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.xml" ContentType="application/vnd.openxmlformats-officedocument.spreadsheetml.table+xml"/>
  <Override PartName="/xl/worksheets/sheet12.xml" ContentType="application/vnd.openxmlformats-officedocument.spreadsheetml.worksheet+xml"/>
  <Override PartName="/xl/tables/table2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3.xml" ContentType="application/vnd.openxmlformats-officedocument.spreadsheetml.table+xml"/>
  <Override PartName="/xl/worksheets/sheet16.xml" ContentType="application/vnd.openxmlformats-officedocument.spreadsheetml.worksheet+xml"/>
  <Override PartName="/xl/tables/table4.xml" ContentType="application/vnd.openxmlformats-officedocument.spreadsheetml.table+xml"/>
  <Override PartName="/xl/worksheets/sheet17.xml" ContentType="application/vnd.openxmlformats-officedocument.spreadsheetml.worksheet+xml"/>
  <Override PartName="/xl/tables/table5.xml" ContentType="application/vnd.openxmlformats-officedocument.spreadsheetml.table+xml"/>
  <Override PartName="/xl/worksheets/sheet18.xml" ContentType="application/vnd.openxmlformats-officedocument.spreadsheetml.worksheet+xml"/>
  <Override PartName="/xl/tables/table6.xml" ContentType="application/vnd.openxmlformats-officedocument.spreadsheetml.table+xml"/>
  <Override PartName="/xl/worksheets/sheet19.xml" ContentType="application/vnd.openxmlformats-officedocument.spreadsheetml.worksheet+xml"/>
  <Override PartName="/xl/tables/table7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si" sheetId="1" state="visible" r:id="rId1"/>
    <sheet xmlns:r="http://schemas.openxmlformats.org/officeDocument/2006/relationships" name="Digger" sheetId="2" state="visible" r:id="rId2"/>
    <sheet xmlns:r="http://schemas.openxmlformats.org/officeDocument/2006/relationships" name="Availability" sheetId="3" state="visible" r:id="rId3"/>
    <sheet xmlns:r="http://schemas.openxmlformats.org/officeDocument/2006/relationships" name="Delay &amp; Hujan" sheetId="4" state="visible" r:id="rId4"/>
    <sheet xmlns:r="http://schemas.openxmlformats.org/officeDocument/2006/relationships" name="Fuel" sheetId="5" state="visible" r:id="rId5"/>
    <sheet xmlns:r="http://schemas.openxmlformats.org/officeDocument/2006/relationships" name="Tren PTY" sheetId="6" state="visible" r:id="rId6"/>
    <sheet xmlns:r="http://schemas.openxmlformats.org/officeDocument/2006/relationships" name="PTY per Jam" sheetId="7" state="visible" r:id="rId7"/>
    <sheet xmlns:r="http://schemas.openxmlformats.org/officeDocument/2006/relationships" name="Fleet &amp; Delay" sheetId="8" state="visible" r:id="rId8"/>
    <sheet xmlns:r="http://schemas.openxmlformats.org/officeDocument/2006/relationships" name="Daily Report" sheetId="9" state="visible" r:id="rId9"/>
    <sheet xmlns:r="http://schemas.openxmlformats.org/officeDocument/2006/relationships" name="Master Data" sheetId="10" state="visible" r:id="rId10"/>
    <sheet xmlns:r="http://schemas.openxmlformats.org/officeDocument/2006/relationships" name="INPUT_RITASE" sheetId="11" state="visible" r:id="rId11"/>
    <sheet xmlns:r="http://schemas.openxmlformats.org/officeDocument/2006/relationships" name="INPUT_DELAY" sheetId="12" state="visible" r:id="rId12"/>
    <sheet xmlns:r="http://schemas.openxmlformats.org/officeDocument/2006/relationships" name="Panduan" sheetId="13" state="visible" r:id="rId13"/>
    <sheet xmlns:r="http://schemas.openxmlformats.org/officeDocument/2006/relationships" name="Parameter" sheetId="14" state="visible" r:id="rId14"/>
    <sheet xmlns:r="http://schemas.openxmlformats.org/officeDocument/2006/relationships" name="MASTER_JAM" sheetId="15" state="visible" r:id="rId15"/>
    <sheet xmlns:r="http://schemas.openxmlformats.org/officeDocument/2006/relationships" name="DATA_TS" sheetId="16" state="visible" r:id="rId16"/>
    <sheet xmlns:r="http://schemas.openxmlformats.org/officeDocument/2006/relationships" name="DATA_PLAN" sheetId="17" state="visible" r:id="rId17"/>
    <sheet xmlns:r="http://schemas.openxmlformats.org/officeDocument/2006/relationships" name="DATA_HUJAN" sheetId="18" state="visible" r:id="rId18"/>
    <sheet xmlns:r="http://schemas.openxmlformats.org/officeDocument/2006/relationships" name="DATA_FUEL" sheetId="19" state="visible" r:id="rId19"/>
    <sheet xmlns:r="http://schemas.openxmlformats.org/officeDocument/2006/relationships" name="LIST" sheetId="20" state="visible" r:id="rId20"/>
    <sheet xmlns:r="http://schemas.openxmlformats.org/officeDocument/2006/relationships" name="Kalkulasi" sheetId="21" state="visible" r:id="rId21"/>
  </sheets>
  <definedNames>
    <definedName name="_xlnm.Print_Area" localSheetId="0">'Produksi'!$A$1:$V$130</definedName>
    <definedName name="_xlnm.Print_Area" localSheetId="1">'Digger'!$A$1:$V$130</definedName>
    <definedName name="_xlnm.Print_Area" localSheetId="2">'Availability'!$A$1:$V$130</definedName>
    <definedName name="_xlnm.Print_Area" localSheetId="3">'Delay &amp; Hujan'!$A$1:$V$130</definedName>
    <definedName name="_xlnm.Print_Area" localSheetId="4">'Fuel'!$A$1:$V$130</definedName>
    <definedName name="_xlnm.Print_Area" localSheetId="5">'Tren PTY'!$A$1:$V$130</definedName>
    <definedName name="_xlnm.Print_Area" localSheetId="6">'PTY per Jam'!$A$1:$V$130</definedName>
    <definedName name="_xlnm.Print_Area" localSheetId="7">'Fleet &amp; Delay'!$A$1:$V$130</definedName>
    <definedName name="_xlnm.Print_Area" localSheetId="8">'Daily Report'!$A$1:$V$130</definedName>
    <definedName name="_xlnm.Print_Area" localSheetId="9">'Master Data'!$A$1:$V$130</definedName>
  </definedNames>
  <calcPr calcId="124519" fullCalcOnLoad="1"/>
</workbook>
</file>

<file path=xl/styles.xml><?xml version="1.0" encoding="utf-8"?>
<styleSheet xmlns="http://schemas.openxmlformats.org/spreadsheetml/2006/main">
  <numFmts count="26">
    <numFmt numFmtId="164" formatCode="yyyy-mm-dd"/>
    <numFmt numFmtId="165" formatCode="dd-mmm-yy"/>
    <numFmt numFmtId="166" formatCode="#,##0.0"/>
    <numFmt numFmtId="167" formatCode="0.0"/>
    <numFmt numFmtId="168" formatCode="0.0%"/>
    <numFmt numFmtId="169" formatCode="d mmm"/>
    <numFmt numFmtId="170" formatCode="#,##0&quot; BCM&quot;"/>
    <numFmt numFmtId="171" formatCode="#,##0&quot; MT&quot;"/>
    <numFmt numFmtId="172" formatCode="0.0&quot; BCM&quot;"/>
    <numFmt numFmtId="173" formatCode="#,##0&quot; BCM/jam&quot;"/>
    <numFmt numFmtId="174" formatCode="#,##0&quot; MT/jam&quot;"/>
    <numFmt numFmtId="175" formatCode="#,##0&quot; jam&quot;"/>
    <numFmt numFmtId="176" formatCode="0&quot; unit&quot;"/>
    <numFmt numFmtId="177" formatCode="#,##0;-#,##0;&quot;–&quot;"/>
    <numFmt numFmtId="178" formatCode="#,##0.0;-#,##0.0;&quot;–&quot;"/>
    <numFmt numFmtId="179" formatCode="0.0&quot; jam&quot;"/>
    <numFmt numFmtId="180" formatCode="#,##0&quot; mm&quot;"/>
    <numFmt numFmtId="181" formatCode="d mmm yyyy"/>
    <numFmt numFmtId="182" formatCode="0.000"/>
    <numFmt numFmtId="183" formatCode="0.000&quot; L/BCM&quot;"/>
    <numFmt numFmtId="184" formatCode="#,##0&quot; L&quot;"/>
    <numFmt numFmtId="185" formatCode="0.0;-0.0;&quot;–&quot;"/>
    <numFmt numFmtId="186" formatCode="#,##0;-#,##0;&quot;&quot;"/>
    <numFmt numFmtId="187" formatCode="dd mmm yyyy"/>
    <numFmt numFmtId="188" formatCode="#,##0;-#,##0;&quot;·&quot;"/>
    <numFmt numFmtId="189" formatCode="dd-mmm"/>
  </numFmts>
  <fonts count="6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E3B4E"/>
      <sz val="14"/>
    </font>
    <font>
      <name val="Arial"/>
      <i val="1"/>
      <color rgb="007F8C88"/>
      <sz val="9"/>
    </font>
    <font>
      <name val="Arial"/>
      <color rgb="000000FF"/>
      <sz val="10"/>
    </font>
    <font>
      <name val="Arial"/>
      <b val="1"/>
      <color rgb="002E3B4E"/>
      <sz val="11"/>
    </font>
    <font>
      <name val="Arial"/>
      <b val="1"/>
      <sz val="10"/>
    </font>
    <font>
      <name val="Arial"/>
      <b val="1"/>
      <color rgb="002E3B4E"/>
      <sz val="12"/>
    </font>
    <font>
      <name val="Arial"/>
      <b val="1"/>
      <color rgb="002E3B4E"/>
      <sz val="10"/>
    </font>
    <font>
      <name val="Arial Narrow"/>
      <b val="1"/>
      <color rgb="00FFFFFF"/>
      <sz val="20"/>
    </font>
    <font>
      <name val="Arial"/>
      <color rgb="007E8C88"/>
      <sz val="8"/>
    </font>
    <font>
      <name val="Arial"/>
      <b val="1"/>
      <color rgb="007E8C88"/>
      <sz val="8"/>
    </font>
    <font>
      <name val="Arial"/>
      <b val="1"/>
      <color rgb="00FFFFFF"/>
      <sz val="10.5"/>
    </font>
    <font>
      <name val="Arial"/>
      <color rgb="00C9D3D0"/>
      <sz val="10.5"/>
    </font>
    <font>
      <name val="Arial"/>
      <b val="1"/>
      <color rgb="00C9D3D0"/>
      <sz val="8.5"/>
    </font>
    <font>
      <name val="Arial"/>
      <color rgb="007E8C88"/>
      <sz val="8.5"/>
    </font>
    <font>
      <name val="Arial"/>
      <color rgb="007F8C88"/>
      <sz val="9"/>
    </font>
    <font>
      <name val="Arial Narrow"/>
      <b val="1"/>
      <color rgb="0017211F"/>
      <sz val="26"/>
    </font>
    <font>
      <name val="Arial"/>
      <color rgb="0051605C"/>
      <sz val="9.5"/>
    </font>
    <font>
      <name val="Arial"/>
      <b val="1"/>
      <color rgb="0051605C"/>
      <sz val="9"/>
    </font>
    <font>
      <name val="Arial"/>
      <b val="1"/>
      <color rgb="000000FF"/>
      <sz val="10"/>
    </font>
    <font>
      <name val="Arial"/>
      <i val="1"/>
      <color rgb="007F8C88"/>
      <sz val="8.5"/>
    </font>
    <font>
      <name val="Arial"/>
      <b val="1"/>
      <color rgb="007F8C88"/>
      <sz val="8"/>
    </font>
    <font>
      <name val="Arial Narrow"/>
      <b val="1"/>
      <color rgb="002E3B4E"/>
      <sz val="22"/>
    </font>
    <font>
      <name val="Arial"/>
      <color rgb="0051605C"/>
      <sz val="8.5"/>
    </font>
    <font>
      <name val="Arial Narrow"/>
      <b val="1"/>
      <color rgb="00D98A1E"/>
      <sz val="22"/>
    </font>
    <font>
      <name val="Arial"/>
      <b val="1"/>
      <color rgb="0017211F"/>
      <sz val="10.5"/>
    </font>
    <font>
      <name val="Arial"/>
      <color rgb="007F8C88"/>
      <sz val="8"/>
    </font>
    <font>
      <name val="Arial Narrow"/>
      <b val="1"/>
      <color rgb="0017211F"/>
      <sz val="13"/>
    </font>
    <font>
      <name val="Arial"/>
      <color rgb="002E3B4E"/>
      <sz val="11"/>
    </font>
    <font>
      <name val="Arial"/>
      <color rgb="0017211F"/>
      <sz val="9.5"/>
    </font>
    <font>
      <name val="Arial"/>
      <color rgb="00D98A1E"/>
      <sz val="11"/>
    </font>
    <font>
      <name val="Arial"/>
      <color rgb="001F6F6B"/>
      <sz val="11"/>
    </font>
    <font>
      <name val="Arial"/>
      <color rgb="00B7791F"/>
      <sz val="11"/>
    </font>
    <font>
      <name val="Arial"/>
      <color rgb="00C24130"/>
      <sz val="11"/>
    </font>
    <font>
      <name val="Arial"/>
      <color rgb="007F8C88"/>
      <sz val="11"/>
    </font>
    <font>
      <name val="Arial"/>
      <b val="1"/>
      <color rgb="0017211F"/>
      <sz val="10"/>
    </font>
    <font>
      <name val="Arial Narrow"/>
      <b val="1"/>
      <color rgb="001F6F6B"/>
      <sz val="22"/>
    </font>
    <font>
      <name val="Consolas"/>
      <b val="1"/>
      <color rgb="0017211F"/>
      <sz val="9.5"/>
    </font>
    <font>
      <name val="Arial"/>
      <b val="1"/>
      <color rgb="0017211F"/>
      <sz val="9.5"/>
    </font>
    <font>
      <name val="Arial Narrow"/>
      <b val="1"/>
      <color rgb="00C24130"/>
      <sz val="22"/>
    </font>
    <font>
      <name val="Arial"/>
      <color rgb="007F8C88"/>
      <sz val="9.5"/>
    </font>
    <font>
      <name val="Arial Narrow"/>
      <b val="1"/>
      <color rgb="00D98A1E"/>
      <sz val="16"/>
    </font>
    <font>
      <name val="Arial"/>
      <color rgb="0051605C"/>
      <sz val="9"/>
    </font>
    <font>
      <name val="Arial"/>
      <color rgb="006B7FA3"/>
      <sz val="11"/>
    </font>
    <font>
      <name val="Arial"/>
      <b val="1"/>
      <color rgb="002E3B4E"/>
      <sz val="13"/>
    </font>
    <font>
      <name val="Arial"/>
      <color rgb="0051605C"/>
      <sz val="10"/>
    </font>
    <font>
      <name val="Arial"/>
      <i val="1"/>
      <color rgb="00C24130"/>
      <sz val="9"/>
    </font>
    <font>
      <name val="Arial"/>
      <b val="1"/>
      <color rgb="00D98A1E"/>
      <sz val="10"/>
    </font>
    <font>
      <name val="Arial"/>
      <b val="1"/>
      <color rgb="00D98A1E"/>
      <sz val="9.5"/>
    </font>
    <font>
      <name val="Consolas"/>
      <color rgb="0017211F"/>
      <sz val="9.5"/>
    </font>
    <font>
      <name val="Arial Narrow"/>
      <b val="1"/>
      <color rgb="00B7791F"/>
      <sz val="22"/>
    </font>
    <font>
      <name val="Arial Narrow"/>
      <b val="1"/>
      <color rgb="002F8F4E"/>
      <sz val="22"/>
    </font>
    <font>
      <name val="Arial"/>
      <b val="1"/>
      <color rgb="007F8C88"/>
      <sz val="7.5"/>
    </font>
    <font>
      <name val="Arial"/>
      <sz val="8.5"/>
    </font>
    <font>
      <name val="Arial"/>
      <color rgb="002F8F4E"/>
      <sz val="9.5"/>
    </font>
    <font>
      <name val="Arial"/>
      <color rgb="00C24130"/>
      <sz val="9.5"/>
    </font>
    <font>
      <name val="Arial"/>
      <b val="1"/>
      <color rgb="002E3B4E"/>
      <sz val="16"/>
    </font>
    <font>
      <name val="Arial"/>
      <color rgb="007F8C88"/>
      <sz val="10"/>
    </font>
  </fonts>
  <fills count="10">
    <fill>
      <patternFill/>
    </fill>
    <fill>
      <patternFill patternType="gray125"/>
    </fill>
    <fill>
      <patternFill patternType="solid">
        <fgColor rgb="0015201E"/>
        <bgColor rgb="0015201E"/>
      </patternFill>
    </fill>
    <fill>
      <patternFill patternType="solid">
        <fgColor rgb="00FFF2CC"/>
        <bgColor rgb="00FFF2CC"/>
      </patternFill>
    </fill>
    <fill>
      <patternFill patternType="solid">
        <fgColor rgb="00EEF1F0"/>
        <bgColor rgb="00EEF1F0"/>
      </patternFill>
    </fill>
    <fill>
      <patternFill patternType="solid">
        <fgColor rgb="0022302D"/>
        <bgColor rgb="0022302D"/>
      </patternFill>
    </fill>
    <fill>
      <patternFill patternType="solid">
        <fgColor rgb="00D98A1E"/>
        <bgColor rgb="00D98A1E"/>
      </patternFill>
    </fill>
    <fill>
      <patternFill patternType="solid">
        <fgColor rgb="00FFFFFF"/>
        <bgColor rgb="00FFFFFF"/>
      </patternFill>
    </fill>
    <fill>
      <patternFill patternType="solid">
        <fgColor rgb="00FCE9CF"/>
        <bgColor rgb="00FCE9CF"/>
      </patternFill>
    </fill>
    <fill>
      <patternFill patternType="solid">
        <fgColor rgb="00F6F8F7"/>
        <bgColor rgb="00F6F8F7"/>
      </patternFill>
    </fill>
  </fills>
  <borders count="29">
    <border>
      <left/>
      <right/>
      <top/>
      <bottom/>
      <diagonal/>
    </border>
    <border>
      <bottom style="thin">
        <color rgb="00DCE2E0"/>
      </bottom>
    </border>
    <border>
      <left style="thin">
        <color rgb="00DCE2E0"/>
      </left>
      <top style="thin">
        <color rgb="00DCE2E0"/>
      </top>
      <bottom style="thin">
        <color rgb="00DCE2E0"/>
      </bottom>
    </border>
    <border>
      <top style="thin">
        <color rgb="00DCE2E0"/>
      </top>
      <bottom style="thin">
        <color rgb="00DCE2E0"/>
      </bottom>
    </border>
    <border>
      <right style="thin">
        <color rgb="00DCE2E0"/>
      </right>
      <top style="thin">
        <color rgb="00DCE2E0"/>
      </top>
      <bottom style="thin">
        <color rgb="00DCE2E0"/>
      </bottom>
    </border>
    <border>
      <left style="thin">
        <color rgb="00DCE2E0"/>
      </left>
      <top style="thin">
        <color rgb="00DCE2E0"/>
      </top>
    </border>
    <border>
      <top style="thin">
        <color rgb="00DCE2E0"/>
      </top>
    </border>
    <border>
      <right style="thin">
        <color rgb="00DCE2E0"/>
      </right>
      <top style="thin">
        <color rgb="00DCE2E0"/>
      </top>
    </border>
    <border>
      <left style="thin">
        <color rgb="00DCE2E0"/>
      </left>
    </border>
    <border/>
    <border>
      <right style="thin">
        <color rgb="00DCE2E0"/>
      </right>
    </border>
    <border>
      <left style="thin">
        <color rgb="00DCE2E0"/>
      </left>
      <bottom style="thin">
        <color rgb="00DCE2E0"/>
      </bottom>
    </border>
    <border>
      <right style="thin">
        <color rgb="00DCE2E0"/>
      </right>
      <bottom style="thin">
        <color rgb="00DCE2E0"/>
      </bottom>
    </border>
    <border>
      <left style="thin">
        <color rgb="00DCE2E0"/>
      </left>
      <right style="thin">
        <color rgb="00DCE2E0"/>
      </right>
      <top style="thin">
        <color rgb="00DCE2E0"/>
      </top>
    </border>
    <border>
      <left/>
      <right/>
      <top style="thin">
        <color rgb="00DCE2E0"/>
      </top>
      <bottom/>
      <diagonal/>
    </border>
    <border>
      <left/>
      <right style="thin">
        <color rgb="00DCE2E0"/>
      </right>
      <top style="thin">
        <color rgb="00DCE2E0"/>
      </top>
      <bottom/>
      <diagonal/>
    </border>
    <border>
      <left style="thin">
        <color rgb="00DCE2E0"/>
      </left>
      <right style="thin">
        <color rgb="00DCE2E0"/>
      </right>
    </border>
    <border>
      <left/>
      <right style="thin">
        <color rgb="00DCE2E0"/>
      </right>
      <top/>
      <bottom/>
      <diagonal/>
    </border>
    <border>
      <left style="thin">
        <color rgb="00DCE2E0"/>
      </left>
      <right style="thin">
        <color rgb="00DCE2E0"/>
      </right>
      <bottom style="thin">
        <color rgb="00DCE2E0"/>
      </bottom>
    </border>
    <border>
      <left/>
      <right/>
      <top/>
      <bottom style="thin">
        <color rgb="00DCE2E0"/>
      </bottom>
      <diagonal/>
    </border>
    <border>
      <left/>
      <right style="thin">
        <color rgb="00DCE2E0"/>
      </right>
      <top/>
      <bottom style="thin">
        <color rgb="00DCE2E0"/>
      </bottom>
      <diagonal/>
    </border>
    <border>
      <left style="thin">
        <color rgb="00DCE2E0"/>
      </left>
      <bottom style="thin">
        <color rgb="00E6EAE8"/>
      </bottom>
    </border>
    <border>
      <bottom style="thin">
        <color rgb="00E6EAE8"/>
      </bottom>
    </border>
    <border>
      <right style="thin">
        <color rgb="00DCE2E0"/>
      </right>
      <bottom style="thin">
        <color rgb="00E6EAE8"/>
      </bottom>
    </border>
    <border>
      <left style="thin">
        <color rgb="00DCE2E0"/>
      </left>
      <right style="thin">
        <color rgb="00DCE2E0"/>
      </right>
      <top style="thin">
        <color rgb="00DCE2E0"/>
      </top>
      <bottom style="thin">
        <color rgb="00DCE2E0"/>
      </bottom>
    </border>
    <border>
      <left style="thin">
        <color rgb="00FFFFFF"/>
      </left>
      <right style="thin">
        <color rgb="00FFFFFF"/>
      </right>
      <bottom style="thin">
        <color rgb="00FFFFFF"/>
      </bottom>
    </border>
    <border>
      <left style="thin">
        <color rgb="00DCE2E0"/>
      </left>
      <right/>
      <top/>
      <bottom/>
      <diagonal/>
    </border>
    <border>
      <left style="thin">
        <color rgb="00DCE2E0"/>
      </left>
      <right/>
      <top/>
      <bottom style="thin">
        <color rgb="00DCE2E0"/>
      </bottom>
      <diagonal/>
    </border>
    <border>
      <left/>
      <right/>
      <top/>
      <bottom style="thin">
        <color rgb="00E6EAE8"/>
      </bottom>
      <diagonal/>
    </border>
  </borders>
  <cellStyleXfs count="1">
    <xf numFmtId="0" fontId="0" fillId="0" borderId="0"/>
  </cellStyleXfs>
  <cellXfs count="201">
    <xf numFmtId="0" fontId="0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10" fillId="2" borderId="0" pivotButton="0" quotePrefix="0" xfId="0"/>
    <xf numFmtId="0" fontId="17" fillId="4" borderId="0" pivotButton="0" quotePrefix="0" xfId="0"/>
    <xf numFmtId="0" fontId="11" fillId="2" borderId="0" pivotButton="0" quotePrefix="0" xfId="0"/>
    <xf numFmtId="0" fontId="18" fillId="4" borderId="0" pivotButton="0" quotePrefix="0" xfId="0"/>
    <xf numFmtId="0" fontId="19" fillId="4" borderId="0" pivotButton="0" quotePrefix="0" xfId="0"/>
    <xf numFmtId="0" fontId="12" fillId="2" borderId="0" pivotButton="0" quotePrefix="0" xfId="0"/>
    <xf numFmtId="0" fontId="0" fillId="6" borderId="0" pivotButton="0" quotePrefix="0" xfId="0"/>
    <xf numFmtId="0" fontId="13" fillId="5" borderId="0" applyAlignment="1" pivotButton="0" quotePrefix="0" xfId="0">
      <alignment vertical="center"/>
    </xf>
    <xf numFmtId="0" fontId="0" fillId="7" borderId="2" pivotButton="0" quotePrefix="0" xfId="0"/>
    <xf numFmtId="0" fontId="20" fillId="7" borderId="3" applyAlignment="1" pivotButton="0" quotePrefix="0" xfId="0">
      <alignment horizontal="right" vertical="center" indent="1"/>
    </xf>
    <xf numFmtId="169" fontId="21" fillId="3" borderId="4" applyAlignment="1" pivotButton="0" quotePrefix="0" xfId="0">
      <alignment horizontal="center" vertical="center"/>
    </xf>
    <xf numFmtId="0" fontId="21" fillId="3" borderId="4" applyAlignment="1" pivotButton="0" quotePrefix="0" xfId="0">
      <alignment horizontal="center" vertical="center"/>
    </xf>
    <xf numFmtId="0" fontId="14" fillId="2" borderId="0" applyAlignment="1" pivotButton="0" quotePrefix="0" xfId="0">
      <alignment vertical="center"/>
    </xf>
    <xf numFmtId="0" fontId="22" fillId="4" borderId="0" pivotButton="0" quotePrefix="0" xfId="0"/>
    <xf numFmtId="0" fontId="23" fillId="7" borderId="13" applyAlignment="1" pivotButton="0" quotePrefix="0" xfId="0">
      <alignment horizontal="left" vertical="center" indent="1"/>
    </xf>
    <xf numFmtId="0" fontId="0" fillId="0" borderId="14" pivotButton="0" quotePrefix="0" xfId="0"/>
    <xf numFmtId="0" fontId="0" fillId="0" borderId="15" pivotButton="0" quotePrefix="0" xfId="0"/>
    <xf numFmtId="170" fontId="24" fillId="7" borderId="16" applyAlignment="1" pivotButton="0" quotePrefix="0" xfId="0">
      <alignment horizontal="left" vertical="center" indent="1"/>
    </xf>
    <xf numFmtId="0" fontId="0" fillId="0" borderId="17" pivotButton="0" quotePrefix="0" xfId="0"/>
    <xf numFmtId="168" fontId="24" fillId="7" borderId="16" applyAlignment="1" pivotButton="0" quotePrefix="0" xfId="0">
      <alignment horizontal="left" vertical="center" indent="1"/>
    </xf>
    <xf numFmtId="171" fontId="26" fillId="7" borderId="16" applyAlignment="1" pivotButton="0" quotePrefix="0" xfId="0">
      <alignment horizontal="left" vertical="center" indent="1"/>
    </xf>
    <xf numFmtId="2" fontId="24" fillId="7" borderId="16" applyAlignment="1" pivotButton="0" quotePrefix="0" xfId="0">
      <alignment horizontal="left" vertical="center" indent="1"/>
    </xf>
    <xf numFmtId="3" fontId="24" fillId="7" borderId="16" applyAlignment="1" pivotButton="0" quotePrefix="0" xfId="0">
      <alignment horizontal="left" vertical="center" indent="1"/>
    </xf>
    <xf numFmtId="0" fontId="25" fillId="7" borderId="18" applyAlignment="1" pivotButton="0" quotePrefix="0" xfId="0">
      <alignment horizontal="left" vertical="center" indent="1"/>
    </xf>
    <xf numFmtId="0" fontId="0" fillId="0" borderId="19" pivotButton="0" quotePrefix="0" xfId="0"/>
    <xf numFmtId="0" fontId="0" fillId="0" borderId="20" pivotButton="0" quotePrefix="0" xfId="0"/>
    <xf numFmtId="0" fontId="27" fillId="7" borderId="5" applyAlignment="1" pivotButton="0" quotePrefix="0" xfId="0">
      <alignment vertical="center" indent="1"/>
    </xf>
    <xf numFmtId="0" fontId="0" fillId="7" borderId="6" pivotButton="0" quotePrefix="0" xfId="0"/>
    <xf numFmtId="0" fontId="28" fillId="7" borderId="7" applyAlignment="1" pivotButton="0" quotePrefix="0" xfId="0">
      <alignment horizontal="right" vertical="center" indent="1"/>
    </xf>
    <xf numFmtId="0" fontId="0" fillId="7" borderId="8" pivotButton="0" quotePrefix="0" xfId="0"/>
    <xf numFmtId="0" fontId="0" fillId="7" borderId="9" pivotButton="0" quotePrefix="0" xfId="0"/>
    <xf numFmtId="0" fontId="0" fillId="7" borderId="10" pivotButton="0" quotePrefix="0" xfId="0"/>
    <xf numFmtId="0" fontId="29" fillId="7" borderId="8" applyAlignment="1" pivotButton="0" quotePrefix="0" xfId="0">
      <alignment horizontal="left" indent="1"/>
    </xf>
    <xf numFmtId="0" fontId="30" fillId="7" borderId="8" applyAlignment="1" pivotButton="0" quotePrefix="0" xfId="0">
      <alignment horizontal="right"/>
    </xf>
    <xf numFmtId="0" fontId="31" fillId="7" borderId="9" pivotButton="0" quotePrefix="0" xfId="0"/>
    <xf numFmtId="9" fontId="19" fillId="7" borderId="9" applyAlignment="1" pivotButton="0" quotePrefix="0" xfId="0">
      <alignment horizontal="right"/>
    </xf>
    <xf numFmtId="0" fontId="32" fillId="7" borderId="8" applyAlignment="1" pivotButton="0" quotePrefix="0" xfId="0">
      <alignment horizontal="right"/>
    </xf>
    <xf numFmtId="0" fontId="33" fillId="7" borderId="8" applyAlignment="1" pivotButton="0" quotePrefix="0" xfId="0">
      <alignment horizontal="right"/>
    </xf>
    <xf numFmtId="0" fontId="34" fillId="7" borderId="8" applyAlignment="1" pivotButton="0" quotePrefix="0" xfId="0">
      <alignment horizontal="right"/>
    </xf>
    <xf numFmtId="0" fontId="35" fillId="7" borderId="8" applyAlignment="1" pivotButton="0" quotePrefix="0" xfId="0">
      <alignment horizontal="right"/>
    </xf>
    <xf numFmtId="0" fontId="36" fillId="7" borderId="8" applyAlignment="1" pivotButton="0" quotePrefix="0" xfId="0">
      <alignment horizontal="right"/>
    </xf>
    <xf numFmtId="0" fontId="0" fillId="7" borderId="11" pivotButton="0" quotePrefix="0" xfId="0"/>
    <xf numFmtId="0" fontId="0" fillId="7" borderId="1" pivotButton="0" quotePrefix="0" xfId="0"/>
    <xf numFmtId="0" fontId="0" fillId="7" borderId="12" pivotButton="0" quotePrefix="0" xfId="0"/>
    <xf numFmtId="0" fontId="15" fillId="2" borderId="0" pivotButton="0" quotePrefix="0" xfId="0"/>
    <xf numFmtId="0" fontId="0" fillId="7" borderId="7" pivotButton="0" quotePrefix="0" xfId="0"/>
    <xf numFmtId="0" fontId="16" fillId="2" borderId="0" pivotButton="0" quotePrefix="0" xfId="0"/>
    <xf numFmtId="0" fontId="19" fillId="7" borderId="21" applyAlignment="1" pivotButton="0" quotePrefix="0" xfId="0">
      <alignment vertical="center" indent="1"/>
    </xf>
    <xf numFmtId="0" fontId="0" fillId="7" borderId="22" pivotButton="0" quotePrefix="0" xfId="0"/>
    <xf numFmtId="1" fontId="37" fillId="7" borderId="22" applyAlignment="1" pivotButton="0" quotePrefix="0" xfId="0">
      <alignment horizontal="right" vertical="center" indent="1"/>
    </xf>
    <xf numFmtId="0" fontId="0" fillId="0" borderId="22" pivotButton="0" quotePrefix="0" xfId="0"/>
    <xf numFmtId="0" fontId="0" fillId="0" borderId="23" pivotButton="0" quotePrefix="0" xfId="0"/>
    <xf numFmtId="170" fontId="37" fillId="7" borderId="22" applyAlignment="1" pivotButton="0" quotePrefix="0" xfId="0">
      <alignment horizontal="right" vertical="center" indent="1"/>
    </xf>
    <xf numFmtId="171" fontId="37" fillId="7" borderId="22" applyAlignment="1" pivotButton="0" quotePrefix="0" xfId="0">
      <alignment horizontal="right" vertical="center" indent="1"/>
    </xf>
    <xf numFmtId="0" fontId="37" fillId="7" borderId="22" applyAlignment="1" pivotButton="0" quotePrefix="0" xfId="0">
      <alignment horizontal="right" vertical="center" indent="1"/>
    </xf>
    <xf numFmtId="9" fontId="37" fillId="7" borderId="22" applyAlignment="1" pivotButton="0" quotePrefix="0" xfId="0">
      <alignment horizontal="right" vertical="center" indent="1"/>
    </xf>
    <xf numFmtId="172" fontId="37" fillId="7" borderId="22" applyAlignment="1" pivotButton="0" quotePrefix="0" xfId="0">
      <alignment horizontal="right" vertical="center" indent="1"/>
    </xf>
    <xf numFmtId="173" fontId="24" fillId="7" borderId="16" applyAlignment="1" pivotButton="0" quotePrefix="0" xfId="0">
      <alignment horizontal="left" vertical="center" indent="1"/>
    </xf>
    <xf numFmtId="174" fontId="26" fillId="7" borderId="16" applyAlignment="1" pivotButton="0" quotePrefix="0" xfId="0">
      <alignment horizontal="left" vertical="center" indent="1"/>
    </xf>
    <xf numFmtId="49" fontId="38" fillId="7" borderId="16" applyAlignment="1" pivotButton="0" quotePrefix="0" xfId="0">
      <alignment horizontal="left" vertical="center" indent="1"/>
    </xf>
    <xf numFmtId="175" fontId="24" fillId="7" borderId="16" applyAlignment="1" pivotButton="0" quotePrefix="0" xfId="0">
      <alignment horizontal="left" vertical="center" indent="1"/>
    </xf>
    <xf numFmtId="176" fontId="24" fillId="7" borderId="16" applyAlignment="1" pivotButton="0" quotePrefix="0" xfId="0">
      <alignment horizontal="left" vertical="center" indent="1"/>
    </xf>
    <xf numFmtId="0" fontId="23" fillId="7" borderId="1" applyAlignment="1" pivotButton="0" quotePrefix="0" xfId="0">
      <alignment horizontal="left" vertical="center" indent="1"/>
    </xf>
    <xf numFmtId="0" fontId="23" fillId="7" borderId="1" applyAlignment="1" pivotButton="0" quotePrefix="0" xfId="0">
      <alignment horizontal="right" vertical="center"/>
    </xf>
    <xf numFmtId="0" fontId="39" fillId="7" borderId="22" applyAlignment="1" pivotButton="0" quotePrefix="0" xfId="0">
      <alignment horizontal="left" vertical="center" indent="1"/>
    </xf>
    <xf numFmtId="0" fontId="19" fillId="7" borderId="22" applyAlignment="1" pivotButton="0" quotePrefix="0" xfId="0">
      <alignment horizontal="left" vertical="center" indent="1"/>
    </xf>
    <xf numFmtId="3" fontId="31" fillId="7" borderId="22" applyAlignment="1" pivotButton="0" quotePrefix="0" xfId="0">
      <alignment horizontal="right" vertical="center"/>
    </xf>
    <xf numFmtId="177" fontId="31" fillId="7" borderId="22" applyAlignment="1" pivotButton="0" quotePrefix="0" xfId="0">
      <alignment horizontal="right" vertical="center"/>
    </xf>
    <xf numFmtId="177" fontId="40" fillId="7" borderId="22" applyAlignment="1" pivotButton="0" quotePrefix="0" xfId="0">
      <alignment horizontal="right" vertical="center"/>
    </xf>
    <xf numFmtId="9" fontId="31" fillId="7" borderId="22" applyAlignment="1" pivotButton="0" quotePrefix="0" xfId="0">
      <alignment horizontal="right" vertical="center"/>
    </xf>
    <xf numFmtId="175" fontId="38" fillId="7" borderId="16" applyAlignment="1" pivotButton="0" quotePrefix="0" xfId="0">
      <alignment horizontal="left" vertical="center" indent="1"/>
    </xf>
    <xf numFmtId="175" fontId="41" fillId="7" borderId="16" applyAlignment="1" pivotButton="0" quotePrefix="0" xfId="0">
      <alignment horizontal="left" vertical="center" indent="1"/>
    </xf>
    <xf numFmtId="0" fontId="29" fillId="7" borderId="8" applyAlignment="1" pivotButton="0" quotePrefix="0" xfId="0">
      <alignment indent="1"/>
    </xf>
    <xf numFmtId="3" fontId="19" fillId="7" borderId="9" applyAlignment="1" pivotButton="0" quotePrefix="0" xfId="0">
      <alignment horizontal="right"/>
    </xf>
    <xf numFmtId="1" fontId="42" fillId="7" borderId="22" applyAlignment="1" pivotButton="0" quotePrefix="0" xfId="0">
      <alignment horizontal="left" vertical="center" indent="1"/>
    </xf>
    <xf numFmtId="0" fontId="31" fillId="7" borderId="22" applyAlignment="1" pivotButton="0" quotePrefix="0" xfId="0">
      <alignment horizontal="right" vertical="center"/>
    </xf>
    <xf numFmtId="178" fontId="31" fillId="7" borderId="22" applyAlignment="1" pivotButton="0" quotePrefix="0" xfId="0">
      <alignment horizontal="right" vertical="center"/>
    </xf>
    <xf numFmtId="175" fontId="26" fillId="7" borderId="16" applyAlignment="1" pivotButton="0" quotePrefix="0" xfId="0">
      <alignment horizontal="left" vertical="center" indent="1"/>
    </xf>
    <xf numFmtId="179" fontId="24" fillId="7" borderId="16" applyAlignment="1" pivotButton="0" quotePrefix="0" xfId="0">
      <alignment horizontal="left" vertical="center" indent="1"/>
    </xf>
    <xf numFmtId="180" fontId="24" fillId="7" borderId="16" applyAlignment="1" pivotButton="0" quotePrefix="0" xfId="0">
      <alignment horizontal="left" vertical="center" indent="1"/>
    </xf>
    <xf numFmtId="0" fontId="31" fillId="7" borderId="22" applyAlignment="1" pivotButton="0" quotePrefix="0" xfId="0">
      <alignment horizontal="left" vertical="center" indent="1"/>
    </xf>
    <xf numFmtId="183" fontId="24" fillId="7" borderId="16" applyAlignment="1" pivotButton="0" quotePrefix="0" xfId="0">
      <alignment horizontal="left" vertical="center" indent="1"/>
    </xf>
    <xf numFmtId="184" fontId="24" fillId="7" borderId="16" applyAlignment="1" pivotButton="0" quotePrefix="0" xfId="0">
      <alignment horizontal="left" vertical="center" indent="1"/>
    </xf>
    <xf numFmtId="184" fontId="26" fillId="7" borderId="16" applyAlignment="1" pivotButton="0" quotePrefix="0" xfId="0">
      <alignment horizontal="left" vertical="center" indent="1"/>
    </xf>
    <xf numFmtId="184" fontId="38" fillId="7" borderId="16" applyAlignment="1" pivotButton="0" quotePrefix="0" xfId="0">
      <alignment horizontal="left" vertical="center" indent="1"/>
    </xf>
    <xf numFmtId="0" fontId="45" fillId="7" borderId="8" applyAlignment="1" pivotButton="0" quotePrefix="0" xfId="0">
      <alignment horizontal="right"/>
    </xf>
    <xf numFmtId="0" fontId="36" fillId="7" borderId="11" applyAlignment="1" pivotButton="0" quotePrefix="0" xfId="0">
      <alignment horizontal="right"/>
    </xf>
    <xf numFmtId="0" fontId="31" fillId="7" borderId="1" pivotButton="0" quotePrefix="0" xfId="0"/>
    <xf numFmtId="9" fontId="19" fillId="7" borderId="1" applyAlignment="1" pivotButton="0" quotePrefix="0" xfId="0">
      <alignment horizontal="right"/>
    </xf>
    <xf numFmtId="185" fontId="40" fillId="7" borderId="22" applyAlignment="1" pivotButton="0" quotePrefix="0" xfId="0">
      <alignment horizontal="right" vertical="center"/>
    </xf>
    <xf numFmtId="186" fontId="31" fillId="7" borderId="22" applyAlignment="1" pivotButton="0" quotePrefix="0" xfId="0">
      <alignment horizontal="right" vertical="center"/>
    </xf>
    <xf numFmtId="167" fontId="31" fillId="7" borderId="22" applyAlignment="1" pivotButton="0" quotePrefix="0" xfId="0">
      <alignment horizontal="right" vertical="center"/>
    </xf>
    <xf numFmtId="0" fontId="20" fillId="7" borderId="2" applyAlignment="1" pivotButton="0" quotePrefix="0" xfId="0">
      <alignment horizontal="right" vertical="center" indent="1"/>
    </xf>
    <xf numFmtId="169" fontId="21" fillId="3" borderId="3" applyAlignment="1" pivotButton="0" quotePrefix="0" xfId="0">
      <alignment horizontal="center" vertical="center"/>
    </xf>
    <xf numFmtId="0" fontId="0" fillId="0" borderId="4" pivotButton="0" quotePrefix="0" xfId="0"/>
    <xf numFmtId="0" fontId="21" fillId="3" borderId="3" applyAlignment="1" pivotButton="0" quotePrefix="0" xfId="0">
      <alignment horizontal="center" vertical="center"/>
    </xf>
    <xf numFmtId="3" fontId="38" fillId="7" borderId="16" applyAlignment="1" pivotButton="0" quotePrefix="0" xfId="0">
      <alignment horizontal="left" vertical="center" indent="1"/>
    </xf>
    <xf numFmtId="9" fontId="24" fillId="7" borderId="16" applyAlignment="1" pivotButton="0" quotePrefix="0" xfId="0">
      <alignment horizontal="left" vertical="center" indent="1"/>
    </xf>
    <xf numFmtId="49" fontId="53" fillId="7" borderId="16" applyAlignment="1" pivotButton="0" quotePrefix="0" xfId="0">
      <alignment horizontal="left" vertical="center" indent="1"/>
    </xf>
    <xf numFmtId="49" fontId="24" fillId="7" borderId="16" applyAlignment="1" pivotButton="0" quotePrefix="0" xfId="0">
      <alignment horizontal="left" vertical="center" indent="1"/>
    </xf>
    <xf numFmtId="49" fontId="41" fillId="7" borderId="16" applyAlignment="1" pivotButton="0" quotePrefix="0" xfId="0">
      <alignment horizontal="left" vertical="center" indent="1"/>
    </xf>
    <xf numFmtId="0" fontId="54" fillId="7" borderId="1" applyAlignment="1" pivotButton="0" quotePrefix="0" xfId="0">
      <alignment horizontal="center" vertical="center" wrapText="1"/>
    </xf>
    <xf numFmtId="0" fontId="42" fillId="7" borderId="22" applyAlignment="1" pivotButton="0" quotePrefix="0" xfId="0">
      <alignment horizontal="left" vertical="center" indent="1"/>
    </xf>
    <xf numFmtId="0" fontId="0" fillId="0" borderId="28" pivotButton="0" quotePrefix="0" xfId="0"/>
    <xf numFmtId="3" fontId="42" fillId="7" borderId="22" applyAlignment="1" pivotButton="0" quotePrefix="0" xfId="0">
      <alignment horizontal="center" vertical="center"/>
    </xf>
    <xf numFmtId="181" fontId="31" fillId="7" borderId="22" applyAlignment="1" pivotButton="0" quotePrefix="0" xfId="0">
      <alignment horizontal="left" vertical="center" indent="1"/>
    </xf>
    <xf numFmtId="3" fontId="55" fillId="7" borderId="25" applyAlignment="1" pivotButton="0" quotePrefix="0" xfId="0">
      <alignment horizontal="center" vertical="center"/>
    </xf>
    <xf numFmtId="3" fontId="40" fillId="7" borderId="22" applyAlignment="1" pivotButton="0" quotePrefix="0" xfId="0">
      <alignment horizontal="right" vertical="center"/>
    </xf>
    <xf numFmtId="3" fontId="19" fillId="7" borderId="22" applyAlignment="1" pivotButton="0" quotePrefix="0" xfId="0">
      <alignment horizontal="right" vertical="center"/>
    </xf>
    <xf numFmtId="0" fontId="23" fillId="7" borderId="1" applyAlignment="1" pivotButton="0" quotePrefix="0" xfId="0">
      <alignment horizontal="center" vertical="center"/>
    </xf>
    <xf numFmtId="0" fontId="42" fillId="7" borderId="22" applyAlignment="1" pivotButton="0" quotePrefix="0" xfId="0">
      <alignment horizontal="center" vertical="center"/>
    </xf>
    <xf numFmtId="3" fontId="42" fillId="7" borderId="22" applyAlignment="1" pivotButton="0" quotePrefix="0" xfId="0">
      <alignment horizontal="right" vertical="center"/>
    </xf>
    <xf numFmtId="9" fontId="40" fillId="7" borderId="22" applyAlignment="1" pivotButton="0" quotePrefix="0" xfId="0">
      <alignment horizontal="right" vertical="center"/>
    </xf>
    <xf numFmtId="3" fontId="56" fillId="7" borderId="22" applyAlignment="1" pivotButton="0" quotePrefix="0" xfId="0">
      <alignment horizontal="right" vertical="center"/>
    </xf>
    <xf numFmtId="3" fontId="57" fillId="7" borderId="22" applyAlignment="1" pivotButton="0" quotePrefix="0" xfId="0">
      <alignment horizontal="right" vertical="center"/>
    </xf>
    <xf numFmtId="187" fontId="21" fillId="3" borderId="3" applyAlignment="1" pivotButton="0" quotePrefix="0" xfId="0">
      <alignment horizontal="center" vertical="center"/>
    </xf>
    <xf numFmtId="0" fontId="0" fillId="0" borderId="3" pivotButton="0" quotePrefix="0" xfId="0"/>
    <xf numFmtId="0" fontId="50" fillId="4" borderId="0" pivotButton="0" quotePrefix="0" xfId="0"/>
    <xf numFmtId="3" fontId="26" fillId="7" borderId="16" applyAlignment="1" pivotButton="0" quotePrefix="0" xfId="0">
      <alignment horizontal="left" vertical="center" indent="1"/>
    </xf>
    <xf numFmtId="0" fontId="40" fillId="7" borderId="22" applyAlignment="1" pivotButton="0" quotePrefix="0" xfId="0">
      <alignment horizontal="left" vertical="center" indent="1"/>
    </xf>
    <xf numFmtId="3" fontId="31" fillId="7" borderId="25" applyAlignment="1" pivotButton="0" quotePrefix="0" xfId="0">
      <alignment horizontal="center" vertical="center"/>
    </xf>
    <xf numFmtId="0" fontId="51" fillId="9" borderId="18" applyAlignment="1" pivotButton="0" quotePrefix="0" xfId="0">
      <alignment vertical="top" wrapText="1" indent="1"/>
    </xf>
    <xf numFmtId="0" fontId="0" fillId="0" borderId="26" pivotButton="0" quotePrefix="0" xfId="0"/>
    <xf numFmtId="0" fontId="0" fillId="0" borderId="27" pivotButton="0" quotePrefix="0" xfId="0"/>
    <xf numFmtId="2" fontId="38" fillId="7" borderId="16" applyAlignment="1" pivotButton="0" quotePrefix="0" xfId="0">
      <alignment horizontal="left" vertical="center" indent="1"/>
    </xf>
    <xf numFmtId="49" fontId="52" fillId="7" borderId="16" applyAlignment="1" pivotButton="0" quotePrefix="0" xfId="0">
      <alignment horizontal="left" vertical="center" indent="1"/>
    </xf>
    <xf numFmtId="167" fontId="24" fillId="7" borderId="16" applyAlignment="1" pivotButton="0" quotePrefix="0" xfId="0">
      <alignment horizontal="left" vertical="center" indent="1"/>
    </xf>
    <xf numFmtId="3" fontId="41" fillId="7" borderId="16" applyAlignment="1" pivotButton="0" quotePrefix="0" xfId="0">
      <alignment horizontal="left" vertical="center" indent="1"/>
    </xf>
    <xf numFmtId="49" fontId="26" fillId="7" borderId="16" applyAlignment="1" pivotButton="0" quotePrefix="0" xfId="0">
      <alignment horizontal="left" vertical="center" indent="1"/>
    </xf>
    <xf numFmtId="2" fontId="31" fillId="7" borderId="25" applyAlignment="1" pivotButton="0" quotePrefix="0" xfId="0">
      <alignment horizontal="center" vertical="center"/>
    </xf>
    <xf numFmtId="2" fontId="40" fillId="7" borderId="22" applyAlignment="1" pivotButton="0" quotePrefix="0" xfId="0">
      <alignment horizontal="right" vertical="center"/>
    </xf>
    <xf numFmtId="167" fontId="42" fillId="7" borderId="22" applyAlignment="1" pivotButton="0" quotePrefix="0" xfId="0">
      <alignment horizontal="right" vertical="center"/>
    </xf>
    <xf numFmtId="0" fontId="40" fillId="7" borderId="22" applyAlignment="1" pivotButton="0" quotePrefix="0" xfId="0">
      <alignment horizontal="center" vertical="center"/>
    </xf>
    <xf numFmtId="0" fontId="22" fillId="7" borderId="11" pivotButton="0" quotePrefix="0" xfId="0"/>
    <xf numFmtId="188" fontId="31" fillId="7" borderId="22" applyAlignment="1" pivotButton="0" quotePrefix="0" xfId="0">
      <alignment horizontal="right" vertical="center"/>
    </xf>
    <xf numFmtId="179" fontId="31" fillId="7" borderId="22" applyAlignment="1" pivotButton="0" quotePrefix="0" xfId="0">
      <alignment horizontal="right" vertical="center"/>
    </xf>
    <xf numFmtId="168" fontId="40" fillId="7" borderId="22" applyAlignment="1" pivotButton="0" quotePrefix="0" xfId="0">
      <alignment horizontal="right" vertical="center"/>
    </xf>
    <xf numFmtId="0" fontId="22" fillId="7" borderId="8" pivotButton="0" quotePrefix="0" xfId="0"/>
    <xf numFmtId="1" fontId="31" fillId="7" borderId="22" applyAlignment="1" pivotButton="0" quotePrefix="0" xfId="0">
      <alignment horizontal="right" vertical="center"/>
    </xf>
    <xf numFmtId="1" fontId="24" fillId="7" borderId="16" applyAlignment="1" pivotButton="0" quotePrefix="0" xfId="0">
      <alignment horizontal="left" vertical="center" indent="1"/>
    </xf>
    <xf numFmtId="181" fontId="24" fillId="7" borderId="16" applyAlignment="1" pivotButton="0" quotePrefix="0" xfId="0">
      <alignment horizontal="left" vertical="center" indent="1"/>
    </xf>
    <xf numFmtId="0" fontId="43" fillId="7" borderId="8" applyAlignment="1" pivotButton="0" quotePrefix="0" xfId="0">
      <alignment horizontal="center" vertical="top"/>
    </xf>
    <xf numFmtId="0" fontId="37" fillId="7" borderId="9" pivotButton="0" quotePrefix="0" xfId="0"/>
    <xf numFmtId="0" fontId="1" fillId="2" borderId="9" applyAlignment="1" pivotButton="0" quotePrefix="0" xfId="0">
      <alignment vertical="center"/>
    </xf>
    <xf numFmtId="0" fontId="19" fillId="7" borderId="10" applyAlignment="1" pivotButton="0" quotePrefix="0" xfId="0">
      <alignment vertical="top" wrapText="1"/>
    </xf>
    <xf numFmtId="0" fontId="44" fillId="7" borderId="9" pivotButton="0" quotePrefix="0" xfId="0"/>
    <xf numFmtId="0" fontId="19" fillId="7" borderId="12" applyAlignment="1" pivotButton="0" quotePrefix="0" xfId="0">
      <alignment vertical="top" wrapText="1"/>
    </xf>
    <xf numFmtId="0" fontId="8" fillId="0" borderId="0" pivotButton="0" quotePrefix="0" xfId="0"/>
    <xf numFmtId="0" fontId="4" fillId="0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48" fillId="0" borderId="0" pivotButton="0" quotePrefix="0" xfId="0"/>
    <xf numFmtId="165" fontId="2" fillId="0" borderId="0" pivotButton="0" quotePrefix="0" xfId="0"/>
    <xf numFmtId="0" fontId="2" fillId="0" borderId="0" pivotButton="0" quotePrefix="0" xfId="0"/>
    <xf numFmtId="0" fontId="47" fillId="0" borderId="0" pivotButton="0" quotePrefix="0" xfId="0"/>
    <xf numFmtId="2" fontId="47" fillId="0" borderId="0" pivotButton="0" quotePrefix="0" xfId="0"/>
    <xf numFmtId="166" fontId="47" fillId="0" borderId="0" pivotButton="0" quotePrefix="0" xfId="0"/>
    <xf numFmtId="0" fontId="49" fillId="0" borderId="0" pivotButton="0" quotePrefix="0" xfId="0"/>
    <xf numFmtId="0" fontId="1" fillId="6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58" fillId="0" borderId="0" pivotButton="0" quotePrefix="0" xfId="0"/>
    <xf numFmtId="0" fontId="59" fillId="0" borderId="0" pivotButton="0" quotePrefix="0" xfId="0"/>
    <xf numFmtId="0" fontId="7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1" pivotButton="0" quotePrefix="0" xfId="0"/>
    <xf numFmtId="9" fontId="5" fillId="3" borderId="0" pivotButton="0" quotePrefix="0" xfId="0"/>
    <xf numFmtId="0" fontId="46" fillId="0" borderId="0" pivotButton="0" quotePrefix="0" xfId="0"/>
    <xf numFmtId="0" fontId="9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5" fillId="3" borderId="0" pivotButton="0" quotePrefix="0" xfId="0"/>
    <xf numFmtId="3" fontId="5" fillId="3" borderId="0" pivotButton="0" quotePrefix="0" xfId="0"/>
    <xf numFmtId="0" fontId="7" fillId="0" borderId="0" pivotButton="0" quotePrefix="0" xfId="0"/>
    <xf numFmtId="2" fontId="5" fillId="3" borderId="24" pivotButton="0" quotePrefix="0" xfId="0"/>
    <xf numFmtId="167" fontId="5" fillId="3" borderId="24" pivotButton="0" quotePrefix="0" xfId="0"/>
    <xf numFmtId="1" fontId="5" fillId="3" borderId="0" pivotButton="0" quotePrefix="0" xfId="0"/>
    <xf numFmtId="0" fontId="22" fillId="0" borderId="0" pivotButton="0" quotePrefix="0" xfId="0"/>
    <xf numFmtId="167" fontId="5" fillId="3" borderId="0" pivotButton="0" quotePrefix="0" xfId="0"/>
    <xf numFmtId="2" fontId="2" fillId="0" borderId="0" pivotButton="0" quotePrefix="0" xfId="0"/>
    <xf numFmtId="3" fontId="2" fillId="0" borderId="0" pivotButton="0" quotePrefix="0" xfId="0"/>
    <xf numFmtId="166" fontId="2" fillId="0" borderId="0" pivotButton="0" quotePrefix="0" xfId="0"/>
    <xf numFmtId="3" fontId="2" fillId="8" borderId="0" pivotButton="0" quotePrefix="0" xfId="0"/>
    <xf numFmtId="166" fontId="2" fillId="8" borderId="0" pivotButton="0" quotePrefix="0" xfId="0"/>
    <xf numFmtId="167" fontId="2" fillId="0" borderId="0" pivotButton="0" quotePrefix="0" xfId="0"/>
    <xf numFmtId="0" fontId="6" fillId="0" borderId="0" pivotButton="0" quotePrefix="0" xfId="0"/>
    <xf numFmtId="9" fontId="2" fillId="0" borderId="0" pivotButton="0" quotePrefix="0" xfId="0"/>
    <xf numFmtId="1" fontId="2" fillId="0" borderId="0" pivotButton="0" quotePrefix="0" xfId="0"/>
    <xf numFmtId="168" fontId="2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3" fontId="0" fillId="0" borderId="0" pivotButton="0" quotePrefix="0" xfId="0"/>
    <xf numFmtId="182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89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dxfs count="30">
    <dxf>
      <font>
        <name val="Arial Narrow"/>
        <b val="1"/>
        <color rgb="002F8F4E"/>
        <sz val="22"/>
      </font>
    </dxf>
    <dxf>
      <font>
        <name val="Arial Narrow"/>
        <b val="1"/>
        <color rgb="00B7791F"/>
        <sz val="22"/>
      </font>
    </dxf>
    <dxf>
      <font>
        <name val="Arial Narrow"/>
        <b val="1"/>
        <color rgb="00C24130"/>
        <sz val="22"/>
      </font>
    </dxf>
    <dxf>
      <font>
        <name val="Arial"/>
        <b val="1"/>
        <color rgb="002F8F4E"/>
        <sz val="8.5"/>
      </font>
      <fill>
        <patternFill patternType="solid">
          <fgColor rgb="00DDF0E3"/>
          <bgColor rgb="00DDF0E3"/>
        </patternFill>
      </fill>
    </dxf>
    <dxf>
      <font>
        <name val="Arial"/>
        <b val="1"/>
        <color rgb="00B7791F"/>
        <sz val="8.5"/>
      </font>
      <fill>
        <patternFill patternType="solid">
          <fgColor rgb="00F8ECD5"/>
          <bgColor rgb="00F8ECD5"/>
        </patternFill>
      </fill>
    </dxf>
    <dxf>
      <font>
        <name val="Arial"/>
        <b val="1"/>
        <color rgb="00C24130"/>
        <sz val="8.5"/>
      </font>
      <fill>
        <patternFill patternType="solid">
          <fgColor rgb="00F7DEDA"/>
          <bgColor rgb="00F7DEDA"/>
        </patternFill>
      </fill>
    </dxf>
    <dxf>
      <fill>
        <patternFill patternType="solid">
          <fgColor rgb="00F6E3C6"/>
          <bgColor rgb="00F6E3C6"/>
        </patternFill>
      </fill>
    </dxf>
    <dxf>
      <font>
        <name val="Arial"/>
        <b val="1"/>
        <color rgb="00C24130"/>
        <sz val="9.5"/>
      </font>
    </dxf>
    <dxf>
      <font>
        <name val="Arial"/>
        <b val="1"/>
        <color rgb="00B7791F"/>
        <sz val="9.5"/>
      </font>
      <fill>
        <patternFill patternType="solid">
          <fgColor rgb="00F8ECD5"/>
          <bgColor rgb="00F8ECD5"/>
        </patternFill>
      </fill>
    </dxf>
    <dxf>
      <fill>
        <patternFill patternType="solid">
          <fgColor rgb="00EEF1F0"/>
          <bgColor rgb="00EEF1F0"/>
        </patternFill>
      </fill>
    </dxf>
    <dxf>
      <font>
        <name val="Arial"/>
        <b val="1"/>
        <color rgb="001E5E33"/>
        <sz val="8.5"/>
      </font>
      <fill>
        <patternFill patternType="solid">
          <fgColor rgb="00BFE3C9"/>
          <bgColor rgb="00BFE3C9"/>
        </patternFill>
      </fill>
    </dxf>
    <dxf>
      <font>
        <name val="Arial"/>
        <b val="1"/>
        <color rgb="007A5212"/>
        <sz val="8.5"/>
      </font>
      <fill>
        <patternFill patternType="solid">
          <fgColor rgb="00F6E1B8"/>
          <bgColor rgb="00F6E1B8"/>
        </patternFill>
      </fill>
    </dxf>
    <dxf>
      <font>
        <name val="Arial"/>
        <b val="1"/>
        <color rgb="008A2A1E"/>
        <sz val="8.5"/>
      </font>
      <fill>
        <patternFill patternType="solid">
          <fgColor rgb="00F2C4BC"/>
          <bgColor rgb="00F2C4BC"/>
        </patternFill>
      </fill>
    </dxf>
    <dxf>
      <font>
        <name val="Arial"/>
        <color rgb="002E3B4E"/>
        <sz val="8.5"/>
      </font>
      <fill>
        <patternFill patternType="solid">
          <fgColor rgb="00DCE6F0"/>
          <bgColor rgb="00DCE6F0"/>
        </patternFill>
      </fill>
    </dxf>
    <dxf>
      <font>
        <name val="Arial"/>
        <color rgb="00EEF1F0"/>
        <sz val="8"/>
      </font>
    </dxf>
    <dxf>
      <font>
        <name val="Arial"/>
        <b val="1"/>
        <color rgb="002F8F4E"/>
        <sz val="9.5"/>
      </font>
    </dxf>
    <dxf>
      <font>
        <name val="Arial"/>
        <b val="1"/>
        <color rgb="00C24130"/>
        <sz val="8.5"/>
      </font>
    </dxf>
    <dxf>
      <font>
        <name val="Arial"/>
        <color rgb="00B8C2BF"/>
        <sz val="9.5"/>
      </font>
      <fill>
        <patternFill patternType="solid">
          <fgColor rgb="00EEF1F0"/>
          <bgColor rgb="00EEF1F0"/>
        </patternFill>
      </fill>
    </dxf>
    <dxf>
      <font>
        <name val="Arial"/>
        <b val="1"/>
        <color rgb="001E5E33"/>
        <sz val="9.5"/>
      </font>
      <fill>
        <patternFill patternType="solid">
          <fgColor rgb="00BFE3C9"/>
          <bgColor rgb="00BFE3C9"/>
        </patternFill>
      </fill>
    </dxf>
    <dxf>
      <font>
        <name val="Arial"/>
        <b val="1"/>
        <color rgb="007A5212"/>
        <sz val="9.5"/>
      </font>
      <fill>
        <patternFill patternType="solid">
          <fgColor rgb="00F6E1B8"/>
          <bgColor rgb="00F6E1B8"/>
        </patternFill>
      </fill>
    </dxf>
    <dxf>
      <font>
        <name val="Arial"/>
        <b val="1"/>
        <color rgb="008A2A1E"/>
        <sz val="9.5"/>
      </font>
      <fill>
        <patternFill patternType="solid">
          <fgColor rgb="00F2C4BC"/>
          <bgColor rgb="00F2C4BC"/>
        </patternFill>
      </fill>
    </dxf>
    <dxf>
      <font>
        <name val="Arial"/>
        <color rgb="002E3B4E"/>
        <sz val="9.5"/>
      </font>
      <fill>
        <patternFill patternType="solid">
          <fgColor rgb="00DCE6F0"/>
          <bgColor rgb="00DCE6F0"/>
        </patternFill>
      </fill>
    </dxf>
    <dxf>
      <font>
        <name val="Arial"/>
        <color rgb="00AAB4B1"/>
        <sz val="9.5"/>
      </font>
    </dxf>
    <dxf>
      <font>
        <name val="Arial Narrow"/>
        <b val="1"/>
        <color rgb="002E3B4E"/>
        <sz val="22"/>
      </font>
    </dxf>
    <dxf>
      <font>
        <name val="Arial"/>
        <b val="1"/>
        <color rgb="002E3B4E"/>
        <sz val="9.5"/>
      </font>
      <fill>
        <patternFill patternType="solid">
          <fgColor rgb="00CFDAEA"/>
          <bgColor rgb="00CFDAEA"/>
        </patternFill>
      </fill>
    </dxf>
    <dxf>
      <font>
        <name val="Arial"/>
        <b val="1"/>
        <color rgb="002E3B4E"/>
        <sz val="9.5"/>
      </font>
      <fill>
        <patternFill patternType="solid">
          <fgColor rgb="00DCE6F0"/>
          <bgColor rgb="00DCE6F0"/>
        </patternFill>
      </fill>
    </dxf>
    <dxf>
      <font>
        <name val="Arial"/>
        <b val="1"/>
        <color rgb="002F8F4E"/>
        <sz val="9.5"/>
      </font>
      <fill>
        <patternFill patternType="solid">
          <fgColor rgb="00DDF0E3"/>
          <bgColor rgb="00DDF0E3"/>
        </patternFill>
      </fill>
    </dxf>
    <dxf>
      <font>
        <name val="Arial"/>
        <b val="1"/>
        <color rgb="00C24130"/>
        <sz val="9.5"/>
      </font>
      <fill>
        <patternFill patternType="solid">
          <fgColor rgb="00F7DEDA"/>
          <bgColor rgb="00F7DEDA"/>
        </patternFill>
      </fill>
    </dxf>
    <dxf>
      <font>
        <name val="Arial"/>
        <b val="1"/>
        <color rgb="00C24130"/>
        <sz val="10"/>
      </font>
      <fill>
        <patternFill patternType="solid">
          <fgColor rgb="00F7DEDA"/>
          <bgColor rgb="00F7DEDA"/>
        </patternFill>
      </fill>
    </dxf>
    <dxf>
      <font>
        <name val="Arial"/>
        <color rgb="002F8F4E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'Kalkulasi'!E80</f>
            </strRef>
          </tx>
          <spPr>
            <a:solidFill xmlns:a="http://schemas.openxmlformats.org/drawingml/2006/main">
              <a:srgbClr val="2E3B4E"/>
            </a:solidFill>
            <a:ln xmlns:a="http://schemas.openxmlformats.org/drawingml/2006/main">
              <a:solidFill>
                <a:srgbClr val="2E3B4E"/>
              </a:solidFill>
              <a:prstDash val="solid"/>
            </a:ln>
          </spPr>
          <cat>
            <numRef>
              <f>'Kalkulasi'!$C$81:$C$111</f>
            </numRef>
          </cat>
          <val>
            <numRef>
              <f>'Kalkulasi'!$E$81:$E$111</f>
            </numRef>
          </val>
        </ser>
        <gapWidth val="45"/>
        <axId val="10"/>
        <axId val="100"/>
      </barChart>
      <lineChart>
        <grouping val="standard"/>
        <ser>
          <idx val="1"/>
          <order val="1"/>
          <tx>
            <strRef>
              <f>'Kalkulasi'!D80</f>
            </strRef>
          </tx>
          <spPr>
            <a:ln xmlns:a="http://schemas.openxmlformats.org/drawingml/2006/main" w="22000">
              <a:solidFill>
                <a:srgbClr val="D98A1E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'Kalkulasi'!$C$81:$C$111</f>
            </numRef>
          </cat>
          <val>
            <numRef>
              <f>'Kalkulasi'!$D$81:$D$111</f>
            </numRef>
          </val>
          <smooth val="0"/>
        </ser>
        <axId val="10"/>
        <axId val="100"/>
      </lineChart>
      <lineChart>
        <grouping val="standard"/>
        <ser>
          <idx val="2"/>
          <order val="2"/>
          <tx>
            <strRef>
              <f>'Kalkulasi'!H80</f>
            </strRef>
          </tx>
          <spPr>
            <a:ln xmlns:a="http://schemas.openxmlformats.org/drawingml/2006/main" w="22000">
              <a:solidFill>
                <a:srgbClr val="1F6F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'Kalkulasi'!$C$81:$C$111</f>
            </numRef>
          </cat>
          <val>
            <numRef>
              <f>'Kalkulasi'!$H$81:$H$111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CE2E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7F8C88"/>
                </a:solidFill>
              </a:defRPr>
            </a:pPr>
            <a:r>
              <a:t/>
            </a:r>
            <a:endParaRPr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6EAE8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solidFill>
              <a:srgbClr val="DCE2E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7F8C88"/>
                </a:solidFill>
              </a:defRPr>
            </a:pPr>
            <a:r>
              <a:t/>
            </a:r>
            <a:endParaRPr/>
          </a:p>
        </txPr>
        <crossAx val="10"/>
      </valAx>
      <valAx>
        <axId val="200"/>
        <scaling>
          <orientation val="minMax"/>
          <max val="150"/>
          <min val="0"/>
        </scaling>
        <delete val="0"/>
        <axPos val="l"/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7F8C88"/>
                </a:solidFill>
              </a:defRPr>
            </a:pPr>
            <a:r>
              <a:t/>
            </a:r>
            <a:endParaRPr/>
          </a:p>
        </txPr>
        <crossAx val="10"/>
        <crosses val="max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850">
              <a:solidFill>
                <a:srgbClr val="51605C"/>
              </a:solidFill>
            </a:defRPr>
          </a:pPr>
          <a:r>
            <a:t/>
          </a:r>
          <a:endParaRPr/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3B4E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D98A1E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1F6F6B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B7791F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C24130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7F8C88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cat>
            <numRef>
              <f>'Kalkulasi'!$A$240:$A$245</f>
            </numRef>
          </cat>
          <val>
            <numRef>
              <f>'Kalkulasi'!$B$240:$B$245</f>
            </numRef>
          </val>
        </ser>
        <firstSliceAng val="0"/>
        <holeSize val="62"/>
      </doughnutChart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'Kalkulasi'!G80</f>
            </strRef>
          </tx>
          <spPr>
            <a:solidFill xmlns:a="http://schemas.openxmlformats.org/drawingml/2006/main">
              <a:srgbClr val="D98A1E"/>
            </a:solidFill>
            <a:ln xmlns:a="http://schemas.openxmlformats.org/drawingml/2006/main">
              <a:solidFill>
                <a:srgbClr val="D98A1E"/>
              </a:solidFill>
              <a:prstDash val="solid"/>
            </a:ln>
          </spPr>
          <cat>
            <numRef>
              <f>'Kalkulasi'!$C$81:$C$111</f>
            </numRef>
          </cat>
          <val>
            <numRef>
              <f>'Kalkulasi'!$G$81:$G$111</f>
            </numRef>
          </val>
        </ser>
        <gapWidth val="45"/>
        <axId val="10"/>
        <axId val="100"/>
      </barChart>
      <lineChart>
        <grouping val="standard"/>
        <ser>
          <idx val="1"/>
          <order val="1"/>
          <tx>
            <strRef>
              <f>'Kalkulasi'!F80</f>
            </strRef>
          </tx>
          <spPr>
            <a:ln xmlns:a="http://schemas.openxmlformats.org/drawingml/2006/main" w="22000">
              <a:solidFill>
                <a:srgbClr val="17211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'Kalkulasi'!$C$81:$C$111</f>
            </numRef>
          </cat>
          <val>
            <numRef>
              <f>'Kalkulasi'!$F$81:$F$111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CE2E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7F8C88"/>
                </a:solidFill>
              </a:defRPr>
            </a:pPr>
            <a:r>
              <a:t/>
            </a:r>
            <a:endParaRPr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6EAE8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solidFill>
              <a:srgbClr val="DCE2E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7F8C88"/>
                </a:solidFill>
              </a:defRPr>
            </a:pPr>
            <a:r>
              <a:t/>
            </a:r>
            <a:endParaRPr/>
          </a:p>
        </txPr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850">
              <a:solidFill>
                <a:srgbClr val="51605C"/>
              </a:solidFill>
            </a:defRPr>
          </a:pPr>
          <a:r>
            <a:t/>
          </a:r>
          <a:endParaRPr/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2E3B4E"/>
            </a:solidFill>
            <a:ln xmlns:a="http://schemas.openxmlformats.org/drawingml/2006/main">
              <a:solidFill>
                <a:srgbClr val="2E3B4E"/>
              </a:solidFill>
              <a:prstDash val="solid"/>
            </a:ln>
          </spPr>
          <cat>
            <numRef>
              <f>'Digger'!$D$15:$D$25</f>
            </numRef>
          </cat>
          <val>
            <numRef>
              <f>'Digger'!$I$15:$I$25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CE2E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7F8C88"/>
                </a:solidFill>
              </a:defRPr>
            </a:pPr>
            <a:r>
              <a:t/>
            </a:r>
            <a:endParaRPr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6EAE8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solidFill>
              <a:srgbClr val="DCE2E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7F8C88"/>
                </a:solidFill>
              </a:defRPr>
            </a:pPr>
            <a:r>
              <a:t/>
            </a:r>
            <a:endParaRPr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5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'Kalkulasi'!D114</f>
            </strRef>
          </tx>
          <spPr>
            <a:solidFill xmlns:a="http://schemas.openxmlformats.org/drawingml/2006/main">
              <a:srgbClr val="2E3B4E"/>
            </a:solidFill>
            <a:ln xmlns:a="http://schemas.openxmlformats.org/drawingml/2006/main">
              <a:solidFill>
                <a:srgbClr val="2E3B4E"/>
              </a:solidFill>
              <a:prstDash val="solid"/>
            </a:ln>
          </spPr>
          <cat>
            <numRef>
              <f>'Kalkulasi'!$C$115:$C$145</f>
            </numRef>
          </cat>
          <val>
            <numRef>
              <f>'Kalkulasi'!$D$115:$D$145</f>
            </numRef>
          </val>
        </ser>
        <gapWidth val="45"/>
        <axId val="10"/>
        <axId val="100"/>
      </barChart>
      <lineChart>
        <grouping val="standard"/>
        <ser>
          <idx val="1"/>
          <order val="1"/>
          <tx>
            <strRef>
              <f>'Kalkulasi'!F114</f>
            </strRef>
          </tx>
          <spPr>
            <a:ln xmlns:a="http://schemas.openxmlformats.org/drawingml/2006/main" w="22000">
              <a:solidFill>
                <a:srgbClr val="D98A1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'Kalkulasi'!$C$115:$C$145</f>
            </numRef>
          </cat>
          <val>
            <numRef>
              <f>'Kalkulasi'!$F$115:$F$145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CE2E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7F8C88"/>
                </a:solidFill>
              </a:defRPr>
            </a:pPr>
            <a:r>
              <a:t/>
            </a:r>
            <a:endParaRPr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6EAE8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solidFill>
              <a:srgbClr val="DCE2E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7F8C88"/>
                </a:solidFill>
              </a:defRPr>
            </a:pPr>
            <a:r>
              <a:t/>
            </a:r>
            <a:endParaRPr/>
          </a:p>
        </txPr>
        <crossAx val="10"/>
      </valAx>
      <valAx>
        <axId val="200"/>
        <scaling>
          <orientation val="minMax"/>
          <min val="0"/>
        </scaling>
        <delete val="0"/>
        <axPos val="l"/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7F8C88"/>
                </a:solidFill>
              </a:defRPr>
            </a:pPr>
            <a:r>
              <a:t/>
            </a:r>
            <a:endParaRPr/>
          </a:p>
        </txPr>
        <crossAx val="10"/>
        <crosses val="max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850">
              <a:solidFill>
                <a:srgbClr val="51605C"/>
              </a:solidFill>
            </a:defRPr>
          </a:pPr>
          <a:r>
            <a:t/>
          </a:r>
          <a:endParaRPr/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6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'Kalkulasi'!E249</f>
            </strRef>
          </tx>
          <spPr>
            <a:solidFill xmlns:a="http://schemas.openxmlformats.org/drawingml/2006/main">
              <a:srgbClr val="2E3B4E"/>
            </a:solidFill>
            <a:ln xmlns:a="http://schemas.openxmlformats.org/drawingml/2006/main">
              <a:solidFill>
                <a:srgbClr val="2E3B4E"/>
              </a:solidFill>
              <a:prstDash val="solid"/>
            </a:ln>
          </spPr>
          <cat>
            <numRef>
              <f>'Kalkulasi'!$A$250:$A$257</f>
            </numRef>
          </cat>
          <val>
            <numRef>
              <f>'Kalkulasi'!$E$250:$E$257</f>
            </numRef>
          </val>
        </ser>
        <ser>
          <idx val="1"/>
          <order val="1"/>
          <tx>
            <strRef>
              <f>'Kalkulasi'!F249</f>
            </strRef>
          </tx>
          <spPr>
            <a:solidFill xmlns:a="http://schemas.openxmlformats.org/drawingml/2006/main">
              <a:srgbClr val="1F6F6B"/>
            </a:solidFill>
            <a:ln xmlns:a="http://schemas.openxmlformats.org/drawingml/2006/main">
              <a:solidFill>
                <a:srgbClr val="1F6F6B"/>
              </a:solidFill>
              <a:prstDash val="solid"/>
            </a:ln>
          </spPr>
          <cat>
            <numRef>
              <f>'Kalkulasi'!$A$250:$A$257</f>
            </numRef>
          </cat>
          <val>
            <numRef>
              <f>'Kalkulasi'!$F$250:$F$257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CE2E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7F8C88"/>
                </a:solidFill>
              </a:defRPr>
            </a:pPr>
            <a:r>
              <a:t/>
            </a:r>
            <a:endParaRPr/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E6EAE8"/>
              </a:solidFill>
              <a:prstDash val="solid"/>
            </a:ln>
          </spPr>
        </majorGridlines>
        <numFmt formatCode="0&quot;%&quot;" sourceLinked="0"/>
        <majorTickMark val="none"/>
        <minorTickMark val="none"/>
        <spPr>
          <a:ln xmlns:a="http://schemas.openxmlformats.org/drawingml/2006/main">
            <a:solidFill>
              <a:srgbClr val="DCE2E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7F8C88"/>
                </a:solidFill>
              </a:defRPr>
            </a:pPr>
            <a:r>
              <a:t/>
            </a:r>
            <a:endParaRPr/>
          </a:p>
        </txPr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850">
              <a:solidFill>
                <a:srgbClr val="51605C"/>
              </a:solidFill>
            </a:defRPr>
          </a:pPr>
          <a:r>
            <a:t/>
          </a:r>
          <a:endParaRPr/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7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C24130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B7791F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cat>
            <numRef>
              <f>'Kalkulasi'!$A$285:$A$286</f>
            </numRef>
          </cat>
          <val>
            <numRef>
              <f>'Kalkulasi'!$B$285:$B$286</f>
            </numRef>
          </val>
        </ser>
        <firstSliceAng val="0"/>
        <holeSize val="62"/>
      </doughnutChart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8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'Kalkulasi'!G148</f>
            </strRef>
          </tx>
          <spPr>
            <a:ln xmlns:a="http://schemas.openxmlformats.org/drawingml/2006/main" w="22000">
              <a:solidFill>
                <a:srgbClr val="2E3B4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'Kalkulasi'!$C$149:$C$179</f>
            </numRef>
          </cat>
          <val>
            <numRef>
              <f>'Kalkulasi'!$G$149:$G$179</f>
            </numRef>
          </val>
          <smooth val="0"/>
        </ser>
        <ser>
          <idx val="1"/>
          <order val="1"/>
          <tx>
            <strRef>
              <f>'Kalkulasi'!H148</f>
            </strRef>
          </tx>
          <spPr>
            <a:ln xmlns:a="http://schemas.openxmlformats.org/drawingml/2006/main" w="22000">
              <a:solidFill>
                <a:srgbClr val="1F6F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'Kalkulasi'!$C$149:$C$179</f>
            </numRef>
          </cat>
          <val>
            <numRef>
              <f>'Kalkulasi'!$H$149:$H$179</f>
            </numRef>
          </val>
          <smooth val="0"/>
        </ser>
        <ser>
          <idx val="2"/>
          <order val="2"/>
          <tx>
            <strRef>
              <f>'Kalkulasi'!I148</f>
            </strRef>
          </tx>
          <spPr>
            <a:ln xmlns:a="http://schemas.openxmlformats.org/drawingml/2006/main" w="22000">
              <a:solidFill>
                <a:srgbClr val="7F8C88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'Kalkulasi'!$C$149:$C$179</f>
            </numRef>
          </cat>
          <val>
            <numRef>
              <f>'Kalkulasi'!$I$149:$I$179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CE2E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7F8C88"/>
                </a:solidFill>
              </a:defRPr>
            </a:pPr>
            <a:r>
              <a:t/>
            </a:r>
            <a:endParaRPr/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E6EAE8"/>
              </a:solidFill>
              <a:prstDash val="solid"/>
            </a:ln>
          </spPr>
        </majorGridlines>
        <numFmt formatCode="0&quot;%&quot;" sourceLinked="0"/>
        <majorTickMark val="none"/>
        <minorTickMark val="none"/>
        <spPr>
          <a:ln xmlns:a="http://schemas.openxmlformats.org/drawingml/2006/main">
            <a:solidFill>
              <a:srgbClr val="DCE2E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7F8C88"/>
                </a:solidFill>
              </a:defRPr>
            </a:pPr>
            <a:r>
              <a:t/>
            </a:r>
            <a:endParaRPr/>
          </a:p>
        </txPr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850">
              <a:solidFill>
                <a:srgbClr val="51605C"/>
              </a:solidFill>
            </a:defRPr>
          </a:pPr>
          <a:r>
            <a:t/>
          </a:r>
          <a:endParaRPr/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9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'Kalkulasi'!F261</f>
            </strRef>
          </tx>
          <spPr>
            <a:solidFill xmlns:a="http://schemas.openxmlformats.org/drawingml/2006/main">
              <a:srgbClr val="D98A1E"/>
            </a:solidFill>
            <a:ln xmlns:a="http://schemas.openxmlformats.org/drawingml/2006/main">
              <a:solidFill>
                <a:srgbClr val="D98A1E"/>
              </a:solidFill>
              <a:prstDash val="solid"/>
            </a:ln>
          </spPr>
          <cat>
            <numRef>
              <f>'Kalkulasi'!$E$262:$E$271</f>
            </numRef>
          </cat>
          <val>
            <numRef>
              <f>'Kalkulasi'!$F$262:$F$271</f>
            </numRef>
          </val>
        </ser>
        <gapWidth val="30"/>
        <axId val="10"/>
        <axId val="100"/>
      </barChart>
      <lineChart>
        <grouping val="standard"/>
        <ser>
          <idx val="1"/>
          <order val="1"/>
          <tx>
            <strRef>
              <f>'Kalkulasi'!G261</f>
            </strRef>
          </tx>
          <spPr>
            <a:ln xmlns:a="http://schemas.openxmlformats.org/drawingml/2006/main" w="22000">
              <a:solidFill>
                <a:srgbClr val="2E3B4E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2E3B4E"/>
              </a:solidFill>
              <a:ln xmlns:a="http://schemas.openxmlformats.org/drawingml/2006/main">
                <a:prstDash val="solid"/>
              </a:ln>
            </spPr>
          </marker>
          <val>
            <numRef>
              <f>'Kalkulasi'!$G$262:$G$271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CE2E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7F8C88"/>
                </a:solidFill>
              </a:defRPr>
            </a:pPr>
            <a:r>
              <a:t/>
            </a:r>
            <a:endParaRPr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6EAE8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solidFill>
              <a:srgbClr val="DCE2E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7F8C88"/>
                </a:solidFill>
              </a:defRPr>
            </a:pPr>
            <a:r>
              <a:t/>
            </a:r>
            <a:endParaRPr/>
          </a:p>
        </txPr>
        <crossAx val="10"/>
      </valAx>
      <valAx>
        <axId val="200"/>
        <scaling>
          <orientation val="minMax"/>
          <max val="100"/>
          <min val="0"/>
        </scaling>
        <delete val="0"/>
        <axPos val="l"/>
        <numFmt formatCode="0&quot;%&quot;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7F8C88"/>
                </a:solidFill>
              </a:defRPr>
            </a:pPr>
            <a:r>
              <a:t/>
            </a:r>
            <a:endParaRPr/>
          </a:p>
        </txPr>
        <crossAx val="10"/>
        <crosses val="max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850">
              <a:solidFill>
                <a:srgbClr val="51605C"/>
              </a:solidFill>
            </a:defRPr>
          </a:pPr>
          <a:r>
            <a:t/>
          </a:r>
          <a:endParaRPr/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0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'Kalkulasi'!D182</f>
            </strRef>
          </tx>
          <spPr>
            <a:solidFill xmlns:a="http://schemas.openxmlformats.org/drawingml/2006/main">
              <a:srgbClr val="1F6F6B"/>
            </a:solidFill>
            <a:ln xmlns:a="http://schemas.openxmlformats.org/drawingml/2006/main">
              <a:solidFill>
                <a:srgbClr val="1F6F6B"/>
              </a:solidFill>
              <a:prstDash val="solid"/>
            </a:ln>
          </spPr>
          <cat>
            <numRef>
              <f>'Kalkulasi'!$C$183:$C$213</f>
            </numRef>
          </cat>
          <val>
            <numRef>
              <f>'Kalkulasi'!$D$183:$D$213</f>
            </numRef>
          </val>
        </ser>
        <gapWidth val="45"/>
        <axId val="10"/>
        <axId val="100"/>
      </barChart>
      <lineChart>
        <grouping val="standard"/>
        <ser>
          <idx val="1"/>
          <order val="1"/>
          <tx>
            <strRef>
              <f>'Kalkulasi'!E182</f>
            </strRef>
          </tx>
          <spPr>
            <a:ln xmlns:a="http://schemas.openxmlformats.org/drawingml/2006/main" w="22000">
              <a:solidFill>
                <a:srgbClr val="2E3B4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'Kalkulasi'!$C$183:$C$213</f>
            </numRef>
          </cat>
          <val>
            <numRef>
              <f>'Kalkulasi'!$E$183:$E$213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CE2E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7F8C88"/>
                </a:solidFill>
              </a:defRPr>
            </a:pPr>
            <a:r>
              <a:t/>
            </a:r>
            <a:endParaRPr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6EAE8"/>
              </a:solidFill>
              <a:prstDash val="solid"/>
            </a:ln>
          </spPr>
        </majorGridlines>
        <numFmt formatCode="0.0" sourceLinked="0"/>
        <majorTickMark val="none"/>
        <minorTickMark val="none"/>
        <spPr>
          <a:ln xmlns:a="http://schemas.openxmlformats.org/drawingml/2006/main">
            <a:solidFill>
              <a:srgbClr val="DCE2E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7F8C88"/>
                </a:solidFill>
              </a:defRPr>
            </a:pPr>
            <a:r>
              <a:t/>
            </a:r>
            <a:endParaRPr/>
          </a:p>
        </txPr>
        <crossAx val="10"/>
      </valAx>
      <valAx>
        <axId val="200"/>
        <scaling>
          <orientation val="minMax"/>
          <min val="0"/>
        </scaling>
        <delete val="0"/>
        <axPos val="l"/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7F8C88"/>
                </a:solidFill>
              </a:defRPr>
            </a:pPr>
            <a:r>
              <a:t/>
            </a:r>
            <a:endParaRPr/>
          </a:p>
        </txPr>
        <crossAx val="10"/>
        <crosses val="max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850">
              <a:solidFill>
                <a:srgbClr val="51605C"/>
              </a:solidFill>
            </a:defRPr>
          </a:pPr>
          <a:r>
            <a:t/>
          </a:r>
          <a:endParaRPr/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'Kalkulasi'!H310</f>
            </strRef>
          </tx>
          <spPr>
            <a:ln xmlns:a="http://schemas.openxmlformats.org/drawingml/2006/main" w="22000">
              <a:solidFill>
                <a:srgbClr val="2E3B4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'Kalkulasi'!$C$311:$C$341</f>
            </numRef>
          </cat>
          <val>
            <numRef>
              <f>'Kalkulasi'!$H$311:$H$341</f>
            </numRef>
          </val>
          <smooth val="0"/>
        </ser>
        <ser>
          <idx val="1"/>
          <order val="1"/>
          <tx>
            <strRef>
              <f>'Kalkulasi'!I310</f>
            </strRef>
          </tx>
          <spPr>
            <a:ln xmlns:a="http://schemas.openxmlformats.org/drawingml/2006/main" w="22000">
              <a:solidFill>
                <a:srgbClr val="2E3B4E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'Kalkulasi'!$C$311:$C$341</f>
            </numRef>
          </cat>
          <val>
            <numRef>
              <f>'Kalkulasi'!$I$311:$I$341</f>
            </numRef>
          </val>
          <smooth val="0"/>
        </ser>
        <ser>
          <idx val="2"/>
          <order val="2"/>
          <tx>
            <strRef>
              <f>'Kalkulasi'!J310</f>
            </strRef>
          </tx>
          <spPr>
            <a:ln xmlns:a="http://schemas.openxmlformats.org/drawingml/2006/main" w="22000">
              <a:solidFill>
                <a:srgbClr val="D98A1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'Kalkulasi'!$C$311:$C$341</f>
            </numRef>
          </cat>
          <val>
            <numRef>
              <f>'Kalkulasi'!$J$311:$J$341</f>
            </numRef>
          </val>
          <smooth val="0"/>
        </ser>
        <ser>
          <idx val="3"/>
          <order val="3"/>
          <tx>
            <strRef>
              <f>'Kalkulasi'!K310</f>
            </strRef>
          </tx>
          <spPr>
            <a:ln xmlns:a="http://schemas.openxmlformats.org/drawingml/2006/main" w="22000">
              <a:solidFill>
                <a:srgbClr val="D98A1E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'Kalkulasi'!$C$311:$C$341</f>
            </numRef>
          </cat>
          <val>
            <numRef>
              <f>'Kalkulasi'!$K$311:$K$341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CE2E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7F8C88"/>
                </a:solidFill>
              </a:defRPr>
            </a:pPr>
            <a:r>
              <a:t/>
            </a:r>
            <a:endParaRPr/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E6EAE8"/>
              </a:solidFill>
              <a:prstDash val="solid"/>
            </a:ln>
          </spPr>
        </majorGridlines>
        <numFmt formatCode="0.0" sourceLinked="0"/>
        <majorTickMark val="none"/>
        <minorTickMark val="none"/>
        <spPr>
          <a:ln xmlns:a="http://schemas.openxmlformats.org/drawingml/2006/main">
            <a:solidFill>
              <a:srgbClr val="DCE2E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7F8C88"/>
                </a:solidFill>
              </a:defRPr>
            </a:pPr>
            <a:r>
              <a:t/>
            </a:r>
            <a:endParaRPr/>
          </a:p>
        </txPr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850">
              <a:solidFill>
                <a:srgbClr val="51605C"/>
              </a:solidFill>
            </a:defRPr>
          </a:pPr>
          <a:r>
            <a:t/>
          </a:r>
          <a:endParaRPr/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2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3B4E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D98A1E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1F6F6B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C24130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B7791F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6B7FA3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7F8C88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cat>
            <numRef>
              <f>'Kalkulasi'!$A$363:$A$369</f>
            </numRef>
          </cat>
          <val>
            <numRef>
              <f>'Kalkulasi'!$B$363:$B$369</f>
            </numRef>
          </val>
        </ser>
        <firstSliceAng val="0"/>
        <holeSize val="62"/>
      </doughnutChart>
    </plotArea>
    <plotVisOnly val="1"/>
    <dispBlanksAs val="gap"/>
  </chart>
</chartSpace>
</file>

<file path=xl/charts/chart13.xml><?xml version="1.0" encoding="utf-8"?>
<chartSpace xmlns="http://schemas.openxmlformats.org/drawingml/2006/chart">
  <chart>
    <plotArea>
      <barChart>
        <barDir val="col"/>
        <grouping val="stacked"/>
        <ser>
          <idx val="0"/>
          <order val="0"/>
          <tx>
            <strRef>
              <f>'Kalkulasi'!D310</f>
            </strRef>
          </tx>
          <spPr>
            <a:solidFill xmlns:a="http://schemas.openxmlformats.org/drawingml/2006/main">
              <a:srgbClr val="2E3B4E"/>
            </a:solidFill>
            <a:ln xmlns:a="http://schemas.openxmlformats.org/drawingml/2006/main">
              <a:solidFill>
                <a:srgbClr val="2E3B4E"/>
              </a:solidFill>
              <a:prstDash val="solid"/>
            </a:ln>
          </spPr>
          <cat>
            <numRef>
              <f>'Kalkulasi'!$C$311:$C$341</f>
            </numRef>
          </cat>
          <val>
            <numRef>
              <f>'Kalkulasi'!$D$311:$D$341</f>
            </numRef>
          </val>
        </ser>
        <ser>
          <idx val="1"/>
          <order val="1"/>
          <tx>
            <strRef>
              <f>'Kalkulasi'!E310</f>
            </strRef>
          </tx>
          <spPr>
            <a:solidFill xmlns:a="http://schemas.openxmlformats.org/drawingml/2006/main">
              <a:srgbClr val="D98A1E"/>
            </a:solidFill>
            <a:ln xmlns:a="http://schemas.openxmlformats.org/drawingml/2006/main">
              <a:solidFill>
                <a:srgbClr val="D98A1E"/>
              </a:solidFill>
              <a:prstDash val="solid"/>
            </a:ln>
          </spPr>
          <cat>
            <numRef>
              <f>'Kalkulasi'!$C$311:$C$341</f>
            </numRef>
          </cat>
          <val>
            <numRef>
              <f>'Kalkulasi'!$E$311:$E$341</f>
            </numRef>
          </val>
        </ser>
        <ser>
          <idx val="2"/>
          <order val="2"/>
          <tx>
            <strRef>
              <f>'Kalkulasi'!F310</f>
            </strRef>
          </tx>
          <spPr>
            <a:solidFill xmlns:a="http://schemas.openxmlformats.org/drawingml/2006/main">
              <a:srgbClr val="7F8C88"/>
            </a:solidFill>
            <a:ln xmlns:a="http://schemas.openxmlformats.org/drawingml/2006/main">
              <a:solidFill>
                <a:srgbClr val="7F8C88"/>
              </a:solidFill>
              <a:prstDash val="solid"/>
            </a:ln>
          </spPr>
          <cat>
            <numRef>
              <f>'Kalkulasi'!$C$311:$C$341</f>
            </numRef>
          </cat>
          <val>
            <numRef>
              <f>'Kalkulasi'!$F$311:$F$341</f>
            </numRef>
          </val>
        </ser>
        <gapWidth val="40"/>
        <overlap val="100"/>
        <axId val="10"/>
        <axId val="100"/>
      </barChart>
      <lineChart>
        <grouping val="standard"/>
        <ser>
          <idx val="3"/>
          <order val="3"/>
          <tx>
            <strRef>
              <f>'Kalkulasi'!G310</f>
            </strRef>
          </tx>
          <spPr>
            <a:ln xmlns:a="http://schemas.openxmlformats.org/drawingml/2006/main" w="22000">
              <a:solidFill>
                <a:srgbClr val="17211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'Kalkulasi'!$C$311:$C$341</f>
            </numRef>
          </cat>
          <val>
            <numRef>
              <f>'Kalkulasi'!$G$311:$G$341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CE2E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7F8C88"/>
                </a:solidFill>
              </a:defRPr>
            </a:pPr>
            <a:r>
              <a:t/>
            </a:r>
            <a:endParaRPr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6EAE8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solidFill>
              <a:srgbClr val="DCE2E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7F8C88"/>
                </a:solidFill>
              </a:defRPr>
            </a:pPr>
            <a:r>
              <a:t/>
            </a:r>
            <a:endParaRPr/>
          </a:p>
        </txPr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850">
              <a:solidFill>
                <a:srgbClr val="51605C"/>
              </a:solidFill>
            </a:defRPr>
          </a:pPr>
          <a:r>
            <a:t/>
          </a:r>
          <a:endParaRPr/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4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'Kalkulasi'!BF880</f>
            </strRef>
          </tx>
          <spPr>
            <a:ln xmlns:a="http://schemas.openxmlformats.org/drawingml/2006/main" w="22000">
              <a:solidFill>
                <a:srgbClr val="1F6F6B"/>
              </a:solidFill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cat>
            <numRef>
              <f>'Kalkulasi'!$BI$881:$BI$911</f>
            </numRef>
          </cat>
          <val>
            <numRef>
              <f>'Kalkulasi'!$BF$881:$BF$911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" sourceLinked="0"/>
        <majorTickMark val="none"/>
        <minorTickMark val="none"/>
        <spPr>
          <a:ln xmlns:a="http://schemas.openxmlformats.org/drawingml/2006/main">
            <a:solidFill>
              <a:srgbClr val="DCE2E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7F8C88"/>
                </a:solidFill>
              </a:defRPr>
            </a:pPr>
            <a:r>
              <a:t/>
            </a:r>
            <a:endParaRPr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6EAE8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solidFill>
              <a:srgbClr val="DCE2E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7F8C88"/>
                </a:solidFill>
              </a:defRPr>
            </a:pPr>
            <a:r>
              <a:t/>
            </a:r>
            <a:endParaRPr/>
          </a:p>
        </txPr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850">
              <a:solidFill>
                <a:srgbClr val="51605C"/>
              </a:solidFill>
            </a:defRPr>
          </a:pPr>
          <a:r>
            <a:t/>
          </a:r>
          <a:endParaRPr/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5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'Kalkulasi'!B958</f>
            </strRef>
          </tx>
          <spPr>
            <a:solidFill xmlns:a="http://schemas.openxmlformats.org/drawingml/2006/main">
              <a:srgbClr val="1F6F6B"/>
            </a:solidFill>
            <a:ln xmlns:a="http://schemas.openxmlformats.org/drawingml/2006/main">
              <a:solidFill>
                <a:srgbClr val="1F6F6B"/>
              </a:solidFill>
              <a:prstDash val="solid"/>
            </a:ln>
          </spPr>
          <cat>
            <numRef>
              <f>'Kalkulasi'!$A$959:$A$970</f>
            </numRef>
          </cat>
          <val>
            <numRef>
              <f>'Kalkulasi'!$B$959:$B$970</f>
            </numRef>
          </val>
        </ser>
        <ser>
          <idx val="1"/>
          <order val="1"/>
          <tx>
            <strRef>
              <f>'Kalkulasi'!C958</f>
            </strRef>
          </tx>
          <spPr>
            <a:solidFill xmlns:a="http://schemas.openxmlformats.org/drawingml/2006/main">
              <a:srgbClr val="C9D3D0"/>
            </a:solidFill>
            <a:ln xmlns:a="http://schemas.openxmlformats.org/drawingml/2006/main">
              <a:solidFill>
                <a:srgbClr val="C9D3D0"/>
              </a:solidFill>
              <a:prstDash val="solid"/>
            </a:ln>
          </spPr>
          <cat>
            <numRef>
              <f>'Kalkulasi'!$A$959:$A$970</f>
            </numRef>
          </cat>
          <val>
            <numRef>
              <f>'Kalkulasi'!$C$959:$C$970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CE2E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7F8C88"/>
                </a:solidFill>
              </a:defRPr>
            </a:pPr>
            <a:r>
              <a:t/>
            </a:r>
            <a:endParaRPr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6EAE8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solidFill>
              <a:srgbClr val="DCE2E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7F8C88"/>
                </a:solidFill>
              </a:defRPr>
            </a:pPr>
            <a:r>
              <a:t/>
            </a:r>
            <a:endParaRPr/>
          </a:p>
        </txPr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850">
              <a:solidFill>
                <a:srgbClr val="51605C"/>
              </a:solidFill>
            </a:defRPr>
          </a:pPr>
          <a:r>
            <a:t/>
          </a:r>
          <a:endParaRPr/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6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'Kalkulasi'!B685</f>
            </strRef>
          </tx>
          <spPr>
            <a:solidFill xmlns:a="http://schemas.openxmlformats.org/drawingml/2006/main">
              <a:srgbClr val="2E3B4E"/>
            </a:solidFill>
            <a:ln xmlns:a="http://schemas.openxmlformats.org/drawingml/2006/main">
              <a:solidFill>
                <a:srgbClr val="2E3B4E"/>
              </a:solidFill>
              <a:prstDash val="solid"/>
            </a:ln>
          </spPr>
          <cat>
            <numRef>
              <f>'Kalkulasi'!$A$686:$A$697</f>
            </numRef>
          </cat>
          <val>
            <numRef>
              <f>'Kalkulasi'!$B$686:$B$697</f>
            </numRef>
          </val>
        </ser>
        <gapWidth val="40"/>
        <axId val="10"/>
        <axId val="100"/>
      </barChart>
      <lineChart>
        <grouping val="standard"/>
        <ser>
          <idx val="1"/>
          <order val="1"/>
          <tx>
            <strRef>
              <f>'Kalkulasi'!C685</f>
            </strRef>
          </tx>
          <spPr>
            <a:ln xmlns:a="http://schemas.openxmlformats.org/drawingml/2006/main" w="22000">
              <a:solidFill>
                <a:srgbClr val="D98A1E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'Kalkulasi'!$A$686:$A$697</f>
            </numRef>
          </cat>
          <val>
            <numRef>
              <f>'Kalkulasi'!$C$686:$C$697</f>
            </numRef>
          </val>
          <smooth val="0"/>
        </ser>
        <axId val="10"/>
        <axId val="100"/>
      </lineChart>
      <lineChart>
        <grouping val="standard"/>
        <ser>
          <idx val="2"/>
          <order val="2"/>
          <tx>
            <strRef>
              <f>'Kalkulasi'!E685</f>
            </strRef>
          </tx>
          <spPr>
            <a:ln xmlns:a="http://schemas.openxmlformats.org/drawingml/2006/main" w="22000">
              <a:solidFill>
                <a:srgbClr val="1F6F6B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1F6F6B"/>
              </a:solidFill>
              <a:ln xmlns:a="http://schemas.openxmlformats.org/drawingml/2006/main">
                <a:solidFill>
                  <a:srgbClr val="1F6F6B"/>
                </a:solidFill>
                <a:prstDash val="solid"/>
              </a:ln>
            </spPr>
          </marker>
          <cat>
            <numRef>
              <f>'Kalkulasi'!$A$686:$A$697</f>
            </numRef>
          </cat>
          <val>
            <numRef>
              <f>'Kalkulasi'!$E$686:$E$697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CE2E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7F8C88"/>
                </a:solidFill>
              </a:defRPr>
            </a:pPr>
            <a:r>
              <a:t/>
            </a:r>
            <a:endParaRPr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6EAE8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solidFill>
              <a:srgbClr val="DCE2E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7F8C88"/>
                </a:solidFill>
              </a:defRPr>
            </a:pPr>
            <a:r>
              <a:t/>
            </a:r>
            <a:endParaRPr/>
          </a:p>
        </txPr>
        <crossAx val="10"/>
      </valAx>
      <valAx>
        <axId val="200"/>
        <scaling>
          <orientation val="minMax"/>
          <min val="0"/>
        </scaling>
        <delete val="0"/>
        <axPos val="l"/>
        <numFmt formatCode="#,##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7F8C88"/>
                </a:solidFill>
              </a:defRPr>
            </a:pPr>
            <a:r>
              <a:t/>
            </a:r>
            <a:endParaRPr/>
          </a:p>
        </txPr>
        <crossAx val="10"/>
        <crosses val="max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850">
              <a:solidFill>
                <a:srgbClr val="51605C"/>
              </a:solidFill>
            </a:defRPr>
          </a:pPr>
          <a:r>
            <a:t/>
          </a:r>
          <a:endParaRPr/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7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'Kalkulasi'!F685</f>
            </strRef>
          </tx>
          <spPr>
            <a:ln xmlns:a="http://schemas.openxmlformats.org/drawingml/2006/main" w="22000">
              <a:solidFill>
                <a:srgbClr val="2E3B4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'Kalkulasi'!$A$686:$A$697</f>
            </numRef>
          </cat>
          <val>
            <numRef>
              <f>'Kalkulasi'!$F$686:$F$697</f>
            </numRef>
          </val>
          <smooth val="0"/>
        </ser>
        <ser>
          <idx val="1"/>
          <order val="1"/>
          <tx>
            <strRef>
              <f>'Kalkulasi'!G685</f>
            </strRef>
          </tx>
          <spPr>
            <a:ln xmlns:a="http://schemas.openxmlformats.org/drawingml/2006/main" w="22000">
              <a:solidFill>
                <a:srgbClr val="D98A1E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'Kalkulasi'!$A$686:$A$697</f>
            </numRef>
          </cat>
          <val>
            <numRef>
              <f>'Kalkulasi'!$G$686:$G$697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CE2E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7F8C88"/>
                </a:solidFill>
              </a:defRPr>
            </a:pPr>
            <a:r>
              <a:t/>
            </a:r>
            <a:endParaRPr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6EAE8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solidFill>
              <a:srgbClr val="DCE2E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7F8C88"/>
                </a:solidFill>
              </a:defRPr>
            </a:pPr>
            <a:r>
              <a:t/>
            </a:r>
            <a:endParaRPr/>
          </a:p>
        </txPr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850">
              <a:solidFill>
                <a:srgbClr val="51605C"/>
              </a:solidFill>
            </a:defRPr>
          </a:pPr>
          <a:r>
            <a:t/>
          </a:r>
          <a:endParaRPr/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8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'Kalkulasi'!B737</f>
            </strRef>
          </tx>
          <spPr>
            <a:solidFill xmlns:a="http://schemas.openxmlformats.org/drawingml/2006/main">
              <a:srgbClr val="1F6F6B"/>
            </a:solidFill>
            <a:ln xmlns:a="http://schemas.openxmlformats.org/drawingml/2006/main">
              <a:solidFill>
                <a:srgbClr val="1F6F6B"/>
              </a:solidFill>
              <a:prstDash val="solid"/>
            </a:ln>
          </spPr>
          <cat>
            <numRef>
              <f>'Kalkulasi'!$A$738:$A$747</f>
            </numRef>
          </cat>
          <val>
            <numRef>
              <f>'Kalkulasi'!$B$738:$B$747</f>
            </numRef>
          </val>
        </ser>
        <ser>
          <idx val="1"/>
          <order val="1"/>
          <tx>
            <strRef>
              <f>'Kalkulasi'!C737</f>
            </strRef>
          </tx>
          <spPr>
            <a:solidFill xmlns:a="http://schemas.openxmlformats.org/drawingml/2006/main">
              <a:srgbClr val="C9D3D0"/>
            </a:solidFill>
            <a:ln xmlns:a="http://schemas.openxmlformats.org/drawingml/2006/main">
              <a:solidFill>
                <a:srgbClr val="C9D3D0"/>
              </a:solidFill>
              <a:prstDash val="solid"/>
            </a:ln>
          </spPr>
          <cat>
            <numRef>
              <f>'Kalkulasi'!$A$738:$A$747</f>
            </numRef>
          </cat>
          <val>
            <numRef>
              <f>'Kalkulasi'!$C$738:$C$747</f>
            </numRef>
          </val>
        </ser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CE2E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7F8C88"/>
                </a:solidFill>
              </a:defRPr>
            </a:pPr>
            <a:r>
              <a:t/>
            </a:r>
            <a:endParaRPr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6EAE8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solidFill>
              <a:srgbClr val="DCE2E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7F8C88"/>
                </a:solidFill>
              </a:defRPr>
            </a:pPr>
            <a:r>
              <a:t/>
            </a:r>
            <a:endParaRPr/>
          </a:p>
        </txPr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850">
              <a:solidFill>
                <a:srgbClr val="51605C"/>
              </a:solidFill>
            </a:defRPr>
          </a:pPr>
          <a:r>
            <a:t/>
          </a:r>
          <a:endParaRPr/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9.xml><?xml version="1.0" encoding="utf-8"?>
<chartSpace xmlns="http://schemas.openxmlformats.org/drawingml/2006/chart">
  <chart>
    <plotArea>
      <barChart>
        <barDir val="col"/>
        <grouping val="stacked"/>
        <ser>
          <idx val="0"/>
          <order val="0"/>
          <tx>
            <strRef>
              <f>'Kalkulasi'!B815</f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>
              <a:solidFill>
                <a:srgbClr val="5B9BD5"/>
              </a:solidFill>
              <a:prstDash val="solid"/>
            </a:ln>
          </spPr>
          <cat>
            <numRef>
              <f>'Kalkulasi'!$A$816:$A$827</f>
            </numRef>
          </cat>
          <val>
            <numRef>
              <f>'Kalkulasi'!$B$816:$B$827</f>
            </numRef>
          </val>
        </ser>
        <ser>
          <idx val="1"/>
          <order val="1"/>
          <tx>
            <strRef>
              <f>'Kalkulasi'!C815</f>
            </strRef>
          </tx>
          <spPr>
            <a:solidFill xmlns:a="http://schemas.openxmlformats.org/drawingml/2006/main">
              <a:srgbClr val="8FB9DE"/>
            </a:solidFill>
            <a:ln xmlns:a="http://schemas.openxmlformats.org/drawingml/2006/main">
              <a:solidFill>
                <a:srgbClr val="8FB9DE"/>
              </a:solidFill>
              <a:prstDash val="solid"/>
            </a:ln>
          </spPr>
          <cat>
            <numRef>
              <f>'Kalkulasi'!$A$816:$A$827</f>
            </numRef>
          </cat>
          <val>
            <numRef>
              <f>'Kalkulasi'!$C$816:$C$827</f>
            </numRef>
          </val>
        </ser>
        <ser>
          <idx val="2"/>
          <order val="2"/>
          <tx>
            <strRef>
              <f>'Kalkulasi'!D815</f>
            </strRef>
          </tx>
          <spPr>
            <a:solidFill xmlns:a="http://schemas.openxmlformats.org/drawingml/2006/main">
              <a:srgbClr val="B8C2BF"/>
            </a:solidFill>
            <a:ln xmlns:a="http://schemas.openxmlformats.org/drawingml/2006/main">
              <a:solidFill>
                <a:srgbClr val="B8C2BF"/>
              </a:solidFill>
              <a:prstDash val="solid"/>
            </a:ln>
          </spPr>
          <cat>
            <numRef>
              <f>'Kalkulasi'!$A$816:$A$827</f>
            </numRef>
          </cat>
          <val>
            <numRef>
              <f>'Kalkulasi'!$D$816:$D$827</f>
            </numRef>
          </val>
        </ser>
        <ser>
          <idx val="3"/>
          <order val="3"/>
          <tx>
            <strRef>
              <f>'Kalkulasi'!E815</f>
            </strRef>
          </tx>
          <spPr>
            <a:solidFill xmlns:a="http://schemas.openxmlformats.org/drawingml/2006/main">
              <a:srgbClr val="C9B07A"/>
            </a:solidFill>
            <a:ln xmlns:a="http://schemas.openxmlformats.org/drawingml/2006/main">
              <a:solidFill>
                <a:srgbClr val="C9B07A"/>
              </a:solidFill>
              <a:prstDash val="solid"/>
            </a:ln>
          </spPr>
          <cat>
            <numRef>
              <f>'Kalkulasi'!$A$816:$A$827</f>
            </numRef>
          </cat>
          <val>
            <numRef>
              <f>'Kalkulasi'!$E$816:$E$827</f>
            </numRef>
          </val>
        </ser>
        <ser>
          <idx val="4"/>
          <order val="4"/>
          <tx>
            <strRef>
              <f>'Kalkulasi'!F815</f>
            </strRef>
          </tx>
          <spPr>
            <a:solidFill xmlns:a="http://schemas.openxmlformats.org/drawingml/2006/main">
              <a:srgbClr val="E0A458"/>
            </a:solidFill>
            <a:ln xmlns:a="http://schemas.openxmlformats.org/drawingml/2006/main">
              <a:solidFill>
                <a:srgbClr val="E0A458"/>
              </a:solidFill>
              <a:prstDash val="solid"/>
            </a:ln>
          </spPr>
          <cat>
            <numRef>
              <f>'Kalkulasi'!$A$816:$A$827</f>
            </numRef>
          </cat>
          <val>
            <numRef>
              <f>'Kalkulasi'!$F$816:$F$827</f>
            </numRef>
          </val>
        </ser>
        <ser>
          <idx val="5"/>
          <order val="5"/>
          <tx>
            <strRef>
              <f>'Kalkulasi'!G815</f>
            </strRef>
          </tx>
          <spPr>
            <a:solidFill xmlns:a="http://schemas.openxmlformats.org/drawingml/2006/main">
              <a:srgbClr val="C24130"/>
            </a:solidFill>
            <a:ln xmlns:a="http://schemas.openxmlformats.org/drawingml/2006/main">
              <a:solidFill>
                <a:srgbClr val="C24130"/>
              </a:solidFill>
              <a:prstDash val="solid"/>
            </a:ln>
          </spPr>
          <cat>
            <numRef>
              <f>'Kalkulasi'!$A$816:$A$827</f>
            </numRef>
          </cat>
          <val>
            <numRef>
              <f>'Kalkulasi'!$G$816:$G$827</f>
            </numRef>
          </val>
        </ser>
        <ser>
          <idx val="6"/>
          <order val="6"/>
          <tx>
            <strRef>
              <f>'Kalkulasi'!H815</f>
            </strRef>
          </tx>
          <spPr>
            <a:solidFill xmlns:a="http://schemas.openxmlformats.org/drawingml/2006/main">
              <a:srgbClr val="7F8C88"/>
            </a:solidFill>
            <a:ln xmlns:a="http://schemas.openxmlformats.org/drawingml/2006/main">
              <a:solidFill>
                <a:srgbClr val="7F8C88"/>
              </a:solidFill>
              <a:prstDash val="solid"/>
            </a:ln>
          </spPr>
          <cat>
            <numRef>
              <f>'Kalkulasi'!$A$816:$A$827</f>
            </numRef>
          </cat>
          <val>
            <numRef>
              <f>'Kalkulasi'!$H$816:$H$827</f>
            </numRef>
          </val>
        </ser>
        <gapWidth val="35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CE2E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7F8C88"/>
                </a:solidFill>
              </a:defRPr>
            </a:pPr>
            <a:r>
              <a:t/>
            </a:r>
            <a:endParaRPr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6EAE8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solidFill>
              <a:srgbClr val="DCE2E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7F8C88"/>
                </a:solidFill>
              </a:defRPr>
            </a:pPr>
            <a:r>
              <a:t/>
            </a:r>
            <a:endParaRPr/>
          </a:p>
        </txPr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850">
              <a:solidFill>
                <a:srgbClr val="51605C"/>
              </a:solidFill>
            </a:defRPr>
          </a:pPr>
          <a:r>
            <a:t/>
          </a:r>
          <a:endParaRPr/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0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'Kalkulasi'!I815</f>
            </strRef>
          </tx>
          <spPr>
            <a:solidFill xmlns:a="http://schemas.openxmlformats.org/drawingml/2006/main">
              <a:srgbClr val="8FB9DE"/>
            </a:solidFill>
            <a:ln xmlns:a="http://schemas.openxmlformats.org/drawingml/2006/main">
              <a:solidFill>
                <a:srgbClr val="8FB9DE"/>
              </a:solidFill>
              <a:prstDash val="solid"/>
            </a:ln>
          </spPr>
          <cat>
            <numRef>
              <f>'Kalkulasi'!$A$816:$A$827</f>
            </numRef>
          </cat>
          <val>
            <numRef>
              <f>'Kalkulasi'!$I$816:$I$827</f>
            </numRef>
          </val>
        </ser>
        <gapWidth val="40"/>
        <axId val="10"/>
        <axId val="100"/>
      </barChart>
      <lineChart>
        <grouping val="standard"/>
        <ser>
          <idx val="1"/>
          <order val="1"/>
          <tx>
            <strRef>
              <f>'Kalkulasi'!J815</f>
            </strRef>
          </tx>
          <spPr>
            <a:ln xmlns:a="http://schemas.openxmlformats.org/drawingml/2006/main" w="22000">
              <a:solidFill>
                <a:srgbClr val="1F6F6B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'Kalkulasi'!$A$816:$A$827</f>
            </numRef>
          </cat>
          <val>
            <numRef>
              <f>'Kalkulasi'!$J$816:$J$827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CE2E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7F8C88"/>
                </a:solidFill>
              </a:defRPr>
            </a:pPr>
            <a:r>
              <a:t/>
            </a:r>
            <a:endParaRPr/>
          </a:p>
        </txPr>
        <crossAx val="100"/>
        <lblOffset val="100"/>
      </catAx>
      <valAx>
        <axId val="100"/>
        <scaling>
          <orientation val="minMax"/>
          <max val="60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E6EAE8"/>
              </a:solidFill>
              <a:prstDash val="solid"/>
            </a:ln>
          </spPr>
        </majorGridlines>
        <numFmt formatCode="0" sourceLinked="0"/>
        <majorTickMark val="none"/>
        <minorTickMark val="none"/>
        <spPr>
          <a:ln xmlns:a="http://schemas.openxmlformats.org/drawingml/2006/main">
            <a:solidFill>
              <a:srgbClr val="DCE2E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7F8C88"/>
                </a:solidFill>
              </a:defRPr>
            </a:pPr>
            <a:r>
              <a:t/>
            </a:r>
            <a:endParaRPr/>
          </a:p>
        </txPr>
        <crossAx val="10"/>
      </valAx>
      <valAx>
        <axId val="200"/>
        <scaling>
          <orientation val="minMax"/>
          <min val="0"/>
        </scaling>
        <delete val="0"/>
        <axPos val="l"/>
        <numFmt formatCode="#,##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7F8C88"/>
                </a:solidFill>
              </a:defRPr>
            </a:pPr>
            <a:r>
              <a:t/>
            </a:r>
            <a:endParaRPr/>
          </a:p>
        </txPr>
        <crossAx val="10"/>
        <crosses val="max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850">
              <a:solidFill>
                <a:srgbClr val="51605C"/>
              </a:solidFill>
            </a:defRPr>
          </a:pPr>
          <a:r>
            <a:t/>
          </a:r>
          <a:endParaRPr/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1.xml><?xml version="1.0" encoding="utf-8"?>
<chartSpace xmlns="http://schemas.openxmlformats.org/drawingml/2006/chart">
  <chart>
    <plotArea>
      <barChart>
        <barDir val="col"/>
        <grouping val="stacked"/>
        <ser>
          <idx val="0"/>
          <order val="0"/>
          <tx>
            <strRef>
              <f>'Kalkulasi'!B991</f>
            </strRef>
          </tx>
          <spPr>
            <a:solidFill xmlns:a="http://schemas.openxmlformats.org/drawingml/2006/main">
              <a:srgbClr val="D98A1E"/>
            </a:solidFill>
            <a:ln xmlns:a="http://schemas.openxmlformats.org/drawingml/2006/main">
              <a:solidFill>
                <a:srgbClr val="D98A1E"/>
              </a:solidFill>
              <a:prstDash val="solid"/>
            </a:ln>
          </spPr>
          <cat>
            <numRef>
              <f>'Kalkulasi'!$A$992:$A$1015</f>
            </numRef>
          </cat>
          <val>
            <numRef>
              <f>'Kalkulasi'!$B$992:$B$1015</f>
            </numRef>
          </val>
        </ser>
        <ser>
          <idx val="1"/>
          <order val="1"/>
          <tx>
            <strRef>
              <f>'Kalkulasi'!C991</f>
            </strRef>
          </tx>
          <spPr>
            <a:solidFill xmlns:a="http://schemas.openxmlformats.org/drawingml/2006/main">
              <a:srgbClr val="2E3B4E"/>
            </a:solidFill>
            <a:ln xmlns:a="http://schemas.openxmlformats.org/drawingml/2006/main">
              <a:solidFill>
                <a:srgbClr val="2E3B4E"/>
              </a:solidFill>
              <a:prstDash val="solid"/>
            </a:ln>
          </spPr>
          <cat>
            <numRef>
              <f>'Kalkulasi'!$A$992:$A$1015</f>
            </numRef>
          </cat>
          <val>
            <numRef>
              <f>'Kalkulasi'!$C$992:$C$1015</f>
            </numRef>
          </val>
        </ser>
        <gapWidth val="35"/>
        <overlap val="100"/>
        <axId val="10"/>
        <axId val="100"/>
      </barChart>
      <lineChart>
        <grouping val="standard"/>
        <ser>
          <idx val="2"/>
          <order val="2"/>
          <tx>
            <strRef>
              <f>'Kalkulasi'!E991</f>
            </strRef>
          </tx>
          <spPr>
            <a:ln xmlns:a="http://schemas.openxmlformats.org/drawingml/2006/main" w="22000">
              <a:solidFill>
                <a:srgbClr val="17211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'Kalkulasi'!$A$992:$A$1015</f>
            </numRef>
          </cat>
          <val>
            <numRef>
              <f>'Kalkulasi'!$E$992:$E$1015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CE2E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7F8C88"/>
                </a:solidFill>
              </a:defRPr>
            </a:pPr>
            <a:r>
              <a:t/>
            </a:r>
            <a:endParaRPr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6EAE8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solidFill>
              <a:srgbClr val="DCE2E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7F8C88"/>
                </a:solidFill>
              </a:defRPr>
            </a:pPr>
            <a:r>
              <a:t/>
            </a:r>
            <a:endParaRPr/>
          </a:p>
        </txPr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850">
              <a:solidFill>
                <a:srgbClr val="51605C"/>
              </a:solidFill>
            </a:defRPr>
          </a:pPr>
          <a:r>
            <a:t/>
          </a:r>
          <a:endParaRPr/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2.xml><?xml version="1.0" encoding="utf-8"?>
<chartSpace xmlns="http://schemas.openxmlformats.org/drawingml/2006/chart">
  <chart>
    <plotArea>
      <barChart>
        <barDir val="col"/>
        <grouping val="stacked"/>
        <ser>
          <idx val="0"/>
          <order val="0"/>
          <tx>
            <strRef>
              <f>'Kalkulasi'!F991</f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>
              <a:solidFill>
                <a:srgbClr val="5B9BD5"/>
              </a:solidFill>
              <a:prstDash val="solid"/>
            </a:ln>
          </spPr>
          <cat>
            <numRef>
              <f>'Kalkulasi'!$A$992:$A$1015</f>
            </numRef>
          </cat>
          <val>
            <numRef>
              <f>'Kalkulasi'!$F$992:$F$1015</f>
            </numRef>
          </val>
        </ser>
        <ser>
          <idx val="1"/>
          <order val="1"/>
          <tx>
            <strRef>
              <f>'Kalkulasi'!G991</f>
            </strRef>
          </tx>
          <spPr>
            <a:solidFill xmlns:a="http://schemas.openxmlformats.org/drawingml/2006/main">
              <a:srgbClr val="8FB9DE"/>
            </a:solidFill>
            <a:ln xmlns:a="http://schemas.openxmlformats.org/drawingml/2006/main">
              <a:solidFill>
                <a:srgbClr val="8FB9DE"/>
              </a:solidFill>
              <a:prstDash val="solid"/>
            </a:ln>
          </spPr>
          <cat>
            <numRef>
              <f>'Kalkulasi'!$A$992:$A$1015</f>
            </numRef>
          </cat>
          <val>
            <numRef>
              <f>'Kalkulasi'!$G$992:$G$1015</f>
            </numRef>
          </val>
        </ser>
        <ser>
          <idx val="2"/>
          <order val="2"/>
          <tx>
            <strRef>
              <f>'Kalkulasi'!H991</f>
            </strRef>
          </tx>
          <spPr>
            <a:solidFill xmlns:a="http://schemas.openxmlformats.org/drawingml/2006/main">
              <a:srgbClr val="B8C2BF"/>
            </a:solidFill>
            <a:ln xmlns:a="http://schemas.openxmlformats.org/drawingml/2006/main">
              <a:solidFill>
                <a:srgbClr val="B8C2BF"/>
              </a:solidFill>
              <a:prstDash val="solid"/>
            </a:ln>
          </spPr>
          <cat>
            <numRef>
              <f>'Kalkulasi'!$A$992:$A$1015</f>
            </numRef>
          </cat>
          <val>
            <numRef>
              <f>'Kalkulasi'!$H$992:$H$1015</f>
            </numRef>
          </val>
        </ser>
        <ser>
          <idx val="3"/>
          <order val="3"/>
          <tx>
            <strRef>
              <f>'Kalkulasi'!I991</f>
            </strRef>
          </tx>
          <spPr>
            <a:solidFill xmlns:a="http://schemas.openxmlformats.org/drawingml/2006/main">
              <a:srgbClr val="C9B07A"/>
            </a:solidFill>
            <a:ln xmlns:a="http://schemas.openxmlformats.org/drawingml/2006/main">
              <a:solidFill>
                <a:srgbClr val="C9B07A"/>
              </a:solidFill>
              <a:prstDash val="solid"/>
            </a:ln>
          </spPr>
          <cat>
            <numRef>
              <f>'Kalkulasi'!$A$992:$A$1015</f>
            </numRef>
          </cat>
          <val>
            <numRef>
              <f>'Kalkulasi'!$I$992:$I$1015</f>
            </numRef>
          </val>
        </ser>
        <ser>
          <idx val="4"/>
          <order val="4"/>
          <tx>
            <strRef>
              <f>'Kalkulasi'!J991</f>
            </strRef>
          </tx>
          <spPr>
            <a:solidFill xmlns:a="http://schemas.openxmlformats.org/drawingml/2006/main">
              <a:srgbClr val="E0A458"/>
            </a:solidFill>
            <a:ln xmlns:a="http://schemas.openxmlformats.org/drawingml/2006/main">
              <a:solidFill>
                <a:srgbClr val="E0A458"/>
              </a:solidFill>
              <a:prstDash val="solid"/>
            </a:ln>
          </spPr>
          <cat>
            <numRef>
              <f>'Kalkulasi'!$A$992:$A$1015</f>
            </numRef>
          </cat>
          <val>
            <numRef>
              <f>'Kalkulasi'!$J$992:$J$1015</f>
            </numRef>
          </val>
        </ser>
        <ser>
          <idx val="5"/>
          <order val="5"/>
          <tx>
            <strRef>
              <f>'Kalkulasi'!K991</f>
            </strRef>
          </tx>
          <spPr>
            <a:solidFill xmlns:a="http://schemas.openxmlformats.org/drawingml/2006/main">
              <a:srgbClr val="C24130"/>
            </a:solidFill>
            <a:ln xmlns:a="http://schemas.openxmlformats.org/drawingml/2006/main">
              <a:solidFill>
                <a:srgbClr val="C24130"/>
              </a:solidFill>
              <a:prstDash val="solid"/>
            </a:ln>
          </spPr>
          <cat>
            <numRef>
              <f>'Kalkulasi'!$A$992:$A$1015</f>
            </numRef>
          </cat>
          <val>
            <numRef>
              <f>'Kalkulasi'!$K$992:$K$1015</f>
            </numRef>
          </val>
        </ser>
        <ser>
          <idx val="6"/>
          <order val="6"/>
          <tx>
            <strRef>
              <f>'Kalkulasi'!L991</f>
            </strRef>
          </tx>
          <spPr>
            <a:solidFill xmlns:a="http://schemas.openxmlformats.org/drawingml/2006/main">
              <a:srgbClr val="7F8C88"/>
            </a:solidFill>
            <a:ln xmlns:a="http://schemas.openxmlformats.org/drawingml/2006/main">
              <a:solidFill>
                <a:srgbClr val="7F8C88"/>
              </a:solidFill>
              <a:prstDash val="solid"/>
            </a:ln>
          </spPr>
          <cat>
            <numRef>
              <f>'Kalkulasi'!$A$992:$A$1015</f>
            </numRef>
          </cat>
          <val>
            <numRef>
              <f>'Kalkulasi'!$L$992:$L$1015</f>
            </numRef>
          </val>
        </ser>
        <gapWidth val="35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CE2E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7F8C88"/>
                </a:solidFill>
              </a:defRPr>
            </a:pPr>
            <a:r>
              <a:t/>
            </a:r>
            <a:endParaRPr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6EAE8"/>
              </a:solidFill>
              <a:prstDash val="solid"/>
            </a:ln>
          </spPr>
        </majorGridlines>
        <numFmt formatCode="0" sourceLinked="0"/>
        <majorTickMark val="none"/>
        <minorTickMark val="none"/>
        <spPr>
          <a:ln xmlns:a="http://schemas.openxmlformats.org/drawingml/2006/main">
            <a:solidFill>
              <a:srgbClr val="DCE2E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7F8C88"/>
                </a:solidFill>
              </a:defRPr>
            </a:pPr>
            <a:r>
              <a:t/>
            </a:r>
            <a:endParaRPr/>
          </a:p>
        </txPr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850">
              <a:solidFill>
                <a:srgbClr val="51605C"/>
              </a:solidFill>
            </a:defRPr>
          </a:pPr>
          <a:r>
            <a:t/>
          </a:r>
          <a:endParaRPr/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Relationship Type="http://schemas.openxmlformats.org/officeDocument/2006/relationships/chart" Target="/xl/charts/chart8.xml" Id="rId3"/></Relationships>
</file>

<file path=xl/drawings/_rels/drawing4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1.xml" Id="rId1"/><Relationship Type="http://schemas.openxmlformats.org/officeDocument/2006/relationships/chart" Target="/xl/charts/chart12.xml" Id="rId2"/><Relationship Type="http://schemas.openxmlformats.org/officeDocument/2006/relationships/chart" Target="/xl/charts/chart13.xml" Id="rId3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4.xml" Id="rId1"/><Relationship Type="http://schemas.openxmlformats.org/officeDocument/2006/relationships/chart" Target="/xl/charts/chart15.xml" Id="rId2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6.xml" Id="rId1"/><Relationship Type="http://schemas.openxmlformats.org/officeDocument/2006/relationships/chart" Target="/xl/charts/chart17.xml" Id="rId2"/><Relationship Type="http://schemas.openxmlformats.org/officeDocument/2006/relationships/chart" Target="/xl/charts/chart18.xml" Id="rId3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9.xml" Id="rId1"/><Relationship Type="http://schemas.openxmlformats.org/officeDocument/2006/relationships/chart" Target="/xl/charts/chart20.xml" Id="rId2"/></Relationships>
</file>

<file path=xl/drawings/_rels/drawing9.xml.rels><Relationships xmlns="http://schemas.openxmlformats.org/package/2006/relationships"><Relationship Type="http://schemas.openxmlformats.org/officeDocument/2006/relationships/chart" Target="/xl/charts/chart21.xml" Id="rId1"/><Relationship Type="http://schemas.openxmlformats.org/officeDocument/2006/relationships/chart" Target="/xl/charts/chart2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13</row>
      <rowOff>0</rowOff>
    </from>
    <ext cx="7318095" cy="3371428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13</row>
      <rowOff>0</rowOff>
    </from>
    <ext cx="3592380" cy="184761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33</row>
      <rowOff>0</rowOff>
    </from>
    <ext cx="7318095" cy="3180952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14</col>
      <colOff>0</colOff>
      <row>13</row>
      <rowOff>0</rowOff>
    </from>
    <ext cx="4213333" cy="375238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35</row>
      <rowOff>0</rowOff>
    </from>
    <ext cx="11043809" cy="3180952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13</row>
      <rowOff>0</rowOff>
    </from>
    <ext cx="7318095" cy="3180952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13</row>
      <rowOff>0</rowOff>
    </from>
    <ext cx="3592380" cy="184761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32</row>
      <rowOff>0</rowOff>
    </from>
    <ext cx="7318095" cy="3180952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13</row>
      <rowOff>0</rowOff>
    </from>
    <ext cx="7318095" cy="4133333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37</row>
      <rowOff>0</rowOff>
    </from>
    <ext cx="11043809" cy="3180952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3</col>
      <colOff>0</colOff>
      <row>13</row>
      <rowOff>0</rowOff>
    </from>
    <ext cx="7318095" cy="3371428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13</row>
      <rowOff>0</rowOff>
    </from>
    <ext cx="3592380" cy="184761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33</row>
      <rowOff>0</rowOff>
    </from>
    <ext cx="11043809" cy="3180952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3</col>
      <colOff>0</colOff>
      <row>48</row>
      <rowOff>0</rowOff>
    </from>
    <ext cx="6697142" cy="3180952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48</row>
      <rowOff>0</rowOff>
    </from>
    <ext cx="4213333" cy="3180952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3</col>
      <colOff>0</colOff>
      <row>35</row>
      <rowOff>0</rowOff>
    </from>
    <ext cx="6697142" cy="3180952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35</row>
      <rowOff>0</rowOff>
    </from>
    <ext cx="4213333" cy="3180952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54</row>
      <rowOff>0</rowOff>
    </from>
    <ext cx="6697142" cy="3180952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3</col>
      <colOff>0</colOff>
      <row>30</row>
      <rowOff>0</rowOff>
    </from>
    <ext cx="6697142" cy="3180952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30</row>
      <rowOff>0</rowOff>
    </from>
    <ext cx="4213333" cy="3180952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3</col>
      <colOff>0</colOff>
      <row>18</row>
      <rowOff>0</rowOff>
    </from>
    <ext cx="6697142" cy="28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18</row>
      <rowOff>0</rowOff>
    </from>
    <ext cx="4213333" cy="28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RitJam" displayName="tbRitJam" ref="A4:S1906" headerRowCount="1">
  <autoFilter ref="A4:S1906"/>
  <tableColumns count="19">
    <tableColumn id="1" name="Tanggal"/>
    <tableColumn id="2" name="Jam"/>
    <tableColumn id="3" name="Digger"/>
    <tableColumn id="4" name="Hauler"/>
    <tableColumn id="5" name="Material"/>
    <tableColumn id="6" name="Ritase"/>
    <tableColumn id="7" name="Keterangan"/>
    <tableColumn id="8" name="Shift">
      <calculatedColumnFormula>IF(tbRitJam[[#This Row],[Jam]]="","",IF(ISNA(MATCH(tbRitJam[[#This Row],[Jam]],MASTER_JAM!$Q$5:$Q$28,0)),"?",IF(MATCH(tbRitJam[[#This Row],[Jam]],MASTER_JAM!$Q$5:$Q$28,0)&lt;=12,"DS","NS")))</calculatedColumnFormula>
    </tableColumn>
    <tableColumn id="9" name="Tipe Digger">
      <calculatedColumnFormula>IFERROR(INDEX(MASTER_JAM!$B$5:$B$94,MATCH(tbRitJam[[#This Row],[Digger]],MASTER_JAM!$A$5:$A$94,0)),"")</calculatedColumnFormula>
    </tableColumn>
    <tableColumn id="10" name="Grup DT">
      <calculatedColumnFormula>IFERROR(INDEX(MASTER_JAM!$E$5:$E$94,MATCH(tbRitJam[[#This Row],[Hauler]],MASTER_JAM!$A$5:$A$94,0)),"")</calculatedColumnFormula>
    </tableColumn>
    <tableColumn id="11" name="Faktor">
      <calculatedColumnFormula>IFERROR(INDEX(MASTER_JAM!$J$5:$O$12,MATCH(tbRitJam[[#This Row],[Material]],MASTER_JAM!$I$5:$I$12,0),MATCH(tbRitJam[[#This Row],[Grup DT]],MASTER_JAM!$J$4:$O$4,0))+0,0)</calculatedColumnFormula>
    </tableColumn>
    <tableColumn id="12" name="Produksi">
      <calculatedColumnFormula>N(tbRitJam[[#This Row],[Ritase]])*tbRitJam[[#This Row],[Faktor]]</calculatedColumnFormula>
    </tableColumn>
    <tableColumn id="13" name="Satuan">
      <calculatedColumnFormula>IF(tbRitJam[[#This Row],[Material]]="","",IF(OR(tbRitJam[[#This Row],[Material]]="Coal",tbRitJam[[#This Row],[Material]]="Dirty Coal"),"MT","BCM"))</calculatedColumnFormula>
    </tableColumn>
    <tableColumn id="14" name="Grup PTY">
      <calculatedColumnFormula>IF(tbRitJam[[#This Row],[Material]]="","",IF(OR(tbRitJam[[#This Row],[Material]]="Coal",tbRitJam[[#This Row],[Material]]="Dirty Coal"),"Coal","OB"))</calculatedColumnFormula>
    </tableColumn>
    <tableColumn id="15" name="Cek">
      <calculatedColumnFormula>IF(tbRitJam[[#This Row],[Ritase]]="","",IF(COUNTIF(MASTER_JAM!$A$5:$A$94,tbRitJam[[#This Row],[Digger]])=0,"Digger tidak dikenal",IF(tbRitJam[[#This Row],[Grup DT]]="","Hauler tidak dikenal",IF(tbRitJam[[#This Row],[Shift]]="?","Jam salah",IF(tbRitJam[[#This Row],[Faktor]]=0,"Faktor kosong",IF(SUMIFS(INPUT_DELAY!$E$5:$E$20000,INPUT_DELAY!$A$5:$A$20000,tbRitJam[[#This Row],[Tanggal]],INPUT_DELAY!$B$5:$B$20000,tbRitJam[[#This Row],[Jam]],INPUT_DELAY!$C$5:$C$20000,tbRitJam[[#This Row],[Digger]])+SUMIFS(INPUT_DELAY!$E$5:$E$20000,INPUT_DELAY!$A$5:$A$20000,tbRitJam[[#This Row],[Tanggal]],INPUT_DELAY!$B$5:$B$20000,tbRitJam[[#This Row],[Jam]],INPUT_DELAY!$C$5:$C$20000,"SEMUA")&gt;=60,"Delay 60 mnt tapi ada ritase","OK"))))))</calculatedColumnFormula>
    </tableColumn>
    <tableColumn id="16" name="t Muat">
      <calculatedColumnFormula>IFERROR(INDEX(MASTER_JAM!$Z$5:$AC$10,MATCH(tbRitJam[[#This Row],[Tipe Digger]],MASTER_JAM!$Y$5:$Y$10,0),MATCH(tbRitJam[[#This Row],[Grup DT]],MASTER_JAM!$Z$4:$AC$4,0))+0,0)</calculatedColumnFormula>
    </tableColumn>
    <tableColumn id="17" name="CT Teori">
      <calculatedColumnFormula>IF(tbRitJam[[#This Row],[t Muat]]=0,0,tbRitJam[[#This Row],[t Muat]]+IFERROR(INDEX(MASTER_JAM!$H$5:$H$94,MATCH(tbRitJam[[#This Row],[Digger]],MASTER_JAM!$A$5:$A$94,0))+0,MASTER_JAM!$AC$15)/1000*(60/MASTER_JAM!$AC$12+60/MASTER_JAM!$AC$13)+MASTER_JAM!$AC$14)</calculatedColumnFormula>
    </tableColumn>
    <tableColumn id="18" name="Porsi DT">
      <calculatedColumnFormula>IF(N(tbRitJam[[#This Row],[Ritase]])=0,0,tbRitJam[[#This Row],[Ritase]]/SUMIFS(INPUT_RITASE!$F$5:$F$20000,INPUT_RITASE!$A$5:$A$20000,tbRitJam[[#This Row],[Tanggal]],INPUT_RITASE!$B$5:$B$20000,tbRitJam[[#This Row],[Jam]],INPUT_RITASE!$C$5:$C$20000,tbRitJam[[#This Row],[Digger]],INPUT_RITASE!$D$5:$D$20000,tbRitJam[[#This Row],[Hauler]]))</calculatedColumnFormula>
    </tableColumn>
    <tableColumn id="19" name="Porsi MF">
      <calculatedColumnFormula>IF(tbRitJam[[#This Row],[CT Teori]]=0,0,tbRitJam[[#This Row],[Porsi DT]]*tbRitJam[[#This Row],[t Muat]]/tbRitJam[[#This Row],[CT Teori]])</calculatedColumnFormula>
    </tableColumn>
  </tableColumns>
  <tableStyleInfo name="TableStyleLight1" showRowStripes="1"/>
</table>
</file>

<file path=xl/tables/table2.xml><?xml version="1.0" encoding="utf-8"?>
<table xmlns="http://schemas.openxmlformats.org/spreadsheetml/2006/main" id="2" name="tbDelayJam" displayName="tbDelayJam" ref="A4:H182" headerRowCount="1">
  <autoFilter ref="A4:H182"/>
  <tableColumns count="8">
    <tableColumn id="1" name="Tanggal"/>
    <tableColumn id="2" name="Jam"/>
    <tableColumn id="3" name="Unit"/>
    <tableColumn id="4" name="Kategori"/>
    <tableColumn id="5" name="Menit"/>
    <tableColumn id="6" name="Keterangan"/>
    <tableColumn id="7" name="Shift">
      <calculatedColumnFormula>IF(tbDelayJam[[#This Row],[Jam]]="","",IF(ISNA(MATCH(tbDelayJam[[#This Row],[Jam]],MASTER_JAM!$Q$5:$Q$28,0)),"?",IF(MATCH(tbDelayJam[[#This Row],[Jam]],MASTER_JAM!$Q$5:$Q$28,0)&lt;=12,"DS","NS")))</calculatedColumnFormula>
    </tableColumn>
    <tableColumn id="8" name="Cek">
      <calculatedColumnFormula>IF(tbDelayJam[[#This Row],[Menit]]="","",IF(tbDelayJam[[#This Row],[Shift]]="?","Jam salah",IF(COUNTIF(MASTER_JAM!$V$5:$V$23,tbDelayJam[[#This Row],[Unit]])=0,"Unit tidak dikenal",IF(SUMIFS(INPUT_DELAY!$E$5:$E$20000,INPUT_DELAY!$A$5:$A$20000,tbDelayJam[[#This Row],[Tanggal]],INPUT_DELAY!$B$5:$B$20000,tbDelayJam[[#This Row],[Jam]],INPUT_DELAY!$C$5:$C$20000,tbDelayJam[[#This Row],[Unit]])+IF(tbDelayJam[[#This Row],[Unit]]="SEMUA",0,SUMIFS(INPUT_DELAY!$E$5:$E$20000,INPUT_DELAY!$A$5:$A$20000,tbDelayJam[[#This Row],[Tanggal]],INPUT_DELAY!$B$5:$B$20000,tbDelayJam[[#This Row],[Jam]],INPUT_DELAY!$C$5:$C$20000,"SEMUA"))&gt;60,"Total jam ini &gt; 60 menit","OK"))))</calculatedColumnFormula>
    </tableColumn>
  </tableColumns>
  <tableStyleInfo name="TableStyleLight1" showRowStripes="1"/>
</table>
</file>

<file path=xl/tables/table3.xml><?xml version="1.0" encoding="utf-8"?>
<table xmlns="http://schemas.openxmlformats.org/spreadsheetml/2006/main" id="3" name="tbUnitJam" displayName="tbUnitJam" ref="A4:H94" headerRowCount="1">
  <tableColumns count="1">
    <tableColumn id="8" name="Jarak angkut (m)"/>
  </tableColumns>
  <tableStyleInfo name="TableStyleLight8" showRowStripes="1"/>
</table>
</file>

<file path=xl/tables/table4.xml><?xml version="1.0" encoding="utf-8"?>
<table xmlns="http://schemas.openxmlformats.org/spreadsheetml/2006/main" id="4" name="tbTimesheet" displayName="tbTimesheet" ref="A1:AN6381" headerRowCount="1">
  <autoFilter ref="A1:AN6381"/>
  <tableColumns count="40">
    <tableColumn id="1" name="Tanggal"/>
    <tableColumn id="2" name="Shift"/>
    <tableColumn id="3" name="Unit"/>
    <tableColumn id="4" name="Tipe"/>
    <tableColumn id="5" name="Class"/>
    <tableColumn id="6" name="Kegiatan"/>
    <tableColumn id="7" name="HM (jam)"/>
    <tableColumn id="8" name="BD Terjadwal"/>
    <tableColumn id="9" name="BD Tak Terjadwal"/>
    <tableColumn id="10" name="Total BD"/>
    <tableColumn id="11" name="Total Idle"/>
    <tableColumn id="12" name="Jam Kalender"/>
    <tableColumn id="13" name="EWH OB"/>
    <tableColumn id="14" name="EWH Coal"/>
    <tableColumn id="15" name="Ritase OB"/>
    <tableColumn id="16" name="Ritase Coal"/>
    <tableColumn id="17" name="Prod OB (BCM)"/>
    <tableColumn id="18" name="Prod Coal (MT)"/>
    <tableColumn id="19" name="Jarak OB (m)"/>
    <tableColumn id="20" name="Jarak Coal (m)"/>
    <tableColumn id="21" name="Rain Delay"/>
    <tableColumn id="22" name="Slippery"/>
    <tableColumn id="23" name="Waiting Prepare Front"/>
    <tableColumn id="24" name="Rest &amp; Meal"/>
    <tableColumn id="25" name="Safety Talk"/>
    <tableColumn id="26" name="Refueling"/>
    <tableColumn id="27" name="Rest Fuel"/>
    <tableColumn id="28" name="Friday Praying"/>
    <tableColumn id="29" name="Blasting"/>
    <tableColumn id="30" name="No Support"/>
    <tableColumn id="31" name="No Operator"/>
    <tableColumn id="32" name="Greasing"/>
    <tableColumn id="33" name="Lately Start"/>
    <tableColumn id="34" name="Early Finish"/>
    <tableColumn id="35" name="No Digger"/>
    <tableColumn id="36" name="No Truck"/>
    <tableColumn id="37" name="No Job"/>
    <tableColumn id="38" name="Fog"/>
    <tableColumn id="39" name="P2H"/>
    <tableColumn id="40" name="Others"/>
  </tableColumns>
  <tableStyleInfo name="TableStyleLight8" showRowStripes="1"/>
</table>
</file>

<file path=xl/tables/table5.xml><?xml version="1.0" encoding="utf-8"?>
<table xmlns="http://schemas.openxmlformats.org/spreadsheetml/2006/main" id="5" name="tbPlan" displayName="tbPlan" ref="A1:E31" headerRowCount="1">
  <autoFilter ref="A1:E31"/>
  <tableColumns count="5">
    <tableColumn id="1" name="Tanggal"/>
    <tableColumn id="2" name="Plan OB (BCM)"/>
    <tableColumn id="3" name="Plan Coal (MT)"/>
    <tableColumn id="4" name="Plan Fuel Mining (L)"/>
    <tableColumn id="5" name="Plan Fuel All (L)"/>
  </tableColumns>
  <tableStyleInfo name="TableStyleLight8" showRowStripes="1"/>
</table>
</file>

<file path=xl/tables/table6.xml><?xml version="1.0" encoding="utf-8"?>
<table xmlns="http://schemas.openxmlformats.org/spreadsheetml/2006/main" id="6" name="tbHujan" displayName="tbHujan" ref="A1:E42" headerRowCount="1">
  <autoFilter ref="A1:E42"/>
  <tableColumns count="5">
    <tableColumn id="1" name="Tanggal"/>
    <tableColumn id="2" name="Shift"/>
    <tableColumn id="3" name="Jam Hujan"/>
    <tableColumn id="4" name="Jam Slippery"/>
    <tableColumn id="5" name="Curah Hujan (mm)"/>
  </tableColumns>
  <tableStyleInfo name="TableStyleLight8" showRowStripes="1"/>
</table>
</file>

<file path=xl/tables/table7.xml><?xml version="1.0" encoding="utf-8"?>
<table xmlns="http://schemas.openxmlformats.org/spreadsheetml/2006/main" id="7" name="tbFuel" displayName="tbFuel" ref="A1:F1889" headerRowCount="1">
  <autoFilter ref="A1:F1889"/>
  <tableColumns count="6">
    <tableColumn id="1" name="Tanggal"/>
    <tableColumn id="2" name="Unit"/>
    <tableColumn id="3" name="Kategori"/>
    <tableColumn id="4" name="Kelompok"/>
    <tableColumn id="5" name="Tipe"/>
    <tableColumn id="6" name="Liter"/>
  </tableColumns>
  <tableStyleInfo name="TableStyleLight8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tabColor rgb="00D98A1E"/>
    <outlinePr summaryBelow="1" summaryRight="1"/>
    <pageSetUpPr fitToPage="1"/>
  </sheetPr>
  <dimension ref="A1:V130"/>
  <sheetViews>
    <sheetView showGridLines="0" showRowColHeaders="0" zoomScale="90" workbookViewId="0">
      <pane xSplit="2" topLeftCell="C1" activePane="topRight" state="frozen"/>
      <selection pane="topRight" activeCell="A1" sqref="A1"/>
    </sheetView>
  </sheetViews>
  <sheetFormatPr baseColWidth="8" defaultRowHeight="15"/>
  <cols>
    <col width="1.2" customWidth="1" min="1" max="1"/>
    <col width="27" customWidth="1" min="2" max="2"/>
    <col width="2.5" customWidth="1" min="3" max="3"/>
    <col width="8.6" customWidth="1" min="4" max="4"/>
    <col width="8.6" customWidth="1" min="5" max="5"/>
    <col width="8.6" customWidth="1" min="6" max="6"/>
    <col width="8.6" customWidth="1" min="7" max="7"/>
    <col width="8.6" customWidth="1" min="8" max="8"/>
    <col width="8.6" customWidth="1" min="9" max="9"/>
    <col width="8.6" customWidth="1" min="10" max="10"/>
    <col width="8.6" customWidth="1" min="11" max="11"/>
    <col width="8.6" customWidth="1" min="12" max="12"/>
    <col width="8.6" customWidth="1" min="13" max="13"/>
    <col width="8.6" customWidth="1" min="14" max="14"/>
    <col width="8.6" customWidth="1" min="15" max="15"/>
    <col width="8.6" customWidth="1" min="16" max="16"/>
    <col width="8.6" customWidth="1" min="17" max="17"/>
    <col width="8.6" customWidth="1" min="18" max="18"/>
    <col width="8.6" customWidth="1" min="19" max="19"/>
    <col width="8.6" customWidth="1" min="20" max="20"/>
    <col width="8.6" customWidth="1" min="21" max="21"/>
    <col width="2.5" customWidth="1" min="22" max="22"/>
  </cols>
  <sheetData>
    <row r="1" ht="10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28" customHeight="1">
      <c r="A2" s="1" t="n"/>
      <c r="B2" s="3" t="inlineStr">
        <is>
          <t>PIT CONTROL</t>
        </is>
      </c>
      <c r="C2" s="2" t="n"/>
      <c r="D2" s="4" t="inlineStr">
        <is>
          <t>Mine Ops Board  /  Produksi Plan vs Actual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 ht="34" customHeight="1">
      <c r="A3" s="1" t="n"/>
      <c r="B3" s="5" t="inlineStr">
        <is>
          <t>MINE OPS BOARD</t>
        </is>
      </c>
      <c r="C3" s="2" t="n"/>
      <c r="D3" s="6" t="inlineStr">
        <is>
          <t>Produksi Plan vs Actual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>
      <c r="A4" s="1" t="n"/>
      <c r="B4" s="1" t="n"/>
      <c r="C4" s="2" t="n"/>
      <c r="D4" s="7" t="inlineStr">
        <is>
          <t>Overburden &amp; coal getting dari ritase hauler · data dummy (simulasi) untuk portofolio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 ht="8" customHeight="1">
      <c r="A5" s="1" t="n"/>
      <c r="B5" s="8" t="inlineStr">
        <is>
          <t>BOARD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 ht="24" customHeight="1">
      <c r="A6" s="9" t="n"/>
      <c r="B6" s="10">
        <f>HYPERLINK("#Produksi!A1","   Produksi")</f>
        <v/>
      </c>
      <c r="C6" s="2" t="n"/>
      <c r="D6" s="11" t="n"/>
      <c r="E6" s="12" t="inlineStr">
        <is>
          <t>Dari</t>
        </is>
      </c>
      <c r="F6" s="13" t="n">
        <v>46082</v>
      </c>
      <c r="G6" s="11" t="n"/>
      <c r="H6" s="12" t="inlineStr">
        <is>
          <t>Sampai</t>
        </is>
      </c>
      <c r="I6" s="13" t="n">
        <v>46110</v>
      </c>
      <c r="J6" s="11" t="n"/>
      <c r="K6" s="12" t="inlineStr">
        <is>
          <t>Shift</t>
        </is>
      </c>
      <c r="L6" s="14" t="inlineStr">
        <is>
          <t>Semua</t>
        </is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</row>
    <row r="7" ht="14" customHeight="1">
      <c r="A7" s="1" t="n"/>
      <c r="B7" s="15">
        <f>HYPERLINK("#Digger!A1","   Produktivitas Digger")</f>
        <v/>
      </c>
      <c r="C7" s="2" t="n"/>
      <c r="D7" s="16">
        <f>IF(Kalkulasi!$B$9=0,"⚠ Tanggal akhir harus sama atau setelah tanggal mulai","Klik sel kuning untuk memilih filter · "&amp;Kalkulasi!$B$9&amp;" hari dipilih")</f>
        <v/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 ht="22" customHeight="1">
      <c r="A8" s="1" t="n"/>
      <c r="B8" s="15">
        <f>HYPERLINK("#Availability!A1","   Availability Unit")</f>
        <v/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 ht="18" customHeight="1">
      <c r="A9" s="1" t="n"/>
      <c r="B9" s="15">
        <f>HYPERLINK("#'Delay &amp; Hujan'!A1","   Delay &amp; Hujan")</f>
        <v/>
      </c>
      <c r="C9" s="2" t="n"/>
      <c r="D9" s="17" t="inlineStr">
        <is>
          <t>OB ACTUAL</t>
        </is>
      </c>
      <c r="E9" s="18" t="n"/>
      <c r="F9" s="19" t="n"/>
      <c r="G9" s="17" t="inlineStr">
        <is>
          <t>ACHIEVEMENT OB</t>
        </is>
      </c>
      <c r="H9" s="18" t="n"/>
      <c r="I9" s="19" t="n"/>
      <c r="J9" s="17" t="inlineStr">
        <is>
          <t>COAL ACTUAL</t>
        </is>
      </c>
      <c r="K9" s="18" t="n"/>
      <c r="L9" s="19" t="n"/>
      <c r="M9" s="17" t="inlineStr">
        <is>
          <t>ACHIEVEMENT COAL</t>
        </is>
      </c>
      <c r="N9" s="18" t="n"/>
      <c r="O9" s="19" t="n"/>
      <c r="P9" s="17" t="inlineStr">
        <is>
          <t>STRIPPING RATIO</t>
        </is>
      </c>
      <c r="Q9" s="18" t="n"/>
      <c r="R9" s="19" t="n"/>
      <c r="S9" s="17" t="inlineStr">
        <is>
          <t>RITASE HAULER</t>
        </is>
      </c>
      <c r="T9" s="18" t="n"/>
      <c r="U9" s="19" t="n"/>
      <c r="V9" s="2" t="n"/>
    </row>
    <row r="10" ht="30" customHeight="1">
      <c r="A10" s="1" t="n"/>
      <c r="B10" s="15">
        <f>HYPERLINK("#Fuel!A1","   Fuel")</f>
        <v/>
      </c>
      <c r="C10" s="2" t="n"/>
      <c r="D10" s="20">
        <f>Kalkulasi!$B$38</f>
        <v/>
      </c>
      <c r="F10" s="21" t="n"/>
      <c r="G10" s="22">
        <f>Kalkulasi!$B$39</f>
        <v/>
      </c>
      <c r="I10" s="21" t="n"/>
      <c r="J10" s="23">
        <f>Kalkulasi!$B$41</f>
        <v/>
      </c>
      <c r="L10" s="21" t="n"/>
      <c r="M10" s="22">
        <f>Kalkulasi!$B$42</f>
        <v/>
      </c>
      <c r="O10" s="21" t="n"/>
      <c r="P10" s="24">
        <f>Kalkulasi!$B$43</f>
        <v/>
      </c>
      <c r="R10" s="21" t="n"/>
      <c r="S10" s="25">
        <f>Kalkulasi!$B$45+Kalkulasi!$B$46</f>
        <v/>
      </c>
      <c r="U10" s="21" t="n"/>
      <c r="V10" s="2" t="n"/>
    </row>
    <row r="11" ht="18" customHeight="1">
      <c r="A11" s="1" t="n"/>
      <c r="B11" s="15">
        <f>HYPERLINK("#'Tren PTY'!A1","   Tren PTY")</f>
        <v/>
      </c>
      <c r="C11" s="2" t="n"/>
      <c r="D11" s="26">
        <f>"Plan "&amp;TEXT(Kalkulasi!$B$37,"#,##0")&amp;" BCM"</f>
        <v/>
      </c>
      <c r="E11" s="27" t="n"/>
      <c r="F11" s="28" t="n"/>
      <c r="G11" s="26">
        <f>IF(Kalkulasi!$B$39&gt;=1,"  ▲ Di atas plan","  Gap "&amp;TEXT(Kalkulasi!$B$37-Kalkulasi!$B$38,"#,##0")&amp;" BCM")</f>
        <v/>
      </c>
      <c r="H11" s="27" t="n"/>
      <c r="I11" s="28" t="n"/>
      <c r="J11" s="26">
        <f>"Plan "&amp;TEXT(Kalkulasi!$B$40,"#,##0")&amp;" MT"</f>
        <v/>
      </c>
      <c r="K11" s="27" t="n"/>
      <c r="L11" s="28" t="n"/>
      <c r="M11" s="26">
        <f>IF(Kalkulasi!$B$42&gt;=1,"  ▲ Di atas plan","  Gap "&amp;TEXT(Kalkulasi!$B$40-Kalkulasi!$B$41,"#,##0")&amp;" MT")</f>
        <v/>
      </c>
      <c r="N11" s="27" t="n"/>
      <c r="O11" s="28" t="n"/>
      <c r="P11" s="26">
        <f>"Plan "&amp;TEXT(Kalkulasi!$B$44,"0.00")&amp;" BCM/MT"</f>
        <v/>
      </c>
      <c r="Q11" s="27" t="n"/>
      <c r="R11" s="28" t="n"/>
      <c r="S11" s="26">
        <f>"OB "&amp;TEXT(Kalkulasi!$B$45,"#,##0")&amp;" · coal "&amp;TEXT(Kalkulasi!$B$46,"#,##0")</f>
        <v/>
      </c>
      <c r="T11" s="27" t="n"/>
      <c r="U11" s="28" t="n"/>
      <c r="V11" s="2" t="n"/>
    </row>
    <row r="12" ht="10" customHeight="1">
      <c r="A12" s="1" t="n"/>
      <c r="B12" s="1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</row>
    <row r="13" ht="24" customHeight="1">
      <c r="A13" s="1" t="n"/>
      <c r="B13" s="8" t="inlineStr">
        <is>
          <t>PER JAM</t>
        </is>
      </c>
      <c r="C13" s="2" t="n"/>
      <c r="D13" s="29" t="inlineStr">
        <is>
          <t>Overburden: actual vs plan</t>
        </is>
      </c>
      <c r="E13" s="30" t="n"/>
      <c r="F13" s="30" t="n"/>
      <c r="G13" s="30" t="n"/>
      <c r="H13" s="30" t="n"/>
      <c r="I13" s="30" t="n"/>
      <c r="J13" s="30" t="n"/>
      <c r="K13" s="30" t="n"/>
      <c r="L13" s="30" t="n"/>
      <c r="M13" s="30" t="n"/>
      <c r="N13" s="30" t="n"/>
      <c r="O13" s="31" t="inlineStr">
        <is>
          <t>BCM · garis hijau = achievement kumulatif (%)</t>
        </is>
      </c>
      <c r="P13" s="29" t="inlineStr">
        <is>
          <t>Kontribusi OB per digger</t>
        </is>
      </c>
      <c r="Q13" s="30" t="n"/>
      <c r="R13" s="30" t="n"/>
      <c r="S13" s="30" t="n"/>
      <c r="T13" s="30" t="n"/>
      <c r="U13" s="31" t="inlineStr">
        <is>
          <t>BCM</t>
        </is>
      </c>
      <c r="V13" s="2" t="n"/>
    </row>
    <row r="14" ht="22" customHeight="1">
      <c r="A14" s="1" t="n"/>
      <c r="B14" s="15">
        <f>HYPERLINK("#'PTY per Jam'!A1","   PTY per Jam")</f>
        <v/>
      </c>
      <c r="C14" s="2" t="n"/>
      <c r="D14" s="32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4" t="n"/>
      <c r="P14" s="32" t="n"/>
      <c r="Q14" s="33" t="n"/>
      <c r="R14" s="33" t="n"/>
      <c r="S14" s="33" t="n"/>
      <c r="T14" s="33" t="n"/>
      <c r="U14" s="34" t="n"/>
      <c r="V14" s="2" t="n"/>
    </row>
    <row r="15" ht="22" customHeight="1">
      <c r="A15" s="1" t="n"/>
      <c r="B15" s="15">
        <f>HYPERLINK("#'Fleet &amp; Delay'!A1","   Fleet &amp; Delay")</f>
        <v/>
      </c>
      <c r="C15" s="2" t="n"/>
      <c r="D15" s="32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4" t="n"/>
      <c r="P15" s="32" t="n"/>
      <c r="Q15" s="33" t="n"/>
      <c r="R15" s="33" t="n"/>
      <c r="S15" s="33" t="n"/>
      <c r="T15" s="33" t="n"/>
      <c r="U15" s="34" t="n"/>
      <c r="V15" s="2" t="n"/>
    </row>
    <row r="16" ht="22" customHeight="1">
      <c r="A16" s="1" t="n"/>
      <c r="B16" s="15">
        <f>HYPERLINK("#'Daily Report'!A1","   Daily Report")</f>
        <v/>
      </c>
      <c r="C16" s="2" t="n"/>
      <c r="D16" s="32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4" t="n"/>
      <c r="P16" s="32" t="n"/>
      <c r="Q16" s="33" t="n"/>
      <c r="R16" s="33" t="n"/>
      <c r="S16" s="33" t="n"/>
      <c r="T16" s="33" t="n"/>
      <c r="U16" s="34" t="n"/>
      <c r="V16" s="2" t="n"/>
    </row>
    <row r="17" ht="22" customHeight="1">
      <c r="A17" s="1" t="n"/>
      <c r="B17" s="15">
        <f>HYPERLINK("#INPUT_RITASE!A1","   Input ritase ↗")</f>
        <v/>
      </c>
      <c r="C17" s="2" t="n"/>
      <c r="D17" s="32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4" t="n"/>
      <c r="P17" s="32" t="n"/>
      <c r="Q17" s="33" t="n"/>
      <c r="R17" s="33" t="n"/>
      <c r="S17" s="33" t="n"/>
      <c r="T17" s="33" t="n"/>
      <c r="U17" s="34" t="n"/>
      <c r="V17" s="2" t="n"/>
    </row>
    <row r="18" ht="22" customHeight="1">
      <c r="A18" s="1" t="n"/>
      <c r="B18" s="15">
        <f>HYPERLINK("#INPUT_DELAY!A1","   Input delay ↗")</f>
        <v/>
      </c>
      <c r="C18" s="2" t="n"/>
      <c r="D18" s="32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4" t="n"/>
      <c r="P18" s="32" t="n"/>
      <c r="Q18" s="33" t="n"/>
      <c r="R18" s="33" t="n"/>
      <c r="S18" s="33" t="n"/>
      <c r="T18" s="33" t="n"/>
      <c r="U18" s="34" t="n"/>
      <c r="V18" s="2" t="n"/>
    </row>
    <row r="19">
      <c r="A19" s="1" t="n"/>
      <c r="B19" s="1" t="n"/>
      <c r="C19" s="2" t="n"/>
      <c r="D19" s="32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4" t="n"/>
      <c r="P19" s="32" t="n"/>
      <c r="Q19" s="33" t="n"/>
      <c r="R19" s="33" t="n"/>
      <c r="S19" s="33" t="n"/>
      <c r="T19" s="33" t="n"/>
      <c r="U19" s="34" t="n"/>
      <c r="V19" s="2" t="n"/>
    </row>
    <row r="20">
      <c r="A20" s="1" t="n"/>
      <c r="B20" s="8" t="inlineStr">
        <is>
          <t>DATA</t>
        </is>
      </c>
      <c r="C20" s="2" t="n"/>
      <c r="D20" s="32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4" t="n"/>
      <c r="P20" s="32" t="n"/>
      <c r="Q20" s="33" t="n"/>
      <c r="R20" s="33" t="n"/>
      <c r="S20" s="33" t="n"/>
      <c r="T20" s="33" t="n"/>
      <c r="U20" s="34" t="n"/>
      <c r="V20" s="2" t="n"/>
    </row>
    <row r="21" ht="22" customHeight="1">
      <c r="A21" s="1" t="n"/>
      <c r="B21" s="15">
        <f>HYPERLINK("#'Master Data'!A1","   Master Data")</f>
        <v/>
      </c>
      <c r="C21" s="2" t="n"/>
      <c r="D21" s="32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4" t="n"/>
      <c r="P21" s="32" t="n"/>
      <c r="Q21" s="33" t="n"/>
      <c r="R21" s="33" t="n"/>
      <c r="S21" s="33" t="n"/>
      <c r="T21" s="33" t="n"/>
      <c r="U21" s="34" t="n"/>
      <c r="V21" s="2" t="n"/>
    </row>
    <row r="22" ht="22" customHeight="1">
      <c r="A22" s="1" t="n"/>
      <c r="B22" s="15">
        <f>HYPERLINK("#DATA_TS!A1","   Tabel timesheet ↗")</f>
        <v/>
      </c>
      <c r="C22" s="2" t="n"/>
      <c r="D22" s="32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4" t="n"/>
      <c r="P22" s="32" t="n"/>
      <c r="Q22" s="33" t="n"/>
      <c r="R22" s="33" t="n"/>
      <c r="S22" s="33" t="n"/>
      <c r="T22" s="33" t="n"/>
      <c r="U22" s="34" t="n"/>
      <c r="V22" s="2" t="n"/>
    </row>
    <row r="23" ht="22" customHeight="1">
      <c r="A23" s="1" t="n"/>
      <c r="B23" s="15">
        <f>HYPERLINK("#DATA_FUEL!A1","   Tabel fuel ↗")</f>
        <v/>
      </c>
      <c r="C23" s="2" t="n"/>
      <c r="D23" s="32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4" t="n"/>
      <c r="P23" s="32" t="n"/>
      <c r="Q23" s="33" t="n"/>
      <c r="R23" s="33" t="n"/>
      <c r="S23" s="33" t="n"/>
      <c r="T23" s="33" t="n"/>
      <c r="U23" s="34" t="n"/>
      <c r="V23" s="2" t="n"/>
    </row>
    <row r="24">
      <c r="A24" s="1" t="n"/>
      <c r="B24" s="1" t="n"/>
      <c r="C24" s="2" t="n"/>
      <c r="D24" s="32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4" t="n"/>
      <c r="P24" s="35">
        <f>"Total "&amp;TEXT(SUM(Kalkulasi!$B$240:$B$245),"#,##0")&amp;" BCM"</f>
        <v/>
      </c>
      <c r="Q24" s="33" t="n"/>
      <c r="R24" s="33" t="n"/>
      <c r="S24" s="33" t="n"/>
      <c r="T24" s="33" t="n"/>
      <c r="U24" s="34" t="n"/>
      <c r="V24" s="2" t="n"/>
    </row>
    <row r="25">
      <c r="A25" s="1" t="n"/>
      <c r="B25" s="8" t="inlineStr">
        <is>
          <t>LAINNYA</t>
        </is>
      </c>
      <c r="C25" s="2" t="n"/>
      <c r="D25" s="32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4" t="n"/>
      <c r="P25" s="36" t="inlineStr">
        <is>
          <t>■</t>
        </is>
      </c>
      <c r="Q25" s="37">
        <f>Kalkulasi!A240</f>
        <v/>
      </c>
      <c r="R25" s="33" t="n"/>
      <c r="S25" s="33" t="n"/>
      <c r="T25" s="38">
        <f>Kalkulasi!C240</f>
        <v/>
      </c>
      <c r="U25" s="34" t="n"/>
      <c r="V25" s="2" t="n"/>
    </row>
    <row r="26" ht="22" customHeight="1">
      <c r="A26" s="1" t="n"/>
      <c r="B26" s="15">
        <f>HYPERLINK("#Panduan!A1","   Panduan")</f>
        <v/>
      </c>
      <c r="C26" s="2" t="n"/>
      <c r="D26" s="32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4" t="n"/>
      <c r="P26" s="39" t="inlineStr">
        <is>
          <t>■</t>
        </is>
      </c>
      <c r="Q26" s="37">
        <f>Kalkulasi!A241</f>
        <v/>
      </c>
      <c r="R26" s="33" t="n"/>
      <c r="S26" s="33" t="n"/>
      <c r="T26" s="38">
        <f>Kalkulasi!C241</f>
        <v/>
      </c>
      <c r="U26" s="34" t="n"/>
      <c r="V26" s="2" t="n"/>
    </row>
    <row r="27" ht="22" customHeight="1">
      <c r="A27" s="1" t="n"/>
      <c r="B27" s="15">
        <f>HYPERLINK("#Parameter!A1","   Target &amp; parameter")</f>
        <v/>
      </c>
      <c r="C27" s="2" t="n"/>
      <c r="D27" s="32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4" t="n"/>
      <c r="P27" s="40" t="inlineStr">
        <is>
          <t>■</t>
        </is>
      </c>
      <c r="Q27" s="37">
        <f>Kalkulasi!A242</f>
        <v/>
      </c>
      <c r="R27" s="33" t="n"/>
      <c r="S27" s="33" t="n"/>
      <c r="T27" s="38">
        <f>Kalkulasi!C242</f>
        <v/>
      </c>
      <c r="U27" s="34" t="n"/>
      <c r="V27" s="2" t="n"/>
    </row>
    <row r="28" ht="22" customHeight="1">
      <c r="A28" s="1" t="n"/>
      <c r="B28" s="15">
        <f>HYPERLINK("#MASTER_JAM!A1","   Faktor, target &amp; MF")</f>
        <v/>
      </c>
      <c r="C28" s="2" t="n"/>
      <c r="D28" s="32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4" t="n"/>
      <c r="P28" s="41" t="inlineStr">
        <is>
          <t>■</t>
        </is>
      </c>
      <c r="Q28" s="37">
        <f>Kalkulasi!A243</f>
        <v/>
      </c>
      <c r="R28" s="33" t="n"/>
      <c r="S28" s="33" t="n"/>
      <c r="T28" s="38">
        <f>Kalkulasi!C243</f>
        <v/>
      </c>
      <c r="U28" s="34" t="n"/>
      <c r="V28" s="2" t="n"/>
    </row>
    <row r="29">
      <c r="A29" s="1" t="n"/>
      <c r="B29" s="1" t="n"/>
      <c r="C29" s="2" t="n"/>
      <c r="D29" s="32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4" t="n"/>
      <c r="P29" s="42" t="inlineStr">
        <is>
          <t>■</t>
        </is>
      </c>
      <c r="Q29" s="37">
        <f>Kalkulasi!A244</f>
        <v/>
      </c>
      <c r="R29" s="33" t="n"/>
      <c r="S29" s="33" t="n"/>
      <c r="T29" s="38">
        <f>Kalkulasi!C244</f>
        <v/>
      </c>
      <c r="U29" s="34" t="n"/>
      <c r="V29" s="2" t="n"/>
    </row>
    <row r="30">
      <c r="A30" s="1" t="n"/>
      <c r="B30" s="1" t="n"/>
      <c r="C30" s="2" t="n"/>
      <c r="D30" s="32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4" t="n"/>
      <c r="P30" s="43" t="inlineStr">
        <is>
          <t>■</t>
        </is>
      </c>
      <c r="Q30" s="37">
        <f>Kalkulasi!A245</f>
        <v/>
      </c>
      <c r="R30" s="33" t="n"/>
      <c r="S30" s="33" t="n"/>
      <c r="T30" s="38">
        <f>Kalkulasi!C245</f>
        <v/>
      </c>
      <c r="U30" s="34" t="n"/>
      <c r="V30" s="2" t="n"/>
    </row>
    <row r="31">
      <c r="A31" s="1" t="n"/>
      <c r="B31" s="1" t="n"/>
      <c r="C31" s="2" t="n"/>
      <c r="D31" s="44" t="n"/>
      <c r="E31" s="45" t="n"/>
      <c r="F31" s="45" t="n"/>
      <c r="G31" s="45" t="n"/>
      <c r="H31" s="45" t="n"/>
      <c r="I31" s="45" t="n"/>
      <c r="J31" s="45" t="n"/>
      <c r="K31" s="45" t="n"/>
      <c r="L31" s="45" t="n"/>
      <c r="M31" s="45" t="n"/>
      <c r="N31" s="45" t="n"/>
      <c r="O31" s="46" t="n"/>
      <c r="P31" s="44" t="n"/>
      <c r="Q31" s="45" t="n"/>
      <c r="R31" s="45" t="n"/>
      <c r="S31" s="45" t="n"/>
      <c r="T31" s="45" t="n"/>
      <c r="U31" s="46" t="n"/>
      <c r="V31" s="2" t="n"/>
    </row>
    <row r="32" ht="10" customHeight="1">
      <c r="A32" s="1" t="n"/>
      <c r="B32" s="1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</row>
    <row r="33" ht="24" customHeight="1">
      <c r="A33" s="1" t="n"/>
      <c r="B33" s="47" t="inlineStr">
        <is>
          <t>Data dummy · Coal Project</t>
        </is>
      </c>
      <c r="C33" s="2" t="n"/>
      <c r="D33" s="29" t="inlineStr">
        <is>
          <t>Coal getting: actual vs plan</t>
        </is>
      </c>
      <c r="E33" s="30" t="n"/>
      <c r="F33" s="30" t="n"/>
      <c r="G33" s="30" t="n"/>
      <c r="H33" s="30" t="n"/>
      <c r="I33" s="30" t="n"/>
      <c r="J33" s="30" t="n"/>
      <c r="K33" s="30" t="n"/>
      <c r="L33" s="30" t="n"/>
      <c r="M33" s="30" t="n"/>
      <c r="N33" s="30" t="n"/>
      <c r="O33" s="31" t="inlineStr">
        <is>
          <t>MT</t>
        </is>
      </c>
      <c r="P33" s="29" t="inlineStr">
        <is>
          <t>Ringkasan periode</t>
        </is>
      </c>
      <c r="Q33" s="30" t="n"/>
      <c r="R33" s="30" t="n"/>
      <c r="S33" s="30" t="n"/>
      <c r="T33" s="30" t="n"/>
      <c r="U33" s="48" t="n"/>
      <c r="V33" s="2" t="n"/>
    </row>
    <row r="34">
      <c r="A34" s="1" t="n"/>
      <c r="B34" s="49" t="inlineStr">
        <is>
          <t>Simulasi unit per shift,</t>
        </is>
      </c>
      <c r="C34" s="2" t="n"/>
      <c r="D34" s="32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4" t="n"/>
      <c r="P34" s="32" t="n"/>
      <c r="Q34" s="33" t="n"/>
      <c r="R34" s="33" t="n"/>
      <c r="S34" s="33" t="n"/>
      <c r="T34" s="33" t="n"/>
      <c r="U34" s="34" t="n"/>
      <c r="V34" s="2" t="n"/>
    </row>
    <row r="35">
      <c r="A35" s="1" t="n"/>
      <c r="B35" s="49" t="inlineStr">
        <is>
          <t>Maret 2026. Bukan data</t>
        </is>
      </c>
      <c r="C35" s="2" t="n"/>
      <c r="D35" s="32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4" t="n"/>
      <c r="P35" s="50" t="inlineStr">
        <is>
          <t>Hari dalam periode</t>
        </is>
      </c>
      <c r="Q35" s="51" t="n"/>
      <c r="R35" s="51" t="n"/>
      <c r="S35" s="52">
        <f>Kalkulasi!$B$9</f>
        <v/>
      </c>
      <c r="T35" s="53" t="n"/>
      <c r="U35" s="54" t="n"/>
      <c r="V35" s="2" t="n"/>
    </row>
    <row r="36">
      <c r="A36" s="1" t="n"/>
      <c r="B36" s="49" t="inlineStr">
        <is>
          <t>perusahaan mana pun.</t>
        </is>
      </c>
      <c r="C36" s="2" t="n"/>
      <c r="D36" s="32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4" t="n"/>
      <c r="P36" s="32" t="n"/>
      <c r="Q36" s="33" t="n"/>
      <c r="R36" s="33" t="n"/>
      <c r="S36" s="33" t="n"/>
      <c r="T36" s="33" t="n"/>
      <c r="U36" s="34" t="n"/>
      <c r="V36" s="2" t="n"/>
    </row>
    <row r="37">
      <c r="A37" s="1" t="n"/>
      <c r="B37" s="49" t="inlineStr"/>
      <c r="C37" s="2" t="n"/>
      <c r="D37" s="32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4" t="n"/>
      <c r="P37" s="50" t="inlineStr">
        <is>
          <t>Rata-rata OB / hari</t>
        </is>
      </c>
      <c r="Q37" s="51" t="n"/>
      <c r="R37" s="51" t="n"/>
      <c r="S37" s="55">
        <f>IF(Kalkulasi!$B$9=0,0,Kalkulasi!$B$38/Kalkulasi!$B$9)</f>
        <v/>
      </c>
      <c r="T37" s="53" t="n"/>
      <c r="U37" s="54" t="n"/>
      <c r="V37" s="2" t="n"/>
    </row>
    <row r="38">
      <c r="A38" s="1" t="n"/>
      <c r="B38" s="47" t="inlineStr">
        <is>
          <t>Muhammad Rifqi Rizqullah</t>
        </is>
      </c>
      <c r="C38" s="2" t="n"/>
      <c r="D38" s="32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4" t="n"/>
      <c r="P38" s="32" t="n"/>
      <c r="Q38" s="33" t="n"/>
      <c r="R38" s="33" t="n"/>
      <c r="S38" s="33" t="n"/>
      <c r="T38" s="33" t="n"/>
      <c r="U38" s="34" t="n"/>
      <c r="V38" s="2" t="n"/>
    </row>
    <row r="39">
      <c r="A39" s="1" t="n"/>
      <c r="B39" s="49" t="inlineStr">
        <is>
          <t>Mine Operations Control</t>
        </is>
      </c>
      <c r="C39" s="2" t="n"/>
      <c r="D39" s="32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4" t="n"/>
      <c r="P39" s="50" t="inlineStr">
        <is>
          <t>Rata-rata coal / hari</t>
        </is>
      </c>
      <c r="Q39" s="51" t="n"/>
      <c r="R39" s="51" t="n"/>
      <c r="S39" s="56">
        <f>IF(Kalkulasi!$B$9=0,0,Kalkulasi!$B$41/Kalkulasi!$B$9)</f>
        <v/>
      </c>
      <c r="T39" s="53" t="n"/>
      <c r="U39" s="54" t="n"/>
      <c r="V39" s="2" t="n"/>
    </row>
    <row r="40">
      <c r="A40" s="1" t="n"/>
      <c r="B40" s="1" t="n"/>
      <c r="C40" s="2" t="n"/>
      <c r="D40" s="32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4" t="n"/>
      <c r="P40" s="32" t="n"/>
      <c r="Q40" s="33" t="n"/>
      <c r="R40" s="33" t="n"/>
      <c r="S40" s="33" t="n"/>
      <c r="T40" s="33" t="n"/>
      <c r="U40" s="34" t="n"/>
      <c r="V40" s="2" t="n"/>
    </row>
    <row r="41">
      <c r="A41" s="1" t="n"/>
      <c r="B41" s="1" t="n"/>
      <c r="C41" s="2" t="n"/>
      <c r="D41" s="32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4" t="n"/>
      <c r="P41" s="50" t="inlineStr">
        <is>
          <t>Hari OB tertinggi</t>
        </is>
      </c>
      <c r="Q41" s="51" t="n"/>
      <c r="R41" s="51" t="n"/>
      <c r="S41" s="57">
        <f>IFERROR(TEXT(INDEX(Kalkulasi!$B$81:$B$111,MATCH(MAX(Kalkulasi!$E$81:$E$111),Kalkulasi!$E$81:$E$111,0)),"d mmm")&amp;" · "&amp;TEXT(MAX(Kalkulasi!$E$81:$E$111),"#,##0"),"–")</f>
        <v/>
      </c>
      <c r="T41" s="53" t="n"/>
      <c r="U41" s="54" t="n"/>
      <c r="V41" s="2" t="n"/>
    </row>
    <row r="42">
      <c r="A42" s="1" t="n"/>
      <c r="B42" s="1" t="n"/>
      <c r="C42" s="2" t="n"/>
      <c r="D42" s="32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4" t="n"/>
      <c r="P42" s="32" t="n"/>
      <c r="Q42" s="33" t="n"/>
      <c r="R42" s="33" t="n"/>
      <c r="S42" s="33" t="n"/>
      <c r="T42" s="33" t="n"/>
      <c r="U42" s="34" t="n"/>
      <c r="V42" s="2" t="n"/>
    </row>
    <row r="43">
      <c r="A43" s="1" t="n"/>
      <c r="B43" s="1" t="n"/>
      <c r="C43" s="2" t="n"/>
      <c r="D43" s="32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4" t="n"/>
      <c r="P43" s="50" t="inlineStr">
        <is>
          <t>Hari OB ≥ plan</t>
        </is>
      </c>
      <c r="Q43" s="51" t="n"/>
      <c r="R43" s="51" t="n"/>
      <c r="S43" s="57">
        <f>SUM(Kalkulasi!$I$81:$I$111)&amp;" dari "&amp;Kalkulasi!$B$9</f>
        <v/>
      </c>
      <c r="T43" s="53" t="n"/>
      <c r="U43" s="54" t="n"/>
      <c r="V43" s="2" t="n"/>
    </row>
    <row r="44">
      <c r="A44" s="1" t="n"/>
      <c r="B44" s="1" t="n"/>
      <c r="C44" s="2" t="n"/>
      <c r="D44" s="32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4" t="n"/>
      <c r="P44" s="32" t="n"/>
      <c r="Q44" s="33" t="n"/>
      <c r="R44" s="33" t="n"/>
      <c r="S44" s="33" t="n"/>
      <c r="T44" s="33" t="n"/>
      <c r="U44" s="34" t="n"/>
      <c r="V44" s="2" t="n"/>
    </row>
    <row r="45">
      <c r="A45" s="1" t="n"/>
      <c r="B45" s="1" t="n"/>
      <c r="C45" s="2" t="n"/>
      <c r="D45" s="32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4" t="n"/>
      <c r="P45" s="50" t="inlineStr">
        <is>
          <t>Porsi OB day shift</t>
        </is>
      </c>
      <c r="Q45" s="51" t="n"/>
      <c r="R45" s="51" t="n"/>
      <c r="S45" s="58">
        <f>IF(Kalkulasi!$B$38=0,0,Kalkulasi!$B$47/Kalkulasi!$B$38)</f>
        <v/>
      </c>
      <c r="T45" s="53" t="n"/>
      <c r="U45" s="54" t="n"/>
      <c r="V45" s="2" t="n"/>
    </row>
    <row r="46">
      <c r="A46" s="1" t="n"/>
      <c r="B46" s="1" t="n"/>
      <c r="C46" s="2" t="n"/>
      <c r="D46" s="32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4" t="n"/>
      <c r="P46" s="32" t="n"/>
      <c r="Q46" s="33" t="n"/>
      <c r="R46" s="33" t="n"/>
      <c r="S46" s="33" t="n"/>
      <c r="T46" s="33" t="n"/>
      <c r="U46" s="34" t="n"/>
      <c r="V46" s="2" t="n"/>
    </row>
    <row r="47">
      <c r="A47" s="1" t="n"/>
      <c r="B47" s="1" t="n"/>
      <c r="C47" s="2" t="n"/>
      <c r="D47" s="32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4" t="n"/>
      <c r="P47" s="50" t="inlineStr">
        <is>
          <t>OB per ritase</t>
        </is>
      </c>
      <c r="Q47" s="51" t="n"/>
      <c r="R47" s="51" t="n"/>
      <c r="S47" s="59">
        <f>IF(Kalkulasi!$B$45=0,0,Kalkulasi!$B$38/Kalkulasi!$B$45)</f>
        <v/>
      </c>
      <c r="T47" s="53" t="n"/>
      <c r="U47" s="54" t="n"/>
      <c r="V47" s="2" t="n"/>
    </row>
    <row r="48">
      <c r="A48" s="1" t="n"/>
      <c r="B48" s="1" t="n"/>
      <c r="C48" s="2" t="n"/>
      <c r="D48" s="32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4" t="n"/>
      <c r="P48" s="32" t="n"/>
      <c r="Q48" s="33" t="n"/>
      <c r="R48" s="33" t="n"/>
      <c r="S48" s="33" t="n"/>
      <c r="T48" s="33" t="n"/>
      <c r="U48" s="34" t="n"/>
      <c r="V48" s="2" t="n"/>
    </row>
    <row r="49">
      <c r="A49" s="1" t="n"/>
      <c r="B49" s="1" t="n"/>
      <c r="C49" s="2" t="n"/>
      <c r="D49" s="32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4" t="n"/>
      <c r="P49" s="32" t="n"/>
      <c r="Q49" s="33" t="n"/>
      <c r="R49" s="33" t="n"/>
      <c r="S49" s="33" t="n"/>
      <c r="T49" s="33" t="n"/>
      <c r="U49" s="34" t="n"/>
      <c r="V49" s="2" t="n"/>
    </row>
    <row r="50">
      <c r="A50" s="1" t="n"/>
      <c r="B50" s="1" t="n"/>
      <c r="C50" s="2" t="n"/>
      <c r="D50" s="44" t="n"/>
      <c r="E50" s="45" t="n"/>
      <c r="F50" s="45" t="n"/>
      <c r="G50" s="45" t="n"/>
      <c r="H50" s="45" t="n"/>
      <c r="I50" s="45" t="n"/>
      <c r="J50" s="45" t="n"/>
      <c r="K50" s="45" t="n"/>
      <c r="L50" s="45" t="n"/>
      <c r="M50" s="45" t="n"/>
      <c r="N50" s="45" t="n"/>
      <c r="O50" s="46" t="n"/>
      <c r="P50" s="44" t="n"/>
      <c r="Q50" s="45" t="n"/>
      <c r="R50" s="45" t="n"/>
      <c r="S50" s="45" t="n"/>
      <c r="T50" s="45" t="n"/>
      <c r="U50" s="46" t="n"/>
      <c r="V50" s="2" t="n"/>
    </row>
    <row r="51">
      <c r="A51" s="1" t="n"/>
      <c r="B51" s="1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</row>
    <row r="52">
      <c r="A52" s="1" t="n"/>
      <c r="B52" s="1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</row>
    <row r="53">
      <c r="A53" s="1" t="n"/>
      <c r="B53" s="1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</row>
    <row r="54">
      <c r="A54" s="1" t="n"/>
      <c r="B54" s="1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</row>
    <row r="55">
      <c r="A55" s="1" t="n"/>
      <c r="B55" s="1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</row>
    <row r="56">
      <c r="A56" s="1" t="n"/>
      <c r="B56" s="1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</row>
    <row r="57">
      <c r="A57" s="1" t="n"/>
      <c r="B57" s="1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</row>
    <row r="58">
      <c r="A58" s="1" t="n"/>
      <c r="B58" s="1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</row>
    <row r="59">
      <c r="A59" s="1" t="n"/>
      <c r="B59" s="1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</row>
    <row r="60">
      <c r="A60" s="1" t="n"/>
      <c r="B60" s="1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  <row r="61">
      <c r="A61" s="1" t="n"/>
      <c r="B61" s="1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</row>
    <row r="62">
      <c r="A62" s="1" t="n"/>
      <c r="B62" s="1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</row>
    <row r="63">
      <c r="A63" s="1" t="n"/>
      <c r="B63" s="1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</row>
    <row r="64">
      <c r="A64" s="1" t="n"/>
      <c r="B64" s="1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</row>
    <row r="65">
      <c r="A65" s="1" t="n"/>
      <c r="B65" s="1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</row>
    <row r="66">
      <c r="A66" s="1" t="n"/>
      <c r="B66" s="1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</row>
    <row r="67">
      <c r="A67" s="1" t="n"/>
      <c r="B67" s="1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</row>
    <row r="68">
      <c r="A68" s="1" t="n"/>
      <c r="B68" s="1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</row>
    <row r="69">
      <c r="A69" s="1" t="n"/>
      <c r="B69" s="1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</row>
    <row r="70">
      <c r="A70" s="1" t="n"/>
      <c r="B70" s="1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</row>
    <row r="71">
      <c r="A71" s="1" t="n"/>
      <c r="B71" s="1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</row>
    <row r="72">
      <c r="A72" s="1" t="n"/>
      <c r="B72" s="1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</row>
    <row r="73">
      <c r="A73" s="1" t="n"/>
      <c r="B73" s="1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</row>
    <row r="74">
      <c r="A74" s="1" t="n"/>
      <c r="B74" s="1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</row>
    <row r="75">
      <c r="A75" s="1" t="n"/>
      <c r="B75" s="1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</row>
    <row r="76">
      <c r="A76" s="1" t="n"/>
      <c r="B76" s="1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</row>
    <row r="77">
      <c r="A77" s="1" t="n"/>
      <c r="B77" s="1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</row>
    <row r="78">
      <c r="A78" s="1" t="n"/>
      <c r="B78" s="1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</row>
    <row r="79">
      <c r="A79" s="1" t="n"/>
      <c r="B79" s="1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</row>
    <row r="80">
      <c r="A80" s="1" t="n"/>
      <c r="B80" s="1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</row>
    <row r="81">
      <c r="A81" s="1" t="n"/>
      <c r="B81" s="1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</row>
    <row r="82">
      <c r="A82" s="1" t="n"/>
      <c r="B82" s="1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</row>
    <row r="83">
      <c r="A83" s="1" t="n"/>
      <c r="B83" s="1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</row>
    <row r="84">
      <c r="A84" s="1" t="n"/>
      <c r="B84" s="1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</row>
    <row r="85">
      <c r="A85" s="1" t="n"/>
      <c r="B85" s="1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</row>
    <row r="86">
      <c r="A86" s="1" t="n"/>
      <c r="B86" s="1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</row>
    <row r="87">
      <c r="A87" s="1" t="n"/>
      <c r="B87" s="1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</row>
    <row r="88">
      <c r="A88" s="1" t="n"/>
      <c r="B88" s="1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</row>
    <row r="89">
      <c r="A89" s="1" t="n"/>
      <c r="B89" s="1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</row>
    <row r="90">
      <c r="A90" s="1" t="n"/>
      <c r="B90" s="1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</row>
    <row r="91">
      <c r="A91" s="1" t="n"/>
      <c r="B91" s="1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</row>
    <row r="92">
      <c r="A92" s="1" t="n"/>
      <c r="B92" s="1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</row>
    <row r="93">
      <c r="A93" s="1" t="n"/>
      <c r="B93" s="1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</row>
    <row r="94">
      <c r="A94" s="1" t="n"/>
      <c r="B94" s="1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</row>
    <row r="95">
      <c r="A95" s="1" t="n"/>
      <c r="B95" s="1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</row>
    <row r="96">
      <c r="A96" s="1" t="n"/>
      <c r="B96" s="1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</row>
    <row r="97">
      <c r="A97" s="1" t="n"/>
      <c r="B97" s="1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</row>
    <row r="98">
      <c r="A98" s="1" t="n"/>
      <c r="B98" s="1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</row>
    <row r="99">
      <c r="A99" s="1" t="n"/>
      <c r="B99" s="1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</row>
    <row r="100">
      <c r="A100" s="1" t="n"/>
      <c r="B100" s="1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</row>
    <row r="101">
      <c r="A101" s="1" t="n"/>
      <c r="B101" s="1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</row>
    <row r="102">
      <c r="A102" s="1" t="n"/>
      <c r="B102" s="1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</row>
    <row r="103">
      <c r="A103" s="1" t="n"/>
      <c r="B103" s="1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</row>
    <row r="104">
      <c r="A104" s="1" t="n"/>
      <c r="B104" s="1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</row>
    <row r="105">
      <c r="A105" s="1" t="n"/>
      <c r="B105" s="1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</row>
    <row r="106">
      <c r="A106" s="1" t="n"/>
      <c r="B106" s="1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</row>
    <row r="107">
      <c r="A107" s="1" t="n"/>
      <c r="B107" s="1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</row>
    <row r="108">
      <c r="A108" s="1" t="n"/>
      <c r="B108" s="1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</row>
    <row r="109">
      <c r="A109" s="1" t="n"/>
      <c r="B109" s="1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</row>
    <row r="110">
      <c r="A110" s="1" t="n"/>
      <c r="B110" s="1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</row>
    <row r="111">
      <c r="A111" s="1" t="n"/>
      <c r="B111" s="1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</row>
    <row r="112">
      <c r="A112" s="1" t="n"/>
      <c r="B112" s="1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</row>
    <row r="113">
      <c r="A113" s="1" t="n"/>
      <c r="B113" s="1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</row>
    <row r="114">
      <c r="A114" s="1" t="n"/>
      <c r="B114" s="1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</row>
    <row r="115">
      <c r="A115" s="1" t="n"/>
      <c r="B115" s="1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</row>
    <row r="116">
      <c r="A116" s="1" t="n"/>
      <c r="B116" s="1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</row>
    <row r="117">
      <c r="A117" s="1" t="n"/>
      <c r="B117" s="1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</row>
    <row r="118">
      <c r="A118" s="1" t="n"/>
      <c r="B118" s="1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</row>
    <row r="119">
      <c r="A119" s="1" t="n"/>
      <c r="B119" s="1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</row>
    <row r="120">
      <c r="A120" s="1" t="n"/>
      <c r="B120" s="1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</row>
    <row r="121">
      <c r="A121" s="1" t="n"/>
      <c r="B121" s="1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</row>
    <row r="122">
      <c r="A122" s="1" t="n"/>
      <c r="B122" s="1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</row>
    <row r="123">
      <c r="A123" s="1" t="n"/>
      <c r="B123" s="1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</row>
    <row r="124">
      <c r="A124" s="1" t="n"/>
      <c r="B124" s="1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</row>
    <row r="125">
      <c r="A125" s="1" t="n"/>
      <c r="B125" s="1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</row>
    <row r="126">
      <c r="A126" s="1" t="n"/>
      <c r="B126" s="1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</row>
    <row r="127">
      <c r="A127" s="1" t="n"/>
      <c r="B127" s="1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</row>
    <row r="128">
      <c r="A128" s="1" t="n"/>
      <c r="B128" s="1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</row>
    <row r="129">
      <c r="A129" s="1" t="n"/>
      <c r="B129" s="1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</row>
    <row r="130">
      <c r="A130" s="1" t="n"/>
      <c r="B130" s="1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</row>
  </sheetData>
  <mergeCells count="25">
    <mergeCell ref="M11:O11"/>
    <mergeCell ref="D11:F11"/>
    <mergeCell ref="G10:I10"/>
    <mergeCell ref="M10:O10"/>
    <mergeCell ref="P11:R11"/>
    <mergeCell ref="S37:U37"/>
    <mergeCell ref="J11:L11"/>
    <mergeCell ref="S10:U10"/>
    <mergeCell ref="S9:U9"/>
    <mergeCell ref="D9:F9"/>
    <mergeCell ref="S45:U45"/>
    <mergeCell ref="S35:U35"/>
    <mergeCell ref="S41:U41"/>
    <mergeCell ref="G9:I9"/>
    <mergeCell ref="S47:U47"/>
    <mergeCell ref="S43:U43"/>
    <mergeCell ref="G11:I11"/>
    <mergeCell ref="D10:F10"/>
    <mergeCell ref="J10:L10"/>
    <mergeCell ref="P10:R10"/>
    <mergeCell ref="M9:O9"/>
    <mergeCell ref="P9:R9"/>
    <mergeCell ref="J9:L9"/>
    <mergeCell ref="S39:U39"/>
    <mergeCell ref="S11:U11"/>
  </mergeCells>
  <conditionalFormatting sqref="G10">
    <cfRule type="expression" priority="1" dxfId="0">
      <formula>Kalkulasi!$B$39&gt;=Parameter!$C$7</formula>
    </cfRule>
    <cfRule type="expression" priority="2" dxfId="1">
      <formula>AND(Kalkulasi!$B$39&lt;Parameter!$C$7,Kalkulasi!$B$39&gt;=Parameter!$C$8)</formula>
    </cfRule>
    <cfRule type="expression" priority="3" dxfId="2">
      <formula>AND(Kalkulasi!$B$39&lt;Parameter!$C$8,Kalkulasi!$B$39&gt;0)</formula>
    </cfRule>
  </conditionalFormatting>
  <conditionalFormatting sqref="G11">
    <cfRule type="expression" priority="4" dxfId="3">
      <formula>Kalkulasi!$B$39&gt;=Parameter!$C$7</formula>
    </cfRule>
    <cfRule type="expression" priority="5" dxfId="4">
      <formula>AND(Kalkulasi!$B$39&lt;Parameter!$C$7,Kalkulasi!$B$39&gt;=Parameter!$C$8)</formula>
    </cfRule>
    <cfRule type="expression" priority="6" dxfId="5">
      <formula>AND(Kalkulasi!$B$39&lt;Parameter!$C$8,Kalkulasi!$B$39&gt;0)</formula>
    </cfRule>
  </conditionalFormatting>
  <conditionalFormatting sqref="M10">
    <cfRule type="expression" priority="7" dxfId="0">
      <formula>Kalkulasi!$B$42&gt;=Parameter!$C$7</formula>
    </cfRule>
    <cfRule type="expression" priority="8" dxfId="1">
      <formula>AND(Kalkulasi!$B$42&lt;Parameter!$C$7,Kalkulasi!$B$42&gt;=Parameter!$C$8)</formula>
    </cfRule>
    <cfRule type="expression" priority="9" dxfId="2">
      <formula>AND(Kalkulasi!$B$42&lt;Parameter!$C$8,Kalkulasi!$B$42&gt;0)</formula>
    </cfRule>
  </conditionalFormatting>
  <conditionalFormatting sqref="M11">
    <cfRule type="expression" priority="10" dxfId="3">
      <formula>Kalkulasi!$B$42&gt;=Parameter!$C$7</formula>
    </cfRule>
    <cfRule type="expression" priority="11" dxfId="4">
      <formula>AND(Kalkulasi!$B$42&lt;Parameter!$C$7,Kalkulasi!$B$42&gt;=Parameter!$C$8)</formula>
    </cfRule>
    <cfRule type="expression" priority="12" dxfId="5">
      <formula>AND(Kalkulasi!$B$42&lt;Parameter!$C$8,Kalkulasi!$B$42&gt;0)</formula>
    </cfRule>
  </conditionalFormatting>
  <dataValidations count="3">
    <dataValidation sqref="F6" showDropDown="0" showInputMessage="1" showErrorMessage="0" allowBlank="0" prompt="Pilih tanggal mulai" type="list">
      <formula1>=LIST!$M$3:$M$94</formula1>
    </dataValidation>
    <dataValidation sqref="I6" showDropDown="0" showInputMessage="1" showErrorMessage="0" allowBlank="0" prompt="Pilih tanggal akhir" type="list">
      <formula1>=LIST!$M$3:$M$94</formula1>
    </dataValidation>
    <dataValidation sqref="L6" showDropDown="0" showInputMessage="1" showErrorMessage="0" allowBlank="0" prompt="DS = day shift, NS = night shift" type="list">
      <formula1>"Semua,DS,NS"</formula1>
    </dataValidation>
  </dataValidations>
  <pageMargins left="0.25" right="0.25" top="0.25" bottom="0.25" header="0.5" footer="0.5"/>
  <pageSetup orientation="landscape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E3B4E"/>
    <outlinePr summaryBelow="1" summaryRight="1"/>
    <pageSetUpPr fitToPage="1"/>
  </sheetPr>
  <dimension ref="A1:V130"/>
  <sheetViews>
    <sheetView showGridLines="0" showRowColHeaders="0" zoomScale="90" workbookViewId="0">
      <pane xSplit="2" topLeftCell="C1" activePane="topRight" state="frozen"/>
      <selection pane="topRight" activeCell="A1" sqref="A1"/>
    </sheetView>
  </sheetViews>
  <sheetFormatPr baseColWidth="8" defaultRowHeight="15"/>
  <cols>
    <col width="1.2" customWidth="1" min="1" max="1"/>
    <col width="27" customWidth="1" min="2" max="2"/>
    <col width="2.5" customWidth="1" min="3" max="3"/>
    <col width="8.6" customWidth="1" min="4" max="4"/>
    <col width="8.6" customWidth="1" min="5" max="5"/>
    <col width="8.6" customWidth="1" min="6" max="6"/>
    <col width="8.6" customWidth="1" min="7" max="7"/>
    <col width="8.6" customWidth="1" min="8" max="8"/>
    <col width="8.6" customWidth="1" min="9" max="9"/>
    <col width="8.6" customWidth="1" min="10" max="10"/>
    <col width="8.6" customWidth="1" min="11" max="11"/>
    <col width="8.6" customWidth="1" min="12" max="12"/>
    <col width="8.6" customWidth="1" min="13" max="13"/>
    <col width="8.6" customWidth="1" min="14" max="14"/>
    <col width="8.6" customWidth="1" min="15" max="15"/>
    <col width="8.6" customWidth="1" min="16" max="16"/>
    <col width="8.6" customWidth="1" min="17" max="17"/>
    <col width="8.6" customWidth="1" min="18" max="18"/>
    <col width="8.6" customWidth="1" min="19" max="19"/>
    <col width="8.6" customWidth="1" min="20" max="20"/>
    <col width="8.6" customWidth="1" min="21" max="21"/>
    <col width="2.5" customWidth="1" min="22" max="22"/>
  </cols>
  <sheetData>
    <row r="1" ht="10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28" customHeight="1">
      <c r="A2" s="1" t="n"/>
      <c r="B2" s="3" t="inlineStr">
        <is>
          <t>PIT CONTROL</t>
        </is>
      </c>
      <c r="C2" s="2" t="n"/>
      <c r="D2" s="4" t="inlineStr">
        <is>
          <t>Mine Ops Board  /  Produktivitas Digger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 ht="34" customHeight="1">
      <c r="A3" s="1" t="n"/>
      <c r="B3" s="5" t="inlineStr">
        <is>
          <t>MINE OPS BOARD</t>
        </is>
      </c>
      <c r="C3" s="2" t="n"/>
      <c r="D3" s="6" t="inlineStr">
        <is>
          <t>Produktivitas Digger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>
      <c r="A4" s="1" t="n"/>
      <c r="B4" s="1" t="n"/>
      <c r="C4" s="2" t="n"/>
      <c r="D4" s="7" t="inlineStr">
        <is>
          <t>PTY excavator = produksi ÷ EWH · pilih digger untuk melihat tren hariannya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 ht="8" customHeight="1">
      <c r="A5" s="1" t="n"/>
      <c r="B5" s="8" t="inlineStr">
        <is>
          <t>BOARD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 ht="24" customHeight="1">
      <c r="A6" s="1" t="n"/>
      <c r="B6" s="15">
        <f>HYPERLINK("#Produksi!A1","   Produksi")</f>
        <v/>
      </c>
      <c r="C6" s="2" t="n"/>
      <c r="D6" s="11" t="n"/>
      <c r="E6" s="12" t="inlineStr">
        <is>
          <t>Dari</t>
        </is>
      </c>
      <c r="F6" s="13" t="n">
        <v>46082</v>
      </c>
      <c r="G6" s="11" t="n"/>
      <c r="H6" s="12" t="inlineStr">
        <is>
          <t>Sampai</t>
        </is>
      </c>
      <c r="I6" s="13" t="n">
        <v>46110</v>
      </c>
      <c r="J6" s="11" t="n"/>
      <c r="K6" s="12" t="inlineStr">
        <is>
          <t>Shift</t>
        </is>
      </c>
      <c r="L6" s="14" t="inlineStr">
        <is>
          <t>Semua</t>
        </is>
      </c>
      <c r="M6" s="11" t="n"/>
      <c r="N6" s="12" t="inlineStr">
        <is>
          <t>Digger</t>
        </is>
      </c>
      <c r="O6" s="14" t="inlineStr">
        <is>
          <t>Semua</t>
        </is>
      </c>
      <c r="P6" s="2" t="n"/>
      <c r="Q6" s="2" t="n"/>
      <c r="R6" s="2" t="n"/>
      <c r="S6" s="2" t="n"/>
      <c r="T6" s="2" t="n"/>
      <c r="U6" s="2" t="n"/>
      <c r="V6" s="2" t="n"/>
    </row>
    <row r="7" ht="14" customHeight="1">
      <c r="A7" s="9" t="n"/>
      <c r="B7" s="10">
        <f>HYPERLINK("#Digger!A1","   Produktivitas Digger")</f>
        <v/>
      </c>
      <c r="C7" s="2" t="n"/>
      <c r="D7" s="16">
        <f>IF(Kalkulasi!$B$16=0,"⚠ Tanggal akhir harus sama atau setelah tanggal mulai","Klik sel kuning untuk memilih filter · "&amp;Kalkulasi!$B$16&amp;" hari dipilih")</f>
        <v/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 ht="22" customHeight="1">
      <c r="A8" s="1" t="n"/>
      <c r="B8" s="15">
        <f>HYPERLINK("#Availability!A1","   Availability Unit")</f>
        <v/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 ht="18" customHeight="1">
      <c r="A9" s="1" t="n"/>
      <c r="B9" s="15">
        <f>HYPERLINK("#'Delay &amp; Hujan'!A1","   Delay &amp; Hujan")</f>
        <v/>
      </c>
      <c r="C9" s="2" t="n"/>
      <c r="D9" s="17" t="inlineStr">
        <is>
          <t>PTY OB FLEET</t>
        </is>
      </c>
      <c r="E9" s="18" t="n"/>
      <c r="F9" s="19" t="n"/>
      <c r="G9" s="17" t="inlineStr">
        <is>
          <t>PTY COAL</t>
        </is>
      </c>
      <c r="H9" s="18" t="n"/>
      <c r="I9" s="19" t="n"/>
      <c r="J9" s="17" t="inlineStr">
        <is>
          <t>DIGGER PTY TERTINGGI</t>
        </is>
      </c>
      <c r="K9" s="18" t="n"/>
      <c r="L9" s="19" t="n"/>
      <c r="M9" s="17" t="inlineStr">
        <is>
          <t>PRODUKSI OB DIGGER</t>
        </is>
      </c>
      <c r="N9" s="18" t="n"/>
      <c r="O9" s="19" t="n"/>
      <c r="P9" s="17" t="inlineStr">
        <is>
          <t>HM EXCAVATOR</t>
        </is>
      </c>
      <c r="Q9" s="18" t="n"/>
      <c r="R9" s="19" t="n"/>
      <c r="S9" s="17" t="inlineStr">
        <is>
          <t>DIGGER AKTIF OB</t>
        </is>
      </c>
      <c r="T9" s="18" t="n"/>
      <c r="U9" s="19" t="n"/>
      <c r="V9" s="2" t="n"/>
    </row>
    <row r="10" ht="30" customHeight="1">
      <c r="A10" s="1" t="n"/>
      <c r="B10" s="15">
        <f>HYPERLINK("#Fuel!A1","   Fuel")</f>
        <v/>
      </c>
      <c r="C10" s="2" t="n"/>
      <c r="D10" s="60">
        <f>Kalkulasi!$B$54</f>
        <v/>
      </c>
      <c r="F10" s="21" t="n"/>
      <c r="G10" s="61">
        <f>Kalkulasi!$B$55</f>
        <v/>
      </c>
      <c r="I10" s="21" t="n"/>
      <c r="J10" s="62">
        <f>IFERROR(INDEX($D$15:$D$32,MATCH(MAX($I$15:$I$32),$I$15:$I$32,0)),"–")</f>
        <v/>
      </c>
      <c r="L10" s="21" t="n"/>
      <c r="M10" s="20">
        <f>Kalkulasi!$B$50</f>
        <v/>
      </c>
      <c r="O10" s="21" t="n"/>
      <c r="P10" s="63">
        <f>Kalkulasi!$B$56</f>
        <v/>
      </c>
      <c r="R10" s="21" t="n"/>
      <c r="S10" s="64">
        <f>COUNTIF($H$15:$H$32,"&gt;0")</f>
        <v/>
      </c>
      <c r="U10" s="21" t="n"/>
      <c r="V10" s="2" t="n"/>
    </row>
    <row r="11" ht="18" customHeight="1">
      <c r="A11" s="1" t="n"/>
      <c r="B11" s="15">
        <f>HYPERLINK("#'Tren PTY'!A1","   Tren PTY")</f>
        <v/>
      </c>
      <c r="C11" s="2" t="n"/>
      <c r="D11" s="26">
        <f>"EWH OB "&amp;TEXT(Kalkulasi!$B$51,"#,##0")&amp;" jam"</f>
        <v/>
      </c>
      <c r="E11" s="27" t="n"/>
      <c r="F11" s="28" t="n"/>
      <c r="G11" s="26">
        <f>"EWH coal "&amp;TEXT(Kalkulasi!$B$53,"#,##0")&amp;" jam"</f>
        <v/>
      </c>
      <c r="H11" s="27" t="n"/>
      <c r="I11" s="28" t="n"/>
      <c r="J11" s="26">
        <f>TEXT(MAX($I$15:$I$32),"#,##0")&amp;" BCM/jam · "&amp;IFERROR(INDEX($E$15:$E$32,MATCH(MAX($I$15:$I$32),$I$15:$I$32,0)),"")</f>
        <v/>
      </c>
      <c r="K11" s="27" t="n"/>
      <c r="L11" s="28" t="n"/>
      <c r="M11" s="26">
        <f>"Semua excavator"</f>
        <v/>
      </c>
      <c r="N11" s="27" t="n"/>
      <c r="O11" s="28" t="n"/>
      <c r="P11" s="26">
        <f>"EWH OB "&amp;TEXT(IF(Kalkulasi!$B$56=0,0,Kalkulasi!$B$51/Kalkulasi!$B$56),"0%")&amp;" dari HM"</f>
        <v/>
      </c>
      <c r="Q11" s="27" t="n"/>
      <c r="R11" s="28" t="n"/>
      <c r="S11" s="26">
        <f>"dari 18 excavator"</f>
        <v/>
      </c>
      <c r="T11" s="27" t="n"/>
      <c r="U11" s="28" t="n"/>
      <c r="V11" s="2" t="n"/>
    </row>
    <row r="12" ht="10" customHeight="1">
      <c r="A12" s="1" t="n"/>
      <c r="B12" s="1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</row>
    <row r="13" ht="24" customHeight="1">
      <c r="A13" s="1" t="n"/>
      <c r="B13" s="8" t="inlineStr">
        <is>
          <t>PER JAM</t>
        </is>
      </c>
      <c r="C13" s="2" t="n"/>
      <c r="D13" s="29" t="inlineStr">
        <is>
          <t>PTY per excavator</t>
        </is>
      </c>
      <c r="E13" s="30" t="n"/>
      <c r="F13" s="30" t="n"/>
      <c r="G13" s="30" t="n"/>
      <c r="H13" s="30" t="n"/>
      <c r="I13" s="30" t="n"/>
      <c r="J13" s="30" t="n"/>
      <c r="K13" s="30" t="n"/>
      <c r="L13" s="30" t="n"/>
      <c r="M13" s="30" t="n"/>
      <c r="N13" s="31" t="inlineStr">
        <is>
          <t>baris biru = digger terpilih</t>
        </is>
      </c>
      <c r="O13" s="29" t="inlineStr">
        <is>
          <t>PTY OB (BCM/jam EWH)</t>
        </is>
      </c>
      <c r="P13" s="30" t="n"/>
      <c r="Q13" s="30" t="n"/>
      <c r="R13" s="30" t="n"/>
      <c r="S13" s="30" t="n"/>
      <c r="T13" s="30" t="n"/>
      <c r="U13" s="31" t="inlineStr">
        <is>
          <t>digger dengan produksi OB</t>
        </is>
      </c>
      <c r="V13" s="2" t="n"/>
    </row>
    <row r="14" ht="20" customHeight="1">
      <c r="A14" s="1" t="n"/>
      <c r="B14" s="15">
        <f>HYPERLINK("#'PTY per Jam'!A1","   PTY per Jam")</f>
        <v/>
      </c>
      <c r="C14" s="2" t="n"/>
      <c r="D14" s="65" t="inlineStr">
        <is>
          <t>Unit</t>
        </is>
      </c>
      <c r="E14" s="65" t="inlineStr">
        <is>
          <t>Tipe</t>
        </is>
      </c>
      <c r="F14" s="66" t="inlineStr">
        <is>
          <t>HM</t>
        </is>
      </c>
      <c r="G14" s="66" t="inlineStr">
        <is>
          <t>EWH OB</t>
        </is>
      </c>
      <c r="H14" s="66" t="inlineStr">
        <is>
          <t>OB BCM</t>
        </is>
      </c>
      <c r="I14" s="66" t="inlineStr">
        <is>
          <t>PTY OB</t>
        </is>
      </c>
      <c r="J14" s="66" t="inlineStr">
        <is>
          <t>Ritase</t>
        </is>
      </c>
      <c r="K14" s="66" t="inlineStr">
        <is>
          <t>Coal MT</t>
        </is>
      </c>
      <c r="L14" s="66" t="inlineStr">
        <is>
          <t>PTY coal</t>
        </is>
      </c>
      <c r="M14" s="66" t="inlineStr">
        <is>
          <t>PA</t>
        </is>
      </c>
      <c r="N14" s="66" t="inlineStr">
        <is>
          <t>UA</t>
        </is>
      </c>
      <c r="O14" s="32" t="n"/>
      <c r="P14" s="33" t="n"/>
      <c r="Q14" s="33" t="n"/>
      <c r="R14" s="33" t="n"/>
      <c r="S14" s="33" t="n"/>
      <c r="T14" s="33" t="n"/>
      <c r="U14" s="34" t="n"/>
      <c r="V14" s="2" t="n"/>
    </row>
    <row r="15" ht="18" customHeight="1">
      <c r="A15" s="1" t="n"/>
      <c r="B15" s="15">
        <f>HYPERLINK("#'Fleet &amp; Delay'!A1","   Fleet &amp; Delay")</f>
        <v/>
      </c>
      <c r="C15" s="2" t="n"/>
      <c r="D15" s="67" t="inlineStr">
        <is>
          <t>EX-1251</t>
        </is>
      </c>
      <c r="E15" s="68" t="inlineStr">
        <is>
          <t>SY1250</t>
        </is>
      </c>
      <c r="F15" s="69">
        <f>SUMIFS(DATA_TS!$G$2:$G$20001,DATA_TS!$A$2:$A$20001,"&gt;="&amp;Kalkulasi!$B$12,DATA_TS!$A$2:$A$20001,"&lt;="&amp;Kalkulasi!$B$13,DATA_TS!$B$2:$B$20001,Kalkulasi!$B$14,DATA_TS!$C$2:$C$20001,$D15)</f>
        <v/>
      </c>
      <c r="G15" s="70">
        <f>SUMIFS(DATA_TS!$M$2:$M$20001,DATA_TS!$A$2:$A$20001,"&gt;="&amp;Kalkulasi!$B$12,DATA_TS!$A$2:$A$20001,"&lt;="&amp;Kalkulasi!$B$13,DATA_TS!$B$2:$B$20001,Kalkulasi!$B$14,DATA_TS!$C$2:$C$20001,$D15)</f>
        <v/>
      </c>
      <c r="H15" s="70">
        <f>SUMIFS(DATA_TS!$Q$2:$Q$20001,DATA_TS!$A$2:$A$20001,"&gt;="&amp;Kalkulasi!$B$12,DATA_TS!$A$2:$A$20001,"&lt;="&amp;Kalkulasi!$B$13,DATA_TS!$B$2:$B$20001,Kalkulasi!$B$14,DATA_TS!$C$2:$C$20001,$D15)</f>
        <v/>
      </c>
      <c r="I15" s="71">
        <f>IF(G15=0,0,H15/G15)</f>
        <v/>
      </c>
      <c r="J15" s="70">
        <f>SUMIFS(DATA_TS!$O$2:$O$20001,DATA_TS!$A$2:$A$20001,"&gt;="&amp;Kalkulasi!$B$12,DATA_TS!$A$2:$A$20001,"&lt;="&amp;Kalkulasi!$B$13,DATA_TS!$B$2:$B$20001,Kalkulasi!$B$14,DATA_TS!$C$2:$C$20001,$D15)</f>
        <v/>
      </c>
      <c r="K15" s="70">
        <f>SUMIFS(DATA_TS!$R$2:$R$20001,DATA_TS!$A$2:$A$20001,"&gt;="&amp;Kalkulasi!$B$12,DATA_TS!$A$2:$A$20001,"&lt;="&amp;Kalkulasi!$B$13,DATA_TS!$B$2:$B$20001,Kalkulasi!$B$14,DATA_TS!$C$2:$C$20001,$D15)</f>
        <v/>
      </c>
      <c r="L15" s="70">
        <f>IFERROR(K15/SUMIFS(DATA_TS!$N$2:$N$20001,DATA_TS!$A$2:$A$20001,"&gt;="&amp;Kalkulasi!$B$12,DATA_TS!$A$2:$A$20001,"&lt;="&amp;Kalkulasi!$B$13,DATA_TS!$B$2:$B$20001,Kalkulasi!$B$14,DATA_TS!$C$2:$C$20001,$D15),0)</f>
        <v/>
      </c>
      <c r="M15" s="72">
        <f>IF(F15+SUMIFS(DATA_TS!$J$2:$J$20001,DATA_TS!$A$2:$A$20001,"&gt;="&amp;Kalkulasi!$B$12,DATA_TS!$A$2:$A$20001,"&lt;="&amp;Kalkulasi!$B$13,DATA_TS!$B$2:$B$20001,Kalkulasi!$B$14,DATA_TS!$C$2:$C$20001,$D15)+SUMIFS(DATA_TS!$K$2:$K$20001,DATA_TS!$A$2:$A$20001,"&gt;="&amp;Kalkulasi!$B$12,DATA_TS!$A$2:$A$20001,"&lt;="&amp;Kalkulasi!$B$13,DATA_TS!$B$2:$B$20001,Kalkulasi!$B$14,DATA_TS!$C$2:$C$20001,$D15)=0,0,(F15+SUMIFS(DATA_TS!$K$2:$K$20001,DATA_TS!$A$2:$A$20001,"&gt;="&amp;Kalkulasi!$B$12,DATA_TS!$A$2:$A$20001,"&lt;="&amp;Kalkulasi!$B$13,DATA_TS!$B$2:$B$20001,Kalkulasi!$B$14,DATA_TS!$C$2:$C$20001,$D15))/(F15+SUMIFS(DATA_TS!$J$2:$J$20001,DATA_TS!$A$2:$A$20001,"&gt;="&amp;Kalkulasi!$B$12,DATA_TS!$A$2:$A$20001,"&lt;="&amp;Kalkulasi!$B$13,DATA_TS!$B$2:$B$20001,Kalkulasi!$B$14,DATA_TS!$C$2:$C$20001,$D15)+SUMIFS(DATA_TS!$K$2:$K$20001,DATA_TS!$A$2:$A$20001,"&gt;="&amp;Kalkulasi!$B$12,DATA_TS!$A$2:$A$20001,"&lt;="&amp;Kalkulasi!$B$13,DATA_TS!$B$2:$B$20001,Kalkulasi!$B$14,DATA_TS!$C$2:$C$20001,$D15)))</f>
        <v/>
      </c>
      <c r="N15" s="72">
        <f>IF(F15+SUMIFS(DATA_TS!$K$2:$K$20001,DATA_TS!$A$2:$A$20001,"&gt;="&amp;Kalkulasi!$B$12,DATA_TS!$A$2:$A$20001,"&lt;="&amp;Kalkulasi!$B$13,DATA_TS!$B$2:$B$20001,Kalkulasi!$B$14,DATA_TS!$C$2:$C$20001,$D15)=0,0,F15/(F15+SUMIFS(DATA_TS!$K$2:$K$20001,DATA_TS!$A$2:$A$20001,"&gt;="&amp;Kalkulasi!$B$12,DATA_TS!$A$2:$A$20001,"&lt;="&amp;Kalkulasi!$B$13,DATA_TS!$B$2:$B$20001,Kalkulasi!$B$14,DATA_TS!$C$2:$C$20001,$D15)))</f>
        <v/>
      </c>
      <c r="O15" s="32" t="n"/>
      <c r="P15" s="33" t="n"/>
      <c r="Q15" s="33" t="n"/>
      <c r="R15" s="33" t="n"/>
      <c r="S15" s="33" t="n"/>
      <c r="T15" s="33" t="n"/>
      <c r="U15" s="34" t="n"/>
      <c r="V15" s="2" t="n"/>
    </row>
    <row r="16" ht="18" customHeight="1">
      <c r="A16" s="1" t="n"/>
      <c r="B16" s="15">
        <f>HYPERLINK("#'Daily Report'!A1","   Daily Report")</f>
        <v/>
      </c>
      <c r="C16" s="2" t="n"/>
      <c r="D16" s="67" t="inlineStr">
        <is>
          <t>EX-755</t>
        </is>
      </c>
      <c r="E16" s="68" t="inlineStr">
        <is>
          <t>SY750H-PRO</t>
        </is>
      </c>
      <c r="F16" s="69">
        <f>SUMIFS(DATA_TS!$G$2:$G$20001,DATA_TS!$A$2:$A$20001,"&gt;="&amp;Kalkulasi!$B$12,DATA_TS!$A$2:$A$20001,"&lt;="&amp;Kalkulasi!$B$13,DATA_TS!$B$2:$B$20001,Kalkulasi!$B$14,DATA_TS!$C$2:$C$20001,$D16)</f>
        <v/>
      </c>
      <c r="G16" s="70">
        <f>SUMIFS(DATA_TS!$M$2:$M$20001,DATA_TS!$A$2:$A$20001,"&gt;="&amp;Kalkulasi!$B$12,DATA_TS!$A$2:$A$20001,"&lt;="&amp;Kalkulasi!$B$13,DATA_TS!$B$2:$B$20001,Kalkulasi!$B$14,DATA_TS!$C$2:$C$20001,$D16)</f>
        <v/>
      </c>
      <c r="H16" s="70">
        <f>SUMIFS(DATA_TS!$Q$2:$Q$20001,DATA_TS!$A$2:$A$20001,"&gt;="&amp;Kalkulasi!$B$12,DATA_TS!$A$2:$A$20001,"&lt;="&amp;Kalkulasi!$B$13,DATA_TS!$B$2:$B$20001,Kalkulasi!$B$14,DATA_TS!$C$2:$C$20001,$D16)</f>
        <v/>
      </c>
      <c r="I16" s="71">
        <f>IF(G16=0,0,H16/G16)</f>
        <v/>
      </c>
      <c r="J16" s="70">
        <f>SUMIFS(DATA_TS!$O$2:$O$20001,DATA_TS!$A$2:$A$20001,"&gt;="&amp;Kalkulasi!$B$12,DATA_TS!$A$2:$A$20001,"&lt;="&amp;Kalkulasi!$B$13,DATA_TS!$B$2:$B$20001,Kalkulasi!$B$14,DATA_TS!$C$2:$C$20001,$D16)</f>
        <v/>
      </c>
      <c r="K16" s="70">
        <f>SUMIFS(DATA_TS!$R$2:$R$20001,DATA_TS!$A$2:$A$20001,"&gt;="&amp;Kalkulasi!$B$12,DATA_TS!$A$2:$A$20001,"&lt;="&amp;Kalkulasi!$B$13,DATA_TS!$B$2:$B$20001,Kalkulasi!$B$14,DATA_TS!$C$2:$C$20001,$D16)</f>
        <v/>
      </c>
      <c r="L16" s="70">
        <f>IFERROR(K16/SUMIFS(DATA_TS!$N$2:$N$20001,DATA_TS!$A$2:$A$20001,"&gt;="&amp;Kalkulasi!$B$12,DATA_TS!$A$2:$A$20001,"&lt;="&amp;Kalkulasi!$B$13,DATA_TS!$B$2:$B$20001,Kalkulasi!$B$14,DATA_TS!$C$2:$C$20001,$D16),0)</f>
        <v/>
      </c>
      <c r="M16" s="72">
        <f>IF(F16+SUMIFS(DATA_TS!$J$2:$J$20001,DATA_TS!$A$2:$A$20001,"&gt;="&amp;Kalkulasi!$B$12,DATA_TS!$A$2:$A$20001,"&lt;="&amp;Kalkulasi!$B$13,DATA_TS!$B$2:$B$20001,Kalkulasi!$B$14,DATA_TS!$C$2:$C$20001,$D16)+SUMIFS(DATA_TS!$K$2:$K$20001,DATA_TS!$A$2:$A$20001,"&gt;="&amp;Kalkulasi!$B$12,DATA_TS!$A$2:$A$20001,"&lt;="&amp;Kalkulasi!$B$13,DATA_TS!$B$2:$B$20001,Kalkulasi!$B$14,DATA_TS!$C$2:$C$20001,$D16)=0,0,(F16+SUMIFS(DATA_TS!$K$2:$K$20001,DATA_TS!$A$2:$A$20001,"&gt;="&amp;Kalkulasi!$B$12,DATA_TS!$A$2:$A$20001,"&lt;="&amp;Kalkulasi!$B$13,DATA_TS!$B$2:$B$20001,Kalkulasi!$B$14,DATA_TS!$C$2:$C$20001,$D16))/(F16+SUMIFS(DATA_TS!$J$2:$J$20001,DATA_TS!$A$2:$A$20001,"&gt;="&amp;Kalkulasi!$B$12,DATA_TS!$A$2:$A$20001,"&lt;="&amp;Kalkulasi!$B$13,DATA_TS!$B$2:$B$20001,Kalkulasi!$B$14,DATA_TS!$C$2:$C$20001,$D16)+SUMIFS(DATA_TS!$K$2:$K$20001,DATA_TS!$A$2:$A$20001,"&gt;="&amp;Kalkulasi!$B$12,DATA_TS!$A$2:$A$20001,"&lt;="&amp;Kalkulasi!$B$13,DATA_TS!$B$2:$B$20001,Kalkulasi!$B$14,DATA_TS!$C$2:$C$20001,$D16)))</f>
        <v/>
      </c>
      <c r="N16" s="72">
        <f>IF(F16+SUMIFS(DATA_TS!$K$2:$K$20001,DATA_TS!$A$2:$A$20001,"&gt;="&amp;Kalkulasi!$B$12,DATA_TS!$A$2:$A$20001,"&lt;="&amp;Kalkulasi!$B$13,DATA_TS!$B$2:$B$20001,Kalkulasi!$B$14,DATA_TS!$C$2:$C$20001,$D16)=0,0,F16/(F16+SUMIFS(DATA_TS!$K$2:$K$20001,DATA_TS!$A$2:$A$20001,"&gt;="&amp;Kalkulasi!$B$12,DATA_TS!$A$2:$A$20001,"&lt;="&amp;Kalkulasi!$B$13,DATA_TS!$B$2:$B$20001,Kalkulasi!$B$14,DATA_TS!$C$2:$C$20001,$D16)))</f>
        <v/>
      </c>
      <c r="O16" s="32" t="n"/>
      <c r="P16" s="33" t="n"/>
      <c r="Q16" s="33" t="n"/>
      <c r="R16" s="33" t="n"/>
      <c r="S16" s="33" t="n"/>
      <c r="T16" s="33" t="n"/>
      <c r="U16" s="34" t="n"/>
      <c r="V16" s="2" t="n"/>
    </row>
    <row r="17" ht="18" customHeight="1">
      <c r="A17" s="1" t="n"/>
      <c r="B17" s="15">
        <f>HYPERLINK("#INPUT_RITASE!A1","   Input ritase ↗")</f>
        <v/>
      </c>
      <c r="C17" s="2" t="n"/>
      <c r="D17" s="67" t="inlineStr">
        <is>
          <t>EX-2101</t>
        </is>
      </c>
      <c r="E17" s="68" t="inlineStr">
        <is>
          <t>SY2000</t>
        </is>
      </c>
      <c r="F17" s="69">
        <f>SUMIFS(DATA_TS!$G$2:$G$20001,DATA_TS!$A$2:$A$20001,"&gt;="&amp;Kalkulasi!$B$12,DATA_TS!$A$2:$A$20001,"&lt;="&amp;Kalkulasi!$B$13,DATA_TS!$B$2:$B$20001,Kalkulasi!$B$14,DATA_TS!$C$2:$C$20001,$D17)</f>
        <v/>
      </c>
      <c r="G17" s="70">
        <f>SUMIFS(DATA_TS!$M$2:$M$20001,DATA_TS!$A$2:$A$20001,"&gt;="&amp;Kalkulasi!$B$12,DATA_TS!$A$2:$A$20001,"&lt;="&amp;Kalkulasi!$B$13,DATA_TS!$B$2:$B$20001,Kalkulasi!$B$14,DATA_TS!$C$2:$C$20001,$D17)</f>
        <v/>
      </c>
      <c r="H17" s="70">
        <f>SUMIFS(DATA_TS!$Q$2:$Q$20001,DATA_TS!$A$2:$A$20001,"&gt;="&amp;Kalkulasi!$B$12,DATA_TS!$A$2:$A$20001,"&lt;="&amp;Kalkulasi!$B$13,DATA_TS!$B$2:$B$20001,Kalkulasi!$B$14,DATA_TS!$C$2:$C$20001,$D17)</f>
        <v/>
      </c>
      <c r="I17" s="71">
        <f>IF(G17=0,0,H17/G17)</f>
        <v/>
      </c>
      <c r="J17" s="70">
        <f>SUMIFS(DATA_TS!$O$2:$O$20001,DATA_TS!$A$2:$A$20001,"&gt;="&amp;Kalkulasi!$B$12,DATA_TS!$A$2:$A$20001,"&lt;="&amp;Kalkulasi!$B$13,DATA_TS!$B$2:$B$20001,Kalkulasi!$B$14,DATA_TS!$C$2:$C$20001,$D17)</f>
        <v/>
      </c>
      <c r="K17" s="70">
        <f>SUMIFS(DATA_TS!$R$2:$R$20001,DATA_TS!$A$2:$A$20001,"&gt;="&amp;Kalkulasi!$B$12,DATA_TS!$A$2:$A$20001,"&lt;="&amp;Kalkulasi!$B$13,DATA_TS!$B$2:$B$20001,Kalkulasi!$B$14,DATA_TS!$C$2:$C$20001,$D17)</f>
        <v/>
      </c>
      <c r="L17" s="70">
        <f>IFERROR(K17/SUMIFS(DATA_TS!$N$2:$N$20001,DATA_TS!$A$2:$A$20001,"&gt;="&amp;Kalkulasi!$B$12,DATA_TS!$A$2:$A$20001,"&lt;="&amp;Kalkulasi!$B$13,DATA_TS!$B$2:$B$20001,Kalkulasi!$B$14,DATA_TS!$C$2:$C$20001,$D17),0)</f>
        <v/>
      </c>
      <c r="M17" s="72">
        <f>IF(F17+SUMIFS(DATA_TS!$J$2:$J$20001,DATA_TS!$A$2:$A$20001,"&gt;="&amp;Kalkulasi!$B$12,DATA_TS!$A$2:$A$20001,"&lt;="&amp;Kalkulasi!$B$13,DATA_TS!$B$2:$B$20001,Kalkulasi!$B$14,DATA_TS!$C$2:$C$20001,$D17)+SUMIFS(DATA_TS!$K$2:$K$20001,DATA_TS!$A$2:$A$20001,"&gt;="&amp;Kalkulasi!$B$12,DATA_TS!$A$2:$A$20001,"&lt;="&amp;Kalkulasi!$B$13,DATA_TS!$B$2:$B$20001,Kalkulasi!$B$14,DATA_TS!$C$2:$C$20001,$D17)=0,0,(F17+SUMIFS(DATA_TS!$K$2:$K$20001,DATA_TS!$A$2:$A$20001,"&gt;="&amp;Kalkulasi!$B$12,DATA_TS!$A$2:$A$20001,"&lt;="&amp;Kalkulasi!$B$13,DATA_TS!$B$2:$B$20001,Kalkulasi!$B$14,DATA_TS!$C$2:$C$20001,$D17))/(F17+SUMIFS(DATA_TS!$J$2:$J$20001,DATA_TS!$A$2:$A$20001,"&gt;="&amp;Kalkulasi!$B$12,DATA_TS!$A$2:$A$20001,"&lt;="&amp;Kalkulasi!$B$13,DATA_TS!$B$2:$B$20001,Kalkulasi!$B$14,DATA_TS!$C$2:$C$20001,$D17)+SUMIFS(DATA_TS!$K$2:$K$20001,DATA_TS!$A$2:$A$20001,"&gt;="&amp;Kalkulasi!$B$12,DATA_TS!$A$2:$A$20001,"&lt;="&amp;Kalkulasi!$B$13,DATA_TS!$B$2:$B$20001,Kalkulasi!$B$14,DATA_TS!$C$2:$C$20001,$D17)))</f>
        <v/>
      </c>
      <c r="N17" s="72">
        <f>IF(F17+SUMIFS(DATA_TS!$K$2:$K$20001,DATA_TS!$A$2:$A$20001,"&gt;="&amp;Kalkulasi!$B$12,DATA_TS!$A$2:$A$20001,"&lt;="&amp;Kalkulasi!$B$13,DATA_TS!$B$2:$B$20001,Kalkulasi!$B$14,DATA_TS!$C$2:$C$20001,$D17)=0,0,F17/(F17+SUMIFS(DATA_TS!$K$2:$K$20001,DATA_TS!$A$2:$A$20001,"&gt;="&amp;Kalkulasi!$B$12,DATA_TS!$A$2:$A$20001,"&lt;="&amp;Kalkulasi!$B$13,DATA_TS!$B$2:$B$20001,Kalkulasi!$B$14,DATA_TS!$C$2:$C$20001,$D17)))</f>
        <v/>
      </c>
      <c r="O17" s="32" t="n"/>
      <c r="P17" s="33" t="n"/>
      <c r="Q17" s="33" t="n"/>
      <c r="R17" s="33" t="n"/>
      <c r="S17" s="33" t="n"/>
      <c r="T17" s="33" t="n"/>
      <c r="U17" s="34" t="n"/>
      <c r="V17" s="2" t="n"/>
    </row>
    <row r="18" ht="18" customHeight="1">
      <c r="A18" s="1" t="n"/>
      <c r="B18" s="15">
        <f>HYPERLINK("#INPUT_DELAY!A1","   Input delay ↗")</f>
        <v/>
      </c>
      <c r="C18" s="2" t="n"/>
      <c r="D18" s="67" t="inlineStr">
        <is>
          <t>EX-754</t>
        </is>
      </c>
      <c r="E18" s="68" t="inlineStr">
        <is>
          <t>SY750H-PRO</t>
        </is>
      </c>
      <c r="F18" s="69">
        <f>SUMIFS(DATA_TS!$G$2:$G$20001,DATA_TS!$A$2:$A$20001,"&gt;="&amp;Kalkulasi!$B$12,DATA_TS!$A$2:$A$20001,"&lt;="&amp;Kalkulasi!$B$13,DATA_TS!$B$2:$B$20001,Kalkulasi!$B$14,DATA_TS!$C$2:$C$20001,$D18)</f>
        <v/>
      </c>
      <c r="G18" s="70">
        <f>SUMIFS(DATA_TS!$M$2:$M$20001,DATA_TS!$A$2:$A$20001,"&gt;="&amp;Kalkulasi!$B$12,DATA_TS!$A$2:$A$20001,"&lt;="&amp;Kalkulasi!$B$13,DATA_TS!$B$2:$B$20001,Kalkulasi!$B$14,DATA_TS!$C$2:$C$20001,$D18)</f>
        <v/>
      </c>
      <c r="H18" s="70">
        <f>SUMIFS(DATA_TS!$Q$2:$Q$20001,DATA_TS!$A$2:$A$20001,"&gt;="&amp;Kalkulasi!$B$12,DATA_TS!$A$2:$A$20001,"&lt;="&amp;Kalkulasi!$B$13,DATA_TS!$B$2:$B$20001,Kalkulasi!$B$14,DATA_TS!$C$2:$C$20001,$D18)</f>
        <v/>
      </c>
      <c r="I18" s="71">
        <f>IF(G18=0,0,H18/G18)</f>
        <v/>
      </c>
      <c r="J18" s="70">
        <f>SUMIFS(DATA_TS!$O$2:$O$20001,DATA_TS!$A$2:$A$20001,"&gt;="&amp;Kalkulasi!$B$12,DATA_TS!$A$2:$A$20001,"&lt;="&amp;Kalkulasi!$B$13,DATA_TS!$B$2:$B$20001,Kalkulasi!$B$14,DATA_TS!$C$2:$C$20001,$D18)</f>
        <v/>
      </c>
      <c r="K18" s="70">
        <f>SUMIFS(DATA_TS!$R$2:$R$20001,DATA_TS!$A$2:$A$20001,"&gt;="&amp;Kalkulasi!$B$12,DATA_TS!$A$2:$A$20001,"&lt;="&amp;Kalkulasi!$B$13,DATA_TS!$B$2:$B$20001,Kalkulasi!$B$14,DATA_TS!$C$2:$C$20001,$D18)</f>
        <v/>
      </c>
      <c r="L18" s="70">
        <f>IFERROR(K18/SUMIFS(DATA_TS!$N$2:$N$20001,DATA_TS!$A$2:$A$20001,"&gt;="&amp;Kalkulasi!$B$12,DATA_TS!$A$2:$A$20001,"&lt;="&amp;Kalkulasi!$B$13,DATA_TS!$B$2:$B$20001,Kalkulasi!$B$14,DATA_TS!$C$2:$C$20001,$D18),0)</f>
        <v/>
      </c>
      <c r="M18" s="72">
        <f>IF(F18+SUMIFS(DATA_TS!$J$2:$J$20001,DATA_TS!$A$2:$A$20001,"&gt;="&amp;Kalkulasi!$B$12,DATA_TS!$A$2:$A$20001,"&lt;="&amp;Kalkulasi!$B$13,DATA_TS!$B$2:$B$20001,Kalkulasi!$B$14,DATA_TS!$C$2:$C$20001,$D18)+SUMIFS(DATA_TS!$K$2:$K$20001,DATA_TS!$A$2:$A$20001,"&gt;="&amp;Kalkulasi!$B$12,DATA_TS!$A$2:$A$20001,"&lt;="&amp;Kalkulasi!$B$13,DATA_TS!$B$2:$B$20001,Kalkulasi!$B$14,DATA_TS!$C$2:$C$20001,$D18)=0,0,(F18+SUMIFS(DATA_TS!$K$2:$K$20001,DATA_TS!$A$2:$A$20001,"&gt;="&amp;Kalkulasi!$B$12,DATA_TS!$A$2:$A$20001,"&lt;="&amp;Kalkulasi!$B$13,DATA_TS!$B$2:$B$20001,Kalkulasi!$B$14,DATA_TS!$C$2:$C$20001,$D18))/(F18+SUMIFS(DATA_TS!$J$2:$J$20001,DATA_TS!$A$2:$A$20001,"&gt;="&amp;Kalkulasi!$B$12,DATA_TS!$A$2:$A$20001,"&lt;="&amp;Kalkulasi!$B$13,DATA_TS!$B$2:$B$20001,Kalkulasi!$B$14,DATA_TS!$C$2:$C$20001,$D18)+SUMIFS(DATA_TS!$K$2:$K$20001,DATA_TS!$A$2:$A$20001,"&gt;="&amp;Kalkulasi!$B$12,DATA_TS!$A$2:$A$20001,"&lt;="&amp;Kalkulasi!$B$13,DATA_TS!$B$2:$B$20001,Kalkulasi!$B$14,DATA_TS!$C$2:$C$20001,$D18)))</f>
        <v/>
      </c>
      <c r="N18" s="72">
        <f>IF(F18+SUMIFS(DATA_TS!$K$2:$K$20001,DATA_TS!$A$2:$A$20001,"&gt;="&amp;Kalkulasi!$B$12,DATA_TS!$A$2:$A$20001,"&lt;="&amp;Kalkulasi!$B$13,DATA_TS!$B$2:$B$20001,Kalkulasi!$B$14,DATA_TS!$C$2:$C$20001,$D18)=0,0,F18/(F18+SUMIFS(DATA_TS!$K$2:$K$20001,DATA_TS!$A$2:$A$20001,"&gt;="&amp;Kalkulasi!$B$12,DATA_TS!$A$2:$A$20001,"&lt;="&amp;Kalkulasi!$B$13,DATA_TS!$B$2:$B$20001,Kalkulasi!$B$14,DATA_TS!$C$2:$C$20001,$D18)))</f>
        <v/>
      </c>
      <c r="O18" s="32" t="n"/>
      <c r="P18" s="33" t="n"/>
      <c r="Q18" s="33" t="n"/>
      <c r="R18" s="33" t="n"/>
      <c r="S18" s="33" t="n"/>
      <c r="T18" s="33" t="n"/>
      <c r="U18" s="34" t="n"/>
      <c r="V18" s="2" t="n"/>
    </row>
    <row r="19" ht="18" customHeight="1">
      <c r="A19" s="1" t="n"/>
      <c r="B19" s="1" t="n"/>
      <c r="C19" s="2" t="n"/>
      <c r="D19" s="67" t="inlineStr">
        <is>
          <t>EX-753</t>
        </is>
      </c>
      <c r="E19" s="68" t="inlineStr">
        <is>
          <t>SY750H-PRO</t>
        </is>
      </c>
      <c r="F19" s="69">
        <f>SUMIFS(DATA_TS!$G$2:$G$20001,DATA_TS!$A$2:$A$20001,"&gt;="&amp;Kalkulasi!$B$12,DATA_TS!$A$2:$A$20001,"&lt;="&amp;Kalkulasi!$B$13,DATA_TS!$B$2:$B$20001,Kalkulasi!$B$14,DATA_TS!$C$2:$C$20001,$D19)</f>
        <v/>
      </c>
      <c r="G19" s="70">
        <f>SUMIFS(DATA_TS!$M$2:$M$20001,DATA_TS!$A$2:$A$20001,"&gt;="&amp;Kalkulasi!$B$12,DATA_TS!$A$2:$A$20001,"&lt;="&amp;Kalkulasi!$B$13,DATA_TS!$B$2:$B$20001,Kalkulasi!$B$14,DATA_TS!$C$2:$C$20001,$D19)</f>
        <v/>
      </c>
      <c r="H19" s="70">
        <f>SUMIFS(DATA_TS!$Q$2:$Q$20001,DATA_TS!$A$2:$A$20001,"&gt;="&amp;Kalkulasi!$B$12,DATA_TS!$A$2:$A$20001,"&lt;="&amp;Kalkulasi!$B$13,DATA_TS!$B$2:$B$20001,Kalkulasi!$B$14,DATA_TS!$C$2:$C$20001,$D19)</f>
        <v/>
      </c>
      <c r="I19" s="71">
        <f>IF(G19=0,0,H19/G19)</f>
        <v/>
      </c>
      <c r="J19" s="70">
        <f>SUMIFS(DATA_TS!$O$2:$O$20001,DATA_TS!$A$2:$A$20001,"&gt;="&amp;Kalkulasi!$B$12,DATA_TS!$A$2:$A$20001,"&lt;="&amp;Kalkulasi!$B$13,DATA_TS!$B$2:$B$20001,Kalkulasi!$B$14,DATA_TS!$C$2:$C$20001,$D19)</f>
        <v/>
      </c>
      <c r="K19" s="70">
        <f>SUMIFS(DATA_TS!$R$2:$R$20001,DATA_TS!$A$2:$A$20001,"&gt;="&amp;Kalkulasi!$B$12,DATA_TS!$A$2:$A$20001,"&lt;="&amp;Kalkulasi!$B$13,DATA_TS!$B$2:$B$20001,Kalkulasi!$B$14,DATA_TS!$C$2:$C$20001,$D19)</f>
        <v/>
      </c>
      <c r="L19" s="70">
        <f>IFERROR(K19/SUMIFS(DATA_TS!$N$2:$N$20001,DATA_TS!$A$2:$A$20001,"&gt;="&amp;Kalkulasi!$B$12,DATA_TS!$A$2:$A$20001,"&lt;="&amp;Kalkulasi!$B$13,DATA_TS!$B$2:$B$20001,Kalkulasi!$B$14,DATA_TS!$C$2:$C$20001,$D19),0)</f>
        <v/>
      </c>
      <c r="M19" s="72">
        <f>IF(F19+SUMIFS(DATA_TS!$J$2:$J$20001,DATA_TS!$A$2:$A$20001,"&gt;="&amp;Kalkulasi!$B$12,DATA_TS!$A$2:$A$20001,"&lt;="&amp;Kalkulasi!$B$13,DATA_TS!$B$2:$B$20001,Kalkulasi!$B$14,DATA_TS!$C$2:$C$20001,$D19)+SUMIFS(DATA_TS!$K$2:$K$20001,DATA_TS!$A$2:$A$20001,"&gt;="&amp;Kalkulasi!$B$12,DATA_TS!$A$2:$A$20001,"&lt;="&amp;Kalkulasi!$B$13,DATA_TS!$B$2:$B$20001,Kalkulasi!$B$14,DATA_TS!$C$2:$C$20001,$D19)=0,0,(F19+SUMIFS(DATA_TS!$K$2:$K$20001,DATA_TS!$A$2:$A$20001,"&gt;="&amp;Kalkulasi!$B$12,DATA_TS!$A$2:$A$20001,"&lt;="&amp;Kalkulasi!$B$13,DATA_TS!$B$2:$B$20001,Kalkulasi!$B$14,DATA_TS!$C$2:$C$20001,$D19))/(F19+SUMIFS(DATA_TS!$J$2:$J$20001,DATA_TS!$A$2:$A$20001,"&gt;="&amp;Kalkulasi!$B$12,DATA_TS!$A$2:$A$20001,"&lt;="&amp;Kalkulasi!$B$13,DATA_TS!$B$2:$B$20001,Kalkulasi!$B$14,DATA_TS!$C$2:$C$20001,$D19)+SUMIFS(DATA_TS!$K$2:$K$20001,DATA_TS!$A$2:$A$20001,"&gt;="&amp;Kalkulasi!$B$12,DATA_TS!$A$2:$A$20001,"&lt;="&amp;Kalkulasi!$B$13,DATA_TS!$B$2:$B$20001,Kalkulasi!$B$14,DATA_TS!$C$2:$C$20001,$D19)))</f>
        <v/>
      </c>
      <c r="N19" s="72">
        <f>IF(F19+SUMIFS(DATA_TS!$K$2:$K$20001,DATA_TS!$A$2:$A$20001,"&gt;="&amp;Kalkulasi!$B$12,DATA_TS!$A$2:$A$20001,"&lt;="&amp;Kalkulasi!$B$13,DATA_TS!$B$2:$B$20001,Kalkulasi!$B$14,DATA_TS!$C$2:$C$20001,$D19)=0,0,F19/(F19+SUMIFS(DATA_TS!$K$2:$K$20001,DATA_TS!$A$2:$A$20001,"&gt;="&amp;Kalkulasi!$B$12,DATA_TS!$A$2:$A$20001,"&lt;="&amp;Kalkulasi!$B$13,DATA_TS!$B$2:$B$20001,Kalkulasi!$B$14,DATA_TS!$C$2:$C$20001,$D19)))</f>
        <v/>
      </c>
      <c r="O19" s="32" t="n"/>
      <c r="P19" s="33" t="n"/>
      <c r="Q19" s="33" t="n"/>
      <c r="R19" s="33" t="n"/>
      <c r="S19" s="33" t="n"/>
      <c r="T19" s="33" t="n"/>
      <c r="U19" s="34" t="n"/>
      <c r="V19" s="2" t="n"/>
    </row>
    <row r="20" ht="18" customHeight="1">
      <c r="A20" s="1" t="n"/>
      <c r="B20" s="8" t="inlineStr">
        <is>
          <t>DATA</t>
        </is>
      </c>
      <c r="C20" s="2" t="n"/>
      <c r="D20" s="67" t="inlineStr">
        <is>
          <t>EX-1252</t>
        </is>
      </c>
      <c r="E20" s="68" t="inlineStr">
        <is>
          <t>SY1250</t>
        </is>
      </c>
      <c r="F20" s="69">
        <f>SUMIFS(DATA_TS!$G$2:$G$20001,DATA_TS!$A$2:$A$20001,"&gt;="&amp;Kalkulasi!$B$12,DATA_TS!$A$2:$A$20001,"&lt;="&amp;Kalkulasi!$B$13,DATA_TS!$B$2:$B$20001,Kalkulasi!$B$14,DATA_TS!$C$2:$C$20001,$D20)</f>
        <v/>
      </c>
      <c r="G20" s="70">
        <f>SUMIFS(DATA_TS!$M$2:$M$20001,DATA_TS!$A$2:$A$20001,"&gt;="&amp;Kalkulasi!$B$12,DATA_TS!$A$2:$A$20001,"&lt;="&amp;Kalkulasi!$B$13,DATA_TS!$B$2:$B$20001,Kalkulasi!$B$14,DATA_TS!$C$2:$C$20001,$D20)</f>
        <v/>
      </c>
      <c r="H20" s="70">
        <f>SUMIFS(DATA_TS!$Q$2:$Q$20001,DATA_TS!$A$2:$A$20001,"&gt;="&amp;Kalkulasi!$B$12,DATA_TS!$A$2:$A$20001,"&lt;="&amp;Kalkulasi!$B$13,DATA_TS!$B$2:$B$20001,Kalkulasi!$B$14,DATA_TS!$C$2:$C$20001,$D20)</f>
        <v/>
      </c>
      <c r="I20" s="71">
        <f>IF(G20=0,0,H20/G20)</f>
        <v/>
      </c>
      <c r="J20" s="70">
        <f>SUMIFS(DATA_TS!$O$2:$O$20001,DATA_TS!$A$2:$A$20001,"&gt;="&amp;Kalkulasi!$B$12,DATA_TS!$A$2:$A$20001,"&lt;="&amp;Kalkulasi!$B$13,DATA_TS!$B$2:$B$20001,Kalkulasi!$B$14,DATA_TS!$C$2:$C$20001,$D20)</f>
        <v/>
      </c>
      <c r="K20" s="70">
        <f>SUMIFS(DATA_TS!$R$2:$R$20001,DATA_TS!$A$2:$A$20001,"&gt;="&amp;Kalkulasi!$B$12,DATA_TS!$A$2:$A$20001,"&lt;="&amp;Kalkulasi!$B$13,DATA_TS!$B$2:$B$20001,Kalkulasi!$B$14,DATA_TS!$C$2:$C$20001,$D20)</f>
        <v/>
      </c>
      <c r="L20" s="70">
        <f>IFERROR(K20/SUMIFS(DATA_TS!$N$2:$N$20001,DATA_TS!$A$2:$A$20001,"&gt;="&amp;Kalkulasi!$B$12,DATA_TS!$A$2:$A$20001,"&lt;="&amp;Kalkulasi!$B$13,DATA_TS!$B$2:$B$20001,Kalkulasi!$B$14,DATA_TS!$C$2:$C$20001,$D20),0)</f>
        <v/>
      </c>
      <c r="M20" s="72">
        <f>IF(F20+SUMIFS(DATA_TS!$J$2:$J$20001,DATA_TS!$A$2:$A$20001,"&gt;="&amp;Kalkulasi!$B$12,DATA_TS!$A$2:$A$20001,"&lt;="&amp;Kalkulasi!$B$13,DATA_TS!$B$2:$B$20001,Kalkulasi!$B$14,DATA_TS!$C$2:$C$20001,$D20)+SUMIFS(DATA_TS!$K$2:$K$20001,DATA_TS!$A$2:$A$20001,"&gt;="&amp;Kalkulasi!$B$12,DATA_TS!$A$2:$A$20001,"&lt;="&amp;Kalkulasi!$B$13,DATA_TS!$B$2:$B$20001,Kalkulasi!$B$14,DATA_TS!$C$2:$C$20001,$D20)=0,0,(F20+SUMIFS(DATA_TS!$K$2:$K$20001,DATA_TS!$A$2:$A$20001,"&gt;="&amp;Kalkulasi!$B$12,DATA_TS!$A$2:$A$20001,"&lt;="&amp;Kalkulasi!$B$13,DATA_TS!$B$2:$B$20001,Kalkulasi!$B$14,DATA_TS!$C$2:$C$20001,$D20))/(F20+SUMIFS(DATA_TS!$J$2:$J$20001,DATA_TS!$A$2:$A$20001,"&gt;="&amp;Kalkulasi!$B$12,DATA_TS!$A$2:$A$20001,"&lt;="&amp;Kalkulasi!$B$13,DATA_TS!$B$2:$B$20001,Kalkulasi!$B$14,DATA_TS!$C$2:$C$20001,$D20)+SUMIFS(DATA_TS!$K$2:$K$20001,DATA_TS!$A$2:$A$20001,"&gt;="&amp;Kalkulasi!$B$12,DATA_TS!$A$2:$A$20001,"&lt;="&amp;Kalkulasi!$B$13,DATA_TS!$B$2:$B$20001,Kalkulasi!$B$14,DATA_TS!$C$2:$C$20001,$D20)))</f>
        <v/>
      </c>
      <c r="N20" s="72">
        <f>IF(F20+SUMIFS(DATA_TS!$K$2:$K$20001,DATA_TS!$A$2:$A$20001,"&gt;="&amp;Kalkulasi!$B$12,DATA_TS!$A$2:$A$20001,"&lt;="&amp;Kalkulasi!$B$13,DATA_TS!$B$2:$B$20001,Kalkulasi!$B$14,DATA_TS!$C$2:$C$20001,$D20)=0,0,F20/(F20+SUMIFS(DATA_TS!$K$2:$K$20001,DATA_TS!$A$2:$A$20001,"&gt;="&amp;Kalkulasi!$B$12,DATA_TS!$A$2:$A$20001,"&lt;="&amp;Kalkulasi!$B$13,DATA_TS!$B$2:$B$20001,Kalkulasi!$B$14,DATA_TS!$C$2:$C$20001,$D20)))</f>
        <v/>
      </c>
      <c r="O20" s="32" t="n"/>
      <c r="P20" s="33" t="n"/>
      <c r="Q20" s="33" t="n"/>
      <c r="R20" s="33" t="n"/>
      <c r="S20" s="33" t="n"/>
      <c r="T20" s="33" t="n"/>
      <c r="U20" s="34" t="n"/>
      <c r="V20" s="2" t="n"/>
    </row>
    <row r="21" ht="18" customHeight="1">
      <c r="A21" s="1" t="n"/>
      <c r="B21" s="15">
        <f>HYPERLINK("#'Master Data'!A1","   Master Data")</f>
        <v/>
      </c>
      <c r="C21" s="2" t="n"/>
      <c r="D21" s="67" t="inlineStr">
        <is>
          <t>EX-334</t>
        </is>
      </c>
      <c r="E21" s="68" t="inlineStr">
        <is>
          <t>PC 300-8MO</t>
        </is>
      </c>
      <c r="F21" s="69">
        <f>SUMIFS(DATA_TS!$G$2:$G$20001,DATA_TS!$A$2:$A$20001,"&gt;="&amp;Kalkulasi!$B$12,DATA_TS!$A$2:$A$20001,"&lt;="&amp;Kalkulasi!$B$13,DATA_TS!$B$2:$B$20001,Kalkulasi!$B$14,DATA_TS!$C$2:$C$20001,$D21)</f>
        <v/>
      </c>
      <c r="G21" s="70">
        <f>SUMIFS(DATA_TS!$M$2:$M$20001,DATA_TS!$A$2:$A$20001,"&gt;="&amp;Kalkulasi!$B$12,DATA_TS!$A$2:$A$20001,"&lt;="&amp;Kalkulasi!$B$13,DATA_TS!$B$2:$B$20001,Kalkulasi!$B$14,DATA_TS!$C$2:$C$20001,$D21)</f>
        <v/>
      </c>
      <c r="H21" s="70">
        <f>SUMIFS(DATA_TS!$Q$2:$Q$20001,DATA_TS!$A$2:$A$20001,"&gt;="&amp;Kalkulasi!$B$12,DATA_TS!$A$2:$A$20001,"&lt;="&amp;Kalkulasi!$B$13,DATA_TS!$B$2:$B$20001,Kalkulasi!$B$14,DATA_TS!$C$2:$C$20001,$D21)</f>
        <v/>
      </c>
      <c r="I21" s="71">
        <f>IF(G21=0,0,H21/G21)</f>
        <v/>
      </c>
      <c r="J21" s="70">
        <f>SUMIFS(DATA_TS!$O$2:$O$20001,DATA_TS!$A$2:$A$20001,"&gt;="&amp;Kalkulasi!$B$12,DATA_TS!$A$2:$A$20001,"&lt;="&amp;Kalkulasi!$B$13,DATA_TS!$B$2:$B$20001,Kalkulasi!$B$14,DATA_TS!$C$2:$C$20001,$D21)</f>
        <v/>
      </c>
      <c r="K21" s="70">
        <f>SUMIFS(DATA_TS!$R$2:$R$20001,DATA_TS!$A$2:$A$20001,"&gt;="&amp;Kalkulasi!$B$12,DATA_TS!$A$2:$A$20001,"&lt;="&amp;Kalkulasi!$B$13,DATA_TS!$B$2:$B$20001,Kalkulasi!$B$14,DATA_TS!$C$2:$C$20001,$D21)</f>
        <v/>
      </c>
      <c r="L21" s="70">
        <f>IFERROR(K21/SUMIFS(DATA_TS!$N$2:$N$20001,DATA_TS!$A$2:$A$20001,"&gt;="&amp;Kalkulasi!$B$12,DATA_TS!$A$2:$A$20001,"&lt;="&amp;Kalkulasi!$B$13,DATA_TS!$B$2:$B$20001,Kalkulasi!$B$14,DATA_TS!$C$2:$C$20001,$D21),0)</f>
        <v/>
      </c>
      <c r="M21" s="72">
        <f>IF(F21+SUMIFS(DATA_TS!$J$2:$J$20001,DATA_TS!$A$2:$A$20001,"&gt;="&amp;Kalkulasi!$B$12,DATA_TS!$A$2:$A$20001,"&lt;="&amp;Kalkulasi!$B$13,DATA_TS!$B$2:$B$20001,Kalkulasi!$B$14,DATA_TS!$C$2:$C$20001,$D21)+SUMIFS(DATA_TS!$K$2:$K$20001,DATA_TS!$A$2:$A$20001,"&gt;="&amp;Kalkulasi!$B$12,DATA_TS!$A$2:$A$20001,"&lt;="&amp;Kalkulasi!$B$13,DATA_TS!$B$2:$B$20001,Kalkulasi!$B$14,DATA_TS!$C$2:$C$20001,$D21)=0,0,(F21+SUMIFS(DATA_TS!$K$2:$K$20001,DATA_TS!$A$2:$A$20001,"&gt;="&amp;Kalkulasi!$B$12,DATA_TS!$A$2:$A$20001,"&lt;="&amp;Kalkulasi!$B$13,DATA_TS!$B$2:$B$20001,Kalkulasi!$B$14,DATA_TS!$C$2:$C$20001,$D21))/(F21+SUMIFS(DATA_TS!$J$2:$J$20001,DATA_TS!$A$2:$A$20001,"&gt;="&amp;Kalkulasi!$B$12,DATA_TS!$A$2:$A$20001,"&lt;="&amp;Kalkulasi!$B$13,DATA_TS!$B$2:$B$20001,Kalkulasi!$B$14,DATA_TS!$C$2:$C$20001,$D21)+SUMIFS(DATA_TS!$K$2:$K$20001,DATA_TS!$A$2:$A$20001,"&gt;="&amp;Kalkulasi!$B$12,DATA_TS!$A$2:$A$20001,"&lt;="&amp;Kalkulasi!$B$13,DATA_TS!$B$2:$B$20001,Kalkulasi!$B$14,DATA_TS!$C$2:$C$20001,$D21)))</f>
        <v/>
      </c>
      <c r="N21" s="72">
        <f>IF(F21+SUMIFS(DATA_TS!$K$2:$K$20001,DATA_TS!$A$2:$A$20001,"&gt;="&amp;Kalkulasi!$B$12,DATA_TS!$A$2:$A$20001,"&lt;="&amp;Kalkulasi!$B$13,DATA_TS!$B$2:$B$20001,Kalkulasi!$B$14,DATA_TS!$C$2:$C$20001,$D21)=0,0,F21/(F21+SUMIFS(DATA_TS!$K$2:$K$20001,DATA_TS!$A$2:$A$20001,"&gt;="&amp;Kalkulasi!$B$12,DATA_TS!$A$2:$A$20001,"&lt;="&amp;Kalkulasi!$B$13,DATA_TS!$B$2:$B$20001,Kalkulasi!$B$14,DATA_TS!$C$2:$C$20001,$D21)))</f>
        <v/>
      </c>
      <c r="O21" s="32" t="n"/>
      <c r="P21" s="33" t="n"/>
      <c r="Q21" s="33" t="n"/>
      <c r="R21" s="33" t="n"/>
      <c r="S21" s="33" t="n"/>
      <c r="T21" s="33" t="n"/>
      <c r="U21" s="34" t="n"/>
      <c r="V21" s="2" t="n"/>
    </row>
    <row r="22" ht="18" customHeight="1">
      <c r="A22" s="1" t="n"/>
      <c r="B22" s="15">
        <f>HYPERLINK("#DATA_TS!A1","   Tabel timesheet ↗")</f>
        <v/>
      </c>
      <c r="C22" s="2" t="n"/>
      <c r="D22" s="67" t="inlineStr">
        <is>
          <t>EX-336</t>
        </is>
      </c>
      <c r="E22" s="68" t="inlineStr">
        <is>
          <t>PC 300-8MO</t>
        </is>
      </c>
      <c r="F22" s="69">
        <f>SUMIFS(DATA_TS!$G$2:$G$20001,DATA_TS!$A$2:$A$20001,"&gt;="&amp;Kalkulasi!$B$12,DATA_TS!$A$2:$A$20001,"&lt;="&amp;Kalkulasi!$B$13,DATA_TS!$B$2:$B$20001,Kalkulasi!$B$14,DATA_TS!$C$2:$C$20001,$D22)</f>
        <v/>
      </c>
      <c r="G22" s="70">
        <f>SUMIFS(DATA_TS!$M$2:$M$20001,DATA_TS!$A$2:$A$20001,"&gt;="&amp;Kalkulasi!$B$12,DATA_TS!$A$2:$A$20001,"&lt;="&amp;Kalkulasi!$B$13,DATA_TS!$B$2:$B$20001,Kalkulasi!$B$14,DATA_TS!$C$2:$C$20001,$D22)</f>
        <v/>
      </c>
      <c r="H22" s="70">
        <f>SUMIFS(DATA_TS!$Q$2:$Q$20001,DATA_TS!$A$2:$A$20001,"&gt;="&amp;Kalkulasi!$B$12,DATA_TS!$A$2:$A$20001,"&lt;="&amp;Kalkulasi!$B$13,DATA_TS!$B$2:$B$20001,Kalkulasi!$B$14,DATA_TS!$C$2:$C$20001,$D22)</f>
        <v/>
      </c>
      <c r="I22" s="71">
        <f>IF(G22=0,0,H22/G22)</f>
        <v/>
      </c>
      <c r="J22" s="70">
        <f>SUMIFS(DATA_TS!$O$2:$O$20001,DATA_TS!$A$2:$A$20001,"&gt;="&amp;Kalkulasi!$B$12,DATA_TS!$A$2:$A$20001,"&lt;="&amp;Kalkulasi!$B$13,DATA_TS!$B$2:$B$20001,Kalkulasi!$B$14,DATA_TS!$C$2:$C$20001,$D22)</f>
        <v/>
      </c>
      <c r="K22" s="70">
        <f>SUMIFS(DATA_TS!$R$2:$R$20001,DATA_TS!$A$2:$A$20001,"&gt;="&amp;Kalkulasi!$B$12,DATA_TS!$A$2:$A$20001,"&lt;="&amp;Kalkulasi!$B$13,DATA_TS!$B$2:$B$20001,Kalkulasi!$B$14,DATA_TS!$C$2:$C$20001,$D22)</f>
        <v/>
      </c>
      <c r="L22" s="70">
        <f>IFERROR(K22/SUMIFS(DATA_TS!$N$2:$N$20001,DATA_TS!$A$2:$A$20001,"&gt;="&amp;Kalkulasi!$B$12,DATA_TS!$A$2:$A$20001,"&lt;="&amp;Kalkulasi!$B$13,DATA_TS!$B$2:$B$20001,Kalkulasi!$B$14,DATA_TS!$C$2:$C$20001,$D22),0)</f>
        <v/>
      </c>
      <c r="M22" s="72">
        <f>IF(F22+SUMIFS(DATA_TS!$J$2:$J$20001,DATA_TS!$A$2:$A$20001,"&gt;="&amp;Kalkulasi!$B$12,DATA_TS!$A$2:$A$20001,"&lt;="&amp;Kalkulasi!$B$13,DATA_TS!$B$2:$B$20001,Kalkulasi!$B$14,DATA_TS!$C$2:$C$20001,$D22)+SUMIFS(DATA_TS!$K$2:$K$20001,DATA_TS!$A$2:$A$20001,"&gt;="&amp;Kalkulasi!$B$12,DATA_TS!$A$2:$A$20001,"&lt;="&amp;Kalkulasi!$B$13,DATA_TS!$B$2:$B$20001,Kalkulasi!$B$14,DATA_TS!$C$2:$C$20001,$D22)=0,0,(F22+SUMIFS(DATA_TS!$K$2:$K$20001,DATA_TS!$A$2:$A$20001,"&gt;="&amp;Kalkulasi!$B$12,DATA_TS!$A$2:$A$20001,"&lt;="&amp;Kalkulasi!$B$13,DATA_TS!$B$2:$B$20001,Kalkulasi!$B$14,DATA_TS!$C$2:$C$20001,$D22))/(F22+SUMIFS(DATA_TS!$J$2:$J$20001,DATA_TS!$A$2:$A$20001,"&gt;="&amp;Kalkulasi!$B$12,DATA_TS!$A$2:$A$20001,"&lt;="&amp;Kalkulasi!$B$13,DATA_TS!$B$2:$B$20001,Kalkulasi!$B$14,DATA_TS!$C$2:$C$20001,$D22)+SUMIFS(DATA_TS!$K$2:$K$20001,DATA_TS!$A$2:$A$20001,"&gt;="&amp;Kalkulasi!$B$12,DATA_TS!$A$2:$A$20001,"&lt;="&amp;Kalkulasi!$B$13,DATA_TS!$B$2:$B$20001,Kalkulasi!$B$14,DATA_TS!$C$2:$C$20001,$D22)))</f>
        <v/>
      </c>
      <c r="N22" s="72">
        <f>IF(F22+SUMIFS(DATA_TS!$K$2:$K$20001,DATA_TS!$A$2:$A$20001,"&gt;="&amp;Kalkulasi!$B$12,DATA_TS!$A$2:$A$20001,"&lt;="&amp;Kalkulasi!$B$13,DATA_TS!$B$2:$B$20001,Kalkulasi!$B$14,DATA_TS!$C$2:$C$20001,$D22)=0,0,F22/(F22+SUMIFS(DATA_TS!$K$2:$K$20001,DATA_TS!$A$2:$A$20001,"&gt;="&amp;Kalkulasi!$B$12,DATA_TS!$A$2:$A$20001,"&lt;="&amp;Kalkulasi!$B$13,DATA_TS!$B$2:$B$20001,Kalkulasi!$B$14,DATA_TS!$C$2:$C$20001,$D22)))</f>
        <v/>
      </c>
      <c r="O22" s="32" t="n"/>
      <c r="P22" s="33" t="n"/>
      <c r="Q22" s="33" t="n"/>
      <c r="R22" s="33" t="n"/>
      <c r="S22" s="33" t="n"/>
      <c r="T22" s="33" t="n"/>
      <c r="U22" s="34" t="n"/>
      <c r="V22" s="2" t="n"/>
    </row>
    <row r="23" ht="18" customHeight="1">
      <c r="A23" s="1" t="n"/>
      <c r="B23" s="15">
        <f>HYPERLINK("#DATA_FUEL!A1","   Tabel fuel ↗")</f>
        <v/>
      </c>
      <c r="C23" s="2" t="n"/>
      <c r="D23" s="67" t="inlineStr">
        <is>
          <t>EX-333</t>
        </is>
      </c>
      <c r="E23" s="68" t="inlineStr">
        <is>
          <t>PC 300-8MO</t>
        </is>
      </c>
      <c r="F23" s="69">
        <f>SUMIFS(DATA_TS!$G$2:$G$20001,DATA_TS!$A$2:$A$20001,"&gt;="&amp;Kalkulasi!$B$12,DATA_TS!$A$2:$A$20001,"&lt;="&amp;Kalkulasi!$B$13,DATA_TS!$B$2:$B$20001,Kalkulasi!$B$14,DATA_TS!$C$2:$C$20001,$D23)</f>
        <v/>
      </c>
      <c r="G23" s="70">
        <f>SUMIFS(DATA_TS!$M$2:$M$20001,DATA_TS!$A$2:$A$20001,"&gt;="&amp;Kalkulasi!$B$12,DATA_TS!$A$2:$A$20001,"&lt;="&amp;Kalkulasi!$B$13,DATA_TS!$B$2:$B$20001,Kalkulasi!$B$14,DATA_TS!$C$2:$C$20001,$D23)</f>
        <v/>
      </c>
      <c r="H23" s="70">
        <f>SUMIFS(DATA_TS!$Q$2:$Q$20001,DATA_TS!$A$2:$A$20001,"&gt;="&amp;Kalkulasi!$B$12,DATA_TS!$A$2:$A$20001,"&lt;="&amp;Kalkulasi!$B$13,DATA_TS!$B$2:$B$20001,Kalkulasi!$B$14,DATA_TS!$C$2:$C$20001,$D23)</f>
        <v/>
      </c>
      <c r="I23" s="71">
        <f>IF(G23=0,0,H23/G23)</f>
        <v/>
      </c>
      <c r="J23" s="70">
        <f>SUMIFS(DATA_TS!$O$2:$O$20001,DATA_TS!$A$2:$A$20001,"&gt;="&amp;Kalkulasi!$B$12,DATA_TS!$A$2:$A$20001,"&lt;="&amp;Kalkulasi!$B$13,DATA_TS!$B$2:$B$20001,Kalkulasi!$B$14,DATA_TS!$C$2:$C$20001,$D23)</f>
        <v/>
      </c>
      <c r="K23" s="70">
        <f>SUMIFS(DATA_TS!$R$2:$R$20001,DATA_TS!$A$2:$A$20001,"&gt;="&amp;Kalkulasi!$B$12,DATA_TS!$A$2:$A$20001,"&lt;="&amp;Kalkulasi!$B$13,DATA_TS!$B$2:$B$20001,Kalkulasi!$B$14,DATA_TS!$C$2:$C$20001,$D23)</f>
        <v/>
      </c>
      <c r="L23" s="70">
        <f>IFERROR(K23/SUMIFS(DATA_TS!$N$2:$N$20001,DATA_TS!$A$2:$A$20001,"&gt;="&amp;Kalkulasi!$B$12,DATA_TS!$A$2:$A$20001,"&lt;="&amp;Kalkulasi!$B$13,DATA_TS!$B$2:$B$20001,Kalkulasi!$B$14,DATA_TS!$C$2:$C$20001,$D23),0)</f>
        <v/>
      </c>
      <c r="M23" s="72">
        <f>IF(F23+SUMIFS(DATA_TS!$J$2:$J$20001,DATA_TS!$A$2:$A$20001,"&gt;="&amp;Kalkulasi!$B$12,DATA_TS!$A$2:$A$20001,"&lt;="&amp;Kalkulasi!$B$13,DATA_TS!$B$2:$B$20001,Kalkulasi!$B$14,DATA_TS!$C$2:$C$20001,$D23)+SUMIFS(DATA_TS!$K$2:$K$20001,DATA_TS!$A$2:$A$20001,"&gt;="&amp;Kalkulasi!$B$12,DATA_TS!$A$2:$A$20001,"&lt;="&amp;Kalkulasi!$B$13,DATA_TS!$B$2:$B$20001,Kalkulasi!$B$14,DATA_TS!$C$2:$C$20001,$D23)=0,0,(F23+SUMIFS(DATA_TS!$K$2:$K$20001,DATA_TS!$A$2:$A$20001,"&gt;="&amp;Kalkulasi!$B$12,DATA_TS!$A$2:$A$20001,"&lt;="&amp;Kalkulasi!$B$13,DATA_TS!$B$2:$B$20001,Kalkulasi!$B$14,DATA_TS!$C$2:$C$20001,$D23))/(F23+SUMIFS(DATA_TS!$J$2:$J$20001,DATA_TS!$A$2:$A$20001,"&gt;="&amp;Kalkulasi!$B$12,DATA_TS!$A$2:$A$20001,"&lt;="&amp;Kalkulasi!$B$13,DATA_TS!$B$2:$B$20001,Kalkulasi!$B$14,DATA_TS!$C$2:$C$20001,$D23)+SUMIFS(DATA_TS!$K$2:$K$20001,DATA_TS!$A$2:$A$20001,"&gt;="&amp;Kalkulasi!$B$12,DATA_TS!$A$2:$A$20001,"&lt;="&amp;Kalkulasi!$B$13,DATA_TS!$B$2:$B$20001,Kalkulasi!$B$14,DATA_TS!$C$2:$C$20001,$D23)))</f>
        <v/>
      </c>
      <c r="N23" s="72">
        <f>IF(F23+SUMIFS(DATA_TS!$K$2:$K$20001,DATA_TS!$A$2:$A$20001,"&gt;="&amp;Kalkulasi!$B$12,DATA_TS!$A$2:$A$20001,"&lt;="&amp;Kalkulasi!$B$13,DATA_TS!$B$2:$B$20001,Kalkulasi!$B$14,DATA_TS!$C$2:$C$20001,$D23)=0,0,F23/(F23+SUMIFS(DATA_TS!$K$2:$K$20001,DATA_TS!$A$2:$A$20001,"&gt;="&amp;Kalkulasi!$B$12,DATA_TS!$A$2:$A$20001,"&lt;="&amp;Kalkulasi!$B$13,DATA_TS!$B$2:$B$20001,Kalkulasi!$B$14,DATA_TS!$C$2:$C$20001,$D23)))</f>
        <v/>
      </c>
      <c r="O23" s="32" t="n"/>
      <c r="P23" s="33" t="n"/>
      <c r="Q23" s="33" t="n"/>
      <c r="R23" s="33" t="n"/>
      <c r="S23" s="33" t="n"/>
      <c r="T23" s="33" t="n"/>
      <c r="U23" s="34" t="n"/>
      <c r="V23" s="2" t="n"/>
    </row>
    <row r="24" ht="18" customHeight="1">
      <c r="A24" s="1" t="n"/>
      <c r="B24" s="1" t="n"/>
      <c r="C24" s="2" t="n"/>
      <c r="D24" s="67" t="inlineStr">
        <is>
          <t>EX-335</t>
        </is>
      </c>
      <c r="E24" s="68" t="inlineStr">
        <is>
          <t>PC 300-8MO</t>
        </is>
      </c>
      <c r="F24" s="69">
        <f>SUMIFS(DATA_TS!$G$2:$G$20001,DATA_TS!$A$2:$A$20001,"&gt;="&amp;Kalkulasi!$B$12,DATA_TS!$A$2:$A$20001,"&lt;="&amp;Kalkulasi!$B$13,DATA_TS!$B$2:$B$20001,Kalkulasi!$B$14,DATA_TS!$C$2:$C$20001,$D24)</f>
        <v/>
      </c>
      <c r="G24" s="70">
        <f>SUMIFS(DATA_TS!$M$2:$M$20001,DATA_TS!$A$2:$A$20001,"&gt;="&amp;Kalkulasi!$B$12,DATA_TS!$A$2:$A$20001,"&lt;="&amp;Kalkulasi!$B$13,DATA_TS!$B$2:$B$20001,Kalkulasi!$B$14,DATA_TS!$C$2:$C$20001,$D24)</f>
        <v/>
      </c>
      <c r="H24" s="70">
        <f>SUMIFS(DATA_TS!$Q$2:$Q$20001,DATA_TS!$A$2:$A$20001,"&gt;="&amp;Kalkulasi!$B$12,DATA_TS!$A$2:$A$20001,"&lt;="&amp;Kalkulasi!$B$13,DATA_TS!$B$2:$B$20001,Kalkulasi!$B$14,DATA_TS!$C$2:$C$20001,$D24)</f>
        <v/>
      </c>
      <c r="I24" s="71">
        <f>IF(G24=0,0,H24/G24)</f>
        <v/>
      </c>
      <c r="J24" s="70">
        <f>SUMIFS(DATA_TS!$O$2:$O$20001,DATA_TS!$A$2:$A$20001,"&gt;="&amp;Kalkulasi!$B$12,DATA_TS!$A$2:$A$20001,"&lt;="&amp;Kalkulasi!$B$13,DATA_TS!$B$2:$B$20001,Kalkulasi!$B$14,DATA_TS!$C$2:$C$20001,$D24)</f>
        <v/>
      </c>
      <c r="K24" s="70">
        <f>SUMIFS(DATA_TS!$R$2:$R$20001,DATA_TS!$A$2:$A$20001,"&gt;="&amp;Kalkulasi!$B$12,DATA_TS!$A$2:$A$20001,"&lt;="&amp;Kalkulasi!$B$13,DATA_TS!$B$2:$B$20001,Kalkulasi!$B$14,DATA_TS!$C$2:$C$20001,$D24)</f>
        <v/>
      </c>
      <c r="L24" s="70">
        <f>IFERROR(K24/SUMIFS(DATA_TS!$N$2:$N$20001,DATA_TS!$A$2:$A$20001,"&gt;="&amp;Kalkulasi!$B$12,DATA_TS!$A$2:$A$20001,"&lt;="&amp;Kalkulasi!$B$13,DATA_TS!$B$2:$B$20001,Kalkulasi!$B$14,DATA_TS!$C$2:$C$20001,$D24),0)</f>
        <v/>
      </c>
      <c r="M24" s="72">
        <f>IF(F24+SUMIFS(DATA_TS!$J$2:$J$20001,DATA_TS!$A$2:$A$20001,"&gt;="&amp;Kalkulasi!$B$12,DATA_TS!$A$2:$A$20001,"&lt;="&amp;Kalkulasi!$B$13,DATA_TS!$B$2:$B$20001,Kalkulasi!$B$14,DATA_TS!$C$2:$C$20001,$D24)+SUMIFS(DATA_TS!$K$2:$K$20001,DATA_TS!$A$2:$A$20001,"&gt;="&amp;Kalkulasi!$B$12,DATA_TS!$A$2:$A$20001,"&lt;="&amp;Kalkulasi!$B$13,DATA_TS!$B$2:$B$20001,Kalkulasi!$B$14,DATA_TS!$C$2:$C$20001,$D24)=0,0,(F24+SUMIFS(DATA_TS!$K$2:$K$20001,DATA_TS!$A$2:$A$20001,"&gt;="&amp;Kalkulasi!$B$12,DATA_TS!$A$2:$A$20001,"&lt;="&amp;Kalkulasi!$B$13,DATA_TS!$B$2:$B$20001,Kalkulasi!$B$14,DATA_TS!$C$2:$C$20001,$D24))/(F24+SUMIFS(DATA_TS!$J$2:$J$20001,DATA_TS!$A$2:$A$20001,"&gt;="&amp;Kalkulasi!$B$12,DATA_TS!$A$2:$A$20001,"&lt;="&amp;Kalkulasi!$B$13,DATA_TS!$B$2:$B$20001,Kalkulasi!$B$14,DATA_TS!$C$2:$C$20001,$D24)+SUMIFS(DATA_TS!$K$2:$K$20001,DATA_TS!$A$2:$A$20001,"&gt;="&amp;Kalkulasi!$B$12,DATA_TS!$A$2:$A$20001,"&lt;="&amp;Kalkulasi!$B$13,DATA_TS!$B$2:$B$20001,Kalkulasi!$B$14,DATA_TS!$C$2:$C$20001,$D24)))</f>
        <v/>
      </c>
      <c r="N24" s="72">
        <f>IF(F24+SUMIFS(DATA_TS!$K$2:$K$20001,DATA_TS!$A$2:$A$20001,"&gt;="&amp;Kalkulasi!$B$12,DATA_TS!$A$2:$A$20001,"&lt;="&amp;Kalkulasi!$B$13,DATA_TS!$B$2:$B$20001,Kalkulasi!$B$14,DATA_TS!$C$2:$C$20001,$D24)=0,0,F24/(F24+SUMIFS(DATA_TS!$K$2:$K$20001,DATA_TS!$A$2:$A$20001,"&gt;="&amp;Kalkulasi!$B$12,DATA_TS!$A$2:$A$20001,"&lt;="&amp;Kalkulasi!$B$13,DATA_TS!$B$2:$B$20001,Kalkulasi!$B$14,DATA_TS!$C$2:$C$20001,$D24)))</f>
        <v/>
      </c>
      <c r="O24" s="32" t="n"/>
      <c r="P24" s="33" t="n"/>
      <c r="Q24" s="33" t="n"/>
      <c r="R24" s="33" t="n"/>
      <c r="S24" s="33" t="n"/>
      <c r="T24" s="33" t="n"/>
      <c r="U24" s="34" t="n"/>
      <c r="V24" s="2" t="n"/>
    </row>
    <row r="25" ht="18" customHeight="1">
      <c r="A25" s="1" t="n"/>
      <c r="B25" s="8" t="inlineStr">
        <is>
          <t>LAINNYA</t>
        </is>
      </c>
      <c r="C25" s="2" t="n"/>
      <c r="D25" s="67" t="inlineStr">
        <is>
          <t>EX-332</t>
        </is>
      </c>
      <c r="E25" s="68" t="inlineStr">
        <is>
          <t>PC 300-8MO</t>
        </is>
      </c>
      <c r="F25" s="69">
        <f>SUMIFS(DATA_TS!$G$2:$G$20001,DATA_TS!$A$2:$A$20001,"&gt;="&amp;Kalkulasi!$B$12,DATA_TS!$A$2:$A$20001,"&lt;="&amp;Kalkulasi!$B$13,DATA_TS!$B$2:$B$20001,Kalkulasi!$B$14,DATA_TS!$C$2:$C$20001,$D25)</f>
        <v/>
      </c>
      <c r="G25" s="70">
        <f>SUMIFS(DATA_TS!$M$2:$M$20001,DATA_TS!$A$2:$A$20001,"&gt;="&amp;Kalkulasi!$B$12,DATA_TS!$A$2:$A$20001,"&lt;="&amp;Kalkulasi!$B$13,DATA_TS!$B$2:$B$20001,Kalkulasi!$B$14,DATA_TS!$C$2:$C$20001,$D25)</f>
        <v/>
      </c>
      <c r="H25" s="70">
        <f>SUMIFS(DATA_TS!$Q$2:$Q$20001,DATA_TS!$A$2:$A$20001,"&gt;="&amp;Kalkulasi!$B$12,DATA_TS!$A$2:$A$20001,"&lt;="&amp;Kalkulasi!$B$13,DATA_TS!$B$2:$B$20001,Kalkulasi!$B$14,DATA_TS!$C$2:$C$20001,$D25)</f>
        <v/>
      </c>
      <c r="I25" s="71">
        <f>IF(G25=0,0,H25/G25)</f>
        <v/>
      </c>
      <c r="J25" s="70">
        <f>SUMIFS(DATA_TS!$O$2:$O$20001,DATA_TS!$A$2:$A$20001,"&gt;="&amp;Kalkulasi!$B$12,DATA_TS!$A$2:$A$20001,"&lt;="&amp;Kalkulasi!$B$13,DATA_TS!$B$2:$B$20001,Kalkulasi!$B$14,DATA_TS!$C$2:$C$20001,$D25)</f>
        <v/>
      </c>
      <c r="K25" s="70">
        <f>SUMIFS(DATA_TS!$R$2:$R$20001,DATA_TS!$A$2:$A$20001,"&gt;="&amp;Kalkulasi!$B$12,DATA_TS!$A$2:$A$20001,"&lt;="&amp;Kalkulasi!$B$13,DATA_TS!$B$2:$B$20001,Kalkulasi!$B$14,DATA_TS!$C$2:$C$20001,$D25)</f>
        <v/>
      </c>
      <c r="L25" s="70">
        <f>IFERROR(K25/SUMIFS(DATA_TS!$N$2:$N$20001,DATA_TS!$A$2:$A$20001,"&gt;="&amp;Kalkulasi!$B$12,DATA_TS!$A$2:$A$20001,"&lt;="&amp;Kalkulasi!$B$13,DATA_TS!$B$2:$B$20001,Kalkulasi!$B$14,DATA_TS!$C$2:$C$20001,$D25),0)</f>
        <v/>
      </c>
      <c r="M25" s="72">
        <f>IF(F25+SUMIFS(DATA_TS!$J$2:$J$20001,DATA_TS!$A$2:$A$20001,"&gt;="&amp;Kalkulasi!$B$12,DATA_TS!$A$2:$A$20001,"&lt;="&amp;Kalkulasi!$B$13,DATA_TS!$B$2:$B$20001,Kalkulasi!$B$14,DATA_TS!$C$2:$C$20001,$D25)+SUMIFS(DATA_TS!$K$2:$K$20001,DATA_TS!$A$2:$A$20001,"&gt;="&amp;Kalkulasi!$B$12,DATA_TS!$A$2:$A$20001,"&lt;="&amp;Kalkulasi!$B$13,DATA_TS!$B$2:$B$20001,Kalkulasi!$B$14,DATA_TS!$C$2:$C$20001,$D25)=0,0,(F25+SUMIFS(DATA_TS!$K$2:$K$20001,DATA_TS!$A$2:$A$20001,"&gt;="&amp;Kalkulasi!$B$12,DATA_TS!$A$2:$A$20001,"&lt;="&amp;Kalkulasi!$B$13,DATA_TS!$B$2:$B$20001,Kalkulasi!$B$14,DATA_TS!$C$2:$C$20001,$D25))/(F25+SUMIFS(DATA_TS!$J$2:$J$20001,DATA_TS!$A$2:$A$20001,"&gt;="&amp;Kalkulasi!$B$12,DATA_TS!$A$2:$A$20001,"&lt;="&amp;Kalkulasi!$B$13,DATA_TS!$B$2:$B$20001,Kalkulasi!$B$14,DATA_TS!$C$2:$C$20001,$D25)+SUMIFS(DATA_TS!$K$2:$K$20001,DATA_TS!$A$2:$A$20001,"&gt;="&amp;Kalkulasi!$B$12,DATA_TS!$A$2:$A$20001,"&lt;="&amp;Kalkulasi!$B$13,DATA_TS!$B$2:$B$20001,Kalkulasi!$B$14,DATA_TS!$C$2:$C$20001,$D25)))</f>
        <v/>
      </c>
      <c r="N25" s="72">
        <f>IF(F25+SUMIFS(DATA_TS!$K$2:$K$20001,DATA_TS!$A$2:$A$20001,"&gt;="&amp;Kalkulasi!$B$12,DATA_TS!$A$2:$A$20001,"&lt;="&amp;Kalkulasi!$B$13,DATA_TS!$B$2:$B$20001,Kalkulasi!$B$14,DATA_TS!$C$2:$C$20001,$D25)=0,0,F25/(F25+SUMIFS(DATA_TS!$K$2:$K$20001,DATA_TS!$A$2:$A$20001,"&gt;="&amp;Kalkulasi!$B$12,DATA_TS!$A$2:$A$20001,"&lt;="&amp;Kalkulasi!$B$13,DATA_TS!$B$2:$B$20001,Kalkulasi!$B$14,DATA_TS!$C$2:$C$20001,$D25)))</f>
        <v/>
      </c>
      <c r="O25" s="32" t="n"/>
      <c r="P25" s="33" t="n"/>
      <c r="Q25" s="33" t="n"/>
      <c r="R25" s="33" t="n"/>
      <c r="S25" s="33" t="n"/>
      <c r="T25" s="33" t="n"/>
      <c r="U25" s="34" t="n"/>
      <c r="V25" s="2" t="n"/>
    </row>
    <row r="26" ht="18" customHeight="1">
      <c r="A26" s="1" t="n"/>
      <c r="B26" s="15">
        <f>HYPERLINK("#Panduan!A1","   Panduan")</f>
        <v/>
      </c>
      <c r="C26" s="2" t="n"/>
      <c r="D26" s="67" t="inlineStr">
        <is>
          <t>EX-222</t>
        </is>
      </c>
      <c r="E26" s="68" t="inlineStr">
        <is>
          <t>PC 200-8MI</t>
        </is>
      </c>
      <c r="F26" s="69">
        <f>SUMIFS(DATA_TS!$G$2:$G$20001,DATA_TS!$A$2:$A$20001,"&gt;="&amp;Kalkulasi!$B$12,DATA_TS!$A$2:$A$20001,"&lt;="&amp;Kalkulasi!$B$13,DATA_TS!$B$2:$B$20001,Kalkulasi!$B$14,DATA_TS!$C$2:$C$20001,$D26)</f>
        <v/>
      </c>
      <c r="G26" s="70">
        <f>SUMIFS(DATA_TS!$M$2:$M$20001,DATA_TS!$A$2:$A$20001,"&gt;="&amp;Kalkulasi!$B$12,DATA_TS!$A$2:$A$20001,"&lt;="&amp;Kalkulasi!$B$13,DATA_TS!$B$2:$B$20001,Kalkulasi!$B$14,DATA_TS!$C$2:$C$20001,$D26)</f>
        <v/>
      </c>
      <c r="H26" s="70">
        <f>SUMIFS(DATA_TS!$Q$2:$Q$20001,DATA_TS!$A$2:$A$20001,"&gt;="&amp;Kalkulasi!$B$12,DATA_TS!$A$2:$A$20001,"&lt;="&amp;Kalkulasi!$B$13,DATA_TS!$B$2:$B$20001,Kalkulasi!$B$14,DATA_TS!$C$2:$C$20001,$D26)</f>
        <v/>
      </c>
      <c r="I26" s="71">
        <f>IF(G26=0,0,H26/G26)</f>
        <v/>
      </c>
      <c r="J26" s="70">
        <f>SUMIFS(DATA_TS!$O$2:$O$20001,DATA_TS!$A$2:$A$20001,"&gt;="&amp;Kalkulasi!$B$12,DATA_TS!$A$2:$A$20001,"&lt;="&amp;Kalkulasi!$B$13,DATA_TS!$B$2:$B$20001,Kalkulasi!$B$14,DATA_TS!$C$2:$C$20001,$D26)</f>
        <v/>
      </c>
      <c r="K26" s="70">
        <f>SUMIFS(DATA_TS!$R$2:$R$20001,DATA_TS!$A$2:$A$20001,"&gt;="&amp;Kalkulasi!$B$12,DATA_TS!$A$2:$A$20001,"&lt;="&amp;Kalkulasi!$B$13,DATA_TS!$B$2:$B$20001,Kalkulasi!$B$14,DATA_TS!$C$2:$C$20001,$D26)</f>
        <v/>
      </c>
      <c r="L26" s="70">
        <f>IFERROR(K26/SUMIFS(DATA_TS!$N$2:$N$20001,DATA_TS!$A$2:$A$20001,"&gt;="&amp;Kalkulasi!$B$12,DATA_TS!$A$2:$A$20001,"&lt;="&amp;Kalkulasi!$B$13,DATA_TS!$B$2:$B$20001,Kalkulasi!$B$14,DATA_TS!$C$2:$C$20001,$D26),0)</f>
        <v/>
      </c>
      <c r="M26" s="72">
        <f>IF(F26+SUMIFS(DATA_TS!$J$2:$J$20001,DATA_TS!$A$2:$A$20001,"&gt;="&amp;Kalkulasi!$B$12,DATA_TS!$A$2:$A$20001,"&lt;="&amp;Kalkulasi!$B$13,DATA_TS!$B$2:$B$20001,Kalkulasi!$B$14,DATA_TS!$C$2:$C$20001,$D26)+SUMIFS(DATA_TS!$K$2:$K$20001,DATA_TS!$A$2:$A$20001,"&gt;="&amp;Kalkulasi!$B$12,DATA_TS!$A$2:$A$20001,"&lt;="&amp;Kalkulasi!$B$13,DATA_TS!$B$2:$B$20001,Kalkulasi!$B$14,DATA_TS!$C$2:$C$20001,$D26)=0,0,(F26+SUMIFS(DATA_TS!$K$2:$K$20001,DATA_TS!$A$2:$A$20001,"&gt;="&amp;Kalkulasi!$B$12,DATA_TS!$A$2:$A$20001,"&lt;="&amp;Kalkulasi!$B$13,DATA_TS!$B$2:$B$20001,Kalkulasi!$B$14,DATA_TS!$C$2:$C$20001,$D26))/(F26+SUMIFS(DATA_TS!$J$2:$J$20001,DATA_TS!$A$2:$A$20001,"&gt;="&amp;Kalkulasi!$B$12,DATA_TS!$A$2:$A$20001,"&lt;="&amp;Kalkulasi!$B$13,DATA_TS!$B$2:$B$20001,Kalkulasi!$B$14,DATA_TS!$C$2:$C$20001,$D26)+SUMIFS(DATA_TS!$K$2:$K$20001,DATA_TS!$A$2:$A$20001,"&gt;="&amp;Kalkulasi!$B$12,DATA_TS!$A$2:$A$20001,"&lt;="&amp;Kalkulasi!$B$13,DATA_TS!$B$2:$B$20001,Kalkulasi!$B$14,DATA_TS!$C$2:$C$20001,$D26)))</f>
        <v/>
      </c>
      <c r="N26" s="72">
        <f>IF(F26+SUMIFS(DATA_TS!$K$2:$K$20001,DATA_TS!$A$2:$A$20001,"&gt;="&amp;Kalkulasi!$B$12,DATA_TS!$A$2:$A$20001,"&lt;="&amp;Kalkulasi!$B$13,DATA_TS!$B$2:$B$20001,Kalkulasi!$B$14,DATA_TS!$C$2:$C$20001,$D26)=0,0,F26/(F26+SUMIFS(DATA_TS!$K$2:$K$20001,DATA_TS!$A$2:$A$20001,"&gt;="&amp;Kalkulasi!$B$12,DATA_TS!$A$2:$A$20001,"&lt;="&amp;Kalkulasi!$B$13,DATA_TS!$B$2:$B$20001,Kalkulasi!$B$14,DATA_TS!$C$2:$C$20001,$D26)))</f>
        <v/>
      </c>
      <c r="O26" s="32" t="n"/>
      <c r="P26" s="33" t="n"/>
      <c r="Q26" s="33" t="n"/>
      <c r="R26" s="33" t="n"/>
      <c r="S26" s="33" t="n"/>
      <c r="T26" s="33" t="n"/>
      <c r="U26" s="34" t="n"/>
      <c r="V26" s="2" t="n"/>
    </row>
    <row r="27" ht="18" customHeight="1">
      <c r="A27" s="1" t="n"/>
      <c r="B27" s="15">
        <f>HYPERLINK("#Parameter!A1","   Target &amp; parameter")</f>
        <v/>
      </c>
      <c r="C27" s="2" t="n"/>
      <c r="D27" s="67" t="inlineStr">
        <is>
          <t>EX-223</t>
        </is>
      </c>
      <c r="E27" s="68" t="inlineStr">
        <is>
          <t>PC 200-8MI</t>
        </is>
      </c>
      <c r="F27" s="69">
        <f>SUMIFS(DATA_TS!$G$2:$G$20001,DATA_TS!$A$2:$A$20001,"&gt;="&amp;Kalkulasi!$B$12,DATA_TS!$A$2:$A$20001,"&lt;="&amp;Kalkulasi!$B$13,DATA_TS!$B$2:$B$20001,Kalkulasi!$B$14,DATA_TS!$C$2:$C$20001,$D27)</f>
        <v/>
      </c>
      <c r="G27" s="70">
        <f>SUMIFS(DATA_TS!$M$2:$M$20001,DATA_TS!$A$2:$A$20001,"&gt;="&amp;Kalkulasi!$B$12,DATA_TS!$A$2:$A$20001,"&lt;="&amp;Kalkulasi!$B$13,DATA_TS!$B$2:$B$20001,Kalkulasi!$B$14,DATA_TS!$C$2:$C$20001,$D27)</f>
        <v/>
      </c>
      <c r="H27" s="70">
        <f>SUMIFS(DATA_TS!$Q$2:$Q$20001,DATA_TS!$A$2:$A$20001,"&gt;="&amp;Kalkulasi!$B$12,DATA_TS!$A$2:$A$20001,"&lt;="&amp;Kalkulasi!$B$13,DATA_TS!$B$2:$B$20001,Kalkulasi!$B$14,DATA_TS!$C$2:$C$20001,$D27)</f>
        <v/>
      </c>
      <c r="I27" s="71">
        <f>IF(G27=0,0,H27/G27)</f>
        <v/>
      </c>
      <c r="J27" s="70">
        <f>SUMIFS(DATA_TS!$O$2:$O$20001,DATA_TS!$A$2:$A$20001,"&gt;="&amp;Kalkulasi!$B$12,DATA_TS!$A$2:$A$20001,"&lt;="&amp;Kalkulasi!$B$13,DATA_TS!$B$2:$B$20001,Kalkulasi!$B$14,DATA_TS!$C$2:$C$20001,$D27)</f>
        <v/>
      </c>
      <c r="K27" s="70">
        <f>SUMIFS(DATA_TS!$R$2:$R$20001,DATA_TS!$A$2:$A$20001,"&gt;="&amp;Kalkulasi!$B$12,DATA_TS!$A$2:$A$20001,"&lt;="&amp;Kalkulasi!$B$13,DATA_TS!$B$2:$B$20001,Kalkulasi!$B$14,DATA_TS!$C$2:$C$20001,$D27)</f>
        <v/>
      </c>
      <c r="L27" s="70">
        <f>IFERROR(K27/SUMIFS(DATA_TS!$N$2:$N$20001,DATA_TS!$A$2:$A$20001,"&gt;="&amp;Kalkulasi!$B$12,DATA_TS!$A$2:$A$20001,"&lt;="&amp;Kalkulasi!$B$13,DATA_TS!$B$2:$B$20001,Kalkulasi!$B$14,DATA_TS!$C$2:$C$20001,$D27),0)</f>
        <v/>
      </c>
      <c r="M27" s="72">
        <f>IF(F27+SUMIFS(DATA_TS!$J$2:$J$20001,DATA_TS!$A$2:$A$20001,"&gt;="&amp;Kalkulasi!$B$12,DATA_TS!$A$2:$A$20001,"&lt;="&amp;Kalkulasi!$B$13,DATA_TS!$B$2:$B$20001,Kalkulasi!$B$14,DATA_TS!$C$2:$C$20001,$D27)+SUMIFS(DATA_TS!$K$2:$K$20001,DATA_TS!$A$2:$A$20001,"&gt;="&amp;Kalkulasi!$B$12,DATA_TS!$A$2:$A$20001,"&lt;="&amp;Kalkulasi!$B$13,DATA_TS!$B$2:$B$20001,Kalkulasi!$B$14,DATA_TS!$C$2:$C$20001,$D27)=0,0,(F27+SUMIFS(DATA_TS!$K$2:$K$20001,DATA_TS!$A$2:$A$20001,"&gt;="&amp;Kalkulasi!$B$12,DATA_TS!$A$2:$A$20001,"&lt;="&amp;Kalkulasi!$B$13,DATA_TS!$B$2:$B$20001,Kalkulasi!$B$14,DATA_TS!$C$2:$C$20001,$D27))/(F27+SUMIFS(DATA_TS!$J$2:$J$20001,DATA_TS!$A$2:$A$20001,"&gt;="&amp;Kalkulasi!$B$12,DATA_TS!$A$2:$A$20001,"&lt;="&amp;Kalkulasi!$B$13,DATA_TS!$B$2:$B$20001,Kalkulasi!$B$14,DATA_TS!$C$2:$C$20001,$D27)+SUMIFS(DATA_TS!$K$2:$K$20001,DATA_TS!$A$2:$A$20001,"&gt;="&amp;Kalkulasi!$B$12,DATA_TS!$A$2:$A$20001,"&lt;="&amp;Kalkulasi!$B$13,DATA_TS!$B$2:$B$20001,Kalkulasi!$B$14,DATA_TS!$C$2:$C$20001,$D27)))</f>
        <v/>
      </c>
      <c r="N27" s="72">
        <f>IF(F27+SUMIFS(DATA_TS!$K$2:$K$20001,DATA_TS!$A$2:$A$20001,"&gt;="&amp;Kalkulasi!$B$12,DATA_TS!$A$2:$A$20001,"&lt;="&amp;Kalkulasi!$B$13,DATA_TS!$B$2:$B$20001,Kalkulasi!$B$14,DATA_TS!$C$2:$C$20001,$D27)=0,0,F27/(F27+SUMIFS(DATA_TS!$K$2:$K$20001,DATA_TS!$A$2:$A$20001,"&gt;="&amp;Kalkulasi!$B$12,DATA_TS!$A$2:$A$20001,"&lt;="&amp;Kalkulasi!$B$13,DATA_TS!$B$2:$B$20001,Kalkulasi!$B$14,DATA_TS!$C$2:$C$20001,$D27)))</f>
        <v/>
      </c>
      <c r="O27" s="32" t="n"/>
      <c r="P27" s="33" t="n"/>
      <c r="Q27" s="33" t="n"/>
      <c r="R27" s="33" t="n"/>
      <c r="S27" s="33" t="n"/>
      <c r="T27" s="33" t="n"/>
      <c r="U27" s="34" t="n"/>
      <c r="V27" s="2" t="n"/>
    </row>
    <row r="28" ht="18" customHeight="1">
      <c r="A28" s="1" t="n"/>
      <c r="B28" s="15">
        <f>HYPERLINK("#MASTER_JAM!A1","   Faktor, target &amp; MF")</f>
        <v/>
      </c>
      <c r="C28" s="2" t="n"/>
      <c r="D28" s="67" t="inlineStr">
        <is>
          <t>EX-221</t>
        </is>
      </c>
      <c r="E28" s="68" t="inlineStr">
        <is>
          <t>PC 200-8MI</t>
        </is>
      </c>
      <c r="F28" s="69">
        <f>SUMIFS(DATA_TS!$G$2:$G$20001,DATA_TS!$A$2:$A$20001,"&gt;="&amp;Kalkulasi!$B$12,DATA_TS!$A$2:$A$20001,"&lt;="&amp;Kalkulasi!$B$13,DATA_TS!$B$2:$B$20001,Kalkulasi!$B$14,DATA_TS!$C$2:$C$20001,$D28)</f>
        <v/>
      </c>
      <c r="G28" s="70">
        <f>SUMIFS(DATA_TS!$M$2:$M$20001,DATA_TS!$A$2:$A$20001,"&gt;="&amp;Kalkulasi!$B$12,DATA_TS!$A$2:$A$20001,"&lt;="&amp;Kalkulasi!$B$13,DATA_TS!$B$2:$B$20001,Kalkulasi!$B$14,DATA_TS!$C$2:$C$20001,$D28)</f>
        <v/>
      </c>
      <c r="H28" s="70">
        <f>SUMIFS(DATA_TS!$Q$2:$Q$20001,DATA_TS!$A$2:$A$20001,"&gt;="&amp;Kalkulasi!$B$12,DATA_TS!$A$2:$A$20001,"&lt;="&amp;Kalkulasi!$B$13,DATA_TS!$B$2:$B$20001,Kalkulasi!$B$14,DATA_TS!$C$2:$C$20001,$D28)</f>
        <v/>
      </c>
      <c r="I28" s="71">
        <f>IF(G28=0,0,H28/G28)</f>
        <v/>
      </c>
      <c r="J28" s="70">
        <f>SUMIFS(DATA_TS!$O$2:$O$20001,DATA_TS!$A$2:$A$20001,"&gt;="&amp;Kalkulasi!$B$12,DATA_TS!$A$2:$A$20001,"&lt;="&amp;Kalkulasi!$B$13,DATA_TS!$B$2:$B$20001,Kalkulasi!$B$14,DATA_TS!$C$2:$C$20001,$D28)</f>
        <v/>
      </c>
      <c r="K28" s="70">
        <f>SUMIFS(DATA_TS!$R$2:$R$20001,DATA_TS!$A$2:$A$20001,"&gt;="&amp;Kalkulasi!$B$12,DATA_TS!$A$2:$A$20001,"&lt;="&amp;Kalkulasi!$B$13,DATA_TS!$B$2:$B$20001,Kalkulasi!$B$14,DATA_TS!$C$2:$C$20001,$D28)</f>
        <v/>
      </c>
      <c r="L28" s="70">
        <f>IFERROR(K28/SUMIFS(DATA_TS!$N$2:$N$20001,DATA_TS!$A$2:$A$20001,"&gt;="&amp;Kalkulasi!$B$12,DATA_TS!$A$2:$A$20001,"&lt;="&amp;Kalkulasi!$B$13,DATA_TS!$B$2:$B$20001,Kalkulasi!$B$14,DATA_TS!$C$2:$C$20001,$D28),0)</f>
        <v/>
      </c>
      <c r="M28" s="72">
        <f>IF(F28+SUMIFS(DATA_TS!$J$2:$J$20001,DATA_TS!$A$2:$A$20001,"&gt;="&amp;Kalkulasi!$B$12,DATA_TS!$A$2:$A$20001,"&lt;="&amp;Kalkulasi!$B$13,DATA_TS!$B$2:$B$20001,Kalkulasi!$B$14,DATA_TS!$C$2:$C$20001,$D28)+SUMIFS(DATA_TS!$K$2:$K$20001,DATA_TS!$A$2:$A$20001,"&gt;="&amp;Kalkulasi!$B$12,DATA_TS!$A$2:$A$20001,"&lt;="&amp;Kalkulasi!$B$13,DATA_TS!$B$2:$B$20001,Kalkulasi!$B$14,DATA_TS!$C$2:$C$20001,$D28)=0,0,(F28+SUMIFS(DATA_TS!$K$2:$K$20001,DATA_TS!$A$2:$A$20001,"&gt;="&amp;Kalkulasi!$B$12,DATA_TS!$A$2:$A$20001,"&lt;="&amp;Kalkulasi!$B$13,DATA_TS!$B$2:$B$20001,Kalkulasi!$B$14,DATA_TS!$C$2:$C$20001,$D28))/(F28+SUMIFS(DATA_TS!$J$2:$J$20001,DATA_TS!$A$2:$A$20001,"&gt;="&amp;Kalkulasi!$B$12,DATA_TS!$A$2:$A$20001,"&lt;="&amp;Kalkulasi!$B$13,DATA_TS!$B$2:$B$20001,Kalkulasi!$B$14,DATA_TS!$C$2:$C$20001,$D28)+SUMIFS(DATA_TS!$K$2:$K$20001,DATA_TS!$A$2:$A$20001,"&gt;="&amp;Kalkulasi!$B$12,DATA_TS!$A$2:$A$20001,"&lt;="&amp;Kalkulasi!$B$13,DATA_TS!$B$2:$B$20001,Kalkulasi!$B$14,DATA_TS!$C$2:$C$20001,$D28)))</f>
        <v/>
      </c>
      <c r="N28" s="72">
        <f>IF(F28+SUMIFS(DATA_TS!$K$2:$K$20001,DATA_TS!$A$2:$A$20001,"&gt;="&amp;Kalkulasi!$B$12,DATA_TS!$A$2:$A$20001,"&lt;="&amp;Kalkulasi!$B$13,DATA_TS!$B$2:$B$20001,Kalkulasi!$B$14,DATA_TS!$C$2:$C$20001,$D28)=0,0,F28/(F28+SUMIFS(DATA_TS!$K$2:$K$20001,DATA_TS!$A$2:$A$20001,"&gt;="&amp;Kalkulasi!$B$12,DATA_TS!$A$2:$A$20001,"&lt;="&amp;Kalkulasi!$B$13,DATA_TS!$B$2:$B$20001,Kalkulasi!$B$14,DATA_TS!$C$2:$C$20001,$D28)))</f>
        <v/>
      </c>
      <c r="O28" s="32" t="n"/>
      <c r="P28" s="33" t="n"/>
      <c r="Q28" s="33" t="n"/>
      <c r="R28" s="33" t="n"/>
      <c r="S28" s="33" t="n"/>
      <c r="T28" s="33" t="n"/>
      <c r="U28" s="34" t="n"/>
      <c r="V28" s="2" t="n"/>
    </row>
    <row r="29" ht="18" customHeight="1">
      <c r="A29" s="1" t="n"/>
      <c r="B29" s="1" t="n"/>
      <c r="C29" s="2" t="n"/>
      <c r="D29" s="67" t="inlineStr">
        <is>
          <t>EX-225</t>
        </is>
      </c>
      <c r="E29" s="68" t="inlineStr">
        <is>
          <t>PC 200-8</t>
        </is>
      </c>
      <c r="F29" s="69">
        <f>SUMIFS(DATA_TS!$G$2:$G$20001,DATA_TS!$A$2:$A$20001,"&gt;="&amp;Kalkulasi!$B$12,DATA_TS!$A$2:$A$20001,"&lt;="&amp;Kalkulasi!$B$13,DATA_TS!$B$2:$B$20001,Kalkulasi!$B$14,DATA_TS!$C$2:$C$20001,$D29)</f>
        <v/>
      </c>
      <c r="G29" s="70">
        <f>SUMIFS(DATA_TS!$M$2:$M$20001,DATA_TS!$A$2:$A$20001,"&gt;="&amp;Kalkulasi!$B$12,DATA_TS!$A$2:$A$20001,"&lt;="&amp;Kalkulasi!$B$13,DATA_TS!$B$2:$B$20001,Kalkulasi!$B$14,DATA_TS!$C$2:$C$20001,$D29)</f>
        <v/>
      </c>
      <c r="H29" s="70">
        <f>SUMIFS(DATA_TS!$Q$2:$Q$20001,DATA_TS!$A$2:$A$20001,"&gt;="&amp;Kalkulasi!$B$12,DATA_TS!$A$2:$A$20001,"&lt;="&amp;Kalkulasi!$B$13,DATA_TS!$B$2:$B$20001,Kalkulasi!$B$14,DATA_TS!$C$2:$C$20001,$D29)</f>
        <v/>
      </c>
      <c r="I29" s="71">
        <f>IF(G29=0,0,H29/G29)</f>
        <v/>
      </c>
      <c r="J29" s="70">
        <f>SUMIFS(DATA_TS!$O$2:$O$20001,DATA_TS!$A$2:$A$20001,"&gt;="&amp;Kalkulasi!$B$12,DATA_TS!$A$2:$A$20001,"&lt;="&amp;Kalkulasi!$B$13,DATA_TS!$B$2:$B$20001,Kalkulasi!$B$14,DATA_TS!$C$2:$C$20001,$D29)</f>
        <v/>
      </c>
      <c r="K29" s="70">
        <f>SUMIFS(DATA_TS!$R$2:$R$20001,DATA_TS!$A$2:$A$20001,"&gt;="&amp;Kalkulasi!$B$12,DATA_TS!$A$2:$A$20001,"&lt;="&amp;Kalkulasi!$B$13,DATA_TS!$B$2:$B$20001,Kalkulasi!$B$14,DATA_TS!$C$2:$C$20001,$D29)</f>
        <v/>
      </c>
      <c r="L29" s="70">
        <f>IFERROR(K29/SUMIFS(DATA_TS!$N$2:$N$20001,DATA_TS!$A$2:$A$20001,"&gt;="&amp;Kalkulasi!$B$12,DATA_TS!$A$2:$A$20001,"&lt;="&amp;Kalkulasi!$B$13,DATA_TS!$B$2:$B$20001,Kalkulasi!$B$14,DATA_TS!$C$2:$C$20001,$D29),0)</f>
        <v/>
      </c>
      <c r="M29" s="72">
        <f>IF(F29+SUMIFS(DATA_TS!$J$2:$J$20001,DATA_TS!$A$2:$A$20001,"&gt;="&amp;Kalkulasi!$B$12,DATA_TS!$A$2:$A$20001,"&lt;="&amp;Kalkulasi!$B$13,DATA_TS!$B$2:$B$20001,Kalkulasi!$B$14,DATA_TS!$C$2:$C$20001,$D29)+SUMIFS(DATA_TS!$K$2:$K$20001,DATA_TS!$A$2:$A$20001,"&gt;="&amp;Kalkulasi!$B$12,DATA_TS!$A$2:$A$20001,"&lt;="&amp;Kalkulasi!$B$13,DATA_TS!$B$2:$B$20001,Kalkulasi!$B$14,DATA_TS!$C$2:$C$20001,$D29)=0,0,(F29+SUMIFS(DATA_TS!$K$2:$K$20001,DATA_TS!$A$2:$A$20001,"&gt;="&amp;Kalkulasi!$B$12,DATA_TS!$A$2:$A$20001,"&lt;="&amp;Kalkulasi!$B$13,DATA_TS!$B$2:$B$20001,Kalkulasi!$B$14,DATA_TS!$C$2:$C$20001,$D29))/(F29+SUMIFS(DATA_TS!$J$2:$J$20001,DATA_TS!$A$2:$A$20001,"&gt;="&amp;Kalkulasi!$B$12,DATA_TS!$A$2:$A$20001,"&lt;="&amp;Kalkulasi!$B$13,DATA_TS!$B$2:$B$20001,Kalkulasi!$B$14,DATA_TS!$C$2:$C$20001,$D29)+SUMIFS(DATA_TS!$K$2:$K$20001,DATA_TS!$A$2:$A$20001,"&gt;="&amp;Kalkulasi!$B$12,DATA_TS!$A$2:$A$20001,"&lt;="&amp;Kalkulasi!$B$13,DATA_TS!$B$2:$B$20001,Kalkulasi!$B$14,DATA_TS!$C$2:$C$20001,$D29)))</f>
        <v/>
      </c>
      <c r="N29" s="72">
        <f>IF(F29+SUMIFS(DATA_TS!$K$2:$K$20001,DATA_TS!$A$2:$A$20001,"&gt;="&amp;Kalkulasi!$B$12,DATA_TS!$A$2:$A$20001,"&lt;="&amp;Kalkulasi!$B$13,DATA_TS!$B$2:$B$20001,Kalkulasi!$B$14,DATA_TS!$C$2:$C$20001,$D29)=0,0,F29/(F29+SUMIFS(DATA_TS!$K$2:$K$20001,DATA_TS!$A$2:$A$20001,"&gt;="&amp;Kalkulasi!$B$12,DATA_TS!$A$2:$A$20001,"&lt;="&amp;Kalkulasi!$B$13,DATA_TS!$B$2:$B$20001,Kalkulasi!$B$14,DATA_TS!$C$2:$C$20001,$D29)))</f>
        <v/>
      </c>
      <c r="O29" s="32" t="n"/>
      <c r="P29" s="33" t="n"/>
      <c r="Q29" s="33" t="n"/>
      <c r="R29" s="33" t="n"/>
      <c r="S29" s="33" t="n"/>
      <c r="T29" s="33" t="n"/>
      <c r="U29" s="34" t="n"/>
      <c r="V29" s="2" t="n"/>
    </row>
    <row r="30" ht="18" customHeight="1">
      <c r="A30" s="1" t="n"/>
      <c r="B30" s="1" t="n"/>
      <c r="C30" s="2" t="n"/>
      <c r="D30" s="67" t="inlineStr">
        <is>
          <t>EX-331</t>
        </is>
      </c>
      <c r="E30" s="68" t="inlineStr">
        <is>
          <t>PC 300-8MO</t>
        </is>
      </c>
      <c r="F30" s="69">
        <f>SUMIFS(DATA_TS!$G$2:$G$20001,DATA_TS!$A$2:$A$20001,"&gt;="&amp;Kalkulasi!$B$12,DATA_TS!$A$2:$A$20001,"&lt;="&amp;Kalkulasi!$B$13,DATA_TS!$B$2:$B$20001,Kalkulasi!$B$14,DATA_TS!$C$2:$C$20001,$D30)</f>
        <v/>
      </c>
      <c r="G30" s="70">
        <f>SUMIFS(DATA_TS!$M$2:$M$20001,DATA_TS!$A$2:$A$20001,"&gt;="&amp;Kalkulasi!$B$12,DATA_TS!$A$2:$A$20001,"&lt;="&amp;Kalkulasi!$B$13,DATA_TS!$B$2:$B$20001,Kalkulasi!$B$14,DATA_TS!$C$2:$C$20001,$D30)</f>
        <v/>
      </c>
      <c r="H30" s="70">
        <f>SUMIFS(DATA_TS!$Q$2:$Q$20001,DATA_TS!$A$2:$A$20001,"&gt;="&amp;Kalkulasi!$B$12,DATA_TS!$A$2:$A$20001,"&lt;="&amp;Kalkulasi!$B$13,DATA_TS!$B$2:$B$20001,Kalkulasi!$B$14,DATA_TS!$C$2:$C$20001,$D30)</f>
        <v/>
      </c>
      <c r="I30" s="71">
        <f>IF(G30=0,0,H30/G30)</f>
        <v/>
      </c>
      <c r="J30" s="70">
        <f>SUMIFS(DATA_TS!$O$2:$O$20001,DATA_TS!$A$2:$A$20001,"&gt;="&amp;Kalkulasi!$B$12,DATA_TS!$A$2:$A$20001,"&lt;="&amp;Kalkulasi!$B$13,DATA_TS!$B$2:$B$20001,Kalkulasi!$B$14,DATA_TS!$C$2:$C$20001,$D30)</f>
        <v/>
      </c>
      <c r="K30" s="70">
        <f>SUMIFS(DATA_TS!$R$2:$R$20001,DATA_TS!$A$2:$A$20001,"&gt;="&amp;Kalkulasi!$B$12,DATA_TS!$A$2:$A$20001,"&lt;="&amp;Kalkulasi!$B$13,DATA_TS!$B$2:$B$20001,Kalkulasi!$B$14,DATA_TS!$C$2:$C$20001,$D30)</f>
        <v/>
      </c>
      <c r="L30" s="70">
        <f>IFERROR(K30/SUMIFS(DATA_TS!$N$2:$N$20001,DATA_TS!$A$2:$A$20001,"&gt;="&amp;Kalkulasi!$B$12,DATA_TS!$A$2:$A$20001,"&lt;="&amp;Kalkulasi!$B$13,DATA_TS!$B$2:$B$20001,Kalkulasi!$B$14,DATA_TS!$C$2:$C$20001,$D30),0)</f>
        <v/>
      </c>
      <c r="M30" s="72">
        <f>IF(F30+SUMIFS(DATA_TS!$J$2:$J$20001,DATA_TS!$A$2:$A$20001,"&gt;="&amp;Kalkulasi!$B$12,DATA_TS!$A$2:$A$20001,"&lt;="&amp;Kalkulasi!$B$13,DATA_TS!$B$2:$B$20001,Kalkulasi!$B$14,DATA_TS!$C$2:$C$20001,$D30)+SUMIFS(DATA_TS!$K$2:$K$20001,DATA_TS!$A$2:$A$20001,"&gt;="&amp;Kalkulasi!$B$12,DATA_TS!$A$2:$A$20001,"&lt;="&amp;Kalkulasi!$B$13,DATA_TS!$B$2:$B$20001,Kalkulasi!$B$14,DATA_TS!$C$2:$C$20001,$D30)=0,0,(F30+SUMIFS(DATA_TS!$K$2:$K$20001,DATA_TS!$A$2:$A$20001,"&gt;="&amp;Kalkulasi!$B$12,DATA_TS!$A$2:$A$20001,"&lt;="&amp;Kalkulasi!$B$13,DATA_TS!$B$2:$B$20001,Kalkulasi!$B$14,DATA_TS!$C$2:$C$20001,$D30))/(F30+SUMIFS(DATA_TS!$J$2:$J$20001,DATA_TS!$A$2:$A$20001,"&gt;="&amp;Kalkulasi!$B$12,DATA_TS!$A$2:$A$20001,"&lt;="&amp;Kalkulasi!$B$13,DATA_TS!$B$2:$B$20001,Kalkulasi!$B$14,DATA_TS!$C$2:$C$20001,$D30)+SUMIFS(DATA_TS!$K$2:$K$20001,DATA_TS!$A$2:$A$20001,"&gt;="&amp;Kalkulasi!$B$12,DATA_TS!$A$2:$A$20001,"&lt;="&amp;Kalkulasi!$B$13,DATA_TS!$B$2:$B$20001,Kalkulasi!$B$14,DATA_TS!$C$2:$C$20001,$D30)))</f>
        <v/>
      </c>
      <c r="N30" s="72">
        <f>IF(F30+SUMIFS(DATA_TS!$K$2:$K$20001,DATA_TS!$A$2:$A$20001,"&gt;="&amp;Kalkulasi!$B$12,DATA_TS!$A$2:$A$20001,"&lt;="&amp;Kalkulasi!$B$13,DATA_TS!$B$2:$B$20001,Kalkulasi!$B$14,DATA_TS!$C$2:$C$20001,$D30)=0,0,F30/(F30+SUMIFS(DATA_TS!$K$2:$K$20001,DATA_TS!$A$2:$A$20001,"&gt;="&amp;Kalkulasi!$B$12,DATA_TS!$A$2:$A$20001,"&lt;="&amp;Kalkulasi!$B$13,DATA_TS!$B$2:$B$20001,Kalkulasi!$B$14,DATA_TS!$C$2:$C$20001,$D30)))</f>
        <v/>
      </c>
      <c r="O30" s="32" t="n"/>
      <c r="P30" s="33" t="n"/>
      <c r="Q30" s="33" t="n"/>
      <c r="R30" s="33" t="n"/>
      <c r="S30" s="33" t="n"/>
      <c r="T30" s="33" t="n"/>
      <c r="U30" s="34" t="n"/>
      <c r="V30" s="2" t="n"/>
    </row>
    <row r="31" ht="18" customHeight="1">
      <c r="A31" s="1" t="n"/>
      <c r="B31" s="1" t="n"/>
      <c r="C31" s="2" t="n"/>
      <c r="D31" s="67" t="inlineStr">
        <is>
          <t>EX-751</t>
        </is>
      </c>
      <c r="E31" s="68" t="inlineStr">
        <is>
          <t>SY750H-PRO</t>
        </is>
      </c>
      <c r="F31" s="69">
        <f>SUMIFS(DATA_TS!$G$2:$G$20001,DATA_TS!$A$2:$A$20001,"&gt;="&amp;Kalkulasi!$B$12,DATA_TS!$A$2:$A$20001,"&lt;="&amp;Kalkulasi!$B$13,DATA_TS!$B$2:$B$20001,Kalkulasi!$B$14,DATA_TS!$C$2:$C$20001,$D31)</f>
        <v/>
      </c>
      <c r="G31" s="70">
        <f>SUMIFS(DATA_TS!$M$2:$M$20001,DATA_TS!$A$2:$A$20001,"&gt;="&amp;Kalkulasi!$B$12,DATA_TS!$A$2:$A$20001,"&lt;="&amp;Kalkulasi!$B$13,DATA_TS!$B$2:$B$20001,Kalkulasi!$B$14,DATA_TS!$C$2:$C$20001,$D31)</f>
        <v/>
      </c>
      <c r="H31" s="70">
        <f>SUMIFS(DATA_TS!$Q$2:$Q$20001,DATA_TS!$A$2:$A$20001,"&gt;="&amp;Kalkulasi!$B$12,DATA_TS!$A$2:$A$20001,"&lt;="&amp;Kalkulasi!$B$13,DATA_TS!$B$2:$B$20001,Kalkulasi!$B$14,DATA_TS!$C$2:$C$20001,$D31)</f>
        <v/>
      </c>
      <c r="I31" s="71">
        <f>IF(G31=0,0,H31/G31)</f>
        <v/>
      </c>
      <c r="J31" s="70">
        <f>SUMIFS(DATA_TS!$O$2:$O$20001,DATA_TS!$A$2:$A$20001,"&gt;="&amp;Kalkulasi!$B$12,DATA_TS!$A$2:$A$20001,"&lt;="&amp;Kalkulasi!$B$13,DATA_TS!$B$2:$B$20001,Kalkulasi!$B$14,DATA_TS!$C$2:$C$20001,$D31)</f>
        <v/>
      </c>
      <c r="K31" s="70">
        <f>SUMIFS(DATA_TS!$R$2:$R$20001,DATA_TS!$A$2:$A$20001,"&gt;="&amp;Kalkulasi!$B$12,DATA_TS!$A$2:$A$20001,"&lt;="&amp;Kalkulasi!$B$13,DATA_TS!$B$2:$B$20001,Kalkulasi!$B$14,DATA_TS!$C$2:$C$20001,$D31)</f>
        <v/>
      </c>
      <c r="L31" s="70">
        <f>IFERROR(K31/SUMIFS(DATA_TS!$N$2:$N$20001,DATA_TS!$A$2:$A$20001,"&gt;="&amp;Kalkulasi!$B$12,DATA_TS!$A$2:$A$20001,"&lt;="&amp;Kalkulasi!$B$13,DATA_TS!$B$2:$B$20001,Kalkulasi!$B$14,DATA_TS!$C$2:$C$20001,$D31),0)</f>
        <v/>
      </c>
      <c r="M31" s="72">
        <f>IF(F31+SUMIFS(DATA_TS!$J$2:$J$20001,DATA_TS!$A$2:$A$20001,"&gt;="&amp;Kalkulasi!$B$12,DATA_TS!$A$2:$A$20001,"&lt;="&amp;Kalkulasi!$B$13,DATA_TS!$B$2:$B$20001,Kalkulasi!$B$14,DATA_TS!$C$2:$C$20001,$D31)+SUMIFS(DATA_TS!$K$2:$K$20001,DATA_TS!$A$2:$A$20001,"&gt;="&amp;Kalkulasi!$B$12,DATA_TS!$A$2:$A$20001,"&lt;="&amp;Kalkulasi!$B$13,DATA_TS!$B$2:$B$20001,Kalkulasi!$B$14,DATA_TS!$C$2:$C$20001,$D31)=0,0,(F31+SUMIFS(DATA_TS!$K$2:$K$20001,DATA_TS!$A$2:$A$20001,"&gt;="&amp;Kalkulasi!$B$12,DATA_TS!$A$2:$A$20001,"&lt;="&amp;Kalkulasi!$B$13,DATA_TS!$B$2:$B$20001,Kalkulasi!$B$14,DATA_TS!$C$2:$C$20001,$D31))/(F31+SUMIFS(DATA_TS!$J$2:$J$20001,DATA_TS!$A$2:$A$20001,"&gt;="&amp;Kalkulasi!$B$12,DATA_TS!$A$2:$A$20001,"&lt;="&amp;Kalkulasi!$B$13,DATA_TS!$B$2:$B$20001,Kalkulasi!$B$14,DATA_TS!$C$2:$C$20001,$D31)+SUMIFS(DATA_TS!$K$2:$K$20001,DATA_TS!$A$2:$A$20001,"&gt;="&amp;Kalkulasi!$B$12,DATA_TS!$A$2:$A$20001,"&lt;="&amp;Kalkulasi!$B$13,DATA_TS!$B$2:$B$20001,Kalkulasi!$B$14,DATA_TS!$C$2:$C$20001,$D31)))</f>
        <v/>
      </c>
      <c r="N31" s="72">
        <f>IF(F31+SUMIFS(DATA_TS!$K$2:$K$20001,DATA_TS!$A$2:$A$20001,"&gt;="&amp;Kalkulasi!$B$12,DATA_TS!$A$2:$A$20001,"&lt;="&amp;Kalkulasi!$B$13,DATA_TS!$B$2:$B$20001,Kalkulasi!$B$14,DATA_TS!$C$2:$C$20001,$D31)=0,0,F31/(F31+SUMIFS(DATA_TS!$K$2:$K$20001,DATA_TS!$A$2:$A$20001,"&gt;="&amp;Kalkulasi!$B$12,DATA_TS!$A$2:$A$20001,"&lt;="&amp;Kalkulasi!$B$13,DATA_TS!$B$2:$B$20001,Kalkulasi!$B$14,DATA_TS!$C$2:$C$20001,$D31)))</f>
        <v/>
      </c>
      <c r="O31" s="32" t="n"/>
      <c r="P31" s="33" t="n"/>
      <c r="Q31" s="33" t="n"/>
      <c r="R31" s="33" t="n"/>
      <c r="S31" s="33" t="n"/>
      <c r="T31" s="33" t="n"/>
      <c r="U31" s="34" t="n"/>
      <c r="V31" s="2" t="n"/>
    </row>
    <row r="32" ht="18" customHeight="1">
      <c r="A32" s="1" t="n"/>
      <c r="B32" s="1" t="n"/>
      <c r="C32" s="2" t="n"/>
      <c r="D32" s="67" t="inlineStr">
        <is>
          <t>EX-752</t>
        </is>
      </c>
      <c r="E32" s="68" t="inlineStr">
        <is>
          <t>SY750H-PRO</t>
        </is>
      </c>
      <c r="F32" s="69">
        <f>SUMIFS(DATA_TS!$G$2:$G$20001,DATA_TS!$A$2:$A$20001,"&gt;="&amp;Kalkulasi!$B$12,DATA_TS!$A$2:$A$20001,"&lt;="&amp;Kalkulasi!$B$13,DATA_TS!$B$2:$B$20001,Kalkulasi!$B$14,DATA_TS!$C$2:$C$20001,$D32)</f>
        <v/>
      </c>
      <c r="G32" s="70">
        <f>SUMIFS(DATA_TS!$M$2:$M$20001,DATA_TS!$A$2:$A$20001,"&gt;="&amp;Kalkulasi!$B$12,DATA_TS!$A$2:$A$20001,"&lt;="&amp;Kalkulasi!$B$13,DATA_TS!$B$2:$B$20001,Kalkulasi!$B$14,DATA_TS!$C$2:$C$20001,$D32)</f>
        <v/>
      </c>
      <c r="H32" s="70">
        <f>SUMIFS(DATA_TS!$Q$2:$Q$20001,DATA_TS!$A$2:$A$20001,"&gt;="&amp;Kalkulasi!$B$12,DATA_TS!$A$2:$A$20001,"&lt;="&amp;Kalkulasi!$B$13,DATA_TS!$B$2:$B$20001,Kalkulasi!$B$14,DATA_TS!$C$2:$C$20001,$D32)</f>
        <v/>
      </c>
      <c r="I32" s="71">
        <f>IF(G32=0,0,H32/G32)</f>
        <v/>
      </c>
      <c r="J32" s="70">
        <f>SUMIFS(DATA_TS!$O$2:$O$20001,DATA_TS!$A$2:$A$20001,"&gt;="&amp;Kalkulasi!$B$12,DATA_TS!$A$2:$A$20001,"&lt;="&amp;Kalkulasi!$B$13,DATA_TS!$B$2:$B$20001,Kalkulasi!$B$14,DATA_TS!$C$2:$C$20001,$D32)</f>
        <v/>
      </c>
      <c r="K32" s="70">
        <f>SUMIFS(DATA_TS!$R$2:$R$20001,DATA_TS!$A$2:$A$20001,"&gt;="&amp;Kalkulasi!$B$12,DATA_TS!$A$2:$A$20001,"&lt;="&amp;Kalkulasi!$B$13,DATA_TS!$B$2:$B$20001,Kalkulasi!$B$14,DATA_TS!$C$2:$C$20001,$D32)</f>
        <v/>
      </c>
      <c r="L32" s="70">
        <f>IFERROR(K32/SUMIFS(DATA_TS!$N$2:$N$20001,DATA_TS!$A$2:$A$20001,"&gt;="&amp;Kalkulasi!$B$12,DATA_TS!$A$2:$A$20001,"&lt;="&amp;Kalkulasi!$B$13,DATA_TS!$B$2:$B$20001,Kalkulasi!$B$14,DATA_TS!$C$2:$C$20001,$D32),0)</f>
        <v/>
      </c>
      <c r="M32" s="72">
        <f>IF(F32+SUMIFS(DATA_TS!$J$2:$J$20001,DATA_TS!$A$2:$A$20001,"&gt;="&amp;Kalkulasi!$B$12,DATA_TS!$A$2:$A$20001,"&lt;="&amp;Kalkulasi!$B$13,DATA_TS!$B$2:$B$20001,Kalkulasi!$B$14,DATA_TS!$C$2:$C$20001,$D32)+SUMIFS(DATA_TS!$K$2:$K$20001,DATA_TS!$A$2:$A$20001,"&gt;="&amp;Kalkulasi!$B$12,DATA_TS!$A$2:$A$20001,"&lt;="&amp;Kalkulasi!$B$13,DATA_TS!$B$2:$B$20001,Kalkulasi!$B$14,DATA_TS!$C$2:$C$20001,$D32)=0,0,(F32+SUMIFS(DATA_TS!$K$2:$K$20001,DATA_TS!$A$2:$A$20001,"&gt;="&amp;Kalkulasi!$B$12,DATA_TS!$A$2:$A$20001,"&lt;="&amp;Kalkulasi!$B$13,DATA_TS!$B$2:$B$20001,Kalkulasi!$B$14,DATA_TS!$C$2:$C$20001,$D32))/(F32+SUMIFS(DATA_TS!$J$2:$J$20001,DATA_TS!$A$2:$A$20001,"&gt;="&amp;Kalkulasi!$B$12,DATA_TS!$A$2:$A$20001,"&lt;="&amp;Kalkulasi!$B$13,DATA_TS!$B$2:$B$20001,Kalkulasi!$B$14,DATA_TS!$C$2:$C$20001,$D32)+SUMIFS(DATA_TS!$K$2:$K$20001,DATA_TS!$A$2:$A$20001,"&gt;="&amp;Kalkulasi!$B$12,DATA_TS!$A$2:$A$20001,"&lt;="&amp;Kalkulasi!$B$13,DATA_TS!$B$2:$B$20001,Kalkulasi!$B$14,DATA_TS!$C$2:$C$20001,$D32)))</f>
        <v/>
      </c>
      <c r="N32" s="72">
        <f>IF(F32+SUMIFS(DATA_TS!$K$2:$K$20001,DATA_TS!$A$2:$A$20001,"&gt;="&amp;Kalkulasi!$B$12,DATA_TS!$A$2:$A$20001,"&lt;="&amp;Kalkulasi!$B$13,DATA_TS!$B$2:$B$20001,Kalkulasi!$B$14,DATA_TS!$C$2:$C$20001,$D32)=0,0,F32/(F32+SUMIFS(DATA_TS!$K$2:$K$20001,DATA_TS!$A$2:$A$20001,"&gt;="&amp;Kalkulasi!$B$12,DATA_TS!$A$2:$A$20001,"&lt;="&amp;Kalkulasi!$B$13,DATA_TS!$B$2:$B$20001,Kalkulasi!$B$14,DATA_TS!$C$2:$C$20001,$D32)))</f>
        <v/>
      </c>
      <c r="O32" s="32" t="n"/>
      <c r="P32" s="33" t="n"/>
      <c r="Q32" s="33" t="n"/>
      <c r="R32" s="33" t="n"/>
      <c r="S32" s="33" t="n"/>
      <c r="T32" s="33" t="n"/>
      <c r="U32" s="34" t="n"/>
      <c r="V32" s="2" t="n"/>
    </row>
    <row r="33">
      <c r="A33" s="1" t="n"/>
      <c r="B33" s="47" t="inlineStr">
        <is>
          <t>Data dummy · Coal Project</t>
        </is>
      </c>
      <c r="C33" s="2" t="n"/>
      <c r="D33" s="44" t="n"/>
      <c r="E33" s="45" t="n"/>
      <c r="F33" s="45" t="n"/>
      <c r="G33" s="45" t="n"/>
      <c r="H33" s="45" t="n"/>
      <c r="I33" s="45" t="n"/>
      <c r="J33" s="45" t="n"/>
      <c r="K33" s="45" t="n"/>
      <c r="L33" s="45" t="n"/>
      <c r="M33" s="45" t="n"/>
      <c r="N33" s="46" t="n"/>
      <c r="O33" s="44" t="n"/>
      <c r="P33" s="45" t="n"/>
      <c r="Q33" s="45" t="n"/>
      <c r="R33" s="45" t="n"/>
      <c r="S33" s="45" t="n"/>
      <c r="T33" s="45" t="n"/>
      <c r="U33" s="46" t="n"/>
      <c r="V33" s="2" t="n"/>
    </row>
    <row r="34">
      <c r="A34" s="1" t="n"/>
      <c r="B34" s="49" t="inlineStr">
        <is>
          <t>Simulasi unit per shift,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</row>
    <row r="35" ht="24" customHeight="1">
      <c r="A35" s="1" t="n"/>
      <c r="B35" s="49" t="inlineStr">
        <is>
          <t>Maret 2026. Bukan data</t>
        </is>
      </c>
      <c r="C35" s="2" t="n"/>
      <c r="D35" s="29">
        <f>"Tren harian "&amp;IF($O$6="Semua","semua digger",$O$6)</f>
        <v/>
      </c>
      <c r="E35" s="30" t="n"/>
      <c r="F35" s="30" t="n"/>
      <c r="G35" s="30" t="n"/>
      <c r="H35" s="30" t="n"/>
      <c r="I35" s="30" t="n"/>
      <c r="J35" s="30" t="n"/>
      <c r="K35" s="30" t="n"/>
      <c r="L35" s="30" t="n"/>
      <c r="M35" s="30" t="n"/>
      <c r="N35" s="30" t="n"/>
      <c r="O35" s="30" t="n"/>
      <c r="P35" s="30" t="n"/>
      <c r="Q35" s="30" t="n"/>
      <c r="R35" s="30" t="n"/>
      <c r="S35" s="30" t="n"/>
      <c r="T35" s="30" t="n"/>
      <c r="U35" s="31" t="inlineStr">
        <is>
          <t>batang = produksi OB (BCM) · garis = PTY OB (BCM/jam)</t>
        </is>
      </c>
      <c r="V35" s="2" t="n"/>
    </row>
    <row r="36">
      <c r="A36" s="1" t="n"/>
      <c r="B36" s="49" t="inlineStr">
        <is>
          <t>perusahaan mana pun.</t>
        </is>
      </c>
      <c r="C36" s="2" t="n"/>
      <c r="D36" s="32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33" t="n"/>
      <c r="U36" s="34" t="n"/>
      <c r="V36" s="2" t="n"/>
    </row>
    <row r="37">
      <c r="A37" s="1" t="n"/>
      <c r="B37" s="49" t="inlineStr"/>
      <c r="C37" s="2" t="n"/>
      <c r="D37" s="32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33" t="n"/>
      <c r="U37" s="34" t="n"/>
      <c r="V37" s="2" t="n"/>
    </row>
    <row r="38">
      <c r="A38" s="1" t="n"/>
      <c r="B38" s="47" t="inlineStr">
        <is>
          <t>Muhammad Rifqi Rizqullah</t>
        </is>
      </c>
      <c r="C38" s="2" t="n"/>
      <c r="D38" s="32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33" t="n"/>
      <c r="U38" s="34" t="n"/>
      <c r="V38" s="2" t="n"/>
    </row>
    <row r="39">
      <c r="A39" s="1" t="n"/>
      <c r="B39" s="49" t="inlineStr">
        <is>
          <t>Mine Operations Control</t>
        </is>
      </c>
      <c r="C39" s="2" t="n"/>
      <c r="D39" s="32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33" t="n"/>
      <c r="U39" s="34" t="n"/>
      <c r="V39" s="2" t="n"/>
    </row>
    <row r="40">
      <c r="A40" s="1" t="n"/>
      <c r="B40" s="1" t="n"/>
      <c r="C40" s="2" t="n"/>
      <c r="D40" s="32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33" t="n"/>
      <c r="U40" s="34" t="n"/>
      <c r="V40" s="2" t="n"/>
    </row>
    <row r="41">
      <c r="A41" s="1" t="n"/>
      <c r="B41" s="1" t="n"/>
      <c r="C41" s="2" t="n"/>
      <c r="D41" s="32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4" t="n"/>
      <c r="V41" s="2" t="n"/>
    </row>
    <row r="42">
      <c r="A42" s="1" t="n"/>
      <c r="B42" s="1" t="n"/>
      <c r="C42" s="2" t="n"/>
      <c r="D42" s="32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33" t="n"/>
      <c r="U42" s="34" t="n"/>
      <c r="V42" s="2" t="n"/>
    </row>
    <row r="43">
      <c r="A43" s="1" t="n"/>
      <c r="B43" s="1" t="n"/>
      <c r="C43" s="2" t="n"/>
      <c r="D43" s="32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33" t="n"/>
      <c r="U43" s="34" t="n"/>
      <c r="V43" s="2" t="n"/>
    </row>
    <row r="44">
      <c r="A44" s="1" t="n"/>
      <c r="B44" s="1" t="n"/>
      <c r="C44" s="2" t="n"/>
      <c r="D44" s="32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33" t="n"/>
      <c r="U44" s="34" t="n"/>
      <c r="V44" s="2" t="n"/>
    </row>
    <row r="45">
      <c r="A45" s="1" t="n"/>
      <c r="B45" s="1" t="n"/>
      <c r="C45" s="2" t="n"/>
      <c r="D45" s="32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33" t="n"/>
      <c r="U45" s="34" t="n"/>
      <c r="V45" s="2" t="n"/>
    </row>
    <row r="46">
      <c r="A46" s="1" t="n"/>
      <c r="B46" s="1" t="n"/>
      <c r="C46" s="2" t="n"/>
      <c r="D46" s="32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33" t="n"/>
      <c r="U46" s="34" t="n"/>
      <c r="V46" s="2" t="n"/>
    </row>
    <row r="47">
      <c r="A47" s="1" t="n"/>
      <c r="B47" s="1" t="n"/>
      <c r="C47" s="2" t="n"/>
      <c r="D47" s="32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33" t="n"/>
      <c r="U47" s="34" t="n"/>
      <c r="V47" s="2" t="n"/>
    </row>
    <row r="48">
      <c r="A48" s="1" t="n"/>
      <c r="B48" s="1" t="n"/>
      <c r="C48" s="2" t="n"/>
      <c r="D48" s="32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33" t="n"/>
      <c r="U48" s="34" t="n"/>
      <c r="V48" s="2" t="n"/>
    </row>
    <row r="49">
      <c r="A49" s="1" t="n"/>
      <c r="B49" s="1" t="n"/>
      <c r="C49" s="2" t="n"/>
      <c r="D49" s="32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33" t="n"/>
      <c r="U49" s="34" t="n"/>
      <c r="V49" s="2" t="n"/>
    </row>
    <row r="50">
      <c r="A50" s="1" t="n"/>
      <c r="B50" s="1" t="n"/>
      <c r="C50" s="2" t="n"/>
      <c r="D50" s="32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33" t="n"/>
      <c r="U50" s="34" t="n"/>
      <c r="V50" s="2" t="n"/>
    </row>
    <row r="51">
      <c r="A51" s="1" t="n"/>
      <c r="B51" s="1" t="n"/>
      <c r="C51" s="2" t="n"/>
      <c r="D51" s="32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33" t="n"/>
      <c r="U51" s="34" t="n"/>
      <c r="V51" s="2" t="n"/>
    </row>
    <row r="52">
      <c r="A52" s="1" t="n"/>
      <c r="B52" s="1" t="n"/>
      <c r="C52" s="2" t="n"/>
      <c r="D52" s="44" t="n"/>
      <c r="E52" s="45" t="n"/>
      <c r="F52" s="45" t="n"/>
      <c r="G52" s="45" t="n"/>
      <c r="H52" s="45" t="n"/>
      <c r="I52" s="45" t="n"/>
      <c r="J52" s="45" t="n"/>
      <c r="K52" s="45" t="n"/>
      <c r="L52" s="45" t="n"/>
      <c r="M52" s="45" t="n"/>
      <c r="N52" s="45" t="n"/>
      <c r="O52" s="45" t="n"/>
      <c r="P52" s="45" t="n"/>
      <c r="Q52" s="45" t="n"/>
      <c r="R52" s="45" t="n"/>
      <c r="S52" s="45" t="n"/>
      <c r="T52" s="45" t="n"/>
      <c r="U52" s="46" t="n"/>
      <c r="V52" s="2" t="n"/>
    </row>
    <row r="53">
      <c r="A53" s="1" t="n"/>
      <c r="B53" s="1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</row>
    <row r="54">
      <c r="A54" s="1" t="n"/>
      <c r="B54" s="1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</row>
    <row r="55">
      <c r="A55" s="1" t="n"/>
      <c r="B55" s="1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</row>
    <row r="56">
      <c r="A56" s="1" t="n"/>
      <c r="B56" s="1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</row>
    <row r="57">
      <c r="A57" s="1" t="n"/>
      <c r="B57" s="1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</row>
    <row r="58">
      <c r="A58" s="1" t="n"/>
      <c r="B58" s="1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</row>
    <row r="59">
      <c r="A59" s="1" t="n"/>
      <c r="B59" s="1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</row>
    <row r="60">
      <c r="A60" s="1" t="n"/>
      <c r="B60" s="1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  <row r="61">
      <c r="A61" s="1" t="n"/>
      <c r="B61" s="1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</row>
    <row r="62">
      <c r="A62" s="1" t="n"/>
      <c r="B62" s="1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</row>
    <row r="63">
      <c r="A63" s="1" t="n"/>
      <c r="B63" s="1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</row>
    <row r="64">
      <c r="A64" s="1" t="n"/>
      <c r="B64" s="1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</row>
    <row r="65">
      <c r="A65" s="1" t="n"/>
      <c r="B65" s="1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</row>
    <row r="66">
      <c r="A66" s="1" t="n"/>
      <c r="B66" s="1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</row>
    <row r="67">
      <c r="A67" s="1" t="n"/>
      <c r="B67" s="1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</row>
    <row r="68">
      <c r="A68" s="1" t="n"/>
      <c r="B68" s="1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</row>
    <row r="69">
      <c r="A69" s="1" t="n"/>
      <c r="B69" s="1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</row>
    <row r="70">
      <c r="A70" s="1" t="n"/>
      <c r="B70" s="1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</row>
    <row r="71">
      <c r="A71" s="1" t="n"/>
      <c r="B71" s="1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</row>
    <row r="72">
      <c r="A72" s="1" t="n"/>
      <c r="B72" s="1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</row>
    <row r="73">
      <c r="A73" s="1" t="n"/>
      <c r="B73" s="1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</row>
    <row r="74">
      <c r="A74" s="1" t="n"/>
      <c r="B74" s="1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</row>
    <row r="75">
      <c r="A75" s="1" t="n"/>
      <c r="B75" s="1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</row>
    <row r="76">
      <c r="A76" s="1" t="n"/>
      <c r="B76" s="1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</row>
    <row r="77">
      <c r="A77" s="1" t="n"/>
      <c r="B77" s="1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</row>
    <row r="78">
      <c r="A78" s="1" t="n"/>
      <c r="B78" s="1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</row>
    <row r="79">
      <c r="A79" s="1" t="n"/>
      <c r="B79" s="1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</row>
    <row r="80">
      <c r="A80" s="1" t="n"/>
      <c r="B80" s="1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</row>
    <row r="81">
      <c r="A81" s="1" t="n"/>
      <c r="B81" s="1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</row>
    <row r="82">
      <c r="A82" s="1" t="n"/>
      <c r="B82" s="1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</row>
    <row r="83">
      <c r="A83" s="1" t="n"/>
      <c r="B83" s="1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</row>
    <row r="84">
      <c r="A84" s="1" t="n"/>
      <c r="B84" s="1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</row>
    <row r="85">
      <c r="A85" s="1" t="n"/>
      <c r="B85" s="1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</row>
    <row r="86">
      <c r="A86" s="1" t="n"/>
      <c r="B86" s="1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</row>
    <row r="87">
      <c r="A87" s="1" t="n"/>
      <c r="B87" s="1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</row>
    <row r="88">
      <c r="A88" s="1" t="n"/>
      <c r="B88" s="1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</row>
    <row r="89">
      <c r="A89" s="1" t="n"/>
      <c r="B89" s="1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</row>
    <row r="90">
      <c r="A90" s="1" t="n"/>
      <c r="B90" s="1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</row>
    <row r="91">
      <c r="A91" s="1" t="n"/>
      <c r="B91" s="1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</row>
    <row r="92">
      <c r="A92" s="1" t="n"/>
      <c r="B92" s="1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</row>
    <row r="93">
      <c r="A93" s="1" t="n"/>
      <c r="B93" s="1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</row>
    <row r="94">
      <c r="A94" s="1" t="n"/>
      <c r="B94" s="1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</row>
    <row r="95">
      <c r="A95" s="1" t="n"/>
      <c r="B95" s="1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</row>
    <row r="96">
      <c r="A96" s="1" t="n"/>
      <c r="B96" s="1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</row>
    <row r="97">
      <c r="A97" s="1" t="n"/>
      <c r="B97" s="1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</row>
    <row r="98">
      <c r="A98" s="1" t="n"/>
      <c r="B98" s="1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</row>
    <row r="99">
      <c r="A99" s="1" t="n"/>
      <c r="B99" s="1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</row>
    <row r="100">
      <c r="A100" s="1" t="n"/>
      <c r="B100" s="1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</row>
    <row r="101">
      <c r="A101" s="1" t="n"/>
      <c r="B101" s="1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</row>
    <row r="102">
      <c r="A102" s="1" t="n"/>
      <c r="B102" s="1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</row>
    <row r="103">
      <c r="A103" s="1" t="n"/>
      <c r="B103" s="1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</row>
    <row r="104">
      <c r="A104" s="1" t="n"/>
      <c r="B104" s="1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</row>
    <row r="105">
      <c r="A105" s="1" t="n"/>
      <c r="B105" s="1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</row>
    <row r="106">
      <c r="A106" s="1" t="n"/>
      <c r="B106" s="1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</row>
    <row r="107">
      <c r="A107" s="1" t="n"/>
      <c r="B107" s="1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</row>
    <row r="108">
      <c r="A108" s="1" t="n"/>
      <c r="B108" s="1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</row>
    <row r="109">
      <c r="A109" s="1" t="n"/>
      <c r="B109" s="1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</row>
    <row r="110">
      <c r="A110" s="1" t="n"/>
      <c r="B110" s="1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</row>
    <row r="111">
      <c r="A111" s="1" t="n"/>
      <c r="B111" s="1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</row>
    <row r="112">
      <c r="A112" s="1" t="n"/>
      <c r="B112" s="1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</row>
    <row r="113">
      <c r="A113" s="1" t="n"/>
      <c r="B113" s="1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</row>
    <row r="114">
      <c r="A114" s="1" t="n"/>
      <c r="B114" s="1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</row>
    <row r="115">
      <c r="A115" s="1" t="n"/>
      <c r="B115" s="1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</row>
    <row r="116">
      <c r="A116" s="1" t="n"/>
      <c r="B116" s="1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</row>
    <row r="117">
      <c r="A117" s="1" t="n"/>
      <c r="B117" s="1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</row>
    <row r="118">
      <c r="A118" s="1" t="n"/>
      <c r="B118" s="1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</row>
    <row r="119">
      <c r="A119" s="1" t="n"/>
      <c r="B119" s="1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</row>
    <row r="120">
      <c r="A120" s="1" t="n"/>
      <c r="B120" s="1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</row>
    <row r="121">
      <c r="A121" s="1" t="n"/>
      <c r="B121" s="1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</row>
    <row r="122">
      <c r="A122" s="1" t="n"/>
      <c r="B122" s="1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</row>
    <row r="123">
      <c r="A123" s="1" t="n"/>
      <c r="B123" s="1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</row>
    <row r="124">
      <c r="A124" s="1" t="n"/>
      <c r="B124" s="1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</row>
    <row r="125">
      <c r="A125" s="1" t="n"/>
      <c r="B125" s="1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</row>
    <row r="126">
      <c r="A126" s="1" t="n"/>
      <c r="B126" s="1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</row>
    <row r="127">
      <c r="A127" s="1" t="n"/>
      <c r="B127" s="1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</row>
    <row r="128">
      <c r="A128" s="1" t="n"/>
      <c r="B128" s="1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</row>
    <row r="129">
      <c r="A129" s="1" t="n"/>
      <c r="B129" s="1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</row>
    <row r="130">
      <c r="A130" s="1" t="n"/>
      <c r="B130" s="1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</row>
  </sheetData>
  <mergeCells count="18">
    <mergeCell ref="M11:O11"/>
    <mergeCell ref="S10:U10"/>
    <mergeCell ref="D11:F11"/>
    <mergeCell ref="G10:I10"/>
    <mergeCell ref="M10:O10"/>
    <mergeCell ref="J10:L10"/>
    <mergeCell ref="P10:R10"/>
    <mergeCell ref="P11:R11"/>
    <mergeCell ref="G11:I11"/>
    <mergeCell ref="M9:O9"/>
    <mergeCell ref="S9:U9"/>
    <mergeCell ref="G9:I9"/>
    <mergeCell ref="D9:F9"/>
    <mergeCell ref="P9:R9"/>
    <mergeCell ref="J9:L9"/>
    <mergeCell ref="S11:U11"/>
    <mergeCell ref="J11:L11"/>
    <mergeCell ref="D10:F10"/>
  </mergeCells>
  <conditionalFormatting sqref="D15:N32">
    <cfRule type="expression" priority="1" dxfId="6">
      <formula>$D15=$O$6</formula>
    </cfRule>
  </conditionalFormatting>
  <conditionalFormatting sqref="I15:I32">
    <cfRule type="dataBar" priority="2">
      <dataBar>
        <cfvo type="num" val="0"/>
        <cfvo type="max"/>
        <color rgb="009FB3C8"/>
      </dataBar>
    </cfRule>
  </conditionalFormatting>
  <conditionalFormatting sqref="M15:M32">
    <cfRule type="expression" priority="3" dxfId="7">
      <formula>AND(M15&lt;Parameter!$C$5,$F15&gt;0)</formula>
    </cfRule>
  </conditionalFormatting>
  <conditionalFormatting sqref="N15:N32">
    <cfRule type="expression" priority="4" dxfId="7">
      <formula>AND(N15&lt;Parameter!$C$6,$F15&gt;0)</formula>
    </cfRule>
  </conditionalFormatting>
  <dataValidations count="4">
    <dataValidation sqref="F6" showDropDown="0" showInputMessage="1" showErrorMessage="0" allowBlank="0" prompt="Pilih tanggal mulai" type="list">
      <formula1>=LIST!$M$3:$M$94</formula1>
    </dataValidation>
    <dataValidation sqref="I6" showDropDown="0" showInputMessage="1" showErrorMessage="0" allowBlank="0" prompt="Pilih tanggal akhir" type="list">
      <formula1>=LIST!$M$3:$M$94</formula1>
    </dataValidation>
    <dataValidation sqref="L6" showDropDown="0" showInputMessage="1" showErrorMessage="0" allowBlank="0" prompt="DS = day shift, NS = night shift" type="list">
      <formula1>"Semua,DS,NS"</formula1>
    </dataValidation>
    <dataValidation sqref="O6" showDropDown="0" showInputMessage="1" showErrorMessage="0" allowBlank="0" prompt="Pilih excavator untuk tren &amp; sorotan" type="list">
      <formula1>=LIST!$N$3:$N$21</formula1>
    </dataValidation>
  </dataValidations>
  <pageMargins left="0.25" right="0.25" top="0.25" bottom="0.25" header="0.5" footer="0.5"/>
  <pageSetup orientation="landscape" paperSize="9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E3B4E"/>
    <outlinePr summaryBelow="1" summaryRight="1"/>
    <pageSetUpPr fitToPage="1"/>
  </sheetPr>
  <dimension ref="A1:V130"/>
  <sheetViews>
    <sheetView showGridLines="0" showRowColHeaders="0" zoomScale="90" workbookViewId="0">
      <pane xSplit="2" topLeftCell="C1" activePane="topRight" state="frozen"/>
      <selection pane="topRight" activeCell="A1" sqref="A1"/>
    </sheetView>
  </sheetViews>
  <sheetFormatPr baseColWidth="8" defaultRowHeight="15"/>
  <cols>
    <col width="1.2" customWidth="1" min="1" max="1"/>
    <col width="27" customWidth="1" min="2" max="2"/>
    <col width="2.5" customWidth="1" min="3" max="3"/>
    <col width="8.6" customWidth="1" min="4" max="4"/>
    <col width="8.6" customWidth="1" min="5" max="5"/>
    <col width="8.6" customWidth="1" min="6" max="6"/>
    <col width="8.6" customWidth="1" min="7" max="7"/>
    <col width="8.6" customWidth="1" min="8" max="8"/>
    <col width="8.6" customWidth="1" min="9" max="9"/>
    <col width="8.6" customWidth="1" min="10" max="10"/>
    <col width="8.6" customWidth="1" min="11" max="11"/>
    <col width="8.6" customWidth="1" min="12" max="12"/>
    <col width="8.6" customWidth="1" min="13" max="13"/>
    <col width="8.6" customWidth="1" min="14" max="14"/>
    <col width="8.6" customWidth="1" min="15" max="15"/>
    <col width="8.6" customWidth="1" min="16" max="16"/>
    <col width="8.6" customWidth="1" min="17" max="17"/>
    <col width="8.6" customWidth="1" min="18" max="18"/>
    <col width="8.6" customWidth="1" min="19" max="19"/>
    <col width="8.6" customWidth="1" min="20" max="20"/>
    <col width="8.6" customWidth="1" min="21" max="21"/>
    <col width="2.5" customWidth="1" min="22" max="22"/>
  </cols>
  <sheetData>
    <row r="1" ht="10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28" customHeight="1">
      <c r="A2" s="1" t="n"/>
      <c r="B2" s="3" t="inlineStr">
        <is>
          <t>PIT CONTROL</t>
        </is>
      </c>
      <c r="C2" s="2" t="n"/>
      <c r="D2" s="4" t="inlineStr">
        <is>
          <t>Mine Ops Board  /  Availability Unit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 ht="34" customHeight="1">
      <c r="A3" s="1" t="n"/>
      <c r="B3" s="5" t="inlineStr">
        <is>
          <t>MINE OPS BOARD</t>
        </is>
      </c>
      <c r="C3" s="2" t="n"/>
      <c r="D3" s="6" t="inlineStr">
        <is>
          <t>Availability Unit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>
      <c r="A4" s="1" t="n"/>
      <c r="B4" s="1" t="n"/>
      <c r="C4" s="2" t="n"/>
      <c r="D4" s="7" t="inlineStr">
        <is>
          <t>PA = (HM+Idle)/(HM+Idle+BD) · UA = HM/(HM+Idle) · definisi timesheet site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 ht="8" customHeight="1">
      <c r="A5" s="1" t="n"/>
      <c r="B5" s="8" t="inlineStr">
        <is>
          <t>BOARD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 ht="24" customHeight="1">
      <c r="A6" s="1" t="n"/>
      <c r="B6" s="15">
        <f>HYPERLINK("#Produksi!A1","   Produksi")</f>
        <v/>
      </c>
      <c r="C6" s="2" t="n"/>
      <c r="D6" s="11" t="n"/>
      <c r="E6" s="12" t="inlineStr">
        <is>
          <t>Dari</t>
        </is>
      </c>
      <c r="F6" s="13" t="n">
        <v>46082</v>
      </c>
      <c r="G6" s="11" t="n"/>
      <c r="H6" s="12" t="inlineStr">
        <is>
          <t>Sampai</t>
        </is>
      </c>
      <c r="I6" s="13" t="n">
        <v>46110</v>
      </c>
      <c r="J6" s="11" t="n"/>
      <c r="K6" s="12" t="inlineStr">
        <is>
          <t>Shift</t>
        </is>
      </c>
      <c r="L6" s="14" t="inlineStr">
        <is>
          <t>Semua</t>
        </is>
      </c>
      <c r="M6" s="11" t="n"/>
      <c r="N6" s="12" t="inlineStr">
        <is>
          <t>Class</t>
        </is>
      </c>
      <c r="O6" s="14" t="inlineStr">
        <is>
          <t>Semua</t>
        </is>
      </c>
      <c r="P6" s="11" t="n"/>
      <c r="Q6" s="12" t="inlineStr">
        <is>
          <t>Unit</t>
        </is>
      </c>
      <c r="R6" s="14" t="inlineStr">
        <is>
          <t>Semua</t>
        </is>
      </c>
      <c r="S6" s="2" t="n"/>
      <c r="T6" s="2" t="n"/>
      <c r="U6" s="2" t="n"/>
      <c r="V6" s="2" t="n"/>
    </row>
    <row r="7" ht="14" customHeight="1">
      <c r="A7" s="1" t="n"/>
      <c r="B7" s="15">
        <f>HYPERLINK("#Digger!A1","   Produktivitas Digger")</f>
        <v/>
      </c>
      <c r="C7" s="2" t="n"/>
      <c r="D7" s="16">
        <f>IF(Kalkulasi!$B$24=0,"⚠ Tanggal akhir harus sama atau setelah tanggal mulai","Klik sel kuning untuk memilih filter · "&amp;Kalkulasi!$B$24&amp;" hari dipilih")</f>
        <v/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 ht="22" customHeight="1">
      <c r="A8" s="9" t="n"/>
      <c r="B8" s="10">
        <f>HYPERLINK("#Availability!A1","   Availability Unit")</f>
        <v/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 ht="18" customHeight="1">
      <c r="A9" s="1" t="n"/>
      <c r="B9" s="15">
        <f>HYPERLINK("#'Delay &amp; Hujan'!A1","   Delay &amp; Hujan")</f>
        <v/>
      </c>
      <c r="C9" s="2" t="n"/>
      <c r="D9" s="17" t="inlineStr">
        <is>
          <t>PHYSICAL AVAILABILITY</t>
        </is>
      </c>
      <c r="E9" s="18" t="n"/>
      <c r="F9" s="19" t="n"/>
      <c r="G9" s="17" t="inlineStr">
        <is>
          <t>USE OF AVAILABILITY</t>
        </is>
      </c>
      <c r="H9" s="18" t="n"/>
      <c r="I9" s="19" t="n"/>
      <c r="J9" s="17" t="inlineStr">
        <is>
          <t>MECH. AVAILABILITY</t>
        </is>
      </c>
      <c r="K9" s="18" t="n"/>
      <c r="L9" s="19" t="n"/>
      <c r="M9" s="17" t="inlineStr">
        <is>
          <t>EFFECTIVE UTILIZATION</t>
        </is>
      </c>
      <c r="N9" s="18" t="n"/>
      <c r="O9" s="19" t="n"/>
      <c r="P9" s="17" t="inlineStr">
        <is>
          <t>WORKING HOURS</t>
        </is>
      </c>
      <c r="Q9" s="18" t="n"/>
      <c r="R9" s="19" t="n"/>
      <c r="S9" s="17" t="inlineStr">
        <is>
          <t>BREAKDOWN</t>
        </is>
      </c>
      <c r="T9" s="18" t="n"/>
      <c r="U9" s="19" t="n"/>
      <c r="V9" s="2" t="n"/>
    </row>
    <row r="10" ht="30" customHeight="1">
      <c r="A10" s="1" t="n"/>
      <c r="B10" s="15">
        <f>HYPERLINK("#Fuel!A1","   Fuel")</f>
        <v/>
      </c>
      <c r="C10" s="2" t="n"/>
      <c r="D10" s="22">
        <f>Kalkulasi!$B$63</f>
        <v/>
      </c>
      <c r="F10" s="21" t="n"/>
      <c r="G10" s="22">
        <f>Kalkulasi!$B$64</f>
        <v/>
      </c>
      <c r="I10" s="21" t="n"/>
      <c r="J10" s="22">
        <f>Kalkulasi!$B$65</f>
        <v/>
      </c>
      <c r="L10" s="21" t="n"/>
      <c r="M10" s="22">
        <f>Kalkulasi!$B$66</f>
        <v/>
      </c>
      <c r="O10" s="21" t="n"/>
      <c r="P10" s="73">
        <f>Kalkulasi!$B$59</f>
        <v/>
      </c>
      <c r="R10" s="21" t="n"/>
      <c r="S10" s="74">
        <f>Kalkulasi!$B$60</f>
        <v/>
      </c>
      <c r="U10" s="21" t="n"/>
      <c r="V10" s="2" t="n"/>
    </row>
    <row r="11" ht="18" customHeight="1">
      <c r="A11" s="1" t="n"/>
      <c r="B11" s="15">
        <f>HYPERLINK("#'Tren PTY'!A1","   Tren PTY")</f>
        <v/>
      </c>
      <c r="C11" s="2" t="n"/>
      <c r="D11" s="26">
        <f>"Target "&amp;TEXT(Parameter!$C$5,"0%")</f>
        <v/>
      </c>
      <c r="E11" s="27" t="n"/>
      <c r="F11" s="28" t="n"/>
      <c r="G11" s="26">
        <f>"Target "&amp;TEXT(Parameter!$C$6,"0%")</f>
        <v/>
      </c>
      <c r="H11" s="27" t="n"/>
      <c r="I11" s="28" t="n"/>
      <c r="J11" s="26">
        <f>"HM ÷ (HM + BD)"</f>
        <v/>
      </c>
      <c r="K11" s="27" t="n"/>
      <c r="L11" s="28" t="n"/>
      <c r="M11" s="26">
        <f>"HM ÷ (HM + BD + Idle)"</f>
        <v/>
      </c>
      <c r="N11" s="27" t="n"/>
      <c r="O11" s="28" t="n"/>
      <c r="P11" s="26">
        <f>TEXT(Kalkulasi!$B$67,"0")&amp;" unit tercatat"</f>
        <v/>
      </c>
      <c r="Q11" s="27" t="n"/>
      <c r="R11" s="28" t="n"/>
      <c r="S11" s="26">
        <f>"  "&amp;TEXT(Kalkulasi!$B$68,"0%")&amp;" tak terjadwal"</f>
        <v/>
      </c>
      <c r="T11" s="27" t="n"/>
      <c r="U11" s="28" t="n"/>
      <c r="V11" s="2" t="n"/>
    </row>
    <row r="12" ht="10" customHeight="1">
      <c r="A12" s="1" t="n"/>
      <c r="B12" s="1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</row>
    <row r="13" ht="24" customHeight="1">
      <c r="A13" s="1" t="n"/>
      <c r="B13" s="8" t="inlineStr">
        <is>
          <t>PER JAM</t>
        </is>
      </c>
      <c r="C13" s="2" t="n"/>
      <c r="D13" s="29" t="inlineStr">
        <is>
          <t>PA &amp; UA per class</t>
        </is>
      </c>
      <c r="E13" s="30" t="n"/>
      <c r="F13" s="30" t="n"/>
      <c r="G13" s="30" t="n"/>
      <c r="H13" s="30" t="n"/>
      <c r="I13" s="30" t="n"/>
      <c r="J13" s="30" t="n"/>
      <c r="K13" s="30" t="n"/>
      <c r="L13" s="30" t="n"/>
      <c r="M13" s="30" t="n"/>
      <c r="N13" s="30" t="n"/>
      <c r="O13" s="31" t="inlineStr">
        <is>
          <t>% · mengikuti tanggal &amp; shift</t>
        </is>
      </c>
      <c r="P13" s="29" t="inlineStr">
        <is>
          <t>Breakdown</t>
        </is>
      </c>
      <c r="Q13" s="30" t="n"/>
      <c r="R13" s="30" t="n"/>
      <c r="S13" s="30" t="n"/>
      <c r="T13" s="30" t="n"/>
      <c r="U13" s="31" t="inlineStr">
        <is>
          <t>jam unit</t>
        </is>
      </c>
      <c r="V13" s="2" t="n"/>
    </row>
    <row r="14" ht="22" customHeight="1">
      <c r="A14" s="1" t="n"/>
      <c r="B14" s="15">
        <f>HYPERLINK("#'PTY per Jam'!A1","   PTY per Jam")</f>
        <v/>
      </c>
      <c r="C14" s="2" t="n"/>
      <c r="D14" s="32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4" t="n"/>
      <c r="P14" s="32" t="n"/>
      <c r="Q14" s="33" t="n"/>
      <c r="R14" s="33" t="n"/>
      <c r="S14" s="33" t="n"/>
      <c r="T14" s="33" t="n"/>
      <c r="U14" s="34" t="n"/>
      <c r="V14" s="2" t="n"/>
    </row>
    <row r="15" ht="22" customHeight="1">
      <c r="A15" s="1" t="n"/>
      <c r="B15" s="15">
        <f>HYPERLINK("#'Fleet &amp; Delay'!A1","   Fleet &amp; Delay")</f>
        <v/>
      </c>
      <c r="C15" s="2" t="n"/>
      <c r="D15" s="32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4" t="n"/>
      <c r="P15" s="32" t="n"/>
      <c r="Q15" s="33" t="n"/>
      <c r="R15" s="33" t="n"/>
      <c r="S15" s="33" t="n"/>
      <c r="T15" s="33" t="n"/>
      <c r="U15" s="34" t="n"/>
      <c r="V15" s="2" t="n"/>
    </row>
    <row r="16" ht="22" customHeight="1">
      <c r="A16" s="1" t="n"/>
      <c r="B16" s="15">
        <f>HYPERLINK("#'Daily Report'!A1","   Daily Report")</f>
        <v/>
      </c>
      <c r="C16" s="2" t="n"/>
      <c r="D16" s="32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4" t="n"/>
      <c r="P16" s="32" t="n"/>
      <c r="Q16" s="33" t="n"/>
      <c r="R16" s="33" t="n"/>
      <c r="S16" s="33" t="n"/>
      <c r="T16" s="33" t="n"/>
      <c r="U16" s="34" t="n"/>
      <c r="V16" s="2" t="n"/>
    </row>
    <row r="17" ht="22" customHeight="1">
      <c r="A17" s="1" t="n"/>
      <c r="B17" s="15">
        <f>HYPERLINK("#INPUT_RITASE!A1","   Input ritase ↗")</f>
        <v/>
      </c>
      <c r="C17" s="2" t="n"/>
      <c r="D17" s="32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4" t="n"/>
      <c r="P17" s="32" t="n"/>
      <c r="Q17" s="33" t="n"/>
      <c r="R17" s="33" t="n"/>
      <c r="S17" s="33" t="n"/>
      <c r="T17" s="33" t="n"/>
      <c r="U17" s="34" t="n"/>
      <c r="V17" s="2" t="n"/>
    </row>
    <row r="18" ht="22" customHeight="1">
      <c r="A18" s="1" t="n"/>
      <c r="B18" s="15">
        <f>HYPERLINK("#INPUT_DELAY!A1","   Input delay ↗")</f>
        <v/>
      </c>
      <c r="C18" s="2" t="n"/>
      <c r="D18" s="32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4" t="n"/>
      <c r="P18" s="32" t="n"/>
      <c r="Q18" s="33" t="n"/>
      <c r="R18" s="33" t="n"/>
      <c r="S18" s="33" t="n"/>
      <c r="T18" s="33" t="n"/>
      <c r="U18" s="34" t="n"/>
      <c r="V18" s="2" t="n"/>
    </row>
    <row r="19">
      <c r="A19" s="1" t="n"/>
      <c r="B19" s="1" t="n"/>
      <c r="C19" s="2" t="n"/>
      <c r="D19" s="32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4" t="n"/>
      <c r="P19" s="32" t="n"/>
      <c r="Q19" s="33" t="n"/>
      <c r="R19" s="33" t="n"/>
      <c r="S19" s="33" t="n"/>
      <c r="T19" s="33" t="n"/>
      <c r="U19" s="34" t="n"/>
      <c r="V19" s="2" t="n"/>
    </row>
    <row r="20">
      <c r="A20" s="1" t="n"/>
      <c r="B20" s="8" t="inlineStr">
        <is>
          <t>DATA</t>
        </is>
      </c>
      <c r="C20" s="2" t="n"/>
      <c r="D20" s="32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4" t="n"/>
      <c r="P20" s="32" t="n"/>
      <c r="Q20" s="33" t="n"/>
      <c r="R20" s="33" t="n"/>
      <c r="S20" s="33" t="n"/>
      <c r="T20" s="33" t="n"/>
      <c r="U20" s="34" t="n"/>
      <c r="V20" s="2" t="n"/>
    </row>
    <row r="21" ht="22" customHeight="1">
      <c r="A21" s="1" t="n"/>
      <c r="B21" s="15">
        <f>HYPERLINK("#'Master Data'!A1","   Master Data")</f>
        <v/>
      </c>
      <c r="C21" s="2" t="n"/>
      <c r="D21" s="32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4" t="n"/>
      <c r="P21" s="32" t="n"/>
      <c r="Q21" s="33" t="n"/>
      <c r="R21" s="33" t="n"/>
      <c r="S21" s="33" t="n"/>
      <c r="T21" s="33" t="n"/>
      <c r="U21" s="34" t="n"/>
      <c r="V21" s="2" t="n"/>
    </row>
    <row r="22" ht="22" customHeight="1">
      <c r="A22" s="1" t="n"/>
      <c r="B22" s="15">
        <f>HYPERLINK("#DATA_TS!A1","   Tabel timesheet ↗")</f>
        <v/>
      </c>
      <c r="C22" s="2" t="n"/>
      <c r="D22" s="32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4" t="n"/>
      <c r="P22" s="32" t="n"/>
      <c r="Q22" s="33" t="n"/>
      <c r="R22" s="33" t="n"/>
      <c r="S22" s="33" t="n"/>
      <c r="T22" s="33" t="n"/>
      <c r="U22" s="34" t="n"/>
      <c r="V22" s="2" t="n"/>
    </row>
    <row r="23" ht="22" customHeight="1">
      <c r="A23" s="1" t="n"/>
      <c r="B23" s="15">
        <f>HYPERLINK("#DATA_FUEL!A1","   Tabel fuel ↗")</f>
        <v/>
      </c>
      <c r="C23" s="2" t="n"/>
      <c r="D23" s="32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4" t="n"/>
      <c r="P23" s="32" t="n"/>
      <c r="Q23" s="33" t="n"/>
      <c r="R23" s="33" t="n"/>
      <c r="S23" s="33" t="n"/>
      <c r="T23" s="33" t="n"/>
      <c r="U23" s="34" t="n"/>
      <c r="V23" s="2" t="n"/>
    </row>
    <row r="24">
      <c r="A24" s="1" t="n"/>
      <c r="B24" s="1" t="n"/>
      <c r="C24" s="2" t="n"/>
      <c r="D24" s="32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4" t="n"/>
      <c r="P24" s="75">
        <f>"Total "&amp;TEXT(Kalkulasi!$B$60,"#,##0")&amp;" jam BD"</f>
        <v/>
      </c>
      <c r="Q24" s="33" t="n"/>
      <c r="R24" s="33" t="n"/>
      <c r="S24" s="33" t="n"/>
      <c r="T24" s="33" t="n"/>
      <c r="U24" s="34" t="n"/>
      <c r="V24" s="2" t="n"/>
    </row>
    <row r="25">
      <c r="A25" s="1" t="n"/>
      <c r="B25" s="8" t="inlineStr">
        <is>
          <t>LAINNYA</t>
        </is>
      </c>
      <c r="C25" s="2" t="n"/>
      <c r="D25" s="32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4" t="n"/>
      <c r="P25" s="32" t="n"/>
      <c r="Q25" s="33" t="n"/>
      <c r="R25" s="33" t="n"/>
      <c r="S25" s="33" t="n"/>
      <c r="T25" s="33" t="n"/>
      <c r="U25" s="34" t="n"/>
      <c r="V25" s="2" t="n"/>
    </row>
    <row r="26" ht="22" customHeight="1">
      <c r="A26" s="1" t="n"/>
      <c r="B26" s="15">
        <f>HYPERLINK("#Panduan!A1","   Panduan")</f>
        <v/>
      </c>
      <c r="C26" s="2" t="n"/>
      <c r="D26" s="32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4" t="n"/>
      <c r="P26" s="42" t="inlineStr">
        <is>
          <t>■</t>
        </is>
      </c>
      <c r="Q26" s="37" t="inlineStr">
        <is>
          <t>Tak terjadwal</t>
        </is>
      </c>
      <c r="R26" s="33" t="n"/>
      <c r="S26" s="33" t="n"/>
      <c r="T26" s="76">
        <f>Kalkulasi!$B$61</f>
        <v/>
      </c>
      <c r="U26" s="34" t="n"/>
      <c r="V26" s="2" t="n"/>
    </row>
    <row r="27" ht="22" customHeight="1">
      <c r="A27" s="1" t="n"/>
      <c r="B27" s="15">
        <f>HYPERLINK("#Parameter!A1","   Target &amp; parameter")</f>
        <v/>
      </c>
      <c r="C27" s="2" t="n"/>
      <c r="D27" s="32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4" t="n"/>
      <c r="P27" s="32" t="n"/>
      <c r="Q27" s="33" t="n"/>
      <c r="R27" s="33" t="n"/>
      <c r="S27" s="33" t="n"/>
      <c r="T27" s="33" t="n"/>
      <c r="U27" s="34" t="n"/>
      <c r="V27" s="2" t="n"/>
    </row>
    <row r="28" ht="22" customHeight="1">
      <c r="A28" s="1" t="n"/>
      <c r="B28" s="15">
        <f>HYPERLINK("#MASTER_JAM!A1","   Faktor, target &amp; MF")</f>
        <v/>
      </c>
      <c r="C28" s="2" t="n"/>
      <c r="D28" s="32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4" t="n"/>
      <c r="P28" s="41" t="inlineStr">
        <is>
          <t>■</t>
        </is>
      </c>
      <c r="Q28" s="37" t="inlineStr">
        <is>
          <t>Terjadwal (servis)</t>
        </is>
      </c>
      <c r="R28" s="33" t="n"/>
      <c r="S28" s="33" t="n"/>
      <c r="T28" s="76">
        <f>Kalkulasi!$B$69</f>
        <v/>
      </c>
      <c r="U28" s="34" t="n"/>
      <c r="V28" s="2" t="n"/>
    </row>
    <row r="29">
      <c r="A29" s="1" t="n"/>
      <c r="B29" s="1" t="n"/>
      <c r="C29" s="2" t="n"/>
      <c r="D29" s="32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4" t="n"/>
      <c r="P29" s="32" t="n"/>
      <c r="Q29" s="33" t="n"/>
      <c r="R29" s="33" t="n"/>
      <c r="S29" s="33" t="n"/>
      <c r="T29" s="33" t="n"/>
      <c r="U29" s="34" t="n"/>
      <c r="V29" s="2" t="n"/>
    </row>
    <row r="30">
      <c r="A30" s="1" t="n"/>
      <c r="B30" s="1" t="n"/>
      <c r="C30" s="2" t="n"/>
      <c r="D30" s="44" t="n"/>
      <c r="E30" s="45" t="n"/>
      <c r="F30" s="45" t="n"/>
      <c r="G30" s="45" t="n"/>
      <c r="H30" s="45" t="n"/>
      <c r="I30" s="45" t="n"/>
      <c r="J30" s="45" t="n"/>
      <c r="K30" s="45" t="n"/>
      <c r="L30" s="45" t="n"/>
      <c r="M30" s="45" t="n"/>
      <c r="N30" s="45" t="n"/>
      <c r="O30" s="46" t="n"/>
      <c r="P30" s="44" t="n"/>
      <c r="Q30" s="45" t="n"/>
      <c r="R30" s="45" t="n"/>
      <c r="S30" s="45" t="n"/>
      <c r="T30" s="45" t="n"/>
      <c r="U30" s="46" t="n"/>
      <c r="V30" s="2" t="n"/>
    </row>
    <row r="31" ht="10" customHeight="1">
      <c r="A31" s="1" t="n"/>
      <c r="B31" s="1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</row>
    <row r="32" ht="24" customHeight="1">
      <c r="A32" s="1" t="n"/>
      <c r="B32" s="1" t="n"/>
      <c r="C32" s="2" t="n"/>
      <c r="D32" s="29" t="inlineStr">
        <is>
          <t>Tren PA &amp; UA harian</t>
        </is>
      </c>
      <c r="E32" s="30" t="n"/>
      <c r="F32" s="30" t="n"/>
      <c r="G32" s="30" t="n"/>
      <c r="H32" s="30" t="n"/>
      <c r="I32" s="30" t="n"/>
      <c r="J32" s="30" t="n"/>
      <c r="K32" s="30" t="n"/>
      <c r="L32" s="30" t="n"/>
      <c r="M32" s="30" t="n"/>
      <c r="N32" s="30" t="n"/>
      <c r="O32" s="31" t="inlineStr">
        <is>
          <t>% · unit sesuai filter · garis putus = target PA</t>
        </is>
      </c>
      <c r="P32" s="29" t="inlineStr">
        <is>
          <t>Top 10 unit breakdown</t>
        </is>
      </c>
      <c r="Q32" s="30" t="n"/>
      <c r="R32" s="30" t="n"/>
      <c r="S32" s="30" t="n"/>
      <c r="T32" s="30" t="n"/>
      <c r="U32" s="31" t="inlineStr">
        <is>
          <t>jam BD</t>
        </is>
      </c>
      <c r="V32" s="2" t="n"/>
    </row>
    <row r="33">
      <c r="A33" s="1" t="n"/>
      <c r="B33" s="47" t="inlineStr">
        <is>
          <t>Data dummy · Coal Project</t>
        </is>
      </c>
      <c r="C33" s="2" t="n"/>
      <c r="D33" s="32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4" t="n"/>
      <c r="P33" s="32" t="n"/>
      <c r="Q33" s="33" t="n"/>
      <c r="R33" s="33" t="n"/>
      <c r="S33" s="33" t="n"/>
      <c r="T33" s="33" t="n"/>
      <c r="U33" s="34" t="n"/>
      <c r="V33" s="2" t="n"/>
    </row>
    <row r="34" ht="20" customHeight="1">
      <c r="A34" s="1" t="n"/>
      <c r="B34" s="49" t="inlineStr">
        <is>
          <t>Simulasi unit per shift,</t>
        </is>
      </c>
      <c r="C34" s="2" t="n"/>
      <c r="D34" s="32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4" t="n"/>
      <c r="P34" s="65" t="inlineStr">
        <is>
          <t>#</t>
        </is>
      </c>
      <c r="Q34" s="65" t="inlineStr">
        <is>
          <t>Unit</t>
        </is>
      </c>
      <c r="R34" s="65" t="inlineStr">
        <is>
          <t>Class</t>
        </is>
      </c>
      <c r="S34" s="65" t="inlineStr"/>
      <c r="T34" s="66" t="inlineStr">
        <is>
          <t>BD jam</t>
        </is>
      </c>
      <c r="U34" s="66" t="inlineStr">
        <is>
          <t>PA</t>
        </is>
      </c>
      <c r="V34" s="2" t="n"/>
    </row>
    <row r="35" ht="18" customHeight="1">
      <c r="A35" s="1" t="n"/>
      <c r="B35" s="49" t="inlineStr">
        <is>
          <t>Maret 2026. Bukan data</t>
        </is>
      </c>
      <c r="C35" s="2" t="n"/>
      <c r="D35" s="32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4" t="n"/>
      <c r="P35" s="77" t="n">
        <v>1</v>
      </c>
      <c r="Q35" s="67">
        <f>IF(T35=0,"–",INDEX(LIST!$A$3:$A$112,MATCH(LARGE(LIST!$I$3:$I$112,1),LIST!$I$3:$I$112,0)))</f>
        <v/>
      </c>
      <c r="R35" s="68">
        <f>IF(T35=0,"",INDEX(LIST!$C$3:$C$112,MATCH(LARGE(LIST!$I$3:$I$112,1),LIST!$I$3:$I$112,0)))</f>
        <v/>
      </c>
      <c r="S35" s="78" t="inlineStr"/>
      <c r="T35" s="79">
        <f>ROUND(INDEX(LIST!$E$3:$E$112,MATCH(LARGE(LIST!$I$3:$I$112,1),LIST!$I$3:$I$112,0)),1)</f>
        <v/>
      </c>
      <c r="U35" s="72">
        <f>IF(T35=0,"",INDEX(LIST!$H$3:$H$112,MATCH(LARGE(LIST!$I$3:$I$112,1),LIST!$I$3:$I$112,0)))</f>
        <v/>
      </c>
      <c r="V35" s="2" t="n"/>
    </row>
    <row r="36" ht="18" customHeight="1">
      <c r="A36" s="1" t="n"/>
      <c r="B36" s="49" t="inlineStr">
        <is>
          <t>perusahaan mana pun.</t>
        </is>
      </c>
      <c r="C36" s="2" t="n"/>
      <c r="D36" s="32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4" t="n"/>
      <c r="P36" s="77" t="n">
        <v>2</v>
      </c>
      <c r="Q36" s="67">
        <f>IF(T36=0,"–",INDEX(LIST!$A$3:$A$112,MATCH(LARGE(LIST!$I$3:$I$112,2),LIST!$I$3:$I$112,0)))</f>
        <v/>
      </c>
      <c r="R36" s="68">
        <f>IF(T36=0,"",INDEX(LIST!$C$3:$C$112,MATCH(LARGE(LIST!$I$3:$I$112,2),LIST!$I$3:$I$112,0)))</f>
        <v/>
      </c>
      <c r="S36" s="78" t="inlineStr"/>
      <c r="T36" s="79">
        <f>ROUND(INDEX(LIST!$E$3:$E$112,MATCH(LARGE(LIST!$I$3:$I$112,2),LIST!$I$3:$I$112,0)),1)</f>
        <v/>
      </c>
      <c r="U36" s="72">
        <f>IF(T36=0,"",INDEX(LIST!$H$3:$H$112,MATCH(LARGE(LIST!$I$3:$I$112,2),LIST!$I$3:$I$112,0)))</f>
        <v/>
      </c>
      <c r="V36" s="2" t="n"/>
    </row>
    <row r="37" ht="18" customHeight="1">
      <c r="A37" s="1" t="n"/>
      <c r="B37" s="49" t="inlineStr"/>
      <c r="C37" s="2" t="n"/>
      <c r="D37" s="32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4" t="n"/>
      <c r="P37" s="77" t="n">
        <v>3</v>
      </c>
      <c r="Q37" s="67">
        <f>IF(T37=0,"–",INDEX(LIST!$A$3:$A$112,MATCH(LARGE(LIST!$I$3:$I$112,3),LIST!$I$3:$I$112,0)))</f>
        <v/>
      </c>
      <c r="R37" s="68">
        <f>IF(T37=0,"",INDEX(LIST!$C$3:$C$112,MATCH(LARGE(LIST!$I$3:$I$112,3),LIST!$I$3:$I$112,0)))</f>
        <v/>
      </c>
      <c r="S37" s="78" t="inlineStr"/>
      <c r="T37" s="79">
        <f>ROUND(INDEX(LIST!$E$3:$E$112,MATCH(LARGE(LIST!$I$3:$I$112,3),LIST!$I$3:$I$112,0)),1)</f>
        <v/>
      </c>
      <c r="U37" s="72">
        <f>IF(T37=0,"",INDEX(LIST!$H$3:$H$112,MATCH(LARGE(LIST!$I$3:$I$112,3),LIST!$I$3:$I$112,0)))</f>
        <v/>
      </c>
      <c r="V37" s="2" t="n"/>
    </row>
    <row r="38" ht="18" customHeight="1">
      <c r="A38" s="1" t="n"/>
      <c r="B38" s="47" t="inlineStr">
        <is>
          <t>Muhammad Rifqi Rizqullah</t>
        </is>
      </c>
      <c r="C38" s="2" t="n"/>
      <c r="D38" s="32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4" t="n"/>
      <c r="P38" s="77" t="n">
        <v>4</v>
      </c>
      <c r="Q38" s="67">
        <f>IF(T38=0,"–",INDEX(LIST!$A$3:$A$112,MATCH(LARGE(LIST!$I$3:$I$112,4),LIST!$I$3:$I$112,0)))</f>
        <v/>
      </c>
      <c r="R38" s="68">
        <f>IF(T38=0,"",INDEX(LIST!$C$3:$C$112,MATCH(LARGE(LIST!$I$3:$I$112,4),LIST!$I$3:$I$112,0)))</f>
        <v/>
      </c>
      <c r="S38" s="78" t="inlineStr"/>
      <c r="T38" s="79">
        <f>ROUND(INDEX(LIST!$E$3:$E$112,MATCH(LARGE(LIST!$I$3:$I$112,4),LIST!$I$3:$I$112,0)),1)</f>
        <v/>
      </c>
      <c r="U38" s="72">
        <f>IF(T38=0,"",INDEX(LIST!$H$3:$H$112,MATCH(LARGE(LIST!$I$3:$I$112,4),LIST!$I$3:$I$112,0)))</f>
        <v/>
      </c>
      <c r="V38" s="2" t="n"/>
    </row>
    <row r="39" ht="18" customHeight="1">
      <c r="A39" s="1" t="n"/>
      <c r="B39" s="49" t="inlineStr">
        <is>
          <t>Mine Operations Control</t>
        </is>
      </c>
      <c r="C39" s="2" t="n"/>
      <c r="D39" s="32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4" t="n"/>
      <c r="P39" s="77" t="n">
        <v>5</v>
      </c>
      <c r="Q39" s="67">
        <f>IF(T39=0,"–",INDEX(LIST!$A$3:$A$112,MATCH(LARGE(LIST!$I$3:$I$112,5),LIST!$I$3:$I$112,0)))</f>
        <v/>
      </c>
      <c r="R39" s="68">
        <f>IF(T39=0,"",INDEX(LIST!$C$3:$C$112,MATCH(LARGE(LIST!$I$3:$I$112,5),LIST!$I$3:$I$112,0)))</f>
        <v/>
      </c>
      <c r="S39" s="78" t="inlineStr"/>
      <c r="T39" s="79">
        <f>ROUND(INDEX(LIST!$E$3:$E$112,MATCH(LARGE(LIST!$I$3:$I$112,5),LIST!$I$3:$I$112,0)),1)</f>
        <v/>
      </c>
      <c r="U39" s="72">
        <f>IF(T39=0,"",INDEX(LIST!$H$3:$H$112,MATCH(LARGE(LIST!$I$3:$I$112,5),LIST!$I$3:$I$112,0)))</f>
        <v/>
      </c>
      <c r="V39" s="2" t="n"/>
    </row>
    <row r="40" ht="18" customHeight="1">
      <c r="A40" s="1" t="n"/>
      <c r="B40" s="1" t="n"/>
      <c r="C40" s="2" t="n"/>
      <c r="D40" s="32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4" t="n"/>
      <c r="P40" s="77" t="n">
        <v>6</v>
      </c>
      <c r="Q40" s="67">
        <f>IF(T40=0,"–",INDEX(LIST!$A$3:$A$112,MATCH(LARGE(LIST!$I$3:$I$112,6),LIST!$I$3:$I$112,0)))</f>
        <v/>
      </c>
      <c r="R40" s="68">
        <f>IF(T40=0,"",INDEX(LIST!$C$3:$C$112,MATCH(LARGE(LIST!$I$3:$I$112,6),LIST!$I$3:$I$112,0)))</f>
        <v/>
      </c>
      <c r="S40" s="78" t="inlineStr"/>
      <c r="T40" s="79">
        <f>ROUND(INDEX(LIST!$E$3:$E$112,MATCH(LARGE(LIST!$I$3:$I$112,6),LIST!$I$3:$I$112,0)),1)</f>
        <v/>
      </c>
      <c r="U40" s="72">
        <f>IF(T40=0,"",INDEX(LIST!$H$3:$H$112,MATCH(LARGE(LIST!$I$3:$I$112,6),LIST!$I$3:$I$112,0)))</f>
        <v/>
      </c>
      <c r="V40" s="2" t="n"/>
    </row>
    <row r="41" ht="18" customHeight="1">
      <c r="A41" s="1" t="n"/>
      <c r="B41" s="1" t="n"/>
      <c r="C41" s="2" t="n"/>
      <c r="D41" s="32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4" t="n"/>
      <c r="P41" s="77" t="n">
        <v>7</v>
      </c>
      <c r="Q41" s="67">
        <f>IF(T41=0,"–",INDEX(LIST!$A$3:$A$112,MATCH(LARGE(LIST!$I$3:$I$112,7),LIST!$I$3:$I$112,0)))</f>
        <v/>
      </c>
      <c r="R41" s="68">
        <f>IF(T41=0,"",INDEX(LIST!$C$3:$C$112,MATCH(LARGE(LIST!$I$3:$I$112,7),LIST!$I$3:$I$112,0)))</f>
        <v/>
      </c>
      <c r="S41" s="78" t="inlineStr"/>
      <c r="T41" s="79">
        <f>ROUND(INDEX(LIST!$E$3:$E$112,MATCH(LARGE(LIST!$I$3:$I$112,7),LIST!$I$3:$I$112,0)),1)</f>
        <v/>
      </c>
      <c r="U41" s="72">
        <f>IF(T41=0,"",INDEX(LIST!$H$3:$H$112,MATCH(LARGE(LIST!$I$3:$I$112,7),LIST!$I$3:$I$112,0)))</f>
        <v/>
      </c>
      <c r="V41" s="2" t="n"/>
    </row>
    <row r="42" ht="18" customHeight="1">
      <c r="A42" s="1" t="n"/>
      <c r="B42" s="1" t="n"/>
      <c r="C42" s="2" t="n"/>
      <c r="D42" s="32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4" t="n"/>
      <c r="P42" s="77" t="n">
        <v>8</v>
      </c>
      <c r="Q42" s="67">
        <f>IF(T42=0,"–",INDEX(LIST!$A$3:$A$112,MATCH(LARGE(LIST!$I$3:$I$112,8),LIST!$I$3:$I$112,0)))</f>
        <v/>
      </c>
      <c r="R42" s="68">
        <f>IF(T42=0,"",INDEX(LIST!$C$3:$C$112,MATCH(LARGE(LIST!$I$3:$I$112,8),LIST!$I$3:$I$112,0)))</f>
        <v/>
      </c>
      <c r="S42" s="78" t="inlineStr"/>
      <c r="T42" s="79">
        <f>ROUND(INDEX(LIST!$E$3:$E$112,MATCH(LARGE(LIST!$I$3:$I$112,8),LIST!$I$3:$I$112,0)),1)</f>
        <v/>
      </c>
      <c r="U42" s="72">
        <f>IF(T42=0,"",INDEX(LIST!$H$3:$H$112,MATCH(LARGE(LIST!$I$3:$I$112,8),LIST!$I$3:$I$112,0)))</f>
        <v/>
      </c>
      <c r="V42" s="2" t="n"/>
    </row>
    <row r="43" ht="18" customHeight="1">
      <c r="A43" s="1" t="n"/>
      <c r="B43" s="1" t="n"/>
      <c r="C43" s="2" t="n"/>
      <c r="D43" s="32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4" t="n"/>
      <c r="P43" s="77" t="n">
        <v>9</v>
      </c>
      <c r="Q43" s="67">
        <f>IF(T43=0,"–",INDEX(LIST!$A$3:$A$112,MATCH(LARGE(LIST!$I$3:$I$112,9),LIST!$I$3:$I$112,0)))</f>
        <v/>
      </c>
      <c r="R43" s="68">
        <f>IF(T43=0,"",INDEX(LIST!$C$3:$C$112,MATCH(LARGE(LIST!$I$3:$I$112,9),LIST!$I$3:$I$112,0)))</f>
        <v/>
      </c>
      <c r="S43" s="78" t="inlineStr"/>
      <c r="T43" s="79">
        <f>ROUND(INDEX(LIST!$E$3:$E$112,MATCH(LARGE(LIST!$I$3:$I$112,9),LIST!$I$3:$I$112,0)),1)</f>
        <v/>
      </c>
      <c r="U43" s="72">
        <f>IF(T43=0,"",INDEX(LIST!$H$3:$H$112,MATCH(LARGE(LIST!$I$3:$I$112,9),LIST!$I$3:$I$112,0)))</f>
        <v/>
      </c>
      <c r="V43" s="2" t="n"/>
    </row>
    <row r="44" ht="18" customHeight="1">
      <c r="A44" s="1" t="n"/>
      <c r="B44" s="1" t="n"/>
      <c r="C44" s="2" t="n"/>
      <c r="D44" s="32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4" t="n"/>
      <c r="P44" s="77" t="n">
        <v>10</v>
      </c>
      <c r="Q44" s="67">
        <f>IF(T44=0,"–",INDEX(LIST!$A$3:$A$112,MATCH(LARGE(LIST!$I$3:$I$112,10),LIST!$I$3:$I$112,0)))</f>
        <v/>
      </c>
      <c r="R44" s="68">
        <f>IF(T44=0,"",INDEX(LIST!$C$3:$C$112,MATCH(LARGE(LIST!$I$3:$I$112,10),LIST!$I$3:$I$112,0)))</f>
        <v/>
      </c>
      <c r="S44" s="78" t="inlineStr"/>
      <c r="T44" s="79">
        <f>ROUND(INDEX(LIST!$E$3:$E$112,MATCH(LARGE(LIST!$I$3:$I$112,10),LIST!$I$3:$I$112,0)),1)</f>
        <v/>
      </c>
      <c r="U44" s="72">
        <f>IF(T44=0,"",INDEX(LIST!$H$3:$H$112,MATCH(LARGE(LIST!$I$3:$I$112,10),LIST!$I$3:$I$112,0)))</f>
        <v/>
      </c>
      <c r="V44" s="2" t="n"/>
    </row>
    <row r="45">
      <c r="A45" s="1" t="n"/>
      <c r="B45" s="1" t="n"/>
      <c r="C45" s="2" t="n"/>
      <c r="D45" s="32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4" t="n"/>
      <c r="P45" s="32" t="n"/>
      <c r="Q45" s="33" t="n"/>
      <c r="R45" s="33" t="n"/>
      <c r="S45" s="33" t="n"/>
      <c r="T45" s="33" t="n"/>
      <c r="U45" s="34" t="n"/>
      <c r="V45" s="2" t="n"/>
    </row>
    <row r="46">
      <c r="A46" s="1" t="n"/>
      <c r="B46" s="1" t="n"/>
      <c r="C46" s="2" t="n"/>
      <c r="D46" s="32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4" t="n"/>
      <c r="P46" s="32" t="n"/>
      <c r="Q46" s="33" t="n"/>
      <c r="R46" s="33" t="n"/>
      <c r="S46" s="33" t="n"/>
      <c r="T46" s="33" t="n"/>
      <c r="U46" s="34" t="n"/>
      <c r="V46" s="2" t="n"/>
    </row>
    <row r="47">
      <c r="A47" s="1" t="n"/>
      <c r="B47" s="1" t="n"/>
      <c r="C47" s="2" t="n"/>
      <c r="D47" s="32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4" t="n"/>
      <c r="P47" s="32" t="n"/>
      <c r="Q47" s="33" t="n"/>
      <c r="R47" s="33" t="n"/>
      <c r="S47" s="33" t="n"/>
      <c r="T47" s="33" t="n"/>
      <c r="U47" s="34" t="n"/>
      <c r="V47" s="2" t="n"/>
    </row>
    <row r="48">
      <c r="A48" s="1" t="n"/>
      <c r="B48" s="1" t="n"/>
      <c r="C48" s="2" t="n"/>
      <c r="D48" s="32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4" t="n"/>
      <c r="P48" s="32" t="n"/>
      <c r="Q48" s="33" t="n"/>
      <c r="R48" s="33" t="n"/>
      <c r="S48" s="33" t="n"/>
      <c r="T48" s="33" t="n"/>
      <c r="U48" s="34" t="n"/>
      <c r="V48" s="2" t="n"/>
    </row>
    <row r="49">
      <c r="A49" s="1" t="n"/>
      <c r="B49" s="1" t="n"/>
      <c r="C49" s="2" t="n"/>
      <c r="D49" s="44" t="n"/>
      <c r="E49" s="45" t="n"/>
      <c r="F49" s="45" t="n"/>
      <c r="G49" s="45" t="n"/>
      <c r="H49" s="45" t="n"/>
      <c r="I49" s="45" t="n"/>
      <c r="J49" s="45" t="n"/>
      <c r="K49" s="45" t="n"/>
      <c r="L49" s="45" t="n"/>
      <c r="M49" s="45" t="n"/>
      <c r="N49" s="45" t="n"/>
      <c r="O49" s="46" t="n"/>
      <c r="P49" s="44" t="n"/>
      <c r="Q49" s="45" t="n"/>
      <c r="R49" s="45" t="n"/>
      <c r="S49" s="45" t="n"/>
      <c r="T49" s="45" t="n"/>
      <c r="U49" s="46" t="n"/>
      <c r="V49" s="2" t="n"/>
    </row>
    <row r="50">
      <c r="A50" s="1" t="n"/>
      <c r="B50" s="1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</row>
    <row r="51">
      <c r="A51" s="1" t="n"/>
      <c r="B51" s="1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</row>
    <row r="52">
      <c r="A52" s="1" t="n"/>
      <c r="B52" s="1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</row>
    <row r="53">
      <c r="A53" s="1" t="n"/>
      <c r="B53" s="1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</row>
    <row r="54">
      <c r="A54" s="1" t="n"/>
      <c r="B54" s="1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</row>
    <row r="55">
      <c r="A55" s="1" t="n"/>
      <c r="B55" s="1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</row>
    <row r="56">
      <c r="A56" s="1" t="n"/>
      <c r="B56" s="1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</row>
    <row r="57">
      <c r="A57" s="1" t="n"/>
      <c r="B57" s="1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</row>
    <row r="58">
      <c r="A58" s="1" t="n"/>
      <c r="B58" s="1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</row>
    <row r="59">
      <c r="A59" s="1" t="n"/>
      <c r="B59" s="1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</row>
    <row r="60">
      <c r="A60" s="1" t="n"/>
      <c r="B60" s="1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  <row r="61">
      <c r="A61" s="1" t="n"/>
      <c r="B61" s="1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</row>
    <row r="62">
      <c r="A62" s="1" t="n"/>
      <c r="B62" s="1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</row>
    <row r="63">
      <c r="A63" s="1" t="n"/>
      <c r="B63" s="1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</row>
    <row r="64">
      <c r="A64" s="1" t="n"/>
      <c r="B64" s="1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</row>
    <row r="65">
      <c r="A65" s="1" t="n"/>
      <c r="B65" s="1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</row>
    <row r="66">
      <c r="A66" s="1" t="n"/>
      <c r="B66" s="1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</row>
    <row r="67">
      <c r="A67" s="1" t="n"/>
      <c r="B67" s="1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</row>
    <row r="68">
      <c r="A68" s="1" t="n"/>
      <c r="B68" s="1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</row>
    <row r="69">
      <c r="A69" s="1" t="n"/>
      <c r="B69" s="1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</row>
    <row r="70">
      <c r="A70" s="1" t="n"/>
      <c r="B70" s="1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</row>
    <row r="71">
      <c r="A71" s="1" t="n"/>
      <c r="B71" s="1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</row>
    <row r="72">
      <c r="A72" s="1" t="n"/>
      <c r="B72" s="1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</row>
    <row r="73">
      <c r="A73" s="1" t="n"/>
      <c r="B73" s="1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</row>
    <row r="74">
      <c r="A74" s="1" t="n"/>
      <c r="B74" s="1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</row>
    <row r="75">
      <c r="A75" s="1" t="n"/>
      <c r="B75" s="1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</row>
    <row r="76">
      <c r="A76" s="1" t="n"/>
      <c r="B76" s="1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</row>
    <row r="77">
      <c r="A77" s="1" t="n"/>
      <c r="B77" s="1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</row>
    <row r="78">
      <c r="A78" s="1" t="n"/>
      <c r="B78" s="1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</row>
    <row r="79">
      <c r="A79" s="1" t="n"/>
      <c r="B79" s="1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</row>
    <row r="80">
      <c r="A80" s="1" t="n"/>
      <c r="B80" s="1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</row>
    <row r="81">
      <c r="A81" s="1" t="n"/>
      <c r="B81" s="1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</row>
    <row r="82">
      <c r="A82" s="1" t="n"/>
      <c r="B82" s="1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</row>
    <row r="83">
      <c r="A83" s="1" t="n"/>
      <c r="B83" s="1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</row>
    <row r="84">
      <c r="A84" s="1" t="n"/>
      <c r="B84" s="1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</row>
    <row r="85">
      <c r="A85" s="1" t="n"/>
      <c r="B85" s="1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</row>
    <row r="86">
      <c r="A86" s="1" t="n"/>
      <c r="B86" s="1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</row>
    <row r="87">
      <c r="A87" s="1" t="n"/>
      <c r="B87" s="1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</row>
    <row r="88">
      <c r="A88" s="1" t="n"/>
      <c r="B88" s="1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</row>
    <row r="89">
      <c r="A89" s="1" t="n"/>
      <c r="B89" s="1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</row>
    <row r="90">
      <c r="A90" s="1" t="n"/>
      <c r="B90" s="1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</row>
    <row r="91">
      <c r="A91" s="1" t="n"/>
      <c r="B91" s="1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</row>
    <row r="92">
      <c r="A92" s="1" t="n"/>
      <c r="B92" s="1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</row>
    <row r="93">
      <c r="A93" s="1" t="n"/>
      <c r="B93" s="1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</row>
    <row r="94">
      <c r="A94" s="1" t="n"/>
      <c r="B94" s="1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</row>
    <row r="95">
      <c r="A95" s="1" t="n"/>
      <c r="B95" s="1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</row>
    <row r="96">
      <c r="A96" s="1" t="n"/>
      <c r="B96" s="1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</row>
    <row r="97">
      <c r="A97" s="1" t="n"/>
      <c r="B97" s="1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</row>
    <row r="98">
      <c r="A98" s="1" t="n"/>
      <c r="B98" s="1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</row>
    <row r="99">
      <c r="A99" s="1" t="n"/>
      <c r="B99" s="1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</row>
    <row r="100">
      <c r="A100" s="1" t="n"/>
      <c r="B100" s="1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</row>
    <row r="101">
      <c r="A101" s="1" t="n"/>
      <c r="B101" s="1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</row>
    <row r="102">
      <c r="A102" s="1" t="n"/>
      <c r="B102" s="1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</row>
    <row r="103">
      <c r="A103" s="1" t="n"/>
      <c r="B103" s="1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</row>
    <row r="104">
      <c r="A104" s="1" t="n"/>
      <c r="B104" s="1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</row>
    <row r="105">
      <c r="A105" s="1" t="n"/>
      <c r="B105" s="1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</row>
    <row r="106">
      <c r="A106" s="1" t="n"/>
      <c r="B106" s="1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</row>
    <row r="107">
      <c r="A107" s="1" t="n"/>
      <c r="B107" s="1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</row>
    <row r="108">
      <c r="A108" s="1" t="n"/>
      <c r="B108" s="1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</row>
    <row r="109">
      <c r="A109" s="1" t="n"/>
      <c r="B109" s="1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</row>
    <row r="110">
      <c r="A110" s="1" t="n"/>
      <c r="B110" s="1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</row>
    <row r="111">
      <c r="A111" s="1" t="n"/>
      <c r="B111" s="1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</row>
    <row r="112">
      <c r="A112" s="1" t="n"/>
      <c r="B112" s="1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</row>
    <row r="113">
      <c r="A113" s="1" t="n"/>
      <c r="B113" s="1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</row>
    <row r="114">
      <c r="A114" s="1" t="n"/>
      <c r="B114" s="1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</row>
    <row r="115">
      <c r="A115" s="1" t="n"/>
      <c r="B115" s="1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</row>
    <row r="116">
      <c r="A116" s="1" t="n"/>
      <c r="B116" s="1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</row>
    <row r="117">
      <c r="A117" s="1" t="n"/>
      <c r="B117" s="1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</row>
    <row r="118">
      <c r="A118" s="1" t="n"/>
      <c r="B118" s="1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</row>
    <row r="119">
      <c r="A119" s="1" t="n"/>
      <c r="B119" s="1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</row>
    <row r="120">
      <c r="A120" s="1" t="n"/>
      <c r="B120" s="1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</row>
    <row r="121">
      <c r="A121" s="1" t="n"/>
      <c r="B121" s="1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</row>
    <row r="122">
      <c r="A122" s="1" t="n"/>
      <c r="B122" s="1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</row>
    <row r="123">
      <c r="A123" s="1" t="n"/>
      <c r="B123" s="1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</row>
    <row r="124">
      <c r="A124" s="1" t="n"/>
      <c r="B124" s="1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</row>
    <row r="125">
      <c r="A125" s="1" t="n"/>
      <c r="B125" s="1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</row>
    <row r="126">
      <c r="A126" s="1" t="n"/>
      <c r="B126" s="1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</row>
    <row r="127">
      <c r="A127" s="1" t="n"/>
      <c r="B127" s="1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</row>
    <row r="128">
      <c r="A128" s="1" t="n"/>
      <c r="B128" s="1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</row>
    <row r="129">
      <c r="A129" s="1" t="n"/>
      <c r="B129" s="1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</row>
    <row r="130">
      <c r="A130" s="1" t="n"/>
      <c r="B130" s="1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</row>
  </sheetData>
  <mergeCells count="18">
    <mergeCell ref="M11:O11"/>
    <mergeCell ref="S10:U10"/>
    <mergeCell ref="D11:F11"/>
    <mergeCell ref="G10:I10"/>
    <mergeCell ref="M10:O10"/>
    <mergeCell ref="J10:L10"/>
    <mergeCell ref="P10:R10"/>
    <mergeCell ref="P11:R11"/>
    <mergeCell ref="G11:I11"/>
    <mergeCell ref="M9:O9"/>
    <mergeCell ref="S9:U9"/>
    <mergeCell ref="G9:I9"/>
    <mergeCell ref="D9:F9"/>
    <mergeCell ref="P9:R9"/>
    <mergeCell ref="J9:L9"/>
    <mergeCell ref="S11:U11"/>
    <mergeCell ref="J11:L11"/>
    <mergeCell ref="D10:F10"/>
  </mergeCells>
  <conditionalFormatting sqref="D10">
    <cfRule type="expression" priority="1" dxfId="0">
      <formula>Kalkulasi!$B$63&gt;=Parameter!$C$5</formula>
    </cfRule>
    <cfRule type="expression" priority="2" dxfId="2">
      <formula>AND(Kalkulasi!$B$63&lt;Parameter!$C$5,Kalkulasi!$B$63&gt;0)</formula>
    </cfRule>
  </conditionalFormatting>
  <conditionalFormatting sqref="G10">
    <cfRule type="expression" priority="3" dxfId="0">
      <formula>Kalkulasi!$B$64&gt;=Parameter!$C$6</formula>
    </cfRule>
    <cfRule type="expression" priority="4" dxfId="2">
      <formula>AND(Kalkulasi!$B$64&lt;Parameter!$C$6,Kalkulasi!$B$64&gt;0)</formula>
    </cfRule>
  </conditionalFormatting>
  <conditionalFormatting sqref="D11">
    <cfRule type="expression" priority="5" dxfId="3">
      <formula>Kalkulasi!$B$63/Parameter!$C$5&gt;=Parameter!$C$7</formula>
    </cfRule>
    <cfRule type="expression" priority="6" dxfId="4">
      <formula>AND(Kalkulasi!$B$63/Parameter!$C$5&lt;Parameter!$C$7,Kalkulasi!$B$63/Parameter!$C$5&gt;=Parameter!$C$8)</formula>
    </cfRule>
    <cfRule type="expression" priority="7" dxfId="5">
      <formula>AND(Kalkulasi!$B$63/Parameter!$C$5&lt;Parameter!$C$8,Kalkulasi!$B$63/Parameter!$C$5&gt;0)</formula>
    </cfRule>
  </conditionalFormatting>
  <conditionalFormatting sqref="G11">
    <cfRule type="expression" priority="8" dxfId="3">
      <formula>Kalkulasi!$B$64/Parameter!$C$6&gt;=Parameter!$C$7</formula>
    </cfRule>
    <cfRule type="expression" priority="9" dxfId="4">
      <formula>AND(Kalkulasi!$B$64/Parameter!$C$6&lt;Parameter!$C$7,Kalkulasi!$B$64/Parameter!$C$6&gt;=Parameter!$C$8)</formula>
    </cfRule>
    <cfRule type="expression" priority="10" dxfId="5">
      <formula>AND(Kalkulasi!$B$64/Parameter!$C$6&lt;Parameter!$C$8,Kalkulasi!$B$64/Parameter!$C$6&gt;0)</formula>
    </cfRule>
  </conditionalFormatting>
  <conditionalFormatting sqref="S11">
    <cfRule type="expression" priority="11" dxfId="5">
      <formula>TRUE</formula>
    </cfRule>
  </conditionalFormatting>
  <conditionalFormatting sqref="T35:T44">
    <cfRule type="dataBar" priority="12">
      <dataBar>
        <cfvo type="num" val="0"/>
        <cfvo type="max"/>
        <color rgb="00E7A79D"/>
      </dataBar>
    </cfRule>
  </conditionalFormatting>
  <conditionalFormatting sqref="U35:U44">
    <cfRule type="expression" priority="13" dxfId="7">
      <formula>AND(ISNUMBER(U35),U35&lt;Parameter!$C$5)</formula>
    </cfRule>
  </conditionalFormatting>
  <dataValidations count="5">
    <dataValidation sqref="F6" showDropDown="0" showInputMessage="1" showErrorMessage="0" allowBlank="0" prompt="Pilih tanggal mulai" type="list">
      <formula1>=LIST!$M$3:$M$94</formula1>
    </dataValidation>
    <dataValidation sqref="I6" showDropDown="0" showInputMessage="1" showErrorMessage="0" allowBlank="0" prompt="Pilih tanggal akhir" type="list">
      <formula1>=LIST!$M$3:$M$94</formula1>
    </dataValidation>
    <dataValidation sqref="L6" showDropDown="0" showInputMessage="1" showErrorMessage="0" allowBlank="0" prompt="DS = day shift, NS = night shift" type="list">
      <formula1>"Semua,DS,NS"</formula1>
    </dataValidation>
    <dataValidation sqref="O6" showDropDown="0" showInputMessage="1" showErrorMessage="0" allowBlank="0" prompt="Pilih class unit" type="list">
      <formula1>=LIST!$K$3:$K$11</formula1>
    </dataValidation>
    <dataValidation sqref="R6" showDropDown="0" showInputMessage="1" showErrorMessage="0" allowBlank="0" prompt="Pilih nomor unit" type="list">
      <formula1>=LIST!$L$3:$L$113</formula1>
    </dataValidation>
  </dataValidations>
  <pageMargins left="0.25" right="0.25" top="0.25" bottom="0.25" header="0.5" footer="0.5"/>
  <pageSetup orientation="landscape" paperSize="9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2E3B4E"/>
    <outlinePr summaryBelow="1" summaryRight="1"/>
    <pageSetUpPr fitToPage="1"/>
  </sheetPr>
  <dimension ref="A1:V130"/>
  <sheetViews>
    <sheetView showGridLines="0" showRowColHeaders="0" zoomScale="90" workbookViewId="0">
      <pane xSplit="2" topLeftCell="C1" activePane="topRight" state="frozen"/>
      <selection pane="topRight" activeCell="A1" sqref="A1"/>
    </sheetView>
  </sheetViews>
  <sheetFormatPr baseColWidth="8" defaultRowHeight="15"/>
  <cols>
    <col width="1.2" customWidth="1" min="1" max="1"/>
    <col width="27" customWidth="1" min="2" max="2"/>
    <col width="2.5" customWidth="1" min="3" max="3"/>
    <col width="8.6" customWidth="1" min="4" max="4"/>
    <col width="8.6" customWidth="1" min="5" max="5"/>
    <col width="8.6" customWidth="1" min="6" max="6"/>
    <col width="8.6" customWidth="1" min="7" max="7"/>
    <col width="8.6" customWidth="1" min="8" max="8"/>
    <col width="8.6" customWidth="1" min="9" max="9"/>
    <col width="8.6" customWidth="1" min="10" max="10"/>
    <col width="8.6" customWidth="1" min="11" max="11"/>
    <col width="8.6" customWidth="1" min="12" max="12"/>
    <col width="8.6" customWidth="1" min="13" max="13"/>
    <col width="8.6" customWidth="1" min="14" max="14"/>
    <col width="8.6" customWidth="1" min="15" max="15"/>
    <col width="8.6" customWidth="1" min="16" max="16"/>
    <col width="8.6" customWidth="1" min="17" max="17"/>
    <col width="8.6" customWidth="1" min="18" max="18"/>
    <col width="8.6" customWidth="1" min="19" max="19"/>
    <col width="8.6" customWidth="1" min="20" max="20"/>
    <col width="8.6" customWidth="1" min="21" max="21"/>
    <col width="2.5" customWidth="1" min="22" max="22"/>
  </cols>
  <sheetData>
    <row r="1" ht="10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28" customHeight="1">
      <c r="A2" s="1" t="n"/>
      <c r="B2" s="3" t="inlineStr">
        <is>
          <t>PIT CONTROL</t>
        </is>
      </c>
      <c r="C2" s="2" t="n"/>
      <c r="D2" s="4" t="inlineStr">
        <is>
          <t>Mine Ops Board  /  Delay &amp; Hujan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 ht="34" customHeight="1">
      <c r="A3" s="1" t="n"/>
      <c r="B3" s="5" t="inlineStr">
        <is>
          <t>MINE OPS BOARD</t>
        </is>
      </c>
      <c r="C3" s="2" t="n"/>
      <c r="D3" s="6" t="inlineStr">
        <is>
          <t>Delay &amp; Hujan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>
      <c r="A4" s="1" t="n"/>
      <c r="B4" s="1" t="n"/>
      <c r="C4" s="2" t="n"/>
      <c r="D4" s="7" t="inlineStr">
        <is>
          <t>Idle = jam unit siap pakai tetapi tidak bekerja, per kategori timesheet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 ht="8" customHeight="1">
      <c r="A5" s="1" t="n"/>
      <c r="B5" s="8" t="inlineStr">
        <is>
          <t>BOARD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 ht="24" customHeight="1">
      <c r="A6" s="1" t="n"/>
      <c r="B6" s="15">
        <f>HYPERLINK("#Produksi!A1","   Produksi")</f>
        <v/>
      </c>
      <c r="C6" s="2" t="n"/>
      <c r="D6" s="11" t="n"/>
      <c r="E6" s="12" t="inlineStr">
        <is>
          <t>Dari</t>
        </is>
      </c>
      <c r="F6" s="13" t="n">
        <v>46082</v>
      </c>
      <c r="G6" s="11" t="n"/>
      <c r="H6" s="12" t="inlineStr">
        <is>
          <t>Sampai</t>
        </is>
      </c>
      <c r="I6" s="13" t="n">
        <v>46110</v>
      </c>
      <c r="J6" s="11" t="n"/>
      <c r="K6" s="12" t="inlineStr">
        <is>
          <t>Shift</t>
        </is>
      </c>
      <c r="L6" s="14" t="inlineStr">
        <is>
          <t>Semua</t>
        </is>
      </c>
      <c r="M6" s="11" t="n"/>
      <c r="N6" s="12" t="inlineStr">
        <is>
          <t>Class</t>
        </is>
      </c>
      <c r="O6" s="14" t="inlineStr">
        <is>
          <t>Semua</t>
        </is>
      </c>
      <c r="P6" s="2" t="n"/>
      <c r="Q6" s="2" t="n"/>
      <c r="R6" s="2" t="n"/>
      <c r="S6" s="2" t="n"/>
      <c r="T6" s="2" t="n"/>
      <c r="U6" s="2" t="n"/>
      <c r="V6" s="2" t="n"/>
    </row>
    <row r="7" ht="14" customHeight="1">
      <c r="A7" s="1" t="n"/>
      <c r="B7" s="15">
        <f>HYPERLINK("#Digger!A1","   Produktivitas Digger")</f>
        <v/>
      </c>
      <c r="C7" s="2" t="n"/>
      <c r="D7" s="16">
        <f>IF(Kalkulasi!$B$33=0,"⚠ Tanggal akhir harus sama atau setelah tanggal mulai","Klik sel kuning untuk memilih filter · "&amp;Kalkulasi!$B$33&amp;" hari dipilih")</f>
        <v/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 ht="22" customHeight="1">
      <c r="A8" s="1" t="n"/>
      <c r="B8" s="15">
        <f>HYPERLINK("#Availability!A1","   Availability Unit")</f>
        <v/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 ht="18" customHeight="1">
      <c r="A9" s="9" t="n"/>
      <c r="B9" s="10">
        <f>HYPERLINK("#'Delay &amp; Hujan'!A1","   Delay &amp; Hujan")</f>
        <v/>
      </c>
      <c r="C9" s="2" t="n"/>
      <c r="D9" s="17" t="inlineStr">
        <is>
          <t>TOTAL IDLE</t>
        </is>
      </c>
      <c r="E9" s="18" t="n"/>
      <c r="F9" s="19" t="n"/>
      <c r="G9" s="17" t="inlineStr">
        <is>
          <t>IDLE KARENA CUACA</t>
        </is>
      </c>
      <c r="H9" s="18" t="n"/>
      <c r="I9" s="19" t="n"/>
      <c r="J9" s="17" t="inlineStr">
        <is>
          <t>JAM HUJAN</t>
        </is>
      </c>
      <c r="K9" s="18" t="n"/>
      <c r="L9" s="19" t="n"/>
      <c r="M9" s="17" t="inlineStr">
        <is>
          <t>SLIPPERY</t>
        </is>
      </c>
      <c r="N9" s="18" t="n"/>
      <c r="O9" s="19" t="n"/>
      <c r="P9" s="17" t="inlineStr">
        <is>
          <t>CURAH HUJAN</t>
        </is>
      </c>
      <c r="Q9" s="18" t="n"/>
      <c r="R9" s="19" t="n"/>
      <c r="S9" s="17" t="inlineStr">
        <is>
          <t>IDLE / HARI</t>
        </is>
      </c>
      <c r="T9" s="18" t="n"/>
      <c r="U9" s="19" t="n"/>
      <c r="V9" s="2" t="n"/>
    </row>
    <row r="10" ht="30" customHeight="1">
      <c r="A10" s="1" t="n"/>
      <c r="B10" s="15">
        <f>HYPERLINK("#Fuel!A1","   Fuel")</f>
        <v/>
      </c>
      <c r="C10" s="2" t="n"/>
      <c r="D10" s="80">
        <f>Kalkulasi!$B$72</f>
        <v/>
      </c>
      <c r="F10" s="21" t="n"/>
      <c r="G10" s="73">
        <f>Kalkulasi!$B$73</f>
        <v/>
      </c>
      <c r="I10" s="21" t="n"/>
      <c r="J10" s="81">
        <f>Kalkulasi!$B$75</f>
        <v/>
      </c>
      <c r="L10" s="21" t="n"/>
      <c r="M10" s="81">
        <f>Kalkulasi!$B$76</f>
        <v/>
      </c>
      <c r="O10" s="21" t="n"/>
      <c r="P10" s="82">
        <f>Kalkulasi!$B$77</f>
        <v/>
      </c>
      <c r="R10" s="21" t="n"/>
      <c r="S10" s="63">
        <f>IF(Kalkulasi!$B$33=0,0,Kalkulasi!$B$72/Kalkulasi!$B$33)</f>
        <v/>
      </c>
      <c r="U10" s="21" t="n"/>
      <c r="V10" s="2" t="n"/>
    </row>
    <row r="11" ht="18" customHeight="1">
      <c r="A11" s="1" t="n"/>
      <c r="B11" s="15">
        <f>HYPERLINK("#'Tren PTY'!A1","   Tren PTY")</f>
        <v/>
      </c>
      <c r="C11" s="2" t="n"/>
      <c r="D11" s="26">
        <f>"Terbesar: "&amp;Kalkulasi!$E$262</f>
        <v/>
      </c>
      <c r="E11" s="27" t="n"/>
      <c r="F11" s="28" t="n"/>
      <c r="G11" s="26">
        <f>TEXT(Kalkulasi!$B$74,"0%")&amp;" dari idle (rain + slippery)"</f>
        <v/>
      </c>
      <c r="H11" s="27" t="n"/>
      <c r="I11" s="28" t="n"/>
      <c r="J11" s="26">
        <f>TEXT(Kalkulasi!$B$214,"0")&amp;" hari hujan"</f>
        <v/>
      </c>
      <c r="K11" s="27" t="n"/>
      <c r="L11" s="28" t="n"/>
      <c r="M11" s="26">
        <f>"Jalan licin setelah hujan"</f>
        <v/>
      </c>
      <c r="N11" s="27" t="n"/>
      <c r="O11" s="28" t="n"/>
      <c r="P11" s="26">
        <f>"Pengukuran pit"</f>
        <v/>
      </c>
      <c r="Q11" s="27" t="n"/>
      <c r="R11" s="28" t="n"/>
      <c r="S11" s="26">
        <f>"Rata-rata jam unit per hari"</f>
        <v/>
      </c>
      <c r="T11" s="27" t="n"/>
      <c r="U11" s="28" t="n"/>
      <c r="V11" s="2" t="n"/>
    </row>
    <row r="12" ht="10" customHeight="1">
      <c r="A12" s="1" t="n"/>
      <c r="B12" s="1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</row>
    <row r="13" ht="24" customHeight="1">
      <c r="A13" s="1" t="n"/>
      <c r="B13" s="8" t="inlineStr">
        <is>
          <t>PER JAM</t>
        </is>
      </c>
      <c r="C13" s="2" t="n"/>
      <c r="D13" s="29" t="inlineStr">
        <is>
          <t>Pareto idle</t>
        </is>
      </c>
      <c r="E13" s="30" t="n"/>
      <c r="F13" s="30" t="n"/>
      <c r="G13" s="30" t="n"/>
      <c r="H13" s="30" t="n"/>
      <c r="I13" s="30" t="n"/>
      <c r="J13" s="30" t="n"/>
      <c r="K13" s="30" t="n"/>
      <c r="L13" s="30" t="n"/>
      <c r="M13" s="30" t="n"/>
      <c r="N13" s="30" t="n"/>
      <c r="O13" s="31" t="inlineStr">
        <is>
          <t>10 kategori terbesar · garis = kumulatif (%)</t>
        </is>
      </c>
      <c r="P13" s="29" t="inlineStr">
        <is>
          <t>Semua kategori idle</t>
        </is>
      </c>
      <c r="Q13" s="30" t="n"/>
      <c r="R13" s="30" t="n"/>
      <c r="S13" s="30" t="n"/>
      <c r="T13" s="30" t="n"/>
      <c r="U13" s="48" t="n"/>
      <c r="V13" s="2" t="n"/>
    </row>
    <row r="14" ht="20" customHeight="1">
      <c r="A14" s="1" t="n"/>
      <c r="B14" s="15">
        <f>HYPERLINK("#'PTY per Jam'!A1","   PTY per Jam")</f>
        <v/>
      </c>
      <c r="C14" s="2" t="n"/>
      <c r="D14" s="32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4" t="n"/>
      <c r="P14" s="65" t="inlineStr">
        <is>
          <t>Kategori</t>
        </is>
      </c>
      <c r="Q14" s="65" t="inlineStr"/>
      <c r="R14" s="65" t="inlineStr"/>
      <c r="S14" s="66" t="inlineStr">
        <is>
          <t>Jam</t>
        </is>
      </c>
      <c r="T14" s="66" t="inlineStr">
        <is>
          <t>Porsi</t>
        </is>
      </c>
      <c r="U14" s="66" t="inlineStr"/>
      <c r="V14" s="2" t="n"/>
    </row>
    <row r="15" ht="17" customHeight="1">
      <c r="A15" s="1" t="n"/>
      <c r="B15" s="15">
        <f>HYPERLINK("#'Fleet &amp; Delay'!A1","   Fleet &amp; Delay")</f>
        <v/>
      </c>
      <c r="C15" s="2" t="n"/>
      <c r="D15" s="32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4" t="n"/>
      <c r="P15" s="83">
        <f>Kalkulasi!E262</f>
        <v/>
      </c>
      <c r="S15" s="79">
        <f>Kalkulasi!F262</f>
        <v/>
      </c>
      <c r="T15" s="72">
        <f>Kalkulasi!H262</f>
        <v/>
      </c>
      <c r="U15" s="78" t="inlineStr"/>
      <c r="V15" s="2" t="n"/>
    </row>
    <row r="16" ht="17" customHeight="1">
      <c r="A16" s="1" t="n"/>
      <c r="B16" s="15">
        <f>HYPERLINK("#'Daily Report'!A1","   Daily Report")</f>
        <v/>
      </c>
      <c r="C16" s="2" t="n"/>
      <c r="D16" s="32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4" t="n"/>
      <c r="P16" s="83">
        <f>Kalkulasi!E263</f>
        <v/>
      </c>
      <c r="S16" s="79">
        <f>Kalkulasi!F263</f>
        <v/>
      </c>
      <c r="T16" s="72">
        <f>Kalkulasi!H263</f>
        <v/>
      </c>
      <c r="U16" s="78" t="inlineStr"/>
      <c r="V16" s="2" t="n"/>
    </row>
    <row r="17" ht="17" customHeight="1">
      <c r="A17" s="1" t="n"/>
      <c r="B17" s="15">
        <f>HYPERLINK("#INPUT_RITASE!A1","   Input ritase ↗")</f>
        <v/>
      </c>
      <c r="C17" s="2" t="n"/>
      <c r="D17" s="32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4" t="n"/>
      <c r="P17" s="83">
        <f>Kalkulasi!E264</f>
        <v/>
      </c>
      <c r="S17" s="79">
        <f>Kalkulasi!F264</f>
        <v/>
      </c>
      <c r="T17" s="72">
        <f>Kalkulasi!H264</f>
        <v/>
      </c>
      <c r="U17" s="78" t="inlineStr"/>
      <c r="V17" s="2" t="n"/>
    </row>
    <row r="18" ht="17" customHeight="1">
      <c r="A18" s="1" t="n"/>
      <c r="B18" s="15">
        <f>HYPERLINK("#INPUT_DELAY!A1","   Input delay ↗")</f>
        <v/>
      </c>
      <c r="C18" s="2" t="n"/>
      <c r="D18" s="32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4" t="n"/>
      <c r="P18" s="83">
        <f>Kalkulasi!E265</f>
        <v/>
      </c>
      <c r="S18" s="79">
        <f>Kalkulasi!F265</f>
        <v/>
      </c>
      <c r="T18" s="72">
        <f>Kalkulasi!H265</f>
        <v/>
      </c>
      <c r="U18" s="78" t="inlineStr"/>
      <c r="V18" s="2" t="n"/>
    </row>
    <row r="19" ht="17" customHeight="1">
      <c r="A19" s="1" t="n"/>
      <c r="B19" s="1" t="n"/>
      <c r="C19" s="2" t="n"/>
      <c r="D19" s="32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4" t="n"/>
      <c r="P19" s="83">
        <f>Kalkulasi!E266</f>
        <v/>
      </c>
      <c r="S19" s="79">
        <f>Kalkulasi!F266</f>
        <v/>
      </c>
      <c r="T19" s="72">
        <f>Kalkulasi!H266</f>
        <v/>
      </c>
      <c r="U19" s="78" t="inlineStr"/>
      <c r="V19" s="2" t="n"/>
    </row>
    <row r="20" ht="17" customHeight="1">
      <c r="A20" s="1" t="n"/>
      <c r="B20" s="8" t="inlineStr">
        <is>
          <t>DATA</t>
        </is>
      </c>
      <c r="C20" s="2" t="n"/>
      <c r="D20" s="32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4" t="n"/>
      <c r="P20" s="83">
        <f>Kalkulasi!E267</f>
        <v/>
      </c>
      <c r="S20" s="79">
        <f>Kalkulasi!F267</f>
        <v/>
      </c>
      <c r="T20" s="72">
        <f>Kalkulasi!H267</f>
        <v/>
      </c>
      <c r="U20" s="78" t="inlineStr"/>
      <c r="V20" s="2" t="n"/>
    </row>
    <row r="21" ht="17" customHeight="1">
      <c r="A21" s="1" t="n"/>
      <c r="B21" s="15">
        <f>HYPERLINK("#'Master Data'!A1","   Master Data")</f>
        <v/>
      </c>
      <c r="C21" s="2" t="n"/>
      <c r="D21" s="32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4" t="n"/>
      <c r="P21" s="83">
        <f>Kalkulasi!E268</f>
        <v/>
      </c>
      <c r="S21" s="79">
        <f>Kalkulasi!F268</f>
        <v/>
      </c>
      <c r="T21" s="72">
        <f>Kalkulasi!H268</f>
        <v/>
      </c>
      <c r="U21" s="78" t="inlineStr"/>
      <c r="V21" s="2" t="n"/>
    </row>
    <row r="22" ht="17" customHeight="1">
      <c r="A22" s="1" t="n"/>
      <c r="B22" s="15">
        <f>HYPERLINK("#DATA_TS!A1","   Tabel timesheet ↗")</f>
        <v/>
      </c>
      <c r="C22" s="2" t="n"/>
      <c r="D22" s="32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4" t="n"/>
      <c r="P22" s="83">
        <f>Kalkulasi!E269</f>
        <v/>
      </c>
      <c r="S22" s="79">
        <f>Kalkulasi!F269</f>
        <v/>
      </c>
      <c r="T22" s="72">
        <f>Kalkulasi!H269</f>
        <v/>
      </c>
      <c r="U22" s="78" t="inlineStr"/>
      <c r="V22" s="2" t="n"/>
    </row>
    <row r="23" ht="17" customHeight="1">
      <c r="A23" s="1" t="n"/>
      <c r="B23" s="15">
        <f>HYPERLINK("#DATA_FUEL!A1","   Tabel fuel ↗")</f>
        <v/>
      </c>
      <c r="C23" s="2" t="n"/>
      <c r="D23" s="32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4" t="n"/>
      <c r="P23" s="83">
        <f>Kalkulasi!E270</f>
        <v/>
      </c>
      <c r="S23" s="79">
        <f>Kalkulasi!F270</f>
        <v/>
      </c>
      <c r="T23" s="72">
        <f>Kalkulasi!H270</f>
        <v/>
      </c>
      <c r="U23" s="78" t="inlineStr"/>
      <c r="V23" s="2" t="n"/>
    </row>
    <row r="24" ht="17" customHeight="1">
      <c r="A24" s="1" t="n"/>
      <c r="B24" s="1" t="n"/>
      <c r="C24" s="2" t="n"/>
      <c r="D24" s="32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4" t="n"/>
      <c r="P24" s="83">
        <f>Kalkulasi!E271</f>
        <v/>
      </c>
      <c r="S24" s="79">
        <f>Kalkulasi!F271</f>
        <v/>
      </c>
      <c r="T24" s="72">
        <f>Kalkulasi!H271</f>
        <v/>
      </c>
      <c r="U24" s="78" t="inlineStr"/>
      <c r="V24" s="2" t="n"/>
    </row>
    <row r="25" ht="17" customHeight="1">
      <c r="A25" s="1" t="n"/>
      <c r="B25" s="8" t="inlineStr">
        <is>
          <t>LAINNYA</t>
        </is>
      </c>
      <c r="C25" s="2" t="n"/>
      <c r="D25" s="32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4" t="n"/>
      <c r="P25" s="83">
        <f>Kalkulasi!E272</f>
        <v/>
      </c>
      <c r="S25" s="79">
        <f>Kalkulasi!F272</f>
        <v/>
      </c>
      <c r="T25" s="72">
        <f>Kalkulasi!H272</f>
        <v/>
      </c>
      <c r="U25" s="78" t="inlineStr"/>
      <c r="V25" s="2" t="n"/>
    </row>
    <row r="26" ht="17" customHeight="1">
      <c r="A26" s="1" t="n"/>
      <c r="B26" s="15">
        <f>HYPERLINK("#Panduan!A1","   Panduan")</f>
        <v/>
      </c>
      <c r="C26" s="2" t="n"/>
      <c r="D26" s="32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4" t="n"/>
      <c r="P26" s="83">
        <f>Kalkulasi!E273</f>
        <v/>
      </c>
      <c r="S26" s="79">
        <f>Kalkulasi!F273</f>
        <v/>
      </c>
      <c r="T26" s="72">
        <f>Kalkulasi!H273</f>
        <v/>
      </c>
      <c r="U26" s="78" t="inlineStr"/>
      <c r="V26" s="2" t="n"/>
    </row>
    <row r="27" ht="17" customHeight="1">
      <c r="A27" s="1" t="n"/>
      <c r="B27" s="15">
        <f>HYPERLINK("#Parameter!A1","   Target &amp; parameter")</f>
        <v/>
      </c>
      <c r="C27" s="2" t="n"/>
      <c r="D27" s="32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4" t="n"/>
      <c r="P27" s="83">
        <f>Kalkulasi!E274</f>
        <v/>
      </c>
      <c r="S27" s="79">
        <f>Kalkulasi!F274</f>
        <v/>
      </c>
      <c r="T27" s="72">
        <f>Kalkulasi!H274</f>
        <v/>
      </c>
      <c r="U27" s="78" t="inlineStr"/>
      <c r="V27" s="2" t="n"/>
    </row>
    <row r="28" ht="17" customHeight="1">
      <c r="A28" s="1" t="n"/>
      <c r="B28" s="15">
        <f>HYPERLINK("#MASTER_JAM!A1","   Faktor, target &amp; MF")</f>
        <v/>
      </c>
      <c r="C28" s="2" t="n"/>
      <c r="D28" s="32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4" t="n"/>
      <c r="P28" s="83">
        <f>Kalkulasi!E275</f>
        <v/>
      </c>
      <c r="S28" s="79">
        <f>Kalkulasi!F275</f>
        <v/>
      </c>
      <c r="T28" s="72">
        <f>Kalkulasi!H275</f>
        <v/>
      </c>
      <c r="U28" s="78" t="inlineStr"/>
      <c r="V28" s="2" t="n"/>
    </row>
    <row r="29" ht="17" customHeight="1">
      <c r="A29" s="1" t="n"/>
      <c r="B29" s="1" t="n"/>
      <c r="C29" s="2" t="n"/>
      <c r="D29" s="32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4" t="n"/>
      <c r="P29" s="83">
        <f>Kalkulasi!E276</f>
        <v/>
      </c>
      <c r="S29" s="79">
        <f>Kalkulasi!F276</f>
        <v/>
      </c>
      <c r="T29" s="72">
        <f>Kalkulasi!H276</f>
        <v/>
      </c>
      <c r="U29" s="78" t="inlineStr"/>
      <c r="V29" s="2" t="n"/>
    </row>
    <row r="30" ht="17" customHeight="1">
      <c r="A30" s="1" t="n"/>
      <c r="B30" s="1" t="n"/>
      <c r="C30" s="2" t="n"/>
      <c r="D30" s="32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4" t="n"/>
      <c r="P30" s="83">
        <f>Kalkulasi!E277</f>
        <v/>
      </c>
      <c r="S30" s="79">
        <f>Kalkulasi!F277</f>
        <v/>
      </c>
      <c r="T30" s="72">
        <f>Kalkulasi!H277</f>
        <v/>
      </c>
      <c r="U30" s="78" t="inlineStr"/>
      <c r="V30" s="2" t="n"/>
    </row>
    <row r="31" ht="17" customHeight="1">
      <c r="A31" s="1" t="n"/>
      <c r="B31" s="1" t="n"/>
      <c r="C31" s="2" t="n"/>
      <c r="D31" s="32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4" t="n"/>
      <c r="P31" s="83">
        <f>Kalkulasi!E278</f>
        <v/>
      </c>
      <c r="S31" s="79">
        <f>Kalkulasi!F278</f>
        <v/>
      </c>
      <c r="T31" s="72">
        <f>Kalkulasi!H278</f>
        <v/>
      </c>
      <c r="U31" s="78" t="inlineStr"/>
      <c r="V31" s="2" t="n"/>
    </row>
    <row r="32" ht="17" customHeight="1">
      <c r="A32" s="1" t="n"/>
      <c r="B32" s="1" t="n"/>
      <c r="C32" s="2" t="n"/>
      <c r="D32" s="32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4" t="n"/>
      <c r="P32" s="83">
        <f>Kalkulasi!E279</f>
        <v/>
      </c>
      <c r="S32" s="79">
        <f>Kalkulasi!F279</f>
        <v/>
      </c>
      <c r="T32" s="72">
        <f>Kalkulasi!H279</f>
        <v/>
      </c>
      <c r="U32" s="78" t="inlineStr"/>
      <c r="V32" s="2" t="n"/>
    </row>
    <row r="33" ht="17" customHeight="1">
      <c r="A33" s="1" t="n"/>
      <c r="B33" s="47" t="inlineStr">
        <is>
          <t>Data dummy · Coal Project</t>
        </is>
      </c>
      <c r="C33" s="2" t="n"/>
      <c r="D33" s="32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4" t="n"/>
      <c r="P33" s="83">
        <f>Kalkulasi!E280</f>
        <v/>
      </c>
      <c r="S33" s="79">
        <f>Kalkulasi!F280</f>
        <v/>
      </c>
      <c r="T33" s="72">
        <f>Kalkulasi!H280</f>
        <v/>
      </c>
      <c r="U33" s="78" t="inlineStr"/>
      <c r="V33" s="2" t="n"/>
    </row>
    <row r="34" ht="17" customHeight="1">
      <c r="A34" s="1" t="n"/>
      <c r="B34" s="49" t="inlineStr">
        <is>
          <t>Simulasi unit per shift,</t>
        </is>
      </c>
      <c r="C34" s="2" t="n"/>
      <c r="D34" s="32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4" t="n"/>
      <c r="P34" s="83">
        <f>Kalkulasi!E281</f>
        <v/>
      </c>
      <c r="S34" s="79">
        <f>Kalkulasi!F281</f>
        <v/>
      </c>
      <c r="T34" s="72">
        <f>Kalkulasi!H281</f>
        <v/>
      </c>
      <c r="U34" s="78" t="inlineStr"/>
      <c r="V34" s="2" t="n"/>
    </row>
    <row r="35">
      <c r="A35" s="1" t="n"/>
      <c r="B35" s="49" t="inlineStr">
        <is>
          <t>Maret 2026. Bukan data</t>
        </is>
      </c>
      <c r="C35" s="2" t="n"/>
      <c r="D35" s="44" t="n"/>
      <c r="E35" s="45" t="n"/>
      <c r="F35" s="45" t="n"/>
      <c r="G35" s="45" t="n"/>
      <c r="H35" s="45" t="n"/>
      <c r="I35" s="45" t="n"/>
      <c r="J35" s="45" t="n"/>
      <c r="K35" s="45" t="n"/>
      <c r="L35" s="45" t="n"/>
      <c r="M35" s="45" t="n"/>
      <c r="N35" s="45" t="n"/>
      <c r="O35" s="46" t="n"/>
      <c r="P35" s="44" t="n"/>
      <c r="Q35" s="45" t="n"/>
      <c r="R35" s="45" t="n"/>
      <c r="S35" s="45" t="n"/>
      <c r="T35" s="45" t="n"/>
      <c r="U35" s="46" t="n"/>
      <c r="V35" s="2" t="n"/>
    </row>
    <row r="36">
      <c r="A36" s="1" t="n"/>
      <c r="B36" s="49" t="inlineStr">
        <is>
          <t>perusahaan mana pun.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</row>
    <row r="37" ht="24" customHeight="1">
      <c r="A37" s="1" t="n"/>
      <c r="B37" s="49" t="inlineStr"/>
      <c r="C37" s="2" t="n"/>
      <c r="D37" s="29" t="inlineStr">
        <is>
          <t>Jam hujan vs achievement OB</t>
        </is>
      </c>
      <c r="E37" s="30" t="n"/>
      <c r="F37" s="30" t="n"/>
      <c r="G37" s="30" t="n"/>
      <c r="H37" s="30" t="n"/>
      <c r="I37" s="30" t="n"/>
      <c r="J37" s="30" t="n"/>
      <c r="K37" s="30" t="n"/>
      <c r="L37" s="30" t="n"/>
      <c r="M37" s="30" t="n"/>
      <c r="N37" s="30" t="n"/>
      <c r="O37" s="30" t="n"/>
      <c r="P37" s="30" t="n"/>
      <c r="Q37" s="30" t="n"/>
      <c r="R37" s="30" t="n"/>
      <c r="S37" s="30" t="n"/>
      <c r="T37" s="30" t="n"/>
      <c r="U37" s="31" t="inlineStr">
        <is>
          <t>batang = jam hujan · garis = achievement OB harian (%)</t>
        </is>
      </c>
      <c r="V37" s="2" t="n"/>
    </row>
    <row r="38">
      <c r="A38" s="1" t="n"/>
      <c r="B38" s="47" t="inlineStr">
        <is>
          <t>Muhammad Rifqi Rizqullah</t>
        </is>
      </c>
      <c r="C38" s="2" t="n"/>
      <c r="D38" s="32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33" t="n"/>
      <c r="U38" s="34" t="n"/>
      <c r="V38" s="2" t="n"/>
    </row>
    <row r="39">
      <c r="A39" s="1" t="n"/>
      <c r="B39" s="49" t="inlineStr">
        <is>
          <t>Mine Operations Control</t>
        </is>
      </c>
      <c r="C39" s="2" t="n"/>
      <c r="D39" s="32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33" t="n"/>
      <c r="U39" s="34" t="n"/>
      <c r="V39" s="2" t="n"/>
    </row>
    <row r="40">
      <c r="A40" s="1" t="n"/>
      <c r="B40" s="1" t="n"/>
      <c r="C40" s="2" t="n"/>
      <c r="D40" s="32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33" t="n"/>
      <c r="U40" s="34" t="n"/>
      <c r="V40" s="2" t="n"/>
    </row>
    <row r="41">
      <c r="A41" s="1" t="n"/>
      <c r="B41" s="1" t="n"/>
      <c r="C41" s="2" t="n"/>
      <c r="D41" s="32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4" t="n"/>
      <c r="V41" s="2" t="n"/>
    </row>
    <row r="42">
      <c r="A42" s="1" t="n"/>
      <c r="B42" s="1" t="n"/>
      <c r="C42" s="2" t="n"/>
      <c r="D42" s="32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33" t="n"/>
      <c r="U42" s="34" t="n"/>
      <c r="V42" s="2" t="n"/>
    </row>
    <row r="43">
      <c r="A43" s="1" t="n"/>
      <c r="B43" s="1" t="n"/>
      <c r="C43" s="2" t="n"/>
      <c r="D43" s="32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33" t="n"/>
      <c r="U43" s="34" t="n"/>
      <c r="V43" s="2" t="n"/>
    </row>
    <row r="44">
      <c r="A44" s="1" t="n"/>
      <c r="B44" s="1" t="n"/>
      <c r="C44" s="2" t="n"/>
      <c r="D44" s="32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33" t="n"/>
      <c r="U44" s="34" t="n"/>
      <c r="V44" s="2" t="n"/>
    </row>
    <row r="45">
      <c r="A45" s="1" t="n"/>
      <c r="B45" s="1" t="n"/>
      <c r="C45" s="2" t="n"/>
      <c r="D45" s="32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33" t="n"/>
      <c r="U45" s="34" t="n"/>
      <c r="V45" s="2" t="n"/>
    </row>
    <row r="46">
      <c r="A46" s="1" t="n"/>
      <c r="B46" s="1" t="n"/>
      <c r="C46" s="2" t="n"/>
      <c r="D46" s="32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33" t="n"/>
      <c r="U46" s="34" t="n"/>
      <c r="V46" s="2" t="n"/>
    </row>
    <row r="47">
      <c r="A47" s="1" t="n"/>
      <c r="B47" s="1" t="n"/>
      <c r="C47" s="2" t="n"/>
      <c r="D47" s="32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33" t="n"/>
      <c r="U47" s="34" t="n"/>
      <c r="V47" s="2" t="n"/>
    </row>
    <row r="48">
      <c r="A48" s="1" t="n"/>
      <c r="B48" s="1" t="n"/>
      <c r="C48" s="2" t="n"/>
      <c r="D48" s="32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33" t="n"/>
      <c r="U48" s="34" t="n"/>
      <c r="V48" s="2" t="n"/>
    </row>
    <row r="49">
      <c r="A49" s="1" t="n"/>
      <c r="B49" s="1" t="n"/>
      <c r="C49" s="2" t="n"/>
      <c r="D49" s="32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33" t="n"/>
      <c r="U49" s="34" t="n"/>
      <c r="V49" s="2" t="n"/>
    </row>
    <row r="50">
      <c r="A50" s="1" t="n"/>
      <c r="B50" s="1" t="n"/>
      <c r="C50" s="2" t="n"/>
      <c r="D50" s="32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33" t="n"/>
      <c r="U50" s="34" t="n"/>
      <c r="V50" s="2" t="n"/>
    </row>
    <row r="51">
      <c r="A51" s="1" t="n"/>
      <c r="B51" s="1" t="n"/>
      <c r="C51" s="2" t="n"/>
      <c r="D51" s="32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33" t="n"/>
      <c r="U51" s="34" t="n"/>
      <c r="V51" s="2" t="n"/>
    </row>
    <row r="52">
      <c r="A52" s="1" t="n"/>
      <c r="B52" s="1" t="n"/>
      <c r="C52" s="2" t="n"/>
      <c r="D52" s="32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33" t="n"/>
      <c r="U52" s="34" t="n"/>
      <c r="V52" s="2" t="n"/>
    </row>
    <row r="53">
      <c r="A53" s="1" t="n"/>
      <c r="B53" s="1" t="n"/>
      <c r="C53" s="2" t="n"/>
      <c r="D53" s="32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3" t="n"/>
      <c r="Q53" s="33" t="n"/>
      <c r="R53" s="33" t="n"/>
      <c r="S53" s="33" t="n"/>
      <c r="T53" s="33" t="n"/>
      <c r="U53" s="34" t="n"/>
      <c r="V53" s="2" t="n"/>
    </row>
    <row r="54">
      <c r="A54" s="1" t="n"/>
      <c r="B54" s="1" t="n"/>
      <c r="C54" s="2" t="n"/>
      <c r="D54" s="44" t="n"/>
      <c r="E54" s="45" t="n"/>
      <c r="F54" s="45" t="n"/>
      <c r="G54" s="45" t="n"/>
      <c r="H54" s="45" t="n"/>
      <c r="I54" s="45" t="n"/>
      <c r="J54" s="45" t="n"/>
      <c r="K54" s="45" t="n"/>
      <c r="L54" s="45" t="n"/>
      <c r="M54" s="45" t="n"/>
      <c r="N54" s="45" t="n"/>
      <c r="O54" s="45" t="n"/>
      <c r="P54" s="45" t="n"/>
      <c r="Q54" s="45" t="n"/>
      <c r="R54" s="45" t="n"/>
      <c r="S54" s="45" t="n"/>
      <c r="T54" s="45" t="n"/>
      <c r="U54" s="46" t="n"/>
      <c r="V54" s="2" t="n"/>
    </row>
    <row r="55">
      <c r="A55" s="1" t="n"/>
      <c r="B55" s="1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</row>
    <row r="56">
      <c r="A56" s="1" t="n"/>
      <c r="B56" s="1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</row>
    <row r="57">
      <c r="A57" s="1" t="n"/>
      <c r="B57" s="1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</row>
    <row r="58">
      <c r="A58" s="1" t="n"/>
      <c r="B58" s="1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</row>
    <row r="59">
      <c r="A59" s="1" t="n"/>
      <c r="B59" s="1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</row>
    <row r="60">
      <c r="A60" s="1" t="n"/>
      <c r="B60" s="1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  <row r="61">
      <c r="A61" s="1" t="n"/>
      <c r="B61" s="1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</row>
    <row r="62">
      <c r="A62" s="1" t="n"/>
      <c r="B62" s="1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</row>
    <row r="63">
      <c r="A63" s="1" t="n"/>
      <c r="B63" s="1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</row>
    <row r="64">
      <c r="A64" s="1" t="n"/>
      <c r="B64" s="1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</row>
    <row r="65">
      <c r="A65" s="1" t="n"/>
      <c r="B65" s="1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</row>
    <row r="66">
      <c r="A66" s="1" t="n"/>
      <c r="B66" s="1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</row>
    <row r="67">
      <c r="A67" s="1" t="n"/>
      <c r="B67" s="1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</row>
    <row r="68">
      <c r="A68" s="1" t="n"/>
      <c r="B68" s="1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</row>
    <row r="69">
      <c r="A69" s="1" t="n"/>
      <c r="B69" s="1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</row>
    <row r="70">
      <c r="A70" s="1" t="n"/>
      <c r="B70" s="1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</row>
    <row r="71">
      <c r="A71" s="1" t="n"/>
      <c r="B71" s="1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</row>
    <row r="72">
      <c r="A72" s="1" t="n"/>
      <c r="B72" s="1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</row>
    <row r="73">
      <c r="A73" s="1" t="n"/>
      <c r="B73" s="1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</row>
    <row r="74">
      <c r="A74" s="1" t="n"/>
      <c r="B74" s="1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</row>
    <row r="75">
      <c r="A75" s="1" t="n"/>
      <c r="B75" s="1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</row>
    <row r="76">
      <c r="A76" s="1" t="n"/>
      <c r="B76" s="1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</row>
    <row r="77">
      <c r="A77" s="1" t="n"/>
      <c r="B77" s="1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</row>
    <row r="78">
      <c r="A78" s="1" t="n"/>
      <c r="B78" s="1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</row>
    <row r="79">
      <c r="A79" s="1" t="n"/>
      <c r="B79" s="1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</row>
    <row r="80">
      <c r="A80" s="1" t="n"/>
      <c r="B80" s="1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</row>
    <row r="81">
      <c r="A81" s="1" t="n"/>
      <c r="B81" s="1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</row>
    <row r="82">
      <c r="A82" s="1" t="n"/>
      <c r="B82" s="1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</row>
    <row r="83">
      <c r="A83" s="1" t="n"/>
      <c r="B83" s="1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</row>
    <row r="84">
      <c r="A84" s="1" t="n"/>
      <c r="B84" s="1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</row>
    <row r="85">
      <c r="A85" s="1" t="n"/>
      <c r="B85" s="1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</row>
    <row r="86">
      <c r="A86" s="1" t="n"/>
      <c r="B86" s="1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</row>
    <row r="87">
      <c r="A87" s="1" t="n"/>
      <c r="B87" s="1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</row>
    <row r="88">
      <c r="A88" s="1" t="n"/>
      <c r="B88" s="1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</row>
    <row r="89">
      <c r="A89" s="1" t="n"/>
      <c r="B89" s="1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</row>
    <row r="90">
      <c r="A90" s="1" t="n"/>
      <c r="B90" s="1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</row>
    <row r="91">
      <c r="A91" s="1" t="n"/>
      <c r="B91" s="1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</row>
    <row r="92">
      <c r="A92" s="1" t="n"/>
      <c r="B92" s="1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</row>
    <row r="93">
      <c r="A93" s="1" t="n"/>
      <c r="B93" s="1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</row>
    <row r="94">
      <c r="A94" s="1" t="n"/>
      <c r="B94" s="1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</row>
    <row r="95">
      <c r="A95" s="1" t="n"/>
      <c r="B95" s="1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</row>
    <row r="96">
      <c r="A96" s="1" t="n"/>
      <c r="B96" s="1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</row>
    <row r="97">
      <c r="A97" s="1" t="n"/>
      <c r="B97" s="1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</row>
    <row r="98">
      <c r="A98" s="1" t="n"/>
      <c r="B98" s="1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</row>
    <row r="99">
      <c r="A99" s="1" t="n"/>
      <c r="B99" s="1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</row>
    <row r="100">
      <c r="A100" s="1" t="n"/>
      <c r="B100" s="1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</row>
    <row r="101">
      <c r="A101" s="1" t="n"/>
      <c r="B101" s="1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</row>
    <row r="102">
      <c r="A102" s="1" t="n"/>
      <c r="B102" s="1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</row>
    <row r="103">
      <c r="A103" s="1" t="n"/>
      <c r="B103" s="1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</row>
    <row r="104">
      <c r="A104" s="1" t="n"/>
      <c r="B104" s="1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</row>
    <row r="105">
      <c r="A105" s="1" t="n"/>
      <c r="B105" s="1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</row>
    <row r="106">
      <c r="A106" s="1" t="n"/>
      <c r="B106" s="1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</row>
    <row r="107">
      <c r="A107" s="1" t="n"/>
      <c r="B107" s="1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</row>
    <row r="108">
      <c r="A108" s="1" t="n"/>
      <c r="B108" s="1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</row>
    <row r="109">
      <c r="A109" s="1" t="n"/>
      <c r="B109" s="1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</row>
    <row r="110">
      <c r="A110" s="1" t="n"/>
      <c r="B110" s="1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</row>
    <row r="111">
      <c r="A111" s="1" t="n"/>
      <c r="B111" s="1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</row>
    <row r="112">
      <c r="A112" s="1" t="n"/>
      <c r="B112" s="1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</row>
    <row r="113">
      <c r="A113" s="1" t="n"/>
      <c r="B113" s="1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</row>
    <row r="114">
      <c r="A114" s="1" t="n"/>
      <c r="B114" s="1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</row>
    <row r="115">
      <c r="A115" s="1" t="n"/>
      <c r="B115" s="1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</row>
    <row r="116">
      <c r="A116" s="1" t="n"/>
      <c r="B116" s="1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</row>
    <row r="117">
      <c r="A117" s="1" t="n"/>
      <c r="B117" s="1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</row>
    <row r="118">
      <c r="A118" s="1" t="n"/>
      <c r="B118" s="1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</row>
    <row r="119">
      <c r="A119" s="1" t="n"/>
      <c r="B119" s="1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</row>
    <row r="120">
      <c r="A120" s="1" t="n"/>
      <c r="B120" s="1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</row>
    <row r="121">
      <c r="A121" s="1" t="n"/>
      <c r="B121" s="1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</row>
    <row r="122">
      <c r="A122" s="1" t="n"/>
      <c r="B122" s="1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</row>
    <row r="123">
      <c r="A123" s="1" t="n"/>
      <c r="B123" s="1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</row>
    <row r="124">
      <c r="A124" s="1" t="n"/>
      <c r="B124" s="1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</row>
    <row r="125">
      <c r="A125" s="1" t="n"/>
      <c r="B125" s="1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</row>
    <row r="126">
      <c r="A126" s="1" t="n"/>
      <c r="B126" s="1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</row>
    <row r="127">
      <c r="A127" s="1" t="n"/>
      <c r="B127" s="1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</row>
    <row r="128">
      <c r="A128" s="1" t="n"/>
      <c r="B128" s="1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</row>
    <row r="129">
      <c r="A129" s="1" t="n"/>
      <c r="B129" s="1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</row>
    <row r="130">
      <c r="A130" s="1" t="n"/>
      <c r="B130" s="1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</row>
  </sheetData>
  <mergeCells count="38">
    <mergeCell ref="M11:O11"/>
    <mergeCell ref="P21:R21"/>
    <mergeCell ref="D11:F11"/>
    <mergeCell ref="G10:I10"/>
    <mergeCell ref="M10:O10"/>
    <mergeCell ref="P11:R11"/>
    <mergeCell ref="P27:R27"/>
    <mergeCell ref="P17:R17"/>
    <mergeCell ref="P23:R23"/>
    <mergeCell ref="J11:L11"/>
    <mergeCell ref="P16:R16"/>
    <mergeCell ref="S10:U10"/>
    <mergeCell ref="P32:R32"/>
    <mergeCell ref="P34:R34"/>
    <mergeCell ref="P19:R19"/>
    <mergeCell ref="P28:R28"/>
    <mergeCell ref="S9:U9"/>
    <mergeCell ref="P18:R18"/>
    <mergeCell ref="D9:F9"/>
    <mergeCell ref="P30:R30"/>
    <mergeCell ref="P15:R15"/>
    <mergeCell ref="P33:R33"/>
    <mergeCell ref="P24:R24"/>
    <mergeCell ref="G9:I9"/>
    <mergeCell ref="P20:R20"/>
    <mergeCell ref="P26:R26"/>
    <mergeCell ref="G11:I11"/>
    <mergeCell ref="D10:F10"/>
    <mergeCell ref="P29:R29"/>
    <mergeCell ref="P25:R25"/>
    <mergeCell ref="J10:L10"/>
    <mergeCell ref="P10:R10"/>
    <mergeCell ref="M9:O9"/>
    <mergeCell ref="P22:R22"/>
    <mergeCell ref="P9:R9"/>
    <mergeCell ref="P31:R31"/>
    <mergeCell ref="J9:L9"/>
    <mergeCell ref="S11:U11"/>
  </mergeCells>
  <conditionalFormatting sqref="T15:T34">
    <cfRule type="dataBar" priority="1">
      <dataBar>
        <cfvo type="num" val="0"/>
        <cfvo type="max"/>
        <color rgb="00EBC48F"/>
      </dataBar>
    </cfRule>
  </conditionalFormatting>
  <dataValidations count="4">
    <dataValidation sqref="F6" showDropDown="0" showInputMessage="1" showErrorMessage="0" allowBlank="0" prompt="Pilih tanggal mulai" type="list">
      <formula1>=LIST!$M$3:$M$94</formula1>
    </dataValidation>
    <dataValidation sqref="I6" showDropDown="0" showInputMessage="1" showErrorMessage="0" allowBlank="0" prompt="Pilih tanggal akhir" type="list">
      <formula1>=LIST!$M$3:$M$94</formula1>
    </dataValidation>
    <dataValidation sqref="L6" showDropDown="0" showInputMessage="1" showErrorMessage="0" allowBlank="0" prompt="DS = day shift, NS = night shift" type="list">
      <formula1>"Semua,DS,NS"</formula1>
    </dataValidation>
    <dataValidation sqref="O6" showDropDown="0" showInputMessage="1" showErrorMessage="0" allowBlank="0" prompt="Pilih class unit" type="list">
      <formula1>=LIST!$K$3:$K$11</formula1>
    </dataValidation>
  </dataValidations>
  <pageMargins left="0.25" right="0.25" top="0.25" bottom="0.25" header="0.5" footer="0.5"/>
  <pageSetup orientation="landscape" paperSize="9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2E3B4E"/>
    <outlinePr summaryBelow="1" summaryRight="1"/>
    <pageSetUpPr fitToPage="1"/>
  </sheetPr>
  <dimension ref="A1:V130"/>
  <sheetViews>
    <sheetView showGridLines="0" showRowColHeaders="0" zoomScale="90" workbookViewId="0">
      <pane xSplit="2" topLeftCell="C1" activePane="topRight" state="frozen"/>
      <selection pane="topRight" activeCell="A1" sqref="A1"/>
    </sheetView>
  </sheetViews>
  <sheetFormatPr baseColWidth="8" defaultRowHeight="15"/>
  <cols>
    <col width="1.2" customWidth="1" min="1" max="1"/>
    <col width="27" customWidth="1" min="2" max="2"/>
    <col width="2.5" customWidth="1" min="3" max="3"/>
    <col width="8.6" customWidth="1" min="4" max="4"/>
    <col width="8.6" customWidth="1" min="5" max="5"/>
    <col width="8.6" customWidth="1" min="6" max="6"/>
    <col width="8.6" customWidth="1" min="7" max="7"/>
    <col width="8.6" customWidth="1" min="8" max="8"/>
    <col width="8.6" customWidth="1" min="9" max="9"/>
    <col width="8.6" customWidth="1" min="10" max="10"/>
    <col width="8.6" customWidth="1" min="11" max="11"/>
    <col width="8.6" customWidth="1" min="12" max="12"/>
    <col width="8.6" customWidth="1" min="13" max="13"/>
    <col width="8.6" customWidth="1" min="14" max="14"/>
    <col width="8.6" customWidth="1" min="15" max="15"/>
    <col width="8.6" customWidth="1" min="16" max="16"/>
    <col width="8.6" customWidth="1" min="17" max="17"/>
    <col width="8.6" customWidth="1" min="18" max="18"/>
    <col width="8.6" customWidth="1" min="19" max="19"/>
    <col width="8.6" customWidth="1" min="20" max="20"/>
    <col width="8.6" customWidth="1" min="21" max="21"/>
    <col width="2.5" customWidth="1" min="22" max="22"/>
  </cols>
  <sheetData>
    <row r="1" ht="10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28" customHeight="1">
      <c r="A2" s="1" t="n"/>
      <c r="B2" s="3" t="inlineStr">
        <is>
          <t>PIT CONTROL</t>
        </is>
      </c>
      <c r="C2" s="2" t="n"/>
      <c r="D2" s="4" t="inlineStr">
        <is>
          <t>Mine Ops Board  /  Fuel Consumption &amp; Fuel Ratio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 ht="34" customHeight="1">
      <c r="A3" s="1" t="n"/>
      <c r="B3" s="5" t="inlineStr">
        <is>
          <t>MINE OPS BOARD</t>
        </is>
      </c>
      <c r="C3" s="2" t="n"/>
      <c r="D3" s="6" t="inlineStr">
        <is>
          <t>Fuel Consumption &amp; Fuel Ratio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>
      <c r="A4" s="1" t="n"/>
      <c r="B4" s="1" t="n"/>
      <c r="C4" s="2" t="n"/>
      <c r="D4" s="7" t="inlineStr">
        <is>
          <t>Mining = alat di pit · Aux = alat di luar pit (hauling ROM–jetty, loader, washing plant, LV, genset) · FR = fuel ÷ (OB + coal ÷ 1,3)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 ht="8" customHeight="1">
      <c r="A5" s="1" t="n"/>
      <c r="B5" s="8" t="inlineStr">
        <is>
          <t>BOARD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 ht="24" customHeight="1">
      <c r="A6" s="1" t="n"/>
      <c r="B6" s="15">
        <f>HYPERLINK("#Produksi!A1","   Produksi")</f>
        <v/>
      </c>
      <c r="C6" s="2" t="n"/>
      <c r="D6" s="11" t="n"/>
      <c r="E6" s="12" t="inlineStr">
        <is>
          <t>Dari</t>
        </is>
      </c>
      <c r="F6" s="13" t="n">
        <v>46082</v>
      </c>
      <c r="G6" s="11" t="n"/>
      <c r="H6" s="12" t="inlineStr">
        <is>
          <t>Sampai</t>
        </is>
      </c>
      <c r="I6" s="13" t="n">
        <v>46110</v>
      </c>
      <c r="J6" s="11" t="n"/>
      <c r="K6" s="12" t="inlineStr">
        <is>
          <t>Kelompok</t>
        </is>
      </c>
      <c r="L6" s="14" t="inlineStr">
        <is>
          <t>Semua</t>
        </is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</row>
    <row r="7" ht="14" customHeight="1">
      <c r="A7" s="1" t="n"/>
      <c r="B7" s="15">
        <f>HYPERLINK("#Digger!A1","   Produktivitas Digger")</f>
        <v/>
      </c>
      <c r="C7" s="2" t="n"/>
      <c r="D7" s="16">
        <f>IF(Kalkulasi!$B$292=0,"⚠ Tanggal akhir harus sama atau setelah tanggal mulai","Fuel dicatat per hari (tanpa shift) · "&amp;Kalkulasi!$B$292&amp;" hari dipilih · KPI &amp; tren selalu menampilkan semua kelompok")</f>
        <v/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 ht="22" customHeight="1">
      <c r="A8" s="1" t="n"/>
      <c r="B8" s="15">
        <f>HYPERLINK("#Availability!A1","   Availability Unit")</f>
        <v/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 ht="18" customHeight="1">
      <c r="A9" s="1" t="n"/>
      <c r="B9" s="15">
        <f>HYPERLINK("#'Delay &amp; Hujan'!A1","   Delay &amp; Hujan")</f>
        <v/>
      </c>
      <c r="C9" s="2" t="n"/>
      <c r="D9" s="17" t="inlineStr">
        <is>
          <t>FR MINING (PIT)</t>
        </is>
      </c>
      <c r="E9" s="18" t="n"/>
      <c r="F9" s="19" t="n"/>
      <c r="G9" s="17" t="inlineStr">
        <is>
          <t>FR ALL</t>
        </is>
      </c>
      <c r="H9" s="18" t="n"/>
      <c r="I9" s="19" t="n"/>
      <c r="J9" s="17" t="inlineStr">
        <is>
          <t>FUEL MINING</t>
        </is>
      </c>
      <c r="K9" s="18" t="n"/>
      <c r="L9" s="19" t="n"/>
      <c r="M9" s="17" t="inlineStr">
        <is>
          <t>FUEL ALL</t>
        </is>
      </c>
      <c r="N9" s="18" t="n"/>
      <c r="O9" s="19" t="n"/>
      <c r="P9" s="17" t="inlineStr">
        <is>
          <t>FUEL AUX (LUAR PIT)</t>
        </is>
      </c>
      <c r="Q9" s="18" t="n"/>
      <c r="R9" s="19" t="n"/>
      <c r="S9" s="17" t="inlineStr">
        <is>
          <t>RATA-RATA PER HARI</t>
        </is>
      </c>
      <c r="T9" s="18" t="n"/>
      <c r="U9" s="19" t="n"/>
      <c r="V9" s="2" t="n"/>
    </row>
    <row r="10" ht="30" customHeight="1">
      <c r="A10" s="9" t="n"/>
      <c r="B10" s="10">
        <f>HYPERLINK("#Fuel!A1","   Fuel")</f>
        <v/>
      </c>
      <c r="C10" s="2" t="n"/>
      <c r="D10" s="84">
        <f>Kalkulasi!$B$304</f>
        <v/>
      </c>
      <c r="F10" s="21" t="n"/>
      <c r="G10" s="84">
        <f>Kalkulasi!$B$305</f>
        <v/>
      </c>
      <c r="I10" s="21" t="n"/>
      <c r="J10" s="85">
        <f>Kalkulasi!$B$296</f>
        <v/>
      </c>
      <c r="L10" s="21" t="n"/>
      <c r="M10" s="85">
        <f>Kalkulasi!$B$299</f>
        <v/>
      </c>
      <c r="O10" s="21" t="n"/>
      <c r="P10" s="86">
        <f>Kalkulasi!$B$297</f>
        <v/>
      </c>
      <c r="R10" s="21" t="n"/>
      <c r="S10" s="87">
        <f>IF(Kalkulasi!$B$292=0,0,Kalkulasi!$B$299/Kalkulasi!$B$292)</f>
        <v/>
      </c>
      <c r="U10" s="21" t="n"/>
      <c r="V10" s="2" t="n"/>
    </row>
    <row r="11" ht="18" customHeight="1">
      <c r="A11" s="1" t="n"/>
      <c r="B11" s="15">
        <f>HYPERLINK("#'Tren PTY'!A1","   Tren PTY")</f>
        <v/>
      </c>
      <c r="C11" s="2" t="n"/>
      <c r="D11" s="26">
        <f>"Plan "&amp;TEXT(Kalkulasi!$B$306,"0.000")&amp;IF(Kalkulasi!$B$304&lt;=Kalkulasi!$B$306,"  ▼ "&amp;TEXT(1-Kalkulasi!$B$304/Kalkulasi!$B$306,"0.0%")&amp;" lebih hemat","  ▲ "&amp;TEXT(Kalkulasi!$B$304/Kalkulasi!$B$306-1,"0.0%")&amp;" lebih boros")</f>
        <v/>
      </c>
      <c r="E11" s="27" t="n"/>
      <c r="F11" s="28" t="n"/>
      <c r="G11" s="26">
        <f>"Plan "&amp;TEXT(Kalkulasi!$B$307,"0.000")&amp;IF(Kalkulasi!$B$305&lt;=Kalkulasi!$B$307,"  ▼ "&amp;TEXT(1-Kalkulasi!$B$305/Kalkulasi!$B$307,"0.0%")&amp;" lebih hemat","  ▲ "&amp;TEXT(Kalkulasi!$B$305/Kalkulasi!$B$307-1,"0.0%")&amp;" lebih boros")</f>
        <v/>
      </c>
      <c r="H11" s="27" t="n"/>
      <c r="I11" s="28" t="n"/>
      <c r="J11" s="26">
        <f>"Plan "&amp;TEXT(Kalkulasi!$B$300,"#,##0")&amp;" · "&amp;TEXT(Kalkulasi!$B$296/MAX(1,Kalkulasi!$B$300)-1,"+0.0%;-0.0%")</f>
        <v/>
      </c>
      <c r="K11" s="27" t="n"/>
      <c r="L11" s="28" t="n"/>
      <c r="M11" s="26">
        <f>"Plan "&amp;TEXT(Kalkulasi!$B$301,"#,##0")&amp;" · "&amp;TEXT(Kalkulasi!$B$299/MAX(1,Kalkulasi!$B$301)-1,"+0.0%;-0.0%")</f>
        <v/>
      </c>
      <c r="N11" s="27" t="n"/>
      <c r="O11" s="28" t="n"/>
      <c r="P11" s="26">
        <f>TEXT(Kalkulasi!$B$297/MAX(1,Kalkulasi!$B$299),"0%")&amp;" dari total · vendor "&amp;TEXT(Kalkulasi!$B$298,"#,##0")&amp;" L"</f>
        <v/>
      </c>
      <c r="Q11" s="27" t="n"/>
      <c r="R11" s="28" t="n"/>
      <c r="S11" s="26">
        <f>"Mining "&amp;TEXT(IF(Kalkulasi!$B$292=0,0,Kalkulasi!$B$296/Kalkulasi!$B$292),"#,##0")&amp;" L/hari"</f>
        <v/>
      </c>
      <c r="T11" s="27" t="n"/>
      <c r="U11" s="28" t="n"/>
      <c r="V11" s="2" t="n"/>
    </row>
    <row r="12" ht="10" customHeight="1">
      <c r="A12" s="1" t="n"/>
      <c r="B12" s="1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</row>
    <row r="13" ht="24" customHeight="1">
      <c r="A13" s="1" t="n"/>
      <c r="B13" s="8" t="inlineStr">
        <is>
          <t>PER JAM</t>
        </is>
      </c>
      <c r="C13" s="2" t="n"/>
      <c r="D13" s="29" t="inlineStr">
        <is>
          <t>Fuel ratio harian: actual vs plan</t>
        </is>
      </c>
      <c r="E13" s="30" t="n"/>
      <c r="F13" s="30" t="n"/>
      <c r="G13" s="30" t="n"/>
      <c r="H13" s="30" t="n"/>
      <c r="I13" s="30" t="n"/>
      <c r="J13" s="30" t="n"/>
      <c r="K13" s="30" t="n"/>
      <c r="L13" s="30" t="n"/>
      <c r="M13" s="30" t="n"/>
      <c r="N13" s="30" t="n"/>
      <c r="O13" s="31" t="inlineStr">
        <is>
          <t>liter per BCM · garis putus = plan</t>
        </is>
      </c>
      <c r="P13" s="29" t="inlineStr">
        <is>
          <t>Fuel per kategori alat</t>
        </is>
      </c>
      <c r="Q13" s="30" t="n"/>
      <c r="R13" s="30" t="n"/>
      <c r="S13" s="30" t="n"/>
      <c r="T13" s="30" t="n"/>
      <c r="U13" s="31" t="inlineStr">
        <is>
          <t>liter · ikut filter kelompok</t>
        </is>
      </c>
      <c r="V13" s="2" t="n"/>
    </row>
    <row r="14" ht="22" customHeight="1">
      <c r="A14" s="1" t="n"/>
      <c r="B14" s="15">
        <f>HYPERLINK("#'PTY per Jam'!A1","   PTY per Jam")</f>
        <v/>
      </c>
      <c r="C14" s="2" t="n"/>
      <c r="D14" s="32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4" t="n"/>
      <c r="P14" s="32" t="n"/>
      <c r="Q14" s="33" t="n"/>
      <c r="R14" s="33" t="n"/>
      <c r="S14" s="33" t="n"/>
      <c r="T14" s="33" t="n"/>
      <c r="U14" s="34" t="n"/>
      <c r="V14" s="2" t="n"/>
    </row>
    <row r="15" ht="22" customHeight="1">
      <c r="A15" s="1" t="n"/>
      <c r="B15" s="15">
        <f>HYPERLINK("#'Fleet &amp; Delay'!A1","   Fleet &amp; Delay")</f>
        <v/>
      </c>
      <c r="C15" s="2" t="n"/>
      <c r="D15" s="32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4" t="n"/>
      <c r="P15" s="32" t="n"/>
      <c r="Q15" s="33" t="n"/>
      <c r="R15" s="33" t="n"/>
      <c r="S15" s="33" t="n"/>
      <c r="T15" s="33" t="n"/>
      <c r="U15" s="34" t="n"/>
      <c r="V15" s="2" t="n"/>
    </row>
    <row r="16" ht="22" customHeight="1">
      <c r="A16" s="1" t="n"/>
      <c r="B16" s="15">
        <f>HYPERLINK("#'Daily Report'!A1","   Daily Report")</f>
        <v/>
      </c>
      <c r="C16" s="2" t="n"/>
      <c r="D16" s="32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4" t="n"/>
      <c r="P16" s="32" t="n"/>
      <c r="Q16" s="33" t="n"/>
      <c r="R16" s="33" t="n"/>
      <c r="S16" s="33" t="n"/>
      <c r="T16" s="33" t="n"/>
      <c r="U16" s="34" t="n"/>
      <c r="V16" s="2" t="n"/>
    </row>
    <row r="17" ht="22" customHeight="1">
      <c r="A17" s="1" t="n"/>
      <c r="B17" s="15">
        <f>HYPERLINK("#INPUT_RITASE!A1","   Input ritase ↗")</f>
        <v/>
      </c>
      <c r="C17" s="2" t="n"/>
      <c r="D17" s="32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4" t="n"/>
      <c r="P17" s="32" t="n"/>
      <c r="Q17" s="33" t="n"/>
      <c r="R17" s="33" t="n"/>
      <c r="S17" s="33" t="n"/>
      <c r="T17" s="33" t="n"/>
      <c r="U17" s="34" t="n"/>
      <c r="V17" s="2" t="n"/>
    </row>
    <row r="18" ht="22" customHeight="1">
      <c r="A18" s="1" t="n"/>
      <c r="B18" s="15">
        <f>HYPERLINK("#INPUT_DELAY!A1","   Input delay ↗")</f>
        <v/>
      </c>
      <c r="C18" s="2" t="n"/>
      <c r="D18" s="32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4" t="n"/>
      <c r="P18" s="32" t="n"/>
      <c r="Q18" s="33" t="n"/>
      <c r="R18" s="33" t="n"/>
      <c r="S18" s="33" t="n"/>
      <c r="T18" s="33" t="n"/>
      <c r="U18" s="34" t="n"/>
      <c r="V18" s="2" t="n"/>
    </row>
    <row r="19">
      <c r="A19" s="1" t="n"/>
      <c r="B19" s="1" t="n"/>
      <c r="C19" s="2" t="n"/>
      <c r="D19" s="32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4" t="n"/>
      <c r="P19" s="32" t="n"/>
      <c r="Q19" s="33" t="n"/>
      <c r="R19" s="33" t="n"/>
      <c r="S19" s="33" t="n"/>
      <c r="T19" s="33" t="n"/>
      <c r="U19" s="34" t="n"/>
      <c r="V19" s="2" t="n"/>
    </row>
    <row r="20">
      <c r="A20" s="1" t="n"/>
      <c r="B20" s="8" t="inlineStr">
        <is>
          <t>DATA</t>
        </is>
      </c>
      <c r="C20" s="2" t="n"/>
      <c r="D20" s="32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4" t="n"/>
      <c r="P20" s="32" t="n"/>
      <c r="Q20" s="33" t="n"/>
      <c r="R20" s="33" t="n"/>
      <c r="S20" s="33" t="n"/>
      <c r="T20" s="33" t="n"/>
      <c r="U20" s="34" t="n"/>
      <c r="V20" s="2" t="n"/>
    </row>
    <row r="21" ht="22" customHeight="1">
      <c r="A21" s="1" t="n"/>
      <c r="B21" s="15">
        <f>HYPERLINK("#'Master Data'!A1","   Master Data")</f>
        <v/>
      </c>
      <c r="C21" s="2" t="n"/>
      <c r="D21" s="32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4" t="n"/>
      <c r="P21" s="32" t="n"/>
      <c r="Q21" s="33" t="n"/>
      <c r="R21" s="33" t="n"/>
      <c r="S21" s="33" t="n"/>
      <c r="T21" s="33" t="n"/>
      <c r="U21" s="34" t="n"/>
      <c r="V21" s="2" t="n"/>
    </row>
    <row r="22" ht="22" customHeight="1">
      <c r="A22" s="1" t="n"/>
      <c r="B22" s="15">
        <f>HYPERLINK("#DATA_TS!A1","   Tabel timesheet ↗")</f>
        <v/>
      </c>
      <c r="C22" s="2" t="n"/>
      <c r="D22" s="32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4" t="n"/>
      <c r="P22" s="32" t="n"/>
      <c r="Q22" s="33" t="n"/>
      <c r="R22" s="33" t="n"/>
      <c r="S22" s="33" t="n"/>
      <c r="T22" s="33" t="n"/>
      <c r="U22" s="34" t="n"/>
      <c r="V22" s="2" t="n"/>
    </row>
    <row r="23" ht="22" customHeight="1">
      <c r="A23" s="1" t="n"/>
      <c r="B23" s="15">
        <f>HYPERLINK("#DATA_FUEL!A1","   Tabel fuel ↗")</f>
        <v/>
      </c>
      <c r="C23" s="2" t="n"/>
      <c r="D23" s="32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4" t="n"/>
      <c r="P23" s="32" t="n"/>
      <c r="Q23" s="33" t="n"/>
      <c r="R23" s="33" t="n"/>
      <c r="S23" s="33" t="n"/>
      <c r="T23" s="33" t="n"/>
      <c r="U23" s="34" t="n"/>
      <c r="V23" s="2" t="n"/>
    </row>
    <row r="24">
      <c r="A24" s="1" t="n"/>
      <c r="B24" s="1" t="n"/>
      <c r="C24" s="2" t="n"/>
      <c r="D24" s="32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4" t="n"/>
      <c r="P24" s="75">
        <f>"Total "&amp;TEXT(SUM(Kalkulasi!$B$363:$B$369),"#,##0")&amp;" L"</f>
        <v/>
      </c>
      <c r="Q24" s="33" t="n"/>
      <c r="R24" s="33" t="n"/>
      <c r="S24" s="33" t="n"/>
      <c r="T24" s="33" t="n"/>
      <c r="U24" s="34" t="n"/>
      <c r="V24" s="2" t="n"/>
    </row>
    <row r="25">
      <c r="A25" s="1" t="n"/>
      <c r="B25" s="8" t="inlineStr">
        <is>
          <t>LAINNYA</t>
        </is>
      </c>
      <c r="C25" s="2" t="n"/>
      <c r="D25" s="32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4" t="n"/>
      <c r="P25" s="36" t="inlineStr">
        <is>
          <t>■</t>
        </is>
      </c>
      <c r="Q25" s="37">
        <f>Kalkulasi!A363</f>
        <v/>
      </c>
      <c r="R25" s="33" t="n"/>
      <c r="S25" s="33" t="n"/>
      <c r="T25" s="38">
        <f>Kalkulasi!C363</f>
        <v/>
      </c>
      <c r="U25" s="34" t="n"/>
      <c r="V25" s="2" t="n"/>
    </row>
    <row r="26" ht="22" customHeight="1">
      <c r="A26" s="1" t="n"/>
      <c r="B26" s="15">
        <f>HYPERLINK("#Panduan!A1","   Panduan")</f>
        <v/>
      </c>
      <c r="C26" s="2" t="n"/>
      <c r="D26" s="32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4" t="n"/>
      <c r="P26" s="39" t="inlineStr">
        <is>
          <t>■</t>
        </is>
      </c>
      <c r="Q26" s="37">
        <f>Kalkulasi!A364</f>
        <v/>
      </c>
      <c r="R26" s="33" t="n"/>
      <c r="S26" s="33" t="n"/>
      <c r="T26" s="38">
        <f>Kalkulasi!C364</f>
        <v/>
      </c>
      <c r="U26" s="34" t="n"/>
      <c r="V26" s="2" t="n"/>
    </row>
    <row r="27" ht="22" customHeight="1">
      <c r="A27" s="1" t="n"/>
      <c r="B27" s="15">
        <f>HYPERLINK("#Parameter!A1","   Target &amp; parameter")</f>
        <v/>
      </c>
      <c r="C27" s="2" t="n"/>
      <c r="D27" s="32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4" t="n"/>
      <c r="P27" s="40" t="inlineStr">
        <is>
          <t>■</t>
        </is>
      </c>
      <c r="Q27" s="37">
        <f>Kalkulasi!A365</f>
        <v/>
      </c>
      <c r="R27" s="33" t="n"/>
      <c r="S27" s="33" t="n"/>
      <c r="T27" s="38">
        <f>Kalkulasi!C365</f>
        <v/>
      </c>
      <c r="U27" s="34" t="n"/>
      <c r="V27" s="2" t="n"/>
    </row>
    <row r="28" ht="22" customHeight="1">
      <c r="A28" s="1" t="n"/>
      <c r="B28" s="15">
        <f>HYPERLINK("#MASTER_JAM!A1","   Faktor, target &amp; MF")</f>
        <v/>
      </c>
      <c r="C28" s="2" t="n"/>
      <c r="D28" s="32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4" t="n"/>
      <c r="P28" s="42" t="inlineStr">
        <is>
          <t>■</t>
        </is>
      </c>
      <c r="Q28" s="37">
        <f>Kalkulasi!A366</f>
        <v/>
      </c>
      <c r="R28" s="33" t="n"/>
      <c r="S28" s="33" t="n"/>
      <c r="T28" s="38">
        <f>Kalkulasi!C366</f>
        <v/>
      </c>
      <c r="U28" s="34" t="n"/>
      <c r="V28" s="2" t="n"/>
    </row>
    <row r="29">
      <c r="A29" s="1" t="n"/>
      <c r="B29" s="1" t="n"/>
      <c r="C29" s="2" t="n"/>
      <c r="D29" s="32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4" t="n"/>
      <c r="P29" s="41" t="inlineStr">
        <is>
          <t>■</t>
        </is>
      </c>
      <c r="Q29" s="37">
        <f>Kalkulasi!A367</f>
        <v/>
      </c>
      <c r="R29" s="33" t="n"/>
      <c r="S29" s="33" t="n"/>
      <c r="T29" s="38">
        <f>Kalkulasi!C367</f>
        <v/>
      </c>
      <c r="U29" s="34" t="n"/>
      <c r="V29" s="2" t="n"/>
    </row>
    <row r="30">
      <c r="A30" s="1" t="n"/>
      <c r="B30" s="1" t="n"/>
      <c r="C30" s="2" t="n"/>
      <c r="D30" s="32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4" t="n"/>
      <c r="P30" s="88" t="inlineStr">
        <is>
          <t>■</t>
        </is>
      </c>
      <c r="Q30" s="37">
        <f>Kalkulasi!A368</f>
        <v/>
      </c>
      <c r="R30" s="33" t="n"/>
      <c r="S30" s="33" t="n"/>
      <c r="T30" s="38">
        <f>Kalkulasi!C368</f>
        <v/>
      </c>
      <c r="U30" s="34" t="n"/>
      <c r="V30" s="2" t="n"/>
    </row>
    <row r="31">
      <c r="A31" s="1" t="n"/>
      <c r="B31" s="1" t="n"/>
      <c r="C31" s="2" t="n"/>
      <c r="D31" s="44" t="n"/>
      <c r="E31" s="45" t="n"/>
      <c r="F31" s="45" t="n"/>
      <c r="G31" s="45" t="n"/>
      <c r="H31" s="45" t="n"/>
      <c r="I31" s="45" t="n"/>
      <c r="J31" s="45" t="n"/>
      <c r="K31" s="45" t="n"/>
      <c r="L31" s="45" t="n"/>
      <c r="M31" s="45" t="n"/>
      <c r="N31" s="45" t="n"/>
      <c r="O31" s="46" t="n"/>
      <c r="P31" s="89" t="inlineStr">
        <is>
          <t>■</t>
        </is>
      </c>
      <c r="Q31" s="90">
        <f>Kalkulasi!A369</f>
        <v/>
      </c>
      <c r="R31" s="45" t="n"/>
      <c r="S31" s="45" t="n"/>
      <c r="T31" s="91">
        <f>Kalkulasi!C369</f>
        <v/>
      </c>
      <c r="U31" s="46" t="n"/>
      <c r="V31" s="2" t="n"/>
    </row>
    <row r="32" ht="10" customHeight="1">
      <c r="A32" s="1" t="n"/>
      <c r="B32" s="1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</row>
    <row r="33" ht="24" customHeight="1">
      <c r="A33" s="1" t="n"/>
      <c r="B33" s="47" t="inlineStr">
        <is>
          <t>Data dummy · Coal Project</t>
        </is>
      </c>
      <c r="C33" s="2" t="n"/>
      <c r="D33" s="29" t="inlineStr">
        <is>
          <t>Pemakaian fuel harian</t>
        </is>
      </c>
      <c r="E33" s="30" t="n"/>
      <c r="F33" s="30" t="n"/>
      <c r="G33" s="30" t="n"/>
      <c r="H33" s="30" t="n"/>
      <c r="I33" s="30" t="n"/>
      <c r="J33" s="30" t="n"/>
      <c r="K33" s="30" t="n"/>
      <c r="L33" s="30" t="n"/>
      <c r="M33" s="30" t="n"/>
      <c r="N33" s="30" t="n"/>
      <c r="O33" s="30" t="n"/>
      <c r="P33" s="30" t="n"/>
      <c r="Q33" s="30" t="n"/>
      <c r="R33" s="30" t="n"/>
      <c r="S33" s="30" t="n"/>
      <c r="T33" s="30" t="n"/>
      <c r="U33" s="31" t="inlineStr">
        <is>
          <t>batang = actual per kelompok (liter) · garis putus = plan fuel all</t>
        </is>
      </c>
      <c r="V33" s="2" t="n"/>
    </row>
    <row r="34">
      <c r="A34" s="1" t="n"/>
      <c r="B34" s="49" t="inlineStr">
        <is>
          <t>Simulasi unit per shift,</t>
        </is>
      </c>
      <c r="C34" s="2" t="n"/>
      <c r="D34" s="32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33" t="n"/>
      <c r="U34" s="34" t="n"/>
      <c r="V34" s="2" t="n"/>
    </row>
    <row r="35">
      <c r="A35" s="1" t="n"/>
      <c r="B35" s="49" t="inlineStr">
        <is>
          <t>Maret 2026. Bukan data</t>
        </is>
      </c>
      <c r="C35" s="2" t="n"/>
      <c r="D35" s="32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33" t="n"/>
      <c r="U35" s="34" t="n"/>
      <c r="V35" s="2" t="n"/>
    </row>
    <row r="36">
      <c r="A36" s="1" t="n"/>
      <c r="B36" s="49" t="inlineStr">
        <is>
          <t>perusahaan mana pun.</t>
        </is>
      </c>
      <c r="C36" s="2" t="n"/>
      <c r="D36" s="32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33" t="n"/>
      <c r="U36" s="34" t="n"/>
      <c r="V36" s="2" t="n"/>
    </row>
    <row r="37">
      <c r="A37" s="1" t="n"/>
      <c r="B37" s="49" t="inlineStr"/>
      <c r="C37" s="2" t="n"/>
      <c r="D37" s="32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33" t="n"/>
      <c r="U37" s="34" t="n"/>
      <c r="V37" s="2" t="n"/>
    </row>
    <row r="38">
      <c r="A38" s="1" t="n"/>
      <c r="B38" s="47" t="inlineStr">
        <is>
          <t>Muhammad Rifqi Rizqullah</t>
        </is>
      </c>
      <c r="C38" s="2" t="n"/>
      <c r="D38" s="32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33" t="n"/>
      <c r="U38" s="34" t="n"/>
      <c r="V38" s="2" t="n"/>
    </row>
    <row r="39">
      <c r="A39" s="1" t="n"/>
      <c r="B39" s="49" t="inlineStr">
        <is>
          <t>Mine Operations Control</t>
        </is>
      </c>
      <c r="C39" s="2" t="n"/>
      <c r="D39" s="32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33" t="n"/>
      <c r="U39" s="34" t="n"/>
      <c r="V39" s="2" t="n"/>
    </row>
    <row r="40">
      <c r="A40" s="1" t="n"/>
      <c r="B40" s="1" t="n"/>
      <c r="C40" s="2" t="n"/>
      <c r="D40" s="32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33" t="n"/>
      <c r="U40" s="34" t="n"/>
      <c r="V40" s="2" t="n"/>
    </row>
    <row r="41">
      <c r="A41" s="1" t="n"/>
      <c r="B41" s="1" t="n"/>
      <c r="C41" s="2" t="n"/>
      <c r="D41" s="32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4" t="n"/>
      <c r="V41" s="2" t="n"/>
    </row>
    <row r="42">
      <c r="A42" s="1" t="n"/>
      <c r="B42" s="1" t="n"/>
      <c r="C42" s="2" t="n"/>
      <c r="D42" s="32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33" t="n"/>
      <c r="U42" s="34" t="n"/>
      <c r="V42" s="2" t="n"/>
    </row>
    <row r="43">
      <c r="A43" s="1" t="n"/>
      <c r="B43" s="1" t="n"/>
      <c r="C43" s="2" t="n"/>
      <c r="D43" s="32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33" t="n"/>
      <c r="U43" s="34" t="n"/>
      <c r="V43" s="2" t="n"/>
    </row>
    <row r="44">
      <c r="A44" s="1" t="n"/>
      <c r="B44" s="1" t="n"/>
      <c r="C44" s="2" t="n"/>
      <c r="D44" s="32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33" t="n"/>
      <c r="U44" s="34" t="n"/>
      <c r="V44" s="2" t="n"/>
    </row>
    <row r="45">
      <c r="A45" s="1" t="n"/>
      <c r="B45" s="1" t="n"/>
      <c r="C45" s="2" t="n"/>
      <c r="D45" s="32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33" t="n"/>
      <c r="U45" s="34" t="n"/>
      <c r="V45" s="2" t="n"/>
    </row>
    <row r="46">
      <c r="A46" s="1" t="n"/>
      <c r="B46" s="1" t="n"/>
      <c r="C46" s="2" t="n"/>
      <c r="D46" s="32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33" t="n"/>
      <c r="U46" s="34" t="n"/>
      <c r="V46" s="2" t="n"/>
    </row>
    <row r="47">
      <c r="A47" s="1" t="n"/>
      <c r="B47" s="1" t="n"/>
      <c r="C47" s="2" t="n"/>
      <c r="D47" s="32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33" t="n"/>
      <c r="U47" s="34" t="n"/>
      <c r="V47" s="2" t="n"/>
    </row>
    <row r="48">
      <c r="A48" s="1" t="n"/>
      <c r="B48" s="1" t="n"/>
      <c r="C48" s="2" t="n"/>
      <c r="D48" s="32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33" t="n"/>
      <c r="U48" s="34" t="n"/>
      <c r="V48" s="2" t="n"/>
    </row>
    <row r="49">
      <c r="A49" s="1" t="n"/>
      <c r="B49" s="1" t="n"/>
      <c r="C49" s="2" t="n"/>
      <c r="D49" s="32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33" t="n"/>
      <c r="U49" s="34" t="n"/>
      <c r="V49" s="2" t="n"/>
    </row>
    <row r="50">
      <c r="A50" s="1" t="n"/>
      <c r="B50" s="1" t="n"/>
      <c r="C50" s="2" t="n"/>
      <c r="D50" s="44" t="n"/>
      <c r="E50" s="45" t="n"/>
      <c r="F50" s="45" t="n"/>
      <c r="G50" s="45" t="n"/>
      <c r="H50" s="45" t="n"/>
      <c r="I50" s="45" t="n"/>
      <c r="J50" s="45" t="n"/>
      <c r="K50" s="45" t="n"/>
      <c r="L50" s="45" t="n"/>
      <c r="M50" s="45" t="n"/>
      <c r="N50" s="45" t="n"/>
      <c r="O50" s="45" t="n"/>
      <c r="P50" s="45" t="n"/>
      <c r="Q50" s="45" t="n"/>
      <c r="R50" s="45" t="n"/>
      <c r="S50" s="45" t="n"/>
      <c r="T50" s="45" t="n"/>
      <c r="U50" s="46" t="n"/>
      <c r="V50" s="2" t="n"/>
    </row>
    <row r="51" ht="10" customHeight="1">
      <c r="A51" s="1" t="n"/>
      <c r="B51" s="1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</row>
    <row r="52" ht="24" customHeight="1">
      <c r="A52" s="1" t="n"/>
      <c r="B52" s="1" t="n"/>
      <c r="C52" s="2" t="n"/>
      <c r="D52" s="29" t="inlineStr">
        <is>
          <t>Konsumsi per tipe alat</t>
        </is>
      </c>
      <c r="E52" s="30" t="n"/>
      <c r="F52" s="30" t="n"/>
      <c r="G52" s="30" t="n"/>
      <c r="H52" s="30" t="n"/>
      <c r="I52" s="30" t="n"/>
      <c r="J52" s="30" t="n"/>
      <c r="K52" s="31" t="inlineStr">
        <is>
          <t>liter per jam kerja (HM)</t>
        </is>
      </c>
      <c r="L52" s="29" t="inlineStr">
        <is>
          <t>Unit dengan pemakaian terbesar</t>
        </is>
      </c>
      <c r="M52" s="30" t="n"/>
      <c r="N52" s="30" t="n"/>
      <c r="O52" s="30" t="n"/>
      <c r="P52" s="30" t="n"/>
      <c r="Q52" s="30" t="n"/>
      <c r="R52" s="30" t="n"/>
      <c r="S52" s="30" t="n"/>
      <c r="T52" s="30" t="n"/>
      <c r="U52" s="31" t="inlineStr">
        <is>
          <t>ikut filter kelompok</t>
        </is>
      </c>
      <c r="V52" s="2" t="n"/>
    </row>
    <row r="53" ht="20" customHeight="1">
      <c r="A53" s="1" t="n"/>
      <c r="B53" s="1" t="n"/>
      <c r="C53" s="2" t="n"/>
      <c r="D53" s="65" t="inlineStr">
        <is>
          <t>Tipe</t>
        </is>
      </c>
      <c r="E53" s="65" t="inlineStr"/>
      <c r="F53" s="65" t="inlineStr">
        <is>
          <t>Class</t>
        </is>
      </c>
      <c r="G53" s="65" t="inlineStr"/>
      <c r="H53" s="66" t="inlineStr">
        <is>
          <t>Liter</t>
        </is>
      </c>
      <c r="I53" s="66" t="inlineStr"/>
      <c r="J53" s="66" t="inlineStr">
        <is>
          <t>HM</t>
        </is>
      </c>
      <c r="K53" s="66" t="inlineStr">
        <is>
          <t>L/jam</t>
        </is>
      </c>
      <c r="L53" s="65" t="inlineStr">
        <is>
          <t>Unit</t>
        </is>
      </c>
      <c r="M53" s="65" t="inlineStr"/>
      <c r="N53" s="65" t="inlineStr">
        <is>
          <t>Kategori</t>
        </is>
      </c>
      <c r="O53" s="65" t="inlineStr"/>
      <c r="P53" s="65" t="inlineStr">
        <is>
          <t>Kelompok</t>
        </is>
      </c>
      <c r="Q53" s="66" t="inlineStr">
        <is>
          <t>Liter</t>
        </is>
      </c>
      <c r="R53" s="66" t="inlineStr"/>
      <c r="S53" s="66" t="inlineStr">
        <is>
          <t>HM</t>
        </is>
      </c>
      <c r="T53" s="66" t="inlineStr">
        <is>
          <t>L/jam</t>
        </is>
      </c>
      <c r="U53" s="66" t="inlineStr"/>
      <c r="V53" s="2" t="n"/>
    </row>
    <row r="54" ht="18" customHeight="1">
      <c r="A54" s="1" t="n"/>
      <c r="B54" s="1" t="n"/>
      <c r="C54" s="2" t="n"/>
      <c r="D54" s="83">
        <f>Kalkulasi!H374</f>
        <v/>
      </c>
      <c r="F54" s="68">
        <f>Kalkulasi!I374</f>
        <v/>
      </c>
      <c r="H54" s="70">
        <f>Kalkulasi!J374</f>
        <v/>
      </c>
      <c r="J54" s="70">
        <f>Kalkulasi!K374</f>
        <v/>
      </c>
      <c r="K54" s="92">
        <f>Kalkulasi!L374</f>
        <v/>
      </c>
      <c r="L54" s="67">
        <f>IF(Kalkulasi!K398=0,"",Kalkulasi!H398)</f>
        <v/>
      </c>
      <c r="N54" s="68">
        <f>IF(Kalkulasi!K398=0,"",Kalkulasi!I398)</f>
        <v/>
      </c>
      <c r="P54" s="83">
        <f>IF(Kalkulasi!K398=0,"",Kalkulasi!J398)</f>
        <v/>
      </c>
      <c r="Q54" s="93">
        <f>Kalkulasi!K398</f>
        <v/>
      </c>
      <c r="S54" s="69">
        <f>IF(Kalkulasi!K398=0,"",IF(Kalkulasi!L398="","–",Kalkulasi!L398))</f>
        <v/>
      </c>
      <c r="T54" s="94">
        <f>IF(Kalkulasi!K398=0,"",IF(Kalkulasi!M398="",IF(Kalkulasi!L398=0,"HM 0","–"),Kalkulasi!M398))</f>
        <v/>
      </c>
      <c r="U54" s="78" t="inlineStr"/>
      <c r="V54" s="2" t="n"/>
    </row>
    <row r="55" ht="18" customHeight="1">
      <c r="A55" s="1" t="n"/>
      <c r="B55" s="1" t="n"/>
      <c r="C55" s="2" t="n"/>
      <c r="D55" s="83">
        <f>Kalkulasi!H375</f>
        <v/>
      </c>
      <c r="F55" s="68">
        <f>Kalkulasi!I375</f>
        <v/>
      </c>
      <c r="H55" s="70">
        <f>Kalkulasi!J375</f>
        <v/>
      </c>
      <c r="J55" s="70">
        <f>Kalkulasi!K375</f>
        <v/>
      </c>
      <c r="K55" s="92">
        <f>Kalkulasi!L375</f>
        <v/>
      </c>
      <c r="L55" s="67">
        <f>IF(Kalkulasi!K399=0,"",Kalkulasi!H399)</f>
        <v/>
      </c>
      <c r="N55" s="68">
        <f>IF(Kalkulasi!K399=0,"",Kalkulasi!I399)</f>
        <v/>
      </c>
      <c r="P55" s="83">
        <f>IF(Kalkulasi!K399=0,"",Kalkulasi!J399)</f>
        <v/>
      </c>
      <c r="Q55" s="93">
        <f>Kalkulasi!K399</f>
        <v/>
      </c>
      <c r="S55" s="69">
        <f>IF(Kalkulasi!K399=0,"",IF(Kalkulasi!L399="","–",Kalkulasi!L399))</f>
        <v/>
      </c>
      <c r="T55" s="94">
        <f>IF(Kalkulasi!K399=0,"",IF(Kalkulasi!M399="",IF(Kalkulasi!L399=0,"HM 0","–"),Kalkulasi!M399))</f>
        <v/>
      </c>
      <c r="U55" s="78" t="inlineStr"/>
      <c r="V55" s="2" t="n"/>
    </row>
    <row r="56" ht="18" customHeight="1">
      <c r="A56" s="1" t="n"/>
      <c r="B56" s="1" t="n"/>
      <c r="C56" s="2" t="n"/>
      <c r="D56" s="83">
        <f>Kalkulasi!H376</f>
        <v/>
      </c>
      <c r="F56" s="68">
        <f>Kalkulasi!I376</f>
        <v/>
      </c>
      <c r="H56" s="70">
        <f>Kalkulasi!J376</f>
        <v/>
      </c>
      <c r="J56" s="70">
        <f>Kalkulasi!K376</f>
        <v/>
      </c>
      <c r="K56" s="92">
        <f>Kalkulasi!L376</f>
        <v/>
      </c>
      <c r="L56" s="67">
        <f>IF(Kalkulasi!K400=0,"",Kalkulasi!H400)</f>
        <v/>
      </c>
      <c r="N56" s="68">
        <f>IF(Kalkulasi!K400=0,"",Kalkulasi!I400)</f>
        <v/>
      </c>
      <c r="P56" s="83">
        <f>IF(Kalkulasi!K400=0,"",Kalkulasi!J400)</f>
        <v/>
      </c>
      <c r="Q56" s="93">
        <f>Kalkulasi!K400</f>
        <v/>
      </c>
      <c r="S56" s="69">
        <f>IF(Kalkulasi!K400=0,"",IF(Kalkulasi!L400="","–",Kalkulasi!L400))</f>
        <v/>
      </c>
      <c r="T56" s="94">
        <f>IF(Kalkulasi!K400=0,"",IF(Kalkulasi!M400="",IF(Kalkulasi!L400=0,"HM 0","–"),Kalkulasi!M400))</f>
        <v/>
      </c>
      <c r="U56" s="78" t="inlineStr"/>
      <c r="V56" s="2" t="n"/>
    </row>
    <row r="57" ht="18" customHeight="1">
      <c r="A57" s="1" t="n"/>
      <c r="B57" s="1" t="n"/>
      <c r="C57" s="2" t="n"/>
      <c r="D57" s="83">
        <f>Kalkulasi!H377</f>
        <v/>
      </c>
      <c r="F57" s="68">
        <f>Kalkulasi!I377</f>
        <v/>
      </c>
      <c r="H57" s="70">
        <f>Kalkulasi!J377</f>
        <v/>
      </c>
      <c r="J57" s="70">
        <f>Kalkulasi!K377</f>
        <v/>
      </c>
      <c r="K57" s="92">
        <f>Kalkulasi!L377</f>
        <v/>
      </c>
      <c r="L57" s="67">
        <f>IF(Kalkulasi!K401=0,"",Kalkulasi!H401)</f>
        <v/>
      </c>
      <c r="N57" s="68">
        <f>IF(Kalkulasi!K401=0,"",Kalkulasi!I401)</f>
        <v/>
      </c>
      <c r="P57" s="83">
        <f>IF(Kalkulasi!K401=0,"",Kalkulasi!J401)</f>
        <v/>
      </c>
      <c r="Q57" s="93">
        <f>Kalkulasi!K401</f>
        <v/>
      </c>
      <c r="S57" s="69">
        <f>IF(Kalkulasi!K401=0,"",IF(Kalkulasi!L401="","–",Kalkulasi!L401))</f>
        <v/>
      </c>
      <c r="T57" s="94">
        <f>IF(Kalkulasi!K401=0,"",IF(Kalkulasi!M401="",IF(Kalkulasi!L401=0,"HM 0","–"),Kalkulasi!M401))</f>
        <v/>
      </c>
      <c r="U57" s="78" t="inlineStr"/>
      <c r="V57" s="2" t="n"/>
    </row>
    <row r="58" ht="18" customHeight="1">
      <c r="A58" s="1" t="n"/>
      <c r="B58" s="1" t="n"/>
      <c r="C58" s="2" t="n"/>
      <c r="D58" s="83">
        <f>Kalkulasi!H378</f>
        <v/>
      </c>
      <c r="F58" s="68">
        <f>Kalkulasi!I378</f>
        <v/>
      </c>
      <c r="H58" s="70">
        <f>Kalkulasi!J378</f>
        <v/>
      </c>
      <c r="J58" s="70">
        <f>Kalkulasi!K378</f>
        <v/>
      </c>
      <c r="K58" s="92">
        <f>Kalkulasi!L378</f>
        <v/>
      </c>
      <c r="L58" s="67">
        <f>IF(Kalkulasi!K402=0,"",Kalkulasi!H402)</f>
        <v/>
      </c>
      <c r="N58" s="68">
        <f>IF(Kalkulasi!K402=0,"",Kalkulasi!I402)</f>
        <v/>
      </c>
      <c r="P58" s="83">
        <f>IF(Kalkulasi!K402=0,"",Kalkulasi!J402)</f>
        <v/>
      </c>
      <c r="Q58" s="93">
        <f>Kalkulasi!K402</f>
        <v/>
      </c>
      <c r="S58" s="69">
        <f>IF(Kalkulasi!K402=0,"",IF(Kalkulasi!L402="","–",Kalkulasi!L402))</f>
        <v/>
      </c>
      <c r="T58" s="94">
        <f>IF(Kalkulasi!K402=0,"",IF(Kalkulasi!M402="",IF(Kalkulasi!L402=0,"HM 0","–"),Kalkulasi!M402))</f>
        <v/>
      </c>
      <c r="U58" s="78" t="inlineStr"/>
      <c r="V58" s="2" t="n"/>
    </row>
    <row r="59" ht="18" customHeight="1">
      <c r="A59" s="1" t="n"/>
      <c r="B59" s="1" t="n"/>
      <c r="C59" s="2" t="n"/>
      <c r="D59" s="83">
        <f>Kalkulasi!H379</f>
        <v/>
      </c>
      <c r="F59" s="68">
        <f>Kalkulasi!I379</f>
        <v/>
      </c>
      <c r="H59" s="70">
        <f>Kalkulasi!J379</f>
        <v/>
      </c>
      <c r="J59" s="70">
        <f>Kalkulasi!K379</f>
        <v/>
      </c>
      <c r="K59" s="92">
        <f>Kalkulasi!L379</f>
        <v/>
      </c>
      <c r="L59" s="67">
        <f>IF(Kalkulasi!K403=0,"",Kalkulasi!H403)</f>
        <v/>
      </c>
      <c r="N59" s="68">
        <f>IF(Kalkulasi!K403=0,"",Kalkulasi!I403)</f>
        <v/>
      </c>
      <c r="P59" s="83">
        <f>IF(Kalkulasi!K403=0,"",Kalkulasi!J403)</f>
        <v/>
      </c>
      <c r="Q59" s="93">
        <f>Kalkulasi!K403</f>
        <v/>
      </c>
      <c r="S59" s="69">
        <f>IF(Kalkulasi!K403=0,"",IF(Kalkulasi!L403="","–",Kalkulasi!L403))</f>
        <v/>
      </c>
      <c r="T59" s="94">
        <f>IF(Kalkulasi!K403=0,"",IF(Kalkulasi!M403="",IF(Kalkulasi!L403=0,"HM 0","–"),Kalkulasi!M403))</f>
        <v/>
      </c>
      <c r="U59" s="78" t="inlineStr"/>
      <c r="V59" s="2" t="n"/>
    </row>
    <row r="60" ht="18" customHeight="1">
      <c r="A60" s="1" t="n"/>
      <c r="B60" s="1" t="n"/>
      <c r="C60" s="2" t="n"/>
      <c r="D60" s="83">
        <f>Kalkulasi!H380</f>
        <v/>
      </c>
      <c r="F60" s="68">
        <f>Kalkulasi!I380</f>
        <v/>
      </c>
      <c r="H60" s="70">
        <f>Kalkulasi!J380</f>
        <v/>
      </c>
      <c r="J60" s="70">
        <f>Kalkulasi!K380</f>
        <v/>
      </c>
      <c r="K60" s="92">
        <f>Kalkulasi!L380</f>
        <v/>
      </c>
      <c r="L60" s="67">
        <f>IF(Kalkulasi!K404=0,"",Kalkulasi!H404)</f>
        <v/>
      </c>
      <c r="N60" s="68">
        <f>IF(Kalkulasi!K404=0,"",Kalkulasi!I404)</f>
        <v/>
      </c>
      <c r="P60" s="83">
        <f>IF(Kalkulasi!K404=0,"",Kalkulasi!J404)</f>
        <v/>
      </c>
      <c r="Q60" s="93">
        <f>Kalkulasi!K404</f>
        <v/>
      </c>
      <c r="S60" s="69">
        <f>IF(Kalkulasi!K404=0,"",IF(Kalkulasi!L404="","–",Kalkulasi!L404))</f>
        <v/>
      </c>
      <c r="T60" s="94">
        <f>IF(Kalkulasi!K404=0,"",IF(Kalkulasi!M404="",IF(Kalkulasi!L404=0,"HM 0","–"),Kalkulasi!M404))</f>
        <v/>
      </c>
      <c r="U60" s="78" t="inlineStr"/>
      <c r="V60" s="2" t="n"/>
    </row>
    <row r="61" ht="18" customHeight="1">
      <c r="A61" s="1" t="n"/>
      <c r="B61" s="1" t="n"/>
      <c r="C61" s="2" t="n"/>
      <c r="D61" s="83">
        <f>Kalkulasi!H381</f>
        <v/>
      </c>
      <c r="F61" s="68">
        <f>Kalkulasi!I381</f>
        <v/>
      </c>
      <c r="H61" s="70">
        <f>Kalkulasi!J381</f>
        <v/>
      </c>
      <c r="J61" s="70">
        <f>Kalkulasi!K381</f>
        <v/>
      </c>
      <c r="K61" s="92">
        <f>Kalkulasi!L381</f>
        <v/>
      </c>
      <c r="L61" s="67">
        <f>IF(Kalkulasi!K405=0,"",Kalkulasi!H405)</f>
        <v/>
      </c>
      <c r="N61" s="68">
        <f>IF(Kalkulasi!K405=0,"",Kalkulasi!I405)</f>
        <v/>
      </c>
      <c r="P61" s="83">
        <f>IF(Kalkulasi!K405=0,"",Kalkulasi!J405)</f>
        <v/>
      </c>
      <c r="Q61" s="93">
        <f>Kalkulasi!K405</f>
        <v/>
      </c>
      <c r="S61" s="69">
        <f>IF(Kalkulasi!K405=0,"",IF(Kalkulasi!L405="","–",Kalkulasi!L405))</f>
        <v/>
      </c>
      <c r="T61" s="94">
        <f>IF(Kalkulasi!K405=0,"",IF(Kalkulasi!M405="",IF(Kalkulasi!L405=0,"HM 0","–"),Kalkulasi!M405))</f>
        <v/>
      </c>
      <c r="U61" s="78" t="inlineStr"/>
      <c r="V61" s="2" t="n"/>
    </row>
    <row r="62" ht="18" customHeight="1">
      <c r="A62" s="1" t="n"/>
      <c r="B62" s="1" t="n"/>
      <c r="C62" s="2" t="n"/>
      <c r="D62" s="83">
        <f>Kalkulasi!H382</f>
        <v/>
      </c>
      <c r="F62" s="68">
        <f>Kalkulasi!I382</f>
        <v/>
      </c>
      <c r="H62" s="70">
        <f>Kalkulasi!J382</f>
        <v/>
      </c>
      <c r="J62" s="70">
        <f>Kalkulasi!K382</f>
        <v/>
      </c>
      <c r="K62" s="92">
        <f>Kalkulasi!L382</f>
        <v/>
      </c>
      <c r="L62" s="67">
        <f>IF(Kalkulasi!K406=0,"",Kalkulasi!H406)</f>
        <v/>
      </c>
      <c r="N62" s="68">
        <f>IF(Kalkulasi!K406=0,"",Kalkulasi!I406)</f>
        <v/>
      </c>
      <c r="P62" s="83">
        <f>IF(Kalkulasi!K406=0,"",Kalkulasi!J406)</f>
        <v/>
      </c>
      <c r="Q62" s="93">
        <f>Kalkulasi!K406</f>
        <v/>
      </c>
      <c r="S62" s="69">
        <f>IF(Kalkulasi!K406=0,"",IF(Kalkulasi!L406="","–",Kalkulasi!L406))</f>
        <v/>
      </c>
      <c r="T62" s="94">
        <f>IF(Kalkulasi!K406=0,"",IF(Kalkulasi!M406="",IF(Kalkulasi!L406=0,"HM 0","–"),Kalkulasi!M406))</f>
        <v/>
      </c>
      <c r="U62" s="78" t="inlineStr"/>
      <c r="V62" s="2" t="n"/>
    </row>
    <row r="63" ht="18" customHeight="1">
      <c r="A63" s="1" t="n"/>
      <c r="B63" s="1" t="n"/>
      <c r="C63" s="2" t="n"/>
      <c r="D63" s="83">
        <f>Kalkulasi!H383</f>
        <v/>
      </c>
      <c r="F63" s="68">
        <f>Kalkulasi!I383</f>
        <v/>
      </c>
      <c r="H63" s="70">
        <f>Kalkulasi!J383</f>
        <v/>
      </c>
      <c r="J63" s="70">
        <f>Kalkulasi!K383</f>
        <v/>
      </c>
      <c r="K63" s="92">
        <f>Kalkulasi!L383</f>
        <v/>
      </c>
      <c r="L63" s="67">
        <f>IF(Kalkulasi!K407=0,"",Kalkulasi!H407)</f>
        <v/>
      </c>
      <c r="N63" s="68">
        <f>IF(Kalkulasi!K407=0,"",Kalkulasi!I407)</f>
        <v/>
      </c>
      <c r="P63" s="83">
        <f>IF(Kalkulasi!K407=0,"",Kalkulasi!J407)</f>
        <v/>
      </c>
      <c r="Q63" s="93">
        <f>Kalkulasi!K407</f>
        <v/>
      </c>
      <c r="S63" s="69">
        <f>IF(Kalkulasi!K407=0,"",IF(Kalkulasi!L407="","–",Kalkulasi!L407))</f>
        <v/>
      </c>
      <c r="T63" s="94">
        <f>IF(Kalkulasi!K407=0,"",IF(Kalkulasi!M407="",IF(Kalkulasi!L407=0,"HM 0","–"),Kalkulasi!M407))</f>
        <v/>
      </c>
      <c r="U63" s="78" t="inlineStr"/>
      <c r="V63" s="2" t="n"/>
    </row>
    <row r="64" ht="18" customHeight="1">
      <c r="A64" s="1" t="n"/>
      <c r="B64" s="1" t="n"/>
      <c r="C64" s="2" t="n"/>
      <c r="D64" s="83">
        <f>Kalkulasi!H384</f>
        <v/>
      </c>
      <c r="F64" s="68">
        <f>Kalkulasi!I384</f>
        <v/>
      </c>
      <c r="H64" s="70">
        <f>Kalkulasi!J384</f>
        <v/>
      </c>
      <c r="J64" s="70">
        <f>Kalkulasi!K384</f>
        <v/>
      </c>
      <c r="K64" s="92">
        <f>Kalkulasi!L384</f>
        <v/>
      </c>
      <c r="L64" s="67">
        <f>IF(Kalkulasi!K408=0,"",Kalkulasi!H408)</f>
        <v/>
      </c>
      <c r="N64" s="68">
        <f>IF(Kalkulasi!K408=0,"",Kalkulasi!I408)</f>
        <v/>
      </c>
      <c r="P64" s="83">
        <f>IF(Kalkulasi!K408=0,"",Kalkulasi!J408)</f>
        <v/>
      </c>
      <c r="Q64" s="93">
        <f>Kalkulasi!K408</f>
        <v/>
      </c>
      <c r="S64" s="69">
        <f>IF(Kalkulasi!K408=0,"",IF(Kalkulasi!L408="","–",Kalkulasi!L408))</f>
        <v/>
      </c>
      <c r="T64" s="94">
        <f>IF(Kalkulasi!K408=0,"",IF(Kalkulasi!M408="",IF(Kalkulasi!L408=0,"HM 0","–"),Kalkulasi!M408))</f>
        <v/>
      </c>
      <c r="U64" s="78" t="inlineStr"/>
      <c r="V64" s="2" t="n"/>
    </row>
    <row r="65" ht="18" customHeight="1">
      <c r="A65" s="1" t="n"/>
      <c r="B65" s="1" t="n"/>
      <c r="C65" s="2" t="n"/>
      <c r="D65" s="83">
        <f>Kalkulasi!H385</f>
        <v/>
      </c>
      <c r="F65" s="68">
        <f>Kalkulasi!I385</f>
        <v/>
      </c>
      <c r="H65" s="70">
        <f>Kalkulasi!J385</f>
        <v/>
      </c>
      <c r="J65" s="70">
        <f>Kalkulasi!K385</f>
        <v/>
      </c>
      <c r="K65" s="92">
        <f>Kalkulasi!L385</f>
        <v/>
      </c>
      <c r="L65" s="67">
        <f>IF(Kalkulasi!K409=0,"",Kalkulasi!H409)</f>
        <v/>
      </c>
      <c r="N65" s="68">
        <f>IF(Kalkulasi!K409=0,"",Kalkulasi!I409)</f>
        <v/>
      </c>
      <c r="P65" s="83">
        <f>IF(Kalkulasi!K409=0,"",Kalkulasi!J409)</f>
        <v/>
      </c>
      <c r="Q65" s="93">
        <f>Kalkulasi!K409</f>
        <v/>
      </c>
      <c r="S65" s="69">
        <f>IF(Kalkulasi!K409=0,"",IF(Kalkulasi!L409="","–",Kalkulasi!L409))</f>
        <v/>
      </c>
      <c r="T65" s="94">
        <f>IF(Kalkulasi!K409=0,"",IF(Kalkulasi!M409="",IF(Kalkulasi!L409=0,"HM 0","–"),Kalkulasi!M409))</f>
        <v/>
      </c>
      <c r="U65" s="78" t="inlineStr"/>
      <c r="V65" s="2" t="n"/>
    </row>
    <row r="66" ht="18" customHeight="1">
      <c r="A66" s="1" t="n"/>
      <c r="B66" s="1" t="n"/>
      <c r="C66" s="2" t="n"/>
      <c r="D66" s="83">
        <f>Kalkulasi!H386</f>
        <v/>
      </c>
      <c r="F66" s="68">
        <f>Kalkulasi!I386</f>
        <v/>
      </c>
      <c r="H66" s="70">
        <f>Kalkulasi!J386</f>
        <v/>
      </c>
      <c r="J66" s="70">
        <f>Kalkulasi!K386</f>
        <v/>
      </c>
      <c r="K66" s="92">
        <f>Kalkulasi!L386</f>
        <v/>
      </c>
      <c r="L66" s="67">
        <f>IF(Kalkulasi!K410=0,"",Kalkulasi!H410)</f>
        <v/>
      </c>
      <c r="N66" s="68">
        <f>IF(Kalkulasi!K410=0,"",Kalkulasi!I410)</f>
        <v/>
      </c>
      <c r="P66" s="83">
        <f>IF(Kalkulasi!K410=0,"",Kalkulasi!J410)</f>
        <v/>
      </c>
      <c r="Q66" s="93">
        <f>Kalkulasi!K410</f>
        <v/>
      </c>
      <c r="S66" s="69">
        <f>IF(Kalkulasi!K410=0,"",IF(Kalkulasi!L410="","–",Kalkulasi!L410))</f>
        <v/>
      </c>
      <c r="T66" s="94">
        <f>IF(Kalkulasi!K410=0,"",IF(Kalkulasi!M410="",IF(Kalkulasi!L410=0,"HM 0","–"),Kalkulasi!M410))</f>
        <v/>
      </c>
      <c r="U66" s="78" t="inlineStr"/>
      <c r="V66" s="2" t="n"/>
    </row>
    <row r="67" ht="18" customHeight="1">
      <c r="A67" s="1" t="n"/>
      <c r="B67" s="1" t="n"/>
      <c r="C67" s="2" t="n"/>
      <c r="D67" s="83">
        <f>Kalkulasi!H387</f>
        <v/>
      </c>
      <c r="F67" s="68">
        <f>Kalkulasi!I387</f>
        <v/>
      </c>
      <c r="H67" s="70">
        <f>Kalkulasi!J387</f>
        <v/>
      </c>
      <c r="J67" s="70">
        <f>Kalkulasi!K387</f>
        <v/>
      </c>
      <c r="K67" s="92">
        <f>Kalkulasi!L387</f>
        <v/>
      </c>
      <c r="L67" s="67">
        <f>IF(Kalkulasi!K411=0,"",Kalkulasi!H411)</f>
        <v/>
      </c>
      <c r="N67" s="68">
        <f>IF(Kalkulasi!K411=0,"",Kalkulasi!I411)</f>
        <v/>
      </c>
      <c r="P67" s="83">
        <f>IF(Kalkulasi!K411=0,"",Kalkulasi!J411)</f>
        <v/>
      </c>
      <c r="Q67" s="93">
        <f>Kalkulasi!K411</f>
        <v/>
      </c>
      <c r="S67" s="69">
        <f>IF(Kalkulasi!K411=0,"",IF(Kalkulasi!L411="","–",Kalkulasi!L411))</f>
        <v/>
      </c>
      <c r="T67" s="94">
        <f>IF(Kalkulasi!K411=0,"",IF(Kalkulasi!M411="",IF(Kalkulasi!L411=0,"HM 0","–"),Kalkulasi!M411))</f>
        <v/>
      </c>
      <c r="U67" s="78" t="inlineStr"/>
      <c r="V67" s="2" t="n"/>
    </row>
    <row r="68" ht="18" customHeight="1">
      <c r="A68" s="1" t="n"/>
      <c r="B68" s="1" t="n"/>
      <c r="C68" s="2" t="n"/>
      <c r="D68" s="83">
        <f>Kalkulasi!H388</f>
        <v/>
      </c>
      <c r="F68" s="68">
        <f>Kalkulasi!I388</f>
        <v/>
      </c>
      <c r="H68" s="70">
        <f>Kalkulasi!J388</f>
        <v/>
      </c>
      <c r="J68" s="70">
        <f>Kalkulasi!K388</f>
        <v/>
      </c>
      <c r="K68" s="92">
        <f>Kalkulasi!L388</f>
        <v/>
      </c>
      <c r="L68" s="67">
        <f>IF(Kalkulasi!K412=0,"",Kalkulasi!H412)</f>
        <v/>
      </c>
      <c r="N68" s="68">
        <f>IF(Kalkulasi!K412=0,"",Kalkulasi!I412)</f>
        <v/>
      </c>
      <c r="P68" s="83">
        <f>IF(Kalkulasi!K412=0,"",Kalkulasi!J412)</f>
        <v/>
      </c>
      <c r="Q68" s="93">
        <f>Kalkulasi!K412</f>
        <v/>
      </c>
      <c r="S68" s="69">
        <f>IF(Kalkulasi!K412=0,"",IF(Kalkulasi!L412="","–",Kalkulasi!L412))</f>
        <v/>
      </c>
      <c r="T68" s="94">
        <f>IF(Kalkulasi!K412=0,"",IF(Kalkulasi!M412="",IF(Kalkulasi!L412=0,"HM 0","–"),Kalkulasi!M412))</f>
        <v/>
      </c>
      <c r="U68" s="78" t="inlineStr"/>
      <c r="V68" s="2" t="n"/>
    </row>
    <row r="69" ht="18" customHeight="1">
      <c r="A69" s="1" t="n"/>
      <c r="B69" s="1" t="n"/>
      <c r="C69" s="2" t="n"/>
      <c r="D69" s="83">
        <f>Kalkulasi!H389</f>
        <v/>
      </c>
      <c r="F69" s="68">
        <f>Kalkulasi!I389</f>
        <v/>
      </c>
      <c r="H69" s="70">
        <f>Kalkulasi!J389</f>
        <v/>
      </c>
      <c r="J69" s="70">
        <f>Kalkulasi!K389</f>
        <v/>
      </c>
      <c r="K69" s="92">
        <f>Kalkulasi!L389</f>
        <v/>
      </c>
      <c r="L69" s="67">
        <f>IF(Kalkulasi!K413=0,"",Kalkulasi!H413)</f>
        <v/>
      </c>
      <c r="N69" s="68">
        <f>IF(Kalkulasi!K413=0,"",Kalkulasi!I413)</f>
        <v/>
      </c>
      <c r="P69" s="83">
        <f>IF(Kalkulasi!K413=0,"",Kalkulasi!J413)</f>
        <v/>
      </c>
      <c r="Q69" s="93">
        <f>Kalkulasi!K413</f>
        <v/>
      </c>
      <c r="S69" s="69">
        <f>IF(Kalkulasi!K413=0,"",IF(Kalkulasi!L413="","–",Kalkulasi!L413))</f>
        <v/>
      </c>
      <c r="T69" s="94">
        <f>IF(Kalkulasi!K413=0,"",IF(Kalkulasi!M413="",IF(Kalkulasi!L413=0,"HM 0","–"),Kalkulasi!M413))</f>
        <v/>
      </c>
      <c r="U69" s="78" t="inlineStr"/>
      <c r="V69" s="2" t="n"/>
    </row>
    <row r="70" ht="18" customHeight="1">
      <c r="A70" s="1" t="n"/>
      <c r="B70" s="1" t="n"/>
      <c r="C70" s="2" t="n"/>
      <c r="D70" s="83">
        <f>Kalkulasi!H390</f>
        <v/>
      </c>
      <c r="F70" s="68">
        <f>Kalkulasi!I390</f>
        <v/>
      </c>
      <c r="H70" s="70">
        <f>Kalkulasi!J390</f>
        <v/>
      </c>
      <c r="J70" s="70">
        <f>Kalkulasi!K390</f>
        <v/>
      </c>
      <c r="K70" s="92">
        <f>Kalkulasi!L390</f>
        <v/>
      </c>
      <c r="L70" s="67">
        <f>IF(Kalkulasi!K414=0,"",Kalkulasi!H414)</f>
        <v/>
      </c>
      <c r="N70" s="68">
        <f>IF(Kalkulasi!K414=0,"",Kalkulasi!I414)</f>
        <v/>
      </c>
      <c r="P70" s="83">
        <f>IF(Kalkulasi!K414=0,"",Kalkulasi!J414)</f>
        <v/>
      </c>
      <c r="Q70" s="93">
        <f>Kalkulasi!K414</f>
        <v/>
      </c>
      <c r="S70" s="69">
        <f>IF(Kalkulasi!K414=0,"",IF(Kalkulasi!L414="","–",Kalkulasi!L414))</f>
        <v/>
      </c>
      <c r="T70" s="94">
        <f>IF(Kalkulasi!K414=0,"",IF(Kalkulasi!M414="",IF(Kalkulasi!L414=0,"HM 0","–"),Kalkulasi!M414))</f>
        <v/>
      </c>
      <c r="U70" s="78" t="inlineStr"/>
      <c r="V70" s="2" t="n"/>
    </row>
    <row r="71" ht="18" customHeight="1">
      <c r="A71" s="1" t="n"/>
      <c r="B71" s="1" t="n"/>
      <c r="C71" s="2" t="n"/>
      <c r="D71" s="83">
        <f>Kalkulasi!H391</f>
        <v/>
      </c>
      <c r="F71" s="68">
        <f>Kalkulasi!I391</f>
        <v/>
      </c>
      <c r="H71" s="70">
        <f>Kalkulasi!J391</f>
        <v/>
      </c>
      <c r="J71" s="70">
        <f>Kalkulasi!K391</f>
        <v/>
      </c>
      <c r="K71" s="92">
        <f>Kalkulasi!L391</f>
        <v/>
      </c>
      <c r="L71" s="67">
        <f>IF(Kalkulasi!K415=0,"",Kalkulasi!H415)</f>
        <v/>
      </c>
      <c r="N71" s="68">
        <f>IF(Kalkulasi!K415=0,"",Kalkulasi!I415)</f>
        <v/>
      </c>
      <c r="P71" s="83">
        <f>IF(Kalkulasi!K415=0,"",Kalkulasi!J415)</f>
        <v/>
      </c>
      <c r="Q71" s="93">
        <f>Kalkulasi!K415</f>
        <v/>
      </c>
      <c r="S71" s="69">
        <f>IF(Kalkulasi!K415=0,"",IF(Kalkulasi!L415="","–",Kalkulasi!L415))</f>
        <v/>
      </c>
      <c r="T71" s="94">
        <f>IF(Kalkulasi!K415=0,"",IF(Kalkulasi!M415="",IF(Kalkulasi!L415=0,"HM 0","–"),Kalkulasi!M415))</f>
        <v/>
      </c>
      <c r="U71" s="78" t="inlineStr"/>
      <c r="V71" s="2" t="n"/>
    </row>
    <row r="72">
      <c r="A72" s="1" t="n"/>
      <c r="B72" s="1" t="n"/>
      <c r="C72" s="2" t="n"/>
      <c r="D72" s="44" t="n"/>
      <c r="E72" s="45" t="n"/>
      <c r="F72" s="45" t="n"/>
      <c r="G72" s="45" t="n"/>
      <c r="H72" s="45" t="n"/>
      <c r="I72" s="45" t="n"/>
      <c r="J72" s="45" t="n"/>
      <c r="K72" s="46" t="n"/>
      <c r="L72" s="44" t="n"/>
      <c r="M72" s="45" t="n"/>
      <c r="N72" s="45" t="n"/>
      <c r="O72" s="45" t="n"/>
      <c r="P72" s="45" t="n"/>
      <c r="Q72" s="45" t="n"/>
      <c r="R72" s="45" t="n"/>
      <c r="S72" s="45" t="n"/>
      <c r="T72" s="45" t="n"/>
      <c r="U72" s="46" t="n"/>
      <c r="V72" s="2" t="n"/>
    </row>
    <row r="73">
      <c r="A73" s="1" t="n"/>
      <c r="B73" s="1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</row>
    <row r="74">
      <c r="A74" s="1" t="n"/>
      <c r="B74" s="1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</row>
    <row r="75">
      <c r="A75" s="1" t="n"/>
      <c r="B75" s="1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</row>
    <row r="76">
      <c r="A76" s="1" t="n"/>
      <c r="B76" s="1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</row>
    <row r="77">
      <c r="A77" s="1" t="n"/>
      <c r="B77" s="1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</row>
    <row r="78">
      <c r="A78" s="1" t="n"/>
      <c r="B78" s="1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</row>
    <row r="79">
      <c r="A79" s="1" t="n"/>
      <c r="B79" s="1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</row>
    <row r="80">
      <c r="A80" s="1" t="n"/>
      <c r="B80" s="1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</row>
    <row r="81">
      <c r="A81" s="1" t="n"/>
      <c r="B81" s="1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</row>
    <row r="82">
      <c r="A82" s="1" t="n"/>
      <c r="B82" s="1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</row>
    <row r="83">
      <c r="A83" s="1" t="n"/>
      <c r="B83" s="1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</row>
    <row r="84">
      <c r="A84" s="1" t="n"/>
      <c r="B84" s="1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</row>
    <row r="85">
      <c r="A85" s="1" t="n"/>
      <c r="B85" s="1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</row>
    <row r="86">
      <c r="A86" s="1" t="n"/>
      <c r="B86" s="1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</row>
    <row r="87">
      <c r="A87" s="1" t="n"/>
      <c r="B87" s="1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</row>
    <row r="88">
      <c r="A88" s="1" t="n"/>
      <c r="B88" s="1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</row>
    <row r="89">
      <c r="A89" s="1" t="n"/>
      <c r="B89" s="1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</row>
    <row r="90">
      <c r="A90" s="1" t="n"/>
      <c r="B90" s="1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</row>
    <row r="91">
      <c r="A91" s="1" t="n"/>
      <c r="B91" s="1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</row>
    <row r="92">
      <c r="A92" s="1" t="n"/>
      <c r="B92" s="1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</row>
    <row r="93">
      <c r="A93" s="1" t="n"/>
      <c r="B93" s="1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</row>
    <row r="94">
      <c r="A94" s="1" t="n"/>
      <c r="B94" s="1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</row>
    <row r="95">
      <c r="A95" s="1" t="n"/>
      <c r="B95" s="1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</row>
    <row r="96">
      <c r="A96" s="1" t="n"/>
      <c r="B96" s="1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</row>
    <row r="97">
      <c r="A97" s="1" t="n"/>
      <c r="B97" s="1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</row>
    <row r="98">
      <c r="A98" s="1" t="n"/>
      <c r="B98" s="1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</row>
    <row r="99">
      <c r="A99" s="1" t="n"/>
      <c r="B99" s="1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</row>
    <row r="100">
      <c r="A100" s="1" t="n"/>
      <c r="B100" s="1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</row>
    <row r="101">
      <c r="A101" s="1" t="n"/>
      <c r="B101" s="1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</row>
    <row r="102">
      <c r="A102" s="1" t="n"/>
      <c r="B102" s="1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</row>
    <row r="103">
      <c r="A103" s="1" t="n"/>
      <c r="B103" s="1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</row>
    <row r="104">
      <c r="A104" s="1" t="n"/>
      <c r="B104" s="1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</row>
    <row r="105">
      <c r="A105" s="1" t="n"/>
      <c r="B105" s="1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</row>
    <row r="106">
      <c r="A106" s="1" t="n"/>
      <c r="B106" s="1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</row>
    <row r="107">
      <c r="A107" s="1" t="n"/>
      <c r="B107" s="1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</row>
    <row r="108">
      <c r="A108" s="1" t="n"/>
      <c r="B108" s="1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</row>
    <row r="109">
      <c r="A109" s="1" t="n"/>
      <c r="B109" s="1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</row>
    <row r="110">
      <c r="A110" s="1" t="n"/>
      <c r="B110" s="1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</row>
    <row r="111">
      <c r="A111" s="1" t="n"/>
      <c r="B111" s="1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</row>
    <row r="112">
      <c r="A112" s="1" t="n"/>
      <c r="B112" s="1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</row>
    <row r="113">
      <c r="A113" s="1" t="n"/>
      <c r="B113" s="1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</row>
    <row r="114">
      <c r="A114" s="1" t="n"/>
      <c r="B114" s="1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</row>
    <row r="115">
      <c r="A115" s="1" t="n"/>
      <c r="B115" s="1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</row>
    <row r="116">
      <c r="A116" s="1" t="n"/>
      <c r="B116" s="1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</row>
    <row r="117">
      <c r="A117" s="1" t="n"/>
      <c r="B117" s="1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</row>
    <row r="118">
      <c r="A118" s="1" t="n"/>
      <c r="B118" s="1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</row>
    <row r="119">
      <c r="A119" s="1" t="n"/>
      <c r="B119" s="1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</row>
    <row r="120">
      <c r="A120" s="1" t="n"/>
      <c r="B120" s="1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</row>
    <row r="121">
      <c r="A121" s="1" t="n"/>
      <c r="B121" s="1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</row>
    <row r="122">
      <c r="A122" s="1" t="n"/>
      <c r="B122" s="1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</row>
    <row r="123">
      <c r="A123" s="1" t="n"/>
      <c r="B123" s="1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</row>
    <row r="124">
      <c r="A124" s="1" t="n"/>
      <c r="B124" s="1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</row>
    <row r="125">
      <c r="A125" s="1" t="n"/>
      <c r="B125" s="1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</row>
    <row r="126">
      <c r="A126" s="1" t="n"/>
      <c r="B126" s="1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</row>
    <row r="127">
      <c r="A127" s="1" t="n"/>
      <c r="B127" s="1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</row>
    <row r="128">
      <c r="A128" s="1" t="n"/>
      <c r="B128" s="1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</row>
    <row r="129">
      <c r="A129" s="1" t="n"/>
      <c r="B129" s="1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</row>
    <row r="130">
      <c r="A130" s="1" t="n"/>
      <c r="B130" s="1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</row>
  </sheetData>
  <mergeCells count="126">
    <mergeCell ref="D60:E60"/>
    <mergeCell ref="D11:F11"/>
    <mergeCell ref="F68:G68"/>
    <mergeCell ref="Q62:R62"/>
    <mergeCell ref="L66:M66"/>
    <mergeCell ref="H55:I55"/>
    <mergeCell ref="N66:O66"/>
    <mergeCell ref="Q71:R71"/>
    <mergeCell ref="J11:L11"/>
    <mergeCell ref="Q55:R55"/>
    <mergeCell ref="Q64:R64"/>
    <mergeCell ref="L68:M68"/>
    <mergeCell ref="N68:O68"/>
    <mergeCell ref="D9:F9"/>
    <mergeCell ref="D61:E61"/>
    <mergeCell ref="D70:E70"/>
    <mergeCell ref="Q63:R63"/>
    <mergeCell ref="N61:O61"/>
    <mergeCell ref="F70:G70"/>
    <mergeCell ref="G9:I9"/>
    <mergeCell ref="D62:E62"/>
    <mergeCell ref="D56:E56"/>
    <mergeCell ref="D71:E71"/>
    <mergeCell ref="F56:G56"/>
    <mergeCell ref="F71:G71"/>
    <mergeCell ref="H65:I65"/>
    <mergeCell ref="D64:E64"/>
    <mergeCell ref="H62:I62"/>
    <mergeCell ref="M9:O9"/>
    <mergeCell ref="H71:I71"/>
    <mergeCell ref="L65:M65"/>
    <mergeCell ref="N65:O65"/>
    <mergeCell ref="Q66:R66"/>
    <mergeCell ref="S11:U11"/>
    <mergeCell ref="F57:G57"/>
    <mergeCell ref="M11:O11"/>
    <mergeCell ref="F54:G54"/>
    <mergeCell ref="N63:O63"/>
    <mergeCell ref="Q68:R68"/>
    <mergeCell ref="H54:I54"/>
    <mergeCell ref="F63:G63"/>
    <mergeCell ref="H63:I63"/>
    <mergeCell ref="L57:M57"/>
    <mergeCell ref="H56:I56"/>
    <mergeCell ref="H68:I68"/>
    <mergeCell ref="Q54:R54"/>
    <mergeCell ref="D66:E66"/>
    <mergeCell ref="F66:G66"/>
    <mergeCell ref="H69:I69"/>
    <mergeCell ref="F62:G62"/>
    <mergeCell ref="N67:O67"/>
    <mergeCell ref="Q65:R65"/>
    <mergeCell ref="L69:M69"/>
    <mergeCell ref="N69:O69"/>
    <mergeCell ref="F61:G61"/>
    <mergeCell ref="L59:M59"/>
    <mergeCell ref="Q57:R57"/>
    <mergeCell ref="L61:M61"/>
    <mergeCell ref="N55:O55"/>
    <mergeCell ref="F64:G64"/>
    <mergeCell ref="L70:M70"/>
    <mergeCell ref="N70:O70"/>
    <mergeCell ref="G10:I10"/>
    <mergeCell ref="D63:E63"/>
    <mergeCell ref="N54:O54"/>
    <mergeCell ref="H58:I58"/>
    <mergeCell ref="D65:E65"/>
    <mergeCell ref="N56:O56"/>
    <mergeCell ref="Q67:R67"/>
    <mergeCell ref="H60:I60"/>
    <mergeCell ref="N58:O58"/>
    <mergeCell ref="Q69:R69"/>
    <mergeCell ref="L58:M58"/>
    <mergeCell ref="Q59:R59"/>
    <mergeCell ref="H57:I57"/>
    <mergeCell ref="H66:I66"/>
    <mergeCell ref="N59:O59"/>
    <mergeCell ref="L60:M60"/>
    <mergeCell ref="N60:O60"/>
    <mergeCell ref="Q61:R61"/>
    <mergeCell ref="Q70:R70"/>
    <mergeCell ref="D55:E55"/>
    <mergeCell ref="J10:L10"/>
    <mergeCell ref="D67:E67"/>
    <mergeCell ref="P9:R9"/>
    <mergeCell ref="D54:E54"/>
    <mergeCell ref="J9:L9"/>
    <mergeCell ref="D69:E69"/>
    <mergeCell ref="H67:I67"/>
    <mergeCell ref="F69:G69"/>
    <mergeCell ref="Q56:R56"/>
    <mergeCell ref="M10:O10"/>
    <mergeCell ref="P11:R11"/>
    <mergeCell ref="L67:M67"/>
    <mergeCell ref="F65:G65"/>
    <mergeCell ref="S10:U10"/>
    <mergeCell ref="F59:G59"/>
    <mergeCell ref="F55:G55"/>
    <mergeCell ref="H59:I59"/>
    <mergeCell ref="H64:I64"/>
    <mergeCell ref="D57:E57"/>
    <mergeCell ref="Q58:R58"/>
    <mergeCell ref="L62:M62"/>
    <mergeCell ref="N62:O62"/>
    <mergeCell ref="S9:U9"/>
    <mergeCell ref="L71:M71"/>
    <mergeCell ref="N71:O71"/>
    <mergeCell ref="H61:I61"/>
    <mergeCell ref="H70:I70"/>
    <mergeCell ref="L55:M55"/>
    <mergeCell ref="Q60:R60"/>
    <mergeCell ref="L64:M64"/>
    <mergeCell ref="N64:O64"/>
    <mergeCell ref="L54:M54"/>
    <mergeCell ref="L63:M63"/>
    <mergeCell ref="N57:O57"/>
    <mergeCell ref="D58:E58"/>
    <mergeCell ref="F58:G58"/>
    <mergeCell ref="F67:G67"/>
    <mergeCell ref="G11:I11"/>
    <mergeCell ref="D10:F10"/>
    <mergeCell ref="L56:M56"/>
    <mergeCell ref="D68:E68"/>
    <mergeCell ref="P10:R10"/>
    <mergeCell ref="F60:G60"/>
    <mergeCell ref="D59:E59"/>
  </mergeCells>
  <conditionalFormatting sqref="D10">
    <cfRule type="expression" priority="1" dxfId="0">
      <formula>Kalkulasi!$B$304&lt;=Kalkulasi!$B$306</formula>
    </cfRule>
    <cfRule type="expression" priority="2" dxfId="2">
      <formula>Kalkulasi!$B$304&gt;Kalkulasi!$B$306</formula>
    </cfRule>
  </conditionalFormatting>
  <conditionalFormatting sqref="D11">
    <cfRule type="expression" priority="3" dxfId="3">
      <formula>Kalkulasi!$B$304&lt;=Kalkulasi!$B$306</formula>
    </cfRule>
    <cfRule type="expression" priority="4" dxfId="5">
      <formula>Kalkulasi!$B$304&gt;Kalkulasi!$B$306</formula>
    </cfRule>
  </conditionalFormatting>
  <conditionalFormatting sqref="G10">
    <cfRule type="expression" priority="5" dxfId="0">
      <formula>Kalkulasi!$B$305&lt;=Kalkulasi!$B$307</formula>
    </cfRule>
    <cfRule type="expression" priority="6" dxfId="2">
      <formula>Kalkulasi!$B$305&gt;Kalkulasi!$B$307</formula>
    </cfRule>
  </conditionalFormatting>
  <conditionalFormatting sqref="G11">
    <cfRule type="expression" priority="7" dxfId="3">
      <formula>Kalkulasi!$B$305&lt;=Kalkulasi!$B$307</formula>
    </cfRule>
    <cfRule type="expression" priority="8" dxfId="5">
      <formula>Kalkulasi!$B$305&gt;Kalkulasi!$B$307</formula>
    </cfRule>
  </conditionalFormatting>
  <conditionalFormatting sqref="K54:K71">
    <cfRule type="dataBar" priority="9">
      <dataBar>
        <cfvo type="num" val="0"/>
        <cfvo type="max"/>
        <color rgb="00EBC48F"/>
      </dataBar>
    </cfRule>
  </conditionalFormatting>
  <conditionalFormatting sqref="Q54:Q71">
    <cfRule type="dataBar" priority="10">
      <dataBar>
        <cfvo type="num" val="0"/>
        <cfvo type="max"/>
        <color rgb="009FB3C8"/>
      </dataBar>
    </cfRule>
  </conditionalFormatting>
  <conditionalFormatting sqref="P54:P71">
    <cfRule type="expression" priority="11" dxfId="8">
      <formula>P54="Aux"</formula>
    </cfRule>
  </conditionalFormatting>
  <conditionalFormatting sqref="T54:T71">
    <cfRule type="expression" priority="12" dxfId="7">
      <formula>T54="HM 0"</formula>
    </cfRule>
  </conditionalFormatting>
  <dataValidations count="3">
    <dataValidation sqref="F6" showDropDown="0" showInputMessage="1" showErrorMessage="0" allowBlank="0" prompt="Pilih tanggal mulai" type="list">
      <formula1>=LIST!$M$3:$M$94</formula1>
    </dataValidation>
    <dataValidation sqref="I6" showDropDown="0" showInputMessage="1" showErrorMessage="0" allowBlank="0" prompt="Pilih tanggal akhir" type="list">
      <formula1>=LIST!$M$3:$M$94</formula1>
    </dataValidation>
    <dataValidation sqref="L6" showDropDown="0" showInputMessage="1" showErrorMessage="0" allowBlank="0" prompt="Filter kelompok untuk grafik kategori &amp; tabel" type="list">
      <formula1>"Semua,Mining,Aux,Vendor"</formula1>
    </dataValidation>
  </dataValidations>
  <pageMargins left="0.25" right="0.25" top="0.25" bottom="0.25" header="0.5" footer="0.5"/>
  <pageSetup orientation="landscape" paperSize="9" fitToHeight="1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2E3B4E"/>
    <outlinePr summaryBelow="1" summaryRight="1"/>
    <pageSetUpPr fitToPage="1"/>
  </sheetPr>
  <dimension ref="A1:V130"/>
  <sheetViews>
    <sheetView showGridLines="0" showRowColHeaders="0" zoomScale="90" workbookViewId="0">
      <pane xSplit="2" topLeftCell="C1" activePane="topRight" state="frozen"/>
      <selection pane="topRight" activeCell="A1" sqref="A1"/>
    </sheetView>
  </sheetViews>
  <sheetFormatPr baseColWidth="8" defaultRowHeight="15"/>
  <cols>
    <col width="1.2" customWidth="1" min="1" max="1"/>
    <col width="27" customWidth="1" min="2" max="2"/>
    <col width="2.5" customWidth="1" min="3" max="3"/>
    <col width="8.6" customWidth="1" min="4" max="4"/>
    <col width="8.6" customWidth="1" min="5" max="5"/>
    <col width="8.6" customWidth="1" min="6" max="6"/>
    <col width="8.6" customWidth="1" min="7" max="7"/>
    <col width="8.6" customWidth="1" min="8" max="8"/>
    <col width="8.6" customWidth="1" min="9" max="9"/>
    <col width="8.6" customWidth="1" min="10" max="10"/>
    <col width="8.6" customWidth="1" min="11" max="11"/>
    <col width="8.6" customWidth="1" min="12" max="12"/>
    <col width="8.6" customWidth="1" min="13" max="13"/>
    <col width="8.6" customWidth="1" min="14" max="14"/>
    <col width="8.6" customWidth="1" min="15" max="15"/>
    <col width="8.6" customWidth="1" min="16" max="16"/>
    <col width="8.6" customWidth="1" min="17" max="17"/>
    <col width="8.6" customWidth="1" min="18" max="18"/>
    <col width="8.6" customWidth="1" min="19" max="19"/>
    <col width="8.6" customWidth="1" min="20" max="20"/>
    <col width="8.6" customWidth="1" min="21" max="21"/>
    <col width="2.5" customWidth="1" min="22" max="22"/>
  </cols>
  <sheetData>
    <row r="1" ht="10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28" customHeight="1">
      <c r="A2" s="1" t="n"/>
      <c r="B2" s="3" t="inlineStr">
        <is>
          <t>PIT CONTROL</t>
        </is>
      </c>
      <c r="C2" s="2" t="n"/>
      <c r="D2" s="4" t="inlineStr">
        <is>
          <t>Mine Ops Board  /  Tren PTY Digger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 ht="34" customHeight="1">
      <c r="A3" s="1" t="n"/>
      <c r="B3" s="5" t="inlineStr">
        <is>
          <t>MINE OPS BOARD</t>
        </is>
      </c>
      <c r="C3" s="2" t="n"/>
      <c r="D3" s="6" t="inlineStr">
        <is>
          <t>Tren PTY Digger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>
      <c r="A4" s="1" t="n"/>
      <c r="B4" s="1" t="n"/>
      <c r="C4" s="2" t="n"/>
      <c r="D4" s="7" t="inlineStr">
        <is>
          <t>PTY per digger per hari dari DATA_TS (produksi ÷ EWH) · warna mengikuti target di MASTER_JAM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 ht="8" customHeight="1">
      <c r="A5" s="1" t="n"/>
      <c r="B5" s="8" t="inlineStr">
        <is>
          <t>BOARD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 ht="24" customHeight="1">
      <c r="A6" s="1" t="n"/>
      <c r="B6" s="15">
        <f>HYPERLINK("#Produksi!A1","   Produksi")</f>
        <v/>
      </c>
      <c r="C6" s="2" t="n"/>
      <c r="D6" s="95" t="inlineStr">
        <is>
          <t>Dari</t>
        </is>
      </c>
      <c r="E6" s="96" t="n">
        <v>46082</v>
      </c>
      <c r="F6" s="97" t="n"/>
      <c r="G6" s="95" t="inlineStr">
        <is>
          <t>Sampai</t>
        </is>
      </c>
      <c r="H6" s="96" t="n">
        <v>46110</v>
      </c>
      <c r="I6" s="97" t="n"/>
      <c r="J6" s="95" t="inlineStr">
        <is>
          <t>Shift</t>
        </is>
      </c>
      <c r="K6" s="98" t="inlineStr">
        <is>
          <t>Semua</t>
        </is>
      </c>
      <c r="L6" s="97" t="n"/>
      <c r="M6" s="95" t="inlineStr">
        <is>
          <t>Material</t>
        </is>
      </c>
      <c r="N6" s="98" t="inlineStr">
        <is>
          <t>OB</t>
        </is>
      </c>
      <c r="O6" s="97" t="n"/>
      <c r="P6" s="2" t="n"/>
      <c r="Q6" s="2" t="n"/>
      <c r="R6" s="2" t="n"/>
      <c r="S6" s="2" t="n"/>
      <c r="T6" s="2" t="n"/>
      <c r="U6" s="2" t="n"/>
      <c r="V6" s="2" t="n"/>
    </row>
    <row r="7" ht="22" customHeight="1">
      <c r="A7" s="1" t="n"/>
      <c r="B7" s="15">
        <f>HYPERLINK("#Digger!A1","   Produktivitas Digger")</f>
        <v/>
      </c>
      <c r="C7" s="2" t="n"/>
      <c r="D7" s="16" t="inlineStr">
        <is>
          <t>Kolom = 12 digger dengan produksi terbesar di periode · hijau ≥ target · kuning ≥ 85% · merah &lt; 85% · abu = tidak beroperasi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 ht="22" customHeight="1">
      <c r="A8" s="1" t="n"/>
      <c r="B8" s="15">
        <f>HYPERLINK("#Availability!A1","   Availability Unit")</f>
        <v/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 ht="18" customHeight="1">
      <c r="A9" s="1" t="n"/>
      <c r="B9" s="15">
        <f>HYPERLINK("#'Delay &amp; Hujan'!A1","   Delay &amp; Hujan")</f>
        <v/>
      </c>
      <c r="C9" s="2" t="n"/>
      <c r="D9" s="17" t="inlineStr">
        <is>
          <t>PTY FLEET PERIODE</t>
        </is>
      </c>
      <c r="E9" s="18" t="n"/>
      <c r="F9" s="19" t="n"/>
      <c r="G9" s="17" t="inlineStr">
        <is>
          <t>SHIFT ON TARGET</t>
        </is>
      </c>
      <c r="H9" s="18" t="n"/>
      <c r="I9" s="19" t="n"/>
      <c r="J9" s="17" t="inlineStr">
        <is>
          <t>DIGGER TERTINGGI</t>
        </is>
      </c>
      <c r="K9" s="18" t="n"/>
      <c r="L9" s="19" t="n"/>
      <c r="M9" s="17" t="inlineStr">
        <is>
          <t>PALING KONSISTEN</t>
        </is>
      </c>
      <c r="N9" s="18" t="n"/>
      <c r="O9" s="19" t="n"/>
      <c r="P9" s="17" t="inlineStr">
        <is>
          <t>HARI TERBAIK</t>
        </is>
      </c>
      <c r="Q9" s="18" t="n"/>
      <c r="R9" s="19" t="n"/>
      <c r="S9" s="17" t="inlineStr">
        <is>
          <t>HARI TERENDAH</t>
        </is>
      </c>
      <c r="T9" s="18" t="n"/>
      <c r="U9" s="19" t="n"/>
      <c r="V9" s="2" t="n"/>
    </row>
    <row r="10" ht="30" customHeight="1">
      <c r="A10" s="1" t="n"/>
      <c r="B10" s="15">
        <f>HYPERLINK("#Fuel!A1","   Fuel")</f>
        <v/>
      </c>
      <c r="C10" s="2" t="n"/>
      <c r="D10" s="99">
        <f>Kalkulasi!$B$974</f>
        <v/>
      </c>
      <c r="F10" s="21" t="n"/>
      <c r="G10" s="100">
        <f>Kalkulasi!$B$976</f>
        <v/>
      </c>
      <c r="I10" s="21" t="n"/>
      <c r="J10" s="101">
        <f>Kalkulasi!$B$977</f>
        <v/>
      </c>
      <c r="L10" s="21" t="n"/>
      <c r="M10" s="102">
        <f>Kalkulasi!$B$983</f>
        <v/>
      </c>
      <c r="O10" s="21" t="n"/>
      <c r="P10" s="101">
        <f>IF(Kalkulasi!$B$980="","–",TEXT(Kalkulasi!$B$980,"d mmm"))</f>
        <v/>
      </c>
      <c r="R10" s="21" t="n"/>
      <c r="S10" s="103">
        <f>IF(Kalkulasi!$B$982="","–",TEXT(Kalkulasi!$B$982,"d mmm"))</f>
        <v/>
      </c>
      <c r="U10" s="21" t="n"/>
      <c r="V10" s="2" t="n"/>
    </row>
    <row r="11" ht="18" customHeight="1">
      <c r="A11" s="9" t="n"/>
      <c r="B11" s="10">
        <f>HYPERLINK("#'Tren PTY'!A1","   Tren PTY")</f>
        <v/>
      </c>
      <c r="C11" s="2" t="n"/>
      <c r="D11" s="26">
        <f>IF(Kalkulasi!$B$876="OB","BCM","MT")&amp;"/jam EWH · "&amp;TEXT(Kalkulasi!$B$975,"#,##0")&amp;" "&amp;IF(Kalkulasi!$B$876="OB","BCM","MT")</f>
        <v/>
      </c>
      <c r="E11" s="27" t="n"/>
      <c r="F11" s="28" t="n"/>
      <c r="G11" s="26">
        <f>"shift digger dengan PTY ≥ target"</f>
        <v/>
      </c>
      <c r="H11" s="27" t="n"/>
      <c r="I11" s="28" t="n"/>
      <c r="J11" s="26">
        <f>TEXT(Kalkulasi!$B$978,"#,##0")&amp;" "&amp;IF(Kalkulasi!$B$876="OB","BCM","MT")&amp;"/jam"</f>
        <v/>
      </c>
      <c r="K11" s="27" t="n"/>
      <c r="L11" s="28" t="n"/>
      <c r="M11" s="26">
        <f>TEXT(Kalkulasi!$B$984,"0%")&amp;" shift on target (min. 3 shift)"</f>
        <v/>
      </c>
      <c r="N11" s="27" t="n"/>
      <c r="O11" s="28" t="n"/>
      <c r="P11" s="26">
        <f>"PTY fleet "&amp;TEXT(Kalkulasi!$B$979,"#,##0")</f>
        <v/>
      </c>
      <c r="Q11" s="27" t="n"/>
      <c r="R11" s="28" t="n"/>
      <c r="S11" s="26">
        <f>"PTY fleet "&amp;TEXT(Kalkulasi!$B$981,"#,##0")</f>
        <v/>
      </c>
      <c r="T11" s="27" t="n"/>
      <c r="U11" s="28" t="n"/>
      <c r="V11" s="2" t="n"/>
    </row>
    <row r="12" ht="10" customHeight="1">
      <c r="A12" s="1" t="n"/>
      <c r="B12" s="1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</row>
    <row r="13" ht="24" customHeight="1">
      <c r="A13" s="1" t="n"/>
      <c r="B13" s="8" t="inlineStr">
        <is>
          <t>PER JAM</t>
        </is>
      </c>
      <c r="C13" s="2" t="n"/>
      <c r="D13" s="29" t="inlineStr">
        <is>
          <t>Heatmap PTY harian per digger</t>
        </is>
      </c>
      <c r="E13" s="30" t="n"/>
      <c r="F13" s="30" t="n"/>
      <c r="G13" s="30" t="n"/>
      <c r="H13" s="30" t="n"/>
      <c r="I13" s="30" t="n"/>
      <c r="J13" s="30" t="n"/>
      <c r="K13" s="30" t="n"/>
      <c r="L13" s="30" t="n"/>
      <c r="M13" s="30" t="n"/>
      <c r="N13" s="30" t="n"/>
      <c r="O13" s="30" t="n"/>
      <c r="P13" s="30" t="n"/>
      <c r="Q13" s="30" t="n"/>
      <c r="R13" s="30" t="n"/>
      <c r="S13" s="30" t="n"/>
      <c r="T13" s="30" t="n"/>
      <c r="U13" s="31" t="inlineStr">
        <is>
          <t>baris = tanggal · kolom = digger</t>
        </is>
      </c>
      <c r="V13" s="2" t="n"/>
    </row>
    <row r="14" ht="26" customHeight="1">
      <c r="A14" s="1" t="n"/>
      <c r="B14" s="15">
        <f>HYPERLINK("#'PTY per Jam'!A1","   PTY per Jam")</f>
        <v/>
      </c>
      <c r="C14" s="2" t="n"/>
      <c r="D14" s="65" t="inlineStr">
        <is>
          <t>Tanggal</t>
        </is>
      </c>
      <c r="E14" s="65" t="inlineStr"/>
      <c r="F14" s="104">
        <f>IF(INDEX(Kalkulasi!$D$916:$D$933,Kalkulasi!$A$937)=0,"",INDEX(Kalkulasi!$A$916:$A$933,Kalkulasi!$A$937))</f>
        <v/>
      </c>
      <c r="G14" s="104">
        <f>IF(INDEX(Kalkulasi!$D$916:$D$933,Kalkulasi!$A$938)=0,"",INDEX(Kalkulasi!$A$916:$A$933,Kalkulasi!$A$938))</f>
        <v/>
      </c>
      <c r="H14" s="104">
        <f>IF(INDEX(Kalkulasi!$D$916:$D$933,Kalkulasi!$A$939)=0,"",INDEX(Kalkulasi!$A$916:$A$933,Kalkulasi!$A$939))</f>
        <v/>
      </c>
      <c r="I14" s="104">
        <f>IF(INDEX(Kalkulasi!$D$916:$D$933,Kalkulasi!$A$940)=0,"",INDEX(Kalkulasi!$A$916:$A$933,Kalkulasi!$A$940))</f>
        <v/>
      </c>
      <c r="J14" s="104">
        <f>IF(INDEX(Kalkulasi!$D$916:$D$933,Kalkulasi!$A$941)=0,"",INDEX(Kalkulasi!$A$916:$A$933,Kalkulasi!$A$941))</f>
        <v/>
      </c>
      <c r="K14" s="104">
        <f>IF(INDEX(Kalkulasi!$D$916:$D$933,Kalkulasi!$A$942)=0,"",INDEX(Kalkulasi!$A$916:$A$933,Kalkulasi!$A$942))</f>
        <v/>
      </c>
      <c r="L14" s="104">
        <f>IF(INDEX(Kalkulasi!$D$916:$D$933,Kalkulasi!$A$943)=0,"",INDEX(Kalkulasi!$A$916:$A$933,Kalkulasi!$A$943))</f>
        <v/>
      </c>
      <c r="M14" s="104">
        <f>IF(INDEX(Kalkulasi!$D$916:$D$933,Kalkulasi!$A$944)=0,"",INDEX(Kalkulasi!$A$916:$A$933,Kalkulasi!$A$944))</f>
        <v/>
      </c>
      <c r="N14" s="104">
        <f>IF(INDEX(Kalkulasi!$D$916:$D$933,Kalkulasi!$A$945)=0,"",INDEX(Kalkulasi!$A$916:$A$933,Kalkulasi!$A$945))</f>
        <v/>
      </c>
      <c r="O14" s="104">
        <f>IF(INDEX(Kalkulasi!$D$916:$D$933,Kalkulasi!$A$946)=0,"",INDEX(Kalkulasi!$A$916:$A$933,Kalkulasi!$A$946))</f>
        <v/>
      </c>
      <c r="P14" s="104">
        <f>IF(INDEX(Kalkulasi!$D$916:$D$933,Kalkulasi!$A$947)=0,"",INDEX(Kalkulasi!$A$916:$A$933,Kalkulasi!$A$947))</f>
        <v/>
      </c>
      <c r="Q14" s="104">
        <f>IF(INDEX(Kalkulasi!$D$916:$D$933,Kalkulasi!$A$948)=0,"",INDEX(Kalkulasi!$A$916:$A$933,Kalkulasi!$A$948))</f>
        <v/>
      </c>
      <c r="R14" s="66" t="inlineStr">
        <is>
          <t>Fleet</t>
        </is>
      </c>
      <c r="S14" s="66" t="inlineStr">
        <is>
          <t>Produksi</t>
        </is>
      </c>
      <c r="T14" s="66" t="inlineStr"/>
      <c r="U14" s="66" t="inlineStr"/>
      <c r="V14" s="2" t="n"/>
    </row>
    <row r="15" ht="22" customHeight="1">
      <c r="A15" s="1" t="n"/>
      <c r="B15" s="15">
        <f>HYPERLINK("#'Fleet &amp; Delay'!A1","   Fleet &amp; Delay")</f>
        <v/>
      </c>
      <c r="C15" s="2" t="n"/>
      <c r="D15" s="105" t="inlineStr">
        <is>
          <t>Target</t>
        </is>
      </c>
      <c r="E15" s="106" t="n"/>
      <c r="F15" s="107">
        <f>IF(OR(INDEX(Kalkulasi!$D$916:$D$933,Kalkulasi!$A$937)=0,INDEX(Kalkulasi!$C$916:$C$933,Kalkulasi!$A$937)=0),"",INDEX(Kalkulasi!$C$916:$C$933,Kalkulasi!$A$937))</f>
        <v/>
      </c>
      <c r="G15" s="107">
        <f>IF(OR(INDEX(Kalkulasi!$D$916:$D$933,Kalkulasi!$A$938)=0,INDEX(Kalkulasi!$C$916:$C$933,Kalkulasi!$A$938)=0),"",INDEX(Kalkulasi!$C$916:$C$933,Kalkulasi!$A$938))</f>
        <v/>
      </c>
      <c r="H15" s="107">
        <f>IF(OR(INDEX(Kalkulasi!$D$916:$D$933,Kalkulasi!$A$939)=0,INDEX(Kalkulasi!$C$916:$C$933,Kalkulasi!$A$939)=0),"",INDEX(Kalkulasi!$C$916:$C$933,Kalkulasi!$A$939))</f>
        <v/>
      </c>
      <c r="I15" s="107">
        <f>IF(OR(INDEX(Kalkulasi!$D$916:$D$933,Kalkulasi!$A$940)=0,INDEX(Kalkulasi!$C$916:$C$933,Kalkulasi!$A$940)=0),"",INDEX(Kalkulasi!$C$916:$C$933,Kalkulasi!$A$940))</f>
        <v/>
      </c>
      <c r="J15" s="107">
        <f>IF(OR(INDEX(Kalkulasi!$D$916:$D$933,Kalkulasi!$A$941)=0,INDEX(Kalkulasi!$C$916:$C$933,Kalkulasi!$A$941)=0),"",INDEX(Kalkulasi!$C$916:$C$933,Kalkulasi!$A$941))</f>
        <v/>
      </c>
      <c r="K15" s="107">
        <f>IF(OR(INDEX(Kalkulasi!$D$916:$D$933,Kalkulasi!$A$942)=0,INDEX(Kalkulasi!$C$916:$C$933,Kalkulasi!$A$942)=0),"",INDEX(Kalkulasi!$C$916:$C$933,Kalkulasi!$A$942))</f>
        <v/>
      </c>
      <c r="L15" s="107">
        <f>IF(OR(INDEX(Kalkulasi!$D$916:$D$933,Kalkulasi!$A$943)=0,INDEX(Kalkulasi!$C$916:$C$933,Kalkulasi!$A$943)=0),"",INDEX(Kalkulasi!$C$916:$C$933,Kalkulasi!$A$943))</f>
        <v/>
      </c>
      <c r="M15" s="107">
        <f>IF(OR(INDEX(Kalkulasi!$D$916:$D$933,Kalkulasi!$A$944)=0,INDEX(Kalkulasi!$C$916:$C$933,Kalkulasi!$A$944)=0),"",INDEX(Kalkulasi!$C$916:$C$933,Kalkulasi!$A$944))</f>
        <v/>
      </c>
      <c r="N15" s="107">
        <f>IF(OR(INDEX(Kalkulasi!$D$916:$D$933,Kalkulasi!$A$945)=0,INDEX(Kalkulasi!$C$916:$C$933,Kalkulasi!$A$945)=0),"",INDEX(Kalkulasi!$C$916:$C$933,Kalkulasi!$A$945))</f>
        <v/>
      </c>
      <c r="O15" s="107">
        <f>IF(OR(INDEX(Kalkulasi!$D$916:$D$933,Kalkulasi!$A$946)=0,INDEX(Kalkulasi!$C$916:$C$933,Kalkulasi!$A$946)=0),"",INDEX(Kalkulasi!$C$916:$C$933,Kalkulasi!$A$946))</f>
        <v/>
      </c>
      <c r="P15" s="107">
        <f>IF(OR(INDEX(Kalkulasi!$D$916:$D$933,Kalkulasi!$A$947)=0,INDEX(Kalkulasi!$C$916:$C$933,Kalkulasi!$A$947)=0),"",INDEX(Kalkulasi!$C$916:$C$933,Kalkulasi!$A$947))</f>
        <v/>
      </c>
      <c r="Q15" s="107">
        <f>IF(OR(INDEX(Kalkulasi!$D$916:$D$933,Kalkulasi!$A$948)=0,INDEX(Kalkulasi!$C$916:$C$933,Kalkulasi!$A$948)=0),"",INDEX(Kalkulasi!$C$916:$C$933,Kalkulasi!$A$948))</f>
        <v/>
      </c>
      <c r="R15" s="78" t="inlineStr"/>
      <c r="S15" s="78" t="inlineStr"/>
      <c r="T15" s="78" t="inlineStr"/>
      <c r="U15" s="78" t="inlineStr"/>
      <c r="V15" s="2" t="n"/>
    </row>
    <row r="16" ht="17" customHeight="1">
      <c r="A16" s="1" t="n"/>
      <c r="B16" s="15">
        <f>HYPERLINK("#'Daily Report'!A1","   Daily Report")</f>
        <v/>
      </c>
      <c r="C16" s="2" t="n"/>
      <c r="D16" s="108">
        <f>Kalkulasi!A881</f>
        <v/>
      </c>
      <c r="F16" s="109">
        <f>IF(INDEX(Kalkulasi!$D$916:$D$933,Kalkulasi!$A$937)=0,"",INDEX(Kalkulasi!$AN881:$BE881,Kalkulasi!$A$937))</f>
        <v/>
      </c>
      <c r="G16" s="109">
        <f>IF(INDEX(Kalkulasi!$D$916:$D$933,Kalkulasi!$A$938)=0,"",INDEX(Kalkulasi!$AN881:$BE881,Kalkulasi!$A$938))</f>
        <v/>
      </c>
      <c r="H16" s="109">
        <f>IF(INDEX(Kalkulasi!$D$916:$D$933,Kalkulasi!$A$939)=0,"",INDEX(Kalkulasi!$AN881:$BE881,Kalkulasi!$A$939))</f>
        <v/>
      </c>
      <c r="I16" s="109">
        <f>IF(INDEX(Kalkulasi!$D$916:$D$933,Kalkulasi!$A$940)=0,"",INDEX(Kalkulasi!$AN881:$BE881,Kalkulasi!$A$940))</f>
        <v/>
      </c>
      <c r="J16" s="109">
        <f>IF(INDEX(Kalkulasi!$D$916:$D$933,Kalkulasi!$A$941)=0,"",INDEX(Kalkulasi!$AN881:$BE881,Kalkulasi!$A$941))</f>
        <v/>
      </c>
      <c r="K16" s="109">
        <f>IF(INDEX(Kalkulasi!$D$916:$D$933,Kalkulasi!$A$942)=0,"",INDEX(Kalkulasi!$AN881:$BE881,Kalkulasi!$A$942))</f>
        <v/>
      </c>
      <c r="L16" s="109">
        <f>IF(INDEX(Kalkulasi!$D$916:$D$933,Kalkulasi!$A$943)=0,"",INDEX(Kalkulasi!$AN881:$BE881,Kalkulasi!$A$943))</f>
        <v/>
      </c>
      <c r="M16" s="109">
        <f>IF(INDEX(Kalkulasi!$D$916:$D$933,Kalkulasi!$A$944)=0,"",INDEX(Kalkulasi!$AN881:$BE881,Kalkulasi!$A$944))</f>
        <v/>
      </c>
      <c r="N16" s="109">
        <f>IF(INDEX(Kalkulasi!$D$916:$D$933,Kalkulasi!$A$945)=0,"",INDEX(Kalkulasi!$AN881:$BE881,Kalkulasi!$A$945))</f>
        <v/>
      </c>
      <c r="O16" s="109">
        <f>IF(INDEX(Kalkulasi!$D$916:$D$933,Kalkulasi!$A$946)=0,"",INDEX(Kalkulasi!$AN881:$BE881,Kalkulasi!$A$946))</f>
        <v/>
      </c>
      <c r="P16" s="109">
        <f>IF(INDEX(Kalkulasi!$D$916:$D$933,Kalkulasi!$A$947)=0,"",INDEX(Kalkulasi!$AN881:$BE881,Kalkulasi!$A$947))</f>
        <v/>
      </c>
      <c r="Q16" s="109">
        <f>IF(INDEX(Kalkulasi!$D$916:$D$933,Kalkulasi!$A$948)=0,"",INDEX(Kalkulasi!$AN881:$BE881,Kalkulasi!$A$948))</f>
        <v/>
      </c>
      <c r="R16" s="110">
        <f>IF(Kalkulasi!AM881=0,"",Kalkulasi!T881/Kalkulasi!AM881)</f>
        <v/>
      </c>
      <c r="S16" s="111">
        <f>IF(Kalkulasi!T881=0,"",Kalkulasi!T881)</f>
        <v/>
      </c>
      <c r="U16" s="78" t="inlineStr"/>
      <c r="V16" s="2" t="n"/>
    </row>
    <row r="17" ht="17" customHeight="1">
      <c r="A17" s="1" t="n"/>
      <c r="B17" s="15">
        <f>HYPERLINK("#INPUT_RITASE!A1","   Input ritase ↗")</f>
        <v/>
      </c>
      <c r="C17" s="2" t="n"/>
      <c r="D17" s="108">
        <f>Kalkulasi!A882</f>
        <v/>
      </c>
      <c r="F17" s="109">
        <f>IF(INDEX(Kalkulasi!$D$916:$D$933,Kalkulasi!$A$937)=0,"",INDEX(Kalkulasi!$AN882:$BE882,Kalkulasi!$A$937))</f>
        <v/>
      </c>
      <c r="G17" s="109">
        <f>IF(INDEX(Kalkulasi!$D$916:$D$933,Kalkulasi!$A$938)=0,"",INDEX(Kalkulasi!$AN882:$BE882,Kalkulasi!$A$938))</f>
        <v/>
      </c>
      <c r="H17" s="109">
        <f>IF(INDEX(Kalkulasi!$D$916:$D$933,Kalkulasi!$A$939)=0,"",INDEX(Kalkulasi!$AN882:$BE882,Kalkulasi!$A$939))</f>
        <v/>
      </c>
      <c r="I17" s="109">
        <f>IF(INDEX(Kalkulasi!$D$916:$D$933,Kalkulasi!$A$940)=0,"",INDEX(Kalkulasi!$AN882:$BE882,Kalkulasi!$A$940))</f>
        <v/>
      </c>
      <c r="J17" s="109">
        <f>IF(INDEX(Kalkulasi!$D$916:$D$933,Kalkulasi!$A$941)=0,"",INDEX(Kalkulasi!$AN882:$BE882,Kalkulasi!$A$941))</f>
        <v/>
      </c>
      <c r="K17" s="109">
        <f>IF(INDEX(Kalkulasi!$D$916:$D$933,Kalkulasi!$A$942)=0,"",INDEX(Kalkulasi!$AN882:$BE882,Kalkulasi!$A$942))</f>
        <v/>
      </c>
      <c r="L17" s="109">
        <f>IF(INDEX(Kalkulasi!$D$916:$D$933,Kalkulasi!$A$943)=0,"",INDEX(Kalkulasi!$AN882:$BE882,Kalkulasi!$A$943))</f>
        <v/>
      </c>
      <c r="M17" s="109">
        <f>IF(INDEX(Kalkulasi!$D$916:$D$933,Kalkulasi!$A$944)=0,"",INDEX(Kalkulasi!$AN882:$BE882,Kalkulasi!$A$944))</f>
        <v/>
      </c>
      <c r="N17" s="109">
        <f>IF(INDEX(Kalkulasi!$D$916:$D$933,Kalkulasi!$A$945)=0,"",INDEX(Kalkulasi!$AN882:$BE882,Kalkulasi!$A$945))</f>
        <v/>
      </c>
      <c r="O17" s="109">
        <f>IF(INDEX(Kalkulasi!$D$916:$D$933,Kalkulasi!$A$946)=0,"",INDEX(Kalkulasi!$AN882:$BE882,Kalkulasi!$A$946))</f>
        <v/>
      </c>
      <c r="P17" s="109">
        <f>IF(INDEX(Kalkulasi!$D$916:$D$933,Kalkulasi!$A$947)=0,"",INDEX(Kalkulasi!$AN882:$BE882,Kalkulasi!$A$947))</f>
        <v/>
      </c>
      <c r="Q17" s="109">
        <f>IF(INDEX(Kalkulasi!$D$916:$D$933,Kalkulasi!$A$948)=0,"",INDEX(Kalkulasi!$AN882:$BE882,Kalkulasi!$A$948))</f>
        <v/>
      </c>
      <c r="R17" s="110">
        <f>IF(Kalkulasi!AM882=0,"",Kalkulasi!T882/Kalkulasi!AM882)</f>
        <v/>
      </c>
      <c r="S17" s="111">
        <f>IF(Kalkulasi!T882=0,"",Kalkulasi!T882)</f>
        <v/>
      </c>
      <c r="U17" s="78" t="inlineStr"/>
      <c r="V17" s="2" t="n"/>
    </row>
    <row r="18" ht="17" customHeight="1">
      <c r="A18" s="1" t="n"/>
      <c r="B18" s="15">
        <f>HYPERLINK("#INPUT_DELAY!A1","   Input delay ↗")</f>
        <v/>
      </c>
      <c r="C18" s="2" t="n"/>
      <c r="D18" s="108">
        <f>Kalkulasi!A883</f>
        <v/>
      </c>
      <c r="F18" s="109">
        <f>IF(INDEX(Kalkulasi!$D$916:$D$933,Kalkulasi!$A$937)=0,"",INDEX(Kalkulasi!$AN883:$BE883,Kalkulasi!$A$937))</f>
        <v/>
      </c>
      <c r="G18" s="109">
        <f>IF(INDEX(Kalkulasi!$D$916:$D$933,Kalkulasi!$A$938)=0,"",INDEX(Kalkulasi!$AN883:$BE883,Kalkulasi!$A$938))</f>
        <v/>
      </c>
      <c r="H18" s="109">
        <f>IF(INDEX(Kalkulasi!$D$916:$D$933,Kalkulasi!$A$939)=0,"",INDEX(Kalkulasi!$AN883:$BE883,Kalkulasi!$A$939))</f>
        <v/>
      </c>
      <c r="I18" s="109">
        <f>IF(INDEX(Kalkulasi!$D$916:$D$933,Kalkulasi!$A$940)=0,"",INDEX(Kalkulasi!$AN883:$BE883,Kalkulasi!$A$940))</f>
        <v/>
      </c>
      <c r="J18" s="109">
        <f>IF(INDEX(Kalkulasi!$D$916:$D$933,Kalkulasi!$A$941)=0,"",INDEX(Kalkulasi!$AN883:$BE883,Kalkulasi!$A$941))</f>
        <v/>
      </c>
      <c r="K18" s="109">
        <f>IF(INDEX(Kalkulasi!$D$916:$D$933,Kalkulasi!$A$942)=0,"",INDEX(Kalkulasi!$AN883:$BE883,Kalkulasi!$A$942))</f>
        <v/>
      </c>
      <c r="L18" s="109">
        <f>IF(INDEX(Kalkulasi!$D$916:$D$933,Kalkulasi!$A$943)=0,"",INDEX(Kalkulasi!$AN883:$BE883,Kalkulasi!$A$943))</f>
        <v/>
      </c>
      <c r="M18" s="109">
        <f>IF(INDEX(Kalkulasi!$D$916:$D$933,Kalkulasi!$A$944)=0,"",INDEX(Kalkulasi!$AN883:$BE883,Kalkulasi!$A$944))</f>
        <v/>
      </c>
      <c r="N18" s="109">
        <f>IF(INDEX(Kalkulasi!$D$916:$D$933,Kalkulasi!$A$945)=0,"",INDEX(Kalkulasi!$AN883:$BE883,Kalkulasi!$A$945))</f>
        <v/>
      </c>
      <c r="O18" s="109">
        <f>IF(INDEX(Kalkulasi!$D$916:$D$933,Kalkulasi!$A$946)=0,"",INDEX(Kalkulasi!$AN883:$BE883,Kalkulasi!$A$946))</f>
        <v/>
      </c>
      <c r="P18" s="109">
        <f>IF(INDEX(Kalkulasi!$D$916:$D$933,Kalkulasi!$A$947)=0,"",INDEX(Kalkulasi!$AN883:$BE883,Kalkulasi!$A$947))</f>
        <v/>
      </c>
      <c r="Q18" s="109">
        <f>IF(INDEX(Kalkulasi!$D$916:$D$933,Kalkulasi!$A$948)=0,"",INDEX(Kalkulasi!$AN883:$BE883,Kalkulasi!$A$948))</f>
        <v/>
      </c>
      <c r="R18" s="110">
        <f>IF(Kalkulasi!AM883=0,"",Kalkulasi!T883/Kalkulasi!AM883)</f>
        <v/>
      </c>
      <c r="S18" s="111">
        <f>IF(Kalkulasi!T883=0,"",Kalkulasi!T883)</f>
        <v/>
      </c>
      <c r="U18" s="78" t="inlineStr"/>
      <c r="V18" s="2" t="n"/>
    </row>
    <row r="19" ht="17" customHeight="1">
      <c r="A19" s="1" t="n"/>
      <c r="B19" s="1" t="n"/>
      <c r="C19" s="2" t="n"/>
      <c r="D19" s="108">
        <f>Kalkulasi!A884</f>
        <v/>
      </c>
      <c r="F19" s="109">
        <f>IF(INDEX(Kalkulasi!$D$916:$D$933,Kalkulasi!$A$937)=0,"",INDEX(Kalkulasi!$AN884:$BE884,Kalkulasi!$A$937))</f>
        <v/>
      </c>
      <c r="G19" s="109">
        <f>IF(INDEX(Kalkulasi!$D$916:$D$933,Kalkulasi!$A$938)=0,"",INDEX(Kalkulasi!$AN884:$BE884,Kalkulasi!$A$938))</f>
        <v/>
      </c>
      <c r="H19" s="109">
        <f>IF(INDEX(Kalkulasi!$D$916:$D$933,Kalkulasi!$A$939)=0,"",INDEX(Kalkulasi!$AN884:$BE884,Kalkulasi!$A$939))</f>
        <v/>
      </c>
      <c r="I19" s="109">
        <f>IF(INDEX(Kalkulasi!$D$916:$D$933,Kalkulasi!$A$940)=0,"",INDEX(Kalkulasi!$AN884:$BE884,Kalkulasi!$A$940))</f>
        <v/>
      </c>
      <c r="J19" s="109">
        <f>IF(INDEX(Kalkulasi!$D$916:$D$933,Kalkulasi!$A$941)=0,"",INDEX(Kalkulasi!$AN884:$BE884,Kalkulasi!$A$941))</f>
        <v/>
      </c>
      <c r="K19" s="109">
        <f>IF(INDEX(Kalkulasi!$D$916:$D$933,Kalkulasi!$A$942)=0,"",INDEX(Kalkulasi!$AN884:$BE884,Kalkulasi!$A$942))</f>
        <v/>
      </c>
      <c r="L19" s="109">
        <f>IF(INDEX(Kalkulasi!$D$916:$D$933,Kalkulasi!$A$943)=0,"",INDEX(Kalkulasi!$AN884:$BE884,Kalkulasi!$A$943))</f>
        <v/>
      </c>
      <c r="M19" s="109">
        <f>IF(INDEX(Kalkulasi!$D$916:$D$933,Kalkulasi!$A$944)=0,"",INDEX(Kalkulasi!$AN884:$BE884,Kalkulasi!$A$944))</f>
        <v/>
      </c>
      <c r="N19" s="109">
        <f>IF(INDEX(Kalkulasi!$D$916:$D$933,Kalkulasi!$A$945)=0,"",INDEX(Kalkulasi!$AN884:$BE884,Kalkulasi!$A$945))</f>
        <v/>
      </c>
      <c r="O19" s="109">
        <f>IF(INDEX(Kalkulasi!$D$916:$D$933,Kalkulasi!$A$946)=0,"",INDEX(Kalkulasi!$AN884:$BE884,Kalkulasi!$A$946))</f>
        <v/>
      </c>
      <c r="P19" s="109">
        <f>IF(INDEX(Kalkulasi!$D$916:$D$933,Kalkulasi!$A$947)=0,"",INDEX(Kalkulasi!$AN884:$BE884,Kalkulasi!$A$947))</f>
        <v/>
      </c>
      <c r="Q19" s="109">
        <f>IF(INDEX(Kalkulasi!$D$916:$D$933,Kalkulasi!$A$948)=0,"",INDEX(Kalkulasi!$AN884:$BE884,Kalkulasi!$A$948))</f>
        <v/>
      </c>
      <c r="R19" s="110">
        <f>IF(Kalkulasi!AM884=0,"",Kalkulasi!T884/Kalkulasi!AM884)</f>
        <v/>
      </c>
      <c r="S19" s="111">
        <f>IF(Kalkulasi!T884=0,"",Kalkulasi!T884)</f>
        <v/>
      </c>
      <c r="U19" s="78" t="inlineStr"/>
      <c r="V19" s="2" t="n"/>
    </row>
    <row r="20" ht="17" customHeight="1">
      <c r="A20" s="1" t="n"/>
      <c r="B20" s="8" t="inlineStr">
        <is>
          <t>DATA</t>
        </is>
      </c>
      <c r="C20" s="2" t="n"/>
      <c r="D20" s="108">
        <f>Kalkulasi!A885</f>
        <v/>
      </c>
      <c r="F20" s="109">
        <f>IF(INDEX(Kalkulasi!$D$916:$D$933,Kalkulasi!$A$937)=0,"",INDEX(Kalkulasi!$AN885:$BE885,Kalkulasi!$A$937))</f>
        <v/>
      </c>
      <c r="G20" s="109">
        <f>IF(INDEX(Kalkulasi!$D$916:$D$933,Kalkulasi!$A$938)=0,"",INDEX(Kalkulasi!$AN885:$BE885,Kalkulasi!$A$938))</f>
        <v/>
      </c>
      <c r="H20" s="109">
        <f>IF(INDEX(Kalkulasi!$D$916:$D$933,Kalkulasi!$A$939)=0,"",INDEX(Kalkulasi!$AN885:$BE885,Kalkulasi!$A$939))</f>
        <v/>
      </c>
      <c r="I20" s="109">
        <f>IF(INDEX(Kalkulasi!$D$916:$D$933,Kalkulasi!$A$940)=0,"",INDEX(Kalkulasi!$AN885:$BE885,Kalkulasi!$A$940))</f>
        <v/>
      </c>
      <c r="J20" s="109">
        <f>IF(INDEX(Kalkulasi!$D$916:$D$933,Kalkulasi!$A$941)=0,"",INDEX(Kalkulasi!$AN885:$BE885,Kalkulasi!$A$941))</f>
        <v/>
      </c>
      <c r="K20" s="109">
        <f>IF(INDEX(Kalkulasi!$D$916:$D$933,Kalkulasi!$A$942)=0,"",INDEX(Kalkulasi!$AN885:$BE885,Kalkulasi!$A$942))</f>
        <v/>
      </c>
      <c r="L20" s="109">
        <f>IF(INDEX(Kalkulasi!$D$916:$D$933,Kalkulasi!$A$943)=0,"",INDEX(Kalkulasi!$AN885:$BE885,Kalkulasi!$A$943))</f>
        <v/>
      </c>
      <c r="M20" s="109">
        <f>IF(INDEX(Kalkulasi!$D$916:$D$933,Kalkulasi!$A$944)=0,"",INDEX(Kalkulasi!$AN885:$BE885,Kalkulasi!$A$944))</f>
        <v/>
      </c>
      <c r="N20" s="109">
        <f>IF(INDEX(Kalkulasi!$D$916:$D$933,Kalkulasi!$A$945)=0,"",INDEX(Kalkulasi!$AN885:$BE885,Kalkulasi!$A$945))</f>
        <v/>
      </c>
      <c r="O20" s="109">
        <f>IF(INDEX(Kalkulasi!$D$916:$D$933,Kalkulasi!$A$946)=0,"",INDEX(Kalkulasi!$AN885:$BE885,Kalkulasi!$A$946))</f>
        <v/>
      </c>
      <c r="P20" s="109">
        <f>IF(INDEX(Kalkulasi!$D$916:$D$933,Kalkulasi!$A$947)=0,"",INDEX(Kalkulasi!$AN885:$BE885,Kalkulasi!$A$947))</f>
        <v/>
      </c>
      <c r="Q20" s="109">
        <f>IF(INDEX(Kalkulasi!$D$916:$D$933,Kalkulasi!$A$948)=0,"",INDEX(Kalkulasi!$AN885:$BE885,Kalkulasi!$A$948))</f>
        <v/>
      </c>
      <c r="R20" s="110">
        <f>IF(Kalkulasi!AM885=0,"",Kalkulasi!T885/Kalkulasi!AM885)</f>
        <v/>
      </c>
      <c r="S20" s="111">
        <f>IF(Kalkulasi!T885=0,"",Kalkulasi!T885)</f>
        <v/>
      </c>
      <c r="U20" s="78" t="inlineStr"/>
      <c r="V20" s="2" t="n"/>
    </row>
    <row r="21" ht="17" customHeight="1">
      <c r="A21" s="1" t="n"/>
      <c r="B21" s="15">
        <f>HYPERLINK("#'Master Data'!A1","   Master Data")</f>
        <v/>
      </c>
      <c r="C21" s="2" t="n"/>
      <c r="D21" s="108">
        <f>Kalkulasi!A886</f>
        <v/>
      </c>
      <c r="F21" s="109">
        <f>IF(INDEX(Kalkulasi!$D$916:$D$933,Kalkulasi!$A$937)=0,"",INDEX(Kalkulasi!$AN886:$BE886,Kalkulasi!$A$937))</f>
        <v/>
      </c>
      <c r="G21" s="109">
        <f>IF(INDEX(Kalkulasi!$D$916:$D$933,Kalkulasi!$A$938)=0,"",INDEX(Kalkulasi!$AN886:$BE886,Kalkulasi!$A$938))</f>
        <v/>
      </c>
      <c r="H21" s="109">
        <f>IF(INDEX(Kalkulasi!$D$916:$D$933,Kalkulasi!$A$939)=0,"",INDEX(Kalkulasi!$AN886:$BE886,Kalkulasi!$A$939))</f>
        <v/>
      </c>
      <c r="I21" s="109">
        <f>IF(INDEX(Kalkulasi!$D$916:$D$933,Kalkulasi!$A$940)=0,"",INDEX(Kalkulasi!$AN886:$BE886,Kalkulasi!$A$940))</f>
        <v/>
      </c>
      <c r="J21" s="109">
        <f>IF(INDEX(Kalkulasi!$D$916:$D$933,Kalkulasi!$A$941)=0,"",INDEX(Kalkulasi!$AN886:$BE886,Kalkulasi!$A$941))</f>
        <v/>
      </c>
      <c r="K21" s="109">
        <f>IF(INDEX(Kalkulasi!$D$916:$D$933,Kalkulasi!$A$942)=0,"",INDEX(Kalkulasi!$AN886:$BE886,Kalkulasi!$A$942))</f>
        <v/>
      </c>
      <c r="L21" s="109">
        <f>IF(INDEX(Kalkulasi!$D$916:$D$933,Kalkulasi!$A$943)=0,"",INDEX(Kalkulasi!$AN886:$BE886,Kalkulasi!$A$943))</f>
        <v/>
      </c>
      <c r="M21" s="109">
        <f>IF(INDEX(Kalkulasi!$D$916:$D$933,Kalkulasi!$A$944)=0,"",INDEX(Kalkulasi!$AN886:$BE886,Kalkulasi!$A$944))</f>
        <v/>
      </c>
      <c r="N21" s="109">
        <f>IF(INDEX(Kalkulasi!$D$916:$D$933,Kalkulasi!$A$945)=0,"",INDEX(Kalkulasi!$AN886:$BE886,Kalkulasi!$A$945))</f>
        <v/>
      </c>
      <c r="O21" s="109">
        <f>IF(INDEX(Kalkulasi!$D$916:$D$933,Kalkulasi!$A$946)=0,"",INDEX(Kalkulasi!$AN886:$BE886,Kalkulasi!$A$946))</f>
        <v/>
      </c>
      <c r="P21" s="109">
        <f>IF(INDEX(Kalkulasi!$D$916:$D$933,Kalkulasi!$A$947)=0,"",INDEX(Kalkulasi!$AN886:$BE886,Kalkulasi!$A$947))</f>
        <v/>
      </c>
      <c r="Q21" s="109">
        <f>IF(INDEX(Kalkulasi!$D$916:$D$933,Kalkulasi!$A$948)=0,"",INDEX(Kalkulasi!$AN886:$BE886,Kalkulasi!$A$948))</f>
        <v/>
      </c>
      <c r="R21" s="110">
        <f>IF(Kalkulasi!AM886=0,"",Kalkulasi!T886/Kalkulasi!AM886)</f>
        <v/>
      </c>
      <c r="S21" s="111">
        <f>IF(Kalkulasi!T886=0,"",Kalkulasi!T886)</f>
        <v/>
      </c>
      <c r="U21" s="78" t="inlineStr"/>
      <c r="V21" s="2" t="n"/>
    </row>
    <row r="22" ht="17" customHeight="1">
      <c r="A22" s="1" t="n"/>
      <c r="B22" s="15">
        <f>HYPERLINK("#DATA_TS!A1","   Tabel timesheet ↗")</f>
        <v/>
      </c>
      <c r="C22" s="2" t="n"/>
      <c r="D22" s="108">
        <f>Kalkulasi!A887</f>
        <v/>
      </c>
      <c r="F22" s="109">
        <f>IF(INDEX(Kalkulasi!$D$916:$D$933,Kalkulasi!$A$937)=0,"",INDEX(Kalkulasi!$AN887:$BE887,Kalkulasi!$A$937))</f>
        <v/>
      </c>
      <c r="G22" s="109">
        <f>IF(INDEX(Kalkulasi!$D$916:$D$933,Kalkulasi!$A$938)=0,"",INDEX(Kalkulasi!$AN887:$BE887,Kalkulasi!$A$938))</f>
        <v/>
      </c>
      <c r="H22" s="109">
        <f>IF(INDEX(Kalkulasi!$D$916:$D$933,Kalkulasi!$A$939)=0,"",INDEX(Kalkulasi!$AN887:$BE887,Kalkulasi!$A$939))</f>
        <v/>
      </c>
      <c r="I22" s="109">
        <f>IF(INDEX(Kalkulasi!$D$916:$D$933,Kalkulasi!$A$940)=0,"",INDEX(Kalkulasi!$AN887:$BE887,Kalkulasi!$A$940))</f>
        <v/>
      </c>
      <c r="J22" s="109">
        <f>IF(INDEX(Kalkulasi!$D$916:$D$933,Kalkulasi!$A$941)=0,"",INDEX(Kalkulasi!$AN887:$BE887,Kalkulasi!$A$941))</f>
        <v/>
      </c>
      <c r="K22" s="109">
        <f>IF(INDEX(Kalkulasi!$D$916:$D$933,Kalkulasi!$A$942)=0,"",INDEX(Kalkulasi!$AN887:$BE887,Kalkulasi!$A$942))</f>
        <v/>
      </c>
      <c r="L22" s="109">
        <f>IF(INDEX(Kalkulasi!$D$916:$D$933,Kalkulasi!$A$943)=0,"",INDEX(Kalkulasi!$AN887:$BE887,Kalkulasi!$A$943))</f>
        <v/>
      </c>
      <c r="M22" s="109">
        <f>IF(INDEX(Kalkulasi!$D$916:$D$933,Kalkulasi!$A$944)=0,"",INDEX(Kalkulasi!$AN887:$BE887,Kalkulasi!$A$944))</f>
        <v/>
      </c>
      <c r="N22" s="109">
        <f>IF(INDEX(Kalkulasi!$D$916:$D$933,Kalkulasi!$A$945)=0,"",INDEX(Kalkulasi!$AN887:$BE887,Kalkulasi!$A$945))</f>
        <v/>
      </c>
      <c r="O22" s="109">
        <f>IF(INDEX(Kalkulasi!$D$916:$D$933,Kalkulasi!$A$946)=0,"",INDEX(Kalkulasi!$AN887:$BE887,Kalkulasi!$A$946))</f>
        <v/>
      </c>
      <c r="P22" s="109">
        <f>IF(INDEX(Kalkulasi!$D$916:$D$933,Kalkulasi!$A$947)=0,"",INDEX(Kalkulasi!$AN887:$BE887,Kalkulasi!$A$947))</f>
        <v/>
      </c>
      <c r="Q22" s="109">
        <f>IF(INDEX(Kalkulasi!$D$916:$D$933,Kalkulasi!$A$948)=0,"",INDEX(Kalkulasi!$AN887:$BE887,Kalkulasi!$A$948))</f>
        <v/>
      </c>
      <c r="R22" s="110">
        <f>IF(Kalkulasi!AM887=0,"",Kalkulasi!T887/Kalkulasi!AM887)</f>
        <v/>
      </c>
      <c r="S22" s="111">
        <f>IF(Kalkulasi!T887=0,"",Kalkulasi!T887)</f>
        <v/>
      </c>
      <c r="U22" s="78" t="inlineStr"/>
      <c r="V22" s="2" t="n"/>
    </row>
    <row r="23" ht="17" customHeight="1">
      <c r="A23" s="1" t="n"/>
      <c r="B23" s="15">
        <f>HYPERLINK("#DATA_FUEL!A1","   Tabel fuel ↗")</f>
        <v/>
      </c>
      <c r="C23" s="2" t="n"/>
      <c r="D23" s="108">
        <f>Kalkulasi!A888</f>
        <v/>
      </c>
      <c r="F23" s="109">
        <f>IF(INDEX(Kalkulasi!$D$916:$D$933,Kalkulasi!$A$937)=0,"",INDEX(Kalkulasi!$AN888:$BE888,Kalkulasi!$A$937))</f>
        <v/>
      </c>
      <c r="G23" s="109">
        <f>IF(INDEX(Kalkulasi!$D$916:$D$933,Kalkulasi!$A$938)=0,"",INDEX(Kalkulasi!$AN888:$BE888,Kalkulasi!$A$938))</f>
        <v/>
      </c>
      <c r="H23" s="109">
        <f>IF(INDEX(Kalkulasi!$D$916:$D$933,Kalkulasi!$A$939)=0,"",INDEX(Kalkulasi!$AN888:$BE888,Kalkulasi!$A$939))</f>
        <v/>
      </c>
      <c r="I23" s="109">
        <f>IF(INDEX(Kalkulasi!$D$916:$D$933,Kalkulasi!$A$940)=0,"",INDEX(Kalkulasi!$AN888:$BE888,Kalkulasi!$A$940))</f>
        <v/>
      </c>
      <c r="J23" s="109">
        <f>IF(INDEX(Kalkulasi!$D$916:$D$933,Kalkulasi!$A$941)=0,"",INDEX(Kalkulasi!$AN888:$BE888,Kalkulasi!$A$941))</f>
        <v/>
      </c>
      <c r="K23" s="109">
        <f>IF(INDEX(Kalkulasi!$D$916:$D$933,Kalkulasi!$A$942)=0,"",INDEX(Kalkulasi!$AN888:$BE888,Kalkulasi!$A$942))</f>
        <v/>
      </c>
      <c r="L23" s="109">
        <f>IF(INDEX(Kalkulasi!$D$916:$D$933,Kalkulasi!$A$943)=0,"",INDEX(Kalkulasi!$AN888:$BE888,Kalkulasi!$A$943))</f>
        <v/>
      </c>
      <c r="M23" s="109">
        <f>IF(INDEX(Kalkulasi!$D$916:$D$933,Kalkulasi!$A$944)=0,"",INDEX(Kalkulasi!$AN888:$BE888,Kalkulasi!$A$944))</f>
        <v/>
      </c>
      <c r="N23" s="109">
        <f>IF(INDEX(Kalkulasi!$D$916:$D$933,Kalkulasi!$A$945)=0,"",INDEX(Kalkulasi!$AN888:$BE888,Kalkulasi!$A$945))</f>
        <v/>
      </c>
      <c r="O23" s="109">
        <f>IF(INDEX(Kalkulasi!$D$916:$D$933,Kalkulasi!$A$946)=0,"",INDEX(Kalkulasi!$AN888:$BE888,Kalkulasi!$A$946))</f>
        <v/>
      </c>
      <c r="P23" s="109">
        <f>IF(INDEX(Kalkulasi!$D$916:$D$933,Kalkulasi!$A$947)=0,"",INDEX(Kalkulasi!$AN888:$BE888,Kalkulasi!$A$947))</f>
        <v/>
      </c>
      <c r="Q23" s="109">
        <f>IF(INDEX(Kalkulasi!$D$916:$D$933,Kalkulasi!$A$948)=0,"",INDEX(Kalkulasi!$AN888:$BE888,Kalkulasi!$A$948))</f>
        <v/>
      </c>
      <c r="R23" s="110">
        <f>IF(Kalkulasi!AM888=0,"",Kalkulasi!T888/Kalkulasi!AM888)</f>
        <v/>
      </c>
      <c r="S23" s="111">
        <f>IF(Kalkulasi!T888=0,"",Kalkulasi!T888)</f>
        <v/>
      </c>
      <c r="U23" s="78" t="inlineStr"/>
      <c r="V23" s="2" t="n"/>
    </row>
    <row r="24" ht="17" customHeight="1">
      <c r="A24" s="1" t="n"/>
      <c r="B24" s="1" t="n"/>
      <c r="C24" s="2" t="n"/>
      <c r="D24" s="108">
        <f>Kalkulasi!A889</f>
        <v/>
      </c>
      <c r="F24" s="109">
        <f>IF(INDEX(Kalkulasi!$D$916:$D$933,Kalkulasi!$A$937)=0,"",INDEX(Kalkulasi!$AN889:$BE889,Kalkulasi!$A$937))</f>
        <v/>
      </c>
      <c r="G24" s="109">
        <f>IF(INDEX(Kalkulasi!$D$916:$D$933,Kalkulasi!$A$938)=0,"",INDEX(Kalkulasi!$AN889:$BE889,Kalkulasi!$A$938))</f>
        <v/>
      </c>
      <c r="H24" s="109">
        <f>IF(INDEX(Kalkulasi!$D$916:$D$933,Kalkulasi!$A$939)=0,"",INDEX(Kalkulasi!$AN889:$BE889,Kalkulasi!$A$939))</f>
        <v/>
      </c>
      <c r="I24" s="109">
        <f>IF(INDEX(Kalkulasi!$D$916:$D$933,Kalkulasi!$A$940)=0,"",INDEX(Kalkulasi!$AN889:$BE889,Kalkulasi!$A$940))</f>
        <v/>
      </c>
      <c r="J24" s="109">
        <f>IF(INDEX(Kalkulasi!$D$916:$D$933,Kalkulasi!$A$941)=0,"",INDEX(Kalkulasi!$AN889:$BE889,Kalkulasi!$A$941))</f>
        <v/>
      </c>
      <c r="K24" s="109">
        <f>IF(INDEX(Kalkulasi!$D$916:$D$933,Kalkulasi!$A$942)=0,"",INDEX(Kalkulasi!$AN889:$BE889,Kalkulasi!$A$942))</f>
        <v/>
      </c>
      <c r="L24" s="109">
        <f>IF(INDEX(Kalkulasi!$D$916:$D$933,Kalkulasi!$A$943)=0,"",INDEX(Kalkulasi!$AN889:$BE889,Kalkulasi!$A$943))</f>
        <v/>
      </c>
      <c r="M24" s="109">
        <f>IF(INDEX(Kalkulasi!$D$916:$D$933,Kalkulasi!$A$944)=0,"",INDEX(Kalkulasi!$AN889:$BE889,Kalkulasi!$A$944))</f>
        <v/>
      </c>
      <c r="N24" s="109">
        <f>IF(INDEX(Kalkulasi!$D$916:$D$933,Kalkulasi!$A$945)=0,"",INDEX(Kalkulasi!$AN889:$BE889,Kalkulasi!$A$945))</f>
        <v/>
      </c>
      <c r="O24" s="109">
        <f>IF(INDEX(Kalkulasi!$D$916:$D$933,Kalkulasi!$A$946)=0,"",INDEX(Kalkulasi!$AN889:$BE889,Kalkulasi!$A$946))</f>
        <v/>
      </c>
      <c r="P24" s="109">
        <f>IF(INDEX(Kalkulasi!$D$916:$D$933,Kalkulasi!$A$947)=0,"",INDEX(Kalkulasi!$AN889:$BE889,Kalkulasi!$A$947))</f>
        <v/>
      </c>
      <c r="Q24" s="109">
        <f>IF(INDEX(Kalkulasi!$D$916:$D$933,Kalkulasi!$A$948)=0,"",INDEX(Kalkulasi!$AN889:$BE889,Kalkulasi!$A$948))</f>
        <v/>
      </c>
      <c r="R24" s="110">
        <f>IF(Kalkulasi!AM889=0,"",Kalkulasi!T889/Kalkulasi!AM889)</f>
        <v/>
      </c>
      <c r="S24" s="111">
        <f>IF(Kalkulasi!T889=0,"",Kalkulasi!T889)</f>
        <v/>
      </c>
      <c r="U24" s="78" t="inlineStr"/>
      <c r="V24" s="2" t="n"/>
    </row>
    <row r="25" ht="17" customHeight="1">
      <c r="A25" s="1" t="n"/>
      <c r="B25" s="8" t="inlineStr">
        <is>
          <t>LAINNYA</t>
        </is>
      </c>
      <c r="C25" s="2" t="n"/>
      <c r="D25" s="108">
        <f>Kalkulasi!A890</f>
        <v/>
      </c>
      <c r="F25" s="109">
        <f>IF(INDEX(Kalkulasi!$D$916:$D$933,Kalkulasi!$A$937)=0,"",INDEX(Kalkulasi!$AN890:$BE890,Kalkulasi!$A$937))</f>
        <v/>
      </c>
      <c r="G25" s="109">
        <f>IF(INDEX(Kalkulasi!$D$916:$D$933,Kalkulasi!$A$938)=0,"",INDEX(Kalkulasi!$AN890:$BE890,Kalkulasi!$A$938))</f>
        <v/>
      </c>
      <c r="H25" s="109">
        <f>IF(INDEX(Kalkulasi!$D$916:$D$933,Kalkulasi!$A$939)=0,"",INDEX(Kalkulasi!$AN890:$BE890,Kalkulasi!$A$939))</f>
        <v/>
      </c>
      <c r="I25" s="109">
        <f>IF(INDEX(Kalkulasi!$D$916:$D$933,Kalkulasi!$A$940)=0,"",INDEX(Kalkulasi!$AN890:$BE890,Kalkulasi!$A$940))</f>
        <v/>
      </c>
      <c r="J25" s="109">
        <f>IF(INDEX(Kalkulasi!$D$916:$D$933,Kalkulasi!$A$941)=0,"",INDEX(Kalkulasi!$AN890:$BE890,Kalkulasi!$A$941))</f>
        <v/>
      </c>
      <c r="K25" s="109">
        <f>IF(INDEX(Kalkulasi!$D$916:$D$933,Kalkulasi!$A$942)=0,"",INDEX(Kalkulasi!$AN890:$BE890,Kalkulasi!$A$942))</f>
        <v/>
      </c>
      <c r="L25" s="109">
        <f>IF(INDEX(Kalkulasi!$D$916:$D$933,Kalkulasi!$A$943)=0,"",INDEX(Kalkulasi!$AN890:$BE890,Kalkulasi!$A$943))</f>
        <v/>
      </c>
      <c r="M25" s="109">
        <f>IF(INDEX(Kalkulasi!$D$916:$D$933,Kalkulasi!$A$944)=0,"",INDEX(Kalkulasi!$AN890:$BE890,Kalkulasi!$A$944))</f>
        <v/>
      </c>
      <c r="N25" s="109">
        <f>IF(INDEX(Kalkulasi!$D$916:$D$933,Kalkulasi!$A$945)=0,"",INDEX(Kalkulasi!$AN890:$BE890,Kalkulasi!$A$945))</f>
        <v/>
      </c>
      <c r="O25" s="109">
        <f>IF(INDEX(Kalkulasi!$D$916:$D$933,Kalkulasi!$A$946)=0,"",INDEX(Kalkulasi!$AN890:$BE890,Kalkulasi!$A$946))</f>
        <v/>
      </c>
      <c r="P25" s="109">
        <f>IF(INDEX(Kalkulasi!$D$916:$D$933,Kalkulasi!$A$947)=0,"",INDEX(Kalkulasi!$AN890:$BE890,Kalkulasi!$A$947))</f>
        <v/>
      </c>
      <c r="Q25" s="109">
        <f>IF(INDEX(Kalkulasi!$D$916:$D$933,Kalkulasi!$A$948)=0,"",INDEX(Kalkulasi!$AN890:$BE890,Kalkulasi!$A$948))</f>
        <v/>
      </c>
      <c r="R25" s="110">
        <f>IF(Kalkulasi!AM890=0,"",Kalkulasi!T890/Kalkulasi!AM890)</f>
        <v/>
      </c>
      <c r="S25" s="111">
        <f>IF(Kalkulasi!T890=0,"",Kalkulasi!T890)</f>
        <v/>
      </c>
      <c r="U25" s="78" t="inlineStr"/>
      <c r="V25" s="2" t="n"/>
    </row>
    <row r="26" ht="17" customHeight="1">
      <c r="A26" s="1" t="n"/>
      <c r="B26" s="15">
        <f>HYPERLINK("#Panduan!A1","   Panduan")</f>
        <v/>
      </c>
      <c r="C26" s="2" t="n"/>
      <c r="D26" s="108">
        <f>Kalkulasi!A891</f>
        <v/>
      </c>
      <c r="F26" s="109">
        <f>IF(INDEX(Kalkulasi!$D$916:$D$933,Kalkulasi!$A$937)=0,"",INDEX(Kalkulasi!$AN891:$BE891,Kalkulasi!$A$937))</f>
        <v/>
      </c>
      <c r="G26" s="109">
        <f>IF(INDEX(Kalkulasi!$D$916:$D$933,Kalkulasi!$A$938)=0,"",INDEX(Kalkulasi!$AN891:$BE891,Kalkulasi!$A$938))</f>
        <v/>
      </c>
      <c r="H26" s="109">
        <f>IF(INDEX(Kalkulasi!$D$916:$D$933,Kalkulasi!$A$939)=0,"",INDEX(Kalkulasi!$AN891:$BE891,Kalkulasi!$A$939))</f>
        <v/>
      </c>
      <c r="I26" s="109">
        <f>IF(INDEX(Kalkulasi!$D$916:$D$933,Kalkulasi!$A$940)=0,"",INDEX(Kalkulasi!$AN891:$BE891,Kalkulasi!$A$940))</f>
        <v/>
      </c>
      <c r="J26" s="109">
        <f>IF(INDEX(Kalkulasi!$D$916:$D$933,Kalkulasi!$A$941)=0,"",INDEX(Kalkulasi!$AN891:$BE891,Kalkulasi!$A$941))</f>
        <v/>
      </c>
      <c r="K26" s="109">
        <f>IF(INDEX(Kalkulasi!$D$916:$D$933,Kalkulasi!$A$942)=0,"",INDEX(Kalkulasi!$AN891:$BE891,Kalkulasi!$A$942))</f>
        <v/>
      </c>
      <c r="L26" s="109">
        <f>IF(INDEX(Kalkulasi!$D$916:$D$933,Kalkulasi!$A$943)=0,"",INDEX(Kalkulasi!$AN891:$BE891,Kalkulasi!$A$943))</f>
        <v/>
      </c>
      <c r="M26" s="109">
        <f>IF(INDEX(Kalkulasi!$D$916:$D$933,Kalkulasi!$A$944)=0,"",INDEX(Kalkulasi!$AN891:$BE891,Kalkulasi!$A$944))</f>
        <v/>
      </c>
      <c r="N26" s="109">
        <f>IF(INDEX(Kalkulasi!$D$916:$D$933,Kalkulasi!$A$945)=0,"",INDEX(Kalkulasi!$AN891:$BE891,Kalkulasi!$A$945))</f>
        <v/>
      </c>
      <c r="O26" s="109">
        <f>IF(INDEX(Kalkulasi!$D$916:$D$933,Kalkulasi!$A$946)=0,"",INDEX(Kalkulasi!$AN891:$BE891,Kalkulasi!$A$946))</f>
        <v/>
      </c>
      <c r="P26" s="109">
        <f>IF(INDEX(Kalkulasi!$D$916:$D$933,Kalkulasi!$A$947)=0,"",INDEX(Kalkulasi!$AN891:$BE891,Kalkulasi!$A$947))</f>
        <v/>
      </c>
      <c r="Q26" s="109">
        <f>IF(INDEX(Kalkulasi!$D$916:$D$933,Kalkulasi!$A$948)=0,"",INDEX(Kalkulasi!$AN891:$BE891,Kalkulasi!$A$948))</f>
        <v/>
      </c>
      <c r="R26" s="110">
        <f>IF(Kalkulasi!AM891=0,"",Kalkulasi!T891/Kalkulasi!AM891)</f>
        <v/>
      </c>
      <c r="S26" s="111">
        <f>IF(Kalkulasi!T891=0,"",Kalkulasi!T891)</f>
        <v/>
      </c>
      <c r="U26" s="78" t="inlineStr"/>
      <c r="V26" s="2" t="n"/>
    </row>
    <row r="27" ht="17" customHeight="1">
      <c r="A27" s="1" t="n"/>
      <c r="B27" s="15">
        <f>HYPERLINK("#Parameter!A1","   Target &amp; parameter")</f>
        <v/>
      </c>
      <c r="C27" s="2" t="n"/>
      <c r="D27" s="108">
        <f>Kalkulasi!A892</f>
        <v/>
      </c>
      <c r="F27" s="109">
        <f>IF(INDEX(Kalkulasi!$D$916:$D$933,Kalkulasi!$A$937)=0,"",INDEX(Kalkulasi!$AN892:$BE892,Kalkulasi!$A$937))</f>
        <v/>
      </c>
      <c r="G27" s="109">
        <f>IF(INDEX(Kalkulasi!$D$916:$D$933,Kalkulasi!$A$938)=0,"",INDEX(Kalkulasi!$AN892:$BE892,Kalkulasi!$A$938))</f>
        <v/>
      </c>
      <c r="H27" s="109">
        <f>IF(INDEX(Kalkulasi!$D$916:$D$933,Kalkulasi!$A$939)=0,"",INDEX(Kalkulasi!$AN892:$BE892,Kalkulasi!$A$939))</f>
        <v/>
      </c>
      <c r="I27" s="109">
        <f>IF(INDEX(Kalkulasi!$D$916:$D$933,Kalkulasi!$A$940)=0,"",INDEX(Kalkulasi!$AN892:$BE892,Kalkulasi!$A$940))</f>
        <v/>
      </c>
      <c r="J27" s="109">
        <f>IF(INDEX(Kalkulasi!$D$916:$D$933,Kalkulasi!$A$941)=0,"",INDEX(Kalkulasi!$AN892:$BE892,Kalkulasi!$A$941))</f>
        <v/>
      </c>
      <c r="K27" s="109">
        <f>IF(INDEX(Kalkulasi!$D$916:$D$933,Kalkulasi!$A$942)=0,"",INDEX(Kalkulasi!$AN892:$BE892,Kalkulasi!$A$942))</f>
        <v/>
      </c>
      <c r="L27" s="109">
        <f>IF(INDEX(Kalkulasi!$D$916:$D$933,Kalkulasi!$A$943)=0,"",INDEX(Kalkulasi!$AN892:$BE892,Kalkulasi!$A$943))</f>
        <v/>
      </c>
      <c r="M27" s="109">
        <f>IF(INDEX(Kalkulasi!$D$916:$D$933,Kalkulasi!$A$944)=0,"",INDEX(Kalkulasi!$AN892:$BE892,Kalkulasi!$A$944))</f>
        <v/>
      </c>
      <c r="N27" s="109">
        <f>IF(INDEX(Kalkulasi!$D$916:$D$933,Kalkulasi!$A$945)=0,"",INDEX(Kalkulasi!$AN892:$BE892,Kalkulasi!$A$945))</f>
        <v/>
      </c>
      <c r="O27" s="109">
        <f>IF(INDEX(Kalkulasi!$D$916:$D$933,Kalkulasi!$A$946)=0,"",INDEX(Kalkulasi!$AN892:$BE892,Kalkulasi!$A$946))</f>
        <v/>
      </c>
      <c r="P27" s="109">
        <f>IF(INDEX(Kalkulasi!$D$916:$D$933,Kalkulasi!$A$947)=0,"",INDEX(Kalkulasi!$AN892:$BE892,Kalkulasi!$A$947))</f>
        <v/>
      </c>
      <c r="Q27" s="109">
        <f>IF(INDEX(Kalkulasi!$D$916:$D$933,Kalkulasi!$A$948)=0,"",INDEX(Kalkulasi!$AN892:$BE892,Kalkulasi!$A$948))</f>
        <v/>
      </c>
      <c r="R27" s="110">
        <f>IF(Kalkulasi!AM892=0,"",Kalkulasi!T892/Kalkulasi!AM892)</f>
        <v/>
      </c>
      <c r="S27" s="111">
        <f>IF(Kalkulasi!T892=0,"",Kalkulasi!T892)</f>
        <v/>
      </c>
      <c r="U27" s="78" t="inlineStr"/>
      <c r="V27" s="2" t="n"/>
    </row>
    <row r="28" ht="17" customHeight="1">
      <c r="A28" s="1" t="n"/>
      <c r="B28" s="15">
        <f>HYPERLINK("#MASTER_JAM!A1","   Faktor, target &amp; MF")</f>
        <v/>
      </c>
      <c r="C28" s="2" t="n"/>
      <c r="D28" s="108">
        <f>Kalkulasi!A893</f>
        <v/>
      </c>
      <c r="F28" s="109">
        <f>IF(INDEX(Kalkulasi!$D$916:$D$933,Kalkulasi!$A$937)=0,"",INDEX(Kalkulasi!$AN893:$BE893,Kalkulasi!$A$937))</f>
        <v/>
      </c>
      <c r="G28" s="109">
        <f>IF(INDEX(Kalkulasi!$D$916:$D$933,Kalkulasi!$A$938)=0,"",INDEX(Kalkulasi!$AN893:$BE893,Kalkulasi!$A$938))</f>
        <v/>
      </c>
      <c r="H28" s="109">
        <f>IF(INDEX(Kalkulasi!$D$916:$D$933,Kalkulasi!$A$939)=0,"",INDEX(Kalkulasi!$AN893:$BE893,Kalkulasi!$A$939))</f>
        <v/>
      </c>
      <c r="I28" s="109">
        <f>IF(INDEX(Kalkulasi!$D$916:$D$933,Kalkulasi!$A$940)=0,"",INDEX(Kalkulasi!$AN893:$BE893,Kalkulasi!$A$940))</f>
        <v/>
      </c>
      <c r="J28" s="109">
        <f>IF(INDEX(Kalkulasi!$D$916:$D$933,Kalkulasi!$A$941)=0,"",INDEX(Kalkulasi!$AN893:$BE893,Kalkulasi!$A$941))</f>
        <v/>
      </c>
      <c r="K28" s="109">
        <f>IF(INDEX(Kalkulasi!$D$916:$D$933,Kalkulasi!$A$942)=0,"",INDEX(Kalkulasi!$AN893:$BE893,Kalkulasi!$A$942))</f>
        <v/>
      </c>
      <c r="L28" s="109">
        <f>IF(INDEX(Kalkulasi!$D$916:$D$933,Kalkulasi!$A$943)=0,"",INDEX(Kalkulasi!$AN893:$BE893,Kalkulasi!$A$943))</f>
        <v/>
      </c>
      <c r="M28" s="109">
        <f>IF(INDEX(Kalkulasi!$D$916:$D$933,Kalkulasi!$A$944)=0,"",INDEX(Kalkulasi!$AN893:$BE893,Kalkulasi!$A$944))</f>
        <v/>
      </c>
      <c r="N28" s="109">
        <f>IF(INDEX(Kalkulasi!$D$916:$D$933,Kalkulasi!$A$945)=0,"",INDEX(Kalkulasi!$AN893:$BE893,Kalkulasi!$A$945))</f>
        <v/>
      </c>
      <c r="O28" s="109">
        <f>IF(INDEX(Kalkulasi!$D$916:$D$933,Kalkulasi!$A$946)=0,"",INDEX(Kalkulasi!$AN893:$BE893,Kalkulasi!$A$946))</f>
        <v/>
      </c>
      <c r="P28" s="109">
        <f>IF(INDEX(Kalkulasi!$D$916:$D$933,Kalkulasi!$A$947)=0,"",INDEX(Kalkulasi!$AN893:$BE893,Kalkulasi!$A$947))</f>
        <v/>
      </c>
      <c r="Q28" s="109">
        <f>IF(INDEX(Kalkulasi!$D$916:$D$933,Kalkulasi!$A$948)=0,"",INDEX(Kalkulasi!$AN893:$BE893,Kalkulasi!$A$948))</f>
        <v/>
      </c>
      <c r="R28" s="110">
        <f>IF(Kalkulasi!AM893=0,"",Kalkulasi!T893/Kalkulasi!AM893)</f>
        <v/>
      </c>
      <c r="S28" s="111">
        <f>IF(Kalkulasi!T893=0,"",Kalkulasi!T893)</f>
        <v/>
      </c>
      <c r="U28" s="78" t="inlineStr"/>
      <c r="V28" s="2" t="n"/>
    </row>
    <row r="29" ht="17" customHeight="1">
      <c r="A29" s="1" t="n"/>
      <c r="B29" s="1" t="n"/>
      <c r="C29" s="2" t="n"/>
      <c r="D29" s="108">
        <f>Kalkulasi!A894</f>
        <v/>
      </c>
      <c r="F29" s="109">
        <f>IF(INDEX(Kalkulasi!$D$916:$D$933,Kalkulasi!$A$937)=0,"",INDEX(Kalkulasi!$AN894:$BE894,Kalkulasi!$A$937))</f>
        <v/>
      </c>
      <c r="G29" s="109">
        <f>IF(INDEX(Kalkulasi!$D$916:$D$933,Kalkulasi!$A$938)=0,"",INDEX(Kalkulasi!$AN894:$BE894,Kalkulasi!$A$938))</f>
        <v/>
      </c>
      <c r="H29" s="109">
        <f>IF(INDEX(Kalkulasi!$D$916:$D$933,Kalkulasi!$A$939)=0,"",INDEX(Kalkulasi!$AN894:$BE894,Kalkulasi!$A$939))</f>
        <v/>
      </c>
      <c r="I29" s="109">
        <f>IF(INDEX(Kalkulasi!$D$916:$D$933,Kalkulasi!$A$940)=0,"",INDEX(Kalkulasi!$AN894:$BE894,Kalkulasi!$A$940))</f>
        <v/>
      </c>
      <c r="J29" s="109">
        <f>IF(INDEX(Kalkulasi!$D$916:$D$933,Kalkulasi!$A$941)=0,"",INDEX(Kalkulasi!$AN894:$BE894,Kalkulasi!$A$941))</f>
        <v/>
      </c>
      <c r="K29" s="109">
        <f>IF(INDEX(Kalkulasi!$D$916:$D$933,Kalkulasi!$A$942)=0,"",INDEX(Kalkulasi!$AN894:$BE894,Kalkulasi!$A$942))</f>
        <v/>
      </c>
      <c r="L29" s="109">
        <f>IF(INDEX(Kalkulasi!$D$916:$D$933,Kalkulasi!$A$943)=0,"",INDEX(Kalkulasi!$AN894:$BE894,Kalkulasi!$A$943))</f>
        <v/>
      </c>
      <c r="M29" s="109">
        <f>IF(INDEX(Kalkulasi!$D$916:$D$933,Kalkulasi!$A$944)=0,"",INDEX(Kalkulasi!$AN894:$BE894,Kalkulasi!$A$944))</f>
        <v/>
      </c>
      <c r="N29" s="109">
        <f>IF(INDEX(Kalkulasi!$D$916:$D$933,Kalkulasi!$A$945)=0,"",INDEX(Kalkulasi!$AN894:$BE894,Kalkulasi!$A$945))</f>
        <v/>
      </c>
      <c r="O29" s="109">
        <f>IF(INDEX(Kalkulasi!$D$916:$D$933,Kalkulasi!$A$946)=0,"",INDEX(Kalkulasi!$AN894:$BE894,Kalkulasi!$A$946))</f>
        <v/>
      </c>
      <c r="P29" s="109">
        <f>IF(INDEX(Kalkulasi!$D$916:$D$933,Kalkulasi!$A$947)=0,"",INDEX(Kalkulasi!$AN894:$BE894,Kalkulasi!$A$947))</f>
        <v/>
      </c>
      <c r="Q29" s="109">
        <f>IF(INDEX(Kalkulasi!$D$916:$D$933,Kalkulasi!$A$948)=0,"",INDEX(Kalkulasi!$AN894:$BE894,Kalkulasi!$A$948))</f>
        <v/>
      </c>
      <c r="R29" s="110">
        <f>IF(Kalkulasi!AM894=0,"",Kalkulasi!T894/Kalkulasi!AM894)</f>
        <v/>
      </c>
      <c r="S29" s="111">
        <f>IF(Kalkulasi!T894=0,"",Kalkulasi!T894)</f>
        <v/>
      </c>
      <c r="U29" s="78" t="inlineStr"/>
      <c r="V29" s="2" t="n"/>
    </row>
    <row r="30" ht="17" customHeight="1">
      <c r="A30" s="1" t="n"/>
      <c r="B30" s="1" t="n"/>
      <c r="C30" s="2" t="n"/>
      <c r="D30" s="108">
        <f>Kalkulasi!A895</f>
        <v/>
      </c>
      <c r="F30" s="109">
        <f>IF(INDEX(Kalkulasi!$D$916:$D$933,Kalkulasi!$A$937)=0,"",INDEX(Kalkulasi!$AN895:$BE895,Kalkulasi!$A$937))</f>
        <v/>
      </c>
      <c r="G30" s="109">
        <f>IF(INDEX(Kalkulasi!$D$916:$D$933,Kalkulasi!$A$938)=0,"",INDEX(Kalkulasi!$AN895:$BE895,Kalkulasi!$A$938))</f>
        <v/>
      </c>
      <c r="H30" s="109">
        <f>IF(INDEX(Kalkulasi!$D$916:$D$933,Kalkulasi!$A$939)=0,"",INDEX(Kalkulasi!$AN895:$BE895,Kalkulasi!$A$939))</f>
        <v/>
      </c>
      <c r="I30" s="109">
        <f>IF(INDEX(Kalkulasi!$D$916:$D$933,Kalkulasi!$A$940)=0,"",INDEX(Kalkulasi!$AN895:$BE895,Kalkulasi!$A$940))</f>
        <v/>
      </c>
      <c r="J30" s="109">
        <f>IF(INDEX(Kalkulasi!$D$916:$D$933,Kalkulasi!$A$941)=0,"",INDEX(Kalkulasi!$AN895:$BE895,Kalkulasi!$A$941))</f>
        <v/>
      </c>
      <c r="K30" s="109">
        <f>IF(INDEX(Kalkulasi!$D$916:$D$933,Kalkulasi!$A$942)=0,"",INDEX(Kalkulasi!$AN895:$BE895,Kalkulasi!$A$942))</f>
        <v/>
      </c>
      <c r="L30" s="109">
        <f>IF(INDEX(Kalkulasi!$D$916:$D$933,Kalkulasi!$A$943)=0,"",INDEX(Kalkulasi!$AN895:$BE895,Kalkulasi!$A$943))</f>
        <v/>
      </c>
      <c r="M30" s="109">
        <f>IF(INDEX(Kalkulasi!$D$916:$D$933,Kalkulasi!$A$944)=0,"",INDEX(Kalkulasi!$AN895:$BE895,Kalkulasi!$A$944))</f>
        <v/>
      </c>
      <c r="N30" s="109">
        <f>IF(INDEX(Kalkulasi!$D$916:$D$933,Kalkulasi!$A$945)=0,"",INDEX(Kalkulasi!$AN895:$BE895,Kalkulasi!$A$945))</f>
        <v/>
      </c>
      <c r="O30" s="109">
        <f>IF(INDEX(Kalkulasi!$D$916:$D$933,Kalkulasi!$A$946)=0,"",INDEX(Kalkulasi!$AN895:$BE895,Kalkulasi!$A$946))</f>
        <v/>
      </c>
      <c r="P30" s="109">
        <f>IF(INDEX(Kalkulasi!$D$916:$D$933,Kalkulasi!$A$947)=0,"",INDEX(Kalkulasi!$AN895:$BE895,Kalkulasi!$A$947))</f>
        <v/>
      </c>
      <c r="Q30" s="109">
        <f>IF(INDEX(Kalkulasi!$D$916:$D$933,Kalkulasi!$A$948)=0,"",INDEX(Kalkulasi!$AN895:$BE895,Kalkulasi!$A$948))</f>
        <v/>
      </c>
      <c r="R30" s="110">
        <f>IF(Kalkulasi!AM895=0,"",Kalkulasi!T895/Kalkulasi!AM895)</f>
        <v/>
      </c>
      <c r="S30" s="111">
        <f>IF(Kalkulasi!T895=0,"",Kalkulasi!T895)</f>
        <v/>
      </c>
      <c r="U30" s="78" t="inlineStr"/>
      <c r="V30" s="2" t="n"/>
    </row>
    <row r="31" ht="17" customHeight="1">
      <c r="A31" s="1" t="n"/>
      <c r="B31" s="1" t="n"/>
      <c r="C31" s="2" t="n"/>
      <c r="D31" s="108">
        <f>Kalkulasi!A896</f>
        <v/>
      </c>
      <c r="F31" s="109">
        <f>IF(INDEX(Kalkulasi!$D$916:$D$933,Kalkulasi!$A$937)=0,"",INDEX(Kalkulasi!$AN896:$BE896,Kalkulasi!$A$937))</f>
        <v/>
      </c>
      <c r="G31" s="109">
        <f>IF(INDEX(Kalkulasi!$D$916:$D$933,Kalkulasi!$A$938)=0,"",INDEX(Kalkulasi!$AN896:$BE896,Kalkulasi!$A$938))</f>
        <v/>
      </c>
      <c r="H31" s="109">
        <f>IF(INDEX(Kalkulasi!$D$916:$D$933,Kalkulasi!$A$939)=0,"",INDEX(Kalkulasi!$AN896:$BE896,Kalkulasi!$A$939))</f>
        <v/>
      </c>
      <c r="I31" s="109">
        <f>IF(INDEX(Kalkulasi!$D$916:$D$933,Kalkulasi!$A$940)=0,"",INDEX(Kalkulasi!$AN896:$BE896,Kalkulasi!$A$940))</f>
        <v/>
      </c>
      <c r="J31" s="109">
        <f>IF(INDEX(Kalkulasi!$D$916:$D$933,Kalkulasi!$A$941)=0,"",INDEX(Kalkulasi!$AN896:$BE896,Kalkulasi!$A$941))</f>
        <v/>
      </c>
      <c r="K31" s="109">
        <f>IF(INDEX(Kalkulasi!$D$916:$D$933,Kalkulasi!$A$942)=0,"",INDEX(Kalkulasi!$AN896:$BE896,Kalkulasi!$A$942))</f>
        <v/>
      </c>
      <c r="L31" s="109">
        <f>IF(INDEX(Kalkulasi!$D$916:$D$933,Kalkulasi!$A$943)=0,"",INDEX(Kalkulasi!$AN896:$BE896,Kalkulasi!$A$943))</f>
        <v/>
      </c>
      <c r="M31" s="109">
        <f>IF(INDEX(Kalkulasi!$D$916:$D$933,Kalkulasi!$A$944)=0,"",INDEX(Kalkulasi!$AN896:$BE896,Kalkulasi!$A$944))</f>
        <v/>
      </c>
      <c r="N31" s="109">
        <f>IF(INDEX(Kalkulasi!$D$916:$D$933,Kalkulasi!$A$945)=0,"",INDEX(Kalkulasi!$AN896:$BE896,Kalkulasi!$A$945))</f>
        <v/>
      </c>
      <c r="O31" s="109">
        <f>IF(INDEX(Kalkulasi!$D$916:$D$933,Kalkulasi!$A$946)=0,"",INDEX(Kalkulasi!$AN896:$BE896,Kalkulasi!$A$946))</f>
        <v/>
      </c>
      <c r="P31" s="109">
        <f>IF(INDEX(Kalkulasi!$D$916:$D$933,Kalkulasi!$A$947)=0,"",INDEX(Kalkulasi!$AN896:$BE896,Kalkulasi!$A$947))</f>
        <v/>
      </c>
      <c r="Q31" s="109">
        <f>IF(INDEX(Kalkulasi!$D$916:$D$933,Kalkulasi!$A$948)=0,"",INDEX(Kalkulasi!$AN896:$BE896,Kalkulasi!$A$948))</f>
        <v/>
      </c>
      <c r="R31" s="110">
        <f>IF(Kalkulasi!AM896=0,"",Kalkulasi!T896/Kalkulasi!AM896)</f>
        <v/>
      </c>
      <c r="S31" s="111">
        <f>IF(Kalkulasi!T896=0,"",Kalkulasi!T896)</f>
        <v/>
      </c>
      <c r="U31" s="78" t="inlineStr"/>
      <c r="V31" s="2" t="n"/>
    </row>
    <row r="32" ht="17" customHeight="1">
      <c r="A32" s="1" t="n"/>
      <c r="B32" s="1" t="n"/>
      <c r="C32" s="2" t="n"/>
      <c r="D32" s="108">
        <f>Kalkulasi!A897</f>
        <v/>
      </c>
      <c r="F32" s="109">
        <f>IF(INDEX(Kalkulasi!$D$916:$D$933,Kalkulasi!$A$937)=0,"",INDEX(Kalkulasi!$AN897:$BE897,Kalkulasi!$A$937))</f>
        <v/>
      </c>
      <c r="G32" s="109">
        <f>IF(INDEX(Kalkulasi!$D$916:$D$933,Kalkulasi!$A$938)=0,"",INDEX(Kalkulasi!$AN897:$BE897,Kalkulasi!$A$938))</f>
        <v/>
      </c>
      <c r="H32" s="109">
        <f>IF(INDEX(Kalkulasi!$D$916:$D$933,Kalkulasi!$A$939)=0,"",INDEX(Kalkulasi!$AN897:$BE897,Kalkulasi!$A$939))</f>
        <v/>
      </c>
      <c r="I32" s="109">
        <f>IF(INDEX(Kalkulasi!$D$916:$D$933,Kalkulasi!$A$940)=0,"",INDEX(Kalkulasi!$AN897:$BE897,Kalkulasi!$A$940))</f>
        <v/>
      </c>
      <c r="J32" s="109">
        <f>IF(INDEX(Kalkulasi!$D$916:$D$933,Kalkulasi!$A$941)=0,"",INDEX(Kalkulasi!$AN897:$BE897,Kalkulasi!$A$941))</f>
        <v/>
      </c>
      <c r="K32" s="109">
        <f>IF(INDEX(Kalkulasi!$D$916:$D$933,Kalkulasi!$A$942)=0,"",INDEX(Kalkulasi!$AN897:$BE897,Kalkulasi!$A$942))</f>
        <v/>
      </c>
      <c r="L32" s="109">
        <f>IF(INDEX(Kalkulasi!$D$916:$D$933,Kalkulasi!$A$943)=0,"",INDEX(Kalkulasi!$AN897:$BE897,Kalkulasi!$A$943))</f>
        <v/>
      </c>
      <c r="M32" s="109">
        <f>IF(INDEX(Kalkulasi!$D$916:$D$933,Kalkulasi!$A$944)=0,"",INDEX(Kalkulasi!$AN897:$BE897,Kalkulasi!$A$944))</f>
        <v/>
      </c>
      <c r="N32" s="109">
        <f>IF(INDEX(Kalkulasi!$D$916:$D$933,Kalkulasi!$A$945)=0,"",INDEX(Kalkulasi!$AN897:$BE897,Kalkulasi!$A$945))</f>
        <v/>
      </c>
      <c r="O32" s="109">
        <f>IF(INDEX(Kalkulasi!$D$916:$D$933,Kalkulasi!$A$946)=0,"",INDEX(Kalkulasi!$AN897:$BE897,Kalkulasi!$A$946))</f>
        <v/>
      </c>
      <c r="P32" s="109">
        <f>IF(INDEX(Kalkulasi!$D$916:$D$933,Kalkulasi!$A$947)=0,"",INDEX(Kalkulasi!$AN897:$BE897,Kalkulasi!$A$947))</f>
        <v/>
      </c>
      <c r="Q32" s="109">
        <f>IF(INDEX(Kalkulasi!$D$916:$D$933,Kalkulasi!$A$948)=0,"",INDEX(Kalkulasi!$AN897:$BE897,Kalkulasi!$A$948))</f>
        <v/>
      </c>
      <c r="R32" s="110">
        <f>IF(Kalkulasi!AM897=0,"",Kalkulasi!T897/Kalkulasi!AM897)</f>
        <v/>
      </c>
      <c r="S32" s="111">
        <f>IF(Kalkulasi!T897=0,"",Kalkulasi!T897)</f>
        <v/>
      </c>
      <c r="U32" s="78" t="inlineStr"/>
      <c r="V32" s="2" t="n"/>
    </row>
    <row r="33" ht="17" customHeight="1">
      <c r="A33" s="1" t="n"/>
      <c r="B33" s="47" t="inlineStr">
        <is>
          <t>Data dummy · Coal Project</t>
        </is>
      </c>
      <c r="C33" s="2" t="n"/>
      <c r="D33" s="108">
        <f>Kalkulasi!A898</f>
        <v/>
      </c>
      <c r="F33" s="109">
        <f>IF(INDEX(Kalkulasi!$D$916:$D$933,Kalkulasi!$A$937)=0,"",INDEX(Kalkulasi!$AN898:$BE898,Kalkulasi!$A$937))</f>
        <v/>
      </c>
      <c r="G33" s="109">
        <f>IF(INDEX(Kalkulasi!$D$916:$D$933,Kalkulasi!$A$938)=0,"",INDEX(Kalkulasi!$AN898:$BE898,Kalkulasi!$A$938))</f>
        <v/>
      </c>
      <c r="H33" s="109">
        <f>IF(INDEX(Kalkulasi!$D$916:$D$933,Kalkulasi!$A$939)=0,"",INDEX(Kalkulasi!$AN898:$BE898,Kalkulasi!$A$939))</f>
        <v/>
      </c>
      <c r="I33" s="109">
        <f>IF(INDEX(Kalkulasi!$D$916:$D$933,Kalkulasi!$A$940)=0,"",INDEX(Kalkulasi!$AN898:$BE898,Kalkulasi!$A$940))</f>
        <v/>
      </c>
      <c r="J33" s="109">
        <f>IF(INDEX(Kalkulasi!$D$916:$D$933,Kalkulasi!$A$941)=0,"",INDEX(Kalkulasi!$AN898:$BE898,Kalkulasi!$A$941))</f>
        <v/>
      </c>
      <c r="K33" s="109">
        <f>IF(INDEX(Kalkulasi!$D$916:$D$933,Kalkulasi!$A$942)=0,"",INDEX(Kalkulasi!$AN898:$BE898,Kalkulasi!$A$942))</f>
        <v/>
      </c>
      <c r="L33" s="109">
        <f>IF(INDEX(Kalkulasi!$D$916:$D$933,Kalkulasi!$A$943)=0,"",INDEX(Kalkulasi!$AN898:$BE898,Kalkulasi!$A$943))</f>
        <v/>
      </c>
      <c r="M33" s="109">
        <f>IF(INDEX(Kalkulasi!$D$916:$D$933,Kalkulasi!$A$944)=0,"",INDEX(Kalkulasi!$AN898:$BE898,Kalkulasi!$A$944))</f>
        <v/>
      </c>
      <c r="N33" s="109">
        <f>IF(INDEX(Kalkulasi!$D$916:$D$933,Kalkulasi!$A$945)=0,"",INDEX(Kalkulasi!$AN898:$BE898,Kalkulasi!$A$945))</f>
        <v/>
      </c>
      <c r="O33" s="109">
        <f>IF(INDEX(Kalkulasi!$D$916:$D$933,Kalkulasi!$A$946)=0,"",INDEX(Kalkulasi!$AN898:$BE898,Kalkulasi!$A$946))</f>
        <v/>
      </c>
      <c r="P33" s="109">
        <f>IF(INDEX(Kalkulasi!$D$916:$D$933,Kalkulasi!$A$947)=0,"",INDEX(Kalkulasi!$AN898:$BE898,Kalkulasi!$A$947))</f>
        <v/>
      </c>
      <c r="Q33" s="109">
        <f>IF(INDEX(Kalkulasi!$D$916:$D$933,Kalkulasi!$A$948)=0,"",INDEX(Kalkulasi!$AN898:$BE898,Kalkulasi!$A$948))</f>
        <v/>
      </c>
      <c r="R33" s="110">
        <f>IF(Kalkulasi!AM898=0,"",Kalkulasi!T898/Kalkulasi!AM898)</f>
        <v/>
      </c>
      <c r="S33" s="111">
        <f>IF(Kalkulasi!T898=0,"",Kalkulasi!T898)</f>
        <v/>
      </c>
      <c r="U33" s="78" t="inlineStr"/>
      <c r="V33" s="2" t="n"/>
    </row>
    <row r="34" ht="17" customHeight="1">
      <c r="A34" s="1" t="n"/>
      <c r="B34" s="49" t="inlineStr">
        <is>
          <t>Simulasi unit per shift,</t>
        </is>
      </c>
      <c r="C34" s="2" t="n"/>
      <c r="D34" s="108">
        <f>Kalkulasi!A899</f>
        <v/>
      </c>
      <c r="F34" s="109">
        <f>IF(INDEX(Kalkulasi!$D$916:$D$933,Kalkulasi!$A$937)=0,"",INDEX(Kalkulasi!$AN899:$BE899,Kalkulasi!$A$937))</f>
        <v/>
      </c>
      <c r="G34" s="109">
        <f>IF(INDEX(Kalkulasi!$D$916:$D$933,Kalkulasi!$A$938)=0,"",INDEX(Kalkulasi!$AN899:$BE899,Kalkulasi!$A$938))</f>
        <v/>
      </c>
      <c r="H34" s="109">
        <f>IF(INDEX(Kalkulasi!$D$916:$D$933,Kalkulasi!$A$939)=0,"",INDEX(Kalkulasi!$AN899:$BE899,Kalkulasi!$A$939))</f>
        <v/>
      </c>
      <c r="I34" s="109">
        <f>IF(INDEX(Kalkulasi!$D$916:$D$933,Kalkulasi!$A$940)=0,"",INDEX(Kalkulasi!$AN899:$BE899,Kalkulasi!$A$940))</f>
        <v/>
      </c>
      <c r="J34" s="109">
        <f>IF(INDEX(Kalkulasi!$D$916:$D$933,Kalkulasi!$A$941)=0,"",INDEX(Kalkulasi!$AN899:$BE899,Kalkulasi!$A$941))</f>
        <v/>
      </c>
      <c r="K34" s="109">
        <f>IF(INDEX(Kalkulasi!$D$916:$D$933,Kalkulasi!$A$942)=0,"",INDEX(Kalkulasi!$AN899:$BE899,Kalkulasi!$A$942))</f>
        <v/>
      </c>
      <c r="L34" s="109">
        <f>IF(INDEX(Kalkulasi!$D$916:$D$933,Kalkulasi!$A$943)=0,"",INDEX(Kalkulasi!$AN899:$BE899,Kalkulasi!$A$943))</f>
        <v/>
      </c>
      <c r="M34" s="109">
        <f>IF(INDEX(Kalkulasi!$D$916:$D$933,Kalkulasi!$A$944)=0,"",INDEX(Kalkulasi!$AN899:$BE899,Kalkulasi!$A$944))</f>
        <v/>
      </c>
      <c r="N34" s="109">
        <f>IF(INDEX(Kalkulasi!$D$916:$D$933,Kalkulasi!$A$945)=0,"",INDEX(Kalkulasi!$AN899:$BE899,Kalkulasi!$A$945))</f>
        <v/>
      </c>
      <c r="O34" s="109">
        <f>IF(INDEX(Kalkulasi!$D$916:$D$933,Kalkulasi!$A$946)=0,"",INDEX(Kalkulasi!$AN899:$BE899,Kalkulasi!$A$946))</f>
        <v/>
      </c>
      <c r="P34" s="109">
        <f>IF(INDEX(Kalkulasi!$D$916:$D$933,Kalkulasi!$A$947)=0,"",INDEX(Kalkulasi!$AN899:$BE899,Kalkulasi!$A$947))</f>
        <v/>
      </c>
      <c r="Q34" s="109">
        <f>IF(INDEX(Kalkulasi!$D$916:$D$933,Kalkulasi!$A$948)=0,"",INDEX(Kalkulasi!$AN899:$BE899,Kalkulasi!$A$948))</f>
        <v/>
      </c>
      <c r="R34" s="110">
        <f>IF(Kalkulasi!AM899=0,"",Kalkulasi!T899/Kalkulasi!AM899)</f>
        <v/>
      </c>
      <c r="S34" s="111">
        <f>IF(Kalkulasi!T899=0,"",Kalkulasi!T899)</f>
        <v/>
      </c>
      <c r="U34" s="78" t="inlineStr"/>
      <c r="V34" s="2" t="n"/>
    </row>
    <row r="35" ht="17" customHeight="1">
      <c r="A35" s="1" t="n"/>
      <c r="B35" s="49" t="inlineStr">
        <is>
          <t>Maret 2026. Bukan data</t>
        </is>
      </c>
      <c r="C35" s="2" t="n"/>
      <c r="D35" s="108">
        <f>Kalkulasi!A900</f>
        <v/>
      </c>
      <c r="F35" s="109">
        <f>IF(INDEX(Kalkulasi!$D$916:$D$933,Kalkulasi!$A$937)=0,"",INDEX(Kalkulasi!$AN900:$BE900,Kalkulasi!$A$937))</f>
        <v/>
      </c>
      <c r="G35" s="109">
        <f>IF(INDEX(Kalkulasi!$D$916:$D$933,Kalkulasi!$A$938)=0,"",INDEX(Kalkulasi!$AN900:$BE900,Kalkulasi!$A$938))</f>
        <v/>
      </c>
      <c r="H35" s="109">
        <f>IF(INDEX(Kalkulasi!$D$916:$D$933,Kalkulasi!$A$939)=0,"",INDEX(Kalkulasi!$AN900:$BE900,Kalkulasi!$A$939))</f>
        <v/>
      </c>
      <c r="I35" s="109">
        <f>IF(INDEX(Kalkulasi!$D$916:$D$933,Kalkulasi!$A$940)=0,"",INDEX(Kalkulasi!$AN900:$BE900,Kalkulasi!$A$940))</f>
        <v/>
      </c>
      <c r="J35" s="109">
        <f>IF(INDEX(Kalkulasi!$D$916:$D$933,Kalkulasi!$A$941)=0,"",INDEX(Kalkulasi!$AN900:$BE900,Kalkulasi!$A$941))</f>
        <v/>
      </c>
      <c r="K35" s="109">
        <f>IF(INDEX(Kalkulasi!$D$916:$D$933,Kalkulasi!$A$942)=0,"",INDEX(Kalkulasi!$AN900:$BE900,Kalkulasi!$A$942))</f>
        <v/>
      </c>
      <c r="L35" s="109">
        <f>IF(INDEX(Kalkulasi!$D$916:$D$933,Kalkulasi!$A$943)=0,"",INDEX(Kalkulasi!$AN900:$BE900,Kalkulasi!$A$943))</f>
        <v/>
      </c>
      <c r="M35" s="109">
        <f>IF(INDEX(Kalkulasi!$D$916:$D$933,Kalkulasi!$A$944)=0,"",INDEX(Kalkulasi!$AN900:$BE900,Kalkulasi!$A$944))</f>
        <v/>
      </c>
      <c r="N35" s="109">
        <f>IF(INDEX(Kalkulasi!$D$916:$D$933,Kalkulasi!$A$945)=0,"",INDEX(Kalkulasi!$AN900:$BE900,Kalkulasi!$A$945))</f>
        <v/>
      </c>
      <c r="O35" s="109">
        <f>IF(INDEX(Kalkulasi!$D$916:$D$933,Kalkulasi!$A$946)=0,"",INDEX(Kalkulasi!$AN900:$BE900,Kalkulasi!$A$946))</f>
        <v/>
      </c>
      <c r="P35" s="109">
        <f>IF(INDEX(Kalkulasi!$D$916:$D$933,Kalkulasi!$A$947)=0,"",INDEX(Kalkulasi!$AN900:$BE900,Kalkulasi!$A$947))</f>
        <v/>
      </c>
      <c r="Q35" s="109">
        <f>IF(INDEX(Kalkulasi!$D$916:$D$933,Kalkulasi!$A$948)=0,"",INDEX(Kalkulasi!$AN900:$BE900,Kalkulasi!$A$948))</f>
        <v/>
      </c>
      <c r="R35" s="110">
        <f>IF(Kalkulasi!AM900=0,"",Kalkulasi!T900/Kalkulasi!AM900)</f>
        <v/>
      </c>
      <c r="S35" s="111">
        <f>IF(Kalkulasi!T900=0,"",Kalkulasi!T900)</f>
        <v/>
      </c>
      <c r="U35" s="78" t="inlineStr"/>
      <c r="V35" s="2" t="n"/>
    </row>
    <row r="36" ht="17" customHeight="1">
      <c r="A36" s="1" t="n"/>
      <c r="B36" s="49" t="inlineStr">
        <is>
          <t>perusahaan mana pun.</t>
        </is>
      </c>
      <c r="C36" s="2" t="n"/>
      <c r="D36" s="108">
        <f>Kalkulasi!A901</f>
        <v/>
      </c>
      <c r="F36" s="109">
        <f>IF(INDEX(Kalkulasi!$D$916:$D$933,Kalkulasi!$A$937)=0,"",INDEX(Kalkulasi!$AN901:$BE901,Kalkulasi!$A$937))</f>
        <v/>
      </c>
      <c r="G36" s="109">
        <f>IF(INDEX(Kalkulasi!$D$916:$D$933,Kalkulasi!$A$938)=0,"",INDEX(Kalkulasi!$AN901:$BE901,Kalkulasi!$A$938))</f>
        <v/>
      </c>
      <c r="H36" s="109">
        <f>IF(INDEX(Kalkulasi!$D$916:$D$933,Kalkulasi!$A$939)=0,"",INDEX(Kalkulasi!$AN901:$BE901,Kalkulasi!$A$939))</f>
        <v/>
      </c>
      <c r="I36" s="109">
        <f>IF(INDEX(Kalkulasi!$D$916:$D$933,Kalkulasi!$A$940)=0,"",INDEX(Kalkulasi!$AN901:$BE901,Kalkulasi!$A$940))</f>
        <v/>
      </c>
      <c r="J36" s="109">
        <f>IF(INDEX(Kalkulasi!$D$916:$D$933,Kalkulasi!$A$941)=0,"",INDEX(Kalkulasi!$AN901:$BE901,Kalkulasi!$A$941))</f>
        <v/>
      </c>
      <c r="K36" s="109">
        <f>IF(INDEX(Kalkulasi!$D$916:$D$933,Kalkulasi!$A$942)=0,"",INDEX(Kalkulasi!$AN901:$BE901,Kalkulasi!$A$942))</f>
        <v/>
      </c>
      <c r="L36" s="109">
        <f>IF(INDEX(Kalkulasi!$D$916:$D$933,Kalkulasi!$A$943)=0,"",INDEX(Kalkulasi!$AN901:$BE901,Kalkulasi!$A$943))</f>
        <v/>
      </c>
      <c r="M36" s="109">
        <f>IF(INDEX(Kalkulasi!$D$916:$D$933,Kalkulasi!$A$944)=0,"",INDEX(Kalkulasi!$AN901:$BE901,Kalkulasi!$A$944))</f>
        <v/>
      </c>
      <c r="N36" s="109">
        <f>IF(INDEX(Kalkulasi!$D$916:$D$933,Kalkulasi!$A$945)=0,"",INDEX(Kalkulasi!$AN901:$BE901,Kalkulasi!$A$945))</f>
        <v/>
      </c>
      <c r="O36" s="109">
        <f>IF(INDEX(Kalkulasi!$D$916:$D$933,Kalkulasi!$A$946)=0,"",INDEX(Kalkulasi!$AN901:$BE901,Kalkulasi!$A$946))</f>
        <v/>
      </c>
      <c r="P36" s="109">
        <f>IF(INDEX(Kalkulasi!$D$916:$D$933,Kalkulasi!$A$947)=0,"",INDEX(Kalkulasi!$AN901:$BE901,Kalkulasi!$A$947))</f>
        <v/>
      </c>
      <c r="Q36" s="109">
        <f>IF(INDEX(Kalkulasi!$D$916:$D$933,Kalkulasi!$A$948)=0,"",INDEX(Kalkulasi!$AN901:$BE901,Kalkulasi!$A$948))</f>
        <v/>
      </c>
      <c r="R36" s="110">
        <f>IF(Kalkulasi!AM901=0,"",Kalkulasi!T901/Kalkulasi!AM901)</f>
        <v/>
      </c>
      <c r="S36" s="111">
        <f>IF(Kalkulasi!T901=0,"",Kalkulasi!T901)</f>
        <v/>
      </c>
      <c r="U36" s="78" t="inlineStr"/>
      <c r="V36" s="2" t="n"/>
    </row>
    <row r="37" ht="17" customHeight="1">
      <c r="A37" s="1" t="n"/>
      <c r="B37" s="49" t="inlineStr"/>
      <c r="C37" s="2" t="n"/>
      <c r="D37" s="108">
        <f>Kalkulasi!A902</f>
        <v/>
      </c>
      <c r="F37" s="109">
        <f>IF(INDEX(Kalkulasi!$D$916:$D$933,Kalkulasi!$A$937)=0,"",INDEX(Kalkulasi!$AN902:$BE902,Kalkulasi!$A$937))</f>
        <v/>
      </c>
      <c r="G37" s="109">
        <f>IF(INDEX(Kalkulasi!$D$916:$D$933,Kalkulasi!$A$938)=0,"",INDEX(Kalkulasi!$AN902:$BE902,Kalkulasi!$A$938))</f>
        <v/>
      </c>
      <c r="H37" s="109">
        <f>IF(INDEX(Kalkulasi!$D$916:$D$933,Kalkulasi!$A$939)=0,"",INDEX(Kalkulasi!$AN902:$BE902,Kalkulasi!$A$939))</f>
        <v/>
      </c>
      <c r="I37" s="109">
        <f>IF(INDEX(Kalkulasi!$D$916:$D$933,Kalkulasi!$A$940)=0,"",INDEX(Kalkulasi!$AN902:$BE902,Kalkulasi!$A$940))</f>
        <v/>
      </c>
      <c r="J37" s="109">
        <f>IF(INDEX(Kalkulasi!$D$916:$D$933,Kalkulasi!$A$941)=0,"",INDEX(Kalkulasi!$AN902:$BE902,Kalkulasi!$A$941))</f>
        <v/>
      </c>
      <c r="K37" s="109">
        <f>IF(INDEX(Kalkulasi!$D$916:$D$933,Kalkulasi!$A$942)=0,"",INDEX(Kalkulasi!$AN902:$BE902,Kalkulasi!$A$942))</f>
        <v/>
      </c>
      <c r="L37" s="109">
        <f>IF(INDEX(Kalkulasi!$D$916:$D$933,Kalkulasi!$A$943)=0,"",INDEX(Kalkulasi!$AN902:$BE902,Kalkulasi!$A$943))</f>
        <v/>
      </c>
      <c r="M37" s="109">
        <f>IF(INDEX(Kalkulasi!$D$916:$D$933,Kalkulasi!$A$944)=0,"",INDEX(Kalkulasi!$AN902:$BE902,Kalkulasi!$A$944))</f>
        <v/>
      </c>
      <c r="N37" s="109">
        <f>IF(INDEX(Kalkulasi!$D$916:$D$933,Kalkulasi!$A$945)=0,"",INDEX(Kalkulasi!$AN902:$BE902,Kalkulasi!$A$945))</f>
        <v/>
      </c>
      <c r="O37" s="109">
        <f>IF(INDEX(Kalkulasi!$D$916:$D$933,Kalkulasi!$A$946)=0,"",INDEX(Kalkulasi!$AN902:$BE902,Kalkulasi!$A$946))</f>
        <v/>
      </c>
      <c r="P37" s="109">
        <f>IF(INDEX(Kalkulasi!$D$916:$D$933,Kalkulasi!$A$947)=0,"",INDEX(Kalkulasi!$AN902:$BE902,Kalkulasi!$A$947))</f>
        <v/>
      </c>
      <c r="Q37" s="109">
        <f>IF(INDEX(Kalkulasi!$D$916:$D$933,Kalkulasi!$A$948)=0,"",INDEX(Kalkulasi!$AN902:$BE902,Kalkulasi!$A$948))</f>
        <v/>
      </c>
      <c r="R37" s="110">
        <f>IF(Kalkulasi!AM902=0,"",Kalkulasi!T902/Kalkulasi!AM902)</f>
        <v/>
      </c>
      <c r="S37" s="111">
        <f>IF(Kalkulasi!T902=0,"",Kalkulasi!T902)</f>
        <v/>
      </c>
      <c r="U37" s="78" t="inlineStr"/>
      <c r="V37" s="2" t="n"/>
    </row>
    <row r="38" ht="17" customHeight="1">
      <c r="A38" s="1" t="n"/>
      <c r="B38" s="47" t="inlineStr">
        <is>
          <t>Muhammad Rifqi Rizqullah</t>
        </is>
      </c>
      <c r="C38" s="2" t="n"/>
      <c r="D38" s="108">
        <f>Kalkulasi!A903</f>
        <v/>
      </c>
      <c r="F38" s="109">
        <f>IF(INDEX(Kalkulasi!$D$916:$D$933,Kalkulasi!$A$937)=0,"",INDEX(Kalkulasi!$AN903:$BE903,Kalkulasi!$A$937))</f>
        <v/>
      </c>
      <c r="G38" s="109">
        <f>IF(INDEX(Kalkulasi!$D$916:$D$933,Kalkulasi!$A$938)=0,"",INDEX(Kalkulasi!$AN903:$BE903,Kalkulasi!$A$938))</f>
        <v/>
      </c>
      <c r="H38" s="109">
        <f>IF(INDEX(Kalkulasi!$D$916:$D$933,Kalkulasi!$A$939)=0,"",INDEX(Kalkulasi!$AN903:$BE903,Kalkulasi!$A$939))</f>
        <v/>
      </c>
      <c r="I38" s="109">
        <f>IF(INDEX(Kalkulasi!$D$916:$D$933,Kalkulasi!$A$940)=0,"",INDEX(Kalkulasi!$AN903:$BE903,Kalkulasi!$A$940))</f>
        <v/>
      </c>
      <c r="J38" s="109">
        <f>IF(INDEX(Kalkulasi!$D$916:$D$933,Kalkulasi!$A$941)=0,"",INDEX(Kalkulasi!$AN903:$BE903,Kalkulasi!$A$941))</f>
        <v/>
      </c>
      <c r="K38" s="109">
        <f>IF(INDEX(Kalkulasi!$D$916:$D$933,Kalkulasi!$A$942)=0,"",INDEX(Kalkulasi!$AN903:$BE903,Kalkulasi!$A$942))</f>
        <v/>
      </c>
      <c r="L38" s="109">
        <f>IF(INDEX(Kalkulasi!$D$916:$D$933,Kalkulasi!$A$943)=0,"",INDEX(Kalkulasi!$AN903:$BE903,Kalkulasi!$A$943))</f>
        <v/>
      </c>
      <c r="M38" s="109">
        <f>IF(INDEX(Kalkulasi!$D$916:$D$933,Kalkulasi!$A$944)=0,"",INDEX(Kalkulasi!$AN903:$BE903,Kalkulasi!$A$944))</f>
        <v/>
      </c>
      <c r="N38" s="109">
        <f>IF(INDEX(Kalkulasi!$D$916:$D$933,Kalkulasi!$A$945)=0,"",INDEX(Kalkulasi!$AN903:$BE903,Kalkulasi!$A$945))</f>
        <v/>
      </c>
      <c r="O38" s="109">
        <f>IF(INDEX(Kalkulasi!$D$916:$D$933,Kalkulasi!$A$946)=0,"",INDEX(Kalkulasi!$AN903:$BE903,Kalkulasi!$A$946))</f>
        <v/>
      </c>
      <c r="P38" s="109">
        <f>IF(INDEX(Kalkulasi!$D$916:$D$933,Kalkulasi!$A$947)=0,"",INDEX(Kalkulasi!$AN903:$BE903,Kalkulasi!$A$947))</f>
        <v/>
      </c>
      <c r="Q38" s="109">
        <f>IF(INDEX(Kalkulasi!$D$916:$D$933,Kalkulasi!$A$948)=0,"",INDEX(Kalkulasi!$AN903:$BE903,Kalkulasi!$A$948))</f>
        <v/>
      </c>
      <c r="R38" s="110">
        <f>IF(Kalkulasi!AM903=0,"",Kalkulasi!T903/Kalkulasi!AM903)</f>
        <v/>
      </c>
      <c r="S38" s="111">
        <f>IF(Kalkulasi!T903=0,"",Kalkulasi!T903)</f>
        <v/>
      </c>
      <c r="U38" s="78" t="inlineStr"/>
      <c r="V38" s="2" t="n"/>
    </row>
    <row r="39" ht="17" customHeight="1">
      <c r="A39" s="1" t="n"/>
      <c r="B39" s="49" t="inlineStr">
        <is>
          <t>Mine Operations Control</t>
        </is>
      </c>
      <c r="C39" s="2" t="n"/>
      <c r="D39" s="108">
        <f>Kalkulasi!A904</f>
        <v/>
      </c>
      <c r="F39" s="109">
        <f>IF(INDEX(Kalkulasi!$D$916:$D$933,Kalkulasi!$A$937)=0,"",INDEX(Kalkulasi!$AN904:$BE904,Kalkulasi!$A$937))</f>
        <v/>
      </c>
      <c r="G39" s="109">
        <f>IF(INDEX(Kalkulasi!$D$916:$D$933,Kalkulasi!$A$938)=0,"",INDEX(Kalkulasi!$AN904:$BE904,Kalkulasi!$A$938))</f>
        <v/>
      </c>
      <c r="H39" s="109">
        <f>IF(INDEX(Kalkulasi!$D$916:$D$933,Kalkulasi!$A$939)=0,"",INDEX(Kalkulasi!$AN904:$BE904,Kalkulasi!$A$939))</f>
        <v/>
      </c>
      <c r="I39" s="109">
        <f>IF(INDEX(Kalkulasi!$D$916:$D$933,Kalkulasi!$A$940)=0,"",INDEX(Kalkulasi!$AN904:$BE904,Kalkulasi!$A$940))</f>
        <v/>
      </c>
      <c r="J39" s="109">
        <f>IF(INDEX(Kalkulasi!$D$916:$D$933,Kalkulasi!$A$941)=0,"",INDEX(Kalkulasi!$AN904:$BE904,Kalkulasi!$A$941))</f>
        <v/>
      </c>
      <c r="K39" s="109">
        <f>IF(INDEX(Kalkulasi!$D$916:$D$933,Kalkulasi!$A$942)=0,"",INDEX(Kalkulasi!$AN904:$BE904,Kalkulasi!$A$942))</f>
        <v/>
      </c>
      <c r="L39" s="109">
        <f>IF(INDEX(Kalkulasi!$D$916:$D$933,Kalkulasi!$A$943)=0,"",INDEX(Kalkulasi!$AN904:$BE904,Kalkulasi!$A$943))</f>
        <v/>
      </c>
      <c r="M39" s="109">
        <f>IF(INDEX(Kalkulasi!$D$916:$D$933,Kalkulasi!$A$944)=0,"",INDEX(Kalkulasi!$AN904:$BE904,Kalkulasi!$A$944))</f>
        <v/>
      </c>
      <c r="N39" s="109">
        <f>IF(INDEX(Kalkulasi!$D$916:$D$933,Kalkulasi!$A$945)=0,"",INDEX(Kalkulasi!$AN904:$BE904,Kalkulasi!$A$945))</f>
        <v/>
      </c>
      <c r="O39" s="109">
        <f>IF(INDEX(Kalkulasi!$D$916:$D$933,Kalkulasi!$A$946)=0,"",INDEX(Kalkulasi!$AN904:$BE904,Kalkulasi!$A$946))</f>
        <v/>
      </c>
      <c r="P39" s="109">
        <f>IF(INDEX(Kalkulasi!$D$916:$D$933,Kalkulasi!$A$947)=0,"",INDEX(Kalkulasi!$AN904:$BE904,Kalkulasi!$A$947))</f>
        <v/>
      </c>
      <c r="Q39" s="109">
        <f>IF(INDEX(Kalkulasi!$D$916:$D$933,Kalkulasi!$A$948)=0,"",INDEX(Kalkulasi!$AN904:$BE904,Kalkulasi!$A$948))</f>
        <v/>
      </c>
      <c r="R39" s="110">
        <f>IF(Kalkulasi!AM904=0,"",Kalkulasi!T904/Kalkulasi!AM904)</f>
        <v/>
      </c>
      <c r="S39" s="111">
        <f>IF(Kalkulasi!T904=0,"",Kalkulasi!T904)</f>
        <v/>
      </c>
      <c r="U39" s="78" t="inlineStr"/>
      <c r="V39" s="2" t="n"/>
    </row>
    <row r="40" ht="17" customHeight="1">
      <c r="A40" s="1" t="n"/>
      <c r="B40" s="1" t="n"/>
      <c r="C40" s="2" t="n"/>
      <c r="D40" s="108">
        <f>Kalkulasi!A905</f>
        <v/>
      </c>
      <c r="F40" s="109">
        <f>IF(INDEX(Kalkulasi!$D$916:$D$933,Kalkulasi!$A$937)=0,"",INDEX(Kalkulasi!$AN905:$BE905,Kalkulasi!$A$937))</f>
        <v/>
      </c>
      <c r="G40" s="109">
        <f>IF(INDEX(Kalkulasi!$D$916:$D$933,Kalkulasi!$A$938)=0,"",INDEX(Kalkulasi!$AN905:$BE905,Kalkulasi!$A$938))</f>
        <v/>
      </c>
      <c r="H40" s="109">
        <f>IF(INDEX(Kalkulasi!$D$916:$D$933,Kalkulasi!$A$939)=0,"",INDEX(Kalkulasi!$AN905:$BE905,Kalkulasi!$A$939))</f>
        <v/>
      </c>
      <c r="I40" s="109">
        <f>IF(INDEX(Kalkulasi!$D$916:$D$933,Kalkulasi!$A$940)=0,"",INDEX(Kalkulasi!$AN905:$BE905,Kalkulasi!$A$940))</f>
        <v/>
      </c>
      <c r="J40" s="109">
        <f>IF(INDEX(Kalkulasi!$D$916:$D$933,Kalkulasi!$A$941)=0,"",INDEX(Kalkulasi!$AN905:$BE905,Kalkulasi!$A$941))</f>
        <v/>
      </c>
      <c r="K40" s="109">
        <f>IF(INDEX(Kalkulasi!$D$916:$D$933,Kalkulasi!$A$942)=0,"",INDEX(Kalkulasi!$AN905:$BE905,Kalkulasi!$A$942))</f>
        <v/>
      </c>
      <c r="L40" s="109">
        <f>IF(INDEX(Kalkulasi!$D$916:$D$933,Kalkulasi!$A$943)=0,"",INDEX(Kalkulasi!$AN905:$BE905,Kalkulasi!$A$943))</f>
        <v/>
      </c>
      <c r="M40" s="109">
        <f>IF(INDEX(Kalkulasi!$D$916:$D$933,Kalkulasi!$A$944)=0,"",INDEX(Kalkulasi!$AN905:$BE905,Kalkulasi!$A$944))</f>
        <v/>
      </c>
      <c r="N40" s="109">
        <f>IF(INDEX(Kalkulasi!$D$916:$D$933,Kalkulasi!$A$945)=0,"",INDEX(Kalkulasi!$AN905:$BE905,Kalkulasi!$A$945))</f>
        <v/>
      </c>
      <c r="O40" s="109">
        <f>IF(INDEX(Kalkulasi!$D$916:$D$933,Kalkulasi!$A$946)=0,"",INDEX(Kalkulasi!$AN905:$BE905,Kalkulasi!$A$946))</f>
        <v/>
      </c>
      <c r="P40" s="109">
        <f>IF(INDEX(Kalkulasi!$D$916:$D$933,Kalkulasi!$A$947)=0,"",INDEX(Kalkulasi!$AN905:$BE905,Kalkulasi!$A$947))</f>
        <v/>
      </c>
      <c r="Q40" s="109">
        <f>IF(INDEX(Kalkulasi!$D$916:$D$933,Kalkulasi!$A$948)=0,"",INDEX(Kalkulasi!$AN905:$BE905,Kalkulasi!$A$948))</f>
        <v/>
      </c>
      <c r="R40" s="110">
        <f>IF(Kalkulasi!AM905=0,"",Kalkulasi!T905/Kalkulasi!AM905)</f>
        <v/>
      </c>
      <c r="S40" s="111">
        <f>IF(Kalkulasi!T905=0,"",Kalkulasi!T905)</f>
        <v/>
      </c>
      <c r="U40" s="78" t="inlineStr"/>
      <c r="V40" s="2" t="n"/>
    </row>
    <row r="41" ht="17" customHeight="1">
      <c r="A41" s="1" t="n"/>
      <c r="B41" s="1" t="n"/>
      <c r="C41" s="2" t="n"/>
      <c r="D41" s="108">
        <f>Kalkulasi!A906</f>
        <v/>
      </c>
      <c r="F41" s="109">
        <f>IF(INDEX(Kalkulasi!$D$916:$D$933,Kalkulasi!$A$937)=0,"",INDEX(Kalkulasi!$AN906:$BE906,Kalkulasi!$A$937))</f>
        <v/>
      </c>
      <c r="G41" s="109">
        <f>IF(INDEX(Kalkulasi!$D$916:$D$933,Kalkulasi!$A$938)=0,"",INDEX(Kalkulasi!$AN906:$BE906,Kalkulasi!$A$938))</f>
        <v/>
      </c>
      <c r="H41" s="109">
        <f>IF(INDEX(Kalkulasi!$D$916:$D$933,Kalkulasi!$A$939)=0,"",INDEX(Kalkulasi!$AN906:$BE906,Kalkulasi!$A$939))</f>
        <v/>
      </c>
      <c r="I41" s="109">
        <f>IF(INDEX(Kalkulasi!$D$916:$D$933,Kalkulasi!$A$940)=0,"",INDEX(Kalkulasi!$AN906:$BE906,Kalkulasi!$A$940))</f>
        <v/>
      </c>
      <c r="J41" s="109">
        <f>IF(INDEX(Kalkulasi!$D$916:$D$933,Kalkulasi!$A$941)=0,"",INDEX(Kalkulasi!$AN906:$BE906,Kalkulasi!$A$941))</f>
        <v/>
      </c>
      <c r="K41" s="109">
        <f>IF(INDEX(Kalkulasi!$D$916:$D$933,Kalkulasi!$A$942)=0,"",INDEX(Kalkulasi!$AN906:$BE906,Kalkulasi!$A$942))</f>
        <v/>
      </c>
      <c r="L41" s="109">
        <f>IF(INDEX(Kalkulasi!$D$916:$D$933,Kalkulasi!$A$943)=0,"",INDEX(Kalkulasi!$AN906:$BE906,Kalkulasi!$A$943))</f>
        <v/>
      </c>
      <c r="M41" s="109">
        <f>IF(INDEX(Kalkulasi!$D$916:$D$933,Kalkulasi!$A$944)=0,"",INDEX(Kalkulasi!$AN906:$BE906,Kalkulasi!$A$944))</f>
        <v/>
      </c>
      <c r="N41" s="109">
        <f>IF(INDEX(Kalkulasi!$D$916:$D$933,Kalkulasi!$A$945)=0,"",INDEX(Kalkulasi!$AN906:$BE906,Kalkulasi!$A$945))</f>
        <v/>
      </c>
      <c r="O41" s="109">
        <f>IF(INDEX(Kalkulasi!$D$916:$D$933,Kalkulasi!$A$946)=0,"",INDEX(Kalkulasi!$AN906:$BE906,Kalkulasi!$A$946))</f>
        <v/>
      </c>
      <c r="P41" s="109">
        <f>IF(INDEX(Kalkulasi!$D$916:$D$933,Kalkulasi!$A$947)=0,"",INDEX(Kalkulasi!$AN906:$BE906,Kalkulasi!$A$947))</f>
        <v/>
      </c>
      <c r="Q41" s="109">
        <f>IF(INDEX(Kalkulasi!$D$916:$D$933,Kalkulasi!$A$948)=0,"",INDEX(Kalkulasi!$AN906:$BE906,Kalkulasi!$A$948))</f>
        <v/>
      </c>
      <c r="R41" s="110">
        <f>IF(Kalkulasi!AM906=0,"",Kalkulasi!T906/Kalkulasi!AM906)</f>
        <v/>
      </c>
      <c r="S41" s="111">
        <f>IF(Kalkulasi!T906=0,"",Kalkulasi!T906)</f>
        <v/>
      </c>
      <c r="U41" s="78" t="inlineStr"/>
      <c r="V41" s="2" t="n"/>
    </row>
    <row r="42" ht="17" customHeight="1">
      <c r="A42" s="1" t="n"/>
      <c r="B42" s="1" t="n"/>
      <c r="C42" s="2" t="n"/>
      <c r="D42" s="108">
        <f>Kalkulasi!A907</f>
        <v/>
      </c>
      <c r="F42" s="109">
        <f>IF(INDEX(Kalkulasi!$D$916:$D$933,Kalkulasi!$A$937)=0,"",INDEX(Kalkulasi!$AN907:$BE907,Kalkulasi!$A$937))</f>
        <v/>
      </c>
      <c r="G42" s="109">
        <f>IF(INDEX(Kalkulasi!$D$916:$D$933,Kalkulasi!$A$938)=0,"",INDEX(Kalkulasi!$AN907:$BE907,Kalkulasi!$A$938))</f>
        <v/>
      </c>
      <c r="H42" s="109">
        <f>IF(INDEX(Kalkulasi!$D$916:$D$933,Kalkulasi!$A$939)=0,"",INDEX(Kalkulasi!$AN907:$BE907,Kalkulasi!$A$939))</f>
        <v/>
      </c>
      <c r="I42" s="109">
        <f>IF(INDEX(Kalkulasi!$D$916:$D$933,Kalkulasi!$A$940)=0,"",INDEX(Kalkulasi!$AN907:$BE907,Kalkulasi!$A$940))</f>
        <v/>
      </c>
      <c r="J42" s="109">
        <f>IF(INDEX(Kalkulasi!$D$916:$D$933,Kalkulasi!$A$941)=0,"",INDEX(Kalkulasi!$AN907:$BE907,Kalkulasi!$A$941))</f>
        <v/>
      </c>
      <c r="K42" s="109">
        <f>IF(INDEX(Kalkulasi!$D$916:$D$933,Kalkulasi!$A$942)=0,"",INDEX(Kalkulasi!$AN907:$BE907,Kalkulasi!$A$942))</f>
        <v/>
      </c>
      <c r="L42" s="109">
        <f>IF(INDEX(Kalkulasi!$D$916:$D$933,Kalkulasi!$A$943)=0,"",INDEX(Kalkulasi!$AN907:$BE907,Kalkulasi!$A$943))</f>
        <v/>
      </c>
      <c r="M42" s="109">
        <f>IF(INDEX(Kalkulasi!$D$916:$D$933,Kalkulasi!$A$944)=0,"",INDEX(Kalkulasi!$AN907:$BE907,Kalkulasi!$A$944))</f>
        <v/>
      </c>
      <c r="N42" s="109">
        <f>IF(INDEX(Kalkulasi!$D$916:$D$933,Kalkulasi!$A$945)=0,"",INDEX(Kalkulasi!$AN907:$BE907,Kalkulasi!$A$945))</f>
        <v/>
      </c>
      <c r="O42" s="109">
        <f>IF(INDEX(Kalkulasi!$D$916:$D$933,Kalkulasi!$A$946)=0,"",INDEX(Kalkulasi!$AN907:$BE907,Kalkulasi!$A$946))</f>
        <v/>
      </c>
      <c r="P42" s="109">
        <f>IF(INDEX(Kalkulasi!$D$916:$D$933,Kalkulasi!$A$947)=0,"",INDEX(Kalkulasi!$AN907:$BE907,Kalkulasi!$A$947))</f>
        <v/>
      </c>
      <c r="Q42" s="109">
        <f>IF(INDEX(Kalkulasi!$D$916:$D$933,Kalkulasi!$A$948)=0,"",INDEX(Kalkulasi!$AN907:$BE907,Kalkulasi!$A$948))</f>
        <v/>
      </c>
      <c r="R42" s="110">
        <f>IF(Kalkulasi!AM907=0,"",Kalkulasi!T907/Kalkulasi!AM907)</f>
        <v/>
      </c>
      <c r="S42" s="111">
        <f>IF(Kalkulasi!T907=0,"",Kalkulasi!T907)</f>
        <v/>
      </c>
      <c r="U42" s="78" t="inlineStr"/>
      <c r="V42" s="2" t="n"/>
    </row>
    <row r="43" ht="17" customHeight="1">
      <c r="A43" s="1" t="n"/>
      <c r="B43" s="1" t="n"/>
      <c r="C43" s="2" t="n"/>
      <c r="D43" s="108">
        <f>Kalkulasi!A908</f>
        <v/>
      </c>
      <c r="F43" s="109">
        <f>IF(INDEX(Kalkulasi!$D$916:$D$933,Kalkulasi!$A$937)=0,"",INDEX(Kalkulasi!$AN908:$BE908,Kalkulasi!$A$937))</f>
        <v/>
      </c>
      <c r="G43" s="109">
        <f>IF(INDEX(Kalkulasi!$D$916:$D$933,Kalkulasi!$A$938)=0,"",INDEX(Kalkulasi!$AN908:$BE908,Kalkulasi!$A$938))</f>
        <v/>
      </c>
      <c r="H43" s="109">
        <f>IF(INDEX(Kalkulasi!$D$916:$D$933,Kalkulasi!$A$939)=0,"",INDEX(Kalkulasi!$AN908:$BE908,Kalkulasi!$A$939))</f>
        <v/>
      </c>
      <c r="I43" s="109">
        <f>IF(INDEX(Kalkulasi!$D$916:$D$933,Kalkulasi!$A$940)=0,"",INDEX(Kalkulasi!$AN908:$BE908,Kalkulasi!$A$940))</f>
        <v/>
      </c>
      <c r="J43" s="109">
        <f>IF(INDEX(Kalkulasi!$D$916:$D$933,Kalkulasi!$A$941)=0,"",INDEX(Kalkulasi!$AN908:$BE908,Kalkulasi!$A$941))</f>
        <v/>
      </c>
      <c r="K43" s="109">
        <f>IF(INDEX(Kalkulasi!$D$916:$D$933,Kalkulasi!$A$942)=0,"",INDEX(Kalkulasi!$AN908:$BE908,Kalkulasi!$A$942))</f>
        <v/>
      </c>
      <c r="L43" s="109">
        <f>IF(INDEX(Kalkulasi!$D$916:$D$933,Kalkulasi!$A$943)=0,"",INDEX(Kalkulasi!$AN908:$BE908,Kalkulasi!$A$943))</f>
        <v/>
      </c>
      <c r="M43" s="109">
        <f>IF(INDEX(Kalkulasi!$D$916:$D$933,Kalkulasi!$A$944)=0,"",INDEX(Kalkulasi!$AN908:$BE908,Kalkulasi!$A$944))</f>
        <v/>
      </c>
      <c r="N43" s="109">
        <f>IF(INDEX(Kalkulasi!$D$916:$D$933,Kalkulasi!$A$945)=0,"",INDEX(Kalkulasi!$AN908:$BE908,Kalkulasi!$A$945))</f>
        <v/>
      </c>
      <c r="O43" s="109">
        <f>IF(INDEX(Kalkulasi!$D$916:$D$933,Kalkulasi!$A$946)=0,"",INDEX(Kalkulasi!$AN908:$BE908,Kalkulasi!$A$946))</f>
        <v/>
      </c>
      <c r="P43" s="109">
        <f>IF(INDEX(Kalkulasi!$D$916:$D$933,Kalkulasi!$A$947)=0,"",INDEX(Kalkulasi!$AN908:$BE908,Kalkulasi!$A$947))</f>
        <v/>
      </c>
      <c r="Q43" s="109">
        <f>IF(INDEX(Kalkulasi!$D$916:$D$933,Kalkulasi!$A$948)=0,"",INDEX(Kalkulasi!$AN908:$BE908,Kalkulasi!$A$948))</f>
        <v/>
      </c>
      <c r="R43" s="110">
        <f>IF(Kalkulasi!AM908=0,"",Kalkulasi!T908/Kalkulasi!AM908)</f>
        <v/>
      </c>
      <c r="S43" s="111">
        <f>IF(Kalkulasi!T908=0,"",Kalkulasi!T908)</f>
        <v/>
      </c>
      <c r="U43" s="78" t="inlineStr"/>
      <c r="V43" s="2" t="n"/>
    </row>
    <row r="44" ht="17" customHeight="1">
      <c r="A44" s="1" t="n"/>
      <c r="B44" s="1" t="n"/>
      <c r="C44" s="2" t="n"/>
      <c r="D44" s="108">
        <f>Kalkulasi!A909</f>
        <v/>
      </c>
      <c r="F44" s="109">
        <f>IF(INDEX(Kalkulasi!$D$916:$D$933,Kalkulasi!$A$937)=0,"",INDEX(Kalkulasi!$AN909:$BE909,Kalkulasi!$A$937))</f>
        <v/>
      </c>
      <c r="G44" s="109">
        <f>IF(INDEX(Kalkulasi!$D$916:$D$933,Kalkulasi!$A$938)=0,"",INDEX(Kalkulasi!$AN909:$BE909,Kalkulasi!$A$938))</f>
        <v/>
      </c>
      <c r="H44" s="109">
        <f>IF(INDEX(Kalkulasi!$D$916:$D$933,Kalkulasi!$A$939)=0,"",INDEX(Kalkulasi!$AN909:$BE909,Kalkulasi!$A$939))</f>
        <v/>
      </c>
      <c r="I44" s="109">
        <f>IF(INDEX(Kalkulasi!$D$916:$D$933,Kalkulasi!$A$940)=0,"",INDEX(Kalkulasi!$AN909:$BE909,Kalkulasi!$A$940))</f>
        <v/>
      </c>
      <c r="J44" s="109">
        <f>IF(INDEX(Kalkulasi!$D$916:$D$933,Kalkulasi!$A$941)=0,"",INDEX(Kalkulasi!$AN909:$BE909,Kalkulasi!$A$941))</f>
        <v/>
      </c>
      <c r="K44" s="109">
        <f>IF(INDEX(Kalkulasi!$D$916:$D$933,Kalkulasi!$A$942)=0,"",INDEX(Kalkulasi!$AN909:$BE909,Kalkulasi!$A$942))</f>
        <v/>
      </c>
      <c r="L44" s="109">
        <f>IF(INDEX(Kalkulasi!$D$916:$D$933,Kalkulasi!$A$943)=0,"",INDEX(Kalkulasi!$AN909:$BE909,Kalkulasi!$A$943))</f>
        <v/>
      </c>
      <c r="M44" s="109">
        <f>IF(INDEX(Kalkulasi!$D$916:$D$933,Kalkulasi!$A$944)=0,"",INDEX(Kalkulasi!$AN909:$BE909,Kalkulasi!$A$944))</f>
        <v/>
      </c>
      <c r="N44" s="109">
        <f>IF(INDEX(Kalkulasi!$D$916:$D$933,Kalkulasi!$A$945)=0,"",INDEX(Kalkulasi!$AN909:$BE909,Kalkulasi!$A$945))</f>
        <v/>
      </c>
      <c r="O44" s="109">
        <f>IF(INDEX(Kalkulasi!$D$916:$D$933,Kalkulasi!$A$946)=0,"",INDEX(Kalkulasi!$AN909:$BE909,Kalkulasi!$A$946))</f>
        <v/>
      </c>
      <c r="P44" s="109">
        <f>IF(INDEX(Kalkulasi!$D$916:$D$933,Kalkulasi!$A$947)=0,"",INDEX(Kalkulasi!$AN909:$BE909,Kalkulasi!$A$947))</f>
        <v/>
      </c>
      <c r="Q44" s="109">
        <f>IF(INDEX(Kalkulasi!$D$916:$D$933,Kalkulasi!$A$948)=0,"",INDEX(Kalkulasi!$AN909:$BE909,Kalkulasi!$A$948))</f>
        <v/>
      </c>
      <c r="R44" s="110">
        <f>IF(Kalkulasi!AM909=0,"",Kalkulasi!T909/Kalkulasi!AM909)</f>
        <v/>
      </c>
      <c r="S44" s="111">
        <f>IF(Kalkulasi!T909=0,"",Kalkulasi!T909)</f>
        <v/>
      </c>
      <c r="U44" s="78" t="inlineStr"/>
      <c r="V44" s="2" t="n"/>
    </row>
    <row r="45" ht="17" customHeight="1">
      <c r="A45" s="1" t="n"/>
      <c r="B45" s="1" t="n"/>
      <c r="C45" s="2" t="n"/>
      <c r="D45" s="108">
        <f>Kalkulasi!A910</f>
        <v/>
      </c>
      <c r="F45" s="109">
        <f>IF(INDEX(Kalkulasi!$D$916:$D$933,Kalkulasi!$A$937)=0,"",INDEX(Kalkulasi!$AN910:$BE910,Kalkulasi!$A$937))</f>
        <v/>
      </c>
      <c r="G45" s="109">
        <f>IF(INDEX(Kalkulasi!$D$916:$D$933,Kalkulasi!$A$938)=0,"",INDEX(Kalkulasi!$AN910:$BE910,Kalkulasi!$A$938))</f>
        <v/>
      </c>
      <c r="H45" s="109">
        <f>IF(INDEX(Kalkulasi!$D$916:$D$933,Kalkulasi!$A$939)=0,"",INDEX(Kalkulasi!$AN910:$BE910,Kalkulasi!$A$939))</f>
        <v/>
      </c>
      <c r="I45" s="109">
        <f>IF(INDEX(Kalkulasi!$D$916:$D$933,Kalkulasi!$A$940)=0,"",INDEX(Kalkulasi!$AN910:$BE910,Kalkulasi!$A$940))</f>
        <v/>
      </c>
      <c r="J45" s="109">
        <f>IF(INDEX(Kalkulasi!$D$916:$D$933,Kalkulasi!$A$941)=0,"",INDEX(Kalkulasi!$AN910:$BE910,Kalkulasi!$A$941))</f>
        <v/>
      </c>
      <c r="K45" s="109">
        <f>IF(INDEX(Kalkulasi!$D$916:$D$933,Kalkulasi!$A$942)=0,"",INDEX(Kalkulasi!$AN910:$BE910,Kalkulasi!$A$942))</f>
        <v/>
      </c>
      <c r="L45" s="109">
        <f>IF(INDEX(Kalkulasi!$D$916:$D$933,Kalkulasi!$A$943)=0,"",INDEX(Kalkulasi!$AN910:$BE910,Kalkulasi!$A$943))</f>
        <v/>
      </c>
      <c r="M45" s="109">
        <f>IF(INDEX(Kalkulasi!$D$916:$D$933,Kalkulasi!$A$944)=0,"",INDEX(Kalkulasi!$AN910:$BE910,Kalkulasi!$A$944))</f>
        <v/>
      </c>
      <c r="N45" s="109">
        <f>IF(INDEX(Kalkulasi!$D$916:$D$933,Kalkulasi!$A$945)=0,"",INDEX(Kalkulasi!$AN910:$BE910,Kalkulasi!$A$945))</f>
        <v/>
      </c>
      <c r="O45" s="109">
        <f>IF(INDEX(Kalkulasi!$D$916:$D$933,Kalkulasi!$A$946)=0,"",INDEX(Kalkulasi!$AN910:$BE910,Kalkulasi!$A$946))</f>
        <v/>
      </c>
      <c r="P45" s="109">
        <f>IF(INDEX(Kalkulasi!$D$916:$D$933,Kalkulasi!$A$947)=0,"",INDEX(Kalkulasi!$AN910:$BE910,Kalkulasi!$A$947))</f>
        <v/>
      </c>
      <c r="Q45" s="109">
        <f>IF(INDEX(Kalkulasi!$D$916:$D$933,Kalkulasi!$A$948)=0,"",INDEX(Kalkulasi!$AN910:$BE910,Kalkulasi!$A$948))</f>
        <v/>
      </c>
      <c r="R45" s="110">
        <f>IF(Kalkulasi!AM910=0,"",Kalkulasi!T910/Kalkulasi!AM910)</f>
        <v/>
      </c>
      <c r="S45" s="111">
        <f>IF(Kalkulasi!T910=0,"",Kalkulasi!T910)</f>
        <v/>
      </c>
      <c r="U45" s="78" t="inlineStr"/>
      <c r="V45" s="2" t="n"/>
    </row>
    <row r="46" ht="17" customHeight="1">
      <c r="A46" s="1" t="n"/>
      <c r="B46" s="1" t="n"/>
      <c r="C46" s="2" t="n"/>
      <c r="D46" s="108">
        <f>Kalkulasi!A911</f>
        <v/>
      </c>
      <c r="F46" s="109">
        <f>IF(INDEX(Kalkulasi!$D$916:$D$933,Kalkulasi!$A$937)=0,"",INDEX(Kalkulasi!$AN911:$BE911,Kalkulasi!$A$937))</f>
        <v/>
      </c>
      <c r="G46" s="109">
        <f>IF(INDEX(Kalkulasi!$D$916:$D$933,Kalkulasi!$A$938)=0,"",INDEX(Kalkulasi!$AN911:$BE911,Kalkulasi!$A$938))</f>
        <v/>
      </c>
      <c r="H46" s="109">
        <f>IF(INDEX(Kalkulasi!$D$916:$D$933,Kalkulasi!$A$939)=0,"",INDEX(Kalkulasi!$AN911:$BE911,Kalkulasi!$A$939))</f>
        <v/>
      </c>
      <c r="I46" s="109">
        <f>IF(INDEX(Kalkulasi!$D$916:$D$933,Kalkulasi!$A$940)=0,"",INDEX(Kalkulasi!$AN911:$BE911,Kalkulasi!$A$940))</f>
        <v/>
      </c>
      <c r="J46" s="109">
        <f>IF(INDEX(Kalkulasi!$D$916:$D$933,Kalkulasi!$A$941)=0,"",INDEX(Kalkulasi!$AN911:$BE911,Kalkulasi!$A$941))</f>
        <v/>
      </c>
      <c r="K46" s="109">
        <f>IF(INDEX(Kalkulasi!$D$916:$D$933,Kalkulasi!$A$942)=0,"",INDEX(Kalkulasi!$AN911:$BE911,Kalkulasi!$A$942))</f>
        <v/>
      </c>
      <c r="L46" s="109">
        <f>IF(INDEX(Kalkulasi!$D$916:$D$933,Kalkulasi!$A$943)=0,"",INDEX(Kalkulasi!$AN911:$BE911,Kalkulasi!$A$943))</f>
        <v/>
      </c>
      <c r="M46" s="109">
        <f>IF(INDEX(Kalkulasi!$D$916:$D$933,Kalkulasi!$A$944)=0,"",INDEX(Kalkulasi!$AN911:$BE911,Kalkulasi!$A$944))</f>
        <v/>
      </c>
      <c r="N46" s="109">
        <f>IF(INDEX(Kalkulasi!$D$916:$D$933,Kalkulasi!$A$945)=0,"",INDEX(Kalkulasi!$AN911:$BE911,Kalkulasi!$A$945))</f>
        <v/>
      </c>
      <c r="O46" s="109">
        <f>IF(INDEX(Kalkulasi!$D$916:$D$933,Kalkulasi!$A$946)=0,"",INDEX(Kalkulasi!$AN911:$BE911,Kalkulasi!$A$946))</f>
        <v/>
      </c>
      <c r="P46" s="109">
        <f>IF(INDEX(Kalkulasi!$D$916:$D$933,Kalkulasi!$A$947)=0,"",INDEX(Kalkulasi!$AN911:$BE911,Kalkulasi!$A$947))</f>
        <v/>
      </c>
      <c r="Q46" s="109">
        <f>IF(INDEX(Kalkulasi!$D$916:$D$933,Kalkulasi!$A$948)=0,"",INDEX(Kalkulasi!$AN911:$BE911,Kalkulasi!$A$948))</f>
        <v/>
      </c>
      <c r="R46" s="110">
        <f>IF(Kalkulasi!AM911=0,"",Kalkulasi!T911/Kalkulasi!AM911)</f>
        <v/>
      </c>
      <c r="S46" s="111">
        <f>IF(Kalkulasi!T911=0,"",Kalkulasi!T911)</f>
        <v/>
      </c>
      <c r="U46" s="78" t="inlineStr"/>
      <c r="V46" s="2" t="n"/>
    </row>
    <row r="47">
      <c r="A47" s="1" t="n"/>
      <c r="B47" s="1" t="n"/>
      <c r="C47" s="2" t="n"/>
      <c r="D47" s="44" t="n"/>
      <c r="E47" s="45" t="n"/>
      <c r="F47" s="45" t="n"/>
      <c r="G47" s="45" t="n"/>
      <c r="H47" s="45" t="n"/>
      <c r="I47" s="45" t="n"/>
      <c r="J47" s="45" t="n"/>
      <c r="K47" s="45" t="n"/>
      <c r="L47" s="45" t="n"/>
      <c r="M47" s="45" t="n"/>
      <c r="N47" s="45" t="n"/>
      <c r="O47" s="45" t="n"/>
      <c r="P47" s="45" t="n"/>
      <c r="Q47" s="45" t="n"/>
      <c r="R47" s="45" t="n"/>
      <c r="S47" s="45" t="n"/>
      <c r="T47" s="45" t="n"/>
      <c r="U47" s="46" t="n"/>
      <c r="V47" s="2" t="n"/>
    </row>
    <row r="48" ht="24" customHeight="1">
      <c r="A48" s="1" t="n"/>
      <c r="B48" s="1" t="n"/>
      <c r="C48" s="2" t="n"/>
      <c r="D48" s="29" t="inlineStr">
        <is>
          <t>PTY fleet harian</t>
        </is>
      </c>
      <c r="E48" s="30" t="n"/>
      <c r="F48" s="30" t="n"/>
      <c r="G48" s="30" t="n"/>
      <c r="H48" s="30" t="n"/>
      <c r="I48" s="30" t="n"/>
      <c r="J48" s="30" t="n"/>
      <c r="K48" s="30" t="n"/>
      <c r="L48" s="30" t="n"/>
      <c r="M48" s="30" t="n"/>
      <c r="N48" s="31" t="inlineStr">
        <is>
          <t>produksi digger ÷ EWH digger</t>
        </is>
      </c>
      <c r="O48" s="29" t="inlineStr">
        <is>
          <t>Ranking PTY periode</t>
        </is>
      </c>
      <c r="P48" s="30" t="n"/>
      <c r="Q48" s="30" t="n"/>
      <c r="R48" s="30" t="n"/>
      <c r="S48" s="30" t="n"/>
      <c r="T48" s="30" t="n"/>
      <c r="U48" s="31" t="inlineStr">
        <is>
          <t>batang = PTY · abu = target</t>
        </is>
      </c>
      <c r="V48" s="2" t="n"/>
    </row>
    <row r="49">
      <c r="A49" s="1" t="n"/>
      <c r="B49" s="1" t="n"/>
      <c r="C49" s="2" t="n"/>
      <c r="D49" s="32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4" t="n"/>
      <c r="O49" s="32" t="n"/>
      <c r="P49" s="33" t="n"/>
      <c r="Q49" s="33" t="n"/>
      <c r="R49" s="33" t="n"/>
      <c r="S49" s="33" t="n"/>
      <c r="T49" s="33" t="n"/>
      <c r="U49" s="34" t="n"/>
      <c r="V49" s="2" t="n"/>
    </row>
    <row r="50">
      <c r="A50" s="1" t="n"/>
      <c r="B50" s="1" t="n"/>
      <c r="C50" s="2" t="n"/>
      <c r="D50" s="32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4" t="n"/>
      <c r="O50" s="32" t="n"/>
      <c r="P50" s="33" t="n"/>
      <c r="Q50" s="33" t="n"/>
      <c r="R50" s="33" t="n"/>
      <c r="S50" s="33" t="n"/>
      <c r="T50" s="33" t="n"/>
      <c r="U50" s="34" t="n"/>
      <c r="V50" s="2" t="n"/>
    </row>
    <row r="51">
      <c r="A51" s="1" t="n"/>
      <c r="B51" s="1" t="n"/>
      <c r="C51" s="2" t="n"/>
      <c r="D51" s="32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4" t="n"/>
      <c r="O51" s="32" t="n"/>
      <c r="P51" s="33" t="n"/>
      <c r="Q51" s="33" t="n"/>
      <c r="R51" s="33" t="n"/>
      <c r="S51" s="33" t="n"/>
      <c r="T51" s="33" t="n"/>
      <c r="U51" s="34" t="n"/>
      <c r="V51" s="2" t="n"/>
    </row>
    <row r="52">
      <c r="A52" s="1" t="n"/>
      <c r="B52" s="1" t="n"/>
      <c r="C52" s="2" t="n"/>
      <c r="D52" s="32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4" t="n"/>
      <c r="O52" s="32" t="n"/>
      <c r="P52" s="33" t="n"/>
      <c r="Q52" s="33" t="n"/>
      <c r="R52" s="33" t="n"/>
      <c r="S52" s="33" t="n"/>
      <c r="T52" s="33" t="n"/>
      <c r="U52" s="34" t="n"/>
      <c r="V52" s="2" t="n"/>
    </row>
    <row r="53">
      <c r="A53" s="1" t="n"/>
      <c r="B53" s="1" t="n"/>
      <c r="C53" s="2" t="n"/>
      <c r="D53" s="32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4" t="n"/>
      <c r="O53" s="32" t="n"/>
      <c r="P53" s="33" t="n"/>
      <c r="Q53" s="33" t="n"/>
      <c r="R53" s="33" t="n"/>
      <c r="S53" s="33" t="n"/>
      <c r="T53" s="33" t="n"/>
      <c r="U53" s="34" t="n"/>
      <c r="V53" s="2" t="n"/>
    </row>
    <row r="54">
      <c r="A54" s="1" t="n"/>
      <c r="B54" s="1" t="n"/>
      <c r="C54" s="2" t="n"/>
      <c r="D54" s="32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4" t="n"/>
      <c r="O54" s="32" t="n"/>
      <c r="P54" s="33" t="n"/>
      <c r="Q54" s="33" t="n"/>
      <c r="R54" s="33" t="n"/>
      <c r="S54" s="33" t="n"/>
      <c r="T54" s="33" t="n"/>
      <c r="U54" s="34" t="n"/>
      <c r="V54" s="2" t="n"/>
    </row>
    <row r="55">
      <c r="A55" s="1" t="n"/>
      <c r="B55" s="1" t="n"/>
      <c r="C55" s="2" t="n"/>
      <c r="D55" s="32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4" t="n"/>
      <c r="O55" s="32" t="n"/>
      <c r="P55" s="33" t="n"/>
      <c r="Q55" s="33" t="n"/>
      <c r="R55" s="33" t="n"/>
      <c r="S55" s="33" t="n"/>
      <c r="T55" s="33" t="n"/>
      <c r="U55" s="34" t="n"/>
      <c r="V55" s="2" t="n"/>
    </row>
    <row r="56">
      <c r="A56" s="1" t="n"/>
      <c r="B56" s="1" t="n"/>
      <c r="C56" s="2" t="n"/>
      <c r="D56" s="32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4" t="n"/>
      <c r="O56" s="32" t="n"/>
      <c r="P56" s="33" t="n"/>
      <c r="Q56" s="33" t="n"/>
      <c r="R56" s="33" t="n"/>
      <c r="S56" s="33" t="n"/>
      <c r="T56" s="33" t="n"/>
      <c r="U56" s="34" t="n"/>
      <c r="V56" s="2" t="n"/>
    </row>
    <row r="57">
      <c r="A57" s="1" t="n"/>
      <c r="B57" s="1" t="n"/>
      <c r="C57" s="2" t="n"/>
      <c r="D57" s="32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4" t="n"/>
      <c r="O57" s="32" t="n"/>
      <c r="P57" s="33" t="n"/>
      <c r="Q57" s="33" t="n"/>
      <c r="R57" s="33" t="n"/>
      <c r="S57" s="33" t="n"/>
      <c r="T57" s="33" t="n"/>
      <c r="U57" s="34" t="n"/>
      <c r="V57" s="2" t="n"/>
    </row>
    <row r="58">
      <c r="A58" s="1" t="n"/>
      <c r="B58" s="1" t="n"/>
      <c r="C58" s="2" t="n"/>
      <c r="D58" s="32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4" t="n"/>
      <c r="O58" s="32" t="n"/>
      <c r="P58" s="33" t="n"/>
      <c r="Q58" s="33" t="n"/>
      <c r="R58" s="33" t="n"/>
      <c r="S58" s="33" t="n"/>
      <c r="T58" s="33" t="n"/>
      <c r="U58" s="34" t="n"/>
      <c r="V58" s="2" t="n"/>
    </row>
    <row r="59">
      <c r="A59" s="1" t="n"/>
      <c r="B59" s="1" t="n"/>
      <c r="C59" s="2" t="n"/>
      <c r="D59" s="32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4" t="n"/>
      <c r="O59" s="32" t="n"/>
      <c r="P59" s="33" t="n"/>
      <c r="Q59" s="33" t="n"/>
      <c r="R59" s="33" t="n"/>
      <c r="S59" s="33" t="n"/>
      <c r="T59" s="33" t="n"/>
      <c r="U59" s="34" t="n"/>
      <c r="V59" s="2" t="n"/>
    </row>
    <row r="60">
      <c r="A60" s="1" t="n"/>
      <c r="B60" s="1" t="n"/>
      <c r="C60" s="2" t="n"/>
      <c r="D60" s="32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4" t="n"/>
      <c r="O60" s="32" t="n"/>
      <c r="P60" s="33" t="n"/>
      <c r="Q60" s="33" t="n"/>
      <c r="R60" s="33" t="n"/>
      <c r="S60" s="33" t="n"/>
      <c r="T60" s="33" t="n"/>
      <c r="U60" s="34" t="n"/>
      <c r="V60" s="2" t="n"/>
    </row>
    <row r="61">
      <c r="A61" s="1" t="n"/>
      <c r="B61" s="1" t="n"/>
      <c r="C61" s="2" t="n"/>
      <c r="D61" s="32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4" t="n"/>
      <c r="O61" s="32" t="n"/>
      <c r="P61" s="33" t="n"/>
      <c r="Q61" s="33" t="n"/>
      <c r="R61" s="33" t="n"/>
      <c r="S61" s="33" t="n"/>
      <c r="T61" s="33" t="n"/>
      <c r="U61" s="34" t="n"/>
      <c r="V61" s="2" t="n"/>
    </row>
    <row r="62">
      <c r="A62" s="1" t="n"/>
      <c r="B62" s="1" t="n"/>
      <c r="C62" s="2" t="n"/>
      <c r="D62" s="32" t="n"/>
      <c r="E62" s="33" t="n"/>
      <c r="F62" s="33" t="n"/>
      <c r="G62" s="33" t="n"/>
      <c r="H62" s="33" t="n"/>
      <c r="I62" s="33" t="n"/>
      <c r="J62" s="33" t="n"/>
      <c r="K62" s="33" t="n"/>
      <c r="L62" s="33" t="n"/>
      <c r="M62" s="33" t="n"/>
      <c r="N62" s="34" t="n"/>
      <c r="O62" s="32" t="n"/>
      <c r="P62" s="33" t="n"/>
      <c r="Q62" s="33" t="n"/>
      <c r="R62" s="33" t="n"/>
      <c r="S62" s="33" t="n"/>
      <c r="T62" s="33" t="n"/>
      <c r="U62" s="34" t="n"/>
      <c r="V62" s="2" t="n"/>
    </row>
    <row r="63">
      <c r="A63" s="1" t="n"/>
      <c r="B63" s="1" t="n"/>
      <c r="C63" s="2" t="n"/>
      <c r="D63" s="32" t="n"/>
      <c r="E63" s="33" t="n"/>
      <c r="F63" s="33" t="n"/>
      <c r="G63" s="33" t="n"/>
      <c r="H63" s="33" t="n"/>
      <c r="I63" s="33" t="n"/>
      <c r="J63" s="33" t="n"/>
      <c r="K63" s="33" t="n"/>
      <c r="L63" s="33" t="n"/>
      <c r="M63" s="33" t="n"/>
      <c r="N63" s="34" t="n"/>
      <c r="O63" s="32" t="n"/>
      <c r="P63" s="33" t="n"/>
      <c r="Q63" s="33" t="n"/>
      <c r="R63" s="33" t="n"/>
      <c r="S63" s="33" t="n"/>
      <c r="T63" s="33" t="n"/>
      <c r="U63" s="34" t="n"/>
      <c r="V63" s="2" t="n"/>
    </row>
    <row r="64">
      <c r="A64" s="1" t="n"/>
      <c r="B64" s="1" t="n"/>
      <c r="C64" s="2" t="n"/>
      <c r="D64" s="32" t="n"/>
      <c r="E64" s="33" t="n"/>
      <c r="F64" s="33" t="n"/>
      <c r="G64" s="33" t="n"/>
      <c r="H64" s="33" t="n"/>
      <c r="I64" s="33" t="n"/>
      <c r="J64" s="33" t="n"/>
      <c r="K64" s="33" t="n"/>
      <c r="L64" s="33" t="n"/>
      <c r="M64" s="33" t="n"/>
      <c r="N64" s="34" t="n"/>
      <c r="O64" s="32" t="n"/>
      <c r="P64" s="33" t="n"/>
      <c r="Q64" s="33" t="n"/>
      <c r="R64" s="33" t="n"/>
      <c r="S64" s="33" t="n"/>
      <c r="T64" s="33" t="n"/>
      <c r="U64" s="34" t="n"/>
      <c r="V64" s="2" t="n"/>
    </row>
    <row r="65">
      <c r="A65" s="1" t="n"/>
      <c r="B65" s="1" t="n"/>
      <c r="C65" s="2" t="n"/>
      <c r="D65" s="44" t="n"/>
      <c r="E65" s="45" t="n"/>
      <c r="F65" s="45" t="n"/>
      <c r="G65" s="45" t="n"/>
      <c r="H65" s="45" t="n"/>
      <c r="I65" s="45" t="n"/>
      <c r="J65" s="45" t="n"/>
      <c r="K65" s="45" t="n"/>
      <c r="L65" s="45" t="n"/>
      <c r="M65" s="45" t="n"/>
      <c r="N65" s="46" t="n"/>
      <c r="O65" s="44" t="n"/>
      <c r="P65" s="45" t="n"/>
      <c r="Q65" s="45" t="n"/>
      <c r="R65" s="45" t="n"/>
      <c r="S65" s="45" t="n"/>
      <c r="T65" s="45" t="n"/>
      <c r="U65" s="46" t="n"/>
      <c r="V65" s="2" t="n"/>
    </row>
    <row r="66">
      <c r="A66" s="1" t="n"/>
      <c r="B66" s="1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</row>
    <row r="67" ht="24" customHeight="1">
      <c r="A67" s="1" t="n"/>
      <c r="B67" s="1" t="n"/>
      <c r="C67" s="2" t="n"/>
      <c r="D67" s="29" t="inlineStr">
        <is>
          <t>Ranking digger</t>
        </is>
      </c>
      <c r="E67" s="30" t="n"/>
      <c r="F67" s="30" t="n"/>
      <c r="G67" s="30" t="n"/>
      <c r="H67" s="30" t="n"/>
      <c r="I67" s="30" t="n"/>
      <c r="J67" s="30" t="n"/>
      <c r="K67" s="30" t="n"/>
      <c r="L67" s="30" t="n"/>
      <c r="M67" s="30" t="n"/>
      <c r="N67" s="30" t="n"/>
      <c r="O67" s="30" t="n"/>
      <c r="P67" s="30" t="n"/>
      <c r="Q67" s="30" t="n"/>
      <c r="R67" s="30" t="n"/>
      <c r="S67" s="30" t="n"/>
      <c r="T67" s="30" t="n"/>
      <c r="U67" s="31" t="inlineStr">
        <is>
          <t>shift on target = shift dengan PTY ≥ target / shift berproduksi</t>
        </is>
      </c>
      <c r="V67" s="2" t="n"/>
    </row>
    <row r="68" ht="20" customHeight="1">
      <c r="A68" s="1" t="n"/>
      <c r="B68" s="1" t="n"/>
      <c r="C68" s="2" t="n"/>
      <c r="D68" s="112" t="inlineStr">
        <is>
          <t>#</t>
        </is>
      </c>
      <c r="E68" s="65" t="inlineStr">
        <is>
          <t>Digger</t>
        </is>
      </c>
      <c r="F68" s="65" t="inlineStr"/>
      <c r="G68" s="65" t="inlineStr">
        <is>
          <t>Tipe</t>
        </is>
      </c>
      <c r="H68" s="65" t="inlineStr"/>
      <c r="I68" s="66" t="inlineStr">
        <is>
          <t>Target</t>
        </is>
      </c>
      <c r="J68" s="66" t="inlineStr">
        <is>
          <t>PTY</t>
        </is>
      </c>
      <c r="K68" s="66" t="inlineStr">
        <is>
          <t>Produksi</t>
        </is>
      </c>
      <c r="L68" s="66" t="inlineStr"/>
      <c r="M68" s="66" t="inlineStr">
        <is>
          <t>On target</t>
        </is>
      </c>
      <c r="N68" s="66" t="inlineStr"/>
      <c r="O68" s="66" t="inlineStr">
        <is>
          <t>%</t>
        </is>
      </c>
      <c r="P68" s="66" t="inlineStr">
        <is>
          <t>Max</t>
        </is>
      </c>
      <c r="Q68" s="66" t="inlineStr">
        <is>
          <t>Min</t>
        </is>
      </c>
      <c r="R68" s="66" t="inlineStr"/>
      <c r="S68" s="66" t="inlineStr"/>
      <c r="T68" s="66" t="inlineStr"/>
      <c r="U68" s="66" t="inlineStr"/>
      <c r="V68" s="2" t="n"/>
    </row>
    <row r="69" ht="18" customHeight="1">
      <c r="A69" s="1" t="n"/>
      <c r="B69" s="1" t="n"/>
      <c r="C69" s="2" t="n"/>
      <c r="D69" s="113">
        <f>IF(INDEX(Kalkulasi!$D$916:$D$933,Kalkulasi!$A$937)&gt;0,1,"")</f>
        <v/>
      </c>
      <c r="E69" s="67">
        <f>IF(INDEX(Kalkulasi!$D$916:$D$933,Kalkulasi!$A$937)&gt;0,INDEX(Kalkulasi!$A$916:$A$933,Kalkulasi!$A$937),"")</f>
        <v/>
      </c>
      <c r="G69" s="68">
        <f>IF(INDEX(Kalkulasi!$D$916:$D$933,Kalkulasi!$A$937)&gt;0,INDEX(Kalkulasi!$B$916:$B$933,Kalkulasi!$A$937),"")</f>
        <v/>
      </c>
      <c r="I69" s="114">
        <f>IF(AND(INDEX(Kalkulasi!$D$916:$D$933,Kalkulasi!$A$937)&gt;0,INDEX(Kalkulasi!$C$916:$C$933,Kalkulasi!$A$937)&gt;0),INDEX(Kalkulasi!$C$916:$C$933,Kalkulasi!$A$937),"")</f>
        <v/>
      </c>
      <c r="J69" s="110">
        <f>IF(INDEX(Kalkulasi!$D$916:$D$933,Kalkulasi!$A$937)&gt;0,INDEX(Kalkulasi!$F$916:$F$933,Kalkulasi!$A$937),"")</f>
        <v/>
      </c>
      <c r="K69" s="69">
        <f>IF(INDEX(Kalkulasi!$D$916:$D$933,Kalkulasi!$A$937)&gt;0,INDEX(Kalkulasi!$D$916:$D$933,Kalkulasi!$A$937),"")</f>
        <v/>
      </c>
      <c r="M69" s="78">
        <f>IF(INDEX(Kalkulasi!$D$916:$D$933,Kalkulasi!$A$937)&gt;0,INDEX(Kalkulasi!$G$916:$G$933,Kalkulasi!$A$937)&amp;" / "&amp;INDEX(Kalkulasi!$H$916:$H$933,Kalkulasi!$A$937),"")</f>
        <v/>
      </c>
      <c r="O69" s="115">
        <f>IF(AND(INDEX(Kalkulasi!$D$916:$D$933,Kalkulasi!$A$937)&gt;0,INDEX(Kalkulasi!$H$916:$H$933,Kalkulasi!$A$937)&gt;0),INDEX(Kalkulasi!$G$916:$G$933,Kalkulasi!$A$937)/INDEX(Kalkulasi!$H$916:$H$933,Kalkulasi!$A$937),"")</f>
        <v/>
      </c>
      <c r="P69" s="116">
        <f>IF(INDEX(Kalkulasi!$D$916:$D$933,Kalkulasi!$A$937)&gt;0,INDEX(Kalkulasi!$I$916:$I$933,Kalkulasi!$A$937),"")</f>
        <v/>
      </c>
      <c r="Q69" s="117">
        <f>IF(INDEX(Kalkulasi!$D$916:$D$933,Kalkulasi!$A$937)&gt;0,INDEX(Kalkulasi!$J$916:$J$933,Kalkulasi!$A$937),"")</f>
        <v/>
      </c>
      <c r="R69" s="78" t="inlineStr"/>
      <c r="S69" s="78" t="inlineStr"/>
      <c r="T69" s="78" t="inlineStr"/>
      <c r="U69" s="78" t="inlineStr"/>
      <c r="V69" s="2" t="n"/>
    </row>
    <row r="70" ht="18" customHeight="1">
      <c r="A70" s="1" t="n"/>
      <c r="B70" s="1" t="n"/>
      <c r="C70" s="2" t="n"/>
      <c r="D70" s="113">
        <f>IF(INDEX(Kalkulasi!$D$916:$D$933,Kalkulasi!$A$938)&gt;0,2,"")</f>
        <v/>
      </c>
      <c r="E70" s="67">
        <f>IF(INDEX(Kalkulasi!$D$916:$D$933,Kalkulasi!$A$938)&gt;0,INDEX(Kalkulasi!$A$916:$A$933,Kalkulasi!$A$938),"")</f>
        <v/>
      </c>
      <c r="G70" s="68">
        <f>IF(INDEX(Kalkulasi!$D$916:$D$933,Kalkulasi!$A$938)&gt;0,INDEX(Kalkulasi!$B$916:$B$933,Kalkulasi!$A$938),"")</f>
        <v/>
      </c>
      <c r="I70" s="114">
        <f>IF(AND(INDEX(Kalkulasi!$D$916:$D$933,Kalkulasi!$A$938)&gt;0,INDEX(Kalkulasi!$C$916:$C$933,Kalkulasi!$A$938)&gt;0),INDEX(Kalkulasi!$C$916:$C$933,Kalkulasi!$A$938),"")</f>
        <v/>
      </c>
      <c r="J70" s="110">
        <f>IF(INDEX(Kalkulasi!$D$916:$D$933,Kalkulasi!$A$938)&gt;0,INDEX(Kalkulasi!$F$916:$F$933,Kalkulasi!$A$938),"")</f>
        <v/>
      </c>
      <c r="K70" s="69">
        <f>IF(INDEX(Kalkulasi!$D$916:$D$933,Kalkulasi!$A$938)&gt;0,INDEX(Kalkulasi!$D$916:$D$933,Kalkulasi!$A$938),"")</f>
        <v/>
      </c>
      <c r="M70" s="78">
        <f>IF(INDEX(Kalkulasi!$D$916:$D$933,Kalkulasi!$A$938)&gt;0,INDEX(Kalkulasi!$G$916:$G$933,Kalkulasi!$A$938)&amp;" / "&amp;INDEX(Kalkulasi!$H$916:$H$933,Kalkulasi!$A$938),"")</f>
        <v/>
      </c>
      <c r="O70" s="115">
        <f>IF(AND(INDEX(Kalkulasi!$D$916:$D$933,Kalkulasi!$A$938)&gt;0,INDEX(Kalkulasi!$H$916:$H$933,Kalkulasi!$A$938)&gt;0),INDEX(Kalkulasi!$G$916:$G$933,Kalkulasi!$A$938)/INDEX(Kalkulasi!$H$916:$H$933,Kalkulasi!$A$938),"")</f>
        <v/>
      </c>
      <c r="P70" s="116">
        <f>IF(INDEX(Kalkulasi!$D$916:$D$933,Kalkulasi!$A$938)&gt;0,INDEX(Kalkulasi!$I$916:$I$933,Kalkulasi!$A$938),"")</f>
        <v/>
      </c>
      <c r="Q70" s="117">
        <f>IF(INDEX(Kalkulasi!$D$916:$D$933,Kalkulasi!$A$938)&gt;0,INDEX(Kalkulasi!$J$916:$J$933,Kalkulasi!$A$938),"")</f>
        <v/>
      </c>
      <c r="R70" s="78" t="inlineStr"/>
      <c r="S70" s="78" t="inlineStr"/>
      <c r="T70" s="78" t="inlineStr"/>
      <c r="U70" s="78" t="inlineStr"/>
      <c r="V70" s="2" t="n"/>
    </row>
    <row r="71" ht="18" customHeight="1">
      <c r="A71" s="1" t="n"/>
      <c r="B71" s="1" t="n"/>
      <c r="C71" s="2" t="n"/>
      <c r="D71" s="113">
        <f>IF(INDEX(Kalkulasi!$D$916:$D$933,Kalkulasi!$A$939)&gt;0,3,"")</f>
        <v/>
      </c>
      <c r="E71" s="67">
        <f>IF(INDEX(Kalkulasi!$D$916:$D$933,Kalkulasi!$A$939)&gt;0,INDEX(Kalkulasi!$A$916:$A$933,Kalkulasi!$A$939),"")</f>
        <v/>
      </c>
      <c r="G71" s="68">
        <f>IF(INDEX(Kalkulasi!$D$916:$D$933,Kalkulasi!$A$939)&gt;0,INDEX(Kalkulasi!$B$916:$B$933,Kalkulasi!$A$939),"")</f>
        <v/>
      </c>
      <c r="I71" s="114">
        <f>IF(AND(INDEX(Kalkulasi!$D$916:$D$933,Kalkulasi!$A$939)&gt;0,INDEX(Kalkulasi!$C$916:$C$933,Kalkulasi!$A$939)&gt;0),INDEX(Kalkulasi!$C$916:$C$933,Kalkulasi!$A$939),"")</f>
        <v/>
      </c>
      <c r="J71" s="110">
        <f>IF(INDEX(Kalkulasi!$D$916:$D$933,Kalkulasi!$A$939)&gt;0,INDEX(Kalkulasi!$F$916:$F$933,Kalkulasi!$A$939),"")</f>
        <v/>
      </c>
      <c r="K71" s="69">
        <f>IF(INDEX(Kalkulasi!$D$916:$D$933,Kalkulasi!$A$939)&gt;0,INDEX(Kalkulasi!$D$916:$D$933,Kalkulasi!$A$939),"")</f>
        <v/>
      </c>
      <c r="M71" s="78">
        <f>IF(INDEX(Kalkulasi!$D$916:$D$933,Kalkulasi!$A$939)&gt;0,INDEX(Kalkulasi!$G$916:$G$933,Kalkulasi!$A$939)&amp;" / "&amp;INDEX(Kalkulasi!$H$916:$H$933,Kalkulasi!$A$939),"")</f>
        <v/>
      </c>
      <c r="O71" s="115">
        <f>IF(AND(INDEX(Kalkulasi!$D$916:$D$933,Kalkulasi!$A$939)&gt;0,INDEX(Kalkulasi!$H$916:$H$933,Kalkulasi!$A$939)&gt;0),INDEX(Kalkulasi!$G$916:$G$933,Kalkulasi!$A$939)/INDEX(Kalkulasi!$H$916:$H$933,Kalkulasi!$A$939),"")</f>
        <v/>
      </c>
      <c r="P71" s="116">
        <f>IF(INDEX(Kalkulasi!$D$916:$D$933,Kalkulasi!$A$939)&gt;0,INDEX(Kalkulasi!$I$916:$I$933,Kalkulasi!$A$939),"")</f>
        <v/>
      </c>
      <c r="Q71" s="117">
        <f>IF(INDEX(Kalkulasi!$D$916:$D$933,Kalkulasi!$A$939)&gt;0,INDEX(Kalkulasi!$J$916:$J$933,Kalkulasi!$A$939),"")</f>
        <v/>
      </c>
      <c r="R71" s="78" t="inlineStr"/>
      <c r="S71" s="78" t="inlineStr"/>
      <c r="T71" s="78" t="inlineStr"/>
      <c r="U71" s="78" t="inlineStr"/>
      <c r="V71" s="2" t="n"/>
    </row>
    <row r="72" ht="18" customHeight="1">
      <c r="A72" s="1" t="n"/>
      <c r="B72" s="1" t="n"/>
      <c r="C72" s="2" t="n"/>
      <c r="D72" s="113">
        <f>IF(INDEX(Kalkulasi!$D$916:$D$933,Kalkulasi!$A$940)&gt;0,4,"")</f>
        <v/>
      </c>
      <c r="E72" s="67">
        <f>IF(INDEX(Kalkulasi!$D$916:$D$933,Kalkulasi!$A$940)&gt;0,INDEX(Kalkulasi!$A$916:$A$933,Kalkulasi!$A$940),"")</f>
        <v/>
      </c>
      <c r="G72" s="68">
        <f>IF(INDEX(Kalkulasi!$D$916:$D$933,Kalkulasi!$A$940)&gt;0,INDEX(Kalkulasi!$B$916:$B$933,Kalkulasi!$A$940),"")</f>
        <v/>
      </c>
      <c r="I72" s="114">
        <f>IF(AND(INDEX(Kalkulasi!$D$916:$D$933,Kalkulasi!$A$940)&gt;0,INDEX(Kalkulasi!$C$916:$C$933,Kalkulasi!$A$940)&gt;0),INDEX(Kalkulasi!$C$916:$C$933,Kalkulasi!$A$940),"")</f>
        <v/>
      </c>
      <c r="J72" s="110">
        <f>IF(INDEX(Kalkulasi!$D$916:$D$933,Kalkulasi!$A$940)&gt;0,INDEX(Kalkulasi!$F$916:$F$933,Kalkulasi!$A$940),"")</f>
        <v/>
      </c>
      <c r="K72" s="69">
        <f>IF(INDEX(Kalkulasi!$D$916:$D$933,Kalkulasi!$A$940)&gt;0,INDEX(Kalkulasi!$D$916:$D$933,Kalkulasi!$A$940),"")</f>
        <v/>
      </c>
      <c r="M72" s="78">
        <f>IF(INDEX(Kalkulasi!$D$916:$D$933,Kalkulasi!$A$940)&gt;0,INDEX(Kalkulasi!$G$916:$G$933,Kalkulasi!$A$940)&amp;" / "&amp;INDEX(Kalkulasi!$H$916:$H$933,Kalkulasi!$A$940),"")</f>
        <v/>
      </c>
      <c r="O72" s="115">
        <f>IF(AND(INDEX(Kalkulasi!$D$916:$D$933,Kalkulasi!$A$940)&gt;0,INDEX(Kalkulasi!$H$916:$H$933,Kalkulasi!$A$940)&gt;0),INDEX(Kalkulasi!$G$916:$G$933,Kalkulasi!$A$940)/INDEX(Kalkulasi!$H$916:$H$933,Kalkulasi!$A$940),"")</f>
        <v/>
      </c>
      <c r="P72" s="116">
        <f>IF(INDEX(Kalkulasi!$D$916:$D$933,Kalkulasi!$A$940)&gt;0,INDEX(Kalkulasi!$I$916:$I$933,Kalkulasi!$A$940),"")</f>
        <v/>
      </c>
      <c r="Q72" s="117">
        <f>IF(INDEX(Kalkulasi!$D$916:$D$933,Kalkulasi!$A$940)&gt;0,INDEX(Kalkulasi!$J$916:$J$933,Kalkulasi!$A$940),"")</f>
        <v/>
      </c>
      <c r="R72" s="78" t="inlineStr"/>
      <c r="S72" s="78" t="inlineStr"/>
      <c r="T72" s="78" t="inlineStr"/>
      <c r="U72" s="78" t="inlineStr"/>
      <c r="V72" s="2" t="n"/>
    </row>
    <row r="73" ht="18" customHeight="1">
      <c r="A73" s="1" t="n"/>
      <c r="B73" s="1" t="n"/>
      <c r="C73" s="2" t="n"/>
      <c r="D73" s="113">
        <f>IF(INDEX(Kalkulasi!$D$916:$D$933,Kalkulasi!$A$941)&gt;0,5,"")</f>
        <v/>
      </c>
      <c r="E73" s="67">
        <f>IF(INDEX(Kalkulasi!$D$916:$D$933,Kalkulasi!$A$941)&gt;0,INDEX(Kalkulasi!$A$916:$A$933,Kalkulasi!$A$941),"")</f>
        <v/>
      </c>
      <c r="G73" s="68">
        <f>IF(INDEX(Kalkulasi!$D$916:$D$933,Kalkulasi!$A$941)&gt;0,INDEX(Kalkulasi!$B$916:$B$933,Kalkulasi!$A$941),"")</f>
        <v/>
      </c>
      <c r="I73" s="114">
        <f>IF(AND(INDEX(Kalkulasi!$D$916:$D$933,Kalkulasi!$A$941)&gt;0,INDEX(Kalkulasi!$C$916:$C$933,Kalkulasi!$A$941)&gt;0),INDEX(Kalkulasi!$C$916:$C$933,Kalkulasi!$A$941),"")</f>
        <v/>
      </c>
      <c r="J73" s="110">
        <f>IF(INDEX(Kalkulasi!$D$916:$D$933,Kalkulasi!$A$941)&gt;0,INDEX(Kalkulasi!$F$916:$F$933,Kalkulasi!$A$941),"")</f>
        <v/>
      </c>
      <c r="K73" s="69">
        <f>IF(INDEX(Kalkulasi!$D$916:$D$933,Kalkulasi!$A$941)&gt;0,INDEX(Kalkulasi!$D$916:$D$933,Kalkulasi!$A$941),"")</f>
        <v/>
      </c>
      <c r="M73" s="78">
        <f>IF(INDEX(Kalkulasi!$D$916:$D$933,Kalkulasi!$A$941)&gt;0,INDEX(Kalkulasi!$G$916:$G$933,Kalkulasi!$A$941)&amp;" / "&amp;INDEX(Kalkulasi!$H$916:$H$933,Kalkulasi!$A$941),"")</f>
        <v/>
      </c>
      <c r="O73" s="115">
        <f>IF(AND(INDEX(Kalkulasi!$D$916:$D$933,Kalkulasi!$A$941)&gt;0,INDEX(Kalkulasi!$H$916:$H$933,Kalkulasi!$A$941)&gt;0),INDEX(Kalkulasi!$G$916:$G$933,Kalkulasi!$A$941)/INDEX(Kalkulasi!$H$916:$H$933,Kalkulasi!$A$941),"")</f>
        <v/>
      </c>
      <c r="P73" s="116">
        <f>IF(INDEX(Kalkulasi!$D$916:$D$933,Kalkulasi!$A$941)&gt;0,INDEX(Kalkulasi!$I$916:$I$933,Kalkulasi!$A$941),"")</f>
        <v/>
      </c>
      <c r="Q73" s="117">
        <f>IF(INDEX(Kalkulasi!$D$916:$D$933,Kalkulasi!$A$941)&gt;0,INDEX(Kalkulasi!$J$916:$J$933,Kalkulasi!$A$941),"")</f>
        <v/>
      </c>
      <c r="R73" s="78" t="inlineStr"/>
      <c r="S73" s="78" t="inlineStr"/>
      <c r="T73" s="78" t="inlineStr"/>
      <c r="U73" s="78" t="inlineStr"/>
      <c r="V73" s="2" t="n"/>
    </row>
    <row r="74" ht="18" customHeight="1">
      <c r="A74" s="1" t="n"/>
      <c r="B74" s="1" t="n"/>
      <c r="C74" s="2" t="n"/>
      <c r="D74" s="113">
        <f>IF(INDEX(Kalkulasi!$D$916:$D$933,Kalkulasi!$A$942)&gt;0,6,"")</f>
        <v/>
      </c>
      <c r="E74" s="67">
        <f>IF(INDEX(Kalkulasi!$D$916:$D$933,Kalkulasi!$A$942)&gt;0,INDEX(Kalkulasi!$A$916:$A$933,Kalkulasi!$A$942),"")</f>
        <v/>
      </c>
      <c r="G74" s="68">
        <f>IF(INDEX(Kalkulasi!$D$916:$D$933,Kalkulasi!$A$942)&gt;0,INDEX(Kalkulasi!$B$916:$B$933,Kalkulasi!$A$942),"")</f>
        <v/>
      </c>
      <c r="I74" s="114">
        <f>IF(AND(INDEX(Kalkulasi!$D$916:$D$933,Kalkulasi!$A$942)&gt;0,INDEX(Kalkulasi!$C$916:$C$933,Kalkulasi!$A$942)&gt;0),INDEX(Kalkulasi!$C$916:$C$933,Kalkulasi!$A$942),"")</f>
        <v/>
      </c>
      <c r="J74" s="110">
        <f>IF(INDEX(Kalkulasi!$D$916:$D$933,Kalkulasi!$A$942)&gt;0,INDEX(Kalkulasi!$F$916:$F$933,Kalkulasi!$A$942),"")</f>
        <v/>
      </c>
      <c r="K74" s="69">
        <f>IF(INDEX(Kalkulasi!$D$916:$D$933,Kalkulasi!$A$942)&gt;0,INDEX(Kalkulasi!$D$916:$D$933,Kalkulasi!$A$942),"")</f>
        <v/>
      </c>
      <c r="M74" s="78">
        <f>IF(INDEX(Kalkulasi!$D$916:$D$933,Kalkulasi!$A$942)&gt;0,INDEX(Kalkulasi!$G$916:$G$933,Kalkulasi!$A$942)&amp;" / "&amp;INDEX(Kalkulasi!$H$916:$H$933,Kalkulasi!$A$942),"")</f>
        <v/>
      </c>
      <c r="O74" s="115">
        <f>IF(AND(INDEX(Kalkulasi!$D$916:$D$933,Kalkulasi!$A$942)&gt;0,INDEX(Kalkulasi!$H$916:$H$933,Kalkulasi!$A$942)&gt;0),INDEX(Kalkulasi!$G$916:$G$933,Kalkulasi!$A$942)/INDEX(Kalkulasi!$H$916:$H$933,Kalkulasi!$A$942),"")</f>
        <v/>
      </c>
      <c r="P74" s="116">
        <f>IF(INDEX(Kalkulasi!$D$916:$D$933,Kalkulasi!$A$942)&gt;0,INDEX(Kalkulasi!$I$916:$I$933,Kalkulasi!$A$942),"")</f>
        <v/>
      </c>
      <c r="Q74" s="117">
        <f>IF(INDEX(Kalkulasi!$D$916:$D$933,Kalkulasi!$A$942)&gt;0,INDEX(Kalkulasi!$J$916:$J$933,Kalkulasi!$A$942),"")</f>
        <v/>
      </c>
      <c r="R74" s="78" t="inlineStr"/>
      <c r="S74" s="78" t="inlineStr"/>
      <c r="T74" s="78" t="inlineStr"/>
      <c r="U74" s="78" t="inlineStr"/>
      <c r="V74" s="2" t="n"/>
    </row>
    <row r="75" ht="18" customHeight="1">
      <c r="A75" s="1" t="n"/>
      <c r="B75" s="1" t="n"/>
      <c r="C75" s="2" t="n"/>
      <c r="D75" s="113">
        <f>IF(INDEX(Kalkulasi!$D$916:$D$933,Kalkulasi!$A$943)&gt;0,7,"")</f>
        <v/>
      </c>
      <c r="E75" s="67">
        <f>IF(INDEX(Kalkulasi!$D$916:$D$933,Kalkulasi!$A$943)&gt;0,INDEX(Kalkulasi!$A$916:$A$933,Kalkulasi!$A$943),"")</f>
        <v/>
      </c>
      <c r="G75" s="68">
        <f>IF(INDEX(Kalkulasi!$D$916:$D$933,Kalkulasi!$A$943)&gt;0,INDEX(Kalkulasi!$B$916:$B$933,Kalkulasi!$A$943),"")</f>
        <v/>
      </c>
      <c r="I75" s="114">
        <f>IF(AND(INDEX(Kalkulasi!$D$916:$D$933,Kalkulasi!$A$943)&gt;0,INDEX(Kalkulasi!$C$916:$C$933,Kalkulasi!$A$943)&gt;0),INDEX(Kalkulasi!$C$916:$C$933,Kalkulasi!$A$943),"")</f>
        <v/>
      </c>
      <c r="J75" s="110">
        <f>IF(INDEX(Kalkulasi!$D$916:$D$933,Kalkulasi!$A$943)&gt;0,INDEX(Kalkulasi!$F$916:$F$933,Kalkulasi!$A$943),"")</f>
        <v/>
      </c>
      <c r="K75" s="69">
        <f>IF(INDEX(Kalkulasi!$D$916:$D$933,Kalkulasi!$A$943)&gt;0,INDEX(Kalkulasi!$D$916:$D$933,Kalkulasi!$A$943),"")</f>
        <v/>
      </c>
      <c r="M75" s="78">
        <f>IF(INDEX(Kalkulasi!$D$916:$D$933,Kalkulasi!$A$943)&gt;0,INDEX(Kalkulasi!$G$916:$G$933,Kalkulasi!$A$943)&amp;" / "&amp;INDEX(Kalkulasi!$H$916:$H$933,Kalkulasi!$A$943),"")</f>
        <v/>
      </c>
      <c r="O75" s="115">
        <f>IF(AND(INDEX(Kalkulasi!$D$916:$D$933,Kalkulasi!$A$943)&gt;0,INDEX(Kalkulasi!$H$916:$H$933,Kalkulasi!$A$943)&gt;0),INDEX(Kalkulasi!$G$916:$G$933,Kalkulasi!$A$943)/INDEX(Kalkulasi!$H$916:$H$933,Kalkulasi!$A$943),"")</f>
        <v/>
      </c>
      <c r="P75" s="116">
        <f>IF(INDEX(Kalkulasi!$D$916:$D$933,Kalkulasi!$A$943)&gt;0,INDEX(Kalkulasi!$I$916:$I$933,Kalkulasi!$A$943),"")</f>
        <v/>
      </c>
      <c r="Q75" s="117">
        <f>IF(INDEX(Kalkulasi!$D$916:$D$933,Kalkulasi!$A$943)&gt;0,INDEX(Kalkulasi!$J$916:$J$933,Kalkulasi!$A$943),"")</f>
        <v/>
      </c>
      <c r="R75" s="78" t="inlineStr"/>
      <c r="S75" s="78" t="inlineStr"/>
      <c r="T75" s="78" t="inlineStr"/>
      <c r="U75" s="78" t="inlineStr"/>
      <c r="V75" s="2" t="n"/>
    </row>
    <row r="76" ht="18" customHeight="1">
      <c r="A76" s="1" t="n"/>
      <c r="B76" s="1" t="n"/>
      <c r="C76" s="2" t="n"/>
      <c r="D76" s="113">
        <f>IF(INDEX(Kalkulasi!$D$916:$D$933,Kalkulasi!$A$944)&gt;0,8,"")</f>
        <v/>
      </c>
      <c r="E76" s="67">
        <f>IF(INDEX(Kalkulasi!$D$916:$D$933,Kalkulasi!$A$944)&gt;0,INDEX(Kalkulasi!$A$916:$A$933,Kalkulasi!$A$944),"")</f>
        <v/>
      </c>
      <c r="G76" s="68">
        <f>IF(INDEX(Kalkulasi!$D$916:$D$933,Kalkulasi!$A$944)&gt;0,INDEX(Kalkulasi!$B$916:$B$933,Kalkulasi!$A$944),"")</f>
        <v/>
      </c>
      <c r="I76" s="114">
        <f>IF(AND(INDEX(Kalkulasi!$D$916:$D$933,Kalkulasi!$A$944)&gt;0,INDEX(Kalkulasi!$C$916:$C$933,Kalkulasi!$A$944)&gt;0),INDEX(Kalkulasi!$C$916:$C$933,Kalkulasi!$A$944),"")</f>
        <v/>
      </c>
      <c r="J76" s="110">
        <f>IF(INDEX(Kalkulasi!$D$916:$D$933,Kalkulasi!$A$944)&gt;0,INDEX(Kalkulasi!$F$916:$F$933,Kalkulasi!$A$944),"")</f>
        <v/>
      </c>
      <c r="K76" s="69">
        <f>IF(INDEX(Kalkulasi!$D$916:$D$933,Kalkulasi!$A$944)&gt;0,INDEX(Kalkulasi!$D$916:$D$933,Kalkulasi!$A$944),"")</f>
        <v/>
      </c>
      <c r="M76" s="78">
        <f>IF(INDEX(Kalkulasi!$D$916:$D$933,Kalkulasi!$A$944)&gt;0,INDEX(Kalkulasi!$G$916:$G$933,Kalkulasi!$A$944)&amp;" / "&amp;INDEX(Kalkulasi!$H$916:$H$933,Kalkulasi!$A$944),"")</f>
        <v/>
      </c>
      <c r="O76" s="115">
        <f>IF(AND(INDEX(Kalkulasi!$D$916:$D$933,Kalkulasi!$A$944)&gt;0,INDEX(Kalkulasi!$H$916:$H$933,Kalkulasi!$A$944)&gt;0),INDEX(Kalkulasi!$G$916:$G$933,Kalkulasi!$A$944)/INDEX(Kalkulasi!$H$916:$H$933,Kalkulasi!$A$944),"")</f>
        <v/>
      </c>
      <c r="P76" s="116">
        <f>IF(INDEX(Kalkulasi!$D$916:$D$933,Kalkulasi!$A$944)&gt;0,INDEX(Kalkulasi!$I$916:$I$933,Kalkulasi!$A$944),"")</f>
        <v/>
      </c>
      <c r="Q76" s="117">
        <f>IF(INDEX(Kalkulasi!$D$916:$D$933,Kalkulasi!$A$944)&gt;0,INDEX(Kalkulasi!$J$916:$J$933,Kalkulasi!$A$944),"")</f>
        <v/>
      </c>
      <c r="R76" s="78" t="inlineStr"/>
      <c r="S76" s="78" t="inlineStr"/>
      <c r="T76" s="78" t="inlineStr"/>
      <c r="U76" s="78" t="inlineStr"/>
      <c r="V76" s="2" t="n"/>
    </row>
    <row r="77" ht="18" customHeight="1">
      <c r="A77" s="1" t="n"/>
      <c r="B77" s="1" t="n"/>
      <c r="C77" s="2" t="n"/>
      <c r="D77" s="113">
        <f>IF(INDEX(Kalkulasi!$D$916:$D$933,Kalkulasi!$A$945)&gt;0,9,"")</f>
        <v/>
      </c>
      <c r="E77" s="67">
        <f>IF(INDEX(Kalkulasi!$D$916:$D$933,Kalkulasi!$A$945)&gt;0,INDEX(Kalkulasi!$A$916:$A$933,Kalkulasi!$A$945),"")</f>
        <v/>
      </c>
      <c r="G77" s="68">
        <f>IF(INDEX(Kalkulasi!$D$916:$D$933,Kalkulasi!$A$945)&gt;0,INDEX(Kalkulasi!$B$916:$B$933,Kalkulasi!$A$945),"")</f>
        <v/>
      </c>
      <c r="I77" s="114">
        <f>IF(AND(INDEX(Kalkulasi!$D$916:$D$933,Kalkulasi!$A$945)&gt;0,INDEX(Kalkulasi!$C$916:$C$933,Kalkulasi!$A$945)&gt;0),INDEX(Kalkulasi!$C$916:$C$933,Kalkulasi!$A$945),"")</f>
        <v/>
      </c>
      <c r="J77" s="110">
        <f>IF(INDEX(Kalkulasi!$D$916:$D$933,Kalkulasi!$A$945)&gt;0,INDEX(Kalkulasi!$F$916:$F$933,Kalkulasi!$A$945),"")</f>
        <v/>
      </c>
      <c r="K77" s="69">
        <f>IF(INDEX(Kalkulasi!$D$916:$D$933,Kalkulasi!$A$945)&gt;0,INDEX(Kalkulasi!$D$916:$D$933,Kalkulasi!$A$945),"")</f>
        <v/>
      </c>
      <c r="M77" s="78">
        <f>IF(INDEX(Kalkulasi!$D$916:$D$933,Kalkulasi!$A$945)&gt;0,INDEX(Kalkulasi!$G$916:$G$933,Kalkulasi!$A$945)&amp;" / "&amp;INDEX(Kalkulasi!$H$916:$H$933,Kalkulasi!$A$945),"")</f>
        <v/>
      </c>
      <c r="O77" s="115">
        <f>IF(AND(INDEX(Kalkulasi!$D$916:$D$933,Kalkulasi!$A$945)&gt;0,INDEX(Kalkulasi!$H$916:$H$933,Kalkulasi!$A$945)&gt;0),INDEX(Kalkulasi!$G$916:$G$933,Kalkulasi!$A$945)/INDEX(Kalkulasi!$H$916:$H$933,Kalkulasi!$A$945),"")</f>
        <v/>
      </c>
      <c r="P77" s="116">
        <f>IF(INDEX(Kalkulasi!$D$916:$D$933,Kalkulasi!$A$945)&gt;0,INDEX(Kalkulasi!$I$916:$I$933,Kalkulasi!$A$945),"")</f>
        <v/>
      </c>
      <c r="Q77" s="117">
        <f>IF(INDEX(Kalkulasi!$D$916:$D$933,Kalkulasi!$A$945)&gt;0,INDEX(Kalkulasi!$J$916:$J$933,Kalkulasi!$A$945),"")</f>
        <v/>
      </c>
      <c r="R77" s="78" t="inlineStr"/>
      <c r="S77" s="78" t="inlineStr"/>
      <c r="T77" s="78" t="inlineStr"/>
      <c r="U77" s="78" t="inlineStr"/>
      <c r="V77" s="2" t="n"/>
    </row>
    <row r="78" ht="18" customHeight="1">
      <c r="A78" s="1" t="n"/>
      <c r="B78" s="1" t="n"/>
      <c r="C78" s="2" t="n"/>
      <c r="D78" s="113">
        <f>IF(INDEX(Kalkulasi!$D$916:$D$933,Kalkulasi!$A$946)&gt;0,10,"")</f>
        <v/>
      </c>
      <c r="E78" s="67">
        <f>IF(INDEX(Kalkulasi!$D$916:$D$933,Kalkulasi!$A$946)&gt;0,INDEX(Kalkulasi!$A$916:$A$933,Kalkulasi!$A$946),"")</f>
        <v/>
      </c>
      <c r="G78" s="68">
        <f>IF(INDEX(Kalkulasi!$D$916:$D$933,Kalkulasi!$A$946)&gt;0,INDEX(Kalkulasi!$B$916:$B$933,Kalkulasi!$A$946),"")</f>
        <v/>
      </c>
      <c r="I78" s="114">
        <f>IF(AND(INDEX(Kalkulasi!$D$916:$D$933,Kalkulasi!$A$946)&gt;0,INDEX(Kalkulasi!$C$916:$C$933,Kalkulasi!$A$946)&gt;0),INDEX(Kalkulasi!$C$916:$C$933,Kalkulasi!$A$946),"")</f>
        <v/>
      </c>
      <c r="J78" s="110">
        <f>IF(INDEX(Kalkulasi!$D$916:$D$933,Kalkulasi!$A$946)&gt;0,INDEX(Kalkulasi!$F$916:$F$933,Kalkulasi!$A$946),"")</f>
        <v/>
      </c>
      <c r="K78" s="69">
        <f>IF(INDEX(Kalkulasi!$D$916:$D$933,Kalkulasi!$A$946)&gt;0,INDEX(Kalkulasi!$D$916:$D$933,Kalkulasi!$A$946),"")</f>
        <v/>
      </c>
      <c r="M78" s="78">
        <f>IF(INDEX(Kalkulasi!$D$916:$D$933,Kalkulasi!$A$946)&gt;0,INDEX(Kalkulasi!$G$916:$G$933,Kalkulasi!$A$946)&amp;" / "&amp;INDEX(Kalkulasi!$H$916:$H$933,Kalkulasi!$A$946),"")</f>
        <v/>
      </c>
      <c r="O78" s="115">
        <f>IF(AND(INDEX(Kalkulasi!$D$916:$D$933,Kalkulasi!$A$946)&gt;0,INDEX(Kalkulasi!$H$916:$H$933,Kalkulasi!$A$946)&gt;0),INDEX(Kalkulasi!$G$916:$G$933,Kalkulasi!$A$946)/INDEX(Kalkulasi!$H$916:$H$933,Kalkulasi!$A$946),"")</f>
        <v/>
      </c>
      <c r="P78" s="116">
        <f>IF(INDEX(Kalkulasi!$D$916:$D$933,Kalkulasi!$A$946)&gt;0,INDEX(Kalkulasi!$I$916:$I$933,Kalkulasi!$A$946),"")</f>
        <v/>
      </c>
      <c r="Q78" s="117">
        <f>IF(INDEX(Kalkulasi!$D$916:$D$933,Kalkulasi!$A$946)&gt;0,INDEX(Kalkulasi!$J$916:$J$933,Kalkulasi!$A$946),"")</f>
        <v/>
      </c>
      <c r="R78" s="78" t="inlineStr"/>
      <c r="S78" s="78" t="inlineStr"/>
      <c r="T78" s="78" t="inlineStr"/>
      <c r="U78" s="78" t="inlineStr"/>
      <c r="V78" s="2" t="n"/>
    </row>
    <row r="79" ht="18" customHeight="1">
      <c r="A79" s="1" t="n"/>
      <c r="B79" s="1" t="n"/>
      <c r="C79" s="2" t="n"/>
      <c r="D79" s="113">
        <f>IF(INDEX(Kalkulasi!$D$916:$D$933,Kalkulasi!$A$947)&gt;0,11,"")</f>
        <v/>
      </c>
      <c r="E79" s="67">
        <f>IF(INDEX(Kalkulasi!$D$916:$D$933,Kalkulasi!$A$947)&gt;0,INDEX(Kalkulasi!$A$916:$A$933,Kalkulasi!$A$947),"")</f>
        <v/>
      </c>
      <c r="G79" s="68">
        <f>IF(INDEX(Kalkulasi!$D$916:$D$933,Kalkulasi!$A$947)&gt;0,INDEX(Kalkulasi!$B$916:$B$933,Kalkulasi!$A$947),"")</f>
        <v/>
      </c>
      <c r="I79" s="114">
        <f>IF(AND(INDEX(Kalkulasi!$D$916:$D$933,Kalkulasi!$A$947)&gt;0,INDEX(Kalkulasi!$C$916:$C$933,Kalkulasi!$A$947)&gt;0),INDEX(Kalkulasi!$C$916:$C$933,Kalkulasi!$A$947),"")</f>
        <v/>
      </c>
      <c r="J79" s="110">
        <f>IF(INDEX(Kalkulasi!$D$916:$D$933,Kalkulasi!$A$947)&gt;0,INDEX(Kalkulasi!$F$916:$F$933,Kalkulasi!$A$947),"")</f>
        <v/>
      </c>
      <c r="K79" s="69">
        <f>IF(INDEX(Kalkulasi!$D$916:$D$933,Kalkulasi!$A$947)&gt;0,INDEX(Kalkulasi!$D$916:$D$933,Kalkulasi!$A$947),"")</f>
        <v/>
      </c>
      <c r="M79" s="78">
        <f>IF(INDEX(Kalkulasi!$D$916:$D$933,Kalkulasi!$A$947)&gt;0,INDEX(Kalkulasi!$G$916:$G$933,Kalkulasi!$A$947)&amp;" / "&amp;INDEX(Kalkulasi!$H$916:$H$933,Kalkulasi!$A$947),"")</f>
        <v/>
      </c>
      <c r="O79" s="115">
        <f>IF(AND(INDEX(Kalkulasi!$D$916:$D$933,Kalkulasi!$A$947)&gt;0,INDEX(Kalkulasi!$H$916:$H$933,Kalkulasi!$A$947)&gt;0),INDEX(Kalkulasi!$G$916:$G$933,Kalkulasi!$A$947)/INDEX(Kalkulasi!$H$916:$H$933,Kalkulasi!$A$947),"")</f>
        <v/>
      </c>
      <c r="P79" s="116">
        <f>IF(INDEX(Kalkulasi!$D$916:$D$933,Kalkulasi!$A$947)&gt;0,INDEX(Kalkulasi!$I$916:$I$933,Kalkulasi!$A$947),"")</f>
        <v/>
      </c>
      <c r="Q79" s="117">
        <f>IF(INDEX(Kalkulasi!$D$916:$D$933,Kalkulasi!$A$947)&gt;0,INDEX(Kalkulasi!$J$916:$J$933,Kalkulasi!$A$947),"")</f>
        <v/>
      </c>
      <c r="R79" s="78" t="inlineStr"/>
      <c r="S79" s="78" t="inlineStr"/>
      <c r="T79" s="78" t="inlineStr"/>
      <c r="U79" s="78" t="inlineStr"/>
      <c r="V79" s="2" t="n"/>
    </row>
    <row r="80" ht="18" customHeight="1">
      <c r="A80" s="1" t="n"/>
      <c r="B80" s="1" t="n"/>
      <c r="C80" s="2" t="n"/>
      <c r="D80" s="113">
        <f>IF(INDEX(Kalkulasi!$D$916:$D$933,Kalkulasi!$A$948)&gt;0,12,"")</f>
        <v/>
      </c>
      <c r="E80" s="67">
        <f>IF(INDEX(Kalkulasi!$D$916:$D$933,Kalkulasi!$A$948)&gt;0,INDEX(Kalkulasi!$A$916:$A$933,Kalkulasi!$A$948),"")</f>
        <v/>
      </c>
      <c r="G80" s="68">
        <f>IF(INDEX(Kalkulasi!$D$916:$D$933,Kalkulasi!$A$948)&gt;0,INDEX(Kalkulasi!$B$916:$B$933,Kalkulasi!$A$948),"")</f>
        <v/>
      </c>
      <c r="I80" s="114">
        <f>IF(AND(INDEX(Kalkulasi!$D$916:$D$933,Kalkulasi!$A$948)&gt;0,INDEX(Kalkulasi!$C$916:$C$933,Kalkulasi!$A$948)&gt;0),INDEX(Kalkulasi!$C$916:$C$933,Kalkulasi!$A$948),"")</f>
        <v/>
      </c>
      <c r="J80" s="110">
        <f>IF(INDEX(Kalkulasi!$D$916:$D$933,Kalkulasi!$A$948)&gt;0,INDEX(Kalkulasi!$F$916:$F$933,Kalkulasi!$A$948),"")</f>
        <v/>
      </c>
      <c r="K80" s="69">
        <f>IF(INDEX(Kalkulasi!$D$916:$D$933,Kalkulasi!$A$948)&gt;0,INDEX(Kalkulasi!$D$916:$D$933,Kalkulasi!$A$948),"")</f>
        <v/>
      </c>
      <c r="M80" s="78">
        <f>IF(INDEX(Kalkulasi!$D$916:$D$933,Kalkulasi!$A$948)&gt;0,INDEX(Kalkulasi!$G$916:$G$933,Kalkulasi!$A$948)&amp;" / "&amp;INDEX(Kalkulasi!$H$916:$H$933,Kalkulasi!$A$948),"")</f>
        <v/>
      </c>
      <c r="O80" s="115">
        <f>IF(AND(INDEX(Kalkulasi!$D$916:$D$933,Kalkulasi!$A$948)&gt;0,INDEX(Kalkulasi!$H$916:$H$933,Kalkulasi!$A$948)&gt;0),INDEX(Kalkulasi!$G$916:$G$933,Kalkulasi!$A$948)/INDEX(Kalkulasi!$H$916:$H$933,Kalkulasi!$A$948),"")</f>
        <v/>
      </c>
      <c r="P80" s="116">
        <f>IF(INDEX(Kalkulasi!$D$916:$D$933,Kalkulasi!$A$948)&gt;0,INDEX(Kalkulasi!$I$916:$I$933,Kalkulasi!$A$948),"")</f>
        <v/>
      </c>
      <c r="Q80" s="117">
        <f>IF(INDEX(Kalkulasi!$D$916:$D$933,Kalkulasi!$A$948)&gt;0,INDEX(Kalkulasi!$J$916:$J$933,Kalkulasi!$A$948),"")</f>
        <v/>
      </c>
      <c r="R80" s="78" t="inlineStr"/>
      <c r="S80" s="78" t="inlineStr"/>
      <c r="T80" s="78" t="inlineStr"/>
      <c r="U80" s="78" t="inlineStr"/>
      <c r="V80" s="2" t="n"/>
    </row>
    <row r="81">
      <c r="A81" s="1" t="n"/>
      <c r="B81" s="1" t="n"/>
      <c r="C81" s="2" t="n"/>
      <c r="D81" s="44" t="n"/>
      <c r="E81" s="45" t="n"/>
      <c r="F81" s="45" t="n"/>
      <c r="G81" s="45" t="n"/>
      <c r="H81" s="45" t="n"/>
      <c r="I81" s="45" t="n"/>
      <c r="J81" s="45" t="n"/>
      <c r="K81" s="45" t="n"/>
      <c r="L81" s="45" t="n"/>
      <c r="M81" s="45" t="n"/>
      <c r="N81" s="45" t="n"/>
      <c r="O81" s="45" t="n"/>
      <c r="P81" s="45" t="n"/>
      <c r="Q81" s="45" t="n"/>
      <c r="R81" s="45" t="n"/>
      <c r="S81" s="45" t="n"/>
      <c r="T81" s="45" t="n"/>
      <c r="U81" s="46" t="n"/>
      <c r="V81" s="2" t="n"/>
    </row>
    <row r="82">
      <c r="A82" s="1" t="n"/>
      <c r="B82" s="1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</row>
    <row r="83">
      <c r="A83" s="1" t="n"/>
      <c r="B83" s="1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</row>
    <row r="84">
      <c r="A84" s="1" t="n"/>
      <c r="B84" s="1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</row>
    <row r="85">
      <c r="A85" s="1" t="n"/>
      <c r="B85" s="1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</row>
    <row r="86">
      <c r="A86" s="1" t="n"/>
      <c r="B86" s="1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</row>
    <row r="87">
      <c r="A87" s="1" t="n"/>
      <c r="B87" s="1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</row>
    <row r="88">
      <c r="A88" s="1" t="n"/>
      <c r="B88" s="1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</row>
    <row r="89">
      <c r="A89" s="1" t="n"/>
      <c r="B89" s="1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</row>
    <row r="90">
      <c r="A90" s="1" t="n"/>
      <c r="B90" s="1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</row>
    <row r="91">
      <c r="A91" s="1" t="n"/>
      <c r="B91" s="1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</row>
    <row r="92">
      <c r="A92" s="1" t="n"/>
      <c r="B92" s="1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</row>
    <row r="93">
      <c r="A93" s="1" t="n"/>
      <c r="B93" s="1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</row>
    <row r="94">
      <c r="A94" s="1" t="n"/>
      <c r="B94" s="1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</row>
    <row r="95">
      <c r="A95" s="1" t="n"/>
      <c r="B95" s="1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</row>
    <row r="96">
      <c r="A96" s="1" t="n"/>
      <c r="B96" s="1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</row>
    <row r="97">
      <c r="A97" s="1" t="n"/>
      <c r="B97" s="1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</row>
    <row r="98">
      <c r="A98" s="1" t="n"/>
      <c r="B98" s="1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</row>
    <row r="99">
      <c r="A99" s="1" t="n"/>
      <c r="B99" s="1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</row>
    <row r="100">
      <c r="A100" s="1" t="n"/>
      <c r="B100" s="1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</row>
    <row r="101">
      <c r="A101" s="1" t="n"/>
      <c r="B101" s="1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</row>
    <row r="102">
      <c r="A102" s="1" t="n"/>
      <c r="B102" s="1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</row>
    <row r="103">
      <c r="A103" s="1" t="n"/>
      <c r="B103" s="1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</row>
    <row r="104">
      <c r="A104" s="1" t="n"/>
      <c r="B104" s="1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</row>
    <row r="105">
      <c r="A105" s="1" t="n"/>
      <c r="B105" s="1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</row>
    <row r="106">
      <c r="A106" s="1" t="n"/>
      <c r="B106" s="1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</row>
    <row r="107">
      <c r="A107" s="1" t="n"/>
      <c r="B107" s="1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</row>
    <row r="108">
      <c r="A108" s="1" t="n"/>
      <c r="B108" s="1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</row>
    <row r="109">
      <c r="A109" s="1" t="n"/>
      <c r="B109" s="1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</row>
    <row r="110">
      <c r="A110" s="1" t="n"/>
      <c r="B110" s="1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</row>
    <row r="111">
      <c r="A111" s="1" t="n"/>
      <c r="B111" s="1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</row>
    <row r="112">
      <c r="A112" s="1" t="n"/>
      <c r="B112" s="1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</row>
    <row r="113">
      <c r="A113" s="1" t="n"/>
      <c r="B113" s="1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</row>
    <row r="114">
      <c r="A114" s="1" t="n"/>
      <c r="B114" s="1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</row>
    <row r="115">
      <c r="A115" s="1" t="n"/>
      <c r="B115" s="1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</row>
    <row r="116">
      <c r="A116" s="1" t="n"/>
      <c r="B116" s="1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</row>
    <row r="117">
      <c r="A117" s="1" t="n"/>
      <c r="B117" s="1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</row>
    <row r="118">
      <c r="A118" s="1" t="n"/>
      <c r="B118" s="1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</row>
    <row r="119">
      <c r="A119" s="1" t="n"/>
      <c r="B119" s="1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</row>
    <row r="120">
      <c r="A120" s="1" t="n"/>
      <c r="B120" s="1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</row>
    <row r="121">
      <c r="A121" s="1" t="n"/>
      <c r="B121" s="1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</row>
    <row r="122">
      <c r="A122" s="1" t="n"/>
      <c r="B122" s="1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</row>
    <row r="123">
      <c r="A123" s="1" t="n"/>
      <c r="B123" s="1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</row>
    <row r="124">
      <c r="A124" s="1" t="n"/>
      <c r="B124" s="1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</row>
    <row r="125">
      <c r="A125" s="1" t="n"/>
      <c r="B125" s="1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</row>
    <row r="126">
      <c r="A126" s="1" t="n"/>
      <c r="B126" s="1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</row>
    <row r="127">
      <c r="A127" s="1" t="n"/>
      <c r="B127" s="1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</row>
    <row r="128">
      <c r="A128" s="1" t="n"/>
      <c r="B128" s="1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</row>
    <row r="129">
      <c r="A129" s="1" t="n"/>
      <c r="B129" s="1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</row>
    <row r="130">
      <c r="A130" s="1" t="n"/>
      <c r="B130" s="1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</row>
  </sheetData>
  <mergeCells count="133">
    <mergeCell ref="D20:E20"/>
    <mergeCell ref="D11:F11"/>
    <mergeCell ref="S21:T21"/>
    <mergeCell ref="E71:F71"/>
    <mergeCell ref="G71:H71"/>
    <mergeCell ref="D22:E22"/>
    <mergeCell ref="D36:E36"/>
    <mergeCell ref="D31:E31"/>
    <mergeCell ref="M79:N79"/>
    <mergeCell ref="D45:E45"/>
    <mergeCell ref="J11:L11"/>
    <mergeCell ref="E79:F79"/>
    <mergeCell ref="M70:N70"/>
    <mergeCell ref="E73:F73"/>
    <mergeCell ref="K76:L76"/>
    <mergeCell ref="D9:F9"/>
    <mergeCell ref="M74:N74"/>
    <mergeCell ref="S19:T19"/>
    <mergeCell ref="G9:I9"/>
    <mergeCell ref="S35:T35"/>
    <mergeCell ref="S30:T30"/>
    <mergeCell ref="D24:E24"/>
    <mergeCell ref="D33:E33"/>
    <mergeCell ref="M9:O9"/>
    <mergeCell ref="S20:T20"/>
    <mergeCell ref="E75:F75"/>
    <mergeCell ref="G75:H75"/>
    <mergeCell ref="D26:E26"/>
    <mergeCell ref="S11:U11"/>
    <mergeCell ref="K69:L69"/>
    <mergeCell ref="D35:E35"/>
    <mergeCell ref="K78:L78"/>
    <mergeCell ref="M11:O11"/>
    <mergeCell ref="S22:T22"/>
    <mergeCell ref="G77:H77"/>
    <mergeCell ref="D19:E19"/>
    <mergeCell ref="D34:E34"/>
    <mergeCell ref="S46:T46"/>
    <mergeCell ref="K80:L80"/>
    <mergeCell ref="G70:H70"/>
    <mergeCell ref="K79:L79"/>
    <mergeCell ref="S39:T39"/>
    <mergeCell ref="M73:N73"/>
    <mergeCell ref="K72:L72"/>
    <mergeCell ref="S23:T23"/>
    <mergeCell ref="S38:T38"/>
    <mergeCell ref="S40:T40"/>
    <mergeCell ref="D37:E37"/>
    <mergeCell ref="S24:T24"/>
    <mergeCell ref="S33:T33"/>
    <mergeCell ref="D39:E39"/>
    <mergeCell ref="M76:N76"/>
    <mergeCell ref="E76:F76"/>
    <mergeCell ref="D15:E15"/>
    <mergeCell ref="N6:O6"/>
    <mergeCell ref="D29:E29"/>
    <mergeCell ref="G76:H76"/>
    <mergeCell ref="D23:E23"/>
    <mergeCell ref="D38:E38"/>
    <mergeCell ref="K6:L6"/>
    <mergeCell ref="K74:L74"/>
    <mergeCell ref="G10:I10"/>
    <mergeCell ref="S42:T42"/>
    <mergeCell ref="M69:N69"/>
    <mergeCell ref="M78:N78"/>
    <mergeCell ref="D27:E27"/>
    <mergeCell ref="E69:F69"/>
    <mergeCell ref="S28:T28"/>
    <mergeCell ref="G69:H69"/>
    <mergeCell ref="M75:N75"/>
    <mergeCell ref="D17:E17"/>
    <mergeCell ref="S37:T37"/>
    <mergeCell ref="E78:F78"/>
    <mergeCell ref="G78:H78"/>
    <mergeCell ref="E6:F6"/>
    <mergeCell ref="E77:F77"/>
    <mergeCell ref="E80:F80"/>
    <mergeCell ref="G80:H80"/>
    <mergeCell ref="D28:E28"/>
    <mergeCell ref="K71:L71"/>
    <mergeCell ref="E70:F70"/>
    <mergeCell ref="G79:H79"/>
    <mergeCell ref="D25:E25"/>
    <mergeCell ref="G73:H73"/>
    <mergeCell ref="D30:E30"/>
    <mergeCell ref="J10:L10"/>
    <mergeCell ref="K73:L73"/>
    <mergeCell ref="E72:F72"/>
    <mergeCell ref="P9:R9"/>
    <mergeCell ref="S32:T32"/>
    <mergeCell ref="S26:T26"/>
    <mergeCell ref="S41:T41"/>
    <mergeCell ref="J9:L9"/>
    <mergeCell ref="M71:N71"/>
    <mergeCell ref="S16:T16"/>
    <mergeCell ref="M10:O10"/>
    <mergeCell ref="P11:R11"/>
    <mergeCell ref="S25:T25"/>
    <mergeCell ref="S43:T43"/>
    <mergeCell ref="D46:E46"/>
    <mergeCell ref="D40:E40"/>
    <mergeCell ref="S18:T18"/>
    <mergeCell ref="S27:T27"/>
    <mergeCell ref="D21:E21"/>
    <mergeCell ref="S10:U10"/>
    <mergeCell ref="S17:T17"/>
    <mergeCell ref="H6:I6"/>
    <mergeCell ref="S9:U9"/>
    <mergeCell ref="D32:E32"/>
    <mergeCell ref="D41:E41"/>
    <mergeCell ref="K75:L75"/>
    <mergeCell ref="E74:F74"/>
    <mergeCell ref="G74:H74"/>
    <mergeCell ref="D16:E16"/>
    <mergeCell ref="S34:T34"/>
    <mergeCell ref="K77:L77"/>
    <mergeCell ref="M77:N77"/>
    <mergeCell ref="D43:E43"/>
    <mergeCell ref="M80:N80"/>
    <mergeCell ref="D18:E18"/>
    <mergeCell ref="S36:T36"/>
    <mergeCell ref="K70:L70"/>
    <mergeCell ref="S45:T45"/>
    <mergeCell ref="G11:I11"/>
    <mergeCell ref="D10:F10"/>
    <mergeCell ref="D42:E42"/>
    <mergeCell ref="P10:R10"/>
    <mergeCell ref="S29:T29"/>
    <mergeCell ref="M72:N72"/>
    <mergeCell ref="S44:T44"/>
    <mergeCell ref="D44:E44"/>
    <mergeCell ref="S31:T31"/>
    <mergeCell ref="G72:H72"/>
  </mergeCells>
  <conditionalFormatting sqref="F16:Q46">
    <cfRule type="expression" priority="1" dxfId="9">
      <formula>F16=""</formula>
    </cfRule>
    <cfRule type="expression" priority="2" dxfId="10">
      <formula>AND(ISNUMBER(F$15),F16&gt;=F$15)</formula>
    </cfRule>
    <cfRule type="expression" priority="3" dxfId="11">
      <formula>AND(ISNUMBER(F$15),F16&gt;=F$15*0.85)</formula>
    </cfRule>
    <cfRule type="expression" priority="4" dxfId="12">
      <formula>ISNUMBER(F$15)</formula>
    </cfRule>
    <cfRule type="expression" priority="5" dxfId="13">
      <formula>ISNUMBER(F16)</formula>
    </cfRule>
  </conditionalFormatting>
  <conditionalFormatting sqref="D16:U46">
    <cfRule type="expression" priority="6" dxfId="14">
      <formula>$D16=""</formula>
    </cfRule>
  </conditionalFormatting>
  <conditionalFormatting sqref="S16:S46">
    <cfRule type="dataBar" priority="7">
      <dataBar>
        <cfvo type="num" val="0"/>
        <cfvo type="max"/>
        <color rgb="009FB3C8"/>
      </dataBar>
    </cfRule>
  </conditionalFormatting>
  <conditionalFormatting sqref="O69:O80">
    <cfRule type="dataBar" priority="8">
      <dataBar>
        <cfvo type="num" val="0"/>
        <cfvo type="num" val="1"/>
        <color rgb="009FC9A9"/>
      </dataBar>
    </cfRule>
  </conditionalFormatting>
  <conditionalFormatting sqref="J69:J80">
    <cfRule type="expression" priority="9" dxfId="15">
      <formula>AND(ISNUMBER(I69),ISNUMBER(J69),J69&gt;=I69)</formula>
    </cfRule>
    <cfRule type="expression" priority="10" dxfId="7">
      <formula>AND(ISNUMBER(I69),ISNUMBER(J69),J69&lt;I69)</formula>
    </cfRule>
  </conditionalFormatting>
  <dataValidations count="4">
    <dataValidation sqref="E6" showDropDown="0" showInputMessage="1" showErrorMessage="0" allowBlank="0" prompt="Tanggal mulai" type="list">
      <formula1>=LIST!$M$3:$M$94</formula1>
    </dataValidation>
    <dataValidation sqref="H6" showDropDown="0" showInputMessage="1" showErrorMessage="0" allowBlank="0" prompt="Tanggal akhir" type="list">
      <formula1>=LIST!$M$3:$M$94</formula1>
    </dataValidation>
    <dataValidation sqref="K6" showDropDown="0" showInputMessage="1" showErrorMessage="0" allowBlank="0" prompt="Semua / DS / NS" type="list">
      <formula1>"Semua,DS,NS"</formula1>
    </dataValidation>
    <dataValidation sqref="N6" showDropDown="0" showInputMessage="1" showErrorMessage="0" allowBlank="0" prompt="OB atau Coal" type="list">
      <formula1>"OB,Coal"</formula1>
    </dataValidation>
  </dataValidations>
  <pageMargins left="0.25" right="0.25" top="0.25" bottom="0.25" header="0.5" footer="0.5"/>
  <pageSetup orientation="landscape" paperSize="9" fitToHeight="1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D98A1E"/>
    <outlinePr summaryBelow="1" summaryRight="1"/>
    <pageSetUpPr fitToPage="1"/>
  </sheetPr>
  <dimension ref="A1:V130"/>
  <sheetViews>
    <sheetView showGridLines="0" showRowColHeaders="0" zoomScale="90" workbookViewId="0">
      <pane xSplit="2" topLeftCell="C1" activePane="topRight" state="frozen"/>
      <selection pane="topRight" activeCell="A1" sqref="A1"/>
    </sheetView>
  </sheetViews>
  <sheetFormatPr baseColWidth="8" defaultRowHeight="15"/>
  <cols>
    <col width="1.2" customWidth="1" min="1" max="1"/>
    <col width="27" customWidth="1" min="2" max="2"/>
    <col width="2.5" customWidth="1" min="3" max="3"/>
    <col width="8.6" customWidth="1" min="4" max="4"/>
    <col width="8.6" customWidth="1" min="5" max="5"/>
    <col width="8.6" customWidth="1" min="6" max="6"/>
    <col width="8.6" customWidth="1" min="7" max="7"/>
    <col width="8.6" customWidth="1" min="8" max="8"/>
    <col width="8.6" customWidth="1" min="9" max="9"/>
    <col width="8.6" customWidth="1" min="10" max="10"/>
    <col width="8.6" customWidth="1" min="11" max="11"/>
    <col width="8.6" customWidth="1" min="12" max="12"/>
    <col width="8.6" customWidth="1" min="13" max="13"/>
    <col width="8.6" customWidth="1" min="14" max="14"/>
    <col width="8.6" customWidth="1" min="15" max="15"/>
    <col width="8.6" customWidth="1" min="16" max="16"/>
    <col width="8.6" customWidth="1" min="17" max="17"/>
    <col width="8.6" customWidth="1" min="18" max="18"/>
    <col width="8.6" customWidth="1" min="19" max="19"/>
    <col width="8.6" customWidth="1" min="20" max="20"/>
    <col width="8.6" customWidth="1" min="21" max="21"/>
    <col width="2.5" customWidth="1" min="22" max="22"/>
  </cols>
  <sheetData>
    <row r="1" ht="10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28" customHeight="1">
      <c r="A2" s="1" t="n"/>
      <c r="B2" s="3" t="inlineStr">
        <is>
          <t>PIT CONTROL</t>
        </is>
      </c>
      <c r="C2" s="2" t="n"/>
      <c r="D2" s="4" t="inlineStr">
        <is>
          <t>Mine Ops Board  /  PTY per Jam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 ht="34" customHeight="1">
      <c r="A3" s="1" t="n"/>
      <c r="B3" s="5" t="inlineStr">
        <is>
          <t>MINE OPS BOARD</t>
        </is>
      </c>
      <c r="C3" s="2" t="n"/>
      <c r="D3" s="6" t="inlineStr">
        <is>
          <t>PTY per Jam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>
      <c r="A4" s="1" t="n"/>
      <c r="B4" s="1" t="n"/>
      <c r="C4" s="2" t="n"/>
      <c r="D4" s="7" t="inlineStr">
        <is>
          <t>Produktivitas digger tiap jam dari input ritase &amp; delay · ritase/produksi excavator ikut masuk ke DATA_TS (board Digger)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 ht="8" customHeight="1">
      <c r="A5" s="1" t="n"/>
      <c r="B5" s="8" t="inlineStr">
        <is>
          <t>BOARD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 ht="24" customHeight="1">
      <c r="A6" s="1" t="n"/>
      <c r="B6" s="15">
        <f>HYPERLINK("#Produksi!A1","   Produksi")</f>
        <v/>
      </c>
      <c r="C6" s="2" t="n"/>
      <c r="D6" s="95" t="inlineStr">
        <is>
          <t>Tanggal</t>
        </is>
      </c>
      <c r="E6" s="118" t="n">
        <v>46108</v>
      </c>
      <c r="F6" s="119" t="n"/>
      <c r="G6" s="97" t="n"/>
      <c r="H6" s="95" t="inlineStr">
        <is>
          <t>Shift</t>
        </is>
      </c>
      <c r="I6" s="98" t="inlineStr">
        <is>
          <t>DS</t>
        </is>
      </c>
      <c r="J6" s="97" t="n"/>
      <c r="K6" s="95" t="inlineStr">
        <is>
          <t>Material</t>
        </is>
      </c>
      <c r="L6" s="98" t="inlineStr">
        <is>
          <t>OB</t>
        </is>
      </c>
      <c r="M6" s="97" t="n"/>
      <c r="N6" s="95" t="inlineStr">
        <is>
          <t>Jam WA</t>
        </is>
      </c>
      <c r="O6" s="98" t="inlineStr">
        <is>
          <t>10-11</t>
        </is>
      </c>
      <c r="P6" s="97" t="n"/>
      <c r="Q6" s="120">
        <f>HYPERLINK("#INPUT_RITASE!A1","+ Input ritase")</f>
        <v/>
      </c>
      <c r="R6" s="2" t="n"/>
      <c r="S6" s="120">
        <f>HYPERLINK("#INPUT_DELAY!A1","+ Input delay")</f>
        <v/>
      </c>
      <c r="T6" s="2" t="n"/>
      <c r="U6" s="2" t="n"/>
      <c r="V6" s="2" t="n"/>
    </row>
    <row r="7" ht="22" customHeight="1">
      <c r="A7" s="1" t="n"/>
      <c r="B7" s="15">
        <f>HYPERLINK("#Digger!A1","   Produktivitas Digger")</f>
        <v/>
      </c>
      <c r="C7" s="2" t="n"/>
      <c r="D7" s="16">
        <f>IF(Kalkulasi!$B$622=0,"✓ Semua baris input valid · klik sel kuning untuk memilih tanggal, shift, material, dan jam laporan WA","⚠ "&amp;Kalkulasi!$B$622&amp;" baris input perlu dicek — lihat kolom Cek (merah) di INPUT_RITASE / INPUT_DELAY")</f>
        <v/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 ht="22" customHeight="1">
      <c r="A8" s="1" t="n"/>
      <c r="B8" s="15">
        <f>HYPERLINK("#Availability!A1","   Availability Unit")</f>
        <v/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 ht="18" customHeight="1">
      <c r="A9" s="1" t="n"/>
      <c r="B9" s="15">
        <f>HYPERLINK("#'Delay &amp; Hujan'!A1","   Delay &amp; Hujan")</f>
        <v/>
      </c>
      <c r="C9" s="2" t="n"/>
      <c r="D9" s="17" t="inlineStr">
        <is>
          <t>PRODUKSI SHIFT</t>
        </is>
      </c>
      <c r="E9" s="18" t="n"/>
      <c r="F9" s="19" t="n"/>
      <c r="G9" s="17" t="inlineStr">
        <is>
          <t>ACHIEVEMENT</t>
        </is>
      </c>
      <c r="H9" s="18" t="n"/>
      <c r="I9" s="19" t="n"/>
      <c r="J9" s="17" t="inlineStr">
        <is>
          <t>PTY FLEET</t>
        </is>
      </c>
      <c r="K9" s="18" t="n"/>
      <c r="L9" s="19" t="n"/>
      <c r="M9" s="17" t="inlineStr">
        <is>
          <t>DIGGER ON TARGET</t>
        </is>
      </c>
      <c r="N9" s="18" t="n"/>
      <c r="O9" s="19" t="n"/>
      <c r="P9" s="17" t="inlineStr">
        <is>
          <t>RITASE</t>
        </is>
      </c>
      <c r="Q9" s="18" t="n"/>
      <c r="R9" s="19" t="n"/>
      <c r="S9" s="17" t="inlineStr">
        <is>
          <t>SINKRON DATA_TS</t>
        </is>
      </c>
      <c r="T9" s="18" t="n"/>
      <c r="U9" s="19" t="n"/>
      <c r="V9" s="2" t="n"/>
    </row>
    <row r="10" ht="30" customHeight="1">
      <c r="A10" s="1" t="n"/>
      <c r="B10" s="15">
        <f>HYPERLINK("#Fuel!A1","   Fuel")</f>
        <v/>
      </c>
      <c r="C10" s="2" t="n"/>
      <c r="D10" s="25">
        <f>Kalkulasi!$B$701</f>
        <v/>
      </c>
      <c r="F10" s="21" t="n"/>
      <c r="G10" s="22">
        <f>Kalkulasi!$B$705</f>
        <v/>
      </c>
      <c r="I10" s="21" t="n"/>
      <c r="J10" s="99">
        <f>Kalkulasi!$B$704</f>
        <v/>
      </c>
      <c r="L10" s="21" t="n"/>
      <c r="M10" s="102">
        <f>Kalkulasi!$B$710&amp;" / "&amp;Kalkulasi!$B$709</f>
        <v/>
      </c>
      <c r="O10" s="21" t="n"/>
      <c r="P10" s="121">
        <f>Kalkulasi!$B$702</f>
        <v/>
      </c>
      <c r="R10" s="21" t="n"/>
      <c r="S10" s="102">
        <f>IF(ROUND(Kalkulasi!$B$712-Kalkulasi!$B$701,0)=0,"✓ Sama","Beda")</f>
        <v/>
      </c>
      <c r="U10" s="21" t="n"/>
      <c r="V10" s="2" t="n"/>
    </row>
    <row r="11" ht="18" customHeight="1">
      <c r="A11" s="1" t="n"/>
      <c r="B11" s="15">
        <f>HYPERLINK("#'Tren PTY'!A1","   Tren PTY")</f>
        <v/>
      </c>
      <c r="C11" s="2" t="n"/>
      <c r="D11" s="26">
        <f>IF(Kalkulasi!$B$619="OB","BCM","MT")&amp;" · plan shift "&amp;TEXT(Kalkulasi!$B$621,"#,##0")</f>
        <v/>
      </c>
      <c r="E11" s="27" t="n"/>
      <c r="F11" s="28" t="n"/>
      <c r="G11" s="26">
        <f>"s/d "&amp;Kalkulasi!$B$707&amp;": "&amp;TEXT(IF(Kalkulasi!$B$708=0,0,Kalkulasi!$B$701/Kalkulasi!$B$708),"0%")&amp;" dari plan berjalan"</f>
        <v/>
      </c>
      <c r="H11" s="27" t="n"/>
      <c r="I11" s="28" t="n"/>
      <c r="J11" s="26">
        <f>IF(Kalkulasi!$B$619="OB","BCM","MT")&amp;"/jam EWH · EWH "&amp;TEXT(Kalkulasi!$B$703,"0.0")&amp;" jam"</f>
        <v/>
      </c>
      <c r="K11" s="27" t="n"/>
      <c r="L11" s="28" t="n"/>
      <c r="M11" s="26">
        <f>"PTY shift ≥ target"</f>
        <v/>
      </c>
      <c r="N11" s="27" t="n"/>
      <c r="O11" s="28" t="n"/>
      <c r="P11" s="26">
        <f>"Jam terakhir terisi: "&amp;Kalkulasi!$B$707</f>
        <v/>
      </c>
      <c r="Q11" s="27" t="n"/>
      <c r="R11" s="28" t="n"/>
      <c r="S11" s="26">
        <f>"Board Digger: "&amp;TEXT(Kalkulasi!$B$712,"#,##0")&amp;" "&amp;IF(Kalkulasi!$B$619="OB","BCM","MT")</f>
        <v/>
      </c>
      <c r="T11" s="27" t="n"/>
      <c r="U11" s="28" t="n"/>
      <c r="V11" s="2" t="n"/>
    </row>
    <row r="12" ht="10" customHeight="1">
      <c r="A12" s="1" t="n"/>
      <c r="B12" s="1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</row>
    <row r="13" ht="24" customHeight="1">
      <c r="A13" s="1" t="n"/>
      <c r="B13" s="8" t="inlineStr">
        <is>
          <t>PER JAM</t>
        </is>
      </c>
      <c r="C13" s="2" t="n"/>
      <c r="D13" s="29" t="inlineStr">
        <is>
          <t>Heatmap PTY per jam</t>
        </is>
      </c>
      <c r="E13" s="30" t="n"/>
      <c r="F13" s="30" t="n"/>
      <c r="G13" s="30" t="n"/>
      <c r="H13" s="30" t="n"/>
      <c r="I13" s="30" t="n"/>
      <c r="J13" s="30" t="n"/>
      <c r="K13" s="30" t="n"/>
      <c r="L13" s="30" t="n"/>
      <c r="M13" s="30" t="n"/>
      <c r="N13" s="30" t="n"/>
      <c r="O13" s="30" t="n"/>
      <c r="P13" s="30" t="n"/>
      <c r="Q13" s="30" t="n"/>
      <c r="R13" s="30" t="n"/>
      <c r="S13" s="30" t="n"/>
      <c r="T13" s="30" t="n"/>
      <c r="U13" s="31">
        <f>"hijau ≥ target · kuning ≥ 85% · merah &lt; 85% · abu = tidak ada ritase · hujan+slippery shift ini: "&amp;Kalkulasi!$B$711&amp;" menit"</f>
        <v/>
      </c>
      <c r="V13" s="2" t="n"/>
    </row>
    <row r="14" ht="20" customHeight="1">
      <c r="A14" s="9" t="n"/>
      <c r="B14" s="10">
        <f>HYPERLINK("#'PTY per Jam'!A1","   PTY per Jam")</f>
        <v/>
      </c>
      <c r="C14" s="2" t="n"/>
      <c r="D14" s="65" t="inlineStr">
        <is>
          <t>Digger</t>
        </is>
      </c>
      <c r="E14" s="65" t="inlineStr"/>
      <c r="F14" s="66" t="inlineStr">
        <is>
          <t>Target</t>
        </is>
      </c>
      <c r="G14" s="112">
        <f>Kalkulasi!$A$625</f>
        <v/>
      </c>
      <c r="H14" s="112">
        <f>Kalkulasi!$A$626</f>
        <v/>
      </c>
      <c r="I14" s="112">
        <f>Kalkulasi!$A$627</f>
        <v/>
      </c>
      <c r="J14" s="112">
        <f>Kalkulasi!$A$628</f>
        <v/>
      </c>
      <c r="K14" s="112">
        <f>Kalkulasi!$A$629</f>
        <v/>
      </c>
      <c r="L14" s="112">
        <f>Kalkulasi!$A$630</f>
        <v/>
      </c>
      <c r="M14" s="112">
        <f>Kalkulasi!$A$631</f>
        <v/>
      </c>
      <c r="N14" s="112">
        <f>Kalkulasi!$A$632</f>
        <v/>
      </c>
      <c r="O14" s="112">
        <f>Kalkulasi!$A$633</f>
        <v/>
      </c>
      <c r="P14" s="112">
        <f>Kalkulasi!$A$634</f>
        <v/>
      </c>
      <c r="Q14" s="112">
        <f>Kalkulasi!$A$635</f>
        <v/>
      </c>
      <c r="R14" s="112">
        <f>Kalkulasi!$A$636</f>
        <v/>
      </c>
      <c r="S14" s="66" t="inlineStr">
        <is>
          <t>Produksi</t>
        </is>
      </c>
      <c r="T14" s="66" t="inlineStr">
        <is>
          <t>PTY</t>
        </is>
      </c>
      <c r="U14" s="66" t="inlineStr"/>
      <c r="V14" s="2" t="n"/>
    </row>
    <row r="15" ht="19" customHeight="1">
      <c r="A15" s="1" t="n"/>
      <c r="B15" s="15">
        <f>HYPERLINK("#'Fleet &amp; Delay'!A1","   Fleet &amp; Delay")</f>
        <v/>
      </c>
      <c r="C15" s="2" t="n"/>
      <c r="D15" s="122">
        <f>INDEX(Kalkulasi!$A$641:$A$658,Kalkulasi!$A$663)&amp;"  "&amp;INDEX(Kalkulasi!$B$641:$B$658,Kalkulasi!$A$663)</f>
        <v/>
      </c>
      <c r="F15" s="114">
        <f>IF(INDEX(Kalkulasi!$C$641:$C$658,Kalkulasi!$A$663)=0,"–",INDEX(Kalkulasi!$C$641:$C$658,Kalkulasi!$A$663))</f>
        <v/>
      </c>
      <c r="G15" s="123">
        <f>INDEX(Kalkulasi!$AD$641:$AD$658,Kalkulasi!$A$663)</f>
        <v/>
      </c>
      <c r="H15" s="123">
        <f>INDEX(Kalkulasi!$AE$641:$AE$658,Kalkulasi!$A$663)</f>
        <v/>
      </c>
      <c r="I15" s="123">
        <f>INDEX(Kalkulasi!$AF$641:$AF$658,Kalkulasi!$A$663)</f>
        <v/>
      </c>
      <c r="J15" s="123">
        <f>INDEX(Kalkulasi!$AG$641:$AG$658,Kalkulasi!$A$663)</f>
        <v/>
      </c>
      <c r="K15" s="123">
        <f>INDEX(Kalkulasi!$AH$641:$AH$658,Kalkulasi!$A$663)</f>
        <v/>
      </c>
      <c r="L15" s="123">
        <f>INDEX(Kalkulasi!$AI$641:$AI$658,Kalkulasi!$A$663)</f>
        <v/>
      </c>
      <c r="M15" s="123">
        <f>INDEX(Kalkulasi!$AJ$641:$AJ$658,Kalkulasi!$A$663)</f>
        <v/>
      </c>
      <c r="N15" s="123">
        <f>INDEX(Kalkulasi!$AK$641:$AK$658,Kalkulasi!$A$663)</f>
        <v/>
      </c>
      <c r="O15" s="123">
        <f>INDEX(Kalkulasi!$AL$641:$AL$658,Kalkulasi!$A$663)</f>
        <v/>
      </c>
      <c r="P15" s="123">
        <f>INDEX(Kalkulasi!$AM$641:$AM$658,Kalkulasi!$A$663)</f>
        <v/>
      </c>
      <c r="Q15" s="123">
        <f>INDEX(Kalkulasi!$AN$641:$AN$658,Kalkulasi!$A$663)</f>
        <v/>
      </c>
      <c r="R15" s="123">
        <f>INDEX(Kalkulasi!$AO$641:$AO$658,Kalkulasi!$A$663)</f>
        <v/>
      </c>
      <c r="S15" s="70">
        <f>INDEX(Kalkulasi!$P$641:$P$658,Kalkulasi!$A$663)</f>
        <v/>
      </c>
      <c r="T15" s="71">
        <f>INDEX(Kalkulasi!$AP$641:$AP$658,Kalkulasi!$A$663)</f>
        <v/>
      </c>
      <c r="U15" s="78" t="inlineStr"/>
      <c r="V15" s="2" t="n"/>
    </row>
    <row r="16" ht="19" customHeight="1">
      <c r="A16" s="1" t="n"/>
      <c r="B16" s="15">
        <f>HYPERLINK("#'Daily Report'!A1","   Daily Report")</f>
        <v/>
      </c>
      <c r="C16" s="2" t="n"/>
      <c r="D16" s="122">
        <f>INDEX(Kalkulasi!$A$641:$A$658,Kalkulasi!$A$664)&amp;"  "&amp;INDEX(Kalkulasi!$B$641:$B$658,Kalkulasi!$A$664)</f>
        <v/>
      </c>
      <c r="F16" s="114">
        <f>IF(INDEX(Kalkulasi!$C$641:$C$658,Kalkulasi!$A$664)=0,"–",INDEX(Kalkulasi!$C$641:$C$658,Kalkulasi!$A$664))</f>
        <v/>
      </c>
      <c r="G16" s="123">
        <f>INDEX(Kalkulasi!$AD$641:$AD$658,Kalkulasi!$A$664)</f>
        <v/>
      </c>
      <c r="H16" s="123">
        <f>INDEX(Kalkulasi!$AE$641:$AE$658,Kalkulasi!$A$664)</f>
        <v/>
      </c>
      <c r="I16" s="123">
        <f>INDEX(Kalkulasi!$AF$641:$AF$658,Kalkulasi!$A$664)</f>
        <v/>
      </c>
      <c r="J16" s="123">
        <f>INDEX(Kalkulasi!$AG$641:$AG$658,Kalkulasi!$A$664)</f>
        <v/>
      </c>
      <c r="K16" s="123">
        <f>INDEX(Kalkulasi!$AH$641:$AH$658,Kalkulasi!$A$664)</f>
        <v/>
      </c>
      <c r="L16" s="123">
        <f>INDEX(Kalkulasi!$AI$641:$AI$658,Kalkulasi!$A$664)</f>
        <v/>
      </c>
      <c r="M16" s="123">
        <f>INDEX(Kalkulasi!$AJ$641:$AJ$658,Kalkulasi!$A$664)</f>
        <v/>
      </c>
      <c r="N16" s="123">
        <f>INDEX(Kalkulasi!$AK$641:$AK$658,Kalkulasi!$A$664)</f>
        <v/>
      </c>
      <c r="O16" s="123">
        <f>INDEX(Kalkulasi!$AL$641:$AL$658,Kalkulasi!$A$664)</f>
        <v/>
      </c>
      <c r="P16" s="123">
        <f>INDEX(Kalkulasi!$AM$641:$AM$658,Kalkulasi!$A$664)</f>
        <v/>
      </c>
      <c r="Q16" s="123">
        <f>INDEX(Kalkulasi!$AN$641:$AN$658,Kalkulasi!$A$664)</f>
        <v/>
      </c>
      <c r="R16" s="123">
        <f>INDEX(Kalkulasi!$AO$641:$AO$658,Kalkulasi!$A$664)</f>
        <v/>
      </c>
      <c r="S16" s="70">
        <f>INDEX(Kalkulasi!$P$641:$P$658,Kalkulasi!$A$664)</f>
        <v/>
      </c>
      <c r="T16" s="71">
        <f>INDEX(Kalkulasi!$AP$641:$AP$658,Kalkulasi!$A$664)</f>
        <v/>
      </c>
      <c r="U16" s="78" t="inlineStr"/>
      <c r="V16" s="2" t="n"/>
    </row>
    <row r="17" ht="19" customHeight="1">
      <c r="A17" s="1" t="n"/>
      <c r="B17" s="15">
        <f>HYPERLINK("#INPUT_RITASE!A1","   Input ritase ↗")</f>
        <v/>
      </c>
      <c r="C17" s="2" t="n"/>
      <c r="D17" s="122">
        <f>INDEX(Kalkulasi!$A$641:$A$658,Kalkulasi!$A$665)&amp;"  "&amp;INDEX(Kalkulasi!$B$641:$B$658,Kalkulasi!$A$665)</f>
        <v/>
      </c>
      <c r="F17" s="114">
        <f>IF(INDEX(Kalkulasi!$C$641:$C$658,Kalkulasi!$A$665)=0,"–",INDEX(Kalkulasi!$C$641:$C$658,Kalkulasi!$A$665))</f>
        <v/>
      </c>
      <c r="G17" s="123">
        <f>INDEX(Kalkulasi!$AD$641:$AD$658,Kalkulasi!$A$665)</f>
        <v/>
      </c>
      <c r="H17" s="123">
        <f>INDEX(Kalkulasi!$AE$641:$AE$658,Kalkulasi!$A$665)</f>
        <v/>
      </c>
      <c r="I17" s="123">
        <f>INDEX(Kalkulasi!$AF$641:$AF$658,Kalkulasi!$A$665)</f>
        <v/>
      </c>
      <c r="J17" s="123">
        <f>INDEX(Kalkulasi!$AG$641:$AG$658,Kalkulasi!$A$665)</f>
        <v/>
      </c>
      <c r="K17" s="123">
        <f>INDEX(Kalkulasi!$AH$641:$AH$658,Kalkulasi!$A$665)</f>
        <v/>
      </c>
      <c r="L17" s="123">
        <f>INDEX(Kalkulasi!$AI$641:$AI$658,Kalkulasi!$A$665)</f>
        <v/>
      </c>
      <c r="M17" s="123">
        <f>INDEX(Kalkulasi!$AJ$641:$AJ$658,Kalkulasi!$A$665)</f>
        <v/>
      </c>
      <c r="N17" s="123">
        <f>INDEX(Kalkulasi!$AK$641:$AK$658,Kalkulasi!$A$665)</f>
        <v/>
      </c>
      <c r="O17" s="123">
        <f>INDEX(Kalkulasi!$AL$641:$AL$658,Kalkulasi!$A$665)</f>
        <v/>
      </c>
      <c r="P17" s="123">
        <f>INDEX(Kalkulasi!$AM$641:$AM$658,Kalkulasi!$A$665)</f>
        <v/>
      </c>
      <c r="Q17" s="123">
        <f>INDEX(Kalkulasi!$AN$641:$AN$658,Kalkulasi!$A$665)</f>
        <v/>
      </c>
      <c r="R17" s="123">
        <f>INDEX(Kalkulasi!$AO$641:$AO$658,Kalkulasi!$A$665)</f>
        <v/>
      </c>
      <c r="S17" s="70">
        <f>INDEX(Kalkulasi!$P$641:$P$658,Kalkulasi!$A$665)</f>
        <v/>
      </c>
      <c r="T17" s="71">
        <f>INDEX(Kalkulasi!$AP$641:$AP$658,Kalkulasi!$A$665)</f>
        <v/>
      </c>
      <c r="U17" s="78" t="inlineStr"/>
      <c r="V17" s="2" t="n"/>
    </row>
    <row r="18" ht="19" customHeight="1">
      <c r="A18" s="1" t="n"/>
      <c r="B18" s="15">
        <f>HYPERLINK("#INPUT_DELAY!A1","   Input delay ↗")</f>
        <v/>
      </c>
      <c r="C18" s="2" t="n"/>
      <c r="D18" s="122">
        <f>INDEX(Kalkulasi!$A$641:$A$658,Kalkulasi!$A$666)&amp;"  "&amp;INDEX(Kalkulasi!$B$641:$B$658,Kalkulasi!$A$666)</f>
        <v/>
      </c>
      <c r="F18" s="114">
        <f>IF(INDEX(Kalkulasi!$C$641:$C$658,Kalkulasi!$A$666)=0,"–",INDEX(Kalkulasi!$C$641:$C$658,Kalkulasi!$A$666))</f>
        <v/>
      </c>
      <c r="G18" s="123">
        <f>INDEX(Kalkulasi!$AD$641:$AD$658,Kalkulasi!$A$666)</f>
        <v/>
      </c>
      <c r="H18" s="123">
        <f>INDEX(Kalkulasi!$AE$641:$AE$658,Kalkulasi!$A$666)</f>
        <v/>
      </c>
      <c r="I18" s="123">
        <f>INDEX(Kalkulasi!$AF$641:$AF$658,Kalkulasi!$A$666)</f>
        <v/>
      </c>
      <c r="J18" s="123">
        <f>INDEX(Kalkulasi!$AG$641:$AG$658,Kalkulasi!$A$666)</f>
        <v/>
      </c>
      <c r="K18" s="123">
        <f>INDEX(Kalkulasi!$AH$641:$AH$658,Kalkulasi!$A$666)</f>
        <v/>
      </c>
      <c r="L18" s="123">
        <f>INDEX(Kalkulasi!$AI$641:$AI$658,Kalkulasi!$A$666)</f>
        <v/>
      </c>
      <c r="M18" s="123">
        <f>INDEX(Kalkulasi!$AJ$641:$AJ$658,Kalkulasi!$A$666)</f>
        <v/>
      </c>
      <c r="N18" s="123">
        <f>INDEX(Kalkulasi!$AK$641:$AK$658,Kalkulasi!$A$666)</f>
        <v/>
      </c>
      <c r="O18" s="123">
        <f>INDEX(Kalkulasi!$AL$641:$AL$658,Kalkulasi!$A$666)</f>
        <v/>
      </c>
      <c r="P18" s="123">
        <f>INDEX(Kalkulasi!$AM$641:$AM$658,Kalkulasi!$A$666)</f>
        <v/>
      </c>
      <c r="Q18" s="123">
        <f>INDEX(Kalkulasi!$AN$641:$AN$658,Kalkulasi!$A$666)</f>
        <v/>
      </c>
      <c r="R18" s="123">
        <f>INDEX(Kalkulasi!$AO$641:$AO$658,Kalkulasi!$A$666)</f>
        <v/>
      </c>
      <c r="S18" s="70">
        <f>INDEX(Kalkulasi!$P$641:$P$658,Kalkulasi!$A$666)</f>
        <v/>
      </c>
      <c r="T18" s="71">
        <f>INDEX(Kalkulasi!$AP$641:$AP$658,Kalkulasi!$A$666)</f>
        <v/>
      </c>
      <c r="U18" s="78" t="inlineStr"/>
      <c r="V18" s="2" t="n"/>
    </row>
    <row r="19" ht="19" customHeight="1">
      <c r="A19" s="1" t="n"/>
      <c r="B19" s="1" t="n"/>
      <c r="C19" s="2" t="n"/>
      <c r="D19" s="122">
        <f>INDEX(Kalkulasi!$A$641:$A$658,Kalkulasi!$A$667)&amp;"  "&amp;INDEX(Kalkulasi!$B$641:$B$658,Kalkulasi!$A$667)</f>
        <v/>
      </c>
      <c r="F19" s="114">
        <f>IF(INDEX(Kalkulasi!$C$641:$C$658,Kalkulasi!$A$667)=0,"–",INDEX(Kalkulasi!$C$641:$C$658,Kalkulasi!$A$667))</f>
        <v/>
      </c>
      <c r="G19" s="123">
        <f>INDEX(Kalkulasi!$AD$641:$AD$658,Kalkulasi!$A$667)</f>
        <v/>
      </c>
      <c r="H19" s="123">
        <f>INDEX(Kalkulasi!$AE$641:$AE$658,Kalkulasi!$A$667)</f>
        <v/>
      </c>
      <c r="I19" s="123">
        <f>INDEX(Kalkulasi!$AF$641:$AF$658,Kalkulasi!$A$667)</f>
        <v/>
      </c>
      <c r="J19" s="123">
        <f>INDEX(Kalkulasi!$AG$641:$AG$658,Kalkulasi!$A$667)</f>
        <v/>
      </c>
      <c r="K19" s="123">
        <f>INDEX(Kalkulasi!$AH$641:$AH$658,Kalkulasi!$A$667)</f>
        <v/>
      </c>
      <c r="L19" s="123">
        <f>INDEX(Kalkulasi!$AI$641:$AI$658,Kalkulasi!$A$667)</f>
        <v/>
      </c>
      <c r="M19" s="123">
        <f>INDEX(Kalkulasi!$AJ$641:$AJ$658,Kalkulasi!$A$667)</f>
        <v/>
      </c>
      <c r="N19" s="123">
        <f>INDEX(Kalkulasi!$AK$641:$AK$658,Kalkulasi!$A$667)</f>
        <v/>
      </c>
      <c r="O19" s="123">
        <f>INDEX(Kalkulasi!$AL$641:$AL$658,Kalkulasi!$A$667)</f>
        <v/>
      </c>
      <c r="P19" s="123">
        <f>INDEX(Kalkulasi!$AM$641:$AM$658,Kalkulasi!$A$667)</f>
        <v/>
      </c>
      <c r="Q19" s="123">
        <f>INDEX(Kalkulasi!$AN$641:$AN$658,Kalkulasi!$A$667)</f>
        <v/>
      </c>
      <c r="R19" s="123">
        <f>INDEX(Kalkulasi!$AO$641:$AO$658,Kalkulasi!$A$667)</f>
        <v/>
      </c>
      <c r="S19" s="70">
        <f>INDEX(Kalkulasi!$P$641:$P$658,Kalkulasi!$A$667)</f>
        <v/>
      </c>
      <c r="T19" s="71">
        <f>INDEX(Kalkulasi!$AP$641:$AP$658,Kalkulasi!$A$667)</f>
        <v/>
      </c>
      <c r="U19" s="78" t="inlineStr"/>
      <c r="V19" s="2" t="n"/>
    </row>
    <row r="20" ht="19" customHeight="1">
      <c r="A20" s="1" t="n"/>
      <c r="B20" s="8" t="inlineStr">
        <is>
          <t>DATA</t>
        </is>
      </c>
      <c r="C20" s="2" t="n"/>
      <c r="D20" s="122">
        <f>INDEX(Kalkulasi!$A$641:$A$658,Kalkulasi!$A$668)&amp;"  "&amp;INDEX(Kalkulasi!$B$641:$B$658,Kalkulasi!$A$668)</f>
        <v/>
      </c>
      <c r="F20" s="114">
        <f>IF(INDEX(Kalkulasi!$C$641:$C$658,Kalkulasi!$A$668)=0,"–",INDEX(Kalkulasi!$C$641:$C$658,Kalkulasi!$A$668))</f>
        <v/>
      </c>
      <c r="G20" s="123">
        <f>INDEX(Kalkulasi!$AD$641:$AD$658,Kalkulasi!$A$668)</f>
        <v/>
      </c>
      <c r="H20" s="123">
        <f>INDEX(Kalkulasi!$AE$641:$AE$658,Kalkulasi!$A$668)</f>
        <v/>
      </c>
      <c r="I20" s="123">
        <f>INDEX(Kalkulasi!$AF$641:$AF$658,Kalkulasi!$A$668)</f>
        <v/>
      </c>
      <c r="J20" s="123">
        <f>INDEX(Kalkulasi!$AG$641:$AG$658,Kalkulasi!$A$668)</f>
        <v/>
      </c>
      <c r="K20" s="123">
        <f>INDEX(Kalkulasi!$AH$641:$AH$658,Kalkulasi!$A$668)</f>
        <v/>
      </c>
      <c r="L20" s="123">
        <f>INDEX(Kalkulasi!$AI$641:$AI$658,Kalkulasi!$A$668)</f>
        <v/>
      </c>
      <c r="M20" s="123">
        <f>INDEX(Kalkulasi!$AJ$641:$AJ$658,Kalkulasi!$A$668)</f>
        <v/>
      </c>
      <c r="N20" s="123">
        <f>INDEX(Kalkulasi!$AK$641:$AK$658,Kalkulasi!$A$668)</f>
        <v/>
      </c>
      <c r="O20" s="123">
        <f>INDEX(Kalkulasi!$AL$641:$AL$658,Kalkulasi!$A$668)</f>
        <v/>
      </c>
      <c r="P20" s="123">
        <f>INDEX(Kalkulasi!$AM$641:$AM$658,Kalkulasi!$A$668)</f>
        <v/>
      </c>
      <c r="Q20" s="123">
        <f>INDEX(Kalkulasi!$AN$641:$AN$658,Kalkulasi!$A$668)</f>
        <v/>
      </c>
      <c r="R20" s="123">
        <f>INDEX(Kalkulasi!$AO$641:$AO$658,Kalkulasi!$A$668)</f>
        <v/>
      </c>
      <c r="S20" s="70">
        <f>INDEX(Kalkulasi!$P$641:$P$658,Kalkulasi!$A$668)</f>
        <v/>
      </c>
      <c r="T20" s="71">
        <f>INDEX(Kalkulasi!$AP$641:$AP$658,Kalkulasi!$A$668)</f>
        <v/>
      </c>
      <c r="U20" s="78" t="inlineStr"/>
      <c r="V20" s="2" t="n"/>
    </row>
    <row r="21" ht="19" customHeight="1">
      <c r="A21" s="1" t="n"/>
      <c r="B21" s="15">
        <f>HYPERLINK("#'Master Data'!A1","   Master Data")</f>
        <v/>
      </c>
      <c r="C21" s="2" t="n"/>
      <c r="D21" s="122">
        <f>INDEX(Kalkulasi!$A$641:$A$658,Kalkulasi!$A$669)&amp;"  "&amp;INDEX(Kalkulasi!$B$641:$B$658,Kalkulasi!$A$669)</f>
        <v/>
      </c>
      <c r="F21" s="114">
        <f>IF(INDEX(Kalkulasi!$C$641:$C$658,Kalkulasi!$A$669)=0,"–",INDEX(Kalkulasi!$C$641:$C$658,Kalkulasi!$A$669))</f>
        <v/>
      </c>
      <c r="G21" s="123">
        <f>INDEX(Kalkulasi!$AD$641:$AD$658,Kalkulasi!$A$669)</f>
        <v/>
      </c>
      <c r="H21" s="123">
        <f>INDEX(Kalkulasi!$AE$641:$AE$658,Kalkulasi!$A$669)</f>
        <v/>
      </c>
      <c r="I21" s="123">
        <f>INDEX(Kalkulasi!$AF$641:$AF$658,Kalkulasi!$A$669)</f>
        <v/>
      </c>
      <c r="J21" s="123">
        <f>INDEX(Kalkulasi!$AG$641:$AG$658,Kalkulasi!$A$669)</f>
        <v/>
      </c>
      <c r="K21" s="123">
        <f>INDEX(Kalkulasi!$AH$641:$AH$658,Kalkulasi!$A$669)</f>
        <v/>
      </c>
      <c r="L21" s="123">
        <f>INDEX(Kalkulasi!$AI$641:$AI$658,Kalkulasi!$A$669)</f>
        <v/>
      </c>
      <c r="M21" s="123">
        <f>INDEX(Kalkulasi!$AJ$641:$AJ$658,Kalkulasi!$A$669)</f>
        <v/>
      </c>
      <c r="N21" s="123">
        <f>INDEX(Kalkulasi!$AK$641:$AK$658,Kalkulasi!$A$669)</f>
        <v/>
      </c>
      <c r="O21" s="123">
        <f>INDEX(Kalkulasi!$AL$641:$AL$658,Kalkulasi!$A$669)</f>
        <v/>
      </c>
      <c r="P21" s="123">
        <f>INDEX(Kalkulasi!$AM$641:$AM$658,Kalkulasi!$A$669)</f>
        <v/>
      </c>
      <c r="Q21" s="123">
        <f>INDEX(Kalkulasi!$AN$641:$AN$658,Kalkulasi!$A$669)</f>
        <v/>
      </c>
      <c r="R21" s="123">
        <f>INDEX(Kalkulasi!$AO$641:$AO$658,Kalkulasi!$A$669)</f>
        <v/>
      </c>
      <c r="S21" s="70">
        <f>INDEX(Kalkulasi!$P$641:$P$658,Kalkulasi!$A$669)</f>
        <v/>
      </c>
      <c r="T21" s="71">
        <f>INDEX(Kalkulasi!$AP$641:$AP$658,Kalkulasi!$A$669)</f>
        <v/>
      </c>
      <c r="U21" s="78" t="inlineStr"/>
      <c r="V21" s="2" t="n"/>
    </row>
    <row r="22" ht="19" customHeight="1">
      <c r="A22" s="1" t="n"/>
      <c r="B22" s="15">
        <f>HYPERLINK("#DATA_TS!A1","   Tabel timesheet ↗")</f>
        <v/>
      </c>
      <c r="C22" s="2" t="n"/>
      <c r="D22" s="122">
        <f>INDEX(Kalkulasi!$A$641:$A$658,Kalkulasi!$A$670)&amp;"  "&amp;INDEX(Kalkulasi!$B$641:$B$658,Kalkulasi!$A$670)</f>
        <v/>
      </c>
      <c r="F22" s="114">
        <f>IF(INDEX(Kalkulasi!$C$641:$C$658,Kalkulasi!$A$670)=0,"–",INDEX(Kalkulasi!$C$641:$C$658,Kalkulasi!$A$670))</f>
        <v/>
      </c>
      <c r="G22" s="123">
        <f>INDEX(Kalkulasi!$AD$641:$AD$658,Kalkulasi!$A$670)</f>
        <v/>
      </c>
      <c r="H22" s="123">
        <f>INDEX(Kalkulasi!$AE$641:$AE$658,Kalkulasi!$A$670)</f>
        <v/>
      </c>
      <c r="I22" s="123">
        <f>INDEX(Kalkulasi!$AF$641:$AF$658,Kalkulasi!$A$670)</f>
        <v/>
      </c>
      <c r="J22" s="123">
        <f>INDEX(Kalkulasi!$AG$641:$AG$658,Kalkulasi!$A$670)</f>
        <v/>
      </c>
      <c r="K22" s="123">
        <f>INDEX(Kalkulasi!$AH$641:$AH$658,Kalkulasi!$A$670)</f>
        <v/>
      </c>
      <c r="L22" s="123">
        <f>INDEX(Kalkulasi!$AI$641:$AI$658,Kalkulasi!$A$670)</f>
        <v/>
      </c>
      <c r="M22" s="123">
        <f>INDEX(Kalkulasi!$AJ$641:$AJ$658,Kalkulasi!$A$670)</f>
        <v/>
      </c>
      <c r="N22" s="123">
        <f>INDEX(Kalkulasi!$AK$641:$AK$658,Kalkulasi!$A$670)</f>
        <v/>
      </c>
      <c r="O22" s="123">
        <f>INDEX(Kalkulasi!$AL$641:$AL$658,Kalkulasi!$A$670)</f>
        <v/>
      </c>
      <c r="P22" s="123">
        <f>INDEX(Kalkulasi!$AM$641:$AM$658,Kalkulasi!$A$670)</f>
        <v/>
      </c>
      <c r="Q22" s="123">
        <f>INDEX(Kalkulasi!$AN$641:$AN$658,Kalkulasi!$A$670)</f>
        <v/>
      </c>
      <c r="R22" s="123">
        <f>INDEX(Kalkulasi!$AO$641:$AO$658,Kalkulasi!$A$670)</f>
        <v/>
      </c>
      <c r="S22" s="70">
        <f>INDEX(Kalkulasi!$P$641:$P$658,Kalkulasi!$A$670)</f>
        <v/>
      </c>
      <c r="T22" s="71">
        <f>INDEX(Kalkulasi!$AP$641:$AP$658,Kalkulasi!$A$670)</f>
        <v/>
      </c>
      <c r="U22" s="78" t="inlineStr"/>
      <c r="V22" s="2" t="n"/>
    </row>
    <row r="23" ht="19" customHeight="1">
      <c r="A23" s="1" t="n"/>
      <c r="B23" s="15">
        <f>HYPERLINK("#DATA_FUEL!A1","   Tabel fuel ↗")</f>
        <v/>
      </c>
      <c r="C23" s="2" t="n"/>
      <c r="D23" s="122">
        <f>INDEX(Kalkulasi!$A$641:$A$658,Kalkulasi!$A$671)&amp;"  "&amp;INDEX(Kalkulasi!$B$641:$B$658,Kalkulasi!$A$671)</f>
        <v/>
      </c>
      <c r="F23" s="114">
        <f>IF(INDEX(Kalkulasi!$C$641:$C$658,Kalkulasi!$A$671)=0,"–",INDEX(Kalkulasi!$C$641:$C$658,Kalkulasi!$A$671))</f>
        <v/>
      </c>
      <c r="G23" s="123">
        <f>INDEX(Kalkulasi!$AD$641:$AD$658,Kalkulasi!$A$671)</f>
        <v/>
      </c>
      <c r="H23" s="123">
        <f>INDEX(Kalkulasi!$AE$641:$AE$658,Kalkulasi!$A$671)</f>
        <v/>
      </c>
      <c r="I23" s="123">
        <f>INDEX(Kalkulasi!$AF$641:$AF$658,Kalkulasi!$A$671)</f>
        <v/>
      </c>
      <c r="J23" s="123">
        <f>INDEX(Kalkulasi!$AG$641:$AG$658,Kalkulasi!$A$671)</f>
        <v/>
      </c>
      <c r="K23" s="123">
        <f>INDEX(Kalkulasi!$AH$641:$AH$658,Kalkulasi!$A$671)</f>
        <v/>
      </c>
      <c r="L23" s="123">
        <f>INDEX(Kalkulasi!$AI$641:$AI$658,Kalkulasi!$A$671)</f>
        <v/>
      </c>
      <c r="M23" s="123">
        <f>INDEX(Kalkulasi!$AJ$641:$AJ$658,Kalkulasi!$A$671)</f>
        <v/>
      </c>
      <c r="N23" s="123">
        <f>INDEX(Kalkulasi!$AK$641:$AK$658,Kalkulasi!$A$671)</f>
        <v/>
      </c>
      <c r="O23" s="123">
        <f>INDEX(Kalkulasi!$AL$641:$AL$658,Kalkulasi!$A$671)</f>
        <v/>
      </c>
      <c r="P23" s="123">
        <f>INDEX(Kalkulasi!$AM$641:$AM$658,Kalkulasi!$A$671)</f>
        <v/>
      </c>
      <c r="Q23" s="123">
        <f>INDEX(Kalkulasi!$AN$641:$AN$658,Kalkulasi!$A$671)</f>
        <v/>
      </c>
      <c r="R23" s="123">
        <f>INDEX(Kalkulasi!$AO$641:$AO$658,Kalkulasi!$A$671)</f>
        <v/>
      </c>
      <c r="S23" s="70">
        <f>INDEX(Kalkulasi!$P$641:$P$658,Kalkulasi!$A$671)</f>
        <v/>
      </c>
      <c r="T23" s="71">
        <f>INDEX(Kalkulasi!$AP$641:$AP$658,Kalkulasi!$A$671)</f>
        <v/>
      </c>
      <c r="U23" s="78" t="inlineStr"/>
      <c r="V23" s="2" t="n"/>
    </row>
    <row r="24" ht="19" customHeight="1">
      <c r="A24" s="1" t="n"/>
      <c r="B24" s="1" t="n"/>
      <c r="C24" s="2" t="n"/>
      <c r="D24" s="122">
        <f>INDEX(Kalkulasi!$A$641:$A$658,Kalkulasi!$A$672)&amp;"  "&amp;INDEX(Kalkulasi!$B$641:$B$658,Kalkulasi!$A$672)</f>
        <v/>
      </c>
      <c r="F24" s="114">
        <f>IF(INDEX(Kalkulasi!$C$641:$C$658,Kalkulasi!$A$672)=0,"–",INDEX(Kalkulasi!$C$641:$C$658,Kalkulasi!$A$672))</f>
        <v/>
      </c>
      <c r="G24" s="123">
        <f>INDEX(Kalkulasi!$AD$641:$AD$658,Kalkulasi!$A$672)</f>
        <v/>
      </c>
      <c r="H24" s="123">
        <f>INDEX(Kalkulasi!$AE$641:$AE$658,Kalkulasi!$A$672)</f>
        <v/>
      </c>
      <c r="I24" s="123">
        <f>INDEX(Kalkulasi!$AF$641:$AF$658,Kalkulasi!$A$672)</f>
        <v/>
      </c>
      <c r="J24" s="123">
        <f>INDEX(Kalkulasi!$AG$641:$AG$658,Kalkulasi!$A$672)</f>
        <v/>
      </c>
      <c r="K24" s="123">
        <f>INDEX(Kalkulasi!$AH$641:$AH$658,Kalkulasi!$A$672)</f>
        <v/>
      </c>
      <c r="L24" s="123">
        <f>INDEX(Kalkulasi!$AI$641:$AI$658,Kalkulasi!$A$672)</f>
        <v/>
      </c>
      <c r="M24" s="123">
        <f>INDEX(Kalkulasi!$AJ$641:$AJ$658,Kalkulasi!$A$672)</f>
        <v/>
      </c>
      <c r="N24" s="123">
        <f>INDEX(Kalkulasi!$AK$641:$AK$658,Kalkulasi!$A$672)</f>
        <v/>
      </c>
      <c r="O24" s="123">
        <f>INDEX(Kalkulasi!$AL$641:$AL$658,Kalkulasi!$A$672)</f>
        <v/>
      </c>
      <c r="P24" s="123">
        <f>INDEX(Kalkulasi!$AM$641:$AM$658,Kalkulasi!$A$672)</f>
        <v/>
      </c>
      <c r="Q24" s="123">
        <f>INDEX(Kalkulasi!$AN$641:$AN$658,Kalkulasi!$A$672)</f>
        <v/>
      </c>
      <c r="R24" s="123">
        <f>INDEX(Kalkulasi!$AO$641:$AO$658,Kalkulasi!$A$672)</f>
        <v/>
      </c>
      <c r="S24" s="70">
        <f>INDEX(Kalkulasi!$P$641:$P$658,Kalkulasi!$A$672)</f>
        <v/>
      </c>
      <c r="T24" s="71">
        <f>INDEX(Kalkulasi!$AP$641:$AP$658,Kalkulasi!$A$672)</f>
        <v/>
      </c>
      <c r="U24" s="78" t="inlineStr"/>
      <c r="V24" s="2" t="n"/>
    </row>
    <row r="25" ht="19" customHeight="1">
      <c r="A25" s="1" t="n"/>
      <c r="B25" s="8" t="inlineStr">
        <is>
          <t>LAINNYA</t>
        </is>
      </c>
      <c r="C25" s="2" t="n"/>
      <c r="D25" s="122">
        <f>INDEX(Kalkulasi!$A$641:$A$658,Kalkulasi!$A$673)&amp;"  "&amp;INDEX(Kalkulasi!$B$641:$B$658,Kalkulasi!$A$673)</f>
        <v/>
      </c>
      <c r="F25" s="114">
        <f>IF(INDEX(Kalkulasi!$C$641:$C$658,Kalkulasi!$A$673)=0,"–",INDEX(Kalkulasi!$C$641:$C$658,Kalkulasi!$A$673))</f>
        <v/>
      </c>
      <c r="G25" s="123">
        <f>INDEX(Kalkulasi!$AD$641:$AD$658,Kalkulasi!$A$673)</f>
        <v/>
      </c>
      <c r="H25" s="123">
        <f>INDEX(Kalkulasi!$AE$641:$AE$658,Kalkulasi!$A$673)</f>
        <v/>
      </c>
      <c r="I25" s="123">
        <f>INDEX(Kalkulasi!$AF$641:$AF$658,Kalkulasi!$A$673)</f>
        <v/>
      </c>
      <c r="J25" s="123">
        <f>INDEX(Kalkulasi!$AG$641:$AG$658,Kalkulasi!$A$673)</f>
        <v/>
      </c>
      <c r="K25" s="123">
        <f>INDEX(Kalkulasi!$AH$641:$AH$658,Kalkulasi!$A$673)</f>
        <v/>
      </c>
      <c r="L25" s="123">
        <f>INDEX(Kalkulasi!$AI$641:$AI$658,Kalkulasi!$A$673)</f>
        <v/>
      </c>
      <c r="M25" s="123">
        <f>INDEX(Kalkulasi!$AJ$641:$AJ$658,Kalkulasi!$A$673)</f>
        <v/>
      </c>
      <c r="N25" s="123">
        <f>INDEX(Kalkulasi!$AK$641:$AK$658,Kalkulasi!$A$673)</f>
        <v/>
      </c>
      <c r="O25" s="123">
        <f>INDEX(Kalkulasi!$AL$641:$AL$658,Kalkulasi!$A$673)</f>
        <v/>
      </c>
      <c r="P25" s="123">
        <f>INDEX(Kalkulasi!$AM$641:$AM$658,Kalkulasi!$A$673)</f>
        <v/>
      </c>
      <c r="Q25" s="123">
        <f>INDEX(Kalkulasi!$AN$641:$AN$658,Kalkulasi!$A$673)</f>
        <v/>
      </c>
      <c r="R25" s="123">
        <f>INDEX(Kalkulasi!$AO$641:$AO$658,Kalkulasi!$A$673)</f>
        <v/>
      </c>
      <c r="S25" s="70">
        <f>INDEX(Kalkulasi!$P$641:$P$658,Kalkulasi!$A$673)</f>
        <v/>
      </c>
      <c r="T25" s="71">
        <f>INDEX(Kalkulasi!$AP$641:$AP$658,Kalkulasi!$A$673)</f>
        <v/>
      </c>
      <c r="U25" s="78" t="inlineStr"/>
      <c r="V25" s="2" t="n"/>
    </row>
    <row r="26" ht="19" customHeight="1">
      <c r="A26" s="1" t="n"/>
      <c r="B26" s="15">
        <f>HYPERLINK("#Panduan!A1","   Panduan")</f>
        <v/>
      </c>
      <c r="C26" s="2" t="n"/>
      <c r="D26" s="122">
        <f>INDEX(Kalkulasi!$A$641:$A$658,Kalkulasi!$A$674)&amp;"  "&amp;INDEX(Kalkulasi!$B$641:$B$658,Kalkulasi!$A$674)</f>
        <v/>
      </c>
      <c r="F26" s="114">
        <f>IF(INDEX(Kalkulasi!$C$641:$C$658,Kalkulasi!$A$674)=0,"–",INDEX(Kalkulasi!$C$641:$C$658,Kalkulasi!$A$674))</f>
        <v/>
      </c>
      <c r="G26" s="123">
        <f>INDEX(Kalkulasi!$AD$641:$AD$658,Kalkulasi!$A$674)</f>
        <v/>
      </c>
      <c r="H26" s="123">
        <f>INDEX(Kalkulasi!$AE$641:$AE$658,Kalkulasi!$A$674)</f>
        <v/>
      </c>
      <c r="I26" s="123">
        <f>INDEX(Kalkulasi!$AF$641:$AF$658,Kalkulasi!$A$674)</f>
        <v/>
      </c>
      <c r="J26" s="123">
        <f>INDEX(Kalkulasi!$AG$641:$AG$658,Kalkulasi!$A$674)</f>
        <v/>
      </c>
      <c r="K26" s="123">
        <f>INDEX(Kalkulasi!$AH$641:$AH$658,Kalkulasi!$A$674)</f>
        <v/>
      </c>
      <c r="L26" s="123">
        <f>INDEX(Kalkulasi!$AI$641:$AI$658,Kalkulasi!$A$674)</f>
        <v/>
      </c>
      <c r="M26" s="123">
        <f>INDEX(Kalkulasi!$AJ$641:$AJ$658,Kalkulasi!$A$674)</f>
        <v/>
      </c>
      <c r="N26" s="123">
        <f>INDEX(Kalkulasi!$AK$641:$AK$658,Kalkulasi!$A$674)</f>
        <v/>
      </c>
      <c r="O26" s="123">
        <f>INDEX(Kalkulasi!$AL$641:$AL$658,Kalkulasi!$A$674)</f>
        <v/>
      </c>
      <c r="P26" s="123">
        <f>INDEX(Kalkulasi!$AM$641:$AM$658,Kalkulasi!$A$674)</f>
        <v/>
      </c>
      <c r="Q26" s="123">
        <f>INDEX(Kalkulasi!$AN$641:$AN$658,Kalkulasi!$A$674)</f>
        <v/>
      </c>
      <c r="R26" s="123">
        <f>INDEX(Kalkulasi!$AO$641:$AO$658,Kalkulasi!$A$674)</f>
        <v/>
      </c>
      <c r="S26" s="70">
        <f>INDEX(Kalkulasi!$P$641:$P$658,Kalkulasi!$A$674)</f>
        <v/>
      </c>
      <c r="T26" s="71">
        <f>INDEX(Kalkulasi!$AP$641:$AP$658,Kalkulasi!$A$674)</f>
        <v/>
      </c>
      <c r="U26" s="78" t="inlineStr"/>
      <c r="V26" s="2" t="n"/>
    </row>
    <row r="27" ht="19" customHeight="1">
      <c r="A27" s="1" t="n"/>
      <c r="B27" s="15">
        <f>HYPERLINK("#Parameter!A1","   Target &amp; parameter")</f>
        <v/>
      </c>
      <c r="C27" s="2" t="n"/>
      <c r="D27" s="122">
        <f>INDEX(Kalkulasi!$A$641:$A$658,Kalkulasi!$A$675)&amp;"  "&amp;INDEX(Kalkulasi!$B$641:$B$658,Kalkulasi!$A$675)</f>
        <v/>
      </c>
      <c r="F27" s="114">
        <f>IF(INDEX(Kalkulasi!$C$641:$C$658,Kalkulasi!$A$675)=0,"–",INDEX(Kalkulasi!$C$641:$C$658,Kalkulasi!$A$675))</f>
        <v/>
      </c>
      <c r="G27" s="123">
        <f>INDEX(Kalkulasi!$AD$641:$AD$658,Kalkulasi!$A$675)</f>
        <v/>
      </c>
      <c r="H27" s="123">
        <f>INDEX(Kalkulasi!$AE$641:$AE$658,Kalkulasi!$A$675)</f>
        <v/>
      </c>
      <c r="I27" s="123">
        <f>INDEX(Kalkulasi!$AF$641:$AF$658,Kalkulasi!$A$675)</f>
        <v/>
      </c>
      <c r="J27" s="123">
        <f>INDEX(Kalkulasi!$AG$641:$AG$658,Kalkulasi!$A$675)</f>
        <v/>
      </c>
      <c r="K27" s="123">
        <f>INDEX(Kalkulasi!$AH$641:$AH$658,Kalkulasi!$A$675)</f>
        <v/>
      </c>
      <c r="L27" s="123">
        <f>INDEX(Kalkulasi!$AI$641:$AI$658,Kalkulasi!$A$675)</f>
        <v/>
      </c>
      <c r="M27" s="123">
        <f>INDEX(Kalkulasi!$AJ$641:$AJ$658,Kalkulasi!$A$675)</f>
        <v/>
      </c>
      <c r="N27" s="123">
        <f>INDEX(Kalkulasi!$AK$641:$AK$658,Kalkulasi!$A$675)</f>
        <v/>
      </c>
      <c r="O27" s="123">
        <f>INDEX(Kalkulasi!$AL$641:$AL$658,Kalkulasi!$A$675)</f>
        <v/>
      </c>
      <c r="P27" s="123">
        <f>INDEX(Kalkulasi!$AM$641:$AM$658,Kalkulasi!$A$675)</f>
        <v/>
      </c>
      <c r="Q27" s="123">
        <f>INDEX(Kalkulasi!$AN$641:$AN$658,Kalkulasi!$A$675)</f>
        <v/>
      </c>
      <c r="R27" s="123">
        <f>INDEX(Kalkulasi!$AO$641:$AO$658,Kalkulasi!$A$675)</f>
        <v/>
      </c>
      <c r="S27" s="70">
        <f>INDEX(Kalkulasi!$P$641:$P$658,Kalkulasi!$A$675)</f>
        <v/>
      </c>
      <c r="T27" s="71">
        <f>INDEX(Kalkulasi!$AP$641:$AP$658,Kalkulasi!$A$675)</f>
        <v/>
      </c>
      <c r="U27" s="78" t="inlineStr"/>
      <c r="V27" s="2" t="n"/>
    </row>
    <row r="28" ht="19" customHeight="1">
      <c r="A28" s="1" t="n"/>
      <c r="B28" s="15">
        <f>HYPERLINK("#MASTER_JAM!A1","   Faktor, target &amp; MF")</f>
        <v/>
      </c>
      <c r="C28" s="2" t="n"/>
      <c r="D28" s="122">
        <f>INDEX(Kalkulasi!$A$641:$A$658,Kalkulasi!$A$676)&amp;"  "&amp;INDEX(Kalkulasi!$B$641:$B$658,Kalkulasi!$A$676)</f>
        <v/>
      </c>
      <c r="F28" s="114">
        <f>IF(INDEX(Kalkulasi!$C$641:$C$658,Kalkulasi!$A$676)=0,"–",INDEX(Kalkulasi!$C$641:$C$658,Kalkulasi!$A$676))</f>
        <v/>
      </c>
      <c r="G28" s="123">
        <f>INDEX(Kalkulasi!$AD$641:$AD$658,Kalkulasi!$A$676)</f>
        <v/>
      </c>
      <c r="H28" s="123">
        <f>INDEX(Kalkulasi!$AE$641:$AE$658,Kalkulasi!$A$676)</f>
        <v/>
      </c>
      <c r="I28" s="123">
        <f>INDEX(Kalkulasi!$AF$641:$AF$658,Kalkulasi!$A$676)</f>
        <v/>
      </c>
      <c r="J28" s="123">
        <f>INDEX(Kalkulasi!$AG$641:$AG$658,Kalkulasi!$A$676)</f>
        <v/>
      </c>
      <c r="K28" s="123">
        <f>INDEX(Kalkulasi!$AH$641:$AH$658,Kalkulasi!$A$676)</f>
        <v/>
      </c>
      <c r="L28" s="123">
        <f>INDEX(Kalkulasi!$AI$641:$AI$658,Kalkulasi!$A$676)</f>
        <v/>
      </c>
      <c r="M28" s="123">
        <f>INDEX(Kalkulasi!$AJ$641:$AJ$658,Kalkulasi!$A$676)</f>
        <v/>
      </c>
      <c r="N28" s="123">
        <f>INDEX(Kalkulasi!$AK$641:$AK$658,Kalkulasi!$A$676)</f>
        <v/>
      </c>
      <c r="O28" s="123">
        <f>INDEX(Kalkulasi!$AL$641:$AL$658,Kalkulasi!$A$676)</f>
        <v/>
      </c>
      <c r="P28" s="123">
        <f>INDEX(Kalkulasi!$AM$641:$AM$658,Kalkulasi!$A$676)</f>
        <v/>
      </c>
      <c r="Q28" s="123">
        <f>INDEX(Kalkulasi!$AN$641:$AN$658,Kalkulasi!$A$676)</f>
        <v/>
      </c>
      <c r="R28" s="123">
        <f>INDEX(Kalkulasi!$AO$641:$AO$658,Kalkulasi!$A$676)</f>
        <v/>
      </c>
      <c r="S28" s="70">
        <f>INDEX(Kalkulasi!$P$641:$P$658,Kalkulasi!$A$676)</f>
        <v/>
      </c>
      <c r="T28" s="71">
        <f>INDEX(Kalkulasi!$AP$641:$AP$658,Kalkulasi!$A$676)</f>
        <v/>
      </c>
      <c r="U28" s="78" t="inlineStr"/>
      <c r="V28" s="2" t="n"/>
    </row>
    <row r="29" ht="19" customHeight="1">
      <c r="A29" s="1" t="n"/>
      <c r="B29" s="1" t="n"/>
      <c r="C29" s="2" t="n"/>
      <c r="D29" s="122">
        <f>INDEX(Kalkulasi!$A$641:$A$658,Kalkulasi!$A$677)&amp;"  "&amp;INDEX(Kalkulasi!$B$641:$B$658,Kalkulasi!$A$677)</f>
        <v/>
      </c>
      <c r="F29" s="114">
        <f>IF(INDEX(Kalkulasi!$C$641:$C$658,Kalkulasi!$A$677)=0,"–",INDEX(Kalkulasi!$C$641:$C$658,Kalkulasi!$A$677))</f>
        <v/>
      </c>
      <c r="G29" s="123">
        <f>INDEX(Kalkulasi!$AD$641:$AD$658,Kalkulasi!$A$677)</f>
        <v/>
      </c>
      <c r="H29" s="123">
        <f>INDEX(Kalkulasi!$AE$641:$AE$658,Kalkulasi!$A$677)</f>
        <v/>
      </c>
      <c r="I29" s="123">
        <f>INDEX(Kalkulasi!$AF$641:$AF$658,Kalkulasi!$A$677)</f>
        <v/>
      </c>
      <c r="J29" s="123">
        <f>INDEX(Kalkulasi!$AG$641:$AG$658,Kalkulasi!$A$677)</f>
        <v/>
      </c>
      <c r="K29" s="123">
        <f>INDEX(Kalkulasi!$AH$641:$AH$658,Kalkulasi!$A$677)</f>
        <v/>
      </c>
      <c r="L29" s="123">
        <f>INDEX(Kalkulasi!$AI$641:$AI$658,Kalkulasi!$A$677)</f>
        <v/>
      </c>
      <c r="M29" s="123">
        <f>INDEX(Kalkulasi!$AJ$641:$AJ$658,Kalkulasi!$A$677)</f>
        <v/>
      </c>
      <c r="N29" s="123">
        <f>INDEX(Kalkulasi!$AK$641:$AK$658,Kalkulasi!$A$677)</f>
        <v/>
      </c>
      <c r="O29" s="123">
        <f>INDEX(Kalkulasi!$AL$641:$AL$658,Kalkulasi!$A$677)</f>
        <v/>
      </c>
      <c r="P29" s="123">
        <f>INDEX(Kalkulasi!$AM$641:$AM$658,Kalkulasi!$A$677)</f>
        <v/>
      </c>
      <c r="Q29" s="123">
        <f>INDEX(Kalkulasi!$AN$641:$AN$658,Kalkulasi!$A$677)</f>
        <v/>
      </c>
      <c r="R29" s="123">
        <f>INDEX(Kalkulasi!$AO$641:$AO$658,Kalkulasi!$A$677)</f>
        <v/>
      </c>
      <c r="S29" s="70">
        <f>INDEX(Kalkulasi!$P$641:$P$658,Kalkulasi!$A$677)</f>
        <v/>
      </c>
      <c r="T29" s="71">
        <f>INDEX(Kalkulasi!$AP$641:$AP$658,Kalkulasi!$A$677)</f>
        <v/>
      </c>
      <c r="U29" s="78" t="inlineStr"/>
      <c r="V29" s="2" t="n"/>
    </row>
    <row r="30" ht="19" customHeight="1">
      <c r="A30" s="1" t="n"/>
      <c r="B30" s="1" t="n"/>
      <c r="C30" s="2" t="n"/>
      <c r="D30" s="122">
        <f>INDEX(Kalkulasi!$A$641:$A$658,Kalkulasi!$A$678)&amp;"  "&amp;INDEX(Kalkulasi!$B$641:$B$658,Kalkulasi!$A$678)</f>
        <v/>
      </c>
      <c r="F30" s="114">
        <f>IF(INDEX(Kalkulasi!$C$641:$C$658,Kalkulasi!$A$678)=0,"–",INDEX(Kalkulasi!$C$641:$C$658,Kalkulasi!$A$678))</f>
        <v/>
      </c>
      <c r="G30" s="123">
        <f>INDEX(Kalkulasi!$AD$641:$AD$658,Kalkulasi!$A$678)</f>
        <v/>
      </c>
      <c r="H30" s="123">
        <f>INDEX(Kalkulasi!$AE$641:$AE$658,Kalkulasi!$A$678)</f>
        <v/>
      </c>
      <c r="I30" s="123">
        <f>INDEX(Kalkulasi!$AF$641:$AF$658,Kalkulasi!$A$678)</f>
        <v/>
      </c>
      <c r="J30" s="123">
        <f>INDEX(Kalkulasi!$AG$641:$AG$658,Kalkulasi!$A$678)</f>
        <v/>
      </c>
      <c r="K30" s="123">
        <f>INDEX(Kalkulasi!$AH$641:$AH$658,Kalkulasi!$A$678)</f>
        <v/>
      </c>
      <c r="L30" s="123">
        <f>INDEX(Kalkulasi!$AI$641:$AI$658,Kalkulasi!$A$678)</f>
        <v/>
      </c>
      <c r="M30" s="123">
        <f>INDEX(Kalkulasi!$AJ$641:$AJ$658,Kalkulasi!$A$678)</f>
        <v/>
      </c>
      <c r="N30" s="123">
        <f>INDEX(Kalkulasi!$AK$641:$AK$658,Kalkulasi!$A$678)</f>
        <v/>
      </c>
      <c r="O30" s="123">
        <f>INDEX(Kalkulasi!$AL$641:$AL$658,Kalkulasi!$A$678)</f>
        <v/>
      </c>
      <c r="P30" s="123">
        <f>INDEX(Kalkulasi!$AM$641:$AM$658,Kalkulasi!$A$678)</f>
        <v/>
      </c>
      <c r="Q30" s="123">
        <f>INDEX(Kalkulasi!$AN$641:$AN$658,Kalkulasi!$A$678)</f>
        <v/>
      </c>
      <c r="R30" s="123">
        <f>INDEX(Kalkulasi!$AO$641:$AO$658,Kalkulasi!$A$678)</f>
        <v/>
      </c>
      <c r="S30" s="70">
        <f>INDEX(Kalkulasi!$P$641:$P$658,Kalkulasi!$A$678)</f>
        <v/>
      </c>
      <c r="T30" s="71">
        <f>INDEX(Kalkulasi!$AP$641:$AP$658,Kalkulasi!$A$678)</f>
        <v/>
      </c>
      <c r="U30" s="78" t="inlineStr"/>
      <c r="V30" s="2" t="n"/>
    </row>
    <row r="31" ht="19" customHeight="1">
      <c r="A31" s="1" t="n"/>
      <c r="B31" s="1" t="n"/>
      <c r="C31" s="2" t="n"/>
      <c r="D31" s="122">
        <f>INDEX(Kalkulasi!$A$641:$A$658,Kalkulasi!$A$679)&amp;"  "&amp;INDEX(Kalkulasi!$B$641:$B$658,Kalkulasi!$A$679)</f>
        <v/>
      </c>
      <c r="F31" s="114">
        <f>IF(INDEX(Kalkulasi!$C$641:$C$658,Kalkulasi!$A$679)=0,"–",INDEX(Kalkulasi!$C$641:$C$658,Kalkulasi!$A$679))</f>
        <v/>
      </c>
      <c r="G31" s="123">
        <f>INDEX(Kalkulasi!$AD$641:$AD$658,Kalkulasi!$A$679)</f>
        <v/>
      </c>
      <c r="H31" s="123">
        <f>INDEX(Kalkulasi!$AE$641:$AE$658,Kalkulasi!$A$679)</f>
        <v/>
      </c>
      <c r="I31" s="123">
        <f>INDEX(Kalkulasi!$AF$641:$AF$658,Kalkulasi!$A$679)</f>
        <v/>
      </c>
      <c r="J31" s="123">
        <f>INDEX(Kalkulasi!$AG$641:$AG$658,Kalkulasi!$A$679)</f>
        <v/>
      </c>
      <c r="K31" s="123">
        <f>INDEX(Kalkulasi!$AH$641:$AH$658,Kalkulasi!$A$679)</f>
        <v/>
      </c>
      <c r="L31" s="123">
        <f>INDEX(Kalkulasi!$AI$641:$AI$658,Kalkulasi!$A$679)</f>
        <v/>
      </c>
      <c r="M31" s="123">
        <f>INDEX(Kalkulasi!$AJ$641:$AJ$658,Kalkulasi!$A$679)</f>
        <v/>
      </c>
      <c r="N31" s="123">
        <f>INDEX(Kalkulasi!$AK$641:$AK$658,Kalkulasi!$A$679)</f>
        <v/>
      </c>
      <c r="O31" s="123">
        <f>INDEX(Kalkulasi!$AL$641:$AL$658,Kalkulasi!$A$679)</f>
        <v/>
      </c>
      <c r="P31" s="123">
        <f>INDEX(Kalkulasi!$AM$641:$AM$658,Kalkulasi!$A$679)</f>
        <v/>
      </c>
      <c r="Q31" s="123">
        <f>INDEX(Kalkulasi!$AN$641:$AN$658,Kalkulasi!$A$679)</f>
        <v/>
      </c>
      <c r="R31" s="123">
        <f>INDEX(Kalkulasi!$AO$641:$AO$658,Kalkulasi!$A$679)</f>
        <v/>
      </c>
      <c r="S31" s="70">
        <f>INDEX(Kalkulasi!$P$641:$P$658,Kalkulasi!$A$679)</f>
        <v/>
      </c>
      <c r="T31" s="71">
        <f>INDEX(Kalkulasi!$AP$641:$AP$658,Kalkulasi!$A$679)</f>
        <v/>
      </c>
      <c r="U31" s="78" t="inlineStr"/>
      <c r="V31" s="2" t="n"/>
    </row>
    <row r="32" ht="19" customHeight="1">
      <c r="A32" s="1" t="n"/>
      <c r="B32" s="1" t="n"/>
      <c r="C32" s="2" t="n"/>
      <c r="D32" s="122">
        <f>INDEX(Kalkulasi!$A$641:$A$658,Kalkulasi!$A$680)&amp;"  "&amp;INDEX(Kalkulasi!$B$641:$B$658,Kalkulasi!$A$680)</f>
        <v/>
      </c>
      <c r="F32" s="114">
        <f>IF(INDEX(Kalkulasi!$C$641:$C$658,Kalkulasi!$A$680)=0,"–",INDEX(Kalkulasi!$C$641:$C$658,Kalkulasi!$A$680))</f>
        <v/>
      </c>
      <c r="G32" s="123">
        <f>INDEX(Kalkulasi!$AD$641:$AD$658,Kalkulasi!$A$680)</f>
        <v/>
      </c>
      <c r="H32" s="123">
        <f>INDEX(Kalkulasi!$AE$641:$AE$658,Kalkulasi!$A$680)</f>
        <v/>
      </c>
      <c r="I32" s="123">
        <f>INDEX(Kalkulasi!$AF$641:$AF$658,Kalkulasi!$A$680)</f>
        <v/>
      </c>
      <c r="J32" s="123">
        <f>INDEX(Kalkulasi!$AG$641:$AG$658,Kalkulasi!$A$680)</f>
        <v/>
      </c>
      <c r="K32" s="123">
        <f>INDEX(Kalkulasi!$AH$641:$AH$658,Kalkulasi!$A$680)</f>
        <v/>
      </c>
      <c r="L32" s="123">
        <f>INDEX(Kalkulasi!$AI$641:$AI$658,Kalkulasi!$A$680)</f>
        <v/>
      </c>
      <c r="M32" s="123">
        <f>INDEX(Kalkulasi!$AJ$641:$AJ$658,Kalkulasi!$A$680)</f>
        <v/>
      </c>
      <c r="N32" s="123">
        <f>INDEX(Kalkulasi!$AK$641:$AK$658,Kalkulasi!$A$680)</f>
        <v/>
      </c>
      <c r="O32" s="123">
        <f>INDEX(Kalkulasi!$AL$641:$AL$658,Kalkulasi!$A$680)</f>
        <v/>
      </c>
      <c r="P32" s="123">
        <f>INDEX(Kalkulasi!$AM$641:$AM$658,Kalkulasi!$A$680)</f>
        <v/>
      </c>
      <c r="Q32" s="123">
        <f>INDEX(Kalkulasi!$AN$641:$AN$658,Kalkulasi!$A$680)</f>
        <v/>
      </c>
      <c r="R32" s="123">
        <f>INDEX(Kalkulasi!$AO$641:$AO$658,Kalkulasi!$A$680)</f>
        <v/>
      </c>
      <c r="S32" s="70">
        <f>INDEX(Kalkulasi!$P$641:$P$658,Kalkulasi!$A$680)</f>
        <v/>
      </c>
      <c r="T32" s="71">
        <f>INDEX(Kalkulasi!$AP$641:$AP$658,Kalkulasi!$A$680)</f>
        <v/>
      </c>
      <c r="U32" s="78" t="inlineStr"/>
      <c r="V32" s="2" t="n"/>
    </row>
    <row r="33">
      <c r="A33" s="1" t="n"/>
      <c r="B33" s="47" t="inlineStr">
        <is>
          <t>Data dummy · Coal Project</t>
        </is>
      </c>
      <c r="C33" s="2" t="n"/>
      <c r="D33" s="44" t="n"/>
      <c r="E33" s="45" t="n"/>
      <c r="F33" s="45" t="n"/>
      <c r="G33" s="45" t="n"/>
      <c r="H33" s="45" t="n"/>
      <c r="I33" s="45" t="n"/>
      <c r="J33" s="45" t="n"/>
      <c r="K33" s="45" t="n"/>
      <c r="L33" s="45" t="n"/>
      <c r="M33" s="45" t="n"/>
      <c r="N33" s="45" t="n"/>
      <c r="O33" s="45" t="n"/>
      <c r="P33" s="45" t="n"/>
      <c r="Q33" s="45" t="n"/>
      <c r="R33" s="45" t="n"/>
      <c r="S33" s="45" t="n"/>
      <c r="T33" s="45" t="n"/>
      <c r="U33" s="46" t="n"/>
      <c r="V33" s="2" t="n"/>
    </row>
    <row r="34">
      <c r="A34" s="1" t="n"/>
      <c r="B34" s="49" t="inlineStr">
        <is>
          <t>Simulasi unit per shift,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</row>
    <row r="35" ht="24" customHeight="1">
      <c r="A35" s="1" t="n"/>
      <c r="B35" s="49" t="inlineStr">
        <is>
          <t>Maret 2026. Bukan data</t>
        </is>
      </c>
      <c r="C35" s="2" t="n"/>
      <c r="D35" s="29" t="inlineStr">
        <is>
          <t>Produksi per jam vs plan</t>
        </is>
      </c>
      <c r="E35" s="30" t="n"/>
      <c r="F35" s="30" t="n"/>
      <c r="G35" s="30" t="n"/>
      <c r="H35" s="30" t="n"/>
      <c r="I35" s="30" t="n"/>
      <c r="J35" s="30" t="n"/>
      <c r="K35" s="30" t="n"/>
      <c r="L35" s="30" t="n"/>
      <c r="M35" s="30" t="n"/>
      <c r="N35" s="31" t="inlineStr">
        <is>
          <t>batang = actual · garis = PTY fleet (kanan) · putus = plan/jam</t>
        </is>
      </c>
      <c r="O35" s="29" t="inlineStr">
        <is>
          <t>Kumulatif shift</t>
        </is>
      </c>
      <c r="P35" s="30" t="n"/>
      <c r="Q35" s="30" t="n"/>
      <c r="R35" s="30" t="n"/>
      <c r="S35" s="30" t="n"/>
      <c r="T35" s="30" t="n"/>
      <c r="U35" s="31" t="inlineStr">
        <is>
          <t>actual vs plan</t>
        </is>
      </c>
      <c r="V35" s="2" t="n"/>
    </row>
    <row r="36">
      <c r="A36" s="1" t="n"/>
      <c r="B36" s="49" t="inlineStr">
        <is>
          <t>perusahaan mana pun.</t>
        </is>
      </c>
      <c r="C36" s="2" t="n"/>
      <c r="D36" s="32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4" t="n"/>
      <c r="O36" s="32" t="n"/>
      <c r="P36" s="33" t="n"/>
      <c r="Q36" s="33" t="n"/>
      <c r="R36" s="33" t="n"/>
      <c r="S36" s="33" t="n"/>
      <c r="T36" s="33" t="n"/>
      <c r="U36" s="34" t="n"/>
      <c r="V36" s="2" t="n"/>
    </row>
    <row r="37">
      <c r="A37" s="1" t="n"/>
      <c r="B37" s="49" t="inlineStr"/>
      <c r="C37" s="2" t="n"/>
      <c r="D37" s="32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4" t="n"/>
      <c r="O37" s="32" t="n"/>
      <c r="P37" s="33" t="n"/>
      <c r="Q37" s="33" t="n"/>
      <c r="R37" s="33" t="n"/>
      <c r="S37" s="33" t="n"/>
      <c r="T37" s="33" t="n"/>
      <c r="U37" s="34" t="n"/>
      <c r="V37" s="2" t="n"/>
    </row>
    <row r="38">
      <c r="A38" s="1" t="n"/>
      <c r="B38" s="47" t="inlineStr">
        <is>
          <t>Muhammad Rifqi Rizqullah</t>
        </is>
      </c>
      <c r="C38" s="2" t="n"/>
      <c r="D38" s="32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4" t="n"/>
      <c r="O38" s="32" t="n"/>
      <c r="P38" s="33" t="n"/>
      <c r="Q38" s="33" t="n"/>
      <c r="R38" s="33" t="n"/>
      <c r="S38" s="33" t="n"/>
      <c r="T38" s="33" t="n"/>
      <c r="U38" s="34" t="n"/>
      <c r="V38" s="2" t="n"/>
    </row>
    <row r="39">
      <c r="A39" s="1" t="n"/>
      <c r="B39" s="49" t="inlineStr">
        <is>
          <t>Mine Operations Control</t>
        </is>
      </c>
      <c r="C39" s="2" t="n"/>
      <c r="D39" s="32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4" t="n"/>
      <c r="O39" s="32" t="n"/>
      <c r="P39" s="33" t="n"/>
      <c r="Q39" s="33" t="n"/>
      <c r="R39" s="33" t="n"/>
      <c r="S39" s="33" t="n"/>
      <c r="T39" s="33" t="n"/>
      <c r="U39" s="34" t="n"/>
      <c r="V39" s="2" t="n"/>
    </row>
    <row r="40">
      <c r="A40" s="1" t="n"/>
      <c r="B40" s="1" t="n"/>
      <c r="C40" s="2" t="n"/>
      <c r="D40" s="32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4" t="n"/>
      <c r="O40" s="32" t="n"/>
      <c r="P40" s="33" t="n"/>
      <c r="Q40" s="33" t="n"/>
      <c r="R40" s="33" t="n"/>
      <c r="S40" s="33" t="n"/>
      <c r="T40" s="33" t="n"/>
      <c r="U40" s="34" t="n"/>
      <c r="V40" s="2" t="n"/>
    </row>
    <row r="41">
      <c r="A41" s="1" t="n"/>
      <c r="B41" s="1" t="n"/>
      <c r="C41" s="2" t="n"/>
      <c r="D41" s="32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4" t="n"/>
      <c r="O41" s="32" t="n"/>
      <c r="P41" s="33" t="n"/>
      <c r="Q41" s="33" t="n"/>
      <c r="R41" s="33" t="n"/>
      <c r="S41" s="33" t="n"/>
      <c r="T41" s="33" t="n"/>
      <c r="U41" s="34" t="n"/>
      <c r="V41" s="2" t="n"/>
    </row>
    <row r="42">
      <c r="A42" s="1" t="n"/>
      <c r="B42" s="1" t="n"/>
      <c r="C42" s="2" t="n"/>
      <c r="D42" s="32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4" t="n"/>
      <c r="O42" s="32" t="n"/>
      <c r="P42" s="33" t="n"/>
      <c r="Q42" s="33" t="n"/>
      <c r="R42" s="33" t="n"/>
      <c r="S42" s="33" t="n"/>
      <c r="T42" s="33" t="n"/>
      <c r="U42" s="34" t="n"/>
      <c r="V42" s="2" t="n"/>
    </row>
    <row r="43">
      <c r="A43" s="1" t="n"/>
      <c r="B43" s="1" t="n"/>
      <c r="C43" s="2" t="n"/>
      <c r="D43" s="32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4" t="n"/>
      <c r="O43" s="32" t="n"/>
      <c r="P43" s="33" t="n"/>
      <c r="Q43" s="33" t="n"/>
      <c r="R43" s="33" t="n"/>
      <c r="S43" s="33" t="n"/>
      <c r="T43" s="33" t="n"/>
      <c r="U43" s="34" t="n"/>
      <c r="V43" s="2" t="n"/>
    </row>
    <row r="44">
      <c r="A44" s="1" t="n"/>
      <c r="B44" s="1" t="n"/>
      <c r="C44" s="2" t="n"/>
      <c r="D44" s="32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4" t="n"/>
      <c r="O44" s="32" t="n"/>
      <c r="P44" s="33" t="n"/>
      <c r="Q44" s="33" t="n"/>
      <c r="R44" s="33" t="n"/>
      <c r="S44" s="33" t="n"/>
      <c r="T44" s="33" t="n"/>
      <c r="U44" s="34" t="n"/>
      <c r="V44" s="2" t="n"/>
    </row>
    <row r="45">
      <c r="A45" s="1" t="n"/>
      <c r="B45" s="1" t="n"/>
      <c r="C45" s="2" t="n"/>
      <c r="D45" s="32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4" t="n"/>
      <c r="O45" s="32" t="n"/>
      <c r="P45" s="33" t="n"/>
      <c r="Q45" s="33" t="n"/>
      <c r="R45" s="33" t="n"/>
      <c r="S45" s="33" t="n"/>
      <c r="T45" s="33" t="n"/>
      <c r="U45" s="34" t="n"/>
      <c r="V45" s="2" t="n"/>
    </row>
    <row r="46">
      <c r="A46" s="1" t="n"/>
      <c r="B46" s="1" t="n"/>
      <c r="C46" s="2" t="n"/>
      <c r="D46" s="32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4" t="n"/>
      <c r="O46" s="32" t="n"/>
      <c r="P46" s="33" t="n"/>
      <c r="Q46" s="33" t="n"/>
      <c r="R46" s="33" t="n"/>
      <c r="S46" s="33" t="n"/>
      <c r="T46" s="33" t="n"/>
      <c r="U46" s="34" t="n"/>
      <c r="V46" s="2" t="n"/>
    </row>
    <row r="47">
      <c r="A47" s="1" t="n"/>
      <c r="B47" s="1" t="n"/>
      <c r="C47" s="2" t="n"/>
      <c r="D47" s="32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4" t="n"/>
      <c r="O47" s="32" t="n"/>
      <c r="P47" s="33" t="n"/>
      <c r="Q47" s="33" t="n"/>
      <c r="R47" s="33" t="n"/>
      <c r="S47" s="33" t="n"/>
      <c r="T47" s="33" t="n"/>
      <c r="U47" s="34" t="n"/>
      <c r="V47" s="2" t="n"/>
    </row>
    <row r="48">
      <c r="A48" s="1" t="n"/>
      <c r="B48" s="1" t="n"/>
      <c r="C48" s="2" t="n"/>
      <c r="D48" s="32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4" t="n"/>
      <c r="O48" s="32" t="n"/>
      <c r="P48" s="33" t="n"/>
      <c r="Q48" s="33" t="n"/>
      <c r="R48" s="33" t="n"/>
      <c r="S48" s="33" t="n"/>
      <c r="T48" s="33" t="n"/>
      <c r="U48" s="34" t="n"/>
      <c r="V48" s="2" t="n"/>
    </row>
    <row r="49">
      <c r="A49" s="1" t="n"/>
      <c r="B49" s="1" t="n"/>
      <c r="C49" s="2" t="n"/>
      <c r="D49" s="32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4" t="n"/>
      <c r="O49" s="32" t="n"/>
      <c r="P49" s="33" t="n"/>
      <c r="Q49" s="33" t="n"/>
      <c r="R49" s="33" t="n"/>
      <c r="S49" s="33" t="n"/>
      <c r="T49" s="33" t="n"/>
      <c r="U49" s="34" t="n"/>
      <c r="V49" s="2" t="n"/>
    </row>
    <row r="50">
      <c r="A50" s="1" t="n"/>
      <c r="B50" s="1" t="n"/>
      <c r="C50" s="2" t="n"/>
      <c r="D50" s="32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4" t="n"/>
      <c r="O50" s="32" t="n"/>
      <c r="P50" s="33" t="n"/>
      <c r="Q50" s="33" t="n"/>
      <c r="R50" s="33" t="n"/>
      <c r="S50" s="33" t="n"/>
      <c r="T50" s="33" t="n"/>
      <c r="U50" s="34" t="n"/>
      <c r="V50" s="2" t="n"/>
    </row>
    <row r="51">
      <c r="A51" s="1" t="n"/>
      <c r="B51" s="1" t="n"/>
      <c r="C51" s="2" t="n"/>
      <c r="D51" s="32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4" t="n"/>
      <c r="O51" s="32" t="n"/>
      <c r="P51" s="33" t="n"/>
      <c r="Q51" s="33" t="n"/>
      <c r="R51" s="33" t="n"/>
      <c r="S51" s="33" t="n"/>
      <c r="T51" s="33" t="n"/>
      <c r="U51" s="34" t="n"/>
      <c r="V51" s="2" t="n"/>
    </row>
    <row r="52">
      <c r="A52" s="1" t="n"/>
      <c r="B52" s="1" t="n"/>
      <c r="C52" s="2" t="n"/>
      <c r="D52" s="44" t="n"/>
      <c r="E52" s="45" t="n"/>
      <c r="F52" s="45" t="n"/>
      <c r="G52" s="45" t="n"/>
      <c r="H52" s="45" t="n"/>
      <c r="I52" s="45" t="n"/>
      <c r="J52" s="45" t="n"/>
      <c r="K52" s="45" t="n"/>
      <c r="L52" s="45" t="n"/>
      <c r="M52" s="45" t="n"/>
      <c r="N52" s="46" t="n"/>
      <c r="O52" s="44" t="n"/>
      <c r="P52" s="45" t="n"/>
      <c r="Q52" s="45" t="n"/>
      <c r="R52" s="45" t="n"/>
      <c r="S52" s="45" t="n"/>
      <c r="T52" s="45" t="n"/>
      <c r="U52" s="46" t="n"/>
      <c r="V52" s="2" t="n"/>
    </row>
    <row r="53">
      <c r="A53" s="1" t="n"/>
      <c r="B53" s="1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</row>
    <row r="54" ht="24" customHeight="1">
      <c r="A54" s="1" t="n"/>
      <c r="B54" s="1" t="n"/>
      <c r="C54" s="2" t="n"/>
      <c r="D54" s="29" t="inlineStr">
        <is>
          <t>PTY shift per digger vs target</t>
        </is>
      </c>
      <c r="E54" s="30" t="n"/>
      <c r="F54" s="30" t="n"/>
      <c r="G54" s="30" t="n"/>
      <c r="H54" s="30" t="n"/>
      <c r="I54" s="30" t="n"/>
      <c r="J54" s="30" t="n"/>
      <c r="K54" s="30" t="n"/>
      <c r="L54" s="30" t="n"/>
      <c r="M54" s="30" t="n"/>
      <c r="N54" s="31" t="inlineStr">
        <is>
          <t>digger dengan ritase di shift ini</t>
        </is>
      </c>
      <c r="O54" s="29" t="inlineStr">
        <is>
          <t>Teks laporan WA</t>
        </is>
      </c>
      <c r="P54" s="30" t="n"/>
      <c r="Q54" s="30" t="n"/>
      <c r="R54" s="30" t="n"/>
      <c r="S54" s="30" t="n"/>
      <c r="T54" s="30" t="n"/>
      <c r="U54" s="31" t="inlineStr">
        <is>
          <t>pilih Jam WA, salin sel ini</t>
        </is>
      </c>
      <c r="V54" s="2" t="n"/>
    </row>
    <row r="55">
      <c r="A55" s="1" t="n"/>
      <c r="B55" s="1" t="n"/>
      <c r="C55" s="2" t="n"/>
      <c r="D55" s="32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4" t="n"/>
      <c r="O55" s="124">
        <f>Kalkulasi!$B$733</f>
        <v/>
      </c>
      <c r="U55" s="21" t="n"/>
      <c r="V55" s="2" t="n"/>
    </row>
    <row r="56">
      <c r="A56" s="1" t="n"/>
      <c r="B56" s="1" t="n"/>
      <c r="C56" s="2" t="n"/>
      <c r="D56" s="32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4" t="n"/>
      <c r="O56" s="125" t="n"/>
      <c r="U56" s="21" t="n"/>
      <c r="V56" s="2" t="n"/>
    </row>
    <row r="57">
      <c r="A57" s="1" t="n"/>
      <c r="B57" s="1" t="n"/>
      <c r="C57" s="2" t="n"/>
      <c r="D57" s="32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4" t="n"/>
      <c r="O57" s="125" t="n"/>
      <c r="U57" s="21" t="n"/>
      <c r="V57" s="2" t="n"/>
    </row>
    <row r="58">
      <c r="A58" s="1" t="n"/>
      <c r="B58" s="1" t="n"/>
      <c r="C58" s="2" t="n"/>
      <c r="D58" s="32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4" t="n"/>
      <c r="O58" s="125" t="n"/>
      <c r="U58" s="21" t="n"/>
      <c r="V58" s="2" t="n"/>
    </row>
    <row r="59">
      <c r="A59" s="1" t="n"/>
      <c r="B59" s="1" t="n"/>
      <c r="C59" s="2" t="n"/>
      <c r="D59" s="32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4" t="n"/>
      <c r="O59" s="125" t="n"/>
      <c r="U59" s="21" t="n"/>
      <c r="V59" s="2" t="n"/>
    </row>
    <row r="60">
      <c r="A60" s="1" t="n"/>
      <c r="B60" s="1" t="n"/>
      <c r="C60" s="2" t="n"/>
      <c r="D60" s="32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4" t="n"/>
      <c r="O60" s="125" t="n"/>
      <c r="U60" s="21" t="n"/>
      <c r="V60" s="2" t="n"/>
    </row>
    <row r="61">
      <c r="A61" s="1" t="n"/>
      <c r="B61" s="1" t="n"/>
      <c r="C61" s="2" t="n"/>
      <c r="D61" s="32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4" t="n"/>
      <c r="O61" s="125" t="n"/>
      <c r="U61" s="21" t="n"/>
      <c r="V61" s="2" t="n"/>
    </row>
    <row r="62">
      <c r="A62" s="1" t="n"/>
      <c r="B62" s="1" t="n"/>
      <c r="C62" s="2" t="n"/>
      <c r="D62" s="32" t="n"/>
      <c r="E62" s="33" t="n"/>
      <c r="F62" s="33" t="n"/>
      <c r="G62" s="33" t="n"/>
      <c r="H62" s="33" t="n"/>
      <c r="I62" s="33" t="n"/>
      <c r="J62" s="33" t="n"/>
      <c r="K62" s="33" t="n"/>
      <c r="L62" s="33" t="n"/>
      <c r="M62" s="33" t="n"/>
      <c r="N62" s="34" t="n"/>
      <c r="O62" s="125" t="n"/>
      <c r="U62" s="21" t="n"/>
      <c r="V62" s="2" t="n"/>
    </row>
    <row r="63">
      <c r="A63" s="1" t="n"/>
      <c r="B63" s="1" t="n"/>
      <c r="C63" s="2" t="n"/>
      <c r="D63" s="32" t="n"/>
      <c r="E63" s="33" t="n"/>
      <c r="F63" s="33" t="n"/>
      <c r="G63" s="33" t="n"/>
      <c r="H63" s="33" t="n"/>
      <c r="I63" s="33" t="n"/>
      <c r="J63" s="33" t="n"/>
      <c r="K63" s="33" t="n"/>
      <c r="L63" s="33" t="n"/>
      <c r="M63" s="33" t="n"/>
      <c r="N63" s="34" t="n"/>
      <c r="O63" s="125" t="n"/>
      <c r="U63" s="21" t="n"/>
      <c r="V63" s="2" t="n"/>
    </row>
    <row r="64">
      <c r="A64" s="1" t="n"/>
      <c r="B64" s="1" t="n"/>
      <c r="C64" s="2" t="n"/>
      <c r="D64" s="32" t="n"/>
      <c r="E64" s="33" t="n"/>
      <c r="F64" s="33" t="n"/>
      <c r="G64" s="33" t="n"/>
      <c r="H64" s="33" t="n"/>
      <c r="I64" s="33" t="n"/>
      <c r="J64" s="33" t="n"/>
      <c r="K64" s="33" t="n"/>
      <c r="L64" s="33" t="n"/>
      <c r="M64" s="33" t="n"/>
      <c r="N64" s="34" t="n"/>
      <c r="O64" s="125" t="n"/>
      <c r="U64" s="21" t="n"/>
      <c r="V64" s="2" t="n"/>
    </row>
    <row r="65">
      <c r="A65" s="1" t="n"/>
      <c r="B65" s="1" t="n"/>
      <c r="C65" s="2" t="n"/>
      <c r="D65" s="32" t="n"/>
      <c r="E65" s="33" t="n"/>
      <c r="F65" s="33" t="n"/>
      <c r="G65" s="33" t="n"/>
      <c r="H65" s="33" t="n"/>
      <c r="I65" s="33" t="n"/>
      <c r="J65" s="33" t="n"/>
      <c r="K65" s="33" t="n"/>
      <c r="L65" s="33" t="n"/>
      <c r="M65" s="33" t="n"/>
      <c r="N65" s="34" t="n"/>
      <c r="O65" s="125" t="n"/>
      <c r="U65" s="21" t="n"/>
      <c r="V65" s="2" t="n"/>
    </row>
    <row r="66">
      <c r="A66" s="1" t="n"/>
      <c r="B66" s="1" t="n"/>
      <c r="C66" s="2" t="n"/>
      <c r="D66" s="32" t="n"/>
      <c r="E66" s="33" t="n"/>
      <c r="F66" s="33" t="n"/>
      <c r="G66" s="33" t="n"/>
      <c r="H66" s="33" t="n"/>
      <c r="I66" s="33" t="n"/>
      <c r="J66" s="33" t="n"/>
      <c r="K66" s="33" t="n"/>
      <c r="L66" s="33" t="n"/>
      <c r="M66" s="33" t="n"/>
      <c r="N66" s="34" t="n"/>
      <c r="O66" s="125" t="n"/>
      <c r="U66" s="21" t="n"/>
      <c r="V66" s="2" t="n"/>
    </row>
    <row r="67">
      <c r="A67" s="1" t="n"/>
      <c r="B67" s="1" t="n"/>
      <c r="C67" s="2" t="n"/>
      <c r="D67" s="32" t="n"/>
      <c r="E67" s="33" t="n"/>
      <c r="F67" s="33" t="n"/>
      <c r="G67" s="33" t="n"/>
      <c r="H67" s="33" t="n"/>
      <c r="I67" s="33" t="n"/>
      <c r="J67" s="33" t="n"/>
      <c r="K67" s="33" t="n"/>
      <c r="L67" s="33" t="n"/>
      <c r="M67" s="33" t="n"/>
      <c r="N67" s="34" t="n"/>
      <c r="O67" s="125" t="n"/>
      <c r="U67" s="21" t="n"/>
      <c r="V67" s="2" t="n"/>
    </row>
    <row r="68">
      <c r="A68" s="1" t="n"/>
      <c r="B68" s="1" t="n"/>
      <c r="C68" s="2" t="n"/>
      <c r="D68" s="32" t="n"/>
      <c r="E68" s="33" t="n"/>
      <c r="F68" s="33" t="n"/>
      <c r="G68" s="33" t="n"/>
      <c r="H68" s="33" t="n"/>
      <c r="I68" s="33" t="n"/>
      <c r="J68" s="33" t="n"/>
      <c r="K68" s="33" t="n"/>
      <c r="L68" s="33" t="n"/>
      <c r="M68" s="33" t="n"/>
      <c r="N68" s="34" t="n"/>
      <c r="O68" s="125" t="n"/>
      <c r="U68" s="21" t="n"/>
      <c r="V68" s="2" t="n"/>
    </row>
    <row r="69">
      <c r="A69" s="1" t="n"/>
      <c r="B69" s="1" t="n"/>
      <c r="C69" s="2" t="n"/>
      <c r="D69" s="32" t="n"/>
      <c r="E69" s="33" t="n"/>
      <c r="F69" s="33" t="n"/>
      <c r="G69" s="33" t="n"/>
      <c r="H69" s="33" t="n"/>
      <c r="I69" s="33" t="n"/>
      <c r="J69" s="33" t="n"/>
      <c r="K69" s="33" t="n"/>
      <c r="L69" s="33" t="n"/>
      <c r="M69" s="33" t="n"/>
      <c r="N69" s="34" t="n"/>
      <c r="O69" s="125" t="n"/>
      <c r="U69" s="21" t="n"/>
      <c r="V69" s="2" t="n"/>
    </row>
    <row r="70">
      <c r="A70" s="1" t="n"/>
      <c r="B70" s="1" t="n"/>
      <c r="C70" s="2" t="n"/>
      <c r="D70" s="32" t="n"/>
      <c r="E70" s="33" t="n"/>
      <c r="F70" s="33" t="n"/>
      <c r="G70" s="33" t="n"/>
      <c r="H70" s="33" t="n"/>
      <c r="I70" s="33" t="n"/>
      <c r="J70" s="33" t="n"/>
      <c r="K70" s="33" t="n"/>
      <c r="L70" s="33" t="n"/>
      <c r="M70" s="33" t="n"/>
      <c r="N70" s="34" t="n"/>
      <c r="O70" s="125" t="n"/>
      <c r="U70" s="21" t="n"/>
      <c r="V70" s="2" t="n"/>
    </row>
    <row r="71">
      <c r="A71" s="1" t="n"/>
      <c r="B71" s="1" t="n"/>
      <c r="C71" s="2" t="n"/>
      <c r="D71" s="44" t="n"/>
      <c r="E71" s="45" t="n"/>
      <c r="F71" s="45" t="n"/>
      <c r="G71" s="45" t="n"/>
      <c r="H71" s="45" t="n"/>
      <c r="I71" s="45" t="n"/>
      <c r="J71" s="45" t="n"/>
      <c r="K71" s="45" t="n"/>
      <c r="L71" s="45" t="n"/>
      <c r="M71" s="45" t="n"/>
      <c r="N71" s="46" t="n"/>
      <c r="O71" s="126" t="n"/>
      <c r="P71" s="27" t="n"/>
      <c r="Q71" s="27" t="n"/>
      <c r="R71" s="27" t="n"/>
      <c r="S71" s="27" t="n"/>
      <c r="T71" s="27" t="n"/>
      <c r="U71" s="28" t="n"/>
      <c r="V71" s="2" t="n"/>
    </row>
    <row r="72">
      <c r="A72" s="1" t="n"/>
      <c r="B72" s="1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</row>
    <row r="73">
      <c r="A73" s="1" t="n"/>
      <c r="B73" s="1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</row>
    <row r="74">
      <c r="A74" s="1" t="n"/>
      <c r="B74" s="1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</row>
    <row r="75">
      <c r="A75" s="1" t="n"/>
      <c r="B75" s="1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</row>
    <row r="76">
      <c r="A76" s="1" t="n"/>
      <c r="B76" s="1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</row>
    <row r="77">
      <c r="A77" s="1" t="n"/>
      <c r="B77" s="1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</row>
    <row r="78">
      <c r="A78" s="1" t="n"/>
      <c r="B78" s="1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</row>
    <row r="79">
      <c r="A79" s="1" t="n"/>
      <c r="B79" s="1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</row>
    <row r="80">
      <c r="A80" s="1" t="n"/>
      <c r="B80" s="1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</row>
    <row r="81">
      <c r="A81" s="1" t="n"/>
      <c r="B81" s="1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</row>
    <row r="82">
      <c r="A82" s="1" t="n"/>
      <c r="B82" s="1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</row>
    <row r="83">
      <c r="A83" s="1" t="n"/>
      <c r="B83" s="1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</row>
    <row r="84">
      <c r="A84" s="1" t="n"/>
      <c r="B84" s="1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</row>
    <row r="85">
      <c r="A85" s="1" t="n"/>
      <c r="B85" s="1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</row>
    <row r="86">
      <c r="A86" s="1" t="n"/>
      <c r="B86" s="1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</row>
    <row r="87">
      <c r="A87" s="1" t="n"/>
      <c r="B87" s="1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</row>
    <row r="88">
      <c r="A88" s="1" t="n"/>
      <c r="B88" s="1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</row>
    <row r="89">
      <c r="A89" s="1" t="n"/>
      <c r="B89" s="1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</row>
    <row r="90">
      <c r="A90" s="1" t="n"/>
      <c r="B90" s="1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</row>
    <row r="91">
      <c r="A91" s="1" t="n"/>
      <c r="B91" s="1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</row>
    <row r="92">
      <c r="A92" s="1" t="n"/>
      <c r="B92" s="1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</row>
    <row r="93">
      <c r="A93" s="1" t="n"/>
      <c r="B93" s="1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</row>
    <row r="94">
      <c r="A94" s="1" t="n"/>
      <c r="B94" s="1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</row>
    <row r="95">
      <c r="A95" s="1" t="n"/>
      <c r="B95" s="1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</row>
    <row r="96">
      <c r="A96" s="1" t="n"/>
      <c r="B96" s="1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</row>
    <row r="97">
      <c r="A97" s="1" t="n"/>
      <c r="B97" s="1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</row>
    <row r="98">
      <c r="A98" s="1" t="n"/>
      <c r="B98" s="1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</row>
    <row r="99">
      <c r="A99" s="1" t="n"/>
      <c r="B99" s="1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</row>
    <row r="100">
      <c r="A100" s="1" t="n"/>
      <c r="B100" s="1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</row>
    <row r="101">
      <c r="A101" s="1" t="n"/>
      <c r="B101" s="1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</row>
    <row r="102">
      <c r="A102" s="1" t="n"/>
      <c r="B102" s="1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</row>
    <row r="103">
      <c r="A103" s="1" t="n"/>
      <c r="B103" s="1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</row>
    <row r="104">
      <c r="A104" s="1" t="n"/>
      <c r="B104" s="1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</row>
    <row r="105">
      <c r="A105" s="1" t="n"/>
      <c r="B105" s="1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</row>
    <row r="106">
      <c r="A106" s="1" t="n"/>
      <c r="B106" s="1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</row>
    <row r="107">
      <c r="A107" s="1" t="n"/>
      <c r="B107" s="1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</row>
    <row r="108">
      <c r="A108" s="1" t="n"/>
      <c r="B108" s="1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</row>
    <row r="109">
      <c r="A109" s="1" t="n"/>
      <c r="B109" s="1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</row>
    <row r="110">
      <c r="A110" s="1" t="n"/>
      <c r="B110" s="1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</row>
    <row r="111">
      <c r="A111" s="1" t="n"/>
      <c r="B111" s="1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</row>
    <row r="112">
      <c r="A112" s="1" t="n"/>
      <c r="B112" s="1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</row>
    <row r="113">
      <c r="A113" s="1" t="n"/>
      <c r="B113" s="1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</row>
    <row r="114">
      <c r="A114" s="1" t="n"/>
      <c r="B114" s="1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</row>
    <row r="115">
      <c r="A115" s="1" t="n"/>
      <c r="B115" s="1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</row>
    <row r="116">
      <c r="A116" s="1" t="n"/>
      <c r="B116" s="1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</row>
    <row r="117">
      <c r="A117" s="1" t="n"/>
      <c r="B117" s="1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</row>
    <row r="118">
      <c r="A118" s="1" t="n"/>
      <c r="B118" s="1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</row>
    <row r="119">
      <c r="A119" s="1" t="n"/>
      <c r="B119" s="1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</row>
    <row r="120">
      <c r="A120" s="1" t="n"/>
      <c r="B120" s="1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</row>
    <row r="121">
      <c r="A121" s="1" t="n"/>
      <c r="B121" s="1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</row>
    <row r="122">
      <c r="A122" s="1" t="n"/>
      <c r="B122" s="1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</row>
    <row r="123">
      <c r="A123" s="1" t="n"/>
      <c r="B123" s="1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</row>
    <row r="124">
      <c r="A124" s="1" t="n"/>
      <c r="B124" s="1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</row>
    <row r="125">
      <c r="A125" s="1" t="n"/>
      <c r="B125" s="1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</row>
    <row r="126">
      <c r="A126" s="1" t="n"/>
      <c r="B126" s="1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</row>
    <row r="127">
      <c r="A127" s="1" t="n"/>
      <c r="B127" s="1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</row>
    <row r="128">
      <c r="A128" s="1" t="n"/>
      <c r="B128" s="1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</row>
    <row r="129">
      <c r="A129" s="1" t="n"/>
      <c r="B129" s="1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</row>
    <row r="130">
      <c r="A130" s="1" t="n"/>
      <c r="B130" s="1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</row>
  </sheetData>
  <mergeCells count="41">
    <mergeCell ref="M11:O11"/>
    <mergeCell ref="D20:E20"/>
    <mergeCell ref="D11:F11"/>
    <mergeCell ref="G10:I10"/>
    <mergeCell ref="I6:J6"/>
    <mergeCell ref="M10:O10"/>
    <mergeCell ref="P11:R11"/>
    <mergeCell ref="D19:E19"/>
    <mergeCell ref="O6:P6"/>
    <mergeCell ref="D22:E22"/>
    <mergeCell ref="D31:E31"/>
    <mergeCell ref="E6:G6"/>
    <mergeCell ref="J11:L11"/>
    <mergeCell ref="D21:E21"/>
    <mergeCell ref="S10:U10"/>
    <mergeCell ref="D27:E27"/>
    <mergeCell ref="S9:U9"/>
    <mergeCell ref="D9:F9"/>
    <mergeCell ref="D32:E32"/>
    <mergeCell ref="D26:E26"/>
    <mergeCell ref="D17:E17"/>
    <mergeCell ref="D16:E16"/>
    <mergeCell ref="G9:I9"/>
    <mergeCell ref="D28:E28"/>
    <mergeCell ref="D18:E18"/>
    <mergeCell ref="O55:U71"/>
    <mergeCell ref="G11:I11"/>
    <mergeCell ref="D10:F10"/>
    <mergeCell ref="D25:E25"/>
    <mergeCell ref="D24:E24"/>
    <mergeCell ref="J10:L10"/>
    <mergeCell ref="L6:M6"/>
    <mergeCell ref="P10:R10"/>
    <mergeCell ref="D15:E15"/>
    <mergeCell ref="D30:E30"/>
    <mergeCell ref="M9:O9"/>
    <mergeCell ref="D29:E29"/>
    <mergeCell ref="D23:E23"/>
    <mergeCell ref="P9:R9"/>
    <mergeCell ref="J9:L9"/>
    <mergeCell ref="S11:U11"/>
  </mergeCells>
  <conditionalFormatting sqref="D7">
    <cfRule type="expression" priority="1" dxfId="16">
      <formula>Kalkulasi!$B$622&gt;0</formula>
    </cfRule>
  </conditionalFormatting>
  <conditionalFormatting sqref="G10">
    <cfRule type="expression" priority="2" dxfId="0">
      <formula>AND(Kalkulasi!$B$701&gt;0,Kalkulasi!$B$701&gt;=Kalkulasi!$B$708)</formula>
    </cfRule>
    <cfRule type="expression" priority="3" dxfId="2">
      <formula>AND(Kalkulasi!$B$701&lt;Kalkulasi!$B$708,Kalkulasi!$B$701&gt;0)</formula>
    </cfRule>
  </conditionalFormatting>
  <conditionalFormatting sqref="S10">
    <cfRule type="expression" priority="4" dxfId="0">
      <formula>S10="✓ Sama"</formula>
    </cfRule>
    <cfRule type="expression" priority="5" dxfId="2">
      <formula>S10="Beda"</formula>
    </cfRule>
  </conditionalFormatting>
  <conditionalFormatting sqref="G15:R32">
    <cfRule type="expression" priority="6" dxfId="17">
      <formula>G15=""</formula>
    </cfRule>
    <cfRule type="expression" priority="7" dxfId="18">
      <formula>AND(ISNUMBER($F15),G15&gt;=$F15)</formula>
    </cfRule>
    <cfRule type="expression" priority="8" dxfId="19">
      <formula>AND(ISNUMBER($F15),G15&gt;=$F15*0.85)</formula>
    </cfRule>
    <cfRule type="expression" priority="9" dxfId="20">
      <formula>ISNUMBER($F15)</formula>
    </cfRule>
    <cfRule type="expression" priority="10" dxfId="21">
      <formula>ISNUMBER(G15)</formula>
    </cfRule>
  </conditionalFormatting>
  <conditionalFormatting sqref="T15:T32">
    <cfRule type="expression" priority="11" dxfId="15">
      <formula>AND(ISNUMBER($F15),ISNUMBER(T15),T15&gt;=$F15)</formula>
    </cfRule>
    <cfRule type="expression" priority="12" dxfId="7">
      <formula>AND(ISNUMBER($F15),ISNUMBER(T15),T15&lt;$F15)</formula>
    </cfRule>
  </conditionalFormatting>
  <conditionalFormatting sqref="D15:F32">
    <cfRule type="expression" priority="13" dxfId="22">
      <formula>N($S15)=0</formula>
    </cfRule>
  </conditionalFormatting>
  <conditionalFormatting sqref="S15:S32">
    <cfRule type="dataBar" priority="14">
      <dataBar>
        <cfvo type="num" val="0"/>
        <cfvo type="max"/>
        <color rgb="009FB3C8"/>
      </dataBar>
    </cfRule>
  </conditionalFormatting>
  <dataValidations count="4">
    <dataValidation sqref="E6" showDropDown="0" showInputMessage="1" showErrorMessage="0" allowBlank="0" prompt="Tanggal yang punya input per jam" type="list">
      <formula1>=Kalkulasi!$B$552:$B$613</formula1>
    </dataValidation>
    <dataValidation sqref="I6" showDropDown="0" showInputMessage="1" showErrorMessage="0" allowBlank="0" prompt="DS 06–18, NS 18–06" type="list">
      <formula1>"DS,NS"</formula1>
    </dataValidation>
    <dataValidation sqref="L6" showDropDown="0" showInputMessage="1" showErrorMessage="0" allowBlank="0" prompt="OB (BCM/jam) atau Coal (MT/jam)" type="list">
      <formula1>"OB,Coal"</formula1>
    </dataValidation>
    <dataValidation sqref="O6" showDropDown="0" showInputMessage="1" showErrorMessage="0" allowBlank="0" prompt="Jam untuk teks laporan WA" type="list">
      <formula1>=IF('PTY per Jam'!$I$6="DS",Kalkulasi!$D$552:$D$563,Kalkulasi!$E$552:$E$563)</formula1>
    </dataValidation>
  </dataValidations>
  <pageMargins left="0.25" right="0.25" top="0.25" bottom="0.25" header="0.5" footer="0.5"/>
  <pageSetup orientation="landscape" paperSize="9" fitToHeight="1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2E3B4E"/>
    <outlinePr summaryBelow="1" summaryRight="1"/>
    <pageSetUpPr fitToPage="1"/>
  </sheetPr>
  <dimension ref="A1:V130"/>
  <sheetViews>
    <sheetView showGridLines="0" showRowColHeaders="0" zoomScale="90" workbookViewId="0">
      <pane xSplit="2" topLeftCell="C1" activePane="topRight" state="frozen"/>
      <selection pane="topRight" activeCell="A1" sqref="A1"/>
    </sheetView>
  </sheetViews>
  <sheetFormatPr baseColWidth="8" defaultRowHeight="15"/>
  <cols>
    <col width="1.2" customWidth="1" min="1" max="1"/>
    <col width="27" customWidth="1" min="2" max="2"/>
    <col width="2.5" customWidth="1" min="3" max="3"/>
    <col width="8.6" customWidth="1" min="4" max="4"/>
    <col width="8.6" customWidth="1" min="5" max="5"/>
    <col width="8.6" customWidth="1" min="6" max="6"/>
    <col width="8.6" customWidth="1" min="7" max="7"/>
    <col width="8.6" customWidth="1" min="8" max="8"/>
    <col width="8.6" customWidth="1" min="9" max="9"/>
    <col width="8.6" customWidth="1" min="10" max="10"/>
    <col width="8.6" customWidth="1" min="11" max="11"/>
    <col width="8.6" customWidth="1" min="12" max="12"/>
    <col width="8.6" customWidth="1" min="13" max="13"/>
    <col width="8.6" customWidth="1" min="14" max="14"/>
    <col width="8.6" customWidth="1" min="15" max="15"/>
    <col width="8.6" customWidth="1" min="16" max="16"/>
    <col width="8.6" customWidth="1" min="17" max="17"/>
    <col width="8.6" customWidth="1" min="18" max="18"/>
    <col width="8.6" customWidth="1" min="19" max="19"/>
    <col width="8.6" customWidth="1" min="20" max="20"/>
    <col width="8.6" customWidth="1" min="21" max="21"/>
    <col width="2.5" customWidth="1" min="22" max="22"/>
  </cols>
  <sheetData>
    <row r="1" ht="10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28" customHeight="1">
      <c r="A2" s="1" t="n"/>
      <c r="B2" s="3" t="inlineStr">
        <is>
          <t>PIT CONTROL</t>
        </is>
      </c>
      <c r="C2" s="2" t="n"/>
      <c r="D2" s="4" t="inlineStr">
        <is>
          <t>Mine Ops Board  /  Fleet &amp; Delay per Jam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 ht="34" customHeight="1">
      <c r="A3" s="1" t="n"/>
      <c r="B3" s="5" t="inlineStr">
        <is>
          <t>MINE OPS BOARD</t>
        </is>
      </c>
      <c r="C3" s="2" t="n"/>
      <c r="D3" s="6" t="inlineStr">
        <is>
          <t>Fleet &amp; Delay per Jam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>
      <c r="A4" s="1" t="n"/>
      <c r="B4" s="1" t="n"/>
      <c r="C4" s="2" t="n"/>
      <c r="D4" s="7" t="inlineStr">
        <is>
          <t>Match factor digger–DT dari ritase per jam · saran tambah/kurang DT · menit hilang per kategori delay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 ht="8" customHeight="1">
      <c r="A5" s="1" t="n"/>
      <c r="B5" s="8" t="inlineStr">
        <is>
          <t>BOARD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 ht="24" customHeight="1">
      <c r="A6" s="1" t="n"/>
      <c r="B6" s="15">
        <f>HYPERLINK("#Produksi!A1","   Produksi")</f>
        <v/>
      </c>
      <c r="C6" s="2" t="n"/>
      <c r="D6" s="95" t="inlineStr">
        <is>
          <t>Tanggal</t>
        </is>
      </c>
      <c r="E6" s="118" t="n">
        <v>46108</v>
      </c>
      <c r="F6" s="119" t="n"/>
      <c r="G6" s="97" t="n"/>
      <c r="H6" s="95" t="inlineStr">
        <is>
          <t>Shift</t>
        </is>
      </c>
      <c r="I6" s="98" t="inlineStr">
        <is>
          <t>DS</t>
        </is>
      </c>
      <c r="J6" s="97" t="n"/>
      <c r="K6" s="95" t="inlineStr">
        <is>
          <t>PTY</t>
        </is>
      </c>
      <c r="L6" s="98" t="inlineStr">
        <is>
          <t>OB</t>
        </is>
      </c>
      <c r="M6" s="97" t="n"/>
      <c r="N6" s="2" t="n"/>
      <c r="O6" s="120">
        <f>HYPERLINK("#MASTER_JAM!Y3","Atur waktu muat &amp; jarak ↗")</f>
        <v/>
      </c>
      <c r="P6" s="2" t="n"/>
      <c r="Q6" s="2" t="n"/>
      <c r="R6" s="2" t="n"/>
      <c r="S6" s="2" t="n"/>
      <c r="T6" s="2" t="n"/>
      <c r="U6" s="2" t="n"/>
      <c r="V6" s="2" t="n"/>
    </row>
    <row r="7" ht="22" customHeight="1">
      <c r="A7" s="1" t="n"/>
      <c r="B7" s="15">
        <f>HYPERLINK("#Digger!A1","   Produktivitas Digger")</f>
        <v/>
      </c>
      <c r="C7" s="2" t="n"/>
      <c r="D7" s="16" t="inlineStr">
        <is>
          <t>MF &lt; 0,8 = digger menunggu DT (kurang DT) · 0,8–1,1 = seimbang · &gt; 1,1 = DT antri (kelebihan DT). Parameter waktu muat &amp; jarak di MASTER_JAM.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 ht="22" customHeight="1">
      <c r="A8" s="1" t="n"/>
      <c r="B8" s="15">
        <f>HYPERLINK("#Availability!A1","   Availability Unit")</f>
        <v/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 ht="18" customHeight="1">
      <c r="A9" s="1" t="n"/>
      <c r="B9" s="15">
        <f>HYPERLINK("#'Delay &amp; Hujan'!A1","   Delay &amp; Hujan")</f>
        <v/>
      </c>
      <c r="C9" s="2" t="n"/>
      <c r="D9" s="17" t="inlineStr">
        <is>
          <t>MATCH FACTOR FLEET</t>
        </is>
      </c>
      <c r="E9" s="18" t="n"/>
      <c r="F9" s="19" t="n"/>
      <c r="G9" s="17" t="inlineStr">
        <is>
          <t>KURANG DT</t>
        </is>
      </c>
      <c r="H9" s="18" t="n"/>
      <c r="I9" s="19" t="n"/>
      <c r="J9" s="17" t="inlineStr">
        <is>
          <t>KELEBIHAN DT</t>
        </is>
      </c>
      <c r="K9" s="18" t="n"/>
      <c r="L9" s="19" t="n"/>
      <c r="M9" s="17" t="inlineStr">
        <is>
          <t>DT PER DIGGER</t>
        </is>
      </c>
      <c r="N9" s="18" t="n"/>
      <c r="O9" s="19" t="n"/>
      <c r="P9" s="17" t="inlineStr">
        <is>
          <t>MENIT HILANG</t>
        </is>
      </c>
      <c r="Q9" s="18" t="n"/>
      <c r="R9" s="19" t="n"/>
      <c r="S9" s="17" t="inlineStr">
        <is>
          <t>DELAY TERBESAR</t>
        </is>
      </c>
      <c r="T9" s="18" t="n"/>
      <c r="U9" s="19" t="n"/>
      <c r="V9" s="2" t="n"/>
    </row>
    <row r="10" ht="30" customHeight="1">
      <c r="A10" s="1" t="n"/>
      <c r="B10" s="15">
        <f>HYPERLINK("#Fuel!A1","   Fuel")</f>
        <v/>
      </c>
      <c r="C10" s="2" t="n"/>
      <c r="D10" s="127">
        <f>Kalkulasi!$B$863</f>
        <v/>
      </c>
      <c r="F10" s="21" t="n"/>
      <c r="G10" s="128">
        <f>Kalkulasi!$B$864&amp;" digger"</f>
        <v/>
      </c>
      <c r="I10" s="21" t="n"/>
      <c r="J10" s="102">
        <f>Kalkulasi!$B$865&amp;" digger"</f>
        <v/>
      </c>
      <c r="L10" s="21" t="n"/>
      <c r="M10" s="129">
        <f>Kalkulasi!$B$866</f>
        <v/>
      </c>
      <c r="O10" s="21" t="n"/>
      <c r="P10" s="130">
        <f>Kalkulasi!$B$868</f>
        <v/>
      </c>
      <c r="R10" s="21" t="n"/>
      <c r="S10" s="131">
        <f>Kalkulasi!$B$869</f>
        <v/>
      </c>
      <c r="U10" s="21" t="n"/>
      <c r="V10" s="2" t="n"/>
    </row>
    <row r="11" ht="18" customHeight="1">
      <c r="A11" s="1" t="n"/>
      <c r="B11" s="15">
        <f>HYPERLINK("#'Tren PTY'!A1","   Tren PTY")</f>
        <v/>
      </c>
      <c r="C11" s="2" t="n"/>
      <c r="D11" s="26">
        <f>"rata-rata jam digger aktif · ideal 0,8–1,1"</f>
        <v/>
      </c>
      <c r="E11" s="27" t="n"/>
      <c r="F11" s="28" t="n"/>
      <c r="G11" s="26">
        <f>"saran tambah DT (MF rendah)"</f>
        <v/>
      </c>
      <c r="H11" s="27" t="n"/>
      <c r="I11" s="28" t="n"/>
      <c r="J11" s="26">
        <f>"DT berpotensi antri (MF tinggi)"</f>
        <v/>
      </c>
      <c r="K11" s="27" t="n"/>
      <c r="L11" s="28" t="n"/>
      <c r="M11" s="26">
        <f>"rata-rata per jam · "&amp;TEXT(Kalkulasi!$B$867,"0.0")&amp;" rit/DT/jam"</f>
        <v/>
      </c>
      <c r="N11" s="27" t="n"/>
      <c r="O11" s="28" t="n"/>
      <c r="P11" s="26">
        <f>"digger × menit delay shift ini"</f>
        <v/>
      </c>
      <c r="Q11" s="27" t="n"/>
      <c r="R11" s="28" t="n"/>
      <c r="S11" s="26">
        <f>TEXT(Kalkulasi!$B$870,"#,##0")&amp;" menit · "&amp;TEXT(IF(Kalkulasi!$B$868=0,0,Kalkulasi!$B$870/Kalkulasi!$B$868),"0%")&amp;" dari total"</f>
        <v/>
      </c>
      <c r="T11" s="27" t="n"/>
      <c r="U11" s="28" t="n"/>
      <c r="V11" s="2" t="n"/>
    </row>
    <row r="12" ht="10" customHeight="1">
      <c r="A12" s="1" t="n"/>
      <c r="B12" s="1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</row>
    <row r="13" ht="24" customHeight="1">
      <c r="A13" s="1" t="n"/>
      <c r="B13" s="8" t="inlineStr">
        <is>
          <t>PER JAM</t>
        </is>
      </c>
      <c r="C13" s="2" t="n"/>
      <c r="D13" s="29" t="inlineStr">
        <is>
          <t>Match factor per jam</t>
        </is>
      </c>
      <c r="E13" s="30" t="n"/>
      <c r="F13" s="30" t="n"/>
      <c r="G13" s="30" t="n"/>
      <c r="H13" s="30" t="n"/>
      <c r="I13" s="30" t="n"/>
      <c r="J13" s="30" t="n"/>
      <c r="K13" s="30" t="n"/>
      <c r="L13" s="30" t="n"/>
      <c r="M13" s="30" t="n"/>
      <c r="N13" s="30" t="n"/>
      <c r="O13" s="30" t="n"/>
      <c r="P13" s="30" t="n"/>
      <c r="Q13" s="30" t="n"/>
      <c r="R13" s="30" t="n"/>
      <c r="S13" s="30" t="n"/>
      <c r="T13" s="30" t="n"/>
      <c r="U13" s="31" t="inlineStr">
        <is>
          <t>angka = MF per jam · DT = rata-rata DT per jam · urut ritase terbanyak</t>
        </is>
      </c>
      <c r="V13" s="2" t="n"/>
    </row>
    <row r="14" ht="20" customHeight="1">
      <c r="A14" s="1" t="n"/>
      <c r="B14" s="15">
        <f>HYPERLINK("#'PTY per Jam'!A1","   PTY per Jam")</f>
        <v/>
      </c>
      <c r="C14" s="2" t="n"/>
      <c r="D14" s="65" t="inlineStr">
        <is>
          <t>Digger</t>
        </is>
      </c>
      <c r="E14" s="65" t="inlineStr"/>
      <c r="F14" s="112">
        <f>Kalkulasi!$A$756</f>
        <v/>
      </c>
      <c r="G14" s="112">
        <f>Kalkulasi!$A$757</f>
        <v/>
      </c>
      <c r="H14" s="112">
        <f>Kalkulasi!$A$758</f>
        <v/>
      </c>
      <c r="I14" s="112">
        <f>Kalkulasi!$A$759</f>
        <v/>
      </c>
      <c r="J14" s="112">
        <f>Kalkulasi!$A$760</f>
        <v/>
      </c>
      <c r="K14" s="112">
        <f>Kalkulasi!$A$761</f>
        <v/>
      </c>
      <c r="L14" s="112">
        <f>Kalkulasi!$A$762</f>
        <v/>
      </c>
      <c r="M14" s="112">
        <f>Kalkulasi!$A$763</f>
        <v/>
      </c>
      <c r="N14" s="112">
        <f>Kalkulasi!$A$764</f>
        <v/>
      </c>
      <c r="O14" s="112">
        <f>Kalkulasi!$A$765</f>
        <v/>
      </c>
      <c r="P14" s="112">
        <f>Kalkulasi!$A$766</f>
        <v/>
      </c>
      <c r="Q14" s="112">
        <f>Kalkulasi!$A$767</f>
        <v/>
      </c>
      <c r="R14" s="66" t="inlineStr">
        <is>
          <t>DT</t>
        </is>
      </c>
      <c r="S14" s="66" t="inlineStr">
        <is>
          <t>MF</t>
        </is>
      </c>
      <c r="T14" s="66" t="inlineStr">
        <is>
          <t>Ideal</t>
        </is>
      </c>
      <c r="U14" s="66" t="inlineStr">
        <is>
          <t>Saran</t>
        </is>
      </c>
      <c r="V14" s="2" t="n"/>
    </row>
    <row r="15" ht="21" customHeight="1">
      <c r="A15" s="9" t="n"/>
      <c r="B15" s="10">
        <f>HYPERLINK("#'Fleet &amp; Delay'!A1","   Fleet &amp; Delay")</f>
        <v/>
      </c>
      <c r="C15" s="2" t="n"/>
      <c r="D15" s="122">
        <f>IF(INDEX(Kalkulasi!$BI$772:$BI$789,Kalkulasi!$A$793)&gt;0,INDEX(Kalkulasi!$A$772:$A$789,Kalkulasi!$A$793)&amp;"  "&amp;INDEX(Kalkulasi!$B$772:$B$789,Kalkulasi!$A$793),"")</f>
        <v/>
      </c>
      <c r="F15" s="132">
        <f>IF(INDEX(Kalkulasi!$D$772:$D$789,Kalkulasi!$A$793)=0,"",INDEX(Kalkulasi!$Q$772:$Q$789,Kalkulasi!$A$793))</f>
        <v/>
      </c>
      <c r="G15" s="132">
        <f>IF(INDEX(Kalkulasi!$E$772:$E$789,Kalkulasi!$A$793)=0,"",INDEX(Kalkulasi!$R$772:$R$789,Kalkulasi!$A$793))</f>
        <v/>
      </c>
      <c r="H15" s="132">
        <f>IF(INDEX(Kalkulasi!$F$772:$F$789,Kalkulasi!$A$793)=0,"",INDEX(Kalkulasi!$S$772:$S$789,Kalkulasi!$A$793))</f>
        <v/>
      </c>
      <c r="I15" s="132">
        <f>IF(INDEX(Kalkulasi!$G$772:$G$789,Kalkulasi!$A$793)=0,"",INDEX(Kalkulasi!$T$772:$T$789,Kalkulasi!$A$793))</f>
        <v/>
      </c>
      <c r="J15" s="132">
        <f>IF(INDEX(Kalkulasi!$H$772:$H$789,Kalkulasi!$A$793)=0,"",INDEX(Kalkulasi!$U$772:$U$789,Kalkulasi!$A$793))</f>
        <v/>
      </c>
      <c r="K15" s="132">
        <f>IF(INDEX(Kalkulasi!$I$772:$I$789,Kalkulasi!$A$793)=0,"",INDEX(Kalkulasi!$V$772:$V$789,Kalkulasi!$A$793))</f>
        <v/>
      </c>
      <c r="L15" s="132">
        <f>IF(INDEX(Kalkulasi!$J$772:$J$789,Kalkulasi!$A$793)=0,"",INDEX(Kalkulasi!$W$772:$W$789,Kalkulasi!$A$793))</f>
        <v/>
      </c>
      <c r="M15" s="132">
        <f>IF(INDEX(Kalkulasi!$K$772:$K$789,Kalkulasi!$A$793)=0,"",INDEX(Kalkulasi!$X$772:$X$789,Kalkulasi!$A$793))</f>
        <v/>
      </c>
      <c r="N15" s="132">
        <f>IF(INDEX(Kalkulasi!$L$772:$L$789,Kalkulasi!$A$793)=0,"",INDEX(Kalkulasi!$Y$772:$Y$789,Kalkulasi!$A$793))</f>
        <v/>
      </c>
      <c r="O15" s="132">
        <f>IF(INDEX(Kalkulasi!$M$772:$M$789,Kalkulasi!$A$793)=0,"",INDEX(Kalkulasi!$Z$772:$Z$789,Kalkulasi!$A$793))</f>
        <v/>
      </c>
      <c r="P15" s="132">
        <f>IF(INDEX(Kalkulasi!$N$772:$N$789,Kalkulasi!$A$793)=0,"",INDEX(Kalkulasi!$AA$772:$AA$789,Kalkulasi!$A$793))</f>
        <v/>
      </c>
      <c r="Q15" s="132">
        <f>IF(INDEX(Kalkulasi!$O$772:$O$789,Kalkulasi!$A$793)=0,"",INDEX(Kalkulasi!$AB$772:$AB$789,Kalkulasi!$A$793))</f>
        <v/>
      </c>
      <c r="R15" s="94">
        <f>IF(INDEX(Kalkulasi!$BI$772:$BI$789,Kalkulasi!$A$793)&gt;0,INDEX(Kalkulasi!$BE$772:$BE$789,Kalkulasi!$A$793),"")</f>
        <v/>
      </c>
      <c r="S15" s="133">
        <f>IF(INDEX(Kalkulasi!$BI$772:$BI$789,Kalkulasi!$A$793)&gt;0,INDEX(Kalkulasi!$BF$772:$BF$789,Kalkulasi!$A$793),"")</f>
        <v/>
      </c>
      <c r="T15" s="134">
        <f>IF(INDEX(Kalkulasi!$BI$772:$BI$789,Kalkulasi!$A$793)&gt;0,INDEX(Kalkulasi!$BG$772:$BG$789,Kalkulasi!$A$793),"")</f>
        <v/>
      </c>
      <c r="U15" s="135">
        <f>IF(OR(NOT(INDEX(Kalkulasi!$BI$772:$BI$789,Kalkulasi!$A$793)&gt;0),INDEX(Kalkulasi!$BH$772:$BH$789,Kalkulasi!$A$793)=""),"",IF(INDEX(Kalkulasi!$BH$772:$BH$789,Kalkulasi!$A$793)=0,"Pas",IF(INDEX(Kalkulasi!$BH$772:$BH$789,Kalkulasi!$A$793)&gt;0,"+"&amp;INDEX(Kalkulasi!$BH$772:$BH$789,Kalkulasi!$A$793)&amp;" DT",INDEX(Kalkulasi!$BH$772:$BH$789,Kalkulasi!$A$793)&amp;" DT")))</f>
        <v/>
      </c>
      <c r="V15" s="2" t="n"/>
    </row>
    <row r="16" ht="21" customHeight="1">
      <c r="A16" s="1" t="n"/>
      <c r="B16" s="15">
        <f>HYPERLINK("#'Daily Report'!A1","   Daily Report")</f>
        <v/>
      </c>
      <c r="C16" s="2" t="n"/>
      <c r="D16" s="122">
        <f>IF(INDEX(Kalkulasi!$BI$772:$BI$789,Kalkulasi!$A$794)&gt;0,INDEX(Kalkulasi!$A$772:$A$789,Kalkulasi!$A$794)&amp;"  "&amp;INDEX(Kalkulasi!$B$772:$B$789,Kalkulasi!$A$794),"")</f>
        <v/>
      </c>
      <c r="F16" s="132">
        <f>IF(INDEX(Kalkulasi!$D$772:$D$789,Kalkulasi!$A$794)=0,"",INDEX(Kalkulasi!$Q$772:$Q$789,Kalkulasi!$A$794))</f>
        <v/>
      </c>
      <c r="G16" s="132">
        <f>IF(INDEX(Kalkulasi!$E$772:$E$789,Kalkulasi!$A$794)=0,"",INDEX(Kalkulasi!$R$772:$R$789,Kalkulasi!$A$794))</f>
        <v/>
      </c>
      <c r="H16" s="132">
        <f>IF(INDEX(Kalkulasi!$F$772:$F$789,Kalkulasi!$A$794)=0,"",INDEX(Kalkulasi!$S$772:$S$789,Kalkulasi!$A$794))</f>
        <v/>
      </c>
      <c r="I16" s="132">
        <f>IF(INDEX(Kalkulasi!$G$772:$G$789,Kalkulasi!$A$794)=0,"",INDEX(Kalkulasi!$T$772:$T$789,Kalkulasi!$A$794))</f>
        <v/>
      </c>
      <c r="J16" s="132">
        <f>IF(INDEX(Kalkulasi!$H$772:$H$789,Kalkulasi!$A$794)=0,"",INDEX(Kalkulasi!$U$772:$U$789,Kalkulasi!$A$794))</f>
        <v/>
      </c>
      <c r="K16" s="132">
        <f>IF(INDEX(Kalkulasi!$I$772:$I$789,Kalkulasi!$A$794)=0,"",INDEX(Kalkulasi!$V$772:$V$789,Kalkulasi!$A$794))</f>
        <v/>
      </c>
      <c r="L16" s="132">
        <f>IF(INDEX(Kalkulasi!$J$772:$J$789,Kalkulasi!$A$794)=0,"",INDEX(Kalkulasi!$W$772:$W$789,Kalkulasi!$A$794))</f>
        <v/>
      </c>
      <c r="M16" s="132">
        <f>IF(INDEX(Kalkulasi!$K$772:$K$789,Kalkulasi!$A$794)=0,"",INDEX(Kalkulasi!$X$772:$X$789,Kalkulasi!$A$794))</f>
        <v/>
      </c>
      <c r="N16" s="132">
        <f>IF(INDEX(Kalkulasi!$L$772:$L$789,Kalkulasi!$A$794)=0,"",INDEX(Kalkulasi!$Y$772:$Y$789,Kalkulasi!$A$794))</f>
        <v/>
      </c>
      <c r="O16" s="132">
        <f>IF(INDEX(Kalkulasi!$M$772:$M$789,Kalkulasi!$A$794)=0,"",INDEX(Kalkulasi!$Z$772:$Z$789,Kalkulasi!$A$794))</f>
        <v/>
      </c>
      <c r="P16" s="132">
        <f>IF(INDEX(Kalkulasi!$N$772:$N$789,Kalkulasi!$A$794)=0,"",INDEX(Kalkulasi!$AA$772:$AA$789,Kalkulasi!$A$794))</f>
        <v/>
      </c>
      <c r="Q16" s="132">
        <f>IF(INDEX(Kalkulasi!$O$772:$O$789,Kalkulasi!$A$794)=0,"",INDEX(Kalkulasi!$AB$772:$AB$789,Kalkulasi!$A$794))</f>
        <v/>
      </c>
      <c r="R16" s="94">
        <f>IF(INDEX(Kalkulasi!$BI$772:$BI$789,Kalkulasi!$A$794)&gt;0,INDEX(Kalkulasi!$BE$772:$BE$789,Kalkulasi!$A$794),"")</f>
        <v/>
      </c>
      <c r="S16" s="133">
        <f>IF(INDEX(Kalkulasi!$BI$772:$BI$789,Kalkulasi!$A$794)&gt;0,INDEX(Kalkulasi!$BF$772:$BF$789,Kalkulasi!$A$794),"")</f>
        <v/>
      </c>
      <c r="T16" s="134">
        <f>IF(INDEX(Kalkulasi!$BI$772:$BI$789,Kalkulasi!$A$794)&gt;0,INDEX(Kalkulasi!$BG$772:$BG$789,Kalkulasi!$A$794),"")</f>
        <v/>
      </c>
      <c r="U16" s="135">
        <f>IF(OR(NOT(INDEX(Kalkulasi!$BI$772:$BI$789,Kalkulasi!$A$794)&gt;0),INDEX(Kalkulasi!$BH$772:$BH$789,Kalkulasi!$A$794)=""),"",IF(INDEX(Kalkulasi!$BH$772:$BH$789,Kalkulasi!$A$794)=0,"Pas",IF(INDEX(Kalkulasi!$BH$772:$BH$789,Kalkulasi!$A$794)&gt;0,"+"&amp;INDEX(Kalkulasi!$BH$772:$BH$789,Kalkulasi!$A$794)&amp;" DT",INDEX(Kalkulasi!$BH$772:$BH$789,Kalkulasi!$A$794)&amp;" DT")))</f>
        <v/>
      </c>
      <c r="V16" s="2" t="n"/>
    </row>
    <row r="17" ht="21" customHeight="1">
      <c r="A17" s="1" t="n"/>
      <c r="B17" s="15">
        <f>HYPERLINK("#INPUT_RITASE!A1","   Input ritase ↗")</f>
        <v/>
      </c>
      <c r="C17" s="2" t="n"/>
      <c r="D17" s="122">
        <f>IF(INDEX(Kalkulasi!$BI$772:$BI$789,Kalkulasi!$A$795)&gt;0,INDEX(Kalkulasi!$A$772:$A$789,Kalkulasi!$A$795)&amp;"  "&amp;INDEX(Kalkulasi!$B$772:$B$789,Kalkulasi!$A$795),"")</f>
        <v/>
      </c>
      <c r="F17" s="132">
        <f>IF(INDEX(Kalkulasi!$D$772:$D$789,Kalkulasi!$A$795)=0,"",INDEX(Kalkulasi!$Q$772:$Q$789,Kalkulasi!$A$795))</f>
        <v/>
      </c>
      <c r="G17" s="132">
        <f>IF(INDEX(Kalkulasi!$E$772:$E$789,Kalkulasi!$A$795)=0,"",INDEX(Kalkulasi!$R$772:$R$789,Kalkulasi!$A$795))</f>
        <v/>
      </c>
      <c r="H17" s="132">
        <f>IF(INDEX(Kalkulasi!$F$772:$F$789,Kalkulasi!$A$795)=0,"",INDEX(Kalkulasi!$S$772:$S$789,Kalkulasi!$A$795))</f>
        <v/>
      </c>
      <c r="I17" s="132">
        <f>IF(INDEX(Kalkulasi!$G$772:$G$789,Kalkulasi!$A$795)=0,"",INDEX(Kalkulasi!$T$772:$T$789,Kalkulasi!$A$795))</f>
        <v/>
      </c>
      <c r="J17" s="132">
        <f>IF(INDEX(Kalkulasi!$H$772:$H$789,Kalkulasi!$A$795)=0,"",INDEX(Kalkulasi!$U$772:$U$789,Kalkulasi!$A$795))</f>
        <v/>
      </c>
      <c r="K17" s="132">
        <f>IF(INDEX(Kalkulasi!$I$772:$I$789,Kalkulasi!$A$795)=0,"",INDEX(Kalkulasi!$V$772:$V$789,Kalkulasi!$A$795))</f>
        <v/>
      </c>
      <c r="L17" s="132">
        <f>IF(INDEX(Kalkulasi!$J$772:$J$789,Kalkulasi!$A$795)=0,"",INDEX(Kalkulasi!$W$772:$W$789,Kalkulasi!$A$795))</f>
        <v/>
      </c>
      <c r="M17" s="132">
        <f>IF(INDEX(Kalkulasi!$K$772:$K$789,Kalkulasi!$A$795)=0,"",INDEX(Kalkulasi!$X$772:$X$789,Kalkulasi!$A$795))</f>
        <v/>
      </c>
      <c r="N17" s="132">
        <f>IF(INDEX(Kalkulasi!$L$772:$L$789,Kalkulasi!$A$795)=0,"",INDEX(Kalkulasi!$Y$772:$Y$789,Kalkulasi!$A$795))</f>
        <v/>
      </c>
      <c r="O17" s="132">
        <f>IF(INDEX(Kalkulasi!$M$772:$M$789,Kalkulasi!$A$795)=0,"",INDEX(Kalkulasi!$Z$772:$Z$789,Kalkulasi!$A$795))</f>
        <v/>
      </c>
      <c r="P17" s="132">
        <f>IF(INDEX(Kalkulasi!$N$772:$N$789,Kalkulasi!$A$795)=0,"",INDEX(Kalkulasi!$AA$772:$AA$789,Kalkulasi!$A$795))</f>
        <v/>
      </c>
      <c r="Q17" s="132">
        <f>IF(INDEX(Kalkulasi!$O$772:$O$789,Kalkulasi!$A$795)=0,"",INDEX(Kalkulasi!$AB$772:$AB$789,Kalkulasi!$A$795))</f>
        <v/>
      </c>
      <c r="R17" s="94">
        <f>IF(INDEX(Kalkulasi!$BI$772:$BI$789,Kalkulasi!$A$795)&gt;0,INDEX(Kalkulasi!$BE$772:$BE$789,Kalkulasi!$A$795),"")</f>
        <v/>
      </c>
      <c r="S17" s="133">
        <f>IF(INDEX(Kalkulasi!$BI$772:$BI$789,Kalkulasi!$A$795)&gt;0,INDEX(Kalkulasi!$BF$772:$BF$789,Kalkulasi!$A$795),"")</f>
        <v/>
      </c>
      <c r="T17" s="134">
        <f>IF(INDEX(Kalkulasi!$BI$772:$BI$789,Kalkulasi!$A$795)&gt;0,INDEX(Kalkulasi!$BG$772:$BG$789,Kalkulasi!$A$795),"")</f>
        <v/>
      </c>
      <c r="U17" s="135">
        <f>IF(OR(NOT(INDEX(Kalkulasi!$BI$772:$BI$789,Kalkulasi!$A$795)&gt;0),INDEX(Kalkulasi!$BH$772:$BH$789,Kalkulasi!$A$795)=""),"",IF(INDEX(Kalkulasi!$BH$772:$BH$789,Kalkulasi!$A$795)=0,"Pas",IF(INDEX(Kalkulasi!$BH$772:$BH$789,Kalkulasi!$A$795)&gt;0,"+"&amp;INDEX(Kalkulasi!$BH$772:$BH$789,Kalkulasi!$A$795)&amp;" DT",INDEX(Kalkulasi!$BH$772:$BH$789,Kalkulasi!$A$795)&amp;" DT")))</f>
        <v/>
      </c>
      <c r="V17" s="2" t="n"/>
    </row>
    <row r="18" ht="21" customHeight="1">
      <c r="A18" s="1" t="n"/>
      <c r="B18" s="15">
        <f>HYPERLINK("#INPUT_DELAY!A1","   Input delay ↗")</f>
        <v/>
      </c>
      <c r="C18" s="2" t="n"/>
      <c r="D18" s="122">
        <f>IF(INDEX(Kalkulasi!$BI$772:$BI$789,Kalkulasi!$A$796)&gt;0,INDEX(Kalkulasi!$A$772:$A$789,Kalkulasi!$A$796)&amp;"  "&amp;INDEX(Kalkulasi!$B$772:$B$789,Kalkulasi!$A$796),"")</f>
        <v/>
      </c>
      <c r="F18" s="132">
        <f>IF(INDEX(Kalkulasi!$D$772:$D$789,Kalkulasi!$A$796)=0,"",INDEX(Kalkulasi!$Q$772:$Q$789,Kalkulasi!$A$796))</f>
        <v/>
      </c>
      <c r="G18" s="132">
        <f>IF(INDEX(Kalkulasi!$E$772:$E$789,Kalkulasi!$A$796)=0,"",INDEX(Kalkulasi!$R$772:$R$789,Kalkulasi!$A$796))</f>
        <v/>
      </c>
      <c r="H18" s="132">
        <f>IF(INDEX(Kalkulasi!$F$772:$F$789,Kalkulasi!$A$796)=0,"",INDEX(Kalkulasi!$S$772:$S$789,Kalkulasi!$A$796))</f>
        <v/>
      </c>
      <c r="I18" s="132">
        <f>IF(INDEX(Kalkulasi!$G$772:$G$789,Kalkulasi!$A$796)=0,"",INDEX(Kalkulasi!$T$772:$T$789,Kalkulasi!$A$796))</f>
        <v/>
      </c>
      <c r="J18" s="132">
        <f>IF(INDEX(Kalkulasi!$H$772:$H$789,Kalkulasi!$A$796)=0,"",INDEX(Kalkulasi!$U$772:$U$789,Kalkulasi!$A$796))</f>
        <v/>
      </c>
      <c r="K18" s="132">
        <f>IF(INDEX(Kalkulasi!$I$772:$I$789,Kalkulasi!$A$796)=0,"",INDEX(Kalkulasi!$V$772:$V$789,Kalkulasi!$A$796))</f>
        <v/>
      </c>
      <c r="L18" s="132">
        <f>IF(INDEX(Kalkulasi!$J$772:$J$789,Kalkulasi!$A$796)=0,"",INDEX(Kalkulasi!$W$772:$W$789,Kalkulasi!$A$796))</f>
        <v/>
      </c>
      <c r="M18" s="132">
        <f>IF(INDEX(Kalkulasi!$K$772:$K$789,Kalkulasi!$A$796)=0,"",INDEX(Kalkulasi!$X$772:$X$789,Kalkulasi!$A$796))</f>
        <v/>
      </c>
      <c r="N18" s="132">
        <f>IF(INDEX(Kalkulasi!$L$772:$L$789,Kalkulasi!$A$796)=0,"",INDEX(Kalkulasi!$Y$772:$Y$789,Kalkulasi!$A$796))</f>
        <v/>
      </c>
      <c r="O18" s="132">
        <f>IF(INDEX(Kalkulasi!$M$772:$M$789,Kalkulasi!$A$796)=0,"",INDEX(Kalkulasi!$Z$772:$Z$789,Kalkulasi!$A$796))</f>
        <v/>
      </c>
      <c r="P18" s="132">
        <f>IF(INDEX(Kalkulasi!$N$772:$N$789,Kalkulasi!$A$796)=0,"",INDEX(Kalkulasi!$AA$772:$AA$789,Kalkulasi!$A$796))</f>
        <v/>
      </c>
      <c r="Q18" s="132">
        <f>IF(INDEX(Kalkulasi!$O$772:$O$789,Kalkulasi!$A$796)=0,"",INDEX(Kalkulasi!$AB$772:$AB$789,Kalkulasi!$A$796))</f>
        <v/>
      </c>
      <c r="R18" s="94">
        <f>IF(INDEX(Kalkulasi!$BI$772:$BI$789,Kalkulasi!$A$796)&gt;0,INDEX(Kalkulasi!$BE$772:$BE$789,Kalkulasi!$A$796),"")</f>
        <v/>
      </c>
      <c r="S18" s="133">
        <f>IF(INDEX(Kalkulasi!$BI$772:$BI$789,Kalkulasi!$A$796)&gt;0,INDEX(Kalkulasi!$BF$772:$BF$789,Kalkulasi!$A$796),"")</f>
        <v/>
      </c>
      <c r="T18" s="134">
        <f>IF(INDEX(Kalkulasi!$BI$772:$BI$789,Kalkulasi!$A$796)&gt;0,INDEX(Kalkulasi!$BG$772:$BG$789,Kalkulasi!$A$796),"")</f>
        <v/>
      </c>
      <c r="U18" s="135">
        <f>IF(OR(NOT(INDEX(Kalkulasi!$BI$772:$BI$789,Kalkulasi!$A$796)&gt;0),INDEX(Kalkulasi!$BH$772:$BH$789,Kalkulasi!$A$796)=""),"",IF(INDEX(Kalkulasi!$BH$772:$BH$789,Kalkulasi!$A$796)=0,"Pas",IF(INDEX(Kalkulasi!$BH$772:$BH$789,Kalkulasi!$A$796)&gt;0,"+"&amp;INDEX(Kalkulasi!$BH$772:$BH$789,Kalkulasi!$A$796)&amp;" DT",INDEX(Kalkulasi!$BH$772:$BH$789,Kalkulasi!$A$796)&amp;" DT")))</f>
        <v/>
      </c>
      <c r="V18" s="2" t="n"/>
    </row>
    <row r="19" ht="21" customHeight="1">
      <c r="A19" s="1" t="n"/>
      <c r="B19" s="1" t="n"/>
      <c r="C19" s="2" t="n"/>
      <c r="D19" s="122">
        <f>IF(INDEX(Kalkulasi!$BI$772:$BI$789,Kalkulasi!$A$797)&gt;0,INDEX(Kalkulasi!$A$772:$A$789,Kalkulasi!$A$797)&amp;"  "&amp;INDEX(Kalkulasi!$B$772:$B$789,Kalkulasi!$A$797),"")</f>
        <v/>
      </c>
      <c r="F19" s="132">
        <f>IF(INDEX(Kalkulasi!$D$772:$D$789,Kalkulasi!$A$797)=0,"",INDEX(Kalkulasi!$Q$772:$Q$789,Kalkulasi!$A$797))</f>
        <v/>
      </c>
      <c r="G19" s="132">
        <f>IF(INDEX(Kalkulasi!$E$772:$E$789,Kalkulasi!$A$797)=0,"",INDEX(Kalkulasi!$R$772:$R$789,Kalkulasi!$A$797))</f>
        <v/>
      </c>
      <c r="H19" s="132">
        <f>IF(INDEX(Kalkulasi!$F$772:$F$789,Kalkulasi!$A$797)=0,"",INDEX(Kalkulasi!$S$772:$S$789,Kalkulasi!$A$797))</f>
        <v/>
      </c>
      <c r="I19" s="132">
        <f>IF(INDEX(Kalkulasi!$G$772:$G$789,Kalkulasi!$A$797)=0,"",INDEX(Kalkulasi!$T$772:$T$789,Kalkulasi!$A$797))</f>
        <v/>
      </c>
      <c r="J19" s="132">
        <f>IF(INDEX(Kalkulasi!$H$772:$H$789,Kalkulasi!$A$797)=0,"",INDEX(Kalkulasi!$U$772:$U$789,Kalkulasi!$A$797))</f>
        <v/>
      </c>
      <c r="K19" s="132">
        <f>IF(INDEX(Kalkulasi!$I$772:$I$789,Kalkulasi!$A$797)=0,"",INDEX(Kalkulasi!$V$772:$V$789,Kalkulasi!$A$797))</f>
        <v/>
      </c>
      <c r="L19" s="132">
        <f>IF(INDEX(Kalkulasi!$J$772:$J$789,Kalkulasi!$A$797)=0,"",INDEX(Kalkulasi!$W$772:$W$789,Kalkulasi!$A$797))</f>
        <v/>
      </c>
      <c r="M19" s="132">
        <f>IF(INDEX(Kalkulasi!$K$772:$K$789,Kalkulasi!$A$797)=0,"",INDEX(Kalkulasi!$X$772:$X$789,Kalkulasi!$A$797))</f>
        <v/>
      </c>
      <c r="N19" s="132">
        <f>IF(INDEX(Kalkulasi!$L$772:$L$789,Kalkulasi!$A$797)=0,"",INDEX(Kalkulasi!$Y$772:$Y$789,Kalkulasi!$A$797))</f>
        <v/>
      </c>
      <c r="O19" s="132">
        <f>IF(INDEX(Kalkulasi!$M$772:$M$789,Kalkulasi!$A$797)=0,"",INDEX(Kalkulasi!$Z$772:$Z$789,Kalkulasi!$A$797))</f>
        <v/>
      </c>
      <c r="P19" s="132">
        <f>IF(INDEX(Kalkulasi!$N$772:$N$789,Kalkulasi!$A$797)=0,"",INDEX(Kalkulasi!$AA$772:$AA$789,Kalkulasi!$A$797))</f>
        <v/>
      </c>
      <c r="Q19" s="132">
        <f>IF(INDEX(Kalkulasi!$O$772:$O$789,Kalkulasi!$A$797)=0,"",INDEX(Kalkulasi!$AB$772:$AB$789,Kalkulasi!$A$797))</f>
        <v/>
      </c>
      <c r="R19" s="94">
        <f>IF(INDEX(Kalkulasi!$BI$772:$BI$789,Kalkulasi!$A$797)&gt;0,INDEX(Kalkulasi!$BE$772:$BE$789,Kalkulasi!$A$797),"")</f>
        <v/>
      </c>
      <c r="S19" s="133">
        <f>IF(INDEX(Kalkulasi!$BI$772:$BI$789,Kalkulasi!$A$797)&gt;0,INDEX(Kalkulasi!$BF$772:$BF$789,Kalkulasi!$A$797),"")</f>
        <v/>
      </c>
      <c r="T19" s="134">
        <f>IF(INDEX(Kalkulasi!$BI$772:$BI$789,Kalkulasi!$A$797)&gt;0,INDEX(Kalkulasi!$BG$772:$BG$789,Kalkulasi!$A$797),"")</f>
        <v/>
      </c>
      <c r="U19" s="135">
        <f>IF(OR(NOT(INDEX(Kalkulasi!$BI$772:$BI$789,Kalkulasi!$A$797)&gt;0),INDEX(Kalkulasi!$BH$772:$BH$789,Kalkulasi!$A$797)=""),"",IF(INDEX(Kalkulasi!$BH$772:$BH$789,Kalkulasi!$A$797)=0,"Pas",IF(INDEX(Kalkulasi!$BH$772:$BH$789,Kalkulasi!$A$797)&gt;0,"+"&amp;INDEX(Kalkulasi!$BH$772:$BH$789,Kalkulasi!$A$797)&amp;" DT",INDEX(Kalkulasi!$BH$772:$BH$789,Kalkulasi!$A$797)&amp;" DT")))</f>
        <v/>
      </c>
      <c r="V19" s="2" t="n"/>
    </row>
    <row r="20" ht="21" customHeight="1">
      <c r="A20" s="1" t="n"/>
      <c r="B20" s="8" t="inlineStr">
        <is>
          <t>DATA</t>
        </is>
      </c>
      <c r="C20" s="2" t="n"/>
      <c r="D20" s="122">
        <f>IF(INDEX(Kalkulasi!$BI$772:$BI$789,Kalkulasi!$A$798)&gt;0,INDEX(Kalkulasi!$A$772:$A$789,Kalkulasi!$A$798)&amp;"  "&amp;INDEX(Kalkulasi!$B$772:$B$789,Kalkulasi!$A$798),"")</f>
        <v/>
      </c>
      <c r="F20" s="132">
        <f>IF(INDEX(Kalkulasi!$D$772:$D$789,Kalkulasi!$A$798)=0,"",INDEX(Kalkulasi!$Q$772:$Q$789,Kalkulasi!$A$798))</f>
        <v/>
      </c>
      <c r="G20" s="132">
        <f>IF(INDEX(Kalkulasi!$E$772:$E$789,Kalkulasi!$A$798)=0,"",INDEX(Kalkulasi!$R$772:$R$789,Kalkulasi!$A$798))</f>
        <v/>
      </c>
      <c r="H20" s="132">
        <f>IF(INDEX(Kalkulasi!$F$772:$F$789,Kalkulasi!$A$798)=0,"",INDEX(Kalkulasi!$S$772:$S$789,Kalkulasi!$A$798))</f>
        <v/>
      </c>
      <c r="I20" s="132">
        <f>IF(INDEX(Kalkulasi!$G$772:$G$789,Kalkulasi!$A$798)=0,"",INDEX(Kalkulasi!$T$772:$T$789,Kalkulasi!$A$798))</f>
        <v/>
      </c>
      <c r="J20" s="132">
        <f>IF(INDEX(Kalkulasi!$H$772:$H$789,Kalkulasi!$A$798)=0,"",INDEX(Kalkulasi!$U$772:$U$789,Kalkulasi!$A$798))</f>
        <v/>
      </c>
      <c r="K20" s="132">
        <f>IF(INDEX(Kalkulasi!$I$772:$I$789,Kalkulasi!$A$798)=0,"",INDEX(Kalkulasi!$V$772:$V$789,Kalkulasi!$A$798))</f>
        <v/>
      </c>
      <c r="L20" s="132">
        <f>IF(INDEX(Kalkulasi!$J$772:$J$789,Kalkulasi!$A$798)=0,"",INDEX(Kalkulasi!$W$772:$W$789,Kalkulasi!$A$798))</f>
        <v/>
      </c>
      <c r="M20" s="132">
        <f>IF(INDEX(Kalkulasi!$K$772:$K$789,Kalkulasi!$A$798)=0,"",INDEX(Kalkulasi!$X$772:$X$789,Kalkulasi!$A$798))</f>
        <v/>
      </c>
      <c r="N20" s="132">
        <f>IF(INDEX(Kalkulasi!$L$772:$L$789,Kalkulasi!$A$798)=0,"",INDEX(Kalkulasi!$Y$772:$Y$789,Kalkulasi!$A$798))</f>
        <v/>
      </c>
      <c r="O20" s="132">
        <f>IF(INDEX(Kalkulasi!$M$772:$M$789,Kalkulasi!$A$798)=0,"",INDEX(Kalkulasi!$Z$772:$Z$789,Kalkulasi!$A$798))</f>
        <v/>
      </c>
      <c r="P20" s="132">
        <f>IF(INDEX(Kalkulasi!$N$772:$N$789,Kalkulasi!$A$798)=0,"",INDEX(Kalkulasi!$AA$772:$AA$789,Kalkulasi!$A$798))</f>
        <v/>
      </c>
      <c r="Q20" s="132">
        <f>IF(INDEX(Kalkulasi!$O$772:$O$789,Kalkulasi!$A$798)=0,"",INDEX(Kalkulasi!$AB$772:$AB$789,Kalkulasi!$A$798))</f>
        <v/>
      </c>
      <c r="R20" s="94">
        <f>IF(INDEX(Kalkulasi!$BI$772:$BI$789,Kalkulasi!$A$798)&gt;0,INDEX(Kalkulasi!$BE$772:$BE$789,Kalkulasi!$A$798),"")</f>
        <v/>
      </c>
      <c r="S20" s="133">
        <f>IF(INDEX(Kalkulasi!$BI$772:$BI$789,Kalkulasi!$A$798)&gt;0,INDEX(Kalkulasi!$BF$772:$BF$789,Kalkulasi!$A$798),"")</f>
        <v/>
      </c>
      <c r="T20" s="134">
        <f>IF(INDEX(Kalkulasi!$BI$772:$BI$789,Kalkulasi!$A$798)&gt;0,INDEX(Kalkulasi!$BG$772:$BG$789,Kalkulasi!$A$798),"")</f>
        <v/>
      </c>
      <c r="U20" s="135">
        <f>IF(OR(NOT(INDEX(Kalkulasi!$BI$772:$BI$789,Kalkulasi!$A$798)&gt;0),INDEX(Kalkulasi!$BH$772:$BH$789,Kalkulasi!$A$798)=""),"",IF(INDEX(Kalkulasi!$BH$772:$BH$789,Kalkulasi!$A$798)=0,"Pas",IF(INDEX(Kalkulasi!$BH$772:$BH$789,Kalkulasi!$A$798)&gt;0,"+"&amp;INDEX(Kalkulasi!$BH$772:$BH$789,Kalkulasi!$A$798)&amp;" DT",INDEX(Kalkulasi!$BH$772:$BH$789,Kalkulasi!$A$798)&amp;" DT")))</f>
        <v/>
      </c>
      <c r="V20" s="2" t="n"/>
    </row>
    <row r="21" ht="21" customHeight="1">
      <c r="A21" s="1" t="n"/>
      <c r="B21" s="15">
        <f>HYPERLINK("#'Master Data'!A1","   Master Data")</f>
        <v/>
      </c>
      <c r="C21" s="2" t="n"/>
      <c r="D21" s="122">
        <f>IF(INDEX(Kalkulasi!$BI$772:$BI$789,Kalkulasi!$A$799)&gt;0,INDEX(Kalkulasi!$A$772:$A$789,Kalkulasi!$A$799)&amp;"  "&amp;INDEX(Kalkulasi!$B$772:$B$789,Kalkulasi!$A$799),"")</f>
        <v/>
      </c>
      <c r="F21" s="132">
        <f>IF(INDEX(Kalkulasi!$D$772:$D$789,Kalkulasi!$A$799)=0,"",INDEX(Kalkulasi!$Q$772:$Q$789,Kalkulasi!$A$799))</f>
        <v/>
      </c>
      <c r="G21" s="132">
        <f>IF(INDEX(Kalkulasi!$E$772:$E$789,Kalkulasi!$A$799)=0,"",INDEX(Kalkulasi!$R$772:$R$789,Kalkulasi!$A$799))</f>
        <v/>
      </c>
      <c r="H21" s="132">
        <f>IF(INDEX(Kalkulasi!$F$772:$F$789,Kalkulasi!$A$799)=0,"",INDEX(Kalkulasi!$S$772:$S$789,Kalkulasi!$A$799))</f>
        <v/>
      </c>
      <c r="I21" s="132">
        <f>IF(INDEX(Kalkulasi!$G$772:$G$789,Kalkulasi!$A$799)=0,"",INDEX(Kalkulasi!$T$772:$T$789,Kalkulasi!$A$799))</f>
        <v/>
      </c>
      <c r="J21" s="132">
        <f>IF(INDEX(Kalkulasi!$H$772:$H$789,Kalkulasi!$A$799)=0,"",INDEX(Kalkulasi!$U$772:$U$789,Kalkulasi!$A$799))</f>
        <v/>
      </c>
      <c r="K21" s="132">
        <f>IF(INDEX(Kalkulasi!$I$772:$I$789,Kalkulasi!$A$799)=0,"",INDEX(Kalkulasi!$V$772:$V$789,Kalkulasi!$A$799))</f>
        <v/>
      </c>
      <c r="L21" s="132">
        <f>IF(INDEX(Kalkulasi!$J$772:$J$789,Kalkulasi!$A$799)=0,"",INDEX(Kalkulasi!$W$772:$W$789,Kalkulasi!$A$799))</f>
        <v/>
      </c>
      <c r="M21" s="132">
        <f>IF(INDEX(Kalkulasi!$K$772:$K$789,Kalkulasi!$A$799)=0,"",INDEX(Kalkulasi!$X$772:$X$789,Kalkulasi!$A$799))</f>
        <v/>
      </c>
      <c r="N21" s="132">
        <f>IF(INDEX(Kalkulasi!$L$772:$L$789,Kalkulasi!$A$799)=0,"",INDEX(Kalkulasi!$Y$772:$Y$789,Kalkulasi!$A$799))</f>
        <v/>
      </c>
      <c r="O21" s="132">
        <f>IF(INDEX(Kalkulasi!$M$772:$M$789,Kalkulasi!$A$799)=0,"",INDEX(Kalkulasi!$Z$772:$Z$789,Kalkulasi!$A$799))</f>
        <v/>
      </c>
      <c r="P21" s="132">
        <f>IF(INDEX(Kalkulasi!$N$772:$N$789,Kalkulasi!$A$799)=0,"",INDEX(Kalkulasi!$AA$772:$AA$789,Kalkulasi!$A$799))</f>
        <v/>
      </c>
      <c r="Q21" s="132">
        <f>IF(INDEX(Kalkulasi!$O$772:$O$789,Kalkulasi!$A$799)=0,"",INDEX(Kalkulasi!$AB$772:$AB$789,Kalkulasi!$A$799))</f>
        <v/>
      </c>
      <c r="R21" s="94">
        <f>IF(INDEX(Kalkulasi!$BI$772:$BI$789,Kalkulasi!$A$799)&gt;0,INDEX(Kalkulasi!$BE$772:$BE$789,Kalkulasi!$A$799),"")</f>
        <v/>
      </c>
      <c r="S21" s="133">
        <f>IF(INDEX(Kalkulasi!$BI$772:$BI$789,Kalkulasi!$A$799)&gt;0,INDEX(Kalkulasi!$BF$772:$BF$789,Kalkulasi!$A$799),"")</f>
        <v/>
      </c>
      <c r="T21" s="134">
        <f>IF(INDEX(Kalkulasi!$BI$772:$BI$789,Kalkulasi!$A$799)&gt;0,INDEX(Kalkulasi!$BG$772:$BG$789,Kalkulasi!$A$799),"")</f>
        <v/>
      </c>
      <c r="U21" s="135">
        <f>IF(OR(NOT(INDEX(Kalkulasi!$BI$772:$BI$789,Kalkulasi!$A$799)&gt;0),INDEX(Kalkulasi!$BH$772:$BH$789,Kalkulasi!$A$799)=""),"",IF(INDEX(Kalkulasi!$BH$772:$BH$789,Kalkulasi!$A$799)=0,"Pas",IF(INDEX(Kalkulasi!$BH$772:$BH$789,Kalkulasi!$A$799)&gt;0,"+"&amp;INDEX(Kalkulasi!$BH$772:$BH$789,Kalkulasi!$A$799)&amp;" DT",INDEX(Kalkulasi!$BH$772:$BH$789,Kalkulasi!$A$799)&amp;" DT")))</f>
        <v/>
      </c>
      <c r="V21" s="2" t="n"/>
    </row>
    <row r="22" ht="21" customHeight="1">
      <c r="A22" s="1" t="n"/>
      <c r="B22" s="15">
        <f>HYPERLINK("#DATA_TS!A1","   Tabel timesheet ↗")</f>
        <v/>
      </c>
      <c r="C22" s="2" t="n"/>
      <c r="D22" s="122">
        <f>IF(INDEX(Kalkulasi!$BI$772:$BI$789,Kalkulasi!$A$800)&gt;0,INDEX(Kalkulasi!$A$772:$A$789,Kalkulasi!$A$800)&amp;"  "&amp;INDEX(Kalkulasi!$B$772:$B$789,Kalkulasi!$A$800),"")</f>
        <v/>
      </c>
      <c r="F22" s="132">
        <f>IF(INDEX(Kalkulasi!$D$772:$D$789,Kalkulasi!$A$800)=0,"",INDEX(Kalkulasi!$Q$772:$Q$789,Kalkulasi!$A$800))</f>
        <v/>
      </c>
      <c r="G22" s="132">
        <f>IF(INDEX(Kalkulasi!$E$772:$E$789,Kalkulasi!$A$800)=0,"",INDEX(Kalkulasi!$R$772:$R$789,Kalkulasi!$A$800))</f>
        <v/>
      </c>
      <c r="H22" s="132">
        <f>IF(INDEX(Kalkulasi!$F$772:$F$789,Kalkulasi!$A$800)=0,"",INDEX(Kalkulasi!$S$772:$S$789,Kalkulasi!$A$800))</f>
        <v/>
      </c>
      <c r="I22" s="132">
        <f>IF(INDEX(Kalkulasi!$G$772:$G$789,Kalkulasi!$A$800)=0,"",INDEX(Kalkulasi!$T$772:$T$789,Kalkulasi!$A$800))</f>
        <v/>
      </c>
      <c r="J22" s="132">
        <f>IF(INDEX(Kalkulasi!$H$772:$H$789,Kalkulasi!$A$800)=0,"",INDEX(Kalkulasi!$U$772:$U$789,Kalkulasi!$A$800))</f>
        <v/>
      </c>
      <c r="K22" s="132">
        <f>IF(INDEX(Kalkulasi!$I$772:$I$789,Kalkulasi!$A$800)=0,"",INDEX(Kalkulasi!$V$772:$V$789,Kalkulasi!$A$800))</f>
        <v/>
      </c>
      <c r="L22" s="132">
        <f>IF(INDEX(Kalkulasi!$J$772:$J$789,Kalkulasi!$A$800)=0,"",INDEX(Kalkulasi!$W$772:$W$789,Kalkulasi!$A$800))</f>
        <v/>
      </c>
      <c r="M22" s="132">
        <f>IF(INDEX(Kalkulasi!$K$772:$K$789,Kalkulasi!$A$800)=0,"",INDEX(Kalkulasi!$X$772:$X$789,Kalkulasi!$A$800))</f>
        <v/>
      </c>
      <c r="N22" s="132">
        <f>IF(INDEX(Kalkulasi!$L$772:$L$789,Kalkulasi!$A$800)=0,"",INDEX(Kalkulasi!$Y$772:$Y$789,Kalkulasi!$A$800))</f>
        <v/>
      </c>
      <c r="O22" s="132">
        <f>IF(INDEX(Kalkulasi!$M$772:$M$789,Kalkulasi!$A$800)=0,"",INDEX(Kalkulasi!$Z$772:$Z$789,Kalkulasi!$A$800))</f>
        <v/>
      </c>
      <c r="P22" s="132">
        <f>IF(INDEX(Kalkulasi!$N$772:$N$789,Kalkulasi!$A$800)=0,"",INDEX(Kalkulasi!$AA$772:$AA$789,Kalkulasi!$A$800))</f>
        <v/>
      </c>
      <c r="Q22" s="132">
        <f>IF(INDEX(Kalkulasi!$O$772:$O$789,Kalkulasi!$A$800)=0,"",INDEX(Kalkulasi!$AB$772:$AB$789,Kalkulasi!$A$800))</f>
        <v/>
      </c>
      <c r="R22" s="94">
        <f>IF(INDEX(Kalkulasi!$BI$772:$BI$789,Kalkulasi!$A$800)&gt;0,INDEX(Kalkulasi!$BE$772:$BE$789,Kalkulasi!$A$800),"")</f>
        <v/>
      </c>
      <c r="S22" s="133">
        <f>IF(INDEX(Kalkulasi!$BI$772:$BI$789,Kalkulasi!$A$800)&gt;0,INDEX(Kalkulasi!$BF$772:$BF$789,Kalkulasi!$A$800),"")</f>
        <v/>
      </c>
      <c r="T22" s="134">
        <f>IF(INDEX(Kalkulasi!$BI$772:$BI$789,Kalkulasi!$A$800)&gt;0,INDEX(Kalkulasi!$BG$772:$BG$789,Kalkulasi!$A$800),"")</f>
        <v/>
      </c>
      <c r="U22" s="135">
        <f>IF(OR(NOT(INDEX(Kalkulasi!$BI$772:$BI$789,Kalkulasi!$A$800)&gt;0),INDEX(Kalkulasi!$BH$772:$BH$789,Kalkulasi!$A$800)=""),"",IF(INDEX(Kalkulasi!$BH$772:$BH$789,Kalkulasi!$A$800)=0,"Pas",IF(INDEX(Kalkulasi!$BH$772:$BH$789,Kalkulasi!$A$800)&gt;0,"+"&amp;INDEX(Kalkulasi!$BH$772:$BH$789,Kalkulasi!$A$800)&amp;" DT",INDEX(Kalkulasi!$BH$772:$BH$789,Kalkulasi!$A$800)&amp;" DT")))</f>
        <v/>
      </c>
      <c r="V22" s="2" t="n"/>
    </row>
    <row r="23" ht="21" customHeight="1">
      <c r="A23" s="1" t="n"/>
      <c r="B23" s="15">
        <f>HYPERLINK("#DATA_FUEL!A1","   Tabel fuel ↗")</f>
        <v/>
      </c>
      <c r="C23" s="2" t="n"/>
      <c r="D23" s="122">
        <f>IF(INDEX(Kalkulasi!$BI$772:$BI$789,Kalkulasi!$A$801)&gt;0,INDEX(Kalkulasi!$A$772:$A$789,Kalkulasi!$A$801)&amp;"  "&amp;INDEX(Kalkulasi!$B$772:$B$789,Kalkulasi!$A$801),"")</f>
        <v/>
      </c>
      <c r="F23" s="132">
        <f>IF(INDEX(Kalkulasi!$D$772:$D$789,Kalkulasi!$A$801)=0,"",INDEX(Kalkulasi!$Q$772:$Q$789,Kalkulasi!$A$801))</f>
        <v/>
      </c>
      <c r="G23" s="132">
        <f>IF(INDEX(Kalkulasi!$E$772:$E$789,Kalkulasi!$A$801)=0,"",INDEX(Kalkulasi!$R$772:$R$789,Kalkulasi!$A$801))</f>
        <v/>
      </c>
      <c r="H23" s="132">
        <f>IF(INDEX(Kalkulasi!$F$772:$F$789,Kalkulasi!$A$801)=0,"",INDEX(Kalkulasi!$S$772:$S$789,Kalkulasi!$A$801))</f>
        <v/>
      </c>
      <c r="I23" s="132">
        <f>IF(INDEX(Kalkulasi!$G$772:$G$789,Kalkulasi!$A$801)=0,"",INDEX(Kalkulasi!$T$772:$T$789,Kalkulasi!$A$801))</f>
        <v/>
      </c>
      <c r="J23" s="132">
        <f>IF(INDEX(Kalkulasi!$H$772:$H$789,Kalkulasi!$A$801)=0,"",INDEX(Kalkulasi!$U$772:$U$789,Kalkulasi!$A$801))</f>
        <v/>
      </c>
      <c r="K23" s="132">
        <f>IF(INDEX(Kalkulasi!$I$772:$I$789,Kalkulasi!$A$801)=0,"",INDEX(Kalkulasi!$V$772:$V$789,Kalkulasi!$A$801))</f>
        <v/>
      </c>
      <c r="L23" s="132">
        <f>IF(INDEX(Kalkulasi!$J$772:$J$789,Kalkulasi!$A$801)=0,"",INDEX(Kalkulasi!$W$772:$W$789,Kalkulasi!$A$801))</f>
        <v/>
      </c>
      <c r="M23" s="132">
        <f>IF(INDEX(Kalkulasi!$K$772:$K$789,Kalkulasi!$A$801)=0,"",INDEX(Kalkulasi!$X$772:$X$789,Kalkulasi!$A$801))</f>
        <v/>
      </c>
      <c r="N23" s="132">
        <f>IF(INDEX(Kalkulasi!$L$772:$L$789,Kalkulasi!$A$801)=0,"",INDEX(Kalkulasi!$Y$772:$Y$789,Kalkulasi!$A$801))</f>
        <v/>
      </c>
      <c r="O23" s="132">
        <f>IF(INDEX(Kalkulasi!$M$772:$M$789,Kalkulasi!$A$801)=0,"",INDEX(Kalkulasi!$Z$772:$Z$789,Kalkulasi!$A$801))</f>
        <v/>
      </c>
      <c r="P23" s="132">
        <f>IF(INDEX(Kalkulasi!$N$772:$N$789,Kalkulasi!$A$801)=0,"",INDEX(Kalkulasi!$AA$772:$AA$789,Kalkulasi!$A$801))</f>
        <v/>
      </c>
      <c r="Q23" s="132">
        <f>IF(INDEX(Kalkulasi!$O$772:$O$789,Kalkulasi!$A$801)=0,"",INDEX(Kalkulasi!$AB$772:$AB$789,Kalkulasi!$A$801))</f>
        <v/>
      </c>
      <c r="R23" s="94">
        <f>IF(INDEX(Kalkulasi!$BI$772:$BI$789,Kalkulasi!$A$801)&gt;0,INDEX(Kalkulasi!$BE$772:$BE$789,Kalkulasi!$A$801),"")</f>
        <v/>
      </c>
      <c r="S23" s="133">
        <f>IF(INDEX(Kalkulasi!$BI$772:$BI$789,Kalkulasi!$A$801)&gt;0,INDEX(Kalkulasi!$BF$772:$BF$789,Kalkulasi!$A$801),"")</f>
        <v/>
      </c>
      <c r="T23" s="134">
        <f>IF(INDEX(Kalkulasi!$BI$772:$BI$789,Kalkulasi!$A$801)&gt;0,INDEX(Kalkulasi!$BG$772:$BG$789,Kalkulasi!$A$801),"")</f>
        <v/>
      </c>
      <c r="U23" s="135">
        <f>IF(OR(NOT(INDEX(Kalkulasi!$BI$772:$BI$789,Kalkulasi!$A$801)&gt;0),INDEX(Kalkulasi!$BH$772:$BH$789,Kalkulasi!$A$801)=""),"",IF(INDEX(Kalkulasi!$BH$772:$BH$789,Kalkulasi!$A$801)=0,"Pas",IF(INDEX(Kalkulasi!$BH$772:$BH$789,Kalkulasi!$A$801)&gt;0,"+"&amp;INDEX(Kalkulasi!$BH$772:$BH$789,Kalkulasi!$A$801)&amp;" DT",INDEX(Kalkulasi!$BH$772:$BH$789,Kalkulasi!$A$801)&amp;" DT")))</f>
        <v/>
      </c>
      <c r="V23" s="2" t="n"/>
    </row>
    <row r="24" ht="21" customHeight="1">
      <c r="A24" s="1" t="n"/>
      <c r="B24" s="1" t="n"/>
      <c r="C24" s="2" t="n"/>
      <c r="D24" s="122">
        <f>IF(INDEX(Kalkulasi!$BI$772:$BI$789,Kalkulasi!$A$802)&gt;0,INDEX(Kalkulasi!$A$772:$A$789,Kalkulasi!$A$802)&amp;"  "&amp;INDEX(Kalkulasi!$B$772:$B$789,Kalkulasi!$A$802),"")</f>
        <v/>
      </c>
      <c r="F24" s="132">
        <f>IF(INDEX(Kalkulasi!$D$772:$D$789,Kalkulasi!$A$802)=0,"",INDEX(Kalkulasi!$Q$772:$Q$789,Kalkulasi!$A$802))</f>
        <v/>
      </c>
      <c r="G24" s="132">
        <f>IF(INDEX(Kalkulasi!$E$772:$E$789,Kalkulasi!$A$802)=0,"",INDEX(Kalkulasi!$R$772:$R$789,Kalkulasi!$A$802))</f>
        <v/>
      </c>
      <c r="H24" s="132">
        <f>IF(INDEX(Kalkulasi!$F$772:$F$789,Kalkulasi!$A$802)=0,"",INDEX(Kalkulasi!$S$772:$S$789,Kalkulasi!$A$802))</f>
        <v/>
      </c>
      <c r="I24" s="132">
        <f>IF(INDEX(Kalkulasi!$G$772:$G$789,Kalkulasi!$A$802)=0,"",INDEX(Kalkulasi!$T$772:$T$789,Kalkulasi!$A$802))</f>
        <v/>
      </c>
      <c r="J24" s="132">
        <f>IF(INDEX(Kalkulasi!$H$772:$H$789,Kalkulasi!$A$802)=0,"",INDEX(Kalkulasi!$U$772:$U$789,Kalkulasi!$A$802))</f>
        <v/>
      </c>
      <c r="K24" s="132">
        <f>IF(INDEX(Kalkulasi!$I$772:$I$789,Kalkulasi!$A$802)=0,"",INDEX(Kalkulasi!$V$772:$V$789,Kalkulasi!$A$802))</f>
        <v/>
      </c>
      <c r="L24" s="132">
        <f>IF(INDEX(Kalkulasi!$J$772:$J$789,Kalkulasi!$A$802)=0,"",INDEX(Kalkulasi!$W$772:$W$789,Kalkulasi!$A$802))</f>
        <v/>
      </c>
      <c r="M24" s="132">
        <f>IF(INDEX(Kalkulasi!$K$772:$K$789,Kalkulasi!$A$802)=0,"",INDEX(Kalkulasi!$X$772:$X$789,Kalkulasi!$A$802))</f>
        <v/>
      </c>
      <c r="N24" s="132">
        <f>IF(INDEX(Kalkulasi!$L$772:$L$789,Kalkulasi!$A$802)=0,"",INDEX(Kalkulasi!$Y$772:$Y$789,Kalkulasi!$A$802))</f>
        <v/>
      </c>
      <c r="O24" s="132">
        <f>IF(INDEX(Kalkulasi!$M$772:$M$789,Kalkulasi!$A$802)=0,"",INDEX(Kalkulasi!$Z$772:$Z$789,Kalkulasi!$A$802))</f>
        <v/>
      </c>
      <c r="P24" s="132">
        <f>IF(INDEX(Kalkulasi!$N$772:$N$789,Kalkulasi!$A$802)=0,"",INDEX(Kalkulasi!$AA$772:$AA$789,Kalkulasi!$A$802))</f>
        <v/>
      </c>
      <c r="Q24" s="132">
        <f>IF(INDEX(Kalkulasi!$O$772:$O$789,Kalkulasi!$A$802)=0,"",INDEX(Kalkulasi!$AB$772:$AB$789,Kalkulasi!$A$802))</f>
        <v/>
      </c>
      <c r="R24" s="94">
        <f>IF(INDEX(Kalkulasi!$BI$772:$BI$789,Kalkulasi!$A$802)&gt;0,INDEX(Kalkulasi!$BE$772:$BE$789,Kalkulasi!$A$802),"")</f>
        <v/>
      </c>
      <c r="S24" s="133">
        <f>IF(INDEX(Kalkulasi!$BI$772:$BI$789,Kalkulasi!$A$802)&gt;0,INDEX(Kalkulasi!$BF$772:$BF$789,Kalkulasi!$A$802),"")</f>
        <v/>
      </c>
      <c r="T24" s="134">
        <f>IF(INDEX(Kalkulasi!$BI$772:$BI$789,Kalkulasi!$A$802)&gt;0,INDEX(Kalkulasi!$BG$772:$BG$789,Kalkulasi!$A$802),"")</f>
        <v/>
      </c>
      <c r="U24" s="135">
        <f>IF(OR(NOT(INDEX(Kalkulasi!$BI$772:$BI$789,Kalkulasi!$A$802)&gt;0),INDEX(Kalkulasi!$BH$772:$BH$789,Kalkulasi!$A$802)=""),"",IF(INDEX(Kalkulasi!$BH$772:$BH$789,Kalkulasi!$A$802)=0,"Pas",IF(INDEX(Kalkulasi!$BH$772:$BH$789,Kalkulasi!$A$802)&gt;0,"+"&amp;INDEX(Kalkulasi!$BH$772:$BH$789,Kalkulasi!$A$802)&amp;" DT",INDEX(Kalkulasi!$BH$772:$BH$789,Kalkulasi!$A$802)&amp;" DT")))</f>
        <v/>
      </c>
      <c r="V24" s="2" t="n"/>
    </row>
    <row r="25" ht="21" customHeight="1">
      <c r="A25" s="1" t="n"/>
      <c r="B25" s="8" t="inlineStr">
        <is>
          <t>LAINNYA</t>
        </is>
      </c>
      <c r="C25" s="2" t="n"/>
      <c r="D25" s="122">
        <f>IF(INDEX(Kalkulasi!$BI$772:$BI$789,Kalkulasi!$A$803)&gt;0,INDEX(Kalkulasi!$A$772:$A$789,Kalkulasi!$A$803)&amp;"  "&amp;INDEX(Kalkulasi!$B$772:$B$789,Kalkulasi!$A$803),"")</f>
        <v/>
      </c>
      <c r="F25" s="132">
        <f>IF(INDEX(Kalkulasi!$D$772:$D$789,Kalkulasi!$A$803)=0,"",INDEX(Kalkulasi!$Q$772:$Q$789,Kalkulasi!$A$803))</f>
        <v/>
      </c>
      <c r="G25" s="132">
        <f>IF(INDEX(Kalkulasi!$E$772:$E$789,Kalkulasi!$A$803)=0,"",INDEX(Kalkulasi!$R$772:$R$789,Kalkulasi!$A$803))</f>
        <v/>
      </c>
      <c r="H25" s="132">
        <f>IF(INDEX(Kalkulasi!$F$772:$F$789,Kalkulasi!$A$803)=0,"",INDEX(Kalkulasi!$S$772:$S$789,Kalkulasi!$A$803))</f>
        <v/>
      </c>
      <c r="I25" s="132">
        <f>IF(INDEX(Kalkulasi!$G$772:$G$789,Kalkulasi!$A$803)=0,"",INDEX(Kalkulasi!$T$772:$T$789,Kalkulasi!$A$803))</f>
        <v/>
      </c>
      <c r="J25" s="132">
        <f>IF(INDEX(Kalkulasi!$H$772:$H$789,Kalkulasi!$A$803)=0,"",INDEX(Kalkulasi!$U$772:$U$789,Kalkulasi!$A$803))</f>
        <v/>
      </c>
      <c r="K25" s="132">
        <f>IF(INDEX(Kalkulasi!$I$772:$I$789,Kalkulasi!$A$803)=0,"",INDEX(Kalkulasi!$V$772:$V$789,Kalkulasi!$A$803))</f>
        <v/>
      </c>
      <c r="L25" s="132">
        <f>IF(INDEX(Kalkulasi!$J$772:$J$789,Kalkulasi!$A$803)=0,"",INDEX(Kalkulasi!$W$772:$W$789,Kalkulasi!$A$803))</f>
        <v/>
      </c>
      <c r="M25" s="132">
        <f>IF(INDEX(Kalkulasi!$K$772:$K$789,Kalkulasi!$A$803)=0,"",INDEX(Kalkulasi!$X$772:$X$789,Kalkulasi!$A$803))</f>
        <v/>
      </c>
      <c r="N25" s="132">
        <f>IF(INDEX(Kalkulasi!$L$772:$L$789,Kalkulasi!$A$803)=0,"",INDEX(Kalkulasi!$Y$772:$Y$789,Kalkulasi!$A$803))</f>
        <v/>
      </c>
      <c r="O25" s="132">
        <f>IF(INDEX(Kalkulasi!$M$772:$M$789,Kalkulasi!$A$803)=0,"",INDEX(Kalkulasi!$Z$772:$Z$789,Kalkulasi!$A$803))</f>
        <v/>
      </c>
      <c r="P25" s="132">
        <f>IF(INDEX(Kalkulasi!$N$772:$N$789,Kalkulasi!$A$803)=0,"",INDEX(Kalkulasi!$AA$772:$AA$789,Kalkulasi!$A$803))</f>
        <v/>
      </c>
      <c r="Q25" s="132">
        <f>IF(INDEX(Kalkulasi!$O$772:$O$789,Kalkulasi!$A$803)=0,"",INDEX(Kalkulasi!$AB$772:$AB$789,Kalkulasi!$A$803))</f>
        <v/>
      </c>
      <c r="R25" s="94">
        <f>IF(INDEX(Kalkulasi!$BI$772:$BI$789,Kalkulasi!$A$803)&gt;0,INDEX(Kalkulasi!$BE$772:$BE$789,Kalkulasi!$A$803),"")</f>
        <v/>
      </c>
      <c r="S25" s="133">
        <f>IF(INDEX(Kalkulasi!$BI$772:$BI$789,Kalkulasi!$A$803)&gt;0,INDEX(Kalkulasi!$BF$772:$BF$789,Kalkulasi!$A$803),"")</f>
        <v/>
      </c>
      <c r="T25" s="134">
        <f>IF(INDEX(Kalkulasi!$BI$772:$BI$789,Kalkulasi!$A$803)&gt;0,INDEX(Kalkulasi!$BG$772:$BG$789,Kalkulasi!$A$803),"")</f>
        <v/>
      </c>
      <c r="U25" s="135">
        <f>IF(OR(NOT(INDEX(Kalkulasi!$BI$772:$BI$789,Kalkulasi!$A$803)&gt;0),INDEX(Kalkulasi!$BH$772:$BH$789,Kalkulasi!$A$803)=""),"",IF(INDEX(Kalkulasi!$BH$772:$BH$789,Kalkulasi!$A$803)=0,"Pas",IF(INDEX(Kalkulasi!$BH$772:$BH$789,Kalkulasi!$A$803)&gt;0,"+"&amp;INDEX(Kalkulasi!$BH$772:$BH$789,Kalkulasi!$A$803)&amp;" DT",INDEX(Kalkulasi!$BH$772:$BH$789,Kalkulasi!$A$803)&amp;" DT")))</f>
        <v/>
      </c>
      <c r="V25" s="2" t="n"/>
    </row>
    <row r="26" ht="21" customHeight="1">
      <c r="A26" s="1" t="n"/>
      <c r="B26" s="15">
        <f>HYPERLINK("#Panduan!A1","   Panduan")</f>
        <v/>
      </c>
      <c r="C26" s="2" t="n"/>
      <c r="D26" s="122">
        <f>IF(INDEX(Kalkulasi!$BI$772:$BI$789,Kalkulasi!$A$804)&gt;0,INDEX(Kalkulasi!$A$772:$A$789,Kalkulasi!$A$804)&amp;"  "&amp;INDEX(Kalkulasi!$B$772:$B$789,Kalkulasi!$A$804),"")</f>
        <v/>
      </c>
      <c r="F26" s="132">
        <f>IF(INDEX(Kalkulasi!$D$772:$D$789,Kalkulasi!$A$804)=0,"",INDEX(Kalkulasi!$Q$772:$Q$789,Kalkulasi!$A$804))</f>
        <v/>
      </c>
      <c r="G26" s="132">
        <f>IF(INDEX(Kalkulasi!$E$772:$E$789,Kalkulasi!$A$804)=0,"",INDEX(Kalkulasi!$R$772:$R$789,Kalkulasi!$A$804))</f>
        <v/>
      </c>
      <c r="H26" s="132">
        <f>IF(INDEX(Kalkulasi!$F$772:$F$789,Kalkulasi!$A$804)=0,"",INDEX(Kalkulasi!$S$772:$S$789,Kalkulasi!$A$804))</f>
        <v/>
      </c>
      <c r="I26" s="132">
        <f>IF(INDEX(Kalkulasi!$G$772:$G$789,Kalkulasi!$A$804)=0,"",INDEX(Kalkulasi!$T$772:$T$789,Kalkulasi!$A$804))</f>
        <v/>
      </c>
      <c r="J26" s="132">
        <f>IF(INDEX(Kalkulasi!$H$772:$H$789,Kalkulasi!$A$804)=0,"",INDEX(Kalkulasi!$U$772:$U$789,Kalkulasi!$A$804))</f>
        <v/>
      </c>
      <c r="K26" s="132">
        <f>IF(INDEX(Kalkulasi!$I$772:$I$789,Kalkulasi!$A$804)=0,"",INDEX(Kalkulasi!$V$772:$V$789,Kalkulasi!$A$804))</f>
        <v/>
      </c>
      <c r="L26" s="132">
        <f>IF(INDEX(Kalkulasi!$J$772:$J$789,Kalkulasi!$A$804)=0,"",INDEX(Kalkulasi!$W$772:$W$789,Kalkulasi!$A$804))</f>
        <v/>
      </c>
      <c r="M26" s="132">
        <f>IF(INDEX(Kalkulasi!$K$772:$K$789,Kalkulasi!$A$804)=0,"",INDEX(Kalkulasi!$X$772:$X$789,Kalkulasi!$A$804))</f>
        <v/>
      </c>
      <c r="N26" s="132">
        <f>IF(INDEX(Kalkulasi!$L$772:$L$789,Kalkulasi!$A$804)=0,"",INDEX(Kalkulasi!$Y$772:$Y$789,Kalkulasi!$A$804))</f>
        <v/>
      </c>
      <c r="O26" s="132">
        <f>IF(INDEX(Kalkulasi!$M$772:$M$789,Kalkulasi!$A$804)=0,"",INDEX(Kalkulasi!$Z$772:$Z$789,Kalkulasi!$A$804))</f>
        <v/>
      </c>
      <c r="P26" s="132">
        <f>IF(INDEX(Kalkulasi!$N$772:$N$789,Kalkulasi!$A$804)=0,"",INDEX(Kalkulasi!$AA$772:$AA$789,Kalkulasi!$A$804))</f>
        <v/>
      </c>
      <c r="Q26" s="132">
        <f>IF(INDEX(Kalkulasi!$O$772:$O$789,Kalkulasi!$A$804)=0,"",INDEX(Kalkulasi!$AB$772:$AB$789,Kalkulasi!$A$804))</f>
        <v/>
      </c>
      <c r="R26" s="94">
        <f>IF(INDEX(Kalkulasi!$BI$772:$BI$789,Kalkulasi!$A$804)&gt;0,INDEX(Kalkulasi!$BE$772:$BE$789,Kalkulasi!$A$804),"")</f>
        <v/>
      </c>
      <c r="S26" s="133">
        <f>IF(INDEX(Kalkulasi!$BI$772:$BI$789,Kalkulasi!$A$804)&gt;0,INDEX(Kalkulasi!$BF$772:$BF$789,Kalkulasi!$A$804),"")</f>
        <v/>
      </c>
      <c r="T26" s="134">
        <f>IF(INDEX(Kalkulasi!$BI$772:$BI$789,Kalkulasi!$A$804)&gt;0,INDEX(Kalkulasi!$BG$772:$BG$789,Kalkulasi!$A$804),"")</f>
        <v/>
      </c>
      <c r="U26" s="135">
        <f>IF(OR(NOT(INDEX(Kalkulasi!$BI$772:$BI$789,Kalkulasi!$A$804)&gt;0),INDEX(Kalkulasi!$BH$772:$BH$789,Kalkulasi!$A$804)=""),"",IF(INDEX(Kalkulasi!$BH$772:$BH$789,Kalkulasi!$A$804)=0,"Pas",IF(INDEX(Kalkulasi!$BH$772:$BH$789,Kalkulasi!$A$804)&gt;0,"+"&amp;INDEX(Kalkulasi!$BH$772:$BH$789,Kalkulasi!$A$804)&amp;" DT",INDEX(Kalkulasi!$BH$772:$BH$789,Kalkulasi!$A$804)&amp;" DT")))</f>
        <v/>
      </c>
      <c r="V26" s="2" t="n"/>
    </row>
    <row r="27" ht="22" customHeight="1">
      <c r="A27" s="1" t="n"/>
      <c r="B27" s="15">
        <f>HYPERLINK("#Parameter!A1","   Target &amp; parameter")</f>
        <v/>
      </c>
      <c r="C27" s="2" t="n"/>
      <c r="D27" s="32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33" t="n"/>
      <c r="U27" s="34" t="n"/>
      <c r="V27" s="2" t="n"/>
    </row>
    <row r="28" ht="22" customHeight="1">
      <c r="A28" s="1" t="n"/>
      <c r="B28" s="15">
        <f>HYPERLINK("#MASTER_JAM!A1","   Faktor, target &amp; MF")</f>
        <v/>
      </c>
      <c r="C28" s="2" t="n"/>
      <c r="D28" s="136">
        <f>"DT ideal = DT rata-rata ÷ MF (agar MF = 1). Saran = DT ideal − DT rata-rata, dibulatkan. Rit/DT/jam fleet: "&amp;TEXT(Kalkulasi!$B$867,"0.0")</f>
        <v/>
      </c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6" t="n"/>
      <c r="V28" s="2" t="n"/>
    </row>
    <row r="29">
      <c r="A29" s="1" t="n"/>
      <c r="B29" s="1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</row>
    <row r="30" ht="24" customHeight="1">
      <c r="A30" s="1" t="n"/>
      <c r="B30" s="1" t="n"/>
      <c r="C30" s="2" t="n"/>
      <c r="D30" s="29" t="inlineStr">
        <is>
          <t>Menit hilang per jam per kategori</t>
        </is>
      </c>
      <c r="E30" s="30" t="n"/>
      <c r="F30" s="30" t="n"/>
      <c r="G30" s="30" t="n"/>
      <c r="H30" s="30" t="n"/>
      <c r="I30" s="30" t="n"/>
      <c r="J30" s="30" t="n"/>
      <c r="K30" s="30" t="n"/>
      <c r="L30" s="30" t="n"/>
      <c r="M30" s="30" t="n"/>
      <c r="N30" s="31" t="inlineStr">
        <is>
          <t>digger × menit · delay SEMUA dikali jumlah digger aktif</t>
        </is>
      </c>
      <c r="O30" s="29" t="inlineStr">
        <is>
          <t>Hujan vs PTY fleet</t>
        </is>
      </c>
      <c r="P30" s="30" t="n"/>
      <c r="Q30" s="30" t="n"/>
      <c r="R30" s="30" t="n"/>
      <c r="S30" s="30" t="n"/>
      <c r="T30" s="30" t="n"/>
      <c r="U30" s="31" t="inlineStr">
        <is>
          <t>batang = menit hujan+slippery · garis = PTY</t>
        </is>
      </c>
      <c r="V30" s="2" t="n"/>
    </row>
    <row r="31">
      <c r="A31" s="1" t="n"/>
      <c r="B31" s="1" t="n"/>
      <c r="C31" s="2" t="n"/>
      <c r="D31" s="32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4" t="n"/>
      <c r="O31" s="32" t="n"/>
      <c r="P31" s="33" t="n"/>
      <c r="Q31" s="33" t="n"/>
      <c r="R31" s="33" t="n"/>
      <c r="S31" s="33" t="n"/>
      <c r="T31" s="33" t="n"/>
      <c r="U31" s="34" t="n"/>
      <c r="V31" s="2" t="n"/>
    </row>
    <row r="32">
      <c r="A32" s="1" t="n"/>
      <c r="B32" s="1" t="n"/>
      <c r="C32" s="2" t="n"/>
      <c r="D32" s="32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4" t="n"/>
      <c r="O32" s="32" t="n"/>
      <c r="P32" s="33" t="n"/>
      <c r="Q32" s="33" t="n"/>
      <c r="R32" s="33" t="n"/>
      <c r="S32" s="33" t="n"/>
      <c r="T32" s="33" t="n"/>
      <c r="U32" s="34" t="n"/>
      <c r="V32" s="2" t="n"/>
    </row>
    <row r="33">
      <c r="A33" s="1" t="n"/>
      <c r="B33" s="47" t="inlineStr">
        <is>
          <t>Data dummy · Coal Project</t>
        </is>
      </c>
      <c r="C33" s="2" t="n"/>
      <c r="D33" s="32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4" t="n"/>
      <c r="O33" s="32" t="n"/>
      <c r="P33" s="33" t="n"/>
      <c r="Q33" s="33" t="n"/>
      <c r="R33" s="33" t="n"/>
      <c r="S33" s="33" t="n"/>
      <c r="T33" s="33" t="n"/>
      <c r="U33" s="34" t="n"/>
      <c r="V33" s="2" t="n"/>
    </row>
    <row r="34">
      <c r="A34" s="1" t="n"/>
      <c r="B34" s="49" t="inlineStr">
        <is>
          <t>Simulasi unit per shift,</t>
        </is>
      </c>
      <c r="C34" s="2" t="n"/>
      <c r="D34" s="32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4" t="n"/>
      <c r="O34" s="32" t="n"/>
      <c r="P34" s="33" t="n"/>
      <c r="Q34" s="33" t="n"/>
      <c r="R34" s="33" t="n"/>
      <c r="S34" s="33" t="n"/>
      <c r="T34" s="33" t="n"/>
      <c r="U34" s="34" t="n"/>
      <c r="V34" s="2" t="n"/>
    </row>
    <row r="35">
      <c r="A35" s="1" t="n"/>
      <c r="B35" s="49" t="inlineStr">
        <is>
          <t>Maret 2026. Bukan data</t>
        </is>
      </c>
      <c r="C35" s="2" t="n"/>
      <c r="D35" s="32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4" t="n"/>
      <c r="O35" s="32" t="n"/>
      <c r="P35" s="33" t="n"/>
      <c r="Q35" s="33" t="n"/>
      <c r="R35" s="33" t="n"/>
      <c r="S35" s="33" t="n"/>
      <c r="T35" s="33" t="n"/>
      <c r="U35" s="34" t="n"/>
      <c r="V35" s="2" t="n"/>
    </row>
    <row r="36">
      <c r="A36" s="1" t="n"/>
      <c r="B36" s="49" t="inlineStr">
        <is>
          <t>perusahaan mana pun.</t>
        </is>
      </c>
      <c r="C36" s="2" t="n"/>
      <c r="D36" s="32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4" t="n"/>
      <c r="O36" s="32" t="n"/>
      <c r="P36" s="33" t="n"/>
      <c r="Q36" s="33" t="n"/>
      <c r="R36" s="33" t="n"/>
      <c r="S36" s="33" t="n"/>
      <c r="T36" s="33" t="n"/>
      <c r="U36" s="34" t="n"/>
      <c r="V36" s="2" t="n"/>
    </row>
    <row r="37">
      <c r="A37" s="1" t="n"/>
      <c r="B37" s="49" t="inlineStr"/>
      <c r="C37" s="2" t="n"/>
      <c r="D37" s="32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4" t="n"/>
      <c r="O37" s="32" t="n"/>
      <c r="P37" s="33" t="n"/>
      <c r="Q37" s="33" t="n"/>
      <c r="R37" s="33" t="n"/>
      <c r="S37" s="33" t="n"/>
      <c r="T37" s="33" t="n"/>
      <c r="U37" s="34" t="n"/>
      <c r="V37" s="2" t="n"/>
    </row>
    <row r="38">
      <c r="A38" s="1" t="n"/>
      <c r="B38" s="47" t="inlineStr">
        <is>
          <t>Muhammad Rifqi Rizqullah</t>
        </is>
      </c>
      <c r="C38" s="2" t="n"/>
      <c r="D38" s="32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4" t="n"/>
      <c r="O38" s="32" t="n"/>
      <c r="P38" s="33" t="n"/>
      <c r="Q38" s="33" t="n"/>
      <c r="R38" s="33" t="n"/>
      <c r="S38" s="33" t="n"/>
      <c r="T38" s="33" t="n"/>
      <c r="U38" s="34" t="n"/>
      <c r="V38" s="2" t="n"/>
    </row>
    <row r="39">
      <c r="A39" s="1" t="n"/>
      <c r="B39" s="49" t="inlineStr">
        <is>
          <t>Mine Operations Control</t>
        </is>
      </c>
      <c r="C39" s="2" t="n"/>
      <c r="D39" s="32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4" t="n"/>
      <c r="O39" s="32" t="n"/>
      <c r="P39" s="33" t="n"/>
      <c r="Q39" s="33" t="n"/>
      <c r="R39" s="33" t="n"/>
      <c r="S39" s="33" t="n"/>
      <c r="T39" s="33" t="n"/>
      <c r="U39" s="34" t="n"/>
      <c r="V39" s="2" t="n"/>
    </row>
    <row r="40">
      <c r="A40" s="1" t="n"/>
      <c r="B40" s="1" t="n"/>
      <c r="C40" s="2" t="n"/>
      <c r="D40" s="32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4" t="n"/>
      <c r="O40" s="32" t="n"/>
      <c r="P40" s="33" t="n"/>
      <c r="Q40" s="33" t="n"/>
      <c r="R40" s="33" t="n"/>
      <c r="S40" s="33" t="n"/>
      <c r="T40" s="33" t="n"/>
      <c r="U40" s="34" t="n"/>
      <c r="V40" s="2" t="n"/>
    </row>
    <row r="41">
      <c r="A41" s="1" t="n"/>
      <c r="B41" s="1" t="n"/>
      <c r="C41" s="2" t="n"/>
      <c r="D41" s="32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4" t="n"/>
      <c r="O41" s="32" t="n"/>
      <c r="P41" s="33" t="n"/>
      <c r="Q41" s="33" t="n"/>
      <c r="R41" s="33" t="n"/>
      <c r="S41" s="33" t="n"/>
      <c r="T41" s="33" t="n"/>
      <c r="U41" s="34" t="n"/>
      <c r="V41" s="2" t="n"/>
    </row>
    <row r="42">
      <c r="A42" s="1" t="n"/>
      <c r="B42" s="1" t="n"/>
      <c r="C42" s="2" t="n"/>
      <c r="D42" s="32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4" t="n"/>
      <c r="O42" s="32" t="n"/>
      <c r="P42" s="33" t="n"/>
      <c r="Q42" s="33" t="n"/>
      <c r="R42" s="33" t="n"/>
      <c r="S42" s="33" t="n"/>
      <c r="T42" s="33" t="n"/>
      <c r="U42" s="34" t="n"/>
      <c r="V42" s="2" t="n"/>
    </row>
    <row r="43">
      <c r="A43" s="1" t="n"/>
      <c r="B43" s="1" t="n"/>
      <c r="C43" s="2" t="n"/>
      <c r="D43" s="32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4" t="n"/>
      <c r="O43" s="32" t="n"/>
      <c r="P43" s="33" t="n"/>
      <c r="Q43" s="33" t="n"/>
      <c r="R43" s="33" t="n"/>
      <c r="S43" s="33" t="n"/>
      <c r="T43" s="33" t="n"/>
      <c r="U43" s="34" t="n"/>
      <c r="V43" s="2" t="n"/>
    </row>
    <row r="44">
      <c r="A44" s="1" t="n"/>
      <c r="B44" s="1" t="n"/>
      <c r="C44" s="2" t="n"/>
      <c r="D44" s="32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4" t="n"/>
      <c r="O44" s="32" t="n"/>
      <c r="P44" s="33" t="n"/>
      <c r="Q44" s="33" t="n"/>
      <c r="R44" s="33" t="n"/>
      <c r="S44" s="33" t="n"/>
      <c r="T44" s="33" t="n"/>
      <c r="U44" s="34" t="n"/>
      <c r="V44" s="2" t="n"/>
    </row>
    <row r="45">
      <c r="A45" s="1" t="n"/>
      <c r="B45" s="1" t="n"/>
      <c r="C45" s="2" t="n"/>
      <c r="D45" s="32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4" t="n"/>
      <c r="O45" s="32" t="n"/>
      <c r="P45" s="33" t="n"/>
      <c r="Q45" s="33" t="n"/>
      <c r="R45" s="33" t="n"/>
      <c r="S45" s="33" t="n"/>
      <c r="T45" s="33" t="n"/>
      <c r="U45" s="34" t="n"/>
      <c r="V45" s="2" t="n"/>
    </row>
    <row r="46">
      <c r="A46" s="1" t="n"/>
      <c r="B46" s="1" t="n"/>
      <c r="C46" s="2" t="n"/>
      <c r="D46" s="32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4" t="n"/>
      <c r="O46" s="32" t="n"/>
      <c r="P46" s="33" t="n"/>
      <c r="Q46" s="33" t="n"/>
      <c r="R46" s="33" t="n"/>
      <c r="S46" s="33" t="n"/>
      <c r="T46" s="33" t="n"/>
      <c r="U46" s="34" t="n"/>
      <c r="V46" s="2" t="n"/>
    </row>
    <row r="47">
      <c r="A47" s="1" t="n"/>
      <c r="B47" s="1" t="n"/>
      <c r="C47" s="2" t="n"/>
      <c r="D47" s="44" t="n"/>
      <c r="E47" s="45" t="n"/>
      <c r="F47" s="45" t="n"/>
      <c r="G47" s="45" t="n"/>
      <c r="H47" s="45" t="n"/>
      <c r="I47" s="45" t="n"/>
      <c r="J47" s="45" t="n"/>
      <c r="K47" s="45" t="n"/>
      <c r="L47" s="45" t="n"/>
      <c r="M47" s="45" t="n"/>
      <c r="N47" s="46" t="n"/>
      <c r="O47" s="44" t="n"/>
      <c r="P47" s="45" t="n"/>
      <c r="Q47" s="45" t="n"/>
      <c r="R47" s="45" t="n"/>
      <c r="S47" s="45" t="n"/>
      <c r="T47" s="45" t="n"/>
      <c r="U47" s="46" t="n"/>
      <c r="V47" s="2" t="n"/>
    </row>
    <row r="48">
      <c r="A48" s="1" t="n"/>
      <c r="B48" s="1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</row>
    <row r="49" ht="24" customHeight="1">
      <c r="A49" s="1" t="n"/>
      <c r="B49" s="1" t="n"/>
      <c r="C49" s="2" t="n"/>
      <c r="D49" s="29" t="inlineStr">
        <is>
          <t>Delay per digger (menit)</t>
        </is>
      </c>
      <c r="E49" s="30" t="n"/>
      <c r="F49" s="30" t="n"/>
      <c r="G49" s="30" t="n"/>
      <c r="H49" s="30" t="n"/>
      <c r="I49" s="30" t="n"/>
      <c r="J49" s="30" t="n"/>
      <c r="K49" s="30" t="n"/>
      <c r="L49" s="30" t="n"/>
      <c r="M49" s="30" t="n"/>
      <c r="N49" s="30" t="n"/>
      <c r="O49" s="30" t="n"/>
      <c r="P49" s="30" t="n"/>
      <c r="Q49" s="30" t="n"/>
      <c r="R49" s="30" t="n"/>
      <c r="S49" s="30" t="n"/>
      <c r="T49" s="30" t="n"/>
      <c r="U49" s="31" t="inlineStr">
        <is>
          <t>delay unit + delay SEMUA bila digger aktif · urut terbesar</t>
        </is>
      </c>
      <c r="V49" s="2" t="n"/>
    </row>
    <row r="50" ht="20" customHeight="1">
      <c r="A50" s="1" t="n"/>
      <c r="B50" s="1" t="n"/>
      <c r="C50" s="2" t="n"/>
      <c r="D50" s="65" t="inlineStr">
        <is>
          <t>Digger</t>
        </is>
      </c>
      <c r="E50" s="65" t="inlineStr"/>
      <c r="F50" s="66" t="inlineStr">
        <is>
          <t>Rain</t>
        </is>
      </c>
      <c r="G50" s="66" t="inlineStr">
        <is>
          <t>Slippery</t>
        </is>
      </c>
      <c r="H50" s="66" t="inlineStr">
        <is>
          <t>Istirahat</t>
        </is>
      </c>
      <c r="I50" s="66" t="inlineStr">
        <is>
          <t>P2H</t>
        </is>
      </c>
      <c r="J50" s="66" t="inlineStr">
        <is>
          <t>Standby</t>
        </is>
      </c>
      <c r="K50" s="66" t="inlineStr">
        <is>
          <t>Breakdown</t>
        </is>
      </c>
      <c r="L50" s="66" t="inlineStr">
        <is>
          <t>Lainnya</t>
        </is>
      </c>
      <c r="M50" s="66" t="inlineStr"/>
      <c r="N50" s="66" t="inlineStr">
        <is>
          <t>Total</t>
        </is>
      </c>
      <c r="O50" s="66" t="inlineStr"/>
      <c r="P50" s="66" t="inlineStr"/>
      <c r="Q50" s="66" t="inlineStr">
        <is>
          <t>Jam hilang</t>
        </is>
      </c>
      <c r="R50" s="66" t="inlineStr"/>
      <c r="S50" s="33" t="n"/>
      <c r="T50" s="33" t="n"/>
      <c r="U50" s="34" t="n"/>
      <c r="V50" s="2" t="n"/>
    </row>
    <row r="51" ht="18" customHeight="1">
      <c r="A51" s="1" t="n"/>
      <c r="B51" s="1" t="n"/>
      <c r="C51" s="2" t="n"/>
      <c r="D51" s="67">
        <f>IF(INDEX(Kalkulasi!$I$842:$I$859,MATCH(LARGE(Kalkulasi!$J$842:$J$859,1),Kalkulasi!$J$842:$J$859,0))&gt;0,INDEX(Kalkulasi!$A$842:$A$859,MATCH(LARGE(Kalkulasi!$J$842:$J$859,1),Kalkulasi!$J$842:$J$859,0)),"")</f>
        <v/>
      </c>
      <c r="F51" s="137">
        <f>IF(INDEX(Kalkulasi!$I$842:$I$859,MATCH(LARGE(Kalkulasi!$J$842:$J$859,1),Kalkulasi!$J$842:$J$859,0))&gt;0,INDEX(Kalkulasi!$B$842:$B$859,MATCH(LARGE(Kalkulasi!$J$842:$J$859,1),Kalkulasi!$J$842:$J$859,0)),"")</f>
        <v/>
      </c>
      <c r="G51" s="137">
        <f>IF(INDEX(Kalkulasi!$I$842:$I$859,MATCH(LARGE(Kalkulasi!$J$842:$J$859,1),Kalkulasi!$J$842:$J$859,0))&gt;0,INDEX(Kalkulasi!$C$842:$C$859,MATCH(LARGE(Kalkulasi!$J$842:$J$859,1),Kalkulasi!$J$842:$J$859,0)),"")</f>
        <v/>
      </c>
      <c r="H51" s="137">
        <f>IF(INDEX(Kalkulasi!$I$842:$I$859,MATCH(LARGE(Kalkulasi!$J$842:$J$859,1),Kalkulasi!$J$842:$J$859,0))&gt;0,INDEX(Kalkulasi!$D$842:$D$859,MATCH(LARGE(Kalkulasi!$J$842:$J$859,1),Kalkulasi!$J$842:$J$859,0)),"")</f>
        <v/>
      </c>
      <c r="I51" s="137">
        <f>IF(INDEX(Kalkulasi!$I$842:$I$859,MATCH(LARGE(Kalkulasi!$J$842:$J$859,1),Kalkulasi!$J$842:$J$859,0))&gt;0,INDEX(Kalkulasi!$E$842:$E$859,MATCH(LARGE(Kalkulasi!$J$842:$J$859,1),Kalkulasi!$J$842:$J$859,0)),"")</f>
        <v/>
      </c>
      <c r="J51" s="137">
        <f>IF(INDEX(Kalkulasi!$I$842:$I$859,MATCH(LARGE(Kalkulasi!$J$842:$J$859,1),Kalkulasi!$J$842:$J$859,0))&gt;0,INDEX(Kalkulasi!$F$842:$F$859,MATCH(LARGE(Kalkulasi!$J$842:$J$859,1),Kalkulasi!$J$842:$J$859,0)),"")</f>
        <v/>
      </c>
      <c r="K51" s="137">
        <f>IF(INDEX(Kalkulasi!$I$842:$I$859,MATCH(LARGE(Kalkulasi!$J$842:$J$859,1),Kalkulasi!$J$842:$J$859,0))&gt;0,INDEX(Kalkulasi!$G$842:$G$859,MATCH(LARGE(Kalkulasi!$J$842:$J$859,1),Kalkulasi!$J$842:$J$859,0)),"")</f>
        <v/>
      </c>
      <c r="L51" s="137">
        <f>IF(INDEX(Kalkulasi!$I$842:$I$859,MATCH(LARGE(Kalkulasi!$J$842:$J$859,1),Kalkulasi!$J$842:$J$859,0))&gt;0,INDEX(Kalkulasi!$H$842:$H$859,MATCH(LARGE(Kalkulasi!$J$842:$J$859,1),Kalkulasi!$J$842:$J$859,0)),"")</f>
        <v/>
      </c>
      <c r="M51" s="78" t="inlineStr"/>
      <c r="N51" s="110">
        <f>IF(INDEX(Kalkulasi!$I$842:$I$859,MATCH(LARGE(Kalkulasi!$J$842:$J$859,1),Kalkulasi!$J$842:$J$859,0))&gt;0,INDEX(Kalkulasi!$I$842:$I$859,MATCH(LARGE(Kalkulasi!$J$842:$J$859,1),Kalkulasi!$J$842:$J$859,0)),"")</f>
        <v/>
      </c>
      <c r="O51" s="78" t="inlineStr"/>
      <c r="P51" s="78" t="inlineStr"/>
      <c r="Q51" s="138">
        <f>IF(INDEX(Kalkulasi!$I$842:$I$859,MATCH(LARGE(Kalkulasi!$J$842:$J$859,1),Kalkulasi!$J$842:$J$859,0))&gt;0,INDEX(Kalkulasi!$I$842:$I$859,MATCH(LARGE(Kalkulasi!$J$842:$J$859,1),Kalkulasi!$J$842:$J$859,0))/60,"")</f>
        <v/>
      </c>
      <c r="R51" s="78" t="inlineStr"/>
      <c r="S51" s="78" t="inlineStr"/>
      <c r="T51" s="78" t="inlineStr"/>
      <c r="U51" s="78" t="inlineStr"/>
      <c r="V51" s="2" t="n"/>
    </row>
    <row r="52" ht="18" customHeight="1">
      <c r="A52" s="1" t="n"/>
      <c r="B52" s="1" t="n"/>
      <c r="C52" s="2" t="n"/>
      <c r="D52" s="67">
        <f>IF(INDEX(Kalkulasi!$I$842:$I$859,MATCH(LARGE(Kalkulasi!$J$842:$J$859,2),Kalkulasi!$J$842:$J$859,0))&gt;0,INDEX(Kalkulasi!$A$842:$A$859,MATCH(LARGE(Kalkulasi!$J$842:$J$859,2),Kalkulasi!$J$842:$J$859,0)),"")</f>
        <v/>
      </c>
      <c r="F52" s="137">
        <f>IF(INDEX(Kalkulasi!$I$842:$I$859,MATCH(LARGE(Kalkulasi!$J$842:$J$859,2),Kalkulasi!$J$842:$J$859,0))&gt;0,INDEX(Kalkulasi!$B$842:$B$859,MATCH(LARGE(Kalkulasi!$J$842:$J$859,2),Kalkulasi!$J$842:$J$859,0)),"")</f>
        <v/>
      </c>
      <c r="G52" s="137">
        <f>IF(INDEX(Kalkulasi!$I$842:$I$859,MATCH(LARGE(Kalkulasi!$J$842:$J$859,2),Kalkulasi!$J$842:$J$859,0))&gt;0,INDEX(Kalkulasi!$C$842:$C$859,MATCH(LARGE(Kalkulasi!$J$842:$J$859,2),Kalkulasi!$J$842:$J$859,0)),"")</f>
        <v/>
      </c>
      <c r="H52" s="137">
        <f>IF(INDEX(Kalkulasi!$I$842:$I$859,MATCH(LARGE(Kalkulasi!$J$842:$J$859,2),Kalkulasi!$J$842:$J$859,0))&gt;0,INDEX(Kalkulasi!$D$842:$D$859,MATCH(LARGE(Kalkulasi!$J$842:$J$859,2),Kalkulasi!$J$842:$J$859,0)),"")</f>
        <v/>
      </c>
      <c r="I52" s="137">
        <f>IF(INDEX(Kalkulasi!$I$842:$I$859,MATCH(LARGE(Kalkulasi!$J$842:$J$859,2),Kalkulasi!$J$842:$J$859,0))&gt;0,INDEX(Kalkulasi!$E$842:$E$859,MATCH(LARGE(Kalkulasi!$J$842:$J$859,2),Kalkulasi!$J$842:$J$859,0)),"")</f>
        <v/>
      </c>
      <c r="J52" s="137">
        <f>IF(INDEX(Kalkulasi!$I$842:$I$859,MATCH(LARGE(Kalkulasi!$J$842:$J$859,2),Kalkulasi!$J$842:$J$859,0))&gt;0,INDEX(Kalkulasi!$F$842:$F$859,MATCH(LARGE(Kalkulasi!$J$842:$J$859,2),Kalkulasi!$J$842:$J$859,0)),"")</f>
        <v/>
      </c>
      <c r="K52" s="137">
        <f>IF(INDEX(Kalkulasi!$I$842:$I$859,MATCH(LARGE(Kalkulasi!$J$842:$J$859,2),Kalkulasi!$J$842:$J$859,0))&gt;0,INDEX(Kalkulasi!$G$842:$G$859,MATCH(LARGE(Kalkulasi!$J$842:$J$859,2),Kalkulasi!$J$842:$J$859,0)),"")</f>
        <v/>
      </c>
      <c r="L52" s="137">
        <f>IF(INDEX(Kalkulasi!$I$842:$I$859,MATCH(LARGE(Kalkulasi!$J$842:$J$859,2),Kalkulasi!$J$842:$J$859,0))&gt;0,INDEX(Kalkulasi!$H$842:$H$859,MATCH(LARGE(Kalkulasi!$J$842:$J$859,2),Kalkulasi!$J$842:$J$859,0)),"")</f>
        <v/>
      </c>
      <c r="M52" s="78" t="inlineStr"/>
      <c r="N52" s="110">
        <f>IF(INDEX(Kalkulasi!$I$842:$I$859,MATCH(LARGE(Kalkulasi!$J$842:$J$859,2),Kalkulasi!$J$842:$J$859,0))&gt;0,INDEX(Kalkulasi!$I$842:$I$859,MATCH(LARGE(Kalkulasi!$J$842:$J$859,2),Kalkulasi!$J$842:$J$859,0)),"")</f>
        <v/>
      </c>
      <c r="O52" s="78" t="inlineStr"/>
      <c r="P52" s="78" t="inlineStr"/>
      <c r="Q52" s="138">
        <f>IF(INDEX(Kalkulasi!$I$842:$I$859,MATCH(LARGE(Kalkulasi!$J$842:$J$859,2),Kalkulasi!$J$842:$J$859,0))&gt;0,INDEX(Kalkulasi!$I$842:$I$859,MATCH(LARGE(Kalkulasi!$J$842:$J$859,2),Kalkulasi!$J$842:$J$859,0))/60,"")</f>
        <v/>
      </c>
      <c r="R52" s="78" t="inlineStr"/>
      <c r="S52" s="78" t="inlineStr"/>
      <c r="T52" s="78" t="inlineStr"/>
      <c r="U52" s="78" t="inlineStr"/>
      <c r="V52" s="2" t="n"/>
    </row>
    <row r="53" ht="18" customHeight="1">
      <c r="A53" s="1" t="n"/>
      <c r="B53" s="1" t="n"/>
      <c r="C53" s="2" t="n"/>
      <c r="D53" s="67">
        <f>IF(INDEX(Kalkulasi!$I$842:$I$859,MATCH(LARGE(Kalkulasi!$J$842:$J$859,3),Kalkulasi!$J$842:$J$859,0))&gt;0,INDEX(Kalkulasi!$A$842:$A$859,MATCH(LARGE(Kalkulasi!$J$842:$J$859,3),Kalkulasi!$J$842:$J$859,0)),"")</f>
        <v/>
      </c>
      <c r="F53" s="137">
        <f>IF(INDEX(Kalkulasi!$I$842:$I$859,MATCH(LARGE(Kalkulasi!$J$842:$J$859,3),Kalkulasi!$J$842:$J$859,0))&gt;0,INDEX(Kalkulasi!$B$842:$B$859,MATCH(LARGE(Kalkulasi!$J$842:$J$859,3),Kalkulasi!$J$842:$J$859,0)),"")</f>
        <v/>
      </c>
      <c r="G53" s="137">
        <f>IF(INDEX(Kalkulasi!$I$842:$I$859,MATCH(LARGE(Kalkulasi!$J$842:$J$859,3),Kalkulasi!$J$842:$J$859,0))&gt;0,INDEX(Kalkulasi!$C$842:$C$859,MATCH(LARGE(Kalkulasi!$J$842:$J$859,3),Kalkulasi!$J$842:$J$859,0)),"")</f>
        <v/>
      </c>
      <c r="H53" s="137">
        <f>IF(INDEX(Kalkulasi!$I$842:$I$859,MATCH(LARGE(Kalkulasi!$J$842:$J$859,3),Kalkulasi!$J$842:$J$859,0))&gt;0,INDEX(Kalkulasi!$D$842:$D$859,MATCH(LARGE(Kalkulasi!$J$842:$J$859,3),Kalkulasi!$J$842:$J$859,0)),"")</f>
        <v/>
      </c>
      <c r="I53" s="137">
        <f>IF(INDEX(Kalkulasi!$I$842:$I$859,MATCH(LARGE(Kalkulasi!$J$842:$J$859,3),Kalkulasi!$J$842:$J$859,0))&gt;0,INDEX(Kalkulasi!$E$842:$E$859,MATCH(LARGE(Kalkulasi!$J$842:$J$859,3),Kalkulasi!$J$842:$J$859,0)),"")</f>
        <v/>
      </c>
      <c r="J53" s="137">
        <f>IF(INDEX(Kalkulasi!$I$842:$I$859,MATCH(LARGE(Kalkulasi!$J$842:$J$859,3),Kalkulasi!$J$842:$J$859,0))&gt;0,INDEX(Kalkulasi!$F$842:$F$859,MATCH(LARGE(Kalkulasi!$J$842:$J$859,3),Kalkulasi!$J$842:$J$859,0)),"")</f>
        <v/>
      </c>
      <c r="K53" s="137">
        <f>IF(INDEX(Kalkulasi!$I$842:$I$859,MATCH(LARGE(Kalkulasi!$J$842:$J$859,3),Kalkulasi!$J$842:$J$859,0))&gt;0,INDEX(Kalkulasi!$G$842:$G$859,MATCH(LARGE(Kalkulasi!$J$842:$J$859,3),Kalkulasi!$J$842:$J$859,0)),"")</f>
        <v/>
      </c>
      <c r="L53" s="137">
        <f>IF(INDEX(Kalkulasi!$I$842:$I$859,MATCH(LARGE(Kalkulasi!$J$842:$J$859,3),Kalkulasi!$J$842:$J$859,0))&gt;0,INDEX(Kalkulasi!$H$842:$H$859,MATCH(LARGE(Kalkulasi!$J$842:$J$859,3),Kalkulasi!$J$842:$J$859,0)),"")</f>
        <v/>
      </c>
      <c r="M53" s="78" t="inlineStr"/>
      <c r="N53" s="110">
        <f>IF(INDEX(Kalkulasi!$I$842:$I$859,MATCH(LARGE(Kalkulasi!$J$842:$J$859,3),Kalkulasi!$J$842:$J$859,0))&gt;0,INDEX(Kalkulasi!$I$842:$I$859,MATCH(LARGE(Kalkulasi!$J$842:$J$859,3),Kalkulasi!$J$842:$J$859,0)),"")</f>
        <v/>
      </c>
      <c r="O53" s="78" t="inlineStr"/>
      <c r="P53" s="78" t="inlineStr"/>
      <c r="Q53" s="138">
        <f>IF(INDEX(Kalkulasi!$I$842:$I$859,MATCH(LARGE(Kalkulasi!$J$842:$J$859,3),Kalkulasi!$J$842:$J$859,0))&gt;0,INDEX(Kalkulasi!$I$842:$I$859,MATCH(LARGE(Kalkulasi!$J$842:$J$859,3),Kalkulasi!$J$842:$J$859,0))/60,"")</f>
        <v/>
      </c>
      <c r="R53" s="78" t="inlineStr"/>
      <c r="S53" s="78" t="inlineStr"/>
      <c r="T53" s="78" t="inlineStr"/>
      <c r="U53" s="78" t="inlineStr"/>
      <c r="V53" s="2" t="n"/>
    </row>
    <row r="54" ht="18" customHeight="1">
      <c r="A54" s="1" t="n"/>
      <c r="B54" s="1" t="n"/>
      <c r="C54" s="2" t="n"/>
      <c r="D54" s="67">
        <f>IF(INDEX(Kalkulasi!$I$842:$I$859,MATCH(LARGE(Kalkulasi!$J$842:$J$859,4),Kalkulasi!$J$842:$J$859,0))&gt;0,INDEX(Kalkulasi!$A$842:$A$859,MATCH(LARGE(Kalkulasi!$J$842:$J$859,4),Kalkulasi!$J$842:$J$859,0)),"")</f>
        <v/>
      </c>
      <c r="F54" s="137">
        <f>IF(INDEX(Kalkulasi!$I$842:$I$859,MATCH(LARGE(Kalkulasi!$J$842:$J$859,4),Kalkulasi!$J$842:$J$859,0))&gt;0,INDEX(Kalkulasi!$B$842:$B$859,MATCH(LARGE(Kalkulasi!$J$842:$J$859,4),Kalkulasi!$J$842:$J$859,0)),"")</f>
        <v/>
      </c>
      <c r="G54" s="137">
        <f>IF(INDEX(Kalkulasi!$I$842:$I$859,MATCH(LARGE(Kalkulasi!$J$842:$J$859,4),Kalkulasi!$J$842:$J$859,0))&gt;0,INDEX(Kalkulasi!$C$842:$C$859,MATCH(LARGE(Kalkulasi!$J$842:$J$859,4),Kalkulasi!$J$842:$J$859,0)),"")</f>
        <v/>
      </c>
      <c r="H54" s="137">
        <f>IF(INDEX(Kalkulasi!$I$842:$I$859,MATCH(LARGE(Kalkulasi!$J$842:$J$859,4),Kalkulasi!$J$842:$J$859,0))&gt;0,INDEX(Kalkulasi!$D$842:$D$859,MATCH(LARGE(Kalkulasi!$J$842:$J$859,4),Kalkulasi!$J$842:$J$859,0)),"")</f>
        <v/>
      </c>
      <c r="I54" s="137">
        <f>IF(INDEX(Kalkulasi!$I$842:$I$859,MATCH(LARGE(Kalkulasi!$J$842:$J$859,4),Kalkulasi!$J$842:$J$859,0))&gt;0,INDEX(Kalkulasi!$E$842:$E$859,MATCH(LARGE(Kalkulasi!$J$842:$J$859,4),Kalkulasi!$J$842:$J$859,0)),"")</f>
        <v/>
      </c>
      <c r="J54" s="137">
        <f>IF(INDEX(Kalkulasi!$I$842:$I$859,MATCH(LARGE(Kalkulasi!$J$842:$J$859,4),Kalkulasi!$J$842:$J$859,0))&gt;0,INDEX(Kalkulasi!$F$842:$F$859,MATCH(LARGE(Kalkulasi!$J$842:$J$859,4),Kalkulasi!$J$842:$J$859,0)),"")</f>
        <v/>
      </c>
      <c r="K54" s="137">
        <f>IF(INDEX(Kalkulasi!$I$842:$I$859,MATCH(LARGE(Kalkulasi!$J$842:$J$859,4),Kalkulasi!$J$842:$J$859,0))&gt;0,INDEX(Kalkulasi!$G$842:$G$859,MATCH(LARGE(Kalkulasi!$J$842:$J$859,4),Kalkulasi!$J$842:$J$859,0)),"")</f>
        <v/>
      </c>
      <c r="L54" s="137">
        <f>IF(INDEX(Kalkulasi!$I$842:$I$859,MATCH(LARGE(Kalkulasi!$J$842:$J$859,4),Kalkulasi!$J$842:$J$859,0))&gt;0,INDEX(Kalkulasi!$H$842:$H$859,MATCH(LARGE(Kalkulasi!$J$842:$J$859,4),Kalkulasi!$J$842:$J$859,0)),"")</f>
        <v/>
      </c>
      <c r="M54" s="78" t="inlineStr"/>
      <c r="N54" s="110">
        <f>IF(INDEX(Kalkulasi!$I$842:$I$859,MATCH(LARGE(Kalkulasi!$J$842:$J$859,4),Kalkulasi!$J$842:$J$859,0))&gt;0,INDEX(Kalkulasi!$I$842:$I$859,MATCH(LARGE(Kalkulasi!$J$842:$J$859,4),Kalkulasi!$J$842:$J$859,0)),"")</f>
        <v/>
      </c>
      <c r="O54" s="78" t="inlineStr"/>
      <c r="P54" s="78" t="inlineStr"/>
      <c r="Q54" s="138">
        <f>IF(INDEX(Kalkulasi!$I$842:$I$859,MATCH(LARGE(Kalkulasi!$J$842:$J$859,4),Kalkulasi!$J$842:$J$859,0))&gt;0,INDEX(Kalkulasi!$I$842:$I$859,MATCH(LARGE(Kalkulasi!$J$842:$J$859,4),Kalkulasi!$J$842:$J$859,0))/60,"")</f>
        <v/>
      </c>
      <c r="R54" s="78" t="inlineStr"/>
      <c r="S54" s="78" t="inlineStr"/>
      <c r="T54" s="78" t="inlineStr"/>
      <c r="U54" s="78" t="inlineStr"/>
      <c r="V54" s="2" t="n"/>
    </row>
    <row r="55" ht="18" customHeight="1">
      <c r="A55" s="1" t="n"/>
      <c r="B55" s="1" t="n"/>
      <c r="C55" s="2" t="n"/>
      <c r="D55" s="67">
        <f>IF(INDEX(Kalkulasi!$I$842:$I$859,MATCH(LARGE(Kalkulasi!$J$842:$J$859,5),Kalkulasi!$J$842:$J$859,0))&gt;0,INDEX(Kalkulasi!$A$842:$A$859,MATCH(LARGE(Kalkulasi!$J$842:$J$859,5),Kalkulasi!$J$842:$J$859,0)),"")</f>
        <v/>
      </c>
      <c r="F55" s="137">
        <f>IF(INDEX(Kalkulasi!$I$842:$I$859,MATCH(LARGE(Kalkulasi!$J$842:$J$859,5),Kalkulasi!$J$842:$J$859,0))&gt;0,INDEX(Kalkulasi!$B$842:$B$859,MATCH(LARGE(Kalkulasi!$J$842:$J$859,5),Kalkulasi!$J$842:$J$859,0)),"")</f>
        <v/>
      </c>
      <c r="G55" s="137">
        <f>IF(INDEX(Kalkulasi!$I$842:$I$859,MATCH(LARGE(Kalkulasi!$J$842:$J$859,5),Kalkulasi!$J$842:$J$859,0))&gt;0,INDEX(Kalkulasi!$C$842:$C$859,MATCH(LARGE(Kalkulasi!$J$842:$J$859,5),Kalkulasi!$J$842:$J$859,0)),"")</f>
        <v/>
      </c>
      <c r="H55" s="137">
        <f>IF(INDEX(Kalkulasi!$I$842:$I$859,MATCH(LARGE(Kalkulasi!$J$842:$J$859,5),Kalkulasi!$J$842:$J$859,0))&gt;0,INDEX(Kalkulasi!$D$842:$D$859,MATCH(LARGE(Kalkulasi!$J$842:$J$859,5),Kalkulasi!$J$842:$J$859,0)),"")</f>
        <v/>
      </c>
      <c r="I55" s="137">
        <f>IF(INDEX(Kalkulasi!$I$842:$I$859,MATCH(LARGE(Kalkulasi!$J$842:$J$859,5),Kalkulasi!$J$842:$J$859,0))&gt;0,INDEX(Kalkulasi!$E$842:$E$859,MATCH(LARGE(Kalkulasi!$J$842:$J$859,5),Kalkulasi!$J$842:$J$859,0)),"")</f>
        <v/>
      </c>
      <c r="J55" s="137">
        <f>IF(INDEX(Kalkulasi!$I$842:$I$859,MATCH(LARGE(Kalkulasi!$J$842:$J$859,5),Kalkulasi!$J$842:$J$859,0))&gt;0,INDEX(Kalkulasi!$F$842:$F$859,MATCH(LARGE(Kalkulasi!$J$842:$J$859,5),Kalkulasi!$J$842:$J$859,0)),"")</f>
        <v/>
      </c>
      <c r="K55" s="137">
        <f>IF(INDEX(Kalkulasi!$I$842:$I$859,MATCH(LARGE(Kalkulasi!$J$842:$J$859,5),Kalkulasi!$J$842:$J$859,0))&gt;0,INDEX(Kalkulasi!$G$842:$G$859,MATCH(LARGE(Kalkulasi!$J$842:$J$859,5),Kalkulasi!$J$842:$J$859,0)),"")</f>
        <v/>
      </c>
      <c r="L55" s="137">
        <f>IF(INDEX(Kalkulasi!$I$842:$I$859,MATCH(LARGE(Kalkulasi!$J$842:$J$859,5),Kalkulasi!$J$842:$J$859,0))&gt;0,INDEX(Kalkulasi!$H$842:$H$859,MATCH(LARGE(Kalkulasi!$J$842:$J$859,5),Kalkulasi!$J$842:$J$859,0)),"")</f>
        <v/>
      </c>
      <c r="M55" s="78" t="inlineStr"/>
      <c r="N55" s="110">
        <f>IF(INDEX(Kalkulasi!$I$842:$I$859,MATCH(LARGE(Kalkulasi!$J$842:$J$859,5),Kalkulasi!$J$842:$J$859,0))&gt;0,INDEX(Kalkulasi!$I$842:$I$859,MATCH(LARGE(Kalkulasi!$J$842:$J$859,5),Kalkulasi!$J$842:$J$859,0)),"")</f>
        <v/>
      </c>
      <c r="O55" s="78" t="inlineStr"/>
      <c r="P55" s="78" t="inlineStr"/>
      <c r="Q55" s="138">
        <f>IF(INDEX(Kalkulasi!$I$842:$I$859,MATCH(LARGE(Kalkulasi!$J$842:$J$859,5),Kalkulasi!$J$842:$J$859,0))&gt;0,INDEX(Kalkulasi!$I$842:$I$859,MATCH(LARGE(Kalkulasi!$J$842:$J$859,5),Kalkulasi!$J$842:$J$859,0))/60,"")</f>
        <v/>
      </c>
      <c r="R55" s="78" t="inlineStr"/>
      <c r="S55" s="78" t="inlineStr"/>
      <c r="T55" s="78" t="inlineStr"/>
      <c r="U55" s="78" t="inlineStr"/>
      <c r="V55" s="2" t="n"/>
    </row>
    <row r="56" ht="18" customHeight="1">
      <c r="A56" s="1" t="n"/>
      <c r="B56" s="1" t="n"/>
      <c r="C56" s="2" t="n"/>
      <c r="D56" s="67">
        <f>IF(INDEX(Kalkulasi!$I$842:$I$859,MATCH(LARGE(Kalkulasi!$J$842:$J$859,6),Kalkulasi!$J$842:$J$859,0))&gt;0,INDEX(Kalkulasi!$A$842:$A$859,MATCH(LARGE(Kalkulasi!$J$842:$J$859,6),Kalkulasi!$J$842:$J$859,0)),"")</f>
        <v/>
      </c>
      <c r="F56" s="137">
        <f>IF(INDEX(Kalkulasi!$I$842:$I$859,MATCH(LARGE(Kalkulasi!$J$842:$J$859,6),Kalkulasi!$J$842:$J$859,0))&gt;0,INDEX(Kalkulasi!$B$842:$B$859,MATCH(LARGE(Kalkulasi!$J$842:$J$859,6),Kalkulasi!$J$842:$J$859,0)),"")</f>
        <v/>
      </c>
      <c r="G56" s="137">
        <f>IF(INDEX(Kalkulasi!$I$842:$I$859,MATCH(LARGE(Kalkulasi!$J$842:$J$859,6),Kalkulasi!$J$842:$J$859,0))&gt;0,INDEX(Kalkulasi!$C$842:$C$859,MATCH(LARGE(Kalkulasi!$J$842:$J$859,6),Kalkulasi!$J$842:$J$859,0)),"")</f>
        <v/>
      </c>
      <c r="H56" s="137">
        <f>IF(INDEX(Kalkulasi!$I$842:$I$859,MATCH(LARGE(Kalkulasi!$J$842:$J$859,6),Kalkulasi!$J$842:$J$859,0))&gt;0,INDEX(Kalkulasi!$D$842:$D$859,MATCH(LARGE(Kalkulasi!$J$842:$J$859,6),Kalkulasi!$J$842:$J$859,0)),"")</f>
        <v/>
      </c>
      <c r="I56" s="137">
        <f>IF(INDEX(Kalkulasi!$I$842:$I$859,MATCH(LARGE(Kalkulasi!$J$842:$J$859,6),Kalkulasi!$J$842:$J$859,0))&gt;0,INDEX(Kalkulasi!$E$842:$E$859,MATCH(LARGE(Kalkulasi!$J$842:$J$859,6),Kalkulasi!$J$842:$J$859,0)),"")</f>
        <v/>
      </c>
      <c r="J56" s="137">
        <f>IF(INDEX(Kalkulasi!$I$842:$I$859,MATCH(LARGE(Kalkulasi!$J$842:$J$859,6),Kalkulasi!$J$842:$J$859,0))&gt;0,INDEX(Kalkulasi!$F$842:$F$859,MATCH(LARGE(Kalkulasi!$J$842:$J$859,6),Kalkulasi!$J$842:$J$859,0)),"")</f>
        <v/>
      </c>
      <c r="K56" s="137">
        <f>IF(INDEX(Kalkulasi!$I$842:$I$859,MATCH(LARGE(Kalkulasi!$J$842:$J$859,6),Kalkulasi!$J$842:$J$859,0))&gt;0,INDEX(Kalkulasi!$G$842:$G$859,MATCH(LARGE(Kalkulasi!$J$842:$J$859,6),Kalkulasi!$J$842:$J$859,0)),"")</f>
        <v/>
      </c>
      <c r="L56" s="137">
        <f>IF(INDEX(Kalkulasi!$I$842:$I$859,MATCH(LARGE(Kalkulasi!$J$842:$J$859,6),Kalkulasi!$J$842:$J$859,0))&gt;0,INDEX(Kalkulasi!$H$842:$H$859,MATCH(LARGE(Kalkulasi!$J$842:$J$859,6),Kalkulasi!$J$842:$J$859,0)),"")</f>
        <v/>
      </c>
      <c r="M56" s="78" t="inlineStr"/>
      <c r="N56" s="110">
        <f>IF(INDEX(Kalkulasi!$I$842:$I$859,MATCH(LARGE(Kalkulasi!$J$842:$J$859,6),Kalkulasi!$J$842:$J$859,0))&gt;0,INDEX(Kalkulasi!$I$842:$I$859,MATCH(LARGE(Kalkulasi!$J$842:$J$859,6),Kalkulasi!$J$842:$J$859,0)),"")</f>
        <v/>
      </c>
      <c r="O56" s="78" t="inlineStr"/>
      <c r="P56" s="78" t="inlineStr"/>
      <c r="Q56" s="138">
        <f>IF(INDEX(Kalkulasi!$I$842:$I$859,MATCH(LARGE(Kalkulasi!$J$842:$J$859,6),Kalkulasi!$J$842:$J$859,0))&gt;0,INDEX(Kalkulasi!$I$842:$I$859,MATCH(LARGE(Kalkulasi!$J$842:$J$859,6),Kalkulasi!$J$842:$J$859,0))/60,"")</f>
        <v/>
      </c>
      <c r="R56" s="78" t="inlineStr"/>
      <c r="S56" s="78" t="inlineStr"/>
      <c r="T56" s="78" t="inlineStr"/>
      <c r="U56" s="78" t="inlineStr"/>
      <c r="V56" s="2" t="n"/>
    </row>
    <row r="57" ht="18" customHeight="1">
      <c r="A57" s="1" t="n"/>
      <c r="B57" s="1" t="n"/>
      <c r="C57" s="2" t="n"/>
      <c r="D57" s="67">
        <f>IF(INDEX(Kalkulasi!$I$842:$I$859,MATCH(LARGE(Kalkulasi!$J$842:$J$859,7),Kalkulasi!$J$842:$J$859,0))&gt;0,INDEX(Kalkulasi!$A$842:$A$859,MATCH(LARGE(Kalkulasi!$J$842:$J$859,7),Kalkulasi!$J$842:$J$859,0)),"")</f>
        <v/>
      </c>
      <c r="F57" s="137">
        <f>IF(INDEX(Kalkulasi!$I$842:$I$859,MATCH(LARGE(Kalkulasi!$J$842:$J$859,7),Kalkulasi!$J$842:$J$859,0))&gt;0,INDEX(Kalkulasi!$B$842:$B$859,MATCH(LARGE(Kalkulasi!$J$842:$J$859,7),Kalkulasi!$J$842:$J$859,0)),"")</f>
        <v/>
      </c>
      <c r="G57" s="137">
        <f>IF(INDEX(Kalkulasi!$I$842:$I$859,MATCH(LARGE(Kalkulasi!$J$842:$J$859,7),Kalkulasi!$J$842:$J$859,0))&gt;0,INDEX(Kalkulasi!$C$842:$C$859,MATCH(LARGE(Kalkulasi!$J$842:$J$859,7),Kalkulasi!$J$842:$J$859,0)),"")</f>
        <v/>
      </c>
      <c r="H57" s="137">
        <f>IF(INDEX(Kalkulasi!$I$842:$I$859,MATCH(LARGE(Kalkulasi!$J$842:$J$859,7),Kalkulasi!$J$842:$J$859,0))&gt;0,INDEX(Kalkulasi!$D$842:$D$859,MATCH(LARGE(Kalkulasi!$J$842:$J$859,7),Kalkulasi!$J$842:$J$859,0)),"")</f>
        <v/>
      </c>
      <c r="I57" s="137">
        <f>IF(INDEX(Kalkulasi!$I$842:$I$859,MATCH(LARGE(Kalkulasi!$J$842:$J$859,7),Kalkulasi!$J$842:$J$859,0))&gt;0,INDEX(Kalkulasi!$E$842:$E$859,MATCH(LARGE(Kalkulasi!$J$842:$J$859,7),Kalkulasi!$J$842:$J$859,0)),"")</f>
        <v/>
      </c>
      <c r="J57" s="137">
        <f>IF(INDEX(Kalkulasi!$I$842:$I$859,MATCH(LARGE(Kalkulasi!$J$842:$J$859,7),Kalkulasi!$J$842:$J$859,0))&gt;0,INDEX(Kalkulasi!$F$842:$F$859,MATCH(LARGE(Kalkulasi!$J$842:$J$859,7),Kalkulasi!$J$842:$J$859,0)),"")</f>
        <v/>
      </c>
      <c r="K57" s="137">
        <f>IF(INDEX(Kalkulasi!$I$842:$I$859,MATCH(LARGE(Kalkulasi!$J$842:$J$859,7),Kalkulasi!$J$842:$J$859,0))&gt;0,INDEX(Kalkulasi!$G$842:$G$859,MATCH(LARGE(Kalkulasi!$J$842:$J$859,7),Kalkulasi!$J$842:$J$859,0)),"")</f>
        <v/>
      </c>
      <c r="L57" s="137">
        <f>IF(INDEX(Kalkulasi!$I$842:$I$859,MATCH(LARGE(Kalkulasi!$J$842:$J$859,7),Kalkulasi!$J$842:$J$859,0))&gt;0,INDEX(Kalkulasi!$H$842:$H$859,MATCH(LARGE(Kalkulasi!$J$842:$J$859,7),Kalkulasi!$J$842:$J$859,0)),"")</f>
        <v/>
      </c>
      <c r="M57" s="78" t="inlineStr"/>
      <c r="N57" s="110">
        <f>IF(INDEX(Kalkulasi!$I$842:$I$859,MATCH(LARGE(Kalkulasi!$J$842:$J$859,7),Kalkulasi!$J$842:$J$859,0))&gt;0,INDEX(Kalkulasi!$I$842:$I$859,MATCH(LARGE(Kalkulasi!$J$842:$J$859,7),Kalkulasi!$J$842:$J$859,0)),"")</f>
        <v/>
      </c>
      <c r="O57" s="78" t="inlineStr"/>
      <c r="P57" s="78" t="inlineStr"/>
      <c r="Q57" s="138">
        <f>IF(INDEX(Kalkulasi!$I$842:$I$859,MATCH(LARGE(Kalkulasi!$J$842:$J$859,7),Kalkulasi!$J$842:$J$859,0))&gt;0,INDEX(Kalkulasi!$I$842:$I$859,MATCH(LARGE(Kalkulasi!$J$842:$J$859,7),Kalkulasi!$J$842:$J$859,0))/60,"")</f>
        <v/>
      </c>
      <c r="R57" s="78" t="inlineStr"/>
      <c r="S57" s="78" t="inlineStr"/>
      <c r="T57" s="78" t="inlineStr"/>
      <c r="U57" s="78" t="inlineStr"/>
      <c r="V57" s="2" t="n"/>
    </row>
    <row r="58" ht="18" customHeight="1">
      <c r="A58" s="1" t="n"/>
      <c r="B58" s="1" t="n"/>
      <c r="C58" s="2" t="n"/>
      <c r="D58" s="67">
        <f>IF(INDEX(Kalkulasi!$I$842:$I$859,MATCH(LARGE(Kalkulasi!$J$842:$J$859,8),Kalkulasi!$J$842:$J$859,0))&gt;0,INDEX(Kalkulasi!$A$842:$A$859,MATCH(LARGE(Kalkulasi!$J$842:$J$859,8),Kalkulasi!$J$842:$J$859,0)),"")</f>
        <v/>
      </c>
      <c r="F58" s="137">
        <f>IF(INDEX(Kalkulasi!$I$842:$I$859,MATCH(LARGE(Kalkulasi!$J$842:$J$859,8),Kalkulasi!$J$842:$J$859,0))&gt;0,INDEX(Kalkulasi!$B$842:$B$859,MATCH(LARGE(Kalkulasi!$J$842:$J$859,8),Kalkulasi!$J$842:$J$859,0)),"")</f>
        <v/>
      </c>
      <c r="G58" s="137">
        <f>IF(INDEX(Kalkulasi!$I$842:$I$859,MATCH(LARGE(Kalkulasi!$J$842:$J$859,8),Kalkulasi!$J$842:$J$859,0))&gt;0,INDEX(Kalkulasi!$C$842:$C$859,MATCH(LARGE(Kalkulasi!$J$842:$J$859,8),Kalkulasi!$J$842:$J$859,0)),"")</f>
        <v/>
      </c>
      <c r="H58" s="137">
        <f>IF(INDEX(Kalkulasi!$I$842:$I$859,MATCH(LARGE(Kalkulasi!$J$842:$J$859,8),Kalkulasi!$J$842:$J$859,0))&gt;0,INDEX(Kalkulasi!$D$842:$D$859,MATCH(LARGE(Kalkulasi!$J$842:$J$859,8),Kalkulasi!$J$842:$J$859,0)),"")</f>
        <v/>
      </c>
      <c r="I58" s="137">
        <f>IF(INDEX(Kalkulasi!$I$842:$I$859,MATCH(LARGE(Kalkulasi!$J$842:$J$859,8),Kalkulasi!$J$842:$J$859,0))&gt;0,INDEX(Kalkulasi!$E$842:$E$859,MATCH(LARGE(Kalkulasi!$J$842:$J$859,8),Kalkulasi!$J$842:$J$859,0)),"")</f>
        <v/>
      </c>
      <c r="J58" s="137">
        <f>IF(INDEX(Kalkulasi!$I$842:$I$859,MATCH(LARGE(Kalkulasi!$J$842:$J$859,8),Kalkulasi!$J$842:$J$859,0))&gt;0,INDEX(Kalkulasi!$F$842:$F$859,MATCH(LARGE(Kalkulasi!$J$842:$J$859,8),Kalkulasi!$J$842:$J$859,0)),"")</f>
        <v/>
      </c>
      <c r="K58" s="137">
        <f>IF(INDEX(Kalkulasi!$I$842:$I$859,MATCH(LARGE(Kalkulasi!$J$842:$J$859,8),Kalkulasi!$J$842:$J$859,0))&gt;0,INDEX(Kalkulasi!$G$842:$G$859,MATCH(LARGE(Kalkulasi!$J$842:$J$859,8),Kalkulasi!$J$842:$J$859,0)),"")</f>
        <v/>
      </c>
      <c r="L58" s="137">
        <f>IF(INDEX(Kalkulasi!$I$842:$I$859,MATCH(LARGE(Kalkulasi!$J$842:$J$859,8),Kalkulasi!$J$842:$J$859,0))&gt;0,INDEX(Kalkulasi!$H$842:$H$859,MATCH(LARGE(Kalkulasi!$J$842:$J$859,8),Kalkulasi!$J$842:$J$859,0)),"")</f>
        <v/>
      </c>
      <c r="M58" s="78" t="inlineStr"/>
      <c r="N58" s="110">
        <f>IF(INDEX(Kalkulasi!$I$842:$I$859,MATCH(LARGE(Kalkulasi!$J$842:$J$859,8),Kalkulasi!$J$842:$J$859,0))&gt;0,INDEX(Kalkulasi!$I$842:$I$859,MATCH(LARGE(Kalkulasi!$J$842:$J$859,8),Kalkulasi!$J$842:$J$859,0)),"")</f>
        <v/>
      </c>
      <c r="O58" s="78" t="inlineStr"/>
      <c r="P58" s="78" t="inlineStr"/>
      <c r="Q58" s="138">
        <f>IF(INDEX(Kalkulasi!$I$842:$I$859,MATCH(LARGE(Kalkulasi!$J$842:$J$859,8),Kalkulasi!$J$842:$J$859,0))&gt;0,INDEX(Kalkulasi!$I$842:$I$859,MATCH(LARGE(Kalkulasi!$J$842:$J$859,8),Kalkulasi!$J$842:$J$859,0))/60,"")</f>
        <v/>
      </c>
      <c r="R58" s="78" t="inlineStr"/>
      <c r="S58" s="78" t="inlineStr"/>
      <c r="T58" s="78" t="inlineStr"/>
      <c r="U58" s="78" t="inlineStr"/>
      <c r="V58" s="2" t="n"/>
    </row>
    <row r="59" ht="18" customHeight="1">
      <c r="A59" s="1" t="n"/>
      <c r="B59" s="1" t="n"/>
      <c r="C59" s="2" t="n"/>
      <c r="D59" s="67">
        <f>IF(INDEX(Kalkulasi!$I$842:$I$859,MATCH(LARGE(Kalkulasi!$J$842:$J$859,9),Kalkulasi!$J$842:$J$859,0))&gt;0,INDEX(Kalkulasi!$A$842:$A$859,MATCH(LARGE(Kalkulasi!$J$842:$J$859,9),Kalkulasi!$J$842:$J$859,0)),"")</f>
        <v/>
      </c>
      <c r="F59" s="137">
        <f>IF(INDEX(Kalkulasi!$I$842:$I$859,MATCH(LARGE(Kalkulasi!$J$842:$J$859,9),Kalkulasi!$J$842:$J$859,0))&gt;0,INDEX(Kalkulasi!$B$842:$B$859,MATCH(LARGE(Kalkulasi!$J$842:$J$859,9),Kalkulasi!$J$842:$J$859,0)),"")</f>
        <v/>
      </c>
      <c r="G59" s="137">
        <f>IF(INDEX(Kalkulasi!$I$842:$I$859,MATCH(LARGE(Kalkulasi!$J$842:$J$859,9),Kalkulasi!$J$842:$J$859,0))&gt;0,INDEX(Kalkulasi!$C$842:$C$859,MATCH(LARGE(Kalkulasi!$J$842:$J$859,9),Kalkulasi!$J$842:$J$859,0)),"")</f>
        <v/>
      </c>
      <c r="H59" s="137">
        <f>IF(INDEX(Kalkulasi!$I$842:$I$859,MATCH(LARGE(Kalkulasi!$J$842:$J$859,9),Kalkulasi!$J$842:$J$859,0))&gt;0,INDEX(Kalkulasi!$D$842:$D$859,MATCH(LARGE(Kalkulasi!$J$842:$J$859,9),Kalkulasi!$J$842:$J$859,0)),"")</f>
        <v/>
      </c>
      <c r="I59" s="137">
        <f>IF(INDEX(Kalkulasi!$I$842:$I$859,MATCH(LARGE(Kalkulasi!$J$842:$J$859,9),Kalkulasi!$J$842:$J$859,0))&gt;0,INDEX(Kalkulasi!$E$842:$E$859,MATCH(LARGE(Kalkulasi!$J$842:$J$859,9),Kalkulasi!$J$842:$J$859,0)),"")</f>
        <v/>
      </c>
      <c r="J59" s="137">
        <f>IF(INDEX(Kalkulasi!$I$842:$I$859,MATCH(LARGE(Kalkulasi!$J$842:$J$859,9),Kalkulasi!$J$842:$J$859,0))&gt;0,INDEX(Kalkulasi!$F$842:$F$859,MATCH(LARGE(Kalkulasi!$J$842:$J$859,9),Kalkulasi!$J$842:$J$859,0)),"")</f>
        <v/>
      </c>
      <c r="K59" s="137">
        <f>IF(INDEX(Kalkulasi!$I$842:$I$859,MATCH(LARGE(Kalkulasi!$J$842:$J$859,9),Kalkulasi!$J$842:$J$859,0))&gt;0,INDEX(Kalkulasi!$G$842:$G$859,MATCH(LARGE(Kalkulasi!$J$842:$J$859,9),Kalkulasi!$J$842:$J$859,0)),"")</f>
        <v/>
      </c>
      <c r="L59" s="137">
        <f>IF(INDEX(Kalkulasi!$I$842:$I$859,MATCH(LARGE(Kalkulasi!$J$842:$J$859,9),Kalkulasi!$J$842:$J$859,0))&gt;0,INDEX(Kalkulasi!$H$842:$H$859,MATCH(LARGE(Kalkulasi!$J$842:$J$859,9),Kalkulasi!$J$842:$J$859,0)),"")</f>
        <v/>
      </c>
      <c r="M59" s="78" t="inlineStr"/>
      <c r="N59" s="110">
        <f>IF(INDEX(Kalkulasi!$I$842:$I$859,MATCH(LARGE(Kalkulasi!$J$842:$J$859,9),Kalkulasi!$J$842:$J$859,0))&gt;0,INDEX(Kalkulasi!$I$842:$I$859,MATCH(LARGE(Kalkulasi!$J$842:$J$859,9),Kalkulasi!$J$842:$J$859,0)),"")</f>
        <v/>
      </c>
      <c r="O59" s="78" t="inlineStr"/>
      <c r="P59" s="78" t="inlineStr"/>
      <c r="Q59" s="138">
        <f>IF(INDEX(Kalkulasi!$I$842:$I$859,MATCH(LARGE(Kalkulasi!$J$842:$J$859,9),Kalkulasi!$J$842:$J$859,0))&gt;0,INDEX(Kalkulasi!$I$842:$I$859,MATCH(LARGE(Kalkulasi!$J$842:$J$859,9),Kalkulasi!$J$842:$J$859,0))/60,"")</f>
        <v/>
      </c>
      <c r="R59" s="78" t="inlineStr"/>
      <c r="S59" s="78" t="inlineStr"/>
      <c r="T59" s="78" t="inlineStr"/>
      <c r="U59" s="78" t="inlineStr"/>
      <c r="V59" s="2" t="n"/>
    </row>
    <row r="60" ht="18" customHeight="1">
      <c r="A60" s="1" t="n"/>
      <c r="B60" s="1" t="n"/>
      <c r="C60" s="2" t="n"/>
      <c r="D60" s="67">
        <f>IF(INDEX(Kalkulasi!$I$842:$I$859,MATCH(LARGE(Kalkulasi!$J$842:$J$859,10),Kalkulasi!$J$842:$J$859,0))&gt;0,INDEX(Kalkulasi!$A$842:$A$859,MATCH(LARGE(Kalkulasi!$J$842:$J$859,10),Kalkulasi!$J$842:$J$859,0)),"")</f>
        <v/>
      </c>
      <c r="F60" s="137">
        <f>IF(INDEX(Kalkulasi!$I$842:$I$859,MATCH(LARGE(Kalkulasi!$J$842:$J$859,10),Kalkulasi!$J$842:$J$859,0))&gt;0,INDEX(Kalkulasi!$B$842:$B$859,MATCH(LARGE(Kalkulasi!$J$842:$J$859,10),Kalkulasi!$J$842:$J$859,0)),"")</f>
        <v/>
      </c>
      <c r="G60" s="137">
        <f>IF(INDEX(Kalkulasi!$I$842:$I$859,MATCH(LARGE(Kalkulasi!$J$842:$J$859,10),Kalkulasi!$J$842:$J$859,0))&gt;0,INDEX(Kalkulasi!$C$842:$C$859,MATCH(LARGE(Kalkulasi!$J$842:$J$859,10),Kalkulasi!$J$842:$J$859,0)),"")</f>
        <v/>
      </c>
      <c r="H60" s="137">
        <f>IF(INDEX(Kalkulasi!$I$842:$I$859,MATCH(LARGE(Kalkulasi!$J$842:$J$859,10),Kalkulasi!$J$842:$J$859,0))&gt;0,INDEX(Kalkulasi!$D$842:$D$859,MATCH(LARGE(Kalkulasi!$J$842:$J$859,10),Kalkulasi!$J$842:$J$859,0)),"")</f>
        <v/>
      </c>
      <c r="I60" s="137">
        <f>IF(INDEX(Kalkulasi!$I$842:$I$859,MATCH(LARGE(Kalkulasi!$J$842:$J$859,10),Kalkulasi!$J$842:$J$859,0))&gt;0,INDEX(Kalkulasi!$E$842:$E$859,MATCH(LARGE(Kalkulasi!$J$842:$J$859,10),Kalkulasi!$J$842:$J$859,0)),"")</f>
        <v/>
      </c>
      <c r="J60" s="137">
        <f>IF(INDEX(Kalkulasi!$I$842:$I$859,MATCH(LARGE(Kalkulasi!$J$842:$J$859,10),Kalkulasi!$J$842:$J$859,0))&gt;0,INDEX(Kalkulasi!$F$842:$F$859,MATCH(LARGE(Kalkulasi!$J$842:$J$859,10),Kalkulasi!$J$842:$J$859,0)),"")</f>
        <v/>
      </c>
      <c r="K60" s="137">
        <f>IF(INDEX(Kalkulasi!$I$842:$I$859,MATCH(LARGE(Kalkulasi!$J$842:$J$859,10),Kalkulasi!$J$842:$J$859,0))&gt;0,INDEX(Kalkulasi!$G$842:$G$859,MATCH(LARGE(Kalkulasi!$J$842:$J$859,10),Kalkulasi!$J$842:$J$859,0)),"")</f>
        <v/>
      </c>
      <c r="L60" s="137">
        <f>IF(INDEX(Kalkulasi!$I$842:$I$859,MATCH(LARGE(Kalkulasi!$J$842:$J$859,10),Kalkulasi!$J$842:$J$859,0))&gt;0,INDEX(Kalkulasi!$H$842:$H$859,MATCH(LARGE(Kalkulasi!$J$842:$J$859,10),Kalkulasi!$J$842:$J$859,0)),"")</f>
        <v/>
      </c>
      <c r="M60" s="78" t="inlineStr"/>
      <c r="N60" s="110">
        <f>IF(INDEX(Kalkulasi!$I$842:$I$859,MATCH(LARGE(Kalkulasi!$J$842:$J$859,10),Kalkulasi!$J$842:$J$859,0))&gt;0,INDEX(Kalkulasi!$I$842:$I$859,MATCH(LARGE(Kalkulasi!$J$842:$J$859,10),Kalkulasi!$J$842:$J$859,0)),"")</f>
        <v/>
      </c>
      <c r="O60" s="78" t="inlineStr"/>
      <c r="P60" s="78" t="inlineStr"/>
      <c r="Q60" s="138">
        <f>IF(INDEX(Kalkulasi!$I$842:$I$859,MATCH(LARGE(Kalkulasi!$J$842:$J$859,10),Kalkulasi!$J$842:$J$859,0))&gt;0,INDEX(Kalkulasi!$I$842:$I$859,MATCH(LARGE(Kalkulasi!$J$842:$J$859,10),Kalkulasi!$J$842:$J$859,0))/60,"")</f>
        <v/>
      </c>
      <c r="R60" s="78" t="inlineStr"/>
      <c r="S60" s="78" t="inlineStr"/>
      <c r="T60" s="78" t="inlineStr"/>
      <c r="U60" s="78" t="inlineStr"/>
      <c r="V60" s="2" t="n"/>
    </row>
    <row r="61" ht="18" customHeight="1">
      <c r="A61" s="1" t="n"/>
      <c r="B61" s="1" t="n"/>
      <c r="C61" s="2" t="n"/>
      <c r="D61" s="67">
        <f>IF(INDEX(Kalkulasi!$I$842:$I$859,MATCH(LARGE(Kalkulasi!$J$842:$J$859,11),Kalkulasi!$J$842:$J$859,0))&gt;0,INDEX(Kalkulasi!$A$842:$A$859,MATCH(LARGE(Kalkulasi!$J$842:$J$859,11),Kalkulasi!$J$842:$J$859,0)),"")</f>
        <v/>
      </c>
      <c r="F61" s="137">
        <f>IF(INDEX(Kalkulasi!$I$842:$I$859,MATCH(LARGE(Kalkulasi!$J$842:$J$859,11),Kalkulasi!$J$842:$J$859,0))&gt;0,INDEX(Kalkulasi!$B$842:$B$859,MATCH(LARGE(Kalkulasi!$J$842:$J$859,11),Kalkulasi!$J$842:$J$859,0)),"")</f>
        <v/>
      </c>
      <c r="G61" s="137">
        <f>IF(INDEX(Kalkulasi!$I$842:$I$859,MATCH(LARGE(Kalkulasi!$J$842:$J$859,11),Kalkulasi!$J$842:$J$859,0))&gt;0,INDEX(Kalkulasi!$C$842:$C$859,MATCH(LARGE(Kalkulasi!$J$842:$J$859,11),Kalkulasi!$J$842:$J$859,0)),"")</f>
        <v/>
      </c>
      <c r="H61" s="137">
        <f>IF(INDEX(Kalkulasi!$I$842:$I$859,MATCH(LARGE(Kalkulasi!$J$842:$J$859,11),Kalkulasi!$J$842:$J$859,0))&gt;0,INDEX(Kalkulasi!$D$842:$D$859,MATCH(LARGE(Kalkulasi!$J$842:$J$859,11),Kalkulasi!$J$842:$J$859,0)),"")</f>
        <v/>
      </c>
      <c r="I61" s="137">
        <f>IF(INDEX(Kalkulasi!$I$842:$I$859,MATCH(LARGE(Kalkulasi!$J$842:$J$859,11),Kalkulasi!$J$842:$J$859,0))&gt;0,INDEX(Kalkulasi!$E$842:$E$859,MATCH(LARGE(Kalkulasi!$J$842:$J$859,11),Kalkulasi!$J$842:$J$859,0)),"")</f>
        <v/>
      </c>
      <c r="J61" s="137">
        <f>IF(INDEX(Kalkulasi!$I$842:$I$859,MATCH(LARGE(Kalkulasi!$J$842:$J$859,11),Kalkulasi!$J$842:$J$859,0))&gt;0,INDEX(Kalkulasi!$F$842:$F$859,MATCH(LARGE(Kalkulasi!$J$842:$J$859,11),Kalkulasi!$J$842:$J$859,0)),"")</f>
        <v/>
      </c>
      <c r="K61" s="137">
        <f>IF(INDEX(Kalkulasi!$I$842:$I$859,MATCH(LARGE(Kalkulasi!$J$842:$J$859,11),Kalkulasi!$J$842:$J$859,0))&gt;0,INDEX(Kalkulasi!$G$842:$G$859,MATCH(LARGE(Kalkulasi!$J$842:$J$859,11),Kalkulasi!$J$842:$J$859,0)),"")</f>
        <v/>
      </c>
      <c r="L61" s="137">
        <f>IF(INDEX(Kalkulasi!$I$842:$I$859,MATCH(LARGE(Kalkulasi!$J$842:$J$859,11),Kalkulasi!$J$842:$J$859,0))&gt;0,INDEX(Kalkulasi!$H$842:$H$859,MATCH(LARGE(Kalkulasi!$J$842:$J$859,11),Kalkulasi!$J$842:$J$859,0)),"")</f>
        <v/>
      </c>
      <c r="M61" s="78" t="inlineStr"/>
      <c r="N61" s="110">
        <f>IF(INDEX(Kalkulasi!$I$842:$I$859,MATCH(LARGE(Kalkulasi!$J$842:$J$859,11),Kalkulasi!$J$842:$J$859,0))&gt;0,INDEX(Kalkulasi!$I$842:$I$859,MATCH(LARGE(Kalkulasi!$J$842:$J$859,11),Kalkulasi!$J$842:$J$859,0)),"")</f>
        <v/>
      </c>
      <c r="O61" s="78" t="inlineStr"/>
      <c r="P61" s="78" t="inlineStr"/>
      <c r="Q61" s="138">
        <f>IF(INDEX(Kalkulasi!$I$842:$I$859,MATCH(LARGE(Kalkulasi!$J$842:$J$859,11),Kalkulasi!$J$842:$J$859,0))&gt;0,INDEX(Kalkulasi!$I$842:$I$859,MATCH(LARGE(Kalkulasi!$J$842:$J$859,11),Kalkulasi!$J$842:$J$859,0))/60,"")</f>
        <v/>
      </c>
      <c r="R61" s="78" t="inlineStr"/>
      <c r="S61" s="78" t="inlineStr"/>
      <c r="T61" s="78" t="inlineStr"/>
      <c r="U61" s="78" t="inlineStr"/>
      <c r="V61" s="2" t="n"/>
    </row>
    <row r="62" ht="18" customHeight="1">
      <c r="A62" s="1" t="n"/>
      <c r="B62" s="1" t="n"/>
      <c r="C62" s="2" t="n"/>
      <c r="D62" s="67">
        <f>IF(INDEX(Kalkulasi!$I$842:$I$859,MATCH(LARGE(Kalkulasi!$J$842:$J$859,12),Kalkulasi!$J$842:$J$859,0))&gt;0,INDEX(Kalkulasi!$A$842:$A$859,MATCH(LARGE(Kalkulasi!$J$842:$J$859,12),Kalkulasi!$J$842:$J$859,0)),"")</f>
        <v/>
      </c>
      <c r="F62" s="137">
        <f>IF(INDEX(Kalkulasi!$I$842:$I$859,MATCH(LARGE(Kalkulasi!$J$842:$J$859,12),Kalkulasi!$J$842:$J$859,0))&gt;0,INDEX(Kalkulasi!$B$842:$B$859,MATCH(LARGE(Kalkulasi!$J$842:$J$859,12),Kalkulasi!$J$842:$J$859,0)),"")</f>
        <v/>
      </c>
      <c r="G62" s="137">
        <f>IF(INDEX(Kalkulasi!$I$842:$I$859,MATCH(LARGE(Kalkulasi!$J$842:$J$859,12),Kalkulasi!$J$842:$J$859,0))&gt;0,INDEX(Kalkulasi!$C$842:$C$859,MATCH(LARGE(Kalkulasi!$J$842:$J$859,12),Kalkulasi!$J$842:$J$859,0)),"")</f>
        <v/>
      </c>
      <c r="H62" s="137">
        <f>IF(INDEX(Kalkulasi!$I$842:$I$859,MATCH(LARGE(Kalkulasi!$J$842:$J$859,12),Kalkulasi!$J$842:$J$859,0))&gt;0,INDEX(Kalkulasi!$D$842:$D$859,MATCH(LARGE(Kalkulasi!$J$842:$J$859,12),Kalkulasi!$J$842:$J$859,0)),"")</f>
        <v/>
      </c>
      <c r="I62" s="137">
        <f>IF(INDEX(Kalkulasi!$I$842:$I$859,MATCH(LARGE(Kalkulasi!$J$842:$J$859,12),Kalkulasi!$J$842:$J$859,0))&gt;0,INDEX(Kalkulasi!$E$842:$E$859,MATCH(LARGE(Kalkulasi!$J$842:$J$859,12),Kalkulasi!$J$842:$J$859,0)),"")</f>
        <v/>
      </c>
      <c r="J62" s="137">
        <f>IF(INDEX(Kalkulasi!$I$842:$I$859,MATCH(LARGE(Kalkulasi!$J$842:$J$859,12),Kalkulasi!$J$842:$J$859,0))&gt;0,INDEX(Kalkulasi!$F$842:$F$859,MATCH(LARGE(Kalkulasi!$J$842:$J$859,12),Kalkulasi!$J$842:$J$859,0)),"")</f>
        <v/>
      </c>
      <c r="K62" s="137">
        <f>IF(INDEX(Kalkulasi!$I$842:$I$859,MATCH(LARGE(Kalkulasi!$J$842:$J$859,12),Kalkulasi!$J$842:$J$859,0))&gt;0,INDEX(Kalkulasi!$G$842:$G$859,MATCH(LARGE(Kalkulasi!$J$842:$J$859,12),Kalkulasi!$J$842:$J$859,0)),"")</f>
        <v/>
      </c>
      <c r="L62" s="137">
        <f>IF(INDEX(Kalkulasi!$I$842:$I$859,MATCH(LARGE(Kalkulasi!$J$842:$J$859,12),Kalkulasi!$J$842:$J$859,0))&gt;0,INDEX(Kalkulasi!$H$842:$H$859,MATCH(LARGE(Kalkulasi!$J$842:$J$859,12),Kalkulasi!$J$842:$J$859,0)),"")</f>
        <v/>
      </c>
      <c r="M62" s="78" t="inlineStr"/>
      <c r="N62" s="110">
        <f>IF(INDEX(Kalkulasi!$I$842:$I$859,MATCH(LARGE(Kalkulasi!$J$842:$J$859,12),Kalkulasi!$J$842:$J$859,0))&gt;0,INDEX(Kalkulasi!$I$842:$I$859,MATCH(LARGE(Kalkulasi!$J$842:$J$859,12),Kalkulasi!$J$842:$J$859,0)),"")</f>
        <v/>
      </c>
      <c r="O62" s="78" t="inlineStr"/>
      <c r="P62" s="78" t="inlineStr"/>
      <c r="Q62" s="138">
        <f>IF(INDEX(Kalkulasi!$I$842:$I$859,MATCH(LARGE(Kalkulasi!$J$842:$J$859,12),Kalkulasi!$J$842:$J$859,0))&gt;0,INDEX(Kalkulasi!$I$842:$I$859,MATCH(LARGE(Kalkulasi!$J$842:$J$859,12),Kalkulasi!$J$842:$J$859,0))/60,"")</f>
        <v/>
      </c>
      <c r="R62" s="78" t="inlineStr"/>
      <c r="S62" s="78" t="inlineStr"/>
      <c r="T62" s="78" t="inlineStr"/>
      <c r="U62" s="78" t="inlineStr"/>
      <c r="V62" s="2" t="n"/>
    </row>
    <row r="63">
      <c r="A63" s="1" t="n"/>
      <c r="B63" s="1" t="n"/>
      <c r="C63" s="2" t="n"/>
      <c r="D63" s="44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  <c r="N63" s="45" t="n"/>
      <c r="O63" s="45" t="n"/>
      <c r="P63" s="45" t="n"/>
      <c r="Q63" s="45" t="n"/>
      <c r="R63" s="45" t="n"/>
      <c r="S63" s="45" t="n"/>
      <c r="T63" s="45" t="n"/>
      <c r="U63" s="46" t="n"/>
      <c r="V63" s="2" t="n"/>
    </row>
    <row r="64">
      <c r="A64" s="1" t="n"/>
      <c r="B64" s="1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</row>
    <row r="65">
      <c r="A65" s="1" t="n"/>
      <c r="B65" s="1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</row>
    <row r="66">
      <c r="A66" s="1" t="n"/>
      <c r="B66" s="1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</row>
    <row r="67">
      <c r="A67" s="1" t="n"/>
      <c r="B67" s="1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</row>
    <row r="68">
      <c r="A68" s="1" t="n"/>
      <c r="B68" s="1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</row>
    <row r="69">
      <c r="A69" s="1" t="n"/>
      <c r="B69" s="1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</row>
    <row r="70">
      <c r="A70" s="1" t="n"/>
      <c r="B70" s="1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</row>
    <row r="71">
      <c r="A71" s="1" t="n"/>
      <c r="B71" s="1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</row>
    <row r="72">
      <c r="A72" s="1" t="n"/>
      <c r="B72" s="1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</row>
    <row r="73">
      <c r="A73" s="1" t="n"/>
      <c r="B73" s="1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</row>
    <row r="74">
      <c r="A74" s="1" t="n"/>
      <c r="B74" s="1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</row>
    <row r="75">
      <c r="A75" s="1" t="n"/>
      <c r="B75" s="1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</row>
    <row r="76">
      <c r="A76" s="1" t="n"/>
      <c r="B76" s="1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</row>
    <row r="77">
      <c r="A77" s="1" t="n"/>
      <c r="B77" s="1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</row>
    <row r="78">
      <c r="A78" s="1" t="n"/>
      <c r="B78" s="1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</row>
    <row r="79">
      <c r="A79" s="1" t="n"/>
      <c r="B79" s="1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</row>
    <row r="80">
      <c r="A80" s="1" t="n"/>
      <c r="B80" s="1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</row>
    <row r="81">
      <c r="A81" s="1" t="n"/>
      <c r="B81" s="1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</row>
    <row r="82">
      <c r="A82" s="1" t="n"/>
      <c r="B82" s="1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</row>
    <row r="83">
      <c r="A83" s="1" t="n"/>
      <c r="B83" s="1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</row>
    <row r="84">
      <c r="A84" s="1" t="n"/>
      <c r="B84" s="1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</row>
    <row r="85">
      <c r="A85" s="1" t="n"/>
      <c r="B85" s="1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</row>
    <row r="86">
      <c r="A86" s="1" t="n"/>
      <c r="B86" s="1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</row>
    <row r="87">
      <c r="A87" s="1" t="n"/>
      <c r="B87" s="1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</row>
    <row r="88">
      <c r="A88" s="1" t="n"/>
      <c r="B88" s="1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</row>
    <row r="89">
      <c r="A89" s="1" t="n"/>
      <c r="B89" s="1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</row>
    <row r="90">
      <c r="A90" s="1" t="n"/>
      <c r="B90" s="1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</row>
    <row r="91">
      <c r="A91" s="1" t="n"/>
      <c r="B91" s="1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</row>
    <row r="92">
      <c r="A92" s="1" t="n"/>
      <c r="B92" s="1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</row>
    <row r="93">
      <c r="A93" s="1" t="n"/>
      <c r="B93" s="1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</row>
    <row r="94">
      <c r="A94" s="1" t="n"/>
      <c r="B94" s="1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</row>
    <row r="95">
      <c r="A95" s="1" t="n"/>
      <c r="B95" s="1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</row>
    <row r="96">
      <c r="A96" s="1" t="n"/>
      <c r="B96" s="1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</row>
    <row r="97">
      <c r="A97" s="1" t="n"/>
      <c r="B97" s="1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</row>
    <row r="98">
      <c r="A98" s="1" t="n"/>
      <c r="B98" s="1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</row>
    <row r="99">
      <c r="A99" s="1" t="n"/>
      <c r="B99" s="1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</row>
    <row r="100">
      <c r="A100" s="1" t="n"/>
      <c r="B100" s="1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</row>
    <row r="101">
      <c r="A101" s="1" t="n"/>
      <c r="B101" s="1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</row>
    <row r="102">
      <c r="A102" s="1" t="n"/>
      <c r="B102" s="1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</row>
    <row r="103">
      <c r="A103" s="1" t="n"/>
      <c r="B103" s="1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</row>
    <row r="104">
      <c r="A104" s="1" t="n"/>
      <c r="B104" s="1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</row>
    <row r="105">
      <c r="A105" s="1" t="n"/>
      <c r="B105" s="1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</row>
    <row r="106">
      <c r="A106" s="1" t="n"/>
      <c r="B106" s="1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</row>
    <row r="107">
      <c r="A107" s="1" t="n"/>
      <c r="B107" s="1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</row>
    <row r="108">
      <c r="A108" s="1" t="n"/>
      <c r="B108" s="1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</row>
    <row r="109">
      <c r="A109" s="1" t="n"/>
      <c r="B109" s="1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</row>
    <row r="110">
      <c r="A110" s="1" t="n"/>
      <c r="B110" s="1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</row>
    <row r="111">
      <c r="A111" s="1" t="n"/>
      <c r="B111" s="1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</row>
    <row r="112">
      <c r="A112" s="1" t="n"/>
      <c r="B112" s="1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</row>
    <row r="113">
      <c r="A113" s="1" t="n"/>
      <c r="B113" s="1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</row>
    <row r="114">
      <c r="A114" s="1" t="n"/>
      <c r="B114" s="1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</row>
    <row r="115">
      <c r="A115" s="1" t="n"/>
      <c r="B115" s="1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</row>
    <row r="116">
      <c r="A116" s="1" t="n"/>
      <c r="B116" s="1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</row>
    <row r="117">
      <c r="A117" s="1" t="n"/>
      <c r="B117" s="1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</row>
    <row r="118">
      <c r="A118" s="1" t="n"/>
      <c r="B118" s="1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</row>
    <row r="119">
      <c r="A119" s="1" t="n"/>
      <c r="B119" s="1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</row>
    <row r="120">
      <c r="A120" s="1" t="n"/>
      <c r="B120" s="1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</row>
    <row r="121">
      <c r="A121" s="1" t="n"/>
      <c r="B121" s="1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</row>
    <row r="122">
      <c r="A122" s="1" t="n"/>
      <c r="B122" s="1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</row>
    <row r="123">
      <c r="A123" s="1" t="n"/>
      <c r="B123" s="1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</row>
    <row r="124">
      <c r="A124" s="1" t="n"/>
      <c r="B124" s="1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</row>
    <row r="125">
      <c r="A125" s="1" t="n"/>
      <c r="B125" s="1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</row>
    <row r="126">
      <c r="A126" s="1" t="n"/>
      <c r="B126" s="1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</row>
    <row r="127">
      <c r="A127" s="1" t="n"/>
      <c r="B127" s="1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</row>
    <row r="128">
      <c r="A128" s="1" t="n"/>
      <c r="B128" s="1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</row>
    <row r="129">
      <c r="A129" s="1" t="n"/>
      <c r="B129" s="1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</row>
    <row r="130">
      <c r="A130" s="1" t="n"/>
      <c r="B130" s="1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</row>
  </sheetData>
  <mergeCells count="45">
    <mergeCell ref="M11:O11"/>
    <mergeCell ref="D20:E20"/>
    <mergeCell ref="D60:E60"/>
    <mergeCell ref="D11:F11"/>
    <mergeCell ref="G10:I10"/>
    <mergeCell ref="I6:J6"/>
    <mergeCell ref="M10:O10"/>
    <mergeCell ref="P11:R11"/>
    <mergeCell ref="D19:E19"/>
    <mergeCell ref="D22:E22"/>
    <mergeCell ref="E6:G6"/>
    <mergeCell ref="J11:L11"/>
    <mergeCell ref="D21:E21"/>
    <mergeCell ref="S10:U10"/>
    <mergeCell ref="D52:E52"/>
    <mergeCell ref="D57:E57"/>
    <mergeCell ref="S9:U9"/>
    <mergeCell ref="D9:F9"/>
    <mergeCell ref="D61:E61"/>
    <mergeCell ref="D26:E26"/>
    <mergeCell ref="D17:E17"/>
    <mergeCell ref="D53:E53"/>
    <mergeCell ref="D16:E16"/>
    <mergeCell ref="G9:I9"/>
    <mergeCell ref="D62:E62"/>
    <mergeCell ref="D18:E18"/>
    <mergeCell ref="D56:E56"/>
    <mergeCell ref="D58:E58"/>
    <mergeCell ref="G11:I11"/>
    <mergeCell ref="D10:F10"/>
    <mergeCell ref="D25:E25"/>
    <mergeCell ref="D55:E55"/>
    <mergeCell ref="D24:E24"/>
    <mergeCell ref="J10:L10"/>
    <mergeCell ref="L6:M6"/>
    <mergeCell ref="P10:R10"/>
    <mergeCell ref="D15:E15"/>
    <mergeCell ref="M9:O9"/>
    <mergeCell ref="D51:E51"/>
    <mergeCell ref="D23:E23"/>
    <mergeCell ref="P9:R9"/>
    <mergeCell ref="D54:E54"/>
    <mergeCell ref="J9:L9"/>
    <mergeCell ref="S11:U11"/>
    <mergeCell ref="D59:E59"/>
  </mergeCells>
  <conditionalFormatting sqref="D10">
    <cfRule type="expression" priority="1" dxfId="1">
      <formula>AND(Kalkulasi!$B$863&gt;0,Kalkulasi!$B$863&lt;0.8)</formula>
    </cfRule>
    <cfRule type="expression" priority="2" dxfId="0">
      <formula>AND(Kalkulasi!$B$863&gt;=0.8,Kalkulasi!$B$863&lt;=1.1)</formula>
    </cfRule>
    <cfRule type="expression" priority="3" dxfId="23">
      <formula>Kalkulasi!$B$863&gt;1.1</formula>
    </cfRule>
  </conditionalFormatting>
  <conditionalFormatting sqref="F15:Q26">
    <cfRule type="expression" priority="4" dxfId="9">
      <formula>F15=""</formula>
    </cfRule>
    <cfRule type="expression" priority="5" dxfId="19">
      <formula>F15&lt;0.8</formula>
    </cfRule>
    <cfRule type="expression" priority="6" dxfId="18">
      <formula>F15&lt;=1.1</formula>
    </cfRule>
    <cfRule type="expression" priority="7" dxfId="24">
      <formula>F15&gt;1.1</formula>
    </cfRule>
  </conditionalFormatting>
  <conditionalFormatting sqref="U15:U26">
    <cfRule type="expression" priority="8" dxfId="8">
      <formula>LEFT(U15,1)="+"</formula>
    </cfRule>
    <cfRule type="expression" priority="9" dxfId="25">
      <formula>LEFT(U15,1)="-"</formula>
    </cfRule>
    <cfRule type="expression" priority="10" dxfId="26">
      <formula>U15="Pas"</formula>
    </cfRule>
  </conditionalFormatting>
  <conditionalFormatting sqref="N51:N62">
    <cfRule type="dataBar" priority="11">
      <dataBar>
        <cfvo type="num" val="0"/>
        <cfvo type="max"/>
        <color rgb="00EBC48F"/>
      </dataBar>
    </cfRule>
  </conditionalFormatting>
  <dataValidations count="3">
    <dataValidation sqref="E6" showDropDown="0" showInputMessage="1" showErrorMessage="0" allowBlank="0" prompt="Tanggal yang punya input per jam" type="list">
      <formula1>=Kalkulasi!$B$552:$B$613</formula1>
    </dataValidation>
    <dataValidation sqref="I6" showDropDown="0" showInputMessage="1" showErrorMessage="0" allowBlank="0" prompt="DS 06–18, NS 18–06" type="list">
      <formula1>"DS,NS"</formula1>
    </dataValidation>
    <dataValidation sqref="L6" showDropDown="0" showInputMessage="1" showErrorMessage="0" allowBlank="0" prompt="Material untuk grafik PTY vs hujan" type="list">
      <formula1>"OB,Coal"</formula1>
    </dataValidation>
  </dataValidations>
  <pageMargins left="0.25" right="0.25" top="0.25" bottom="0.25" header="0.5" footer="0.5"/>
  <pageSetup orientation="landscape" paperSize="9" fitToHeight="1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2E3B4E"/>
    <outlinePr summaryBelow="1" summaryRight="1"/>
    <pageSetUpPr fitToPage="1"/>
  </sheetPr>
  <dimension ref="A1:V130"/>
  <sheetViews>
    <sheetView showGridLines="0" showRowColHeaders="0" zoomScale="90" workbookViewId="0">
      <pane xSplit="2" topLeftCell="C1" activePane="topRight" state="frozen"/>
      <selection pane="topRight" activeCell="A1" sqref="A1"/>
    </sheetView>
  </sheetViews>
  <sheetFormatPr baseColWidth="8" defaultRowHeight="15"/>
  <cols>
    <col width="1.2" customWidth="1" min="1" max="1"/>
    <col width="27" customWidth="1" min="2" max="2"/>
    <col width="2.5" customWidth="1" min="3" max="3"/>
    <col width="8.6" customWidth="1" min="4" max="4"/>
    <col width="8.6" customWidth="1" min="5" max="5"/>
    <col width="8.6" customWidth="1" min="6" max="6"/>
    <col width="8.6" customWidth="1" min="7" max="7"/>
    <col width="8.6" customWidth="1" min="8" max="8"/>
    <col width="8.6" customWidth="1" min="9" max="9"/>
    <col width="8.6" customWidth="1" min="10" max="10"/>
    <col width="8.6" customWidth="1" min="11" max="11"/>
    <col width="8.6" customWidth="1" min="12" max="12"/>
    <col width="8.6" customWidth="1" min="13" max="13"/>
    <col width="8.6" customWidth="1" min="14" max="14"/>
    <col width="8.6" customWidth="1" min="15" max="15"/>
    <col width="8.6" customWidth="1" min="16" max="16"/>
    <col width="8.6" customWidth="1" min="17" max="17"/>
    <col width="8.6" customWidth="1" min="18" max="18"/>
    <col width="8.6" customWidth="1" min="19" max="19"/>
    <col width="8.6" customWidth="1" min="20" max="20"/>
    <col width="8.6" customWidth="1" min="21" max="21"/>
    <col width="2.5" customWidth="1" min="22" max="22"/>
  </cols>
  <sheetData>
    <row r="1" ht="10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28" customHeight="1">
      <c r="A2" s="1" t="n"/>
      <c r="B2" s="3" t="inlineStr">
        <is>
          <t>PIT CONTROL</t>
        </is>
      </c>
      <c r="C2" s="2" t="n"/>
      <c r="D2" s="4" t="inlineStr">
        <is>
          <t>Mine Ops Board  /  Daily Production Report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 ht="34" customHeight="1">
      <c r="A3" s="1" t="n"/>
      <c r="B3" s="5" t="inlineStr">
        <is>
          <t>MINE OPS BOARD</t>
        </is>
      </c>
      <c r="C3" s="2" t="n"/>
      <c r="D3" s="6" t="inlineStr">
        <is>
          <t>Daily Production Report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>
      <c r="A4" s="1" t="n"/>
      <c r="B4" s="1" t="n"/>
      <c r="C4" s="2" t="n"/>
      <c r="D4" s="7" t="inlineStr">
        <is>
          <t>Terisi otomatis dari input ritase &amp; delay per jam · lengkap setelah shift NS selesai diinput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 ht="8" customHeight="1">
      <c r="A5" s="1" t="n"/>
      <c r="B5" s="8" t="inlineStr">
        <is>
          <t>BOARD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 ht="24" customHeight="1">
      <c r="A6" s="1" t="n"/>
      <c r="B6" s="15">
        <f>HYPERLINK("#Produksi!A1","   Produksi")</f>
        <v/>
      </c>
      <c r="C6" s="2" t="n"/>
      <c r="D6" s="95" t="inlineStr">
        <is>
          <t>Tanggal</t>
        </is>
      </c>
      <c r="E6" s="118" t="n">
        <v>46110</v>
      </c>
      <c r="F6" s="119" t="n"/>
      <c r="G6" s="97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</row>
    <row r="7" ht="22" customHeight="1">
      <c r="A7" s="1" t="n"/>
      <c r="B7" s="15">
        <f>HYPERLINK("#Digger!A1","   Produktivitas Digger")</f>
        <v/>
      </c>
      <c r="C7" s="2" t="n"/>
      <c r="D7" s="16" t="inlineStr">
        <is>
          <t>Pilih tanggal, lalu cetak (Ctrl+P) atau kirim. MTD = tanggal 1 bulan itu s/d tanggal terpilih (dari DATA_TS).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 ht="22" customHeight="1">
      <c r="A8" s="1" t="n"/>
      <c r="B8" s="15">
        <f>HYPERLINK("#Availability!A1","   Availability Unit")</f>
        <v/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 ht="24" customHeight="1">
      <c r="A9" s="1" t="n"/>
      <c r="B9" s="15">
        <f>HYPERLINK("#'Delay &amp; Hujan'!A1","   Delay &amp; Hujan")</f>
        <v/>
      </c>
      <c r="C9" s="2" t="n"/>
      <c r="D9" s="29" t="inlineStr">
        <is>
          <t>Produksi vs plan</t>
        </is>
      </c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0" t="n"/>
      <c r="S9" s="30" t="n"/>
      <c r="T9" s="30" t="n"/>
      <c r="U9" s="31" t="inlineStr">
        <is>
          <t>plan shift = plan harian ÷ 2 · MTD dari DATA_TS (excavator)</t>
        </is>
      </c>
      <c r="V9" s="2" t="n"/>
    </row>
    <row r="10" ht="20" customHeight="1">
      <c r="A10" s="1" t="n"/>
      <c r="B10" s="15">
        <f>HYPERLINK("#Fuel!A1","   Fuel")</f>
        <v/>
      </c>
      <c r="C10" s="2" t="n"/>
      <c r="D10" s="65" t="inlineStr">
        <is>
          <t>Material</t>
        </is>
      </c>
      <c r="E10" s="65" t="inlineStr"/>
      <c r="F10" s="65" t="inlineStr"/>
      <c r="G10" s="66" t="inlineStr">
        <is>
          <t>DS plan</t>
        </is>
      </c>
      <c r="H10" s="66" t="inlineStr">
        <is>
          <t>DS actual</t>
        </is>
      </c>
      <c r="I10" s="66" t="inlineStr">
        <is>
          <t>NS plan</t>
        </is>
      </c>
      <c r="J10" s="66" t="inlineStr">
        <is>
          <t>NS actual</t>
        </is>
      </c>
      <c r="K10" s="66" t="inlineStr">
        <is>
          <t>Daily plan</t>
        </is>
      </c>
      <c r="L10" s="66" t="inlineStr">
        <is>
          <t>Daily actual</t>
        </is>
      </c>
      <c r="M10" s="66" t="inlineStr">
        <is>
          <t>Ach.</t>
        </is>
      </c>
      <c r="N10" s="66" t="inlineStr">
        <is>
          <t>MTD plan</t>
        </is>
      </c>
      <c r="O10" s="66" t="inlineStr">
        <is>
          <t>MTD actual</t>
        </is>
      </c>
      <c r="P10" s="66" t="inlineStr">
        <is>
          <t>Ach.</t>
        </is>
      </c>
      <c r="Q10" s="66" t="inlineStr">
        <is>
          <t>Ritase</t>
        </is>
      </c>
      <c r="R10" s="66" t="inlineStr"/>
      <c r="S10" s="66" t="inlineStr"/>
      <c r="T10" s="66" t="inlineStr"/>
      <c r="U10" s="66" t="inlineStr"/>
      <c r="V10" s="2" t="n"/>
    </row>
    <row r="11" ht="20" customHeight="1">
      <c r="A11" s="1" t="n"/>
      <c r="B11" s="15">
        <f>HYPERLINK("#'Tren PTY'!A1","   Tren PTY")</f>
        <v/>
      </c>
      <c r="C11" s="2" t="n"/>
      <c r="D11" s="122" t="inlineStr">
        <is>
          <t>OB (BCM)</t>
        </is>
      </c>
      <c r="G11" s="114">
        <f>IFERROR(INDEX(DATA_PLAN!$B$2:$B$20001,MATCH(Kalkulasi!$B$987,DATA_PLAN!$A$2:$A$20001,0)),0)/2</f>
        <v/>
      </c>
      <c r="H11" s="69">
        <f>SUMIFS(INPUT_RITASE!$L$5:$L$20000,INPUT_RITASE!$A$5:$A$20000,Kalkulasi!$B$987,INPUT_RITASE!$N$5:$N$20000,"OB",INPUT_RITASE!$H$5:$H$20000,"DS")</f>
        <v/>
      </c>
      <c r="I11" s="114">
        <f>IFERROR(INDEX(DATA_PLAN!$B$2:$B$20001,MATCH(Kalkulasi!$B$987,DATA_PLAN!$A$2:$A$20001,0)),0)/2</f>
        <v/>
      </c>
      <c r="J11" s="69">
        <f>SUMIFS(INPUT_RITASE!$L$5:$L$20000,INPUT_RITASE!$A$5:$A$20000,Kalkulasi!$B$987,INPUT_RITASE!$N$5:$N$20000,"OB",INPUT_RITASE!$H$5:$H$20000,"NS")</f>
        <v/>
      </c>
      <c r="K11" s="114">
        <f>IFERROR(INDEX(DATA_PLAN!$B$2:$B$20001,MATCH(Kalkulasi!$B$987,DATA_PLAN!$A$2:$A$20001,0)),0)</f>
        <v/>
      </c>
      <c r="L11" s="110">
        <f>H11+J11</f>
        <v/>
      </c>
      <c r="M11" s="139">
        <f>IF(N(K11)=0,"",L11/K11)</f>
        <v/>
      </c>
      <c r="N11" s="114">
        <f>SUMIFS(DATA_PLAN!$B$2:$B$20001,DATA_PLAN!$A$2:$A$20001,"&gt;="&amp;Kalkulasi!$B$988,DATA_PLAN!$A$2:$A$20001,"&lt;="&amp;Kalkulasi!$B$987)</f>
        <v/>
      </c>
      <c r="O11" s="110">
        <f>SUMIFS(DATA_TS!$Q$2:$Q$20001,DATA_TS!$A$2:$A$20001,"&gt;="&amp;Kalkulasi!$B$988,DATA_TS!$A$2:$A$20001,"&lt;="&amp;Kalkulasi!$B$987,DATA_TS!$E$2:$E$20001,"Excavator")</f>
        <v/>
      </c>
      <c r="P11" s="139">
        <f>IF(N(N11)=0,"",O11/N11)</f>
        <v/>
      </c>
      <c r="Q11" s="111">
        <f>SUMIFS(INPUT_RITASE!$F$5:$F$20000,INPUT_RITASE!$A$5:$A$20000,Kalkulasi!$B$987,INPUT_RITASE!$N$5:$N$20000,"OB")</f>
        <v/>
      </c>
      <c r="R11" s="78" t="inlineStr"/>
      <c r="S11" s="78" t="inlineStr"/>
      <c r="T11" s="78" t="inlineStr"/>
      <c r="U11" s="78" t="inlineStr"/>
      <c r="V11" s="2" t="n"/>
    </row>
    <row r="12" ht="20" customHeight="1">
      <c r="A12" s="1" t="n"/>
      <c r="B12" s="1" t="n"/>
      <c r="C12" s="2" t="n"/>
      <c r="D12" s="122" t="inlineStr">
        <is>
          <t>Coal product (MT)</t>
        </is>
      </c>
      <c r="G12" s="114" t="inlineStr"/>
      <c r="H12" s="69">
        <f>SUMIFS(INPUT_RITASE!$L$5:$L$20000,INPUT_RITASE!$A$5:$A$20000,Kalkulasi!$B$987,INPUT_RITASE!$E$5:$E$20000,"Coal",INPUT_RITASE!$H$5:$H$20000,"DS")</f>
        <v/>
      </c>
      <c r="I12" s="114" t="inlineStr"/>
      <c r="J12" s="69">
        <f>SUMIFS(INPUT_RITASE!$L$5:$L$20000,INPUT_RITASE!$A$5:$A$20000,Kalkulasi!$B$987,INPUT_RITASE!$E$5:$E$20000,"Coal",INPUT_RITASE!$H$5:$H$20000,"NS")</f>
        <v/>
      </c>
      <c r="K12" s="114" t="inlineStr"/>
      <c r="L12" s="110">
        <f>H12+J12</f>
        <v/>
      </c>
      <c r="M12" s="139" t="inlineStr"/>
      <c r="N12" s="114" t="inlineStr"/>
      <c r="O12" s="110" t="inlineStr"/>
      <c r="P12" s="139" t="inlineStr"/>
      <c r="Q12" s="111">
        <f>SUMIFS(INPUT_RITASE!$F$5:$F$20000,INPUT_RITASE!$A$5:$A$20000,Kalkulasi!$B$987,INPUT_RITASE!$E$5:$E$20000,"Coal")</f>
        <v/>
      </c>
      <c r="R12" s="78" t="inlineStr"/>
      <c r="S12" s="78" t="inlineStr"/>
      <c r="T12" s="78" t="inlineStr"/>
      <c r="U12" s="78" t="inlineStr"/>
      <c r="V12" s="2" t="n"/>
    </row>
    <row r="13" ht="20" customHeight="1">
      <c r="A13" s="1" t="n"/>
      <c r="B13" s="8" t="inlineStr">
        <is>
          <t>PER JAM</t>
        </is>
      </c>
      <c r="C13" s="2" t="n"/>
      <c r="D13" s="122" t="inlineStr">
        <is>
          <t>Dirty coal (MT)</t>
        </is>
      </c>
      <c r="G13" s="114" t="inlineStr"/>
      <c r="H13" s="69">
        <f>SUMIFS(INPUT_RITASE!$L$5:$L$20000,INPUT_RITASE!$A$5:$A$20000,Kalkulasi!$B$987,INPUT_RITASE!$E$5:$E$20000,"Dirty Coal",INPUT_RITASE!$H$5:$H$20000,"DS")</f>
        <v/>
      </c>
      <c r="I13" s="114" t="inlineStr"/>
      <c r="J13" s="69">
        <f>SUMIFS(INPUT_RITASE!$L$5:$L$20000,INPUT_RITASE!$A$5:$A$20000,Kalkulasi!$B$987,INPUT_RITASE!$E$5:$E$20000,"Dirty Coal",INPUT_RITASE!$H$5:$H$20000,"NS")</f>
        <v/>
      </c>
      <c r="K13" s="114" t="inlineStr"/>
      <c r="L13" s="110">
        <f>H13+J13</f>
        <v/>
      </c>
      <c r="M13" s="139" t="inlineStr"/>
      <c r="N13" s="114" t="inlineStr"/>
      <c r="O13" s="110" t="inlineStr"/>
      <c r="P13" s="139" t="inlineStr"/>
      <c r="Q13" s="111">
        <f>SUMIFS(INPUT_RITASE!$F$5:$F$20000,INPUT_RITASE!$A$5:$A$20000,Kalkulasi!$B$987,INPUT_RITASE!$E$5:$E$20000,"Dirty Coal")</f>
        <v/>
      </c>
      <c r="R13" s="78" t="inlineStr"/>
      <c r="S13" s="78" t="inlineStr"/>
      <c r="T13" s="78" t="inlineStr"/>
      <c r="U13" s="78" t="inlineStr"/>
      <c r="V13" s="2" t="n"/>
    </row>
    <row r="14" ht="20" customHeight="1">
      <c r="A14" s="1" t="n"/>
      <c r="B14" s="15">
        <f>HYPERLINK("#'PTY per Jam'!A1","   PTY per Jam")</f>
        <v/>
      </c>
      <c r="C14" s="2" t="n"/>
      <c r="D14" s="122" t="inlineStr">
        <is>
          <t>Coal total (MT)</t>
        </is>
      </c>
      <c r="G14" s="114">
        <f>IFERROR(INDEX(DATA_PLAN!$C$2:$C$20001,MATCH(Kalkulasi!$B$987,DATA_PLAN!$A$2:$A$20001,0)),0)/2</f>
        <v/>
      </c>
      <c r="H14" s="69">
        <f>SUMIFS(INPUT_RITASE!$L$5:$L$20000,INPUT_RITASE!$A$5:$A$20000,Kalkulasi!$B$987,INPUT_RITASE!$N$5:$N$20000,"Coal",INPUT_RITASE!$H$5:$H$20000,"DS")</f>
        <v/>
      </c>
      <c r="I14" s="114">
        <f>IFERROR(INDEX(DATA_PLAN!$C$2:$C$20001,MATCH(Kalkulasi!$B$987,DATA_PLAN!$A$2:$A$20001,0)),0)/2</f>
        <v/>
      </c>
      <c r="J14" s="69">
        <f>SUMIFS(INPUT_RITASE!$L$5:$L$20000,INPUT_RITASE!$A$5:$A$20000,Kalkulasi!$B$987,INPUT_RITASE!$N$5:$N$20000,"Coal",INPUT_RITASE!$H$5:$H$20000,"NS")</f>
        <v/>
      </c>
      <c r="K14" s="114">
        <f>IFERROR(INDEX(DATA_PLAN!$C$2:$C$20001,MATCH(Kalkulasi!$B$987,DATA_PLAN!$A$2:$A$20001,0)),0)</f>
        <v/>
      </c>
      <c r="L14" s="110">
        <f>H14+J14</f>
        <v/>
      </c>
      <c r="M14" s="139">
        <f>IF(N(K14)=0,"",L14/K14)</f>
        <v/>
      </c>
      <c r="N14" s="114">
        <f>SUMIFS(DATA_PLAN!$C$2:$C$20001,DATA_PLAN!$A$2:$A$20001,"&gt;="&amp;Kalkulasi!$B$988,DATA_PLAN!$A$2:$A$20001,"&lt;="&amp;Kalkulasi!$B$987)</f>
        <v/>
      </c>
      <c r="O14" s="110">
        <f>SUMIFS(DATA_TS!$R$2:$R$20001,DATA_TS!$A$2:$A$20001,"&gt;="&amp;Kalkulasi!$B$988,DATA_TS!$A$2:$A$20001,"&lt;="&amp;Kalkulasi!$B$987,DATA_TS!$E$2:$E$20001,"Excavator")</f>
        <v/>
      </c>
      <c r="P14" s="139">
        <f>IF(N(N14)=0,"",O14/N14)</f>
        <v/>
      </c>
      <c r="Q14" s="111">
        <f>SUMIFS(INPUT_RITASE!$F$5:$F$20000,INPUT_RITASE!$A$5:$A$20000,Kalkulasi!$B$987,INPUT_RITASE!$N$5:$N$20000,"Coal")</f>
        <v/>
      </c>
      <c r="R14" s="78" t="inlineStr"/>
      <c r="S14" s="78" t="inlineStr"/>
      <c r="T14" s="78" t="inlineStr"/>
      <c r="U14" s="78" t="inlineStr"/>
      <c r="V14" s="2" t="n"/>
    </row>
    <row r="15" ht="22" customHeight="1">
      <c r="A15" s="1" t="n"/>
      <c r="B15" s="15">
        <f>HYPERLINK("#'Fleet &amp; Delay'!A1","   Fleet &amp; Delay")</f>
        <v/>
      </c>
      <c r="C15" s="2" t="n"/>
      <c r="D15" s="140">
        <f>"Status: "&amp;IF(COUNTIFS(INPUT_RITASE!$A$5:$A$20000,Kalkulasi!$B$987,INPUT_RITASE!$H$5:$H$20000,"NS")=0,"shift NS belum diinput — laporan belum lengkap","DS &amp; NS sudah masuk — laporan lengkap")</f>
        <v/>
      </c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4" t="n"/>
      <c r="V15" s="2" t="n"/>
    </row>
    <row r="16" ht="22" customHeight="1">
      <c r="A16" s="9" t="n"/>
      <c r="B16" s="10">
        <f>HYPERLINK("#'Daily Report'!A1","   Daily Report")</f>
        <v/>
      </c>
      <c r="C16" s="2" t="n"/>
      <c r="D16" s="44" t="n"/>
      <c r="E16" s="45" t="n"/>
      <c r="F16" s="45" t="n"/>
      <c r="G16" s="45" t="n"/>
      <c r="H16" s="45" t="n"/>
      <c r="I16" s="45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/>
      <c r="U16" s="46" t="n"/>
      <c r="V16" s="2" t="n"/>
    </row>
    <row r="17" ht="22" customHeight="1">
      <c r="A17" s="1" t="n"/>
      <c r="B17" s="15">
        <f>HYPERLINK("#INPUT_RITASE!A1","   Input ritase ↗")</f>
        <v/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</row>
    <row r="18" ht="24" customHeight="1">
      <c r="A18" s="1" t="n"/>
      <c r="B18" s="15">
        <f>HYPERLINK("#INPUT_DELAY!A1","   Input delay ↗")</f>
        <v/>
      </c>
      <c r="C18" s="2" t="n"/>
      <c r="D18" s="29" t="inlineStr">
        <is>
          <t>Produksi OB per jam (24 jam)</t>
        </is>
      </c>
      <c r="E18" s="30" t="n"/>
      <c r="F18" s="30" t="n"/>
      <c r="G18" s="30" t="n"/>
      <c r="H18" s="30" t="n"/>
      <c r="I18" s="30" t="n"/>
      <c r="J18" s="30" t="n"/>
      <c r="K18" s="30" t="n"/>
      <c r="L18" s="30" t="n"/>
      <c r="M18" s="30" t="n"/>
      <c r="N18" s="31" t="inlineStr">
        <is>
          <t>BCM · oranye = DS · gelap = NS · garis = plan/jam</t>
        </is>
      </c>
      <c r="O18" s="29" t="inlineStr">
        <is>
          <t>Delay per jam</t>
        </is>
      </c>
      <c r="P18" s="30" t="n"/>
      <c r="Q18" s="30" t="n"/>
      <c r="R18" s="30" t="n"/>
      <c r="S18" s="30" t="n"/>
      <c r="T18" s="30" t="n"/>
      <c r="U18" s="31" t="inlineStr">
        <is>
          <t>menit · semua baris INPUT_DELAY</t>
        </is>
      </c>
      <c r="V18" s="2" t="n"/>
    </row>
    <row r="19">
      <c r="A19" s="1" t="n"/>
      <c r="B19" s="1" t="n"/>
      <c r="C19" s="2" t="n"/>
      <c r="D19" s="32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4" t="n"/>
      <c r="O19" s="32" t="n"/>
      <c r="P19" s="33" t="n"/>
      <c r="Q19" s="33" t="n"/>
      <c r="R19" s="33" t="n"/>
      <c r="S19" s="33" t="n"/>
      <c r="T19" s="33" t="n"/>
      <c r="U19" s="34" t="n"/>
      <c r="V19" s="2" t="n"/>
    </row>
    <row r="20">
      <c r="A20" s="1" t="n"/>
      <c r="B20" s="8" t="inlineStr">
        <is>
          <t>DATA</t>
        </is>
      </c>
      <c r="C20" s="2" t="n"/>
      <c r="D20" s="32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4" t="n"/>
      <c r="O20" s="32" t="n"/>
      <c r="P20" s="33" t="n"/>
      <c r="Q20" s="33" t="n"/>
      <c r="R20" s="33" t="n"/>
      <c r="S20" s="33" t="n"/>
      <c r="T20" s="33" t="n"/>
      <c r="U20" s="34" t="n"/>
      <c r="V20" s="2" t="n"/>
    </row>
    <row r="21" ht="22" customHeight="1">
      <c r="A21" s="1" t="n"/>
      <c r="B21" s="15">
        <f>HYPERLINK("#'Master Data'!A1","   Master Data")</f>
        <v/>
      </c>
      <c r="C21" s="2" t="n"/>
      <c r="D21" s="32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4" t="n"/>
      <c r="O21" s="32" t="n"/>
      <c r="P21" s="33" t="n"/>
      <c r="Q21" s="33" t="n"/>
      <c r="R21" s="33" t="n"/>
      <c r="S21" s="33" t="n"/>
      <c r="T21" s="33" t="n"/>
      <c r="U21" s="34" t="n"/>
      <c r="V21" s="2" t="n"/>
    </row>
    <row r="22" ht="22" customHeight="1">
      <c r="A22" s="1" t="n"/>
      <c r="B22" s="15">
        <f>HYPERLINK("#DATA_TS!A1","   Tabel timesheet ↗")</f>
        <v/>
      </c>
      <c r="C22" s="2" t="n"/>
      <c r="D22" s="32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4" t="n"/>
      <c r="O22" s="32" t="n"/>
      <c r="P22" s="33" t="n"/>
      <c r="Q22" s="33" t="n"/>
      <c r="R22" s="33" t="n"/>
      <c r="S22" s="33" t="n"/>
      <c r="T22" s="33" t="n"/>
      <c r="U22" s="34" t="n"/>
      <c r="V22" s="2" t="n"/>
    </row>
    <row r="23" ht="22" customHeight="1">
      <c r="A23" s="1" t="n"/>
      <c r="B23" s="15">
        <f>HYPERLINK("#DATA_FUEL!A1","   Tabel fuel ↗")</f>
        <v/>
      </c>
      <c r="C23" s="2" t="n"/>
      <c r="D23" s="32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4" t="n"/>
      <c r="O23" s="32" t="n"/>
      <c r="P23" s="33" t="n"/>
      <c r="Q23" s="33" t="n"/>
      <c r="R23" s="33" t="n"/>
      <c r="S23" s="33" t="n"/>
      <c r="T23" s="33" t="n"/>
      <c r="U23" s="34" t="n"/>
      <c r="V23" s="2" t="n"/>
    </row>
    <row r="24">
      <c r="A24" s="1" t="n"/>
      <c r="B24" s="1" t="n"/>
      <c r="C24" s="2" t="n"/>
      <c r="D24" s="32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4" t="n"/>
      <c r="O24" s="32" t="n"/>
      <c r="P24" s="33" t="n"/>
      <c r="Q24" s="33" t="n"/>
      <c r="R24" s="33" t="n"/>
      <c r="S24" s="33" t="n"/>
      <c r="T24" s="33" t="n"/>
      <c r="U24" s="34" t="n"/>
      <c r="V24" s="2" t="n"/>
    </row>
    <row r="25">
      <c r="A25" s="1" t="n"/>
      <c r="B25" s="8" t="inlineStr">
        <is>
          <t>LAINNYA</t>
        </is>
      </c>
      <c r="C25" s="2" t="n"/>
      <c r="D25" s="32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4" t="n"/>
      <c r="O25" s="32" t="n"/>
      <c r="P25" s="33" t="n"/>
      <c r="Q25" s="33" t="n"/>
      <c r="R25" s="33" t="n"/>
      <c r="S25" s="33" t="n"/>
      <c r="T25" s="33" t="n"/>
      <c r="U25" s="34" t="n"/>
      <c r="V25" s="2" t="n"/>
    </row>
    <row r="26" ht="22" customHeight="1">
      <c r="A26" s="1" t="n"/>
      <c r="B26" s="15">
        <f>HYPERLINK("#Panduan!A1","   Panduan")</f>
        <v/>
      </c>
      <c r="C26" s="2" t="n"/>
      <c r="D26" s="32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4" t="n"/>
      <c r="O26" s="32" t="n"/>
      <c r="P26" s="33" t="n"/>
      <c r="Q26" s="33" t="n"/>
      <c r="R26" s="33" t="n"/>
      <c r="S26" s="33" t="n"/>
      <c r="T26" s="33" t="n"/>
      <c r="U26" s="34" t="n"/>
      <c r="V26" s="2" t="n"/>
    </row>
    <row r="27" ht="22" customHeight="1">
      <c r="A27" s="1" t="n"/>
      <c r="B27" s="15">
        <f>HYPERLINK("#Parameter!A1","   Target &amp; parameter")</f>
        <v/>
      </c>
      <c r="C27" s="2" t="n"/>
      <c r="D27" s="32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4" t="n"/>
      <c r="O27" s="32" t="n"/>
      <c r="P27" s="33" t="n"/>
      <c r="Q27" s="33" t="n"/>
      <c r="R27" s="33" t="n"/>
      <c r="S27" s="33" t="n"/>
      <c r="T27" s="33" t="n"/>
      <c r="U27" s="34" t="n"/>
      <c r="V27" s="2" t="n"/>
    </row>
    <row r="28" ht="22" customHeight="1">
      <c r="A28" s="1" t="n"/>
      <c r="B28" s="15">
        <f>HYPERLINK("#MASTER_JAM!A1","   Faktor, target &amp; MF")</f>
        <v/>
      </c>
      <c r="C28" s="2" t="n"/>
      <c r="D28" s="32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4" t="n"/>
      <c r="O28" s="32" t="n"/>
      <c r="P28" s="33" t="n"/>
      <c r="Q28" s="33" t="n"/>
      <c r="R28" s="33" t="n"/>
      <c r="S28" s="33" t="n"/>
      <c r="T28" s="33" t="n"/>
      <c r="U28" s="34" t="n"/>
      <c r="V28" s="2" t="n"/>
    </row>
    <row r="29">
      <c r="A29" s="1" t="n"/>
      <c r="B29" s="1" t="n"/>
      <c r="C29" s="2" t="n"/>
      <c r="D29" s="32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4" t="n"/>
      <c r="O29" s="32" t="n"/>
      <c r="P29" s="33" t="n"/>
      <c r="Q29" s="33" t="n"/>
      <c r="R29" s="33" t="n"/>
      <c r="S29" s="33" t="n"/>
      <c r="T29" s="33" t="n"/>
      <c r="U29" s="34" t="n"/>
      <c r="V29" s="2" t="n"/>
    </row>
    <row r="30">
      <c r="A30" s="1" t="n"/>
      <c r="B30" s="1" t="n"/>
      <c r="C30" s="2" t="n"/>
      <c r="D30" s="32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4" t="n"/>
      <c r="O30" s="32" t="n"/>
      <c r="P30" s="33" t="n"/>
      <c r="Q30" s="33" t="n"/>
      <c r="R30" s="33" t="n"/>
      <c r="S30" s="33" t="n"/>
      <c r="T30" s="33" t="n"/>
      <c r="U30" s="34" t="n"/>
      <c r="V30" s="2" t="n"/>
    </row>
    <row r="31">
      <c r="A31" s="1" t="n"/>
      <c r="B31" s="1" t="n"/>
      <c r="C31" s="2" t="n"/>
      <c r="D31" s="32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4" t="n"/>
      <c r="O31" s="32" t="n"/>
      <c r="P31" s="33" t="n"/>
      <c r="Q31" s="33" t="n"/>
      <c r="R31" s="33" t="n"/>
      <c r="S31" s="33" t="n"/>
      <c r="T31" s="33" t="n"/>
      <c r="U31" s="34" t="n"/>
      <c r="V31" s="2" t="n"/>
    </row>
    <row r="32">
      <c r="A32" s="1" t="n"/>
      <c r="B32" s="1" t="n"/>
      <c r="C32" s="2" t="n"/>
      <c r="D32" s="32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4" t="n"/>
      <c r="O32" s="32" t="n"/>
      <c r="P32" s="33" t="n"/>
      <c r="Q32" s="33" t="n"/>
      <c r="R32" s="33" t="n"/>
      <c r="S32" s="33" t="n"/>
      <c r="T32" s="33" t="n"/>
      <c r="U32" s="34" t="n"/>
      <c r="V32" s="2" t="n"/>
    </row>
    <row r="33">
      <c r="A33" s="1" t="n"/>
      <c r="B33" s="47" t="inlineStr">
        <is>
          <t>Data dummy · Coal Project</t>
        </is>
      </c>
      <c r="C33" s="2" t="n"/>
      <c r="D33" s="44" t="n"/>
      <c r="E33" s="45" t="n"/>
      <c r="F33" s="45" t="n"/>
      <c r="G33" s="45" t="n"/>
      <c r="H33" s="45" t="n"/>
      <c r="I33" s="45" t="n"/>
      <c r="J33" s="45" t="n"/>
      <c r="K33" s="45" t="n"/>
      <c r="L33" s="45" t="n"/>
      <c r="M33" s="45" t="n"/>
      <c r="N33" s="46" t="n"/>
      <c r="O33" s="44" t="n"/>
      <c r="P33" s="45" t="n"/>
      <c r="Q33" s="45" t="n"/>
      <c r="R33" s="45" t="n"/>
      <c r="S33" s="45" t="n"/>
      <c r="T33" s="45" t="n"/>
      <c r="U33" s="46" t="n"/>
      <c r="V33" s="2" t="n"/>
    </row>
    <row r="34">
      <c r="A34" s="1" t="n"/>
      <c r="B34" s="49" t="inlineStr">
        <is>
          <t>Simulasi unit per shift,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</row>
    <row r="35" ht="24" customHeight="1">
      <c r="A35" s="1" t="n"/>
      <c r="B35" s="49" t="inlineStr">
        <is>
          <t>Maret 2026. Bukan data</t>
        </is>
      </c>
      <c r="C35" s="2" t="n"/>
      <c r="D35" s="29" t="inlineStr">
        <is>
          <t>PTY &amp; ritase per digger</t>
        </is>
      </c>
      <c r="E35" s="30" t="n"/>
      <c r="F35" s="30" t="n"/>
      <c r="G35" s="30" t="n"/>
      <c r="H35" s="30" t="n"/>
      <c r="I35" s="30" t="n"/>
      <c r="J35" s="30" t="n"/>
      <c r="K35" s="30" t="n"/>
      <c r="L35" s="30" t="n"/>
      <c r="M35" s="30" t="n"/>
      <c r="N35" s="30" t="n"/>
      <c r="O35" s="30" t="n"/>
      <c r="P35" s="30" t="n"/>
      <c r="Q35" s="30" t="n"/>
      <c r="R35" s="30" t="n"/>
      <c r="S35" s="30" t="n"/>
      <c r="T35" s="30" t="n"/>
      <c r="U35" s="31" t="inlineStr">
        <is>
          <t>PTY = produksi ÷ EWH (jam berproduksi dikurangi delay)</t>
        </is>
      </c>
      <c r="V35" s="2" t="n"/>
    </row>
    <row r="36" ht="20" customHeight="1">
      <c r="A36" s="1" t="n"/>
      <c r="B36" s="49" t="inlineStr">
        <is>
          <t>perusahaan mana pun.</t>
        </is>
      </c>
      <c r="C36" s="2" t="n"/>
      <c r="D36" s="65" t="inlineStr">
        <is>
          <t>Digger</t>
        </is>
      </c>
      <c r="E36" s="65" t="inlineStr"/>
      <c r="F36" s="65" t="inlineStr">
        <is>
          <t>Tipe</t>
        </is>
      </c>
      <c r="G36" s="65" t="inlineStr"/>
      <c r="H36" s="65" t="inlineStr">
        <is>
          <t>Grup</t>
        </is>
      </c>
      <c r="I36" s="66" t="inlineStr">
        <is>
          <t>DS rit</t>
        </is>
      </c>
      <c r="J36" s="66" t="inlineStr">
        <is>
          <t>DS prod</t>
        </is>
      </c>
      <c r="K36" s="66" t="inlineStr">
        <is>
          <t>DS PTY</t>
        </is>
      </c>
      <c r="L36" s="66" t="inlineStr">
        <is>
          <t>NS rit</t>
        </is>
      </c>
      <c r="M36" s="66" t="inlineStr">
        <is>
          <t>NS prod</t>
        </is>
      </c>
      <c r="N36" s="66" t="inlineStr">
        <is>
          <t>NS PTY</t>
        </is>
      </c>
      <c r="O36" s="66" t="inlineStr">
        <is>
          <t>Total</t>
        </is>
      </c>
      <c r="P36" s="66" t="inlineStr">
        <is>
          <t>PTY</t>
        </is>
      </c>
      <c r="Q36" s="66" t="inlineStr">
        <is>
          <t>Target</t>
        </is>
      </c>
      <c r="R36" s="112" t="inlineStr">
        <is>
          <t>Status</t>
        </is>
      </c>
      <c r="S36" s="66" t="inlineStr">
        <is>
          <t>Delay (mnt)</t>
        </is>
      </c>
      <c r="T36" s="66" t="inlineStr"/>
      <c r="U36" s="66" t="inlineStr"/>
      <c r="V36" s="2" t="n"/>
    </row>
    <row r="37" ht="19" customHeight="1">
      <c r="A37" s="1" t="n"/>
      <c r="B37" s="49" t="inlineStr"/>
      <c r="C37" s="2" t="n"/>
      <c r="D37" s="67">
        <f>IF(INDEX(Kalkulasi!$J$1020:$J$1037,MATCH(LARGE(Kalkulasi!$M$1020:$M$1037,1),Kalkulasi!$M$1020:$M$1037,0))&gt;0,INDEX(Kalkulasi!$A$1020:$A$1037,MATCH(LARGE(Kalkulasi!$M$1020:$M$1037,1),Kalkulasi!$M$1020:$M$1037,0)),"")</f>
        <v/>
      </c>
      <c r="F37" s="68">
        <f>IF(INDEX(Kalkulasi!$J$1020:$J$1037,MATCH(LARGE(Kalkulasi!$M$1020:$M$1037,1),Kalkulasi!$M$1020:$M$1037,0))&gt;0,INDEX(Kalkulasi!$B$1020:$B$1037,MATCH(LARGE(Kalkulasi!$M$1020:$M$1037,1),Kalkulasi!$M$1020:$M$1037,0)),"")</f>
        <v/>
      </c>
      <c r="H37" s="83">
        <f>IF(INDEX(Kalkulasi!$J$1020:$J$1037,MATCH(LARGE(Kalkulasi!$M$1020:$M$1037,1),Kalkulasi!$M$1020:$M$1037,0))&gt;0,INDEX(Kalkulasi!$C$1020:$C$1037,MATCH(LARGE(Kalkulasi!$M$1020:$M$1037,1),Kalkulasi!$M$1020:$M$1037,0)),"")</f>
        <v/>
      </c>
      <c r="I37" s="69">
        <f>IF(INDEX(Kalkulasi!$J$1020:$J$1037,MATCH(LARGE(Kalkulasi!$M$1020:$M$1037,1),Kalkulasi!$M$1020:$M$1037,0))&gt;0,INDEX(Kalkulasi!$D$1020:$D$1037,MATCH(LARGE(Kalkulasi!$M$1020:$M$1037,1),Kalkulasi!$M$1020:$M$1037,0)),"")</f>
        <v/>
      </c>
      <c r="J37" s="69">
        <f>IF(INDEX(Kalkulasi!$J$1020:$J$1037,MATCH(LARGE(Kalkulasi!$M$1020:$M$1037,1),Kalkulasi!$M$1020:$M$1037,0))&gt;0,INDEX(Kalkulasi!$E$1020:$E$1037,MATCH(LARGE(Kalkulasi!$M$1020:$M$1037,1),Kalkulasi!$M$1020:$M$1037,0)),"")</f>
        <v/>
      </c>
      <c r="K37" s="69">
        <f>IF(AND(INDEX(Kalkulasi!$J$1020:$J$1037,MATCH(LARGE(Kalkulasi!$M$1020:$M$1037,1),Kalkulasi!$M$1020:$M$1037,0))&gt;0,INDEX(Kalkulasi!$F$1020:$F$1037,MATCH(LARGE(Kalkulasi!$M$1020:$M$1037,1),Kalkulasi!$M$1020:$M$1037,0))&gt;0),INDEX(Kalkulasi!$E$1020:$E$1037,MATCH(LARGE(Kalkulasi!$M$1020:$M$1037,1),Kalkulasi!$M$1020:$M$1037,0))/INDEX(Kalkulasi!$F$1020:$F$1037,MATCH(LARGE(Kalkulasi!$M$1020:$M$1037,1),Kalkulasi!$M$1020:$M$1037,0)),"")</f>
        <v/>
      </c>
      <c r="L37" s="69">
        <f>IF(INDEX(Kalkulasi!$J$1020:$J$1037,MATCH(LARGE(Kalkulasi!$M$1020:$M$1037,1),Kalkulasi!$M$1020:$M$1037,0))&gt;0,INDEX(Kalkulasi!$G$1020:$G$1037,MATCH(LARGE(Kalkulasi!$M$1020:$M$1037,1),Kalkulasi!$M$1020:$M$1037,0)),"")</f>
        <v/>
      </c>
      <c r="M37" s="69">
        <f>IF(INDEX(Kalkulasi!$J$1020:$J$1037,MATCH(LARGE(Kalkulasi!$M$1020:$M$1037,1),Kalkulasi!$M$1020:$M$1037,0))&gt;0,INDEX(Kalkulasi!$H$1020:$H$1037,MATCH(LARGE(Kalkulasi!$M$1020:$M$1037,1),Kalkulasi!$M$1020:$M$1037,0)),"")</f>
        <v/>
      </c>
      <c r="N37" s="69">
        <f>IF(AND(INDEX(Kalkulasi!$J$1020:$J$1037,MATCH(LARGE(Kalkulasi!$M$1020:$M$1037,1),Kalkulasi!$M$1020:$M$1037,0))&gt;0,INDEX(Kalkulasi!$I$1020:$I$1037,MATCH(LARGE(Kalkulasi!$M$1020:$M$1037,1),Kalkulasi!$M$1020:$M$1037,0))&gt;0),INDEX(Kalkulasi!$H$1020:$H$1037,MATCH(LARGE(Kalkulasi!$M$1020:$M$1037,1),Kalkulasi!$M$1020:$M$1037,0))/INDEX(Kalkulasi!$I$1020:$I$1037,MATCH(LARGE(Kalkulasi!$M$1020:$M$1037,1),Kalkulasi!$M$1020:$M$1037,0)),"")</f>
        <v/>
      </c>
      <c r="O37" s="110">
        <f>IF(INDEX(Kalkulasi!$J$1020:$J$1037,MATCH(LARGE(Kalkulasi!$M$1020:$M$1037,1),Kalkulasi!$M$1020:$M$1037,0))&gt;0,INDEX(Kalkulasi!$J$1020:$J$1037,MATCH(LARGE(Kalkulasi!$M$1020:$M$1037,1),Kalkulasi!$M$1020:$M$1037,0)),"")</f>
        <v/>
      </c>
      <c r="P37" s="110">
        <f>IF(INDEX(Kalkulasi!$J$1020:$J$1037,MATCH(LARGE(Kalkulasi!$M$1020:$M$1037,1),Kalkulasi!$M$1020:$M$1037,0))&gt;0,INDEX(Kalkulasi!$K$1020:$K$1037,MATCH(LARGE(Kalkulasi!$M$1020:$M$1037,1),Kalkulasi!$M$1020:$M$1037,0)),"")</f>
        <v/>
      </c>
      <c r="Q37" s="114">
        <f>IF(AND(INDEX(Kalkulasi!$J$1020:$J$1037,MATCH(LARGE(Kalkulasi!$M$1020:$M$1037,1),Kalkulasi!$M$1020:$M$1037,0))&gt;0,INDEX(Kalkulasi!$L$1020:$L$1037,MATCH(LARGE(Kalkulasi!$M$1020:$M$1037,1),Kalkulasi!$M$1020:$M$1037,0))&gt;0),INDEX(Kalkulasi!$L$1020:$L$1037,MATCH(LARGE(Kalkulasi!$M$1020:$M$1037,1),Kalkulasi!$M$1020:$M$1037,0)),"")</f>
        <v/>
      </c>
      <c r="R37" s="135">
        <f>IF(Q37="","",IF(P37&gt;=Q37,"On target","Di bawah"))</f>
        <v/>
      </c>
      <c r="S37" s="69">
        <f>IF(INDEX(Kalkulasi!$J$1020:$J$1037,MATCH(LARGE(Kalkulasi!$M$1020:$M$1037,1),Kalkulasi!$M$1020:$M$1037,0))&gt;0,INDEX(Kalkulasi!$O$1020:$O$1037,MATCH(LARGE(Kalkulasi!$M$1020:$M$1037,1),Kalkulasi!$M$1020:$M$1037,0)),"")</f>
        <v/>
      </c>
      <c r="T37" s="78" t="inlineStr"/>
      <c r="U37" s="78" t="inlineStr"/>
      <c r="V37" s="2" t="n"/>
    </row>
    <row r="38" ht="19" customHeight="1">
      <c r="A38" s="1" t="n"/>
      <c r="B38" s="47" t="inlineStr">
        <is>
          <t>Muhammad Rifqi Rizqullah</t>
        </is>
      </c>
      <c r="C38" s="2" t="n"/>
      <c r="D38" s="67">
        <f>IF(INDEX(Kalkulasi!$J$1020:$J$1037,MATCH(LARGE(Kalkulasi!$M$1020:$M$1037,2),Kalkulasi!$M$1020:$M$1037,0))&gt;0,INDEX(Kalkulasi!$A$1020:$A$1037,MATCH(LARGE(Kalkulasi!$M$1020:$M$1037,2),Kalkulasi!$M$1020:$M$1037,0)),"")</f>
        <v/>
      </c>
      <c r="F38" s="68">
        <f>IF(INDEX(Kalkulasi!$J$1020:$J$1037,MATCH(LARGE(Kalkulasi!$M$1020:$M$1037,2),Kalkulasi!$M$1020:$M$1037,0))&gt;0,INDEX(Kalkulasi!$B$1020:$B$1037,MATCH(LARGE(Kalkulasi!$M$1020:$M$1037,2),Kalkulasi!$M$1020:$M$1037,0)),"")</f>
        <v/>
      </c>
      <c r="H38" s="83">
        <f>IF(INDEX(Kalkulasi!$J$1020:$J$1037,MATCH(LARGE(Kalkulasi!$M$1020:$M$1037,2),Kalkulasi!$M$1020:$M$1037,0))&gt;0,INDEX(Kalkulasi!$C$1020:$C$1037,MATCH(LARGE(Kalkulasi!$M$1020:$M$1037,2),Kalkulasi!$M$1020:$M$1037,0)),"")</f>
        <v/>
      </c>
      <c r="I38" s="69">
        <f>IF(INDEX(Kalkulasi!$J$1020:$J$1037,MATCH(LARGE(Kalkulasi!$M$1020:$M$1037,2),Kalkulasi!$M$1020:$M$1037,0))&gt;0,INDEX(Kalkulasi!$D$1020:$D$1037,MATCH(LARGE(Kalkulasi!$M$1020:$M$1037,2),Kalkulasi!$M$1020:$M$1037,0)),"")</f>
        <v/>
      </c>
      <c r="J38" s="69">
        <f>IF(INDEX(Kalkulasi!$J$1020:$J$1037,MATCH(LARGE(Kalkulasi!$M$1020:$M$1037,2),Kalkulasi!$M$1020:$M$1037,0))&gt;0,INDEX(Kalkulasi!$E$1020:$E$1037,MATCH(LARGE(Kalkulasi!$M$1020:$M$1037,2),Kalkulasi!$M$1020:$M$1037,0)),"")</f>
        <v/>
      </c>
      <c r="K38" s="69">
        <f>IF(AND(INDEX(Kalkulasi!$J$1020:$J$1037,MATCH(LARGE(Kalkulasi!$M$1020:$M$1037,2),Kalkulasi!$M$1020:$M$1037,0))&gt;0,INDEX(Kalkulasi!$F$1020:$F$1037,MATCH(LARGE(Kalkulasi!$M$1020:$M$1037,2),Kalkulasi!$M$1020:$M$1037,0))&gt;0),INDEX(Kalkulasi!$E$1020:$E$1037,MATCH(LARGE(Kalkulasi!$M$1020:$M$1037,2),Kalkulasi!$M$1020:$M$1037,0))/INDEX(Kalkulasi!$F$1020:$F$1037,MATCH(LARGE(Kalkulasi!$M$1020:$M$1037,2),Kalkulasi!$M$1020:$M$1037,0)),"")</f>
        <v/>
      </c>
      <c r="L38" s="69">
        <f>IF(INDEX(Kalkulasi!$J$1020:$J$1037,MATCH(LARGE(Kalkulasi!$M$1020:$M$1037,2),Kalkulasi!$M$1020:$M$1037,0))&gt;0,INDEX(Kalkulasi!$G$1020:$G$1037,MATCH(LARGE(Kalkulasi!$M$1020:$M$1037,2),Kalkulasi!$M$1020:$M$1037,0)),"")</f>
        <v/>
      </c>
      <c r="M38" s="69">
        <f>IF(INDEX(Kalkulasi!$J$1020:$J$1037,MATCH(LARGE(Kalkulasi!$M$1020:$M$1037,2),Kalkulasi!$M$1020:$M$1037,0))&gt;0,INDEX(Kalkulasi!$H$1020:$H$1037,MATCH(LARGE(Kalkulasi!$M$1020:$M$1037,2),Kalkulasi!$M$1020:$M$1037,0)),"")</f>
        <v/>
      </c>
      <c r="N38" s="69">
        <f>IF(AND(INDEX(Kalkulasi!$J$1020:$J$1037,MATCH(LARGE(Kalkulasi!$M$1020:$M$1037,2),Kalkulasi!$M$1020:$M$1037,0))&gt;0,INDEX(Kalkulasi!$I$1020:$I$1037,MATCH(LARGE(Kalkulasi!$M$1020:$M$1037,2),Kalkulasi!$M$1020:$M$1037,0))&gt;0),INDEX(Kalkulasi!$H$1020:$H$1037,MATCH(LARGE(Kalkulasi!$M$1020:$M$1037,2),Kalkulasi!$M$1020:$M$1037,0))/INDEX(Kalkulasi!$I$1020:$I$1037,MATCH(LARGE(Kalkulasi!$M$1020:$M$1037,2),Kalkulasi!$M$1020:$M$1037,0)),"")</f>
        <v/>
      </c>
      <c r="O38" s="110">
        <f>IF(INDEX(Kalkulasi!$J$1020:$J$1037,MATCH(LARGE(Kalkulasi!$M$1020:$M$1037,2),Kalkulasi!$M$1020:$M$1037,0))&gt;0,INDEX(Kalkulasi!$J$1020:$J$1037,MATCH(LARGE(Kalkulasi!$M$1020:$M$1037,2),Kalkulasi!$M$1020:$M$1037,0)),"")</f>
        <v/>
      </c>
      <c r="P38" s="110">
        <f>IF(INDEX(Kalkulasi!$J$1020:$J$1037,MATCH(LARGE(Kalkulasi!$M$1020:$M$1037,2),Kalkulasi!$M$1020:$M$1037,0))&gt;0,INDEX(Kalkulasi!$K$1020:$K$1037,MATCH(LARGE(Kalkulasi!$M$1020:$M$1037,2),Kalkulasi!$M$1020:$M$1037,0)),"")</f>
        <v/>
      </c>
      <c r="Q38" s="114">
        <f>IF(AND(INDEX(Kalkulasi!$J$1020:$J$1037,MATCH(LARGE(Kalkulasi!$M$1020:$M$1037,2),Kalkulasi!$M$1020:$M$1037,0))&gt;0,INDEX(Kalkulasi!$L$1020:$L$1037,MATCH(LARGE(Kalkulasi!$M$1020:$M$1037,2),Kalkulasi!$M$1020:$M$1037,0))&gt;0),INDEX(Kalkulasi!$L$1020:$L$1037,MATCH(LARGE(Kalkulasi!$M$1020:$M$1037,2),Kalkulasi!$M$1020:$M$1037,0)),"")</f>
        <v/>
      </c>
      <c r="R38" s="135">
        <f>IF(Q38="","",IF(P38&gt;=Q38,"On target","Di bawah"))</f>
        <v/>
      </c>
      <c r="S38" s="69">
        <f>IF(INDEX(Kalkulasi!$J$1020:$J$1037,MATCH(LARGE(Kalkulasi!$M$1020:$M$1037,2),Kalkulasi!$M$1020:$M$1037,0))&gt;0,INDEX(Kalkulasi!$O$1020:$O$1037,MATCH(LARGE(Kalkulasi!$M$1020:$M$1037,2),Kalkulasi!$M$1020:$M$1037,0)),"")</f>
        <v/>
      </c>
      <c r="T38" s="78" t="inlineStr"/>
      <c r="U38" s="78" t="inlineStr"/>
      <c r="V38" s="2" t="n"/>
    </row>
    <row r="39" ht="19" customHeight="1">
      <c r="A39" s="1" t="n"/>
      <c r="B39" s="49" t="inlineStr">
        <is>
          <t>Mine Operations Control</t>
        </is>
      </c>
      <c r="C39" s="2" t="n"/>
      <c r="D39" s="67">
        <f>IF(INDEX(Kalkulasi!$J$1020:$J$1037,MATCH(LARGE(Kalkulasi!$M$1020:$M$1037,3),Kalkulasi!$M$1020:$M$1037,0))&gt;0,INDEX(Kalkulasi!$A$1020:$A$1037,MATCH(LARGE(Kalkulasi!$M$1020:$M$1037,3),Kalkulasi!$M$1020:$M$1037,0)),"")</f>
        <v/>
      </c>
      <c r="F39" s="68">
        <f>IF(INDEX(Kalkulasi!$J$1020:$J$1037,MATCH(LARGE(Kalkulasi!$M$1020:$M$1037,3),Kalkulasi!$M$1020:$M$1037,0))&gt;0,INDEX(Kalkulasi!$B$1020:$B$1037,MATCH(LARGE(Kalkulasi!$M$1020:$M$1037,3),Kalkulasi!$M$1020:$M$1037,0)),"")</f>
        <v/>
      </c>
      <c r="H39" s="83">
        <f>IF(INDEX(Kalkulasi!$J$1020:$J$1037,MATCH(LARGE(Kalkulasi!$M$1020:$M$1037,3),Kalkulasi!$M$1020:$M$1037,0))&gt;0,INDEX(Kalkulasi!$C$1020:$C$1037,MATCH(LARGE(Kalkulasi!$M$1020:$M$1037,3),Kalkulasi!$M$1020:$M$1037,0)),"")</f>
        <v/>
      </c>
      <c r="I39" s="69">
        <f>IF(INDEX(Kalkulasi!$J$1020:$J$1037,MATCH(LARGE(Kalkulasi!$M$1020:$M$1037,3),Kalkulasi!$M$1020:$M$1037,0))&gt;0,INDEX(Kalkulasi!$D$1020:$D$1037,MATCH(LARGE(Kalkulasi!$M$1020:$M$1037,3),Kalkulasi!$M$1020:$M$1037,0)),"")</f>
        <v/>
      </c>
      <c r="J39" s="69">
        <f>IF(INDEX(Kalkulasi!$J$1020:$J$1037,MATCH(LARGE(Kalkulasi!$M$1020:$M$1037,3),Kalkulasi!$M$1020:$M$1037,0))&gt;0,INDEX(Kalkulasi!$E$1020:$E$1037,MATCH(LARGE(Kalkulasi!$M$1020:$M$1037,3),Kalkulasi!$M$1020:$M$1037,0)),"")</f>
        <v/>
      </c>
      <c r="K39" s="69">
        <f>IF(AND(INDEX(Kalkulasi!$J$1020:$J$1037,MATCH(LARGE(Kalkulasi!$M$1020:$M$1037,3),Kalkulasi!$M$1020:$M$1037,0))&gt;0,INDEX(Kalkulasi!$F$1020:$F$1037,MATCH(LARGE(Kalkulasi!$M$1020:$M$1037,3),Kalkulasi!$M$1020:$M$1037,0))&gt;0),INDEX(Kalkulasi!$E$1020:$E$1037,MATCH(LARGE(Kalkulasi!$M$1020:$M$1037,3),Kalkulasi!$M$1020:$M$1037,0))/INDEX(Kalkulasi!$F$1020:$F$1037,MATCH(LARGE(Kalkulasi!$M$1020:$M$1037,3),Kalkulasi!$M$1020:$M$1037,0)),"")</f>
        <v/>
      </c>
      <c r="L39" s="69">
        <f>IF(INDEX(Kalkulasi!$J$1020:$J$1037,MATCH(LARGE(Kalkulasi!$M$1020:$M$1037,3),Kalkulasi!$M$1020:$M$1037,0))&gt;0,INDEX(Kalkulasi!$G$1020:$G$1037,MATCH(LARGE(Kalkulasi!$M$1020:$M$1037,3),Kalkulasi!$M$1020:$M$1037,0)),"")</f>
        <v/>
      </c>
      <c r="M39" s="69">
        <f>IF(INDEX(Kalkulasi!$J$1020:$J$1037,MATCH(LARGE(Kalkulasi!$M$1020:$M$1037,3),Kalkulasi!$M$1020:$M$1037,0))&gt;0,INDEX(Kalkulasi!$H$1020:$H$1037,MATCH(LARGE(Kalkulasi!$M$1020:$M$1037,3),Kalkulasi!$M$1020:$M$1037,0)),"")</f>
        <v/>
      </c>
      <c r="N39" s="69">
        <f>IF(AND(INDEX(Kalkulasi!$J$1020:$J$1037,MATCH(LARGE(Kalkulasi!$M$1020:$M$1037,3),Kalkulasi!$M$1020:$M$1037,0))&gt;0,INDEX(Kalkulasi!$I$1020:$I$1037,MATCH(LARGE(Kalkulasi!$M$1020:$M$1037,3),Kalkulasi!$M$1020:$M$1037,0))&gt;0),INDEX(Kalkulasi!$H$1020:$H$1037,MATCH(LARGE(Kalkulasi!$M$1020:$M$1037,3),Kalkulasi!$M$1020:$M$1037,0))/INDEX(Kalkulasi!$I$1020:$I$1037,MATCH(LARGE(Kalkulasi!$M$1020:$M$1037,3),Kalkulasi!$M$1020:$M$1037,0)),"")</f>
        <v/>
      </c>
      <c r="O39" s="110">
        <f>IF(INDEX(Kalkulasi!$J$1020:$J$1037,MATCH(LARGE(Kalkulasi!$M$1020:$M$1037,3),Kalkulasi!$M$1020:$M$1037,0))&gt;0,INDEX(Kalkulasi!$J$1020:$J$1037,MATCH(LARGE(Kalkulasi!$M$1020:$M$1037,3),Kalkulasi!$M$1020:$M$1037,0)),"")</f>
        <v/>
      </c>
      <c r="P39" s="110">
        <f>IF(INDEX(Kalkulasi!$J$1020:$J$1037,MATCH(LARGE(Kalkulasi!$M$1020:$M$1037,3),Kalkulasi!$M$1020:$M$1037,0))&gt;0,INDEX(Kalkulasi!$K$1020:$K$1037,MATCH(LARGE(Kalkulasi!$M$1020:$M$1037,3),Kalkulasi!$M$1020:$M$1037,0)),"")</f>
        <v/>
      </c>
      <c r="Q39" s="114">
        <f>IF(AND(INDEX(Kalkulasi!$J$1020:$J$1037,MATCH(LARGE(Kalkulasi!$M$1020:$M$1037,3),Kalkulasi!$M$1020:$M$1037,0))&gt;0,INDEX(Kalkulasi!$L$1020:$L$1037,MATCH(LARGE(Kalkulasi!$M$1020:$M$1037,3),Kalkulasi!$M$1020:$M$1037,0))&gt;0),INDEX(Kalkulasi!$L$1020:$L$1037,MATCH(LARGE(Kalkulasi!$M$1020:$M$1037,3),Kalkulasi!$M$1020:$M$1037,0)),"")</f>
        <v/>
      </c>
      <c r="R39" s="135">
        <f>IF(Q39="","",IF(P39&gt;=Q39,"On target","Di bawah"))</f>
        <v/>
      </c>
      <c r="S39" s="69">
        <f>IF(INDEX(Kalkulasi!$J$1020:$J$1037,MATCH(LARGE(Kalkulasi!$M$1020:$M$1037,3),Kalkulasi!$M$1020:$M$1037,0))&gt;0,INDEX(Kalkulasi!$O$1020:$O$1037,MATCH(LARGE(Kalkulasi!$M$1020:$M$1037,3),Kalkulasi!$M$1020:$M$1037,0)),"")</f>
        <v/>
      </c>
      <c r="T39" s="78" t="inlineStr"/>
      <c r="U39" s="78" t="inlineStr"/>
      <c r="V39" s="2" t="n"/>
    </row>
    <row r="40" ht="19" customHeight="1">
      <c r="A40" s="1" t="n"/>
      <c r="B40" s="1" t="n"/>
      <c r="C40" s="2" t="n"/>
      <c r="D40" s="67">
        <f>IF(INDEX(Kalkulasi!$J$1020:$J$1037,MATCH(LARGE(Kalkulasi!$M$1020:$M$1037,4),Kalkulasi!$M$1020:$M$1037,0))&gt;0,INDEX(Kalkulasi!$A$1020:$A$1037,MATCH(LARGE(Kalkulasi!$M$1020:$M$1037,4),Kalkulasi!$M$1020:$M$1037,0)),"")</f>
        <v/>
      </c>
      <c r="F40" s="68">
        <f>IF(INDEX(Kalkulasi!$J$1020:$J$1037,MATCH(LARGE(Kalkulasi!$M$1020:$M$1037,4),Kalkulasi!$M$1020:$M$1037,0))&gt;0,INDEX(Kalkulasi!$B$1020:$B$1037,MATCH(LARGE(Kalkulasi!$M$1020:$M$1037,4),Kalkulasi!$M$1020:$M$1037,0)),"")</f>
        <v/>
      </c>
      <c r="H40" s="83">
        <f>IF(INDEX(Kalkulasi!$J$1020:$J$1037,MATCH(LARGE(Kalkulasi!$M$1020:$M$1037,4),Kalkulasi!$M$1020:$M$1037,0))&gt;0,INDEX(Kalkulasi!$C$1020:$C$1037,MATCH(LARGE(Kalkulasi!$M$1020:$M$1037,4),Kalkulasi!$M$1020:$M$1037,0)),"")</f>
        <v/>
      </c>
      <c r="I40" s="69">
        <f>IF(INDEX(Kalkulasi!$J$1020:$J$1037,MATCH(LARGE(Kalkulasi!$M$1020:$M$1037,4),Kalkulasi!$M$1020:$M$1037,0))&gt;0,INDEX(Kalkulasi!$D$1020:$D$1037,MATCH(LARGE(Kalkulasi!$M$1020:$M$1037,4),Kalkulasi!$M$1020:$M$1037,0)),"")</f>
        <v/>
      </c>
      <c r="J40" s="69">
        <f>IF(INDEX(Kalkulasi!$J$1020:$J$1037,MATCH(LARGE(Kalkulasi!$M$1020:$M$1037,4),Kalkulasi!$M$1020:$M$1037,0))&gt;0,INDEX(Kalkulasi!$E$1020:$E$1037,MATCH(LARGE(Kalkulasi!$M$1020:$M$1037,4),Kalkulasi!$M$1020:$M$1037,0)),"")</f>
        <v/>
      </c>
      <c r="K40" s="69">
        <f>IF(AND(INDEX(Kalkulasi!$J$1020:$J$1037,MATCH(LARGE(Kalkulasi!$M$1020:$M$1037,4),Kalkulasi!$M$1020:$M$1037,0))&gt;0,INDEX(Kalkulasi!$F$1020:$F$1037,MATCH(LARGE(Kalkulasi!$M$1020:$M$1037,4),Kalkulasi!$M$1020:$M$1037,0))&gt;0),INDEX(Kalkulasi!$E$1020:$E$1037,MATCH(LARGE(Kalkulasi!$M$1020:$M$1037,4),Kalkulasi!$M$1020:$M$1037,0))/INDEX(Kalkulasi!$F$1020:$F$1037,MATCH(LARGE(Kalkulasi!$M$1020:$M$1037,4),Kalkulasi!$M$1020:$M$1037,0)),"")</f>
        <v/>
      </c>
      <c r="L40" s="69">
        <f>IF(INDEX(Kalkulasi!$J$1020:$J$1037,MATCH(LARGE(Kalkulasi!$M$1020:$M$1037,4),Kalkulasi!$M$1020:$M$1037,0))&gt;0,INDEX(Kalkulasi!$G$1020:$G$1037,MATCH(LARGE(Kalkulasi!$M$1020:$M$1037,4),Kalkulasi!$M$1020:$M$1037,0)),"")</f>
        <v/>
      </c>
      <c r="M40" s="69">
        <f>IF(INDEX(Kalkulasi!$J$1020:$J$1037,MATCH(LARGE(Kalkulasi!$M$1020:$M$1037,4),Kalkulasi!$M$1020:$M$1037,0))&gt;0,INDEX(Kalkulasi!$H$1020:$H$1037,MATCH(LARGE(Kalkulasi!$M$1020:$M$1037,4),Kalkulasi!$M$1020:$M$1037,0)),"")</f>
        <v/>
      </c>
      <c r="N40" s="69">
        <f>IF(AND(INDEX(Kalkulasi!$J$1020:$J$1037,MATCH(LARGE(Kalkulasi!$M$1020:$M$1037,4),Kalkulasi!$M$1020:$M$1037,0))&gt;0,INDEX(Kalkulasi!$I$1020:$I$1037,MATCH(LARGE(Kalkulasi!$M$1020:$M$1037,4),Kalkulasi!$M$1020:$M$1037,0))&gt;0),INDEX(Kalkulasi!$H$1020:$H$1037,MATCH(LARGE(Kalkulasi!$M$1020:$M$1037,4),Kalkulasi!$M$1020:$M$1037,0))/INDEX(Kalkulasi!$I$1020:$I$1037,MATCH(LARGE(Kalkulasi!$M$1020:$M$1037,4),Kalkulasi!$M$1020:$M$1037,0)),"")</f>
        <v/>
      </c>
      <c r="O40" s="110">
        <f>IF(INDEX(Kalkulasi!$J$1020:$J$1037,MATCH(LARGE(Kalkulasi!$M$1020:$M$1037,4),Kalkulasi!$M$1020:$M$1037,0))&gt;0,INDEX(Kalkulasi!$J$1020:$J$1037,MATCH(LARGE(Kalkulasi!$M$1020:$M$1037,4),Kalkulasi!$M$1020:$M$1037,0)),"")</f>
        <v/>
      </c>
      <c r="P40" s="110">
        <f>IF(INDEX(Kalkulasi!$J$1020:$J$1037,MATCH(LARGE(Kalkulasi!$M$1020:$M$1037,4),Kalkulasi!$M$1020:$M$1037,0))&gt;0,INDEX(Kalkulasi!$K$1020:$K$1037,MATCH(LARGE(Kalkulasi!$M$1020:$M$1037,4),Kalkulasi!$M$1020:$M$1037,0)),"")</f>
        <v/>
      </c>
      <c r="Q40" s="114">
        <f>IF(AND(INDEX(Kalkulasi!$J$1020:$J$1037,MATCH(LARGE(Kalkulasi!$M$1020:$M$1037,4),Kalkulasi!$M$1020:$M$1037,0))&gt;0,INDEX(Kalkulasi!$L$1020:$L$1037,MATCH(LARGE(Kalkulasi!$M$1020:$M$1037,4),Kalkulasi!$M$1020:$M$1037,0))&gt;0),INDEX(Kalkulasi!$L$1020:$L$1037,MATCH(LARGE(Kalkulasi!$M$1020:$M$1037,4),Kalkulasi!$M$1020:$M$1037,0)),"")</f>
        <v/>
      </c>
      <c r="R40" s="135">
        <f>IF(Q40="","",IF(P40&gt;=Q40,"On target","Di bawah"))</f>
        <v/>
      </c>
      <c r="S40" s="69">
        <f>IF(INDEX(Kalkulasi!$J$1020:$J$1037,MATCH(LARGE(Kalkulasi!$M$1020:$M$1037,4),Kalkulasi!$M$1020:$M$1037,0))&gt;0,INDEX(Kalkulasi!$O$1020:$O$1037,MATCH(LARGE(Kalkulasi!$M$1020:$M$1037,4),Kalkulasi!$M$1020:$M$1037,0)),"")</f>
        <v/>
      </c>
      <c r="T40" s="78" t="inlineStr"/>
      <c r="U40" s="78" t="inlineStr"/>
      <c r="V40" s="2" t="n"/>
    </row>
    <row r="41" ht="19" customHeight="1">
      <c r="A41" s="1" t="n"/>
      <c r="B41" s="1" t="n"/>
      <c r="C41" s="2" t="n"/>
      <c r="D41" s="67">
        <f>IF(INDEX(Kalkulasi!$J$1020:$J$1037,MATCH(LARGE(Kalkulasi!$M$1020:$M$1037,5),Kalkulasi!$M$1020:$M$1037,0))&gt;0,INDEX(Kalkulasi!$A$1020:$A$1037,MATCH(LARGE(Kalkulasi!$M$1020:$M$1037,5),Kalkulasi!$M$1020:$M$1037,0)),"")</f>
        <v/>
      </c>
      <c r="F41" s="68">
        <f>IF(INDEX(Kalkulasi!$J$1020:$J$1037,MATCH(LARGE(Kalkulasi!$M$1020:$M$1037,5),Kalkulasi!$M$1020:$M$1037,0))&gt;0,INDEX(Kalkulasi!$B$1020:$B$1037,MATCH(LARGE(Kalkulasi!$M$1020:$M$1037,5),Kalkulasi!$M$1020:$M$1037,0)),"")</f>
        <v/>
      </c>
      <c r="H41" s="83">
        <f>IF(INDEX(Kalkulasi!$J$1020:$J$1037,MATCH(LARGE(Kalkulasi!$M$1020:$M$1037,5),Kalkulasi!$M$1020:$M$1037,0))&gt;0,INDEX(Kalkulasi!$C$1020:$C$1037,MATCH(LARGE(Kalkulasi!$M$1020:$M$1037,5),Kalkulasi!$M$1020:$M$1037,0)),"")</f>
        <v/>
      </c>
      <c r="I41" s="69">
        <f>IF(INDEX(Kalkulasi!$J$1020:$J$1037,MATCH(LARGE(Kalkulasi!$M$1020:$M$1037,5),Kalkulasi!$M$1020:$M$1037,0))&gt;0,INDEX(Kalkulasi!$D$1020:$D$1037,MATCH(LARGE(Kalkulasi!$M$1020:$M$1037,5),Kalkulasi!$M$1020:$M$1037,0)),"")</f>
        <v/>
      </c>
      <c r="J41" s="69">
        <f>IF(INDEX(Kalkulasi!$J$1020:$J$1037,MATCH(LARGE(Kalkulasi!$M$1020:$M$1037,5),Kalkulasi!$M$1020:$M$1037,0))&gt;0,INDEX(Kalkulasi!$E$1020:$E$1037,MATCH(LARGE(Kalkulasi!$M$1020:$M$1037,5),Kalkulasi!$M$1020:$M$1037,0)),"")</f>
        <v/>
      </c>
      <c r="K41" s="69">
        <f>IF(AND(INDEX(Kalkulasi!$J$1020:$J$1037,MATCH(LARGE(Kalkulasi!$M$1020:$M$1037,5),Kalkulasi!$M$1020:$M$1037,0))&gt;0,INDEX(Kalkulasi!$F$1020:$F$1037,MATCH(LARGE(Kalkulasi!$M$1020:$M$1037,5),Kalkulasi!$M$1020:$M$1037,0))&gt;0),INDEX(Kalkulasi!$E$1020:$E$1037,MATCH(LARGE(Kalkulasi!$M$1020:$M$1037,5),Kalkulasi!$M$1020:$M$1037,0))/INDEX(Kalkulasi!$F$1020:$F$1037,MATCH(LARGE(Kalkulasi!$M$1020:$M$1037,5),Kalkulasi!$M$1020:$M$1037,0)),"")</f>
        <v/>
      </c>
      <c r="L41" s="69">
        <f>IF(INDEX(Kalkulasi!$J$1020:$J$1037,MATCH(LARGE(Kalkulasi!$M$1020:$M$1037,5),Kalkulasi!$M$1020:$M$1037,0))&gt;0,INDEX(Kalkulasi!$G$1020:$G$1037,MATCH(LARGE(Kalkulasi!$M$1020:$M$1037,5),Kalkulasi!$M$1020:$M$1037,0)),"")</f>
        <v/>
      </c>
      <c r="M41" s="69">
        <f>IF(INDEX(Kalkulasi!$J$1020:$J$1037,MATCH(LARGE(Kalkulasi!$M$1020:$M$1037,5),Kalkulasi!$M$1020:$M$1037,0))&gt;0,INDEX(Kalkulasi!$H$1020:$H$1037,MATCH(LARGE(Kalkulasi!$M$1020:$M$1037,5),Kalkulasi!$M$1020:$M$1037,0)),"")</f>
        <v/>
      </c>
      <c r="N41" s="69">
        <f>IF(AND(INDEX(Kalkulasi!$J$1020:$J$1037,MATCH(LARGE(Kalkulasi!$M$1020:$M$1037,5),Kalkulasi!$M$1020:$M$1037,0))&gt;0,INDEX(Kalkulasi!$I$1020:$I$1037,MATCH(LARGE(Kalkulasi!$M$1020:$M$1037,5),Kalkulasi!$M$1020:$M$1037,0))&gt;0),INDEX(Kalkulasi!$H$1020:$H$1037,MATCH(LARGE(Kalkulasi!$M$1020:$M$1037,5),Kalkulasi!$M$1020:$M$1037,0))/INDEX(Kalkulasi!$I$1020:$I$1037,MATCH(LARGE(Kalkulasi!$M$1020:$M$1037,5),Kalkulasi!$M$1020:$M$1037,0)),"")</f>
        <v/>
      </c>
      <c r="O41" s="110">
        <f>IF(INDEX(Kalkulasi!$J$1020:$J$1037,MATCH(LARGE(Kalkulasi!$M$1020:$M$1037,5),Kalkulasi!$M$1020:$M$1037,0))&gt;0,INDEX(Kalkulasi!$J$1020:$J$1037,MATCH(LARGE(Kalkulasi!$M$1020:$M$1037,5),Kalkulasi!$M$1020:$M$1037,0)),"")</f>
        <v/>
      </c>
      <c r="P41" s="110">
        <f>IF(INDEX(Kalkulasi!$J$1020:$J$1037,MATCH(LARGE(Kalkulasi!$M$1020:$M$1037,5),Kalkulasi!$M$1020:$M$1037,0))&gt;0,INDEX(Kalkulasi!$K$1020:$K$1037,MATCH(LARGE(Kalkulasi!$M$1020:$M$1037,5),Kalkulasi!$M$1020:$M$1037,0)),"")</f>
        <v/>
      </c>
      <c r="Q41" s="114">
        <f>IF(AND(INDEX(Kalkulasi!$J$1020:$J$1037,MATCH(LARGE(Kalkulasi!$M$1020:$M$1037,5),Kalkulasi!$M$1020:$M$1037,0))&gt;0,INDEX(Kalkulasi!$L$1020:$L$1037,MATCH(LARGE(Kalkulasi!$M$1020:$M$1037,5),Kalkulasi!$M$1020:$M$1037,0))&gt;0),INDEX(Kalkulasi!$L$1020:$L$1037,MATCH(LARGE(Kalkulasi!$M$1020:$M$1037,5),Kalkulasi!$M$1020:$M$1037,0)),"")</f>
        <v/>
      </c>
      <c r="R41" s="135">
        <f>IF(Q41="","",IF(P41&gt;=Q41,"On target","Di bawah"))</f>
        <v/>
      </c>
      <c r="S41" s="69">
        <f>IF(INDEX(Kalkulasi!$J$1020:$J$1037,MATCH(LARGE(Kalkulasi!$M$1020:$M$1037,5),Kalkulasi!$M$1020:$M$1037,0))&gt;0,INDEX(Kalkulasi!$O$1020:$O$1037,MATCH(LARGE(Kalkulasi!$M$1020:$M$1037,5),Kalkulasi!$M$1020:$M$1037,0)),"")</f>
        <v/>
      </c>
      <c r="T41" s="78" t="inlineStr"/>
      <c r="U41" s="78" t="inlineStr"/>
      <c r="V41" s="2" t="n"/>
    </row>
    <row r="42" ht="19" customHeight="1">
      <c r="A42" s="1" t="n"/>
      <c r="B42" s="1" t="n"/>
      <c r="C42" s="2" t="n"/>
      <c r="D42" s="67">
        <f>IF(INDEX(Kalkulasi!$J$1020:$J$1037,MATCH(LARGE(Kalkulasi!$M$1020:$M$1037,6),Kalkulasi!$M$1020:$M$1037,0))&gt;0,INDEX(Kalkulasi!$A$1020:$A$1037,MATCH(LARGE(Kalkulasi!$M$1020:$M$1037,6),Kalkulasi!$M$1020:$M$1037,0)),"")</f>
        <v/>
      </c>
      <c r="F42" s="68">
        <f>IF(INDEX(Kalkulasi!$J$1020:$J$1037,MATCH(LARGE(Kalkulasi!$M$1020:$M$1037,6),Kalkulasi!$M$1020:$M$1037,0))&gt;0,INDEX(Kalkulasi!$B$1020:$B$1037,MATCH(LARGE(Kalkulasi!$M$1020:$M$1037,6),Kalkulasi!$M$1020:$M$1037,0)),"")</f>
        <v/>
      </c>
      <c r="H42" s="83">
        <f>IF(INDEX(Kalkulasi!$J$1020:$J$1037,MATCH(LARGE(Kalkulasi!$M$1020:$M$1037,6),Kalkulasi!$M$1020:$M$1037,0))&gt;0,INDEX(Kalkulasi!$C$1020:$C$1037,MATCH(LARGE(Kalkulasi!$M$1020:$M$1037,6),Kalkulasi!$M$1020:$M$1037,0)),"")</f>
        <v/>
      </c>
      <c r="I42" s="69">
        <f>IF(INDEX(Kalkulasi!$J$1020:$J$1037,MATCH(LARGE(Kalkulasi!$M$1020:$M$1037,6),Kalkulasi!$M$1020:$M$1037,0))&gt;0,INDEX(Kalkulasi!$D$1020:$D$1037,MATCH(LARGE(Kalkulasi!$M$1020:$M$1037,6),Kalkulasi!$M$1020:$M$1037,0)),"")</f>
        <v/>
      </c>
      <c r="J42" s="69">
        <f>IF(INDEX(Kalkulasi!$J$1020:$J$1037,MATCH(LARGE(Kalkulasi!$M$1020:$M$1037,6),Kalkulasi!$M$1020:$M$1037,0))&gt;0,INDEX(Kalkulasi!$E$1020:$E$1037,MATCH(LARGE(Kalkulasi!$M$1020:$M$1037,6),Kalkulasi!$M$1020:$M$1037,0)),"")</f>
        <v/>
      </c>
      <c r="K42" s="69">
        <f>IF(AND(INDEX(Kalkulasi!$J$1020:$J$1037,MATCH(LARGE(Kalkulasi!$M$1020:$M$1037,6),Kalkulasi!$M$1020:$M$1037,0))&gt;0,INDEX(Kalkulasi!$F$1020:$F$1037,MATCH(LARGE(Kalkulasi!$M$1020:$M$1037,6),Kalkulasi!$M$1020:$M$1037,0))&gt;0),INDEX(Kalkulasi!$E$1020:$E$1037,MATCH(LARGE(Kalkulasi!$M$1020:$M$1037,6),Kalkulasi!$M$1020:$M$1037,0))/INDEX(Kalkulasi!$F$1020:$F$1037,MATCH(LARGE(Kalkulasi!$M$1020:$M$1037,6),Kalkulasi!$M$1020:$M$1037,0)),"")</f>
        <v/>
      </c>
      <c r="L42" s="69">
        <f>IF(INDEX(Kalkulasi!$J$1020:$J$1037,MATCH(LARGE(Kalkulasi!$M$1020:$M$1037,6),Kalkulasi!$M$1020:$M$1037,0))&gt;0,INDEX(Kalkulasi!$G$1020:$G$1037,MATCH(LARGE(Kalkulasi!$M$1020:$M$1037,6),Kalkulasi!$M$1020:$M$1037,0)),"")</f>
        <v/>
      </c>
      <c r="M42" s="69">
        <f>IF(INDEX(Kalkulasi!$J$1020:$J$1037,MATCH(LARGE(Kalkulasi!$M$1020:$M$1037,6),Kalkulasi!$M$1020:$M$1037,0))&gt;0,INDEX(Kalkulasi!$H$1020:$H$1037,MATCH(LARGE(Kalkulasi!$M$1020:$M$1037,6),Kalkulasi!$M$1020:$M$1037,0)),"")</f>
        <v/>
      </c>
      <c r="N42" s="69">
        <f>IF(AND(INDEX(Kalkulasi!$J$1020:$J$1037,MATCH(LARGE(Kalkulasi!$M$1020:$M$1037,6),Kalkulasi!$M$1020:$M$1037,0))&gt;0,INDEX(Kalkulasi!$I$1020:$I$1037,MATCH(LARGE(Kalkulasi!$M$1020:$M$1037,6),Kalkulasi!$M$1020:$M$1037,0))&gt;0),INDEX(Kalkulasi!$H$1020:$H$1037,MATCH(LARGE(Kalkulasi!$M$1020:$M$1037,6),Kalkulasi!$M$1020:$M$1037,0))/INDEX(Kalkulasi!$I$1020:$I$1037,MATCH(LARGE(Kalkulasi!$M$1020:$M$1037,6),Kalkulasi!$M$1020:$M$1037,0)),"")</f>
        <v/>
      </c>
      <c r="O42" s="110">
        <f>IF(INDEX(Kalkulasi!$J$1020:$J$1037,MATCH(LARGE(Kalkulasi!$M$1020:$M$1037,6),Kalkulasi!$M$1020:$M$1037,0))&gt;0,INDEX(Kalkulasi!$J$1020:$J$1037,MATCH(LARGE(Kalkulasi!$M$1020:$M$1037,6),Kalkulasi!$M$1020:$M$1037,0)),"")</f>
        <v/>
      </c>
      <c r="P42" s="110">
        <f>IF(INDEX(Kalkulasi!$J$1020:$J$1037,MATCH(LARGE(Kalkulasi!$M$1020:$M$1037,6),Kalkulasi!$M$1020:$M$1037,0))&gt;0,INDEX(Kalkulasi!$K$1020:$K$1037,MATCH(LARGE(Kalkulasi!$M$1020:$M$1037,6),Kalkulasi!$M$1020:$M$1037,0)),"")</f>
        <v/>
      </c>
      <c r="Q42" s="114">
        <f>IF(AND(INDEX(Kalkulasi!$J$1020:$J$1037,MATCH(LARGE(Kalkulasi!$M$1020:$M$1037,6),Kalkulasi!$M$1020:$M$1037,0))&gt;0,INDEX(Kalkulasi!$L$1020:$L$1037,MATCH(LARGE(Kalkulasi!$M$1020:$M$1037,6),Kalkulasi!$M$1020:$M$1037,0))&gt;0),INDEX(Kalkulasi!$L$1020:$L$1037,MATCH(LARGE(Kalkulasi!$M$1020:$M$1037,6),Kalkulasi!$M$1020:$M$1037,0)),"")</f>
        <v/>
      </c>
      <c r="R42" s="135">
        <f>IF(Q42="","",IF(P42&gt;=Q42,"On target","Di bawah"))</f>
        <v/>
      </c>
      <c r="S42" s="69">
        <f>IF(INDEX(Kalkulasi!$J$1020:$J$1037,MATCH(LARGE(Kalkulasi!$M$1020:$M$1037,6),Kalkulasi!$M$1020:$M$1037,0))&gt;0,INDEX(Kalkulasi!$O$1020:$O$1037,MATCH(LARGE(Kalkulasi!$M$1020:$M$1037,6),Kalkulasi!$M$1020:$M$1037,0)),"")</f>
        <v/>
      </c>
      <c r="T42" s="78" t="inlineStr"/>
      <c r="U42" s="78" t="inlineStr"/>
      <c r="V42" s="2" t="n"/>
    </row>
    <row r="43" ht="19" customHeight="1">
      <c r="A43" s="1" t="n"/>
      <c r="B43" s="1" t="n"/>
      <c r="C43" s="2" t="n"/>
      <c r="D43" s="67">
        <f>IF(INDEX(Kalkulasi!$J$1020:$J$1037,MATCH(LARGE(Kalkulasi!$M$1020:$M$1037,7),Kalkulasi!$M$1020:$M$1037,0))&gt;0,INDEX(Kalkulasi!$A$1020:$A$1037,MATCH(LARGE(Kalkulasi!$M$1020:$M$1037,7),Kalkulasi!$M$1020:$M$1037,0)),"")</f>
        <v/>
      </c>
      <c r="F43" s="68">
        <f>IF(INDEX(Kalkulasi!$J$1020:$J$1037,MATCH(LARGE(Kalkulasi!$M$1020:$M$1037,7),Kalkulasi!$M$1020:$M$1037,0))&gt;0,INDEX(Kalkulasi!$B$1020:$B$1037,MATCH(LARGE(Kalkulasi!$M$1020:$M$1037,7),Kalkulasi!$M$1020:$M$1037,0)),"")</f>
        <v/>
      </c>
      <c r="H43" s="83">
        <f>IF(INDEX(Kalkulasi!$J$1020:$J$1037,MATCH(LARGE(Kalkulasi!$M$1020:$M$1037,7),Kalkulasi!$M$1020:$M$1037,0))&gt;0,INDEX(Kalkulasi!$C$1020:$C$1037,MATCH(LARGE(Kalkulasi!$M$1020:$M$1037,7),Kalkulasi!$M$1020:$M$1037,0)),"")</f>
        <v/>
      </c>
      <c r="I43" s="69">
        <f>IF(INDEX(Kalkulasi!$J$1020:$J$1037,MATCH(LARGE(Kalkulasi!$M$1020:$M$1037,7),Kalkulasi!$M$1020:$M$1037,0))&gt;0,INDEX(Kalkulasi!$D$1020:$D$1037,MATCH(LARGE(Kalkulasi!$M$1020:$M$1037,7),Kalkulasi!$M$1020:$M$1037,0)),"")</f>
        <v/>
      </c>
      <c r="J43" s="69">
        <f>IF(INDEX(Kalkulasi!$J$1020:$J$1037,MATCH(LARGE(Kalkulasi!$M$1020:$M$1037,7),Kalkulasi!$M$1020:$M$1037,0))&gt;0,INDEX(Kalkulasi!$E$1020:$E$1037,MATCH(LARGE(Kalkulasi!$M$1020:$M$1037,7),Kalkulasi!$M$1020:$M$1037,0)),"")</f>
        <v/>
      </c>
      <c r="K43" s="69">
        <f>IF(AND(INDEX(Kalkulasi!$J$1020:$J$1037,MATCH(LARGE(Kalkulasi!$M$1020:$M$1037,7),Kalkulasi!$M$1020:$M$1037,0))&gt;0,INDEX(Kalkulasi!$F$1020:$F$1037,MATCH(LARGE(Kalkulasi!$M$1020:$M$1037,7),Kalkulasi!$M$1020:$M$1037,0))&gt;0),INDEX(Kalkulasi!$E$1020:$E$1037,MATCH(LARGE(Kalkulasi!$M$1020:$M$1037,7),Kalkulasi!$M$1020:$M$1037,0))/INDEX(Kalkulasi!$F$1020:$F$1037,MATCH(LARGE(Kalkulasi!$M$1020:$M$1037,7),Kalkulasi!$M$1020:$M$1037,0)),"")</f>
        <v/>
      </c>
      <c r="L43" s="69">
        <f>IF(INDEX(Kalkulasi!$J$1020:$J$1037,MATCH(LARGE(Kalkulasi!$M$1020:$M$1037,7),Kalkulasi!$M$1020:$M$1037,0))&gt;0,INDEX(Kalkulasi!$G$1020:$G$1037,MATCH(LARGE(Kalkulasi!$M$1020:$M$1037,7),Kalkulasi!$M$1020:$M$1037,0)),"")</f>
        <v/>
      </c>
      <c r="M43" s="69">
        <f>IF(INDEX(Kalkulasi!$J$1020:$J$1037,MATCH(LARGE(Kalkulasi!$M$1020:$M$1037,7),Kalkulasi!$M$1020:$M$1037,0))&gt;0,INDEX(Kalkulasi!$H$1020:$H$1037,MATCH(LARGE(Kalkulasi!$M$1020:$M$1037,7),Kalkulasi!$M$1020:$M$1037,0)),"")</f>
        <v/>
      </c>
      <c r="N43" s="69">
        <f>IF(AND(INDEX(Kalkulasi!$J$1020:$J$1037,MATCH(LARGE(Kalkulasi!$M$1020:$M$1037,7),Kalkulasi!$M$1020:$M$1037,0))&gt;0,INDEX(Kalkulasi!$I$1020:$I$1037,MATCH(LARGE(Kalkulasi!$M$1020:$M$1037,7),Kalkulasi!$M$1020:$M$1037,0))&gt;0),INDEX(Kalkulasi!$H$1020:$H$1037,MATCH(LARGE(Kalkulasi!$M$1020:$M$1037,7),Kalkulasi!$M$1020:$M$1037,0))/INDEX(Kalkulasi!$I$1020:$I$1037,MATCH(LARGE(Kalkulasi!$M$1020:$M$1037,7),Kalkulasi!$M$1020:$M$1037,0)),"")</f>
        <v/>
      </c>
      <c r="O43" s="110">
        <f>IF(INDEX(Kalkulasi!$J$1020:$J$1037,MATCH(LARGE(Kalkulasi!$M$1020:$M$1037,7),Kalkulasi!$M$1020:$M$1037,0))&gt;0,INDEX(Kalkulasi!$J$1020:$J$1037,MATCH(LARGE(Kalkulasi!$M$1020:$M$1037,7),Kalkulasi!$M$1020:$M$1037,0)),"")</f>
        <v/>
      </c>
      <c r="P43" s="110">
        <f>IF(INDEX(Kalkulasi!$J$1020:$J$1037,MATCH(LARGE(Kalkulasi!$M$1020:$M$1037,7),Kalkulasi!$M$1020:$M$1037,0))&gt;0,INDEX(Kalkulasi!$K$1020:$K$1037,MATCH(LARGE(Kalkulasi!$M$1020:$M$1037,7),Kalkulasi!$M$1020:$M$1037,0)),"")</f>
        <v/>
      </c>
      <c r="Q43" s="114">
        <f>IF(AND(INDEX(Kalkulasi!$J$1020:$J$1037,MATCH(LARGE(Kalkulasi!$M$1020:$M$1037,7),Kalkulasi!$M$1020:$M$1037,0))&gt;0,INDEX(Kalkulasi!$L$1020:$L$1037,MATCH(LARGE(Kalkulasi!$M$1020:$M$1037,7),Kalkulasi!$M$1020:$M$1037,0))&gt;0),INDEX(Kalkulasi!$L$1020:$L$1037,MATCH(LARGE(Kalkulasi!$M$1020:$M$1037,7),Kalkulasi!$M$1020:$M$1037,0)),"")</f>
        <v/>
      </c>
      <c r="R43" s="135">
        <f>IF(Q43="","",IF(P43&gt;=Q43,"On target","Di bawah"))</f>
        <v/>
      </c>
      <c r="S43" s="69">
        <f>IF(INDEX(Kalkulasi!$J$1020:$J$1037,MATCH(LARGE(Kalkulasi!$M$1020:$M$1037,7),Kalkulasi!$M$1020:$M$1037,0))&gt;0,INDEX(Kalkulasi!$O$1020:$O$1037,MATCH(LARGE(Kalkulasi!$M$1020:$M$1037,7),Kalkulasi!$M$1020:$M$1037,0)),"")</f>
        <v/>
      </c>
      <c r="T43" s="78" t="inlineStr"/>
      <c r="U43" s="78" t="inlineStr"/>
      <c r="V43" s="2" t="n"/>
    </row>
    <row r="44" ht="19" customHeight="1">
      <c r="A44" s="1" t="n"/>
      <c r="B44" s="1" t="n"/>
      <c r="C44" s="2" t="n"/>
      <c r="D44" s="67">
        <f>IF(INDEX(Kalkulasi!$J$1020:$J$1037,MATCH(LARGE(Kalkulasi!$M$1020:$M$1037,8),Kalkulasi!$M$1020:$M$1037,0))&gt;0,INDEX(Kalkulasi!$A$1020:$A$1037,MATCH(LARGE(Kalkulasi!$M$1020:$M$1037,8),Kalkulasi!$M$1020:$M$1037,0)),"")</f>
        <v/>
      </c>
      <c r="F44" s="68">
        <f>IF(INDEX(Kalkulasi!$J$1020:$J$1037,MATCH(LARGE(Kalkulasi!$M$1020:$M$1037,8),Kalkulasi!$M$1020:$M$1037,0))&gt;0,INDEX(Kalkulasi!$B$1020:$B$1037,MATCH(LARGE(Kalkulasi!$M$1020:$M$1037,8),Kalkulasi!$M$1020:$M$1037,0)),"")</f>
        <v/>
      </c>
      <c r="H44" s="83">
        <f>IF(INDEX(Kalkulasi!$J$1020:$J$1037,MATCH(LARGE(Kalkulasi!$M$1020:$M$1037,8),Kalkulasi!$M$1020:$M$1037,0))&gt;0,INDEX(Kalkulasi!$C$1020:$C$1037,MATCH(LARGE(Kalkulasi!$M$1020:$M$1037,8),Kalkulasi!$M$1020:$M$1037,0)),"")</f>
        <v/>
      </c>
      <c r="I44" s="69">
        <f>IF(INDEX(Kalkulasi!$J$1020:$J$1037,MATCH(LARGE(Kalkulasi!$M$1020:$M$1037,8),Kalkulasi!$M$1020:$M$1037,0))&gt;0,INDEX(Kalkulasi!$D$1020:$D$1037,MATCH(LARGE(Kalkulasi!$M$1020:$M$1037,8),Kalkulasi!$M$1020:$M$1037,0)),"")</f>
        <v/>
      </c>
      <c r="J44" s="69">
        <f>IF(INDEX(Kalkulasi!$J$1020:$J$1037,MATCH(LARGE(Kalkulasi!$M$1020:$M$1037,8),Kalkulasi!$M$1020:$M$1037,0))&gt;0,INDEX(Kalkulasi!$E$1020:$E$1037,MATCH(LARGE(Kalkulasi!$M$1020:$M$1037,8),Kalkulasi!$M$1020:$M$1037,0)),"")</f>
        <v/>
      </c>
      <c r="K44" s="69">
        <f>IF(AND(INDEX(Kalkulasi!$J$1020:$J$1037,MATCH(LARGE(Kalkulasi!$M$1020:$M$1037,8),Kalkulasi!$M$1020:$M$1037,0))&gt;0,INDEX(Kalkulasi!$F$1020:$F$1037,MATCH(LARGE(Kalkulasi!$M$1020:$M$1037,8),Kalkulasi!$M$1020:$M$1037,0))&gt;0),INDEX(Kalkulasi!$E$1020:$E$1037,MATCH(LARGE(Kalkulasi!$M$1020:$M$1037,8),Kalkulasi!$M$1020:$M$1037,0))/INDEX(Kalkulasi!$F$1020:$F$1037,MATCH(LARGE(Kalkulasi!$M$1020:$M$1037,8),Kalkulasi!$M$1020:$M$1037,0)),"")</f>
        <v/>
      </c>
      <c r="L44" s="69">
        <f>IF(INDEX(Kalkulasi!$J$1020:$J$1037,MATCH(LARGE(Kalkulasi!$M$1020:$M$1037,8),Kalkulasi!$M$1020:$M$1037,0))&gt;0,INDEX(Kalkulasi!$G$1020:$G$1037,MATCH(LARGE(Kalkulasi!$M$1020:$M$1037,8),Kalkulasi!$M$1020:$M$1037,0)),"")</f>
        <v/>
      </c>
      <c r="M44" s="69">
        <f>IF(INDEX(Kalkulasi!$J$1020:$J$1037,MATCH(LARGE(Kalkulasi!$M$1020:$M$1037,8),Kalkulasi!$M$1020:$M$1037,0))&gt;0,INDEX(Kalkulasi!$H$1020:$H$1037,MATCH(LARGE(Kalkulasi!$M$1020:$M$1037,8),Kalkulasi!$M$1020:$M$1037,0)),"")</f>
        <v/>
      </c>
      <c r="N44" s="69">
        <f>IF(AND(INDEX(Kalkulasi!$J$1020:$J$1037,MATCH(LARGE(Kalkulasi!$M$1020:$M$1037,8),Kalkulasi!$M$1020:$M$1037,0))&gt;0,INDEX(Kalkulasi!$I$1020:$I$1037,MATCH(LARGE(Kalkulasi!$M$1020:$M$1037,8),Kalkulasi!$M$1020:$M$1037,0))&gt;0),INDEX(Kalkulasi!$H$1020:$H$1037,MATCH(LARGE(Kalkulasi!$M$1020:$M$1037,8),Kalkulasi!$M$1020:$M$1037,0))/INDEX(Kalkulasi!$I$1020:$I$1037,MATCH(LARGE(Kalkulasi!$M$1020:$M$1037,8),Kalkulasi!$M$1020:$M$1037,0)),"")</f>
        <v/>
      </c>
      <c r="O44" s="110">
        <f>IF(INDEX(Kalkulasi!$J$1020:$J$1037,MATCH(LARGE(Kalkulasi!$M$1020:$M$1037,8),Kalkulasi!$M$1020:$M$1037,0))&gt;0,INDEX(Kalkulasi!$J$1020:$J$1037,MATCH(LARGE(Kalkulasi!$M$1020:$M$1037,8),Kalkulasi!$M$1020:$M$1037,0)),"")</f>
        <v/>
      </c>
      <c r="P44" s="110">
        <f>IF(INDEX(Kalkulasi!$J$1020:$J$1037,MATCH(LARGE(Kalkulasi!$M$1020:$M$1037,8),Kalkulasi!$M$1020:$M$1037,0))&gt;0,INDEX(Kalkulasi!$K$1020:$K$1037,MATCH(LARGE(Kalkulasi!$M$1020:$M$1037,8),Kalkulasi!$M$1020:$M$1037,0)),"")</f>
        <v/>
      </c>
      <c r="Q44" s="114">
        <f>IF(AND(INDEX(Kalkulasi!$J$1020:$J$1037,MATCH(LARGE(Kalkulasi!$M$1020:$M$1037,8),Kalkulasi!$M$1020:$M$1037,0))&gt;0,INDEX(Kalkulasi!$L$1020:$L$1037,MATCH(LARGE(Kalkulasi!$M$1020:$M$1037,8),Kalkulasi!$M$1020:$M$1037,0))&gt;0),INDEX(Kalkulasi!$L$1020:$L$1037,MATCH(LARGE(Kalkulasi!$M$1020:$M$1037,8),Kalkulasi!$M$1020:$M$1037,0)),"")</f>
        <v/>
      </c>
      <c r="R44" s="135">
        <f>IF(Q44="","",IF(P44&gt;=Q44,"On target","Di bawah"))</f>
        <v/>
      </c>
      <c r="S44" s="69">
        <f>IF(INDEX(Kalkulasi!$J$1020:$J$1037,MATCH(LARGE(Kalkulasi!$M$1020:$M$1037,8),Kalkulasi!$M$1020:$M$1037,0))&gt;0,INDEX(Kalkulasi!$O$1020:$O$1037,MATCH(LARGE(Kalkulasi!$M$1020:$M$1037,8),Kalkulasi!$M$1020:$M$1037,0)),"")</f>
        <v/>
      </c>
      <c r="T44" s="78" t="inlineStr"/>
      <c r="U44" s="78" t="inlineStr"/>
      <c r="V44" s="2" t="n"/>
    </row>
    <row r="45" ht="19" customHeight="1">
      <c r="A45" s="1" t="n"/>
      <c r="B45" s="1" t="n"/>
      <c r="C45" s="2" t="n"/>
      <c r="D45" s="67">
        <f>IF(INDEX(Kalkulasi!$J$1020:$J$1037,MATCH(LARGE(Kalkulasi!$M$1020:$M$1037,9),Kalkulasi!$M$1020:$M$1037,0))&gt;0,INDEX(Kalkulasi!$A$1020:$A$1037,MATCH(LARGE(Kalkulasi!$M$1020:$M$1037,9),Kalkulasi!$M$1020:$M$1037,0)),"")</f>
        <v/>
      </c>
      <c r="F45" s="68">
        <f>IF(INDEX(Kalkulasi!$J$1020:$J$1037,MATCH(LARGE(Kalkulasi!$M$1020:$M$1037,9),Kalkulasi!$M$1020:$M$1037,0))&gt;0,INDEX(Kalkulasi!$B$1020:$B$1037,MATCH(LARGE(Kalkulasi!$M$1020:$M$1037,9),Kalkulasi!$M$1020:$M$1037,0)),"")</f>
        <v/>
      </c>
      <c r="H45" s="83">
        <f>IF(INDEX(Kalkulasi!$J$1020:$J$1037,MATCH(LARGE(Kalkulasi!$M$1020:$M$1037,9),Kalkulasi!$M$1020:$M$1037,0))&gt;0,INDEX(Kalkulasi!$C$1020:$C$1037,MATCH(LARGE(Kalkulasi!$M$1020:$M$1037,9),Kalkulasi!$M$1020:$M$1037,0)),"")</f>
        <v/>
      </c>
      <c r="I45" s="69">
        <f>IF(INDEX(Kalkulasi!$J$1020:$J$1037,MATCH(LARGE(Kalkulasi!$M$1020:$M$1037,9),Kalkulasi!$M$1020:$M$1037,0))&gt;0,INDEX(Kalkulasi!$D$1020:$D$1037,MATCH(LARGE(Kalkulasi!$M$1020:$M$1037,9),Kalkulasi!$M$1020:$M$1037,0)),"")</f>
        <v/>
      </c>
      <c r="J45" s="69">
        <f>IF(INDEX(Kalkulasi!$J$1020:$J$1037,MATCH(LARGE(Kalkulasi!$M$1020:$M$1037,9),Kalkulasi!$M$1020:$M$1037,0))&gt;0,INDEX(Kalkulasi!$E$1020:$E$1037,MATCH(LARGE(Kalkulasi!$M$1020:$M$1037,9),Kalkulasi!$M$1020:$M$1037,0)),"")</f>
        <v/>
      </c>
      <c r="K45" s="69">
        <f>IF(AND(INDEX(Kalkulasi!$J$1020:$J$1037,MATCH(LARGE(Kalkulasi!$M$1020:$M$1037,9),Kalkulasi!$M$1020:$M$1037,0))&gt;0,INDEX(Kalkulasi!$F$1020:$F$1037,MATCH(LARGE(Kalkulasi!$M$1020:$M$1037,9),Kalkulasi!$M$1020:$M$1037,0))&gt;0),INDEX(Kalkulasi!$E$1020:$E$1037,MATCH(LARGE(Kalkulasi!$M$1020:$M$1037,9),Kalkulasi!$M$1020:$M$1037,0))/INDEX(Kalkulasi!$F$1020:$F$1037,MATCH(LARGE(Kalkulasi!$M$1020:$M$1037,9),Kalkulasi!$M$1020:$M$1037,0)),"")</f>
        <v/>
      </c>
      <c r="L45" s="69">
        <f>IF(INDEX(Kalkulasi!$J$1020:$J$1037,MATCH(LARGE(Kalkulasi!$M$1020:$M$1037,9),Kalkulasi!$M$1020:$M$1037,0))&gt;0,INDEX(Kalkulasi!$G$1020:$G$1037,MATCH(LARGE(Kalkulasi!$M$1020:$M$1037,9),Kalkulasi!$M$1020:$M$1037,0)),"")</f>
        <v/>
      </c>
      <c r="M45" s="69">
        <f>IF(INDEX(Kalkulasi!$J$1020:$J$1037,MATCH(LARGE(Kalkulasi!$M$1020:$M$1037,9),Kalkulasi!$M$1020:$M$1037,0))&gt;0,INDEX(Kalkulasi!$H$1020:$H$1037,MATCH(LARGE(Kalkulasi!$M$1020:$M$1037,9),Kalkulasi!$M$1020:$M$1037,0)),"")</f>
        <v/>
      </c>
      <c r="N45" s="69">
        <f>IF(AND(INDEX(Kalkulasi!$J$1020:$J$1037,MATCH(LARGE(Kalkulasi!$M$1020:$M$1037,9),Kalkulasi!$M$1020:$M$1037,0))&gt;0,INDEX(Kalkulasi!$I$1020:$I$1037,MATCH(LARGE(Kalkulasi!$M$1020:$M$1037,9),Kalkulasi!$M$1020:$M$1037,0))&gt;0),INDEX(Kalkulasi!$H$1020:$H$1037,MATCH(LARGE(Kalkulasi!$M$1020:$M$1037,9),Kalkulasi!$M$1020:$M$1037,0))/INDEX(Kalkulasi!$I$1020:$I$1037,MATCH(LARGE(Kalkulasi!$M$1020:$M$1037,9),Kalkulasi!$M$1020:$M$1037,0)),"")</f>
        <v/>
      </c>
      <c r="O45" s="110">
        <f>IF(INDEX(Kalkulasi!$J$1020:$J$1037,MATCH(LARGE(Kalkulasi!$M$1020:$M$1037,9),Kalkulasi!$M$1020:$M$1037,0))&gt;0,INDEX(Kalkulasi!$J$1020:$J$1037,MATCH(LARGE(Kalkulasi!$M$1020:$M$1037,9),Kalkulasi!$M$1020:$M$1037,0)),"")</f>
        <v/>
      </c>
      <c r="P45" s="110">
        <f>IF(INDEX(Kalkulasi!$J$1020:$J$1037,MATCH(LARGE(Kalkulasi!$M$1020:$M$1037,9),Kalkulasi!$M$1020:$M$1037,0))&gt;0,INDEX(Kalkulasi!$K$1020:$K$1037,MATCH(LARGE(Kalkulasi!$M$1020:$M$1037,9),Kalkulasi!$M$1020:$M$1037,0)),"")</f>
        <v/>
      </c>
      <c r="Q45" s="114">
        <f>IF(AND(INDEX(Kalkulasi!$J$1020:$J$1037,MATCH(LARGE(Kalkulasi!$M$1020:$M$1037,9),Kalkulasi!$M$1020:$M$1037,0))&gt;0,INDEX(Kalkulasi!$L$1020:$L$1037,MATCH(LARGE(Kalkulasi!$M$1020:$M$1037,9),Kalkulasi!$M$1020:$M$1037,0))&gt;0),INDEX(Kalkulasi!$L$1020:$L$1037,MATCH(LARGE(Kalkulasi!$M$1020:$M$1037,9),Kalkulasi!$M$1020:$M$1037,0)),"")</f>
        <v/>
      </c>
      <c r="R45" s="135">
        <f>IF(Q45="","",IF(P45&gt;=Q45,"On target","Di bawah"))</f>
        <v/>
      </c>
      <c r="S45" s="69">
        <f>IF(INDEX(Kalkulasi!$J$1020:$J$1037,MATCH(LARGE(Kalkulasi!$M$1020:$M$1037,9),Kalkulasi!$M$1020:$M$1037,0))&gt;0,INDEX(Kalkulasi!$O$1020:$O$1037,MATCH(LARGE(Kalkulasi!$M$1020:$M$1037,9),Kalkulasi!$M$1020:$M$1037,0)),"")</f>
        <v/>
      </c>
      <c r="T45" s="78" t="inlineStr"/>
      <c r="U45" s="78" t="inlineStr"/>
      <c r="V45" s="2" t="n"/>
    </row>
    <row r="46" ht="19" customHeight="1">
      <c r="A46" s="1" t="n"/>
      <c r="B46" s="1" t="n"/>
      <c r="C46" s="2" t="n"/>
      <c r="D46" s="67">
        <f>IF(INDEX(Kalkulasi!$J$1020:$J$1037,MATCH(LARGE(Kalkulasi!$M$1020:$M$1037,10),Kalkulasi!$M$1020:$M$1037,0))&gt;0,INDEX(Kalkulasi!$A$1020:$A$1037,MATCH(LARGE(Kalkulasi!$M$1020:$M$1037,10),Kalkulasi!$M$1020:$M$1037,0)),"")</f>
        <v/>
      </c>
      <c r="F46" s="68">
        <f>IF(INDEX(Kalkulasi!$J$1020:$J$1037,MATCH(LARGE(Kalkulasi!$M$1020:$M$1037,10),Kalkulasi!$M$1020:$M$1037,0))&gt;0,INDEX(Kalkulasi!$B$1020:$B$1037,MATCH(LARGE(Kalkulasi!$M$1020:$M$1037,10),Kalkulasi!$M$1020:$M$1037,0)),"")</f>
        <v/>
      </c>
      <c r="H46" s="83">
        <f>IF(INDEX(Kalkulasi!$J$1020:$J$1037,MATCH(LARGE(Kalkulasi!$M$1020:$M$1037,10),Kalkulasi!$M$1020:$M$1037,0))&gt;0,INDEX(Kalkulasi!$C$1020:$C$1037,MATCH(LARGE(Kalkulasi!$M$1020:$M$1037,10),Kalkulasi!$M$1020:$M$1037,0)),"")</f>
        <v/>
      </c>
      <c r="I46" s="69">
        <f>IF(INDEX(Kalkulasi!$J$1020:$J$1037,MATCH(LARGE(Kalkulasi!$M$1020:$M$1037,10),Kalkulasi!$M$1020:$M$1037,0))&gt;0,INDEX(Kalkulasi!$D$1020:$D$1037,MATCH(LARGE(Kalkulasi!$M$1020:$M$1037,10),Kalkulasi!$M$1020:$M$1037,0)),"")</f>
        <v/>
      </c>
      <c r="J46" s="69">
        <f>IF(INDEX(Kalkulasi!$J$1020:$J$1037,MATCH(LARGE(Kalkulasi!$M$1020:$M$1037,10),Kalkulasi!$M$1020:$M$1037,0))&gt;0,INDEX(Kalkulasi!$E$1020:$E$1037,MATCH(LARGE(Kalkulasi!$M$1020:$M$1037,10),Kalkulasi!$M$1020:$M$1037,0)),"")</f>
        <v/>
      </c>
      <c r="K46" s="69">
        <f>IF(AND(INDEX(Kalkulasi!$J$1020:$J$1037,MATCH(LARGE(Kalkulasi!$M$1020:$M$1037,10),Kalkulasi!$M$1020:$M$1037,0))&gt;0,INDEX(Kalkulasi!$F$1020:$F$1037,MATCH(LARGE(Kalkulasi!$M$1020:$M$1037,10),Kalkulasi!$M$1020:$M$1037,0))&gt;0),INDEX(Kalkulasi!$E$1020:$E$1037,MATCH(LARGE(Kalkulasi!$M$1020:$M$1037,10),Kalkulasi!$M$1020:$M$1037,0))/INDEX(Kalkulasi!$F$1020:$F$1037,MATCH(LARGE(Kalkulasi!$M$1020:$M$1037,10),Kalkulasi!$M$1020:$M$1037,0)),"")</f>
        <v/>
      </c>
      <c r="L46" s="69">
        <f>IF(INDEX(Kalkulasi!$J$1020:$J$1037,MATCH(LARGE(Kalkulasi!$M$1020:$M$1037,10),Kalkulasi!$M$1020:$M$1037,0))&gt;0,INDEX(Kalkulasi!$G$1020:$G$1037,MATCH(LARGE(Kalkulasi!$M$1020:$M$1037,10),Kalkulasi!$M$1020:$M$1037,0)),"")</f>
        <v/>
      </c>
      <c r="M46" s="69">
        <f>IF(INDEX(Kalkulasi!$J$1020:$J$1037,MATCH(LARGE(Kalkulasi!$M$1020:$M$1037,10),Kalkulasi!$M$1020:$M$1037,0))&gt;0,INDEX(Kalkulasi!$H$1020:$H$1037,MATCH(LARGE(Kalkulasi!$M$1020:$M$1037,10),Kalkulasi!$M$1020:$M$1037,0)),"")</f>
        <v/>
      </c>
      <c r="N46" s="69">
        <f>IF(AND(INDEX(Kalkulasi!$J$1020:$J$1037,MATCH(LARGE(Kalkulasi!$M$1020:$M$1037,10),Kalkulasi!$M$1020:$M$1037,0))&gt;0,INDEX(Kalkulasi!$I$1020:$I$1037,MATCH(LARGE(Kalkulasi!$M$1020:$M$1037,10),Kalkulasi!$M$1020:$M$1037,0))&gt;0),INDEX(Kalkulasi!$H$1020:$H$1037,MATCH(LARGE(Kalkulasi!$M$1020:$M$1037,10),Kalkulasi!$M$1020:$M$1037,0))/INDEX(Kalkulasi!$I$1020:$I$1037,MATCH(LARGE(Kalkulasi!$M$1020:$M$1037,10),Kalkulasi!$M$1020:$M$1037,0)),"")</f>
        <v/>
      </c>
      <c r="O46" s="110">
        <f>IF(INDEX(Kalkulasi!$J$1020:$J$1037,MATCH(LARGE(Kalkulasi!$M$1020:$M$1037,10),Kalkulasi!$M$1020:$M$1037,0))&gt;0,INDEX(Kalkulasi!$J$1020:$J$1037,MATCH(LARGE(Kalkulasi!$M$1020:$M$1037,10),Kalkulasi!$M$1020:$M$1037,0)),"")</f>
        <v/>
      </c>
      <c r="P46" s="110">
        <f>IF(INDEX(Kalkulasi!$J$1020:$J$1037,MATCH(LARGE(Kalkulasi!$M$1020:$M$1037,10),Kalkulasi!$M$1020:$M$1037,0))&gt;0,INDEX(Kalkulasi!$K$1020:$K$1037,MATCH(LARGE(Kalkulasi!$M$1020:$M$1037,10),Kalkulasi!$M$1020:$M$1037,0)),"")</f>
        <v/>
      </c>
      <c r="Q46" s="114">
        <f>IF(AND(INDEX(Kalkulasi!$J$1020:$J$1037,MATCH(LARGE(Kalkulasi!$M$1020:$M$1037,10),Kalkulasi!$M$1020:$M$1037,0))&gt;0,INDEX(Kalkulasi!$L$1020:$L$1037,MATCH(LARGE(Kalkulasi!$M$1020:$M$1037,10),Kalkulasi!$M$1020:$M$1037,0))&gt;0),INDEX(Kalkulasi!$L$1020:$L$1037,MATCH(LARGE(Kalkulasi!$M$1020:$M$1037,10),Kalkulasi!$M$1020:$M$1037,0)),"")</f>
        <v/>
      </c>
      <c r="R46" s="135">
        <f>IF(Q46="","",IF(P46&gt;=Q46,"On target","Di bawah"))</f>
        <v/>
      </c>
      <c r="S46" s="69">
        <f>IF(INDEX(Kalkulasi!$J$1020:$J$1037,MATCH(LARGE(Kalkulasi!$M$1020:$M$1037,10),Kalkulasi!$M$1020:$M$1037,0))&gt;0,INDEX(Kalkulasi!$O$1020:$O$1037,MATCH(LARGE(Kalkulasi!$M$1020:$M$1037,10),Kalkulasi!$M$1020:$M$1037,0)),"")</f>
        <v/>
      </c>
      <c r="T46" s="78" t="inlineStr"/>
      <c r="U46" s="78" t="inlineStr"/>
      <c r="V46" s="2" t="n"/>
    </row>
    <row r="47" ht="19" customHeight="1">
      <c r="A47" s="1" t="n"/>
      <c r="B47" s="1" t="n"/>
      <c r="C47" s="2" t="n"/>
      <c r="D47" s="67">
        <f>IF(INDEX(Kalkulasi!$J$1020:$J$1037,MATCH(LARGE(Kalkulasi!$M$1020:$M$1037,11),Kalkulasi!$M$1020:$M$1037,0))&gt;0,INDEX(Kalkulasi!$A$1020:$A$1037,MATCH(LARGE(Kalkulasi!$M$1020:$M$1037,11),Kalkulasi!$M$1020:$M$1037,0)),"")</f>
        <v/>
      </c>
      <c r="F47" s="68">
        <f>IF(INDEX(Kalkulasi!$J$1020:$J$1037,MATCH(LARGE(Kalkulasi!$M$1020:$M$1037,11),Kalkulasi!$M$1020:$M$1037,0))&gt;0,INDEX(Kalkulasi!$B$1020:$B$1037,MATCH(LARGE(Kalkulasi!$M$1020:$M$1037,11),Kalkulasi!$M$1020:$M$1037,0)),"")</f>
        <v/>
      </c>
      <c r="H47" s="83">
        <f>IF(INDEX(Kalkulasi!$J$1020:$J$1037,MATCH(LARGE(Kalkulasi!$M$1020:$M$1037,11),Kalkulasi!$M$1020:$M$1037,0))&gt;0,INDEX(Kalkulasi!$C$1020:$C$1037,MATCH(LARGE(Kalkulasi!$M$1020:$M$1037,11),Kalkulasi!$M$1020:$M$1037,0)),"")</f>
        <v/>
      </c>
      <c r="I47" s="69">
        <f>IF(INDEX(Kalkulasi!$J$1020:$J$1037,MATCH(LARGE(Kalkulasi!$M$1020:$M$1037,11),Kalkulasi!$M$1020:$M$1037,0))&gt;0,INDEX(Kalkulasi!$D$1020:$D$1037,MATCH(LARGE(Kalkulasi!$M$1020:$M$1037,11),Kalkulasi!$M$1020:$M$1037,0)),"")</f>
        <v/>
      </c>
      <c r="J47" s="69">
        <f>IF(INDEX(Kalkulasi!$J$1020:$J$1037,MATCH(LARGE(Kalkulasi!$M$1020:$M$1037,11),Kalkulasi!$M$1020:$M$1037,0))&gt;0,INDEX(Kalkulasi!$E$1020:$E$1037,MATCH(LARGE(Kalkulasi!$M$1020:$M$1037,11),Kalkulasi!$M$1020:$M$1037,0)),"")</f>
        <v/>
      </c>
      <c r="K47" s="69">
        <f>IF(AND(INDEX(Kalkulasi!$J$1020:$J$1037,MATCH(LARGE(Kalkulasi!$M$1020:$M$1037,11),Kalkulasi!$M$1020:$M$1037,0))&gt;0,INDEX(Kalkulasi!$F$1020:$F$1037,MATCH(LARGE(Kalkulasi!$M$1020:$M$1037,11),Kalkulasi!$M$1020:$M$1037,0))&gt;0),INDEX(Kalkulasi!$E$1020:$E$1037,MATCH(LARGE(Kalkulasi!$M$1020:$M$1037,11),Kalkulasi!$M$1020:$M$1037,0))/INDEX(Kalkulasi!$F$1020:$F$1037,MATCH(LARGE(Kalkulasi!$M$1020:$M$1037,11),Kalkulasi!$M$1020:$M$1037,0)),"")</f>
        <v/>
      </c>
      <c r="L47" s="69">
        <f>IF(INDEX(Kalkulasi!$J$1020:$J$1037,MATCH(LARGE(Kalkulasi!$M$1020:$M$1037,11),Kalkulasi!$M$1020:$M$1037,0))&gt;0,INDEX(Kalkulasi!$G$1020:$G$1037,MATCH(LARGE(Kalkulasi!$M$1020:$M$1037,11),Kalkulasi!$M$1020:$M$1037,0)),"")</f>
        <v/>
      </c>
      <c r="M47" s="69">
        <f>IF(INDEX(Kalkulasi!$J$1020:$J$1037,MATCH(LARGE(Kalkulasi!$M$1020:$M$1037,11),Kalkulasi!$M$1020:$M$1037,0))&gt;0,INDEX(Kalkulasi!$H$1020:$H$1037,MATCH(LARGE(Kalkulasi!$M$1020:$M$1037,11),Kalkulasi!$M$1020:$M$1037,0)),"")</f>
        <v/>
      </c>
      <c r="N47" s="69">
        <f>IF(AND(INDEX(Kalkulasi!$J$1020:$J$1037,MATCH(LARGE(Kalkulasi!$M$1020:$M$1037,11),Kalkulasi!$M$1020:$M$1037,0))&gt;0,INDEX(Kalkulasi!$I$1020:$I$1037,MATCH(LARGE(Kalkulasi!$M$1020:$M$1037,11),Kalkulasi!$M$1020:$M$1037,0))&gt;0),INDEX(Kalkulasi!$H$1020:$H$1037,MATCH(LARGE(Kalkulasi!$M$1020:$M$1037,11),Kalkulasi!$M$1020:$M$1037,0))/INDEX(Kalkulasi!$I$1020:$I$1037,MATCH(LARGE(Kalkulasi!$M$1020:$M$1037,11),Kalkulasi!$M$1020:$M$1037,0)),"")</f>
        <v/>
      </c>
      <c r="O47" s="110">
        <f>IF(INDEX(Kalkulasi!$J$1020:$J$1037,MATCH(LARGE(Kalkulasi!$M$1020:$M$1037,11),Kalkulasi!$M$1020:$M$1037,0))&gt;0,INDEX(Kalkulasi!$J$1020:$J$1037,MATCH(LARGE(Kalkulasi!$M$1020:$M$1037,11),Kalkulasi!$M$1020:$M$1037,0)),"")</f>
        <v/>
      </c>
      <c r="P47" s="110">
        <f>IF(INDEX(Kalkulasi!$J$1020:$J$1037,MATCH(LARGE(Kalkulasi!$M$1020:$M$1037,11),Kalkulasi!$M$1020:$M$1037,0))&gt;0,INDEX(Kalkulasi!$K$1020:$K$1037,MATCH(LARGE(Kalkulasi!$M$1020:$M$1037,11),Kalkulasi!$M$1020:$M$1037,0)),"")</f>
        <v/>
      </c>
      <c r="Q47" s="114">
        <f>IF(AND(INDEX(Kalkulasi!$J$1020:$J$1037,MATCH(LARGE(Kalkulasi!$M$1020:$M$1037,11),Kalkulasi!$M$1020:$M$1037,0))&gt;0,INDEX(Kalkulasi!$L$1020:$L$1037,MATCH(LARGE(Kalkulasi!$M$1020:$M$1037,11),Kalkulasi!$M$1020:$M$1037,0))&gt;0),INDEX(Kalkulasi!$L$1020:$L$1037,MATCH(LARGE(Kalkulasi!$M$1020:$M$1037,11),Kalkulasi!$M$1020:$M$1037,0)),"")</f>
        <v/>
      </c>
      <c r="R47" s="135">
        <f>IF(Q47="","",IF(P47&gt;=Q47,"On target","Di bawah"))</f>
        <v/>
      </c>
      <c r="S47" s="69">
        <f>IF(INDEX(Kalkulasi!$J$1020:$J$1037,MATCH(LARGE(Kalkulasi!$M$1020:$M$1037,11),Kalkulasi!$M$1020:$M$1037,0))&gt;0,INDEX(Kalkulasi!$O$1020:$O$1037,MATCH(LARGE(Kalkulasi!$M$1020:$M$1037,11),Kalkulasi!$M$1020:$M$1037,0)),"")</f>
        <v/>
      </c>
      <c r="T47" s="78" t="inlineStr"/>
      <c r="U47" s="78" t="inlineStr"/>
      <c r="V47" s="2" t="n"/>
    </row>
    <row r="48" ht="19" customHeight="1">
      <c r="A48" s="1" t="n"/>
      <c r="B48" s="1" t="n"/>
      <c r="C48" s="2" t="n"/>
      <c r="D48" s="67">
        <f>IF(INDEX(Kalkulasi!$J$1020:$J$1037,MATCH(LARGE(Kalkulasi!$M$1020:$M$1037,12),Kalkulasi!$M$1020:$M$1037,0))&gt;0,INDEX(Kalkulasi!$A$1020:$A$1037,MATCH(LARGE(Kalkulasi!$M$1020:$M$1037,12),Kalkulasi!$M$1020:$M$1037,0)),"")</f>
        <v/>
      </c>
      <c r="F48" s="68">
        <f>IF(INDEX(Kalkulasi!$J$1020:$J$1037,MATCH(LARGE(Kalkulasi!$M$1020:$M$1037,12),Kalkulasi!$M$1020:$M$1037,0))&gt;0,INDEX(Kalkulasi!$B$1020:$B$1037,MATCH(LARGE(Kalkulasi!$M$1020:$M$1037,12),Kalkulasi!$M$1020:$M$1037,0)),"")</f>
        <v/>
      </c>
      <c r="H48" s="83">
        <f>IF(INDEX(Kalkulasi!$J$1020:$J$1037,MATCH(LARGE(Kalkulasi!$M$1020:$M$1037,12),Kalkulasi!$M$1020:$M$1037,0))&gt;0,INDEX(Kalkulasi!$C$1020:$C$1037,MATCH(LARGE(Kalkulasi!$M$1020:$M$1037,12),Kalkulasi!$M$1020:$M$1037,0)),"")</f>
        <v/>
      </c>
      <c r="I48" s="69">
        <f>IF(INDEX(Kalkulasi!$J$1020:$J$1037,MATCH(LARGE(Kalkulasi!$M$1020:$M$1037,12),Kalkulasi!$M$1020:$M$1037,0))&gt;0,INDEX(Kalkulasi!$D$1020:$D$1037,MATCH(LARGE(Kalkulasi!$M$1020:$M$1037,12),Kalkulasi!$M$1020:$M$1037,0)),"")</f>
        <v/>
      </c>
      <c r="J48" s="69">
        <f>IF(INDEX(Kalkulasi!$J$1020:$J$1037,MATCH(LARGE(Kalkulasi!$M$1020:$M$1037,12),Kalkulasi!$M$1020:$M$1037,0))&gt;0,INDEX(Kalkulasi!$E$1020:$E$1037,MATCH(LARGE(Kalkulasi!$M$1020:$M$1037,12),Kalkulasi!$M$1020:$M$1037,0)),"")</f>
        <v/>
      </c>
      <c r="K48" s="69">
        <f>IF(AND(INDEX(Kalkulasi!$J$1020:$J$1037,MATCH(LARGE(Kalkulasi!$M$1020:$M$1037,12),Kalkulasi!$M$1020:$M$1037,0))&gt;0,INDEX(Kalkulasi!$F$1020:$F$1037,MATCH(LARGE(Kalkulasi!$M$1020:$M$1037,12),Kalkulasi!$M$1020:$M$1037,0))&gt;0),INDEX(Kalkulasi!$E$1020:$E$1037,MATCH(LARGE(Kalkulasi!$M$1020:$M$1037,12),Kalkulasi!$M$1020:$M$1037,0))/INDEX(Kalkulasi!$F$1020:$F$1037,MATCH(LARGE(Kalkulasi!$M$1020:$M$1037,12),Kalkulasi!$M$1020:$M$1037,0)),"")</f>
        <v/>
      </c>
      <c r="L48" s="69">
        <f>IF(INDEX(Kalkulasi!$J$1020:$J$1037,MATCH(LARGE(Kalkulasi!$M$1020:$M$1037,12),Kalkulasi!$M$1020:$M$1037,0))&gt;0,INDEX(Kalkulasi!$G$1020:$G$1037,MATCH(LARGE(Kalkulasi!$M$1020:$M$1037,12),Kalkulasi!$M$1020:$M$1037,0)),"")</f>
        <v/>
      </c>
      <c r="M48" s="69">
        <f>IF(INDEX(Kalkulasi!$J$1020:$J$1037,MATCH(LARGE(Kalkulasi!$M$1020:$M$1037,12),Kalkulasi!$M$1020:$M$1037,0))&gt;0,INDEX(Kalkulasi!$H$1020:$H$1037,MATCH(LARGE(Kalkulasi!$M$1020:$M$1037,12),Kalkulasi!$M$1020:$M$1037,0)),"")</f>
        <v/>
      </c>
      <c r="N48" s="69">
        <f>IF(AND(INDEX(Kalkulasi!$J$1020:$J$1037,MATCH(LARGE(Kalkulasi!$M$1020:$M$1037,12),Kalkulasi!$M$1020:$M$1037,0))&gt;0,INDEX(Kalkulasi!$I$1020:$I$1037,MATCH(LARGE(Kalkulasi!$M$1020:$M$1037,12),Kalkulasi!$M$1020:$M$1037,0))&gt;0),INDEX(Kalkulasi!$H$1020:$H$1037,MATCH(LARGE(Kalkulasi!$M$1020:$M$1037,12),Kalkulasi!$M$1020:$M$1037,0))/INDEX(Kalkulasi!$I$1020:$I$1037,MATCH(LARGE(Kalkulasi!$M$1020:$M$1037,12),Kalkulasi!$M$1020:$M$1037,0)),"")</f>
        <v/>
      </c>
      <c r="O48" s="110">
        <f>IF(INDEX(Kalkulasi!$J$1020:$J$1037,MATCH(LARGE(Kalkulasi!$M$1020:$M$1037,12),Kalkulasi!$M$1020:$M$1037,0))&gt;0,INDEX(Kalkulasi!$J$1020:$J$1037,MATCH(LARGE(Kalkulasi!$M$1020:$M$1037,12),Kalkulasi!$M$1020:$M$1037,0)),"")</f>
        <v/>
      </c>
      <c r="P48" s="110">
        <f>IF(INDEX(Kalkulasi!$J$1020:$J$1037,MATCH(LARGE(Kalkulasi!$M$1020:$M$1037,12),Kalkulasi!$M$1020:$M$1037,0))&gt;0,INDEX(Kalkulasi!$K$1020:$K$1037,MATCH(LARGE(Kalkulasi!$M$1020:$M$1037,12),Kalkulasi!$M$1020:$M$1037,0)),"")</f>
        <v/>
      </c>
      <c r="Q48" s="114">
        <f>IF(AND(INDEX(Kalkulasi!$J$1020:$J$1037,MATCH(LARGE(Kalkulasi!$M$1020:$M$1037,12),Kalkulasi!$M$1020:$M$1037,0))&gt;0,INDEX(Kalkulasi!$L$1020:$L$1037,MATCH(LARGE(Kalkulasi!$M$1020:$M$1037,12),Kalkulasi!$M$1020:$M$1037,0))&gt;0),INDEX(Kalkulasi!$L$1020:$L$1037,MATCH(LARGE(Kalkulasi!$M$1020:$M$1037,12),Kalkulasi!$M$1020:$M$1037,0)),"")</f>
        <v/>
      </c>
      <c r="R48" s="135">
        <f>IF(Q48="","",IF(P48&gt;=Q48,"On target","Di bawah"))</f>
        <v/>
      </c>
      <c r="S48" s="69">
        <f>IF(INDEX(Kalkulasi!$J$1020:$J$1037,MATCH(LARGE(Kalkulasi!$M$1020:$M$1037,12),Kalkulasi!$M$1020:$M$1037,0))&gt;0,INDEX(Kalkulasi!$O$1020:$O$1037,MATCH(LARGE(Kalkulasi!$M$1020:$M$1037,12),Kalkulasi!$M$1020:$M$1037,0)),"")</f>
        <v/>
      </c>
      <c r="T48" s="78" t="inlineStr"/>
      <c r="U48" s="78" t="inlineStr"/>
      <c r="V48" s="2" t="n"/>
    </row>
    <row r="49">
      <c r="A49" s="1" t="n"/>
      <c r="B49" s="1" t="n"/>
      <c r="C49" s="2" t="n"/>
      <c r="D49" s="44" t="n"/>
      <c r="E49" s="45" t="n"/>
      <c r="F49" s="45" t="n"/>
      <c r="G49" s="45" t="n"/>
      <c r="H49" s="45" t="n"/>
      <c r="I49" s="45" t="n"/>
      <c r="J49" s="45" t="n"/>
      <c r="K49" s="45" t="n"/>
      <c r="L49" s="45" t="n"/>
      <c r="M49" s="45" t="n"/>
      <c r="N49" s="45" t="n"/>
      <c r="O49" s="45" t="n"/>
      <c r="P49" s="45" t="n"/>
      <c r="Q49" s="45" t="n"/>
      <c r="R49" s="45" t="n"/>
      <c r="S49" s="45" t="n"/>
      <c r="T49" s="45" t="n"/>
      <c r="U49" s="46" t="n"/>
      <c r="V49" s="2" t="n"/>
    </row>
    <row r="50">
      <c r="A50" s="1" t="n"/>
      <c r="B50" s="1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</row>
    <row r="51" ht="24" customHeight="1">
      <c r="A51" s="1" t="n"/>
      <c r="B51" s="1" t="n"/>
      <c r="C51" s="2" t="n"/>
      <c r="D51" s="29" t="inlineStr">
        <is>
          <t>Ritase &amp; jam aktif per hauler</t>
        </is>
      </c>
      <c r="E51" s="30" t="n"/>
      <c r="F51" s="30" t="n"/>
      <c r="G51" s="30" t="n"/>
      <c r="H51" s="30" t="n"/>
      <c r="I51" s="30" t="n"/>
      <c r="J51" s="30" t="n"/>
      <c r="K51" s="30" t="n"/>
      <c r="L51" s="30" t="n"/>
      <c r="M51" s="30" t="n"/>
      <c r="N51" s="30" t="n"/>
      <c r="O51" s="30" t="n"/>
      <c r="P51" s="30" t="n"/>
      <c r="Q51" s="30" t="n"/>
      <c r="R51" s="30" t="n"/>
      <c r="S51" s="30" t="n"/>
      <c r="T51" s="30" t="n"/>
      <c r="U51" s="31" t="inlineStr">
        <is>
          <t>jam aktif = jumlah jam yang tercatat ada ritase</t>
        </is>
      </c>
      <c r="V51" s="2" t="n"/>
    </row>
    <row r="52" ht="20" customHeight="1">
      <c r="A52" s="1" t="n"/>
      <c r="B52" s="1" t="n"/>
      <c r="C52" s="2" t="n"/>
      <c r="D52" s="65" t="inlineStr">
        <is>
          <t>Hauler</t>
        </is>
      </c>
      <c r="E52" s="65" t="inlineStr">
        <is>
          <t>Tipe</t>
        </is>
      </c>
      <c r="F52" s="65" t="inlineStr"/>
      <c r="G52" s="66" t="inlineStr">
        <is>
          <t>DS</t>
        </is>
      </c>
      <c r="H52" s="66" t="inlineStr">
        <is>
          <t>NS</t>
        </is>
      </c>
      <c r="I52" s="66" t="inlineStr">
        <is>
          <t>Total</t>
        </is>
      </c>
      <c r="J52" s="66" t="inlineStr">
        <is>
          <t>Produksi</t>
        </is>
      </c>
      <c r="K52" s="66" t="inlineStr">
        <is>
          <t>Jam aktif</t>
        </is>
      </c>
      <c r="L52" s="66" t="inlineStr">
        <is>
          <t>Rit/jam</t>
        </is>
      </c>
      <c r="M52" s="65" t="inlineStr">
        <is>
          <t>Hauler</t>
        </is>
      </c>
      <c r="N52" s="65" t="inlineStr">
        <is>
          <t>Tipe</t>
        </is>
      </c>
      <c r="O52" s="65" t="inlineStr"/>
      <c r="P52" s="66" t="inlineStr">
        <is>
          <t>DS</t>
        </is>
      </c>
      <c r="Q52" s="66" t="inlineStr">
        <is>
          <t>NS</t>
        </is>
      </c>
      <c r="R52" s="66" t="inlineStr">
        <is>
          <t>Total</t>
        </is>
      </c>
      <c r="S52" s="66" t="inlineStr">
        <is>
          <t>Produksi</t>
        </is>
      </c>
      <c r="T52" s="66" t="inlineStr">
        <is>
          <t>Jam aktif</t>
        </is>
      </c>
      <c r="U52" s="66" t="inlineStr">
        <is>
          <t>Rit/jam</t>
        </is>
      </c>
      <c r="V52" s="2" t="n"/>
    </row>
    <row r="53" ht="18" customHeight="1">
      <c r="A53" s="1" t="n"/>
      <c r="B53" s="1" t="n"/>
      <c r="C53" s="2" t="n"/>
      <c r="D53" s="67">
        <f>IF(INDEX(Kalkulasi!$E$1042:$E$1113,MATCH(LARGE(Kalkulasi!$I$1042:$I$1113,1),Kalkulasi!$I$1042:$I$1113,0))&gt;0,INDEX(Kalkulasi!$A$1042:$A$1113,MATCH(LARGE(Kalkulasi!$I$1042:$I$1113,1),Kalkulasi!$I$1042:$I$1113,0)),"")</f>
        <v/>
      </c>
      <c r="E53" s="68">
        <f>IF(INDEX(Kalkulasi!$E$1042:$E$1113,MATCH(LARGE(Kalkulasi!$I$1042:$I$1113,1),Kalkulasi!$I$1042:$I$1113,0))&gt;0,INDEX(Kalkulasi!$B$1042:$B$1113,MATCH(LARGE(Kalkulasi!$I$1042:$I$1113,1),Kalkulasi!$I$1042:$I$1113,0)),"")</f>
        <v/>
      </c>
      <c r="G53" s="69">
        <f>IF(INDEX(Kalkulasi!$E$1042:$E$1113,MATCH(LARGE(Kalkulasi!$I$1042:$I$1113,1),Kalkulasi!$I$1042:$I$1113,0))&gt;0,INDEX(Kalkulasi!$C$1042:$C$1113,MATCH(LARGE(Kalkulasi!$I$1042:$I$1113,1),Kalkulasi!$I$1042:$I$1113,0)),"")</f>
        <v/>
      </c>
      <c r="H53" s="69">
        <f>IF(INDEX(Kalkulasi!$E$1042:$E$1113,MATCH(LARGE(Kalkulasi!$I$1042:$I$1113,1),Kalkulasi!$I$1042:$I$1113,0))&gt;0,INDEX(Kalkulasi!$D$1042:$D$1113,MATCH(LARGE(Kalkulasi!$I$1042:$I$1113,1),Kalkulasi!$I$1042:$I$1113,0)),"")</f>
        <v/>
      </c>
      <c r="I53" s="110">
        <f>IF(INDEX(Kalkulasi!$E$1042:$E$1113,MATCH(LARGE(Kalkulasi!$I$1042:$I$1113,1),Kalkulasi!$I$1042:$I$1113,0))&gt;0,INDEX(Kalkulasi!$E$1042:$E$1113,MATCH(LARGE(Kalkulasi!$I$1042:$I$1113,1),Kalkulasi!$I$1042:$I$1113,0)),"")</f>
        <v/>
      </c>
      <c r="J53" s="69">
        <f>IF(INDEX(Kalkulasi!$E$1042:$E$1113,MATCH(LARGE(Kalkulasi!$I$1042:$I$1113,1),Kalkulasi!$I$1042:$I$1113,0))&gt;0,INDEX(Kalkulasi!$F$1042:$F$1113,MATCH(LARGE(Kalkulasi!$I$1042:$I$1113,1),Kalkulasi!$I$1042:$I$1113,0))+INDEX(Kalkulasi!$G$1042:$G$1113,MATCH(LARGE(Kalkulasi!$I$1042:$I$1113,1),Kalkulasi!$I$1042:$I$1113,0)),"")</f>
        <v/>
      </c>
      <c r="K53" s="141">
        <f>IF(INDEX(Kalkulasi!$E$1042:$E$1113,MATCH(LARGE(Kalkulasi!$I$1042:$I$1113,1),Kalkulasi!$I$1042:$I$1113,0))&gt;0,INDEX(Kalkulasi!$H$1042:$H$1113,MATCH(LARGE(Kalkulasi!$I$1042:$I$1113,1),Kalkulasi!$I$1042:$I$1113,0)),"")</f>
        <v/>
      </c>
      <c r="L53" s="94">
        <f>IF(AND(INDEX(Kalkulasi!$E$1042:$E$1113,MATCH(LARGE(Kalkulasi!$I$1042:$I$1113,1),Kalkulasi!$I$1042:$I$1113,0))&gt;0,INDEX(Kalkulasi!$H$1042:$H$1113,MATCH(LARGE(Kalkulasi!$I$1042:$I$1113,1),Kalkulasi!$I$1042:$I$1113,0))&gt;0),INDEX(Kalkulasi!$E$1042:$E$1113,MATCH(LARGE(Kalkulasi!$I$1042:$I$1113,1),Kalkulasi!$I$1042:$I$1113,0))/INDEX(Kalkulasi!$H$1042:$H$1113,MATCH(LARGE(Kalkulasi!$I$1042:$I$1113,1),Kalkulasi!$I$1042:$I$1113,0)),"")</f>
        <v/>
      </c>
      <c r="M53" s="67">
        <f>IF(INDEX(Kalkulasi!$E$1042:$E$1113,MATCH(LARGE(Kalkulasi!$I$1042:$I$1113,16),Kalkulasi!$I$1042:$I$1113,0))&gt;0,INDEX(Kalkulasi!$A$1042:$A$1113,MATCH(LARGE(Kalkulasi!$I$1042:$I$1113,16),Kalkulasi!$I$1042:$I$1113,0)),"")</f>
        <v/>
      </c>
      <c r="N53" s="68">
        <f>IF(INDEX(Kalkulasi!$E$1042:$E$1113,MATCH(LARGE(Kalkulasi!$I$1042:$I$1113,16),Kalkulasi!$I$1042:$I$1113,0))&gt;0,INDEX(Kalkulasi!$B$1042:$B$1113,MATCH(LARGE(Kalkulasi!$I$1042:$I$1113,16),Kalkulasi!$I$1042:$I$1113,0)),"")</f>
        <v/>
      </c>
      <c r="P53" s="69">
        <f>IF(INDEX(Kalkulasi!$E$1042:$E$1113,MATCH(LARGE(Kalkulasi!$I$1042:$I$1113,16),Kalkulasi!$I$1042:$I$1113,0))&gt;0,INDEX(Kalkulasi!$C$1042:$C$1113,MATCH(LARGE(Kalkulasi!$I$1042:$I$1113,16),Kalkulasi!$I$1042:$I$1113,0)),"")</f>
        <v/>
      </c>
      <c r="Q53" s="69">
        <f>IF(INDEX(Kalkulasi!$E$1042:$E$1113,MATCH(LARGE(Kalkulasi!$I$1042:$I$1113,16),Kalkulasi!$I$1042:$I$1113,0))&gt;0,INDEX(Kalkulasi!$D$1042:$D$1113,MATCH(LARGE(Kalkulasi!$I$1042:$I$1113,16),Kalkulasi!$I$1042:$I$1113,0)),"")</f>
        <v/>
      </c>
      <c r="R53" s="110">
        <f>IF(INDEX(Kalkulasi!$E$1042:$E$1113,MATCH(LARGE(Kalkulasi!$I$1042:$I$1113,16),Kalkulasi!$I$1042:$I$1113,0))&gt;0,INDEX(Kalkulasi!$E$1042:$E$1113,MATCH(LARGE(Kalkulasi!$I$1042:$I$1113,16),Kalkulasi!$I$1042:$I$1113,0)),"")</f>
        <v/>
      </c>
      <c r="S53" s="69">
        <f>IF(INDEX(Kalkulasi!$E$1042:$E$1113,MATCH(LARGE(Kalkulasi!$I$1042:$I$1113,16),Kalkulasi!$I$1042:$I$1113,0))&gt;0,INDEX(Kalkulasi!$F$1042:$F$1113,MATCH(LARGE(Kalkulasi!$I$1042:$I$1113,16),Kalkulasi!$I$1042:$I$1113,0))+INDEX(Kalkulasi!$G$1042:$G$1113,MATCH(LARGE(Kalkulasi!$I$1042:$I$1113,16),Kalkulasi!$I$1042:$I$1113,0)),"")</f>
        <v/>
      </c>
      <c r="T53" s="141">
        <f>IF(INDEX(Kalkulasi!$E$1042:$E$1113,MATCH(LARGE(Kalkulasi!$I$1042:$I$1113,16),Kalkulasi!$I$1042:$I$1113,0))&gt;0,INDEX(Kalkulasi!$H$1042:$H$1113,MATCH(LARGE(Kalkulasi!$I$1042:$I$1113,16),Kalkulasi!$I$1042:$I$1113,0)),"")</f>
        <v/>
      </c>
      <c r="U53" s="94">
        <f>IF(AND(INDEX(Kalkulasi!$E$1042:$E$1113,MATCH(LARGE(Kalkulasi!$I$1042:$I$1113,16),Kalkulasi!$I$1042:$I$1113,0))&gt;0,INDEX(Kalkulasi!$H$1042:$H$1113,MATCH(LARGE(Kalkulasi!$I$1042:$I$1113,16),Kalkulasi!$I$1042:$I$1113,0))&gt;0),INDEX(Kalkulasi!$E$1042:$E$1113,MATCH(LARGE(Kalkulasi!$I$1042:$I$1113,16),Kalkulasi!$I$1042:$I$1113,0))/INDEX(Kalkulasi!$H$1042:$H$1113,MATCH(LARGE(Kalkulasi!$I$1042:$I$1113,16),Kalkulasi!$I$1042:$I$1113,0)),"")</f>
        <v/>
      </c>
      <c r="V53" s="2" t="n"/>
    </row>
    <row r="54" ht="18" customHeight="1">
      <c r="A54" s="1" t="n"/>
      <c r="B54" s="1" t="n"/>
      <c r="C54" s="2" t="n"/>
      <c r="D54" s="67">
        <f>IF(INDEX(Kalkulasi!$E$1042:$E$1113,MATCH(LARGE(Kalkulasi!$I$1042:$I$1113,2),Kalkulasi!$I$1042:$I$1113,0))&gt;0,INDEX(Kalkulasi!$A$1042:$A$1113,MATCH(LARGE(Kalkulasi!$I$1042:$I$1113,2),Kalkulasi!$I$1042:$I$1113,0)),"")</f>
        <v/>
      </c>
      <c r="E54" s="68">
        <f>IF(INDEX(Kalkulasi!$E$1042:$E$1113,MATCH(LARGE(Kalkulasi!$I$1042:$I$1113,2),Kalkulasi!$I$1042:$I$1113,0))&gt;0,INDEX(Kalkulasi!$B$1042:$B$1113,MATCH(LARGE(Kalkulasi!$I$1042:$I$1113,2),Kalkulasi!$I$1042:$I$1113,0)),"")</f>
        <v/>
      </c>
      <c r="G54" s="69">
        <f>IF(INDEX(Kalkulasi!$E$1042:$E$1113,MATCH(LARGE(Kalkulasi!$I$1042:$I$1113,2),Kalkulasi!$I$1042:$I$1113,0))&gt;0,INDEX(Kalkulasi!$C$1042:$C$1113,MATCH(LARGE(Kalkulasi!$I$1042:$I$1113,2),Kalkulasi!$I$1042:$I$1113,0)),"")</f>
        <v/>
      </c>
      <c r="H54" s="69">
        <f>IF(INDEX(Kalkulasi!$E$1042:$E$1113,MATCH(LARGE(Kalkulasi!$I$1042:$I$1113,2),Kalkulasi!$I$1042:$I$1113,0))&gt;0,INDEX(Kalkulasi!$D$1042:$D$1113,MATCH(LARGE(Kalkulasi!$I$1042:$I$1113,2),Kalkulasi!$I$1042:$I$1113,0)),"")</f>
        <v/>
      </c>
      <c r="I54" s="110">
        <f>IF(INDEX(Kalkulasi!$E$1042:$E$1113,MATCH(LARGE(Kalkulasi!$I$1042:$I$1113,2),Kalkulasi!$I$1042:$I$1113,0))&gt;0,INDEX(Kalkulasi!$E$1042:$E$1113,MATCH(LARGE(Kalkulasi!$I$1042:$I$1113,2),Kalkulasi!$I$1042:$I$1113,0)),"")</f>
        <v/>
      </c>
      <c r="J54" s="69">
        <f>IF(INDEX(Kalkulasi!$E$1042:$E$1113,MATCH(LARGE(Kalkulasi!$I$1042:$I$1113,2),Kalkulasi!$I$1042:$I$1113,0))&gt;0,INDEX(Kalkulasi!$F$1042:$F$1113,MATCH(LARGE(Kalkulasi!$I$1042:$I$1113,2),Kalkulasi!$I$1042:$I$1113,0))+INDEX(Kalkulasi!$G$1042:$G$1113,MATCH(LARGE(Kalkulasi!$I$1042:$I$1113,2),Kalkulasi!$I$1042:$I$1113,0)),"")</f>
        <v/>
      </c>
      <c r="K54" s="141">
        <f>IF(INDEX(Kalkulasi!$E$1042:$E$1113,MATCH(LARGE(Kalkulasi!$I$1042:$I$1113,2),Kalkulasi!$I$1042:$I$1113,0))&gt;0,INDEX(Kalkulasi!$H$1042:$H$1113,MATCH(LARGE(Kalkulasi!$I$1042:$I$1113,2),Kalkulasi!$I$1042:$I$1113,0)),"")</f>
        <v/>
      </c>
      <c r="L54" s="94">
        <f>IF(AND(INDEX(Kalkulasi!$E$1042:$E$1113,MATCH(LARGE(Kalkulasi!$I$1042:$I$1113,2),Kalkulasi!$I$1042:$I$1113,0))&gt;0,INDEX(Kalkulasi!$H$1042:$H$1113,MATCH(LARGE(Kalkulasi!$I$1042:$I$1113,2),Kalkulasi!$I$1042:$I$1113,0))&gt;0),INDEX(Kalkulasi!$E$1042:$E$1113,MATCH(LARGE(Kalkulasi!$I$1042:$I$1113,2),Kalkulasi!$I$1042:$I$1113,0))/INDEX(Kalkulasi!$H$1042:$H$1113,MATCH(LARGE(Kalkulasi!$I$1042:$I$1113,2),Kalkulasi!$I$1042:$I$1113,0)),"")</f>
        <v/>
      </c>
      <c r="M54" s="67">
        <f>IF(INDEX(Kalkulasi!$E$1042:$E$1113,MATCH(LARGE(Kalkulasi!$I$1042:$I$1113,17),Kalkulasi!$I$1042:$I$1113,0))&gt;0,INDEX(Kalkulasi!$A$1042:$A$1113,MATCH(LARGE(Kalkulasi!$I$1042:$I$1113,17),Kalkulasi!$I$1042:$I$1113,0)),"")</f>
        <v/>
      </c>
      <c r="N54" s="68">
        <f>IF(INDEX(Kalkulasi!$E$1042:$E$1113,MATCH(LARGE(Kalkulasi!$I$1042:$I$1113,17),Kalkulasi!$I$1042:$I$1113,0))&gt;0,INDEX(Kalkulasi!$B$1042:$B$1113,MATCH(LARGE(Kalkulasi!$I$1042:$I$1113,17),Kalkulasi!$I$1042:$I$1113,0)),"")</f>
        <v/>
      </c>
      <c r="P54" s="69">
        <f>IF(INDEX(Kalkulasi!$E$1042:$E$1113,MATCH(LARGE(Kalkulasi!$I$1042:$I$1113,17),Kalkulasi!$I$1042:$I$1113,0))&gt;0,INDEX(Kalkulasi!$C$1042:$C$1113,MATCH(LARGE(Kalkulasi!$I$1042:$I$1113,17),Kalkulasi!$I$1042:$I$1113,0)),"")</f>
        <v/>
      </c>
      <c r="Q54" s="69">
        <f>IF(INDEX(Kalkulasi!$E$1042:$E$1113,MATCH(LARGE(Kalkulasi!$I$1042:$I$1113,17),Kalkulasi!$I$1042:$I$1113,0))&gt;0,INDEX(Kalkulasi!$D$1042:$D$1113,MATCH(LARGE(Kalkulasi!$I$1042:$I$1113,17),Kalkulasi!$I$1042:$I$1113,0)),"")</f>
        <v/>
      </c>
      <c r="R54" s="110">
        <f>IF(INDEX(Kalkulasi!$E$1042:$E$1113,MATCH(LARGE(Kalkulasi!$I$1042:$I$1113,17),Kalkulasi!$I$1042:$I$1113,0))&gt;0,INDEX(Kalkulasi!$E$1042:$E$1113,MATCH(LARGE(Kalkulasi!$I$1042:$I$1113,17),Kalkulasi!$I$1042:$I$1113,0)),"")</f>
        <v/>
      </c>
      <c r="S54" s="69">
        <f>IF(INDEX(Kalkulasi!$E$1042:$E$1113,MATCH(LARGE(Kalkulasi!$I$1042:$I$1113,17),Kalkulasi!$I$1042:$I$1113,0))&gt;0,INDEX(Kalkulasi!$F$1042:$F$1113,MATCH(LARGE(Kalkulasi!$I$1042:$I$1113,17),Kalkulasi!$I$1042:$I$1113,0))+INDEX(Kalkulasi!$G$1042:$G$1113,MATCH(LARGE(Kalkulasi!$I$1042:$I$1113,17),Kalkulasi!$I$1042:$I$1113,0)),"")</f>
        <v/>
      </c>
      <c r="T54" s="141">
        <f>IF(INDEX(Kalkulasi!$E$1042:$E$1113,MATCH(LARGE(Kalkulasi!$I$1042:$I$1113,17),Kalkulasi!$I$1042:$I$1113,0))&gt;0,INDEX(Kalkulasi!$H$1042:$H$1113,MATCH(LARGE(Kalkulasi!$I$1042:$I$1113,17),Kalkulasi!$I$1042:$I$1113,0)),"")</f>
        <v/>
      </c>
      <c r="U54" s="94">
        <f>IF(AND(INDEX(Kalkulasi!$E$1042:$E$1113,MATCH(LARGE(Kalkulasi!$I$1042:$I$1113,17),Kalkulasi!$I$1042:$I$1113,0))&gt;0,INDEX(Kalkulasi!$H$1042:$H$1113,MATCH(LARGE(Kalkulasi!$I$1042:$I$1113,17),Kalkulasi!$I$1042:$I$1113,0))&gt;0),INDEX(Kalkulasi!$E$1042:$E$1113,MATCH(LARGE(Kalkulasi!$I$1042:$I$1113,17),Kalkulasi!$I$1042:$I$1113,0))/INDEX(Kalkulasi!$H$1042:$H$1113,MATCH(LARGE(Kalkulasi!$I$1042:$I$1113,17),Kalkulasi!$I$1042:$I$1113,0)),"")</f>
        <v/>
      </c>
      <c r="V54" s="2" t="n"/>
    </row>
    <row r="55" ht="18" customHeight="1">
      <c r="A55" s="1" t="n"/>
      <c r="B55" s="1" t="n"/>
      <c r="C55" s="2" t="n"/>
      <c r="D55" s="67">
        <f>IF(INDEX(Kalkulasi!$E$1042:$E$1113,MATCH(LARGE(Kalkulasi!$I$1042:$I$1113,3),Kalkulasi!$I$1042:$I$1113,0))&gt;0,INDEX(Kalkulasi!$A$1042:$A$1113,MATCH(LARGE(Kalkulasi!$I$1042:$I$1113,3),Kalkulasi!$I$1042:$I$1113,0)),"")</f>
        <v/>
      </c>
      <c r="E55" s="68">
        <f>IF(INDEX(Kalkulasi!$E$1042:$E$1113,MATCH(LARGE(Kalkulasi!$I$1042:$I$1113,3),Kalkulasi!$I$1042:$I$1113,0))&gt;0,INDEX(Kalkulasi!$B$1042:$B$1113,MATCH(LARGE(Kalkulasi!$I$1042:$I$1113,3),Kalkulasi!$I$1042:$I$1113,0)),"")</f>
        <v/>
      </c>
      <c r="G55" s="69">
        <f>IF(INDEX(Kalkulasi!$E$1042:$E$1113,MATCH(LARGE(Kalkulasi!$I$1042:$I$1113,3),Kalkulasi!$I$1042:$I$1113,0))&gt;0,INDEX(Kalkulasi!$C$1042:$C$1113,MATCH(LARGE(Kalkulasi!$I$1042:$I$1113,3),Kalkulasi!$I$1042:$I$1113,0)),"")</f>
        <v/>
      </c>
      <c r="H55" s="69">
        <f>IF(INDEX(Kalkulasi!$E$1042:$E$1113,MATCH(LARGE(Kalkulasi!$I$1042:$I$1113,3),Kalkulasi!$I$1042:$I$1113,0))&gt;0,INDEX(Kalkulasi!$D$1042:$D$1113,MATCH(LARGE(Kalkulasi!$I$1042:$I$1113,3),Kalkulasi!$I$1042:$I$1113,0)),"")</f>
        <v/>
      </c>
      <c r="I55" s="110">
        <f>IF(INDEX(Kalkulasi!$E$1042:$E$1113,MATCH(LARGE(Kalkulasi!$I$1042:$I$1113,3),Kalkulasi!$I$1042:$I$1113,0))&gt;0,INDEX(Kalkulasi!$E$1042:$E$1113,MATCH(LARGE(Kalkulasi!$I$1042:$I$1113,3),Kalkulasi!$I$1042:$I$1113,0)),"")</f>
        <v/>
      </c>
      <c r="J55" s="69">
        <f>IF(INDEX(Kalkulasi!$E$1042:$E$1113,MATCH(LARGE(Kalkulasi!$I$1042:$I$1113,3),Kalkulasi!$I$1042:$I$1113,0))&gt;0,INDEX(Kalkulasi!$F$1042:$F$1113,MATCH(LARGE(Kalkulasi!$I$1042:$I$1113,3),Kalkulasi!$I$1042:$I$1113,0))+INDEX(Kalkulasi!$G$1042:$G$1113,MATCH(LARGE(Kalkulasi!$I$1042:$I$1113,3),Kalkulasi!$I$1042:$I$1113,0)),"")</f>
        <v/>
      </c>
      <c r="K55" s="141">
        <f>IF(INDEX(Kalkulasi!$E$1042:$E$1113,MATCH(LARGE(Kalkulasi!$I$1042:$I$1113,3),Kalkulasi!$I$1042:$I$1113,0))&gt;0,INDEX(Kalkulasi!$H$1042:$H$1113,MATCH(LARGE(Kalkulasi!$I$1042:$I$1113,3),Kalkulasi!$I$1042:$I$1113,0)),"")</f>
        <v/>
      </c>
      <c r="L55" s="94">
        <f>IF(AND(INDEX(Kalkulasi!$E$1042:$E$1113,MATCH(LARGE(Kalkulasi!$I$1042:$I$1113,3),Kalkulasi!$I$1042:$I$1113,0))&gt;0,INDEX(Kalkulasi!$H$1042:$H$1113,MATCH(LARGE(Kalkulasi!$I$1042:$I$1113,3),Kalkulasi!$I$1042:$I$1113,0))&gt;0),INDEX(Kalkulasi!$E$1042:$E$1113,MATCH(LARGE(Kalkulasi!$I$1042:$I$1113,3),Kalkulasi!$I$1042:$I$1113,0))/INDEX(Kalkulasi!$H$1042:$H$1113,MATCH(LARGE(Kalkulasi!$I$1042:$I$1113,3),Kalkulasi!$I$1042:$I$1113,0)),"")</f>
        <v/>
      </c>
      <c r="M55" s="67">
        <f>IF(INDEX(Kalkulasi!$E$1042:$E$1113,MATCH(LARGE(Kalkulasi!$I$1042:$I$1113,18),Kalkulasi!$I$1042:$I$1113,0))&gt;0,INDEX(Kalkulasi!$A$1042:$A$1113,MATCH(LARGE(Kalkulasi!$I$1042:$I$1113,18),Kalkulasi!$I$1042:$I$1113,0)),"")</f>
        <v/>
      </c>
      <c r="N55" s="68">
        <f>IF(INDEX(Kalkulasi!$E$1042:$E$1113,MATCH(LARGE(Kalkulasi!$I$1042:$I$1113,18),Kalkulasi!$I$1042:$I$1113,0))&gt;0,INDEX(Kalkulasi!$B$1042:$B$1113,MATCH(LARGE(Kalkulasi!$I$1042:$I$1113,18),Kalkulasi!$I$1042:$I$1113,0)),"")</f>
        <v/>
      </c>
      <c r="P55" s="69">
        <f>IF(INDEX(Kalkulasi!$E$1042:$E$1113,MATCH(LARGE(Kalkulasi!$I$1042:$I$1113,18),Kalkulasi!$I$1042:$I$1113,0))&gt;0,INDEX(Kalkulasi!$C$1042:$C$1113,MATCH(LARGE(Kalkulasi!$I$1042:$I$1113,18),Kalkulasi!$I$1042:$I$1113,0)),"")</f>
        <v/>
      </c>
      <c r="Q55" s="69">
        <f>IF(INDEX(Kalkulasi!$E$1042:$E$1113,MATCH(LARGE(Kalkulasi!$I$1042:$I$1113,18),Kalkulasi!$I$1042:$I$1113,0))&gt;0,INDEX(Kalkulasi!$D$1042:$D$1113,MATCH(LARGE(Kalkulasi!$I$1042:$I$1113,18),Kalkulasi!$I$1042:$I$1113,0)),"")</f>
        <v/>
      </c>
      <c r="R55" s="110">
        <f>IF(INDEX(Kalkulasi!$E$1042:$E$1113,MATCH(LARGE(Kalkulasi!$I$1042:$I$1113,18),Kalkulasi!$I$1042:$I$1113,0))&gt;0,INDEX(Kalkulasi!$E$1042:$E$1113,MATCH(LARGE(Kalkulasi!$I$1042:$I$1113,18),Kalkulasi!$I$1042:$I$1113,0)),"")</f>
        <v/>
      </c>
      <c r="S55" s="69">
        <f>IF(INDEX(Kalkulasi!$E$1042:$E$1113,MATCH(LARGE(Kalkulasi!$I$1042:$I$1113,18),Kalkulasi!$I$1042:$I$1113,0))&gt;0,INDEX(Kalkulasi!$F$1042:$F$1113,MATCH(LARGE(Kalkulasi!$I$1042:$I$1113,18),Kalkulasi!$I$1042:$I$1113,0))+INDEX(Kalkulasi!$G$1042:$G$1113,MATCH(LARGE(Kalkulasi!$I$1042:$I$1113,18),Kalkulasi!$I$1042:$I$1113,0)),"")</f>
        <v/>
      </c>
      <c r="T55" s="141">
        <f>IF(INDEX(Kalkulasi!$E$1042:$E$1113,MATCH(LARGE(Kalkulasi!$I$1042:$I$1113,18),Kalkulasi!$I$1042:$I$1113,0))&gt;0,INDEX(Kalkulasi!$H$1042:$H$1113,MATCH(LARGE(Kalkulasi!$I$1042:$I$1113,18),Kalkulasi!$I$1042:$I$1113,0)),"")</f>
        <v/>
      </c>
      <c r="U55" s="94">
        <f>IF(AND(INDEX(Kalkulasi!$E$1042:$E$1113,MATCH(LARGE(Kalkulasi!$I$1042:$I$1113,18),Kalkulasi!$I$1042:$I$1113,0))&gt;0,INDEX(Kalkulasi!$H$1042:$H$1113,MATCH(LARGE(Kalkulasi!$I$1042:$I$1113,18),Kalkulasi!$I$1042:$I$1113,0))&gt;0),INDEX(Kalkulasi!$E$1042:$E$1113,MATCH(LARGE(Kalkulasi!$I$1042:$I$1113,18),Kalkulasi!$I$1042:$I$1113,0))/INDEX(Kalkulasi!$H$1042:$H$1113,MATCH(LARGE(Kalkulasi!$I$1042:$I$1113,18),Kalkulasi!$I$1042:$I$1113,0)),"")</f>
        <v/>
      </c>
      <c r="V55" s="2" t="n"/>
    </row>
    <row r="56" ht="18" customHeight="1">
      <c r="A56" s="1" t="n"/>
      <c r="B56" s="1" t="n"/>
      <c r="C56" s="2" t="n"/>
      <c r="D56" s="67">
        <f>IF(INDEX(Kalkulasi!$E$1042:$E$1113,MATCH(LARGE(Kalkulasi!$I$1042:$I$1113,4),Kalkulasi!$I$1042:$I$1113,0))&gt;0,INDEX(Kalkulasi!$A$1042:$A$1113,MATCH(LARGE(Kalkulasi!$I$1042:$I$1113,4),Kalkulasi!$I$1042:$I$1113,0)),"")</f>
        <v/>
      </c>
      <c r="E56" s="68">
        <f>IF(INDEX(Kalkulasi!$E$1042:$E$1113,MATCH(LARGE(Kalkulasi!$I$1042:$I$1113,4),Kalkulasi!$I$1042:$I$1113,0))&gt;0,INDEX(Kalkulasi!$B$1042:$B$1113,MATCH(LARGE(Kalkulasi!$I$1042:$I$1113,4),Kalkulasi!$I$1042:$I$1113,0)),"")</f>
        <v/>
      </c>
      <c r="G56" s="69">
        <f>IF(INDEX(Kalkulasi!$E$1042:$E$1113,MATCH(LARGE(Kalkulasi!$I$1042:$I$1113,4),Kalkulasi!$I$1042:$I$1113,0))&gt;0,INDEX(Kalkulasi!$C$1042:$C$1113,MATCH(LARGE(Kalkulasi!$I$1042:$I$1113,4),Kalkulasi!$I$1042:$I$1113,0)),"")</f>
        <v/>
      </c>
      <c r="H56" s="69">
        <f>IF(INDEX(Kalkulasi!$E$1042:$E$1113,MATCH(LARGE(Kalkulasi!$I$1042:$I$1113,4),Kalkulasi!$I$1042:$I$1113,0))&gt;0,INDEX(Kalkulasi!$D$1042:$D$1113,MATCH(LARGE(Kalkulasi!$I$1042:$I$1113,4),Kalkulasi!$I$1042:$I$1113,0)),"")</f>
        <v/>
      </c>
      <c r="I56" s="110">
        <f>IF(INDEX(Kalkulasi!$E$1042:$E$1113,MATCH(LARGE(Kalkulasi!$I$1042:$I$1113,4),Kalkulasi!$I$1042:$I$1113,0))&gt;0,INDEX(Kalkulasi!$E$1042:$E$1113,MATCH(LARGE(Kalkulasi!$I$1042:$I$1113,4),Kalkulasi!$I$1042:$I$1113,0)),"")</f>
        <v/>
      </c>
      <c r="J56" s="69">
        <f>IF(INDEX(Kalkulasi!$E$1042:$E$1113,MATCH(LARGE(Kalkulasi!$I$1042:$I$1113,4),Kalkulasi!$I$1042:$I$1113,0))&gt;0,INDEX(Kalkulasi!$F$1042:$F$1113,MATCH(LARGE(Kalkulasi!$I$1042:$I$1113,4),Kalkulasi!$I$1042:$I$1113,0))+INDEX(Kalkulasi!$G$1042:$G$1113,MATCH(LARGE(Kalkulasi!$I$1042:$I$1113,4),Kalkulasi!$I$1042:$I$1113,0)),"")</f>
        <v/>
      </c>
      <c r="K56" s="141">
        <f>IF(INDEX(Kalkulasi!$E$1042:$E$1113,MATCH(LARGE(Kalkulasi!$I$1042:$I$1113,4),Kalkulasi!$I$1042:$I$1113,0))&gt;0,INDEX(Kalkulasi!$H$1042:$H$1113,MATCH(LARGE(Kalkulasi!$I$1042:$I$1113,4),Kalkulasi!$I$1042:$I$1113,0)),"")</f>
        <v/>
      </c>
      <c r="L56" s="94">
        <f>IF(AND(INDEX(Kalkulasi!$E$1042:$E$1113,MATCH(LARGE(Kalkulasi!$I$1042:$I$1113,4),Kalkulasi!$I$1042:$I$1113,0))&gt;0,INDEX(Kalkulasi!$H$1042:$H$1113,MATCH(LARGE(Kalkulasi!$I$1042:$I$1113,4),Kalkulasi!$I$1042:$I$1113,0))&gt;0),INDEX(Kalkulasi!$E$1042:$E$1113,MATCH(LARGE(Kalkulasi!$I$1042:$I$1113,4),Kalkulasi!$I$1042:$I$1113,0))/INDEX(Kalkulasi!$H$1042:$H$1113,MATCH(LARGE(Kalkulasi!$I$1042:$I$1113,4),Kalkulasi!$I$1042:$I$1113,0)),"")</f>
        <v/>
      </c>
      <c r="M56" s="67">
        <f>IF(INDEX(Kalkulasi!$E$1042:$E$1113,MATCH(LARGE(Kalkulasi!$I$1042:$I$1113,19),Kalkulasi!$I$1042:$I$1113,0))&gt;0,INDEX(Kalkulasi!$A$1042:$A$1113,MATCH(LARGE(Kalkulasi!$I$1042:$I$1113,19),Kalkulasi!$I$1042:$I$1113,0)),"")</f>
        <v/>
      </c>
      <c r="N56" s="68">
        <f>IF(INDEX(Kalkulasi!$E$1042:$E$1113,MATCH(LARGE(Kalkulasi!$I$1042:$I$1113,19),Kalkulasi!$I$1042:$I$1113,0))&gt;0,INDEX(Kalkulasi!$B$1042:$B$1113,MATCH(LARGE(Kalkulasi!$I$1042:$I$1113,19),Kalkulasi!$I$1042:$I$1113,0)),"")</f>
        <v/>
      </c>
      <c r="P56" s="69">
        <f>IF(INDEX(Kalkulasi!$E$1042:$E$1113,MATCH(LARGE(Kalkulasi!$I$1042:$I$1113,19),Kalkulasi!$I$1042:$I$1113,0))&gt;0,INDEX(Kalkulasi!$C$1042:$C$1113,MATCH(LARGE(Kalkulasi!$I$1042:$I$1113,19),Kalkulasi!$I$1042:$I$1113,0)),"")</f>
        <v/>
      </c>
      <c r="Q56" s="69">
        <f>IF(INDEX(Kalkulasi!$E$1042:$E$1113,MATCH(LARGE(Kalkulasi!$I$1042:$I$1113,19),Kalkulasi!$I$1042:$I$1113,0))&gt;0,INDEX(Kalkulasi!$D$1042:$D$1113,MATCH(LARGE(Kalkulasi!$I$1042:$I$1113,19),Kalkulasi!$I$1042:$I$1113,0)),"")</f>
        <v/>
      </c>
      <c r="R56" s="110">
        <f>IF(INDEX(Kalkulasi!$E$1042:$E$1113,MATCH(LARGE(Kalkulasi!$I$1042:$I$1113,19),Kalkulasi!$I$1042:$I$1113,0))&gt;0,INDEX(Kalkulasi!$E$1042:$E$1113,MATCH(LARGE(Kalkulasi!$I$1042:$I$1113,19),Kalkulasi!$I$1042:$I$1113,0)),"")</f>
        <v/>
      </c>
      <c r="S56" s="69">
        <f>IF(INDEX(Kalkulasi!$E$1042:$E$1113,MATCH(LARGE(Kalkulasi!$I$1042:$I$1113,19),Kalkulasi!$I$1042:$I$1113,0))&gt;0,INDEX(Kalkulasi!$F$1042:$F$1113,MATCH(LARGE(Kalkulasi!$I$1042:$I$1113,19),Kalkulasi!$I$1042:$I$1113,0))+INDEX(Kalkulasi!$G$1042:$G$1113,MATCH(LARGE(Kalkulasi!$I$1042:$I$1113,19),Kalkulasi!$I$1042:$I$1113,0)),"")</f>
        <v/>
      </c>
      <c r="T56" s="141">
        <f>IF(INDEX(Kalkulasi!$E$1042:$E$1113,MATCH(LARGE(Kalkulasi!$I$1042:$I$1113,19),Kalkulasi!$I$1042:$I$1113,0))&gt;0,INDEX(Kalkulasi!$H$1042:$H$1113,MATCH(LARGE(Kalkulasi!$I$1042:$I$1113,19),Kalkulasi!$I$1042:$I$1113,0)),"")</f>
        <v/>
      </c>
      <c r="U56" s="94">
        <f>IF(AND(INDEX(Kalkulasi!$E$1042:$E$1113,MATCH(LARGE(Kalkulasi!$I$1042:$I$1113,19),Kalkulasi!$I$1042:$I$1113,0))&gt;0,INDEX(Kalkulasi!$H$1042:$H$1113,MATCH(LARGE(Kalkulasi!$I$1042:$I$1113,19),Kalkulasi!$I$1042:$I$1113,0))&gt;0),INDEX(Kalkulasi!$E$1042:$E$1113,MATCH(LARGE(Kalkulasi!$I$1042:$I$1113,19),Kalkulasi!$I$1042:$I$1113,0))/INDEX(Kalkulasi!$H$1042:$H$1113,MATCH(LARGE(Kalkulasi!$I$1042:$I$1113,19),Kalkulasi!$I$1042:$I$1113,0)),"")</f>
        <v/>
      </c>
      <c r="V56" s="2" t="n"/>
    </row>
    <row r="57" ht="18" customHeight="1">
      <c r="A57" s="1" t="n"/>
      <c r="B57" s="1" t="n"/>
      <c r="C57" s="2" t="n"/>
      <c r="D57" s="67">
        <f>IF(INDEX(Kalkulasi!$E$1042:$E$1113,MATCH(LARGE(Kalkulasi!$I$1042:$I$1113,5),Kalkulasi!$I$1042:$I$1113,0))&gt;0,INDEX(Kalkulasi!$A$1042:$A$1113,MATCH(LARGE(Kalkulasi!$I$1042:$I$1113,5),Kalkulasi!$I$1042:$I$1113,0)),"")</f>
        <v/>
      </c>
      <c r="E57" s="68">
        <f>IF(INDEX(Kalkulasi!$E$1042:$E$1113,MATCH(LARGE(Kalkulasi!$I$1042:$I$1113,5),Kalkulasi!$I$1042:$I$1113,0))&gt;0,INDEX(Kalkulasi!$B$1042:$B$1113,MATCH(LARGE(Kalkulasi!$I$1042:$I$1113,5),Kalkulasi!$I$1042:$I$1113,0)),"")</f>
        <v/>
      </c>
      <c r="G57" s="69">
        <f>IF(INDEX(Kalkulasi!$E$1042:$E$1113,MATCH(LARGE(Kalkulasi!$I$1042:$I$1113,5),Kalkulasi!$I$1042:$I$1113,0))&gt;0,INDEX(Kalkulasi!$C$1042:$C$1113,MATCH(LARGE(Kalkulasi!$I$1042:$I$1113,5),Kalkulasi!$I$1042:$I$1113,0)),"")</f>
        <v/>
      </c>
      <c r="H57" s="69">
        <f>IF(INDEX(Kalkulasi!$E$1042:$E$1113,MATCH(LARGE(Kalkulasi!$I$1042:$I$1113,5),Kalkulasi!$I$1042:$I$1113,0))&gt;0,INDEX(Kalkulasi!$D$1042:$D$1113,MATCH(LARGE(Kalkulasi!$I$1042:$I$1113,5),Kalkulasi!$I$1042:$I$1113,0)),"")</f>
        <v/>
      </c>
      <c r="I57" s="110">
        <f>IF(INDEX(Kalkulasi!$E$1042:$E$1113,MATCH(LARGE(Kalkulasi!$I$1042:$I$1113,5),Kalkulasi!$I$1042:$I$1113,0))&gt;0,INDEX(Kalkulasi!$E$1042:$E$1113,MATCH(LARGE(Kalkulasi!$I$1042:$I$1113,5),Kalkulasi!$I$1042:$I$1113,0)),"")</f>
        <v/>
      </c>
      <c r="J57" s="69">
        <f>IF(INDEX(Kalkulasi!$E$1042:$E$1113,MATCH(LARGE(Kalkulasi!$I$1042:$I$1113,5),Kalkulasi!$I$1042:$I$1113,0))&gt;0,INDEX(Kalkulasi!$F$1042:$F$1113,MATCH(LARGE(Kalkulasi!$I$1042:$I$1113,5),Kalkulasi!$I$1042:$I$1113,0))+INDEX(Kalkulasi!$G$1042:$G$1113,MATCH(LARGE(Kalkulasi!$I$1042:$I$1113,5),Kalkulasi!$I$1042:$I$1113,0)),"")</f>
        <v/>
      </c>
      <c r="K57" s="141">
        <f>IF(INDEX(Kalkulasi!$E$1042:$E$1113,MATCH(LARGE(Kalkulasi!$I$1042:$I$1113,5),Kalkulasi!$I$1042:$I$1113,0))&gt;0,INDEX(Kalkulasi!$H$1042:$H$1113,MATCH(LARGE(Kalkulasi!$I$1042:$I$1113,5),Kalkulasi!$I$1042:$I$1113,0)),"")</f>
        <v/>
      </c>
      <c r="L57" s="94">
        <f>IF(AND(INDEX(Kalkulasi!$E$1042:$E$1113,MATCH(LARGE(Kalkulasi!$I$1042:$I$1113,5),Kalkulasi!$I$1042:$I$1113,0))&gt;0,INDEX(Kalkulasi!$H$1042:$H$1113,MATCH(LARGE(Kalkulasi!$I$1042:$I$1113,5),Kalkulasi!$I$1042:$I$1113,0))&gt;0),INDEX(Kalkulasi!$E$1042:$E$1113,MATCH(LARGE(Kalkulasi!$I$1042:$I$1113,5),Kalkulasi!$I$1042:$I$1113,0))/INDEX(Kalkulasi!$H$1042:$H$1113,MATCH(LARGE(Kalkulasi!$I$1042:$I$1113,5),Kalkulasi!$I$1042:$I$1113,0)),"")</f>
        <v/>
      </c>
      <c r="M57" s="67">
        <f>IF(INDEX(Kalkulasi!$E$1042:$E$1113,MATCH(LARGE(Kalkulasi!$I$1042:$I$1113,20),Kalkulasi!$I$1042:$I$1113,0))&gt;0,INDEX(Kalkulasi!$A$1042:$A$1113,MATCH(LARGE(Kalkulasi!$I$1042:$I$1113,20),Kalkulasi!$I$1042:$I$1113,0)),"")</f>
        <v/>
      </c>
      <c r="N57" s="68">
        <f>IF(INDEX(Kalkulasi!$E$1042:$E$1113,MATCH(LARGE(Kalkulasi!$I$1042:$I$1113,20),Kalkulasi!$I$1042:$I$1113,0))&gt;0,INDEX(Kalkulasi!$B$1042:$B$1113,MATCH(LARGE(Kalkulasi!$I$1042:$I$1113,20),Kalkulasi!$I$1042:$I$1113,0)),"")</f>
        <v/>
      </c>
      <c r="P57" s="69">
        <f>IF(INDEX(Kalkulasi!$E$1042:$E$1113,MATCH(LARGE(Kalkulasi!$I$1042:$I$1113,20),Kalkulasi!$I$1042:$I$1113,0))&gt;0,INDEX(Kalkulasi!$C$1042:$C$1113,MATCH(LARGE(Kalkulasi!$I$1042:$I$1113,20),Kalkulasi!$I$1042:$I$1113,0)),"")</f>
        <v/>
      </c>
      <c r="Q57" s="69">
        <f>IF(INDEX(Kalkulasi!$E$1042:$E$1113,MATCH(LARGE(Kalkulasi!$I$1042:$I$1113,20),Kalkulasi!$I$1042:$I$1113,0))&gt;0,INDEX(Kalkulasi!$D$1042:$D$1113,MATCH(LARGE(Kalkulasi!$I$1042:$I$1113,20),Kalkulasi!$I$1042:$I$1113,0)),"")</f>
        <v/>
      </c>
      <c r="R57" s="110">
        <f>IF(INDEX(Kalkulasi!$E$1042:$E$1113,MATCH(LARGE(Kalkulasi!$I$1042:$I$1113,20),Kalkulasi!$I$1042:$I$1113,0))&gt;0,INDEX(Kalkulasi!$E$1042:$E$1113,MATCH(LARGE(Kalkulasi!$I$1042:$I$1113,20),Kalkulasi!$I$1042:$I$1113,0)),"")</f>
        <v/>
      </c>
      <c r="S57" s="69">
        <f>IF(INDEX(Kalkulasi!$E$1042:$E$1113,MATCH(LARGE(Kalkulasi!$I$1042:$I$1113,20),Kalkulasi!$I$1042:$I$1113,0))&gt;0,INDEX(Kalkulasi!$F$1042:$F$1113,MATCH(LARGE(Kalkulasi!$I$1042:$I$1113,20),Kalkulasi!$I$1042:$I$1113,0))+INDEX(Kalkulasi!$G$1042:$G$1113,MATCH(LARGE(Kalkulasi!$I$1042:$I$1113,20),Kalkulasi!$I$1042:$I$1113,0)),"")</f>
        <v/>
      </c>
      <c r="T57" s="141">
        <f>IF(INDEX(Kalkulasi!$E$1042:$E$1113,MATCH(LARGE(Kalkulasi!$I$1042:$I$1113,20),Kalkulasi!$I$1042:$I$1113,0))&gt;0,INDEX(Kalkulasi!$H$1042:$H$1113,MATCH(LARGE(Kalkulasi!$I$1042:$I$1113,20),Kalkulasi!$I$1042:$I$1113,0)),"")</f>
        <v/>
      </c>
      <c r="U57" s="94">
        <f>IF(AND(INDEX(Kalkulasi!$E$1042:$E$1113,MATCH(LARGE(Kalkulasi!$I$1042:$I$1113,20),Kalkulasi!$I$1042:$I$1113,0))&gt;0,INDEX(Kalkulasi!$H$1042:$H$1113,MATCH(LARGE(Kalkulasi!$I$1042:$I$1113,20),Kalkulasi!$I$1042:$I$1113,0))&gt;0),INDEX(Kalkulasi!$E$1042:$E$1113,MATCH(LARGE(Kalkulasi!$I$1042:$I$1113,20),Kalkulasi!$I$1042:$I$1113,0))/INDEX(Kalkulasi!$H$1042:$H$1113,MATCH(LARGE(Kalkulasi!$I$1042:$I$1113,20),Kalkulasi!$I$1042:$I$1113,0)),"")</f>
        <v/>
      </c>
      <c r="V57" s="2" t="n"/>
    </row>
    <row r="58" ht="18" customHeight="1">
      <c r="A58" s="1" t="n"/>
      <c r="B58" s="1" t="n"/>
      <c r="C58" s="2" t="n"/>
      <c r="D58" s="67">
        <f>IF(INDEX(Kalkulasi!$E$1042:$E$1113,MATCH(LARGE(Kalkulasi!$I$1042:$I$1113,6),Kalkulasi!$I$1042:$I$1113,0))&gt;0,INDEX(Kalkulasi!$A$1042:$A$1113,MATCH(LARGE(Kalkulasi!$I$1042:$I$1113,6),Kalkulasi!$I$1042:$I$1113,0)),"")</f>
        <v/>
      </c>
      <c r="E58" s="68">
        <f>IF(INDEX(Kalkulasi!$E$1042:$E$1113,MATCH(LARGE(Kalkulasi!$I$1042:$I$1113,6),Kalkulasi!$I$1042:$I$1113,0))&gt;0,INDEX(Kalkulasi!$B$1042:$B$1113,MATCH(LARGE(Kalkulasi!$I$1042:$I$1113,6),Kalkulasi!$I$1042:$I$1113,0)),"")</f>
        <v/>
      </c>
      <c r="G58" s="69">
        <f>IF(INDEX(Kalkulasi!$E$1042:$E$1113,MATCH(LARGE(Kalkulasi!$I$1042:$I$1113,6),Kalkulasi!$I$1042:$I$1113,0))&gt;0,INDEX(Kalkulasi!$C$1042:$C$1113,MATCH(LARGE(Kalkulasi!$I$1042:$I$1113,6),Kalkulasi!$I$1042:$I$1113,0)),"")</f>
        <v/>
      </c>
      <c r="H58" s="69">
        <f>IF(INDEX(Kalkulasi!$E$1042:$E$1113,MATCH(LARGE(Kalkulasi!$I$1042:$I$1113,6),Kalkulasi!$I$1042:$I$1113,0))&gt;0,INDEX(Kalkulasi!$D$1042:$D$1113,MATCH(LARGE(Kalkulasi!$I$1042:$I$1113,6),Kalkulasi!$I$1042:$I$1113,0)),"")</f>
        <v/>
      </c>
      <c r="I58" s="110">
        <f>IF(INDEX(Kalkulasi!$E$1042:$E$1113,MATCH(LARGE(Kalkulasi!$I$1042:$I$1113,6),Kalkulasi!$I$1042:$I$1113,0))&gt;0,INDEX(Kalkulasi!$E$1042:$E$1113,MATCH(LARGE(Kalkulasi!$I$1042:$I$1113,6),Kalkulasi!$I$1042:$I$1113,0)),"")</f>
        <v/>
      </c>
      <c r="J58" s="69">
        <f>IF(INDEX(Kalkulasi!$E$1042:$E$1113,MATCH(LARGE(Kalkulasi!$I$1042:$I$1113,6),Kalkulasi!$I$1042:$I$1113,0))&gt;0,INDEX(Kalkulasi!$F$1042:$F$1113,MATCH(LARGE(Kalkulasi!$I$1042:$I$1113,6),Kalkulasi!$I$1042:$I$1113,0))+INDEX(Kalkulasi!$G$1042:$G$1113,MATCH(LARGE(Kalkulasi!$I$1042:$I$1113,6),Kalkulasi!$I$1042:$I$1113,0)),"")</f>
        <v/>
      </c>
      <c r="K58" s="141">
        <f>IF(INDEX(Kalkulasi!$E$1042:$E$1113,MATCH(LARGE(Kalkulasi!$I$1042:$I$1113,6),Kalkulasi!$I$1042:$I$1113,0))&gt;0,INDEX(Kalkulasi!$H$1042:$H$1113,MATCH(LARGE(Kalkulasi!$I$1042:$I$1113,6),Kalkulasi!$I$1042:$I$1113,0)),"")</f>
        <v/>
      </c>
      <c r="L58" s="94">
        <f>IF(AND(INDEX(Kalkulasi!$E$1042:$E$1113,MATCH(LARGE(Kalkulasi!$I$1042:$I$1113,6),Kalkulasi!$I$1042:$I$1113,0))&gt;0,INDEX(Kalkulasi!$H$1042:$H$1113,MATCH(LARGE(Kalkulasi!$I$1042:$I$1113,6),Kalkulasi!$I$1042:$I$1113,0))&gt;0),INDEX(Kalkulasi!$E$1042:$E$1113,MATCH(LARGE(Kalkulasi!$I$1042:$I$1113,6),Kalkulasi!$I$1042:$I$1113,0))/INDEX(Kalkulasi!$H$1042:$H$1113,MATCH(LARGE(Kalkulasi!$I$1042:$I$1113,6),Kalkulasi!$I$1042:$I$1113,0)),"")</f>
        <v/>
      </c>
      <c r="M58" s="67">
        <f>IF(INDEX(Kalkulasi!$E$1042:$E$1113,MATCH(LARGE(Kalkulasi!$I$1042:$I$1113,21),Kalkulasi!$I$1042:$I$1113,0))&gt;0,INDEX(Kalkulasi!$A$1042:$A$1113,MATCH(LARGE(Kalkulasi!$I$1042:$I$1113,21),Kalkulasi!$I$1042:$I$1113,0)),"")</f>
        <v/>
      </c>
      <c r="N58" s="68">
        <f>IF(INDEX(Kalkulasi!$E$1042:$E$1113,MATCH(LARGE(Kalkulasi!$I$1042:$I$1113,21),Kalkulasi!$I$1042:$I$1113,0))&gt;0,INDEX(Kalkulasi!$B$1042:$B$1113,MATCH(LARGE(Kalkulasi!$I$1042:$I$1113,21),Kalkulasi!$I$1042:$I$1113,0)),"")</f>
        <v/>
      </c>
      <c r="P58" s="69">
        <f>IF(INDEX(Kalkulasi!$E$1042:$E$1113,MATCH(LARGE(Kalkulasi!$I$1042:$I$1113,21),Kalkulasi!$I$1042:$I$1113,0))&gt;0,INDEX(Kalkulasi!$C$1042:$C$1113,MATCH(LARGE(Kalkulasi!$I$1042:$I$1113,21),Kalkulasi!$I$1042:$I$1113,0)),"")</f>
        <v/>
      </c>
      <c r="Q58" s="69">
        <f>IF(INDEX(Kalkulasi!$E$1042:$E$1113,MATCH(LARGE(Kalkulasi!$I$1042:$I$1113,21),Kalkulasi!$I$1042:$I$1113,0))&gt;0,INDEX(Kalkulasi!$D$1042:$D$1113,MATCH(LARGE(Kalkulasi!$I$1042:$I$1113,21),Kalkulasi!$I$1042:$I$1113,0)),"")</f>
        <v/>
      </c>
      <c r="R58" s="110">
        <f>IF(INDEX(Kalkulasi!$E$1042:$E$1113,MATCH(LARGE(Kalkulasi!$I$1042:$I$1113,21),Kalkulasi!$I$1042:$I$1113,0))&gt;0,INDEX(Kalkulasi!$E$1042:$E$1113,MATCH(LARGE(Kalkulasi!$I$1042:$I$1113,21),Kalkulasi!$I$1042:$I$1113,0)),"")</f>
        <v/>
      </c>
      <c r="S58" s="69">
        <f>IF(INDEX(Kalkulasi!$E$1042:$E$1113,MATCH(LARGE(Kalkulasi!$I$1042:$I$1113,21),Kalkulasi!$I$1042:$I$1113,0))&gt;0,INDEX(Kalkulasi!$F$1042:$F$1113,MATCH(LARGE(Kalkulasi!$I$1042:$I$1113,21),Kalkulasi!$I$1042:$I$1113,0))+INDEX(Kalkulasi!$G$1042:$G$1113,MATCH(LARGE(Kalkulasi!$I$1042:$I$1113,21),Kalkulasi!$I$1042:$I$1113,0)),"")</f>
        <v/>
      </c>
      <c r="T58" s="141">
        <f>IF(INDEX(Kalkulasi!$E$1042:$E$1113,MATCH(LARGE(Kalkulasi!$I$1042:$I$1113,21),Kalkulasi!$I$1042:$I$1113,0))&gt;0,INDEX(Kalkulasi!$H$1042:$H$1113,MATCH(LARGE(Kalkulasi!$I$1042:$I$1113,21),Kalkulasi!$I$1042:$I$1113,0)),"")</f>
        <v/>
      </c>
      <c r="U58" s="94">
        <f>IF(AND(INDEX(Kalkulasi!$E$1042:$E$1113,MATCH(LARGE(Kalkulasi!$I$1042:$I$1113,21),Kalkulasi!$I$1042:$I$1113,0))&gt;0,INDEX(Kalkulasi!$H$1042:$H$1113,MATCH(LARGE(Kalkulasi!$I$1042:$I$1113,21),Kalkulasi!$I$1042:$I$1113,0))&gt;0),INDEX(Kalkulasi!$E$1042:$E$1113,MATCH(LARGE(Kalkulasi!$I$1042:$I$1113,21),Kalkulasi!$I$1042:$I$1113,0))/INDEX(Kalkulasi!$H$1042:$H$1113,MATCH(LARGE(Kalkulasi!$I$1042:$I$1113,21),Kalkulasi!$I$1042:$I$1113,0)),"")</f>
        <v/>
      </c>
      <c r="V58" s="2" t="n"/>
    </row>
    <row r="59" ht="18" customHeight="1">
      <c r="A59" s="1" t="n"/>
      <c r="B59" s="1" t="n"/>
      <c r="C59" s="2" t="n"/>
      <c r="D59" s="67">
        <f>IF(INDEX(Kalkulasi!$E$1042:$E$1113,MATCH(LARGE(Kalkulasi!$I$1042:$I$1113,7),Kalkulasi!$I$1042:$I$1113,0))&gt;0,INDEX(Kalkulasi!$A$1042:$A$1113,MATCH(LARGE(Kalkulasi!$I$1042:$I$1113,7),Kalkulasi!$I$1042:$I$1113,0)),"")</f>
        <v/>
      </c>
      <c r="E59" s="68">
        <f>IF(INDEX(Kalkulasi!$E$1042:$E$1113,MATCH(LARGE(Kalkulasi!$I$1042:$I$1113,7),Kalkulasi!$I$1042:$I$1113,0))&gt;0,INDEX(Kalkulasi!$B$1042:$B$1113,MATCH(LARGE(Kalkulasi!$I$1042:$I$1113,7),Kalkulasi!$I$1042:$I$1113,0)),"")</f>
        <v/>
      </c>
      <c r="G59" s="69">
        <f>IF(INDEX(Kalkulasi!$E$1042:$E$1113,MATCH(LARGE(Kalkulasi!$I$1042:$I$1113,7),Kalkulasi!$I$1042:$I$1113,0))&gt;0,INDEX(Kalkulasi!$C$1042:$C$1113,MATCH(LARGE(Kalkulasi!$I$1042:$I$1113,7),Kalkulasi!$I$1042:$I$1113,0)),"")</f>
        <v/>
      </c>
      <c r="H59" s="69">
        <f>IF(INDEX(Kalkulasi!$E$1042:$E$1113,MATCH(LARGE(Kalkulasi!$I$1042:$I$1113,7),Kalkulasi!$I$1042:$I$1113,0))&gt;0,INDEX(Kalkulasi!$D$1042:$D$1113,MATCH(LARGE(Kalkulasi!$I$1042:$I$1113,7),Kalkulasi!$I$1042:$I$1113,0)),"")</f>
        <v/>
      </c>
      <c r="I59" s="110">
        <f>IF(INDEX(Kalkulasi!$E$1042:$E$1113,MATCH(LARGE(Kalkulasi!$I$1042:$I$1113,7),Kalkulasi!$I$1042:$I$1113,0))&gt;0,INDEX(Kalkulasi!$E$1042:$E$1113,MATCH(LARGE(Kalkulasi!$I$1042:$I$1113,7),Kalkulasi!$I$1042:$I$1113,0)),"")</f>
        <v/>
      </c>
      <c r="J59" s="69">
        <f>IF(INDEX(Kalkulasi!$E$1042:$E$1113,MATCH(LARGE(Kalkulasi!$I$1042:$I$1113,7),Kalkulasi!$I$1042:$I$1113,0))&gt;0,INDEX(Kalkulasi!$F$1042:$F$1113,MATCH(LARGE(Kalkulasi!$I$1042:$I$1113,7),Kalkulasi!$I$1042:$I$1113,0))+INDEX(Kalkulasi!$G$1042:$G$1113,MATCH(LARGE(Kalkulasi!$I$1042:$I$1113,7),Kalkulasi!$I$1042:$I$1113,0)),"")</f>
        <v/>
      </c>
      <c r="K59" s="141">
        <f>IF(INDEX(Kalkulasi!$E$1042:$E$1113,MATCH(LARGE(Kalkulasi!$I$1042:$I$1113,7),Kalkulasi!$I$1042:$I$1113,0))&gt;0,INDEX(Kalkulasi!$H$1042:$H$1113,MATCH(LARGE(Kalkulasi!$I$1042:$I$1113,7),Kalkulasi!$I$1042:$I$1113,0)),"")</f>
        <v/>
      </c>
      <c r="L59" s="94">
        <f>IF(AND(INDEX(Kalkulasi!$E$1042:$E$1113,MATCH(LARGE(Kalkulasi!$I$1042:$I$1113,7),Kalkulasi!$I$1042:$I$1113,0))&gt;0,INDEX(Kalkulasi!$H$1042:$H$1113,MATCH(LARGE(Kalkulasi!$I$1042:$I$1113,7),Kalkulasi!$I$1042:$I$1113,0))&gt;0),INDEX(Kalkulasi!$E$1042:$E$1113,MATCH(LARGE(Kalkulasi!$I$1042:$I$1113,7),Kalkulasi!$I$1042:$I$1113,0))/INDEX(Kalkulasi!$H$1042:$H$1113,MATCH(LARGE(Kalkulasi!$I$1042:$I$1113,7),Kalkulasi!$I$1042:$I$1113,0)),"")</f>
        <v/>
      </c>
      <c r="M59" s="67">
        <f>IF(INDEX(Kalkulasi!$E$1042:$E$1113,MATCH(LARGE(Kalkulasi!$I$1042:$I$1113,22),Kalkulasi!$I$1042:$I$1113,0))&gt;0,INDEX(Kalkulasi!$A$1042:$A$1113,MATCH(LARGE(Kalkulasi!$I$1042:$I$1113,22),Kalkulasi!$I$1042:$I$1113,0)),"")</f>
        <v/>
      </c>
      <c r="N59" s="68">
        <f>IF(INDEX(Kalkulasi!$E$1042:$E$1113,MATCH(LARGE(Kalkulasi!$I$1042:$I$1113,22),Kalkulasi!$I$1042:$I$1113,0))&gt;0,INDEX(Kalkulasi!$B$1042:$B$1113,MATCH(LARGE(Kalkulasi!$I$1042:$I$1113,22),Kalkulasi!$I$1042:$I$1113,0)),"")</f>
        <v/>
      </c>
      <c r="P59" s="69">
        <f>IF(INDEX(Kalkulasi!$E$1042:$E$1113,MATCH(LARGE(Kalkulasi!$I$1042:$I$1113,22),Kalkulasi!$I$1042:$I$1113,0))&gt;0,INDEX(Kalkulasi!$C$1042:$C$1113,MATCH(LARGE(Kalkulasi!$I$1042:$I$1113,22),Kalkulasi!$I$1042:$I$1113,0)),"")</f>
        <v/>
      </c>
      <c r="Q59" s="69">
        <f>IF(INDEX(Kalkulasi!$E$1042:$E$1113,MATCH(LARGE(Kalkulasi!$I$1042:$I$1113,22),Kalkulasi!$I$1042:$I$1113,0))&gt;0,INDEX(Kalkulasi!$D$1042:$D$1113,MATCH(LARGE(Kalkulasi!$I$1042:$I$1113,22),Kalkulasi!$I$1042:$I$1113,0)),"")</f>
        <v/>
      </c>
      <c r="R59" s="110">
        <f>IF(INDEX(Kalkulasi!$E$1042:$E$1113,MATCH(LARGE(Kalkulasi!$I$1042:$I$1113,22),Kalkulasi!$I$1042:$I$1113,0))&gt;0,INDEX(Kalkulasi!$E$1042:$E$1113,MATCH(LARGE(Kalkulasi!$I$1042:$I$1113,22),Kalkulasi!$I$1042:$I$1113,0)),"")</f>
        <v/>
      </c>
      <c r="S59" s="69">
        <f>IF(INDEX(Kalkulasi!$E$1042:$E$1113,MATCH(LARGE(Kalkulasi!$I$1042:$I$1113,22),Kalkulasi!$I$1042:$I$1113,0))&gt;0,INDEX(Kalkulasi!$F$1042:$F$1113,MATCH(LARGE(Kalkulasi!$I$1042:$I$1113,22),Kalkulasi!$I$1042:$I$1113,0))+INDEX(Kalkulasi!$G$1042:$G$1113,MATCH(LARGE(Kalkulasi!$I$1042:$I$1113,22),Kalkulasi!$I$1042:$I$1113,0)),"")</f>
        <v/>
      </c>
      <c r="T59" s="141">
        <f>IF(INDEX(Kalkulasi!$E$1042:$E$1113,MATCH(LARGE(Kalkulasi!$I$1042:$I$1113,22),Kalkulasi!$I$1042:$I$1113,0))&gt;0,INDEX(Kalkulasi!$H$1042:$H$1113,MATCH(LARGE(Kalkulasi!$I$1042:$I$1113,22),Kalkulasi!$I$1042:$I$1113,0)),"")</f>
        <v/>
      </c>
      <c r="U59" s="94">
        <f>IF(AND(INDEX(Kalkulasi!$E$1042:$E$1113,MATCH(LARGE(Kalkulasi!$I$1042:$I$1113,22),Kalkulasi!$I$1042:$I$1113,0))&gt;0,INDEX(Kalkulasi!$H$1042:$H$1113,MATCH(LARGE(Kalkulasi!$I$1042:$I$1113,22),Kalkulasi!$I$1042:$I$1113,0))&gt;0),INDEX(Kalkulasi!$E$1042:$E$1113,MATCH(LARGE(Kalkulasi!$I$1042:$I$1113,22),Kalkulasi!$I$1042:$I$1113,0))/INDEX(Kalkulasi!$H$1042:$H$1113,MATCH(LARGE(Kalkulasi!$I$1042:$I$1113,22),Kalkulasi!$I$1042:$I$1113,0)),"")</f>
        <v/>
      </c>
      <c r="V59" s="2" t="n"/>
    </row>
    <row r="60" ht="18" customHeight="1">
      <c r="A60" s="1" t="n"/>
      <c r="B60" s="1" t="n"/>
      <c r="C60" s="2" t="n"/>
      <c r="D60" s="67">
        <f>IF(INDEX(Kalkulasi!$E$1042:$E$1113,MATCH(LARGE(Kalkulasi!$I$1042:$I$1113,8),Kalkulasi!$I$1042:$I$1113,0))&gt;0,INDEX(Kalkulasi!$A$1042:$A$1113,MATCH(LARGE(Kalkulasi!$I$1042:$I$1113,8),Kalkulasi!$I$1042:$I$1113,0)),"")</f>
        <v/>
      </c>
      <c r="E60" s="68">
        <f>IF(INDEX(Kalkulasi!$E$1042:$E$1113,MATCH(LARGE(Kalkulasi!$I$1042:$I$1113,8),Kalkulasi!$I$1042:$I$1113,0))&gt;0,INDEX(Kalkulasi!$B$1042:$B$1113,MATCH(LARGE(Kalkulasi!$I$1042:$I$1113,8),Kalkulasi!$I$1042:$I$1113,0)),"")</f>
        <v/>
      </c>
      <c r="G60" s="69">
        <f>IF(INDEX(Kalkulasi!$E$1042:$E$1113,MATCH(LARGE(Kalkulasi!$I$1042:$I$1113,8),Kalkulasi!$I$1042:$I$1113,0))&gt;0,INDEX(Kalkulasi!$C$1042:$C$1113,MATCH(LARGE(Kalkulasi!$I$1042:$I$1113,8),Kalkulasi!$I$1042:$I$1113,0)),"")</f>
        <v/>
      </c>
      <c r="H60" s="69">
        <f>IF(INDEX(Kalkulasi!$E$1042:$E$1113,MATCH(LARGE(Kalkulasi!$I$1042:$I$1113,8),Kalkulasi!$I$1042:$I$1113,0))&gt;0,INDEX(Kalkulasi!$D$1042:$D$1113,MATCH(LARGE(Kalkulasi!$I$1042:$I$1113,8),Kalkulasi!$I$1042:$I$1113,0)),"")</f>
        <v/>
      </c>
      <c r="I60" s="110">
        <f>IF(INDEX(Kalkulasi!$E$1042:$E$1113,MATCH(LARGE(Kalkulasi!$I$1042:$I$1113,8),Kalkulasi!$I$1042:$I$1113,0))&gt;0,INDEX(Kalkulasi!$E$1042:$E$1113,MATCH(LARGE(Kalkulasi!$I$1042:$I$1113,8),Kalkulasi!$I$1042:$I$1113,0)),"")</f>
        <v/>
      </c>
      <c r="J60" s="69">
        <f>IF(INDEX(Kalkulasi!$E$1042:$E$1113,MATCH(LARGE(Kalkulasi!$I$1042:$I$1113,8),Kalkulasi!$I$1042:$I$1113,0))&gt;0,INDEX(Kalkulasi!$F$1042:$F$1113,MATCH(LARGE(Kalkulasi!$I$1042:$I$1113,8),Kalkulasi!$I$1042:$I$1113,0))+INDEX(Kalkulasi!$G$1042:$G$1113,MATCH(LARGE(Kalkulasi!$I$1042:$I$1113,8),Kalkulasi!$I$1042:$I$1113,0)),"")</f>
        <v/>
      </c>
      <c r="K60" s="141">
        <f>IF(INDEX(Kalkulasi!$E$1042:$E$1113,MATCH(LARGE(Kalkulasi!$I$1042:$I$1113,8),Kalkulasi!$I$1042:$I$1113,0))&gt;0,INDEX(Kalkulasi!$H$1042:$H$1113,MATCH(LARGE(Kalkulasi!$I$1042:$I$1113,8),Kalkulasi!$I$1042:$I$1113,0)),"")</f>
        <v/>
      </c>
      <c r="L60" s="94">
        <f>IF(AND(INDEX(Kalkulasi!$E$1042:$E$1113,MATCH(LARGE(Kalkulasi!$I$1042:$I$1113,8),Kalkulasi!$I$1042:$I$1113,0))&gt;0,INDEX(Kalkulasi!$H$1042:$H$1113,MATCH(LARGE(Kalkulasi!$I$1042:$I$1113,8),Kalkulasi!$I$1042:$I$1113,0))&gt;0),INDEX(Kalkulasi!$E$1042:$E$1113,MATCH(LARGE(Kalkulasi!$I$1042:$I$1113,8),Kalkulasi!$I$1042:$I$1113,0))/INDEX(Kalkulasi!$H$1042:$H$1113,MATCH(LARGE(Kalkulasi!$I$1042:$I$1113,8),Kalkulasi!$I$1042:$I$1113,0)),"")</f>
        <v/>
      </c>
      <c r="M60" s="67">
        <f>IF(INDEX(Kalkulasi!$E$1042:$E$1113,MATCH(LARGE(Kalkulasi!$I$1042:$I$1113,23),Kalkulasi!$I$1042:$I$1113,0))&gt;0,INDEX(Kalkulasi!$A$1042:$A$1113,MATCH(LARGE(Kalkulasi!$I$1042:$I$1113,23),Kalkulasi!$I$1042:$I$1113,0)),"")</f>
        <v/>
      </c>
      <c r="N60" s="68">
        <f>IF(INDEX(Kalkulasi!$E$1042:$E$1113,MATCH(LARGE(Kalkulasi!$I$1042:$I$1113,23),Kalkulasi!$I$1042:$I$1113,0))&gt;0,INDEX(Kalkulasi!$B$1042:$B$1113,MATCH(LARGE(Kalkulasi!$I$1042:$I$1113,23),Kalkulasi!$I$1042:$I$1113,0)),"")</f>
        <v/>
      </c>
      <c r="P60" s="69">
        <f>IF(INDEX(Kalkulasi!$E$1042:$E$1113,MATCH(LARGE(Kalkulasi!$I$1042:$I$1113,23),Kalkulasi!$I$1042:$I$1113,0))&gt;0,INDEX(Kalkulasi!$C$1042:$C$1113,MATCH(LARGE(Kalkulasi!$I$1042:$I$1113,23),Kalkulasi!$I$1042:$I$1113,0)),"")</f>
        <v/>
      </c>
      <c r="Q60" s="69">
        <f>IF(INDEX(Kalkulasi!$E$1042:$E$1113,MATCH(LARGE(Kalkulasi!$I$1042:$I$1113,23),Kalkulasi!$I$1042:$I$1113,0))&gt;0,INDEX(Kalkulasi!$D$1042:$D$1113,MATCH(LARGE(Kalkulasi!$I$1042:$I$1113,23),Kalkulasi!$I$1042:$I$1113,0)),"")</f>
        <v/>
      </c>
      <c r="R60" s="110">
        <f>IF(INDEX(Kalkulasi!$E$1042:$E$1113,MATCH(LARGE(Kalkulasi!$I$1042:$I$1113,23),Kalkulasi!$I$1042:$I$1113,0))&gt;0,INDEX(Kalkulasi!$E$1042:$E$1113,MATCH(LARGE(Kalkulasi!$I$1042:$I$1113,23),Kalkulasi!$I$1042:$I$1113,0)),"")</f>
        <v/>
      </c>
      <c r="S60" s="69">
        <f>IF(INDEX(Kalkulasi!$E$1042:$E$1113,MATCH(LARGE(Kalkulasi!$I$1042:$I$1113,23),Kalkulasi!$I$1042:$I$1113,0))&gt;0,INDEX(Kalkulasi!$F$1042:$F$1113,MATCH(LARGE(Kalkulasi!$I$1042:$I$1113,23),Kalkulasi!$I$1042:$I$1113,0))+INDEX(Kalkulasi!$G$1042:$G$1113,MATCH(LARGE(Kalkulasi!$I$1042:$I$1113,23),Kalkulasi!$I$1042:$I$1113,0)),"")</f>
        <v/>
      </c>
      <c r="T60" s="141">
        <f>IF(INDEX(Kalkulasi!$E$1042:$E$1113,MATCH(LARGE(Kalkulasi!$I$1042:$I$1113,23),Kalkulasi!$I$1042:$I$1113,0))&gt;0,INDEX(Kalkulasi!$H$1042:$H$1113,MATCH(LARGE(Kalkulasi!$I$1042:$I$1113,23),Kalkulasi!$I$1042:$I$1113,0)),"")</f>
        <v/>
      </c>
      <c r="U60" s="94">
        <f>IF(AND(INDEX(Kalkulasi!$E$1042:$E$1113,MATCH(LARGE(Kalkulasi!$I$1042:$I$1113,23),Kalkulasi!$I$1042:$I$1113,0))&gt;0,INDEX(Kalkulasi!$H$1042:$H$1113,MATCH(LARGE(Kalkulasi!$I$1042:$I$1113,23),Kalkulasi!$I$1042:$I$1113,0))&gt;0),INDEX(Kalkulasi!$E$1042:$E$1113,MATCH(LARGE(Kalkulasi!$I$1042:$I$1113,23),Kalkulasi!$I$1042:$I$1113,0))/INDEX(Kalkulasi!$H$1042:$H$1113,MATCH(LARGE(Kalkulasi!$I$1042:$I$1113,23),Kalkulasi!$I$1042:$I$1113,0)),"")</f>
        <v/>
      </c>
      <c r="V60" s="2" t="n"/>
    </row>
    <row r="61" ht="18" customHeight="1">
      <c r="A61" s="1" t="n"/>
      <c r="B61" s="1" t="n"/>
      <c r="C61" s="2" t="n"/>
      <c r="D61" s="67">
        <f>IF(INDEX(Kalkulasi!$E$1042:$E$1113,MATCH(LARGE(Kalkulasi!$I$1042:$I$1113,9),Kalkulasi!$I$1042:$I$1113,0))&gt;0,INDEX(Kalkulasi!$A$1042:$A$1113,MATCH(LARGE(Kalkulasi!$I$1042:$I$1113,9),Kalkulasi!$I$1042:$I$1113,0)),"")</f>
        <v/>
      </c>
      <c r="E61" s="68">
        <f>IF(INDEX(Kalkulasi!$E$1042:$E$1113,MATCH(LARGE(Kalkulasi!$I$1042:$I$1113,9),Kalkulasi!$I$1042:$I$1113,0))&gt;0,INDEX(Kalkulasi!$B$1042:$B$1113,MATCH(LARGE(Kalkulasi!$I$1042:$I$1113,9),Kalkulasi!$I$1042:$I$1113,0)),"")</f>
        <v/>
      </c>
      <c r="G61" s="69">
        <f>IF(INDEX(Kalkulasi!$E$1042:$E$1113,MATCH(LARGE(Kalkulasi!$I$1042:$I$1113,9),Kalkulasi!$I$1042:$I$1113,0))&gt;0,INDEX(Kalkulasi!$C$1042:$C$1113,MATCH(LARGE(Kalkulasi!$I$1042:$I$1113,9),Kalkulasi!$I$1042:$I$1113,0)),"")</f>
        <v/>
      </c>
      <c r="H61" s="69">
        <f>IF(INDEX(Kalkulasi!$E$1042:$E$1113,MATCH(LARGE(Kalkulasi!$I$1042:$I$1113,9),Kalkulasi!$I$1042:$I$1113,0))&gt;0,INDEX(Kalkulasi!$D$1042:$D$1113,MATCH(LARGE(Kalkulasi!$I$1042:$I$1113,9),Kalkulasi!$I$1042:$I$1113,0)),"")</f>
        <v/>
      </c>
      <c r="I61" s="110">
        <f>IF(INDEX(Kalkulasi!$E$1042:$E$1113,MATCH(LARGE(Kalkulasi!$I$1042:$I$1113,9),Kalkulasi!$I$1042:$I$1113,0))&gt;0,INDEX(Kalkulasi!$E$1042:$E$1113,MATCH(LARGE(Kalkulasi!$I$1042:$I$1113,9),Kalkulasi!$I$1042:$I$1113,0)),"")</f>
        <v/>
      </c>
      <c r="J61" s="69">
        <f>IF(INDEX(Kalkulasi!$E$1042:$E$1113,MATCH(LARGE(Kalkulasi!$I$1042:$I$1113,9),Kalkulasi!$I$1042:$I$1113,0))&gt;0,INDEX(Kalkulasi!$F$1042:$F$1113,MATCH(LARGE(Kalkulasi!$I$1042:$I$1113,9),Kalkulasi!$I$1042:$I$1113,0))+INDEX(Kalkulasi!$G$1042:$G$1113,MATCH(LARGE(Kalkulasi!$I$1042:$I$1113,9),Kalkulasi!$I$1042:$I$1113,0)),"")</f>
        <v/>
      </c>
      <c r="K61" s="141">
        <f>IF(INDEX(Kalkulasi!$E$1042:$E$1113,MATCH(LARGE(Kalkulasi!$I$1042:$I$1113,9),Kalkulasi!$I$1042:$I$1113,0))&gt;0,INDEX(Kalkulasi!$H$1042:$H$1113,MATCH(LARGE(Kalkulasi!$I$1042:$I$1113,9),Kalkulasi!$I$1042:$I$1113,0)),"")</f>
        <v/>
      </c>
      <c r="L61" s="94">
        <f>IF(AND(INDEX(Kalkulasi!$E$1042:$E$1113,MATCH(LARGE(Kalkulasi!$I$1042:$I$1113,9),Kalkulasi!$I$1042:$I$1113,0))&gt;0,INDEX(Kalkulasi!$H$1042:$H$1113,MATCH(LARGE(Kalkulasi!$I$1042:$I$1113,9),Kalkulasi!$I$1042:$I$1113,0))&gt;0),INDEX(Kalkulasi!$E$1042:$E$1113,MATCH(LARGE(Kalkulasi!$I$1042:$I$1113,9),Kalkulasi!$I$1042:$I$1113,0))/INDEX(Kalkulasi!$H$1042:$H$1113,MATCH(LARGE(Kalkulasi!$I$1042:$I$1113,9),Kalkulasi!$I$1042:$I$1113,0)),"")</f>
        <v/>
      </c>
      <c r="M61" s="67">
        <f>IF(INDEX(Kalkulasi!$E$1042:$E$1113,MATCH(LARGE(Kalkulasi!$I$1042:$I$1113,24),Kalkulasi!$I$1042:$I$1113,0))&gt;0,INDEX(Kalkulasi!$A$1042:$A$1113,MATCH(LARGE(Kalkulasi!$I$1042:$I$1113,24),Kalkulasi!$I$1042:$I$1113,0)),"")</f>
        <v/>
      </c>
      <c r="N61" s="68">
        <f>IF(INDEX(Kalkulasi!$E$1042:$E$1113,MATCH(LARGE(Kalkulasi!$I$1042:$I$1113,24),Kalkulasi!$I$1042:$I$1113,0))&gt;0,INDEX(Kalkulasi!$B$1042:$B$1113,MATCH(LARGE(Kalkulasi!$I$1042:$I$1113,24),Kalkulasi!$I$1042:$I$1113,0)),"")</f>
        <v/>
      </c>
      <c r="P61" s="69">
        <f>IF(INDEX(Kalkulasi!$E$1042:$E$1113,MATCH(LARGE(Kalkulasi!$I$1042:$I$1113,24),Kalkulasi!$I$1042:$I$1113,0))&gt;0,INDEX(Kalkulasi!$C$1042:$C$1113,MATCH(LARGE(Kalkulasi!$I$1042:$I$1113,24),Kalkulasi!$I$1042:$I$1113,0)),"")</f>
        <v/>
      </c>
      <c r="Q61" s="69">
        <f>IF(INDEX(Kalkulasi!$E$1042:$E$1113,MATCH(LARGE(Kalkulasi!$I$1042:$I$1113,24),Kalkulasi!$I$1042:$I$1113,0))&gt;0,INDEX(Kalkulasi!$D$1042:$D$1113,MATCH(LARGE(Kalkulasi!$I$1042:$I$1113,24),Kalkulasi!$I$1042:$I$1113,0)),"")</f>
        <v/>
      </c>
      <c r="R61" s="110">
        <f>IF(INDEX(Kalkulasi!$E$1042:$E$1113,MATCH(LARGE(Kalkulasi!$I$1042:$I$1113,24),Kalkulasi!$I$1042:$I$1113,0))&gt;0,INDEX(Kalkulasi!$E$1042:$E$1113,MATCH(LARGE(Kalkulasi!$I$1042:$I$1113,24),Kalkulasi!$I$1042:$I$1113,0)),"")</f>
        <v/>
      </c>
      <c r="S61" s="69">
        <f>IF(INDEX(Kalkulasi!$E$1042:$E$1113,MATCH(LARGE(Kalkulasi!$I$1042:$I$1113,24),Kalkulasi!$I$1042:$I$1113,0))&gt;0,INDEX(Kalkulasi!$F$1042:$F$1113,MATCH(LARGE(Kalkulasi!$I$1042:$I$1113,24),Kalkulasi!$I$1042:$I$1113,0))+INDEX(Kalkulasi!$G$1042:$G$1113,MATCH(LARGE(Kalkulasi!$I$1042:$I$1113,24),Kalkulasi!$I$1042:$I$1113,0)),"")</f>
        <v/>
      </c>
      <c r="T61" s="141">
        <f>IF(INDEX(Kalkulasi!$E$1042:$E$1113,MATCH(LARGE(Kalkulasi!$I$1042:$I$1113,24),Kalkulasi!$I$1042:$I$1113,0))&gt;0,INDEX(Kalkulasi!$H$1042:$H$1113,MATCH(LARGE(Kalkulasi!$I$1042:$I$1113,24),Kalkulasi!$I$1042:$I$1113,0)),"")</f>
        <v/>
      </c>
      <c r="U61" s="94">
        <f>IF(AND(INDEX(Kalkulasi!$E$1042:$E$1113,MATCH(LARGE(Kalkulasi!$I$1042:$I$1113,24),Kalkulasi!$I$1042:$I$1113,0))&gt;0,INDEX(Kalkulasi!$H$1042:$H$1113,MATCH(LARGE(Kalkulasi!$I$1042:$I$1113,24),Kalkulasi!$I$1042:$I$1113,0))&gt;0),INDEX(Kalkulasi!$E$1042:$E$1113,MATCH(LARGE(Kalkulasi!$I$1042:$I$1113,24),Kalkulasi!$I$1042:$I$1113,0))/INDEX(Kalkulasi!$H$1042:$H$1113,MATCH(LARGE(Kalkulasi!$I$1042:$I$1113,24),Kalkulasi!$I$1042:$I$1113,0)),"")</f>
        <v/>
      </c>
      <c r="V61" s="2" t="n"/>
    </row>
    <row r="62" ht="18" customHeight="1">
      <c r="A62" s="1" t="n"/>
      <c r="B62" s="1" t="n"/>
      <c r="C62" s="2" t="n"/>
      <c r="D62" s="67">
        <f>IF(INDEX(Kalkulasi!$E$1042:$E$1113,MATCH(LARGE(Kalkulasi!$I$1042:$I$1113,10),Kalkulasi!$I$1042:$I$1113,0))&gt;0,INDEX(Kalkulasi!$A$1042:$A$1113,MATCH(LARGE(Kalkulasi!$I$1042:$I$1113,10),Kalkulasi!$I$1042:$I$1113,0)),"")</f>
        <v/>
      </c>
      <c r="E62" s="68">
        <f>IF(INDEX(Kalkulasi!$E$1042:$E$1113,MATCH(LARGE(Kalkulasi!$I$1042:$I$1113,10),Kalkulasi!$I$1042:$I$1113,0))&gt;0,INDEX(Kalkulasi!$B$1042:$B$1113,MATCH(LARGE(Kalkulasi!$I$1042:$I$1113,10),Kalkulasi!$I$1042:$I$1113,0)),"")</f>
        <v/>
      </c>
      <c r="G62" s="69">
        <f>IF(INDEX(Kalkulasi!$E$1042:$E$1113,MATCH(LARGE(Kalkulasi!$I$1042:$I$1113,10),Kalkulasi!$I$1042:$I$1113,0))&gt;0,INDEX(Kalkulasi!$C$1042:$C$1113,MATCH(LARGE(Kalkulasi!$I$1042:$I$1113,10),Kalkulasi!$I$1042:$I$1113,0)),"")</f>
        <v/>
      </c>
      <c r="H62" s="69">
        <f>IF(INDEX(Kalkulasi!$E$1042:$E$1113,MATCH(LARGE(Kalkulasi!$I$1042:$I$1113,10),Kalkulasi!$I$1042:$I$1113,0))&gt;0,INDEX(Kalkulasi!$D$1042:$D$1113,MATCH(LARGE(Kalkulasi!$I$1042:$I$1113,10),Kalkulasi!$I$1042:$I$1113,0)),"")</f>
        <v/>
      </c>
      <c r="I62" s="110">
        <f>IF(INDEX(Kalkulasi!$E$1042:$E$1113,MATCH(LARGE(Kalkulasi!$I$1042:$I$1113,10),Kalkulasi!$I$1042:$I$1113,0))&gt;0,INDEX(Kalkulasi!$E$1042:$E$1113,MATCH(LARGE(Kalkulasi!$I$1042:$I$1113,10),Kalkulasi!$I$1042:$I$1113,0)),"")</f>
        <v/>
      </c>
      <c r="J62" s="69">
        <f>IF(INDEX(Kalkulasi!$E$1042:$E$1113,MATCH(LARGE(Kalkulasi!$I$1042:$I$1113,10),Kalkulasi!$I$1042:$I$1113,0))&gt;0,INDEX(Kalkulasi!$F$1042:$F$1113,MATCH(LARGE(Kalkulasi!$I$1042:$I$1113,10),Kalkulasi!$I$1042:$I$1113,0))+INDEX(Kalkulasi!$G$1042:$G$1113,MATCH(LARGE(Kalkulasi!$I$1042:$I$1113,10),Kalkulasi!$I$1042:$I$1113,0)),"")</f>
        <v/>
      </c>
      <c r="K62" s="141">
        <f>IF(INDEX(Kalkulasi!$E$1042:$E$1113,MATCH(LARGE(Kalkulasi!$I$1042:$I$1113,10),Kalkulasi!$I$1042:$I$1113,0))&gt;0,INDEX(Kalkulasi!$H$1042:$H$1113,MATCH(LARGE(Kalkulasi!$I$1042:$I$1113,10),Kalkulasi!$I$1042:$I$1113,0)),"")</f>
        <v/>
      </c>
      <c r="L62" s="94">
        <f>IF(AND(INDEX(Kalkulasi!$E$1042:$E$1113,MATCH(LARGE(Kalkulasi!$I$1042:$I$1113,10),Kalkulasi!$I$1042:$I$1113,0))&gt;0,INDEX(Kalkulasi!$H$1042:$H$1113,MATCH(LARGE(Kalkulasi!$I$1042:$I$1113,10),Kalkulasi!$I$1042:$I$1113,0))&gt;0),INDEX(Kalkulasi!$E$1042:$E$1113,MATCH(LARGE(Kalkulasi!$I$1042:$I$1113,10),Kalkulasi!$I$1042:$I$1113,0))/INDEX(Kalkulasi!$H$1042:$H$1113,MATCH(LARGE(Kalkulasi!$I$1042:$I$1113,10),Kalkulasi!$I$1042:$I$1113,0)),"")</f>
        <v/>
      </c>
      <c r="M62" s="67">
        <f>IF(INDEX(Kalkulasi!$E$1042:$E$1113,MATCH(LARGE(Kalkulasi!$I$1042:$I$1113,25),Kalkulasi!$I$1042:$I$1113,0))&gt;0,INDEX(Kalkulasi!$A$1042:$A$1113,MATCH(LARGE(Kalkulasi!$I$1042:$I$1113,25),Kalkulasi!$I$1042:$I$1113,0)),"")</f>
        <v/>
      </c>
      <c r="N62" s="68">
        <f>IF(INDEX(Kalkulasi!$E$1042:$E$1113,MATCH(LARGE(Kalkulasi!$I$1042:$I$1113,25),Kalkulasi!$I$1042:$I$1113,0))&gt;0,INDEX(Kalkulasi!$B$1042:$B$1113,MATCH(LARGE(Kalkulasi!$I$1042:$I$1113,25),Kalkulasi!$I$1042:$I$1113,0)),"")</f>
        <v/>
      </c>
      <c r="P62" s="69">
        <f>IF(INDEX(Kalkulasi!$E$1042:$E$1113,MATCH(LARGE(Kalkulasi!$I$1042:$I$1113,25),Kalkulasi!$I$1042:$I$1113,0))&gt;0,INDEX(Kalkulasi!$C$1042:$C$1113,MATCH(LARGE(Kalkulasi!$I$1042:$I$1113,25),Kalkulasi!$I$1042:$I$1113,0)),"")</f>
        <v/>
      </c>
      <c r="Q62" s="69">
        <f>IF(INDEX(Kalkulasi!$E$1042:$E$1113,MATCH(LARGE(Kalkulasi!$I$1042:$I$1113,25),Kalkulasi!$I$1042:$I$1113,0))&gt;0,INDEX(Kalkulasi!$D$1042:$D$1113,MATCH(LARGE(Kalkulasi!$I$1042:$I$1113,25),Kalkulasi!$I$1042:$I$1113,0)),"")</f>
        <v/>
      </c>
      <c r="R62" s="110">
        <f>IF(INDEX(Kalkulasi!$E$1042:$E$1113,MATCH(LARGE(Kalkulasi!$I$1042:$I$1113,25),Kalkulasi!$I$1042:$I$1113,0))&gt;0,INDEX(Kalkulasi!$E$1042:$E$1113,MATCH(LARGE(Kalkulasi!$I$1042:$I$1113,25),Kalkulasi!$I$1042:$I$1113,0)),"")</f>
        <v/>
      </c>
      <c r="S62" s="69">
        <f>IF(INDEX(Kalkulasi!$E$1042:$E$1113,MATCH(LARGE(Kalkulasi!$I$1042:$I$1113,25),Kalkulasi!$I$1042:$I$1113,0))&gt;0,INDEX(Kalkulasi!$F$1042:$F$1113,MATCH(LARGE(Kalkulasi!$I$1042:$I$1113,25),Kalkulasi!$I$1042:$I$1113,0))+INDEX(Kalkulasi!$G$1042:$G$1113,MATCH(LARGE(Kalkulasi!$I$1042:$I$1113,25),Kalkulasi!$I$1042:$I$1113,0)),"")</f>
        <v/>
      </c>
      <c r="T62" s="141">
        <f>IF(INDEX(Kalkulasi!$E$1042:$E$1113,MATCH(LARGE(Kalkulasi!$I$1042:$I$1113,25),Kalkulasi!$I$1042:$I$1113,0))&gt;0,INDEX(Kalkulasi!$H$1042:$H$1113,MATCH(LARGE(Kalkulasi!$I$1042:$I$1113,25),Kalkulasi!$I$1042:$I$1113,0)),"")</f>
        <v/>
      </c>
      <c r="U62" s="94">
        <f>IF(AND(INDEX(Kalkulasi!$E$1042:$E$1113,MATCH(LARGE(Kalkulasi!$I$1042:$I$1113,25),Kalkulasi!$I$1042:$I$1113,0))&gt;0,INDEX(Kalkulasi!$H$1042:$H$1113,MATCH(LARGE(Kalkulasi!$I$1042:$I$1113,25),Kalkulasi!$I$1042:$I$1113,0))&gt;0),INDEX(Kalkulasi!$E$1042:$E$1113,MATCH(LARGE(Kalkulasi!$I$1042:$I$1113,25),Kalkulasi!$I$1042:$I$1113,0))/INDEX(Kalkulasi!$H$1042:$H$1113,MATCH(LARGE(Kalkulasi!$I$1042:$I$1113,25),Kalkulasi!$I$1042:$I$1113,0)),"")</f>
        <v/>
      </c>
      <c r="V62" s="2" t="n"/>
    </row>
    <row r="63" ht="18" customHeight="1">
      <c r="A63" s="1" t="n"/>
      <c r="B63" s="1" t="n"/>
      <c r="C63" s="2" t="n"/>
      <c r="D63" s="67">
        <f>IF(INDEX(Kalkulasi!$E$1042:$E$1113,MATCH(LARGE(Kalkulasi!$I$1042:$I$1113,11),Kalkulasi!$I$1042:$I$1113,0))&gt;0,INDEX(Kalkulasi!$A$1042:$A$1113,MATCH(LARGE(Kalkulasi!$I$1042:$I$1113,11),Kalkulasi!$I$1042:$I$1113,0)),"")</f>
        <v/>
      </c>
      <c r="E63" s="68">
        <f>IF(INDEX(Kalkulasi!$E$1042:$E$1113,MATCH(LARGE(Kalkulasi!$I$1042:$I$1113,11),Kalkulasi!$I$1042:$I$1113,0))&gt;0,INDEX(Kalkulasi!$B$1042:$B$1113,MATCH(LARGE(Kalkulasi!$I$1042:$I$1113,11),Kalkulasi!$I$1042:$I$1113,0)),"")</f>
        <v/>
      </c>
      <c r="G63" s="69">
        <f>IF(INDEX(Kalkulasi!$E$1042:$E$1113,MATCH(LARGE(Kalkulasi!$I$1042:$I$1113,11),Kalkulasi!$I$1042:$I$1113,0))&gt;0,INDEX(Kalkulasi!$C$1042:$C$1113,MATCH(LARGE(Kalkulasi!$I$1042:$I$1113,11),Kalkulasi!$I$1042:$I$1113,0)),"")</f>
        <v/>
      </c>
      <c r="H63" s="69">
        <f>IF(INDEX(Kalkulasi!$E$1042:$E$1113,MATCH(LARGE(Kalkulasi!$I$1042:$I$1113,11),Kalkulasi!$I$1042:$I$1113,0))&gt;0,INDEX(Kalkulasi!$D$1042:$D$1113,MATCH(LARGE(Kalkulasi!$I$1042:$I$1113,11),Kalkulasi!$I$1042:$I$1113,0)),"")</f>
        <v/>
      </c>
      <c r="I63" s="110">
        <f>IF(INDEX(Kalkulasi!$E$1042:$E$1113,MATCH(LARGE(Kalkulasi!$I$1042:$I$1113,11),Kalkulasi!$I$1042:$I$1113,0))&gt;0,INDEX(Kalkulasi!$E$1042:$E$1113,MATCH(LARGE(Kalkulasi!$I$1042:$I$1113,11),Kalkulasi!$I$1042:$I$1113,0)),"")</f>
        <v/>
      </c>
      <c r="J63" s="69">
        <f>IF(INDEX(Kalkulasi!$E$1042:$E$1113,MATCH(LARGE(Kalkulasi!$I$1042:$I$1113,11),Kalkulasi!$I$1042:$I$1113,0))&gt;0,INDEX(Kalkulasi!$F$1042:$F$1113,MATCH(LARGE(Kalkulasi!$I$1042:$I$1113,11),Kalkulasi!$I$1042:$I$1113,0))+INDEX(Kalkulasi!$G$1042:$G$1113,MATCH(LARGE(Kalkulasi!$I$1042:$I$1113,11),Kalkulasi!$I$1042:$I$1113,0)),"")</f>
        <v/>
      </c>
      <c r="K63" s="141">
        <f>IF(INDEX(Kalkulasi!$E$1042:$E$1113,MATCH(LARGE(Kalkulasi!$I$1042:$I$1113,11),Kalkulasi!$I$1042:$I$1113,0))&gt;0,INDEX(Kalkulasi!$H$1042:$H$1113,MATCH(LARGE(Kalkulasi!$I$1042:$I$1113,11),Kalkulasi!$I$1042:$I$1113,0)),"")</f>
        <v/>
      </c>
      <c r="L63" s="94">
        <f>IF(AND(INDEX(Kalkulasi!$E$1042:$E$1113,MATCH(LARGE(Kalkulasi!$I$1042:$I$1113,11),Kalkulasi!$I$1042:$I$1113,0))&gt;0,INDEX(Kalkulasi!$H$1042:$H$1113,MATCH(LARGE(Kalkulasi!$I$1042:$I$1113,11),Kalkulasi!$I$1042:$I$1113,0))&gt;0),INDEX(Kalkulasi!$E$1042:$E$1113,MATCH(LARGE(Kalkulasi!$I$1042:$I$1113,11),Kalkulasi!$I$1042:$I$1113,0))/INDEX(Kalkulasi!$H$1042:$H$1113,MATCH(LARGE(Kalkulasi!$I$1042:$I$1113,11),Kalkulasi!$I$1042:$I$1113,0)),"")</f>
        <v/>
      </c>
      <c r="M63" s="67">
        <f>IF(INDEX(Kalkulasi!$E$1042:$E$1113,MATCH(LARGE(Kalkulasi!$I$1042:$I$1113,26),Kalkulasi!$I$1042:$I$1113,0))&gt;0,INDEX(Kalkulasi!$A$1042:$A$1113,MATCH(LARGE(Kalkulasi!$I$1042:$I$1113,26),Kalkulasi!$I$1042:$I$1113,0)),"")</f>
        <v/>
      </c>
      <c r="N63" s="68">
        <f>IF(INDEX(Kalkulasi!$E$1042:$E$1113,MATCH(LARGE(Kalkulasi!$I$1042:$I$1113,26),Kalkulasi!$I$1042:$I$1113,0))&gt;0,INDEX(Kalkulasi!$B$1042:$B$1113,MATCH(LARGE(Kalkulasi!$I$1042:$I$1113,26),Kalkulasi!$I$1042:$I$1113,0)),"")</f>
        <v/>
      </c>
      <c r="P63" s="69">
        <f>IF(INDEX(Kalkulasi!$E$1042:$E$1113,MATCH(LARGE(Kalkulasi!$I$1042:$I$1113,26),Kalkulasi!$I$1042:$I$1113,0))&gt;0,INDEX(Kalkulasi!$C$1042:$C$1113,MATCH(LARGE(Kalkulasi!$I$1042:$I$1113,26),Kalkulasi!$I$1042:$I$1113,0)),"")</f>
        <v/>
      </c>
      <c r="Q63" s="69">
        <f>IF(INDEX(Kalkulasi!$E$1042:$E$1113,MATCH(LARGE(Kalkulasi!$I$1042:$I$1113,26),Kalkulasi!$I$1042:$I$1113,0))&gt;0,INDEX(Kalkulasi!$D$1042:$D$1113,MATCH(LARGE(Kalkulasi!$I$1042:$I$1113,26),Kalkulasi!$I$1042:$I$1113,0)),"")</f>
        <v/>
      </c>
      <c r="R63" s="110">
        <f>IF(INDEX(Kalkulasi!$E$1042:$E$1113,MATCH(LARGE(Kalkulasi!$I$1042:$I$1113,26),Kalkulasi!$I$1042:$I$1113,0))&gt;0,INDEX(Kalkulasi!$E$1042:$E$1113,MATCH(LARGE(Kalkulasi!$I$1042:$I$1113,26),Kalkulasi!$I$1042:$I$1113,0)),"")</f>
        <v/>
      </c>
      <c r="S63" s="69">
        <f>IF(INDEX(Kalkulasi!$E$1042:$E$1113,MATCH(LARGE(Kalkulasi!$I$1042:$I$1113,26),Kalkulasi!$I$1042:$I$1113,0))&gt;0,INDEX(Kalkulasi!$F$1042:$F$1113,MATCH(LARGE(Kalkulasi!$I$1042:$I$1113,26),Kalkulasi!$I$1042:$I$1113,0))+INDEX(Kalkulasi!$G$1042:$G$1113,MATCH(LARGE(Kalkulasi!$I$1042:$I$1113,26),Kalkulasi!$I$1042:$I$1113,0)),"")</f>
        <v/>
      </c>
      <c r="T63" s="141">
        <f>IF(INDEX(Kalkulasi!$E$1042:$E$1113,MATCH(LARGE(Kalkulasi!$I$1042:$I$1113,26),Kalkulasi!$I$1042:$I$1113,0))&gt;0,INDEX(Kalkulasi!$H$1042:$H$1113,MATCH(LARGE(Kalkulasi!$I$1042:$I$1113,26),Kalkulasi!$I$1042:$I$1113,0)),"")</f>
        <v/>
      </c>
      <c r="U63" s="94">
        <f>IF(AND(INDEX(Kalkulasi!$E$1042:$E$1113,MATCH(LARGE(Kalkulasi!$I$1042:$I$1113,26),Kalkulasi!$I$1042:$I$1113,0))&gt;0,INDEX(Kalkulasi!$H$1042:$H$1113,MATCH(LARGE(Kalkulasi!$I$1042:$I$1113,26),Kalkulasi!$I$1042:$I$1113,0))&gt;0),INDEX(Kalkulasi!$E$1042:$E$1113,MATCH(LARGE(Kalkulasi!$I$1042:$I$1113,26),Kalkulasi!$I$1042:$I$1113,0))/INDEX(Kalkulasi!$H$1042:$H$1113,MATCH(LARGE(Kalkulasi!$I$1042:$I$1113,26),Kalkulasi!$I$1042:$I$1113,0)),"")</f>
        <v/>
      </c>
      <c r="V63" s="2" t="n"/>
    </row>
    <row r="64" ht="18" customHeight="1">
      <c r="A64" s="1" t="n"/>
      <c r="B64" s="1" t="n"/>
      <c r="C64" s="2" t="n"/>
      <c r="D64" s="67">
        <f>IF(INDEX(Kalkulasi!$E$1042:$E$1113,MATCH(LARGE(Kalkulasi!$I$1042:$I$1113,12),Kalkulasi!$I$1042:$I$1113,0))&gt;0,INDEX(Kalkulasi!$A$1042:$A$1113,MATCH(LARGE(Kalkulasi!$I$1042:$I$1113,12),Kalkulasi!$I$1042:$I$1113,0)),"")</f>
        <v/>
      </c>
      <c r="E64" s="68">
        <f>IF(INDEX(Kalkulasi!$E$1042:$E$1113,MATCH(LARGE(Kalkulasi!$I$1042:$I$1113,12),Kalkulasi!$I$1042:$I$1113,0))&gt;0,INDEX(Kalkulasi!$B$1042:$B$1113,MATCH(LARGE(Kalkulasi!$I$1042:$I$1113,12),Kalkulasi!$I$1042:$I$1113,0)),"")</f>
        <v/>
      </c>
      <c r="G64" s="69">
        <f>IF(INDEX(Kalkulasi!$E$1042:$E$1113,MATCH(LARGE(Kalkulasi!$I$1042:$I$1113,12),Kalkulasi!$I$1042:$I$1113,0))&gt;0,INDEX(Kalkulasi!$C$1042:$C$1113,MATCH(LARGE(Kalkulasi!$I$1042:$I$1113,12),Kalkulasi!$I$1042:$I$1113,0)),"")</f>
        <v/>
      </c>
      <c r="H64" s="69">
        <f>IF(INDEX(Kalkulasi!$E$1042:$E$1113,MATCH(LARGE(Kalkulasi!$I$1042:$I$1113,12),Kalkulasi!$I$1042:$I$1113,0))&gt;0,INDEX(Kalkulasi!$D$1042:$D$1113,MATCH(LARGE(Kalkulasi!$I$1042:$I$1113,12),Kalkulasi!$I$1042:$I$1113,0)),"")</f>
        <v/>
      </c>
      <c r="I64" s="110">
        <f>IF(INDEX(Kalkulasi!$E$1042:$E$1113,MATCH(LARGE(Kalkulasi!$I$1042:$I$1113,12),Kalkulasi!$I$1042:$I$1113,0))&gt;0,INDEX(Kalkulasi!$E$1042:$E$1113,MATCH(LARGE(Kalkulasi!$I$1042:$I$1113,12),Kalkulasi!$I$1042:$I$1113,0)),"")</f>
        <v/>
      </c>
      <c r="J64" s="69">
        <f>IF(INDEX(Kalkulasi!$E$1042:$E$1113,MATCH(LARGE(Kalkulasi!$I$1042:$I$1113,12),Kalkulasi!$I$1042:$I$1113,0))&gt;0,INDEX(Kalkulasi!$F$1042:$F$1113,MATCH(LARGE(Kalkulasi!$I$1042:$I$1113,12),Kalkulasi!$I$1042:$I$1113,0))+INDEX(Kalkulasi!$G$1042:$G$1113,MATCH(LARGE(Kalkulasi!$I$1042:$I$1113,12),Kalkulasi!$I$1042:$I$1113,0)),"")</f>
        <v/>
      </c>
      <c r="K64" s="141">
        <f>IF(INDEX(Kalkulasi!$E$1042:$E$1113,MATCH(LARGE(Kalkulasi!$I$1042:$I$1113,12),Kalkulasi!$I$1042:$I$1113,0))&gt;0,INDEX(Kalkulasi!$H$1042:$H$1113,MATCH(LARGE(Kalkulasi!$I$1042:$I$1113,12),Kalkulasi!$I$1042:$I$1113,0)),"")</f>
        <v/>
      </c>
      <c r="L64" s="94">
        <f>IF(AND(INDEX(Kalkulasi!$E$1042:$E$1113,MATCH(LARGE(Kalkulasi!$I$1042:$I$1113,12),Kalkulasi!$I$1042:$I$1113,0))&gt;0,INDEX(Kalkulasi!$H$1042:$H$1113,MATCH(LARGE(Kalkulasi!$I$1042:$I$1113,12),Kalkulasi!$I$1042:$I$1113,0))&gt;0),INDEX(Kalkulasi!$E$1042:$E$1113,MATCH(LARGE(Kalkulasi!$I$1042:$I$1113,12),Kalkulasi!$I$1042:$I$1113,0))/INDEX(Kalkulasi!$H$1042:$H$1113,MATCH(LARGE(Kalkulasi!$I$1042:$I$1113,12),Kalkulasi!$I$1042:$I$1113,0)),"")</f>
        <v/>
      </c>
      <c r="M64" s="67">
        <f>IF(INDEX(Kalkulasi!$E$1042:$E$1113,MATCH(LARGE(Kalkulasi!$I$1042:$I$1113,27),Kalkulasi!$I$1042:$I$1113,0))&gt;0,INDEX(Kalkulasi!$A$1042:$A$1113,MATCH(LARGE(Kalkulasi!$I$1042:$I$1113,27),Kalkulasi!$I$1042:$I$1113,0)),"")</f>
        <v/>
      </c>
      <c r="N64" s="68">
        <f>IF(INDEX(Kalkulasi!$E$1042:$E$1113,MATCH(LARGE(Kalkulasi!$I$1042:$I$1113,27),Kalkulasi!$I$1042:$I$1113,0))&gt;0,INDEX(Kalkulasi!$B$1042:$B$1113,MATCH(LARGE(Kalkulasi!$I$1042:$I$1113,27),Kalkulasi!$I$1042:$I$1113,0)),"")</f>
        <v/>
      </c>
      <c r="P64" s="69">
        <f>IF(INDEX(Kalkulasi!$E$1042:$E$1113,MATCH(LARGE(Kalkulasi!$I$1042:$I$1113,27),Kalkulasi!$I$1042:$I$1113,0))&gt;0,INDEX(Kalkulasi!$C$1042:$C$1113,MATCH(LARGE(Kalkulasi!$I$1042:$I$1113,27),Kalkulasi!$I$1042:$I$1113,0)),"")</f>
        <v/>
      </c>
      <c r="Q64" s="69">
        <f>IF(INDEX(Kalkulasi!$E$1042:$E$1113,MATCH(LARGE(Kalkulasi!$I$1042:$I$1113,27),Kalkulasi!$I$1042:$I$1113,0))&gt;0,INDEX(Kalkulasi!$D$1042:$D$1113,MATCH(LARGE(Kalkulasi!$I$1042:$I$1113,27),Kalkulasi!$I$1042:$I$1113,0)),"")</f>
        <v/>
      </c>
      <c r="R64" s="110">
        <f>IF(INDEX(Kalkulasi!$E$1042:$E$1113,MATCH(LARGE(Kalkulasi!$I$1042:$I$1113,27),Kalkulasi!$I$1042:$I$1113,0))&gt;0,INDEX(Kalkulasi!$E$1042:$E$1113,MATCH(LARGE(Kalkulasi!$I$1042:$I$1113,27),Kalkulasi!$I$1042:$I$1113,0)),"")</f>
        <v/>
      </c>
      <c r="S64" s="69">
        <f>IF(INDEX(Kalkulasi!$E$1042:$E$1113,MATCH(LARGE(Kalkulasi!$I$1042:$I$1113,27),Kalkulasi!$I$1042:$I$1113,0))&gt;0,INDEX(Kalkulasi!$F$1042:$F$1113,MATCH(LARGE(Kalkulasi!$I$1042:$I$1113,27),Kalkulasi!$I$1042:$I$1113,0))+INDEX(Kalkulasi!$G$1042:$G$1113,MATCH(LARGE(Kalkulasi!$I$1042:$I$1113,27),Kalkulasi!$I$1042:$I$1113,0)),"")</f>
        <v/>
      </c>
      <c r="T64" s="141">
        <f>IF(INDEX(Kalkulasi!$E$1042:$E$1113,MATCH(LARGE(Kalkulasi!$I$1042:$I$1113,27),Kalkulasi!$I$1042:$I$1113,0))&gt;0,INDEX(Kalkulasi!$H$1042:$H$1113,MATCH(LARGE(Kalkulasi!$I$1042:$I$1113,27),Kalkulasi!$I$1042:$I$1113,0)),"")</f>
        <v/>
      </c>
      <c r="U64" s="94">
        <f>IF(AND(INDEX(Kalkulasi!$E$1042:$E$1113,MATCH(LARGE(Kalkulasi!$I$1042:$I$1113,27),Kalkulasi!$I$1042:$I$1113,0))&gt;0,INDEX(Kalkulasi!$H$1042:$H$1113,MATCH(LARGE(Kalkulasi!$I$1042:$I$1113,27),Kalkulasi!$I$1042:$I$1113,0))&gt;0),INDEX(Kalkulasi!$E$1042:$E$1113,MATCH(LARGE(Kalkulasi!$I$1042:$I$1113,27),Kalkulasi!$I$1042:$I$1113,0))/INDEX(Kalkulasi!$H$1042:$H$1113,MATCH(LARGE(Kalkulasi!$I$1042:$I$1113,27),Kalkulasi!$I$1042:$I$1113,0)),"")</f>
        <v/>
      </c>
      <c r="V64" s="2" t="n"/>
    </row>
    <row r="65" ht="18" customHeight="1">
      <c r="A65" s="1" t="n"/>
      <c r="B65" s="1" t="n"/>
      <c r="C65" s="2" t="n"/>
      <c r="D65" s="67">
        <f>IF(INDEX(Kalkulasi!$E$1042:$E$1113,MATCH(LARGE(Kalkulasi!$I$1042:$I$1113,13),Kalkulasi!$I$1042:$I$1113,0))&gt;0,INDEX(Kalkulasi!$A$1042:$A$1113,MATCH(LARGE(Kalkulasi!$I$1042:$I$1113,13),Kalkulasi!$I$1042:$I$1113,0)),"")</f>
        <v/>
      </c>
      <c r="E65" s="68">
        <f>IF(INDEX(Kalkulasi!$E$1042:$E$1113,MATCH(LARGE(Kalkulasi!$I$1042:$I$1113,13),Kalkulasi!$I$1042:$I$1113,0))&gt;0,INDEX(Kalkulasi!$B$1042:$B$1113,MATCH(LARGE(Kalkulasi!$I$1042:$I$1113,13),Kalkulasi!$I$1042:$I$1113,0)),"")</f>
        <v/>
      </c>
      <c r="G65" s="69">
        <f>IF(INDEX(Kalkulasi!$E$1042:$E$1113,MATCH(LARGE(Kalkulasi!$I$1042:$I$1113,13),Kalkulasi!$I$1042:$I$1113,0))&gt;0,INDEX(Kalkulasi!$C$1042:$C$1113,MATCH(LARGE(Kalkulasi!$I$1042:$I$1113,13),Kalkulasi!$I$1042:$I$1113,0)),"")</f>
        <v/>
      </c>
      <c r="H65" s="69">
        <f>IF(INDEX(Kalkulasi!$E$1042:$E$1113,MATCH(LARGE(Kalkulasi!$I$1042:$I$1113,13),Kalkulasi!$I$1042:$I$1113,0))&gt;0,INDEX(Kalkulasi!$D$1042:$D$1113,MATCH(LARGE(Kalkulasi!$I$1042:$I$1113,13),Kalkulasi!$I$1042:$I$1113,0)),"")</f>
        <v/>
      </c>
      <c r="I65" s="110">
        <f>IF(INDEX(Kalkulasi!$E$1042:$E$1113,MATCH(LARGE(Kalkulasi!$I$1042:$I$1113,13),Kalkulasi!$I$1042:$I$1113,0))&gt;0,INDEX(Kalkulasi!$E$1042:$E$1113,MATCH(LARGE(Kalkulasi!$I$1042:$I$1113,13),Kalkulasi!$I$1042:$I$1113,0)),"")</f>
        <v/>
      </c>
      <c r="J65" s="69">
        <f>IF(INDEX(Kalkulasi!$E$1042:$E$1113,MATCH(LARGE(Kalkulasi!$I$1042:$I$1113,13),Kalkulasi!$I$1042:$I$1113,0))&gt;0,INDEX(Kalkulasi!$F$1042:$F$1113,MATCH(LARGE(Kalkulasi!$I$1042:$I$1113,13),Kalkulasi!$I$1042:$I$1113,0))+INDEX(Kalkulasi!$G$1042:$G$1113,MATCH(LARGE(Kalkulasi!$I$1042:$I$1113,13),Kalkulasi!$I$1042:$I$1113,0)),"")</f>
        <v/>
      </c>
      <c r="K65" s="141">
        <f>IF(INDEX(Kalkulasi!$E$1042:$E$1113,MATCH(LARGE(Kalkulasi!$I$1042:$I$1113,13),Kalkulasi!$I$1042:$I$1113,0))&gt;0,INDEX(Kalkulasi!$H$1042:$H$1113,MATCH(LARGE(Kalkulasi!$I$1042:$I$1113,13),Kalkulasi!$I$1042:$I$1113,0)),"")</f>
        <v/>
      </c>
      <c r="L65" s="94">
        <f>IF(AND(INDEX(Kalkulasi!$E$1042:$E$1113,MATCH(LARGE(Kalkulasi!$I$1042:$I$1113,13),Kalkulasi!$I$1042:$I$1113,0))&gt;0,INDEX(Kalkulasi!$H$1042:$H$1113,MATCH(LARGE(Kalkulasi!$I$1042:$I$1113,13),Kalkulasi!$I$1042:$I$1113,0))&gt;0),INDEX(Kalkulasi!$E$1042:$E$1113,MATCH(LARGE(Kalkulasi!$I$1042:$I$1113,13),Kalkulasi!$I$1042:$I$1113,0))/INDEX(Kalkulasi!$H$1042:$H$1113,MATCH(LARGE(Kalkulasi!$I$1042:$I$1113,13),Kalkulasi!$I$1042:$I$1113,0)),"")</f>
        <v/>
      </c>
      <c r="M65" s="67">
        <f>IF(INDEX(Kalkulasi!$E$1042:$E$1113,MATCH(LARGE(Kalkulasi!$I$1042:$I$1113,28),Kalkulasi!$I$1042:$I$1113,0))&gt;0,INDEX(Kalkulasi!$A$1042:$A$1113,MATCH(LARGE(Kalkulasi!$I$1042:$I$1113,28),Kalkulasi!$I$1042:$I$1113,0)),"")</f>
        <v/>
      </c>
      <c r="N65" s="68">
        <f>IF(INDEX(Kalkulasi!$E$1042:$E$1113,MATCH(LARGE(Kalkulasi!$I$1042:$I$1113,28),Kalkulasi!$I$1042:$I$1113,0))&gt;0,INDEX(Kalkulasi!$B$1042:$B$1113,MATCH(LARGE(Kalkulasi!$I$1042:$I$1113,28),Kalkulasi!$I$1042:$I$1113,0)),"")</f>
        <v/>
      </c>
      <c r="P65" s="69">
        <f>IF(INDEX(Kalkulasi!$E$1042:$E$1113,MATCH(LARGE(Kalkulasi!$I$1042:$I$1113,28),Kalkulasi!$I$1042:$I$1113,0))&gt;0,INDEX(Kalkulasi!$C$1042:$C$1113,MATCH(LARGE(Kalkulasi!$I$1042:$I$1113,28),Kalkulasi!$I$1042:$I$1113,0)),"")</f>
        <v/>
      </c>
      <c r="Q65" s="69">
        <f>IF(INDEX(Kalkulasi!$E$1042:$E$1113,MATCH(LARGE(Kalkulasi!$I$1042:$I$1113,28),Kalkulasi!$I$1042:$I$1113,0))&gt;0,INDEX(Kalkulasi!$D$1042:$D$1113,MATCH(LARGE(Kalkulasi!$I$1042:$I$1113,28),Kalkulasi!$I$1042:$I$1113,0)),"")</f>
        <v/>
      </c>
      <c r="R65" s="110">
        <f>IF(INDEX(Kalkulasi!$E$1042:$E$1113,MATCH(LARGE(Kalkulasi!$I$1042:$I$1113,28),Kalkulasi!$I$1042:$I$1113,0))&gt;0,INDEX(Kalkulasi!$E$1042:$E$1113,MATCH(LARGE(Kalkulasi!$I$1042:$I$1113,28),Kalkulasi!$I$1042:$I$1113,0)),"")</f>
        <v/>
      </c>
      <c r="S65" s="69">
        <f>IF(INDEX(Kalkulasi!$E$1042:$E$1113,MATCH(LARGE(Kalkulasi!$I$1042:$I$1113,28),Kalkulasi!$I$1042:$I$1113,0))&gt;0,INDEX(Kalkulasi!$F$1042:$F$1113,MATCH(LARGE(Kalkulasi!$I$1042:$I$1113,28),Kalkulasi!$I$1042:$I$1113,0))+INDEX(Kalkulasi!$G$1042:$G$1113,MATCH(LARGE(Kalkulasi!$I$1042:$I$1113,28),Kalkulasi!$I$1042:$I$1113,0)),"")</f>
        <v/>
      </c>
      <c r="T65" s="141">
        <f>IF(INDEX(Kalkulasi!$E$1042:$E$1113,MATCH(LARGE(Kalkulasi!$I$1042:$I$1113,28),Kalkulasi!$I$1042:$I$1113,0))&gt;0,INDEX(Kalkulasi!$H$1042:$H$1113,MATCH(LARGE(Kalkulasi!$I$1042:$I$1113,28),Kalkulasi!$I$1042:$I$1113,0)),"")</f>
        <v/>
      </c>
      <c r="U65" s="94">
        <f>IF(AND(INDEX(Kalkulasi!$E$1042:$E$1113,MATCH(LARGE(Kalkulasi!$I$1042:$I$1113,28),Kalkulasi!$I$1042:$I$1113,0))&gt;0,INDEX(Kalkulasi!$H$1042:$H$1113,MATCH(LARGE(Kalkulasi!$I$1042:$I$1113,28),Kalkulasi!$I$1042:$I$1113,0))&gt;0),INDEX(Kalkulasi!$E$1042:$E$1113,MATCH(LARGE(Kalkulasi!$I$1042:$I$1113,28),Kalkulasi!$I$1042:$I$1113,0))/INDEX(Kalkulasi!$H$1042:$H$1113,MATCH(LARGE(Kalkulasi!$I$1042:$I$1113,28),Kalkulasi!$I$1042:$I$1113,0)),"")</f>
        <v/>
      </c>
      <c r="V65" s="2" t="n"/>
    </row>
    <row r="66" ht="18" customHeight="1">
      <c r="A66" s="1" t="n"/>
      <c r="B66" s="1" t="n"/>
      <c r="C66" s="2" t="n"/>
      <c r="D66" s="67">
        <f>IF(INDEX(Kalkulasi!$E$1042:$E$1113,MATCH(LARGE(Kalkulasi!$I$1042:$I$1113,14),Kalkulasi!$I$1042:$I$1113,0))&gt;0,INDEX(Kalkulasi!$A$1042:$A$1113,MATCH(LARGE(Kalkulasi!$I$1042:$I$1113,14),Kalkulasi!$I$1042:$I$1113,0)),"")</f>
        <v/>
      </c>
      <c r="E66" s="68">
        <f>IF(INDEX(Kalkulasi!$E$1042:$E$1113,MATCH(LARGE(Kalkulasi!$I$1042:$I$1113,14),Kalkulasi!$I$1042:$I$1113,0))&gt;0,INDEX(Kalkulasi!$B$1042:$B$1113,MATCH(LARGE(Kalkulasi!$I$1042:$I$1113,14),Kalkulasi!$I$1042:$I$1113,0)),"")</f>
        <v/>
      </c>
      <c r="G66" s="69">
        <f>IF(INDEX(Kalkulasi!$E$1042:$E$1113,MATCH(LARGE(Kalkulasi!$I$1042:$I$1113,14),Kalkulasi!$I$1042:$I$1113,0))&gt;0,INDEX(Kalkulasi!$C$1042:$C$1113,MATCH(LARGE(Kalkulasi!$I$1042:$I$1113,14),Kalkulasi!$I$1042:$I$1113,0)),"")</f>
        <v/>
      </c>
      <c r="H66" s="69">
        <f>IF(INDEX(Kalkulasi!$E$1042:$E$1113,MATCH(LARGE(Kalkulasi!$I$1042:$I$1113,14),Kalkulasi!$I$1042:$I$1113,0))&gt;0,INDEX(Kalkulasi!$D$1042:$D$1113,MATCH(LARGE(Kalkulasi!$I$1042:$I$1113,14),Kalkulasi!$I$1042:$I$1113,0)),"")</f>
        <v/>
      </c>
      <c r="I66" s="110">
        <f>IF(INDEX(Kalkulasi!$E$1042:$E$1113,MATCH(LARGE(Kalkulasi!$I$1042:$I$1113,14),Kalkulasi!$I$1042:$I$1113,0))&gt;0,INDEX(Kalkulasi!$E$1042:$E$1113,MATCH(LARGE(Kalkulasi!$I$1042:$I$1113,14),Kalkulasi!$I$1042:$I$1113,0)),"")</f>
        <v/>
      </c>
      <c r="J66" s="69">
        <f>IF(INDEX(Kalkulasi!$E$1042:$E$1113,MATCH(LARGE(Kalkulasi!$I$1042:$I$1113,14),Kalkulasi!$I$1042:$I$1113,0))&gt;0,INDEX(Kalkulasi!$F$1042:$F$1113,MATCH(LARGE(Kalkulasi!$I$1042:$I$1113,14),Kalkulasi!$I$1042:$I$1113,0))+INDEX(Kalkulasi!$G$1042:$G$1113,MATCH(LARGE(Kalkulasi!$I$1042:$I$1113,14),Kalkulasi!$I$1042:$I$1113,0)),"")</f>
        <v/>
      </c>
      <c r="K66" s="141">
        <f>IF(INDEX(Kalkulasi!$E$1042:$E$1113,MATCH(LARGE(Kalkulasi!$I$1042:$I$1113,14),Kalkulasi!$I$1042:$I$1113,0))&gt;0,INDEX(Kalkulasi!$H$1042:$H$1113,MATCH(LARGE(Kalkulasi!$I$1042:$I$1113,14),Kalkulasi!$I$1042:$I$1113,0)),"")</f>
        <v/>
      </c>
      <c r="L66" s="94">
        <f>IF(AND(INDEX(Kalkulasi!$E$1042:$E$1113,MATCH(LARGE(Kalkulasi!$I$1042:$I$1113,14),Kalkulasi!$I$1042:$I$1113,0))&gt;0,INDEX(Kalkulasi!$H$1042:$H$1113,MATCH(LARGE(Kalkulasi!$I$1042:$I$1113,14),Kalkulasi!$I$1042:$I$1113,0))&gt;0),INDEX(Kalkulasi!$E$1042:$E$1113,MATCH(LARGE(Kalkulasi!$I$1042:$I$1113,14),Kalkulasi!$I$1042:$I$1113,0))/INDEX(Kalkulasi!$H$1042:$H$1113,MATCH(LARGE(Kalkulasi!$I$1042:$I$1113,14),Kalkulasi!$I$1042:$I$1113,0)),"")</f>
        <v/>
      </c>
      <c r="M66" s="67">
        <f>IF(INDEX(Kalkulasi!$E$1042:$E$1113,MATCH(LARGE(Kalkulasi!$I$1042:$I$1113,29),Kalkulasi!$I$1042:$I$1113,0))&gt;0,INDEX(Kalkulasi!$A$1042:$A$1113,MATCH(LARGE(Kalkulasi!$I$1042:$I$1113,29),Kalkulasi!$I$1042:$I$1113,0)),"")</f>
        <v/>
      </c>
      <c r="N66" s="68">
        <f>IF(INDEX(Kalkulasi!$E$1042:$E$1113,MATCH(LARGE(Kalkulasi!$I$1042:$I$1113,29),Kalkulasi!$I$1042:$I$1113,0))&gt;0,INDEX(Kalkulasi!$B$1042:$B$1113,MATCH(LARGE(Kalkulasi!$I$1042:$I$1113,29),Kalkulasi!$I$1042:$I$1113,0)),"")</f>
        <v/>
      </c>
      <c r="P66" s="69">
        <f>IF(INDEX(Kalkulasi!$E$1042:$E$1113,MATCH(LARGE(Kalkulasi!$I$1042:$I$1113,29),Kalkulasi!$I$1042:$I$1113,0))&gt;0,INDEX(Kalkulasi!$C$1042:$C$1113,MATCH(LARGE(Kalkulasi!$I$1042:$I$1113,29),Kalkulasi!$I$1042:$I$1113,0)),"")</f>
        <v/>
      </c>
      <c r="Q66" s="69">
        <f>IF(INDEX(Kalkulasi!$E$1042:$E$1113,MATCH(LARGE(Kalkulasi!$I$1042:$I$1113,29),Kalkulasi!$I$1042:$I$1113,0))&gt;0,INDEX(Kalkulasi!$D$1042:$D$1113,MATCH(LARGE(Kalkulasi!$I$1042:$I$1113,29),Kalkulasi!$I$1042:$I$1113,0)),"")</f>
        <v/>
      </c>
      <c r="R66" s="110">
        <f>IF(INDEX(Kalkulasi!$E$1042:$E$1113,MATCH(LARGE(Kalkulasi!$I$1042:$I$1113,29),Kalkulasi!$I$1042:$I$1113,0))&gt;0,INDEX(Kalkulasi!$E$1042:$E$1113,MATCH(LARGE(Kalkulasi!$I$1042:$I$1113,29),Kalkulasi!$I$1042:$I$1113,0)),"")</f>
        <v/>
      </c>
      <c r="S66" s="69">
        <f>IF(INDEX(Kalkulasi!$E$1042:$E$1113,MATCH(LARGE(Kalkulasi!$I$1042:$I$1113,29),Kalkulasi!$I$1042:$I$1113,0))&gt;0,INDEX(Kalkulasi!$F$1042:$F$1113,MATCH(LARGE(Kalkulasi!$I$1042:$I$1113,29),Kalkulasi!$I$1042:$I$1113,0))+INDEX(Kalkulasi!$G$1042:$G$1113,MATCH(LARGE(Kalkulasi!$I$1042:$I$1113,29),Kalkulasi!$I$1042:$I$1113,0)),"")</f>
        <v/>
      </c>
      <c r="T66" s="141">
        <f>IF(INDEX(Kalkulasi!$E$1042:$E$1113,MATCH(LARGE(Kalkulasi!$I$1042:$I$1113,29),Kalkulasi!$I$1042:$I$1113,0))&gt;0,INDEX(Kalkulasi!$H$1042:$H$1113,MATCH(LARGE(Kalkulasi!$I$1042:$I$1113,29),Kalkulasi!$I$1042:$I$1113,0)),"")</f>
        <v/>
      </c>
      <c r="U66" s="94">
        <f>IF(AND(INDEX(Kalkulasi!$E$1042:$E$1113,MATCH(LARGE(Kalkulasi!$I$1042:$I$1113,29),Kalkulasi!$I$1042:$I$1113,0))&gt;0,INDEX(Kalkulasi!$H$1042:$H$1113,MATCH(LARGE(Kalkulasi!$I$1042:$I$1113,29),Kalkulasi!$I$1042:$I$1113,0))&gt;0),INDEX(Kalkulasi!$E$1042:$E$1113,MATCH(LARGE(Kalkulasi!$I$1042:$I$1113,29),Kalkulasi!$I$1042:$I$1113,0))/INDEX(Kalkulasi!$H$1042:$H$1113,MATCH(LARGE(Kalkulasi!$I$1042:$I$1113,29),Kalkulasi!$I$1042:$I$1113,0)),"")</f>
        <v/>
      </c>
      <c r="V66" s="2" t="n"/>
    </row>
    <row r="67" ht="18" customHeight="1">
      <c r="A67" s="1" t="n"/>
      <c r="B67" s="1" t="n"/>
      <c r="C67" s="2" t="n"/>
      <c r="D67" s="67">
        <f>IF(INDEX(Kalkulasi!$E$1042:$E$1113,MATCH(LARGE(Kalkulasi!$I$1042:$I$1113,15),Kalkulasi!$I$1042:$I$1113,0))&gt;0,INDEX(Kalkulasi!$A$1042:$A$1113,MATCH(LARGE(Kalkulasi!$I$1042:$I$1113,15),Kalkulasi!$I$1042:$I$1113,0)),"")</f>
        <v/>
      </c>
      <c r="E67" s="68">
        <f>IF(INDEX(Kalkulasi!$E$1042:$E$1113,MATCH(LARGE(Kalkulasi!$I$1042:$I$1113,15),Kalkulasi!$I$1042:$I$1113,0))&gt;0,INDEX(Kalkulasi!$B$1042:$B$1113,MATCH(LARGE(Kalkulasi!$I$1042:$I$1113,15),Kalkulasi!$I$1042:$I$1113,0)),"")</f>
        <v/>
      </c>
      <c r="G67" s="69">
        <f>IF(INDEX(Kalkulasi!$E$1042:$E$1113,MATCH(LARGE(Kalkulasi!$I$1042:$I$1113,15),Kalkulasi!$I$1042:$I$1113,0))&gt;0,INDEX(Kalkulasi!$C$1042:$C$1113,MATCH(LARGE(Kalkulasi!$I$1042:$I$1113,15),Kalkulasi!$I$1042:$I$1113,0)),"")</f>
        <v/>
      </c>
      <c r="H67" s="69">
        <f>IF(INDEX(Kalkulasi!$E$1042:$E$1113,MATCH(LARGE(Kalkulasi!$I$1042:$I$1113,15),Kalkulasi!$I$1042:$I$1113,0))&gt;0,INDEX(Kalkulasi!$D$1042:$D$1113,MATCH(LARGE(Kalkulasi!$I$1042:$I$1113,15),Kalkulasi!$I$1042:$I$1113,0)),"")</f>
        <v/>
      </c>
      <c r="I67" s="110">
        <f>IF(INDEX(Kalkulasi!$E$1042:$E$1113,MATCH(LARGE(Kalkulasi!$I$1042:$I$1113,15),Kalkulasi!$I$1042:$I$1113,0))&gt;0,INDEX(Kalkulasi!$E$1042:$E$1113,MATCH(LARGE(Kalkulasi!$I$1042:$I$1113,15),Kalkulasi!$I$1042:$I$1113,0)),"")</f>
        <v/>
      </c>
      <c r="J67" s="69">
        <f>IF(INDEX(Kalkulasi!$E$1042:$E$1113,MATCH(LARGE(Kalkulasi!$I$1042:$I$1113,15),Kalkulasi!$I$1042:$I$1113,0))&gt;0,INDEX(Kalkulasi!$F$1042:$F$1113,MATCH(LARGE(Kalkulasi!$I$1042:$I$1113,15),Kalkulasi!$I$1042:$I$1113,0))+INDEX(Kalkulasi!$G$1042:$G$1113,MATCH(LARGE(Kalkulasi!$I$1042:$I$1113,15),Kalkulasi!$I$1042:$I$1113,0)),"")</f>
        <v/>
      </c>
      <c r="K67" s="141">
        <f>IF(INDEX(Kalkulasi!$E$1042:$E$1113,MATCH(LARGE(Kalkulasi!$I$1042:$I$1113,15),Kalkulasi!$I$1042:$I$1113,0))&gt;0,INDEX(Kalkulasi!$H$1042:$H$1113,MATCH(LARGE(Kalkulasi!$I$1042:$I$1113,15),Kalkulasi!$I$1042:$I$1113,0)),"")</f>
        <v/>
      </c>
      <c r="L67" s="94">
        <f>IF(AND(INDEX(Kalkulasi!$E$1042:$E$1113,MATCH(LARGE(Kalkulasi!$I$1042:$I$1113,15),Kalkulasi!$I$1042:$I$1113,0))&gt;0,INDEX(Kalkulasi!$H$1042:$H$1113,MATCH(LARGE(Kalkulasi!$I$1042:$I$1113,15),Kalkulasi!$I$1042:$I$1113,0))&gt;0),INDEX(Kalkulasi!$E$1042:$E$1113,MATCH(LARGE(Kalkulasi!$I$1042:$I$1113,15),Kalkulasi!$I$1042:$I$1113,0))/INDEX(Kalkulasi!$H$1042:$H$1113,MATCH(LARGE(Kalkulasi!$I$1042:$I$1113,15),Kalkulasi!$I$1042:$I$1113,0)),"")</f>
        <v/>
      </c>
      <c r="M67" s="67">
        <f>IF(INDEX(Kalkulasi!$E$1042:$E$1113,MATCH(LARGE(Kalkulasi!$I$1042:$I$1113,30),Kalkulasi!$I$1042:$I$1113,0))&gt;0,INDEX(Kalkulasi!$A$1042:$A$1113,MATCH(LARGE(Kalkulasi!$I$1042:$I$1113,30),Kalkulasi!$I$1042:$I$1113,0)),"")</f>
        <v/>
      </c>
      <c r="N67" s="68">
        <f>IF(INDEX(Kalkulasi!$E$1042:$E$1113,MATCH(LARGE(Kalkulasi!$I$1042:$I$1113,30),Kalkulasi!$I$1042:$I$1113,0))&gt;0,INDEX(Kalkulasi!$B$1042:$B$1113,MATCH(LARGE(Kalkulasi!$I$1042:$I$1113,30),Kalkulasi!$I$1042:$I$1113,0)),"")</f>
        <v/>
      </c>
      <c r="P67" s="69">
        <f>IF(INDEX(Kalkulasi!$E$1042:$E$1113,MATCH(LARGE(Kalkulasi!$I$1042:$I$1113,30),Kalkulasi!$I$1042:$I$1113,0))&gt;0,INDEX(Kalkulasi!$C$1042:$C$1113,MATCH(LARGE(Kalkulasi!$I$1042:$I$1113,30),Kalkulasi!$I$1042:$I$1113,0)),"")</f>
        <v/>
      </c>
      <c r="Q67" s="69">
        <f>IF(INDEX(Kalkulasi!$E$1042:$E$1113,MATCH(LARGE(Kalkulasi!$I$1042:$I$1113,30),Kalkulasi!$I$1042:$I$1113,0))&gt;0,INDEX(Kalkulasi!$D$1042:$D$1113,MATCH(LARGE(Kalkulasi!$I$1042:$I$1113,30),Kalkulasi!$I$1042:$I$1113,0)),"")</f>
        <v/>
      </c>
      <c r="R67" s="110">
        <f>IF(INDEX(Kalkulasi!$E$1042:$E$1113,MATCH(LARGE(Kalkulasi!$I$1042:$I$1113,30),Kalkulasi!$I$1042:$I$1113,0))&gt;0,INDEX(Kalkulasi!$E$1042:$E$1113,MATCH(LARGE(Kalkulasi!$I$1042:$I$1113,30),Kalkulasi!$I$1042:$I$1113,0)),"")</f>
        <v/>
      </c>
      <c r="S67" s="69">
        <f>IF(INDEX(Kalkulasi!$E$1042:$E$1113,MATCH(LARGE(Kalkulasi!$I$1042:$I$1113,30),Kalkulasi!$I$1042:$I$1113,0))&gt;0,INDEX(Kalkulasi!$F$1042:$F$1113,MATCH(LARGE(Kalkulasi!$I$1042:$I$1113,30),Kalkulasi!$I$1042:$I$1113,0))+INDEX(Kalkulasi!$G$1042:$G$1113,MATCH(LARGE(Kalkulasi!$I$1042:$I$1113,30),Kalkulasi!$I$1042:$I$1113,0)),"")</f>
        <v/>
      </c>
      <c r="T67" s="141">
        <f>IF(INDEX(Kalkulasi!$E$1042:$E$1113,MATCH(LARGE(Kalkulasi!$I$1042:$I$1113,30),Kalkulasi!$I$1042:$I$1113,0))&gt;0,INDEX(Kalkulasi!$H$1042:$H$1113,MATCH(LARGE(Kalkulasi!$I$1042:$I$1113,30),Kalkulasi!$I$1042:$I$1113,0)),"")</f>
        <v/>
      </c>
      <c r="U67" s="94">
        <f>IF(AND(INDEX(Kalkulasi!$E$1042:$E$1113,MATCH(LARGE(Kalkulasi!$I$1042:$I$1113,30),Kalkulasi!$I$1042:$I$1113,0))&gt;0,INDEX(Kalkulasi!$H$1042:$H$1113,MATCH(LARGE(Kalkulasi!$I$1042:$I$1113,30),Kalkulasi!$I$1042:$I$1113,0))&gt;0),INDEX(Kalkulasi!$E$1042:$E$1113,MATCH(LARGE(Kalkulasi!$I$1042:$I$1113,30),Kalkulasi!$I$1042:$I$1113,0))/INDEX(Kalkulasi!$H$1042:$H$1113,MATCH(LARGE(Kalkulasi!$I$1042:$I$1113,30),Kalkulasi!$I$1042:$I$1113,0)),"")</f>
        <v/>
      </c>
      <c r="V67" s="2" t="n"/>
    </row>
    <row r="68">
      <c r="A68" s="1" t="n"/>
      <c r="B68" s="1" t="n"/>
      <c r="C68" s="2" t="n"/>
      <c r="D68" s="44" t="n"/>
      <c r="E68" s="45" t="n"/>
      <c r="F68" s="45" t="n"/>
      <c r="G68" s="45" t="n"/>
      <c r="H68" s="45" t="n"/>
      <c r="I68" s="45" t="n"/>
      <c r="J68" s="45" t="n"/>
      <c r="K68" s="45" t="n"/>
      <c r="L68" s="45" t="n"/>
      <c r="M68" s="45" t="n"/>
      <c r="N68" s="45" t="n"/>
      <c r="O68" s="45" t="n"/>
      <c r="P68" s="45" t="n"/>
      <c r="Q68" s="45" t="n"/>
      <c r="R68" s="45" t="n"/>
      <c r="S68" s="45" t="n"/>
      <c r="T68" s="45" t="n"/>
      <c r="U68" s="46" t="n"/>
      <c r="V68" s="2" t="n"/>
    </row>
    <row r="69">
      <c r="A69" s="1" t="n"/>
      <c r="B69" s="1" t="n"/>
      <c r="C69" s="2" t="n"/>
      <c r="D69" s="16">
        <f>"Hauler beroperasi: "&amp;COUNTIF(Kalkulasi!$E$1042:$E$1113,"&gt;0")&amp;" unit · total ritase "&amp;TEXT(SUM(Kalkulasi!$E$1042:$E$1113),"#,##0")&amp;" · ditampilkan 30 hauler dengan ritase terbanyak"</f>
        <v/>
      </c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</row>
    <row r="70">
      <c r="A70" s="1" t="n"/>
      <c r="B70" s="1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</row>
    <row r="71">
      <c r="A71" s="1" t="n"/>
      <c r="B71" s="1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</row>
    <row r="72">
      <c r="A72" s="1" t="n"/>
      <c r="B72" s="1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</row>
    <row r="73">
      <c r="A73" s="1" t="n"/>
      <c r="B73" s="1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</row>
    <row r="74">
      <c r="A74" s="1" t="n"/>
      <c r="B74" s="1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</row>
    <row r="75">
      <c r="A75" s="1" t="n"/>
      <c r="B75" s="1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</row>
    <row r="76">
      <c r="A76" s="1" t="n"/>
      <c r="B76" s="1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</row>
    <row r="77">
      <c r="A77" s="1" t="n"/>
      <c r="B77" s="1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</row>
    <row r="78">
      <c r="A78" s="1" t="n"/>
      <c r="B78" s="1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</row>
    <row r="79">
      <c r="A79" s="1" t="n"/>
      <c r="B79" s="1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</row>
    <row r="80">
      <c r="A80" s="1" t="n"/>
      <c r="B80" s="1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</row>
    <row r="81">
      <c r="A81" s="1" t="n"/>
      <c r="B81" s="1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</row>
    <row r="82">
      <c r="A82" s="1" t="n"/>
      <c r="B82" s="1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</row>
    <row r="83">
      <c r="A83" s="1" t="n"/>
      <c r="B83" s="1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</row>
    <row r="84">
      <c r="A84" s="1" t="n"/>
      <c r="B84" s="1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</row>
    <row r="85">
      <c r="A85" s="1" t="n"/>
      <c r="B85" s="1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</row>
    <row r="86">
      <c r="A86" s="1" t="n"/>
      <c r="B86" s="1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</row>
    <row r="87">
      <c r="A87" s="1" t="n"/>
      <c r="B87" s="1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</row>
    <row r="88">
      <c r="A88" s="1" t="n"/>
      <c r="B88" s="1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</row>
    <row r="89">
      <c r="A89" s="1" t="n"/>
      <c r="B89" s="1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</row>
    <row r="90">
      <c r="A90" s="1" t="n"/>
      <c r="B90" s="1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</row>
    <row r="91">
      <c r="A91" s="1" t="n"/>
      <c r="B91" s="1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</row>
    <row r="92">
      <c r="A92" s="1" t="n"/>
      <c r="B92" s="1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</row>
    <row r="93">
      <c r="A93" s="1" t="n"/>
      <c r="B93" s="1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</row>
    <row r="94">
      <c r="A94" s="1" t="n"/>
      <c r="B94" s="1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</row>
    <row r="95">
      <c r="A95" s="1" t="n"/>
      <c r="B95" s="1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</row>
    <row r="96">
      <c r="A96" s="1" t="n"/>
      <c r="B96" s="1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</row>
    <row r="97">
      <c r="A97" s="1" t="n"/>
      <c r="B97" s="1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</row>
    <row r="98">
      <c r="A98" s="1" t="n"/>
      <c r="B98" s="1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</row>
    <row r="99">
      <c r="A99" s="1" t="n"/>
      <c r="B99" s="1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</row>
    <row r="100">
      <c r="A100" s="1" t="n"/>
      <c r="B100" s="1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</row>
    <row r="101">
      <c r="A101" s="1" t="n"/>
      <c r="B101" s="1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</row>
    <row r="102">
      <c r="A102" s="1" t="n"/>
      <c r="B102" s="1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</row>
    <row r="103">
      <c r="A103" s="1" t="n"/>
      <c r="B103" s="1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</row>
    <row r="104">
      <c r="A104" s="1" t="n"/>
      <c r="B104" s="1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</row>
    <row r="105">
      <c r="A105" s="1" t="n"/>
      <c r="B105" s="1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</row>
    <row r="106">
      <c r="A106" s="1" t="n"/>
      <c r="B106" s="1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</row>
    <row r="107">
      <c r="A107" s="1" t="n"/>
      <c r="B107" s="1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</row>
    <row r="108">
      <c r="A108" s="1" t="n"/>
      <c r="B108" s="1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</row>
    <row r="109">
      <c r="A109" s="1" t="n"/>
      <c r="B109" s="1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</row>
    <row r="110">
      <c r="A110" s="1" t="n"/>
      <c r="B110" s="1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</row>
    <row r="111">
      <c r="A111" s="1" t="n"/>
      <c r="B111" s="1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</row>
    <row r="112">
      <c r="A112" s="1" t="n"/>
      <c r="B112" s="1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</row>
    <row r="113">
      <c r="A113" s="1" t="n"/>
      <c r="B113" s="1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</row>
    <row r="114">
      <c r="A114" s="1" t="n"/>
      <c r="B114" s="1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</row>
    <row r="115">
      <c r="A115" s="1" t="n"/>
      <c r="B115" s="1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</row>
    <row r="116">
      <c r="A116" s="1" t="n"/>
      <c r="B116" s="1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</row>
    <row r="117">
      <c r="A117" s="1" t="n"/>
      <c r="B117" s="1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</row>
    <row r="118">
      <c r="A118" s="1" t="n"/>
      <c r="B118" s="1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</row>
    <row r="119">
      <c r="A119" s="1" t="n"/>
      <c r="B119" s="1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</row>
    <row r="120">
      <c r="A120" s="1" t="n"/>
      <c r="B120" s="1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</row>
    <row r="121">
      <c r="A121" s="1" t="n"/>
      <c r="B121" s="1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</row>
    <row r="122">
      <c r="A122" s="1" t="n"/>
      <c r="B122" s="1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</row>
    <row r="123">
      <c r="A123" s="1" t="n"/>
      <c r="B123" s="1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</row>
    <row r="124">
      <c r="A124" s="1" t="n"/>
      <c r="B124" s="1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</row>
    <row r="125">
      <c r="A125" s="1" t="n"/>
      <c r="B125" s="1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</row>
    <row r="126">
      <c r="A126" s="1" t="n"/>
      <c r="B126" s="1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</row>
    <row r="127">
      <c r="A127" s="1" t="n"/>
      <c r="B127" s="1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</row>
    <row r="128">
      <c r="A128" s="1" t="n"/>
      <c r="B128" s="1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</row>
    <row r="129">
      <c r="A129" s="1" t="n"/>
      <c r="B129" s="1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</row>
    <row r="130">
      <c r="A130" s="1" t="n"/>
      <c r="B130" s="1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</row>
  </sheetData>
  <mergeCells count="59">
    <mergeCell ref="D13:F13"/>
    <mergeCell ref="D11:F11"/>
    <mergeCell ref="E55:F55"/>
    <mergeCell ref="E62:F62"/>
    <mergeCell ref="N63:O63"/>
    <mergeCell ref="N54:O54"/>
    <mergeCell ref="E67:F67"/>
    <mergeCell ref="D46:E46"/>
    <mergeCell ref="N66:O66"/>
    <mergeCell ref="D40:E40"/>
    <mergeCell ref="F40:G40"/>
    <mergeCell ref="N53:O53"/>
    <mergeCell ref="D45:E45"/>
    <mergeCell ref="E6:G6"/>
    <mergeCell ref="E64:F64"/>
    <mergeCell ref="N56:O56"/>
    <mergeCell ref="E63:F63"/>
    <mergeCell ref="D12:F12"/>
    <mergeCell ref="F45:G45"/>
    <mergeCell ref="N62:O62"/>
    <mergeCell ref="N58:O58"/>
    <mergeCell ref="F42:G42"/>
    <mergeCell ref="D41:E41"/>
    <mergeCell ref="E60:F60"/>
    <mergeCell ref="D48:E48"/>
    <mergeCell ref="F41:G41"/>
    <mergeCell ref="N61:O61"/>
    <mergeCell ref="E65:F65"/>
    <mergeCell ref="D47:E47"/>
    <mergeCell ref="E59:F59"/>
    <mergeCell ref="D14:F14"/>
    <mergeCell ref="F47:G47"/>
    <mergeCell ref="N64:O64"/>
    <mergeCell ref="F38:G38"/>
    <mergeCell ref="N67:O67"/>
    <mergeCell ref="E58:F58"/>
    <mergeCell ref="D43:E43"/>
    <mergeCell ref="D37:E37"/>
    <mergeCell ref="F46:G46"/>
    <mergeCell ref="N57:O57"/>
    <mergeCell ref="E61:F61"/>
    <mergeCell ref="N59:O59"/>
    <mergeCell ref="D39:E39"/>
    <mergeCell ref="F43:G43"/>
    <mergeCell ref="E57:F57"/>
    <mergeCell ref="F37:G37"/>
    <mergeCell ref="F39:G39"/>
    <mergeCell ref="N60:O60"/>
    <mergeCell ref="F48:G48"/>
    <mergeCell ref="D42:E42"/>
    <mergeCell ref="E54:F54"/>
    <mergeCell ref="D38:E38"/>
    <mergeCell ref="E53:F53"/>
    <mergeCell ref="E66:F66"/>
    <mergeCell ref="N65:O65"/>
    <mergeCell ref="E56:F56"/>
    <mergeCell ref="D44:E44"/>
    <mergeCell ref="N55:O55"/>
    <mergeCell ref="F44:G44"/>
  </mergeCells>
  <conditionalFormatting sqref="M11">
    <cfRule type="expression" priority="1" dxfId="26">
      <formula>AND(ISNUMBER(M11),M11&gt;=1)</formula>
    </cfRule>
    <cfRule type="expression" priority="2" dxfId="8">
      <formula>AND(ISNUMBER(M11),M11&gt;=0.9)</formula>
    </cfRule>
    <cfRule type="expression" priority="3" dxfId="27">
      <formula>ISNUMBER(M11)</formula>
    </cfRule>
  </conditionalFormatting>
  <conditionalFormatting sqref="P11">
    <cfRule type="expression" priority="4" dxfId="26">
      <formula>AND(ISNUMBER(P11),P11&gt;=1)</formula>
    </cfRule>
    <cfRule type="expression" priority="5" dxfId="8">
      <formula>AND(ISNUMBER(P11),P11&gt;=0.9)</formula>
    </cfRule>
    <cfRule type="expression" priority="6" dxfId="27">
      <formula>ISNUMBER(P11)</formula>
    </cfRule>
  </conditionalFormatting>
  <conditionalFormatting sqref="M14">
    <cfRule type="expression" priority="7" dxfId="26">
      <formula>AND(ISNUMBER(M14),M14&gt;=1)</formula>
    </cfRule>
    <cfRule type="expression" priority="8" dxfId="8">
      <formula>AND(ISNUMBER(M14),M14&gt;=0.9)</formula>
    </cfRule>
    <cfRule type="expression" priority="9" dxfId="27">
      <formula>ISNUMBER(M14)</formula>
    </cfRule>
  </conditionalFormatting>
  <conditionalFormatting sqref="P14">
    <cfRule type="expression" priority="10" dxfId="26">
      <formula>AND(ISNUMBER(P14),P14&gt;=1)</formula>
    </cfRule>
    <cfRule type="expression" priority="11" dxfId="8">
      <formula>AND(ISNUMBER(P14),P14&gt;=0.9)</formula>
    </cfRule>
    <cfRule type="expression" priority="12" dxfId="27">
      <formula>ISNUMBER(P14)</formula>
    </cfRule>
  </conditionalFormatting>
  <conditionalFormatting sqref="R37:R48">
    <cfRule type="expression" priority="13" dxfId="26">
      <formula>R37="On target"</formula>
    </cfRule>
    <cfRule type="expression" priority="14" dxfId="27">
      <formula>R37="Di bawah"</formula>
    </cfRule>
  </conditionalFormatting>
  <dataValidations count="1">
    <dataValidation sqref="E6" showDropDown="0" showInputMessage="1" showErrorMessage="0" allowBlank="0" prompt="Tanggal laporan" type="list">
      <formula1>=Kalkulasi!$B$552:$B$613</formula1>
    </dataValidation>
  </dataValidations>
  <pageMargins left="0.25" right="0.25" top="0.25" bottom="0.25" header="0.5" footer="0.5"/>
  <pageSetup orientation="landscape" paperSize="9" fitToHeight="1" fitToWidth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2E3B4E"/>
    <outlinePr summaryBelow="1" summaryRight="1"/>
    <pageSetUpPr fitToPage="1"/>
  </sheetPr>
  <dimension ref="A1:V130"/>
  <sheetViews>
    <sheetView showGridLines="0" showRowColHeaders="0" zoomScale="90" workbookViewId="0">
      <pane xSplit="2" topLeftCell="C1" activePane="topRight" state="frozen"/>
      <selection pane="topRight" activeCell="A1" sqref="A1"/>
    </sheetView>
  </sheetViews>
  <sheetFormatPr baseColWidth="8" defaultRowHeight="15"/>
  <cols>
    <col width="1.2" customWidth="1" min="1" max="1"/>
    <col width="27" customWidth="1" min="2" max="2"/>
    <col width="2.5" customWidth="1" min="3" max="3"/>
    <col width="8.6" customWidth="1" min="4" max="4"/>
    <col width="8.6" customWidth="1" min="5" max="5"/>
    <col width="8.6" customWidth="1" min="6" max="6"/>
    <col width="8.6" customWidth="1" min="7" max="7"/>
    <col width="8.6" customWidth="1" min="8" max="8"/>
    <col width="8.6" customWidth="1" min="9" max="9"/>
    <col width="8.6" customWidth="1" min="10" max="10"/>
    <col width="8.6" customWidth="1" min="11" max="11"/>
    <col width="8.6" customWidth="1" min="12" max="12"/>
    <col width="8.6" customWidth="1" min="13" max="13"/>
    <col width="8.6" customWidth="1" min="14" max="14"/>
    <col width="8.6" customWidth="1" min="15" max="15"/>
    <col width="8.6" customWidth="1" min="16" max="16"/>
    <col width="8.6" customWidth="1" min="17" max="17"/>
    <col width="8.6" customWidth="1" min="18" max="18"/>
    <col width="8.6" customWidth="1" min="19" max="19"/>
    <col width="8.6" customWidth="1" min="20" max="20"/>
    <col width="8.6" customWidth="1" min="21" max="21"/>
    <col width="2.5" customWidth="1" min="22" max="22"/>
  </cols>
  <sheetData>
    <row r="1" ht="10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28" customHeight="1">
      <c r="A2" s="1" t="n"/>
      <c r="B2" s="3" t="inlineStr">
        <is>
          <t>PIT CONTROL</t>
        </is>
      </c>
      <c r="C2" s="2" t="n"/>
      <c r="D2" s="4" t="inlineStr">
        <is>
          <t>Mine Ops Board  /  Master Data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 ht="34" customHeight="1">
      <c r="A3" s="1" t="n"/>
      <c r="B3" s="5" t="inlineStr">
        <is>
          <t>MINE OPS BOARD</t>
        </is>
      </c>
      <c r="C3" s="2" t="n"/>
      <c r="D3" s="6" t="inlineStr">
        <is>
          <t>Master Data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>
      <c r="A4" s="1" t="n"/>
      <c r="B4" s="1" t="n"/>
      <c r="C4" s="2" t="n"/>
      <c r="D4" s="7" t="inlineStr">
        <is>
          <t>Sumber semua board: tabel DATA_TS (timesheet), DATA_PLAN (plan harian), DATA_HUJAN (hujan per shift)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 ht="8" customHeight="1">
      <c r="A5" s="1" t="n"/>
      <c r="B5" s="8" t="inlineStr">
        <is>
          <t>BOARD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 ht="18" customHeight="1">
      <c r="A6" s="1" t="n"/>
      <c r="B6" s="15">
        <f>HYPERLINK("#Produksi!A1","   Produksi")</f>
        <v/>
      </c>
      <c r="C6" s="2" t="n"/>
      <c r="D6" s="17" t="inlineStr">
        <is>
          <t>BARIS TIMESHEET</t>
        </is>
      </c>
      <c r="E6" s="18" t="n"/>
      <c r="F6" s="19" t="n"/>
      <c r="G6" s="17" t="inlineStr">
        <is>
          <t>UNIT</t>
        </is>
      </c>
      <c r="H6" s="18" t="n"/>
      <c r="I6" s="19" t="n"/>
      <c r="J6" s="17" t="inlineStr">
        <is>
          <t>TANGGAL AWAL</t>
        </is>
      </c>
      <c r="K6" s="18" t="n"/>
      <c r="L6" s="19" t="n"/>
      <c r="M6" s="17" t="inlineStr">
        <is>
          <t>TANGGAL AKHIR</t>
        </is>
      </c>
      <c r="N6" s="18" t="n"/>
      <c r="O6" s="19" t="n"/>
      <c r="P6" s="17" t="inlineStr">
        <is>
          <t>TOTAL HM</t>
        </is>
      </c>
      <c r="Q6" s="18" t="n"/>
      <c r="R6" s="19" t="n"/>
      <c r="S6" s="17" t="inlineStr">
        <is>
          <t>OB (HAULER)</t>
        </is>
      </c>
      <c r="T6" s="18" t="n"/>
      <c r="U6" s="19" t="n"/>
      <c r="V6" s="2" t="n"/>
    </row>
    <row r="7" ht="30" customHeight="1">
      <c r="A7" s="1" t="n"/>
      <c r="B7" s="15">
        <f>HYPERLINK("#Digger!A1","   Produktivitas Digger")</f>
        <v/>
      </c>
      <c r="C7" s="2" t="n"/>
      <c r="D7" s="25">
        <f>COUNTA(DATA_TS!$C$2:$C$20001)</f>
        <v/>
      </c>
      <c r="F7" s="21" t="n"/>
      <c r="G7" s="142">
        <f>COUNTA(LIST!$A$3:$A$112)</f>
        <v/>
      </c>
      <c r="I7" s="21" t="n"/>
      <c r="J7" s="143">
        <f>MIN(DATA_TS!$A$2:$A$20001)</f>
        <v/>
      </c>
      <c r="L7" s="21" t="n"/>
      <c r="M7" s="143">
        <f>MAX(DATA_TS!$A$2:$A$20001)</f>
        <v/>
      </c>
      <c r="O7" s="21" t="n"/>
      <c r="P7" s="63">
        <f>SUM(DATA_TS!$G$2:$G$20001)</f>
        <v/>
      </c>
      <c r="R7" s="21" t="n"/>
      <c r="S7" s="20">
        <f>SUMIFS(DATA_TS!$Q$2:$Q$20001,DATA_TS!$E$2:$E$20001,"Hauler")</f>
        <v/>
      </c>
      <c r="U7" s="21" t="n"/>
      <c r="V7" s="2" t="n"/>
    </row>
    <row r="8" ht="18" customHeight="1">
      <c r="A8" s="1" t="n"/>
      <c r="B8" s="15">
        <f>HYPERLINK("#Availability!A1","   Availability Unit")</f>
        <v/>
      </c>
      <c r="C8" s="2" t="n"/>
      <c r="D8" s="26">
        <f>"Unit × shift × hari"</f>
        <v/>
      </c>
      <c r="E8" s="27" t="n"/>
      <c r="F8" s="28" t="n"/>
      <c r="G8" s="26">
        <f>"8 class"</f>
        <v/>
      </c>
      <c r="H8" s="27" t="n"/>
      <c r="I8" s="28" t="n"/>
      <c r="J8" s="26">
        <f>"Data pertama"</f>
        <v/>
      </c>
      <c r="K8" s="27" t="n"/>
      <c r="L8" s="28" t="n"/>
      <c r="M8" s="26">
        <f>"Data terakhir"</f>
        <v/>
      </c>
      <c r="N8" s="27" t="n"/>
      <c r="O8" s="28" t="n"/>
      <c r="P8" s="26">
        <f>"Seluruh unit"</f>
        <v/>
      </c>
      <c r="Q8" s="27" t="n"/>
      <c r="R8" s="28" t="n"/>
      <c r="S8" s="26">
        <f>"Data dummy"</f>
        <v/>
      </c>
      <c r="T8" s="27" t="n"/>
      <c r="U8" s="28" t="n"/>
      <c r="V8" s="2" t="n"/>
    </row>
    <row r="9" ht="10" customHeight="1">
      <c r="A9" s="1" t="n"/>
      <c r="B9" s="15">
        <f>HYPERLINK("#'Delay &amp; Hujan'!A1","   Delay &amp; Hujan")</f>
        <v/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 ht="24" customHeight="1">
      <c r="A10" s="1" t="n"/>
      <c r="B10" s="15">
        <f>HYPERLINK("#Fuel!A1","   Fuel")</f>
        <v/>
      </c>
      <c r="C10" s="2" t="n"/>
      <c r="D10" s="29" t="inlineStr">
        <is>
          <t>Cara menambah data</t>
        </is>
      </c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48" t="n"/>
      <c r="O10" s="29" t="inlineStr">
        <is>
          <t>Buka tabel</t>
        </is>
      </c>
      <c r="P10" s="30" t="n"/>
      <c r="Q10" s="30" t="n"/>
      <c r="R10" s="30" t="n"/>
      <c r="S10" s="30" t="n"/>
      <c r="T10" s="30" t="n"/>
      <c r="U10" s="48" t="n"/>
      <c r="V10" s="2" t="n"/>
    </row>
    <row r="11" ht="22" customHeight="1">
      <c r="A11" s="1" t="n"/>
      <c r="B11" s="15">
        <f>HYPERLINK("#'Tren PTY'!A1","   Tren PTY")</f>
        <v/>
      </c>
      <c r="C11" s="2" t="n"/>
      <c r="D11" s="32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4" t="n"/>
      <c r="O11" s="32" t="n"/>
      <c r="P11" s="33" t="n"/>
      <c r="Q11" s="33" t="n"/>
      <c r="R11" s="33" t="n"/>
      <c r="S11" s="33" t="n"/>
      <c r="T11" s="33" t="n"/>
      <c r="U11" s="34" t="n"/>
      <c r="V11" s="2" t="n"/>
    </row>
    <row r="12" ht="22" customHeight="1">
      <c r="A12" s="1" t="n"/>
      <c r="B12" s="1" t="n"/>
      <c r="C12" s="2" t="n"/>
      <c r="D12" s="144" t="inlineStr">
        <is>
          <t>1</t>
        </is>
      </c>
      <c r="E12" s="145" t="inlineStr">
        <is>
          <t>Buka tabel timesheet</t>
        </is>
      </c>
      <c r="F12" s="33" t="n"/>
      <c r="G12" s="33" t="n"/>
      <c r="H12" s="33" t="n"/>
      <c r="I12" s="33" t="n"/>
      <c r="J12" s="33" t="n"/>
      <c r="K12" s="33" t="n"/>
      <c r="L12" s="33" t="n"/>
      <c r="M12" s="33" t="n"/>
      <c r="N12" s="34" t="n"/>
      <c r="O12" s="32" t="n"/>
      <c r="P12" s="146">
        <f>HYPERLINK("#DATA_TS!A1","  DATA_TS  ↗")</f>
        <v/>
      </c>
      <c r="Q12" s="1" t="n"/>
      <c r="R12" s="1" t="n"/>
      <c r="S12" s="1" t="n"/>
      <c r="T12" s="1" t="n"/>
      <c r="U12" s="34" t="n"/>
      <c r="V12" s="2" t="n"/>
    </row>
    <row r="13">
      <c r="A13" s="1" t="n"/>
      <c r="B13" s="8" t="inlineStr">
        <is>
          <t>PER JAM</t>
        </is>
      </c>
      <c r="C13" s="2" t="n"/>
      <c r="D13" s="32" t="n"/>
      <c r="E13" s="147" t="inlineStr">
        <is>
          <t>Klik 'Tabel timesheet ↗' di sidebar atau tombol di kanan.</t>
        </is>
      </c>
      <c r="N13" s="21" t="n"/>
      <c r="O13" s="32" t="n"/>
      <c r="P13" s="148" t="inlineStr">
        <is>
          <t>Timesheet unit per shift</t>
        </is>
      </c>
      <c r="Q13" s="33" t="n"/>
      <c r="R13" s="33" t="n"/>
      <c r="S13" s="33" t="n"/>
      <c r="T13" s="33" t="n"/>
      <c r="U13" s="34" t="n"/>
      <c r="V13" s="2" t="n"/>
    </row>
    <row r="14" ht="22" customHeight="1">
      <c r="A14" s="1" t="n"/>
      <c r="B14" s="15">
        <f>HYPERLINK("#'PTY per Jam'!A1","   PTY per Jam")</f>
        <v/>
      </c>
      <c r="C14" s="2" t="n"/>
      <c r="D14" s="32" t="n"/>
      <c r="N14" s="21" t="n"/>
      <c r="O14" s="32" t="n"/>
      <c r="P14" s="33" t="n"/>
      <c r="Q14" s="33" t="n"/>
      <c r="R14" s="33" t="n"/>
      <c r="S14" s="33" t="n"/>
      <c r="T14" s="33" t="n"/>
      <c r="U14" s="34" t="n"/>
      <c r="V14" s="2" t="n"/>
    </row>
    <row r="15" ht="22" customHeight="1">
      <c r="A15" s="1" t="n"/>
      <c r="B15" s="15">
        <f>HYPERLINK("#'Fleet &amp; Delay'!A1","   Fleet &amp; Delay")</f>
        <v/>
      </c>
      <c r="C15" s="2" t="n"/>
      <c r="D15" s="144" t="inlineStr">
        <is>
          <t>2</t>
        </is>
      </c>
      <c r="E15" s="145" t="inlineStr">
        <is>
          <t>Tempel baris baru</t>
        </is>
      </c>
      <c r="F15" s="33" t="n"/>
      <c r="G15" s="33" t="n"/>
      <c r="H15" s="33" t="n"/>
      <c r="I15" s="33" t="n"/>
      <c r="J15" s="33" t="n"/>
      <c r="K15" s="33" t="n"/>
      <c r="L15" s="33" t="n"/>
      <c r="M15" s="33" t="n"/>
      <c r="N15" s="34" t="n"/>
      <c r="O15" s="32" t="n"/>
      <c r="P15" s="146">
        <f>HYPERLINK("#DATA_PLAN!A1","  DATA_PLAN  ↗")</f>
        <v/>
      </c>
      <c r="Q15" s="1" t="n"/>
      <c r="R15" s="1" t="n"/>
      <c r="S15" s="1" t="n"/>
      <c r="T15" s="1" t="n"/>
      <c r="U15" s="34" t="n"/>
      <c r="V15" s="2" t="n"/>
    </row>
    <row r="16" ht="22" customHeight="1">
      <c r="A16" s="1" t="n"/>
      <c r="B16" s="15">
        <f>HYPERLINK("#'Daily Report'!A1","   Daily Report")</f>
        <v/>
      </c>
      <c r="C16" s="2" t="n"/>
      <c r="D16" s="32" t="n"/>
      <c r="E16" s="147" t="inlineStr">
        <is>
          <t>Tempel di baris kosong tepat di bawah tabel DATA_TS. Tabel melebar otomatis; kolom harus sama urutannya.</t>
        </is>
      </c>
      <c r="N16" s="21" t="n"/>
      <c r="O16" s="32" t="n"/>
      <c r="P16" s="148" t="inlineStr">
        <is>
          <t>Plan OB &amp; coal harian</t>
        </is>
      </c>
      <c r="Q16" s="33" t="n"/>
      <c r="R16" s="33" t="n"/>
      <c r="S16" s="33" t="n"/>
      <c r="T16" s="33" t="n"/>
      <c r="U16" s="34" t="n"/>
      <c r="V16" s="2" t="n"/>
    </row>
    <row r="17" ht="22" customHeight="1">
      <c r="A17" s="1" t="n"/>
      <c r="B17" s="15">
        <f>HYPERLINK("#INPUT_RITASE!A1","   Input ritase ↗")</f>
        <v/>
      </c>
      <c r="C17" s="2" t="n"/>
      <c r="D17" s="32" t="n"/>
      <c r="N17" s="21" t="n"/>
      <c r="O17" s="32" t="n"/>
      <c r="P17" s="33" t="n"/>
      <c r="Q17" s="33" t="n"/>
      <c r="R17" s="33" t="n"/>
      <c r="S17" s="33" t="n"/>
      <c r="T17" s="33" t="n"/>
      <c r="U17" s="34" t="n"/>
      <c r="V17" s="2" t="n"/>
    </row>
    <row r="18" ht="22" customHeight="1">
      <c r="A18" s="1" t="n"/>
      <c r="B18" s="15">
        <f>HYPERLINK("#INPUT_DELAY!A1","   Input delay ↗")</f>
        <v/>
      </c>
      <c r="C18" s="2" t="n"/>
      <c r="D18" s="144" t="inlineStr">
        <is>
          <t>3</t>
        </is>
      </c>
      <c r="E18" s="145" t="inlineStr">
        <is>
          <t>Isi plan &amp; hujan</t>
        </is>
      </c>
      <c r="F18" s="33" t="n"/>
      <c r="G18" s="33" t="n"/>
      <c r="H18" s="33" t="n"/>
      <c r="I18" s="33" t="n"/>
      <c r="J18" s="33" t="n"/>
      <c r="K18" s="33" t="n"/>
      <c r="L18" s="33" t="n"/>
      <c r="M18" s="33" t="n"/>
      <c r="N18" s="34" t="n"/>
      <c r="O18" s="32" t="n"/>
      <c r="P18" s="146">
        <f>HYPERLINK("#DATA_HUJAN!A1","  DATA_HUJAN  ↗")</f>
        <v/>
      </c>
      <c r="Q18" s="1" t="n"/>
      <c r="R18" s="1" t="n"/>
      <c r="S18" s="1" t="n"/>
      <c r="T18" s="1" t="n"/>
      <c r="U18" s="34" t="n"/>
      <c r="V18" s="2" t="n"/>
    </row>
    <row r="19">
      <c r="A19" s="1" t="n"/>
      <c r="B19" s="1" t="n"/>
      <c r="C19" s="2" t="n"/>
      <c r="D19" s="32" t="n"/>
      <c r="E19" s="147" t="inlineStr">
        <is>
          <t>Tambahkan plan harian di DATA_PLAN dan catatan hujan per shift di DATA_HUJAN.</t>
        </is>
      </c>
      <c r="N19" s="21" t="n"/>
      <c r="O19" s="32" t="n"/>
      <c r="P19" s="148" t="inlineStr">
        <is>
          <t>Hujan &amp; slippery per shift</t>
        </is>
      </c>
      <c r="Q19" s="33" t="n"/>
      <c r="R19" s="33" t="n"/>
      <c r="S19" s="33" t="n"/>
      <c r="T19" s="33" t="n"/>
      <c r="U19" s="34" t="n"/>
      <c r="V19" s="2" t="n"/>
    </row>
    <row r="20">
      <c r="A20" s="1" t="n"/>
      <c r="B20" s="8" t="inlineStr">
        <is>
          <t>DATA</t>
        </is>
      </c>
      <c r="C20" s="2" t="n"/>
      <c r="D20" s="32" t="n"/>
      <c r="N20" s="21" t="n"/>
      <c r="O20" s="32" t="n"/>
      <c r="P20" s="33" t="n"/>
      <c r="Q20" s="33" t="n"/>
      <c r="R20" s="33" t="n"/>
      <c r="S20" s="33" t="n"/>
      <c r="T20" s="33" t="n"/>
      <c r="U20" s="34" t="n"/>
      <c r="V20" s="2" t="n"/>
    </row>
    <row r="21" ht="22" customHeight="1">
      <c r="A21" s="9" t="n"/>
      <c r="B21" s="10">
        <f>HYPERLINK("#'Master Data'!A1","   Master Data")</f>
        <v/>
      </c>
      <c r="C21" s="2" t="n"/>
      <c r="D21" s="144" t="inlineStr">
        <is>
          <t>4</t>
        </is>
      </c>
      <c r="E21" s="145" t="inlineStr">
        <is>
          <t>Unit baru?</t>
        </is>
      </c>
      <c r="F21" s="33" t="n"/>
      <c r="G21" s="33" t="n"/>
      <c r="H21" s="33" t="n"/>
      <c r="I21" s="33" t="n"/>
      <c r="J21" s="33" t="n"/>
      <c r="K21" s="33" t="n"/>
      <c r="L21" s="33" t="n"/>
      <c r="M21" s="33" t="n"/>
      <c r="N21" s="34" t="n"/>
      <c r="O21" s="32" t="n"/>
      <c r="P21" s="146">
        <f>HYPERLINK("#LIST!A1","  LIST  ↗")</f>
        <v/>
      </c>
      <c r="Q21" s="1" t="n"/>
      <c r="R21" s="1" t="n"/>
      <c r="S21" s="1" t="n"/>
      <c r="T21" s="1" t="n"/>
      <c r="U21" s="34" t="n"/>
      <c r="V21" s="2" t="n"/>
    </row>
    <row r="22" ht="22" customHeight="1">
      <c r="A22" s="1" t="n"/>
      <c r="B22" s="15">
        <f>HYPERLINK("#DATA_TS!A1","   Tabel timesheet ↗")</f>
        <v/>
      </c>
      <c r="C22" s="2" t="n"/>
      <c r="D22" s="32" t="n"/>
      <c r="E22" s="147" t="inlineStr">
        <is>
          <t>Tambahkan nomor unit, tipe, dan class-nya di sheet LIST (kolom A–C dan L) agar muncul di dropdown.</t>
        </is>
      </c>
      <c r="N22" s="21" t="n"/>
      <c r="O22" s="32" t="n"/>
      <c r="P22" s="148" t="inlineStr">
        <is>
          <t>Master unit &amp; dropdown</t>
        </is>
      </c>
      <c r="Q22" s="33" t="n"/>
      <c r="R22" s="33" t="n"/>
      <c r="S22" s="33" t="n"/>
      <c r="T22" s="33" t="n"/>
      <c r="U22" s="34" t="n"/>
      <c r="V22" s="2" t="n"/>
    </row>
    <row r="23" ht="22" customHeight="1">
      <c r="A23" s="1" t="n"/>
      <c r="B23" s="15">
        <f>HYPERLINK("#DATA_FUEL!A1","   Tabel fuel ↗")</f>
        <v/>
      </c>
      <c r="C23" s="2" t="n"/>
      <c r="D23" s="32" t="n"/>
      <c r="N23" s="21" t="n"/>
      <c r="O23" s="32" t="n"/>
      <c r="P23" s="33" t="n"/>
      <c r="Q23" s="33" t="n"/>
      <c r="R23" s="33" t="n"/>
      <c r="S23" s="33" t="n"/>
      <c r="T23" s="33" t="n"/>
      <c r="U23" s="34" t="n"/>
      <c r="V23" s="2" t="n"/>
    </row>
    <row r="24">
      <c r="A24" s="1" t="n"/>
      <c r="B24" s="1" t="n"/>
      <c r="C24" s="2" t="n"/>
      <c r="D24" s="144" t="inlineStr">
        <is>
          <t>5</t>
        </is>
      </c>
      <c r="E24" s="145" t="inlineStr">
        <is>
          <t>Pilih tanggal</t>
        </is>
      </c>
      <c r="F24" s="33" t="n"/>
      <c r="G24" s="33" t="n"/>
      <c r="H24" s="33" t="n"/>
      <c r="I24" s="33" t="n"/>
      <c r="J24" s="33" t="n"/>
      <c r="K24" s="33" t="n"/>
      <c r="L24" s="33" t="n"/>
      <c r="M24" s="33" t="n"/>
      <c r="N24" s="34" t="n"/>
      <c r="O24" s="32" t="n"/>
      <c r="P24" s="33" t="n"/>
      <c r="Q24" s="33" t="n"/>
      <c r="R24" s="33" t="n"/>
      <c r="S24" s="33" t="n"/>
      <c r="T24" s="33" t="n"/>
      <c r="U24" s="34" t="n"/>
      <c r="V24" s="2" t="n"/>
    </row>
    <row r="25">
      <c r="A25" s="1" t="n"/>
      <c r="B25" s="8" t="inlineStr">
        <is>
          <t>LAINNYA</t>
        </is>
      </c>
      <c r="C25" s="2" t="n"/>
      <c r="D25" s="32" t="n"/>
      <c r="E25" s="149" t="inlineStr">
        <is>
          <t>Daftar tanggal di dropdown mengikuti isi DATA_TS otomatis. Board membaca sampai baris 20.001 (±3 bulan).</t>
        </is>
      </c>
      <c r="N25" s="21" t="n"/>
      <c r="O25" s="32" t="n"/>
      <c r="P25" s="33" t="n"/>
      <c r="Q25" s="33" t="n"/>
      <c r="R25" s="33" t="n"/>
      <c r="S25" s="33" t="n"/>
      <c r="T25" s="33" t="n"/>
      <c r="U25" s="34" t="n"/>
      <c r="V25" s="2" t="n"/>
    </row>
    <row r="26" ht="22" customHeight="1">
      <c r="A26" s="1" t="n"/>
      <c r="B26" s="15">
        <f>HYPERLINK("#Panduan!A1","   Panduan")</f>
        <v/>
      </c>
      <c r="C26" s="2" t="n"/>
      <c r="D26" s="44" t="n"/>
      <c r="E26" s="27" t="n"/>
      <c r="F26" s="27" t="n"/>
      <c r="G26" s="27" t="n"/>
      <c r="H26" s="27" t="n"/>
      <c r="I26" s="27" t="n"/>
      <c r="J26" s="27" t="n"/>
      <c r="K26" s="27" t="n"/>
      <c r="L26" s="27" t="n"/>
      <c r="M26" s="27" t="n"/>
      <c r="N26" s="28" t="n"/>
      <c r="O26" s="44" t="n"/>
      <c r="P26" s="45" t="n"/>
      <c r="Q26" s="45" t="n"/>
      <c r="R26" s="45" t="n"/>
      <c r="S26" s="45" t="n"/>
      <c r="T26" s="45" t="n"/>
      <c r="U26" s="46" t="n"/>
      <c r="V26" s="2" t="n"/>
    </row>
    <row r="27" ht="22" customHeight="1">
      <c r="A27" s="1" t="n"/>
      <c r="B27" s="15">
        <f>HYPERLINK("#Parameter!A1","   Target &amp; parameter")</f>
        <v/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</row>
    <row r="28" ht="22" customHeight="1">
      <c r="A28" s="1" t="n"/>
      <c r="B28" s="15">
        <f>HYPERLINK("#MASTER_JAM!A1","   Faktor, target &amp; MF")</f>
        <v/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</row>
    <row r="29">
      <c r="A29" s="1" t="n"/>
      <c r="B29" s="1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</row>
    <row r="30">
      <c r="A30" s="1" t="n"/>
      <c r="B30" s="1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</row>
    <row r="31">
      <c r="A31" s="1" t="n"/>
      <c r="B31" s="1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</row>
    <row r="32">
      <c r="A32" s="1" t="n"/>
      <c r="B32" s="1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</row>
    <row r="33">
      <c r="A33" s="1" t="n"/>
      <c r="B33" s="47" t="inlineStr">
        <is>
          <t>Data dummy · Coal Project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</row>
    <row r="34">
      <c r="A34" s="1" t="n"/>
      <c r="B34" s="49" t="inlineStr">
        <is>
          <t>Simulasi unit per shift,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</row>
    <row r="35">
      <c r="A35" s="1" t="n"/>
      <c r="B35" s="49" t="inlineStr">
        <is>
          <t>Maret 2026. Bukan data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</row>
    <row r="36">
      <c r="A36" s="1" t="n"/>
      <c r="B36" s="49" t="inlineStr">
        <is>
          <t>perusahaan mana pun.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</row>
    <row r="37">
      <c r="A37" s="1" t="n"/>
      <c r="B37" s="49" t="inlineStr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</row>
    <row r="38">
      <c r="A38" s="1" t="n"/>
      <c r="B38" s="47" t="inlineStr">
        <is>
          <t>Muhammad Rifqi Rizqullah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</row>
    <row r="39">
      <c r="A39" s="1" t="n"/>
      <c r="B39" s="49" t="inlineStr">
        <is>
          <t>Mine Operations Control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</row>
    <row r="40">
      <c r="A40" s="1" t="n"/>
      <c r="B40" s="1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</row>
    <row r="41">
      <c r="A41" s="1" t="n"/>
      <c r="B41" s="1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</row>
    <row r="42">
      <c r="A42" s="1" t="n"/>
      <c r="B42" s="1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</row>
    <row r="43">
      <c r="A43" s="1" t="n"/>
      <c r="B43" s="1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</row>
    <row r="44">
      <c r="A44" s="1" t="n"/>
      <c r="B44" s="1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</row>
    <row r="45">
      <c r="A45" s="1" t="n"/>
      <c r="B45" s="1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</row>
    <row r="46">
      <c r="A46" s="1" t="n"/>
      <c r="B46" s="1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</row>
    <row r="47">
      <c r="A47" s="1" t="n"/>
      <c r="B47" s="1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</row>
    <row r="48">
      <c r="A48" s="1" t="n"/>
      <c r="B48" s="1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</row>
    <row r="49">
      <c r="A49" s="1" t="n"/>
      <c r="B49" s="1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</row>
    <row r="50">
      <c r="A50" s="1" t="n"/>
      <c r="B50" s="1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</row>
    <row r="51">
      <c r="A51" s="1" t="n"/>
      <c r="B51" s="1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</row>
    <row r="52">
      <c r="A52" s="1" t="n"/>
      <c r="B52" s="1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</row>
    <row r="53">
      <c r="A53" s="1" t="n"/>
      <c r="B53" s="1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</row>
    <row r="54">
      <c r="A54" s="1" t="n"/>
      <c r="B54" s="1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</row>
    <row r="55">
      <c r="A55" s="1" t="n"/>
      <c r="B55" s="1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</row>
    <row r="56">
      <c r="A56" s="1" t="n"/>
      <c r="B56" s="1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</row>
    <row r="57">
      <c r="A57" s="1" t="n"/>
      <c r="B57" s="1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</row>
    <row r="58">
      <c r="A58" s="1" t="n"/>
      <c r="B58" s="1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</row>
    <row r="59">
      <c r="A59" s="1" t="n"/>
      <c r="B59" s="1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</row>
    <row r="60">
      <c r="A60" s="1" t="n"/>
      <c r="B60" s="1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  <row r="61">
      <c r="A61" s="1" t="n"/>
      <c r="B61" s="1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</row>
    <row r="62">
      <c r="A62" s="1" t="n"/>
      <c r="B62" s="1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</row>
    <row r="63">
      <c r="A63" s="1" t="n"/>
      <c r="B63" s="1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</row>
    <row r="64">
      <c r="A64" s="1" t="n"/>
      <c r="B64" s="1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</row>
    <row r="65">
      <c r="A65" s="1" t="n"/>
      <c r="B65" s="1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</row>
    <row r="66">
      <c r="A66" s="1" t="n"/>
      <c r="B66" s="1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</row>
    <row r="67">
      <c r="A67" s="1" t="n"/>
      <c r="B67" s="1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</row>
    <row r="68">
      <c r="A68" s="1" t="n"/>
      <c r="B68" s="1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</row>
    <row r="69">
      <c r="A69" s="1" t="n"/>
      <c r="B69" s="1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</row>
    <row r="70">
      <c r="A70" s="1" t="n"/>
      <c r="B70" s="1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</row>
    <row r="71">
      <c r="A71" s="1" t="n"/>
      <c r="B71" s="1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</row>
    <row r="72">
      <c r="A72" s="1" t="n"/>
      <c r="B72" s="1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</row>
    <row r="73">
      <c r="A73" s="1" t="n"/>
      <c r="B73" s="1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</row>
    <row r="74">
      <c r="A74" s="1" t="n"/>
      <c r="B74" s="1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</row>
    <row r="75">
      <c r="A75" s="1" t="n"/>
      <c r="B75" s="1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</row>
    <row r="76">
      <c r="A76" s="1" t="n"/>
      <c r="B76" s="1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</row>
    <row r="77">
      <c r="A77" s="1" t="n"/>
      <c r="B77" s="1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</row>
    <row r="78">
      <c r="A78" s="1" t="n"/>
      <c r="B78" s="1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</row>
    <row r="79">
      <c r="A79" s="1" t="n"/>
      <c r="B79" s="1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</row>
    <row r="80">
      <c r="A80" s="1" t="n"/>
      <c r="B80" s="1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</row>
    <row r="81">
      <c r="A81" s="1" t="n"/>
      <c r="B81" s="1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</row>
    <row r="82">
      <c r="A82" s="1" t="n"/>
      <c r="B82" s="1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</row>
    <row r="83">
      <c r="A83" s="1" t="n"/>
      <c r="B83" s="1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</row>
    <row r="84">
      <c r="A84" s="1" t="n"/>
      <c r="B84" s="1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</row>
    <row r="85">
      <c r="A85" s="1" t="n"/>
      <c r="B85" s="1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</row>
    <row r="86">
      <c r="A86" s="1" t="n"/>
      <c r="B86" s="1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</row>
    <row r="87">
      <c r="A87" s="1" t="n"/>
      <c r="B87" s="1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</row>
    <row r="88">
      <c r="A88" s="1" t="n"/>
      <c r="B88" s="1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</row>
    <row r="89">
      <c r="A89" s="1" t="n"/>
      <c r="B89" s="1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</row>
    <row r="90">
      <c r="A90" s="1" t="n"/>
      <c r="B90" s="1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</row>
    <row r="91">
      <c r="A91" s="1" t="n"/>
      <c r="B91" s="1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</row>
    <row r="92">
      <c r="A92" s="1" t="n"/>
      <c r="B92" s="1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</row>
    <row r="93">
      <c r="A93" s="1" t="n"/>
      <c r="B93" s="1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</row>
    <row r="94">
      <c r="A94" s="1" t="n"/>
      <c r="B94" s="1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</row>
    <row r="95">
      <c r="A95" s="1" t="n"/>
      <c r="B95" s="1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</row>
    <row r="96">
      <c r="A96" s="1" t="n"/>
      <c r="B96" s="1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</row>
    <row r="97">
      <c r="A97" s="1" t="n"/>
      <c r="B97" s="1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</row>
    <row r="98">
      <c r="A98" s="1" t="n"/>
      <c r="B98" s="1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</row>
    <row r="99">
      <c r="A99" s="1" t="n"/>
      <c r="B99" s="1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</row>
    <row r="100">
      <c r="A100" s="1" t="n"/>
      <c r="B100" s="1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</row>
    <row r="101">
      <c r="A101" s="1" t="n"/>
      <c r="B101" s="1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</row>
    <row r="102">
      <c r="A102" s="1" t="n"/>
      <c r="B102" s="1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</row>
    <row r="103">
      <c r="A103" s="1" t="n"/>
      <c r="B103" s="1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</row>
    <row r="104">
      <c r="A104" s="1" t="n"/>
      <c r="B104" s="1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</row>
    <row r="105">
      <c r="A105" s="1" t="n"/>
      <c r="B105" s="1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</row>
    <row r="106">
      <c r="A106" s="1" t="n"/>
      <c r="B106" s="1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</row>
    <row r="107">
      <c r="A107" s="1" t="n"/>
      <c r="B107" s="1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</row>
    <row r="108">
      <c r="A108" s="1" t="n"/>
      <c r="B108" s="1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</row>
    <row r="109">
      <c r="A109" s="1" t="n"/>
      <c r="B109" s="1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</row>
    <row r="110">
      <c r="A110" s="1" t="n"/>
      <c r="B110" s="1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</row>
    <row r="111">
      <c r="A111" s="1" t="n"/>
      <c r="B111" s="1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</row>
    <row r="112">
      <c r="A112" s="1" t="n"/>
      <c r="B112" s="1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</row>
    <row r="113">
      <c r="A113" s="1" t="n"/>
      <c r="B113" s="1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</row>
    <row r="114">
      <c r="A114" s="1" t="n"/>
      <c r="B114" s="1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</row>
    <row r="115">
      <c r="A115" s="1" t="n"/>
      <c r="B115" s="1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</row>
    <row r="116">
      <c r="A116" s="1" t="n"/>
      <c r="B116" s="1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</row>
    <row r="117">
      <c r="A117" s="1" t="n"/>
      <c r="B117" s="1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</row>
    <row r="118">
      <c r="A118" s="1" t="n"/>
      <c r="B118" s="1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</row>
    <row r="119">
      <c r="A119" s="1" t="n"/>
      <c r="B119" s="1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</row>
    <row r="120">
      <c r="A120" s="1" t="n"/>
      <c r="B120" s="1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</row>
    <row r="121">
      <c r="A121" s="1" t="n"/>
      <c r="B121" s="1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</row>
    <row r="122">
      <c r="A122" s="1" t="n"/>
      <c r="B122" s="1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</row>
    <row r="123">
      <c r="A123" s="1" t="n"/>
      <c r="B123" s="1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</row>
    <row r="124">
      <c r="A124" s="1" t="n"/>
      <c r="B124" s="1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</row>
    <row r="125">
      <c r="A125" s="1" t="n"/>
      <c r="B125" s="1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</row>
    <row r="126">
      <c r="A126" s="1" t="n"/>
      <c r="B126" s="1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</row>
    <row r="127">
      <c r="A127" s="1" t="n"/>
      <c r="B127" s="1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</row>
    <row r="128">
      <c r="A128" s="1" t="n"/>
      <c r="B128" s="1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</row>
    <row r="129">
      <c r="A129" s="1" t="n"/>
      <c r="B129" s="1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</row>
    <row r="130">
      <c r="A130" s="1" t="n"/>
      <c r="B130" s="1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</row>
  </sheetData>
  <mergeCells count="27">
    <mergeCell ref="J6:L6"/>
    <mergeCell ref="S7:U7"/>
    <mergeCell ref="P8:R8"/>
    <mergeCell ref="G6:I6"/>
    <mergeCell ref="E13:N14"/>
    <mergeCell ref="M7:O7"/>
    <mergeCell ref="D7:F7"/>
    <mergeCell ref="M6:O6"/>
    <mergeCell ref="J7:L7"/>
    <mergeCell ref="P7:R7"/>
    <mergeCell ref="S6:U6"/>
    <mergeCell ref="E19:N20"/>
    <mergeCell ref="P21:T21"/>
    <mergeCell ref="M8:O8"/>
    <mergeCell ref="D8:F8"/>
    <mergeCell ref="J8:L8"/>
    <mergeCell ref="E16:N17"/>
    <mergeCell ref="P12:T12"/>
    <mergeCell ref="P18:T18"/>
    <mergeCell ref="G7:I7"/>
    <mergeCell ref="D6:F6"/>
    <mergeCell ref="P15:T15"/>
    <mergeCell ref="G8:I8"/>
    <mergeCell ref="E25:N26"/>
    <mergeCell ref="S8:U8"/>
    <mergeCell ref="E22:N23"/>
    <mergeCell ref="P6:R6"/>
  </mergeCells>
  <pageMargins left="0.25" right="0.25" top="0.25" bottom="0.25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tabColor rgb="00D98A1E"/>
    <outlinePr summaryBelow="1" summaryRight="1"/>
    <pageSetUpPr/>
  </sheetPr>
  <dimension ref="A1:V190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10" customWidth="1" min="4" max="4"/>
    <col width="13" customWidth="1" min="5" max="5"/>
    <col width="8" customWidth="1" min="6" max="6"/>
    <col width="16" customWidth="1" min="7" max="7"/>
    <col width="7" customWidth="1" min="8" max="8"/>
    <col width="13" customWidth="1" min="9" max="9"/>
    <col width="10" customWidth="1" min="10" max="10"/>
    <col width="8" customWidth="1" min="11" max="11"/>
    <col width="10" customWidth="1" min="12" max="12"/>
    <col width="7" customWidth="1" min="13" max="13"/>
    <col width="9" customWidth="1" min="14" max="14"/>
    <col width="24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150" t="inlineStr">
        <is>
          <t>INPUT RITASE PER JAM — satu baris = satu hauler per jam (digger, material, ritase)</t>
        </is>
      </c>
    </row>
    <row r="2">
      <c r="A2" s="151" t="inlineStr">
        <is>
          <t>Isi kolom oranye A–G saja; kolom gelap terhitung otomatis. Jam 00-01 s/d 05-06 tetap memakai tanggal produksi (shift NS hari itu). Tambah baris dengan mengetik tepat di bawah baris terakhir tabel. Ritase &amp; produksi excavator di DATA_TS ikut terisi otomatis.</t>
        </is>
      </c>
    </row>
    <row r="4" ht="30" customHeight="1">
      <c r="A4" s="152" t="inlineStr">
        <is>
          <t>Tanggal</t>
        </is>
      </c>
      <c r="B4" s="152" t="inlineStr">
        <is>
          <t>Jam</t>
        </is>
      </c>
      <c r="C4" s="152" t="inlineStr">
        <is>
          <t>Digger</t>
        </is>
      </c>
      <c r="D4" s="152" t="inlineStr">
        <is>
          <t>Hauler</t>
        </is>
      </c>
      <c r="E4" s="152" t="inlineStr">
        <is>
          <t>Material</t>
        </is>
      </c>
      <c r="F4" s="152" t="inlineStr">
        <is>
          <t>Ritase</t>
        </is>
      </c>
      <c r="G4" s="152" t="inlineStr">
        <is>
          <t>Keterangan</t>
        </is>
      </c>
      <c r="H4" s="153" t="inlineStr">
        <is>
          <t>Shift</t>
        </is>
      </c>
      <c r="I4" s="153" t="inlineStr">
        <is>
          <t>Tipe Digger</t>
        </is>
      </c>
      <c r="J4" s="153" t="inlineStr">
        <is>
          <t>Grup DT</t>
        </is>
      </c>
      <c r="K4" s="153" t="inlineStr">
        <is>
          <t>Faktor</t>
        </is>
      </c>
      <c r="L4" s="153" t="inlineStr">
        <is>
          <t>Produksi</t>
        </is>
      </c>
      <c r="M4" s="153" t="inlineStr">
        <is>
          <t>Satuan</t>
        </is>
      </c>
      <c r="N4" s="153" t="inlineStr">
        <is>
          <t>Grup PTY</t>
        </is>
      </c>
      <c r="O4" s="153" t="inlineStr">
        <is>
          <t>Cek</t>
        </is>
      </c>
      <c r="P4" s="153" t="inlineStr">
        <is>
          <t>t Muat</t>
        </is>
      </c>
      <c r="Q4" s="153" t="n"/>
      <c r="R4" s="153" t="inlineStr">
        <is>
          <t>Porsi DT</t>
        </is>
      </c>
      <c r="S4" s="153" t="inlineStr">
        <is>
          <t>Porsi MF</t>
        </is>
      </c>
      <c r="V4" s="154" t="inlineStr">
        <is>
          <t>CT Teori</t>
        </is>
      </c>
    </row>
    <row r="5">
      <c r="A5" s="155" t="n">
        <v>46104</v>
      </c>
      <c r="B5" s="156" t="inlineStr">
        <is>
          <t>06-07</t>
        </is>
      </c>
      <c r="C5" s="156" t="inlineStr">
        <is>
          <t>EX-1251</t>
        </is>
      </c>
      <c r="D5" s="156" t="inlineStr">
        <is>
          <t>DT-510</t>
        </is>
      </c>
      <c r="E5" s="156" t="inlineStr">
        <is>
          <t>OB</t>
        </is>
      </c>
      <c r="F5" s="156" t="n">
        <v>4</v>
      </c>
      <c r="G5" s="156" t="inlineStr"/>
      <c r="H5" s="157">
        <f>IF($B5="","",IF(ISNA(MATCH($B5,MASTER_JAM!$Q$5:$Q$28,0)),"?",IF(MATCH($B5,MASTER_JAM!$Q$5:$Q$28,0)&lt;=12,"DS","NS")))</f>
        <v/>
      </c>
      <c r="I5" s="157">
        <f>IFERROR(INDEX(MASTER_JAM!$B$5:$B$94,MATCH($C5,MASTER_JAM!$A$5:$A$94,0)),"")</f>
        <v/>
      </c>
      <c r="J5" s="157">
        <f>IFERROR(INDEX(MASTER_JAM!$E$5:$E$94,MATCH($D5,MASTER_JAM!$A$5:$A$94,0)),"")</f>
        <v/>
      </c>
      <c r="K5" s="158">
        <f>IFERROR(INDEX(MASTER_JAM!$J$5:$O$12,MATCH($E5,MASTER_JAM!$I$5:$I$12,0),MATCH($J5,MASTER_JAM!$J$4:$O$4,0))+0,0)</f>
        <v/>
      </c>
      <c r="L5" s="159">
        <f>N($F5)*$K5</f>
        <v/>
      </c>
      <c r="M5" s="157">
        <f>IF($E5="","",IF(OR($E5="Coal",$E5="Dirty Coal"),"MT","BCM"))</f>
        <v/>
      </c>
      <c r="N5" s="157">
        <f>IF($E5="","",IF(OR($E5="Coal",$E5="Dirty Coal"),"Coal","OB"))</f>
        <v/>
      </c>
      <c r="O5" s="157">
        <f>IF($F5="","",IF(COUNTIF(MASTER_JAM!$A$5:$A$94,$C5)=0,"Digger tidak dikenal",IF($J5="","Hauler tidak dikenal",IF($H5="?","Jam salah",IF($K5=0,"Faktor kosong",IF(SUMIFS(INPUT_DELAY!$E$5:$E$20000,INPUT_DELAY!$A$5:$A$20000,$A5,INPUT_DELAY!$B$5:$B$20000,$B5,INPUT_DELAY!$C$5:$C$20000,$C5)+SUMIFS(INPUT_DELAY!$E$5:$E$20000,INPUT_DELAY!$A$5:$A$20000,$A5,INPUT_DELAY!$B$5:$B$20000,$B5,INPUT_DELAY!$C$5:$C$20000,"SEMUA")&gt;=60,"Delay 60 mnt tapi ada ritase","OK"))))))</f>
        <v/>
      </c>
      <c r="P5" s="158">
        <f>IFERROR(INDEX(MASTER_JAM!$Z$5:$AC$10,MATCH($I5,MASTER_JAM!$Y$5:$Y$10,0),MATCH($J5,MASTER_JAM!$Z$4:$AC$4,0))+0,0)</f>
        <v/>
      </c>
      <c r="Q5" s="158" t="n"/>
      <c r="R5" s="158">
        <f>IF(N($F5)=0,0,$F5/SUMIFS(INPUT_RITASE!$F$5:$F$20000,INPUT_RITASE!$A$5:$A$20000,$A5,INPUT_RITASE!$B$5:$B$20000,$B5,INPUT_RITASE!$C$5:$C$20000,$C5,INPUT_RITASE!$D$5:$D$20000,$D5))</f>
        <v/>
      </c>
      <c r="S5" s="158">
        <f>IF($Q5=0,0,$R5*$P5/$Q5)</f>
        <v/>
      </c>
      <c r="V5" s="160">
        <f>IF($P5=0,0,$P5+IFERROR(INDEX(MASTER_JAM!$H$5:$H$94,MATCH($C5,MASTER_JAM!$A$5:$A$94,0))+0,MASTER_JAM!$AC$15)/1000*(60/MASTER_JAM!$AC$12+60/MASTER_JAM!$AC$13)+MASTER_JAM!$AC$14)</f>
        <v/>
      </c>
    </row>
    <row r="6">
      <c r="A6" s="155" t="n">
        <v>46104</v>
      </c>
      <c r="B6" s="156" t="inlineStr">
        <is>
          <t>06-07</t>
        </is>
      </c>
      <c r="C6" s="156" t="inlineStr">
        <is>
          <t>EX-1251</t>
        </is>
      </c>
      <c r="D6" s="156" t="inlineStr">
        <is>
          <t>DT-508</t>
        </is>
      </c>
      <c r="E6" s="156" t="inlineStr">
        <is>
          <t>OB</t>
        </is>
      </c>
      <c r="F6" s="156" t="n">
        <v>4</v>
      </c>
      <c r="G6" s="156" t="inlineStr"/>
      <c r="H6" s="157">
        <f>IF($B6="","",IF(ISNA(MATCH($B6,MASTER_JAM!$Q$5:$Q$28,0)),"?",IF(MATCH($B6,MASTER_JAM!$Q$5:$Q$28,0)&lt;=12,"DS","NS")))</f>
        <v/>
      </c>
      <c r="I6" s="157">
        <f>IFERROR(INDEX(MASTER_JAM!$B$5:$B$94,MATCH($C6,MASTER_JAM!$A$5:$A$94,0)),"")</f>
        <v/>
      </c>
      <c r="J6" s="157">
        <f>IFERROR(INDEX(MASTER_JAM!$E$5:$E$94,MATCH($D6,MASTER_JAM!$A$5:$A$94,0)),"")</f>
        <v/>
      </c>
      <c r="K6" s="158">
        <f>IFERROR(INDEX(MASTER_JAM!$J$5:$O$12,MATCH($E6,MASTER_JAM!$I$5:$I$12,0),MATCH($J6,MASTER_JAM!$J$4:$O$4,0))+0,0)</f>
        <v/>
      </c>
      <c r="L6" s="159">
        <f>N($F6)*$K6</f>
        <v/>
      </c>
      <c r="M6" s="157">
        <f>IF($E6="","",IF(OR($E6="Coal",$E6="Dirty Coal"),"MT","BCM"))</f>
        <v/>
      </c>
      <c r="N6" s="157">
        <f>IF($E6="","",IF(OR($E6="Coal",$E6="Dirty Coal"),"Coal","OB"))</f>
        <v/>
      </c>
      <c r="O6" s="157">
        <f>IF($F6="","",IF(COUNTIF(MASTER_JAM!$A$5:$A$94,$C6)=0,"Digger tidak dikenal",IF($J6="","Hauler tidak dikenal",IF($H6="?","Jam salah",IF($K6=0,"Faktor kosong",IF(SUMIFS(INPUT_DELAY!$E$5:$E$20000,INPUT_DELAY!$A$5:$A$20000,$A6,INPUT_DELAY!$B$5:$B$20000,$B6,INPUT_DELAY!$C$5:$C$20000,$C6)+SUMIFS(INPUT_DELAY!$E$5:$E$20000,INPUT_DELAY!$A$5:$A$20000,$A6,INPUT_DELAY!$B$5:$B$20000,$B6,INPUT_DELAY!$C$5:$C$20000,"SEMUA")&gt;=60,"Delay 60 mnt tapi ada ritase","OK"))))))</f>
        <v/>
      </c>
      <c r="P6" s="158">
        <f>IFERROR(INDEX(MASTER_JAM!$Z$5:$AC$10,MATCH($I6,MASTER_JAM!$Y$5:$Y$10,0),MATCH($J6,MASTER_JAM!$Z$4:$AC$4,0))+0,0)</f>
        <v/>
      </c>
      <c r="Q6" s="158">
        <f>IF($P6=0,0,$P6+IFERROR(INDEX(MASTER_JAM!$H$5:$H$94,MATCH($C6,MASTER_JAM!$A$5:$A$94,0))+0,MASTER_JAM!$AC$15)/1000*(60/MASTER_JAM!$AC$12+60/MASTER_JAM!$AC$13)+MASTER_JAM!$AC$14)</f>
        <v/>
      </c>
      <c r="R6" s="158">
        <f>IF(N($F6)=0,0,$F6/SUMIFS(INPUT_RITASE!$F$5:$F$20000,INPUT_RITASE!$A$5:$A$20000,$A6,INPUT_RITASE!$B$5:$B$20000,$B6,INPUT_RITASE!$C$5:$C$20000,$C6,INPUT_RITASE!$D$5:$D$20000,$D6))</f>
        <v/>
      </c>
      <c r="S6" s="158">
        <f>IF($Q6=0,0,$R6*$P6/$Q6)</f>
        <v/>
      </c>
    </row>
    <row r="7">
      <c r="A7" s="155" t="n">
        <v>46104</v>
      </c>
      <c r="B7" s="156" t="inlineStr">
        <is>
          <t>06-07</t>
        </is>
      </c>
      <c r="C7" s="156" t="inlineStr">
        <is>
          <t>EX-1251</t>
        </is>
      </c>
      <c r="D7" s="156" t="inlineStr">
        <is>
          <t>DT-501</t>
        </is>
      </c>
      <c r="E7" s="156" t="inlineStr">
        <is>
          <t>OB</t>
        </is>
      </c>
      <c r="F7" s="156" t="n">
        <v>4</v>
      </c>
      <c r="G7" s="156" t="inlineStr"/>
      <c r="H7" s="157">
        <f>IF($B7="","",IF(ISNA(MATCH($B7,MASTER_JAM!$Q$5:$Q$28,0)),"?",IF(MATCH($B7,MASTER_JAM!$Q$5:$Q$28,0)&lt;=12,"DS","NS")))</f>
        <v/>
      </c>
      <c r="I7" s="157">
        <f>IFERROR(INDEX(MASTER_JAM!$B$5:$B$94,MATCH($C7,MASTER_JAM!$A$5:$A$94,0)),"")</f>
        <v/>
      </c>
      <c r="J7" s="157">
        <f>IFERROR(INDEX(MASTER_JAM!$E$5:$E$94,MATCH($D7,MASTER_JAM!$A$5:$A$94,0)),"")</f>
        <v/>
      </c>
      <c r="K7" s="158">
        <f>IFERROR(INDEX(MASTER_JAM!$J$5:$O$12,MATCH($E7,MASTER_JAM!$I$5:$I$12,0),MATCH($J7,MASTER_JAM!$J$4:$O$4,0))+0,0)</f>
        <v/>
      </c>
      <c r="L7" s="159">
        <f>N($F7)*$K7</f>
        <v/>
      </c>
      <c r="M7" s="157">
        <f>IF($E7="","",IF(OR($E7="Coal",$E7="Dirty Coal"),"MT","BCM"))</f>
        <v/>
      </c>
      <c r="N7" s="157">
        <f>IF($E7="","",IF(OR($E7="Coal",$E7="Dirty Coal"),"Coal","OB"))</f>
        <v/>
      </c>
      <c r="O7" s="157">
        <f>IF($F7="","",IF(COUNTIF(MASTER_JAM!$A$5:$A$94,$C7)=0,"Digger tidak dikenal",IF($J7="","Hauler tidak dikenal",IF($H7="?","Jam salah",IF($K7=0,"Faktor kosong",IF(SUMIFS(INPUT_DELAY!$E$5:$E$20000,INPUT_DELAY!$A$5:$A$20000,$A7,INPUT_DELAY!$B$5:$B$20000,$B7,INPUT_DELAY!$C$5:$C$20000,$C7)+SUMIFS(INPUT_DELAY!$E$5:$E$20000,INPUT_DELAY!$A$5:$A$20000,$A7,INPUT_DELAY!$B$5:$B$20000,$B7,INPUT_DELAY!$C$5:$C$20000,"SEMUA")&gt;=60,"Delay 60 mnt tapi ada ritase","OK"))))))</f>
        <v/>
      </c>
      <c r="P7" s="158">
        <f>IFERROR(INDEX(MASTER_JAM!$Z$5:$AC$10,MATCH($I7,MASTER_JAM!$Y$5:$Y$10,0),MATCH($J7,MASTER_JAM!$Z$4:$AC$4,0))+0,0)</f>
        <v/>
      </c>
      <c r="Q7" s="158">
        <f>IF($P7=0,0,$P7+IFERROR(INDEX(MASTER_JAM!$H$5:$H$94,MATCH($C7,MASTER_JAM!$A$5:$A$94,0))+0,MASTER_JAM!$AC$15)/1000*(60/MASTER_JAM!$AC$12+60/MASTER_JAM!$AC$13)+MASTER_JAM!$AC$14)</f>
        <v/>
      </c>
      <c r="R7" s="158">
        <f>IF(N($F7)=0,0,$F7/SUMIFS(INPUT_RITASE!$F$5:$F$20000,INPUT_RITASE!$A$5:$A$20000,$A7,INPUT_RITASE!$B$5:$B$20000,$B7,INPUT_RITASE!$C$5:$C$20000,$C7,INPUT_RITASE!$D$5:$D$20000,$D7))</f>
        <v/>
      </c>
      <c r="S7" s="158">
        <f>IF($Q7=0,0,$R7*$P7/$Q7)</f>
        <v/>
      </c>
    </row>
    <row r="8">
      <c r="A8" s="155" t="n">
        <v>46104</v>
      </c>
      <c r="B8" s="156" t="inlineStr">
        <is>
          <t>06-07</t>
        </is>
      </c>
      <c r="C8" s="156" t="inlineStr">
        <is>
          <t>EX-1251</t>
        </is>
      </c>
      <c r="D8" s="156" t="inlineStr">
        <is>
          <t>DT-524</t>
        </is>
      </c>
      <c r="E8" s="156" t="inlineStr">
        <is>
          <t>OB</t>
        </is>
      </c>
      <c r="F8" s="156" t="n">
        <v>4</v>
      </c>
      <c r="G8" s="156" t="inlineStr"/>
      <c r="H8" s="157">
        <f>IF($B8="","",IF(ISNA(MATCH($B8,MASTER_JAM!$Q$5:$Q$28,0)),"?",IF(MATCH($B8,MASTER_JAM!$Q$5:$Q$28,0)&lt;=12,"DS","NS")))</f>
        <v/>
      </c>
      <c r="I8" s="157">
        <f>IFERROR(INDEX(MASTER_JAM!$B$5:$B$94,MATCH($C8,MASTER_JAM!$A$5:$A$94,0)),"")</f>
        <v/>
      </c>
      <c r="J8" s="157">
        <f>IFERROR(INDEX(MASTER_JAM!$E$5:$E$94,MATCH($D8,MASTER_JAM!$A$5:$A$94,0)),"")</f>
        <v/>
      </c>
      <c r="K8" s="158">
        <f>IFERROR(INDEX(MASTER_JAM!$J$5:$O$12,MATCH($E8,MASTER_JAM!$I$5:$I$12,0),MATCH($J8,MASTER_JAM!$J$4:$O$4,0))+0,0)</f>
        <v/>
      </c>
      <c r="L8" s="159">
        <f>N($F8)*$K8</f>
        <v/>
      </c>
      <c r="M8" s="157">
        <f>IF($E8="","",IF(OR($E8="Coal",$E8="Dirty Coal"),"MT","BCM"))</f>
        <v/>
      </c>
      <c r="N8" s="157">
        <f>IF($E8="","",IF(OR($E8="Coal",$E8="Dirty Coal"),"Coal","OB"))</f>
        <v/>
      </c>
      <c r="O8" s="157">
        <f>IF($F8="","",IF(COUNTIF(MASTER_JAM!$A$5:$A$94,$C8)=0,"Digger tidak dikenal",IF($J8="","Hauler tidak dikenal",IF($H8="?","Jam salah",IF($K8=0,"Faktor kosong",IF(SUMIFS(INPUT_DELAY!$E$5:$E$20000,INPUT_DELAY!$A$5:$A$20000,$A8,INPUT_DELAY!$B$5:$B$20000,$B8,INPUT_DELAY!$C$5:$C$20000,$C8)+SUMIFS(INPUT_DELAY!$E$5:$E$20000,INPUT_DELAY!$A$5:$A$20000,$A8,INPUT_DELAY!$B$5:$B$20000,$B8,INPUT_DELAY!$C$5:$C$20000,"SEMUA")&gt;=60,"Delay 60 mnt tapi ada ritase","OK"))))))</f>
        <v/>
      </c>
      <c r="P8" s="158">
        <f>IFERROR(INDEX(MASTER_JAM!$Z$5:$AC$10,MATCH($I8,MASTER_JAM!$Y$5:$Y$10,0),MATCH($J8,MASTER_JAM!$Z$4:$AC$4,0))+0,0)</f>
        <v/>
      </c>
      <c r="Q8" s="158">
        <f>IF($P8=0,0,$P8+IFERROR(INDEX(MASTER_JAM!$H$5:$H$94,MATCH($C8,MASTER_JAM!$A$5:$A$94,0))+0,MASTER_JAM!$AC$15)/1000*(60/MASTER_JAM!$AC$12+60/MASTER_JAM!$AC$13)+MASTER_JAM!$AC$14)</f>
        <v/>
      </c>
      <c r="R8" s="158">
        <f>IF(N($F8)=0,0,$F8/SUMIFS(INPUT_RITASE!$F$5:$F$20000,INPUT_RITASE!$A$5:$A$20000,$A8,INPUT_RITASE!$B$5:$B$20000,$B8,INPUT_RITASE!$C$5:$C$20000,$C8,INPUT_RITASE!$D$5:$D$20000,$D8))</f>
        <v/>
      </c>
      <c r="S8" s="158">
        <f>IF($Q8=0,0,$R8*$P8/$Q8)</f>
        <v/>
      </c>
    </row>
    <row r="9">
      <c r="A9" s="155" t="n">
        <v>46104</v>
      </c>
      <c r="B9" s="156" t="inlineStr">
        <is>
          <t>06-07</t>
        </is>
      </c>
      <c r="C9" s="156" t="inlineStr">
        <is>
          <t>EX-1251</t>
        </is>
      </c>
      <c r="D9" s="156" t="inlineStr">
        <is>
          <t>DT-504</t>
        </is>
      </c>
      <c r="E9" s="156" t="inlineStr">
        <is>
          <t>OB</t>
        </is>
      </c>
      <c r="F9" s="156" t="n">
        <v>4</v>
      </c>
      <c r="G9" s="156" t="inlineStr"/>
      <c r="H9" s="157">
        <f>IF($B9="","",IF(ISNA(MATCH($B9,MASTER_JAM!$Q$5:$Q$28,0)),"?",IF(MATCH($B9,MASTER_JAM!$Q$5:$Q$28,0)&lt;=12,"DS","NS")))</f>
        <v/>
      </c>
      <c r="I9" s="157">
        <f>IFERROR(INDEX(MASTER_JAM!$B$5:$B$94,MATCH($C9,MASTER_JAM!$A$5:$A$94,0)),"")</f>
        <v/>
      </c>
      <c r="J9" s="157">
        <f>IFERROR(INDEX(MASTER_JAM!$E$5:$E$94,MATCH($D9,MASTER_JAM!$A$5:$A$94,0)),"")</f>
        <v/>
      </c>
      <c r="K9" s="158">
        <f>IFERROR(INDEX(MASTER_JAM!$J$5:$O$12,MATCH($E9,MASTER_JAM!$I$5:$I$12,0),MATCH($J9,MASTER_JAM!$J$4:$O$4,0))+0,0)</f>
        <v/>
      </c>
      <c r="L9" s="159">
        <f>N($F9)*$K9</f>
        <v/>
      </c>
      <c r="M9" s="157">
        <f>IF($E9="","",IF(OR($E9="Coal",$E9="Dirty Coal"),"MT","BCM"))</f>
        <v/>
      </c>
      <c r="N9" s="157">
        <f>IF($E9="","",IF(OR($E9="Coal",$E9="Dirty Coal"),"Coal","OB"))</f>
        <v/>
      </c>
      <c r="O9" s="157">
        <f>IF($F9="","",IF(COUNTIF(MASTER_JAM!$A$5:$A$94,$C9)=0,"Digger tidak dikenal",IF($J9="","Hauler tidak dikenal",IF($H9="?","Jam salah",IF($K9=0,"Faktor kosong",IF(SUMIFS(INPUT_DELAY!$E$5:$E$20000,INPUT_DELAY!$A$5:$A$20000,$A9,INPUT_DELAY!$B$5:$B$20000,$B9,INPUT_DELAY!$C$5:$C$20000,$C9)+SUMIFS(INPUT_DELAY!$E$5:$E$20000,INPUT_DELAY!$A$5:$A$20000,$A9,INPUT_DELAY!$B$5:$B$20000,$B9,INPUT_DELAY!$C$5:$C$20000,"SEMUA")&gt;=60,"Delay 60 mnt tapi ada ritase","OK"))))))</f>
        <v/>
      </c>
      <c r="P9" s="158">
        <f>IFERROR(INDEX(MASTER_JAM!$Z$5:$AC$10,MATCH($I9,MASTER_JAM!$Y$5:$Y$10,0),MATCH($J9,MASTER_JAM!$Z$4:$AC$4,0))+0,0)</f>
        <v/>
      </c>
      <c r="Q9" s="158">
        <f>IF($P9=0,0,$P9+IFERROR(INDEX(MASTER_JAM!$H$5:$H$94,MATCH($C9,MASTER_JAM!$A$5:$A$94,0))+0,MASTER_JAM!$AC$15)/1000*(60/MASTER_JAM!$AC$12+60/MASTER_JAM!$AC$13)+MASTER_JAM!$AC$14)</f>
        <v/>
      </c>
      <c r="R9" s="158">
        <f>IF(N($F9)=0,0,$F9/SUMIFS(INPUT_RITASE!$F$5:$F$20000,INPUT_RITASE!$A$5:$A$20000,$A9,INPUT_RITASE!$B$5:$B$20000,$B9,INPUT_RITASE!$C$5:$C$20000,$C9,INPUT_RITASE!$D$5:$D$20000,$D9))</f>
        <v/>
      </c>
      <c r="S9" s="158">
        <f>IF($Q9=0,0,$R9*$P9/$Q9)</f>
        <v/>
      </c>
    </row>
    <row r="10">
      <c r="A10" s="155" t="n">
        <v>46104</v>
      </c>
      <c r="B10" s="156" t="inlineStr">
        <is>
          <t>06-07</t>
        </is>
      </c>
      <c r="C10" s="156" t="inlineStr">
        <is>
          <t>EX-1251</t>
        </is>
      </c>
      <c r="D10" s="156" t="inlineStr">
        <is>
          <t>DT-516</t>
        </is>
      </c>
      <c r="E10" s="156" t="inlineStr">
        <is>
          <t>OB</t>
        </is>
      </c>
      <c r="F10" s="156" t="n">
        <v>4</v>
      </c>
      <c r="G10" s="156" t="inlineStr"/>
      <c r="H10" s="157">
        <f>IF($B10="","",IF(ISNA(MATCH($B10,MASTER_JAM!$Q$5:$Q$28,0)),"?",IF(MATCH($B10,MASTER_JAM!$Q$5:$Q$28,0)&lt;=12,"DS","NS")))</f>
        <v/>
      </c>
      <c r="I10" s="157">
        <f>IFERROR(INDEX(MASTER_JAM!$B$5:$B$94,MATCH($C10,MASTER_JAM!$A$5:$A$94,0)),"")</f>
        <v/>
      </c>
      <c r="J10" s="157">
        <f>IFERROR(INDEX(MASTER_JAM!$E$5:$E$94,MATCH($D10,MASTER_JAM!$A$5:$A$94,0)),"")</f>
        <v/>
      </c>
      <c r="K10" s="158">
        <f>IFERROR(INDEX(MASTER_JAM!$J$5:$O$12,MATCH($E10,MASTER_JAM!$I$5:$I$12,0),MATCH($J10,MASTER_JAM!$J$4:$O$4,0))+0,0)</f>
        <v/>
      </c>
      <c r="L10" s="159">
        <f>N($F10)*$K10</f>
        <v/>
      </c>
      <c r="M10" s="157">
        <f>IF($E10="","",IF(OR($E10="Coal",$E10="Dirty Coal"),"MT","BCM"))</f>
        <v/>
      </c>
      <c r="N10" s="157">
        <f>IF($E10="","",IF(OR($E10="Coal",$E10="Dirty Coal"),"Coal","OB"))</f>
        <v/>
      </c>
      <c r="O10" s="157">
        <f>IF($F10="","",IF(COUNTIF(MASTER_JAM!$A$5:$A$94,$C10)=0,"Digger tidak dikenal",IF($J10="","Hauler tidak dikenal",IF($H10="?","Jam salah",IF($K10=0,"Faktor kosong",IF(SUMIFS(INPUT_DELAY!$E$5:$E$20000,INPUT_DELAY!$A$5:$A$20000,$A10,INPUT_DELAY!$B$5:$B$20000,$B10,INPUT_DELAY!$C$5:$C$20000,$C10)+SUMIFS(INPUT_DELAY!$E$5:$E$20000,INPUT_DELAY!$A$5:$A$20000,$A10,INPUT_DELAY!$B$5:$B$20000,$B10,INPUT_DELAY!$C$5:$C$20000,"SEMUA")&gt;=60,"Delay 60 mnt tapi ada ritase","OK"))))))</f>
        <v/>
      </c>
      <c r="P10" s="158">
        <f>IFERROR(INDEX(MASTER_JAM!$Z$5:$AC$10,MATCH($I10,MASTER_JAM!$Y$5:$Y$10,0),MATCH($J10,MASTER_JAM!$Z$4:$AC$4,0))+0,0)</f>
        <v/>
      </c>
      <c r="Q10" s="158">
        <f>IF($P10=0,0,$P10+IFERROR(INDEX(MASTER_JAM!$H$5:$H$94,MATCH($C10,MASTER_JAM!$A$5:$A$94,0))+0,MASTER_JAM!$AC$15)/1000*(60/MASTER_JAM!$AC$12+60/MASTER_JAM!$AC$13)+MASTER_JAM!$AC$14)</f>
        <v/>
      </c>
      <c r="R10" s="158">
        <f>IF(N($F10)=0,0,$F10/SUMIFS(INPUT_RITASE!$F$5:$F$20000,INPUT_RITASE!$A$5:$A$20000,$A10,INPUT_RITASE!$B$5:$B$20000,$B10,INPUT_RITASE!$C$5:$C$20000,$C10,INPUT_RITASE!$D$5:$D$20000,$D10))</f>
        <v/>
      </c>
      <c r="S10" s="158">
        <f>IF($Q10=0,0,$R10*$P10/$Q10)</f>
        <v/>
      </c>
    </row>
    <row r="11">
      <c r="A11" s="155" t="n">
        <v>46104</v>
      </c>
      <c r="B11" s="156" t="inlineStr">
        <is>
          <t>06-07</t>
        </is>
      </c>
      <c r="C11" s="156" t="inlineStr">
        <is>
          <t>EX-1251</t>
        </is>
      </c>
      <c r="D11" s="156" t="inlineStr">
        <is>
          <t>DT-522</t>
        </is>
      </c>
      <c r="E11" s="156" t="inlineStr">
        <is>
          <t>OB</t>
        </is>
      </c>
      <c r="F11" s="156" t="n">
        <v>3</v>
      </c>
      <c r="G11" s="156" t="inlineStr"/>
      <c r="H11" s="157">
        <f>IF($B11="","",IF(ISNA(MATCH($B11,MASTER_JAM!$Q$5:$Q$28,0)),"?",IF(MATCH($B11,MASTER_JAM!$Q$5:$Q$28,0)&lt;=12,"DS","NS")))</f>
        <v/>
      </c>
      <c r="I11" s="157">
        <f>IFERROR(INDEX(MASTER_JAM!$B$5:$B$94,MATCH($C11,MASTER_JAM!$A$5:$A$94,0)),"")</f>
        <v/>
      </c>
      <c r="J11" s="157">
        <f>IFERROR(INDEX(MASTER_JAM!$E$5:$E$94,MATCH($D11,MASTER_JAM!$A$5:$A$94,0)),"")</f>
        <v/>
      </c>
      <c r="K11" s="158">
        <f>IFERROR(INDEX(MASTER_JAM!$J$5:$O$12,MATCH($E11,MASTER_JAM!$I$5:$I$12,0),MATCH($J11,MASTER_JAM!$J$4:$O$4,0))+0,0)</f>
        <v/>
      </c>
      <c r="L11" s="159">
        <f>N($F11)*$K11</f>
        <v/>
      </c>
      <c r="M11" s="157">
        <f>IF($E11="","",IF(OR($E11="Coal",$E11="Dirty Coal"),"MT","BCM"))</f>
        <v/>
      </c>
      <c r="N11" s="157">
        <f>IF($E11="","",IF(OR($E11="Coal",$E11="Dirty Coal"),"Coal","OB"))</f>
        <v/>
      </c>
      <c r="O11" s="157">
        <f>IF($F11="","",IF(COUNTIF(MASTER_JAM!$A$5:$A$94,$C11)=0,"Digger tidak dikenal",IF($J11="","Hauler tidak dikenal",IF($H11="?","Jam salah",IF($K11=0,"Faktor kosong",IF(SUMIFS(INPUT_DELAY!$E$5:$E$20000,INPUT_DELAY!$A$5:$A$20000,$A11,INPUT_DELAY!$B$5:$B$20000,$B11,INPUT_DELAY!$C$5:$C$20000,$C11)+SUMIFS(INPUT_DELAY!$E$5:$E$20000,INPUT_DELAY!$A$5:$A$20000,$A11,INPUT_DELAY!$B$5:$B$20000,$B11,INPUT_DELAY!$C$5:$C$20000,"SEMUA")&gt;=60,"Delay 60 mnt tapi ada ritase","OK"))))))</f>
        <v/>
      </c>
      <c r="P11" s="158">
        <f>IFERROR(INDEX(MASTER_JAM!$Z$5:$AC$10,MATCH($I11,MASTER_JAM!$Y$5:$Y$10,0),MATCH($J11,MASTER_JAM!$Z$4:$AC$4,0))+0,0)</f>
        <v/>
      </c>
      <c r="Q11" s="158">
        <f>IF($P11=0,0,$P11+IFERROR(INDEX(MASTER_JAM!$H$5:$H$94,MATCH($C11,MASTER_JAM!$A$5:$A$94,0))+0,MASTER_JAM!$AC$15)/1000*(60/MASTER_JAM!$AC$12+60/MASTER_JAM!$AC$13)+MASTER_JAM!$AC$14)</f>
        <v/>
      </c>
      <c r="R11" s="158">
        <f>IF(N($F11)=0,0,$F11/SUMIFS(INPUT_RITASE!$F$5:$F$20000,INPUT_RITASE!$A$5:$A$20000,$A11,INPUT_RITASE!$B$5:$B$20000,$B11,INPUT_RITASE!$C$5:$C$20000,$C11,INPUT_RITASE!$D$5:$D$20000,$D11))</f>
        <v/>
      </c>
      <c r="S11" s="158">
        <f>IF($Q11=0,0,$R11*$P11/$Q11)</f>
        <v/>
      </c>
    </row>
    <row r="12">
      <c r="A12" s="155" t="n">
        <v>46104</v>
      </c>
      <c r="B12" s="156" t="inlineStr">
        <is>
          <t>07-08</t>
        </is>
      </c>
      <c r="C12" s="156" t="inlineStr">
        <is>
          <t>EX-1251</t>
        </is>
      </c>
      <c r="D12" s="156" t="inlineStr">
        <is>
          <t>DT-510</t>
        </is>
      </c>
      <c r="E12" s="156" t="inlineStr">
        <is>
          <t>OB</t>
        </is>
      </c>
      <c r="F12" s="156" t="n">
        <v>4</v>
      </c>
      <c r="G12" s="156" t="inlineStr"/>
      <c r="H12" s="157">
        <f>IF($B12="","",IF(ISNA(MATCH($B12,MASTER_JAM!$Q$5:$Q$28,0)),"?",IF(MATCH($B12,MASTER_JAM!$Q$5:$Q$28,0)&lt;=12,"DS","NS")))</f>
        <v/>
      </c>
      <c r="I12" s="157">
        <f>IFERROR(INDEX(MASTER_JAM!$B$5:$B$94,MATCH($C12,MASTER_JAM!$A$5:$A$94,0)),"")</f>
        <v/>
      </c>
      <c r="J12" s="157">
        <f>IFERROR(INDEX(MASTER_JAM!$E$5:$E$94,MATCH($D12,MASTER_JAM!$A$5:$A$94,0)),"")</f>
        <v/>
      </c>
      <c r="K12" s="158">
        <f>IFERROR(INDEX(MASTER_JAM!$J$5:$O$12,MATCH($E12,MASTER_JAM!$I$5:$I$12,0),MATCH($J12,MASTER_JAM!$J$4:$O$4,0))+0,0)</f>
        <v/>
      </c>
      <c r="L12" s="159">
        <f>N($F12)*$K12</f>
        <v/>
      </c>
      <c r="M12" s="157">
        <f>IF($E12="","",IF(OR($E12="Coal",$E12="Dirty Coal"),"MT","BCM"))</f>
        <v/>
      </c>
      <c r="N12" s="157">
        <f>IF($E12="","",IF(OR($E12="Coal",$E12="Dirty Coal"),"Coal","OB"))</f>
        <v/>
      </c>
      <c r="O12" s="157">
        <f>IF($F12="","",IF(COUNTIF(MASTER_JAM!$A$5:$A$94,$C12)=0,"Digger tidak dikenal",IF($J12="","Hauler tidak dikenal",IF($H12="?","Jam salah",IF($K12=0,"Faktor kosong",IF(SUMIFS(INPUT_DELAY!$E$5:$E$20000,INPUT_DELAY!$A$5:$A$20000,$A12,INPUT_DELAY!$B$5:$B$20000,$B12,INPUT_DELAY!$C$5:$C$20000,$C12)+SUMIFS(INPUT_DELAY!$E$5:$E$20000,INPUT_DELAY!$A$5:$A$20000,$A12,INPUT_DELAY!$B$5:$B$20000,$B12,INPUT_DELAY!$C$5:$C$20000,"SEMUA")&gt;=60,"Delay 60 mnt tapi ada ritase","OK"))))))</f>
        <v/>
      </c>
      <c r="P12" s="158">
        <f>IFERROR(INDEX(MASTER_JAM!$Z$5:$AC$10,MATCH($I12,MASTER_JAM!$Y$5:$Y$10,0),MATCH($J12,MASTER_JAM!$Z$4:$AC$4,0))+0,0)</f>
        <v/>
      </c>
      <c r="Q12" s="158">
        <f>IF($P12=0,0,$P12+IFERROR(INDEX(MASTER_JAM!$H$5:$H$94,MATCH($C12,MASTER_JAM!$A$5:$A$94,0))+0,MASTER_JAM!$AC$15)/1000*(60/MASTER_JAM!$AC$12+60/MASTER_JAM!$AC$13)+MASTER_JAM!$AC$14)</f>
        <v/>
      </c>
      <c r="R12" s="158">
        <f>IF(N($F12)=0,0,$F12/SUMIFS(INPUT_RITASE!$F$5:$F$20000,INPUT_RITASE!$A$5:$A$20000,$A12,INPUT_RITASE!$B$5:$B$20000,$B12,INPUT_RITASE!$C$5:$C$20000,$C12,INPUT_RITASE!$D$5:$D$20000,$D12))</f>
        <v/>
      </c>
      <c r="S12" s="158">
        <f>IF($Q12=0,0,$R12*$P12/$Q12)</f>
        <v/>
      </c>
    </row>
    <row r="13">
      <c r="A13" s="155" t="n">
        <v>46104</v>
      </c>
      <c r="B13" s="156" t="inlineStr">
        <is>
          <t>07-08</t>
        </is>
      </c>
      <c r="C13" s="156" t="inlineStr">
        <is>
          <t>EX-1251</t>
        </is>
      </c>
      <c r="D13" s="156" t="inlineStr">
        <is>
          <t>DT-501</t>
        </is>
      </c>
      <c r="E13" s="156" t="inlineStr">
        <is>
          <t>OB</t>
        </is>
      </c>
      <c r="F13" s="156" t="n">
        <v>4</v>
      </c>
      <c r="G13" s="156" t="inlineStr"/>
      <c r="H13" s="157">
        <f>IF($B13="","",IF(ISNA(MATCH($B13,MASTER_JAM!$Q$5:$Q$28,0)),"?",IF(MATCH($B13,MASTER_JAM!$Q$5:$Q$28,0)&lt;=12,"DS","NS")))</f>
        <v/>
      </c>
      <c r="I13" s="157">
        <f>IFERROR(INDEX(MASTER_JAM!$B$5:$B$94,MATCH($C13,MASTER_JAM!$A$5:$A$94,0)),"")</f>
        <v/>
      </c>
      <c r="J13" s="157">
        <f>IFERROR(INDEX(MASTER_JAM!$E$5:$E$94,MATCH($D13,MASTER_JAM!$A$5:$A$94,0)),"")</f>
        <v/>
      </c>
      <c r="K13" s="158">
        <f>IFERROR(INDEX(MASTER_JAM!$J$5:$O$12,MATCH($E13,MASTER_JAM!$I$5:$I$12,0),MATCH($J13,MASTER_JAM!$J$4:$O$4,0))+0,0)</f>
        <v/>
      </c>
      <c r="L13" s="159">
        <f>N($F13)*$K13</f>
        <v/>
      </c>
      <c r="M13" s="157">
        <f>IF($E13="","",IF(OR($E13="Coal",$E13="Dirty Coal"),"MT","BCM"))</f>
        <v/>
      </c>
      <c r="N13" s="157">
        <f>IF($E13="","",IF(OR($E13="Coal",$E13="Dirty Coal"),"Coal","OB"))</f>
        <v/>
      </c>
      <c r="O13" s="157">
        <f>IF($F13="","",IF(COUNTIF(MASTER_JAM!$A$5:$A$94,$C13)=0,"Digger tidak dikenal",IF($J13="","Hauler tidak dikenal",IF($H13="?","Jam salah",IF($K13=0,"Faktor kosong",IF(SUMIFS(INPUT_DELAY!$E$5:$E$20000,INPUT_DELAY!$A$5:$A$20000,$A13,INPUT_DELAY!$B$5:$B$20000,$B13,INPUT_DELAY!$C$5:$C$20000,$C13)+SUMIFS(INPUT_DELAY!$E$5:$E$20000,INPUT_DELAY!$A$5:$A$20000,$A13,INPUT_DELAY!$B$5:$B$20000,$B13,INPUT_DELAY!$C$5:$C$20000,"SEMUA")&gt;=60,"Delay 60 mnt tapi ada ritase","OK"))))))</f>
        <v/>
      </c>
      <c r="P13" s="158">
        <f>IFERROR(INDEX(MASTER_JAM!$Z$5:$AC$10,MATCH($I13,MASTER_JAM!$Y$5:$Y$10,0),MATCH($J13,MASTER_JAM!$Z$4:$AC$4,0))+0,0)</f>
        <v/>
      </c>
      <c r="Q13" s="158">
        <f>IF($P13=0,0,$P13+IFERROR(INDEX(MASTER_JAM!$H$5:$H$94,MATCH($C13,MASTER_JAM!$A$5:$A$94,0))+0,MASTER_JAM!$AC$15)/1000*(60/MASTER_JAM!$AC$12+60/MASTER_JAM!$AC$13)+MASTER_JAM!$AC$14)</f>
        <v/>
      </c>
      <c r="R13" s="158">
        <f>IF(N($F13)=0,0,$F13/SUMIFS(INPUT_RITASE!$F$5:$F$20000,INPUT_RITASE!$A$5:$A$20000,$A13,INPUT_RITASE!$B$5:$B$20000,$B13,INPUT_RITASE!$C$5:$C$20000,$C13,INPUT_RITASE!$D$5:$D$20000,$D13))</f>
        <v/>
      </c>
      <c r="S13" s="158">
        <f>IF($Q13=0,0,$R13*$P13/$Q13)</f>
        <v/>
      </c>
    </row>
    <row r="14">
      <c r="A14" s="155" t="n">
        <v>46104</v>
      </c>
      <c r="B14" s="156" t="inlineStr">
        <is>
          <t>07-08</t>
        </is>
      </c>
      <c r="C14" s="156" t="inlineStr">
        <is>
          <t>EX-1251</t>
        </is>
      </c>
      <c r="D14" s="156" t="inlineStr">
        <is>
          <t>DT-527</t>
        </is>
      </c>
      <c r="E14" s="156" t="inlineStr">
        <is>
          <t>OB</t>
        </is>
      </c>
      <c r="F14" s="156" t="n">
        <v>3</v>
      </c>
      <c r="G14" s="156" t="inlineStr"/>
      <c r="H14" s="157">
        <f>IF($B14="","",IF(ISNA(MATCH($B14,MASTER_JAM!$Q$5:$Q$28,0)),"?",IF(MATCH($B14,MASTER_JAM!$Q$5:$Q$28,0)&lt;=12,"DS","NS")))</f>
        <v/>
      </c>
      <c r="I14" s="157">
        <f>IFERROR(INDEX(MASTER_JAM!$B$5:$B$94,MATCH($C14,MASTER_JAM!$A$5:$A$94,0)),"")</f>
        <v/>
      </c>
      <c r="J14" s="157">
        <f>IFERROR(INDEX(MASTER_JAM!$E$5:$E$94,MATCH($D14,MASTER_JAM!$A$5:$A$94,0)),"")</f>
        <v/>
      </c>
      <c r="K14" s="158">
        <f>IFERROR(INDEX(MASTER_JAM!$J$5:$O$12,MATCH($E14,MASTER_JAM!$I$5:$I$12,0),MATCH($J14,MASTER_JAM!$J$4:$O$4,0))+0,0)</f>
        <v/>
      </c>
      <c r="L14" s="159">
        <f>N($F14)*$K14</f>
        <v/>
      </c>
      <c r="M14" s="157">
        <f>IF($E14="","",IF(OR($E14="Coal",$E14="Dirty Coal"),"MT","BCM"))</f>
        <v/>
      </c>
      <c r="N14" s="157">
        <f>IF($E14="","",IF(OR($E14="Coal",$E14="Dirty Coal"),"Coal","OB"))</f>
        <v/>
      </c>
      <c r="O14" s="157">
        <f>IF($F14="","",IF(COUNTIF(MASTER_JAM!$A$5:$A$94,$C14)=0,"Digger tidak dikenal",IF($J14="","Hauler tidak dikenal",IF($H14="?","Jam salah",IF($K14=0,"Faktor kosong",IF(SUMIFS(INPUT_DELAY!$E$5:$E$20000,INPUT_DELAY!$A$5:$A$20000,$A14,INPUT_DELAY!$B$5:$B$20000,$B14,INPUT_DELAY!$C$5:$C$20000,$C14)+SUMIFS(INPUT_DELAY!$E$5:$E$20000,INPUT_DELAY!$A$5:$A$20000,$A14,INPUT_DELAY!$B$5:$B$20000,$B14,INPUT_DELAY!$C$5:$C$20000,"SEMUA")&gt;=60,"Delay 60 mnt tapi ada ritase","OK"))))))</f>
        <v/>
      </c>
      <c r="P14" s="158">
        <f>IFERROR(INDEX(MASTER_JAM!$Z$5:$AC$10,MATCH($I14,MASTER_JAM!$Y$5:$Y$10,0),MATCH($J14,MASTER_JAM!$Z$4:$AC$4,0))+0,0)</f>
        <v/>
      </c>
      <c r="Q14" s="158">
        <f>IF($P14=0,0,$P14+IFERROR(INDEX(MASTER_JAM!$H$5:$H$94,MATCH($C14,MASTER_JAM!$A$5:$A$94,0))+0,MASTER_JAM!$AC$15)/1000*(60/MASTER_JAM!$AC$12+60/MASTER_JAM!$AC$13)+MASTER_JAM!$AC$14)</f>
        <v/>
      </c>
      <c r="R14" s="158">
        <f>IF(N($F14)=0,0,$F14/SUMIFS(INPUT_RITASE!$F$5:$F$20000,INPUT_RITASE!$A$5:$A$20000,$A14,INPUT_RITASE!$B$5:$B$20000,$B14,INPUT_RITASE!$C$5:$C$20000,$C14,INPUT_RITASE!$D$5:$D$20000,$D14))</f>
        <v/>
      </c>
      <c r="S14" s="158">
        <f>IF($Q14=0,0,$R14*$P14/$Q14)</f>
        <v/>
      </c>
    </row>
    <row r="15">
      <c r="A15" s="155" t="n">
        <v>46104</v>
      </c>
      <c r="B15" s="156" t="inlineStr">
        <is>
          <t>07-08</t>
        </is>
      </c>
      <c r="C15" s="156" t="inlineStr">
        <is>
          <t>EX-1251</t>
        </is>
      </c>
      <c r="D15" s="156" t="inlineStr">
        <is>
          <t>DT-505</t>
        </is>
      </c>
      <c r="E15" s="156" t="inlineStr">
        <is>
          <t>OB</t>
        </is>
      </c>
      <c r="F15" s="156" t="n">
        <v>3</v>
      </c>
      <c r="G15" s="156" t="inlineStr"/>
      <c r="H15" s="157">
        <f>IF($B15="","",IF(ISNA(MATCH($B15,MASTER_JAM!$Q$5:$Q$28,0)),"?",IF(MATCH($B15,MASTER_JAM!$Q$5:$Q$28,0)&lt;=12,"DS","NS")))</f>
        <v/>
      </c>
      <c r="I15" s="157">
        <f>IFERROR(INDEX(MASTER_JAM!$B$5:$B$94,MATCH($C15,MASTER_JAM!$A$5:$A$94,0)),"")</f>
        <v/>
      </c>
      <c r="J15" s="157">
        <f>IFERROR(INDEX(MASTER_JAM!$E$5:$E$94,MATCH($D15,MASTER_JAM!$A$5:$A$94,0)),"")</f>
        <v/>
      </c>
      <c r="K15" s="158">
        <f>IFERROR(INDEX(MASTER_JAM!$J$5:$O$12,MATCH($E15,MASTER_JAM!$I$5:$I$12,0),MATCH($J15,MASTER_JAM!$J$4:$O$4,0))+0,0)</f>
        <v/>
      </c>
      <c r="L15" s="159">
        <f>N($F15)*$K15</f>
        <v/>
      </c>
      <c r="M15" s="157">
        <f>IF($E15="","",IF(OR($E15="Coal",$E15="Dirty Coal"),"MT","BCM"))</f>
        <v/>
      </c>
      <c r="N15" s="157">
        <f>IF($E15="","",IF(OR($E15="Coal",$E15="Dirty Coal"),"Coal","OB"))</f>
        <v/>
      </c>
      <c r="O15" s="157">
        <f>IF($F15="","",IF(COUNTIF(MASTER_JAM!$A$5:$A$94,$C15)=0,"Digger tidak dikenal",IF($J15="","Hauler tidak dikenal",IF($H15="?","Jam salah",IF($K15=0,"Faktor kosong",IF(SUMIFS(INPUT_DELAY!$E$5:$E$20000,INPUT_DELAY!$A$5:$A$20000,$A15,INPUT_DELAY!$B$5:$B$20000,$B15,INPUT_DELAY!$C$5:$C$20000,$C15)+SUMIFS(INPUT_DELAY!$E$5:$E$20000,INPUT_DELAY!$A$5:$A$20000,$A15,INPUT_DELAY!$B$5:$B$20000,$B15,INPUT_DELAY!$C$5:$C$20000,"SEMUA")&gt;=60,"Delay 60 mnt tapi ada ritase","OK"))))))</f>
        <v/>
      </c>
      <c r="P15" s="158">
        <f>IFERROR(INDEX(MASTER_JAM!$Z$5:$AC$10,MATCH($I15,MASTER_JAM!$Y$5:$Y$10,0),MATCH($J15,MASTER_JAM!$Z$4:$AC$4,0))+0,0)</f>
        <v/>
      </c>
      <c r="Q15" s="158">
        <f>IF($P15=0,0,$P15+IFERROR(INDEX(MASTER_JAM!$H$5:$H$94,MATCH($C15,MASTER_JAM!$A$5:$A$94,0))+0,MASTER_JAM!$AC$15)/1000*(60/MASTER_JAM!$AC$12+60/MASTER_JAM!$AC$13)+MASTER_JAM!$AC$14)</f>
        <v/>
      </c>
      <c r="R15" s="158">
        <f>IF(N($F15)=0,0,$F15/SUMIFS(INPUT_RITASE!$F$5:$F$20000,INPUT_RITASE!$A$5:$A$20000,$A15,INPUT_RITASE!$B$5:$B$20000,$B15,INPUT_RITASE!$C$5:$C$20000,$C15,INPUT_RITASE!$D$5:$D$20000,$D15))</f>
        <v/>
      </c>
      <c r="S15" s="158">
        <f>IF($Q15=0,0,$R15*$P15/$Q15)</f>
        <v/>
      </c>
    </row>
    <row r="16">
      <c r="A16" s="155" t="n">
        <v>46104</v>
      </c>
      <c r="B16" s="156" t="inlineStr">
        <is>
          <t>08-09</t>
        </is>
      </c>
      <c r="C16" s="156" t="inlineStr">
        <is>
          <t>EX-1251</t>
        </is>
      </c>
      <c r="D16" s="156" t="inlineStr">
        <is>
          <t>DT-529</t>
        </is>
      </c>
      <c r="E16" s="156" t="inlineStr">
        <is>
          <t>OB</t>
        </is>
      </c>
      <c r="F16" s="156" t="n">
        <v>4</v>
      </c>
      <c r="G16" s="156" t="inlineStr"/>
      <c r="H16" s="157">
        <f>IF($B16="","",IF(ISNA(MATCH($B16,MASTER_JAM!$Q$5:$Q$28,0)),"?",IF(MATCH($B16,MASTER_JAM!$Q$5:$Q$28,0)&lt;=12,"DS","NS")))</f>
        <v/>
      </c>
      <c r="I16" s="157">
        <f>IFERROR(INDEX(MASTER_JAM!$B$5:$B$94,MATCH($C16,MASTER_JAM!$A$5:$A$94,0)),"")</f>
        <v/>
      </c>
      <c r="J16" s="157">
        <f>IFERROR(INDEX(MASTER_JAM!$E$5:$E$94,MATCH($D16,MASTER_JAM!$A$5:$A$94,0)),"")</f>
        <v/>
      </c>
      <c r="K16" s="158">
        <f>IFERROR(INDEX(MASTER_JAM!$J$5:$O$12,MATCH($E16,MASTER_JAM!$I$5:$I$12,0),MATCH($J16,MASTER_JAM!$J$4:$O$4,0))+0,0)</f>
        <v/>
      </c>
      <c r="L16" s="159">
        <f>N($F16)*$K16</f>
        <v/>
      </c>
      <c r="M16" s="157">
        <f>IF($E16="","",IF(OR($E16="Coal",$E16="Dirty Coal"),"MT","BCM"))</f>
        <v/>
      </c>
      <c r="N16" s="157">
        <f>IF($E16="","",IF(OR($E16="Coal",$E16="Dirty Coal"),"Coal","OB"))</f>
        <v/>
      </c>
      <c r="O16" s="157">
        <f>IF($F16="","",IF(COUNTIF(MASTER_JAM!$A$5:$A$94,$C16)=0,"Digger tidak dikenal",IF($J16="","Hauler tidak dikenal",IF($H16="?","Jam salah",IF($K16=0,"Faktor kosong",IF(SUMIFS(INPUT_DELAY!$E$5:$E$20000,INPUT_DELAY!$A$5:$A$20000,$A16,INPUT_DELAY!$B$5:$B$20000,$B16,INPUT_DELAY!$C$5:$C$20000,$C16)+SUMIFS(INPUT_DELAY!$E$5:$E$20000,INPUT_DELAY!$A$5:$A$20000,$A16,INPUT_DELAY!$B$5:$B$20000,$B16,INPUT_DELAY!$C$5:$C$20000,"SEMUA")&gt;=60,"Delay 60 mnt tapi ada ritase","OK"))))))</f>
        <v/>
      </c>
      <c r="P16" s="158">
        <f>IFERROR(INDEX(MASTER_JAM!$Z$5:$AC$10,MATCH($I16,MASTER_JAM!$Y$5:$Y$10,0),MATCH($J16,MASTER_JAM!$Z$4:$AC$4,0))+0,0)</f>
        <v/>
      </c>
      <c r="Q16" s="158">
        <f>IF($P16=0,0,$P16+IFERROR(INDEX(MASTER_JAM!$H$5:$H$94,MATCH($C16,MASTER_JAM!$A$5:$A$94,0))+0,MASTER_JAM!$AC$15)/1000*(60/MASTER_JAM!$AC$12+60/MASTER_JAM!$AC$13)+MASTER_JAM!$AC$14)</f>
        <v/>
      </c>
      <c r="R16" s="158">
        <f>IF(N($F16)=0,0,$F16/SUMIFS(INPUT_RITASE!$F$5:$F$20000,INPUT_RITASE!$A$5:$A$20000,$A16,INPUT_RITASE!$B$5:$B$20000,$B16,INPUT_RITASE!$C$5:$C$20000,$C16,INPUT_RITASE!$D$5:$D$20000,$D16))</f>
        <v/>
      </c>
      <c r="S16" s="158">
        <f>IF($Q16=0,0,$R16*$P16/$Q16)</f>
        <v/>
      </c>
    </row>
    <row r="17">
      <c r="A17" s="155" t="n">
        <v>46104</v>
      </c>
      <c r="B17" s="156" t="inlineStr">
        <is>
          <t>08-09</t>
        </is>
      </c>
      <c r="C17" s="156" t="inlineStr">
        <is>
          <t>EX-1251</t>
        </is>
      </c>
      <c r="D17" s="156" t="inlineStr">
        <is>
          <t>DT-528</t>
        </is>
      </c>
      <c r="E17" s="156" t="inlineStr">
        <is>
          <t>OB</t>
        </is>
      </c>
      <c r="F17" s="156" t="n">
        <v>4</v>
      </c>
      <c r="G17" s="156" t="inlineStr"/>
      <c r="H17" s="157">
        <f>IF($B17="","",IF(ISNA(MATCH($B17,MASTER_JAM!$Q$5:$Q$28,0)),"?",IF(MATCH($B17,MASTER_JAM!$Q$5:$Q$28,0)&lt;=12,"DS","NS")))</f>
        <v/>
      </c>
      <c r="I17" s="157">
        <f>IFERROR(INDEX(MASTER_JAM!$B$5:$B$94,MATCH($C17,MASTER_JAM!$A$5:$A$94,0)),"")</f>
        <v/>
      </c>
      <c r="J17" s="157">
        <f>IFERROR(INDEX(MASTER_JAM!$E$5:$E$94,MATCH($D17,MASTER_JAM!$A$5:$A$94,0)),"")</f>
        <v/>
      </c>
      <c r="K17" s="158">
        <f>IFERROR(INDEX(MASTER_JAM!$J$5:$O$12,MATCH($E17,MASTER_JAM!$I$5:$I$12,0),MATCH($J17,MASTER_JAM!$J$4:$O$4,0))+0,0)</f>
        <v/>
      </c>
      <c r="L17" s="159">
        <f>N($F17)*$K17</f>
        <v/>
      </c>
      <c r="M17" s="157">
        <f>IF($E17="","",IF(OR($E17="Coal",$E17="Dirty Coal"),"MT","BCM"))</f>
        <v/>
      </c>
      <c r="N17" s="157">
        <f>IF($E17="","",IF(OR($E17="Coal",$E17="Dirty Coal"),"Coal","OB"))</f>
        <v/>
      </c>
      <c r="O17" s="157">
        <f>IF($F17="","",IF(COUNTIF(MASTER_JAM!$A$5:$A$94,$C17)=0,"Digger tidak dikenal",IF($J17="","Hauler tidak dikenal",IF($H17="?","Jam salah",IF($K17=0,"Faktor kosong",IF(SUMIFS(INPUT_DELAY!$E$5:$E$20000,INPUT_DELAY!$A$5:$A$20000,$A17,INPUT_DELAY!$B$5:$B$20000,$B17,INPUT_DELAY!$C$5:$C$20000,$C17)+SUMIFS(INPUT_DELAY!$E$5:$E$20000,INPUT_DELAY!$A$5:$A$20000,$A17,INPUT_DELAY!$B$5:$B$20000,$B17,INPUT_DELAY!$C$5:$C$20000,"SEMUA")&gt;=60,"Delay 60 mnt tapi ada ritase","OK"))))))</f>
        <v/>
      </c>
      <c r="P17" s="158">
        <f>IFERROR(INDEX(MASTER_JAM!$Z$5:$AC$10,MATCH($I17,MASTER_JAM!$Y$5:$Y$10,0),MATCH($J17,MASTER_JAM!$Z$4:$AC$4,0))+0,0)</f>
        <v/>
      </c>
      <c r="Q17" s="158">
        <f>IF($P17=0,0,$P17+IFERROR(INDEX(MASTER_JAM!$H$5:$H$94,MATCH($C17,MASTER_JAM!$A$5:$A$94,0))+0,MASTER_JAM!$AC$15)/1000*(60/MASTER_JAM!$AC$12+60/MASTER_JAM!$AC$13)+MASTER_JAM!$AC$14)</f>
        <v/>
      </c>
      <c r="R17" s="158">
        <f>IF(N($F17)=0,0,$F17/SUMIFS(INPUT_RITASE!$F$5:$F$20000,INPUT_RITASE!$A$5:$A$20000,$A17,INPUT_RITASE!$B$5:$B$20000,$B17,INPUT_RITASE!$C$5:$C$20000,$C17,INPUT_RITASE!$D$5:$D$20000,$D17))</f>
        <v/>
      </c>
      <c r="S17" s="158">
        <f>IF($Q17=0,0,$R17*$P17/$Q17)</f>
        <v/>
      </c>
    </row>
    <row r="18">
      <c r="A18" s="155" t="n">
        <v>46104</v>
      </c>
      <c r="B18" s="156" t="inlineStr">
        <is>
          <t>08-09</t>
        </is>
      </c>
      <c r="C18" s="156" t="inlineStr">
        <is>
          <t>EX-1251</t>
        </is>
      </c>
      <c r="D18" s="156" t="inlineStr">
        <is>
          <t>DT-506</t>
        </is>
      </c>
      <c r="E18" s="156" t="inlineStr">
        <is>
          <t>OB</t>
        </is>
      </c>
      <c r="F18" s="156" t="n">
        <v>4</v>
      </c>
      <c r="G18" s="156" t="inlineStr"/>
      <c r="H18" s="157">
        <f>IF($B18="","",IF(ISNA(MATCH($B18,MASTER_JAM!$Q$5:$Q$28,0)),"?",IF(MATCH($B18,MASTER_JAM!$Q$5:$Q$28,0)&lt;=12,"DS","NS")))</f>
        <v/>
      </c>
      <c r="I18" s="157">
        <f>IFERROR(INDEX(MASTER_JAM!$B$5:$B$94,MATCH($C18,MASTER_JAM!$A$5:$A$94,0)),"")</f>
        <v/>
      </c>
      <c r="J18" s="157">
        <f>IFERROR(INDEX(MASTER_JAM!$E$5:$E$94,MATCH($D18,MASTER_JAM!$A$5:$A$94,0)),"")</f>
        <v/>
      </c>
      <c r="K18" s="158">
        <f>IFERROR(INDEX(MASTER_JAM!$J$5:$O$12,MATCH($E18,MASTER_JAM!$I$5:$I$12,0),MATCH($J18,MASTER_JAM!$J$4:$O$4,0))+0,0)</f>
        <v/>
      </c>
      <c r="L18" s="159">
        <f>N($F18)*$K18</f>
        <v/>
      </c>
      <c r="M18" s="157">
        <f>IF($E18="","",IF(OR($E18="Coal",$E18="Dirty Coal"),"MT","BCM"))</f>
        <v/>
      </c>
      <c r="N18" s="157">
        <f>IF($E18="","",IF(OR($E18="Coal",$E18="Dirty Coal"),"Coal","OB"))</f>
        <v/>
      </c>
      <c r="O18" s="157">
        <f>IF($F18="","",IF(COUNTIF(MASTER_JAM!$A$5:$A$94,$C18)=0,"Digger tidak dikenal",IF($J18="","Hauler tidak dikenal",IF($H18="?","Jam salah",IF($K18=0,"Faktor kosong",IF(SUMIFS(INPUT_DELAY!$E$5:$E$20000,INPUT_DELAY!$A$5:$A$20000,$A18,INPUT_DELAY!$B$5:$B$20000,$B18,INPUT_DELAY!$C$5:$C$20000,$C18)+SUMIFS(INPUT_DELAY!$E$5:$E$20000,INPUT_DELAY!$A$5:$A$20000,$A18,INPUT_DELAY!$B$5:$B$20000,$B18,INPUT_DELAY!$C$5:$C$20000,"SEMUA")&gt;=60,"Delay 60 mnt tapi ada ritase","OK"))))))</f>
        <v/>
      </c>
      <c r="P18" s="158">
        <f>IFERROR(INDEX(MASTER_JAM!$Z$5:$AC$10,MATCH($I18,MASTER_JAM!$Y$5:$Y$10,0),MATCH($J18,MASTER_JAM!$Z$4:$AC$4,0))+0,0)</f>
        <v/>
      </c>
      <c r="Q18" s="158">
        <f>IF($P18=0,0,$P18+IFERROR(INDEX(MASTER_JAM!$H$5:$H$94,MATCH($C18,MASTER_JAM!$A$5:$A$94,0))+0,MASTER_JAM!$AC$15)/1000*(60/MASTER_JAM!$AC$12+60/MASTER_JAM!$AC$13)+MASTER_JAM!$AC$14)</f>
        <v/>
      </c>
      <c r="R18" s="158">
        <f>IF(N($F18)=0,0,$F18/SUMIFS(INPUT_RITASE!$F$5:$F$20000,INPUT_RITASE!$A$5:$A$20000,$A18,INPUT_RITASE!$B$5:$B$20000,$B18,INPUT_RITASE!$C$5:$C$20000,$C18,INPUT_RITASE!$D$5:$D$20000,$D18))</f>
        <v/>
      </c>
      <c r="S18" s="158">
        <f>IF($Q18=0,0,$R18*$P18/$Q18)</f>
        <v/>
      </c>
    </row>
    <row r="19">
      <c r="A19" s="155" t="n">
        <v>46104</v>
      </c>
      <c r="B19" s="156" t="inlineStr">
        <is>
          <t>08-09</t>
        </is>
      </c>
      <c r="C19" s="156" t="inlineStr">
        <is>
          <t>EX-1251</t>
        </is>
      </c>
      <c r="D19" s="156" t="inlineStr">
        <is>
          <t>DT-507</t>
        </is>
      </c>
      <c r="E19" s="156" t="inlineStr">
        <is>
          <t>OB</t>
        </is>
      </c>
      <c r="F19" s="156" t="n">
        <v>4</v>
      </c>
      <c r="G19" s="156" t="inlineStr"/>
      <c r="H19" s="157">
        <f>IF($B19="","",IF(ISNA(MATCH($B19,MASTER_JAM!$Q$5:$Q$28,0)),"?",IF(MATCH($B19,MASTER_JAM!$Q$5:$Q$28,0)&lt;=12,"DS","NS")))</f>
        <v/>
      </c>
      <c r="I19" s="157">
        <f>IFERROR(INDEX(MASTER_JAM!$B$5:$B$94,MATCH($C19,MASTER_JAM!$A$5:$A$94,0)),"")</f>
        <v/>
      </c>
      <c r="J19" s="157">
        <f>IFERROR(INDEX(MASTER_JAM!$E$5:$E$94,MATCH($D19,MASTER_JAM!$A$5:$A$94,0)),"")</f>
        <v/>
      </c>
      <c r="K19" s="158">
        <f>IFERROR(INDEX(MASTER_JAM!$J$5:$O$12,MATCH($E19,MASTER_JAM!$I$5:$I$12,0),MATCH($J19,MASTER_JAM!$J$4:$O$4,0))+0,0)</f>
        <v/>
      </c>
      <c r="L19" s="159">
        <f>N($F19)*$K19</f>
        <v/>
      </c>
      <c r="M19" s="157">
        <f>IF($E19="","",IF(OR($E19="Coal",$E19="Dirty Coal"),"MT","BCM"))</f>
        <v/>
      </c>
      <c r="N19" s="157">
        <f>IF($E19="","",IF(OR($E19="Coal",$E19="Dirty Coal"),"Coal","OB"))</f>
        <v/>
      </c>
      <c r="O19" s="157">
        <f>IF($F19="","",IF(COUNTIF(MASTER_JAM!$A$5:$A$94,$C19)=0,"Digger tidak dikenal",IF($J19="","Hauler tidak dikenal",IF($H19="?","Jam salah",IF($K19=0,"Faktor kosong",IF(SUMIFS(INPUT_DELAY!$E$5:$E$20000,INPUT_DELAY!$A$5:$A$20000,$A19,INPUT_DELAY!$B$5:$B$20000,$B19,INPUT_DELAY!$C$5:$C$20000,$C19)+SUMIFS(INPUT_DELAY!$E$5:$E$20000,INPUT_DELAY!$A$5:$A$20000,$A19,INPUT_DELAY!$B$5:$B$20000,$B19,INPUT_DELAY!$C$5:$C$20000,"SEMUA")&gt;=60,"Delay 60 mnt tapi ada ritase","OK"))))))</f>
        <v/>
      </c>
      <c r="P19" s="158">
        <f>IFERROR(INDEX(MASTER_JAM!$Z$5:$AC$10,MATCH($I19,MASTER_JAM!$Y$5:$Y$10,0),MATCH($J19,MASTER_JAM!$Z$4:$AC$4,0))+0,0)</f>
        <v/>
      </c>
      <c r="Q19" s="158">
        <f>IF($P19=0,0,$P19+IFERROR(INDEX(MASTER_JAM!$H$5:$H$94,MATCH($C19,MASTER_JAM!$A$5:$A$94,0))+0,MASTER_JAM!$AC$15)/1000*(60/MASTER_JAM!$AC$12+60/MASTER_JAM!$AC$13)+MASTER_JAM!$AC$14)</f>
        <v/>
      </c>
      <c r="R19" s="158">
        <f>IF(N($F19)=0,0,$F19/SUMIFS(INPUT_RITASE!$F$5:$F$20000,INPUT_RITASE!$A$5:$A$20000,$A19,INPUT_RITASE!$B$5:$B$20000,$B19,INPUT_RITASE!$C$5:$C$20000,$C19,INPUT_RITASE!$D$5:$D$20000,$D19))</f>
        <v/>
      </c>
      <c r="S19" s="158">
        <f>IF($Q19=0,0,$R19*$P19/$Q19)</f>
        <v/>
      </c>
    </row>
    <row r="20">
      <c r="A20" s="155" t="n">
        <v>46104</v>
      </c>
      <c r="B20" s="156" t="inlineStr">
        <is>
          <t>08-09</t>
        </is>
      </c>
      <c r="C20" s="156" t="inlineStr">
        <is>
          <t>EX-1251</t>
        </is>
      </c>
      <c r="D20" s="156" t="inlineStr">
        <is>
          <t>DT-527</t>
        </is>
      </c>
      <c r="E20" s="156" t="inlineStr">
        <is>
          <t>OB</t>
        </is>
      </c>
      <c r="F20" s="156" t="n">
        <v>3</v>
      </c>
      <c r="G20" s="156" t="inlineStr"/>
      <c r="H20" s="157">
        <f>IF($B20="","",IF(ISNA(MATCH($B20,MASTER_JAM!$Q$5:$Q$28,0)),"?",IF(MATCH($B20,MASTER_JAM!$Q$5:$Q$28,0)&lt;=12,"DS","NS")))</f>
        <v/>
      </c>
      <c r="I20" s="157">
        <f>IFERROR(INDEX(MASTER_JAM!$B$5:$B$94,MATCH($C20,MASTER_JAM!$A$5:$A$94,0)),"")</f>
        <v/>
      </c>
      <c r="J20" s="157">
        <f>IFERROR(INDEX(MASTER_JAM!$E$5:$E$94,MATCH($D20,MASTER_JAM!$A$5:$A$94,0)),"")</f>
        <v/>
      </c>
      <c r="K20" s="158">
        <f>IFERROR(INDEX(MASTER_JAM!$J$5:$O$12,MATCH($E20,MASTER_JAM!$I$5:$I$12,0),MATCH($J20,MASTER_JAM!$J$4:$O$4,0))+0,0)</f>
        <v/>
      </c>
      <c r="L20" s="159">
        <f>N($F20)*$K20</f>
        <v/>
      </c>
      <c r="M20" s="157">
        <f>IF($E20="","",IF(OR($E20="Coal",$E20="Dirty Coal"),"MT","BCM"))</f>
        <v/>
      </c>
      <c r="N20" s="157">
        <f>IF($E20="","",IF(OR($E20="Coal",$E20="Dirty Coal"),"Coal","OB"))</f>
        <v/>
      </c>
      <c r="O20" s="157">
        <f>IF($F20="","",IF(COUNTIF(MASTER_JAM!$A$5:$A$94,$C20)=0,"Digger tidak dikenal",IF($J20="","Hauler tidak dikenal",IF($H20="?","Jam salah",IF($K20=0,"Faktor kosong",IF(SUMIFS(INPUT_DELAY!$E$5:$E$20000,INPUT_DELAY!$A$5:$A$20000,$A20,INPUT_DELAY!$B$5:$B$20000,$B20,INPUT_DELAY!$C$5:$C$20000,$C20)+SUMIFS(INPUT_DELAY!$E$5:$E$20000,INPUT_DELAY!$A$5:$A$20000,$A20,INPUT_DELAY!$B$5:$B$20000,$B20,INPUT_DELAY!$C$5:$C$20000,"SEMUA")&gt;=60,"Delay 60 mnt tapi ada ritase","OK"))))))</f>
        <v/>
      </c>
      <c r="P20" s="158">
        <f>IFERROR(INDEX(MASTER_JAM!$Z$5:$AC$10,MATCH($I20,MASTER_JAM!$Y$5:$Y$10,0),MATCH($J20,MASTER_JAM!$Z$4:$AC$4,0))+0,0)</f>
        <v/>
      </c>
      <c r="Q20" s="158">
        <f>IF($P20=0,0,$P20+IFERROR(INDEX(MASTER_JAM!$H$5:$H$94,MATCH($C20,MASTER_JAM!$A$5:$A$94,0))+0,MASTER_JAM!$AC$15)/1000*(60/MASTER_JAM!$AC$12+60/MASTER_JAM!$AC$13)+MASTER_JAM!$AC$14)</f>
        <v/>
      </c>
      <c r="R20" s="158">
        <f>IF(N($F20)=0,0,$F20/SUMIFS(INPUT_RITASE!$F$5:$F$20000,INPUT_RITASE!$A$5:$A$20000,$A20,INPUT_RITASE!$B$5:$B$20000,$B20,INPUT_RITASE!$C$5:$C$20000,$C20,INPUT_RITASE!$D$5:$D$20000,$D20))</f>
        <v/>
      </c>
      <c r="S20" s="158">
        <f>IF($Q20=0,0,$R20*$P20/$Q20)</f>
        <v/>
      </c>
    </row>
    <row r="21">
      <c r="A21" s="155" t="n">
        <v>46104</v>
      </c>
      <c r="B21" s="156" t="inlineStr">
        <is>
          <t>08-09</t>
        </is>
      </c>
      <c r="C21" s="156" t="inlineStr">
        <is>
          <t>EX-1251</t>
        </is>
      </c>
      <c r="D21" s="156" t="inlineStr">
        <is>
          <t>DT-503</t>
        </is>
      </c>
      <c r="E21" s="156" t="inlineStr">
        <is>
          <t>OB</t>
        </is>
      </c>
      <c r="F21" s="156" t="n">
        <v>3</v>
      </c>
      <c r="G21" s="156" t="inlineStr"/>
      <c r="H21" s="157">
        <f>IF($B21="","",IF(ISNA(MATCH($B21,MASTER_JAM!$Q$5:$Q$28,0)),"?",IF(MATCH($B21,MASTER_JAM!$Q$5:$Q$28,0)&lt;=12,"DS","NS")))</f>
        <v/>
      </c>
      <c r="I21" s="157">
        <f>IFERROR(INDEX(MASTER_JAM!$B$5:$B$94,MATCH($C21,MASTER_JAM!$A$5:$A$94,0)),"")</f>
        <v/>
      </c>
      <c r="J21" s="157">
        <f>IFERROR(INDEX(MASTER_JAM!$E$5:$E$94,MATCH($D21,MASTER_JAM!$A$5:$A$94,0)),"")</f>
        <v/>
      </c>
      <c r="K21" s="158">
        <f>IFERROR(INDEX(MASTER_JAM!$J$5:$O$12,MATCH($E21,MASTER_JAM!$I$5:$I$12,0),MATCH($J21,MASTER_JAM!$J$4:$O$4,0))+0,0)</f>
        <v/>
      </c>
      <c r="L21" s="159">
        <f>N($F21)*$K21</f>
        <v/>
      </c>
      <c r="M21" s="157">
        <f>IF($E21="","",IF(OR($E21="Coal",$E21="Dirty Coal"),"MT","BCM"))</f>
        <v/>
      </c>
      <c r="N21" s="157">
        <f>IF($E21="","",IF(OR($E21="Coal",$E21="Dirty Coal"),"Coal","OB"))</f>
        <v/>
      </c>
      <c r="O21" s="157">
        <f>IF($F21="","",IF(COUNTIF(MASTER_JAM!$A$5:$A$94,$C21)=0,"Digger tidak dikenal",IF($J21="","Hauler tidak dikenal",IF($H21="?","Jam salah",IF($K21=0,"Faktor kosong",IF(SUMIFS(INPUT_DELAY!$E$5:$E$20000,INPUT_DELAY!$A$5:$A$20000,$A21,INPUT_DELAY!$B$5:$B$20000,$B21,INPUT_DELAY!$C$5:$C$20000,$C21)+SUMIFS(INPUT_DELAY!$E$5:$E$20000,INPUT_DELAY!$A$5:$A$20000,$A21,INPUT_DELAY!$B$5:$B$20000,$B21,INPUT_DELAY!$C$5:$C$20000,"SEMUA")&gt;=60,"Delay 60 mnt tapi ada ritase","OK"))))))</f>
        <v/>
      </c>
      <c r="P21" s="158">
        <f>IFERROR(INDEX(MASTER_JAM!$Z$5:$AC$10,MATCH($I21,MASTER_JAM!$Y$5:$Y$10,0),MATCH($J21,MASTER_JAM!$Z$4:$AC$4,0))+0,0)</f>
        <v/>
      </c>
      <c r="Q21" s="158">
        <f>IF($P21=0,0,$P21+IFERROR(INDEX(MASTER_JAM!$H$5:$H$94,MATCH($C21,MASTER_JAM!$A$5:$A$94,0))+0,MASTER_JAM!$AC$15)/1000*(60/MASTER_JAM!$AC$12+60/MASTER_JAM!$AC$13)+MASTER_JAM!$AC$14)</f>
        <v/>
      </c>
      <c r="R21" s="158">
        <f>IF(N($F21)=0,0,$F21/SUMIFS(INPUT_RITASE!$F$5:$F$20000,INPUT_RITASE!$A$5:$A$20000,$A21,INPUT_RITASE!$B$5:$B$20000,$B21,INPUT_RITASE!$C$5:$C$20000,$C21,INPUT_RITASE!$D$5:$D$20000,$D21))</f>
        <v/>
      </c>
      <c r="S21" s="158">
        <f>IF($Q21=0,0,$R21*$P21/$Q21)</f>
        <v/>
      </c>
    </row>
    <row r="22">
      <c r="A22" s="155" t="n">
        <v>46104</v>
      </c>
      <c r="B22" s="156" t="inlineStr">
        <is>
          <t>09-10</t>
        </is>
      </c>
      <c r="C22" s="156" t="inlineStr">
        <is>
          <t>EX-1251</t>
        </is>
      </c>
      <c r="D22" s="156" t="inlineStr">
        <is>
          <t>DT-512</t>
        </is>
      </c>
      <c r="E22" s="156" t="inlineStr">
        <is>
          <t>OB</t>
        </is>
      </c>
      <c r="F22" s="156" t="n">
        <v>4</v>
      </c>
      <c r="G22" s="156" t="inlineStr"/>
      <c r="H22" s="157">
        <f>IF($B22="","",IF(ISNA(MATCH($B22,MASTER_JAM!$Q$5:$Q$28,0)),"?",IF(MATCH($B22,MASTER_JAM!$Q$5:$Q$28,0)&lt;=12,"DS","NS")))</f>
        <v/>
      </c>
      <c r="I22" s="157">
        <f>IFERROR(INDEX(MASTER_JAM!$B$5:$B$94,MATCH($C22,MASTER_JAM!$A$5:$A$94,0)),"")</f>
        <v/>
      </c>
      <c r="J22" s="157">
        <f>IFERROR(INDEX(MASTER_JAM!$E$5:$E$94,MATCH($D22,MASTER_JAM!$A$5:$A$94,0)),"")</f>
        <v/>
      </c>
      <c r="K22" s="158">
        <f>IFERROR(INDEX(MASTER_JAM!$J$5:$O$12,MATCH($E22,MASTER_JAM!$I$5:$I$12,0),MATCH($J22,MASTER_JAM!$J$4:$O$4,0))+0,0)</f>
        <v/>
      </c>
      <c r="L22" s="159">
        <f>N($F22)*$K22</f>
        <v/>
      </c>
      <c r="M22" s="157">
        <f>IF($E22="","",IF(OR($E22="Coal",$E22="Dirty Coal"),"MT","BCM"))</f>
        <v/>
      </c>
      <c r="N22" s="157">
        <f>IF($E22="","",IF(OR($E22="Coal",$E22="Dirty Coal"),"Coal","OB"))</f>
        <v/>
      </c>
      <c r="O22" s="157">
        <f>IF($F22="","",IF(COUNTIF(MASTER_JAM!$A$5:$A$94,$C22)=0,"Digger tidak dikenal",IF($J22="","Hauler tidak dikenal",IF($H22="?","Jam salah",IF($K22=0,"Faktor kosong",IF(SUMIFS(INPUT_DELAY!$E$5:$E$20000,INPUT_DELAY!$A$5:$A$20000,$A22,INPUT_DELAY!$B$5:$B$20000,$B22,INPUT_DELAY!$C$5:$C$20000,$C22)+SUMIFS(INPUT_DELAY!$E$5:$E$20000,INPUT_DELAY!$A$5:$A$20000,$A22,INPUT_DELAY!$B$5:$B$20000,$B22,INPUT_DELAY!$C$5:$C$20000,"SEMUA")&gt;=60,"Delay 60 mnt tapi ada ritase","OK"))))))</f>
        <v/>
      </c>
      <c r="P22" s="158">
        <f>IFERROR(INDEX(MASTER_JAM!$Z$5:$AC$10,MATCH($I22,MASTER_JAM!$Y$5:$Y$10,0),MATCH($J22,MASTER_JAM!$Z$4:$AC$4,0))+0,0)</f>
        <v/>
      </c>
      <c r="Q22" s="158">
        <f>IF($P22=0,0,$P22+IFERROR(INDEX(MASTER_JAM!$H$5:$H$94,MATCH($C22,MASTER_JAM!$A$5:$A$94,0))+0,MASTER_JAM!$AC$15)/1000*(60/MASTER_JAM!$AC$12+60/MASTER_JAM!$AC$13)+MASTER_JAM!$AC$14)</f>
        <v/>
      </c>
      <c r="R22" s="158">
        <f>IF(N($F22)=0,0,$F22/SUMIFS(INPUT_RITASE!$F$5:$F$20000,INPUT_RITASE!$A$5:$A$20000,$A22,INPUT_RITASE!$B$5:$B$20000,$B22,INPUT_RITASE!$C$5:$C$20000,$C22,INPUT_RITASE!$D$5:$D$20000,$D22))</f>
        <v/>
      </c>
      <c r="S22" s="158">
        <f>IF($Q22=0,0,$R22*$P22/$Q22)</f>
        <v/>
      </c>
    </row>
    <row r="23">
      <c r="A23" s="155" t="n">
        <v>46104</v>
      </c>
      <c r="B23" s="156" t="inlineStr">
        <is>
          <t>09-10</t>
        </is>
      </c>
      <c r="C23" s="156" t="inlineStr">
        <is>
          <t>EX-1251</t>
        </is>
      </c>
      <c r="D23" s="156" t="inlineStr">
        <is>
          <t>DT-520</t>
        </is>
      </c>
      <c r="E23" s="156" t="inlineStr">
        <is>
          <t>OB</t>
        </is>
      </c>
      <c r="F23" s="156" t="n">
        <v>4</v>
      </c>
      <c r="G23" s="156" t="inlineStr"/>
      <c r="H23" s="157">
        <f>IF($B23="","",IF(ISNA(MATCH($B23,MASTER_JAM!$Q$5:$Q$28,0)),"?",IF(MATCH($B23,MASTER_JAM!$Q$5:$Q$28,0)&lt;=12,"DS","NS")))</f>
        <v/>
      </c>
      <c r="I23" s="157">
        <f>IFERROR(INDEX(MASTER_JAM!$B$5:$B$94,MATCH($C23,MASTER_JAM!$A$5:$A$94,0)),"")</f>
        <v/>
      </c>
      <c r="J23" s="157">
        <f>IFERROR(INDEX(MASTER_JAM!$E$5:$E$94,MATCH($D23,MASTER_JAM!$A$5:$A$94,0)),"")</f>
        <v/>
      </c>
      <c r="K23" s="158">
        <f>IFERROR(INDEX(MASTER_JAM!$J$5:$O$12,MATCH($E23,MASTER_JAM!$I$5:$I$12,0),MATCH($J23,MASTER_JAM!$J$4:$O$4,0))+0,0)</f>
        <v/>
      </c>
      <c r="L23" s="159">
        <f>N($F23)*$K23</f>
        <v/>
      </c>
      <c r="M23" s="157">
        <f>IF($E23="","",IF(OR($E23="Coal",$E23="Dirty Coal"),"MT","BCM"))</f>
        <v/>
      </c>
      <c r="N23" s="157">
        <f>IF($E23="","",IF(OR($E23="Coal",$E23="Dirty Coal"),"Coal","OB"))</f>
        <v/>
      </c>
      <c r="O23" s="157">
        <f>IF($F23="","",IF(COUNTIF(MASTER_JAM!$A$5:$A$94,$C23)=0,"Digger tidak dikenal",IF($J23="","Hauler tidak dikenal",IF($H23="?","Jam salah",IF($K23=0,"Faktor kosong",IF(SUMIFS(INPUT_DELAY!$E$5:$E$20000,INPUT_DELAY!$A$5:$A$20000,$A23,INPUT_DELAY!$B$5:$B$20000,$B23,INPUT_DELAY!$C$5:$C$20000,$C23)+SUMIFS(INPUT_DELAY!$E$5:$E$20000,INPUT_DELAY!$A$5:$A$20000,$A23,INPUT_DELAY!$B$5:$B$20000,$B23,INPUT_DELAY!$C$5:$C$20000,"SEMUA")&gt;=60,"Delay 60 mnt tapi ada ritase","OK"))))))</f>
        <v/>
      </c>
      <c r="P23" s="158">
        <f>IFERROR(INDEX(MASTER_JAM!$Z$5:$AC$10,MATCH($I23,MASTER_JAM!$Y$5:$Y$10,0),MATCH($J23,MASTER_JAM!$Z$4:$AC$4,0))+0,0)</f>
        <v/>
      </c>
      <c r="Q23" s="158">
        <f>IF($P23=0,0,$P23+IFERROR(INDEX(MASTER_JAM!$H$5:$H$94,MATCH($C23,MASTER_JAM!$A$5:$A$94,0))+0,MASTER_JAM!$AC$15)/1000*(60/MASTER_JAM!$AC$12+60/MASTER_JAM!$AC$13)+MASTER_JAM!$AC$14)</f>
        <v/>
      </c>
      <c r="R23" s="158">
        <f>IF(N($F23)=0,0,$F23/SUMIFS(INPUT_RITASE!$F$5:$F$20000,INPUT_RITASE!$A$5:$A$20000,$A23,INPUT_RITASE!$B$5:$B$20000,$B23,INPUT_RITASE!$C$5:$C$20000,$C23,INPUT_RITASE!$D$5:$D$20000,$D23))</f>
        <v/>
      </c>
      <c r="S23" s="158">
        <f>IF($Q23=0,0,$R23*$P23/$Q23)</f>
        <v/>
      </c>
    </row>
    <row r="24">
      <c r="A24" s="155" t="n">
        <v>46104</v>
      </c>
      <c r="B24" s="156" t="inlineStr">
        <is>
          <t>09-10</t>
        </is>
      </c>
      <c r="C24" s="156" t="inlineStr">
        <is>
          <t>EX-1251</t>
        </is>
      </c>
      <c r="D24" s="156" t="inlineStr">
        <is>
          <t>DT-527</t>
        </is>
      </c>
      <c r="E24" s="156" t="inlineStr">
        <is>
          <t>OB</t>
        </is>
      </c>
      <c r="F24" s="156" t="n">
        <v>4</v>
      </c>
      <c r="G24" s="156" t="inlineStr"/>
      <c r="H24" s="157">
        <f>IF($B24="","",IF(ISNA(MATCH($B24,MASTER_JAM!$Q$5:$Q$28,0)),"?",IF(MATCH($B24,MASTER_JAM!$Q$5:$Q$28,0)&lt;=12,"DS","NS")))</f>
        <v/>
      </c>
      <c r="I24" s="157">
        <f>IFERROR(INDEX(MASTER_JAM!$B$5:$B$94,MATCH($C24,MASTER_JAM!$A$5:$A$94,0)),"")</f>
        <v/>
      </c>
      <c r="J24" s="157">
        <f>IFERROR(INDEX(MASTER_JAM!$E$5:$E$94,MATCH($D24,MASTER_JAM!$A$5:$A$94,0)),"")</f>
        <v/>
      </c>
      <c r="K24" s="158">
        <f>IFERROR(INDEX(MASTER_JAM!$J$5:$O$12,MATCH($E24,MASTER_JAM!$I$5:$I$12,0),MATCH($J24,MASTER_JAM!$J$4:$O$4,0))+0,0)</f>
        <v/>
      </c>
      <c r="L24" s="159">
        <f>N($F24)*$K24</f>
        <v/>
      </c>
      <c r="M24" s="157">
        <f>IF($E24="","",IF(OR($E24="Coal",$E24="Dirty Coal"),"MT","BCM"))</f>
        <v/>
      </c>
      <c r="N24" s="157">
        <f>IF($E24="","",IF(OR($E24="Coal",$E24="Dirty Coal"),"Coal","OB"))</f>
        <v/>
      </c>
      <c r="O24" s="157">
        <f>IF($F24="","",IF(COUNTIF(MASTER_JAM!$A$5:$A$94,$C24)=0,"Digger tidak dikenal",IF($J24="","Hauler tidak dikenal",IF($H24="?","Jam salah",IF($K24=0,"Faktor kosong",IF(SUMIFS(INPUT_DELAY!$E$5:$E$20000,INPUT_DELAY!$A$5:$A$20000,$A24,INPUT_DELAY!$B$5:$B$20000,$B24,INPUT_DELAY!$C$5:$C$20000,$C24)+SUMIFS(INPUT_DELAY!$E$5:$E$20000,INPUT_DELAY!$A$5:$A$20000,$A24,INPUT_DELAY!$B$5:$B$20000,$B24,INPUT_DELAY!$C$5:$C$20000,"SEMUA")&gt;=60,"Delay 60 mnt tapi ada ritase","OK"))))))</f>
        <v/>
      </c>
      <c r="P24" s="158">
        <f>IFERROR(INDEX(MASTER_JAM!$Z$5:$AC$10,MATCH($I24,MASTER_JAM!$Y$5:$Y$10,0),MATCH($J24,MASTER_JAM!$Z$4:$AC$4,0))+0,0)</f>
        <v/>
      </c>
      <c r="Q24" s="158">
        <f>IF($P24=0,0,$P24+IFERROR(INDEX(MASTER_JAM!$H$5:$H$94,MATCH($C24,MASTER_JAM!$A$5:$A$94,0))+0,MASTER_JAM!$AC$15)/1000*(60/MASTER_JAM!$AC$12+60/MASTER_JAM!$AC$13)+MASTER_JAM!$AC$14)</f>
        <v/>
      </c>
      <c r="R24" s="158">
        <f>IF(N($F24)=0,0,$F24/SUMIFS(INPUT_RITASE!$F$5:$F$20000,INPUT_RITASE!$A$5:$A$20000,$A24,INPUT_RITASE!$B$5:$B$20000,$B24,INPUT_RITASE!$C$5:$C$20000,$C24,INPUT_RITASE!$D$5:$D$20000,$D24))</f>
        <v/>
      </c>
      <c r="S24" s="158">
        <f>IF($Q24=0,0,$R24*$P24/$Q24)</f>
        <v/>
      </c>
    </row>
    <row r="25">
      <c r="A25" s="155" t="n">
        <v>46104</v>
      </c>
      <c r="B25" s="156" t="inlineStr">
        <is>
          <t>09-10</t>
        </is>
      </c>
      <c r="C25" s="156" t="inlineStr">
        <is>
          <t>EX-1251</t>
        </is>
      </c>
      <c r="D25" s="156" t="inlineStr">
        <is>
          <t>DT-524</t>
        </is>
      </c>
      <c r="E25" s="156" t="inlineStr">
        <is>
          <t>OB</t>
        </is>
      </c>
      <c r="F25" s="156" t="n">
        <v>4</v>
      </c>
      <c r="G25" s="156" t="inlineStr"/>
      <c r="H25" s="157">
        <f>IF($B25="","",IF(ISNA(MATCH($B25,MASTER_JAM!$Q$5:$Q$28,0)),"?",IF(MATCH($B25,MASTER_JAM!$Q$5:$Q$28,0)&lt;=12,"DS","NS")))</f>
        <v/>
      </c>
      <c r="I25" s="157">
        <f>IFERROR(INDEX(MASTER_JAM!$B$5:$B$94,MATCH($C25,MASTER_JAM!$A$5:$A$94,0)),"")</f>
        <v/>
      </c>
      <c r="J25" s="157">
        <f>IFERROR(INDEX(MASTER_JAM!$E$5:$E$94,MATCH($D25,MASTER_JAM!$A$5:$A$94,0)),"")</f>
        <v/>
      </c>
      <c r="K25" s="158">
        <f>IFERROR(INDEX(MASTER_JAM!$J$5:$O$12,MATCH($E25,MASTER_JAM!$I$5:$I$12,0),MATCH($J25,MASTER_JAM!$J$4:$O$4,0))+0,0)</f>
        <v/>
      </c>
      <c r="L25" s="159">
        <f>N($F25)*$K25</f>
        <v/>
      </c>
      <c r="M25" s="157">
        <f>IF($E25="","",IF(OR($E25="Coal",$E25="Dirty Coal"),"MT","BCM"))</f>
        <v/>
      </c>
      <c r="N25" s="157">
        <f>IF($E25="","",IF(OR($E25="Coal",$E25="Dirty Coal"),"Coal","OB"))</f>
        <v/>
      </c>
      <c r="O25" s="157">
        <f>IF($F25="","",IF(COUNTIF(MASTER_JAM!$A$5:$A$94,$C25)=0,"Digger tidak dikenal",IF($J25="","Hauler tidak dikenal",IF($H25="?","Jam salah",IF($K25=0,"Faktor kosong",IF(SUMIFS(INPUT_DELAY!$E$5:$E$20000,INPUT_DELAY!$A$5:$A$20000,$A25,INPUT_DELAY!$B$5:$B$20000,$B25,INPUT_DELAY!$C$5:$C$20000,$C25)+SUMIFS(INPUT_DELAY!$E$5:$E$20000,INPUT_DELAY!$A$5:$A$20000,$A25,INPUT_DELAY!$B$5:$B$20000,$B25,INPUT_DELAY!$C$5:$C$20000,"SEMUA")&gt;=60,"Delay 60 mnt tapi ada ritase","OK"))))))</f>
        <v/>
      </c>
      <c r="P25" s="158">
        <f>IFERROR(INDEX(MASTER_JAM!$Z$5:$AC$10,MATCH($I25,MASTER_JAM!$Y$5:$Y$10,0),MATCH($J25,MASTER_JAM!$Z$4:$AC$4,0))+0,0)</f>
        <v/>
      </c>
      <c r="Q25" s="158">
        <f>IF($P25=0,0,$P25+IFERROR(INDEX(MASTER_JAM!$H$5:$H$94,MATCH($C25,MASTER_JAM!$A$5:$A$94,0))+0,MASTER_JAM!$AC$15)/1000*(60/MASTER_JAM!$AC$12+60/MASTER_JAM!$AC$13)+MASTER_JAM!$AC$14)</f>
        <v/>
      </c>
      <c r="R25" s="158">
        <f>IF(N($F25)=0,0,$F25/SUMIFS(INPUT_RITASE!$F$5:$F$20000,INPUT_RITASE!$A$5:$A$20000,$A25,INPUT_RITASE!$B$5:$B$20000,$B25,INPUT_RITASE!$C$5:$C$20000,$C25,INPUT_RITASE!$D$5:$D$20000,$D25))</f>
        <v/>
      </c>
      <c r="S25" s="158">
        <f>IF($Q25=0,0,$R25*$P25/$Q25)</f>
        <v/>
      </c>
    </row>
    <row r="26">
      <c r="A26" s="155" t="n">
        <v>46104</v>
      </c>
      <c r="B26" s="156" t="inlineStr">
        <is>
          <t>09-10</t>
        </is>
      </c>
      <c r="C26" s="156" t="inlineStr">
        <is>
          <t>EX-1251</t>
        </is>
      </c>
      <c r="D26" s="156" t="inlineStr">
        <is>
          <t>DT-528</t>
        </is>
      </c>
      <c r="E26" s="156" t="inlineStr">
        <is>
          <t>OB</t>
        </is>
      </c>
      <c r="F26" s="156" t="n">
        <v>4</v>
      </c>
      <c r="G26" s="156" t="inlineStr"/>
      <c r="H26" s="157">
        <f>IF($B26="","",IF(ISNA(MATCH($B26,MASTER_JAM!$Q$5:$Q$28,0)),"?",IF(MATCH($B26,MASTER_JAM!$Q$5:$Q$28,0)&lt;=12,"DS","NS")))</f>
        <v/>
      </c>
      <c r="I26" s="157">
        <f>IFERROR(INDEX(MASTER_JAM!$B$5:$B$94,MATCH($C26,MASTER_JAM!$A$5:$A$94,0)),"")</f>
        <v/>
      </c>
      <c r="J26" s="157">
        <f>IFERROR(INDEX(MASTER_JAM!$E$5:$E$94,MATCH($D26,MASTER_JAM!$A$5:$A$94,0)),"")</f>
        <v/>
      </c>
      <c r="K26" s="158">
        <f>IFERROR(INDEX(MASTER_JAM!$J$5:$O$12,MATCH($E26,MASTER_JAM!$I$5:$I$12,0),MATCH($J26,MASTER_JAM!$J$4:$O$4,0))+0,0)</f>
        <v/>
      </c>
      <c r="L26" s="159">
        <f>N($F26)*$K26</f>
        <v/>
      </c>
      <c r="M26" s="157">
        <f>IF($E26="","",IF(OR($E26="Coal",$E26="Dirty Coal"),"MT","BCM"))</f>
        <v/>
      </c>
      <c r="N26" s="157">
        <f>IF($E26="","",IF(OR($E26="Coal",$E26="Dirty Coal"),"Coal","OB"))</f>
        <v/>
      </c>
      <c r="O26" s="157">
        <f>IF($F26="","",IF(COUNTIF(MASTER_JAM!$A$5:$A$94,$C26)=0,"Digger tidak dikenal",IF($J26="","Hauler tidak dikenal",IF($H26="?","Jam salah",IF($K26=0,"Faktor kosong",IF(SUMIFS(INPUT_DELAY!$E$5:$E$20000,INPUT_DELAY!$A$5:$A$20000,$A26,INPUT_DELAY!$B$5:$B$20000,$B26,INPUT_DELAY!$C$5:$C$20000,$C26)+SUMIFS(INPUT_DELAY!$E$5:$E$20000,INPUT_DELAY!$A$5:$A$20000,$A26,INPUT_DELAY!$B$5:$B$20000,$B26,INPUT_DELAY!$C$5:$C$20000,"SEMUA")&gt;=60,"Delay 60 mnt tapi ada ritase","OK"))))))</f>
        <v/>
      </c>
      <c r="P26" s="158">
        <f>IFERROR(INDEX(MASTER_JAM!$Z$5:$AC$10,MATCH($I26,MASTER_JAM!$Y$5:$Y$10,0),MATCH($J26,MASTER_JAM!$Z$4:$AC$4,0))+0,0)</f>
        <v/>
      </c>
      <c r="Q26" s="158">
        <f>IF($P26=0,0,$P26+IFERROR(INDEX(MASTER_JAM!$H$5:$H$94,MATCH($C26,MASTER_JAM!$A$5:$A$94,0))+0,MASTER_JAM!$AC$15)/1000*(60/MASTER_JAM!$AC$12+60/MASTER_JAM!$AC$13)+MASTER_JAM!$AC$14)</f>
        <v/>
      </c>
      <c r="R26" s="158">
        <f>IF(N($F26)=0,0,$F26/SUMIFS(INPUT_RITASE!$F$5:$F$20000,INPUT_RITASE!$A$5:$A$20000,$A26,INPUT_RITASE!$B$5:$B$20000,$B26,INPUT_RITASE!$C$5:$C$20000,$C26,INPUT_RITASE!$D$5:$D$20000,$D26))</f>
        <v/>
      </c>
      <c r="S26" s="158">
        <f>IF($Q26=0,0,$R26*$P26/$Q26)</f>
        <v/>
      </c>
    </row>
    <row r="27">
      <c r="A27" s="155" t="n">
        <v>46104</v>
      </c>
      <c r="B27" s="156" t="inlineStr">
        <is>
          <t>09-10</t>
        </is>
      </c>
      <c r="C27" s="156" t="inlineStr">
        <is>
          <t>EX-1251</t>
        </is>
      </c>
      <c r="D27" s="156" t="inlineStr">
        <is>
          <t>DT-508</t>
        </is>
      </c>
      <c r="E27" s="156" t="inlineStr">
        <is>
          <t>OB</t>
        </is>
      </c>
      <c r="F27" s="156" t="n">
        <v>4</v>
      </c>
      <c r="G27" s="156" t="inlineStr"/>
      <c r="H27" s="157">
        <f>IF($B27="","",IF(ISNA(MATCH($B27,MASTER_JAM!$Q$5:$Q$28,0)),"?",IF(MATCH($B27,MASTER_JAM!$Q$5:$Q$28,0)&lt;=12,"DS","NS")))</f>
        <v/>
      </c>
      <c r="I27" s="157">
        <f>IFERROR(INDEX(MASTER_JAM!$B$5:$B$94,MATCH($C27,MASTER_JAM!$A$5:$A$94,0)),"")</f>
        <v/>
      </c>
      <c r="J27" s="157">
        <f>IFERROR(INDEX(MASTER_JAM!$E$5:$E$94,MATCH($D27,MASTER_JAM!$A$5:$A$94,0)),"")</f>
        <v/>
      </c>
      <c r="K27" s="158">
        <f>IFERROR(INDEX(MASTER_JAM!$J$5:$O$12,MATCH($E27,MASTER_JAM!$I$5:$I$12,0),MATCH($J27,MASTER_JAM!$J$4:$O$4,0))+0,0)</f>
        <v/>
      </c>
      <c r="L27" s="159">
        <f>N($F27)*$K27</f>
        <v/>
      </c>
      <c r="M27" s="157">
        <f>IF($E27="","",IF(OR($E27="Coal",$E27="Dirty Coal"),"MT","BCM"))</f>
        <v/>
      </c>
      <c r="N27" s="157">
        <f>IF($E27="","",IF(OR($E27="Coal",$E27="Dirty Coal"),"Coal","OB"))</f>
        <v/>
      </c>
      <c r="O27" s="157">
        <f>IF($F27="","",IF(COUNTIF(MASTER_JAM!$A$5:$A$94,$C27)=0,"Digger tidak dikenal",IF($J27="","Hauler tidak dikenal",IF($H27="?","Jam salah",IF($K27=0,"Faktor kosong",IF(SUMIFS(INPUT_DELAY!$E$5:$E$20000,INPUT_DELAY!$A$5:$A$20000,$A27,INPUT_DELAY!$B$5:$B$20000,$B27,INPUT_DELAY!$C$5:$C$20000,$C27)+SUMIFS(INPUT_DELAY!$E$5:$E$20000,INPUT_DELAY!$A$5:$A$20000,$A27,INPUT_DELAY!$B$5:$B$20000,$B27,INPUT_DELAY!$C$5:$C$20000,"SEMUA")&gt;=60,"Delay 60 mnt tapi ada ritase","OK"))))))</f>
        <v/>
      </c>
      <c r="P27" s="158">
        <f>IFERROR(INDEX(MASTER_JAM!$Z$5:$AC$10,MATCH($I27,MASTER_JAM!$Y$5:$Y$10,0),MATCH($J27,MASTER_JAM!$Z$4:$AC$4,0))+0,0)</f>
        <v/>
      </c>
      <c r="Q27" s="158">
        <f>IF($P27=0,0,$P27+IFERROR(INDEX(MASTER_JAM!$H$5:$H$94,MATCH($C27,MASTER_JAM!$A$5:$A$94,0))+0,MASTER_JAM!$AC$15)/1000*(60/MASTER_JAM!$AC$12+60/MASTER_JAM!$AC$13)+MASTER_JAM!$AC$14)</f>
        <v/>
      </c>
      <c r="R27" s="158">
        <f>IF(N($F27)=0,0,$F27/SUMIFS(INPUT_RITASE!$F$5:$F$20000,INPUT_RITASE!$A$5:$A$20000,$A27,INPUT_RITASE!$B$5:$B$20000,$B27,INPUT_RITASE!$C$5:$C$20000,$C27,INPUT_RITASE!$D$5:$D$20000,$D27))</f>
        <v/>
      </c>
      <c r="S27" s="158">
        <f>IF($Q27=0,0,$R27*$P27/$Q27)</f>
        <v/>
      </c>
    </row>
    <row r="28">
      <c r="A28" s="155" t="n">
        <v>46104</v>
      </c>
      <c r="B28" s="156" t="inlineStr">
        <is>
          <t>10-11</t>
        </is>
      </c>
      <c r="C28" s="156" t="inlineStr">
        <is>
          <t>EX-1251</t>
        </is>
      </c>
      <c r="D28" s="156" t="inlineStr">
        <is>
          <t>DT-515</t>
        </is>
      </c>
      <c r="E28" s="156" t="inlineStr">
        <is>
          <t>OB</t>
        </is>
      </c>
      <c r="F28" s="156" t="n">
        <v>4</v>
      </c>
      <c r="G28" s="156" t="inlineStr"/>
      <c r="H28" s="157">
        <f>IF($B28="","",IF(ISNA(MATCH($B28,MASTER_JAM!$Q$5:$Q$28,0)),"?",IF(MATCH($B28,MASTER_JAM!$Q$5:$Q$28,0)&lt;=12,"DS","NS")))</f>
        <v/>
      </c>
      <c r="I28" s="157">
        <f>IFERROR(INDEX(MASTER_JAM!$B$5:$B$94,MATCH($C28,MASTER_JAM!$A$5:$A$94,0)),"")</f>
        <v/>
      </c>
      <c r="J28" s="157">
        <f>IFERROR(INDEX(MASTER_JAM!$E$5:$E$94,MATCH($D28,MASTER_JAM!$A$5:$A$94,0)),"")</f>
        <v/>
      </c>
      <c r="K28" s="158">
        <f>IFERROR(INDEX(MASTER_JAM!$J$5:$O$12,MATCH($E28,MASTER_JAM!$I$5:$I$12,0),MATCH($J28,MASTER_JAM!$J$4:$O$4,0))+0,0)</f>
        <v/>
      </c>
      <c r="L28" s="159">
        <f>N($F28)*$K28</f>
        <v/>
      </c>
      <c r="M28" s="157">
        <f>IF($E28="","",IF(OR($E28="Coal",$E28="Dirty Coal"),"MT","BCM"))</f>
        <v/>
      </c>
      <c r="N28" s="157">
        <f>IF($E28="","",IF(OR($E28="Coal",$E28="Dirty Coal"),"Coal","OB"))</f>
        <v/>
      </c>
      <c r="O28" s="157">
        <f>IF($F28="","",IF(COUNTIF(MASTER_JAM!$A$5:$A$94,$C28)=0,"Digger tidak dikenal",IF($J28="","Hauler tidak dikenal",IF($H28="?","Jam salah",IF($K28=0,"Faktor kosong",IF(SUMIFS(INPUT_DELAY!$E$5:$E$20000,INPUT_DELAY!$A$5:$A$20000,$A28,INPUT_DELAY!$B$5:$B$20000,$B28,INPUT_DELAY!$C$5:$C$20000,$C28)+SUMIFS(INPUT_DELAY!$E$5:$E$20000,INPUT_DELAY!$A$5:$A$20000,$A28,INPUT_DELAY!$B$5:$B$20000,$B28,INPUT_DELAY!$C$5:$C$20000,"SEMUA")&gt;=60,"Delay 60 mnt tapi ada ritase","OK"))))))</f>
        <v/>
      </c>
      <c r="P28" s="158">
        <f>IFERROR(INDEX(MASTER_JAM!$Z$5:$AC$10,MATCH($I28,MASTER_JAM!$Y$5:$Y$10,0),MATCH($J28,MASTER_JAM!$Z$4:$AC$4,0))+0,0)</f>
        <v/>
      </c>
      <c r="Q28" s="158">
        <f>IF($P28=0,0,$P28+IFERROR(INDEX(MASTER_JAM!$H$5:$H$94,MATCH($C28,MASTER_JAM!$A$5:$A$94,0))+0,MASTER_JAM!$AC$15)/1000*(60/MASTER_JAM!$AC$12+60/MASTER_JAM!$AC$13)+MASTER_JAM!$AC$14)</f>
        <v/>
      </c>
      <c r="R28" s="158">
        <f>IF(N($F28)=0,0,$F28/SUMIFS(INPUT_RITASE!$F$5:$F$20000,INPUT_RITASE!$A$5:$A$20000,$A28,INPUT_RITASE!$B$5:$B$20000,$B28,INPUT_RITASE!$C$5:$C$20000,$C28,INPUT_RITASE!$D$5:$D$20000,$D28))</f>
        <v/>
      </c>
      <c r="S28" s="158">
        <f>IF($Q28=0,0,$R28*$P28/$Q28)</f>
        <v/>
      </c>
    </row>
    <row r="29">
      <c r="A29" s="155" t="n">
        <v>46104</v>
      </c>
      <c r="B29" s="156" t="inlineStr">
        <is>
          <t>10-11</t>
        </is>
      </c>
      <c r="C29" s="156" t="inlineStr">
        <is>
          <t>EX-1251</t>
        </is>
      </c>
      <c r="D29" s="156" t="inlineStr">
        <is>
          <t>DT-508</t>
        </is>
      </c>
      <c r="E29" s="156" t="inlineStr">
        <is>
          <t>OB</t>
        </is>
      </c>
      <c r="F29" s="156" t="n">
        <v>4</v>
      </c>
      <c r="G29" s="156" t="inlineStr"/>
      <c r="H29" s="157">
        <f>IF($B29="","",IF(ISNA(MATCH($B29,MASTER_JAM!$Q$5:$Q$28,0)),"?",IF(MATCH($B29,MASTER_JAM!$Q$5:$Q$28,0)&lt;=12,"DS","NS")))</f>
        <v/>
      </c>
      <c r="I29" s="157">
        <f>IFERROR(INDEX(MASTER_JAM!$B$5:$B$94,MATCH($C29,MASTER_JAM!$A$5:$A$94,0)),"")</f>
        <v/>
      </c>
      <c r="J29" s="157">
        <f>IFERROR(INDEX(MASTER_JAM!$E$5:$E$94,MATCH($D29,MASTER_JAM!$A$5:$A$94,0)),"")</f>
        <v/>
      </c>
      <c r="K29" s="158">
        <f>IFERROR(INDEX(MASTER_JAM!$J$5:$O$12,MATCH($E29,MASTER_JAM!$I$5:$I$12,0),MATCH($J29,MASTER_JAM!$J$4:$O$4,0))+0,0)</f>
        <v/>
      </c>
      <c r="L29" s="159">
        <f>N($F29)*$K29</f>
        <v/>
      </c>
      <c r="M29" s="157">
        <f>IF($E29="","",IF(OR($E29="Coal",$E29="Dirty Coal"),"MT","BCM"))</f>
        <v/>
      </c>
      <c r="N29" s="157">
        <f>IF($E29="","",IF(OR($E29="Coal",$E29="Dirty Coal"),"Coal","OB"))</f>
        <v/>
      </c>
      <c r="O29" s="157">
        <f>IF($F29="","",IF(COUNTIF(MASTER_JAM!$A$5:$A$94,$C29)=0,"Digger tidak dikenal",IF($J29="","Hauler tidak dikenal",IF($H29="?","Jam salah",IF($K29=0,"Faktor kosong",IF(SUMIFS(INPUT_DELAY!$E$5:$E$20000,INPUT_DELAY!$A$5:$A$20000,$A29,INPUT_DELAY!$B$5:$B$20000,$B29,INPUT_DELAY!$C$5:$C$20000,$C29)+SUMIFS(INPUT_DELAY!$E$5:$E$20000,INPUT_DELAY!$A$5:$A$20000,$A29,INPUT_DELAY!$B$5:$B$20000,$B29,INPUT_DELAY!$C$5:$C$20000,"SEMUA")&gt;=60,"Delay 60 mnt tapi ada ritase","OK"))))))</f>
        <v/>
      </c>
      <c r="P29" s="158">
        <f>IFERROR(INDEX(MASTER_JAM!$Z$5:$AC$10,MATCH($I29,MASTER_JAM!$Y$5:$Y$10,0),MATCH($J29,MASTER_JAM!$Z$4:$AC$4,0))+0,0)</f>
        <v/>
      </c>
      <c r="Q29" s="158">
        <f>IF($P29=0,0,$P29+IFERROR(INDEX(MASTER_JAM!$H$5:$H$94,MATCH($C29,MASTER_JAM!$A$5:$A$94,0))+0,MASTER_JAM!$AC$15)/1000*(60/MASTER_JAM!$AC$12+60/MASTER_JAM!$AC$13)+MASTER_JAM!$AC$14)</f>
        <v/>
      </c>
      <c r="R29" s="158">
        <f>IF(N($F29)=0,0,$F29/SUMIFS(INPUT_RITASE!$F$5:$F$20000,INPUT_RITASE!$A$5:$A$20000,$A29,INPUT_RITASE!$B$5:$B$20000,$B29,INPUT_RITASE!$C$5:$C$20000,$C29,INPUT_RITASE!$D$5:$D$20000,$D29))</f>
        <v/>
      </c>
      <c r="S29" s="158">
        <f>IF($Q29=0,0,$R29*$P29/$Q29)</f>
        <v/>
      </c>
    </row>
    <row r="30">
      <c r="A30" s="155" t="n">
        <v>46104</v>
      </c>
      <c r="B30" s="156" t="inlineStr">
        <is>
          <t>10-11</t>
        </is>
      </c>
      <c r="C30" s="156" t="inlineStr">
        <is>
          <t>EX-1251</t>
        </is>
      </c>
      <c r="D30" s="156" t="inlineStr">
        <is>
          <t>DT-513</t>
        </is>
      </c>
      <c r="E30" s="156" t="inlineStr">
        <is>
          <t>OB</t>
        </is>
      </c>
      <c r="F30" s="156" t="n">
        <v>4</v>
      </c>
      <c r="G30" s="156" t="inlineStr"/>
      <c r="H30" s="157">
        <f>IF($B30="","",IF(ISNA(MATCH($B30,MASTER_JAM!$Q$5:$Q$28,0)),"?",IF(MATCH($B30,MASTER_JAM!$Q$5:$Q$28,0)&lt;=12,"DS","NS")))</f>
        <v/>
      </c>
      <c r="I30" s="157">
        <f>IFERROR(INDEX(MASTER_JAM!$B$5:$B$94,MATCH($C30,MASTER_JAM!$A$5:$A$94,0)),"")</f>
        <v/>
      </c>
      <c r="J30" s="157">
        <f>IFERROR(INDEX(MASTER_JAM!$E$5:$E$94,MATCH($D30,MASTER_JAM!$A$5:$A$94,0)),"")</f>
        <v/>
      </c>
      <c r="K30" s="158">
        <f>IFERROR(INDEX(MASTER_JAM!$J$5:$O$12,MATCH($E30,MASTER_JAM!$I$5:$I$12,0),MATCH($J30,MASTER_JAM!$J$4:$O$4,0))+0,0)</f>
        <v/>
      </c>
      <c r="L30" s="159">
        <f>N($F30)*$K30</f>
        <v/>
      </c>
      <c r="M30" s="157">
        <f>IF($E30="","",IF(OR($E30="Coal",$E30="Dirty Coal"),"MT","BCM"))</f>
        <v/>
      </c>
      <c r="N30" s="157">
        <f>IF($E30="","",IF(OR($E30="Coal",$E30="Dirty Coal"),"Coal","OB"))</f>
        <v/>
      </c>
      <c r="O30" s="157">
        <f>IF($F30="","",IF(COUNTIF(MASTER_JAM!$A$5:$A$94,$C30)=0,"Digger tidak dikenal",IF($J30="","Hauler tidak dikenal",IF($H30="?","Jam salah",IF($K30=0,"Faktor kosong",IF(SUMIFS(INPUT_DELAY!$E$5:$E$20000,INPUT_DELAY!$A$5:$A$20000,$A30,INPUT_DELAY!$B$5:$B$20000,$B30,INPUT_DELAY!$C$5:$C$20000,$C30)+SUMIFS(INPUT_DELAY!$E$5:$E$20000,INPUT_DELAY!$A$5:$A$20000,$A30,INPUT_DELAY!$B$5:$B$20000,$B30,INPUT_DELAY!$C$5:$C$20000,"SEMUA")&gt;=60,"Delay 60 mnt tapi ada ritase","OK"))))))</f>
        <v/>
      </c>
      <c r="P30" s="158">
        <f>IFERROR(INDEX(MASTER_JAM!$Z$5:$AC$10,MATCH($I30,MASTER_JAM!$Y$5:$Y$10,0),MATCH($J30,MASTER_JAM!$Z$4:$AC$4,0))+0,0)</f>
        <v/>
      </c>
      <c r="Q30" s="158">
        <f>IF($P30=0,0,$P30+IFERROR(INDEX(MASTER_JAM!$H$5:$H$94,MATCH($C30,MASTER_JAM!$A$5:$A$94,0))+0,MASTER_JAM!$AC$15)/1000*(60/MASTER_JAM!$AC$12+60/MASTER_JAM!$AC$13)+MASTER_JAM!$AC$14)</f>
        <v/>
      </c>
      <c r="R30" s="158">
        <f>IF(N($F30)=0,0,$F30/SUMIFS(INPUT_RITASE!$F$5:$F$20000,INPUT_RITASE!$A$5:$A$20000,$A30,INPUT_RITASE!$B$5:$B$20000,$B30,INPUT_RITASE!$C$5:$C$20000,$C30,INPUT_RITASE!$D$5:$D$20000,$D30))</f>
        <v/>
      </c>
      <c r="S30" s="158">
        <f>IF($Q30=0,0,$R30*$P30/$Q30)</f>
        <v/>
      </c>
    </row>
    <row r="31">
      <c r="A31" s="155" t="n">
        <v>46104</v>
      </c>
      <c r="B31" s="156" t="inlineStr">
        <is>
          <t>10-11</t>
        </is>
      </c>
      <c r="C31" s="156" t="inlineStr">
        <is>
          <t>EX-1251</t>
        </is>
      </c>
      <c r="D31" s="156" t="inlineStr">
        <is>
          <t>DT-528</t>
        </is>
      </c>
      <c r="E31" s="156" t="inlineStr">
        <is>
          <t>OB</t>
        </is>
      </c>
      <c r="F31" s="156" t="n">
        <v>4</v>
      </c>
      <c r="G31" s="156" t="inlineStr"/>
      <c r="H31" s="157">
        <f>IF($B31="","",IF(ISNA(MATCH($B31,MASTER_JAM!$Q$5:$Q$28,0)),"?",IF(MATCH($B31,MASTER_JAM!$Q$5:$Q$28,0)&lt;=12,"DS","NS")))</f>
        <v/>
      </c>
      <c r="I31" s="157">
        <f>IFERROR(INDEX(MASTER_JAM!$B$5:$B$94,MATCH($C31,MASTER_JAM!$A$5:$A$94,0)),"")</f>
        <v/>
      </c>
      <c r="J31" s="157">
        <f>IFERROR(INDEX(MASTER_JAM!$E$5:$E$94,MATCH($D31,MASTER_JAM!$A$5:$A$94,0)),"")</f>
        <v/>
      </c>
      <c r="K31" s="158">
        <f>IFERROR(INDEX(MASTER_JAM!$J$5:$O$12,MATCH($E31,MASTER_JAM!$I$5:$I$12,0),MATCH($J31,MASTER_JAM!$J$4:$O$4,0))+0,0)</f>
        <v/>
      </c>
      <c r="L31" s="159">
        <f>N($F31)*$K31</f>
        <v/>
      </c>
      <c r="M31" s="157">
        <f>IF($E31="","",IF(OR($E31="Coal",$E31="Dirty Coal"),"MT","BCM"))</f>
        <v/>
      </c>
      <c r="N31" s="157">
        <f>IF($E31="","",IF(OR($E31="Coal",$E31="Dirty Coal"),"Coal","OB"))</f>
        <v/>
      </c>
      <c r="O31" s="157">
        <f>IF($F31="","",IF(COUNTIF(MASTER_JAM!$A$5:$A$94,$C31)=0,"Digger tidak dikenal",IF($J31="","Hauler tidak dikenal",IF($H31="?","Jam salah",IF($K31=0,"Faktor kosong",IF(SUMIFS(INPUT_DELAY!$E$5:$E$20000,INPUT_DELAY!$A$5:$A$20000,$A31,INPUT_DELAY!$B$5:$B$20000,$B31,INPUT_DELAY!$C$5:$C$20000,$C31)+SUMIFS(INPUT_DELAY!$E$5:$E$20000,INPUT_DELAY!$A$5:$A$20000,$A31,INPUT_DELAY!$B$5:$B$20000,$B31,INPUT_DELAY!$C$5:$C$20000,"SEMUA")&gt;=60,"Delay 60 mnt tapi ada ritase","OK"))))))</f>
        <v/>
      </c>
      <c r="P31" s="158">
        <f>IFERROR(INDEX(MASTER_JAM!$Z$5:$AC$10,MATCH($I31,MASTER_JAM!$Y$5:$Y$10,0),MATCH($J31,MASTER_JAM!$Z$4:$AC$4,0))+0,0)</f>
        <v/>
      </c>
      <c r="Q31" s="158">
        <f>IF($P31=0,0,$P31+IFERROR(INDEX(MASTER_JAM!$H$5:$H$94,MATCH($C31,MASTER_JAM!$A$5:$A$94,0))+0,MASTER_JAM!$AC$15)/1000*(60/MASTER_JAM!$AC$12+60/MASTER_JAM!$AC$13)+MASTER_JAM!$AC$14)</f>
        <v/>
      </c>
      <c r="R31" s="158">
        <f>IF(N($F31)=0,0,$F31/SUMIFS(INPUT_RITASE!$F$5:$F$20000,INPUT_RITASE!$A$5:$A$20000,$A31,INPUT_RITASE!$B$5:$B$20000,$B31,INPUT_RITASE!$C$5:$C$20000,$C31,INPUT_RITASE!$D$5:$D$20000,$D31))</f>
        <v/>
      </c>
      <c r="S31" s="158">
        <f>IF($Q31=0,0,$R31*$P31/$Q31)</f>
        <v/>
      </c>
    </row>
    <row r="32">
      <c r="A32" s="155" t="n">
        <v>46104</v>
      </c>
      <c r="B32" s="156" t="inlineStr">
        <is>
          <t>10-11</t>
        </is>
      </c>
      <c r="C32" s="156" t="inlineStr">
        <is>
          <t>EX-1251</t>
        </is>
      </c>
      <c r="D32" s="156" t="inlineStr">
        <is>
          <t>DT-524</t>
        </is>
      </c>
      <c r="E32" s="156" t="inlineStr">
        <is>
          <t>OB</t>
        </is>
      </c>
      <c r="F32" s="156" t="n">
        <v>4</v>
      </c>
      <c r="G32" s="156" t="inlineStr"/>
      <c r="H32" s="157">
        <f>IF($B32="","",IF(ISNA(MATCH($B32,MASTER_JAM!$Q$5:$Q$28,0)),"?",IF(MATCH($B32,MASTER_JAM!$Q$5:$Q$28,0)&lt;=12,"DS","NS")))</f>
        <v/>
      </c>
      <c r="I32" s="157">
        <f>IFERROR(INDEX(MASTER_JAM!$B$5:$B$94,MATCH($C32,MASTER_JAM!$A$5:$A$94,0)),"")</f>
        <v/>
      </c>
      <c r="J32" s="157">
        <f>IFERROR(INDEX(MASTER_JAM!$E$5:$E$94,MATCH($D32,MASTER_JAM!$A$5:$A$94,0)),"")</f>
        <v/>
      </c>
      <c r="K32" s="158">
        <f>IFERROR(INDEX(MASTER_JAM!$J$5:$O$12,MATCH($E32,MASTER_JAM!$I$5:$I$12,0),MATCH($J32,MASTER_JAM!$J$4:$O$4,0))+0,0)</f>
        <v/>
      </c>
      <c r="L32" s="159">
        <f>N($F32)*$K32</f>
        <v/>
      </c>
      <c r="M32" s="157">
        <f>IF($E32="","",IF(OR($E32="Coal",$E32="Dirty Coal"),"MT","BCM"))</f>
        <v/>
      </c>
      <c r="N32" s="157">
        <f>IF($E32="","",IF(OR($E32="Coal",$E32="Dirty Coal"),"Coal","OB"))</f>
        <v/>
      </c>
      <c r="O32" s="157">
        <f>IF($F32="","",IF(COUNTIF(MASTER_JAM!$A$5:$A$94,$C32)=0,"Digger tidak dikenal",IF($J32="","Hauler tidak dikenal",IF($H32="?","Jam salah",IF($K32=0,"Faktor kosong",IF(SUMIFS(INPUT_DELAY!$E$5:$E$20000,INPUT_DELAY!$A$5:$A$20000,$A32,INPUT_DELAY!$B$5:$B$20000,$B32,INPUT_DELAY!$C$5:$C$20000,$C32)+SUMIFS(INPUT_DELAY!$E$5:$E$20000,INPUT_DELAY!$A$5:$A$20000,$A32,INPUT_DELAY!$B$5:$B$20000,$B32,INPUT_DELAY!$C$5:$C$20000,"SEMUA")&gt;=60,"Delay 60 mnt tapi ada ritase","OK"))))))</f>
        <v/>
      </c>
      <c r="P32" s="158">
        <f>IFERROR(INDEX(MASTER_JAM!$Z$5:$AC$10,MATCH($I32,MASTER_JAM!$Y$5:$Y$10,0),MATCH($J32,MASTER_JAM!$Z$4:$AC$4,0))+0,0)</f>
        <v/>
      </c>
      <c r="Q32" s="158">
        <f>IF($P32=0,0,$P32+IFERROR(INDEX(MASTER_JAM!$H$5:$H$94,MATCH($C32,MASTER_JAM!$A$5:$A$94,0))+0,MASTER_JAM!$AC$15)/1000*(60/MASTER_JAM!$AC$12+60/MASTER_JAM!$AC$13)+MASTER_JAM!$AC$14)</f>
        <v/>
      </c>
      <c r="R32" s="158">
        <f>IF(N($F32)=0,0,$F32/SUMIFS(INPUT_RITASE!$F$5:$F$20000,INPUT_RITASE!$A$5:$A$20000,$A32,INPUT_RITASE!$B$5:$B$20000,$B32,INPUT_RITASE!$C$5:$C$20000,$C32,INPUT_RITASE!$D$5:$D$20000,$D32))</f>
        <v/>
      </c>
      <c r="S32" s="158">
        <f>IF($Q32=0,0,$R32*$P32/$Q32)</f>
        <v/>
      </c>
    </row>
    <row r="33">
      <c r="A33" s="155" t="n">
        <v>46104</v>
      </c>
      <c r="B33" s="156" t="inlineStr">
        <is>
          <t>10-11</t>
        </is>
      </c>
      <c r="C33" s="156" t="inlineStr">
        <is>
          <t>EX-1251</t>
        </is>
      </c>
      <c r="D33" s="156" t="inlineStr">
        <is>
          <t>DT-516</t>
        </is>
      </c>
      <c r="E33" s="156" t="inlineStr">
        <is>
          <t>OB</t>
        </is>
      </c>
      <c r="F33" s="156" t="n">
        <v>4</v>
      </c>
      <c r="G33" s="156" t="inlineStr"/>
      <c r="H33" s="157">
        <f>IF($B33="","",IF(ISNA(MATCH($B33,MASTER_JAM!$Q$5:$Q$28,0)),"?",IF(MATCH($B33,MASTER_JAM!$Q$5:$Q$28,0)&lt;=12,"DS","NS")))</f>
        <v/>
      </c>
      <c r="I33" s="157">
        <f>IFERROR(INDEX(MASTER_JAM!$B$5:$B$94,MATCH($C33,MASTER_JAM!$A$5:$A$94,0)),"")</f>
        <v/>
      </c>
      <c r="J33" s="157">
        <f>IFERROR(INDEX(MASTER_JAM!$E$5:$E$94,MATCH($D33,MASTER_JAM!$A$5:$A$94,0)),"")</f>
        <v/>
      </c>
      <c r="K33" s="158">
        <f>IFERROR(INDEX(MASTER_JAM!$J$5:$O$12,MATCH($E33,MASTER_JAM!$I$5:$I$12,0),MATCH($J33,MASTER_JAM!$J$4:$O$4,0))+0,0)</f>
        <v/>
      </c>
      <c r="L33" s="159">
        <f>N($F33)*$K33</f>
        <v/>
      </c>
      <c r="M33" s="157">
        <f>IF($E33="","",IF(OR($E33="Coal",$E33="Dirty Coal"),"MT","BCM"))</f>
        <v/>
      </c>
      <c r="N33" s="157">
        <f>IF($E33="","",IF(OR($E33="Coal",$E33="Dirty Coal"),"Coal","OB"))</f>
        <v/>
      </c>
      <c r="O33" s="157">
        <f>IF($F33="","",IF(COUNTIF(MASTER_JAM!$A$5:$A$94,$C33)=0,"Digger tidak dikenal",IF($J33="","Hauler tidak dikenal",IF($H33="?","Jam salah",IF($K33=0,"Faktor kosong",IF(SUMIFS(INPUT_DELAY!$E$5:$E$20000,INPUT_DELAY!$A$5:$A$20000,$A33,INPUT_DELAY!$B$5:$B$20000,$B33,INPUT_DELAY!$C$5:$C$20000,$C33)+SUMIFS(INPUT_DELAY!$E$5:$E$20000,INPUT_DELAY!$A$5:$A$20000,$A33,INPUT_DELAY!$B$5:$B$20000,$B33,INPUT_DELAY!$C$5:$C$20000,"SEMUA")&gt;=60,"Delay 60 mnt tapi ada ritase","OK"))))))</f>
        <v/>
      </c>
      <c r="P33" s="158">
        <f>IFERROR(INDEX(MASTER_JAM!$Z$5:$AC$10,MATCH($I33,MASTER_JAM!$Y$5:$Y$10,0),MATCH($J33,MASTER_JAM!$Z$4:$AC$4,0))+0,0)</f>
        <v/>
      </c>
      <c r="Q33" s="158">
        <f>IF($P33=0,0,$P33+IFERROR(INDEX(MASTER_JAM!$H$5:$H$94,MATCH($C33,MASTER_JAM!$A$5:$A$94,0))+0,MASTER_JAM!$AC$15)/1000*(60/MASTER_JAM!$AC$12+60/MASTER_JAM!$AC$13)+MASTER_JAM!$AC$14)</f>
        <v/>
      </c>
      <c r="R33" s="158">
        <f>IF(N($F33)=0,0,$F33/SUMIFS(INPUT_RITASE!$F$5:$F$20000,INPUT_RITASE!$A$5:$A$20000,$A33,INPUT_RITASE!$B$5:$B$20000,$B33,INPUT_RITASE!$C$5:$C$20000,$C33,INPUT_RITASE!$D$5:$D$20000,$D33))</f>
        <v/>
      </c>
      <c r="S33" s="158">
        <f>IF($Q33=0,0,$R33*$P33/$Q33)</f>
        <v/>
      </c>
    </row>
    <row r="34">
      <c r="A34" s="155" t="n">
        <v>46104</v>
      </c>
      <c r="B34" s="156" t="inlineStr">
        <is>
          <t>10-11</t>
        </is>
      </c>
      <c r="C34" s="156" t="inlineStr">
        <is>
          <t>EX-1251</t>
        </is>
      </c>
      <c r="D34" s="156" t="inlineStr">
        <is>
          <t>DT-501</t>
        </is>
      </c>
      <c r="E34" s="156" t="inlineStr">
        <is>
          <t>OB</t>
        </is>
      </c>
      <c r="F34" s="156" t="n">
        <v>4</v>
      </c>
      <c r="G34" s="156" t="inlineStr"/>
      <c r="H34" s="157">
        <f>IF($B34="","",IF(ISNA(MATCH($B34,MASTER_JAM!$Q$5:$Q$28,0)),"?",IF(MATCH($B34,MASTER_JAM!$Q$5:$Q$28,0)&lt;=12,"DS","NS")))</f>
        <v/>
      </c>
      <c r="I34" s="157">
        <f>IFERROR(INDEX(MASTER_JAM!$B$5:$B$94,MATCH($C34,MASTER_JAM!$A$5:$A$94,0)),"")</f>
        <v/>
      </c>
      <c r="J34" s="157">
        <f>IFERROR(INDEX(MASTER_JAM!$E$5:$E$94,MATCH($D34,MASTER_JAM!$A$5:$A$94,0)),"")</f>
        <v/>
      </c>
      <c r="K34" s="158">
        <f>IFERROR(INDEX(MASTER_JAM!$J$5:$O$12,MATCH($E34,MASTER_JAM!$I$5:$I$12,0),MATCH($J34,MASTER_JAM!$J$4:$O$4,0))+0,0)</f>
        <v/>
      </c>
      <c r="L34" s="159">
        <f>N($F34)*$K34</f>
        <v/>
      </c>
      <c r="M34" s="157">
        <f>IF($E34="","",IF(OR($E34="Coal",$E34="Dirty Coal"),"MT","BCM"))</f>
        <v/>
      </c>
      <c r="N34" s="157">
        <f>IF($E34="","",IF(OR($E34="Coal",$E34="Dirty Coal"),"Coal","OB"))</f>
        <v/>
      </c>
      <c r="O34" s="157">
        <f>IF($F34="","",IF(COUNTIF(MASTER_JAM!$A$5:$A$94,$C34)=0,"Digger tidak dikenal",IF($J34="","Hauler tidak dikenal",IF($H34="?","Jam salah",IF($K34=0,"Faktor kosong",IF(SUMIFS(INPUT_DELAY!$E$5:$E$20000,INPUT_DELAY!$A$5:$A$20000,$A34,INPUT_DELAY!$B$5:$B$20000,$B34,INPUT_DELAY!$C$5:$C$20000,$C34)+SUMIFS(INPUT_DELAY!$E$5:$E$20000,INPUT_DELAY!$A$5:$A$20000,$A34,INPUT_DELAY!$B$5:$B$20000,$B34,INPUT_DELAY!$C$5:$C$20000,"SEMUA")&gt;=60,"Delay 60 mnt tapi ada ritase","OK"))))))</f>
        <v/>
      </c>
      <c r="P34" s="158">
        <f>IFERROR(INDEX(MASTER_JAM!$Z$5:$AC$10,MATCH($I34,MASTER_JAM!$Y$5:$Y$10,0),MATCH($J34,MASTER_JAM!$Z$4:$AC$4,0))+0,0)</f>
        <v/>
      </c>
      <c r="Q34" s="158">
        <f>IF($P34=0,0,$P34+IFERROR(INDEX(MASTER_JAM!$H$5:$H$94,MATCH($C34,MASTER_JAM!$A$5:$A$94,0))+0,MASTER_JAM!$AC$15)/1000*(60/MASTER_JAM!$AC$12+60/MASTER_JAM!$AC$13)+MASTER_JAM!$AC$14)</f>
        <v/>
      </c>
      <c r="R34" s="158">
        <f>IF(N($F34)=0,0,$F34/SUMIFS(INPUT_RITASE!$F$5:$F$20000,INPUT_RITASE!$A$5:$A$20000,$A34,INPUT_RITASE!$B$5:$B$20000,$B34,INPUT_RITASE!$C$5:$C$20000,$C34,INPUT_RITASE!$D$5:$D$20000,$D34))</f>
        <v/>
      </c>
      <c r="S34" s="158">
        <f>IF($Q34=0,0,$R34*$P34/$Q34)</f>
        <v/>
      </c>
    </row>
    <row r="35">
      <c r="A35" s="155" t="n">
        <v>46104</v>
      </c>
      <c r="B35" s="156" t="inlineStr">
        <is>
          <t>10-11</t>
        </is>
      </c>
      <c r="C35" s="156" t="inlineStr">
        <is>
          <t>EX-1251</t>
        </is>
      </c>
      <c r="D35" s="156" t="inlineStr">
        <is>
          <t>DT-506</t>
        </is>
      </c>
      <c r="E35" s="156" t="inlineStr">
        <is>
          <t>OB</t>
        </is>
      </c>
      <c r="F35" s="156" t="n">
        <v>4</v>
      </c>
      <c r="G35" s="156" t="inlineStr"/>
      <c r="H35" s="157">
        <f>IF($B35="","",IF(ISNA(MATCH($B35,MASTER_JAM!$Q$5:$Q$28,0)),"?",IF(MATCH($B35,MASTER_JAM!$Q$5:$Q$28,0)&lt;=12,"DS","NS")))</f>
        <v/>
      </c>
      <c r="I35" s="157">
        <f>IFERROR(INDEX(MASTER_JAM!$B$5:$B$94,MATCH($C35,MASTER_JAM!$A$5:$A$94,0)),"")</f>
        <v/>
      </c>
      <c r="J35" s="157">
        <f>IFERROR(INDEX(MASTER_JAM!$E$5:$E$94,MATCH($D35,MASTER_JAM!$A$5:$A$94,0)),"")</f>
        <v/>
      </c>
      <c r="K35" s="158">
        <f>IFERROR(INDEX(MASTER_JAM!$J$5:$O$12,MATCH($E35,MASTER_JAM!$I$5:$I$12,0),MATCH($J35,MASTER_JAM!$J$4:$O$4,0))+0,0)</f>
        <v/>
      </c>
      <c r="L35" s="159">
        <f>N($F35)*$K35</f>
        <v/>
      </c>
      <c r="M35" s="157">
        <f>IF($E35="","",IF(OR($E35="Coal",$E35="Dirty Coal"),"MT","BCM"))</f>
        <v/>
      </c>
      <c r="N35" s="157">
        <f>IF($E35="","",IF(OR($E35="Coal",$E35="Dirty Coal"),"Coal","OB"))</f>
        <v/>
      </c>
      <c r="O35" s="157">
        <f>IF($F35="","",IF(COUNTIF(MASTER_JAM!$A$5:$A$94,$C35)=0,"Digger tidak dikenal",IF($J35="","Hauler tidak dikenal",IF($H35="?","Jam salah",IF($K35=0,"Faktor kosong",IF(SUMIFS(INPUT_DELAY!$E$5:$E$20000,INPUT_DELAY!$A$5:$A$20000,$A35,INPUT_DELAY!$B$5:$B$20000,$B35,INPUT_DELAY!$C$5:$C$20000,$C35)+SUMIFS(INPUT_DELAY!$E$5:$E$20000,INPUT_DELAY!$A$5:$A$20000,$A35,INPUT_DELAY!$B$5:$B$20000,$B35,INPUT_DELAY!$C$5:$C$20000,"SEMUA")&gt;=60,"Delay 60 mnt tapi ada ritase","OK"))))))</f>
        <v/>
      </c>
      <c r="P35" s="158">
        <f>IFERROR(INDEX(MASTER_JAM!$Z$5:$AC$10,MATCH($I35,MASTER_JAM!$Y$5:$Y$10,0),MATCH($J35,MASTER_JAM!$Z$4:$AC$4,0))+0,0)</f>
        <v/>
      </c>
      <c r="Q35" s="158">
        <f>IF($P35=0,0,$P35+IFERROR(INDEX(MASTER_JAM!$H$5:$H$94,MATCH($C35,MASTER_JAM!$A$5:$A$94,0))+0,MASTER_JAM!$AC$15)/1000*(60/MASTER_JAM!$AC$12+60/MASTER_JAM!$AC$13)+MASTER_JAM!$AC$14)</f>
        <v/>
      </c>
      <c r="R35" s="158">
        <f>IF(N($F35)=0,0,$F35/SUMIFS(INPUT_RITASE!$F$5:$F$20000,INPUT_RITASE!$A$5:$A$20000,$A35,INPUT_RITASE!$B$5:$B$20000,$B35,INPUT_RITASE!$C$5:$C$20000,$C35,INPUT_RITASE!$D$5:$D$20000,$D35))</f>
        <v/>
      </c>
      <c r="S35" s="158">
        <f>IF($Q35=0,0,$R35*$P35/$Q35)</f>
        <v/>
      </c>
    </row>
    <row r="36">
      <c r="A36" s="155" t="n">
        <v>46104</v>
      </c>
      <c r="B36" s="156" t="inlineStr">
        <is>
          <t>10-11</t>
        </is>
      </c>
      <c r="C36" s="156" t="inlineStr">
        <is>
          <t>EX-1251</t>
        </is>
      </c>
      <c r="D36" s="156" t="inlineStr">
        <is>
          <t>DT-503</t>
        </is>
      </c>
      <c r="E36" s="156" t="inlineStr">
        <is>
          <t>OB</t>
        </is>
      </c>
      <c r="F36" s="156" t="n">
        <v>3</v>
      </c>
      <c r="G36" s="156" t="inlineStr"/>
      <c r="H36" s="157">
        <f>IF($B36="","",IF(ISNA(MATCH($B36,MASTER_JAM!$Q$5:$Q$28,0)),"?",IF(MATCH($B36,MASTER_JAM!$Q$5:$Q$28,0)&lt;=12,"DS","NS")))</f>
        <v/>
      </c>
      <c r="I36" s="157">
        <f>IFERROR(INDEX(MASTER_JAM!$B$5:$B$94,MATCH($C36,MASTER_JAM!$A$5:$A$94,0)),"")</f>
        <v/>
      </c>
      <c r="J36" s="157">
        <f>IFERROR(INDEX(MASTER_JAM!$E$5:$E$94,MATCH($D36,MASTER_JAM!$A$5:$A$94,0)),"")</f>
        <v/>
      </c>
      <c r="K36" s="158">
        <f>IFERROR(INDEX(MASTER_JAM!$J$5:$O$12,MATCH($E36,MASTER_JAM!$I$5:$I$12,0),MATCH($J36,MASTER_JAM!$J$4:$O$4,0))+0,0)</f>
        <v/>
      </c>
      <c r="L36" s="159">
        <f>N($F36)*$K36</f>
        <v/>
      </c>
      <c r="M36" s="157">
        <f>IF($E36="","",IF(OR($E36="Coal",$E36="Dirty Coal"),"MT","BCM"))</f>
        <v/>
      </c>
      <c r="N36" s="157">
        <f>IF($E36="","",IF(OR($E36="Coal",$E36="Dirty Coal"),"Coal","OB"))</f>
        <v/>
      </c>
      <c r="O36" s="157">
        <f>IF($F36="","",IF(COUNTIF(MASTER_JAM!$A$5:$A$94,$C36)=0,"Digger tidak dikenal",IF($J36="","Hauler tidak dikenal",IF($H36="?","Jam salah",IF($K36=0,"Faktor kosong",IF(SUMIFS(INPUT_DELAY!$E$5:$E$20000,INPUT_DELAY!$A$5:$A$20000,$A36,INPUT_DELAY!$B$5:$B$20000,$B36,INPUT_DELAY!$C$5:$C$20000,$C36)+SUMIFS(INPUT_DELAY!$E$5:$E$20000,INPUT_DELAY!$A$5:$A$20000,$A36,INPUT_DELAY!$B$5:$B$20000,$B36,INPUT_DELAY!$C$5:$C$20000,"SEMUA")&gt;=60,"Delay 60 mnt tapi ada ritase","OK"))))))</f>
        <v/>
      </c>
      <c r="P36" s="158">
        <f>IFERROR(INDEX(MASTER_JAM!$Z$5:$AC$10,MATCH($I36,MASTER_JAM!$Y$5:$Y$10,0),MATCH($J36,MASTER_JAM!$Z$4:$AC$4,0))+0,0)</f>
        <v/>
      </c>
      <c r="Q36" s="158">
        <f>IF($P36=0,0,$P36+IFERROR(INDEX(MASTER_JAM!$H$5:$H$94,MATCH($C36,MASTER_JAM!$A$5:$A$94,0))+0,MASTER_JAM!$AC$15)/1000*(60/MASTER_JAM!$AC$12+60/MASTER_JAM!$AC$13)+MASTER_JAM!$AC$14)</f>
        <v/>
      </c>
      <c r="R36" s="158">
        <f>IF(N($F36)=0,0,$F36/SUMIFS(INPUT_RITASE!$F$5:$F$20000,INPUT_RITASE!$A$5:$A$20000,$A36,INPUT_RITASE!$B$5:$B$20000,$B36,INPUT_RITASE!$C$5:$C$20000,$C36,INPUT_RITASE!$D$5:$D$20000,$D36))</f>
        <v/>
      </c>
      <c r="S36" s="158">
        <f>IF($Q36=0,0,$R36*$P36/$Q36)</f>
        <v/>
      </c>
    </row>
    <row r="37">
      <c r="A37" s="155" t="n">
        <v>46104</v>
      </c>
      <c r="B37" s="156" t="inlineStr">
        <is>
          <t>11-12</t>
        </is>
      </c>
      <c r="C37" s="156" t="inlineStr">
        <is>
          <t>EX-1251</t>
        </is>
      </c>
      <c r="D37" s="156" t="inlineStr">
        <is>
          <t>DT-524</t>
        </is>
      </c>
      <c r="E37" s="156" t="inlineStr">
        <is>
          <t>OB</t>
        </is>
      </c>
      <c r="F37" s="156" t="n">
        <v>4</v>
      </c>
      <c r="G37" s="156" t="inlineStr"/>
      <c r="H37" s="157">
        <f>IF($B37="","",IF(ISNA(MATCH($B37,MASTER_JAM!$Q$5:$Q$28,0)),"?",IF(MATCH($B37,MASTER_JAM!$Q$5:$Q$28,0)&lt;=12,"DS","NS")))</f>
        <v/>
      </c>
      <c r="I37" s="157">
        <f>IFERROR(INDEX(MASTER_JAM!$B$5:$B$94,MATCH($C37,MASTER_JAM!$A$5:$A$94,0)),"")</f>
        <v/>
      </c>
      <c r="J37" s="157">
        <f>IFERROR(INDEX(MASTER_JAM!$E$5:$E$94,MATCH($D37,MASTER_JAM!$A$5:$A$94,0)),"")</f>
        <v/>
      </c>
      <c r="K37" s="158">
        <f>IFERROR(INDEX(MASTER_JAM!$J$5:$O$12,MATCH($E37,MASTER_JAM!$I$5:$I$12,0),MATCH($J37,MASTER_JAM!$J$4:$O$4,0))+0,0)</f>
        <v/>
      </c>
      <c r="L37" s="159">
        <f>N($F37)*$K37</f>
        <v/>
      </c>
      <c r="M37" s="157">
        <f>IF($E37="","",IF(OR($E37="Coal",$E37="Dirty Coal"),"MT","BCM"))</f>
        <v/>
      </c>
      <c r="N37" s="157">
        <f>IF($E37="","",IF(OR($E37="Coal",$E37="Dirty Coal"),"Coal","OB"))</f>
        <v/>
      </c>
      <c r="O37" s="157">
        <f>IF($F37="","",IF(COUNTIF(MASTER_JAM!$A$5:$A$94,$C37)=0,"Digger tidak dikenal",IF($J37="","Hauler tidak dikenal",IF($H37="?","Jam salah",IF($K37=0,"Faktor kosong",IF(SUMIFS(INPUT_DELAY!$E$5:$E$20000,INPUT_DELAY!$A$5:$A$20000,$A37,INPUT_DELAY!$B$5:$B$20000,$B37,INPUT_DELAY!$C$5:$C$20000,$C37)+SUMIFS(INPUT_DELAY!$E$5:$E$20000,INPUT_DELAY!$A$5:$A$20000,$A37,INPUT_DELAY!$B$5:$B$20000,$B37,INPUT_DELAY!$C$5:$C$20000,"SEMUA")&gt;=60,"Delay 60 mnt tapi ada ritase","OK"))))))</f>
        <v/>
      </c>
      <c r="P37" s="158">
        <f>IFERROR(INDEX(MASTER_JAM!$Z$5:$AC$10,MATCH($I37,MASTER_JAM!$Y$5:$Y$10,0),MATCH($J37,MASTER_JAM!$Z$4:$AC$4,0))+0,0)</f>
        <v/>
      </c>
      <c r="Q37" s="158">
        <f>IF($P37=0,0,$P37+IFERROR(INDEX(MASTER_JAM!$H$5:$H$94,MATCH($C37,MASTER_JAM!$A$5:$A$94,0))+0,MASTER_JAM!$AC$15)/1000*(60/MASTER_JAM!$AC$12+60/MASTER_JAM!$AC$13)+MASTER_JAM!$AC$14)</f>
        <v/>
      </c>
      <c r="R37" s="158">
        <f>IF(N($F37)=0,0,$F37/SUMIFS(INPUT_RITASE!$F$5:$F$20000,INPUT_RITASE!$A$5:$A$20000,$A37,INPUT_RITASE!$B$5:$B$20000,$B37,INPUT_RITASE!$C$5:$C$20000,$C37,INPUT_RITASE!$D$5:$D$20000,$D37))</f>
        <v/>
      </c>
      <c r="S37" s="158">
        <f>IF($Q37=0,0,$R37*$P37/$Q37)</f>
        <v/>
      </c>
    </row>
    <row r="38">
      <c r="A38" s="155" t="n">
        <v>46104</v>
      </c>
      <c r="B38" s="156" t="inlineStr">
        <is>
          <t>11-12</t>
        </is>
      </c>
      <c r="C38" s="156" t="inlineStr">
        <is>
          <t>EX-1251</t>
        </is>
      </c>
      <c r="D38" s="156" t="inlineStr">
        <is>
          <t>DT-510</t>
        </is>
      </c>
      <c r="E38" s="156" t="inlineStr">
        <is>
          <t>OB</t>
        </is>
      </c>
      <c r="F38" s="156" t="n">
        <v>4</v>
      </c>
      <c r="G38" s="156" t="inlineStr"/>
      <c r="H38" s="157">
        <f>IF($B38="","",IF(ISNA(MATCH($B38,MASTER_JAM!$Q$5:$Q$28,0)),"?",IF(MATCH($B38,MASTER_JAM!$Q$5:$Q$28,0)&lt;=12,"DS","NS")))</f>
        <v/>
      </c>
      <c r="I38" s="157">
        <f>IFERROR(INDEX(MASTER_JAM!$B$5:$B$94,MATCH($C38,MASTER_JAM!$A$5:$A$94,0)),"")</f>
        <v/>
      </c>
      <c r="J38" s="157">
        <f>IFERROR(INDEX(MASTER_JAM!$E$5:$E$94,MATCH($D38,MASTER_JAM!$A$5:$A$94,0)),"")</f>
        <v/>
      </c>
      <c r="K38" s="158">
        <f>IFERROR(INDEX(MASTER_JAM!$J$5:$O$12,MATCH($E38,MASTER_JAM!$I$5:$I$12,0),MATCH($J38,MASTER_JAM!$J$4:$O$4,0))+0,0)</f>
        <v/>
      </c>
      <c r="L38" s="159">
        <f>N($F38)*$K38</f>
        <v/>
      </c>
      <c r="M38" s="157">
        <f>IF($E38="","",IF(OR($E38="Coal",$E38="Dirty Coal"),"MT","BCM"))</f>
        <v/>
      </c>
      <c r="N38" s="157">
        <f>IF($E38="","",IF(OR($E38="Coal",$E38="Dirty Coal"),"Coal","OB"))</f>
        <v/>
      </c>
      <c r="O38" s="157">
        <f>IF($F38="","",IF(COUNTIF(MASTER_JAM!$A$5:$A$94,$C38)=0,"Digger tidak dikenal",IF($J38="","Hauler tidak dikenal",IF($H38="?","Jam salah",IF($K38=0,"Faktor kosong",IF(SUMIFS(INPUT_DELAY!$E$5:$E$20000,INPUT_DELAY!$A$5:$A$20000,$A38,INPUT_DELAY!$B$5:$B$20000,$B38,INPUT_DELAY!$C$5:$C$20000,$C38)+SUMIFS(INPUT_DELAY!$E$5:$E$20000,INPUT_DELAY!$A$5:$A$20000,$A38,INPUT_DELAY!$B$5:$B$20000,$B38,INPUT_DELAY!$C$5:$C$20000,"SEMUA")&gt;=60,"Delay 60 mnt tapi ada ritase","OK"))))))</f>
        <v/>
      </c>
      <c r="P38" s="158">
        <f>IFERROR(INDEX(MASTER_JAM!$Z$5:$AC$10,MATCH($I38,MASTER_JAM!$Y$5:$Y$10,0),MATCH($J38,MASTER_JAM!$Z$4:$AC$4,0))+0,0)</f>
        <v/>
      </c>
      <c r="Q38" s="158">
        <f>IF($P38=0,0,$P38+IFERROR(INDEX(MASTER_JAM!$H$5:$H$94,MATCH($C38,MASTER_JAM!$A$5:$A$94,0))+0,MASTER_JAM!$AC$15)/1000*(60/MASTER_JAM!$AC$12+60/MASTER_JAM!$AC$13)+MASTER_JAM!$AC$14)</f>
        <v/>
      </c>
      <c r="R38" s="158">
        <f>IF(N($F38)=0,0,$F38/SUMIFS(INPUT_RITASE!$F$5:$F$20000,INPUT_RITASE!$A$5:$A$20000,$A38,INPUT_RITASE!$B$5:$B$20000,$B38,INPUT_RITASE!$C$5:$C$20000,$C38,INPUT_RITASE!$D$5:$D$20000,$D38))</f>
        <v/>
      </c>
      <c r="S38" s="158">
        <f>IF($Q38=0,0,$R38*$P38/$Q38)</f>
        <v/>
      </c>
    </row>
    <row r="39">
      <c r="A39" s="155" t="n">
        <v>46104</v>
      </c>
      <c r="B39" s="156" t="inlineStr">
        <is>
          <t>11-12</t>
        </is>
      </c>
      <c r="C39" s="156" t="inlineStr">
        <is>
          <t>EX-1251</t>
        </is>
      </c>
      <c r="D39" s="156" t="inlineStr">
        <is>
          <t>DT-527</t>
        </is>
      </c>
      <c r="E39" s="156" t="inlineStr">
        <is>
          <t>OB</t>
        </is>
      </c>
      <c r="F39" s="156" t="n">
        <v>4</v>
      </c>
      <c r="G39" s="156" t="inlineStr"/>
      <c r="H39" s="157">
        <f>IF($B39="","",IF(ISNA(MATCH($B39,MASTER_JAM!$Q$5:$Q$28,0)),"?",IF(MATCH($B39,MASTER_JAM!$Q$5:$Q$28,0)&lt;=12,"DS","NS")))</f>
        <v/>
      </c>
      <c r="I39" s="157">
        <f>IFERROR(INDEX(MASTER_JAM!$B$5:$B$94,MATCH($C39,MASTER_JAM!$A$5:$A$94,0)),"")</f>
        <v/>
      </c>
      <c r="J39" s="157">
        <f>IFERROR(INDEX(MASTER_JAM!$E$5:$E$94,MATCH($D39,MASTER_JAM!$A$5:$A$94,0)),"")</f>
        <v/>
      </c>
      <c r="K39" s="158">
        <f>IFERROR(INDEX(MASTER_JAM!$J$5:$O$12,MATCH($E39,MASTER_JAM!$I$5:$I$12,0),MATCH($J39,MASTER_JAM!$J$4:$O$4,0))+0,0)</f>
        <v/>
      </c>
      <c r="L39" s="159">
        <f>N($F39)*$K39</f>
        <v/>
      </c>
      <c r="M39" s="157">
        <f>IF($E39="","",IF(OR($E39="Coal",$E39="Dirty Coal"),"MT","BCM"))</f>
        <v/>
      </c>
      <c r="N39" s="157">
        <f>IF($E39="","",IF(OR($E39="Coal",$E39="Dirty Coal"),"Coal","OB"))</f>
        <v/>
      </c>
      <c r="O39" s="157">
        <f>IF($F39="","",IF(COUNTIF(MASTER_JAM!$A$5:$A$94,$C39)=0,"Digger tidak dikenal",IF($J39="","Hauler tidak dikenal",IF($H39="?","Jam salah",IF($K39=0,"Faktor kosong",IF(SUMIFS(INPUT_DELAY!$E$5:$E$20000,INPUT_DELAY!$A$5:$A$20000,$A39,INPUT_DELAY!$B$5:$B$20000,$B39,INPUT_DELAY!$C$5:$C$20000,$C39)+SUMIFS(INPUT_DELAY!$E$5:$E$20000,INPUT_DELAY!$A$5:$A$20000,$A39,INPUT_DELAY!$B$5:$B$20000,$B39,INPUT_DELAY!$C$5:$C$20000,"SEMUA")&gt;=60,"Delay 60 mnt tapi ada ritase","OK"))))))</f>
        <v/>
      </c>
      <c r="P39" s="158">
        <f>IFERROR(INDEX(MASTER_JAM!$Z$5:$AC$10,MATCH($I39,MASTER_JAM!$Y$5:$Y$10,0),MATCH($J39,MASTER_JAM!$Z$4:$AC$4,0))+0,0)</f>
        <v/>
      </c>
      <c r="Q39" s="158">
        <f>IF($P39=0,0,$P39+IFERROR(INDEX(MASTER_JAM!$H$5:$H$94,MATCH($C39,MASTER_JAM!$A$5:$A$94,0))+0,MASTER_JAM!$AC$15)/1000*(60/MASTER_JAM!$AC$12+60/MASTER_JAM!$AC$13)+MASTER_JAM!$AC$14)</f>
        <v/>
      </c>
      <c r="R39" s="158">
        <f>IF(N($F39)=0,0,$F39/SUMIFS(INPUT_RITASE!$F$5:$F$20000,INPUT_RITASE!$A$5:$A$20000,$A39,INPUT_RITASE!$B$5:$B$20000,$B39,INPUT_RITASE!$C$5:$C$20000,$C39,INPUT_RITASE!$D$5:$D$20000,$D39))</f>
        <v/>
      </c>
      <c r="S39" s="158">
        <f>IF($Q39=0,0,$R39*$P39/$Q39)</f>
        <v/>
      </c>
    </row>
    <row r="40">
      <c r="A40" s="155" t="n">
        <v>46104</v>
      </c>
      <c r="B40" s="156" t="inlineStr">
        <is>
          <t>11-12</t>
        </is>
      </c>
      <c r="C40" s="156" t="inlineStr">
        <is>
          <t>EX-1251</t>
        </is>
      </c>
      <c r="D40" s="156" t="inlineStr">
        <is>
          <t>DT-515</t>
        </is>
      </c>
      <c r="E40" s="156" t="inlineStr">
        <is>
          <t>OB</t>
        </is>
      </c>
      <c r="F40" s="156" t="n">
        <v>4</v>
      </c>
      <c r="G40" s="156" t="inlineStr"/>
      <c r="H40" s="157">
        <f>IF($B40="","",IF(ISNA(MATCH($B40,MASTER_JAM!$Q$5:$Q$28,0)),"?",IF(MATCH($B40,MASTER_JAM!$Q$5:$Q$28,0)&lt;=12,"DS","NS")))</f>
        <v/>
      </c>
      <c r="I40" s="157">
        <f>IFERROR(INDEX(MASTER_JAM!$B$5:$B$94,MATCH($C40,MASTER_JAM!$A$5:$A$94,0)),"")</f>
        <v/>
      </c>
      <c r="J40" s="157">
        <f>IFERROR(INDEX(MASTER_JAM!$E$5:$E$94,MATCH($D40,MASTER_JAM!$A$5:$A$94,0)),"")</f>
        <v/>
      </c>
      <c r="K40" s="158">
        <f>IFERROR(INDEX(MASTER_JAM!$J$5:$O$12,MATCH($E40,MASTER_JAM!$I$5:$I$12,0),MATCH($J40,MASTER_JAM!$J$4:$O$4,0))+0,0)</f>
        <v/>
      </c>
      <c r="L40" s="159">
        <f>N($F40)*$K40</f>
        <v/>
      </c>
      <c r="M40" s="157">
        <f>IF($E40="","",IF(OR($E40="Coal",$E40="Dirty Coal"),"MT","BCM"))</f>
        <v/>
      </c>
      <c r="N40" s="157">
        <f>IF($E40="","",IF(OR($E40="Coal",$E40="Dirty Coal"),"Coal","OB"))</f>
        <v/>
      </c>
      <c r="O40" s="157">
        <f>IF($F40="","",IF(COUNTIF(MASTER_JAM!$A$5:$A$94,$C40)=0,"Digger tidak dikenal",IF($J40="","Hauler tidak dikenal",IF($H40="?","Jam salah",IF($K40=0,"Faktor kosong",IF(SUMIFS(INPUT_DELAY!$E$5:$E$20000,INPUT_DELAY!$A$5:$A$20000,$A40,INPUT_DELAY!$B$5:$B$20000,$B40,INPUT_DELAY!$C$5:$C$20000,$C40)+SUMIFS(INPUT_DELAY!$E$5:$E$20000,INPUT_DELAY!$A$5:$A$20000,$A40,INPUT_DELAY!$B$5:$B$20000,$B40,INPUT_DELAY!$C$5:$C$20000,"SEMUA")&gt;=60,"Delay 60 mnt tapi ada ritase","OK"))))))</f>
        <v/>
      </c>
      <c r="P40" s="158">
        <f>IFERROR(INDEX(MASTER_JAM!$Z$5:$AC$10,MATCH($I40,MASTER_JAM!$Y$5:$Y$10,0),MATCH($J40,MASTER_JAM!$Z$4:$AC$4,0))+0,0)</f>
        <v/>
      </c>
      <c r="Q40" s="158">
        <f>IF($P40=0,0,$P40+IFERROR(INDEX(MASTER_JAM!$H$5:$H$94,MATCH($C40,MASTER_JAM!$A$5:$A$94,0))+0,MASTER_JAM!$AC$15)/1000*(60/MASTER_JAM!$AC$12+60/MASTER_JAM!$AC$13)+MASTER_JAM!$AC$14)</f>
        <v/>
      </c>
      <c r="R40" s="158">
        <f>IF(N($F40)=0,0,$F40/SUMIFS(INPUT_RITASE!$F$5:$F$20000,INPUT_RITASE!$A$5:$A$20000,$A40,INPUT_RITASE!$B$5:$B$20000,$B40,INPUT_RITASE!$C$5:$C$20000,$C40,INPUT_RITASE!$D$5:$D$20000,$D40))</f>
        <v/>
      </c>
      <c r="S40" s="158">
        <f>IF($Q40=0,0,$R40*$P40/$Q40)</f>
        <v/>
      </c>
    </row>
    <row r="41">
      <c r="A41" s="155" t="n">
        <v>46104</v>
      </c>
      <c r="B41" s="156" t="inlineStr">
        <is>
          <t>11-12</t>
        </is>
      </c>
      <c r="C41" s="156" t="inlineStr">
        <is>
          <t>EX-1251</t>
        </is>
      </c>
      <c r="D41" s="156" t="inlineStr">
        <is>
          <t>DT-501</t>
        </is>
      </c>
      <c r="E41" s="156" t="inlineStr">
        <is>
          <t>OB</t>
        </is>
      </c>
      <c r="F41" s="156" t="n">
        <v>4</v>
      </c>
      <c r="G41" s="156" t="inlineStr"/>
      <c r="H41" s="157">
        <f>IF($B41="","",IF(ISNA(MATCH($B41,MASTER_JAM!$Q$5:$Q$28,0)),"?",IF(MATCH($B41,MASTER_JAM!$Q$5:$Q$28,0)&lt;=12,"DS","NS")))</f>
        <v/>
      </c>
      <c r="I41" s="157">
        <f>IFERROR(INDEX(MASTER_JAM!$B$5:$B$94,MATCH($C41,MASTER_JAM!$A$5:$A$94,0)),"")</f>
        <v/>
      </c>
      <c r="J41" s="157">
        <f>IFERROR(INDEX(MASTER_JAM!$E$5:$E$94,MATCH($D41,MASTER_JAM!$A$5:$A$94,0)),"")</f>
        <v/>
      </c>
      <c r="K41" s="158">
        <f>IFERROR(INDEX(MASTER_JAM!$J$5:$O$12,MATCH($E41,MASTER_JAM!$I$5:$I$12,0),MATCH($J41,MASTER_JAM!$J$4:$O$4,0))+0,0)</f>
        <v/>
      </c>
      <c r="L41" s="159">
        <f>N($F41)*$K41</f>
        <v/>
      </c>
      <c r="M41" s="157">
        <f>IF($E41="","",IF(OR($E41="Coal",$E41="Dirty Coal"),"MT","BCM"))</f>
        <v/>
      </c>
      <c r="N41" s="157">
        <f>IF($E41="","",IF(OR($E41="Coal",$E41="Dirty Coal"),"Coal","OB"))</f>
        <v/>
      </c>
      <c r="O41" s="157">
        <f>IF($F41="","",IF(COUNTIF(MASTER_JAM!$A$5:$A$94,$C41)=0,"Digger tidak dikenal",IF($J41="","Hauler tidak dikenal",IF($H41="?","Jam salah",IF($K41=0,"Faktor kosong",IF(SUMIFS(INPUT_DELAY!$E$5:$E$20000,INPUT_DELAY!$A$5:$A$20000,$A41,INPUT_DELAY!$B$5:$B$20000,$B41,INPUT_DELAY!$C$5:$C$20000,$C41)+SUMIFS(INPUT_DELAY!$E$5:$E$20000,INPUT_DELAY!$A$5:$A$20000,$A41,INPUT_DELAY!$B$5:$B$20000,$B41,INPUT_DELAY!$C$5:$C$20000,"SEMUA")&gt;=60,"Delay 60 mnt tapi ada ritase","OK"))))))</f>
        <v/>
      </c>
      <c r="P41" s="158">
        <f>IFERROR(INDEX(MASTER_JAM!$Z$5:$AC$10,MATCH($I41,MASTER_JAM!$Y$5:$Y$10,0),MATCH($J41,MASTER_JAM!$Z$4:$AC$4,0))+0,0)</f>
        <v/>
      </c>
      <c r="Q41" s="158">
        <f>IF($P41=0,0,$P41+IFERROR(INDEX(MASTER_JAM!$H$5:$H$94,MATCH($C41,MASTER_JAM!$A$5:$A$94,0))+0,MASTER_JAM!$AC$15)/1000*(60/MASTER_JAM!$AC$12+60/MASTER_JAM!$AC$13)+MASTER_JAM!$AC$14)</f>
        <v/>
      </c>
      <c r="R41" s="158">
        <f>IF(N($F41)=0,0,$F41/SUMIFS(INPUT_RITASE!$F$5:$F$20000,INPUT_RITASE!$A$5:$A$20000,$A41,INPUT_RITASE!$B$5:$B$20000,$B41,INPUT_RITASE!$C$5:$C$20000,$C41,INPUT_RITASE!$D$5:$D$20000,$D41))</f>
        <v/>
      </c>
      <c r="S41" s="158">
        <f>IF($Q41=0,0,$R41*$P41/$Q41)</f>
        <v/>
      </c>
    </row>
    <row r="42">
      <c r="A42" s="155" t="n">
        <v>46104</v>
      </c>
      <c r="B42" s="156" t="inlineStr">
        <is>
          <t>11-12</t>
        </is>
      </c>
      <c r="C42" s="156" t="inlineStr">
        <is>
          <t>EX-1251</t>
        </is>
      </c>
      <c r="D42" s="156" t="inlineStr">
        <is>
          <t>DT-503</t>
        </is>
      </c>
      <c r="E42" s="156" t="inlineStr">
        <is>
          <t>OB</t>
        </is>
      </c>
      <c r="F42" s="156" t="n">
        <v>3</v>
      </c>
      <c r="G42" s="156" t="inlineStr"/>
      <c r="H42" s="157">
        <f>IF($B42="","",IF(ISNA(MATCH($B42,MASTER_JAM!$Q$5:$Q$28,0)),"?",IF(MATCH($B42,MASTER_JAM!$Q$5:$Q$28,0)&lt;=12,"DS","NS")))</f>
        <v/>
      </c>
      <c r="I42" s="157">
        <f>IFERROR(INDEX(MASTER_JAM!$B$5:$B$94,MATCH($C42,MASTER_JAM!$A$5:$A$94,0)),"")</f>
        <v/>
      </c>
      <c r="J42" s="157">
        <f>IFERROR(INDEX(MASTER_JAM!$E$5:$E$94,MATCH($D42,MASTER_JAM!$A$5:$A$94,0)),"")</f>
        <v/>
      </c>
      <c r="K42" s="158">
        <f>IFERROR(INDEX(MASTER_JAM!$J$5:$O$12,MATCH($E42,MASTER_JAM!$I$5:$I$12,0),MATCH($J42,MASTER_JAM!$J$4:$O$4,0))+0,0)</f>
        <v/>
      </c>
      <c r="L42" s="159">
        <f>N($F42)*$K42</f>
        <v/>
      </c>
      <c r="M42" s="157">
        <f>IF($E42="","",IF(OR($E42="Coal",$E42="Dirty Coal"),"MT","BCM"))</f>
        <v/>
      </c>
      <c r="N42" s="157">
        <f>IF($E42="","",IF(OR($E42="Coal",$E42="Dirty Coal"),"Coal","OB"))</f>
        <v/>
      </c>
      <c r="O42" s="157">
        <f>IF($F42="","",IF(COUNTIF(MASTER_JAM!$A$5:$A$94,$C42)=0,"Digger tidak dikenal",IF($J42="","Hauler tidak dikenal",IF($H42="?","Jam salah",IF($K42=0,"Faktor kosong",IF(SUMIFS(INPUT_DELAY!$E$5:$E$20000,INPUT_DELAY!$A$5:$A$20000,$A42,INPUT_DELAY!$B$5:$B$20000,$B42,INPUT_DELAY!$C$5:$C$20000,$C42)+SUMIFS(INPUT_DELAY!$E$5:$E$20000,INPUT_DELAY!$A$5:$A$20000,$A42,INPUT_DELAY!$B$5:$B$20000,$B42,INPUT_DELAY!$C$5:$C$20000,"SEMUA")&gt;=60,"Delay 60 mnt tapi ada ritase","OK"))))))</f>
        <v/>
      </c>
      <c r="P42" s="158">
        <f>IFERROR(INDEX(MASTER_JAM!$Z$5:$AC$10,MATCH($I42,MASTER_JAM!$Y$5:$Y$10,0),MATCH($J42,MASTER_JAM!$Z$4:$AC$4,0))+0,0)</f>
        <v/>
      </c>
      <c r="Q42" s="158">
        <f>IF($P42=0,0,$P42+IFERROR(INDEX(MASTER_JAM!$H$5:$H$94,MATCH($C42,MASTER_JAM!$A$5:$A$94,0))+0,MASTER_JAM!$AC$15)/1000*(60/MASTER_JAM!$AC$12+60/MASTER_JAM!$AC$13)+MASTER_JAM!$AC$14)</f>
        <v/>
      </c>
      <c r="R42" s="158">
        <f>IF(N($F42)=0,0,$F42/SUMIFS(INPUT_RITASE!$F$5:$F$20000,INPUT_RITASE!$A$5:$A$20000,$A42,INPUT_RITASE!$B$5:$B$20000,$B42,INPUT_RITASE!$C$5:$C$20000,$C42,INPUT_RITASE!$D$5:$D$20000,$D42))</f>
        <v/>
      </c>
      <c r="S42" s="158">
        <f>IF($Q42=0,0,$R42*$P42/$Q42)</f>
        <v/>
      </c>
    </row>
    <row r="43">
      <c r="A43" s="155" t="n">
        <v>46104</v>
      </c>
      <c r="B43" s="156" t="inlineStr">
        <is>
          <t>13-14</t>
        </is>
      </c>
      <c r="C43" s="156" t="inlineStr">
        <is>
          <t>EX-1251</t>
        </is>
      </c>
      <c r="D43" s="156" t="inlineStr">
        <is>
          <t>DT-529</t>
        </is>
      </c>
      <c r="E43" s="156" t="inlineStr">
        <is>
          <t>OB</t>
        </is>
      </c>
      <c r="F43" s="156" t="n">
        <v>4</v>
      </c>
      <c r="G43" s="156" t="inlineStr"/>
      <c r="H43" s="157">
        <f>IF($B43="","",IF(ISNA(MATCH($B43,MASTER_JAM!$Q$5:$Q$28,0)),"?",IF(MATCH($B43,MASTER_JAM!$Q$5:$Q$28,0)&lt;=12,"DS","NS")))</f>
        <v/>
      </c>
      <c r="I43" s="157">
        <f>IFERROR(INDEX(MASTER_JAM!$B$5:$B$94,MATCH($C43,MASTER_JAM!$A$5:$A$94,0)),"")</f>
        <v/>
      </c>
      <c r="J43" s="157">
        <f>IFERROR(INDEX(MASTER_JAM!$E$5:$E$94,MATCH($D43,MASTER_JAM!$A$5:$A$94,0)),"")</f>
        <v/>
      </c>
      <c r="K43" s="158">
        <f>IFERROR(INDEX(MASTER_JAM!$J$5:$O$12,MATCH($E43,MASTER_JAM!$I$5:$I$12,0),MATCH($J43,MASTER_JAM!$J$4:$O$4,0))+0,0)</f>
        <v/>
      </c>
      <c r="L43" s="159">
        <f>N($F43)*$K43</f>
        <v/>
      </c>
      <c r="M43" s="157">
        <f>IF($E43="","",IF(OR($E43="Coal",$E43="Dirty Coal"),"MT","BCM"))</f>
        <v/>
      </c>
      <c r="N43" s="157">
        <f>IF($E43="","",IF(OR($E43="Coal",$E43="Dirty Coal"),"Coal","OB"))</f>
        <v/>
      </c>
      <c r="O43" s="157">
        <f>IF($F43="","",IF(COUNTIF(MASTER_JAM!$A$5:$A$94,$C43)=0,"Digger tidak dikenal",IF($J43="","Hauler tidak dikenal",IF($H43="?","Jam salah",IF($K43=0,"Faktor kosong",IF(SUMIFS(INPUT_DELAY!$E$5:$E$20000,INPUT_DELAY!$A$5:$A$20000,$A43,INPUT_DELAY!$B$5:$B$20000,$B43,INPUT_DELAY!$C$5:$C$20000,$C43)+SUMIFS(INPUT_DELAY!$E$5:$E$20000,INPUT_DELAY!$A$5:$A$20000,$A43,INPUT_DELAY!$B$5:$B$20000,$B43,INPUT_DELAY!$C$5:$C$20000,"SEMUA")&gt;=60,"Delay 60 mnt tapi ada ritase","OK"))))))</f>
        <v/>
      </c>
      <c r="P43" s="158">
        <f>IFERROR(INDEX(MASTER_JAM!$Z$5:$AC$10,MATCH($I43,MASTER_JAM!$Y$5:$Y$10,0),MATCH($J43,MASTER_JAM!$Z$4:$AC$4,0))+0,0)</f>
        <v/>
      </c>
      <c r="Q43" s="158">
        <f>IF($P43=0,0,$P43+IFERROR(INDEX(MASTER_JAM!$H$5:$H$94,MATCH($C43,MASTER_JAM!$A$5:$A$94,0))+0,MASTER_JAM!$AC$15)/1000*(60/MASTER_JAM!$AC$12+60/MASTER_JAM!$AC$13)+MASTER_JAM!$AC$14)</f>
        <v/>
      </c>
      <c r="R43" s="158">
        <f>IF(N($F43)=0,0,$F43/SUMIFS(INPUT_RITASE!$F$5:$F$20000,INPUT_RITASE!$A$5:$A$20000,$A43,INPUT_RITASE!$B$5:$B$20000,$B43,INPUT_RITASE!$C$5:$C$20000,$C43,INPUT_RITASE!$D$5:$D$20000,$D43))</f>
        <v/>
      </c>
      <c r="S43" s="158">
        <f>IF($Q43=0,0,$R43*$P43/$Q43)</f>
        <v/>
      </c>
    </row>
    <row r="44">
      <c r="A44" s="155" t="n">
        <v>46104</v>
      </c>
      <c r="B44" s="156" t="inlineStr">
        <is>
          <t>13-14</t>
        </is>
      </c>
      <c r="C44" s="156" t="inlineStr">
        <is>
          <t>EX-1251</t>
        </is>
      </c>
      <c r="D44" s="156" t="inlineStr">
        <is>
          <t>DT-524</t>
        </is>
      </c>
      <c r="E44" s="156" t="inlineStr">
        <is>
          <t>OB</t>
        </is>
      </c>
      <c r="F44" s="156" t="n">
        <v>4</v>
      </c>
      <c r="G44" s="156" t="inlineStr"/>
      <c r="H44" s="157">
        <f>IF($B44="","",IF(ISNA(MATCH($B44,MASTER_JAM!$Q$5:$Q$28,0)),"?",IF(MATCH($B44,MASTER_JAM!$Q$5:$Q$28,0)&lt;=12,"DS","NS")))</f>
        <v/>
      </c>
      <c r="I44" s="157">
        <f>IFERROR(INDEX(MASTER_JAM!$B$5:$B$94,MATCH($C44,MASTER_JAM!$A$5:$A$94,0)),"")</f>
        <v/>
      </c>
      <c r="J44" s="157">
        <f>IFERROR(INDEX(MASTER_JAM!$E$5:$E$94,MATCH($D44,MASTER_JAM!$A$5:$A$94,0)),"")</f>
        <v/>
      </c>
      <c r="K44" s="158">
        <f>IFERROR(INDEX(MASTER_JAM!$J$5:$O$12,MATCH($E44,MASTER_JAM!$I$5:$I$12,0),MATCH($J44,MASTER_JAM!$J$4:$O$4,0))+0,0)</f>
        <v/>
      </c>
      <c r="L44" s="159">
        <f>N($F44)*$K44</f>
        <v/>
      </c>
      <c r="M44" s="157">
        <f>IF($E44="","",IF(OR($E44="Coal",$E44="Dirty Coal"),"MT","BCM"))</f>
        <v/>
      </c>
      <c r="N44" s="157">
        <f>IF($E44="","",IF(OR($E44="Coal",$E44="Dirty Coal"),"Coal","OB"))</f>
        <v/>
      </c>
      <c r="O44" s="157">
        <f>IF($F44="","",IF(COUNTIF(MASTER_JAM!$A$5:$A$94,$C44)=0,"Digger tidak dikenal",IF($J44="","Hauler tidak dikenal",IF($H44="?","Jam salah",IF($K44=0,"Faktor kosong",IF(SUMIFS(INPUT_DELAY!$E$5:$E$20000,INPUT_DELAY!$A$5:$A$20000,$A44,INPUT_DELAY!$B$5:$B$20000,$B44,INPUT_DELAY!$C$5:$C$20000,$C44)+SUMIFS(INPUT_DELAY!$E$5:$E$20000,INPUT_DELAY!$A$5:$A$20000,$A44,INPUT_DELAY!$B$5:$B$20000,$B44,INPUT_DELAY!$C$5:$C$20000,"SEMUA")&gt;=60,"Delay 60 mnt tapi ada ritase","OK"))))))</f>
        <v/>
      </c>
      <c r="P44" s="158">
        <f>IFERROR(INDEX(MASTER_JAM!$Z$5:$AC$10,MATCH($I44,MASTER_JAM!$Y$5:$Y$10,0),MATCH($J44,MASTER_JAM!$Z$4:$AC$4,0))+0,0)</f>
        <v/>
      </c>
      <c r="Q44" s="158">
        <f>IF($P44=0,0,$P44+IFERROR(INDEX(MASTER_JAM!$H$5:$H$94,MATCH($C44,MASTER_JAM!$A$5:$A$94,0))+0,MASTER_JAM!$AC$15)/1000*(60/MASTER_JAM!$AC$12+60/MASTER_JAM!$AC$13)+MASTER_JAM!$AC$14)</f>
        <v/>
      </c>
      <c r="R44" s="158">
        <f>IF(N($F44)=0,0,$F44/SUMIFS(INPUT_RITASE!$F$5:$F$20000,INPUT_RITASE!$A$5:$A$20000,$A44,INPUT_RITASE!$B$5:$B$20000,$B44,INPUT_RITASE!$C$5:$C$20000,$C44,INPUT_RITASE!$D$5:$D$20000,$D44))</f>
        <v/>
      </c>
      <c r="S44" s="158">
        <f>IF($Q44=0,0,$R44*$P44/$Q44)</f>
        <v/>
      </c>
    </row>
    <row r="45">
      <c r="A45" s="155" t="n">
        <v>46104</v>
      </c>
      <c r="B45" s="156" t="inlineStr">
        <is>
          <t>13-14</t>
        </is>
      </c>
      <c r="C45" s="156" t="inlineStr">
        <is>
          <t>EX-1251</t>
        </is>
      </c>
      <c r="D45" s="156" t="inlineStr">
        <is>
          <t>DT-510</t>
        </is>
      </c>
      <c r="E45" s="156" t="inlineStr">
        <is>
          <t>OB</t>
        </is>
      </c>
      <c r="F45" s="156" t="n">
        <v>4</v>
      </c>
      <c r="G45" s="156" t="inlineStr"/>
      <c r="H45" s="157">
        <f>IF($B45="","",IF(ISNA(MATCH($B45,MASTER_JAM!$Q$5:$Q$28,0)),"?",IF(MATCH($B45,MASTER_JAM!$Q$5:$Q$28,0)&lt;=12,"DS","NS")))</f>
        <v/>
      </c>
      <c r="I45" s="157">
        <f>IFERROR(INDEX(MASTER_JAM!$B$5:$B$94,MATCH($C45,MASTER_JAM!$A$5:$A$94,0)),"")</f>
        <v/>
      </c>
      <c r="J45" s="157">
        <f>IFERROR(INDEX(MASTER_JAM!$E$5:$E$94,MATCH($D45,MASTER_JAM!$A$5:$A$94,0)),"")</f>
        <v/>
      </c>
      <c r="K45" s="158">
        <f>IFERROR(INDEX(MASTER_JAM!$J$5:$O$12,MATCH($E45,MASTER_JAM!$I$5:$I$12,0),MATCH($J45,MASTER_JAM!$J$4:$O$4,0))+0,0)</f>
        <v/>
      </c>
      <c r="L45" s="159">
        <f>N($F45)*$K45</f>
        <v/>
      </c>
      <c r="M45" s="157">
        <f>IF($E45="","",IF(OR($E45="Coal",$E45="Dirty Coal"),"MT","BCM"))</f>
        <v/>
      </c>
      <c r="N45" s="157">
        <f>IF($E45="","",IF(OR($E45="Coal",$E45="Dirty Coal"),"Coal","OB"))</f>
        <v/>
      </c>
      <c r="O45" s="157">
        <f>IF($F45="","",IF(COUNTIF(MASTER_JAM!$A$5:$A$94,$C45)=0,"Digger tidak dikenal",IF($J45="","Hauler tidak dikenal",IF($H45="?","Jam salah",IF($K45=0,"Faktor kosong",IF(SUMIFS(INPUT_DELAY!$E$5:$E$20000,INPUT_DELAY!$A$5:$A$20000,$A45,INPUT_DELAY!$B$5:$B$20000,$B45,INPUT_DELAY!$C$5:$C$20000,$C45)+SUMIFS(INPUT_DELAY!$E$5:$E$20000,INPUT_DELAY!$A$5:$A$20000,$A45,INPUT_DELAY!$B$5:$B$20000,$B45,INPUT_DELAY!$C$5:$C$20000,"SEMUA")&gt;=60,"Delay 60 mnt tapi ada ritase","OK"))))))</f>
        <v/>
      </c>
      <c r="P45" s="158">
        <f>IFERROR(INDEX(MASTER_JAM!$Z$5:$AC$10,MATCH($I45,MASTER_JAM!$Y$5:$Y$10,0),MATCH($J45,MASTER_JAM!$Z$4:$AC$4,0))+0,0)</f>
        <v/>
      </c>
      <c r="Q45" s="158">
        <f>IF($P45=0,0,$P45+IFERROR(INDEX(MASTER_JAM!$H$5:$H$94,MATCH($C45,MASTER_JAM!$A$5:$A$94,0))+0,MASTER_JAM!$AC$15)/1000*(60/MASTER_JAM!$AC$12+60/MASTER_JAM!$AC$13)+MASTER_JAM!$AC$14)</f>
        <v/>
      </c>
      <c r="R45" s="158">
        <f>IF(N($F45)=0,0,$F45/SUMIFS(INPUT_RITASE!$F$5:$F$20000,INPUT_RITASE!$A$5:$A$20000,$A45,INPUT_RITASE!$B$5:$B$20000,$B45,INPUT_RITASE!$C$5:$C$20000,$C45,INPUT_RITASE!$D$5:$D$20000,$D45))</f>
        <v/>
      </c>
      <c r="S45" s="158">
        <f>IF($Q45=0,0,$R45*$P45/$Q45)</f>
        <v/>
      </c>
    </row>
    <row r="46">
      <c r="A46" s="155" t="n">
        <v>46104</v>
      </c>
      <c r="B46" s="156" t="inlineStr">
        <is>
          <t>13-14</t>
        </is>
      </c>
      <c r="C46" s="156" t="inlineStr">
        <is>
          <t>EX-1251</t>
        </is>
      </c>
      <c r="D46" s="156" t="inlineStr">
        <is>
          <t>DT-507</t>
        </is>
      </c>
      <c r="E46" s="156" t="inlineStr">
        <is>
          <t>OB</t>
        </is>
      </c>
      <c r="F46" s="156" t="n">
        <v>4</v>
      </c>
      <c r="G46" s="156" t="inlineStr"/>
      <c r="H46" s="157">
        <f>IF($B46="","",IF(ISNA(MATCH($B46,MASTER_JAM!$Q$5:$Q$28,0)),"?",IF(MATCH($B46,MASTER_JAM!$Q$5:$Q$28,0)&lt;=12,"DS","NS")))</f>
        <v/>
      </c>
      <c r="I46" s="157">
        <f>IFERROR(INDEX(MASTER_JAM!$B$5:$B$94,MATCH($C46,MASTER_JAM!$A$5:$A$94,0)),"")</f>
        <v/>
      </c>
      <c r="J46" s="157">
        <f>IFERROR(INDEX(MASTER_JAM!$E$5:$E$94,MATCH($D46,MASTER_JAM!$A$5:$A$94,0)),"")</f>
        <v/>
      </c>
      <c r="K46" s="158">
        <f>IFERROR(INDEX(MASTER_JAM!$J$5:$O$12,MATCH($E46,MASTER_JAM!$I$5:$I$12,0),MATCH($J46,MASTER_JAM!$J$4:$O$4,0))+0,0)</f>
        <v/>
      </c>
      <c r="L46" s="159">
        <f>N($F46)*$K46</f>
        <v/>
      </c>
      <c r="M46" s="157">
        <f>IF($E46="","",IF(OR($E46="Coal",$E46="Dirty Coal"),"MT","BCM"))</f>
        <v/>
      </c>
      <c r="N46" s="157">
        <f>IF($E46="","",IF(OR($E46="Coal",$E46="Dirty Coal"),"Coal","OB"))</f>
        <v/>
      </c>
      <c r="O46" s="157">
        <f>IF($F46="","",IF(COUNTIF(MASTER_JAM!$A$5:$A$94,$C46)=0,"Digger tidak dikenal",IF($J46="","Hauler tidak dikenal",IF($H46="?","Jam salah",IF($K46=0,"Faktor kosong",IF(SUMIFS(INPUT_DELAY!$E$5:$E$20000,INPUT_DELAY!$A$5:$A$20000,$A46,INPUT_DELAY!$B$5:$B$20000,$B46,INPUT_DELAY!$C$5:$C$20000,$C46)+SUMIFS(INPUT_DELAY!$E$5:$E$20000,INPUT_DELAY!$A$5:$A$20000,$A46,INPUT_DELAY!$B$5:$B$20000,$B46,INPUT_DELAY!$C$5:$C$20000,"SEMUA")&gt;=60,"Delay 60 mnt tapi ada ritase","OK"))))))</f>
        <v/>
      </c>
      <c r="P46" s="158">
        <f>IFERROR(INDEX(MASTER_JAM!$Z$5:$AC$10,MATCH($I46,MASTER_JAM!$Y$5:$Y$10,0),MATCH($J46,MASTER_JAM!$Z$4:$AC$4,0))+0,0)</f>
        <v/>
      </c>
      <c r="Q46" s="158">
        <f>IF($P46=0,0,$P46+IFERROR(INDEX(MASTER_JAM!$H$5:$H$94,MATCH($C46,MASTER_JAM!$A$5:$A$94,0))+0,MASTER_JAM!$AC$15)/1000*(60/MASTER_JAM!$AC$12+60/MASTER_JAM!$AC$13)+MASTER_JAM!$AC$14)</f>
        <v/>
      </c>
      <c r="R46" s="158">
        <f>IF(N($F46)=0,0,$F46/SUMIFS(INPUT_RITASE!$F$5:$F$20000,INPUT_RITASE!$A$5:$A$20000,$A46,INPUT_RITASE!$B$5:$B$20000,$B46,INPUT_RITASE!$C$5:$C$20000,$C46,INPUT_RITASE!$D$5:$D$20000,$D46))</f>
        <v/>
      </c>
      <c r="S46" s="158">
        <f>IF($Q46=0,0,$R46*$P46/$Q46)</f>
        <v/>
      </c>
    </row>
    <row r="47">
      <c r="A47" s="155" t="n">
        <v>46104</v>
      </c>
      <c r="B47" s="156" t="inlineStr">
        <is>
          <t>13-14</t>
        </is>
      </c>
      <c r="C47" s="156" t="inlineStr">
        <is>
          <t>EX-1251</t>
        </is>
      </c>
      <c r="D47" s="156" t="inlineStr">
        <is>
          <t>DT-522</t>
        </is>
      </c>
      <c r="E47" s="156" t="inlineStr">
        <is>
          <t>OB</t>
        </is>
      </c>
      <c r="F47" s="156" t="n">
        <v>4</v>
      </c>
      <c r="G47" s="156" t="inlineStr"/>
      <c r="H47" s="157">
        <f>IF($B47="","",IF(ISNA(MATCH($B47,MASTER_JAM!$Q$5:$Q$28,0)),"?",IF(MATCH($B47,MASTER_JAM!$Q$5:$Q$28,0)&lt;=12,"DS","NS")))</f>
        <v/>
      </c>
      <c r="I47" s="157">
        <f>IFERROR(INDEX(MASTER_JAM!$B$5:$B$94,MATCH($C47,MASTER_JAM!$A$5:$A$94,0)),"")</f>
        <v/>
      </c>
      <c r="J47" s="157">
        <f>IFERROR(INDEX(MASTER_JAM!$E$5:$E$94,MATCH($D47,MASTER_JAM!$A$5:$A$94,0)),"")</f>
        <v/>
      </c>
      <c r="K47" s="158">
        <f>IFERROR(INDEX(MASTER_JAM!$J$5:$O$12,MATCH($E47,MASTER_JAM!$I$5:$I$12,0),MATCH($J47,MASTER_JAM!$J$4:$O$4,0))+0,0)</f>
        <v/>
      </c>
      <c r="L47" s="159">
        <f>N($F47)*$K47</f>
        <v/>
      </c>
      <c r="M47" s="157">
        <f>IF($E47="","",IF(OR($E47="Coal",$E47="Dirty Coal"),"MT","BCM"))</f>
        <v/>
      </c>
      <c r="N47" s="157">
        <f>IF($E47="","",IF(OR($E47="Coal",$E47="Dirty Coal"),"Coal","OB"))</f>
        <v/>
      </c>
      <c r="O47" s="157">
        <f>IF($F47="","",IF(COUNTIF(MASTER_JAM!$A$5:$A$94,$C47)=0,"Digger tidak dikenal",IF($J47="","Hauler tidak dikenal",IF($H47="?","Jam salah",IF($K47=0,"Faktor kosong",IF(SUMIFS(INPUT_DELAY!$E$5:$E$20000,INPUT_DELAY!$A$5:$A$20000,$A47,INPUT_DELAY!$B$5:$B$20000,$B47,INPUT_DELAY!$C$5:$C$20000,$C47)+SUMIFS(INPUT_DELAY!$E$5:$E$20000,INPUT_DELAY!$A$5:$A$20000,$A47,INPUT_DELAY!$B$5:$B$20000,$B47,INPUT_DELAY!$C$5:$C$20000,"SEMUA")&gt;=60,"Delay 60 mnt tapi ada ritase","OK"))))))</f>
        <v/>
      </c>
      <c r="P47" s="158">
        <f>IFERROR(INDEX(MASTER_JAM!$Z$5:$AC$10,MATCH($I47,MASTER_JAM!$Y$5:$Y$10,0),MATCH($J47,MASTER_JAM!$Z$4:$AC$4,0))+0,0)</f>
        <v/>
      </c>
      <c r="Q47" s="158">
        <f>IF($P47=0,0,$P47+IFERROR(INDEX(MASTER_JAM!$H$5:$H$94,MATCH($C47,MASTER_JAM!$A$5:$A$94,0))+0,MASTER_JAM!$AC$15)/1000*(60/MASTER_JAM!$AC$12+60/MASTER_JAM!$AC$13)+MASTER_JAM!$AC$14)</f>
        <v/>
      </c>
      <c r="R47" s="158">
        <f>IF(N($F47)=0,0,$F47/SUMIFS(INPUT_RITASE!$F$5:$F$20000,INPUT_RITASE!$A$5:$A$20000,$A47,INPUT_RITASE!$B$5:$B$20000,$B47,INPUT_RITASE!$C$5:$C$20000,$C47,INPUT_RITASE!$D$5:$D$20000,$D47))</f>
        <v/>
      </c>
      <c r="S47" s="158">
        <f>IF($Q47=0,0,$R47*$P47/$Q47)</f>
        <v/>
      </c>
    </row>
    <row r="48">
      <c r="A48" s="155" t="n">
        <v>46104</v>
      </c>
      <c r="B48" s="156" t="inlineStr">
        <is>
          <t>13-14</t>
        </is>
      </c>
      <c r="C48" s="156" t="inlineStr">
        <is>
          <t>EX-1251</t>
        </is>
      </c>
      <c r="D48" s="156" t="inlineStr">
        <is>
          <t>DT-527</t>
        </is>
      </c>
      <c r="E48" s="156" t="inlineStr">
        <is>
          <t>OB</t>
        </is>
      </c>
      <c r="F48" s="156" t="n">
        <v>4</v>
      </c>
      <c r="G48" s="156" t="inlineStr"/>
      <c r="H48" s="157">
        <f>IF($B48="","",IF(ISNA(MATCH($B48,MASTER_JAM!$Q$5:$Q$28,0)),"?",IF(MATCH($B48,MASTER_JAM!$Q$5:$Q$28,0)&lt;=12,"DS","NS")))</f>
        <v/>
      </c>
      <c r="I48" s="157">
        <f>IFERROR(INDEX(MASTER_JAM!$B$5:$B$94,MATCH($C48,MASTER_JAM!$A$5:$A$94,0)),"")</f>
        <v/>
      </c>
      <c r="J48" s="157">
        <f>IFERROR(INDEX(MASTER_JAM!$E$5:$E$94,MATCH($D48,MASTER_JAM!$A$5:$A$94,0)),"")</f>
        <v/>
      </c>
      <c r="K48" s="158">
        <f>IFERROR(INDEX(MASTER_JAM!$J$5:$O$12,MATCH($E48,MASTER_JAM!$I$5:$I$12,0),MATCH($J48,MASTER_JAM!$J$4:$O$4,0))+0,0)</f>
        <v/>
      </c>
      <c r="L48" s="159">
        <f>N($F48)*$K48</f>
        <v/>
      </c>
      <c r="M48" s="157">
        <f>IF($E48="","",IF(OR($E48="Coal",$E48="Dirty Coal"),"MT","BCM"))</f>
        <v/>
      </c>
      <c r="N48" s="157">
        <f>IF($E48="","",IF(OR($E48="Coal",$E48="Dirty Coal"),"Coal","OB"))</f>
        <v/>
      </c>
      <c r="O48" s="157">
        <f>IF($F48="","",IF(COUNTIF(MASTER_JAM!$A$5:$A$94,$C48)=0,"Digger tidak dikenal",IF($J48="","Hauler tidak dikenal",IF($H48="?","Jam salah",IF($K48=0,"Faktor kosong",IF(SUMIFS(INPUT_DELAY!$E$5:$E$20000,INPUT_DELAY!$A$5:$A$20000,$A48,INPUT_DELAY!$B$5:$B$20000,$B48,INPUT_DELAY!$C$5:$C$20000,$C48)+SUMIFS(INPUT_DELAY!$E$5:$E$20000,INPUT_DELAY!$A$5:$A$20000,$A48,INPUT_DELAY!$B$5:$B$20000,$B48,INPUT_DELAY!$C$5:$C$20000,"SEMUA")&gt;=60,"Delay 60 mnt tapi ada ritase","OK"))))))</f>
        <v/>
      </c>
      <c r="P48" s="158">
        <f>IFERROR(INDEX(MASTER_JAM!$Z$5:$AC$10,MATCH($I48,MASTER_JAM!$Y$5:$Y$10,0),MATCH($J48,MASTER_JAM!$Z$4:$AC$4,0))+0,0)</f>
        <v/>
      </c>
      <c r="Q48" s="158">
        <f>IF($P48=0,0,$P48+IFERROR(INDEX(MASTER_JAM!$H$5:$H$94,MATCH($C48,MASTER_JAM!$A$5:$A$94,0))+0,MASTER_JAM!$AC$15)/1000*(60/MASTER_JAM!$AC$12+60/MASTER_JAM!$AC$13)+MASTER_JAM!$AC$14)</f>
        <v/>
      </c>
      <c r="R48" s="158">
        <f>IF(N($F48)=0,0,$F48/SUMIFS(INPUT_RITASE!$F$5:$F$20000,INPUT_RITASE!$A$5:$A$20000,$A48,INPUT_RITASE!$B$5:$B$20000,$B48,INPUT_RITASE!$C$5:$C$20000,$C48,INPUT_RITASE!$D$5:$D$20000,$D48))</f>
        <v/>
      </c>
      <c r="S48" s="158">
        <f>IF($Q48=0,0,$R48*$P48/$Q48)</f>
        <v/>
      </c>
    </row>
    <row r="49">
      <c r="A49" s="155" t="n">
        <v>46104</v>
      </c>
      <c r="B49" s="156" t="inlineStr">
        <is>
          <t>14-15</t>
        </is>
      </c>
      <c r="C49" s="156" t="inlineStr">
        <is>
          <t>EX-1251</t>
        </is>
      </c>
      <c r="D49" s="156" t="inlineStr">
        <is>
          <t>DT-503</t>
        </is>
      </c>
      <c r="E49" s="156" t="inlineStr">
        <is>
          <t>OB</t>
        </is>
      </c>
      <c r="F49" s="156" t="n">
        <v>4</v>
      </c>
      <c r="G49" s="156" t="inlineStr"/>
      <c r="H49" s="157">
        <f>IF($B49="","",IF(ISNA(MATCH($B49,MASTER_JAM!$Q$5:$Q$28,0)),"?",IF(MATCH($B49,MASTER_JAM!$Q$5:$Q$28,0)&lt;=12,"DS","NS")))</f>
        <v/>
      </c>
      <c r="I49" s="157">
        <f>IFERROR(INDEX(MASTER_JAM!$B$5:$B$94,MATCH($C49,MASTER_JAM!$A$5:$A$94,0)),"")</f>
        <v/>
      </c>
      <c r="J49" s="157">
        <f>IFERROR(INDEX(MASTER_JAM!$E$5:$E$94,MATCH($D49,MASTER_JAM!$A$5:$A$94,0)),"")</f>
        <v/>
      </c>
      <c r="K49" s="158">
        <f>IFERROR(INDEX(MASTER_JAM!$J$5:$O$12,MATCH($E49,MASTER_JAM!$I$5:$I$12,0),MATCH($J49,MASTER_JAM!$J$4:$O$4,0))+0,0)</f>
        <v/>
      </c>
      <c r="L49" s="159">
        <f>N($F49)*$K49</f>
        <v/>
      </c>
      <c r="M49" s="157">
        <f>IF($E49="","",IF(OR($E49="Coal",$E49="Dirty Coal"),"MT","BCM"))</f>
        <v/>
      </c>
      <c r="N49" s="157">
        <f>IF($E49="","",IF(OR($E49="Coal",$E49="Dirty Coal"),"Coal","OB"))</f>
        <v/>
      </c>
      <c r="O49" s="157">
        <f>IF($F49="","",IF(COUNTIF(MASTER_JAM!$A$5:$A$94,$C49)=0,"Digger tidak dikenal",IF($J49="","Hauler tidak dikenal",IF($H49="?","Jam salah",IF($K49=0,"Faktor kosong",IF(SUMIFS(INPUT_DELAY!$E$5:$E$20000,INPUT_DELAY!$A$5:$A$20000,$A49,INPUT_DELAY!$B$5:$B$20000,$B49,INPUT_DELAY!$C$5:$C$20000,$C49)+SUMIFS(INPUT_DELAY!$E$5:$E$20000,INPUT_DELAY!$A$5:$A$20000,$A49,INPUT_DELAY!$B$5:$B$20000,$B49,INPUT_DELAY!$C$5:$C$20000,"SEMUA")&gt;=60,"Delay 60 mnt tapi ada ritase","OK"))))))</f>
        <v/>
      </c>
      <c r="P49" s="158">
        <f>IFERROR(INDEX(MASTER_JAM!$Z$5:$AC$10,MATCH($I49,MASTER_JAM!$Y$5:$Y$10,0),MATCH($J49,MASTER_JAM!$Z$4:$AC$4,0))+0,0)</f>
        <v/>
      </c>
      <c r="Q49" s="158">
        <f>IF($P49=0,0,$P49+IFERROR(INDEX(MASTER_JAM!$H$5:$H$94,MATCH($C49,MASTER_JAM!$A$5:$A$94,0))+0,MASTER_JAM!$AC$15)/1000*(60/MASTER_JAM!$AC$12+60/MASTER_JAM!$AC$13)+MASTER_JAM!$AC$14)</f>
        <v/>
      </c>
      <c r="R49" s="158">
        <f>IF(N($F49)=0,0,$F49/SUMIFS(INPUT_RITASE!$F$5:$F$20000,INPUT_RITASE!$A$5:$A$20000,$A49,INPUT_RITASE!$B$5:$B$20000,$B49,INPUT_RITASE!$C$5:$C$20000,$C49,INPUT_RITASE!$D$5:$D$20000,$D49))</f>
        <v/>
      </c>
      <c r="S49" s="158">
        <f>IF($Q49=0,0,$R49*$P49/$Q49)</f>
        <v/>
      </c>
    </row>
    <row r="50">
      <c r="A50" s="155" t="n">
        <v>46104</v>
      </c>
      <c r="B50" s="156" t="inlineStr">
        <is>
          <t>14-15</t>
        </is>
      </c>
      <c r="C50" s="156" t="inlineStr">
        <is>
          <t>EX-1251</t>
        </is>
      </c>
      <c r="D50" s="156" t="inlineStr">
        <is>
          <t>DT-529</t>
        </is>
      </c>
      <c r="E50" s="156" t="inlineStr">
        <is>
          <t>OB</t>
        </is>
      </c>
      <c r="F50" s="156" t="n">
        <v>4</v>
      </c>
      <c r="G50" s="156" t="inlineStr"/>
      <c r="H50" s="157">
        <f>IF($B50="","",IF(ISNA(MATCH($B50,MASTER_JAM!$Q$5:$Q$28,0)),"?",IF(MATCH($B50,MASTER_JAM!$Q$5:$Q$28,0)&lt;=12,"DS","NS")))</f>
        <v/>
      </c>
      <c r="I50" s="157">
        <f>IFERROR(INDEX(MASTER_JAM!$B$5:$B$94,MATCH($C50,MASTER_JAM!$A$5:$A$94,0)),"")</f>
        <v/>
      </c>
      <c r="J50" s="157">
        <f>IFERROR(INDEX(MASTER_JAM!$E$5:$E$94,MATCH($D50,MASTER_JAM!$A$5:$A$94,0)),"")</f>
        <v/>
      </c>
      <c r="K50" s="158">
        <f>IFERROR(INDEX(MASTER_JAM!$J$5:$O$12,MATCH($E50,MASTER_JAM!$I$5:$I$12,0),MATCH($J50,MASTER_JAM!$J$4:$O$4,0))+0,0)</f>
        <v/>
      </c>
      <c r="L50" s="159">
        <f>N($F50)*$K50</f>
        <v/>
      </c>
      <c r="M50" s="157">
        <f>IF($E50="","",IF(OR($E50="Coal",$E50="Dirty Coal"),"MT","BCM"))</f>
        <v/>
      </c>
      <c r="N50" s="157">
        <f>IF($E50="","",IF(OR($E50="Coal",$E50="Dirty Coal"),"Coal","OB"))</f>
        <v/>
      </c>
      <c r="O50" s="157">
        <f>IF($F50="","",IF(COUNTIF(MASTER_JAM!$A$5:$A$94,$C50)=0,"Digger tidak dikenal",IF($J50="","Hauler tidak dikenal",IF($H50="?","Jam salah",IF($K50=0,"Faktor kosong",IF(SUMIFS(INPUT_DELAY!$E$5:$E$20000,INPUT_DELAY!$A$5:$A$20000,$A50,INPUT_DELAY!$B$5:$B$20000,$B50,INPUT_DELAY!$C$5:$C$20000,$C50)+SUMIFS(INPUT_DELAY!$E$5:$E$20000,INPUT_DELAY!$A$5:$A$20000,$A50,INPUT_DELAY!$B$5:$B$20000,$B50,INPUT_DELAY!$C$5:$C$20000,"SEMUA")&gt;=60,"Delay 60 mnt tapi ada ritase","OK"))))))</f>
        <v/>
      </c>
      <c r="P50" s="158">
        <f>IFERROR(INDEX(MASTER_JAM!$Z$5:$AC$10,MATCH($I50,MASTER_JAM!$Y$5:$Y$10,0),MATCH($J50,MASTER_JAM!$Z$4:$AC$4,0))+0,0)</f>
        <v/>
      </c>
      <c r="Q50" s="158">
        <f>IF($P50=0,0,$P50+IFERROR(INDEX(MASTER_JAM!$H$5:$H$94,MATCH($C50,MASTER_JAM!$A$5:$A$94,0))+0,MASTER_JAM!$AC$15)/1000*(60/MASTER_JAM!$AC$12+60/MASTER_JAM!$AC$13)+MASTER_JAM!$AC$14)</f>
        <v/>
      </c>
      <c r="R50" s="158">
        <f>IF(N($F50)=0,0,$F50/SUMIFS(INPUT_RITASE!$F$5:$F$20000,INPUT_RITASE!$A$5:$A$20000,$A50,INPUT_RITASE!$B$5:$B$20000,$B50,INPUT_RITASE!$C$5:$C$20000,$C50,INPUT_RITASE!$D$5:$D$20000,$D50))</f>
        <v/>
      </c>
      <c r="S50" s="158">
        <f>IF($Q50=0,0,$R50*$P50/$Q50)</f>
        <v/>
      </c>
    </row>
    <row r="51">
      <c r="A51" s="155" t="n">
        <v>46104</v>
      </c>
      <c r="B51" s="156" t="inlineStr">
        <is>
          <t>14-15</t>
        </is>
      </c>
      <c r="C51" s="156" t="inlineStr">
        <is>
          <t>EX-1251</t>
        </is>
      </c>
      <c r="D51" s="156" t="inlineStr">
        <is>
          <t>DT-522</t>
        </is>
      </c>
      <c r="E51" s="156" t="inlineStr">
        <is>
          <t>OB</t>
        </is>
      </c>
      <c r="F51" s="156" t="n">
        <v>4</v>
      </c>
      <c r="G51" s="156" t="inlineStr"/>
      <c r="H51" s="157">
        <f>IF($B51="","",IF(ISNA(MATCH($B51,MASTER_JAM!$Q$5:$Q$28,0)),"?",IF(MATCH($B51,MASTER_JAM!$Q$5:$Q$28,0)&lt;=12,"DS","NS")))</f>
        <v/>
      </c>
      <c r="I51" s="157">
        <f>IFERROR(INDEX(MASTER_JAM!$B$5:$B$94,MATCH($C51,MASTER_JAM!$A$5:$A$94,0)),"")</f>
        <v/>
      </c>
      <c r="J51" s="157">
        <f>IFERROR(INDEX(MASTER_JAM!$E$5:$E$94,MATCH($D51,MASTER_JAM!$A$5:$A$94,0)),"")</f>
        <v/>
      </c>
      <c r="K51" s="158">
        <f>IFERROR(INDEX(MASTER_JAM!$J$5:$O$12,MATCH($E51,MASTER_JAM!$I$5:$I$12,0),MATCH($J51,MASTER_JAM!$J$4:$O$4,0))+0,0)</f>
        <v/>
      </c>
      <c r="L51" s="159">
        <f>N($F51)*$K51</f>
        <v/>
      </c>
      <c r="M51" s="157">
        <f>IF($E51="","",IF(OR($E51="Coal",$E51="Dirty Coal"),"MT","BCM"))</f>
        <v/>
      </c>
      <c r="N51" s="157">
        <f>IF($E51="","",IF(OR($E51="Coal",$E51="Dirty Coal"),"Coal","OB"))</f>
        <v/>
      </c>
      <c r="O51" s="157">
        <f>IF($F51="","",IF(COUNTIF(MASTER_JAM!$A$5:$A$94,$C51)=0,"Digger tidak dikenal",IF($J51="","Hauler tidak dikenal",IF($H51="?","Jam salah",IF($K51=0,"Faktor kosong",IF(SUMIFS(INPUT_DELAY!$E$5:$E$20000,INPUT_DELAY!$A$5:$A$20000,$A51,INPUT_DELAY!$B$5:$B$20000,$B51,INPUT_DELAY!$C$5:$C$20000,$C51)+SUMIFS(INPUT_DELAY!$E$5:$E$20000,INPUT_DELAY!$A$5:$A$20000,$A51,INPUT_DELAY!$B$5:$B$20000,$B51,INPUT_DELAY!$C$5:$C$20000,"SEMUA")&gt;=60,"Delay 60 mnt tapi ada ritase","OK"))))))</f>
        <v/>
      </c>
      <c r="P51" s="158">
        <f>IFERROR(INDEX(MASTER_JAM!$Z$5:$AC$10,MATCH($I51,MASTER_JAM!$Y$5:$Y$10,0),MATCH($J51,MASTER_JAM!$Z$4:$AC$4,0))+0,0)</f>
        <v/>
      </c>
      <c r="Q51" s="158">
        <f>IF($P51=0,0,$P51+IFERROR(INDEX(MASTER_JAM!$H$5:$H$94,MATCH($C51,MASTER_JAM!$A$5:$A$94,0))+0,MASTER_JAM!$AC$15)/1000*(60/MASTER_JAM!$AC$12+60/MASTER_JAM!$AC$13)+MASTER_JAM!$AC$14)</f>
        <v/>
      </c>
      <c r="R51" s="158">
        <f>IF(N($F51)=0,0,$F51/SUMIFS(INPUT_RITASE!$F$5:$F$20000,INPUT_RITASE!$A$5:$A$20000,$A51,INPUT_RITASE!$B$5:$B$20000,$B51,INPUT_RITASE!$C$5:$C$20000,$C51,INPUT_RITASE!$D$5:$D$20000,$D51))</f>
        <v/>
      </c>
      <c r="S51" s="158">
        <f>IF($Q51=0,0,$R51*$P51/$Q51)</f>
        <v/>
      </c>
    </row>
    <row r="52">
      <c r="A52" s="155" t="n">
        <v>46104</v>
      </c>
      <c r="B52" s="156" t="inlineStr">
        <is>
          <t>14-15</t>
        </is>
      </c>
      <c r="C52" s="156" t="inlineStr">
        <is>
          <t>EX-1251</t>
        </is>
      </c>
      <c r="D52" s="156" t="inlineStr">
        <is>
          <t>DT-528</t>
        </is>
      </c>
      <c r="E52" s="156" t="inlineStr">
        <is>
          <t>OB</t>
        </is>
      </c>
      <c r="F52" s="156" t="n">
        <v>4</v>
      </c>
      <c r="G52" s="156" t="inlineStr"/>
      <c r="H52" s="157">
        <f>IF($B52="","",IF(ISNA(MATCH($B52,MASTER_JAM!$Q$5:$Q$28,0)),"?",IF(MATCH($B52,MASTER_JAM!$Q$5:$Q$28,0)&lt;=12,"DS","NS")))</f>
        <v/>
      </c>
      <c r="I52" s="157">
        <f>IFERROR(INDEX(MASTER_JAM!$B$5:$B$94,MATCH($C52,MASTER_JAM!$A$5:$A$94,0)),"")</f>
        <v/>
      </c>
      <c r="J52" s="157">
        <f>IFERROR(INDEX(MASTER_JAM!$E$5:$E$94,MATCH($D52,MASTER_JAM!$A$5:$A$94,0)),"")</f>
        <v/>
      </c>
      <c r="K52" s="158">
        <f>IFERROR(INDEX(MASTER_JAM!$J$5:$O$12,MATCH($E52,MASTER_JAM!$I$5:$I$12,0),MATCH($J52,MASTER_JAM!$J$4:$O$4,0))+0,0)</f>
        <v/>
      </c>
      <c r="L52" s="159">
        <f>N($F52)*$K52</f>
        <v/>
      </c>
      <c r="M52" s="157">
        <f>IF($E52="","",IF(OR($E52="Coal",$E52="Dirty Coal"),"MT","BCM"))</f>
        <v/>
      </c>
      <c r="N52" s="157">
        <f>IF($E52="","",IF(OR($E52="Coal",$E52="Dirty Coal"),"Coal","OB"))</f>
        <v/>
      </c>
      <c r="O52" s="157">
        <f>IF($F52="","",IF(COUNTIF(MASTER_JAM!$A$5:$A$94,$C52)=0,"Digger tidak dikenal",IF($J52="","Hauler tidak dikenal",IF($H52="?","Jam salah",IF($K52=0,"Faktor kosong",IF(SUMIFS(INPUT_DELAY!$E$5:$E$20000,INPUT_DELAY!$A$5:$A$20000,$A52,INPUT_DELAY!$B$5:$B$20000,$B52,INPUT_DELAY!$C$5:$C$20000,$C52)+SUMIFS(INPUT_DELAY!$E$5:$E$20000,INPUT_DELAY!$A$5:$A$20000,$A52,INPUT_DELAY!$B$5:$B$20000,$B52,INPUT_DELAY!$C$5:$C$20000,"SEMUA")&gt;=60,"Delay 60 mnt tapi ada ritase","OK"))))))</f>
        <v/>
      </c>
      <c r="P52" s="158">
        <f>IFERROR(INDEX(MASTER_JAM!$Z$5:$AC$10,MATCH($I52,MASTER_JAM!$Y$5:$Y$10,0),MATCH($J52,MASTER_JAM!$Z$4:$AC$4,0))+0,0)</f>
        <v/>
      </c>
      <c r="Q52" s="158">
        <f>IF($P52=0,0,$P52+IFERROR(INDEX(MASTER_JAM!$H$5:$H$94,MATCH($C52,MASTER_JAM!$A$5:$A$94,0))+0,MASTER_JAM!$AC$15)/1000*(60/MASTER_JAM!$AC$12+60/MASTER_JAM!$AC$13)+MASTER_JAM!$AC$14)</f>
        <v/>
      </c>
      <c r="R52" s="158">
        <f>IF(N($F52)=0,0,$F52/SUMIFS(INPUT_RITASE!$F$5:$F$20000,INPUT_RITASE!$A$5:$A$20000,$A52,INPUT_RITASE!$B$5:$B$20000,$B52,INPUT_RITASE!$C$5:$C$20000,$C52,INPUT_RITASE!$D$5:$D$20000,$D52))</f>
        <v/>
      </c>
      <c r="S52" s="158">
        <f>IF($Q52=0,0,$R52*$P52/$Q52)</f>
        <v/>
      </c>
    </row>
    <row r="53">
      <c r="A53" s="155" t="n">
        <v>46104</v>
      </c>
      <c r="B53" s="156" t="inlineStr">
        <is>
          <t>14-15</t>
        </is>
      </c>
      <c r="C53" s="156" t="inlineStr">
        <is>
          <t>EX-1251</t>
        </is>
      </c>
      <c r="D53" s="156" t="inlineStr">
        <is>
          <t>DT-516</t>
        </is>
      </c>
      <c r="E53" s="156" t="inlineStr">
        <is>
          <t>OB</t>
        </is>
      </c>
      <c r="F53" s="156" t="n">
        <v>4</v>
      </c>
      <c r="G53" s="156" t="inlineStr"/>
      <c r="H53" s="157">
        <f>IF($B53="","",IF(ISNA(MATCH($B53,MASTER_JAM!$Q$5:$Q$28,0)),"?",IF(MATCH($B53,MASTER_JAM!$Q$5:$Q$28,0)&lt;=12,"DS","NS")))</f>
        <v/>
      </c>
      <c r="I53" s="157">
        <f>IFERROR(INDEX(MASTER_JAM!$B$5:$B$94,MATCH($C53,MASTER_JAM!$A$5:$A$94,0)),"")</f>
        <v/>
      </c>
      <c r="J53" s="157">
        <f>IFERROR(INDEX(MASTER_JAM!$E$5:$E$94,MATCH($D53,MASTER_JAM!$A$5:$A$94,0)),"")</f>
        <v/>
      </c>
      <c r="K53" s="158">
        <f>IFERROR(INDEX(MASTER_JAM!$J$5:$O$12,MATCH($E53,MASTER_JAM!$I$5:$I$12,0),MATCH($J53,MASTER_JAM!$J$4:$O$4,0))+0,0)</f>
        <v/>
      </c>
      <c r="L53" s="159">
        <f>N($F53)*$K53</f>
        <v/>
      </c>
      <c r="M53" s="157">
        <f>IF($E53="","",IF(OR($E53="Coal",$E53="Dirty Coal"),"MT","BCM"))</f>
        <v/>
      </c>
      <c r="N53" s="157">
        <f>IF($E53="","",IF(OR($E53="Coal",$E53="Dirty Coal"),"Coal","OB"))</f>
        <v/>
      </c>
      <c r="O53" s="157">
        <f>IF($F53="","",IF(COUNTIF(MASTER_JAM!$A$5:$A$94,$C53)=0,"Digger tidak dikenal",IF($J53="","Hauler tidak dikenal",IF($H53="?","Jam salah",IF($K53=0,"Faktor kosong",IF(SUMIFS(INPUT_DELAY!$E$5:$E$20000,INPUT_DELAY!$A$5:$A$20000,$A53,INPUT_DELAY!$B$5:$B$20000,$B53,INPUT_DELAY!$C$5:$C$20000,$C53)+SUMIFS(INPUT_DELAY!$E$5:$E$20000,INPUT_DELAY!$A$5:$A$20000,$A53,INPUT_DELAY!$B$5:$B$20000,$B53,INPUT_DELAY!$C$5:$C$20000,"SEMUA")&gt;=60,"Delay 60 mnt tapi ada ritase","OK"))))))</f>
        <v/>
      </c>
      <c r="P53" s="158">
        <f>IFERROR(INDEX(MASTER_JAM!$Z$5:$AC$10,MATCH($I53,MASTER_JAM!$Y$5:$Y$10,0),MATCH($J53,MASTER_JAM!$Z$4:$AC$4,0))+0,0)</f>
        <v/>
      </c>
      <c r="Q53" s="158">
        <f>IF($P53=0,0,$P53+IFERROR(INDEX(MASTER_JAM!$H$5:$H$94,MATCH($C53,MASTER_JAM!$A$5:$A$94,0))+0,MASTER_JAM!$AC$15)/1000*(60/MASTER_JAM!$AC$12+60/MASTER_JAM!$AC$13)+MASTER_JAM!$AC$14)</f>
        <v/>
      </c>
      <c r="R53" s="158">
        <f>IF(N($F53)=0,0,$F53/SUMIFS(INPUT_RITASE!$F$5:$F$20000,INPUT_RITASE!$A$5:$A$20000,$A53,INPUT_RITASE!$B$5:$B$20000,$B53,INPUT_RITASE!$C$5:$C$20000,$C53,INPUT_RITASE!$D$5:$D$20000,$D53))</f>
        <v/>
      </c>
      <c r="S53" s="158">
        <f>IF($Q53=0,0,$R53*$P53/$Q53)</f>
        <v/>
      </c>
    </row>
    <row r="54">
      <c r="A54" s="155" t="n">
        <v>46104</v>
      </c>
      <c r="B54" s="156" t="inlineStr">
        <is>
          <t>14-15</t>
        </is>
      </c>
      <c r="C54" s="156" t="inlineStr">
        <is>
          <t>EX-1251</t>
        </is>
      </c>
      <c r="D54" s="156" t="inlineStr">
        <is>
          <t>DT-508</t>
        </is>
      </c>
      <c r="E54" s="156" t="inlineStr">
        <is>
          <t>OB</t>
        </is>
      </c>
      <c r="F54" s="156" t="n">
        <v>4</v>
      </c>
      <c r="G54" s="156" t="inlineStr"/>
      <c r="H54" s="157">
        <f>IF($B54="","",IF(ISNA(MATCH($B54,MASTER_JAM!$Q$5:$Q$28,0)),"?",IF(MATCH($B54,MASTER_JAM!$Q$5:$Q$28,0)&lt;=12,"DS","NS")))</f>
        <v/>
      </c>
      <c r="I54" s="157">
        <f>IFERROR(INDEX(MASTER_JAM!$B$5:$B$94,MATCH($C54,MASTER_JAM!$A$5:$A$94,0)),"")</f>
        <v/>
      </c>
      <c r="J54" s="157">
        <f>IFERROR(INDEX(MASTER_JAM!$E$5:$E$94,MATCH($D54,MASTER_JAM!$A$5:$A$94,0)),"")</f>
        <v/>
      </c>
      <c r="K54" s="158">
        <f>IFERROR(INDEX(MASTER_JAM!$J$5:$O$12,MATCH($E54,MASTER_JAM!$I$5:$I$12,0),MATCH($J54,MASTER_JAM!$J$4:$O$4,0))+0,0)</f>
        <v/>
      </c>
      <c r="L54" s="159">
        <f>N($F54)*$K54</f>
        <v/>
      </c>
      <c r="M54" s="157">
        <f>IF($E54="","",IF(OR($E54="Coal",$E54="Dirty Coal"),"MT","BCM"))</f>
        <v/>
      </c>
      <c r="N54" s="157">
        <f>IF($E54="","",IF(OR($E54="Coal",$E54="Dirty Coal"),"Coal","OB"))</f>
        <v/>
      </c>
      <c r="O54" s="157">
        <f>IF($F54="","",IF(COUNTIF(MASTER_JAM!$A$5:$A$94,$C54)=0,"Digger tidak dikenal",IF($J54="","Hauler tidak dikenal",IF($H54="?","Jam salah",IF($K54=0,"Faktor kosong",IF(SUMIFS(INPUT_DELAY!$E$5:$E$20000,INPUT_DELAY!$A$5:$A$20000,$A54,INPUT_DELAY!$B$5:$B$20000,$B54,INPUT_DELAY!$C$5:$C$20000,$C54)+SUMIFS(INPUT_DELAY!$E$5:$E$20000,INPUT_DELAY!$A$5:$A$20000,$A54,INPUT_DELAY!$B$5:$B$20000,$B54,INPUT_DELAY!$C$5:$C$20000,"SEMUA")&gt;=60,"Delay 60 mnt tapi ada ritase","OK"))))))</f>
        <v/>
      </c>
      <c r="P54" s="158">
        <f>IFERROR(INDEX(MASTER_JAM!$Z$5:$AC$10,MATCH($I54,MASTER_JAM!$Y$5:$Y$10,0),MATCH($J54,MASTER_JAM!$Z$4:$AC$4,0))+0,0)</f>
        <v/>
      </c>
      <c r="Q54" s="158">
        <f>IF($P54=0,0,$P54+IFERROR(INDEX(MASTER_JAM!$H$5:$H$94,MATCH($C54,MASTER_JAM!$A$5:$A$94,0))+0,MASTER_JAM!$AC$15)/1000*(60/MASTER_JAM!$AC$12+60/MASTER_JAM!$AC$13)+MASTER_JAM!$AC$14)</f>
        <v/>
      </c>
      <c r="R54" s="158">
        <f>IF(N($F54)=0,0,$F54/SUMIFS(INPUT_RITASE!$F$5:$F$20000,INPUT_RITASE!$A$5:$A$20000,$A54,INPUT_RITASE!$B$5:$B$20000,$B54,INPUT_RITASE!$C$5:$C$20000,$C54,INPUT_RITASE!$D$5:$D$20000,$D54))</f>
        <v/>
      </c>
      <c r="S54" s="158">
        <f>IF($Q54=0,0,$R54*$P54/$Q54)</f>
        <v/>
      </c>
    </row>
    <row r="55">
      <c r="A55" s="155" t="n">
        <v>46104</v>
      </c>
      <c r="B55" s="156" t="inlineStr">
        <is>
          <t>14-15</t>
        </is>
      </c>
      <c r="C55" s="156" t="inlineStr">
        <is>
          <t>EX-1251</t>
        </is>
      </c>
      <c r="D55" s="156" t="inlineStr">
        <is>
          <t>DT-506</t>
        </is>
      </c>
      <c r="E55" s="156" t="inlineStr">
        <is>
          <t>OB</t>
        </is>
      </c>
      <c r="F55" s="156" t="n">
        <v>4</v>
      </c>
      <c r="G55" s="156" t="inlineStr"/>
      <c r="H55" s="157">
        <f>IF($B55="","",IF(ISNA(MATCH($B55,MASTER_JAM!$Q$5:$Q$28,0)),"?",IF(MATCH($B55,MASTER_JAM!$Q$5:$Q$28,0)&lt;=12,"DS","NS")))</f>
        <v/>
      </c>
      <c r="I55" s="157">
        <f>IFERROR(INDEX(MASTER_JAM!$B$5:$B$94,MATCH($C55,MASTER_JAM!$A$5:$A$94,0)),"")</f>
        <v/>
      </c>
      <c r="J55" s="157">
        <f>IFERROR(INDEX(MASTER_JAM!$E$5:$E$94,MATCH($D55,MASTER_JAM!$A$5:$A$94,0)),"")</f>
        <v/>
      </c>
      <c r="K55" s="158">
        <f>IFERROR(INDEX(MASTER_JAM!$J$5:$O$12,MATCH($E55,MASTER_JAM!$I$5:$I$12,0),MATCH($J55,MASTER_JAM!$J$4:$O$4,0))+0,0)</f>
        <v/>
      </c>
      <c r="L55" s="159">
        <f>N($F55)*$K55</f>
        <v/>
      </c>
      <c r="M55" s="157">
        <f>IF($E55="","",IF(OR($E55="Coal",$E55="Dirty Coal"),"MT","BCM"))</f>
        <v/>
      </c>
      <c r="N55" s="157">
        <f>IF($E55="","",IF(OR($E55="Coal",$E55="Dirty Coal"),"Coal","OB"))</f>
        <v/>
      </c>
      <c r="O55" s="157">
        <f>IF($F55="","",IF(COUNTIF(MASTER_JAM!$A$5:$A$94,$C55)=0,"Digger tidak dikenal",IF($J55="","Hauler tidak dikenal",IF($H55="?","Jam salah",IF($K55=0,"Faktor kosong",IF(SUMIFS(INPUT_DELAY!$E$5:$E$20000,INPUT_DELAY!$A$5:$A$20000,$A55,INPUT_DELAY!$B$5:$B$20000,$B55,INPUT_DELAY!$C$5:$C$20000,$C55)+SUMIFS(INPUT_DELAY!$E$5:$E$20000,INPUT_DELAY!$A$5:$A$20000,$A55,INPUT_DELAY!$B$5:$B$20000,$B55,INPUT_DELAY!$C$5:$C$20000,"SEMUA")&gt;=60,"Delay 60 mnt tapi ada ritase","OK"))))))</f>
        <v/>
      </c>
      <c r="P55" s="158">
        <f>IFERROR(INDEX(MASTER_JAM!$Z$5:$AC$10,MATCH($I55,MASTER_JAM!$Y$5:$Y$10,0),MATCH($J55,MASTER_JAM!$Z$4:$AC$4,0))+0,0)</f>
        <v/>
      </c>
      <c r="Q55" s="158">
        <f>IF($P55=0,0,$P55+IFERROR(INDEX(MASTER_JAM!$H$5:$H$94,MATCH($C55,MASTER_JAM!$A$5:$A$94,0))+0,MASTER_JAM!$AC$15)/1000*(60/MASTER_JAM!$AC$12+60/MASTER_JAM!$AC$13)+MASTER_JAM!$AC$14)</f>
        <v/>
      </c>
      <c r="R55" s="158">
        <f>IF(N($F55)=0,0,$F55/SUMIFS(INPUT_RITASE!$F$5:$F$20000,INPUT_RITASE!$A$5:$A$20000,$A55,INPUT_RITASE!$B$5:$B$20000,$B55,INPUT_RITASE!$C$5:$C$20000,$C55,INPUT_RITASE!$D$5:$D$20000,$D55))</f>
        <v/>
      </c>
      <c r="S55" s="158">
        <f>IF($Q55=0,0,$R55*$P55/$Q55)</f>
        <v/>
      </c>
    </row>
    <row r="56">
      <c r="A56" s="155" t="n">
        <v>46104</v>
      </c>
      <c r="B56" s="156" t="inlineStr">
        <is>
          <t>14-15</t>
        </is>
      </c>
      <c r="C56" s="156" t="inlineStr">
        <is>
          <t>EX-1251</t>
        </is>
      </c>
      <c r="D56" s="156" t="inlineStr">
        <is>
          <t>DT-501</t>
        </is>
      </c>
      <c r="E56" s="156" t="inlineStr">
        <is>
          <t>OB</t>
        </is>
      </c>
      <c r="F56" s="156" t="n">
        <v>4</v>
      </c>
      <c r="G56" s="156" t="inlineStr"/>
      <c r="H56" s="157">
        <f>IF($B56="","",IF(ISNA(MATCH($B56,MASTER_JAM!$Q$5:$Q$28,0)),"?",IF(MATCH($B56,MASTER_JAM!$Q$5:$Q$28,0)&lt;=12,"DS","NS")))</f>
        <v/>
      </c>
      <c r="I56" s="157">
        <f>IFERROR(INDEX(MASTER_JAM!$B$5:$B$94,MATCH($C56,MASTER_JAM!$A$5:$A$94,0)),"")</f>
        <v/>
      </c>
      <c r="J56" s="157">
        <f>IFERROR(INDEX(MASTER_JAM!$E$5:$E$94,MATCH($D56,MASTER_JAM!$A$5:$A$94,0)),"")</f>
        <v/>
      </c>
      <c r="K56" s="158">
        <f>IFERROR(INDEX(MASTER_JAM!$J$5:$O$12,MATCH($E56,MASTER_JAM!$I$5:$I$12,0),MATCH($J56,MASTER_JAM!$J$4:$O$4,0))+0,0)</f>
        <v/>
      </c>
      <c r="L56" s="159">
        <f>N($F56)*$K56</f>
        <v/>
      </c>
      <c r="M56" s="157">
        <f>IF($E56="","",IF(OR($E56="Coal",$E56="Dirty Coal"),"MT","BCM"))</f>
        <v/>
      </c>
      <c r="N56" s="157">
        <f>IF($E56="","",IF(OR($E56="Coal",$E56="Dirty Coal"),"Coal","OB"))</f>
        <v/>
      </c>
      <c r="O56" s="157">
        <f>IF($F56="","",IF(COUNTIF(MASTER_JAM!$A$5:$A$94,$C56)=0,"Digger tidak dikenal",IF($J56="","Hauler tidak dikenal",IF($H56="?","Jam salah",IF($K56=0,"Faktor kosong",IF(SUMIFS(INPUT_DELAY!$E$5:$E$20000,INPUT_DELAY!$A$5:$A$20000,$A56,INPUT_DELAY!$B$5:$B$20000,$B56,INPUT_DELAY!$C$5:$C$20000,$C56)+SUMIFS(INPUT_DELAY!$E$5:$E$20000,INPUT_DELAY!$A$5:$A$20000,$A56,INPUT_DELAY!$B$5:$B$20000,$B56,INPUT_DELAY!$C$5:$C$20000,"SEMUA")&gt;=60,"Delay 60 mnt tapi ada ritase","OK"))))))</f>
        <v/>
      </c>
      <c r="P56" s="158">
        <f>IFERROR(INDEX(MASTER_JAM!$Z$5:$AC$10,MATCH($I56,MASTER_JAM!$Y$5:$Y$10,0),MATCH($J56,MASTER_JAM!$Z$4:$AC$4,0))+0,0)</f>
        <v/>
      </c>
      <c r="Q56" s="158">
        <f>IF($P56=0,0,$P56+IFERROR(INDEX(MASTER_JAM!$H$5:$H$94,MATCH($C56,MASTER_JAM!$A$5:$A$94,0))+0,MASTER_JAM!$AC$15)/1000*(60/MASTER_JAM!$AC$12+60/MASTER_JAM!$AC$13)+MASTER_JAM!$AC$14)</f>
        <v/>
      </c>
      <c r="R56" s="158">
        <f>IF(N($F56)=0,0,$F56/SUMIFS(INPUT_RITASE!$F$5:$F$20000,INPUT_RITASE!$A$5:$A$20000,$A56,INPUT_RITASE!$B$5:$B$20000,$B56,INPUT_RITASE!$C$5:$C$20000,$C56,INPUT_RITASE!$D$5:$D$20000,$D56))</f>
        <v/>
      </c>
      <c r="S56" s="158">
        <f>IF($Q56=0,0,$R56*$P56/$Q56)</f>
        <v/>
      </c>
    </row>
    <row r="57">
      <c r="A57" s="155" t="n">
        <v>46104</v>
      </c>
      <c r="B57" s="156" t="inlineStr">
        <is>
          <t>14-15</t>
        </is>
      </c>
      <c r="C57" s="156" t="inlineStr">
        <is>
          <t>EX-1251</t>
        </is>
      </c>
      <c r="D57" s="156" t="inlineStr">
        <is>
          <t>DT-515</t>
        </is>
      </c>
      <c r="E57" s="156" t="inlineStr">
        <is>
          <t>OB</t>
        </is>
      </c>
      <c r="F57" s="156" t="n">
        <v>3</v>
      </c>
      <c r="G57" s="156" t="inlineStr"/>
      <c r="H57" s="157">
        <f>IF($B57="","",IF(ISNA(MATCH($B57,MASTER_JAM!$Q$5:$Q$28,0)),"?",IF(MATCH($B57,MASTER_JAM!$Q$5:$Q$28,0)&lt;=12,"DS","NS")))</f>
        <v/>
      </c>
      <c r="I57" s="157">
        <f>IFERROR(INDEX(MASTER_JAM!$B$5:$B$94,MATCH($C57,MASTER_JAM!$A$5:$A$94,0)),"")</f>
        <v/>
      </c>
      <c r="J57" s="157">
        <f>IFERROR(INDEX(MASTER_JAM!$E$5:$E$94,MATCH($D57,MASTER_JAM!$A$5:$A$94,0)),"")</f>
        <v/>
      </c>
      <c r="K57" s="158">
        <f>IFERROR(INDEX(MASTER_JAM!$J$5:$O$12,MATCH($E57,MASTER_JAM!$I$5:$I$12,0),MATCH($J57,MASTER_JAM!$J$4:$O$4,0))+0,0)</f>
        <v/>
      </c>
      <c r="L57" s="159">
        <f>N($F57)*$K57</f>
        <v/>
      </c>
      <c r="M57" s="157">
        <f>IF($E57="","",IF(OR($E57="Coal",$E57="Dirty Coal"),"MT","BCM"))</f>
        <v/>
      </c>
      <c r="N57" s="157">
        <f>IF($E57="","",IF(OR($E57="Coal",$E57="Dirty Coal"),"Coal","OB"))</f>
        <v/>
      </c>
      <c r="O57" s="157">
        <f>IF($F57="","",IF(COUNTIF(MASTER_JAM!$A$5:$A$94,$C57)=0,"Digger tidak dikenal",IF($J57="","Hauler tidak dikenal",IF($H57="?","Jam salah",IF($K57=0,"Faktor kosong",IF(SUMIFS(INPUT_DELAY!$E$5:$E$20000,INPUT_DELAY!$A$5:$A$20000,$A57,INPUT_DELAY!$B$5:$B$20000,$B57,INPUT_DELAY!$C$5:$C$20000,$C57)+SUMIFS(INPUT_DELAY!$E$5:$E$20000,INPUT_DELAY!$A$5:$A$20000,$A57,INPUT_DELAY!$B$5:$B$20000,$B57,INPUT_DELAY!$C$5:$C$20000,"SEMUA")&gt;=60,"Delay 60 mnt tapi ada ritase","OK"))))))</f>
        <v/>
      </c>
      <c r="P57" s="158">
        <f>IFERROR(INDEX(MASTER_JAM!$Z$5:$AC$10,MATCH($I57,MASTER_JAM!$Y$5:$Y$10,0),MATCH($J57,MASTER_JAM!$Z$4:$AC$4,0))+0,0)</f>
        <v/>
      </c>
      <c r="Q57" s="158">
        <f>IF($P57=0,0,$P57+IFERROR(INDEX(MASTER_JAM!$H$5:$H$94,MATCH($C57,MASTER_JAM!$A$5:$A$94,0))+0,MASTER_JAM!$AC$15)/1000*(60/MASTER_JAM!$AC$12+60/MASTER_JAM!$AC$13)+MASTER_JAM!$AC$14)</f>
        <v/>
      </c>
      <c r="R57" s="158">
        <f>IF(N($F57)=0,0,$F57/SUMIFS(INPUT_RITASE!$F$5:$F$20000,INPUT_RITASE!$A$5:$A$20000,$A57,INPUT_RITASE!$B$5:$B$20000,$B57,INPUT_RITASE!$C$5:$C$20000,$C57,INPUT_RITASE!$D$5:$D$20000,$D57))</f>
        <v/>
      </c>
      <c r="S57" s="158">
        <f>IF($Q57=0,0,$R57*$P57/$Q57)</f>
        <v/>
      </c>
    </row>
    <row r="58">
      <c r="A58" s="155" t="n">
        <v>46104</v>
      </c>
      <c r="B58" s="156" t="inlineStr">
        <is>
          <t>15-16</t>
        </is>
      </c>
      <c r="C58" s="156" t="inlineStr">
        <is>
          <t>EX-1251</t>
        </is>
      </c>
      <c r="D58" s="156" t="inlineStr">
        <is>
          <t>DT-501</t>
        </is>
      </c>
      <c r="E58" s="156" t="inlineStr">
        <is>
          <t>OB</t>
        </is>
      </c>
      <c r="F58" s="156" t="n">
        <v>4</v>
      </c>
      <c r="G58" s="156" t="inlineStr"/>
      <c r="H58" s="157">
        <f>IF($B58="","",IF(ISNA(MATCH($B58,MASTER_JAM!$Q$5:$Q$28,0)),"?",IF(MATCH($B58,MASTER_JAM!$Q$5:$Q$28,0)&lt;=12,"DS","NS")))</f>
        <v/>
      </c>
      <c r="I58" s="157">
        <f>IFERROR(INDEX(MASTER_JAM!$B$5:$B$94,MATCH($C58,MASTER_JAM!$A$5:$A$94,0)),"")</f>
        <v/>
      </c>
      <c r="J58" s="157">
        <f>IFERROR(INDEX(MASTER_JAM!$E$5:$E$94,MATCH($D58,MASTER_JAM!$A$5:$A$94,0)),"")</f>
        <v/>
      </c>
      <c r="K58" s="158">
        <f>IFERROR(INDEX(MASTER_JAM!$J$5:$O$12,MATCH($E58,MASTER_JAM!$I$5:$I$12,0),MATCH($J58,MASTER_JAM!$J$4:$O$4,0))+0,0)</f>
        <v/>
      </c>
      <c r="L58" s="159">
        <f>N($F58)*$K58</f>
        <v/>
      </c>
      <c r="M58" s="157">
        <f>IF($E58="","",IF(OR($E58="Coal",$E58="Dirty Coal"),"MT","BCM"))</f>
        <v/>
      </c>
      <c r="N58" s="157">
        <f>IF($E58="","",IF(OR($E58="Coal",$E58="Dirty Coal"),"Coal","OB"))</f>
        <v/>
      </c>
      <c r="O58" s="157">
        <f>IF($F58="","",IF(COUNTIF(MASTER_JAM!$A$5:$A$94,$C58)=0,"Digger tidak dikenal",IF($J58="","Hauler tidak dikenal",IF($H58="?","Jam salah",IF($K58=0,"Faktor kosong",IF(SUMIFS(INPUT_DELAY!$E$5:$E$20000,INPUT_DELAY!$A$5:$A$20000,$A58,INPUT_DELAY!$B$5:$B$20000,$B58,INPUT_DELAY!$C$5:$C$20000,$C58)+SUMIFS(INPUT_DELAY!$E$5:$E$20000,INPUT_DELAY!$A$5:$A$20000,$A58,INPUT_DELAY!$B$5:$B$20000,$B58,INPUT_DELAY!$C$5:$C$20000,"SEMUA")&gt;=60,"Delay 60 mnt tapi ada ritase","OK"))))))</f>
        <v/>
      </c>
      <c r="P58" s="158">
        <f>IFERROR(INDEX(MASTER_JAM!$Z$5:$AC$10,MATCH($I58,MASTER_JAM!$Y$5:$Y$10,0),MATCH($J58,MASTER_JAM!$Z$4:$AC$4,0))+0,0)</f>
        <v/>
      </c>
      <c r="Q58" s="158">
        <f>IF($P58=0,0,$P58+IFERROR(INDEX(MASTER_JAM!$H$5:$H$94,MATCH($C58,MASTER_JAM!$A$5:$A$94,0))+0,MASTER_JAM!$AC$15)/1000*(60/MASTER_JAM!$AC$12+60/MASTER_JAM!$AC$13)+MASTER_JAM!$AC$14)</f>
        <v/>
      </c>
      <c r="R58" s="158">
        <f>IF(N($F58)=0,0,$F58/SUMIFS(INPUT_RITASE!$F$5:$F$20000,INPUT_RITASE!$A$5:$A$20000,$A58,INPUT_RITASE!$B$5:$B$20000,$B58,INPUT_RITASE!$C$5:$C$20000,$C58,INPUT_RITASE!$D$5:$D$20000,$D58))</f>
        <v/>
      </c>
      <c r="S58" s="158">
        <f>IF($Q58=0,0,$R58*$P58/$Q58)</f>
        <v/>
      </c>
    </row>
    <row r="59">
      <c r="A59" s="155" t="n">
        <v>46104</v>
      </c>
      <c r="B59" s="156" t="inlineStr">
        <is>
          <t>15-16</t>
        </is>
      </c>
      <c r="C59" s="156" t="inlineStr">
        <is>
          <t>EX-1251</t>
        </is>
      </c>
      <c r="D59" s="156" t="inlineStr">
        <is>
          <t>DT-520</t>
        </is>
      </c>
      <c r="E59" s="156" t="inlineStr">
        <is>
          <t>OB</t>
        </is>
      </c>
      <c r="F59" s="156" t="n">
        <v>4</v>
      </c>
      <c r="G59" s="156" t="inlineStr"/>
      <c r="H59" s="157">
        <f>IF($B59="","",IF(ISNA(MATCH($B59,MASTER_JAM!$Q$5:$Q$28,0)),"?",IF(MATCH($B59,MASTER_JAM!$Q$5:$Q$28,0)&lt;=12,"DS","NS")))</f>
        <v/>
      </c>
      <c r="I59" s="157">
        <f>IFERROR(INDEX(MASTER_JAM!$B$5:$B$94,MATCH($C59,MASTER_JAM!$A$5:$A$94,0)),"")</f>
        <v/>
      </c>
      <c r="J59" s="157">
        <f>IFERROR(INDEX(MASTER_JAM!$E$5:$E$94,MATCH($D59,MASTER_JAM!$A$5:$A$94,0)),"")</f>
        <v/>
      </c>
      <c r="K59" s="158">
        <f>IFERROR(INDEX(MASTER_JAM!$J$5:$O$12,MATCH($E59,MASTER_JAM!$I$5:$I$12,0),MATCH($J59,MASTER_JAM!$J$4:$O$4,0))+0,0)</f>
        <v/>
      </c>
      <c r="L59" s="159">
        <f>N($F59)*$K59</f>
        <v/>
      </c>
      <c r="M59" s="157">
        <f>IF($E59="","",IF(OR($E59="Coal",$E59="Dirty Coal"),"MT","BCM"))</f>
        <v/>
      </c>
      <c r="N59" s="157">
        <f>IF($E59="","",IF(OR($E59="Coal",$E59="Dirty Coal"),"Coal","OB"))</f>
        <v/>
      </c>
      <c r="O59" s="157">
        <f>IF($F59="","",IF(COUNTIF(MASTER_JAM!$A$5:$A$94,$C59)=0,"Digger tidak dikenal",IF($J59="","Hauler tidak dikenal",IF($H59="?","Jam salah",IF($K59=0,"Faktor kosong",IF(SUMIFS(INPUT_DELAY!$E$5:$E$20000,INPUT_DELAY!$A$5:$A$20000,$A59,INPUT_DELAY!$B$5:$B$20000,$B59,INPUT_DELAY!$C$5:$C$20000,$C59)+SUMIFS(INPUT_DELAY!$E$5:$E$20000,INPUT_DELAY!$A$5:$A$20000,$A59,INPUT_DELAY!$B$5:$B$20000,$B59,INPUT_DELAY!$C$5:$C$20000,"SEMUA")&gt;=60,"Delay 60 mnt tapi ada ritase","OK"))))))</f>
        <v/>
      </c>
      <c r="P59" s="158">
        <f>IFERROR(INDEX(MASTER_JAM!$Z$5:$AC$10,MATCH($I59,MASTER_JAM!$Y$5:$Y$10,0),MATCH($J59,MASTER_JAM!$Z$4:$AC$4,0))+0,0)</f>
        <v/>
      </c>
      <c r="Q59" s="158">
        <f>IF($P59=0,0,$P59+IFERROR(INDEX(MASTER_JAM!$H$5:$H$94,MATCH($C59,MASTER_JAM!$A$5:$A$94,0))+0,MASTER_JAM!$AC$15)/1000*(60/MASTER_JAM!$AC$12+60/MASTER_JAM!$AC$13)+MASTER_JAM!$AC$14)</f>
        <v/>
      </c>
      <c r="R59" s="158">
        <f>IF(N($F59)=0,0,$F59/SUMIFS(INPUT_RITASE!$F$5:$F$20000,INPUT_RITASE!$A$5:$A$20000,$A59,INPUT_RITASE!$B$5:$B$20000,$B59,INPUT_RITASE!$C$5:$C$20000,$C59,INPUT_RITASE!$D$5:$D$20000,$D59))</f>
        <v/>
      </c>
      <c r="S59" s="158">
        <f>IF($Q59=0,0,$R59*$P59/$Q59)</f>
        <v/>
      </c>
    </row>
    <row r="60">
      <c r="A60" s="155" t="n">
        <v>46104</v>
      </c>
      <c r="B60" s="156" t="inlineStr">
        <is>
          <t>15-16</t>
        </is>
      </c>
      <c r="C60" s="156" t="inlineStr">
        <is>
          <t>EX-1251</t>
        </is>
      </c>
      <c r="D60" s="156" t="inlineStr">
        <is>
          <t>DT-510</t>
        </is>
      </c>
      <c r="E60" s="156" t="inlineStr">
        <is>
          <t>OB</t>
        </is>
      </c>
      <c r="F60" s="156" t="n">
        <v>4</v>
      </c>
      <c r="G60" s="156" t="inlineStr"/>
      <c r="H60" s="157">
        <f>IF($B60="","",IF(ISNA(MATCH($B60,MASTER_JAM!$Q$5:$Q$28,0)),"?",IF(MATCH($B60,MASTER_JAM!$Q$5:$Q$28,0)&lt;=12,"DS","NS")))</f>
        <v/>
      </c>
      <c r="I60" s="157">
        <f>IFERROR(INDEX(MASTER_JAM!$B$5:$B$94,MATCH($C60,MASTER_JAM!$A$5:$A$94,0)),"")</f>
        <v/>
      </c>
      <c r="J60" s="157">
        <f>IFERROR(INDEX(MASTER_JAM!$E$5:$E$94,MATCH($D60,MASTER_JAM!$A$5:$A$94,0)),"")</f>
        <v/>
      </c>
      <c r="K60" s="158">
        <f>IFERROR(INDEX(MASTER_JAM!$J$5:$O$12,MATCH($E60,MASTER_JAM!$I$5:$I$12,0),MATCH($J60,MASTER_JAM!$J$4:$O$4,0))+0,0)</f>
        <v/>
      </c>
      <c r="L60" s="159">
        <f>N($F60)*$K60</f>
        <v/>
      </c>
      <c r="M60" s="157">
        <f>IF($E60="","",IF(OR($E60="Coal",$E60="Dirty Coal"),"MT","BCM"))</f>
        <v/>
      </c>
      <c r="N60" s="157">
        <f>IF($E60="","",IF(OR($E60="Coal",$E60="Dirty Coal"),"Coal","OB"))</f>
        <v/>
      </c>
      <c r="O60" s="157">
        <f>IF($F60="","",IF(COUNTIF(MASTER_JAM!$A$5:$A$94,$C60)=0,"Digger tidak dikenal",IF($J60="","Hauler tidak dikenal",IF($H60="?","Jam salah",IF($K60=0,"Faktor kosong",IF(SUMIFS(INPUT_DELAY!$E$5:$E$20000,INPUT_DELAY!$A$5:$A$20000,$A60,INPUT_DELAY!$B$5:$B$20000,$B60,INPUT_DELAY!$C$5:$C$20000,$C60)+SUMIFS(INPUT_DELAY!$E$5:$E$20000,INPUT_DELAY!$A$5:$A$20000,$A60,INPUT_DELAY!$B$5:$B$20000,$B60,INPUT_DELAY!$C$5:$C$20000,"SEMUA")&gt;=60,"Delay 60 mnt tapi ada ritase","OK"))))))</f>
        <v/>
      </c>
      <c r="P60" s="158">
        <f>IFERROR(INDEX(MASTER_JAM!$Z$5:$AC$10,MATCH($I60,MASTER_JAM!$Y$5:$Y$10,0),MATCH($J60,MASTER_JAM!$Z$4:$AC$4,0))+0,0)</f>
        <v/>
      </c>
      <c r="Q60" s="158">
        <f>IF($P60=0,0,$P60+IFERROR(INDEX(MASTER_JAM!$H$5:$H$94,MATCH($C60,MASTER_JAM!$A$5:$A$94,0))+0,MASTER_JAM!$AC$15)/1000*(60/MASTER_JAM!$AC$12+60/MASTER_JAM!$AC$13)+MASTER_JAM!$AC$14)</f>
        <v/>
      </c>
      <c r="R60" s="158">
        <f>IF(N($F60)=0,0,$F60/SUMIFS(INPUT_RITASE!$F$5:$F$20000,INPUT_RITASE!$A$5:$A$20000,$A60,INPUT_RITASE!$B$5:$B$20000,$B60,INPUT_RITASE!$C$5:$C$20000,$C60,INPUT_RITASE!$D$5:$D$20000,$D60))</f>
        <v/>
      </c>
      <c r="S60" s="158">
        <f>IF($Q60=0,0,$R60*$P60/$Q60)</f>
        <v/>
      </c>
    </row>
    <row r="61">
      <c r="A61" s="155" t="n">
        <v>46104</v>
      </c>
      <c r="B61" s="156" t="inlineStr">
        <is>
          <t>15-16</t>
        </is>
      </c>
      <c r="C61" s="156" t="inlineStr">
        <is>
          <t>EX-1251</t>
        </is>
      </c>
      <c r="D61" s="156" t="inlineStr">
        <is>
          <t>DT-513</t>
        </is>
      </c>
      <c r="E61" s="156" t="inlineStr">
        <is>
          <t>OB</t>
        </is>
      </c>
      <c r="F61" s="156" t="n">
        <v>4</v>
      </c>
      <c r="G61" s="156" t="inlineStr"/>
      <c r="H61" s="157">
        <f>IF($B61="","",IF(ISNA(MATCH($B61,MASTER_JAM!$Q$5:$Q$28,0)),"?",IF(MATCH($B61,MASTER_JAM!$Q$5:$Q$28,0)&lt;=12,"DS","NS")))</f>
        <v/>
      </c>
      <c r="I61" s="157">
        <f>IFERROR(INDEX(MASTER_JAM!$B$5:$B$94,MATCH($C61,MASTER_JAM!$A$5:$A$94,0)),"")</f>
        <v/>
      </c>
      <c r="J61" s="157">
        <f>IFERROR(INDEX(MASTER_JAM!$E$5:$E$94,MATCH($D61,MASTER_JAM!$A$5:$A$94,0)),"")</f>
        <v/>
      </c>
      <c r="K61" s="158">
        <f>IFERROR(INDEX(MASTER_JAM!$J$5:$O$12,MATCH($E61,MASTER_JAM!$I$5:$I$12,0),MATCH($J61,MASTER_JAM!$J$4:$O$4,0))+0,0)</f>
        <v/>
      </c>
      <c r="L61" s="159">
        <f>N($F61)*$K61</f>
        <v/>
      </c>
      <c r="M61" s="157">
        <f>IF($E61="","",IF(OR($E61="Coal",$E61="Dirty Coal"),"MT","BCM"))</f>
        <v/>
      </c>
      <c r="N61" s="157">
        <f>IF($E61="","",IF(OR($E61="Coal",$E61="Dirty Coal"),"Coal","OB"))</f>
        <v/>
      </c>
      <c r="O61" s="157">
        <f>IF($F61="","",IF(COUNTIF(MASTER_JAM!$A$5:$A$94,$C61)=0,"Digger tidak dikenal",IF($J61="","Hauler tidak dikenal",IF($H61="?","Jam salah",IF($K61=0,"Faktor kosong",IF(SUMIFS(INPUT_DELAY!$E$5:$E$20000,INPUT_DELAY!$A$5:$A$20000,$A61,INPUT_DELAY!$B$5:$B$20000,$B61,INPUT_DELAY!$C$5:$C$20000,$C61)+SUMIFS(INPUT_DELAY!$E$5:$E$20000,INPUT_DELAY!$A$5:$A$20000,$A61,INPUT_DELAY!$B$5:$B$20000,$B61,INPUT_DELAY!$C$5:$C$20000,"SEMUA")&gt;=60,"Delay 60 mnt tapi ada ritase","OK"))))))</f>
        <v/>
      </c>
      <c r="P61" s="158">
        <f>IFERROR(INDEX(MASTER_JAM!$Z$5:$AC$10,MATCH($I61,MASTER_JAM!$Y$5:$Y$10,0),MATCH($J61,MASTER_JAM!$Z$4:$AC$4,0))+0,0)</f>
        <v/>
      </c>
      <c r="Q61" s="158">
        <f>IF($P61=0,0,$P61+IFERROR(INDEX(MASTER_JAM!$H$5:$H$94,MATCH($C61,MASTER_JAM!$A$5:$A$94,0))+0,MASTER_JAM!$AC$15)/1000*(60/MASTER_JAM!$AC$12+60/MASTER_JAM!$AC$13)+MASTER_JAM!$AC$14)</f>
        <v/>
      </c>
      <c r="R61" s="158">
        <f>IF(N($F61)=0,0,$F61/SUMIFS(INPUT_RITASE!$F$5:$F$20000,INPUT_RITASE!$A$5:$A$20000,$A61,INPUT_RITASE!$B$5:$B$20000,$B61,INPUT_RITASE!$C$5:$C$20000,$C61,INPUT_RITASE!$D$5:$D$20000,$D61))</f>
        <v/>
      </c>
      <c r="S61" s="158">
        <f>IF($Q61=0,0,$R61*$P61/$Q61)</f>
        <v/>
      </c>
    </row>
    <row r="62">
      <c r="A62" s="155" t="n">
        <v>46104</v>
      </c>
      <c r="B62" s="156" t="inlineStr">
        <is>
          <t>15-16</t>
        </is>
      </c>
      <c r="C62" s="156" t="inlineStr">
        <is>
          <t>EX-1251</t>
        </is>
      </c>
      <c r="D62" s="156" t="inlineStr">
        <is>
          <t>DT-503</t>
        </is>
      </c>
      <c r="E62" s="156" t="inlineStr">
        <is>
          <t>OB</t>
        </is>
      </c>
      <c r="F62" s="156" t="n">
        <v>4</v>
      </c>
      <c r="G62" s="156" t="inlineStr"/>
      <c r="H62" s="157">
        <f>IF($B62="","",IF(ISNA(MATCH($B62,MASTER_JAM!$Q$5:$Q$28,0)),"?",IF(MATCH($B62,MASTER_JAM!$Q$5:$Q$28,0)&lt;=12,"DS","NS")))</f>
        <v/>
      </c>
      <c r="I62" s="157">
        <f>IFERROR(INDEX(MASTER_JAM!$B$5:$B$94,MATCH($C62,MASTER_JAM!$A$5:$A$94,0)),"")</f>
        <v/>
      </c>
      <c r="J62" s="157">
        <f>IFERROR(INDEX(MASTER_JAM!$E$5:$E$94,MATCH($D62,MASTER_JAM!$A$5:$A$94,0)),"")</f>
        <v/>
      </c>
      <c r="K62" s="158">
        <f>IFERROR(INDEX(MASTER_JAM!$J$5:$O$12,MATCH($E62,MASTER_JAM!$I$5:$I$12,0),MATCH($J62,MASTER_JAM!$J$4:$O$4,0))+0,0)</f>
        <v/>
      </c>
      <c r="L62" s="159">
        <f>N($F62)*$K62</f>
        <v/>
      </c>
      <c r="M62" s="157">
        <f>IF($E62="","",IF(OR($E62="Coal",$E62="Dirty Coal"),"MT","BCM"))</f>
        <v/>
      </c>
      <c r="N62" s="157">
        <f>IF($E62="","",IF(OR($E62="Coal",$E62="Dirty Coal"),"Coal","OB"))</f>
        <v/>
      </c>
      <c r="O62" s="157">
        <f>IF($F62="","",IF(COUNTIF(MASTER_JAM!$A$5:$A$94,$C62)=0,"Digger tidak dikenal",IF($J62="","Hauler tidak dikenal",IF($H62="?","Jam salah",IF($K62=0,"Faktor kosong",IF(SUMIFS(INPUT_DELAY!$E$5:$E$20000,INPUT_DELAY!$A$5:$A$20000,$A62,INPUT_DELAY!$B$5:$B$20000,$B62,INPUT_DELAY!$C$5:$C$20000,$C62)+SUMIFS(INPUT_DELAY!$E$5:$E$20000,INPUT_DELAY!$A$5:$A$20000,$A62,INPUT_DELAY!$B$5:$B$20000,$B62,INPUT_DELAY!$C$5:$C$20000,"SEMUA")&gt;=60,"Delay 60 mnt tapi ada ritase","OK"))))))</f>
        <v/>
      </c>
      <c r="P62" s="158">
        <f>IFERROR(INDEX(MASTER_JAM!$Z$5:$AC$10,MATCH($I62,MASTER_JAM!$Y$5:$Y$10,0),MATCH($J62,MASTER_JAM!$Z$4:$AC$4,0))+0,0)</f>
        <v/>
      </c>
      <c r="Q62" s="158">
        <f>IF($P62=0,0,$P62+IFERROR(INDEX(MASTER_JAM!$H$5:$H$94,MATCH($C62,MASTER_JAM!$A$5:$A$94,0))+0,MASTER_JAM!$AC$15)/1000*(60/MASTER_JAM!$AC$12+60/MASTER_JAM!$AC$13)+MASTER_JAM!$AC$14)</f>
        <v/>
      </c>
      <c r="R62" s="158">
        <f>IF(N($F62)=0,0,$F62/SUMIFS(INPUT_RITASE!$F$5:$F$20000,INPUT_RITASE!$A$5:$A$20000,$A62,INPUT_RITASE!$B$5:$B$20000,$B62,INPUT_RITASE!$C$5:$C$20000,$C62,INPUT_RITASE!$D$5:$D$20000,$D62))</f>
        <v/>
      </c>
      <c r="S62" s="158">
        <f>IF($Q62=0,0,$R62*$P62/$Q62)</f>
        <v/>
      </c>
    </row>
    <row r="63">
      <c r="A63" s="155" t="n">
        <v>46104</v>
      </c>
      <c r="B63" s="156" t="inlineStr">
        <is>
          <t>15-16</t>
        </is>
      </c>
      <c r="C63" s="156" t="inlineStr">
        <is>
          <t>EX-1251</t>
        </is>
      </c>
      <c r="D63" s="156" t="inlineStr">
        <is>
          <t>DT-523</t>
        </is>
      </c>
      <c r="E63" s="156" t="inlineStr">
        <is>
          <t>OB</t>
        </is>
      </c>
      <c r="F63" s="156" t="n">
        <v>4</v>
      </c>
      <c r="G63" s="156" t="inlineStr"/>
      <c r="H63" s="157">
        <f>IF($B63="","",IF(ISNA(MATCH($B63,MASTER_JAM!$Q$5:$Q$28,0)),"?",IF(MATCH($B63,MASTER_JAM!$Q$5:$Q$28,0)&lt;=12,"DS","NS")))</f>
        <v/>
      </c>
      <c r="I63" s="157">
        <f>IFERROR(INDEX(MASTER_JAM!$B$5:$B$94,MATCH($C63,MASTER_JAM!$A$5:$A$94,0)),"")</f>
        <v/>
      </c>
      <c r="J63" s="157">
        <f>IFERROR(INDEX(MASTER_JAM!$E$5:$E$94,MATCH($D63,MASTER_JAM!$A$5:$A$94,0)),"")</f>
        <v/>
      </c>
      <c r="K63" s="158">
        <f>IFERROR(INDEX(MASTER_JAM!$J$5:$O$12,MATCH($E63,MASTER_JAM!$I$5:$I$12,0),MATCH($J63,MASTER_JAM!$J$4:$O$4,0))+0,0)</f>
        <v/>
      </c>
      <c r="L63" s="159">
        <f>N($F63)*$K63</f>
        <v/>
      </c>
      <c r="M63" s="157">
        <f>IF($E63="","",IF(OR($E63="Coal",$E63="Dirty Coal"),"MT","BCM"))</f>
        <v/>
      </c>
      <c r="N63" s="157">
        <f>IF($E63="","",IF(OR($E63="Coal",$E63="Dirty Coal"),"Coal","OB"))</f>
        <v/>
      </c>
      <c r="O63" s="157">
        <f>IF($F63="","",IF(COUNTIF(MASTER_JAM!$A$5:$A$94,$C63)=0,"Digger tidak dikenal",IF($J63="","Hauler tidak dikenal",IF($H63="?","Jam salah",IF($K63=0,"Faktor kosong",IF(SUMIFS(INPUT_DELAY!$E$5:$E$20000,INPUT_DELAY!$A$5:$A$20000,$A63,INPUT_DELAY!$B$5:$B$20000,$B63,INPUT_DELAY!$C$5:$C$20000,$C63)+SUMIFS(INPUT_DELAY!$E$5:$E$20000,INPUT_DELAY!$A$5:$A$20000,$A63,INPUT_DELAY!$B$5:$B$20000,$B63,INPUT_DELAY!$C$5:$C$20000,"SEMUA")&gt;=60,"Delay 60 mnt tapi ada ritase","OK"))))))</f>
        <v/>
      </c>
      <c r="P63" s="158">
        <f>IFERROR(INDEX(MASTER_JAM!$Z$5:$AC$10,MATCH($I63,MASTER_JAM!$Y$5:$Y$10,0),MATCH($J63,MASTER_JAM!$Z$4:$AC$4,0))+0,0)</f>
        <v/>
      </c>
      <c r="Q63" s="158">
        <f>IF($P63=0,0,$P63+IFERROR(INDEX(MASTER_JAM!$H$5:$H$94,MATCH($C63,MASTER_JAM!$A$5:$A$94,0))+0,MASTER_JAM!$AC$15)/1000*(60/MASTER_JAM!$AC$12+60/MASTER_JAM!$AC$13)+MASTER_JAM!$AC$14)</f>
        <v/>
      </c>
      <c r="R63" s="158">
        <f>IF(N($F63)=0,0,$F63/SUMIFS(INPUT_RITASE!$F$5:$F$20000,INPUT_RITASE!$A$5:$A$20000,$A63,INPUT_RITASE!$B$5:$B$20000,$B63,INPUT_RITASE!$C$5:$C$20000,$C63,INPUT_RITASE!$D$5:$D$20000,$D63))</f>
        <v/>
      </c>
      <c r="S63" s="158">
        <f>IF($Q63=0,0,$R63*$P63/$Q63)</f>
        <v/>
      </c>
    </row>
    <row r="64">
      <c r="A64" s="155" t="n">
        <v>46104</v>
      </c>
      <c r="B64" s="156" t="inlineStr">
        <is>
          <t>15-16</t>
        </is>
      </c>
      <c r="C64" s="156" t="inlineStr">
        <is>
          <t>EX-1251</t>
        </is>
      </c>
      <c r="D64" s="156" t="inlineStr">
        <is>
          <t>DT-521</t>
        </is>
      </c>
      <c r="E64" s="156" t="inlineStr">
        <is>
          <t>OB</t>
        </is>
      </c>
      <c r="F64" s="156" t="n">
        <v>4</v>
      </c>
      <c r="G64" s="156" t="inlineStr"/>
      <c r="H64" s="157">
        <f>IF($B64="","",IF(ISNA(MATCH($B64,MASTER_JAM!$Q$5:$Q$28,0)),"?",IF(MATCH($B64,MASTER_JAM!$Q$5:$Q$28,0)&lt;=12,"DS","NS")))</f>
        <v/>
      </c>
      <c r="I64" s="157">
        <f>IFERROR(INDEX(MASTER_JAM!$B$5:$B$94,MATCH($C64,MASTER_JAM!$A$5:$A$94,0)),"")</f>
        <v/>
      </c>
      <c r="J64" s="157">
        <f>IFERROR(INDEX(MASTER_JAM!$E$5:$E$94,MATCH($D64,MASTER_JAM!$A$5:$A$94,0)),"")</f>
        <v/>
      </c>
      <c r="K64" s="158">
        <f>IFERROR(INDEX(MASTER_JAM!$J$5:$O$12,MATCH($E64,MASTER_JAM!$I$5:$I$12,0),MATCH($J64,MASTER_JAM!$J$4:$O$4,0))+0,0)</f>
        <v/>
      </c>
      <c r="L64" s="159">
        <f>N($F64)*$K64</f>
        <v/>
      </c>
      <c r="M64" s="157">
        <f>IF($E64="","",IF(OR($E64="Coal",$E64="Dirty Coal"),"MT","BCM"))</f>
        <v/>
      </c>
      <c r="N64" s="157">
        <f>IF($E64="","",IF(OR($E64="Coal",$E64="Dirty Coal"),"Coal","OB"))</f>
        <v/>
      </c>
      <c r="O64" s="157">
        <f>IF($F64="","",IF(COUNTIF(MASTER_JAM!$A$5:$A$94,$C64)=0,"Digger tidak dikenal",IF($J64="","Hauler tidak dikenal",IF($H64="?","Jam salah",IF($K64=0,"Faktor kosong",IF(SUMIFS(INPUT_DELAY!$E$5:$E$20000,INPUT_DELAY!$A$5:$A$20000,$A64,INPUT_DELAY!$B$5:$B$20000,$B64,INPUT_DELAY!$C$5:$C$20000,$C64)+SUMIFS(INPUT_DELAY!$E$5:$E$20000,INPUT_DELAY!$A$5:$A$20000,$A64,INPUT_DELAY!$B$5:$B$20000,$B64,INPUT_DELAY!$C$5:$C$20000,"SEMUA")&gt;=60,"Delay 60 mnt tapi ada ritase","OK"))))))</f>
        <v/>
      </c>
      <c r="P64" s="158">
        <f>IFERROR(INDEX(MASTER_JAM!$Z$5:$AC$10,MATCH($I64,MASTER_JAM!$Y$5:$Y$10,0),MATCH($J64,MASTER_JAM!$Z$4:$AC$4,0))+0,0)</f>
        <v/>
      </c>
      <c r="Q64" s="158">
        <f>IF($P64=0,0,$P64+IFERROR(INDEX(MASTER_JAM!$H$5:$H$94,MATCH($C64,MASTER_JAM!$A$5:$A$94,0))+0,MASTER_JAM!$AC$15)/1000*(60/MASTER_JAM!$AC$12+60/MASTER_JAM!$AC$13)+MASTER_JAM!$AC$14)</f>
        <v/>
      </c>
      <c r="R64" s="158">
        <f>IF(N($F64)=0,0,$F64/SUMIFS(INPUT_RITASE!$F$5:$F$20000,INPUT_RITASE!$A$5:$A$20000,$A64,INPUT_RITASE!$B$5:$B$20000,$B64,INPUT_RITASE!$C$5:$C$20000,$C64,INPUT_RITASE!$D$5:$D$20000,$D64))</f>
        <v/>
      </c>
      <c r="S64" s="158">
        <f>IF($Q64=0,0,$R64*$P64/$Q64)</f>
        <v/>
      </c>
    </row>
    <row r="65">
      <c r="A65" s="155" t="n">
        <v>46104</v>
      </c>
      <c r="B65" s="156" t="inlineStr">
        <is>
          <t>15-16</t>
        </is>
      </c>
      <c r="C65" s="156" t="inlineStr">
        <is>
          <t>EX-1251</t>
        </is>
      </c>
      <c r="D65" s="156" t="inlineStr">
        <is>
          <t>DT-506</t>
        </is>
      </c>
      <c r="E65" s="156" t="inlineStr">
        <is>
          <t>OB</t>
        </is>
      </c>
      <c r="F65" s="156" t="n">
        <v>3</v>
      </c>
      <c r="G65" s="156" t="inlineStr"/>
      <c r="H65" s="157">
        <f>IF($B65="","",IF(ISNA(MATCH($B65,MASTER_JAM!$Q$5:$Q$28,0)),"?",IF(MATCH($B65,MASTER_JAM!$Q$5:$Q$28,0)&lt;=12,"DS","NS")))</f>
        <v/>
      </c>
      <c r="I65" s="157">
        <f>IFERROR(INDEX(MASTER_JAM!$B$5:$B$94,MATCH($C65,MASTER_JAM!$A$5:$A$94,0)),"")</f>
        <v/>
      </c>
      <c r="J65" s="157">
        <f>IFERROR(INDEX(MASTER_JAM!$E$5:$E$94,MATCH($D65,MASTER_JAM!$A$5:$A$94,0)),"")</f>
        <v/>
      </c>
      <c r="K65" s="158">
        <f>IFERROR(INDEX(MASTER_JAM!$J$5:$O$12,MATCH($E65,MASTER_JAM!$I$5:$I$12,0),MATCH($J65,MASTER_JAM!$J$4:$O$4,0))+0,0)</f>
        <v/>
      </c>
      <c r="L65" s="159">
        <f>N($F65)*$K65</f>
        <v/>
      </c>
      <c r="M65" s="157">
        <f>IF($E65="","",IF(OR($E65="Coal",$E65="Dirty Coal"),"MT","BCM"))</f>
        <v/>
      </c>
      <c r="N65" s="157">
        <f>IF($E65="","",IF(OR($E65="Coal",$E65="Dirty Coal"),"Coal","OB"))</f>
        <v/>
      </c>
      <c r="O65" s="157">
        <f>IF($F65="","",IF(COUNTIF(MASTER_JAM!$A$5:$A$94,$C65)=0,"Digger tidak dikenal",IF($J65="","Hauler tidak dikenal",IF($H65="?","Jam salah",IF($K65=0,"Faktor kosong",IF(SUMIFS(INPUT_DELAY!$E$5:$E$20000,INPUT_DELAY!$A$5:$A$20000,$A65,INPUT_DELAY!$B$5:$B$20000,$B65,INPUT_DELAY!$C$5:$C$20000,$C65)+SUMIFS(INPUT_DELAY!$E$5:$E$20000,INPUT_DELAY!$A$5:$A$20000,$A65,INPUT_DELAY!$B$5:$B$20000,$B65,INPUT_DELAY!$C$5:$C$20000,"SEMUA")&gt;=60,"Delay 60 mnt tapi ada ritase","OK"))))))</f>
        <v/>
      </c>
      <c r="P65" s="158">
        <f>IFERROR(INDEX(MASTER_JAM!$Z$5:$AC$10,MATCH($I65,MASTER_JAM!$Y$5:$Y$10,0),MATCH($J65,MASTER_JAM!$Z$4:$AC$4,0))+0,0)</f>
        <v/>
      </c>
      <c r="Q65" s="158">
        <f>IF($P65=0,0,$P65+IFERROR(INDEX(MASTER_JAM!$H$5:$H$94,MATCH($C65,MASTER_JAM!$A$5:$A$94,0))+0,MASTER_JAM!$AC$15)/1000*(60/MASTER_JAM!$AC$12+60/MASTER_JAM!$AC$13)+MASTER_JAM!$AC$14)</f>
        <v/>
      </c>
      <c r="R65" s="158">
        <f>IF(N($F65)=0,0,$F65/SUMIFS(INPUT_RITASE!$F$5:$F$20000,INPUT_RITASE!$A$5:$A$20000,$A65,INPUT_RITASE!$B$5:$B$20000,$B65,INPUT_RITASE!$C$5:$C$20000,$C65,INPUT_RITASE!$D$5:$D$20000,$D65))</f>
        <v/>
      </c>
      <c r="S65" s="158">
        <f>IF($Q65=0,0,$R65*$P65/$Q65)</f>
        <v/>
      </c>
    </row>
    <row r="66">
      <c r="A66" s="155" t="n">
        <v>46104</v>
      </c>
      <c r="B66" s="156" t="inlineStr">
        <is>
          <t>16-17</t>
        </is>
      </c>
      <c r="C66" s="156" t="inlineStr">
        <is>
          <t>EX-1251</t>
        </is>
      </c>
      <c r="D66" s="156" t="inlineStr">
        <is>
          <t>DT-522</t>
        </is>
      </c>
      <c r="E66" s="156" t="inlineStr">
        <is>
          <t>OB</t>
        </is>
      </c>
      <c r="F66" s="156" t="n">
        <v>4</v>
      </c>
      <c r="G66" s="156" t="inlineStr"/>
      <c r="H66" s="157">
        <f>IF($B66="","",IF(ISNA(MATCH($B66,MASTER_JAM!$Q$5:$Q$28,0)),"?",IF(MATCH($B66,MASTER_JAM!$Q$5:$Q$28,0)&lt;=12,"DS","NS")))</f>
        <v/>
      </c>
      <c r="I66" s="157">
        <f>IFERROR(INDEX(MASTER_JAM!$B$5:$B$94,MATCH($C66,MASTER_JAM!$A$5:$A$94,0)),"")</f>
        <v/>
      </c>
      <c r="J66" s="157">
        <f>IFERROR(INDEX(MASTER_JAM!$E$5:$E$94,MATCH($D66,MASTER_JAM!$A$5:$A$94,0)),"")</f>
        <v/>
      </c>
      <c r="K66" s="158">
        <f>IFERROR(INDEX(MASTER_JAM!$J$5:$O$12,MATCH($E66,MASTER_JAM!$I$5:$I$12,0),MATCH($J66,MASTER_JAM!$J$4:$O$4,0))+0,0)</f>
        <v/>
      </c>
      <c r="L66" s="159">
        <f>N($F66)*$K66</f>
        <v/>
      </c>
      <c r="M66" s="157">
        <f>IF($E66="","",IF(OR($E66="Coal",$E66="Dirty Coal"),"MT","BCM"))</f>
        <v/>
      </c>
      <c r="N66" s="157">
        <f>IF($E66="","",IF(OR($E66="Coal",$E66="Dirty Coal"),"Coal","OB"))</f>
        <v/>
      </c>
      <c r="O66" s="157">
        <f>IF($F66="","",IF(COUNTIF(MASTER_JAM!$A$5:$A$94,$C66)=0,"Digger tidak dikenal",IF($J66="","Hauler tidak dikenal",IF($H66="?","Jam salah",IF($K66=0,"Faktor kosong",IF(SUMIFS(INPUT_DELAY!$E$5:$E$20000,INPUT_DELAY!$A$5:$A$20000,$A66,INPUT_DELAY!$B$5:$B$20000,$B66,INPUT_DELAY!$C$5:$C$20000,$C66)+SUMIFS(INPUT_DELAY!$E$5:$E$20000,INPUT_DELAY!$A$5:$A$20000,$A66,INPUT_DELAY!$B$5:$B$20000,$B66,INPUT_DELAY!$C$5:$C$20000,"SEMUA")&gt;=60,"Delay 60 mnt tapi ada ritase","OK"))))))</f>
        <v/>
      </c>
      <c r="P66" s="158">
        <f>IFERROR(INDEX(MASTER_JAM!$Z$5:$AC$10,MATCH($I66,MASTER_JAM!$Y$5:$Y$10,0),MATCH($J66,MASTER_JAM!$Z$4:$AC$4,0))+0,0)</f>
        <v/>
      </c>
      <c r="Q66" s="158">
        <f>IF($P66=0,0,$P66+IFERROR(INDEX(MASTER_JAM!$H$5:$H$94,MATCH($C66,MASTER_JAM!$A$5:$A$94,0))+0,MASTER_JAM!$AC$15)/1000*(60/MASTER_JAM!$AC$12+60/MASTER_JAM!$AC$13)+MASTER_JAM!$AC$14)</f>
        <v/>
      </c>
      <c r="R66" s="158">
        <f>IF(N($F66)=0,0,$F66/SUMIFS(INPUT_RITASE!$F$5:$F$20000,INPUT_RITASE!$A$5:$A$20000,$A66,INPUT_RITASE!$B$5:$B$20000,$B66,INPUT_RITASE!$C$5:$C$20000,$C66,INPUT_RITASE!$D$5:$D$20000,$D66))</f>
        <v/>
      </c>
      <c r="S66" s="158">
        <f>IF($Q66=0,0,$R66*$P66/$Q66)</f>
        <v/>
      </c>
    </row>
    <row r="67">
      <c r="A67" s="155" t="n">
        <v>46104</v>
      </c>
      <c r="B67" s="156" t="inlineStr">
        <is>
          <t>16-17</t>
        </is>
      </c>
      <c r="C67" s="156" t="inlineStr">
        <is>
          <t>EX-1251</t>
        </is>
      </c>
      <c r="D67" s="156" t="inlineStr">
        <is>
          <t>DT-516</t>
        </is>
      </c>
      <c r="E67" s="156" t="inlineStr">
        <is>
          <t>OB</t>
        </is>
      </c>
      <c r="F67" s="156" t="n">
        <v>4</v>
      </c>
      <c r="G67" s="156" t="inlineStr"/>
      <c r="H67" s="157">
        <f>IF($B67="","",IF(ISNA(MATCH($B67,MASTER_JAM!$Q$5:$Q$28,0)),"?",IF(MATCH($B67,MASTER_JAM!$Q$5:$Q$28,0)&lt;=12,"DS","NS")))</f>
        <v/>
      </c>
      <c r="I67" s="157">
        <f>IFERROR(INDEX(MASTER_JAM!$B$5:$B$94,MATCH($C67,MASTER_JAM!$A$5:$A$94,0)),"")</f>
        <v/>
      </c>
      <c r="J67" s="157">
        <f>IFERROR(INDEX(MASTER_JAM!$E$5:$E$94,MATCH($D67,MASTER_JAM!$A$5:$A$94,0)),"")</f>
        <v/>
      </c>
      <c r="K67" s="158">
        <f>IFERROR(INDEX(MASTER_JAM!$J$5:$O$12,MATCH($E67,MASTER_JAM!$I$5:$I$12,0),MATCH($J67,MASTER_JAM!$J$4:$O$4,0))+0,0)</f>
        <v/>
      </c>
      <c r="L67" s="159">
        <f>N($F67)*$K67</f>
        <v/>
      </c>
      <c r="M67" s="157">
        <f>IF($E67="","",IF(OR($E67="Coal",$E67="Dirty Coal"),"MT","BCM"))</f>
        <v/>
      </c>
      <c r="N67" s="157">
        <f>IF($E67="","",IF(OR($E67="Coal",$E67="Dirty Coal"),"Coal","OB"))</f>
        <v/>
      </c>
      <c r="O67" s="157">
        <f>IF($F67="","",IF(COUNTIF(MASTER_JAM!$A$5:$A$94,$C67)=0,"Digger tidak dikenal",IF($J67="","Hauler tidak dikenal",IF($H67="?","Jam salah",IF($K67=0,"Faktor kosong",IF(SUMIFS(INPUT_DELAY!$E$5:$E$20000,INPUT_DELAY!$A$5:$A$20000,$A67,INPUT_DELAY!$B$5:$B$20000,$B67,INPUT_DELAY!$C$5:$C$20000,$C67)+SUMIFS(INPUT_DELAY!$E$5:$E$20000,INPUT_DELAY!$A$5:$A$20000,$A67,INPUT_DELAY!$B$5:$B$20000,$B67,INPUT_DELAY!$C$5:$C$20000,"SEMUA")&gt;=60,"Delay 60 mnt tapi ada ritase","OK"))))))</f>
        <v/>
      </c>
      <c r="P67" s="158">
        <f>IFERROR(INDEX(MASTER_JAM!$Z$5:$AC$10,MATCH($I67,MASTER_JAM!$Y$5:$Y$10,0),MATCH($J67,MASTER_JAM!$Z$4:$AC$4,0))+0,0)</f>
        <v/>
      </c>
      <c r="Q67" s="158">
        <f>IF($P67=0,0,$P67+IFERROR(INDEX(MASTER_JAM!$H$5:$H$94,MATCH($C67,MASTER_JAM!$A$5:$A$94,0))+0,MASTER_JAM!$AC$15)/1000*(60/MASTER_JAM!$AC$12+60/MASTER_JAM!$AC$13)+MASTER_JAM!$AC$14)</f>
        <v/>
      </c>
      <c r="R67" s="158">
        <f>IF(N($F67)=0,0,$F67/SUMIFS(INPUT_RITASE!$F$5:$F$20000,INPUT_RITASE!$A$5:$A$20000,$A67,INPUT_RITASE!$B$5:$B$20000,$B67,INPUT_RITASE!$C$5:$C$20000,$C67,INPUT_RITASE!$D$5:$D$20000,$D67))</f>
        <v/>
      </c>
      <c r="S67" s="158">
        <f>IF($Q67=0,0,$R67*$P67/$Q67)</f>
        <v/>
      </c>
    </row>
    <row r="68">
      <c r="A68" s="155" t="n">
        <v>46104</v>
      </c>
      <c r="B68" s="156" t="inlineStr">
        <is>
          <t>16-17</t>
        </is>
      </c>
      <c r="C68" s="156" t="inlineStr">
        <is>
          <t>EX-1251</t>
        </is>
      </c>
      <c r="D68" s="156" t="inlineStr">
        <is>
          <t>DT-520</t>
        </is>
      </c>
      <c r="E68" s="156" t="inlineStr">
        <is>
          <t>OB</t>
        </is>
      </c>
      <c r="F68" s="156" t="n">
        <v>4</v>
      </c>
      <c r="G68" s="156" t="inlineStr"/>
      <c r="H68" s="157">
        <f>IF($B68="","",IF(ISNA(MATCH($B68,MASTER_JAM!$Q$5:$Q$28,0)),"?",IF(MATCH($B68,MASTER_JAM!$Q$5:$Q$28,0)&lt;=12,"DS","NS")))</f>
        <v/>
      </c>
      <c r="I68" s="157">
        <f>IFERROR(INDEX(MASTER_JAM!$B$5:$B$94,MATCH($C68,MASTER_JAM!$A$5:$A$94,0)),"")</f>
        <v/>
      </c>
      <c r="J68" s="157">
        <f>IFERROR(INDEX(MASTER_JAM!$E$5:$E$94,MATCH($D68,MASTER_JAM!$A$5:$A$94,0)),"")</f>
        <v/>
      </c>
      <c r="K68" s="158">
        <f>IFERROR(INDEX(MASTER_JAM!$J$5:$O$12,MATCH($E68,MASTER_JAM!$I$5:$I$12,0),MATCH($J68,MASTER_JAM!$J$4:$O$4,0))+0,0)</f>
        <v/>
      </c>
      <c r="L68" s="159">
        <f>N($F68)*$K68</f>
        <v/>
      </c>
      <c r="M68" s="157">
        <f>IF($E68="","",IF(OR($E68="Coal",$E68="Dirty Coal"),"MT","BCM"))</f>
        <v/>
      </c>
      <c r="N68" s="157">
        <f>IF($E68="","",IF(OR($E68="Coal",$E68="Dirty Coal"),"Coal","OB"))</f>
        <v/>
      </c>
      <c r="O68" s="157">
        <f>IF($F68="","",IF(COUNTIF(MASTER_JAM!$A$5:$A$94,$C68)=0,"Digger tidak dikenal",IF($J68="","Hauler tidak dikenal",IF($H68="?","Jam salah",IF($K68=0,"Faktor kosong",IF(SUMIFS(INPUT_DELAY!$E$5:$E$20000,INPUT_DELAY!$A$5:$A$20000,$A68,INPUT_DELAY!$B$5:$B$20000,$B68,INPUT_DELAY!$C$5:$C$20000,$C68)+SUMIFS(INPUT_DELAY!$E$5:$E$20000,INPUT_DELAY!$A$5:$A$20000,$A68,INPUT_DELAY!$B$5:$B$20000,$B68,INPUT_DELAY!$C$5:$C$20000,"SEMUA")&gt;=60,"Delay 60 mnt tapi ada ritase","OK"))))))</f>
        <v/>
      </c>
      <c r="P68" s="158">
        <f>IFERROR(INDEX(MASTER_JAM!$Z$5:$AC$10,MATCH($I68,MASTER_JAM!$Y$5:$Y$10,0),MATCH($J68,MASTER_JAM!$Z$4:$AC$4,0))+0,0)</f>
        <v/>
      </c>
      <c r="Q68" s="158">
        <f>IF($P68=0,0,$P68+IFERROR(INDEX(MASTER_JAM!$H$5:$H$94,MATCH($C68,MASTER_JAM!$A$5:$A$94,0))+0,MASTER_JAM!$AC$15)/1000*(60/MASTER_JAM!$AC$12+60/MASTER_JAM!$AC$13)+MASTER_JAM!$AC$14)</f>
        <v/>
      </c>
      <c r="R68" s="158">
        <f>IF(N($F68)=0,0,$F68/SUMIFS(INPUT_RITASE!$F$5:$F$20000,INPUT_RITASE!$A$5:$A$20000,$A68,INPUT_RITASE!$B$5:$B$20000,$B68,INPUT_RITASE!$C$5:$C$20000,$C68,INPUT_RITASE!$D$5:$D$20000,$D68))</f>
        <v/>
      </c>
      <c r="S68" s="158">
        <f>IF($Q68=0,0,$R68*$P68/$Q68)</f>
        <v/>
      </c>
    </row>
    <row r="69">
      <c r="A69" s="155" t="n">
        <v>46104</v>
      </c>
      <c r="B69" s="156" t="inlineStr">
        <is>
          <t>16-17</t>
        </is>
      </c>
      <c r="C69" s="156" t="inlineStr">
        <is>
          <t>EX-1251</t>
        </is>
      </c>
      <c r="D69" s="156" t="inlineStr">
        <is>
          <t>DT-506</t>
        </is>
      </c>
      <c r="E69" s="156" t="inlineStr">
        <is>
          <t>OB</t>
        </is>
      </c>
      <c r="F69" s="156" t="n">
        <v>4</v>
      </c>
      <c r="G69" s="156" t="inlineStr"/>
      <c r="H69" s="157">
        <f>IF($B69="","",IF(ISNA(MATCH($B69,MASTER_JAM!$Q$5:$Q$28,0)),"?",IF(MATCH($B69,MASTER_JAM!$Q$5:$Q$28,0)&lt;=12,"DS","NS")))</f>
        <v/>
      </c>
      <c r="I69" s="157">
        <f>IFERROR(INDEX(MASTER_JAM!$B$5:$B$94,MATCH($C69,MASTER_JAM!$A$5:$A$94,0)),"")</f>
        <v/>
      </c>
      <c r="J69" s="157">
        <f>IFERROR(INDEX(MASTER_JAM!$E$5:$E$94,MATCH($D69,MASTER_JAM!$A$5:$A$94,0)),"")</f>
        <v/>
      </c>
      <c r="K69" s="158">
        <f>IFERROR(INDEX(MASTER_JAM!$J$5:$O$12,MATCH($E69,MASTER_JAM!$I$5:$I$12,0),MATCH($J69,MASTER_JAM!$J$4:$O$4,0))+0,0)</f>
        <v/>
      </c>
      <c r="L69" s="159">
        <f>N($F69)*$K69</f>
        <v/>
      </c>
      <c r="M69" s="157">
        <f>IF($E69="","",IF(OR($E69="Coal",$E69="Dirty Coal"),"MT","BCM"))</f>
        <v/>
      </c>
      <c r="N69" s="157">
        <f>IF($E69="","",IF(OR($E69="Coal",$E69="Dirty Coal"),"Coal","OB"))</f>
        <v/>
      </c>
      <c r="O69" s="157">
        <f>IF($F69="","",IF(COUNTIF(MASTER_JAM!$A$5:$A$94,$C69)=0,"Digger tidak dikenal",IF($J69="","Hauler tidak dikenal",IF($H69="?","Jam salah",IF($K69=0,"Faktor kosong",IF(SUMIFS(INPUT_DELAY!$E$5:$E$20000,INPUT_DELAY!$A$5:$A$20000,$A69,INPUT_DELAY!$B$5:$B$20000,$B69,INPUT_DELAY!$C$5:$C$20000,$C69)+SUMIFS(INPUT_DELAY!$E$5:$E$20000,INPUT_DELAY!$A$5:$A$20000,$A69,INPUT_DELAY!$B$5:$B$20000,$B69,INPUT_DELAY!$C$5:$C$20000,"SEMUA")&gt;=60,"Delay 60 mnt tapi ada ritase","OK"))))))</f>
        <v/>
      </c>
      <c r="P69" s="158">
        <f>IFERROR(INDEX(MASTER_JAM!$Z$5:$AC$10,MATCH($I69,MASTER_JAM!$Y$5:$Y$10,0),MATCH($J69,MASTER_JAM!$Z$4:$AC$4,0))+0,0)</f>
        <v/>
      </c>
      <c r="Q69" s="158">
        <f>IF($P69=0,0,$P69+IFERROR(INDEX(MASTER_JAM!$H$5:$H$94,MATCH($C69,MASTER_JAM!$A$5:$A$94,0))+0,MASTER_JAM!$AC$15)/1000*(60/MASTER_JAM!$AC$12+60/MASTER_JAM!$AC$13)+MASTER_JAM!$AC$14)</f>
        <v/>
      </c>
      <c r="R69" s="158">
        <f>IF(N($F69)=0,0,$F69/SUMIFS(INPUT_RITASE!$F$5:$F$20000,INPUT_RITASE!$A$5:$A$20000,$A69,INPUT_RITASE!$B$5:$B$20000,$B69,INPUT_RITASE!$C$5:$C$20000,$C69,INPUT_RITASE!$D$5:$D$20000,$D69))</f>
        <v/>
      </c>
      <c r="S69" s="158">
        <f>IF($Q69=0,0,$R69*$P69/$Q69)</f>
        <v/>
      </c>
    </row>
    <row r="70">
      <c r="A70" s="155" t="n">
        <v>46104</v>
      </c>
      <c r="B70" s="156" t="inlineStr">
        <is>
          <t>16-17</t>
        </is>
      </c>
      <c r="C70" s="156" t="inlineStr">
        <is>
          <t>EX-1251</t>
        </is>
      </c>
      <c r="D70" s="156" t="inlineStr">
        <is>
          <t>DT-512</t>
        </is>
      </c>
      <c r="E70" s="156" t="inlineStr">
        <is>
          <t>OB</t>
        </is>
      </c>
      <c r="F70" s="156" t="n">
        <v>4</v>
      </c>
      <c r="G70" s="156" t="inlineStr"/>
      <c r="H70" s="157">
        <f>IF($B70="","",IF(ISNA(MATCH($B70,MASTER_JAM!$Q$5:$Q$28,0)),"?",IF(MATCH($B70,MASTER_JAM!$Q$5:$Q$28,0)&lt;=12,"DS","NS")))</f>
        <v/>
      </c>
      <c r="I70" s="157">
        <f>IFERROR(INDEX(MASTER_JAM!$B$5:$B$94,MATCH($C70,MASTER_JAM!$A$5:$A$94,0)),"")</f>
        <v/>
      </c>
      <c r="J70" s="157">
        <f>IFERROR(INDEX(MASTER_JAM!$E$5:$E$94,MATCH($D70,MASTER_JAM!$A$5:$A$94,0)),"")</f>
        <v/>
      </c>
      <c r="K70" s="158">
        <f>IFERROR(INDEX(MASTER_JAM!$J$5:$O$12,MATCH($E70,MASTER_JAM!$I$5:$I$12,0),MATCH($J70,MASTER_JAM!$J$4:$O$4,0))+0,0)</f>
        <v/>
      </c>
      <c r="L70" s="159">
        <f>N($F70)*$K70</f>
        <v/>
      </c>
      <c r="M70" s="157">
        <f>IF($E70="","",IF(OR($E70="Coal",$E70="Dirty Coal"),"MT","BCM"))</f>
        <v/>
      </c>
      <c r="N70" s="157">
        <f>IF($E70="","",IF(OR($E70="Coal",$E70="Dirty Coal"),"Coal","OB"))</f>
        <v/>
      </c>
      <c r="O70" s="157">
        <f>IF($F70="","",IF(COUNTIF(MASTER_JAM!$A$5:$A$94,$C70)=0,"Digger tidak dikenal",IF($J70="","Hauler tidak dikenal",IF($H70="?","Jam salah",IF($K70=0,"Faktor kosong",IF(SUMIFS(INPUT_DELAY!$E$5:$E$20000,INPUT_DELAY!$A$5:$A$20000,$A70,INPUT_DELAY!$B$5:$B$20000,$B70,INPUT_DELAY!$C$5:$C$20000,$C70)+SUMIFS(INPUT_DELAY!$E$5:$E$20000,INPUT_DELAY!$A$5:$A$20000,$A70,INPUT_DELAY!$B$5:$B$20000,$B70,INPUT_DELAY!$C$5:$C$20000,"SEMUA")&gt;=60,"Delay 60 mnt tapi ada ritase","OK"))))))</f>
        <v/>
      </c>
      <c r="P70" s="158">
        <f>IFERROR(INDEX(MASTER_JAM!$Z$5:$AC$10,MATCH($I70,MASTER_JAM!$Y$5:$Y$10,0),MATCH($J70,MASTER_JAM!$Z$4:$AC$4,0))+0,0)</f>
        <v/>
      </c>
      <c r="Q70" s="158">
        <f>IF($P70=0,0,$P70+IFERROR(INDEX(MASTER_JAM!$H$5:$H$94,MATCH($C70,MASTER_JAM!$A$5:$A$94,0))+0,MASTER_JAM!$AC$15)/1000*(60/MASTER_JAM!$AC$12+60/MASTER_JAM!$AC$13)+MASTER_JAM!$AC$14)</f>
        <v/>
      </c>
      <c r="R70" s="158">
        <f>IF(N($F70)=0,0,$F70/SUMIFS(INPUT_RITASE!$F$5:$F$20000,INPUT_RITASE!$A$5:$A$20000,$A70,INPUT_RITASE!$B$5:$B$20000,$B70,INPUT_RITASE!$C$5:$C$20000,$C70,INPUT_RITASE!$D$5:$D$20000,$D70))</f>
        <v/>
      </c>
      <c r="S70" s="158">
        <f>IF($Q70=0,0,$R70*$P70/$Q70)</f>
        <v/>
      </c>
    </row>
    <row r="71">
      <c r="A71" s="155" t="n">
        <v>46104</v>
      </c>
      <c r="B71" s="156" t="inlineStr">
        <is>
          <t>16-17</t>
        </is>
      </c>
      <c r="C71" s="156" t="inlineStr">
        <is>
          <t>EX-1251</t>
        </is>
      </c>
      <c r="D71" s="156" t="inlineStr">
        <is>
          <t>DT-503</t>
        </is>
      </c>
      <c r="E71" s="156" t="inlineStr">
        <is>
          <t>OB</t>
        </is>
      </c>
      <c r="F71" s="156" t="n">
        <v>4</v>
      </c>
      <c r="G71" s="156" t="inlineStr"/>
      <c r="H71" s="157">
        <f>IF($B71="","",IF(ISNA(MATCH($B71,MASTER_JAM!$Q$5:$Q$28,0)),"?",IF(MATCH($B71,MASTER_JAM!$Q$5:$Q$28,0)&lt;=12,"DS","NS")))</f>
        <v/>
      </c>
      <c r="I71" s="157">
        <f>IFERROR(INDEX(MASTER_JAM!$B$5:$B$94,MATCH($C71,MASTER_JAM!$A$5:$A$94,0)),"")</f>
        <v/>
      </c>
      <c r="J71" s="157">
        <f>IFERROR(INDEX(MASTER_JAM!$E$5:$E$94,MATCH($D71,MASTER_JAM!$A$5:$A$94,0)),"")</f>
        <v/>
      </c>
      <c r="K71" s="158">
        <f>IFERROR(INDEX(MASTER_JAM!$J$5:$O$12,MATCH($E71,MASTER_JAM!$I$5:$I$12,0),MATCH($J71,MASTER_JAM!$J$4:$O$4,0))+0,0)</f>
        <v/>
      </c>
      <c r="L71" s="159">
        <f>N($F71)*$K71</f>
        <v/>
      </c>
      <c r="M71" s="157">
        <f>IF($E71="","",IF(OR($E71="Coal",$E71="Dirty Coal"),"MT","BCM"))</f>
        <v/>
      </c>
      <c r="N71" s="157">
        <f>IF($E71="","",IF(OR($E71="Coal",$E71="Dirty Coal"),"Coal","OB"))</f>
        <v/>
      </c>
      <c r="O71" s="157">
        <f>IF($F71="","",IF(COUNTIF(MASTER_JAM!$A$5:$A$94,$C71)=0,"Digger tidak dikenal",IF($J71="","Hauler tidak dikenal",IF($H71="?","Jam salah",IF($K71=0,"Faktor kosong",IF(SUMIFS(INPUT_DELAY!$E$5:$E$20000,INPUT_DELAY!$A$5:$A$20000,$A71,INPUT_DELAY!$B$5:$B$20000,$B71,INPUT_DELAY!$C$5:$C$20000,$C71)+SUMIFS(INPUT_DELAY!$E$5:$E$20000,INPUT_DELAY!$A$5:$A$20000,$A71,INPUT_DELAY!$B$5:$B$20000,$B71,INPUT_DELAY!$C$5:$C$20000,"SEMUA")&gt;=60,"Delay 60 mnt tapi ada ritase","OK"))))))</f>
        <v/>
      </c>
      <c r="P71" s="158">
        <f>IFERROR(INDEX(MASTER_JAM!$Z$5:$AC$10,MATCH($I71,MASTER_JAM!$Y$5:$Y$10,0),MATCH($J71,MASTER_JAM!$Z$4:$AC$4,0))+0,0)</f>
        <v/>
      </c>
      <c r="Q71" s="158">
        <f>IF($P71=0,0,$P71+IFERROR(INDEX(MASTER_JAM!$H$5:$H$94,MATCH($C71,MASTER_JAM!$A$5:$A$94,0))+0,MASTER_JAM!$AC$15)/1000*(60/MASTER_JAM!$AC$12+60/MASTER_JAM!$AC$13)+MASTER_JAM!$AC$14)</f>
        <v/>
      </c>
      <c r="R71" s="158">
        <f>IF(N($F71)=0,0,$F71/SUMIFS(INPUT_RITASE!$F$5:$F$20000,INPUT_RITASE!$A$5:$A$20000,$A71,INPUT_RITASE!$B$5:$B$20000,$B71,INPUT_RITASE!$C$5:$C$20000,$C71,INPUT_RITASE!$D$5:$D$20000,$D71))</f>
        <v/>
      </c>
      <c r="S71" s="158">
        <f>IF($Q71=0,0,$R71*$P71/$Q71)</f>
        <v/>
      </c>
    </row>
    <row r="72">
      <c r="A72" s="155" t="n">
        <v>46104</v>
      </c>
      <c r="B72" s="156" t="inlineStr">
        <is>
          <t>16-17</t>
        </is>
      </c>
      <c r="C72" s="156" t="inlineStr">
        <is>
          <t>EX-1251</t>
        </is>
      </c>
      <c r="D72" s="156" t="inlineStr">
        <is>
          <t>DT-513</t>
        </is>
      </c>
      <c r="E72" s="156" t="inlineStr">
        <is>
          <t>OB</t>
        </is>
      </c>
      <c r="F72" s="156" t="n">
        <v>3</v>
      </c>
      <c r="G72" s="156" t="inlineStr"/>
      <c r="H72" s="157">
        <f>IF($B72="","",IF(ISNA(MATCH($B72,MASTER_JAM!$Q$5:$Q$28,0)),"?",IF(MATCH($B72,MASTER_JAM!$Q$5:$Q$28,0)&lt;=12,"DS","NS")))</f>
        <v/>
      </c>
      <c r="I72" s="157">
        <f>IFERROR(INDEX(MASTER_JAM!$B$5:$B$94,MATCH($C72,MASTER_JAM!$A$5:$A$94,0)),"")</f>
        <v/>
      </c>
      <c r="J72" s="157">
        <f>IFERROR(INDEX(MASTER_JAM!$E$5:$E$94,MATCH($D72,MASTER_JAM!$A$5:$A$94,0)),"")</f>
        <v/>
      </c>
      <c r="K72" s="158">
        <f>IFERROR(INDEX(MASTER_JAM!$J$5:$O$12,MATCH($E72,MASTER_JAM!$I$5:$I$12,0),MATCH($J72,MASTER_JAM!$J$4:$O$4,0))+0,0)</f>
        <v/>
      </c>
      <c r="L72" s="159">
        <f>N($F72)*$K72</f>
        <v/>
      </c>
      <c r="M72" s="157">
        <f>IF($E72="","",IF(OR($E72="Coal",$E72="Dirty Coal"),"MT","BCM"))</f>
        <v/>
      </c>
      <c r="N72" s="157">
        <f>IF($E72="","",IF(OR($E72="Coal",$E72="Dirty Coal"),"Coal","OB"))</f>
        <v/>
      </c>
      <c r="O72" s="157">
        <f>IF($F72="","",IF(COUNTIF(MASTER_JAM!$A$5:$A$94,$C72)=0,"Digger tidak dikenal",IF($J72="","Hauler tidak dikenal",IF($H72="?","Jam salah",IF($K72=0,"Faktor kosong",IF(SUMIFS(INPUT_DELAY!$E$5:$E$20000,INPUT_DELAY!$A$5:$A$20000,$A72,INPUT_DELAY!$B$5:$B$20000,$B72,INPUT_DELAY!$C$5:$C$20000,$C72)+SUMIFS(INPUT_DELAY!$E$5:$E$20000,INPUT_DELAY!$A$5:$A$20000,$A72,INPUT_DELAY!$B$5:$B$20000,$B72,INPUT_DELAY!$C$5:$C$20000,"SEMUA")&gt;=60,"Delay 60 mnt tapi ada ritase","OK"))))))</f>
        <v/>
      </c>
      <c r="P72" s="158">
        <f>IFERROR(INDEX(MASTER_JAM!$Z$5:$AC$10,MATCH($I72,MASTER_JAM!$Y$5:$Y$10,0),MATCH($J72,MASTER_JAM!$Z$4:$AC$4,0))+0,0)</f>
        <v/>
      </c>
      <c r="Q72" s="158">
        <f>IF($P72=0,0,$P72+IFERROR(INDEX(MASTER_JAM!$H$5:$H$94,MATCH($C72,MASTER_JAM!$A$5:$A$94,0))+0,MASTER_JAM!$AC$15)/1000*(60/MASTER_JAM!$AC$12+60/MASTER_JAM!$AC$13)+MASTER_JAM!$AC$14)</f>
        <v/>
      </c>
      <c r="R72" s="158">
        <f>IF(N($F72)=0,0,$F72/SUMIFS(INPUT_RITASE!$F$5:$F$20000,INPUT_RITASE!$A$5:$A$20000,$A72,INPUT_RITASE!$B$5:$B$20000,$B72,INPUT_RITASE!$C$5:$C$20000,$C72,INPUT_RITASE!$D$5:$D$20000,$D72))</f>
        <v/>
      </c>
      <c r="S72" s="158">
        <f>IF($Q72=0,0,$R72*$P72/$Q72)</f>
        <v/>
      </c>
    </row>
    <row r="73">
      <c r="A73" s="155" t="n">
        <v>46104</v>
      </c>
      <c r="B73" s="156" t="inlineStr">
        <is>
          <t>17-18</t>
        </is>
      </c>
      <c r="C73" s="156" t="inlineStr">
        <is>
          <t>EX-1251</t>
        </is>
      </c>
      <c r="D73" s="156" t="inlineStr">
        <is>
          <t>DT-523</t>
        </is>
      </c>
      <c r="E73" s="156" t="inlineStr">
        <is>
          <t>OB</t>
        </is>
      </c>
      <c r="F73" s="156" t="n">
        <v>4</v>
      </c>
      <c r="G73" s="156" t="inlineStr"/>
      <c r="H73" s="157">
        <f>IF($B73="","",IF(ISNA(MATCH($B73,MASTER_JAM!$Q$5:$Q$28,0)),"?",IF(MATCH($B73,MASTER_JAM!$Q$5:$Q$28,0)&lt;=12,"DS","NS")))</f>
        <v/>
      </c>
      <c r="I73" s="157">
        <f>IFERROR(INDEX(MASTER_JAM!$B$5:$B$94,MATCH($C73,MASTER_JAM!$A$5:$A$94,0)),"")</f>
        <v/>
      </c>
      <c r="J73" s="157">
        <f>IFERROR(INDEX(MASTER_JAM!$E$5:$E$94,MATCH($D73,MASTER_JAM!$A$5:$A$94,0)),"")</f>
        <v/>
      </c>
      <c r="K73" s="158">
        <f>IFERROR(INDEX(MASTER_JAM!$J$5:$O$12,MATCH($E73,MASTER_JAM!$I$5:$I$12,0),MATCH($J73,MASTER_JAM!$J$4:$O$4,0))+0,0)</f>
        <v/>
      </c>
      <c r="L73" s="159">
        <f>N($F73)*$K73</f>
        <v/>
      </c>
      <c r="M73" s="157">
        <f>IF($E73="","",IF(OR($E73="Coal",$E73="Dirty Coal"),"MT","BCM"))</f>
        <v/>
      </c>
      <c r="N73" s="157">
        <f>IF($E73="","",IF(OR($E73="Coal",$E73="Dirty Coal"),"Coal","OB"))</f>
        <v/>
      </c>
      <c r="O73" s="157">
        <f>IF($F73="","",IF(COUNTIF(MASTER_JAM!$A$5:$A$94,$C73)=0,"Digger tidak dikenal",IF($J73="","Hauler tidak dikenal",IF($H73="?","Jam salah",IF($K73=0,"Faktor kosong",IF(SUMIFS(INPUT_DELAY!$E$5:$E$20000,INPUT_DELAY!$A$5:$A$20000,$A73,INPUT_DELAY!$B$5:$B$20000,$B73,INPUT_DELAY!$C$5:$C$20000,$C73)+SUMIFS(INPUT_DELAY!$E$5:$E$20000,INPUT_DELAY!$A$5:$A$20000,$A73,INPUT_DELAY!$B$5:$B$20000,$B73,INPUT_DELAY!$C$5:$C$20000,"SEMUA")&gt;=60,"Delay 60 mnt tapi ada ritase","OK"))))))</f>
        <v/>
      </c>
      <c r="P73" s="158">
        <f>IFERROR(INDEX(MASTER_JAM!$Z$5:$AC$10,MATCH($I73,MASTER_JAM!$Y$5:$Y$10,0),MATCH($J73,MASTER_JAM!$Z$4:$AC$4,0))+0,0)</f>
        <v/>
      </c>
      <c r="Q73" s="158">
        <f>IF($P73=0,0,$P73+IFERROR(INDEX(MASTER_JAM!$H$5:$H$94,MATCH($C73,MASTER_JAM!$A$5:$A$94,0))+0,MASTER_JAM!$AC$15)/1000*(60/MASTER_JAM!$AC$12+60/MASTER_JAM!$AC$13)+MASTER_JAM!$AC$14)</f>
        <v/>
      </c>
      <c r="R73" s="158">
        <f>IF(N($F73)=0,0,$F73/SUMIFS(INPUT_RITASE!$F$5:$F$20000,INPUT_RITASE!$A$5:$A$20000,$A73,INPUT_RITASE!$B$5:$B$20000,$B73,INPUT_RITASE!$C$5:$C$20000,$C73,INPUT_RITASE!$D$5:$D$20000,$D73))</f>
        <v/>
      </c>
      <c r="S73" s="158">
        <f>IF($Q73=0,0,$R73*$P73/$Q73)</f>
        <v/>
      </c>
    </row>
    <row r="74">
      <c r="A74" s="155" t="n">
        <v>46104</v>
      </c>
      <c r="B74" s="156" t="inlineStr">
        <is>
          <t>17-18</t>
        </is>
      </c>
      <c r="C74" s="156" t="inlineStr">
        <is>
          <t>EX-1251</t>
        </is>
      </c>
      <c r="D74" s="156" t="inlineStr">
        <is>
          <t>DT-512</t>
        </is>
      </c>
      <c r="E74" s="156" t="inlineStr">
        <is>
          <t>OB</t>
        </is>
      </c>
      <c r="F74" s="156" t="n">
        <v>4</v>
      </c>
      <c r="G74" s="156" t="inlineStr"/>
      <c r="H74" s="157">
        <f>IF($B74="","",IF(ISNA(MATCH($B74,MASTER_JAM!$Q$5:$Q$28,0)),"?",IF(MATCH($B74,MASTER_JAM!$Q$5:$Q$28,0)&lt;=12,"DS","NS")))</f>
        <v/>
      </c>
      <c r="I74" s="157">
        <f>IFERROR(INDEX(MASTER_JAM!$B$5:$B$94,MATCH($C74,MASTER_JAM!$A$5:$A$94,0)),"")</f>
        <v/>
      </c>
      <c r="J74" s="157">
        <f>IFERROR(INDEX(MASTER_JAM!$E$5:$E$94,MATCH($D74,MASTER_JAM!$A$5:$A$94,0)),"")</f>
        <v/>
      </c>
      <c r="K74" s="158">
        <f>IFERROR(INDEX(MASTER_JAM!$J$5:$O$12,MATCH($E74,MASTER_JAM!$I$5:$I$12,0),MATCH($J74,MASTER_JAM!$J$4:$O$4,0))+0,0)</f>
        <v/>
      </c>
      <c r="L74" s="159">
        <f>N($F74)*$K74</f>
        <v/>
      </c>
      <c r="M74" s="157">
        <f>IF($E74="","",IF(OR($E74="Coal",$E74="Dirty Coal"),"MT","BCM"))</f>
        <v/>
      </c>
      <c r="N74" s="157">
        <f>IF($E74="","",IF(OR($E74="Coal",$E74="Dirty Coal"),"Coal","OB"))</f>
        <v/>
      </c>
      <c r="O74" s="157">
        <f>IF($F74="","",IF(COUNTIF(MASTER_JAM!$A$5:$A$94,$C74)=0,"Digger tidak dikenal",IF($J74="","Hauler tidak dikenal",IF($H74="?","Jam salah",IF($K74=0,"Faktor kosong",IF(SUMIFS(INPUT_DELAY!$E$5:$E$20000,INPUT_DELAY!$A$5:$A$20000,$A74,INPUT_DELAY!$B$5:$B$20000,$B74,INPUT_DELAY!$C$5:$C$20000,$C74)+SUMIFS(INPUT_DELAY!$E$5:$E$20000,INPUT_DELAY!$A$5:$A$20000,$A74,INPUT_DELAY!$B$5:$B$20000,$B74,INPUT_DELAY!$C$5:$C$20000,"SEMUA")&gt;=60,"Delay 60 mnt tapi ada ritase","OK"))))))</f>
        <v/>
      </c>
      <c r="P74" s="158">
        <f>IFERROR(INDEX(MASTER_JAM!$Z$5:$AC$10,MATCH($I74,MASTER_JAM!$Y$5:$Y$10,0),MATCH($J74,MASTER_JAM!$Z$4:$AC$4,0))+0,0)</f>
        <v/>
      </c>
      <c r="Q74" s="158">
        <f>IF($P74=0,0,$P74+IFERROR(INDEX(MASTER_JAM!$H$5:$H$94,MATCH($C74,MASTER_JAM!$A$5:$A$94,0))+0,MASTER_JAM!$AC$15)/1000*(60/MASTER_JAM!$AC$12+60/MASTER_JAM!$AC$13)+MASTER_JAM!$AC$14)</f>
        <v/>
      </c>
      <c r="R74" s="158">
        <f>IF(N($F74)=0,0,$F74/SUMIFS(INPUT_RITASE!$F$5:$F$20000,INPUT_RITASE!$A$5:$A$20000,$A74,INPUT_RITASE!$B$5:$B$20000,$B74,INPUT_RITASE!$C$5:$C$20000,$C74,INPUT_RITASE!$D$5:$D$20000,$D74))</f>
        <v/>
      </c>
      <c r="S74" s="158">
        <f>IF($Q74=0,0,$R74*$P74/$Q74)</f>
        <v/>
      </c>
    </row>
    <row r="75">
      <c r="A75" s="155" t="n">
        <v>46104</v>
      </c>
      <c r="B75" s="156" t="inlineStr">
        <is>
          <t>17-18</t>
        </is>
      </c>
      <c r="C75" s="156" t="inlineStr">
        <is>
          <t>EX-1251</t>
        </is>
      </c>
      <c r="D75" s="156" t="inlineStr">
        <is>
          <t>DT-515</t>
        </is>
      </c>
      <c r="E75" s="156" t="inlineStr">
        <is>
          <t>OB</t>
        </is>
      </c>
      <c r="F75" s="156" t="n">
        <v>4</v>
      </c>
      <c r="G75" s="156" t="inlineStr"/>
      <c r="H75" s="157">
        <f>IF($B75="","",IF(ISNA(MATCH($B75,MASTER_JAM!$Q$5:$Q$28,0)),"?",IF(MATCH($B75,MASTER_JAM!$Q$5:$Q$28,0)&lt;=12,"DS","NS")))</f>
        <v/>
      </c>
      <c r="I75" s="157">
        <f>IFERROR(INDEX(MASTER_JAM!$B$5:$B$94,MATCH($C75,MASTER_JAM!$A$5:$A$94,0)),"")</f>
        <v/>
      </c>
      <c r="J75" s="157">
        <f>IFERROR(INDEX(MASTER_JAM!$E$5:$E$94,MATCH($D75,MASTER_JAM!$A$5:$A$94,0)),"")</f>
        <v/>
      </c>
      <c r="K75" s="158">
        <f>IFERROR(INDEX(MASTER_JAM!$J$5:$O$12,MATCH($E75,MASTER_JAM!$I$5:$I$12,0),MATCH($J75,MASTER_JAM!$J$4:$O$4,0))+0,0)</f>
        <v/>
      </c>
      <c r="L75" s="159">
        <f>N($F75)*$K75</f>
        <v/>
      </c>
      <c r="M75" s="157">
        <f>IF($E75="","",IF(OR($E75="Coal",$E75="Dirty Coal"),"MT","BCM"))</f>
        <v/>
      </c>
      <c r="N75" s="157">
        <f>IF($E75="","",IF(OR($E75="Coal",$E75="Dirty Coal"),"Coal","OB"))</f>
        <v/>
      </c>
      <c r="O75" s="157">
        <f>IF($F75="","",IF(COUNTIF(MASTER_JAM!$A$5:$A$94,$C75)=0,"Digger tidak dikenal",IF($J75="","Hauler tidak dikenal",IF($H75="?","Jam salah",IF($K75=0,"Faktor kosong",IF(SUMIFS(INPUT_DELAY!$E$5:$E$20000,INPUT_DELAY!$A$5:$A$20000,$A75,INPUT_DELAY!$B$5:$B$20000,$B75,INPUT_DELAY!$C$5:$C$20000,$C75)+SUMIFS(INPUT_DELAY!$E$5:$E$20000,INPUT_DELAY!$A$5:$A$20000,$A75,INPUT_DELAY!$B$5:$B$20000,$B75,INPUT_DELAY!$C$5:$C$20000,"SEMUA")&gt;=60,"Delay 60 mnt tapi ada ritase","OK"))))))</f>
        <v/>
      </c>
      <c r="P75" s="158">
        <f>IFERROR(INDEX(MASTER_JAM!$Z$5:$AC$10,MATCH($I75,MASTER_JAM!$Y$5:$Y$10,0),MATCH($J75,MASTER_JAM!$Z$4:$AC$4,0))+0,0)</f>
        <v/>
      </c>
      <c r="Q75" s="158">
        <f>IF($P75=0,0,$P75+IFERROR(INDEX(MASTER_JAM!$H$5:$H$94,MATCH($C75,MASTER_JAM!$A$5:$A$94,0))+0,MASTER_JAM!$AC$15)/1000*(60/MASTER_JAM!$AC$12+60/MASTER_JAM!$AC$13)+MASTER_JAM!$AC$14)</f>
        <v/>
      </c>
      <c r="R75" s="158">
        <f>IF(N($F75)=0,0,$F75/SUMIFS(INPUT_RITASE!$F$5:$F$20000,INPUT_RITASE!$A$5:$A$20000,$A75,INPUT_RITASE!$B$5:$B$20000,$B75,INPUT_RITASE!$C$5:$C$20000,$C75,INPUT_RITASE!$D$5:$D$20000,$D75))</f>
        <v/>
      </c>
      <c r="S75" s="158">
        <f>IF($Q75=0,0,$R75*$P75/$Q75)</f>
        <v/>
      </c>
    </row>
    <row r="76">
      <c r="A76" s="155" t="n">
        <v>46104</v>
      </c>
      <c r="B76" s="156" t="inlineStr">
        <is>
          <t>17-18</t>
        </is>
      </c>
      <c r="C76" s="156" t="inlineStr">
        <is>
          <t>EX-1251</t>
        </is>
      </c>
      <c r="D76" s="156" t="inlineStr">
        <is>
          <t>DT-508</t>
        </is>
      </c>
      <c r="E76" s="156" t="inlineStr">
        <is>
          <t>OB</t>
        </is>
      </c>
      <c r="F76" s="156" t="n">
        <v>4</v>
      </c>
      <c r="G76" s="156" t="inlineStr"/>
      <c r="H76" s="157">
        <f>IF($B76="","",IF(ISNA(MATCH($B76,MASTER_JAM!$Q$5:$Q$28,0)),"?",IF(MATCH($B76,MASTER_JAM!$Q$5:$Q$28,0)&lt;=12,"DS","NS")))</f>
        <v/>
      </c>
      <c r="I76" s="157">
        <f>IFERROR(INDEX(MASTER_JAM!$B$5:$B$94,MATCH($C76,MASTER_JAM!$A$5:$A$94,0)),"")</f>
        <v/>
      </c>
      <c r="J76" s="157">
        <f>IFERROR(INDEX(MASTER_JAM!$E$5:$E$94,MATCH($D76,MASTER_JAM!$A$5:$A$94,0)),"")</f>
        <v/>
      </c>
      <c r="K76" s="158">
        <f>IFERROR(INDEX(MASTER_JAM!$J$5:$O$12,MATCH($E76,MASTER_JAM!$I$5:$I$12,0),MATCH($J76,MASTER_JAM!$J$4:$O$4,0))+0,0)</f>
        <v/>
      </c>
      <c r="L76" s="159">
        <f>N($F76)*$K76</f>
        <v/>
      </c>
      <c r="M76" s="157">
        <f>IF($E76="","",IF(OR($E76="Coal",$E76="Dirty Coal"),"MT","BCM"))</f>
        <v/>
      </c>
      <c r="N76" s="157">
        <f>IF($E76="","",IF(OR($E76="Coal",$E76="Dirty Coal"),"Coal","OB"))</f>
        <v/>
      </c>
      <c r="O76" s="157">
        <f>IF($F76="","",IF(COUNTIF(MASTER_JAM!$A$5:$A$94,$C76)=0,"Digger tidak dikenal",IF($J76="","Hauler tidak dikenal",IF($H76="?","Jam salah",IF($K76=0,"Faktor kosong",IF(SUMIFS(INPUT_DELAY!$E$5:$E$20000,INPUT_DELAY!$A$5:$A$20000,$A76,INPUT_DELAY!$B$5:$B$20000,$B76,INPUT_DELAY!$C$5:$C$20000,$C76)+SUMIFS(INPUT_DELAY!$E$5:$E$20000,INPUT_DELAY!$A$5:$A$20000,$A76,INPUT_DELAY!$B$5:$B$20000,$B76,INPUT_DELAY!$C$5:$C$20000,"SEMUA")&gt;=60,"Delay 60 mnt tapi ada ritase","OK"))))))</f>
        <v/>
      </c>
      <c r="P76" s="158">
        <f>IFERROR(INDEX(MASTER_JAM!$Z$5:$AC$10,MATCH($I76,MASTER_JAM!$Y$5:$Y$10,0),MATCH($J76,MASTER_JAM!$Z$4:$AC$4,0))+0,0)</f>
        <v/>
      </c>
      <c r="Q76" s="158">
        <f>IF($P76=0,0,$P76+IFERROR(INDEX(MASTER_JAM!$H$5:$H$94,MATCH($C76,MASTER_JAM!$A$5:$A$94,0))+0,MASTER_JAM!$AC$15)/1000*(60/MASTER_JAM!$AC$12+60/MASTER_JAM!$AC$13)+MASTER_JAM!$AC$14)</f>
        <v/>
      </c>
      <c r="R76" s="158">
        <f>IF(N($F76)=0,0,$F76/SUMIFS(INPUT_RITASE!$F$5:$F$20000,INPUT_RITASE!$A$5:$A$20000,$A76,INPUT_RITASE!$B$5:$B$20000,$B76,INPUT_RITASE!$C$5:$C$20000,$C76,INPUT_RITASE!$D$5:$D$20000,$D76))</f>
        <v/>
      </c>
      <c r="S76" s="158">
        <f>IF($Q76=0,0,$R76*$P76/$Q76)</f>
        <v/>
      </c>
    </row>
    <row r="77">
      <c r="A77" s="155" t="n">
        <v>46104</v>
      </c>
      <c r="B77" s="156" t="inlineStr">
        <is>
          <t>17-18</t>
        </is>
      </c>
      <c r="C77" s="156" t="inlineStr">
        <is>
          <t>EX-1251</t>
        </is>
      </c>
      <c r="D77" s="156" t="inlineStr">
        <is>
          <t>DT-522</t>
        </is>
      </c>
      <c r="E77" s="156" t="inlineStr">
        <is>
          <t>OB</t>
        </is>
      </c>
      <c r="F77" s="156" t="n">
        <v>4</v>
      </c>
      <c r="G77" s="156" t="inlineStr"/>
      <c r="H77" s="157">
        <f>IF($B77="","",IF(ISNA(MATCH($B77,MASTER_JAM!$Q$5:$Q$28,0)),"?",IF(MATCH($B77,MASTER_JAM!$Q$5:$Q$28,0)&lt;=12,"DS","NS")))</f>
        <v/>
      </c>
      <c r="I77" s="157">
        <f>IFERROR(INDEX(MASTER_JAM!$B$5:$B$94,MATCH($C77,MASTER_JAM!$A$5:$A$94,0)),"")</f>
        <v/>
      </c>
      <c r="J77" s="157">
        <f>IFERROR(INDEX(MASTER_JAM!$E$5:$E$94,MATCH($D77,MASTER_JAM!$A$5:$A$94,0)),"")</f>
        <v/>
      </c>
      <c r="K77" s="158">
        <f>IFERROR(INDEX(MASTER_JAM!$J$5:$O$12,MATCH($E77,MASTER_JAM!$I$5:$I$12,0),MATCH($J77,MASTER_JAM!$J$4:$O$4,0))+0,0)</f>
        <v/>
      </c>
      <c r="L77" s="159">
        <f>N($F77)*$K77</f>
        <v/>
      </c>
      <c r="M77" s="157">
        <f>IF($E77="","",IF(OR($E77="Coal",$E77="Dirty Coal"),"MT","BCM"))</f>
        <v/>
      </c>
      <c r="N77" s="157">
        <f>IF($E77="","",IF(OR($E77="Coal",$E77="Dirty Coal"),"Coal","OB"))</f>
        <v/>
      </c>
      <c r="O77" s="157">
        <f>IF($F77="","",IF(COUNTIF(MASTER_JAM!$A$5:$A$94,$C77)=0,"Digger tidak dikenal",IF($J77="","Hauler tidak dikenal",IF($H77="?","Jam salah",IF($K77=0,"Faktor kosong",IF(SUMIFS(INPUT_DELAY!$E$5:$E$20000,INPUT_DELAY!$A$5:$A$20000,$A77,INPUT_DELAY!$B$5:$B$20000,$B77,INPUT_DELAY!$C$5:$C$20000,$C77)+SUMIFS(INPUT_DELAY!$E$5:$E$20000,INPUT_DELAY!$A$5:$A$20000,$A77,INPUT_DELAY!$B$5:$B$20000,$B77,INPUT_DELAY!$C$5:$C$20000,"SEMUA")&gt;=60,"Delay 60 mnt tapi ada ritase","OK"))))))</f>
        <v/>
      </c>
      <c r="P77" s="158">
        <f>IFERROR(INDEX(MASTER_JAM!$Z$5:$AC$10,MATCH($I77,MASTER_JAM!$Y$5:$Y$10,0),MATCH($J77,MASTER_JAM!$Z$4:$AC$4,0))+0,0)</f>
        <v/>
      </c>
      <c r="Q77" s="158">
        <f>IF($P77=0,0,$P77+IFERROR(INDEX(MASTER_JAM!$H$5:$H$94,MATCH($C77,MASTER_JAM!$A$5:$A$94,0))+0,MASTER_JAM!$AC$15)/1000*(60/MASTER_JAM!$AC$12+60/MASTER_JAM!$AC$13)+MASTER_JAM!$AC$14)</f>
        <v/>
      </c>
      <c r="R77" s="158">
        <f>IF(N($F77)=0,0,$F77/SUMIFS(INPUT_RITASE!$F$5:$F$20000,INPUT_RITASE!$A$5:$A$20000,$A77,INPUT_RITASE!$B$5:$B$20000,$B77,INPUT_RITASE!$C$5:$C$20000,$C77,INPUT_RITASE!$D$5:$D$20000,$D77))</f>
        <v/>
      </c>
      <c r="S77" s="158">
        <f>IF($Q77=0,0,$R77*$P77/$Q77)</f>
        <v/>
      </c>
    </row>
    <row r="78">
      <c r="A78" s="155" t="n">
        <v>46104</v>
      </c>
      <c r="B78" s="156" t="inlineStr">
        <is>
          <t>17-18</t>
        </is>
      </c>
      <c r="C78" s="156" t="inlineStr">
        <is>
          <t>EX-1251</t>
        </is>
      </c>
      <c r="D78" s="156" t="inlineStr">
        <is>
          <t>DT-505</t>
        </is>
      </c>
      <c r="E78" s="156" t="inlineStr">
        <is>
          <t>OB</t>
        </is>
      </c>
      <c r="F78" s="156" t="n">
        <v>3</v>
      </c>
      <c r="G78" s="156" t="inlineStr"/>
      <c r="H78" s="157">
        <f>IF($B78="","",IF(ISNA(MATCH($B78,MASTER_JAM!$Q$5:$Q$28,0)),"?",IF(MATCH($B78,MASTER_JAM!$Q$5:$Q$28,0)&lt;=12,"DS","NS")))</f>
        <v/>
      </c>
      <c r="I78" s="157">
        <f>IFERROR(INDEX(MASTER_JAM!$B$5:$B$94,MATCH($C78,MASTER_JAM!$A$5:$A$94,0)),"")</f>
        <v/>
      </c>
      <c r="J78" s="157">
        <f>IFERROR(INDEX(MASTER_JAM!$E$5:$E$94,MATCH($D78,MASTER_JAM!$A$5:$A$94,0)),"")</f>
        <v/>
      </c>
      <c r="K78" s="158">
        <f>IFERROR(INDEX(MASTER_JAM!$J$5:$O$12,MATCH($E78,MASTER_JAM!$I$5:$I$12,0),MATCH($J78,MASTER_JAM!$J$4:$O$4,0))+0,0)</f>
        <v/>
      </c>
      <c r="L78" s="159">
        <f>N($F78)*$K78</f>
        <v/>
      </c>
      <c r="M78" s="157">
        <f>IF($E78="","",IF(OR($E78="Coal",$E78="Dirty Coal"),"MT","BCM"))</f>
        <v/>
      </c>
      <c r="N78" s="157">
        <f>IF($E78="","",IF(OR($E78="Coal",$E78="Dirty Coal"),"Coal","OB"))</f>
        <v/>
      </c>
      <c r="O78" s="157">
        <f>IF($F78="","",IF(COUNTIF(MASTER_JAM!$A$5:$A$94,$C78)=0,"Digger tidak dikenal",IF($J78="","Hauler tidak dikenal",IF($H78="?","Jam salah",IF($K78=0,"Faktor kosong",IF(SUMIFS(INPUT_DELAY!$E$5:$E$20000,INPUT_DELAY!$A$5:$A$20000,$A78,INPUT_DELAY!$B$5:$B$20000,$B78,INPUT_DELAY!$C$5:$C$20000,$C78)+SUMIFS(INPUT_DELAY!$E$5:$E$20000,INPUT_DELAY!$A$5:$A$20000,$A78,INPUT_DELAY!$B$5:$B$20000,$B78,INPUT_DELAY!$C$5:$C$20000,"SEMUA")&gt;=60,"Delay 60 mnt tapi ada ritase","OK"))))))</f>
        <v/>
      </c>
      <c r="P78" s="158">
        <f>IFERROR(INDEX(MASTER_JAM!$Z$5:$AC$10,MATCH($I78,MASTER_JAM!$Y$5:$Y$10,0),MATCH($J78,MASTER_JAM!$Z$4:$AC$4,0))+0,0)</f>
        <v/>
      </c>
      <c r="Q78" s="158">
        <f>IF($P78=0,0,$P78+IFERROR(INDEX(MASTER_JAM!$H$5:$H$94,MATCH($C78,MASTER_JAM!$A$5:$A$94,0))+0,MASTER_JAM!$AC$15)/1000*(60/MASTER_JAM!$AC$12+60/MASTER_JAM!$AC$13)+MASTER_JAM!$AC$14)</f>
        <v/>
      </c>
      <c r="R78" s="158">
        <f>IF(N($F78)=0,0,$F78/SUMIFS(INPUT_RITASE!$F$5:$F$20000,INPUT_RITASE!$A$5:$A$20000,$A78,INPUT_RITASE!$B$5:$B$20000,$B78,INPUT_RITASE!$C$5:$C$20000,$C78,INPUT_RITASE!$D$5:$D$20000,$D78))</f>
        <v/>
      </c>
      <c r="S78" s="158">
        <f>IF($Q78=0,0,$R78*$P78/$Q78)</f>
        <v/>
      </c>
    </row>
    <row r="79">
      <c r="A79" s="155" t="n">
        <v>46104</v>
      </c>
      <c r="B79" s="156" t="inlineStr">
        <is>
          <t>17-18</t>
        </is>
      </c>
      <c r="C79" s="156" t="inlineStr">
        <is>
          <t>EX-1251</t>
        </is>
      </c>
      <c r="D79" s="156" t="inlineStr">
        <is>
          <t>DT-504</t>
        </is>
      </c>
      <c r="E79" s="156" t="inlineStr">
        <is>
          <t>OB</t>
        </is>
      </c>
      <c r="F79" s="156" t="n">
        <v>3</v>
      </c>
      <c r="G79" s="156" t="inlineStr"/>
      <c r="H79" s="157">
        <f>IF($B79="","",IF(ISNA(MATCH($B79,MASTER_JAM!$Q$5:$Q$28,0)),"?",IF(MATCH($B79,MASTER_JAM!$Q$5:$Q$28,0)&lt;=12,"DS","NS")))</f>
        <v/>
      </c>
      <c r="I79" s="157">
        <f>IFERROR(INDEX(MASTER_JAM!$B$5:$B$94,MATCH($C79,MASTER_JAM!$A$5:$A$94,0)),"")</f>
        <v/>
      </c>
      <c r="J79" s="157">
        <f>IFERROR(INDEX(MASTER_JAM!$E$5:$E$94,MATCH($D79,MASTER_JAM!$A$5:$A$94,0)),"")</f>
        <v/>
      </c>
      <c r="K79" s="158">
        <f>IFERROR(INDEX(MASTER_JAM!$J$5:$O$12,MATCH($E79,MASTER_JAM!$I$5:$I$12,0),MATCH($J79,MASTER_JAM!$J$4:$O$4,0))+0,0)</f>
        <v/>
      </c>
      <c r="L79" s="159">
        <f>N($F79)*$K79</f>
        <v/>
      </c>
      <c r="M79" s="157">
        <f>IF($E79="","",IF(OR($E79="Coal",$E79="Dirty Coal"),"MT","BCM"))</f>
        <v/>
      </c>
      <c r="N79" s="157">
        <f>IF($E79="","",IF(OR($E79="Coal",$E79="Dirty Coal"),"Coal","OB"))</f>
        <v/>
      </c>
      <c r="O79" s="157">
        <f>IF($F79="","",IF(COUNTIF(MASTER_JAM!$A$5:$A$94,$C79)=0,"Digger tidak dikenal",IF($J79="","Hauler tidak dikenal",IF($H79="?","Jam salah",IF($K79=0,"Faktor kosong",IF(SUMIFS(INPUT_DELAY!$E$5:$E$20000,INPUT_DELAY!$A$5:$A$20000,$A79,INPUT_DELAY!$B$5:$B$20000,$B79,INPUT_DELAY!$C$5:$C$20000,$C79)+SUMIFS(INPUT_DELAY!$E$5:$E$20000,INPUT_DELAY!$A$5:$A$20000,$A79,INPUT_DELAY!$B$5:$B$20000,$B79,INPUT_DELAY!$C$5:$C$20000,"SEMUA")&gt;=60,"Delay 60 mnt tapi ada ritase","OK"))))))</f>
        <v/>
      </c>
      <c r="P79" s="158">
        <f>IFERROR(INDEX(MASTER_JAM!$Z$5:$AC$10,MATCH($I79,MASTER_JAM!$Y$5:$Y$10,0),MATCH($J79,MASTER_JAM!$Z$4:$AC$4,0))+0,0)</f>
        <v/>
      </c>
      <c r="Q79" s="158">
        <f>IF($P79=0,0,$P79+IFERROR(INDEX(MASTER_JAM!$H$5:$H$94,MATCH($C79,MASTER_JAM!$A$5:$A$94,0))+0,MASTER_JAM!$AC$15)/1000*(60/MASTER_JAM!$AC$12+60/MASTER_JAM!$AC$13)+MASTER_JAM!$AC$14)</f>
        <v/>
      </c>
      <c r="R79" s="158">
        <f>IF(N($F79)=0,0,$F79/SUMIFS(INPUT_RITASE!$F$5:$F$20000,INPUT_RITASE!$A$5:$A$20000,$A79,INPUT_RITASE!$B$5:$B$20000,$B79,INPUT_RITASE!$C$5:$C$20000,$C79,INPUT_RITASE!$D$5:$D$20000,$D79))</f>
        <v/>
      </c>
      <c r="S79" s="158">
        <f>IF($Q79=0,0,$R79*$P79/$Q79)</f>
        <v/>
      </c>
    </row>
    <row r="80">
      <c r="A80" s="155" t="n">
        <v>46104</v>
      </c>
      <c r="B80" s="156" t="inlineStr">
        <is>
          <t>17-18</t>
        </is>
      </c>
      <c r="C80" s="156" t="inlineStr">
        <is>
          <t>EX-1251</t>
        </is>
      </c>
      <c r="D80" s="156" t="inlineStr">
        <is>
          <t>DT-520</t>
        </is>
      </c>
      <c r="E80" s="156" t="inlineStr">
        <is>
          <t>OB</t>
        </is>
      </c>
      <c r="F80" s="156" t="n">
        <v>3</v>
      </c>
      <c r="G80" s="156" t="inlineStr"/>
      <c r="H80" s="157">
        <f>IF($B80="","",IF(ISNA(MATCH($B80,MASTER_JAM!$Q$5:$Q$28,0)),"?",IF(MATCH($B80,MASTER_JAM!$Q$5:$Q$28,0)&lt;=12,"DS","NS")))</f>
        <v/>
      </c>
      <c r="I80" s="157">
        <f>IFERROR(INDEX(MASTER_JAM!$B$5:$B$94,MATCH($C80,MASTER_JAM!$A$5:$A$94,0)),"")</f>
        <v/>
      </c>
      <c r="J80" s="157">
        <f>IFERROR(INDEX(MASTER_JAM!$E$5:$E$94,MATCH($D80,MASTER_JAM!$A$5:$A$94,0)),"")</f>
        <v/>
      </c>
      <c r="K80" s="158">
        <f>IFERROR(INDEX(MASTER_JAM!$J$5:$O$12,MATCH($E80,MASTER_JAM!$I$5:$I$12,0),MATCH($J80,MASTER_JAM!$J$4:$O$4,0))+0,0)</f>
        <v/>
      </c>
      <c r="L80" s="159">
        <f>N($F80)*$K80</f>
        <v/>
      </c>
      <c r="M80" s="157">
        <f>IF($E80="","",IF(OR($E80="Coal",$E80="Dirty Coal"),"MT","BCM"))</f>
        <v/>
      </c>
      <c r="N80" s="157">
        <f>IF($E80="","",IF(OR($E80="Coal",$E80="Dirty Coal"),"Coal","OB"))</f>
        <v/>
      </c>
      <c r="O80" s="157">
        <f>IF($F80="","",IF(COUNTIF(MASTER_JAM!$A$5:$A$94,$C80)=0,"Digger tidak dikenal",IF($J80="","Hauler tidak dikenal",IF($H80="?","Jam salah",IF($K80=0,"Faktor kosong",IF(SUMIFS(INPUT_DELAY!$E$5:$E$20000,INPUT_DELAY!$A$5:$A$20000,$A80,INPUT_DELAY!$B$5:$B$20000,$B80,INPUT_DELAY!$C$5:$C$20000,$C80)+SUMIFS(INPUT_DELAY!$E$5:$E$20000,INPUT_DELAY!$A$5:$A$20000,$A80,INPUT_DELAY!$B$5:$B$20000,$B80,INPUT_DELAY!$C$5:$C$20000,"SEMUA")&gt;=60,"Delay 60 mnt tapi ada ritase","OK"))))))</f>
        <v/>
      </c>
      <c r="P80" s="158">
        <f>IFERROR(INDEX(MASTER_JAM!$Z$5:$AC$10,MATCH($I80,MASTER_JAM!$Y$5:$Y$10,0),MATCH($J80,MASTER_JAM!$Z$4:$AC$4,0))+0,0)</f>
        <v/>
      </c>
      <c r="Q80" s="158">
        <f>IF($P80=0,0,$P80+IFERROR(INDEX(MASTER_JAM!$H$5:$H$94,MATCH($C80,MASTER_JAM!$A$5:$A$94,0))+0,MASTER_JAM!$AC$15)/1000*(60/MASTER_JAM!$AC$12+60/MASTER_JAM!$AC$13)+MASTER_JAM!$AC$14)</f>
        <v/>
      </c>
      <c r="R80" s="158">
        <f>IF(N($F80)=0,0,$F80/SUMIFS(INPUT_RITASE!$F$5:$F$20000,INPUT_RITASE!$A$5:$A$20000,$A80,INPUT_RITASE!$B$5:$B$20000,$B80,INPUT_RITASE!$C$5:$C$20000,$C80,INPUT_RITASE!$D$5:$D$20000,$D80))</f>
        <v/>
      </c>
      <c r="S80" s="158">
        <f>IF($Q80=0,0,$R80*$P80/$Q80)</f>
        <v/>
      </c>
    </row>
    <row r="81">
      <c r="A81" s="155" t="n">
        <v>46104</v>
      </c>
      <c r="B81" s="156" t="inlineStr">
        <is>
          <t>06-07</t>
        </is>
      </c>
      <c r="C81" s="156" t="inlineStr">
        <is>
          <t>EX-1252</t>
        </is>
      </c>
      <c r="D81" s="156" t="inlineStr">
        <is>
          <t>DT-527</t>
        </is>
      </c>
      <c r="E81" s="156" t="inlineStr">
        <is>
          <t>OB</t>
        </is>
      </c>
      <c r="F81" s="156" t="n">
        <v>4</v>
      </c>
      <c r="G81" s="156" t="inlineStr"/>
      <c r="H81" s="157">
        <f>IF($B81="","",IF(ISNA(MATCH($B81,MASTER_JAM!$Q$5:$Q$28,0)),"?",IF(MATCH($B81,MASTER_JAM!$Q$5:$Q$28,0)&lt;=12,"DS","NS")))</f>
        <v/>
      </c>
      <c r="I81" s="157">
        <f>IFERROR(INDEX(MASTER_JAM!$B$5:$B$94,MATCH($C81,MASTER_JAM!$A$5:$A$94,0)),"")</f>
        <v/>
      </c>
      <c r="J81" s="157">
        <f>IFERROR(INDEX(MASTER_JAM!$E$5:$E$94,MATCH($D81,MASTER_JAM!$A$5:$A$94,0)),"")</f>
        <v/>
      </c>
      <c r="K81" s="158">
        <f>IFERROR(INDEX(MASTER_JAM!$J$5:$O$12,MATCH($E81,MASTER_JAM!$I$5:$I$12,0),MATCH($J81,MASTER_JAM!$J$4:$O$4,0))+0,0)</f>
        <v/>
      </c>
      <c r="L81" s="159">
        <f>N($F81)*$K81</f>
        <v/>
      </c>
      <c r="M81" s="157">
        <f>IF($E81="","",IF(OR($E81="Coal",$E81="Dirty Coal"),"MT","BCM"))</f>
        <v/>
      </c>
      <c r="N81" s="157">
        <f>IF($E81="","",IF(OR($E81="Coal",$E81="Dirty Coal"),"Coal","OB"))</f>
        <v/>
      </c>
      <c r="O81" s="157">
        <f>IF($F81="","",IF(COUNTIF(MASTER_JAM!$A$5:$A$94,$C81)=0,"Digger tidak dikenal",IF($J81="","Hauler tidak dikenal",IF($H81="?","Jam salah",IF($K81=0,"Faktor kosong",IF(SUMIFS(INPUT_DELAY!$E$5:$E$20000,INPUT_DELAY!$A$5:$A$20000,$A81,INPUT_DELAY!$B$5:$B$20000,$B81,INPUT_DELAY!$C$5:$C$20000,$C81)+SUMIFS(INPUT_DELAY!$E$5:$E$20000,INPUT_DELAY!$A$5:$A$20000,$A81,INPUT_DELAY!$B$5:$B$20000,$B81,INPUT_DELAY!$C$5:$C$20000,"SEMUA")&gt;=60,"Delay 60 mnt tapi ada ritase","OK"))))))</f>
        <v/>
      </c>
      <c r="P81" s="158">
        <f>IFERROR(INDEX(MASTER_JAM!$Z$5:$AC$10,MATCH($I81,MASTER_JAM!$Y$5:$Y$10,0),MATCH($J81,MASTER_JAM!$Z$4:$AC$4,0))+0,0)</f>
        <v/>
      </c>
      <c r="Q81" s="158">
        <f>IF($P81=0,0,$P81+IFERROR(INDEX(MASTER_JAM!$H$5:$H$94,MATCH($C81,MASTER_JAM!$A$5:$A$94,0))+0,MASTER_JAM!$AC$15)/1000*(60/MASTER_JAM!$AC$12+60/MASTER_JAM!$AC$13)+MASTER_JAM!$AC$14)</f>
        <v/>
      </c>
      <c r="R81" s="158">
        <f>IF(N($F81)=0,0,$F81/SUMIFS(INPUT_RITASE!$F$5:$F$20000,INPUT_RITASE!$A$5:$A$20000,$A81,INPUT_RITASE!$B$5:$B$20000,$B81,INPUT_RITASE!$C$5:$C$20000,$C81,INPUT_RITASE!$D$5:$D$20000,$D81))</f>
        <v/>
      </c>
      <c r="S81" s="158">
        <f>IF($Q81=0,0,$R81*$P81/$Q81)</f>
        <v/>
      </c>
    </row>
    <row r="82">
      <c r="A82" s="155" t="n">
        <v>46104</v>
      </c>
      <c r="B82" s="156" t="inlineStr">
        <is>
          <t>06-07</t>
        </is>
      </c>
      <c r="C82" s="156" t="inlineStr">
        <is>
          <t>EX-1252</t>
        </is>
      </c>
      <c r="D82" s="156" t="inlineStr">
        <is>
          <t>DT-522</t>
        </is>
      </c>
      <c r="E82" s="156" t="inlineStr">
        <is>
          <t>OB</t>
        </is>
      </c>
      <c r="F82" s="156" t="n">
        <v>4</v>
      </c>
      <c r="G82" s="156" t="inlineStr"/>
      <c r="H82" s="157">
        <f>IF($B82="","",IF(ISNA(MATCH($B82,MASTER_JAM!$Q$5:$Q$28,0)),"?",IF(MATCH($B82,MASTER_JAM!$Q$5:$Q$28,0)&lt;=12,"DS","NS")))</f>
        <v/>
      </c>
      <c r="I82" s="157">
        <f>IFERROR(INDEX(MASTER_JAM!$B$5:$B$94,MATCH($C82,MASTER_JAM!$A$5:$A$94,0)),"")</f>
        <v/>
      </c>
      <c r="J82" s="157">
        <f>IFERROR(INDEX(MASTER_JAM!$E$5:$E$94,MATCH($D82,MASTER_JAM!$A$5:$A$94,0)),"")</f>
        <v/>
      </c>
      <c r="K82" s="158">
        <f>IFERROR(INDEX(MASTER_JAM!$J$5:$O$12,MATCH($E82,MASTER_JAM!$I$5:$I$12,0),MATCH($J82,MASTER_JAM!$J$4:$O$4,0))+0,0)</f>
        <v/>
      </c>
      <c r="L82" s="159">
        <f>N($F82)*$K82</f>
        <v/>
      </c>
      <c r="M82" s="157">
        <f>IF($E82="","",IF(OR($E82="Coal",$E82="Dirty Coal"),"MT","BCM"))</f>
        <v/>
      </c>
      <c r="N82" s="157">
        <f>IF($E82="","",IF(OR($E82="Coal",$E82="Dirty Coal"),"Coal","OB"))</f>
        <v/>
      </c>
      <c r="O82" s="157">
        <f>IF($F82="","",IF(COUNTIF(MASTER_JAM!$A$5:$A$94,$C82)=0,"Digger tidak dikenal",IF($J82="","Hauler tidak dikenal",IF($H82="?","Jam salah",IF($K82=0,"Faktor kosong",IF(SUMIFS(INPUT_DELAY!$E$5:$E$20000,INPUT_DELAY!$A$5:$A$20000,$A82,INPUT_DELAY!$B$5:$B$20000,$B82,INPUT_DELAY!$C$5:$C$20000,$C82)+SUMIFS(INPUT_DELAY!$E$5:$E$20000,INPUT_DELAY!$A$5:$A$20000,$A82,INPUT_DELAY!$B$5:$B$20000,$B82,INPUT_DELAY!$C$5:$C$20000,"SEMUA")&gt;=60,"Delay 60 mnt tapi ada ritase","OK"))))))</f>
        <v/>
      </c>
      <c r="P82" s="158">
        <f>IFERROR(INDEX(MASTER_JAM!$Z$5:$AC$10,MATCH($I82,MASTER_JAM!$Y$5:$Y$10,0),MATCH($J82,MASTER_JAM!$Z$4:$AC$4,0))+0,0)</f>
        <v/>
      </c>
      <c r="Q82" s="158">
        <f>IF($P82=0,0,$P82+IFERROR(INDEX(MASTER_JAM!$H$5:$H$94,MATCH($C82,MASTER_JAM!$A$5:$A$94,0))+0,MASTER_JAM!$AC$15)/1000*(60/MASTER_JAM!$AC$12+60/MASTER_JAM!$AC$13)+MASTER_JAM!$AC$14)</f>
        <v/>
      </c>
      <c r="R82" s="158">
        <f>IF(N($F82)=0,0,$F82/SUMIFS(INPUT_RITASE!$F$5:$F$20000,INPUT_RITASE!$A$5:$A$20000,$A82,INPUT_RITASE!$B$5:$B$20000,$B82,INPUT_RITASE!$C$5:$C$20000,$C82,INPUT_RITASE!$D$5:$D$20000,$D82))</f>
        <v/>
      </c>
      <c r="S82" s="158">
        <f>IF($Q82=0,0,$R82*$P82/$Q82)</f>
        <v/>
      </c>
    </row>
    <row r="83">
      <c r="A83" s="155" t="n">
        <v>46104</v>
      </c>
      <c r="B83" s="156" t="inlineStr">
        <is>
          <t>06-07</t>
        </is>
      </c>
      <c r="C83" s="156" t="inlineStr">
        <is>
          <t>EX-1252</t>
        </is>
      </c>
      <c r="D83" s="156" t="inlineStr">
        <is>
          <t>DT-515</t>
        </is>
      </c>
      <c r="E83" s="156" t="inlineStr">
        <is>
          <t>OB</t>
        </is>
      </c>
      <c r="F83" s="156" t="n">
        <v>4</v>
      </c>
      <c r="G83" s="156" t="inlineStr"/>
      <c r="H83" s="157">
        <f>IF($B83="","",IF(ISNA(MATCH($B83,MASTER_JAM!$Q$5:$Q$28,0)),"?",IF(MATCH($B83,MASTER_JAM!$Q$5:$Q$28,0)&lt;=12,"DS","NS")))</f>
        <v/>
      </c>
      <c r="I83" s="157">
        <f>IFERROR(INDEX(MASTER_JAM!$B$5:$B$94,MATCH($C83,MASTER_JAM!$A$5:$A$94,0)),"")</f>
        <v/>
      </c>
      <c r="J83" s="157">
        <f>IFERROR(INDEX(MASTER_JAM!$E$5:$E$94,MATCH($D83,MASTER_JAM!$A$5:$A$94,0)),"")</f>
        <v/>
      </c>
      <c r="K83" s="158">
        <f>IFERROR(INDEX(MASTER_JAM!$J$5:$O$12,MATCH($E83,MASTER_JAM!$I$5:$I$12,0),MATCH($J83,MASTER_JAM!$J$4:$O$4,0))+0,0)</f>
        <v/>
      </c>
      <c r="L83" s="159">
        <f>N($F83)*$K83</f>
        <v/>
      </c>
      <c r="M83" s="157">
        <f>IF($E83="","",IF(OR($E83="Coal",$E83="Dirty Coal"),"MT","BCM"))</f>
        <v/>
      </c>
      <c r="N83" s="157">
        <f>IF($E83="","",IF(OR($E83="Coal",$E83="Dirty Coal"),"Coal","OB"))</f>
        <v/>
      </c>
      <c r="O83" s="157">
        <f>IF($F83="","",IF(COUNTIF(MASTER_JAM!$A$5:$A$94,$C83)=0,"Digger tidak dikenal",IF($J83="","Hauler tidak dikenal",IF($H83="?","Jam salah",IF($K83=0,"Faktor kosong",IF(SUMIFS(INPUT_DELAY!$E$5:$E$20000,INPUT_DELAY!$A$5:$A$20000,$A83,INPUT_DELAY!$B$5:$B$20000,$B83,INPUT_DELAY!$C$5:$C$20000,$C83)+SUMIFS(INPUT_DELAY!$E$5:$E$20000,INPUT_DELAY!$A$5:$A$20000,$A83,INPUT_DELAY!$B$5:$B$20000,$B83,INPUT_DELAY!$C$5:$C$20000,"SEMUA")&gt;=60,"Delay 60 mnt tapi ada ritase","OK"))))))</f>
        <v/>
      </c>
      <c r="P83" s="158">
        <f>IFERROR(INDEX(MASTER_JAM!$Z$5:$AC$10,MATCH($I83,MASTER_JAM!$Y$5:$Y$10,0),MATCH($J83,MASTER_JAM!$Z$4:$AC$4,0))+0,0)</f>
        <v/>
      </c>
      <c r="Q83" s="158">
        <f>IF($P83=0,0,$P83+IFERROR(INDEX(MASTER_JAM!$H$5:$H$94,MATCH($C83,MASTER_JAM!$A$5:$A$94,0))+0,MASTER_JAM!$AC$15)/1000*(60/MASTER_JAM!$AC$12+60/MASTER_JAM!$AC$13)+MASTER_JAM!$AC$14)</f>
        <v/>
      </c>
      <c r="R83" s="158">
        <f>IF(N($F83)=0,0,$F83/SUMIFS(INPUT_RITASE!$F$5:$F$20000,INPUT_RITASE!$A$5:$A$20000,$A83,INPUT_RITASE!$B$5:$B$20000,$B83,INPUT_RITASE!$C$5:$C$20000,$C83,INPUT_RITASE!$D$5:$D$20000,$D83))</f>
        <v/>
      </c>
      <c r="S83" s="158">
        <f>IF($Q83=0,0,$R83*$P83/$Q83)</f>
        <v/>
      </c>
    </row>
    <row r="84">
      <c r="A84" s="155" t="n">
        <v>46104</v>
      </c>
      <c r="B84" s="156" t="inlineStr">
        <is>
          <t>06-07</t>
        </is>
      </c>
      <c r="C84" s="156" t="inlineStr">
        <is>
          <t>EX-1252</t>
        </is>
      </c>
      <c r="D84" s="156" t="inlineStr">
        <is>
          <t>DT-507</t>
        </is>
      </c>
      <c r="E84" s="156" t="inlineStr">
        <is>
          <t>OB</t>
        </is>
      </c>
      <c r="F84" s="156" t="n">
        <v>4</v>
      </c>
      <c r="G84" s="156" t="inlineStr"/>
      <c r="H84" s="157">
        <f>IF($B84="","",IF(ISNA(MATCH($B84,MASTER_JAM!$Q$5:$Q$28,0)),"?",IF(MATCH($B84,MASTER_JAM!$Q$5:$Q$28,0)&lt;=12,"DS","NS")))</f>
        <v/>
      </c>
      <c r="I84" s="157">
        <f>IFERROR(INDEX(MASTER_JAM!$B$5:$B$94,MATCH($C84,MASTER_JAM!$A$5:$A$94,0)),"")</f>
        <v/>
      </c>
      <c r="J84" s="157">
        <f>IFERROR(INDEX(MASTER_JAM!$E$5:$E$94,MATCH($D84,MASTER_JAM!$A$5:$A$94,0)),"")</f>
        <v/>
      </c>
      <c r="K84" s="158">
        <f>IFERROR(INDEX(MASTER_JAM!$J$5:$O$12,MATCH($E84,MASTER_JAM!$I$5:$I$12,0),MATCH($J84,MASTER_JAM!$J$4:$O$4,0))+0,0)</f>
        <v/>
      </c>
      <c r="L84" s="159">
        <f>N($F84)*$K84</f>
        <v/>
      </c>
      <c r="M84" s="157">
        <f>IF($E84="","",IF(OR($E84="Coal",$E84="Dirty Coal"),"MT","BCM"))</f>
        <v/>
      </c>
      <c r="N84" s="157">
        <f>IF($E84="","",IF(OR($E84="Coal",$E84="Dirty Coal"),"Coal","OB"))</f>
        <v/>
      </c>
      <c r="O84" s="157">
        <f>IF($F84="","",IF(COUNTIF(MASTER_JAM!$A$5:$A$94,$C84)=0,"Digger tidak dikenal",IF($J84="","Hauler tidak dikenal",IF($H84="?","Jam salah",IF($K84=0,"Faktor kosong",IF(SUMIFS(INPUT_DELAY!$E$5:$E$20000,INPUT_DELAY!$A$5:$A$20000,$A84,INPUT_DELAY!$B$5:$B$20000,$B84,INPUT_DELAY!$C$5:$C$20000,$C84)+SUMIFS(INPUT_DELAY!$E$5:$E$20000,INPUT_DELAY!$A$5:$A$20000,$A84,INPUT_DELAY!$B$5:$B$20000,$B84,INPUT_DELAY!$C$5:$C$20000,"SEMUA")&gt;=60,"Delay 60 mnt tapi ada ritase","OK"))))))</f>
        <v/>
      </c>
      <c r="P84" s="158">
        <f>IFERROR(INDEX(MASTER_JAM!$Z$5:$AC$10,MATCH($I84,MASTER_JAM!$Y$5:$Y$10,0),MATCH($J84,MASTER_JAM!$Z$4:$AC$4,0))+0,0)</f>
        <v/>
      </c>
      <c r="Q84" s="158">
        <f>IF($P84=0,0,$P84+IFERROR(INDEX(MASTER_JAM!$H$5:$H$94,MATCH($C84,MASTER_JAM!$A$5:$A$94,0))+0,MASTER_JAM!$AC$15)/1000*(60/MASTER_JAM!$AC$12+60/MASTER_JAM!$AC$13)+MASTER_JAM!$AC$14)</f>
        <v/>
      </c>
      <c r="R84" s="158">
        <f>IF(N($F84)=0,0,$F84/SUMIFS(INPUT_RITASE!$F$5:$F$20000,INPUT_RITASE!$A$5:$A$20000,$A84,INPUT_RITASE!$B$5:$B$20000,$B84,INPUT_RITASE!$C$5:$C$20000,$C84,INPUT_RITASE!$D$5:$D$20000,$D84))</f>
        <v/>
      </c>
      <c r="S84" s="158">
        <f>IF($Q84=0,0,$R84*$P84/$Q84)</f>
        <v/>
      </c>
    </row>
    <row r="85">
      <c r="A85" s="155" t="n">
        <v>46104</v>
      </c>
      <c r="B85" s="156" t="inlineStr">
        <is>
          <t>07-08</t>
        </is>
      </c>
      <c r="C85" s="156" t="inlineStr">
        <is>
          <t>EX-1252</t>
        </is>
      </c>
      <c r="D85" s="156" t="inlineStr">
        <is>
          <t>DT-513</t>
        </is>
      </c>
      <c r="E85" s="156" t="inlineStr">
        <is>
          <t>OB</t>
        </is>
      </c>
      <c r="F85" s="156" t="n">
        <v>3</v>
      </c>
      <c r="G85" s="156" t="inlineStr"/>
      <c r="H85" s="157">
        <f>IF($B85="","",IF(ISNA(MATCH($B85,MASTER_JAM!$Q$5:$Q$28,0)),"?",IF(MATCH($B85,MASTER_JAM!$Q$5:$Q$28,0)&lt;=12,"DS","NS")))</f>
        <v/>
      </c>
      <c r="I85" s="157">
        <f>IFERROR(INDEX(MASTER_JAM!$B$5:$B$94,MATCH($C85,MASTER_JAM!$A$5:$A$94,0)),"")</f>
        <v/>
      </c>
      <c r="J85" s="157">
        <f>IFERROR(INDEX(MASTER_JAM!$E$5:$E$94,MATCH($D85,MASTER_JAM!$A$5:$A$94,0)),"")</f>
        <v/>
      </c>
      <c r="K85" s="158">
        <f>IFERROR(INDEX(MASTER_JAM!$J$5:$O$12,MATCH($E85,MASTER_JAM!$I$5:$I$12,0),MATCH($J85,MASTER_JAM!$J$4:$O$4,0))+0,0)</f>
        <v/>
      </c>
      <c r="L85" s="159">
        <f>N($F85)*$K85</f>
        <v/>
      </c>
      <c r="M85" s="157">
        <f>IF($E85="","",IF(OR($E85="Coal",$E85="Dirty Coal"),"MT","BCM"))</f>
        <v/>
      </c>
      <c r="N85" s="157">
        <f>IF($E85="","",IF(OR($E85="Coal",$E85="Dirty Coal"),"Coal","OB"))</f>
        <v/>
      </c>
      <c r="O85" s="157">
        <f>IF($F85="","",IF(COUNTIF(MASTER_JAM!$A$5:$A$94,$C85)=0,"Digger tidak dikenal",IF($J85="","Hauler tidak dikenal",IF($H85="?","Jam salah",IF($K85=0,"Faktor kosong",IF(SUMIFS(INPUT_DELAY!$E$5:$E$20000,INPUT_DELAY!$A$5:$A$20000,$A85,INPUT_DELAY!$B$5:$B$20000,$B85,INPUT_DELAY!$C$5:$C$20000,$C85)+SUMIFS(INPUT_DELAY!$E$5:$E$20000,INPUT_DELAY!$A$5:$A$20000,$A85,INPUT_DELAY!$B$5:$B$20000,$B85,INPUT_DELAY!$C$5:$C$20000,"SEMUA")&gt;=60,"Delay 60 mnt tapi ada ritase","OK"))))))</f>
        <v/>
      </c>
      <c r="P85" s="158">
        <f>IFERROR(INDEX(MASTER_JAM!$Z$5:$AC$10,MATCH($I85,MASTER_JAM!$Y$5:$Y$10,0),MATCH($J85,MASTER_JAM!$Z$4:$AC$4,0))+0,0)</f>
        <v/>
      </c>
      <c r="Q85" s="158">
        <f>IF($P85=0,0,$P85+IFERROR(INDEX(MASTER_JAM!$H$5:$H$94,MATCH($C85,MASTER_JAM!$A$5:$A$94,0))+0,MASTER_JAM!$AC$15)/1000*(60/MASTER_JAM!$AC$12+60/MASTER_JAM!$AC$13)+MASTER_JAM!$AC$14)</f>
        <v/>
      </c>
      <c r="R85" s="158">
        <f>IF(N($F85)=0,0,$F85/SUMIFS(INPUT_RITASE!$F$5:$F$20000,INPUT_RITASE!$A$5:$A$20000,$A85,INPUT_RITASE!$B$5:$B$20000,$B85,INPUT_RITASE!$C$5:$C$20000,$C85,INPUT_RITASE!$D$5:$D$20000,$D85))</f>
        <v/>
      </c>
      <c r="S85" s="158">
        <f>IF($Q85=0,0,$R85*$P85/$Q85)</f>
        <v/>
      </c>
    </row>
    <row r="86">
      <c r="A86" s="155" t="n">
        <v>46104</v>
      </c>
      <c r="B86" s="156" t="inlineStr">
        <is>
          <t>07-08</t>
        </is>
      </c>
      <c r="C86" s="156" t="inlineStr">
        <is>
          <t>EX-1252</t>
        </is>
      </c>
      <c r="D86" s="156" t="inlineStr">
        <is>
          <t>DT-527</t>
        </is>
      </c>
      <c r="E86" s="156" t="inlineStr">
        <is>
          <t>OB</t>
        </is>
      </c>
      <c r="F86" s="156" t="n">
        <v>3</v>
      </c>
      <c r="G86" s="156" t="inlineStr"/>
      <c r="H86" s="157">
        <f>IF($B86="","",IF(ISNA(MATCH($B86,MASTER_JAM!$Q$5:$Q$28,0)),"?",IF(MATCH($B86,MASTER_JAM!$Q$5:$Q$28,0)&lt;=12,"DS","NS")))</f>
        <v/>
      </c>
      <c r="I86" s="157">
        <f>IFERROR(INDEX(MASTER_JAM!$B$5:$B$94,MATCH($C86,MASTER_JAM!$A$5:$A$94,0)),"")</f>
        <v/>
      </c>
      <c r="J86" s="157">
        <f>IFERROR(INDEX(MASTER_JAM!$E$5:$E$94,MATCH($D86,MASTER_JAM!$A$5:$A$94,0)),"")</f>
        <v/>
      </c>
      <c r="K86" s="158">
        <f>IFERROR(INDEX(MASTER_JAM!$J$5:$O$12,MATCH($E86,MASTER_JAM!$I$5:$I$12,0),MATCH($J86,MASTER_JAM!$J$4:$O$4,0))+0,0)</f>
        <v/>
      </c>
      <c r="L86" s="159">
        <f>N($F86)*$K86</f>
        <v/>
      </c>
      <c r="M86" s="157">
        <f>IF($E86="","",IF(OR($E86="Coal",$E86="Dirty Coal"),"MT","BCM"))</f>
        <v/>
      </c>
      <c r="N86" s="157">
        <f>IF($E86="","",IF(OR($E86="Coal",$E86="Dirty Coal"),"Coal","OB"))</f>
        <v/>
      </c>
      <c r="O86" s="157">
        <f>IF($F86="","",IF(COUNTIF(MASTER_JAM!$A$5:$A$94,$C86)=0,"Digger tidak dikenal",IF($J86="","Hauler tidak dikenal",IF($H86="?","Jam salah",IF($K86=0,"Faktor kosong",IF(SUMIFS(INPUT_DELAY!$E$5:$E$20000,INPUT_DELAY!$A$5:$A$20000,$A86,INPUT_DELAY!$B$5:$B$20000,$B86,INPUT_DELAY!$C$5:$C$20000,$C86)+SUMIFS(INPUT_DELAY!$E$5:$E$20000,INPUT_DELAY!$A$5:$A$20000,$A86,INPUT_DELAY!$B$5:$B$20000,$B86,INPUT_DELAY!$C$5:$C$20000,"SEMUA")&gt;=60,"Delay 60 mnt tapi ada ritase","OK"))))))</f>
        <v/>
      </c>
      <c r="P86" s="158">
        <f>IFERROR(INDEX(MASTER_JAM!$Z$5:$AC$10,MATCH($I86,MASTER_JAM!$Y$5:$Y$10,0),MATCH($J86,MASTER_JAM!$Z$4:$AC$4,0))+0,0)</f>
        <v/>
      </c>
      <c r="Q86" s="158">
        <f>IF($P86=0,0,$P86+IFERROR(INDEX(MASTER_JAM!$H$5:$H$94,MATCH($C86,MASTER_JAM!$A$5:$A$94,0))+0,MASTER_JAM!$AC$15)/1000*(60/MASTER_JAM!$AC$12+60/MASTER_JAM!$AC$13)+MASTER_JAM!$AC$14)</f>
        <v/>
      </c>
      <c r="R86" s="158">
        <f>IF(N($F86)=0,0,$F86/SUMIFS(INPUT_RITASE!$F$5:$F$20000,INPUT_RITASE!$A$5:$A$20000,$A86,INPUT_RITASE!$B$5:$B$20000,$B86,INPUT_RITASE!$C$5:$C$20000,$C86,INPUT_RITASE!$D$5:$D$20000,$D86))</f>
        <v/>
      </c>
      <c r="S86" s="158">
        <f>IF($Q86=0,0,$R86*$P86/$Q86)</f>
        <v/>
      </c>
    </row>
    <row r="87">
      <c r="A87" s="155" t="n">
        <v>46104</v>
      </c>
      <c r="B87" s="156" t="inlineStr">
        <is>
          <t>07-08</t>
        </is>
      </c>
      <c r="C87" s="156" t="inlineStr">
        <is>
          <t>EX-1252</t>
        </is>
      </c>
      <c r="D87" s="156" t="inlineStr">
        <is>
          <t>DT-520</t>
        </is>
      </c>
      <c r="E87" s="156" t="inlineStr">
        <is>
          <t>OB</t>
        </is>
      </c>
      <c r="F87" s="156" t="n">
        <v>3</v>
      </c>
      <c r="G87" s="156" t="inlineStr"/>
      <c r="H87" s="157">
        <f>IF($B87="","",IF(ISNA(MATCH($B87,MASTER_JAM!$Q$5:$Q$28,0)),"?",IF(MATCH($B87,MASTER_JAM!$Q$5:$Q$28,0)&lt;=12,"DS","NS")))</f>
        <v/>
      </c>
      <c r="I87" s="157">
        <f>IFERROR(INDEX(MASTER_JAM!$B$5:$B$94,MATCH($C87,MASTER_JAM!$A$5:$A$94,0)),"")</f>
        <v/>
      </c>
      <c r="J87" s="157">
        <f>IFERROR(INDEX(MASTER_JAM!$E$5:$E$94,MATCH($D87,MASTER_JAM!$A$5:$A$94,0)),"")</f>
        <v/>
      </c>
      <c r="K87" s="158">
        <f>IFERROR(INDEX(MASTER_JAM!$J$5:$O$12,MATCH($E87,MASTER_JAM!$I$5:$I$12,0),MATCH($J87,MASTER_JAM!$J$4:$O$4,0))+0,0)</f>
        <v/>
      </c>
      <c r="L87" s="159">
        <f>N($F87)*$K87</f>
        <v/>
      </c>
      <c r="M87" s="157">
        <f>IF($E87="","",IF(OR($E87="Coal",$E87="Dirty Coal"),"MT","BCM"))</f>
        <v/>
      </c>
      <c r="N87" s="157">
        <f>IF($E87="","",IF(OR($E87="Coal",$E87="Dirty Coal"),"Coal","OB"))</f>
        <v/>
      </c>
      <c r="O87" s="157">
        <f>IF($F87="","",IF(COUNTIF(MASTER_JAM!$A$5:$A$94,$C87)=0,"Digger tidak dikenal",IF($J87="","Hauler tidak dikenal",IF($H87="?","Jam salah",IF($K87=0,"Faktor kosong",IF(SUMIFS(INPUT_DELAY!$E$5:$E$20000,INPUT_DELAY!$A$5:$A$20000,$A87,INPUT_DELAY!$B$5:$B$20000,$B87,INPUT_DELAY!$C$5:$C$20000,$C87)+SUMIFS(INPUT_DELAY!$E$5:$E$20000,INPUT_DELAY!$A$5:$A$20000,$A87,INPUT_DELAY!$B$5:$B$20000,$B87,INPUT_DELAY!$C$5:$C$20000,"SEMUA")&gt;=60,"Delay 60 mnt tapi ada ritase","OK"))))))</f>
        <v/>
      </c>
      <c r="P87" s="158">
        <f>IFERROR(INDEX(MASTER_JAM!$Z$5:$AC$10,MATCH($I87,MASTER_JAM!$Y$5:$Y$10,0),MATCH($J87,MASTER_JAM!$Z$4:$AC$4,0))+0,0)</f>
        <v/>
      </c>
      <c r="Q87" s="158">
        <f>IF($P87=0,0,$P87+IFERROR(INDEX(MASTER_JAM!$H$5:$H$94,MATCH($C87,MASTER_JAM!$A$5:$A$94,0))+0,MASTER_JAM!$AC$15)/1000*(60/MASTER_JAM!$AC$12+60/MASTER_JAM!$AC$13)+MASTER_JAM!$AC$14)</f>
        <v/>
      </c>
      <c r="R87" s="158">
        <f>IF(N($F87)=0,0,$F87/SUMIFS(INPUT_RITASE!$F$5:$F$20000,INPUT_RITASE!$A$5:$A$20000,$A87,INPUT_RITASE!$B$5:$B$20000,$B87,INPUT_RITASE!$C$5:$C$20000,$C87,INPUT_RITASE!$D$5:$D$20000,$D87))</f>
        <v/>
      </c>
      <c r="S87" s="158">
        <f>IF($Q87=0,0,$R87*$P87/$Q87)</f>
        <v/>
      </c>
    </row>
    <row r="88">
      <c r="A88" s="155" t="n">
        <v>46104</v>
      </c>
      <c r="B88" s="156" t="inlineStr">
        <is>
          <t>08-09</t>
        </is>
      </c>
      <c r="C88" s="156" t="inlineStr">
        <is>
          <t>EX-1252</t>
        </is>
      </c>
      <c r="D88" s="156" t="inlineStr">
        <is>
          <t>DT-527</t>
        </is>
      </c>
      <c r="E88" s="156" t="inlineStr">
        <is>
          <t>OB</t>
        </is>
      </c>
      <c r="F88" s="156" t="n">
        <v>4</v>
      </c>
      <c r="G88" s="156" t="inlineStr"/>
      <c r="H88" s="157">
        <f>IF($B88="","",IF(ISNA(MATCH($B88,MASTER_JAM!$Q$5:$Q$28,0)),"?",IF(MATCH($B88,MASTER_JAM!$Q$5:$Q$28,0)&lt;=12,"DS","NS")))</f>
        <v/>
      </c>
      <c r="I88" s="157">
        <f>IFERROR(INDEX(MASTER_JAM!$B$5:$B$94,MATCH($C88,MASTER_JAM!$A$5:$A$94,0)),"")</f>
        <v/>
      </c>
      <c r="J88" s="157">
        <f>IFERROR(INDEX(MASTER_JAM!$E$5:$E$94,MATCH($D88,MASTER_JAM!$A$5:$A$94,0)),"")</f>
        <v/>
      </c>
      <c r="K88" s="158">
        <f>IFERROR(INDEX(MASTER_JAM!$J$5:$O$12,MATCH($E88,MASTER_JAM!$I$5:$I$12,0),MATCH($J88,MASTER_JAM!$J$4:$O$4,0))+0,0)</f>
        <v/>
      </c>
      <c r="L88" s="159">
        <f>N($F88)*$K88</f>
        <v/>
      </c>
      <c r="M88" s="157">
        <f>IF($E88="","",IF(OR($E88="Coal",$E88="Dirty Coal"),"MT","BCM"))</f>
        <v/>
      </c>
      <c r="N88" s="157">
        <f>IF($E88="","",IF(OR($E88="Coal",$E88="Dirty Coal"),"Coal","OB"))</f>
        <v/>
      </c>
      <c r="O88" s="157">
        <f>IF($F88="","",IF(COUNTIF(MASTER_JAM!$A$5:$A$94,$C88)=0,"Digger tidak dikenal",IF($J88="","Hauler tidak dikenal",IF($H88="?","Jam salah",IF($K88=0,"Faktor kosong",IF(SUMIFS(INPUT_DELAY!$E$5:$E$20000,INPUT_DELAY!$A$5:$A$20000,$A88,INPUT_DELAY!$B$5:$B$20000,$B88,INPUT_DELAY!$C$5:$C$20000,$C88)+SUMIFS(INPUT_DELAY!$E$5:$E$20000,INPUT_DELAY!$A$5:$A$20000,$A88,INPUT_DELAY!$B$5:$B$20000,$B88,INPUT_DELAY!$C$5:$C$20000,"SEMUA")&gt;=60,"Delay 60 mnt tapi ada ritase","OK"))))))</f>
        <v/>
      </c>
      <c r="P88" s="158">
        <f>IFERROR(INDEX(MASTER_JAM!$Z$5:$AC$10,MATCH($I88,MASTER_JAM!$Y$5:$Y$10,0),MATCH($J88,MASTER_JAM!$Z$4:$AC$4,0))+0,0)</f>
        <v/>
      </c>
      <c r="Q88" s="158">
        <f>IF($P88=0,0,$P88+IFERROR(INDEX(MASTER_JAM!$H$5:$H$94,MATCH($C88,MASTER_JAM!$A$5:$A$94,0))+0,MASTER_JAM!$AC$15)/1000*(60/MASTER_JAM!$AC$12+60/MASTER_JAM!$AC$13)+MASTER_JAM!$AC$14)</f>
        <v/>
      </c>
      <c r="R88" s="158">
        <f>IF(N($F88)=0,0,$F88/SUMIFS(INPUT_RITASE!$F$5:$F$20000,INPUT_RITASE!$A$5:$A$20000,$A88,INPUT_RITASE!$B$5:$B$20000,$B88,INPUT_RITASE!$C$5:$C$20000,$C88,INPUT_RITASE!$D$5:$D$20000,$D88))</f>
        <v/>
      </c>
      <c r="S88" s="158">
        <f>IF($Q88=0,0,$R88*$P88/$Q88)</f>
        <v/>
      </c>
    </row>
    <row r="89">
      <c r="A89" s="155" t="n">
        <v>46104</v>
      </c>
      <c r="B89" s="156" t="inlineStr">
        <is>
          <t>08-09</t>
        </is>
      </c>
      <c r="C89" s="156" t="inlineStr">
        <is>
          <t>EX-1252</t>
        </is>
      </c>
      <c r="D89" s="156" t="inlineStr">
        <is>
          <t>DT-506</t>
        </is>
      </c>
      <c r="E89" s="156" t="inlineStr">
        <is>
          <t>OB</t>
        </is>
      </c>
      <c r="F89" s="156" t="n">
        <v>4</v>
      </c>
      <c r="G89" s="156" t="inlineStr"/>
      <c r="H89" s="157">
        <f>IF($B89="","",IF(ISNA(MATCH($B89,MASTER_JAM!$Q$5:$Q$28,0)),"?",IF(MATCH($B89,MASTER_JAM!$Q$5:$Q$28,0)&lt;=12,"DS","NS")))</f>
        <v/>
      </c>
      <c r="I89" s="157">
        <f>IFERROR(INDEX(MASTER_JAM!$B$5:$B$94,MATCH($C89,MASTER_JAM!$A$5:$A$94,0)),"")</f>
        <v/>
      </c>
      <c r="J89" s="157">
        <f>IFERROR(INDEX(MASTER_JAM!$E$5:$E$94,MATCH($D89,MASTER_JAM!$A$5:$A$94,0)),"")</f>
        <v/>
      </c>
      <c r="K89" s="158">
        <f>IFERROR(INDEX(MASTER_JAM!$J$5:$O$12,MATCH($E89,MASTER_JAM!$I$5:$I$12,0),MATCH($J89,MASTER_JAM!$J$4:$O$4,0))+0,0)</f>
        <v/>
      </c>
      <c r="L89" s="159">
        <f>N($F89)*$K89</f>
        <v/>
      </c>
      <c r="M89" s="157">
        <f>IF($E89="","",IF(OR($E89="Coal",$E89="Dirty Coal"),"MT","BCM"))</f>
        <v/>
      </c>
      <c r="N89" s="157">
        <f>IF($E89="","",IF(OR($E89="Coal",$E89="Dirty Coal"),"Coal","OB"))</f>
        <v/>
      </c>
      <c r="O89" s="157">
        <f>IF($F89="","",IF(COUNTIF(MASTER_JAM!$A$5:$A$94,$C89)=0,"Digger tidak dikenal",IF($J89="","Hauler tidak dikenal",IF($H89="?","Jam salah",IF($K89=0,"Faktor kosong",IF(SUMIFS(INPUT_DELAY!$E$5:$E$20000,INPUT_DELAY!$A$5:$A$20000,$A89,INPUT_DELAY!$B$5:$B$20000,$B89,INPUT_DELAY!$C$5:$C$20000,$C89)+SUMIFS(INPUT_DELAY!$E$5:$E$20000,INPUT_DELAY!$A$5:$A$20000,$A89,INPUT_DELAY!$B$5:$B$20000,$B89,INPUT_DELAY!$C$5:$C$20000,"SEMUA")&gt;=60,"Delay 60 mnt tapi ada ritase","OK"))))))</f>
        <v/>
      </c>
      <c r="P89" s="158">
        <f>IFERROR(INDEX(MASTER_JAM!$Z$5:$AC$10,MATCH($I89,MASTER_JAM!$Y$5:$Y$10,0),MATCH($J89,MASTER_JAM!$Z$4:$AC$4,0))+0,0)</f>
        <v/>
      </c>
      <c r="Q89" s="158">
        <f>IF($P89=0,0,$P89+IFERROR(INDEX(MASTER_JAM!$H$5:$H$94,MATCH($C89,MASTER_JAM!$A$5:$A$94,0))+0,MASTER_JAM!$AC$15)/1000*(60/MASTER_JAM!$AC$12+60/MASTER_JAM!$AC$13)+MASTER_JAM!$AC$14)</f>
        <v/>
      </c>
      <c r="R89" s="158">
        <f>IF(N($F89)=0,0,$F89/SUMIFS(INPUT_RITASE!$F$5:$F$20000,INPUT_RITASE!$A$5:$A$20000,$A89,INPUT_RITASE!$B$5:$B$20000,$B89,INPUT_RITASE!$C$5:$C$20000,$C89,INPUT_RITASE!$D$5:$D$20000,$D89))</f>
        <v/>
      </c>
      <c r="S89" s="158">
        <f>IF($Q89=0,0,$R89*$P89/$Q89)</f>
        <v/>
      </c>
    </row>
    <row r="90">
      <c r="A90" s="155" t="n">
        <v>46104</v>
      </c>
      <c r="B90" s="156" t="inlineStr">
        <is>
          <t>08-09</t>
        </is>
      </c>
      <c r="C90" s="156" t="inlineStr">
        <is>
          <t>EX-1252</t>
        </is>
      </c>
      <c r="D90" s="156" t="inlineStr">
        <is>
          <t>DT-515</t>
        </is>
      </c>
      <c r="E90" s="156" t="inlineStr">
        <is>
          <t>OB</t>
        </is>
      </c>
      <c r="F90" s="156" t="n">
        <v>4</v>
      </c>
      <c r="G90" s="156" t="inlineStr"/>
      <c r="H90" s="157">
        <f>IF($B90="","",IF(ISNA(MATCH($B90,MASTER_JAM!$Q$5:$Q$28,0)),"?",IF(MATCH($B90,MASTER_JAM!$Q$5:$Q$28,0)&lt;=12,"DS","NS")))</f>
        <v/>
      </c>
      <c r="I90" s="157">
        <f>IFERROR(INDEX(MASTER_JAM!$B$5:$B$94,MATCH($C90,MASTER_JAM!$A$5:$A$94,0)),"")</f>
        <v/>
      </c>
      <c r="J90" s="157">
        <f>IFERROR(INDEX(MASTER_JAM!$E$5:$E$94,MATCH($D90,MASTER_JAM!$A$5:$A$94,0)),"")</f>
        <v/>
      </c>
      <c r="K90" s="158">
        <f>IFERROR(INDEX(MASTER_JAM!$J$5:$O$12,MATCH($E90,MASTER_JAM!$I$5:$I$12,0),MATCH($J90,MASTER_JAM!$J$4:$O$4,0))+0,0)</f>
        <v/>
      </c>
      <c r="L90" s="159">
        <f>N($F90)*$K90</f>
        <v/>
      </c>
      <c r="M90" s="157">
        <f>IF($E90="","",IF(OR($E90="Coal",$E90="Dirty Coal"),"MT","BCM"))</f>
        <v/>
      </c>
      <c r="N90" s="157">
        <f>IF($E90="","",IF(OR($E90="Coal",$E90="Dirty Coal"),"Coal","OB"))</f>
        <v/>
      </c>
      <c r="O90" s="157">
        <f>IF($F90="","",IF(COUNTIF(MASTER_JAM!$A$5:$A$94,$C90)=0,"Digger tidak dikenal",IF($J90="","Hauler tidak dikenal",IF($H90="?","Jam salah",IF($K90=0,"Faktor kosong",IF(SUMIFS(INPUT_DELAY!$E$5:$E$20000,INPUT_DELAY!$A$5:$A$20000,$A90,INPUT_DELAY!$B$5:$B$20000,$B90,INPUT_DELAY!$C$5:$C$20000,$C90)+SUMIFS(INPUT_DELAY!$E$5:$E$20000,INPUT_DELAY!$A$5:$A$20000,$A90,INPUT_DELAY!$B$5:$B$20000,$B90,INPUT_DELAY!$C$5:$C$20000,"SEMUA")&gt;=60,"Delay 60 mnt tapi ada ritase","OK"))))))</f>
        <v/>
      </c>
      <c r="P90" s="158">
        <f>IFERROR(INDEX(MASTER_JAM!$Z$5:$AC$10,MATCH($I90,MASTER_JAM!$Y$5:$Y$10,0),MATCH($J90,MASTER_JAM!$Z$4:$AC$4,0))+0,0)</f>
        <v/>
      </c>
      <c r="Q90" s="158">
        <f>IF($P90=0,0,$P90+IFERROR(INDEX(MASTER_JAM!$H$5:$H$94,MATCH($C90,MASTER_JAM!$A$5:$A$94,0))+0,MASTER_JAM!$AC$15)/1000*(60/MASTER_JAM!$AC$12+60/MASTER_JAM!$AC$13)+MASTER_JAM!$AC$14)</f>
        <v/>
      </c>
      <c r="R90" s="158">
        <f>IF(N($F90)=0,0,$F90/SUMIFS(INPUT_RITASE!$F$5:$F$20000,INPUT_RITASE!$A$5:$A$20000,$A90,INPUT_RITASE!$B$5:$B$20000,$B90,INPUT_RITASE!$C$5:$C$20000,$C90,INPUT_RITASE!$D$5:$D$20000,$D90))</f>
        <v/>
      </c>
      <c r="S90" s="158">
        <f>IF($Q90=0,0,$R90*$P90/$Q90)</f>
        <v/>
      </c>
    </row>
    <row r="91">
      <c r="A91" s="155" t="n">
        <v>46104</v>
      </c>
      <c r="B91" s="156" t="inlineStr">
        <is>
          <t>08-09</t>
        </is>
      </c>
      <c r="C91" s="156" t="inlineStr">
        <is>
          <t>EX-1252</t>
        </is>
      </c>
      <c r="D91" s="156" t="inlineStr">
        <is>
          <t>DT-516</t>
        </is>
      </c>
      <c r="E91" s="156" t="inlineStr">
        <is>
          <t>OB</t>
        </is>
      </c>
      <c r="F91" s="156" t="n">
        <v>3</v>
      </c>
      <c r="G91" s="156" t="inlineStr"/>
      <c r="H91" s="157">
        <f>IF($B91="","",IF(ISNA(MATCH($B91,MASTER_JAM!$Q$5:$Q$28,0)),"?",IF(MATCH($B91,MASTER_JAM!$Q$5:$Q$28,0)&lt;=12,"DS","NS")))</f>
        <v/>
      </c>
      <c r="I91" s="157">
        <f>IFERROR(INDEX(MASTER_JAM!$B$5:$B$94,MATCH($C91,MASTER_JAM!$A$5:$A$94,0)),"")</f>
        <v/>
      </c>
      <c r="J91" s="157">
        <f>IFERROR(INDEX(MASTER_JAM!$E$5:$E$94,MATCH($D91,MASTER_JAM!$A$5:$A$94,0)),"")</f>
        <v/>
      </c>
      <c r="K91" s="158">
        <f>IFERROR(INDEX(MASTER_JAM!$J$5:$O$12,MATCH($E91,MASTER_JAM!$I$5:$I$12,0),MATCH($J91,MASTER_JAM!$J$4:$O$4,0))+0,0)</f>
        <v/>
      </c>
      <c r="L91" s="159">
        <f>N($F91)*$K91</f>
        <v/>
      </c>
      <c r="M91" s="157">
        <f>IF($E91="","",IF(OR($E91="Coal",$E91="Dirty Coal"),"MT","BCM"))</f>
        <v/>
      </c>
      <c r="N91" s="157">
        <f>IF($E91="","",IF(OR($E91="Coal",$E91="Dirty Coal"),"Coal","OB"))</f>
        <v/>
      </c>
      <c r="O91" s="157">
        <f>IF($F91="","",IF(COUNTIF(MASTER_JAM!$A$5:$A$94,$C91)=0,"Digger tidak dikenal",IF($J91="","Hauler tidak dikenal",IF($H91="?","Jam salah",IF($K91=0,"Faktor kosong",IF(SUMIFS(INPUT_DELAY!$E$5:$E$20000,INPUT_DELAY!$A$5:$A$20000,$A91,INPUT_DELAY!$B$5:$B$20000,$B91,INPUT_DELAY!$C$5:$C$20000,$C91)+SUMIFS(INPUT_DELAY!$E$5:$E$20000,INPUT_DELAY!$A$5:$A$20000,$A91,INPUT_DELAY!$B$5:$B$20000,$B91,INPUT_DELAY!$C$5:$C$20000,"SEMUA")&gt;=60,"Delay 60 mnt tapi ada ritase","OK"))))))</f>
        <v/>
      </c>
      <c r="P91" s="158">
        <f>IFERROR(INDEX(MASTER_JAM!$Z$5:$AC$10,MATCH($I91,MASTER_JAM!$Y$5:$Y$10,0),MATCH($J91,MASTER_JAM!$Z$4:$AC$4,0))+0,0)</f>
        <v/>
      </c>
      <c r="Q91" s="158">
        <f>IF($P91=0,0,$P91+IFERROR(INDEX(MASTER_JAM!$H$5:$H$94,MATCH($C91,MASTER_JAM!$A$5:$A$94,0))+0,MASTER_JAM!$AC$15)/1000*(60/MASTER_JAM!$AC$12+60/MASTER_JAM!$AC$13)+MASTER_JAM!$AC$14)</f>
        <v/>
      </c>
      <c r="R91" s="158">
        <f>IF(N($F91)=0,0,$F91/SUMIFS(INPUT_RITASE!$F$5:$F$20000,INPUT_RITASE!$A$5:$A$20000,$A91,INPUT_RITASE!$B$5:$B$20000,$B91,INPUT_RITASE!$C$5:$C$20000,$C91,INPUT_RITASE!$D$5:$D$20000,$D91))</f>
        <v/>
      </c>
      <c r="S91" s="158">
        <f>IF($Q91=0,0,$R91*$P91/$Q91)</f>
        <v/>
      </c>
    </row>
    <row r="92">
      <c r="A92" s="155" t="n">
        <v>46104</v>
      </c>
      <c r="B92" s="156" t="inlineStr">
        <is>
          <t>08-09</t>
        </is>
      </c>
      <c r="C92" s="156" t="inlineStr">
        <is>
          <t>EX-1252</t>
        </is>
      </c>
      <c r="D92" s="156" t="inlineStr">
        <is>
          <t>DT-529</t>
        </is>
      </c>
      <c r="E92" s="156" t="inlineStr">
        <is>
          <t>OB</t>
        </is>
      </c>
      <c r="F92" s="156" t="n">
        <v>3</v>
      </c>
      <c r="G92" s="156" t="inlineStr"/>
      <c r="H92" s="157">
        <f>IF($B92="","",IF(ISNA(MATCH($B92,MASTER_JAM!$Q$5:$Q$28,0)),"?",IF(MATCH($B92,MASTER_JAM!$Q$5:$Q$28,0)&lt;=12,"DS","NS")))</f>
        <v/>
      </c>
      <c r="I92" s="157">
        <f>IFERROR(INDEX(MASTER_JAM!$B$5:$B$94,MATCH($C92,MASTER_JAM!$A$5:$A$94,0)),"")</f>
        <v/>
      </c>
      <c r="J92" s="157">
        <f>IFERROR(INDEX(MASTER_JAM!$E$5:$E$94,MATCH($D92,MASTER_JAM!$A$5:$A$94,0)),"")</f>
        <v/>
      </c>
      <c r="K92" s="158">
        <f>IFERROR(INDEX(MASTER_JAM!$J$5:$O$12,MATCH($E92,MASTER_JAM!$I$5:$I$12,0),MATCH($J92,MASTER_JAM!$J$4:$O$4,0))+0,0)</f>
        <v/>
      </c>
      <c r="L92" s="159">
        <f>N($F92)*$K92</f>
        <v/>
      </c>
      <c r="M92" s="157">
        <f>IF($E92="","",IF(OR($E92="Coal",$E92="Dirty Coal"),"MT","BCM"))</f>
        <v/>
      </c>
      <c r="N92" s="157">
        <f>IF($E92="","",IF(OR($E92="Coal",$E92="Dirty Coal"),"Coal","OB"))</f>
        <v/>
      </c>
      <c r="O92" s="157">
        <f>IF($F92="","",IF(COUNTIF(MASTER_JAM!$A$5:$A$94,$C92)=0,"Digger tidak dikenal",IF($J92="","Hauler tidak dikenal",IF($H92="?","Jam salah",IF($K92=0,"Faktor kosong",IF(SUMIFS(INPUT_DELAY!$E$5:$E$20000,INPUT_DELAY!$A$5:$A$20000,$A92,INPUT_DELAY!$B$5:$B$20000,$B92,INPUT_DELAY!$C$5:$C$20000,$C92)+SUMIFS(INPUT_DELAY!$E$5:$E$20000,INPUT_DELAY!$A$5:$A$20000,$A92,INPUT_DELAY!$B$5:$B$20000,$B92,INPUT_DELAY!$C$5:$C$20000,"SEMUA")&gt;=60,"Delay 60 mnt tapi ada ritase","OK"))))))</f>
        <v/>
      </c>
      <c r="P92" s="158">
        <f>IFERROR(INDEX(MASTER_JAM!$Z$5:$AC$10,MATCH($I92,MASTER_JAM!$Y$5:$Y$10,0),MATCH($J92,MASTER_JAM!$Z$4:$AC$4,0))+0,0)</f>
        <v/>
      </c>
      <c r="Q92" s="158">
        <f>IF($P92=0,0,$P92+IFERROR(INDEX(MASTER_JAM!$H$5:$H$94,MATCH($C92,MASTER_JAM!$A$5:$A$94,0))+0,MASTER_JAM!$AC$15)/1000*(60/MASTER_JAM!$AC$12+60/MASTER_JAM!$AC$13)+MASTER_JAM!$AC$14)</f>
        <v/>
      </c>
      <c r="R92" s="158">
        <f>IF(N($F92)=0,0,$F92/SUMIFS(INPUT_RITASE!$F$5:$F$20000,INPUT_RITASE!$A$5:$A$20000,$A92,INPUT_RITASE!$B$5:$B$20000,$B92,INPUT_RITASE!$C$5:$C$20000,$C92,INPUT_RITASE!$D$5:$D$20000,$D92))</f>
        <v/>
      </c>
      <c r="S92" s="158">
        <f>IF($Q92=0,0,$R92*$P92/$Q92)</f>
        <v/>
      </c>
    </row>
    <row r="93">
      <c r="A93" s="155" t="n">
        <v>46104</v>
      </c>
      <c r="B93" s="156" t="inlineStr">
        <is>
          <t>09-10</t>
        </is>
      </c>
      <c r="C93" s="156" t="inlineStr">
        <is>
          <t>EX-1252</t>
        </is>
      </c>
      <c r="D93" s="156" t="inlineStr">
        <is>
          <t>DT-503</t>
        </is>
      </c>
      <c r="E93" s="156" t="inlineStr">
        <is>
          <t>OB</t>
        </is>
      </c>
      <c r="F93" s="156" t="n">
        <v>4</v>
      </c>
      <c r="G93" s="156" t="inlineStr"/>
      <c r="H93" s="157">
        <f>IF($B93="","",IF(ISNA(MATCH($B93,MASTER_JAM!$Q$5:$Q$28,0)),"?",IF(MATCH($B93,MASTER_JAM!$Q$5:$Q$28,0)&lt;=12,"DS","NS")))</f>
        <v/>
      </c>
      <c r="I93" s="157">
        <f>IFERROR(INDEX(MASTER_JAM!$B$5:$B$94,MATCH($C93,MASTER_JAM!$A$5:$A$94,0)),"")</f>
        <v/>
      </c>
      <c r="J93" s="157">
        <f>IFERROR(INDEX(MASTER_JAM!$E$5:$E$94,MATCH($D93,MASTER_JAM!$A$5:$A$94,0)),"")</f>
        <v/>
      </c>
      <c r="K93" s="158">
        <f>IFERROR(INDEX(MASTER_JAM!$J$5:$O$12,MATCH($E93,MASTER_JAM!$I$5:$I$12,0),MATCH($J93,MASTER_JAM!$J$4:$O$4,0))+0,0)</f>
        <v/>
      </c>
      <c r="L93" s="159">
        <f>N($F93)*$K93</f>
        <v/>
      </c>
      <c r="M93" s="157">
        <f>IF($E93="","",IF(OR($E93="Coal",$E93="Dirty Coal"),"MT","BCM"))</f>
        <v/>
      </c>
      <c r="N93" s="157">
        <f>IF($E93="","",IF(OR($E93="Coal",$E93="Dirty Coal"),"Coal","OB"))</f>
        <v/>
      </c>
      <c r="O93" s="157">
        <f>IF($F93="","",IF(COUNTIF(MASTER_JAM!$A$5:$A$94,$C93)=0,"Digger tidak dikenal",IF($J93="","Hauler tidak dikenal",IF($H93="?","Jam salah",IF($K93=0,"Faktor kosong",IF(SUMIFS(INPUT_DELAY!$E$5:$E$20000,INPUT_DELAY!$A$5:$A$20000,$A93,INPUT_DELAY!$B$5:$B$20000,$B93,INPUT_DELAY!$C$5:$C$20000,$C93)+SUMIFS(INPUT_DELAY!$E$5:$E$20000,INPUT_DELAY!$A$5:$A$20000,$A93,INPUT_DELAY!$B$5:$B$20000,$B93,INPUT_DELAY!$C$5:$C$20000,"SEMUA")&gt;=60,"Delay 60 mnt tapi ada ritase","OK"))))))</f>
        <v/>
      </c>
      <c r="P93" s="158">
        <f>IFERROR(INDEX(MASTER_JAM!$Z$5:$AC$10,MATCH($I93,MASTER_JAM!$Y$5:$Y$10,0),MATCH($J93,MASTER_JAM!$Z$4:$AC$4,0))+0,0)</f>
        <v/>
      </c>
      <c r="Q93" s="158">
        <f>IF($P93=0,0,$P93+IFERROR(INDEX(MASTER_JAM!$H$5:$H$94,MATCH($C93,MASTER_JAM!$A$5:$A$94,0))+0,MASTER_JAM!$AC$15)/1000*(60/MASTER_JAM!$AC$12+60/MASTER_JAM!$AC$13)+MASTER_JAM!$AC$14)</f>
        <v/>
      </c>
      <c r="R93" s="158">
        <f>IF(N($F93)=0,0,$F93/SUMIFS(INPUT_RITASE!$F$5:$F$20000,INPUT_RITASE!$A$5:$A$20000,$A93,INPUT_RITASE!$B$5:$B$20000,$B93,INPUT_RITASE!$C$5:$C$20000,$C93,INPUT_RITASE!$D$5:$D$20000,$D93))</f>
        <v/>
      </c>
      <c r="S93" s="158">
        <f>IF($Q93=0,0,$R93*$P93/$Q93)</f>
        <v/>
      </c>
    </row>
    <row r="94">
      <c r="A94" s="155" t="n">
        <v>46104</v>
      </c>
      <c r="B94" s="156" t="inlineStr">
        <is>
          <t>09-10</t>
        </is>
      </c>
      <c r="C94" s="156" t="inlineStr">
        <is>
          <t>EX-1252</t>
        </is>
      </c>
      <c r="D94" s="156" t="inlineStr">
        <is>
          <t>DT-507</t>
        </is>
      </c>
      <c r="E94" s="156" t="inlineStr">
        <is>
          <t>OB</t>
        </is>
      </c>
      <c r="F94" s="156" t="n">
        <v>4</v>
      </c>
      <c r="G94" s="156" t="inlineStr"/>
      <c r="H94" s="157">
        <f>IF($B94="","",IF(ISNA(MATCH($B94,MASTER_JAM!$Q$5:$Q$28,0)),"?",IF(MATCH($B94,MASTER_JAM!$Q$5:$Q$28,0)&lt;=12,"DS","NS")))</f>
        <v/>
      </c>
      <c r="I94" s="157">
        <f>IFERROR(INDEX(MASTER_JAM!$B$5:$B$94,MATCH($C94,MASTER_JAM!$A$5:$A$94,0)),"")</f>
        <v/>
      </c>
      <c r="J94" s="157">
        <f>IFERROR(INDEX(MASTER_JAM!$E$5:$E$94,MATCH($D94,MASTER_JAM!$A$5:$A$94,0)),"")</f>
        <v/>
      </c>
      <c r="K94" s="158">
        <f>IFERROR(INDEX(MASTER_JAM!$J$5:$O$12,MATCH($E94,MASTER_JAM!$I$5:$I$12,0),MATCH($J94,MASTER_JAM!$J$4:$O$4,0))+0,0)</f>
        <v/>
      </c>
      <c r="L94" s="159">
        <f>N($F94)*$K94</f>
        <v/>
      </c>
      <c r="M94" s="157">
        <f>IF($E94="","",IF(OR($E94="Coal",$E94="Dirty Coal"),"MT","BCM"))</f>
        <v/>
      </c>
      <c r="N94" s="157">
        <f>IF($E94="","",IF(OR($E94="Coal",$E94="Dirty Coal"),"Coal","OB"))</f>
        <v/>
      </c>
      <c r="O94" s="157">
        <f>IF($F94="","",IF(COUNTIF(MASTER_JAM!$A$5:$A$94,$C94)=0,"Digger tidak dikenal",IF($J94="","Hauler tidak dikenal",IF($H94="?","Jam salah",IF($K94=0,"Faktor kosong",IF(SUMIFS(INPUT_DELAY!$E$5:$E$20000,INPUT_DELAY!$A$5:$A$20000,$A94,INPUT_DELAY!$B$5:$B$20000,$B94,INPUT_DELAY!$C$5:$C$20000,$C94)+SUMIFS(INPUT_DELAY!$E$5:$E$20000,INPUT_DELAY!$A$5:$A$20000,$A94,INPUT_DELAY!$B$5:$B$20000,$B94,INPUT_DELAY!$C$5:$C$20000,"SEMUA")&gt;=60,"Delay 60 mnt tapi ada ritase","OK"))))))</f>
        <v/>
      </c>
      <c r="P94" s="158">
        <f>IFERROR(INDEX(MASTER_JAM!$Z$5:$AC$10,MATCH($I94,MASTER_JAM!$Y$5:$Y$10,0),MATCH($J94,MASTER_JAM!$Z$4:$AC$4,0))+0,0)</f>
        <v/>
      </c>
      <c r="Q94" s="158">
        <f>IF($P94=0,0,$P94+IFERROR(INDEX(MASTER_JAM!$H$5:$H$94,MATCH($C94,MASTER_JAM!$A$5:$A$94,0))+0,MASTER_JAM!$AC$15)/1000*(60/MASTER_JAM!$AC$12+60/MASTER_JAM!$AC$13)+MASTER_JAM!$AC$14)</f>
        <v/>
      </c>
      <c r="R94" s="158">
        <f>IF(N($F94)=0,0,$F94/SUMIFS(INPUT_RITASE!$F$5:$F$20000,INPUT_RITASE!$A$5:$A$20000,$A94,INPUT_RITASE!$B$5:$B$20000,$B94,INPUT_RITASE!$C$5:$C$20000,$C94,INPUT_RITASE!$D$5:$D$20000,$D94))</f>
        <v/>
      </c>
      <c r="S94" s="158">
        <f>IF($Q94=0,0,$R94*$P94/$Q94)</f>
        <v/>
      </c>
    </row>
    <row r="95">
      <c r="A95" s="155" t="n">
        <v>46104</v>
      </c>
      <c r="B95" s="156" t="inlineStr">
        <is>
          <t>09-10</t>
        </is>
      </c>
      <c r="C95" s="156" t="inlineStr">
        <is>
          <t>EX-1252</t>
        </is>
      </c>
      <c r="D95" s="156" t="inlineStr">
        <is>
          <t>DT-508</t>
        </is>
      </c>
      <c r="E95" s="156" t="inlineStr">
        <is>
          <t>OB</t>
        </is>
      </c>
      <c r="F95" s="156" t="n">
        <v>4</v>
      </c>
      <c r="G95" s="156" t="inlineStr"/>
      <c r="H95" s="157">
        <f>IF($B95="","",IF(ISNA(MATCH($B95,MASTER_JAM!$Q$5:$Q$28,0)),"?",IF(MATCH($B95,MASTER_JAM!$Q$5:$Q$28,0)&lt;=12,"DS","NS")))</f>
        <v/>
      </c>
      <c r="I95" s="157">
        <f>IFERROR(INDEX(MASTER_JAM!$B$5:$B$94,MATCH($C95,MASTER_JAM!$A$5:$A$94,0)),"")</f>
        <v/>
      </c>
      <c r="J95" s="157">
        <f>IFERROR(INDEX(MASTER_JAM!$E$5:$E$94,MATCH($D95,MASTER_JAM!$A$5:$A$94,0)),"")</f>
        <v/>
      </c>
      <c r="K95" s="158">
        <f>IFERROR(INDEX(MASTER_JAM!$J$5:$O$12,MATCH($E95,MASTER_JAM!$I$5:$I$12,0),MATCH($J95,MASTER_JAM!$J$4:$O$4,0))+0,0)</f>
        <v/>
      </c>
      <c r="L95" s="159">
        <f>N($F95)*$K95</f>
        <v/>
      </c>
      <c r="M95" s="157">
        <f>IF($E95="","",IF(OR($E95="Coal",$E95="Dirty Coal"),"MT","BCM"))</f>
        <v/>
      </c>
      <c r="N95" s="157">
        <f>IF($E95="","",IF(OR($E95="Coal",$E95="Dirty Coal"),"Coal","OB"))</f>
        <v/>
      </c>
      <c r="O95" s="157">
        <f>IF($F95="","",IF(COUNTIF(MASTER_JAM!$A$5:$A$94,$C95)=0,"Digger tidak dikenal",IF($J95="","Hauler tidak dikenal",IF($H95="?","Jam salah",IF($K95=0,"Faktor kosong",IF(SUMIFS(INPUT_DELAY!$E$5:$E$20000,INPUT_DELAY!$A$5:$A$20000,$A95,INPUT_DELAY!$B$5:$B$20000,$B95,INPUT_DELAY!$C$5:$C$20000,$C95)+SUMIFS(INPUT_DELAY!$E$5:$E$20000,INPUT_DELAY!$A$5:$A$20000,$A95,INPUT_DELAY!$B$5:$B$20000,$B95,INPUT_DELAY!$C$5:$C$20000,"SEMUA")&gt;=60,"Delay 60 mnt tapi ada ritase","OK"))))))</f>
        <v/>
      </c>
      <c r="P95" s="158">
        <f>IFERROR(INDEX(MASTER_JAM!$Z$5:$AC$10,MATCH($I95,MASTER_JAM!$Y$5:$Y$10,0),MATCH($J95,MASTER_JAM!$Z$4:$AC$4,0))+0,0)</f>
        <v/>
      </c>
      <c r="Q95" s="158">
        <f>IF($P95=0,0,$P95+IFERROR(INDEX(MASTER_JAM!$H$5:$H$94,MATCH($C95,MASTER_JAM!$A$5:$A$94,0))+0,MASTER_JAM!$AC$15)/1000*(60/MASTER_JAM!$AC$12+60/MASTER_JAM!$AC$13)+MASTER_JAM!$AC$14)</f>
        <v/>
      </c>
      <c r="R95" s="158">
        <f>IF(N($F95)=0,0,$F95/SUMIFS(INPUT_RITASE!$F$5:$F$20000,INPUT_RITASE!$A$5:$A$20000,$A95,INPUT_RITASE!$B$5:$B$20000,$B95,INPUT_RITASE!$C$5:$C$20000,$C95,INPUT_RITASE!$D$5:$D$20000,$D95))</f>
        <v/>
      </c>
      <c r="S95" s="158">
        <f>IF($Q95=0,0,$R95*$P95/$Q95)</f>
        <v/>
      </c>
    </row>
    <row r="96">
      <c r="A96" s="155" t="n">
        <v>46104</v>
      </c>
      <c r="B96" s="156" t="inlineStr">
        <is>
          <t>09-10</t>
        </is>
      </c>
      <c r="C96" s="156" t="inlineStr">
        <is>
          <t>EX-1252</t>
        </is>
      </c>
      <c r="D96" s="156" t="inlineStr">
        <is>
          <t>DT-513</t>
        </is>
      </c>
      <c r="E96" s="156" t="inlineStr">
        <is>
          <t>OB</t>
        </is>
      </c>
      <c r="F96" s="156" t="n">
        <v>3</v>
      </c>
      <c r="G96" s="156" t="inlineStr"/>
      <c r="H96" s="157">
        <f>IF($B96="","",IF(ISNA(MATCH($B96,MASTER_JAM!$Q$5:$Q$28,0)),"?",IF(MATCH($B96,MASTER_JAM!$Q$5:$Q$28,0)&lt;=12,"DS","NS")))</f>
        <v/>
      </c>
      <c r="I96" s="157">
        <f>IFERROR(INDEX(MASTER_JAM!$B$5:$B$94,MATCH($C96,MASTER_JAM!$A$5:$A$94,0)),"")</f>
        <v/>
      </c>
      <c r="J96" s="157">
        <f>IFERROR(INDEX(MASTER_JAM!$E$5:$E$94,MATCH($D96,MASTER_JAM!$A$5:$A$94,0)),"")</f>
        <v/>
      </c>
      <c r="K96" s="158">
        <f>IFERROR(INDEX(MASTER_JAM!$J$5:$O$12,MATCH($E96,MASTER_JAM!$I$5:$I$12,0),MATCH($J96,MASTER_JAM!$J$4:$O$4,0))+0,0)</f>
        <v/>
      </c>
      <c r="L96" s="159">
        <f>N($F96)*$K96</f>
        <v/>
      </c>
      <c r="M96" s="157">
        <f>IF($E96="","",IF(OR($E96="Coal",$E96="Dirty Coal"),"MT","BCM"))</f>
        <v/>
      </c>
      <c r="N96" s="157">
        <f>IF($E96="","",IF(OR($E96="Coal",$E96="Dirty Coal"),"Coal","OB"))</f>
        <v/>
      </c>
      <c r="O96" s="157">
        <f>IF($F96="","",IF(COUNTIF(MASTER_JAM!$A$5:$A$94,$C96)=0,"Digger tidak dikenal",IF($J96="","Hauler tidak dikenal",IF($H96="?","Jam salah",IF($K96=0,"Faktor kosong",IF(SUMIFS(INPUT_DELAY!$E$5:$E$20000,INPUT_DELAY!$A$5:$A$20000,$A96,INPUT_DELAY!$B$5:$B$20000,$B96,INPUT_DELAY!$C$5:$C$20000,$C96)+SUMIFS(INPUT_DELAY!$E$5:$E$20000,INPUT_DELAY!$A$5:$A$20000,$A96,INPUT_DELAY!$B$5:$B$20000,$B96,INPUT_DELAY!$C$5:$C$20000,"SEMUA")&gt;=60,"Delay 60 mnt tapi ada ritase","OK"))))))</f>
        <v/>
      </c>
      <c r="P96" s="158">
        <f>IFERROR(INDEX(MASTER_JAM!$Z$5:$AC$10,MATCH($I96,MASTER_JAM!$Y$5:$Y$10,0),MATCH($J96,MASTER_JAM!$Z$4:$AC$4,0))+0,0)</f>
        <v/>
      </c>
      <c r="Q96" s="158">
        <f>IF($P96=0,0,$P96+IFERROR(INDEX(MASTER_JAM!$H$5:$H$94,MATCH($C96,MASTER_JAM!$A$5:$A$94,0))+0,MASTER_JAM!$AC$15)/1000*(60/MASTER_JAM!$AC$12+60/MASTER_JAM!$AC$13)+MASTER_JAM!$AC$14)</f>
        <v/>
      </c>
      <c r="R96" s="158">
        <f>IF(N($F96)=0,0,$F96/SUMIFS(INPUT_RITASE!$F$5:$F$20000,INPUT_RITASE!$A$5:$A$20000,$A96,INPUT_RITASE!$B$5:$B$20000,$B96,INPUT_RITASE!$C$5:$C$20000,$C96,INPUT_RITASE!$D$5:$D$20000,$D96))</f>
        <v/>
      </c>
      <c r="S96" s="158">
        <f>IF($Q96=0,0,$R96*$P96/$Q96)</f>
        <v/>
      </c>
    </row>
    <row r="97">
      <c r="A97" s="155" t="n">
        <v>46104</v>
      </c>
      <c r="B97" s="156" t="inlineStr">
        <is>
          <t>09-10</t>
        </is>
      </c>
      <c r="C97" s="156" t="inlineStr">
        <is>
          <t>EX-1252</t>
        </is>
      </c>
      <c r="D97" s="156" t="inlineStr">
        <is>
          <t>DT-524</t>
        </is>
      </c>
      <c r="E97" s="156" t="inlineStr">
        <is>
          <t>OB</t>
        </is>
      </c>
      <c r="F97" s="156" t="n">
        <v>3</v>
      </c>
      <c r="G97" s="156" t="inlineStr"/>
      <c r="H97" s="157">
        <f>IF($B97="","",IF(ISNA(MATCH($B97,MASTER_JAM!$Q$5:$Q$28,0)),"?",IF(MATCH($B97,MASTER_JAM!$Q$5:$Q$28,0)&lt;=12,"DS","NS")))</f>
        <v/>
      </c>
      <c r="I97" s="157">
        <f>IFERROR(INDEX(MASTER_JAM!$B$5:$B$94,MATCH($C97,MASTER_JAM!$A$5:$A$94,0)),"")</f>
        <v/>
      </c>
      <c r="J97" s="157">
        <f>IFERROR(INDEX(MASTER_JAM!$E$5:$E$94,MATCH($D97,MASTER_JAM!$A$5:$A$94,0)),"")</f>
        <v/>
      </c>
      <c r="K97" s="158">
        <f>IFERROR(INDEX(MASTER_JAM!$J$5:$O$12,MATCH($E97,MASTER_JAM!$I$5:$I$12,0),MATCH($J97,MASTER_JAM!$J$4:$O$4,0))+0,0)</f>
        <v/>
      </c>
      <c r="L97" s="159">
        <f>N($F97)*$K97</f>
        <v/>
      </c>
      <c r="M97" s="157">
        <f>IF($E97="","",IF(OR($E97="Coal",$E97="Dirty Coal"),"MT","BCM"))</f>
        <v/>
      </c>
      <c r="N97" s="157">
        <f>IF($E97="","",IF(OR($E97="Coal",$E97="Dirty Coal"),"Coal","OB"))</f>
        <v/>
      </c>
      <c r="O97" s="157">
        <f>IF($F97="","",IF(COUNTIF(MASTER_JAM!$A$5:$A$94,$C97)=0,"Digger tidak dikenal",IF($J97="","Hauler tidak dikenal",IF($H97="?","Jam salah",IF($K97=0,"Faktor kosong",IF(SUMIFS(INPUT_DELAY!$E$5:$E$20000,INPUT_DELAY!$A$5:$A$20000,$A97,INPUT_DELAY!$B$5:$B$20000,$B97,INPUT_DELAY!$C$5:$C$20000,$C97)+SUMIFS(INPUT_DELAY!$E$5:$E$20000,INPUT_DELAY!$A$5:$A$20000,$A97,INPUT_DELAY!$B$5:$B$20000,$B97,INPUT_DELAY!$C$5:$C$20000,"SEMUA")&gt;=60,"Delay 60 mnt tapi ada ritase","OK"))))))</f>
        <v/>
      </c>
      <c r="P97" s="158">
        <f>IFERROR(INDEX(MASTER_JAM!$Z$5:$AC$10,MATCH($I97,MASTER_JAM!$Y$5:$Y$10,0),MATCH($J97,MASTER_JAM!$Z$4:$AC$4,0))+0,0)</f>
        <v/>
      </c>
      <c r="Q97" s="158">
        <f>IF($P97=0,0,$P97+IFERROR(INDEX(MASTER_JAM!$H$5:$H$94,MATCH($C97,MASTER_JAM!$A$5:$A$94,0))+0,MASTER_JAM!$AC$15)/1000*(60/MASTER_JAM!$AC$12+60/MASTER_JAM!$AC$13)+MASTER_JAM!$AC$14)</f>
        <v/>
      </c>
      <c r="R97" s="158">
        <f>IF(N($F97)=0,0,$F97/SUMIFS(INPUT_RITASE!$F$5:$F$20000,INPUT_RITASE!$A$5:$A$20000,$A97,INPUT_RITASE!$B$5:$B$20000,$B97,INPUT_RITASE!$C$5:$C$20000,$C97,INPUT_RITASE!$D$5:$D$20000,$D97))</f>
        <v/>
      </c>
      <c r="S97" s="158">
        <f>IF($Q97=0,0,$R97*$P97/$Q97)</f>
        <v/>
      </c>
    </row>
    <row r="98">
      <c r="A98" s="155" t="n">
        <v>46104</v>
      </c>
      <c r="B98" s="156" t="inlineStr">
        <is>
          <t>09-10</t>
        </is>
      </c>
      <c r="C98" s="156" t="inlineStr">
        <is>
          <t>EX-1252</t>
        </is>
      </c>
      <c r="D98" s="156" t="inlineStr">
        <is>
          <t>DT-527</t>
        </is>
      </c>
      <c r="E98" s="156" t="inlineStr">
        <is>
          <t>OB</t>
        </is>
      </c>
      <c r="F98" s="156" t="n">
        <v>3</v>
      </c>
      <c r="G98" s="156" t="inlineStr"/>
      <c r="H98" s="157">
        <f>IF($B98="","",IF(ISNA(MATCH($B98,MASTER_JAM!$Q$5:$Q$28,0)),"?",IF(MATCH($B98,MASTER_JAM!$Q$5:$Q$28,0)&lt;=12,"DS","NS")))</f>
        <v/>
      </c>
      <c r="I98" s="157">
        <f>IFERROR(INDEX(MASTER_JAM!$B$5:$B$94,MATCH($C98,MASTER_JAM!$A$5:$A$94,0)),"")</f>
        <v/>
      </c>
      <c r="J98" s="157">
        <f>IFERROR(INDEX(MASTER_JAM!$E$5:$E$94,MATCH($D98,MASTER_JAM!$A$5:$A$94,0)),"")</f>
        <v/>
      </c>
      <c r="K98" s="158">
        <f>IFERROR(INDEX(MASTER_JAM!$J$5:$O$12,MATCH($E98,MASTER_JAM!$I$5:$I$12,0),MATCH($J98,MASTER_JAM!$J$4:$O$4,0))+0,0)</f>
        <v/>
      </c>
      <c r="L98" s="159">
        <f>N($F98)*$K98</f>
        <v/>
      </c>
      <c r="M98" s="157">
        <f>IF($E98="","",IF(OR($E98="Coal",$E98="Dirty Coal"),"MT","BCM"))</f>
        <v/>
      </c>
      <c r="N98" s="157">
        <f>IF($E98="","",IF(OR($E98="Coal",$E98="Dirty Coal"),"Coal","OB"))</f>
        <v/>
      </c>
      <c r="O98" s="157">
        <f>IF($F98="","",IF(COUNTIF(MASTER_JAM!$A$5:$A$94,$C98)=0,"Digger tidak dikenal",IF($J98="","Hauler tidak dikenal",IF($H98="?","Jam salah",IF($K98=0,"Faktor kosong",IF(SUMIFS(INPUT_DELAY!$E$5:$E$20000,INPUT_DELAY!$A$5:$A$20000,$A98,INPUT_DELAY!$B$5:$B$20000,$B98,INPUT_DELAY!$C$5:$C$20000,$C98)+SUMIFS(INPUT_DELAY!$E$5:$E$20000,INPUT_DELAY!$A$5:$A$20000,$A98,INPUT_DELAY!$B$5:$B$20000,$B98,INPUT_DELAY!$C$5:$C$20000,"SEMUA")&gt;=60,"Delay 60 mnt tapi ada ritase","OK"))))))</f>
        <v/>
      </c>
      <c r="P98" s="158">
        <f>IFERROR(INDEX(MASTER_JAM!$Z$5:$AC$10,MATCH($I98,MASTER_JAM!$Y$5:$Y$10,0),MATCH($J98,MASTER_JAM!$Z$4:$AC$4,0))+0,0)</f>
        <v/>
      </c>
      <c r="Q98" s="158">
        <f>IF($P98=0,0,$P98+IFERROR(INDEX(MASTER_JAM!$H$5:$H$94,MATCH($C98,MASTER_JAM!$A$5:$A$94,0))+0,MASTER_JAM!$AC$15)/1000*(60/MASTER_JAM!$AC$12+60/MASTER_JAM!$AC$13)+MASTER_JAM!$AC$14)</f>
        <v/>
      </c>
      <c r="R98" s="158">
        <f>IF(N($F98)=0,0,$F98/SUMIFS(INPUT_RITASE!$F$5:$F$20000,INPUT_RITASE!$A$5:$A$20000,$A98,INPUT_RITASE!$B$5:$B$20000,$B98,INPUT_RITASE!$C$5:$C$20000,$C98,INPUT_RITASE!$D$5:$D$20000,$D98))</f>
        <v/>
      </c>
      <c r="S98" s="158">
        <f>IF($Q98=0,0,$R98*$P98/$Q98)</f>
        <v/>
      </c>
    </row>
    <row r="99">
      <c r="A99" s="155" t="n">
        <v>46104</v>
      </c>
      <c r="B99" s="156" t="inlineStr">
        <is>
          <t>10-11</t>
        </is>
      </c>
      <c r="C99" s="156" t="inlineStr">
        <is>
          <t>EX-1252</t>
        </is>
      </c>
      <c r="D99" s="156" t="inlineStr">
        <is>
          <t>DT-506</t>
        </is>
      </c>
      <c r="E99" s="156" t="inlineStr">
        <is>
          <t>OB</t>
        </is>
      </c>
      <c r="F99" s="156" t="n">
        <v>4</v>
      </c>
      <c r="G99" s="156" t="inlineStr"/>
      <c r="H99" s="157">
        <f>IF($B99="","",IF(ISNA(MATCH($B99,MASTER_JAM!$Q$5:$Q$28,0)),"?",IF(MATCH($B99,MASTER_JAM!$Q$5:$Q$28,0)&lt;=12,"DS","NS")))</f>
        <v/>
      </c>
      <c r="I99" s="157">
        <f>IFERROR(INDEX(MASTER_JAM!$B$5:$B$94,MATCH($C99,MASTER_JAM!$A$5:$A$94,0)),"")</f>
        <v/>
      </c>
      <c r="J99" s="157">
        <f>IFERROR(INDEX(MASTER_JAM!$E$5:$E$94,MATCH($D99,MASTER_JAM!$A$5:$A$94,0)),"")</f>
        <v/>
      </c>
      <c r="K99" s="158">
        <f>IFERROR(INDEX(MASTER_JAM!$J$5:$O$12,MATCH($E99,MASTER_JAM!$I$5:$I$12,0),MATCH($J99,MASTER_JAM!$J$4:$O$4,0))+0,0)</f>
        <v/>
      </c>
      <c r="L99" s="159">
        <f>N($F99)*$K99</f>
        <v/>
      </c>
      <c r="M99" s="157">
        <f>IF($E99="","",IF(OR($E99="Coal",$E99="Dirty Coal"),"MT","BCM"))</f>
        <v/>
      </c>
      <c r="N99" s="157">
        <f>IF($E99="","",IF(OR($E99="Coal",$E99="Dirty Coal"),"Coal","OB"))</f>
        <v/>
      </c>
      <c r="O99" s="157">
        <f>IF($F99="","",IF(COUNTIF(MASTER_JAM!$A$5:$A$94,$C99)=0,"Digger tidak dikenal",IF($J99="","Hauler tidak dikenal",IF($H99="?","Jam salah",IF($K99=0,"Faktor kosong",IF(SUMIFS(INPUT_DELAY!$E$5:$E$20000,INPUT_DELAY!$A$5:$A$20000,$A99,INPUT_DELAY!$B$5:$B$20000,$B99,INPUT_DELAY!$C$5:$C$20000,$C99)+SUMIFS(INPUT_DELAY!$E$5:$E$20000,INPUT_DELAY!$A$5:$A$20000,$A99,INPUT_DELAY!$B$5:$B$20000,$B99,INPUT_DELAY!$C$5:$C$20000,"SEMUA")&gt;=60,"Delay 60 mnt tapi ada ritase","OK"))))))</f>
        <v/>
      </c>
      <c r="P99" s="158">
        <f>IFERROR(INDEX(MASTER_JAM!$Z$5:$AC$10,MATCH($I99,MASTER_JAM!$Y$5:$Y$10,0),MATCH($J99,MASTER_JAM!$Z$4:$AC$4,0))+0,0)</f>
        <v/>
      </c>
      <c r="Q99" s="158">
        <f>IF($P99=0,0,$P99+IFERROR(INDEX(MASTER_JAM!$H$5:$H$94,MATCH($C99,MASTER_JAM!$A$5:$A$94,0))+0,MASTER_JAM!$AC$15)/1000*(60/MASTER_JAM!$AC$12+60/MASTER_JAM!$AC$13)+MASTER_JAM!$AC$14)</f>
        <v/>
      </c>
      <c r="R99" s="158">
        <f>IF(N($F99)=0,0,$F99/SUMIFS(INPUT_RITASE!$F$5:$F$20000,INPUT_RITASE!$A$5:$A$20000,$A99,INPUT_RITASE!$B$5:$B$20000,$B99,INPUT_RITASE!$C$5:$C$20000,$C99,INPUT_RITASE!$D$5:$D$20000,$D99))</f>
        <v/>
      </c>
      <c r="S99" s="158">
        <f>IF($Q99=0,0,$R99*$P99/$Q99)</f>
        <v/>
      </c>
    </row>
    <row r="100">
      <c r="A100" s="155" t="n">
        <v>46104</v>
      </c>
      <c r="B100" s="156" t="inlineStr">
        <is>
          <t>10-11</t>
        </is>
      </c>
      <c r="C100" s="156" t="inlineStr">
        <is>
          <t>EX-1252</t>
        </is>
      </c>
      <c r="D100" s="156" t="inlineStr">
        <is>
          <t>DT-522</t>
        </is>
      </c>
      <c r="E100" s="156" t="inlineStr">
        <is>
          <t>OB</t>
        </is>
      </c>
      <c r="F100" s="156" t="n">
        <v>4</v>
      </c>
      <c r="G100" s="156" t="inlineStr"/>
      <c r="H100" s="157">
        <f>IF($B100="","",IF(ISNA(MATCH($B100,MASTER_JAM!$Q$5:$Q$28,0)),"?",IF(MATCH($B100,MASTER_JAM!$Q$5:$Q$28,0)&lt;=12,"DS","NS")))</f>
        <v/>
      </c>
      <c r="I100" s="157">
        <f>IFERROR(INDEX(MASTER_JAM!$B$5:$B$94,MATCH($C100,MASTER_JAM!$A$5:$A$94,0)),"")</f>
        <v/>
      </c>
      <c r="J100" s="157">
        <f>IFERROR(INDEX(MASTER_JAM!$E$5:$E$94,MATCH($D100,MASTER_JAM!$A$5:$A$94,0)),"")</f>
        <v/>
      </c>
      <c r="K100" s="158">
        <f>IFERROR(INDEX(MASTER_JAM!$J$5:$O$12,MATCH($E100,MASTER_JAM!$I$5:$I$12,0),MATCH($J100,MASTER_JAM!$J$4:$O$4,0))+0,0)</f>
        <v/>
      </c>
      <c r="L100" s="159">
        <f>N($F100)*$K100</f>
        <v/>
      </c>
      <c r="M100" s="157">
        <f>IF($E100="","",IF(OR($E100="Coal",$E100="Dirty Coal"),"MT","BCM"))</f>
        <v/>
      </c>
      <c r="N100" s="157">
        <f>IF($E100="","",IF(OR($E100="Coal",$E100="Dirty Coal"),"Coal","OB"))</f>
        <v/>
      </c>
      <c r="O100" s="157">
        <f>IF($F100="","",IF(COUNTIF(MASTER_JAM!$A$5:$A$94,$C100)=0,"Digger tidak dikenal",IF($J100="","Hauler tidak dikenal",IF($H100="?","Jam salah",IF($K100=0,"Faktor kosong",IF(SUMIFS(INPUT_DELAY!$E$5:$E$20000,INPUT_DELAY!$A$5:$A$20000,$A100,INPUT_DELAY!$B$5:$B$20000,$B100,INPUT_DELAY!$C$5:$C$20000,$C100)+SUMIFS(INPUT_DELAY!$E$5:$E$20000,INPUT_DELAY!$A$5:$A$20000,$A100,INPUT_DELAY!$B$5:$B$20000,$B100,INPUT_DELAY!$C$5:$C$20000,"SEMUA")&gt;=60,"Delay 60 mnt tapi ada ritase","OK"))))))</f>
        <v/>
      </c>
      <c r="P100" s="158">
        <f>IFERROR(INDEX(MASTER_JAM!$Z$5:$AC$10,MATCH($I100,MASTER_JAM!$Y$5:$Y$10,0),MATCH($J100,MASTER_JAM!$Z$4:$AC$4,0))+0,0)</f>
        <v/>
      </c>
      <c r="Q100" s="158">
        <f>IF($P100=0,0,$P100+IFERROR(INDEX(MASTER_JAM!$H$5:$H$94,MATCH($C100,MASTER_JAM!$A$5:$A$94,0))+0,MASTER_JAM!$AC$15)/1000*(60/MASTER_JAM!$AC$12+60/MASTER_JAM!$AC$13)+MASTER_JAM!$AC$14)</f>
        <v/>
      </c>
      <c r="R100" s="158">
        <f>IF(N($F100)=0,0,$F100/SUMIFS(INPUT_RITASE!$F$5:$F$20000,INPUT_RITASE!$A$5:$A$20000,$A100,INPUT_RITASE!$B$5:$B$20000,$B100,INPUT_RITASE!$C$5:$C$20000,$C100,INPUT_RITASE!$D$5:$D$20000,$D100))</f>
        <v/>
      </c>
      <c r="S100" s="158">
        <f>IF($Q100=0,0,$R100*$P100/$Q100)</f>
        <v/>
      </c>
    </row>
    <row r="101">
      <c r="A101" s="155" t="n">
        <v>46104</v>
      </c>
      <c r="B101" s="156" t="inlineStr">
        <is>
          <t>10-11</t>
        </is>
      </c>
      <c r="C101" s="156" t="inlineStr">
        <is>
          <t>EX-1252</t>
        </is>
      </c>
      <c r="D101" s="156" t="inlineStr">
        <is>
          <t>DT-507</t>
        </is>
      </c>
      <c r="E101" s="156" t="inlineStr">
        <is>
          <t>OB</t>
        </is>
      </c>
      <c r="F101" s="156" t="n">
        <v>4</v>
      </c>
      <c r="G101" s="156" t="inlineStr"/>
      <c r="H101" s="157">
        <f>IF($B101="","",IF(ISNA(MATCH($B101,MASTER_JAM!$Q$5:$Q$28,0)),"?",IF(MATCH($B101,MASTER_JAM!$Q$5:$Q$28,0)&lt;=12,"DS","NS")))</f>
        <v/>
      </c>
      <c r="I101" s="157">
        <f>IFERROR(INDEX(MASTER_JAM!$B$5:$B$94,MATCH($C101,MASTER_JAM!$A$5:$A$94,0)),"")</f>
        <v/>
      </c>
      <c r="J101" s="157">
        <f>IFERROR(INDEX(MASTER_JAM!$E$5:$E$94,MATCH($D101,MASTER_JAM!$A$5:$A$94,0)),"")</f>
        <v/>
      </c>
      <c r="K101" s="158">
        <f>IFERROR(INDEX(MASTER_JAM!$J$5:$O$12,MATCH($E101,MASTER_JAM!$I$5:$I$12,0),MATCH($J101,MASTER_JAM!$J$4:$O$4,0))+0,0)</f>
        <v/>
      </c>
      <c r="L101" s="159">
        <f>N($F101)*$K101</f>
        <v/>
      </c>
      <c r="M101" s="157">
        <f>IF($E101="","",IF(OR($E101="Coal",$E101="Dirty Coal"),"MT","BCM"))</f>
        <v/>
      </c>
      <c r="N101" s="157">
        <f>IF($E101="","",IF(OR($E101="Coal",$E101="Dirty Coal"),"Coal","OB"))</f>
        <v/>
      </c>
      <c r="O101" s="157">
        <f>IF($F101="","",IF(COUNTIF(MASTER_JAM!$A$5:$A$94,$C101)=0,"Digger tidak dikenal",IF($J101="","Hauler tidak dikenal",IF($H101="?","Jam salah",IF($K101=0,"Faktor kosong",IF(SUMIFS(INPUT_DELAY!$E$5:$E$20000,INPUT_DELAY!$A$5:$A$20000,$A101,INPUT_DELAY!$B$5:$B$20000,$B101,INPUT_DELAY!$C$5:$C$20000,$C101)+SUMIFS(INPUT_DELAY!$E$5:$E$20000,INPUT_DELAY!$A$5:$A$20000,$A101,INPUT_DELAY!$B$5:$B$20000,$B101,INPUT_DELAY!$C$5:$C$20000,"SEMUA")&gt;=60,"Delay 60 mnt tapi ada ritase","OK"))))))</f>
        <v/>
      </c>
      <c r="P101" s="158">
        <f>IFERROR(INDEX(MASTER_JAM!$Z$5:$AC$10,MATCH($I101,MASTER_JAM!$Y$5:$Y$10,0),MATCH($J101,MASTER_JAM!$Z$4:$AC$4,0))+0,0)</f>
        <v/>
      </c>
      <c r="Q101" s="158">
        <f>IF($P101=0,0,$P101+IFERROR(INDEX(MASTER_JAM!$H$5:$H$94,MATCH($C101,MASTER_JAM!$A$5:$A$94,0))+0,MASTER_JAM!$AC$15)/1000*(60/MASTER_JAM!$AC$12+60/MASTER_JAM!$AC$13)+MASTER_JAM!$AC$14)</f>
        <v/>
      </c>
      <c r="R101" s="158">
        <f>IF(N($F101)=0,0,$F101/SUMIFS(INPUT_RITASE!$F$5:$F$20000,INPUT_RITASE!$A$5:$A$20000,$A101,INPUT_RITASE!$B$5:$B$20000,$B101,INPUT_RITASE!$C$5:$C$20000,$C101,INPUT_RITASE!$D$5:$D$20000,$D101))</f>
        <v/>
      </c>
      <c r="S101" s="158">
        <f>IF($Q101=0,0,$R101*$P101/$Q101)</f>
        <v/>
      </c>
    </row>
    <row r="102">
      <c r="A102" s="155" t="n">
        <v>46104</v>
      </c>
      <c r="B102" s="156" t="inlineStr">
        <is>
          <t>10-11</t>
        </is>
      </c>
      <c r="C102" s="156" t="inlineStr">
        <is>
          <t>EX-1252</t>
        </is>
      </c>
      <c r="D102" s="156" t="inlineStr">
        <is>
          <t>DT-524</t>
        </is>
      </c>
      <c r="E102" s="156" t="inlineStr">
        <is>
          <t>OB</t>
        </is>
      </c>
      <c r="F102" s="156" t="n">
        <v>3</v>
      </c>
      <c r="G102" s="156" t="inlineStr"/>
      <c r="H102" s="157">
        <f>IF($B102="","",IF(ISNA(MATCH($B102,MASTER_JAM!$Q$5:$Q$28,0)),"?",IF(MATCH($B102,MASTER_JAM!$Q$5:$Q$28,0)&lt;=12,"DS","NS")))</f>
        <v/>
      </c>
      <c r="I102" s="157">
        <f>IFERROR(INDEX(MASTER_JAM!$B$5:$B$94,MATCH($C102,MASTER_JAM!$A$5:$A$94,0)),"")</f>
        <v/>
      </c>
      <c r="J102" s="157">
        <f>IFERROR(INDEX(MASTER_JAM!$E$5:$E$94,MATCH($D102,MASTER_JAM!$A$5:$A$94,0)),"")</f>
        <v/>
      </c>
      <c r="K102" s="158">
        <f>IFERROR(INDEX(MASTER_JAM!$J$5:$O$12,MATCH($E102,MASTER_JAM!$I$5:$I$12,0),MATCH($J102,MASTER_JAM!$J$4:$O$4,0))+0,0)</f>
        <v/>
      </c>
      <c r="L102" s="159">
        <f>N($F102)*$K102</f>
        <v/>
      </c>
      <c r="M102" s="157">
        <f>IF($E102="","",IF(OR($E102="Coal",$E102="Dirty Coal"),"MT","BCM"))</f>
        <v/>
      </c>
      <c r="N102" s="157">
        <f>IF($E102="","",IF(OR($E102="Coal",$E102="Dirty Coal"),"Coal","OB"))</f>
        <v/>
      </c>
      <c r="O102" s="157">
        <f>IF($F102="","",IF(COUNTIF(MASTER_JAM!$A$5:$A$94,$C102)=0,"Digger tidak dikenal",IF($J102="","Hauler tidak dikenal",IF($H102="?","Jam salah",IF($K102=0,"Faktor kosong",IF(SUMIFS(INPUT_DELAY!$E$5:$E$20000,INPUT_DELAY!$A$5:$A$20000,$A102,INPUT_DELAY!$B$5:$B$20000,$B102,INPUT_DELAY!$C$5:$C$20000,$C102)+SUMIFS(INPUT_DELAY!$E$5:$E$20000,INPUT_DELAY!$A$5:$A$20000,$A102,INPUT_DELAY!$B$5:$B$20000,$B102,INPUT_DELAY!$C$5:$C$20000,"SEMUA")&gt;=60,"Delay 60 mnt tapi ada ritase","OK"))))))</f>
        <v/>
      </c>
      <c r="P102" s="158">
        <f>IFERROR(INDEX(MASTER_JAM!$Z$5:$AC$10,MATCH($I102,MASTER_JAM!$Y$5:$Y$10,0),MATCH($J102,MASTER_JAM!$Z$4:$AC$4,0))+0,0)</f>
        <v/>
      </c>
      <c r="Q102" s="158">
        <f>IF($P102=0,0,$P102+IFERROR(INDEX(MASTER_JAM!$H$5:$H$94,MATCH($C102,MASTER_JAM!$A$5:$A$94,0))+0,MASTER_JAM!$AC$15)/1000*(60/MASTER_JAM!$AC$12+60/MASTER_JAM!$AC$13)+MASTER_JAM!$AC$14)</f>
        <v/>
      </c>
      <c r="R102" s="158">
        <f>IF(N($F102)=0,0,$F102/SUMIFS(INPUT_RITASE!$F$5:$F$20000,INPUT_RITASE!$A$5:$A$20000,$A102,INPUT_RITASE!$B$5:$B$20000,$B102,INPUT_RITASE!$C$5:$C$20000,$C102,INPUT_RITASE!$D$5:$D$20000,$D102))</f>
        <v/>
      </c>
      <c r="S102" s="158">
        <f>IF($Q102=0,0,$R102*$P102/$Q102)</f>
        <v/>
      </c>
    </row>
    <row r="103">
      <c r="A103" s="155" t="n">
        <v>46104</v>
      </c>
      <c r="B103" s="156" t="inlineStr">
        <is>
          <t>10-11</t>
        </is>
      </c>
      <c r="C103" s="156" t="inlineStr">
        <is>
          <t>EX-1252</t>
        </is>
      </c>
      <c r="D103" s="156" t="inlineStr">
        <is>
          <t>DT-505</t>
        </is>
      </c>
      <c r="E103" s="156" t="inlineStr">
        <is>
          <t>OB</t>
        </is>
      </c>
      <c r="F103" s="156" t="n">
        <v>3</v>
      </c>
      <c r="G103" s="156" t="inlineStr"/>
      <c r="H103" s="157">
        <f>IF($B103="","",IF(ISNA(MATCH($B103,MASTER_JAM!$Q$5:$Q$28,0)),"?",IF(MATCH($B103,MASTER_JAM!$Q$5:$Q$28,0)&lt;=12,"DS","NS")))</f>
        <v/>
      </c>
      <c r="I103" s="157">
        <f>IFERROR(INDEX(MASTER_JAM!$B$5:$B$94,MATCH($C103,MASTER_JAM!$A$5:$A$94,0)),"")</f>
        <v/>
      </c>
      <c r="J103" s="157">
        <f>IFERROR(INDEX(MASTER_JAM!$E$5:$E$94,MATCH($D103,MASTER_JAM!$A$5:$A$94,0)),"")</f>
        <v/>
      </c>
      <c r="K103" s="158">
        <f>IFERROR(INDEX(MASTER_JAM!$J$5:$O$12,MATCH($E103,MASTER_JAM!$I$5:$I$12,0),MATCH($J103,MASTER_JAM!$J$4:$O$4,0))+0,0)</f>
        <v/>
      </c>
      <c r="L103" s="159">
        <f>N($F103)*$K103</f>
        <v/>
      </c>
      <c r="M103" s="157">
        <f>IF($E103="","",IF(OR($E103="Coal",$E103="Dirty Coal"),"MT","BCM"))</f>
        <v/>
      </c>
      <c r="N103" s="157">
        <f>IF($E103="","",IF(OR($E103="Coal",$E103="Dirty Coal"),"Coal","OB"))</f>
        <v/>
      </c>
      <c r="O103" s="157">
        <f>IF($F103="","",IF(COUNTIF(MASTER_JAM!$A$5:$A$94,$C103)=0,"Digger tidak dikenal",IF($J103="","Hauler tidak dikenal",IF($H103="?","Jam salah",IF($K103=0,"Faktor kosong",IF(SUMIFS(INPUT_DELAY!$E$5:$E$20000,INPUT_DELAY!$A$5:$A$20000,$A103,INPUT_DELAY!$B$5:$B$20000,$B103,INPUT_DELAY!$C$5:$C$20000,$C103)+SUMIFS(INPUT_DELAY!$E$5:$E$20000,INPUT_DELAY!$A$5:$A$20000,$A103,INPUT_DELAY!$B$5:$B$20000,$B103,INPUT_DELAY!$C$5:$C$20000,"SEMUA")&gt;=60,"Delay 60 mnt tapi ada ritase","OK"))))))</f>
        <v/>
      </c>
      <c r="P103" s="158">
        <f>IFERROR(INDEX(MASTER_JAM!$Z$5:$AC$10,MATCH($I103,MASTER_JAM!$Y$5:$Y$10,0),MATCH($J103,MASTER_JAM!$Z$4:$AC$4,0))+0,0)</f>
        <v/>
      </c>
      <c r="Q103" s="158">
        <f>IF($P103=0,0,$P103+IFERROR(INDEX(MASTER_JAM!$H$5:$H$94,MATCH($C103,MASTER_JAM!$A$5:$A$94,0))+0,MASTER_JAM!$AC$15)/1000*(60/MASTER_JAM!$AC$12+60/MASTER_JAM!$AC$13)+MASTER_JAM!$AC$14)</f>
        <v/>
      </c>
      <c r="R103" s="158">
        <f>IF(N($F103)=0,0,$F103/SUMIFS(INPUT_RITASE!$F$5:$F$20000,INPUT_RITASE!$A$5:$A$20000,$A103,INPUT_RITASE!$B$5:$B$20000,$B103,INPUT_RITASE!$C$5:$C$20000,$C103,INPUT_RITASE!$D$5:$D$20000,$D103))</f>
        <v/>
      </c>
      <c r="S103" s="158">
        <f>IF($Q103=0,0,$R103*$P103/$Q103)</f>
        <v/>
      </c>
    </row>
    <row r="104">
      <c r="A104" s="155" t="n">
        <v>46104</v>
      </c>
      <c r="B104" s="156" t="inlineStr">
        <is>
          <t>10-11</t>
        </is>
      </c>
      <c r="C104" s="156" t="inlineStr">
        <is>
          <t>EX-1252</t>
        </is>
      </c>
      <c r="D104" s="156" t="inlineStr">
        <is>
          <t>DT-503</t>
        </is>
      </c>
      <c r="E104" s="156" t="inlineStr">
        <is>
          <t>OB</t>
        </is>
      </c>
      <c r="F104" s="156" t="n">
        <v>3</v>
      </c>
      <c r="G104" s="156" t="inlineStr"/>
      <c r="H104" s="157">
        <f>IF($B104="","",IF(ISNA(MATCH($B104,MASTER_JAM!$Q$5:$Q$28,0)),"?",IF(MATCH($B104,MASTER_JAM!$Q$5:$Q$28,0)&lt;=12,"DS","NS")))</f>
        <v/>
      </c>
      <c r="I104" s="157">
        <f>IFERROR(INDEX(MASTER_JAM!$B$5:$B$94,MATCH($C104,MASTER_JAM!$A$5:$A$94,0)),"")</f>
        <v/>
      </c>
      <c r="J104" s="157">
        <f>IFERROR(INDEX(MASTER_JAM!$E$5:$E$94,MATCH($D104,MASTER_JAM!$A$5:$A$94,0)),"")</f>
        <v/>
      </c>
      <c r="K104" s="158">
        <f>IFERROR(INDEX(MASTER_JAM!$J$5:$O$12,MATCH($E104,MASTER_JAM!$I$5:$I$12,0),MATCH($J104,MASTER_JAM!$J$4:$O$4,0))+0,0)</f>
        <v/>
      </c>
      <c r="L104" s="159">
        <f>N($F104)*$K104</f>
        <v/>
      </c>
      <c r="M104" s="157">
        <f>IF($E104="","",IF(OR($E104="Coal",$E104="Dirty Coal"),"MT","BCM"))</f>
        <v/>
      </c>
      <c r="N104" s="157">
        <f>IF($E104="","",IF(OR($E104="Coal",$E104="Dirty Coal"),"Coal","OB"))</f>
        <v/>
      </c>
      <c r="O104" s="157">
        <f>IF($F104="","",IF(COUNTIF(MASTER_JAM!$A$5:$A$94,$C104)=0,"Digger tidak dikenal",IF($J104="","Hauler tidak dikenal",IF($H104="?","Jam salah",IF($K104=0,"Faktor kosong",IF(SUMIFS(INPUT_DELAY!$E$5:$E$20000,INPUT_DELAY!$A$5:$A$20000,$A104,INPUT_DELAY!$B$5:$B$20000,$B104,INPUT_DELAY!$C$5:$C$20000,$C104)+SUMIFS(INPUT_DELAY!$E$5:$E$20000,INPUT_DELAY!$A$5:$A$20000,$A104,INPUT_DELAY!$B$5:$B$20000,$B104,INPUT_DELAY!$C$5:$C$20000,"SEMUA")&gt;=60,"Delay 60 mnt tapi ada ritase","OK"))))))</f>
        <v/>
      </c>
      <c r="P104" s="158">
        <f>IFERROR(INDEX(MASTER_JAM!$Z$5:$AC$10,MATCH($I104,MASTER_JAM!$Y$5:$Y$10,0),MATCH($J104,MASTER_JAM!$Z$4:$AC$4,0))+0,0)</f>
        <v/>
      </c>
      <c r="Q104" s="158">
        <f>IF($P104=0,0,$P104+IFERROR(INDEX(MASTER_JAM!$H$5:$H$94,MATCH($C104,MASTER_JAM!$A$5:$A$94,0))+0,MASTER_JAM!$AC$15)/1000*(60/MASTER_JAM!$AC$12+60/MASTER_JAM!$AC$13)+MASTER_JAM!$AC$14)</f>
        <v/>
      </c>
      <c r="R104" s="158">
        <f>IF(N($F104)=0,0,$F104/SUMIFS(INPUT_RITASE!$F$5:$F$20000,INPUT_RITASE!$A$5:$A$20000,$A104,INPUT_RITASE!$B$5:$B$20000,$B104,INPUT_RITASE!$C$5:$C$20000,$C104,INPUT_RITASE!$D$5:$D$20000,$D104))</f>
        <v/>
      </c>
      <c r="S104" s="158">
        <f>IF($Q104=0,0,$R104*$P104/$Q104)</f>
        <v/>
      </c>
    </row>
    <row r="105">
      <c r="A105" s="155" t="n">
        <v>46104</v>
      </c>
      <c r="B105" s="156" t="inlineStr">
        <is>
          <t>11-12</t>
        </is>
      </c>
      <c r="C105" s="156" t="inlineStr">
        <is>
          <t>EX-1252</t>
        </is>
      </c>
      <c r="D105" s="156" t="inlineStr">
        <is>
          <t>DT-504</t>
        </is>
      </c>
      <c r="E105" s="156" t="inlineStr">
        <is>
          <t>OB</t>
        </is>
      </c>
      <c r="F105" s="156" t="n">
        <v>4</v>
      </c>
      <c r="G105" s="156" t="inlineStr"/>
      <c r="H105" s="157">
        <f>IF($B105="","",IF(ISNA(MATCH($B105,MASTER_JAM!$Q$5:$Q$28,0)),"?",IF(MATCH($B105,MASTER_JAM!$Q$5:$Q$28,0)&lt;=12,"DS","NS")))</f>
        <v/>
      </c>
      <c r="I105" s="157">
        <f>IFERROR(INDEX(MASTER_JAM!$B$5:$B$94,MATCH($C105,MASTER_JAM!$A$5:$A$94,0)),"")</f>
        <v/>
      </c>
      <c r="J105" s="157">
        <f>IFERROR(INDEX(MASTER_JAM!$E$5:$E$94,MATCH($D105,MASTER_JAM!$A$5:$A$94,0)),"")</f>
        <v/>
      </c>
      <c r="K105" s="158">
        <f>IFERROR(INDEX(MASTER_JAM!$J$5:$O$12,MATCH($E105,MASTER_JAM!$I$5:$I$12,0),MATCH($J105,MASTER_JAM!$J$4:$O$4,0))+0,0)</f>
        <v/>
      </c>
      <c r="L105" s="159">
        <f>N($F105)*$K105</f>
        <v/>
      </c>
      <c r="M105" s="157">
        <f>IF($E105="","",IF(OR($E105="Coal",$E105="Dirty Coal"),"MT","BCM"))</f>
        <v/>
      </c>
      <c r="N105" s="157">
        <f>IF($E105="","",IF(OR($E105="Coal",$E105="Dirty Coal"),"Coal","OB"))</f>
        <v/>
      </c>
      <c r="O105" s="157">
        <f>IF($F105="","",IF(COUNTIF(MASTER_JAM!$A$5:$A$94,$C105)=0,"Digger tidak dikenal",IF($J105="","Hauler tidak dikenal",IF($H105="?","Jam salah",IF($K105=0,"Faktor kosong",IF(SUMIFS(INPUT_DELAY!$E$5:$E$20000,INPUT_DELAY!$A$5:$A$20000,$A105,INPUT_DELAY!$B$5:$B$20000,$B105,INPUT_DELAY!$C$5:$C$20000,$C105)+SUMIFS(INPUT_DELAY!$E$5:$E$20000,INPUT_DELAY!$A$5:$A$20000,$A105,INPUT_DELAY!$B$5:$B$20000,$B105,INPUT_DELAY!$C$5:$C$20000,"SEMUA")&gt;=60,"Delay 60 mnt tapi ada ritase","OK"))))))</f>
        <v/>
      </c>
      <c r="P105" s="158">
        <f>IFERROR(INDEX(MASTER_JAM!$Z$5:$AC$10,MATCH($I105,MASTER_JAM!$Y$5:$Y$10,0),MATCH($J105,MASTER_JAM!$Z$4:$AC$4,0))+0,0)</f>
        <v/>
      </c>
      <c r="Q105" s="158">
        <f>IF($P105=0,0,$P105+IFERROR(INDEX(MASTER_JAM!$H$5:$H$94,MATCH($C105,MASTER_JAM!$A$5:$A$94,0))+0,MASTER_JAM!$AC$15)/1000*(60/MASTER_JAM!$AC$12+60/MASTER_JAM!$AC$13)+MASTER_JAM!$AC$14)</f>
        <v/>
      </c>
      <c r="R105" s="158">
        <f>IF(N($F105)=0,0,$F105/SUMIFS(INPUT_RITASE!$F$5:$F$20000,INPUT_RITASE!$A$5:$A$20000,$A105,INPUT_RITASE!$B$5:$B$20000,$B105,INPUT_RITASE!$C$5:$C$20000,$C105,INPUT_RITASE!$D$5:$D$20000,$D105))</f>
        <v/>
      </c>
      <c r="S105" s="158">
        <f>IF($Q105=0,0,$R105*$P105/$Q105)</f>
        <v/>
      </c>
    </row>
    <row r="106">
      <c r="A106" s="155" t="n">
        <v>46104</v>
      </c>
      <c r="B106" s="156" t="inlineStr">
        <is>
          <t>11-12</t>
        </is>
      </c>
      <c r="C106" s="156" t="inlineStr">
        <is>
          <t>EX-1252</t>
        </is>
      </c>
      <c r="D106" s="156" t="inlineStr">
        <is>
          <t>DT-513</t>
        </is>
      </c>
      <c r="E106" s="156" t="inlineStr">
        <is>
          <t>OB</t>
        </is>
      </c>
      <c r="F106" s="156" t="n">
        <v>4</v>
      </c>
      <c r="G106" s="156" t="inlineStr"/>
      <c r="H106" s="157">
        <f>IF($B106="","",IF(ISNA(MATCH($B106,MASTER_JAM!$Q$5:$Q$28,0)),"?",IF(MATCH($B106,MASTER_JAM!$Q$5:$Q$28,0)&lt;=12,"DS","NS")))</f>
        <v/>
      </c>
      <c r="I106" s="157">
        <f>IFERROR(INDEX(MASTER_JAM!$B$5:$B$94,MATCH($C106,MASTER_JAM!$A$5:$A$94,0)),"")</f>
        <v/>
      </c>
      <c r="J106" s="157">
        <f>IFERROR(INDEX(MASTER_JAM!$E$5:$E$94,MATCH($D106,MASTER_JAM!$A$5:$A$94,0)),"")</f>
        <v/>
      </c>
      <c r="K106" s="158">
        <f>IFERROR(INDEX(MASTER_JAM!$J$5:$O$12,MATCH($E106,MASTER_JAM!$I$5:$I$12,0),MATCH($J106,MASTER_JAM!$J$4:$O$4,0))+0,0)</f>
        <v/>
      </c>
      <c r="L106" s="159">
        <f>N($F106)*$K106</f>
        <v/>
      </c>
      <c r="M106" s="157">
        <f>IF($E106="","",IF(OR($E106="Coal",$E106="Dirty Coal"),"MT","BCM"))</f>
        <v/>
      </c>
      <c r="N106" s="157">
        <f>IF($E106="","",IF(OR($E106="Coal",$E106="Dirty Coal"),"Coal","OB"))</f>
        <v/>
      </c>
      <c r="O106" s="157">
        <f>IF($F106="","",IF(COUNTIF(MASTER_JAM!$A$5:$A$94,$C106)=0,"Digger tidak dikenal",IF($J106="","Hauler tidak dikenal",IF($H106="?","Jam salah",IF($K106=0,"Faktor kosong",IF(SUMIFS(INPUT_DELAY!$E$5:$E$20000,INPUT_DELAY!$A$5:$A$20000,$A106,INPUT_DELAY!$B$5:$B$20000,$B106,INPUT_DELAY!$C$5:$C$20000,$C106)+SUMIFS(INPUT_DELAY!$E$5:$E$20000,INPUT_DELAY!$A$5:$A$20000,$A106,INPUT_DELAY!$B$5:$B$20000,$B106,INPUT_DELAY!$C$5:$C$20000,"SEMUA")&gt;=60,"Delay 60 mnt tapi ada ritase","OK"))))))</f>
        <v/>
      </c>
      <c r="P106" s="158">
        <f>IFERROR(INDEX(MASTER_JAM!$Z$5:$AC$10,MATCH($I106,MASTER_JAM!$Y$5:$Y$10,0),MATCH($J106,MASTER_JAM!$Z$4:$AC$4,0))+0,0)</f>
        <v/>
      </c>
      <c r="Q106" s="158">
        <f>IF($P106=0,0,$P106+IFERROR(INDEX(MASTER_JAM!$H$5:$H$94,MATCH($C106,MASTER_JAM!$A$5:$A$94,0))+0,MASTER_JAM!$AC$15)/1000*(60/MASTER_JAM!$AC$12+60/MASTER_JAM!$AC$13)+MASTER_JAM!$AC$14)</f>
        <v/>
      </c>
      <c r="R106" s="158">
        <f>IF(N($F106)=0,0,$F106/SUMIFS(INPUT_RITASE!$F$5:$F$20000,INPUT_RITASE!$A$5:$A$20000,$A106,INPUT_RITASE!$B$5:$B$20000,$B106,INPUT_RITASE!$C$5:$C$20000,$C106,INPUT_RITASE!$D$5:$D$20000,$D106))</f>
        <v/>
      </c>
      <c r="S106" s="158">
        <f>IF($Q106=0,0,$R106*$P106/$Q106)</f>
        <v/>
      </c>
    </row>
    <row r="107">
      <c r="A107" s="155" t="n">
        <v>46104</v>
      </c>
      <c r="B107" s="156" t="inlineStr">
        <is>
          <t>11-12</t>
        </is>
      </c>
      <c r="C107" s="156" t="inlineStr">
        <is>
          <t>EX-1252</t>
        </is>
      </c>
      <c r="D107" s="156" t="inlineStr">
        <is>
          <t>DT-523</t>
        </is>
      </c>
      <c r="E107" s="156" t="inlineStr">
        <is>
          <t>OB</t>
        </is>
      </c>
      <c r="F107" s="156" t="n">
        <v>4</v>
      </c>
      <c r="G107" s="156" t="inlineStr"/>
      <c r="H107" s="157">
        <f>IF($B107="","",IF(ISNA(MATCH($B107,MASTER_JAM!$Q$5:$Q$28,0)),"?",IF(MATCH($B107,MASTER_JAM!$Q$5:$Q$28,0)&lt;=12,"DS","NS")))</f>
        <v/>
      </c>
      <c r="I107" s="157">
        <f>IFERROR(INDEX(MASTER_JAM!$B$5:$B$94,MATCH($C107,MASTER_JAM!$A$5:$A$94,0)),"")</f>
        <v/>
      </c>
      <c r="J107" s="157">
        <f>IFERROR(INDEX(MASTER_JAM!$E$5:$E$94,MATCH($D107,MASTER_JAM!$A$5:$A$94,0)),"")</f>
        <v/>
      </c>
      <c r="K107" s="158">
        <f>IFERROR(INDEX(MASTER_JAM!$J$5:$O$12,MATCH($E107,MASTER_JAM!$I$5:$I$12,0),MATCH($J107,MASTER_JAM!$J$4:$O$4,0))+0,0)</f>
        <v/>
      </c>
      <c r="L107" s="159">
        <f>N($F107)*$K107</f>
        <v/>
      </c>
      <c r="M107" s="157">
        <f>IF($E107="","",IF(OR($E107="Coal",$E107="Dirty Coal"),"MT","BCM"))</f>
        <v/>
      </c>
      <c r="N107" s="157">
        <f>IF($E107="","",IF(OR($E107="Coal",$E107="Dirty Coal"),"Coal","OB"))</f>
        <v/>
      </c>
      <c r="O107" s="157">
        <f>IF($F107="","",IF(COUNTIF(MASTER_JAM!$A$5:$A$94,$C107)=0,"Digger tidak dikenal",IF($J107="","Hauler tidak dikenal",IF($H107="?","Jam salah",IF($K107=0,"Faktor kosong",IF(SUMIFS(INPUT_DELAY!$E$5:$E$20000,INPUT_DELAY!$A$5:$A$20000,$A107,INPUT_DELAY!$B$5:$B$20000,$B107,INPUT_DELAY!$C$5:$C$20000,$C107)+SUMIFS(INPUT_DELAY!$E$5:$E$20000,INPUT_DELAY!$A$5:$A$20000,$A107,INPUT_DELAY!$B$5:$B$20000,$B107,INPUT_DELAY!$C$5:$C$20000,"SEMUA")&gt;=60,"Delay 60 mnt tapi ada ritase","OK"))))))</f>
        <v/>
      </c>
      <c r="P107" s="158">
        <f>IFERROR(INDEX(MASTER_JAM!$Z$5:$AC$10,MATCH($I107,MASTER_JAM!$Y$5:$Y$10,0),MATCH($J107,MASTER_JAM!$Z$4:$AC$4,0))+0,0)</f>
        <v/>
      </c>
      <c r="Q107" s="158">
        <f>IF($P107=0,0,$P107+IFERROR(INDEX(MASTER_JAM!$H$5:$H$94,MATCH($C107,MASTER_JAM!$A$5:$A$94,0))+0,MASTER_JAM!$AC$15)/1000*(60/MASTER_JAM!$AC$12+60/MASTER_JAM!$AC$13)+MASTER_JAM!$AC$14)</f>
        <v/>
      </c>
      <c r="R107" s="158">
        <f>IF(N($F107)=0,0,$F107/SUMIFS(INPUT_RITASE!$F$5:$F$20000,INPUT_RITASE!$A$5:$A$20000,$A107,INPUT_RITASE!$B$5:$B$20000,$B107,INPUT_RITASE!$C$5:$C$20000,$C107,INPUT_RITASE!$D$5:$D$20000,$D107))</f>
        <v/>
      </c>
      <c r="S107" s="158">
        <f>IF($Q107=0,0,$R107*$P107/$Q107)</f>
        <v/>
      </c>
    </row>
    <row r="108">
      <c r="A108" s="155" t="n">
        <v>46104</v>
      </c>
      <c r="B108" s="156" t="inlineStr">
        <is>
          <t>11-12</t>
        </is>
      </c>
      <c r="C108" s="156" t="inlineStr">
        <is>
          <t>EX-1252</t>
        </is>
      </c>
      <c r="D108" s="156" t="inlineStr">
        <is>
          <t>DT-524</t>
        </is>
      </c>
      <c r="E108" s="156" t="inlineStr">
        <is>
          <t>OB</t>
        </is>
      </c>
      <c r="F108" s="156" t="n">
        <v>3</v>
      </c>
      <c r="G108" s="156" t="inlineStr"/>
      <c r="H108" s="157">
        <f>IF($B108="","",IF(ISNA(MATCH($B108,MASTER_JAM!$Q$5:$Q$28,0)),"?",IF(MATCH($B108,MASTER_JAM!$Q$5:$Q$28,0)&lt;=12,"DS","NS")))</f>
        <v/>
      </c>
      <c r="I108" s="157">
        <f>IFERROR(INDEX(MASTER_JAM!$B$5:$B$94,MATCH($C108,MASTER_JAM!$A$5:$A$94,0)),"")</f>
        <v/>
      </c>
      <c r="J108" s="157">
        <f>IFERROR(INDEX(MASTER_JAM!$E$5:$E$94,MATCH($D108,MASTER_JAM!$A$5:$A$94,0)),"")</f>
        <v/>
      </c>
      <c r="K108" s="158">
        <f>IFERROR(INDEX(MASTER_JAM!$J$5:$O$12,MATCH($E108,MASTER_JAM!$I$5:$I$12,0),MATCH($J108,MASTER_JAM!$J$4:$O$4,0))+0,0)</f>
        <v/>
      </c>
      <c r="L108" s="159">
        <f>N($F108)*$K108</f>
        <v/>
      </c>
      <c r="M108" s="157">
        <f>IF($E108="","",IF(OR($E108="Coal",$E108="Dirty Coal"),"MT","BCM"))</f>
        <v/>
      </c>
      <c r="N108" s="157">
        <f>IF($E108="","",IF(OR($E108="Coal",$E108="Dirty Coal"),"Coal","OB"))</f>
        <v/>
      </c>
      <c r="O108" s="157">
        <f>IF($F108="","",IF(COUNTIF(MASTER_JAM!$A$5:$A$94,$C108)=0,"Digger tidak dikenal",IF($J108="","Hauler tidak dikenal",IF($H108="?","Jam salah",IF($K108=0,"Faktor kosong",IF(SUMIFS(INPUT_DELAY!$E$5:$E$20000,INPUT_DELAY!$A$5:$A$20000,$A108,INPUT_DELAY!$B$5:$B$20000,$B108,INPUT_DELAY!$C$5:$C$20000,$C108)+SUMIFS(INPUT_DELAY!$E$5:$E$20000,INPUT_DELAY!$A$5:$A$20000,$A108,INPUT_DELAY!$B$5:$B$20000,$B108,INPUT_DELAY!$C$5:$C$20000,"SEMUA")&gt;=60,"Delay 60 mnt tapi ada ritase","OK"))))))</f>
        <v/>
      </c>
      <c r="P108" s="158">
        <f>IFERROR(INDEX(MASTER_JAM!$Z$5:$AC$10,MATCH($I108,MASTER_JAM!$Y$5:$Y$10,0),MATCH($J108,MASTER_JAM!$Z$4:$AC$4,0))+0,0)</f>
        <v/>
      </c>
      <c r="Q108" s="158">
        <f>IF($P108=0,0,$P108+IFERROR(INDEX(MASTER_JAM!$H$5:$H$94,MATCH($C108,MASTER_JAM!$A$5:$A$94,0))+0,MASTER_JAM!$AC$15)/1000*(60/MASTER_JAM!$AC$12+60/MASTER_JAM!$AC$13)+MASTER_JAM!$AC$14)</f>
        <v/>
      </c>
      <c r="R108" s="158">
        <f>IF(N($F108)=0,0,$F108/SUMIFS(INPUT_RITASE!$F$5:$F$20000,INPUT_RITASE!$A$5:$A$20000,$A108,INPUT_RITASE!$B$5:$B$20000,$B108,INPUT_RITASE!$C$5:$C$20000,$C108,INPUT_RITASE!$D$5:$D$20000,$D108))</f>
        <v/>
      </c>
      <c r="S108" s="158">
        <f>IF($Q108=0,0,$R108*$P108/$Q108)</f>
        <v/>
      </c>
    </row>
    <row r="109">
      <c r="A109" s="155" t="n">
        <v>46104</v>
      </c>
      <c r="B109" s="156" t="inlineStr">
        <is>
          <t>11-12</t>
        </is>
      </c>
      <c r="C109" s="156" t="inlineStr">
        <is>
          <t>EX-1252</t>
        </is>
      </c>
      <c r="D109" s="156" t="inlineStr">
        <is>
          <t>DT-521</t>
        </is>
      </c>
      <c r="E109" s="156" t="inlineStr">
        <is>
          <t>OB</t>
        </is>
      </c>
      <c r="F109" s="156" t="n">
        <v>3</v>
      </c>
      <c r="G109" s="156" t="inlineStr"/>
      <c r="H109" s="157">
        <f>IF($B109="","",IF(ISNA(MATCH($B109,MASTER_JAM!$Q$5:$Q$28,0)),"?",IF(MATCH($B109,MASTER_JAM!$Q$5:$Q$28,0)&lt;=12,"DS","NS")))</f>
        <v/>
      </c>
      <c r="I109" s="157">
        <f>IFERROR(INDEX(MASTER_JAM!$B$5:$B$94,MATCH($C109,MASTER_JAM!$A$5:$A$94,0)),"")</f>
        <v/>
      </c>
      <c r="J109" s="157">
        <f>IFERROR(INDEX(MASTER_JAM!$E$5:$E$94,MATCH($D109,MASTER_JAM!$A$5:$A$94,0)),"")</f>
        <v/>
      </c>
      <c r="K109" s="158">
        <f>IFERROR(INDEX(MASTER_JAM!$J$5:$O$12,MATCH($E109,MASTER_JAM!$I$5:$I$12,0),MATCH($J109,MASTER_JAM!$J$4:$O$4,0))+0,0)</f>
        <v/>
      </c>
      <c r="L109" s="159">
        <f>N($F109)*$K109</f>
        <v/>
      </c>
      <c r="M109" s="157">
        <f>IF($E109="","",IF(OR($E109="Coal",$E109="Dirty Coal"),"MT","BCM"))</f>
        <v/>
      </c>
      <c r="N109" s="157">
        <f>IF($E109="","",IF(OR($E109="Coal",$E109="Dirty Coal"),"Coal","OB"))</f>
        <v/>
      </c>
      <c r="O109" s="157">
        <f>IF($F109="","",IF(COUNTIF(MASTER_JAM!$A$5:$A$94,$C109)=0,"Digger tidak dikenal",IF($J109="","Hauler tidak dikenal",IF($H109="?","Jam salah",IF($K109=0,"Faktor kosong",IF(SUMIFS(INPUT_DELAY!$E$5:$E$20000,INPUT_DELAY!$A$5:$A$20000,$A109,INPUT_DELAY!$B$5:$B$20000,$B109,INPUT_DELAY!$C$5:$C$20000,$C109)+SUMIFS(INPUT_DELAY!$E$5:$E$20000,INPUT_DELAY!$A$5:$A$20000,$A109,INPUT_DELAY!$B$5:$B$20000,$B109,INPUT_DELAY!$C$5:$C$20000,"SEMUA")&gt;=60,"Delay 60 mnt tapi ada ritase","OK"))))))</f>
        <v/>
      </c>
      <c r="P109" s="158">
        <f>IFERROR(INDEX(MASTER_JAM!$Z$5:$AC$10,MATCH($I109,MASTER_JAM!$Y$5:$Y$10,0),MATCH($J109,MASTER_JAM!$Z$4:$AC$4,0))+0,0)</f>
        <v/>
      </c>
      <c r="Q109" s="158">
        <f>IF($P109=0,0,$P109+IFERROR(INDEX(MASTER_JAM!$H$5:$H$94,MATCH($C109,MASTER_JAM!$A$5:$A$94,0))+0,MASTER_JAM!$AC$15)/1000*(60/MASTER_JAM!$AC$12+60/MASTER_JAM!$AC$13)+MASTER_JAM!$AC$14)</f>
        <v/>
      </c>
      <c r="R109" s="158">
        <f>IF(N($F109)=0,0,$F109/SUMIFS(INPUT_RITASE!$F$5:$F$20000,INPUT_RITASE!$A$5:$A$20000,$A109,INPUT_RITASE!$B$5:$B$20000,$B109,INPUT_RITASE!$C$5:$C$20000,$C109,INPUT_RITASE!$D$5:$D$20000,$D109))</f>
        <v/>
      </c>
      <c r="S109" s="158">
        <f>IF($Q109=0,0,$R109*$P109/$Q109)</f>
        <v/>
      </c>
    </row>
    <row r="110">
      <c r="A110" s="155" t="n">
        <v>46104</v>
      </c>
      <c r="B110" s="156" t="inlineStr">
        <is>
          <t>11-12</t>
        </is>
      </c>
      <c r="C110" s="156" t="inlineStr">
        <is>
          <t>EX-1252</t>
        </is>
      </c>
      <c r="D110" s="156" t="inlineStr">
        <is>
          <t>DT-515</t>
        </is>
      </c>
      <c r="E110" s="156" t="inlineStr">
        <is>
          <t>OB</t>
        </is>
      </c>
      <c r="F110" s="156" t="n">
        <v>3</v>
      </c>
      <c r="G110" s="156" t="inlineStr"/>
      <c r="H110" s="157">
        <f>IF($B110="","",IF(ISNA(MATCH($B110,MASTER_JAM!$Q$5:$Q$28,0)),"?",IF(MATCH($B110,MASTER_JAM!$Q$5:$Q$28,0)&lt;=12,"DS","NS")))</f>
        <v/>
      </c>
      <c r="I110" s="157">
        <f>IFERROR(INDEX(MASTER_JAM!$B$5:$B$94,MATCH($C110,MASTER_JAM!$A$5:$A$94,0)),"")</f>
        <v/>
      </c>
      <c r="J110" s="157">
        <f>IFERROR(INDEX(MASTER_JAM!$E$5:$E$94,MATCH($D110,MASTER_JAM!$A$5:$A$94,0)),"")</f>
        <v/>
      </c>
      <c r="K110" s="158">
        <f>IFERROR(INDEX(MASTER_JAM!$J$5:$O$12,MATCH($E110,MASTER_JAM!$I$5:$I$12,0),MATCH($J110,MASTER_JAM!$J$4:$O$4,0))+0,0)</f>
        <v/>
      </c>
      <c r="L110" s="159">
        <f>N($F110)*$K110</f>
        <v/>
      </c>
      <c r="M110" s="157">
        <f>IF($E110="","",IF(OR($E110="Coal",$E110="Dirty Coal"),"MT","BCM"))</f>
        <v/>
      </c>
      <c r="N110" s="157">
        <f>IF($E110="","",IF(OR($E110="Coal",$E110="Dirty Coal"),"Coal","OB"))</f>
        <v/>
      </c>
      <c r="O110" s="157">
        <f>IF($F110="","",IF(COUNTIF(MASTER_JAM!$A$5:$A$94,$C110)=0,"Digger tidak dikenal",IF($J110="","Hauler tidak dikenal",IF($H110="?","Jam salah",IF($K110=0,"Faktor kosong",IF(SUMIFS(INPUT_DELAY!$E$5:$E$20000,INPUT_DELAY!$A$5:$A$20000,$A110,INPUT_DELAY!$B$5:$B$20000,$B110,INPUT_DELAY!$C$5:$C$20000,$C110)+SUMIFS(INPUT_DELAY!$E$5:$E$20000,INPUT_DELAY!$A$5:$A$20000,$A110,INPUT_DELAY!$B$5:$B$20000,$B110,INPUT_DELAY!$C$5:$C$20000,"SEMUA")&gt;=60,"Delay 60 mnt tapi ada ritase","OK"))))))</f>
        <v/>
      </c>
      <c r="P110" s="158">
        <f>IFERROR(INDEX(MASTER_JAM!$Z$5:$AC$10,MATCH($I110,MASTER_JAM!$Y$5:$Y$10,0),MATCH($J110,MASTER_JAM!$Z$4:$AC$4,0))+0,0)</f>
        <v/>
      </c>
      <c r="Q110" s="158">
        <f>IF($P110=0,0,$P110+IFERROR(INDEX(MASTER_JAM!$H$5:$H$94,MATCH($C110,MASTER_JAM!$A$5:$A$94,0))+0,MASTER_JAM!$AC$15)/1000*(60/MASTER_JAM!$AC$12+60/MASTER_JAM!$AC$13)+MASTER_JAM!$AC$14)</f>
        <v/>
      </c>
      <c r="R110" s="158">
        <f>IF(N($F110)=0,0,$F110/SUMIFS(INPUT_RITASE!$F$5:$F$20000,INPUT_RITASE!$A$5:$A$20000,$A110,INPUT_RITASE!$B$5:$B$20000,$B110,INPUT_RITASE!$C$5:$C$20000,$C110,INPUT_RITASE!$D$5:$D$20000,$D110))</f>
        <v/>
      </c>
      <c r="S110" s="158">
        <f>IF($Q110=0,0,$R110*$P110/$Q110)</f>
        <v/>
      </c>
    </row>
    <row r="111">
      <c r="A111" s="155" t="n">
        <v>46104</v>
      </c>
      <c r="B111" s="156" t="inlineStr">
        <is>
          <t>13-14</t>
        </is>
      </c>
      <c r="C111" s="156" t="inlineStr">
        <is>
          <t>EX-1252</t>
        </is>
      </c>
      <c r="D111" s="156" t="inlineStr">
        <is>
          <t>DT-513</t>
        </is>
      </c>
      <c r="E111" s="156" t="inlineStr">
        <is>
          <t>OB</t>
        </is>
      </c>
      <c r="F111" s="156" t="n">
        <v>4</v>
      </c>
      <c r="G111" s="156" t="inlineStr"/>
      <c r="H111" s="157">
        <f>IF($B111="","",IF(ISNA(MATCH($B111,MASTER_JAM!$Q$5:$Q$28,0)),"?",IF(MATCH($B111,MASTER_JAM!$Q$5:$Q$28,0)&lt;=12,"DS","NS")))</f>
        <v/>
      </c>
      <c r="I111" s="157">
        <f>IFERROR(INDEX(MASTER_JAM!$B$5:$B$94,MATCH($C111,MASTER_JAM!$A$5:$A$94,0)),"")</f>
        <v/>
      </c>
      <c r="J111" s="157">
        <f>IFERROR(INDEX(MASTER_JAM!$E$5:$E$94,MATCH($D111,MASTER_JAM!$A$5:$A$94,0)),"")</f>
        <v/>
      </c>
      <c r="K111" s="158">
        <f>IFERROR(INDEX(MASTER_JAM!$J$5:$O$12,MATCH($E111,MASTER_JAM!$I$5:$I$12,0),MATCH($J111,MASTER_JAM!$J$4:$O$4,0))+0,0)</f>
        <v/>
      </c>
      <c r="L111" s="159">
        <f>N($F111)*$K111</f>
        <v/>
      </c>
      <c r="M111" s="157">
        <f>IF($E111="","",IF(OR($E111="Coal",$E111="Dirty Coal"),"MT","BCM"))</f>
        <v/>
      </c>
      <c r="N111" s="157">
        <f>IF($E111="","",IF(OR($E111="Coal",$E111="Dirty Coal"),"Coal","OB"))</f>
        <v/>
      </c>
      <c r="O111" s="157">
        <f>IF($F111="","",IF(COUNTIF(MASTER_JAM!$A$5:$A$94,$C111)=0,"Digger tidak dikenal",IF($J111="","Hauler tidak dikenal",IF($H111="?","Jam salah",IF($K111=0,"Faktor kosong",IF(SUMIFS(INPUT_DELAY!$E$5:$E$20000,INPUT_DELAY!$A$5:$A$20000,$A111,INPUT_DELAY!$B$5:$B$20000,$B111,INPUT_DELAY!$C$5:$C$20000,$C111)+SUMIFS(INPUT_DELAY!$E$5:$E$20000,INPUT_DELAY!$A$5:$A$20000,$A111,INPUT_DELAY!$B$5:$B$20000,$B111,INPUT_DELAY!$C$5:$C$20000,"SEMUA")&gt;=60,"Delay 60 mnt tapi ada ritase","OK"))))))</f>
        <v/>
      </c>
      <c r="P111" s="158">
        <f>IFERROR(INDEX(MASTER_JAM!$Z$5:$AC$10,MATCH($I111,MASTER_JAM!$Y$5:$Y$10,0),MATCH($J111,MASTER_JAM!$Z$4:$AC$4,0))+0,0)</f>
        <v/>
      </c>
      <c r="Q111" s="158">
        <f>IF($P111=0,0,$P111+IFERROR(INDEX(MASTER_JAM!$H$5:$H$94,MATCH($C111,MASTER_JAM!$A$5:$A$94,0))+0,MASTER_JAM!$AC$15)/1000*(60/MASTER_JAM!$AC$12+60/MASTER_JAM!$AC$13)+MASTER_JAM!$AC$14)</f>
        <v/>
      </c>
      <c r="R111" s="158">
        <f>IF(N($F111)=0,0,$F111/SUMIFS(INPUT_RITASE!$F$5:$F$20000,INPUT_RITASE!$A$5:$A$20000,$A111,INPUT_RITASE!$B$5:$B$20000,$B111,INPUT_RITASE!$C$5:$C$20000,$C111,INPUT_RITASE!$D$5:$D$20000,$D111))</f>
        <v/>
      </c>
      <c r="S111" s="158">
        <f>IF($Q111=0,0,$R111*$P111/$Q111)</f>
        <v/>
      </c>
    </row>
    <row r="112">
      <c r="A112" s="155" t="n">
        <v>46104</v>
      </c>
      <c r="B112" s="156" t="inlineStr">
        <is>
          <t>13-14</t>
        </is>
      </c>
      <c r="C112" s="156" t="inlineStr">
        <is>
          <t>EX-1252</t>
        </is>
      </c>
      <c r="D112" s="156" t="inlineStr">
        <is>
          <t>DT-528</t>
        </is>
      </c>
      <c r="E112" s="156" t="inlineStr">
        <is>
          <t>OB</t>
        </is>
      </c>
      <c r="F112" s="156" t="n">
        <v>4</v>
      </c>
      <c r="G112" s="156" t="inlineStr"/>
      <c r="H112" s="157">
        <f>IF($B112="","",IF(ISNA(MATCH($B112,MASTER_JAM!$Q$5:$Q$28,0)),"?",IF(MATCH($B112,MASTER_JAM!$Q$5:$Q$28,0)&lt;=12,"DS","NS")))</f>
        <v/>
      </c>
      <c r="I112" s="157">
        <f>IFERROR(INDEX(MASTER_JAM!$B$5:$B$94,MATCH($C112,MASTER_JAM!$A$5:$A$94,0)),"")</f>
        <v/>
      </c>
      <c r="J112" s="157">
        <f>IFERROR(INDEX(MASTER_JAM!$E$5:$E$94,MATCH($D112,MASTER_JAM!$A$5:$A$94,0)),"")</f>
        <v/>
      </c>
      <c r="K112" s="158">
        <f>IFERROR(INDEX(MASTER_JAM!$J$5:$O$12,MATCH($E112,MASTER_JAM!$I$5:$I$12,0),MATCH($J112,MASTER_JAM!$J$4:$O$4,0))+0,0)</f>
        <v/>
      </c>
      <c r="L112" s="159">
        <f>N($F112)*$K112</f>
        <v/>
      </c>
      <c r="M112" s="157">
        <f>IF($E112="","",IF(OR($E112="Coal",$E112="Dirty Coal"),"MT","BCM"))</f>
        <v/>
      </c>
      <c r="N112" s="157">
        <f>IF($E112="","",IF(OR($E112="Coal",$E112="Dirty Coal"),"Coal","OB"))</f>
        <v/>
      </c>
      <c r="O112" s="157">
        <f>IF($F112="","",IF(COUNTIF(MASTER_JAM!$A$5:$A$94,$C112)=0,"Digger tidak dikenal",IF($J112="","Hauler tidak dikenal",IF($H112="?","Jam salah",IF($K112=0,"Faktor kosong",IF(SUMIFS(INPUT_DELAY!$E$5:$E$20000,INPUT_DELAY!$A$5:$A$20000,$A112,INPUT_DELAY!$B$5:$B$20000,$B112,INPUT_DELAY!$C$5:$C$20000,$C112)+SUMIFS(INPUT_DELAY!$E$5:$E$20000,INPUT_DELAY!$A$5:$A$20000,$A112,INPUT_DELAY!$B$5:$B$20000,$B112,INPUT_DELAY!$C$5:$C$20000,"SEMUA")&gt;=60,"Delay 60 mnt tapi ada ritase","OK"))))))</f>
        <v/>
      </c>
      <c r="P112" s="158">
        <f>IFERROR(INDEX(MASTER_JAM!$Z$5:$AC$10,MATCH($I112,MASTER_JAM!$Y$5:$Y$10,0),MATCH($J112,MASTER_JAM!$Z$4:$AC$4,0))+0,0)</f>
        <v/>
      </c>
      <c r="Q112" s="158">
        <f>IF($P112=0,0,$P112+IFERROR(INDEX(MASTER_JAM!$H$5:$H$94,MATCH($C112,MASTER_JAM!$A$5:$A$94,0))+0,MASTER_JAM!$AC$15)/1000*(60/MASTER_JAM!$AC$12+60/MASTER_JAM!$AC$13)+MASTER_JAM!$AC$14)</f>
        <v/>
      </c>
      <c r="R112" s="158">
        <f>IF(N($F112)=0,0,$F112/SUMIFS(INPUT_RITASE!$F$5:$F$20000,INPUT_RITASE!$A$5:$A$20000,$A112,INPUT_RITASE!$B$5:$B$20000,$B112,INPUT_RITASE!$C$5:$C$20000,$C112,INPUT_RITASE!$D$5:$D$20000,$D112))</f>
        <v/>
      </c>
      <c r="S112" s="158">
        <f>IF($Q112=0,0,$R112*$P112/$Q112)</f>
        <v/>
      </c>
    </row>
    <row r="113">
      <c r="A113" s="155" t="n">
        <v>46104</v>
      </c>
      <c r="B113" s="156" t="inlineStr">
        <is>
          <t>13-14</t>
        </is>
      </c>
      <c r="C113" s="156" t="inlineStr">
        <is>
          <t>EX-1252</t>
        </is>
      </c>
      <c r="D113" s="156" t="inlineStr">
        <is>
          <t>DT-512</t>
        </is>
      </c>
      <c r="E113" s="156" t="inlineStr">
        <is>
          <t>OB</t>
        </is>
      </c>
      <c r="F113" s="156" t="n">
        <v>4</v>
      </c>
      <c r="G113" s="156" t="inlineStr"/>
      <c r="H113" s="157">
        <f>IF($B113="","",IF(ISNA(MATCH($B113,MASTER_JAM!$Q$5:$Q$28,0)),"?",IF(MATCH($B113,MASTER_JAM!$Q$5:$Q$28,0)&lt;=12,"DS","NS")))</f>
        <v/>
      </c>
      <c r="I113" s="157">
        <f>IFERROR(INDEX(MASTER_JAM!$B$5:$B$94,MATCH($C113,MASTER_JAM!$A$5:$A$94,0)),"")</f>
        <v/>
      </c>
      <c r="J113" s="157">
        <f>IFERROR(INDEX(MASTER_JAM!$E$5:$E$94,MATCH($D113,MASTER_JAM!$A$5:$A$94,0)),"")</f>
        <v/>
      </c>
      <c r="K113" s="158">
        <f>IFERROR(INDEX(MASTER_JAM!$J$5:$O$12,MATCH($E113,MASTER_JAM!$I$5:$I$12,0),MATCH($J113,MASTER_JAM!$J$4:$O$4,0))+0,0)</f>
        <v/>
      </c>
      <c r="L113" s="159">
        <f>N($F113)*$K113</f>
        <v/>
      </c>
      <c r="M113" s="157">
        <f>IF($E113="","",IF(OR($E113="Coal",$E113="Dirty Coal"),"MT","BCM"))</f>
        <v/>
      </c>
      <c r="N113" s="157">
        <f>IF($E113="","",IF(OR($E113="Coal",$E113="Dirty Coal"),"Coal","OB"))</f>
        <v/>
      </c>
      <c r="O113" s="157">
        <f>IF($F113="","",IF(COUNTIF(MASTER_JAM!$A$5:$A$94,$C113)=0,"Digger tidak dikenal",IF($J113="","Hauler tidak dikenal",IF($H113="?","Jam salah",IF($K113=0,"Faktor kosong",IF(SUMIFS(INPUT_DELAY!$E$5:$E$20000,INPUT_DELAY!$A$5:$A$20000,$A113,INPUT_DELAY!$B$5:$B$20000,$B113,INPUT_DELAY!$C$5:$C$20000,$C113)+SUMIFS(INPUT_DELAY!$E$5:$E$20000,INPUT_DELAY!$A$5:$A$20000,$A113,INPUT_DELAY!$B$5:$B$20000,$B113,INPUT_DELAY!$C$5:$C$20000,"SEMUA")&gt;=60,"Delay 60 mnt tapi ada ritase","OK"))))))</f>
        <v/>
      </c>
      <c r="P113" s="158">
        <f>IFERROR(INDEX(MASTER_JAM!$Z$5:$AC$10,MATCH($I113,MASTER_JAM!$Y$5:$Y$10,0),MATCH($J113,MASTER_JAM!$Z$4:$AC$4,0))+0,0)</f>
        <v/>
      </c>
      <c r="Q113" s="158">
        <f>IF($P113=0,0,$P113+IFERROR(INDEX(MASTER_JAM!$H$5:$H$94,MATCH($C113,MASTER_JAM!$A$5:$A$94,0))+0,MASTER_JAM!$AC$15)/1000*(60/MASTER_JAM!$AC$12+60/MASTER_JAM!$AC$13)+MASTER_JAM!$AC$14)</f>
        <v/>
      </c>
      <c r="R113" s="158">
        <f>IF(N($F113)=0,0,$F113/SUMIFS(INPUT_RITASE!$F$5:$F$20000,INPUT_RITASE!$A$5:$A$20000,$A113,INPUT_RITASE!$B$5:$B$20000,$B113,INPUT_RITASE!$C$5:$C$20000,$C113,INPUT_RITASE!$D$5:$D$20000,$D113))</f>
        <v/>
      </c>
      <c r="S113" s="158">
        <f>IF($Q113=0,0,$R113*$P113/$Q113)</f>
        <v/>
      </c>
    </row>
    <row r="114">
      <c r="A114" s="155" t="n">
        <v>46104</v>
      </c>
      <c r="B114" s="156" t="inlineStr">
        <is>
          <t>13-14</t>
        </is>
      </c>
      <c r="C114" s="156" t="inlineStr">
        <is>
          <t>EX-1252</t>
        </is>
      </c>
      <c r="D114" s="156" t="inlineStr">
        <is>
          <t>DT-520</t>
        </is>
      </c>
      <c r="E114" s="156" t="inlineStr">
        <is>
          <t>OB</t>
        </is>
      </c>
      <c r="F114" s="156" t="n">
        <v>4</v>
      </c>
      <c r="G114" s="156" t="inlineStr"/>
      <c r="H114" s="157">
        <f>IF($B114="","",IF(ISNA(MATCH($B114,MASTER_JAM!$Q$5:$Q$28,0)),"?",IF(MATCH($B114,MASTER_JAM!$Q$5:$Q$28,0)&lt;=12,"DS","NS")))</f>
        <v/>
      </c>
      <c r="I114" s="157">
        <f>IFERROR(INDEX(MASTER_JAM!$B$5:$B$94,MATCH($C114,MASTER_JAM!$A$5:$A$94,0)),"")</f>
        <v/>
      </c>
      <c r="J114" s="157">
        <f>IFERROR(INDEX(MASTER_JAM!$E$5:$E$94,MATCH($D114,MASTER_JAM!$A$5:$A$94,0)),"")</f>
        <v/>
      </c>
      <c r="K114" s="158">
        <f>IFERROR(INDEX(MASTER_JAM!$J$5:$O$12,MATCH($E114,MASTER_JAM!$I$5:$I$12,0),MATCH($J114,MASTER_JAM!$J$4:$O$4,0))+0,0)</f>
        <v/>
      </c>
      <c r="L114" s="159">
        <f>N($F114)*$K114</f>
        <v/>
      </c>
      <c r="M114" s="157">
        <f>IF($E114="","",IF(OR($E114="Coal",$E114="Dirty Coal"),"MT","BCM"))</f>
        <v/>
      </c>
      <c r="N114" s="157">
        <f>IF($E114="","",IF(OR($E114="Coal",$E114="Dirty Coal"),"Coal","OB"))</f>
        <v/>
      </c>
      <c r="O114" s="157">
        <f>IF($F114="","",IF(COUNTIF(MASTER_JAM!$A$5:$A$94,$C114)=0,"Digger tidak dikenal",IF($J114="","Hauler tidak dikenal",IF($H114="?","Jam salah",IF($K114=0,"Faktor kosong",IF(SUMIFS(INPUT_DELAY!$E$5:$E$20000,INPUT_DELAY!$A$5:$A$20000,$A114,INPUT_DELAY!$B$5:$B$20000,$B114,INPUT_DELAY!$C$5:$C$20000,$C114)+SUMIFS(INPUT_DELAY!$E$5:$E$20000,INPUT_DELAY!$A$5:$A$20000,$A114,INPUT_DELAY!$B$5:$B$20000,$B114,INPUT_DELAY!$C$5:$C$20000,"SEMUA")&gt;=60,"Delay 60 mnt tapi ada ritase","OK"))))))</f>
        <v/>
      </c>
      <c r="P114" s="158">
        <f>IFERROR(INDEX(MASTER_JAM!$Z$5:$AC$10,MATCH($I114,MASTER_JAM!$Y$5:$Y$10,0),MATCH($J114,MASTER_JAM!$Z$4:$AC$4,0))+0,0)</f>
        <v/>
      </c>
      <c r="Q114" s="158">
        <f>IF($P114=0,0,$P114+IFERROR(INDEX(MASTER_JAM!$H$5:$H$94,MATCH($C114,MASTER_JAM!$A$5:$A$94,0))+0,MASTER_JAM!$AC$15)/1000*(60/MASTER_JAM!$AC$12+60/MASTER_JAM!$AC$13)+MASTER_JAM!$AC$14)</f>
        <v/>
      </c>
      <c r="R114" s="158">
        <f>IF(N($F114)=0,0,$F114/SUMIFS(INPUT_RITASE!$F$5:$F$20000,INPUT_RITASE!$A$5:$A$20000,$A114,INPUT_RITASE!$B$5:$B$20000,$B114,INPUT_RITASE!$C$5:$C$20000,$C114,INPUT_RITASE!$D$5:$D$20000,$D114))</f>
        <v/>
      </c>
      <c r="S114" s="158">
        <f>IF($Q114=0,0,$R114*$P114/$Q114)</f>
        <v/>
      </c>
    </row>
    <row r="115">
      <c r="A115" s="155" t="n">
        <v>46104</v>
      </c>
      <c r="B115" s="156" t="inlineStr">
        <is>
          <t>13-14</t>
        </is>
      </c>
      <c r="C115" s="156" t="inlineStr">
        <is>
          <t>EX-1252</t>
        </is>
      </c>
      <c r="D115" s="156" t="inlineStr">
        <is>
          <t>DT-516</t>
        </is>
      </c>
      <c r="E115" s="156" t="inlineStr">
        <is>
          <t>OB</t>
        </is>
      </c>
      <c r="F115" s="156" t="n">
        <v>4</v>
      </c>
      <c r="G115" s="156" t="inlineStr"/>
      <c r="H115" s="157">
        <f>IF($B115="","",IF(ISNA(MATCH($B115,MASTER_JAM!$Q$5:$Q$28,0)),"?",IF(MATCH($B115,MASTER_JAM!$Q$5:$Q$28,0)&lt;=12,"DS","NS")))</f>
        <v/>
      </c>
      <c r="I115" s="157">
        <f>IFERROR(INDEX(MASTER_JAM!$B$5:$B$94,MATCH($C115,MASTER_JAM!$A$5:$A$94,0)),"")</f>
        <v/>
      </c>
      <c r="J115" s="157">
        <f>IFERROR(INDEX(MASTER_JAM!$E$5:$E$94,MATCH($D115,MASTER_JAM!$A$5:$A$94,0)),"")</f>
        <v/>
      </c>
      <c r="K115" s="158">
        <f>IFERROR(INDEX(MASTER_JAM!$J$5:$O$12,MATCH($E115,MASTER_JAM!$I$5:$I$12,0),MATCH($J115,MASTER_JAM!$J$4:$O$4,0))+0,0)</f>
        <v/>
      </c>
      <c r="L115" s="159">
        <f>N($F115)*$K115</f>
        <v/>
      </c>
      <c r="M115" s="157">
        <f>IF($E115="","",IF(OR($E115="Coal",$E115="Dirty Coal"),"MT","BCM"))</f>
        <v/>
      </c>
      <c r="N115" s="157">
        <f>IF($E115="","",IF(OR($E115="Coal",$E115="Dirty Coal"),"Coal","OB"))</f>
        <v/>
      </c>
      <c r="O115" s="157">
        <f>IF($F115="","",IF(COUNTIF(MASTER_JAM!$A$5:$A$94,$C115)=0,"Digger tidak dikenal",IF($J115="","Hauler tidak dikenal",IF($H115="?","Jam salah",IF($K115=0,"Faktor kosong",IF(SUMIFS(INPUT_DELAY!$E$5:$E$20000,INPUT_DELAY!$A$5:$A$20000,$A115,INPUT_DELAY!$B$5:$B$20000,$B115,INPUT_DELAY!$C$5:$C$20000,$C115)+SUMIFS(INPUT_DELAY!$E$5:$E$20000,INPUT_DELAY!$A$5:$A$20000,$A115,INPUT_DELAY!$B$5:$B$20000,$B115,INPUT_DELAY!$C$5:$C$20000,"SEMUA")&gt;=60,"Delay 60 mnt tapi ada ritase","OK"))))))</f>
        <v/>
      </c>
      <c r="P115" s="158">
        <f>IFERROR(INDEX(MASTER_JAM!$Z$5:$AC$10,MATCH($I115,MASTER_JAM!$Y$5:$Y$10,0),MATCH($J115,MASTER_JAM!$Z$4:$AC$4,0))+0,0)</f>
        <v/>
      </c>
      <c r="Q115" s="158">
        <f>IF($P115=0,0,$P115+IFERROR(INDEX(MASTER_JAM!$H$5:$H$94,MATCH($C115,MASTER_JAM!$A$5:$A$94,0))+0,MASTER_JAM!$AC$15)/1000*(60/MASTER_JAM!$AC$12+60/MASTER_JAM!$AC$13)+MASTER_JAM!$AC$14)</f>
        <v/>
      </c>
      <c r="R115" s="158">
        <f>IF(N($F115)=0,0,$F115/SUMIFS(INPUT_RITASE!$F$5:$F$20000,INPUT_RITASE!$A$5:$A$20000,$A115,INPUT_RITASE!$B$5:$B$20000,$B115,INPUT_RITASE!$C$5:$C$20000,$C115,INPUT_RITASE!$D$5:$D$20000,$D115))</f>
        <v/>
      </c>
      <c r="S115" s="158">
        <f>IF($Q115=0,0,$R115*$P115/$Q115)</f>
        <v/>
      </c>
    </row>
    <row r="116">
      <c r="A116" s="155" t="n">
        <v>46104</v>
      </c>
      <c r="B116" s="156" t="inlineStr">
        <is>
          <t>14-15</t>
        </is>
      </c>
      <c r="C116" s="156" t="inlineStr">
        <is>
          <t>EX-1252</t>
        </is>
      </c>
      <c r="D116" s="156" t="inlineStr">
        <is>
          <t>DT-516</t>
        </is>
      </c>
      <c r="E116" s="156" t="inlineStr">
        <is>
          <t>OB</t>
        </is>
      </c>
      <c r="F116" s="156" t="n">
        <v>4</v>
      </c>
      <c r="G116" s="156" t="inlineStr"/>
      <c r="H116" s="157">
        <f>IF($B116="","",IF(ISNA(MATCH($B116,MASTER_JAM!$Q$5:$Q$28,0)),"?",IF(MATCH($B116,MASTER_JAM!$Q$5:$Q$28,0)&lt;=12,"DS","NS")))</f>
        <v/>
      </c>
      <c r="I116" s="157">
        <f>IFERROR(INDEX(MASTER_JAM!$B$5:$B$94,MATCH($C116,MASTER_JAM!$A$5:$A$94,0)),"")</f>
        <v/>
      </c>
      <c r="J116" s="157">
        <f>IFERROR(INDEX(MASTER_JAM!$E$5:$E$94,MATCH($D116,MASTER_JAM!$A$5:$A$94,0)),"")</f>
        <v/>
      </c>
      <c r="K116" s="158">
        <f>IFERROR(INDEX(MASTER_JAM!$J$5:$O$12,MATCH($E116,MASTER_JAM!$I$5:$I$12,0),MATCH($J116,MASTER_JAM!$J$4:$O$4,0))+0,0)</f>
        <v/>
      </c>
      <c r="L116" s="159">
        <f>N($F116)*$K116</f>
        <v/>
      </c>
      <c r="M116" s="157">
        <f>IF($E116="","",IF(OR($E116="Coal",$E116="Dirty Coal"),"MT","BCM"))</f>
        <v/>
      </c>
      <c r="N116" s="157">
        <f>IF($E116="","",IF(OR($E116="Coal",$E116="Dirty Coal"),"Coal","OB"))</f>
        <v/>
      </c>
      <c r="O116" s="157">
        <f>IF($F116="","",IF(COUNTIF(MASTER_JAM!$A$5:$A$94,$C116)=0,"Digger tidak dikenal",IF($J116="","Hauler tidak dikenal",IF($H116="?","Jam salah",IF($K116=0,"Faktor kosong",IF(SUMIFS(INPUT_DELAY!$E$5:$E$20000,INPUT_DELAY!$A$5:$A$20000,$A116,INPUT_DELAY!$B$5:$B$20000,$B116,INPUT_DELAY!$C$5:$C$20000,$C116)+SUMIFS(INPUT_DELAY!$E$5:$E$20000,INPUT_DELAY!$A$5:$A$20000,$A116,INPUT_DELAY!$B$5:$B$20000,$B116,INPUT_DELAY!$C$5:$C$20000,"SEMUA")&gt;=60,"Delay 60 mnt tapi ada ritase","OK"))))))</f>
        <v/>
      </c>
      <c r="P116" s="158">
        <f>IFERROR(INDEX(MASTER_JAM!$Z$5:$AC$10,MATCH($I116,MASTER_JAM!$Y$5:$Y$10,0),MATCH($J116,MASTER_JAM!$Z$4:$AC$4,0))+0,0)</f>
        <v/>
      </c>
      <c r="Q116" s="158">
        <f>IF($P116=0,0,$P116+IFERROR(INDEX(MASTER_JAM!$H$5:$H$94,MATCH($C116,MASTER_JAM!$A$5:$A$94,0))+0,MASTER_JAM!$AC$15)/1000*(60/MASTER_JAM!$AC$12+60/MASTER_JAM!$AC$13)+MASTER_JAM!$AC$14)</f>
        <v/>
      </c>
      <c r="R116" s="158">
        <f>IF(N($F116)=0,0,$F116/SUMIFS(INPUT_RITASE!$F$5:$F$20000,INPUT_RITASE!$A$5:$A$20000,$A116,INPUT_RITASE!$B$5:$B$20000,$B116,INPUT_RITASE!$C$5:$C$20000,$C116,INPUT_RITASE!$D$5:$D$20000,$D116))</f>
        <v/>
      </c>
      <c r="S116" s="158">
        <f>IF($Q116=0,0,$R116*$P116/$Q116)</f>
        <v/>
      </c>
    </row>
    <row r="117">
      <c r="A117" s="155" t="n">
        <v>46104</v>
      </c>
      <c r="B117" s="156" t="inlineStr">
        <is>
          <t>14-15</t>
        </is>
      </c>
      <c r="C117" s="156" t="inlineStr">
        <is>
          <t>EX-1252</t>
        </is>
      </c>
      <c r="D117" s="156" t="inlineStr">
        <is>
          <t>DT-505</t>
        </is>
      </c>
      <c r="E117" s="156" t="inlineStr">
        <is>
          <t>OB</t>
        </is>
      </c>
      <c r="F117" s="156" t="n">
        <v>4</v>
      </c>
      <c r="G117" s="156" t="inlineStr"/>
      <c r="H117" s="157">
        <f>IF($B117="","",IF(ISNA(MATCH($B117,MASTER_JAM!$Q$5:$Q$28,0)),"?",IF(MATCH($B117,MASTER_JAM!$Q$5:$Q$28,0)&lt;=12,"DS","NS")))</f>
        <v/>
      </c>
      <c r="I117" s="157">
        <f>IFERROR(INDEX(MASTER_JAM!$B$5:$B$94,MATCH($C117,MASTER_JAM!$A$5:$A$94,0)),"")</f>
        <v/>
      </c>
      <c r="J117" s="157">
        <f>IFERROR(INDEX(MASTER_JAM!$E$5:$E$94,MATCH($D117,MASTER_JAM!$A$5:$A$94,0)),"")</f>
        <v/>
      </c>
      <c r="K117" s="158">
        <f>IFERROR(INDEX(MASTER_JAM!$J$5:$O$12,MATCH($E117,MASTER_JAM!$I$5:$I$12,0),MATCH($J117,MASTER_JAM!$J$4:$O$4,0))+0,0)</f>
        <v/>
      </c>
      <c r="L117" s="159">
        <f>N($F117)*$K117</f>
        <v/>
      </c>
      <c r="M117" s="157">
        <f>IF($E117="","",IF(OR($E117="Coal",$E117="Dirty Coal"),"MT","BCM"))</f>
        <v/>
      </c>
      <c r="N117" s="157">
        <f>IF($E117="","",IF(OR($E117="Coal",$E117="Dirty Coal"),"Coal","OB"))</f>
        <v/>
      </c>
      <c r="O117" s="157">
        <f>IF($F117="","",IF(COUNTIF(MASTER_JAM!$A$5:$A$94,$C117)=0,"Digger tidak dikenal",IF($J117="","Hauler tidak dikenal",IF($H117="?","Jam salah",IF($K117=0,"Faktor kosong",IF(SUMIFS(INPUT_DELAY!$E$5:$E$20000,INPUT_DELAY!$A$5:$A$20000,$A117,INPUT_DELAY!$B$5:$B$20000,$B117,INPUT_DELAY!$C$5:$C$20000,$C117)+SUMIFS(INPUT_DELAY!$E$5:$E$20000,INPUT_DELAY!$A$5:$A$20000,$A117,INPUT_DELAY!$B$5:$B$20000,$B117,INPUT_DELAY!$C$5:$C$20000,"SEMUA")&gt;=60,"Delay 60 mnt tapi ada ritase","OK"))))))</f>
        <v/>
      </c>
      <c r="P117" s="158">
        <f>IFERROR(INDEX(MASTER_JAM!$Z$5:$AC$10,MATCH($I117,MASTER_JAM!$Y$5:$Y$10,0),MATCH($J117,MASTER_JAM!$Z$4:$AC$4,0))+0,0)</f>
        <v/>
      </c>
      <c r="Q117" s="158">
        <f>IF($P117=0,0,$P117+IFERROR(INDEX(MASTER_JAM!$H$5:$H$94,MATCH($C117,MASTER_JAM!$A$5:$A$94,0))+0,MASTER_JAM!$AC$15)/1000*(60/MASTER_JAM!$AC$12+60/MASTER_JAM!$AC$13)+MASTER_JAM!$AC$14)</f>
        <v/>
      </c>
      <c r="R117" s="158">
        <f>IF(N($F117)=0,0,$F117/SUMIFS(INPUT_RITASE!$F$5:$F$20000,INPUT_RITASE!$A$5:$A$20000,$A117,INPUT_RITASE!$B$5:$B$20000,$B117,INPUT_RITASE!$C$5:$C$20000,$C117,INPUT_RITASE!$D$5:$D$20000,$D117))</f>
        <v/>
      </c>
      <c r="S117" s="158">
        <f>IF($Q117=0,0,$R117*$P117/$Q117)</f>
        <v/>
      </c>
    </row>
    <row r="118">
      <c r="A118" s="155" t="n">
        <v>46104</v>
      </c>
      <c r="B118" s="156" t="inlineStr">
        <is>
          <t>14-15</t>
        </is>
      </c>
      <c r="C118" s="156" t="inlineStr">
        <is>
          <t>EX-1252</t>
        </is>
      </c>
      <c r="D118" s="156" t="inlineStr">
        <is>
          <t>DT-503</t>
        </is>
      </c>
      <c r="E118" s="156" t="inlineStr">
        <is>
          <t>OB</t>
        </is>
      </c>
      <c r="F118" s="156" t="n">
        <v>4</v>
      </c>
      <c r="G118" s="156" t="inlineStr"/>
      <c r="H118" s="157">
        <f>IF($B118="","",IF(ISNA(MATCH($B118,MASTER_JAM!$Q$5:$Q$28,0)),"?",IF(MATCH($B118,MASTER_JAM!$Q$5:$Q$28,0)&lt;=12,"DS","NS")))</f>
        <v/>
      </c>
      <c r="I118" s="157">
        <f>IFERROR(INDEX(MASTER_JAM!$B$5:$B$94,MATCH($C118,MASTER_JAM!$A$5:$A$94,0)),"")</f>
        <v/>
      </c>
      <c r="J118" s="157">
        <f>IFERROR(INDEX(MASTER_JAM!$E$5:$E$94,MATCH($D118,MASTER_JAM!$A$5:$A$94,0)),"")</f>
        <v/>
      </c>
      <c r="K118" s="158">
        <f>IFERROR(INDEX(MASTER_JAM!$J$5:$O$12,MATCH($E118,MASTER_JAM!$I$5:$I$12,0),MATCH($J118,MASTER_JAM!$J$4:$O$4,0))+0,0)</f>
        <v/>
      </c>
      <c r="L118" s="159">
        <f>N($F118)*$K118</f>
        <v/>
      </c>
      <c r="M118" s="157">
        <f>IF($E118="","",IF(OR($E118="Coal",$E118="Dirty Coal"),"MT","BCM"))</f>
        <v/>
      </c>
      <c r="N118" s="157">
        <f>IF($E118="","",IF(OR($E118="Coal",$E118="Dirty Coal"),"Coal","OB"))</f>
        <v/>
      </c>
      <c r="O118" s="157">
        <f>IF($F118="","",IF(COUNTIF(MASTER_JAM!$A$5:$A$94,$C118)=0,"Digger tidak dikenal",IF($J118="","Hauler tidak dikenal",IF($H118="?","Jam salah",IF($K118=0,"Faktor kosong",IF(SUMIFS(INPUT_DELAY!$E$5:$E$20000,INPUT_DELAY!$A$5:$A$20000,$A118,INPUT_DELAY!$B$5:$B$20000,$B118,INPUT_DELAY!$C$5:$C$20000,$C118)+SUMIFS(INPUT_DELAY!$E$5:$E$20000,INPUT_DELAY!$A$5:$A$20000,$A118,INPUT_DELAY!$B$5:$B$20000,$B118,INPUT_DELAY!$C$5:$C$20000,"SEMUA")&gt;=60,"Delay 60 mnt tapi ada ritase","OK"))))))</f>
        <v/>
      </c>
      <c r="P118" s="158">
        <f>IFERROR(INDEX(MASTER_JAM!$Z$5:$AC$10,MATCH($I118,MASTER_JAM!$Y$5:$Y$10,0),MATCH($J118,MASTER_JAM!$Z$4:$AC$4,0))+0,0)</f>
        <v/>
      </c>
      <c r="Q118" s="158">
        <f>IF($P118=0,0,$P118+IFERROR(INDEX(MASTER_JAM!$H$5:$H$94,MATCH($C118,MASTER_JAM!$A$5:$A$94,0))+0,MASTER_JAM!$AC$15)/1000*(60/MASTER_JAM!$AC$12+60/MASTER_JAM!$AC$13)+MASTER_JAM!$AC$14)</f>
        <v/>
      </c>
      <c r="R118" s="158">
        <f>IF(N($F118)=0,0,$F118/SUMIFS(INPUT_RITASE!$F$5:$F$20000,INPUT_RITASE!$A$5:$A$20000,$A118,INPUT_RITASE!$B$5:$B$20000,$B118,INPUT_RITASE!$C$5:$C$20000,$C118,INPUT_RITASE!$D$5:$D$20000,$D118))</f>
        <v/>
      </c>
      <c r="S118" s="158">
        <f>IF($Q118=0,0,$R118*$P118/$Q118)</f>
        <v/>
      </c>
    </row>
    <row r="119">
      <c r="A119" s="155" t="n">
        <v>46104</v>
      </c>
      <c r="B119" s="156" t="inlineStr">
        <is>
          <t>14-15</t>
        </is>
      </c>
      <c r="C119" s="156" t="inlineStr">
        <is>
          <t>EX-1252</t>
        </is>
      </c>
      <c r="D119" s="156" t="inlineStr">
        <is>
          <t>DT-513</t>
        </is>
      </c>
      <c r="E119" s="156" t="inlineStr">
        <is>
          <t>OB</t>
        </is>
      </c>
      <c r="F119" s="156" t="n">
        <v>3</v>
      </c>
      <c r="G119" s="156" t="inlineStr"/>
      <c r="H119" s="157">
        <f>IF($B119="","",IF(ISNA(MATCH($B119,MASTER_JAM!$Q$5:$Q$28,0)),"?",IF(MATCH($B119,MASTER_JAM!$Q$5:$Q$28,0)&lt;=12,"DS","NS")))</f>
        <v/>
      </c>
      <c r="I119" s="157">
        <f>IFERROR(INDEX(MASTER_JAM!$B$5:$B$94,MATCH($C119,MASTER_JAM!$A$5:$A$94,0)),"")</f>
        <v/>
      </c>
      <c r="J119" s="157">
        <f>IFERROR(INDEX(MASTER_JAM!$E$5:$E$94,MATCH($D119,MASTER_JAM!$A$5:$A$94,0)),"")</f>
        <v/>
      </c>
      <c r="K119" s="158">
        <f>IFERROR(INDEX(MASTER_JAM!$J$5:$O$12,MATCH($E119,MASTER_JAM!$I$5:$I$12,0),MATCH($J119,MASTER_JAM!$J$4:$O$4,0))+0,0)</f>
        <v/>
      </c>
      <c r="L119" s="159">
        <f>N($F119)*$K119</f>
        <v/>
      </c>
      <c r="M119" s="157">
        <f>IF($E119="","",IF(OR($E119="Coal",$E119="Dirty Coal"),"MT","BCM"))</f>
        <v/>
      </c>
      <c r="N119" s="157">
        <f>IF($E119="","",IF(OR($E119="Coal",$E119="Dirty Coal"),"Coal","OB"))</f>
        <v/>
      </c>
      <c r="O119" s="157">
        <f>IF($F119="","",IF(COUNTIF(MASTER_JAM!$A$5:$A$94,$C119)=0,"Digger tidak dikenal",IF($J119="","Hauler tidak dikenal",IF($H119="?","Jam salah",IF($K119=0,"Faktor kosong",IF(SUMIFS(INPUT_DELAY!$E$5:$E$20000,INPUT_DELAY!$A$5:$A$20000,$A119,INPUT_DELAY!$B$5:$B$20000,$B119,INPUT_DELAY!$C$5:$C$20000,$C119)+SUMIFS(INPUT_DELAY!$E$5:$E$20000,INPUT_DELAY!$A$5:$A$20000,$A119,INPUT_DELAY!$B$5:$B$20000,$B119,INPUT_DELAY!$C$5:$C$20000,"SEMUA")&gt;=60,"Delay 60 mnt tapi ada ritase","OK"))))))</f>
        <v/>
      </c>
      <c r="P119" s="158">
        <f>IFERROR(INDEX(MASTER_JAM!$Z$5:$AC$10,MATCH($I119,MASTER_JAM!$Y$5:$Y$10,0),MATCH($J119,MASTER_JAM!$Z$4:$AC$4,0))+0,0)</f>
        <v/>
      </c>
      <c r="Q119" s="158">
        <f>IF($P119=0,0,$P119+IFERROR(INDEX(MASTER_JAM!$H$5:$H$94,MATCH($C119,MASTER_JAM!$A$5:$A$94,0))+0,MASTER_JAM!$AC$15)/1000*(60/MASTER_JAM!$AC$12+60/MASTER_JAM!$AC$13)+MASTER_JAM!$AC$14)</f>
        <v/>
      </c>
      <c r="R119" s="158">
        <f>IF(N($F119)=0,0,$F119/SUMIFS(INPUT_RITASE!$F$5:$F$20000,INPUT_RITASE!$A$5:$A$20000,$A119,INPUT_RITASE!$B$5:$B$20000,$B119,INPUT_RITASE!$C$5:$C$20000,$C119,INPUT_RITASE!$D$5:$D$20000,$D119))</f>
        <v/>
      </c>
      <c r="S119" s="158">
        <f>IF($Q119=0,0,$R119*$P119/$Q119)</f>
        <v/>
      </c>
    </row>
    <row r="120">
      <c r="A120" s="155" t="n">
        <v>46104</v>
      </c>
      <c r="B120" s="156" t="inlineStr">
        <is>
          <t>14-15</t>
        </is>
      </c>
      <c r="C120" s="156" t="inlineStr">
        <is>
          <t>EX-1252</t>
        </is>
      </c>
      <c r="D120" s="156" t="inlineStr">
        <is>
          <t>DT-523</t>
        </is>
      </c>
      <c r="E120" s="156" t="inlineStr">
        <is>
          <t>OB</t>
        </is>
      </c>
      <c r="F120" s="156" t="n">
        <v>3</v>
      </c>
      <c r="G120" s="156" t="inlineStr"/>
      <c r="H120" s="157">
        <f>IF($B120="","",IF(ISNA(MATCH($B120,MASTER_JAM!$Q$5:$Q$28,0)),"?",IF(MATCH($B120,MASTER_JAM!$Q$5:$Q$28,0)&lt;=12,"DS","NS")))</f>
        <v/>
      </c>
      <c r="I120" s="157">
        <f>IFERROR(INDEX(MASTER_JAM!$B$5:$B$94,MATCH($C120,MASTER_JAM!$A$5:$A$94,0)),"")</f>
        <v/>
      </c>
      <c r="J120" s="157">
        <f>IFERROR(INDEX(MASTER_JAM!$E$5:$E$94,MATCH($D120,MASTER_JAM!$A$5:$A$94,0)),"")</f>
        <v/>
      </c>
      <c r="K120" s="158">
        <f>IFERROR(INDEX(MASTER_JAM!$J$5:$O$12,MATCH($E120,MASTER_JAM!$I$5:$I$12,0),MATCH($J120,MASTER_JAM!$J$4:$O$4,0))+0,0)</f>
        <v/>
      </c>
      <c r="L120" s="159">
        <f>N($F120)*$K120</f>
        <v/>
      </c>
      <c r="M120" s="157">
        <f>IF($E120="","",IF(OR($E120="Coal",$E120="Dirty Coal"),"MT","BCM"))</f>
        <v/>
      </c>
      <c r="N120" s="157">
        <f>IF($E120="","",IF(OR($E120="Coal",$E120="Dirty Coal"),"Coal","OB"))</f>
        <v/>
      </c>
      <c r="O120" s="157">
        <f>IF($F120="","",IF(COUNTIF(MASTER_JAM!$A$5:$A$94,$C120)=0,"Digger tidak dikenal",IF($J120="","Hauler tidak dikenal",IF($H120="?","Jam salah",IF($K120=0,"Faktor kosong",IF(SUMIFS(INPUT_DELAY!$E$5:$E$20000,INPUT_DELAY!$A$5:$A$20000,$A120,INPUT_DELAY!$B$5:$B$20000,$B120,INPUT_DELAY!$C$5:$C$20000,$C120)+SUMIFS(INPUT_DELAY!$E$5:$E$20000,INPUT_DELAY!$A$5:$A$20000,$A120,INPUT_DELAY!$B$5:$B$20000,$B120,INPUT_DELAY!$C$5:$C$20000,"SEMUA")&gt;=60,"Delay 60 mnt tapi ada ritase","OK"))))))</f>
        <v/>
      </c>
      <c r="P120" s="158">
        <f>IFERROR(INDEX(MASTER_JAM!$Z$5:$AC$10,MATCH($I120,MASTER_JAM!$Y$5:$Y$10,0),MATCH($J120,MASTER_JAM!$Z$4:$AC$4,0))+0,0)</f>
        <v/>
      </c>
      <c r="Q120" s="158">
        <f>IF($P120=0,0,$P120+IFERROR(INDEX(MASTER_JAM!$H$5:$H$94,MATCH($C120,MASTER_JAM!$A$5:$A$94,0))+0,MASTER_JAM!$AC$15)/1000*(60/MASTER_JAM!$AC$12+60/MASTER_JAM!$AC$13)+MASTER_JAM!$AC$14)</f>
        <v/>
      </c>
      <c r="R120" s="158">
        <f>IF(N($F120)=0,0,$F120/SUMIFS(INPUT_RITASE!$F$5:$F$20000,INPUT_RITASE!$A$5:$A$20000,$A120,INPUT_RITASE!$B$5:$B$20000,$B120,INPUT_RITASE!$C$5:$C$20000,$C120,INPUT_RITASE!$D$5:$D$20000,$D120))</f>
        <v/>
      </c>
      <c r="S120" s="158">
        <f>IF($Q120=0,0,$R120*$P120/$Q120)</f>
        <v/>
      </c>
    </row>
    <row r="121">
      <c r="A121" s="155" t="n">
        <v>46104</v>
      </c>
      <c r="B121" s="156" t="inlineStr">
        <is>
          <t>15-16</t>
        </is>
      </c>
      <c r="C121" s="156" t="inlineStr">
        <is>
          <t>EX-1252</t>
        </is>
      </c>
      <c r="D121" s="156" t="inlineStr">
        <is>
          <t>DT-524</t>
        </is>
      </c>
      <c r="E121" s="156" t="inlineStr">
        <is>
          <t>OB</t>
        </is>
      </c>
      <c r="F121" s="156" t="n">
        <v>4</v>
      </c>
      <c r="G121" s="156" t="inlineStr"/>
      <c r="H121" s="157">
        <f>IF($B121="","",IF(ISNA(MATCH($B121,MASTER_JAM!$Q$5:$Q$28,0)),"?",IF(MATCH($B121,MASTER_JAM!$Q$5:$Q$28,0)&lt;=12,"DS","NS")))</f>
        <v/>
      </c>
      <c r="I121" s="157">
        <f>IFERROR(INDEX(MASTER_JAM!$B$5:$B$94,MATCH($C121,MASTER_JAM!$A$5:$A$94,0)),"")</f>
        <v/>
      </c>
      <c r="J121" s="157">
        <f>IFERROR(INDEX(MASTER_JAM!$E$5:$E$94,MATCH($D121,MASTER_JAM!$A$5:$A$94,0)),"")</f>
        <v/>
      </c>
      <c r="K121" s="158">
        <f>IFERROR(INDEX(MASTER_JAM!$J$5:$O$12,MATCH($E121,MASTER_JAM!$I$5:$I$12,0),MATCH($J121,MASTER_JAM!$J$4:$O$4,0))+0,0)</f>
        <v/>
      </c>
      <c r="L121" s="159">
        <f>N($F121)*$K121</f>
        <v/>
      </c>
      <c r="M121" s="157">
        <f>IF($E121="","",IF(OR($E121="Coal",$E121="Dirty Coal"),"MT","BCM"))</f>
        <v/>
      </c>
      <c r="N121" s="157">
        <f>IF($E121="","",IF(OR($E121="Coal",$E121="Dirty Coal"),"Coal","OB"))</f>
        <v/>
      </c>
      <c r="O121" s="157">
        <f>IF($F121="","",IF(COUNTIF(MASTER_JAM!$A$5:$A$94,$C121)=0,"Digger tidak dikenal",IF($J121="","Hauler tidak dikenal",IF($H121="?","Jam salah",IF($K121=0,"Faktor kosong",IF(SUMIFS(INPUT_DELAY!$E$5:$E$20000,INPUT_DELAY!$A$5:$A$20000,$A121,INPUT_DELAY!$B$5:$B$20000,$B121,INPUT_DELAY!$C$5:$C$20000,$C121)+SUMIFS(INPUT_DELAY!$E$5:$E$20000,INPUT_DELAY!$A$5:$A$20000,$A121,INPUT_DELAY!$B$5:$B$20000,$B121,INPUT_DELAY!$C$5:$C$20000,"SEMUA")&gt;=60,"Delay 60 mnt tapi ada ritase","OK"))))))</f>
        <v/>
      </c>
      <c r="P121" s="158">
        <f>IFERROR(INDEX(MASTER_JAM!$Z$5:$AC$10,MATCH($I121,MASTER_JAM!$Y$5:$Y$10,0),MATCH($J121,MASTER_JAM!$Z$4:$AC$4,0))+0,0)</f>
        <v/>
      </c>
      <c r="Q121" s="158">
        <f>IF($P121=0,0,$P121+IFERROR(INDEX(MASTER_JAM!$H$5:$H$94,MATCH($C121,MASTER_JAM!$A$5:$A$94,0))+0,MASTER_JAM!$AC$15)/1000*(60/MASTER_JAM!$AC$12+60/MASTER_JAM!$AC$13)+MASTER_JAM!$AC$14)</f>
        <v/>
      </c>
      <c r="R121" s="158">
        <f>IF(N($F121)=0,0,$F121/SUMIFS(INPUT_RITASE!$F$5:$F$20000,INPUT_RITASE!$A$5:$A$20000,$A121,INPUT_RITASE!$B$5:$B$20000,$B121,INPUT_RITASE!$C$5:$C$20000,$C121,INPUT_RITASE!$D$5:$D$20000,$D121))</f>
        <v/>
      </c>
      <c r="S121" s="158">
        <f>IF($Q121=0,0,$R121*$P121/$Q121)</f>
        <v/>
      </c>
    </row>
    <row r="122">
      <c r="A122" s="155" t="n">
        <v>46104</v>
      </c>
      <c r="B122" s="156" t="inlineStr">
        <is>
          <t>15-16</t>
        </is>
      </c>
      <c r="C122" s="156" t="inlineStr">
        <is>
          <t>EX-1252</t>
        </is>
      </c>
      <c r="D122" s="156" t="inlineStr">
        <is>
          <t>DT-529</t>
        </is>
      </c>
      <c r="E122" s="156" t="inlineStr">
        <is>
          <t>OB</t>
        </is>
      </c>
      <c r="F122" s="156" t="n">
        <v>4</v>
      </c>
      <c r="G122" s="156" t="inlineStr"/>
      <c r="H122" s="157">
        <f>IF($B122="","",IF(ISNA(MATCH($B122,MASTER_JAM!$Q$5:$Q$28,0)),"?",IF(MATCH($B122,MASTER_JAM!$Q$5:$Q$28,0)&lt;=12,"DS","NS")))</f>
        <v/>
      </c>
      <c r="I122" s="157">
        <f>IFERROR(INDEX(MASTER_JAM!$B$5:$B$94,MATCH($C122,MASTER_JAM!$A$5:$A$94,0)),"")</f>
        <v/>
      </c>
      <c r="J122" s="157">
        <f>IFERROR(INDEX(MASTER_JAM!$E$5:$E$94,MATCH($D122,MASTER_JAM!$A$5:$A$94,0)),"")</f>
        <v/>
      </c>
      <c r="K122" s="158">
        <f>IFERROR(INDEX(MASTER_JAM!$J$5:$O$12,MATCH($E122,MASTER_JAM!$I$5:$I$12,0),MATCH($J122,MASTER_JAM!$J$4:$O$4,0))+0,0)</f>
        <v/>
      </c>
      <c r="L122" s="159">
        <f>N($F122)*$K122</f>
        <v/>
      </c>
      <c r="M122" s="157">
        <f>IF($E122="","",IF(OR($E122="Coal",$E122="Dirty Coal"),"MT","BCM"))</f>
        <v/>
      </c>
      <c r="N122" s="157">
        <f>IF($E122="","",IF(OR($E122="Coal",$E122="Dirty Coal"),"Coal","OB"))</f>
        <v/>
      </c>
      <c r="O122" s="157">
        <f>IF($F122="","",IF(COUNTIF(MASTER_JAM!$A$5:$A$94,$C122)=0,"Digger tidak dikenal",IF($J122="","Hauler tidak dikenal",IF($H122="?","Jam salah",IF($K122=0,"Faktor kosong",IF(SUMIFS(INPUT_DELAY!$E$5:$E$20000,INPUT_DELAY!$A$5:$A$20000,$A122,INPUT_DELAY!$B$5:$B$20000,$B122,INPUT_DELAY!$C$5:$C$20000,$C122)+SUMIFS(INPUT_DELAY!$E$5:$E$20000,INPUT_DELAY!$A$5:$A$20000,$A122,INPUT_DELAY!$B$5:$B$20000,$B122,INPUT_DELAY!$C$5:$C$20000,"SEMUA")&gt;=60,"Delay 60 mnt tapi ada ritase","OK"))))))</f>
        <v/>
      </c>
      <c r="P122" s="158">
        <f>IFERROR(INDEX(MASTER_JAM!$Z$5:$AC$10,MATCH($I122,MASTER_JAM!$Y$5:$Y$10,0),MATCH($J122,MASTER_JAM!$Z$4:$AC$4,0))+0,0)</f>
        <v/>
      </c>
      <c r="Q122" s="158">
        <f>IF($P122=0,0,$P122+IFERROR(INDEX(MASTER_JAM!$H$5:$H$94,MATCH($C122,MASTER_JAM!$A$5:$A$94,0))+0,MASTER_JAM!$AC$15)/1000*(60/MASTER_JAM!$AC$12+60/MASTER_JAM!$AC$13)+MASTER_JAM!$AC$14)</f>
        <v/>
      </c>
      <c r="R122" s="158">
        <f>IF(N($F122)=0,0,$F122/SUMIFS(INPUT_RITASE!$F$5:$F$20000,INPUT_RITASE!$A$5:$A$20000,$A122,INPUT_RITASE!$B$5:$B$20000,$B122,INPUT_RITASE!$C$5:$C$20000,$C122,INPUT_RITASE!$D$5:$D$20000,$D122))</f>
        <v/>
      </c>
      <c r="S122" s="158">
        <f>IF($Q122=0,0,$R122*$P122/$Q122)</f>
        <v/>
      </c>
    </row>
    <row r="123">
      <c r="A123" s="155" t="n">
        <v>46104</v>
      </c>
      <c r="B123" s="156" t="inlineStr">
        <is>
          <t>15-16</t>
        </is>
      </c>
      <c r="C123" s="156" t="inlineStr">
        <is>
          <t>EX-1252</t>
        </is>
      </c>
      <c r="D123" s="156" t="inlineStr">
        <is>
          <t>DT-521</t>
        </is>
      </c>
      <c r="E123" s="156" t="inlineStr">
        <is>
          <t>OB</t>
        </is>
      </c>
      <c r="F123" s="156" t="n">
        <v>4</v>
      </c>
      <c r="G123" s="156" t="inlineStr"/>
      <c r="H123" s="157">
        <f>IF($B123="","",IF(ISNA(MATCH($B123,MASTER_JAM!$Q$5:$Q$28,0)),"?",IF(MATCH($B123,MASTER_JAM!$Q$5:$Q$28,0)&lt;=12,"DS","NS")))</f>
        <v/>
      </c>
      <c r="I123" s="157">
        <f>IFERROR(INDEX(MASTER_JAM!$B$5:$B$94,MATCH($C123,MASTER_JAM!$A$5:$A$94,0)),"")</f>
        <v/>
      </c>
      <c r="J123" s="157">
        <f>IFERROR(INDEX(MASTER_JAM!$E$5:$E$94,MATCH($D123,MASTER_JAM!$A$5:$A$94,0)),"")</f>
        <v/>
      </c>
      <c r="K123" s="158">
        <f>IFERROR(INDEX(MASTER_JAM!$J$5:$O$12,MATCH($E123,MASTER_JAM!$I$5:$I$12,0),MATCH($J123,MASTER_JAM!$J$4:$O$4,0))+0,0)</f>
        <v/>
      </c>
      <c r="L123" s="159">
        <f>N($F123)*$K123</f>
        <v/>
      </c>
      <c r="M123" s="157">
        <f>IF($E123="","",IF(OR($E123="Coal",$E123="Dirty Coal"),"MT","BCM"))</f>
        <v/>
      </c>
      <c r="N123" s="157">
        <f>IF($E123="","",IF(OR($E123="Coal",$E123="Dirty Coal"),"Coal","OB"))</f>
        <v/>
      </c>
      <c r="O123" s="157">
        <f>IF($F123="","",IF(COUNTIF(MASTER_JAM!$A$5:$A$94,$C123)=0,"Digger tidak dikenal",IF($J123="","Hauler tidak dikenal",IF($H123="?","Jam salah",IF($K123=0,"Faktor kosong",IF(SUMIFS(INPUT_DELAY!$E$5:$E$20000,INPUT_DELAY!$A$5:$A$20000,$A123,INPUT_DELAY!$B$5:$B$20000,$B123,INPUT_DELAY!$C$5:$C$20000,$C123)+SUMIFS(INPUT_DELAY!$E$5:$E$20000,INPUT_DELAY!$A$5:$A$20000,$A123,INPUT_DELAY!$B$5:$B$20000,$B123,INPUT_DELAY!$C$5:$C$20000,"SEMUA")&gt;=60,"Delay 60 mnt tapi ada ritase","OK"))))))</f>
        <v/>
      </c>
      <c r="P123" s="158">
        <f>IFERROR(INDEX(MASTER_JAM!$Z$5:$AC$10,MATCH($I123,MASTER_JAM!$Y$5:$Y$10,0),MATCH($J123,MASTER_JAM!$Z$4:$AC$4,0))+0,0)</f>
        <v/>
      </c>
      <c r="Q123" s="158">
        <f>IF($P123=0,0,$P123+IFERROR(INDEX(MASTER_JAM!$H$5:$H$94,MATCH($C123,MASTER_JAM!$A$5:$A$94,0))+0,MASTER_JAM!$AC$15)/1000*(60/MASTER_JAM!$AC$12+60/MASTER_JAM!$AC$13)+MASTER_JAM!$AC$14)</f>
        <v/>
      </c>
      <c r="R123" s="158">
        <f>IF(N($F123)=0,0,$F123/SUMIFS(INPUT_RITASE!$F$5:$F$20000,INPUT_RITASE!$A$5:$A$20000,$A123,INPUT_RITASE!$B$5:$B$20000,$B123,INPUT_RITASE!$C$5:$C$20000,$C123,INPUT_RITASE!$D$5:$D$20000,$D123))</f>
        <v/>
      </c>
      <c r="S123" s="158">
        <f>IF($Q123=0,0,$R123*$P123/$Q123)</f>
        <v/>
      </c>
    </row>
    <row r="124">
      <c r="A124" s="155" t="n">
        <v>46104</v>
      </c>
      <c r="B124" s="156" t="inlineStr">
        <is>
          <t>15-16</t>
        </is>
      </c>
      <c r="C124" s="156" t="inlineStr">
        <is>
          <t>EX-1252</t>
        </is>
      </c>
      <c r="D124" s="156" t="inlineStr">
        <is>
          <t>DT-522</t>
        </is>
      </c>
      <c r="E124" s="156" t="inlineStr">
        <is>
          <t>OB</t>
        </is>
      </c>
      <c r="F124" s="156" t="n">
        <v>3</v>
      </c>
      <c r="G124" s="156" t="inlineStr"/>
      <c r="H124" s="157">
        <f>IF($B124="","",IF(ISNA(MATCH($B124,MASTER_JAM!$Q$5:$Q$28,0)),"?",IF(MATCH($B124,MASTER_JAM!$Q$5:$Q$28,0)&lt;=12,"DS","NS")))</f>
        <v/>
      </c>
      <c r="I124" s="157">
        <f>IFERROR(INDEX(MASTER_JAM!$B$5:$B$94,MATCH($C124,MASTER_JAM!$A$5:$A$94,0)),"")</f>
        <v/>
      </c>
      <c r="J124" s="157">
        <f>IFERROR(INDEX(MASTER_JAM!$E$5:$E$94,MATCH($D124,MASTER_JAM!$A$5:$A$94,0)),"")</f>
        <v/>
      </c>
      <c r="K124" s="158">
        <f>IFERROR(INDEX(MASTER_JAM!$J$5:$O$12,MATCH($E124,MASTER_JAM!$I$5:$I$12,0),MATCH($J124,MASTER_JAM!$J$4:$O$4,0))+0,0)</f>
        <v/>
      </c>
      <c r="L124" s="159">
        <f>N($F124)*$K124</f>
        <v/>
      </c>
      <c r="M124" s="157">
        <f>IF($E124="","",IF(OR($E124="Coal",$E124="Dirty Coal"),"MT","BCM"))</f>
        <v/>
      </c>
      <c r="N124" s="157">
        <f>IF($E124="","",IF(OR($E124="Coal",$E124="Dirty Coal"),"Coal","OB"))</f>
        <v/>
      </c>
      <c r="O124" s="157">
        <f>IF($F124="","",IF(COUNTIF(MASTER_JAM!$A$5:$A$94,$C124)=0,"Digger tidak dikenal",IF($J124="","Hauler tidak dikenal",IF($H124="?","Jam salah",IF($K124=0,"Faktor kosong",IF(SUMIFS(INPUT_DELAY!$E$5:$E$20000,INPUT_DELAY!$A$5:$A$20000,$A124,INPUT_DELAY!$B$5:$B$20000,$B124,INPUT_DELAY!$C$5:$C$20000,$C124)+SUMIFS(INPUT_DELAY!$E$5:$E$20000,INPUT_DELAY!$A$5:$A$20000,$A124,INPUT_DELAY!$B$5:$B$20000,$B124,INPUT_DELAY!$C$5:$C$20000,"SEMUA")&gt;=60,"Delay 60 mnt tapi ada ritase","OK"))))))</f>
        <v/>
      </c>
      <c r="P124" s="158">
        <f>IFERROR(INDEX(MASTER_JAM!$Z$5:$AC$10,MATCH($I124,MASTER_JAM!$Y$5:$Y$10,0),MATCH($J124,MASTER_JAM!$Z$4:$AC$4,0))+0,0)</f>
        <v/>
      </c>
      <c r="Q124" s="158">
        <f>IF($P124=0,0,$P124+IFERROR(INDEX(MASTER_JAM!$H$5:$H$94,MATCH($C124,MASTER_JAM!$A$5:$A$94,0))+0,MASTER_JAM!$AC$15)/1000*(60/MASTER_JAM!$AC$12+60/MASTER_JAM!$AC$13)+MASTER_JAM!$AC$14)</f>
        <v/>
      </c>
      <c r="R124" s="158">
        <f>IF(N($F124)=0,0,$F124/SUMIFS(INPUT_RITASE!$F$5:$F$20000,INPUT_RITASE!$A$5:$A$20000,$A124,INPUT_RITASE!$B$5:$B$20000,$B124,INPUT_RITASE!$C$5:$C$20000,$C124,INPUT_RITASE!$D$5:$D$20000,$D124))</f>
        <v/>
      </c>
      <c r="S124" s="158">
        <f>IF($Q124=0,0,$R124*$P124/$Q124)</f>
        <v/>
      </c>
    </row>
    <row r="125">
      <c r="A125" s="155" t="n">
        <v>46104</v>
      </c>
      <c r="B125" s="156" t="inlineStr">
        <is>
          <t>15-16</t>
        </is>
      </c>
      <c r="C125" s="156" t="inlineStr">
        <is>
          <t>EX-1252</t>
        </is>
      </c>
      <c r="D125" s="156" t="inlineStr">
        <is>
          <t>DT-527</t>
        </is>
      </c>
      <c r="E125" s="156" t="inlineStr">
        <is>
          <t>OB</t>
        </is>
      </c>
      <c r="F125" s="156" t="n">
        <v>3</v>
      </c>
      <c r="G125" s="156" t="inlineStr"/>
      <c r="H125" s="157">
        <f>IF($B125="","",IF(ISNA(MATCH($B125,MASTER_JAM!$Q$5:$Q$28,0)),"?",IF(MATCH($B125,MASTER_JAM!$Q$5:$Q$28,0)&lt;=12,"DS","NS")))</f>
        <v/>
      </c>
      <c r="I125" s="157">
        <f>IFERROR(INDEX(MASTER_JAM!$B$5:$B$94,MATCH($C125,MASTER_JAM!$A$5:$A$94,0)),"")</f>
        <v/>
      </c>
      <c r="J125" s="157">
        <f>IFERROR(INDEX(MASTER_JAM!$E$5:$E$94,MATCH($D125,MASTER_JAM!$A$5:$A$94,0)),"")</f>
        <v/>
      </c>
      <c r="K125" s="158">
        <f>IFERROR(INDEX(MASTER_JAM!$J$5:$O$12,MATCH($E125,MASTER_JAM!$I$5:$I$12,0),MATCH($J125,MASTER_JAM!$J$4:$O$4,0))+0,0)</f>
        <v/>
      </c>
      <c r="L125" s="159">
        <f>N($F125)*$K125</f>
        <v/>
      </c>
      <c r="M125" s="157">
        <f>IF($E125="","",IF(OR($E125="Coal",$E125="Dirty Coal"),"MT","BCM"))</f>
        <v/>
      </c>
      <c r="N125" s="157">
        <f>IF($E125="","",IF(OR($E125="Coal",$E125="Dirty Coal"),"Coal","OB"))</f>
        <v/>
      </c>
      <c r="O125" s="157">
        <f>IF($F125="","",IF(COUNTIF(MASTER_JAM!$A$5:$A$94,$C125)=0,"Digger tidak dikenal",IF($J125="","Hauler tidak dikenal",IF($H125="?","Jam salah",IF($K125=0,"Faktor kosong",IF(SUMIFS(INPUT_DELAY!$E$5:$E$20000,INPUT_DELAY!$A$5:$A$20000,$A125,INPUT_DELAY!$B$5:$B$20000,$B125,INPUT_DELAY!$C$5:$C$20000,$C125)+SUMIFS(INPUT_DELAY!$E$5:$E$20000,INPUT_DELAY!$A$5:$A$20000,$A125,INPUT_DELAY!$B$5:$B$20000,$B125,INPUT_DELAY!$C$5:$C$20000,"SEMUA")&gt;=60,"Delay 60 mnt tapi ada ritase","OK"))))))</f>
        <v/>
      </c>
      <c r="P125" s="158">
        <f>IFERROR(INDEX(MASTER_JAM!$Z$5:$AC$10,MATCH($I125,MASTER_JAM!$Y$5:$Y$10,0),MATCH($J125,MASTER_JAM!$Z$4:$AC$4,0))+0,0)</f>
        <v/>
      </c>
      <c r="Q125" s="158">
        <f>IF($P125=0,0,$P125+IFERROR(INDEX(MASTER_JAM!$H$5:$H$94,MATCH($C125,MASTER_JAM!$A$5:$A$94,0))+0,MASTER_JAM!$AC$15)/1000*(60/MASTER_JAM!$AC$12+60/MASTER_JAM!$AC$13)+MASTER_JAM!$AC$14)</f>
        <v/>
      </c>
      <c r="R125" s="158">
        <f>IF(N($F125)=0,0,$F125/SUMIFS(INPUT_RITASE!$F$5:$F$20000,INPUT_RITASE!$A$5:$A$20000,$A125,INPUT_RITASE!$B$5:$B$20000,$B125,INPUT_RITASE!$C$5:$C$20000,$C125,INPUT_RITASE!$D$5:$D$20000,$D125))</f>
        <v/>
      </c>
      <c r="S125" s="158">
        <f>IF($Q125=0,0,$R125*$P125/$Q125)</f>
        <v/>
      </c>
    </row>
    <row r="126">
      <c r="A126" s="155" t="n">
        <v>46104</v>
      </c>
      <c r="B126" s="156" t="inlineStr">
        <is>
          <t>16-17</t>
        </is>
      </c>
      <c r="C126" s="156" t="inlineStr">
        <is>
          <t>EX-1252</t>
        </is>
      </c>
      <c r="D126" s="156" t="inlineStr">
        <is>
          <t>DT-501</t>
        </is>
      </c>
      <c r="E126" s="156" t="inlineStr">
        <is>
          <t>OB</t>
        </is>
      </c>
      <c r="F126" s="156" t="n">
        <v>4</v>
      </c>
      <c r="G126" s="156" t="inlineStr"/>
      <c r="H126" s="157">
        <f>IF($B126="","",IF(ISNA(MATCH($B126,MASTER_JAM!$Q$5:$Q$28,0)),"?",IF(MATCH($B126,MASTER_JAM!$Q$5:$Q$28,0)&lt;=12,"DS","NS")))</f>
        <v/>
      </c>
      <c r="I126" s="157">
        <f>IFERROR(INDEX(MASTER_JAM!$B$5:$B$94,MATCH($C126,MASTER_JAM!$A$5:$A$94,0)),"")</f>
        <v/>
      </c>
      <c r="J126" s="157">
        <f>IFERROR(INDEX(MASTER_JAM!$E$5:$E$94,MATCH($D126,MASTER_JAM!$A$5:$A$94,0)),"")</f>
        <v/>
      </c>
      <c r="K126" s="158">
        <f>IFERROR(INDEX(MASTER_JAM!$J$5:$O$12,MATCH($E126,MASTER_JAM!$I$5:$I$12,0),MATCH($J126,MASTER_JAM!$J$4:$O$4,0))+0,0)</f>
        <v/>
      </c>
      <c r="L126" s="159">
        <f>N($F126)*$K126</f>
        <v/>
      </c>
      <c r="M126" s="157">
        <f>IF($E126="","",IF(OR($E126="Coal",$E126="Dirty Coal"),"MT","BCM"))</f>
        <v/>
      </c>
      <c r="N126" s="157">
        <f>IF($E126="","",IF(OR($E126="Coal",$E126="Dirty Coal"),"Coal","OB"))</f>
        <v/>
      </c>
      <c r="O126" s="157">
        <f>IF($F126="","",IF(COUNTIF(MASTER_JAM!$A$5:$A$94,$C126)=0,"Digger tidak dikenal",IF($J126="","Hauler tidak dikenal",IF($H126="?","Jam salah",IF($K126=0,"Faktor kosong",IF(SUMIFS(INPUT_DELAY!$E$5:$E$20000,INPUT_DELAY!$A$5:$A$20000,$A126,INPUT_DELAY!$B$5:$B$20000,$B126,INPUT_DELAY!$C$5:$C$20000,$C126)+SUMIFS(INPUT_DELAY!$E$5:$E$20000,INPUT_DELAY!$A$5:$A$20000,$A126,INPUT_DELAY!$B$5:$B$20000,$B126,INPUT_DELAY!$C$5:$C$20000,"SEMUA")&gt;=60,"Delay 60 mnt tapi ada ritase","OK"))))))</f>
        <v/>
      </c>
      <c r="P126" s="158">
        <f>IFERROR(INDEX(MASTER_JAM!$Z$5:$AC$10,MATCH($I126,MASTER_JAM!$Y$5:$Y$10,0),MATCH($J126,MASTER_JAM!$Z$4:$AC$4,0))+0,0)</f>
        <v/>
      </c>
      <c r="Q126" s="158">
        <f>IF($P126=0,0,$P126+IFERROR(INDEX(MASTER_JAM!$H$5:$H$94,MATCH($C126,MASTER_JAM!$A$5:$A$94,0))+0,MASTER_JAM!$AC$15)/1000*(60/MASTER_JAM!$AC$12+60/MASTER_JAM!$AC$13)+MASTER_JAM!$AC$14)</f>
        <v/>
      </c>
      <c r="R126" s="158">
        <f>IF(N($F126)=0,0,$F126/SUMIFS(INPUT_RITASE!$F$5:$F$20000,INPUT_RITASE!$A$5:$A$20000,$A126,INPUT_RITASE!$B$5:$B$20000,$B126,INPUT_RITASE!$C$5:$C$20000,$C126,INPUT_RITASE!$D$5:$D$20000,$D126))</f>
        <v/>
      </c>
      <c r="S126" s="158">
        <f>IF($Q126=0,0,$R126*$P126/$Q126)</f>
        <v/>
      </c>
    </row>
    <row r="127">
      <c r="A127" s="155" t="n">
        <v>46104</v>
      </c>
      <c r="B127" s="156" t="inlineStr">
        <is>
          <t>16-17</t>
        </is>
      </c>
      <c r="C127" s="156" t="inlineStr">
        <is>
          <t>EX-1252</t>
        </is>
      </c>
      <c r="D127" s="156" t="inlineStr">
        <is>
          <t>DT-513</t>
        </is>
      </c>
      <c r="E127" s="156" t="inlineStr">
        <is>
          <t>OB</t>
        </is>
      </c>
      <c r="F127" s="156" t="n">
        <v>4</v>
      </c>
      <c r="G127" s="156" t="inlineStr"/>
      <c r="H127" s="157">
        <f>IF($B127="","",IF(ISNA(MATCH($B127,MASTER_JAM!$Q$5:$Q$28,0)),"?",IF(MATCH($B127,MASTER_JAM!$Q$5:$Q$28,0)&lt;=12,"DS","NS")))</f>
        <v/>
      </c>
      <c r="I127" s="157">
        <f>IFERROR(INDEX(MASTER_JAM!$B$5:$B$94,MATCH($C127,MASTER_JAM!$A$5:$A$94,0)),"")</f>
        <v/>
      </c>
      <c r="J127" s="157">
        <f>IFERROR(INDEX(MASTER_JAM!$E$5:$E$94,MATCH($D127,MASTER_JAM!$A$5:$A$94,0)),"")</f>
        <v/>
      </c>
      <c r="K127" s="158">
        <f>IFERROR(INDEX(MASTER_JAM!$J$5:$O$12,MATCH($E127,MASTER_JAM!$I$5:$I$12,0),MATCH($J127,MASTER_JAM!$J$4:$O$4,0))+0,0)</f>
        <v/>
      </c>
      <c r="L127" s="159">
        <f>N($F127)*$K127</f>
        <v/>
      </c>
      <c r="M127" s="157">
        <f>IF($E127="","",IF(OR($E127="Coal",$E127="Dirty Coal"),"MT","BCM"))</f>
        <v/>
      </c>
      <c r="N127" s="157">
        <f>IF($E127="","",IF(OR($E127="Coal",$E127="Dirty Coal"),"Coal","OB"))</f>
        <v/>
      </c>
      <c r="O127" s="157">
        <f>IF($F127="","",IF(COUNTIF(MASTER_JAM!$A$5:$A$94,$C127)=0,"Digger tidak dikenal",IF($J127="","Hauler tidak dikenal",IF($H127="?","Jam salah",IF($K127=0,"Faktor kosong",IF(SUMIFS(INPUT_DELAY!$E$5:$E$20000,INPUT_DELAY!$A$5:$A$20000,$A127,INPUT_DELAY!$B$5:$B$20000,$B127,INPUT_DELAY!$C$5:$C$20000,$C127)+SUMIFS(INPUT_DELAY!$E$5:$E$20000,INPUT_DELAY!$A$5:$A$20000,$A127,INPUT_DELAY!$B$5:$B$20000,$B127,INPUT_DELAY!$C$5:$C$20000,"SEMUA")&gt;=60,"Delay 60 mnt tapi ada ritase","OK"))))))</f>
        <v/>
      </c>
      <c r="P127" s="158">
        <f>IFERROR(INDEX(MASTER_JAM!$Z$5:$AC$10,MATCH($I127,MASTER_JAM!$Y$5:$Y$10,0),MATCH($J127,MASTER_JAM!$Z$4:$AC$4,0))+0,0)</f>
        <v/>
      </c>
      <c r="Q127" s="158">
        <f>IF($P127=0,0,$P127+IFERROR(INDEX(MASTER_JAM!$H$5:$H$94,MATCH($C127,MASTER_JAM!$A$5:$A$94,0))+0,MASTER_JAM!$AC$15)/1000*(60/MASTER_JAM!$AC$12+60/MASTER_JAM!$AC$13)+MASTER_JAM!$AC$14)</f>
        <v/>
      </c>
      <c r="R127" s="158">
        <f>IF(N($F127)=0,0,$F127/SUMIFS(INPUT_RITASE!$F$5:$F$20000,INPUT_RITASE!$A$5:$A$20000,$A127,INPUT_RITASE!$B$5:$B$20000,$B127,INPUT_RITASE!$C$5:$C$20000,$C127,INPUT_RITASE!$D$5:$D$20000,$D127))</f>
        <v/>
      </c>
      <c r="S127" s="158">
        <f>IF($Q127=0,0,$R127*$P127/$Q127)</f>
        <v/>
      </c>
    </row>
    <row r="128">
      <c r="A128" s="155" t="n">
        <v>46104</v>
      </c>
      <c r="B128" s="156" t="inlineStr">
        <is>
          <t>16-17</t>
        </is>
      </c>
      <c r="C128" s="156" t="inlineStr">
        <is>
          <t>EX-1252</t>
        </is>
      </c>
      <c r="D128" s="156" t="inlineStr">
        <is>
          <t>DT-506</t>
        </is>
      </c>
      <c r="E128" s="156" t="inlineStr">
        <is>
          <t>OB</t>
        </is>
      </c>
      <c r="F128" s="156" t="n">
        <v>3</v>
      </c>
      <c r="G128" s="156" t="inlineStr"/>
      <c r="H128" s="157">
        <f>IF($B128="","",IF(ISNA(MATCH($B128,MASTER_JAM!$Q$5:$Q$28,0)),"?",IF(MATCH($B128,MASTER_JAM!$Q$5:$Q$28,0)&lt;=12,"DS","NS")))</f>
        <v/>
      </c>
      <c r="I128" s="157">
        <f>IFERROR(INDEX(MASTER_JAM!$B$5:$B$94,MATCH($C128,MASTER_JAM!$A$5:$A$94,0)),"")</f>
        <v/>
      </c>
      <c r="J128" s="157">
        <f>IFERROR(INDEX(MASTER_JAM!$E$5:$E$94,MATCH($D128,MASTER_JAM!$A$5:$A$94,0)),"")</f>
        <v/>
      </c>
      <c r="K128" s="158">
        <f>IFERROR(INDEX(MASTER_JAM!$J$5:$O$12,MATCH($E128,MASTER_JAM!$I$5:$I$12,0),MATCH($J128,MASTER_JAM!$J$4:$O$4,0))+0,0)</f>
        <v/>
      </c>
      <c r="L128" s="159">
        <f>N($F128)*$K128</f>
        <v/>
      </c>
      <c r="M128" s="157">
        <f>IF($E128="","",IF(OR($E128="Coal",$E128="Dirty Coal"),"MT","BCM"))</f>
        <v/>
      </c>
      <c r="N128" s="157">
        <f>IF($E128="","",IF(OR($E128="Coal",$E128="Dirty Coal"),"Coal","OB"))</f>
        <v/>
      </c>
      <c r="O128" s="157">
        <f>IF($F128="","",IF(COUNTIF(MASTER_JAM!$A$5:$A$94,$C128)=0,"Digger tidak dikenal",IF($J128="","Hauler tidak dikenal",IF($H128="?","Jam salah",IF($K128=0,"Faktor kosong",IF(SUMIFS(INPUT_DELAY!$E$5:$E$20000,INPUT_DELAY!$A$5:$A$20000,$A128,INPUT_DELAY!$B$5:$B$20000,$B128,INPUT_DELAY!$C$5:$C$20000,$C128)+SUMIFS(INPUT_DELAY!$E$5:$E$20000,INPUT_DELAY!$A$5:$A$20000,$A128,INPUT_DELAY!$B$5:$B$20000,$B128,INPUT_DELAY!$C$5:$C$20000,"SEMUA")&gt;=60,"Delay 60 mnt tapi ada ritase","OK"))))))</f>
        <v/>
      </c>
      <c r="P128" s="158">
        <f>IFERROR(INDEX(MASTER_JAM!$Z$5:$AC$10,MATCH($I128,MASTER_JAM!$Y$5:$Y$10,0),MATCH($J128,MASTER_JAM!$Z$4:$AC$4,0))+0,0)</f>
        <v/>
      </c>
      <c r="Q128" s="158">
        <f>IF($P128=0,0,$P128+IFERROR(INDEX(MASTER_JAM!$H$5:$H$94,MATCH($C128,MASTER_JAM!$A$5:$A$94,0))+0,MASTER_JAM!$AC$15)/1000*(60/MASTER_JAM!$AC$12+60/MASTER_JAM!$AC$13)+MASTER_JAM!$AC$14)</f>
        <v/>
      </c>
      <c r="R128" s="158">
        <f>IF(N($F128)=0,0,$F128/SUMIFS(INPUT_RITASE!$F$5:$F$20000,INPUT_RITASE!$A$5:$A$20000,$A128,INPUT_RITASE!$B$5:$B$20000,$B128,INPUT_RITASE!$C$5:$C$20000,$C128,INPUT_RITASE!$D$5:$D$20000,$D128))</f>
        <v/>
      </c>
      <c r="S128" s="158">
        <f>IF($Q128=0,0,$R128*$P128/$Q128)</f>
        <v/>
      </c>
    </row>
    <row r="129">
      <c r="A129" s="155" t="n">
        <v>46104</v>
      </c>
      <c r="B129" s="156" t="inlineStr">
        <is>
          <t>16-17</t>
        </is>
      </c>
      <c r="C129" s="156" t="inlineStr">
        <is>
          <t>EX-1252</t>
        </is>
      </c>
      <c r="D129" s="156" t="inlineStr">
        <is>
          <t>DT-504</t>
        </is>
      </c>
      <c r="E129" s="156" t="inlineStr">
        <is>
          <t>OB</t>
        </is>
      </c>
      <c r="F129" s="156" t="n">
        <v>3</v>
      </c>
      <c r="G129" s="156" t="inlineStr"/>
      <c r="H129" s="157">
        <f>IF($B129="","",IF(ISNA(MATCH($B129,MASTER_JAM!$Q$5:$Q$28,0)),"?",IF(MATCH($B129,MASTER_JAM!$Q$5:$Q$28,0)&lt;=12,"DS","NS")))</f>
        <v/>
      </c>
      <c r="I129" s="157">
        <f>IFERROR(INDEX(MASTER_JAM!$B$5:$B$94,MATCH($C129,MASTER_JAM!$A$5:$A$94,0)),"")</f>
        <v/>
      </c>
      <c r="J129" s="157">
        <f>IFERROR(INDEX(MASTER_JAM!$E$5:$E$94,MATCH($D129,MASTER_JAM!$A$5:$A$94,0)),"")</f>
        <v/>
      </c>
      <c r="K129" s="158">
        <f>IFERROR(INDEX(MASTER_JAM!$J$5:$O$12,MATCH($E129,MASTER_JAM!$I$5:$I$12,0),MATCH($J129,MASTER_JAM!$J$4:$O$4,0))+0,0)</f>
        <v/>
      </c>
      <c r="L129" s="159">
        <f>N($F129)*$K129</f>
        <v/>
      </c>
      <c r="M129" s="157">
        <f>IF($E129="","",IF(OR($E129="Coal",$E129="Dirty Coal"),"MT","BCM"))</f>
        <v/>
      </c>
      <c r="N129" s="157">
        <f>IF($E129="","",IF(OR($E129="Coal",$E129="Dirty Coal"),"Coal","OB"))</f>
        <v/>
      </c>
      <c r="O129" s="157">
        <f>IF($F129="","",IF(COUNTIF(MASTER_JAM!$A$5:$A$94,$C129)=0,"Digger tidak dikenal",IF($J129="","Hauler tidak dikenal",IF($H129="?","Jam salah",IF($K129=0,"Faktor kosong",IF(SUMIFS(INPUT_DELAY!$E$5:$E$20000,INPUT_DELAY!$A$5:$A$20000,$A129,INPUT_DELAY!$B$5:$B$20000,$B129,INPUT_DELAY!$C$5:$C$20000,$C129)+SUMIFS(INPUT_DELAY!$E$5:$E$20000,INPUT_DELAY!$A$5:$A$20000,$A129,INPUT_DELAY!$B$5:$B$20000,$B129,INPUT_DELAY!$C$5:$C$20000,"SEMUA")&gt;=60,"Delay 60 mnt tapi ada ritase","OK"))))))</f>
        <v/>
      </c>
      <c r="P129" s="158">
        <f>IFERROR(INDEX(MASTER_JAM!$Z$5:$AC$10,MATCH($I129,MASTER_JAM!$Y$5:$Y$10,0),MATCH($J129,MASTER_JAM!$Z$4:$AC$4,0))+0,0)</f>
        <v/>
      </c>
      <c r="Q129" s="158">
        <f>IF($P129=0,0,$P129+IFERROR(INDEX(MASTER_JAM!$H$5:$H$94,MATCH($C129,MASTER_JAM!$A$5:$A$94,0))+0,MASTER_JAM!$AC$15)/1000*(60/MASTER_JAM!$AC$12+60/MASTER_JAM!$AC$13)+MASTER_JAM!$AC$14)</f>
        <v/>
      </c>
      <c r="R129" s="158">
        <f>IF(N($F129)=0,0,$F129/SUMIFS(INPUT_RITASE!$F$5:$F$20000,INPUT_RITASE!$A$5:$A$20000,$A129,INPUT_RITASE!$B$5:$B$20000,$B129,INPUT_RITASE!$C$5:$C$20000,$C129,INPUT_RITASE!$D$5:$D$20000,$D129))</f>
        <v/>
      </c>
      <c r="S129" s="158">
        <f>IF($Q129=0,0,$R129*$P129/$Q129)</f>
        <v/>
      </c>
    </row>
    <row r="130">
      <c r="A130" s="155" t="n">
        <v>46104</v>
      </c>
      <c r="B130" s="156" t="inlineStr">
        <is>
          <t>06-07</t>
        </is>
      </c>
      <c r="C130" s="156" t="inlineStr">
        <is>
          <t>EX-2101</t>
        </is>
      </c>
      <c r="D130" s="156" t="inlineStr">
        <is>
          <t>DT-513</t>
        </is>
      </c>
      <c r="E130" s="156" t="inlineStr">
        <is>
          <t>OB</t>
        </is>
      </c>
      <c r="F130" s="156" t="n">
        <v>4</v>
      </c>
      <c r="G130" s="156" t="inlineStr"/>
      <c r="H130" s="157">
        <f>IF($B130="","",IF(ISNA(MATCH($B130,MASTER_JAM!$Q$5:$Q$28,0)),"?",IF(MATCH($B130,MASTER_JAM!$Q$5:$Q$28,0)&lt;=12,"DS","NS")))</f>
        <v/>
      </c>
      <c r="I130" s="157">
        <f>IFERROR(INDEX(MASTER_JAM!$B$5:$B$94,MATCH($C130,MASTER_JAM!$A$5:$A$94,0)),"")</f>
        <v/>
      </c>
      <c r="J130" s="157">
        <f>IFERROR(INDEX(MASTER_JAM!$E$5:$E$94,MATCH($D130,MASTER_JAM!$A$5:$A$94,0)),"")</f>
        <v/>
      </c>
      <c r="K130" s="158">
        <f>IFERROR(INDEX(MASTER_JAM!$J$5:$O$12,MATCH($E130,MASTER_JAM!$I$5:$I$12,0),MATCH($J130,MASTER_JAM!$J$4:$O$4,0))+0,0)</f>
        <v/>
      </c>
      <c r="L130" s="159">
        <f>N($F130)*$K130</f>
        <v/>
      </c>
      <c r="M130" s="157">
        <f>IF($E130="","",IF(OR($E130="Coal",$E130="Dirty Coal"),"MT","BCM"))</f>
        <v/>
      </c>
      <c r="N130" s="157">
        <f>IF($E130="","",IF(OR($E130="Coal",$E130="Dirty Coal"),"Coal","OB"))</f>
        <v/>
      </c>
      <c r="O130" s="157">
        <f>IF($F130="","",IF(COUNTIF(MASTER_JAM!$A$5:$A$94,$C130)=0,"Digger tidak dikenal",IF($J130="","Hauler tidak dikenal",IF($H130="?","Jam salah",IF($K130=0,"Faktor kosong",IF(SUMIFS(INPUT_DELAY!$E$5:$E$20000,INPUT_DELAY!$A$5:$A$20000,$A130,INPUT_DELAY!$B$5:$B$20000,$B130,INPUT_DELAY!$C$5:$C$20000,$C130)+SUMIFS(INPUT_DELAY!$E$5:$E$20000,INPUT_DELAY!$A$5:$A$20000,$A130,INPUT_DELAY!$B$5:$B$20000,$B130,INPUT_DELAY!$C$5:$C$20000,"SEMUA")&gt;=60,"Delay 60 mnt tapi ada ritase","OK"))))))</f>
        <v/>
      </c>
      <c r="P130" s="158">
        <f>IFERROR(INDEX(MASTER_JAM!$Z$5:$AC$10,MATCH($I130,MASTER_JAM!$Y$5:$Y$10,0),MATCH($J130,MASTER_JAM!$Z$4:$AC$4,0))+0,0)</f>
        <v/>
      </c>
      <c r="Q130" s="158">
        <f>IF($P130=0,0,$P130+IFERROR(INDEX(MASTER_JAM!$H$5:$H$94,MATCH($C130,MASTER_JAM!$A$5:$A$94,0))+0,MASTER_JAM!$AC$15)/1000*(60/MASTER_JAM!$AC$12+60/MASTER_JAM!$AC$13)+MASTER_JAM!$AC$14)</f>
        <v/>
      </c>
      <c r="R130" s="158">
        <f>IF(N($F130)=0,0,$F130/SUMIFS(INPUT_RITASE!$F$5:$F$20000,INPUT_RITASE!$A$5:$A$20000,$A130,INPUT_RITASE!$B$5:$B$20000,$B130,INPUT_RITASE!$C$5:$C$20000,$C130,INPUT_RITASE!$D$5:$D$20000,$D130))</f>
        <v/>
      </c>
      <c r="S130" s="158">
        <f>IF($Q130=0,0,$R130*$P130/$Q130)</f>
        <v/>
      </c>
    </row>
    <row r="131">
      <c r="A131" s="155" t="n">
        <v>46104</v>
      </c>
      <c r="B131" s="156" t="inlineStr">
        <is>
          <t>06-07</t>
        </is>
      </c>
      <c r="C131" s="156" t="inlineStr">
        <is>
          <t>EX-2101</t>
        </is>
      </c>
      <c r="D131" s="156" t="inlineStr">
        <is>
          <t>HD-901</t>
        </is>
      </c>
      <c r="E131" s="156" t="inlineStr">
        <is>
          <t>OB</t>
        </is>
      </c>
      <c r="F131" s="156" t="n">
        <v>4</v>
      </c>
      <c r="G131" s="156" t="inlineStr"/>
      <c r="H131" s="157">
        <f>IF($B131="","",IF(ISNA(MATCH($B131,MASTER_JAM!$Q$5:$Q$28,0)),"?",IF(MATCH($B131,MASTER_JAM!$Q$5:$Q$28,0)&lt;=12,"DS","NS")))</f>
        <v/>
      </c>
      <c r="I131" s="157">
        <f>IFERROR(INDEX(MASTER_JAM!$B$5:$B$94,MATCH($C131,MASTER_JAM!$A$5:$A$94,0)),"")</f>
        <v/>
      </c>
      <c r="J131" s="157">
        <f>IFERROR(INDEX(MASTER_JAM!$E$5:$E$94,MATCH($D131,MASTER_JAM!$A$5:$A$94,0)),"")</f>
        <v/>
      </c>
      <c r="K131" s="158">
        <f>IFERROR(INDEX(MASTER_JAM!$J$5:$O$12,MATCH($E131,MASTER_JAM!$I$5:$I$12,0),MATCH($J131,MASTER_JAM!$J$4:$O$4,0))+0,0)</f>
        <v/>
      </c>
      <c r="L131" s="159">
        <f>N($F131)*$K131</f>
        <v/>
      </c>
      <c r="M131" s="157">
        <f>IF($E131="","",IF(OR($E131="Coal",$E131="Dirty Coal"),"MT","BCM"))</f>
        <v/>
      </c>
      <c r="N131" s="157">
        <f>IF($E131="","",IF(OR($E131="Coal",$E131="Dirty Coal"),"Coal","OB"))</f>
        <v/>
      </c>
      <c r="O131" s="157">
        <f>IF($F131="","",IF(COUNTIF(MASTER_JAM!$A$5:$A$94,$C131)=0,"Digger tidak dikenal",IF($J131="","Hauler tidak dikenal",IF($H131="?","Jam salah",IF($K131=0,"Faktor kosong",IF(SUMIFS(INPUT_DELAY!$E$5:$E$20000,INPUT_DELAY!$A$5:$A$20000,$A131,INPUT_DELAY!$B$5:$B$20000,$B131,INPUT_DELAY!$C$5:$C$20000,$C131)+SUMIFS(INPUT_DELAY!$E$5:$E$20000,INPUT_DELAY!$A$5:$A$20000,$A131,INPUT_DELAY!$B$5:$B$20000,$B131,INPUT_DELAY!$C$5:$C$20000,"SEMUA")&gt;=60,"Delay 60 mnt tapi ada ritase","OK"))))))</f>
        <v/>
      </c>
      <c r="P131" s="158">
        <f>IFERROR(INDEX(MASTER_JAM!$Z$5:$AC$10,MATCH($I131,MASTER_JAM!$Y$5:$Y$10,0),MATCH($J131,MASTER_JAM!$Z$4:$AC$4,0))+0,0)</f>
        <v/>
      </c>
      <c r="Q131" s="158">
        <f>IF($P131=0,0,$P131+IFERROR(INDEX(MASTER_JAM!$H$5:$H$94,MATCH($C131,MASTER_JAM!$A$5:$A$94,0))+0,MASTER_JAM!$AC$15)/1000*(60/MASTER_JAM!$AC$12+60/MASTER_JAM!$AC$13)+MASTER_JAM!$AC$14)</f>
        <v/>
      </c>
      <c r="R131" s="158">
        <f>IF(N($F131)=0,0,$F131/SUMIFS(INPUT_RITASE!$F$5:$F$20000,INPUT_RITASE!$A$5:$A$20000,$A131,INPUT_RITASE!$B$5:$B$20000,$B131,INPUT_RITASE!$C$5:$C$20000,$C131,INPUT_RITASE!$D$5:$D$20000,$D131))</f>
        <v/>
      </c>
      <c r="S131" s="158">
        <f>IF($Q131=0,0,$R131*$P131/$Q131)</f>
        <v/>
      </c>
    </row>
    <row r="132">
      <c r="A132" s="155" t="n">
        <v>46104</v>
      </c>
      <c r="B132" s="156" t="inlineStr">
        <is>
          <t>06-07</t>
        </is>
      </c>
      <c r="C132" s="156" t="inlineStr">
        <is>
          <t>EX-2101</t>
        </is>
      </c>
      <c r="D132" s="156" t="inlineStr">
        <is>
          <t>HD-903</t>
        </is>
      </c>
      <c r="E132" s="156" t="inlineStr">
        <is>
          <t>OB</t>
        </is>
      </c>
      <c r="F132" s="156" t="n">
        <v>4</v>
      </c>
      <c r="G132" s="156" t="inlineStr"/>
      <c r="H132" s="157">
        <f>IF($B132="","",IF(ISNA(MATCH($B132,MASTER_JAM!$Q$5:$Q$28,0)),"?",IF(MATCH($B132,MASTER_JAM!$Q$5:$Q$28,0)&lt;=12,"DS","NS")))</f>
        <v/>
      </c>
      <c r="I132" s="157">
        <f>IFERROR(INDEX(MASTER_JAM!$B$5:$B$94,MATCH($C132,MASTER_JAM!$A$5:$A$94,0)),"")</f>
        <v/>
      </c>
      <c r="J132" s="157">
        <f>IFERROR(INDEX(MASTER_JAM!$E$5:$E$94,MATCH($D132,MASTER_JAM!$A$5:$A$94,0)),"")</f>
        <v/>
      </c>
      <c r="K132" s="158">
        <f>IFERROR(INDEX(MASTER_JAM!$J$5:$O$12,MATCH($E132,MASTER_JAM!$I$5:$I$12,0),MATCH($J132,MASTER_JAM!$J$4:$O$4,0))+0,0)</f>
        <v/>
      </c>
      <c r="L132" s="159">
        <f>N($F132)*$K132</f>
        <v/>
      </c>
      <c r="M132" s="157">
        <f>IF($E132="","",IF(OR($E132="Coal",$E132="Dirty Coal"),"MT","BCM"))</f>
        <v/>
      </c>
      <c r="N132" s="157">
        <f>IF($E132="","",IF(OR($E132="Coal",$E132="Dirty Coal"),"Coal","OB"))</f>
        <v/>
      </c>
      <c r="O132" s="157">
        <f>IF($F132="","",IF(COUNTIF(MASTER_JAM!$A$5:$A$94,$C132)=0,"Digger tidak dikenal",IF($J132="","Hauler tidak dikenal",IF($H132="?","Jam salah",IF($K132=0,"Faktor kosong",IF(SUMIFS(INPUT_DELAY!$E$5:$E$20000,INPUT_DELAY!$A$5:$A$20000,$A132,INPUT_DELAY!$B$5:$B$20000,$B132,INPUT_DELAY!$C$5:$C$20000,$C132)+SUMIFS(INPUT_DELAY!$E$5:$E$20000,INPUT_DELAY!$A$5:$A$20000,$A132,INPUT_DELAY!$B$5:$B$20000,$B132,INPUT_DELAY!$C$5:$C$20000,"SEMUA")&gt;=60,"Delay 60 mnt tapi ada ritase","OK"))))))</f>
        <v/>
      </c>
      <c r="P132" s="158">
        <f>IFERROR(INDEX(MASTER_JAM!$Z$5:$AC$10,MATCH($I132,MASTER_JAM!$Y$5:$Y$10,0),MATCH($J132,MASTER_JAM!$Z$4:$AC$4,0))+0,0)</f>
        <v/>
      </c>
      <c r="Q132" s="158">
        <f>IF($P132=0,0,$P132+IFERROR(INDEX(MASTER_JAM!$H$5:$H$94,MATCH($C132,MASTER_JAM!$A$5:$A$94,0))+0,MASTER_JAM!$AC$15)/1000*(60/MASTER_JAM!$AC$12+60/MASTER_JAM!$AC$13)+MASTER_JAM!$AC$14)</f>
        <v/>
      </c>
      <c r="R132" s="158">
        <f>IF(N($F132)=0,0,$F132/SUMIFS(INPUT_RITASE!$F$5:$F$20000,INPUT_RITASE!$A$5:$A$20000,$A132,INPUT_RITASE!$B$5:$B$20000,$B132,INPUT_RITASE!$C$5:$C$20000,$C132,INPUT_RITASE!$D$5:$D$20000,$D132))</f>
        <v/>
      </c>
      <c r="S132" s="158">
        <f>IF($Q132=0,0,$R132*$P132/$Q132)</f>
        <v/>
      </c>
    </row>
    <row r="133">
      <c r="A133" s="155" t="n">
        <v>46104</v>
      </c>
      <c r="B133" s="156" t="inlineStr">
        <is>
          <t>07-08</t>
        </is>
      </c>
      <c r="C133" s="156" t="inlineStr">
        <is>
          <t>EX-2101</t>
        </is>
      </c>
      <c r="D133" s="156" t="inlineStr">
        <is>
          <t>DT-516</t>
        </is>
      </c>
      <c r="E133" s="156" t="inlineStr">
        <is>
          <t>OB</t>
        </is>
      </c>
      <c r="F133" s="156" t="n">
        <v>3</v>
      </c>
      <c r="G133" s="156" t="inlineStr"/>
      <c r="H133" s="157">
        <f>IF($B133="","",IF(ISNA(MATCH($B133,MASTER_JAM!$Q$5:$Q$28,0)),"?",IF(MATCH($B133,MASTER_JAM!$Q$5:$Q$28,0)&lt;=12,"DS","NS")))</f>
        <v/>
      </c>
      <c r="I133" s="157">
        <f>IFERROR(INDEX(MASTER_JAM!$B$5:$B$94,MATCH($C133,MASTER_JAM!$A$5:$A$94,0)),"")</f>
        <v/>
      </c>
      <c r="J133" s="157">
        <f>IFERROR(INDEX(MASTER_JAM!$E$5:$E$94,MATCH($D133,MASTER_JAM!$A$5:$A$94,0)),"")</f>
        <v/>
      </c>
      <c r="K133" s="158">
        <f>IFERROR(INDEX(MASTER_JAM!$J$5:$O$12,MATCH($E133,MASTER_JAM!$I$5:$I$12,0),MATCH($J133,MASTER_JAM!$J$4:$O$4,0))+0,0)</f>
        <v/>
      </c>
      <c r="L133" s="159">
        <f>N($F133)*$K133</f>
        <v/>
      </c>
      <c r="M133" s="157">
        <f>IF($E133="","",IF(OR($E133="Coal",$E133="Dirty Coal"),"MT","BCM"))</f>
        <v/>
      </c>
      <c r="N133" s="157">
        <f>IF($E133="","",IF(OR($E133="Coal",$E133="Dirty Coal"),"Coal","OB"))</f>
        <v/>
      </c>
      <c r="O133" s="157">
        <f>IF($F133="","",IF(COUNTIF(MASTER_JAM!$A$5:$A$94,$C133)=0,"Digger tidak dikenal",IF($J133="","Hauler tidak dikenal",IF($H133="?","Jam salah",IF($K133=0,"Faktor kosong",IF(SUMIFS(INPUT_DELAY!$E$5:$E$20000,INPUT_DELAY!$A$5:$A$20000,$A133,INPUT_DELAY!$B$5:$B$20000,$B133,INPUT_DELAY!$C$5:$C$20000,$C133)+SUMIFS(INPUT_DELAY!$E$5:$E$20000,INPUT_DELAY!$A$5:$A$20000,$A133,INPUT_DELAY!$B$5:$B$20000,$B133,INPUT_DELAY!$C$5:$C$20000,"SEMUA")&gt;=60,"Delay 60 mnt tapi ada ritase","OK"))))))</f>
        <v/>
      </c>
      <c r="P133" s="158">
        <f>IFERROR(INDEX(MASTER_JAM!$Z$5:$AC$10,MATCH($I133,MASTER_JAM!$Y$5:$Y$10,0),MATCH($J133,MASTER_JAM!$Z$4:$AC$4,0))+0,0)</f>
        <v/>
      </c>
      <c r="Q133" s="158">
        <f>IF($P133=0,0,$P133+IFERROR(INDEX(MASTER_JAM!$H$5:$H$94,MATCH($C133,MASTER_JAM!$A$5:$A$94,0))+0,MASTER_JAM!$AC$15)/1000*(60/MASTER_JAM!$AC$12+60/MASTER_JAM!$AC$13)+MASTER_JAM!$AC$14)</f>
        <v/>
      </c>
      <c r="R133" s="158">
        <f>IF(N($F133)=0,0,$F133/SUMIFS(INPUT_RITASE!$F$5:$F$20000,INPUT_RITASE!$A$5:$A$20000,$A133,INPUT_RITASE!$B$5:$B$20000,$B133,INPUT_RITASE!$C$5:$C$20000,$C133,INPUT_RITASE!$D$5:$D$20000,$D133))</f>
        <v/>
      </c>
      <c r="S133" s="158">
        <f>IF($Q133=0,0,$R133*$P133/$Q133)</f>
        <v/>
      </c>
    </row>
    <row r="134">
      <c r="A134" s="155" t="n">
        <v>46104</v>
      </c>
      <c r="B134" s="156" t="inlineStr">
        <is>
          <t>07-08</t>
        </is>
      </c>
      <c r="C134" s="156" t="inlineStr">
        <is>
          <t>EX-2101</t>
        </is>
      </c>
      <c r="D134" s="156" t="inlineStr">
        <is>
          <t>HD-901</t>
        </is>
      </c>
      <c r="E134" s="156" t="inlineStr">
        <is>
          <t>OB</t>
        </is>
      </c>
      <c r="F134" s="156" t="n">
        <v>3</v>
      </c>
      <c r="G134" s="156" t="inlineStr"/>
      <c r="H134" s="157">
        <f>IF($B134="","",IF(ISNA(MATCH($B134,MASTER_JAM!$Q$5:$Q$28,0)),"?",IF(MATCH($B134,MASTER_JAM!$Q$5:$Q$28,0)&lt;=12,"DS","NS")))</f>
        <v/>
      </c>
      <c r="I134" s="157">
        <f>IFERROR(INDEX(MASTER_JAM!$B$5:$B$94,MATCH($C134,MASTER_JAM!$A$5:$A$94,0)),"")</f>
        <v/>
      </c>
      <c r="J134" s="157">
        <f>IFERROR(INDEX(MASTER_JAM!$E$5:$E$94,MATCH($D134,MASTER_JAM!$A$5:$A$94,0)),"")</f>
        <v/>
      </c>
      <c r="K134" s="158">
        <f>IFERROR(INDEX(MASTER_JAM!$J$5:$O$12,MATCH($E134,MASTER_JAM!$I$5:$I$12,0),MATCH($J134,MASTER_JAM!$J$4:$O$4,0))+0,0)</f>
        <v/>
      </c>
      <c r="L134" s="159">
        <f>N($F134)*$K134</f>
        <v/>
      </c>
      <c r="M134" s="157">
        <f>IF($E134="","",IF(OR($E134="Coal",$E134="Dirty Coal"),"MT","BCM"))</f>
        <v/>
      </c>
      <c r="N134" s="157">
        <f>IF($E134="","",IF(OR($E134="Coal",$E134="Dirty Coal"),"Coal","OB"))</f>
        <v/>
      </c>
      <c r="O134" s="157">
        <f>IF($F134="","",IF(COUNTIF(MASTER_JAM!$A$5:$A$94,$C134)=0,"Digger tidak dikenal",IF($J134="","Hauler tidak dikenal",IF($H134="?","Jam salah",IF($K134=0,"Faktor kosong",IF(SUMIFS(INPUT_DELAY!$E$5:$E$20000,INPUT_DELAY!$A$5:$A$20000,$A134,INPUT_DELAY!$B$5:$B$20000,$B134,INPUT_DELAY!$C$5:$C$20000,$C134)+SUMIFS(INPUT_DELAY!$E$5:$E$20000,INPUT_DELAY!$A$5:$A$20000,$A134,INPUT_DELAY!$B$5:$B$20000,$B134,INPUT_DELAY!$C$5:$C$20000,"SEMUA")&gt;=60,"Delay 60 mnt tapi ada ritase","OK"))))))</f>
        <v/>
      </c>
      <c r="P134" s="158">
        <f>IFERROR(INDEX(MASTER_JAM!$Z$5:$AC$10,MATCH($I134,MASTER_JAM!$Y$5:$Y$10,0),MATCH($J134,MASTER_JAM!$Z$4:$AC$4,0))+0,0)</f>
        <v/>
      </c>
      <c r="Q134" s="158">
        <f>IF($P134=0,0,$P134+IFERROR(INDEX(MASTER_JAM!$H$5:$H$94,MATCH($C134,MASTER_JAM!$A$5:$A$94,0))+0,MASTER_JAM!$AC$15)/1000*(60/MASTER_JAM!$AC$12+60/MASTER_JAM!$AC$13)+MASTER_JAM!$AC$14)</f>
        <v/>
      </c>
      <c r="R134" s="158">
        <f>IF(N($F134)=0,0,$F134/SUMIFS(INPUT_RITASE!$F$5:$F$20000,INPUT_RITASE!$A$5:$A$20000,$A134,INPUT_RITASE!$B$5:$B$20000,$B134,INPUT_RITASE!$C$5:$C$20000,$C134,INPUT_RITASE!$D$5:$D$20000,$D134))</f>
        <v/>
      </c>
      <c r="S134" s="158">
        <f>IF($Q134=0,0,$R134*$P134/$Q134)</f>
        <v/>
      </c>
    </row>
    <row r="135">
      <c r="A135" s="155" t="n">
        <v>46104</v>
      </c>
      <c r="B135" s="156" t="inlineStr">
        <is>
          <t>07-08</t>
        </is>
      </c>
      <c r="C135" s="156" t="inlineStr">
        <is>
          <t>EX-2101</t>
        </is>
      </c>
      <c r="D135" s="156" t="inlineStr">
        <is>
          <t>HD-903</t>
        </is>
      </c>
      <c r="E135" s="156" t="inlineStr">
        <is>
          <t>OB</t>
        </is>
      </c>
      <c r="F135" s="156" t="n">
        <v>3</v>
      </c>
      <c r="G135" s="156" t="inlineStr"/>
      <c r="H135" s="157">
        <f>IF($B135="","",IF(ISNA(MATCH($B135,MASTER_JAM!$Q$5:$Q$28,0)),"?",IF(MATCH($B135,MASTER_JAM!$Q$5:$Q$28,0)&lt;=12,"DS","NS")))</f>
        <v/>
      </c>
      <c r="I135" s="157">
        <f>IFERROR(INDEX(MASTER_JAM!$B$5:$B$94,MATCH($C135,MASTER_JAM!$A$5:$A$94,0)),"")</f>
        <v/>
      </c>
      <c r="J135" s="157">
        <f>IFERROR(INDEX(MASTER_JAM!$E$5:$E$94,MATCH($D135,MASTER_JAM!$A$5:$A$94,0)),"")</f>
        <v/>
      </c>
      <c r="K135" s="158">
        <f>IFERROR(INDEX(MASTER_JAM!$J$5:$O$12,MATCH($E135,MASTER_JAM!$I$5:$I$12,0),MATCH($J135,MASTER_JAM!$J$4:$O$4,0))+0,0)</f>
        <v/>
      </c>
      <c r="L135" s="159">
        <f>N($F135)*$K135</f>
        <v/>
      </c>
      <c r="M135" s="157">
        <f>IF($E135="","",IF(OR($E135="Coal",$E135="Dirty Coal"),"MT","BCM"))</f>
        <v/>
      </c>
      <c r="N135" s="157">
        <f>IF($E135="","",IF(OR($E135="Coal",$E135="Dirty Coal"),"Coal","OB"))</f>
        <v/>
      </c>
      <c r="O135" s="157">
        <f>IF($F135="","",IF(COUNTIF(MASTER_JAM!$A$5:$A$94,$C135)=0,"Digger tidak dikenal",IF($J135="","Hauler tidak dikenal",IF($H135="?","Jam salah",IF($K135=0,"Faktor kosong",IF(SUMIFS(INPUT_DELAY!$E$5:$E$20000,INPUT_DELAY!$A$5:$A$20000,$A135,INPUT_DELAY!$B$5:$B$20000,$B135,INPUT_DELAY!$C$5:$C$20000,$C135)+SUMIFS(INPUT_DELAY!$E$5:$E$20000,INPUT_DELAY!$A$5:$A$20000,$A135,INPUT_DELAY!$B$5:$B$20000,$B135,INPUT_DELAY!$C$5:$C$20000,"SEMUA")&gt;=60,"Delay 60 mnt tapi ada ritase","OK"))))))</f>
        <v/>
      </c>
      <c r="P135" s="158">
        <f>IFERROR(INDEX(MASTER_JAM!$Z$5:$AC$10,MATCH($I135,MASTER_JAM!$Y$5:$Y$10,0),MATCH($J135,MASTER_JAM!$Z$4:$AC$4,0))+0,0)</f>
        <v/>
      </c>
      <c r="Q135" s="158">
        <f>IF($P135=0,0,$P135+IFERROR(INDEX(MASTER_JAM!$H$5:$H$94,MATCH($C135,MASTER_JAM!$A$5:$A$94,0))+0,MASTER_JAM!$AC$15)/1000*(60/MASTER_JAM!$AC$12+60/MASTER_JAM!$AC$13)+MASTER_JAM!$AC$14)</f>
        <v/>
      </c>
      <c r="R135" s="158">
        <f>IF(N($F135)=0,0,$F135/SUMIFS(INPUT_RITASE!$F$5:$F$20000,INPUT_RITASE!$A$5:$A$20000,$A135,INPUT_RITASE!$B$5:$B$20000,$B135,INPUT_RITASE!$C$5:$C$20000,$C135,INPUT_RITASE!$D$5:$D$20000,$D135))</f>
        <v/>
      </c>
      <c r="S135" s="158">
        <f>IF($Q135=0,0,$R135*$P135/$Q135)</f>
        <v/>
      </c>
    </row>
    <row r="136">
      <c r="A136" s="155" t="n">
        <v>46104</v>
      </c>
      <c r="B136" s="156" t="inlineStr">
        <is>
          <t>08-09</t>
        </is>
      </c>
      <c r="C136" s="156" t="inlineStr">
        <is>
          <t>EX-2101</t>
        </is>
      </c>
      <c r="D136" s="156" t="inlineStr">
        <is>
          <t>HD-904</t>
        </is>
      </c>
      <c r="E136" s="156" t="inlineStr">
        <is>
          <t>OB</t>
        </is>
      </c>
      <c r="F136" s="156" t="n">
        <v>4</v>
      </c>
      <c r="G136" s="156" t="inlineStr"/>
      <c r="H136" s="157">
        <f>IF($B136="","",IF(ISNA(MATCH($B136,MASTER_JAM!$Q$5:$Q$28,0)),"?",IF(MATCH($B136,MASTER_JAM!$Q$5:$Q$28,0)&lt;=12,"DS","NS")))</f>
        <v/>
      </c>
      <c r="I136" s="157">
        <f>IFERROR(INDEX(MASTER_JAM!$B$5:$B$94,MATCH($C136,MASTER_JAM!$A$5:$A$94,0)),"")</f>
        <v/>
      </c>
      <c r="J136" s="157">
        <f>IFERROR(INDEX(MASTER_JAM!$E$5:$E$94,MATCH($D136,MASTER_JAM!$A$5:$A$94,0)),"")</f>
        <v/>
      </c>
      <c r="K136" s="158">
        <f>IFERROR(INDEX(MASTER_JAM!$J$5:$O$12,MATCH($E136,MASTER_JAM!$I$5:$I$12,0),MATCH($J136,MASTER_JAM!$J$4:$O$4,0))+0,0)</f>
        <v/>
      </c>
      <c r="L136" s="159">
        <f>N($F136)*$K136</f>
        <v/>
      </c>
      <c r="M136" s="157">
        <f>IF($E136="","",IF(OR($E136="Coal",$E136="Dirty Coal"),"MT","BCM"))</f>
        <v/>
      </c>
      <c r="N136" s="157">
        <f>IF($E136="","",IF(OR($E136="Coal",$E136="Dirty Coal"),"Coal","OB"))</f>
        <v/>
      </c>
      <c r="O136" s="157">
        <f>IF($F136="","",IF(COUNTIF(MASTER_JAM!$A$5:$A$94,$C136)=0,"Digger tidak dikenal",IF($J136="","Hauler tidak dikenal",IF($H136="?","Jam salah",IF($K136=0,"Faktor kosong",IF(SUMIFS(INPUT_DELAY!$E$5:$E$20000,INPUT_DELAY!$A$5:$A$20000,$A136,INPUT_DELAY!$B$5:$B$20000,$B136,INPUT_DELAY!$C$5:$C$20000,$C136)+SUMIFS(INPUT_DELAY!$E$5:$E$20000,INPUT_DELAY!$A$5:$A$20000,$A136,INPUT_DELAY!$B$5:$B$20000,$B136,INPUT_DELAY!$C$5:$C$20000,"SEMUA")&gt;=60,"Delay 60 mnt tapi ada ritase","OK"))))))</f>
        <v/>
      </c>
      <c r="P136" s="158">
        <f>IFERROR(INDEX(MASTER_JAM!$Z$5:$AC$10,MATCH($I136,MASTER_JAM!$Y$5:$Y$10,0),MATCH($J136,MASTER_JAM!$Z$4:$AC$4,0))+0,0)</f>
        <v/>
      </c>
      <c r="Q136" s="158">
        <f>IF($P136=0,0,$P136+IFERROR(INDEX(MASTER_JAM!$H$5:$H$94,MATCH($C136,MASTER_JAM!$A$5:$A$94,0))+0,MASTER_JAM!$AC$15)/1000*(60/MASTER_JAM!$AC$12+60/MASTER_JAM!$AC$13)+MASTER_JAM!$AC$14)</f>
        <v/>
      </c>
      <c r="R136" s="158">
        <f>IF(N($F136)=0,0,$F136/SUMIFS(INPUT_RITASE!$F$5:$F$20000,INPUT_RITASE!$A$5:$A$20000,$A136,INPUT_RITASE!$B$5:$B$20000,$B136,INPUT_RITASE!$C$5:$C$20000,$C136,INPUT_RITASE!$D$5:$D$20000,$D136))</f>
        <v/>
      </c>
      <c r="S136" s="158">
        <f>IF($Q136=0,0,$R136*$P136/$Q136)</f>
        <v/>
      </c>
    </row>
    <row r="137">
      <c r="A137" s="155" t="n">
        <v>46104</v>
      </c>
      <c r="B137" s="156" t="inlineStr">
        <is>
          <t>08-09</t>
        </is>
      </c>
      <c r="C137" s="156" t="inlineStr">
        <is>
          <t>EX-2101</t>
        </is>
      </c>
      <c r="D137" s="156" t="inlineStr">
        <is>
          <t>HD-903</t>
        </is>
      </c>
      <c r="E137" s="156" t="inlineStr">
        <is>
          <t>OB</t>
        </is>
      </c>
      <c r="F137" s="156" t="n">
        <v>4</v>
      </c>
      <c r="G137" s="156" t="inlineStr"/>
      <c r="H137" s="157">
        <f>IF($B137="","",IF(ISNA(MATCH($B137,MASTER_JAM!$Q$5:$Q$28,0)),"?",IF(MATCH($B137,MASTER_JAM!$Q$5:$Q$28,0)&lt;=12,"DS","NS")))</f>
        <v/>
      </c>
      <c r="I137" s="157">
        <f>IFERROR(INDEX(MASTER_JAM!$B$5:$B$94,MATCH($C137,MASTER_JAM!$A$5:$A$94,0)),"")</f>
        <v/>
      </c>
      <c r="J137" s="157">
        <f>IFERROR(INDEX(MASTER_JAM!$E$5:$E$94,MATCH($D137,MASTER_JAM!$A$5:$A$94,0)),"")</f>
        <v/>
      </c>
      <c r="K137" s="158">
        <f>IFERROR(INDEX(MASTER_JAM!$J$5:$O$12,MATCH($E137,MASTER_JAM!$I$5:$I$12,0),MATCH($J137,MASTER_JAM!$J$4:$O$4,0))+0,0)</f>
        <v/>
      </c>
      <c r="L137" s="159">
        <f>N($F137)*$K137</f>
        <v/>
      </c>
      <c r="M137" s="157">
        <f>IF($E137="","",IF(OR($E137="Coal",$E137="Dirty Coal"),"MT","BCM"))</f>
        <v/>
      </c>
      <c r="N137" s="157">
        <f>IF($E137="","",IF(OR($E137="Coal",$E137="Dirty Coal"),"Coal","OB"))</f>
        <v/>
      </c>
      <c r="O137" s="157">
        <f>IF($F137="","",IF(COUNTIF(MASTER_JAM!$A$5:$A$94,$C137)=0,"Digger tidak dikenal",IF($J137="","Hauler tidak dikenal",IF($H137="?","Jam salah",IF($K137=0,"Faktor kosong",IF(SUMIFS(INPUT_DELAY!$E$5:$E$20000,INPUT_DELAY!$A$5:$A$20000,$A137,INPUT_DELAY!$B$5:$B$20000,$B137,INPUT_DELAY!$C$5:$C$20000,$C137)+SUMIFS(INPUT_DELAY!$E$5:$E$20000,INPUT_DELAY!$A$5:$A$20000,$A137,INPUT_DELAY!$B$5:$B$20000,$B137,INPUT_DELAY!$C$5:$C$20000,"SEMUA")&gt;=60,"Delay 60 mnt tapi ada ritase","OK"))))))</f>
        <v/>
      </c>
      <c r="P137" s="158">
        <f>IFERROR(INDEX(MASTER_JAM!$Z$5:$AC$10,MATCH($I137,MASTER_JAM!$Y$5:$Y$10,0),MATCH($J137,MASTER_JAM!$Z$4:$AC$4,0))+0,0)</f>
        <v/>
      </c>
      <c r="Q137" s="158">
        <f>IF($P137=0,0,$P137+IFERROR(INDEX(MASTER_JAM!$H$5:$H$94,MATCH($C137,MASTER_JAM!$A$5:$A$94,0))+0,MASTER_JAM!$AC$15)/1000*(60/MASTER_JAM!$AC$12+60/MASTER_JAM!$AC$13)+MASTER_JAM!$AC$14)</f>
        <v/>
      </c>
      <c r="R137" s="158">
        <f>IF(N($F137)=0,0,$F137/SUMIFS(INPUT_RITASE!$F$5:$F$20000,INPUT_RITASE!$A$5:$A$20000,$A137,INPUT_RITASE!$B$5:$B$20000,$B137,INPUT_RITASE!$C$5:$C$20000,$C137,INPUT_RITASE!$D$5:$D$20000,$D137))</f>
        <v/>
      </c>
      <c r="S137" s="158">
        <f>IF($Q137=0,0,$R137*$P137/$Q137)</f>
        <v/>
      </c>
    </row>
    <row r="138">
      <c r="A138" s="155" t="n">
        <v>46104</v>
      </c>
      <c r="B138" s="156" t="inlineStr">
        <is>
          <t>08-09</t>
        </is>
      </c>
      <c r="C138" s="156" t="inlineStr">
        <is>
          <t>EX-2101</t>
        </is>
      </c>
      <c r="D138" s="156" t="inlineStr">
        <is>
          <t>HD-901</t>
        </is>
      </c>
      <c r="E138" s="156" t="inlineStr">
        <is>
          <t>OB</t>
        </is>
      </c>
      <c r="F138" s="156" t="n">
        <v>3</v>
      </c>
      <c r="G138" s="156" t="inlineStr"/>
      <c r="H138" s="157">
        <f>IF($B138="","",IF(ISNA(MATCH($B138,MASTER_JAM!$Q$5:$Q$28,0)),"?",IF(MATCH($B138,MASTER_JAM!$Q$5:$Q$28,0)&lt;=12,"DS","NS")))</f>
        <v/>
      </c>
      <c r="I138" s="157">
        <f>IFERROR(INDEX(MASTER_JAM!$B$5:$B$94,MATCH($C138,MASTER_JAM!$A$5:$A$94,0)),"")</f>
        <v/>
      </c>
      <c r="J138" s="157">
        <f>IFERROR(INDEX(MASTER_JAM!$E$5:$E$94,MATCH($D138,MASTER_JAM!$A$5:$A$94,0)),"")</f>
        <v/>
      </c>
      <c r="K138" s="158">
        <f>IFERROR(INDEX(MASTER_JAM!$J$5:$O$12,MATCH($E138,MASTER_JAM!$I$5:$I$12,0),MATCH($J138,MASTER_JAM!$J$4:$O$4,0))+0,0)</f>
        <v/>
      </c>
      <c r="L138" s="159">
        <f>N($F138)*$K138</f>
        <v/>
      </c>
      <c r="M138" s="157">
        <f>IF($E138="","",IF(OR($E138="Coal",$E138="Dirty Coal"),"MT","BCM"))</f>
        <v/>
      </c>
      <c r="N138" s="157">
        <f>IF($E138="","",IF(OR($E138="Coal",$E138="Dirty Coal"),"Coal","OB"))</f>
        <v/>
      </c>
      <c r="O138" s="157">
        <f>IF($F138="","",IF(COUNTIF(MASTER_JAM!$A$5:$A$94,$C138)=0,"Digger tidak dikenal",IF($J138="","Hauler tidak dikenal",IF($H138="?","Jam salah",IF($K138=0,"Faktor kosong",IF(SUMIFS(INPUT_DELAY!$E$5:$E$20000,INPUT_DELAY!$A$5:$A$20000,$A138,INPUT_DELAY!$B$5:$B$20000,$B138,INPUT_DELAY!$C$5:$C$20000,$C138)+SUMIFS(INPUT_DELAY!$E$5:$E$20000,INPUT_DELAY!$A$5:$A$20000,$A138,INPUT_DELAY!$B$5:$B$20000,$B138,INPUT_DELAY!$C$5:$C$20000,"SEMUA")&gt;=60,"Delay 60 mnt tapi ada ritase","OK"))))))</f>
        <v/>
      </c>
      <c r="P138" s="158">
        <f>IFERROR(INDEX(MASTER_JAM!$Z$5:$AC$10,MATCH($I138,MASTER_JAM!$Y$5:$Y$10,0),MATCH($J138,MASTER_JAM!$Z$4:$AC$4,0))+0,0)</f>
        <v/>
      </c>
      <c r="Q138" s="158">
        <f>IF($P138=0,0,$P138+IFERROR(INDEX(MASTER_JAM!$H$5:$H$94,MATCH($C138,MASTER_JAM!$A$5:$A$94,0))+0,MASTER_JAM!$AC$15)/1000*(60/MASTER_JAM!$AC$12+60/MASTER_JAM!$AC$13)+MASTER_JAM!$AC$14)</f>
        <v/>
      </c>
      <c r="R138" s="158">
        <f>IF(N($F138)=0,0,$F138/SUMIFS(INPUT_RITASE!$F$5:$F$20000,INPUT_RITASE!$A$5:$A$20000,$A138,INPUT_RITASE!$B$5:$B$20000,$B138,INPUT_RITASE!$C$5:$C$20000,$C138,INPUT_RITASE!$D$5:$D$20000,$D138))</f>
        <v/>
      </c>
      <c r="S138" s="158">
        <f>IF($Q138=0,0,$R138*$P138/$Q138)</f>
        <v/>
      </c>
    </row>
    <row r="139">
      <c r="A139" s="155" t="n">
        <v>46104</v>
      </c>
      <c r="B139" s="156" t="inlineStr">
        <is>
          <t>08-09</t>
        </is>
      </c>
      <c r="C139" s="156" t="inlineStr">
        <is>
          <t>EX-2101</t>
        </is>
      </c>
      <c r="D139" s="156" t="inlineStr">
        <is>
          <t>DT-520</t>
        </is>
      </c>
      <c r="E139" s="156" t="inlineStr">
        <is>
          <t>OB</t>
        </is>
      </c>
      <c r="F139" s="156" t="n">
        <v>3</v>
      </c>
      <c r="G139" s="156" t="inlineStr"/>
      <c r="H139" s="157">
        <f>IF($B139="","",IF(ISNA(MATCH($B139,MASTER_JAM!$Q$5:$Q$28,0)),"?",IF(MATCH($B139,MASTER_JAM!$Q$5:$Q$28,0)&lt;=12,"DS","NS")))</f>
        <v/>
      </c>
      <c r="I139" s="157">
        <f>IFERROR(INDEX(MASTER_JAM!$B$5:$B$94,MATCH($C139,MASTER_JAM!$A$5:$A$94,0)),"")</f>
        <v/>
      </c>
      <c r="J139" s="157">
        <f>IFERROR(INDEX(MASTER_JAM!$E$5:$E$94,MATCH($D139,MASTER_JAM!$A$5:$A$94,0)),"")</f>
        <v/>
      </c>
      <c r="K139" s="158">
        <f>IFERROR(INDEX(MASTER_JAM!$J$5:$O$12,MATCH($E139,MASTER_JAM!$I$5:$I$12,0),MATCH($J139,MASTER_JAM!$J$4:$O$4,0))+0,0)</f>
        <v/>
      </c>
      <c r="L139" s="159">
        <f>N($F139)*$K139</f>
        <v/>
      </c>
      <c r="M139" s="157">
        <f>IF($E139="","",IF(OR($E139="Coal",$E139="Dirty Coal"),"MT","BCM"))</f>
        <v/>
      </c>
      <c r="N139" s="157">
        <f>IF($E139="","",IF(OR($E139="Coal",$E139="Dirty Coal"),"Coal","OB"))</f>
        <v/>
      </c>
      <c r="O139" s="157">
        <f>IF($F139="","",IF(COUNTIF(MASTER_JAM!$A$5:$A$94,$C139)=0,"Digger tidak dikenal",IF($J139="","Hauler tidak dikenal",IF($H139="?","Jam salah",IF($K139=0,"Faktor kosong",IF(SUMIFS(INPUT_DELAY!$E$5:$E$20000,INPUT_DELAY!$A$5:$A$20000,$A139,INPUT_DELAY!$B$5:$B$20000,$B139,INPUT_DELAY!$C$5:$C$20000,$C139)+SUMIFS(INPUT_DELAY!$E$5:$E$20000,INPUT_DELAY!$A$5:$A$20000,$A139,INPUT_DELAY!$B$5:$B$20000,$B139,INPUT_DELAY!$C$5:$C$20000,"SEMUA")&gt;=60,"Delay 60 mnt tapi ada ritase","OK"))))))</f>
        <v/>
      </c>
      <c r="P139" s="158">
        <f>IFERROR(INDEX(MASTER_JAM!$Z$5:$AC$10,MATCH($I139,MASTER_JAM!$Y$5:$Y$10,0),MATCH($J139,MASTER_JAM!$Z$4:$AC$4,0))+0,0)</f>
        <v/>
      </c>
      <c r="Q139" s="158">
        <f>IF($P139=0,0,$P139+IFERROR(INDEX(MASTER_JAM!$H$5:$H$94,MATCH($C139,MASTER_JAM!$A$5:$A$94,0))+0,MASTER_JAM!$AC$15)/1000*(60/MASTER_JAM!$AC$12+60/MASTER_JAM!$AC$13)+MASTER_JAM!$AC$14)</f>
        <v/>
      </c>
      <c r="R139" s="158">
        <f>IF(N($F139)=0,0,$F139/SUMIFS(INPUT_RITASE!$F$5:$F$20000,INPUT_RITASE!$A$5:$A$20000,$A139,INPUT_RITASE!$B$5:$B$20000,$B139,INPUT_RITASE!$C$5:$C$20000,$C139,INPUT_RITASE!$D$5:$D$20000,$D139))</f>
        <v/>
      </c>
      <c r="S139" s="158">
        <f>IF($Q139=0,0,$R139*$P139/$Q139)</f>
        <v/>
      </c>
    </row>
    <row r="140">
      <c r="A140" s="155" t="n">
        <v>46104</v>
      </c>
      <c r="B140" s="156" t="inlineStr">
        <is>
          <t>08-09</t>
        </is>
      </c>
      <c r="C140" s="156" t="inlineStr">
        <is>
          <t>EX-2101</t>
        </is>
      </c>
      <c r="D140" s="156" t="inlineStr">
        <is>
          <t>DT-507</t>
        </is>
      </c>
      <c r="E140" s="156" t="inlineStr">
        <is>
          <t>OB</t>
        </is>
      </c>
      <c r="F140" s="156" t="n">
        <v>2</v>
      </c>
      <c r="G140" s="156" t="inlineStr"/>
      <c r="H140" s="157">
        <f>IF($B140="","",IF(ISNA(MATCH($B140,MASTER_JAM!$Q$5:$Q$28,0)),"?",IF(MATCH($B140,MASTER_JAM!$Q$5:$Q$28,0)&lt;=12,"DS","NS")))</f>
        <v/>
      </c>
      <c r="I140" s="157">
        <f>IFERROR(INDEX(MASTER_JAM!$B$5:$B$94,MATCH($C140,MASTER_JAM!$A$5:$A$94,0)),"")</f>
        <v/>
      </c>
      <c r="J140" s="157">
        <f>IFERROR(INDEX(MASTER_JAM!$E$5:$E$94,MATCH($D140,MASTER_JAM!$A$5:$A$94,0)),"")</f>
        <v/>
      </c>
      <c r="K140" s="158">
        <f>IFERROR(INDEX(MASTER_JAM!$J$5:$O$12,MATCH($E140,MASTER_JAM!$I$5:$I$12,0),MATCH($J140,MASTER_JAM!$J$4:$O$4,0))+0,0)</f>
        <v/>
      </c>
      <c r="L140" s="159">
        <f>N($F140)*$K140</f>
        <v/>
      </c>
      <c r="M140" s="157">
        <f>IF($E140="","",IF(OR($E140="Coal",$E140="Dirty Coal"),"MT","BCM"))</f>
        <v/>
      </c>
      <c r="N140" s="157">
        <f>IF($E140="","",IF(OR($E140="Coal",$E140="Dirty Coal"),"Coal","OB"))</f>
        <v/>
      </c>
      <c r="O140" s="157">
        <f>IF($F140="","",IF(COUNTIF(MASTER_JAM!$A$5:$A$94,$C140)=0,"Digger tidak dikenal",IF($J140="","Hauler tidak dikenal",IF($H140="?","Jam salah",IF($K140=0,"Faktor kosong",IF(SUMIFS(INPUT_DELAY!$E$5:$E$20000,INPUT_DELAY!$A$5:$A$20000,$A140,INPUT_DELAY!$B$5:$B$20000,$B140,INPUT_DELAY!$C$5:$C$20000,$C140)+SUMIFS(INPUT_DELAY!$E$5:$E$20000,INPUT_DELAY!$A$5:$A$20000,$A140,INPUT_DELAY!$B$5:$B$20000,$B140,INPUT_DELAY!$C$5:$C$20000,"SEMUA")&gt;=60,"Delay 60 mnt tapi ada ritase","OK"))))))</f>
        <v/>
      </c>
      <c r="P140" s="158">
        <f>IFERROR(INDEX(MASTER_JAM!$Z$5:$AC$10,MATCH($I140,MASTER_JAM!$Y$5:$Y$10,0),MATCH($J140,MASTER_JAM!$Z$4:$AC$4,0))+0,0)</f>
        <v/>
      </c>
      <c r="Q140" s="158">
        <f>IF($P140=0,0,$P140+IFERROR(INDEX(MASTER_JAM!$H$5:$H$94,MATCH($C140,MASTER_JAM!$A$5:$A$94,0))+0,MASTER_JAM!$AC$15)/1000*(60/MASTER_JAM!$AC$12+60/MASTER_JAM!$AC$13)+MASTER_JAM!$AC$14)</f>
        <v/>
      </c>
      <c r="R140" s="158">
        <f>IF(N($F140)=0,0,$F140/SUMIFS(INPUT_RITASE!$F$5:$F$20000,INPUT_RITASE!$A$5:$A$20000,$A140,INPUT_RITASE!$B$5:$B$20000,$B140,INPUT_RITASE!$C$5:$C$20000,$C140,INPUT_RITASE!$D$5:$D$20000,$D140))</f>
        <v/>
      </c>
      <c r="S140" s="158">
        <f>IF($Q140=0,0,$R140*$P140/$Q140)</f>
        <v/>
      </c>
    </row>
    <row r="141">
      <c r="A141" s="155" t="n">
        <v>46104</v>
      </c>
      <c r="B141" s="156" t="inlineStr">
        <is>
          <t>09-10</t>
        </is>
      </c>
      <c r="C141" s="156" t="inlineStr">
        <is>
          <t>EX-2101</t>
        </is>
      </c>
      <c r="D141" s="156" t="inlineStr">
        <is>
          <t>HD-903</t>
        </is>
      </c>
      <c r="E141" s="156" t="inlineStr">
        <is>
          <t>OB</t>
        </is>
      </c>
      <c r="F141" s="156" t="n">
        <v>5</v>
      </c>
      <c r="G141" s="156" t="inlineStr"/>
      <c r="H141" s="157">
        <f>IF($B141="","",IF(ISNA(MATCH($B141,MASTER_JAM!$Q$5:$Q$28,0)),"?",IF(MATCH($B141,MASTER_JAM!$Q$5:$Q$28,0)&lt;=12,"DS","NS")))</f>
        <v/>
      </c>
      <c r="I141" s="157">
        <f>IFERROR(INDEX(MASTER_JAM!$B$5:$B$94,MATCH($C141,MASTER_JAM!$A$5:$A$94,0)),"")</f>
        <v/>
      </c>
      <c r="J141" s="157">
        <f>IFERROR(INDEX(MASTER_JAM!$E$5:$E$94,MATCH($D141,MASTER_JAM!$A$5:$A$94,0)),"")</f>
        <v/>
      </c>
      <c r="K141" s="158">
        <f>IFERROR(INDEX(MASTER_JAM!$J$5:$O$12,MATCH($E141,MASTER_JAM!$I$5:$I$12,0),MATCH($J141,MASTER_JAM!$J$4:$O$4,0))+0,0)</f>
        <v/>
      </c>
      <c r="L141" s="159">
        <f>N($F141)*$K141</f>
        <v/>
      </c>
      <c r="M141" s="157">
        <f>IF($E141="","",IF(OR($E141="Coal",$E141="Dirty Coal"),"MT","BCM"))</f>
        <v/>
      </c>
      <c r="N141" s="157">
        <f>IF($E141="","",IF(OR($E141="Coal",$E141="Dirty Coal"),"Coal","OB"))</f>
        <v/>
      </c>
      <c r="O141" s="157">
        <f>IF($F141="","",IF(COUNTIF(MASTER_JAM!$A$5:$A$94,$C141)=0,"Digger tidak dikenal",IF($J141="","Hauler tidak dikenal",IF($H141="?","Jam salah",IF($K141=0,"Faktor kosong",IF(SUMIFS(INPUT_DELAY!$E$5:$E$20000,INPUT_DELAY!$A$5:$A$20000,$A141,INPUT_DELAY!$B$5:$B$20000,$B141,INPUT_DELAY!$C$5:$C$20000,$C141)+SUMIFS(INPUT_DELAY!$E$5:$E$20000,INPUT_DELAY!$A$5:$A$20000,$A141,INPUT_DELAY!$B$5:$B$20000,$B141,INPUT_DELAY!$C$5:$C$20000,"SEMUA")&gt;=60,"Delay 60 mnt tapi ada ritase","OK"))))))</f>
        <v/>
      </c>
      <c r="P141" s="158">
        <f>IFERROR(INDEX(MASTER_JAM!$Z$5:$AC$10,MATCH($I141,MASTER_JAM!$Y$5:$Y$10,0),MATCH($J141,MASTER_JAM!$Z$4:$AC$4,0))+0,0)</f>
        <v/>
      </c>
      <c r="Q141" s="158">
        <f>IF($P141=0,0,$P141+IFERROR(INDEX(MASTER_JAM!$H$5:$H$94,MATCH($C141,MASTER_JAM!$A$5:$A$94,0))+0,MASTER_JAM!$AC$15)/1000*(60/MASTER_JAM!$AC$12+60/MASTER_JAM!$AC$13)+MASTER_JAM!$AC$14)</f>
        <v/>
      </c>
      <c r="R141" s="158">
        <f>IF(N($F141)=0,0,$F141/SUMIFS(INPUT_RITASE!$F$5:$F$20000,INPUT_RITASE!$A$5:$A$20000,$A141,INPUT_RITASE!$B$5:$B$20000,$B141,INPUT_RITASE!$C$5:$C$20000,$C141,INPUT_RITASE!$D$5:$D$20000,$D141))</f>
        <v/>
      </c>
      <c r="S141" s="158">
        <f>IF($Q141=0,0,$R141*$P141/$Q141)</f>
        <v/>
      </c>
    </row>
    <row r="142">
      <c r="A142" s="155" t="n">
        <v>46104</v>
      </c>
      <c r="B142" s="156" t="inlineStr">
        <is>
          <t>09-10</t>
        </is>
      </c>
      <c r="C142" s="156" t="inlineStr">
        <is>
          <t>EX-2101</t>
        </is>
      </c>
      <c r="D142" s="156" t="inlineStr">
        <is>
          <t>HD-901</t>
        </is>
      </c>
      <c r="E142" s="156" t="inlineStr">
        <is>
          <t>OB</t>
        </is>
      </c>
      <c r="F142" s="156" t="n">
        <v>4</v>
      </c>
      <c r="G142" s="156" t="inlineStr"/>
      <c r="H142" s="157">
        <f>IF($B142="","",IF(ISNA(MATCH($B142,MASTER_JAM!$Q$5:$Q$28,0)),"?",IF(MATCH($B142,MASTER_JAM!$Q$5:$Q$28,0)&lt;=12,"DS","NS")))</f>
        <v/>
      </c>
      <c r="I142" s="157">
        <f>IFERROR(INDEX(MASTER_JAM!$B$5:$B$94,MATCH($C142,MASTER_JAM!$A$5:$A$94,0)),"")</f>
        <v/>
      </c>
      <c r="J142" s="157">
        <f>IFERROR(INDEX(MASTER_JAM!$E$5:$E$94,MATCH($D142,MASTER_JAM!$A$5:$A$94,0)),"")</f>
        <v/>
      </c>
      <c r="K142" s="158">
        <f>IFERROR(INDEX(MASTER_JAM!$J$5:$O$12,MATCH($E142,MASTER_JAM!$I$5:$I$12,0),MATCH($J142,MASTER_JAM!$J$4:$O$4,0))+0,0)</f>
        <v/>
      </c>
      <c r="L142" s="159">
        <f>N($F142)*$K142</f>
        <v/>
      </c>
      <c r="M142" s="157">
        <f>IF($E142="","",IF(OR($E142="Coal",$E142="Dirty Coal"),"MT","BCM"))</f>
        <v/>
      </c>
      <c r="N142" s="157">
        <f>IF($E142="","",IF(OR($E142="Coal",$E142="Dirty Coal"),"Coal","OB"))</f>
        <v/>
      </c>
      <c r="O142" s="157">
        <f>IF($F142="","",IF(COUNTIF(MASTER_JAM!$A$5:$A$94,$C142)=0,"Digger tidak dikenal",IF($J142="","Hauler tidak dikenal",IF($H142="?","Jam salah",IF($K142=0,"Faktor kosong",IF(SUMIFS(INPUT_DELAY!$E$5:$E$20000,INPUT_DELAY!$A$5:$A$20000,$A142,INPUT_DELAY!$B$5:$B$20000,$B142,INPUT_DELAY!$C$5:$C$20000,$C142)+SUMIFS(INPUT_DELAY!$E$5:$E$20000,INPUT_DELAY!$A$5:$A$20000,$A142,INPUT_DELAY!$B$5:$B$20000,$B142,INPUT_DELAY!$C$5:$C$20000,"SEMUA")&gt;=60,"Delay 60 mnt tapi ada ritase","OK"))))))</f>
        <v/>
      </c>
      <c r="P142" s="158">
        <f>IFERROR(INDEX(MASTER_JAM!$Z$5:$AC$10,MATCH($I142,MASTER_JAM!$Y$5:$Y$10,0),MATCH($J142,MASTER_JAM!$Z$4:$AC$4,0))+0,0)</f>
        <v/>
      </c>
      <c r="Q142" s="158">
        <f>IF($P142=0,0,$P142+IFERROR(INDEX(MASTER_JAM!$H$5:$H$94,MATCH($C142,MASTER_JAM!$A$5:$A$94,0))+0,MASTER_JAM!$AC$15)/1000*(60/MASTER_JAM!$AC$12+60/MASTER_JAM!$AC$13)+MASTER_JAM!$AC$14)</f>
        <v/>
      </c>
      <c r="R142" s="158">
        <f>IF(N($F142)=0,0,$F142/SUMIFS(INPUT_RITASE!$F$5:$F$20000,INPUT_RITASE!$A$5:$A$20000,$A142,INPUT_RITASE!$B$5:$B$20000,$B142,INPUT_RITASE!$C$5:$C$20000,$C142,INPUT_RITASE!$D$5:$D$20000,$D142))</f>
        <v/>
      </c>
      <c r="S142" s="158">
        <f>IF($Q142=0,0,$R142*$P142/$Q142)</f>
        <v/>
      </c>
    </row>
    <row r="143">
      <c r="A143" s="155" t="n">
        <v>46104</v>
      </c>
      <c r="B143" s="156" t="inlineStr">
        <is>
          <t>09-10</t>
        </is>
      </c>
      <c r="C143" s="156" t="inlineStr">
        <is>
          <t>EX-2101</t>
        </is>
      </c>
      <c r="D143" s="156" t="inlineStr">
        <is>
          <t>HD-904</t>
        </is>
      </c>
      <c r="E143" s="156" t="inlineStr">
        <is>
          <t>OB</t>
        </is>
      </c>
      <c r="F143" s="156" t="n">
        <v>4</v>
      </c>
      <c r="G143" s="156" t="inlineStr"/>
      <c r="H143" s="157">
        <f>IF($B143="","",IF(ISNA(MATCH($B143,MASTER_JAM!$Q$5:$Q$28,0)),"?",IF(MATCH($B143,MASTER_JAM!$Q$5:$Q$28,0)&lt;=12,"DS","NS")))</f>
        <v/>
      </c>
      <c r="I143" s="157">
        <f>IFERROR(INDEX(MASTER_JAM!$B$5:$B$94,MATCH($C143,MASTER_JAM!$A$5:$A$94,0)),"")</f>
        <v/>
      </c>
      <c r="J143" s="157">
        <f>IFERROR(INDEX(MASTER_JAM!$E$5:$E$94,MATCH($D143,MASTER_JAM!$A$5:$A$94,0)),"")</f>
        <v/>
      </c>
      <c r="K143" s="158">
        <f>IFERROR(INDEX(MASTER_JAM!$J$5:$O$12,MATCH($E143,MASTER_JAM!$I$5:$I$12,0),MATCH($J143,MASTER_JAM!$J$4:$O$4,0))+0,0)</f>
        <v/>
      </c>
      <c r="L143" s="159">
        <f>N($F143)*$K143</f>
        <v/>
      </c>
      <c r="M143" s="157">
        <f>IF($E143="","",IF(OR($E143="Coal",$E143="Dirty Coal"),"MT","BCM"))</f>
        <v/>
      </c>
      <c r="N143" s="157">
        <f>IF($E143="","",IF(OR($E143="Coal",$E143="Dirty Coal"),"Coal","OB"))</f>
        <v/>
      </c>
      <c r="O143" s="157">
        <f>IF($F143="","",IF(COUNTIF(MASTER_JAM!$A$5:$A$94,$C143)=0,"Digger tidak dikenal",IF($J143="","Hauler tidak dikenal",IF($H143="?","Jam salah",IF($K143=0,"Faktor kosong",IF(SUMIFS(INPUT_DELAY!$E$5:$E$20000,INPUT_DELAY!$A$5:$A$20000,$A143,INPUT_DELAY!$B$5:$B$20000,$B143,INPUT_DELAY!$C$5:$C$20000,$C143)+SUMIFS(INPUT_DELAY!$E$5:$E$20000,INPUT_DELAY!$A$5:$A$20000,$A143,INPUT_DELAY!$B$5:$B$20000,$B143,INPUT_DELAY!$C$5:$C$20000,"SEMUA")&gt;=60,"Delay 60 mnt tapi ada ritase","OK"))))))</f>
        <v/>
      </c>
      <c r="P143" s="158">
        <f>IFERROR(INDEX(MASTER_JAM!$Z$5:$AC$10,MATCH($I143,MASTER_JAM!$Y$5:$Y$10,0),MATCH($J143,MASTER_JAM!$Z$4:$AC$4,0))+0,0)</f>
        <v/>
      </c>
      <c r="Q143" s="158">
        <f>IF($P143=0,0,$P143+IFERROR(INDEX(MASTER_JAM!$H$5:$H$94,MATCH($C143,MASTER_JAM!$A$5:$A$94,0))+0,MASTER_JAM!$AC$15)/1000*(60/MASTER_JAM!$AC$12+60/MASTER_JAM!$AC$13)+MASTER_JAM!$AC$14)</f>
        <v/>
      </c>
      <c r="R143" s="158">
        <f>IF(N($F143)=0,0,$F143/SUMIFS(INPUT_RITASE!$F$5:$F$20000,INPUT_RITASE!$A$5:$A$20000,$A143,INPUT_RITASE!$B$5:$B$20000,$B143,INPUT_RITASE!$C$5:$C$20000,$C143,INPUT_RITASE!$D$5:$D$20000,$D143))</f>
        <v/>
      </c>
      <c r="S143" s="158">
        <f>IF($Q143=0,0,$R143*$P143/$Q143)</f>
        <v/>
      </c>
    </row>
    <row r="144">
      <c r="A144" s="155" t="n">
        <v>46104</v>
      </c>
      <c r="B144" s="156" t="inlineStr">
        <is>
          <t>09-10</t>
        </is>
      </c>
      <c r="C144" s="156" t="inlineStr">
        <is>
          <t>EX-2101</t>
        </is>
      </c>
      <c r="D144" s="156" t="inlineStr">
        <is>
          <t>DT-512</t>
        </is>
      </c>
      <c r="E144" s="156" t="inlineStr">
        <is>
          <t>OB</t>
        </is>
      </c>
      <c r="F144" s="156" t="n">
        <v>3</v>
      </c>
      <c r="G144" s="156" t="inlineStr"/>
      <c r="H144" s="157">
        <f>IF($B144="","",IF(ISNA(MATCH($B144,MASTER_JAM!$Q$5:$Q$28,0)),"?",IF(MATCH($B144,MASTER_JAM!$Q$5:$Q$28,0)&lt;=12,"DS","NS")))</f>
        <v/>
      </c>
      <c r="I144" s="157">
        <f>IFERROR(INDEX(MASTER_JAM!$B$5:$B$94,MATCH($C144,MASTER_JAM!$A$5:$A$94,0)),"")</f>
        <v/>
      </c>
      <c r="J144" s="157">
        <f>IFERROR(INDEX(MASTER_JAM!$E$5:$E$94,MATCH($D144,MASTER_JAM!$A$5:$A$94,0)),"")</f>
        <v/>
      </c>
      <c r="K144" s="158">
        <f>IFERROR(INDEX(MASTER_JAM!$J$5:$O$12,MATCH($E144,MASTER_JAM!$I$5:$I$12,0),MATCH($J144,MASTER_JAM!$J$4:$O$4,0))+0,0)</f>
        <v/>
      </c>
      <c r="L144" s="159">
        <f>N($F144)*$K144</f>
        <v/>
      </c>
      <c r="M144" s="157">
        <f>IF($E144="","",IF(OR($E144="Coal",$E144="Dirty Coal"),"MT","BCM"))</f>
        <v/>
      </c>
      <c r="N144" s="157">
        <f>IF($E144="","",IF(OR($E144="Coal",$E144="Dirty Coal"),"Coal","OB"))</f>
        <v/>
      </c>
      <c r="O144" s="157">
        <f>IF($F144="","",IF(COUNTIF(MASTER_JAM!$A$5:$A$94,$C144)=0,"Digger tidak dikenal",IF($J144="","Hauler tidak dikenal",IF($H144="?","Jam salah",IF($K144=0,"Faktor kosong",IF(SUMIFS(INPUT_DELAY!$E$5:$E$20000,INPUT_DELAY!$A$5:$A$20000,$A144,INPUT_DELAY!$B$5:$B$20000,$B144,INPUT_DELAY!$C$5:$C$20000,$C144)+SUMIFS(INPUT_DELAY!$E$5:$E$20000,INPUT_DELAY!$A$5:$A$20000,$A144,INPUT_DELAY!$B$5:$B$20000,$B144,INPUT_DELAY!$C$5:$C$20000,"SEMUA")&gt;=60,"Delay 60 mnt tapi ada ritase","OK"))))))</f>
        <v/>
      </c>
      <c r="P144" s="158">
        <f>IFERROR(INDEX(MASTER_JAM!$Z$5:$AC$10,MATCH($I144,MASTER_JAM!$Y$5:$Y$10,0),MATCH($J144,MASTER_JAM!$Z$4:$AC$4,0))+0,0)</f>
        <v/>
      </c>
      <c r="Q144" s="158">
        <f>IF($P144=0,0,$P144+IFERROR(INDEX(MASTER_JAM!$H$5:$H$94,MATCH($C144,MASTER_JAM!$A$5:$A$94,0))+0,MASTER_JAM!$AC$15)/1000*(60/MASTER_JAM!$AC$12+60/MASTER_JAM!$AC$13)+MASTER_JAM!$AC$14)</f>
        <v/>
      </c>
      <c r="R144" s="158">
        <f>IF(N($F144)=0,0,$F144/SUMIFS(INPUT_RITASE!$F$5:$F$20000,INPUT_RITASE!$A$5:$A$20000,$A144,INPUT_RITASE!$B$5:$B$20000,$B144,INPUT_RITASE!$C$5:$C$20000,$C144,INPUT_RITASE!$D$5:$D$20000,$D144))</f>
        <v/>
      </c>
      <c r="S144" s="158">
        <f>IF($Q144=0,0,$R144*$P144/$Q144)</f>
        <v/>
      </c>
    </row>
    <row r="145">
      <c r="A145" s="155" t="n">
        <v>46104</v>
      </c>
      <c r="B145" s="156" t="inlineStr">
        <is>
          <t>09-10</t>
        </is>
      </c>
      <c r="C145" s="156" t="inlineStr">
        <is>
          <t>EX-2101</t>
        </is>
      </c>
      <c r="D145" s="156" t="inlineStr">
        <is>
          <t>DT-505</t>
        </is>
      </c>
      <c r="E145" s="156" t="inlineStr">
        <is>
          <t>OB</t>
        </is>
      </c>
      <c r="F145" s="156" t="n">
        <v>2</v>
      </c>
      <c r="G145" s="156" t="inlineStr"/>
      <c r="H145" s="157">
        <f>IF($B145="","",IF(ISNA(MATCH($B145,MASTER_JAM!$Q$5:$Q$28,0)),"?",IF(MATCH($B145,MASTER_JAM!$Q$5:$Q$28,0)&lt;=12,"DS","NS")))</f>
        <v/>
      </c>
      <c r="I145" s="157">
        <f>IFERROR(INDEX(MASTER_JAM!$B$5:$B$94,MATCH($C145,MASTER_JAM!$A$5:$A$94,0)),"")</f>
        <v/>
      </c>
      <c r="J145" s="157">
        <f>IFERROR(INDEX(MASTER_JAM!$E$5:$E$94,MATCH($D145,MASTER_JAM!$A$5:$A$94,0)),"")</f>
        <v/>
      </c>
      <c r="K145" s="158">
        <f>IFERROR(INDEX(MASTER_JAM!$J$5:$O$12,MATCH($E145,MASTER_JAM!$I$5:$I$12,0),MATCH($J145,MASTER_JAM!$J$4:$O$4,0))+0,0)</f>
        <v/>
      </c>
      <c r="L145" s="159">
        <f>N($F145)*$K145</f>
        <v/>
      </c>
      <c r="M145" s="157">
        <f>IF($E145="","",IF(OR($E145="Coal",$E145="Dirty Coal"),"MT","BCM"))</f>
        <v/>
      </c>
      <c r="N145" s="157">
        <f>IF($E145="","",IF(OR($E145="Coal",$E145="Dirty Coal"),"Coal","OB"))</f>
        <v/>
      </c>
      <c r="O145" s="157">
        <f>IF($F145="","",IF(COUNTIF(MASTER_JAM!$A$5:$A$94,$C145)=0,"Digger tidak dikenal",IF($J145="","Hauler tidak dikenal",IF($H145="?","Jam salah",IF($K145=0,"Faktor kosong",IF(SUMIFS(INPUT_DELAY!$E$5:$E$20000,INPUT_DELAY!$A$5:$A$20000,$A145,INPUT_DELAY!$B$5:$B$20000,$B145,INPUT_DELAY!$C$5:$C$20000,$C145)+SUMIFS(INPUT_DELAY!$E$5:$E$20000,INPUT_DELAY!$A$5:$A$20000,$A145,INPUT_DELAY!$B$5:$B$20000,$B145,INPUT_DELAY!$C$5:$C$20000,"SEMUA")&gt;=60,"Delay 60 mnt tapi ada ritase","OK"))))))</f>
        <v/>
      </c>
      <c r="P145" s="158">
        <f>IFERROR(INDEX(MASTER_JAM!$Z$5:$AC$10,MATCH($I145,MASTER_JAM!$Y$5:$Y$10,0),MATCH($J145,MASTER_JAM!$Z$4:$AC$4,0))+0,0)</f>
        <v/>
      </c>
      <c r="Q145" s="158">
        <f>IF($P145=0,0,$P145+IFERROR(INDEX(MASTER_JAM!$H$5:$H$94,MATCH($C145,MASTER_JAM!$A$5:$A$94,0))+0,MASTER_JAM!$AC$15)/1000*(60/MASTER_JAM!$AC$12+60/MASTER_JAM!$AC$13)+MASTER_JAM!$AC$14)</f>
        <v/>
      </c>
      <c r="R145" s="158">
        <f>IF(N($F145)=0,0,$F145/SUMIFS(INPUT_RITASE!$F$5:$F$20000,INPUT_RITASE!$A$5:$A$20000,$A145,INPUT_RITASE!$B$5:$B$20000,$B145,INPUT_RITASE!$C$5:$C$20000,$C145,INPUT_RITASE!$D$5:$D$20000,$D145))</f>
        <v/>
      </c>
      <c r="S145" s="158">
        <f>IF($Q145=0,0,$R145*$P145/$Q145)</f>
        <v/>
      </c>
    </row>
    <row r="146">
      <c r="A146" s="155" t="n">
        <v>46104</v>
      </c>
      <c r="B146" s="156" t="inlineStr">
        <is>
          <t>10-11</t>
        </is>
      </c>
      <c r="C146" s="156" t="inlineStr">
        <is>
          <t>EX-2101</t>
        </is>
      </c>
      <c r="D146" s="156" t="inlineStr">
        <is>
          <t>HD-901</t>
        </is>
      </c>
      <c r="E146" s="156" t="inlineStr">
        <is>
          <t>OB</t>
        </is>
      </c>
      <c r="F146" s="156" t="n">
        <v>3</v>
      </c>
      <c r="G146" s="156" t="inlineStr"/>
      <c r="H146" s="157">
        <f>IF($B146="","",IF(ISNA(MATCH($B146,MASTER_JAM!$Q$5:$Q$28,0)),"?",IF(MATCH($B146,MASTER_JAM!$Q$5:$Q$28,0)&lt;=12,"DS","NS")))</f>
        <v/>
      </c>
      <c r="I146" s="157">
        <f>IFERROR(INDEX(MASTER_JAM!$B$5:$B$94,MATCH($C146,MASTER_JAM!$A$5:$A$94,0)),"")</f>
        <v/>
      </c>
      <c r="J146" s="157">
        <f>IFERROR(INDEX(MASTER_JAM!$E$5:$E$94,MATCH($D146,MASTER_JAM!$A$5:$A$94,0)),"")</f>
        <v/>
      </c>
      <c r="K146" s="158">
        <f>IFERROR(INDEX(MASTER_JAM!$J$5:$O$12,MATCH($E146,MASTER_JAM!$I$5:$I$12,0),MATCH($J146,MASTER_JAM!$J$4:$O$4,0))+0,0)</f>
        <v/>
      </c>
      <c r="L146" s="159">
        <f>N($F146)*$K146</f>
        <v/>
      </c>
      <c r="M146" s="157">
        <f>IF($E146="","",IF(OR($E146="Coal",$E146="Dirty Coal"),"MT","BCM"))</f>
        <v/>
      </c>
      <c r="N146" s="157">
        <f>IF($E146="","",IF(OR($E146="Coal",$E146="Dirty Coal"),"Coal","OB"))</f>
        <v/>
      </c>
      <c r="O146" s="157">
        <f>IF($F146="","",IF(COUNTIF(MASTER_JAM!$A$5:$A$94,$C146)=0,"Digger tidak dikenal",IF($J146="","Hauler tidak dikenal",IF($H146="?","Jam salah",IF($K146=0,"Faktor kosong",IF(SUMIFS(INPUT_DELAY!$E$5:$E$20000,INPUT_DELAY!$A$5:$A$20000,$A146,INPUT_DELAY!$B$5:$B$20000,$B146,INPUT_DELAY!$C$5:$C$20000,$C146)+SUMIFS(INPUT_DELAY!$E$5:$E$20000,INPUT_DELAY!$A$5:$A$20000,$A146,INPUT_DELAY!$B$5:$B$20000,$B146,INPUT_DELAY!$C$5:$C$20000,"SEMUA")&gt;=60,"Delay 60 mnt tapi ada ritase","OK"))))))</f>
        <v/>
      </c>
      <c r="P146" s="158">
        <f>IFERROR(INDEX(MASTER_JAM!$Z$5:$AC$10,MATCH($I146,MASTER_JAM!$Y$5:$Y$10,0),MATCH($J146,MASTER_JAM!$Z$4:$AC$4,0))+0,0)</f>
        <v/>
      </c>
      <c r="Q146" s="158">
        <f>IF($P146=0,0,$P146+IFERROR(INDEX(MASTER_JAM!$H$5:$H$94,MATCH($C146,MASTER_JAM!$A$5:$A$94,0))+0,MASTER_JAM!$AC$15)/1000*(60/MASTER_JAM!$AC$12+60/MASTER_JAM!$AC$13)+MASTER_JAM!$AC$14)</f>
        <v/>
      </c>
      <c r="R146" s="158">
        <f>IF(N($F146)=0,0,$F146/SUMIFS(INPUT_RITASE!$F$5:$F$20000,INPUT_RITASE!$A$5:$A$20000,$A146,INPUT_RITASE!$B$5:$B$20000,$B146,INPUT_RITASE!$C$5:$C$20000,$C146,INPUT_RITASE!$D$5:$D$20000,$D146))</f>
        <v/>
      </c>
      <c r="S146" s="158">
        <f>IF($Q146=0,0,$R146*$P146/$Q146)</f>
        <v/>
      </c>
    </row>
    <row r="147">
      <c r="A147" s="155" t="n">
        <v>46104</v>
      </c>
      <c r="B147" s="156" t="inlineStr">
        <is>
          <t>10-11</t>
        </is>
      </c>
      <c r="C147" s="156" t="inlineStr">
        <is>
          <t>EX-2101</t>
        </is>
      </c>
      <c r="D147" s="156" t="inlineStr">
        <is>
          <t>HD-903</t>
        </is>
      </c>
      <c r="E147" s="156" t="inlineStr">
        <is>
          <t>OB</t>
        </is>
      </c>
      <c r="F147" s="156" t="n">
        <v>3</v>
      </c>
      <c r="G147" s="156" t="inlineStr"/>
      <c r="H147" s="157">
        <f>IF($B147="","",IF(ISNA(MATCH($B147,MASTER_JAM!$Q$5:$Q$28,0)),"?",IF(MATCH($B147,MASTER_JAM!$Q$5:$Q$28,0)&lt;=12,"DS","NS")))</f>
        <v/>
      </c>
      <c r="I147" s="157">
        <f>IFERROR(INDEX(MASTER_JAM!$B$5:$B$94,MATCH($C147,MASTER_JAM!$A$5:$A$94,0)),"")</f>
        <v/>
      </c>
      <c r="J147" s="157">
        <f>IFERROR(INDEX(MASTER_JAM!$E$5:$E$94,MATCH($D147,MASTER_JAM!$A$5:$A$94,0)),"")</f>
        <v/>
      </c>
      <c r="K147" s="158">
        <f>IFERROR(INDEX(MASTER_JAM!$J$5:$O$12,MATCH($E147,MASTER_JAM!$I$5:$I$12,0),MATCH($J147,MASTER_JAM!$J$4:$O$4,0))+0,0)</f>
        <v/>
      </c>
      <c r="L147" s="159">
        <f>N($F147)*$K147</f>
        <v/>
      </c>
      <c r="M147" s="157">
        <f>IF($E147="","",IF(OR($E147="Coal",$E147="Dirty Coal"),"MT","BCM"))</f>
        <v/>
      </c>
      <c r="N147" s="157">
        <f>IF($E147="","",IF(OR($E147="Coal",$E147="Dirty Coal"),"Coal","OB"))</f>
        <v/>
      </c>
      <c r="O147" s="157">
        <f>IF($F147="","",IF(COUNTIF(MASTER_JAM!$A$5:$A$94,$C147)=0,"Digger tidak dikenal",IF($J147="","Hauler tidak dikenal",IF($H147="?","Jam salah",IF($K147=0,"Faktor kosong",IF(SUMIFS(INPUT_DELAY!$E$5:$E$20000,INPUT_DELAY!$A$5:$A$20000,$A147,INPUT_DELAY!$B$5:$B$20000,$B147,INPUT_DELAY!$C$5:$C$20000,$C147)+SUMIFS(INPUT_DELAY!$E$5:$E$20000,INPUT_DELAY!$A$5:$A$20000,$A147,INPUT_DELAY!$B$5:$B$20000,$B147,INPUT_DELAY!$C$5:$C$20000,"SEMUA")&gt;=60,"Delay 60 mnt tapi ada ritase","OK"))))))</f>
        <v/>
      </c>
      <c r="P147" s="158">
        <f>IFERROR(INDEX(MASTER_JAM!$Z$5:$AC$10,MATCH($I147,MASTER_JAM!$Y$5:$Y$10,0),MATCH($J147,MASTER_JAM!$Z$4:$AC$4,0))+0,0)</f>
        <v/>
      </c>
      <c r="Q147" s="158">
        <f>IF($P147=0,0,$P147+IFERROR(INDEX(MASTER_JAM!$H$5:$H$94,MATCH($C147,MASTER_JAM!$A$5:$A$94,0))+0,MASTER_JAM!$AC$15)/1000*(60/MASTER_JAM!$AC$12+60/MASTER_JAM!$AC$13)+MASTER_JAM!$AC$14)</f>
        <v/>
      </c>
      <c r="R147" s="158">
        <f>IF(N($F147)=0,0,$F147/SUMIFS(INPUT_RITASE!$F$5:$F$20000,INPUT_RITASE!$A$5:$A$20000,$A147,INPUT_RITASE!$B$5:$B$20000,$B147,INPUT_RITASE!$C$5:$C$20000,$C147,INPUT_RITASE!$D$5:$D$20000,$D147))</f>
        <v/>
      </c>
      <c r="S147" s="158">
        <f>IF($Q147=0,0,$R147*$P147/$Q147)</f>
        <v/>
      </c>
    </row>
    <row r="148">
      <c r="A148" s="155" t="n">
        <v>46104</v>
      </c>
      <c r="B148" s="156" t="inlineStr">
        <is>
          <t>10-11</t>
        </is>
      </c>
      <c r="C148" s="156" t="inlineStr">
        <is>
          <t>EX-2101</t>
        </is>
      </c>
      <c r="D148" s="156" t="inlineStr">
        <is>
          <t>HD-904</t>
        </is>
      </c>
      <c r="E148" s="156" t="inlineStr">
        <is>
          <t>OB</t>
        </is>
      </c>
      <c r="F148" s="156" t="n">
        <v>3</v>
      </c>
      <c r="G148" s="156" t="inlineStr"/>
      <c r="H148" s="157">
        <f>IF($B148="","",IF(ISNA(MATCH($B148,MASTER_JAM!$Q$5:$Q$28,0)),"?",IF(MATCH($B148,MASTER_JAM!$Q$5:$Q$28,0)&lt;=12,"DS","NS")))</f>
        <v/>
      </c>
      <c r="I148" s="157">
        <f>IFERROR(INDEX(MASTER_JAM!$B$5:$B$94,MATCH($C148,MASTER_JAM!$A$5:$A$94,0)),"")</f>
        <v/>
      </c>
      <c r="J148" s="157">
        <f>IFERROR(INDEX(MASTER_JAM!$E$5:$E$94,MATCH($D148,MASTER_JAM!$A$5:$A$94,0)),"")</f>
        <v/>
      </c>
      <c r="K148" s="158">
        <f>IFERROR(INDEX(MASTER_JAM!$J$5:$O$12,MATCH($E148,MASTER_JAM!$I$5:$I$12,0),MATCH($J148,MASTER_JAM!$J$4:$O$4,0))+0,0)</f>
        <v/>
      </c>
      <c r="L148" s="159">
        <f>N($F148)*$K148</f>
        <v/>
      </c>
      <c r="M148" s="157">
        <f>IF($E148="","",IF(OR($E148="Coal",$E148="Dirty Coal"),"MT","BCM"))</f>
        <v/>
      </c>
      <c r="N148" s="157">
        <f>IF($E148="","",IF(OR($E148="Coal",$E148="Dirty Coal"),"Coal","OB"))</f>
        <v/>
      </c>
      <c r="O148" s="157">
        <f>IF($F148="","",IF(COUNTIF(MASTER_JAM!$A$5:$A$94,$C148)=0,"Digger tidak dikenal",IF($J148="","Hauler tidak dikenal",IF($H148="?","Jam salah",IF($K148=0,"Faktor kosong",IF(SUMIFS(INPUT_DELAY!$E$5:$E$20000,INPUT_DELAY!$A$5:$A$20000,$A148,INPUT_DELAY!$B$5:$B$20000,$B148,INPUT_DELAY!$C$5:$C$20000,$C148)+SUMIFS(INPUT_DELAY!$E$5:$E$20000,INPUT_DELAY!$A$5:$A$20000,$A148,INPUT_DELAY!$B$5:$B$20000,$B148,INPUT_DELAY!$C$5:$C$20000,"SEMUA")&gt;=60,"Delay 60 mnt tapi ada ritase","OK"))))))</f>
        <v/>
      </c>
      <c r="P148" s="158">
        <f>IFERROR(INDEX(MASTER_JAM!$Z$5:$AC$10,MATCH($I148,MASTER_JAM!$Y$5:$Y$10,0),MATCH($J148,MASTER_JAM!$Z$4:$AC$4,0))+0,0)</f>
        <v/>
      </c>
      <c r="Q148" s="158">
        <f>IF($P148=0,0,$P148+IFERROR(INDEX(MASTER_JAM!$H$5:$H$94,MATCH($C148,MASTER_JAM!$A$5:$A$94,0))+0,MASTER_JAM!$AC$15)/1000*(60/MASTER_JAM!$AC$12+60/MASTER_JAM!$AC$13)+MASTER_JAM!$AC$14)</f>
        <v/>
      </c>
      <c r="R148" s="158">
        <f>IF(N($F148)=0,0,$F148/SUMIFS(INPUT_RITASE!$F$5:$F$20000,INPUT_RITASE!$A$5:$A$20000,$A148,INPUT_RITASE!$B$5:$B$20000,$B148,INPUT_RITASE!$C$5:$C$20000,$C148,INPUT_RITASE!$D$5:$D$20000,$D148))</f>
        <v/>
      </c>
      <c r="S148" s="158">
        <f>IF($Q148=0,0,$R148*$P148/$Q148)</f>
        <v/>
      </c>
    </row>
    <row r="149">
      <c r="A149" s="155" t="n">
        <v>46104</v>
      </c>
      <c r="B149" s="156" t="inlineStr">
        <is>
          <t>10-11</t>
        </is>
      </c>
      <c r="C149" s="156" t="inlineStr">
        <is>
          <t>EX-2101</t>
        </is>
      </c>
      <c r="D149" s="156" t="inlineStr">
        <is>
          <t>DT-506</t>
        </is>
      </c>
      <c r="E149" s="156" t="inlineStr">
        <is>
          <t>OB</t>
        </is>
      </c>
      <c r="F149" s="156" t="n">
        <v>4</v>
      </c>
      <c r="G149" s="156" t="inlineStr"/>
      <c r="H149" s="157">
        <f>IF($B149="","",IF(ISNA(MATCH($B149,MASTER_JAM!$Q$5:$Q$28,0)),"?",IF(MATCH($B149,MASTER_JAM!$Q$5:$Q$28,0)&lt;=12,"DS","NS")))</f>
        <v/>
      </c>
      <c r="I149" s="157">
        <f>IFERROR(INDEX(MASTER_JAM!$B$5:$B$94,MATCH($C149,MASTER_JAM!$A$5:$A$94,0)),"")</f>
        <v/>
      </c>
      <c r="J149" s="157">
        <f>IFERROR(INDEX(MASTER_JAM!$E$5:$E$94,MATCH($D149,MASTER_JAM!$A$5:$A$94,0)),"")</f>
        <v/>
      </c>
      <c r="K149" s="158">
        <f>IFERROR(INDEX(MASTER_JAM!$J$5:$O$12,MATCH($E149,MASTER_JAM!$I$5:$I$12,0),MATCH($J149,MASTER_JAM!$J$4:$O$4,0))+0,0)</f>
        <v/>
      </c>
      <c r="L149" s="159">
        <f>N($F149)*$K149</f>
        <v/>
      </c>
      <c r="M149" s="157">
        <f>IF($E149="","",IF(OR($E149="Coal",$E149="Dirty Coal"),"MT","BCM"))</f>
        <v/>
      </c>
      <c r="N149" s="157">
        <f>IF($E149="","",IF(OR($E149="Coal",$E149="Dirty Coal"),"Coal","OB"))</f>
        <v/>
      </c>
      <c r="O149" s="157">
        <f>IF($F149="","",IF(COUNTIF(MASTER_JAM!$A$5:$A$94,$C149)=0,"Digger tidak dikenal",IF($J149="","Hauler tidak dikenal",IF($H149="?","Jam salah",IF($K149=0,"Faktor kosong",IF(SUMIFS(INPUT_DELAY!$E$5:$E$20000,INPUT_DELAY!$A$5:$A$20000,$A149,INPUT_DELAY!$B$5:$B$20000,$B149,INPUT_DELAY!$C$5:$C$20000,$C149)+SUMIFS(INPUT_DELAY!$E$5:$E$20000,INPUT_DELAY!$A$5:$A$20000,$A149,INPUT_DELAY!$B$5:$B$20000,$B149,INPUT_DELAY!$C$5:$C$20000,"SEMUA")&gt;=60,"Delay 60 mnt tapi ada ritase","OK"))))))</f>
        <v/>
      </c>
      <c r="P149" s="158">
        <f>IFERROR(INDEX(MASTER_JAM!$Z$5:$AC$10,MATCH($I149,MASTER_JAM!$Y$5:$Y$10,0),MATCH($J149,MASTER_JAM!$Z$4:$AC$4,0))+0,0)</f>
        <v/>
      </c>
      <c r="Q149" s="158">
        <f>IF($P149=0,0,$P149+IFERROR(INDEX(MASTER_JAM!$H$5:$H$94,MATCH($C149,MASTER_JAM!$A$5:$A$94,0))+0,MASTER_JAM!$AC$15)/1000*(60/MASTER_JAM!$AC$12+60/MASTER_JAM!$AC$13)+MASTER_JAM!$AC$14)</f>
        <v/>
      </c>
      <c r="R149" s="158">
        <f>IF(N($F149)=0,0,$F149/SUMIFS(INPUT_RITASE!$F$5:$F$20000,INPUT_RITASE!$A$5:$A$20000,$A149,INPUT_RITASE!$B$5:$B$20000,$B149,INPUT_RITASE!$C$5:$C$20000,$C149,INPUT_RITASE!$D$5:$D$20000,$D149))</f>
        <v/>
      </c>
      <c r="S149" s="158">
        <f>IF($Q149=0,0,$R149*$P149/$Q149)</f>
        <v/>
      </c>
    </row>
    <row r="150">
      <c r="A150" s="155" t="n">
        <v>46104</v>
      </c>
      <c r="B150" s="156" t="inlineStr">
        <is>
          <t>10-11</t>
        </is>
      </c>
      <c r="C150" s="156" t="inlineStr">
        <is>
          <t>EX-2101</t>
        </is>
      </c>
      <c r="D150" s="156" t="inlineStr">
        <is>
          <t>DT-504</t>
        </is>
      </c>
      <c r="E150" s="156" t="inlineStr">
        <is>
          <t>OB</t>
        </is>
      </c>
      <c r="F150" s="156" t="n">
        <v>4</v>
      </c>
      <c r="G150" s="156" t="inlineStr"/>
      <c r="H150" s="157">
        <f>IF($B150="","",IF(ISNA(MATCH($B150,MASTER_JAM!$Q$5:$Q$28,0)),"?",IF(MATCH($B150,MASTER_JAM!$Q$5:$Q$28,0)&lt;=12,"DS","NS")))</f>
        <v/>
      </c>
      <c r="I150" s="157">
        <f>IFERROR(INDEX(MASTER_JAM!$B$5:$B$94,MATCH($C150,MASTER_JAM!$A$5:$A$94,0)),"")</f>
        <v/>
      </c>
      <c r="J150" s="157">
        <f>IFERROR(INDEX(MASTER_JAM!$E$5:$E$94,MATCH($D150,MASTER_JAM!$A$5:$A$94,0)),"")</f>
        <v/>
      </c>
      <c r="K150" s="158">
        <f>IFERROR(INDEX(MASTER_JAM!$J$5:$O$12,MATCH($E150,MASTER_JAM!$I$5:$I$12,0),MATCH($J150,MASTER_JAM!$J$4:$O$4,0))+0,0)</f>
        <v/>
      </c>
      <c r="L150" s="159">
        <f>N($F150)*$K150</f>
        <v/>
      </c>
      <c r="M150" s="157">
        <f>IF($E150="","",IF(OR($E150="Coal",$E150="Dirty Coal"),"MT","BCM"))</f>
        <v/>
      </c>
      <c r="N150" s="157">
        <f>IF($E150="","",IF(OR($E150="Coal",$E150="Dirty Coal"),"Coal","OB"))</f>
        <v/>
      </c>
      <c r="O150" s="157">
        <f>IF($F150="","",IF(COUNTIF(MASTER_JAM!$A$5:$A$94,$C150)=0,"Digger tidak dikenal",IF($J150="","Hauler tidak dikenal",IF($H150="?","Jam salah",IF($K150=0,"Faktor kosong",IF(SUMIFS(INPUT_DELAY!$E$5:$E$20000,INPUT_DELAY!$A$5:$A$20000,$A150,INPUT_DELAY!$B$5:$B$20000,$B150,INPUT_DELAY!$C$5:$C$20000,$C150)+SUMIFS(INPUT_DELAY!$E$5:$E$20000,INPUT_DELAY!$A$5:$A$20000,$A150,INPUT_DELAY!$B$5:$B$20000,$B150,INPUT_DELAY!$C$5:$C$20000,"SEMUA")&gt;=60,"Delay 60 mnt tapi ada ritase","OK"))))))</f>
        <v/>
      </c>
      <c r="P150" s="158">
        <f>IFERROR(INDEX(MASTER_JAM!$Z$5:$AC$10,MATCH($I150,MASTER_JAM!$Y$5:$Y$10,0),MATCH($J150,MASTER_JAM!$Z$4:$AC$4,0))+0,0)</f>
        <v/>
      </c>
      <c r="Q150" s="158">
        <f>IF($P150=0,0,$P150+IFERROR(INDEX(MASTER_JAM!$H$5:$H$94,MATCH($C150,MASTER_JAM!$A$5:$A$94,0))+0,MASTER_JAM!$AC$15)/1000*(60/MASTER_JAM!$AC$12+60/MASTER_JAM!$AC$13)+MASTER_JAM!$AC$14)</f>
        <v/>
      </c>
      <c r="R150" s="158">
        <f>IF(N($F150)=0,0,$F150/SUMIFS(INPUT_RITASE!$F$5:$F$20000,INPUT_RITASE!$A$5:$A$20000,$A150,INPUT_RITASE!$B$5:$B$20000,$B150,INPUT_RITASE!$C$5:$C$20000,$C150,INPUT_RITASE!$D$5:$D$20000,$D150))</f>
        <v/>
      </c>
      <c r="S150" s="158">
        <f>IF($Q150=0,0,$R150*$P150/$Q150)</f>
        <v/>
      </c>
    </row>
    <row r="151">
      <c r="A151" s="155" t="n">
        <v>46104</v>
      </c>
      <c r="B151" s="156" t="inlineStr">
        <is>
          <t>11-12</t>
        </is>
      </c>
      <c r="C151" s="156" t="inlineStr">
        <is>
          <t>EX-2101</t>
        </is>
      </c>
      <c r="D151" s="156" t="inlineStr">
        <is>
          <t>HD-904</t>
        </is>
      </c>
      <c r="E151" s="156" t="inlineStr">
        <is>
          <t>OB</t>
        </is>
      </c>
      <c r="F151" s="156" t="n">
        <v>4</v>
      </c>
      <c r="G151" s="156" t="inlineStr"/>
      <c r="H151" s="157">
        <f>IF($B151="","",IF(ISNA(MATCH($B151,MASTER_JAM!$Q$5:$Q$28,0)),"?",IF(MATCH($B151,MASTER_JAM!$Q$5:$Q$28,0)&lt;=12,"DS","NS")))</f>
        <v/>
      </c>
      <c r="I151" s="157">
        <f>IFERROR(INDEX(MASTER_JAM!$B$5:$B$94,MATCH($C151,MASTER_JAM!$A$5:$A$94,0)),"")</f>
        <v/>
      </c>
      <c r="J151" s="157">
        <f>IFERROR(INDEX(MASTER_JAM!$E$5:$E$94,MATCH($D151,MASTER_JAM!$A$5:$A$94,0)),"")</f>
        <v/>
      </c>
      <c r="K151" s="158">
        <f>IFERROR(INDEX(MASTER_JAM!$J$5:$O$12,MATCH($E151,MASTER_JAM!$I$5:$I$12,0),MATCH($J151,MASTER_JAM!$J$4:$O$4,0))+0,0)</f>
        <v/>
      </c>
      <c r="L151" s="159">
        <f>N($F151)*$K151</f>
        <v/>
      </c>
      <c r="M151" s="157">
        <f>IF($E151="","",IF(OR($E151="Coal",$E151="Dirty Coal"),"MT","BCM"))</f>
        <v/>
      </c>
      <c r="N151" s="157">
        <f>IF($E151="","",IF(OR($E151="Coal",$E151="Dirty Coal"),"Coal","OB"))</f>
        <v/>
      </c>
      <c r="O151" s="157">
        <f>IF($F151="","",IF(COUNTIF(MASTER_JAM!$A$5:$A$94,$C151)=0,"Digger tidak dikenal",IF($J151="","Hauler tidak dikenal",IF($H151="?","Jam salah",IF($K151=0,"Faktor kosong",IF(SUMIFS(INPUT_DELAY!$E$5:$E$20000,INPUT_DELAY!$A$5:$A$20000,$A151,INPUT_DELAY!$B$5:$B$20000,$B151,INPUT_DELAY!$C$5:$C$20000,$C151)+SUMIFS(INPUT_DELAY!$E$5:$E$20000,INPUT_DELAY!$A$5:$A$20000,$A151,INPUT_DELAY!$B$5:$B$20000,$B151,INPUT_DELAY!$C$5:$C$20000,"SEMUA")&gt;=60,"Delay 60 mnt tapi ada ritase","OK"))))))</f>
        <v/>
      </c>
      <c r="P151" s="158">
        <f>IFERROR(INDEX(MASTER_JAM!$Z$5:$AC$10,MATCH($I151,MASTER_JAM!$Y$5:$Y$10,0),MATCH($J151,MASTER_JAM!$Z$4:$AC$4,0))+0,0)</f>
        <v/>
      </c>
      <c r="Q151" s="158">
        <f>IF($P151=0,0,$P151+IFERROR(INDEX(MASTER_JAM!$H$5:$H$94,MATCH($C151,MASTER_JAM!$A$5:$A$94,0))+0,MASTER_JAM!$AC$15)/1000*(60/MASTER_JAM!$AC$12+60/MASTER_JAM!$AC$13)+MASTER_JAM!$AC$14)</f>
        <v/>
      </c>
      <c r="R151" s="158">
        <f>IF(N($F151)=0,0,$F151/SUMIFS(INPUT_RITASE!$F$5:$F$20000,INPUT_RITASE!$A$5:$A$20000,$A151,INPUT_RITASE!$B$5:$B$20000,$B151,INPUT_RITASE!$C$5:$C$20000,$C151,INPUT_RITASE!$D$5:$D$20000,$D151))</f>
        <v/>
      </c>
      <c r="S151" s="158">
        <f>IF($Q151=0,0,$R151*$P151/$Q151)</f>
        <v/>
      </c>
    </row>
    <row r="152">
      <c r="A152" s="155" t="n">
        <v>46104</v>
      </c>
      <c r="B152" s="156" t="inlineStr">
        <is>
          <t>11-12</t>
        </is>
      </c>
      <c r="C152" s="156" t="inlineStr">
        <is>
          <t>EX-2101</t>
        </is>
      </c>
      <c r="D152" s="156" t="inlineStr">
        <is>
          <t>HD-901</t>
        </is>
      </c>
      <c r="E152" s="156" t="inlineStr">
        <is>
          <t>OB</t>
        </is>
      </c>
      <c r="F152" s="156" t="n">
        <v>4</v>
      </c>
      <c r="G152" s="156" t="inlineStr"/>
      <c r="H152" s="157">
        <f>IF($B152="","",IF(ISNA(MATCH($B152,MASTER_JAM!$Q$5:$Q$28,0)),"?",IF(MATCH($B152,MASTER_JAM!$Q$5:$Q$28,0)&lt;=12,"DS","NS")))</f>
        <v/>
      </c>
      <c r="I152" s="157">
        <f>IFERROR(INDEX(MASTER_JAM!$B$5:$B$94,MATCH($C152,MASTER_JAM!$A$5:$A$94,0)),"")</f>
        <v/>
      </c>
      <c r="J152" s="157">
        <f>IFERROR(INDEX(MASTER_JAM!$E$5:$E$94,MATCH($D152,MASTER_JAM!$A$5:$A$94,0)),"")</f>
        <v/>
      </c>
      <c r="K152" s="158">
        <f>IFERROR(INDEX(MASTER_JAM!$J$5:$O$12,MATCH($E152,MASTER_JAM!$I$5:$I$12,0),MATCH($J152,MASTER_JAM!$J$4:$O$4,0))+0,0)</f>
        <v/>
      </c>
      <c r="L152" s="159">
        <f>N($F152)*$K152</f>
        <v/>
      </c>
      <c r="M152" s="157">
        <f>IF($E152="","",IF(OR($E152="Coal",$E152="Dirty Coal"),"MT","BCM"))</f>
        <v/>
      </c>
      <c r="N152" s="157">
        <f>IF($E152="","",IF(OR($E152="Coal",$E152="Dirty Coal"),"Coal","OB"))</f>
        <v/>
      </c>
      <c r="O152" s="157">
        <f>IF($F152="","",IF(COUNTIF(MASTER_JAM!$A$5:$A$94,$C152)=0,"Digger tidak dikenal",IF($J152="","Hauler tidak dikenal",IF($H152="?","Jam salah",IF($K152=0,"Faktor kosong",IF(SUMIFS(INPUT_DELAY!$E$5:$E$20000,INPUT_DELAY!$A$5:$A$20000,$A152,INPUT_DELAY!$B$5:$B$20000,$B152,INPUT_DELAY!$C$5:$C$20000,$C152)+SUMIFS(INPUT_DELAY!$E$5:$E$20000,INPUT_DELAY!$A$5:$A$20000,$A152,INPUT_DELAY!$B$5:$B$20000,$B152,INPUT_DELAY!$C$5:$C$20000,"SEMUA")&gt;=60,"Delay 60 mnt tapi ada ritase","OK"))))))</f>
        <v/>
      </c>
      <c r="P152" s="158">
        <f>IFERROR(INDEX(MASTER_JAM!$Z$5:$AC$10,MATCH($I152,MASTER_JAM!$Y$5:$Y$10,0),MATCH($J152,MASTER_JAM!$Z$4:$AC$4,0))+0,0)</f>
        <v/>
      </c>
      <c r="Q152" s="158">
        <f>IF($P152=0,0,$P152+IFERROR(INDEX(MASTER_JAM!$H$5:$H$94,MATCH($C152,MASTER_JAM!$A$5:$A$94,0))+0,MASTER_JAM!$AC$15)/1000*(60/MASTER_JAM!$AC$12+60/MASTER_JAM!$AC$13)+MASTER_JAM!$AC$14)</f>
        <v/>
      </c>
      <c r="R152" s="158">
        <f>IF(N($F152)=0,0,$F152/SUMIFS(INPUT_RITASE!$F$5:$F$20000,INPUT_RITASE!$A$5:$A$20000,$A152,INPUT_RITASE!$B$5:$B$20000,$B152,INPUT_RITASE!$C$5:$C$20000,$C152,INPUT_RITASE!$D$5:$D$20000,$D152))</f>
        <v/>
      </c>
      <c r="S152" s="158">
        <f>IF($Q152=0,0,$R152*$P152/$Q152)</f>
        <v/>
      </c>
    </row>
    <row r="153">
      <c r="A153" s="155" t="n">
        <v>46104</v>
      </c>
      <c r="B153" s="156" t="inlineStr">
        <is>
          <t>11-12</t>
        </is>
      </c>
      <c r="C153" s="156" t="inlineStr">
        <is>
          <t>EX-2101</t>
        </is>
      </c>
      <c r="D153" s="156" t="inlineStr">
        <is>
          <t>HD-903</t>
        </is>
      </c>
      <c r="E153" s="156" t="inlineStr">
        <is>
          <t>OB</t>
        </is>
      </c>
      <c r="F153" s="156" t="n">
        <v>3</v>
      </c>
      <c r="G153" s="156" t="inlineStr"/>
      <c r="H153" s="157">
        <f>IF($B153="","",IF(ISNA(MATCH($B153,MASTER_JAM!$Q$5:$Q$28,0)),"?",IF(MATCH($B153,MASTER_JAM!$Q$5:$Q$28,0)&lt;=12,"DS","NS")))</f>
        <v/>
      </c>
      <c r="I153" s="157">
        <f>IFERROR(INDEX(MASTER_JAM!$B$5:$B$94,MATCH($C153,MASTER_JAM!$A$5:$A$94,0)),"")</f>
        <v/>
      </c>
      <c r="J153" s="157">
        <f>IFERROR(INDEX(MASTER_JAM!$E$5:$E$94,MATCH($D153,MASTER_JAM!$A$5:$A$94,0)),"")</f>
        <v/>
      </c>
      <c r="K153" s="158">
        <f>IFERROR(INDEX(MASTER_JAM!$J$5:$O$12,MATCH($E153,MASTER_JAM!$I$5:$I$12,0),MATCH($J153,MASTER_JAM!$J$4:$O$4,0))+0,0)</f>
        <v/>
      </c>
      <c r="L153" s="159">
        <f>N($F153)*$K153</f>
        <v/>
      </c>
      <c r="M153" s="157">
        <f>IF($E153="","",IF(OR($E153="Coal",$E153="Dirty Coal"),"MT","BCM"))</f>
        <v/>
      </c>
      <c r="N153" s="157">
        <f>IF($E153="","",IF(OR($E153="Coal",$E153="Dirty Coal"),"Coal","OB"))</f>
        <v/>
      </c>
      <c r="O153" s="157">
        <f>IF($F153="","",IF(COUNTIF(MASTER_JAM!$A$5:$A$94,$C153)=0,"Digger tidak dikenal",IF($J153="","Hauler tidak dikenal",IF($H153="?","Jam salah",IF($K153=0,"Faktor kosong",IF(SUMIFS(INPUT_DELAY!$E$5:$E$20000,INPUT_DELAY!$A$5:$A$20000,$A153,INPUT_DELAY!$B$5:$B$20000,$B153,INPUT_DELAY!$C$5:$C$20000,$C153)+SUMIFS(INPUT_DELAY!$E$5:$E$20000,INPUT_DELAY!$A$5:$A$20000,$A153,INPUT_DELAY!$B$5:$B$20000,$B153,INPUT_DELAY!$C$5:$C$20000,"SEMUA")&gt;=60,"Delay 60 mnt tapi ada ritase","OK"))))))</f>
        <v/>
      </c>
      <c r="P153" s="158">
        <f>IFERROR(INDEX(MASTER_JAM!$Z$5:$AC$10,MATCH($I153,MASTER_JAM!$Y$5:$Y$10,0),MATCH($J153,MASTER_JAM!$Z$4:$AC$4,0))+0,0)</f>
        <v/>
      </c>
      <c r="Q153" s="158">
        <f>IF($P153=0,0,$P153+IFERROR(INDEX(MASTER_JAM!$H$5:$H$94,MATCH($C153,MASTER_JAM!$A$5:$A$94,0))+0,MASTER_JAM!$AC$15)/1000*(60/MASTER_JAM!$AC$12+60/MASTER_JAM!$AC$13)+MASTER_JAM!$AC$14)</f>
        <v/>
      </c>
      <c r="R153" s="158">
        <f>IF(N($F153)=0,0,$F153/SUMIFS(INPUT_RITASE!$F$5:$F$20000,INPUT_RITASE!$A$5:$A$20000,$A153,INPUT_RITASE!$B$5:$B$20000,$B153,INPUT_RITASE!$C$5:$C$20000,$C153,INPUT_RITASE!$D$5:$D$20000,$D153))</f>
        <v/>
      </c>
      <c r="S153" s="158">
        <f>IF($Q153=0,0,$R153*$P153/$Q153)</f>
        <v/>
      </c>
    </row>
    <row r="154">
      <c r="A154" s="155" t="n">
        <v>46104</v>
      </c>
      <c r="B154" s="156" t="inlineStr">
        <is>
          <t>11-12</t>
        </is>
      </c>
      <c r="C154" s="156" t="inlineStr">
        <is>
          <t>EX-2101</t>
        </is>
      </c>
      <c r="D154" s="156" t="inlineStr">
        <is>
          <t>DT-505</t>
        </is>
      </c>
      <c r="E154" s="156" t="inlineStr">
        <is>
          <t>OB</t>
        </is>
      </c>
      <c r="F154" s="156" t="n">
        <v>4</v>
      </c>
      <c r="G154" s="156" t="inlineStr"/>
      <c r="H154" s="157">
        <f>IF($B154="","",IF(ISNA(MATCH($B154,MASTER_JAM!$Q$5:$Q$28,0)),"?",IF(MATCH($B154,MASTER_JAM!$Q$5:$Q$28,0)&lt;=12,"DS","NS")))</f>
        <v/>
      </c>
      <c r="I154" s="157">
        <f>IFERROR(INDEX(MASTER_JAM!$B$5:$B$94,MATCH($C154,MASTER_JAM!$A$5:$A$94,0)),"")</f>
        <v/>
      </c>
      <c r="J154" s="157">
        <f>IFERROR(INDEX(MASTER_JAM!$E$5:$E$94,MATCH($D154,MASTER_JAM!$A$5:$A$94,0)),"")</f>
        <v/>
      </c>
      <c r="K154" s="158">
        <f>IFERROR(INDEX(MASTER_JAM!$J$5:$O$12,MATCH($E154,MASTER_JAM!$I$5:$I$12,0),MATCH($J154,MASTER_JAM!$J$4:$O$4,0))+0,0)</f>
        <v/>
      </c>
      <c r="L154" s="159">
        <f>N($F154)*$K154</f>
        <v/>
      </c>
      <c r="M154" s="157">
        <f>IF($E154="","",IF(OR($E154="Coal",$E154="Dirty Coal"),"MT","BCM"))</f>
        <v/>
      </c>
      <c r="N154" s="157">
        <f>IF($E154="","",IF(OR($E154="Coal",$E154="Dirty Coal"),"Coal","OB"))</f>
        <v/>
      </c>
      <c r="O154" s="157">
        <f>IF($F154="","",IF(COUNTIF(MASTER_JAM!$A$5:$A$94,$C154)=0,"Digger tidak dikenal",IF($J154="","Hauler tidak dikenal",IF($H154="?","Jam salah",IF($K154=0,"Faktor kosong",IF(SUMIFS(INPUT_DELAY!$E$5:$E$20000,INPUT_DELAY!$A$5:$A$20000,$A154,INPUT_DELAY!$B$5:$B$20000,$B154,INPUT_DELAY!$C$5:$C$20000,$C154)+SUMIFS(INPUT_DELAY!$E$5:$E$20000,INPUT_DELAY!$A$5:$A$20000,$A154,INPUT_DELAY!$B$5:$B$20000,$B154,INPUT_DELAY!$C$5:$C$20000,"SEMUA")&gt;=60,"Delay 60 mnt tapi ada ritase","OK"))))))</f>
        <v/>
      </c>
      <c r="P154" s="158">
        <f>IFERROR(INDEX(MASTER_JAM!$Z$5:$AC$10,MATCH($I154,MASTER_JAM!$Y$5:$Y$10,0),MATCH($J154,MASTER_JAM!$Z$4:$AC$4,0))+0,0)</f>
        <v/>
      </c>
      <c r="Q154" s="158">
        <f>IF($P154=0,0,$P154+IFERROR(INDEX(MASTER_JAM!$H$5:$H$94,MATCH($C154,MASTER_JAM!$A$5:$A$94,0))+0,MASTER_JAM!$AC$15)/1000*(60/MASTER_JAM!$AC$12+60/MASTER_JAM!$AC$13)+MASTER_JAM!$AC$14)</f>
        <v/>
      </c>
      <c r="R154" s="158">
        <f>IF(N($F154)=0,0,$F154/SUMIFS(INPUT_RITASE!$F$5:$F$20000,INPUT_RITASE!$A$5:$A$20000,$A154,INPUT_RITASE!$B$5:$B$20000,$B154,INPUT_RITASE!$C$5:$C$20000,$C154,INPUT_RITASE!$D$5:$D$20000,$D154))</f>
        <v/>
      </c>
      <c r="S154" s="158">
        <f>IF($Q154=0,0,$R154*$P154/$Q154)</f>
        <v/>
      </c>
    </row>
    <row r="155">
      <c r="A155" s="155" t="n">
        <v>46104</v>
      </c>
      <c r="B155" s="156" t="inlineStr">
        <is>
          <t>11-12</t>
        </is>
      </c>
      <c r="C155" s="156" t="inlineStr">
        <is>
          <t>EX-2101</t>
        </is>
      </c>
      <c r="D155" s="156" t="inlineStr">
        <is>
          <t>DT-529</t>
        </is>
      </c>
      <c r="E155" s="156" t="inlineStr">
        <is>
          <t>OB</t>
        </is>
      </c>
      <c r="F155" s="156" t="n">
        <v>4</v>
      </c>
      <c r="G155" s="156" t="inlineStr"/>
      <c r="H155" s="157">
        <f>IF($B155="","",IF(ISNA(MATCH($B155,MASTER_JAM!$Q$5:$Q$28,0)),"?",IF(MATCH($B155,MASTER_JAM!$Q$5:$Q$28,0)&lt;=12,"DS","NS")))</f>
        <v/>
      </c>
      <c r="I155" s="157">
        <f>IFERROR(INDEX(MASTER_JAM!$B$5:$B$94,MATCH($C155,MASTER_JAM!$A$5:$A$94,0)),"")</f>
        <v/>
      </c>
      <c r="J155" s="157">
        <f>IFERROR(INDEX(MASTER_JAM!$E$5:$E$94,MATCH($D155,MASTER_JAM!$A$5:$A$94,0)),"")</f>
        <v/>
      </c>
      <c r="K155" s="158">
        <f>IFERROR(INDEX(MASTER_JAM!$J$5:$O$12,MATCH($E155,MASTER_JAM!$I$5:$I$12,0),MATCH($J155,MASTER_JAM!$J$4:$O$4,0))+0,0)</f>
        <v/>
      </c>
      <c r="L155" s="159">
        <f>N($F155)*$K155</f>
        <v/>
      </c>
      <c r="M155" s="157">
        <f>IF($E155="","",IF(OR($E155="Coal",$E155="Dirty Coal"),"MT","BCM"))</f>
        <v/>
      </c>
      <c r="N155" s="157">
        <f>IF($E155="","",IF(OR($E155="Coal",$E155="Dirty Coal"),"Coal","OB"))</f>
        <v/>
      </c>
      <c r="O155" s="157">
        <f>IF($F155="","",IF(COUNTIF(MASTER_JAM!$A$5:$A$94,$C155)=0,"Digger tidak dikenal",IF($J155="","Hauler tidak dikenal",IF($H155="?","Jam salah",IF($K155=0,"Faktor kosong",IF(SUMIFS(INPUT_DELAY!$E$5:$E$20000,INPUT_DELAY!$A$5:$A$20000,$A155,INPUT_DELAY!$B$5:$B$20000,$B155,INPUT_DELAY!$C$5:$C$20000,$C155)+SUMIFS(INPUT_DELAY!$E$5:$E$20000,INPUT_DELAY!$A$5:$A$20000,$A155,INPUT_DELAY!$B$5:$B$20000,$B155,INPUT_DELAY!$C$5:$C$20000,"SEMUA")&gt;=60,"Delay 60 mnt tapi ada ritase","OK"))))))</f>
        <v/>
      </c>
      <c r="P155" s="158">
        <f>IFERROR(INDEX(MASTER_JAM!$Z$5:$AC$10,MATCH($I155,MASTER_JAM!$Y$5:$Y$10,0),MATCH($J155,MASTER_JAM!$Z$4:$AC$4,0))+0,0)</f>
        <v/>
      </c>
      <c r="Q155" s="158">
        <f>IF($P155=0,0,$P155+IFERROR(INDEX(MASTER_JAM!$H$5:$H$94,MATCH($C155,MASTER_JAM!$A$5:$A$94,0))+0,MASTER_JAM!$AC$15)/1000*(60/MASTER_JAM!$AC$12+60/MASTER_JAM!$AC$13)+MASTER_JAM!$AC$14)</f>
        <v/>
      </c>
      <c r="R155" s="158">
        <f>IF(N($F155)=0,0,$F155/SUMIFS(INPUT_RITASE!$F$5:$F$20000,INPUT_RITASE!$A$5:$A$20000,$A155,INPUT_RITASE!$B$5:$B$20000,$B155,INPUT_RITASE!$C$5:$C$20000,$C155,INPUT_RITASE!$D$5:$D$20000,$D155))</f>
        <v/>
      </c>
      <c r="S155" s="158">
        <f>IF($Q155=0,0,$R155*$P155/$Q155)</f>
        <v/>
      </c>
    </row>
    <row r="156">
      <c r="A156" s="155" t="n">
        <v>46104</v>
      </c>
      <c r="B156" s="156" t="inlineStr">
        <is>
          <t>13-14</t>
        </is>
      </c>
      <c r="C156" s="156" t="inlineStr">
        <is>
          <t>EX-2101</t>
        </is>
      </c>
      <c r="D156" s="156" t="inlineStr">
        <is>
          <t>HD-903</t>
        </is>
      </c>
      <c r="E156" s="156" t="inlineStr">
        <is>
          <t>OB</t>
        </is>
      </c>
      <c r="F156" s="156" t="n">
        <v>6</v>
      </c>
      <c r="G156" s="156" t="inlineStr"/>
      <c r="H156" s="157">
        <f>IF($B156="","",IF(ISNA(MATCH($B156,MASTER_JAM!$Q$5:$Q$28,0)),"?",IF(MATCH($B156,MASTER_JAM!$Q$5:$Q$28,0)&lt;=12,"DS","NS")))</f>
        <v/>
      </c>
      <c r="I156" s="157">
        <f>IFERROR(INDEX(MASTER_JAM!$B$5:$B$94,MATCH($C156,MASTER_JAM!$A$5:$A$94,0)),"")</f>
        <v/>
      </c>
      <c r="J156" s="157">
        <f>IFERROR(INDEX(MASTER_JAM!$E$5:$E$94,MATCH($D156,MASTER_JAM!$A$5:$A$94,0)),"")</f>
        <v/>
      </c>
      <c r="K156" s="158">
        <f>IFERROR(INDEX(MASTER_JAM!$J$5:$O$12,MATCH($E156,MASTER_JAM!$I$5:$I$12,0),MATCH($J156,MASTER_JAM!$J$4:$O$4,0))+0,0)</f>
        <v/>
      </c>
      <c r="L156" s="159">
        <f>N($F156)*$K156</f>
        <v/>
      </c>
      <c r="M156" s="157">
        <f>IF($E156="","",IF(OR($E156="Coal",$E156="Dirty Coal"),"MT","BCM"))</f>
        <v/>
      </c>
      <c r="N156" s="157">
        <f>IF($E156="","",IF(OR($E156="Coal",$E156="Dirty Coal"),"Coal","OB"))</f>
        <v/>
      </c>
      <c r="O156" s="157">
        <f>IF($F156="","",IF(COUNTIF(MASTER_JAM!$A$5:$A$94,$C156)=0,"Digger tidak dikenal",IF($J156="","Hauler tidak dikenal",IF($H156="?","Jam salah",IF($K156=0,"Faktor kosong",IF(SUMIFS(INPUT_DELAY!$E$5:$E$20000,INPUT_DELAY!$A$5:$A$20000,$A156,INPUT_DELAY!$B$5:$B$20000,$B156,INPUT_DELAY!$C$5:$C$20000,$C156)+SUMIFS(INPUT_DELAY!$E$5:$E$20000,INPUT_DELAY!$A$5:$A$20000,$A156,INPUT_DELAY!$B$5:$B$20000,$B156,INPUT_DELAY!$C$5:$C$20000,"SEMUA")&gt;=60,"Delay 60 mnt tapi ada ritase","OK"))))))</f>
        <v/>
      </c>
      <c r="P156" s="158">
        <f>IFERROR(INDEX(MASTER_JAM!$Z$5:$AC$10,MATCH($I156,MASTER_JAM!$Y$5:$Y$10,0),MATCH($J156,MASTER_JAM!$Z$4:$AC$4,0))+0,0)</f>
        <v/>
      </c>
      <c r="Q156" s="158">
        <f>IF($P156=0,0,$P156+IFERROR(INDEX(MASTER_JAM!$H$5:$H$94,MATCH($C156,MASTER_JAM!$A$5:$A$94,0))+0,MASTER_JAM!$AC$15)/1000*(60/MASTER_JAM!$AC$12+60/MASTER_JAM!$AC$13)+MASTER_JAM!$AC$14)</f>
        <v/>
      </c>
      <c r="R156" s="158">
        <f>IF(N($F156)=0,0,$F156/SUMIFS(INPUT_RITASE!$F$5:$F$20000,INPUT_RITASE!$A$5:$A$20000,$A156,INPUT_RITASE!$B$5:$B$20000,$B156,INPUT_RITASE!$C$5:$C$20000,$C156,INPUT_RITASE!$D$5:$D$20000,$D156))</f>
        <v/>
      </c>
      <c r="S156" s="158">
        <f>IF($Q156=0,0,$R156*$P156/$Q156)</f>
        <v/>
      </c>
    </row>
    <row r="157">
      <c r="A157" s="155" t="n">
        <v>46104</v>
      </c>
      <c r="B157" s="156" t="inlineStr">
        <is>
          <t>13-14</t>
        </is>
      </c>
      <c r="C157" s="156" t="inlineStr">
        <is>
          <t>EX-2101</t>
        </is>
      </c>
      <c r="D157" s="156" t="inlineStr">
        <is>
          <t>HD-904</t>
        </is>
      </c>
      <c r="E157" s="156" t="inlineStr">
        <is>
          <t>OB</t>
        </is>
      </c>
      <c r="F157" s="156" t="n">
        <v>6</v>
      </c>
      <c r="G157" s="156" t="inlineStr"/>
      <c r="H157" s="157">
        <f>IF($B157="","",IF(ISNA(MATCH($B157,MASTER_JAM!$Q$5:$Q$28,0)),"?",IF(MATCH($B157,MASTER_JAM!$Q$5:$Q$28,0)&lt;=12,"DS","NS")))</f>
        <v/>
      </c>
      <c r="I157" s="157">
        <f>IFERROR(INDEX(MASTER_JAM!$B$5:$B$94,MATCH($C157,MASTER_JAM!$A$5:$A$94,0)),"")</f>
        <v/>
      </c>
      <c r="J157" s="157">
        <f>IFERROR(INDEX(MASTER_JAM!$E$5:$E$94,MATCH($D157,MASTER_JAM!$A$5:$A$94,0)),"")</f>
        <v/>
      </c>
      <c r="K157" s="158">
        <f>IFERROR(INDEX(MASTER_JAM!$J$5:$O$12,MATCH($E157,MASTER_JAM!$I$5:$I$12,0),MATCH($J157,MASTER_JAM!$J$4:$O$4,0))+0,0)</f>
        <v/>
      </c>
      <c r="L157" s="159">
        <f>N($F157)*$K157</f>
        <v/>
      </c>
      <c r="M157" s="157">
        <f>IF($E157="","",IF(OR($E157="Coal",$E157="Dirty Coal"),"MT","BCM"))</f>
        <v/>
      </c>
      <c r="N157" s="157">
        <f>IF($E157="","",IF(OR($E157="Coal",$E157="Dirty Coal"),"Coal","OB"))</f>
        <v/>
      </c>
      <c r="O157" s="157">
        <f>IF($F157="","",IF(COUNTIF(MASTER_JAM!$A$5:$A$94,$C157)=0,"Digger tidak dikenal",IF($J157="","Hauler tidak dikenal",IF($H157="?","Jam salah",IF($K157=0,"Faktor kosong",IF(SUMIFS(INPUT_DELAY!$E$5:$E$20000,INPUT_DELAY!$A$5:$A$20000,$A157,INPUT_DELAY!$B$5:$B$20000,$B157,INPUT_DELAY!$C$5:$C$20000,$C157)+SUMIFS(INPUT_DELAY!$E$5:$E$20000,INPUT_DELAY!$A$5:$A$20000,$A157,INPUT_DELAY!$B$5:$B$20000,$B157,INPUT_DELAY!$C$5:$C$20000,"SEMUA")&gt;=60,"Delay 60 mnt tapi ada ritase","OK"))))))</f>
        <v/>
      </c>
      <c r="P157" s="158">
        <f>IFERROR(INDEX(MASTER_JAM!$Z$5:$AC$10,MATCH($I157,MASTER_JAM!$Y$5:$Y$10,0),MATCH($J157,MASTER_JAM!$Z$4:$AC$4,0))+0,0)</f>
        <v/>
      </c>
      <c r="Q157" s="158">
        <f>IF($P157=0,0,$P157+IFERROR(INDEX(MASTER_JAM!$H$5:$H$94,MATCH($C157,MASTER_JAM!$A$5:$A$94,0))+0,MASTER_JAM!$AC$15)/1000*(60/MASTER_JAM!$AC$12+60/MASTER_JAM!$AC$13)+MASTER_JAM!$AC$14)</f>
        <v/>
      </c>
      <c r="R157" s="158">
        <f>IF(N($F157)=0,0,$F157/SUMIFS(INPUT_RITASE!$F$5:$F$20000,INPUT_RITASE!$A$5:$A$20000,$A157,INPUT_RITASE!$B$5:$B$20000,$B157,INPUT_RITASE!$C$5:$C$20000,$C157,INPUT_RITASE!$D$5:$D$20000,$D157))</f>
        <v/>
      </c>
      <c r="S157" s="158">
        <f>IF($Q157=0,0,$R157*$P157/$Q157)</f>
        <v/>
      </c>
    </row>
    <row r="158">
      <c r="A158" s="155" t="n">
        <v>46104</v>
      </c>
      <c r="B158" s="156" t="inlineStr">
        <is>
          <t>13-14</t>
        </is>
      </c>
      <c r="C158" s="156" t="inlineStr">
        <is>
          <t>EX-2101</t>
        </is>
      </c>
      <c r="D158" s="156" t="inlineStr">
        <is>
          <t>HD-901</t>
        </is>
      </c>
      <c r="E158" s="156" t="inlineStr">
        <is>
          <t>OB</t>
        </is>
      </c>
      <c r="F158" s="156" t="n">
        <v>5</v>
      </c>
      <c r="G158" s="156" t="inlineStr"/>
      <c r="H158" s="157">
        <f>IF($B158="","",IF(ISNA(MATCH($B158,MASTER_JAM!$Q$5:$Q$28,0)),"?",IF(MATCH($B158,MASTER_JAM!$Q$5:$Q$28,0)&lt;=12,"DS","NS")))</f>
        <v/>
      </c>
      <c r="I158" s="157">
        <f>IFERROR(INDEX(MASTER_JAM!$B$5:$B$94,MATCH($C158,MASTER_JAM!$A$5:$A$94,0)),"")</f>
        <v/>
      </c>
      <c r="J158" s="157">
        <f>IFERROR(INDEX(MASTER_JAM!$E$5:$E$94,MATCH($D158,MASTER_JAM!$A$5:$A$94,0)),"")</f>
        <v/>
      </c>
      <c r="K158" s="158">
        <f>IFERROR(INDEX(MASTER_JAM!$J$5:$O$12,MATCH($E158,MASTER_JAM!$I$5:$I$12,0),MATCH($J158,MASTER_JAM!$J$4:$O$4,0))+0,0)</f>
        <v/>
      </c>
      <c r="L158" s="159">
        <f>N($F158)*$K158</f>
        <v/>
      </c>
      <c r="M158" s="157">
        <f>IF($E158="","",IF(OR($E158="Coal",$E158="Dirty Coal"),"MT","BCM"))</f>
        <v/>
      </c>
      <c r="N158" s="157">
        <f>IF($E158="","",IF(OR($E158="Coal",$E158="Dirty Coal"),"Coal","OB"))</f>
        <v/>
      </c>
      <c r="O158" s="157">
        <f>IF($F158="","",IF(COUNTIF(MASTER_JAM!$A$5:$A$94,$C158)=0,"Digger tidak dikenal",IF($J158="","Hauler tidak dikenal",IF($H158="?","Jam salah",IF($K158=0,"Faktor kosong",IF(SUMIFS(INPUT_DELAY!$E$5:$E$20000,INPUT_DELAY!$A$5:$A$20000,$A158,INPUT_DELAY!$B$5:$B$20000,$B158,INPUT_DELAY!$C$5:$C$20000,$C158)+SUMIFS(INPUT_DELAY!$E$5:$E$20000,INPUT_DELAY!$A$5:$A$20000,$A158,INPUT_DELAY!$B$5:$B$20000,$B158,INPUT_DELAY!$C$5:$C$20000,"SEMUA")&gt;=60,"Delay 60 mnt tapi ada ritase","OK"))))))</f>
        <v/>
      </c>
      <c r="P158" s="158">
        <f>IFERROR(INDEX(MASTER_JAM!$Z$5:$AC$10,MATCH($I158,MASTER_JAM!$Y$5:$Y$10,0),MATCH($J158,MASTER_JAM!$Z$4:$AC$4,0))+0,0)</f>
        <v/>
      </c>
      <c r="Q158" s="158">
        <f>IF($P158=0,0,$P158+IFERROR(INDEX(MASTER_JAM!$H$5:$H$94,MATCH($C158,MASTER_JAM!$A$5:$A$94,0))+0,MASTER_JAM!$AC$15)/1000*(60/MASTER_JAM!$AC$12+60/MASTER_JAM!$AC$13)+MASTER_JAM!$AC$14)</f>
        <v/>
      </c>
      <c r="R158" s="158">
        <f>IF(N($F158)=0,0,$F158/SUMIFS(INPUT_RITASE!$F$5:$F$20000,INPUT_RITASE!$A$5:$A$20000,$A158,INPUT_RITASE!$B$5:$B$20000,$B158,INPUT_RITASE!$C$5:$C$20000,$C158,INPUT_RITASE!$D$5:$D$20000,$D158))</f>
        <v/>
      </c>
      <c r="S158" s="158">
        <f>IF($Q158=0,0,$R158*$P158/$Q158)</f>
        <v/>
      </c>
    </row>
    <row r="159">
      <c r="A159" s="155" t="n">
        <v>46104</v>
      </c>
      <c r="B159" s="156" t="inlineStr">
        <is>
          <t>13-14</t>
        </is>
      </c>
      <c r="C159" s="156" t="inlineStr">
        <is>
          <t>EX-2101</t>
        </is>
      </c>
      <c r="D159" s="156" t="inlineStr">
        <is>
          <t>DT-506</t>
        </is>
      </c>
      <c r="E159" s="156" t="inlineStr">
        <is>
          <t>OB</t>
        </is>
      </c>
      <c r="F159" s="156" t="n">
        <v>3</v>
      </c>
      <c r="G159" s="156" t="inlineStr"/>
      <c r="H159" s="157">
        <f>IF($B159="","",IF(ISNA(MATCH($B159,MASTER_JAM!$Q$5:$Q$28,0)),"?",IF(MATCH($B159,MASTER_JAM!$Q$5:$Q$28,0)&lt;=12,"DS","NS")))</f>
        <v/>
      </c>
      <c r="I159" s="157">
        <f>IFERROR(INDEX(MASTER_JAM!$B$5:$B$94,MATCH($C159,MASTER_JAM!$A$5:$A$94,0)),"")</f>
        <v/>
      </c>
      <c r="J159" s="157">
        <f>IFERROR(INDEX(MASTER_JAM!$E$5:$E$94,MATCH($D159,MASTER_JAM!$A$5:$A$94,0)),"")</f>
        <v/>
      </c>
      <c r="K159" s="158">
        <f>IFERROR(INDEX(MASTER_JAM!$J$5:$O$12,MATCH($E159,MASTER_JAM!$I$5:$I$12,0),MATCH($J159,MASTER_JAM!$J$4:$O$4,0))+0,0)</f>
        <v/>
      </c>
      <c r="L159" s="159">
        <f>N($F159)*$K159</f>
        <v/>
      </c>
      <c r="M159" s="157">
        <f>IF($E159="","",IF(OR($E159="Coal",$E159="Dirty Coal"),"MT","BCM"))</f>
        <v/>
      </c>
      <c r="N159" s="157">
        <f>IF($E159="","",IF(OR($E159="Coal",$E159="Dirty Coal"),"Coal","OB"))</f>
        <v/>
      </c>
      <c r="O159" s="157">
        <f>IF($F159="","",IF(COUNTIF(MASTER_JAM!$A$5:$A$94,$C159)=0,"Digger tidak dikenal",IF($J159="","Hauler tidak dikenal",IF($H159="?","Jam salah",IF($K159=0,"Faktor kosong",IF(SUMIFS(INPUT_DELAY!$E$5:$E$20000,INPUT_DELAY!$A$5:$A$20000,$A159,INPUT_DELAY!$B$5:$B$20000,$B159,INPUT_DELAY!$C$5:$C$20000,$C159)+SUMIFS(INPUT_DELAY!$E$5:$E$20000,INPUT_DELAY!$A$5:$A$20000,$A159,INPUT_DELAY!$B$5:$B$20000,$B159,INPUT_DELAY!$C$5:$C$20000,"SEMUA")&gt;=60,"Delay 60 mnt tapi ada ritase","OK"))))))</f>
        <v/>
      </c>
      <c r="P159" s="158">
        <f>IFERROR(INDEX(MASTER_JAM!$Z$5:$AC$10,MATCH($I159,MASTER_JAM!$Y$5:$Y$10,0),MATCH($J159,MASTER_JAM!$Z$4:$AC$4,0))+0,0)</f>
        <v/>
      </c>
      <c r="Q159" s="158">
        <f>IF($P159=0,0,$P159+IFERROR(INDEX(MASTER_JAM!$H$5:$H$94,MATCH($C159,MASTER_JAM!$A$5:$A$94,0))+0,MASTER_JAM!$AC$15)/1000*(60/MASTER_JAM!$AC$12+60/MASTER_JAM!$AC$13)+MASTER_JAM!$AC$14)</f>
        <v/>
      </c>
      <c r="R159" s="158">
        <f>IF(N($F159)=0,0,$F159/SUMIFS(INPUT_RITASE!$F$5:$F$20000,INPUT_RITASE!$A$5:$A$20000,$A159,INPUT_RITASE!$B$5:$B$20000,$B159,INPUT_RITASE!$C$5:$C$20000,$C159,INPUT_RITASE!$D$5:$D$20000,$D159))</f>
        <v/>
      </c>
      <c r="S159" s="158">
        <f>IF($Q159=0,0,$R159*$P159/$Q159)</f>
        <v/>
      </c>
    </row>
    <row r="160">
      <c r="A160" s="155" t="n">
        <v>46104</v>
      </c>
      <c r="B160" s="156" t="inlineStr">
        <is>
          <t>14-15</t>
        </is>
      </c>
      <c r="C160" s="156" t="inlineStr">
        <is>
          <t>EX-2101</t>
        </is>
      </c>
      <c r="D160" s="156" t="inlineStr">
        <is>
          <t>HD-901</t>
        </is>
      </c>
      <c r="E160" s="156" t="inlineStr">
        <is>
          <t>OB</t>
        </is>
      </c>
      <c r="F160" s="156" t="n">
        <v>4</v>
      </c>
      <c r="G160" s="156" t="inlineStr"/>
      <c r="H160" s="157">
        <f>IF($B160="","",IF(ISNA(MATCH($B160,MASTER_JAM!$Q$5:$Q$28,0)),"?",IF(MATCH($B160,MASTER_JAM!$Q$5:$Q$28,0)&lt;=12,"DS","NS")))</f>
        <v/>
      </c>
      <c r="I160" s="157">
        <f>IFERROR(INDEX(MASTER_JAM!$B$5:$B$94,MATCH($C160,MASTER_JAM!$A$5:$A$94,0)),"")</f>
        <v/>
      </c>
      <c r="J160" s="157">
        <f>IFERROR(INDEX(MASTER_JAM!$E$5:$E$94,MATCH($D160,MASTER_JAM!$A$5:$A$94,0)),"")</f>
        <v/>
      </c>
      <c r="K160" s="158">
        <f>IFERROR(INDEX(MASTER_JAM!$J$5:$O$12,MATCH($E160,MASTER_JAM!$I$5:$I$12,0),MATCH($J160,MASTER_JAM!$J$4:$O$4,0))+0,0)</f>
        <v/>
      </c>
      <c r="L160" s="159">
        <f>N($F160)*$K160</f>
        <v/>
      </c>
      <c r="M160" s="157">
        <f>IF($E160="","",IF(OR($E160="Coal",$E160="Dirty Coal"),"MT","BCM"))</f>
        <v/>
      </c>
      <c r="N160" s="157">
        <f>IF($E160="","",IF(OR($E160="Coal",$E160="Dirty Coal"),"Coal","OB"))</f>
        <v/>
      </c>
      <c r="O160" s="157">
        <f>IF($F160="","",IF(COUNTIF(MASTER_JAM!$A$5:$A$94,$C160)=0,"Digger tidak dikenal",IF($J160="","Hauler tidak dikenal",IF($H160="?","Jam salah",IF($K160=0,"Faktor kosong",IF(SUMIFS(INPUT_DELAY!$E$5:$E$20000,INPUT_DELAY!$A$5:$A$20000,$A160,INPUT_DELAY!$B$5:$B$20000,$B160,INPUT_DELAY!$C$5:$C$20000,$C160)+SUMIFS(INPUT_DELAY!$E$5:$E$20000,INPUT_DELAY!$A$5:$A$20000,$A160,INPUT_DELAY!$B$5:$B$20000,$B160,INPUT_DELAY!$C$5:$C$20000,"SEMUA")&gt;=60,"Delay 60 mnt tapi ada ritase","OK"))))))</f>
        <v/>
      </c>
      <c r="P160" s="158">
        <f>IFERROR(INDEX(MASTER_JAM!$Z$5:$AC$10,MATCH($I160,MASTER_JAM!$Y$5:$Y$10,0),MATCH($J160,MASTER_JAM!$Z$4:$AC$4,0))+0,0)</f>
        <v/>
      </c>
      <c r="Q160" s="158">
        <f>IF($P160=0,0,$P160+IFERROR(INDEX(MASTER_JAM!$H$5:$H$94,MATCH($C160,MASTER_JAM!$A$5:$A$94,0))+0,MASTER_JAM!$AC$15)/1000*(60/MASTER_JAM!$AC$12+60/MASTER_JAM!$AC$13)+MASTER_JAM!$AC$14)</f>
        <v/>
      </c>
      <c r="R160" s="158">
        <f>IF(N($F160)=0,0,$F160/SUMIFS(INPUT_RITASE!$F$5:$F$20000,INPUT_RITASE!$A$5:$A$20000,$A160,INPUT_RITASE!$B$5:$B$20000,$B160,INPUT_RITASE!$C$5:$C$20000,$C160,INPUT_RITASE!$D$5:$D$20000,$D160))</f>
        <v/>
      </c>
      <c r="S160" s="158">
        <f>IF($Q160=0,0,$R160*$P160/$Q160)</f>
        <v/>
      </c>
    </row>
    <row r="161">
      <c r="A161" s="155" t="n">
        <v>46104</v>
      </c>
      <c r="B161" s="156" t="inlineStr">
        <is>
          <t>14-15</t>
        </is>
      </c>
      <c r="C161" s="156" t="inlineStr">
        <is>
          <t>EX-2101</t>
        </is>
      </c>
      <c r="D161" s="156" t="inlineStr">
        <is>
          <t>HD-904</t>
        </is>
      </c>
      <c r="E161" s="156" t="inlineStr">
        <is>
          <t>OB</t>
        </is>
      </c>
      <c r="F161" s="156" t="n">
        <v>3</v>
      </c>
      <c r="G161" s="156" t="inlineStr"/>
      <c r="H161" s="157">
        <f>IF($B161="","",IF(ISNA(MATCH($B161,MASTER_JAM!$Q$5:$Q$28,0)),"?",IF(MATCH($B161,MASTER_JAM!$Q$5:$Q$28,0)&lt;=12,"DS","NS")))</f>
        <v/>
      </c>
      <c r="I161" s="157">
        <f>IFERROR(INDEX(MASTER_JAM!$B$5:$B$94,MATCH($C161,MASTER_JAM!$A$5:$A$94,0)),"")</f>
        <v/>
      </c>
      <c r="J161" s="157">
        <f>IFERROR(INDEX(MASTER_JAM!$E$5:$E$94,MATCH($D161,MASTER_JAM!$A$5:$A$94,0)),"")</f>
        <v/>
      </c>
      <c r="K161" s="158">
        <f>IFERROR(INDEX(MASTER_JAM!$J$5:$O$12,MATCH($E161,MASTER_JAM!$I$5:$I$12,0),MATCH($J161,MASTER_JAM!$J$4:$O$4,0))+0,0)</f>
        <v/>
      </c>
      <c r="L161" s="159">
        <f>N($F161)*$K161</f>
        <v/>
      </c>
      <c r="M161" s="157">
        <f>IF($E161="","",IF(OR($E161="Coal",$E161="Dirty Coal"),"MT","BCM"))</f>
        <v/>
      </c>
      <c r="N161" s="157">
        <f>IF($E161="","",IF(OR($E161="Coal",$E161="Dirty Coal"),"Coal","OB"))</f>
        <v/>
      </c>
      <c r="O161" s="157">
        <f>IF($F161="","",IF(COUNTIF(MASTER_JAM!$A$5:$A$94,$C161)=0,"Digger tidak dikenal",IF($J161="","Hauler tidak dikenal",IF($H161="?","Jam salah",IF($K161=0,"Faktor kosong",IF(SUMIFS(INPUT_DELAY!$E$5:$E$20000,INPUT_DELAY!$A$5:$A$20000,$A161,INPUT_DELAY!$B$5:$B$20000,$B161,INPUT_DELAY!$C$5:$C$20000,$C161)+SUMIFS(INPUT_DELAY!$E$5:$E$20000,INPUT_DELAY!$A$5:$A$20000,$A161,INPUT_DELAY!$B$5:$B$20000,$B161,INPUT_DELAY!$C$5:$C$20000,"SEMUA")&gt;=60,"Delay 60 mnt tapi ada ritase","OK"))))))</f>
        <v/>
      </c>
      <c r="P161" s="158">
        <f>IFERROR(INDEX(MASTER_JAM!$Z$5:$AC$10,MATCH($I161,MASTER_JAM!$Y$5:$Y$10,0),MATCH($J161,MASTER_JAM!$Z$4:$AC$4,0))+0,0)</f>
        <v/>
      </c>
      <c r="Q161" s="158">
        <f>IF($P161=0,0,$P161+IFERROR(INDEX(MASTER_JAM!$H$5:$H$94,MATCH($C161,MASTER_JAM!$A$5:$A$94,0))+0,MASTER_JAM!$AC$15)/1000*(60/MASTER_JAM!$AC$12+60/MASTER_JAM!$AC$13)+MASTER_JAM!$AC$14)</f>
        <v/>
      </c>
      <c r="R161" s="158">
        <f>IF(N($F161)=0,0,$F161/SUMIFS(INPUT_RITASE!$F$5:$F$20000,INPUT_RITASE!$A$5:$A$20000,$A161,INPUT_RITASE!$B$5:$B$20000,$B161,INPUT_RITASE!$C$5:$C$20000,$C161,INPUT_RITASE!$D$5:$D$20000,$D161))</f>
        <v/>
      </c>
      <c r="S161" s="158">
        <f>IF($Q161=0,0,$R161*$P161/$Q161)</f>
        <v/>
      </c>
    </row>
    <row r="162">
      <c r="A162" s="155" t="n">
        <v>46104</v>
      </c>
      <c r="B162" s="156" t="inlineStr">
        <is>
          <t>14-15</t>
        </is>
      </c>
      <c r="C162" s="156" t="inlineStr">
        <is>
          <t>EX-2101</t>
        </is>
      </c>
      <c r="D162" s="156" t="inlineStr">
        <is>
          <t>HD-903</t>
        </is>
      </c>
      <c r="E162" s="156" t="inlineStr">
        <is>
          <t>OB</t>
        </is>
      </c>
      <c r="F162" s="156" t="n">
        <v>3</v>
      </c>
      <c r="G162" s="156" t="inlineStr"/>
      <c r="H162" s="157">
        <f>IF($B162="","",IF(ISNA(MATCH($B162,MASTER_JAM!$Q$5:$Q$28,0)),"?",IF(MATCH($B162,MASTER_JAM!$Q$5:$Q$28,0)&lt;=12,"DS","NS")))</f>
        <v/>
      </c>
      <c r="I162" s="157">
        <f>IFERROR(INDEX(MASTER_JAM!$B$5:$B$94,MATCH($C162,MASTER_JAM!$A$5:$A$94,0)),"")</f>
        <v/>
      </c>
      <c r="J162" s="157">
        <f>IFERROR(INDEX(MASTER_JAM!$E$5:$E$94,MATCH($D162,MASTER_JAM!$A$5:$A$94,0)),"")</f>
        <v/>
      </c>
      <c r="K162" s="158">
        <f>IFERROR(INDEX(MASTER_JAM!$J$5:$O$12,MATCH($E162,MASTER_JAM!$I$5:$I$12,0),MATCH($J162,MASTER_JAM!$J$4:$O$4,0))+0,0)</f>
        <v/>
      </c>
      <c r="L162" s="159">
        <f>N($F162)*$K162</f>
        <v/>
      </c>
      <c r="M162" s="157">
        <f>IF($E162="","",IF(OR($E162="Coal",$E162="Dirty Coal"),"MT","BCM"))</f>
        <v/>
      </c>
      <c r="N162" s="157">
        <f>IF($E162="","",IF(OR($E162="Coal",$E162="Dirty Coal"),"Coal","OB"))</f>
        <v/>
      </c>
      <c r="O162" s="157">
        <f>IF($F162="","",IF(COUNTIF(MASTER_JAM!$A$5:$A$94,$C162)=0,"Digger tidak dikenal",IF($J162="","Hauler tidak dikenal",IF($H162="?","Jam salah",IF($K162=0,"Faktor kosong",IF(SUMIFS(INPUT_DELAY!$E$5:$E$20000,INPUT_DELAY!$A$5:$A$20000,$A162,INPUT_DELAY!$B$5:$B$20000,$B162,INPUT_DELAY!$C$5:$C$20000,$C162)+SUMIFS(INPUT_DELAY!$E$5:$E$20000,INPUT_DELAY!$A$5:$A$20000,$A162,INPUT_DELAY!$B$5:$B$20000,$B162,INPUT_DELAY!$C$5:$C$20000,"SEMUA")&gt;=60,"Delay 60 mnt tapi ada ritase","OK"))))))</f>
        <v/>
      </c>
      <c r="P162" s="158">
        <f>IFERROR(INDEX(MASTER_JAM!$Z$5:$AC$10,MATCH($I162,MASTER_JAM!$Y$5:$Y$10,0),MATCH($J162,MASTER_JAM!$Z$4:$AC$4,0))+0,0)</f>
        <v/>
      </c>
      <c r="Q162" s="158">
        <f>IF($P162=0,0,$P162+IFERROR(INDEX(MASTER_JAM!$H$5:$H$94,MATCH($C162,MASTER_JAM!$A$5:$A$94,0))+0,MASTER_JAM!$AC$15)/1000*(60/MASTER_JAM!$AC$12+60/MASTER_JAM!$AC$13)+MASTER_JAM!$AC$14)</f>
        <v/>
      </c>
      <c r="R162" s="158">
        <f>IF(N($F162)=0,0,$F162/SUMIFS(INPUT_RITASE!$F$5:$F$20000,INPUT_RITASE!$A$5:$A$20000,$A162,INPUT_RITASE!$B$5:$B$20000,$B162,INPUT_RITASE!$C$5:$C$20000,$C162,INPUT_RITASE!$D$5:$D$20000,$D162))</f>
        <v/>
      </c>
      <c r="S162" s="158">
        <f>IF($Q162=0,0,$R162*$P162/$Q162)</f>
        <v/>
      </c>
    </row>
    <row r="163">
      <c r="A163" s="155" t="n">
        <v>46104</v>
      </c>
      <c r="B163" s="156" t="inlineStr">
        <is>
          <t>14-15</t>
        </is>
      </c>
      <c r="C163" s="156" t="inlineStr">
        <is>
          <t>EX-2101</t>
        </is>
      </c>
      <c r="D163" s="156" t="inlineStr">
        <is>
          <t>DT-510</t>
        </is>
      </c>
      <c r="E163" s="156" t="inlineStr">
        <is>
          <t>OB</t>
        </is>
      </c>
      <c r="F163" s="156" t="n">
        <v>3</v>
      </c>
      <c r="G163" s="156" t="inlineStr"/>
      <c r="H163" s="157">
        <f>IF($B163="","",IF(ISNA(MATCH($B163,MASTER_JAM!$Q$5:$Q$28,0)),"?",IF(MATCH($B163,MASTER_JAM!$Q$5:$Q$28,0)&lt;=12,"DS","NS")))</f>
        <v/>
      </c>
      <c r="I163" s="157">
        <f>IFERROR(INDEX(MASTER_JAM!$B$5:$B$94,MATCH($C163,MASTER_JAM!$A$5:$A$94,0)),"")</f>
        <v/>
      </c>
      <c r="J163" s="157">
        <f>IFERROR(INDEX(MASTER_JAM!$E$5:$E$94,MATCH($D163,MASTER_JAM!$A$5:$A$94,0)),"")</f>
        <v/>
      </c>
      <c r="K163" s="158">
        <f>IFERROR(INDEX(MASTER_JAM!$J$5:$O$12,MATCH($E163,MASTER_JAM!$I$5:$I$12,0),MATCH($J163,MASTER_JAM!$J$4:$O$4,0))+0,0)</f>
        <v/>
      </c>
      <c r="L163" s="159">
        <f>N($F163)*$K163</f>
        <v/>
      </c>
      <c r="M163" s="157">
        <f>IF($E163="","",IF(OR($E163="Coal",$E163="Dirty Coal"),"MT","BCM"))</f>
        <v/>
      </c>
      <c r="N163" s="157">
        <f>IF($E163="","",IF(OR($E163="Coal",$E163="Dirty Coal"),"Coal","OB"))</f>
        <v/>
      </c>
      <c r="O163" s="157">
        <f>IF($F163="","",IF(COUNTIF(MASTER_JAM!$A$5:$A$94,$C163)=0,"Digger tidak dikenal",IF($J163="","Hauler tidak dikenal",IF($H163="?","Jam salah",IF($K163=0,"Faktor kosong",IF(SUMIFS(INPUT_DELAY!$E$5:$E$20000,INPUT_DELAY!$A$5:$A$20000,$A163,INPUT_DELAY!$B$5:$B$20000,$B163,INPUT_DELAY!$C$5:$C$20000,$C163)+SUMIFS(INPUT_DELAY!$E$5:$E$20000,INPUT_DELAY!$A$5:$A$20000,$A163,INPUT_DELAY!$B$5:$B$20000,$B163,INPUT_DELAY!$C$5:$C$20000,"SEMUA")&gt;=60,"Delay 60 mnt tapi ada ritase","OK"))))))</f>
        <v/>
      </c>
      <c r="P163" s="158">
        <f>IFERROR(INDEX(MASTER_JAM!$Z$5:$AC$10,MATCH($I163,MASTER_JAM!$Y$5:$Y$10,0),MATCH($J163,MASTER_JAM!$Z$4:$AC$4,0))+0,0)</f>
        <v/>
      </c>
      <c r="Q163" s="158">
        <f>IF($P163=0,0,$P163+IFERROR(INDEX(MASTER_JAM!$H$5:$H$94,MATCH($C163,MASTER_JAM!$A$5:$A$94,0))+0,MASTER_JAM!$AC$15)/1000*(60/MASTER_JAM!$AC$12+60/MASTER_JAM!$AC$13)+MASTER_JAM!$AC$14)</f>
        <v/>
      </c>
      <c r="R163" s="158">
        <f>IF(N($F163)=0,0,$F163/SUMIFS(INPUT_RITASE!$F$5:$F$20000,INPUT_RITASE!$A$5:$A$20000,$A163,INPUT_RITASE!$B$5:$B$20000,$B163,INPUT_RITASE!$C$5:$C$20000,$C163,INPUT_RITASE!$D$5:$D$20000,$D163))</f>
        <v/>
      </c>
      <c r="S163" s="158">
        <f>IF($Q163=0,0,$R163*$P163/$Q163)</f>
        <v/>
      </c>
    </row>
    <row r="164">
      <c r="A164" s="155" t="n">
        <v>46104</v>
      </c>
      <c r="B164" s="156" t="inlineStr">
        <is>
          <t>14-15</t>
        </is>
      </c>
      <c r="C164" s="156" t="inlineStr">
        <is>
          <t>EX-2101</t>
        </is>
      </c>
      <c r="D164" s="156" t="inlineStr">
        <is>
          <t>DT-515</t>
        </is>
      </c>
      <c r="E164" s="156" t="inlineStr">
        <is>
          <t>OB</t>
        </is>
      </c>
      <c r="F164" s="156" t="n">
        <v>3</v>
      </c>
      <c r="G164" s="156" t="inlineStr"/>
      <c r="H164" s="157">
        <f>IF($B164="","",IF(ISNA(MATCH($B164,MASTER_JAM!$Q$5:$Q$28,0)),"?",IF(MATCH($B164,MASTER_JAM!$Q$5:$Q$28,0)&lt;=12,"DS","NS")))</f>
        <v/>
      </c>
      <c r="I164" s="157">
        <f>IFERROR(INDEX(MASTER_JAM!$B$5:$B$94,MATCH($C164,MASTER_JAM!$A$5:$A$94,0)),"")</f>
        <v/>
      </c>
      <c r="J164" s="157">
        <f>IFERROR(INDEX(MASTER_JAM!$E$5:$E$94,MATCH($D164,MASTER_JAM!$A$5:$A$94,0)),"")</f>
        <v/>
      </c>
      <c r="K164" s="158">
        <f>IFERROR(INDEX(MASTER_JAM!$J$5:$O$12,MATCH($E164,MASTER_JAM!$I$5:$I$12,0),MATCH($J164,MASTER_JAM!$J$4:$O$4,0))+0,0)</f>
        <v/>
      </c>
      <c r="L164" s="159">
        <f>N($F164)*$K164</f>
        <v/>
      </c>
      <c r="M164" s="157">
        <f>IF($E164="","",IF(OR($E164="Coal",$E164="Dirty Coal"),"MT","BCM"))</f>
        <v/>
      </c>
      <c r="N164" s="157">
        <f>IF($E164="","",IF(OR($E164="Coal",$E164="Dirty Coal"),"Coal","OB"))</f>
        <v/>
      </c>
      <c r="O164" s="157">
        <f>IF($F164="","",IF(COUNTIF(MASTER_JAM!$A$5:$A$94,$C164)=0,"Digger tidak dikenal",IF($J164="","Hauler tidak dikenal",IF($H164="?","Jam salah",IF($K164=0,"Faktor kosong",IF(SUMIFS(INPUT_DELAY!$E$5:$E$20000,INPUT_DELAY!$A$5:$A$20000,$A164,INPUT_DELAY!$B$5:$B$20000,$B164,INPUT_DELAY!$C$5:$C$20000,$C164)+SUMIFS(INPUT_DELAY!$E$5:$E$20000,INPUT_DELAY!$A$5:$A$20000,$A164,INPUT_DELAY!$B$5:$B$20000,$B164,INPUT_DELAY!$C$5:$C$20000,"SEMUA")&gt;=60,"Delay 60 mnt tapi ada ritase","OK"))))))</f>
        <v/>
      </c>
      <c r="P164" s="158">
        <f>IFERROR(INDEX(MASTER_JAM!$Z$5:$AC$10,MATCH($I164,MASTER_JAM!$Y$5:$Y$10,0),MATCH($J164,MASTER_JAM!$Z$4:$AC$4,0))+0,0)</f>
        <v/>
      </c>
      <c r="Q164" s="158">
        <f>IF($P164=0,0,$P164+IFERROR(INDEX(MASTER_JAM!$H$5:$H$94,MATCH($C164,MASTER_JAM!$A$5:$A$94,0))+0,MASTER_JAM!$AC$15)/1000*(60/MASTER_JAM!$AC$12+60/MASTER_JAM!$AC$13)+MASTER_JAM!$AC$14)</f>
        <v/>
      </c>
      <c r="R164" s="158">
        <f>IF(N($F164)=0,0,$F164/SUMIFS(INPUT_RITASE!$F$5:$F$20000,INPUT_RITASE!$A$5:$A$20000,$A164,INPUT_RITASE!$B$5:$B$20000,$B164,INPUT_RITASE!$C$5:$C$20000,$C164,INPUT_RITASE!$D$5:$D$20000,$D164))</f>
        <v/>
      </c>
      <c r="S164" s="158">
        <f>IF($Q164=0,0,$R164*$P164/$Q164)</f>
        <v/>
      </c>
    </row>
    <row r="165">
      <c r="A165" s="155" t="n">
        <v>46104</v>
      </c>
      <c r="B165" s="156" t="inlineStr">
        <is>
          <t>15-16</t>
        </is>
      </c>
      <c r="C165" s="156" t="inlineStr">
        <is>
          <t>EX-2101</t>
        </is>
      </c>
      <c r="D165" s="156" t="inlineStr">
        <is>
          <t>HD-903</t>
        </is>
      </c>
      <c r="E165" s="156" t="inlineStr">
        <is>
          <t>OB</t>
        </is>
      </c>
      <c r="F165" s="156" t="n">
        <v>5</v>
      </c>
      <c r="G165" s="156" t="inlineStr"/>
      <c r="H165" s="157">
        <f>IF($B165="","",IF(ISNA(MATCH($B165,MASTER_JAM!$Q$5:$Q$28,0)),"?",IF(MATCH($B165,MASTER_JAM!$Q$5:$Q$28,0)&lt;=12,"DS","NS")))</f>
        <v/>
      </c>
      <c r="I165" s="157">
        <f>IFERROR(INDEX(MASTER_JAM!$B$5:$B$94,MATCH($C165,MASTER_JAM!$A$5:$A$94,0)),"")</f>
        <v/>
      </c>
      <c r="J165" s="157">
        <f>IFERROR(INDEX(MASTER_JAM!$E$5:$E$94,MATCH($D165,MASTER_JAM!$A$5:$A$94,0)),"")</f>
        <v/>
      </c>
      <c r="K165" s="158">
        <f>IFERROR(INDEX(MASTER_JAM!$J$5:$O$12,MATCH($E165,MASTER_JAM!$I$5:$I$12,0),MATCH($J165,MASTER_JAM!$J$4:$O$4,0))+0,0)</f>
        <v/>
      </c>
      <c r="L165" s="159">
        <f>N($F165)*$K165</f>
        <v/>
      </c>
      <c r="M165" s="157">
        <f>IF($E165="","",IF(OR($E165="Coal",$E165="Dirty Coal"),"MT","BCM"))</f>
        <v/>
      </c>
      <c r="N165" s="157">
        <f>IF($E165="","",IF(OR($E165="Coal",$E165="Dirty Coal"),"Coal","OB"))</f>
        <v/>
      </c>
      <c r="O165" s="157">
        <f>IF($F165="","",IF(COUNTIF(MASTER_JAM!$A$5:$A$94,$C165)=0,"Digger tidak dikenal",IF($J165="","Hauler tidak dikenal",IF($H165="?","Jam salah",IF($K165=0,"Faktor kosong",IF(SUMIFS(INPUT_DELAY!$E$5:$E$20000,INPUT_DELAY!$A$5:$A$20000,$A165,INPUT_DELAY!$B$5:$B$20000,$B165,INPUT_DELAY!$C$5:$C$20000,$C165)+SUMIFS(INPUT_DELAY!$E$5:$E$20000,INPUT_DELAY!$A$5:$A$20000,$A165,INPUT_DELAY!$B$5:$B$20000,$B165,INPUT_DELAY!$C$5:$C$20000,"SEMUA")&gt;=60,"Delay 60 mnt tapi ada ritase","OK"))))))</f>
        <v/>
      </c>
      <c r="P165" s="158">
        <f>IFERROR(INDEX(MASTER_JAM!$Z$5:$AC$10,MATCH($I165,MASTER_JAM!$Y$5:$Y$10,0),MATCH($J165,MASTER_JAM!$Z$4:$AC$4,0))+0,0)</f>
        <v/>
      </c>
      <c r="Q165" s="158">
        <f>IF($P165=0,0,$P165+IFERROR(INDEX(MASTER_JAM!$H$5:$H$94,MATCH($C165,MASTER_JAM!$A$5:$A$94,0))+0,MASTER_JAM!$AC$15)/1000*(60/MASTER_JAM!$AC$12+60/MASTER_JAM!$AC$13)+MASTER_JAM!$AC$14)</f>
        <v/>
      </c>
      <c r="R165" s="158">
        <f>IF(N($F165)=0,0,$F165/SUMIFS(INPUT_RITASE!$F$5:$F$20000,INPUT_RITASE!$A$5:$A$20000,$A165,INPUT_RITASE!$B$5:$B$20000,$B165,INPUT_RITASE!$C$5:$C$20000,$C165,INPUT_RITASE!$D$5:$D$20000,$D165))</f>
        <v/>
      </c>
      <c r="S165" s="158">
        <f>IF($Q165=0,0,$R165*$P165/$Q165)</f>
        <v/>
      </c>
    </row>
    <row r="166">
      <c r="A166" s="155" t="n">
        <v>46104</v>
      </c>
      <c r="B166" s="156" t="inlineStr">
        <is>
          <t>15-16</t>
        </is>
      </c>
      <c r="C166" s="156" t="inlineStr">
        <is>
          <t>EX-2101</t>
        </is>
      </c>
      <c r="D166" s="156" t="inlineStr">
        <is>
          <t>HD-904</t>
        </is>
      </c>
      <c r="E166" s="156" t="inlineStr">
        <is>
          <t>OB</t>
        </is>
      </c>
      <c r="F166" s="156" t="n">
        <v>5</v>
      </c>
      <c r="G166" s="156" t="inlineStr"/>
      <c r="H166" s="157">
        <f>IF($B166="","",IF(ISNA(MATCH($B166,MASTER_JAM!$Q$5:$Q$28,0)),"?",IF(MATCH($B166,MASTER_JAM!$Q$5:$Q$28,0)&lt;=12,"DS","NS")))</f>
        <v/>
      </c>
      <c r="I166" s="157">
        <f>IFERROR(INDEX(MASTER_JAM!$B$5:$B$94,MATCH($C166,MASTER_JAM!$A$5:$A$94,0)),"")</f>
        <v/>
      </c>
      <c r="J166" s="157">
        <f>IFERROR(INDEX(MASTER_JAM!$E$5:$E$94,MATCH($D166,MASTER_JAM!$A$5:$A$94,0)),"")</f>
        <v/>
      </c>
      <c r="K166" s="158">
        <f>IFERROR(INDEX(MASTER_JAM!$J$5:$O$12,MATCH($E166,MASTER_JAM!$I$5:$I$12,0),MATCH($J166,MASTER_JAM!$J$4:$O$4,0))+0,0)</f>
        <v/>
      </c>
      <c r="L166" s="159">
        <f>N($F166)*$K166</f>
        <v/>
      </c>
      <c r="M166" s="157">
        <f>IF($E166="","",IF(OR($E166="Coal",$E166="Dirty Coal"),"MT","BCM"))</f>
        <v/>
      </c>
      <c r="N166" s="157">
        <f>IF($E166="","",IF(OR($E166="Coal",$E166="Dirty Coal"),"Coal","OB"))</f>
        <v/>
      </c>
      <c r="O166" s="157">
        <f>IF($F166="","",IF(COUNTIF(MASTER_JAM!$A$5:$A$94,$C166)=0,"Digger tidak dikenal",IF($J166="","Hauler tidak dikenal",IF($H166="?","Jam salah",IF($K166=0,"Faktor kosong",IF(SUMIFS(INPUT_DELAY!$E$5:$E$20000,INPUT_DELAY!$A$5:$A$20000,$A166,INPUT_DELAY!$B$5:$B$20000,$B166,INPUT_DELAY!$C$5:$C$20000,$C166)+SUMIFS(INPUT_DELAY!$E$5:$E$20000,INPUT_DELAY!$A$5:$A$20000,$A166,INPUT_DELAY!$B$5:$B$20000,$B166,INPUT_DELAY!$C$5:$C$20000,"SEMUA")&gt;=60,"Delay 60 mnt tapi ada ritase","OK"))))))</f>
        <v/>
      </c>
      <c r="P166" s="158">
        <f>IFERROR(INDEX(MASTER_JAM!$Z$5:$AC$10,MATCH($I166,MASTER_JAM!$Y$5:$Y$10,0),MATCH($J166,MASTER_JAM!$Z$4:$AC$4,0))+0,0)</f>
        <v/>
      </c>
      <c r="Q166" s="158">
        <f>IF($P166=0,0,$P166+IFERROR(INDEX(MASTER_JAM!$H$5:$H$94,MATCH($C166,MASTER_JAM!$A$5:$A$94,0))+0,MASTER_JAM!$AC$15)/1000*(60/MASTER_JAM!$AC$12+60/MASTER_JAM!$AC$13)+MASTER_JAM!$AC$14)</f>
        <v/>
      </c>
      <c r="R166" s="158">
        <f>IF(N($F166)=0,0,$F166/SUMIFS(INPUT_RITASE!$F$5:$F$20000,INPUT_RITASE!$A$5:$A$20000,$A166,INPUT_RITASE!$B$5:$B$20000,$B166,INPUT_RITASE!$C$5:$C$20000,$C166,INPUT_RITASE!$D$5:$D$20000,$D166))</f>
        <v/>
      </c>
      <c r="S166" s="158">
        <f>IF($Q166=0,0,$R166*$P166/$Q166)</f>
        <v/>
      </c>
    </row>
    <row r="167">
      <c r="A167" s="155" t="n">
        <v>46104</v>
      </c>
      <c r="B167" s="156" t="inlineStr">
        <is>
          <t>15-16</t>
        </is>
      </c>
      <c r="C167" s="156" t="inlineStr">
        <is>
          <t>EX-2101</t>
        </is>
      </c>
      <c r="D167" s="156" t="inlineStr">
        <is>
          <t>HD-901</t>
        </is>
      </c>
      <c r="E167" s="156" t="inlineStr">
        <is>
          <t>OB</t>
        </is>
      </c>
      <c r="F167" s="156" t="n">
        <v>4</v>
      </c>
      <c r="G167" s="156" t="inlineStr"/>
      <c r="H167" s="157">
        <f>IF($B167="","",IF(ISNA(MATCH($B167,MASTER_JAM!$Q$5:$Q$28,0)),"?",IF(MATCH($B167,MASTER_JAM!$Q$5:$Q$28,0)&lt;=12,"DS","NS")))</f>
        <v/>
      </c>
      <c r="I167" s="157">
        <f>IFERROR(INDEX(MASTER_JAM!$B$5:$B$94,MATCH($C167,MASTER_JAM!$A$5:$A$94,0)),"")</f>
        <v/>
      </c>
      <c r="J167" s="157">
        <f>IFERROR(INDEX(MASTER_JAM!$E$5:$E$94,MATCH($D167,MASTER_JAM!$A$5:$A$94,0)),"")</f>
        <v/>
      </c>
      <c r="K167" s="158">
        <f>IFERROR(INDEX(MASTER_JAM!$J$5:$O$12,MATCH($E167,MASTER_JAM!$I$5:$I$12,0),MATCH($J167,MASTER_JAM!$J$4:$O$4,0))+0,0)</f>
        <v/>
      </c>
      <c r="L167" s="159">
        <f>N($F167)*$K167</f>
        <v/>
      </c>
      <c r="M167" s="157">
        <f>IF($E167="","",IF(OR($E167="Coal",$E167="Dirty Coal"),"MT","BCM"))</f>
        <v/>
      </c>
      <c r="N167" s="157">
        <f>IF($E167="","",IF(OR($E167="Coal",$E167="Dirty Coal"),"Coal","OB"))</f>
        <v/>
      </c>
      <c r="O167" s="157">
        <f>IF($F167="","",IF(COUNTIF(MASTER_JAM!$A$5:$A$94,$C167)=0,"Digger tidak dikenal",IF($J167="","Hauler tidak dikenal",IF($H167="?","Jam salah",IF($K167=0,"Faktor kosong",IF(SUMIFS(INPUT_DELAY!$E$5:$E$20000,INPUT_DELAY!$A$5:$A$20000,$A167,INPUT_DELAY!$B$5:$B$20000,$B167,INPUT_DELAY!$C$5:$C$20000,$C167)+SUMIFS(INPUT_DELAY!$E$5:$E$20000,INPUT_DELAY!$A$5:$A$20000,$A167,INPUT_DELAY!$B$5:$B$20000,$B167,INPUT_DELAY!$C$5:$C$20000,"SEMUA")&gt;=60,"Delay 60 mnt tapi ada ritase","OK"))))))</f>
        <v/>
      </c>
      <c r="P167" s="158">
        <f>IFERROR(INDEX(MASTER_JAM!$Z$5:$AC$10,MATCH($I167,MASTER_JAM!$Y$5:$Y$10,0),MATCH($J167,MASTER_JAM!$Z$4:$AC$4,0))+0,0)</f>
        <v/>
      </c>
      <c r="Q167" s="158">
        <f>IF($P167=0,0,$P167+IFERROR(INDEX(MASTER_JAM!$H$5:$H$94,MATCH($C167,MASTER_JAM!$A$5:$A$94,0))+0,MASTER_JAM!$AC$15)/1000*(60/MASTER_JAM!$AC$12+60/MASTER_JAM!$AC$13)+MASTER_JAM!$AC$14)</f>
        <v/>
      </c>
      <c r="R167" s="158">
        <f>IF(N($F167)=0,0,$F167/SUMIFS(INPUT_RITASE!$F$5:$F$20000,INPUT_RITASE!$A$5:$A$20000,$A167,INPUT_RITASE!$B$5:$B$20000,$B167,INPUT_RITASE!$C$5:$C$20000,$C167,INPUT_RITASE!$D$5:$D$20000,$D167))</f>
        <v/>
      </c>
      <c r="S167" s="158">
        <f>IF($Q167=0,0,$R167*$P167/$Q167)</f>
        <v/>
      </c>
    </row>
    <row r="168">
      <c r="A168" s="155" t="n">
        <v>46104</v>
      </c>
      <c r="B168" s="156" t="inlineStr">
        <is>
          <t>15-16</t>
        </is>
      </c>
      <c r="C168" s="156" t="inlineStr">
        <is>
          <t>EX-2101</t>
        </is>
      </c>
      <c r="D168" s="156" t="inlineStr">
        <is>
          <t>DT-507</t>
        </is>
      </c>
      <c r="E168" s="156" t="inlineStr">
        <is>
          <t>OB</t>
        </is>
      </c>
      <c r="F168" s="156" t="n">
        <v>3</v>
      </c>
      <c r="G168" s="156" t="inlineStr"/>
      <c r="H168" s="157">
        <f>IF($B168="","",IF(ISNA(MATCH($B168,MASTER_JAM!$Q$5:$Q$28,0)),"?",IF(MATCH($B168,MASTER_JAM!$Q$5:$Q$28,0)&lt;=12,"DS","NS")))</f>
        <v/>
      </c>
      <c r="I168" s="157">
        <f>IFERROR(INDEX(MASTER_JAM!$B$5:$B$94,MATCH($C168,MASTER_JAM!$A$5:$A$94,0)),"")</f>
        <v/>
      </c>
      <c r="J168" s="157">
        <f>IFERROR(INDEX(MASTER_JAM!$E$5:$E$94,MATCH($D168,MASTER_JAM!$A$5:$A$94,0)),"")</f>
        <v/>
      </c>
      <c r="K168" s="158">
        <f>IFERROR(INDEX(MASTER_JAM!$J$5:$O$12,MATCH($E168,MASTER_JAM!$I$5:$I$12,0),MATCH($J168,MASTER_JAM!$J$4:$O$4,0))+0,0)</f>
        <v/>
      </c>
      <c r="L168" s="159">
        <f>N($F168)*$K168</f>
        <v/>
      </c>
      <c r="M168" s="157">
        <f>IF($E168="","",IF(OR($E168="Coal",$E168="Dirty Coal"),"MT","BCM"))</f>
        <v/>
      </c>
      <c r="N168" s="157">
        <f>IF($E168="","",IF(OR($E168="Coal",$E168="Dirty Coal"),"Coal","OB"))</f>
        <v/>
      </c>
      <c r="O168" s="157">
        <f>IF($F168="","",IF(COUNTIF(MASTER_JAM!$A$5:$A$94,$C168)=0,"Digger tidak dikenal",IF($J168="","Hauler tidak dikenal",IF($H168="?","Jam salah",IF($K168=0,"Faktor kosong",IF(SUMIFS(INPUT_DELAY!$E$5:$E$20000,INPUT_DELAY!$A$5:$A$20000,$A168,INPUT_DELAY!$B$5:$B$20000,$B168,INPUT_DELAY!$C$5:$C$20000,$C168)+SUMIFS(INPUT_DELAY!$E$5:$E$20000,INPUT_DELAY!$A$5:$A$20000,$A168,INPUT_DELAY!$B$5:$B$20000,$B168,INPUT_DELAY!$C$5:$C$20000,"SEMUA")&gt;=60,"Delay 60 mnt tapi ada ritase","OK"))))))</f>
        <v/>
      </c>
      <c r="P168" s="158">
        <f>IFERROR(INDEX(MASTER_JAM!$Z$5:$AC$10,MATCH($I168,MASTER_JAM!$Y$5:$Y$10,0),MATCH($J168,MASTER_JAM!$Z$4:$AC$4,0))+0,0)</f>
        <v/>
      </c>
      <c r="Q168" s="158">
        <f>IF($P168=0,0,$P168+IFERROR(INDEX(MASTER_JAM!$H$5:$H$94,MATCH($C168,MASTER_JAM!$A$5:$A$94,0))+0,MASTER_JAM!$AC$15)/1000*(60/MASTER_JAM!$AC$12+60/MASTER_JAM!$AC$13)+MASTER_JAM!$AC$14)</f>
        <v/>
      </c>
      <c r="R168" s="158">
        <f>IF(N($F168)=0,0,$F168/SUMIFS(INPUT_RITASE!$F$5:$F$20000,INPUT_RITASE!$A$5:$A$20000,$A168,INPUT_RITASE!$B$5:$B$20000,$B168,INPUT_RITASE!$C$5:$C$20000,$C168,INPUT_RITASE!$D$5:$D$20000,$D168))</f>
        <v/>
      </c>
      <c r="S168" s="158">
        <f>IF($Q168=0,0,$R168*$P168/$Q168)</f>
        <v/>
      </c>
    </row>
    <row r="169">
      <c r="A169" s="155" t="n">
        <v>46104</v>
      </c>
      <c r="B169" s="156" t="inlineStr">
        <is>
          <t>16-17</t>
        </is>
      </c>
      <c r="C169" s="156" t="inlineStr">
        <is>
          <t>EX-2101</t>
        </is>
      </c>
      <c r="D169" s="156" t="inlineStr">
        <is>
          <t>HD-904</t>
        </is>
      </c>
      <c r="E169" s="156" t="inlineStr">
        <is>
          <t>OB</t>
        </is>
      </c>
      <c r="F169" s="156" t="n">
        <v>4</v>
      </c>
      <c r="G169" s="156" t="inlineStr"/>
      <c r="H169" s="157">
        <f>IF($B169="","",IF(ISNA(MATCH($B169,MASTER_JAM!$Q$5:$Q$28,0)),"?",IF(MATCH($B169,MASTER_JAM!$Q$5:$Q$28,0)&lt;=12,"DS","NS")))</f>
        <v/>
      </c>
      <c r="I169" s="157">
        <f>IFERROR(INDEX(MASTER_JAM!$B$5:$B$94,MATCH($C169,MASTER_JAM!$A$5:$A$94,0)),"")</f>
        <v/>
      </c>
      <c r="J169" s="157">
        <f>IFERROR(INDEX(MASTER_JAM!$E$5:$E$94,MATCH($D169,MASTER_JAM!$A$5:$A$94,0)),"")</f>
        <v/>
      </c>
      <c r="K169" s="158">
        <f>IFERROR(INDEX(MASTER_JAM!$J$5:$O$12,MATCH($E169,MASTER_JAM!$I$5:$I$12,0),MATCH($J169,MASTER_JAM!$J$4:$O$4,0))+0,0)</f>
        <v/>
      </c>
      <c r="L169" s="159">
        <f>N($F169)*$K169</f>
        <v/>
      </c>
      <c r="M169" s="157">
        <f>IF($E169="","",IF(OR($E169="Coal",$E169="Dirty Coal"),"MT","BCM"))</f>
        <v/>
      </c>
      <c r="N169" s="157">
        <f>IF($E169="","",IF(OR($E169="Coal",$E169="Dirty Coal"),"Coal","OB"))</f>
        <v/>
      </c>
      <c r="O169" s="157">
        <f>IF($F169="","",IF(COUNTIF(MASTER_JAM!$A$5:$A$94,$C169)=0,"Digger tidak dikenal",IF($J169="","Hauler tidak dikenal",IF($H169="?","Jam salah",IF($K169=0,"Faktor kosong",IF(SUMIFS(INPUT_DELAY!$E$5:$E$20000,INPUT_DELAY!$A$5:$A$20000,$A169,INPUT_DELAY!$B$5:$B$20000,$B169,INPUT_DELAY!$C$5:$C$20000,$C169)+SUMIFS(INPUT_DELAY!$E$5:$E$20000,INPUT_DELAY!$A$5:$A$20000,$A169,INPUT_DELAY!$B$5:$B$20000,$B169,INPUT_DELAY!$C$5:$C$20000,"SEMUA")&gt;=60,"Delay 60 mnt tapi ada ritase","OK"))))))</f>
        <v/>
      </c>
      <c r="P169" s="158">
        <f>IFERROR(INDEX(MASTER_JAM!$Z$5:$AC$10,MATCH($I169,MASTER_JAM!$Y$5:$Y$10,0),MATCH($J169,MASTER_JAM!$Z$4:$AC$4,0))+0,0)</f>
        <v/>
      </c>
      <c r="Q169" s="158">
        <f>IF($P169=0,0,$P169+IFERROR(INDEX(MASTER_JAM!$H$5:$H$94,MATCH($C169,MASTER_JAM!$A$5:$A$94,0))+0,MASTER_JAM!$AC$15)/1000*(60/MASTER_JAM!$AC$12+60/MASTER_JAM!$AC$13)+MASTER_JAM!$AC$14)</f>
        <v/>
      </c>
      <c r="R169" s="158">
        <f>IF(N($F169)=0,0,$F169/SUMIFS(INPUT_RITASE!$F$5:$F$20000,INPUT_RITASE!$A$5:$A$20000,$A169,INPUT_RITASE!$B$5:$B$20000,$B169,INPUT_RITASE!$C$5:$C$20000,$C169,INPUT_RITASE!$D$5:$D$20000,$D169))</f>
        <v/>
      </c>
      <c r="S169" s="158">
        <f>IF($Q169=0,0,$R169*$P169/$Q169)</f>
        <v/>
      </c>
    </row>
    <row r="170">
      <c r="A170" s="155" t="n">
        <v>46104</v>
      </c>
      <c r="B170" s="156" t="inlineStr">
        <is>
          <t>16-17</t>
        </is>
      </c>
      <c r="C170" s="156" t="inlineStr">
        <is>
          <t>EX-2101</t>
        </is>
      </c>
      <c r="D170" s="156" t="inlineStr">
        <is>
          <t>HD-901</t>
        </is>
      </c>
      <c r="E170" s="156" t="inlineStr">
        <is>
          <t>OB</t>
        </is>
      </c>
      <c r="F170" s="156" t="n">
        <v>4</v>
      </c>
      <c r="G170" s="156" t="inlineStr"/>
      <c r="H170" s="157">
        <f>IF($B170="","",IF(ISNA(MATCH($B170,MASTER_JAM!$Q$5:$Q$28,0)),"?",IF(MATCH($B170,MASTER_JAM!$Q$5:$Q$28,0)&lt;=12,"DS","NS")))</f>
        <v/>
      </c>
      <c r="I170" s="157">
        <f>IFERROR(INDEX(MASTER_JAM!$B$5:$B$94,MATCH($C170,MASTER_JAM!$A$5:$A$94,0)),"")</f>
        <v/>
      </c>
      <c r="J170" s="157">
        <f>IFERROR(INDEX(MASTER_JAM!$E$5:$E$94,MATCH($D170,MASTER_JAM!$A$5:$A$94,0)),"")</f>
        <v/>
      </c>
      <c r="K170" s="158">
        <f>IFERROR(INDEX(MASTER_JAM!$J$5:$O$12,MATCH($E170,MASTER_JAM!$I$5:$I$12,0),MATCH($J170,MASTER_JAM!$J$4:$O$4,0))+0,0)</f>
        <v/>
      </c>
      <c r="L170" s="159">
        <f>N($F170)*$K170</f>
        <v/>
      </c>
      <c r="M170" s="157">
        <f>IF($E170="","",IF(OR($E170="Coal",$E170="Dirty Coal"),"MT","BCM"))</f>
        <v/>
      </c>
      <c r="N170" s="157">
        <f>IF($E170="","",IF(OR($E170="Coal",$E170="Dirty Coal"),"Coal","OB"))</f>
        <v/>
      </c>
      <c r="O170" s="157">
        <f>IF($F170="","",IF(COUNTIF(MASTER_JAM!$A$5:$A$94,$C170)=0,"Digger tidak dikenal",IF($J170="","Hauler tidak dikenal",IF($H170="?","Jam salah",IF($K170=0,"Faktor kosong",IF(SUMIFS(INPUT_DELAY!$E$5:$E$20000,INPUT_DELAY!$A$5:$A$20000,$A170,INPUT_DELAY!$B$5:$B$20000,$B170,INPUT_DELAY!$C$5:$C$20000,$C170)+SUMIFS(INPUT_DELAY!$E$5:$E$20000,INPUT_DELAY!$A$5:$A$20000,$A170,INPUT_DELAY!$B$5:$B$20000,$B170,INPUT_DELAY!$C$5:$C$20000,"SEMUA")&gt;=60,"Delay 60 mnt tapi ada ritase","OK"))))))</f>
        <v/>
      </c>
      <c r="P170" s="158">
        <f>IFERROR(INDEX(MASTER_JAM!$Z$5:$AC$10,MATCH($I170,MASTER_JAM!$Y$5:$Y$10,0),MATCH($J170,MASTER_JAM!$Z$4:$AC$4,0))+0,0)</f>
        <v/>
      </c>
      <c r="Q170" s="158">
        <f>IF($P170=0,0,$P170+IFERROR(INDEX(MASTER_JAM!$H$5:$H$94,MATCH($C170,MASTER_JAM!$A$5:$A$94,0))+0,MASTER_JAM!$AC$15)/1000*(60/MASTER_JAM!$AC$12+60/MASTER_JAM!$AC$13)+MASTER_JAM!$AC$14)</f>
        <v/>
      </c>
      <c r="R170" s="158">
        <f>IF(N($F170)=0,0,$F170/SUMIFS(INPUT_RITASE!$F$5:$F$20000,INPUT_RITASE!$A$5:$A$20000,$A170,INPUT_RITASE!$B$5:$B$20000,$B170,INPUT_RITASE!$C$5:$C$20000,$C170,INPUT_RITASE!$D$5:$D$20000,$D170))</f>
        <v/>
      </c>
      <c r="S170" s="158">
        <f>IF($Q170=0,0,$R170*$P170/$Q170)</f>
        <v/>
      </c>
    </row>
    <row r="171">
      <c r="A171" s="155" t="n">
        <v>46104</v>
      </c>
      <c r="B171" s="156" t="inlineStr">
        <is>
          <t>16-17</t>
        </is>
      </c>
      <c r="C171" s="156" t="inlineStr">
        <is>
          <t>EX-2101</t>
        </is>
      </c>
      <c r="D171" s="156" t="inlineStr">
        <is>
          <t>HD-903</t>
        </is>
      </c>
      <c r="E171" s="156" t="inlineStr">
        <is>
          <t>OB</t>
        </is>
      </c>
      <c r="F171" s="156" t="n">
        <v>4</v>
      </c>
      <c r="G171" s="156" t="inlineStr"/>
      <c r="H171" s="157">
        <f>IF($B171="","",IF(ISNA(MATCH($B171,MASTER_JAM!$Q$5:$Q$28,0)),"?",IF(MATCH($B171,MASTER_JAM!$Q$5:$Q$28,0)&lt;=12,"DS","NS")))</f>
        <v/>
      </c>
      <c r="I171" s="157">
        <f>IFERROR(INDEX(MASTER_JAM!$B$5:$B$94,MATCH($C171,MASTER_JAM!$A$5:$A$94,0)),"")</f>
        <v/>
      </c>
      <c r="J171" s="157">
        <f>IFERROR(INDEX(MASTER_JAM!$E$5:$E$94,MATCH($D171,MASTER_JAM!$A$5:$A$94,0)),"")</f>
        <v/>
      </c>
      <c r="K171" s="158">
        <f>IFERROR(INDEX(MASTER_JAM!$J$5:$O$12,MATCH($E171,MASTER_JAM!$I$5:$I$12,0),MATCH($J171,MASTER_JAM!$J$4:$O$4,0))+0,0)</f>
        <v/>
      </c>
      <c r="L171" s="159">
        <f>N($F171)*$K171</f>
        <v/>
      </c>
      <c r="M171" s="157">
        <f>IF($E171="","",IF(OR($E171="Coal",$E171="Dirty Coal"),"MT","BCM"))</f>
        <v/>
      </c>
      <c r="N171" s="157">
        <f>IF($E171="","",IF(OR($E171="Coal",$E171="Dirty Coal"),"Coal","OB"))</f>
        <v/>
      </c>
      <c r="O171" s="157">
        <f>IF($F171="","",IF(COUNTIF(MASTER_JAM!$A$5:$A$94,$C171)=0,"Digger tidak dikenal",IF($J171="","Hauler tidak dikenal",IF($H171="?","Jam salah",IF($K171=0,"Faktor kosong",IF(SUMIFS(INPUT_DELAY!$E$5:$E$20000,INPUT_DELAY!$A$5:$A$20000,$A171,INPUT_DELAY!$B$5:$B$20000,$B171,INPUT_DELAY!$C$5:$C$20000,$C171)+SUMIFS(INPUT_DELAY!$E$5:$E$20000,INPUT_DELAY!$A$5:$A$20000,$A171,INPUT_DELAY!$B$5:$B$20000,$B171,INPUT_DELAY!$C$5:$C$20000,"SEMUA")&gt;=60,"Delay 60 mnt tapi ada ritase","OK"))))))</f>
        <v/>
      </c>
      <c r="P171" s="158">
        <f>IFERROR(INDEX(MASTER_JAM!$Z$5:$AC$10,MATCH($I171,MASTER_JAM!$Y$5:$Y$10,0),MATCH($J171,MASTER_JAM!$Z$4:$AC$4,0))+0,0)</f>
        <v/>
      </c>
      <c r="Q171" s="158">
        <f>IF($P171=0,0,$P171+IFERROR(INDEX(MASTER_JAM!$H$5:$H$94,MATCH($C171,MASTER_JAM!$A$5:$A$94,0))+0,MASTER_JAM!$AC$15)/1000*(60/MASTER_JAM!$AC$12+60/MASTER_JAM!$AC$13)+MASTER_JAM!$AC$14)</f>
        <v/>
      </c>
      <c r="R171" s="158">
        <f>IF(N($F171)=0,0,$F171/SUMIFS(INPUT_RITASE!$F$5:$F$20000,INPUT_RITASE!$A$5:$A$20000,$A171,INPUT_RITASE!$B$5:$B$20000,$B171,INPUT_RITASE!$C$5:$C$20000,$C171,INPUT_RITASE!$D$5:$D$20000,$D171))</f>
        <v/>
      </c>
      <c r="S171" s="158">
        <f>IF($Q171=0,0,$R171*$P171/$Q171)</f>
        <v/>
      </c>
    </row>
    <row r="172">
      <c r="A172" s="155" t="n">
        <v>46104</v>
      </c>
      <c r="B172" s="156" t="inlineStr">
        <is>
          <t>16-17</t>
        </is>
      </c>
      <c r="C172" s="156" t="inlineStr">
        <is>
          <t>EX-2101</t>
        </is>
      </c>
      <c r="D172" s="156" t="inlineStr">
        <is>
          <t>DT-513</t>
        </is>
      </c>
      <c r="E172" s="156" t="inlineStr">
        <is>
          <t>OB</t>
        </is>
      </c>
      <c r="F172" s="156" t="n">
        <v>2</v>
      </c>
      <c r="G172" s="156" t="inlineStr"/>
      <c r="H172" s="157">
        <f>IF($B172="","",IF(ISNA(MATCH($B172,MASTER_JAM!$Q$5:$Q$28,0)),"?",IF(MATCH($B172,MASTER_JAM!$Q$5:$Q$28,0)&lt;=12,"DS","NS")))</f>
        <v/>
      </c>
      <c r="I172" s="157">
        <f>IFERROR(INDEX(MASTER_JAM!$B$5:$B$94,MATCH($C172,MASTER_JAM!$A$5:$A$94,0)),"")</f>
        <v/>
      </c>
      <c r="J172" s="157">
        <f>IFERROR(INDEX(MASTER_JAM!$E$5:$E$94,MATCH($D172,MASTER_JAM!$A$5:$A$94,0)),"")</f>
        <v/>
      </c>
      <c r="K172" s="158">
        <f>IFERROR(INDEX(MASTER_JAM!$J$5:$O$12,MATCH($E172,MASTER_JAM!$I$5:$I$12,0),MATCH($J172,MASTER_JAM!$J$4:$O$4,0))+0,0)</f>
        <v/>
      </c>
      <c r="L172" s="159">
        <f>N($F172)*$K172</f>
        <v/>
      </c>
      <c r="M172" s="157">
        <f>IF($E172="","",IF(OR($E172="Coal",$E172="Dirty Coal"),"MT","BCM"))</f>
        <v/>
      </c>
      <c r="N172" s="157">
        <f>IF($E172="","",IF(OR($E172="Coal",$E172="Dirty Coal"),"Coal","OB"))</f>
        <v/>
      </c>
      <c r="O172" s="157">
        <f>IF($F172="","",IF(COUNTIF(MASTER_JAM!$A$5:$A$94,$C172)=0,"Digger tidak dikenal",IF($J172="","Hauler tidak dikenal",IF($H172="?","Jam salah",IF($K172=0,"Faktor kosong",IF(SUMIFS(INPUT_DELAY!$E$5:$E$20000,INPUT_DELAY!$A$5:$A$20000,$A172,INPUT_DELAY!$B$5:$B$20000,$B172,INPUT_DELAY!$C$5:$C$20000,$C172)+SUMIFS(INPUT_DELAY!$E$5:$E$20000,INPUT_DELAY!$A$5:$A$20000,$A172,INPUT_DELAY!$B$5:$B$20000,$B172,INPUT_DELAY!$C$5:$C$20000,"SEMUA")&gt;=60,"Delay 60 mnt tapi ada ritase","OK"))))))</f>
        <v/>
      </c>
      <c r="P172" s="158">
        <f>IFERROR(INDEX(MASTER_JAM!$Z$5:$AC$10,MATCH($I172,MASTER_JAM!$Y$5:$Y$10,0),MATCH($J172,MASTER_JAM!$Z$4:$AC$4,0))+0,0)</f>
        <v/>
      </c>
      <c r="Q172" s="158">
        <f>IF($P172=0,0,$P172+IFERROR(INDEX(MASTER_JAM!$H$5:$H$94,MATCH($C172,MASTER_JAM!$A$5:$A$94,0))+0,MASTER_JAM!$AC$15)/1000*(60/MASTER_JAM!$AC$12+60/MASTER_JAM!$AC$13)+MASTER_JAM!$AC$14)</f>
        <v/>
      </c>
      <c r="R172" s="158">
        <f>IF(N($F172)=0,0,$F172/SUMIFS(INPUT_RITASE!$F$5:$F$20000,INPUT_RITASE!$A$5:$A$20000,$A172,INPUT_RITASE!$B$5:$B$20000,$B172,INPUT_RITASE!$C$5:$C$20000,$C172,INPUT_RITASE!$D$5:$D$20000,$D172))</f>
        <v/>
      </c>
      <c r="S172" s="158">
        <f>IF($Q172=0,0,$R172*$P172/$Q172)</f>
        <v/>
      </c>
    </row>
    <row r="173">
      <c r="A173" s="155" t="n">
        <v>46104</v>
      </c>
      <c r="B173" s="156" t="inlineStr">
        <is>
          <t>06-07</t>
        </is>
      </c>
      <c r="C173" s="156" t="inlineStr">
        <is>
          <t>EX-336</t>
        </is>
      </c>
      <c r="D173" s="156" t="inlineStr">
        <is>
          <t>DT-516</t>
        </is>
      </c>
      <c r="E173" s="156" t="inlineStr">
        <is>
          <t>Coal</t>
        </is>
      </c>
      <c r="F173" s="156" t="n">
        <v>3</v>
      </c>
      <c r="G173" s="156" t="inlineStr"/>
      <c r="H173" s="157">
        <f>IF($B173="","",IF(ISNA(MATCH($B173,MASTER_JAM!$Q$5:$Q$28,0)),"?",IF(MATCH($B173,MASTER_JAM!$Q$5:$Q$28,0)&lt;=12,"DS","NS")))</f>
        <v/>
      </c>
      <c r="I173" s="157">
        <f>IFERROR(INDEX(MASTER_JAM!$B$5:$B$94,MATCH($C173,MASTER_JAM!$A$5:$A$94,0)),"")</f>
        <v/>
      </c>
      <c r="J173" s="157">
        <f>IFERROR(INDEX(MASTER_JAM!$E$5:$E$94,MATCH($D173,MASTER_JAM!$A$5:$A$94,0)),"")</f>
        <v/>
      </c>
      <c r="K173" s="158">
        <f>IFERROR(INDEX(MASTER_JAM!$J$5:$O$12,MATCH($E173,MASTER_JAM!$I$5:$I$12,0),MATCH($J173,MASTER_JAM!$J$4:$O$4,0))+0,0)</f>
        <v/>
      </c>
      <c r="L173" s="159">
        <f>N($F173)*$K173</f>
        <v/>
      </c>
      <c r="M173" s="157">
        <f>IF($E173="","",IF(OR($E173="Coal",$E173="Dirty Coal"),"MT","BCM"))</f>
        <v/>
      </c>
      <c r="N173" s="157">
        <f>IF($E173="","",IF(OR($E173="Coal",$E173="Dirty Coal"),"Coal","OB"))</f>
        <v/>
      </c>
      <c r="O173" s="157">
        <f>IF($F173="","",IF(COUNTIF(MASTER_JAM!$A$5:$A$94,$C173)=0,"Digger tidak dikenal",IF($J173="","Hauler tidak dikenal",IF($H173="?","Jam salah",IF($K173=0,"Faktor kosong",IF(SUMIFS(INPUT_DELAY!$E$5:$E$20000,INPUT_DELAY!$A$5:$A$20000,$A173,INPUT_DELAY!$B$5:$B$20000,$B173,INPUT_DELAY!$C$5:$C$20000,$C173)+SUMIFS(INPUT_DELAY!$E$5:$E$20000,INPUT_DELAY!$A$5:$A$20000,$A173,INPUT_DELAY!$B$5:$B$20000,$B173,INPUT_DELAY!$C$5:$C$20000,"SEMUA")&gt;=60,"Delay 60 mnt tapi ada ritase","OK"))))))</f>
        <v/>
      </c>
      <c r="P173" s="158">
        <f>IFERROR(INDEX(MASTER_JAM!$Z$5:$AC$10,MATCH($I173,MASTER_JAM!$Y$5:$Y$10,0),MATCH($J173,MASTER_JAM!$Z$4:$AC$4,0))+0,0)</f>
        <v/>
      </c>
      <c r="Q173" s="158">
        <f>IF($P173=0,0,$P173+IFERROR(INDEX(MASTER_JAM!$H$5:$H$94,MATCH($C173,MASTER_JAM!$A$5:$A$94,0))+0,MASTER_JAM!$AC$15)/1000*(60/MASTER_JAM!$AC$12+60/MASTER_JAM!$AC$13)+MASTER_JAM!$AC$14)</f>
        <v/>
      </c>
      <c r="R173" s="158">
        <f>IF(N($F173)=0,0,$F173/SUMIFS(INPUT_RITASE!$F$5:$F$20000,INPUT_RITASE!$A$5:$A$20000,$A173,INPUT_RITASE!$B$5:$B$20000,$B173,INPUT_RITASE!$C$5:$C$20000,$C173,INPUT_RITASE!$D$5:$D$20000,$D173))</f>
        <v/>
      </c>
      <c r="S173" s="158">
        <f>IF($Q173=0,0,$R173*$P173/$Q173)</f>
        <v/>
      </c>
    </row>
    <row r="174">
      <c r="A174" s="155" t="n">
        <v>46104</v>
      </c>
      <c r="B174" s="156" t="inlineStr">
        <is>
          <t>06-07</t>
        </is>
      </c>
      <c r="C174" s="156" t="inlineStr">
        <is>
          <t>EX-336</t>
        </is>
      </c>
      <c r="D174" s="156" t="inlineStr">
        <is>
          <t>DT-527</t>
        </is>
      </c>
      <c r="E174" s="156" t="inlineStr">
        <is>
          <t>Coal</t>
        </is>
      </c>
      <c r="F174" s="156" t="n">
        <v>3</v>
      </c>
      <c r="G174" s="156" t="inlineStr"/>
      <c r="H174" s="157">
        <f>IF($B174="","",IF(ISNA(MATCH($B174,MASTER_JAM!$Q$5:$Q$28,0)),"?",IF(MATCH($B174,MASTER_JAM!$Q$5:$Q$28,0)&lt;=12,"DS","NS")))</f>
        <v/>
      </c>
      <c r="I174" s="157">
        <f>IFERROR(INDEX(MASTER_JAM!$B$5:$B$94,MATCH($C174,MASTER_JAM!$A$5:$A$94,0)),"")</f>
        <v/>
      </c>
      <c r="J174" s="157">
        <f>IFERROR(INDEX(MASTER_JAM!$E$5:$E$94,MATCH($D174,MASTER_JAM!$A$5:$A$94,0)),"")</f>
        <v/>
      </c>
      <c r="K174" s="158">
        <f>IFERROR(INDEX(MASTER_JAM!$J$5:$O$12,MATCH($E174,MASTER_JAM!$I$5:$I$12,0),MATCH($J174,MASTER_JAM!$J$4:$O$4,0))+0,0)</f>
        <v/>
      </c>
      <c r="L174" s="159">
        <f>N($F174)*$K174</f>
        <v/>
      </c>
      <c r="M174" s="157">
        <f>IF($E174="","",IF(OR($E174="Coal",$E174="Dirty Coal"),"MT","BCM"))</f>
        <v/>
      </c>
      <c r="N174" s="157">
        <f>IF($E174="","",IF(OR($E174="Coal",$E174="Dirty Coal"),"Coal","OB"))</f>
        <v/>
      </c>
      <c r="O174" s="157">
        <f>IF($F174="","",IF(COUNTIF(MASTER_JAM!$A$5:$A$94,$C174)=0,"Digger tidak dikenal",IF($J174="","Hauler tidak dikenal",IF($H174="?","Jam salah",IF($K174=0,"Faktor kosong",IF(SUMIFS(INPUT_DELAY!$E$5:$E$20000,INPUT_DELAY!$A$5:$A$20000,$A174,INPUT_DELAY!$B$5:$B$20000,$B174,INPUT_DELAY!$C$5:$C$20000,$C174)+SUMIFS(INPUT_DELAY!$E$5:$E$20000,INPUT_DELAY!$A$5:$A$20000,$A174,INPUT_DELAY!$B$5:$B$20000,$B174,INPUT_DELAY!$C$5:$C$20000,"SEMUA")&gt;=60,"Delay 60 mnt tapi ada ritase","OK"))))))</f>
        <v/>
      </c>
      <c r="P174" s="158">
        <f>IFERROR(INDEX(MASTER_JAM!$Z$5:$AC$10,MATCH($I174,MASTER_JAM!$Y$5:$Y$10,0),MATCH($J174,MASTER_JAM!$Z$4:$AC$4,0))+0,0)</f>
        <v/>
      </c>
      <c r="Q174" s="158">
        <f>IF($P174=0,0,$P174+IFERROR(INDEX(MASTER_JAM!$H$5:$H$94,MATCH($C174,MASTER_JAM!$A$5:$A$94,0))+0,MASTER_JAM!$AC$15)/1000*(60/MASTER_JAM!$AC$12+60/MASTER_JAM!$AC$13)+MASTER_JAM!$AC$14)</f>
        <v/>
      </c>
      <c r="R174" s="158">
        <f>IF(N($F174)=0,0,$F174/SUMIFS(INPUT_RITASE!$F$5:$F$20000,INPUT_RITASE!$A$5:$A$20000,$A174,INPUT_RITASE!$B$5:$B$20000,$B174,INPUT_RITASE!$C$5:$C$20000,$C174,INPUT_RITASE!$D$5:$D$20000,$D174))</f>
        <v/>
      </c>
      <c r="S174" s="158">
        <f>IF($Q174=0,0,$R174*$P174/$Q174)</f>
        <v/>
      </c>
    </row>
    <row r="175">
      <c r="A175" s="155" t="n">
        <v>46104</v>
      </c>
      <c r="B175" s="156" t="inlineStr">
        <is>
          <t>07-08</t>
        </is>
      </c>
      <c r="C175" s="156" t="inlineStr">
        <is>
          <t>EX-336</t>
        </is>
      </c>
      <c r="D175" s="156" t="inlineStr">
        <is>
          <t>DT-522</t>
        </is>
      </c>
      <c r="E175" s="156" t="inlineStr">
        <is>
          <t>Coal</t>
        </is>
      </c>
      <c r="F175" s="156" t="n">
        <v>4</v>
      </c>
      <c r="G175" s="156" t="inlineStr"/>
      <c r="H175" s="157">
        <f>IF($B175="","",IF(ISNA(MATCH($B175,MASTER_JAM!$Q$5:$Q$28,0)),"?",IF(MATCH($B175,MASTER_JAM!$Q$5:$Q$28,0)&lt;=12,"DS","NS")))</f>
        <v/>
      </c>
      <c r="I175" s="157">
        <f>IFERROR(INDEX(MASTER_JAM!$B$5:$B$94,MATCH($C175,MASTER_JAM!$A$5:$A$94,0)),"")</f>
        <v/>
      </c>
      <c r="J175" s="157">
        <f>IFERROR(INDEX(MASTER_JAM!$E$5:$E$94,MATCH($D175,MASTER_JAM!$A$5:$A$94,0)),"")</f>
        <v/>
      </c>
      <c r="K175" s="158">
        <f>IFERROR(INDEX(MASTER_JAM!$J$5:$O$12,MATCH($E175,MASTER_JAM!$I$5:$I$12,0),MATCH($J175,MASTER_JAM!$J$4:$O$4,0))+0,0)</f>
        <v/>
      </c>
      <c r="L175" s="159">
        <f>N($F175)*$K175</f>
        <v/>
      </c>
      <c r="M175" s="157">
        <f>IF($E175="","",IF(OR($E175="Coal",$E175="Dirty Coal"),"MT","BCM"))</f>
        <v/>
      </c>
      <c r="N175" s="157">
        <f>IF($E175="","",IF(OR($E175="Coal",$E175="Dirty Coal"),"Coal","OB"))</f>
        <v/>
      </c>
      <c r="O175" s="157">
        <f>IF($F175="","",IF(COUNTIF(MASTER_JAM!$A$5:$A$94,$C175)=0,"Digger tidak dikenal",IF($J175="","Hauler tidak dikenal",IF($H175="?","Jam salah",IF($K175=0,"Faktor kosong",IF(SUMIFS(INPUT_DELAY!$E$5:$E$20000,INPUT_DELAY!$A$5:$A$20000,$A175,INPUT_DELAY!$B$5:$B$20000,$B175,INPUT_DELAY!$C$5:$C$20000,$C175)+SUMIFS(INPUT_DELAY!$E$5:$E$20000,INPUT_DELAY!$A$5:$A$20000,$A175,INPUT_DELAY!$B$5:$B$20000,$B175,INPUT_DELAY!$C$5:$C$20000,"SEMUA")&gt;=60,"Delay 60 mnt tapi ada ritase","OK"))))))</f>
        <v/>
      </c>
      <c r="P175" s="158">
        <f>IFERROR(INDEX(MASTER_JAM!$Z$5:$AC$10,MATCH($I175,MASTER_JAM!$Y$5:$Y$10,0),MATCH($J175,MASTER_JAM!$Z$4:$AC$4,0))+0,0)</f>
        <v/>
      </c>
      <c r="Q175" s="158">
        <f>IF($P175=0,0,$P175+IFERROR(INDEX(MASTER_JAM!$H$5:$H$94,MATCH($C175,MASTER_JAM!$A$5:$A$94,0))+0,MASTER_JAM!$AC$15)/1000*(60/MASTER_JAM!$AC$12+60/MASTER_JAM!$AC$13)+MASTER_JAM!$AC$14)</f>
        <v/>
      </c>
      <c r="R175" s="158">
        <f>IF(N($F175)=0,0,$F175/SUMIFS(INPUT_RITASE!$F$5:$F$20000,INPUT_RITASE!$A$5:$A$20000,$A175,INPUT_RITASE!$B$5:$B$20000,$B175,INPUT_RITASE!$C$5:$C$20000,$C175,INPUT_RITASE!$D$5:$D$20000,$D175))</f>
        <v/>
      </c>
      <c r="S175" s="158">
        <f>IF($Q175=0,0,$R175*$P175/$Q175)</f>
        <v/>
      </c>
    </row>
    <row r="176">
      <c r="A176" s="155" t="n">
        <v>46104</v>
      </c>
      <c r="B176" s="156" t="inlineStr">
        <is>
          <t>08-09</t>
        </is>
      </c>
      <c r="C176" s="156" t="inlineStr">
        <is>
          <t>EX-336</t>
        </is>
      </c>
      <c r="D176" s="156" t="inlineStr">
        <is>
          <t>DT-507</t>
        </is>
      </c>
      <c r="E176" s="156" t="inlineStr">
        <is>
          <t>Coal</t>
        </is>
      </c>
      <c r="F176" s="156" t="n">
        <v>4</v>
      </c>
      <c r="G176" s="156" t="inlineStr"/>
      <c r="H176" s="157">
        <f>IF($B176="","",IF(ISNA(MATCH($B176,MASTER_JAM!$Q$5:$Q$28,0)),"?",IF(MATCH($B176,MASTER_JAM!$Q$5:$Q$28,0)&lt;=12,"DS","NS")))</f>
        <v/>
      </c>
      <c r="I176" s="157">
        <f>IFERROR(INDEX(MASTER_JAM!$B$5:$B$94,MATCH($C176,MASTER_JAM!$A$5:$A$94,0)),"")</f>
        <v/>
      </c>
      <c r="J176" s="157">
        <f>IFERROR(INDEX(MASTER_JAM!$E$5:$E$94,MATCH($D176,MASTER_JAM!$A$5:$A$94,0)),"")</f>
        <v/>
      </c>
      <c r="K176" s="158">
        <f>IFERROR(INDEX(MASTER_JAM!$J$5:$O$12,MATCH($E176,MASTER_JAM!$I$5:$I$12,0),MATCH($J176,MASTER_JAM!$J$4:$O$4,0))+0,0)</f>
        <v/>
      </c>
      <c r="L176" s="159">
        <f>N($F176)*$K176</f>
        <v/>
      </c>
      <c r="M176" s="157">
        <f>IF($E176="","",IF(OR($E176="Coal",$E176="Dirty Coal"),"MT","BCM"))</f>
        <v/>
      </c>
      <c r="N176" s="157">
        <f>IF($E176="","",IF(OR($E176="Coal",$E176="Dirty Coal"),"Coal","OB"))</f>
        <v/>
      </c>
      <c r="O176" s="157">
        <f>IF($F176="","",IF(COUNTIF(MASTER_JAM!$A$5:$A$94,$C176)=0,"Digger tidak dikenal",IF($J176="","Hauler tidak dikenal",IF($H176="?","Jam salah",IF($K176=0,"Faktor kosong",IF(SUMIFS(INPUT_DELAY!$E$5:$E$20000,INPUT_DELAY!$A$5:$A$20000,$A176,INPUT_DELAY!$B$5:$B$20000,$B176,INPUT_DELAY!$C$5:$C$20000,$C176)+SUMIFS(INPUT_DELAY!$E$5:$E$20000,INPUT_DELAY!$A$5:$A$20000,$A176,INPUT_DELAY!$B$5:$B$20000,$B176,INPUT_DELAY!$C$5:$C$20000,"SEMUA")&gt;=60,"Delay 60 mnt tapi ada ritase","OK"))))))</f>
        <v/>
      </c>
      <c r="P176" s="158">
        <f>IFERROR(INDEX(MASTER_JAM!$Z$5:$AC$10,MATCH($I176,MASTER_JAM!$Y$5:$Y$10,0),MATCH($J176,MASTER_JAM!$Z$4:$AC$4,0))+0,0)</f>
        <v/>
      </c>
      <c r="Q176" s="158">
        <f>IF($P176=0,0,$P176+IFERROR(INDEX(MASTER_JAM!$H$5:$H$94,MATCH($C176,MASTER_JAM!$A$5:$A$94,0))+0,MASTER_JAM!$AC$15)/1000*(60/MASTER_JAM!$AC$12+60/MASTER_JAM!$AC$13)+MASTER_JAM!$AC$14)</f>
        <v/>
      </c>
      <c r="R176" s="158">
        <f>IF(N($F176)=0,0,$F176/SUMIFS(INPUT_RITASE!$F$5:$F$20000,INPUT_RITASE!$A$5:$A$20000,$A176,INPUT_RITASE!$B$5:$B$20000,$B176,INPUT_RITASE!$C$5:$C$20000,$C176,INPUT_RITASE!$D$5:$D$20000,$D176))</f>
        <v/>
      </c>
      <c r="S176" s="158">
        <f>IF($Q176=0,0,$R176*$P176/$Q176)</f>
        <v/>
      </c>
    </row>
    <row r="177">
      <c r="A177" s="155" t="n">
        <v>46104</v>
      </c>
      <c r="B177" s="156" t="inlineStr">
        <is>
          <t>08-09</t>
        </is>
      </c>
      <c r="C177" s="156" t="inlineStr">
        <is>
          <t>EX-336</t>
        </is>
      </c>
      <c r="D177" s="156" t="inlineStr">
        <is>
          <t>DT-523</t>
        </is>
      </c>
      <c r="E177" s="156" t="inlineStr">
        <is>
          <t>Coal</t>
        </is>
      </c>
      <c r="F177" s="156" t="n">
        <v>4</v>
      </c>
      <c r="G177" s="156" t="inlineStr"/>
      <c r="H177" s="157">
        <f>IF($B177="","",IF(ISNA(MATCH($B177,MASTER_JAM!$Q$5:$Q$28,0)),"?",IF(MATCH($B177,MASTER_JAM!$Q$5:$Q$28,0)&lt;=12,"DS","NS")))</f>
        <v/>
      </c>
      <c r="I177" s="157">
        <f>IFERROR(INDEX(MASTER_JAM!$B$5:$B$94,MATCH($C177,MASTER_JAM!$A$5:$A$94,0)),"")</f>
        <v/>
      </c>
      <c r="J177" s="157">
        <f>IFERROR(INDEX(MASTER_JAM!$E$5:$E$94,MATCH($D177,MASTER_JAM!$A$5:$A$94,0)),"")</f>
        <v/>
      </c>
      <c r="K177" s="158">
        <f>IFERROR(INDEX(MASTER_JAM!$J$5:$O$12,MATCH($E177,MASTER_JAM!$I$5:$I$12,0),MATCH($J177,MASTER_JAM!$J$4:$O$4,0))+0,0)</f>
        <v/>
      </c>
      <c r="L177" s="159">
        <f>N($F177)*$K177</f>
        <v/>
      </c>
      <c r="M177" s="157">
        <f>IF($E177="","",IF(OR($E177="Coal",$E177="Dirty Coal"),"MT","BCM"))</f>
        <v/>
      </c>
      <c r="N177" s="157">
        <f>IF($E177="","",IF(OR($E177="Coal",$E177="Dirty Coal"),"Coal","OB"))</f>
        <v/>
      </c>
      <c r="O177" s="157">
        <f>IF($F177="","",IF(COUNTIF(MASTER_JAM!$A$5:$A$94,$C177)=0,"Digger tidak dikenal",IF($J177="","Hauler tidak dikenal",IF($H177="?","Jam salah",IF($K177=0,"Faktor kosong",IF(SUMIFS(INPUT_DELAY!$E$5:$E$20000,INPUT_DELAY!$A$5:$A$20000,$A177,INPUT_DELAY!$B$5:$B$20000,$B177,INPUT_DELAY!$C$5:$C$20000,$C177)+SUMIFS(INPUT_DELAY!$E$5:$E$20000,INPUT_DELAY!$A$5:$A$20000,$A177,INPUT_DELAY!$B$5:$B$20000,$B177,INPUT_DELAY!$C$5:$C$20000,"SEMUA")&gt;=60,"Delay 60 mnt tapi ada ritase","OK"))))))</f>
        <v/>
      </c>
      <c r="P177" s="158">
        <f>IFERROR(INDEX(MASTER_JAM!$Z$5:$AC$10,MATCH($I177,MASTER_JAM!$Y$5:$Y$10,0),MATCH($J177,MASTER_JAM!$Z$4:$AC$4,0))+0,0)</f>
        <v/>
      </c>
      <c r="Q177" s="158">
        <f>IF($P177=0,0,$P177+IFERROR(INDEX(MASTER_JAM!$H$5:$H$94,MATCH($C177,MASTER_JAM!$A$5:$A$94,0))+0,MASTER_JAM!$AC$15)/1000*(60/MASTER_JAM!$AC$12+60/MASTER_JAM!$AC$13)+MASTER_JAM!$AC$14)</f>
        <v/>
      </c>
      <c r="R177" s="158">
        <f>IF(N($F177)=0,0,$F177/SUMIFS(INPUT_RITASE!$F$5:$F$20000,INPUT_RITASE!$A$5:$A$20000,$A177,INPUT_RITASE!$B$5:$B$20000,$B177,INPUT_RITASE!$C$5:$C$20000,$C177,INPUT_RITASE!$D$5:$D$20000,$D177))</f>
        <v/>
      </c>
      <c r="S177" s="158">
        <f>IF($Q177=0,0,$R177*$P177/$Q177)</f>
        <v/>
      </c>
    </row>
    <row r="178">
      <c r="A178" s="155" t="n">
        <v>46104</v>
      </c>
      <c r="B178" s="156" t="inlineStr">
        <is>
          <t>09-10</t>
        </is>
      </c>
      <c r="C178" s="156" t="inlineStr">
        <is>
          <t>EX-336</t>
        </is>
      </c>
      <c r="D178" s="156" t="inlineStr">
        <is>
          <t>DT-501</t>
        </is>
      </c>
      <c r="E178" s="156" t="inlineStr">
        <is>
          <t>Coal</t>
        </is>
      </c>
      <c r="F178" s="156" t="n">
        <v>4</v>
      </c>
      <c r="G178" s="156" t="inlineStr"/>
      <c r="H178" s="157">
        <f>IF($B178="","",IF(ISNA(MATCH($B178,MASTER_JAM!$Q$5:$Q$28,0)),"?",IF(MATCH($B178,MASTER_JAM!$Q$5:$Q$28,0)&lt;=12,"DS","NS")))</f>
        <v/>
      </c>
      <c r="I178" s="157">
        <f>IFERROR(INDEX(MASTER_JAM!$B$5:$B$94,MATCH($C178,MASTER_JAM!$A$5:$A$94,0)),"")</f>
        <v/>
      </c>
      <c r="J178" s="157">
        <f>IFERROR(INDEX(MASTER_JAM!$E$5:$E$94,MATCH($D178,MASTER_JAM!$A$5:$A$94,0)),"")</f>
        <v/>
      </c>
      <c r="K178" s="158">
        <f>IFERROR(INDEX(MASTER_JAM!$J$5:$O$12,MATCH($E178,MASTER_JAM!$I$5:$I$12,0),MATCH($J178,MASTER_JAM!$J$4:$O$4,0))+0,0)</f>
        <v/>
      </c>
      <c r="L178" s="159">
        <f>N($F178)*$K178</f>
        <v/>
      </c>
      <c r="M178" s="157">
        <f>IF($E178="","",IF(OR($E178="Coal",$E178="Dirty Coal"),"MT","BCM"))</f>
        <v/>
      </c>
      <c r="N178" s="157">
        <f>IF($E178="","",IF(OR($E178="Coal",$E178="Dirty Coal"),"Coal","OB"))</f>
        <v/>
      </c>
      <c r="O178" s="157">
        <f>IF($F178="","",IF(COUNTIF(MASTER_JAM!$A$5:$A$94,$C178)=0,"Digger tidak dikenal",IF($J178="","Hauler tidak dikenal",IF($H178="?","Jam salah",IF($K178=0,"Faktor kosong",IF(SUMIFS(INPUT_DELAY!$E$5:$E$20000,INPUT_DELAY!$A$5:$A$20000,$A178,INPUT_DELAY!$B$5:$B$20000,$B178,INPUT_DELAY!$C$5:$C$20000,$C178)+SUMIFS(INPUT_DELAY!$E$5:$E$20000,INPUT_DELAY!$A$5:$A$20000,$A178,INPUT_DELAY!$B$5:$B$20000,$B178,INPUT_DELAY!$C$5:$C$20000,"SEMUA")&gt;=60,"Delay 60 mnt tapi ada ritase","OK"))))))</f>
        <v/>
      </c>
      <c r="P178" s="158">
        <f>IFERROR(INDEX(MASTER_JAM!$Z$5:$AC$10,MATCH($I178,MASTER_JAM!$Y$5:$Y$10,0),MATCH($J178,MASTER_JAM!$Z$4:$AC$4,0))+0,0)</f>
        <v/>
      </c>
      <c r="Q178" s="158">
        <f>IF($P178=0,0,$P178+IFERROR(INDEX(MASTER_JAM!$H$5:$H$94,MATCH($C178,MASTER_JAM!$A$5:$A$94,0))+0,MASTER_JAM!$AC$15)/1000*(60/MASTER_JAM!$AC$12+60/MASTER_JAM!$AC$13)+MASTER_JAM!$AC$14)</f>
        <v/>
      </c>
      <c r="R178" s="158">
        <f>IF(N($F178)=0,0,$F178/SUMIFS(INPUT_RITASE!$F$5:$F$20000,INPUT_RITASE!$A$5:$A$20000,$A178,INPUT_RITASE!$B$5:$B$20000,$B178,INPUT_RITASE!$C$5:$C$20000,$C178,INPUT_RITASE!$D$5:$D$20000,$D178))</f>
        <v/>
      </c>
      <c r="S178" s="158">
        <f>IF($Q178=0,0,$R178*$P178/$Q178)</f>
        <v/>
      </c>
    </row>
    <row r="179">
      <c r="A179" s="155" t="n">
        <v>46104</v>
      </c>
      <c r="B179" s="156" t="inlineStr">
        <is>
          <t>09-10</t>
        </is>
      </c>
      <c r="C179" s="156" t="inlineStr">
        <is>
          <t>EX-336</t>
        </is>
      </c>
      <c r="D179" s="156" t="inlineStr">
        <is>
          <t>DT-507</t>
        </is>
      </c>
      <c r="E179" s="156" t="inlineStr">
        <is>
          <t>Coal</t>
        </is>
      </c>
      <c r="F179" s="156" t="n">
        <v>4</v>
      </c>
      <c r="G179" s="156" t="inlineStr"/>
      <c r="H179" s="157">
        <f>IF($B179="","",IF(ISNA(MATCH($B179,MASTER_JAM!$Q$5:$Q$28,0)),"?",IF(MATCH($B179,MASTER_JAM!$Q$5:$Q$28,0)&lt;=12,"DS","NS")))</f>
        <v/>
      </c>
      <c r="I179" s="157">
        <f>IFERROR(INDEX(MASTER_JAM!$B$5:$B$94,MATCH($C179,MASTER_JAM!$A$5:$A$94,0)),"")</f>
        <v/>
      </c>
      <c r="J179" s="157">
        <f>IFERROR(INDEX(MASTER_JAM!$E$5:$E$94,MATCH($D179,MASTER_JAM!$A$5:$A$94,0)),"")</f>
        <v/>
      </c>
      <c r="K179" s="158">
        <f>IFERROR(INDEX(MASTER_JAM!$J$5:$O$12,MATCH($E179,MASTER_JAM!$I$5:$I$12,0),MATCH($J179,MASTER_JAM!$J$4:$O$4,0))+0,0)</f>
        <v/>
      </c>
      <c r="L179" s="159">
        <f>N($F179)*$K179</f>
        <v/>
      </c>
      <c r="M179" s="157">
        <f>IF($E179="","",IF(OR($E179="Coal",$E179="Dirty Coal"),"MT","BCM"))</f>
        <v/>
      </c>
      <c r="N179" s="157">
        <f>IF($E179="","",IF(OR($E179="Coal",$E179="Dirty Coal"),"Coal","OB"))</f>
        <v/>
      </c>
      <c r="O179" s="157">
        <f>IF($F179="","",IF(COUNTIF(MASTER_JAM!$A$5:$A$94,$C179)=0,"Digger tidak dikenal",IF($J179="","Hauler tidak dikenal",IF($H179="?","Jam salah",IF($K179=0,"Faktor kosong",IF(SUMIFS(INPUT_DELAY!$E$5:$E$20000,INPUT_DELAY!$A$5:$A$20000,$A179,INPUT_DELAY!$B$5:$B$20000,$B179,INPUT_DELAY!$C$5:$C$20000,$C179)+SUMIFS(INPUT_DELAY!$E$5:$E$20000,INPUT_DELAY!$A$5:$A$20000,$A179,INPUT_DELAY!$B$5:$B$20000,$B179,INPUT_DELAY!$C$5:$C$20000,"SEMUA")&gt;=60,"Delay 60 mnt tapi ada ritase","OK"))))))</f>
        <v/>
      </c>
      <c r="P179" s="158">
        <f>IFERROR(INDEX(MASTER_JAM!$Z$5:$AC$10,MATCH($I179,MASTER_JAM!$Y$5:$Y$10,0),MATCH($J179,MASTER_JAM!$Z$4:$AC$4,0))+0,0)</f>
        <v/>
      </c>
      <c r="Q179" s="158">
        <f>IF($P179=0,0,$P179+IFERROR(INDEX(MASTER_JAM!$H$5:$H$94,MATCH($C179,MASTER_JAM!$A$5:$A$94,0))+0,MASTER_JAM!$AC$15)/1000*(60/MASTER_JAM!$AC$12+60/MASTER_JAM!$AC$13)+MASTER_JAM!$AC$14)</f>
        <v/>
      </c>
      <c r="R179" s="158">
        <f>IF(N($F179)=0,0,$F179/SUMIFS(INPUT_RITASE!$F$5:$F$20000,INPUT_RITASE!$A$5:$A$20000,$A179,INPUT_RITASE!$B$5:$B$20000,$B179,INPUT_RITASE!$C$5:$C$20000,$C179,INPUT_RITASE!$D$5:$D$20000,$D179))</f>
        <v/>
      </c>
      <c r="S179" s="158">
        <f>IF($Q179=0,0,$R179*$P179/$Q179)</f>
        <v/>
      </c>
    </row>
    <row r="180">
      <c r="A180" s="155" t="n">
        <v>46104</v>
      </c>
      <c r="B180" s="156" t="inlineStr">
        <is>
          <t>10-11</t>
        </is>
      </c>
      <c r="C180" s="156" t="inlineStr">
        <is>
          <t>EX-336</t>
        </is>
      </c>
      <c r="D180" s="156" t="inlineStr">
        <is>
          <t>DT-505</t>
        </is>
      </c>
      <c r="E180" s="156" t="inlineStr">
        <is>
          <t>Coal</t>
        </is>
      </c>
      <c r="F180" s="156" t="n">
        <v>3</v>
      </c>
      <c r="G180" s="156" t="inlineStr"/>
      <c r="H180" s="157">
        <f>IF($B180="","",IF(ISNA(MATCH($B180,MASTER_JAM!$Q$5:$Q$28,0)),"?",IF(MATCH($B180,MASTER_JAM!$Q$5:$Q$28,0)&lt;=12,"DS","NS")))</f>
        <v/>
      </c>
      <c r="I180" s="157">
        <f>IFERROR(INDEX(MASTER_JAM!$B$5:$B$94,MATCH($C180,MASTER_JAM!$A$5:$A$94,0)),"")</f>
        <v/>
      </c>
      <c r="J180" s="157">
        <f>IFERROR(INDEX(MASTER_JAM!$E$5:$E$94,MATCH($D180,MASTER_JAM!$A$5:$A$94,0)),"")</f>
        <v/>
      </c>
      <c r="K180" s="158">
        <f>IFERROR(INDEX(MASTER_JAM!$J$5:$O$12,MATCH($E180,MASTER_JAM!$I$5:$I$12,0),MATCH($J180,MASTER_JAM!$J$4:$O$4,0))+0,0)</f>
        <v/>
      </c>
      <c r="L180" s="159">
        <f>N($F180)*$K180</f>
        <v/>
      </c>
      <c r="M180" s="157">
        <f>IF($E180="","",IF(OR($E180="Coal",$E180="Dirty Coal"),"MT","BCM"))</f>
        <v/>
      </c>
      <c r="N180" s="157">
        <f>IF($E180="","",IF(OR($E180="Coal",$E180="Dirty Coal"),"Coal","OB"))</f>
        <v/>
      </c>
      <c r="O180" s="157">
        <f>IF($F180="","",IF(COUNTIF(MASTER_JAM!$A$5:$A$94,$C180)=0,"Digger tidak dikenal",IF($J180="","Hauler tidak dikenal",IF($H180="?","Jam salah",IF($K180=0,"Faktor kosong",IF(SUMIFS(INPUT_DELAY!$E$5:$E$20000,INPUT_DELAY!$A$5:$A$20000,$A180,INPUT_DELAY!$B$5:$B$20000,$B180,INPUT_DELAY!$C$5:$C$20000,$C180)+SUMIFS(INPUT_DELAY!$E$5:$E$20000,INPUT_DELAY!$A$5:$A$20000,$A180,INPUT_DELAY!$B$5:$B$20000,$B180,INPUT_DELAY!$C$5:$C$20000,"SEMUA")&gt;=60,"Delay 60 mnt tapi ada ritase","OK"))))))</f>
        <v/>
      </c>
      <c r="P180" s="158">
        <f>IFERROR(INDEX(MASTER_JAM!$Z$5:$AC$10,MATCH($I180,MASTER_JAM!$Y$5:$Y$10,0),MATCH($J180,MASTER_JAM!$Z$4:$AC$4,0))+0,0)</f>
        <v/>
      </c>
      <c r="Q180" s="158">
        <f>IF($P180=0,0,$P180+IFERROR(INDEX(MASTER_JAM!$H$5:$H$94,MATCH($C180,MASTER_JAM!$A$5:$A$94,0))+0,MASTER_JAM!$AC$15)/1000*(60/MASTER_JAM!$AC$12+60/MASTER_JAM!$AC$13)+MASTER_JAM!$AC$14)</f>
        <v/>
      </c>
      <c r="R180" s="158">
        <f>IF(N($F180)=0,0,$F180/SUMIFS(INPUT_RITASE!$F$5:$F$20000,INPUT_RITASE!$A$5:$A$20000,$A180,INPUT_RITASE!$B$5:$B$20000,$B180,INPUT_RITASE!$C$5:$C$20000,$C180,INPUT_RITASE!$D$5:$D$20000,$D180))</f>
        <v/>
      </c>
      <c r="S180" s="158">
        <f>IF($Q180=0,0,$R180*$P180/$Q180)</f>
        <v/>
      </c>
    </row>
    <row r="181">
      <c r="A181" s="155" t="n">
        <v>46104</v>
      </c>
      <c r="B181" s="156" t="inlineStr">
        <is>
          <t>10-11</t>
        </is>
      </c>
      <c r="C181" s="156" t="inlineStr">
        <is>
          <t>EX-336</t>
        </is>
      </c>
      <c r="D181" s="156" t="inlineStr">
        <is>
          <t>DT-524</t>
        </is>
      </c>
      <c r="E181" s="156" t="inlineStr">
        <is>
          <t>Coal</t>
        </is>
      </c>
      <c r="F181" s="156" t="n">
        <v>3</v>
      </c>
      <c r="G181" s="156" t="inlineStr"/>
      <c r="H181" s="157">
        <f>IF($B181="","",IF(ISNA(MATCH($B181,MASTER_JAM!$Q$5:$Q$28,0)),"?",IF(MATCH($B181,MASTER_JAM!$Q$5:$Q$28,0)&lt;=12,"DS","NS")))</f>
        <v/>
      </c>
      <c r="I181" s="157">
        <f>IFERROR(INDEX(MASTER_JAM!$B$5:$B$94,MATCH($C181,MASTER_JAM!$A$5:$A$94,0)),"")</f>
        <v/>
      </c>
      <c r="J181" s="157">
        <f>IFERROR(INDEX(MASTER_JAM!$E$5:$E$94,MATCH($D181,MASTER_JAM!$A$5:$A$94,0)),"")</f>
        <v/>
      </c>
      <c r="K181" s="158">
        <f>IFERROR(INDEX(MASTER_JAM!$J$5:$O$12,MATCH($E181,MASTER_JAM!$I$5:$I$12,0),MATCH($J181,MASTER_JAM!$J$4:$O$4,0))+0,0)</f>
        <v/>
      </c>
      <c r="L181" s="159">
        <f>N($F181)*$K181</f>
        <v/>
      </c>
      <c r="M181" s="157">
        <f>IF($E181="","",IF(OR($E181="Coal",$E181="Dirty Coal"),"MT","BCM"))</f>
        <v/>
      </c>
      <c r="N181" s="157">
        <f>IF($E181="","",IF(OR($E181="Coal",$E181="Dirty Coal"),"Coal","OB"))</f>
        <v/>
      </c>
      <c r="O181" s="157">
        <f>IF($F181="","",IF(COUNTIF(MASTER_JAM!$A$5:$A$94,$C181)=0,"Digger tidak dikenal",IF($J181="","Hauler tidak dikenal",IF($H181="?","Jam salah",IF($K181=0,"Faktor kosong",IF(SUMIFS(INPUT_DELAY!$E$5:$E$20000,INPUT_DELAY!$A$5:$A$20000,$A181,INPUT_DELAY!$B$5:$B$20000,$B181,INPUT_DELAY!$C$5:$C$20000,$C181)+SUMIFS(INPUT_DELAY!$E$5:$E$20000,INPUT_DELAY!$A$5:$A$20000,$A181,INPUT_DELAY!$B$5:$B$20000,$B181,INPUT_DELAY!$C$5:$C$20000,"SEMUA")&gt;=60,"Delay 60 mnt tapi ada ritase","OK"))))))</f>
        <v/>
      </c>
      <c r="P181" s="158">
        <f>IFERROR(INDEX(MASTER_JAM!$Z$5:$AC$10,MATCH($I181,MASTER_JAM!$Y$5:$Y$10,0),MATCH($J181,MASTER_JAM!$Z$4:$AC$4,0))+0,0)</f>
        <v/>
      </c>
      <c r="Q181" s="158">
        <f>IF($P181=0,0,$P181+IFERROR(INDEX(MASTER_JAM!$H$5:$H$94,MATCH($C181,MASTER_JAM!$A$5:$A$94,0))+0,MASTER_JAM!$AC$15)/1000*(60/MASTER_JAM!$AC$12+60/MASTER_JAM!$AC$13)+MASTER_JAM!$AC$14)</f>
        <v/>
      </c>
      <c r="R181" s="158">
        <f>IF(N($F181)=0,0,$F181/SUMIFS(INPUT_RITASE!$F$5:$F$20000,INPUT_RITASE!$A$5:$A$20000,$A181,INPUT_RITASE!$B$5:$B$20000,$B181,INPUT_RITASE!$C$5:$C$20000,$C181,INPUT_RITASE!$D$5:$D$20000,$D181))</f>
        <v/>
      </c>
      <c r="S181" s="158">
        <f>IF($Q181=0,0,$R181*$P181/$Q181)</f>
        <v/>
      </c>
    </row>
    <row r="182">
      <c r="A182" s="155" t="n">
        <v>46104</v>
      </c>
      <c r="B182" s="156" t="inlineStr">
        <is>
          <t>06-07</t>
        </is>
      </c>
      <c r="C182" s="156" t="inlineStr">
        <is>
          <t>EX-755</t>
        </is>
      </c>
      <c r="D182" s="156" t="inlineStr">
        <is>
          <t>DT-810</t>
        </is>
      </c>
      <c r="E182" s="156" t="inlineStr">
        <is>
          <t>OB</t>
        </is>
      </c>
      <c r="F182" s="156" t="n">
        <v>4</v>
      </c>
      <c r="G182" s="156" t="inlineStr"/>
      <c r="H182" s="157">
        <f>IF($B182="","",IF(ISNA(MATCH($B182,MASTER_JAM!$Q$5:$Q$28,0)),"?",IF(MATCH($B182,MASTER_JAM!$Q$5:$Q$28,0)&lt;=12,"DS","NS")))</f>
        <v/>
      </c>
      <c r="I182" s="157">
        <f>IFERROR(INDEX(MASTER_JAM!$B$5:$B$94,MATCH($C182,MASTER_JAM!$A$5:$A$94,0)),"")</f>
        <v/>
      </c>
      <c r="J182" s="157">
        <f>IFERROR(INDEX(MASTER_JAM!$E$5:$E$94,MATCH($D182,MASTER_JAM!$A$5:$A$94,0)),"")</f>
        <v/>
      </c>
      <c r="K182" s="158">
        <f>IFERROR(INDEX(MASTER_JAM!$J$5:$O$12,MATCH($E182,MASTER_JAM!$I$5:$I$12,0),MATCH($J182,MASTER_JAM!$J$4:$O$4,0))+0,0)</f>
        <v/>
      </c>
      <c r="L182" s="159">
        <f>N($F182)*$K182</f>
        <v/>
      </c>
      <c r="M182" s="157">
        <f>IF($E182="","",IF(OR($E182="Coal",$E182="Dirty Coal"),"MT","BCM"))</f>
        <v/>
      </c>
      <c r="N182" s="157">
        <f>IF($E182="","",IF(OR($E182="Coal",$E182="Dirty Coal"),"Coal","OB"))</f>
        <v/>
      </c>
      <c r="O182" s="157">
        <f>IF($F182="","",IF(COUNTIF(MASTER_JAM!$A$5:$A$94,$C182)=0,"Digger tidak dikenal",IF($J182="","Hauler tidak dikenal",IF($H182="?","Jam salah",IF($K182=0,"Faktor kosong",IF(SUMIFS(INPUT_DELAY!$E$5:$E$20000,INPUT_DELAY!$A$5:$A$20000,$A182,INPUT_DELAY!$B$5:$B$20000,$B182,INPUT_DELAY!$C$5:$C$20000,$C182)+SUMIFS(INPUT_DELAY!$E$5:$E$20000,INPUT_DELAY!$A$5:$A$20000,$A182,INPUT_DELAY!$B$5:$B$20000,$B182,INPUT_DELAY!$C$5:$C$20000,"SEMUA")&gt;=60,"Delay 60 mnt tapi ada ritase","OK"))))))</f>
        <v/>
      </c>
      <c r="P182" s="158">
        <f>IFERROR(INDEX(MASTER_JAM!$Z$5:$AC$10,MATCH($I182,MASTER_JAM!$Y$5:$Y$10,0),MATCH($J182,MASTER_JAM!$Z$4:$AC$4,0))+0,0)</f>
        <v/>
      </c>
      <c r="Q182" s="158">
        <f>IF($P182=0,0,$P182+IFERROR(INDEX(MASTER_JAM!$H$5:$H$94,MATCH($C182,MASTER_JAM!$A$5:$A$94,0))+0,MASTER_JAM!$AC$15)/1000*(60/MASTER_JAM!$AC$12+60/MASTER_JAM!$AC$13)+MASTER_JAM!$AC$14)</f>
        <v/>
      </c>
      <c r="R182" s="158">
        <f>IF(N($F182)=0,0,$F182/SUMIFS(INPUT_RITASE!$F$5:$F$20000,INPUT_RITASE!$A$5:$A$20000,$A182,INPUT_RITASE!$B$5:$B$20000,$B182,INPUT_RITASE!$C$5:$C$20000,$C182,INPUT_RITASE!$D$5:$D$20000,$D182))</f>
        <v/>
      </c>
      <c r="S182" s="158">
        <f>IF($Q182=0,0,$R182*$P182/$Q182)</f>
        <v/>
      </c>
    </row>
    <row r="183">
      <c r="A183" s="155" t="n">
        <v>46104</v>
      </c>
      <c r="B183" s="156" t="inlineStr">
        <is>
          <t>06-07</t>
        </is>
      </c>
      <c r="C183" s="156" t="inlineStr">
        <is>
          <t>EX-755</t>
        </is>
      </c>
      <c r="D183" s="156" t="inlineStr">
        <is>
          <t>DT-510</t>
        </is>
      </c>
      <c r="E183" s="156" t="inlineStr">
        <is>
          <t>OB</t>
        </is>
      </c>
      <c r="F183" s="156" t="n">
        <v>4</v>
      </c>
      <c r="G183" s="156" t="inlineStr"/>
      <c r="H183" s="157">
        <f>IF($B183="","",IF(ISNA(MATCH($B183,MASTER_JAM!$Q$5:$Q$28,0)),"?",IF(MATCH($B183,MASTER_JAM!$Q$5:$Q$28,0)&lt;=12,"DS","NS")))</f>
        <v/>
      </c>
      <c r="I183" s="157">
        <f>IFERROR(INDEX(MASTER_JAM!$B$5:$B$94,MATCH($C183,MASTER_JAM!$A$5:$A$94,0)),"")</f>
        <v/>
      </c>
      <c r="J183" s="157">
        <f>IFERROR(INDEX(MASTER_JAM!$E$5:$E$94,MATCH($D183,MASTER_JAM!$A$5:$A$94,0)),"")</f>
        <v/>
      </c>
      <c r="K183" s="158">
        <f>IFERROR(INDEX(MASTER_JAM!$J$5:$O$12,MATCH($E183,MASTER_JAM!$I$5:$I$12,0),MATCH($J183,MASTER_JAM!$J$4:$O$4,0))+0,0)</f>
        <v/>
      </c>
      <c r="L183" s="159">
        <f>N($F183)*$K183</f>
        <v/>
      </c>
      <c r="M183" s="157">
        <f>IF($E183="","",IF(OR($E183="Coal",$E183="Dirty Coal"),"MT","BCM"))</f>
        <v/>
      </c>
      <c r="N183" s="157">
        <f>IF($E183="","",IF(OR($E183="Coal",$E183="Dirty Coal"),"Coal","OB"))</f>
        <v/>
      </c>
      <c r="O183" s="157">
        <f>IF($F183="","",IF(COUNTIF(MASTER_JAM!$A$5:$A$94,$C183)=0,"Digger tidak dikenal",IF($J183="","Hauler tidak dikenal",IF($H183="?","Jam salah",IF($K183=0,"Faktor kosong",IF(SUMIFS(INPUT_DELAY!$E$5:$E$20000,INPUT_DELAY!$A$5:$A$20000,$A183,INPUT_DELAY!$B$5:$B$20000,$B183,INPUT_DELAY!$C$5:$C$20000,$C183)+SUMIFS(INPUT_DELAY!$E$5:$E$20000,INPUT_DELAY!$A$5:$A$20000,$A183,INPUT_DELAY!$B$5:$B$20000,$B183,INPUT_DELAY!$C$5:$C$20000,"SEMUA")&gt;=60,"Delay 60 mnt tapi ada ritase","OK"))))))</f>
        <v/>
      </c>
      <c r="P183" s="158">
        <f>IFERROR(INDEX(MASTER_JAM!$Z$5:$AC$10,MATCH($I183,MASTER_JAM!$Y$5:$Y$10,0),MATCH($J183,MASTER_JAM!$Z$4:$AC$4,0))+0,0)</f>
        <v/>
      </c>
      <c r="Q183" s="158">
        <f>IF($P183=0,0,$P183+IFERROR(INDEX(MASTER_JAM!$H$5:$H$94,MATCH($C183,MASTER_JAM!$A$5:$A$94,0))+0,MASTER_JAM!$AC$15)/1000*(60/MASTER_JAM!$AC$12+60/MASTER_JAM!$AC$13)+MASTER_JAM!$AC$14)</f>
        <v/>
      </c>
      <c r="R183" s="158">
        <f>IF(N($F183)=0,0,$F183/SUMIFS(INPUT_RITASE!$F$5:$F$20000,INPUT_RITASE!$A$5:$A$20000,$A183,INPUT_RITASE!$B$5:$B$20000,$B183,INPUT_RITASE!$C$5:$C$20000,$C183,INPUT_RITASE!$D$5:$D$20000,$D183))</f>
        <v/>
      </c>
      <c r="S183" s="158">
        <f>IF($Q183=0,0,$R183*$P183/$Q183)</f>
        <v/>
      </c>
    </row>
    <row r="184">
      <c r="A184" s="155" t="n">
        <v>46104</v>
      </c>
      <c r="B184" s="156" t="inlineStr">
        <is>
          <t>06-07</t>
        </is>
      </c>
      <c r="C184" s="156" t="inlineStr">
        <is>
          <t>EX-755</t>
        </is>
      </c>
      <c r="D184" s="156" t="inlineStr">
        <is>
          <t>DT-516</t>
        </is>
      </c>
      <c r="E184" s="156" t="inlineStr">
        <is>
          <t>OB</t>
        </is>
      </c>
      <c r="F184" s="156" t="n">
        <v>4</v>
      </c>
      <c r="G184" s="156" t="inlineStr"/>
      <c r="H184" s="157">
        <f>IF($B184="","",IF(ISNA(MATCH($B184,MASTER_JAM!$Q$5:$Q$28,0)),"?",IF(MATCH($B184,MASTER_JAM!$Q$5:$Q$28,0)&lt;=12,"DS","NS")))</f>
        <v/>
      </c>
      <c r="I184" s="157">
        <f>IFERROR(INDEX(MASTER_JAM!$B$5:$B$94,MATCH($C184,MASTER_JAM!$A$5:$A$94,0)),"")</f>
        <v/>
      </c>
      <c r="J184" s="157">
        <f>IFERROR(INDEX(MASTER_JAM!$E$5:$E$94,MATCH($D184,MASTER_JAM!$A$5:$A$94,0)),"")</f>
        <v/>
      </c>
      <c r="K184" s="158">
        <f>IFERROR(INDEX(MASTER_JAM!$J$5:$O$12,MATCH($E184,MASTER_JAM!$I$5:$I$12,0),MATCH($J184,MASTER_JAM!$J$4:$O$4,0))+0,0)</f>
        <v/>
      </c>
      <c r="L184" s="159">
        <f>N($F184)*$K184</f>
        <v/>
      </c>
      <c r="M184" s="157">
        <f>IF($E184="","",IF(OR($E184="Coal",$E184="Dirty Coal"),"MT","BCM"))</f>
        <v/>
      </c>
      <c r="N184" s="157">
        <f>IF($E184="","",IF(OR($E184="Coal",$E184="Dirty Coal"),"Coal","OB"))</f>
        <v/>
      </c>
      <c r="O184" s="157">
        <f>IF($F184="","",IF(COUNTIF(MASTER_JAM!$A$5:$A$94,$C184)=0,"Digger tidak dikenal",IF($J184="","Hauler tidak dikenal",IF($H184="?","Jam salah",IF($K184=0,"Faktor kosong",IF(SUMIFS(INPUT_DELAY!$E$5:$E$20000,INPUT_DELAY!$A$5:$A$20000,$A184,INPUT_DELAY!$B$5:$B$20000,$B184,INPUT_DELAY!$C$5:$C$20000,$C184)+SUMIFS(INPUT_DELAY!$E$5:$E$20000,INPUT_DELAY!$A$5:$A$20000,$A184,INPUT_DELAY!$B$5:$B$20000,$B184,INPUT_DELAY!$C$5:$C$20000,"SEMUA")&gt;=60,"Delay 60 mnt tapi ada ritase","OK"))))))</f>
        <v/>
      </c>
      <c r="P184" s="158">
        <f>IFERROR(INDEX(MASTER_JAM!$Z$5:$AC$10,MATCH($I184,MASTER_JAM!$Y$5:$Y$10,0),MATCH($J184,MASTER_JAM!$Z$4:$AC$4,0))+0,0)</f>
        <v/>
      </c>
      <c r="Q184" s="158">
        <f>IF($P184=0,0,$P184+IFERROR(INDEX(MASTER_JAM!$H$5:$H$94,MATCH($C184,MASTER_JAM!$A$5:$A$94,0))+0,MASTER_JAM!$AC$15)/1000*(60/MASTER_JAM!$AC$12+60/MASTER_JAM!$AC$13)+MASTER_JAM!$AC$14)</f>
        <v/>
      </c>
      <c r="R184" s="158">
        <f>IF(N($F184)=0,0,$F184/SUMIFS(INPUT_RITASE!$F$5:$F$20000,INPUT_RITASE!$A$5:$A$20000,$A184,INPUT_RITASE!$B$5:$B$20000,$B184,INPUT_RITASE!$C$5:$C$20000,$C184,INPUT_RITASE!$D$5:$D$20000,$D184))</f>
        <v/>
      </c>
      <c r="S184" s="158">
        <f>IF($Q184=0,0,$R184*$P184/$Q184)</f>
        <v/>
      </c>
    </row>
    <row r="185">
      <c r="A185" s="155" t="n">
        <v>46104</v>
      </c>
      <c r="B185" s="156" t="inlineStr">
        <is>
          <t>06-07</t>
        </is>
      </c>
      <c r="C185" s="156" t="inlineStr">
        <is>
          <t>EX-755</t>
        </is>
      </c>
      <c r="D185" s="156" t="inlineStr">
        <is>
          <t>DT-505</t>
        </is>
      </c>
      <c r="E185" s="156" t="inlineStr">
        <is>
          <t>OB</t>
        </is>
      </c>
      <c r="F185" s="156" t="n">
        <v>4</v>
      </c>
      <c r="G185" s="156" t="inlineStr"/>
      <c r="H185" s="157">
        <f>IF($B185="","",IF(ISNA(MATCH($B185,MASTER_JAM!$Q$5:$Q$28,0)),"?",IF(MATCH($B185,MASTER_JAM!$Q$5:$Q$28,0)&lt;=12,"DS","NS")))</f>
        <v/>
      </c>
      <c r="I185" s="157">
        <f>IFERROR(INDEX(MASTER_JAM!$B$5:$B$94,MATCH($C185,MASTER_JAM!$A$5:$A$94,0)),"")</f>
        <v/>
      </c>
      <c r="J185" s="157">
        <f>IFERROR(INDEX(MASTER_JAM!$E$5:$E$94,MATCH($D185,MASTER_JAM!$A$5:$A$94,0)),"")</f>
        <v/>
      </c>
      <c r="K185" s="158">
        <f>IFERROR(INDEX(MASTER_JAM!$J$5:$O$12,MATCH($E185,MASTER_JAM!$I$5:$I$12,0),MATCH($J185,MASTER_JAM!$J$4:$O$4,0))+0,0)</f>
        <v/>
      </c>
      <c r="L185" s="159">
        <f>N($F185)*$K185</f>
        <v/>
      </c>
      <c r="M185" s="157">
        <f>IF($E185="","",IF(OR($E185="Coal",$E185="Dirty Coal"),"MT","BCM"))</f>
        <v/>
      </c>
      <c r="N185" s="157">
        <f>IF($E185="","",IF(OR($E185="Coal",$E185="Dirty Coal"),"Coal","OB"))</f>
        <v/>
      </c>
      <c r="O185" s="157">
        <f>IF($F185="","",IF(COUNTIF(MASTER_JAM!$A$5:$A$94,$C185)=0,"Digger tidak dikenal",IF($J185="","Hauler tidak dikenal",IF($H185="?","Jam salah",IF($K185=0,"Faktor kosong",IF(SUMIFS(INPUT_DELAY!$E$5:$E$20000,INPUT_DELAY!$A$5:$A$20000,$A185,INPUT_DELAY!$B$5:$B$20000,$B185,INPUT_DELAY!$C$5:$C$20000,$C185)+SUMIFS(INPUT_DELAY!$E$5:$E$20000,INPUT_DELAY!$A$5:$A$20000,$A185,INPUT_DELAY!$B$5:$B$20000,$B185,INPUT_DELAY!$C$5:$C$20000,"SEMUA")&gt;=60,"Delay 60 mnt tapi ada ritase","OK"))))))</f>
        <v/>
      </c>
      <c r="P185" s="158">
        <f>IFERROR(INDEX(MASTER_JAM!$Z$5:$AC$10,MATCH($I185,MASTER_JAM!$Y$5:$Y$10,0),MATCH($J185,MASTER_JAM!$Z$4:$AC$4,0))+0,0)</f>
        <v/>
      </c>
      <c r="Q185" s="158">
        <f>IF($P185=0,0,$P185+IFERROR(INDEX(MASTER_JAM!$H$5:$H$94,MATCH($C185,MASTER_JAM!$A$5:$A$94,0))+0,MASTER_JAM!$AC$15)/1000*(60/MASTER_JAM!$AC$12+60/MASTER_JAM!$AC$13)+MASTER_JAM!$AC$14)</f>
        <v/>
      </c>
      <c r="R185" s="158">
        <f>IF(N($F185)=0,0,$F185/SUMIFS(INPUT_RITASE!$F$5:$F$20000,INPUT_RITASE!$A$5:$A$20000,$A185,INPUT_RITASE!$B$5:$B$20000,$B185,INPUT_RITASE!$C$5:$C$20000,$C185,INPUT_RITASE!$D$5:$D$20000,$D185))</f>
        <v/>
      </c>
      <c r="S185" s="158">
        <f>IF($Q185=0,0,$R185*$P185/$Q185)</f>
        <v/>
      </c>
    </row>
    <row r="186">
      <c r="A186" s="155" t="n">
        <v>46104</v>
      </c>
      <c r="B186" s="156" t="inlineStr">
        <is>
          <t>06-07</t>
        </is>
      </c>
      <c r="C186" s="156" t="inlineStr">
        <is>
          <t>EX-755</t>
        </is>
      </c>
      <c r="D186" s="156" t="inlineStr">
        <is>
          <t>DT-506</t>
        </is>
      </c>
      <c r="E186" s="156" t="inlineStr">
        <is>
          <t>OB</t>
        </is>
      </c>
      <c r="F186" s="156" t="n">
        <v>4</v>
      </c>
      <c r="G186" s="156" t="inlineStr"/>
      <c r="H186" s="157">
        <f>IF($B186="","",IF(ISNA(MATCH($B186,MASTER_JAM!$Q$5:$Q$28,0)),"?",IF(MATCH($B186,MASTER_JAM!$Q$5:$Q$28,0)&lt;=12,"DS","NS")))</f>
        <v/>
      </c>
      <c r="I186" s="157">
        <f>IFERROR(INDEX(MASTER_JAM!$B$5:$B$94,MATCH($C186,MASTER_JAM!$A$5:$A$94,0)),"")</f>
        <v/>
      </c>
      <c r="J186" s="157">
        <f>IFERROR(INDEX(MASTER_JAM!$E$5:$E$94,MATCH($D186,MASTER_JAM!$A$5:$A$94,0)),"")</f>
        <v/>
      </c>
      <c r="K186" s="158">
        <f>IFERROR(INDEX(MASTER_JAM!$J$5:$O$12,MATCH($E186,MASTER_JAM!$I$5:$I$12,0),MATCH($J186,MASTER_JAM!$J$4:$O$4,0))+0,0)</f>
        <v/>
      </c>
      <c r="L186" s="159">
        <f>N($F186)*$K186</f>
        <v/>
      </c>
      <c r="M186" s="157">
        <f>IF($E186="","",IF(OR($E186="Coal",$E186="Dirty Coal"),"MT","BCM"))</f>
        <v/>
      </c>
      <c r="N186" s="157">
        <f>IF($E186="","",IF(OR($E186="Coal",$E186="Dirty Coal"),"Coal","OB"))</f>
        <v/>
      </c>
      <c r="O186" s="157">
        <f>IF($F186="","",IF(COUNTIF(MASTER_JAM!$A$5:$A$94,$C186)=0,"Digger tidak dikenal",IF($J186="","Hauler tidak dikenal",IF($H186="?","Jam salah",IF($K186=0,"Faktor kosong",IF(SUMIFS(INPUT_DELAY!$E$5:$E$20000,INPUT_DELAY!$A$5:$A$20000,$A186,INPUT_DELAY!$B$5:$B$20000,$B186,INPUT_DELAY!$C$5:$C$20000,$C186)+SUMIFS(INPUT_DELAY!$E$5:$E$20000,INPUT_DELAY!$A$5:$A$20000,$A186,INPUT_DELAY!$B$5:$B$20000,$B186,INPUT_DELAY!$C$5:$C$20000,"SEMUA")&gt;=60,"Delay 60 mnt tapi ada ritase","OK"))))))</f>
        <v/>
      </c>
      <c r="P186" s="158">
        <f>IFERROR(INDEX(MASTER_JAM!$Z$5:$AC$10,MATCH($I186,MASTER_JAM!$Y$5:$Y$10,0),MATCH($J186,MASTER_JAM!$Z$4:$AC$4,0))+0,0)</f>
        <v/>
      </c>
      <c r="Q186" s="158">
        <f>IF($P186=0,0,$P186+IFERROR(INDEX(MASTER_JAM!$H$5:$H$94,MATCH($C186,MASTER_JAM!$A$5:$A$94,0))+0,MASTER_JAM!$AC$15)/1000*(60/MASTER_JAM!$AC$12+60/MASTER_JAM!$AC$13)+MASTER_JAM!$AC$14)</f>
        <v/>
      </c>
      <c r="R186" s="158">
        <f>IF(N($F186)=0,0,$F186/SUMIFS(INPUT_RITASE!$F$5:$F$20000,INPUT_RITASE!$A$5:$A$20000,$A186,INPUT_RITASE!$B$5:$B$20000,$B186,INPUT_RITASE!$C$5:$C$20000,$C186,INPUT_RITASE!$D$5:$D$20000,$D186))</f>
        <v/>
      </c>
      <c r="S186" s="158">
        <f>IF($Q186=0,0,$R186*$P186/$Q186)</f>
        <v/>
      </c>
    </row>
    <row r="187">
      <c r="A187" s="155" t="n">
        <v>46104</v>
      </c>
      <c r="B187" s="156" t="inlineStr">
        <is>
          <t>07-08</t>
        </is>
      </c>
      <c r="C187" s="156" t="inlineStr">
        <is>
          <t>EX-755</t>
        </is>
      </c>
      <c r="D187" s="156" t="inlineStr">
        <is>
          <t>DT-809</t>
        </is>
      </c>
      <c r="E187" s="156" t="inlineStr">
        <is>
          <t>OB</t>
        </is>
      </c>
      <c r="F187" s="156" t="n">
        <v>2</v>
      </c>
      <c r="G187" s="156" t="inlineStr"/>
      <c r="H187" s="157">
        <f>IF($B187="","",IF(ISNA(MATCH($B187,MASTER_JAM!$Q$5:$Q$28,0)),"?",IF(MATCH($B187,MASTER_JAM!$Q$5:$Q$28,0)&lt;=12,"DS","NS")))</f>
        <v/>
      </c>
      <c r="I187" s="157">
        <f>IFERROR(INDEX(MASTER_JAM!$B$5:$B$94,MATCH($C187,MASTER_JAM!$A$5:$A$94,0)),"")</f>
        <v/>
      </c>
      <c r="J187" s="157">
        <f>IFERROR(INDEX(MASTER_JAM!$E$5:$E$94,MATCH($D187,MASTER_JAM!$A$5:$A$94,0)),"")</f>
        <v/>
      </c>
      <c r="K187" s="158">
        <f>IFERROR(INDEX(MASTER_JAM!$J$5:$O$12,MATCH($E187,MASTER_JAM!$I$5:$I$12,0),MATCH($J187,MASTER_JAM!$J$4:$O$4,0))+0,0)</f>
        <v/>
      </c>
      <c r="L187" s="159">
        <f>N($F187)*$K187</f>
        <v/>
      </c>
      <c r="M187" s="157">
        <f>IF($E187="","",IF(OR($E187="Coal",$E187="Dirty Coal"),"MT","BCM"))</f>
        <v/>
      </c>
      <c r="N187" s="157">
        <f>IF($E187="","",IF(OR($E187="Coal",$E187="Dirty Coal"),"Coal","OB"))</f>
        <v/>
      </c>
      <c r="O187" s="157">
        <f>IF($F187="","",IF(COUNTIF(MASTER_JAM!$A$5:$A$94,$C187)=0,"Digger tidak dikenal",IF($J187="","Hauler tidak dikenal",IF($H187="?","Jam salah",IF($K187=0,"Faktor kosong",IF(SUMIFS(INPUT_DELAY!$E$5:$E$20000,INPUT_DELAY!$A$5:$A$20000,$A187,INPUT_DELAY!$B$5:$B$20000,$B187,INPUT_DELAY!$C$5:$C$20000,$C187)+SUMIFS(INPUT_DELAY!$E$5:$E$20000,INPUT_DELAY!$A$5:$A$20000,$A187,INPUT_DELAY!$B$5:$B$20000,$B187,INPUT_DELAY!$C$5:$C$20000,"SEMUA")&gt;=60,"Delay 60 mnt tapi ada ritase","OK"))))))</f>
        <v/>
      </c>
      <c r="P187" s="158">
        <f>IFERROR(INDEX(MASTER_JAM!$Z$5:$AC$10,MATCH($I187,MASTER_JAM!$Y$5:$Y$10,0),MATCH($J187,MASTER_JAM!$Z$4:$AC$4,0))+0,0)</f>
        <v/>
      </c>
      <c r="Q187" s="158">
        <f>IF($P187=0,0,$P187+IFERROR(INDEX(MASTER_JAM!$H$5:$H$94,MATCH($C187,MASTER_JAM!$A$5:$A$94,0))+0,MASTER_JAM!$AC$15)/1000*(60/MASTER_JAM!$AC$12+60/MASTER_JAM!$AC$13)+MASTER_JAM!$AC$14)</f>
        <v/>
      </c>
      <c r="R187" s="158">
        <f>IF(N($F187)=0,0,$F187/SUMIFS(INPUT_RITASE!$F$5:$F$20000,INPUT_RITASE!$A$5:$A$20000,$A187,INPUT_RITASE!$B$5:$B$20000,$B187,INPUT_RITASE!$C$5:$C$20000,$C187,INPUT_RITASE!$D$5:$D$20000,$D187))</f>
        <v/>
      </c>
      <c r="S187" s="158">
        <f>IF($Q187=0,0,$R187*$P187/$Q187)</f>
        <v/>
      </c>
    </row>
    <row r="188">
      <c r="A188" s="155" t="n">
        <v>46104</v>
      </c>
      <c r="B188" s="156" t="inlineStr">
        <is>
          <t>07-08</t>
        </is>
      </c>
      <c r="C188" s="156" t="inlineStr">
        <is>
          <t>EX-755</t>
        </is>
      </c>
      <c r="D188" s="156" t="inlineStr">
        <is>
          <t>DT-523</t>
        </is>
      </c>
      <c r="E188" s="156" t="inlineStr">
        <is>
          <t>OB</t>
        </is>
      </c>
      <c r="F188" s="156" t="n">
        <v>4</v>
      </c>
      <c r="G188" s="156" t="inlineStr"/>
      <c r="H188" s="157">
        <f>IF($B188="","",IF(ISNA(MATCH($B188,MASTER_JAM!$Q$5:$Q$28,0)),"?",IF(MATCH($B188,MASTER_JAM!$Q$5:$Q$28,0)&lt;=12,"DS","NS")))</f>
        <v/>
      </c>
      <c r="I188" s="157">
        <f>IFERROR(INDEX(MASTER_JAM!$B$5:$B$94,MATCH($C188,MASTER_JAM!$A$5:$A$94,0)),"")</f>
        <v/>
      </c>
      <c r="J188" s="157">
        <f>IFERROR(INDEX(MASTER_JAM!$E$5:$E$94,MATCH($D188,MASTER_JAM!$A$5:$A$94,0)),"")</f>
        <v/>
      </c>
      <c r="K188" s="158">
        <f>IFERROR(INDEX(MASTER_JAM!$J$5:$O$12,MATCH($E188,MASTER_JAM!$I$5:$I$12,0),MATCH($J188,MASTER_JAM!$J$4:$O$4,0))+0,0)</f>
        <v/>
      </c>
      <c r="L188" s="159">
        <f>N($F188)*$K188</f>
        <v/>
      </c>
      <c r="M188" s="157">
        <f>IF($E188="","",IF(OR($E188="Coal",$E188="Dirty Coal"),"MT","BCM"))</f>
        <v/>
      </c>
      <c r="N188" s="157">
        <f>IF($E188="","",IF(OR($E188="Coal",$E188="Dirty Coal"),"Coal","OB"))</f>
        <v/>
      </c>
      <c r="O188" s="157">
        <f>IF($F188="","",IF(COUNTIF(MASTER_JAM!$A$5:$A$94,$C188)=0,"Digger tidak dikenal",IF($J188="","Hauler tidak dikenal",IF($H188="?","Jam salah",IF($K188=0,"Faktor kosong",IF(SUMIFS(INPUT_DELAY!$E$5:$E$20000,INPUT_DELAY!$A$5:$A$20000,$A188,INPUT_DELAY!$B$5:$B$20000,$B188,INPUT_DELAY!$C$5:$C$20000,$C188)+SUMIFS(INPUT_DELAY!$E$5:$E$20000,INPUT_DELAY!$A$5:$A$20000,$A188,INPUT_DELAY!$B$5:$B$20000,$B188,INPUT_DELAY!$C$5:$C$20000,"SEMUA")&gt;=60,"Delay 60 mnt tapi ada ritase","OK"))))))</f>
        <v/>
      </c>
      <c r="P188" s="158">
        <f>IFERROR(INDEX(MASTER_JAM!$Z$5:$AC$10,MATCH($I188,MASTER_JAM!$Y$5:$Y$10,0),MATCH($J188,MASTER_JAM!$Z$4:$AC$4,0))+0,0)</f>
        <v/>
      </c>
      <c r="Q188" s="158">
        <f>IF($P188=0,0,$P188+IFERROR(INDEX(MASTER_JAM!$H$5:$H$94,MATCH($C188,MASTER_JAM!$A$5:$A$94,0))+0,MASTER_JAM!$AC$15)/1000*(60/MASTER_JAM!$AC$12+60/MASTER_JAM!$AC$13)+MASTER_JAM!$AC$14)</f>
        <v/>
      </c>
      <c r="R188" s="158">
        <f>IF(N($F188)=0,0,$F188/SUMIFS(INPUT_RITASE!$F$5:$F$20000,INPUT_RITASE!$A$5:$A$20000,$A188,INPUT_RITASE!$B$5:$B$20000,$B188,INPUT_RITASE!$C$5:$C$20000,$C188,INPUT_RITASE!$D$5:$D$20000,$D188))</f>
        <v/>
      </c>
      <c r="S188" s="158">
        <f>IF($Q188=0,0,$R188*$P188/$Q188)</f>
        <v/>
      </c>
    </row>
    <row r="189">
      <c r="A189" s="155" t="n">
        <v>46104</v>
      </c>
      <c r="B189" s="156" t="inlineStr">
        <is>
          <t>07-08</t>
        </is>
      </c>
      <c r="C189" s="156" t="inlineStr">
        <is>
          <t>EX-755</t>
        </is>
      </c>
      <c r="D189" s="156" t="inlineStr">
        <is>
          <t>DT-504</t>
        </is>
      </c>
      <c r="E189" s="156" t="inlineStr">
        <is>
          <t>OB</t>
        </is>
      </c>
      <c r="F189" s="156" t="n">
        <v>4</v>
      </c>
      <c r="G189" s="156" t="inlineStr"/>
      <c r="H189" s="157">
        <f>IF($B189="","",IF(ISNA(MATCH($B189,MASTER_JAM!$Q$5:$Q$28,0)),"?",IF(MATCH($B189,MASTER_JAM!$Q$5:$Q$28,0)&lt;=12,"DS","NS")))</f>
        <v/>
      </c>
      <c r="I189" s="157">
        <f>IFERROR(INDEX(MASTER_JAM!$B$5:$B$94,MATCH($C189,MASTER_JAM!$A$5:$A$94,0)),"")</f>
        <v/>
      </c>
      <c r="J189" s="157">
        <f>IFERROR(INDEX(MASTER_JAM!$E$5:$E$94,MATCH($D189,MASTER_JAM!$A$5:$A$94,0)),"")</f>
        <v/>
      </c>
      <c r="K189" s="158">
        <f>IFERROR(INDEX(MASTER_JAM!$J$5:$O$12,MATCH($E189,MASTER_JAM!$I$5:$I$12,0),MATCH($J189,MASTER_JAM!$J$4:$O$4,0))+0,0)</f>
        <v/>
      </c>
      <c r="L189" s="159">
        <f>N($F189)*$K189</f>
        <v/>
      </c>
      <c r="M189" s="157">
        <f>IF($E189="","",IF(OR($E189="Coal",$E189="Dirty Coal"),"MT","BCM"))</f>
        <v/>
      </c>
      <c r="N189" s="157">
        <f>IF($E189="","",IF(OR($E189="Coal",$E189="Dirty Coal"),"Coal","OB"))</f>
        <v/>
      </c>
      <c r="O189" s="157">
        <f>IF($F189="","",IF(COUNTIF(MASTER_JAM!$A$5:$A$94,$C189)=0,"Digger tidak dikenal",IF($J189="","Hauler tidak dikenal",IF($H189="?","Jam salah",IF($K189=0,"Faktor kosong",IF(SUMIFS(INPUT_DELAY!$E$5:$E$20000,INPUT_DELAY!$A$5:$A$20000,$A189,INPUT_DELAY!$B$5:$B$20000,$B189,INPUT_DELAY!$C$5:$C$20000,$C189)+SUMIFS(INPUT_DELAY!$E$5:$E$20000,INPUT_DELAY!$A$5:$A$20000,$A189,INPUT_DELAY!$B$5:$B$20000,$B189,INPUT_DELAY!$C$5:$C$20000,"SEMUA")&gt;=60,"Delay 60 mnt tapi ada ritase","OK"))))))</f>
        <v/>
      </c>
      <c r="P189" s="158">
        <f>IFERROR(INDEX(MASTER_JAM!$Z$5:$AC$10,MATCH($I189,MASTER_JAM!$Y$5:$Y$10,0),MATCH($J189,MASTER_JAM!$Z$4:$AC$4,0))+0,0)</f>
        <v/>
      </c>
      <c r="Q189" s="158">
        <f>IF($P189=0,0,$P189+IFERROR(INDEX(MASTER_JAM!$H$5:$H$94,MATCH($C189,MASTER_JAM!$A$5:$A$94,0))+0,MASTER_JAM!$AC$15)/1000*(60/MASTER_JAM!$AC$12+60/MASTER_JAM!$AC$13)+MASTER_JAM!$AC$14)</f>
        <v/>
      </c>
      <c r="R189" s="158">
        <f>IF(N($F189)=0,0,$F189/SUMIFS(INPUT_RITASE!$F$5:$F$20000,INPUT_RITASE!$A$5:$A$20000,$A189,INPUT_RITASE!$B$5:$B$20000,$B189,INPUT_RITASE!$C$5:$C$20000,$C189,INPUT_RITASE!$D$5:$D$20000,$D189))</f>
        <v/>
      </c>
      <c r="S189" s="158">
        <f>IF($Q189=0,0,$R189*$P189/$Q189)</f>
        <v/>
      </c>
    </row>
    <row r="190">
      <c r="A190" s="155" t="n">
        <v>46104</v>
      </c>
      <c r="B190" s="156" t="inlineStr">
        <is>
          <t>08-09</t>
        </is>
      </c>
      <c r="C190" s="156" t="inlineStr">
        <is>
          <t>EX-755</t>
        </is>
      </c>
      <c r="D190" s="156" t="inlineStr">
        <is>
          <t>DT-503</t>
        </is>
      </c>
      <c r="E190" s="156" t="inlineStr">
        <is>
          <t>OB</t>
        </is>
      </c>
      <c r="F190" s="156" t="n">
        <v>4</v>
      </c>
      <c r="G190" s="156" t="inlineStr"/>
      <c r="H190" s="157">
        <f>IF($B190="","",IF(ISNA(MATCH($B190,MASTER_JAM!$Q$5:$Q$28,0)),"?",IF(MATCH($B190,MASTER_JAM!$Q$5:$Q$28,0)&lt;=12,"DS","NS")))</f>
        <v/>
      </c>
      <c r="I190" s="157">
        <f>IFERROR(INDEX(MASTER_JAM!$B$5:$B$94,MATCH($C190,MASTER_JAM!$A$5:$A$94,0)),"")</f>
        <v/>
      </c>
      <c r="J190" s="157">
        <f>IFERROR(INDEX(MASTER_JAM!$E$5:$E$94,MATCH($D190,MASTER_JAM!$A$5:$A$94,0)),"")</f>
        <v/>
      </c>
      <c r="K190" s="158">
        <f>IFERROR(INDEX(MASTER_JAM!$J$5:$O$12,MATCH($E190,MASTER_JAM!$I$5:$I$12,0),MATCH($J190,MASTER_JAM!$J$4:$O$4,0))+0,0)</f>
        <v/>
      </c>
      <c r="L190" s="159">
        <f>N($F190)*$K190</f>
        <v/>
      </c>
      <c r="M190" s="157">
        <f>IF($E190="","",IF(OR($E190="Coal",$E190="Dirty Coal"),"MT","BCM"))</f>
        <v/>
      </c>
      <c r="N190" s="157">
        <f>IF($E190="","",IF(OR($E190="Coal",$E190="Dirty Coal"),"Coal","OB"))</f>
        <v/>
      </c>
      <c r="O190" s="157">
        <f>IF($F190="","",IF(COUNTIF(MASTER_JAM!$A$5:$A$94,$C190)=0,"Digger tidak dikenal",IF($J190="","Hauler tidak dikenal",IF($H190="?","Jam salah",IF($K190=0,"Faktor kosong",IF(SUMIFS(INPUT_DELAY!$E$5:$E$20000,INPUT_DELAY!$A$5:$A$20000,$A190,INPUT_DELAY!$B$5:$B$20000,$B190,INPUT_DELAY!$C$5:$C$20000,$C190)+SUMIFS(INPUT_DELAY!$E$5:$E$20000,INPUT_DELAY!$A$5:$A$20000,$A190,INPUT_DELAY!$B$5:$B$20000,$B190,INPUT_DELAY!$C$5:$C$20000,"SEMUA")&gt;=60,"Delay 60 mnt tapi ada ritase","OK"))))))</f>
        <v/>
      </c>
      <c r="P190" s="158">
        <f>IFERROR(INDEX(MASTER_JAM!$Z$5:$AC$10,MATCH($I190,MASTER_JAM!$Y$5:$Y$10,0),MATCH($J190,MASTER_JAM!$Z$4:$AC$4,0))+0,0)</f>
        <v/>
      </c>
      <c r="Q190" s="158">
        <f>IF($P190=0,0,$P190+IFERROR(INDEX(MASTER_JAM!$H$5:$H$94,MATCH($C190,MASTER_JAM!$A$5:$A$94,0))+0,MASTER_JAM!$AC$15)/1000*(60/MASTER_JAM!$AC$12+60/MASTER_JAM!$AC$13)+MASTER_JAM!$AC$14)</f>
        <v/>
      </c>
      <c r="R190" s="158">
        <f>IF(N($F190)=0,0,$F190/SUMIFS(INPUT_RITASE!$F$5:$F$20000,INPUT_RITASE!$A$5:$A$20000,$A190,INPUT_RITASE!$B$5:$B$20000,$B190,INPUT_RITASE!$C$5:$C$20000,$C190,INPUT_RITASE!$D$5:$D$20000,$D190))</f>
        <v/>
      </c>
      <c r="S190" s="158">
        <f>IF($Q190=0,0,$R190*$P190/$Q190)</f>
        <v/>
      </c>
    </row>
    <row r="191">
      <c r="A191" s="155" t="n">
        <v>46104</v>
      </c>
      <c r="B191" s="156" t="inlineStr">
        <is>
          <t>08-09</t>
        </is>
      </c>
      <c r="C191" s="156" t="inlineStr">
        <is>
          <t>EX-755</t>
        </is>
      </c>
      <c r="D191" s="156" t="inlineStr">
        <is>
          <t>DT-504</t>
        </is>
      </c>
      <c r="E191" s="156" t="inlineStr">
        <is>
          <t>OB</t>
        </is>
      </c>
      <c r="F191" s="156" t="n">
        <v>3</v>
      </c>
      <c r="G191" s="156" t="inlineStr"/>
      <c r="H191" s="157">
        <f>IF($B191="","",IF(ISNA(MATCH($B191,MASTER_JAM!$Q$5:$Q$28,0)),"?",IF(MATCH($B191,MASTER_JAM!$Q$5:$Q$28,0)&lt;=12,"DS","NS")))</f>
        <v/>
      </c>
      <c r="I191" s="157">
        <f>IFERROR(INDEX(MASTER_JAM!$B$5:$B$94,MATCH($C191,MASTER_JAM!$A$5:$A$94,0)),"")</f>
        <v/>
      </c>
      <c r="J191" s="157">
        <f>IFERROR(INDEX(MASTER_JAM!$E$5:$E$94,MATCH($D191,MASTER_JAM!$A$5:$A$94,0)),"")</f>
        <v/>
      </c>
      <c r="K191" s="158">
        <f>IFERROR(INDEX(MASTER_JAM!$J$5:$O$12,MATCH($E191,MASTER_JAM!$I$5:$I$12,0),MATCH($J191,MASTER_JAM!$J$4:$O$4,0))+0,0)</f>
        <v/>
      </c>
      <c r="L191" s="159">
        <f>N($F191)*$K191</f>
        <v/>
      </c>
      <c r="M191" s="157">
        <f>IF($E191="","",IF(OR($E191="Coal",$E191="Dirty Coal"),"MT","BCM"))</f>
        <v/>
      </c>
      <c r="N191" s="157">
        <f>IF($E191="","",IF(OR($E191="Coal",$E191="Dirty Coal"),"Coal","OB"))</f>
        <v/>
      </c>
      <c r="O191" s="157">
        <f>IF($F191="","",IF(COUNTIF(MASTER_JAM!$A$5:$A$94,$C191)=0,"Digger tidak dikenal",IF($J191="","Hauler tidak dikenal",IF($H191="?","Jam salah",IF($K191=0,"Faktor kosong",IF(SUMIFS(INPUT_DELAY!$E$5:$E$20000,INPUT_DELAY!$A$5:$A$20000,$A191,INPUT_DELAY!$B$5:$B$20000,$B191,INPUT_DELAY!$C$5:$C$20000,$C191)+SUMIFS(INPUT_DELAY!$E$5:$E$20000,INPUT_DELAY!$A$5:$A$20000,$A191,INPUT_DELAY!$B$5:$B$20000,$B191,INPUT_DELAY!$C$5:$C$20000,"SEMUA")&gt;=60,"Delay 60 mnt tapi ada ritase","OK"))))))</f>
        <v/>
      </c>
      <c r="P191" s="158">
        <f>IFERROR(INDEX(MASTER_JAM!$Z$5:$AC$10,MATCH($I191,MASTER_JAM!$Y$5:$Y$10,0),MATCH($J191,MASTER_JAM!$Z$4:$AC$4,0))+0,0)</f>
        <v/>
      </c>
      <c r="Q191" s="158">
        <f>IF($P191=0,0,$P191+IFERROR(INDEX(MASTER_JAM!$H$5:$H$94,MATCH($C191,MASTER_JAM!$A$5:$A$94,0))+0,MASTER_JAM!$AC$15)/1000*(60/MASTER_JAM!$AC$12+60/MASTER_JAM!$AC$13)+MASTER_JAM!$AC$14)</f>
        <v/>
      </c>
      <c r="R191" s="158">
        <f>IF(N($F191)=0,0,$F191/SUMIFS(INPUT_RITASE!$F$5:$F$20000,INPUT_RITASE!$A$5:$A$20000,$A191,INPUT_RITASE!$B$5:$B$20000,$B191,INPUT_RITASE!$C$5:$C$20000,$C191,INPUT_RITASE!$D$5:$D$20000,$D191))</f>
        <v/>
      </c>
      <c r="S191" s="158">
        <f>IF($Q191=0,0,$R191*$P191/$Q191)</f>
        <v/>
      </c>
    </row>
    <row r="192">
      <c r="A192" s="155" t="n">
        <v>46104</v>
      </c>
      <c r="B192" s="156" t="inlineStr">
        <is>
          <t>08-09</t>
        </is>
      </c>
      <c r="C192" s="156" t="inlineStr">
        <is>
          <t>EX-755</t>
        </is>
      </c>
      <c r="D192" s="156" t="inlineStr">
        <is>
          <t>DT-513</t>
        </is>
      </c>
      <c r="E192" s="156" t="inlineStr">
        <is>
          <t>OB</t>
        </is>
      </c>
      <c r="F192" s="156" t="n">
        <v>3</v>
      </c>
      <c r="G192" s="156" t="inlineStr"/>
      <c r="H192" s="157">
        <f>IF($B192="","",IF(ISNA(MATCH($B192,MASTER_JAM!$Q$5:$Q$28,0)),"?",IF(MATCH($B192,MASTER_JAM!$Q$5:$Q$28,0)&lt;=12,"DS","NS")))</f>
        <v/>
      </c>
      <c r="I192" s="157">
        <f>IFERROR(INDEX(MASTER_JAM!$B$5:$B$94,MATCH($C192,MASTER_JAM!$A$5:$A$94,0)),"")</f>
        <v/>
      </c>
      <c r="J192" s="157">
        <f>IFERROR(INDEX(MASTER_JAM!$E$5:$E$94,MATCH($D192,MASTER_JAM!$A$5:$A$94,0)),"")</f>
        <v/>
      </c>
      <c r="K192" s="158">
        <f>IFERROR(INDEX(MASTER_JAM!$J$5:$O$12,MATCH($E192,MASTER_JAM!$I$5:$I$12,0),MATCH($J192,MASTER_JAM!$J$4:$O$4,0))+0,0)</f>
        <v/>
      </c>
      <c r="L192" s="159">
        <f>N($F192)*$K192</f>
        <v/>
      </c>
      <c r="M192" s="157">
        <f>IF($E192="","",IF(OR($E192="Coal",$E192="Dirty Coal"),"MT","BCM"))</f>
        <v/>
      </c>
      <c r="N192" s="157">
        <f>IF($E192="","",IF(OR($E192="Coal",$E192="Dirty Coal"),"Coal","OB"))</f>
        <v/>
      </c>
      <c r="O192" s="157">
        <f>IF($F192="","",IF(COUNTIF(MASTER_JAM!$A$5:$A$94,$C192)=0,"Digger tidak dikenal",IF($J192="","Hauler tidak dikenal",IF($H192="?","Jam salah",IF($K192=0,"Faktor kosong",IF(SUMIFS(INPUT_DELAY!$E$5:$E$20000,INPUT_DELAY!$A$5:$A$20000,$A192,INPUT_DELAY!$B$5:$B$20000,$B192,INPUT_DELAY!$C$5:$C$20000,$C192)+SUMIFS(INPUT_DELAY!$E$5:$E$20000,INPUT_DELAY!$A$5:$A$20000,$A192,INPUT_DELAY!$B$5:$B$20000,$B192,INPUT_DELAY!$C$5:$C$20000,"SEMUA")&gt;=60,"Delay 60 mnt tapi ada ritase","OK"))))))</f>
        <v/>
      </c>
      <c r="P192" s="158">
        <f>IFERROR(INDEX(MASTER_JAM!$Z$5:$AC$10,MATCH($I192,MASTER_JAM!$Y$5:$Y$10,0),MATCH($J192,MASTER_JAM!$Z$4:$AC$4,0))+0,0)</f>
        <v/>
      </c>
      <c r="Q192" s="158">
        <f>IF($P192=0,0,$P192+IFERROR(INDEX(MASTER_JAM!$H$5:$H$94,MATCH($C192,MASTER_JAM!$A$5:$A$94,0))+0,MASTER_JAM!$AC$15)/1000*(60/MASTER_JAM!$AC$12+60/MASTER_JAM!$AC$13)+MASTER_JAM!$AC$14)</f>
        <v/>
      </c>
      <c r="R192" s="158">
        <f>IF(N($F192)=0,0,$F192/SUMIFS(INPUT_RITASE!$F$5:$F$20000,INPUT_RITASE!$A$5:$A$20000,$A192,INPUT_RITASE!$B$5:$B$20000,$B192,INPUT_RITASE!$C$5:$C$20000,$C192,INPUT_RITASE!$D$5:$D$20000,$D192))</f>
        <v/>
      </c>
      <c r="S192" s="158">
        <f>IF($Q192=0,0,$R192*$P192/$Q192)</f>
        <v/>
      </c>
    </row>
    <row r="193">
      <c r="A193" s="155" t="n">
        <v>46104</v>
      </c>
      <c r="B193" s="156" t="inlineStr">
        <is>
          <t>08-09</t>
        </is>
      </c>
      <c r="C193" s="156" t="inlineStr">
        <is>
          <t>EX-755</t>
        </is>
      </c>
      <c r="D193" s="156" t="inlineStr">
        <is>
          <t>DT-516</t>
        </is>
      </c>
      <c r="E193" s="156" t="inlineStr">
        <is>
          <t>OB</t>
        </is>
      </c>
      <c r="F193" s="156" t="n">
        <v>3</v>
      </c>
      <c r="G193" s="156" t="inlineStr"/>
      <c r="H193" s="157">
        <f>IF($B193="","",IF(ISNA(MATCH($B193,MASTER_JAM!$Q$5:$Q$28,0)),"?",IF(MATCH($B193,MASTER_JAM!$Q$5:$Q$28,0)&lt;=12,"DS","NS")))</f>
        <v/>
      </c>
      <c r="I193" s="157">
        <f>IFERROR(INDEX(MASTER_JAM!$B$5:$B$94,MATCH($C193,MASTER_JAM!$A$5:$A$94,0)),"")</f>
        <v/>
      </c>
      <c r="J193" s="157">
        <f>IFERROR(INDEX(MASTER_JAM!$E$5:$E$94,MATCH($D193,MASTER_JAM!$A$5:$A$94,0)),"")</f>
        <v/>
      </c>
      <c r="K193" s="158">
        <f>IFERROR(INDEX(MASTER_JAM!$J$5:$O$12,MATCH($E193,MASTER_JAM!$I$5:$I$12,0),MATCH($J193,MASTER_JAM!$J$4:$O$4,0))+0,0)</f>
        <v/>
      </c>
      <c r="L193" s="159">
        <f>N($F193)*$K193</f>
        <v/>
      </c>
      <c r="M193" s="157">
        <f>IF($E193="","",IF(OR($E193="Coal",$E193="Dirty Coal"),"MT","BCM"))</f>
        <v/>
      </c>
      <c r="N193" s="157">
        <f>IF($E193="","",IF(OR($E193="Coal",$E193="Dirty Coal"),"Coal","OB"))</f>
        <v/>
      </c>
      <c r="O193" s="157">
        <f>IF($F193="","",IF(COUNTIF(MASTER_JAM!$A$5:$A$94,$C193)=0,"Digger tidak dikenal",IF($J193="","Hauler tidak dikenal",IF($H193="?","Jam salah",IF($K193=0,"Faktor kosong",IF(SUMIFS(INPUT_DELAY!$E$5:$E$20000,INPUT_DELAY!$A$5:$A$20000,$A193,INPUT_DELAY!$B$5:$B$20000,$B193,INPUT_DELAY!$C$5:$C$20000,$C193)+SUMIFS(INPUT_DELAY!$E$5:$E$20000,INPUT_DELAY!$A$5:$A$20000,$A193,INPUT_DELAY!$B$5:$B$20000,$B193,INPUT_DELAY!$C$5:$C$20000,"SEMUA")&gt;=60,"Delay 60 mnt tapi ada ritase","OK"))))))</f>
        <v/>
      </c>
      <c r="P193" s="158">
        <f>IFERROR(INDEX(MASTER_JAM!$Z$5:$AC$10,MATCH($I193,MASTER_JAM!$Y$5:$Y$10,0),MATCH($J193,MASTER_JAM!$Z$4:$AC$4,0))+0,0)</f>
        <v/>
      </c>
      <c r="Q193" s="158">
        <f>IF($P193=0,0,$P193+IFERROR(INDEX(MASTER_JAM!$H$5:$H$94,MATCH($C193,MASTER_JAM!$A$5:$A$94,0))+0,MASTER_JAM!$AC$15)/1000*(60/MASTER_JAM!$AC$12+60/MASTER_JAM!$AC$13)+MASTER_JAM!$AC$14)</f>
        <v/>
      </c>
      <c r="R193" s="158">
        <f>IF(N($F193)=0,0,$F193/SUMIFS(INPUT_RITASE!$F$5:$F$20000,INPUT_RITASE!$A$5:$A$20000,$A193,INPUT_RITASE!$B$5:$B$20000,$B193,INPUT_RITASE!$C$5:$C$20000,$C193,INPUT_RITASE!$D$5:$D$20000,$D193))</f>
        <v/>
      </c>
      <c r="S193" s="158">
        <f>IF($Q193=0,0,$R193*$P193/$Q193)</f>
        <v/>
      </c>
    </row>
    <row r="194">
      <c r="A194" s="155" t="n">
        <v>46104</v>
      </c>
      <c r="B194" s="156" t="inlineStr">
        <is>
          <t>08-09</t>
        </is>
      </c>
      <c r="C194" s="156" t="inlineStr">
        <is>
          <t>EX-755</t>
        </is>
      </c>
      <c r="D194" s="156" t="inlineStr">
        <is>
          <t>DT-803</t>
        </is>
      </c>
      <c r="E194" s="156" t="inlineStr">
        <is>
          <t>OB</t>
        </is>
      </c>
      <c r="F194" s="156" t="n">
        <v>4</v>
      </c>
      <c r="G194" s="156" t="inlineStr"/>
      <c r="H194" s="157">
        <f>IF($B194="","",IF(ISNA(MATCH($B194,MASTER_JAM!$Q$5:$Q$28,0)),"?",IF(MATCH($B194,MASTER_JAM!$Q$5:$Q$28,0)&lt;=12,"DS","NS")))</f>
        <v/>
      </c>
      <c r="I194" s="157">
        <f>IFERROR(INDEX(MASTER_JAM!$B$5:$B$94,MATCH($C194,MASTER_JAM!$A$5:$A$94,0)),"")</f>
        <v/>
      </c>
      <c r="J194" s="157">
        <f>IFERROR(INDEX(MASTER_JAM!$E$5:$E$94,MATCH($D194,MASTER_JAM!$A$5:$A$94,0)),"")</f>
        <v/>
      </c>
      <c r="K194" s="158">
        <f>IFERROR(INDEX(MASTER_JAM!$J$5:$O$12,MATCH($E194,MASTER_JAM!$I$5:$I$12,0),MATCH($J194,MASTER_JAM!$J$4:$O$4,0))+0,0)</f>
        <v/>
      </c>
      <c r="L194" s="159">
        <f>N($F194)*$K194</f>
        <v/>
      </c>
      <c r="M194" s="157">
        <f>IF($E194="","",IF(OR($E194="Coal",$E194="Dirty Coal"),"MT","BCM"))</f>
        <v/>
      </c>
      <c r="N194" s="157">
        <f>IF($E194="","",IF(OR($E194="Coal",$E194="Dirty Coal"),"Coal","OB"))</f>
        <v/>
      </c>
      <c r="O194" s="157">
        <f>IF($F194="","",IF(COUNTIF(MASTER_JAM!$A$5:$A$94,$C194)=0,"Digger tidak dikenal",IF($J194="","Hauler tidak dikenal",IF($H194="?","Jam salah",IF($K194=0,"Faktor kosong",IF(SUMIFS(INPUT_DELAY!$E$5:$E$20000,INPUT_DELAY!$A$5:$A$20000,$A194,INPUT_DELAY!$B$5:$B$20000,$B194,INPUT_DELAY!$C$5:$C$20000,$C194)+SUMIFS(INPUT_DELAY!$E$5:$E$20000,INPUT_DELAY!$A$5:$A$20000,$A194,INPUT_DELAY!$B$5:$B$20000,$B194,INPUT_DELAY!$C$5:$C$20000,"SEMUA")&gt;=60,"Delay 60 mnt tapi ada ritase","OK"))))))</f>
        <v/>
      </c>
      <c r="P194" s="158">
        <f>IFERROR(INDEX(MASTER_JAM!$Z$5:$AC$10,MATCH($I194,MASTER_JAM!$Y$5:$Y$10,0),MATCH($J194,MASTER_JAM!$Z$4:$AC$4,0))+0,0)</f>
        <v/>
      </c>
      <c r="Q194" s="158">
        <f>IF($P194=0,0,$P194+IFERROR(INDEX(MASTER_JAM!$H$5:$H$94,MATCH($C194,MASTER_JAM!$A$5:$A$94,0))+0,MASTER_JAM!$AC$15)/1000*(60/MASTER_JAM!$AC$12+60/MASTER_JAM!$AC$13)+MASTER_JAM!$AC$14)</f>
        <v/>
      </c>
      <c r="R194" s="158">
        <f>IF(N($F194)=0,0,$F194/SUMIFS(INPUT_RITASE!$F$5:$F$20000,INPUT_RITASE!$A$5:$A$20000,$A194,INPUT_RITASE!$B$5:$B$20000,$B194,INPUT_RITASE!$C$5:$C$20000,$C194,INPUT_RITASE!$D$5:$D$20000,$D194))</f>
        <v/>
      </c>
      <c r="S194" s="158">
        <f>IF($Q194=0,0,$R194*$P194/$Q194)</f>
        <v/>
      </c>
    </row>
    <row r="195">
      <c r="A195" s="155" t="n">
        <v>46104</v>
      </c>
      <c r="B195" s="156" t="inlineStr">
        <is>
          <t>09-10</t>
        </is>
      </c>
      <c r="C195" s="156" t="inlineStr">
        <is>
          <t>EX-755</t>
        </is>
      </c>
      <c r="D195" s="156" t="inlineStr">
        <is>
          <t>DT-808</t>
        </is>
      </c>
      <c r="E195" s="156" t="inlineStr">
        <is>
          <t>OB</t>
        </is>
      </c>
      <c r="F195" s="156" t="n">
        <v>3</v>
      </c>
      <c r="G195" s="156" t="inlineStr"/>
      <c r="H195" s="157">
        <f>IF($B195="","",IF(ISNA(MATCH($B195,MASTER_JAM!$Q$5:$Q$28,0)),"?",IF(MATCH($B195,MASTER_JAM!$Q$5:$Q$28,0)&lt;=12,"DS","NS")))</f>
        <v/>
      </c>
      <c r="I195" s="157">
        <f>IFERROR(INDEX(MASTER_JAM!$B$5:$B$94,MATCH($C195,MASTER_JAM!$A$5:$A$94,0)),"")</f>
        <v/>
      </c>
      <c r="J195" s="157">
        <f>IFERROR(INDEX(MASTER_JAM!$E$5:$E$94,MATCH($D195,MASTER_JAM!$A$5:$A$94,0)),"")</f>
        <v/>
      </c>
      <c r="K195" s="158">
        <f>IFERROR(INDEX(MASTER_JAM!$J$5:$O$12,MATCH($E195,MASTER_JAM!$I$5:$I$12,0),MATCH($J195,MASTER_JAM!$J$4:$O$4,0))+0,0)</f>
        <v/>
      </c>
      <c r="L195" s="159">
        <f>N($F195)*$K195</f>
        <v/>
      </c>
      <c r="M195" s="157">
        <f>IF($E195="","",IF(OR($E195="Coal",$E195="Dirty Coal"),"MT","BCM"))</f>
        <v/>
      </c>
      <c r="N195" s="157">
        <f>IF($E195="","",IF(OR($E195="Coal",$E195="Dirty Coal"),"Coal","OB"))</f>
        <v/>
      </c>
      <c r="O195" s="157">
        <f>IF($F195="","",IF(COUNTIF(MASTER_JAM!$A$5:$A$94,$C195)=0,"Digger tidak dikenal",IF($J195="","Hauler tidak dikenal",IF($H195="?","Jam salah",IF($K195=0,"Faktor kosong",IF(SUMIFS(INPUT_DELAY!$E$5:$E$20000,INPUT_DELAY!$A$5:$A$20000,$A195,INPUT_DELAY!$B$5:$B$20000,$B195,INPUT_DELAY!$C$5:$C$20000,$C195)+SUMIFS(INPUT_DELAY!$E$5:$E$20000,INPUT_DELAY!$A$5:$A$20000,$A195,INPUT_DELAY!$B$5:$B$20000,$B195,INPUT_DELAY!$C$5:$C$20000,"SEMUA")&gt;=60,"Delay 60 mnt tapi ada ritase","OK"))))))</f>
        <v/>
      </c>
      <c r="P195" s="158">
        <f>IFERROR(INDEX(MASTER_JAM!$Z$5:$AC$10,MATCH($I195,MASTER_JAM!$Y$5:$Y$10,0),MATCH($J195,MASTER_JAM!$Z$4:$AC$4,0))+0,0)</f>
        <v/>
      </c>
      <c r="Q195" s="158">
        <f>IF($P195=0,0,$P195+IFERROR(INDEX(MASTER_JAM!$H$5:$H$94,MATCH($C195,MASTER_JAM!$A$5:$A$94,0))+0,MASTER_JAM!$AC$15)/1000*(60/MASTER_JAM!$AC$12+60/MASTER_JAM!$AC$13)+MASTER_JAM!$AC$14)</f>
        <v/>
      </c>
      <c r="R195" s="158">
        <f>IF(N($F195)=0,0,$F195/SUMIFS(INPUT_RITASE!$F$5:$F$20000,INPUT_RITASE!$A$5:$A$20000,$A195,INPUT_RITASE!$B$5:$B$20000,$B195,INPUT_RITASE!$C$5:$C$20000,$C195,INPUT_RITASE!$D$5:$D$20000,$D195))</f>
        <v/>
      </c>
      <c r="S195" s="158">
        <f>IF($Q195=0,0,$R195*$P195/$Q195)</f>
        <v/>
      </c>
    </row>
    <row r="196">
      <c r="A196" s="155" t="n">
        <v>46104</v>
      </c>
      <c r="B196" s="156" t="inlineStr">
        <is>
          <t>09-10</t>
        </is>
      </c>
      <c r="C196" s="156" t="inlineStr">
        <is>
          <t>EX-755</t>
        </is>
      </c>
      <c r="D196" s="156" t="inlineStr">
        <is>
          <t>DT-806</t>
        </is>
      </c>
      <c r="E196" s="156" t="inlineStr">
        <is>
          <t>OB</t>
        </is>
      </c>
      <c r="F196" s="156" t="n">
        <v>2</v>
      </c>
      <c r="G196" s="156" t="inlineStr"/>
      <c r="H196" s="157">
        <f>IF($B196="","",IF(ISNA(MATCH($B196,MASTER_JAM!$Q$5:$Q$28,0)),"?",IF(MATCH($B196,MASTER_JAM!$Q$5:$Q$28,0)&lt;=12,"DS","NS")))</f>
        <v/>
      </c>
      <c r="I196" s="157">
        <f>IFERROR(INDEX(MASTER_JAM!$B$5:$B$94,MATCH($C196,MASTER_JAM!$A$5:$A$94,0)),"")</f>
        <v/>
      </c>
      <c r="J196" s="157">
        <f>IFERROR(INDEX(MASTER_JAM!$E$5:$E$94,MATCH($D196,MASTER_JAM!$A$5:$A$94,0)),"")</f>
        <v/>
      </c>
      <c r="K196" s="158">
        <f>IFERROR(INDEX(MASTER_JAM!$J$5:$O$12,MATCH($E196,MASTER_JAM!$I$5:$I$12,0),MATCH($J196,MASTER_JAM!$J$4:$O$4,0))+0,0)</f>
        <v/>
      </c>
      <c r="L196" s="159">
        <f>N($F196)*$K196</f>
        <v/>
      </c>
      <c r="M196" s="157">
        <f>IF($E196="","",IF(OR($E196="Coal",$E196="Dirty Coal"),"MT","BCM"))</f>
        <v/>
      </c>
      <c r="N196" s="157">
        <f>IF($E196="","",IF(OR($E196="Coal",$E196="Dirty Coal"),"Coal","OB"))</f>
        <v/>
      </c>
      <c r="O196" s="157">
        <f>IF($F196="","",IF(COUNTIF(MASTER_JAM!$A$5:$A$94,$C196)=0,"Digger tidak dikenal",IF($J196="","Hauler tidak dikenal",IF($H196="?","Jam salah",IF($K196=0,"Faktor kosong",IF(SUMIFS(INPUT_DELAY!$E$5:$E$20000,INPUT_DELAY!$A$5:$A$20000,$A196,INPUT_DELAY!$B$5:$B$20000,$B196,INPUT_DELAY!$C$5:$C$20000,$C196)+SUMIFS(INPUT_DELAY!$E$5:$E$20000,INPUT_DELAY!$A$5:$A$20000,$A196,INPUT_DELAY!$B$5:$B$20000,$B196,INPUT_DELAY!$C$5:$C$20000,"SEMUA")&gt;=60,"Delay 60 mnt tapi ada ritase","OK"))))))</f>
        <v/>
      </c>
      <c r="P196" s="158">
        <f>IFERROR(INDEX(MASTER_JAM!$Z$5:$AC$10,MATCH($I196,MASTER_JAM!$Y$5:$Y$10,0),MATCH($J196,MASTER_JAM!$Z$4:$AC$4,0))+0,0)</f>
        <v/>
      </c>
      <c r="Q196" s="158">
        <f>IF($P196=0,0,$P196+IFERROR(INDEX(MASTER_JAM!$H$5:$H$94,MATCH($C196,MASTER_JAM!$A$5:$A$94,0))+0,MASTER_JAM!$AC$15)/1000*(60/MASTER_JAM!$AC$12+60/MASTER_JAM!$AC$13)+MASTER_JAM!$AC$14)</f>
        <v/>
      </c>
      <c r="R196" s="158">
        <f>IF(N($F196)=0,0,$F196/SUMIFS(INPUT_RITASE!$F$5:$F$20000,INPUT_RITASE!$A$5:$A$20000,$A196,INPUT_RITASE!$B$5:$B$20000,$B196,INPUT_RITASE!$C$5:$C$20000,$C196,INPUT_RITASE!$D$5:$D$20000,$D196))</f>
        <v/>
      </c>
      <c r="S196" s="158">
        <f>IF($Q196=0,0,$R196*$P196/$Q196)</f>
        <v/>
      </c>
    </row>
    <row r="197">
      <c r="A197" s="155" t="n">
        <v>46104</v>
      </c>
      <c r="B197" s="156" t="inlineStr">
        <is>
          <t>09-10</t>
        </is>
      </c>
      <c r="C197" s="156" t="inlineStr">
        <is>
          <t>EX-755</t>
        </is>
      </c>
      <c r="D197" s="156" t="inlineStr">
        <is>
          <t>DT-524</t>
        </is>
      </c>
      <c r="E197" s="156" t="inlineStr">
        <is>
          <t>OB</t>
        </is>
      </c>
      <c r="F197" s="156" t="n">
        <v>4</v>
      </c>
      <c r="G197" s="156" t="inlineStr"/>
      <c r="H197" s="157">
        <f>IF($B197="","",IF(ISNA(MATCH($B197,MASTER_JAM!$Q$5:$Q$28,0)),"?",IF(MATCH($B197,MASTER_JAM!$Q$5:$Q$28,0)&lt;=12,"DS","NS")))</f>
        <v/>
      </c>
      <c r="I197" s="157">
        <f>IFERROR(INDEX(MASTER_JAM!$B$5:$B$94,MATCH($C197,MASTER_JAM!$A$5:$A$94,0)),"")</f>
        <v/>
      </c>
      <c r="J197" s="157">
        <f>IFERROR(INDEX(MASTER_JAM!$E$5:$E$94,MATCH($D197,MASTER_JAM!$A$5:$A$94,0)),"")</f>
        <v/>
      </c>
      <c r="K197" s="158">
        <f>IFERROR(INDEX(MASTER_JAM!$J$5:$O$12,MATCH($E197,MASTER_JAM!$I$5:$I$12,0),MATCH($J197,MASTER_JAM!$J$4:$O$4,0))+0,0)</f>
        <v/>
      </c>
      <c r="L197" s="159">
        <f>N($F197)*$K197</f>
        <v/>
      </c>
      <c r="M197" s="157">
        <f>IF($E197="","",IF(OR($E197="Coal",$E197="Dirty Coal"),"MT","BCM"))</f>
        <v/>
      </c>
      <c r="N197" s="157">
        <f>IF($E197="","",IF(OR($E197="Coal",$E197="Dirty Coal"),"Coal","OB"))</f>
        <v/>
      </c>
      <c r="O197" s="157">
        <f>IF($F197="","",IF(COUNTIF(MASTER_JAM!$A$5:$A$94,$C197)=0,"Digger tidak dikenal",IF($J197="","Hauler tidak dikenal",IF($H197="?","Jam salah",IF($K197=0,"Faktor kosong",IF(SUMIFS(INPUT_DELAY!$E$5:$E$20000,INPUT_DELAY!$A$5:$A$20000,$A197,INPUT_DELAY!$B$5:$B$20000,$B197,INPUT_DELAY!$C$5:$C$20000,$C197)+SUMIFS(INPUT_DELAY!$E$5:$E$20000,INPUT_DELAY!$A$5:$A$20000,$A197,INPUT_DELAY!$B$5:$B$20000,$B197,INPUT_DELAY!$C$5:$C$20000,"SEMUA")&gt;=60,"Delay 60 mnt tapi ada ritase","OK"))))))</f>
        <v/>
      </c>
      <c r="P197" s="158">
        <f>IFERROR(INDEX(MASTER_JAM!$Z$5:$AC$10,MATCH($I197,MASTER_JAM!$Y$5:$Y$10,0),MATCH($J197,MASTER_JAM!$Z$4:$AC$4,0))+0,0)</f>
        <v/>
      </c>
      <c r="Q197" s="158">
        <f>IF($P197=0,0,$P197+IFERROR(INDEX(MASTER_JAM!$H$5:$H$94,MATCH($C197,MASTER_JAM!$A$5:$A$94,0))+0,MASTER_JAM!$AC$15)/1000*(60/MASTER_JAM!$AC$12+60/MASTER_JAM!$AC$13)+MASTER_JAM!$AC$14)</f>
        <v/>
      </c>
      <c r="R197" s="158">
        <f>IF(N($F197)=0,0,$F197/SUMIFS(INPUT_RITASE!$F$5:$F$20000,INPUT_RITASE!$A$5:$A$20000,$A197,INPUT_RITASE!$B$5:$B$20000,$B197,INPUT_RITASE!$C$5:$C$20000,$C197,INPUT_RITASE!$D$5:$D$20000,$D197))</f>
        <v/>
      </c>
      <c r="S197" s="158">
        <f>IF($Q197=0,0,$R197*$P197/$Q197)</f>
        <v/>
      </c>
    </row>
    <row r="198">
      <c r="A198" s="155" t="n">
        <v>46104</v>
      </c>
      <c r="B198" s="156" t="inlineStr">
        <is>
          <t>09-10</t>
        </is>
      </c>
      <c r="C198" s="156" t="inlineStr">
        <is>
          <t>EX-755</t>
        </is>
      </c>
      <c r="D198" s="156" t="inlineStr">
        <is>
          <t>DT-510</t>
        </is>
      </c>
      <c r="E198" s="156" t="inlineStr">
        <is>
          <t>OB</t>
        </is>
      </c>
      <c r="F198" s="156" t="n">
        <v>4</v>
      </c>
      <c r="G198" s="156" t="inlineStr"/>
      <c r="H198" s="157">
        <f>IF($B198="","",IF(ISNA(MATCH($B198,MASTER_JAM!$Q$5:$Q$28,0)),"?",IF(MATCH($B198,MASTER_JAM!$Q$5:$Q$28,0)&lt;=12,"DS","NS")))</f>
        <v/>
      </c>
      <c r="I198" s="157">
        <f>IFERROR(INDEX(MASTER_JAM!$B$5:$B$94,MATCH($C198,MASTER_JAM!$A$5:$A$94,0)),"")</f>
        <v/>
      </c>
      <c r="J198" s="157">
        <f>IFERROR(INDEX(MASTER_JAM!$E$5:$E$94,MATCH($D198,MASTER_JAM!$A$5:$A$94,0)),"")</f>
        <v/>
      </c>
      <c r="K198" s="158">
        <f>IFERROR(INDEX(MASTER_JAM!$J$5:$O$12,MATCH($E198,MASTER_JAM!$I$5:$I$12,0),MATCH($J198,MASTER_JAM!$J$4:$O$4,0))+0,0)</f>
        <v/>
      </c>
      <c r="L198" s="159">
        <f>N($F198)*$K198</f>
        <v/>
      </c>
      <c r="M198" s="157">
        <f>IF($E198="","",IF(OR($E198="Coal",$E198="Dirty Coal"),"MT","BCM"))</f>
        <v/>
      </c>
      <c r="N198" s="157">
        <f>IF($E198="","",IF(OR($E198="Coal",$E198="Dirty Coal"),"Coal","OB"))</f>
        <v/>
      </c>
      <c r="O198" s="157">
        <f>IF($F198="","",IF(COUNTIF(MASTER_JAM!$A$5:$A$94,$C198)=0,"Digger tidak dikenal",IF($J198="","Hauler tidak dikenal",IF($H198="?","Jam salah",IF($K198=0,"Faktor kosong",IF(SUMIFS(INPUT_DELAY!$E$5:$E$20000,INPUT_DELAY!$A$5:$A$20000,$A198,INPUT_DELAY!$B$5:$B$20000,$B198,INPUT_DELAY!$C$5:$C$20000,$C198)+SUMIFS(INPUT_DELAY!$E$5:$E$20000,INPUT_DELAY!$A$5:$A$20000,$A198,INPUT_DELAY!$B$5:$B$20000,$B198,INPUT_DELAY!$C$5:$C$20000,"SEMUA")&gt;=60,"Delay 60 mnt tapi ada ritase","OK"))))))</f>
        <v/>
      </c>
      <c r="P198" s="158">
        <f>IFERROR(INDEX(MASTER_JAM!$Z$5:$AC$10,MATCH($I198,MASTER_JAM!$Y$5:$Y$10,0),MATCH($J198,MASTER_JAM!$Z$4:$AC$4,0))+0,0)</f>
        <v/>
      </c>
      <c r="Q198" s="158">
        <f>IF($P198=0,0,$P198+IFERROR(INDEX(MASTER_JAM!$H$5:$H$94,MATCH($C198,MASTER_JAM!$A$5:$A$94,0))+0,MASTER_JAM!$AC$15)/1000*(60/MASTER_JAM!$AC$12+60/MASTER_JAM!$AC$13)+MASTER_JAM!$AC$14)</f>
        <v/>
      </c>
      <c r="R198" s="158">
        <f>IF(N($F198)=0,0,$F198/SUMIFS(INPUT_RITASE!$F$5:$F$20000,INPUT_RITASE!$A$5:$A$20000,$A198,INPUT_RITASE!$B$5:$B$20000,$B198,INPUT_RITASE!$C$5:$C$20000,$C198,INPUT_RITASE!$D$5:$D$20000,$D198))</f>
        <v/>
      </c>
      <c r="S198" s="158">
        <f>IF($Q198=0,0,$R198*$P198/$Q198)</f>
        <v/>
      </c>
    </row>
    <row r="199">
      <c r="A199" s="155" t="n">
        <v>46104</v>
      </c>
      <c r="B199" s="156" t="inlineStr">
        <is>
          <t>09-10</t>
        </is>
      </c>
      <c r="C199" s="156" t="inlineStr">
        <is>
          <t>EX-755</t>
        </is>
      </c>
      <c r="D199" s="156" t="inlineStr">
        <is>
          <t>DT-501</t>
        </is>
      </c>
      <c r="E199" s="156" t="inlineStr">
        <is>
          <t>OB</t>
        </is>
      </c>
      <c r="F199" s="156" t="n">
        <v>4</v>
      </c>
      <c r="G199" s="156" t="inlineStr"/>
      <c r="H199" s="157">
        <f>IF($B199="","",IF(ISNA(MATCH($B199,MASTER_JAM!$Q$5:$Q$28,0)),"?",IF(MATCH($B199,MASTER_JAM!$Q$5:$Q$28,0)&lt;=12,"DS","NS")))</f>
        <v/>
      </c>
      <c r="I199" s="157">
        <f>IFERROR(INDEX(MASTER_JAM!$B$5:$B$94,MATCH($C199,MASTER_JAM!$A$5:$A$94,0)),"")</f>
        <v/>
      </c>
      <c r="J199" s="157">
        <f>IFERROR(INDEX(MASTER_JAM!$E$5:$E$94,MATCH($D199,MASTER_JAM!$A$5:$A$94,0)),"")</f>
        <v/>
      </c>
      <c r="K199" s="158">
        <f>IFERROR(INDEX(MASTER_JAM!$J$5:$O$12,MATCH($E199,MASTER_JAM!$I$5:$I$12,0),MATCH($J199,MASTER_JAM!$J$4:$O$4,0))+0,0)</f>
        <v/>
      </c>
      <c r="L199" s="159">
        <f>N($F199)*$K199</f>
        <v/>
      </c>
      <c r="M199" s="157">
        <f>IF($E199="","",IF(OR($E199="Coal",$E199="Dirty Coal"),"MT","BCM"))</f>
        <v/>
      </c>
      <c r="N199" s="157">
        <f>IF($E199="","",IF(OR($E199="Coal",$E199="Dirty Coal"),"Coal","OB"))</f>
        <v/>
      </c>
      <c r="O199" s="157">
        <f>IF($F199="","",IF(COUNTIF(MASTER_JAM!$A$5:$A$94,$C199)=0,"Digger tidak dikenal",IF($J199="","Hauler tidak dikenal",IF($H199="?","Jam salah",IF($K199=0,"Faktor kosong",IF(SUMIFS(INPUT_DELAY!$E$5:$E$20000,INPUT_DELAY!$A$5:$A$20000,$A199,INPUT_DELAY!$B$5:$B$20000,$B199,INPUT_DELAY!$C$5:$C$20000,$C199)+SUMIFS(INPUT_DELAY!$E$5:$E$20000,INPUT_DELAY!$A$5:$A$20000,$A199,INPUT_DELAY!$B$5:$B$20000,$B199,INPUT_DELAY!$C$5:$C$20000,"SEMUA")&gt;=60,"Delay 60 mnt tapi ada ritase","OK"))))))</f>
        <v/>
      </c>
      <c r="P199" s="158">
        <f>IFERROR(INDEX(MASTER_JAM!$Z$5:$AC$10,MATCH($I199,MASTER_JAM!$Y$5:$Y$10,0),MATCH($J199,MASTER_JAM!$Z$4:$AC$4,0))+0,0)</f>
        <v/>
      </c>
      <c r="Q199" s="158">
        <f>IF($P199=0,0,$P199+IFERROR(INDEX(MASTER_JAM!$H$5:$H$94,MATCH($C199,MASTER_JAM!$A$5:$A$94,0))+0,MASTER_JAM!$AC$15)/1000*(60/MASTER_JAM!$AC$12+60/MASTER_JAM!$AC$13)+MASTER_JAM!$AC$14)</f>
        <v/>
      </c>
      <c r="R199" s="158">
        <f>IF(N($F199)=0,0,$F199/SUMIFS(INPUT_RITASE!$F$5:$F$20000,INPUT_RITASE!$A$5:$A$20000,$A199,INPUT_RITASE!$B$5:$B$20000,$B199,INPUT_RITASE!$C$5:$C$20000,$C199,INPUT_RITASE!$D$5:$D$20000,$D199))</f>
        <v/>
      </c>
      <c r="S199" s="158">
        <f>IF($Q199=0,0,$R199*$P199/$Q199)</f>
        <v/>
      </c>
    </row>
    <row r="200">
      <c r="A200" s="155" t="n">
        <v>46104</v>
      </c>
      <c r="B200" s="156" t="inlineStr">
        <is>
          <t>09-10</t>
        </is>
      </c>
      <c r="C200" s="156" t="inlineStr">
        <is>
          <t>EX-755</t>
        </is>
      </c>
      <c r="D200" s="156" t="inlineStr">
        <is>
          <t>DT-516</t>
        </is>
      </c>
      <c r="E200" s="156" t="inlineStr">
        <is>
          <t>OB</t>
        </is>
      </c>
      <c r="F200" s="156" t="n">
        <v>4</v>
      </c>
      <c r="G200" s="156" t="inlineStr"/>
      <c r="H200" s="157">
        <f>IF($B200="","",IF(ISNA(MATCH($B200,MASTER_JAM!$Q$5:$Q$28,0)),"?",IF(MATCH($B200,MASTER_JAM!$Q$5:$Q$28,0)&lt;=12,"DS","NS")))</f>
        <v/>
      </c>
      <c r="I200" s="157">
        <f>IFERROR(INDEX(MASTER_JAM!$B$5:$B$94,MATCH($C200,MASTER_JAM!$A$5:$A$94,0)),"")</f>
        <v/>
      </c>
      <c r="J200" s="157">
        <f>IFERROR(INDEX(MASTER_JAM!$E$5:$E$94,MATCH($D200,MASTER_JAM!$A$5:$A$94,0)),"")</f>
        <v/>
      </c>
      <c r="K200" s="158">
        <f>IFERROR(INDEX(MASTER_JAM!$J$5:$O$12,MATCH($E200,MASTER_JAM!$I$5:$I$12,0),MATCH($J200,MASTER_JAM!$J$4:$O$4,0))+0,0)</f>
        <v/>
      </c>
      <c r="L200" s="159">
        <f>N($F200)*$K200</f>
        <v/>
      </c>
      <c r="M200" s="157">
        <f>IF($E200="","",IF(OR($E200="Coal",$E200="Dirty Coal"),"MT","BCM"))</f>
        <v/>
      </c>
      <c r="N200" s="157">
        <f>IF($E200="","",IF(OR($E200="Coal",$E200="Dirty Coal"),"Coal","OB"))</f>
        <v/>
      </c>
      <c r="O200" s="157">
        <f>IF($F200="","",IF(COUNTIF(MASTER_JAM!$A$5:$A$94,$C200)=0,"Digger tidak dikenal",IF($J200="","Hauler tidak dikenal",IF($H200="?","Jam salah",IF($K200=0,"Faktor kosong",IF(SUMIFS(INPUT_DELAY!$E$5:$E$20000,INPUT_DELAY!$A$5:$A$20000,$A200,INPUT_DELAY!$B$5:$B$20000,$B200,INPUT_DELAY!$C$5:$C$20000,$C200)+SUMIFS(INPUT_DELAY!$E$5:$E$20000,INPUT_DELAY!$A$5:$A$20000,$A200,INPUT_DELAY!$B$5:$B$20000,$B200,INPUT_DELAY!$C$5:$C$20000,"SEMUA")&gt;=60,"Delay 60 mnt tapi ada ritase","OK"))))))</f>
        <v/>
      </c>
      <c r="P200" s="158">
        <f>IFERROR(INDEX(MASTER_JAM!$Z$5:$AC$10,MATCH($I200,MASTER_JAM!$Y$5:$Y$10,0),MATCH($J200,MASTER_JAM!$Z$4:$AC$4,0))+0,0)</f>
        <v/>
      </c>
      <c r="Q200" s="158">
        <f>IF($P200=0,0,$P200+IFERROR(INDEX(MASTER_JAM!$H$5:$H$94,MATCH($C200,MASTER_JAM!$A$5:$A$94,0))+0,MASTER_JAM!$AC$15)/1000*(60/MASTER_JAM!$AC$12+60/MASTER_JAM!$AC$13)+MASTER_JAM!$AC$14)</f>
        <v/>
      </c>
      <c r="R200" s="158">
        <f>IF(N($F200)=0,0,$F200/SUMIFS(INPUT_RITASE!$F$5:$F$20000,INPUT_RITASE!$A$5:$A$20000,$A200,INPUT_RITASE!$B$5:$B$20000,$B200,INPUT_RITASE!$C$5:$C$20000,$C200,INPUT_RITASE!$D$5:$D$20000,$D200))</f>
        <v/>
      </c>
      <c r="S200" s="158">
        <f>IF($Q200=0,0,$R200*$P200/$Q200)</f>
        <v/>
      </c>
    </row>
    <row r="201">
      <c r="A201" s="155" t="n">
        <v>46104</v>
      </c>
      <c r="B201" s="156" t="inlineStr">
        <is>
          <t>10-11</t>
        </is>
      </c>
      <c r="C201" s="156" t="inlineStr">
        <is>
          <t>EX-755</t>
        </is>
      </c>
      <c r="D201" s="156" t="inlineStr">
        <is>
          <t>DT-504</t>
        </is>
      </c>
      <c r="E201" s="156" t="inlineStr">
        <is>
          <t>OB</t>
        </is>
      </c>
      <c r="F201" s="156" t="n">
        <v>4</v>
      </c>
      <c r="G201" s="156" t="inlineStr"/>
      <c r="H201" s="157">
        <f>IF($B201="","",IF(ISNA(MATCH($B201,MASTER_JAM!$Q$5:$Q$28,0)),"?",IF(MATCH($B201,MASTER_JAM!$Q$5:$Q$28,0)&lt;=12,"DS","NS")))</f>
        <v/>
      </c>
      <c r="I201" s="157">
        <f>IFERROR(INDEX(MASTER_JAM!$B$5:$B$94,MATCH($C201,MASTER_JAM!$A$5:$A$94,0)),"")</f>
        <v/>
      </c>
      <c r="J201" s="157">
        <f>IFERROR(INDEX(MASTER_JAM!$E$5:$E$94,MATCH($D201,MASTER_JAM!$A$5:$A$94,0)),"")</f>
        <v/>
      </c>
      <c r="K201" s="158">
        <f>IFERROR(INDEX(MASTER_JAM!$J$5:$O$12,MATCH($E201,MASTER_JAM!$I$5:$I$12,0),MATCH($J201,MASTER_JAM!$J$4:$O$4,0))+0,0)</f>
        <v/>
      </c>
      <c r="L201" s="159">
        <f>N($F201)*$K201</f>
        <v/>
      </c>
      <c r="M201" s="157">
        <f>IF($E201="","",IF(OR($E201="Coal",$E201="Dirty Coal"),"MT","BCM"))</f>
        <v/>
      </c>
      <c r="N201" s="157">
        <f>IF($E201="","",IF(OR($E201="Coal",$E201="Dirty Coal"),"Coal","OB"))</f>
        <v/>
      </c>
      <c r="O201" s="157">
        <f>IF($F201="","",IF(COUNTIF(MASTER_JAM!$A$5:$A$94,$C201)=0,"Digger tidak dikenal",IF($J201="","Hauler tidak dikenal",IF($H201="?","Jam salah",IF($K201=0,"Faktor kosong",IF(SUMIFS(INPUT_DELAY!$E$5:$E$20000,INPUT_DELAY!$A$5:$A$20000,$A201,INPUT_DELAY!$B$5:$B$20000,$B201,INPUT_DELAY!$C$5:$C$20000,$C201)+SUMIFS(INPUT_DELAY!$E$5:$E$20000,INPUT_DELAY!$A$5:$A$20000,$A201,INPUT_DELAY!$B$5:$B$20000,$B201,INPUT_DELAY!$C$5:$C$20000,"SEMUA")&gt;=60,"Delay 60 mnt tapi ada ritase","OK"))))))</f>
        <v/>
      </c>
      <c r="P201" s="158">
        <f>IFERROR(INDEX(MASTER_JAM!$Z$5:$AC$10,MATCH($I201,MASTER_JAM!$Y$5:$Y$10,0),MATCH($J201,MASTER_JAM!$Z$4:$AC$4,0))+0,0)</f>
        <v/>
      </c>
      <c r="Q201" s="158">
        <f>IF($P201=0,0,$P201+IFERROR(INDEX(MASTER_JAM!$H$5:$H$94,MATCH($C201,MASTER_JAM!$A$5:$A$94,0))+0,MASTER_JAM!$AC$15)/1000*(60/MASTER_JAM!$AC$12+60/MASTER_JAM!$AC$13)+MASTER_JAM!$AC$14)</f>
        <v/>
      </c>
      <c r="R201" s="158">
        <f>IF(N($F201)=0,0,$F201/SUMIFS(INPUT_RITASE!$F$5:$F$20000,INPUT_RITASE!$A$5:$A$20000,$A201,INPUT_RITASE!$B$5:$B$20000,$B201,INPUT_RITASE!$C$5:$C$20000,$C201,INPUT_RITASE!$D$5:$D$20000,$D201))</f>
        <v/>
      </c>
      <c r="S201" s="158">
        <f>IF($Q201=0,0,$R201*$P201/$Q201)</f>
        <v/>
      </c>
    </row>
    <row r="202">
      <c r="A202" s="155" t="n">
        <v>46104</v>
      </c>
      <c r="B202" s="156" t="inlineStr">
        <is>
          <t>10-11</t>
        </is>
      </c>
      <c r="C202" s="156" t="inlineStr">
        <is>
          <t>EX-755</t>
        </is>
      </c>
      <c r="D202" s="156" t="inlineStr">
        <is>
          <t>DT-506</t>
        </is>
      </c>
      <c r="E202" s="156" t="inlineStr">
        <is>
          <t>OB</t>
        </is>
      </c>
      <c r="F202" s="156" t="n">
        <v>3</v>
      </c>
      <c r="G202" s="156" t="inlineStr"/>
      <c r="H202" s="157">
        <f>IF($B202="","",IF(ISNA(MATCH($B202,MASTER_JAM!$Q$5:$Q$28,0)),"?",IF(MATCH($B202,MASTER_JAM!$Q$5:$Q$28,0)&lt;=12,"DS","NS")))</f>
        <v/>
      </c>
      <c r="I202" s="157">
        <f>IFERROR(INDEX(MASTER_JAM!$B$5:$B$94,MATCH($C202,MASTER_JAM!$A$5:$A$94,0)),"")</f>
        <v/>
      </c>
      <c r="J202" s="157">
        <f>IFERROR(INDEX(MASTER_JAM!$E$5:$E$94,MATCH($D202,MASTER_JAM!$A$5:$A$94,0)),"")</f>
        <v/>
      </c>
      <c r="K202" s="158">
        <f>IFERROR(INDEX(MASTER_JAM!$J$5:$O$12,MATCH($E202,MASTER_JAM!$I$5:$I$12,0),MATCH($J202,MASTER_JAM!$J$4:$O$4,0))+0,0)</f>
        <v/>
      </c>
      <c r="L202" s="159">
        <f>N($F202)*$K202</f>
        <v/>
      </c>
      <c r="M202" s="157">
        <f>IF($E202="","",IF(OR($E202="Coal",$E202="Dirty Coal"),"MT","BCM"))</f>
        <v/>
      </c>
      <c r="N202" s="157">
        <f>IF($E202="","",IF(OR($E202="Coal",$E202="Dirty Coal"),"Coal","OB"))</f>
        <v/>
      </c>
      <c r="O202" s="157">
        <f>IF($F202="","",IF(COUNTIF(MASTER_JAM!$A$5:$A$94,$C202)=0,"Digger tidak dikenal",IF($J202="","Hauler tidak dikenal",IF($H202="?","Jam salah",IF($K202=0,"Faktor kosong",IF(SUMIFS(INPUT_DELAY!$E$5:$E$20000,INPUT_DELAY!$A$5:$A$20000,$A202,INPUT_DELAY!$B$5:$B$20000,$B202,INPUT_DELAY!$C$5:$C$20000,$C202)+SUMIFS(INPUT_DELAY!$E$5:$E$20000,INPUT_DELAY!$A$5:$A$20000,$A202,INPUT_DELAY!$B$5:$B$20000,$B202,INPUT_DELAY!$C$5:$C$20000,"SEMUA")&gt;=60,"Delay 60 mnt tapi ada ritase","OK"))))))</f>
        <v/>
      </c>
      <c r="P202" s="158">
        <f>IFERROR(INDEX(MASTER_JAM!$Z$5:$AC$10,MATCH($I202,MASTER_JAM!$Y$5:$Y$10,0),MATCH($J202,MASTER_JAM!$Z$4:$AC$4,0))+0,0)</f>
        <v/>
      </c>
      <c r="Q202" s="158">
        <f>IF($P202=0,0,$P202+IFERROR(INDEX(MASTER_JAM!$H$5:$H$94,MATCH($C202,MASTER_JAM!$A$5:$A$94,0))+0,MASTER_JAM!$AC$15)/1000*(60/MASTER_JAM!$AC$12+60/MASTER_JAM!$AC$13)+MASTER_JAM!$AC$14)</f>
        <v/>
      </c>
      <c r="R202" s="158">
        <f>IF(N($F202)=0,0,$F202/SUMIFS(INPUT_RITASE!$F$5:$F$20000,INPUT_RITASE!$A$5:$A$20000,$A202,INPUT_RITASE!$B$5:$B$20000,$B202,INPUT_RITASE!$C$5:$C$20000,$C202,INPUT_RITASE!$D$5:$D$20000,$D202))</f>
        <v/>
      </c>
      <c r="S202" s="158">
        <f>IF($Q202=0,0,$R202*$P202/$Q202)</f>
        <v/>
      </c>
    </row>
    <row r="203">
      <c r="A203" s="155" t="n">
        <v>46104</v>
      </c>
      <c r="B203" s="156" t="inlineStr">
        <is>
          <t>10-11</t>
        </is>
      </c>
      <c r="C203" s="156" t="inlineStr">
        <is>
          <t>EX-755</t>
        </is>
      </c>
      <c r="D203" s="156" t="inlineStr">
        <is>
          <t>DT-515</t>
        </is>
      </c>
      <c r="E203" s="156" t="inlineStr">
        <is>
          <t>OB</t>
        </is>
      </c>
      <c r="F203" s="156" t="n">
        <v>3</v>
      </c>
      <c r="G203" s="156" t="inlineStr"/>
      <c r="H203" s="157">
        <f>IF($B203="","",IF(ISNA(MATCH($B203,MASTER_JAM!$Q$5:$Q$28,0)),"?",IF(MATCH($B203,MASTER_JAM!$Q$5:$Q$28,0)&lt;=12,"DS","NS")))</f>
        <v/>
      </c>
      <c r="I203" s="157">
        <f>IFERROR(INDEX(MASTER_JAM!$B$5:$B$94,MATCH($C203,MASTER_JAM!$A$5:$A$94,0)),"")</f>
        <v/>
      </c>
      <c r="J203" s="157">
        <f>IFERROR(INDEX(MASTER_JAM!$E$5:$E$94,MATCH($D203,MASTER_JAM!$A$5:$A$94,0)),"")</f>
        <v/>
      </c>
      <c r="K203" s="158">
        <f>IFERROR(INDEX(MASTER_JAM!$J$5:$O$12,MATCH($E203,MASTER_JAM!$I$5:$I$12,0),MATCH($J203,MASTER_JAM!$J$4:$O$4,0))+0,0)</f>
        <v/>
      </c>
      <c r="L203" s="159">
        <f>N($F203)*$K203</f>
        <v/>
      </c>
      <c r="M203" s="157">
        <f>IF($E203="","",IF(OR($E203="Coal",$E203="Dirty Coal"),"MT","BCM"))</f>
        <v/>
      </c>
      <c r="N203" s="157">
        <f>IF($E203="","",IF(OR($E203="Coal",$E203="Dirty Coal"),"Coal","OB"))</f>
        <v/>
      </c>
      <c r="O203" s="157">
        <f>IF($F203="","",IF(COUNTIF(MASTER_JAM!$A$5:$A$94,$C203)=0,"Digger tidak dikenal",IF($J203="","Hauler tidak dikenal",IF($H203="?","Jam salah",IF($K203=0,"Faktor kosong",IF(SUMIFS(INPUT_DELAY!$E$5:$E$20000,INPUT_DELAY!$A$5:$A$20000,$A203,INPUT_DELAY!$B$5:$B$20000,$B203,INPUT_DELAY!$C$5:$C$20000,$C203)+SUMIFS(INPUT_DELAY!$E$5:$E$20000,INPUT_DELAY!$A$5:$A$20000,$A203,INPUT_DELAY!$B$5:$B$20000,$B203,INPUT_DELAY!$C$5:$C$20000,"SEMUA")&gt;=60,"Delay 60 mnt tapi ada ritase","OK"))))))</f>
        <v/>
      </c>
      <c r="P203" s="158">
        <f>IFERROR(INDEX(MASTER_JAM!$Z$5:$AC$10,MATCH($I203,MASTER_JAM!$Y$5:$Y$10,0),MATCH($J203,MASTER_JAM!$Z$4:$AC$4,0))+0,0)</f>
        <v/>
      </c>
      <c r="Q203" s="158">
        <f>IF($P203=0,0,$P203+IFERROR(INDEX(MASTER_JAM!$H$5:$H$94,MATCH($C203,MASTER_JAM!$A$5:$A$94,0))+0,MASTER_JAM!$AC$15)/1000*(60/MASTER_JAM!$AC$12+60/MASTER_JAM!$AC$13)+MASTER_JAM!$AC$14)</f>
        <v/>
      </c>
      <c r="R203" s="158">
        <f>IF(N($F203)=0,0,$F203/SUMIFS(INPUT_RITASE!$F$5:$F$20000,INPUT_RITASE!$A$5:$A$20000,$A203,INPUT_RITASE!$B$5:$B$20000,$B203,INPUT_RITASE!$C$5:$C$20000,$C203,INPUT_RITASE!$D$5:$D$20000,$D203))</f>
        <v/>
      </c>
      <c r="S203" s="158">
        <f>IF($Q203=0,0,$R203*$P203/$Q203)</f>
        <v/>
      </c>
    </row>
    <row r="204">
      <c r="A204" s="155" t="n">
        <v>46104</v>
      </c>
      <c r="B204" s="156" t="inlineStr">
        <is>
          <t>10-11</t>
        </is>
      </c>
      <c r="C204" s="156" t="inlineStr">
        <is>
          <t>EX-755</t>
        </is>
      </c>
      <c r="D204" s="156" t="inlineStr">
        <is>
          <t>DT-503</t>
        </is>
      </c>
      <c r="E204" s="156" t="inlineStr">
        <is>
          <t>OB</t>
        </is>
      </c>
      <c r="F204" s="156" t="n">
        <v>3</v>
      </c>
      <c r="G204" s="156" t="inlineStr"/>
      <c r="H204" s="157">
        <f>IF($B204="","",IF(ISNA(MATCH($B204,MASTER_JAM!$Q$5:$Q$28,0)),"?",IF(MATCH($B204,MASTER_JAM!$Q$5:$Q$28,0)&lt;=12,"DS","NS")))</f>
        <v/>
      </c>
      <c r="I204" s="157">
        <f>IFERROR(INDEX(MASTER_JAM!$B$5:$B$94,MATCH($C204,MASTER_JAM!$A$5:$A$94,0)),"")</f>
        <v/>
      </c>
      <c r="J204" s="157">
        <f>IFERROR(INDEX(MASTER_JAM!$E$5:$E$94,MATCH($D204,MASTER_JAM!$A$5:$A$94,0)),"")</f>
        <v/>
      </c>
      <c r="K204" s="158">
        <f>IFERROR(INDEX(MASTER_JAM!$J$5:$O$12,MATCH($E204,MASTER_JAM!$I$5:$I$12,0),MATCH($J204,MASTER_JAM!$J$4:$O$4,0))+0,0)</f>
        <v/>
      </c>
      <c r="L204" s="159">
        <f>N($F204)*$K204</f>
        <v/>
      </c>
      <c r="M204" s="157">
        <f>IF($E204="","",IF(OR($E204="Coal",$E204="Dirty Coal"),"MT","BCM"))</f>
        <v/>
      </c>
      <c r="N204" s="157">
        <f>IF($E204="","",IF(OR($E204="Coal",$E204="Dirty Coal"),"Coal","OB"))</f>
        <v/>
      </c>
      <c r="O204" s="157">
        <f>IF($F204="","",IF(COUNTIF(MASTER_JAM!$A$5:$A$94,$C204)=0,"Digger tidak dikenal",IF($J204="","Hauler tidak dikenal",IF($H204="?","Jam salah",IF($K204=0,"Faktor kosong",IF(SUMIFS(INPUT_DELAY!$E$5:$E$20000,INPUT_DELAY!$A$5:$A$20000,$A204,INPUT_DELAY!$B$5:$B$20000,$B204,INPUT_DELAY!$C$5:$C$20000,$C204)+SUMIFS(INPUT_DELAY!$E$5:$E$20000,INPUT_DELAY!$A$5:$A$20000,$A204,INPUT_DELAY!$B$5:$B$20000,$B204,INPUT_DELAY!$C$5:$C$20000,"SEMUA")&gt;=60,"Delay 60 mnt tapi ada ritase","OK"))))))</f>
        <v/>
      </c>
      <c r="P204" s="158">
        <f>IFERROR(INDEX(MASTER_JAM!$Z$5:$AC$10,MATCH($I204,MASTER_JAM!$Y$5:$Y$10,0),MATCH($J204,MASTER_JAM!$Z$4:$AC$4,0))+0,0)</f>
        <v/>
      </c>
      <c r="Q204" s="158">
        <f>IF($P204=0,0,$P204+IFERROR(INDEX(MASTER_JAM!$H$5:$H$94,MATCH($C204,MASTER_JAM!$A$5:$A$94,0))+0,MASTER_JAM!$AC$15)/1000*(60/MASTER_JAM!$AC$12+60/MASTER_JAM!$AC$13)+MASTER_JAM!$AC$14)</f>
        <v/>
      </c>
      <c r="R204" s="158">
        <f>IF(N($F204)=0,0,$F204/SUMIFS(INPUT_RITASE!$F$5:$F$20000,INPUT_RITASE!$A$5:$A$20000,$A204,INPUT_RITASE!$B$5:$B$20000,$B204,INPUT_RITASE!$C$5:$C$20000,$C204,INPUT_RITASE!$D$5:$D$20000,$D204))</f>
        <v/>
      </c>
      <c r="S204" s="158">
        <f>IF($Q204=0,0,$R204*$P204/$Q204)</f>
        <v/>
      </c>
    </row>
    <row r="205">
      <c r="A205" s="155" t="n">
        <v>46104</v>
      </c>
      <c r="B205" s="156" t="inlineStr">
        <is>
          <t>10-11</t>
        </is>
      </c>
      <c r="C205" s="156" t="inlineStr">
        <is>
          <t>EX-755</t>
        </is>
      </c>
      <c r="D205" s="156" t="inlineStr">
        <is>
          <t>DT-805</t>
        </is>
      </c>
      <c r="E205" s="156" t="inlineStr">
        <is>
          <t>OB</t>
        </is>
      </c>
      <c r="F205" s="156" t="n">
        <v>2</v>
      </c>
      <c r="G205" s="156" t="inlineStr"/>
      <c r="H205" s="157">
        <f>IF($B205="","",IF(ISNA(MATCH($B205,MASTER_JAM!$Q$5:$Q$28,0)),"?",IF(MATCH($B205,MASTER_JAM!$Q$5:$Q$28,0)&lt;=12,"DS","NS")))</f>
        <v/>
      </c>
      <c r="I205" s="157">
        <f>IFERROR(INDEX(MASTER_JAM!$B$5:$B$94,MATCH($C205,MASTER_JAM!$A$5:$A$94,0)),"")</f>
        <v/>
      </c>
      <c r="J205" s="157">
        <f>IFERROR(INDEX(MASTER_JAM!$E$5:$E$94,MATCH($D205,MASTER_JAM!$A$5:$A$94,0)),"")</f>
        <v/>
      </c>
      <c r="K205" s="158">
        <f>IFERROR(INDEX(MASTER_JAM!$J$5:$O$12,MATCH($E205,MASTER_JAM!$I$5:$I$12,0),MATCH($J205,MASTER_JAM!$J$4:$O$4,0))+0,0)</f>
        <v/>
      </c>
      <c r="L205" s="159">
        <f>N($F205)*$K205</f>
        <v/>
      </c>
      <c r="M205" s="157">
        <f>IF($E205="","",IF(OR($E205="Coal",$E205="Dirty Coal"),"MT","BCM"))</f>
        <v/>
      </c>
      <c r="N205" s="157">
        <f>IF($E205="","",IF(OR($E205="Coal",$E205="Dirty Coal"),"Coal","OB"))</f>
        <v/>
      </c>
      <c r="O205" s="157">
        <f>IF($F205="","",IF(COUNTIF(MASTER_JAM!$A$5:$A$94,$C205)=0,"Digger tidak dikenal",IF($J205="","Hauler tidak dikenal",IF($H205="?","Jam salah",IF($K205=0,"Faktor kosong",IF(SUMIFS(INPUT_DELAY!$E$5:$E$20000,INPUT_DELAY!$A$5:$A$20000,$A205,INPUT_DELAY!$B$5:$B$20000,$B205,INPUT_DELAY!$C$5:$C$20000,$C205)+SUMIFS(INPUT_DELAY!$E$5:$E$20000,INPUT_DELAY!$A$5:$A$20000,$A205,INPUT_DELAY!$B$5:$B$20000,$B205,INPUT_DELAY!$C$5:$C$20000,"SEMUA")&gt;=60,"Delay 60 mnt tapi ada ritase","OK"))))))</f>
        <v/>
      </c>
      <c r="P205" s="158">
        <f>IFERROR(INDEX(MASTER_JAM!$Z$5:$AC$10,MATCH($I205,MASTER_JAM!$Y$5:$Y$10,0),MATCH($J205,MASTER_JAM!$Z$4:$AC$4,0))+0,0)</f>
        <v/>
      </c>
      <c r="Q205" s="158">
        <f>IF($P205=0,0,$P205+IFERROR(INDEX(MASTER_JAM!$H$5:$H$94,MATCH($C205,MASTER_JAM!$A$5:$A$94,0))+0,MASTER_JAM!$AC$15)/1000*(60/MASTER_JAM!$AC$12+60/MASTER_JAM!$AC$13)+MASTER_JAM!$AC$14)</f>
        <v/>
      </c>
      <c r="R205" s="158">
        <f>IF(N($F205)=0,0,$F205/SUMIFS(INPUT_RITASE!$F$5:$F$20000,INPUT_RITASE!$A$5:$A$20000,$A205,INPUT_RITASE!$B$5:$B$20000,$B205,INPUT_RITASE!$C$5:$C$20000,$C205,INPUT_RITASE!$D$5:$D$20000,$D205))</f>
        <v/>
      </c>
      <c r="S205" s="158">
        <f>IF($Q205=0,0,$R205*$P205/$Q205)</f>
        <v/>
      </c>
    </row>
    <row r="206">
      <c r="A206" s="155" t="n">
        <v>46104</v>
      </c>
      <c r="B206" s="156" t="inlineStr">
        <is>
          <t>11-12</t>
        </is>
      </c>
      <c r="C206" s="156" t="inlineStr">
        <is>
          <t>EX-755</t>
        </is>
      </c>
      <c r="D206" s="156" t="inlineStr">
        <is>
          <t>DT-516</t>
        </is>
      </c>
      <c r="E206" s="156" t="inlineStr">
        <is>
          <t>OB</t>
        </is>
      </c>
      <c r="F206" s="156" t="n">
        <v>4</v>
      </c>
      <c r="G206" s="156" t="inlineStr"/>
      <c r="H206" s="157">
        <f>IF($B206="","",IF(ISNA(MATCH($B206,MASTER_JAM!$Q$5:$Q$28,0)),"?",IF(MATCH($B206,MASTER_JAM!$Q$5:$Q$28,0)&lt;=12,"DS","NS")))</f>
        <v/>
      </c>
      <c r="I206" s="157">
        <f>IFERROR(INDEX(MASTER_JAM!$B$5:$B$94,MATCH($C206,MASTER_JAM!$A$5:$A$94,0)),"")</f>
        <v/>
      </c>
      <c r="J206" s="157">
        <f>IFERROR(INDEX(MASTER_JAM!$E$5:$E$94,MATCH($D206,MASTER_JAM!$A$5:$A$94,0)),"")</f>
        <v/>
      </c>
      <c r="K206" s="158">
        <f>IFERROR(INDEX(MASTER_JAM!$J$5:$O$12,MATCH($E206,MASTER_JAM!$I$5:$I$12,0),MATCH($J206,MASTER_JAM!$J$4:$O$4,0))+0,0)</f>
        <v/>
      </c>
      <c r="L206" s="159">
        <f>N($F206)*$K206</f>
        <v/>
      </c>
      <c r="M206" s="157">
        <f>IF($E206="","",IF(OR($E206="Coal",$E206="Dirty Coal"),"MT","BCM"))</f>
        <v/>
      </c>
      <c r="N206" s="157">
        <f>IF($E206="","",IF(OR($E206="Coal",$E206="Dirty Coal"),"Coal","OB"))</f>
        <v/>
      </c>
      <c r="O206" s="157">
        <f>IF($F206="","",IF(COUNTIF(MASTER_JAM!$A$5:$A$94,$C206)=0,"Digger tidak dikenal",IF($J206="","Hauler tidak dikenal",IF($H206="?","Jam salah",IF($K206=0,"Faktor kosong",IF(SUMIFS(INPUT_DELAY!$E$5:$E$20000,INPUT_DELAY!$A$5:$A$20000,$A206,INPUT_DELAY!$B$5:$B$20000,$B206,INPUT_DELAY!$C$5:$C$20000,$C206)+SUMIFS(INPUT_DELAY!$E$5:$E$20000,INPUT_DELAY!$A$5:$A$20000,$A206,INPUT_DELAY!$B$5:$B$20000,$B206,INPUT_DELAY!$C$5:$C$20000,"SEMUA")&gt;=60,"Delay 60 mnt tapi ada ritase","OK"))))))</f>
        <v/>
      </c>
      <c r="P206" s="158">
        <f>IFERROR(INDEX(MASTER_JAM!$Z$5:$AC$10,MATCH($I206,MASTER_JAM!$Y$5:$Y$10,0),MATCH($J206,MASTER_JAM!$Z$4:$AC$4,0))+0,0)</f>
        <v/>
      </c>
      <c r="Q206" s="158">
        <f>IF($P206=0,0,$P206+IFERROR(INDEX(MASTER_JAM!$H$5:$H$94,MATCH($C206,MASTER_JAM!$A$5:$A$94,0))+0,MASTER_JAM!$AC$15)/1000*(60/MASTER_JAM!$AC$12+60/MASTER_JAM!$AC$13)+MASTER_JAM!$AC$14)</f>
        <v/>
      </c>
      <c r="R206" s="158">
        <f>IF(N($F206)=0,0,$F206/SUMIFS(INPUT_RITASE!$F$5:$F$20000,INPUT_RITASE!$A$5:$A$20000,$A206,INPUT_RITASE!$B$5:$B$20000,$B206,INPUT_RITASE!$C$5:$C$20000,$C206,INPUT_RITASE!$D$5:$D$20000,$D206))</f>
        <v/>
      </c>
      <c r="S206" s="158">
        <f>IF($Q206=0,0,$R206*$P206/$Q206)</f>
        <v/>
      </c>
    </row>
    <row r="207">
      <c r="A207" s="155" t="n">
        <v>46104</v>
      </c>
      <c r="B207" s="156" t="inlineStr">
        <is>
          <t>11-12</t>
        </is>
      </c>
      <c r="C207" s="156" t="inlineStr">
        <is>
          <t>EX-755</t>
        </is>
      </c>
      <c r="D207" s="156" t="inlineStr">
        <is>
          <t>DT-506</t>
        </is>
      </c>
      <c r="E207" s="156" t="inlineStr">
        <is>
          <t>OB</t>
        </is>
      </c>
      <c r="F207" s="156" t="n">
        <v>4</v>
      </c>
      <c r="G207" s="156" t="inlineStr"/>
      <c r="H207" s="157">
        <f>IF($B207="","",IF(ISNA(MATCH($B207,MASTER_JAM!$Q$5:$Q$28,0)),"?",IF(MATCH($B207,MASTER_JAM!$Q$5:$Q$28,0)&lt;=12,"DS","NS")))</f>
        <v/>
      </c>
      <c r="I207" s="157">
        <f>IFERROR(INDEX(MASTER_JAM!$B$5:$B$94,MATCH($C207,MASTER_JAM!$A$5:$A$94,0)),"")</f>
        <v/>
      </c>
      <c r="J207" s="157">
        <f>IFERROR(INDEX(MASTER_JAM!$E$5:$E$94,MATCH($D207,MASTER_JAM!$A$5:$A$94,0)),"")</f>
        <v/>
      </c>
      <c r="K207" s="158">
        <f>IFERROR(INDEX(MASTER_JAM!$J$5:$O$12,MATCH($E207,MASTER_JAM!$I$5:$I$12,0),MATCH($J207,MASTER_JAM!$J$4:$O$4,0))+0,0)</f>
        <v/>
      </c>
      <c r="L207" s="159">
        <f>N($F207)*$K207</f>
        <v/>
      </c>
      <c r="M207" s="157">
        <f>IF($E207="","",IF(OR($E207="Coal",$E207="Dirty Coal"),"MT","BCM"))</f>
        <v/>
      </c>
      <c r="N207" s="157">
        <f>IF($E207="","",IF(OR($E207="Coal",$E207="Dirty Coal"),"Coal","OB"))</f>
        <v/>
      </c>
      <c r="O207" s="157">
        <f>IF($F207="","",IF(COUNTIF(MASTER_JAM!$A$5:$A$94,$C207)=0,"Digger tidak dikenal",IF($J207="","Hauler tidak dikenal",IF($H207="?","Jam salah",IF($K207=0,"Faktor kosong",IF(SUMIFS(INPUT_DELAY!$E$5:$E$20000,INPUT_DELAY!$A$5:$A$20000,$A207,INPUT_DELAY!$B$5:$B$20000,$B207,INPUT_DELAY!$C$5:$C$20000,$C207)+SUMIFS(INPUT_DELAY!$E$5:$E$20000,INPUT_DELAY!$A$5:$A$20000,$A207,INPUT_DELAY!$B$5:$B$20000,$B207,INPUT_DELAY!$C$5:$C$20000,"SEMUA")&gt;=60,"Delay 60 mnt tapi ada ritase","OK"))))))</f>
        <v/>
      </c>
      <c r="P207" s="158">
        <f>IFERROR(INDEX(MASTER_JAM!$Z$5:$AC$10,MATCH($I207,MASTER_JAM!$Y$5:$Y$10,0),MATCH($J207,MASTER_JAM!$Z$4:$AC$4,0))+0,0)</f>
        <v/>
      </c>
      <c r="Q207" s="158">
        <f>IF($P207=0,0,$P207+IFERROR(INDEX(MASTER_JAM!$H$5:$H$94,MATCH($C207,MASTER_JAM!$A$5:$A$94,0))+0,MASTER_JAM!$AC$15)/1000*(60/MASTER_JAM!$AC$12+60/MASTER_JAM!$AC$13)+MASTER_JAM!$AC$14)</f>
        <v/>
      </c>
      <c r="R207" s="158">
        <f>IF(N($F207)=0,0,$F207/SUMIFS(INPUT_RITASE!$F$5:$F$20000,INPUT_RITASE!$A$5:$A$20000,$A207,INPUT_RITASE!$B$5:$B$20000,$B207,INPUT_RITASE!$C$5:$C$20000,$C207,INPUT_RITASE!$D$5:$D$20000,$D207))</f>
        <v/>
      </c>
      <c r="S207" s="158">
        <f>IF($Q207=0,0,$R207*$P207/$Q207)</f>
        <v/>
      </c>
    </row>
    <row r="208">
      <c r="A208" s="155" t="n">
        <v>46104</v>
      </c>
      <c r="B208" s="156" t="inlineStr">
        <is>
          <t>11-12</t>
        </is>
      </c>
      <c r="C208" s="156" t="inlineStr">
        <is>
          <t>EX-755</t>
        </is>
      </c>
      <c r="D208" s="156" t="inlineStr">
        <is>
          <t>DT-508</t>
        </is>
      </c>
      <c r="E208" s="156" t="inlineStr">
        <is>
          <t>OB</t>
        </is>
      </c>
      <c r="F208" s="156" t="n">
        <v>4</v>
      </c>
      <c r="G208" s="156" t="inlineStr"/>
      <c r="H208" s="157">
        <f>IF($B208="","",IF(ISNA(MATCH($B208,MASTER_JAM!$Q$5:$Q$28,0)),"?",IF(MATCH($B208,MASTER_JAM!$Q$5:$Q$28,0)&lt;=12,"DS","NS")))</f>
        <v/>
      </c>
      <c r="I208" s="157">
        <f>IFERROR(INDEX(MASTER_JAM!$B$5:$B$94,MATCH($C208,MASTER_JAM!$A$5:$A$94,0)),"")</f>
        <v/>
      </c>
      <c r="J208" s="157">
        <f>IFERROR(INDEX(MASTER_JAM!$E$5:$E$94,MATCH($D208,MASTER_JAM!$A$5:$A$94,0)),"")</f>
        <v/>
      </c>
      <c r="K208" s="158">
        <f>IFERROR(INDEX(MASTER_JAM!$J$5:$O$12,MATCH($E208,MASTER_JAM!$I$5:$I$12,0),MATCH($J208,MASTER_JAM!$J$4:$O$4,0))+0,0)</f>
        <v/>
      </c>
      <c r="L208" s="159">
        <f>N($F208)*$K208</f>
        <v/>
      </c>
      <c r="M208" s="157">
        <f>IF($E208="","",IF(OR($E208="Coal",$E208="Dirty Coal"),"MT","BCM"))</f>
        <v/>
      </c>
      <c r="N208" s="157">
        <f>IF($E208="","",IF(OR($E208="Coal",$E208="Dirty Coal"),"Coal","OB"))</f>
        <v/>
      </c>
      <c r="O208" s="157">
        <f>IF($F208="","",IF(COUNTIF(MASTER_JAM!$A$5:$A$94,$C208)=0,"Digger tidak dikenal",IF($J208="","Hauler tidak dikenal",IF($H208="?","Jam salah",IF($K208=0,"Faktor kosong",IF(SUMIFS(INPUT_DELAY!$E$5:$E$20000,INPUT_DELAY!$A$5:$A$20000,$A208,INPUT_DELAY!$B$5:$B$20000,$B208,INPUT_DELAY!$C$5:$C$20000,$C208)+SUMIFS(INPUT_DELAY!$E$5:$E$20000,INPUT_DELAY!$A$5:$A$20000,$A208,INPUT_DELAY!$B$5:$B$20000,$B208,INPUT_DELAY!$C$5:$C$20000,"SEMUA")&gt;=60,"Delay 60 mnt tapi ada ritase","OK"))))))</f>
        <v/>
      </c>
      <c r="P208" s="158">
        <f>IFERROR(INDEX(MASTER_JAM!$Z$5:$AC$10,MATCH($I208,MASTER_JAM!$Y$5:$Y$10,0),MATCH($J208,MASTER_JAM!$Z$4:$AC$4,0))+0,0)</f>
        <v/>
      </c>
      <c r="Q208" s="158">
        <f>IF($P208=0,0,$P208+IFERROR(INDEX(MASTER_JAM!$H$5:$H$94,MATCH($C208,MASTER_JAM!$A$5:$A$94,0))+0,MASTER_JAM!$AC$15)/1000*(60/MASTER_JAM!$AC$12+60/MASTER_JAM!$AC$13)+MASTER_JAM!$AC$14)</f>
        <v/>
      </c>
      <c r="R208" s="158">
        <f>IF(N($F208)=0,0,$F208/SUMIFS(INPUT_RITASE!$F$5:$F$20000,INPUT_RITASE!$A$5:$A$20000,$A208,INPUT_RITASE!$B$5:$B$20000,$B208,INPUT_RITASE!$C$5:$C$20000,$C208,INPUT_RITASE!$D$5:$D$20000,$D208))</f>
        <v/>
      </c>
      <c r="S208" s="158">
        <f>IF($Q208=0,0,$R208*$P208/$Q208)</f>
        <v/>
      </c>
    </row>
    <row r="209">
      <c r="A209" s="155" t="n">
        <v>46104</v>
      </c>
      <c r="B209" s="156" t="inlineStr">
        <is>
          <t>11-12</t>
        </is>
      </c>
      <c r="C209" s="156" t="inlineStr">
        <is>
          <t>EX-755</t>
        </is>
      </c>
      <c r="D209" s="156" t="inlineStr">
        <is>
          <t>DT-807</t>
        </is>
      </c>
      <c r="E209" s="156" t="inlineStr">
        <is>
          <t>OB</t>
        </is>
      </c>
      <c r="F209" s="156" t="n">
        <v>4</v>
      </c>
      <c r="G209" s="156" t="inlineStr"/>
      <c r="H209" s="157">
        <f>IF($B209="","",IF(ISNA(MATCH($B209,MASTER_JAM!$Q$5:$Q$28,0)),"?",IF(MATCH($B209,MASTER_JAM!$Q$5:$Q$28,0)&lt;=12,"DS","NS")))</f>
        <v/>
      </c>
      <c r="I209" s="157">
        <f>IFERROR(INDEX(MASTER_JAM!$B$5:$B$94,MATCH($C209,MASTER_JAM!$A$5:$A$94,0)),"")</f>
        <v/>
      </c>
      <c r="J209" s="157">
        <f>IFERROR(INDEX(MASTER_JAM!$E$5:$E$94,MATCH($D209,MASTER_JAM!$A$5:$A$94,0)),"")</f>
        <v/>
      </c>
      <c r="K209" s="158">
        <f>IFERROR(INDEX(MASTER_JAM!$J$5:$O$12,MATCH($E209,MASTER_JAM!$I$5:$I$12,0),MATCH($J209,MASTER_JAM!$J$4:$O$4,0))+0,0)</f>
        <v/>
      </c>
      <c r="L209" s="159">
        <f>N($F209)*$K209</f>
        <v/>
      </c>
      <c r="M209" s="157">
        <f>IF($E209="","",IF(OR($E209="Coal",$E209="Dirty Coal"),"MT","BCM"))</f>
        <v/>
      </c>
      <c r="N209" s="157">
        <f>IF($E209="","",IF(OR($E209="Coal",$E209="Dirty Coal"),"Coal","OB"))</f>
        <v/>
      </c>
      <c r="O209" s="157">
        <f>IF($F209="","",IF(COUNTIF(MASTER_JAM!$A$5:$A$94,$C209)=0,"Digger tidak dikenal",IF($J209="","Hauler tidak dikenal",IF($H209="?","Jam salah",IF($K209=0,"Faktor kosong",IF(SUMIFS(INPUT_DELAY!$E$5:$E$20000,INPUT_DELAY!$A$5:$A$20000,$A209,INPUT_DELAY!$B$5:$B$20000,$B209,INPUT_DELAY!$C$5:$C$20000,$C209)+SUMIFS(INPUT_DELAY!$E$5:$E$20000,INPUT_DELAY!$A$5:$A$20000,$A209,INPUT_DELAY!$B$5:$B$20000,$B209,INPUT_DELAY!$C$5:$C$20000,"SEMUA")&gt;=60,"Delay 60 mnt tapi ada ritase","OK"))))))</f>
        <v/>
      </c>
      <c r="P209" s="158">
        <f>IFERROR(INDEX(MASTER_JAM!$Z$5:$AC$10,MATCH($I209,MASTER_JAM!$Y$5:$Y$10,0),MATCH($J209,MASTER_JAM!$Z$4:$AC$4,0))+0,0)</f>
        <v/>
      </c>
      <c r="Q209" s="158">
        <f>IF($P209=0,0,$P209+IFERROR(INDEX(MASTER_JAM!$H$5:$H$94,MATCH($C209,MASTER_JAM!$A$5:$A$94,0))+0,MASTER_JAM!$AC$15)/1000*(60/MASTER_JAM!$AC$12+60/MASTER_JAM!$AC$13)+MASTER_JAM!$AC$14)</f>
        <v/>
      </c>
      <c r="R209" s="158">
        <f>IF(N($F209)=0,0,$F209/SUMIFS(INPUT_RITASE!$F$5:$F$20000,INPUT_RITASE!$A$5:$A$20000,$A209,INPUT_RITASE!$B$5:$B$20000,$B209,INPUT_RITASE!$C$5:$C$20000,$C209,INPUT_RITASE!$D$5:$D$20000,$D209))</f>
        <v/>
      </c>
      <c r="S209" s="158">
        <f>IF($Q209=0,0,$R209*$P209/$Q209)</f>
        <v/>
      </c>
    </row>
    <row r="210">
      <c r="A210" s="155" t="n">
        <v>46104</v>
      </c>
      <c r="B210" s="156" t="inlineStr">
        <is>
          <t>11-12</t>
        </is>
      </c>
      <c r="C210" s="156" t="inlineStr">
        <is>
          <t>EX-755</t>
        </is>
      </c>
      <c r="D210" s="156" t="inlineStr">
        <is>
          <t>DT-810</t>
        </is>
      </c>
      <c r="E210" s="156" t="inlineStr">
        <is>
          <t>OB</t>
        </is>
      </c>
      <c r="F210" s="156" t="n">
        <v>3</v>
      </c>
      <c r="G210" s="156" t="inlineStr"/>
      <c r="H210" s="157">
        <f>IF($B210="","",IF(ISNA(MATCH($B210,MASTER_JAM!$Q$5:$Q$28,0)),"?",IF(MATCH($B210,MASTER_JAM!$Q$5:$Q$28,0)&lt;=12,"DS","NS")))</f>
        <v/>
      </c>
      <c r="I210" s="157">
        <f>IFERROR(INDEX(MASTER_JAM!$B$5:$B$94,MATCH($C210,MASTER_JAM!$A$5:$A$94,0)),"")</f>
        <v/>
      </c>
      <c r="J210" s="157">
        <f>IFERROR(INDEX(MASTER_JAM!$E$5:$E$94,MATCH($D210,MASTER_JAM!$A$5:$A$94,0)),"")</f>
        <v/>
      </c>
      <c r="K210" s="158">
        <f>IFERROR(INDEX(MASTER_JAM!$J$5:$O$12,MATCH($E210,MASTER_JAM!$I$5:$I$12,0),MATCH($J210,MASTER_JAM!$J$4:$O$4,0))+0,0)</f>
        <v/>
      </c>
      <c r="L210" s="159">
        <f>N($F210)*$K210</f>
        <v/>
      </c>
      <c r="M210" s="157">
        <f>IF($E210="","",IF(OR($E210="Coal",$E210="Dirty Coal"),"MT","BCM"))</f>
        <v/>
      </c>
      <c r="N210" s="157">
        <f>IF($E210="","",IF(OR($E210="Coal",$E210="Dirty Coal"),"Coal","OB"))</f>
        <v/>
      </c>
      <c r="O210" s="157">
        <f>IF($F210="","",IF(COUNTIF(MASTER_JAM!$A$5:$A$94,$C210)=0,"Digger tidak dikenal",IF($J210="","Hauler tidak dikenal",IF($H210="?","Jam salah",IF($K210=0,"Faktor kosong",IF(SUMIFS(INPUT_DELAY!$E$5:$E$20000,INPUT_DELAY!$A$5:$A$20000,$A210,INPUT_DELAY!$B$5:$B$20000,$B210,INPUT_DELAY!$C$5:$C$20000,$C210)+SUMIFS(INPUT_DELAY!$E$5:$E$20000,INPUT_DELAY!$A$5:$A$20000,$A210,INPUT_DELAY!$B$5:$B$20000,$B210,INPUT_DELAY!$C$5:$C$20000,"SEMUA")&gt;=60,"Delay 60 mnt tapi ada ritase","OK"))))))</f>
        <v/>
      </c>
      <c r="P210" s="158">
        <f>IFERROR(INDEX(MASTER_JAM!$Z$5:$AC$10,MATCH($I210,MASTER_JAM!$Y$5:$Y$10,0),MATCH($J210,MASTER_JAM!$Z$4:$AC$4,0))+0,0)</f>
        <v/>
      </c>
      <c r="Q210" s="158">
        <f>IF($P210=0,0,$P210+IFERROR(INDEX(MASTER_JAM!$H$5:$H$94,MATCH($C210,MASTER_JAM!$A$5:$A$94,0))+0,MASTER_JAM!$AC$15)/1000*(60/MASTER_JAM!$AC$12+60/MASTER_JAM!$AC$13)+MASTER_JAM!$AC$14)</f>
        <v/>
      </c>
      <c r="R210" s="158">
        <f>IF(N($F210)=0,0,$F210/SUMIFS(INPUT_RITASE!$F$5:$F$20000,INPUT_RITASE!$A$5:$A$20000,$A210,INPUT_RITASE!$B$5:$B$20000,$B210,INPUT_RITASE!$C$5:$C$20000,$C210,INPUT_RITASE!$D$5:$D$20000,$D210))</f>
        <v/>
      </c>
      <c r="S210" s="158">
        <f>IF($Q210=0,0,$R210*$P210/$Q210)</f>
        <v/>
      </c>
    </row>
    <row r="211">
      <c r="A211" s="155" t="n">
        <v>46104</v>
      </c>
      <c r="B211" s="156" t="inlineStr">
        <is>
          <t>13-14</t>
        </is>
      </c>
      <c r="C211" s="156" t="inlineStr">
        <is>
          <t>EX-755</t>
        </is>
      </c>
      <c r="D211" s="156" t="inlineStr">
        <is>
          <t>DT-806</t>
        </is>
      </c>
      <c r="E211" s="156" t="inlineStr">
        <is>
          <t>OB</t>
        </is>
      </c>
      <c r="F211" s="156" t="n">
        <v>3</v>
      </c>
      <c r="G211" s="156" t="inlineStr"/>
      <c r="H211" s="157">
        <f>IF($B211="","",IF(ISNA(MATCH($B211,MASTER_JAM!$Q$5:$Q$28,0)),"?",IF(MATCH($B211,MASTER_JAM!$Q$5:$Q$28,0)&lt;=12,"DS","NS")))</f>
        <v/>
      </c>
      <c r="I211" s="157">
        <f>IFERROR(INDEX(MASTER_JAM!$B$5:$B$94,MATCH($C211,MASTER_JAM!$A$5:$A$94,0)),"")</f>
        <v/>
      </c>
      <c r="J211" s="157">
        <f>IFERROR(INDEX(MASTER_JAM!$E$5:$E$94,MATCH($D211,MASTER_JAM!$A$5:$A$94,0)),"")</f>
        <v/>
      </c>
      <c r="K211" s="158">
        <f>IFERROR(INDEX(MASTER_JAM!$J$5:$O$12,MATCH($E211,MASTER_JAM!$I$5:$I$12,0),MATCH($J211,MASTER_JAM!$J$4:$O$4,0))+0,0)</f>
        <v/>
      </c>
      <c r="L211" s="159">
        <f>N($F211)*$K211</f>
        <v/>
      </c>
      <c r="M211" s="157">
        <f>IF($E211="","",IF(OR($E211="Coal",$E211="Dirty Coal"),"MT","BCM"))</f>
        <v/>
      </c>
      <c r="N211" s="157">
        <f>IF($E211="","",IF(OR($E211="Coal",$E211="Dirty Coal"),"Coal","OB"))</f>
        <v/>
      </c>
      <c r="O211" s="157">
        <f>IF($F211="","",IF(COUNTIF(MASTER_JAM!$A$5:$A$94,$C211)=0,"Digger tidak dikenal",IF($J211="","Hauler tidak dikenal",IF($H211="?","Jam salah",IF($K211=0,"Faktor kosong",IF(SUMIFS(INPUT_DELAY!$E$5:$E$20000,INPUT_DELAY!$A$5:$A$20000,$A211,INPUT_DELAY!$B$5:$B$20000,$B211,INPUT_DELAY!$C$5:$C$20000,$C211)+SUMIFS(INPUT_DELAY!$E$5:$E$20000,INPUT_DELAY!$A$5:$A$20000,$A211,INPUT_DELAY!$B$5:$B$20000,$B211,INPUT_DELAY!$C$5:$C$20000,"SEMUA")&gt;=60,"Delay 60 mnt tapi ada ritase","OK"))))))</f>
        <v/>
      </c>
      <c r="P211" s="158">
        <f>IFERROR(INDEX(MASTER_JAM!$Z$5:$AC$10,MATCH($I211,MASTER_JAM!$Y$5:$Y$10,0),MATCH($J211,MASTER_JAM!$Z$4:$AC$4,0))+0,0)</f>
        <v/>
      </c>
      <c r="Q211" s="158">
        <f>IF($P211=0,0,$P211+IFERROR(INDEX(MASTER_JAM!$H$5:$H$94,MATCH($C211,MASTER_JAM!$A$5:$A$94,0))+0,MASTER_JAM!$AC$15)/1000*(60/MASTER_JAM!$AC$12+60/MASTER_JAM!$AC$13)+MASTER_JAM!$AC$14)</f>
        <v/>
      </c>
      <c r="R211" s="158">
        <f>IF(N($F211)=0,0,$F211/SUMIFS(INPUT_RITASE!$F$5:$F$20000,INPUT_RITASE!$A$5:$A$20000,$A211,INPUT_RITASE!$B$5:$B$20000,$B211,INPUT_RITASE!$C$5:$C$20000,$C211,INPUT_RITASE!$D$5:$D$20000,$D211))</f>
        <v/>
      </c>
      <c r="S211" s="158">
        <f>IF($Q211=0,0,$R211*$P211/$Q211)</f>
        <v/>
      </c>
    </row>
    <row r="212">
      <c r="A212" s="155" t="n">
        <v>46104</v>
      </c>
      <c r="B212" s="156" t="inlineStr">
        <is>
          <t>13-14</t>
        </is>
      </c>
      <c r="C212" s="156" t="inlineStr">
        <is>
          <t>EX-755</t>
        </is>
      </c>
      <c r="D212" s="156" t="inlineStr">
        <is>
          <t>DT-809</t>
        </is>
      </c>
      <c r="E212" s="156" t="inlineStr">
        <is>
          <t>OB</t>
        </is>
      </c>
      <c r="F212" s="156" t="n">
        <v>2</v>
      </c>
      <c r="G212" s="156" t="inlineStr"/>
      <c r="H212" s="157">
        <f>IF($B212="","",IF(ISNA(MATCH($B212,MASTER_JAM!$Q$5:$Q$28,0)),"?",IF(MATCH($B212,MASTER_JAM!$Q$5:$Q$28,0)&lt;=12,"DS","NS")))</f>
        <v/>
      </c>
      <c r="I212" s="157">
        <f>IFERROR(INDEX(MASTER_JAM!$B$5:$B$94,MATCH($C212,MASTER_JAM!$A$5:$A$94,0)),"")</f>
        <v/>
      </c>
      <c r="J212" s="157">
        <f>IFERROR(INDEX(MASTER_JAM!$E$5:$E$94,MATCH($D212,MASTER_JAM!$A$5:$A$94,0)),"")</f>
        <v/>
      </c>
      <c r="K212" s="158">
        <f>IFERROR(INDEX(MASTER_JAM!$J$5:$O$12,MATCH($E212,MASTER_JAM!$I$5:$I$12,0),MATCH($J212,MASTER_JAM!$J$4:$O$4,0))+0,0)</f>
        <v/>
      </c>
      <c r="L212" s="159">
        <f>N($F212)*$K212</f>
        <v/>
      </c>
      <c r="M212" s="157">
        <f>IF($E212="","",IF(OR($E212="Coal",$E212="Dirty Coal"),"MT","BCM"))</f>
        <v/>
      </c>
      <c r="N212" s="157">
        <f>IF($E212="","",IF(OR($E212="Coal",$E212="Dirty Coal"),"Coal","OB"))</f>
        <v/>
      </c>
      <c r="O212" s="157">
        <f>IF($F212="","",IF(COUNTIF(MASTER_JAM!$A$5:$A$94,$C212)=0,"Digger tidak dikenal",IF($J212="","Hauler tidak dikenal",IF($H212="?","Jam salah",IF($K212=0,"Faktor kosong",IF(SUMIFS(INPUT_DELAY!$E$5:$E$20000,INPUT_DELAY!$A$5:$A$20000,$A212,INPUT_DELAY!$B$5:$B$20000,$B212,INPUT_DELAY!$C$5:$C$20000,$C212)+SUMIFS(INPUT_DELAY!$E$5:$E$20000,INPUT_DELAY!$A$5:$A$20000,$A212,INPUT_DELAY!$B$5:$B$20000,$B212,INPUT_DELAY!$C$5:$C$20000,"SEMUA")&gt;=60,"Delay 60 mnt tapi ada ritase","OK"))))))</f>
        <v/>
      </c>
      <c r="P212" s="158">
        <f>IFERROR(INDEX(MASTER_JAM!$Z$5:$AC$10,MATCH($I212,MASTER_JAM!$Y$5:$Y$10,0),MATCH($J212,MASTER_JAM!$Z$4:$AC$4,0))+0,0)</f>
        <v/>
      </c>
      <c r="Q212" s="158">
        <f>IF($P212=0,0,$P212+IFERROR(INDEX(MASTER_JAM!$H$5:$H$94,MATCH($C212,MASTER_JAM!$A$5:$A$94,0))+0,MASTER_JAM!$AC$15)/1000*(60/MASTER_JAM!$AC$12+60/MASTER_JAM!$AC$13)+MASTER_JAM!$AC$14)</f>
        <v/>
      </c>
      <c r="R212" s="158">
        <f>IF(N($F212)=0,0,$F212/SUMIFS(INPUT_RITASE!$F$5:$F$20000,INPUT_RITASE!$A$5:$A$20000,$A212,INPUT_RITASE!$B$5:$B$20000,$B212,INPUT_RITASE!$C$5:$C$20000,$C212,INPUT_RITASE!$D$5:$D$20000,$D212))</f>
        <v/>
      </c>
      <c r="S212" s="158">
        <f>IF($Q212=0,0,$R212*$P212/$Q212)</f>
        <v/>
      </c>
    </row>
    <row r="213">
      <c r="A213" s="155" t="n">
        <v>46104</v>
      </c>
      <c r="B213" s="156" t="inlineStr">
        <is>
          <t>13-14</t>
        </is>
      </c>
      <c r="C213" s="156" t="inlineStr">
        <is>
          <t>EX-755</t>
        </is>
      </c>
      <c r="D213" s="156" t="inlineStr">
        <is>
          <t>DT-503</t>
        </is>
      </c>
      <c r="E213" s="156" t="inlineStr">
        <is>
          <t>OB</t>
        </is>
      </c>
      <c r="F213" s="156" t="n">
        <v>4</v>
      </c>
      <c r="G213" s="156" t="inlineStr"/>
      <c r="H213" s="157">
        <f>IF($B213="","",IF(ISNA(MATCH($B213,MASTER_JAM!$Q$5:$Q$28,0)),"?",IF(MATCH($B213,MASTER_JAM!$Q$5:$Q$28,0)&lt;=12,"DS","NS")))</f>
        <v/>
      </c>
      <c r="I213" s="157">
        <f>IFERROR(INDEX(MASTER_JAM!$B$5:$B$94,MATCH($C213,MASTER_JAM!$A$5:$A$94,0)),"")</f>
        <v/>
      </c>
      <c r="J213" s="157">
        <f>IFERROR(INDEX(MASTER_JAM!$E$5:$E$94,MATCH($D213,MASTER_JAM!$A$5:$A$94,0)),"")</f>
        <v/>
      </c>
      <c r="K213" s="158">
        <f>IFERROR(INDEX(MASTER_JAM!$J$5:$O$12,MATCH($E213,MASTER_JAM!$I$5:$I$12,0),MATCH($J213,MASTER_JAM!$J$4:$O$4,0))+0,0)</f>
        <v/>
      </c>
      <c r="L213" s="159">
        <f>N($F213)*$K213</f>
        <v/>
      </c>
      <c r="M213" s="157">
        <f>IF($E213="","",IF(OR($E213="Coal",$E213="Dirty Coal"),"MT","BCM"))</f>
        <v/>
      </c>
      <c r="N213" s="157">
        <f>IF($E213="","",IF(OR($E213="Coal",$E213="Dirty Coal"),"Coal","OB"))</f>
        <v/>
      </c>
      <c r="O213" s="157">
        <f>IF($F213="","",IF(COUNTIF(MASTER_JAM!$A$5:$A$94,$C213)=0,"Digger tidak dikenal",IF($J213="","Hauler tidak dikenal",IF($H213="?","Jam salah",IF($K213=0,"Faktor kosong",IF(SUMIFS(INPUT_DELAY!$E$5:$E$20000,INPUT_DELAY!$A$5:$A$20000,$A213,INPUT_DELAY!$B$5:$B$20000,$B213,INPUT_DELAY!$C$5:$C$20000,$C213)+SUMIFS(INPUT_DELAY!$E$5:$E$20000,INPUT_DELAY!$A$5:$A$20000,$A213,INPUT_DELAY!$B$5:$B$20000,$B213,INPUT_DELAY!$C$5:$C$20000,"SEMUA")&gt;=60,"Delay 60 mnt tapi ada ritase","OK"))))))</f>
        <v/>
      </c>
      <c r="P213" s="158">
        <f>IFERROR(INDEX(MASTER_JAM!$Z$5:$AC$10,MATCH($I213,MASTER_JAM!$Y$5:$Y$10,0),MATCH($J213,MASTER_JAM!$Z$4:$AC$4,0))+0,0)</f>
        <v/>
      </c>
      <c r="Q213" s="158">
        <f>IF($P213=0,0,$P213+IFERROR(INDEX(MASTER_JAM!$H$5:$H$94,MATCH($C213,MASTER_JAM!$A$5:$A$94,0))+0,MASTER_JAM!$AC$15)/1000*(60/MASTER_JAM!$AC$12+60/MASTER_JAM!$AC$13)+MASTER_JAM!$AC$14)</f>
        <v/>
      </c>
      <c r="R213" s="158">
        <f>IF(N($F213)=0,0,$F213/SUMIFS(INPUT_RITASE!$F$5:$F$20000,INPUT_RITASE!$A$5:$A$20000,$A213,INPUT_RITASE!$B$5:$B$20000,$B213,INPUT_RITASE!$C$5:$C$20000,$C213,INPUT_RITASE!$D$5:$D$20000,$D213))</f>
        <v/>
      </c>
      <c r="S213" s="158">
        <f>IF($Q213=0,0,$R213*$P213/$Q213)</f>
        <v/>
      </c>
    </row>
    <row r="214">
      <c r="A214" s="155" t="n">
        <v>46104</v>
      </c>
      <c r="B214" s="156" t="inlineStr">
        <is>
          <t>13-14</t>
        </is>
      </c>
      <c r="C214" s="156" t="inlineStr">
        <is>
          <t>EX-755</t>
        </is>
      </c>
      <c r="D214" s="156" t="inlineStr">
        <is>
          <t>DT-506</t>
        </is>
      </c>
      <c r="E214" s="156" t="inlineStr">
        <is>
          <t>OB</t>
        </is>
      </c>
      <c r="F214" s="156" t="n">
        <v>3</v>
      </c>
      <c r="G214" s="156" t="inlineStr"/>
      <c r="H214" s="157">
        <f>IF($B214="","",IF(ISNA(MATCH($B214,MASTER_JAM!$Q$5:$Q$28,0)),"?",IF(MATCH($B214,MASTER_JAM!$Q$5:$Q$28,0)&lt;=12,"DS","NS")))</f>
        <v/>
      </c>
      <c r="I214" s="157">
        <f>IFERROR(INDEX(MASTER_JAM!$B$5:$B$94,MATCH($C214,MASTER_JAM!$A$5:$A$94,0)),"")</f>
        <v/>
      </c>
      <c r="J214" s="157">
        <f>IFERROR(INDEX(MASTER_JAM!$E$5:$E$94,MATCH($D214,MASTER_JAM!$A$5:$A$94,0)),"")</f>
        <v/>
      </c>
      <c r="K214" s="158">
        <f>IFERROR(INDEX(MASTER_JAM!$J$5:$O$12,MATCH($E214,MASTER_JAM!$I$5:$I$12,0),MATCH($J214,MASTER_JAM!$J$4:$O$4,0))+0,0)</f>
        <v/>
      </c>
      <c r="L214" s="159">
        <f>N($F214)*$K214</f>
        <v/>
      </c>
      <c r="M214" s="157">
        <f>IF($E214="","",IF(OR($E214="Coal",$E214="Dirty Coal"),"MT","BCM"))</f>
        <v/>
      </c>
      <c r="N214" s="157">
        <f>IF($E214="","",IF(OR($E214="Coal",$E214="Dirty Coal"),"Coal","OB"))</f>
        <v/>
      </c>
      <c r="O214" s="157">
        <f>IF($F214="","",IF(COUNTIF(MASTER_JAM!$A$5:$A$94,$C214)=0,"Digger tidak dikenal",IF($J214="","Hauler tidak dikenal",IF($H214="?","Jam salah",IF($K214=0,"Faktor kosong",IF(SUMIFS(INPUT_DELAY!$E$5:$E$20000,INPUT_DELAY!$A$5:$A$20000,$A214,INPUT_DELAY!$B$5:$B$20000,$B214,INPUT_DELAY!$C$5:$C$20000,$C214)+SUMIFS(INPUT_DELAY!$E$5:$E$20000,INPUT_DELAY!$A$5:$A$20000,$A214,INPUT_DELAY!$B$5:$B$20000,$B214,INPUT_DELAY!$C$5:$C$20000,"SEMUA")&gt;=60,"Delay 60 mnt tapi ada ritase","OK"))))))</f>
        <v/>
      </c>
      <c r="P214" s="158">
        <f>IFERROR(INDEX(MASTER_JAM!$Z$5:$AC$10,MATCH($I214,MASTER_JAM!$Y$5:$Y$10,0),MATCH($J214,MASTER_JAM!$Z$4:$AC$4,0))+0,0)</f>
        <v/>
      </c>
      <c r="Q214" s="158">
        <f>IF($P214=0,0,$P214+IFERROR(INDEX(MASTER_JAM!$H$5:$H$94,MATCH($C214,MASTER_JAM!$A$5:$A$94,0))+0,MASTER_JAM!$AC$15)/1000*(60/MASTER_JAM!$AC$12+60/MASTER_JAM!$AC$13)+MASTER_JAM!$AC$14)</f>
        <v/>
      </c>
      <c r="R214" s="158">
        <f>IF(N($F214)=0,0,$F214/SUMIFS(INPUT_RITASE!$F$5:$F$20000,INPUT_RITASE!$A$5:$A$20000,$A214,INPUT_RITASE!$B$5:$B$20000,$B214,INPUT_RITASE!$C$5:$C$20000,$C214,INPUT_RITASE!$D$5:$D$20000,$D214))</f>
        <v/>
      </c>
      <c r="S214" s="158">
        <f>IF($Q214=0,0,$R214*$P214/$Q214)</f>
        <v/>
      </c>
    </row>
    <row r="215">
      <c r="A215" s="155" t="n">
        <v>46104</v>
      </c>
      <c r="B215" s="156" t="inlineStr">
        <is>
          <t>13-14</t>
        </is>
      </c>
      <c r="C215" s="156" t="inlineStr">
        <is>
          <t>EX-755</t>
        </is>
      </c>
      <c r="D215" s="156" t="inlineStr">
        <is>
          <t>DT-504</t>
        </is>
      </c>
      <c r="E215" s="156" t="inlineStr">
        <is>
          <t>OB</t>
        </is>
      </c>
      <c r="F215" s="156" t="n">
        <v>3</v>
      </c>
      <c r="G215" s="156" t="inlineStr"/>
      <c r="H215" s="157">
        <f>IF($B215="","",IF(ISNA(MATCH($B215,MASTER_JAM!$Q$5:$Q$28,0)),"?",IF(MATCH($B215,MASTER_JAM!$Q$5:$Q$28,0)&lt;=12,"DS","NS")))</f>
        <v/>
      </c>
      <c r="I215" s="157">
        <f>IFERROR(INDEX(MASTER_JAM!$B$5:$B$94,MATCH($C215,MASTER_JAM!$A$5:$A$94,0)),"")</f>
        <v/>
      </c>
      <c r="J215" s="157">
        <f>IFERROR(INDEX(MASTER_JAM!$E$5:$E$94,MATCH($D215,MASTER_JAM!$A$5:$A$94,0)),"")</f>
        <v/>
      </c>
      <c r="K215" s="158">
        <f>IFERROR(INDEX(MASTER_JAM!$J$5:$O$12,MATCH($E215,MASTER_JAM!$I$5:$I$12,0),MATCH($J215,MASTER_JAM!$J$4:$O$4,0))+0,0)</f>
        <v/>
      </c>
      <c r="L215" s="159">
        <f>N($F215)*$K215</f>
        <v/>
      </c>
      <c r="M215" s="157">
        <f>IF($E215="","",IF(OR($E215="Coal",$E215="Dirty Coal"),"MT","BCM"))</f>
        <v/>
      </c>
      <c r="N215" s="157">
        <f>IF($E215="","",IF(OR($E215="Coal",$E215="Dirty Coal"),"Coal","OB"))</f>
        <v/>
      </c>
      <c r="O215" s="157">
        <f>IF($F215="","",IF(COUNTIF(MASTER_JAM!$A$5:$A$94,$C215)=0,"Digger tidak dikenal",IF($J215="","Hauler tidak dikenal",IF($H215="?","Jam salah",IF($K215=0,"Faktor kosong",IF(SUMIFS(INPUT_DELAY!$E$5:$E$20000,INPUT_DELAY!$A$5:$A$20000,$A215,INPUT_DELAY!$B$5:$B$20000,$B215,INPUT_DELAY!$C$5:$C$20000,$C215)+SUMIFS(INPUT_DELAY!$E$5:$E$20000,INPUT_DELAY!$A$5:$A$20000,$A215,INPUT_DELAY!$B$5:$B$20000,$B215,INPUT_DELAY!$C$5:$C$20000,"SEMUA")&gt;=60,"Delay 60 mnt tapi ada ritase","OK"))))))</f>
        <v/>
      </c>
      <c r="P215" s="158">
        <f>IFERROR(INDEX(MASTER_JAM!$Z$5:$AC$10,MATCH($I215,MASTER_JAM!$Y$5:$Y$10,0),MATCH($J215,MASTER_JAM!$Z$4:$AC$4,0))+0,0)</f>
        <v/>
      </c>
      <c r="Q215" s="158">
        <f>IF($P215=0,0,$P215+IFERROR(INDEX(MASTER_JAM!$H$5:$H$94,MATCH($C215,MASTER_JAM!$A$5:$A$94,0))+0,MASTER_JAM!$AC$15)/1000*(60/MASTER_JAM!$AC$12+60/MASTER_JAM!$AC$13)+MASTER_JAM!$AC$14)</f>
        <v/>
      </c>
      <c r="R215" s="158">
        <f>IF(N($F215)=0,0,$F215/SUMIFS(INPUT_RITASE!$F$5:$F$20000,INPUT_RITASE!$A$5:$A$20000,$A215,INPUT_RITASE!$B$5:$B$20000,$B215,INPUT_RITASE!$C$5:$C$20000,$C215,INPUT_RITASE!$D$5:$D$20000,$D215))</f>
        <v/>
      </c>
      <c r="S215" s="158">
        <f>IF($Q215=0,0,$R215*$P215/$Q215)</f>
        <v/>
      </c>
    </row>
    <row r="216">
      <c r="A216" s="155" t="n">
        <v>46104</v>
      </c>
      <c r="B216" s="156" t="inlineStr">
        <is>
          <t>14-15</t>
        </is>
      </c>
      <c r="C216" s="156" t="inlineStr">
        <is>
          <t>EX-755</t>
        </is>
      </c>
      <c r="D216" s="156" t="inlineStr">
        <is>
          <t>DT-808</t>
        </is>
      </c>
      <c r="E216" s="156" t="inlineStr">
        <is>
          <t>OB</t>
        </is>
      </c>
      <c r="F216" s="156" t="n">
        <v>3</v>
      </c>
      <c r="G216" s="156" t="inlineStr"/>
      <c r="H216" s="157">
        <f>IF($B216="","",IF(ISNA(MATCH($B216,MASTER_JAM!$Q$5:$Q$28,0)),"?",IF(MATCH($B216,MASTER_JAM!$Q$5:$Q$28,0)&lt;=12,"DS","NS")))</f>
        <v/>
      </c>
      <c r="I216" s="157">
        <f>IFERROR(INDEX(MASTER_JAM!$B$5:$B$94,MATCH($C216,MASTER_JAM!$A$5:$A$94,0)),"")</f>
        <v/>
      </c>
      <c r="J216" s="157">
        <f>IFERROR(INDEX(MASTER_JAM!$E$5:$E$94,MATCH($D216,MASTER_JAM!$A$5:$A$94,0)),"")</f>
        <v/>
      </c>
      <c r="K216" s="158">
        <f>IFERROR(INDEX(MASTER_JAM!$J$5:$O$12,MATCH($E216,MASTER_JAM!$I$5:$I$12,0),MATCH($J216,MASTER_JAM!$J$4:$O$4,0))+0,0)</f>
        <v/>
      </c>
      <c r="L216" s="159">
        <f>N($F216)*$K216</f>
        <v/>
      </c>
      <c r="M216" s="157">
        <f>IF($E216="","",IF(OR($E216="Coal",$E216="Dirty Coal"),"MT","BCM"))</f>
        <v/>
      </c>
      <c r="N216" s="157">
        <f>IF($E216="","",IF(OR($E216="Coal",$E216="Dirty Coal"),"Coal","OB"))</f>
        <v/>
      </c>
      <c r="O216" s="157">
        <f>IF($F216="","",IF(COUNTIF(MASTER_JAM!$A$5:$A$94,$C216)=0,"Digger tidak dikenal",IF($J216="","Hauler tidak dikenal",IF($H216="?","Jam salah",IF($K216=0,"Faktor kosong",IF(SUMIFS(INPUT_DELAY!$E$5:$E$20000,INPUT_DELAY!$A$5:$A$20000,$A216,INPUT_DELAY!$B$5:$B$20000,$B216,INPUT_DELAY!$C$5:$C$20000,$C216)+SUMIFS(INPUT_DELAY!$E$5:$E$20000,INPUT_DELAY!$A$5:$A$20000,$A216,INPUT_DELAY!$B$5:$B$20000,$B216,INPUT_DELAY!$C$5:$C$20000,"SEMUA")&gt;=60,"Delay 60 mnt tapi ada ritase","OK"))))))</f>
        <v/>
      </c>
      <c r="P216" s="158">
        <f>IFERROR(INDEX(MASTER_JAM!$Z$5:$AC$10,MATCH($I216,MASTER_JAM!$Y$5:$Y$10,0),MATCH($J216,MASTER_JAM!$Z$4:$AC$4,0))+0,0)</f>
        <v/>
      </c>
      <c r="Q216" s="158">
        <f>IF($P216=0,0,$P216+IFERROR(INDEX(MASTER_JAM!$H$5:$H$94,MATCH($C216,MASTER_JAM!$A$5:$A$94,0))+0,MASTER_JAM!$AC$15)/1000*(60/MASTER_JAM!$AC$12+60/MASTER_JAM!$AC$13)+MASTER_JAM!$AC$14)</f>
        <v/>
      </c>
      <c r="R216" s="158">
        <f>IF(N($F216)=0,0,$F216/SUMIFS(INPUT_RITASE!$F$5:$F$20000,INPUT_RITASE!$A$5:$A$20000,$A216,INPUT_RITASE!$B$5:$B$20000,$B216,INPUT_RITASE!$C$5:$C$20000,$C216,INPUT_RITASE!$D$5:$D$20000,$D216))</f>
        <v/>
      </c>
      <c r="S216" s="158">
        <f>IF($Q216=0,0,$R216*$P216/$Q216)</f>
        <v/>
      </c>
    </row>
    <row r="217">
      <c r="A217" s="155" t="n">
        <v>46104</v>
      </c>
      <c r="B217" s="156" t="inlineStr">
        <is>
          <t>14-15</t>
        </is>
      </c>
      <c r="C217" s="156" t="inlineStr">
        <is>
          <t>EX-755</t>
        </is>
      </c>
      <c r="D217" s="156" t="inlineStr">
        <is>
          <t>DT-804</t>
        </is>
      </c>
      <c r="E217" s="156" t="inlineStr">
        <is>
          <t>OB</t>
        </is>
      </c>
      <c r="F217" s="156" t="n">
        <v>3</v>
      </c>
      <c r="G217" s="156" t="inlineStr"/>
      <c r="H217" s="157">
        <f>IF($B217="","",IF(ISNA(MATCH($B217,MASTER_JAM!$Q$5:$Q$28,0)),"?",IF(MATCH($B217,MASTER_JAM!$Q$5:$Q$28,0)&lt;=12,"DS","NS")))</f>
        <v/>
      </c>
      <c r="I217" s="157">
        <f>IFERROR(INDEX(MASTER_JAM!$B$5:$B$94,MATCH($C217,MASTER_JAM!$A$5:$A$94,0)),"")</f>
        <v/>
      </c>
      <c r="J217" s="157">
        <f>IFERROR(INDEX(MASTER_JAM!$E$5:$E$94,MATCH($D217,MASTER_JAM!$A$5:$A$94,0)),"")</f>
        <v/>
      </c>
      <c r="K217" s="158">
        <f>IFERROR(INDEX(MASTER_JAM!$J$5:$O$12,MATCH($E217,MASTER_JAM!$I$5:$I$12,0),MATCH($J217,MASTER_JAM!$J$4:$O$4,0))+0,0)</f>
        <v/>
      </c>
      <c r="L217" s="159">
        <f>N($F217)*$K217</f>
        <v/>
      </c>
      <c r="M217" s="157">
        <f>IF($E217="","",IF(OR($E217="Coal",$E217="Dirty Coal"),"MT","BCM"))</f>
        <v/>
      </c>
      <c r="N217" s="157">
        <f>IF($E217="","",IF(OR($E217="Coal",$E217="Dirty Coal"),"Coal","OB"))</f>
        <v/>
      </c>
      <c r="O217" s="157">
        <f>IF($F217="","",IF(COUNTIF(MASTER_JAM!$A$5:$A$94,$C217)=0,"Digger tidak dikenal",IF($J217="","Hauler tidak dikenal",IF($H217="?","Jam salah",IF($K217=0,"Faktor kosong",IF(SUMIFS(INPUT_DELAY!$E$5:$E$20000,INPUT_DELAY!$A$5:$A$20000,$A217,INPUT_DELAY!$B$5:$B$20000,$B217,INPUT_DELAY!$C$5:$C$20000,$C217)+SUMIFS(INPUT_DELAY!$E$5:$E$20000,INPUT_DELAY!$A$5:$A$20000,$A217,INPUT_DELAY!$B$5:$B$20000,$B217,INPUT_DELAY!$C$5:$C$20000,"SEMUA")&gt;=60,"Delay 60 mnt tapi ada ritase","OK"))))))</f>
        <v/>
      </c>
      <c r="P217" s="158">
        <f>IFERROR(INDEX(MASTER_JAM!$Z$5:$AC$10,MATCH($I217,MASTER_JAM!$Y$5:$Y$10,0),MATCH($J217,MASTER_JAM!$Z$4:$AC$4,0))+0,0)</f>
        <v/>
      </c>
      <c r="Q217" s="158">
        <f>IF($P217=0,0,$P217+IFERROR(INDEX(MASTER_JAM!$H$5:$H$94,MATCH($C217,MASTER_JAM!$A$5:$A$94,0))+0,MASTER_JAM!$AC$15)/1000*(60/MASTER_JAM!$AC$12+60/MASTER_JAM!$AC$13)+MASTER_JAM!$AC$14)</f>
        <v/>
      </c>
      <c r="R217" s="158">
        <f>IF(N($F217)=0,0,$F217/SUMIFS(INPUT_RITASE!$F$5:$F$20000,INPUT_RITASE!$A$5:$A$20000,$A217,INPUT_RITASE!$B$5:$B$20000,$B217,INPUT_RITASE!$C$5:$C$20000,$C217,INPUT_RITASE!$D$5:$D$20000,$D217))</f>
        <v/>
      </c>
      <c r="S217" s="158">
        <f>IF($Q217=0,0,$R217*$P217/$Q217)</f>
        <v/>
      </c>
    </row>
    <row r="218">
      <c r="A218" s="155" t="n">
        <v>46104</v>
      </c>
      <c r="B218" s="156" t="inlineStr">
        <is>
          <t>14-15</t>
        </is>
      </c>
      <c r="C218" s="156" t="inlineStr">
        <is>
          <t>EX-755</t>
        </is>
      </c>
      <c r="D218" s="156" t="inlineStr">
        <is>
          <t>DT-529</t>
        </is>
      </c>
      <c r="E218" s="156" t="inlineStr">
        <is>
          <t>OB</t>
        </is>
      </c>
      <c r="F218" s="156" t="n">
        <v>4</v>
      </c>
      <c r="G218" s="156" t="inlineStr"/>
      <c r="H218" s="157">
        <f>IF($B218="","",IF(ISNA(MATCH($B218,MASTER_JAM!$Q$5:$Q$28,0)),"?",IF(MATCH($B218,MASTER_JAM!$Q$5:$Q$28,0)&lt;=12,"DS","NS")))</f>
        <v/>
      </c>
      <c r="I218" s="157">
        <f>IFERROR(INDEX(MASTER_JAM!$B$5:$B$94,MATCH($C218,MASTER_JAM!$A$5:$A$94,0)),"")</f>
        <v/>
      </c>
      <c r="J218" s="157">
        <f>IFERROR(INDEX(MASTER_JAM!$E$5:$E$94,MATCH($D218,MASTER_JAM!$A$5:$A$94,0)),"")</f>
        <v/>
      </c>
      <c r="K218" s="158">
        <f>IFERROR(INDEX(MASTER_JAM!$J$5:$O$12,MATCH($E218,MASTER_JAM!$I$5:$I$12,0),MATCH($J218,MASTER_JAM!$J$4:$O$4,0))+0,0)</f>
        <v/>
      </c>
      <c r="L218" s="159">
        <f>N($F218)*$K218</f>
        <v/>
      </c>
      <c r="M218" s="157">
        <f>IF($E218="","",IF(OR($E218="Coal",$E218="Dirty Coal"),"MT","BCM"))</f>
        <v/>
      </c>
      <c r="N218" s="157">
        <f>IF($E218="","",IF(OR($E218="Coal",$E218="Dirty Coal"),"Coal","OB"))</f>
        <v/>
      </c>
      <c r="O218" s="157">
        <f>IF($F218="","",IF(COUNTIF(MASTER_JAM!$A$5:$A$94,$C218)=0,"Digger tidak dikenal",IF($J218="","Hauler tidak dikenal",IF($H218="?","Jam salah",IF($K218=0,"Faktor kosong",IF(SUMIFS(INPUT_DELAY!$E$5:$E$20000,INPUT_DELAY!$A$5:$A$20000,$A218,INPUT_DELAY!$B$5:$B$20000,$B218,INPUT_DELAY!$C$5:$C$20000,$C218)+SUMIFS(INPUT_DELAY!$E$5:$E$20000,INPUT_DELAY!$A$5:$A$20000,$A218,INPUT_DELAY!$B$5:$B$20000,$B218,INPUT_DELAY!$C$5:$C$20000,"SEMUA")&gt;=60,"Delay 60 mnt tapi ada ritase","OK"))))))</f>
        <v/>
      </c>
      <c r="P218" s="158">
        <f>IFERROR(INDEX(MASTER_JAM!$Z$5:$AC$10,MATCH($I218,MASTER_JAM!$Y$5:$Y$10,0),MATCH($J218,MASTER_JAM!$Z$4:$AC$4,0))+0,0)</f>
        <v/>
      </c>
      <c r="Q218" s="158">
        <f>IF($P218=0,0,$P218+IFERROR(INDEX(MASTER_JAM!$H$5:$H$94,MATCH($C218,MASTER_JAM!$A$5:$A$94,0))+0,MASTER_JAM!$AC$15)/1000*(60/MASTER_JAM!$AC$12+60/MASTER_JAM!$AC$13)+MASTER_JAM!$AC$14)</f>
        <v/>
      </c>
      <c r="R218" s="158">
        <f>IF(N($F218)=0,0,$F218/SUMIFS(INPUT_RITASE!$F$5:$F$20000,INPUT_RITASE!$A$5:$A$20000,$A218,INPUT_RITASE!$B$5:$B$20000,$B218,INPUT_RITASE!$C$5:$C$20000,$C218,INPUT_RITASE!$D$5:$D$20000,$D218))</f>
        <v/>
      </c>
      <c r="S218" s="158">
        <f>IF($Q218=0,0,$R218*$P218/$Q218)</f>
        <v/>
      </c>
    </row>
    <row r="219">
      <c r="A219" s="155" t="n">
        <v>46104</v>
      </c>
      <c r="B219" s="156" t="inlineStr">
        <is>
          <t>14-15</t>
        </is>
      </c>
      <c r="C219" s="156" t="inlineStr">
        <is>
          <t>EX-755</t>
        </is>
      </c>
      <c r="D219" s="156" t="inlineStr">
        <is>
          <t>DT-515</t>
        </is>
      </c>
      <c r="E219" s="156" t="inlineStr">
        <is>
          <t>OB</t>
        </is>
      </c>
      <c r="F219" s="156" t="n">
        <v>3</v>
      </c>
      <c r="G219" s="156" t="inlineStr"/>
      <c r="H219" s="157">
        <f>IF($B219="","",IF(ISNA(MATCH($B219,MASTER_JAM!$Q$5:$Q$28,0)),"?",IF(MATCH($B219,MASTER_JAM!$Q$5:$Q$28,0)&lt;=12,"DS","NS")))</f>
        <v/>
      </c>
      <c r="I219" s="157">
        <f>IFERROR(INDEX(MASTER_JAM!$B$5:$B$94,MATCH($C219,MASTER_JAM!$A$5:$A$94,0)),"")</f>
        <v/>
      </c>
      <c r="J219" s="157">
        <f>IFERROR(INDEX(MASTER_JAM!$E$5:$E$94,MATCH($D219,MASTER_JAM!$A$5:$A$94,0)),"")</f>
        <v/>
      </c>
      <c r="K219" s="158">
        <f>IFERROR(INDEX(MASTER_JAM!$J$5:$O$12,MATCH($E219,MASTER_JAM!$I$5:$I$12,0),MATCH($J219,MASTER_JAM!$J$4:$O$4,0))+0,0)</f>
        <v/>
      </c>
      <c r="L219" s="159">
        <f>N($F219)*$K219</f>
        <v/>
      </c>
      <c r="M219" s="157">
        <f>IF($E219="","",IF(OR($E219="Coal",$E219="Dirty Coal"),"MT","BCM"))</f>
        <v/>
      </c>
      <c r="N219" s="157">
        <f>IF($E219="","",IF(OR($E219="Coal",$E219="Dirty Coal"),"Coal","OB"))</f>
        <v/>
      </c>
      <c r="O219" s="157">
        <f>IF($F219="","",IF(COUNTIF(MASTER_JAM!$A$5:$A$94,$C219)=0,"Digger tidak dikenal",IF($J219="","Hauler tidak dikenal",IF($H219="?","Jam salah",IF($K219=0,"Faktor kosong",IF(SUMIFS(INPUT_DELAY!$E$5:$E$20000,INPUT_DELAY!$A$5:$A$20000,$A219,INPUT_DELAY!$B$5:$B$20000,$B219,INPUT_DELAY!$C$5:$C$20000,$C219)+SUMIFS(INPUT_DELAY!$E$5:$E$20000,INPUT_DELAY!$A$5:$A$20000,$A219,INPUT_DELAY!$B$5:$B$20000,$B219,INPUT_DELAY!$C$5:$C$20000,"SEMUA")&gt;=60,"Delay 60 mnt tapi ada ritase","OK"))))))</f>
        <v/>
      </c>
      <c r="P219" s="158">
        <f>IFERROR(INDEX(MASTER_JAM!$Z$5:$AC$10,MATCH($I219,MASTER_JAM!$Y$5:$Y$10,0),MATCH($J219,MASTER_JAM!$Z$4:$AC$4,0))+0,0)</f>
        <v/>
      </c>
      <c r="Q219" s="158">
        <f>IF($P219=0,0,$P219+IFERROR(INDEX(MASTER_JAM!$H$5:$H$94,MATCH($C219,MASTER_JAM!$A$5:$A$94,0))+0,MASTER_JAM!$AC$15)/1000*(60/MASTER_JAM!$AC$12+60/MASTER_JAM!$AC$13)+MASTER_JAM!$AC$14)</f>
        <v/>
      </c>
      <c r="R219" s="158">
        <f>IF(N($F219)=0,0,$F219/SUMIFS(INPUT_RITASE!$F$5:$F$20000,INPUT_RITASE!$A$5:$A$20000,$A219,INPUT_RITASE!$B$5:$B$20000,$B219,INPUT_RITASE!$C$5:$C$20000,$C219,INPUT_RITASE!$D$5:$D$20000,$D219))</f>
        <v/>
      </c>
      <c r="S219" s="158">
        <f>IF($Q219=0,0,$R219*$P219/$Q219)</f>
        <v/>
      </c>
    </row>
    <row r="220">
      <c r="A220" s="155" t="n">
        <v>46104</v>
      </c>
      <c r="B220" s="156" t="inlineStr">
        <is>
          <t>14-15</t>
        </is>
      </c>
      <c r="C220" s="156" t="inlineStr">
        <is>
          <t>EX-755</t>
        </is>
      </c>
      <c r="D220" s="156" t="inlineStr">
        <is>
          <t>DT-510</t>
        </is>
      </c>
      <c r="E220" s="156" t="inlineStr">
        <is>
          <t>OB</t>
        </is>
      </c>
      <c r="F220" s="156" t="n">
        <v>3</v>
      </c>
      <c r="G220" s="156" t="inlineStr"/>
      <c r="H220" s="157">
        <f>IF($B220="","",IF(ISNA(MATCH($B220,MASTER_JAM!$Q$5:$Q$28,0)),"?",IF(MATCH($B220,MASTER_JAM!$Q$5:$Q$28,0)&lt;=12,"DS","NS")))</f>
        <v/>
      </c>
      <c r="I220" s="157">
        <f>IFERROR(INDEX(MASTER_JAM!$B$5:$B$94,MATCH($C220,MASTER_JAM!$A$5:$A$94,0)),"")</f>
        <v/>
      </c>
      <c r="J220" s="157">
        <f>IFERROR(INDEX(MASTER_JAM!$E$5:$E$94,MATCH($D220,MASTER_JAM!$A$5:$A$94,0)),"")</f>
        <v/>
      </c>
      <c r="K220" s="158">
        <f>IFERROR(INDEX(MASTER_JAM!$J$5:$O$12,MATCH($E220,MASTER_JAM!$I$5:$I$12,0),MATCH($J220,MASTER_JAM!$J$4:$O$4,0))+0,0)</f>
        <v/>
      </c>
      <c r="L220" s="159">
        <f>N($F220)*$K220</f>
        <v/>
      </c>
      <c r="M220" s="157">
        <f>IF($E220="","",IF(OR($E220="Coal",$E220="Dirty Coal"),"MT","BCM"))</f>
        <v/>
      </c>
      <c r="N220" s="157">
        <f>IF($E220="","",IF(OR($E220="Coal",$E220="Dirty Coal"),"Coal","OB"))</f>
        <v/>
      </c>
      <c r="O220" s="157">
        <f>IF($F220="","",IF(COUNTIF(MASTER_JAM!$A$5:$A$94,$C220)=0,"Digger tidak dikenal",IF($J220="","Hauler tidak dikenal",IF($H220="?","Jam salah",IF($K220=0,"Faktor kosong",IF(SUMIFS(INPUT_DELAY!$E$5:$E$20000,INPUT_DELAY!$A$5:$A$20000,$A220,INPUT_DELAY!$B$5:$B$20000,$B220,INPUT_DELAY!$C$5:$C$20000,$C220)+SUMIFS(INPUT_DELAY!$E$5:$E$20000,INPUT_DELAY!$A$5:$A$20000,$A220,INPUT_DELAY!$B$5:$B$20000,$B220,INPUT_DELAY!$C$5:$C$20000,"SEMUA")&gt;=60,"Delay 60 mnt tapi ada ritase","OK"))))))</f>
        <v/>
      </c>
      <c r="P220" s="158">
        <f>IFERROR(INDEX(MASTER_JAM!$Z$5:$AC$10,MATCH($I220,MASTER_JAM!$Y$5:$Y$10,0),MATCH($J220,MASTER_JAM!$Z$4:$AC$4,0))+0,0)</f>
        <v/>
      </c>
      <c r="Q220" s="158">
        <f>IF($P220=0,0,$P220+IFERROR(INDEX(MASTER_JAM!$H$5:$H$94,MATCH($C220,MASTER_JAM!$A$5:$A$94,0))+0,MASTER_JAM!$AC$15)/1000*(60/MASTER_JAM!$AC$12+60/MASTER_JAM!$AC$13)+MASTER_JAM!$AC$14)</f>
        <v/>
      </c>
      <c r="R220" s="158">
        <f>IF(N($F220)=0,0,$F220/SUMIFS(INPUT_RITASE!$F$5:$F$20000,INPUT_RITASE!$A$5:$A$20000,$A220,INPUT_RITASE!$B$5:$B$20000,$B220,INPUT_RITASE!$C$5:$C$20000,$C220,INPUT_RITASE!$D$5:$D$20000,$D220))</f>
        <v/>
      </c>
      <c r="S220" s="158">
        <f>IF($Q220=0,0,$R220*$P220/$Q220)</f>
        <v/>
      </c>
    </row>
    <row r="221">
      <c r="A221" s="155" t="n">
        <v>46104</v>
      </c>
      <c r="B221" s="156" t="inlineStr">
        <is>
          <t>14-15</t>
        </is>
      </c>
      <c r="C221" s="156" t="inlineStr">
        <is>
          <t>EX-755</t>
        </is>
      </c>
      <c r="D221" s="156" t="inlineStr">
        <is>
          <t>DT-521</t>
        </is>
      </c>
      <c r="E221" s="156" t="inlineStr">
        <is>
          <t>OB</t>
        </is>
      </c>
      <c r="F221" s="156" t="n">
        <v>3</v>
      </c>
      <c r="G221" s="156" t="inlineStr"/>
      <c r="H221" s="157">
        <f>IF($B221="","",IF(ISNA(MATCH($B221,MASTER_JAM!$Q$5:$Q$28,0)),"?",IF(MATCH($B221,MASTER_JAM!$Q$5:$Q$28,0)&lt;=12,"DS","NS")))</f>
        <v/>
      </c>
      <c r="I221" s="157">
        <f>IFERROR(INDEX(MASTER_JAM!$B$5:$B$94,MATCH($C221,MASTER_JAM!$A$5:$A$94,0)),"")</f>
        <v/>
      </c>
      <c r="J221" s="157">
        <f>IFERROR(INDEX(MASTER_JAM!$E$5:$E$94,MATCH($D221,MASTER_JAM!$A$5:$A$94,0)),"")</f>
        <v/>
      </c>
      <c r="K221" s="158">
        <f>IFERROR(INDEX(MASTER_JAM!$J$5:$O$12,MATCH($E221,MASTER_JAM!$I$5:$I$12,0),MATCH($J221,MASTER_JAM!$J$4:$O$4,0))+0,0)</f>
        <v/>
      </c>
      <c r="L221" s="159">
        <f>N($F221)*$K221</f>
        <v/>
      </c>
      <c r="M221" s="157">
        <f>IF($E221="","",IF(OR($E221="Coal",$E221="Dirty Coal"),"MT","BCM"))</f>
        <v/>
      </c>
      <c r="N221" s="157">
        <f>IF($E221="","",IF(OR($E221="Coal",$E221="Dirty Coal"),"Coal","OB"))</f>
        <v/>
      </c>
      <c r="O221" s="157">
        <f>IF($F221="","",IF(COUNTIF(MASTER_JAM!$A$5:$A$94,$C221)=0,"Digger tidak dikenal",IF($J221="","Hauler tidak dikenal",IF($H221="?","Jam salah",IF($K221=0,"Faktor kosong",IF(SUMIFS(INPUT_DELAY!$E$5:$E$20000,INPUT_DELAY!$A$5:$A$20000,$A221,INPUT_DELAY!$B$5:$B$20000,$B221,INPUT_DELAY!$C$5:$C$20000,$C221)+SUMIFS(INPUT_DELAY!$E$5:$E$20000,INPUT_DELAY!$A$5:$A$20000,$A221,INPUT_DELAY!$B$5:$B$20000,$B221,INPUT_DELAY!$C$5:$C$20000,"SEMUA")&gt;=60,"Delay 60 mnt tapi ada ritase","OK"))))))</f>
        <v/>
      </c>
      <c r="P221" s="158">
        <f>IFERROR(INDEX(MASTER_JAM!$Z$5:$AC$10,MATCH($I221,MASTER_JAM!$Y$5:$Y$10,0),MATCH($J221,MASTER_JAM!$Z$4:$AC$4,0))+0,0)</f>
        <v/>
      </c>
      <c r="Q221" s="158">
        <f>IF($P221=0,0,$P221+IFERROR(INDEX(MASTER_JAM!$H$5:$H$94,MATCH($C221,MASTER_JAM!$A$5:$A$94,0))+0,MASTER_JAM!$AC$15)/1000*(60/MASTER_JAM!$AC$12+60/MASTER_JAM!$AC$13)+MASTER_JAM!$AC$14)</f>
        <v/>
      </c>
      <c r="R221" s="158">
        <f>IF(N($F221)=0,0,$F221/SUMIFS(INPUT_RITASE!$F$5:$F$20000,INPUT_RITASE!$A$5:$A$20000,$A221,INPUT_RITASE!$B$5:$B$20000,$B221,INPUT_RITASE!$C$5:$C$20000,$C221,INPUT_RITASE!$D$5:$D$20000,$D221))</f>
        <v/>
      </c>
      <c r="S221" s="158">
        <f>IF($Q221=0,0,$R221*$P221/$Q221)</f>
        <v/>
      </c>
    </row>
    <row r="222">
      <c r="A222" s="155" t="n">
        <v>46104</v>
      </c>
      <c r="B222" s="156" t="inlineStr">
        <is>
          <t>15-16</t>
        </is>
      </c>
      <c r="C222" s="156" t="inlineStr">
        <is>
          <t>EX-755</t>
        </is>
      </c>
      <c r="D222" s="156" t="inlineStr">
        <is>
          <t>DT-515</t>
        </is>
      </c>
      <c r="E222" s="156" t="inlineStr">
        <is>
          <t>OB</t>
        </is>
      </c>
      <c r="F222" s="156" t="n">
        <v>4</v>
      </c>
      <c r="G222" s="156" t="inlineStr"/>
      <c r="H222" s="157">
        <f>IF($B222="","",IF(ISNA(MATCH($B222,MASTER_JAM!$Q$5:$Q$28,0)),"?",IF(MATCH($B222,MASTER_JAM!$Q$5:$Q$28,0)&lt;=12,"DS","NS")))</f>
        <v/>
      </c>
      <c r="I222" s="157">
        <f>IFERROR(INDEX(MASTER_JAM!$B$5:$B$94,MATCH($C222,MASTER_JAM!$A$5:$A$94,0)),"")</f>
        <v/>
      </c>
      <c r="J222" s="157">
        <f>IFERROR(INDEX(MASTER_JAM!$E$5:$E$94,MATCH($D222,MASTER_JAM!$A$5:$A$94,0)),"")</f>
        <v/>
      </c>
      <c r="K222" s="158">
        <f>IFERROR(INDEX(MASTER_JAM!$J$5:$O$12,MATCH($E222,MASTER_JAM!$I$5:$I$12,0),MATCH($J222,MASTER_JAM!$J$4:$O$4,0))+0,0)</f>
        <v/>
      </c>
      <c r="L222" s="159">
        <f>N($F222)*$K222</f>
        <v/>
      </c>
      <c r="M222" s="157">
        <f>IF($E222="","",IF(OR($E222="Coal",$E222="Dirty Coal"),"MT","BCM"))</f>
        <v/>
      </c>
      <c r="N222" s="157">
        <f>IF($E222="","",IF(OR($E222="Coal",$E222="Dirty Coal"),"Coal","OB"))</f>
        <v/>
      </c>
      <c r="O222" s="157">
        <f>IF($F222="","",IF(COUNTIF(MASTER_JAM!$A$5:$A$94,$C222)=0,"Digger tidak dikenal",IF($J222="","Hauler tidak dikenal",IF($H222="?","Jam salah",IF($K222=0,"Faktor kosong",IF(SUMIFS(INPUT_DELAY!$E$5:$E$20000,INPUT_DELAY!$A$5:$A$20000,$A222,INPUT_DELAY!$B$5:$B$20000,$B222,INPUT_DELAY!$C$5:$C$20000,$C222)+SUMIFS(INPUT_DELAY!$E$5:$E$20000,INPUT_DELAY!$A$5:$A$20000,$A222,INPUT_DELAY!$B$5:$B$20000,$B222,INPUT_DELAY!$C$5:$C$20000,"SEMUA")&gt;=60,"Delay 60 mnt tapi ada ritase","OK"))))))</f>
        <v/>
      </c>
      <c r="P222" s="158">
        <f>IFERROR(INDEX(MASTER_JAM!$Z$5:$AC$10,MATCH($I222,MASTER_JAM!$Y$5:$Y$10,0),MATCH($J222,MASTER_JAM!$Z$4:$AC$4,0))+0,0)</f>
        <v/>
      </c>
      <c r="Q222" s="158">
        <f>IF($P222=0,0,$P222+IFERROR(INDEX(MASTER_JAM!$H$5:$H$94,MATCH($C222,MASTER_JAM!$A$5:$A$94,0))+0,MASTER_JAM!$AC$15)/1000*(60/MASTER_JAM!$AC$12+60/MASTER_JAM!$AC$13)+MASTER_JAM!$AC$14)</f>
        <v/>
      </c>
      <c r="R222" s="158">
        <f>IF(N($F222)=0,0,$F222/SUMIFS(INPUT_RITASE!$F$5:$F$20000,INPUT_RITASE!$A$5:$A$20000,$A222,INPUT_RITASE!$B$5:$B$20000,$B222,INPUT_RITASE!$C$5:$C$20000,$C222,INPUT_RITASE!$D$5:$D$20000,$D222))</f>
        <v/>
      </c>
      <c r="S222" s="158">
        <f>IF($Q222=0,0,$R222*$P222/$Q222)</f>
        <v/>
      </c>
    </row>
    <row r="223">
      <c r="A223" s="155" t="n">
        <v>46104</v>
      </c>
      <c r="B223" s="156" t="inlineStr">
        <is>
          <t>15-16</t>
        </is>
      </c>
      <c r="C223" s="156" t="inlineStr">
        <is>
          <t>EX-755</t>
        </is>
      </c>
      <c r="D223" s="156" t="inlineStr">
        <is>
          <t>DT-504</t>
        </is>
      </c>
      <c r="E223" s="156" t="inlineStr">
        <is>
          <t>OB</t>
        </is>
      </c>
      <c r="F223" s="156" t="n">
        <v>4</v>
      </c>
      <c r="G223" s="156" t="inlineStr"/>
      <c r="H223" s="157">
        <f>IF($B223="","",IF(ISNA(MATCH($B223,MASTER_JAM!$Q$5:$Q$28,0)),"?",IF(MATCH($B223,MASTER_JAM!$Q$5:$Q$28,0)&lt;=12,"DS","NS")))</f>
        <v/>
      </c>
      <c r="I223" s="157">
        <f>IFERROR(INDEX(MASTER_JAM!$B$5:$B$94,MATCH($C223,MASTER_JAM!$A$5:$A$94,0)),"")</f>
        <v/>
      </c>
      <c r="J223" s="157">
        <f>IFERROR(INDEX(MASTER_JAM!$E$5:$E$94,MATCH($D223,MASTER_JAM!$A$5:$A$94,0)),"")</f>
        <v/>
      </c>
      <c r="K223" s="158">
        <f>IFERROR(INDEX(MASTER_JAM!$J$5:$O$12,MATCH($E223,MASTER_JAM!$I$5:$I$12,0),MATCH($J223,MASTER_JAM!$J$4:$O$4,0))+0,0)</f>
        <v/>
      </c>
      <c r="L223" s="159">
        <f>N($F223)*$K223</f>
        <v/>
      </c>
      <c r="M223" s="157">
        <f>IF($E223="","",IF(OR($E223="Coal",$E223="Dirty Coal"),"MT","BCM"))</f>
        <v/>
      </c>
      <c r="N223" s="157">
        <f>IF($E223="","",IF(OR($E223="Coal",$E223="Dirty Coal"),"Coal","OB"))</f>
        <v/>
      </c>
      <c r="O223" s="157">
        <f>IF($F223="","",IF(COUNTIF(MASTER_JAM!$A$5:$A$94,$C223)=0,"Digger tidak dikenal",IF($J223="","Hauler tidak dikenal",IF($H223="?","Jam salah",IF($K223=0,"Faktor kosong",IF(SUMIFS(INPUT_DELAY!$E$5:$E$20000,INPUT_DELAY!$A$5:$A$20000,$A223,INPUT_DELAY!$B$5:$B$20000,$B223,INPUT_DELAY!$C$5:$C$20000,$C223)+SUMIFS(INPUT_DELAY!$E$5:$E$20000,INPUT_DELAY!$A$5:$A$20000,$A223,INPUT_DELAY!$B$5:$B$20000,$B223,INPUT_DELAY!$C$5:$C$20000,"SEMUA")&gt;=60,"Delay 60 mnt tapi ada ritase","OK"))))))</f>
        <v/>
      </c>
      <c r="P223" s="158">
        <f>IFERROR(INDEX(MASTER_JAM!$Z$5:$AC$10,MATCH($I223,MASTER_JAM!$Y$5:$Y$10,0),MATCH($J223,MASTER_JAM!$Z$4:$AC$4,0))+0,0)</f>
        <v/>
      </c>
      <c r="Q223" s="158">
        <f>IF($P223=0,0,$P223+IFERROR(INDEX(MASTER_JAM!$H$5:$H$94,MATCH($C223,MASTER_JAM!$A$5:$A$94,0))+0,MASTER_JAM!$AC$15)/1000*(60/MASTER_JAM!$AC$12+60/MASTER_JAM!$AC$13)+MASTER_JAM!$AC$14)</f>
        <v/>
      </c>
      <c r="R223" s="158">
        <f>IF(N($F223)=0,0,$F223/SUMIFS(INPUT_RITASE!$F$5:$F$20000,INPUT_RITASE!$A$5:$A$20000,$A223,INPUT_RITASE!$B$5:$B$20000,$B223,INPUT_RITASE!$C$5:$C$20000,$C223,INPUT_RITASE!$D$5:$D$20000,$D223))</f>
        <v/>
      </c>
      <c r="S223" s="158">
        <f>IF($Q223=0,0,$R223*$P223/$Q223)</f>
        <v/>
      </c>
    </row>
    <row r="224">
      <c r="A224" s="155" t="n">
        <v>46104</v>
      </c>
      <c r="B224" s="156" t="inlineStr">
        <is>
          <t>15-16</t>
        </is>
      </c>
      <c r="C224" s="156" t="inlineStr">
        <is>
          <t>EX-755</t>
        </is>
      </c>
      <c r="D224" s="156" t="inlineStr">
        <is>
          <t>DT-508</t>
        </is>
      </c>
      <c r="E224" s="156" t="inlineStr">
        <is>
          <t>OB</t>
        </is>
      </c>
      <c r="F224" s="156" t="n">
        <v>3</v>
      </c>
      <c r="G224" s="156" t="inlineStr"/>
      <c r="H224" s="157">
        <f>IF($B224="","",IF(ISNA(MATCH($B224,MASTER_JAM!$Q$5:$Q$28,0)),"?",IF(MATCH($B224,MASTER_JAM!$Q$5:$Q$28,0)&lt;=12,"DS","NS")))</f>
        <v/>
      </c>
      <c r="I224" s="157">
        <f>IFERROR(INDEX(MASTER_JAM!$B$5:$B$94,MATCH($C224,MASTER_JAM!$A$5:$A$94,0)),"")</f>
        <v/>
      </c>
      <c r="J224" s="157">
        <f>IFERROR(INDEX(MASTER_JAM!$E$5:$E$94,MATCH($D224,MASTER_JAM!$A$5:$A$94,0)),"")</f>
        <v/>
      </c>
      <c r="K224" s="158">
        <f>IFERROR(INDEX(MASTER_JAM!$J$5:$O$12,MATCH($E224,MASTER_JAM!$I$5:$I$12,0),MATCH($J224,MASTER_JAM!$J$4:$O$4,0))+0,0)</f>
        <v/>
      </c>
      <c r="L224" s="159">
        <f>N($F224)*$K224</f>
        <v/>
      </c>
      <c r="M224" s="157">
        <f>IF($E224="","",IF(OR($E224="Coal",$E224="Dirty Coal"),"MT","BCM"))</f>
        <v/>
      </c>
      <c r="N224" s="157">
        <f>IF($E224="","",IF(OR($E224="Coal",$E224="Dirty Coal"),"Coal","OB"))</f>
        <v/>
      </c>
      <c r="O224" s="157">
        <f>IF($F224="","",IF(COUNTIF(MASTER_JAM!$A$5:$A$94,$C224)=0,"Digger tidak dikenal",IF($J224="","Hauler tidak dikenal",IF($H224="?","Jam salah",IF($K224=0,"Faktor kosong",IF(SUMIFS(INPUT_DELAY!$E$5:$E$20000,INPUT_DELAY!$A$5:$A$20000,$A224,INPUT_DELAY!$B$5:$B$20000,$B224,INPUT_DELAY!$C$5:$C$20000,$C224)+SUMIFS(INPUT_DELAY!$E$5:$E$20000,INPUT_DELAY!$A$5:$A$20000,$A224,INPUT_DELAY!$B$5:$B$20000,$B224,INPUT_DELAY!$C$5:$C$20000,"SEMUA")&gt;=60,"Delay 60 mnt tapi ada ritase","OK"))))))</f>
        <v/>
      </c>
      <c r="P224" s="158">
        <f>IFERROR(INDEX(MASTER_JAM!$Z$5:$AC$10,MATCH($I224,MASTER_JAM!$Y$5:$Y$10,0),MATCH($J224,MASTER_JAM!$Z$4:$AC$4,0))+0,0)</f>
        <v/>
      </c>
      <c r="Q224" s="158">
        <f>IF($P224=0,0,$P224+IFERROR(INDEX(MASTER_JAM!$H$5:$H$94,MATCH($C224,MASTER_JAM!$A$5:$A$94,0))+0,MASTER_JAM!$AC$15)/1000*(60/MASTER_JAM!$AC$12+60/MASTER_JAM!$AC$13)+MASTER_JAM!$AC$14)</f>
        <v/>
      </c>
      <c r="R224" s="158">
        <f>IF(N($F224)=0,0,$F224/SUMIFS(INPUT_RITASE!$F$5:$F$20000,INPUT_RITASE!$A$5:$A$20000,$A224,INPUT_RITASE!$B$5:$B$20000,$B224,INPUT_RITASE!$C$5:$C$20000,$C224,INPUT_RITASE!$D$5:$D$20000,$D224))</f>
        <v/>
      </c>
      <c r="S224" s="158">
        <f>IF($Q224=0,0,$R224*$P224/$Q224)</f>
        <v/>
      </c>
    </row>
    <row r="225">
      <c r="A225" s="155" t="n">
        <v>46104</v>
      </c>
      <c r="B225" s="156" t="inlineStr">
        <is>
          <t>15-16</t>
        </is>
      </c>
      <c r="C225" s="156" t="inlineStr">
        <is>
          <t>EX-755</t>
        </is>
      </c>
      <c r="D225" s="156" t="inlineStr">
        <is>
          <t>DT-524</t>
        </is>
      </c>
      <c r="E225" s="156" t="inlineStr">
        <is>
          <t>OB</t>
        </is>
      </c>
      <c r="F225" s="156" t="n">
        <v>3</v>
      </c>
      <c r="G225" s="156" t="inlineStr"/>
      <c r="H225" s="157">
        <f>IF($B225="","",IF(ISNA(MATCH($B225,MASTER_JAM!$Q$5:$Q$28,0)),"?",IF(MATCH($B225,MASTER_JAM!$Q$5:$Q$28,0)&lt;=12,"DS","NS")))</f>
        <v/>
      </c>
      <c r="I225" s="157">
        <f>IFERROR(INDEX(MASTER_JAM!$B$5:$B$94,MATCH($C225,MASTER_JAM!$A$5:$A$94,0)),"")</f>
        <v/>
      </c>
      <c r="J225" s="157">
        <f>IFERROR(INDEX(MASTER_JAM!$E$5:$E$94,MATCH($D225,MASTER_JAM!$A$5:$A$94,0)),"")</f>
        <v/>
      </c>
      <c r="K225" s="158">
        <f>IFERROR(INDEX(MASTER_JAM!$J$5:$O$12,MATCH($E225,MASTER_JAM!$I$5:$I$12,0),MATCH($J225,MASTER_JAM!$J$4:$O$4,0))+0,0)</f>
        <v/>
      </c>
      <c r="L225" s="159">
        <f>N($F225)*$K225</f>
        <v/>
      </c>
      <c r="M225" s="157">
        <f>IF($E225="","",IF(OR($E225="Coal",$E225="Dirty Coal"),"MT","BCM"))</f>
        <v/>
      </c>
      <c r="N225" s="157">
        <f>IF($E225="","",IF(OR($E225="Coal",$E225="Dirty Coal"),"Coal","OB"))</f>
        <v/>
      </c>
      <c r="O225" s="157">
        <f>IF($F225="","",IF(COUNTIF(MASTER_JAM!$A$5:$A$94,$C225)=0,"Digger tidak dikenal",IF($J225="","Hauler tidak dikenal",IF($H225="?","Jam salah",IF($K225=0,"Faktor kosong",IF(SUMIFS(INPUT_DELAY!$E$5:$E$20000,INPUT_DELAY!$A$5:$A$20000,$A225,INPUT_DELAY!$B$5:$B$20000,$B225,INPUT_DELAY!$C$5:$C$20000,$C225)+SUMIFS(INPUT_DELAY!$E$5:$E$20000,INPUT_DELAY!$A$5:$A$20000,$A225,INPUT_DELAY!$B$5:$B$20000,$B225,INPUT_DELAY!$C$5:$C$20000,"SEMUA")&gt;=60,"Delay 60 mnt tapi ada ritase","OK"))))))</f>
        <v/>
      </c>
      <c r="P225" s="158">
        <f>IFERROR(INDEX(MASTER_JAM!$Z$5:$AC$10,MATCH($I225,MASTER_JAM!$Y$5:$Y$10,0),MATCH($J225,MASTER_JAM!$Z$4:$AC$4,0))+0,0)</f>
        <v/>
      </c>
      <c r="Q225" s="158">
        <f>IF($P225=0,0,$P225+IFERROR(INDEX(MASTER_JAM!$H$5:$H$94,MATCH($C225,MASTER_JAM!$A$5:$A$94,0))+0,MASTER_JAM!$AC$15)/1000*(60/MASTER_JAM!$AC$12+60/MASTER_JAM!$AC$13)+MASTER_JAM!$AC$14)</f>
        <v/>
      </c>
      <c r="R225" s="158">
        <f>IF(N($F225)=0,0,$F225/SUMIFS(INPUT_RITASE!$F$5:$F$20000,INPUT_RITASE!$A$5:$A$20000,$A225,INPUT_RITASE!$B$5:$B$20000,$B225,INPUT_RITASE!$C$5:$C$20000,$C225,INPUT_RITASE!$D$5:$D$20000,$D225))</f>
        <v/>
      </c>
      <c r="S225" s="158">
        <f>IF($Q225=0,0,$R225*$P225/$Q225)</f>
        <v/>
      </c>
    </row>
    <row r="226">
      <c r="A226" s="155" t="n">
        <v>46104</v>
      </c>
      <c r="B226" s="156" t="inlineStr">
        <is>
          <t>15-16</t>
        </is>
      </c>
      <c r="C226" s="156" t="inlineStr">
        <is>
          <t>EX-755</t>
        </is>
      </c>
      <c r="D226" s="156" t="inlineStr">
        <is>
          <t>DT-506</t>
        </is>
      </c>
      <c r="E226" s="156" t="inlineStr">
        <is>
          <t>OB</t>
        </is>
      </c>
      <c r="F226" s="156" t="n">
        <v>3</v>
      </c>
      <c r="G226" s="156" t="inlineStr"/>
      <c r="H226" s="157">
        <f>IF($B226="","",IF(ISNA(MATCH($B226,MASTER_JAM!$Q$5:$Q$28,0)),"?",IF(MATCH($B226,MASTER_JAM!$Q$5:$Q$28,0)&lt;=12,"DS","NS")))</f>
        <v/>
      </c>
      <c r="I226" s="157">
        <f>IFERROR(INDEX(MASTER_JAM!$B$5:$B$94,MATCH($C226,MASTER_JAM!$A$5:$A$94,0)),"")</f>
        <v/>
      </c>
      <c r="J226" s="157">
        <f>IFERROR(INDEX(MASTER_JAM!$E$5:$E$94,MATCH($D226,MASTER_JAM!$A$5:$A$94,0)),"")</f>
        <v/>
      </c>
      <c r="K226" s="158">
        <f>IFERROR(INDEX(MASTER_JAM!$J$5:$O$12,MATCH($E226,MASTER_JAM!$I$5:$I$12,0),MATCH($J226,MASTER_JAM!$J$4:$O$4,0))+0,0)</f>
        <v/>
      </c>
      <c r="L226" s="159">
        <f>N($F226)*$K226</f>
        <v/>
      </c>
      <c r="M226" s="157">
        <f>IF($E226="","",IF(OR($E226="Coal",$E226="Dirty Coal"),"MT","BCM"))</f>
        <v/>
      </c>
      <c r="N226" s="157">
        <f>IF($E226="","",IF(OR($E226="Coal",$E226="Dirty Coal"),"Coal","OB"))</f>
        <v/>
      </c>
      <c r="O226" s="157">
        <f>IF($F226="","",IF(COUNTIF(MASTER_JAM!$A$5:$A$94,$C226)=0,"Digger tidak dikenal",IF($J226="","Hauler tidak dikenal",IF($H226="?","Jam salah",IF($K226=0,"Faktor kosong",IF(SUMIFS(INPUT_DELAY!$E$5:$E$20000,INPUT_DELAY!$A$5:$A$20000,$A226,INPUT_DELAY!$B$5:$B$20000,$B226,INPUT_DELAY!$C$5:$C$20000,$C226)+SUMIFS(INPUT_DELAY!$E$5:$E$20000,INPUT_DELAY!$A$5:$A$20000,$A226,INPUT_DELAY!$B$5:$B$20000,$B226,INPUT_DELAY!$C$5:$C$20000,"SEMUA")&gt;=60,"Delay 60 mnt tapi ada ritase","OK"))))))</f>
        <v/>
      </c>
      <c r="P226" s="158">
        <f>IFERROR(INDEX(MASTER_JAM!$Z$5:$AC$10,MATCH($I226,MASTER_JAM!$Y$5:$Y$10,0),MATCH($J226,MASTER_JAM!$Z$4:$AC$4,0))+0,0)</f>
        <v/>
      </c>
      <c r="Q226" s="158">
        <f>IF($P226=0,0,$P226+IFERROR(INDEX(MASTER_JAM!$H$5:$H$94,MATCH($C226,MASTER_JAM!$A$5:$A$94,0))+0,MASTER_JAM!$AC$15)/1000*(60/MASTER_JAM!$AC$12+60/MASTER_JAM!$AC$13)+MASTER_JAM!$AC$14)</f>
        <v/>
      </c>
      <c r="R226" s="158">
        <f>IF(N($F226)=0,0,$F226/SUMIFS(INPUT_RITASE!$F$5:$F$20000,INPUT_RITASE!$A$5:$A$20000,$A226,INPUT_RITASE!$B$5:$B$20000,$B226,INPUT_RITASE!$C$5:$C$20000,$C226,INPUT_RITASE!$D$5:$D$20000,$D226))</f>
        <v/>
      </c>
      <c r="S226" s="158">
        <f>IF($Q226=0,0,$R226*$P226/$Q226)</f>
        <v/>
      </c>
    </row>
    <row r="227">
      <c r="A227" s="155" t="n">
        <v>46104</v>
      </c>
      <c r="B227" s="156" t="inlineStr">
        <is>
          <t>15-16</t>
        </is>
      </c>
      <c r="C227" s="156" t="inlineStr">
        <is>
          <t>EX-755</t>
        </is>
      </c>
      <c r="D227" s="156" t="inlineStr">
        <is>
          <t>DT-808</t>
        </is>
      </c>
      <c r="E227" s="156" t="inlineStr">
        <is>
          <t>OB</t>
        </is>
      </c>
      <c r="F227" s="156" t="n">
        <v>2</v>
      </c>
      <c r="G227" s="156" t="inlineStr"/>
      <c r="H227" s="157">
        <f>IF($B227="","",IF(ISNA(MATCH($B227,MASTER_JAM!$Q$5:$Q$28,0)),"?",IF(MATCH($B227,MASTER_JAM!$Q$5:$Q$28,0)&lt;=12,"DS","NS")))</f>
        <v/>
      </c>
      <c r="I227" s="157">
        <f>IFERROR(INDEX(MASTER_JAM!$B$5:$B$94,MATCH($C227,MASTER_JAM!$A$5:$A$94,0)),"")</f>
        <v/>
      </c>
      <c r="J227" s="157">
        <f>IFERROR(INDEX(MASTER_JAM!$E$5:$E$94,MATCH($D227,MASTER_JAM!$A$5:$A$94,0)),"")</f>
        <v/>
      </c>
      <c r="K227" s="158">
        <f>IFERROR(INDEX(MASTER_JAM!$J$5:$O$12,MATCH($E227,MASTER_JAM!$I$5:$I$12,0),MATCH($J227,MASTER_JAM!$J$4:$O$4,0))+0,0)</f>
        <v/>
      </c>
      <c r="L227" s="159">
        <f>N($F227)*$K227</f>
        <v/>
      </c>
      <c r="M227" s="157">
        <f>IF($E227="","",IF(OR($E227="Coal",$E227="Dirty Coal"),"MT","BCM"))</f>
        <v/>
      </c>
      <c r="N227" s="157">
        <f>IF($E227="","",IF(OR($E227="Coal",$E227="Dirty Coal"),"Coal","OB"))</f>
        <v/>
      </c>
      <c r="O227" s="157">
        <f>IF($F227="","",IF(COUNTIF(MASTER_JAM!$A$5:$A$94,$C227)=0,"Digger tidak dikenal",IF($J227="","Hauler tidak dikenal",IF($H227="?","Jam salah",IF($K227=0,"Faktor kosong",IF(SUMIFS(INPUT_DELAY!$E$5:$E$20000,INPUT_DELAY!$A$5:$A$20000,$A227,INPUT_DELAY!$B$5:$B$20000,$B227,INPUT_DELAY!$C$5:$C$20000,$C227)+SUMIFS(INPUT_DELAY!$E$5:$E$20000,INPUT_DELAY!$A$5:$A$20000,$A227,INPUT_DELAY!$B$5:$B$20000,$B227,INPUT_DELAY!$C$5:$C$20000,"SEMUA")&gt;=60,"Delay 60 mnt tapi ada ritase","OK"))))))</f>
        <v/>
      </c>
      <c r="P227" s="158">
        <f>IFERROR(INDEX(MASTER_JAM!$Z$5:$AC$10,MATCH($I227,MASTER_JAM!$Y$5:$Y$10,0),MATCH($J227,MASTER_JAM!$Z$4:$AC$4,0))+0,0)</f>
        <v/>
      </c>
      <c r="Q227" s="158">
        <f>IF($P227=0,0,$P227+IFERROR(INDEX(MASTER_JAM!$H$5:$H$94,MATCH($C227,MASTER_JAM!$A$5:$A$94,0))+0,MASTER_JAM!$AC$15)/1000*(60/MASTER_JAM!$AC$12+60/MASTER_JAM!$AC$13)+MASTER_JAM!$AC$14)</f>
        <v/>
      </c>
      <c r="R227" s="158">
        <f>IF(N($F227)=0,0,$F227/SUMIFS(INPUT_RITASE!$F$5:$F$20000,INPUT_RITASE!$A$5:$A$20000,$A227,INPUT_RITASE!$B$5:$B$20000,$B227,INPUT_RITASE!$C$5:$C$20000,$C227,INPUT_RITASE!$D$5:$D$20000,$D227))</f>
        <v/>
      </c>
      <c r="S227" s="158">
        <f>IF($Q227=0,0,$R227*$P227/$Q227)</f>
        <v/>
      </c>
    </row>
    <row r="228">
      <c r="A228" s="155" t="n">
        <v>46104</v>
      </c>
      <c r="B228" s="156" t="inlineStr">
        <is>
          <t>16-17</t>
        </is>
      </c>
      <c r="C228" s="156" t="inlineStr">
        <is>
          <t>EX-755</t>
        </is>
      </c>
      <c r="D228" s="156" t="inlineStr">
        <is>
          <t>DT-504</t>
        </is>
      </c>
      <c r="E228" s="156" t="inlineStr">
        <is>
          <t>OB</t>
        </is>
      </c>
      <c r="F228" s="156" t="n">
        <v>4</v>
      </c>
      <c r="G228" s="156" t="inlineStr"/>
      <c r="H228" s="157">
        <f>IF($B228="","",IF(ISNA(MATCH($B228,MASTER_JAM!$Q$5:$Q$28,0)),"?",IF(MATCH($B228,MASTER_JAM!$Q$5:$Q$28,0)&lt;=12,"DS","NS")))</f>
        <v/>
      </c>
      <c r="I228" s="157">
        <f>IFERROR(INDEX(MASTER_JAM!$B$5:$B$94,MATCH($C228,MASTER_JAM!$A$5:$A$94,0)),"")</f>
        <v/>
      </c>
      <c r="J228" s="157">
        <f>IFERROR(INDEX(MASTER_JAM!$E$5:$E$94,MATCH($D228,MASTER_JAM!$A$5:$A$94,0)),"")</f>
        <v/>
      </c>
      <c r="K228" s="158">
        <f>IFERROR(INDEX(MASTER_JAM!$J$5:$O$12,MATCH($E228,MASTER_JAM!$I$5:$I$12,0),MATCH($J228,MASTER_JAM!$J$4:$O$4,0))+0,0)</f>
        <v/>
      </c>
      <c r="L228" s="159">
        <f>N($F228)*$K228</f>
        <v/>
      </c>
      <c r="M228" s="157">
        <f>IF($E228="","",IF(OR($E228="Coal",$E228="Dirty Coal"),"MT","BCM"))</f>
        <v/>
      </c>
      <c r="N228" s="157">
        <f>IF($E228="","",IF(OR($E228="Coal",$E228="Dirty Coal"),"Coal","OB"))</f>
        <v/>
      </c>
      <c r="O228" s="157">
        <f>IF($F228="","",IF(COUNTIF(MASTER_JAM!$A$5:$A$94,$C228)=0,"Digger tidak dikenal",IF($J228="","Hauler tidak dikenal",IF($H228="?","Jam salah",IF($K228=0,"Faktor kosong",IF(SUMIFS(INPUT_DELAY!$E$5:$E$20000,INPUT_DELAY!$A$5:$A$20000,$A228,INPUT_DELAY!$B$5:$B$20000,$B228,INPUT_DELAY!$C$5:$C$20000,$C228)+SUMIFS(INPUT_DELAY!$E$5:$E$20000,INPUT_DELAY!$A$5:$A$20000,$A228,INPUT_DELAY!$B$5:$B$20000,$B228,INPUT_DELAY!$C$5:$C$20000,"SEMUA")&gt;=60,"Delay 60 mnt tapi ada ritase","OK"))))))</f>
        <v/>
      </c>
      <c r="P228" s="158">
        <f>IFERROR(INDEX(MASTER_JAM!$Z$5:$AC$10,MATCH($I228,MASTER_JAM!$Y$5:$Y$10,0),MATCH($J228,MASTER_JAM!$Z$4:$AC$4,0))+0,0)</f>
        <v/>
      </c>
      <c r="Q228" s="158">
        <f>IF($P228=0,0,$P228+IFERROR(INDEX(MASTER_JAM!$H$5:$H$94,MATCH($C228,MASTER_JAM!$A$5:$A$94,0))+0,MASTER_JAM!$AC$15)/1000*(60/MASTER_JAM!$AC$12+60/MASTER_JAM!$AC$13)+MASTER_JAM!$AC$14)</f>
        <v/>
      </c>
      <c r="R228" s="158">
        <f>IF(N($F228)=0,0,$F228/SUMIFS(INPUT_RITASE!$F$5:$F$20000,INPUT_RITASE!$A$5:$A$20000,$A228,INPUT_RITASE!$B$5:$B$20000,$B228,INPUT_RITASE!$C$5:$C$20000,$C228,INPUT_RITASE!$D$5:$D$20000,$D228))</f>
        <v/>
      </c>
      <c r="S228" s="158">
        <f>IF($Q228=0,0,$R228*$P228/$Q228)</f>
        <v/>
      </c>
    </row>
    <row r="229">
      <c r="A229" s="155" t="n">
        <v>46104</v>
      </c>
      <c r="B229" s="156" t="inlineStr">
        <is>
          <t>16-17</t>
        </is>
      </c>
      <c r="C229" s="156" t="inlineStr">
        <is>
          <t>EX-755</t>
        </is>
      </c>
      <c r="D229" s="156" t="inlineStr">
        <is>
          <t>DT-508</t>
        </is>
      </c>
      <c r="E229" s="156" t="inlineStr">
        <is>
          <t>OB</t>
        </is>
      </c>
      <c r="F229" s="156" t="n">
        <v>3</v>
      </c>
      <c r="G229" s="156" t="inlineStr"/>
      <c r="H229" s="157">
        <f>IF($B229="","",IF(ISNA(MATCH($B229,MASTER_JAM!$Q$5:$Q$28,0)),"?",IF(MATCH($B229,MASTER_JAM!$Q$5:$Q$28,0)&lt;=12,"DS","NS")))</f>
        <v/>
      </c>
      <c r="I229" s="157">
        <f>IFERROR(INDEX(MASTER_JAM!$B$5:$B$94,MATCH($C229,MASTER_JAM!$A$5:$A$94,0)),"")</f>
        <v/>
      </c>
      <c r="J229" s="157">
        <f>IFERROR(INDEX(MASTER_JAM!$E$5:$E$94,MATCH($D229,MASTER_JAM!$A$5:$A$94,0)),"")</f>
        <v/>
      </c>
      <c r="K229" s="158">
        <f>IFERROR(INDEX(MASTER_JAM!$J$5:$O$12,MATCH($E229,MASTER_JAM!$I$5:$I$12,0),MATCH($J229,MASTER_JAM!$J$4:$O$4,0))+0,0)</f>
        <v/>
      </c>
      <c r="L229" s="159">
        <f>N($F229)*$K229</f>
        <v/>
      </c>
      <c r="M229" s="157">
        <f>IF($E229="","",IF(OR($E229="Coal",$E229="Dirty Coal"),"MT","BCM"))</f>
        <v/>
      </c>
      <c r="N229" s="157">
        <f>IF($E229="","",IF(OR($E229="Coal",$E229="Dirty Coal"),"Coal","OB"))</f>
        <v/>
      </c>
      <c r="O229" s="157">
        <f>IF($F229="","",IF(COUNTIF(MASTER_JAM!$A$5:$A$94,$C229)=0,"Digger tidak dikenal",IF($J229="","Hauler tidak dikenal",IF($H229="?","Jam salah",IF($K229=0,"Faktor kosong",IF(SUMIFS(INPUT_DELAY!$E$5:$E$20000,INPUT_DELAY!$A$5:$A$20000,$A229,INPUT_DELAY!$B$5:$B$20000,$B229,INPUT_DELAY!$C$5:$C$20000,$C229)+SUMIFS(INPUT_DELAY!$E$5:$E$20000,INPUT_DELAY!$A$5:$A$20000,$A229,INPUT_DELAY!$B$5:$B$20000,$B229,INPUT_DELAY!$C$5:$C$20000,"SEMUA")&gt;=60,"Delay 60 mnt tapi ada ritase","OK"))))))</f>
        <v/>
      </c>
      <c r="P229" s="158">
        <f>IFERROR(INDEX(MASTER_JAM!$Z$5:$AC$10,MATCH($I229,MASTER_JAM!$Y$5:$Y$10,0),MATCH($J229,MASTER_JAM!$Z$4:$AC$4,0))+0,0)</f>
        <v/>
      </c>
      <c r="Q229" s="158">
        <f>IF($P229=0,0,$P229+IFERROR(INDEX(MASTER_JAM!$H$5:$H$94,MATCH($C229,MASTER_JAM!$A$5:$A$94,0))+0,MASTER_JAM!$AC$15)/1000*(60/MASTER_JAM!$AC$12+60/MASTER_JAM!$AC$13)+MASTER_JAM!$AC$14)</f>
        <v/>
      </c>
      <c r="R229" s="158">
        <f>IF(N($F229)=0,0,$F229/SUMIFS(INPUT_RITASE!$F$5:$F$20000,INPUT_RITASE!$A$5:$A$20000,$A229,INPUT_RITASE!$B$5:$B$20000,$B229,INPUT_RITASE!$C$5:$C$20000,$C229,INPUT_RITASE!$D$5:$D$20000,$D229))</f>
        <v/>
      </c>
      <c r="S229" s="158">
        <f>IF($Q229=0,0,$R229*$P229/$Q229)</f>
        <v/>
      </c>
    </row>
    <row r="230">
      <c r="A230" s="155" t="n">
        <v>46104</v>
      </c>
      <c r="B230" s="156" t="inlineStr">
        <is>
          <t>16-17</t>
        </is>
      </c>
      <c r="C230" s="156" t="inlineStr">
        <is>
          <t>EX-755</t>
        </is>
      </c>
      <c r="D230" s="156" t="inlineStr">
        <is>
          <t>DT-513</t>
        </is>
      </c>
      <c r="E230" s="156" t="inlineStr">
        <is>
          <t>OB</t>
        </is>
      </c>
      <c r="F230" s="156" t="n">
        <v>3</v>
      </c>
      <c r="G230" s="156" t="inlineStr"/>
      <c r="H230" s="157">
        <f>IF($B230="","",IF(ISNA(MATCH($B230,MASTER_JAM!$Q$5:$Q$28,0)),"?",IF(MATCH($B230,MASTER_JAM!$Q$5:$Q$28,0)&lt;=12,"DS","NS")))</f>
        <v/>
      </c>
      <c r="I230" s="157">
        <f>IFERROR(INDEX(MASTER_JAM!$B$5:$B$94,MATCH($C230,MASTER_JAM!$A$5:$A$94,0)),"")</f>
        <v/>
      </c>
      <c r="J230" s="157">
        <f>IFERROR(INDEX(MASTER_JAM!$E$5:$E$94,MATCH($D230,MASTER_JAM!$A$5:$A$94,0)),"")</f>
        <v/>
      </c>
      <c r="K230" s="158">
        <f>IFERROR(INDEX(MASTER_JAM!$J$5:$O$12,MATCH($E230,MASTER_JAM!$I$5:$I$12,0),MATCH($J230,MASTER_JAM!$J$4:$O$4,0))+0,0)</f>
        <v/>
      </c>
      <c r="L230" s="159">
        <f>N($F230)*$K230</f>
        <v/>
      </c>
      <c r="M230" s="157">
        <f>IF($E230="","",IF(OR($E230="Coal",$E230="Dirty Coal"),"MT","BCM"))</f>
        <v/>
      </c>
      <c r="N230" s="157">
        <f>IF($E230="","",IF(OR($E230="Coal",$E230="Dirty Coal"),"Coal","OB"))</f>
        <v/>
      </c>
      <c r="O230" s="157">
        <f>IF($F230="","",IF(COUNTIF(MASTER_JAM!$A$5:$A$94,$C230)=0,"Digger tidak dikenal",IF($J230="","Hauler tidak dikenal",IF($H230="?","Jam salah",IF($K230=0,"Faktor kosong",IF(SUMIFS(INPUT_DELAY!$E$5:$E$20000,INPUT_DELAY!$A$5:$A$20000,$A230,INPUT_DELAY!$B$5:$B$20000,$B230,INPUT_DELAY!$C$5:$C$20000,$C230)+SUMIFS(INPUT_DELAY!$E$5:$E$20000,INPUT_DELAY!$A$5:$A$20000,$A230,INPUT_DELAY!$B$5:$B$20000,$B230,INPUT_DELAY!$C$5:$C$20000,"SEMUA")&gt;=60,"Delay 60 mnt tapi ada ritase","OK"))))))</f>
        <v/>
      </c>
      <c r="P230" s="158">
        <f>IFERROR(INDEX(MASTER_JAM!$Z$5:$AC$10,MATCH($I230,MASTER_JAM!$Y$5:$Y$10,0),MATCH($J230,MASTER_JAM!$Z$4:$AC$4,0))+0,0)</f>
        <v/>
      </c>
      <c r="Q230" s="158">
        <f>IF($P230=0,0,$P230+IFERROR(INDEX(MASTER_JAM!$H$5:$H$94,MATCH($C230,MASTER_JAM!$A$5:$A$94,0))+0,MASTER_JAM!$AC$15)/1000*(60/MASTER_JAM!$AC$12+60/MASTER_JAM!$AC$13)+MASTER_JAM!$AC$14)</f>
        <v/>
      </c>
      <c r="R230" s="158">
        <f>IF(N($F230)=0,0,$F230/SUMIFS(INPUT_RITASE!$F$5:$F$20000,INPUT_RITASE!$A$5:$A$20000,$A230,INPUT_RITASE!$B$5:$B$20000,$B230,INPUT_RITASE!$C$5:$C$20000,$C230,INPUT_RITASE!$D$5:$D$20000,$D230))</f>
        <v/>
      </c>
      <c r="S230" s="158">
        <f>IF($Q230=0,0,$R230*$P230/$Q230)</f>
        <v/>
      </c>
    </row>
    <row r="231">
      <c r="A231" s="155" t="n">
        <v>46104</v>
      </c>
      <c r="B231" s="156" t="inlineStr">
        <is>
          <t>16-17</t>
        </is>
      </c>
      <c r="C231" s="156" t="inlineStr">
        <is>
          <t>EX-755</t>
        </is>
      </c>
      <c r="D231" s="156" t="inlineStr">
        <is>
          <t>DT-510</t>
        </is>
      </c>
      <c r="E231" s="156" t="inlineStr">
        <is>
          <t>OB</t>
        </is>
      </c>
      <c r="F231" s="156" t="n">
        <v>3</v>
      </c>
      <c r="G231" s="156" t="inlineStr"/>
      <c r="H231" s="157">
        <f>IF($B231="","",IF(ISNA(MATCH($B231,MASTER_JAM!$Q$5:$Q$28,0)),"?",IF(MATCH($B231,MASTER_JAM!$Q$5:$Q$28,0)&lt;=12,"DS","NS")))</f>
        <v/>
      </c>
      <c r="I231" s="157">
        <f>IFERROR(INDEX(MASTER_JAM!$B$5:$B$94,MATCH($C231,MASTER_JAM!$A$5:$A$94,0)),"")</f>
        <v/>
      </c>
      <c r="J231" s="157">
        <f>IFERROR(INDEX(MASTER_JAM!$E$5:$E$94,MATCH($D231,MASTER_JAM!$A$5:$A$94,0)),"")</f>
        <v/>
      </c>
      <c r="K231" s="158">
        <f>IFERROR(INDEX(MASTER_JAM!$J$5:$O$12,MATCH($E231,MASTER_JAM!$I$5:$I$12,0),MATCH($J231,MASTER_JAM!$J$4:$O$4,0))+0,0)</f>
        <v/>
      </c>
      <c r="L231" s="159">
        <f>N($F231)*$K231</f>
        <v/>
      </c>
      <c r="M231" s="157">
        <f>IF($E231="","",IF(OR($E231="Coal",$E231="Dirty Coal"),"MT","BCM"))</f>
        <v/>
      </c>
      <c r="N231" s="157">
        <f>IF($E231="","",IF(OR($E231="Coal",$E231="Dirty Coal"),"Coal","OB"))</f>
        <v/>
      </c>
      <c r="O231" s="157">
        <f>IF($F231="","",IF(COUNTIF(MASTER_JAM!$A$5:$A$94,$C231)=0,"Digger tidak dikenal",IF($J231="","Hauler tidak dikenal",IF($H231="?","Jam salah",IF($K231=0,"Faktor kosong",IF(SUMIFS(INPUT_DELAY!$E$5:$E$20000,INPUT_DELAY!$A$5:$A$20000,$A231,INPUT_DELAY!$B$5:$B$20000,$B231,INPUT_DELAY!$C$5:$C$20000,$C231)+SUMIFS(INPUT_DELAY!$E$5:$E$20000,INPUT_DELAY!$A$5:$A$20000,$A231,INPUT_DELAY!$B$5:$B$20000,$B231,INPUT_DELAY!$C$5:$C$20000,"SEMUA")&gt;=60,"Delay 60 mnt tapi ada ritase","OK"))))))</f>
        <v/>
      </c>
      <c r="P231" s="158">
        <f>IFERROR(INDEX(MASTER_JAM!$Z$5:$AC$10,MATCH($I231,MASTER_JAM!$Y$5:$Y$10,0),MATCH($J231,MASTER_JAM!$Z$4:$AC$4,0))+0,0)</f>
        <v/>
      </c>
      <c r="Q231" s="158">
        <f>IF($P231=0,0,$P231+IFERROR(INDEX(MASTER_JAM!$H$5:$H$94,MATCH($C231,MASTER_JAM!$A$5:$A$94,0))+0,MASTER_JAM!$AC$15)/1000*(60/MASTER_JAM!$AC$12+60/MASTER_JAM!$AC$13)+MASTER_JAM!$AC$14)</f>
        <v/>
      </c>
      <c r="R231" s="158">
        <f>IF(N($F231)=0,0,$F231/SUMIFS(INPUT_RITASE!$F$5:$F$20000,INPUT_RITASE!$A$5:$A$20000,$A231,INPUT_RITASE!$B$5:$B$20000,$B231,INPUT_RITASE!$C$5:$C$20000,$C231,INPUT_RITASE!$D$5:$D$20000,$D231))</f>
        <v/>
      </c>
      <c r="S231" s="158">
        <f>IF($Q231=0,0,$R231*$P231/$Q231)</f>
        <v/>
      </c>
    </row>
    <row r="232">
      <c r="A232" s="155" t="n">
        <v>46104</v>
      </c>
      <c r="B232" s="156" t="inlineStr">
        <is>
          <t>16-17</t>
        </is>
      </c>
      <c r="C232" s="156" t="inlineStr">
        <is>
          <t>EX-755</t>
        </is>
      </c>
      <c r="D232" s="156" t="inlineStr">
        <is>
          <t>DT-802</t>
        </is>
      </c>
      <c r="E232" s="156" t="inlineStr">
        <is>
          <t>OB</t>
        </is>
      </c>
      <c r="F232" s="156" t="n">
        <v>4</v>
      </c>
      <c r="G232" s="156" t="inlineStr"/>
      <c r="H232" s="157">
        <f>IF($B232="","",IF(ISNA(MATCH($B232,MASTER_JAM!$Q$5:$Q$28,0)),"?",IF(MATCH($B232,MASTER_JAM!$Q$5:$Q$28,0)&lt;=12,"DS","NS")))</f>
        <v/>
      </c>
      <c r="I232" s="157">
        <f>IFERROR(INDEX(MASTER_JAM!$B$5:$B$94,MATCH($C232,MASTER_JAM!$A$5:$A$94,0)),"")</f>
        <v/>
      </c>
      <c r="J232" s="157">
        <f>IFERROR(INDEX(MASTER_JAM!$E$5:$E$94,MATCH($D232,MASTER_JAM!$A$5:$A$94,0)),"")</f>
        <v/>
      </c>
      <c r="K232" s="158">
        <f>IFERROR(INDEX(MASTER_JAM!$J$5:$O$12,MATCH($E232,MASTER_JAM!$I$5:$I$12,0),MATCH($J232,MASTER_JAM!$J$4:$O$4,0))+0,0)</f>
        <v/>
      </c>
      <c r="L232" s="159">
        <f>N($F232)*$K232</f>
        <v/>
      </c>
      <c r="M232" s="157">
        <f>IF($E232="","",IF(OR($E232="Coal",$E232="Dirty Coal"),"MT","BCM"))</f>
        <v/>
      </c>
      <c r="N232" s="157">
        <f>IF($E232="","",IF(OR($E232="Coal",$E232="Dirty Coal"),"Coal","OB"))</f>
        <v/>
      </c>
      <c r="O232" s="157">
        <f>IF($F232="","",IF(COUNTIF(MASTER_JAM!$A$5:$A$94,$C232)=0,"Digger tidak dikenal",IF($J232="","Hauler tidak dikenal",IF($H232="?","Jam salah",IF($K232=0,"Faktor kosong",IF(SUMIFS(INPUT_DELAY!$E$5:$E$20000,INPUT_DELAY!$A$5:$A$20000,$A232,INPUT_DELAY!$B$5:$B$20000,$B232,INPUT_DELAY!$C$5:$C$20000,$C232)+SUMIFS(INPUT_DELAY!$E$5:$E$20000,INPUT_DELAY!$A$5:$A$20000,$A232,INPUT_DELAY!$B$5:$B$20000,$B232,INPUT_DELAY!$C$5:$C$20000,"SEMUA")&gt;=60,"Delay 60 mnt tapi ada ritase","OK"))))))</f>
        <v/>
      </c>
      <c r="P232" s="158">
        <f>IFERROR(INDEX(MASTER_JAM!$Z$5:$AC$10,MATCH($I232,MASTER_JAM!$Y$5:$Y$10,0),MATCH($J232,MASTER_JAM!$Z$4:$AC$4,0))+0,0)</f>
        <v/>
      </c>
      <c r="Q232" s="158">
        <f>IF($P232=0,0,$P232+IFERROR(INDEX(MASTER_JAM!$H$5:$H$94,MATCH($C232,MASTER_JAM!$A$5:$A$94,0))+0,MASTER_JAM!$AC$15)/1000*(60/MASTER_JAM!$AC$12+60/MASTER_JAM!$AC$13)+MASTER_JAM!$AC$14)</f>
        <v/>
      </c>
      <c r="R232" s="158">
        <f>IF(N($F232)=0,0,$F232/SUMIFS(INPUT_RITASE!$F$5:$F$20000,INPUT_RITASE!$A$5:$A$20000,$A232,INPUT_RITASE!$B$5:$B$20000,$B232,INPUT_RITASE!$C$5:$C$20000,$C232,INPUT_RITASE!$D$5:$D$20000,$D232))</f>
        <v/>
      </c>
      <c r="S232" s="158">
        <f>IF($Q232=0,0,$R232*$P232/$Q232)</f>
        <v/>
      </c>
    </row>
    <row r="233">
      <c r="A233" s="155" t="n">
        <v>46104</v>
      </c>
      <c r="B233" s="156" t="inlineStr">
        <is>
          <t>17-18</t>
        </is>
      </c>
      <c r="C233" s="156" t="inlineStr">
        <is>
          <t>EX-755</t>
        </is>
      </c>
      <c r="D233" s="156" t="inlineStr">
        <is>
          <t>DT-513</t>
        </is>
      </c>
      <c r="E233" s="156" t="inlineStr">
        <is>
          <t>OB</t>
        </is>
      </c>
      <c r="F233" s="156" t="n">
        <v>3</v>
      </c>
      <c r="G233" s="156" t="inlineStr"/>
      <c r="H233" s="157">
        <f>IF($B233="","",IF(ISNA(MATCH($B233,MASTER_JAM!$Q$5:$Q$28,0)),"?",IF(MATCH($B233,MASTER_JAM!$Q$5:$Q$28,0)&lt;=12,"DS","NS")))</f>
        <v/>
      </c>
      <c r="I233" s="157">
        <f>IFERROR(INDEX(MASTER_JAM!$B$5:$B$94,MATCH($C233,MASTER_JAM!$A$5:$A$94,0)),"")</f>
        <v/>
      </c>
      <c r="J233" s="157">
        <f>IFERROR(INDEX(MASTER_JAM!$E$5:$E$94,MATCH($D233,MASTER_JAM!$A$5:$A$94,0)),"")</f>
        <v/>
      </c>
      <c r="K233" s="158">
        <f>IFERROR(INDEX(MASTER_JAM!$J$5:$O$12,MATCH($E233,MASTER_JAM!$I$5:$I$12,0),MATCH($J233,MASTER_JAM!$J$4:$O$4,0))+0,0)</f>
        <v/>
      </c>
      <c r="L233" s="159">
        <f>N($F233)*$K233</f>
        <v/>
      </c>
      <c r="M233" s="157">
        <f>IF($E233="","",IF(OR($E233="Coal",$E233="Dirty Coal"),"MT","BCM"))</f>
        <v/>
      </c>
      <c r="N233" s="157">
        <f>IF($E233="","",IF(OR($E233="Coal",$E233="Dirty Coal"),"Coal","OB"))</f>
        <v/>
      </c>
      <c r="O233" s="157">
        <f>IF($F233="","",IF(COUNTIF(MASTER_JAM!$A$5:$A$94,$C233)=0,"Digger tidak dikenal",IF($J233="","Hauler tidak dikenal",IF($H233="?","Jam salah",IF($K233=0,"Faktor kosong",IF(SUMIFS(INPUT_DELAY!$E$5:$E$20000,INPUT_DELAY!$A$5:$A$20000,$A233,INPUT_DELAY!$B$5:$B$20000,$B233,INPUT_DELAY!$C$5:$C$20000,$C233)+SUMIFS(INPUT_DELAY!$E$5:$E$20000,INPUT_DELAY!$A$5:$A$20000,$A233,INPUT_DELAY!$B$5:$B$20000,$B233,INPUT_DELAY!$C$5:$C$20000,"SEMUA")&gt;=60,"Delay 60 mnt tapi ada ritase","OK"))))))</f>
        <v/>
      </c>
      <c r="P233" s="158">
        <f>IFERROR(INDEX(MASTER_JAM!$Z$5:$AC$10,MATCH($I233,MASTER_JAM!$Y$5:$Y$10,0),MATCH($J233,MASTER_JAM!$Z$4:$AC$4,0))+0,0)</f>
        <v/>
      </c>
      <c r="Q233" s="158">
        <f>IF($P233=0,0,$P233+IFERROR(INDEX(MASTER_JAM!$H$5:$H$94,MATCH($C233,MASTER_JAM!$A$5:$A$94,0))+0,MASTER_JAM!$AC$15)/1000*(60/MASTER_JAM!$AC$12+60/MASTER_JAM!$AC$13)+MASTER_JAM!$AC$14)</f>
        <v/>
      </c>
      <c r="R233" s="158">
        <f>IF(N($F233)=0,0,$F233/SUMIFS(INPUT_RITASE!$F$5:$F$20000,INPUT_RITASE!$A$5:$A$20000,$A233,INPUT_RITASE!$B$5:$B$20000,$B233,INPUT_RITASE!$C$5:$C$20000,$C233,INPUT_RITASE!$D$5:$D$20000,$D233))</f>
        <v/>
      </c>
      <c r="S233" s="158">
        <f>IF($Q233=0,0,$R233*$P233/$Q233)</f>
        <v/>
      </c>
    </row>
    <row r="234">
      <c r="A234" s="155" t="n">
        <v>46104</v>
      </c>
      <c r="B234" s="156" t="inlineStr">
        <is>
          <t>17-18</t>
        </is>
      </c>
      <c r="C234" s="156" t="inlineStr">
        <is>
          <t>EX-755</t>
        </is>
      </c>
      <c r="D234" s="156" t="inlineStr">
        <is>
          <t>DT-809</t>
        </is>
      </c>
      <c r="E234" s="156" t="inlineStr">
        <is>
          <t>OB</t>
        </is>
      </c>
      <c r="F234" s="156" t="n">
        <v>1</v>
      </c>
      <c r="G234" s="156" t="inlineStr"/>
      <c r="H234" s="157">
        <f>IF($B234="","",IF(ISNA(MATCH($B234,MASTER_JAM!$Q$5:$Q$28,0)),"?",IF(MATCH($B234,MASTER_JAM!$Q$5:$Q$28,0)&lt;=12,"DS","NS")))</f>
        <v/>
      </c>
      <c r="I234" s="157">
        <f>IFERROR(INDEX(MASTER_JAM!$B$5:$B$94,MATCH($C234,MASTER_JAM!$A$5:$A$94,0)),"")</f>
        <v/>
      </c>
      <c r="J234" s="157">
        <f>IFERROR(INDEX(MASTER_JAM!$E$5:$E$94,MATCH($D234,MASTER_JAM!$A$5:$A$94,0)),"")</f>
        <v/>
      </c>
      <c r="K234" s="158">
        <f>IFERROR(INDEX(MASTER_JAM!$J$5:$O$12,MATCH($E234,MASTER_JAM!$I$5:$I$12,0),MATCH($J234,MASTER_JAM!$J$4:$O$4,0))+0,0)</f>
        <v/>
      </c>
      <c r="L234" s="159">
        <f>N($F234)*$K234</f>
        <v/>
      </c>
      <c r="M234" s="157">
        <f>IF($E234="","",IF(OR($E234="Coal",$E234="Dirty Coal"),"MT","BCM"))</f>
        <v/>
      </c>
      <c r="N234" s="157">
        <f>IF($E234="","",IF(OR($E234="Coal",$E234="Dirty Coal"),"Coal","OB"))</f>
        <v/>
      </c>
      <c r="O234" s="157">
        <f>IF($F234="","",IF(COUNTIF(MASTER_JAM!$A$5:$A$94,$C234)=0,"Digger tidak dikenal",IF($J234="","Hauler tidak dikenal",IF($H234="?","Jam salah",IF($K234=0,"Faktor kosong",IF(SUMIFS(INPUT_DELAY!$E$5:$E$20000,INPUT_DELAY!$A$5:$A$20000,$A234,INPUT_DELAY!$B$5:$B$20000,$B234,INPUT_DELAY!$C$5:$C$20000,$C234)+SUMIFS(INPUT_DELAY!$E$5:$E$20000,INPUT_DELAY!$A$5:$A$20000,$A234,INPUT_DELAY!$B$5:$B$20000,$B234,INPUT_DELAY!$C$5:$C$20000,"SEMUA")&gt;=60,"Delay 60 mnt tapi ada ritase","OK"))))))</f>
        <v/>
      </c>
      <c r="P234" s="158">
        <f>IFERROR(INDEX(MASTER_JAM!$Z$5:$AC$10,MATCH($I234,MASTER_JAM!$Y$5:$Y$10,0),MATCH($J234,MASTER_JAM!$Z$4:$AC$4,0))+0,0)</f>
        <v/>
      </c>
      <c r="Q234" s="158">
        <f>IF($P234=0,0,$P234+IFERROR(INDEX(MASTER_JAM!$H$5:$H$94,MATCH($C234,MASTER_JAM!$A$5:$A$94,0))+0,MASTER_JAM!$AC$15)/1000*(60/MASTER_JAM!$AC$12+60/MASTER_JAM!$AC$13)+MASTER_JAM!$AC$14)</f>
        <v/>
      </c>
      <c r="R234" s="158">
        <f>IF(N($F234)=0,0,$F234/SUMIFS(INPUT_RITASE!$F$5:$F$20000,INPUT_RITASE!$A$5:$A$20000,$A234,INPUT_RITASE!$B$5:$B$20000,$B234,INPUT_RITASE!$C$5:$C$20000,$C234,INPUT_RITASE!$D$5:$D$20000,$D234))</f>
        <v/>
      </c>
      <c r="S234" s="158">
        <f>IF($Q234=0,0,$R234*$P234/$Q234)</f>
        <v/>
      </c>
    </row>
    <row r="235">
      <c r="A235" s="155" t="n">
        <v>46104</v>
      </c>
      <c r="B235" s="156" t="inlineStr">
        <is>
          <t>18-19</t>
        </is>
      </c>
      <c r="C235" s="156" t="inlineStr">
        <is>
          <t>EX-1251</t>
        </is>
      </c>
      <c r="D235" s="156" t="inlineStr">
        <is>
          <t>DT-516</t>
        </is>
      </c>
      <c r="E235" s="156" t="inlineStr">
        <is>
          <t>OB</t>
        </is>
      </c>
      <c r="F235" s="156" t="n">
        <v>4</v>
      </c>
      <c r="G235" s="156" t="inlineStr"/>
      <c r="H235" s="157">
        <f>IF($B235="","",IF(ISNA(MATCH($B235,MASTER_JAM!$Q$5:$Q$28,0)),"?",IF(MATCH($B235,MASTER_JAM!$Q$5:$Q$28,0)&lt;=12,"DS","NS")))</f>
        <v/>
      </c>
      <c r="I235" s="157">
        <f>IFERROR(INDEX(MASTER_JAM!$B$5:$B$94,MATCH($C235,MASTER_JAM!$A$5:$A$94,0)),"")</f>
        <v/>
      </c>
      <c r="J235" s="157">
        <f>IFERROR(INDEX(MASTER_JAM!$E$5:$E$94,MATCH($D235,MASTER_JAM!$A$5:$A$94,0)),"")</f>
        <v/>
      </c>
      <c r="K235" s="158">
        <f>IFERROR(INDEX(MASTER_JAM!$J$5:$O$12,MATCH($E235,MASTER_JAM!$I$5:$I$12,0),MATCH($J235,MASTER_JAM!$J$4:$O$4,0))+0,0)</f>
        <v/>
      </c>
      <c r="L235" s="159">
        <f>N($F235)*$K235</f>
        <v/>
      </c>
      <c r="M235" s="157">
        <f>IF($E235="","",IF(OR($E235="Coal",$E235="Dirty Coal"),"MT","BCM"))</f>
        <v/>
      </c>
      <c r="N235" s="157">
        <f>IF($E235="","",IF(OR($E235="Coal",$E235="Dirty Coal"),"Coal","OB"))</f>
        <v/>
      </c>
      <c r="O235" s="157">
        <f>IF($F235="","",IF(COUNTIF(MASTER_JAM!$A$5:$A$94,$C235)=0,"Digger tidak dikenal",IF($J235="","Hauler tidak dikenal",IF($H235="?","Jam salah",IF($K235=0,"Faktor kosong",IF(SUMIFS(INPUT_DELAY!$E$5:$E$20000,INPUT_DELAY!$A$5:$A$20000,$A235,INPUT_DELAY!$B$5:$B$20000,$B235,INPUT_DELAY!$C$5:$C$20000,$C235)+SUMIFS(INPUT_DELAY!$E$5:$E$20000,INPUT_DELAY!$A$5:$A$20000,$A235,INPUT_DELAY!$B$5:$B$20000,$B235,INPUT_DELAY!$C$5:$C$20000,"SEMUA")&gt;=60,"Delay 60 mnt tapi ada ritase","OK"))))))</f>
        <v/>
      </c>
      <c r="P235" s="158">
        <f>IFERROR(INDEX(MASTER_JAM!$Z$5:$AC$10,MATCH($I235,MASTER_JAM!$Y$5:$Y$10,0),MATCH($J235,MASTER_JAM!$Z$4:$AC$4,0))+0,0)</f>
        <v/>
      </c>
      <c r="Q235" s="158">
        <f>IF($P235=0,0,$P235+IFERROR(INDEX(MASTER_JAM!$H$5:$H$94,MATCH($C235,MASTER_JAM!$A$5:$A$94,0))+0,MASTER_JAM!$AC$15)/1000*(60/MASTER_JAM!$AC$12+60/MASTER_JAM!$AC$13)+MASTER_JAM!$AC$14)</f>
        <v/>
      </c>
      <c r="R235" s="158">
        <f>IF(N($F235)=0,0,$F235/SUMIFS(INPUT_RITASE!$F$5:$F$20000,INPUT_RITASE!$A$5:$A$20000,$A235,INPUT_RITASE!$B$5:$B$20000,$B235,INPUT_RITASE!$C$5:$C$20000,$C235,INPUT_RITASE!$D$5:$D$20000,$D235))</f>
        <v/>
      </c>
      <c r="S235" s="158">
        <f>IF($Q235=0,0,$R235*$P235/$Q235)</f>
        <v/>
      </c>
    </row>
    <row r="236">
      <c r="A236" s="155" t="n">
        <v>46104</v>
      </c>
      <c r="B236" s="156" t="inlineStr">
        <is>
          <t>18-19</t>
        </is>
      </c>
      <c r="C236" s="156" t="inlineStr">
        <is>
          <t>EX-1251</t>
        </is>
      </c>
      <c r="D236" s="156" t="inlineStr">
        <is>
          <t>DT-522</t>
        </is>
      </c>
      <c r="E236" s="156" t="inlineStr">
        <is>
          <t>OB</t>
        </is>
      </c>
      <c r="F236" s="156" t="n">
        <v>4</v>
      </c>
      <c r="G236" s="156" t="inlineStr"/>
      <c r="H236" s="157">
        <f>IF($B236="","",IF(ISNA(MATCH($B236,MASTER_JAM!$Q$5:$Q$28,0)),"?",IF(MATCH($B236,MASTER_JAM!$Q$5:$Q$28,0)&lt;=12,"DS","NS")))</f>
        <v/>
      </c>
      <c r="I236" s="157">
        <f>IFERROR(INDEX(MASTER_JAM!$B$5:$B$94,MATCH($C236,MASTER_JAM!$A$5:$A$94,0)),"")</f>
        <v/>
      </c>
      <c r="J236" s="157">
        <f>IFERROR(INDEX(MASTER_JAM!$E$5:$E$94,MATCH($D236,MASTER_JAM!$A$5:$A$94,0)),"")</f>
        <v/>
      </c>
      <c r="K236" s="158">
        <f>IFERROR(INDEX(MASTER_JAM!$J$5:$O$12,MATCH($E236,MASTER_JAM!$I$5:$I$12,0),MATCH($J236,MASTER_JAM!$J$4:$O$4,0))+0,0)</f>
        <v/>
      </c>
      <c r="L236" s="159">
        <f>N($F236)*$K236</f>
        <v/>
      </c>
      <c r="M236" s="157">
        <f>IF($E236="","",IF(OR($E236="Coal",$E236="Dirty Coal"),"MT","BCM"))</f>
        <v/>
      </c>
      <c r="N236" s="157">
        <f>IF($E236="","",IF(OR($E236="Coal",$E236="Dirty Coal"),"Coal","OB"))</f>
        <v/>
      </c>
      <c r="O236" s="157">
        <f>IF($F236="","",IF(COUNTIF(MASTER_JAM!$A$5:$A$94,$C236)=0,"Digger tidak dikenal",IF($J236="","Hauler tidak dikenal",IF($H236="?","Jam salah",IF($K236=0,"Faktor kosong",IF(SUMIFS(INPUT_DELAY!$E$5:$E$20000,INPUT_DELAY!$A$5:$A$20000,$A236,INPUT_DELAY!$B$5:$B$20000,$B236,INPUT_DELAY!$C$5:$C$20000,$C236)+SUMIFS(INPUT_DELAY!$E$5:$E$20000,INPUT_DELAY!$A$5:$A$20000,$A236,INPUT_DELAY!$B$5:$B$20000,$B236,INPUT_DELAY!$C$5:$C$20000,"SEMUA")&gt;=60,"Delay 60 mnt tapi ada ritase","OK"))))))</f>
        <v/>
      </c>
      <c r="P236" s="158">
        <f>IFERROR(INDEX(MASTER_JAM!$Z$5:$AC$10,MATCH($I236,MASTER_JAM!$Y$5:$Y$10,0),MATCH($J236,MASTER_JAM!$Z$4:$AC$4,0))+0,0)</f>
        <v/>
      </c>
      <c r="Q236" s="158">
        <f>IF($P236=0,0,$P236+IFERROR(INDEX(MASTER_JAM!$H$5:$H$94,MATCH($C236,MASTER_JAM!$A$5:$A$94,0))+0,MASTER_JAM!$AC$15)/1000*(60/MASTER_JAM!$AC$12+60/MASTER_JAM!$AC$13)+MASTER_JAM!$AC$14)</f>
        <v/>
      </c>
      <c r="R236" s="158">
        <f>IF(N($F236)=0,0,$F236/SUMIFS(INPUT_RITASE!$F$5:$F$20000,INPUT_RITASE!$A$5:$A$20000,$A236,INPUT_RITASE!$B$5:$B$20000,$B236,INPUT_RITASE!$C$5:$C$20000,$C236,INPUT_RITASE!$D$5:$D$20000,$D236))</f>
        <v/>
      </c>
      <c r="S236" s="158">
        <f>IF($Q236=0,0,$R236*$P236/$Q236)</f>
        <v/>
      </c>
    </row>
    <row r="237">
      <c r="A237" s="155" t="n">
        <v>46104</v>
      </c>
      <c r="B237" s="156" t="inlineStr">
        <is>
          <t>18-19</t>
        </is>
      </c>
      <c r="C237" s="156" t="inlineStr">
        <is>
          <t>EX-1251</t>
        </is>
      </c>
      <c r="D237" s="156" t="inlineStr">
        <is>
          <t>DT-521</t>
        </is>
      </c>
      <c r="E237" s="156" t="inlineStr">
        <is>
          <t>OB</t>
        </is>
      </c>
      <c r="F237" s="156" t="n">
        <v>4</v>
      </c>
      <c r="G237" s="156" t="inlineStr"/>
      <c r="H237" s="157">
        <f>IF($B237="","",IF(ISNA(MATCH($B237,MASTER_JAM!$Q$5:$Q$28,0)),"?",IF(MATCH($B237,MASTER_JAM!$Q$5:$Q$28,0)&lt;=12,"DS","NS")))</f>
        <v/>
      </c>
      <c r="I237" s="157">
        <f>IFERROR(INDEX(MASTER_JAM!$B$5:$B$94,MATCH($C237,MASTER_JAM!$A$5:$A$94,0)),"")</f>
        <v/>
      </c>
      <c r="J237" s="157">
        <f>IFERROR(INDEX(MASTER_JAM!$E$5:$E$94,MATCH($D237,MASTER_JAM!$A$5:$A$94,0)),"")</f>
        <v/>
      </c>
      <c r="K237" s="158">
        <f>IFERROR(INDEX(MASTER_JAM!$J$5:$O$12,MATCH($E237,MASTER_JAM!$I$5:$I$12,0),MATCH($J237,MASTER_JAM!$J$4:$O$4,0))+0,0)</f>
        <v/>
      </c>
      <c r="L237" s="159">
        <f>N($F237)*$K237</f>
        <v/>
      </c>
      <c r="M237" s="157">
        <f>IF($E237="","",IF(OR($E237="Coal",$E237="Dirty Coal"),"MT","BCM"))</f>
        <v/>
      </c>
      <c r="N237" s="157">
        <f>IF($E237="","",IF(OR($E237="Coal",$E237="Dirty Coal"),"Coal","OB"))</f>
        <v/>
      </c>
      <c r="O237" s="157">
        <f>IF($F237="","",IF(COUNTIF(MASTER_JAM!$A$5:$A$94,$C237)=0,"Digger tidak dikenal",IF($J237="","Hauler tidak dikenal",IF($H237="?","Jam salah",IF($K237=0,"Faktor kosong",IF(SUMIFS(INPUT_DELAY!$E$5:$E$20000,INPUT_DELAY!$A$5:$A$20000,$A237,INPUT_DELAY!$B$5:$B$20000,$B237,INPUT_DELAY!$C$5:$C$20000,$C237)+SUMIFS(INPUT_DELAY!$E$5:$E$20000,INPUT_DELAY!$A$5:$A$20000,$A237,INPUT_DELAY!$B$5:$B$20000,$B237,INPUT_DELAY!$C$5:$C$20000,"SEMUA")&gt;=60,"Delay 60 mnt tapi ada ritase","OK"))))))</f>
        <v/>
      </c>
      <c r="P237" s="158">
        <f>IFERROR(INDEX(MASTER_JAM!$Z$5:$AC$10,MATCH($I237,MASTER_JAM!$Y$5:$Y$10,0),MATCH($J237,MASTER_JAM!$Z$4:$AC$4,0))+0,0)</f>
        <v/>
      </c>
      <c r="Q237" s="158">
        <f>IF($P237=0,0,$P237+IFERROR(INDEX(MASTER_JAM!$H$5:$H$94,MATCH($C237,MASTER_JAM!$A$5:$A$94,0))+0,MASTER_JAM!$AC$15)/1000*(60/MASTER_JAM!$AC$12+60/MASTER_JAM!$AC$13)+MASTER_JAM!$AC$14)</f>
        <v/>
      </c>
      <c r="R237" s="158">
        <f>IF(N($F237)=0,0,$F237/SUMIFS(INPUT_RITASE!$F$5:$F$20000,INPUT_RITASE!$A$5:$A$20000,$A237,INPUT_RITASE!$B$5:$B$20000,$B237,INPUT_RITASE!$C$5:$C$20000,$C237,INPUT_RITASE!$D$5:$D$20000,$D237))</f>
        <v/>
      </c>
      <c r="S237" s="158">
        <f>IF($Q237=0,0,$R237*$P237/$Q237)</f>
        <v/>
      </c>
    </row>
    <row r="238">
      <c r="A238" s="155" t="n">
        <v>46104</v>
      </c>
      <c r="B238" s="156" t="inlineStr">
        <is>
          <t>18-19</t>
        </is>
      </c>
      <c r="C238" s="156" t="inlineStr">
        <is>
          <t>EX-1251</t>
        </is>
      </c>
      <c r="D238" s="156" t="inlineStr">
        <is>
          <t>DT-503</t>
        </is>
      </c>
      <c r="E238" s="156" t="inlineStr">
        <is>
          <t>OB</t>
        </is>
      </c>
      <c r="F238" s="156" t="n">
        <v>4</v>
      </c>
      <c r="G238" s="156" t="inlineStr"/>
      <c r="H238" s="157">
        <f>IF($B238="","",IF(ISNA(MATCH($B238,MASTER_JAM!$Q$5:$Q$28,0)),"?",IF(MATCH($B238,MASTER_JAM!$Q$5:$Q$28,0)&lt;=12,"DS","NS")))</f>
        <v/>
      </c>
      <c r="I238" s="157">
        <f>IFERROR(INDEX(MASTER_JAM!$B$5:$B$94,MATCH($C238,MASTER_JAM!$A$5:$A$94,0)),"")</f>
        <v/>
      </c>
      <c r="J238" s="157">
        <f>IFERROR(INDEX(MASTER_JAM!$E$5:$E$94,MATCH($D238,MASTER_JAM!$A$5:$A$94,0)),"")</f>
        <v/>
      </c>
      <c r="K238" s="158">
        <f>IFERROR(INDEX(MASTER_JAM!$J$5:$O$12,MATCH($E238,MASTER_JAM!$I$5:$I$12,0),MATCH($J238,MASTER_JAM!$J$4:$O$4,0))+0,0)</f>
        <v/>
      </c>
      <c r="L238" s="159">
        <f>N($F238)*$K238</f>
        <v/>
      </c>
      <c r="M238" s="157">
        <f>IF($E238="","",IF(OR($E238="Coal",$E238="Dirty Coal"),"MT","BCM"))</f>
        <v/>
      </c>
      <c r="N238" s="157">
        <f>IF($E238="","",IF(OR($E238="Coal",$E238="Dirty Coal"),"Coal","OB"))</f>
        <v/>
      </c>
      <c r="O238" s="157">
        <f>IF($F238="","",IF(COUNTIF(MASTER_JAM!$A$5:$A$94,$C238)=0,"Digger tidak dikenal",IF($J238="","Hauler tidak dikenal",IF($H238="?","Jam salah",IF($K238=0,"Faktor kosong",IF(SUMIFS(INPUT_DELAY!$E$5:$E$20000,INPUT_DELAY!$A$5:$A$20000,$A238,INPUT_DELAY!$B$5:$B$20000,$B238,INPUT_DELAY!$C$5:$C$20000,$C238)+SUMIFS(INPUT_DELAY!$E$5:$E$20000,INPUT_DELAY!$A$5:$A$20000,$A238,INPUT_DELAY!$B$5:$B$20000,$B238,INPUT_DELAY!$C$5:$C$20000,"SEMUA")&gt;=60,"Delay 60 mnt tapi ada ritase","OK"))))))</f>
        <v/>
      </c>
      <c r="P238" s="158">
        <f>IFERROR(INDEX(MASTER_JAM!$Z$5:$AC$10,MATCH($I238,MASTER_JAM!$Y$5:$Y$10,0),MATCH($J238,MASTER_JAM!$Z$4:$AC$4,0))+0,0)</f>
        <v/>
      </c>
      <c r="Q238" s="158">
        <f>IF($P238=0,0,$P238+IFERROR(INDEX(MASTER_JAM!$H$5:$H$94,MATCH($C238,MASTER_JAM!$A$5:$A$94,0))+0,MASTER_JAM!$AC$15)/1000*(60/MASTER_JAM!$AC$12+60/MASTER_JAM!$AC$13)+MASTER_JAM!$AC$14)</f>
        <v/>
      </c>
      <c r="R238" s="158">
        <f>IF(N($F238)=0,0,$F238/SUMIFS(INPUT_RITASE!$F$5:$F$20000,INPUT_RITASE!$A$5:$A$20000,$A238,INPUT_RITASE!$B$5:$B$20000,$B238,INPUT_RITASE!$C$5:$C$20000,$C238,INPUT_RITASE!$D$5:$D$20000,$D238))</f>
        <v/>
      </c>
      <c r="S238" s="158">
        <f>IF($Q238=0,0,$R238*$P238/$Q238)</f>
        <v/>
      </c>
    </row>
    <row r="239">
      <c r="A239" s="155" t="n">
        <v>46104</v>
      </c>
      <c r="B239" s="156" t="inlineStr">
        <is>
          <t>18-19</t>
        </is>
      </c>
      <c r="C239" s="156" t="inlineStr">
        <is>
          <t>EX-1251</t>
        </is>
      </c>
      <c r="D239" s="156" t="inlineStr">
        <is>
          <t>DT-523</t>
        </is>
      </c>
      <c r="E239" s="156" t="inlineStr">
        <is>
          <t>OB</t>
        </is>
      </c>
      <c r="F239" s="156" t="n">
        <v>4</v>
      </c>
      <c r="G239" s="156" t="inlineStr"/>
      <c r="H239" s="157">
        <f>IF($B239="","",IF(ISNA(MATCH($B239,MASTER_JAM!$Q$5:$Q$28,0)),"?",IF(MATCH($B239,MASTER_JAM!$Q$5:$Q$28,0)&lt;=12,"DS","NS")))</f>
        <v/>
      </c>
      <c r="I239" s="157">
        <f>IFERROR(INDEX(MASTER_JAM!$B$5:$B$94,MATCH($C239,MASTER_JAM!$A$5:$A$94,0)),"")</f>
        <v/>
      </c>
      <c r="J239" s="157">
        <f>IFERROR(INDEX(MASTER_JAM!$E$5:$E$94,MATCH($D239,MASTER_JAM!$A$5:$A$94,0)),"")</f>
        <v/>
      </c>
      <c r="K239" s="158">
        <f>IFERROR(INDEX(MASTER_JAM!$J$5:$O$12,MATCH($E239,MASTER_JAM!$I$5:$I$12,0),MATCH($J239,MASTER_JAM!$J$4:$O$4,0))+0,0)</f>
        <v/>
      </c>
      <c r="L239" s="159">
        <f>N($F239)*$K239</f>
        <v/>
      </c>
      <c r="M239" s="157">
        <f>IF($E239="","",IF(OR($E239="Coal",$E239="Dirty Coal"),"MT","BCM"))</f>
        <v/>
      </c>
      <c r="N239" s="157">
        <f>IF($E239="","",IF(OR($E239="Coal",$E239="Dirty Coal"),"Coal","OB"))</f>
        <v/>
      </c>
      <c r="O239" s="157">
        <f>IF($F239="","",IF(COUNTIF(MASTER_JAM!$A$5:$A$94,$C239)=0,"Digger tidak dikenal",IF($J239="","Hauler tidak dikenal",IF($H239="?","Jam salah",IF($K239=0,"Faktor kosong",IF(SUMIFS(INPUT_DELAY!$E$5:$E$20000,INPUT_DELAY!$A$5:$A$20000,$A239,INPUT_DELAY!$B$5:$B$20000,$B239,INPUT_DELAY!$C$5:$C$20000,$C239)+SUMIFS(INPUT_DELAY!$E$5:$E$20000,INPUT_DELAY!$A$5:$A$20000,$A239,INPUT_DELAY!$B$5:$B$20000,$B239,INPUT_DELAY!$C$5:$C$20000,"SEMUA")&gt;=60,"Delay 60 mnt tapi ada ritase","OK"))))))</f>
        <v/>
      </c>
      <c r="P239" s="158">
        <f>IFERROR(INDEX(MASTER_JAM!$Z$5:$AC$10,MATCH($I239,MASTER_JAM!$Y$5:$Y$10,0),MATCH($J239,MASTER_JAM!$Z$4:$AC$4,0))+0,0)</f>
        <v/>
      </c>
      <c r="Q239" s="158">
        <f>IF($P239=0,0,$P239+IFERROR(INDEX(MASTER_JAM!$H$5:$H$94,MATCH($C239,MASTER_JAM!$A$5:$A$94,0))+0,MASTER_JAM!$AC$15)/1000*(60/MASTER_JAM!$AC$12+60/MASTER_JAM!$AC$13)+MASTER_JAM!$AC$14)</f>
        <v/>
      </c>
      <c r="R239" s="158">
        <f>IF(N($F239)=0,0,$F239/SUMIFS(INPUT_RITASE!$F$5:$F$20000,INPUT_RITASE!$A$5:$A$20000,$A239,INPUT_RITASE!$B$5:$B$20000,$B239,INPUT_RITASE!$C$5:$C$20000,$C239,INPUT_RITASE!$D$5:$D$20000,$D239))</f>
        <v/>
      </c>
      <c r="S239" s="158">
        <f>IF($Q239=0,0,$R239*$P239/$Q239)</f>
        <v/>
      </c>
    </row>
    <row r="240">
      <c r="A240" s="155" t="n">
        <v>46104</v>
      </c>
      <c r="B240" s="156" t="inlineStr">
        <is>
          <t>18-19</t>
        </is>
      </c>
      <c r="C240" s="156" t="inlineStr">
        <is>
          <t>EX-1251</t>
        </is>
      </c>
      <c r="D240" s="156" t="inlineStr">
        <is>
          <t>DT-513</t>
        </is>
      </c>
      <c r="E240" s="156" t="inlineStr">
        <is>
          <t>OB</t>
        </is>
      </c>
      <c r="F240" s="156" t="n">
        <v>4</v>
      </c>
      <c r="G240" s="156" t="inlineStr"/>
      <c r="H240" s="157">
        <f>IF($B240="","",IF(ISNA(MATCH($B240,MASTER_JAM!$Q$5:$Q$28,0)),"?",IF(MATCH($B240,MASTER_JAM!$Q$5:$Q$28,0)&lt;=12,"DS","NS")))</f>
        <v/>
      </c>
      <c r="I240" s="157">
        <f>IFERROR(INDEX(MASTER_JAM!$B$5:$B$94,MATCH($C240,MASTER_JAM!$A$5:$A$94,0)),"")</f>
        <v/>
      </c>
      <c r="J240" s="157">
        <f>IFERROR(INDEX(MASTER_JAM!$E$5:$E$94,MATCH($D240,MASTER_JAM!$A$5:$A$94,0)),"")</f>
        <v/>
      </c>
      <c r="K240" s="158">
        <f>IFERROR(INDEX(MASTER_JAM!$J$5:$O$12,MATCH($E240,MASTER_JAM!$I$5:$I$12,0),MATCH($J240,MASTER_JAM!$J$4:$O$4,0))+0,0)</f>
        <v/>
      </c>
      <c r="L240" s="159">
        <f>N($F240)*$K240</f>
        <v/>
      </c>
      <c r="M240" s="157">
        <f>IF($E240="","",IF(OR($E240="Coal",$E240="Dirty Coal"),"MT","BCM"))</f>
        <v/>
      </c>
      <c r="N240" s="157">
        <f>IF($E240="","",IF(OR($E240="Coal",$E240="Dirty Coal"),"Coal","OB"))</f>
        <v/>
      </c>
      <c r="O240" s="157">
        <f>IF($F240="","",IF(COUNTIF(MASTER_JAM!$A$5:$A$94,$C240)=0,"Digger tidak dikenal",IF($J240="","Hauler tidak dikenal",IF($H240="?","Jam salah",IF($K240=0,"Faktor kosong",IF(SUMIFS(INPUT_DELAY!$E$5:$E$20000,INPUT_DELAY!$A$5:$A$20000,$A240,INPUT_DELAY!$B$5:$B$20000,$B240,INPUT_DELAY!$C$5:$C$20000,$C240)+SUMIFS(INPUT_DELAY!$E$5:$E$20000,INPUT_DELAY!$A$5:$A$20000,$A240,INPUT_DELAY!$B$5:$B$20000,$B240,INPUT_DELAY!$C$5:$C$20000,"SEMUA")&gt;=60,"Delay 60 mnt tapi ada ritase","OK"))))))</f>
        <v/>
      </c>
      <c r="P240" s="158">
        <f>IFERROR(INDEX(MASTER_JAM!$Z$5:$AC$10,MATCH($I240,MASTER_JAM!$Y$5:$Y$10,0),MATCH($J240,MASTER_JAM!$Z$4:$AC$4,0))+0,0)</f>
        <v/>
      </c>
      <c r="Q240" s="158">
        <f>IF($P240=0,0,$P240+IFERROR(INDEX(MASTER_JAM!$H$5:$H$94,MATCH($C240,MASTER_JAM!$A$5:$A$94,0))+0,MASTER_JAM!$AC$15)/1000*(60/MASTER_JAM!$AC$12+60/MASTER_JAM!$AC$13)+MASTER_JAM!$AC$14)</f>
        <v/>
      </c>
      <c r="R240" s="158">
        <f>IF(N($F240)=0,0,$F240/SUMIFS(INPUT_RITASE!$F$5:$F$20000,INPUT_RITASE!$A$5:$A$20000,$A240,INPUT_RITASE!$B$5:$B$20000,$B240,INPUT_RITASE!$C$5:$C$20000,$C240,INPUT_RITASE!$D$5:$D$20000,$D240))</f>
        <v/>
      </c>
      <c r="S240" s="158">
        <f>IF($Q240=0,0,$R240*$P240/$Q240)</f>
        <v/>
      </c>
    </row>
    <row r="241">
      <c r="A241" s="155" t="n">
        <v>46104</v>
      </c>
      <c r="B241" s="156" t="inlineStr">
        <is>
          <t>18-19</t>
        </is>
      </c>
      <c r="C241" s="156" t="inlineStr">
        <is>
          <t>EX-1251</t>
        </is>
      </c>
      <c r="D241" s="156" t="inlineStr">
        <is>
          <t>DT-501</t>
        </is>
      </c>
      <c r="E241" s="156" t="inlineStr">
        <is>
          <t>OB</t>
        </is>
      </c>
      <c r="F241" s="156" t="n">
        <v>4</v>
      </c>
      <c r="G241" s="156" t="inlineStr"/>
      <c r="H241" s="157">
        <f>IF($B241="","",IF(ISNA(MATCH($B241,MASTER_JAM!$Q$5:$Q$28,0)),"?",IF(MATCH($B241,MASTER_JAM!$Q$5:$Q$28,0)&lt;=12,"DS","NS")))</f>
        <v/>
      </c>
      <c r="I241" s="157">
        <f>IFERROR(INDEX(MASTER_JAM!$B$5:$B$94,MATCH($C241,MASTER_JAM!$A$5:$A$94,0)),"")</f>
        <v/>
      </c>
      <c r="J241" s="157">
        <f>IFERROR(INDEX(MASTER_JAM!$E$5:$E$94,MATCH($D241,MASTER_JAM!$A$5:$A$94,0)),"")</f>
        <v/>
      </c>
      <c r="K241" s="158">
        <f>IFERROR(INDEX(MASTER_JAM!$J$5:$O$12,MATCH($E241,MASTER_JAM!$I$5:$I$12,0),MATCH($J241,MASTER_JAM!$J$4:$O$4,0))+0,0)</f>
        <v/>
      </c>
      <c r="L241" s="159">
        <f>N($F241)*$K241</f>
        <v/>
      </c>
      <c r="M241" s="157">
        <f>IF($E241="","",IF(OR($E241="Coal",$E241="Dirty Coal"),"MT","BCM"))</f>
        <v/>
      </c>
      <c r="N241" s="157">
        <f>IF($E241="","",IF(OR($E241="Coal",$E241="Dirty Coal"),"Coal","OB"))</f>
        <v/>
      </c>
      <c r="O241" s="157">
        <f>IF($F241="","",IF(COUNTIF(MASTER_JAM!$A$5:$A$94,$C241)=0,"Digger tidak dikenal",IF($J241="","Hauler tidak dikenal",IF($H241="?","Jam salah",IF($K241=0,"Faktor kosong",IF(SUMIFS(INPUT_DELAY!$E$5:$E$20000,INPUT_DELAY!$A$5:$A$20000,$A241,INPUT_DELAY!$B$5:$B$20000,$B241,INPUT_DELAY!$C$5:$C$20000,$C241)+SUMIFS(INPUT_DELAY!$E$5:$E$20000,INPUT_DELAY!$A$5:$A$20000,$A241,INPUT_DELAY!$B$5:$B$20000,$B241,INPUT_DELAY!$C$5:$C$20000,"SEMUA")&gt;=60,"Delay 60 mnt tapi ada ritase","OK"))))))</f>
        <v/>
      </c>
      <c r="P241" s="158">
        <f>IFERROR(INDEX(MASTER_JAM!$Z$5:$AC$10,MATCH($I241,MASTER_JAM!$Y$5:$Y$10,0),MATCH($J241,MASTER_JAM!$Z$4:$AC$4,0))+0,0)</f>
        <v/>
      </c>
      <c r="Q241" s="158">
        <f>IF($P241=0,0,$P241+IFERROR(INDEX(MASTER_JAM!$H$5:$H$94,MATCH($C241,MASTER_JAM!$A$5:$A$94,0))+0,MASTER_JAM!$AC$15)/1000*(60/MASTER_JAM!$AC$12+60/MASTER_JAM!$AC$13)+MASTER_JAM!$AC$14)</f>
        <v/>
      </c>
      <c r="R241" s="158">
        <f>IF(N($F241)=0,0,$F241/SUMIFS(INPUT_RITASE!$F$5:$F$20000,INPUT_RITASE!$A$5:$A$20000,$A241,INPUT_RITASE!$B$5:$B$20000,$B241,INPUT_RITASE!$C$5:$C$20000,$C241,INPUT_RITASE!$D$5:$D$20000,$D241))</f>
        <v/>
      </c>
      <c r="S241" s="158">
        <f>IF($Q241=0,0,$R241*$P241/$Q241)</f>
        <v/>
      </c>
    </row>
    <row r="242">
      <c r="A242" s="155" t="n">
        <v>46104</v>
      </c>
      <c r="B242" s="156" t="inlineStr">
        <is>
          <t>18-19</t>
        </is>
      </c>
      <c r="C242" s="156" t="inlineStr">
        <is>
          <t>EX-1251</t>
        </is>
      </c>
      <c r="D242" s="156" t="inlineStr">
        <is>
          <t>DT-510</t>
        </is>
      </c>
      <c r="E242" s="156" t="inlineStr">
        <is>
          <t>OB</t>
        </is>
      </c>
      <c r="F242" s="156" t="n">
        <v>4</v>
      </c>
      <c r="G242" s="156" t="inlineStr"/>
      <c r="H242" s="157">
        <f>IF($B242="","",IF(ISNA(MATCH($B242,MASTER_JAM!$Q$5:$Q$28,0)),"?",IF(MATCH($B242,MASTER_JAM!$Q$5:$Q$28,0)&lt;=12,"DS","NS")))</f>
        <v/>
      </c>
      <c r="I242" s="157">
        <f>IFERROR(INDEX(MASTER_JAM!$B$5:$B$94,MATCH($C242,MASTER_JAM!$A$5:$A$94,0)),"")</f>
        <v/>
      </c>
      <c r="J242" s="157">
        <f>IFERROR(INDEX(MASTER_JAM!$E$5:$E$94,MATCH($D242,MASTER_JAM!$A$5:$A$94,0)),"")</f>
        <v/>
      </c>
      <c r="K242" s="158">
        <f>IFERROR(INDEX(MASTER_JAM!$J$5:$O$12,MATCH($E242,MASTER_JAM!$I$5:$I$12,0),MATCH($J242,MASTER_JAM!$J$4:$O$4,0))+0,0)</f>
        <v/>
      </c>
      <c r="L242" s="159">
        <f>N($F242)*$K242</f>
        <v/>
      </c>
      <c r="M242" s="157">
        <f>IF($E242="","",IF(OR($E242="Coal",$E242="Dirty Coal"),"MT","BCM"))</f>
        <v/>
      </c>
      <c r="N242" s="157">
        <f>IF($E242="","",IF(OR($E242="Coal",$E242="Dirty Coal"),"Coal","OB"))</f>
        <v/>
      </c>
      <c r="O242" s="157">
        <f>IF($F242="","",IF(COUNTIF(MASTER_JAM!$A$5:$A$94,$C242)=0,"Digger tidak dikenal",IF($J242="","Hauler tidak dikenal",IF($H242="?","Jam salah",IF($K242=0,"Faktor kosong",IF(SUMIFS(INPUT_DELAY!$E$5:$E$20000,INPUT_DELAY!$A$5:$A$20000,$A242,INPUT_DELAY!$B$5:$B$20000,$B242,INPUT_DELAY!$C$5:$C$20000,$C242)+SUMIFS(INPUT_DELAY!$E$5:$E$20000,INPUT_DELAY!$A$5:$A$20000,$A242,INPUT_DELAY!$B$5:$B$20000,$B242,INPUT_DELAY!$C$5:$C$20000,"SEMUA")&gt;=60,"Delay 60 mnt tapi ada ritase","OK"))))))</f>
        <v/>
      </c>
      <c r="P242" s="158">
        <f>IFERROR(INDEX(MASTER_JAM!$Z$5:$AC$10,MATCH($I242,MASTER_JAM!$Y$5:$Y$10,0),MATCH($J242,MASTER_JAM!$Z$4:$AC$4,0))+0,0)</f>
        <v/>
      </c>
      <c r="Q242" s="158">
        <f>IF($P242=0,0,$P242+IFERROR(INDEX(MASTER_JAM!$H$5:$H$94,MATCH($C242,MASTER_JAM!$A$5:$A$94,0))+0,MASTER_JAM!$AC$15)/1000*(60/MASTER_JAM!$AC$12+60/MASTER_JAM!$AC$13)+MASTER_JAM!$AC$14)</f>
        <v/>
      </c>
      <c r="R242" s="158">
        <f>IF(N($F242)=0,0,$F242/SUMIFS(INPUT_RITASE!$F$5:$F$20000,INPUT_RITASE!$A$5:$A$20000,$A242,INPUT_RITASE!$B$5:$B$20000,$B242,INPUT_RITASE!$C$5:$C$20000,$C242,INPUT_RITASE!$D$5:$D$20000,$D242))</f>
        <v/>
      </c>
      <c r="S242" s="158">
        <f>IF($Q242=0,0,$R242*$P242/$Q242)</f>
        <v/>
      </c>
    </row>
    <row r="243">
      <c r="A243" s="155" t="n">
        <v>46104</v>
      </c>
      <c r="B243" s="156" t="inlineStr">
        <is>
          <t>03-04</t>
        </is>
      </c>
      <c r="C243" s="156" t="inlineStr">
        <is>
          <t>EX-1251</t>
        </is>
      </c>
      <c r="D243" s="156" t="inlineStr">
        <is>
          <t>DT-508</t>
        </is>
      </c>
      <c r="E243" s="156" t="inlineStr">
        <is>
          <t>OB</t>
        </is>
      </c>
      <c r="F243" s="156" t="n">
        <v>4</v>
      </c>
      <c r="G243" s="156" t="inlineStr"/>
      <c r="H243" s="157">
        <f>IF($B243="","",IF(ISNA(MATCH($B243,MASTER_JAM!$Q$5:$Q$28,0)),"?",IF(MATCH($B243,MASTER_JAM!$Q$5:$Q$28,0)&lt;=12,"DS","NS")))</f>
        <v/>
      </c>
      <c r="I243" s="157">
        <f>IFERROR(INDEX(MASTER_JAM!$B$5:$B$94,MATCH($C243,MASTER_JAM!$A$5:$A$94,0)),"")</f>
        <v/>
      </c>
      <c r="J243" s="157">
        <f>IFERROR(INDEX(MASTER_JAM!$E$5:$E$94,MATCH($D243,MASTER_JAM!$A$5:$A$94,0)),"")</f>
        <v/>
      </c>
      <c r="K243" s="158">
        <f>IFERROR(INDEX(MASTER_JAM!$J$5:$O$12,MATCH($E243,MASTER_JAM!$I$5:$I$12,0),MATCH($J243,MASTER_JAM!$J$4:$O$4,0))+0,0)</f>
        <v/>
      </c>
      <c r="L243" s="159">
        <f>N($F243)*$K243</f>
        <v/>
      </c>
      <c r="M243" s="157">
        <f>IF($E243="","",IF(OR($E243="Coal",$E243="Dirty Coal"),"MT","BCM"))</f>
        <v/>
      </c>
      <c r="N243" s="157">
        <f>IF($E243="","",IF(OR($E243="Coal",$E243="Dirty Coal"),"Coal","OB"))</f>
        <v/>
      </c>
      <c r="O243" s="157">
        <f>IF($F243="","",IF(COUNTIF(MASTER_JAM!$A$5:$A$94,$C243)=0,"Digger tidak dikenal",IF($J243="","Hauler tidak dikenal",IF($H243="?","Jam salah",IF($K243=0,"Faktor kosong",IF(SUMIFS(INPUT_DELAY!$E$5:$E$20000,INPUT_DELAY!$A$5:$A$20000,$A243,INPUT_DELAY!$B$5:$B$20000,$B243,INPUT_DELAY!$C$5:$C$20000,$C243)+SUMIFS(INPUT_DELAY!$E$5:$E$20000,INPUT_DELAY!$A$5:$A$20000,$A243,INPUT_DELAY!$B$5:$B$20000,$B243,INPUT_DELAY!$C$5:$C$20000,"SEMUA")&gt;=60,"Delay 60 mnt tapi ada ritase","OK"))))))</f>
        <v/>
      </c>
      <c r="P243" s="158">
        <f>IFERROR(INDEX(MASTER_JAM!$Z$5:$AC$10,MATCH($I243,MASTER_JAM!$Y$5:$Y$10,0),MATCH($J243,MASTER_JAM!$Z$4:$AC$4,0))+0,0)</f>
        <v/>
      </c>
      <c r="Q243" s="158">
        <f>IF($P243=0,0,$P243+IFERROR(INDEX(MASTER_JAM!$H$5:$H$94,MATCH($C243,MASTER_JAM!$A$5:$A$94,0))+0,MASTER_JAM!$AC$15)/1000*(60/MASTER_JAM!$AC$12+60/MASTER_JAM!$AC$13)+MASTER_JAM!$AC$14)</f>
        <v/>
      </c>
      <c r="R243" s="158">
        <f>IF(N($F243)=0,0,$F243/SUMIFS(INPUT_RITASE!$F$5:$F$20000,INPUT_RITASE!$A$5:$A$20000,$A243,INPUT_RITASE!$B$5:$B$20000,$B243,INPUT_RITASE!$C$5:$C$20000,$C243,INPUT_RITASE!$D$5:$D$20000,$D243))</f>
        <v/>
      </c>
      <c r="S243" s="158">
        <f>IF($Q243=0,0,$R243*$P243/$Q243)</f>
        <v/>
      </c>
    </row>
    <row r="244">
      <c r="A244" s="155" t="n">
        <v>46104</v>
      </c>
      <c r="B244" s="156" t="inlineStr">
        <is>
          <t>03-04</t>
        </is>
      </c>
      <c r="C244" s="156" t="inlineStr">
        <is>
          <t>EX-1251</t>
        </is>
      </c>
      <c r="D244" s="156" t="inlineStr">
        <is>
          <t>DT-505</t>
        </is>
      </c>
      <c r="E244" s="156" t="inlineStr">
        <is>
          <t>OB</t>
        </is>
      </c>
      <c r="F244" s="156" t="n">
        <v>4</v>
      </c>
      <c r="G244" s="156" t="inlineStr"/>
      <c r="H244" s="157">
        <f>IF($B244="","",IF(ISNA(MATCH($B244,MASTER_JAM!$Q$5:$Q$28,0)),"?",IF(MATCH($B244,MASTER_JAM!$Q$5:$Q$28,0)&lt;=12,"DS","NS")))</f>
        <v/>
      </c>
      <c r="I244" s="157">
        <f>IFERROR(INDEX(MASTER_JAM!$B$5:$B$94,MATCH($C244,MASTER_JAM!$A$5:$A$94,0)),"")</f>
        <v/>
      </c>
      <c r="J244" s="157">
        <f>IFERROR(INDEX(MASTER_JAM!$E$5:$E$94,MATCH($D244,MASTER_JAM!$A$5:$A$94,0)),"")</f>
        <v/>
      </c>
      <c r="K244" s="158">
        <f>IFERROR(INDEX(MASTER_JAM!$J$5:$O$12,MATCH($E244,MASTER_JAM!$I$5:$I$12,0),MATCH($J244,MASTER_JAM!$J$4:$O$4,0))+0,0)</f>
        <v/>
      </c>
      <c r="L244" s="159">
        <f>N($F244)*$K244</f>
        <v/>
      </c>
      <c r="M244" s="157">
        <f>IF($E244="","",IF(OR($E244="Coal",$E244="Dirty Coal"),"MT","BCM"))</f>
        <v/>
      </c>
      <c r="N244" s="157">
        <f>IF($E244="","",IF(OR($E244="Coal",$E244="Dirty Coal"),"Coal","OB"))</f>
        <v/>
      </c>
      <c r="O244" s="157">
        <f>IF($F244="","",IF(COUNTIF(MASTER_JAM!$A$5:$A$94,$C244)=0,"Digger tidak dikenal",IF($J244="","Hauler tidak dikenal",IF($H244="?","Jam salah",IF($K244=0,"Faktor kosong",IF(SUMIFS(INPUT_DELAY!$E$5:$E$20000,INPUT_DELAY!$A$5:$A$20000,$A244,INPUT_DELAY!$B$5:$B$20000,$B244,INPUT_DELAY!$C$5:$C$20000,$C244)+SUMIFS(INPUT_DELAY!$E$5:$E$20000,INPUT_DELAY!$A$5:$A$20000,$A244,INPUT_DELAY!$B$5:$B$20000,$B244,INPUT_DELAY!$C$5:$C$20000,"SEMUA")&gt;=60,"Delay 60 mnt tapi ada ritase","OK"))))))</f>
        <v/>
      </c>
      <c r="P244" s="158">
        <f>IFERROR(INDEX(MASTER_JAM!$Z$5:$AC$10,MATCH($I244,MASTER_JAM!$Y$5:$Y$10,0),MATCH($J244,MASTER_JAM!$Z$4:$AC$4,0))+0,0)</f>
        <v/>
      </c>
      <c r="Q244" s="158">
        <f>IF($P244=0,0,$P244+IFERROR(INDEX(MASTER_JAM!$H$5:$H$94,MATCH($C244,MASTER_JAM!$A$5:$A$94,0))+0,MASTER_JAM!$AC$15)/1000*(60/MASTER_JAM!$AC$12+60/MASTER_JAM!$AC$13)+MASTER_JAM!$AC$14)</f>
        <v/>
      </c>
      <c r="R244" s="158">
        <f>IF(N($F244)=0,0,$F244/SUMIFS(INPUT_RITASE!$F$5:$F$20000,INPUT_RITASE!$A$5:$A$20000,$A244,INPUT_RITASE!$B$5:$B$20000,$B244,INPUT_RITASE!$C$5:$C$20000,$C244,INPUT_RITASE!$D$5:$D$20000,$D244))</f>
        <v/>
      </c>
      <c r="S244" s="158">
        <f>IF($Q244=0,0,$R244*$P244/$Q244)</f>
        <v/>
      </c>
    </row>
    <row r="245">
      <c r="A245" s="155" t="n">
        <v>46104</v>
      </c>
      <c r="B245" s="156" t="inlineStr">
        <is>
          <t>03-04</t>
        </is>
      </c>
      <c r="C245" s="156" t="inlineStr">
        <is>
          <t>EX-1251</t>
        </is>
      </c>
      <c r="D245" s="156" t="inlineStr">
        <is>
          <t>DT-520</t>
        </is>
      </c>
      <c r="E245" s="156" t="inlineStr">
        <is>
          <t>OB</t>
        </is>
      </c>
      <c r="F245" s="156" t="n">
        <v>4</v>
      </c>
      <c r="G245" s="156" t="inlineStr"/>
      <c r="H245" s="157">
        <f>IF($B245="","",IF(ISNA(MATCH($B245,MASTER_JAM!$Q$5:$Q$28,0)),"?",IF(MATCH($B245,MASTER_JAM!$Q$5:$Q$28,0)&lt;=12,"DS","NS")))</f>
        <v/>
      </c>
      <c r="I245" s="157">
        <f>IFERROR(INDEX(MASTER_JAM!$B$5:$B$94,MATCH($C245,MASTER_JAM!$A$5:$A$94,0)),"")</f>
        <v/>
      </c>
      <c r="J245" s="157">
        <f>IFERROR(INDEX(MASTER_JAM!$E$5:$E$94,MATCH($D245,MASTER_JAM!$A$5:$A$94,0)),"")</f>
        <v/>
      </c>
      <c r="K245" s="158">
        <f>IFERROR(INDEX(MASTER_JAM!$J$5:$O$12,MATCH($E245,MASTER_JAM!$I$5:$I$12,0),MATCH($J245,MASTER_JAM!$J$4:$O$4,0))+0,0)</f>
        <v/>
      </c>
      <c r="L245" s="159">
        <f>N($F245)*$K245</f>
        <v/>
      </c>
      <c r="M245" s="157">
        <f>IF($E245="","",IF(OR($E245="Coal",$E245="Dirty Coal"),"MT","BCM"))</f>
        <v/>
      </c>
      <c r="N245" s="157">
        <f>IF($E245="","",IF(OR($E245="Coal",$E245="Dirty Coal"),"Coal","OB"))</f>
        <v/>
      </c>
      <c r="O245" s="157">
        <f>IF($F245="","",IF(COUNTIF(MASTER_JAM!$A$5:$A$94,$C245)=0,"Digger tidak dikenal",IF($J245="","Hauler tidak dikenal",IF($H245="?","Jam salah",IF($K245=0,"Faktor kosong",IF(SUMIFS(INPUT_DELAY!$E$5:$E$20000,INPUT_DELAY!$A$5:$A$20000,$A245,INPUT_DELAY!$B$5:$B$20000,$B245,INPUT_DELAY!$C$5:$C$20000,$C245)+SUMIFS(INPUT_DELAY!$E$5:$E$20000,INPUT_DELAY!$A$5:$A$20000,$A245,INPUT_DELAY!$B$5:$B$20000,$B245,INPUT_DELAY!$C$5:$C$20000,"SEMUA")&gt;=60,"Delay 60 mnt tapi ada ritase","OK"))))))</f>
        <v/>
      </c>
      <c r="P245" s="158">
        <f>IFERROR(INDEX(MASTER_JAM!$Z$5:$AC$10,MATCH($I245,MASTER_JAM!$Y$5:$Y$10,0),MATCH($J245,MASTER_JAM!$Z$4:$AC$4,0))+0,0)</f>
        <v/>
      </c>
      <c r="Q245" s="158">
        <f>IF($P245=0,0,$P245+IFERROR(INDEX(MASTER_JAM!$H$5:$H$94,MATCH($C245,MASTER_JAM!$A$5:$A$94,0))+0,MASTER_JAM!$AC$15)/1000*(60/MASTER_JAM!$AC$12+60/MASTER_JAM!$AC$13)+MASTER_JAM!$AC$14)</f>
        <v/>
      </c>
      <c r="R245" s="158">
        <f>IF(N($F245)=0,0,$F245/SUMIFS(INPUT_RITASE!$F$5:$F$20000,INPUT_RITASE!$A$5:$A$20000,$A245,INPUT_RITASE!$B$5:$B$20000,$B245,INPUT_RITASE!$C$5:$C$20000,$C245,INPUT_RITASE!$D$5:$D$20000,$D245))</f>
        <v/>
      </c>
      <c r="S245" s="158">
        <f>IF($Q245=0,0,$R245*$P245/$Q245)</f>
        <v/>
      </c>
    </row>
    <row r="246">
      <c r="A246" s="155" t="n">
        <v>46104</v>
      </c>
      <c r="B246" s="156" t="inlineStr">
        <is>
          <t>03-04</t>
        </is>
      </c>
      <c r="C246" s="156" t="inlineStr">
        <is>
          <t>EX-1251</t>
        </is>
      </c>
      <c r="D246" s="156" t="inlineStr">
        <is>
          <t>DT-515</t>
        </is>
      </c>
      <c r="E246" s="156" t="inlineStr">
        <is>
          <t>OB</t>
        </is>
      </c>
      <c r="F246" s="156" t="n">
        <v>3</v>
      </c>
      <c r="G246" s="156" t="inlineStr"/>
      <c r="H246" s="157">
        <f>IF($B246="","",IF(ISNA(MATCH($B246,MASTER_JAM!$Q$5:$Q$28,0)),"?",IF(MATCH($B246,MASTER_JAM!$Q$5:$Q$28,0)&lt;=12,"DS","NS")))</f>
        <v/>
      </c>
      <c r="I246" s="157">
        <f>IFERROR(INDEX(MASTER_JAM!$B$5:$B$94,MATCH($C246,MASTER_JAM!$A$5:$A$94,0)),"")</f>
        <v/>
      </c>
      <c r="J246" s="157">
        <f>IFERROR(INDEX(MASTER_JAM!$E$5:$E$94,MATCH($D246,MASTER_JAM!$A$5:$A$94,0)),"")</f>
        <v/>
      </c>
      <c r="K246" s="158">
        <f>IFERROR(INDEX(MASTER_JAM!$J$5:$O$12,MATCH($E246,MASTER_JAM!$I$5:$I$12,0),MATCH($J246,MASTER_JAM!$J$4:$O$4,0))+0,0)</f>
        <v/>
      </c>
      <c r="L246" s="159">
        <f>N($F246)*$K246</f>
        <v/>
      </c>
      <c r="M246" s="157">
        <f>IF($E246="","",IF(OR($E246="Coal",$E246="Dirty Coal"),"MT","BCM"))</f>
        <v/>
      </c>
      <c r="N246" s="157">
        <f>IF($E246="","",IF(OR($E246="Coal",$E246="Dirty Coal"),"Coal","OB"))</f>
        <v/>
      </c>
      <c r="O246" s="157">
        <f>IF($F246="","",IF(COUNTIF(MASTER_JAM!$A$5:$A$94,$C246)=0,"Digger tidak dikenal",IF($J246="","Hauler tidak dikenal",IF($H246="?","Jam salah",IF($K246=0,"Faktor kosong",IF(SUMIFS(INPUT_DELAY!$E$5:$E$20000,INPUT_DELAY!$A$5:$A$20000,$A246,INPUT_DELAY!$B$5:$B$20000,$B246,INPUT_DELAY!$C$5:$C$20000,$C246)+SUMIFS(INPUT_DELAY!$E$5:$E$20000,INPUT_DELAY!$A$5:$A$20000,$A246,INPUT_DELAY!$B$5:$B$20000,$B246,INPUT_DELAY!$C$5:$C$20000,"SEMUA")&gt;=60,"Delay 60 mnt tapi ada ritase","OK"))))))</f>
        <v/>
      </c>
      <c r="P246" s="158">
        <f>IFERROR(INDEX(MASTER_JAM!$Z$5:$AC$10,MATCH($I246,MASTER_JAM!$Y$5:$Y$10,0),MATCH($J246,MASTER_JAM!$Z$4:$AC$4,0))+0,0)</f>
        <v/>
      </c>
      <c r="Q246" s="158">
        <f>IF($P246=0,0,$P246+IFERROR(INDEX(MASTER_JAM!$H$5:$H$94,MATCH($C246,MASTER_JAM!$A$5:$A$94,0))+0,MASTER_JAM!$AC$15)/1000*(60/MASTER_JAM!$AC$12+60/MASTER_JAM!$AC$13)+MASTER_JAM!$AC$14)</f>
        <v/>
      </c>
      <c r="R246" s="158">
        <f>IF(N($F246)=0,0,$F246/SUMIFS(INPUT_RITASE!$F$5:$F$20000,INPUT_RITASE!$A$5:$A$20000,$A246,INPUT_RITASE!$B$5:$B$20000,$B246,INPUT_RITASE!$C$5:$C$20000,$C246,INPUT_RITASE!$D$5:$D$20000,$D246))</f>
        <v/>
      </c>
      <c r="S246" s="158">
        <f>IF($Q246=0,0,$R246*$P246/$Q246)</f>
        <v/>
      </c>
    </row>
    <row r="247">
      <c r="A247" s="155" t="n">
        <v>46104</v>
      </c>
      <c r="B247" s="156" t="inlineStr">
        <is>
          <t>03-04</t>
        </is>
      </c>
      <c r="C247" s="156" t="inlineStr">
        <is>
          <t>EX-1251</t>
        </is>
      </c>
      <c r="D247" s="156" t="inlineStr">
        <is>
          <t>DT-501</t>
        </is>
      </c>
      <c r="E247" s="156" t="inlineStr">
        <is>
          <t>OB</t>
        </is>
      </c>
      <c r="F247" s="156" t="n">
        <v>3</v>
      </c>
      <c r="G247" s="156" t="inlineStr"/>
      <c r="H247" s="157">
        <f>IF($B247="","",IF(ISNA(MATCH($B247,MASTER_JAM!$Q$5:$Q$28,0)),"?",IF(MATCH($B247,MASTER_JAM!$Q$5:$Q$28,0)&lt;=12,"DS","NS")))</f>
        <v/>
      </c>
      <c r="I247" s="157">
        <f>IFERROR(INDEX(MASTER_JAM!$B$5:$B$94,MATCH($C247,MASTER_JAM!$A$5:$A$94,0)),"")</f>
        <v/>
      </c>
      <c r="J247" s="157">
        <f>IFERROR(INDEX(MASTER_JAM!$E$5:$E$94,MATCH($D247,MASTER_JAM!$A$5:$A$94,0)),"")</f>
        <v/>
      </c>
      <c r="K247" s="158">
        <f>IFERROR(INDEX(MASTER_JAM!$J$5:$O$12,MATCH($E247,MASTER_JAM!$I$5:$I$12,0),MATCH($J247,MASTER_JAM!$J$4:$O$4,0))+0,0)</f>
        <v/>
      </c>
      <c r="L247" s="159">
        <f>N($F247)*$K247</f>
        <v/>
      </c>
      <c r="M247" s="157">
        <f>IF($E247="","",IF(OR($E247="Coal",$E247="Dirty Coal"),"MT","BCM"))</f>
        <v/>
      </c>
      <c r="N247" s="157">
        <f>IF($E247="","",IF(OR($E247="Coal",$E247="Dirty Coal"),"Coal","OB"))</f>
        <v/>
      </c>
      <c r="O247" s="157">
        <f>IF($F247="","",IF(COUNTIF(MASTER_JAM!$A$5:$A$94,$C247)=0,"Digger tidak dikenal",IF($J247="","Hauler tidak dikenal",IF($H247="?","Jam salah",IF($K247=0,"Faktor kosong",IF(SUMIFS(INPUT_DELAY!$E$5:$E$20000,INPUT_DELAY!$A$5:$A$20000,$A247,INPUT_DELAY!$B$5:$B$20000,$B247,INPUT_DELAY!$C$5:$C$20000,$C247)+SUMIFS(INPUT_DELAY!$E$5:$E$20000,INPUT_DELAY!$A$5:$A$20000,$A247,INPUT_DELAY!$B$5:$B$20000,$B247,INPUT_DELAY!$C$5:$C$20000,"SEMUA")&gt;=60,"Delay 60 mnt tapi ada ritase","OK"))))))</f>
        <v/>
      </c>
      <c r="P247" s="158">
        <f>IFERROR(INDEX(MASTER_JAM!$Z$5:$AC$10,MATCH($I247,MASTER_JAM!$Y$5:$Y$10,0),MATCH($J247,MASTER_JAM!$Z$4:$AC$4,0))+0,0)</f>
        <v/>
      </c>
      <c r="Q247" s="158">
        <f>IF($P247=0,0,$P247+IFERROR(INDEX(MASTER_JAM!$H$5:$H$94,MATCH($C247,MASTER_JAM!$A$5:$A$94,0))+0,MASTER_JAM!$AC$15)/1000*(60/MASTER_JAM!$AC$12+60/MASTER_JAM!$AC$13)+MASTER_JAM!$AC$14)</f>
        <v/>
      </c>
      <c r="R247" s="158">
        <f>IF(N($F247)=0,0,$F247/SUMIFS(INPUT_RITASE!$F$5:$F$20000,INPUT_RITASE!$A$5:$A$20000,$A247,INPUT_RITASE!$B$5:$B$20000,$B247,INPUT_RITASE!$C$5:$C$20000,$C247,INPUT_RITASE!$D$5:$D$20000,$D247))</f>
        <v/>
      </c>
      <c r="S247" s="158">
        <f>IF($Q247=0,0,$R247*$P247/$Q247)</f>
        <v/>
      </c>
    </row>
    <row r="248">
      <c r="A248" s="155" t="n">
        <v>46104</v>
      </c>
      <c r="B248" s="156" t="inlineStr">
        <is>
          <t>03-04</t>
        </is>
      </c>
      <c r="C248" s="156" t="inlineStr">
        <is>
          <t>EX-1251</t>
        </is>
      </c>
      <c r="D248" s="156" t="inlineStr">
        <is>
          <t>DT-503</t>
        </is>
      </c>
      <c r="E248" s="156" t="inlineStr">
        <is>
          <t>OB</t>
        </is>
      </c>
      <c r="F248" s="156" t="n">
        <v>3</v>
      </c>
      <c r="G248" s="156" t="inlineStr"/>
      <c r="H248" s="157">
        <f>IF($B248="","",IF(ISNA(MATCH($B248,MASTER_JAM!$Q$5:$Q$28,0)),"?",IF(MATCH($B248,MASTER_JAM!$Q$5:$Q$28,0)&lt;=12,"DS","NS")))</f>
        <v/>
      </c>
      <c r="I248" s="157">
        <f>IFERROR(INDEX(MASTER_JAM!$B$5:$B$94,MATCH($C248,MASTER_JAM!$A$5:$A$94,0)),"")</f>
        <v/>
      </c>
      <c r="J248" s="157">
        <f>IFERROR(INDEX(MASTER_JAM!$E$5:$E$94,MATCH($D248,MASTER_JAM!$A$5:$A$94,0)),"")</f>
        <v/>
      </c>
      <c r="K248" s="158">
        <f>IFERROR(INDEX(MASTER_JAM!$J$5:$O$12,MATCH($E248,MASTER_JAM!$I$5:$I$12,0),MATCH($J248,MASTER_JAM!$J$4:$O$4,0))+0,0)</f>
        <v/>
      </c>
      <c r="L248" s="159">
        <f>N($F248)*$K248</f>
        <v/>
      </c>
      <c r="M248" s="157">
        <f>IF($E248="","",IF(OR($E248="Coal",$E248="Dirty Coal"),"MT","BCM"))</f>
        <v/>
      </c>
      <c r="N248" s="157">
        <f>IF($E248="","",IF(OR($E248="Coal",$E248="Dirty Coal"),"Coal","OB"))</f>
        <v/>
      </c>
      <c r="O248" s="157">
        <f>IF($F248="","",IF(COUNTIF(MASTER_JAM!$A$5:$A$94,$C248)=0,"Digger tidak dikenal",IF($J248="","Hauler tidak dikenal",IF($H248="?","Jam salah",IF($K248=0,"Faktor kosong",IF(SUMIFS(INPUT_DELAY!$E$5:$E$20000,INPUT_DELAY!$A$5:$A$20000,$A248,INPUT_DELAY!$B$5:$B$20000,$B248,INPUT_DELAY!$C$5:$C$20000,$C248)+SUMIFS(INPUT_DELAY!$E$5:$E$20000,INPUT_DELAY!$A$5:$A$20000,$A248,INPUT_DELAY!$B$5:$B$20000,$B248,INPUT_DELAY!$C$5:$C$20000,"SEMUA")&gt;=60,"Delay 60 mnt tapi ada ritase","OK"))))))</f>
        <v/>
      </c>
      <c r="P248" s="158">
        <f>IFERROR(INDEX(MASTER_JAM!$Z$5:$AC$10,MATCH($I248,MASTER_JAM!$Y$5:$Y$10,0),MATCH($J248,MASTER_JAM!$Z$4:$AC$4,0))+0,0)</f>
        <v/>
      </c>
      <c r="Q248" s="158">
        <f>IF($P248=0,0,$P248+IFERROR(INDEX(MASTER_JAM!$H$5:$H$94,MATCH($C248,MASTER_JAM!$A$5:$A$94,0))+0,MASTER_JAM!$AC$15)/1000*(60/MASTER_JAM!$AC$12+60/MASTER_JAM!$AC$13)+MASTER_JAM!$AC$14)</f>
        <v/>
      </c>
      <c r="R248" s="158">
        <f>IF(N($F248)=0,0,$F248/SUMIFS(INPUT_RITASE!$F$5:$F$20000,INPUT_RITASE!$A$5:$A$20000,$A248,INPUT_RITASE!$B$5:$B$20000,$B248,INPUT_RITASE!$C$5:$C$20000,$C248,INPUT_RITASE!$D$5:$D$20000,$D248))</f>
        <v/>
      </c>
      <c r="S248" s="158">
        <f>IF($Q248=0,0,$R248*$P248/$Q248)</f>
        <v/>
      </c>
    </row>
    <row r="249">
      <c r="A249" s="155" t="n">
        <v>46104</v>
      </c>
      <c r="B249" s="156" t="inlineStr">
        <is>
          <t>05-06</t>
        </is>
      </c>
      <c r="C249" s="156" t="inlineStr">
        <is>
          <t>EX-1251</t>
        </is>
      </c>
      <c r="D249" s="156" t="inlineStr">
        <is>
          <t>DT-523</t>
        </is>
      </c>
      <c r="E249" s="156" t="inlineStr">
        <is>
          <t>OB</t>
        </is>
      </c>
      <c r="F249" s="156" t="n">
        <v>4</v>
      </c>
      <c r="G249" s="156" t="inlineStr"/>
      <c r="H249" s="157">
        <f>IF($B249="","",IF(ISNA(MATCH($B249,MASTER_JAM!$Q$5:$Q$28,0)),"?",IF(MATCH($B249,MASTER_JAM!$Q$5:$Q$28,0)&lt;=12,"DS","NS")))</f>
        <v/>
      </c>
      <c r="I249" s="157">
        <f>IFERROR(INDEX(MASTER_JAM!$B$5:$B$94,MATCH($C249,MASTER_JAM!$A$5:$A$94,0)),"")</f>
        <v/>
      </c>
      <c r="J249" s="157">
        <f>IFERROR(INDEX(MASTER_JAM!$E$5:$E$94,MATCH($D249,MASTER_JAM!$A$5:$A$94,0)),"")</f>
        <v/>
      </c>
      <c r="K249" s="158">
        <f>IFERROR(INDEX(MASTER_JAM!$J$5:$O$12,MATCH($E249,MASTER_JAM!$I$5:$I$12,0),MATCH($J249,MASTER_JAM!$J$4:$O$4,0))+0,0)</f>
        <v/>
      </c>
      <c r="L249" s="159">
        <f>N($F249)*$K249</f>
        <v/>
      </c>
      <c r="M249" s="157">
        <f>IF($E249="","",IF(OR($E249="Coal",$E249="Dirty Coal"),"MT","BCM"))</f>
        <v/>
      </c>
      <c r="N249" s="157">
        <f>IF($E249="","",IF(OR($E249="Coal",$E249="Dirty Coal"),"Coal","OB"))</f>
        <v/>
      </c>
      <c r="O249" s="157">
        <f>IF($F249="","",IF(COUNTIF(MASTER_JAM!$A$5:$A$94,$C249)=0,"Digger tidak dikenal",IF($J249="","Hauler tidak dikenal",IF($H249="?","Jam salah",IF($K249=0,"Faktor kosong",IF(SUMIFS(INPUT_DELAY!$E$5:$E$20000,INPUT_DELAY!$A$5:$A$20000,$A249,INPUT_DELAY!$B$5:$B$20000,$B249,INPUT_DELAY!$C$5:$C$20000,$C249)+SUMIFS(INPUT_DELAY!$E$5:$E$20000,INPUT_DELAY!$A$5:$A$20000,$A249,INPUT_DELAY!$B$5:$B$20000,$B249,INPUT_DELAY!$C$5:$C$20000,"SEMUA")&gt;=60,"Delay 60 mnt tapi ada ritase","OK"))))))</f>
        <v/>
      </c>
      <c r="P249" s="158">
        <f>IFERROR(INDEX(MASTER_JAM!$Z$5:$AC$10,MATCH($I249,MASTER_JAM!$Y$5:$Y$10,0),MATCH($J249,MASTER_JAM!$Z$4:$AC$4,0))+0,0)</f>
        <v/>
      </c>
      <c r="Q249" s="158">
        <f>IF($P249=0,0,$P249+IFERROR(INDEX(MASTER_JAM!$H$5:$H$94,MATCH($C249,MASTER_JAM!$A$5:$A$94,0))+0,MASTER_JAM!$AC$15)/1000*(60/MASTER_JAM!$AC$12+60/MASTER_JAM!$AC$13)+MASTER_JAM!$AC$14)</f>
        <v/>
      </c>
      <c r="R249" s="158">
        <f>IF(N($F249)=0,0,$F249/SUMIFS(INPUT_RITASE!$F$5:$F$20000,INPUT_RITASE!$A$5:$A$20000,$A249,INPUT_RITASE!$B$5:$B$20000,$B249,INPUT_RITASE!$C$5:$C$20000,$C249,INPUT_RITASE!$D$5:$D$20000,$D249))</f>
        <v/>
      </c>
      <c r="S249" s="158">
        <f>IF($Q249=0,0,$R249*$P249/$Q249)</f>
        <v/>
      </c>
    </row>
    <row r="250">
      <c r="A250" s="155" t="n">
        <v>46104</v>
      </c>
      <c r="B250" s="156" t="inlineStr">
        <is>
          <t>05-06</t>
        </is>
      </c>
      <c r="C250" s="156" t="inlineStr">
        <is>
          <t>EX-1251</t>
        </is>
      </c>
      <c r="D250" s="156" t="inlineStr">
        <is>
          <t>DT-521</t>
        </is>
      </c>
      <c r="E250" s="156" t="inlineStr">
        <is>
          <t>OB</t>
        </is>
      </c>
      <c r="F250" s="156" t="n">
        <v>4</v>
      </c>
      <c r="G250" s="156" t="inlineStr"/>
      <c r="H250" s="157">
        <f>IF($B250="","",IF(ISNA(MATCH($B250,MASTER_JAM!$Q$5:$Q$28,0)),"?",IF(MATCH($B250,MASTER_JAM!$Q$5:$Q$28,0)&lt;=12,"DS","NS")))</f>
        <v/>
      </c>
      <c r="I250" s="157">
        <f>IFERROR(INDEX(MASTER_JAM!$B$5:$B$94,MATCH($C250,MASTER_JAM!$A$5:$A$94,0)),"")</f>
        <v/>
      </c>
      <c r="J250" s="157">
        <f>IFERROR(INDEX(MASTER_JAM!$E$5:$E$94,MATCH($D250,MASTER_JAM!$A$5:$A$94,0)),"")</f>
        <v/>
      </c>
      <c r="K250" s="158">
        <f>IFERROR(INDEX(MASTER_JAM!$J$5:$O$12,MATCH($E250,MASTER_JAM!$I$5:$I$12,0),MATCH($J250,MASTER_JAM!$J$4:$O$4,0))+0,0)</f>
        <v/>
      </c>
      <c r="L250" s="159">
        <f>N($F250)*$K250</f>
        <v/>
      </c>
      <c r="M250" s="157">
        <f>IF($E250="","",IF(OR($E250="Coal",$E250="Dirty Coal"),"MT","BCM"))</f>
        <v/>
      </c>
      <c r="N250" s="157">
        <f>IF($E250="","",IF(OR($E250="Coal",$E250="Dirty Coal"),"Coal","OB"))</f>
        <v/>
      </c>
      <c r="O250" s="157">
        <f>IF($F250="","",IF(COUNTIF(MASTER_JAM!$A$5:$A$94,$C250)=0,"Digger tidak dikenal",IF($J250="","Hauler tidak dikenal",IF($H250="?","Jam salah",IF($K250=0,"Faktor kosong",IF(SUMIFS(INPUT_DELAY!$E$5:$E$20000,INPUT_DELAY!$A$5:$A$20000,$A250,INPUT_DELAY!$B$5:$B$20000,$B250,INPUT_DELAY!$C$5:$C$20000,$C250)+SUMIFS(INPUT_DELAY!$E$5:$E$20000,INPUT_DELAY!$A$5:$A$20000,$A250,INPUT_DELAY!$B$5:$B$20000,$B250,INPUT_DELAY!$C$5:$C$20000,"SEMUA")&gt;=60,"Delay 60 mnt tapi ada ritase","OK"))))))</f>
        <v/>
      </c>
      <c r="P250" s="158">
        <f>IFERROR(INDEX(MASTER_JAM!$Z$5:$AC$10,MATCH($I250,MASTER_JAM!$Y$5:$Y$10,0),MATCH($J250,MASTER_JAM!$Z$4:$AC$4,0))+0,0)</f>
        <v/>
      </c>
      <c r="Q250" s="158">
        <f>IF($P250=0,0,$P250+IFERROR(INDEX(MASTER_JAM!$H$5:$H$94,MATCH($C250,MASTER_JAM!$A$5:$A$94,0))+0,MASTER_JAM!$AC$15)/1000*(60/MASTER_JAM!$AC$12+60/MASTER_JAM!$AC$13)+MASTER_JAM!$AC$14)</f>
        <v/>
      </c>
      <c r="R250" s="158">
        <f>IF(N($F250)=0,0,$F250/SUMIFS(INPUT_RITASE!$F$5:$F$20000,INPUT_RITASE!$A$5:$A$20000,$A250,INPUT_RITASE!$B$5:$B$20000,$B250,INPUT_RITASE!$C$5:$C$20000,$C250,INPUT_RITASE!$D$5:$D$20000,$D250))</f>
        <v/>
      </c>
      <c r="S250" s="158">
        <f>IF($Q250=0,0,$R250*$P250/$Q250)</f>
        <v/>
      </c>
    </row>
    <row r="251">
      <c r="A251" s="155" t="n">
        <v>46104</v>
      </c>
      <c r="B251" s="156" t="inlineStr">
        <is>
          <t>05-06</t>
        </is>
      </c>
      <c r="C251" s="156" t="inlineStr">
        <is>
          <t>EX-1251</t>
        </is>
      </c>
      <c r="D251" s="156" t="inlineStr">
        <is>
          <t>DT-513</t>
        </is>
      </c>
      <c r="E251" s="156" t="inlineStr">
        <is>
          <t>OB</t>
        </is>
      </c>
      <c r="F251" s="156" t="n">
        <v>4</v>
      </c>
      <c r="G251" s="156" t="inlineStr"/>
      <c r="H251" s="157">
        <f>IF($B251="","",IF(ISNA(MATCH($B251,MASTER_JAM!$Q$5:$Q$28,0)),"?",IF(MATCH($B251,MASTER_JAM!$Q$5:$Q$28,0)&lt;=12,"DS","NS")))</f>
        <v/>
      </c>
      <c r="I251" s="157">
        <f>IFERROR(INDEX(MASTER_JAM!$B$5:$B$94,MATCH($C251,MASTER_JAM!$A$5:$A$94,0)),"")</f>
        <v/>
      </c>
      <c r="J251" s="157">
        <f>IFERROR(INDEX(MASTER_JAM!$E$5:$E$94,MATCH($D251,MASTER_JAM!$A$5:$A$94,0)),"")</f>
        <v/>
      </c>
      <c r="K251" s="158">
        <f>IFERROR(INDEX(MASTER_JAM!$J$5:$O$12,MATCH($E251,MASTER_JAM!$I$5:$I$12,0),MATCH($J251,MASTER_JAM!$J$4:$O$4,0))+0,0)</f>
        <v/>
      </c>
      <c r="L251" s="159">
        <f>N($F251)*$K251</f>
        <v/>
      </c>
      <c r="M251" s="157">
        <f>IF($E251="","",IF(OR($E251="Coal",$E251="Dirty Coal"),"MT","BCM"))</f>
        <v/>
      </c>
      <c r="N251" s="157">
        <f>IF($E251="","",IF(OR($E251="Coal",$E251="Dirty Coal"),"Coal","OB"))</f>
        <v/>
      </c>
      <c r="O251" s="157">
        <f>IF($F251="","",IF(COUNTIF(MASTER_JAM!$A$5:$A$94,$C251)=0,"Digger tidak dikenal",IF($J251="","Hauler tidak dikenal",IF($H251="?","Jam salah",IF($K251=0,"Faktor kosong",IF(SUMIFS(INPUT_DELAY!$E$5:$E$20000,INPUT_DELAY!$A$5:$A$20000,$A251,INPUT_DELAY!$B$5:$B$20000,$B251,INPUT_DELAY!$C$5:$C$20000,$C251)+SUMIFS(INPUT_DELAY!$E$5:$E$20000,INPUT_DELAY!$A$5:$A$20000,$A251,INPUT_DELAY!$B$5:$B$20000,$B251,INPUT_DELAY!$C$5:$C$20000,"SEMUA")&gt;=60,"Delay 60 mnt tapi ada ritase","OK"))))))</f>
        <v/>
      </c>
      <c r="P251" s="158">
        <f>IFERROR(INDEX(MASTER_JAM!$Z$5:$AC$10,MATCH($I251,MASTER_JAM!$Y$5:$Y$10,0),MATCH($J251,MASTER_JAM!$Z$4:$AC$4,0))+0,0)</f>
        <v/>
      </c>
      <c r="Q251" s="158">
        <f>IF($P251=0,0,$P251+IFERROR(INDEX(MASTER_JAM!$H$5:$H$94,MATCH($C251,MASTER_JAM!$A$5:$A$94,0))+0,MASTER_JAM!$AC$15)/1000*(60/MASTER_JAM!$AC$12+60/MASTER_JAM!$AC$13)+MASTER_JAM!$AC$14)</f>
        <v/>
      </c>
      <c r="R251" s="158">
        <f>IF(N($F251)=0,0,$F251/SUMIFS(INPUT_RITASE!$F$5:$F$20000,INPUT_RITASE!$A$5:$A$20000,$A251,INPUT_RITASE!$B$5:$B$20000,$B251,INPUT_RITASE!$C$5:$C$20000,$C251,INPUT_RITASE!$D$5:$D$20000,$D251))</f>
        <v/>
      </c>
      <c r="S251" s="158">
        <f>IF($Q251=0,0,$R251*$P251/$Q251)</f>
        <v/>
      </c>
    </row>
    <row r="252">
      <c r="A252" s="155" t="n">
        <v>46104</v>
      </c>
      <c r="B252" s="156" t="inlineStr">
        <is>
          <t>05-06</t>
        </is>
      </c>
      <c r="C252" s="156" t="inlineStr">
        <is>
          <t>EX-1251</t>
        </is>
      </c>
      <c r="D252" s="156" t="inlineStr">
        <is>
          <t>DT-515</t>
        </is>
      </c>
      <c r="E252" s="156" t="inlineStr">
        <is>
          <t>OB</t>
        </is>
      </c>
      <c r="F252" s="156" t="n">
        <v>4</v>
      </c>
      <c r="G252" s="156" t="inlineStr"/>
      <c r="H252" s="157">
        <f>IF($B252="","",IF(ISNA(MATCH($B252,MASTER_JAM!$Q$5:$Q$28,0)),"?",IF(MATCH($B252,MASTER_JAM!$Q$5:$Q$28,0)&lt;=12,"DS","NS")))</f>
        <v/>
      </c>
      <c r="I252" s="157">
        <f>IFERROR(INDEX(MASTER_JAM!$B$5:$B$94,MATCH($C252,MASTER_JAM!$A$5:$A$94,0)),"")</f>
        <v/>
      </c>
      <c r="J252" s="157">
        <f>IFERROR(INDEX(MASTER_JAM!$E$5:$E$94,MATCH($D252,MASTER_JAM!$A$5:$A$94,0)),"")</f>
        <v/>
      </c>
      <c r="K252" s="158">
        <f>IFERROR(INDEX(MASTER_JAM!$J$5:$O$12,MATCH($E252,MASTER_JAM!$I$5:$I$12,0),MATCH($J252,MASTER_JAM!$J$4:$O$4,0))+0,0)</f>
        <v/>
      </c>
      <c r="L252" s="159">
        <f>N($F252)*$K252</f>
        <v/>
      </c>
      <c r="M252" s="157">
        <f>IF($E252="","",IF(OR($E252="Coal",$E252="Dirty Coal"),"MT","BCM"))</f>
        <v/>
      </c>
      <c r="N252" s="157">
        <f>IF($E252="","",IF(OR($E252="Coal",$E252="Dirty Coal"),"Coal","OB"))</f>
        <v/>
      </c>
      <c r="O252" s="157">
        <f>IF($F252="","",IF(COUNTIF(MASTER_JAM!$A$5:$A$94,$C252)=0,"Digger tidak dikenal",IF($J252="","Hauler tidak dikenal",IF($H252="?","Jam salah",IF($K252=0,"Faktor kosong",IF(SUMIFS(INPUT_DELAY!$E$5:$E$20000,INPUT_DELAY!$A$5:$A$20000,$A252,INPUT_DELAY!$B$5:$B$20000,$B252,INPUT_DELAY!$C$5:$C$20000,$C252)+SUMIFS(INPUT_DELAY!$E$5:$E$20000,INPUT_DELAY!$A$5:$A$20000,$A252,INPUT_DELAY!$B$5:$B$20000,$B252,INPUT_DELAY!$C$5:$C$20000,"SEMUA")&gt;=60,"Delay 60 mnt tapi ada ritase","OK"))))))</f>
        <v/>
      </c>
      <c r="P252" s="158">
        <f>IFERROR(INDEX(MASTER_JAM!$Z$5:$AC$10,MATCH($I252,MASTER_JAM!$Y$5:$Y$10,0),MATCH($J252,MASTER_JAM!$Z$4:$AC$4,0))+0,0)</f>
        <v/>
      </c>
      <c r="Q252" s="158">
        <f>IF($P252=0,0,$P252+IFERROR(INDEX(MASTER_JAM!$H$5:$H$94,MATCH($C252,MASTER_JAM!$A$5:$A$94,0))+0,MASTER_JAM!$AC$15)/1000*(60/MASTER_JAM!$AC$12+60/MASTER_JAM!$AC$13)+MASTER_JAM!$AC$14)</f>
        <v/>
      </c>
      <c r="R252" s="158">
        <f>IF(N($F252)=0,0,$F252/SUMIFS(INPUT_RITASE!$F$5:$F$20000,INPUT_RITASE!$A$5:$A$20000,$A252,INPUT_RITASE!$B$5:$B$20000,$B252,INPUT_RITASE!$C$5:$C$20000,$C252,INPUT_RITASE!$D$5:$D$20000,$D252))</f>
        <v/>
      </c>
      <c r="S252" s="158">
        <f>IF($Q252=0,0,$R252*$P252/$Q252)</f>
        <v/>
      </c>
    </row>
    <row r="253">
      <c r="A253" s="155" t="n">
        <v>46104</v>
      </c>
      <c r="B253" s="156" t="inlineStr">
        <is>
          <t>05-06</t>
        </is>
      </c>
      <c r="C253" s="156" t="inlineStr">
        <is>
          <t>EX-1251</t>
        </is>
      </c>
      <c r="D253" s="156" t="inlineStr">
        <is>
          <t>DT-510</t>
        </is>
      </c>
      <c r="E253" s="156" t="inlineStr">
        <is>
          <t>OB</t>
        </is>
      </c>
      <c r="F253" s="156" t="n">
        <v>4</v>
      </c>
      <c r="G253" s="156" t="inlineStr"/>
      <c r="H253" s="157">
        <f>IF($B253="","",IF(ISNA(MATCH($B253,MASTER_JAM!$Q$5:$Q$28,0)),"?",IF(MATCH($B253,MASTER_JAM!$Q$5:$Q$28,0)&lt;=12,"DS","NS")))</f>
        <v/>
      </c>
      <c r="I253" s="157">
        <f>IFERROR(INDEX(MASTER_JAM!$B$5:$B$94,MATCH($C253,MASTER_JAM!$A$5:$A$94,0)),"")</f>
        <v/>
      </c>
      <c r="J253" s="157">
        <f>IFERROR(INDEX(MASTER_JAM!$E$5:$E$94,MATCH($D253,MASTER_JAM!$A$5:$A$94,0)),"")</f>
        <v/>
      </c>
      <c r="K253" s="158">
        <f>IFERROR(INDEX(MASTER_JAM!$J$5:$O$12,MATCH($E253,MASTER_JAM!$I$5:$I$12,0),MATCH($J253,MASTER_JAM!$J$4:$O$4,0))+0,0)</f>
        <v/>
      </c>
      <c r="L253" s="159">
        <f>N($F253)*$K253</f>
        <v/>
      </c>
      <c r="M253" s="157">
        <f>IF($E253="","",IF(OR($E253="Coal",$E253="Dirty Coal"),"MT","BCM"))</f>
        <v/>
      </c>
      <c r="N253" s="157">
        <f>IF($E253="","",IF(OR($E253="Coal",$E253="Dirty Coal"),"Coal","OB"))</f>
        <v/>
      </c>
      <c r="O253" s="157">
        <f>IF($F253="","",IF(COUNTIF(MASTER_JAM!$A$5:$A$94,$C253)=0,"Digger tidak dikenal",IF($J253="","Hauler tidak dikenal",IF($H253="?","Jam salah",IF($K253=0,"Faktor kosong",IF(SUMIFS(INPUT_DELAY!$E$5:$E$20000,INPUT_DELAY!$A$5:$A$20000,$A253,INPUT_DELAY!$B$5:$B$20000,$B253,INPUT_DELAY!$C$5:$C$20000,$C253)+SUMIFS(INPUT_DELAY!$E$5:$E$20000,INPUT_DELAY!$A$5:$A$20000,$A253,INPUT_DELAY!$B$5:$B$20000,$B253,INPUT_DELAY!$C$5:$C$20000,"SEMUA")&gt;=60,"Delay 60 mnt tapi ada ritase","OK"))))))</f>
        <v/>
      </c>
      <c r="P253" s="158">
        <f>IFERROR(INDEX(MASTER_JAM!$Z$5:$AC$10,MATCH($I253,MASTER_JAM!$Y$5:$Y$10,0),MATCH($J253,MASTER_JAM!$Z$4:$AC$4,0))+0,0)</f>
        <v/>
      </c>
      <c r="Q253" s="158">
        <f>IF($P253=0,0,$P253+IFERROR(INDEX(MASTER_JAM!$H$5:$H$94,MATCH($C253,MASTER_JAM!$A$5:$A$94,0))+0,MASTER_JAM!$AC$15)/1000*(60/MASTER_JAM!$AC$12+60/MASTER_JAM!$AC$13)+MASTER_JAM!$AC$14)</f>
        <v/>
      </c>
      <c r="R253" s="158">
        <f>IF(N($F253)=0,0,$F253/SUMIFS(INPUT_RITASE!$F$5:$F$20000,INPUT_RITASE!$A$5:$A$20000,$A253,INPUT_RITASE!$B$5:$B$20000,$B253,INPUT_RITASE!$C$5:$C$20000,$C253,INPUT_RITASE!$D$5:$D$20000,$D253))</f>
        <v/>
      </c>
      <c r="S253" s="158">
        <f>IF($Q253=0,0,$R253*$P253/$Q253)</f>
        <v/>
      </c>
    </row>
    <row r="254">
      <c r="A254" s="155" t="n">
        <v>46104</v>
      </c>
      <c r="B254" s="156" t="inlineStr">
        <is>
          <t>05-06</t>
        </is>
      </c>
      <c r="C254" s="156" t="inlineStr">
        <is>
          <t>EX-1251</t>
        </is>
      </c>
      <c r="D254" s="156" t="inlineStr">
        <is>
          <t>DT-508</t>
        </is>
      </c>
      <c r="E254" s="156" t="inlineStr">
        <is>
          <t>OB</t>
        </is>
      </c>
      <c r="F254" s="156" t="n">
        <v>4</v>
      </c>
      <c r="G254" s="156" t="inlineStr"/>
      <c r="H254" s="157">
        <f>IF($B254="","",IF(ISNA(MATCH($B254,MASTER_JAM!$Q$5:$Q$28,0)),"?",IF(MATCH($B254,MASTER_JAM!$Q$5:$Q$28,0)&lt;=12,"DS","NS")))</f>
        <v/>
      </c>
      <c r="I254" s="157">
        <f>IFERROR(INDEX(MASTER_JAM!$B$5:$B$94,MATCH($C254,MASTER_JAM!$A$5:$A$94,0)),"")</f>
        <v/>
      </c>
      <c r="J254" s="157">
        <f>IFERROR(INDEX(MASTER_JAM!$E$5:$E$94,MATCH($D254,MASTER_JAM!$A$5:$A$94,0)),"")</f>
        <v/>
      </c>
      <c r="K254" s="158">
        <f>IFERROR(INDEX(MASTER_JAM!$J$5:$O$12,MATCH($E254,MASTER_JAM!$I$5:$I$12,0),MATCH($J254,MASTER_JAM!$J$4:$O$4,0))+0,0)</f>
        <v/>
      </c>
      <c r="L254" s="159">
        <f>N($F254)*$K254</f>
        <v/>
      </c>
      <c r="M254" s="157">
        <f>IF($E254="","",IF(OR($E254="Coal",$E254="Dirty Coal"),"MT","BCM"))</f>
        <v/>
      </c>
      <c r="N254" s="157">
        <f>IF($E254="","",IF(OR($E254="Coal",$E254="Dirty Coal"),"Coal","OB"))</f>
        <v/>
      </c>
      <c r="O254" s="157">
        <f>IF($F254="","",IF(COUNTIF(MASTER_JAM!$A$5:$A$94,$C254)=0,"Digger tidak dikenal",IF($J254="","Hauler tidak dikenal",IF($H254="?","Jam salah",IF($K254=0,"Faktor kosong",IF(SUMIFS(INPUT_DELAY!$E$5:$E$20000,INPUT_DELAY!$A$5:$A$20000,$A254,INPUT_DELAY!$B$5:$B$20000,$B254,INPUT_DELAY!$C$5:$C$20000,$C254)+SUMIFS(INPUT_DELAY!$E$5:$E$20000,INPUT_DELAY!$A$5:$A$20000,$A254,INPUT_DELAY!$B$5:$B$20000,$B254,INPUT_DELAY!$C$5:$C$20000,"SEMUA")&gt;=60,"Delay 60 mnt tapi ada ritase","OK"))))))</f>
        <v/>
      </c>
      <c r="P254" s="158">
        <f>IFERROR(INDEX(MASTER_JAM!$Z$5:$AC$10,MATCH($I254,MASTER_JAM!$Y$5:$Y$10,0),MATCH($J254,MASTER_JAM!$Z$4:$AC$4,0))+0,0)</f>
        <v/>
      </c>
      <c r="Q254" s="158">
        <f>IF($P254=0,0,$P254+IFERROR(INDEX(MASTER_JAM!$H$5:$H$94,MATCH($C254,MASTER_JAM!$A$5:$A$94,0))+0,MASTER_JAM!$AC$15)/1000*(60/MASTER_JAM!$AC$12+60/MASTER_JAM!$AC$13)+MASTER_JAM!$AC$14)</f>
        <v/>
      </c>
      <c r="R254" s="158">
        <f>IF(N($F254)=0,0,$F254/SUMIFS(INPUT_RITASE!$F$5:$F$20000,INPUT_RITASE!$A$5:$A$20000,$A254,INPUT_RITASE!$B$5:$B$20000,$B254,INPUT_RITASE!$C$5:$C$20000,$C254,INPUT_RITASE!$D$5:$D$20000,$D254))</f>
        <v/>
      </c>
      <c r="S254" s="158">
        <f>IF($Q254=0,0,$R254*$P254/$Q254)</f>
        <v/>
      </c>
    </row>
    <row r="255">
      <c r="A255" s="155" t="n">
        <v>46104</v>
      </c>
      <c r="B255" s="156" t="inlineStr">
        <is>
          <t>05-06</t>
        </is>
      </c>
      <c r="C255" s="156" t="inlineStr">
        <is>
          <t>EX-1251</t>
        </is>
      </c>
      <c r="D255" s="156" t="inlineStr">
        <is>
          <t>DT-522</t>
        </is>
      </c>
      <c r="E255" s="156" t="inlineStr">
        <is>
          <t>OB</t>
        </is>
      </c>
      <c r="F255" s="156" t="n">
        <v>3</v>
      </c>
      <c r="G255" s="156" t="inlineStr"/>
      <c r="H255" s="157">
        <f>IF($B255="","",IF(ISNA(MATCH($B255,MASTER_JAM!$Q$5:$Q$28,0)),"?",IF(MATCH($B255,MASTER_JAM!$Q$5:$Q$28,0)&lt;=12,"DS","NS")))</f>
        <v/>
      </c>
      <c r="I255" s="157">
        <f>IFERROR(INDEX(MASTER_JAM!$B$5:$B$94,MATCH($C255,MASTER_JAM!$A$5:$A$94,0)),"")</f>
        <v/>
      </c>
      <c r="J255" s="157">
        <f>IFERROR(INDEX(MASTER_JAM!$E$5:$E$94,MATCH($D255,MASTER_JAM!$A$5:$A$94,0)),"")</f>
        <v/>
      </c>
      <c r="K255" s="158">
        <f>IFERROR(INDEX(MASTER_JAM!$J$5:$O$12,MATCH($E255,MASTER_JAM!$I$5:$I$12,0),MATCH($J255,MASTER_JAM!$J$4:$O$4,0))+0,0)</f>
        <v/>
      </c>
      <c r="L255" s="159">
        <f>N($F255)*$K255</f>
        <v/>
      </c>
      <c r="M255" s="157">
        <f>IF($E255="","",IF(OR($E255="Coal",$E255="Dirty Coal"),"MT","BCM"))</f>
        <v/>
      </c>
      <c r="N255" s="157">
        <f>IF($E255="","",IF(OR($E255="Coal",$E255="Dirty Coal"),"Coal","OB"))</f>
        <v/>
      </c>
      <c r="O255" s="157">
        <f>IF($F255="","",IF(COUNTIF(MASTER_JAM!$A$5:$A$94,$C255)=0,"Digger tidak dikenal",IF($J255="","Hauler tidak dikenal",IF($H255="?","Jam salah",IF($K255=0,"Faktor kosong",IF(SUMIFS(INPUT_DELAY!$E$5:$E$20000,INPUT_DELAY!$A$5:$A$20000,$A255,INPUT_DELAY!$B$5:$B$20000,$B255,INPUT_DELAY!$C$5:$C$20000,$C255)+SUMIFS(INPUT_DELAY!$E$5:$E$20000,INPUT_DELAY!$A$5:$A$20000,$A255,INPUT_DELAY!$B$5:$B$20000,$B255,INPUT_DELAY!$C$5:$C$20000,"SEMUA")&gt;=60,"Delay 60 mnt tapi ada ritase","OK"))))))</f>
        <v/>
      </c>
      <c r="P255" s="158">
        <f>IFERROR(INDEX(MASTER_JAM!$Z$5:$AC$10,MATCH($I255,MASTER_JAM!$Y$5:$Y$10,0),MATCH($J255,MASTER_JAM!$Z$4:$AC$4,0))+0,0)</f>
        <v/>
      </c>
      <c r="Q255" s="158">
        <f>IF($P255=0,0,$P255+IFERROR(INDEX(MASTER_JAM!$H$5:$H$94,MATCH($C255,MASTER_JAM!$A$5:$A$94,0))+0,MASTER_JAM!$AC$15)/1000*(60/MASTER_JAM!$AC$12+60/MASTER_JAM!$AC$13)+MASTER_JAM!$AC$14)</f>
        <v/>
      </c>
      <c r="R255" s="158">
        <f>IF(N($F255)=0,0,$F255/SUMIFS(INPUT_RITASE!$F$5:$F$20000,INPUT_RITASE!$A$5:$A$20000,$A255,INPUT_RITASE!$B$5:$B$20000,$B255,INPUT_RITASE!$C$5:$C$20000,$C255,INPUT_RITASE!$D$5:$D$20000,$D255))</f>
        <v/>
      </c>
      <c r="S255" s="158">
        <f>IF($Q255=0,0,$R255*$P255/$Q255)</f>
        <v/>
      </c>
    </row>
    <row r="256">
      <c r="A256" s="155" t="n">
        <v>46104</v>
      </c>
      <c r="B256" s="156" t="inlineStr">
        <is>
          <t>18-19</t>
        </is>
      </c>
      <c r="C256" s="156" t="inlineStr">
        <is>
          <t>EX-1252</t>
        </is>
      </c>
      <c r="D256" s="156" t="inlineStr">
        <is>
          <t>DT-520</t>
        </is>
      </c>
      <c r="E256" s="156" t="inlineStr">
        <is>
          <t>OB</t>
        </is>
      </c>
      <c r="F256" s="156" t="n">
        <v>4</v>
      </c>
      <c r="G256" s="156" t="inlineStr"/>
      <c r="H256" s="157">
        <f>IF($B256="","",IF(ISNA(MATCH($B256,MASTER_JAM!$Q$5:$Q$28,0)),"?",IF(MATCH($B256,MASTER_JAM!$Q$5:$Q$28,0)&lt;=12,"DS","NS")))</f>
        <v/>
      </c>
      <c r="I256" s="157">
        <f>IFERROR(INDEX(MASTER_JAM!$B$5:$B$94,MATCH($C256,MASTER_JAM!$A$5:$A$94,0)),"")</f>
        <v/>
      </c>
      <c r="J256" s="157">
        <f>IFERROR(INDEX(MASTER_JAM!$E$5:$E$94,MATCH($D256,MASTER_JAM!$A$5:$A$94,0)),"")</f>
        <v/>
      </c>
      <c r="K256" s="158">
        <f>IFERROR(INDEX(MASTER_JAM!$J$5:$O$12,MATCH($E256,MASTER_JAM!$I$5:$I$12,0),MATCH($J256,MASTER_JAM!$J$4:$O$4,0))+0,0)</f>
        <v/>
      </c>
      <c r="L256" s="159">
        <f>N($F256)*$K256</f>
        <v/>
      </c>
      <c r="M256" s="157">
        <f>IF($E256="","",IF(OR($E256="Coal",$E256="Dirty Coal"),"MT","BCM"))</f>
        <v/>
      </c>
      <c r="N256" s="157">
        <f>IF($E256="","",IF(OR($E256="Coal",$E256="Dirty Coal"),"Coal","OB"))</f>
        <v/>
      </c>
      <c r="O256" s="157">
        <f>IF($F256="","",IF(COUNTIF(MASTER_JAM!$A$5:$A$94,$C256)=0,"Digger tidak dikenal",IF($J256="","Hauler tidak dikenal",IF($H256="?","Jam salah",IF($K256=0,"Faktor kosong",IF(SUMIFS(INPUT_DELAY!$E$5:$E$20000,INPUT_DELAY!$A$5:$A$20000,$A256,INPUT_DELAY!$B$5:$B$20000,$B256,INPUT_DELAY!$C$5:$C$20000,$C256)+SUMIFS(INPUT_DELAY!$E$5:$E$20000,INPUT_DELAY!$A$5:$A$20000,$A256,INPUT_DELAY!$B$5:$B$20000,$B256,INPUT_DELAY!$C$5:$C$20000,"SEMUA")&gt;=60,"Delay 60 mnt tapi ada ritase","OK"))))))</f>
        <v/>
      </c>
      <c r="P256" s="158">
        <f>IFERROR(INDEX(MASTER_JAM!$Z$5:$AC$10,MATCH($I256,MASTER_JAM!$Y$5:$Y$10,0),MATCH($J256,MASTER_JAM!$Z$4:$AC$4,0))+0,0)</f>
        <v/>
      </c>
      <c r="Q256" s="158">
        <f>IF($P256=0,0,$P256+IFERROR(INDEX(MASTER_JAM!$H$5:$H$94,MATCH($C256,MASTER_JAM!$A$5:$A$94,0))+0,MASTER_JAM!$AC$15)/1000*(60/MASTER_JAM!$AC$12+60/MASTER_JAM!$AC$13)+MASTER_JAM!$AC$14)</f>
        <v/>
      </c>
      <c r="R256" s="158">
        <f>IF(N($F256)=0,0,$F256/SUMIFS(INPUT_RITASE!$F$5:$F$20000,INPUT_RITASE!$A$5:$A$20000,$A256,INPUT_RITASE!$B$5:$B$20000,$B256,INPUT_RITASE!$C$5:$C$20000,$C256,INPUT_RITASE!$D$5:$D$20000,$D256))</f>
        <v/>
      </c>
      <c r="S256" s="158">
        <f>IF($Q256=0,0,$R256*$P256/$Q256)</f>
        <v/>
      </c>
    </row>
    <row r="257">
      <c r="A257" s="155" t="n">
        <v>46104</v>
      </c>
      <c r="B257" s="156" t="inlineStr">
        <is>
          <t>18-19</t>
        </is>
      </c>
      <c r="C257" s="156" t="inlineStr">
        <is>
          <t>EX-1252</t>
        </is>
      </c>
      <c r="D257" s="156" t="inlineStr">
        <is>
          <t>DT-516</t>
        </is>
      </c>
      <c r="E257" s="156" t="inlineStr">
        <is>
          <t>OB</t>
        </is>
      </c>
      <c r="F257" s="156" t="n">
        <v>4</v>
      </c>
      <c r="G257" s="156" t="inlineStr"/>
      <c r="H257" s="157">
        <f>IF($B257="","",IF(ISNA(MATCH($B257,MASTER_JAM!$Q$5:$Q$28,0)),"?",IF(MATCH($B257,MASTER_JAM!$Q$5:$Q$28,0)&lt;=12,"DS","NS")))</f>
        <v/>
      </c>
      <c r="I257" s="157">
        <f>IFERROR(INDEX(MASTER_JAM!$B$5:$B$94,MATCH($C257,MASTER_JAM!$A$5:$A$94,0)),"")</f>
        <v/>
      </c>
      <c r="J257" s="157">
        <f>IFERROR(INDEX(MASTER_JAM!$E$5:$E$94,MATCH($D257,MASTER_JAM!$A$5:$A$94,0)),"")</f>
        <v/>
      </c>
      <c r="K257" s="158">
        <f>IFERROR(INDEX(MASTER_JAM!$J$5:$O$12,MATCH($E257,MASTER_JAM!$I$5:$I$12,0),MATCH($J257,MASTER_JAM!$J$4:$O$4,0))+0,0)</f>
        <v/>
      </c>
      <c r="L257" s="159">
        <f>N($F257)*$K257</f>
        <v/>
      </c>
      <c r="M257" s="157">
        <f>IF($E257="","",IF(OR($E257="Coal",$E257="Dirty Coal"),"MT","BCM"))</f>
        <v/>
      </c>
      <c r="N257" s="157">
        <f>IF($E257="","",IF(OR($E257="Coal",$E257="Dirty Coal"),"Coal","OB"))</f>
        <v/>
      </c>
      <c r="O257" s="157">
        <f>IF($F257="","",IF(COUNTIF(MASTER_JAM!$A$5:$A$94,$C257)=0,"Digger tidak dikenal",IF($J257="","Hauler tidak dikenal",IF($H257="?","Jam salah",IF($K257=0,"Faktor kosong",IF(SUMIFS(INPUT_DELAY!$E$5:$E$20000,INPUT_DELAY!$A$5:$A$20000,$A257,INPUT_DELAY!$B$5:$B$20000,$B257,INPUT_DELAY!$C$5:$C$20000,$C257)+SUMIFS(INPUT_DELAY!$E$5:$E$20000,INPUT_DELAY!$A$5:$A$20000,$A257,INPUT_DELAY!$B$5:$B$20000,$B257,INPUT_DELAY!$C$5:$C$20000,"SEMUA")&gt;=60,"Delay 60 mnt tapi ada ritase","OK"))))))</f>
        <v/>
      </c>
      <c r="P257" s="158">
        <f>IFERROR(INDEX(MASTER_JAM!$Z$5:$AC$10,MATCH($I257,MASTER_JAM!$Y$5:$Y$10,0),MATCH($J257,MASTER_JAM!$Z$4:$AC$4,0))+0,0)</f>
        <v/>
      </c>
      <c r="Q257" s="158">
        <f>IF($P257=0,0,$P257+IFERROR(INDEX(MASTER_JAM!$H$5:$H$94,MATCH($C257,MASTER_JAM!$A$5:$A$94,0))+0,MASTER_JAM!$AC$15)/1000*(60/MASTER_JAM!$AC$12+60/MASTER_JAM!$AC$13)+MASTER_JAM!$AC$14)</f>
        <v/>
      </c>
      <c r="R257" s="158">
        <f>IF(N($F257)=0,0,$F257/SUMIFS(INPUT_RITASE!$F$5:$F$20000,INPUT_RITASE!$A$5:$A$20000,$A257,INPUT_RITASE!$B$5:$B$20000,$B257,INPUT_RITASE!$C$5:$C$20000,$C257,INPUT_RITASE!$D$5:$D$20000,$D257))</f>
        <v/>
      </c>
      <c r="S257" s="158">
        <f>IF($Q257=0,0,$R257*$P257/$Q257)</f>
        <v/>
      </c>
    </row>
    <row r="258">
      <c r="A258" s="155" t="n">
        <v>46104</v>
      </c>
      <c r="B258" s="156" t="inlineStr">
        <is>
          <t>18-19</t>
        </is>
      </c>
      <c r="C258" s="156" t="inlineStr">
        <is>
          <t>EX-1252</t>
        </is>
      </c>
      <c r="D258" s="156" t="inlineStr">
        <is>
          <t>DT-503</t>
        </is>
      </c>
      <c r="E258" s="156" t="inlineStr">
        <is>
          <t>OB</t>
        </is>
      </c>
      <c r="F258" s="156" t="n">
        <v>4</v>
      </c>
      <c r="G258" s="156" t="inlineStr"/>
      <c r="H258" s="157">
        <f>IF($B258="","",IF(ISNA(MATCH($B258,MASTER_JAM!$Q$5:$Q$28,0)),"?",IF(MATCH($B258,MASTER_JAM!$Q$5:$Q$28,0)&lt;=12,"DS","NS")))</f>
        <v/>
      </c>
      <c r="I258" s="157">
        <f>IFERROR(INDEX(MASTER_JAM!$B$5:$B$94,MATCH($C258,MASTER_JAM!$A$5:$A$94,0)),"")</f>
        <v/>
      </c>
      <c r="J258" s="157">
        <f>IFERROR(INDEX(MASTER_JAM!$E$5:$E$94,MATCH($D258,MASTER_JAM!$A$5:$A$94,0)),"")</f>
        <v/>
      </c>
      <c r="K258" s="158">
        <f>IFERROR(INDEX(MASTER_JAM!$J$5:$O$12,MATCH($E258,MASTER_JAM!$I$5:$I$12,0),MATCH($J258,MASTER_JAM!$J$4:$O$4,0))+0,0)</f>
        <v/>
      </c>
      <c r="L258" s="159">
        <f>N($F258)*$K258</f>
        <v/>
      </c>
      <c r="M258" s="157">
        <f>IF($E258="","",IF(OR($E258="Coal",$E258="Dirty Coal"),"MT","BCM"))</f>
        <v/>
      </c>
      <c r="N258" s="157">
        <f>IF($E258="","",IF(OR($E258="Coal",$E258="Dirty Coal"),"Coal","OB"))</f>
        <v/>
      </c>
      <c r="O258" s="157">
        <f>IF($F258="","",IF(COUNTIF(MASTER_JAM!$A$5:$A$94,$C258)=0,"Digger tidak dikenal",IF($J258="","Hauler tidak dikenal",IF($H258="?","Jam salah",IF($K258=0,"Faktor kosong",IF(SUMIFS(INPUT_DELAY!$E$5:$E$20000,INPUT_DELAY!$A$5:$A$20000,$A258,INPUT_DELAY!$B$5:$B$20000,$B258,INPUT_DELAY!$C$5:$C$20000,$C258)+SUMIFS(INPUT_DELAY!$E$5:$E$20000,INPUT_DELAY!$A$5:$A$20000,$A258,INPUT_DELAY!$B$5:$B$20000,$B258,INPUT_DELAY!$C$5:$C$20000,"SEMUA")&gt;=60,"Delay 60 mnt tapi ada ritase","OK"))))))</f>
        <v/>
      </c>
      <c r="P258" s="158">
        <f>IFERROR(INDEX(MASTER_JAM!$Z$5:$AC$10,MATCH($I258,MASTER_JAM!$Y$5:$Y$10,0),MATCH($J258,MASTER_JAM!$Z$4:$AC$4,0))+0,0)</f>
        <v/>
      </c>
      <c r="Q258" s="158">
        <f>IF($P258=0,0,$P258+IFERROR(INDEX(MASTER_JAM!$H$5:$H$94,MATCH($C258,MASTER_JAM!$A$5:$A$94,0))+0,MASTER_JAM!$AC$15)/1000*(60/MASTER_JAM!$AC$12+60/MASTER_JAM!$AC$13)+MASTER_JAM!$AC$14)</f>
        <v/>
      </c>
      <c r="R258" s="158">
        <f>IF(N($F258)=0,0,$F258/SUMIFS(INPUT_RITASE!$F$5:$F$20000,INPUT_RITASE!$A$5:$A$20000,$A258,INPUT_RITASE!$B$5:$B$20000,$B258,INPUT_RITASE!$C$5:$C$20000,$C258,INPUT_RITASE!$D$5:$D$20000,$D258))</f>
        <v/>
      </c>
      <c r="S258" s="158">
        <f>IF($Q258=0,0,$R258*$P258/$Q258)</f>
        <v/>
      </c>
    </row>
    <row r="259">
      <c r="A259" s="155" t="n">
        <v>46104</v>
      </c>
      <c r="B259" s="156" t="inlineStr">
        <is>
          <t>18-19</t>
        </is>
      </c>
      <c r="C259" s="156" t="inlineStr">
        <is>
          <t>EX-1252</t>
        </is>
      </c>
      <c r="D259" s="156" t="inlineStr">
        <is>
          <t>DT-515</t>
        </is>
      </c>
      <c r="E259" s="156" t="inlineStr">
        <is>
          <t>OB</t>
        </is>
      </c>
      <c r="F259" s="156" t="n">
        <v>4</v>
      </c>
      <c r="G259" s="156" t="inlineStr"/>
      <c r="H259" s="157">
        <f>IF($B259="","",IF(ISNA(MATCH($B259,MASTER_JAM!$Q$5:$Q$28,0)),"?",IF(MATCH($B259,MASTER_JAM!$Q$5:$Q$28,0)&lt;=12,"DS","NS")))</f>
        <v/>
      </c>
      <c r="I259" s="157">
        <f>IFERROR(INDEX(MASTER_JAM!$B$5:$B$94,MATCH($C259,MASTER_JAM!$A$5:$A$94,0)),"")</f>
        <v/>
      </c>
      <c r="J259" s="157">
        <f>IFERROR(INDEX(MASTER_JAM!$E$5:$E$94,MATCH($D259,MASTER_JAM!$A$5:$A$94,0)),"")</f>
        <v/>
      </c>
      <c r="K259" s="158">
        <f>IFERROR(INDEX(MASTER_JAM!$J$5:$O$12,MATCH($E259,MASTER_JAM!$I$5:$I$12,0),MATCH($J259,MASTER_JAM!$J$4:$O$4,0))+0,0)</f>
        <v/>
      </c>
      <c r="L259" s="159">
        <f>N($F259)*$K259</f>
        <v/>
      </c>
      <c r="M259" s="157">
        <f>IF($E259="","",IF(OR($E259="Coal",$E259="Dirty Coal"),"MT","BCM"))</f>
        <v/>
      </c>
      <c r="N259" s="157">
        <f>IF($E259="","",IF(OR($E259="Coal",$E259="Dirty Coal"),"Coal","OB"))</f>
        <v/>
      </c>
      <c r="O259" s="157">
        <f>IF($F259="","",IF(COUNTIF(MASTER_JAM!$A$5:$A$94,$C259)=0,"Digger tidak dikenal",IF($J259="","Hauler tidak dikenal",IF($H259="?","Jam salah",IF($K259=0,"Faktor kosong",IF(SUMIFS(INPUT_DELAY!$E$5:$E$20000,INPUT_DELAY!$A$5:$A$20000,$A259,INPUT_DELAY!$B$5:$B$20000,$B259,INPUT_DELAY!$C$5:$C$20000,$C259)+SUMIFS(INPUT_DELAY!$E$5:$E$20000,INPUT_DELAY!$A$5:$A$20000,$A259,INPUT_DELAY!$B$5:$B$20000,$B259,INPUT_DELAY!$C$5:$C$20000,"SEMUA")&gt;=60,"Delay 60 mnt tapi ada ritase","OK"))))))</f>
        <v/>
      </c>
      <c r="P259" s="158">
        <f>IFERROR(INDEX(MASTER_JAM!$Z$5:$AC$10,MATCH($I259,MASTER_JAM!$Y$5:$Y$10,0),MATCH($J259,MASTER_JAM!$Z$4:$AC$4,0))+0,0)</f>
        <v/>
      </c>
      <c r="Q259" s="158">
        <f>IF($P259=0,0,$P259+IFERROR(INDEX(MASTER_JAM!$H$5:$H$94,MATCH($C259,MASTER_JAM!$A$5:$A$94,0))+0,MASTER_JAM!$AC$15)/1000*(60/MASTER_JAM!$AC$12+60/MASTER_JAM!$AC$13)+MASTER_JAM!$AC$14)</f>
        <v/>
      </c>
      <c r="R259" s="158">
        <f>IF(N($F259)=0,0,$F259/SUMIFS(INPUT_RITASE!$F$5:$F$20000,INPUT_RITASE!$A$5:$A$20000,$A259,INPUT_RITASE!$B$5:$B$20000,$B259,INPUT_RITASE!$C$5:$C$20000,$C259,INPUT_RITASE!$D$5:$D$20000,$D259))</f>
        <v/>
      </c>
      <c r="S259" s="158">
        <f>IF($Q259=0,0,$R259*$P259/$Q259)</f>
        <v/>
      </c>
    </row>
    <row r="260">
      <c r="A260" s="155" t="n">
        <v>46104</v>
      </c>
      <c r="B260" s="156" t="inlineStr">
        <is>
          <t>18-19</t>
        </is>
      </c>
      <c r="C260" s="156" t="inlineStr">
        <is>
          <t>EX-1252</t>
        </is>
      </c>
      <c r="D260" s="156" t="inlineStr">
        <is>
          <t>DT-508</t>
        </is>
      </c>
      <c r="E260" s="156" t="inlineStr">
        <is>
          <t>OB</t>
        </is>
      </c>
      <c r="F260" s="156" t="n">
        <v>4</v>
      </c>
      <c r="G260" s="156" t="inlineStr"/>
      <c r="H260" s="157">
        <f>IF($B260="","",IF(ISNA(MATCH($B260,MASTER_JAM!$Q$5:$Q$28,0)),"?",IF(MATCH($B260,MASTER_JAM!$Q$5:$Q$28,0)&lt;=12,"DS","NS")))</f>
        <v/>
      </c>
      <c r="I260" s="157">
        <f>IFERROR(INDEX(MASTER_JAM!$B$5:$B$94,MATCH($C260,MASTER_JAM!$A$5:$A$94,0)),"")</f>
        <v/>
      </c>
      <c r="J260" s="157">
        <f>IFERROR(INDEX(MASTER_JAM!$E$5:$E$94,MATCH($D260,MASTER_JAM!$A$5:$A$94,0)),"")</f>
        <v/>
      </c>
      <c r="K260" s="158">
        <f>IFERROR(INDEX(MASTER_JAM!$J$5:$O$12,MATCH($E260,MASTER_JAM!$I$5:$I$12,0),MATCH($J260,MASTER_JAM!$J$4:$O$4,0))+0,0)</f>
        <v/>
      </c>
      <c r="L260" s="159">
        <f>N($F260)*$K260</f>
        <v/>
      </c>
      <c r="M260" s="157">
        <f>IF($E260="","",IF(OR($E260="Coal",$E260="Dirty Coal"),"MT","BCM"))</f>
        <v/>
      </c>
      <c r="N260" s="157">
        <f>IF($E260="","",IF(OR($E260="Coal",$E260="Dirty Coal"),"Coal","OB"))</f>
        <v/>
      </c>
      <c r="O260" s="157">
        <f>IF($F260="","",IF(COUNTIF(MASTER_JAM!$A$5:$A$94,$C260)=0,"Digger tidak dikenal",IF($J260="","Hauler tidak dikenal",IF($H260="?","Jam salah",IF($K260=0,"Faktor kosong",IF(SUMIFS(INPUT_DELAY!$E$5:$E$20000,INPUT_DELAY!$A$5:$A$20000,$A260,INPUT_DELAY!$B$5:$B$20000,$B260,INPUT_DELAY!$C$5:$C$20000,$C260)+SUMIFS(INPUT_DELAY!$E$5:$E$20000,INPUT_DELAY!$A$5:$A$20000,$A260,INPUT_DELAY!$B$5:$B$20000,$B260,INPUT_DELAY!$C$5:$C$20000,"SEMUA")&gt;=60,"Delay 60 mnt tapi ada ritase","OK"))))))</f>
        <v/>
      </c>
      <c r="P260" s="158">
        <f>IFERROR(INDEX(MASTER_JAM!$Z$5:$AC$10,MATCH($I260,MASTER_JAM!$Y$5:$Y$10,0),MATCH($J260,MASTER_JAM!$Z$4:$AC$4,0))+0,0)</f>
        <v/>
      </c>
      <c r="Q260" s="158">
        <f>IF($P260=0,0,$P260+IFERROR(INDEX(MASTER_JAM!$H$5:$H$94,MATCH($C260,MASTER_JAM!$A$5:$A$94,0))+0,MASTER_JAM!$AC$15)/1000*(60/MASTER_JAM!$AC$12+60/MASTER_JAM!$AC$13)+MASTER_JAM!$AC$14)</f>
        <v/>
      </c>
      <c r="R260" s="158">
        <f>IF(N($F260)=0,0,$F260/SUMIFS(INPUT_RITASE!$F$5:$F$20000,INPUT_RITASE!$A$5:$A$20000,$A260,INPUT_RITASE!$B$5:$B$20000,$B260,INPUT_RITASE!$C$5:$C$20000,$C260,INPUT_RITASE!$D$5:$D$20000,$D260))</f>
        <v/>
      </c>
      <c r="S260" s="158">
        <f>IF($Q260=0,0,$R260*$P260/$Q260)</f>
        <v/>
      </c>
    </row>
    <row r="261">
      <c r="A261" s="155" t="n">
        <v>46104</v>
      </c>
      <c r="B261" s="156" t="inlineStr">
        <is>
          <t>18-19</t>
        </is>
      </c>
      <c r="C261" s="156" t="inlineStr">
        <is>
          <t>EX-1252</t>
        </is>
      </c>
      <c r="D261" s="156" t="inlineStr">
        <is>
          <t>DT-501</t>
        </is>
      </c>
      <c r="E261" s="156" t="inlineStr">
        <is>
          <t>OB</t>
        </is>
      </c>
      <c r="F261" s="156" t="n">
        <v>4</v>
      </c>
      <c r="G261" s="156" t="inlineStr"/>
      <c r="H261" s="157">
        <f>IF($B261="","",IF(ISNA(MATCH($B261,MASTER_JAM!$Q$5:$Q$28,0)),"?",IF(MATCH($B261,MASTER_JAM!$Q$5:$Q$28,0)&lt;=12,"DS","NS")))</f>
        <v/>
      </c>
      <c r="I261" s="157">
        <f>IFERROR(INDEX(MASTER_JAM!$B$5:$B$94,MATCH($C261,MASTER_JAM!$A$5:$A$94,0)),"")</f>
        <v/>
      </c>
      <c r="J261" s="157">
        <f>IFERROR(INDEX(MASTER_JAM!$E$5:$E$94,MATCH($D261,MASTER_JAM!$A$5:$A$94,0)),"")</f>
        <v/>
      </c>
      <c r="K261" s="158">
        <f>IFERROR(INDEX(MASTER_JAM!$J$5:$O$12,MATCH($E261,MASTER_JAM!$I$5:$I$12,0),MATCH($J261,MASTER_JAM!$J$4:$O$4,0))+0,0)</f>
        <v/>
      </c>
      <c r="L261" s="159">
        <f>N($F261)*$K261</f>
        <v/>
      </c>
      <c r="M261" s="157">
        <f>IF($E261="","",IF(OR($E261="Coal",$E261="Dirty Coal"),"MT","BCM"))</f>
        <v/>
      </c>
      <c r="N261" s="157">
        <f>IF($E261="","",IF(OR($E261="Coal",$E261="Dirty Coal"),"Coal","OB"))</f>
        <v/>
      </c>
      <c r="O261" s="157">
        <f>IF($F261="","",IF(COUNTIF(MASTER_JAM!$A$5:$A$94,$C261)=0,"Digger tidak dikenal",IF($J261="","Hauler tidak dikenal",IF($H261="?","Jam salah",IF($K261=0,"Faktor kosong",IF(SUMIFS(INPUT_DELAY!$E$5:$E$20000,INPUT_DELAY!$A$5:$A$20000,$A261,INPUT_DELAY!$B$5:$B$20000,$B261,INPUT_DELAY!$C$5:$C$20000,$C261)+SUMIFS(INPUT_DELAY!$E$5:$E$20000,INPUT_DELAY!$A$5:$A$20000,$A261,INPUT_DELAY!$B$5:$B$20000,$B261,INPUT_DELAY!$C$5:$C$20000,"SEMUA")&gt;=60,"Delay 60 mnt tapi ada ritase","OK"))))))</f>
        <v/>
      </c>
      <c r="P261" s="158">
        <f>IFERROR(INDEX(MASTER_JAM!$Z$5:$AC$10,MATCH($I261,MASTER_JAM!$Y$5:$Y$10,0),MATCH($J261,MASTER_JAM!$Z$4:$AC$4,0))+0,0)</f>
        <v/>
      </c>
      <c r="Q261" s="158">
        <f>IF($P261=0,0,$P261+IFERROR(INDEX(MASTER_JAM!$H$5:$H$94,MATCH($C261,MASTER_JAM!$A$5:$A$94,0))+0,MASTER_JAM!$AC$15)/1000*(60/MASTER_JAM!$AC$12+60/MASTER_JAM!$AC$13)+MASTER_JAM!$AC$14)</f>
        <v/>
      </c>
      <c r="R261" s="158">
        <f>IF(N($F261)=0,0,$F261/SUMIFS(INPUT_RITASE!$F$5:$F$20000,INPUT_RITASE!$A$5:$A$20000,$A261,INPUT_RITASE!$B$5:$B$20000,$B261,INPUT_RITASE!$C$5:$C$20000,$C261,INPUT_RITASE!$D$5:$D$20000,$D261))</f>
        <v/>
      </c>
      <c r="S261" s="158">
        <f>IF($Q261=0,0,$R261*$P261/$Q261)</f>
        <v/>
      </c>
    </row>
    <row r="262">
      <c r="A262" s="155" t="n">
        <v>46104</v>
      </c>
      <c r="B262" s="156" t="inlineStr">
        <is>
          <t>18-19</t>
        </is>
      </c>
      <c r="C262" s="156" t="inlineStr">
        <is>
          <t>EX-1252</t>
        </is>
      </c>
      <c r="D262" s="156" t="inlineStr">
        <is>
          <t>DT-510</t>
        </is>
      </c>
      <c r="E262" s="156" t="inlineStr">
        <is>
          <t>OB</t>
        </is>
      </c>
      <c r="F262" s="156" t="n">
        <v>4</v>
      </c>
      <c r="G262" s="156" t="inlineStr"/>
      <c r="H262" s="157">
        <f>IF($B262="","",IF(ISNA(MATCH($B262,MASTER_JAM!$Q$5:$Q$28,0)),"?",IF(MATCH($B262,MASTER_JAM!$Q$5:$Q$28,0)&lt;=12,"DS","NS")))</f>
        <v/>
      </c>
      <c r="I262" s="157">
        <f>IFERROR(INDEX(MASTER_JAM!$B$5:$B$94,MATCH($C262,MASTER_JAM!$A$5:$A$94,0)),"")</f>
        <v/>
      </c>
      <c r="J262" s="157">
        <f>IFERROR(INDEX(MASTER_JAM!$E$5:$E$94,MATCH($D262,MASTER_JAM!$A$5:$A$94,0)),"")</f>
        <v/>
      </c>
      <c r="K262" s="158">
        <f>IFERROR(INDEX(MASTER_JAM!$J$5:$O$12,MATCH($E262,MASTER_JAM!$I$5:$I$12,0),MATCH($J262,MASTER_JAM!$J$4:$O$4,0))+0,0)</f>
        <v/>
      </c>
      <c r="L262" s="159">
        <f>N($F262)*$K262</f>
        <v/>
      </c>
      <c r="M262" s="157">
        <f>IF($E262="","",IF(OR($E262="Coal",$E262="Dirty Coal"),"MT","BCM"))</f>
        <v/>
      </c>
      <c r="N262" s="157">
        <f>IF($E262="","",IF(OR($E262="Coal",$E262="Dirty Coal"),"Coal","OB"))</f>
        <v/>
      </c>
      <c r="O262" s="157">
        <f>IF($F262="","",IF(COUNTIF(MASTER_JAM!$A$5:$A$94,$C262)=0,"Digger tidak dikenal",IF($J262="","Hauler tidak dikenal",IF($H262="?","Jam salah",IF($K262=0,"Faktor kosong",IF(SUMIFS(INPUT_DELAY!$E$5:$E$20000,INPUT_DELAY!$A$5:$A$20000,$A262,INPUT_DELAY!$B$5:$B$20000,$B262,INPUT_DELAY!$C$5:$C$20000,$C262)+SUMIFS(INPUT_DELAY!$E$5:$E$20000,INPUT_DELAY!$A$5:$A$20000,$A262,INPUT_DELAY!$B$5:$B$20000,$B262,INPUT_DELAY!$C$5:$C$20000,"SEMUA")&gt;=60,"Delay 60 mnt tapi ada ritase","OK"))))))</f>
        <v/>
      </c>
      <c r="P262" s="158">
        <f>IFERROR(INDEX(MASTER_JAM!$Z$5:$AC$10,MATCH($I262,MASTER_JAM!$Y$5:$Y$10,0),MATCH($J262,MASTER_JAM!$Z$4:$AC$4,0))+0,0)</f>
        <v/>
      </c>
      <c r="Q262" s="158">
        <f>IF($P262=0,0,$P262+IFERROR(INDEX(MASTER_JAM!$H$5:$H$94,MATCH($C262,MASTER_JAM!$A$5:$A$94,0))+0,MASTER_JAM!$AC$15)/1000*(60/MASTER_JAM!$AC$12+60/MASTER_JAM!$AC$13)+MASTER_JAM!$AC$14)</f>
        <v/>
      </c>
      <c r="R262" s="158">
        <f>IF(N($F262)=0,0,$F262/SUMIFS(INPUT_RITASE!$F$5:$F$20000,INPUT_RITASE!$A$5:$A$20000,$A262,INPUT_RITASE!$B$5:$B$20000,$B262,INPUT_RITASE!$C$5:$C$20000,$C262,INPUT_RITASE!$D$5:$D$20000,$D262))</f>
        <v/>
      </c>
      <c r="S262" s="158">
        <f>IF($Q262=0,0,$R262*$P262/$Q262)</f>
        <v/>
      </c>
    </row>
    <row r="263">
      <c r="A263" s="155" t="n">
        <v>46104</v>
      </c>
      <c r="B263" s="156" t="inlineStr">
        <is>
          <t>03-04</t>
        </is>
      </c>
      <c r="C263" s="156" t="inlineStr">
        <is>
          <t>EX-1252</t>
        </is>
      </c>
      <c r="D263" s="156" t="inlineStr">
        <is>
          <t>DT-523</t>
        </is>
      </c>
      <c r="E263" s="156" t="inlineStr">
        <is>
          <t>OB</t>
        </is>
      </c>
      <c r="F263" s="156" t="n">
        <v>4</v>
      </c>
      <c r="G263" s="156" t="inlineStr"/>
      <c r="H263" s="157">
        <f>IF($B263="","",IF(ISNA(MATCH($B263,MASTER_JAM!$Q$5:$Q$28,0)),"?",IF(MATCH($B263,MASTER_JAM!$Q$5:$Q$28,0)&lt;=12,"DS","NS")))</f>
        <v/>
      </c>
      <c r="I263" s="157">
        <f>IFERROR(INDEX(MASTER_JAM!$B$5:$B$94,MATCH($C263,MASTER_JAM!$A$5:$A$94,0)),"")</f>
        <v/>
      </c>
      <c r="J263" s="157">
        <f>IFERROR(INDEX(MASTER_JAM!$E$5:$E$94,MATCH($D263,MASTER_JAM!$A$5:$A$94,0)),"")</f>
        <v/>
      </c>
      <c r="K263" s="158">
        <f>IFERROR(INDEX(MASTER_JAM!$J$5:$O$12,MATCH($E263,MASTER_JAM!$I$5:$I$12,0),MATCH($J263,MASTER_JAM!$J$4:$O$4,0))+0,0)</f>
        <v/>
      </c>
      <c r="L263" s="159">
        <f>N($F263)*$K263</f>
        <v/>
      </c>
      <c r="M263" s="157">
        <f>IF($E263="","",IF(OR($E263="Coal",$E263="Dirty Coal"),"MT","BCM"))</f>
        <v/>
      </c>
      <c r="N263" s="157">
        <f>IF($E263="","",IF(OR($E263="Coal",$E263="Dirty Coal"),"Coal","OB"))</f>
        <v/>
      </c>
      <c r="O263" s="157">
        <f>IF($F263="","",IF(COUNTIF(MASTER_JAM!$A$5:$A$94,$C263)=0,"Digger tidak dikenal",IF($J263="","Hauler tidak dikenal",IF($H263="?","Jam salah",IF($K263=0,"Faktor kosong",IF(SUMIFS(INPUT_DELAY!$E$5:$E$20000,INPUT_DELAY!$A$5:$A$20000,$A263,INPUT_DELAY!$B$5:$B$20000,$B263,INPUT_DELAY!$C$5:$C$20000,$C263)+SUMIFS(INPUT_DELAY!$E$5:$E$20000,INPUT_DELAY!$A$5:$A$20000,$A263,INPUT_DELAY!$B$5:$B$20000,$B263,INPUT_DELAY!$C$5:$C$20000,"SEMUA")&gt;=60,"Delay 60 mnt tapi ada ritase","OK"))))))</f>
        <v/>
      </c>
      <c r="P263" s="158">
        <f>IFERROR(INDEX(MASTER_JAM!$Z$5:$AC$10,MATCH($I263,MASTER_JAM!$Y$5:$Y$10,0),MATCH($J263,MASTER_JAM!$Z$4:$AC$4,0))+0,0)</f>
        <v/>
      </c>
      <c r="Q263" s="158">
        <f>IF($P263=0,0,$P263+IFERROR(INDEX(MASTER_JAM!$H$5:$H$94,MATCH($C263,MASTER_JAM!$A$5:$A$94,0))+0,MASTER_JAM!$AC$15)/1000*(60/MASTER_JAM!$AC$12+60/MASTER_JAM!$AC$13)+MASTER_JAM!$AC$14)</f>
        <v/>
      </c>
      <c r="R263" s="158">
        <f>IF(N($F263)=0,0,$F263/SUMIFS(INPUT_RITASE!$F$5:$F$20000,INPUT_RITASE!$A$5:$A$20000,$A263,INPUT_RITASE!$B$5:$B$20000,$B263,INPUT_RITASE!$C$5:$C$20000,$C263,INPUT_RITASE!$D$5:$D$20000,$D263))</f>
        <v/>
      </c>
      <c r="S263" s="158">
        <f>IF($Q263=0,0,$R263*$P263/$Q263)</f>
        <v/>
      </c>
    </row>
    <row r="264">
      <c r="A264" s="155" t="n">
        <v>46104</v>
      </c>
      <c r="B264" s="156" t="inlineStr">
        <is>
          <t>03-04</t>
        </is>
      </c>
      <c r="C264" s="156" t="inlineStr">
        <is>
          <t>EX-1252</t>
        </is>
      </c>
      <c r="D264" s="156" t="inlineStr">
        <is>
          <t>DT-507</t>
        </is>
      </c>
      <c r="E264" s="156" t="inlineStr">
        <is>
          <t>OB</t>
        </is>
      </c>
      <c r="F264" s="156" t="n">
        <v>4</v>
      </c>
      <c r="G264" s="156" t="inlineStr"/>
      <c r="H264" s="157">
        <f>IF($B264="","",IF(ISNA(MATCH($B264,MASTER_JAM!$Q$5:$Q$28,0)),"?",IF(MATCH($B264,MASTER_JAM!$Q$5:$Q$28,0)&lt;=12,"DS","NS")))</f>
        <v/>
      </c>
      <c r="I264" s="157">
        <f>IFERROR(INDEX(MASTER_JAM!$B$5:$B$94,MATCH($C264,MASTER_JAM!$A$5:$A$94,0)),"")</f>
        <v/>
      </c>
      <c r="J264" s="157">
        <f>IFERROR(INDEX(MASTER_JAM!$E$5:$E$94,MATCH($D264,MASTER_JAM!$A$5:$A$94,0)),"")</f>
        <v/>
      </c>
      <c r="K264" s="158">
        <f>IFERROR(INDEX(MASTER_JAM!$J$5:$O$12,MATCH($E264,MASTER_JAM!$I$5:$I$12,0),MATCH($J264,MASTER_JAM!$J$4:$O$4,0))+0,0)</f>
        <v/>
      </c>
      <c r="L264" s="159">
        <f>N($F264)*$K264</f>
        <v/>
      </c>
      <c r="M264" s="157">
        <f>IF($E264="","",IF(OR($E264="Coal",$E264="Dirty Coal"),"MT","BCM"))</f>
        <v/>
      </c>
      <c r="N264" s="157">
        <f>IF($E264="","",IF(OR($E264="Coal",$E264="Dirty Coal"),"Coal","OB"))</f>
        <v/>
      </c>
      <c r="O264" s="157">
        <f>IF($F264="","",IF(COUNTIF(MASTER_JAM!$A$5:$A$94,$C264)=0,"Digger tidak dikenal",IF($J264="","Hauler tidak dikenal",IF($H264="?","Jam salah",IF($K264=0,"Faktor kosong",IF(SUMIFS(INPUT_DELAY!$E$5:$E$20000,INPUT_DELAY!$A$5:$A$20000,$A264,INPUT_DELAY!$B$5:$B$20000,$B264,INPUT_DELAY!$C$5:$C$20000,$C264)+SUMIFS(INPUT_DELAY!$E$5:$E$20000,INPUT_DELAY!$A$5:$A$20000,$A264,INPUT_DELAY!$B$5:$B$20000,$B264,INPUT_DELAY!$C$5:$C$20000,"SEMUA")&gt;=60,"Delay 60 mnt tapi ada ritase","OK"))))))</f>
        <v/>
      </c>
      <c r="P264" s="158">
        <f>IFERROR(INDEX(MASTER_JAM!$Z$5:$AC$10,MATCH($I264,MASTER_JAM!$Y$5:$Y$10,0),MATCH($J264,MASTER_JAM!$Z$4:$AC$4,0))+0,0)</f>
        <v/>
      </c>
      <c r="Q264" s="158">
        <f>IF($P264=0,0,$P264+IFERROR(INDEX(MASTER_JAM!$H$5:$H$94,MATCH($C264,MASTER_JAM!$A$5:$A$94,0))+0,MASTER_JAM!$AC$15)/1000*(60/MASTER_JAM!$AC$12+60/MASTER_JAM!$AC$13)+MASTER_JAM!$AC$14)</f>
        <v/>
      </c>
      <c r="R264" s="158">
        <f>IF(N($F264)=0,0,$F264/SUMIFS(INPUT_RITASE!$F$5:$F$20000,INPUT_RITASE!$A$5:$A$20000,$A264,INPUT_RITASE!$B$5:$B$20000,$B264,INPUT_RITASE!$C$5:$C$20000,$C264,INPUT_RITASE!$D$5:$D$20000,$D264))</f>
        <v/>
      </c>
      <c r="S264" s="158">
        <f>IF($Q264=0,0,$R264*$P264/$Q264)</f>
        <v/>
      </c>
    </row>
    <row r="265">
      <c r="A265" s="155" t="n">
        <v>46104</v>
      </c>
      <c r="B265" s="156" t="inlineStr">
        <is>
          <t>03-04</t>
        </is>
      </c>
      <c r="C265" s="156" t="inlineStr">
        <is>
          <t>EX-1252</t>
        </is>
      </c>
      <c r="D265" s="156" t="inlineStr">
        <is>
          <t>DT-513</t>
        </is>
      </c>
      <c r="E265" s="156" t="inlineStr">
        <is>
          <t>OB</t>
        </is>
      </c>
      <c r="F265" s="156" t="n">
        <v>4</v>
      </c>
      <c r="G265" s="156" t="inlineStr"/>
      <c r="H265" s="157">
        <f>IF($B265="","",IF(ISNA(MATCH($B265,MASTER_JAM!$Q$5:$Q$28,0)),"?",IF(MATCH($B265,MASTER_JAM!$Q$5:$Q$28,0)&lt;=12,"DS","NS")))</f>
        <v/>
      </c>
      <c r="I265" s="157">
        <f>IFERROR(INDEX(MASTER_JAM!$B$5:$B$94,MATCH($C265,MASTER_JAM!$A$5:$A$94,0)),"")</f>
        <v/>
      </c>
      <c r="J265" s="157">
        <f>IFERROR(INDEX(MASTER_JAM!$E$5:$E$94,MATCH($D265,MASTER_JAM!$A$5:$A$94,0)),"")</f>
        <v/>
      </c>
      <c r="K265" s="158">
        <f>IFERROR(INDEX(MASTER_JAM!$J$5:$O$12,MATCH($E265,MASTER_JAM!$I$5:$I$12,0),MATCH($J265,MASTER_JAM!$J$4:$O$4,0))+0,0)</f>
        <v/>
      </c>
      <c r="L265" s="159">
        <f>N($F265)*$K265</f>
        <v/>
      </c>
      <c r="M265" s="157">
        <f>IF($E265="","",IF(OR($E265="Coal",$E265="Dirty Coal"),"MT","BCM"))</f>
        <v/>
      </c>
      <c r="N265" s="157">
        <f>IF($E265="","",IF(OR($E265="Coal",$E265="Dirty Coal"),"Coal","OB"))</f>
        <v/>
      </c>
      <c r="O265" s="157">
        <f>IF($F265="","",IF(COUNTIF(MASTER_JAM!$A$5:$A$94,$C265)=0,"Digger tidak dikenal",IF($J265="","Hauler tidak dikenal",IF($H265="?","Jam salah",IF($K265=0,"Faktor kosong",IF(SUMIFS(INPUT_DELAY!$E$5:$E$20000,INPUT_DELAY!$A$5:$A$20000,$A265,INPUT_DELAY!$B$5:$B$20000,$B265,INPUT_DELAY!$C$5:$C$20000,$C265)+SUMIFS(INPUT_DELAY!$E$5:$E$20000,INPUT_DELAY!$A$5:$A$20000,$A265,INPUT_DELAY!$B$5:$B$20000,$B265,INPUT_DELAY!$C$5:$C$20000,"SEMUA")&gt;=60,"Delay 60 mnt tapi ada ritase","OK"))))))</f>
        <v/>
      </c>
      <c r="P265" s="158">
        <f>IFERROR(INDEX(MASTER_JAM!$Z$5:$AC$10,MATCH($I265,MASTER_JAM!$Y$5:$Y$10,0),MATCH($J265,MASTER_JAM!$Z$4:$AC$4,0))+0,0)</f>
        <v/>
      </c>
      <c r="Q265" s="158">
        <f>IF($P265=0,0,$P265+IFERROR(INDEX(MASTER_JAM!$H$5:$H$94,MATCH($C265,MASTER_JAM!$A$5:$A$94,0))+0,MASTER_JAM!$AC$15)/1000*(60/MASTER_JAM!$AC$12+60/MASTER_JAM!$AC$13)+MASTER_JAM!$AC$14)</f>
        <v/>
      </c>
      <c r="R265" s="158">
        <f>IF(N($F265)=0,0,$F265/SUMIFS(INPUT_RITASE!$F$5:$F$20000,INPUT_RITASE!$A$5:$A$20000,$A265,INPUT_RITASE!$B$5:$B$20000,$B265,INPUT_RITASE!$C$5:$C$20000,$C265,INPUT_RITASE!$D$5:$D$20000,$D265))</f>
        <v/>
      </c>
      <c r="S265" s="158">
        <f>IF($Q265=0,0,$R265*$P265/$Q265)</f>
        <v/>
      </c>
    </row>
    <row r="266">
      <c r="A266" s="155" t="n">
        <v>46104</v>
      </c>
      <c r="B266" s="156" t="inlineStr">
        <is>
          <t>03-04</t>
        </is>
      </c>
      <c r="C266" s="156" t="inlineStr">
        <is>
          <t>EX-1252</t>
        </is>
      </c>
      <c r="D266" s="156" t="inlineStr">
        <is>
          <t>DT-520</t>
        </is>
      </c>
      <c r="E266" s="156" t="inlineStr">
        <is>
          <t>OB</t>
        </is>
      </c>
      <c r="F266" s="156" t="n">
        <v>3</v>
      </c>
      <c r="G266" s="156" t="inlineStr"/>
      <c r="H266" s="157">
        <f>IF($B266="","",IF(ISNA(MATCH($B266,MASTER_JAM!$Q$5:$Q$28,0)),"?",IF(MATCH($B266,MASTER_JAM!$Q$5:$Q$28,0)&lt;=12,"DS","NS")))</f>
        <v/>
      </c>
      <c r="I266" s="157">
        <f>IFERROR(INDEX(MASTER_JAM!$B$5:$B$94,MATCH($C266,MASTER_JAM!$A$5:$A$94,0)),"")</f>
        <v/>
      </c>
      <c r="J266" s="157">
        <f>IFERROR(INDEX(MASTER_JAM!$E$5:$E$94,MATCH($D266,MASTER_JAM!$A$5:$A$94,0)),"")</f>
        <v/>
      </c>
      <c r="K266" s="158">
        <f>IFERROR(INDEX(MASTER_JAM!$J$5:$O$12,MATCH($E266,MASTER_JAM!$I$5:$I$12,0),MATCH($J266,MASTER_JAM!$J$4:$O$4,0))+0,0)</f>
        <v/>
      </c>
      <c r="L266" s="159">
        <f>N($F266)*$K266</f>
        <v/>
      </c>
      <c r="M266" s="157">
        <f>IF($E266="","",IF(OR($E266="Coal",$E266="Dirty Coal"),"MT","BCM"))</f>
        <v/>
      </c>
      <c r="N266" s="157">
        <f>IF($E266="","",IF(OR($E266="Coal",$E266="Dirty Coal"),"Coal","OB"))</f>
        <v/>
      </c>
      <c r="O266" s="157">
        <f>IF($F266="","",IF(COUNTIF(MASTER_JAM!$A$5:$A$94,$C266)=0,"Digger tidak dikenal",IF($J266="","Hauler tidak dikenal",IF($H266="?","Jam salah",IF($K266=0,"Faktor kosong",IF(SUMIFS(INPUT_DELAY!$E$5:$E$20000,INPUT_DELAY!$A$5:$A$20000,$A266,INPUT_DELAY!$B$5:$B$20000,$B266,INPUT_DELAY!$C$5:$C$20000,$C266)+SUMIFS(INPUT_DELAY!$E$5:$E$20000,INPUT_DELAY!$A$5:$A$20000,$A266,INPUT_DELAY!$B$5:$B$20000,$B266,INPUT_DELAY!$C$5:$C$20000,"SEMUA")&gt;=60,"Delay 60 mnt tapi ada ritase","OK"))))))</f>
        <v/>
      </c>
      <c r="P266" s="158">
        <f>IFERROR(INDEX(MASTER_JAM!$Z$5:$AC$10,MATCH($I266,MASTER_JAM!$Y$5:$Y$10,0),MATCH($J266,MASTER_JAM!$Z$4:$AC$4,0))+0,0)</f>
        <v/>
      </c>
      <c r="Q266" s="158">
        <f>IF($P266=0,0,$P266+IFERROR(INDEX(MASTER_JAM!$H$5:$H$94,MATCH($C266,MASTER_JAM!$A$5:$A$94,0))+0,MASTER_JAM!$AC$15)/1000*(60/MASTER_JAM!$AC$12+60/MASTER_JAM!$AC$13)+MASTER_JAM!$AC$14)</f>
        <v/>
      </c>
      <c r="R266" s="158">
        <f>IF(N($F266)=0,0,$F266/SUMIFS(INPUT_RITASE!$F$5:$F$20000,INPUT_RITASE!$A$5:$A$20000,$A266,INPUT_RITASE!$B$5:$B$20000,$B266,INPUT_RITASE!$C$5:$C$20000,$C266,INPUT_RITASE!$D$5:$D$20000,$D266))</f>
        <v/>
      </c>
      <c r="S266" s="158">
        <f>IF($Q266=0,0,$R266*$P266/$Q266)</f>
        <v/>
      </c>
    </row>
    <row r="267">
      <c r="A267" s="155" t="n">
        <v>46104</v>
      </c>
      <c r="B267" s="156" t="inlineStr">
        <is>
          <t>05-06</t>
        </is>
      </c>
      <c r="C267" s="156" t="inlineStr">
        <is>
          <t>EX-1252</t>
        </is>
      </c>
      <c r="D267" s="156" t="inlineStr">
        <is>
          <t>DT-521</t>
        </is>
      </c>
      <c r="E267" s="156" t="inlineStr">
        <is>
          <t>OB</t>
        </is>
      </c>
      <c r="F267" s="156" t="n">
        <v>4</v>
      </c>
      <c r="G267" s="156" t="inlineStr"/>
      <c r="H267" s="157">
        <f>IF($B267="","",IF(ISNA(MATCH($B267,MASTER_JAM!$Q$5:$Q$28,0)),"?",IF(MATCH($B267,MASTER_JAM!$Q$5:$Q$28,0)&lt;=12,"DS","NS")))</f>
        <v/>
      </c>
      <c r="I267" s="157">
        <f>IFERROR(INDEX(MASTER_JAM!$B$5:$B$94,MATCH($C267,MASTER_JAM!$A$5:$A$94,0)),"")</f>
        <v/>
      </c>
      <c r="J267" s="157">
        <f>IFERROR(INDEX(MASTER_JAM!$E$5:$E$94,MATCH($D267,MASTER_JAM!$A$5:$A$94,0)),"")</f>
        <v/>
      </c>
      <c r="K267" s="158">
        <f>IFERROR(INDEX(MASTER_JAM!$J$5:$O$12,MATCH($E267,MASTER_JAM!$I$5:$I$12,0),MATCH($J267,MASTER_JAM!$J$4:$O$4,0))+0,0)</f>
        <v/>
      </c>
      <c r="L267" s="159">
        <f>N($F267)*$K267</f>
        <v/>
      </c>
      <c r="M267" s="157">
        <f>IF($E267="","",IF(OR($E267="Coal",$E267="Dirty Coal"),"MT","BCM"))</f>
        <v/>
      </c>
      <c r="N267" s="157">
        <f>IF($E267="","",IF(OR($E267="Coal",$E267="Dirty Coal"),"Coal","OB"))</f>
        <v/>
      </c>
      <c r="O267" s="157">
        <f>IF($F267="","",IF(COUNTIF(MASTER_JAM!$A$5:$A$94,$C267)=0,"Digger tidak dikenal",IF($J267="","Hauler tidak dikenal",IF($H267="?","Jam salah",IF($K267=0,"Faktor kosong",IF(SUMIFS(INPUT_DELAY!$E$5:$E$20000,INPUT_DELAY!$A$5:$A$20000,$A267,INPUT_DELAY!$B$5:$B$20000,$B267,INPUT_DELAY!$C$5:$C$20000,$C267)+SUMIFS(INPUT_DELAY!$E$5:$E$20000,INPUT_DELAY!$A$5:$A$20000,$A267,INPUT_DELAY!$B$5:$B$20000,$B267,INPUT_DELAY!$C$5:$C$20000,"SEMUA")&gt;=60,"Delay 60 mnt tapi ada ritase","OK"))))))</f>
        <v/>
      </c>
      <c r="P267" s="158">
        <f>IFERROR(INDEX(MASTER_JAM!$Z$5:$AC$10,MATCH($I267,MASTER_JAM!$Y$5:$Y$10,0),MATCH($J267,MASTER_JAM!$Z$4:$AC$4,0))+0,0)</f>
        <v/>
      </c>
      <c r="Q267" s="158">
        <f>IF($P267=0,0,$P267+IFERROR(INDEX(MASTER_JAM!$H$5:$H$94,MATCH($C267,MASTER_JAM!$A$5:$A$94,0))+0,MASTER_JAM!$AC$15)/1000*(60/MASTER_JAM!$AC$12+60/MASTER_JAM!$AC$13)+MASTER_JAM!$AC$14)</f>
        <v/>
      </c>
      <c r="R267" s="158">
        <f>IF(N($F267)=0,0,$F267/SUMIFS(INPUT_RITASE!$F$5:$F$20000,INPUT_RITASE!$A$5:$A$20000,$A267,INPUT_RITASE!$B$5:$B$20000,$B267,INPUT_RITASE!$C$5:$C$20000,$C267,INPUT_RITASE!$D$5:$D$20000,$D267))</f>
        <v/>
      </c>
      <c r="S267" s="158">
        <f>IF($Q267=0,0,$R267*$P267/$Q267)</f>
        <v/>
      </c>
    </row>
    <row r="268">
      <c r="A268" s="155" t="n">
        <v>46104</v>
      </c>
      <c r="B268" s="156" t="inlineStr">
        <is>
          <t>05-06</t>
        </is>
      </c>
      <c r="C268" s="156" t="inlineStr">
        <is>
          <t>EX-1252</t>
        </is>
      </c>
      <c r="D268" s="156" t="inlineStr">
        <is>
          <t>DT-516</t>
        </is>
      </c>
      <c r="E268" s="156" t="inlineStr">
        <is>
          <t>OB</t>
        </is>
      </c>
      <c r="F268" s="156" t="n">
        <v>4</v>
      </c>
      <c r="G268" s="156" t="inlineStr"/>
      <c r="H268" s="157">
        <f>IF($B268="","",IF(ISNA(MATCH($B268,MASTER_JAM!$Q$5:$Q$28,0)),"?",IF(MATCH($B268,MASTER_JAM!$Q$5:$Q$28,0)&lt;=12,"DS","NS")))</f>
        <v/>
      </c>
      <c r="I268" s="157">
        <f>IFERROR(INDEX(MASTER_JAM!$B$5:$B$94,MATCH($C268,MASTER_JAM!$A$5:$A$94,0)),"")</f>
        <v/>
      </c>
      <c r="J268" s="157">
        <f>IFERROR(INDEX(MASTER_JAM!$E$5:$E$94,MATCH($D268,MASTER_JAM!$A$5:$A$94,0)),"")</f>
        <v/>
      </c>
      <c r="K268" s="158">
        <f>IFERROR(INDEX(MASTER_JAM!$J$5:$O$12,MATCH($E268,MASTER_JAM!$I$5:$I$12,0),MATCH($J268,MASTER_JAM!$J$4:$O$4,0))+0,0)</f>
        <v/>
      </c>
      <c r="L268" s="159">
        <f>N($F268)*$K268</f>
        <v/>
      </c>
      <c r="M268" s="157">
        <f>IF($E268="","",IF(OR($E268="Coal",$E268="Dirty Coal"),"MT","BCM"))</f>
        <v/>
      </c>
      <c r="N268" s="157">
        <f>IF($E268="","",IF(OR($E268="Coal",$E268="Dirty Coal"),"Coal","OB"))</f>
        <v/>
      </c>
      <c r="O268" s="157">
        <f>IF($F268="","",IF(COUNTIF(MASTER_JAM!$A$5:$A$94,$C268)=0,"Digger tidak dikenal",IF($J268="","Hauler tidak dikenal",IF($H268="?","Jam salah",IF($K268=0,"Faktor kosong",IF(SUMIFS(INPUT_DELAY!$E$5:$E$20000,INPUT_DELAY!$A$5:$A$20000,$A268,INPUT_DELAY!$B$5:$B$20000,$B268,INPUT_DELAY!$C$5:$C$20000,$C268)+SUMIFS(INPUT_DELAY!$E$5:$E$20000,INPUT_DELAY!$A$5:$A$20000,$A268,INPUT_DELAY!$B$5:$B$20000,$B268,INPUT_DELAY!$C$5:$C$20000,"SEMUA")&gt;=60,"Delay 60 mnt tapi ada ritase","OK"))))))</f>
        <v/>
      </c>
      <c r="P268" s="158">
        <f>IFERROR(INDEX(MASTER_JAM!$Z$5:$AC$10,MATCH($I268,MASTER_JAM!$Y$5:$Y$10,0),MATCH($J268,MASTER_JAM!$Z$4:$AC$4,0))+0,0)</f>
        <v/>
      </c>
      <c r="Q268" s="158">
        <f>IF($P268=0,0,$P268+IFERROR(INDEX(MASTER_JAM!$H$5:$H$94,MATCH($C268,MASTER_JAM!$A$5:$A$94,0))+0,MASTER_JAM!$AC$15)/1000*(60/MASTER_JAM!$AC$12+60/MASTER_JAM!$AC$13)+MASTER_JAM!$AC$14)</f>
        <v/>
      </c>
      <c r="R268" s="158">
        <f>IF(N($F268)=0,0,$F268/SUMIFS(INPUT_RITASE!$F$5:$F$20000,INPUT_RITASE!$A$5:$A$20000,$A268,INPUT_RITASE!$B$5:$B$20000,$B268,INPUT_RITASE!$C$5:$C$20000,$C268,INPUT_RITASE!$D$5:$D$20000,$D268))</f>
        <v/>
      </c>
      <c r="S268" s="158">
        <f>IF($Q268=0,0,$R268*$P268/$Q268)</f>
        <v/>
      </c>
    </row>
    <row r="269">
      <c r="A269" s="155" t="n">
        <v>46104</v>
      </c>
      <c r="B269" s="156" t="inlineStr">
        <is>
          <t>05-06</t>
        </is>
      </c>
      <c r="C269" s="156" t="inlineStr">
        <is>
          <t>EX-1252</t>
        </is>
      </c>
      <c r="D269" s="156" t="inlineStr">
        <is>
          <t>DT-510</t>
        </is>
      </c>
      <c r="E269" s="156" t="inlineStr">
        <is>
          <t>OB</t>
        </is>
      </c>
      <c r="F269" s="156" t="n">
        <v>4</v>
      </c>
      <c r="G269" s="156" t="inlineStr"/>
      <c r="H269" s="157">
        <f>IF($B269="","",IF(ISNA(MATCH($B269,MASTER_JAM!$Q$5:$Q$28,0)),"?",IF(MATCH($B269,MASTER_JAM!$Q$5:$Q$28,0)&lt;=12,"DS","NS")))</f>
        <v/>
      </c>
      <c r="I269" s="157">
        <f>IFERROR(INDEX(MASTER_JAM!$B$5:$B$94,MATCH($C269,MASTER_JAM!$A$5:$A$94,0)),"")</f>
        <v/>
      </c>
      <c r="J269" s="157">
        <f>IFERROR(INDEX(MASTER_JAM!$E$5:$E$94,MATCH($D269,MASTER_JAM!$A$5:$A$94,0)),"")</f>
        <v/>
      </c>
      <c r="K269" s="158">
        <f>IFERROR(INDEX(MASTER_JAM!$J$5:$O$12,MATCH($E269,MASTER_JAM!$I$5:$I$12,0),MATCH($J269,MASTER_JAM!$J$4:$O$4,0))+0,0)</f>
        <v/>
      </c>
      <c r="L269" s="159">
        <f>N($F269)*$K269</f>
        <v/>
      </c>
      <c r="M269" s="157">
        <f>IF($E269="","",IF(OR($E269="Coal",$E269="Dirty Coal"),"MT","BCM"))</f>
        <v/>
      </c>
      <c r="N269" s="157">
        <f>IF($E269="","",IF(OR($E269="Coal",$E269="Dirty Coal"),"Coal","OB"))</f>
        <v/>
      </c>
      <c r="O269" s="157">
        <f>IF($F269="","",IF(COUNTIF(MASTER_JAM!$A$5:$A$94,$C269)=0,"Digger tidak dikenal",IF($J269="","Hauler tidak dikenal",IF($H269="?","Jam salah",IF($K269=0,"Faktor kosong",IF(SUMIFS(INPUT_DELAY!$E$5:$E$20000,INPUT_DELAY!$A$5:$A$20000,$A269,INPUT_DELAY!$B$5:$B$20000,$B269,INPUT_DELAY!$C$5:$C$20000,$C269)+SUMIFS(INPUT_DELAY!$E$5:$E$20000,INPUT_DELAY!$A$5:$A$20000,$A269,INPUT_DELAY!$B$5:$B$20000,$B269,INPUT_DELAY!$C$5:$C$20000,"SEMUA")&gt;=60,"Delay 60 mnt tapi ada ritase","OK"))))))</f>
        <v/>
      </c>
      <c r="P269" s="158">
        <f>IFERROR(INDEX(MASTER_JAM!$Z$5:$AC$10,MATCH($I269,MASTER_JAM!$Y$5:$Y$10,0),MATCH($J269,MASTER_JAM!$Z$4:$AC$4,0))+0,0)</f>
        <v/>
      </c>
      <c r="Q269" s="158">
        <f>IF($P269=0,0,$P269+IFERROR(INDEX(MASTER_JAM!$H$5:$H$94,MATCH($C269,MASTER_JAM!$A$5:$A$94,0))+0,MASTER_JAM!$AC$15)/1000*(60/MASTER_JAM!$AC$12+60/MASTER_JAM!$AC$13)+MASTER_JAM!$AC$14)</f>
        <v/>
      </c>
      <c r="R269" s="158">
        <f>IF(N($F269)=0,0,$F269/SUMIFS(INPUT_RITASE!$F$5:$F$20000,INPUT_RITASE!$A$5:$A$20000,$A269,INPUT_RITASE!$B$5:$B$20000,$B269,INPUT_RITASE!$C$5:$C$20000,$C269,INPUT_RITASE!$D$5:$D$20000,$D269))</f>
        <v/>
      </c>
      <c r="S269" s="158">
        <f>IF($Q269=0,0,$R269*$P269/$Q269)</f>
        <v/>
      </c>
    </row>
    <row r="270">
      <c r="A270" s="155" t="n">
        <v>46104</v>
      </c>
      <c r="B270" s="156" t="inlineStr">
        <is>
          <t>05-06</t>
        </is>
      </c>
      <c r="C270" s="156" t="inlineStr">
        <is>
          <t>EX-1252</t>
        </is>
      </c>
      <c r="D270" s="156" t="inlineStr">
        <is>
          <t>DT-508</t>
        </is>
      </c>
      <c r="E270" s="156" t="inlineStr">
        <is>
          <t>OB</t>
        </is>
      </c>
      <c r="F270" s="156" t="n">
        <v>4</v>
      </c>
      <c r="G270" s="156" t="inlineStr"/>
      <c r="H270" s="157">
        <f>IF($B270="","",IF(ISNA(MATCH($B270,MASTER_JAM!$Q$5:$Q$28,0)),"?",IF(MATCH($B270,MASTER_JAM!$Q$5:$Q$28,0)&lt;=12,"DS","NS")))</f>
        <v/>
      </c>
      <c r="I270" s="157">
        <f>IFERROR(INDEX(MASTER_JAM!$B$5:$B$94,MATCH($C270,MASTER_JAM!$A$5:$A$94,0)),"")</f>
        <v/>
      </c>
      <c r="J270" s="157">
        <f>IFERROR(INDEX(MASTER_JAM!$E$5:$E$94,MATCH($D270,MASTER_JAM!$A$5:$A$94,0)),"")</f>
        <v/>
      </c>
      <c r="K270" s="158">
        <f>IFERROR(INDEX(MASTER_JAM!$J$5:$O$12,MATCH($E270,MASTER_JAM!$I$5:$I$12,0),MATCH($J270,MASTER_JAM!$J$4:$O$4,0))+0,0)</f>
        <v/>
      </c>
      <c r="L270" s="159">
        <f>N($F270)*$K270</f>
        <v/>
      </c>
      <c r="M270" s="157">
        <f>IF($E270="","",IF(OR($E270="Coal",$E270="Dirty Coal"),"MT","BCM"))</f>
        <v/>
      </c>
      <c r="N270" s="157">
        <f>IF($E270="","",IF(OR($E270="Coal",$E270="Dirty Coal"),"Coal","OB"))</f>
        <v/>
      </c>
      <c r="O270" s="157">
        <f>IF($F270="","",IF(COUNTIF(MASTER_JAM!$A$5:$A$94,$C270)=0,"Digger tidak dikenal",IF($J270="","Hauler tidak dikenal",IF($H270="?","Jam salah",IF($K270=0,"Faktor kosong",IF(SUMIFS(INPUT_DELAY!$E$5:$E$20000,INPUT_DELAY!$A$5:$A$20000,$A270,INPUT_DELAY!$B$5:$B$20000,$B270,INPUT_DELAY!$C$5:$C$20000,$C270)+SUMIFS(INPUT_DELAY!$E$5:$E$20000,INPUT_DELAY!$A$5:$A$20000,$A270,INPUT_DELAY!$B$5:$B$20000,$B270,INPUT_DELAY!$C$5:$C$20000,"SEMUA")&gt;=60,"Delay 60 mnt tapi ada ritase","OK"))))))</f>
        <v/>
      </c>
      <c r="P270" s="158">
        <f>IFERROR(INDEX(MASTER_JAM!$Z$5:$AC$10,MATCH($I270,MASTER_JAM!$Y$5:$Y$10,0),MATCH($J270,MASTER_JAM!$Z$4:$AC$4,0))+0,0)</f>
        <v/>
      </c>
      <c r="Q270" s="158">
        <f>IF($P270=0,0,$P270+IFERROR(INDEX(MASTER_JAM!$H$5:$H$94,MATCH($C270,MASTER_JAM!$A$5:$A$94,0))+0,MASTER_JAM!$AC$15)/1000*(60/MASTER_JAM!$AC$12+60/MASTER_JAM!$AC$13)+MASTER_JAM!$AC$14)</f>
        <v/>
      </c>
      <c r="R270" s="158">
        <f>IF(N($F270)=0,0,$F270/SUMIFS(INPUT_RITASE!$F$5:$F$20000,INPUT_RITASE!$A$5:$A$20000,$A270,INPUT_RITASE!$B$5:$B$20000,$B270,INPUT_RITASE!$C$5:$C$20000,$C270,INPUT_RITASE!$D$5:$D$20000,$D270))</f>
        <v/>
      </c>
      <c r="S270" s="158">
        <f>IF($Q270=0,0,$R270*$P270/$Q270)</f>
        <v/>
      </c>
    </row>
    <row r="271">
      <c r="A271" s="155" t="n">
        <v>46104</v>
      </c>
      <c r="B271" s="156" t="inlineStr">
        <is>
          <t>05-06</t>
        </is>
      </c>
      <c r="C271" s="156" t="inlineStr">
        <is>
          <t>EX-1252</t>
        </is>
      </c>
      <c r="D271" s="156" t="inlineStr">
        <is>
          <t>DT-522</t>
        </is>
      </c>
      <c r="E271" s="156" t="inlineStr">
        <is>
          <t>OB</t>
        </is>
      </c>
      <c r="F271" s="156" t="n">
        <v>4</v>
      </c>
      <c r="G271" s="156" t="inlineStr"/>
      <c r="H271" s="157">
        <f>IF($B271="","",IF(ISNA(MATCH($B271,MASTER_JAM!$Q$5:$Q$28,0)),"?",IF(MATCH($B271,MASTER_JAM!$Q$5:$Q$28,0)&lt;=12,"DS","NS")))</f>
        <v/>
      </c>
      <c r="I271" s="157">
        <f>IFERROR(INDEX(MASTER_JAM!$B$5:$B$94,MATCH($C271,MASTER_JAM!$A$5:$A$94,0)),"")</f>
        <v/>
      </c>
      <c r="J271" s="157">
        <f>IFERROR(INDEX(MASTER_JAM!$E$5:$E$94,MATCH($D271,MASTER_JAM!$A$5:$A$94,0)),"")</f>
        <v/>
      </c>
      <c r="K271" s="158">
        <f>IFERROR(INDEX(MASTER_JAM!$J$5:$O$12,MATCH($E271,MASTER_JAM!$I$5:$I$12,0),MATCH($J271,MASTER_JAM!$J$4:$O$4,0))+0,0)</f>
        <v/>
      </c>
      <c r="L271" s="159">
        <f>N($F271)*$K271</f>
        <v/>
      </c>
      <c r="M271" s="157">
        <f>IF($E271="","",IF(OR($E271="Coal",$E271="Dirty Coal"),"MT","BCM"))</f>
        <v/>
      </c>
      <c r="N271" s="157">
        <f>IF($E271="","",IF(OR($E271="Coal",$E271="Dirty Coal"),"Coal","OB"))</f>
        <v/>
      </c>
      <c r="O271" s="157">
        <f>IF($F271="","",IF(COUNTIF(MASTER_JAM!$A$5:$A$94,$C271)=0,"Digger tidak dikenal",IF($J271="","Hauler tidak dikenal",IF($H271="?","Jam salah",IF($K271=0,"Faktor kosong",IF(SUMIFS(INPUT_DELAY!$E$5:$E$20000,INPUT_DELAY!$A$5:$A$20000,$A271,INPUT_DELAY!$B$5:$B$20000,$B271,INPUT_DELAY!$C$5:$C$20000,$C271)+SUMIFS(INPUT_DELAY!$E$5:$E$20000,INPUT_DELAY!$A$5:$A$20000,$A271,INPUT_DELAY!$B$5:$B$20000,$B271,INPUT_DELAY!$C$5:$C$20000,"SEMUA")&gt;=60,"Delay 60 mnt tapi ada ritase","OK"))))))</f>
        <v/>
      </c>
      <c r="P271" s="158">
        <f>IFERROR(INDEX(MASTER_JAM!$Z$5:$AC$10,MATCH($I271,MASTER_JAM!$Y$5:$Y$10,0),MATCH($J271,MASTER_JAM!$Z$4:$AC$4,0))+0,0)</f>
        <v/>
      </c>
      <c r="Q271" s="158">
        <f>IF($P271=0,0,$P271+IFERROR(INDEX(MASTER_JAM!$H$5:$H$94,MATCH($C271,MASTER_JAM!$A$5:$A$94,0))+0,MASTER_JAM!$AC$15)/1000*(60/MASTER_JAM!$AC$12+60/MASTER_JAM!$AC$13)+MASTER_JAM!$AC$14)</f>
        <v/>
      </c>
      <c r="R271" s="158">
        <f>IF(N($F271)=0,0,$F271/SUMIFS(INPUT_RITASE!$F$5:$F$20000,INPUT_RITASE!$A$5:$A$20000,$A271,INPUT_RITASE!$B$5:$B$20000,$B271,INPUT_RITASE!$C$5:$C$20000,$C271,INPUT_RITASE!$D$5:$D$20000,$D271))</f>
        <v/>
      </c>
      <c r="S271" s="158">
        <f>IF($Q271=0,0,$R271*$P271/$Q271)</f>
        <v/>
      </c>
    </row>
    <row r="272">
      <c r="A272" s="155" t="n">
        <v>46104</v>
      </c>
      <c r="B272" s="156" t="inlineStr">
        <is>
          <t>05-06</t>
        </is>
      </c>
      <c r="C272" s="156" t="inlineStr">
        <is>
          <t>EX-1252</t>
        </is>
      </c>
      <c r="D272" s="156" t="inlineStr">
        <is>
          <t>DT-507</t>
        </is>
      </c>
      <c r="E272" s="156" t="inlineStr">
        <is>
          <t>OB</t>
        </is>
      </c>
      <c r="F272" s="156" t="n">
        <v>4</v>
      </c>
      <c r="G272" s="156" t="inlineStr"/>
      <c r="H272" s="157">
        <f>IF($B272="","",IF(ISNA(MATCH($B272,MASTER_JAM!$Q$5:$Q$28,0)),"?",IF(MATCH($B272,MASTER_JAM!$Q$5:$Q$28,0)&lt;=12,"DS","NS")))</f>
        <v/>
      </c>
      <c r="I272" s="157">
        <f>IFERROR(INDEX(MASTER_JAM!$B$5:$B$94,MATCH($C272,MASTER_JAM!$A$5:$A$94,0)),"")</f>
        <v/>
      </c>
      <c r="J272" s="157">
        <f>IFERROR(INDEX(MASTER_JAM!$E$5:$E$94,MATCH($D272,MASTER_JAM!$A$5:$A$94,0)),"")</f>
        <v/>
      </c>
      <c r="K272" s="158">
        <f>IFERROR(INDEX(MASTER_JAM!$J$5:$O$12,MATCH($E272,MASTER_JAM!$I$5:$I$12,0),MATCH($J272,MASTER_JAM!$J$4:$O$4,0))+0,0)</f>
        <v/>
      </c>
      <c r="L272" s="159">
        <f>N($F272)*$K272</f>
        <v/>
      </c>
      <c r="M272" s="157">
        <f>IF($E272="","",IF(OR($E272="Coal",$E272="Dirty Coal"),"MT","BCM"))</f>
        <v/>
      </c>
      <c r="N272" s="157">
        <f>IF($E272="","",IF(OR($E272="Coal",$E272="Dirty Coal"),"Coal","OB"))</f>
        <v/>
      </c>
      <c r="O272" s="157">
        <f>IF($F272="","",IF(COUNTIF(MASTER_JAM!$A$5:$A$94,$C272)=0,"Digger tidak dikenal",IF($J272="","Hauler tidak dikenal",IF($H272="?","Jam salah",IF($K272=0,"Faktor kosong",IF(SUMIFS(INPUT_DELAY!$E$5:$E$20000,INPUT_DELAY!$A$5:$A$20000,$A272,INPUT_DELAY!$B$5:$B$20000,$B272,INPUT_DELAY!$C$5:$C$20000,$C272)+SUMIFS(INPUT_DELAY!$E$5:$E$20000,INPUT_DELAY!$A$5:$A$20000,$A272,INPUT_DELAY!$B$5:$B$20000,$B272,INPUT_DELAY!$C$5:$C$20000,"SEMUA")&gt;=60,"Delay 60 mnt tapi ada ritase","OK"))))))</f>
        <v/>
      </c>
      <c r="P272" s="158">
        <f>IFERROR(INDEX(MASTER_JAM!$Z$5:$AC$10,MATCH($I272,MASTER_JAM!$Y$5:$Y$10,0),MATCH($J272,MASTER_JAM!$Z$4:$AC$4,0))+0,0)</f>
        <v/>
      </c>
      <c r="Q272" s="158">
        <f>IF($P272=0,0,$P272+IFERROR(INDEX(MASTER_JAM!$H$5:$H$94,MATCH($C272,MASTER_JAM!$A$5:$A$94,0))+0,MASTER_JAM!$AC$15)/1000*(60/MASTER_JAM!$AC$12+60/MASTER_JAM!$AC$13)+MASTER_JAM!$AC$14)</f>
        <v/>
      </c>
      <c r="R272" s="158">
        <f>IF(N($F272)=0,0,$F272/SUMIFS(INPUT_RITASE!$F$5:$F$20000,INPUT_RITASE!$A$5:$A$20000,$A272,INPUT_RITASE!$B$5:$B$20000,$B272,INPUT_RITASE!$C$5:$C$20000,$C272,INPUT_RITASE!$D$5:$D$20000,$D272))</f>
        <v/>
      </c>
      <c r="S272" s="158">
        <f>IF($Q272=0,0,$R272*$P272/$Q272)</f>
        <v/>
      </c>
    </row>
    <row r="273">
      <c r="A273" s="155" t="n">
        <v>46104</v>
      </c>
      <c r="B273" s="156" t="inlineStr">
        <is>
          <t>05-06</t>
        </is>
      </c>
      <c r="C273" s="156" t="inlineStr">
        <is>
          <t>EX-1252</t>
        </is>
      </c>
      <c r="D273" s="156" t="inlineStr">
        <is>
          <t>DT-513</t>
        </is>
      </c>
      <c r="E273" s="156" t="inlineStr">
        <is>
          <t>OB</t>
        </is>
      </c>
      <c r="F273" s="156" t="n">
        <v>3</v>
      </c>
      <c r="G273" s="156" t="inlineStr"/>
      <c r="H273" s="157">
        <f>IF($B273="","",IF(ISNA(MATCH($B273,MASTER_JAM!$Q$5:$Q$28,0)),"?",IF(MATCH($B273,MASTER_JAM!$Q$5:$Q$28,0)&lt;=12,"DS","NS")))</f>
        <v/>
      </c>
      <c r="I273" s="157">
        <f>IFERROR(INDEX(MASTER_JAM!$B$5:$B$94,MATCH($C273,MASTER_JAM!$A$5:$A$94,0)),"")</f>
        <v/>
      </c>
      <c r="J273" s="157">
        <f>IFERROR(INDEX(MASTER_JAM!$E$5:$E$94,MATCH($D273,MASTER_JAM!$A$5:$A$94,0)),"")</f>
        <v/>
      </c>
      <c r="K273" s="158">
        <f>IFERROR(INDEX(MASTER_JAM!$J$5:$O$12,MATCH($E273,MASTER_JAM!$I$5:$I$12,0),MATCH($J273,MASTER_JAM!$J$4:$O$4,0))+0,0)</f>
        <v/>
      </c>
      <c r="L273" s="159">
        <f>N($F273)*$K273</f>
        <v/>
      </c>
      <c r="M273" s="157">
        <f>IF($E273="","",IF(OR($E273="Coal",$E273="Dirty Coal"),"MT","BCM"))</f>
        <v/>
      </c>
      <c r="N273" s="157">
        <f>IF($E273="","",IF(OR($E273="Coal",$E273="Dirty Coal"),"Coal","OB"))</f>
        <v/>
      </c>
      <c r="O273" s="157">
        <f>IF($F273="","",IF(COUNTIF(MASTER_JAM!$A$5:$A$94,$C273)=0,"Digger tidak dikenal",IF($J273="","Hauler tidak dikenal",IF($H273="?","Jam salah",IF($K273=0,"Faktor kosong",IF(SUMIFS(INPUT_DELAY!$E$5:$E$20000,INPUT_DELAY!$A$5:$A$20000,$A273,INPUT_DELAY!$B$5:$B$20000,$B273,INPUT_DELAY!$C$5:$C$20000,$C273)+SUMIFS(INPUT_DELAY!$E$5:$E$20000,INPUT_DELAY!$A$5:$A$20000,$A273,INPUT_DELAY!$B$5:$B$20000,$B273,INPUT_DELAY!$C$5:$C$20000,"SEMUA")&gt;=60,"Delay 60 mnt tapi ada ritase","OK"))))))</f>
        <v/>
      </c>
      <c r="P273" s="158">
        <f>IFERROR(INDEX(MASTER_JAM!$Z$5:$AC$10,MATCH($I273,MASTER_JAM!$Y$5:$Y$10,0),MATCH($J273,MASTER_JAM!$Z$4:$AC$4,0))+0,0)</f>
        <v/>
      </c>
      <c r="Q273" s="158">
        <f>IF($P273=0,0,$P273+IFERROR(INDEX(MASTER_JAM!$H$5:$H$94,MATCH($C273,MASTER_JAM!$A$5:$A$94,0))+0,MASTER_JAM!$AC$15)/1000*(60/MASTER_JAM!$AC$12+60/MASTER_JAM!$AC$13)+MASTER_JAM!$AC$14)</f>
        <v/>
      </c>
      <c r="R273" s="158">
        <f>IF(N($F273)=0,0,$F273/SUMIFS(INPUT_RITASE!$F$5:$F$20000,INPUT_RITASE!$A$5:$A$20000,$A273,INPUT_RITASE!$B$5:$B$20000,$B273,INPUT_RITASE!$C$5:$C$20000,$C273,INPUT_RITASE!$D$5:$D$20000,$D273))</f>
        <v/>
      </c>
      <c r="S273" s="158">
        <f>IF($Q273=0,0,$R273*$P273/$Q273)</f>
        <v/>
      </c>
    </row>
    <row r="274">
      <c r="A274" s="155" t="n">
        <v>46104</v>
      </c>
      <c r="B274" s="156" t="inlineStr">
        <is>
          <t>18-19</t>
        </is>
      </c>
      <c r="C274" s="156" t="inlineStr">
        <is>
          <t>EX-2101</t>
        </is>
      </c>
      <c r="D274" s="156" t="inlineStr">
        <is>
          <t>DT-508</t>
        </is>
      </c>
      <c r="E274" s="156" t="inlineStr">
        <is>
          <t>OB</t>
        </is>
      </c>
      <c r="F274" s="156" t="n">
        <v>4</v>
      </c>
      <c r="G274" s="156" t="inlineStr"/>
      <c r="H274" s="157">
        <f>IF($B274="","",IF(ISNA(MATCH($B274,MASTER_JAM!$Q$5:$Q$28,0)),"?",IF(MATCH($B274,MASTER_JAM!$Q$5:$Q$28,0)&lt;=12,"DS","NS")))</f>
        <v/>
      </c>
      <c r="I274" s="157">
        <f>IFERROR(INDEX(MASTER_JAM!$B$5:$B$94,MATCH($C274,MASTER_JAM!$A$5:$A$94,0)),"")</f>
        <v/>
      </c>
      <c r="J274" s="157">
        <f>IFERROR(INDEX(MASTER_JAM!$E$5:$E$94,MATCH($D274,MASTER_JAM!$A$5:$A$94,0)),"")</f>
        <v/>
      </c>
      <c r="K274" s="158">
        <f>IFERROR(INDEX(MASTER_JAM!$J$5:$O$12,MATCH($E274,MASTER_JAM!$I$5:$I$12,0),MATCH($J274,MASTER_JAM!$J$4:$O$4,0))+0,0)</f>
        <v/>
      </c>
      <c r="L274" s="159">
        <f>N($F274)*$K274</f>
        <v/>
      </c>
      <c r="M274" s="157">
        <f>IF($E274="","",IF(OR($E274="Coal",$E274="Dirty Coal"),"MT","BCM"))</f>
        <v/>
      </c>
      <c r="N274" s="157">
        <f>IF($E274="","",IF(OR($E274="Coal",$E274="Dirty Coal"),"Coal","OB"))</f>
        <v/>
      </c>
      <c r="O274" s="157">
        <f>IF($F274="","",IF(COUNTIF(MASTER_JAM!$A$5:$A$94,$C274)=0,"Digger tidak dikenal",IF($J274="","Hauler tidak dikenal",IF($H274="?","Jam salah",IF($K274=0,"Faktor kosong",IF(SUMIFS(INPUT_DELAY!$E$5:$E$20000,INPUT_DELAY!$A$5:$A$20000,$A274,INPUT_DELAY!$B$5:$B$20000,$B274,INPUT_DELAY!$C$5:$C$20000,$C274)+SUMIFS(INPUT_DELAY!$E$5:$E$20000,INPUT_DELAY!$A$5:$A$20000,$A274,INPUT_DELAY!$B$5:$B$20000,$B274,INPUT_DELAY!$C$5:$C$20000,"SEMUA")&gt;=60,"Delay 60 mnt tapi ada ritase","OK"))))))</f>
        <v/>
      </c>
      <c r="P274" s="158">
        <f>IFERROR(INDEX(MASTER_JAM!$Z$5:$AC$10,MATCH($I274,MASTER_JAM!$Y$5:$Y$10,0),MATCH($J274,MASTER_JAM!$Z$4:$AC$4,0))+0,0)</f>
        <v/>
      </c>
      <c r="Q274" s="158">
        <f>IF($P274=0,0,$P274+IFERROR(INDEX(MASTER_JAM!$H$5:$H$94,MATCH($C274,MASTER_JAM!$A$5:$A$94,0))+0,MASTER_JAM!$AC$15)/1000*(60/MASTER_JAM!$AC$12+60/MASTER_JAM!$AC$13)+MASTER_JAM!$AC$14)</f>
        <v/>
      </c>
      <c r="R274" s="158">
        <f>IF(N($F274)=0,0,$F274/SUMIFS(INPUT_RITASE!$F$5:$F$20000,INPUT_RITASE!$A$5:$A$20000,$A274,INPUT_RITASE!$B$5:$B$20000,$B274,INPUT_RITASE!$C$5:$C$20000,$C274,INPUT_RITASE!$D$5:$D$20000,$D274))</f>
        <v/>
      </c>
      <c r="S274" s="158">
        <f>IF($Q274=0,0,$R274*$P274/$Q274)</f>
        <v/>
      </c>
    </row>
    <row r="275">
      <c r="A275" s="155" t="n">
        <v>46104</v>
      </c>
      <c r="B275" s="156" t="inlineStr">
        <is>
          <t>18-19</t>
        </is>
      </c>
      <c r="C275" s="156" t="inlineStr">
        <is>
          <t>EX-2101</t>
        </is>
      </c>
      <c r="D275" s="156" t="inlineStr">
        <is>
          <t>DT-520</t>
        </is>
      </c>
      <c r="E275" s="156" t="inlineStr">
        <is>
          <t>OB</t>
        </is>
      </c>
      <c r="F275" s="156" t="n">
        <v>4</v>
      </c>
      <c r="G275" s="156" t="inlineStr"/>
      <c r="H275" s="157">
        <f>IF($B275="","",IF(ISNA(MATCH($B275,MASTER_JAM!$Q$5:$Q$28,0)),"?",IF(MATCH($B275,MASTER_JAM!$Q$5:$Q$28,0)&lt;=12,"DS","NS")))</f>
        <v/>
      </c>
      <c r="I275" s="157">
        <f>IFERROR(INDEX(MASTER_JAM!$B$5:$B$94,MATCH($C275,MASTER_JAM!$A$5:$A$94,0)),"")</f>
        <v/>
      </c>
      <c r="J275" s="157">
        <f>IFERROR(INDEX(MASTER_JAM!$E$5:$E$94,MATCH($D275,MASTER_JAM!$A$5:$A$94,0)),"")</f>
        <v/>
      </c>
      <c r="K275" s="158">
        <f>IFERROR(INDEX(MASTER_JAM!$J$5:$O$12,MATCH($E275,MASTER_JAM!$I$5:$I$12,0),MATCH($J275,MASTER_JAM!$J$4:$O$4,0))+0,0)</f>
        <v/>
      </c>
      <c r="L275" s="159">
        <f>N($F275)*$K275</f>
        <v/>
      </c>
      <c r="M275" s="157">
        <f>IF($E275="","",IF(OR($E275="Coal",$E275="Dirty Coal"),"MT","BCM"))</f>
        <v/>
      </c>
      <c r="N275" s="157">
        <f>IF($E275="","",IF(OR($E275="Coal",$E275="Dirty Coal"),"Coal","OB"))</f>
        <v/>
      </c>
      <c r="O275" s="157">
        <f>IF($F275="","",IF(COUNTIF(MASTER_JAM!$A$5:$A$94,$C275)=0,"Digger tidak dikenal",IF($J275="","Hauler tidak dikenal",IF($H275="?","Jam salah",IF($K275=0,"Faktor kosong",IF(SUMIFS(INPUT_DELAY!$E$5:$E$20000,INPUT_DELAY!$A$5:$A$20000,$A275,INPUT_DELAY!$B$5:$B$20000,$B275,INPUT_DELAY!$C$5:$C$20000,$C275)+SUMIFS(INPUT_DELAY!$E$5:$E$20000,INPUT_DELAY!$A$5:$A$20000,$A275,INPUT_DELAY!$B$5:$B$20000,$B275,INPUT_DELAY!$C$5:$C$20000,"SEMUA")&gt;=60,"Delay 60 mnt tapi ada ritase","OK"))))))</f>
        <v/>
      </c>
      <c r="P275" s="158">
        <f>IFERROR(INDEX(MASTER_JAM!$Z$5:$AC$10,MATCH($I275,MASTER_JAM!$Y$5:$Y$10,0),MATCH($J275,MASTER_JAM!$Z$4:$AC$4,0))+0,0)</f>
        <v/>
      </c>
      <c r="Q275" s="158">
        <f>IF($P275=0,0,$P275+IFERROR(INDEX(MASTER_JAM!$H$5:$H$94,MATCH($C275,MASTER_JAM!$A$5:$A$94,0))+0,MASTER_JAM!$AC$15)/1000*(60/MASTER_JAM!$AC$12+60/MASTER_JAM!$AC$13)+MASTER_JAM!$AC$14)</f>
        <v/>
      </c>
      <c r="R275" s="158">
        <f>IF(N($F275)=0,0,$F275/SUMIFS(INPUT_RITASE!$F$5:$F$20000,INPUT_RITASE!$A$5:$A$20000,$A275,INPUT_RITASE!$B$5:$B$20000,$B275,INPUT_RITASE!$C$5:$C$20000,$C275,INPUT_RITASE!$D$5:$D$20000,$D275))</f>
        <v/>
      </c>
      <c r="S275" s="158">
        <f>IF($Q275=0,0,$R275*$P275/$Q275)</f>
        <v/>
      </c>
    </row>
    <row r="276">
      <c r="A276" s="155" t="n">
        <v>46104</v>
      </c>
      <c r="B276" s="156" t="inlineStr">
        <is>
          <t>18-19</t>
        </is>
      </c>
      <c r="C276" s="156" t="inlineStr">
        <is>
          <t>EX-2101</t>
        </is>
      </c>
      <c r="D276" s="156" t="inlineStr">
        <is>
          <t>HD-903</t>
        </is>
      </c>
      <c r="E276" s="156" t="inlineStr">
        <is>
          <t>OB</t>
        </is>
      </c>
      <c r="F276" s="156" t="n">
        <v>6</v>
      </c>
      <c r="G276" s="156" t="inlineStr"/>
      <c r="H276" s="157">
        <f>IF($B276="","",IF(ISNA(MATCH($B276,MASTER_JAM!$Q$5:$Q$28,0)),"?",IF(MATCH($B276,MASTER_JAM!$Q$5:$Q$28,0)&lt;=12,"DS","NS")))</f>
        <v/>
      </c>
      <c r="I276" s="157">
        <f>IFERROR(INDEX(MASTER_JAM!$B$5:$B$94,MATCH($C276,MASTER_JAM!$A$5:$A$94,0)),"")</f>
        <v/>
      </c>
      <c r="J276" s="157">
        <f>IFERROR(INDEX(MASTER_JAM!$E$5:$E$94,MATCH($D276,MASTER_JAM!$A$5:$A$94,0)),"")</f>
        <v/>
      </c>
      <c r="K276" s="158">
        <f>IFERROR(INDEX(MASTER_JAM!$J$5:$O$12,MATCH($E276,MASTER_JAM!$I$5:$I$12,0),MATCH($J276,MASTER_JAM!$J$4:$O$4,0))+0,0)</f>
        <v/>
      </c>
      <c r="L276" s="159">
        <f>N($F276)*$K276</f>
        <v/>
      </c>
      <c r="M276" s="157">
        <f>IF($E276="","",IF(OR($E276="Coal",$E276="Dirty Coal"),"MT","BCM"))</f>
        <v/>
      </c>
      <c r="N276" s="157">
        <f>IF($E276="","",IF(OR($E276="Coal",$E276="Dirty Coal"),"Coal","OB"))</f>
        <v/>
      </c>
      <c r="O276" s="157">
        <f>IF($F276="","",IF(COUNTIF(MASTER_JAM!$A$5:$A$94,$C276)=0,"Digger tidak dikenal",IF($J276="","Hauler tidak dikenal",IF($H276="?","Jam salah",IF($K276=0,"Faktor kosong",IF(SUMIFS(INPUT_DELAY!$E$5:$E$20000,INPUT_DELAY!$A$5:$A$20000,$A276,INPUT_DELAY!$B$5:$B$20000,$B276,INPUT_DELAY!$C$5:$C$20000,$C276)+SUMIFS(INPUT_DELAY!$E$5:$E$20000,INPUT_DELAY!$A$5:$A$20000,$A276,INPUT_DELAY!$B$5:$B$20000,$B276,INPUT_DELAY!$C$5:$C$20000,"SEMUA")&gt;=60,"Delay 60 mnt tapi ada ritase","OK"))))))</f>
        <v/>
      </c>
      <c r="P276" s="158">
        <f>IFERROR(INDEX(MASTER_JAM!$Z$5:$AC$10,MATCH($I276,MASTER_JAM!$Y$5:$Y$10,0),MATCH($J276,MASTER_JAM!$Z$4:$AC$4,0))+0,0)</f>
        <v/>
      </c>
      <c r="Q276" s="158">
        <f>IF($P276=0,0,$P276+IFERROR(INDEX(MASTER_JAM!$H$5:$H$94,MATCH($C276,MASTER_JAM!$A$5:$A$94,0))+0,MASTER_JAM!$AC$15)/1000*(60/MASTER_JAM!$AC$12+60/MASTER_JAM!$AC$13)+MASTER_JAM!$AC$14)</f>
        <v/>
      </c>
      <c r="R276" s="158">
        <f>IF(N($F276)=0,0,$F276/SUMIFS(INPUT_RITASE!$F$5:$F$20000,INPUT_RITASE!$A$5:$A$20000,$A276,INPUT_RITASE!$B$5:$B$20000,$B276,INPUT_RITASE!$C$5:$C$20000,$C276,INPUT_RITASE!$D$5:$D$20000,$D276))</f>
        <v/>
      </c>
      <c r="S276" s="158">
        <f>IF($Q276=0,0,$R276*$P276/$Q276)</f>
        <v/>
      </c>
    </row>
    <row r="277">
      <c r="A277" s="155" t="n">
        <v>46104</v>
      </c>
      <c r="B277" s="156" t="inlineStr">
        <is>
          <t>18-19</t>
        </is>
      </c>
      <c r="C277" s="156" t="inlineStr">
        <is>
          <t>EX-2101</t>
        </is>
      </c>
      <c r="D277" s="156" t="inlineStr">
        <is>
          <t>HD-901</t>
        </is>
      </c>
      <c r="E277" s="156" t="inlineStr">
        <is>
          <t>OB</t>
        </is>
      </c>
      <c r="F277" s="156" t="n">
        <v>5</v>
      </c>
      <c r="G277" s="156" t="inlineStr"/>
      <c r="H277" s="157">
        <f>IF($B277="","",IF(ISNA(MATCH($B277,MASTER_JAM!$Q$5:$Q$28,0)),"?",IF(MATCH($B277,MASTER_JAM!$Q$5:$Q$28,0)&lt;=12,"DS","NS")))</f>
        <v/>
      </c>
      <c r="I277" s="157">
        <f>IFERROR(INDEX(MASTER_JAM!$B$5:$B$94,MATCH($C277,MASTER_JAM!$A$5:$A$94,0)),"")</f>
        <v/>
      </c>
      <c r="J277" s="157">
        <f>IFERROR(INDEX(MASTER_JAM!$E$5:$E$94,MATCH($D277,MASTER_JAM!$A$5:$A$94,0)),"")</f>
        <v/>
      </c>
      <c r="K277" s="158">
        <f>IFERROR(INDEX(MASTER_JAM!$J$5:$O$12,MATCH($E277,MASTER_JAM!$I$5:$I$12,0),MATCH($J277,MASTER_JAM!$J$4:$O$4,0))+0,0)</f>
        <v/>
      </c>
      <c r="L277" s="159">
        <f>N($F277)*$K277</f>
        <v/>
      </c>
      <c r="M277" s="157">
        <f>IF($E277="","",IF(OR($E277="Coal",$E277="Dirty Coal"),"MT","BCM"))</f>
        <v/>
      </c>
      <c r="N277" s="157">
        <f>IF($E277="","",IF(OR($E277="Coal",$E277="Dirty Coal"),"Coal","OB"))</f>
        <v/>
      </c>
      <c r="O277" s="157">
        <f>IF($F277="","",IF(COUNTIF(MASTER_JAM!$A$5:$A$94,$C277)=0,"Digger tidak dikenal",IF($J277="","Hauler tidak dikenal",IF($H277="?","Jam salah",IF($K277=0,"Faktor kosong",IF(SUMIFS(INPUT_DELAY!$E$5:$E$20000,INPUT_DELAY!$A$5:$A$20000,$A277,INPUT_DELAY!$B$5:$B$20000,$B277,INPUT_DELAY!$C$5:$C$20000,$C277)+SUMIFS(INPUT_DELAY!$E$5:$E$20000,INPUT_DELAY!$A$5:$A$20000,$A277,INPUT_DELAY!$B$5:$B$20000,$B277,INPUT_DELAY!$C$5:$C$20000,"SEMUA")&gt;=60,"Delay 60 mnt tapi ada ritase","OK"))))))</f>
        <v/>
      </c>
      <c r="P277" s="158">
        <f>IFERROR(INDEX(MASTER_JAM!$Z$5:$AC$10,MATCH($I277,MASTER_JAM!$Y$5:$Y$10,0),MATCH($J277,MASTER_JAM!$Z$4:$AC$4,0))+0,0)</f>
        <v/>
      </c>
      <c r="Q277" s="158">
        <f>IF($P277=0,0,$P277+IFERROR(INDEX(MASTER_JAM!$H$5:$H$94,MATCH($C277,MASTER_JAM!$A$5:$A$94,0))+0,MASTER_JAM!$AC$15)/1000*(60/MASTER_JAM!$AC$12+60/MASTER_JAM!$AC$13)+MASTER_JAM!$AC$14)</f>
        <v/>
      </c>
      <c r="R277" s="158">
        <f>IF(N($F277)=0,0,$F277/SUMIFS(INPUT_RITASE!$F$5:$F$20000,INPUT_RITASE!$A$5:$A$20000,$A277,INPUT_RITASE!$B$5:$B$20000,$B277,INPUT_RITASE!$C$5:$C$20000,$C277,INPUT_RITASE!$D$5:$D$20000,$D277))</f>
        <v/>
      </c>
      <c r="S277" s="158">
        <f>IF($Q277=0,0,$R277*$P277/$Q277)</f>
        <v/>
      </c>
    </row>
    <row r="278">
      <c r="A278" s="155" t="n">
        <v>46104</v>
      </c>
      <c r="B278" s="156" t="inlineStr">
        <is>
          <t>18-19</t>
        </is>
      </c>
      <c r="C278" s="156" t="inlineStr">
        <is>
          <t>EX-2101</t>
        </is>
      </c>
      <c r="D278" s="156" t="inlineStr">
        <is>
          <t>HD-904</t>
        </is>
      </c>
      <c r="E278" s="156" t="inlineStr">
        <is>
          <t>OB</t>
        </is>
      </c>
      <c r="F278" s="156" t="n">
        <v>5</v>
      </c>
      <c r="G278" s="156" t="inlineStr"/>
      <c r="H278" s="157">
        <f>IF($B278="","",IF(ISNA(MATCH($B278,MASTER_JAM!$Q$5:$Q$28,0)),"?",IF(MATCH($B278,MASTER_JAM!$Q$5:$Q$28,0)&lt;=12,"DS","NS")))</f>
        <v/>
      </c>
      <c r="I278" s="157">
        <f>IFERROR(INDEX(MASTER_JAM!$B$5:$B$94,MATCH($C278,MASTER_JAM!$A$5:$A$94,0)),"")</f>
        <v/>
      </c>
      <c r="J278" s="157">
        <f>IFERROR(INDEX(MASTER_JAM!$E$5:$E$94,MATCH($D278,MASTER_JAM!$A$5:$A$94,0)),"")</f>
        <v/>
      </c>
      <c r="K278" s="158">
        <f>IFERROR(INDEX(MASTER_JAM!$J$5:$O$12,MATCH($E278,MASTER_JAM!$I$5:$I$12,0),MATCH($J278,MASTER_JAM!$J$4:$O$4,0))+0,0)</f>
        <v/>
      </c>
      <c r="L278" s="159">
        <f>N($F278)*$K278</f>
        <v/>
      </c>
      <c r="M278" s="157">
        <f>IF($E278="","",IF(OR($E278="Coal",$E278="Dirty Coal"),"MT","BCM"))</f>
        <v/>
      </c>
      <c r="N278" s="157">
        <f>IF($E278="","",IF(OR($E278="Coal",$E278="Dirty Coal"),"Coal","OB"))</f>
        <v/>
      </c>
      <c r="O278" s="157">
        <f>IF($F278="","",IF(COUNTIF(MASTER_JAM!$A$5:$A$94,$C278)=0,"Digger tidak dikenal",IF($J278="","Hauler tidak dikenal",IF($H278="?","Jam salah",IF($K278=0,"Faktor kosong",IF(SUMIFS(INPUT_DELAY!$E$5:$E$20000,INPUT_DELAY!$A$5:$A$20000,$A278,INPUT_DELAY!$B$5:$B$20000,$B278,INPUT_DELAY!$C$5:$C$20000,$C278)+SUMIFS(INPUT_DELAY!$E$5:$E$20000,INPUT_DELAY!$A$5:$A$20000,$A278,INPUT_DELAY!$B$5:$B$20000,$B278,INPUT_DELAY!$C$5:$C$20000,"SEMUA")&gt;=60,"Delay 60 mnt tapi ada ritase","OK"))))))</f>
        <v/>
      </c>
      <c r="P278" s="158">
        <f>IFERROR(INDEX(MASTER_JAM!$Z$5:$AC$10,MATCH($I278,MASTER_JAM!$Y$5:$Y$10,0),MATCH($J278,MASTER_JAM!$Z$4:$AC$4,0))+0,0)</f>
        <v/>
      </c>
      <c r="Q278" s="158">
        <f>IF($P278=0,0,$P278+IFERROR(INDEX(MASTER_JAM!$H$5:$H$94,MATCH($C278,MASTER_JAM!$A$5:$A$94,0))+0,MASTER_JAM!$AC$15)/1000*(60/MASTER_JAM!$AC$12+60/MASTER_JAM!$AC$13)+MASTER_JAM!$AC$14)</f>
        <v/>
      </c>
      <c r="R278" s="158">
        <f>IF(N($F278)=0,0,$F278/SUMIFS(INPUT_RITASE!$F$5:$F$20000,INPUT_RITASE!$A$5:$A$20000,$A278,INPUT_RITASE!$B$5:$B$20000,$B278,INPUT_RITASE!$C$5:$C$20000,$C278,INPUT_RITASE!$D$5:$D$20000,$D278))</f>
        <v/>
      </c>
      <c r="S278" s="158">
        <f>IF($Q278=0,0,$R278*$P278/$Q278)</f>
        <v/>
      </c>
    </row>
    <row r="279">
      <c r="A279" s="155" t="n">
        <v>46104</v>
      </c>
      <c r="B279" s="156" t="inlineStr">
        <is>
          <t>03-04</t>
        </is>
      </c>
      <c r="C279" s="156" t="inlineStr">
        <is>
          <t>EX-2101</t>
        </is>
      </c>
      <c r="D279" s="156" t="inlineStr">
        <is>
          <t>HD-901</t>
        </is>
      </c>
      <c r="E279" s="156" t="inlineStr">
        <is>
          <t>OB</t>
        </is>
      </c>
      <c r="F279" s="156" t="n">
        <v>5</v>
      </c>
      <c r="G279" s="156" t="inlineStr"/>
      <c r="H279" s="157">
        <f>IF($B279="","",IF(ISNA(MATCH($B279,MASTER_JAM!$Q$5:$Q$28,0)),"?",IF(MATCH($B279,MASTER_JAM!$Q$5:$Q$28,0)&lt;=12,"DS","NS")))</f>
        <v/>
      </c>
      <c r="I279" s="157">
        <f>IFERROR(INDEX(MASTER_JAM!$B$5:$B$94,MATCH($C279,MASTER_JAM!$A$5:$A$94,0)),"")</f>
        <v/>
      </c>
      <c r="J279" s="157">
        <f>IFERROR(INDEX(MASTER_JAM!$E$5:$E$94,MATCH($D279,MASTER_JAM!$A$5:$A$94,0)),"")</f>
        <v/>
      </c>
      <c r="K279" s="158">
        <f>IFERROR(INDEX(MASTER_JAM!$J$5:$O$12,MATCH($E279,MASTER_JAM!$I$5:$I$12,0),MATCH($J279,MASTER_JAM!$J$4:$O$4,0))+0,0)</f>
        <v/>
      </c>
      <c r="L279" s="159">
        <f>N($F279)*$K279</f>
        <v/>
      </c>
      <c r="M279" s="157">
        <f>IF($E279="","",IF(OR($E279="Coal",$E279="Dirty Coal"),"MT","BCM"))</f>
        <v/>
      </c>
      <c r="N279" s="157">
        <f>IF($E279="","",IF(OR($E279="Coal",$E279="Dirty Coal"),"Coal","OB"))</f>
        <v/>
      </c>
      <c r="O279" s="157">
        <f>IF($F279="","",IF(COUNTIF(MASTER_JAM!$A$5:$A$94,$C279)=0,"Digger tidak dikenal",IF($J279="","Hauler tidak dikenal",IF($H279="?","Jam salah",IF($K279=0,"Faktor kosong",IF(SUMIFS(INPUT_DELAY!$E$5:$E$20000,INPUT_DELAY!$A$5:$A$20000,$A279,INPUT_DELAY!$B$5:$B$20000,$B279,INPUT_DELAY!$C$5:$C$20000,$C279)+SUMIFS(INPUT_DELAY!$E$5:$E$20000,INPUT_DELAY!$A$5:$A$20000,$A279,INPUT_DELAY!$B$5:$B$20000,$B279,INPUT_DELAY!$C$5:$C$20000,"SEMUA")&gt;=60,"Delay 60 mnt tapi ada ritase","OK"))))))</f>
        <v/>
      </c>
      <c r="P279" s="158">
        <f>IFERROR(INDEX(MASTER_JAM!$Z$5:$AC$10,MATCH($I279,MASTER_JAM!$Y$5:$Y$10,0),MATCH($J279,MASTER_JAM!$Z$4:$AC$4,0))+0,0)</f>
        <v/>
      </c>
      <c r="Q279" s="158">
        <f>IF($P279=0,0,$P279+IFERROR(INDEX(MASTER_JAM!$H$5:$H$94,MATCH($C279,MASTER_JAM!$A$5:$A$94,0))+0,MASTER_JAM!$AC$15)/1000*(60/MASTER_JAM!$AC$12+60/MASTER_JAM!$AC$13)+MASTER_JAM!$AC$14)</f>
        <v/>
      </c>
      <c r="R279" s="158">
        <f>IF(N($F279)=0,0,$F279/SUMIFS(INPUT_RITASE!$F$5:$F$20000,INPUT_RITASE!$A$5:$A$20000,$A279,INPUT_RITASE!$B$5:$B$20000,$B279,INPUT_RITASE!$C$5:$C$20000,$C279,INPUT_RITASE!$D$5:$D$20000,$D279))</f>
        <v/>
      </c>
      <c r="S279" s="158">
        <f>IF($Q279=0,0,$R279*$P279/$Q279)</f>
        <v/>
      </c>
    </row>
    <row r="280">
      <c r="A280" s="155" t="n">
        <v>46104</v>
      </c>
      <c r="B280" s="156" t="inlineStr">
        <is>
          <t>03-04</t>
        </is>
      </c>
      <c r="C280" s="156" t="inlineStr">
        <is>
          <t>EX-2101</t>
        </is>
      </c>
      <c r="D280" s="156" t="inlineStr">
        <is>
          <t>HD-904</t>
        </is>
      </c>
      <c r="E280" s="156" t="inlineStr">
        <is>
          <t>OB</t>
        </is>
      </c>
      <c r="F280" s="156" t="n">
        <v>5</v>
      </c>
      <c r="G280" s="156" t="inlineStr"/>
      <c r="H280" s="157">
        <f>IF($B280="","",IF(ISNA(MATCH($B280,MASTER_JAM!$Q$5:$Q$28,0)),"?",IF(MATCH($B280,MASTER_JAM!$Q$5:$Q$28,0)&lt;=12,"DS","NS")))</f>
        <v/>
      </c>
      <c r="I280" s="157">
        <f>IFERROR(INDEX(MASTER_JAM!$B$5:$B$94,MATCH($C280,MASTER_JAM!$A$5:$A$94,0)),"")</f>
        <v/>
      </c>
      <c r="J280" s="157">
        <f>IFERROR(INDEX(MASTER_JAM!$E$5:$E$94,MATCH($D280,MASTER_JAM!$A$5:$A$94,0)),"")</f>
        <v/>
      </c>
      <c r="K280" s="158">
        <f>IFERROR(INDEX(MASTER_JAM!$J$5:$O$12,MATCH($E280,MASTER_JAM!$I$5:$I$12,0),MATCH($J280,MASTER_JAM!$J$4:$O$4,0))+0,0)</f>
        <v/>
      </c>
      <c r="L280" s="159">
        <f>N($F280)*$K280</f>
        <v/>
      </c>
      <c r="M280" s="157">
        <f>IF($E280="","",IF(OR($E280="Coal",$E280="Dirty Coal"),"MT","BCM"))</f>
        <v/>
      </c>
      <c r="N280" s="157">
        <f>IF($E280="","",IF(OR($E280="Coal",$E280="Dirty Coal"),"Coal","OB"))</f>
        <v/>
      </c>
      <c r="O280" s="157">
        <f>IF($F280="","",IF(COUNTIF(MASTER_JAM!$A$5:$A$94,$C280)=0,"Digger tidak dikenal",IF($J280="","Hauler tidak dikenal",IF($H280="?","Jam salah",IF($K280=0,"Faktor kosong",IF(SUMIFS(INPUT_DELAY!$E$5:$E$20000,INPUT_DELAY!$A$5:$A$20000,$A280,INPUT_DELAY!$B$5:$B$20000,$B280,INPUT_DELAY!$C$5:$C$20000,$C280)+SUMIFS(INPUT_DELAY!$E$5:$E$20000,INPUT_DELAY!$A$5:$A$20000,$A280,INPUT_DELAY!$B$5:$B$20000,$B280,INPUT_DELAY!$C$5:$C$20000,"SEMUA")&gt;=60,"Delay 60 mnt tapi ada ritase","OK"))))))</f>
        <v/>
      </c>
      <c r="P280" s="158">
        <f>IFERROR(INDEX(MASTER_JAM!$Z$5:$AC$10,MATCH($I280,MASTER_JAM!$Y$5:$Y$10,0),MATCH($J280,MASTER_JAM!$Z$4:$AC$4,0))+0,0)</f>
        <v/>
      </c>
      <c r="Q280" s="158">
        <f>IF($P280=0,0,$P280+IFERROR(INDEX(MASTER_JAM!$H$5:$H$94,MATCH($C280,MASTER_JAM!$A$5:$A$94,0))+0,MASTER_JAM!$AC$15)/1000*(60/MASTER_JAM!$AC$12+60/MASTER_JAM!$AC$13)+MASTER_JAM!$AC$14)</f>
        <v/>
      </c>
      <c r="R280" s="158">
        <f>IF(N($F280)=0,0,$F280/SUMIFS(INPUT_RITASE!$F$5:$F$20000,INPUT_RITASE!$A$5:$A$20000,$A280,INPUT_RITASE!$B$5:$B$20000,$B280,INPUT_RITASE!$C$5:$C$20000,$C280,INPUT_RITASE!$D$5:$D$20000,$D280))</f>
        <v/>
      </c>
      <c r="S280" s="158">
        <f>IF($Q280=0,0,$R280*$P280/$Q280)</f>
        <v/>
      </c>
    </row>
    <row r="281">
      <c r="A281" s="155" t="n">
        <v>46104</v>
      </c>
      <c r="B281" s="156" t="inlineStr">
        <is>
          <t>03-04</t>
        </is>
      </c>
      <c r="C281" s="156" t="inlineStr">
        <is>
          <t>EX-2101</t>
        </is>
      </c>
      <c r="D281" s="156" t="inlineStr">
        <is>
          <t>HD-903</t>
        </is>
      </c>
      <c r="E281" s="156" t="inlineStr">
        <is>
          <t>OB</t>
        </is>
      </c>
      <c r="F281" s="156" t="n">
        <v>5</v>
      </c>
      <c r="G281" s="156" t="inlineStr"/>
      <c r="H281" s="157">
        <f>IF($B281="","",IF(ISNA(MATCH($B281,MASTER_JAM!$Q$5:$Q$28,0)),"?",IF(MATCH($B281,MASTER_JAM!$Q$5:$Q$28,0)&lt;=12,"DS","NS")))</f>
        <v/>
      </c>
      <c r="I281" s="157">
        <f>IFERROR(INDEX(MASTER_JAM!$B$5:$B$94,MATCH($C281,MASTER_JAM!$A$5:$A$94,0)),"")</f>
        <v/>
      </c>
      <c r="J281" s="157">
        <f>IFERROR(INDEX(MASTER_JAM!$E$5:$E$94,MATCH($D281,MASTER_JAM!$A$5:$A$94,0)),"")</f>
        <v/>
      </c>
      <c r="K281" s="158">
        <f>IFERROR(INDEX(MASTER_JAM!$J$5:$O$12,MATCH($E281,MASTER_JAM!$I$5:$I$12,0),MATCH($J281,MASTER_JAM!$J$4:$O$4,0))+0,0)</f>
        <v/>
      </c>
      <c r="L281" s="159">
        <f>N($F281)*$K281</f>
        <v/>
      </c>
      <c r="M281" s="157">
        <f>IF($E281="","",IF(OR($E281="Coal",$E281="Dirty Coal"),"MT","BCM"))</f>
        <v/>
      </c>
      <c r="N281" s="157">
        <f>IF($E281="","",IF(OR($E281="Coal",$E281="Dirty Coal"),"Coal","OB"))</f>
        <v/>
      </c>
      <c r="O281" s="157">
        <f>IF($F281="","",IF(COUNTIF(MASTER_JAM!$A$5:$A$94,$C281)=0,"Digger tidak dikenal",IF($J281="","Hauler tidak dikenal",IF($H281="?","Jam salah",IF($K281=0,"Faktor kosong",IF(SUMIFS(INPUT_DELAY!$E$5:$E$20000,INPUT_DELAY!$A$5:$A$20000,$A281,INPUT_DELAY!$B$5:$B$20000,$B281,INPUT_DELAY!$C$5:$C$20000,$C281)+SUMIFS(INPUT_DELAY!$E$5:$E$20000,INPUT_DELAY!$A$5:$A$20000,$A281,INPUT_DELAY!$B$5:$B$20000,$B281,INPUT_DELAY!$C$5:$C$20000,"SEMUA")&gt;=60,"Delay 60 mnt tapi ada ritase","OK"))))))</f>
        <v/>
      </c>
      <c r="P281" s="158">
        <f>IFERROR(INDEX(MASTER_JAM!$Z$5:$AC$10,MATCH($I281,MASTER_JAM!$Y$5:$Y$10,0),MATCH($J281,MASTER_JAM!$Z$4:$AC$4,0))+0,0)</f>
        <v/>
      </c>
      <c r="Q281" s="158">
        <f>IF($P281=0,0,$P281+IFERROR(INDEX(MASTER_JAM!$H$5:$H$94,MATCH($C281,MASTER_JAM!$A$5:$A$94,0))+0,MASTER_JAM!$AC$15)/1000*(60/MASTER_JAM!$AC$12+60/MASTER_JAM!$AC$13)+MASTER_JAM!$AC$14)</f>
        <v/>
      </c>
      <c r="R281" s="158">
        <f>IF(N($F281)=0,0,$F281/SUMIFS(INPUT_RITASE!$F$5:$F$20000,INPUT_RITASE!$A$5:$A$20000,$A281,INPUT_RITASE!$B$5:$B$20000,$B281,INPUT_RITASE!$C$5:$C$20000,$C281,INPUT_RITASE!$D$5:$D$20000,$D281))</f>
        <v/>
      </c>
      <c r="S281" s="158">
        <f>IF($Q281=0,0,$R281*$P281/$Q281)</f>
        <v/>
      </c>
    </row>
    <row r="282">
      <c r="A282" s="155" t="n">
        <v>46104</v>
      </c>
      <c r="B282" s="156" t="inlineStr">
        <is>
          <t>03-04</t>
        </is>
      </c>
      <c r="C282" s="156" t="inlineStr">
        <is>
          <t>EX-2101</t>
        </is>
      </c>
      <c r="D282" s="156" t="inlineStr">
        <is>
          <t>DT-520</t>
        </is>
      </c>
      <c r="E282" s="156" t="inlineStr">
        <is>
          <t>OB</t>
        </is>
      </c>
      <c r="F282" s="156" t="n">
        <v>2</v>
      </c>
      <c r="G282" s="156" t="inlineStr"/>
      <c r="H282" s="157">
        <f>IF($B282="","",IF(ISNA(MATCH($B282,MASTER_JAM!$Q$5:$Q$28,0)),"?",IF(MATCH($B282,MASTER_JAM!$Q$5:$Q$28,0)&lt;=12,"DS","NS")))</f>
        <v/>
      </c>
      <c r="I282" s="157">
        <f>IFERROR(INDEX(MASTER_JAM!$B$5:$B$94,MATCH($C282,MASTER_JAM!$A$5:$A$94,0)),"")</f>
        <v/>
      </c>
      <c r="J282" s="157">
        <f>IFERROR(INDEX(MASTER_JAM!$E$5:$E$94,MATCH($D282,MASTER_JAM!$A$5:$A$94,0)),"")</f>
        <v/>
      </c>
      <c r="K282" s="158">
        <f>IFERROR(INDEX(MASTER_JAM!$J$5:$O$12,MATCH($E282,MASTER_JAM!$I$5:$I$12,0),MATCH($J282,MASTER_JAM!$J$4:$O$4,0))+0,0)</f>
        <v/>
      </c>
      <c r="L282" s="159">
        <f>N($F282)*$K282</f>
        <v/>
      </c>
      <c r="M282" s="157">
        <f>IF($E282="","",IF(OR($E282="Coal",$E282="Dirty Coal"),"MT","BCM"))</f>
        <v/>
      </c>
      <c r="N282" s="157">
        <f>IF($E282="","",IF(OR($E282="Coal",$E282="Dirty Coal"),"Coal","OB"))</f>
        <v/>
      </c>
      <c r="O282" s="157">
        <f>IF($F282="","",IF(COUNTIF(MASTER_JAM!$A$5:$A$94,$C282)=0,"Digger tidak dikenal",IF($J282="","Hauler tidak dikenal",IF($H282="?","Jam salah",IF($K282=0,"Faktor kosong",IF(SUMIFS(INPUT_DELAY!$E$5:$E$20000,INPUT_DELAY!$A$5:$A$20000,$A282,INPUT_DELAY!$B$5:$B$20000,$B282,INPUT_DELAY!$C$5:$C$20000,$C282)+SUMIFS(INPUT_DELAY!$E$5:$E$20000,INPUT_DELAY!$A$5:$A$20000,$A282,INPUT_DELAY!$B$5:$B$20000,$B282,INPUT_DELAY!$C$5:$C$20000,"SEMUA")&gt;=60,"Delay 60 mnt tapi ada ritase","OK"))))))</f>
        <v/>
      </c>
      <c r="P282" s="158">
        <f>IFERROR(INDEX(MASTER_JAM!$Z$5:$AC$10,MATCH($I282,MASTER_JAM!$Y$5:$Y$10,0),MATCH($J282,MASTER_JAM!$Z$4:$AC$4,0))+0,0)</f>
        <v/>
      </c>
      <c r="Q282" s="158">
        <f>IF($P282=0,0,$P282+IFERROR(INDEX(MASTER_JAM!$H$5:$H$94,MATCH($C282,MASTER_JAM!$A$5:$A$94,0))+0,MASTER_JAM!$AC$15)/1000*(60/MASTER_JAM!$AC$12+60/MASTER_JAM!$AC$13)+MASTER_JAM!$AC$14)</f>
        <v/>
      </c>
      <c r="R282" s="158">
        <f>IF(N($F282)=0,0,$F282/SUMIFS(INPUT_RITASE!$F$5:$F$20000,INPUT_RITASE!$A$5:$A$20000,$A282,INPUT_RITASE!$B$5:$B$20000,$B282,INPUT_RITASE!$C$5:$C$20000,$C282,INPUT_RITASE!$D$5:$D$20000,$D282))</f>
        <v/>
      </c>
      <c r="S282" s="158">
        <f>IF($Q282=0,0,$R282*$P282/$Q282)</f>
        <v/>
      </c>
    </row>
    <row r="283">
      <c r="A283" s="155" t="n">
        <v>46104</v>
      </c>
      <c r="B283" s="156" t="inlineStr">
        <is>
          <t>05-06</t>
        </is>
      </c>
      <c r="C283" s="156" t="inlineStr">
        <is>
          <t>EX-2101</t>
        </is>
      </c>
      <c r="D283" s="156" t="inlineStr">
        <is>
          <t>HD-901</t>
        </is>
      </c>
      <c r="E283" s="156" t="inlineStr">
        <is>
          <t>OB</t>
        </is>
      </c>
      <c r="F283" s="156" t="n">
        <v>5</v>
      </c>
      <c r="G283" s="156" t="inlineStr"/>
      <c r="H283" s="157">
        <f>IF($B283="","",IF(ISNA(MATCH($B283,MASTER_JAM!$Q$5:$Q$28,0)),"?",IF(MATCH($B283,MASTER_JAM!$Q$5:$Q$28,0)&lt;=12,"DS","NS")))</f>
        <v/>
      </c>
      <c r="I283" s="157">
        <f>IFERROR(INDEX(MASTER_JAM!$B$5:$B$94,MATCH($C283,MASTER_JAM!$A$5:$A$94,0)),"")</f>
        <v/>
      </c>
      <c r="J283" s="157">
        <f>IFERROR(INDEX(MASTER_JAM!$E$5:$E$94,MATCH($D283,MASTER_JAM!$A$5:$A$94,0)),"")</f>
        <v/>
      </c>
      <c r="K283" s="158">
        <f>IFERROR(INDEX(MASTER_JAM!$J$5:$O$12,MATCH($E283,MASTER_JAM!$I$5:$I$12,0),MATCH($J283,MASTER_JAM!$J$4:$O$4,0))+0,0)</f>
        <v/>
      </c>
      <c r="L283" s="159">
        <f>N($F283)*$K283</f>
        <v/>
      </c>
      <c r="M283" s="157">
        <f>IF($E283="","",IF(OR($E283="Coal",$E283="Dirty Coal"),"MT","BCM"))</f>
        <v/>
      </c>
      <c r="N283" s="157">
        <f>IF($E283="","",IF(OR($E283="Coal",$E283="Dirty Coal"),"Coal","OB"))</f>
        <v/>
      </c>
      <c r="O283" s="157">
        <f>IF($F283="","",IF(COUNTIF(MASTER_JAM!$A$5:$A$94,$C283)=0,"Digger tidak dikenal",IF($J283="","Hauler tidak dikenal",IF($H283="?","Jam salah",IF($K283=0,"Faktor kosong",IF(SUMIFS(INPUT_DELAY!$E$5:$E$20000,INPUT_DELAY!$A$5:$A$20000,$A283,INPUT_DELAY!$B$5:$B$20000,$B283,INPUT_DELAY!$C$5:$C$20000,$C283)+SUMIFS(INPUT_DELAY!$E$5:$E$20000,INPUT_DELAY!$A$5:$A$20000,$A283,INPUT_DELAY!$B$5:$B$20000,$B283,INPUT_DELAY!$C$5:$C$20000,"SEMUA")&gt;=60,"Delay 60 mnt tapi ada ritase","OK"))))))</f>
        <v/>
      </c>
      <c r="P283" s="158">
        <f>IFERROR(INDEX(MASTER_JAM!$Z$5:$AC$10,MATCH($I283,MASTER_JAM!$Y$5:$Y$10,0),MATCH($J283,MASTER_JAM!$Z$4:$AC$4,0))+0,0)</f>
        <v/>
      </c>
      <c r="Q283" s="158">
        <f>IF($P283=0,0,$P283+IFERROR(INDEX(MASTER_JAM!$H$5:$H$94,MATCH($C283,MASTER_JAM!$A$5:$A$94,0))+0,MASTER_JAM!$AC$15)/1000*(60/MASTER_JAM!$AC$12+60/MASTER_JAM!$AC$13)+MASTER_JAM!$AC$14)</f>
        <v/>
      </c>
      <c r="R283" s="158">
        <f>IF(N($F283)=0,0,$F283/SUMIFS(INPUT_RITASE!$F$5:$F$20000,INPUT_RITASE!$A$5:$A$20000,$A283,INPUT_RITASE!$B$5:$B$20000,$B283,INPUT_RITASE!$C$5:$C$20000,$C283,INPUT_RITASE!$D$5:$D$20000,$D283))</f>
        <v/>
      </c>
      <c r="S283" s="158">
        <f>IF($Q283=0,0,$R283*$P283/$Q283)</f>
        <v/>
      </c>
    </row>
    <row r="284">
      <c r="A284" s="155" t="n">
        <v>46104</v>
      </c>
      <c r="B284" s="156" t="inlineStr">
        <is>
          <t>05-06</t>
        </is>
      </c>
      <c r="C284" s="156" t="inlineStr">
        <is>
          <t>EX-2101</t>
        </is>
      </c>
      <c r="D284" s="156" t="inlineStr">
        <is>
          <t>HD-904</t>
        </is>
      </c>
      <c r="E284" s="156" t="inlineStr">
        <is>
          <t>OB</t>
        </is>
      </c>
      <c r="F284" s="156" t="n">
        <v>5</v>
      </c>
      <c r="G284" s="156" t="inlineStr"/>
      <c r="H284" s="157">
        <f>IF($B284="","",IF(ISNA(MATCH($B284,MASTER_JAM!$Q$5:$Q$28,0)),"?",IF(MATCH($B284,MASTER_JAM!$Q$5:$Q$28,0)&lt;=12,"DS","NS")))</f>
        <v/>
      </c>
      <c r="I284" s="157">
        <f>IFERROR(INDEX(MASTER_JAM!$B$5:$B$94,MATCH($C284,MASTER_JAM!$A$5:$A$94,0)),"")</f>
        <v/>
      </c>
      <c r="J284" s="157">
        <f>IFERROR(INDEX(MASTER_JAM!$E$5:$E$94,MATCH($D284,MASTER_JAM!$A$5:$A$94,0)),"")</f>
        <v/>
      </c>
      <c r="K284" s="158">
        <f>IFERROR(INDEX(MASTER_JAM!$J$5:$O$12,MATCH($E284,MASTER_JAM!$I$5:$I$12,0),MATCH($J284,MASTER_JAM!$J$4:$O$4,0))+0,0)</f>
        <v/>
      </c>
      <c r="L284" s="159">
        <f>N($F284)*$K284</f>
        <v/>
      </c>
      <c r="M284" s="157">
        <f>IF($E284="","",IF(OR($E284="Coal",$E284="Dirty Coal"),"MT","BCM"))</f>
        <v/>
      </c>
      <c r="N284" s="157">
        <f>IF($E284="","",IF(OR($E284="Coal",$E284="Dirty Coal"),"Coal","OB"))</f>
        <v/>
      </c>
      <c r="O284" s="157">
        <f>IF($F284="","",IF(COUNTIF(MASTER_JAM!$A$5:$A$94,$C284)=0,"Digger tidak dikenal",IF($J284="","Hauler tidak dikenal",IF($H284="?","Jam salah",IF($K284=0,"Faktor kosong",IF(SUMIFS(INPUT_DELAY!$E$5:$E$20000,INPUT_DELAY!$A$5:$A$20000,$A284,INPUT_DELAY!$B$5:$B$20000,$B284,INPUT_DELAY!$C$5:$C$20000,$C284)+SUMIFS(INPUT_DELAY!$E$5:$E$20000,INPUT_DELAY!$A$5:$A$20000,$A284,INPUT_DELAY!$B$5:$B$20000,$B284,INPUT_DELAY!$C$5:$C$20000,"SEMUA")&gt;=60,"Delay 60 mnt tapi ada ritase","OK"))))))</f>
        <v/>
      </c>
      <c r="P284" s="158">
        <f>IFERROR(INDEX(MASTER_JAM!$Z$5:$AC$10,MATCH($I284,MASTER_JAM!$Y$5:$Y$10,0),MATCH($J284,MASTER_JAM!$Z$4:$AC$4,0))+0,0)</f>
        <v/>
      </c>
      <c r="Q284" s="158">
        <f>IF($P284=0,0,$P284+IFERROR(INDEX(MASTER_JAM!$H$5:$H$94,MATCH($C284,MASTER_JAM!$A$5:$A$94,0))+0,MASTER_JAM!$AC$15)/1000*(60/MASTER_JAM!$AC$12+60/MASTER_JAM!$AC$13)+MASTER_JAM!$AC$14)</f>
        <v/>
      </c>
      <c r="R284" s="158">
        <f>IF(N($F284)=0,0,$F284/SUMIFS(INPUT_RITASE!$F$5:$F$20000,INPUT_RITASE!$A$5:$A$20000,$A284,INPUT_RITASE!$B$5:$B$20000,$B284,INPUT_RITASE!$C$5:$C$20000,$C284,INPUT_RITASE!$D$5:$D$20000,$D284))</f>
        <v/>
      </c>
      <c r="S284" s="158">
        <f>IF($Q284=0,0,$R284*$P284/$Q284)</f>
        <v/>
      </c>
    </row>
    <row r="285">
      <c r="A285" s="155" t="n">
        <v>46104</v>
      </c>
      <c r="B285" s="156" t="inlineStr">
        <is>
          <t>05-06</t>
        </is>
      </c>
      <c r="C285" s="156" t="inlineStr">
        <is>
          <t>EX-2101</t>
        </is>
      </c>
      <c r="D285" s="156" t="inlineStr">
        <is>
          <t>HD-903</t>
        </is>
      </c>
      <c r="E285" s="156" t="inlineStr">
        <is>
          <t>OB</t>
        </is>
      </c>
      <c r="F285" s="156" t="n">
        <v>4</v>
      </c>
      <c r="G285" s="156" t="inlineStr"/>
      <c r="H285" s="157">
        <f>IF($B285="","",IF(ISNA(MATCH($B285,MASTER_JAM!$Q$5:$Q$28,0)),"?",IF(MATCH($B285,MASTER_JAM!$Q$5:$Q$28,0)&lt;=12,"DS","NS")))</f>
        <v/>
      </c>
      <c r="I285" s="157">
        <f>IFERROR(INDEX(MASTER_JAM!$B$5:$B$94,MATCH($C285,MASTER_JAM!$A$5:$A$94,0)),"")</f>
        <v/>
      </c>
      <c r="J285" s="157">
        <f>IFERROR(INDEX(MASTER_JAM!$E$5:$E$94,MATCH($D285,MASTER_JAM!$A$5:$A$94,0)),"")</f>
        <v/>
      </c>
      <c r="K285" s="158">
        <f>IFERROR(INDEX(MASTER_JAM!$J$5:$O$12,MATCH($E285,MASTER_JAM!$I$5:$I$12,0),MATCH($J285,MASTER_JAM!$J$4:$O$4,0))+0,0)</f>
        <v/>
      </c>
      <c r="L285" s="159">
        <f>N($F285)*$K285</f>
        <v/>
      </c>
      <c r="M285" s="157">
        <f>IF($E285="","",IF(OR($E285="Coal",$E285="Dirty Coal"),"MT","BCM"))</f>
        <v/>
      </c>
      <c r="N285" s="157">
        <f>IF($E285="","",IF(OR($E285="Coal",$E285="Dirty Coal"),"Coal","OB"))</f>
        <v/>
      </c>
      <c r="O285" s="157">
        <f>IF($F285="","",IF(COUNTIF(MASTER_JAM!$A$5:$A$94,$C285)=0,"Digger tidak dikenal",IF($J285="","Hauler tidak dikenal",IF($H285="?","Jam salah",IF($K285=0,"Faktor kosong",IF(SUMIFS(INPUT_DELAY!$E$5:$E$20000,INPUT_DELAY!$A$5:$A$20000,$A285,INPUT_DELAY!$B$5:$B$20000,$B285,INPUT_DELAY!$C$5:$C$20000,$C285)+SUMIFS(INPUT_DELAY!$E$5:$E$20000,INPUT_DELAY!$A$5:$A$20000,$A285,INPUT_DELAY!$B$5:$B$20000,$B285,INPUT_DELAY!$C$5:$C$20000,"SEMUA")&gt;=60,"Delay 60 mnt tapi ada ritase","OK"))))))</f>
        <v/>
      </c>
      <c r="P285" s="158">
        <f>IFERROR(INDEX(MASTER_JAM!$Z$5:$AC$10,MATCH($I285,MASTER_JAM!$Y$5:$Y$10,0),MATCH($J285,MASTER_JAM!$Z$4:$AC$4,0))+0,0)</f>
        <v/>
      </c>
      <c r="Q285" s="158">
        <f>IF($P285=0,0,$P285+IFERROR(INDEX(MASTER_JAM!$H$5:$H$94,MATCH($C285,MASTER_JAM!$A$5:$A$94,0))+0,MASTER_JAM!$AC$15)/1000*(60/MASTER_JAM!$AC$12+60/MASTER_JAM!$AC$13)+MASTER_JAM!$AC$14)</f>
        <v/>
      </c>
      <c r="R285" s="158">
        <f>IF(N($F285)=0,0,$F285/SUMIFS(INPUT_RITASE!$F$5:$F$20000,INPUT_RITASE!$A$5:$A$20000,$A285,INPUT_RITASE!$B$5:$B$20000,$B285,INPUT_RITASE!$C$5:$C$20000,$C285,INPUT_RITASE!$D$5:$D$20000,$D285))</f>
        <v/>
      </c>
      <c r="S285" s="158">
        <f>IF($Q285=0,0,$R285*$P285/$Q285)</f>
        <v/>
      </c>
    </row>
    <row r="286">
      <c r="A286" s="155" t="n">
        <v>46104</v>
      </c>
      <c r="B286" s="156" t="inlineStr">
        <is>
          <t>05-06</t>
        </is>
      </c>
      <c r="C286" s="156" t="inlineStr">
        <is>
          <t>EX-2101</t>
        </is>
      </c>
      <c r="D286" s="156" t="inlineStr">
        <is>
          <t>DT-520</t>
        </is>
      </c>
      <c r="E286" s="156" t="inlineStr">
        <is>
          <t>OB</t>
        </is>
      </c>
      <c r="F286" s="156" t="n">
        <v>3</v>
      </c>
      <c r="G286" s="156" t="inlineStr"/>
      <c r="H286" s="157">
        <f>IF($B286="","",IF(ISNA(MATCH($B286,MASTER_JAM!$Q$5:$Q$28,0)),"?",IF(MATCH($B286,MASTER_JAM!$Q$5:$Q$28,0)&lt;=12,"DS","NS")))</f>
        <v/>
      </c>
      <c r="I286" s="157">
        <f>IFERROR(INDEX(MASTER_JAM!$B$5:$B$94,MATCH($C286,MASTER_JAM!$A$5:$A$94,0)),"")</f>
        <v/>
      </c>
      <c r="J286" s="157">
        <f>IFERROR(INDEX(MASTER_JAM!$E$5:$E$94,MATCH($D286,MASTER_JAM!$A$5:$A$94,0)),"")</f>
        <v/>
      </c>
      <c r="K286" s="158">
        <f>IFERROR(INDEX(MASTER_JAM!$J$5:$O$12,MATCH($E286,MASTER_JAM!$I$5:$I$12,0),MATCH($J286,MASTER_JAM!$J$4:$O$4,0))+0,0)</f>
        <v/>
      </c>
      <c r="L286" s="159">
        <f>N($F286)*$K286</f>
        <v/>
      </c>
      <c r="M286" s="157">
        <f>IF($E286="","",IF(OR($E286="Coal",$E286="Dirty Coal"),"MT","BCM"))</f>
        <v/>
      </c>
      <c r="N286" s="157">
        <f>IF($E286="","",IF(OR($E286="Coal",$E286="Dirty Coal"),"Coal","OB"))</f>
        <v/>
      </c>
      <c r="O286" s="157">
        <f>IF($F286="","",IF(COUNTIF(MASTER_JAM!$A$5:$A$94,$C286)=0,"Digger tidak dikenal",IF($J286="","Hauler tidak dikenal",IF($H286="?","Jam salah",IF($K286=0,"Faktor kosong",IF(SUMIFS(INPUT_DELAY!$E$5:$E$20000,INPUT_DELAY!$A$5:$A$20000,$A286,INPUT_DELAY!$B$5:$B$20000,$B286,INPUT_DELAY!$C$5:$C$20000,$C286)+SUMIFS(INPUT_DELAY!$E$5:$E$20000,INPUT_DELAY!$A$5:$A$20000,$A286,INPUT_DELAY!$B$5:$B$20000,$B286,INPUT_DELAY!$C$5:$C$20000,"SEMUA")&gt;=60,"Delay 60 mnt tapi ada ritase","OK"))))))</f>
        <v/>
      </c>
      <c r="P286" s="158">
        <f>IFERROR(INDEX(MASTER_JAM!$Z$5:$AC$10,MATCH($I286,MASTER_JAM!$Y$5:$Y$10,0),MATCH($J286,MASTER_JAM!$Z$4:$AC$4,0))+0,0)</f>
        <v/>
      </c>
      <c r="Q286" s="158">
        <f>IF($P286=0,0,$P286+IFERROR(INDEX(MASTER_JAM!$H$5:$H$94,MATCH($C286,MASTER_JAM!$A$5:$A$94,0))+0,MASTER_JAM!$AC$15)/1000*(60/MASTER_JAM!$AC$12+60/MASTER_JAM!$AC$13)+MASTER_JAM!$AC$14)</f>
        <v/>
      </c>
      <c r="R286" s="158">
        <f>IF(N($F286)=0,0,$F286/SUMIFS(INPUT_RITASE!$F$5:$F$20000,INPUT_RITASE!$A$5:$A$20000,$A286,INPUT_RITASE!$B$5:$B$20000,$B286,INPUT_RITASE!$C$5:$C$20000,$C286,INPUT_RITASE!$D$5:$D$20000,$D286))</f>
        <v/>
      </c>
      <c r="S286" s="158">
        <f>IF($Q286=0,0,$R286*$P286/$Q286)</f>
        <v/>
      </c>
    </row>
    <row r="287">
      <c r="A287" s="155" t="n">
        <v>46104</v>
      </c>
      <c r="B287" s="156" t="inlineStr">
        <is>
          <t>05-06</t>
        </is>
      </c>
      <c r="C287" s="156" t="inlineStr">
        <is>
          <t>EX-2101</t>
        </is>
      </c>
      <c r="D287" s="156" t="inlineStr">
        <is>
          <t>DT-508</t>
        </is>
      </c>
      <c r="E287" s="156" t="inlineStr">
        <is>
          <t>OB</t>
        </is>
      </c>
      <c r="F287" s="156" t="n">
        <v>2</v>
      </c>
      <c r="G287" s="156" t="inlineStr"/>
      <c r="H287" s="157">
        <f>IF($B287="","",IF(ISNA(MATCH($B287,MASTER_JAM!$Q$5:$Q$28,0)),"?",IF(MATCH($B287,MASTER_JAM!$Q$5:$Q$28,0)&lt;=12,"DS","NS")))</f>
        <v/>
      </c>
      <c r="I287" s="157">
        <f>IFERROR(INDEX(MASTER_JAM!$B$5:$B$94,MATCH($C287,MASTER_JAM!$A$5:$A$94,0)),"")</f>
        <v/>
      </c>
      <c r="J287" s="157">
        <f>IFERROR(INDEX(MASTER_JAM!$E$5:$E$94,MATCH($D287,MASTER_JAM!$A$5:$A$94,0)),"")</f>
        <v/>
      </c>
      <c r="K287" s="158">
        <f>IFERROR(INDEX(MASTER_JAM!$J$5:$O$12,MATCH($E287,MASTER_JAM!$I$5:$I$12,0),MATCH($J287,MASTER_JAM!$J$4:$O$4,0))+0,0)</f>
        <v/>
      </c>
      <c r="L287" s="159">
        <f>N($F287)*$K287</f>
        <v/>
      </c>
      <c r="M287" s="157">
        <f>IF($E287="","",IF(OR($E287="Coal",$E287="Dirty Coal"),"MT","BCM"))</f>
        <v/>
      </c>
      <c r="N287" s="157">
        <f>IF($E287="","",IF(OR($E287="Coal",$E287="Dirty Coal"),"Coal","OB"))</f>
        <v/>
      </c>
      <c r="O287" s="157">
        <f>IF($F287="","",IF(COUNTIF(MASTER_JAM!$A$5:$A$94,$C287)=0,"Digger tidak dikenal",IF($J287="","Hauler tidak dikenal",IF($H287="?","Jam salah",IF($K287=0,"Faktor kosong",IF(SUMIFS(INPUT_DELAY!$E$5:$E$20000,INPUT_DELAY!$A$5:$A$20000,$A287,INPUT_DELAY!$B$5:$B$20000,$B287,INPUT_DELAY!$C$5:$C$20000,$C287)+SUMIFS(INPUT_DELAY!$E$5:$E$20000,INPUT_DELAY!$A$5:$A$20000,$A287,INPUT_DELAY!$B$5:$B$20000,$B287,INPUT_DELAY!$C$5:$C$20000,"SEMUA")&gt;=60,"Delay 60 mnt tapi ada ritase","OK"))))))</f>
        <v/>
      </c>
      <c r="P287" s="158">
        <f>IFERROR(INDEX(MASTER_JAM!$Z$5:$AC$10,MATCH($I287,MASTER_JAM!$Y$5:$Y$10,0),MATCH($J287,MASTER_JAM!$Z$4:$AC$4,0))+0,0)</f>
        <v/>
      </c>
      <c r="Q287" s="158">
        <f>IF($P287=0,0,$P287+IFERROR(INDEX(MASTER_JAM!$H$5:$H$94,MATCH($C287,MASTER_JAM!$A$5:$A$94,0))+0,MASTER_JAM!$AC$15)/1000*(60/MASTER_JAM!$AC$12+60/MASTER_JAM!$AC$13)+MASTER_JAM!$AC$14)</f>
        <v/>
      </c>
      <c r="R287" s="158">
        <f>IF(N($F287)=0,0,$F287/SUMIFS(INPUT_RITASE!$F$5:$F$20000,INPUT_RITASE!$A$5:$A$20000,$A287,INPUT_RITASE!$B$5:$B$20000,$B287,INPUT_RITASE!$C$5:$C$20000,$C287,INPUT_RITASE!$D$5:$D$20000,$D287))</f>
        <v/>
      </c>
      <c r="S287" s="158">
        <f>IF($Q287=0,0,$R287*$P287/$Q287)</f>
        <v/>
      </c>
    </row>
    <row r="288">
      <c r="A288" s="155" t="n">
        <v>46104</v>
      </c>
      <c r="B288" s="156" t="inlineStr">
        <is>
          <t>18-19</t>
        </is>
      </c>
      <c r="C288" s="156" t="inlineStr">
        <is>
          <t>EX-336</t>
        </is>
      </c>
      <c r="D288" s="156" t="inlineStr">
        <is>
          <t>DT-503</t>
        </is>
      </c>
      <c r="E288" s="156" t="inlineStr">
        <is>
          <t>Coal</t>
        </is>
      </c>
      <c r="F288" s="156" t="n">
        <v>4</v>
      </c>
      <c r="G288" s="156" t="inlineStr"/>
      <c r="H288" s="157">
        <f>IF($B288="","",IF(ISNA(MATCH($B288,MASTER_JAM!$Q$5:$Q$28,0)),"?",IF(MATCH($B288,MASTER_JAM!$Q$5:$Q$28,0)&lt;=12,"DS","NS")))</f>
        <v/>
      </c>
      <c r="I288" s="157">
        <f>IFERROR(INDEX(MASTER_JAM!$B$5:$B$94,MATCH($C288,MASTER_JAM!$A$5:$A$94,0)),"")</f>
        <v/>
      </c>
      <c r="J288" s="157">
        <f>IFERROR(INDEX(MASTER_JAM!$E$5:$E$94,MATCH($D288,MASTER_JAM!$A$5:$A$94,0)),"")</f>
        <v/>
      </c>
      <c r="K288" s="158">
        <f>IFERROR(INDEX(MASTER_JAM!$J$5:$O$12,MATCH($E288,MASTER_JAM!$I$5:$I$12,0),MATCH($J288,MASTER_JAM!$J$4:$O$4,0))+0,0)</f>
        <v/>
      </c>
      <c r="L288" s="159">
        <f>N($F288)*$K288</f>
        <v/>
      </c>
      <c r="M288" s="157">
        <f>IF($E288="","",IF(OR($E288="Coal",$E288="Dirty Coal"),"MT","BCM"))</f>
        <v/>
      </c>
      <c r="N288" s="157">
        <f>IF($E288="","",IF(OR($E288="Coal",$E288="Dirty Coal"),"Coal","OB"))</f>
        <v/>
      </c>
      <c r="O288" s="157">
        <f>IF($F288="","",IF(COUNTIF(MASTER_JAM!$A$5:$A$94,$C288)=0,"Digger tidak dikenal",IF($J288="","Hauler tidak dikenal",IF($H288="?","Jam salah",IF($K288=0,"Faktor kosong",IF(SUMIFS(INPUT_DELAY!$E$5:$E$20000,INPUT_DELAY!$A$5:$A$20000,$A288,INPUT_DELAY!$B$5:$B$20000,$B288,INPUT_DELAY!$C$5:$C$20000,$C288)+SUMIFS(INPUT_DELAY!$E$5:$E$20000,INPUT_DELAY!$A$5:$A$20000,$A288,INPUT_DELAY!$B$5:$B$20000,$B288,INPUT_DELAY!$C$5:$C$20000,"SEMUA")&gt;=60,"Delay 60 mnt tapi ada ritase","OK"))))))</f>
        <v/>
      </c>
      <c r="P288" s="158">
        <f>IFERROR(INDEX(MASTER_JAM!$Z$5:$AC$10,MATCH($I288,MASTER_JAM!$Y$5:$Y$10,0),MATCH($J288,MASTER_JAM!$Z$4:$AC$4,0))+0,0)</f>
        <v/>
      </c>
      <c r="Q288" s="158">
        <f>IF($P288=0,0,$P288+IFERROR(INDEX(MASTER_JAM!$H$5:$H$94,MATCH($C288,MASTER_JAM!$A$5:$A$94,0))+0,MASTER_JAM!$AC$15)/1000*(60/MASTER_JAM!$AC$12+60/MASTER_JAM!$AC$13)+MASTER_JAM!$AC$14)</f>
        <v/>
      </c>
      <c r="R288" s="158">
        <f>IF(N($F288)=0,0,$F288/SUMIFS(INPUT_RITASE!$F$5:$F$20000,INPUT_RITASE!$A$5:$A$20000,$A288,INPUT_RITASE!$B$5:$B$20000,$B288,INPUT_RITASE!$C$5:$C$20000,$C288,INPUT_RITASE!$D$5:$D$20000,$D288))</f>
        <v/>
      </c>
      <c r="S288" s="158">
        <f>IF($Q288=0,0,$R288*$P288/$Q288)</f>
        <v/>
      </c>
    </row>
    <row r="289">
      <c r="A289" s="155" t="n">
        <v>46104</v>
      </c>
      <c r="B289" s="156" t="inlineStr">
        <is>
          <t>03-04</t>
        </is>
      </c>
      <c r="C289" s="156" t="inlineStr">
        <is>
          <t>EX-336</t>
        </is>
      </c>
      <c r="D289" s="156" t="inlineStr">
        <is>
          <t>DT-516</t>
        </is>
      </c>
      <c r="E289" s="156" t="inlineStr">
        <is>
          <t>Coal</t>
        </is>
      </c>
      <c r="F289" s="156" t="n">
        <v>4</v>
      </c>
      <c r="G289" s="156" t="inlineStr"/>
      <c r="H289" s="157">
        <f>IF($B289="","",IF(ISNA(MATCH($B289,MASTER_JAM!$Q$5:$Q$28,0)),"?",IF(MATCH($B289,MASTER_JAM!$Q$5:$Q$28,0)&lt;=12,"DS","NS")))</f>
        <v/>
      </c>
      <c r="I289" s="157">
        <f>IFERROR(INDEX(MASTER_JAM!$B$5:$B$94,MATCH($C289,MASTER_JAM!$A$5:$A$94,0)),"")</f>
        <v/>
      </c>
      <c r="J289" s="157">
        <f>IFERROR(INDEX(MASTER_JAM!$E$5:$E$94,MATCH($D289,MASTER_JAM!$A$5:$A$94,0)),"")</f>
        <v/>
      </c>
      <c r="K289" s="158">
        <f>IFERROR(INDEX(MASTER_JAM!$J$5:$O$12,MATCH($E289,MASTER_JAM!$I$5:$I$12,0),MATCH($J289,MASTER_JAM!$J$4:$O$4,0))+0,0)</f>
        <v/>
      </c>
      <c r="L289" s="159">
        <f>N($F289)*$K289</f>
        <v/>
      </c>
      <c r="M289" s="157">
        <f>IF($E289="","",IF(OR($E289="Coal",$E289="Dirty Coal"),"MT","BCM"))</f>
        <v/>
      </c>
      <c r="N289" s="157">
        <f>IF($E289="","",IF(OR($E289="Coal",$E289="Dirty Coal"),"Coal","OB"))</f>
        <v/>
      </c>
      <c r="O289" s="157">
        <f>IF($F289="","",IF(COUNTIF(MASTER_JAM!$A$5:$A$94,$C289)=0,"Digger tidak dikenal",IF($J289="","Hauler tidak dikenal",IF($H289="?","Jam salah",IF($K289=0,"Faktor kosong",IF(SUMIFS(INPUT_DELAY!$E$5:$E$20000,INPUT_DELAY!$A$5:$A$20000,$A289,INPUT_DELAY!$B$5:$B$20000,$B289,INPUT_DELAY!$C$5:$C$20000,$C289)+SUMIFS(INPUT_DELAY!$E$5:$E$20000,INPUT_DELAY!$A$5:$A$20000,$A289,INPUT_DELAY!$B$5:$B$20000,$B289,INPUT_DELAY!$C$5:$C$20000,"SEMUA")&gt;=60,"Delay 60 mnt tapi ada ritase","OK"))))))</f>
        <v/>
      </c>
      <c r="P289" s="158">
        <f>IFERROR(INDEX(MASTER_JAM!$Z$5:$AC$10,MATCH($I289,MASTER_JAM!$Y$5:$Y$10,0),MATCH($J289,MASTER_JAM!$Z$4:$AC$4,0))+0,0)</f>
        <v/>
      </c>
      <c r="Q289" s="158">
        <f>IF($P289=0,0,$P289+IFERROR(INDEX(MASTER_JAM!$H$5:$H$94,MATCH($C289,MASTER_JAM!$A$5:$A$94,0))+0,MASTER_JAM!$AC$15)/1000*(60/MASTER_JAM!$AC$12+60/MASTER_JAM!$AC$13)+MASTER_JAM!$AC$14)</f>
        <v/>
      </c>
      <c r="R289" s="158">
        <f>IF(N($F289)=0,0,$F289/SUMIFS(INPUT_RITASE!$F$5:$F$20000,INPUT_RITASE!$A$5:$A$20000,$A289,INPUT_RITASE!$B$5:$B$20000,$B289,INPUT_RITASE!$C$5:$C$20000,$C289,INPUT_RITASE!$D$5:$D$20000,$D289))</f>
        <v/>
      </c>
      <c r="S289" s="158">
        <f>IF($Q289=0,0,$R289*$P289/$Q289)</f>
        <v/>
      </c>
    </row>
    <row r="290">
      <c r="A290" s="155" t="n">
        <v>46104</v>
      </c>
      <c r="B290" s="156" t="inlineStr">
        <is>
          <t>05-06</t>
        </is>
      </c>
      <c r="C290" s="156" t="inlineStr">
        <is>
          <t>EX-336</t>
        </is>
      </c>
      <c r="D290" s="156" t="inlineStr">
        <is>
          <t>DT-508</t>
        </is>
      </c>
      <c r="E290" s="156" t="inlineStr">
        <is>
          <t>Coal</t>
        </is>
      </c>
      <c r="F290" s="156" t="n">
        <v>3</v>
      </c>
      <c r="G290" s="156" t="inlineStr"/>
      <c r="H290" s="157">
        <f>IF($B290="","",IF(ISNA(MATCH($B290,MASTER_JAM!$Q$5:$Q$28,0)),"?",IF(MATCH($B290,MASTER_JAM!$Q$5:$Q$28,0)&lt;=12,"DS","NS")))</f>
        <v/>
      </c>
      <c r="I290" s="157">
        <f>IFERROR(INDEX(MASTER_JAM!$B$5:$B$94,MATCH($C290,MASTER_JAM!$A$5:$A$94,0)),"")</f>
        <v/>
      </c>
      <c r="J290" s="157">
        <f>IFERROR(INDEX(MASTER_JAM!$E$5:$E$94,MATCH($D290,MASTER_JAM!$A$5:$A$94,0)),"")</f>
        <v/>
      </c>
      <c r="K290" s="158">
        <f>IFERROR(INDEX(MASTER_JAM!$J$5:$O$12,MATCH($E290,MASTER_JAM!$I$5:$I$12,0),MATCH($J290,MASTER_JAM!$J$4:$O$4,0))+0,0)</f>
        <v/>
      </c>
      <c r="L290" s="159">
        <f>N($F290)*$K290</f>
        <v/>
      </c>
      <c r="M290" s="157">
        <f>IF($E290="","",IF(OR($E290="Coal",$E290="Dirty Coal"),"MT","BCM"))</f>
        <v/>
      </c>
      <c r="N290" s="157">
        <f>IF($E290="","",IF(OR($E290="Coal",$E290="Dirty Coal"),"Coal","OB"))</f>
        <v/>
      </c>
      <c r="O290" s="157">
        <f>IF($F290="","",IF(COUNTIF(MASTER_JAM!$A$5:$A$94,$C290)=0,"Digger tidak dikenal",IF($J290="","Hauler tidak dikenal",IF($H290="?","Jam salah",IF($K290=0,"Faktor kosong",IF(SUMIFS(INPUT_DELAY!$E$5:$E$20000,INPUT_DELAY!$A$5:$A$20000,$A290,INPUT_DELAY!$B$5:$B$20000,$B290,INPUT_DELAY!$C$5:$C$20000,$C290)+SUMIFS(INPUT_DELAY!$E$5:$E$20000,INPUT_DELAY!$A$5:$A$20000,$A290,INPUT_DELAY!$B$5:$B$20000,$B290,INPUT_DELAY!$C$5:$C$20000,"SEMUA")&gt;=60,"Delay 60 mnt tapi ada ritase","OK"))))))</f>
        <v/>
      </c>
      <c r="P290" s="158">
        <f>IFERROR(INDEX(MASTER_JAM!$Z$5:$AC$10,MATCH($I290,MASTER_JAM!$Y$5:$Y$10,0),MATCH($J290,MASTER_JAM!$Z$4:$AC$4,0))+0,0)</f>
        <v/>
      </c>
      <c r="Q290" s="158">
        <f>IF($P290=0,0,$P290+IFERROR(INDEX(MASTER_JAM!$H$5:$H$94,MATCH($C290,MASTER_JAM!$A$5:$A$94,0))+0,MASTER_JAM!$AC$15)/1000*(60/MASTER_JAM!$AC$12+60/MASTER_JAM!$AC$13)+MASTER_JAM!$AC$14)</f>
        <v/>
      </c>
      <c r="R290" s="158">
        <f>IF(N($F290)=0,0,$F290/SUMIFS(INPUT_RITASE!$F$5:$F$20000,INPUT_RITASE!$A$5:$A$20000,$A290,INPUT_RITASE!$B$5:$B$20000,$B290,INPUT_RITASE!$C$5:$C$20000,$C290,INPUT_RITASE!$D$5:$D$20000,$D290))</f>
        <v/>
      </c>
      <c r="S290" s="158">
        <f>IF($Q290=0,0,$R290*$P290/$Q290)</f>
        <v/>
      </c>
    </row>
    <row r="291">
      <c r="A291" s="155" t="n">
        <v>46105</v>
      </c>
      <c r="B291" s="156" t="inlineStr">
        <is>
          <t>06-07</t>
        </is>
      </c>
      <c r="C291" s="156" t="inlineStr">
        <is>
          <t>EX-2101</t>
        </is>
      </c>
      <c r="D291" s="156" t="inlineStr">
        <is>
          <t>HD-903</t>
        </is>
      </c>
      <c r="E291" s="156" t="inlineStr">
        <is>
          <t>OB</t>
        </is>
      </c>
      <c r="F291" s="156" t="n">
        <v>5</v>
      </c>
      <c r="G291" s="156" t="inlineStr"/>
      <c r="H291" s="157">
        <f>IF($B291="","",IF(ISNA(MATCH($B291,MASTER_JAM!$Q$5:$Q$28,0)),"?",IF(MATCH($B291,MASTER_JAM!$Q$5:$Q$28,0)&lt;=12,"DS","NS")))</f>
        <v/>
      </c>
      <c r="I291" s="157">
        <f>IFERROR(INDEX(MASTER_JAM!$B$5:$B$94,MATCH($C291,MASTER_JAM!$A$5:$A$94,0)),"")</f>
        <v/>
      </c>
      <c r="J291" s="157">
        <f>IFERROR(INDEX(MASTER_JAM!$E$5:$E$94,MATCH($D291,MASTER_JAM!$A$5:$A$94,0)),"")</f>
        <v/>
      </c>
      <c r="K291" s="158">
        <f>IFERROR(INDEX(MASTER_JAM!$J$5:$O$12,MATCH($E291,MASTER_JAM!$I$5:$I$12,0),MATCH($J291,MASTER_JAM!$J$4:$O$4,0))+0,0)</f>
        <v/>
      </c>
      <c r="L291" s="159">
        <f>N($F291)*$K291</f>
        <v/>
      </c>
      <c r="M291" s="157">
        <f>IF($E291="","",IF(OR($E291="Coal",$E291="Dirty Coal"),"MT","BCM"))</f>
        <v/>
      </c>
      <c r="N291" s="157">
        <f>IF($E291="","",IF(OR($E291="Coal",$E291="Dirty Coal"),"Coal","OB"))</f>
        <v/>
      </c>
      <c r="O291" s="157">
        <f>IF($F291="","",IF(COUNTIF(MASTER_JAM!$A$5:$A$94,$C291)=0,"Digger tidak dikenal",IF($J291="","Hauler tidak dikenal",IF($H291="?","Jam salah",IF($K291=0,"Faktor kosong",IF(SUMIFS(INPUT_DELAY!$E$5:$E$20000,INPUT_DELAY!$A$5:$A$20000,$A291,INPUT_DELAY!$B$5:$B$20000,$B291,INPUT_DELAY!$C$5:$C$20000,$C291)+SUMIFS(INPUT_DELAY!$E$5:$E$20000,INPUT_DELAY!$A$5:$A$20000,$A291,INPUT_DELAY!$B$5:$B$20000,$B291,INPUT_DELAY!$C$5:$C$20000,"SEMUA")&gt;=60,"Delay 60 mnt tapi ada ritase","OK"))))))</f>
        <v/>
      </c>
      <c r="P291" s="158">
        <f>IFERROR(INDEX(MASTER_JAM!$Z$5:$AC$10,MATCH($I291,MASTER_JAM!$Y$5:$Y$10,0),MATCH($J291,MASTER_JAM!$Z$4:$AC$4,0))+0,0)</f>
        <v/>
      </c>
      <c r="Q291" s="158">
        <f>IF($P291=0,0,$P291+IFERROR(INDEX(MASTER_JAM!$H$5:$H$94,MATCH($C291,MASTER_JAM!$A$5:$A$94,0))+0,MASTER_JAM!$AC$15)/1000*(60/MASTER_JAM!$AC$12+60/MASTER_JAM!$AC$13)+MASTER_JAM!$AC$14)</f>
        <v/>
      </c>
      <c r="R291" s="158">
        <f>IF(N($F291)=0,0,$F291/SUMIFS(INPUT_RITASE!$F$5:$F$20000,INPUT_RITASE!$A$5:$A$20000,$A291,INPUT_RITASE!$B$5:$B$20000,$B291,INPUT_RITASE!$C$5:$C$20000,$C291,INPUT_RITASE!$D$5:$D$20000,$D291))</f>
        <v/>
      </c>
      <c r="S291" s="158">
        <f>IF($Q291=0,0,$R291*$P291/$Q291)</f>
        <v/>
      </c>
    </row>
    <row r="292">
      <c r="A292" s="155" t="n">
        <v>46105</v>
      </c>
      <c r="B292" s="156" t="inlineStr">
        <is>
          <t>06-07</t>
        </is>
      </c>
      <c r="C292" s="156" t="inlineStr">
        <is>
          <t>EX-2101</t>
        </is>
      </c>
      <c r="D292" s="156" t="inlineStr">
        <is>
          <t>HD-902</t>
        </is>
      </c>
      <c r="E292" s="156" t="inlineStr">
        <is>
          <t>OB</t>
        </is>
      </c>
      <c r="F292" s="156" t="n">
        <v>5</v>
      </c>
      <c r="G292" s="156" t="inlineStr"/>
      <c r="H292" s="157">
        <f>IF($B292="","",IF(ISNA(MATCH($B292,MASTER_JAM!$Q$5:$Q$28,0)),"?",IF(MATCH($B292,MASTER_JAM!$Q$5:$Q$28,0)&lt;=12,"DS","NS")))</f>
        <v/>
      </c>
      <c r="I292" s="157">
        <f>IFERROR(INDEX(MASTER_JAM!$B$5:$B$94,MATCH($C292,MASTER_JAM!$A$5:$A$94,0)),"")</f>
        <v/>
      </c>
      <c r="J292" s="157">
        <f>IFERROR(INDEX(MASTER_JAM!$E$5:$E$94,MATCH($D292,MASTER_JAM!$A$5:$A$94,0)),"")</f>
        <v/>
      </c>
      <c r="K292" s="158">
        <f>IFERROR(INDEX(MASTER_JAM!$J$5:$O$12,MATCH($E292,MASTER_JAM!$I$5:$I$12,0),MATCH($J292,MASTER_JAM!$J$4:$O$4,0))+0,0)</f>
        <v/>
      </c>
      <c r="L292" s="159">
        <f>N($F292)*$K292</f>
        <v/>
      </c>
      <c r="M292" s="157">
        <f>IF($E292="","",IF(OR($E292="Coal",$E292="Dirty Coal"),"MT","BCM"))</f>
        <v/>
      </c>
      <c r="N292" s="157">
        <f>IF($E292="","",IF(OR($E292="Coal",$E292="Dirty Coal"),"Coal","OB"))</f>
        <v/>
      </c>
      <c r="O292" s="157">
        <f>IF($F292="","",IF(COUNTIF(MASTER_JAM!$A$5:$A$94,$C292)=0,"Digger tidak dikenal",IF($J292="","Hauler tidak dikenal",IF($H292="?","Jam salah",IF($K292=0,"Faktor kosong",IF(SUMIFS(INPUT_DELAY!$E$5:$E$20000,INPUT_DELAY!$A$5:$A$20000,$A292,INPUT_DELAY!$B$5:$B$20000,$B292,INPUT_DELAY!$C$5:$C$20000,$C292)+SUMIFS(INPUT_DELAY!$E$5:$E$20000,INPUT_DELAY!$A$5:$A$20000,$A292,INPUT_DELAY!$B$5:$B$20000,$B292,INPUT_DELAY!$C$5:$C$20000,"SEMUA")&gt;=60,"Delay 60 mnt tapi ada ritase","OK"))))))</f>
        <v/>
      </c>
      <c r="P292" s="158">
        <f>IFERROR(INDEX(MASTER_JAM!$Z$5:$AC$10,MATCH($I292,MASTER_JAM!$Y$5:$Y$10,0),MATCH($J292,MASTER_JAM!$Z$4:$AC$4,0))+0,0)</f>
        <v/>
      </c>
      <c r="Q292" s="158">
        <f>IF($P292=0,0,$P292+IFERROR(INDEX(MASTER_JAM!$H$5:$H$94,MATCH($C292,MASTER_JAM!$A$5:$A$94,0))+0,MASTER_JAM!$AC$15)/1000*(60/MASTER_JAM!$AC$12+60/MASTER_JAM!$AC$13)+MASTER_JAM!$AC$14)</f>
        <v/>
      </c>
      <c r="R292" s="158">
        <f>IF(N($F292)=0,0,$F292/SUMIFS(INPUT_RITASE!$F$5:$F$20000,INPUT_RITASE!$A$5:$A$20000,$A292,INPUT_RITASE!$B$5:$B$20000,$B292,INPUT_RITASE!$C$5:$C$20000,$C292,INPUT_RITASE!$D$5:$D$20000,$D292))</f>
        <v/>
      </c>
      <c r="S292" s="158">
        <f>IF($Q292=0,0,$R292*$P292/$Q292)</f>
        <v/>
      </c>
    </row>
    <row r="293">
      <c r="A293" s="155" t="n">
        <v>46105</v>
      </c>
      <c r="B293" s="156" t="inlineStr">
        <is>
          <t>06-07</t>
        </is>
      </c>
      <c r="C293" s="156" t="inlineStr">
        <is>
          <t>EX-2101</t>
        </is>
      </c>
      <c r="D293" s="156" t="inlineStr">
        <is>
          <t>HD-905</t>
        </is>
      </c>
      <c r="E293" s="156" t="inlineStr">
        <is>
          <t>OB</t>
        </is>
      </c>
      <c r="F293" s="156" t="n">
        <v>4</v>
      </c>
      <c r="G293" s="156" t="inlineStr"/>
      <c r="H293" s="157">
        <f>IF($B293="","",IF(ISNA(MATCH($B293,MASTER_JAM!$Q$5:$Q$28,0)),"?",IF(MATCH($B293,MASTER_JAM!$Q$5:$Q$28,0)&lt;=12,"DS","NS")))</f>
        <v/>
      </c>
      <c r="I293" s="157">
        <f>IFERROR(INDEX(MASTER_JAM!$B$5:$B$94,MATCH($C293,MASTER_JAM!$A$5:$A$94,0)),"")</f>
        <v/>
      </c>
      <c r="J293" s="157">
        <f>IFERROR(INDEX(MASTER_JAM!$E$5:$E$94,MATCH($D293,MASTER_JAM!$A$5:$A$94,0)),"")</f>
        <v/>
      </c>
      <c r="K293" s="158">
        <f>IFERROR(INDEX(MASTER_JAM!$J$5:$O$12,MATCH($E293,MASTER_JAM!$I$5:$I$12,0),MATCH($J293,MASTER_JAM!$J$4:$O$4,0))+0,0)</f>
        <v/>
      </c>
      <c r="L293" s="159">
        <f>N($F293)*$K293</f>
        <v/>
      </c>
      <c r="M293" s="157">
        <f>IF($E293="","",IF(OR($E293="Coal",$E293="Dirty Coal"),"MT","BCM"))</f>
        <v/>
      </c>
      <c r="N293" s="157">
        <f>IF($E293="","",IF(OR($E293="Coal",$E293="Dirty Coal"),"Coal","OB"))</f>
        <v/>
      </c>
      <c r="O293" s="157">
        <f>IF($F293="","",IF(COUNTIF(MASTER_JAM!$A$5:$A$94,$C293)=0,"Digger tidak dikenal",IF($J293="","Hauler tidak dikenal",IF($H293="?","Jam salah",IF($K293=0,"Faktor kosong",IF(SUMIFS(INPUT_DELAY!$E$5:$E$20000,INPUT_DELAY!$A$5:$A$20000,$A293,INPUT_DELAY!$B$5:$B$20000,$B293,INPUT_DELAY!$C$5:$C$20000,$C293)+SUMIFS(INPUT_DELAY!$E$5:$E$20000,INPUT_DELAY!$A$5:$A$20000,$A293,INPUT_DELAY!$B$5:$B$20000,$B293,INPUT_DELAY!$C$5:$C$20000,"SEMUA")&gt;=60,"Delay 60 mnt tapi ada ritase","OK"))))))</f>
        <v/>
      </c>
      <c r="P293" s="158">
        <f>IFERROR(INDEX(MASTER_JAM!$Z$5:$AC$10,MATCH($I293,MASTER_JAM!$Y$5:$Y$10,0),MATCH($J293,MASTER_JAM!$Z$4:$AC$4,0))+0,0)</f>
        <v/>
      </c>
      <c r="Q293" s="158">
        <f>IF($P293=0,0,$P293+IFERROR(INDEX(MASTER_JAM!$H$5:$H$94,MATCH($C293,MASTER_JAM!$A$5:$A$94,0))+0,MASTER_JAM!$AC$15)/1000*(60/MASTER_JAM!$AC$12+60/MASTER_JAM!$AC$13)+MASTER_JAM!$AC$14)</f>
        <v/>
      </c>
      <c r="R293" s="158">
        <f>IF(N($F293)=0,0,$F293/SUMIFS(INPUT_RITASE!$F$5:$F$20000,INPUT_RITASE!$A$5:$A$20000,$A293,INPUT_RITASE!$B$5:$B$20000,$B293,INPUT_RITASE!$C$5:$C$20000,$C293,INPUT_RITASE!$D$5:$D$20000,$D293))</f>
        <v/>
      </c>
      <c r="S293" s="158">
        <f>IF($Q293=0,0,$R293*$P293/$Q293)</f>
        <v/>
      </c>
    </row>
    <row r="294">
      <c r="A294" s="155" t="n">
        <v>46105</v>
      </c>
      <c r="B294" s="156" t="inlineStr">
        <is>
          <t>06-07</t>
        </is>
      </c>
      <c r="C294" s="156" t="inlineStr">
        <is>
          <t>EX-2101</t>
        </is>
      </c>
      <c r="D294" s="156" t="inlineStr">
        <is>
          <t>HD-901</t>
        </is>
      </c>
      <c r="E294" s="156" t="inlineStr">
        <is>
          <t>OB</t>
        </is>
      </c>
      <c r="F294" s="156" t="n">
        <v>4</v>
      </c>
      <c r="G294" s="156" t="inlineStr"/>
      <c r="H294" s="157">
        <f>IF($B294="","",IF(ISNA(MATCH($B294,MASTER_JAM!$Q$5:$Q$28,0)),"?",IF(MATCH($B294,MASTER_JAM!$Q$5:$Q$28,0)&lt;=12,"DS","NS")))</f>
        <v/>
      </c>
      <c r="I294" s="157">
        <f>IFERROR(INDEX(MASTER_JAM!$B$5:$B$94,MATCH($C294,MASTER_JAM!$A$5:$A$94,0)),"")</f>
        <v/>
      </c>
      <c r="J294" s="157">
        <f>IFERROR(INDEX(MASTER_JAM!$E$5:$E$94,MATCH($D294,MASTER_JAM!$A$5:$A$94,0)),"")</f>
        <v/>
      </c>
      <c r="K294" s="158">
        <f>IFERROR(INDEX(MASTER_JAM!$J$5:$O$12,MATCH($E294,MASTER_JAM!$I$5:$I$12,0),MATCH($J294,MASTER_JAM!$J$4:$O$4,0))+0,0)</f>
        <v/>
      </c>
      <c r="L294" s="159">
        <f>N($F294)*$K294</f>
        <v/>
      </c>
      <c r="M294" s="157">
        <f>IF($E294="","",IF(OR($E294="Coal",$E294="Dirty Coal"),"MT","BCM"))</f>
        <v/>
      </c>
      <c r="N294" s="157">
        <f>IF($E294="","",IF(OR($E294="Coal",$E294="Dirty Coal"),"Coal","OB"))</f>
        <v/>
      </c>
      <c r="O294" s="157">
        <f>IF($F294="","",IF(COUNTIF(MASTER_JAM!$A$5:$A$94,$C294)=0,"Digger tidak dikenal",IF($J294="","Hauler tidak dikenal",IF($H294="?","Jam salah",IF($K294=0,"Faktor kosong",IF(SUMIFS(INPUT_DELAY!$E$5:$E$20000,INPUT_DELAY!$A$5:$A$20000,$A294,INPUT_DELAY!$B$5:$B$20000,$B294,INPUT_DELAY!$C$5:$C$20000,$C294)+SUMIFS(INPUT_DELAY!$E$5:$E$20000,INPUT_DELAY!$A$5:$A$20000,$A294,INPUT_DELAY!$B$5:$B$20000,$B294,INPUT_DELAY!$C$5:$C$20000,"SEMUA")&gt;=60,"Delay 60 mnt tapi ada ritase","OK"))))))</f>
        <v/>
      </c>
      <c r="P294" s="158">
        <f>IFERROR(INDEX(MASTER_JAM!$Z$5:$AC$10,MATCH($I294,MASTER_JAM!$Y$5:$Y$10,0),MATCH($J294,MASTER_JAM!$Z$4:$AC$4,0))+0,0)</f>
        <v/>
      </c>
      <c r="Q294" s="158">
        <f>IF($P294=0,0,$P294+IFERROR(INDEX(MASTER_JAM!$H$5:$H$94,MATCH($C294,MASTER_JAM!$A$5:$A$94,0))+0,MASTER_JAM!$AC$15)/1000*(60/MASTER_JAM!$AC$12+60/MASTER_JAM!$AC$13)+MASTER_JAM!$AC$14)</f>
        <v/>
      </c>
      <c r="R294" s="158">
        <f>IF(N($F294)=0,0,$F294/SUMIFS(INPUT_RITASE!$F$5:$F$20000,INPUT_RITASE!$A$5:$A$20000,$A294,INPUT_RITASE!$B$5:$B$20000,$B294,INPUT_RITASE!$C$5:$C$20000,$C294,INPUT_RITASE!$D$5:$D$20000,$D294))</f>
        <v/>
      </c>
      <c r="S294" s="158">
        <f>IF($Q294=0,0,$R294*$P294/$Q294)</f>
        <v/>
      </c>
    </row>
    <row r="295">
      <c r="A295" s="155" t="n">
        <v>46105</v>
      </c>
      <c r="B295" s="156" t="inlineStr">
        <is>
          <t>06-07</t>
        </is>
      </c>
      <c r="C295" s="156" t="inlineStr">
        <is>
          <t>EX-2101</t>
        </is>
      </c>
      <c r="D295" s="156" t="inlineStr">
        <is>
          <t>DT-810</t>
        </is>
      </c>
      <c r="E295" s="156" t="inlineStr">
        <is>
          <t>OB</t>
        </is>
      </c>
      <c r="F295" s="156" t="n">
        <v>4</v>
      </c>
      <c r="G295" s="156" t="inlineStr"/>
      <c r="H295" s="157">
        <f>IF($B295="","",IF(ISNA(MATCH($B295,MASTER_JAM!$Q$5:$Q$28,0)),"?",IF(MATCH($B295,MASTER_JAM!$Q$5:$Q$28,0)&lt;=12,"DS","NS")))</f>
        <v/>
      </c>
      <c r="I295" s="157">
        <f>IFERROR(INDEX(MASTER_JAM!$B$5:$B$94,MATCH($C295,MASTER_JAM!$A$5:$A$94,0)),"")</f>
        <v/>
      </c>
      <c r="J295" s="157">
        <f>IFERROR(INDEX(MASTER_JAM!$E$5:$E$94,MATCH($D295,MASTER_JAM!$A$5:$A$94,0)),"")</f>
        <v/>
      </c>
      <c r="K295" s="158">
        <f>IFERROR(INDEX(MASTER_JAM!$J$5:$O$12,MATCH($E295,MASTER_JAM!$I$5:$I$12,0),MATCH($J295,MASTER_JAM!$J$4:$O$4,0))+0,0)</f>
        <v/>
      </c>
      <c r="L295" s="159">
        <f>N($F295)*$K295</f>
        <v/>
      </c>
      <c r="M295" s="157">
        <f>IF($E295="","",IF(OR($E295="Coal",$E295="Dirty Coal"),"MT","BCM"))</f>
        <v/>
      </c>
      <c r="N295" s="157">
        <f>IF($E295="","",IF(OR($E295="Coal",$E295="Dirty Coal"),"Coal","OB"))</f>
        <v/>
      </c>
      <c r="O295" s="157">
        <f>IF($F295="","",IF(COUNTIF(MASTER_JAM!$A$5:$A$94,$C295)=0,"Digger tidak dikenal",IF($J295="","Hauler tidak dikenal",IF($H295="?","Jam salah",IF($K295=0,"Faktor kosong",IF(SUMIFS(INPUT_DELAY!$E$5:$E$20000,INPUT_DELAY!$A$5:$A$20000,$A295,INPUT_DELAY!$B$5:$B$20000,$B295,INPUT_DELAY!$C$5:$C$20000,$C295)+SUMIFS(INPUT_DELAY!$E$5:$E$20000,INPUT_DELAY!$A$5:$A$20000,$A295,INPUT_DELAY!$B$5:$B$20000,$B295,INPUT_DELAY!$C$5:$C$20000,"SEMUA")&gt;=60,"Delay 60 mnt tapi ada ritase","OK"))))))</f>
        <v/>
      </c>
      <c r="P295" s="158">
        <f>IFERROR(INDEX(MASTER_JAM!$Z$5:$AC$10,MATCH($I295,MASTER_JAM!$Y$5:$Y$10,0),MATCH($J295,MASTER_JAM!$Z$4:$AC$4,0))+0,0)</f>
        <v/>
      </c>
      <c r="Q295" s="158">
        <f>IF($P295=0,0,$P295+IFERROR(INDEX(MASTER_JAM!$H$5:$H$94,MATCH($C295,MASTER_JAM!$A$5:$A$94,0))+0,MASTER_JAM!$AC$15)/1000*(60/MASTER_JAM!$AC$12+60/MASTER_JAM!$AC$13)+MASTER_JAM!$AC$14)</f>
        <v/>
      </c>
      <c r="R295" s="158">
        <f>IF(N($F295)=0,0,$F295/SUMIFS(INPUT_RITASE!$F$5:$F$20000,INPUT_RITASE!$A$5:$A$20000,$A295,INPUT_RITASE!$B$5:$B$20000,$B295,INPUT_RITASE!$C$5:$C$20000,$C295,INPUT_RITASE!$D$5:$D$20000,$D295))</f>
        <v/>
      </c>
      <c r="S295" s="158">
        <f>IF($Q295=0,0,$R295*$P295/$Q295)</f>
        <v/>
      </c>
    </row>
    <row r="296">
      <c r="A296" s="155" t="n">
        <v>46105</v>
      </c>
      <c r="B296" s="156" t="inlineStr">
        <is>
          <t>07-08</t>
        </is>
      </c>
      <c r="C296" s="156" t="inlineStr">
        <is>
          <t>EX-2101</t>
        </is>
      </c>
      <c r="D296" s="156" t="inlineStr">
        <is>
          <t>HD-902</t>
        </is>
      </c>
      <c r="E296" s="156" t="inlineStr">
        <is>
          <t>OB</t>
        </is>
      </c>
      <c r="F296" s="156" t="n">
        <v>4</v>
      </c>
      <c r="G296" s="156" t="inlineStr"/>
      <c r="H296" s="157">
        <f>IF($B296="","",IF(ISNA(MATCH($B296,MASTER_JAM!$Q$5:$Q$28,0)),"?",IF(MATCH($B296,MASTER_JAM!$Q$5:$Q$28,0)&lt;=12,"DS","NS")))</f>
        <v/>
      </c>
      <c r="I296" s="157">
        <f>IFERROR(INDEX(MASTER_JAM!$B$5:$B$94,MATCH($C296,MASTER_JAM!$A$5:$A$94,0)),"")</f>
        <v/>
      </c>
      <c r="J296" s="157">
        <f>IFERROR(INDEX(MASTER_JAM!$E$5:$E$94,MATCH($D296,MASTER_JAM!$A$5:$A$94,0)),"")</f>
        <v/>
      </c>
      <c r="K296" s="158">
        <f>IFERROR(INDEX(MASTER_JAM!$J$5:$O$12,MATCH($E296,MASTER_JAM!$I$5:$I$12,0),MATCH($J296,MASTER_JAM!$J$4:$O$4,0))+0,0)</f>
        <v/>
      </c>
      <c r="L296" s="159">
        <f>N($F296)*$K296</f>
        <v/>
      </c>
      <c r="M296" s="157">
        <f>IF($E296="","",IF(OR($E296="Coal",$E296="Dirty Coal"),"MT","BCM"))</f>
        <v/>
      </c>
      <c r="N296" s="157">
        <f>IF($E296="","",IF(OR($E296="Coal",$E296="Dirty Coal"),"Coal","OB"))</f>
        <v/>
      </c>
      <c r="O296" s="157">
        <f>IF($F296="","",IF(COUNTIF(MASTER_JAM!$A$5:$A$94,$C296)=0,"Digger tidak dikenal",IF($J296="","Hauler tidak dikenal",IF($H296="?","Jam salah",IF($K296=0,"Faktor kosong",IF(SUMIFS(INPUT_DELAY!$E$5:$E$20000,INPUT_DELAY!$A$5:$A$20000,$A296,INPUT_DELAY!$B$5:$B$20000,$B296,INPUT_DELAY!$C$5:$C$20000,$C296)+SUMIFS(INPUT_DELAY!$E$5:$E$20000,INPUT_DELAY!$A$5:$A$20000,$A296,INPUT_DELAY!$B$5:$B$20000,$B296,INPUT_DELAY!$C$5:$C$20000,"SEMUA")&gt;=60,"Delay 60 mnt tapi ada ritase","OK"))))))</f>
        <v/>
      </c>
      <c r="P296" s="158">
        <f>IFERROR(INDEX(MASTER_JAM!$Z$5:$AC$10,MATCH($I296,MASTER_JAM!$Y$5:$Y$10,0),MATCH($J296,MASTER_JAM!$Z$4:$AC$4,0))+0,0)</f>
        <v/>
      </c>
      <c r="Q296" s="158">
        <f>IF($P296=0,0,$P296+IFERROR(INDEX(MASTER_JAM!$H$5:$H$94,MATCH($C296,MASTER_JAM!$A$5:$A$94,0))+0,MASTER_JAM!$AC$15)/1000*(60/MASTER_JAM!$AC$12+60/MASTER_JAM!$AC$13)+MASTER_JAM!$AC$14)</f>
        <v/>
      </c>
      <c r="R296" s="158">
        <f>IF(N($F296)=0,0,$F296/SUMIFS(INPUT_RITASE!$F$5:$F$20000,INPUT_RITASE!$A$5:$A$20000,$A296,INPUT_RITASE!$B$5:$B$20000,$B296,INPUT_RITASE!$C$5:$C$20000,$C296,INPUT_RITASE!$D$5:$D$20000,$D296))</f>
        <v/>
      </c>
      <c r="S296" s="158">
        <f>IF($Q296=0,0,$R296*$P296/$Q296)</f>
        <v/>
      </c>
    </row>
    <row r="297">
      <c r="A297" s="155" t="n">
        <v>46105</v>
      </c>
      <c r="B297" s="156" t="inlineStr">
        <is>
          <t>07-08</t>
        </is>
      </c>
      <c r="C297" s="156" t="inlineStr">
        <is>
          <t>EX-2101</t>
        </is>
      </c>
      <c r="D297" s="156" t="inlineStr">
        <is>
          <t>HD-901</t>
        </is>
      </c>
      <c r="E297" s="156" t="inlineStr">
        <is>
          <t>OB</t>
        </is>
      </c>
      <c r="F297" s="156" t="n">
        <v>4</v>
      </c>
      <c r="G297" s="156" t="inlineStr"/>
      <c r="H297" s="157">
        <f>IF($B297="","",IF(ISNA(MATCH($B297,MASTER_JAM!$Q$5:$Q$28,0)),"?",IF(MATCH($B297,MASTER_JAM!$Q$5:$Q$28,0)&lt;=12,"DS","NS")))</f>
        <v/>
      </c>
      <c r="I297" s="157">
        <f>IFERROR(INDEX(MASTER_JAM!$B$5:$B$94,MATCH($C297,MASTER_JAM!$A$5:$A$94,0)),"")</f>
        <v/>
      </c>
      <c r="J297" s="157">
        <f>IFERROR(INDEX(MASTER_JAM!$E$5:$E$94,MATCH($D297,MASTER_JAM!$A$5:$A$94,0)),"")</f>
        <v/>
      </c>
      <c r="K297" s="158">
        <f>IFERROR(INDEX(MASTER_JAM!$J$5:$O$12,MATCH($E297,MASTER_JAM!$I$5:$I$12,0),MATCH($J297,MASTER_JAM!$J$4:$O$4,0))+0,0)</f>
        <v/>
      </c>
      <c r="L297" s="159">
        <f>N($F297)*$K297</f>
        <v/>
      </c>
      <c r="M297" s="157">
        <f>IF($E297="","",IF(OR($E297="Coal",$E297="Dirty Coal"),"MT","BCM"))</f>
        <v/>
      </c>
      <c r="N297" s="157">
        <f>IF($E297="","",IF(OR($E297="Coal",$E297="Dirty Coal"),"Coal","OB"))</f>
        <v/>
      </c>
      <c r="O297" s="157">
        <f>IF($F297="","",IF(COUNTIF(MASTER_JAM!$A$5:$A$94,$C297)=0,"Digger tidak dikenal",IF($J297="","Hauler tidak dikenal",IF($H297="?","Jam salah",IF($K297=0,"Faktor kosong",IF(SUMIFS(INPUT_DELAY!$E$5:$E$20000,INPUT_DELAY!$A$5:$A$20000,$A297,INPUT_DELAY!$B$5:$B$20000,$B297,INPUT_DELAY!$C$5:$C$20000,$C297)+SUMIFS(INPUT_DELAY!$E$5:$E$20000,INPUT_DELAY!$A$5:$A$20000,$A297,INPUT_DELAY!$B$5:$B$20000,$B297,INPUT_DELAY!$C$5:$C$20000,"SEMUA")&gt;=60,"Delay 60 mnt tapi ada ritase","OK"))))))</f>
        <v/>
      </c>
      <c r="P297" s="158">
        <f>IFERROR(INDEX(MASTER_JAM!$Z$5:$AC$10,MATCH($I297,MASTER_JAM!$Y$5:$Y$10,0),MATCH($J297,MASTER_JAM!$Z$4:$AC$4,0))+0,0)</f>
        <v/>
      </c>
      <c r="Q297" s="158">
        <f>IF($P297=0,0,$P297+IFERROR(INDEX(MASTER_JAM!$H$5:$H$94,MATCH($C297,MASTER_JAM!$A$5:$A$94,0))+0,MASTER_JAM!$AC$15)/1000*(60/MASTER_JAM!$AC$12+60/MASTER_JAM!$AC$13)+MASTER_JAM!$AC$14)</f>
        <v/>
      </c>
      <c r="R297" s="158">
        <f>IF(N($F297)=0,0,$F297/SUMIFS(INPUT_RITASE!$F$5:$F$20000,INPUT_RITASE!$A$5:$A$20000,$A297,INPUT_RITASE!$B$5:$B$20000,$B297,INPUT_RITASE!$C$5:$C$20000,$C297,INPUT_RITASE!$D$5:$D$20000,$D297))</f>
        <v/>
      </c>
      <c r="S297" s="158">
        <f>IF($Q297=0,0,$R297*$P297/$Q297)</f>
        <v/>
      </c>
    </row>
    <row r="298">
      <c r="A298" s="155" t="n">
        <v>46105</v>
      </c>
      <c r="B298" s="156" t="inlineStr">
        <is>
          <t>07-08</t>
        </is>
      </c>
      <c r="C298" s="156" t="inlineStr">
        <is>
          <t>EX-2101</t>
        </is>
      </c>
      <c r="D298" s="156" t="inlineStr">
        <is>
          <t>HD-903</t>
        </is>
      </c>
      <c r="E298" s="156" t="inlineStr">
        <is>
          <t>OB</t>
        </is>
      </c>
      <c r="F298" s="156" t="n">
        <v>4</v>
      </c>
      <c r="G298" s="156" t="inlineStr"/>
      <c r="H298" s="157">
        <f>IF($B298="","",IF(ISNA(MATCH($B298,MASTER_JAM!$Q$5:$Q$28,0)),"?",IF(MATCH($B298,MASTER_JAM!$Q$5:$Q$28,0)&lt;=12,"DS","NS")))</f>
        <v/>
      </c>
      <c r="I298" s="157">
        <f>IFERROR(INDEX(MASTER_JAM!$B$5:$B$94,MATCH($C298,MASTER_JAM!$A$5:$A$94,0)),"")</f>
        <v/>
      </c>
      <c r="J298" s="157">
        <f>IFERROR(INDEX(MASTER_JAM!$E$5:$E$94,MATCH($D298,MASTER_JAM!$A$5:$A$94,0)),"")</f>
        <v/>
      </c>
      <c r="K298" s="158">
        <f>IFERROR(INDEX(MASTER_JAM!$J$5:$O$12,MATCH($E298,MASTER_JAM!$I$5:$I$12,0),MATCH($J298,MASTER_JAM!$J$4:$O$4,0))+0,0)</f>
        <v/>
      </c>
      <c r="L298" s="159">
        <f>N($F298)*$K298</f>
        <v/>
      </c>
      <c r="M298" s="157">
        <f>IF($E298="","",IF(OR($E298="Coal",$E298="Dirty Coal"),"MT","BCM"))</f>
        <v/>
      </c>
      <c r="N298" s="157">
        <f>IF($E298="","",IF(OR($E298="Coal",$E298="Dirty Coal"),"Coal","OB"))</f>
        <v/>
      </c>
      <c r="O298" s="157">
        <f>IF($F298="","",IF(COUNTIF(MASTER_JAM!$A$5:$A$94,$C298)=0,"Digger tidak dikenal",IF($J298="","Hauler tidak dikenal",IF($H298="?","Jam salah",IF($K298=0,"Faktor kosong",IF(SUMIFS(INPUT_DELAY!$E$5:$E$20000,INPUT_DELAY!$A$5:$A$20000,$A298,INPUT_DELAY!$B$5:$B$20000,$B298,INPUT_DELAY!$C$5:$C$20000,$C298)+SUMIFS(INPUT_DELAY!$E$5:$E$20000,INPUT_DELAY!$A$5:$A$20000,$A298,INPUT_DELAY!$B$5:$B$20000,$B298,INPUT_DELAY!$C$5:$C$20000,"SEMUA")&gt;=60,"Delay 60 mnt tapi ada ritase","OK"))))))</f>
        <v/>
      </c>
      <c r="P298" s="158">
        <f>IFERROR(INDEX(MASTER_JAM!$Z$5:$AC$10,MATCH($I298,MASTER_JAM!$Y$5:$Y$10,0),MATCH($J298,MASTER_JAM!$Z$4:$AC$4,0))+0,0)</f>
        <v/>
      </c>
      <c r="Q298" s="158">
        <f>IF($P298=0,0,$P298+IFERROR(INDEX(MASTER_JAM!$H$5:$H$94,MATCH($C298,MASTER_JAM!$A$5:$A$94,0))+0,MASTER_JAM!$AC$15)/1000*(60/MASTER_JAM!$AC$12+60/MASTER_JAM!$AC$13)+MASTER_JAM!$AC$14)</f>
        <v/>
      </c>
      <c r="R298" s="158">
        <f>IF(N($F298)=0,0,$F298/SUMIFS(INPUT_RITASE!$F$5:$F$20000,INPUT_RITASE!$A$5:$A$20000,$A298,INPUT_RITASE!$B$5:$B$20000,$B298,INPUT_RITASE!$C$5:$C$20000,$C298,INPUT_RITASE!$D$5:$D$20000,$D298))</f>
        <v/>
      </c>
      <c r="S298" s="158">
        <f>IF($Q298=0,0,$R298*$P298/$Q298)</f>
        <v/>
      </c>
    </row>
    <row r="299">
      <c r="A299" s="155" t="n">
        <v>46105</v>
      </c>
      <c r="B299" s="156" t="inlineStr">
        <is>
          <t>07-08</t>
        </is>
      </c>
      <c r="C299" s="156" t="inlineStr">
        <is>
          <t>EX-2101</t>
        </is>
      </c>
      <c r="D299" s="156" t="inlineStr">
        <is>
          <t>HD-905</t>
        </is>
      </c>
      <c r="E299" s="156" t="inlineStr">
        <is>
          <t>OB</t>
        </is>
      </c>
      <c r="F299" s="156" t="n">
        <v>3</v>
      </c>
      <c r="G299" s="156" t="inlineStr"/>
      <c r="H299" s="157">
        <f>IF($B299="","",IF(ISNA(MATCH($B299,MASTER_JAM!$Q$5:$Q$28,0)),"?",IF(MATCH($B299,MASTER_JAM!$Q$5:$Q$28,0)&lt;=12,"DS","NS")))</f>
        <v/>
      </c>
      <c r="I299" s="157">
        <f>IFERROR(INDEX(MASTER_JAM!$B$5:$B$94,MATCH($C299,MASTER_JAM!$A$5:$A$94,0)),"")</f>
        <v/>
      </c>
      <c r="J299" s="157">
        <f>IFERROR(INDEX(MASTER_JAM!$E$5:$E$94,MATCH($D299,MASTER_JAM!$A$5:$A$94,0)),"")</f>
        <v/>
      </c>
      <c r="K299" s="158">
        <f>IFERROR(INDEX(MASTER_JAM!$J$5:$O$12,MATCH($E299,MASTER_JAM!$I$5:$I$12,0),MATCH($J299,MASTER_JAM!$J$4:$O$4,0))+0,0)</f>
        <v/>
      </c>
      <c r="L299" s="159">
        <f>N($F299)*$K299</f>
        <v/>
      </c>
      <c r="M299" s="157">
        <f>IF($E299="","",IF(OR($E299="Coal",$E299="Dirty Coal"),"MT","BCM"))</f>
        <v/>
      </c>
      <c r="N299" s="157">
        <f>IF($E299="","",IF(OR($E299="Coal",$E299="Dirty Coal"),"Coal","OB"))</f>
        <v/>
      </c>
      <c r="O299" s="157">
        <f>IF($F299="","",IF(COUNTIF(MASTER_JAM!$A$5:$A$94,$C299)=0,"Digger tidak dikenal",IF($J299="","Hauler tidak dikenal",IF($H299="?","Jam salah",IF($K299=0,"Faktor kosong",IF(SUMIFS(INPUT_DELAY!$E$5:$E$20000,INPUT_DELAY!$A$5:$A$20000,$A299,INPUT_DELAY!$B$5:$B$20000,$B299,INPUT_DELAY!$C$5:$C$20000,$C299)+SUMIFS(INPUT_DELAY!$E$5:$E$20000,INPUT_DELAY!$A$5:$A$20000,$A299,INPUT_DELAY!$B$5:$B$20000,$B299,INPUT_DELAY!$C$5:$C$20000,"SEMUA")&gt;=60,"Delay 60 mnt tapi ada ritase","OK"))))))</f>
        <v/>
      </c>
      <c r="P299" s="158">
        <f>IFERROR(INDEX(MASTER_JAM!$Z$5:$AC$10,MATCH($I299,MASTER_JAM!$Y$5:$Y$10,0),MATCH($J299,MASTER_JAM!$Z$4:$AC$4,0))+0,0)</f>
        <v/>
      </c>
      <c r="Q299" s="158">
        <f>IF($P299=0,0,$P299+IFERROR(INDEX(MASTER_JAM!$H$5:$H$94,MATCH($C299,MASTER_JAM!$A$5:$A$94,0))+0,MASTER_JAM!$AC$15)/1000*(60/MASTER_JAM!$AC$12+60/MASTER_JAM!$AC$13)+MASTER_JAM!$AC$14)</f>
        <v/>
      </c>
      <c r="R299" s="158">
        <f>IF(N($F299)=0,0,$F299/SUMIFS(INPUT_RITASE!$F$5:$F$20000,INPUT_RITASE!$A$5:$A$20000,$A299,INPUT_RITASE!$B$5:$B$20000,$B299,INPUT_RITASE!$C$5:$C$20000,$C299,INPUT_RITASE!$D$5:$D$20000,$D299))</f>
        <v/>
      </c>
      <c r="S299" s="158">
        <f>IF($Q299=0,0,$R299*$P299/$Q299)</f>
        <v/>
      </c>
    </row>
    <row r="300">
      <c r="A300" s="155" t="n">
        <v>46105</v>
      </c>
      <c r="B300" s="156" t="inlineStr">
        <is>
          <t>07-08</t>
        </is>
      </c>
      <c r="C300" s="156" t="inlineStr">
        <is>
          <t>EX-2101</t>
        </is>
      </c>
      <c r="D300" s="156" t="inlineStr">
        <is>
          <t>DT-812</t>
        </is>
      </c>
      <c r="E300" s="156" t="inlineStr">
        <is>
          <t>OB</t>
        </is>
      </c>
      <c r="F300" s="156" t="n">
        <v>3</v>
      </c>
      <c r="G300" s="156" t="inlineStr"/>
      <c r="H300" s="157">
        <f>IF($B300="","",IF(ISNA(MATCH($B300,MASTER_JAM!$Q$5:$Q$28,0)),"?",IF(MATCH($B300,MASTER_JAM!$Q$5:$Q$28,0)&lt;=12,"DS","NS")))</f>
        <v/>
      </c>
      <c r="I300" s="157">
        <f>IFERROR(INDEX(MASTER_JAM!$B$5:$B$94,MATCH($C300,MASTER_JAM!$A$5:$A$94,0)),"")</f>
        <v/>
      </c>
      <c r="J300" s="157">
        <f>IFERROR(INDEX(MASTER_JAM!$E$5:$E$94,MATCH($D300,MASTER_JAM!$A$5:$A$94,0)),"")</f>
        <v/>
      </c>
      <c r="K300" s="158">
        <f>IFERROR(INDEX(MASTER_JAM!$J$5:$O$12,MATCH($E300,MASTER_JAM!$I$5:$I$12,0),MATCH($J300,MASTER_JAM!$J$4:$O$4,0))+0,0)</f>
        <v/>
      </c>
      <c r="L300" s="159">
        <f>N($F300)*$K300</f>
        <v/>
      </c>
      <c r="M300" s="157">
        <f>IF($E300="","",IF(OR($E300="Coal",$E300="Dirty Coal"),"MT","BCM"))</f>
        <v/>
      </c>
      <c r="N300" s="157">
        <f>IF($E300="","",IF(OR($E300="Coal",$E300="Dirty Coal"),"Coal","OB"))</f>
        <v/>
      </c>
      <c r="O300" s="157">
        <f>IF($F300="","",IF(COUNTIF(MASTER_JAM!$A$5:$A$94,$C300)=0,"Digger tidak dikenal",IF($J300="","Hauler tidak dikenal",IF($H300="?","Jam salah",IF($K300=0,"Faktor kosong",IF(SUMIFS(INPUT_DELAY!$E$5:$E$20000,INPUT_DELAY!$A$5:$A$20000,$A300,INPUT_DELAY!$B$5:$B$20000,$B300,INPUT_DELAY!$C$5:$C$20000,$C300)+SUMIFS(INPUT_DELAY!$E$5:$E$20000,INPUT_DELAY!$A$5:$A$20000,$A300,INPUT_DELAY!$B$5:$B$20000,$B300,INPUT_DELAY!$C$5:$C$20000,"SEMUA")&gt;=60,"Delay 60 mnt tapi ada ritase","OK"))))))</f>
        <v/>
      </c>
      <c r="P300" s="158">
        <f>IFERROR(INDEX(MASTER_JAM!$Z$5:$AC$10,MATCH($I300,MASTER_JAM!$Y$5:$Y$10,0),MATCH($J300,MASTER_JAM!$Z$4:$AC$4,0))+0,0)</f>
        <v/>
      </c>
      <c r="Q300" s="158">
        <f>IF($P300=0,0,$P300+IFERROR(INDEX(MASTER_JAM!$H$5:$H$94,MATCH($C300,MASTER_JAM!$A$5:$A$94,0))+0,MASTER_JAM!$AC$15)/1000*(60/MASTER_JAM!$AC$12+60/MASTER_JAM!$AC$13)+MASTER_JAM!$AC$14)</f>
        <v/>
      </c>
      <c r="R300" s="158">
        <f>IF(N($F300)=0,0,$F300/SUMIFS(INPUT_RITASE!$F$5:$F$20000,INPUT_RITASE!$A$5:$A$20000,$A300,INPUT_RITASE!$B$5:$B$20000,$B300,INPUT_RITASE!$C$5:$C$20000,$C300,INPUT_RITASE!$D$5:$D$20000,$D300))</f>
        <v/>
      </c>
      <c r="S300" s="158">
        <f>IF($Q300=0,0,$R300*$P300/$Q300)</f>
        <v/>
      </c>
    </row>
    <row r="301">
      <c r="A301" s="155" t="n">
        <v>46105</v>
      </c>
      <c r="B301" s="156" t="inlineStr">
        <is>
          <t>08-09</t>
        </is>
      </c>
      <c r="C301" s="156" t="inlineStr">
        <is>
          <t>EX-2101</t>
        </is>
      </c>
      <c r="D301" s="156" t="inlineStr">
        <is>
          <t>HD-905</t>
        </is>
      </c>
      <c r="E301" s="156" t="inlineStr">
        <is>
          <t>OB</t>
        </is>
      </c>
      <c r="F301" s="156" t="n">
        <v>5</v>
      </c>
      <c r="G301" s="156" t="inlineStr"/>
      <c r="H301" s="157">
        <f>IF($B301="","",IF(ISNA(MATCH($B301,MASTER_JAM!$Q$5:$Q$28,0)),"?",IF(MATCH($B301,MASTER_JAM!$Q$5:$Q$28,0)&lt;=12,"DS","NS")))</f>
        <v/>
      </c>
      <c r="I301" s="157">
        <f>IFERROR(INDEX(MASTER_JAM!$B$5:$B$94,MATCH($C301,MASTER_JAM!$A$5:$A$94,0)),"")</f>
        <v/>
      </c>
      <c r="J301" s="157">
        <f>IFERROR(INDEX(MASTER_JAM!$E$5:$E$94,MATCH($D301,MASTER_JAM!$A$5:$A$94,0)),"")</f>
        <v/>
      </c>
      <c r="K301" s="158">
        <f>IFERROR(INDEX(MASTER_JAM!$J$5:$O$12,MATCH($E301,MASTER_JAM!$I$5:$I$12,0),MATCH($J301,MASTER_JAM!$J$4:$O$4,0))+0,0)</f>
        <v/>
      </c>
      <c r="L301" s="159">
        <f>N($F301)*$K301</f>
        <v/>
      </c>
      <c r="M301" s="157">
        <f>IF($E301="","",IF(OR($E301="Coal",$E301="Dirty Coal"),"MT","BCM"))</f>
        <v/>
      </c>
      <c r="N301" s="157">
        <f>IF($E301="","",IF(OR($E301="Coal",$E301="Dirty Coal"),"Coal","OB"))</f>
        <v/>
      </c>
      <c r="O301" s="157">
        <f>IF($F301="","",IF(COUNTIF(MASTER_JAM!$A$5:$A$94,$C301)=0,"Digger tidak dikenal",IF($J301="","Hauler tidak dikenal",IF($H301="?","Jam salah",IF($K301=0,"Faktor kosong",IF(SUMIFS(INPUT_DELAY!$E$5:$E$20000,INPUT_DELAY!$A$5:$A$20000,$A301,INPUT_DELAY!$B$5:$B$20000,$B301,INPUT_DELAY!$C$5:$C$20000,$C301)+SUMIFS(INPUT_DELAY!$E$5:$E$20000,INPUT_DELAY!$A$5:$A$20000,$A301,INPUT_DELAY!$B$5:$B$20000,$B301,INPUT_DELAY!$C$5:$C$20000,"SEMUA")&gt;=60,"Delay 60 mnt tapi ada ritase","OK"))))))</f>
        <v/>
      </c>
      <c r="P301" s="158">
        <f>IFERROR(INDEX(MASTER_JAM!$Z$5:$AC$10,MATCH($I301,MASTER_JAM!$Y$5:$Y$10,0),MATCH($J301,MASTER_JAM!$Z$4:$AC$4,0))+0,0)</f>
        <v/>
      </c>
      <c r="Q301" s="158">
        <f>IF($P301=0,0,$P301+IFERROR(INDEX(MASTER_JAM!$H$5:$H$94,MATCH($C301,MASTER_JAM!$A$5:$A$94,0))+0,MASTER_JAM!$AC$15)/1000*(60/MASTER_JAM!$AC$12+60/MASTER_JAM!$AC$13)+MASTER_JAM!$AC$14)</f>
        <v/>
      </c>
      <c r="R301" s="158">
        <f>IF(N($F301)=0,0,$F301/SUMIFS(INPUT_RITASE!$F$5:$F$20000,INPUT_RITASE!$A$5:$A$20000,$A301,INPUT_RITASE!$B$5:$B$20000,$B301,INPUT_RITASE!$C$5:$C$20000,$C301,INPUT_RITASE!$D$5:$D$20000,$D301))</f>
        <v/>
      </c>
      <c r="S301" s="158">
        <f>IF($Q301=0,0,$R301*$P301/$Q301)</f>
        <v/>
      </c>
    </row>
    <row r="302">
      <c r="A302" s="155" t="n">
        <v>46105</v>
      </c>
      <c r="B302" s="156" t="inlineStr">
        <is>
          <t>08-09</t>
        </is>
      </c>
      <c r="C302" s="156" t="inlineStr">
        <is>
          <t>EX-2101</t>
        </is>
      </c>
      <c r="D302" s="156" t="inlineStr">
        <is>
          <t>HD-903</t>
        </is>
      </c>
      <c r="E302" s="156" t="inlineStr">
        <is>
          <t>OB</t>
        </is>
      </c>
      <c r="F302" s="156" t="n">
        <v>5</v>
      </c>
      <c r="G302" s="156" t="inlineStr"/>
      <c r="H302" s="157">
        <f>IF($B302="","",IF(ISNA(MATCH($B302,MASTER_JAM!$Q$5:$Q$28,0)),"?",IF(MATCH($B302,MASTER_JAM!$Q$5:$Q$28,0)&lt;=12,"DS","NS")))</f>
        <v/>
      </c>
      <c r="I302" s="157">
        <f>IFERROR(INDEX(MASTER_JAM!$B$5:$B$94,MATCH($C302,MASTER_JAM!$A$5:$A$94,0)),"")</f>
        <v/>
      </c>
      <c r="J302" s="157">
        <f>IFERROR(INDEX(MASTER_JAM!$E$5:$E$94,MATCH($D302,MASTER_JAM!$A$5:$A$94,0)),"")</f>
        <v/>
      </c>
      <c r="K302" s="158">
        <f>IFERROR(INDEX(MASTER_JAM!$J$5:$O$12,MATCH($E302,MASTER_JAM!$I$5:$I$12,0),MATCH($J302,MASTER_JAM!$J$4:$O$4,0))+0,0)</f>
        <v/>
      </c>
      <c r="L302" s="159">
        <f>N($F302)*$K302</f>
        <v/>
      </c>
      <c r="M302" s="157">
        <f>IF($E302="","",IF(OR($E302="Coal",$E302="Dirty Coal"),"MT","BCM"))</f>
        <v/>
      </c>
      <c r="N302" s="157">
        <f>IF($E302="","",IF(OR($E302="Coal",$E302="Dirty Coal"),"Coal","OB"))</f>
        <v/>
      </c>
      <c r="O302" s="157">
        <f>IF($F302="","",IF(COUNTIF(MASTER_JAM!$A$5:$A$94,$C302)=0,"Digger tidak dikenal",IF($J302="","Hauler tidak dikenal",IF($H302="?","Jam salah",IF($K302=0,"Faktor kosong",IF(SUMIFS(INPUT_DELAY!$E$5:$E$20000,INPUT_DELAY!$A$5:$A$20000,$A302,INPUT_DELAY!$B$5:$B$20000,$B302,INPUT_DELAY!$C$5:$C$20000,$C302)+SUMIFS(INPUT_DELAY!$E$5:$E$20000,INPUT_DELAY!$A$5:$A$20000,$A302,INPUT_DELAY!$B$5:$B$20000,$B302,INPUT_DELAY!$C$5:$C$20000,"SEMUA")&gt;=60,"Delay 60 mnt tapi ada ritase","OK"))))))</f>
        <v/>
      </c>
      <c r="P302" s="158">
        <f>IFERROR(INDEX(MASTER_JAM!$Z$5:$AC$10,MATCH($I302,MASTER_JAM!$Y$5:$Y$10,0),MATCH($J302,MASTER_JAM!$Z$4:$AC$4,0))+0,0)</f>
        <v/>
      </c>
      <c r="Q302" s="158">
        <f>IF($P302=0,0,$P302+IFERROR(INDEX(MASTER_JAM!$H$5:$H$94,MATCH($C302,MASTER_JAM!$A$5:$A$94,0))+0,MASTER_JAM!$AC$15)/1000*(60/MASTER_JAM!$AC$12+60/MASTER_JAM!$AC$13)+MASTER_JAM!$AC$14)</f>
        <v/>
      </c>
      <c r="R302" s="158">
        <f>IF(N($F302)=0,0,$F302/SUMIFS(INPUT_RITASE!$F$5:$F$20000,INPUT_RITASE!$A$5:$A$20000,$A302,INPUT_RITASE!$B$5:$B$20000,$B302,INPUT_RITASE!$C$5:$C$20000,$C302,INPUT_RITASE!$D$5:$D$20000,$D302))</f>
        <v/>
      </c>
      <c r="S302" s="158">
        <f>IF($Q302=0,0,$R302*$P302/$Q302)</f>
        <v/>
      </c>
    </row>
    <row r="303">
      <c r="A303" s="155" t="n">
        <v>46105</v>
      </c>
      <c r="B303" s="156" t="inlineStr">
        <is>
          <t>08-09</t>
        </is>
      </c>
      <c r="C303" s="156" t="inlineStr">
        <is>
          <t>EX-2101</t>
        </is>
      </c>
      <c r="D303" s="156" t="inlineStr">
        <is>
          <t>HD-901</t>
        </is>
      </c>
      <c r="E303" s="156" t="inlineStr">
        <is>
          <t>OB</t>
        </is>
      </c>
      <c r="F303" s="156" t="n">
        <v>4</v>
      </c>
      <c r="G303" s="156" t="inlineStr"/>
      <c r="H303" s="157">
        <f>IF($B303="","",IF(ISNA(MATCH($B303,MASTER_JAM!$Q$5:$Q$28,0)),"?",IF(MATCH($B303,MASTER_JAM!$Q$5:$Q$28,0)&lt;=12,"DS","NS")))</f>
        <v/>
      </c>
      <c r="I303" s="157">
        <f>IFERROR(INDEX(MASTER_JAM!$B$5:$B$94,MATCH($C303,MASTER_JAM!$A$5:$A$94,0)),"")</f>
        <v/>
      </c>
      <c r="J303" s="157">
        <f>IFERROR(INDEX(MASTER_JAM!$E$5:$E$94,MATCH($D303,MASTER_JAM!$A$5:$A$94,0)),"")</f>
        <v/>
      </c>
      <c r="K303" s="158">
        <f>IFERROR(INDEX(MASTER_JAM!$J$5:$O$12,MATCH($E303,MASTER_JAM!$I$5:$I$12,0),MATCH($J303,MASTER_JAM!$J$4:$O$4,0))+0,0)</f>
        <v/>
      </c>
      <c r="L303" s="159">
        <f>N($F303)*$K303</f>
        <v/>
      </c>
      <c r="M303" s="157">
        <f>IF($E303="","",IF(OR($E303="Coal",$E303="Dirty Coal"),"MT","BCM"))</f>
        <v/>
      </c>
      <c r="N303" s="157">
        <f>IF($E303="","",IF(OR($E303="Coal",$E303="Dirty Coal"),"Coal","OB"))</f>
        <v/>
      </c>
      <c r="O303" s="157">
        <f>IF($F303="","",IF(COUNTIF(MASTER_JAM!$A$5:$A$94,$C303)=0,"Digger tidak dikenal",IF($J303="","Hauler tidak dikenal",IF($H303="?","Jam salah",IF($K303=0,"Faktor kosong",IF(SUMIFS(INPUT_DELAY!$E$5:$E$20000,INPUT_DELAY!$A$5:$A$20000,$A303,INPUT_DELAY!$B$5:$B$20000,$B303,INPUT_DELAY!$C$5:$C$20000,$C303)+SUMIFS(INPUT_DELAY!$E$5:$E$20000,INPUT_DELAY!$A$5:$A$20000,$A303,INPUT_DELAY!$B$5:$B$20000,$B303,INPUT_DELAY!$C$5:$C$20000,"SEMUA")&gt;=60,"Delay 60 mnt tapi ada ritase","OK"))))))</f>
        <v/>
      </c>
      <c r="P303" s="158">
        <f>IFERROR(INDEX(MASTER_JAM!$Z$5:$AC$10,MATCH($I303,MASTER_JAM!$Y$5:$Y$10,0),MATCH($J303,MASTER_JAM!$Z$4:$AC$4,0))+0,0)</f>
        <v/>
      </c>
      <c r="Q303" s="158">
        <f>IF($P303=0,0,$P303+IFERROR(INDEX(MASTER_JAM!$H$5:$H$94,MATCH($C303,MASTER_JAM!$A$5:$A$94,0))+0,MASTER_JAM!$AC$15)/1000*(60/MASTER_JAM!$AC$12+60/MASTER_JAM!$AC$13)+MASTER_JAM!$AC$14)</f>
        <v/>
      </c>
      <c r="R303" s="158">
        <f>IF(N($F303)=0,0,$F303/SUMIFS(INPUT_RITASE!$F$5:$F$20000,INPUT_RITASE!$A$5:$A$20000,$A303,INPUT_RITASE!$B$5:$B$20000,$B303,INPUT_RITASE!$C$5:$C$20000,$C303,INPUT_RITASE!$D$5:$D$20000,$D303))</f>
        <v/>
      </c>
      <c r="S303" s="158">
        <f>IF($Q303=0,0,$R303*$P303/$Q303)</f>
        <v/>
      </c>
    </row>
    <row r="304">
      <c r="A304" s="155" t="n">
        <v>46105</v>
      </c>
      <c r="B304" s="156" t="inlineStr">
        <is>
          <t>08-09</t>
        </is>
      </c>
      <c r="C304" s="156" t="inlineStr">
        <is>
          <t>EX-2101</t>
        </is>
      </c>
      <c r="D304" s="156" t="inlineStr">
        <is>
          <t>HD-902</t>
        </is>
      </c>
      <c r="E304" s="156" t="inlineStr">
        <is>
          <t>OB</t>
        </is>
      </c>
      <c r="F304" s="156" t="n">
        <v>4</v>
      </c>
      <c r="G304" s="156" t="inlineStr"/>
      <c r="H304" s="157">
        <f>IF($B304="","",IF(ISNA(MATCH($B304,MASTER_JAM!$Q$5:$Q$28,0)),"?",IF(MATCH($B304,MASTER_JAM!$Q$5:$Q$28,0)&lt;=12,"DS","NS")))</f>
        <v/>
      </c>
      <c r="I304" s="157">
        <f>IFERROR(INDEX(MASTER_JAM!$B$5:$B$94,MATCH($C304,MASTER_JAM!$A$5:$A$94,0)),"")</f>
        <v/>
      </c>
      <c r="J304" s="157">
        <f>IFERROR(INDEX(MASTER_JAM!$E$5:$E$94,MATCH($D304,MASTER_JAM!$A$5:$A$94,0)),"")</f>
        <v/>
      </c>
      <c r="K304" s="158">
        <f>IFERROR(INDEX(MASTER_JAM!$J$5:$O$12,MATCH($E304,MASTER_JAM!$I$5:$I$12,0),MATCH($J304,MASTER_JAM!$J$4:$O$4,0))+0,0)</f>
        <v/>
      </c>
      <c r="L304" s="159">
        <f>N($F304)*$K304</f>
        <v/>
      </c>
      <c r="M304" s="157">
        <f>IF($E304="","",IF(OR($E304="Coal",$E304="Dirty Coal"),"MT","BCM"))</f>
        <v/>
      </c>
      <c r="N304" s="157">
        <f>IF($E304="","",IF(OR($E304="Coal",$E304="Dirty Coal"),"Coal","OB"))</f>
        <v/>
      </c>
      <c r="O304" s="157">
        <f>IF($F304="","",IF(COUNTIF(MASTER_JAM!$A$5:$A$94,$C304)=0,"Digger tidak dikenal",IF($J304="","Hauler tidak dikenal",IF($H304="?","Jam salah",IF($K304=0,"Faktor kosong",IF(SUMIFS(INPUT_DELAY!$E$5:$E$20000,INPUT_DELAY!$A$5:$A$20000,$A304,INPUT_DELAY!$B$5:$B$20000,$B304,INPUT_DELAY!$C$5:$C$20000,$C304)+SUMIFS(INPUT_DELAY!$E$5:$E$20000,INPUT_DELAY!$A$5:$A$20000,$A304,INPUT_DELAY!$B$5:$B$20000,$B304,INPUT_DELAY!$C$5:$C$20000,"SEMUA")&gt;=60,"Delay 60 mnt tapi ada ritase","OK"))))))</f>
        <v/>
      </c>
      <c r="P304" s="158">
        <f>IFERROR(INDEX(MASTER_JAM!$Z$5:$AC$10,MATCH($I304,MASTER_JAM!$Y$5:$Y$10,0),MATCH($J304,MASTER_JAM!$Z$4:$AC$4,0))+0,0)</f>
        <v/>
      </c>
      <c r="Q304" s="158">
        <f>IF($P304=0,0,$P304+IFERROR(INDEX(MASTER_JAM!$H$5:$H$94,MATCH($C304,MASTER_JAM!$A$5:$A$94,0))+0,MASTER_JAM!$AC$15)/1000*(60/MASTER_JAM!$AC$12+60/MASTER_JAM!$AC$13)+MASTER_JAM!$AC$14)</f>
        <v/>
      </c>
      <c r="R304" s="158">
        <f>IF(N($F304)=0,0,$F304/SUMIFS(INPUT_RITASE!$F$5:$F$20000,INPUT_RITASE!$A$5:$A$20000,$A304,INPUT_RITASE!$B$5:$B$20000,$B304,INPUT_RITASE!$C$5:$C$20000,$C304,INPUT_RITASE!$D$5:$D$20000,$D304))</f>
        <v/>
      </c>
      <c r="S304" s="158">
        <f>IF($Q304=0,0,$R304*$P304/$Q304)</f>
        <v/>
      </c>
    </row>
    <row r="305">
      <c r="A305" s="155" t="n">
        <v>46105</v>
      </c>
      <c r="B305" s="156" t="inlineStr">
        <is>
          <t>08-09</t>
        </is>
      </c>
      <c r="C305" s="156" t="inlineStr">
        <is>
          <t>EX-2101</t>
        </is>
      </c>
      <c r="D305" s="156" t="inlineStr">
        <is>
          <t>DT-812</t>
        </is>
      </c>
      <c r="E305" s="156" t="inlineStr">
        <is>
          <t>OB</t>
        </is>
      </c>
      <c r="F305" s="156" t="n">
        <v>2</v>
      </c>
      <c r="G305" s="156" t="inlineStr"/>
      <c r="H305" s="157">
        <f>IF($B305="","",IF(ISNA(MATCH($B305,MASTER_JAM!$Q$5:$Q$28,0)),"?",IF(MATCH($B305,MASTER_JAM!$Q$5:$Q$28,0)&lt;=12,"DS","NS")))</f>
        <v/>
      </c>
      <c r="I305" s="157">
        <f>IFERROR(INDEX(MASTER_JAM!$B$5:$B$94,MATCH($C305,MASTER_JAM!$A$5:$A$94,0)),"")</f>
        <v/>
      </c>
      <c r="J305" s="157">
        <f>IFERROR(INDEX(MASTER_JAM!$E$5:$E$94,MATCH($D305,MASTER_JAM!$A$5:$A$94,0)),"")</f>
        <v/>
      </c>
      <c r="K305" s="158">
        <f>IFERROR(INDEX(MASTER_JAM!$J$5:$O$12,MATCH($E305,MASTER_JAM!$I$5:$I$12,0),MATCH($J305,MASTER_JAM!$J$4:$O$4,0))+0,0)</f>
        <v/>
      </c>
      <c r="L305" s="159">
        <f>N($F305)*$K305</f>
        <v/>
      </c>
      <c r="M305" s="157">
        <f>IF($E305="","",IF(OR($E305="Coal",$E305="Dirty Coal"),"MT","BCM"))</f>
        <v/>
      </c>
      <c r="N305" s="157">
        <f>IF($E305="","",IF(OR($E305="Coal",$E305="Dirty Coal"),"Coal","OB"))</f>
        <v/>
      </c>
      <c r="O305" s="157">
        <f>IF($F305="","",IF(COUNTIF(MASTER_JAM!$A$5:$A$94,$C305)=0,"Digger tidak dikenal",IF($J305="","Hauler tidak dikenal",IF($H305="?","Jam salah",IF($K305=0,"Faktor kosong",IF(SUMIFS(INPUT_DELAY!$E$5:$E$20000,INPUT_DELAY!$A$5:$A$20000,$A305,INPUT_DELAY!$B$5:$B$20000,$B305,INPUT_DELAY!$C$5:$C$20000,$C305)+SUMIFS(INPUT_DELAY!$E$5:$E$20000,INPUT_DELAY!$A$5:$A$20000,$A305,INPUT_DELAY!$B$5:$B$20000,$B305,INPUT_DELAY!$C$5:$C$20000,"SEMUA")&gt;=60,"Delay 60 mnt tapi ada ritase","OK"))))))</f>
        <v/>
      </c>
      <c r="P305" s="158">
        <f>IFERROR(INDEX(MASTER_JAM!$Z$5:$AC$10,MATCH($I305,MASTER_JAM!$Y$5:$Y$10,0),MATCH($J305,MASTER_JAM!$Z$4:$AC$4,0))+0,0)</f>
        <v/>
      </c>
      <c r="Q305" s="158">
        <f>IF($P305=0,0,$P305+IFERROR(INDEX(MASTER_JAM!$H$5:$H$94,MATCH($C305,MASTER_JAM!$A$5:$A$94,0))+0,MASTER_JAM!$AC$15)/1000*(60/MASTER_JAM!$AC$12+60/MASTER_JAM!$AC$13)+MASTER_JAM!$AC$14)</f>
        <v/>
      </c>
      <c r="R305" s="158">
        <f>IF(N($F305)=0,0,$F305/SUMIFS(INPUT_RITASE!$F$5:$F$20000,INPUT_RITASE!$A$5:$A$20000,$A305,INPUT_RITASE!$B$5:$B$20000,$B305,INPUT_RITASE!$C$5:$C$20000,$C305,INPUT_RITASE!$D$5:$D$20000,$D305))</f>
        <v/>
      </c>
      <c r="S305" s="158">
        <f>IF($Q305=0,0,$R305*$P305/$Q305)</f>
        <v/>
      </c>
    </row>
    <row r="306">
      <c r="A306" s="155" t="n">
        <v>46105</v>
      </c>
      <c r="B306" s="156" t="inlineStr">
        <is>
          <t>09-10</t>
        </is>
      </c>
      <c r="C306" s="156" t="inlineStr">
        <is>
          <t>EX-2101</t>
        </is>
      </c>
      <c r="D306" s="156" t="inlineStr">
        <is>
          <t>HD-901</t>
        </is>
      </c>
      <c r="E306" s="156" t="inlineStr">
        <is>
          <t>OB</t>
        </is>
      </c>
      <c r="F306" s="156" t="n">
        <v>6</v>
      </c>
      <c r="G306" s="156" t="inlineStr"/>
      <c r="H306" s="157">
        <f>IF($B306="","",IF(ISNA(MATCH($B306,MASTER_JAM!$Q$5:$Q$28,0)),"?",IF(MATCH($B306,MASTER_JAM!$Q$5:$Q$28,0)&lt;=12,"DS","NS")))</f>
        <v/>
      </c>
      <c r="I306" s="157">
        <f>IFERROR(INDEX(MASTER_JAM!$B$5:$B$94,MATCH($C306,MASTER_JAM!$A$5:$A$94,0)),"")</f>
        <v/>
      </c>
      <c r="J306" s="157">
        <f>IFERROR(INDEX(MASTER_JAM!$E$5:$E$94,MATCH($D306,MASTER_JAM!$A$5:$A$94,0)),"")</f>
        <v/>
      </c>
      <c r="K306" s="158">
        <f>IFERROR(INDEX(MASTER_JAM!$J$5:$O$12,MATCH($E306,MASTER_JAM!$I$5:$I$12,0),MATCH($J306,MASTER_JAM!$J$4:$O$4,0))+0,0)</f>
        <v/>
      </c>
      <c r="L306" s="159">
        <f>N($F306)*$K306</f>
        <v/>
      </c>
      <c r="M306" s="157">
        <f>IF($E306="","",IF(OR($E306="Coal",$E306="Dirty Coal"),"MT","BCM"))</f>
        <v/>
      </c>
      <c r="N306" s="157">
        <f>IF($E306="","",IF(OR($E306="Coal",$E306="Dirty Coal"),"Coal","OB"))</f>
        <v/>
      </c>
      <c r="O306" s="157">
        <f>IF($F306="","",IF(COUNTIF(MASTER_JAM!$A$5:$A$94,$C306)=0,"Digger tidak dikenal",IF($J306="","Hauler tidak dikenal",IF($H306="?","Jam salah",IF($K306=0,"Faktor kosong",IF(SUMIFS(INPUT_DELAY!$E$5:$E$20000,INPUT_DELAY!$A$5:$A$20000,$A306,INPUT_DELAY!$B$5:$B$20000,$B306,INPUT_DELAY!$C$5:$C$20000,$C306)+SUMIFS(INPUT_DELAY!$E$5:$E$20000,INPUT_DELAY!$A$5:$A$20000,$A306,INPUT_DELAY!$B$5:$B$20000,$B306,INPUT_DELAY!$C$5:$C$20000,"SEMUA")&gt;=60,"Delay 60 mnt tapi ada ritase","OK"))))))</f>
        <v/>
      </c>
      <c r="P306" s="158">
        <f>IFERROR(INDEX(MASTER_JAM!$Z$5:$AC$10,MATCH($I306,MASTER_JAM!$Y$5:$Y$10,0),MATCH($J306,MASTER_JAM!$Z$4:$AC$4,0))+0,0)</f>
        <v/>
      </c>
      <c r="Q306" s="158">
        <f>IF($P306=0,0,$P306+IFERROR(INDEX(MASTER_JAM!$H$5:$H$94,MATCH($C306,MASTER_JAM!$A$5:$A$94,0))+0,MASTER_JAM!$AC$15)/1000*(60/MASTER_JAM!$AC$12+60/MASTER_JAM!$AC$13)+MASTER_JAM!$AC$14)</f>
        <v/>
      </c>
      <c r="R306" s="158">
        <f>IF(N($F306)=0,0,$F306/SUMIFS(INPUT_RITASE!$F$5:$F$20000,INPUT_RITASE!$A$5:$A$20000,$A306,INPUT_RITASE!$B$5:$B$20000,$B306,INPUT_RITASE!$C$5:$C$20000,$C306,INPUT_RITASE!$D$5:$D$20000,$D306))</f>
        <v/>
      </c>
      <c r="S306" s="158">
        <f>IF($Q306=0,0,$R306*$P306/$Q306)</f>
        <v/>
      </c>
    </row>
    <row r="307">
      <c r="A307" s="155" t="n">
        <v>46105</v>
      </c>
      <c r="B307" s="156" t="inlineStr">
        <is>
          <t>09-10</t>
        </is>
      </c>
      <c r="C307" s="156" t="inlineStr">
        <is>
          <t>EX-2101</t>
        </is>
      </c>
      <c r="D307" s="156" t="inlineStr">
        <is>
          <t>HD-902</t>
        </is>
      </c>
      <c r="E307" s="156" t="inlineStr">
        <is>
          <t>OB</t>
        </is>
      </c>
      <c r="F307" s="156" t="n">
        <v>6</v>
      </c>
      <c r="G307" s="156" t="inlineStr"/>
      <c r="H307" s="157">
        <f>IF($B307="","",IF(ISNA(MATCH($B307,MASTER_JAM!$Q$5:$Q$28,0)),"?",IF(MATCH($B307,MASTER_JAM!$Q$5:$Q$28,0)&lt;=12,"DS","NS")))</f>
        <v/>
      </c>
      <c r="I307" s="157">
        <f>IFERROR(INDEX(MASTER_JAM!$B$5:$B$94,MATCH($C307,MASTER_JAM!$A$5:$A$94,0)),"")</f>
        <v/>
      </c>
      <c r="J307" s="157">
        <f>IFERROR(INDEX(MASTER_JAM!$E$5:$E$94,MATCH($D307,MASTER_JAM!$A$5:$A$94,0)),"")</f>
        <v/>
      </c>
      <c r="K307" s="158">
        <f>IFERROR(INDEX(MASTER_JAM!$J$5:$O$12,MATCH($E307,MASTER_JAM!$I$5:$I$12,0),MATCH($J307,MASTER_JAM!$J$4:$O$4,0))+0,0)</f>
        <v/>
      </c>
      <c r="L307" s="159">
        <f>N($F307)*$K307</f>
        <v/>
      </c>
      <c r="M307" s="157">
        <f>IF($E307="","",IF(OR($E307="Coal",$E307="Dirty Coal"),"MT","BCM"))</f>
        <v/>
      </c>
      <c r="N307" s="157">
        <f>IF($E307="","",IF(OR($E307="Coal",$E307="Dirty Coal"),"Coal","OB"))</f>
        <v/>
      </c>
      <c r="O307" s="157">
        <f>IF($F307="","",IF(COUNTIF(MASTER_JAM!$A$5:$A$94,$C307)=0,"Digger tidak dikenal",IF($J307="","Hauler tidak dikenal",IF($H307="?","Jam salah",IF($K307=0,"Faktor kosong",IF(SUMIFS(INPUT_DELAY!$E$5:$E$20000,INPUT_DELAY!$A$5:$A$20000,$A307,INPUT_DELAY!$B$5:$B$20000,$B307,INPUT_DELAY!$C$5:$C$20000,$C307)+SUMIFS(INPUT_DELAY!$E$5:$E$20000,INPUT_DELAY!$A$5:$A$20000,$A307,INPUT_DELAY!$B$5:$B$20000,$B307,INPUT_DELAY!$C$5:$C$20000,"SEMUA")&gt;=60,"Delay 60 mnt tapi ada ritase","OK"))))))</f>
        <v/>
      </c>
      <c r="P307" s="158">
        <f>IFERROR(INDEX(MASTER_JAM!$Z$5:$AC$10,MATCH($I307,MASTER_JAM!$Y$5:$Y$10,0),MATCH($J307,MASTER_JAM!$Z$4:$AC$4,0))+0,0)</f>
        <v/>
      </c>
      <c r="Q307" s="158">
        <f>IF($P307=0,0,$P307+IFERROR(INDEX(MASTER_JAM!$H$5:$H$94,MATCH($C307,MASTER_JAM!$A$5:$A$94,0))+0,MASTER_JAM!$AC$15)/1000*(60/MASTER_JAM!$AC$12+60/MASTER_JAM!$AC$13)+MASTER_JAM!$AC$14)</f>
        <v/>
      </c>
      <c r="R307" s="158">
        <f>IF(N($F307)=0,0,$F307/SUMIFS(INPUT_RITASE!$F$5:$F$20000,INPUT_RITASE!$A$5:$A$20000,$A307,INPUT_RITASE!$B$5:$B$20000,$B307,INPUT_RITASE!$C$5:$C$20000,$C307,INPUT_RITASE!$D$5:$D$20000,$D307))</f>
        <v/>
      </c>
      <c r="S307" s="158">
        <f>IF($Q307=0,0,$R307*$P307/$Q307)</f>
        <v/>
      </c>
    </row>
    <row r="308">
      <c r="A308" s="155" t="n">
        <v>46105</v>
      </c>
      <c r="B308" s="156" t="inlineStr">
        <is>
          <t>09-10</t>
        </is>
      </c>
      <c r="C308" s="156" t="inlineStr">
        <is>
          <t>EX-2101</t>
        </is>
      </c>
      <c r="D308" s="156" t="inlineStr">
        <is>
          <t>HD-905</t>
        </is>
      </c>
      <c r="E308" s="156" t="inlineStr">
        <is>
          <t>OB</t>
        </is>
      </c>
      <c r="F308" s="156" t="n">
        <v>5</v>
      </c>
      <c r="G308" s="156" t="inlineStr"/>
      <c r="H308" s="157">
        <f>IF($B308="","",IF(ISNA(MATCH($B308,MASTER_JAM!$Q$5:$Q$28,0)),"?",IF(MATCH($B308,MASTER_JAM!$Q$5:$Q$28,0)&lt;=12,"DS","NS")))</f>
        <v/>
      </c>
      <c r="I308" s="157">
        <f>IFERROR(INDEX(MASTER_JAM!$B$5:$B$94,MATCH($C308,MASTER_JAM!$A$5:$A$94,0)),"")</f>
        <v/>
      </c>
      <c r="J308" s="157">
        <f>IFERROR(INDEX(MASTER_JAM!$E$5:$E$94,MATCH($D308,MASTER_JAM!$A$5:$A$94,0)),"")</f>
        <v/>
      </c>
      <c r="K308" s="158">
        <f>IFERROR(INDEX(MASTER_JAM!$J$5:$O$12,MATCH($E308,MASTER_JAM!$I$5:$I$12,0),MATCH($J308,MASTER_JAM!$J$4:$O$4,0))+0,0)</f>
        <v/>
      </c>
      <c r="L308" s="159">
        <f>N($F308)*$K308</f>
        <v/>
      </c>
      <c r="M308" s="157">
        <f>IF($E308="","",IF(OR($E308="Coal",$E308="Dirty Coal"),"MT","BCM"))</f>
        <v/>
      </c>
      <c r="N308" s="157">
        <f>IF($E308="","",IF(OR($E308="Coal",$E308="Dirty Coal"),"Coal","OB"))</f>
        <v/>
      </c>
      <c r="O308" s="157">
        <f>IF($F308="","",IF(COUNTIF(MASTER_JAM!$A$5:$A$94,$C308)=0,"Digger tidak dikenal",IF($J308="","Hauler tidak dikenal",IF($H308="?","Jam salah",IF($K308=0,"Faktor kosong",IF(SUMIFS(INPUT_DELAY!$E$5:$E$20000,INPUT_DELAY!$A$5:$A$20000,$A308,INPUT_DELAY!$B$5:$B$20000,$B308,INPUT_DELAY!$C$5:$C$20000,$C308)+SUMIFS(INPUT_DELAY!$E$5:$E$20000,INPUT_DELAY!$A$5:$A$20000,$A308,INPUT_DELAY!$B$5:$B$20000,$B308,INPUT_DELAY!$C$5:$C$20000,"SEMUA")&gt;=60,"Delay 60 mnt tapi ada ritase","OK"))))))</f>
        <v/>
      </c>
      <c r="P308" s="158">
        <f>IFERROR(INDEX(MASTER_JAM!$Z$5:$AC$10,MATCH($I308,MASTER_JAM!$Y$5:$Y$10,0),MATCH($J308,MASTER_JAM!$Z$4:$AC$4,0))+0,0)</f>
        <v/>
      </c>
      <c r="Q308" s="158">
        <f>IF($P308=0,0,$P308+IFERROR(INDEX(MASTER_JAM!$H$5:$H$94,MATCH($C308,MASTER_JAM!$A$5:$A$94,0))+0,MASTER_JAM!$AC$15)/1000*(60/MASTER_JAM!$AC$12+60/MASTER_JAM!$AC$13)+MASTER_JAM!$AC$14)</f>
        <v/>
      </c>
      <c r="R308" s="158">
        <f>IF(N($F308)=0,0,$F308/SUMIFS(INPUT_RITASE!$F$5:$F$20000,INPUT_RITASE!$A$5:$A$20000,$A308,INPUT_RITASE!$B$5:$B$20000,$B308,INPUT_RITASE!$C$5:$C$20000,$C308,INPUT_RITASE!$D$5:$D$20000,$D308))</f>
        <v/>
      </c>
      <c r="S308" s="158">
        <f>IF($Q308=0,0,$R308*$P308/$Q308)</f>
        <v/>
      </c>
    </row>
    <row r="309">
      <c r="A309" s="155" t="n">
        <v>46105</v>
      </c>
      <c r="B309" s="156" t="inlineStr">
        <is>
          <t>09-10</t>
        </is>
      </c>
      <c r="C309" s="156" t="inlineStr">
        <is>
          <t>EX-2101</t>
        </is>
      </c>
      <c r="D309" s="156" t="inlineStr">
        <is>
          <t>HD-903</t>
        </is>
      </c>
      <c r="E309" s="156" t="inlineStr">
        <is>
          <t>OB</t>
        </is>
      </c>
      <c r="F309" s="156" t="n">
        <v>5</v>
      </c>
      <c r="G309" s="156" t="inlineStr"/>
      <c r="H309" s="157">
        <f>IF($B309="","",IF(ISNA(MATCH($B309,MASTER_JAM!$Q$5:$Q$28,0)),"?",IF(MATCH($B309,MASTER_JAM!$Q$5:$Q$28,0)&lt;=12,"DS","NS")))</f>
        <v/>
      </c>
      <c r="I309" s="157">
        <f>IFERROR(INDEX(MASTER_JAM!$B$5:$B$94,MATCH($C309,MASTER_JAM!$A$5:$A$94,0)),"")</f>
        <v/>
      </c>
      <c r="J309" s="157">
        <f>IFERROR(INDEX(MASTER_JAM!$E$5:$E$94,MATCH($D309,MASTER_JAM!$A$5:$A$94,0)),"")</f>
        <v/>
      </c>
      <c r="K309" s="158">
        <f>IFERROR(INDEX(MASTER_JAM!$J$5:$O$12,MATCH($E309,MASTER_JAM!$I$5:$I$12,0),MATCH($J309,MASTER_JAM!$J$4:$O$4,0))+0,0)</f>
        <v/>
      </c>
      <c r="L309" s="159">
        <f>N($F309)*$K309</f>
        <v/>
      </c>
      <c r="M309" s="157">
        <f>IF($E309="","",IF(OR($E309="Coal",$E309="Dirty Coal"),"MT","BCM"))</f>
        <v/>
      </c>
      <c r="N309" s="157">
        <f>IF($E309="","",IF(OR($E309="Coal",$E309="Dirty Coal"),"Coal","OB"))</f>
        <v/>
      </c>
      <c r="O309" s="157">
        <f>IF($F309="","",IF(COUNTIF(MASTER_JAM!$A$5:$A$94,$C309)=0,"Digger tidak dikenal",IF($J309="","Hauler tidak dikenal",IF($H309="?","Jam salah",IF($K309=0,"Faktor kosong",IF(SUMIFS(INPUT_DELAY!$E$5:$E$20000,INPUT_DELAY!$A$5:$A$20000,$A309,INPUT_DELAY!$B$5:$B$20000,$B309,INPUT_DELAY!$C$5:$C$20000,$C309)+SUMIFS(INPUT_DELAY!$E$5:$E$20000,INPUT_DELAY!$A$5:$A$20000,$A309,INPUT_DELAY!$B$5:$B$20000,$B309,INPUT_DELAY!$C$5:$C$20000,"SEMUA")&gt;=60,"Delay 60 mnt tapi ada ritase","OK"))))))</f>
        <v/>
      </c>
      <c r="P309" s="158">
        <f>IFERROR(INDEX(MASTER_JAM!$Z$5:$AC$10,MATCH($I309,MASTER_JAM!$Y$5:$Y$10,0),MATCH($J309,MASTER_JAM!$Z$4:$AC$4,0))+0,0)</f>
        <v/>
      </c>
      <c r="Q309" s="158">
        <f>IF($P309=0,0,$P309+IFERROR(INDEX(MASTER_JAM!$H$5:$H$94,MATCH($C309,MASTER_JAM!$A$5:$A$94,0))+0,MASTER_JAM!$AC$15)/1000*(60/MASTER_JAM!$AC$12+60/MASTER_JAM!$AC$13)+MASTER_JAM!$AC$14)</f>
        <v/>
      </c>
      <c r="R309" s="158">
        <f>IF(N($F309)=0,0,$F309/SUMIFS(INPUT_RITASE!$F$5:$F$20000,INPUT_RITASE!$A$5:$A$20000,$A309,INPUT_RITASE!$B$5:$B$20000,$B309,INPUT_RITASE!$C$5:$C$20000,$C309,INPUT_RITASE!$D$5:$D$20000,$D309))</f>
        <v/>
      </c>
      <c r="S309" s="158">
        <f>IF($Q309=0,0,$R309*$P309/$Q309)</f>
        <v/>
      </c>
    </row>
    <row r="310">
      <c r="A310" s="155" t="n">
        <v>46105</v>
      </c>
      <c r="B310" s="156" t="inlineStr">
        <is>
          <t>09-10</t>
        </is>
      </c>
      <c r="C310" s="156" t="inlineStr">
        <is>
          <t>EX-2101</t>
        </is>
      </c>
      <c r="D310" s="156" t="inlineStr">
        <is>
          <t>DT-812</t>
        </is>
      </c>
      <c r="E310" s="156" t="inlineStr">
        <is>
          <t>OB</t>
        </is>
      </c>
      <c r="F310" s="156" t="n">
        <v>2</v>
      </c>
      <c r="G310" s="156" t="inlineStr"/>
      <c r="H310" s="157">
        <f>IF($B310="","",IF(ISNA(MATCH($B310,MASTER_JAM!$Q$5:$Q$28,0)),"?",IF(MATCH($B310,MASTER_JAM!$Q$5:$Q$28,0)&lt;=12,"DS","NS")))</f>
        <v/>
      </c>
      <c r="I310" s="157">
        <f>IFERROR(INDEX(MASTER_JAM!$B$5:$B$94,MATCH($C310,MASTER_JAM!$A$5:$A$94,0)),"")</f>
        <v/>
      </c>
      <c r="J310" s="157">
        <f>IFERROR(INDEX(MASTER_JAM!$E$5:$E$94,MATCH($D310,MASTER_JAM!$A$5:$A$94,0)),"")</f>
        <v/>
      </c>
      <c r="K310" s="158">
        <f>IFERROR(INDEX(MASTER_JAM!$J$5:$O$12,MATCH($E310,MASTER_JAM!$I$5:$I$12,0),MATCH($J310,MASTER_JAM!$J$4:$O$4,0))+0,0)</f>
        <v/>
      </c>
      <c r="L310" s="159">
        <f>N($F310)*$K310</f>
        <v/>
      </c>
      <c r="M310" s="157">
        <f>IF($E310="","",IF(OR($E310="Coal",$E310="Dirty Coal"),"MT","BCM"))</f>
        <v/>
      </c>
      <c r="N310" s="157">
        <f>IF($E310="","",IF(OR($E310="Coal",$E310="Dirty Coal"),"Coal","OB"))</f>
        <v/>
      </c>
      <c r="O310" s="157">
        <f>IF($F310="","",IF(COUNTIF(MASTER_JAM!$A$5:$A$94,$C310)=0,"Digger tidak dikenal",IF($J310="","Hauler tidak dikenal",IF($H310="?","Jam salah",IF($K310=0,"Faktor kosong",IF(SUMIFS(INPUT_DELAY!$E$5:$E$20000,INPUT_DELAY!$A$5:$A$20000,$A310,INPUT_DELAY!$B$5:$B$20000,$B310,INPUT_DELAY!$C$5:$C$20000,$C310)+SUMIFS(INPUT_DELAY!$E$5:$E$20000,INPUT_DELAY!$A$5:$A$20000,$A310,INPUT_DELAY!$B$5:$B$20000,$B310,INPUT_DELAY!$C$5:$C$20000,"SEMUA")&gt;=60,"Delay 60 mnt tapi ada ritase","OK"))))))</f>
        <v/>
      </c>
      <c r="P310" s="158">
        <f>IFERROR(INDEX(MASTER_JAM!$Z$5:$AC$10,MATCH($I310,MASTER_JAM!$Y$5:$Y$10,0),MATCH($J310,MASTER_JAM!$Z$4:$AC$4,0))+0,0)</f>
        <v/>
      </c>
      <c r="Q310" s="158">
        <f>IF($P310=0,0,$P310+IFERROR(INDEX(MASTER_JAM!$H$5:$H$94,MATCH($C310,MASTER_JAM!$A$5:$A$94,0))+0,MASTER_JAM!$AC$15)/1000*(60/MASTER_JAM!$AC$12+60/MASTER_JAM!$AC$13)+MASTER_JAM!$AC$14)</f>
        <v/>
      </c>
      <c r="R310" s="158">
        <f>IF(N($F310)=0,0,$F310/SUMIFS(INPUT_RITASE!$F$5:$F$20000,INPUT_RITASE!$A$5:$A$20000,$A310,INPUT_RITASE!$B$5:$B$20000,$B310,INPUT_RITASE!$C$5:$C$20000,$C310,INPUT_RITASE!$D$5:$D$20000,$D310))</f>
        <v/>
      </c>
      <c r="S310" s="158">
        <f>IF($Q310=0,0,$R310*$P310/$Q310)</f>
        <v/>
      </c>
    </row>
    <row r="311">
      <c r="A311" s="155" t="n">
        <v>46105</v>
      </c>
      <c r="B311" s="156" t="inlineStr">
        <is>
          <t>10-11</t>
        </is>
      </c>
      <c r="C311" s="156" t="inlineStr">
        <is>
          <t>EX-2101</t>
        </is>
      </c>
      <c r="D311" s="156" t="inlineStr">
        <is>
          <t>HD-902</t>
        </is>
      </c>
      <c r="E311" s="156" t="inlineStr">
        <is>
          <t>OB</t>
        </is>
      </c>
      <c r="F311" s="156" t="n">
        <v>4</v>
      </c>
      <c r="G311" s="156" t="inlineStr"/>
      <c r="H311" s="157">
        <f>IF($B311="","",IF(ISNA(MATCH($B311,MASTER_JAM!$Q$5:$Q$28,0)),"?",IF(MATCH($B311,MASTER_JAM!$Q$5:$Q$28,0)&lt;=12,"DS","NS")))</f>
        <v/>
      </c>
      <c r="I311" s="157">
        <f>IFERROR(INDEX(MASTER_JAM!$B$5:$B$94,MATCH($C311,MASTER_JAM!$A$5:$A$94,0)),"")</f>
        <v/>
      </c>
      <c r="J311" s="157">
        <f>IFERROR(INDEX(MASTER_JAM!$E$5:$E$94,MATCH($D311,MASTER_JAM!$A$5:$A$94,0)),"")</f>
        <v/>
      </c>
      <c r="K311" s="158">
        <f>IFERROR(INDEX(MASTER_JAM!$J$5:$O$12,MATCH($E311,MASTER_JAM!$I$5:$I$12,0),MATCH($J311,MASTER_JAM!$J$4:$O$4,0))+0,0)</f>
        <v/>
      </c>
      <c r="L311" s="159">
        <f>N($F311)*$K311</f>
        <v/>
      </c>
      <c r="M311" s="157">
        <f>IF($E311="","",IF(OR($E311="Coal",$E311="Dirty Coal"),"MT","BCM"))</f>
        <v/>
      </c>
      <c r="N311" s="157">
        <f>IF($E311="","",IF(OR($E311="Coal",$E311="Dirty Coal"),"Coal","OB"))</f>
        <v/>
      </c>
      <c r="O311" s="157">
        <f>IF($F311="","",IF(COUNTIF(MASTER_JAM!$A$5:$A$94,$C311)=0,"Digger tidak dikenal",IF($J311="","Hauler tidak dikenal",IF($H311="?","Jam salah",IF($K311=0,"Faktor kosong",IF(SUMIFS(INPUT_DELAY!$E$5:$E$20000,INPUT_DELAY!$A$5:$A$20000,$A311,INPUT_DELAY!$B$5:$B$20000,$B311,INPUT_DELAY!$C$5:$C$20000,$C311)+SUMIFS(INPUT_DELAY!$E$5:$E$20000,INPUT_DELAY!$A$5:$A$20000,$A311,INPUT_DELAY!$B$5:$B$20000,$B311,INPUT_DELAY!$C$5:$C$20000,"SEMUA")&gt;=60,"Delay 60 mnt tapi ada ritase","OK"))))))</f>
        <v/>
      </c>
      <c r="P311" s="158">
        <f>IFERROR(INDEX(MASTER_JAM!$Z$5:$AC$10,MATCH($I311,MASTER_JAM!$Y$5:$Y$10,0),MATCH($J311,MASTER_JAM!$Z$4:$AC$4,0))+0,0)</f>
        <v/>
      </c>
      <c r="Q311" s="158">
        <f>IF($P311=0,0,$P311+IFERROR(INDEX(MASTER_JAM!$H$5:$H$94,MATCH($C311,MASTER_JAM!$A$5:$A$94,0))+0,MASTER_JAM!$AC$15)/1000*(60/MASTER_JAM!$AC$12+60/MASTER_JAM!$AC$13)+MASTER_JAM!$AC$14)</f>
        <v/>
      </c>
      <c r="R311" s="158">
        <f>IF(N($F311)=0,0,$F311/SUMIFS(INPUT_RITASE!$F$5:$F$20000,INPUT_RITASE!$A$5:$A$20000,$A311,INPUT_RITASE!$B$5:$B$20000,$B311,INPUT_RITASE!$C$5:$C$20000,$C311,INPUT_RITASE!$D$5:$D$20000,$D311))</f>
        <v/>
      </c>
      <c r="S311" s="158">
        <f>IF($Q311=0,0,$R311*$P311/$Q311)</f>
        <v/>
      </c>
    </row>
    <row r="312">
      <c r="A312" s="155" t="n">
        <v>46105</v>
      </c>
      <c r="B312" s="156" t="inlineStr">
        <is>
          <t>10-11</t>
        </is>
      </c>
      <c r="C312" s="156" t="inlineStr">
        <is>
          <t>EX-2101</t>
        </is>
      </c>
      <c r="D312" s="156" t="inlineStr">
        <is>
          <t>HD-905</t>
        </is>
      </c>
      <c r="E312" s="156" t="inlineStr">
        <is>
          <t>OB</t>
        </is>
      </c>
      <c r="F312" s="156" t="n">
        <v>4</v>
      </c>
      <c r="G312" s="156" t="inlineStr"/>
      <c r="H312" s="157">
        <f>IF($B312="","",IF(ISNA(MATCH($B312,MASTER_JAM!$Q$5:$Q$28,0)),"?",IF(MATCH($B312,MASTER_JAM!$Q$5:$Q$28,0)&lt;=12,"DS","NS")))</f>
        <v/>
      </c>
      <c r="I312" s="157">
        <f>IFERROR(INDEX(MASTER_JAM!$B$5:$B$94,MATCH($C312,MASTER_JAM!$A$5:$A$94,0)),"")</f>
        <v/>
      </c>
      <c r="J312" s="157">
        <f>IFERROR(INDEX(MASTER_JAM!$E$5:$E$94,MATCH($D312,MASTER_JAM!$A$5:$A$94,0)),"")</f>
        <v/>
      </c>
      <c r="K312" s="158">
        <f>IFERROR(INDEX(MASTER_JAM!$J$5:$O$12,MATCH($E312,MASTER_JAM!$I$5:$I$12,0),MATCH($J312,MASTER_JAM!$J$4:$O$4,0))+0,0)</f>
        <v/>
      </c>
      <c r="L312" s="159">
        <f>N($F312)*$K312</f>
        <v/>
      </c>
      <c r="M312" s="157">
        <f>IF($E312="","",IF(OR($E312="Coal",$E312="Dirty Coal"),"MT","BCM"))</f>
        <v/>
      </c>
      <c r="N312" s="157">
        <f>IF($E312="","",IF(OR($E312="Coal",$E312="Dirty Coal"),"Coal","OB"))</f>
        <v/>
      </c>
      <c r="O312" s="157">
        <f>IF($F312="","",IF(COUNTIF(MASTER_JAM!$A$5:$A$94,$C312)=0,"Digger tidak dikenal",IF($J312="","Hauler tidak dikenal",IF($H312="?","Jam salah",IF($K312=0,"Faktor kosong",IF(SUMIFS(INPUT_DELAY!$E$5:$E$20000,INPUT_DELAY!$A$5:$A$20000,$A312,INPUT_DELAY!$B$5:$B$20000,$B312,INPUT_DELAY!$C$5:$C$20000,$C312)+SUMIFS(INPUT_DELAY!$E$5:$E$20000,INPUT_DELAY!$A$5:$A$20000,$A312,INPUT_DELAY!$B$5:$B$20000,$B312,INPUT_DELAY!$C$5:$C$20000,"SEMUA")&gt;=60,"Delay 60 mnt tapi ada ritase","OK"))))))</f>
        <v/>
      </c>
      <c r="P312" s="158">
        <f>IFERROR(INDEX(MASTER_JAM!$Z$5:$AC$10,MATCH($I312,MASTER_JAM!$Y$5:$Y$10,0),MATCH($J312,MASTER_JAM!$Z$4:$AC$4,0))+0,0)</f>
        <v/>
      </c>
      <c r="Q312" s="158">
        <f>IF($P312=0,0,$P312+IFERROR(INDEX(MASTER_JAM!$H$5:$H$94,MATCH($C312,MASTER_JAM!$A$5:$A$94,0))+0,MASTER_JAM!$AC$15)/1000*(60/MASTER_JAM!$AC$12+60/MASTER_JAM!$AC$13)+MASTER_JAM!$AC$14)</f>
        <v/>
      </c>
      <c r="R312" s="158">
        <f>IF(N($F312)=0,0,$F312/SUMIFS(INPUT_RITASE!$F$5:$F$20000,INPUT_RITASE!$A$5:$A$20000,$A312,INPUT_RITASE!$B$5:$B$20000,$B312,INPUT_RITASE!$C$5:$C$20000,$C312,INPUT_RITASE!$D$5:$D$20000,$D312))</f>
        <v/>
      </c>
      <c r="S312" s="158">
        <f>IF($Q312=0,0,$R312*$P312/$Q312)</f>
        <v/>
      </c>
    </row>
    <row r="313">
      <c r="A313" s="155" t="n">
        <v>46105</v>
      </c>
      <c r="B313" s="156" t="inlineStr">
        <is>
          <t>10-11</t>
        </is>
      </c>
      <c r="C313" s="156" t="inlineStr">
        <is>
          <t>EX-2101</t>
        </is>
      </c>
      <c r="D313" s="156" t="inlineStr">
        <is>
          <t>HD-901</t>
        </is>
      </c>
      <c r="E313" s="156" t="inlineStr">
        <is>
          <t>OB</t>
        </is>
      </c>
      <c r="F313" s="156" t="n">
        <v>4</v>
      </c>
      <c r="G313" s="156" t="inlineStr"/>
      <c r="H313" s="157">
        <f>IF($B313="","",IF(ISNA(MATCH($B313,MASTER_JAM!$Q$5:$Q$28,0)),"?",IF(MATCH($B313,MASTER_JAM!$Q$5:$Q$28,0)&lt;=12,"DS","NS")))</f>
        <v/>
      </c>
      <c r="I313" s="157">
        <f>IFERROR(INDEX(MASTER_JAM!$B$5:$B$94,MATCH($C313,MASTER_JAM!$A$5:$A$94,0)),"")</f>
        <v/>
      </c>
      <c r="J313" s="157">
        <f>IFERROR(INDEX(MASTER_JAM!$E$5:$E$94,MATCH($D313,MASTER_JAM!$A$5:$A$94,0)),"")</f>
        <v/>
      </c>
      <c r="K313" s="158">
        <f>IFERROR(INDEX(MASTER_JAM!$J$5:$O$12,MATCH($E313,MASTER_JAM!$I$5:$I$12,0),MATCH($J313,MASTER_JAM!$J$4:$O$4,0))+0,0)</f>
        <v/>
      </c>
      <c r="L313" s="159">
        <f>N($F313)*$K313</f>
        <v/>
      </c>
      <c r="M313" s="157">
        <f>IF($E313="","",IF(OR($E313="Coal",$E313="Dirty Coal"),"MT","BCM"))</f>
        <v/>
      </c>
      <c r="N313" s="157">
        <f>IF($E313="","",IF(OR($E313="Coal",$E313="Dirty Coal"),"Coal","OB"))</f>
        <v/>
      </c>
      <c r="O313" s="157">
        <f>IF($F313="","",IF(COUNTIF(MASTER_JAM!$A$5:$A$94,$C313)=0,"Digger tidak dikenal",IF($J313="","Hauler tidak dikenal",IF($H313="?","Jam salah",IF($K313=0,"Faktor kosong",IF(SUMIFS(INPUT_DELAY!$E$5:$E$20000,INPUT_DELAY!$A$5:$A$20000,$A313,INPUT_DELAY!$B$5:$B$20000,$B313,INPUT_DELAY!$C$5:$C$20000,$C313)+SUMIFS(INPUT_DELAY!$E$5:$E$20000,INPUT_DELAY!$A$5:$A$20000,$A313,INPUT_DELAY!$B$5:$B$20000,$B313,INPUT_DELAY!$C$5:$C$20000,"SEMUA")&gt;=60,"Delay 60 mnt tapi ada ritase","OK"))))))</f>
        <v/>
      </c>
      <c r="P313" s="158">
        <f>IFERROR(INDEX(MASTER_JAM!$Z$5:$AC$10,MATCH($I313,MASTER_JAM!$Y$5:$Y$10,0),MATCH($J313,MASTER_JAM!$Z$4:$AC$4,0))+0,0)</f>
        <v/>
      </c>
      <c r="Q313" s="158">
        <f>IF($P313=0,0,$P313+IFERROR(INDEX(MASTER_JAM!$H$5:$H$94,MATCH($C313,MASTER_JAM!$A$5:$A$94,0))+0,MASTER_JAM!$AC$15)/1000*(60/MASTER_JAM!$AC$12+60/MASTER_JAM!$AC$13)+MASTER_JAM!$AC$14)</f>
        <v/>
      </c>
      <c r="R313" s="158">
        <f>IF(N($F313)=0,0,$F313/SUMIFS(INPUT_RITASE!$F$5:$F$20000,INPUT_RITASE!$A$5:$A$20000,$A313,INPUT_RITASE!$B$5:$B$20000,$B313,INPUT_RITASE!$C$5:$C$20000,$C313,INPUT_RITASE!$D$5:$D$20000,$D313))</f>
        <v/>
      </c>
      <c r="S313" s="158">
        <f>IF($Q313=0,0,$R313*$P313/$Q313)</f>
        <v/>
      </c>
    </row>
    <row r="314">
      <c r="A314" s="155" t="n">
        <v>46105</v>
      </c>
      <c r="B314" s="156" t="inlineStr">
        <is>
          <t>10-11</t>
        </is>
      </c>
      <c r="C314" s="156" t="inlineStr">
        <is>
          <t>EX-2101</t>
        </is>
      </c>
      <c r="D314" s="156" t="inlineStr">
        <is>
          <t>HD-903</t>
        </is>
      </c>
      <c r="E314" s="156" t="inlineStr">
        <is>
          <t>OB</t>
        </is>
      </c>
      <c r="F314" s="156" t="n">
        <v>4</v>
      </c>
      <c r="G314" s="156" t="inlineStr"/>
      <c r="H314" s="157">
        <f>IF($B314="","",IF(ISNA(MATCH($B314,MASTER_JAM!$Q$5:$Q$28,0)),"?",IF(MATCH($B314,MASTER_JAM!$Q$5:$Q$28,0)&lt;=12,"DS","NS")))</f>
        <v/>
      </c>
      <c r="I314" s="157">
        <f>IFERROR(INDEX(MASTER_JAM!$B$5:$B$94,MATCH($C314,MASTER_JAM!$A$5:$A$94,0)),"")</f>
        <v/>
      </c>
      <c r="J314" s="157">
        <f>IFERROR(INDEX(MASTER_JAM!$E$5:$E$94,MATCH($D314,MASTER_JAM!$A$5:$A$94,0)),"")</f>
        <v/>
      </c>
      <c r="K314" s="158">
        <f>IFERROR(INDEX(MASTER_JAM!$J$5:$O$12,MATCH($E314,MASTER_JAM!$I$5:$I$12,0),MATCH($J314,MASTER_JAM!$J$4:$O$4,0))+0,0)</f>
        <v/>
      </c>
      <c r="L314" s="159">
        <f>N($F314)*$K314</f>
        <v/>
      </c>
      <c r="M314" s="157">
        <f>IF($E314="","",IF(OR($E314="Coal",$E314="Dirty Coal"),"MT","BCM"))</f>
        <v/>
      </c>
      <c r="N314" s="157">
        <f>IF($E314="","",IF(OR($E314="Coal",$E314="Dirty Coal"),"Coal","OB"))</f>
        <v/>
      </c>
      <c r="O314" s="157">
        <f>IF($F314="","",IF(COUNTIF(MASTER_JAM!$A$5:$A$94,$C314)=0,"Digger tidak dikenal",IF($J314="","Hauler tidak dikenal",IF($H314="?","Jam salah",IF($K314=0,"Faktor kosong",IF(SUMIFS(INPUT_DELAY!$E$5:$E$20000,INPUT_DELAY!$A$5:$A$20000,$A314,INPUT_DELAY!$B$5:$B$20000,$B314,INPUT_DELAY!$C$5:$C$20000,$C314)+SUMIFS(INPUT_DELAY!$E$5:$E$20000,INPUT_DELAY!$A$5:$A$20000,$A314,INPUT_DELAY!$B$5:$B$20000,$B314,INPUT_DELAY!$C$5:$C$20000,"SEMUA")&gt;=60,"Delay 60 mnt tapi ada ritase","OK"))))))</f>
        <v/>
      </c>
      <c r="P314" s="158">
        <f>IFERROR(INDEX(MASTER_JAM!$Z$5:$AC$10,MATCH($I314,MASTER_JAM!$Y$5:$Y$10,0),MATCH($J314,MASTER_JAM!$Z$4:$AC$4,0))+0,0)</f>
        <v/>
      </c>
      <c r="Q314" s="158">
        <f>IF($P314=0,0,$P314+IFERROR(INDEX(MASTER_JAM!$H$5:$H$94,MATCH($C314,MASTER_JAM!$A$5:$A$94,0))+0,MASTER_JAM!$AC$15)/1000*(60/MASTER_JAM!$AC$12+60/MASTER_JAM!$AC$13)+MASTER_JAM!$AC$14)</f>
        <v/>
      </c>
      <c r="R314" s="158">
        <f>IF(N($F314)=0,0,$F314/SUMIFS(INPUT_RITASE!$F$5:$F$20000,INPUT_RITASE!$A$5:$A$20000,$A314,INPUT_RITASE!$B$5:$B$20000,$B314,INPUT_RITASE!$C$5:$C$20000,$C314,INPUT_RITASE!$D$5:$D$20000,$D314))</f>
        <v/>
      </c>
      <c r="S314" s="158">
        <f>IF($Q314=0,0,$R314*$P314/$Q314)</f>
        <v/>
      </c>
    </row>
    <row r="315">
      <c r="A315" s="155" t="n">
        <v>46105</v>
      </c>
      <c r="B315" s="156" t="inlineStr">
        <is>
          <t>10-11</t>
        </is>
      </c>
      <c r="C315" s="156" t="inlineStr">
        <is>
          <t>EX-2101</t>
        </is>
      </c>
      <c r="D315" s="156" t="inlineStr">
        <is>
          <t>DT-812</t>
        </is>
      </c>
      <c r="E315" s="156" t="inlineStr">
        <is>
          <t>OB</t>
        </is>
      </c>
      <c r="F315" s="156" t="n">
        <v>4</v>
      </c>
      <c r="G315" s="156" t="inlineStr"/>
      <c r="H315" s="157">
        <f>IF($B315="","",IF(ISNA(MATCH($B315,MASTER_JAM!$Q$5:$Q$28,0)),"?",IF(MATCH($B315,MASTER_JAM!$Q$5:$Q$28,0)&lt;=12,"DS","NS")))</f>
        <v/>
      </c>
      <c r="I315" s="157">
        <f>IFERROR(INDEX(MASTER_JAM!$B$5:$B$94,MATCH($C315,MASTER_JAM!$A$5:$A$94,0)),"")</f>
        <v/>
      </c>
      <c r="J315" s="157">
        <f>IFERROR(INDEX(MASTER_JAM!$E$5:$E$94,MATCH($D315,MASTER_JAM!$A$5:$A$94,0)),"")</f>
        <v/>
      </c>
      <c r="K315" s="158">
        <f>IFERROR(INDEX(MASTER_JAM!$J$5:$O$12,MATCH($E315,MASTER_JAM!$I$5:$I$12,0),MATCH($J315,MASTER_JAM!$J$4:$O$4,0))+0,0)</f>
        <v/>
      </c>
      <c r="L315" s="159">
        <f>N($F315)*$K315</f>
        <v/>
      </c>
      <c r="M315" s="157">
        <f>IF($E315="","",IF(OR($E315="Coal",$E315="Dirty Coal"),"MT","BCM"))</f>
        <v/>
      </c>
      <c r="N315" s="157">
        <f>IF($E315="","",IF(OR($E315="Coal",$E315="Dirty Coal"),"Coal","OB"))</f>
        <v/>
      </c>
      <c r="O315" s="157">
        <f>IF($F315="","",IF(COUNTIF(MASTER_JAM!$A$5:$A$94,$C315)=0,"Digger tidak dikenal",IF($J315="","Hauler tidak dikenal",IF($H315="?","Jam salah",IF($K315=0,"Faktor kosong",IF(SUMIFS(INPUT_DELAY!$E$5:$E$20000,INPUT_DELAY!$A$5:$A$20000,$A315,INPUT_DELAY!$B$5:$B$20000,$B315,INPUT_DELAY!$C$5:$C$20000,$C315)+SUMIFS(INPUT_DELAY!$E$5:$E$20000,INPUT_DELAY!$A$5:$A$20000,$A315,INPUT_DELAY!$B$5:$B$20000,$B315,INPUT_DELAY!$C$5:$C$20000,"SEMUA")&gt;=60,"Delay 60 mnt tapi ada ritase","OK"))))))</f>
        <v/>
      </c>
      <c r="P315" s="158">
        <f>IFERROR(INDEX(MASTER_JAM!$Z$5:$AC$10,MATCH($I315,MASTER_JAM!$Y$5:$Y$10,0),MATCH($J315,MASTER_JAM!$Z$4:$AC$4,0))+0,0)</f>
        <v/>
      </c>
      <c r="Q315" s="158">
        <f>IF($P315=0,0,$P315+IFERROR(INDEX(MASTER_JAM!$H$5:$H$94,MATCH($C315,MASTER_JAM!$A$5:$A$94,0))+0,MASTER_JAM!$AC$15)/1000*(60/MASTER_JAM!$AC$12+60/MASTER_JAM!$AC$13)+MASTER_JAM!$AC$14)</f>
        <v/>
      </c>
      <c r="R315" s="158">
        <f>IF(N($F315)=0,0,$F315/SUMIFS(INPUT_RITASE!$F$5:$F$20000,INPUT_RITASE!$A$5:$A$20000,$A315,INPUT_RITASE!$B$5:$B$20000,$B315,INPUT_RITASE!$C$5:$C$20000,$C315,INPUT_RITASE!$D$5:$D$20000,$D315))</f>
        <v/>
      </c>
      <c r="S315" s="158">
        <f>IF($Q315=0,0,$R315*$P315/$Q315)</f>
        <v/>
      </c>
    </row>
    <row r="316">
      <c r="A316" s="155" t="n">
        <v>46105</v>
      </c>
      <c r="B316" s="156" t="inlineStr">
        <is>
          <t>11-12</t>
        </is>
      </c>
      <c r="C316" s="156" t="inlineStr">
        <is>
          <t>EX-2101</t>
        </is>
      </c>
      <c r="D316" s="156" t="inlineStr">
        <is>
          <t>HD-901</t>
        </is>
      </c>
      <c r="E316" s="156" t="inlineStr">
        <is>
          <t>OB</t>
        </is>
      </c>
      <c r="F316" s="156" t="n">
        <v>4</v>
      </c>
      <c r="G316" s="156" t="inlineStr"/>
      <c r="H316" s="157">
        <f>IF($B316="","",IF(ISNA(MATCH($B316,MASTER_JAM!$Q$5:$Q$28,0)),"?",IF(MATCH($B316,MASTER_JAM!$Q$5:$Q$28,0)&lt;=12,"DS","NS")))</f>
        <v/>
      </c>
      <c r="I316" s="157">
        <f>IFERROR(INDEX(MASTER_JAM!$B$5:$B$94,MATCH($C316,MASTER_JAM!$A$5:$A$94,0)),"")</f>
        <v/>
      </c>
      <c r="J316" s="157">
        <f>IFERROR(INDEX(MASTER_JAM!$E$5:$E$94,MATCH($D316,MASTER_JAM!$A$5:$A$94,0)),"")</f>
        <v/>
      </c>
      <c r="K316" s="158">
        <f>IFERROR(INDEX(MASTER_JAM!$J$5:$O$12,MATCH($E316,MASTER_JAM!$I$5:$I$12,0),MATCH($J316,MASTER_JAM!$J$4:$O$4,0))+0,0)</f>
        <v/>
      </c>
      <c r="L316" s="159">
        <f>N($F316)*$K316</f>
        <v/>
      </c>
      <c r="M316" s="157">
        <f>IF($E316="","",IF(OR($E316="Coal",$E316="Dirty Coal"),"MT","BCM"))</f>
        <v/>
      </c>
      <c r="N316" s="157">
        <f>IF($E316="","",IF(OR($E316="Coal",$E316="Dirty Coal"),"Coal","OB"))</f>
        <v/>
      </c>
      <c r="O316" s="157">
        <f>IF($F316="","",IF(COUNTIF(MASTER_JAM!$A$5:$A$94,$C316)=0,"Digger tidak dikenal",IF($J316="","Hauler tidak dikenal",IF($H316="?","Jam salah",IF($K316=0,"Faktor kosong",IF(SUMIFS(INPUT_DELAY!$E$5:$E$20000,INPUT_DELAY!$A$5:$A$20000,$A316,INPUT_DELAY!$B$5:$B$20000,$B316,INPUT_DELAY!$C$5:$C$20000,$C316)+SUMIFS(INPUT_DELAY!$E$5:$E$20000,INPUT_DELAY!$A$5:$A$20000,$A316,INPUT_DELAY!$B$5:$B$20000,$B316,INPUT_DELAY!$C$5:$C$20000,"SEMUA")&gt;=60,"Delay 60 mnt tapi ada ritase","OK"))))))</f>
        <v/>
      </c>
      <c r="P316" s="158">
        <f>IFERROR(INDEX(MASTER_JAM!$Z$5:$AC$10,MATCH($I316,MASTER_JAM!$Y$5:$Y$10,0),MATCH($J316,MASTER_JAM!$Z$4:$AC$4,0))+0,0)</f>
        <v/>
      </c>
      <c r="Q316" s="158">
        <f>IF($P316=0,0,$P316+IFERROR(INDEX(MASTER_JAM!$H$5:$H$94,MATCH($C316,MASTER_JAM!$A$5:$A$94,0))+0,MASTER_JAM!$AC$15)/1000*(60/MASTER_JAM!$AC$12+60/MASTER_JAM!$AC$13)+MASTER_JAM!$AC$14)</f>
        <v/>
      </c>
      <c r="R316" s="158">
        <f>IF(N($F316)=0,0,$F316/SUMIFS(INPUT_RITASE!$F$5:$F$20000,INPUT_RITASE!$A$5:$A$20000,$A316,INPUT_RITASE!$B$5:$B$20000,$B316,INPUT_RITASE!$C$5:$C$20000,$C316,INPUT_RITASE!$D$5:$D$20000,$D316))</f>
        <v/>
      </c>
      <c r="S316" s="158">
        <f>IF($Q316=0,0,$R316*$P316/$Q316)</f>
        <v/>
      </c>
    </row>
    <row r="317">
      <c r="A317" s="155" t="n">
        <v>46105</v>
      </c>
      <c r="B317" s="156" t="inlineStr">
        <is>
          <t>11-12</t>
        </is>
      </c>
      <c r="C317" s="156" t="inlineStr">
        <is>
          <t>EX-2101</t>
        </is>
      </c>
      <c r="D317" s="156" t="inlineStr">
        <is>
          <t>HD-902</t>
        </is>
      </c>
      <c r="E317" s="156" t="inlineStr">
        <is>
          <t>OB</t>
        </is>
      </c>
      <c r="F317" s="156" t="n">
        <v>3</v>
      </c>
      <c r="G317" s="156" t="inlineStr"/>
      <c r="H317" s="157">
        <f>IF($B317="","",IF(ISNA(MATCH($B317,MASTER_JAM!$Q$5:$Q$28,0)),"?",IF(MATCH($B317,MASTER_JAM!$Q$5:$Q$28,0)&lt;=12,"DS","NS")))</f>
        <v/>
      </c>
      <c r="I317" s="157">
        <f>IFERROR(INDEX(MASTER_JAM!$B$5:$B$94,MATCH($C317,MASTER_JAM!$A$5:$A$94,0)),"")</f>
        <v/>
      </c>
      <c r="J317" s="157">
        <f>IFERROR(INDEX(MASTER_JAM!$E$5:$E$94,MATCH($D317,MASTER_JAM!$A$5:$A$94,0)),"")</f>
        <v/>
      </c>
      <c r="K317" s="158">
        <f>IFERROR(INDEX(MASTER_JAM!$J$5:$O$12,MATCH($E317,MASTER_JAM!$I$5:$I$12,0),MATCH($J317,MASTER_JAM!$J$4:$O$4,0))+0,0)</f>
        <v/>
      </c>
      <c r="L317" s="159">
        <f>N($F317)*$K317</f>
        <v/>
      </c>
      <c r="M317" s="157">
        <f>IF($E317="","",IF(OR($E317="Coal",$E317="Dirty Coal"),"MT","BCM"))</f>
        <v/>
      </c>
      <c r="N317" s="157">
        <f>IF($E317="","",IF(OR($E317="Coal",$E317="Dirty Coal"),"Coal","OB"))</f>
        <v/>
      </c>
      <c r="O317" s="157">
        <f>IF($F317="","",IF(COUNTIF(MASTER_JAM!$A$5:$A$94,$C317)=0,"Digger tidak dikenal",IF($J317="","Hauler tidak dikenal",IF($H317="?","Jam salah",IF($K317=0,"Faktor kosong",IF(SUMIFS(INPUT_DELAY!$E$5:$E$20000,INPUT_DELAY!$A$5:$A$20000,$A317,INPUT_DELAY!$B$5:$B$20000,$B317,INPUT_DELAY!$C$5:$C$20000,$C317)+SUMIFS(INPUT_DELAY!$E$5:$E$20000,INPUT_DELAY!$A$5:$A$20000,$A317,INPUT_DELAY!$B$5:$B$20000,$B317,INPUT_DELAY!$C$5:$C$20000,"SEMUA")&gt;=60,"Delay 60 mnt tapi ada ritase","OK"))))))</f>
        <v/>
      </c>
      <c r="P317" s="158">
        <f>IFERROR(INDEX(MASTER_JAM!$Z$5:$AC$10,MATCH($I317,MASTER_JAM!$Y$5:$Y$10,0),MATCH($J317,MASTER_JAM!$Z$4:$AC$4,0))+0,0)</f>
        <v/>
      </c>
      <c r="Q317" s="158">
        <f>IF($P317=0,0,$P317+IFERROR(INDEX(MASTER_JAM!$H$5:$H$94,MATCH($C317,MASTER_JAM!$A$5:$A$94,0))+0,MASTER_JAM!$AC$15)/1000*(60/MASTER_JAM!$AC$12+60/MASTER_JAM!$AC$13)+MASTER_JAM!$AC$14)</f>
        <v/>
      </c>
      <c r="R317" s="158">
        <f>IF(N($F317)=0,0,$F317/SUMIFS(INPUT_RITASE!$F$5:$F$20000,INPUT_RITASE!$A$5:$A$20000,$A317,INPUT_RITASE!$B$5:$B$20000,$B317,INPUT_RITASE!$C$5:$C$20000,$C317,INPUT_RITASE!$D$5:$D$20000,$D317))</f>
        <v/>
      </c>
      <c r="S317" s="158">
        <f>IF($Q317=0,0,$R317*$P317/$Q317)</f>
        <v/>
      </c>
    </row>
    <row r="318">
      <c r="A318" s="155" t="n">
        <v>46105</v>
      </c>
      <c r="B318" s="156" t="inlineStr">
        <is>
          <t>11-12</t>
        </is>
      </c>
      <c r="C318" s="156" t="inlineStr">
        <is>
          <t>EX-2101</t>
        </is>
      </c>
      <c r="D318" s="156" t="inlineStr">
        <is>
          <t>HD-905</t>
        </is>
      </c>
      <c r="E318" s="156" t="inlineStr">
        <is>
          <t>OB</t>
        </is>
      </c>
      <c r="F318" s="156" t="n">
        <v>3</v>
      </c>
      <c r="G318" s="156" t="inlineStr"/>
      <c r="H318" s="157">
        <f>IF($B318="","",IF(ISNA(MATCH($B318,MASTER_JAM!$Q$5:$Q$28,0)),"?",IF(MATCH($B318,MASTER_JAM!$Q$5:$Q$28,0)&lt;=12,"DS","NS")))</f>
        <v/>
      </c>
      <c r="I318" s="157">
        <f>IFERROR(INDEX(MASTER_JAM!$B$5:$B$94,MATCH($C318,MASTER_JAM!$A$5:$A$94,0)),"")</f>
        <v/>
      </c>
      <c r="J318" s="157">
        <f>IFERROR(INDEX(MASTER_JAM!$E$5:$E$94,MATCH($D318,MASTER_JAM!$A$5:$A$94,0)),"")</f>
        <v/>
      </c>
      <c r="K318" s="158">
        <f>IFERROR(INDEX(MASTER_JAM!$J$5:$O$12,MATCH($E318,MASTER_JAM!$I$5:$I$12,0),MATCH($J318,MASTER_JAM!$J$4:$O$4,0))+0,0)</f>
        <v/>
      </c>
      <c r="L318" s="159">
        <f>N($F318)*$K318</f>
        <v/>
      </c>
      <c r="M318" s="157">
        <f>IF($E318="","",IF(OR($E318="Coal",$E318="Dirty Coal"),"MT","BCM"))</f>
        <v/>
      </c>
      <c r="N318" s="157">
        <f>IF($E318="","",IF(OR($E318="Coal",$E318="Dirty Coal"),"Coal","OB"))</f>
        <v/>
      </c>
      <c r="O318" s="157">
        <f>IF($F318="","",IF(COUNTIF(MASTER_JAM!$A$5:$A$94,$C318)=0,"Digger tidak dikenal",IF($J318="","Hauler tidak dikenal",IF($H318="?","Jam salah",IF($K318=0,"Faktor kosong",IF(SUMIFS(INPUT_DELAY!$E$5:$E$20000,INPUT_DELAY!$A$5:$A$20000,$A318,INPUT_DELAY!$B$5:$B$20000,$B318,INPUT_DELAY!$C$5:$C$20000,$C318)+SUMIFS(INPUT_DELAY!$E$5:$E$20000,INPUT_DELAY!$A$5:$A$20000,$A318,INPUT_DELAY!$B$5:$B$20000,$B318,INPUT_DELAY!$C$5:$C$20000,"SEMUA")&gt;=60,"Delay 60 mnt tapi ada ritase","OK"))))))</f>
        <v/>
      </c>
      <c r="P318" s="158">
        <f>IFERROR(INDEX(MASTER_JAM!$Z$5:$AC$10,MATCH($I318,MASTER_JAM!$Y$5:$Y$10,0),MATCH($J318,MASTER_JAM!$Z$4:$AC$4,0))+0,0)</f>
        <v/>
      </c>
      <c r="Q318" s="158">
        <f>IF($P318=0,0,$P318+IFERROR(INDEX(MASTER_JAM!$H$5:$H$94,MATCH($C318,MASTER_JAM!$A$5:$A$94,0))+0,MASTER_JAM!$AC$15)/1000*(60/MASTER_JAM!$AC$12+60/MASTER_JAM!$AC$13)+MASTER_JAM!$AC$14)</f>
        <v/>
      </c>
      <c r="R318" s="158">
        <f>IF(N($F318)=0,0,$F318/SUMIFS(INPUT_RITASE!$F$5:$F$20000,INPUT_RITASE!$A$5:$A$20000,$A318,INPUT_RITASE!$B$5:$B$20000,$B318,INPUT_RITASE!$C$5:$C$20000,$C318,INPUT_RITASE!$D$5:$D$20000,$D318))</f>
        <v/>
      </c>
      <c r="S318" s="158">
        <f>IF($Q318=0,0,$R318*$P318/$Q318)</f>
        <v/>
      </c>
    </row>
    <row r="319">
      <c r="A319" s="155" t="n">
        <v>46105</v>
      </c>
      <c r="B319" s="156" t="inlineStr">
        <is>
          <t>11-12</t>
        </is>
      </c>
      <c r="C319" s="156" t="inlineStr">
        <is>
          <t>EX-2101</t>
        </is>
      </c>
      <c r="D319" s="156" t="inlineStr">
        <is>
          <t>HD-903</t>
        </is>
      </c>
      <c r="E319" s="156" t="inlineStr">
        <is>
          <t>OB</t>
        </is>
      </c>
      <c r="F319" s="156" t="n">
        <v>3</v>
      </c>
      <c r="G319" s="156" t="inlineStr"/>
      <c r="H319" s="157">
        <f>IF($B319="","",IF(ISNA(MATCH($B319,MASTER_JAM!$Q$5:$Q$28,0)),"?",IF(MATCH($B319,MASTER_JAM!$Q$5:$Q$28,0)&lt;=12,"DS","NS")))</f>
        <v/>
      </c>
      <c r="I319" s="157">
        <f>IFERROR(INDEX(MASTER_JAM!$B$5:$B$94,MATCH($C319,MASTER_JAM!$A$5:$A$94,0)),"")</f>
        <v/>
      </c>
      <c r="J319" s="157">
        <f>IFERROR(INDEX(MASTER_JAM!$E$5:$E$94,MATCH($D319,MASTER_JAM!$A$5:$A$94,0)),"")</f>
        <v/>
      </c>
      <c r="K319" s="158">
        <f>IFERROR(INDEX(MASTER_JAM!$J$5:$O$12,MATCH($E319,MASTER_JAM!$I$5:$I$12,0),MATCH($J319,MASTER_JAM!$J$4:$O$4,0))+0,0)</f>
        <v/>
      </c>
      <c r="L319" s="159">
        <f>N($F319)*$K319</f>
        <v/>
      </c>
      <c r="M319" s="157">
        <f>IF($E319="","",IF(OR($E319="Coal",$E319="Dirty Coal"),"MT","BCM"))</f>
        <v/>
      </c>
      <c r="N319" s="157">
        <f>IF($E319="","",IF(OR($E319="Coal",$E319="Dirty Coal"),"Coal","OB"))</f>
        <v/>
      </c>
      <c r="O319" s="157">
        <f>IF($F319="","",IF(COUNTIF(MASTER_JAM!$A$5:$A$94,$C319)=0,"Digger tidak dikenal",IF($J319="","Hauler tidak dikenal",IF($H319="?","Jam salah",IF($K319=0,"Faktor kosong",IF(SUMIFS(INPUT_DELAY!$E$5:$E$20000,INPUT_DELAY!$A$5:$A$20000,$A319,INPUT_DELAY!$B$5:$B$20000,$B319,INPUT_DELAY!$C$5:$C$20000,$C319)+SUMIFS(INPUT_DELAY!$E$5:$E$20000,INPUT_DELAY!$A$5:$A$20000,$A319,INPUT_DELAY!$B$5:$B$20000,$B319,INPUT_DELAY!$C$5:$C$20000,"SEMUA")&gt;=60,"Delay 60 mnt tapi ada ritase","OK"))))))</f>
        <v/>
      </c>
      <c r="P319" s="158">
        <f>IFERROR(INDEX(MASTER_JAM!$Z$5:$AC$10,MATCH($I319,MASTER_JAM!$Y$5:$Y$10,0),MATCH($J319,MASTER_JAM!$Z$4:$AC$4,0))+0,0)</f>
        <v/>
      </c>
      <c r="Q319" s="158">
        <f>IF($P319=0,0,$P319+IFERROR(INDEX(MASTER_JAM!$H$5:$H$94,MATCH($C319,MASTER_JAM!$A$5:$A$94,0))+0,MASTER_JAM!$AC$15)/1000*(60/MASTER_JAM!$AC$12+60/MASTER_JAM!$AC$13)+MASTER_JAM!$AC$14)</f>
        <v/>
      </c>
      <c r="R319" s="158">
        <f>IF(N($F319)=0,0,$F319/SUMIFS(INPUT_RITASE!$F$5:$F$20000,INPUT_RITASE!$A$5:$A$20000,$A319,INPUT_RITASE!$B$5:$B$20000,$B319,INPUT_RITASE!$C$5:$C$20000,$C319,INPUT_RITASE!$D$5:$D$20000,$D319))</f>
        <v/>
      </c>
      <c r="S319" s="158">
        <f>IF($Q319=0,0,$R319*$P319/$Q319)</f>
        <v/>
      </c>
    </row>
    <row r="320">
      <c r="A320" s="155" t="n">
        <v>46105</v>
      </c>
      <c r="B320" s="156" t="inlineStr">
        <is>
          <t>11-12</t>
        </is>
      </c>
      <c r="C320" s="156" t="inlineStr">
        <is>
          <t>EX-2101</t>
        </is>
      </c>
      <c r="D320" s="156" t="inlineStr">
        <is>
          <t>DT-810</t>
        </is>
      </c>
      <c r="E320" s="156" t="inlineStr">
        <is>
          <t>OB</t>
        </is>
      </c>
      <c r="F320" s="156" t="n">
        <v>3</v>
      </c>
      <c r="G320" s="156" t="inlineStr"/>
      <c r="H320" s="157">
        <f>IF($B320="","",IF(ISNA(MATCH($B320,MASTER_JAM!$Q$5:$Q$28,0)),"?",IF(MATCH($B320,MASTER_JAM!$Q$5:$Q$28,0)&lt;=12,"DS","NS")))</f>
        <v/>
      </c>
      <c r="I320" s="157">
        <f>IFERROR(INDEX(MASTER_JAM!$B$5:$B$94,MATCH($C320,MASTER_JAM!$A$5:$A$94,0)),"")</f>
        <v/>
      </c>
      <c r="J320" s="157">
        <f>IFERROR(INDEX(MASTER_JAM!$E$5:$E$94,MATCH($D320,MASTER_JAM!$A$5:$A$94,0)),"")</f>
        <v/>
      </c>
      <c r="K320" s="158">
        <f>IFERROR(INDEX(MASTER_JAM!$J$5:$O$12,MATCH($E320,MASTER_JAM!$I$5:$I$12,0),MATCH($J320,MASTER_JAM!$J$4:$O$4,0))+0,0)</f>
        <v/>
      </c>
      <c r="L320" s="159">
        <f>N($F320)*$K320</f>
        <v/>
      </c>
      <c r="M320" s="157">
        <f>IF($E320="","",IF(OR($E320="Coal",$E320="Dirty Coal"),"MT","BCM"))</f>
        <v/>
      </c>
      <c r="N320" s="157">
        <f>IF($E320="","",IF(OR($E320="Coal",$E320="Dirty Coal"),"Coal","OB"))</f>
        <v/>
      </c>
      <c r="O320" s="157">
        <f>IF($F320="","",IF(COUNTIF(MASTER_JAM!$A$5:$A$94,$C320)=0,"Digger tidak dikenal",IF($J320="","Hauler tidak dikenal",IF($H320="?","Jam salah",IF($K320=0,"Faktor kosong",IF(SUMIFS(INPUT_DELAY!$E$5:$E$20000,INPUT_DELAY!$A$5:$A$20000,$A320,INPUT_DELAY!$B$5:$B$20000,$B320,INPUT_DELAY!$C$5:$C$20000,$C320)+SUMIFS(INPUT_DELAY!$E$5:$E$20000,INPUT_DELAY!$A$5:$A$20000,$A320,INPUT_DELAY!$B$5:$B$20000,$B320,INPUT_DELAY!$C$5:$C$20000,"SEMUA")&gt;=60,"Delay 60 mnt tapi ada ritase","OK"))))))</f>
        <v/>
      </c>
      <c r="P320" s="158">
        <f>IFERROR(INDEX(MASTER_JAM!$Z$5:$AC$10,MATCH($I320,MASTER_JAM!$Y$5:$Y$10,0),MATCH($J320,MASTER_JAM!$Z$4:$AC$4,0))+0,0)</f>
        <v/>
      </c>
      <c r="Q320" s="158">
        <f>IF($P320=0,0,$P320+IFERROR(INDEX(MASTER_JAM!$H$5:$H$94,MATCH($C320,MASTER_JAM!$A$5:$A$94,0))+0,MASTER_JAM!$AC$15)/1000*(60/MASTER_JAM!$AC$12+60/MASTER_JAM!$AC$13)+MASTER_JAM!$AC$14)</f>
        <v/>
      </c>
      <c r="R320" s="158">
        <f>IF(N($F320)=0,0,$F320/SUMIFS(INPUT_RITASE!$F$5:$F$20000,INPUT_RITASE!$A$5:$A$20000,$A320,INPUT_RITASE!$B$5:$B$20000,$B320,INPUT_RITASE!$C$5:$C$20000,$C320,INPUT_RITASE!$D$5:$D$20000,$D320))</f>
        <v/>
      </c>
      <c r="S320" s="158">
        <f>IF($Q320=0,0,$R320*$P320/$Q320)</f>
        <v/>
      </c>
    </row>
    <row r="321">
      <c r="A321" s="155" t="n">
        <v>46105</v>
      </c>
      <c r="B321" s="156" t="inlineStr">
        <is>
          <t>11-12</t>
        </is>
      </c>
      <c r="C321" s="156" t="inlineStr">
        <is>
          <t>EX-2101</t>
        </is>
      </c>
      <c r="D321" s="156" t="inlineStr">
        <is>
          <t>DT-812</t>
        </is>
      </c>
      <c r="E321" s="156" t="inlineStr">
        <is>
          <t>OB</t>
        </is>
      </c>
      <c r="F321" s="156" t="n">
        <v>2</v>
      </c>
      <c r="G321" s="156" t="inlineStr"/>
      <c r="H321" s="157">
        <f>IF($B321="","",IF(ISNA(MATCH($B321,MASTER_JAM!$Q$5:$Q$28,0)),"?",IF(MATCH($B321,MASTER_JAM!$Q$5:$Q$28,0)&lt;=12,"DS","NS")))</f>
        <v/>
      </c>
      <c r="I321" s="157">
        <f>IFERROR(INDEX(MASTER_JAM!$B$5:$B$94,MATCH($C321,MASTER_JAM!$A$5:$A$94,0)),"")</f>
        <v/>
      </c>
      <c r="J321" s="157">
        <f>IFERROR(INDEX(MASTER_JAM!$E$5:$E$94,MATCH($D321,MASTER_JAM!$A$5:$A$94,0)),"")</f>
        <v/>
      </c>
      <c r="K321" s="158">
        <f>IFERROR(INDEX(MASTER_JAM!$J$5:$O$12,MATCH($E321,MASTER_JAM!$I$5:$I$12,0),MATCH($J321,MASTER_JAM!$J$4:$O$4,0))+0,0)</f>
        <v/>
      </c>
      <c r="L321" s="159">
        <f>N($F321)*$K321</f>
        <v/>
      </c>
      <c r="M321" s="157">
        <f>IF($E321="","",IF(OR($E321="Coal",$E321="Dirty Coal"),"MT","BCM"))</f>
        <v/>
      </c>
      <c r="N321" s="157">
        <f>IF($E321="","",IF(OR($E321="Coal",$E321="Dirty Coal"),"Coal","OB"))</f>
        <v/>
      </c>
      <c r="O321" s="157">
        <f>IF($F321="","",IF(COUNTIF(MASTER_JAM!$A$5:$A$94,$C321)=0,"Digger tidak dikenal",IF($J321="","Hauler tidak dikenal",IF($H321="?","Jam salah",IF($K321=0,"Faktor kosong",IF(SUMIFS(INPUT_DELAY!$E$5:$E$20000,INPUT_DELAY!$A$5:$A$20000,$A321,INPUT_DELAY!$B$5:$B$20000,$B321,INPUT_DELAY!$C$5:$C$20000,$C321)+SUMIFS(INPUT_DELAY!$E$5:$E$20000,INPUT_DELAY!$A$5:$A$20000,$A321,INPUT_DELAY!$B$5:$B$20000,$B321,INPUT_DELAY!$C$5:$C$20000,"SEMUA")&gt;=60,"Delay 60 mnt tapi ada ritase","OK"))))))</f>
        <v/>
      </c>
      <c r="P321" s="158">
        <f>IFERROR(INDEX(MASTER_JAM!$Z$5:$AC$10,MATCH($I321,MASTER_JAM!$Y$5:$Y$10,0),MATCH($J321,MASTER_JAM!$Z$4:$AC$4,0))+0,0)</f>
        <v/>
      </c>
      <c r="Q321" s="158">
        <f>IF($P321=0,0,$P321+IFERROR(INDEX(MASTER_JAM!$H$5:$H$94,MATCH($C321,MASTER_JAM!$A$5:$A$94,0))+0,MASTER_JAM!$AC$15)/1000*(60/MASTER_JAM!$AC$12+60/MASTER_JAM!$AC$13)+MASTER_JAM!$AC$14)</f>
        <v/>
      </c>
      <c r="R321" s="158">
        <f>IF(N($F321)=0,0,$F321/SUMIFS(INPUT_RITASE!$F$5:$F$20000,INPUT_RITASE!$A$5:$A$20000,$A321,INPUT_RITASE!$B$5:$B$20000,$B321,INPUT_RITASE!$C$5:$C$20000,$C321,INPUT_RITASE!$D$5:$D$20000,$D321))</f>
        <v/>
      </c>
      <c r="S321" s="158">
        <f>IF($Q321=0,0,$R321*$P321/$Q321)</f>
        <v/>
      </c>
    </row>
    <row r="322">
      <c r="A322" s="155" t="n">
        <v>46105</v>
      </c>
      <c r="B322" s="156" t="inlineStr">
        <is>
          <t>13-14</t>
        </is>
      </c>
      <c r="C322" s="156" t="inlineStr">
        <is>
          <t>EX-2101</t>
        </is>
      </c>
      <c r="D322" s="156" t="inlineStr">
        <is>
          <t>HD-902</t>
        </is>
      </c>
      <c r="E322" s="156" t="inlineStr">
        <is>
          <t>OB</t>
        </is>
      </c>
      <c r="F322" s="156" t="n">
        <v>4</v>
      </c>
      <c r="G322" s="156" t="inlineStr"/>
      <c r="H322" s="157">
        <f>IF($B322="","",IF(ISNA(MATCH($B322,MASTER_JAM!$Q$5:$Q$28,0)),"?",IF(MATCH($B322,MASTER_JAM!$Q$5:$Q$28,0)&lt;=12,"DS","NS")))</f>
        <v/>
      </c>
      <c r="I322" s="157">
        <f>IFERROR(INDEX(MASTER_JAM!$B$5:$B$94,MATCH($C322,MASTER_JAM!$A$5:$A$94,0)),"")</f>
        <v/>
      </c>
      <c r="J322" s="157">
        <f>IFERROR(INDEX(MASTER_JAM!$E$5:$E$94,MATCH($D322,MASTER_JAM!$A$5:$A$94,0)),"")</f>
        <v/>
      </c>
      <c r="K322" s="158">
        <f>IFERROR(INDEX(MASTER_JAM!$J$5:$O$12,MATCH($E322,MASTER_JAM!$I$5:$I$12,0),MATCH($J322,MASTER_JAM!$J$4:$O$4,0))+0,0)</f>
        <v/>
      </c>
      <c r="L322" s="159">
        <f>N($F322)*$K322</f>
        <v/>
      </c>
      <c r="M322" s="157">
        <f>IF($E322="","",IF(OR($E322="Coal",$E322="Dirty Coal"),"MT","BCM"))</f>
        <v/>
      </c>
      <c r="N322" s="157">
        <f>IF($E322="","",IF(OR($E322="Coal",$E322="Dirty Coal"),"Coal","OB"))</f>
        <v/>
      </c>
      <c r="O322" s="157">
        <f>IF($F322="","",IF(COUNTIF(MASTER_JAM!$A$5:$A$94,$C322)=0,"Digger tidak dikenal",IF($J322="","Hauler tidak dikenal",IF($H322="?","Jam salah",IF($K322=0,"Faktor kosong",IF(SUMIFS(INPUT_DELAY!$E$5:$E$20000,INPUT_DELAY!$A$5:$A$20000,$A322,INPUT_DELAY!$B$5:$B$20000,$B322,INPUT_DELAY!$C$5:$C$20000,$C322)+SUMIFS(INPUT_DELAY!$E$5:$E$20000,INPUT_DELAY!$A$5:$A$20000,$A322,INPUT_DELAY!$B$5:$B$20000,$B322,INPUT_DELAY!$C$5:$C$20000,"SEMUA")&gt;=60,"Delay 60 mnt tapi ada ritase","OK"))))))</f>
        <v/>
      </c>
      <c r="P322" s="158">
        <f>IFERROR(INDEX(MASTER_JAM!$Z$5:$AC$10,MATCH($I322,MASTER_JAM!$Y$5:$Y$10,0),MATCH($J322,MASTER_JAM!$Z$4:$AC$4,0))+0,0)</f>
        <v/>
      </c>
      <c r="Q322" s="158">
        <f>IF($P322=0,0,$P322+IFERROR(INDEX(MASTER_JAM!$H$5:$H$94,MATCH($C322,MASTER_JAM!$A$5:$A$94,0))+0,MASTER_JAM!$AC$15)/1000*(60/MASTER_JAM!$AC$12+60/MASTER_JAM!$AC$13)+MASTER_JAM!$AC$14)</f>
        <v/>
      </c>
      <c r="R322" s="158">
        <f>IF(N($F322)=0,0,$F322/SUMIFS(INPUT_RITASE!$F$5:$F$20000,INPUT_RITASE!$A$5:$A$20000,$A322,INPUT_RITASE!$B$5:$B$20000,$B322,INPUT_RITASE!$C$5:$C$20000,$C322,INPUT_RITASE!$D$5:$D$20000,$D322))</f>
        <v/>
      </c>
      <c r="S322" s="158">
        <f>IF($Q322=0,0,$R322*$P322/$Q322)</f>
        <v/>
      </c>
    </row>
    <row r="323">
      <c r="A323" s="155" t="n">
        <v>46105</v>
      </c>
      <c r="B323" s="156" t="inlineStr">
        <is>
          <t>13-14</t>
        </is>
      </c>
      <c r="C323" s="156" t="inlineStr">
        <is>
          <t>EX-2101</t>
        </is>
      </c>
      <c r="D323" s="156" t="inlineStr">
        <is>
          <t>HD-903</t>
        </is>
      </c>
      <c r="E323" s="156" t="inlineStr">
        <is>
          <t>OB</t>
        </is>
      </c>
      <c r="F323" s="156" t="n">
        <v>4</v>
      </c>
      <c r="G323" s="156" t="inlineStr"/>
      <c r="H323" s="157">
        <f>IF($B323="","",IF(ISNA(MATCH($B323,MASTER_JAM!$Q$5:$Q$28,0)),"?",IF(MATCH($B323,MASTER_JAM!$Q$5:$Q$28,0)&lt;=12,"DS","NS")))</f>
        <v/>
      </c>
      <c r="I323" s="157">
        <f>IFERROR(INDEX(MASTER_JAM!$B$5:$B$94,MATCH($C323,MASTER_JAM!$A$5:$A$94,0)),"")</f>
        <v/>
      </c>
      <c r="J323" s="157">
        <f>IFERROR(INDEX(MASTER_JAM!$E$5:$E$94,MATCH($D323,MASTER_JAM!$A$5:$A$94,0)),"")</f>
        <v/>
      </c>
      <c r="K323" s="158">
        <f>IFERROR(INDEX(MASTER_JAM!$J$5:$O$12,MATCH($E323,MASTER_JAM!$I$5:$I$12,0),MATCH($J323,MASTER_JAM!$J$4:$O$4,0))+0,0)</f>
        <v/>
      </c>
      <c r="L323" s="159">
        <f>N($F323)*$K323</f>
        <v/>
      </c>
      <c r="M323" s="157">
        <f>IF($E323="","",IF(OR($E323="Coal",$E323="Dirty Coal"),"MT","BCM"))</f>
        <v/>
      </c>
      <c r="N323" s="157">
        <f>IF($E323="","",IF(OR($E323="Coal",$E323="Dirty Coal"),"Coal","OB"))</f>
        <v/>
      </c>
      <c r="O323" s="157">
        <f>IF($F323="","",IF(COUNTIF(MASTER_JAM!$A$5:$A$94,$C323)=0,"Digger tidak dikenal",IF($J323="","Hauler tidak dikenal",IF($H323="?","Jam salah",IF($K323=0,"Faktor kosong",IF(SUMIFS(INPUT_DELAY!$E$5:$E$20000,INPUT_DELAY!$A$5:$A$20000,$A323,INPUT_DELAY!$B$5:$B$20000,$B323,INPUT_DELAY!$C$5:$C$20000,$C323)+SUMIFS(INPUT_DELAY!$E$5:$E$20000,INPUT_DELAY!$A$5:$A$20000,$A323,INPUT_DELAY!$B$5:$B$20000,$B323,INPUT_DELAY!$C$5:$C$20000,"SEMUA")&gt;=60,"Delay 60 mnt tapi ada ritase","OK"))))))</f>
        <v/>
      </c>
      <c r="P323" s="158">
        <f>IFERROR(INDEX(MASTER_JAM!$Z$5:$AC$10,MATCH($I323,MASTER_JAM!$Y$5:$Y$10,0),MATCH($J323,MASTER_JAM!$Z$4:$AC$4,0))+0,0)</f>
        <v/>
      </c>
      <c r="Q323" s="158">
        <f>IF($P323=0,0,$P323+IFERROR(INDEX(MASTER_JAM!$H$5:$H$94,MATCH($C323,MASTER_JAM!$A$5:$A$94,0))+0,MASTER_JAM!$AC$15)/1000*(60/MASTER_JAM!$AC$12+60/MASTER_JAM!$AC$13)+MASTER_JAM!$AC$14)</f>
        <v/>
      </c>
      <c r="R323" s="158">
        <f>IF(N($F323)=0,0,$F323/SUMIFS(INPUT_RITASE!$F$5:$F$20000,INPUT_RITASE!$A$5:$A$20000,$A323,INPUT_RITASE!$B$5:$B$20000,$B323,INPUT_RITASE!$C$5:$C$20000,$C323,INPUT_RITASE!$D$5:$D$20000,$D323))</f>
        <v/>
      </c>
      <c r="S323" s="158">
        <f>IF($Q323=0,0,$R323*$P323/$Q323)</f>
        <v/>
      </c>
    </row>
    <row r="324">
      <c r="A324" s="155" t="n">
        <v>46105</v>
      </c>
      <c r="B324" s="156" t="inlineStr">
        <is>
          <t>13-14</t>
        </is>
      </c>
      <c r="C324" s="156" t="inlineStr">
        <is>
          <t>EX-2101</t>
        </is>
      </c>
      <c r="D324" s="156" t="inlineStr">
        <is>
          <t>HD-901</t>
        </is>
      </c>
      <c r="E324" s="156" t="inlineStr">
        <is>
          <t>OB</t>
        </is>
      </c>
      <c r="F324" s="156" t="n">
        <v>4</v>
      </c>
      <c r="G324" s="156" t="inlineStr"/>
      <c r="H324" s="157">
        <f>IF($B324="","",IF(ISNA(MATCH($B324,MASTER_JAM!$Q$5:$Q$28,0)),"?",IF(MATCH($B324,MASTER_JAM!$Q$5:$Q$28,0)&lt;=12,"DS","NS")))</f>
        <v/>
      </c>
      <c r="I324" s="157">
        <f>IFERROR(INDEX(MASTER_JAM!$B$5:$B$94,MATCH($C324,MASTER_JAM!$A$5:$A$94,0)),"")</f>
        <v/>
      </c>
      <c r="J324" s="157">
        <f>IFERROR(INDEX(MASTER_JAM!$E$5:$E$94,MATCH($D324,MASTER_JAM!$A$5:$A$94,0)),"")</f>
        <v/>
      </c>
      <c r="K324" s="158">
        <f>IFERROR(INDEX(MASTER_JAM!$J$5:$O$12,MATCH($E324,MASTER_JAM!$I$5:$I$12,0),MATCH($J324,MASTER_JAM!$J$4:$O$4,0))+0,0)</f>
        <v/>
      </c>
      <c r="L324" s="159">
        <f>N($F324)*$K324</f>
        <v/>
      </c>
      <c r="M324" s="157">
        <f>IF($E324="","",IF(OR($E324="Coal",$E324="Dirty Coal"),"MT","BCM"))</f>
        <v/>
      </c>
      <c r="N324" s="157">
        <f>IF($E324="","",IF(OR($E324="Coal",$E324="Dirty Coal"),"Coal","OB"))</f>
        <v/>
      </c>
      <c r="O324" s="157">
        <f>IF($F324="","",IF(COUNTIF(MASTER_JAM!$A$5:$A$94,$C324)=0,"Digger tidak dikenal",IF($J324="","Hauler tidak dikenal",IF($H324="?","Jam salah",IF($K324=0,"Faktor kosong",IF(SUMIFS(INPUT_DELAY!$E$5:$E$20000,INPUT_DELAY!$A$5:$A$20000,$A324,INPUT_DELAY!$B$5:$B$20000,$B324,INPUT_DELAY!$C$5:$C$20000,$C324)+SUMIFS(INPUT_DELAY!$E$5:$E$20000,INPUT_DELAY!$A$5:$A$20000,$A324,INPUT_DELAY!$B$5:$B$20000,$B324,INPUT_DELAY!$C$5:$C$20000,"SEMUA")&gt;=60,"Delay 60 mnt tapi ada ritase","OK"))))))</f>
        <v/>
      </c>
      <c r="P324" s="158">
        <f>IFERROR(INDEX(MASTER_JAM!$Z$5:$AC$10,MATCH($I324,MASTER_JAM!$Y$5:$Y$10,0),MATCH($J324,MASTER_JAM!$Z$4:$AC$4,0))+0,0)</f>
        <v/>
      </c>
      <c r="Q324" s="158">
        <f>IF($P324=0,0,$P324+IFERROR(INDEX(MASTER_JAM!$H$5:$H$94,MATCH($C324,MASTER_JAM!$A$5:$A$94,0))+0,MASTER_JAM!$AC$15)/1000*(60/MASTER_JAM!$AC$12+60/MASTER_JAM!$AC$13)+MASTER_JAM!$AC$14)</f>
        <v/>
      </c>
      <c r="R324" s="158">
        <f>IF(N($F324)=0,0,$F324/SUMIFS(INPUT_RITASE!$F$5:$F$20000,INPUT_RITASE!$A$5:$A$20000,$A324,INPUT_RITASE!$B$5:$B$20000,$B324,INPUT_RITASE!$C$5:$C$20000,$C324,INPUT_RITASE!$D$5:$D$20000,$D324))</f>
        <v/>
      </c>
      <c r="S324" s="158">
        <f>IF($Q324=0,0,$R324*$P324/$Q324)</f>
        <v/>
      </c>
    </row>
    <row r="325">
      <c r="A325" s="155" t="n">
        <v>46105</v>
      </c>
      <c r="B325" s="156" t="inlineStr">
        <is>
          <t>13-14</t>
        </is>
      </c>
      <c r="C325" s="156" t="inlineStr">
        <is>
          <t>EX-2101</t>
        </is>
      </c>
      <c r="D325" s="156" t="inlineStr">
        <is>
          <t>HD-905</t>
        </is>
      </c>
      <c r="E325" s="156" t="inlineStr">
        <is>
          <t>OB</t>
        </is>
      </c>
      <c r="F325" s="156" t="n">
        <v>3</v>
      </c>
      <c r="G325" s="156" t="inlineStr"/>
      <c r="H325" s="157">
        <f>IF($B325="","",IF(ISNA(MATCH($B325,MASTER_JAM!$Q$5:$Q$28,0)),"?",IF(MATCH($B325,MASTER_JAM!$Q$5:$Q$28,0)&lt;=12,"DS","NS")))</f>
        <v/>
      </c>
      <c r="I325" s="157">
        <f>IFERROR(INDEX(MASTER_JAM!$B$5:$B$94,MATCH($C325,MASTER_JAM!$A$5:$A$94,0)),"")</f>
        <v/>
      </c>
      <c r="J325" s="157">
        <f>IFERROR(INDEX(MASTER_JAM!$E$5:$E$94,MATCH($D325,MASTER_JAM!$A$5:$A$94,0)),"")</f>
        <v/>
      </c>
      <c r="K325" s="158">
        <f>IFERROR(INDEX(MASTER_JAM!$J$5:$O$12,MATCH($E325,MASTER_JAM!$I$5:$I$12,0),MATCH($J325,MASTER_JAM!$J$4:$O$4,0))+0,0)</f>
        <v/>
      </c>
      <c r="L325" s="159">
        <f>N($F325)*$K325</f>
        <v/>
      </c>
      <c r="M325" s="157">
        <f>IF($E325="","",IF(OR($E325="Coal",$E325="Dirty Coal"),"MT","BCM"))</f>
        <v/>
      </c>
      <c r="N325" s="157">
        <f>IF($E325="","",IF(OR($E325="Coal",$E325="Dirty Coal"),"Coal","OB"))</f>
        <v/>
      </c>
      <c r="O325" s="157">
        <f>IF($F325="","",IF(COUNTIF(MASTER_JAM!$A$5:$A$94,$C325)=0,"Digger tidak dikenal",IF($J325="","Hauler tidak dikenal",IF($H325="?","Jam salah",IF($K325=0,"Faktor kosong",IF(SUMIFS(INPUT_DELAY!$E$5:$E$20000,INPUT_DELAY!$A$5:$A$20000,$A325,INPUT_DELAY!$B$5:$B$20000,$B325,INPUT_DELAY!$C$5:$C$20000,$C325)+SUMIFS(INPUT_DELAY!$E$5:$E$20000,INPUT_DELAY!$A$5:$A$20000,$A325,INPUT_DELAY!$B$5:$B$20000,$B325,INPUT_DELAY!$C$5:$C$20000,"SEMUA")&gt;=60,"Delay 60 mnt tapi ada ritase","OK"))))))</f>
        <v/>
      </c>
      <c r="P325" s="158">
        <f>IFERROR(INDEX(MASTER_JAM!$Z$5:$AC$10,MATCH($I325,MASTER_JAM!$Y$5:$Y$10,0),MATCH($J325,MASTER_JAM!$Z$4:$AC$4,0))+0,0)</f>
        <v/>
      </c>
      <c r="Q325" s="158">
        <f>IF($P325=0,0,$P325+IFERROR(INDEX(MASTER_JAM!$H$5:$H$94,MATCH($C325,MASTER_JAM!$A$5:$A$94,0))+0,MASTER_JAM!$AC$15)/1000*(60/MASTER_JAM!$AC$12+60/MASTER_JAM!$AC$13)+MASTER_JAM!$AC$14)</f>
        <v/>
      </c>
      <c r="R325" s="158">
        <f>IF(N($F325)=0,0,$F325/SUMIFS(INPUT_RITASE!$F$5:$F$20000,INPUT_RITASE!$A$5:$A$20000,$A325,INPUT_RITASE!$B$5:$B$20000,$B325,INPUT_RITASE!$C$5:$C$20000,$C325,INPUT_RITASE!$D$5:$D$20000,$D325))</f>
        <v/>
      </c>
      <c r="S325" s="158">
        <f>IF($Q325=0,0,$R325*$P325/$Q325)</f>
        <v/>
      </c>
    </row>
    <row r="326">
      <c r="A326" s="155" t="n">
        <v>46105</v>
      </c>
      <c r="B326" s="156" t="inlineStr">
        <is>
          <t>13-14</t>
        </is>
      </c>
      <c r="C326" s="156" t="inlineStr">
        <is>
          <t>EX-2101</t>
        </is>
      </c>
      <c r="D326" s="156" t="inlineStr">
        <is>
          <t>DT-810</t>
        </is>
      </c>
      <c r="E326" s="156" t="inlineStr">
        <is>
          <t>OB</t>
        </is>
      </c>
      <c r="F326" s="156" t="n">
        <v>1</v>
      </c>
      <c r="G326" s="156" t="inlineStr"/>
      <c r="H326" s="157">
        <f>IF($B326="","",IF(ISNA(MATCH($B326,MASTER_JAM!$Q$5:$Q$28,0)),"?",IF(MATCH($B326,MASTER_JAM!$Q$5:$Q$28,0)&lt;=12,"DS","NS")))</f>
        <v/>
      </c>
      <c r="I326" s="157">
        <f>IFERROR(INDEX(MASTER_JAM!$B$5:$B$94,MATCH($C326,MASTER_JAM!$A$5:$A$94,0)),"")</f>
        <v/>
      </c>
      <c r="J326" s="157">
        <f>IFERROR(INDEX(MASTER_JAM!$E$5:$E$94,MATCH($D326,MASTER_JAM!$A$5:$A$94,0)),"")</f>
        <v/>
      </c>
      <c r="K326" s="158">
        <f>IFERROR(INDEX(MASTER_JAM!$J$5:$O$12,MATCH($E326,MASTER_JAM!$I$5:$I$12,0),MATCH($J326,MASTER_JAM!$J$4:$O$4,0))+0,0)</f>
        <v/>
      </c>
      <c r="L326" s="159">
        <f>N($F326)*$K326</f>
        <v/>
      </c>
      <c r="M326" s="157">
        <f>IF($E326="","",IF(OR($E326="Coal",$E326="Dirty Coal"),"MT","BCM"))</f>
        <v/>
      </c>
      <c r="N326" s="157">
        <f>IF($E326="","",IF(OR($E326="Coal",$E326="Dirty Coal"),"Coal","OB"))</f>
        <v/>
      </c>
      <c r="O326" s="157">
        <f>IF($F326="","",IF(COUNTIF(MASTER_JAM!$A$5:$A$94,$C326)=0,"Digger tidak dikenal",IF($J326="","Hauler tidak dikenal",IF($H326="?","Jam salah",IF($K326=0,"Faktor kosong",IF(SUMIFS(INPUT_DELAY!$E$5:$E$20000,INPUT_DELAY!$A$5:$A$20000,$A326,INPUT_DELAY!$B$5:$B$20000,$B326,INPUT_DELAY!$C$5:$C$20000,$C326)+SUMIFS(INPUT_DELAY!$E$5:$E$20000,INPUT_DELAY!$A$5:$A$20000,$A326,INPUT_DELAY!$B$5:$B$20000,$B326,INPUT_DELAY!$C$5:$C$20000,"SEMUA")&gt;=60,"Delay 60 mnt tapi ada ritase","OK"))))))</f>
        <v/>
      </c>
      <c r="P326" s="158">
        <f>IFERROR(INDEX(MASTER_JAM!$Z$5:$AC$10,MATCH($I326,MASTER_JAM!$Y$5:$Y$10,0),MATCH($J326,MASTER_JAM!$Z$4:$AC$4,0))+0,0)</f>
        <v/>
      </c>
      <c r="Q326" s="158">
        <f>IF($P326=0,0,$P326+IFERROR(INDEX(MASTER_JAM!$H$5:$H$94,MATCH($C326,MASTER_JAM!$A$5:$A$94,0))+0,MASTER_JAM!$AC$15)/1000*(60/MASTER_JAM!$AC$12+60/MASTER_JAM!$AC$13)+MASTER_JAM!$AC$14)</f>
        <v/>
      </c>
      <c r="R326" s="158">
        <f>IF(N($F326)=0,0,$F326/SUMIFS(INPUT_RITASE!$F$5:$F$20000,INPUT_RITASE!$A$5:$A$20000,$A326,INPUT_RITASE!$B$5:$B$20000,$B326,INPUT_RITASE!$C$5:$C$20000,$C326,INPUT_RITASE!$D$5:$D$20000,$D326))</f>
        <v/>
      </c>
      <c r="S326" s="158">
        <f>IF($Q326=0,0,$R326*$P326/$Q326)</f>
        <v/>
      </c>
    </row>
    <row r="327">
      <c r="A327" s="155" t="n">
        <v>46105</v>
      </c>
      <c r="B327" s="156" t="inlineStr">
        <is>
          <t>15-16</t>
        </is>
      </c>
      <c r="C327" s="156" t="inlineStr">
        <is>
          <t>EX-2101</t>
        </is>
      </c>
      <c r="D327" s="156" t="inlineStr">
        <is>
          <t>DT-812</t>
        </is>
      </c>
      <c r="E327" s="156" t="inlineStr">
        <is>
          <t>OB</t>
        </is>
      </c>
      <c r="F327" s="156" t="n">
        <v>3</v>
      </c>
      <c r="G327" s="156" t="inlineStr"/>
      <c r="H327" s="157">
        <f>IF($B327="","",IF(ISNA(MATCH($B327,MASTER_JAM!$Q$5:$Q$28,0)),"?",IF(MATCH($B327,MASTER_JAM!$Q$5:$Q$28,0)&lt;=12,"DS","NS")))</f>
        <v/>
      </c>
      <c r="I327" s="157">
        <f>IFERROR(INDEX(MASTER_JAM!$B$5:$B$94,MATCH($C327,MASTER_JAM!$A$5:$A$94,0)),"")</f>
        <v/>
      </c>
      <c r="J327" s="157">
        <f>IFERROR(INDEX(MASTER_JAM!$E$5:$E$94,MATCH($D327,MASTER_JAM!$A$5:$A$94,0)),"")</f>
        <v/>
      </c>
      <c r="K327" s="158">
        <f>IFERROR(INDEX(MASTER_JAM!$J$5:$O$12,MATCH($E327,MASTER_JAM!$I$5:$I$12,0),MATCH($J327,MASTER_JAM!$J$4:$O$4,0))+0,0)</f>
        <v/>
      </c>
      <c r="L327" s="159">
        <f>N($F327)*$K327</f>
        <v/>
      </c>
      <c r="M327" s="157">
        <f>IF($E327="","",IF(OR($E327="Coal",$E327="Dirty Coal"),"MT","BCM"))</f>
        <v/>
      </c>
      <c r="N327" s="157">
        <f>IF($E327="","",IF(OR($E327="Coal",$E327="Dirty Coal"),"Coal","OB"))</f>
        <v/>
      </c>
      <c r="O327" s="157">
        <f>IF($F327="","",IF(COUNTIF(MASTER_JAM!$A$5:$A$94,$C327)=0,"Digger tidak dikenal",IF($J327="","Hauler tidak dikenal",IF($H327="?","Jam salah",IF($K327=0,"Faktor kosong",IF(SUMIFS(INPUT_DELAY!$E$5:$E$20000,INPUT_DELAY!$A$5:$A$20000,$A327,INPUT_DELAY!$B$5:$B$20000,$B327,INPUT_DELAY!$C$5:$C$20000,$C327)+SUMIFS(INPUT_DELAY!$E$5:$E$20000,INPUT_DELAY!$A$5:$A$20000,$A327,INPUT_DELAY!$B$5:$B$20000,$B327,INPUT_DELAY!$C$5:$C$20000,"SEMUA")&gt;=60,"Delay 60 mnt tapi ada ritase","OK"))))))</f>
        <v/>
      </c>
      <c r="P327" s="158">
        <f>IFERROR(INDEX(MASTER_JAM!$Z$5:$AC$10,MATCH($I327,MASTER_JAM!$Y$5:$Y$10,0),MATCH($J327,MASTER_JAM!$Z$4:$AC$4,0))+0,0)</f>
        <v/>
      </c>
      <c r="Q327" s="158">
        <f>IF($P327=0,0,$P327+IFERROR(INDEX(MASTER_JAM!$H$5:$H$94,MATCH($C327,MASTER_JAM!$A$5:$A$94,0))+0,MASTER_JAM!$AC$15)/1000*(60/MASTER_JAM!$AC$12+60/MASTER_JAM!$AC$13)+MASTER_JAM!$AC$14)</f>
        <v/>
      </c>
      <c r="R327" s="158">
        <f>IF(N($F327)=0,0,$F327/SUMIFS(INPUT_RITASE!$F$5:$F$20000,INPUT_RITASE!$A$5:$A$20000,$A327,INPUT_RITASE!$B$5:$B$20000,$B327,INPUT_RITASE!$C$5:$C$20000,$C327,INPUT_RITASE!$D$5:$D$20000,$D327))</f>
        <v/>
      </c>
      <c r="S327" s="158">
        <f>IF($Q327=0,0,$R327*$P327/$Q327)</f>
        <v/>
      </c>
    </row>
    <row r="328">
      <c r="A328" s="155" t="n">
        <v>46105</v>
      </c>
      <c r="B328" s="156" t="inlineStr">
        <is>
          <t>15-16</t>
        </is>
      </c>
      <c r="C328" s="156" t="inlineStr">
        <is>
          <t>EX-2101</t>
        </is>
      </c>
      <c r="D328" s="156" t="inlineStr">
        <is>
          <t>HD-901</t>
        </is>
      </c>
      <c r="E328" s="156" t="inlineStr">
        <is>
          <t>OB</t>
        </is>
      </c>
      <c r="F328" s="156" t="n">
        <v>5</v>
      </c>
      <c r="G328" s="156" t="inlineStr"/>
      <c r="H328" s="157">
        <f>IF($B328="","",IF(ISNA(MATCH($B328,MASTER_JAM!$Q$5:$Q$28,0)),"?",IF(MATCH($B328,MASTER_JAM!$Q$5:$Q$28,0)&lt;=12,"DS","NS")))</f>
        <v/>
      </c>
      <c r="I328" s="157">
        <f>IFERROR(INDEX(MASTER_JAM!$B$5:$B$94,MATCH($C328,MASTER_JAM!$A$5:$A$94,0)),"")</f>
        <v/>
      </c>
      <c r="J328" s="157">
        <f>IFERROR(INDEX(MASTER_JAM!$E$5:$E$94,MATCH($D328,MASTER_JAM!$A$5:$A$94,0)),"")</f>
        <v/>
      </c>
      <c r="K328" s="158">
        <f>IFERROR(INDEX(MASTER_JAM!$J$5:$O$12,MATCH($E328,MASTER_JAM!$I$5:$I$12,0),MATCH($J328,MASTER_JAM!$J$4:$O$4,0))+0,0)</f>
        <v/>
      </c>
      <c r="L328" s="159">
        <f>N($F328)*$K328</f>
        <v/>
      </c>
      <c r="M328" s="157">
        <f>IF($E328="","",IF(OR($E328="Coal",$E328="Dirty Coal"),"MT","BCM"))</f>
        <v/>
      </c>
      <c r="N328" s="157">
        <f>IF($E328="","",IF(OR($E328="Coal",$E328="Dirty Coal"),"Coal","OB"))</f>
        <v/>
      </c>
      <c r="O328" s="157">
        <f>IF($F328="","",IF(COUNTIF(MASTER_JAM!$A$5:$A$94,$C328)=0,"Digger tidak dikenal",IF($J328="","Hauler tidak dikenal",IF($H328="?","Jam salah",IF($K328=0,"Faktor kosong",IF(SUMIFS(INPUT_DELAY!$E$5:$E$20000,INPUT_DELAY!$A$5:$A$20000,$A328,INPUT_DELAY!$B$5:$B$20000,$B328,INPUT_DELAY!$C$5:$C$20000,$C328)+SUMIFS(INPUT_DELAY!$E$5:$E$20000,INPUT_DELAY!$A$5:$A$20000,$A328,INPUT_DELAY!$B$5:$B$20000,$B328,INPUT_DELAY!$C$5:$C$20000,"SEMUA")&gt;=60,"Delay 60 mnt tapi ada ritase","OK"))))))</f>
        <v/>
      </c>
      <c r="P328" s="158">
        <f>IFERROR(INDEX(MASTER_JAM!$Z$5:$AC$10,MATCH($I328,MASTER_JAM!$Y$5:$Y$10,0),MATCH($J328,MASTER_JAM!$Z$4:$AC$4,0))+0,0)</f>
        <v/>
      </c>
      <c r="Q328" s="158">
        <f>IF($P328=0,0,$P328+IFERROR(INDEX(MASTER_JAM!$H$5:$H$94,MATCH($C328,MASTER_JAM!$A$5:$A$94,0))+0,MASTER_JAM!$AC$15)/1000*(60/MASTER_JAM!$AC$12+60/MASTER_JAM!$AC$13)+MASTER_JAM!$AC$14)</f>
        <v/>
      </c>
      <c r="R328" s="158">
        <f>IF(N($F328)=0,0,$F328/SUMIFS(INPUT_RITASE!$F$5:$F$20000,INPUT_RITASE!$A$5:$A$20000,$A328,INPUT_RITASE!$B$5:$B$20000,$B328,INPUT_RITASE!$C$5:$C$20000,$C328,INPUT_RITASE!$D$5:$D$20000,$D328))</f>
        <v/>
      </c>
      <c r="S328" s="158">
        <f>IF($Q328=0,0,$R328*$P328/$Q328)</f>
        <v/>
      </c>
    </row>
    <row r="329">
      <c r="A329" s="155" t="n">
        <v>46105</v>
      </c>
      <c r="B329" s="156" t="inlineStr">
        <is>
          <t>15-16</t>
        </is>
      </c>
      <c r="C329" s="156" t="inlineStr">
        <is>
          <t>EX-2101</t>
        </is>
      </c>
      <c r="D329" s="156" t="inlineStr">
        <is>
          <t>HD-903</t>
        </is>
      </c>
      <c r="E329" s="156" t="inlineStr">
        <is>
          <t>OB</t>
        </is>
      </c>
      <c r="F329" s="156" t="n">
        <v>5</v>
      </c>
      <c r="G329" s="156" t="inlineStr"/>
      <c r="H329" s="157">
        <f>IF($B329="","",IF(ISNA(MATCH($B329,MASTER_JAM!$Q$5:$Q$28,0)),"?",IF(MATCH($B329,MASTER_JAM!$Q$5:$Q$28,0)&lt;=12,"DS","NS")))</f>
        <v/>
      </c>
      <c r="I329" s="157">
        <f>IFERROR(INDEX(MASTER_JAM!$B$5:$B$94,MATCH($C329,MASTER_JAM!$A$5:$A$94,0)),"")</f>
        <v/>
      </c>
      <c r="J329" s="157">
        <f>IFERROR(INDEX(MASTER_JAM!$E$5:$E$94,MATCH($D329,MASTER_JAM!$A$5:$A$94,0)),"")</f>
        <v/>
      </c>
      <c r="K329" s="158">
        <f>IFERROR(INDEX(MASTER_JAM!$J$5:$O$12,MATCH($E329,MASTER_JAM!$I$5:$I$12,0),MATCH($J329,MASTER_JAM!$J$4:$O$4,0))+0,0)</f>
        <v/>
      </c>
      <c r="L329" s="159">
        <f>N($F329)*$K329</f>
        <v/>
      </c>
      <c r="M329" s="157">
        <f>IF($E329="","",IF(OR($E329="Coal",$E329="Dirty Coal"),"MT","BCM"))</f>
        <v/>
      </c>
      <c r="N329" s="157">
        <f>IF($E329="","",IF(OR($E329="Coal",$E329="Dirty Coal"),"Coal","OB"))</f>
        <v/>
      </c>
      <c r="O329" s="157">
        <f>IF($F329="","",IF(COUNTIF(MASTER_JAM!$A$5:$A$94,$C329)=0,"Digger tidak dikenal",IF($J329="","Hauler tidak dikenal",IF($H329="?","Jam salah",IF($K329=0,"Faktor kosong",IF(SUMIFS(INPUT_DELAY!$E$5:$E$20000,INPUT_DELAY!$A$5:$A$20000,$A329,INPUT_DELAY!$B$5:$B$20000,$B329,INPUT_DELAY!$C$5:$C$20000,$C329)+SUMIFS(INPUT_DELAY!$E$5:$E$20000,INPUT_DELAY!$A$5:$A$20000,$A329,INPUT_DELAY!$B$5:$B$20000,$B329,INPUT_DELAY!$C$5:$C$20000,"SEMUA")&gt;=60,"Delay 60 mnt tapi ada ritase","OK"))))))</f>
        <v/>
      </c>
      <c r="P329" s="158">
        <f>IFERROR(INDEX(MASTER_JAM!$Z$5:$AC$10,MATCH($I329,MASTER_JAM!$Y$5:$Y$10,0),MATCH($J329,MASTER_JAM!$Z$4:$AC$4,0))+0,0)</f>
        <v/>
      </c>
      <c r="Q329" s="158">
        <f>IF($P329=0,0,$P329+IFERROR(INDEX(MASTER_JAM!$H$5:$H$94,MATCH($C329,MASTER_JAM!$A$5:$A$94,0))+0,MASTER_JAM!$AC$15)/1000*(60/MASTER_JAM!$AC$12+60/MASTER_JAM!$AC$13)+MASTER_JAM!$AC$14)</f>
        <v/>
      </c>
      <c r="R329" s="158">
        <f>IF(N($F329)=0,0,$F329/SUMIFS(INPUT_RITASE!$F$5:$F$20000,INPUT_RITASE!$A$5:$A$20000,$A329,INPUT_RITASE!$B$5:$B$20000,$B329,INPUT_RITASE!$C$5:$C$20000,$C329,INPUT_RITASE!$D$5:$D$20000,$D329))</f>
        <v/>
      </c>
      <c r="S329" s="158">
        <f>IF($Q329=0,0,$R329*$P329/$Q329)</f>
        <v/>
      </c>
    </row>
    <row r="330">
      <c r="A330" s="155" t="n">
        <v>46105</v>
      </c>
      <c r="B330" s="156" t="inlineStr">
        <is>
          <t>15-16</t>
        </is>
      </c>
      <c r="C330" s="156" t="inlineStr">
        <is>
          <t>EX-2101</t>
        </is>
      </c>
      <c r="D330" s="156" t="inlineStr">
        <is>
          <t>HD-905</t>
        </is>
      </c>
      <c r="E330" s="156" t="inlineStr">
        <is>
          <t>OB</t>
        </is>
      </c>
      <c r="F330" s="156" t="n">
        <v>5</v>
      </c>
      <c r="G330" s="156" t="inlineStr"/>
      <c r="H330" s="157">
        <f>IF($B330="","",IF(ISNA(MATCH($B330,MASTER_JAM!$Q$5:$Q$28,0)),"?",IF(MATCH($B330,MASTER_JAM!$Q$5:$Q$28,0)&lt;=12,"DS","NS")))</f>
        <v/>
      </c>
      <c r="I330" s="157">
        <f>IFERROR(INDEX(MASTER_JAM!$B$5:$B$94,MATCH($C330,MASTER_JAM!$A$5:$A$94,0)),"")</f>
        <v/>
      </c>
      <c r="J330" s="157">
        <f>IFERROR(INDEX(MASTER_JAM!$E$5:$E$94,MATCH($D330,MASTER_JAM!$A$5:$A$94,0)),"")</f>
        <v/>
      </c>
      <c r="K330" s="158">
        <f>IFERROR(INDEX(MASTER_JAM!$J$5:$O$12,MATCH($E330,MASTER_JAM!$I$5:$I$12,0),MATCH($J330,MASTER_JAM!$J$4:$O$4,0))+0,0)</f>
        <v/>
      </c>
      <c r="L330" s="159">
        <f>N($F330)*$K330</f>
        <v/>
      </c>
      <c r="M330" s="157">
        <f>IF($E330="","",IF(OR($E330="Coal",$E330="Dirty Coal"),"MT","BCM"))</f>
        <v/>
      </c>
      <c r="N330" s="157">
        <f>IF($E330="","",IF(OR($E330="Coal",$E330="Dirty Coal"),"Coal","OB"))</f>
        <v/>
      </c>
      <c r="O330" s="157">
        <f>IF($F330="","",IF(COUNTIF(MASTER_JAM!$A$5:$A$94,$C330)=0,"Digger tidak dikenal",IF($J330="","Hauler tidak dikenal",IF($H330="?","Jam salah",IF($K330=0,"Faktor kosong",IF(SUMIFS(INPUT_DELAY!$E$5:$E$20000,INPUT_DELAY!$A$5:$A$20000,$A330,INPUT_DELAY!$B$5:$B$20000,$B330,INPUT_DELAY!$C$5:$C$20000,$C330)+SUMIFS(INPUT_DELAY!$E$5:$E$20000,INPUT_DELAY!$A$5:$A$20000,$A330,INPUT_DELAY!$B$5:$B$20000,$B330,INPUT_DELAY!$C$5:$C$20000,"SEMUA")&gt;=60,"Delay 60 mnt tapi ada ritase","OK"))))))</f>
        <v/>
      </c>
      <c r="P330" s="158">
        <f>IFERROR(INDEX(MASTER_JAM!$Z$5:$AC$10,MATCH($I330,MASTER_JAM!$Y$5:$Y$10,0),MATCH($J330,MASTER_JAM!$Z$4:$AC$4,0))+0,0)</f>
        <v/>
      </c>
      <c r="Q330" s="158">
        <f>IF($P330=0,0,$P330+IFERROR(INDEX(MASTER_JAM!$H$5:$H$94,MATCH($C330,MASTER_JAM!$A$5:$A$94,0))+0,MASTER_JAM!$AC$15)/1000*(60/MASTER_JAM!$AC$12+60/MASTER_JAM!$AC$13)+MASTER_JAM!$AC$14)</f>
        <v/>
      </c>
      <c r="R330" s="158">
        <f>IF(N($F330)=0,0,$F330/SUMIFS(INPUT_RITASE!$F$5:$F$20000,INPUT_RITASE!$A$5:$A$20000,$A330,INPUT_RITASE!$B$5:$B$20000,$B330,INPUT_RITASE!$C$5:$C$20000,$C330,INPUT_RITASE!$D$5:$D$20000,$D330))</f>
        <v/>
      </c>
      <c r="S330" s="158">
        <f>IF($Q330=0,0,$R330*$P330/$Q330)</f>
        <v/>
      </c>
    </row>
    <row r="331">
      <c r="A331" s="155" t="n">
        <v>46105</v>
      </c>
      <c r="B331" s="156" t="inlineStr">
        <is>
          <t>15-16</t>
        </is>
      </c>
      <c r="C331" s="156" t="inlineStr">
        <is>
          <t>EX-2101</t>
        </is>
      </c>
      <c r="D331" s="156" t="inlineStr">
        <is>
          <t>HD-902</t>
        </is>
      </c>
      <c r="E331" s="156" t="inlineStr">
        <is>
          <t>OB</t>
        </is>
      </c>
      <c r="F331" s="156" t="n">
        <v>4</v>
      </c>
      <c r="G331" s="156" t="inlineStr"/>
      <c r="H331" s="157">
        <f>IF($B331="","",IF(ISNA(MATCH($B331,MASTER_JAM!$Q$5:$Q$28,0)),"?",IF(MATCH($B331,MASTER_JAM!$Q$5:$Q$28,0)&lt;=12,"DS","NS")))</f>
        <v/>
      </c>
      <c r="I331" s="157">
        <f>IFERROR(INDEX(MASTER_JAM!$B$5:$B$94,MATCH($C331,MASTER_JAM!$A$5:$A$94,0)),"")</f>
        <v/>
      </c>
      <c r="J331" s="157">
        <f>IFERROR(INDEX(MASTER_JAM!$E$5:$E$94,MATCH($D331,MASTER_JAM!$A$5:$A$94,0)),"")</f>
        <v/>
      </c>
      <c r="K331" s="158">
        <f>IFERROR(INDEX(MASTER_JAM!$J$5:$O$12,MATCH($E331,MASTER_JAM!$I$5:$I$12,0),MATCH($J331,MASTER_JAM!$J$4:$O$4,0))+0,0)</f>
        <v/>
      </c>
      <c r="L331" s="159">
        <f>N($F331)*$K331</f>
        <v/>
      </c>
      <c r="M331" s="157">
        <f>IF($E331="","",IF(OR($E331="Coal",$E331="Dirty Coal"),"MT","BCM"))</f>
        <v/>
      </c>
      <c r="N331" s="157">
        <f>IF($E331="","",IF(OR($E331="Coal",$E331="Dirty Coal"),"Coal","OB"))</f>
        <v/>
      </c>
      <c r="O331" s="157">
        <f>IF($F331="","",IF(COUNTIF(MASTER_JAM!$A$5:$A$94,$C331)=0,"Digger tidak dikenal",IF($J331="","Hauler tidak dikenal",IF($H331="?","Jam salah",IF($K331=0,"Faktor kosong",IF(SUMIFS(INPUT_DELAY!$E$5:$E$20000,INPUT_DELAY!$A$5:$A$20000,$A331,INPUT_DELAY!$B$5:$B$20000,$B331,INPUT_DELAY!$C$5:$C$20000,$C331)+SUMIFS(INPUT_DELAY!$E$5:$E$20000,INPUT_DELAY!$A$5:$A$20000,$A331,INPUT_DELAY!$B$5:$B$20000,$B331,INPUT_DELAY!$C$5:$C$20000,"SEMUA")&gt;=60,"Delay 60 mnt tapi ada ritase","OK"))))))</f>
        <v/>
      </c>
      <c r="P331" s="158">
        <f>IFERROR(INDEX(MASTER_JAM!$Z$5:$AC$10,MATCH($I331,MASTER_JAM!$Y$5:$Y$10,0),MATCH($J331,MASTER_JAM!$Z$4:$AC$4,0))+0,0)</f>
        <v/>
      </c>
      <c r="Q331" s="158">
        <f>IF($P331=0,0,$P331+IFERROR(INDEX(MASTER_JAM!$H$5:$H$94,MATCH($C331,MASTER_JAM!$A$5:$A$94,0))+0,MASTER_JAM!$AC$15)/1000*(60/MASTER_JAM!$AC$12+60/MASTER_JAM!$AC$13)+MASTER_JAM!$AC$14)</f>
        <v/>
      </c>
      <c r="R331" s="158">
        <f>IF(N($F331)=0,0,$F331/SUMIFS(INPUT_RITASE!$F$5:$F$20000,INPUT_RITASE!$A$5:$A$20000,$A331,INPUT_RITASE!$B$5:$B$20000,$B331,INPUT_RITASE!$C$5:$C$20000,$C331,INPUT_RITASE!$D$5:$D$20000,$D331))</f>
        <v/>
      </c>
      <c r="S331" s="158">
        <f>IF($Q331=0,0,$R331*$P331/$Q331)</f>
        <v/>
      </c>
    </row>
    <row r="332">
      <c r="A332" s="155" t="n">
        <v>46105</v>
      </c>
      <c r="B332" s="156" t="inlineStr">
        <is>
          <t>16-17</t>
        </is>
      </c>
      <c r="C332" s="156" t="inlineStr">
        <is>
          <t>EX-2101</t>
        </is>
      </c>
      <c r="D332" s="156" t="inlineStr">
        <is>
          <t>HD-902</t>
        </is>
      </c>
      <c r="E332" s="156" t="inlineStr">
        <is>
          <t>OB</t>
        </is>
      </c>
      <c r="F332" s="156" t="n">
        <v>5</v>
      </c>
      <c r="G332" s="156" t="inlineStr"/>
      <c r="H332" s="157">
        <f>IF($B332="","",IF(ISNA(MATCH($B332,MASTER_JAM!$Q$5:$Q$28,0)),"?",IF(MATCH($B332,MASTER_JAM!$Q$5:$Q$28,0)&lt;=12,"DS","NS")))</f>
        <v/>
      </c>
      <c r="I332" s="157">
        <f>IFERROR(INDEX(MASTER_JAM!$B$5:$B$94,MATCH($C332,MASTER_JAM!$A$5:$A$94,0)),"")</f>
        <v/>
      </c>
      <c r="J332" s="157">
        <f>IFERROR(INDEX(MASTER_JAM!$E$5:$E$94,MATCH($D332,MASTER_JAM!$A$5:$A$94,0)),"")</f>
        <v/>
      </c>
      <c r="K332" s="158">
        <f>IFERROR(INDEX(MASTER_JAM!$J$5:$O$12,MATCH($E332,MASTER_JAM!$I$5:$I$12,0),MATCH($J332,MASTER_JAM!$J$4:$O$4,0))+0,0)</f>
        <v/>
      </c>
      <c r="L332" s="159">
        <f>N($F332)*$K332</f>
        <v/>
      </c>
      <c r="M332" s="157">
        <f>IF($E332="","",IF(OR($E332="Coal",$E332="Dirty Coal"),"MT","BCM"))</f>
        <v/>
      </c>
      <c r="N332" s="157">
        <f>IF($E332="","",IF(OR($E332="Coal",$E332="Dirty Coal"),"Coal","OB"))</f>
        <v/>
      </c>
      <c r="O332" s="157">
        <f>IF($F332="","",IF(COUNTIF(MASTER_JAM!$A$5:$A$94,$C332)=0,"Digger tidak dikenal",IF($J332="","Hauler tidak dikenal",IF($H332="?","Jam salah",IF($K332=0,"Faktor kosong",IF(SUMIFS(INPUT_DELAY!$E$5:$E$20000,INPUT_DELAY!$A$5:$A$20000,$A332,INPUT_DELAY!$B$5:$B$20000,$B332,INPUT_DELAY!$C$5:$C$20000,$C332)+SUMIFS(INPUT_DELAY!$E$5:$E$20000,INPUT_DELAY!$A$5:$A$20000,$A332,INPUT_DELAY!$B$5:$B$20000,$B332,INPUT_DELAY!$C$5:$C$20000,"SEMUA")&gt;=60,"Delay 60 mnt tapi ada ritase","OK"))))))</f>
        <v/>
      </c>
      <c r="P332" s="158">
        <f>IFERROR(INDEX(MASTER_JAM!$Z$5:$AC$10,MATCH($I332,MASTER_JAM!$Y$5:$Y$10,0),MATCH($J332,MASTER_JAM!$Z$4:$AC$4,0))+0,0)</f>
        <v/>
      </c>
      <c r="Q332" s="158">
        <f>IF($P332=0,0,$P332+IFERROR(INDEX(MASTER_JAM!$H$5:$H$94,MATCH($C332,MASTER_JAM!$A$5:$A$94,0))+0,MASTER_JAM!$AC$15)/1000*(60/MASTER_JAM!$AC$12+60/MASTER_JAM!$AC$13)+MASTER_JAM!$AC$14)</f>
        <v/>
      </c>
      <c r="R332" s="158">
        <f>IF(N($F332)=0,0,$F332/SUMIFS(INPUT_RITASE!$F$5:$F$20000,INPUT_RITASE!$A$5:$A$20000,$A332,INPUT_RITASE!$B$5:$B$20000,$B332,INPUT_RITASE!$C$5:$C$20000,$C332,INPUT_RITASE!$D$5:$D$20000,$D332))</f>
        <v/>
      </c>
      <c r="S332" s="158">
        <f>IF($Q332=0,0,$R332*$P332/$Q332)</f>
        <v/>
      </c>
    </row>
    <row r="333">
      <c r="A333" s="155" t="n">
        <v>46105</v>
      </c>
      <c r="B333" s="156" t="inlineStr">
        <is>
          <t>16-17</t>
        </is>
      </c>
      <c r="C333" s="156" t="inlineStr">
        <is>
          <t>EX-2101</t>
        </is>
      </c>
      <c r="D333" s="156" t="inlineStr">
        <is>
          <t>HD-901</t>
        </is>
      </c>
      <c r="E333" s="156" t="inlineStr">
        <is>
          <t>OB</t>
        </is>
      </c>
      <c r="F333" s="156" t="n">
        <v>5</v>
      </c>
      <c r="G333" s="156" t="inlineStr"/>
      <c r="H333" s="157">
        <f>IF($B333="","",IF(ISNA(MATCH($B333,MASTER_JAM!$Q$5:$Q$28,0)),"?",IF(MATCH($B333,MASTER_JAM!$Q$5:$Q$28,0)&lt;=12,"DS","NS")))</f>
        <v/>
      </c>
      <c r="I333" s="157">
        <f>IFERROR(INDEX(MASTER_JAM!$B$5:$B$94,MATCH($C333,MASTER_JAM!$A$5:$A$94,0)),"")</f>
        <v/>
      </c>
      <c r="J333" s="157">
        <f>IFERROR(INDEX(MASTER_JAM!$E$5:$E$94,MATCH($D333,MASTER_JAM!$A$5:$A$94,0)),"")</f>
        <v/>
      </c>
      <c r="K333" s="158">
        <f>IFERROR(INDEX(MASTER_JAM!$J$5:$O$12,MATCH($E333,MASTER_JAM!$I$5:$I$12,0),MATCH($J333,MASTER_JAM!$J$4:$O$4,0))+0,0)</f>
        <v/>
      </c>
      <c r="L333" s="159">
        <f>N($F333)*$K333</f>
        <v/>
      </c>
      <c r="M333" s="157">
        <f>IF($E333="","",IF(OR($E333="Coal",$E333="Dirty Coal"),"MT","BCM"))</f>
        <v/>
      </c>
      <c r="N333" s="157">
        <f>IF($E333="","",IF(OR($E333="Coal",$E333="Dirty Coal"),"Coal","OB"))</f>
        <v/>
      </c>
      <c r="O333" s="157">
        <f>IF($F333="","",IF(COUNTIF(MASTER_JAM!$A$5:$A$94,$C333)=0,"Digger tidak dikenal",IF($J333="","Hauler tidak dikenal",IF($H333="?","Jam salah",IF($K333=0,"Faktor kosong",IF(SUMIFS(INPUT_DELAY!$E$5:$E$20000,INPUT_DELAY!$A$5:$A$20000,$A333,INPUT_DELAY!$B$5:$B$20000,$B333,INPUT_DELAY!$C$5:$C$20000,$C333)+SUMIFS(INPUT_DELAY!$E$5:$E$20000,INPUT_DELAY!$A$5:$A$20000,$A333,INPUT_DELAY!$B$5:$B$20000,$B333,INPUT_DELAY!$C$5:$C$20000,"SEMUA")&gt;=60,"Delay 60 mnt tapi ada ritase","OK"))))))</f>
        <v/>
      </c>
      <c r="P333" s="158">
        <f>IFERROR(INDEX(MASTER_JAM!$Z$5:$AC$10,MATCH($I333,MASTER_JAM!$Y$5:$Y$10,0),MATCH($J333,MASTER_JAM!$Z$4:$AC$4,0))+0,0)</f>
        <v/>
      </c>
      <c r="Q333" s="158">
        <f>IF($P333=0,0,$P333+IFERROR(INDEX(MASTER_JAM!$H$5:$H$94,MATCH($C333,MASTER_JAM!$A$5:$A$94,0))+0,MASTER_JAM!$AC$15)/1000*(60/MASTER_JAM!$AC$12+60/MASTER_JAM!$AC$13)+MASTER_JAM!$AC$14)</f>
        <v/>
      </c>
      <c r="R333" s="158">
        <f>IF(N($F333)=0,0,$F333/SUMIFS(INPUT_RITASE!$F$5:$F$20000,INPUT_RITASE!$A$5:$A$20000,$A333,INPUT_RITASE!$B$5:$B$20000,$B333,INPUT_RITASE!$C$5:$C$20000,$C333,INPUT_RITASE!$D$5:$D$20000,$D333))</f>
        <v/>
      </c>
      <c r="S333" s="158">
        <f>IF($Q333=0,0,$R333*$P333/$Q333)</f>
        <v/>
      </c>
    </row>
    <row r="334">
      <c r="A334" s="155" t="n">
        <v>46105</v>
      </c>
      <c r="B334" s="156" t="inlineStr">
        <is>
          <t>16-17</t>
        </is>
      </c>
      <c r="C334" s="156" t="inlineStr">
        <is>
          <t>EX-2101</t>
        </is>
      </c>
      <c r="D334" s="156" t="inlineStr">
        <is>
          <t>HD-903</t>
        </is>
      </c>
      <c r="E334" s="156" t="inlineStr">
        <is>
          <t>OB</t>
        </is>
      </c>
      <c r="F334" s="156" t="n">
        <v>5</v>
      </c>
      <c r="G334" s="156" t="inlineStr"/>
      <c r="H334" s="157">
        <f>IF($B334="","",IF(ISNA(MATCH($B334,MASTER_JAM!$Q$5:$Q$28,0)),"?",IF(MATCH($B334,MASTER_JAM!$Q$5:$Q$28,0)&lt;=12,"DS","NS")))</f>
        <v/>
      </c>
      <c r="I334" s="157">
        <f>IFERROR(INDEX(MASTER_JAM!$B$5:$B$94,MATCH($C334,MASTER_JAM!$A$5:$A$94,0)),"")</f>
        <v/>
      </c>
      <c r="J334" s="157">
        <f>IFERROR(INDEX(MASTER_JAM!$E$5:$E$94,MATCH($D334,MASTER_JAM!$A$5:$A$94,0)),"")</f>
        <v/>
      </c>
      <c r="K334" s="158">
        <f>IFERROR(INDEX(MASTER_JAM!$J$5:$O$12,MATCH($E334,MASTER_JAM!$I$5:$I$12,0),MATCH($J334,MASTER_JAM!$J$4:$O$4,0))+0,0)</f>
        <v/>
      </c>
      <c r="L334" s="159">
        <f>N($F334)*$K334</f>
        <v/>
      </c>
      <c r="M334" s="157">
        <f>IF($E334="","",IF(OR($E334="Coal",$E334="Dirty Coal"),"MT","BCM"))</f>
        <v/>
      </c>
      <c r="N334" s="157">
        <f>IF($E334="","",IF(OR($E334="Coal",$E334="Dirty Coal"),"Coal","OB"))</f>
        <v/>
      </c>
      <c r="O334" s="157">
        <f>IF($F334="","",IF(COUNTIF(MASTER_JAM!$A$5:$A$94,$C334)=0,"Digger tidak dikenal",IF($J334="","Hauler tidak dikenal",IF($H334="?","Jam salah",IF($K334=0,"Faktor kosong",IF(SUMIFS(INPUT_DELAY!$E$5:$E$20000,INPUT_DELAY!$A$5:$A$20000,$A334,INPUT_DELAY!$B$5:$B$20000,$B334,INPUT_DELAY!$C$5:$C$20000,$C334)+SUMIFS(INPUT_DELAY!$E$5:$E$20000,INPUT_DELAY!$A$5:$A$20000,$A334,INPUT_DELAY!$B$5:$B$20000,$B334,INPUT_DELAY!$C$5:$C$20000,"SEMUA")&gt;=60,"Delay 60 mnt tapi ada ritase","OK"))))))</f>
        <v/>
      </c>
      <c r="P334" s="158">
        <f>IFERROR(INDEX(MASTER_JAM!$Z$5:$AC$10,MATCH($I334,MASTER_JAM!$Y$5:$Y$10,0),MATCH($J334,MASTER_JAM!$Z$4:$AC$4,0))+0,0)</f>
        <v/>
      </c>
      <c r="Q334" s="158">
        <f>IF($P334=0,0,$P334+IFERROR(INDEX(MASTER_JAM!$H$5:$H$94,MATCH($C334,MASTER_JAM!$A$5:$A$94,0))+0,MASTER_JAM!$AC$15)/1000*(60/MASTER_JAM!$AC$12+60/MASTER_JAM!$AC$13)+MASTER_JAM!$AC$14)</f>
        <v/>
      </c>
      <c r="R334" s="158">
        <f>IF(N($F334)=0,0,$F334/SUMIFS(INPUT_RITASE!$F$5:$F$20000,INPUT_RITASE!$A$5:$A$20000,$A334,INPUT_RITASE!$B$5:$B$20000,$B334,INPUT_RITASE!$C$5:$C$20000,$C334,INPUT_RITASE!$D$5:$D$20000,$D334))</f>
        <v/>
      </c>
      <c r="S334" s="158">
        <f>IF($Q334=0,0,$R334*$P334/$Q334)</f>
        <v/>
      </c>
    </row>
    <row r="335">
      <c r="A335" s="155" t="n">
        <v>46105</v>
      </c>
      <c r="B335" s="156" t="inlineStr">
        <is>
          <t>16-17</t>
        </is>
      </c>
      <c r="C335" s="156" t="inlineStr">
        <is>
          <t>EX-2101</t>
        </is>
      </c>
      <c r="D335" s="156" t="inlineStr">
        <is>
          <t>HD-905</t>
        </is>
      </c>
      <c r="E335" s="156" t="inlineStr">
        <is>
          <t>OB</t>
        </is>
      </c>
      <c r="F335" s="156" t="n">
        <v>4</v>
      </c>
      <c r="G335" s="156" t="inlineStr"/>
      <c r="H335" s="157">
        <f>IF($B335="","",IF(ISNA(MATCH($B335,MASTER_JAM!$Q$5:$Q$28,0)),"?",IF(MATCH($B335,MASTER_JAM!$Q$5:$Q$28,0)&lt;=12,"DS","NS")))</f>
        <v/>
      </c>
      <c r="I335" s="157">
        <f>IFERROR(INDEX(MASTER_JAM!$B$5:$B$94,MATCH($C335,MASTER_JAM!$A$5:$A$94,0)),"")</f>
        <v/>
      </c>
      <c r="J335" s="157">
        <f>IFERROR(INDEX(MASTER_JAM!$E$5:$E$94,MATCH($D335,MASTER_JAM!$A$5:$A$94,0)),"")</f>
        <v/>
      </c>
      <c r="K335" s="158">
        <f>IFERROR(INDEX(MASTER_JAM!$J$5:$O$12,MATCH($E335,MASTER_JAM!$I$5:$I$12,0),MATCH($J335,MASTER_JAM!$J$4:$O$4,0))+0,0)</f>
        <v/>
      </c>
      <c r="L335" s="159">
        <f>N($F335)*$K335</f>
        <v/>
      </c>
      <c r="M335" s="157">
        <f>IF($E335="","",IF(OR($E335="Coal",$E335="Dirty Coal"),"MT","BCM"))</f>
        <v/>
      </c>
      <c r="N335" s="157">
        <f>IF($E335="","",IF(OR($E335="Coal",$E335="Dirty Coal"),"Coal","OB"))</f>
        <v/>
      </c>
      <c r="O335" s="157">
        <f>IF($F335="","",IF(COUNTIF(MASTER_JAM!$A$5:$A$94,$C335)=0,"Digger tidak dikenal",IF($J335="","Hauler tidak dikenal",IF($H335="?","Jam salah",IF($K335=0,"Faktor kosong",IF(SUMIFS(INPUT_DELAY!$E$5:$E$20000,INPUT_DELAY!$A$5:$A$20000,$A335,INPUT_DELAY!$B$5:$B$20000,$B335,INPUT_DELAY!$C$5:$C$20000,$C335)+SUMIFS(INPUT_DELAY!$E$5:$E$20000,INPUT_DELAY!$A$5:$A$20000,$A335,INPUT_DELAY!$B$5:$B$20000,$B335,INPUT_DELAY!$C$5:$C$20000,"SEMUA")&gt;=60,"Delay 60 mnt tapi ada ritase","OK"))))))</f>
        <v/>
      </c>
      <c r="P335" s="158">
        <f>IFERROR(INDEX(MASTER_JAM!$Z$5:$AC$10,MATCH($I335,MASTER_JAM!$Y$5:$Y$10,0),MATCH($J335,MASTER_JAM!$Z$4:$AC$4,0))+0,0)</f>
        <v/>
      </c>
      <c r="Q335" s="158">
        <f>IF($P335=0,0,$P335+IFERROR(INDEX(MASTER_JAM!$H$5:$H$94,MATCH($C335,MASTER_JAM!$A$5:$A$94,0))+0,MASTER_JAM!$AC$15)/1000*(60/MASTER_JAM!$AC$12+60/MASTER_JAM!$AC$13)+MASTER_JAM!$AC$14)</f>
        <v/>
      </c>
      <c r="R335" s="158">
        <f>IF(N($F335)=0,0,$F335/SUMIFS(INPUT_RITASE!$F$5:$F$20000,INPUT_RITASE!$A$5:$A$20000,$A335,INPUT_RITASE!$B$5:$B$20000,$B335,INPUT_RITASE!$C$5:$C$20000,$C335,INPUT_RITASE!$D$5:$D$20000,$D335))</f>
        <v/>
      </c>
      <c r="S335" s="158">
        <f>IF($Q335=0,0,$R335*$P335/$Q335)</f>
        <v/>
      </c>
    </row>
    <row r="336">
      <c r="A336" s="155" t="n">
        <v>46105</v>
      </c>
      <c r="B336" s="156" t="inlineStr">
        <is>
          <t>16-17</t>
        </is>
      </c>
      <c r="C336" s="156" t="inlineStr">
        <is>
          <t>EX-2101</t>
        </is>
      </c>
      <c r="D336" s="156" t="inlineStr">
        <is>
          <t>DT-810</t>
        </is>
      </c>
      <c r="E336" s="156" t="inlineStr">
        <is>
          <t>OB</t>
        </is>
      </c>
      <c r="F336" s="156" t="n">
        <v>3</v>
      </c>
      <c r="G336" s="156" t="inlineStr"/>
      <c r="H336" s="157">
        <f>IF($B336="","",IF(ISNA(MATCH($B336,MASTER_JAM!$Q$5:$Q$28,0)),"?",IF(MATCH($B336,MASTER_JAM!$Q$5:$Q$28,0)&lt;=12,"DS","NS")))</f>
        <v/>
      </c>
      <c r="I336" s="157">
        <f>IFERROR(INDEX(MASTER_JAM!$B$5:$B$94,MATCH($C336,MASTER_JAM!$A$5:$A$94,0)),"")</f>
        <v/>
      </c>
      <c r="J336" s="157">
        <f>IFERROR(INDEX(MASTER_JAM!$E$5:$E$94,MATCH($D336,MASTER_JAM!$A$5:$A$94,0)),"")</f>
        <v/>
      </c>
      <c r="K336" s="158">
        <f>IFERROR(INDEX(MASTER_JAM!$J$5:$O$12,MATCH($E336,MASTER_JAM!$I$5:$I$12,0),MATCH($J336,MASTER_JAM!$J$4:$O$4,0))+0,0)</f>
        <v/>
      </c>
      <c r="L336" s="159">
        <f>N($F336)*$K336</f>
        <v/>
      </c>
      <c r="M336" s="157">
        <f>IF($E336="","",IF(OR($E336="Coal",$E336="Dirty Coal"),"MT","BCM"))</f>
        <v/>
      </c>
      <c r="N336" s="157">
        <f>IF($E336="","",IF(OR($E336="Coal",$E336="Dirty Coal"),"Coal","OB"))</f>
        <v/>
      </c>
      <c r="O336" s="157">
        <f>IF($F336="","",IF(COUNTIF(MASTER_JAM!$A$5:$A$94,$C336)=0,"Digger tidak dikenal",IF($J336="","Hauler tidak dikenal",IF($H336="?","Jam salah",IF($K336=0,"Faktor kosong",IF(SUMIFS(INPUT_DELAY!$E$5:$E$20000,INPUT_DELAY!$A$5:$A$20000,$A336,INPUT_DELAY!$B$5:$B$20000,$B336,INPUT_DELAY!$C$5:$C$20000,$C336)+SUMIFS(INPUT_DELAY!$E$5:$E$20000,INPUT_DELAY!$A$5:$A$20000,$A336,INPUT_DELAY!$B$5:$B$20000,$B336,INPUT_DELAY!$C$5:$C$20000,"SEMUA")&gt;=60,"Delay 60 mnt tapi ada ritase","OK"))))))</f>
        <v/>
      </c>
      <c r="P336" s="158">
        <f>IFERROR(INDEX(MASTER_JAM!$Z$5:$AC$10,MATCH($I336,MASTER_JAM!$Y$5:$Y$10,0),MATCH($J336,MASTER_JAM!$Z$4:$AC$4,0))+0,0)</f>
        <v/>
      </c>
      <c r="Q336" s="158">
        <f>IF($P336=0,0,$P336+IFERROR(INDEX(MASTER_JAM!$H$5:$H$94,MATCH($C336,MASTER_JAM!$A$5:$A$94,0))+0,MASTER_JAM!$AC$15)/1000*(60/MASTER_JAM!$AC$12+60/MASTER_JAM!$AC$13)+MASTER_JAM!$AC$14)</f>
        <v/>
      </c>
      <c r="R336" s="158">
        <f>IF(N($F336)=0,0,$F336/SUMIFS(INPUT_RITASE!$F$5:$F$20000,INPUT_RITASE!$A$5:$A$20000,$A336,INPUT_RITASE!$B$5:$B$20000,$B336,INPUT_RITASE!$C$5:$C$20000,$C336,INPUT_RITASE!$D$5:$D$20000,$D336))</f>
        <v/>
      </c>
      <c r="S336" s="158">
        <f>IF($Q336=0,0,$R336*$P336/$Q336)</f>
        <v/>
      </c>
    </row>
    <row r="337">
      <c r="A337" s="155" t="n">
        <v>46105</v>
      </c>
      <c r="B337" s="156" t="inlineStr">
        <is>
          <t>17-18</t>
        </is>
      </c>
      <c r="C337" s="156" t="inlineStr">
        <is>
          <t>EX-2101</t>
        </is>
      </c>
      <c r="D337" s="156" t="inlineStr">
        <is>
          <t>HD-903</t>
        </is>
      </c>
      <c r="E337" s="156" t="inlineStr">
        <is>
          <t>OB</t>
        </is>
      </c>
      <c r="F337" s="156" t="n">
        <v>3</v>
      </c>
      <c r="G337" s="156" t="inlineStr"/>
      <c r="H337" s="157">
        <f>IF($B337="","",IF(ISNA(MATCH($B337,MASTER_JAM!$Q$5:$Q$28,0)),"?",IF(MATCH($B337,MASTER_JAM!$Q$5:$Q$28,0)&lt;=12,"DS","NS")))</f>
        <v/>
      </c>
      <c r="I337" s="157">
        <f>IFERROR(INDEX(MASTER_JAM!$B$5:$B$94,MATCH($C337,MASTER_JAM!$A$5:$A$94,0)),"")</f>
        <v/>
      </c>
      <c r="J337" s="157">
        <f>IFERROR(INDEX(MASTER_JAM!$E$5:$E$94,MATCH($D337,MASTER_JAM!$A$5:$A$94,0)),"")</f>
        <v/>
      </c>
      <c r="K337" s="158">
        <f>IFERROR(INDEX(MASTER_JAM!$J$5:$O$12,MATCH($E337,MASTER_JAM!$I$5:$I$12,0),MATCH($J337,MASTER_JAM!$J$4:$O$4,0))+0,0)</f>
        <v/>
      </c>
      <c r="L337" s="159">
        <f>N($F337)*$K337</f>
        <v/>
      </c>
      <c r="M337" s="157">
        <f>IF($E337="","",IF(OR($E337="Coal",$E337="Dirty Coal"),"MT","BCM"))</f>
        <v/>
      </c>
      <c r="N337" s="157">
        <f>IF($E337="","",IF(OR($E337="Coal",$E337="Dirty Coal"),"Coal","OB"))</f>
        <v/>
      </c>
      <c r="O337" s="157">
        <f>IF($F337="","",IF(COUNTIF(MASTER_JAM!$A$5:$A$94,$C337)=0,"Digger tidak dikenal",IF($J337="","Hauler tidak dikenal",IF($H337="?","Jam salah",IF($K337=0,"Faktor kosong",IF(SUMIFS(INPUT_DELAY!$E$5:$E$20000,INPUT_DELAY!$A$5:$A$20000,$A337,INPUT_DELAY!$B$5:$B$20000,$B337,INPUT_DELAY!$C$5:$C$20000,$C337)+SUMIFS(INPUT_DELAY!$E$5:$E$20000,INPUT_DELAY!$A$5:$A$20000,$A337,INPUT_DELAY!$B$5:$B$20000,$B337,INPUT_DELAY!$C$5:$C$20000,"SEMUA")&gt;=60,"Delay 60 mnt tapi ada ritase","OK"))))))</f>
        <v/>
      </c>
      <c r="P337" s="158">
        <f>IFERROR(INDEX(MASTER_JAM!$Z$5:$AC$10,MATCH($I337,MASTER_JAM!$Y$5:$Y$10,0),MATCH($J337,MASTER_JAM!$Z$4:$AC$4,0))+0,0)</f>
        <v/>
      </c>
      <c r="Q337" s="158">
        <f>IF($P337=0,0,$P337+IFERROR(INDEX(MASTER_JAM!$H$5:$H$94,MATCH($C337,MASTER_JAM!$A$5:$A$94,0))+0,MASTER_JAM!$AC$15)/1000*(60/MASTER_JAM!$AC$12+60/MASTER_JAM!$AC$13)+MASTER_JAM!$AC$14)</f>
        <v/>
      </c>
      <c r="R337" s="158">
        <f>IF(N($F337)=0,0,$F337/SUMIFS(INPUT_RITASE!$F$5:$F$20000,INPUT_RITASE!$A$5:$A$20000,$A337,INPUT_RITASE!$B$5:$B$20000,$B337,INPUT_RITASE!$C$5:$C$20000,$C337,INPUT_RITASE!$D$5:$D$20000,$D337))</f>
        <v/>
      </c>
      <c r="S337" s="158">
        <f>IF($Q337=0,0,$R337*$P337/$Q337)</f>
        <v/>
      </c>
    </row>
    <row r="338">
      <c r="A338" s="155" t="n">
        <v>46105</v>
      </c>
      <c r="B338" s="156" t="inlineStr">
        <is>
          <t>06-07</t>
        </is>
      </c>
      <c r="C338" s="156" t="inlineStr">
        <is>
          <t>EX-333</t>
        </is>
      </c>
      <c r="D338" s="156" t="inlineStr">
        <is>
          <t>DT-812</t>
        </is>
      </c>
      <c r="E338" s="156" t="inlineStr">
        <is>
          <t>Coal</t>
        </is>
      </c>
      <c r="F338" s="156" t="n">
        <v>4</v>
      </c>
      <c r="G338" s="156" t="inlineStr"/>
      <c r="H338" s="157">
        <f>IF($B338="","",IF(ISNA(MATCH($B338,MASTER_JAM!$Q$5:$Q$28,0)),"?",IF(MATCH($B338,MASTER_JAM!$Q$5:$Q$28,0)&lt;=12,"DS","NS")))</f>
        <v/>
      </c>
      <c r="I338" s="157">
        <f>IFERROR(INDEX(MASTER_JAM!$B$5:$B$94,MATCH($C338,MASTER_JAM!$A$5:$A$94,0)),"")</f>
        <v/>
      </c>
      <c r="J338" s="157">
        <f>IFERROR(INDEX(MASTER_JAM!$E$5:$E$94,MATCH($D338,MASTER_JAM!$A$5:$A$94,0)),"")</f>
        <v/>
      </c>
      <c r="K338" s="158">
        <f>IFERROR(INDEX(MASTER_JAM!$J$5:$O$12,MATCH($E338,MASTER_JAM!$I$5:$I$12,0),MATCH($J338,MASTER_JAM!$J$4:$O$4,0))+0,0)</f>
        <v/>
      </c>
      <c r="L338" s="159">
        <f>N($F338)*$K338</f>
        <v/>
      </c>
      <c r="M338" s="157">
        <f>IF($E338="","",IF(OR($E338="Coal",$E338="Dirty Coal"),"MT","BCM"))</f>
        <v/>
      </c>
      <c r="N338" s="157">
        <f>IF($E338="","",IF(OR($E338="Coal",$E338="Dirty Coal"),"Coal","OB"))</f>
        <v/>
      </c>
      <c r="O338" s="157">
        <f>IF($F338="","",IF(COUNTIF(MASTER_JAM!$A$5:$A$94,$C338)=0,"Digger tidak dikenal",IF($J338="","Hauler tidak dikenal",IF($H338="?","Jam salah",IF($K338=0,"Faktor kosong",IF(SUMIFS(INPUT_DELAY!$E$5:$E$20000,INPUT_DELAY!$A$5:$A$20000,$A338,INPUT_DELAY!$B$5:$B$20000,$B338,INPUT_DELAY!$C$5:$C$20000,$C338)+SUMIFS(INPUT_DELAY!$E$5:$E$20000,INPUT_DELAY!$A$5:$A$20000,$A338,INPUT_DELAY!$B$5:$B$20000,$B338,INPUT_DELAY!$C$5:$C$20000,"SEMUA")&gt;=60,"Delay 60 mnt tapi ada ritase","OK"))))))</f>
        <v/>
      </c>
      <c r="P338" s="158">
        <f>IFERROR(INDEX(MASTER_JAM!$Z$5:$AC$10,MATCH($I338,MASTER_JAM!$Y$5:$Y$10,0),MATCH($J338,MASTER_JAM!$Z$4:$AC$4,0))+0,0)</f>
        <v/>
      </c>
      <c r="Q338" s="158">
        <f>IF($P338=0,0,$P338+IFERROR(INDEX(MASTER_JAM!$H$5:$H$94,MATCH($C338,MASTER_JAM!$A$5:$A$94,0))+0,MASTER_JAM!$AC$15)/1000*(60/MASTER_JAM!$AC$12+60/MASTER_JAM!$AC$13)+MASTER_JAM!$AC$14)</f>
        <v/>
      </c>
      <c r="R338" s="158">
        <f>IF(N($F338)=0,0,$F338/SUMIFS(INPUT_RITASE!$F$5:$F$20000,INPUT_RITASE!$A$5:$A$20000,$A338,INPUT_RITASE!$B$5:$B$20000,$B338,INPUT_RITASE!$C$5:$C$20000,$C338,INPUT_RITASE!$D$5:$D$20000,$D338))</f>
        <v/>
      </c>
      <c r="S338" s="158">
        <f>IF($Q338=0,0,$R338*$P338/$Q338)</f>
        <v/>
      </c>
    </row>
    <row r="339">
      <c r="A339" s="155" t="n">
        <v>46105</v>
      </c>
      <c r="B339" s="156" t="inlineStr">
        <is>
          <t>07-08</t>
        </is>
      </c>
      <c r="C339" s="156" t="inlineStr">
        <is>
          <t>EX-333</t>
        </is>
      </c>
      <c r="D339" s="156" t="inlineStr">
        <is>
          <t>DT-812</t>
        </is>
      </c>
      <c r="E339" s="156" t="inlineStr">
        <is>
          <t>Coal</t>
        </is>
      </c>
      <c r="F339" s="156" t="n">
        <v>4</v>
      </c>
      <c r="G339" s="156" t="inlineStr"/>
      <c r="H339" s="157">
        <f>IF($B339="","",IF(ISNA(MATCH($B339,MASTER_JAM!$Q$5:$Q$28,0)),"?",IF(MATCH($B339,MASTER_JAM!$Q$5:$Q$28,0)&lt;=12,"DS","NS")))</f>
        <v/>
      </c>
      <c r="I339" s="157">
        <f>IFERROR(INDEX(MASTER_JAM!$B$5:$B$94,MATCH($C339,MASTER_JAM!$A$5:$A$94,0)),"")</f>
        <v/>
      </c>
      <c r="J339" s="157">
        <f>IFERROR(INDEX(MASTER_JAM!$E$5:$E$94,MATCH($D339,MASTER_JAM!$A$5:$A$94,0)),"")</f>
        <v/>
      </c>
      <c r="K339" s="158">
        <f>IFERROR(INDEX(MASTER_JAM!$J$5:$O$12,MATCH($E339,MASTER_JAM!$I$5:$I$12,0),MATCH($J339,MASTER_JAM!$J$4:$O$4,0))+0,0)</f>
        <v/>
      </c>
      <c r="L339" s="159">
        <f>N($F339)*$K339</f>
        <v/>
      </c>
      <c r="M339" s="157">
        <f>IF($E339="","",IF(OR($E339="Coal",$E339="Dirty Coal"),"MT","BCM"))</f>
        <v/>
      </c>
      <c r="N339" s="157">
        <f>IF($E339="","",IF(OR($E339="Coal",$E339="Dirty Coal"),"Coal","OB"))</f>
        <v/>
      </c>
      <c r="O339" s="157">
        <f>IF($F339="","",IF(COUNTIF(MASTER_JAM!$A$5:$A$94,$C339)=0,"Digger tidak dikenal",IF($J339="","Hauler tidak dikenal",IF($H339="?","Jam salah",IF($K339=0,"Faktor kosong",IF(SUMIFS(INPUT_DELAY!$E$5:$E$20000,INPUT_DELAY!$A$5:$A$20000,$A339,INPUT_DELAY!$B$5:$B$20000,$B339,INPUT_DELAY!$C$5:$C$20000,$C339)+SUMIFS(INPUT_DELAY!$E$5:$E$20000,INPUT_DELAY!$A$5:$A$20000,$A339,INPUT_DELAY!$B$5:$B$20000,$B339,INPUT_DELAY!$C$5:$C$20000,"SEMUA")&gt;=60,"Delay 60 mnt tapi ada ritase","OK"))))))</f>
        <v/>
      </c>
      <c r="P339" s="158">
        <f>IFERROR(INDEX(MASTER_JAM!$Z$5:$AC$10,MATCH($I339,MASTER_JAM!$Y$5:$Y$10,0),MATCH($J339,MASTER_JAM!$Z$4:$AC$4,0))+0,0)</f>
        <v/>
      </c>
      <c r="Q339" s="158">
        <f>IF($P339=0,0,$P339+IFERROR(INDEX(MASTER_JAM!$H$5:$H$94,MATCH($C339,MASTER_JAM!$A$5:$A$94,0))+0,MASTER_JAM!$AC$15)/1000*(60/MASTER_JAM!$AC$12+60/MASTER_JAM!$AC$13)+MASTER_JAM!$AC$14)</f>
        <v/>
      </c>
      <c r="R339" s="158">
        <f>IF(N($F339)=0,0,$F339/SUMIFS(INPUT_RITASE!$F$5:$F$20000,INPUT_RITASE!$A$5:$A$20000,$A339,INPUT_RITASE!$B$5:$B$20000,$B339,INPUT_RITASE!$C$5:$C$20000,$C339,INPUT_RITASE!$D$5:$D$20000,$D339))</f>
        <v/>
      </c>
      <c r="S339" s="158">
        <f>IF($Q339=0,0,$R339*$P339/$Q339)</f>
        <v/>
      </c>
    </row>
    <row r="340">
      <c r="A340" s="155" t="n">
        <v>46105</v>
      </c>
      <c r="B340" s="156" t="inlineStr">
        <is>
          <t>07-08</t>
        </is>
      </c>
      <c r="C340" s="156" t="inlineStr">
        <is>
          <t>EX-333</t>
        </is>
      </c>
      <c r="D340" s="156" t="inlineStr">
        <is>
          <t>DT-505</t>
        </is>
      </c>
      <c r="E340" s="156" t="inlineStr">
        <is>
          <t>Coal</t>
        </is>
      </c>
      <c r="F340" s="156" t="n">
        <v>1</v>
      </c>
      <c r="G340" s="156" t="inlineStr"/>
      <c r="H340" s="157">
        <f>IF($B340="","",IF(ISNA(MATCH($B340,MASTER_JAM!$Q$5:$Q$28,0)),"?",IF(MATCH($B340,MASTER_JAM!$Q$5:$Q$28,0)&lt;=12,"DS","NS")))</f>
        <v/>
      </c>
      <c r="I340" s="157">
        <f>IFERROR(INDEX(MASTER_JAM!$B$5:$B$94,MATCH($C340,MASTER_JAM!$A$5:$A$94,0)),"")</f>
        <v/>
      </c>
      <c r="J340" s="157">
        <f>IFERROR(INDEX(MASTER_JAM!$E$5:$E$94,MATCH($D340,MASTER_JAM!$A$5:$A$94,0)),"")</f>
        <v/>
      </c>
      <c r="K340" s="158">
        <f>IFERROR(INDEX(MASTER_JAM!$J$5:$O$12,MATCH($E340,MASTER_JAM!$I$5:$I$12,0),MATCH($J340,MASTER_JAM!$J$4:$O$4,0))+0,0)</f>
        <v/>
      </c>
      <c r="L340" s="159">
        <f>N($F340)*$K340</f>
        <v/>
      </c>
      <c r="M340" s="157">
        <f>IF($E340="","",IF(OR($E340="Coal",$E340="Dirty Coal"),"MT","BCM"))</f>
        <v/>
      </c>
      <c r="N340" s="157">
        <f>IF($E340="","",IF(OR($E340="Coal",$E340="Dirty Coal"),"Coal","OB"))</f>
        <v/>
      </c>
      <c r="O340" s="157">
        <f>IF($F340="","",IF(COUNTIF(MASTER_JAM!$A$5:$A$94,$C340)=0,"Digger tidak dikenal",IF($J340="","Hauler tidak dikenal",IF($H340="?","Jam salah",IF($K340=0,"Faktor kosong",IF(SUMIFS(INPUT_DELAY!$E$5:$E$20000,INPUT_DELAY!$A$5:$A$20000,$A340,INPUT_DELAY!$B$5:$B$20000,$B340,INPUT_DELAY!$C$5:$C$20000,$C340)+SUMIFS(INPUT_DELAY!$E$5:$E$20000,INPUT_DELAY!$A$5:$A$20000,$A340,INPUT_DELAY!$B$5:$B$20000,$B340,INPUT_DELAY!$C$5:$C$20000,"SEMUA")&gt;=60,"Delay 60 mnt tapi ada ritase","OK"))))))</f>
        <v/>
      </c>
      <c r="P340" s="158">
        <f>IFERROR(INDEX(MASTER_JAM!$Z$5:$AC$10,MATCH($I340,MASTER_JAM!$Y$5:$Y$10,0),MATCH($J340,MASTER_JAM!$Z$4:$AC$4,0))+0,0)</f>
        <v/>
      </c>
      <c r="Q340" s="158">
        <f>IF($P340=0,0,$P340+IFERROR(INDEX(MASTER_JAM!$H$5:$H$94,MATCH($C340,MASTER_JAM!$A$5:$A$94,0))+0,MASTER_JAM!$AC$15)/1000*(60/MASTER_JAM!$AC$12+60/MASTER_JAM!$AC$13)+MASTER_JAM!$AC$14)</f>
        <v/>
      </c>
      <c r="R340" s="158">
        <f>IF(N($F340)=0,0,$F340/SUMIFS(INPUT_RITASE!$F$5:$F$20000,INPUT_RITASE!$A$5:$A$20000,$A340,INPUT_RITASE!$B$5:$B$20000,$B340,INPUT_RITASE!$C$5:$C$20000,$C340,INPUT_RITASE!$D$5:$D$20000,$D340))</f>
        <v/>
      </c>
      <c r="S340" s="158">
        <f>IF($Q340=0,0,$R340*$P340/$Q340)</f>
        <v/>
      </c>
    </row>
    <row r="341">
      <c r="A341" s="155" t="n">
        <v>46105</v>
      </c>
      <c r="B341" s="156" t="inlineStr">
        <is>
          <t>08-09</t>
        </is>
      </c>
      <c r="C341" s="156" t="inlineStr">
        <is>
          <t>EX-333</t>
        </is>
      </c>
      <c r="D341" s="156" t="inlineStr">
        <is>
          <t>DT-812</t>
        </is>
      </c>
      <c r="E341" s="156" t="inlineStr">
        <is>
          <t>Coal</t>
        </is>
      </c>
      <c r="F341" s="156" t="n">
        <v>3</v>
      </c>
      <c r="G341" s="156" t="inlineStr"/>
      <c r="H341" s="157">
        <f>IF($B341="","",IF(ISNA(MATCH($B341,MASTER_JAM!$Q$5:$Q$28,0)),"?",IF(MATCH($B341,MASTER_JAM!$Q$5:$Q$28,0)&lt;=12,"DS","NS")))</f>
        <v/>
      </c>
      <c r="I341" s="157">
        <f>IFERROR(INDEX(MASTER_JAM!$B$5:$B$94,MATCH($C341,MASTER_JAM!$A$5:$A$94,0)),"")</f>
        <v/>
      </c>
      <c r="J341" s="157">
        <f>IFERROR(INDEX(MASTER_JAM!$E$5:$E$94,MATCH($D341,MASTER_JAM!$A$5:$A$94,0)),"")</f>
        <v/>
      </c>
      <c r="K341" s="158">
        <f>IFERROR(INDEX(MASTER_JAM!$J$5:$O$12,MATCH($E341,MASTER_JAM!$I$5:$I$12,0),MATCH($J341,MASTER_JAM!$J$4:$O$4,0))+0,0)</f>
        <v/>
      </c>
      <c r="L341" s="159">
        <f>N($F341)*$K341</f>
        <v/>
      </c>
      <c r="M341" s="157">
        <f>IF($E341="","",IF(OR($E341="Coal",$E341="Dirty Coal"),"MT","BCM"))</f>
        <v/>
      </c>
      <c r="N341" s="157">
        <f>IF($E341="","",IF(OR($E341="Coal",$E341="Dirty Coal"),"Coal","OB"))</f>
        <v/>
      </c>
      <c r="O341" s="157">
        <f>IF($F341="","",IF(COUNTIF(MASTER_JAM!$A$5:$A$94,$C341)=0,"Digger tidak dikenal",IF($J341="","Hauler tidak dikenal",IF($H341="?","Jam salah",IF($K341=0,"Faktor kosong",IF(SUMIFS(INPUT_DELAY!$E$5:$E$20000,INPUT_DELAY!$A$5:$A$20000,$A341,INPUT_DELAY!$B$5:$B$20000,$B341,INPUT_DELAY!$C$5:$C$20000,$C341)+SUMIFS(INPUT_DELAY!$E$5:$E$20000,INPUT_DELAY!$A$5:$A$20000,$A341,INPUT_DELAY!$B$5:$B$20000,$B341,INPUT_DELAY!$C$5:$C$20000,"SEMUA")&gt;=60,"Delay 60 mnt tapi ada ritase","OK"))))))</f>
        <v/>
      </c>
      <c r="P341" s="158">
        <f>IFERROR(INDEX(MASTER_JAM!$Z$5:$AC$10,MATCH($I341,MASTER_JAM!$Y$5:$Y$10,0),MATCH($J341,MASTER_JAM!$Z$4:$AC$4,0))+0,0)</f>
        <v/>
      </c>
      <c r="Q341" s="158">
        <f>IF($P341=0,0,$P341+IFERROR(INDEX(MASTER_JAM!$H$5:$H$94,MATCH($C341,MASTER_JAM!$A$5:$A$94,0))+0,MASTER_JAM!$AC$15)/1000*(60/MASTER_JAM!$AC$12+60/MASTER_JAM!$AC$13)+MASTER_JAM!$AC$14)</f>
        <v/>
      </c>
      <c r="R341" s="158">
        <f>IF(N($F341)=0,0,$F341/SUMIFS(INPUT_RITASE!$F$5:$F$20000,INPUT_RITASE!$A$5:$A$20000,$A341,INPUT_RITASE!$B$5:$B$20000,$B341,INPUT_RITASE!$C$5:$C$20000,$C341,INPUT_RITASE!$D$5:$D$20000,$D341))</f>
        <v/>
      </c>
      <c r="S341" s="158">
        <f>IF($Q341=0,0,$R341*$P341/$Q341)</f>
        <v/>
      </c>
    </row>
    <row r="342">
      <c r="A342" s="155" t="n">
        <v>46105</v>
      </c>
      <c r="B342" s="156" t="inlineStr">
        <is>
          <t>08-09</t>
        </is>
      </c>
      <c r="C342" s="156" t="inlineStr">
        <is>
          <t>EX-333</t>
        </is>
      </c>
      <c r="D342" s="156" t="inlineStr">
        <is>
          <t>DT-810</t>
        </is>
      </c>
      <c r="E342" s="156" t="inlineStr">
        <is>
          <t>Coal</t>
        </is>
      </c>
      <c r="F342" s="156" t="n">
        <v>2</v>
      </c>
      <c r="G342" s="156" t="inlineStr"/>
      <c r="H342" s="157">
        <f>IF($B342="","",IF(ISNA(MATCH($B342,MASTER_JAM!$Q$5:$Q$28,0)),"?",IF(MATCH($B342,MASTER_JAM!$Q$5:$Q$28,0)&lt;=12,"DS","NS")))</f>
        <v/>
      </c>
      <c r="I342" s="157">
        <f>IFERROR(INDEX(MASTER_JAM!$B$5:$B$94,MATCH($C342,MASTER_JAM!$A$5:$A$94,0)),"")</f>
        <v/>
      </c>
      <c r="J342" s="157">
        <f>IFERROR(INDEX(MASTER_JAM!$E$5:$E$94,MATCH($D342,MASTER_JAM!$A$5:$A$94,0)),"")</f>
        <v/>
      </c>
      <c r="K342" s="158">
        <f>IFERROR(INDEX(MASTER_JAM!$J$5:$O$12,MATCH($E342,MASTER_JAM!$I$5:$I$12,0),MATCH($J342,MASTER_JAM!$J$4:$O$4,0))+0,0)</f>
        <v/>
      </c>
      <c r="L342" s="159">
        <f>N($F342)*$K342</f>
        <v/>
      </c>
      <c r="M342" s="157">
        <f>IF($E342="","",IF(OR($E342="Coal",$E342="Dirty Coal"),"MT","BCM"))</f>
        <v/>
      </c>
      <c r="N342" s="157">
        <f>IF($E342="","",IF(OR($E342="Coal",$E342="Dirty Coal"),"Coal","OB"))</f>
        <v/>
      </c>
      <c r="O342" s="157">
        <f>IF($F342="","",IF(COUNTIF(MASTER_JAM!$A$5:$A$94,$C342)=0,"Digger tidak dikenal",IF($J342="","Hauler tidak dikenal",IF($H342="?","Jam salah",IF($K342=0,"Faktor kosong",IF(SUMIFS(INPUT_DELAY!$E$5:$E$20000,INPUT_DELAY!$A$5:$A$20000,$A342,INPUT_DELAY!$B$5:$B$20000,$B342,INPUT_DELAY!$C$5:$C$20000,$C342)+SUMIFS(INPUT_DELAY!$E$5:$E$20000,INPUT_DELAY!$A$5:$A$20000,$A342,INPUT_DELAY!$B$5:$B$20000,$B342,INPUT_DELAY!$C$5:$C$20000,"SEMUA")&gt;=60,"Delay 60 mnt tapi ada ritase","OK"))))))</f>
        <v/>
      </c>
      <c r="P342" s="158">
        <f>IFERROR(INDEX(MASTER_JAM!$Z$5:$AC$10,MATCH($I342,MASTER_JAM!$Y$5:$Y$10,0),MATCH($J342,MASTER_JAM!$Z$4:$AC$4,0))+0,0)</f>
        <v/>
      </c>
      <c r="Q342" s="158">
        <f>IF($P342=0,0,$P342+IFERROR(INDEX(MASTER_JAM!$H$5:$H$94,MATCH($C342,MASTER_JAM!$A$5:$A$94,0))+0,MASTER_JAM!$AC$15)/1000*(60/MASTER_JAM!$AC$12+60/MASTER_JAM!$AC$13)+MASTER_JAM!$AC$14)</f>
        <v/>
      </c>
      <c r="R342" s="158">
        <f>IF(N($F342)=0,0,$F342/SUMIFS(INPUT_RITASE!$F$5:$F$20000,INPUT_RITASE!$A$5:$A$20000,$A342,INPUT_RITASE!$B$5:$B$20000,$B342,INPUT_RITASE!$C$5:$C$20000,$C342,INPUT_RITASE!$D$5:$D$20000,$D342))</f>
        <v/>
      </c>
      <c r="S342" s="158">
        <f>IF($Q342=0,0,$R342*$P342/$Q342)</f>
        <v/>
      </c>
    </row>
    <row r="343">
      <c r="A343" s="155" t="n">
        <v>46105</v>
      </c>
      <c r="B343" s="156" t="inlineStr">
        <is>
          <t>09-10</t>
        </is>
      </c>
      <c r="C343" s="156" t="inlineStr">
        <is>
          <t>EX-333</t>
        </is>
      </c>
      <c r="D343" s="156" t="inlineStr">
        <is>
          <t>DT-810</t>
        </is>
      </c>
      <c r="E343" s="156" t="inlineStr">
        <is>
          <t>Coal</t>
        </is>
      </c>
      <c r="F343" s="156" t="n">
        <v>3</v>
      </c>
      <c r="G343" s="156" t="inlineStr"/>
      <c r="H343" s="157">
        <f>IF($B343="","",IF(ISNA(MATCH($B343,MASTER_JAM!$Q$5:$Q$28,0)),"?",IF(MATCH($B343,MASTER_JAM!$Q$5:$Q$28,0)&lt;=12,"DS","NS")))</f>
        <v/>
      </c>
      <c r="I343" s="157">
        <f>IFERROR(INDEX(MASTER_JAM!$B$5:$B$94,MATCH($C343,MASTER_JAM!$A$5:$A$94,0)),"")</f>
        <v/>
      </c>
      <c r="J343" s="157">
        <f>IFERROR(INDEX(MASTER_JAM!$E$5:$E$94,MATCH($D343,MASTER_JAM!$A$5:$A$94,0)),"")</f>
        <v/>
      </c>
      <c r="K343" s="158">
        <f>IFERROR(INDEX(MASTER_JAM!$J$5:$O$12,MATCH($E343,MASTER_JAM!$I$5:$I$12,0),MATCH($J343,MASTER_JAM!$J$4:$O$4,0))+0,0)</f>
        <v/>
      </c>
      <c r="L343" s="159">
        <f>N($F343)*$K343</f>
        <v/>
      </c>
      <c r="M343" s="157">
        <f>IF($E343="","",IF(OR($E343="Coal",$E343="Dirty Coal"),"MT","BCM"))</f>
        <v/>
      </c>
      <c r="N343" s="157">
        <f>IF($E343="","",IF(OR($E343="Coal",$E343="Dirty Coal"),"Coal","OB"))</f>
        <v/>
      </c>
      <c r="O343" s="157">
        <f>IF($F343="","",IF(COUNTIF(MASTER_JAM!$A$5:$A$94,$C343)=0,"Digger tidak dikenal",IF($J343="","Hauler tidak dikenal",IF($H343="?","Jam salah",IF($K343=0,"Faktor kosong",IF(SUMIFS(INPUT_DELAY!$E$5:$E$20000,INPUT_DELAY!$A$5:$A$20000,$A343,INPUT_DELAY!$B$5:$B$20000,$B343,INPUT_DELAY!$C$5:$C$20000,$C343)+SUMIFS(INPUT_DELAY!$E$5:$E$20000,INPUT_DELAY!$A$5:$A$20000,$A343,INPUT_DELAY!$B$5:$B$20000,$B343,INPUT_DELAY!$C$5:$C$20000,"SEMUA")&gt;=60,"Delay 60 mnt tapi ada ritase","OK"))))))</f>
        <v/>
      </c>
      <c r="P343" s="158">
        <f>IFERROR(INDEX(MASTER_JAM!$Z$5:$AC$10,MATCH($I343,MASTER_JAM!$Y$5:$Y$10,0),MATCH($J343,MASTER_JAM!$Z$4:$AC$4,0))+0,0)</f>
        <v/>
      </c>
      <c r="Q343" s="158">
        <f>IF($P343=0,0,$P343+IFERROR(INDEX(MASTER_JAM!$H$5:$H$94,MATCH($C343,MASTER_JAM!$A$5:$A$94,0))+0,MASTER_JAM!$AC$15)/1000*(60/MASTER_JAM!$AC$12+60/MASTER_JAM!$AC$13)+MASTER_JAM!$AC$14)</f>
        <v/>
      </c>
      <c r="R343" s="158">
        <f>IF(N($F343)=0,0,$F343/SUMIFS(INPUT_RITASE!$F$5:$F$20000,INPUT_RITASE!$A$5:$A$20000,$A343,INPUT_RITASE!$B$5:$B$20000,$B343,INPUT_RITASE!$C$5:$C$20000,$C343,INPUT_RITASE!$D$5:$D$20000,$D343))</f>
        <v/>
      </c>
      <c r="S343" s="158">
        <f>IF($Q343=0,0,$R343*$P343/$Q343)</f>
        <v/>
      </c>
    </row>
    <row r="344">
      <c r="A344" s="155" t="n">
        <v>46105</v>
      </c>
      <c r="B344" s="156" t="inlineStr">
        <is>
          <t>09-10</t>
        </is>
      </c>
      <c r="C344" s="156" t="inlineStr">
        <is>
          <t>EX-333</t>
        </is>
      </c>
      <c r="D344" s="156" t="inlineStr">
        <is>
          <t>DT-528</t>
        </is>
      </c>
      <c r="E344" s="156" t="inlineStr">
        <is>
          <t>Coal</t>
        </is>
      </c>
      <c r="F344" s="156" t="n">
        <v>2</v>
      </c>
      <c r="G344" s="156" t="inlineStr"/>
      <c r="H344" s="157">
        <f>IF($B344="","",IF(ISNA(MATCH($B344,MASTER_JAM!$Q$5:$Q$28,0)),"?",IF(MATCH($B344,MASTER_JAM!$Q$5:$Q$28,0)&lt;=12,"DS","NS")))</f>
        <v/>
      </c>
      <c r="I344" s="157">
        <f>IFERROR(INDEX(MASTER_JAM!$B$5:$B$94,MATCH($C344,MASTER_JAM!$A$5:$A$94,0)),"")</f>
        <v/>
      </c>
      <c r="J344" s="157">
        <f>IFERROR(INDEX(MASTER_JAM!$E$5:$E$94,MATCH($D344,MASTER_JAM!$A$5:$A$94,0)),"")</f>
        <v/>
      </c>
      <c r="K344" s="158">
        <f>IFERROR(INDEX(MASTER_JAM!$J$5:$O$12,MATCH($E344,MASTER_JAM!$I$5:$I$12,0),MATCH($J344,MASTER_JAM!$J$4:$O$4,0))+0,0)</f>
        <v/>
      </c>
      <c r="L344" s="159">
        <f>N($F344)*$K344</f>
        <v/>
      </c>
      <c r="M344" s="157">
        <f>IF($E344="","",IF(OR($E344="Coal",$E344="Dirty Coal"),"MT","BCM"))</f>
        <v/>
      </c>
      <c r="N344" s="157">
        <f>IF($E344="","",IF(OR($E344="Coal",$E344="Dirty Coal"),"Coal","OB"))</f>
        <v/>
      </c>
      <c r="O344" s="157">
        <f>IF($F344="","",IF(COUNTIF(MASTER_JAM!$A$5:$A$94,$C344)=0,"Digger tidak dikenal",IF($J344="","Hauler tidak dikenal",IF($H344="?","Jam salah",IF($K344=0,"Faktor kosong",IF(SUMIFS(INPUT_DELAY!$E$5:$E$20000,INPUT_DELAY!$A$5:$A$20000,$A344,INPUT_DELAY!$B$5:$B$20000,$B344,INPUT_DELAY!$C$5:$C$20000,$C344)+SUMIFS(INPUT_DELAY!$E$5:$E$20000,INPUT_DELAY!$A$5:$A$20000,$A344,INPUT_DELAY!$B$5:$B$20000,$B344,INPUT_DELAY!$C$5:$C$20000,"SEMUA")&gt;=60,"Delay 60 mnt tapi ada ritase","OK"))))))</f>
        <v/>
      </c>
      <c r="P344" s="158">
        <f>IFERROR(INDEX(MASTER_JAM!$Z$5:$AC$10,MATCH($I344,MASTER_JAM!$Y$5:$Y$10,0),MATCH($J344,MASTER_JAM!$Z$4:$AC$4,0))+0,0)</f>
        <v/>
      </c>
      <c r="Q344" s="158">
        <f>IF($P344=0,0,$P344+IFERROR(INDEX(MASTER_JAM!$H$5:$H$94,MATCH($C344,MASTER_JAM!$A$5:$A$94,0))+0,MASTER_JAM!$AC$15)/1000*(60/MASTER_JAM!$AC$12+60/MASTER_JAM!$AC$13)+MASTER_JAM!$AC$14)</f>
        <v/>
      </c>
      <c r="R344" s="158">
        <f>IF(N($F344)=0,0,$F344/SUMIFS(INPUT_RITASE!$F$5:$F$20000,INPUT_RITASE!$A$5:$A$20000,$A344,INPUT_RITASE!$B$5:$B$20000,$B344,INPUT_RITASE!$C$5:$C$20000,$C344,INPUT_RITASE!$D$5:$D$20000,$D344))</f>
        <v/>
      </c>
      <c r="S344" s="158">
        <f>IF($Q344=0,0,$R344*$P344/$Q344)</f>
        <v/>
      </c>
    </row>
    <row r="345">
      <c r="A345" s="155" t="n">
        <v>46105</v>
      </c>
      <c r="B345" s="156" t="inlineStr">
        <is>
          <t>10-11</t>
        </is>
      </c>
      <c r="C345" s="156" t="inlineStr">
        <is>
          <t>EX-333</t>
        </is>
      </c>
      <c r="D345" s="156" t="inlineStr">
        <is>
          <t>DT-810</t>
        </is>
      </c>
      <c r="E345" s="156" t="inlineStr">
        <is>
          <t>Coal</t>
        </is>
      </c>
      <c r="F345" s="156" t="n">
        <v>4</v>
      </c>
      <c r="G345" s="156" t="inlineStr"/>
      <c r="H345" s="157">
        <f>IF($B345="","",IF(ISNA(MATCH($B345,MASTER_JAM!$Q$5:$Q$28,0)),"?",IF(MATCH($B345,MASTER_JAM!$Q$5:$Q$28,0)&lt;=12,"DS","NS")))</f>
        <v/>
      </c>
      <c r="I345" s="157">
        <f>IFERROR(INDEX(MASTER_JAM!$B$5:$B$94,MATCH($C345,MASTER_JAM!$A$5:$A$94,0)),"")</f>
        <v/>
      </c>
      <c r="J345" s="157">
        <f>IFERROR(INDEX(MASTER_JAM!$E$5:$E$94,MATCH($D345,MASTER_JAM!$A$5:$A$94,0)),"")</f>
        <v/>
      </c>
      <c r="K345" s="158">
        <f>IFERROR(INDEX(MASTER_JAM!$J$5:$O$12,MATCH($E345,MASTER_JAM!$I$5:$I$12,0),MATCH($J345,MASTER_JAM!$J$4:$O$4,0))+0,0)</f>
        <v/>
      </c>
      <c r="L345" s="159">
        <f>N($F345)*$K345</f>
        <v/>
      </c>
      <c r="M345" s="157">
        <f>IF($E345="","",IF(OR($E345="Coal",$E345="Dirty Coal"),"MT","BCM"))</f>
        <v/>
      </c>
      <c r="N345" s="157">
        <f>IF($E345="","",IF(OR($E345="Coal",$E345="Dirty Coal"),"Coal","OB"))</f>
        <v/>
      </c>
      <c r="O345" s="157">
        <f>IF($F345="","",IF(COUNTIF(MASTER_JAM!$A$5:$A$94,$C345)=0,"Digger tidak dikenal",IF($J345="","Hauler tidak dikenal",IF($H345="?","Jam salah",IF($K345=0,"Faktor kosong",IF(SUMIFS(INPUT_DELAY!$E$5:$E$20000,INPUT_DELAY!$A$5:$A$20000,$A345,INPUT_DELAY!$B$5:$B$20000,$B345,INPUT_DELAY!$C$5:$C$20000,$C345)+SUMIFS(INPUT_DELAY!$E$5:$E$20000,INPUT_DELAY!$A$5:$A$20000,$A345,INPUT_DELAY!$B$5:$B$20000,$B345,INPUT_DELAY!$C$5:$C$20000,"SEMUA")&gt;=60,"Delay 60 mnt tapi ada ritase","OK"))))))</f>
        <v/>
      </c>
      <c r="P345" s="158">
        <f>IFERROR(INDEX(MASTER_JAM!$Z$5:$AC$10,MATCH($I345,MASTER_JAM!$Y$5:$Y$10,0),MATCH($J345,MASTER_JAM!$Z$4:$AC$4,0))+0,0)</f>
        <v/>
      </c>
      <c r="Q345" s="158">
        <f>IF($P345=0,0,$P345+IFERROR(INDEX(MASTER_JAM!$H$5:$H$94,MATCH($C345,MASTER_JAM!$A$5:$A$94,0))+0,MASTER_JAM!$AC$15)/1000*(60/MASTER_JAM!$AC$12+60/MASTER_JAM!$AC$13)+MASTER_JAM!$AC$14)</f>
        <v/>
      </c>
      <c r="R345" s="158">
        <f>IF(N($F345)=0,0,$F345/SUMIFS(INPUT_RITASE!$F$5:$F$20000,INPUT_RITASE!$A$5:$A$20000,$A345,INPUT_RITASE!$B$5:$B$20000,$B345,INPUT_RITASE!$C$5:$C$20000,$C345,INPUT_RITASE!$D$5:$D$20000,$D345))</f>
        <v/>
      </c>
      <c r="S345" s="158">
        <f>IF($Q345=0,0,$R345*$P345/$Q345)</f>
        <v/>
      </c>
    </row>
    <row r="346">
      <c r="A346" s="155" t="n">
        <v>46105</v>
      </c>
      <c r="B346" s="156" t="inlineStr">
        <is>
          <t>10-11</t>
        </is>
      </c>
      <c r="C346" s="156" t="inlineStr">
        <is>
          <t>EX-333</t>
        </is>
      </c>
      <c r="D346" s="156" t="inlineStr">
        <is>
          <t>DT-526</t>
        </is>
      </c>
      <c r="E346" s="156" t="inlineStr">
        <is>
          <t>Coal</t>
        </is>
      </c>
      <c r="F346" s="156" t="n">
        <v>1</v>
      </c>
      <c r="G346" s="156" t="inlineStr"/>
      <c r="H346" s="157">
        <f>IF($B346="","",IF(ISNA(MATCH($B346,MASTER_JAM!$Q$5:$Q$28,0)),"?",IF(MATCH($B346,MASTER_JAM!$Q$5:$Q$28,0)&lt;=12,"DS","NS")))</f>
        <v/>
      </c>
      <c r="I346" s="157">
        <f>IFERROR(INDEX(MASTER_JAM!$B$5:$B$94,MATCH($C346,MASTER_JAM!$A$5:$A$94,0)),"")</f>
        <v/>
      </c>
      <c r="J346" s="157">
        <f>IFERROR(INDEX(MASTER_JAM!$E$5:$E$94,MATCH($D346,MASTER_JAM!$A$5:$A$94,0)),"")</f>
        <v/>
      </c>
      <c r="K346" s="158">
        <f>IFERROR(INDEX(MASTER_JAM!$J$5:$O$12,MATCH($E346,MASTER_JAM!$I$5:$I$12,0),MATCH($J346,MASTER_JAM!$J$4:$O$4,0))+0,0)</f>
        <v/>
      </c>
      <c r="L346" s="159">
        <f>N($F346)*$K346</f>
        <v/>
      </c>
      <c r="M346" s="157">
        <f>IF($E346="","",IF(OR($E346="Coal",$E346="Dirty Coal"),"MT","BCM"))</f>
        <v/>
      </c>
      <c r="N346" s="157">
        <f>IF($E346="","",IF(OR($E346="Coal",$E346="Dirty Coal"),"Coal","OB"))</f>
        <v/>
      </c>
      <c r="O346" s="157">
        <f>IF($F346="","",IF(COUNTIF(MASTER_JAM!$A$5:$A$94,$C346)=0,"Digger tidak dikenal",IF($J346="","Hauler tidak dikenal",IF($H346="?","Jam salah",IF($K346=0,"Faktor kosong",IF(SUMIFS(INPUT_DELAY!$E$5:$E$20000,INPUT_DELAY!$A$5:$A$20000,$A346,INPUT_DELAY!$B$5:$B$20000,$B346,INPUT_DELAY!$C$5:$C$20000,$C346)+SUMIFS(INPUT_DELAY!$E$5:$E$20000,INPUT_DELAY!$A$5:$A$20000,$A346,INPUT_DELAY!$B$5:$B$20000,$B346,INPUT_DELAY!$C$5:$C$20000,"SEMUA")&gt;=60,"Delay 60 mnt tapi ada ritase","OK"))))))</f>
        <v/>
      </c>
      <c r="P346" s="158">
        <f>IFERROR(INDEX(MASTER_JAM!$Z$5:$AC$10,MATCH($I346,MASTER_JAM!$Y$5:$Y$10,0),MATCH($J346,MASTER_JAM!$Z$4:$AC$4,0))+0,0)</f>
        <v/>
      </c>
      <c r="Q346" s="158">
        <f>IF($P346=0,0,$P346+IFERROR(INDEX(MASTER_JAM!$H$5:$H$94,MATCH($C346,MASTER_JAM!$A$5:$A$94,0))+0,MASTER_JAM!$AC$15)/1000*(60/MASTER_JAM!$AC$12+60/MASTER_JAM!$AC$13)+MASTER_JAM!$AC$14)</f>
        <v/>
      </c>
      <c r="R346" s="158">
        <f>IF(N($F346)=0,0,$F346/SUMIFS(INPUT_RITASE!$F$5:$F$20000,INPUT_RITASE!$A$5:$A$20000,$A346,INPUT_RITASE!$B$5:$B$20000,$B346,INPUT_RITASE!$C$5:$C$20000,$C346,INPUT_RITASE!$D$5:$D$20000,$D346))</f>
        <v/>
      </c>
      <c r="S346" s="158">
        <f>IF($Q346=0,0,$R346*$P346/$Q346)</f>
        <v/>
      </c>
    </row>
    <row r="347">
      <c r="A347" s="155" t="n">
        <v>46105</v>
      </c>
      <c r="B347" s="156" t="inlineStr">
        <is>
          <t>11-12</t>
        </is>
      </c>
      <c r="C347" s="156" t="inlineStr">
        <is>
          <t>EX-333</t>
        </is>
      </c>
      <c r="D347" s="156" t="inlineStr">
        <is>
          <t>DT-812</t>
        </is>
      </c>
      <c r="E347" s="156" t="inlineStr">
        <is>
          <t>Coal</t>
        </is>
      </c>
      <c r="F347" s="156" t="n">
        <v>2</v>
      </c>
      <c r="G347" s="156" t="inlineStr"/>
      <c r="H347" s="157">
        <f>IF($B347="","",IF(ISNA(MATCH($B347,MASTER_JAM!$Q$5:$Q$28,0)),"?",IF(MATCH($B347,MASTER_JAM!$Q$5:$Q$28,0)&lt;=12,"DS","NS")))</f>
        <v/>
      </c>
      <c r="I347" s="157">
        <f>IFERROR(INDEX(MASTER_JAM!$B$5:$B$94,MATCH($C347,MASTER_JAM!$A$5:$A$94,0)),"")</f>
        <v/>
      </c>
      <c r="J347" s="157">
        <f>IFERROR(INDEX(MASTER_JAM!$E$5:$E$94,MATCH($D347,MASTER_JAM!$A$5:$A$94,0)),"")</f>
        <v/>
      </c>
      <c r="K347" s="158">
        <f>IFERROR(INDEX(MASTER_JAM!$J$5:$O$12,MATCH($E347,MASTER_JAM!$I$5:$I$12,0),MATCH($J347,MASTER_JAM!$J$4:$O$4,0))+0,0)</f>
        <v/>
      </c>
      <c r="L347" s="159">
        <f>N($F347)*$K347</f>
        <v/>
      </c>
      <c r="M347" s="157">
        <f>IF($E347="","",IF(OR($E347="Coal",$E347="Dirty Coal"),"MT","BCM"))</f>
        <v/>
      </c>
      <c r="N347" s="157">
        <f>IF($E347="","",IF(OR($E347="Coal",$E347="Dirty Coal"),"Coal","OB"))</f>
        <v/>
      </c>
      <c r="O347" s="157">
        <f>IF($F347="","",IF(COUNTIF(MASTER_JAM!$A$5:$A$94,$C347)=0,"Digger tidak dikenal",IF($J347="","Hauler tidak dikenal",IF($H347="?","Jam salah",IF($K347=0,"Faktor kosong",IF(SUMIFS(INPUT_DELAY!$E$5:$E$20000,INPUT_DELAY!$A$5:$A$20000,$A347,INPUT_DELAY!$B$5:$B$20000,$B347,INPUT_DELAY!$C$5:$C$20000,$C347)+SUMIFS(INPUT_DELAY!$E$5:$E$20000,INPUT_DELAY!$A$5:$A$20000,$A347,INPUT_DELAY!$B$5:$B$20000,$B347,INPUT_DELAY!$C$5:$C$20000,"SEMUA")&gt;=60,"Delay 60 mnt tapi ada ritase","OK"))))))</f>
        <v/>
      </c>
      <c r="P347" s="158">
        <f>IFERROR(INDEX(MASTER_JAM!$Z$5:$AC$10,MATCH($I347,MASTER_JAM!$Y$5:$Y$10,0),MATCH($J347,MASTER_JAM!$Z$4:$AC$4,0))+0,0)</f>
        <v/>
      </c>
      <c r="Q347" s="158">
        <f>IF($P347=0,0,$P347+IFERROR(INDEX(MASTER_JAM!$H$5:$H$94,MATCH($C347,MASTER_JAM!$A$5:$A$94,0))+0,MASTER_JAM!$AC$15)/1000*(60/MASTER_JAM!$AC$12+60/MASTER_JAM!$AC$13)+MASTER_JAM!$AC$14)</f>
        <v/>
      </c>
      <c r="R347" s="158">
        <f>IF(N($F347)=0,0,$F347/SUMIFS(INPUT_RITASE!$F$5:$F$20000,INPUT_RITASE!$A$5:$A$20000,$A347,INPUT_RITASE!$B$5:$B$20000,$B347,INPUT_RITASE!$C$5:$C$20000,$C347,INPUT_RITASE!$D$5:$D$20000,$D347))</f>
        <v/>
      </c>
      <c r="S347" s="158">
        <f>IF($Q347=0,0,$R347*$P347/$Q347)</f>
        <v/>
      </c>
    </row>
    <row r="348">
      <c r="A348" s="155" t="n">
        <v>46105</v>
      </c>
      <c r="B348" s="156" t="inlineStr">
        <is>
          <t>06-07</t>
        </is>
      </c>
      <c r="C348" s="156" t="inlineStr">
        <is>
          <t>EX-754</t>
        </is>
      </c>
      <c r="D348" s="156" t="inlineStr">
        <is>
          <t>DT-520</t>
        </is>
      </c>
      <c r="E348" s="156" t="inlineStr">
        <is>
          <t>OB</t>
        </is>
      </c>
      <c r="F348" s="156" t="n">
        <v>4</v>
      </c>
      <c r="G348" s="156" t="inlineStr"/>
      <c r="H348" s="157">
        <f>IF($B348="","",IF(ISNA(MATCH($B348,MASTER_JAM!$Q$5:$Q$28,0)),"?",IF(MATCH($B348,MASTER_JAM!$Q$5:$Q$28,0)&lt;=12,"DS","NS")))</f>
        <v/>
      </c>
      <c r="I348" s="157">
        <f>IFERROR(INDEX(MASTER_JAM!$B$5:$B$94,MATCH($C348,MASTER_JAM!$A$5:$A$94,0)),"")</f>
        <v/>
      </c>
      <c r="J348" s="157">
        <f>IFERROR(INDEX(MASTER_JAM!$E$5:$E$94,MATCH($D348,MASTER_JAM!$A$5:$A$94,0)),"")</f>
        <v/>
      </c>
      <c r="K348" s="158">
        <f>IFERROR(INDEX(MASTER_JAM!$J$5:$O$12,MATCH($E348,MASTER_JAM!$I$5:$I$12,0),MATCH($J348,MASTER_JAM!$J$4:$O$4,0))+0,0)</f>
        <v/>
      </c>
      <c r="L348" s="159">
        <f>N($F348)*$K348</f>
        <v/>
      </c>
      <c r="M348" s="157">
        <f>IF($E348="","",IF(OR($E348="Coal",$E348="Dirty Coal"),"MT","BCM"))</f>
        <v/>
      </c>
      <c r="N348" s="157">
        <f>IF($E348="","",IF(OR($E348="Coal",$E348="Dirty Coal"),"Coal","OB"))</f>
        <v/>
      </c>
      <c r="O348" s="157">
        <f>IF($F348="","",IF(COUNTIF(MASTER_JAM!$A$5:$A$94,$C348)=0,"Digger tidak dikenal",IF($J348="","Hauler tidak dikenal",IF($H348="?","Jam salah",IF($K348=0,"Faktor kosong",IF(SUMIFS(INPUT_DELAY!$E$5:$E$20000,INPUT_DELAY!$A$5:$A$20000,$A348,INPUT_DELAY!$B$5:$B$20000,$B348,INPUT_DELAY!$C$5:$C$20000,$C348)+SUMIFS(INPUT_DELAY!$E$5:$E$20000,INPUT_DELAY!$A$5:$A$20000,$A348,INPUT_DELAY!$B$5:$B$20000,$B348,INPUT_DELAY!$C$5:$C$20000,"SEMUA")&gt;=60,"Delay 60 mnt tapi ada ritase","OK"))))))</f>
        <v/>
      </c>
      <c r="P348" s="158">
        <f>IFERROR(INDEX(MASTER_JAM!$Z$5:$AC$10,MATCH($I348,MASTER_JAM!$Y$5:$Y$10,0),MATCH($J348,MASTER_JAM!$Z$4:$AC$4,0))+0,0)</f>
        <v/>
      </c>
      <c r="Q348" s="158">
        <f>IF($P348=0,0,$P348+IFERROR(INDEX(MASTER_JAM!$H$5:$H$94,MATCH($C348,MASTER_JAM!$A$5:$A$94,0))+0,MASTER_JAM!$AC$15)/1000*(60/MASTER_JAM!$AC$12+60/MASTER_JAM!$AC$13)+MASTER_JAM!$AC$14)</f>
        <v/>
      </c>
      <c r="R348" s="158">
        <f>IF(N($F348)=0,0,$F348/SUMIFS(INPUT_RITASE!$F$5:$F$20000,INPUT_RITASE!$A$5:$A$20000,$A348,INPUT_RITASE!$B$5:$B$20000,$B348,INPUT_RITASE!$C$5:$C$20000,$C348,INPUT_RITASE!$D$5:$D$20000,$D348))</f>
        <v/>
      </c>
      <c r="S348" s="158">
        <f>IF($Q348=0,0,$R348*$P348/$Q348)</f>
        <v/>
      </c>
    </row>
    <row r="349">
      <c r="A349" s="155" t="n">
        <v>46105</v>
      </c>
      <c r="B349" s="156" t="inlineStr">
        <is>
          <t>06-07</t>
        </is>
      </c>
      <c r="C349" s="156" t="inlineStr">
        <is>
          <t>EX-754</t>
        </is>
      </c>
      <c r="D349" s="156" t="inlineStr">
        <is>
          <t>DT-505</t>
        </is>
      </c>
      <c r="E349" s="156" t="inlineStr">
        <is>
          <t>OB</t>
        </is>
      </c>
      <c r="F349" s="156" t="n">
        <v>4</v>
      </c>
      <c r="G349" s="156" t="inlineStr"/>
      <c r="H349" s="157">
        <f>IF($B349="","",IF(ISNA(MATCH($B349,MASTER_JAM!$Q$5:$Q$28,0)),"?",IF(MATCH($B349,MASTER_JAM!$Q$5:$Q$28,0)&lt;=12,"DS","NS")))</f>
        <v/>
      </c>
      <c r="I349" s="157">
        <f>IFERROR(INDEX(MASTER_JAM!$B$5:$B$94,MATCH($C349,MASTER_JAM!$A$5:$A$94,0)),"")</f>
        <v/>
      </c>
      <c r="J349" s="157">
        <f>IFERROR(INDEX(MASTER_JAM!$E$5:$E$94,MATCH($D349,MASTER_JAM!$A$5:$A$94,0)),"")</f>
        <v/>
      </c>
      <c r="K349" s="158">
        <f>IFERROR(INDEX(MASTER_JAM!$J$5:$O$12,MATCH($E349,MASTER_JAM!$I$5:$I$12,0),MATCH($J349,MASTER_JAM!$J$4:$O$4,0))+0,0)</f>
        <v/>
      </c>
      <c r="L349" s="159">
        <f>N($F349)*$K349</f>
        <v/>
      </c>
      <c r="M349" s="157">
        <f>IF($E349="","",IF(OR($E349="Coal",$E349="Dirty Coal"),"MT","BCM"))</f>
        <v/>
      </c>
      <c r="N349" s="157">
        <f>IF($E349="","",IF(OR($E349="Coal",$E349="Dirty Coal"),"Coal","OB"))</f>
        <v/>
      </c>
      <c r="O349" s="157">
        <f>IF($F349="","",IF(COUNTIF(MASTER_JAM!$A$5:$A$94,$C349)=0,"Digger tidak dikenal",IF($J349="","Hauler tidak dikenal",IF($H349="?","Jam salah",IF($K349=0,"Faktor kosong",IF(SUMIFS(INPUT_DELAY!$E$5:$E$20000,INPUT_DELAY!$A$5:$A$20000,$A349,INPUT_DELAY!$B$5:$B$20000,$B349,INPUT_DELAY!$C$5:$C$20000,$C349)+SUMIFS(INPUT_DELAY!$E$5:$E$20000,INPUT_DELAY!$A$5:$A$20000,$A349,INPUT_DELAY!$B$5:$B$20000,$B349,INPUT_DELAY!$C$5:$C$20000,"SEMUA")&gt;=60,"Delay 60 mnt tapi ada ritase","OK"))))))</f>
        <v/>
      </c>
      <c r="P349" s="158">
        <f>IFERROR(INDEX(MASTER_JAM!$Z$5:$AC$10,MATCH($I349,MASTER_JAM!$Y$5:$Y$10,0),MATCH($J349,MASTER_JAM!$Z$4:$AC$4,0))+0,0)</f>
        <v/>
      </c>
      <c r="Q349" s="158">
        <f>IF($P349=0,0,$P349+IFERROR(INDEX(MASTER_JAM!$H$5:$H$94,MATCH($C349,MASTER_JAM!$A$5:$A$94,0))+0,MASTER_JAM!$AC$15)/1000*(60/MASTER_JAM!$AC$12+60/MASTER_JAM!$AC$13)+MASTER_JAM!$AC$14)</f>
        <v/>
      </c>
      <c r="R349" s="158">
        <f>IF(N($F349)=0,0,$F349/SUMIFS(INPUT_RITASE!$F$5:$F$20000,INPUT_RITASE!$A$5:$A$20000,$A349,INPUT_RITASE!$B$5:$B$20000,$B349,INPUT_RITASE!$C$5:$C$20000,$C349,INPUT_RITASE!$D$5:$D$20000,$D349))</f>
        <v/>
      </c>
      <c r="S349" s="158">
        <f>IF($Q349=0,0,$R349*$P349/$Q349)</f>
        <v/>
      </c>
    </row>
    <row r="350">
      <c r="A350" s="155" t="n">
        <v>46105</v>
      </c>
      <c r="B350" s="156" t="inlineStr">
        <is>
          <t>06-07</t>
        </is>
      </c>
      <c r="C350" s="156" t="inlineStr">
        <is>
          <t>EX-754</t>
        </is>
      </c>
      <c r="D350" s="156" t="inlineStr">
        <is>
          <t>DT-526</t>
        </is>
      </c>
      <c r="E350" s="156" t="inlineStr">
        <is>
          <t>OB</t>
        </is>
      </c>
      <c r="F350" s="156" t="n">
        <v>3</v>
      </c>
      <c r="G350" s="156" t="inlineStr"/>
      <c r="H350" s="157">
        <f>IF($B350="","",IF(ISNA(MATCH($B350,MASTER_JAM!$Q$5:$Q$28,0)),"?",IF(MATCH($B350,MASTER_JAM!$Q$5:$Q$28,0)&lt;=12,"DS","NS")))</f>
        <v/>
      </c>
      <c r="I350" s="157">
        <f>IFERROR(INDEX(MASTER_JAM!$B$5:$B$94,MATCH($C350,MASTER_JAM!$A$5:$A$94,0)),"")</f>
        <v/>
      </c>
      <c r="J350" s="157">
        <f>IFERROR(INDEX(MASTER_JAM!$E$5:$E$94,MATCH($D350,MASTER_JAM!$A$5:$A$94,0)),"")</f>
        <v/>
      </c>
      <c r="K350" s="158">
        <f>IFERROR(INDEX(MASTER_JAM!$J$5:$O$12,MATCH($E350,MASTER_JAM!$I$5:$I$12,0),MATCH($J350,MASTER_JAM!$J$4:$O$4,0))+0,0)</f>
        <v/>
      </c>
      <c r="L350" s="159">
        <f>N($F350)*$K350</f>
        <v/>
      </c>
      <c r="M350" s="157">
        <f>IF($E350="","",IF(OR($E350="Coal",$E350="Dirty Coal"),"MT","BCM"))</f>
        <v/>
      </c>
      <c r="N350" s="157">
        <f>IF($E350="","",IF(OR($E350="Coal",$E350="Dirty Coal"),"Coal","OB"))</f>
        <v/>
      </c>
      <c r="O350" s="157">
        <f>IF($F350="","",IF(COUNTIF(MASTER_JAM!$A$5:$A$94,$C350)=0,"Digger tidak dikenal",IF($J350="","Hauler tidak dikenal",IF($H350="?","Jam salah",IF($K350=0,"Faktor kosong",IF(SUMIFS(INPUT_DELAY!$E$5:$E$20000,INPUT_DELAY!$A$5:$A$20000,$A350,INPUT_DELAY!$B$5:$B$20000,$B350,INPUT_DELAY!$C$5:$C$20000,$C350)+SUMIFS(INPUT_DELAY!$E$5:$E$20000,INPUT_DELAY!$A$5:$A$20000,$A350,INPUT_DELAY!$B$5:$B$20000,$B350,INPUT_DELAY!$C$5:$C$20000,"SEMUA")&gt;=60,"Delay 60 mnt tapi ada ritase","OK"))))))</f>
        <v/>
      </c>
      <c r="P350" s="158">
        <f>IFERROR(INDEX(MASTER_JAM!$Z$5:$AC$10,MATCH($I350,MASTER_JAM!$Y$5:$Y$10,0),MATCH($J350,MASTER_JAM!$Z$4:$AC$4,0))+0,0)</f>
        <v/>
      </c>
      <c r="Q350" s="158">
        <f>IF($P350=0,0,$P350+IFERROR(INDEX(MASTER_JAM!$H$5:$H$94,MATCH($C350,MASTER_JAM!$A$5:$A$94,0))+0,MASTER_JAM!$AC$15)/1000*(60/MASTER_JAM!$AC$12+60/MASTER_JAM!$AC$13)+MASTER_JAM!$AC$14)</f>
        <v/>
      </c>
      <c r="R350" s="158">
        <f>IF(N($F350)=0,0,$F350/SUMIFS(INPUT_RITASE!$F$5:$F$20000,INPUT_RITASE!$A$5:$A$20000,$A350,INPUT_RITASE!$B$5:$B$20000,$B350,INPUT_RITASE!$C$5:$C$20000,$C350,INPUT_RITASE!$D$5:$D$20000,$D350))</f>
        <v/>
      </c>
      <c r="S350" s="158">
        <f>IF($Q350=0,0,$R350*$P350/$Q350)</f>
        <v/>
      </c>
    </row>
    <row r="351">
      <c r="A351" s="155" t="n">
        <v>46105</v>
      </c>
      <c r="B351" s="156" t="inlineStr">
        <is>
          <t>06-07</t>
        </is>
      </c>
      <c r="C351" s="156" t="inlineStr">
        <is>
          <t>EX-754</t>
        </is>
      </c>
      <c r="D351" s="156" t="inlineStr">
        <is>
          <t>DT-504</t>
        </is>
      </c>
      <c r="E351" s="156" t="inlineStr">
        <is>
          <t>OB</t>
        </is>
      </c>
      <c r="F351" s="156" t="n">
        <v>3</v>
      </c>
      <c r="G351" s="156" t="inlineStr"/>
      <c r="H351" s="157">
        <f>IF($B351="","",IF(ISNA(MATCH($B351,MASTER_JAM!$Q$5:$Q$28,0)),"?",IF(MATCH($B351,MASTER_JAM!$Q$5:$Q$28,0)&lt;=12,"DS","NS")))</f>
        <v/>
      </c>
      <c r="I351" s="157">
        <f>IFERROR(INDEX(MASTER_JAM!$B$5:$B$94,MATCH($C351,MASTER_JAM!$A$5:$A$94,0)),"")</f>
        <v/>
      </c>
      <c r="J351" s="157">
        <f>IFERROR(INDEX(MASTER_JAM!$E$5:$E$94,MATCH($D351,MASTER_JAM!$A$5:$A$94,0)),"")</f>
        <v/>
      </c>
      <c r="K351" s="158">
        <f>IFERROR(INDEX(MASTER_JAM!$J$5:$O$12,MATCH($E351,MASTER_JAM!$I$5:$I$12,0),MATCH($J351,MASTER_JAM!$J$4:$O$4,0))+0,0)</f>
        <v/>
      </c>
      <c r="L351" s="159">
        <f>N($F351)*$K351</f>
        <v/>
      </c>
      <c r="M351" s="157">
        <f>IF($E351="","",IF(OR($E351="Coal",$E351="Dirty Coal"),"MT","BCM"))</f>
        <v/>
      </c>
      <c r="N351" s="157">
        <f>IF($E351="","",IF(OR($E351="Coal",$E351="Dirty Coal"),"Coal","OB"))</f>
        <v/>
      </c>
      <c r="O351" s="157">
        <f>IF($F351="","",IF(COUNTIF(MASTER_JAM!$A$5:$A$94,$C351)=0,"Digger tidak dikenal",IF($J351="","Hauler tidak dikenal",IF($H351="?","Jam salah",IF($K351=0,"Faktor kosong",IF(SUMIFS(INPUT_DELAY!$E$5:$E$20000,INPUT_DELAY!$A$5:$A$20000,$A351,INPUT_DELAY!$B$5:$B$20000,$B351,INPUT_DELAY!$C$5:$C$20000,$C351)+SUMIFS(INPUT_DELAY!$E$5:$E$20000,INPUT_DELAY!$A$5:$A$20000,$A351,INPUT_DELAY!$B$5:$B$20000,$B351,INPUT_DELAY!$C$5:$C$20000,"SEMUA")&gt;=60,"Delay 60 mnt tapi ada ritase","OK"))))))</f>
        <v/>
      </c>
      <c r="P351" s="158">
        <f>IFERROR(INDEX(MASTER_JAM!$Z$5:$AC$10,MATCH($I351,MASTER_JAM!$Y$5:$Y$10,0),MATCH($J351,MASTER_JAM!$Z$4:$AC$4,0))+0,0)</f>
        <v/>
      </c>
      <c r="Q351" s="158">
        <f>IF($P351=0,0,$P351+IFERROR(INDEX(MASTER_JAM!$H$5:$H$94,MATCH($C351,MASTER_JAM!$A$5:$A$94,0))+0,MASTER_JAM!$AC$15)/1000*(60/MASTER_JAM!$AC$12+60/MASTER_JAM!$AC$13)+MASTER_JAM!$AC$14)</f>
        <v/>
      </c>
      <c r="R351" s="158">
        <f>IF(N($F351)=0,0,$F351/SUMIFS(INPUT_RITASE!$F$5:$F$20000,INPUT_RITASE!$A$5:$A$20000,$A351,INPUT_RITASE!$B$5:$B$20000,$B351,INPUT_RITASE!$C$5:$C$20000,$C351,INPUT_RITASE!$D$5:$D$20000,$D351))</f>
        <v/>
      </c>
      <c r="S351" s="158">
        <f>IF($Q351=0,0,$R351*$P351/$Q351)</f>
        <v/>
      </c>
    </row>
    <row r="352">
      <c r="A352" s="155" t="n">
        <v>46105</v>
      </c>
      <c r="B352" s="156" t="inlineStr">
        <is>
          <t>06-07</t>
        </is>
      </c>
      <c r="C352" s="156" t="inlineStr">
        <is>
          <t>EX-754</t>
        </is>
      </c>
      <c r="D352" s="156" t="inlineStr">
        <is>
          <t>DT-512</t>
        </is>
      </c>
      <c r="E352" s="156" t="inlineStr">
        <is>
          <t>OB</t>
        </is>
      </c>
      <c r="F352" s="156" t="n">
        <v>3</v>
      </c>
      <c r="G352" s="156" t="inlineStr"/>
      <c r="H352" s="157">
        <f>IF($B352="","",IF(ISNA(MATCH($B352,MASTER_JAM!$Q$5:$Q$28,0)),"?",IF(MATCH($B352,MASTER_JAM!$Q$5:$Q$28,0)&lt;=12,"DS","NS")))</f>
        <v/>
      </c>
      <c r="I352" s="157">
        <f>IFERROR(INDEX(MASTER_JAM!$B$5:$B$94,MATCH($C352,MASTER_JAM!$A$5:$A$94,0)),"")</f>
        <v/>
      </c>
      <c r="J352" s="157">
        <f>IFERROR(INDEX(MASTER_JAM!$E$5:$E$94,MATCH($D352,MASTER_JAM!$A$5:$A$94,0)),"")</f>
        <v/>
      </c>
      <c r="K352" s="158">
        <f>IFERROR(INDEX(MASTER_JAM!$J$5:$O$12,MATCH($E352,MASTER_JAM!$I$5:$I$12,0),MATCH($J352,MASTER_JAM!$J$4:$O$4,0))+0,0)</f>
        <v/>
      </c>
      <c r="L352" s="159">
        <f>N($F352)*$K352</f>
        <v/>
      </c>
      <c r="M352" s="157">
        <f>IF($E352="","",IF(OR($E352="Coal",$E352="Dirty Coal"),"MT","BCM"))</f>
        <v/>
      </c>
      <c r="N352" s="157">
        <f>IF($E352="","",IF(OR($E352="Coal",$E352="Dirty Coal"),"Coal","OB"))</f>
        <v/>
      </c>
      <c r="O352" s="157">
        <f>IF($F352="","",IF(COUNTIF(MASTER_JAM!$A$5:$A$94,$C352)=0,"Digger tidak dikenal",IF($J352="","Hauler tidak dikenal",IF($H352="?","Jam salah",IF($K352=0,"Faktor kosong",IF(SUMIFS(INPUT_DELAY!$E$5:$E$20000,INPUT_DELAY!$A$5:$A$20000,$A352,INPUT_DELAY!$B$5:$B$20000,$B352,INPUT_DELAY!$C$5:$C$20000,$C352)+SUMIFS(INPUT_DELAY!$E$5:$E$20000,INPUT_DELAY!$A$5:$A$20000,$A352,INPUT_DELAY!$B$5:$B$20000,$B352,INPUT_DELAY!$C$5:$C$20000,"SEMUA")&gt;=60,"Delay 60 mnt tapi ada ritase","OK"))))))</f>
        <v/>
      </c>
      <c r="P352" s="158">
        <f>IFERROR(INDEX(MASTER_JAM!$Z$5:$AC$10,MATCH($I352,MASTER_JAM!$Y$5:$Y$10,0),MATCH($J352,MASTER_JAM!$Z$4:$AC$4,0))+0,0)</f>
        <v/>
      </c>
      <c r="Q352" s="158">
        <f>IF($P352=0,0,$P352+IFERROR(INDEX(MASTER_JAM!$H$5:$H$94,MATCH($C352,MASTER_JAM!$A$5:$A$94,0))+0,MASTER_JAM!$AC$15)/1000*(60/MASTER_JAM!$AC$12+60/MASTER_JAM!$AC$13)+MASTER_JAM!$AC$14)</f>
        <v/>
      </c>
      <c r="R352" s="158">
        <f>IF(N($F352)=0,0,$F352/SUMIFS(INPUT_RITASE!$F$5:$F$20000,INPUT_RITASE!$A$5:$A$20000,$A352,INPUT_RITASE!$B$5:$B$20000,$B352,INPUT_RITASE!$C$5:$C$20000,$C352,INPUT_RITASE!$D$5:$D$20000,$D352))</f>
        <v/>
      </c>
      <c r="S352" s="158">
        <f>IF($Q352=0,0,$R352*$P352/$Q352)</f>
        <v/>
      </c>
    </row>
    <row r="353">
      <c r="A353" s="155" t="n">
        <v>46105</v>
      </c>
      <c r="B353" s="156" t="inlineStr">
        <is>
          <t>07-08</t>
        </is>
      </c>
      <c r="C353" s="156" t="inlineStr">
        <is>
          <t>EX-754</t>
        </is>
      </c>
      <c r="D353" s="156" t="inlineStr">
        <is>
          <t>DT-510</t>
        </is>
      </c>
      <c r="E353" s="156" t="inlineStr">
        <is>
          <t>OB</t>
        </is>
      </c>
      <c r="F353" s="156" t="n">
        <v>4</v>
      </c>
      <c r="G353" s="156" t="inlineStr"/>
      <c r="H353" s="157">
        <f>IF($B353="","",IF(ISNA(MATCH($B353,MASTER_JAM!$Q$5:$Q$28,0)),"?",IF(MATCH($B353,MASTER_JAM!$Q$5:$Q$28,0)&lt;=12,"DS","NS")))</f>
        <v/>
      </c>
      <c r="I353" s="157">
        <f>IFERROR(INDEX(MASTER_JAM!$B$5:$B$94,MATCH($C353,MASTER_JAM!$A$5:$A$94,0)),"")</f>
        <v/>
      </c>
      <c r="J353" s="157">
        <f>IFERROR(INDEX(MASTER_JAM!$E$5:$E$94,MATCH($D353,MASTER_JAM!$A$5:$A$94,0)),"")</f>
        <v/>
      </c>
      <c r="K353" s="158">
        <f>IFERROR(INDEX(MASTER_JAM!$J$5:$O$12,MATCH($E353,MASTER_JAM!$I$5:$I$12,0),MATCH($J353,MASTER_JAM!$J$4:$O$4,0))+0,0)</f>
        <v/>
      </c>
      <c r="L353" s="159">
        <f>N($F353)*$K353</f>
        <v/>
      </c>
      <c r="M353" s="157">
        <f>IF($E353="","",IF(OR($E353="Coal",$E353="Dirty Coal"),"MT","BCM"))</f>
        <v/>
      </c>
      <c r="N353" s="157">
        <f>IF($E353="","",IF(OR($E353="Coal",$E353="Dirty Coal"),"Coal","OB"))</f>
        <v/>
      </c>
      <c r="O353" s="157">
        <f>IF($F353="","",IF(COUNTIF(MASTER_JAM!$A$5:$A$94,$C353)=0,"Digger tidak dikenal",IF($J353="","Hauler tidak dikenal",IF($H353="?","Jam salah",IF($K353=0,"Faktor kosong",IF(SUMIFS(INPUT_DELAY!$E$5:$E$20000,INPUT_DELAY!$A$5:$A$20000,$A353,INPUT_DELAY!$B$5:$B$20000,$B353,INPUT_DELAY!$C$5:$C$20000,$C353)+SUMIFS(INPUT_DELAY!$E$5:$E$20000,INPUT_DELAY!$A$5:$A$20000,$A353,INPUT_DELAY!$B$5:$B$20000,$B353,INPUT_DELAY!$C$5:$C$20000,"SEMUA")&gt;=60,"Delay 60 mnt tapi ada ritase","OK"))))))</f>
        <v/>
      </c>
      <c r="P353" s="158">
        <f>IFERROR(INDEX(MASTER_JAM!$Z$5:$AC$10,MATCH($I353,MASTER_JAM!$Y$5:$Y$10,0),MATCH($J353,MASTER_JAM!$Z$4:$AC$4,0))+0,0)</f>
        <v/>
      </c>
      <c r="Q353" s="158">
        <f>IF($P353=0,0,$P353+IFERROR(INDEX(MASTER_JAM!$H$5:$H$94,MATCH($C353,MASTER_JAM!$A$5:$A$94,0))+0,MASTER_JAM!$AC$15)/1000*(60/MASTER_JAM!$AC$12+60/MASTER_JAM!$AC$13)+MASTER_JAM!$AC$14)</f>
        <v/>
      </c>
      <c r="R353" s="158">
        <f>IF(N($F353)=0,0,$F353/SUMIFS(INPUT_RITASE!$F$5:$F$20000,INPUT_RITASE!$A$5:$A$20000,$A353,INPUT_RITASE!$B$5:$B$20000,$B353,INPUT_RITASE!$C$5:$C$20000,$C353,INPUT_RITASE!$D$5:$D$20000,$D353))</f>
        <v/>
      </c>
      <c r="S353" s="158">
        <f>IF($Q353=0,0,$R353*$P353/$Q353)</f>
        <v/>
      </c>
    </row>
    <row r="354">
      <c r="A354" s="155" t="n">
        <v>46105</v>
      </c>
      <c r="B354" s="156" t="inlineStr">
        <is>
          <t>07-08</t>
        </is>
      </c>
      <c r="C354" s="156" t="inlineStr">
        <is>
          <t>EX-754</t>
        </is>
      </c>
      <c r="D354" s="156" t="inlineStr">
        <is>
          <t>DT-513</t>
        </is>
      </c>
      <c r="E354" s="156" t="inlineStr">
        <is>
          <t>OB</t>
        </is>
      </c>
      <c r="F354" s="156" t="n">
        <v>4</v>
      </c>
      <c r="G354" s="156" t="inlineStr"/>
      <c r="H354" s="157">
        <f>IF($B354="","",IF(ISNA(MATCH($B354,MASTER_JAM!$Q$5:$Q$28,0)),"?",IF(MATCH($B354,MASTER_JAM!$Q$5:$Q$28,0)&lt;=12,"DS","NS")))</f>
        <v/>
      </c>
      <c r="I354" s="157">
        <f>IFERROR(INDEX(MASTER_JAM!$B$5:$B$94,MATCH($C354,MASTER_JAM!$A$5:$A$94,0)),"")</f>
        <v/>
      </c>
      <c r="J354" s="157">
        <f>IFERROR(INDEX(MASTER_JAM!$E$5:$E$94,MATCH($D354,MASTER_JAM!$A$5:$A$94,0)),"")</f>
        <v/>
      </c>
      <c r="K354" s="158">
        <f>IFERROR(INDEX(MASTER_JAM!$J$5:$O$12,MATCH($E354,MASTER_JAM!$I$5:$I$12,0),MATCH($J354,MASTER_JAM!$J$4:$O$4,0))+0,0)</f>
        <v/>
      </c>
      <c r="L354" s="159">
        <f>N($F354)*$K354</f>
        <v/>
      </c>
      <c r="M354" s="157">
        <f>IF($E354="","",IF(OR($E354="Coal",$E354="Dirty Coal"),"MT","BCM"))</f>
        <v/>
      </c>
      <c r="N354" s="157">
        <f>IF($E354="","",IF(OR($E354="Coal",$E354="Dirty Coal"),"Coal","OB"))</f>
        <v/>
      </c>
      <c r="O354" s="157">
        <f>IF($F354="","",IF(COUNTIF(MASTER_JAM!$A$5:$A$94,$C354)=0,"Digger tidak dikenal",IF($J354="","Hauler tidak dikenal",IF($H354="?","Jam salah",IF($K354=0,"Faktor kosong",IF(SUMIFS(INPUT_DELAY!$E$5:$E$20000,INPUT_DELAY!$A$5:$A$20000,$A354,INPUT_DELAY!$B$5:$B$20000,$B354,INPUT_DELAY!$C$5:$C$20000,$C354)+SUMIFS(INPUT_DELAY!$E$5:$E$20000,INPUT_DELAY!$A$5:$A$20000,$A354,INPUT_DELAY!$B$5:$B$20000,$B354,INPUT_DELAY!$C$5:$C$20000,"SEMUA")&gt;=60,"Delay 60 mnt tapi ada ritase","OK"))))))</f>
        <v/>
      </c>
      <c r="P354" s="158">
        <f>IFERROR(INDEX(MASTER_JAM!$Z$5:$AC$10,MATCH($I354,MASTER_JAM!$Y$5:$Y$10,0),MATCH($J354,MASTER_JAM!$Z$4:$AC$4,0))+0,0)</f>
        <v/>
      </c>
      <c r="Q354" s="158">
        <f>IF($P354=0,0,$P354+IFERROR(INDEX(MASTER_JAM!$H$5:$H$94,MATCH($C354,MASTER_JAM!$A$5:$A$94,0))+0,MASTER_JAM!$AC$15)/1000*(60/MASTER_JAM!$AC$12+60/MASTER_JAM!$AC$13)+MASTER_JAM!$AC$14)</f>
        <v/>
      </c>
      <c r="R354" s="158">
        <f>IF(N($F354)=0,0,$F354/SUMIFS(INPUT_RITASE!$F$5:$F$20000,INPUT_RITASE!$A$5:$A$20000,$A354,INPUT_RITASE!$B$5:$B$20000,$B354,INPUT_RITASE!$C$5:$C$20000,$C354,INPUT_RITASE!$D$5:$D$20000,$D354))</f>
        <v/>
      </c>
      <c r="S354" s="158">
        <f>IF($Q354=0,0,$R354*$P354/$Q354)</f>
        <v/>
      </c>
    </row>
    <row r="355">
      <c r="A355" s="155" t="n">
        <v>46105</v>
      </c>
      <c r="B355" s="156" t="inlineStr">
        <is>
          <t>07-08</t>
        </is>
      </c>
      <c r="C355" s="156" t="inlineStr">
        <is>
          <t>EX-754</t>
        </is>
      </c>
      <c r="D355" s="156" t="inlineStr">
        <is>
          <t>DT-523</t>
        </is>
      </c>
      <c r="E355" s="156" t="inlineStr">
        <is>
          <t>OB</t>
        </is>
      </c>
      <c r="F355" s="156" t="n">
        <v>3</v>
      </c>
      <c r="G355" s="156" t="inlineStr"/>
      <c r="H355" s="157">
        <f>IF($B355="","",IF(ISNA(MATCH($B355,MASTER_JAM!$Q$5:$Q$28,0)),"?",IF(MATCH($B355,MASTER_JAM!$Q$5:$Q$28,0)&lt;=12,"DS","NS")))</f>
        <v/>
      </c>
      <c r="I355" s="157">
        <f>IFERROR(INDEX(MASTER_JAM!$B$5:$B$94,MATCH($C355,MASTER_JAM!$A$5:$A$94,0)),"")</f>
        <v/>
      </c>
      <c r="J355" s="157">
        <f>IFERROR(INDEX(MASTER_JAM!$E$5:$E$94,MATCH($D355,MASTER_JAM!$A$5:$A$94,0)),"")</f>
        <v/>
      </c>
      <c r="K355" s="158">
        <f>IFERROR(INDEX(MASTER_JAM!$J$5:$O$12,MATCH($E355,MASTER_JAM!$I$5:$I$12,0),MATCH($J355,MASTER_JAM!$J$4:$O$4,0))+0,0)</f>
        <v/>
      </c>
      <c r="L355" s="159">
        <f>N($F355)*$K355</f>
        <v/>
      </c>
      <c r="M355" s="157">
        <f>IF($E355="","",IF(OR($E355="Coal",$E355="Dirty Coal"),"MT","BCM"))</f>
        <v/>
      </c>
      <c r="N355" s="157">
        <f>IF($E355="","",IF(OR($E355="Coal",$E355="Dirty Coal"),"Coal","OB"))</f>
        <v/>
      </c>
      <c r="O355" s="157">
        <f>IF($F355="","",IF(COUNTIF(MASTER_JAM!$A$5:$A$94,$C355)=0,"Digger tidak dikenal",IF($J355="","Hauler tidak dikenal",IF($H355="?","Jam salah",IF($K355=0,"Faktor kosong",IF(SUMIFS(INPUT_DELAY!$E$5:$E$20000,INPUT_DELAY!$A$5:$A$20000,$A355,INPUT_DELAY!$B$5:$B$20000,$B355,INPUT_DELAY!$C$5:$C$20000,$C355)+SUMIFS(INPUT_DELAY!$E$5:$E$20000,INPUT_DELAY!$A$5:$A$20000,$A355,INPUT_DELAY!$B$5:$B$20000,$B355,INPUT_DELAY!$C$5:$C$20000,"SEMUA")&gt;=60,"Delay 60 mnt tapi ada ritase","OK"))))))</f>
        <v/>
      </c>
      <c r="P355" s="158">
        <f>IFERROR(INDEX(MASTER_JAM!$Z$5:$AC$10,MATCH($I355,MASTER_JAM!$Y$5:$Y$10,0),MATCH($J355,MASTER_JAM!$Z$4:$AC$4,0))+0,0)</f>
        <v/>
      </c>
      <c r="Q355" s="158">
        <f>IF($P355=0,0,$P355+IFERROR(INDEX(MASTER_JAM!$H$5:$H$94,MATCH($C355,MASTER_JAM!$A$5:$A$94,0))+0,MASTER_JAM!$AC$15)/1000*(60/MASTER_JAM!$AC$12+60/MASTER_JAM!$AC$13)+MASTER_JAM!$AC$14)</f>
        <v/>
      </c>
      <c r="R355" s="158">
        <f>IF(N($F355)=0,0,$F355/SUMIFS(INPUT_RITASE!$F$5:$F$20000,INPUT_RITASE!$A$5:$A$20000,$A355,INPUT_RITASE!$B$5:$B$20000,$B355,INPUT_RITASE!$C$5:$C$20000,$C355,INPUT_RITASE!$D$5:$D$20000,$D355))</f>
        <v/>
      </c>
      <c r="S355" s="158">
        <f>IF($Q355=0,0,$R355*$P355/$Q355)</f>
        <v/>
      </c>
    </row>
    <row r="356">
      <c r="A356" s="155" t="n">
        <v>46105</v>
      </c>
      <c r="B356" s="156" t="inlineStr">
        <is>
          <t>07-08</t>
        </is>
      </c>
      <c r="C356" s="156" t="inlineStr">
        <is>
          <t>EX-754</t>
        </is>
      </c>
      <c r="D356" s="156" t="inlineStr">
        <is>
          <t>DT-521</t>
        </is>
      </c>
      <c r="E356" s="156" t="inlineStr">
        <is>
          <t>OB</t>
        </is>
      </c>
      <c r="F356" s="156" t="n">
        <v>3</v>
      </c>
      <c r="G356" s="156" t="inlineStr"/>
      <c r="H356" s="157">
        <f>IF($B356="","",IF(ISNA(MATCH($B356,MASTER_JAM!$Q$5:$Q$28,0)),"?",IF(MATCH($B356,MASTER_JAM!$Q$5:$Q$28,0)&lt;=12,"DS","NS")))</f>
        <v/>
      </c>
      <c r="I356" s="157">
        <f>IFERROR(INDEX(MASTER_JAM!$B$5:$B$94,MATCH($C356,MASTER_JAM!$A$5:$A$94,0)),"")</f>
        <v/>
      </c>
      <c r="J356" s="157">
        <f>IFERROR(INDEX(MASTER_JAM!$E$5:$E$94,MATCH($D356,MASTER_JAM!$A$5:$A$94,0)),"")</f>
        <v/>
      </c>
      <c r="K356" s="158">
        <f>IFERROR(INDEX(MASTER_JAM!$J$5:$O$12,MATCH($E356,MASTER_JAM!$I$5:$I$12,0),MATCH($J356,MASTER_JAM!$J$4:$O$4,0))+0,0)</f>
        <v/>
      </c>
      <c r="L356" s="159">
        <f>N($F356)*$K356</f>
        <v/>
      </c>
      <c r="M356" s="157">
        <f>IF($E356="","",IF(OR($E356="Coal",$E356="Dirty Coal"),"MT","BCM"))</f>
        <v/>
      </c>
      <c r="N356" s="157">
        <f>IF($E356="","",IF(OR($E356="Coal",$E356="Dirty Coal"),"Coal","OB"))</f>
        <v/>
      </c>
      <c r="O356" s="157">
        <f>IF($F356="","",IF(COUNTIF(MASTER_JAM!$A$5:$A$94,$C356)=0,"Digger tidak dikenal",IF($J356="","Hauler tidak dikenal",IF($H356="?","Jam salah",IF($K356=0,"Faktor kosong",IF(SUMIFS(INPUT_DELAY!$E$5:$E$20000,INPUT_DELAY!$A$5:$A$20000,$A356,INPUT_DELAY!$B$5:$B$20000,$B356,INPUT_DELAY!$C$5:$C$20000,$C356)+SUMIFS(INPUT_DELAY!$E$5:$E$20000,INPUT_DELAY!$A$5:$A$20000,$A356,INPUT_DELAY!$B$5:$B$20000,$B356,INPUT_DELAY!$C$5:$C$20000,"SEMUA")&gt;=60,"Delay 60 mnt tapi ada ritase","OK"))))))</f>
        <v/>
      </c>
      <c r="P356" s="158">
        <f>IFERROR(INDEX(MASTER_JAM!$Z$5:$AC$10,MATCH($I356,MASTER_JAM!$Y$5:$Y$10,0),MATCH($J356,MASTER_JAM!$Z$4:$AC$4,0))+0,0)</f>
        <v/>
      </c>
      <c r="Q356" s="158">
        <f>IF($P356=0,0,$P356+IFERROR(INDEX(MASTER_JAM!$H$5:$H$94,MATCH($C356,MASTER_JAM!$A$5:$A$94,0))+0,MASTER_JAM!$AC$15)/1000*(60/MASTER_JAM!$AC$12+60/MASTER_JAM!$AC$13)+MASTER_JAM!$AC$14)</f>
        <v/>
      </c>
      <c r="R356" s="158">
        <f>IF(N($F356)=0,0,$F356/SUMIFS(INPUT_RITASE!$F$5:$F$20000,INPUT_RITASE!$A$5:$A$20000,$A356,INPUT_RITASE!$B$5:$B$20000,$B356,INPUT_RITASE!$C$5:$C$20000,$C356,INPUT_RITASE!$D$5:$D$20000,$D356))</f>
        <v/>
      </c>
      <c r="S356" s="158">
        <f>IF($Q356=0,0,$R356*$P356/$Q356)</f>
        <v/>
      </c>
    </row>
    <row r="357">
      <c r="A357" s="155" t="n">
        <v>46105</v>
      </c>
      <c r="B357" s="156" t="inlineStr">
        <is>
          <t>07-08</t>
        </is>
      </c>
      <c r="C357" s="156" t="inlineStr">
        <is>
          <t>EX-754</t>
        </is>
      </c>
      <c r="D357" s="156" t="inlineStr">
        <is>
          <t>DT-517</t>
        </is>
      </c>
      <c r="E357" s="156" t="inlineStr">
        <is>
          <t>OB</t>
        </is>
      </c>
      <c r="F357" s="156" t="n">
        <v>3</v>
      </c>
      <c r="G357" s="156" t="inlineStr"/>
      <c r="H357" s="157">
        <f>IF($B357="","",IF(ISNA(MATCH($B357,MASTER_JAM!$Q$5:$Q$28,0)),"?",IF(MATCH($B357,MASTER_JAM!$Q$5:$Q$28,0)&lt;=12,"DS","NS")))</f>
        <v/>
      </c>
      <c r="I357" s="157">
        <f>IFERROR(INDEX(MASTER_JAM!$B$5:$B$94,MATCH($C357,MASTER_JAM!$A$5:$A$94,0)),"")</f>
        <v/>
      </c>
      <c r="J357" s="157">
        <f>IFERROR(INDEX(MASTER_JAM!$E$5:$E$94,MATCH($D357,MASTER_JAM!$A$5:$A$94,0)),"")</f>
        <v/>
      </c>
      <c r="K357" s="158">
        <f>IFERROR(INDEX(MASTER_JAM!$J$5:$O$12,MATCH($E357,MASTER_JAM!$I$5:$I$12,0),MATCH($J357,MASTER_JAM!$J$4:$O$4,0))+0,0)</f>
        <v/>
      </c>
      <c r="L357" s="159">
        <f>N($F357)*$K357</f>
        <v/>
      </c>
      <c r="M357" s="157">
        <f>IF($E357="","",IF(OR($E357="Coal",$E357="Dirty Coal"),"MT","BCM"))</f>
        <v/>
      </c>
      <c r="N357" s="157">
        <f>IF($E357="","",IF(OR($E357="Coal",$E357="Dirty Coal"),"Coal","OB"))</f>
        <v/>
      </c>
      <c r="O357" s="157">
        <f>IF($F357="","",IF(COUNTIF(MASTER_JAM!$A$5:$A$94,$C357)=0,"Digger tidak dikenal",IF($J357="","Hauler tidak dikenal",IF($H357="?","Jam salah",IF($K357=0,"Faktor kosong",IF(SUMIFS(INPUT_DELAY!$E$5:$E$20000,INPUT_DELAY!$A$5:$A$20000,$A357,INPUT_DELAY!$B$5:$B$20000,$B357,INPUT_DELAY!$C$5:$C$20000,$C357)+SUMIFS(INPUT_DELAY!$E$5:$E$20000,INPUT_DELAY!$A$5:$A$20000,$A357,INPUT_DELAY!$B$5:$B$20000,$B357,INPUT_DELAY!$C$5:$C$20000,"SEMUA")&gt;=60,"Delay 60 mnt tapi ada ritase","OK"))))))</f>
        <v/>
      </c>
      <c r="P357" s="158">
        <f>IFERROR(INDEX(MASTER_JAM!$Z$5:$AC$10,MATCH($I357,MASTER_JAM!$Y$5:$Y$10,0),MATCH($J357,MASTER_JAM!$Z$4:$AC$4,0))+0,0)</f>
        <v/>
      </c>
      <c r="Q357" s="158">
        <f>IF($P357=0,0,$P357+IFERROR(INDEX(MASTER_JAM!$H$5:$H$94,MATCH($C357,MASTER_JAM!$A$5:$A$94,0))+0,MASTER_JAM!$AC$15)/1000*(60/MASTER_JAM!$AC$12+60/MASTER_JAM!$AC$13)+MASTER_JAM!$AC$14)</f>
        <v/>
      </c>
      <c r="R357" s="158">
        <f>IF(N($F357)=0,0,$F357/SUMIFS(INPUT_RITASE!$F$5:$F$20000,INPUT_RITASE!$A$5:$A$20000,$A357,INPUT_RITASE!$B$5:$B$20000,$B357,INPUT_RITASE!$C$5:$C$20000,$C357,INPUT_RITASE!$D$5:$D$20000,$D357))</f>
        <v/>
      </c>
      <c r="S357" s="158">
        <f>IF($Q357=0,0,$R357*$P357/$Q357)</f>
        <v/>
      </c>
    </row>
    <row r="358">
      <c r="A358" s="155" t="n">
        <v>46105</v>
      </c>
      <c r="B358" s="156" t="inlineStr">
        <is>
          <t>08-09</t>
        </is>
      </c>
      <c r="C358" s="156" t="inlineStr">
        <is>
          <t>EX-754</t>
        </is>
      </c>
      <c r="D358" s="156" t="inlineStr">
        <is>
          <t>DT-517</t>
        </is>
      </c>
      <c r="E358" s="156" t="inlineStr">
        <is>
          <t>OB</t>
        </is>
      </c>
      <c r="F358" s="156" t="n">
        <v>4</v>
      </c>
      <c r="G358" s="156" t="inlineStr"/>
      <c r="H358" s="157">
        <f>IF($B358="","",IF(ISNA(MATCH($B358,MASTER_JAM!$Q$5:$Q$28,0)),"?",IF(MATCH($B358,MASTER_JAM!$Q$5:$Q$28,0)&lt;=12,"DS","NS")))</f>
        <v/>
      </c>
      <c r="I358" s="157">
        <f>IFERROR(INDEX(MASTER_JAM!$B$5:$B$94,MATCH($C358,MASTER_JAM!$A$5:$A$94,0)),"")</f>
        <v/>
      </c>
      <c r="J358" s="157">
        <f>IFERROR(INDEX(MASTER_JAM!$E$5:$E$94,MATCH($D358,MASTER_JAM!$A$5:$A$94,0)),"")</f>
        <v/>
      </c>
      <c r="K358" s="158">
        <f>IFERROR(INDEX(MASTER_JAM!$J$5:$O$12,MATCH($E358,MASTER_JAM!$I$5:$I$12,0),MATCH($J358,MASTER_JAM!$J$4:$O$4,0))+0,0)</f>
        <v/>
      </c>
      <c r="L358" s="159">
        <f>N($F358)*$K358</f>
        <v/>
      </c>
      <c r="M358" s="157">
        <f>IF($E358="","",IF(OR($E358="Coal",$E358="Dirty Coal"),"MT","BCM"))</f>
        <v/>
      </c>
      <c r="N358" s="157">
        <f>IF($E358="","",IF(OR($E358="Coal",$E358="Dirty Coal"),"Coal","OB"))</f>
        <v/>
      </c>
      <c r="O358" s="157">
        <f>IF($F358="","",IF(COUNTIF(MASTER_JAM!$A$5:$A$94,$C358)=0,"Digger tidak dikenal",IF($J358="","Hauler tidak dikenal",IF($H358="?","Jam salah",IF($K358=0,"Faktor kosong",IF(SUMIFS(INPUT_DELAY!$E$5:$E$20000,INPUT_DELAY!$A$5:$A$20000,$A358,INPUT_DELAY!$B$5:$B$20000,$B358,INPUT_DELAY!$C$5:$C$20000,$C358)+SUMIFS(INPUT_DELAY!$E$5:$E$20000,INPUT_DELAY!$A$5:$A$20000,$A358,INPUT_DELAY!$B$5:$B$20000,$B358,INPUT_DELAY!$C$5:$C$20000,"SEMUA")&gt;=60,"Delay 60 mnt tapi ada ritase","OK"))))))</f>
        <v/>
      </c>
      <c r="P358" s="158">
        <f>IFERROR(INDEX(MASTER_JAM!$Z$5:$AC$10,MATCH($I358,MASTER_JAM!$Y$5:$Y$10,0),MATCH($J358,MASTER_JAM!$Z$4:$AC$4,0))+0,0)</f>
        <v/>
      </c>
      <c r="Q358" s="158">
        <f>IF($P358=0,0,$P358+IFERROR(INDEX(MASTER_JAM!$H$5:$H$94,MATCH($C358,MASTER_JAM!$A$5:$A$94,0))+0,MASTER_JAM!$AC$15)/1000*(60/MASTER_JAM!$AC$12+60/MASTER_JAM!$AC$13)+MASTER_JAM!$AC$14)</f>
        <v/>
      </c>
      <c r="R358" s="158">
        <f>IF(N($F358)=0,0,$F358/SUMIFS(INPUT_RITASE!$F$5:$F$20000,INPUT_RITASE!$A$5:$A$20000,$A358,INPUT_RITASE!$B$5:$B$20000,$B358,INPUT_RITASE!$C$5:$C$20000,$C358,INPUT_RITASE!$D$5:$D$20000,$D358))</f>
        <v/>
      </c>
      <c r="S358" s="158">
        <f>IF($Q358=0,0,$R358*$P358/$Q358)</f>
        <v/>
      </c>
    </row>
    <row r="359">
      <c r="A359" s="155" t="n">
        <v>46105</v>
      </c>
      <c r="B359" s="156" t="inlineStr">
        <is>
          <t>08-09</t>
        </is>
      </c>
      <c r="C359" s="156" t="inlineStr">
        <is>
          <t>EX-754</t>
        </is>
      </c>
      <c r="D359" s="156" t="inlineStr">
        <is>
          <t>DT-502</t>
        </is>
      </c>
      <c r="E359" s="156" t="inlineStr">
        <is>
          <t>OB</t>
        </is>
      </c>
      <c r="F359" s="156" t="n">
        <v>4</v>
      </c>
      <c r="G359" s="156" t="inlineStr"/>
      <c r="H359" s="157">
        <f>IF($B359="","",IF(ISNA(MATCH($B359,MASTER_JAM!$Q$5:$Q$28,0)),"?",IF(MATCH($B359,MASTER_JAM!$Q$5:$Q$28,0)&lt;=12,"DS","NS")))</f>
        <v/>
      </c>
      <c r="I359" s="157">
        <f>IFERROR(INDEX(MASTER_JAM!$B$5:$B$94,MATCH($C359,MASTER_JAM!$A$5:$A$94,0)),"")</f>
        <v/>
      </c>
      <c r="J359" s="157">
        <f>IFERROR(INDEX(MASTER_JAM!$E$5:$E$94,MATCH($D359,MASTER_JAM!$A$5:$A$94,0)),"")</f>
        <v/>
      </c>
      <c r="K359" s="158">
        <f>IFERROR(INDEX(MASTER_JAM!$J$5:$O$12,MATCH($E359,MASTER_JAM!$I$5:$I$12,0),MATCH($J359,MASTER_JAM!$J$4:$O$4,0))+0,0)</f>
        <v/>
      </c>
      <c r="L359" s="159">
        <f>N($F359)*$K359</f>
        <v/>
      </c>
      <c r="M359" s="157">
        <f>IF($E359="","",IF(OR($E359="Coal",$E359="Dirty Coal"),"MT","BCM"))</f>
        <v/>
      </c>
      <c r="N359" s="157">
        <f>IF($E359="","",IF(OR($E359="Coal",$E359="Dirty Coal"),"Coal","OB"))</f>
        <v/>
      </c>
      <c r="O359" s="157">
        <f>IF($F359="","",IF(COUNTIF(MASTER_JAM!$A$5:$A$94,$C359)=0,"Digger tidak dikenal",IF($J359="","Hauler tidak dikenal",IF($H359="?","Jam salah",IF($K359=0,"Faktor kosong",IF(SUMIFS(INPUT_DELAY!$E$5:$E$20000,INPUT_DELAY!$A$5:$A$20000,$A359,INPUT_DELAY!$B$5:$B$20000,$B359,INPUT_DELAY!$C$5:$C$20000,$C359)+SUMIFS(INPUT_DELAY!$E$5:$E$20000,INPUT_DELAY!$A$5:$A$20000,$A359,INPUT_DELAY!$B$5:$B$20000,$B359,INPUT_DELAY!$C$5:$C$20000,"SEMUA")&gt;=60,"Delay 60 mnt tapi ada ritase","OK"))))))</f>
        <v/>
      </c>
      <c r="P359" s="158">
        <f>IFERROR(INDEX(MASTER_JAM!$Z$5:$AC$10,MATCH($I359,MASTER_JAM!$Y$5:$Y$10,0),MATCH($J359,MASTER_JAM!$Z$4:$AC$4,0))+0,0)</f>
        <v/>
      </c>
      <c r="Q359" s="158">
        <f>IF($P359=0,0,$P359+IFERROR(INDEX(MASTER_JAM!$H$5:$H$94,MATCH($C359,MASTER_JAM!$A$5:$A$94,0))+0,MASTER_JAM!$AC$15)/1000*(60/MASTER_JAM!$AC$12+60/MASTER_JAM!$AC$13)+MASTER_JAM!$AC$14)</f>
        <v/>
      </c>
      <c r="R359" s="158">
        <f>IF(N($F359)=0,0,$F359/SUMIFS(INPUT_RITASE!$F$5:$F$20000,INPUT_RITASE!$A$5:$A$20000,$A359,INPUT_RITASE!$B$5:$B$20000,$B359,INPUT_RITASE!$C$5:$C$20000,$C359,INPUT_RITASE!$D$5:$D$20000,$D359))</f>
        <v/>
      </c>
      <c r="S359" s="158">
        <f>IF($Q359=0,0,$R359*$P359/$Q359)</f>
        <v/>
      </c>
    </row>
    <row r="360">
      <c r="A360" s="155" t="n">
        <v>46105</v>
      </c>
      <c r="B360" s="156" t="inlineStr">
        <is>
          <t>08-09</t>
        </is>
      </c>
      <c r="C360" s="156" t="inlineStr">
        <is>
          <t>EX-754</t>
        </is>
      </c>
      <c r="D360" s="156" t="inlineStr">
        <is>
          <t>DT-505</t>
        </is>
      </c>
      <c r="E360" s="156" t="inlineStr">
        <is>
          <t>OB</t>
        </is>
      </c>
      <c r="F360" s="156" t="n">
        <v>4</v>
      </c>
      <c r="G360" s="156" t="inlineStr"/>
      <c r="H360" s="157">
        <f>IF($B360="","",IF(ISNA(MATCH($B360,MASTER_JAM!$Q$5:$Q$28,0)),"?",IF(MATCH($B360,MASTER_JAM!$Q$5:$Q$28,0)&lt;=12,"DS","NS")))</f>
        <v/>
      </c>
      <c r="I360" s="157">
        <f>IFERROR(INDEX(MASTER_JAM!$B$5:$B$94,MATCH($C360,MASTER_JAM!$A$5:$A$94,0)),"")</f>
        <v/>
      </c>
      <c r="J360" s="157">
        <f>IFERROR(INDEX(MASTER_JAM!$E$5:$E$94,MATCH($D360,MASTER_JAM!$A$5:$A$94,0)),"")</f>
        <v/>
      </c>
      <c r="K360" s="158">
        <f>IFERROR(INDEX(MASTER_JAM!$J$5:$O$12,MATCH($E360,MASTER_JAM!$I$5:$I$12,0),MATCH($J360,MASTER_JAM!$J$4:$O$4,0))+0,0)</f>
        <v/>
      </c>
      <c r="L360" s="159">
        <f>N($F360)*$K360</f>
        <v/>
      </c>
      <c r="M360" s="157">
        <f>IF($E360="","",IF(OR($E360="Coal",$E360="Dirty Coal"),"MT","BCM"))</f>
        <v/>
      </c>
      <c r="N360" s="157">
        <f>IF($E360="","",IF(OR($E360="Coal",$E360="Dirty Coal"),"Coal","OB"))</f>
        <v/>
      </c>
      <c r="O360" s="157">
        <f>IF($F360="","",IF(COUNTIF(MASTER_JAM!$A$5:$A$94,$C360)=0,"Digger tidak dikenal",IF($J360="","Hauler tidak dikenal",IF($H360="?","Jam salah",IF($K360=0,"Faktor kosong",IF(SUMIFS(INPUT_DELAY!$E$5:$E$20000,INPUT_DELAY!$A$5:$A$20000,$A360,INPUT_DELAY!$B$5:$B$20000,$B360,INPUT_DELAY!$C$5:$C$20000,$C360)+SUMIFS(INPUT_DELAY!$E$5:$E$20000,INPUT_DELAY!$A$5:$A$20000,$A360,INPUT_DELAY!$B$5:$B$20000,$B360,INPUT_DELAY!$C$5:$C$20000,"SEMUA")&gt;=60,"Delay 60 mnt tapi ada ritase","OK"))))))</f>
        <v/>
      </c>
      <c r="P360" s="158">
        <f>IFERROR(INDEX(MASTER_JAM!$Z$5:$AC$10,MATCH($I360,MASTER_JAM!$Y$5:$Y$10,0),MATCH($J360,MASTER_JAM!$Z$4:$AC$4,0))+0,0)</f>
        <v/>
      </c>
      <c r="Q360" s="158">
        <f>IF($P360=0,0,$P360+IFERROR(INDEX(MASTER_JAM!$H$5:$H$94,MATCH($C360,MASTER_JAM!$A$5:$A$94,0))+0,MASTER_JAM!$AC$15)/1000*(60/MASTER_JAM!$AC$12+60/MASTER_JAM!$AC$13)+MASTER_JAM!$AC$14)</f>
        <v/>
      </c>
      <c r="R360" s="158">
        <f>IF(N($F360)=0,0,$F360/SUMIFS(INPUT_RITASE!$F$5:$F$20000,INPUT_RITASE!$A$5:$A$20000,$A360,INPUT_RITASE!$B$5:$B$20000,$B360,INPUT_RITASE!$C$5:$C$20000,$C360,INPUT_RITASE!$D$5:$D$20000,$D360))</f>
        <v/>
      </c>
      <c r="S360" s="158">
        <f>IF($Q360=0,0,$R360*$P360/$Q360)</f>
        <v/>
      </c>
    </row>
    <row r="361">
      <c r="A361" s="155" t="n">
        <v>46105</v>
      </c>
      <c r="B361" s="156" t="inlineStr">
        <is>
          <t>09-10</t>
        </is>
      </c>
      <c r="C361" s="156" t="inlineStr">
        <is>
          <t>EX-754</t>
        </is>
      </c>
      <c r="D361" s="156" t="inlineStr">
        <is>
          <t>DT-501</t>
        </is>
      </c>
      <c r="E361" s="156" t="inlineStr">
        <is>
          <t>OB</t>
        </is>
      </c>
      <c r="F361" s="156" t="n">
        <v>4</v>
      </c>
      <c r="G361" s="156" t="inlineStr"/>
      <c r="H361" s="157">
        <f>IF($B361="","",IF(ISNA(MATCH($B361,MASTER_JAM!$Q$5:$Q$28,0)),"?",IF(MATCH($B361,MASTER_JAM!$Q$5:$Q$28,0)&lt;=12,"DS","NS")))</f>
        <v/>
      </c>
      <c r="I361" s="157">
        <f>IFERROR(INDEX(MASTER_JAM!$B$5:$B$94,MATCH($C361,MASTER_JAM!$A$5:$A$94,0)),"")</f>
        <v/>
      </c>
      <c r="J361" s="157">
        <f>IFERROR(INDEX(MASTER_JAM!$E$5:$E$94,MATCH($D361,MASTER_JAM!$A$5:$A$94,0)),"")</f>
        <v/>
      </c>
      <c r="K361" s="158">
        <f>IFERROR(INDEX(MASTER_JAM!$J$5:$O$12,MATCH($E361,MASTER_JAM!$I$5:$I$12,0),MATCH($J361,MASTER_JAM!$J$4:$O$4,0))+0,0)</f>
        <v/>
      </c>
      <c r="L361" s="159">
        <f>N($F361)*$K361</f>
        <v/>
      </c>
      <c r="M361" s="157">
        <f>IF($E361="","",IF(OR($E361="Coal",$E361="Dirty Coal"),"MT","BCM"))</f>
        <v/>
      </c>
      <c r="N361" s="157">
        <f>IF($E361="","",IF(OR($E361="Coal",$E361="Dirty Coal"),"Coal","OB"))</f>
        <v/>
      </c>
      <c r="O361" s="157">
        <f>IF($F361="","",IF(COUNTIF(MASTER_JAM!$A$5:$A$94,$C361)=0,"Digger tidak dikenal",IF($J361="","Hauler tidak dikenal",IF($H361="?","Jam salah",IF($K361=0,"Faktor kosong",IF(SUMIFS(INPUT_DELAY!$E$5:$E$20000,INPUT_DELAY!$A$5:$A$20000,$A361,INPUT_DELAY!$B$5:$B$20000,$B361,INPUT_DELAY!$C$5:$C$20000,$C361)+SUMIFS(INPUT_DELAY!$E$5:$E$20000,INPUT_DELAY!$A$5:$A$20000,$A361,INPUT_DELAY!$B$5:$B$20000,$B361,INPUT_DELAY!$C$5:$C$20000,"SEMUA")&gt;=60,"Delay 60 mnt tapi ada ritase","OK"))))))</f>
        <v/>
      </c>
      <c r="P361" s="158">
        <f>IFERROR(INDEX(MASTER_JAM!$Z$5:$AC$10,MATCH($I361,MASTER_JAM!$Y$5:$Y$10,0),MATCH($J361,MASTER_JAM!$Z$4:$AC$4,0))+0,0)</f>
        <v/>
      </c>
      <c r="Q361" s="158">
        <f>IF($P361=0,0,$P361+IFERROR(INDEX(MASTER_JAM!$H$5:$H$94,MATCH($C361,MASTER_JAM!$A$5:$A$94,0))+0,MASTER_JAM!$AC$15)/1000*(60/MASTER_JAM!$AC$12+60/MASTER_JAM!$AC$13)+MASTER_JAM!$AC$14)</f>
        <v/>
      </c>
      <c r="R361" s="158">
        <f>IF(N($F361)=0,0,$F361/SUMIFS(INPUT_RITASE!$F$5:$F$20000,INPUT_RITASE!$A$5:$A$20000,$A361,INPUT_RITASE!$B$5:$B$20000,$B361,INPUT_RITASE!$C$5:$C$20000,$C361,INPUT_RITASE!$D$5:$D$20000,$D361))</f>
        <v/>
      </c>
      <c r="S361" s="158">
        <f>IF($Q361=0,0,$R361*$P361/$Q361)</f>
        <v/>
      </c>
    </row>
    <row r="362">
      <c r="A362" s="155" t="n">
        <v>46105</v>
      </c>
      <c r="B362" s="156" t="inlineStr">
        <is>
          <t>09-10</t>
        </is>
      </c>
      <c r="C362" s="156" t="inlineStr">
        <is>
          <t>EX-754</t>
        </is>
      </c>
      <c r="D362" s="156" t="inlineStr">
        <is>
          <t>DT-512</t>
        </is>
      </c>
      <c r="E362" s="156" t="inlineStr">
        <is>
          <t>OB</t>
        </is>
      </c>
      <c r="F362" s="156" t="n">
        <v>4</v>
      </c>
      <c r="G362" s="156" t="inlineStr"/>
      <c r="H362" s="157">
        <f>IF($B362="","",IF(ISNA(MATCH($B362,MASTER_JAM!$Q$5:$Q$28,0)),"?",IF(MATCH($B362,MASTER_JAM!$Q$5:$Q$28,0)&lt;=12,"DS","NS")))</f>
        <v/>
      </c>
      <c r="I362" s="157">
        <f>IFERROR(INDEX(MASTER_JAM!$B$5:$B$94,MATCH($C362,MASTER_JAM!$A$5:$A$94,0)),"")</f>
        <v/>
      </c>
      <c r="J362" s="157">
        <f>IFERROR(INDEX(MASTER_JAM!$E$5:$E$94,MATCH($D362,MASTER_JAM!$A$5:$A$94,0)),"")</f>
        <v/>
      </c>
      <c r="K362" s="158">
        <f>IFERROR(INDEX(MASTER_JAM!$J$5:$O$12,MATCH($E362,MASTER_JAM!$I$5:$I$12,0),MATCH($J362,MASTER_JAM!$J$4:$O$4,0))+0,0)</f>
        <v/>
      </c>
      <c r="L362" s="159">
        <f>N($F362)*$K362</f>
        <v/>
      </c>
      <c r="M362" s="157">
        <f>IF($E362="","",IF(OR($E362="Coal",$E362="Dirty Coal"),"MT","BCM"))</f>
        <v/>
      </c>
      <c r="N362" s="157">
        <f>IF($E362="","",IF(OR($E362="Coal",$E362="Dirty Coal"),"Coal","OB"))</f>
        <v/>
      </c>
      <c r="O362" s="157">
        <f>IF($F362="","",IF(COUNTIF(MASTER_JAM!$A$5:$A$94,$C362)=0,"Digger tidak dikenal",IF($J362="","Hauler tidak dikenal",IF($H362="?","Jam salah",IF($K362=0,"Faktor kosong",IF(SUMIFS(INPUT_DELAY!$E$5:$E$20000,INPUT_DELAY!$A$5:$A$20000,$A362,INPUT_DELAY!$B$5:$B$20000,$B362,INPUT_DELAY!$C$5:$C$20000,$C362)+SUMIFS(INPUT_DELAY!$E$5:$E$20000,INPUT_DELAY!$A$5:$A$20000,$A362,INPUT_DELAY!$B$5:$B$20000,$B362,INPUT_DELAY!$C$5:$C$20000,"SEMUA")&gt;=60,"Delay 60 mnt tapi ada ritase","OK"))))))</f>
        <v/>
      </c>
      <c r="P362" s="158">
        <f>IFERROR(INDEX(MASTER_JAM!$Z$5:$AC$10,MATCH($I362,MASTER_JAM!$Y$5:$Y$10,0),MATCH($J362,MASTER_JAM!$Z$4:$AC$4,0))+0,0)</f>
        <v/>
      </c>
      <c r="Q362" s="158">
        <f>IF($P362=0,0,$P362+IFERROR(INDEX(MASTER_JAM!$H$5:$H$94,MATCH($C362,MASTER_JAM!$A$5:$A$94,0))+0,MASTER_JAM!$AC$15)/1000*(60/MASTER_JAM!$AC$12+60/MASTER_JAM!$AC$13)+MASTER_JAM!$AC$14)</f>
        <v/>
      </c>
      <c r="R362" s="158">
        <f>IF(N($F362)=0,0,$F362/SUMIFS(INPUT_RITASE!$F$5:$F$20000,INPUT_RITASE!$A$5:$A$20000,$A362,INPUT_RITASE!$B$5:$B$20000,$B362,INPUT_RITASE!$C$5:$C$20000,$C362,INPUT_RITASE!$D$5:$D$20000,$D362))</f>
        <v/>
      </c>
      <c r="S362" s="158">
        <f>IF($Q362=0,0,$R362*$P362/$Q362)</f>
        <v/>
      </c>
    </row>
    <row r="363">
      <c r="A363" s="155" t="n">
        <v>46105</v>
      </c>
      <c r="B363" s="156" t="inlineStr">
        <is>
          <t>09-10</t>
        </is>
      </c>
      <c r="C363" s="156" t="inlineStr">
        <is>
          <t>EX-754</t>
        </is>
      </c>
      <c r="D363" s="156" t="inlineStr">
        <is>
          <t>DT-504</t>
        </is>
      </c>
      <c r="E363" s="156" t="inlineStr">
        <is>
          <t>OB</t>
        </is>
      </c>
      <c r="F363" s="156" t="n">
        <v>4</v>
      </c>
      <c r="G363" s="156" t="inlineStr"/>
      <c r="H363" s="157">
        <f>IF($B363="","",IF(ISNA(MATCH($B363,MASTER_JAM!$Q$5:$Q$28,0)),"?",IF(MATCH($B363,MASTER_JAM!$Q$5:$Q$28,0)&lt;=12,"DS","NS")))</f>
        <v/>
      </c>
      <c r="I363" s="157">
        <f>IFERROR(INDEX(MASTER_JAM!$B$5:$B$94,MATCH($C363,MASTER_JAM!$A$5:$A$94,0)),"")</f>
        <v/>
      </c>
      <c r="J363" s="157">
        <f>IFERROR(INDEX(MASTER_JAM!$E$5:$E$94,MATCH($D363,MASTER_JAM!$A$5:$A$94,0)),"")</f>
        <v/>
      </c>
      <c r="K363" s="158">
        <f>IFERROR(INDEX(MASTER_JAM!$J$5:$O$12,MATCH($E363,MASTER_JAM!$I$5:$I$12,0),MATCH($J363,MASTER_JAM!$J$4:$O$4,0))+0,0)</f>
        <v/>
      </c>
      <c r="L363" s="159">
        <f>N($F363)*$K363</f>
        <v/>
      </c>
      <c r="M363" s="157">
        <f>IF($E363="","",IF(OR($E363="Coal",$E363="Dirty Coal"),"MT","BCM"))</f>
        <v/>
      </c>
      <c r="N363" s="157">
        <f>IF($E363="","",IF(OR($E363="Coal",$E363="Dirty Coal"),"Coal","OB"))</f>
        <v/>
      </c>
      <c r="O363" s="157">
        <f>IF($F363="","",IF(COUNTIF(MASTER_JAM!$A$5:$A$94,$C363)=0,"Digger tidak dikenal",IF($J363="","Hauler tidak dikenal",IF($H363="?","Jam salah",IF($K363=0,"Faktor kosong",IF(SUMIFS(INPUT_DELAY!$E$5:$E$20000,INPUT_DELAY!$A$5:$A$20000,$A363,INPUT_DELAY!$B$5:$B$20000,$B363,INPUT_DELAY!$C$5:$C$20000,$C363)+SUMIFS(INPUT_DELAY!$E$5:$E$20000,INPUT_DELAY!$A$5:$A$20000,$A363,INPUT_DELAY!$B$5:$B$20000,$B363,INPUT_DELAY!$C$5:$C$20000,"SEMUA")&gt;=60,"Delay 60 mnt tapi ada ritase","OK"))))))</f>
        <v/>
      </c>
      <c r="P363" s="158">
        <f>IFERROR(INDEX(MASTER_JAM!$Z$5:$AC$10,MATCH($I363,MASTER_JAM!$Y$5:$Y$10,0),MATCH($J363,MASTER_JAM!$Z$4:$AC$4,0))+0,0)</f>
        <v/>
      </c>
      <c r="Q363" s="158">
        <f>IF($P363=0,0,$P363+IFERROR(INDEX(MASTER_JAM!$H$5:$H$94,MATCH($C363,MASTER_JAM!$A$5:$A$94,0))+0,MASTER_JAM!$AC$15)/1000*(60/MASTER_JAM!$AC$12+60/MASTER_JAM!$AC$13)+MASTER_JAM!$AC$14)</f>
        <v/>
      </c>
      <c r="R363" s="158">
        <f>IF(N($F363)=0,0,$F363/SUMIFS(INPUT_RITASE!$F$5:$F$20000,INPUT_RITASE!$A$5:$A$20000,$A363,INPUT_RITASE!$B$5:$B$20000,$B363,INPUT_RITASE!$C$5:$C$20000,$C363,INPUT_RITASE!$D$5:$D$20000,$D363))</f>
        <v/>
      </c>
      <c r="S363" s="158">
        <f>IF($Q363=0,0,$R363*$P363/$Q363)</f>
        <v/>
      </c>
    </row>
    <row r="364">
      <c r="A364" s="155" t="n">
        <v>46105</v>
      </c>
      <c r="B364" s="156" t="inlineStr">
        <is>
          <t>09-10</t>
        </is>
      </c>
      <c r="C364" s="156" t="inlineStr">
        <is>
          <t>EX-754</t>
        </is>
      </c>
      <c r="D364" s="156" t="inlineStr">
        <is>
          <t>DT-505</t>
        </is>
      </c>
      <c r="E364" s="156" t="inlineStr">
        <is>
          <t>OB</t>
        </is>
      </c>
      <c r="F364" s="156" t="n">
        <v>3</v>
      </c>
      <c r="G364" s="156" t="inlineStr"/>
      <c r="H364" s="157">
        <f>IF($B364="","",IF(ISNA(MATCH($B364,MASTER_JAM!$Q$5:$Q$28,0)),"?",IF(MATCH($B364,MASTER_JAM!$Q$5:$Q$28,0)&lt;=12,"DS","NS")))</f>
        <v/>
      </c>
      <c r="I364" s="157">
        <f>IFERROR(INDEX(MASTER_JAM!$B$5:$B$94,MATCH($C364,MASTER_JAM!$A$5:$A$94,0)),"")</f>
        <v/>
      </c>
      <c r="J364" s="157">
        <f>IFERROR(INDEX(MASTER_JAM!$E$5:$E$94,MATCH($D364,MASTER_JAM!$A$5:$A$94,0)),"")</f>
        <v/>
      </c>
      <c r="K364" s="158">
        <f>IFERROR(INDEX(MASTER_JAM!$J$5:$O$12,MATCH($E364,MASTER_JAM!$I$5:$I$12,0),MATCH($J364,MASTER_JAM!$J$4:$O$4,0))+0,0)</f>
        <v/>
      </c>
      <c r="L364" s="159">
        <f>N($F364)*$K364</f>
        <v/>
      </c>
      <c r="M364" s="157">
        <f>IF($E364="","",IF(OR($E364="Coal",$E364="Dirty Coal"),"MT","BCM"))</f>
        <v/>
      </c>
      <c r="N364" s="157">
        <f>IF($E364="","",IF(OR($E364="Coal",$E364="Dirty Coal"),"Coal","OB"))</f>
        <v/>
      </c>
      <c r="O364" s="157">
        <f>IF($F364="","",IF(COUNTIF(MASTER_JAM!$A$5:$A$94,$C364)=0,"Digger tidak dikenal",IF($J364="","Hauler tidak dikenal",IF($H364="?","Jam salah",IF($K364=0,"Faktor kosong",IF(SUMIFS(INPUT_DELAY!$E$5:$E$20000,INPUT_DELAY!$A$5:$A$20000,$A364,INPUT_DELAY!$B$5:$B$20000,$B364,INPUT_DELAY!$C$5:$C$20000,$C364)+SUMIFS(INPUT_DELAY!$E$5:$E$20000,INPUT_DELAY!$A$5:$A$20000,$A364,INPUT_DELAY!$B$5:$B$20000,$B364,INPUT_DELAY!$C$5:$C$20000,"SEMUA")&gt;=60,"Delay 60 mnt tapi ada ritase","OK"))))))</f>
        <v/>
      </c>
      <c r="P364" s="158">
        <f>IFERROR(INDEX(MASTER_JAM!$Z$5:$AC$10,MATCH($I364,MASTER_JAM!$Y$5:$Y$10,0),MATCH($J364,MASTER_JAM!$Z$4:$AC$4,0))+0,0)</f>
        <v/>
      </c>
      <c r="Q364" s="158">
        <f>IF($P364=0,0,$P364+IFERROR(INDEX(MASTER_JAM!$H$5:$H$94,MATCH($C364,MASTER_JAM!$A$5:$A$94,0))+0,MASTER_JAM!$AC$15)/1000*(60/MASTER_JAM!$AC$12+60/MASTER_JAM!$AC$13)+MASTER_JAM!$AC$14)</f>
        <v/>
      </c>
      <c r="R364" s="158">
        <f>IF(N($F364)=0,0,$F364/SUMIFS(INPUT_RITASE!$F$5:$F$20000,INPUT_RITASE!$A$5:$A$20000,$A364,INPUT_RITASE!$B$5:$B$20000,$B364,INPUT_RITASE!$C$5:$C$20000,$C364,INPUT_RITASE!$D$5:$D$20000,$D364))</f>
        <v/>
      </c>
      <c r="S364" s="158">
        <f>IF($Q364=0,0,$R364*$P364/$Q364)</f>
        <v/>
      </c>
    </row>
    <row r="365">
      <c r="A365" s="155" t="n">
        <v>46105</v>
      </c>
      <c r="B365" s="156" t="inlineStr">
        <is>
          <t>10-11</t>
        </is>
      </c>
      <c r="C365" s="156" t="inlineStr">
        <is>
          <t>EX-754</t>
        </is>
      </c>
      <c r="D365" s="156" t="inlineStr">
        <is>
          <t>DT-506</t>
        </is>
      </c>
      <c r="E365" s="156" t="inlineStr">
        <is>
          <t>OB</t>
        </is>
      </c>
      <c r="F365" s="156" t="n">
        <v>4</v>
      </c>
      <c r="G365" s="156" t="inlineStr"/>
      <c r="H365" s="157">
        <f>IF($B365="","",IF(ISNA(MATCH($B365,MASTER_JAM!$Q$5:$Q$28,0)),"?",IF(MATCH($B365,MASTER_JAM!$Q$5:$Q$28,0)&lt;=12,"DS","NS")))</f>
        <v/>
      </c>
      <c r="I365" s="157">
        <f>IFERROR(INDEX(MASTER_JAM!$B$5:$B$94,MATCH($C365,MASTER_JAM!$A$5:$A$94,0)),"")</f>
        <v/>
      </c>
      <c r="J365" s="157">
        <f>IFERROR(INDEX(MASTER_JAM!$E$5:$E$94,MATCH($D365,MASTER_JAM!$A$5:$A$94,0)),"")</f>
        <v/>
      </c>
      <c r="K365" s="158">
        <f>IFERROR(INDEX(MASTER_JAM!$J$5:$O$12,MATCH($E365,MASTER_JAM!$I$5:$I$12,0),MATCH($J365,MASTER_JAM!$J$4:$O$4,0))+0,0)</f>
        <v/>
      </c>
      <c r="L365" s="159">
        <f>N($F365)*$K365</f>
        <v/>
      </c>
      <c r="M365" s="157">
        <f>IF($E365="","",IF(OR($E365="Coal",$E365="Dirty Coal"),"MT","BCM"))</f>
        <v/>
      </c>
      <c r="N365" s="157">
        <f>IF($E365="","",IF(OR($E365="Coal",$E365="Dirty Coal"),"Coal","OB"))</f>
        <v/>
      </c>
      <c r="O365" s="157">
        <f>IF($F365="","",IF(COUNTIF(MASTER_JAM!$A$5:$A$94,$C365)=0,"Digger tidak dikenal",IF($J365="","Hauler tidak dikenal",IF($H365="?","Jam salah",IF($K365=0,"Faktor kosong",IF(SUMIFS(INPUT_DELAY!$E$5:$E$20000,INPUT_DELAY!$A$5:$A$20000,$A365,INPUT_DELAY!$B$5:$B$20000,$B365,INPUT_DELAY!$C$5:$C$20000,$C365)+SUMIFS(INPUT_DELAY!$E$5:$E$20000,INPUT_DELAY!$A$5:$A$20000,$A365,INPUT_DELAY!$B$5:$B$20000,$B365,INPUT_DELAY!$C$5:$C$20000,"SEMUA")&gt;=60,"Delay 60 mnt tapi ada ritase","OK"))))))</f>
        <v/>
      </c>
      <c r="P365" s="158">
        <f>IFERROR(INDEX(MASTER_JAM!$Z$5:$AC$10,MATCH($I365,MASTER_JAM!$Y$5:$Y$10,0),MATCH($J365,MASTER_JAM!$Z$4:$AC$4,0))+0,0)</f>
        <v/>
      </c>
      <c r="Q365" s="158">
        <f>IF($P365=0,0,$P365+IFERROR(INDEX(MASTER_JAM!$H$5:$H$94,MATCH($C365,MASTER_JAM!$A$5:$A$94,0))+0,MASTER_JAM!$AC$15)/1000*(60/MASTER_JAM!$AC$12+60/MASTER_JAM!$AC$13)+MASTER_JAM!$AC$14)</f>
        <v/>
      </c>
      <c r="R365" s="158">
        <f>IF(N($F365)=0,0,$F365/SUMIFS(INPUT_RITASE!$F$5:$F$20000,INPUT_RITASE!$A$5:$A$20000,$A365,INPUT_RITASE!$B$5:$B$20000,$B365,INPUT_RITASE!$C$5:$C$20000,$C365,INPUT_RITASE!$D$5:$D$20000,$D365))</f>
        <v/>
      </c>
      <c r="S365" s="158">
        <f>IF($Q365=0,0,$R365*$P365/$Q365)</f>
        <v/>
      </c>
    </row>
    <row r="366">
      <c r="A366" s="155" t="n">
        <v>46105</v>
      </c>
      <c r="B366" s="156" t="inlineStr">
        <is>
          <t>10-11</t>
        </is>
      </c>
      <c r="C366" s="156" t="inlineStr">
        <is>
          <t>EX-754</t>
        </is>
      </c>
      <c r="D366" s="156" t="inlineStr">
        <is>
          <t>DT-521</t>
        </is>
      </c>
      <c r="E366" s="156" t="inlineStr">
        <is>
          <t>OB</t>
        </is>
      </c>
      <c r="F366" s="156" t="n">
        <v>4</v>
      </c>
      <c r="G366" s="156" t="inlineStr"/>
      <c r="H366" s="157">
        <f>IF($B366="","",IF(ISNA(MATCH($B366,MASTER_JAM!$Q$5:$Q$28,0)),"?",IF(MATCH($B366,MASTER_JAM!$Q$5:$Q$28,0)&lt;=12,"DS","NS")))</f>
        <v/>
      </c>
      <c r="I366" s="157">
        <f>IFERROR(INDEX(MASTER_JAM!$B$5:$B$94,MATCH($C366,MASTER_JAM!$A$5:$A$94,0)),"")</f>
        <v/>
      </c>
      <c r="J366" s="157">
        <f>IFERROR(INDEX(MASTER_JAM!$E$5:$E$94,MATCH($D366,MASTER_JAM!$A$5:$A$94,0)),"")</f>
        <v/>
      </c>
      <c r="K366" s="158">
        <f>IFERROR(INDEX(MASTER_JAM!$J$5:$O$12,MATCH($E366,MASTER_JAM!$I$5:$I$12,0),MATCH($J366,MASTER_JAM!$J$4:$O$4,0))+0,0)</f>
        <v/>
      </c>
      <c r="L366" s="159">
        <f>N($F366)*$K366</f>
        <v/>
      </c>
      <c r="M366" s="157">
        <f>IF($E366="","",IF(OR($E366="Coal",$E366="Dirty Coal"),"MT","BCM"))</f>
        <v/>
      </c>
      <c r="N366" s="157">
        <f>IF($E366="","",IF(OR($E366="Coal",$E366="Dirty Coal"),"Coal","OB"))</f>
        <v/>
      </c>
      <c r="O366" s="157">
        <f>IF($F366="","",IF(COUNTIF(MASTER_JAM!$A$5:$A$94,$C366)=0,"Digger tidak dikenal",IF($J366="","Hauler tidak dikenal",IF($H366="?","Jam salah",IF($K366=0,"Faktor kosong",IF(SUMIFS(INPUT_DELAY!$E$5:$E$20000,INPUT_DELAY!$A$5:$A$20000,$A366,INPUT_DELAY!$B$5:$B$20000,$B366,INPUT_DELAY!$C$5:$C$20000,$C366)+SUMIFS(INPUT_DELAY!$E$5:$E$20000,INPUT_DELAY!$A$5:$A$20000,$A366,INPUT_DELAY!$B$5:$B$20000,$B366,INPUT_DELAY!$C$5:$C$20000,"SEMUA")&gt;=60,"Delay 60 mnt tapi ada ritase","OK"))))))</f>
        <v/>
      </c>
      <c r="P366" s="158">
        <f>IFERROR(INDEX(MASTER_JAM!$Z$5:$AC$10,MATCH($I366,MASTER_JAM!$Y$5:$Y$10,0),MATCH($J366,MASTER_JAM!$Z$4:$AC$4,0))+0,0)</f>
        <v/>
      </c>
      <c r="Q366" s="158">
        <f>IF($P366=0,0,$P366+IFERROR(INDEX(MASTER_JAM!$H$5:$H$94,MATCH($C366,MASTER_JAM!$A$5:$A$94,0))+0,MASTER_JAM!$AC$15)/1000*(60/MASTER_JAM!$AC$12+60/MASTER_JAM!$AC$13)+MASTER_JAM!$AC$14)</f>
        <v/>
      </c>
      <c r="R366" s="158">
        <f>IF(N($F366)=0,0,$F366/SUMIFS(INPUT_RITASE!$F$5:$F$20000,INPUT_RITASE!$A$5:$A$20000,$A366,INPUT_RITASE!$B$5:$B$20000,$B366,INPUT_RITASE!$C$5:$C$20000,$C366,INPUT_RITASE!$D$5:$D$20000,$D366))</f>
        <v/>
      </c>
      <c r="S366" s="158">
        <f>IF($Q366=0,0,$R366*$P366/$Q366)</f>
        <v/>
      </c>
    </row>
    <row r="367">
      <c r="A367" s="155" t="n">
        <v>46105</v>
      </c>
      <c r="B367" s="156" t="inlineStr">
        <is>
          <t>10-11</t>
        </is>
      </c>
      <c r="C367" s="156" t="inlineStr">
        <is>
          <t>EX-754</t>
        </is>
      </c>
      <c r="D367" s="156" t="inlineStr">
        <is>
          <t>DT-517</t>
        </is>
      </c>
      <c r="E367" s="156" t="inlineStr">
        <is>
          <t>OB</t>
        </is>
      </c>
      <c r="F367" s="156" t="n">
        <v>3</v>
      </c>
      <c r="G367" s="156" t="inlineStr"/>
      <c r="H367" s="157">
        <f>IF($B367="","",IF(ISNA(MATCH($B367,MASTER_JAM!$Q$5:$Q$28,0)),"?",IF(MATCH($B367,MASTER_JAM!$Q$5:$Q$28,0)&lt;=12,"DS","NS")))</f>
        <v/>
      </c>
      <c r="I367" s="157">
        <f>IFERROR(INDEX(MASTER_JAM!$B$5:$B$94,MATCH($C367,MASTER_JAM!$A$5:$A$94,0)),"")</f>
        <v/>
      </c>
      <c r="J367" s="157">
        <f>IFERROR(INDEX(MASTER_JAM!$E$5:$E$94,MATCH($D367,MASTER_JAM!$A$5:$A$94,0)),"")</f>
        <v/>
      </c>
      <c r="K367" s="158">
        <f>IFERROR(INDEX(MASTER_JAM!$J$5:$O$12,MATCH($E367,MASTER_JAM!$I$5:$I$12,0),MATCH($J367,MASTER_JAM!$J$4:$O$4,0))+0,0)</f>
        <v/>
      </c>
      <c r="L367" s="159">
        <f>N($F367)*$K367</f>
        <v/>
      </c>
      <c r="M367" s="157">
        <f>IF($E367="","",IF(OR($E367="Coal",$E367="Dirty Coal"),"MT","BCM"))</f>
        <v/>
      </c>
      <c r="N367" s="157">
        <f>IF($E367="","",IF(OR($E367="Coal",$E367="Dirty Coal"),"Coal","OB"))</f>
        <v/>
      </c>
      <c r="O367" s="157">
        <f>IF($F367="","",IF(COUNTIF(MASTER_JAM!$A$5:$A$94,$C367)=0,"Digger tidak dikenal",IF($J367="","Hauler tidak dikenal",IF($H367="?","Jam salah",IF($K367=0,"Faktor kosong",IF(SUMIFS(INPUT_DELAY!$E$5:$E$20000,INPUT_DELAY!$A$5:$A$20000,$A367,INPUT_DELAY!$B$5:$B$20000,$B367,INPUT_DELAY!$C$5:$C$20000,$C367)+SUMIFS(INPUT_DELAY!$E$5:$E$20000,INPUT_DELAY!$A$5:$A$20000,$A367,INPUT_DELAY!$B$5:$B$20000,$B367,INPUT_DELAY!$C$5:$C$20000,"SEMUA")&gt;=60,"Delay 60 mnt tapi ada ritase","OK"))))))</f>
        <v/>
      </c>
      <c r="P367" s="158">
        <f>IFERROR(INDEX(MASTER_JAM!$Z$5:$AC$10,MATCH($I367,MASTER_JAM!$Y$5:$Y$10,0),MATCH($J367,MASTER_JAM!$Z$4:$AC$4,0))+0,0)</f>
        <v/>
      </c>
      <c r="Q367" s="158">
        <f>IF($P367=0,0,$P367+IFERROR(INDEX(MASTER_JAM!$H$5:$H$94,MATCH($C367,MASTER_JAM!$A$5:$A$94,0))+0,MASTER_JAM!$AC$15)/1000*(60/MASTER_JAM!$AC$12+60/MASTER_JAM!$AC$13)+MASTER_JAM!$AC$14)</f>
        <v/>
      </c>
      <c r="R367" s="158">
        <f>IF(N($F367)=0,0,$F367/SUMIFS(INPUT_RITASE!$F$5:$F$20000,INPUT_RITASE!$A$5:$A$20000,$A367,INPUT_RITASE!$B$5:$B$20000,$B367,INPUT_RITASE!$C$5:$C$20000,$C367,INPUT_RITASE!$D$5:$D$20000,$D367))</f>
        <v/>
      </c>
      <c r="S367" s="158">
        <f>IF($Q367=0,0,$R367*$P367/$Q367)</f>
        <v/>
      </c>
    </row>
    <row r="368">
      <c r="A368" s="155" t="n">
        <v>46105</v>
      </c>
      <c r="B368" s="156" t="inlineStr">
        <is>
          <t>10-11</t>
        </is>
      </c>
      <c r="C368" s="156" t="inlineStr">
        <is>
          <t>EX-754</t>
        </is>
      </c>
      <c r="D368" s="156" t="inlineStr">
        <is>
          <t>DT-502</t>
        </is>
      </c>
      <c r="E368" s="156" t="inlineStr">
        <is>
          <t>OB</t>
        </is>
      </c>
      <c r="F368" s="156" t="n">
        <v>3</v>
      </c>
      <c r="G368" s="156" t="inlineStr"/>
      <c r="H368" s="157">
        <f>IF($B368="","",IF(ISNA(MATCH($B368,MASTER_JAM!$Q$5:$Q$28,0)),"?",IF(MATCH($B368,MASTER_JAM!$Q$5:$Q$28,0)&lt;=12,"DS","NS")))</f>
        <v/>
      </c>
      <c r="I368" s="157">
        <f>IFERROR(INDEX(MASTER_JAM!$B$5:$B$94,MATCH($C368,MASTER_JAM!$A$5:$A$94,0)),"")</f>
        <v/>
      </c>
      <c r="J368" s="157">
        <f>IFERROR(INDEX(MASTER_JAM!$E$5:$E$94,MATCH($D368,MASTER_JAM!$A$5:$A$94,0)),"")</f>
        <v/>
      </c>
      <c r="K368" s="158">
        <f>IFERROR(INDEX(MASTER_JAM!$J$5:$O$12,MATCH($E368,MASTER_JAM!$I$5:$I$12,0),MATCH($J368,MASTER_JAM!$J$4:$O$4,0))+0,0)</f>
        <v/>
      </c>
      <c r="L368" s="159">
        <f>N($F368)*$K368</f>
        <v/>
      </c>
      <c r="M368" s="157">
        <f>IF($E368="","",IF(OR($E368="Coal",$E368="Dirty Coal"),"MT","BCM"))</f>
        <v/>
      </c>
      <c r="N368" s="157">
        <f>IF($E368="","",IF(OR($E368="Coal",$E368="Dirty Coal"),"Coal","OB"))</f>
        <v/>
      </c>
      <c r="O368" s="157">
        <f>IF($F368="","",IF(COUNTIF(MASTER_JAM!$A$5:$A$94,$C368)=0,"Digger tidak dikenal",IF($J368="","Hauler tidak dikenal",IF($H368="?","Jam salah",IF($K368=0,"Faktor kosong",IF(SUMIFS(INPUT_DELAY!$E$5:$E$20000,INPUT_DELAY!$A$5:$A$20000,$A368,INPUT_DELAY!$B$5:$B$20000,$B368,INPUT_DELAY!$C$5:$C$20000,$C368)+SUMIFS(INPUT_DELAY!$E$5:$E$20000,INPUT_DELAY!$A$5:$A$20000,$A368,INPUT_DELAY!$B$5:$B$20000,$B368,INPUT_DELAY!$C$5:$C$20000,"SEMUA")&gt;=60,"Delay 60 mnt tapi ada ritase","OK"))))))</f>
        <v/>
      </c>
      <c r="P368" s="158">
        <f>IFERROR(INDEX(MASTER_JAM!$Z$5:$AC$10,MATCH($I368,MASTER_JAM!$Y$5:$Y$10,0),MATCH($J368,MASTER_JAM!$Z$4:$AC$4,0))+0,0)</f>
        <v/>
      </c>
      <c r="Q368" s="158">
        <f>IF($P368=0,0,$P368+IFERROR(INDEX(MASTER_JAM!$H$5:$H$94,MATCH($C368,MASTER_JAM!$A$5:$A$94,0))+0,MASTER_JAM!$AC$15)/1000*(60/MASTER_JAM!$AC$12+60/MASTER_JAM!$AC$13)+MASTER_JAM!$AC$14)</f>
        <v/>
      </c>
      <c r="R368" s="158">
        <f>IF(N($F368)=0,0,$F368/SUMIFS(INPUT_RITASE!$F$5:$F$20000,INPUT_RITASE!$A$5:$A$20000,$A368,INPUT_RITASE!$B$5:$B$20000,$B368,INPUT_RITASE!$C$5:$C$20000,$C368,INPUT_RITASE!$D$5:$D$20000,$D368))</f>
        <v/>
      </c>
      <c r="S368" s="158">
        <f>IF($Q368=0,0,$R368*$P368/$Q368)</f>
        <v/>
      </c>
    </row>
    <row r="369">
      <c r="A369" s="155" t="n">
        <v>46105</v>
      </c>
      <c r="B369" s="156" t="inlineStr">
        <is>
          <t>10-11</t>
        </is>
      </c>
      <c r="C369" s="156" t="inlineStr">
        <is>
          <t>EX-754</t>
        </is>
      </c>
      <c r="D369" s="156" t="inlineStr">
        <is>
          <t>DT-523</t>
        </is>
      </c>
      <c r="E369" s="156" t="inlineStr">
        <is>
          <t>OB</t>
        </is>
      </c>
      <c r="F369" s="156" t="n">
        <v>3</v>
      </c>
      <c r="G369" s="156" t="inlineStr"/>
      <c r="H369" s="157">
        <f>IF($B369="","",IF(ISNA(MATCH($B369,MASTER_JAM!$Q$5:$Q$28,0)),"?",IF(MATCH($B369,MASTER_JAM!$Q$5:$Q$28,0)&lt;=12,"DS","NS")))</f>
        <v/>
      </c>
      <c r="I369" s="157">
        <f>IFERROR(INDEX(MASTER_JAM!$B$5:$B$94,MATCH($C369,MASTER_JAM!$A$5:$A$94,0)),"")</f>
        <v/>
      </c>
      <c r="J369" s="157">
        <f>IFERROR(INDEX(MASTER_JAM!$E$5:$E$94,MATCH($D369,MASTER_JAM!$A$5:$A$94,0)),"")</f>
        <v/>
      </c>
      <c r="K369" s="158">
        <f>IFERROR(INDEX(MASTER_JAM!$J$5:$O$12,MATCH($E369,MASTER_JAM!$I$5:$I$12,0),MATCH($J369,MASTER_JAM!$J$4:$O$4,0))+0,0)</f>
        <v/>
      </c>
      <c r="L369" s="159">
        <f>N($F369)*$K369</f>
        <v/>
      </c>
      <c r="M369" s="157">
        <f>IF($E369="","",IF(OR($E369="Coal",$E369="Dirty Coal"),"MT","BCM"))</f>
        <v/>
      </c>
      <c r="N369" s="157">
        <f>IF($E369="","",IF(OR($E369="Coal",$E369="Dirty Coal"),"Coal","OB"))</f>
        <v/>
      </c>
      <c r="O369" s="157">
        <f>IF($F369="","",IF(COUNTIF(MASTER_JAM!$A$5:$A$94,$C369)=0,"Digger tidak dikenal",IF($J369="","Hauler tidak dikenal",IF($H369="?","Jam salah",IF($K369=0,"Faktor kosong",IF(SUMIFS(INPUT_DELAY!$E$5:$E$20000,INPUT_DELAY!$A$5:$A$20000,$A369,INPUT_DELAY!$B$5:$B$20000,$B369,INPUT_DELAY!$C$5:$C$20000,$C369)+SUMIFS(INPUT_DELAY!$E$5:$E$20000,INPUT_DELAY!$A$5:$A$20000,$A369,INPUT_DELAY!$B$5:$B$20000,$B369,INPUT_DELAY!$C$5:$C$20000,"SEMUA")&gt;=60,"Delay 60 mnt tapi ada ritase","OK"))))))</f>
        <v/>
      </c>
      <c r="P369" s="158">
        <f>IFERROR(INDEX(MASTER_JAM!$Z$5:$AC$10,MATCH($I369,MASTER_JAM!$Y$5:$Y$10,0),MATCH($J369,MASTER_JAM!$Z$4:$AC$4,0))+0,0)</f>
        <v/>
      </c>
      <c r="Q369" s="158">
        <f>IF($P369=0,0,$P369+IFERROR(INDEX(MASTER_JAM!$H$5:$H$94,MATCH($C369,MASTER_JAM!$A$5:$A$94,0))+0,MASTER_JAM!$AC$15)/1000*(60/MASTER_JAM!$AC$12+60/MASTER_JAM!$AC$13)+MASTER_JAM!$AC$14)</f>
        <v/>
      </c>
      <c r="R369" s="158">
        <f>IF(N($F369)=0,0,$F369/SUMIFS(INPUT_RITASE!$F$5:$F$20000,INPUT_RITASE!$A$5:$A$20000,$A369,INPUT_RITASE!$B$5:$B$20000,$B369,INPUT_RITASE!$C$5:$C$20000,$C369,INPUT_RITASE!$D$5:$D$20000,$D369))</f>
        <v/>
      </c>
      <c r="S369" s="158">
        <f>IF($Q369=0,0,$R369*$P369/$Q369)</f>
        <v/>
      </c>
    </row>
    <row r="370">
      <c r="A370" s="155" t="n">
        <v>46105</v>
      </c>
      <c r="B370" s="156" t="inlineStr">
        <is>
          <t>11-12</t>
        </is>
      </c>
      <c r="C370" s="156" t="inlineStr">
        <is>
          <t>EX-754</t>
        </is>
      </c>
      <c r="D370" s="156" t="inlineStr">
        <is>
          <t>DT-512</t>
        </is>
      </c>
      <c r="E370" s="156" t="inlineStr">
        <is>
          <t>OB</t>
        </is>
      </c>
      <c r="F370" s="156" t="n">
        <v>4</v>
      </c>
      <c r="G370" s="156" t="inlineStr"/>
      <c r="H370" s="157">
        <f>IF($B370="","",IF(ISNA(MATCH($B370,MASTER_JAM!$Q$5:$Q$28,0)),"?",IF(MATCH($B370,MASTER_JAM!$Q$5:$Q$28,0)&lt;=12,"DS","NS")))</f>
        <v/>
      </c>
      <c r="I370" s="157">
        <f>IFERROR(INDEX(MASTER_JAM!$B$5:$B$94,MATCH($C370,MASTER_JAM!$A$5:$A$94,0)),"")</f>
        <v/>
      </c>
      <c r="J370" s="157">
        <f>IFERROR(INDEX(MASTER_JAM!$E$5:$E$94,MATCH($D370,MASTER_JAM!$A$5:$A$94,0)),"")</f>
        <v/>
      </c>
      <c r="K370" s="158">
        <f>IFERROR(INDEX(MASTER_JAM!$J$5:$O$12,MATCH($E370,MASTER_JAM!$I$5:$I$12,0),MATCH($J370,MASTER_JAM!$J$4:$O$4,0))+0,0)</f>
        <v/>
      </c>
      <c r="L370" s="159">
        <f>N($F370)*$K370</f>
        <v/>
      </c>
      <c r="M370" s="157">
        <f>IF($E370="","",IF(OR($E370="Coal",$E370="Dirty Coal"),"MT","BCM"))</f>
        <v/>
      </c>
      <c r="N370" s="157">
        <f>IF($E370="","",IF(OR($E370="Coal",$E370="Dirty Coal"),"Coal","OB"))</f>
        <v/>
      </c>
      <c r="O370" s="157">
        <f>IF($F370="","",IF(COUNTIF(MASTER_JAM!$A$5:$A$94,$C370)=0,"Digger tidak dikenal",IF($J370="","Hauler tidak dikenal",IF($H370="?","Jam salah",IF($K370=0,"Faktor kosong",IF(SUMIFS(INPUT_DELAY!$E$5:$E$20000,INPUT_DELAY!$A$5:$A$20000,$A370,INPUT_DELAY!$B$5:$B$20000,$B370,INPUT_DELAY!$C$5:$C$20000,$C370)+SUMIFS(INPUT_DELAY!$E$5:$E$20000,INPUT_DELAY!$A$5:$A$20000,$A370,INPUT_DELAY!$B$5:$B$20000,$B370,INPUT_DELAY!$C$5:$C$20000,"SEMUA")&gt;=60,"Delay 60 mnt tapi ada ritase","OK"))))))</f>
        <v/>
      </c>
      <c r="P370" s="158">
        <f>IFERROR(INDEX(MASTER_JAM!$Z$5:$AC$10,MATCH($I370,MASTER_JAM!$Y$5:$Y$10,0),MATCH($J370,MASTER_JAM!$Z$4:$AC$4,0))+0,0)</f>
        <v/>
      </c>
      <c r="Q370" s="158">
        <f>IF($P370=0,0,$P370+IFERROR(INDEX(MASTER_JAM!$H$5:$H$94,MATCH($C370,MASTER_JAM!$A$5:$A$94,0))+0,MASTER_JAM!$AC$15)/1000*(60/MASTER_JAM!$AC$12+60/MASTER_JAM!$AC$13)+MASTER_JAM!$AC$14)</f>
        <v/>
      </c>
      <c r="R370" s="158">
        <f>IF(N($F370)=0,0,$F370/SUMIFS(INPUT_RITASE!$F$5:$F$20000,INPUT_RITASE!$A$5:$A$20000,$A370,INPUT_RITASE!$B$5:$B$20000,$B370,INPUT_RITASE!$C$5:$C$20000,$C370,INPUT_RITASE!$D$5:$D$20000,$D370))</f>
        <v/>
      </c>
      <c r="S370" s="158">
        <f>IF($Q370=0,0,$R370*$P370/$Q370)</f>
        <v/>
      </c>
    </row>
    <row r="371">
      <c r="A371" s="155" t="n">
        <v>46105</v>
      </c>
      <c r="B371" s="156" t="inlineStr">
        <is>
          <t>11-12</t>
        </is>
      </c>
      <c r="C371" s="156" t="inlineStr">
        <is>
          <t>EX-754</t>
        </is>
      </c>
      <c r="D371" s="156" t="inlineStr">
        <is>
          <t>DT-527</t>
        </is>
      </c>
      <c r="E371" s="156" t="inlineStr">
        <is>
          <t>OB</t>
        </is>
      </c>
      <c r="F371" s="156" t="n">
        <v>4</v>
      </c>
      <c r="G371" s="156" t="inlineStr"/>
      <c r="H371" s="157">
        <f>IF($B371="","",IF(ISNA(MATCH($B371,MASTER_JAM!$Q$5:$Q$28,0)),"?",IF(MATCH($B371,MASTER_JAM!$Q$5:$Q$28,0)&lt;=12,"DS","NS")))</f>
        <v/>
      </c>
      <c r="I371" s="157">
        <f>IFERROR(INDEX(MASTER_JAM!$B$5:$B$94,MATCH($C371,MASTER_JAM!$A$5:$A$94,0)),"")</f>
        <v/>
      </c>
      <c r="J371" s="157">
        <f>IFERROR(INDEX(MASTER_JAM!$E$5:$E$94,MATCH($D371,MASTER_JAM!$A$5:$A$94,0)),"")</f>
        <v/>
      </c>
      <c r="K371" s="158">
        <f>IFERROR(INDEX(MASTER_JAM!$J$5:$O$12,MATCH($E371,MASTER_JAM!$I$5:$I$12,0),MATCH($J371,MASTER_JAM!$J$4:$O$4,0))+0,0)</f>
        <v/>
      </c>
      <c r="L371" s="159">
        <f>N($F371)*$K371</f>
        <v/>
      </c>
      <c r="M371" s="157">
        <f>IF($E371="","",IF(OR($E371="Coal",$E371="Dirty Coal"),"MT","BCM"))</f>
        <v/>
      </c>
      <c r="N371" s="157">
        <f>IF($E371="","",IF(OR($E371="Coal",$E371="Dirty Coal"),"Coal","OB"))</f>
        <v/>
      </c>
      <c r="O371" s="157">
        <f>IF($F371="","",IF(COUNTIF(MASTER_JAM!$A$5:$A$94,$C371)=0,"Digger tidak dikenal",IF($J371="","Hauler tidak dikenal",IF($H371="?","Jam salah",IF($K371=0,"Faktor kosong",IF(SUMIFS(INPUT_DELAY!$E$5:$E$20000,INPUT_DELAY!$A$5:$A$20000,$A371,INPUT_DELAY!$B$5:$B$20000,$B371,INPUT_DELAY!$C$5:$C$20000,$C371)+SUMIFS(INPUT_DELAY!$E$5:$E$20000,INPUT_DELAY!$A$5:$A$20000,$A371,INPUT_DELAY!$B$5:$B$20000,$B371,INPUT_DELAY!$C$5:$C$20000,"SEMUA")&gt;=60,"Delay 60 mnt tapi ada ritase","OK"))))))</f>
        <v/>
      </c>
      <c r="P371" s="158">
        <f>IFERROR(INDEX(MASTER_JAM!$Z$5:$AC$10,MATCH($I371,MASTER_JAM!$Y$5:$Y$10,0),MATCH($J371,MASTER_JAM!$Z$4:$AC$4,0))+0,0)</f>
        <v/>
      </c>
      <c r="Q371" s="158">
        <f>IF($P371=0,0,$P371+IFERROR(INDEX(MASTER_JAM!$H$5:$H$94,MATCH($C371,MASTER_JAM!$A$5:$A$94,0))+0,MASTER_JAM!$AC$15)/1000*(60/MASTER_JAM!$AC$12+60/MASTER_JAM!$AC$13)+MASTER_JAM!$AC$14)</f>
        <v/>
      </c>
      <c r="R371" s="158">
        <f>IF(N($F371)=0,0,$F371/SUMIFS(INPUT_RITASE!$F$5:$F$20000,INPUT_RITASE!$A$5:$A$20000,$A371,INPUT_RITASE!$B$5:$B$20000,$B371,INPUT_RITASE!$C$5:$C$20000,$C371,INPUT_RITASE!$D$5:$D$20000,$D371))</f>
        <v/>
      </c>
      <c r="S371" s="158">
        <f>IF($Q371=0,0,$R371*$P371/$Q371)</f>
        <v/>
      </c>
    </row>
    <row r="372">
      <c r="A372" s="155" t="n">
        <v>46105</v>
      </c>
      <c r="B372" s="156" t="inlineStr">
        <is>
          <t>11-12</t>
        </is>
      </c>
      <c r="C372" s="156" t="inlineStr">
        <is>
          <t>EX-754</t>
        </is>
      </c>
      <c r="D372" s="156" t="inlineStr">
        <is>
          <t>DT-510</t>
        </is>
      </c>
      <c r="E372" s="156" t="inlineStr">
        <is>
          <t>OB</t>
        </is>
      </c>
      <c r="F372" s="156" t="n">
        <v>4</v>
      </c>
      <c r="G372" s="156" t="inlineStr"/>
      <c r="H372" s="157">
        <f>IF($B372="","",IF(ISNA(MATCH($B372,MASTER_JAM!$Q$5:$Q$28,0)),"?",IF(MATCH($B372,MASTER_JAM!$Q$5:$Q$28,0)&lt;=12,"DS","NS")))</f>
        <v/>
      </c>
      <c r="I372" s="157">
        <f>IFERROR(INDEX(MASTER_JAM!$B$5:$B$94,MATCH($C372,MASTER_JAM!$A$5:$A$94,0)),"")</f>
        <v/>
      </c>
      <c r="J372" s="157">
        <f>IFERROR(INDEX(MASTER_JAM!$E$5:$E$94,MATCH($D372,MASTER_JAM!$A$5:$A$94,0)),"")</f>
        <v/>
      </c>
      <c r="K372" s="158">
        <f>IFERROR(INDEX(MASTER_JAM!$J$5:$O$12,MATCH($E372,MASTER_JAM!$I$5:$I$12,0),MATCH($J372,MASTER_JAM!$J$4:$O$4,0))+0,0)</f>
        <v/>
      </c>
      <c r="L372" s="159">
        <f>N($F372)*$K372</f>
        <v/>
      </c>
      <c r="M372" s="157">
        <f>IF($E372="","",IF(OR($E372="Coal",$E372="Dirty Coal"),"MT","BCM"))</f>
        <v/>
      </c>
      <c r="N372" s="157">
        <f>IF($E372="","",IF(OR($E372="Coal",$E372="Dirty Coal"),"Coal","OB"))</f>
        <v/>
      </c>
      <c r="O372" s="157">
        <f>IF($F372="","",IF(COUNTIF(MASTER_JAM!$A$5:$A$94,$C372)=0,"Digger tidak dikenal",IF($J372="","Hauler tidak dikenal",IF($H372="?","Jam salah",IF($K372=0,"Faktor kosong",IF(SUMIFS(INPUT_DELAY!$E$5:$E$20000,INPUT_DELAY!$A$5:$A$20000,$A372,INPUT_DELAY!$B$5:$B$20000,$B372,INPUT_DELAY!$C$5:$C$20000,$C372)+SUMIFS(INPUT_DELAY!$E$5:$E$20000,INPUT_DELAY!$A$5:$A$20000,$A372,INPUT_DELAY!$B$5:$B$20000,$B372,INPUT_DELAY!$C$5:$C$20000,"SEMUA")&gt;=60,"Delay 60 mnt tapi ada ritase","OK"))))))</f>
        <v/>
      </c>
      <c r="P372" s="158">
        <f>IFERROR(INDEX(MASTER_JAM!$Z$5:$AC$10,MATCH($I372,MASTER_JAM!$Y$5:$Y$10,0),MATCH($J372,MASTER_JAM!$Z$4:$AC$4,0))+0,0)</f>
        <v/>
      </c>
      <c r="Q372" s="158">
        <f>IF($P372=0,0,$P372+IFERROR(INDEX(MASTER_JAM!$H$5:$H$94,MATCH($C372,MASTER_JAM!$A$5:$A$94,0))+0,MASTER_JAM!$AC$15)/1000*(60/MASTER_JAM!$AC$12+60/MASTER_JAM!$AC$13)+MASTER_JAM!$AC$14)</f>
        <v/>
      </c>
      <c r="R372" s="158">
        <f>IF(N($F372)=0,0,$F372/SUMIFS(INPUT_RITASE!$F$5:$F$20000,INPUT_RITASE!$A$5:$A$20000,$A372,INPUT_RITASE!$B$5:$B$20000,$B372,INPUT_RITASE!$C$5:$C$20000,$C372,INPUT_RITASE!$D$5:$D$20000,$D372))</f>
        <v/>
      </c>
      <c r="S372" s="158">
        <f>IF($Q372=0,0,$R372*$P372/$Q372)</f>
        <v/>
      </c>
    </row>
    <row r="373">
      <c r="A373" s="155" t="n">
        <v>46105</v>
      </c>
      <c r="B373" s="156" t="inlineStr">
        <is>
          <t>11-12</t>
        </is>
      </c>
      <c r="C373" s="156" t="inlineStr">
        <is>
          <t>EX-754</t>
        </is>
      </c>
      <c r="D373" s="156" t="inlineStr">
        <is>
          <t>DT-520</t>
        </is>
      </c>
      <c r="E373" s="156" t="inlineStr">
        <is>
          <t>OB</t>
        </is>
      </c>
      <c r="F373" s="156" t="n">
        <v>3</v>
      </c>
      <c r="G373" s="156" t="inlineStr"/>
      <c r="H373" s="157">
        <f>IF($B373="","",IF(ISNA(MATCH($B373,MASTER_JAM!$Q$5:$Q$28,0)),"?",IF(MATCH($B373,MASTER_JAM!$Q$5:$Q$28,0)&lt;=12,"DS","NS")))</f>
        <v/>
      </c>
      <c r="I373" s="157">
        <f>IFERROR(INDEX(MASTER_JAM!$B$5:$B$94,MATCH($C373,MASTER_JAM!$A$5:$A$94,0)),"")</f>
        <v/>
      </c>
      <c r="J373" s="157">
        <f>IFERROR(INDEX(MASTER_JAM!$E$5:$E$94,MATCH($D373,MASTER_JAM!$A$5:$A$94,0)),"")</f>
        <v/>
      </c>
      <c r="K373" s="158">
        <f>IFERROR(INDEX(MASTER_JAM!$J$5:$O$12,MATCH($E373,MASTER_JAM!$I$5:$I$12,0),MATCH($J373,MASTER_JAM!$J$4:$O$4,0))+0,0)</f>
        <v/>
      </c>
      <c r="L373" s="159">
        <f>N($F373)*$K373</f>
        <v/>
      </c>
      <c r="M373" s="157">
        <f>IF($E373="","",IF(OR($E373="Coal",$E373="Dirty Coal"),"MT","BCM"))</f>
        <v/>
      </c>
      <c r="N373" s="157">
        <f>IF($E373="","",IF(OR($E373="Coal",$E373="Dirty Coal"),"Coal","OB"))</f>
        <v/>
      </c>
      <c r="O373" s="157">
        <f>IF($F373="","",IF(COUNTIF(MASTER_JAM!$A$5:$A$94,$C373)=0,"Digger tidak dikenal",IF($J373="","Hauler tidak dikenal",IF($H373="?","Jam salah",IF($K373=0,"Faktor kosong",IF(SUMIFS(INPUT_DELAY!$E$5:$E$20000,INPUT_DELAY!$A$5:$A$20000,$A373,INPUT_DELAY!$B$5:$B$20000,$B373,INPUT_DELAY!$C$5:$C$20000,$C373)+SUMIFS(INPUT_DELAY!$E$5:$E$20000,INPUT_DELAY!$A$5:$A$20000,$A373,INPUT_DELAY!$B$5:$B$20000,$B373,INPUT_DELAY!$C$5:$C$20000,"SEMUA")&gt;=60,"Delay 60 mnt tapi ada ritase","OK"))))))</f>
        <v/>
      </c>
      <c r="P373" s="158">
        <f>IFERROR(INDEX(MASTER_JAM!$Z$5:$AC$10,MATCH($I373,MASTER_JAM!$Y$5:$Y$10,0),MATCH($J373,MASTER_JAM!$Z$4:$AC$4,0))+0,0)</f>
        <v/>
      </c>
      <c r="Q373" s="158">
        <f>IF($P373=0,0,$P373+IFERROR(INDEX(MASTER_JAM!$H$5:$H$94,MATCH($C373,MASTER_JAM!$A$5:$A$94,0))+0,MASTER_JAM!$AC$15)/1000*(60/MASTER_JAM!$AC$12+60/MASTER_JAM!$AC$13)+MASTER_JAM!$AC$14)</f>
        <v/>
      </c>
      <c r="R373" s="158">
        <f>IF(N($F373)=0,0,$F373/SUMIFS(INPUT_RITASE!$F$5:$F$20000,INPUT_RITASE!$A$5:$A$20000,$A373,INPUT_RITASE!$B$5:$B$20000,$B373,INPUT_RITASE!$C$5:$C$20000,$C373,INPUT_RITASE!$D$5:$D$20000,$D373))</f>
        <v/>
      </c>
      <c r="S373" s="158">
        <f>IF($Q373=0,0,$R373*$P373/$Q373)</f>
        <v/>
      </c>
    </row>
    <row r="374">
      <c r="A374" s="155" t="n">
        <v>46105</v>
      </c>
      <c r="B374" s="156" t="inlineStr">
        <is>
          <t>11-12</t>
        </is>
      </c>
      <c r="C374" s="156" t="inlineStr">
        <is>
          <t>EX-754</t>
        </is>
      </c>
      <c r="D374" s="156" t="inlineStr">
        <is>
          <t>DT-522</t>
        </is>
      </c>
      <c r="E374" s="156" t="inlineStr">
        <is>
          <t>OB</t>
        </is>
      </c>
      <c r="F374" s="156" t="n">
        <v>3</v>
      </c>
      <c r="G374" s="156" t="inlineStr"/>
      <c r="H374" s="157">
        <f>IF($B374="","",IF(ISNA(MATCH($B374,MASTER_JAM!$Q$5:$Q$28,0)),"?",IF(MATCH($B374,MASTER_JAM!$Q$5:$Q$28,0)&lt;=12,"DS","NS")))</f>
        <v/>
      </c>
      <c r="I374" s="157">
        <f>IFERROR(INDEX(MASTER_JAM!$B$5:$B$94,MATCH($C374,MASTER_JAM!$A$5:$A$94,0)),"")</f>
        <v/>
      </c>
      <c r="J374" s="157">
        <f>IFERROR(INDEX(MASTER_JAM!$E$5:$E$94,MATCH($D374,MASTER_JAM!$A$5:$A$94,0)),"")</f>
        <v/>
      </c>
      <c r="K374" s="158">
        <f>IFERROR(INDEX(MASTER_JAM!$J$5:$O$12,MATCH($E374,MASTER_JAM!$I$5:$I$12,0),MATCH($J374,MASTER_JAM!$J$4:$O$4,0))+0,0)</f>
        <v/>
      </c>
      <c r="L374" s="159">
        <f>N($F374)*$K374</f>
        <v/>
      </c>
      <c r="M374" s="157">
        <f>IF($E374="","",IF(OR($E374="Coal",$E374="Dirty Coal"),"MT","BCM"))</f>
        <v/>
      </c>
      <c r="N374" s="157">
        <f>IF($E374="","",IF(OR($E374="Coal",$E374="Dirty Coal"),"Coal","OB"))</f>
        <v/>
      </c>
      <c r="O374" s="157">
        <f>IF($F374="","",IF(COUNTIF(MASTER_JAM!$A$5:$A$94,$C374)=0,"Digger tidak dikenal",IF($J374="","Hauler tidak dikenal",IF($H374="?","Jam salah",IF($K374=0,"Faktor kosong",IF(SUMIFS(INPUT_DELAY!$E$5:$E$20000,INPUT_DELAY!$A$5:$A$20000,$A374,INPUT_DELAY!$B$5:$B$20000,$B374,INPUT_DELAY!$C$5:$C$20000,$C374)+SUMIFS(INPUT_DELAY!$E$5:$E$20000,INPUT_DELAY!$A$5:$A$20000,$A374,INPUT_DELAY!$B$5:$B$20000,$B374,INPUT_DELAY!$C$5:$C$20000,"SEMUA")&gt;=60,"Delay 60 mnt tapi ada ritase","OK"))))))</f>
        <v/>
      </c>
      <c r="P374" s="158">
        <f>IFERROR(INDEX(MASTER_JAM!$Z$5:$AC$10,MATCH($I374,MASTER_JAM!$Y$5:$Y$10,0),MATCH($J374,MASTER_JAM!$Z$4:$AC$4,0))+0,0)</f>
        <v/>
      </c>
      <c r="Q374" s="158">
        <f>IF($P374=0,0,$P374+IFERROR(INDEX(MASTER_JAM!$H$5:$H$94,MATCH($C374,MASTER_JAM!$A$5:$A$94,0))+0,MASTER_JAM!$AC$15)/1000*(60/MASTER_JAM!$AC$12+60/MASTER_JAM!$AC$13)+MASTER_JAM!$AC$14)</f>
        <v/>
      </c>
      <c r="R374" s="158">
        <f>IF(N($F374)=0,0,$F374/SUMIFS(INPUT_RITASE!$F$5:$F$20000,INPUT_RITASE!$A$5:$A$20000,$A374,INPUT_RITASE!$B$5:$B$20000,$B374,INPUT_RITASE!$C$5:$C$20000,$C374,INPUT_RITASE!$D$5:$D$20000,$D374))</f>
        <v/>
      </c>
      <c r="S374" s="158">
        <f>IF($Q374=0,0,$R374*$P374/$Q374)</f>
        <v/>
      </c>
    </row>
    <row r="375">
      <c r="A375" s="155" t="n">
        <v>46105</v>
      </c>
      <c r="B375" s="156" t="inlineStr">
        <is>
          <t>13-14</t>
        </is>
      </c>
      <c r="C375" s="156" t="inlineStr">
        <is>
          <t>EX-754</t>
        </is>
      </c>
      <c r="D375" s="156" t="inlineStr">
        <is>
          <t>DT-503</t>
        </is>
      </c>
      <c r="E375" s="156" t="inlineStr">
        <is>
          <t>OB</t>
        </is>
      </c>
      <c r="F375" s="156" t="n">
        <v>4</v>
      </c>
      <c r="G375" s="156" t="inlineStr"/>
      <c r="H375" s="157">
        <f>IF($B375="","",IF(ISNA(MATCH($B375,MASTER_JAM!$Q$5:$Q$28,0)),"?",IF(MATCH($B375,MASTER_JAM!$Q$5:$Q$28,0)&lt;=12,"DS","NS")))</f>
        <v/>
      </c>
      <c r="I375" s="157">
        <f>IFERROR(INDEX(MASTER_JAM!$B$5:$B$94,MATCH($C375,MASTER_JAM!$A$5:$A$94,0)),"")</f>
        <v/>
      </c>
      <c r="J375" s="157">
        <f>IFERROR(INDEX(MASTER_JAM!$E$5:$E$94,MATCH($D375,MASTER_JAM!$A$5:$A$94,0)),"")</f>
        <v/>
      </c>
      <c r="K375" s="158">
        <f>IFERROR(INDEX(MASTER_JAM!$J$5:$O$12,MATCH($E375,MASTER_JAM!$I$5:$I$12,0),MATCH($J375,MASTER_JAM!$J$4:$O$4,0))+0,0)</f>
        <v/>
      </c>
      <c r="L375" s="159">
        <f>N($F375)*$K375</f>
        <v/>
      </c>
      <c r="M375" s="157">
        <f>IF($E375="","",IF(OR($E375="Coal",$E375="Dirty Coal"),"MT","BCM"))</f>
        <v/>
      </c>
      <c r="N375" s="157">
        <f>IF($E375="","",IF(OR($E375="Coal",$E375="Dirty Coal"),"Coal","OB"))</f>
        <v/>
      </c>
      <c r="O375" s="157">
        <f>IF($F375="","",IF(COUNTIF(MASTER_JAM!$A$5:$A$94,$C375)=0,"Digger tidak dikenal",IF($J375="","Hauler tidak dikenal",IF($H375="?","Jam salah",IF($K375=0,"Faktor kosong",IF(SUMIFS(INPUT_DELAY!$E$5:$E$20000,INPUT_DELAY!$A$5:$A$20000,$A375,INPUT_DELAY!$B$5:$B$20000,$B375,INPUT_DELAY!$C$5:$C$20000,$C375)+SUMIFS(INPUT_DELAY!$E$5:$E$20000,INPUT_DELAY!$A$5:$A$20000,$A375,INPUT_DELAY!$B$5:$B$20000,$B375,INPUT_DELAY!$C$5:$C$20000,"SEMUA")&gt;=60,"Delay 60 mnt tapi ada ritase","OK"))))))</f>
        <v/>
      </c>
      <c r="P375" s="158">
        <f>IFERROR(INDEX(MASTER_JAM!$Z$5:$AC$10,MATCH($I375,MASTER_JAM!$Y$5:$Y$10,0),MATCH($J375,MASTER_JAM!$Z$4:$AC$4,0))+0,0)</f>
        <v/>
      </c>
      <c r="Q375" s="158">
        <f>IF($P375=0,0,$P375+IFERROR(INDEX(MASTER_JAM!$H$5:$H$94,MATCH($C375,MASTER_JAM!$A$5:$A$94,0))+0,MASTER_JAM!$AC$15)/1000*(60/MASTER_JAM!$AC$12+60/MASTER_JAM!$AC$13)+MASTER_JAM!$AC$14)</f>
        <v/>
      </c>
      <c r="R375" s="158">
        <f>IF(N($F375)=0,0,$F375/SUMIFS(INPUT_RITASE!$F$5:$F$20000,INPUT_RITASE!$A$5:$A$20000,$A375,INPUT_RITASE!$B$5:$B$20000,$B375,INPUT_RITASE!$C$5:$C$20000,$C375,INPUT_RITASE!$D$5:$D$20000,$D375))</f>
        <v/>
      </c>
      <c r="S375" s="158">
        <f>IF($Q375=0,0,$R375*$P375/$Q375)</f>
        <v/>
      </c>
    </row>
    <row r="376">
      <c r="A376" s="155" t="n">
        <v>46105</v>
      </c>
      <c r="B376" s="156" t="inlineStr">
        <is>
          <t>13-14</t>
        </is>
      </c>
      <c r="C376" s="156" t="inlineStr">
        <is>
          <t>EX-754</t>
        </is>
      </c>
      <c r="D376" s="156" t="inlineStr">
        <is>
          <t>DT-501</t>
        </is>
      </c>
      <c r="E376" s="156" t="inlineStr">
        <is>
          <t>OB</t>
        </is>
      </c>
      <c r="F376" s="156" t="n">
        <v>4</v>
      </c>
      <c r="G376" s="156" t="inlineStr"/>
      <c r="H376" s="157">
        <f>IF($B376="","",IF(ISNA(MATCH($B376,MASTER_JAM!$Q$5:$Q$28,0)),"?",IF(MATCH($B376,MASTER_JAM!$Q$5:$Q$28,0)&lt;=12,"DS","NS")))</f>
        <v/>
      </c>
      <c r="I376" s="157">
        <f>IFERROR(INDEX(MASTER_JAM!$B$5:$B$94,MATCH($C376,MASTER_JAM!$A$5:$A$94,0)),"")</f>
        <v/>
      </c>
      <c r="J376" s="157">
        <f>IFERROR(INDEX(MASTER_JAM!$E$5:$E$94,MATCH($D376,MASTER_JAM!$A$5:$A$94,0)),"")</f>
        <v/>
      </c>
      <c r="K376" s="158">
        <f>IFERROR(INDEX(MASTER_JAM!$J$5:$O$12,MATCH($E376,MASTER_JAM!$I$5:$I$12,0),MATCH($J376,MASTER_JAM!$J$4:$O$4,0))+0,0)</f>
        <v/>
      </c>
      <c r="L376" s="159">
        <f>N($F376)*$K376</f>
        <v/>
      </c>
      <c r="M376" s="157">
        <f>IF($E376="","",IF(OR($E376="Coal",$E376="Dirty Coal"),"MT","BCM"))</f>
        <v/>
      </c>
      <c r="N376" s="157">
        <f>IF($E376="","",IF(OR($E376="Coal",$E376="Dirty Coal"),"Coal","OB"))</f>
        <v/>
      </c>
      <c r="O376" s="157">
        <f>IF($F376="","",IF(COUNTIF(MASTER_JAM!$A$5:$A$94,$C376)=0,"Digger tidak dikenal",IF($J376="","Hauler tidak dikenal",IF($H376="?","Jam salah",IF($K376=0,"Faktor kosong",IF(SUMIFS(INPUT_DELAY!$E$5:$E$20000,INPUT_DELAY!$A$5:$A$20000,$A376,INPUT_DELAY!$B$5:$B$20000,$B376,INPUT_DELAY!$C$5:$C$20000,$C376)+SUMIFS(INPUT_DELAY!$E$5:$E$20000,INPUT_DELAY!$A$5:$A$20000,$A376,INPUT_DELAY!$B$5:$B$20000,$B376,INPUT_DELAY!$C$5:$C$20000,"SEMUA")&gt;=60,"Delay 60 mnt tapi ada ritase","OK"))))))</f>
        <v/>
      </c>
      <c r="P376" s="158">
        <f>IFERROR(INDEX(MASTER_JAM!$Z$5:$AC$10,MATCH($I376,MASTER_JAM!$Y$5:$Y$10,0),MATCH($J376,MASTER_JAM!$Z$4:$AC$4,0))+0,0)</f>
        <v/>
      </c>
      <c r="Q376" s="158">
        <f>IF($P376=0,0,$P376+IFERROR(INDEX(MASTER_JAM!$H$5:$H$94,MATCH($C376,MASTER_JAM!$A$5:$A$94,0))+0,MASTER_JAM!$AC$15)/1000*(60/MASTER_JAM!$AC$12+60/MASTER_JAM!$AC$13)+MASTER_JAM!$AC$14)</f>
        <v/>
      </c>
      <c r="R376" s="158">
        <f>IF(N($F376)=0,0,$F376/SUMIFS(INPUT_RITASE!$F$5:$F$20000,INPUT_RITASE!$A$5:$A$20000,$A376,INPUT_RITASE!$B$5:$B$20000,$B376,INPUT_RITASE!$C$5:$C$20000,$C376,INPUT_RITASE!$D$5:$D$20000,$D376))</f>
        <v/>
      </c>
      <c r="S376" s="158">
        <f>IF($Q376=0,0,$R376*$P376/$Q376)</f>
        <v/>
      </c>
    </row>
    <row r="377">
      <c r="A377" s="155" t="n">
        <v>46105</v>
      </c>
      <c r="B377" s="156" t="inlineStr">
        <is>
          <t>13-14</t>
        </is>
      </c>
      <c r="C377" s="156" t="inlineStr">
        <is>
          <t>EX-754</t>
        </is>
      </c>
      <c r="D377" s="156" t="inlineStr">
        <is>
          <t>DT-522</t>
        </is>
      </c>
      <c r="E377" s="156" t="inlineStr">
        <is>
          <t>OB</t>
        </is>
      </c>
      <c r="F377" s="156" t="n">
        <v>4</v>
      </c>
      <c r="G377" s="156" t="inlineStr"/>
      <c r="H377" s="157">
        <f>IF($B377="","",IF(ISNA(MATCH($B377,MASTER_JAM!$Q$5:$Q$28,0)),"?",IF(MATCH($B377,MASTER_JAM!$Q$5:$Q$28,0)&lt;=12,"DS","NS")))</f>
        <v/>
      </c>
      <c r="I377" s="157">
        <f>IFERROR(INDEX(MASTER_JAM!$B$5:$B$94,MATCH($C377,MASTER_JAM!$A$5:$A$94,0)),"")</f>
        <v/>
      </c>
      <c r="J377" s="157">
        <f>IFERROR(INDEX(MASTER_JAM!$E$5:$E$94,MATCH($D377,MASTER_JAM!$A$5:$A$94,0)),"")</f>
        <v/>
      </c>
      <c r="K377" s="158">
        <f>IFERROR(INDEX(MASTER_JAM!$J$5:$O$12,MATCH($E377,MASTER_JAM!$I$5:$I$12,0),MATCH($J377,MASTER_JAM!$J$4:$O$4,0))+0,0)</f>
        <v/>
      </c>
      <c r="L377" s="159">
        <f>N($F377)*$K377</f>
        <v/>
      </c>
      <c r="M377" s="157">
        <f>IF($E377="","",IF(OR($E377="Coal",$E377="Dirty Coal"),"MT","BCM"))</f>
        <v/>
      </c>
      <c r="N377" s="157">
        <f>IF($E377="","",IF(OR($E377="Coal",$E377="Dirty Coal"),"Coal","OB"))</f>
        <v/>
      </c>
      <c r="O377" s="157">
        <f>IF($F377="","",IF(COUNTIF(MASTER_JAM!$A$5:$A$94,$C377)=0,"Digger tidak dikenal",IF($J377="","Hauler tidak dikenal",IF($H377="?","Jam salah",IF($K377=0,"Faktor kosong",IF(SUMIFS(INPUT_DELAY!$E$5:$E$20000,INPUT_DELAY!$A$5:$A$20000,$A377,INPUT_DELAY!$B$5:$B$20000,$B377,INPUT_DELAY!$C$5:$C$20000,$C377)+SUMIFS(INPUT_DELAY!$E$5:$E$20000,INPUT_DELAY!$A$5:$A$20000,$A377,INPUT_DELAY!$B$5:$B$20000,$B377,INPUT_DELAY!$C$5:$C$20000,"SEMUA")&gt;=60,"Delay 60 mnt tapi ada ritase","OK"))))))</f>
        <v/>
      </c>
      <c r="P377" s="158">
        <f>IFERROR(INDEX(MASTER_JAM!$Z$5:$AC$10,MATCH($I377,MASTER_JAM!$Y$5:$Y$10,0),MATCH($J377,MASTER_JAM!$Z$4:$AC$4,0))+0,0)</f>
        <v/>
      </c>
      <c r="Q377" s="158">
        <f>IF($P377=0,0,$P377+IFERROR(INDEX(MASTER_JAM!$H$5:$H$94,MATCH($C377,MASTER_JAM!$A$5:$A$94,0))+0,MASTER_JAM!$AC$15)/1000*(60/MASTER_JAM!$AC$12+60/MASTER_JAM!$AC$13)+MASTER_JAM!$AC$14)</f>
        <v/>
      </c>
      <c r="R377" s="158">
        <f>IF(N($F377)=0,0,$F377/SUMIFS(INPUT_RITASE!$F$5:$F$20000,INPUT_RITASE!$A$5:$A$20000,$A377,INPUT_RITASE!$B$5:$B$20000,$B377,INPUT_RITASE!$C$5:$C$20000,$C377,INPUT_RITASE!$D$5:$D$20000,$D377))</f>
        <v/>
      </c>
      <c r="S377" s="158">
        <f>IF($Q377=0,0,$R377*$P377/$Q377)</f>
        <v/>
      </c>
    </row>
    <row r="378">
      <c r="A378" s="155" t="n">
        <v>46105</v>
      </c>
      <c r="B378" s="156" t="inlineStr">
        <is>
          <t>13-14</t>
        </is>
      </c>
      <c r="C378" s="156" t="inlineStr">
        <is>
          <t>EX-754</t>
        </is>
      </c>
      <c r="D378" s="156" t="inlineStr">
        <is>
          <t>DT-523</t>
        </is>
      </c>
      <c r="E378" s="156" t="inlineStr">
        <is>
          <t>OB</t>
        </is>
      </c>
      <c r="F378" s="156" t="n">
        <v>3</v>
      </c>
      <c r="G378" s="156" t="inlineStr"/>
      <c r="H378" s="157">
        <f>IF($B378="","",IF(ISNA(MATCH($B378,MASTER_JAM!$Q$5:$Q$28,0)),"?",IF(MATCH($B378,MASTER_JAM!$Q$5:$Q$28,0)&lt;=12,"DS","NS")))</f>
        <v/>
      </c>
      <c r="I378" s="157">
        <f>IFERROR(INDEX(MASTER_JAM!$B$5:$B$94,MATCH($C378,MASTER_JAM!$A$5:$A$94,0)),"")</f>
        <v/>
      </c>
      <c r="J378" s="157">
        <f>IFERROR(INDEX(MASTER_JAM!$E$5:$E$94,MATCH($D378,MASTER_JAM!$A$5:$A$94,0)),"")</f>
        <v/>
      </c>
      <c r="K378" s="158">
        <f>IFERROR(INDEX(MASTER_JAM!$J$5:$O$12,MATCH($E378,MASTER_JAM!$I$5:$I$12,0),MATCH($J378,MASTER_JAM!$J$4:$O$4,0))+0,0)</f>
        <v/>
      </c>
      <c r="L378" s="159">
        <f>N($F378)*$K378</f>
        <v/>
      </c>
      <c r="M378" s="157">
        <f>IF($E378="","",IF(OR($E378="Coal",$E378="Dirty Coal"),"MT","BCM"))</f>
        <v/>
      </c>
      <c r="N378" s="157">
        <f>IF($E378="","",IF(OR($E378="Coal",$E378="Dirty Coal"),"Coal","OB"))</f>
        <v/>
      </c>
      <c r="O378" s="157">
        <f>IF($F378="","",IF(COUNTIF(MASTER_JAM!$A$5:$A$94,$C378)=0,"Digger tidak dikenal",IF($J378="","Hauler tidak dikenal",IF($H378="?","Jam salah",IF($K378=0,"Faktor kosong",IF(SUMIFS(INPUT_DELAY!$E$5:$E$20000,INPUT_DELAY!$A$5:$A$20000,$A378,INPUT_DELAY!$B$5:$B$20000,$B378,INPUT_DELAY!$C$5:$C$20000,$C378)+SUMIFS(INPUT_DELAY!$E$5:$E$20000,INPUT_DELAY!$A$5:$A$20000,$A378,INPUT_DELAY!$B$5:$B$20000,$B378,INPUT_DELAY!$C$5:$C$20000,"SEMUA")&gt;=60,"Delay 60 mnt tapi ada ritase","OK"))))))</f>
        <v/>
      </c>
      <c r="P378" s="158">
        <f>IFERROR(INDEX(MASTER_JAM!$Z$5:$AC$10,MATCH($I378,MASTER_JAM!$Y$5:$Y$10,0),MATCH($J378,MASTER_JAM!$Z$4:$AC$4,0))+0,0)</f>
        <v/>
      </c>
      <c r="Q378" s="158">
        <f>IF($P378=0,0,$P378+IFERROR(INDEX(MASTER_JAM!$H$5:$H$94,MATCH($C378,MASTER_JAM!$A$5:$A$94,0))+0,MASTER_JAM!$AC$15)/1000*(60/MASTER_JAM!$AC$12+60/MASTER_JAM!$AC$13)+MASTER_JAM!$AC$14)</f>
        <v/>
      </c>
      <c r="R378" s="158">
        <f>IF(N($F378)=0,0,$F378/SUMIFS(INPUT_RITASE!$F$5:$F$20000,INPUT_RITASE!$A$5:$A$20000,$A378,INPUT_RITASE!$B$5:$B$20000,$B378,INPUT_RITASE!$C$5:$C$20000,$C378,INPUT_RITASE!$D$5:$D$20000,$D378))</f>
        <v/>
      </c>
      <c r="S378" s="158">
        <f>IF($Q378=0,0,$R378*$P378/$Q378)</f>
        <v/>
      </c>
    </row>
    <row r="379">
      <c r="A379" s="155" t="n">
        <v>46105</v>
      </c>
      <c r="B379" s="156" t="inlineStr">
        <is>
          <t>14-15</t>
        </is>
      </c>
      <c r="C379" s="156" t="inlineStr">
        <is>
          <t>EX-754</t>
        </is>
      </c>
      <c r="D379" s="156" t="inlineStr">
        <is>
          <t>DT-506</t>
        </is>
      </c>
      <c r="E379" s="156" t="inlineStr">
        <is>
          <t>OB</t>
        </is>
      </c>
      <c r="F379" s="156" t="n">
        <v>4</v>
      </c>
      <c r="G379" s="156" t="inlineStr"/>
      <c r="H379" s="157">
        <f>IF($B379="","",IF(ISNA(MATCH($B379,MASTER_JAM!$Q$5:$Q$28,0)),"?",IF(MATCH($B379,MASTER_JAM!$Q$5:$Q$28,0)&lt;=12,"DS","NS")))</f>
        <v/>
      </c>
      <c r="I379" s="157">
        <f>IFERROR(INDEX(MASTER_JAM!$B$5:$B$94,MATCH($C379,MASTER_JAM!$A$5:$A$94,0)),"")</f>
        <v/>
      </c>
      <c r="J379" s="157">
        <f>IFERROR(INDEX(MASTER_JAM!$E$5:$E$94,MATCH($D379,MASTER_JAM!$A$5:$A$94,0)),"")</f>
        <v/>
      </c>
      <c r="K379" s="158">
        <f>IFERROR(INDEX(MASTER_JAM!$J$5:$O$12,MATCH($E379,MASTER_JAM!$I$5:$I$12,0),MATCH($J379,MASTER_JAM!$J$4:$O$4,0))+0,0)</f>
        <v/>
      </c>
      <c r="L379" s="159">
        <f>N($F379)*$K379</f>
        <v/>
      </c>
      <c r="M379" s="157">
        <f>IF($E379="","",IF(OR($E379="Coal",$E379="Dirty Coal"),"MT","BCM"))</f>
        <v/>
      </c>
      <c r="N379" s="157">
        <f>IF($E379="","",IF(OR($E379="Coal",$E379="Dirty Coal"),"Coal","OB"))</f>
        <v/>
      </c>
      <c r="O379" s="157">
        <f>IF($F379="","",IF(COUNTIF(MASTER_JAM!$A$5:$A$94,$C379)=0,"Digger tidak dikenal",IF($J379="","Hauler tidak dikenal",IF($H379="?","Jam salah",IF($K379=0,"Faktor kosong",IF(SUMIFS(INPUT_DELAY!$E$5:$E$20000,INPUT_DELAY!$A$5:$A$20000,$A379,INPUT_DELAY!$B$5:$B$20000,$B379,INPUT_DELAY!$C$5:$C$20000,$C379)+SUMIFS(INPUT_DELAY!$E$5:$E$20000,INPUT_DELAY!$A$5:$A$20000,$A379,INPUT_DELAY!$B$5:$B$20000,$B379,INPUT_DELAY!$C$5:$C$20000,"SEMUA")&gt;=60,"Delay 60 mnt tapi ada ritase","OK"))))))</f>
        <v/>
      </c>
      <c r="P379" s="158">
        <f>IFERROR(INDEX(MASTER_JAM!$Z$5:$AC$10,MATCH($I379,MASTER_JAM!$Y$5:$Y$10,0),MATCH($J379,MASTER_JAM!$Z$4:$AC$4,0))+0,0)</f>
        <v/>
      </c>
      <c r="Q379" s="158">
        <f>IF($P379=0,0,$P379+IFERROR(INDEX(MASTER_JAM!$H$5:$H$94,MATCH($C379,MASTER_JAM!$A$5:$A$94,0))+0,MASTER_JAM!$AC$15)/1000*(60/MASTER_JAM!$AC$12+60/MASTER_JAM!$AC$13)+MASTER_JAM!$AC$14)</f>
        <v/>
      </c>
      <c r="R379" s="158">
        <f>IF(N($F379)=0,0,$F379/SUMIFS(INPUT_RITASE!$F$5:$F$20000,INPUT_RITASE!$A$5:$A$20000,$A379,INPUT_RITASE!$B$5:$B$20000,$B379,INPUT_RITASE!$C$5:$C$20000,$C379,INPUT_RITASE!$D$5:$D$20000,$D379))</f>
        <v/>
      </c>
      <c r="S379" s="158">
        <f>IF($Q379=0,0,$R379*$P379/$Q379)</f>
        <v/>
      </c>
    </row>
    <row r="380">
      <c r="A380" s="155" t="n">
        <v>46105</v>
      </c>
      <c r="B380" s="156" t="inlineStr">
        <is>
          <t>14-15</t>
        </is>
      </c>
      <c r="C380" s="156" t="inlineStr">
        <is>
          <t>EX-754</t>
        </is>
      </c>
      <c r="D380" s="156" t="inlineStr">
        <is>
          <t>DT-529</t>
        </is>
      </c>
      <c r="E380" s="156" t="inlineStr">
        <is>
          <t>OB</t>
        </is>
      </c>
      <c r="F380" s="156" t="n">
        <v>4</v>
      </c>
      <c r="G380" s="156" t="inlineStr"/>
      <c r="H380" s="157">
        <f>IF($B380="","",IF(ISNA(MATCH($B380,MASTER_JAM!$Q$5:$Q$28,0)),"?",IF(MATCH($B380,MASTER_JAM!$Q$5:$Q$28,0)&lt;=12,"DS","NS")))</f>
        <v/>
      </c>
      <c r="I380" s="157">
        <f>IFERROR(INDEX(MASTER_JAM!$B$5:$B$94,MATCH($C380,MASTER_JAM!$A$5:$A$94,0)),"")</f>
        <v/>
      </c>
      <c r="J380" s="157">
        <f>IFERROR(INDEX(MASTER_JAM!$E$5:$E$94,MATCH($D380,MASTER_JAM!$A$5:$A$94,0)),"")</f>
        <v/>
      </c>
      <c r="K380" s="158">
        <f>IFERROR(INDEX(MASTER_JAM!$J$5:$O$12,MATCH($E380,MASTER_JAM!$I$5:$I$12,0),MATCH($J380,MASTER_JAM!$J$4:$O$4,0))+0,0)</f>
        <v/>
      </c>
      <c r="L380" s="159">
        <f>N($F380)*$K380</f>
        <v/>
      </c>
      <c r="M380" s="157">
        <f>IF($E380="","",IF(OR($E380="Coal",$E380="Dirty Coal"),"MT","BCM"))</f>
        <v/>
      </c>
      <c r="N380" s="157">
        <f>IF($E380="","",IF(OR($E380="Coal",$E380="Dirty Coal"),"Coal","OB"))</f>
        <v/>
      </c>
      <c r="O380" s="157">
        <f>IF($F380="","",IF(COUNTIF(MASTER_JAM!$A$5:$A$94,$C380)=0,"Digger tidak dikenal",IF($J380="","Hauler tidak dikenal",IF($H380="?","Jam salah",IF($K380=0,"Faktor kosong",IF(SUMIFS(INPUT_DELAY!$E$5:$E$20000,INPUT_DELAY!$A$5:$A$20000,$A380,INPUT_DELAY!$B$5:$B$20000,$B380,INPUT_DELAY!$C$5:$C$20000,$C380)+SUMIFS(INPUT_DELAY!$E$5:$E$20000,INPUT_DELAY!$A$5:$A$20000,$A380,INPUT_DELAY!$B$5:$B$20000,$B380,INPUT_DELAY!$C$5:$C$20000,"SEMUA")&gt;=60,"Delay 60 mnt tapi ada ritase","OK"))))))</f>
        <v/>
      </c>
      <c r="P380" s="158">
        <f>IFERROR(INDEX(MASTER_JAM!$Z$5:$AC$10,MATCH($I380,MASTER_JAM!$Y$5:$Y$10,0),MATCH($J380,MASTER_JAM!$Z$4:$AC$4,0))+0,0)</f>
        <v/>
      </c>
      <c r="Q380" s="158">
        <f>IF($P380=0,0,$P380+IFERROR(INDEX(MASTER_JAM!$H$5:$H$94,MATCH($C380,MASTER_JAM!$A$5:$A$94,0))+0,MASTER_JAM!$AC$15)/1000*(60/MASTER_JAM!$AC$12+60/MASTER_JAM!$AC$13)+MASTER_JAM!$AC$14)</f>
        <v/>
      </c>
      <c r="R380" s="158">
        <f>IF(N($F380)=0,0,$F380/SUMIFS(INPUT_RITASE!$F$5:$F$20000,INPUT_RITASE!$A$5:$A$20000,$A380,INPUT_RITASE!$B$5:$B$20000,$B380,INPUT_RITASE!$C$5:$C$20000,$C380,INPUT_RITASE!$D$5:$D$20000,$D380))</f>
        <v/>
      </c>
      <c r="S380" s="158">
        <f>IF($Q380=0,0,$R380*$P380/$Q380)</f>
        <v/>
      </c>
    </row>
    <row r="381">
      <c r="A381" s="155" t="n">
        <v>46105</v>
      </c>
      <c r="B381" s="156" t="inlineStr">
        <is>
          <t>14-15</t>
        </is>
      </c>
      <c r="C381" s="156" t="inlineStr">
        <is>
          <t>EX-754</t>
        </is>
      </c>
      <c r="D381" s="156" t="inlineStr">
        <is>
          <t>DT-512</t>
        </is>
      </c>
      <c r="E381" s="156" t="inlineStr">
        <is>
          <t>OB</t>
        </is>
      </c>
      <c r="F381" s="156" t="n">
        <v>3</v>
      </c>
      <c r="G381" s="156" t="inlineStr"/>
      <c r="H381" s="157">
        <f>IF($B381="","",IF(ISNA(MATCH($B381,MASTER_JAM!$Q$5:$Q$28,0)),"?",IF(MATCH($B381,MASTER_JAM!$Q$5:$Q$28,0)&lt;=12,"DS","NS")))</f>
        <v/>
      </c>
      <c r="I381" s="157">
        <f>IFERROR(INDEX(MASTER_JAM!$B$5:$B$94,MATCH($C381,MASTER_JAM!$A$5:$A$94,0)),"")</f>
        <v/>
      </c>
      <c r="J381" s="157">
        <f>IFERROR(INDEX(MASTER_JAM!$E$5:$E$94,MATCH($D381,MASTER_JAM!$A$5:$A$94,0)),"")</f>
        <v/>
      </c>
      <c r="K381" s="158">
        <f>IFERROR(INDEX(MASTER_JAM!$J$5:$O$12,MATCH($E381,MASTER_JAM!$I$5:$I$12,0),MATCH($J381,MASTER_JAM!$J$4:$O$4,0))+0,0)</f>
        <v/>
      </c>
      <c r="L381" s="159">
        <f>N($F381)*$K381</f>
        <v/>
      </c>
      <c r="M381" s="157">
        <f>IF($E381="","",IF(OR($E381="Coal",$E381="Dirty Coal"),"MT","BCM"))</f>
        <v/>
      </c>
      <c r="N381" s="157">
        <f>IF($E381="","",IF(OR($E381="Coal",$E381="Dirty Coal"),"Coal","OB"))</f>
        <v/>
      </c>
      <c r="O381" s="157">
        <f>IF($F381="","",IF(COUNTIF(MASTER_JAM!$A$5:$A$94,$C381)=0,"Digger tidak dikenal",IF($J381="","Hauler tidak dikenal",IF($H381="?","Jam salah",IF($K381=0,"Faktor kosong",IF(SUMIFS(INPUT_DELAY!$E$5:$E$20000,INPUT_DELAY!$A$5:$A$20000,$A381,INPUT_DELAY!$B$5:$B$20000,$B381,INPUT_DELAY!$C$5:$C$20000,$C381)+SUMIFS(INPUT_DELAY!$E$5:$E$20000,INPUT_DELAY!$A$5:$A$20000,$A381,INPUT_DELAY!$B$5:$B$20000,$B381,INPUT_DELAY!$C$5:$C$20000,"SEMUA")&gt;=60,"Delay 60 mnt tapi ada ritase","OK"))))))</f>
        <v/>
      </c>
      <c r="P381" s="158">
        <f>IFERROR(INDEX(MASTER_JAM!$Z$5:$AC$10,MATCH($I381,MASTER_JAM!$Y$5:$Y$10,0),MATCH($J381,MASTER_JAM!$Z$4:$AC$4,0))+0,0)</f>
        <v/>
      </c>
      <c r="Q381" s="158">
        <f>IF($P381=0,0,$P381+IFERROR(INDEX(MASTER_JAM!$H$5:$H$94,MATCH($C381,MASTER_JAM!$A$5:$A$94,0))+0,MASTER_JAM!$AC$15)/1000*(60/MASTER_JAM!$AC$12+60/MASTER_JAM!$AC$13)+MASTER_JAM!$AC$14)</f>
        <v/>
      </c>
      <c r="R381" s="158">
        <f>IF(N($F381)=0,0,$F381/SUMIFS(INPUT_RITASE!$F$5:$F$20000,INPUT_RITASE!$A$5:$A$20000,$A381,INPUT_RITASE!$B$5:$B$20000,$B381,INPUT_RITASE!$C$5:$C$20000,$C381,INPUT_RITASE!$D$5:$D$20000,$D381))</f>
        <v/>
      </c>
      <c r="S381" s="158">
        <f>IF($Q381=0,0,$R381*$P381/$Q381)</f>
        <v/>
      </c>
    </row>
    <row r="382">
      <c r="A382" s="155" t="n">
        <v>46105</v>
      </c>
      <c r="B382" s="156" t="inlineStr">
        <is>
          <t>14-15</t>
        </is>
      </c>
      <c r="C382" s="156" t="inlineStr">
        <is>
          <t>EX-754</t>
        </is>
      </c>
      <c r="D382" s="156" t="inlineStr">
        <is>
          <t>DT-504</t>
        </is>
      </c>
      <c r="E382" s="156" t="inlineStr">
        <is>
          <t>OB</t>
        </is>
      </c>
      <c r="F382" s="156" t="n">
        <v>3</v>
      </c>
      <c r="G382" s="156" t="inlineStr"/>
      <c r="H382" s="157">
        <f>IF($B382="","",IF(ISNA(MATCH($B382,MASTER_JAM!$Q$5:$Q$28,0)),"?",IF(MATCH($B382,MASTER_JAM!$Q$5:$Q$28,0)&lt;=12,"DS","NS")))</f>
        <v/>
      </c>
      <c r="I382" s="157">
        <f>IFERROR(INDEX(MASTER_JAM!$B$5:$B$94,MATCH($C382,MASTER_JAM!$A$5:$A$94,0)),"")</f>
        <v/>
      </c>
      <c r="J382" s="157">
        <f>IFERROR(INDEX(MASTER_JAM!$E$5:$E$94,MATCH($D382,MASTER_JAM!$A$5:$A$94,0)),"")</f>
        <v/>
      </c>
      <c r="K382" s="158">
        <f>IFERROR(INDEX(MASTER_JAM!$J$5:$O$12,MATCH($E382,MASTER_JAM!$I$5:$I$12,0),MATCH($J382,MASTER_JAM!$J$4:$O$4,0))+0,0)</f>
        <v/>
      </c>
      <c r="L382" s="159">
        <f>N($F382)*$K382</f>
        <v/>
      </c>
      <c r="M382" s="157">
        <f>IF($E382="","",IF(OR($E382="Coal",$E382="Dirty Coal"),"MT","BCM"))</f>
        <v/>
      </c>
      <c r="N382" s="157">
        <f>IF($E382="","",IF(OR($E382="Coal",$E382="Dirty Coal"),"Coal","OB"))</f>
        <v/>
      </c>
      <c r="O382" s="157">
        <f>IF($F382="","",IF(COUNTIF(MASTER_JAM!$A$5:$A$94,$C382)=0,"Digger tidak dikenal",IF($J382="","Hauler tidak dikenal",IF($H382="?","Jam salah",IF($K382=0,"Faktor kosong",IF(SUMIFS(INPUT_DELAY!$E$5:$E$20000,INPUT_DELAY!$A$5:$A$20000,$A382,INPUT_DELAY!$B$5:$B$20000,$B382,INPUT_DELAY!$C$5:$C$20000,$C382)+SUMIFS(INPUT_DELAY!$E$5:$E$20000,INPUT_DELAY!$A$5:$A$20000,$A382,INPUT_DELAY!$B$5:$B$20000,$B382,INPUT_DELAY!$C$5:$C$20000,"SEMUA")&gt;=60,"Delay 60 mnt tapi ada ritase","OK"))))))</f>
        <v/>
      </c>
      <c r="P382" s="158">
        <f>IFERROR(INDEX(MASTER_JAM!$Z$5:$AC$10,MATCH($I382,MASTER_JAM!$Y$5:$Y$10,0),MATCH($J382,MASTER_JAM!$Z$4:$AC$4,0))+0,0)</f>
        <v/>
      </c>
      <c r="Q382" s="158">
        <f>IF($P382=0,0,$P382+IFERROR(INDEX(MASTER_JAM!$H$5:$H$94,MATCH($C382,MASTER_JAM!$A$5:$A$94,0))+0,MASTER_JAM!$AC$15)/1000*(60/MASTER_JAM!$AC$12+60/MASTER_JAM!$AC$13)+MASTER_JAM!$AC$14)</f>
        <v/>
      </c>
      <c r="R382" s="158">
        <f>IF(N($F382)=0,0,$F382/SUMIFS(INPUT_RITASE!$F$5:$F$20000,INPUT_RITASE!$A$5:$A$20000,$A382,INPUT_RITASE!$B$5:$B$20000,$B382,INPUT_RITASE!$C$5:$C$20000,$C382,INPUT_RITASE!$D$5:$D$20000,$D382))</f>
        <v/>
      </c>
      <c r="S382" s="158">
        <f>IF($Q382=0,0,$R382*$P382/$Q382)</f>
        <v/>
      </c>
    </row>
    <row r="383">
      <c r="A383" s="155" t="n">
        <v>46105</v>
      </c>
      <c r="B383" s="156" t="inlineStr">
        <is>
          <t>15-16</t>
        </is>
      </c>
      <c r="C383" s="156" t="inlineStr">
        <is>
          <t>EX-754</t>
        </is>
      </c>
      <c r="D383" s="156" t="inlineStr">
        <is>
          <t>DT-520</t>
        </is>
      </c>
      <c r="E383" s="156" t="inlineStr">
        <is>
          <t>OB</t>
        </is>
      </c>
      <c r="F383" s="156" t="n">
        <v>4</v>
      </c>
      <c r="G383" s="156" t="inlineStr"/>
      <c r="H383" s="157">
        <f>IF($B383="","",IF(ISNA(MATCH($B383,MASTER_JAM!$Q$5:$Q$28,0)),"?",IF(MATCH($B383,MASTER_JAM!$Q$5:$Q$28,0)&lt;=12,"DS","NS")))</f>
        <v/>
      </c>
      <c r="I383" s="157">
        <f>IFERROR(INDEX(MASTER_JAM!$B$5:$B$94,MATCH($C383,MASTER_JAM!$A$5:$A$94,0)),"")</f>
        <v/>
      </c>
      <c r="J383" s="157">
        <f>IFERROR(INDEX(MASTER_JAM!$E$5:$E$94,MATCH($D383,MASTER_JAM!$A$5:$A$94,0)),"")</f>
        <v/>
      </c>
      <c r="K383" s="158">
        <f>IFERROR(INDEX(MASTER_JAM!$J$5:$O$12,MATCH($E383,MASTER_JAM!$I$5:$I$12,0),MATCH($J383,MASTER_JAM!$J$4:$O$4,0))+0,0)</f>
        <v/>
      </c>
      <c r="L383" s="159">
        <f>N($F383)*$K383</f>
        <v/>
      </c>
      <c r="M383" s="157">
        <f>IF($E383="","",IF(OR($E383="Coal",$E383="Dirty Coal"),"MT","BCM"))</f>
        <v/>
      </c>
      <c r="N383" s="157">
        <f>IF($E383="","",IF(OR($E383="Coal",$E383="Dirty Coal"),"Coal","OB"))</f>
        <v/>
      </c>
      <c r="O383" s="157">
        <f>IF($F383="","",IF(COUNTIF(MASTER_JAM!$A$5:$A$94,$C383)=0,"Digger tidak dikenal",IF($J383="","Hauler tidak dikenal",IF($H383="?","Jam salah",IF($K383=0,"Faktor kosong",IF(SUMIFS(INPUT_DELAY!$E$5:$E$20000,INPUT_DELAY!$A$5:$A$20000,$A383,INPUT_DELAY!$B$5:$B$20000,$B383,INPUT_DELAY!$C$5:$C$20000,$C383)+SUMIFS(INPUT_DELAY!$E$5:$E$20000,INPUT_DELAY!$A$5:$A$20000,$A383,INPUT_DELAY!$B$5:$B$20000,$B383,INPUT_DELAY!$C$5:$C$20000,"SEMUA")&gt;=60,"Delay 60 mnt tapi ada ritase","OK"))))))</f>
        <v/>
      </c>
      <c r="P383" s="158">
        <f>IFERROR(INDEX(MASTER_JAM!$Z$5:$AC$10,MATCH($I383,MASTER_JAM!$Y$5:$Y$10,0),MATCH($J383,MASTER_JAM!$Z$4:$AC$4,0))+0,0)</f>
        <v/>
      </c>
      <c r="Q383" s="158">
        <f>IF($P383=0,0,$P383+IFERROR(INDEX(MASTER_JAM!$H$5:$H$94,MATCH($C383,MASTER_JAM!$A$5:$A$94,0))+0,MASTER_JAM!$AC$15)/1000*(60/MASTER_JAM!$AC$12+60/MASTER_JAM!$AC$13)+MASTER_JAM!$AC$14)</f>
        <v/>
      </c>
      <c r="R383" s="158">
        <f>IF(N($F383)=0,0,$F383/SUMIFS(INPUT_RITASE!$F$5:$F$20000,INPUT_RITASE!$A$5:$A$20000,$A383,INPUT_RITASE!$B$5:$B$20000,$B383,INPUT_RITASE!$C$5:$C$20000,$C383,INPUT_RITASE!$D$5:$D$20000,$D383))</f>
        <v/>
      </c>
      <c r="S383" s="158">
        <f>IF($Q383=0,0,$R383*$P383/$Q383)</f>
        <v/>
      </c>
    </row>
    <row r="384">
      <c r="A384" s="155" t="n">
        <v>46105</v>
      </c>
      <c r="B384" s="156" t="inlineStr">
        <is>
          <t>15-16</t>
        </is>
      </c>
      <c r="C384" s="156" t="inlineStr">
        <is>
          <t>EX-754</t>
        </is>
      </c>
      <c r="D384" s="156" t="inlineStr">
        <is>
          <t>DT-506</t>
        </is>
      </c>
      <c r="E384" s="156" t="inlineStr">
        <is>
          <t>OB</t>
        </is>
      </c>
      <c r="F384" s="156" t="n">
        <v>4</v>
      </c>
      <c r="G384" s="156" t="inlineStr"/>
      <c r="H384" s="157">
        <f>IF($B384="","",IF(ISNA(MATCH($B384,MASTER_JAM!$Q$5:$Q$28,0)),"?",IF(MATCH($B384,MASTER_JAM!$Q$5:$Q$28,0)&lt;=12,"DS","NS")))</f>
        <v/>
      </c>
      <c r="I384" s="157">
        <f>IFERROR(INDEX(MASTER_JAM!$B$5:$B$94,MATCH($C384,MASTER_JAM!$A$5:$A$94,0)),"")</f>
        <v/>
      </c>
      <c r="J384" s="157">
        <f>IFERROR(INDEX(MASTER_JAM!$E$5:$E$94,MATCH($D384,MASTER_JAM!$A$5:$A$94,0)),"")</f>
        <v/>
      </c>
      <c r="K384" s="158">
        <f>IFERROR(INDEX(MASTER_JAM!$J$5:$O$12,MATCH($E384,MASTER_JAM!$I$5:$I$12,0),MATCH($J384,MASTER_JAM!$J$4:$O$4,0))+0,0)</f>
        <v/>
      </c>
      <c r="L384" s="159">
        <f>N($F384)*$K384</f>
        <v/>
      </c>
      <c r="M384" s="157">
        <f>IF($E384="","",IF(OR($E384="Coal",$E384="Dirty Coal"),"MT","BCM"))</f>
        <v/>
      </c>
      <c r="N384" s="157">
        <f>IF($E384="","",IF(OR($E384="Coal",$E384="Dirty Coal"),"Coal","OB"))</f>
        <v/>
      </c>
      <c r="O384" s="157">
        <f>IF($F384="","",IF(COUNTIF(MASTER_JAM!$A$5:$A$94,$C384)=0,"Digger tidak dikenal",IF($J384="","Hauler tidak dikenal",IF($H384="?","Jam salah",IF($K384=0,"Faktor kosong",IF(SUMIFS(INPUT_DELAY!$E$5:$E$20000,INPUT_DELAY!$A$5:$A$20000,$A384,INPUT_DELAY!$B$5:$B$20000,$B384,INPUT_DELAY!$C$5:$C$20000,$C384)+SUMIFS(INPUT_DELAY!$E$5:$E$20000,INPUT_DELAY!$A$5:$A$20000,$A384,INPUT_DELAY!$B$5:$B$20000,$B384,INPUT_DELAY!$C$5:$C$20000,"SEMUA")&gt;=60,"Delay 60 mnt tapi ada ritase","OK"))))))</f>
        <v/>
      </c>
      <c r="P384" s="158">
        <f>IFERROR(INDEX(MASTER_JAM!$Z$5:$AC$10,MATCH($I384,MASTER_JAM!$Y$5:$Y$10,0),MATCH($J384,MASTER_JAM!$Z$4:$AC$4,0))+0,0)</f>
        <v/>
      </c>
      <c r="Q384" s="158">
        <f>IF($P384=0,0,$P384+IFERROR(INDEX(MASTER_JAM!$H$5:$H$94,MATCH($C384,MASTER_JAM!$A$5:$A$94,0))+0,MASTER_JAM!$AC$15)/1000*(60/MASTER_JAM!$AC$12+60/MASTER_JAM!$AC$13)+MASTER_JAM!$AC$14)</f>
        <v/>
      </c>
      <c r="R384" s="158">
        <f>IF(N($F384)=0,0,$F384/SUMIFS(INPUT_RITASE!$F$5:$F$20000,INPUT_RITASE!$A$5:$A$20000,$A384,INPUT_RITASE!$B$5:$B$20000,$B384,INPUT_RITASE!$C$5:$C$20000,$C384,INPUT_RITASE!$D$5:$D$20000,$D384))</f>
        <v/>
      </c>
      <c r="S384" s="158">
        <f>IF($Q384=0,0,$R384*$P384/$Q384)</f>
        <v/>
      </c>
    </row>
    <row r="385">
      <c r="A385" s="155" t="n">
        <v>46105</v>
      </c>
      <c r="B385" s="156" t="inlineStr">
        <is>
          <t>15-16</t>
        </is>
      </c>
      <c r="C385" s="156" t="inlineStr">
        <is>
          <t>EX-754</t>
        </is>
      </c>
      <c r="D385" s="156" t="inlineStr">
        <is>
          <t>DT-502</t>
        </is>
      </c>
      <c r="E385" s="156" t="inlineStr">
        <is>
          <t>OB</t>
        </is>
      </c>
      <c r="F385" s="156" t="n">
        <v>4</v>
      </c>
      <c r="G385" s="156" t="inlineStr"/>
      <c r="H385" s="157">
        <f>IF($B385="","",IF(ISNA(MATCH($B385,MASTER_JAM!$Q$5:$Q$28,0)),"?",IF(MATCH($B385,MASTER_JAM!$Q$5:$Q$28,0)&lt;=12,"DS","NS")))</f>
        <v/>
      </c>
      <c r="I385" s="157">
        <f>IFERROR(INDEX(MASTER_JAM!$B$5:$B$94,MATCH($C385,MASTER_JAM!$A$5:$A$94,0)),"")</f>
        <v/>
      </c>
      <c r="J385" s="157">
        <f>IFERROR(INDEX(MASTER_JAM!$E$5:$E$94,MATCH($D385,MASTER_JAM!$A$5:$A$94,0)),"")</f>
        <v/>
      </c>
      <c r="K385" s="158">
        <f>IFERROR(INDEX(MASTER_JAM!$J$5:$O$12,MATCH($E385,MASTER_JAM!$I$5:$I$12,0),MATCH($J385,MASTER_JAM!$J$4:$O$4,0))+0,0)</f>
        <v/>
      </c>
      <c r="L385" s="159">
        <f>N($F385)*$K385</f>
        <v/>
      </c>
      <c r="M385" s="157">
        <f>IF($E385="","",IF(OR($E385="Coal",$E385="Dirty Coal"),"MT","BCM"))</f>
        <v/>
      </c>
      <c r="N385" s="157">
        <f>IF($E385="","",IF(OR($E385="Coal",$E385="Dirty Coal"),"Coal","OB"))</f>
        <v/>
      </c>
      <c r="O385" s="157">
        <f>IF($F385="","",IF(COUNTIF(MASTER_JAM!$A$5:$A$94,$C385)=0,"Digger tidak dikenal",IF($J385="","Hauler tidak dikenal",IF($H385="?","Jam salah",IF($K385=0,"Faktor kosong",IF(SUMIFS(INPUT_DELAY!$E$5:$E$20000,INPUT_DELAY!$A$5:$A$20000,$A385,INPUT_DELAY!$B$5:$B$20000,$B385,INPUT_DELAY!$C$5:$C$20000,$C385)+SUMIFS(INPUT_DELAY!$E$5:$E$20000,INPUT_DELAY!$A$5:$A$20000,$A385,INPUT_DELAY!$B$5:$B$20000,$B385,INPUT_DELAY!$C$5:$C$20000,"SEMUA")&gt;=60,"Delay 60 mnt tapi ada ritase","OK"))))))</f>
        <v/>
      </c>
      <c r="P385" s="158">
        <f>IFERROR(INDEX(MASTER_JAM!$Z$5:$AC$10,MATCH($I385,MASTER_JAM!$Y$5:$Y$10,0),MATCH($J385,MASTER_JAM!$Z$4:$AC$4,0))+0,0)</f>
        <v/>
      </c>
      <c r="Q385" s="158">
        <f>IF($P385=0,0,$P385+IFERROR(INDEX(MASTER_JAM!$H$5:$H$94,MATCH($C385,MASTER_JAM!$A$5:$A$94,0))+0,MASTER_JAM!$AC$15)/1000*(60/MASTER_JAM!$AC$12+60/MASTER_JAM!$AC$13)+MASTER_JAM!$AC$14)</f>
        <v/>
      </c>
      <c r="R385" s="158">
        <f>IF(N($F385)=0,0,$F385/SUMIFS(INPUT_RITASE!$F$5:$F$20000,INPUT_RITASE!$A$5:$A$20000,$A385,INPUT_RITASE!$B$5:$B$20000,$B385,INPUT_RITASE!$C$5:$C$20000,$C385,INPUT_RITASE!$D$5:$D$20000,$D385))</f>
        <v/>
      </c>
      <c r="S385" s="158">
        <f>IF($Q385=0,0,$R385*$P385/$Q385)</f>
        <v/>
      </c>
    </row>
    <row r="386">
      <c r="A386" s="155" t="n">
        <v>46105</v>
      </c>
      <c r="B386" s="156" t="inlineStr">
        <is>
          <t>15-16</t>
        </is>
      </c>
      <c r="C386" s="156" t="inlineStr">
        <is>
          <t>EX-754</t>
        </is>
      </c>
      <c r="D386" s="156" t="inlineStr">
        <is>
          <t>DT-527</t>
        </is>
      </c>
      <c r="E386" s="156" t="inlineStr">
        <is>
          <t>OB</t>
        </is>
      </c>
      <c r="F386" s="156" t="n">
        <v>4</v>
      </c>
      <c r="G386" s="156" t="inlineStr"/>
      <c r="H386" s="157">
        <f>IF($B386="","",IF(ISNA(MATCH($B386,MASTER_JAM!$Q$5:$Q$28,0)),"?",IF(MATCH($B386,MASTER_JAM!$Q$5:$Q$28,0)&lt;=12,"DS","NS")))</f>
        <v/>
      </c>
      <c r="I386" s="157">
        <f>IFERROR(INDEX(MASTER_JAM!$B$5:$B$94,MATCH($C386,MASTER_JAM!$A$5:$A$94,0)),"")</f>
        <v/>
      </c>
      <c r="J386" s="157">
        <f>IFERROR(INDEX(MASTER_JAM!$E$5:$E$94,MATCH($D386,MASTER_JAM!$A$5:$A$94,0)),"")</f>
        <v/>
      </c>
      <c r="K386" s="158">
        <f>IFERROR(INDEX(MASTER_JAM!$J$5:$O$12,MATCH($E386,MASTER_JAM!$I$5:$I$12,0),MATCH($J386,MASTER_JAM!$J$4:$O$4,0))+0,0)</f>
        <v/>
      </c>
      <c r="L386" s="159">
        <f>N($F386)*$K386</f>
        <v/>
      </c>
      <c r="M386" s="157">
        <f>IF($E386="","",IF(OR($E386="Coal",$E386="Dirty Coal"),"MT","BCM"))</f>
        <v/>
      </c>
      <c r="N386" s="157">
        <f>IF($E386="","",IF(OR($E386="Coal",$E386="Dirty Coal"),"Coal","OB"))</f>
        <v/>
      </c>
      <c r="O386" s="157">
        <f>IF($F386="","",IF(COUNTIF(MASTER_JAM!$A$5:$A$94,$C386)=0,"Digger tidak dikenal",IF($J386="","Hauler tidak dikenal",IF($H386="?","Jam salah",IF($K386=0,"Faktor kosong",IF(SUMIFS(INPUT_DELAY!$E$5:$E$20000,INPUT_DELAY!$A$5:$A$20000,$A386,INPUT_DELAY!$B$5:$B$20000,$B386,INPUT_DELAY!$C$5:$C$20000,$C386)+SUMIFS(INPUT_DELAY!$E$5:$E$20000,INPUT_DELAY!$A$5:$A$20000,$A386,INPUT_DELAY!$B$5:$B$20000,$B386,INPUT_DELAY!$C$5:$C$20000,"SEMUA")&gt;=60,"Delay 60 mnt tapi ada ritase","OK"))))))</f>
        <v/>
      </c>
      <c r="P386" s="158">
        <f>IFERROR(INDEX(MASTER_JAM!$Z$5:$AC$10,MATCH($I386,MASTER_JAM!$Y$5:$Y$10,0),MATCH($J386,MASTER_JAM!$Z$4:$AC$4,0))+0,0)</f>
        <v/>
      </c>
      <c r="Q386" s="158">
        <f>IF($P386=0,0,$P386+IFERROR(INDEX(MASTER_JAM!$H$5:$H$94,MATCH($C386,MASTER_JAM!$A$5:$A$94,0))+0,MASTER_JAM!$AC$15)/1000*(60/MASTER_JAM!$AC$12+60/MASTER_JAM!$AC$13)+MASTER_JAM!$AC$14)</f>
        <v/>
      </c>
      <c r="R386" s="158">
        <f>IF(N($F386)=0,0,$F386/SUMIFS(INPUT_RITASE!$F$5:$F$20000,INPUT_RITASE!$A$5:$A$20000,$A386,INPUT_RITASE!$B$5:$B$20000,$B386,INPUT_RITASE!$C$5:$C$20000,$C386,INPUT_RITASE!$D$5:$D$20000,$D386))</f>
        <v/>
      </c>
      <c r="S386" s="158">
        <f>IF($Q386=0,0,$R386*$P386/$Q386)</f>
        <v/>
      </c>
    </row>
    <row r="387">
      <c r="A387" s="155" t="n">
        <v>46105</v>
      </c>
      <c r="B387" s="156" t="inlineStr">
        <is>
          <t>16-17</t>
        </is>
      </c>
      <c r="C387" s="156" t="inlineStr">
        <is>
          <t>EX-754</t>
        </is>
      </c>
      <c r="D387" s="156" t="inlineStr">
        <is>
          <t>DT-529</t>
        </is>
      </c>
      <c r="E387" s="156" t="inlineStr">
        <is>
          <t>OB</t>
        </is>
      </c>
      <c r="F387" s="156" t="n">
        <v>4</v>
      </c>
      <c r="G387" s="156" t="inlineStr"/>
      <c r="H387" s="157">
        <f>IF($B387="","",IF(ISNA(MATCH($B387,MASTER_JAM!$Q$5:$Q$28,0)),"?",IF(MATCH($B387,MASTER_JAM!$Q$5:$Q$28,0)&lt;=12,"DS","NS")))</f>
        <v/>
      </c>
      <c r="I387" s="157">
        <f>IFERROR(INDEX(MASTER_JAM!$B$5:$B$94,MATCH($C387,MASTER_JAM!$A$5:$A$94,0)),"")</f>
        <v/>
      </c>
      <c r="J387" s="157">
        <f>IFERROR(INDEX(MASTER_JAM!$E$5:$E$94,MATCH($D387,MASTER_JAM!$A$5:$A$94,0)),"")</f>
        <v/>
      </c>
      <c r="K387" s="158">
        <f>IFERROR(INDEX(MASTER_JAM!$J$5:$O$12,MATCH($E387,MASTER_JAM!$I$5:$I$12,0),MATCH($J387,MASTER_JAM!$J$4:$O$4,0))+0,0)</f>
        <v/>
      </c>
      <c r="L387" s="159">
        <f>N($F387)*$K387</f>
        <v/>
      </c>
      <c r="M387" s="157">
        <f>IF($E387="","",IF(OR($E387="Coal",$E387="Dirty Coal"),"MT","BCM"))</f>
        <v/>
      </c>
      <c r="N387" s="157">
        <f>IF($E387="","",IF(OR($E387="Coal",$E387="Dirty Coal"),"Coal","OB"))</f>
        <v/>
      </c>
      <c r="O387" s="157">
        <f>IF($F387="","",IF(COUNTIF(MASTER_JAM!$A$5:$A$94,$C387)=0,"Digger tidak dikenal",IF($J387="","Hauler tidak dikenal",IF($H387="?","Jam salah",IF($K387=0,"Faktor kosong",IF(SUMIFS(INPUT_DELAY!$E$5:$E$20000,INPUT_DELAY!$A$5:$A$20000,$A387,INPUT_DELAY!$B$5:$B$20000,$B387,INPUT_DELAY!$C$5:$C$20000,$C387)+SUMIFS(INPUT_DELAY!$E$5:$E$20000,INPUT_DELAY!$A$5:$A$20000,$A387,INPUT_DELAY!$B$5:$B$20000,$B387,INPUT_DELAY!$C$5:$C$20000,"SEMUA")&gt;=60,"Delay 60 mnt tapi ada ritase","OK"))))))</f>
        <v/>
      </c>
      <c r="P387" s="158">
        <f>IFERROR(INDEX(MASTER_JAM!$Z$5:$AC$10,MATCH($I387,MASTER_JAM!$Y$5:$Y$10,0),MATCH($J387,MASTER_JAM!$Z$4:$AC$4,0))+0,0)</f>
        <v/>
      </c>
      <c r="Q387" s="158">
        <f>IF($P387=0,0,$P387+IFERROR(INDEX(MASTER_JAM!$H$5:$H$94,MATCH($C387,MASTER_JAM!$A$5:$A$94,0))+0,MASTER_JAM!$AC$15)/1000*(60/MASTER_JAM!$AC$12+60/MASTER_JAM!$AC$13)+MASTER_JAM!$AC$14)</f>
        <v/>
      </c>
      <c r="R387" s="158">
        <f>IF(N($F387)=0,0,$F387/SUMIFS(INPUT_RITASE!$F$5:$F$20000,INPUT_RITASE!$A$5:$A$20000,$A387,INPUT_RITASE!$B$5:$B$20000,$B387,INPUT_RITASE!$C$5:$C$20000,$C387,INPUT_RITASE!$D$5:$D$20000,$D387))</f>
        <v/>
      </c>
      <c r="S387" s="158">
        <f>IF($Q387=0,0,$R387*$P387/$Q387)</f>
        <v/>
      </c>
    </row>
    <row r="388">
      <c r="A388" s="155" t="n">
        <v>46105</v>
      </c>
      <c r="B388" s="156" t="inlineStr">
        <is>
          <t>16-17</t>
        </is>
      </c>
      <c r="C388" s="156" t="inlineStr">
        <is>
          <t>EX-754</t>
        </is>
      </c>
      <c r="D388" s="156" t="inlineStr">
        <is>
          <t>DT-510</t>
        </is>
      </c>
      <c r="E388" s="156" t="inlineStr">
        <is>
          <t>OB</t>
        </is>
      </c>
      <c r="F388" s="156" t="n">
        <v>4</v>
      </c>
      <c r="G388" s="156" t="inlineStr"/>
      <c r="H388" s="157">
        <f>IF($B388="","",IF(ISNA(MATCH($B388,MASTER_JAM!$Q$5:$Q$28,0)),"?",IF(MATCH($B388,MASTER_JAM!$Q$5:$Q$28,0)&lt;=12,"DS","NS")))</f>
        <v/>
      </c>
      <c r="I388" s="157">
        <f>IFERROR(INDEX(MASTER_JAM!$B$5:$B$94,MATCH($C388,MASTER_JAM!$A$5:$A$94,0)),"")</f>
        <v/>
      </c>
      <c r="J388" s="157">
        <f>IFERROR(INDEX(MASTER_JAM!$E$5:$E$94,MATCH($D388,MASTER_JAM!$A$5:$A$94,0)),"")</f>
        <v/>
      </c>
      <c r="K388" s="158">
        <f>IFERROR(INDEX(MASTER_JAM!$J$5:$O$12,MATCH($E388,MASTER_JAM!$I$5:$I$12,0),MATCH($J388,MASTER_JAM!$J$4:$O$4,0))+0,0)</f>
        <v/>
      </c>
      <c r="L388" s="159">
        <f>N($F388)*$K388</f>
        <v/>
      </c>
      <c r="M388" s="157">
        <f>IF($E388="","",IF(OR($E388="Coal",$E388="Dirty Coal"),"MT","BCM"))</f>
        <v/>
      </c>
      <c r="N388" s="157">
        <f>IF($E388="","",IF(OR($E388="Coal",$E388="Dirty Coal"),"Coal","OB"))</f>
        <v/>
      </c>
      <c r="O388" s="157">
        <f>IF($F388="","",IF(COUNTIF(MASTER_JAM!$A$5:$A$94,$C388)=0,"Digger tidak dikenal",IF($J388="","Hauler tidak dikenal",IF($H388="?","Jam salah",IF($K388=0,"Faktor kosong",IF(SUMIFS(INPUT_DELAY!$E$5:$E$20000,INPUT_DELAY!$A$5:$A$20000,$A388,INPUT_DELAY!$B$5:$B$20000,$B388,INPUT_DELAY!$C$5:$C$20000,$C388)+SUMIFS(INPUT_DELAY!$E$5:$E$20000,INPUT_DELAY!$A$5:$A$20000,$A388,INPUT_DELAY!$B$5:$B$20000,$B388,INPUT_DELAY!$C$5:$C$20000,"SEMUA")&gt;=60,"Delay 60 mnt tapi ada ritase","OK"))))))</f>
        <v/>
      </c>
      <c r="P388" s="158">
        <f>IFERROR(INDEX(MASTER_JAM!$Z$5:$AC$10,MATCH($I388,MASTER_JAM!$Y$5:$Y$10,0),MATCH($J388,MASTER_JAM!$Z$4:$AC$4,0))+0,0)</f>
        <v/>
      </c>
      <c r="Q388" s="158">
        <f>IF($P388=0,0,$P388+IFERROR(INDEX(MASTER_JAM!$H$5:$H$94,MATCH($C388,MASTER_JAM!$A$5:$A$94,0))+0,MASTER_JAM!$AC$15)/1000*(60/MASTER_JAM!$AC$12+60/MASTER_JAM!$AC$13)+MASTER_JAM!$AC$14)</f>
        <v/>
      </c>
      <c r="R388" s="158">
        <f>IF(N($F388)=0,0,$F388/SUMIFS(INPUT_RITASE!$F$5:$F$20000,INPUT_RITASE!$A$5:$A$20000,$A388,INPUT_RITASE!$B$5:$B$20000,$B388,INPUT_RITASE!$C$5:$C$20000,$C388,INPUT_RITASE!$D$5:$D$20000,$D388))</f>
        <v/>
      </c>
      <c r="S388" s="158">
        <f>IF($Q388=0,0,$R388*$P388/$Q388)</f>
        <v/>
      </c>
    </row>
    <row r="389">
      <c r="A389" s="155" t="n">
        <v>46105</v>
      </c>
      <c r="B389" s="156" t="inlineStr">
        <is>
          <t>16-17</t>
        </is>
      </c>
      <c r="C389" s="156" t="inlineStr">
        <is>
          <t>EX-754</t>
        </is>
      </c>
      <c r="D389" s="156" t="inlineStr">
        <is>
          <t>DT-505</t>
        </is>
      </c>
      <c r="E389" s="156" t="inlineStr">
        <is>
          <t>OB</t>
        </is>
      </c>
      <c r="F389" s="156" t="n">
        <v>4</v>
      </c>
      <c r="G389" s="156" t="inlineStr"/>
      <c r="H389" s="157">
        <f>IF($B389="","",IF(ISNA(MATCH($B389,MASTER_JAM!$Q$5:$Q$28,0)),"?",IF(MATCH($B389,MASTER_JAM!$Q$5:$Q$28,0)&lt;=12,"DS","NS")))</f>
        <v/>
      </c>
      <c r="I389" s="157">
        <f>IFERROR(INDEX(MASTER_JAM!$B$5:$B$94,MATCH($C389,MASTER_JAM!$A$5:$A$94,0)),"")</f>
        <v/>
      </c>
      <c r="J389" s="157">
        <f>IFERROR(INDEX(MASTER_JAM!$E$5:$E$94,MATCH($D389,MASTER_JAM!$A$5:$A$94,0)),"")</f>
        <v/>
      </c>
      <c r="K389" s="158">
        <f>IFERROR(INDEX(MASTER_JAM!$J$5:$O$12,MATCH($E389,MASTER_JAM!$I$5:$I$12,0),MATCH($J389,MASTER_JAM!$J$4:$O$4,0))+0,0)</f>
        <v/>
      </c>
      <c r="L389" s="159">
        <f>N($F389)*$K389</f>
        <v/>
      </c>
      <c r="M389" s="157">
        <f>IF($E389="","",IF(OR($E389="Coal",$E389="Dirty Coal"),"MT","BCM"))</f>
        <v/>
      </c>
      <c r="N389" s="157">
        <f>IF($E389="","",IF(OR($E389="Coal",$E389="Dirty Coal"),"Coal","OB"))</f>
        <v/>
      </c>
      <c r="O389" s="157">
        <f>IF($F389="","",IF(COUNTIF(MASTER_JAM!$A$5:$A$94,$C389)=0,"Digger tidak dikenal",IF($J389="","Hauler tidak dikenal",IF($H389="?","Jam salah",IF($K389=0,"Faktor kosong",IF(SUMIFS(INPUT_DELAY!$E$5:$E$20000,INPUT_DELAY!$A$5:$A$20000,$A389,INPUT_DELAY!$B$5:$B$20000,$B389,INPUT_DELAY!$C$5:$C$20000,$C389)+SUMIFS(INPUT_DELAY!$E$5:$E$20000,INPUT_DELAY!$A$5:$A$20000,$A389,INPUT_DELAY!$B$5:$B$20000,$B389,INPUT_DELAY!$C$5:$C$20000,"SEMUA")&gt;=60,"Delay 60 mnt tapi ada ritase","OK"))))))</f>
        <v/>
      </c>
      <c r="P389" s="158">
        <f>IFERROR(INDEX(MASTER_JAM!$Z$5:$AC$10,MATCH($I389,MASTER_JAM!$Y$5:$Y$10,0),MATCH($J389,MASTER_JAM!$Z$4:$AC$4,0))+0,0)</f>
        <v/>
      </c>
      <c r="Q389" s="158">
        <f>IF($P389=0,0,$P389+IFERROR(INDEX(MASTER_JAM!$H$5:$H$94,MATCH($C389,MASTER_JAM!$A$5:$A$94,0))+0,MASTER_JAM!$AC$15)/1000*(60/MASTER_JAM!$AC$12+60/MASTER_JAM!$AC$13)+MASTER_JAM!$AC$14)</f>
        <v/>
      </c>
      <c r="R389" s="158">
        <f>IF(N($F389)=0,0,$F389/SUMIFS(INPUT_RITASE!$F$5:$F$20000,INPUT_RITASE!$A$5:$A$20000,$A389,INPUT_RITASE!$B$5:$B$20000,$B389,INPUT_RITASE!$C$5:$C$20000,$C389,INPUT_RITASE!$D$5:$D$20000,$D389))</f>
        <v/>
      </c>
      <c r="S389" s="158">
        <f>IF($Q389=0,0,$R389*$P389/$Q389)</f>
        <v/>
      </c>
    </row>
    <row r="390">
      <c r="A390" s="155" t="n">
        <v>46105</v>
      </c>
      <c r="B390" s="156" t="inlineStr">
        <is>
          <t>16-17</t>
        </is>
      </c>
      <c r="C390" s="156" t="inlineStr">
        <is>
          <t>EX-754</t>
        </is>
      </c>
      <c r="D390" s="156" t="inlineStr">
        <is>
          <t>DT-502</t>
        </is>
      </c>
      <c r="E390" s="156" t="inlineStr">
        <is>
          <t>OB</t>
        </is>
      </c>
      <c r="F390" s="156" t="n">
        <v>3</v>
      </c>
      <c r="G390" s="156" t="inlineStr"/>
      <c r="H390" s="157">
        <f>IF($B390="","",IF(ISNA(MATCH($B390,MASTER_JAM!$Q$5:$Q$28,0)),"?",IF(MATCH($B390,MASTER_JAM!$Q$5:$Q$28,0)&lt;=12,"DS","NS")))</f>
        <v/>
      </c>
      <c r="I390" s="157">
        <f>IFERROR(INDEX(MASTER_JAM!$B$5:$B$94,MATCH($C390,MASTER_JAM!$A$5:$A$94,0)),"")</f>
        <v/>
      </c>
      <c r="J390" s="157">
        <f>IFERROR(INDEX(MASTER_JAM!$E$5:$E$94,MATCH($D390,MASTER_JAM!$A$5:$A$94,0)),"")</f>
        <v/>
      </c>
      <c r="K390" s="158">
        <f>IFERROR(INDEX(MASTER_JAM!$J$5:$O$12,MATCH($E390,MASTER_JAM!$I$5:$I$12,0),MATCH($J390,MASTER_JAM!$J$4:$O$4,0))+0,0)</f>
        <v/>
      </c>
      <c r="L390" s="159">
        <f>N($F390)*$K390</f>
        <v/>
      </c>
      <c r="M390" s="157">
        <f>IF($E390="","",IF(OR($E390="Coal",$E390="Dirty Coal"),"MT","BCM"))</f>
        <v/>
      </c>
      <c r="N390" s="157">
        <f>IF($E390="","",IF(OR($E390="Coal",$E390="Dirty Coal"),"Coal","OB"))</f>
        <v/>
      </c>
      <c r="O390" s="157">
        <f>IF($F390="","",IF(COUNTIF(MASTER_JAM!$A$5:$A$94,$C390)=0,"Digger tidak dikenal",IF($J390="","Hauler tidak dikenal",IF($H390="?","Jam salah",IF($K390=0,"Faktor kosong",IF(SUMIFS(INPUT_DELAY!$E$5:$E$20000,INPUT_DELAY!$A$5:$A$20000,$A390,INPUT_DELAY!$B$5:$B$20000,$B390,INPUT_DELAY!$C$5:$C$20000,$C390)+SUMIFS(INPUT_DELAY!$E$5:$E$20000,INPUT_DELAY!$A$5:$A$20000,$A390,INPUT_DELAY!$B$5:$B$20000,$B390,INPUT_DELAY!$C$5:$C$20000,"SEMUA")&gt;=60,"Delay 60 mnt tapi ada ritase","OK"))))))</f>
        <v/>
      </c>
      <c r="P390" s="158">
        <f>IFERROR(INDEX(MASTER_JAM!$Z$5:$AC$10,MATCH($I390,MASTER_JAM!$Y$5:$Y$10,0),MATCH($J390,MASTER_JAM!$Z$4:$AC$4,0))+0,0)</f>
        <v/>
      </c>
      <c r="Q390" s="158">
        <f>IF($P390=0,0,$P390+IFERROR(INDEX(MASTER_JAM!$H$5:$H$94,MATCH($C390,MASTER_JAM!$A$5:$A$94,0))+0,MASTER_JAM!$AC$15)/1000*(60/MASTER_JAM!$AC$12+60/MASTER_JAM!$AC$13)+MASTER_JAM!$AC$14)</f>
        <v/>
      </c>
      <c r="R390" s="158">
        <f>IF(N($F390)=0,0,$F390/SUMIFS(INPUT_RITASE!$F$5:$F$20000,INPUT_RITASE!$A$5:$A$20000,$A390,INPUT_RITASE!$B$5:$B$20000,$B390,INPUT_RITASE!$C$5:$C$20000,$C390,INPUT_RITASE!$D$5:$D$20000,$D390))</f>
        <v/>
      </c>
      <c r="S390" s="158">
        <f>IF($Q390=0,0,$R390*$P390/$Q390)</f>
        <v/>
      </c>
    </row>
    <row r="391">
      <c r="A391" s="155" t="n">
        <v>46105</v>
      </c>
      <c r="B391" s="156" t="inlineStr">
        <is>
          <t>17-18</t>
        </is>
      </c>
      <c r="C391" s="156" t="inlineStr">
        <is>
          <t>EX-754</t>
        </is>
      </c>
      <c r="D391" s="156" t="inlineStr">
        <is>
          <t>DT-529</t>
        </is>
      </c>
      <c r="E391" s="156" t="inlineStr">
        <is>
          <t>OB</t>
        </is>
      </c>
      <c r="F391" s="156" t="n">
        <v>4</v>
      </c>
      <c r="G391" s="156" t="inlineStr"/>
      <c r="H391" s="157">
        <f>IF($B391="","",IF(ISNA(MATCH($B391,MASTER_JAM!$Q$5:$Q$28,0)),"?",IF(MATCH($B391,MASTER_JAM!$Q$5:$Q$28,0)&lt;=12,"DS","NS")))</f>
        <v/>
      </c>
      <c r="I391" s="157">
        <f>IFERROR(INDEX(MASTER_JAM!$B$5:$B$94,MATCH($C391,MASTER_JAM!$A$5:$A$94,0)),"")</f>
        <v/>
      </c>
      <c r="J391" s="157">
        <f>IFERROR(INDEX(MASTER_JAM!$E$5:$E$94,MATCH($D391,MASTER_JAM!$A$5:$A$94,0)),"")</f>
        <v/>
      </c>
      <c r="K391" s="158">
        <f>IFERROR(INDEX(MASTER_JAM!$J$5:$O$12,MATCH($E391,MASTER_JAM!$I$5:$I$12,0),MATCH($J391,MASTER_JAM!$J$4:$O$4,0))+0,0)</f>
        <v/>
      </c>
      <c r="L391" s="159">
        <f>N($F391)*$K391</f>
        <v/>
      </c>
      <c r="M391" s="157">
        <f>IF($E391="","",IF(OR($E391="Coal",$E391="Dirty Coal"),"MT","BCM"))</f>
        <v/>
      </c>
      <c r="N391" s="157">
        <f>IF($E391="","",IF(OR($E391="Coal",$E391="Dirty Coal"),"Coal","OB"))</f>
        <v/>
      </c>
      <c r="O391" s="157">
        <f>IF($F391="","",IF(COUNTIF(MASTER_JAM!$A$5:$A$94,$C391)=0,"Digger tidak dikenal",IF($J391="","Hauler tidak dikenal",IF($H391="?","Jam salah",IF($K391=0,"Faktor kosong",IF(SUMIFS(INPUT_DELAY!$E$5:$E$20000,INPUT_DELAY!$A$5:$A$20000,$A391,INPUT_DELAY!$B$5:$B$20000,$B391,INPUT_DELAY!$C$5:$C$20000,$C391)+SUMIFS(INPUT_DELAY!$E$5:$E$20000,INPUT_DELAY!$A$5:$A$20000,$A391,INPUT_DELAY!$B$5:$B$20000,$B391,INPUT_DELAY!$C$5:$C$20000,"SEMUA")&gt;=60,"Delay 60 mnt tapi ada ritase","OK"))))))</f>
        <v/>
      </c>
      <c r="P391" s="158">
        <f>IFERROR(INDEX(MASTER_JAM!$Z$5:$AC$10,MATCH($I391,MASTER_JAM!$Y$5:$Y$10,0),MATCH($J391,MASTER_JAM!$Z$4:$AC$4,0))+0,0)</f>
        <v/>
      </c>
      <c r="Q391" s="158">
        <f>IF($P391=0,0,$P391+IFERROR(INDEX(MASTER_JAM!$H$5:$H$94,MATCH($C391,MASTER_JAM!$A$5:$A$94,0))+0,MASTER_JAM!$AC$15)/1000*(60/MASTER_JAM!$AC$12+60/MASTER_JAM!$AC$13)+MASTER_JAM!$AC$14)</f>
        <v/>
      </c>
      <c r="R391" s="158">
        <f>IF(N($F391)=0,0,$F391/SUMIFS(INPUT_RITASE!$F$5:$F$20000,INPUT_RITASE!$A$5:$A$20000,$A391,INPUT_RITASE!$B$5:$B$20000,$B391,INPUT_RITASE!$C$5:$C$20000,$C391,INPUT_RITASE!$D$5:$D$20000,$D391))</f>
        <v/>
      </c>
      <c r="S391" s="158">
        <f>IF($Q391=0,0,$R391*$P391/$Q391)</f>
        <v/>
      </c>
    </row>
    <row r="392">
      <c r="A392" s="155" t="n">
        <v>46105</v>
      </c>
      <c r="B392" s="156" t="inlineStr">
        <is>
          <t>17-18</t>
        </is>
      </c>
      <c r="C392" s="156" t="inlineStr">
        <is>
          <t>EX-754</t>
        </is>
      </c>
      <c r="D392" s="156" t="inlineStr">
        <is>
          <t>DT-501</t>
        </is>
      </c>
      <c r="E392" s="156" t="inlineStr">
        <is>
          <t>OB</t>
        </is>
      </c>
      <c r="F392" s="156" t="n">
        <v>4</v>
      </c>
      <c r="G392" s="156" t="inlineStr"/>
      <c r="H392" s="157">
        <f>IF($B392="","",IF(ISNA(MATCH($B392,MASTER_JAM!$Q$5:$Q$28,0)),"?",IF(MATCH($B392,MASTER_JAM!$Q$5:$Q$28,0)&lt;=12,"DS","NS")))</f>
        <v/>
      </c>
      <c r="I392" s="157">
        <f>IFERROR(INDEX(MASTER_JAM!$B$5:$B$94,MATCH($C392,MASTER_JAM!$A$5:$A$94,0)),"")</f>
        <v/>
      </c>
      <c r="J392" s="157">
        <f>IFERROR(INDEX(MASTER_JAM!$E$5:$E$94,MATCH($D392,MASTER_JAM!$A$5:$A$94,0)),"")</f>
        <v/>
      </c>
      <c r="K392" s="158">
        <f>IFERROR(INDEX(MASTER_JAM!$J$5:$O$12,MATCH($E392,MASTER_JAM!$I$5:$I$12,0),MATCH($J392,MASTER_JAM!$J$4:$O$4,0))+0,0)</f>
        <v/>
      </c>
      <c r="L392" s="159">
        <f>N($F392)*$K392</f>
        <v/>
      </c>
      <c r="M392" s="157">
        <f>IF($E392="","",IF(OR($E392="Coal",$E392="Dirty Coal"),"MT","BCM"))</f>
        <v/>
      </c>
      <c r="N392" s="157">
        <f>IF($E392="","",IF(OR($E392="Coal",$E392="Dirty Coal"),"Coal","OB"))</f>
        <v/>
      </c>
      <c r="O392" s="157">
        <f>IF($F392="","",IF(COUNTIF(MASTER_JAM!$A$5:$A$94,$C392)=0,"Digger tidak dikenal",IF($J392="","Hauler tidak dikenal",IF($H392="?","Jam salah",IF($K392=0,"Faktor kosong",IF(SUMIFS(INPUT_DELAY!$E$5:$E$20000,INPUT_DELAY!$A$5:$A$20000,$A392,INPUT_DELAY!$B$5:$B$20000,$B392,INPUT_DELAY!$C$5:$C$20000,$C392)+SUMIFS(INPUT_DELAY!$E$5:$E$20000,INPUT_DELAY!$A$5:$A$20000,$A392,INPUT_DELAY!$B$5:$B$20000,$B392,INPUT_DELAY!$C$5:$C$20000,"SEMUA")&gt;=60,"Delay 60 mnt tapi ada ritase","OK"))))))</f>
        <v/>
      </c>
      <c r="P392" s="158">
        <f>IFERROR(INDEX(MASTER_JAM!$Z$5:$AC$10,MATCH($I392,MASTER_JAM!$Y$5:$Y$10,0),MATCH($J392,MASTER_JAM!$Z$4:$AC$4,0))+0,0)</f>
        <v/>
      </c>
      <c r="Q392" s="158">
        <f>IF($P392=0,0,$P392+IFERROR(INDEX(MASTER_JAM!$H$5:$H$94,MATCH($C392,MASTER_JAM!$A$5:$A$94,0))+0,MASTER_JAM!$AC$15)/1000*(60/MASTER_JAM!$AC$12+60/MASTER_JAM!$AC$13)+MASTER_JAM!$AC$14)</f>
        <v/>
      </c>
      <c r="R392" s="158">
        <f>IF(N($F392)=0,0,$F392/SUMIFS(INPUT_RITASE!$F$5:$F$20000,INPUT_RITASE!$A$5:$A$20000,$A392,INPUT_RITASE!$B$5:$B$20000,$B392,INPUT_RITASE!$C$5:$C$20000,$C392,INPUT_RITASE!$D$5:$D$20000,$D392))</f>
        <v/>
      </c>
      <c r="S392" s="158">
        <f>IF($Q392=0,0,$R392*$P392/$Q392)</f>
        <v/>
      </c>
    </row>
    <row r="393">
      <c r="A393" s="155" t="n">
        <v>46105</v>
      </c>
      <c r="B393" s="156" t="inlineStr">
        <is>
          <t>17-18</t>
        </is>
      </c>
      <c r="C393" s="156" t="inlineStr">
        <is>
          <t>EX-754</t>
        </is>
      </c>
      <c r="D393" s="156" t="inlineStr">
        <is>
          <t>DT-520</t>
        </is>
      </c>
      <c r="E393" s="156" t="inlineStr">
        <is>
          <t>OB</t>
        </is>
      </c>
      <c r="F393" s="156" t="n">
        <v>3</v>
      </c>
      <c r="G393" s="156" t="inlineStr"/>
      <c r="H393" s="157">
        <f>IF($B393="","",IF(ISNA(MATCH($B393,MASTER_JAM!$Q$5:$Q$28,0)),"?",IF(MATCH($B393,MASTER_JAM!$Q$5:$Q$28,0)&lt;=12,"DS","NS")))</f>
        <v/>
      </c>
      <c r="I393" s="157">
        <f>IFERROR(INDEX(MASTER_JAM!$B$5:$B$94,MATCH($C393,MASTER_JAM!$A$5:$A$94,0)),"")</f>
        <v/>
      </c>
      <c r="J393" s="157">
        <f>IFERROR(INDEX(MASTER_JAM!$E$5:$E$94,MATCH($D393,MASTER_JAM!$A$5:$A$94,0)),"")</f>
        <v/>
      </c>
      <c r="K393" s="158">
        <f>IFERROR(INDEX(MASTER_JAM!$J$5:$O$12,MATCH($E393,MASTER_JAM!$I$5:$I$12,0),MATCH($J393,MASTER_JAM!$J$4:$O$4,0))+0,0)</f>
        <v/>
      </c>
      <c r="L393" s="159">
        <f>N($F393)*$K393</f>
        <v/>
      </c>
      <c r="M393" s="157">
        <f>IF($E393="","",IF(OR($E393="Coal",$E393="Dirty Coal"),"MT","BCM"))</f>
        <v/>
      </c>
      <c r="N393" s="157">
        <f>IF($E393="","",IF(OR($E393="Coal",$E393="Dirty Coal"),"Coal","OB"))</f>
        <v/>
      </c>
      <c r="O393" s="157">
        <f>IF($F393="","",IF(COUNTIF(MASTER_JAM!$A$5:$A$94,$C393)=0,"Digger tidak dikenal",IF($J393="","Hauler tidak dikenal",IF($H393="?","Jam salah",IF($K393=0,"Faktor kosong",IF(SUMIFS(INPUT_DELAY!$E$5:$E$20000,INPUT_DELAY!$A$5:$A$20000,$A393,INPUT_DELAY!$B$5:$B$20000,$B393,INPUT_DELAY!$C$5:$C$20000,$C393)+SUMIFS(INPUT_DELAY!$E$5:$E$20000,INPUT_DELAY!$A$5:$A$20000,$A393,INPUT_DELAY!$B$5:$B$20000,$B393,INPUT_DELAY!$C$5:$C$20000,"SEMUA")&gt;=60,"Delay 60 mnt tapi ada ritase","OK"))))))</f>
        <v/>
      </c>
      <c r="P393" s="158">
        <f>IFERROR(INDEX(MASTER_JAM!$Z$5:$AC$10,MATCH($I393,MASTER_JAM!$Y$5:$Y$10,0),MATCH($J393,MASTER_JAM!$Z$4:$AC$4,0))+0,0)</f>
        <v/>
      </c>
      <c r="Q393" s="158">
        <f>IF($P393=0,0,$P393+IFERROR(INDEX(MASTER_JAM!$H$5:$H$94,MATCH($C393,MASTER_JAM!$A$5:$A$94,0))+0,MASTER_JAM!$AC$15)/1000*(60/MASTER_JAM!$AC$12+60/MASTER_JAM!$AC$13)+MASTER_JAM!$AC$14)</f>
        <v/>
      </c>
      <c r="R393" s="158">
        <f>IF(N($F393)=0,0,$F393/SUMIFS(INPUT_RITASE!$F$5:$F$20000,INPUT_RITASE!$A$5:$A$20000,$A393,INPUT_RITASE!$B$5:$B$20000,$B393,INPUT_RITASE!$C$5:$C$20000,$C393,INPUT_RITASE!$D$5:$D$20000,$D393))</f>
        <v/>
      </c>
      <c r="S393" s="158">
        <f>IF($Q393=0,0,$R393*$P393/$Q393)</f>
        <v/>
      </c>
    </row>
    <row r="394">
      <c r="A394" s="155" t="n">
        <v>46105</v>
      </c>
      <c r="B394" s="156" t="inlineStr">
        <is>
          <t>17-18</t>
        </is>
      </c>
      <c r="C394" s="156" t="inlineStr">
        <is>
          <t>EX-754</t>
        </is>
      </c>
      <c r="D394" s="156" t="inlineStr">
        <is>
          <t>DT-522</t>
        </is>
      </c>
      <c r="E394" s="156" t="inlineStr">
        <is>
          <t>OB</t>
        </is>
      </c>
      <c r="F394" s="156" t="n">
        <v>3</v>
      </c>
      <c r="G394" s="156" t="inlineStr"/>
      <c r="H394" s="157">
        <f>IF($B394="","",IF(ISNA(MATCH($B394,MASTER_JAM!$Q$5:$Q$28,0)),"?",IF(MATCH($B394,MASTER_JAM!$Q$5:$Q$28,0)&lt;=12,"DS","NS")))</f>
        <v/>
      </c>
      <c r="I394" s="157">
        <f>IFERROR(INDEX(MASTER_JAM!$B$5:$B$94,MATCH($C394,MASTER_JAM!$A$5:$A$94,0)),"")</f>
        <v/>
      </c>
      <c r="J394" s="157">
        <f>IFERROR(INDEX(MASTER_JAM!$E$5:$E$94,MATCH($D394,MASTER_JAM!$A$5:$A$94,0)),"")</f>
        <v/>
      </c>
      <c r="K394" s="158">
        <f>IFERROR(INDEX(MASTER_JAM!$J$5:$O$12,MATCH($E394,MASTER_JAM!$I$5:$I$12,0),MATCH($J394,MASTER_JAM!$J$4:$O$4,0))+0,0)</f>
        <v/>
      </c>
      <c r="L394" s="159">
        <f>N($F394)*$K394</f>
        <v/>
      </c>
      <c r="M394" s="157">
        <f>IF($E394="","",IF(OR($E394="Coal",$E394="Dirty Coal"),"MT","BCM"))</f>
        <v/>
      </c>
      <c r="N394" s="157">
        <f>IF($E394="","",IF(OR($E394="Coal",$E394="Dirty Coal"),"Coal","OB"))</f>
        <v/>
      </c>
      <c r="O394" s="157">
        <f>IF($F394="","",IF(COUNTIF(MASTER_JAM!$A$5:$A$94,$C394)=0,"Digger tidak dikenal",IF($J394="","Hauler tidak dikenal",IF($H394="?","Jam salah",IF($K394=0,"Faktor kosong",IF(SUMIFS(INPUT_DELAY!$E$5:$E$20000,INPUT_DELAY!$A$5:$A$20000,$A394,INPUT_DELAY!$B$5:$B$20000,$B394,INPUT_DELAY!$C$5:$C$20000,$C394)+SUMIFS(INPUT_DELAY!$E$5:$E$20000,INPUT_DELAY!$A$5:$A$20000,$A394,INPUT_DELAY!$B$5:$B$20000,$B394,INPUT_DELAY!$C$5:$C$20000,"SEMUA")&gt;=60,"Delay 60 mnt tapi ada ritase","OK"))))))</f>
        <v/>
      </c>
      <c r="P394" s="158">
        <f>IFERROR(INDEX(MASTER_JAM!$Z$5:$AC$10,MATCH($I394,MASTER_JAM!$Y$5:$Y$10,0),MATCH($J394,MASTER_JAM!$Z$4:$AC$4,0))+0,0)</f>
        <v/>
      </c>
      <c r="Q394" s="158">
        <f>IF($P394=0,0,$P394+IFERROR(INDEX(MASTER_JAM!$H$5:$H$94,MATCH($C394,MASTER_JAM!$A$5:$A$94,0))+0,MASTER_JAM!$AC$15)/1000*(60/MASTER_JAM!$AC$12+60/MASTER_JAM!$AC$13)+MASTER_JAM!$AC$14)</f>
        <v/>
      </c>
      <c r="R394" s="158">
        <f>IF(N($F394)=0,0,$F394/SUMIFS(INPUT_RITASE!$F$5:$F$20000,INPUT_RITASE!$A$5:$A$20000,$A394,INPUT_RITASE!$B$5:$B$20000,$B394,INPUT_RITASE!$C$5:$C$20000,$C394,INPUT_RITASE!$D$5:$D$20000,$D394))</f>
        <v/>
      </c>
      <c r="S394" s="158">
        <f>IF($Q394=0,0,$R394*$P394/$Q394)</f>
        <v/>
      </c>
    </row>
    <row r="395">
      <c r="A395" s="155" t="n">
        <v>46105</v>
      </c>
      <c r="B395" s="156" t="inlineStr">
        <is>
          <t>17-18</t>
        </is>
      </c>
      <c r="C395" s="156" t="inlineStr">
        <is>
          <t>EX-754</t>
        </is>
      </c>
      <c r="D395" s="156" t="inlineStr">
        <is>
          <t>DT-515</t>
        </is>
      </c>
      <c r="E395" s="156" t="inlineStr">
        <is>
          <t>OB</t>
        </is>
      </c>
      <c r="F395" s="156" t="n">
        <v>3</v>
      </c>
      <c r="G395" s="156" t="inlineStr"/>
      <c r="H395" s="157">
        <f>IF($B395="","",IF(ISNA(MATCH($B395,MASTER_JAM!$Q$5:$Q$28,0)),"?",IF(MATCH($B395,MASTER_JAM!$Q$5:$Q$28,0)&lt;=12,"DS","NS")))</f>
        <v/>
      </c>
      <c r="I395" s="157">
        <f>IFERROR(INDEX(MASTER_JAM!$B$5:$B$94,MATCH($C395,MASTER_JAM!$A$5:$A$94,0)),"")</f>
        <v/>
      </c>
      <c r="J395" s="157">
        <f>IFERROR(INDEX(MASTER_JAM!$E$5:$E$94,MATCH($D395,MASTER_JAM!$A$5:$A$94,0)),"")</f>
        <v/>
      </c>
      <c r="K395" s="158">
        <f>IFERROR(INDEX(MASTER_JAM!$J$5:$O$12,MATCH($E395,MASTER_JAM!$I$5:$I$12,0),MATCH($J395,MASTER_JAM!$J$4:$O$4,0))+0,0)</f>
        <v/>
      </c>
      <c r="L395" s="159">
        <f>N($F395)*$K395</f>
        <v/>
      </c>
      <c r="M395" s="157">
        <f>IF($E395="","",IF(OR($E395="Coal",$E395="Dirty Coal"),"MT","BCM"))</f>
        <v/>
      </c>
      <c r="N395" s="157">
        <f>IF($E395="","",IF(OR($E395="Coal",$E395="Dirty Coal"),"Coal","OB"))</f>
        <v/>
      </c>
      <c r="O395" s="157">
        <f>IF($F395="","",IF(COUNTIF(MASTER_JAM!$A$5:$A$94,$C395)=0,"Digger tidak dikenal",IF($J395="","Hauler tidak dikenal",IF($H395="?","Jam salah",IF($K395=0,"Faktor kosong",IF(SUMIFS(INPUT_DELAY!$E$5:$E$20000,INPUT_DELAY!$A$5:$A$20000,$A395,INPUT_DELAY!$B$5:$B$20000,$B395,INPUT_DELAY!$C$5:$C$20000,$C395)+SUMIFS(INPUT_DELAY!$E$5:$E$20000,INPUT_DELAY!$A$5:$A$20000,$A395,INPUT_DELAY!$B$5:$B$20000,$B395,INPUT_DELAY!$C$5:$C$20000,"SEMUA")&gt;=60,"Delay 60 mnt tapi ada ritase","OK"))))))</f>
        <v/>
      </c>
      <c r="P395" s="158">
        <f>IFERROR(INDEX(MASTER_JAM!$Z$5:$AC$10,MATCH($I395,MASTER_JAM!$Y$5:$Y$10,0),MATCH($J395,MASTER_JAM!$Z$4:$AC$4,0))+0,0)</f>
        <v/>
      </c>
      <c r="Q395" s="158">
        <f>IF($P395=0,0,$P395+IFERROR(INDEX(MASTER_JAM!$H$5:$H$94,MATCH($C395,MASTER_JAM!$A$5:$A$94,0))+0,MASTER_JAM!$AC$15)/1000*(60/MASTER_JAM!$AC$12+60/MASTER_JAM!$AC$13)+MASTER_JAM!$AC$14)</f>
        <v/>
      </c>
      <c r="R395" s="158">
        <f>IF(N($F395)=0,0,$F395/SUMIFS(INPUT_RITASE!$F$5:$F$20000,INPUT_RITASE!$A$5:$A$20000,$A395,INPUT_RITASE!$B$5:$B$20000,$B395,INPUT_RITASE!$C$5:$C$20000,$C395,INPUT_RITASE!$D$5:$D$20000,$D395))</f>
        <v/>
      </c>
      <c r="S395" s="158">
        <f>IF($Q395=0,0,$R395*$P395/$Q395)</f>
        <v/>
      </c>
    </row>
    <row r="396">
      <c r="A396" s="155" t="n">
        <v>46105</v>
      </c>
      <c r="B396" s="156" t="inlineStr">
        <is>
          <t>06-07</t>
        </is>
      </c>
      <c r="C396" s="156" t="inlineStr">
        <is>
          <t>EX-755</t>
        </is>
      </c>
      <c r="D396" s="156" t="inlineStr">
        <is>
          <t>DT-502</t>
        </is>
      </c>
      <c r="E396" s="156" t="inlineStr">
        <is>
          <t>OB</t>
        </is>
      </c>
      <c r="F396" s="156" t="n">
        <v>4</v>
      </c>
      <c r="G396" s="156" t="inlineStr"/>
      <c r="H396" s="157">
        <f>IF($B396="","",IF(ISNA(MATCH($B396,MASTER_JAM!$Q$5:$Q$28,0)),"?",IF(MATCH($B396,MASTER_JAM!$Q$5:$Q$28,0)&lt;=12,"DS","NS")))</f>
        <v/>
      </c>
      <c r="I396" s="157">
        <f>IFERROR(INDEX(MASTER_JAM!$B$5:$B$94,MATCH($C396,MASTER_JAM!$A$5:$A$94,0)),"")</f>
        <v/>
      </c>
      <c r="J396" s="157">
        <f>IFERROR(INDEX(MASTER_JAM!$E$5:$E$94,MATCH($D396,MASTER_JAM!$A$5:$A$94,0)),"")</f>
        <v/>
      </c>
      <c r="K396" s="158">
        <f>IFERROR(INDEX(MASTER_JAM!$J$5:$O$12,MATCH($E396,MASTER_JAM!$I$5:$I$12,0),MATCH($J396,MASTER_JAM!$J$4:$O$4,0))+0,0)</f>
        <v/>
      </c>
      <c r="L396" s="159">
        <f>N($F396)*$K396</f>
        <v/>
      </c>
      <c r="M396" s="157">
        <f>IF($E396="","",IF(OR($E396="Coal",$E396="Dirty Coal"),"MT","BCM"))</f>
        <v/>
      </c>
      <c r="N396" s="157">
        <f>IF($E396="","",IF(OR($E396="Coal",$E396="Dirty Coal"),"Coal","OB"))</f>
        <v/>
      </c>
      <c r="O396" s="157">
        <f>IF($F396="","",IF(COUNTIF(MASTER_JAM!$A$5:$A$94,$C396)=0,"Digger tidak dikenal",IF($J396="","Hauler tidak dikenal",IF($H396="?","Jam salah",IF($K396=0,"Faktor kosong",IF(SUMIFS(INPUT_DELAY!$E$5:$E$20000,INPUT_DELAY!$A$5:$A$20000,$A396,INPUT_DELAY!$B$5:$B$20000,$B396,INPUT_DELAY!$C$5:$C$20000,$C396)+SUMIFS(INPUT_DELAY!$E$5:$E$20000,INPUT_DELAY!$A$5:$A$20000,$A396,INPUT_DELAY!$B$5:$B$20000,$B396,INPUT_DELAY!$C$5:$C$20000,"SEMUA")&gt;=60,"Delay 60 mnt tapi ada ritase","OK"))))))</f>
        <v/>
      </c>
      <c r="P396" s="158">
        <f>IFERROR(INDEX(MASTER_JAM!$Z$5:$AC$10,MATCH($I396,MASTER_JAM!$Y$5:$Y$10,0),MATCH($J396,MASTER_JAM!$Z$4:$AC$4,0))+0,0)</f>
        <v/>
      </c>
      <c r="Q396" s="158">
        <f>IF($P396=0,0,$P396+IFERROR(INDEX(MASTER_JAM!$H$5:$H$94,MATCH($C396,MASTER_JAM!$A$5:$A$94,0))+0,MASTER_JAM!$AC$15)/1000*(60/MASTER_JAM!$AC$12+60/MASTER_JAM!$AC$13)+MASTER_JAM!$AC$14)</f>
        <v/>
      </c>
      <c r="R396" s="158">
        <f>IF(N($F396)=0,0,$F396/SUMIFS(INPUT_RITASE!$F$5:$F$20000,INPUT_RITASE!$A$5:$A$20000,$A396,INPUT_RITASE!$B$5:$B$20000,$B396,INPUT_RITASE!$C$5:$C$20000,$C396,INPUT_RITASE!$D$5:$D$20000,$D396))</f>
        <v/>
      </c>
      <c r="S396" s="158">
        <f>IF($Q396=0,0,$R396*$P396/$Q396)</f>
        <v/>
      </c>
    </row>
    <row r="397">
      <c r="A397" s="155" t="n">
        <v>46105</v>
      </c>
      <c r="B397" s="156" t="inlineStr">
        <is>
          <t>06-07</t>
        </is>
      </c>
      <c r="C397" s="156" t="inlineStr">
        <is>
          <t>EX-755</t>
        </is>
      </c>
      <c r="D397" s="156" t="inlineStr">
        <is>
          <t>DT-521</t>
        </is>
      </c>
      <c r="E397" s="156" t="inlineStr">
        <is>
          <t>OB</t>
        </is>
      </c>
      <c r="F397" s="156" t="n">
        <v>4</v>
      </c>
      <c r="G397" s="156" t="inlineStr"/>
      <c r="H397" s="157">
        <f>IF($B397="","",IF(ISNA(MATCH($B397,MASTER_JAM!$Q$5:$Q$28,0)),"?",IF(MATCH($B397,MASTER_JAM!$Q$5:$Q$28,0)&lt;=12,"DS","NS")))</f>
        <v/>
      </c>
      <c r="I397" s="157">
        <f>IFERROR(INDEX(MASTER_JAM!$B$5:$B$94,MATCH($C397,MASTER_JAM!$A$5:$A$94,0)),"")</f>
        <v/>
      </c>
      <c r="J397" s="157">
        <f>IFERROR(INDEX(MASTER_JAM!$E$5:$E$94,MATCH($D397,MASTER_JAM!$A$5:$A$94,0)),"")</f>
        <v/>
      </c>
      <c r="K397" s="158">
        <f>IFERROR(INDEX(MASTER_JAM!$J$5:$O$12,MATCH($E397,MASTER_JAM!$I$5:$I$12,0),MATCH($J397,MASTER_JAM!$J$4:$O$4,0))+0,0)</f>
        <v/>
      </c>
      <c r="L397" s="159">
        <f>N($F397)*$K397</f>
        <v/>
      </c>
      <c r="M397" s="157">
        <f>IF($E397="","",IF(OR($E397="Coal",$E397="Dirty Coal"),"MT","BCM"))</f>
        <v/>
      </c>
      <c r="N397" s="157">
        <f>IF($E397="","",IF(OR($E397="Coal",$E397="Dirty Coal"),"Coal","OB"))</f>
        <v/>
      </c>
      <c r="O397" s="157">
        <f>IF($F397="","",IF(COUNTIF(MASTER_JAM!$A$5:$A$94,$C397)=0,"Digger tidak dikenal",IF($J397="","Hauler tidak dikenal",IF($H397="?","Jam salah",IF($K397=0,"Faktor kosong",IF(SUMIFS(INPUT_DELAY!$E$5:$E$20000,INPUT_DELAY!$A$5:$A$20000,$A397,INPUT_DELAY!$B$5:$B$20000,$B397,INPUT_DELAY!$C$5:$C$20000,$C397)+SUMIFS(INPUT_DELAY!$E$5:$E$20000,INPUT_DELAY!$A$5:$A$20000,$A397,INPUT_DELAY!$B$5:$B$20000,$B397,INPUT_DELAY!$C$5:$C$20000,"SEMUA")&gt;=60,"Delay 60 mnt tapi ada ritase","OK"))))))</f>
        <v/>
      </c>
      <c r="P397" s="158">
        <f>IFERROR(INDEX(MASTER_JAM!$Z$5:$AC$10,MATCH($I397,MASTER_JAM!$Y$5:$Y$10,0),MATCH($J397,MASTER_JAM!$Z$4:$AC$4,0))+0,0)</f>
        <v/>
      </c>
      <c r="Q397" s="158">
        <f>IF($P397=0,0,$P397+IFERROR(INDEX(MASTER_JAM!$H$5:$H$94,MATCH($C397,MASTER_JAM!$A$5:$A$94,0))+0,MASTER_JAM!$AC$15)/1000*(60/MASTER_JAM!$AC$12+60/MASTER_JAM!$AC$13)+MASTER_JAM!$AC$14)</f>
        <v/>
      </c>
      <c r="R397" s="158">
        <f>IF(N($F397)=0,0,$F397/SUMIFS(INPUT_RITASE!$F$5:$F$20000,INPUT_RITASE!$A$5:$A$20000,$A397,INPUT_RITASE!$B$5:$B$20000,$B397,INPUT_RITASE!$C$5:$C$20000,$C397,INPUT_RITASE!$D$5:$D$20000,$D397))</f>
        <v/>
      </c>
      <c r="S397" s="158">
        <f>IF($Q397=0,0,$R397*$P397/$Q397)</f>
        <v/>
      </c>
    </row>
    <row r="398">
      <c r="A398" s="155" t="n">
        <v>46105</v>
      </c>
      <c r="B398" s="156" t="inlineStr">
        <is>
          <t>06-07</t>
        </is>
      </c>
      <c r="C398" s="156" t="inlineStr">
        <is>
          <t>EX-755</t>
        </is>
      </c>
      <c r="D398" s="156" t="inlineStr">
        <is>
          <t>DT-528</t>
        </is>
      </c>
      <c r="E398" s="156" t="inlineStr">
        <is>
          <t>OB</t>
        </is>
      </c>
      <c r="F398" s="156" t="n">
        <v>3</v>
      </c>
      <c r="G398" s="156" t="inlineStr"/>
      <c r="H398" s="157">
        <f>IF($B398="","",IF(ISNA(MATCH($B398,MASTER_JAM!$Q$5:$Q$28,0)),"?",IF(MATCH($B398,MASTER_JAM!$Q$5:$Q$28,0)&lt;=12,"DS","NS")))</f>
        <v/>
      </c>
      <c r="I398" s="157">
        <f>IFERROR(INDEX(MASTER_JAM!$B$5:$B$94,MATCH($C398,MASTER_JAM!$A$5:$A$94,0)),"")</f>
        <v/>
      </c>
      <c r="J398" s="157">
        <f>IFERROR(INDEX(MASTER_JAM!$E$5:$E$94,MATCH($D398,MASTER_JAM!$A$5:$A$94,0)),"")</f>
        <v/>
      </c>
      <c r="K398" s="158">
        <f>IFERROR(INDEX(MASTER_JAM!$J$5:$O$12,MATCH($E398,MASTER_JAM!$I$5:$I$12,0),MATCH($J398,MASTER_JAM!$J$4:$O$4,0))+0,0)</f>
        <v/>
      </c>
      <c r="L398" s="159">
        <f>N($F398)*$K398</f>
        <v/>
      </c>
      <c r="M398" s="157">
        <f>IF($E398="","",IF(OR($E398="Coal",$E398="Dirty Coal"),"MT","BCM"))</f>
        <v/>
      </c>
      <c r="N398" s="157">
        <f>IF($E398="","",IF(OR($E398="Coal",$E398="Dirty Coal"),"Coal","OB"))</f>
        <v/>
      </c>
      <c r="O398" s="157">
        <f>IF($F398="","",IF(COUNTIF(MASTER_JAM!$A$5:$A$94,$C398)=0,"Digger tidak dikenal",IF($J398="","Hauler tidak dikenal",IF($H398="?","Jam salah",IF($K398=0,"Faktor kosong",IF(SUMIFS(INPUT_DELAY!$E$5:$E$20000,INPUT_DELAY!$A$5:$A$20000,$A398,INPUT_DELAY!$B$5:$B$20000,$B398,INPUT_DELAY!$C$5:$C$20000,$C398)+SUMIFS(INPUT_DELAY!$E$5:$E$20000,INPUT_DELAY!$A$5:$A$20000,$A398,INPUT_DELAY!$B$5:$B$20000,$B398,INPUT_DELAY!$C$5:$C$20000,"SEMUA")&gt;=60,"Delay 60 mnt tapi ada ritase","OK"))))))</f>
        <v/>
      </c>
      <c r="P398" s="158">
        <f>IFERROR(INDEX(MASTER_JAM!$Z$5:$AC$10,MATCH($I398,MASTER_JAM!$Y$5:$Y$10,0),MATCH($J398,MASTER_JAM!$Z$4:$AC$4,0))+0,0)</f>
        <v/>
      </c>
      <c r="Q398" s="158">
        <f>IF($P398=0,0,$P398+IFERROR(INDEX(MASTER_JAM!$H$5:$H$94,MATCH($C398,MASTER_JAM!$A$5:$A$94,0))+0,MASTER_JAM!$AC$15)/1000*(60/MASTER_JAM!$AC$12+60/MASTER_JAM!$AC$13)+MASTER_JAM!$AC$14)</f>
        <v/>
      </c>
      <c r="R398" s="158">
        <f>IF(N($F398)=0,0,$F398/SUMIFS(INPUT_RITASE!$F$5:$F$20000,INPUT_RITASE!$A$5:$A$20000,$A398,INPUT_RITASE!$B$5:$B$20000,$B398,INPUT_RITASE!$C$5:$C$20000,$C398,INPUT_RITASE!$D$5:$D$20000,$D398))</f>
        <v/>
      </c>
      <c r="S398" s="158">
        <f>IF($Q398=0,0,$R398*$P398/$Q398)</f>
        <v/>
      </c>
    </row>
    <row r="399">
      <c r="A399" s="155" t="n">
        <v>46105</v>
      </c>
      <c r="B399" s="156" t="inlineStr">
        <is>
          <t>06-07</t>
        </is>
      </c>
      <c r="C399" s="156" t="inlineStr">
        <is>
          <t>EX-755</t>
        </is>
      </c>
      <c r="D399" s="156" t="inlineStr">
        <is>
          <t>DT-520</t>
        </is>
      </c>
      <c r="E399" s="156" t="inlineStr">
        <is>
          <t>OB</t>
        </is>
      </c>
      <c r="F399" s="156" t="n">
        <v>3</v>
      </c>
      <c r="G399" s="156" t="inlineStr"/>
      <c r="H399" s="157">
        <f>IF($B399="","",IF(ISNA(MATCH($B399,MASTER_JAM!$Q$5:$Q$28,0)),"?",IF(MATCH($B399,MASTER_JAM!$Q$5:$Q$28,0)&lt;=12,"DS","NS")))</f>
        <v/>
      </c>
      <c r="I399" s="157">
        <f>IFERROR(INDEX(MASTER_JAM!$B$5:$B$94,MATCH($C399,MASTER_JAM!$A$5:$A$94,0)),"")</f>
        <v/>
      </c>
      <c r="J399" s="157">
        <f>IFERROR(INDEX(MASTER_JAM!$E$5:$E$94,MATCH($D399,MASTER_JAM!$A$5:$A$94,0)),"")</f>
        <v/>
      </c>
      <c r="K399" s="158">
        <f>IFERROR(INDEX(MASTER_JAM!$J$5:$O$12,MATCH($E399,MASTER_JAM!$I$5:$I$12,0),MATCH($J399,MASTER_JAM!$J$4:$O$4,0))+0,0)</f>
        <v/>
      </c>
      <c r="L399" s="159">
        <f>N($F399)*$K399</f>
        <v/>
      </c>
      <c r="M399" s="157">
        <f>IF($E399="","",IF(OR($E399="Coal",$E399="Dirty Coal"),"MT","BCM"))</f>
        <v/>
      </c>
      <c r="N399" s="157">
        <f>IF($E399="","",IF(OR($E399="Coal",$E399="Dirty Coal"),"Coal","OB"))</f>
        <v/>
      </c>
      <c r="O399" s="157">
        <f>IF($F399="","",IF(COUNTIF(MASTER_JAM!$A$5:$A$94,$C399)=0,"Digger tidak dikenal",IF($J399="","Hauler tidak dikenal",IF($H399="?","Jam salah",IF($K399=0,"Faktor kosong",IF(SUMIFS(INPUT_DELAY!$E$5:$E$20000,INPUT_DELAY!$A$5:$A$20000,$A399,INPUT_DELAY!$B$5:$B$20000,$B399,INPUT_DELAY!$C$5:$C$20000,$C399)+SUMIFS(INPUT_DELAY!$E$5:$E$20000,INPUT_DELAY!$A$5:$A$20000,$A399,INPUT_DELAY!$B$5:$B$20000,$B399,INPUT_DELAY!$C$5:$C$20000,"SEMUA")&gt;=60,"Delay 60 mnt tapi ada ritase","OK"))))))</f>
        <v/>
      </c>
      <c r="P399" s="158">
        <f>IFERROR(INDEX(MASTER_JAM!$Z$5:$AC$10,MATCH($I399,MASTER_JAM!$Y$5:$Y$10,0),MATCH($J399,MASTER_JAM!$Z$4:$AC$4,0))+0,0)</f>
        <v/>
      </c>
      <c r="Q399" s="158">
        <f>IF($P399=0,0,$P399+IFERROR(INDEX(MASTER_JAM!$H$5:$H$94,MATCH($C399,MASTER_JAM!$A$5:$A$94,0))+0,MASTER_JAM!$AC$15)/1000*(60/MASTER_JAM!$AC$12+60/MASTER_JAM!$AC$13)+MASTER_JAM!$AC$14)</f>
        <v/>
      </c>
      <c r="R399" s="158">
        <f>IF(N($F399)=0,0,$F399/SUMIFS(INPUT_RITASE!$F$5:$F$20000,INPUT_RITASE!$A$5:$A$20000,$A399,INPUT_RITASE!$B$5:$B$20000,$B399,INPUT_RITASE!$C$5:$C$20000,$C399,INPUT_RITASE!$D$5:$D$20000,$D399))</f>
        <v/>
      </c>
      <c r="S399" s="158">
        <f>IF($Q399=0,0,$R399*$P399/$Q399)</f>
        <v/>
      </c>
    </row>
    <row r="400">
      <c r="A400" s="155" t="n">
        <v>46105</v>
      </c>
      <c r="B400" s="156" t="inlineStr">
        <is>
          <t>06-07</t>
        </is>
      </c>
      <c r="C400" s="156" t="inlineStr">
        <is>
          <t>EX-755</t>
        </is>
      </c>
      <c r="D400" s="156" t="inlineStr">
        <is>
          <t>DT-506</t>
        </is>
      </c>
      <c r="E400" s="156" t="inlineStr">
        <is>
          <t>OB</t>
        </is>
      </c>
      <c r="F400" s="156" t="n">
        <v>3</v>
      </c>
      <c r="G400" s="156" t="inlineStr"/>
      <c r="H400" s="157">
        <f>IF($B400="","",IF(ISNA(MATCH($B400,MASTER_JAM!$Q$5:$Q$28,0)),"?",IF(MATCH($B400,MASTER_JAM!$Q$5:$Q$28,0)&lt;=12,"DS","NS")))</f>
        <v/>
      </c>
      <c r="I400" s="157">
        <f>IFERROR(INDEX(MASTER_JAM!$B$5:$B$94,MATCH($C400,MASTER_JAM!$A$5:$A$94,0)),"")</f>
        <v/>
      </c>
      <c r="J400" s="157">
        <f>IFERROR(INDEX(MASTER_JAM!$E$5:$E$94,MATCH($D400,MASTER_JAM!$A$5:$A$94,0)),"")</f>
        <v/>
      </c>
      <c r="K400" s="158">
        <f>IFERROR(INDEX(MASTER_JAM!$J$5:$O$12,MATCH($E400,MASTER_JAM!$I$5:$I$12,0),MATCH($J400,MASTER_JAM!$J$4:$O$4,0))+0,0)</f>
        <v/>
      </c>
      <c r="L400" s="159">
        <f>N($F400)*$K400</f>
        <v/>
      </c>
      <c r="M400" s="157">
        <f>IF($E400="","",IF(OR($E400="Coal",$E400="Dirty Coal"),"MT","BCM"))</f>
        <v/>
      </c>
      <c r="N400" s="157">
        <f>IF($E400="","",IF(OR($E400="Coal",$E400="Dirty Coal"),"Coal","OB"))</f>
        <v/>
      </c>
      <c r="O400" s="157">
        <f>IF($F400="","",IF(COUNTIF(MASTER_JAM!$A$5:$A$94,$C400)=0,"Digger tidak dikenal",IF($J400="","Hauler tidak dikenal",IF($H400="?","Jam salah",IF($K400=0,"Faktor kosong",IF(SUMIFS(INPUT_DELAY!$E$5:$E$20000,INPUT_DELAY!$A$5:$A$20000,$A400,INPUT_DELAY!$B$5:$B$20000,$B400,INPUT_DELAY!$C$5:$C$20000,$C400)+SUMIFS(INPUT_DELAY!$E$5:$E$20000,INPUT_DELAY!$A$5:$A$20000,$A400,INPUT_DELAY!$B$5:$B$20000,$B400,INPUT_DELAY!$C$5:$C$20000,"SEMUA")&gt;=60,"Delay 60 mnt tapi ada ritase","OK"))))))</f>
        <v/>
      </c>
      <c r="P400" s="158">
        <f>IFERROR(INDEX(MASTER_JAM!$Z$5:$AC$10,MATCH($I400,MASTER_JAM!$Y$5:$Y$10,0),MATCH($J400,MASTER_JAM!$Z$4:$AC$4,0))+0,0)</f>
        <v/>
      </c>
      <c r="Q400" s="158">
        <f>IF($P400=0,0,$P400+IFERROR(INDEX(MASTER_JAM!$H$5:$H$94,MATCH($C400,MASTER_JAM!$A$5:$A$94,0))+0,MASTER_JAM!$AC$15)/1000*(60/MASTER_JAM!$AC$12+60/MASTER_JAM!$AC$13)+MASTER_JAM!$AC$14)</f>
        <v/>
      </c>
      <c r="R400" s="158">
        <f>IF(N($F400)=0,0,$F400/SUMIFS(INPUT_RITASE!$F$5:$F$20000,INPUT_RITASE!$A$5:$A$20000,$A400,INPUT_RITASE!$B$5:$B$20000,$B400,INPUT_RITASE!$C$5:$C$20000,$C400,INPUT_RITASE!$D$5:$D$20000,$D400))</f>
        <v/>
      </c>
      <c r="S400" s="158">
        <f>IF($Q400=0,0,$R400*$P400/$Q400)</f>
        <v/>
      </c>
    </row>
    <row r="401">
      <c r="A401" s="155" t="n">
        <v>46105</v>
      </c>
      <c r="B401" s="156" t="inlineStr">
        <is>
          <t>07-08</t>
        </is>
      </c>
      <c r="C401" s="156" t="inlineStr">
        <is>
          <t>EX-755</t>
        </is>
      </c>
      <c r="D401" s="156" t="inlineStr">
        <is>
          <t>DT-520</t>
        </is>
      </c>
      <c r="E401" s="156" t="inlineStr">
        <is>
          <t>OB</t>
        </is>
      </c>
      <c r="F401" s="156" t="n">
        <v>4</v>
      </c>
      <c r="G401" s="156" t="inlineStr"/>
      <c r="H401" s="157">
        <f>IF($B401="","",IF(ISNA(MATCH($B401,MASTER_JAM!$Q$5:$Q$28,0)),"?",IF(MATCH($B401,MASTER_JAM!$Q$5:$Q$28,0)&lt;=12,"DS","NS")))</f>
        <v/>
      </c>
      <c r="I401" s="157">
        <f>IFERROR(INDEX(MASTER_JAM!$B$5:$B$94,MATCH($C401,MASTER_JAM!$A$5:$A$94,0)),"")</f>
        <v/>
      </c>
      <c r="J401" s="157">
        <f>IFERROR(INDEX(MASTER_JAM!$E$5:$E$94,MATCH($D401,MASTER_JAM!$A$5:$A$94,0)),"")</f>
        <v/>
      </c>
      <c r="K401" s="158">
        <f>IFERROR(INDEX(MASTER_JAM!$J$5:$O$12,MATCH($E401,MASTER_JAM!$I$5:$I$12,0),MATCH($J401,MASTER_JAM!$J$4:$O$4,0))+0,0)</f>
        <v/>
      </c>
      <c r="L401" s="159">
        <f>N($F401)*$K401</f>
        <v/>
      </c>
      <c r="M401" s="157">
        <f>IF($E401="","",IF(OR($E401="Coal",$E401="Dirty Coal"),"MT","BCM"))</f>
        <v/>
      </c>
      <c r="N401" s="157">
        <f>IF($E401="","",IF(OR($E401="Coal",$E401="Dirty Coal"),"Coal","OB"))</f>
        <v/>
      </c>
      <c r="O401" s="157">
        <f>IF($F401="","",IF(COUNTIF(MASTER_JAM!$A$5:$A$94,$C401)=0,"Digger tidak dikenal",IF($J401="","Hauler tidak dikenal",IF($H401="?","Jam salah",IF($K401=0,"Faktor kosong",IF(SUMIFS(INPUT_DELAY!$E$5:$E$20000,INPUT_DELAY!$A$5:$A$20000,$A401,INPUT_DELAY!$B$5:$B$20000,$B401,INPUT_DELAY!$C$5:$C$20000,$C401)+SUMIFS(INPUT_DELAY!$E$5:$E$20000,INPUT_DELAY!$A$5:$A$20000,$A401,INPUT_DELAY!$B$5:$B$20000,$B401,INPUT_DELAY!$C$5:$C$20000,"SEMUA")&gt;=60,"Delay 60 mnt tapi ada ritase","OK"))))))</f>
        <v/>
      </c>
      <c r="P401" s="158">
        <f>IFERROR(INDEX(MASTER_JAM!$Z$5:$AC$10,MATCH($I401,MASTER_JAM!$Y$5:$Y$10,0),MATCH($J401,MASTER_JAM!$Z$4:$AC$4,0))+0,0)</f>
        <v/>
      </c>
      <c r="Q401" s="158">
        <f>IF($P401=0,0,$P401+IFERROR(INDEX(MASTER_JAM!$H$5:$H$94,MATCH($C401,MASTER_JAM!$A$5:$A$94,0))+0,MASTER_JAM!$AC$15)/1000*(60/MASTER_JAM!$AC$12+60/MASTER_JAM!$AC$13)+MASTER_JAM!$AC$14)</f>
        <v/>
      </c>
      <c r="R401" s="158">
        <f>IF(N($F401)=0,0,$F401/SUMIFS(INPUT_RITASE!$F$5:$F$20000,INPUT_RITASE!$A$5:$A$20000,$A401,INPUT_RITASE!$B$5:$B$20000,$B401,INPUT_RITASE!$C$5:$C$20000,$C401,INPUT_RITASE!$D$5:$D$20000,$D401))</f>
        <v/>
      </c>
      <c r="S401" s="158">
        <f>IF($Q401=0,0,$R401*$P401/$Q401)</f>
        <v/>
      </c>
    </row>
    <row r="402">
      <c r="A402" s="155" t="n">
        <v>46105</v>
      </c>
      <c r="B402" s="156" t="inlineStr">
        <is>
          <t>07-08</t>
        </is>
      </c>
      <c r="C402" s="156" t="inlineStr">
        <is>
          <t>EX-755</t>
        </is>
      </c>
      <c r="D402" s="156" t="inlineStr">
        <is>
          <t>DT-517</t>
        </is>
      </c>
      <c r="E402" s="156" t="inlineStr">
        <is>
          <t>OB</t>
        </is>
      </c>
      <c r="F402" s="156" t="n">
        <v>4</v>
      </c>
      <c r="G402" s="156" t="inlineStr"/>
      <c r="H402" s="157">
        <f>IF($B402="","",IF(ISNA(MATCH($B402,MASTER_JAM!$Q$5:$Q$28,0)),"?",IF(MATCH($B402,MASTER_JAM!$Q$5:$Q$28,0)&lt;=12,"DS","NS")))</f>
        <v/>
      </c>
      <c r="I402" s="157">
        <f>IFERROR(INDEX(MASTER_JAM!$B$5:$B$94,MATCH($C402,MASTER_JAM!$A$5:$A$94,0)),"")</f>
        <v/>
      </c>
      <c r="J402" s="157">
        <f>IFERROR(INDEX(MASTER_JAM!$E$5:$E$94,MATCH($D402,MASTER_JAM!$A$5:$A$94,0)),"")</f>
        <v/>
      </c>
      <c r="K402" s="158">
        <f>IFERROR(INDEX(MASTER_JAM!$J$5:$O$12,MATCH($E402,MASTER_JAM!$I$5:$I$12,0),MATCH($J402,MASTER_JAM!$J$4:$O$4,0))+0,0)</f>
        <v/>
      </c>
      <c r="L402" s="159">
        <f>N($F402)*$K402</f>
        <v/>
      </c>
      <c r="M402" s="157">
        <f>IF($E402="","",IF(OR($E402="Coal",$E402="Dirty Coal"),"MT","BCM"))</f>
        <v/>
      </c>
      <c r="N402" s="157">
        <f>IF($E402="","",IF(OR($E402="Coal",$E402="Dirty Coal"),"Coal","OB"))</f>
        <v/>
      </c>
      <c r="O402" s="157">
        <f>IF($F402="","",IF(COUNTIF(MASTER_JAM!$A$5:$A$94,$C402)=0,"Digger tidak dikenal",IF($J402="","Hauler tidak dikenal",IF($H402="?","Jam salah",IF($K402=0,"Faktor kosong",IF(SUMIFS(INPUT_DELAY!$E$5:$E$20000,INPUT_DELAY!$A$5:$A$20000,$A402,INPUT_DELAY!$B$5:$B$20000,$B402,INPUT_DELAY!$C$5:$C$20000,$C402)+SUMIFS(INPUT_DELAY!$E$5:$E$20000,INPUT_DELAY!$A$5:$A$20000,$A402,INPUT_DELAY!$B$5:$B$20000,$B402,INPUT_DELAY!$C$5:$C$20000,"SEMUA")&gt;=60,"Delay 60 mnt tapi ada ritase","OK"))))))</f>
        <v/>
      </c>
      <c r="P402" s="158">
        <f>IFERROR(INDEX(MASTER_JAM!$Z$5:$AC$10,MATCH($I402,MASTER_JAM!$Y$5:$Y$10,0),MATCH($J402,MASTER_JAM!$Z$4:$AC$4,0))+0,0)</f>
        <v/>
      </c>
      <c r="Q402" s="158">
        <f>IF($P402=0,0,$P402+IFERROR(INDEX(MASTER_JAM!$H$5:$H$94,MATCH($C402,MASTER_JAM!$A$5:$A$94,0))+0,MASTER_JAM!$AC$15)/1000*(60/MASTER_JAM!$AC$12+60/MASTER_JAM!$AC$13)+MASTER_JAM!$AC$14)</f>
        <v/>
      </c>
      <c r="R402" s="158">
        <f>IF(N($F402)=0,0,$F402/SUMIFS(INPUT_RITASE!$F$5:$F$20000,INPUT_RITASE!$A$5:$A$20000,$A402,INPUT_RITASE!$B$5:$B$20000,$B402,INPUT_RITASE!$C$5:$C$20000,$C402,INPUT_RITASE!$D$5:$D$20000,$D402))</f>
        <v/>
      </c>
      <c r="S402" s="158">
        <f>IF($Q402=0,0,$R402*$P402/$Q402)</f>
        <v/>
      </c>
    </row>
    <row r="403">
      <c r="A403" s="155" t="n">
        <v>46105</v>
      </c>
      <c r="B403" s="156" t="inlineStr">
        <is>
          <t>07-08</t>
        </is>
      </c>
      <c r="C403" s="156" t="inlineStr">
        <is>
          <t>EX-755</t>
        </is>
      </c>
      <c r="D403" s="156" t="inlineStr">
        <is>
          <t>DT-515</t>
        </is>
      </c>
      <c r="E403" s="156" t="inlineStr">
        <is>
          <t>OB</t>
        </is>
      </c>
      <c r="F403" s="156" t="n">
        <v>4</v>
      </c>
      <c r="G403" s="156" t="inlineStr"/>
      <c r="H403" s="157">
        <f>IF($B403="","",IF(ISNA(MATCH($B403,MASTER_JAM!$Q$5:$Q$28,0)),"?",IF(MATCH($B403,MASTER_JAM!$Q$5:$Q$28,0)&lt;=12,"DS","NS")))</f>
        <v/>
      </c>
      <c r="I403" s="157">
        <f>IFERROR(INDEX(MASTER_JAM!$B$5:$B$94,MATCH($C403,MASTER_JAM!$A$5:$A$94,0)),"")</f>
        <v/>
      </c>
      <c r="J403" s="157">
        <f>IFERROR(INDEX(MASTER_JAM!$E$5:$E$94,MATCH($D403,MASTER_JAM!$A$5:$A$94,0)),"")</f>
        <v/>
      </c>
      <c r="K403" s="158">
        <f>IFERROR(INDEX(MASTER_JAM!$J$5:$O$12,MATCH($E403,MASTER_JAM!$I$5:$I$12,0),MATCH($J403,MASTER_JAM!$J$4:$O$4,0))+0,0)</f>
        <v/>
      </c>
      <c r="L403" s="159">
        <f>N($F403)*$K403</f>
        <v/>
      </c>
      <c r="M403" s="157">
        <f>IF($E403="","",IF(OR($E403="Coal",$E403="Dirty Coal"),"MT","BCM"))</f>
        <v/>
      </c>
      <c r="N403" s="157">
        <f>IF($E403="","",IF(OR($E403="Coal",$E403="Dirty Coal"),"Coal","OB"))</f>
        <v/>
      </c>
      <c r="O403" s="157">
        <f>IF($F403="","",IF(COUNTIF(MASTER_JAM!$A$5:$A$94,$C403)=0,"Digger tidak dikenal",IF($J403="","Hauler tidak dikenal",IF($H403="?","Jam salah",IF($K403=0,"Faktor kosong",IF(SUMIFS(INPUT_DELAY!$E$5:$E$20000,INPUT_DELAY!$A$5:$A$20000,$A403,INPUT_DELAY!$B$5:$B$20000,$B403,INPUT_DELAY!$C$5:$C$20000,$C403)+SUMIFS(INPUT_DELAY!$E$5:$E$20000,INPUT_DELAY!$A$5:$A$20000,$A403,INPUT_DELAY!$B$5:$B$20000,$B403,INPUT_DELAY!$C$5:$C$20000,"SEMUA")&gt;=60,"Delay 60 mnt tapi ada ritase","OK"))))))</f>
        <v/>
      </c>
      <c r="P403" s="158">
        <f>IFERROR(INDEX(MASTER_JAM!$Z$5:$AC$10,MATCH($I403,MASTER_JAM!$Y$5:$Y$10,0),MATCH($J403,MASTER_JAM!$Z$4:$AC$4,0))+0,0)</f>
        <v/>
      </c>
      <c r="Q403" s="158">
        <f>IF($P403=0,0,$P403+IFERROR(INDEX(MASTER_JAM!$H$5:$H$94,MATCH($C403,MASTER_JAM!$A$5:$A$94,0))+0,MASTER_JAM!$AC$15)/1000*(60/MASTER_JAM!$AC$12+60/MASTER_JAM!$AC$13)+MASTER_JAM!$AC$14)</f>
        <v/>
      </c>
      <c r="R403" s="158">
        <f>IF(N($F403)=0,0,$F403/SUMIFS(INPUT_RITASE!$F$5:$F$20000,INPUT_RITASE!$A$5:$A$20000,$A403,INPUT_RITASE!$B$5:$B$20000,$B403,INPUT_RITASE!$C$5:$C$20000,$C403,INPUT_RITASE!$D$5:$D$20000,$D403))</f>
        <v/>
      </c>
      <c r="S403" s="158">
        <f>IF($Q403=0,0,$R403*$P403/$Q403)</f>
        <v/>
      </c>
    </row>
    <row r="404">
      <c r="A404" s="155" t="n">
        <v>46105</v>
      </c>
      <c r="B404" s="156" t="inlineStr">
        <is>
          <t>07-08</t>
        </is>
      </c>
      <c r="C404" s="156" t="inlineStr">
        <is>
          <t>EX-755</t>
        </is>
      </c>
      <c r="D404" s="156" t="inlineStr">
        <is>
          <t>DT-501</t>
        </is>
      </c>
      <c r="E404" s="156" t="inlineStr">
        <is>
          <t>OB</t>
        </is>
      </c>
      <c r="F404" s="156" t="n">
        <v>4</v>
      </c>
      <c r="G404" s="156" t="inlineStr"/>
      <c r="H404" s="157">
        <f>IF($B404="","",IF(ISNA(MATCH($B404,MASTER_JAM!$Q$5:$Q$28,0)),"?",IF(MATCH($B404,MASTER_JAM!$Q$5:$Q$28,0)&lt;=12,"DS","NS")))</f>
        <v/>
      </c>
      <c r="I404" s="157">
        <f>IFERROR(INDEX(MASTER_JAM!$B$5:$B$94,MATCH($C404,MASTER_JAM!$A$5:$A$94,0)),"")</f>
        <v/>
      </c>
      <c r="J404" s="157">
        <f>IFERROR(INDEX(MASTER_JAM!$E$5:$E$94,MATCH($D404,MASTER_JAM!$A$5:$A$94,0)),"")</f>
        <v/>
      </c>
      <c r="K404" s="158">
        <f>IFERROR(INDEX(MASTER_JAM!$J$5:$O$12,MATCH($E404,MASTER_JAM!$I$5:$I$12,0),MATCH($J404,MASTER_JAM!$J$4:$O$4,0))+0,0)</f>
        <v/>
      </c>
      <c r="L404" s="159">
        <f>N($F404)*$K404</f>
        <v/>
      </c>
      <c r="M404" s="157">
        <f>IF($E404="","",IF(OR($E404="Coal",$E404="Dirty Coal"),"MT","BCM"))</f>
        <v/>
      </c>
      <c r="N404" s="157">
        <f>IF($E404="","",IF(OR($E404="Coal",$E404="Dirty Coal"),"Coal","OB"))</f>
        <v/>
      </c>
      <c r="O404" s="157">
        <f>IF($F404="","",IF(COUNTIF(MASTER_JAM!$A$5:$A$94,$C404)=0,"Digger tidak dikenal",IF($J404="","Hauler tidak dikenal",IF($H404="?","Jam salah",IF($K404=0,"Faktor kosong",IF(SUMIFS(INPUT_DELAY!$E$5:$E$20000,INPUT_DELAY!$A$5:$A$20000,$A404,INPUT_DELAY!$B$5:$B$20000,$B404,INPUT_DELAY!$C$5:$C$20000,$C404)+SUMIFS(INPUT_DELAY!$E$5:$E$20000,INPUT_DELAY!$A$5:$A$20000,$A404,INPUT_DELAY!$B$5:$B$20000,$B404,INPUT_DELAY!$C$5:$C$20000,"SEMUA")&gt;=60,"Delay 60 mnt tapi ada ritase","OK"))))))</f>
        <v/>
      </c>
      <c r="P404" s="158">
        <f>IFERROR(INDEX(MASTER_JAM!$Z$5:$AC$10,MATCH($I404,MASTER_JAM!$Y$5:$Y$10,0),MATCH($J404,MASTER_JAM!$Z$4:$AC$4,0))+0,0)</f>
        <v/>
      </c>
      <c r="Q404" s="158">
        <f>IF($P404=0,0,$P404+IFERROR(INDEX(MASTER_JAM!$H$5:$H$94,MATCH($C404,MASTER_JAM!$A$5:$A$94,0))+0,MASTER_JAM!$AC$15)/1000*(60/MASTER_JAM!$AC$12+60/MASTER_JAM!$AC$13)+MASTER_JAM!$AC$14)</f>
        <v/>
      </c>
      <c r="R404" s="158">
        <f>IF(N($F404)=0,0,$F404/SUMIFS(INPUT_RITASE!$F$5:$F$20000,INPUT_RITASE!$A$5:$A$20000,$A404,INPUT_RITASE!$B$5:$B$20000,$B404,INPUT_RITASE!$C$5:$C$20000,$C404,INPUT_RITASE!$D$5:$D$20000,$D404))</f>
        <v/>
      </c>
      <c r="S404" s="158">
        <f>IF($Q404=0,0,$R404*$P404/$Q404)</f>
        <v/>
      </c>
    </row>
    <row r="405">
      <c r="A405" s="155" t="n">
        <v>46105</v>
      </c>
      <c r="B405" s="156" t="inlineStr">
        <is>
          <t>07-08</t>
        </is>
      </c>
      <c r="C405" s="156" t="inlineStr">
        <is>
          <t>EX-755</t>
        </is>
      </c>
      <c r="D405" s="156" t="inlineStr">
        <is>
          <t>DT-526</t>
        </is>
      </c>
      <c r="E405" s="156" t="inlineStr">
        <is>
          <t>OB</t>
        </is>
      </c>
      <c r="F405" s="156" t="n">
        <v>4</v>
      </c>
      <c r="G405" s="156" t="inlineStr"/>
      <c r="H405" s="157">
        <f>IF($B405="","",IF(ISNA(MATCH($B405,MASTER_JAM!$Q$5:$Q$28,0)),"?",IF(MATCH($B405,MASTER_JAM!$Q$5:$Q$28,0)&lt;=12,"DS","NS")))</f>
        <v/>
      </c>
      <c r="I405" s="157">
        <f>IFERROR(INDEX(MASTER_JAM!$B$5:$B$94,MATCH($C405,MASTER_JAM!$A$5:$A$94,0)),"")</f>
        <v/>
      </c>
      <c r="J405" s="157">
        <f>IFERROR(INDEX(MASTER_JAM!$E$5:$E$94,MATCH($D405,MASTER_JAM!$A$5:$A$94,0)),"")</f>
        <v/>
      </c>
      <c r="K405" s="158">
        <f>IFERROR(INDEX(MASTER_JAM!$J$5:$O$12,MATCH($E405,MASTER_JAM!$I$5:$I$12,0),MATCH($J405,MASTER_JAM!$J$4:$O$4,0))+0,0)</f>
        <v/>
      </c>
      <c r="L405" s="159">
        <f>N($F405)*$K405</f>
        <v/>
      </c>
      <c r="M405" s="157">
        <f>IF($E405="","",IF(OR($E405="Coal",$E405="Dirty Coal"),"MT","BCM"))</f>
        <v/>
      </c>
      <c r="N405" s="157">
        <f>IF($E405="","",IF(OR($E405="Coal",$E405="Dirty Coal"),"Coal","OB"))</f>
        <v/>
      </c>
      <c r="O405" s="157">
        <f>IF($F405="","",IF(COUNTIF(MASTER_JAM!$A$5:$A$94,$C405)=0,"Digger tidak dikenal",IF($J405="","Hauler tidak dikenal",IF($H405="?","Jam salah",IF($K405=0,"Faktor kosong",IF(SUMIFS(INPUT_DELAY!$E$5:$E$20000,INPUT_DELAY!$A$5:$A$20000,$A405,INPUT_DELAY!$B$5:$B$20000,$B405,INPUT_DELAY!$C$5:$C$20000,$C405)+SUMIFS(INPUT_DELAY!$E$5:$E$20000,INPUT_DELAY!$A$5:$A$20000,$A405,INPUT_DELAY!$B$5:$B$20000,$B405,INPUT_DELAY!$C$5:$C$20000,"SEMUA")&gt;=60,"Delay 60 mnt tapi ada ritase","OK"))))))</f>
        <v/>
      </c>
      <c r="P405" s="158">
        <f>IFERROR(INDEX(MASTER_JAM!$Z$5:$AC$10,MATCH($I405,MASTER_JAM!$Y$5:$Y$10,0),MATCH($J405,MASTER_JAM!$Z$4:$AC$4,0))+0,0)</f>
        <v/>
      </c>
      <c r="Q405" s="158">
        <f>IF($P405=0,0,$P405+IFERROR(INDEX(MASTER_JAM!$H$5:$H$94,MATCH($C405,MASTER_JAM!$A$5:$A$94,0))+0,MASTER_JAM!$AC$15)/1000*(60/MASTER_JAM!$AC$12+60/MASTER_JAM!$AC$13)+MASTER_JAM!$AC$14)</f>
        <v/>
      </c>
      <c r="R405" s="158">
        <f>IF(N($F405)=0,0,$F405/SUMIFS(INPUT_RITASE!$F$5:$F$20000,INPUT_RITASE!$A$5:$A$20000,$A405,INPUT_RITASE!$B$5:$B$20000,$B405,INPUT_RITASE!$C$5:$C$20000,$C405,INPUT_RITASE!$D$5:$D$20000,$D405))</f>
        <v/>
      </c>
      <c r="S405" s="158">
        <f>IF($Q405=0,0,$R405*$P405/$Q405)</f>
        <v/>
      </c>
    </row>
    <row r="406">
      <c r="A406" s="155" t="n">
        <v>46105</v>
      </c>
      <c r="B406" s="156" t="inlineStr">
        <is>
          <t>08-09</t>
        </is>
      </c>
      <c r="C406" s="156" t="inlineStr">
        <is>
          <t>EX-755</t>
        </is>
      </c>
      <c r="D406" s="156" t="inlineStr">
        <is>
          <t>DT-510</t>
        </is>
      </c>
      <c r="E406" s="156" t="inlineStr">
        <is>
          <t>OB</t>
        </is>
      </c>
      <c r="F406" s="156" t="n">
        <v>4</v>
      </c>
      <c r="G406" s="156" t="inlineStr"/>
      <c r="H406" s="157">
        <f>IF($B406="","",IF(ISNA(MATCH($B406,MASTER_JAM!$Q$5:$Q$28,0)),"?",IF(MATCH($B406,MASTER_JAM!$Q$5:$Q$28,0)&lt;=12,"DS","NS")))</f>
        <v/>
      </c>
      <c r="I406" s="157">
        <f>IFERROR(INDEX(MASTER_JAM!$B$5:$B$94,MATCH($C406,MASTER_JAM!$A$5:$A$94,0)),"")</f>
        <v/>
      </c>
      <c r="J406" s="157">
        <f>IFERROR(INDEX(MASTER_JAM!$E$5:$E$94,MATCH($D406,MASTER_JAM!$A$5:$A$94,0)),"")</f>
        <v/>
      </c>
      <c r="K406" s="158">
        <f>IFERROR(INDEX(MASTER_JAM!$J$5:$O$12,MATCH($E406,MASTER_JAM!$I$5:$I$12,0),MATCH($J406,MASTER_JAM!$J$4:$O$4,0))+0,0)</f>
        <v/>
      </c>
      <c r="L406" s="159">
        <f>N($F406)*$K406</f>
        <v/>
      </c>
      <c r="M406" s="157">
        <f>IF($E406="","",IF(OR($E406="Coal",$E406="Dirty Coal"),"MT","BCM"))</f>
        <v/>
      </c>
      <c r="N406" s="157">
        <f>IF($E406="","",IF(OR($E406="Coal",$E406="Dirty Coal"),"Coal","OB"))</f>
        <v/>
      </c>
      <c r="O406" s="157">
        <f>IF($F406="","",IF(COUNTIF(MASTER_JAM!$A$5:$A$94,$C406)=0,"Digger tidak dikenal",IF($J406="","Hauler tidak dikenal",IF($H406="?","Jam salah",IF($K406=0,"Faktor kosong",IF(SUMIFS(INPUT_DELAY!$E$5:$E$20000,INPUT_DELAY!$A$5:$A$20000,$A406,INPUT_DELAY!$B$5:$B$20000,$B406,INPUT_DELAY!$C$5:$C$20000,$C406)+SUMIFS(INPUT_DELAY!$E$5:$E$20000,INPUT_DELAY!$A$5:$A$20000,$A406,INPUT_DELAY!$B$5:$B$20000,$B406,INPUT_DELAY!$C$5:$C$20000,"SEMUA")&gt;=60,"Delay 60 mnt tapi ada ritase","OK"))))))</f>
        <v/>
      </c>
      <c r="P406" s="158">
        <f>IFERROR(INDEX(MASTER_JAM!$Z$5:$AC$10,MATCH($I406,MASTER_JAM!$Y$5:$Y$10,0),MATCH($J406,MASTER_JAM!$Z$4:$AC$4,0))+0,0)</f>
        <v/>
      </c>
      <c r="Q406" s="158">
        <f>IF($P406=0,0,$P406+IFERROR(INDEX(MASTER_JAM!$H$5:$H$94,MATCH($C406,MASTER_JAM!$A$5:$A$94,0))+0,MASTER_JAM!$AC$15)/1000*(60/MASTER_JAM!$AC$12+60/MASTER_JAM!$AC$13)+MASTER_JAM!$AC$14)</f>
        <v/>
      </c>
      <c r="R406" s="158">
        <f>IF(N($F406)=0,0,$F406/SUMIFS(INPUT_RITASE!$F$5:$F$20000,INPUT_RITASE!$A$5:$A$20000,$A406,INPUT_RITASE!$B$5:$B$20000,$B406,INPUT_RITASE!$C$5:$C$20000,$C406,INPUT_RITASE!$D$5:$D$20000,$D406))</f>
        <v/>
      </c>
      <c r="S406" s="158">
        <f>IF($Q406=0,0,$R406*$P406/$Q406)</f>
        <v/>
      </c>
    </row>
    <row r="407">
      <c r="A407" s="155" t="n">
        <v>46105</v>
      </c>
      <c r="B407" s="156" t="inlineStr">
        <is>
          <t>08-09</t>
        </is>
      </c>
      <c r="C407" s="156" t="inlineStr">
        <is>
          <t>EX-755</t>
        </is>
      </c>
      <c r="D407" s="156" t="inlineStr">
        <is>
          <t>DT-506</t>
        </is>
      </c>
      <c r="E407" s="156" t="inlineStr">
        <is>
          <t>OB</t>
        </is>
      </c>
      <c r="F407" s="156" t="n">
        <v>4</v>
      </c>
      <c r="G407" s="156" t="inlineStr"/>
      <c r="H407" s="157">
        <f>IF($B407="","",IF(ISNA(MATCH($B407,MASTER_JAM!$Q$5:$Q$28,0)),"?",IF(MATCH($B407,MASTER_JAM!$Q$5:$Q$28,0)&lt;=12,"DS","NS")))</f>
        <v/>
      </c>
      <c r="I407" s="157">
        <f>IFERROR(INDEX(MASTER_JAM!$B$5:$B$94,MATCH($C407,MASTER_JAM!$A$5:$A$94,0)),"")</f>
        <v/>
      </c>
      <c r="J407" s="157">
        <f>IFERROR(INDEX(MASTER_JAM!$E$5:$E$94,MATCH($D407,MASTER_JAM!$A$5:$A$94,0)),"")</f>
        <v/>
      </c>
      <c r="K407" s="158">
        <f>IFERROR(INDEX(MASTER_JAM!$J$5:$O$12,MATCH($E407,MASTER_JAM!$I$5:$I$12,0),MATCH($J407,MASTER_JAM!$J$4:$O$4,0))+0,0)</f>
        <v/>
      </c>
      <c r="L407" s="159">
        <f>N($F407)*$K407</f>
        <v/>
      </c>
      <c r="M407" s="157">
        <f>IF($E407="","",IF(OR($E407="Coal",$E407="Dirty Coal"),"MT","BCM"))</f>
        <v/>
      </c>
      <c r="N407" s="157">
        <f>IF($E407="","",IF(OR($E407="Coal",$E407="Dirty Coal"),"Coal","OB"))</f>
        <v/>
      </c>
      <c r="O407" s="157">
        <f>IF($F407="","",IF(COUNTIF(MASTER_JAM!$A$5:$A$94,$C407)=0,"Digger tidak dikenal",IF($J407="","Hauler tidak dikenal",IF($H407="?","Jam salah",IF($K407=0,"Faktor kosong",IF(SUMIFS(INPUT_DELAY!$E$5:$E$20000,INPUT_DELAY!$A$5:$A$20000,$A407,INPUT_DELAY!$B$5:$B$20000,$B407,INPUT_DELAY!$C$5:$C$20000,$C407)+SUMIFS(INPUT_DELAY!$E$5:$E$20000,INPUT_DELAY!$A$5:$A$20000,$A407,INPUT_DELAY!$B$5:$B$20000,$B407,INPUT_DELAY!$C$5:$C$20000,"SEMUA")&gt;=60,"Delay 60 mnt tapi ada ritase","OK"))))))</f>
        <v/>
      </c>
      <c r="P407" s="158">
        <f>IFERROR(INDEX(MASTER_JAM!$Z$5:$AC$10,MATCH($I407,MASTER_JAM!$Y$5:$Y$10,0),MATCH($J407,MASTER_JAM!$Z$4:$AC$4,0))+0,0)</f>
        <v/>
      </c>
      <c r="Q407" s="158">
        <f>IF($P407=0,0,$P407+IFERROR(INDEX(MASTER_JAM!$H$5:$H$94,MATCH($C407,MASTER_JAM!$A$5:$A$94,0))+0,MASTER_JAM!$AC$15)/1000*(60/MASTER_JAM!$AC$12+60/MASTER_JAM!$AC$13)+MASTER_JAM!$AC$14)</f>
        <v/>
      </c>
      <c r="R407" s="158">
        <f>IF(N($F407)=0,0,$F407/SUMIFS(INPUT_RITASE!$F$5:$F$20000,INPUT_RITASE!$A$5:$A$20000,$A407,INPUT_RITASE!$B$5:$B$20000,$B407,INPUT_RITASE!$C$5:$C$20000,$C407,INPUT_RITASE!$D$5:$D$20000,$D407))</f>
        <v/>
      </c>
      <c r="S407" s="158">
        <f>IF($Q407=0,0,$R407*$P407/$Q407)</f>
        <v/>
      </c>
    </row>
    <row r="408">
      <c r="A408" s="155" t="n">
        <v>46105</v>
      </c>
      <c r="B408" s="156" t="inlineStr">
        <is>
          <t>08-09</t>
        </is>
      </c>
      <c r="C408" s="156" t="inlineStr">
        <is>
          <t>EX-755</t>
        </is>
      </c>
      <c r="D408" s="156" t="inlineStr">
        <is>
          <t>DT-523</t>
        </is>
      </c>
      <c r="E408" s="156" t="inlineStr">
        <is>
          <t>OB</t>
        </is>
      </c>
      <c r="F408" s="156" t="n">
        <v>3</v>
      </c>
      <c r="G408" s="156" t="inlineStr"/>
      <c r="H408" s="157">
        <f>IF($B408="","",IF(ISNA(MATCH($B408,MASTER_JAM!$Q$5:$Q$28,0)),"?",IF(MATCH($B408,MASTER_JAM!$Q$5:$Q$28,0)&lt;=12,"DS","NS")))</f>
        <v/>
      </c>
      <c r="I408" s="157">
        <f>IFERROR(INDEX(MASTER_JAM!$B$5:$B$94,MATCH($C408,MASTER_JAM!$A$5:$A$94,0)),"")</f>
        <v/>
      </c>
      <c r="J408" s="157">
        <f>IFERROR(INDEX(MASTER_JAM!$E$5:$E$94,MATCH($D408,MASTER_JAM!$A$5:$A$94,0)),"")</f>
        <v/>
      </c>
      <c r="K408" s="158">
        <f>IFERROR(INDEX(MASTER_JAM!$J$5:$O$12,MATCH($E408,MASTER_JAM!$I$5:$I$12,0),MATCH($J408,MASTER_JAM!$J$4:$O$4,0))+0,0)</f>
        <v/>
      </c>
      <c r="L408" s="159">
        <f>N($F408)*$K408</f>
        <v/>
      </c>
      <c r="M408" s="157">
        <f>IF($E408="","",IF(OR($E408="Coal",$E408="Dirty Coal"),"MT","BCM"))</f>
        <v/>
      </c>
      <c r="N408" s="157">
        <f>IF($E408="","",IF(OR($E408="Coal",$E408="Dirty Coal"),"Coal","OB"))</f>
        <v/>
      </c>
      <c r="O408" s="157">
        <f>IF($F408="","",IF(COUNTIF(MASTER_JAM!$A$5:$A$94,$C408)=0,"Digger tidak dikenal",IF($J408="","Hauler tidak dikenal",IF($H408="?","Jam salah",IF($K408=0,"Faktor kosong",IF(SUMIFS(INPUT_DELAY!$E$5:$E$20000,INPUT_DELAY!$A$5:$A$20000,$A408,INPUT_DELAY!$B$5:$B$20000,$B408,INPUT_DELAY!$C$5:$C$20000,$C408)+SUMIFS(INPUT_DELAY!$E$5:$E$20000,INPUT_DELAY!$A$5:$A$20000,$A408,INPUT_DELAY!$B$5:$B$20000,$B408,INPUT_DELAY!$C$5:$C$20000,"SEMUA")&gt;=60,"Delay 60 mnt tapi ada ritase","OK"))))))</f>
        <v/>
      </c>
      <c r="P408" s="158">
        <f>IFERROR(INDEX(MASTER_JAM!$Z$5:$AC$10,MATCH($I408,MASTER_JAM!$Y$5:$Y$10,0),MATCH($J408,MASTER_JAM!$Z$4:$AC$4,0))+0,0)</f>
        <v/>
      </c>
      <c r="Q408" s="158">
        <f>IF($P408=0,0,$P408+IFERROR(INDEX(MASTER_JAM!$H$5:$H$94,MATCH($C408,MASTER_JAM!$A$5:$A$94,0))+0,MASTER_JAM!$AC$15)/1000*(60/MASTER_JAM!$AC$12+60/MASTER_JAM!$AC$13)+MASTER_JAM!$AC$14)</f>
        <v/>
      </c>
      <c r="R408" s="158">
        <f>IF(N($F408)=0,0,$F408/SUMIFS(INPUT_RITASE!$F$5:$F$20000,INPUT_RITASE!$A$5:$A$20000,$A408,INPUT_RITASE!$B$5:$B$20000,$B408,INPUT_RITASE!$C$5:$C$20000,$C408,INPUT_RITASE!$D$5:$D$20000,$D408))</f>
        <v/>
      </c>
      <c r="S408" s="158">
        <f>IF($Q408=0,0,$R408*$P408/$Q408)</f>
        <v/>
      </c>
    </row>
    <row r="409">
      <c r="A409" s="155" t="n">
        <v>46105</v>
      </c>
      <c r="B409" s="156" t="inlineStr">
        <is>
          <t>08-09</t>
        </is>
      </c>
      <c r="C409" s="156" t="inlineStr">
        <is>
          <t>EX-755</t>
        </is>
      </c>
      <c r="D409" s="156" t="inlineStr">
        <is>
          <t>DT-515</t>
        </is>
      </c>
      <c r="E409" s="156" t="inlineStr">
        <is>
          <t>OB</t>
        </is>
      </c>
      <c r="F409" s="156" t="n">
        <v>3</v>
      </c>
      <c r="G409" s="156" t="inlineStr"/>
      <c r="H409" s="157">
        <f>IF($B409="","",IF(ISNA(MATCH($B409,MASTER_JAM!$Q$5:$Q$28,0)),"?",IF(MATCH($B409,MASTER_JAM!$Q$5:$Q$28,0)&lt;=12,"DS","NS")))</f>
        <v/>
      </c>
      <c r="I409" s="157">
        <f>IFERROR(INDEX(MASTER_JAM!$B$5:$B$94,MATCH($C409,MASTER_JAM!$A$5:$A$94,0)),"")</f>
        <v/>
      </c>
      <c r="J409" s="157">
        <f>IFERROR(INDEX(MASTER_JAM!$E$5:$E$94,MATCH($D409,MASTER_JAM!$A$5:$A$94,0)),"")</f>
        <v/>
      </c>
      <c r="K409" s="158">
        <f>IFERROR(INDEX(MASTER_JAM!$J$5:$O$12,MATCH($E409,MASTER_JAM!$I$5:$I$12,0),MATCH($J409,MASTER_JAM!$J$4:$O$4,0))+0,0)</f>
        <v/>
      </c>
      <c r="L409" s="159">
        <f>N($F409)*$K409</f>
        <v/>
      </c>
      <c r="M409" s="157">
        <f>IF($E409="","",IF(OR($E409="Coal",$E409="Dirty Coal"),"MT","BCM"))</f>
        <v/>
      </c>
      <c r="N409" s="157">
        <f>IF($E409="","",IF(OR($E409="Coal",$E409="Dirty Coal"),"Coal","OB"))</f>
        <v/>
      </c>
      <c r="O409" s="157">
        <f>IF($F409="","",IF(COUNTIF(MASTER_JAM!$A$5:$A$94,$C409)=0,"Digger tidak dikenal",IF($J409="","Hauler tidak dikenal",IF($H409="?","Jam salah",IF($K409=0,"Faktor kosong",IF(SUMIFS(INPUT_DELAY!$E$5:$E$20000,INPUT_DELAY!$A$5:$A$20000,$A409,INPUT_DELAY!$B$5:$B$20000,$B409,INPUT_DELAY!$C$5:$C$20000,$C409)+SUMIFS(INPUT_DELAY!$E$5:$E$20000,INPUT_DELAY!$A$5:$A$20000,$A409,INPUT_DELAY!$B$5:$B$20000,$B409,INPUT_DELAY!$C$5:$C$20000,"SEMUA")&gt;=60,"Delay 60 mnt tapi ada ritase","OK"))))))</f>
        <v/>
      </c>
      <c r="P409" s="158">
        <f>IFERROR(INDEX(MASTER_JAM!$Z$5:$AC$10,MATCH($I409,MASTER_JAM!$Y$5:$Y$10,0),MATCH($J409,MASTER_JAM!$Z$4:$AC$4,0))+0,0)</f>
        <v/>
      </c>
      <c r="Q409" s="158">
        <f>IF($P409=0,0,$P409+IFERROR(INDEX(MASTER_JAM!$H$5:$H$94,MATCH($C409,MASTER_JAM!$A$5:$A$94,0))+0,MASTER_JAM!$AC$15)/1000*(60/MASTER_JAM!$AC$12+60/MASTER_JAM!$AC$13)+MASTER_JAM!$AC$14)</f>
        <v/>
      </c>
      <c r="R409" s="158">
        <f>IF(N($F409)=0,0,$F409/SUMIFS(INPUT_RITASE!$F$5:$F$20000,INPUT_RITASE!$A$5:$A$20000,$A409,INPUT_RITASE!$B$5:$B$20000,$B409,INPUT_RITASE!$C$5:$C$20000,$C409,INPUT_RITASE!$D$5:$D$20000,$D409))</f>
        <v/>
      </c>
      <c r="S409" s="158">
        <f>IF($Q409=0,0,$R409*$P409/$Q409)</f>
        <v/>
      </c>
    </row>
    <row r="410">
      <c r="A410" s="155" t="n">
        <v>46105</v>
      </c>
      <c r="B410" s="156" t="inlineStr">
        <is>
          <t>09-10</t>
        </is>
      </c>
      <c r="C410" s="156" t="inlineStr">
        <is>
          <t>EX-755</t>
        </is>
      </c>
      <c r="D410" s="156" t="inlineStr">
        <is>
          <t>DT-505</t>
        </is>
      </c>
      <c r="E410" s="156" t="inlineStr">
        <is>
          <t>OB</t>
        </is>
      </c>
      <c r="F410" s="156" t="n">
        <v>4</v>
      </c>
      <c r="G410" s="156" t="inlineStr"/>
      <c r="H410" s="157">
        <f>IF($B410="","",IF(ISNA(MATCH($B410,MASTER_JAM!$Q$5:$Q$28,0)),"?",IF(MATCH($B410,MASTER_JAM!$Q$5:$Q$28,0)&lt;=12,"DS","NS")))</f>
        <v/>
      </c>
      <c r="I410" s="157">
        <f>IFERROR(INDEX(MASTER_JAM!$B$5:$B$94,MATCH($C410,MASTER_JAM!$A$5:$A$94,0)),"")</f>
        <v/>
      </c>
      <c r="J410" s="157">
        <f>IFERROR(INDEX(MASTER_JAM!$E$5:$E$94,MATCH($D410,MASTER_JAM!$A$5:$A$94,0)),"")</f>
        <v/>
      </c>
      <c r="K410" s="158">
        <f>IFERROR(INDEX(MASTER_JAM!$J$5:$O$12,MATCH($E410,MASTER_JAM!$I$5:$I$12,0),MATCH($J410,MASTER_JAM!$J$4:$O$4,0))+0,0)</f>
        <v/>
      </c>
      <c r="L410" s="159">
        <f>N($F410)*$K410</f>
        <v/>
      </c>
      <c r="M410" s="157">
        <f>IF($E410="","",IF(OR($E410="Coal",$E410="Dirty Coal"),"MT","BCM"))</f>
        <v/>
      </c>
      <c r="N410" s="157">
        <f>IF($E410="","",IF(OR($E410="Coal",$E410="Dirty Coal"),"Coal","OB"))</f>
        <v/>
      </c>
      <c r="O410" s="157">
        <f>IF($F410="","",IF(COUNTIF(MASTER_JAM!$A$5:$A$94,$C410)=0,"Digger tidak dikenal",IF($J410="","Hauler tidak dikenal",IF($H410="?","Jam salah",IF($K410=0,"Faktor kosong",IF(SUMIFS(INPUT_DELAY!$E$5:$E$20000,INPUT_DELAY!$A$5:$A$20000,$A410,INPUT_DELAY!$B$5:$B$20000,$B410,INPUT_DELAY!$C$5:$C$20000,$C410)+SUMIFS(INPUT_DELAY!$E$5:$E$20000,INPUT_DELAY!$A$5:$A$20000,$A410,INPUT_DELAY!$B$5:$B$20000,$B410,INPUT_DELAY!$C$5:$C$20000,"SEMUA")&gt;=60,"Delay 60 mnt tapi ada ritase","OK"))))))</f>
        <v/>
      </c>
      <c r="P410" s="158">
        <f>IFERROR(INDEX(MASTER_JAM!$Z$5:$AC$10,MATCH($I410,MASTER_JAM!$Y$5:$Y$10,0),MATCH($J410,MASTER_JAM!$Z$4:$AC$4,0))+0,0)</f>
        <v/>
      </c>
      <c r="Q410" s="158">
        <f>IF($P410=0,0,$P410+IFERROR(INDEX(MASTER_JAM!$H$5:$H$94,MATCH($C410,MASTER_JAM!$A$5:$A$94,0))+0,MASTER_JAM!$AC$15)/1000*(60/MASTER_JAM!$AC$12+60/MASTER_JAM!$AC$13)+MASTER_JAM!$AC$14)</f>
        <v/>
      </c>
      <c r="R410" s="158">
        <f>IF(N($F410)=0,0,$F410/SUMIFS(INPUT_RITASE!$F$5:$F$20000,INPUT_RITASE!$A$5:$A$20000,$A410,INPUT_RITASE!$B$5:$B$20000,$B410,INPUT_RITASE!$C$5:$C$20000,$C410,INPUT_RITASE!$D$5:$D$20000,$D410))</f>
        <v/>
      </c>
      <c r="S410" s="158">
        <f>IF($Q410=0,0,$R410*$P410/$Q410)</f>
        <v/>
      </c>
    </row>
    <row r="411">
      <c r="A411" s="155" t="n">
        <v>46105</v>
      </c>
      <c r="B411" s="156" t="inlineStr">
        <is>
          <t>09-10</t>
        </is>
      </c>
      <c r="C411" s="156" t="inlineStr">
        <is>
          <t>EX-755</t>
        </is>
      </c>
      <c r="D411" s="156" t="inlineStr">
        <is>
          <t>DT-526</t>
        </is>
      </c>
      <c r="E411" s="156" t="inlineStr">
        <is>
          <t>OB</t>
        </is>
      </c>
      <c r="F411" s="156" t="n">
        <v>4</v>
      </c>
      <c r="G411" s="156" t="inlineStr"/>
      <c r="H411" s="157">
        <f>IF($B411="","",IF(ISNA(MATCH($B411,MASTER_JAM!$Q$5:$Q$28,0)),"?",IF(MATCH($B411,MASTER_JAM!$Q$5:$Q$28,0)&lt;=12,"DS","NS")))</f>
        <v/>
      </c>
      <c r="I411" s="157">
        <f>IFERROR(INDEX(MASTER_JAM!$B$5:$B$94,MATCH($C411,MASTER_JAM!$A$5:$A$94,0)),"")</f>
        <v/>
      </c>
      <c r="J411" s="157">
        <f>IFERROR(INDEX(MASTER_JAM!$E$5:$E$94,MATCH($D411,MASTER_JAM!$A$5:$A$94,0)),"")</f>
        <v/>
      </c>
      <c r="K411" s="158">
        <f>IFERROR(INDEX(MASTER_JAM!$J$5:$O$12,MATCH($E411,MASTER_JAM!$I$5:$I$12,0),MATCH($J411,MASTER_JAM!$J$4:$O$4,0))+0,0)</f>
        <v/>
      </c>
      <c r="L411" s="159">
        <f>N($F411)*$K411</f>
        <v/>
      </c>
      <c r="M411" s="157">
        <f>IF($E411="","",IF(OR($E411="Coal",$E411="Dirty Coal"),"MT","BCM"))</f>
        <v/>
      </c>
      <c r="N411" s="157">
        <f>IF($E411="","",IF(OR($E411="Coal",$E411="Dirty Coal"),"Coal","OB"))</f>
        <v/>
      </c>
      <c r="O411" s="157">
        <f>IF($F411="","",IF(COUNTIF(MASTER_JAM!$A$5:$A$94,$C411)=0,"Digger tidak dikenal",IF($J411="","Hauler tidak dikenal",IF($H411="?","Jam salah",IF($K411=0,"Faktor kosong",IF(SUMIFS(INPUT_DELAY!$E$5:$E$20000,INPUT_DELAY!$A$5:$A$20000,$A411,INPUT_DELAY!$B$5:$B$20000,$B411,INPUT_DELAY!$C$5:$C$20000,$C411)+SUMIFS(INPUT_DELAY!$E$5:$E$20000,INPUT_DELAY!$A$5:$A$20000,$A411,INPUT_DELAY!$B$5:$B$20000,$B411,INPUT_DELAY!$C$5:$C$20000,"SEMUA")&gt;=60,"Delay 60 mnt tapi ada ritase","OK"))))))</f>
        <v/>
      </c>
      <c r="P411" s="158">
        <f>IFERROR(INDEX(MASTER_JAM!$Z$5:$AC$10,MATCH($I411,MASTER_JAM!$Y$5:$Y$10,0),MATCH($J411,MASTER_JAM!$Z$4:$AC$4,0))+0,0)</f>
        <v/>
      </c>
      <c r="Q411" s="158">
        <f>IF($P411=0,0,$P411+IFERROR(INDEX(MASTER_JAM!$H$5:$H$94,MATCH($C411,MASTER_JAM!$A$5:$A$94,0))+0,MASTER_JAM!$AC$15)/1000*(60/MASTER_JAM!$AC$12+60/MASTER_JAM!$AC$13)+MASTER_JAM!$AC$14)</f>
        <v/>
      </c>
      <c r="R411" s="158">
        <f>IF(N($F411)=0,0,$F411/SUMIFS(INPUT_RITASE!$F$5:$F$20000,INPUT_RITASE!$A$5:$A$20000,$A411,INPUT_RITASE!$B$5:$B$20000,$B411,INPUT_RITASE!$C$5:$C$20000,$C411,INPUT_RITASE!$D$5:$D$20000,$D411))</f>
        <v/>
      </c>
      <c r="S411" s="158">
        <f>IF($Q411=0,0,$R411*$P411/$Q411)</f>
        <v/>
      </c>
    </row>
    <row r="412">
      <c r="A412" s="155" t="n">
        <v>46105</v>
      </c>
      <c r="B412" s="156" t="inlineStr">
        <is>
          <t>09-10</t>
        </is>
      </c>
      <c r="C412" s="156" t="inlineStr">
        <is>
          <t>EX-755</t>
        </is>
      </c>
      <c r="D412" s="156" t="inlineStr">
        <is>
          <t>DT-517</t>
        </is>
      </c>
      <c r="E412" s="156" t="inlineStr">
        <is>
          <t>OB</t>
        </is>
      </c>
      <c r="F412" s="156" t="n">
        <v>4</v>
      </c>
      <c r="G412" s="156" t="inlineStr"/>
      <c r="H412" s="157">
        <f>IF($B412="","",IF(ISNA(MATCH($B412,MASTER_JAM!$Q$5:$Q$28,0)),"?",IF(MATCH($B412,MASTER_JAM!$Q$5:$Q$28,0)&lt;=12,"DS","NS")))</f>
        <v/>
      </c>
      <c r="I412" s="157">
        <f>IFERROR(INDEX(MASTER_JAM!$B$5:$B$94,MATCH($C412,MASTER_JAM!$A$5:$A$94,0)),"")</f>
        <v/>
      </c>
      <c r="J412" s="157">
        <f>IFERROR(INDEX(MASTER_JAM!$E$5:$E$94,MATCH($D412,MASTER_JAM!$A$5:$A$94,0)),"")</f>
        <v/>
      </c>
      <c r="K412" s="158">
        <f>IFERROR(INDEX(MASTER_JAM!$J$5:$O$12,MATCH($E412,MASTER_JAM!$I$5:$I$12,0),MATCH($J412,MASTER_JAM!$J$4:$O$4,0))+0,0)</f>
        <v/>
      </c>
      <c r="L412" s="159">
        <f>N($F412)*$K412</f>
        <v/>
      </c>
      <c r="M412" s="157">
        <f>IF($E412="","",IF(OR($E412="Coal",$E412="Dirty Coal"),"MT","BCM"))</f>
        <v/>
      </c>
      <c r="N412" s="157">
        <f>IF($E412="","",IF(OR($E412="Coal",$E412="Dirty Coal"),"Coal","OB"))</f>
        <v/>
      </c>
      <c r="O412" s="157">
        <f>IF($F412="","",IF(COUNTIF(MASTER_JAM!$A$5:$A$94,$C412)=0,"Digger tidak dikenal",IF($J412="","Hauler tidak dikenal",IF($H412="?","Jam salah",IF($K412=0,"Faktor kosong",IF(SUMIFS(INPUT_DELAY!$E$5:$E$20000,INPUT_DELAY!$A$5:$A$20000,$A412,INPUT_DELAY!$B$5:$B$20000,$B412,INPUT_DELAY!$C$5:$C$20000,$C412)+SUMIFS(INPUT_DELAY!$E$5:$E$20000,INPUT_DELAY!$A$5:$A$20000,$A412,INPUT_DELAY!$B$5:$B$20000,$B412,INPUT_DELAY!$C$5:$C$20000,"SEMUA")&gt;=60,"Delay 60 mnt tapi ada ritase","OK"))))))</f>
        <v/>
      </c>
      <c r="P412" s="158">
        <f>IFERROR(INDEX(MASTER_JAM!$Z$5:$AC$10,MATCH($I412,MASTER_JAM!$Y$5:$Y$10,0),MATCH($J412,MASTER_JAM!$Z$4:$AC$4,0))+0,0)</f>
        <v/>
      </c>
      <c r="Q412" s="158">
        <f>IF($P412=0,0,$P412+IFERROR(INDEX(MASTER_JAM!$H$5:$H$94,MATCH($C412,MASTER_JAM!$A$5:$A$94,0))+0,MASTER_JAM!$AC$15)/1000*(60/MASTER_JAM!$AC$12+60/MASTER_JAM!$AC$13)+MASTER_JAM!$AC$14)</f>
        <v/>
      </c>
      <c r="R412" s="158">
        <f>IF(N($F412)=0,0,$F412/SUMIFS(INPUT_RITASE!$F$5:$F$20000,INPUT_RITASE!$A$5:$A$20000,$A412,INPUT_RITASE!$B$5:$B$20000,$B412,INPUT_RITASE!$C$5:$C$20000,$C412,INPUT_RITASE!$D$5:$D$20000,$D412))</f>
        <v/>
      </c>
      <c r="S412" s="158">
        <f>IF($Q412=0,0,$R412*$P412/$Q412)</f>
        <v/>
      </c>
    </row>
    <row r="413">
      <c r="A413" s="155" t="n">
        <v>46105</v>
      </c>
      <c r="B413" s="156" t="inlineStr">
        <is>
          <t>09-10</t>
        </is>
      </c>
      <c r="C413" s="156" t="inlineStr">
        <is>
          <t>EX-755</t>
        </is>
      </c>
      <c r="D413" s="156" t="inlineStr">
        <is>
          <t>DT-515</t>
        </is>
      </c>
      <c r="E413" s="156" t="inlineStr">
        <is>
          <t>OB</t>
        </is>
      </c>
      <c r="F413" s="156" t="n">
        <v>4</v>
      </c>
      <c r="G413" s="156" t="inlineStr"/>
      <c r="H413" s="157">
        <f>IF($B413="","",IF(ISNA(MATCH($B413,MASTER_JAM!$Q$5:$Q$28,0)),"?",IF(MATCH($B413,MASTER_JAM!$Q$5:$Q$28,0)&lt;=12,"DS","NS")))</f>
        <v/>
      </c>
      <c r="I413" s="157">
        <f>IFERROR(INDEX(MASTER_JAM!$B$5:$B$94,MATCH($C413,MASTER_JAM!$A$5:$A$94,0)),"")</f>
        <v/>
      </c>
      <c r="J413" s="157">
        <f>IFERROR(INDEX(MASTER_JAM!$E$5:$E$94,MATCH($D413,MASTER_JAM!$A$5:$A$94,0)),"")</f>
        <v/>
      </c>
      <c r="K413" s="158">
        <f>IFERROR(INDEX(MASTER_JAM!$J$5:$O$12,MATCH($E413,MASTER_JAM!$I$5:$I$12,0),MATCH($J413,MASTER_JAM!$J$4:$O$4,0))+0,0)</f>
        <v/>
      </c>
      <c r="L413" s="159">
        <f>N($F413)*$K413</f>
        <v/>
      </c>
      <c r="M413" s="157">
        <f>IF($E413="","",IF(OR($E413="Coal",$E413="Dirty Coal"),"MT","BCM"))</f>
        <v/>
      </c>
      <c r="N413" s="157">
        <f>IF($E413="","",IF(OR($E413="Coal",$E413="Dirty Coal"),"Coal","OB"))</f>
        <v/>
      </c>
      <c r="O413" s="157">
        <f>IF($F413="","",IF(COUNTIF(MASTER_JAM!$A$5:$A$94,$C413)=0,"Digger tidak dikenal",IF($J413="","Hauler tidak dikenal",IF($H413="?","Jam salah",IF($K413=0,"Faktor kosong",IF(SUMIFS(INPUT_DELAY!$E$5:$E$20000,INPUT_DELAY!$A$5:$A$20000,$A413,INPUT_DELAY!$B$5:$B$20000,$B413,INPUT_DELAY!$C$5:$C$20000,$C413)+SUMIFS(INPUT_DELAY!$E$5:$E$20000,INPUT_DELAY!$A$5:$A$20000,$A413,INPUT_DELAY!$B$5:$B$20000,$B413,INPUT_DELAY!$C$5:$C$20000,"SEMUA")&gt;=60,"Delay 60 mnt tapi ada ritase","OK"))))))</f>
        <v/>
      </c>
      <c r="P413" s="158">
        <f>IFERROR(INDEX(MASTER_JAM!$Z$5:$AC$10,MATCH($I413,MASTER_JAM!$Y$5:$Y$10,0),MATCH($J413,MASTER_JAM!$Z$4:$AC$4,0))+0,0)</f>
        <v/>
      </c>
      <c r="Q413" s="158">
        <f>IF($P413=0,0,$P413+IFERROR(INDEX(MASTER_JAM!$H$5:$H$94,MATCH($C413,MASTER_JAM!$A$5:$A$94,0))+0,MASTER_JAM!$AC$15)/1000*(60/MASTER_JAM!$AC$12+60/MASTER_JAM!$AC$13)+MASTER_JAM!$AC$14)</f>
        <v/>
      </c>
      <c r="R413" s="158">
        <f>IF(N($F413)=0,0,$F413/SUMIFS(INPUT_RITASE!$F$5:$F$20000,INPUT_RITASE!$A$5:$A$20000,$A413,INPUT_RITASE!$B$5:$B$20000,$B413,INPUT_RITASE!$C$5:$C$20000,$C413,INPUT_RITASE!$D$5:$D$20000,$D413))</f>
        <v/>
      </c>
      <c r="S413" s="158">
        <f>IF($Q413=0,0,$R413*$P413/$Q413)</f>
        <v/>
      </c>
    </row>
    <row r="414">
      <c r="A414" s="155" t="n">
        <v>46105</v>
      </c>
      <c r="B414" s="156" t="inlineStr">
        <is>
          <t>09-10</t>
        </is>
      </c>
      <c r="C414" s="156" t="inlineStr">
        <is>
          <t>EX-755</t>
        </is>
      </c>
      <c r="D414" s="156" t="inlineStr">
        <is>
          <t>DT-520</t>
        </is>
      </c>
      <c r="E414" s="156" t="inlineStr">
        <is>
          <t>OB</t>
        </is>
      </c>
      <c r="F414" s="156" t="n">
        <v>3</v>
      </c>
      <c r="G414" s="156" t="inlineStr"/>
      <c r="H414" s="157">
        <f>IF($B414="","",IF(ISNA(MATCH($B414,MASTER_JAM!$Q$5:$Q$28,0)),"?",IF(MATCH($B414,MASTER_JAM!$Q$5:$Q$28,0)&lt;=12,"DS","NS")))</f>
        <v/>
      </c>
      <c r="I414" s="157">
        <f>IFERROR(INDEX(MASTER_JAM!$B$5:$B$94,MATCH($C414,MASTER_JAM!$A$5:$A$94,0)),"")</f>
        <v/>
      </c>
      <c r="J414" s="157">
        <f>IFERROR(INDEX(MASTER_JAM!$E$5:$E$94,MATCH($D414,MASTER_JAM!$A$5:$A$94,0)),"")</f>
        <v/>
      </c>
      <c r="K414" s="158">
        <f>IFERROR(INDEX(MASTER_JAM!$J$5:$O$12,MATCH($E414,MASTER_JAM!$I$5:$I$12,0),MATCH($J414,MASTER_JAM!$J$4:$O$4,0))+0,0)</f>
        <v/>
      </c>
      <c r="L414" s="159">
        <f>N($F414)*$K414</f>
        <v/>
      </c>
      <c r="M414" s="157">
        <f>IF($E414="","",IF(OR($E414="Coal",$E414="Dirty Coal"),"MT","BCM"))</f>
        <v/>
      </c>
      <c r="N414" s="157">
        <f>IF($E414="","",IF(OR($E414="Coal",$E414="Dirty Coal"),"Coal","OB"))</f>
        <v/>
      </c>
      <c r="O414" s="157">
        <f>IF($F414="","",IF(COUNTIF(MASTER_JAM!$A$5:$A$94,$C414)=0,"Digger tidak dikenal",IF($J414="","Hauler tidak dikenal",IF($H414="?","Jam salah",IF($K414=0,"Faktor kosong",IF(SUMIFS(INPUT_DELAY!$E$5:$E$20000,INPUT_DELAY!$A$5:$A$20000,$A414,INPUT_DELAY!$B$5:$B$20000,$B414,INPUT_DELAY!$C$5:$C$20000,$C414)+SUMIFS(INPUT_DELAY!$E$5:$E$20000,INPUT_DELAY!$A$5:$A$20000,$A414,INPUT_DELAY!$B$5:$B$20000,$B414,INPUT_DELAY!$C$5:$C$20000,"SEMUA")&gt;=60,"Delay 60 mnt tapi ada ritase","OK"))))))</f>
        <v/>
      </c>
      <c r="P414" s="158">
        <f>IFERROR(INDEX(MASTER_JAM!$Z$5:$AC$10,MATCH($I414,MASTER_JAM!$Y$5:$Y$10,0),MATCH($J414,MASTER_JAM!$Z$4:$AC$4,0))+0,0)</f>
        <v/>
      </c>
      <c r="Q414" s="158">
        <f>IF($P414=0,0,$P414+IFERROR(INDEX(MASTER_JAM!$H$5:$H$94,MATCH($C414,MASTER_JAM!$A$5:$A$94,0))+0,MASTER_JAM!$AC$15)/1000*(60/MASTER_JAM!$AC$12+60/MASTER_JAM!$AC$13)+MASTER_JAM!$AC$14)</f>
        <v/>
      </c>
      <c r="R414" s="158">
        <f>IF(N($F414)=0,0,$F414/SUMIFS(INPUT_RITASE!$F$5:$F$20000,INPUT_RITASE!$A$5:$A$20000,$A414,INPUT_RITASE!$B$5:$B$20000,$B414,INPUT_RITASE!$C$5:$C$20000,$C414,INPUT_RITASE!$D$5:$D$20000,$D414))</f>
        <v/>
      </c>
      <c r="S414" s="158">
        <f>IF($Q414=0,0,$R414*$P414/$Q414)</f>
        <v/>
      </c>
    </row>
    <row r="415">
      <c r="A415" s="155" t="n">
        <v>46105</v>
      </c>
      <c r="B415" s="156" t="inlineStr">
        <is>
          <t>10-11</t>
        </is>
      </c>
      <c r="C415" s="156" t="inlineStr">
        <is>
          <t>EX-755</t>
        </is>
      </c>
      <c r="D415" s="156" t="inlineStr">
        <is>
          <t>DT-522</t>
        </is>
      </c>
      <c r="E415" s="156" t="inlineStr">
        <is>
          <t>OB</t>
        </is>
      </c>
      <c r="F415" s="156" t="n">
        <v>4</v>
      </c>
      <c r="G415" s="156" t="inlineStr"/>
      <c r="H415" s="157">
        <f>IF($B415="","",IF(ISNA(MATCH($B415,MASTER_JAM!$Q$5:$Q$28,0)),"?",IF(MATCH($B415,MASTER_JAM!$Q$5:$Q$28,0)&lt;=12,"DS","NS")))</f>
        <v/>
      </c>
      <c r="I415" s="157">
        <f>IFERROR(INDEX(MASTER_JAM!$B$5:$B$94,MATCH($C415,MASTER_JAM!$A$5:$A$94,0)),"")</f>
        <v/>
      </c>
      <c r="J415" s="157">
        <f>IFERROR(INDEX(MASTER_JAM!$E$5:$E$94,MATCH($D415,MASTER_JAM!$A$5:$A$94,0)),"")</f>
        <v/>
      </c>
      <c r="K415" s="158">
        <f>IFERROR(INDEX(MASTER_JAM!$J$5:$O$12,MATCH($E415,MASTER_JAM!$I$5:$I$12,0),MATCH($J415,MASTER_JAM!$J$4:$O$4,0))+0,0)</f>
        <v/>
      </c>
      <c r="L415" s="159">
        <f>N($F415)*$K415</f>
        <v/>
      </c>
      <c r="M415" s="157">
        <f>IF($E415="","",IF(OR($E415="Coal",$E415="Dirty Coal"),"MT","BCM"))</f>
        <v/>
      </c>
      <c r="N415" s="157">
        <f>IF($E415="","",IF(OR($E415="Coal",$E415="Dirty Coal"),"Coal","OB"))</f>
        <v/>
      </c>
      <c r="O415" s="157">
        <f>IF($F415="","",IF(COUNTIF(MASTER_JAM!$A$5:$A$94,$C415)=0,"Digger tidak dikenal",IF($J415="","Hauler tidak dikenal",IF($H415="?","Jam salah",IF($K415=0,"Faktor kosong",IF(SUMIFS(INPUT_DELAY!$E$5:$E$20000,INPUT_DELAY!$A$5:$A$20000,$A415,INPUT_DELAY!$B$5:$B$20000,$B415,INPUT_DELAY!$C$5:$C$20000,$C415)+SUMIFS(INPUT_DELAY!$E$5:$E$20000,INPUT_DELAY!$A$5:$A$20000,$A415,INPUT_DELAY!$B$5:$B$20000,$B415,INPUT_DELAY!$C$5:$C$20000,"SEMUA")&gt;=60,"Delay 60 mnt tapi ada ritase","OK"))))))</f>
        <v/>
      </c>
      <c r="P415" s="158">
        <f>IFERROR(INDEX(MASTER_JAM!$Z$5:$AC$10,MATCH($I415,MASTER_JAM!$Y$5:$Y$10,0),MATCH($J415,MASTER_JAM!$Z$4:$AC$4,0))+0,0)</f>
        <v/>
      </c>
      <c r="Q415" s="158">
        <f>IF($P415=0,0,$P415+IFERROR(INDEX(MASTER_JAM!$H$5:$H$94,MATCH($C415,MASTER_JAM!$A$5:$A$94,0))+0,MASTER_JAM!$AC$15)/1000*(60/MASTER_JAM!$AC$12+60/MASTER_JAM!$AC$13)+MASTER_JAM!$AC$14)</f>
        <v/>
      </c>
      <c r="R415" s="158">
        <f>IF(N($F415)=0,0,$F415/SUMIFS(INPUT_RITASE!$F$5:$F$20000,INPUT_RITASE!$A$5:$A$20000,$A415,INPUT_RITASE!$B$5:$B$20000,$B415,INPUT_RITASE!$C$5:$C$20000,$C415,INPUT_RITASE!$D$5:$D$20000,$D415))</f>
        <v/>
      </c>
      <c r="S415" s="158">
        <f>IF($Q415=0,0,$R415*$P415/$Q415)</f>
        <v/>
      </c>
    </row>
    <row r="416">
      <c r="A416" s="155" t="n">
        <v>46105</v>
      </c>
      <c r="B416" s="156" t="inlineStr">
        <is>
          <t>10-11</t>
        </is>
      </c>
      <c r="C416" s="156" t="inlineStr">
        <is>
          <t>EX-755</t>
        </is>
      </c>
      <c r="D416" s="156" t="inlineStr">
        <is>
          <t>DT-517</t>
        </is>
      </c>
      <c r="E416" s="156" t="inlineStr">
        <is>
          <t>OB</t>
        </is>
      </c>
      <c r="F416" s="156" t="n">
        <v>4</v>
      </c>
      <c r="G416" s="156" t="inlineStr"/>
      <c r="H416" s="157">
        <f>IF($B416="","",IF(ISNA(MATCH($B416,MASTER_JAM!$Q$5:$Q$28,0)),"?",IF(MATCH($B416,MASTER_JAM!$Q$5:$Q$28,0)&lt;=12,"DS","NS")))</f>
        <v/>
      </c>
      <c r="I416" s="157">
        <f>IFERROR(INDEX(MASTER_JAM!$B$5:$B$94,MATCH($C416,MASTER_JAM!$A$5:$A$94,0)),"")</f>
        <v/>
      </c>
      <c r="J416" s="157">
        <f>IFERROR(INDEX(MASTER_JAM!$E$5:$E$94,MATCH($D416,MASTER_JAM!$A$5:$A$94,0)),"")</f>
        <v/>
      </c>
      <c r="K416" s="158">
        <f>IFERROR(INDEX(MASTER_JAM!$J$5:$O$12,MATCH($E416,MASTER_JAM!$I$5:$I$12,0),MATCH($J416,MASTER_JAM!$J$4:$O$4,0))+0,0)</f>
        <v/>
      </c>
      <c r="L416" s="159">
        <f>N($F416)*$K416</f>
        <v/>
      </c>
      <c r="M416" s="157">
        <f>IF($E416="","",IF(OR($E416="Coal",$E416="Dirty Coal"),"MT","BCM"))</f>
        <v/>
      </c>
      <c r="N416" s="157">
        <f>IF($E416="","",IF(OR($E416="Coal",$E416="Dirty Coal"),"Coal","OB"))</f>
        <v/>
      </c>
      <c r="O416" s="157">
        <f>IF($F416="","",IF(COUNTIF(MASTER_JAM!$A$5:$A$94,$C416)=0,"Digger tidak dikenal",IF($J416="","Hauler tidak dikenal",IF($H416="?","Jam salah",IF($K416=0,"Faktor kosong",IF(SUMIFS(INPUT_DELAY!$E$5:$E$20000,INPUT_DELAY!$A$5:$A$20000,$A416,INPUT_DELAY!$B$5:$B$20000,$B416,INPUT_DELAY!$C$5:$C$20000,$C416)+SUMIFS(INPUT_DELAY!$E$5:$E$20000,INPUT_DELAY!$A$5:$A$20000,$A416,INPUT_DELAY!$B$5:$B$20000,$B416,INPUT_DELAY!$C$5:$C$20000,"SEMUA")&gt;=60,"Delay 60 mnt tapi ada ritase","OK"))))))</f>
        <v/>
      </c>
      <c r="P416" s="158">
        <f>IFERROR(INDEX(MASTER_JAM!$Z$5:$AC$10,MATCH($I416,MASTER_JAM!$Y$5:$Y$10,0),MATCH($J416,MASTER_JAM!$Z$4:$AC$4,0))+0,0)</f>
        <v/>
      </c>
      <c r="Q416" s="158">
        <f>IF($P416=0,0,$P416+IFERROR(INDEX(MASTER_JAM!$H$5:$H$94,MATCH($C416,MASTER_JAM!$A$5:$A$94,0))+0,MASTER_JAM!$AC$15)/1000*(60/MASTER_JAM!$AC$12+60/MASTER_JAM!$AC$13)+MASTER_JAM!$AC$14)</f>
        <v/>
      </c>
      <c r="R416" s="158">
        <f>IF(N($F416)=0,0,$F416/SUMIFS(INPUT_RITASE!$F$5:$F$20000,INPUT_RITASE!$A$5:$A$20000,$A416,INPUT_RITASE!$B$5:$B$20000,$B416,INPUT_RITASE!$C$5:$C$20000,$C416,INPUT_RITASE!$D$5:$D$20000,$D416))</f>
        <v/>
      </c>
      <c r="S416" s="158">
        <f>IF($Q416=0,0,$R416*$P416/$Q416)</f>
        <v/>
      </c>
    </row>
    <row r="417">
      <c r="A417" s="155" t="n">
        <v>46105</v>
      </c>
      <c r="B417" s="156" t="inlineStr">
        <is>
          <t>10-11</t>
        </is>
      </c>
      <c r="C417" s="156" t="inlineStr">
        <is>
          <t>EX-755</t>
        </is>
      </c>
      <c r="D417" s="156" t="inlineStr">
        <is>
          <t>DT-506</t>
        </is>
      </c>
      <c r="E417" s="156" t="inlineStr">
        <is>
          <t>OB</t>
        </is>
      </c>
      <c r="F417" s="156" t="n">
        <v>4</v>
      </c>
      <c r="G417" s="156" t="inlineStr"/>
      <c r="H417" s="157">
        <f>IF($B417="","",IF(ISNA(MATCH($B417,MASTER_JAM!$Q$5:$Q$28,0)),"?",IF(MATCH($B417,MASTER_JAM!$Q$5:$Q$28,0)&lt;=12,"DS","NS")))</f>
        <v/>
      </c>
      <c r="I417" s="157">
        <f>IFERROR(INDEX(MASTER_JAM!$B$5:$B$94,MATCH($C417,MASTER_JAM!$A$5:$A$94,0)),"")</f>
        <v/>
      </c>
      <c r="J417" s="157">
        <f>IFERROR(INDEX(MASTER_JAM!$E$5:$E$94,MATCH($D417,MASTER_JAM!$A$5:$A$94,0)),"")</f>
        <v/>
      </c>
      <c r="K417" s="158">
        <f>IFERROR(INDEX(MASTER_JAM!$J$5:$O$12,MATCH($E417,MASTER_JAM!$I$5:$I$12,0),MATCH($J417,MASTER_JAM!$J$4:$O$4,0))+0,0)</f>
        <v/>
      </c>
      <c r="L417" s="159">
        <f>N($F417)*$K417</f>
        <v/>
      </c>
      <c r="M417" s="157">
        <f>IF($E417="","",IF(OR($E417="Coal",$E417="Dirty Coal"),"MT","BCM"))</f>
        <v/>
      </c>
      <c r="N417" s="157">
        <f>IF($E417="","",IF(OR($E417="Coal",$E417="Dirty Coal"),"Coal","OB"))</f>
        <v/>
      </c>
      <c r="O417" s="157">
        <f>IF($F417="","",IF(COUNTIF(MASTER_JAM!$A$5:$A$94,$C417)=0,"Digger tidak dikenal",IF($J417="","Hauler tidak dikenal",IF($H417="?","Jam salah",IF($K417=0,"Faktor kosong",IF(SUMIFS(INPUT_DELAY!$E$5:$E$20000,INPUT_DELAY!$A$5:$A$20000,$A417,INPUT_DELAY!$B$5:$B$20000,$B417,INPUT_DELAY!$C$5:$C$20000,$C417)+SUMIFS(INPUT_DELAY!$E$5:$E$20000,INPUT_DELAY!$A$5:$A$20000,$A417,INPUT_DELAY!$B$5:$B$20000,$B417,INPUT_DELAY!$C$5:$C$20000,"SEMUA")&gt;=60,"Delay 60 mnt tapi ada ritase","OK"))))))</f>
        <v/>
      </c>
      <c r="P417" s="158">
        <f>IFERROR(INDEX(MASTER_JAM!$Z$5:$AC$10,MATCH($I417,MASTER_JAM!$Y$5:$Y$10,0),MATCH($J417,MASTER_JAM!$Z$4:$AC$4,0))+0,0)</f>
        <v/>
      </c>
      <c r="Q417" s="158">
        <f>IF($P417=0,0,$P417+IFERROR(INDEX(MASTER_JAM!$H$5:$H$94,MATCH($C417,MASTER_JAM!$A$5:$A$94,0))+0,MASTER_JAM!$AC$15)/1000*(60/MASTER_JAM!$AC$12+60/MASTER_JAM!$AC$13)+MASTER_JAM!$AC$14)</f>
        <v/>
      </c>
      <c r="R417" s="158">
        <f>IF(N($F417)=0,0,$F417/SUMIFS(INPUT_RITASE!$F$5:$F$20000,INPUT_RITASE!$A$5:$A$20000,$A417,INPUT_RITASE!$B$5:$B$20000,$B417,INPUT_RITASE!$C$5:$C$20000,$C417,INPUT_RITASE!$D$5:$D$20000,$D417))</f>
        <v/>
      </c>
      <c r="S417" s="158">
        <f>IF($Q417=0,0,$R417*$P417/$Q417)</f>
        <v/>
      </c>
    </row>
    <row r="418">
      <c r="A418" s="155" t="n">
        <v>46105</v>
      </c>
      <c r="B418" s="156" t="inlineStr">
        <is>
          <t>10-11</t>
        </is>
      </c>
      <c r="C418" s="156" t="inlineStr">
        <is>
          <t>EX-755</t>
        </is>
      </c>
      <c r="D418" s="156" t="inlineStr">
        <is>
          <t>DT-515</t>
        </is>
      </c>
      <c r="E418" s="156" t="inlineStr">
        <is>
          <t>OB</t>
        </is>
      </c>
      <c r="F418" s="156" t="n">
        <v>3</v>
      </c>
      <c r="G418" s="156" t="inlineStr"/>
      <c r="H418" s="157">
        <f>IF($B418="","",IF(ISNA(MATCH($B418,MASTER_JAM!$Q$5:$Q$28,0)),"?",IF(MATCH($B418,MASTER_JAM!$Q$5:$Q$28,0)&lt;=12,"DS","NS")))</f>
        <v/>
      </c>
      <c r="I418" s="157">
        <f>IFERROR(INDEX(MASTER_JAM!$B$5:$B$94,MATCH($C418,MASTER_JAM!$A$5:$A$94,0)),"")</f>
        <v/>
      </c>
      <c r="J418" s="157">
        <f>IFERROR(INDEX(MASTER_JAM!$E$5:$E$94,MATCH($D418,MASTER_JAM!$A$5:$A$94,0)),"")</f>
        <v/>
      </c>
      <c r="K418" s="158">
        <f>IFERROR(INDEX(MASTER_JAM!$J$5:$O$12,MATCH($E418,MASTER_JAM!$I$5:$I$12,0),MATCH($J418,MASTER_JAM!$J$4:$O$4,0))+0,0)</f>
        <v/>
      </c>
      <c r="L418" s="159">
        <f>N($F418)*$K418</f>
        <v/>
      </c>
      <c r="M418" s="157">
        <f>IF($E418="","",IF(OR($E418="Coal",$E418="Dirty Coal"),"MT","BCM"))</f>
        <v/>
      </c>
      <c r="N418" s="157">
        <f>IF($E418="","",IF(OR($E418="Coal",$E418="Dirty Coal"),"Coal","OB"))</f>
        <v/>
      </c>
      <c r="O418" s="157">
        <f>IF($F418="","",IF(COUNTIF(MASTER_JAM!$A$5:$A$94,$C418)=0,"Digger tidak dikenal",IF($J418="","Hauler tidak dikenal",IF($H418="?","Jam salah",IF($K418=0,"Faktor kosong",IF(SUMIFS(INPUT_DELAY!$E$5:$E$20000,INPUT_DELAY!$A$5:$A$20000,$A418,INPUT_DELAY!$B$5:$B$20000,$B418,INPUT_DELAY!$C$5:$C$20000,$C418)+SUMIFS(INPUT_DELAY!$E$5:$E$20000,INPUT_DELAY!$A$5:$A$20000,$A418,INPUT_DELAY!$B$5:$B$20000,$B418,INPUT_DELAY!$C$5:$C$20000,"SEMUA")&gt;=60,"Delay 60 mnt tapi ada ritase","OK"))))))</f>
        <v/>
      </c>
      <c r="P418" s="158">
        <f>IFERROR(INDEX(MASTER_JAM!$Z$5:$AC$10,MATCH($I418,MASTER_JAM!$Y$5:$Y$10,0),MATCH($J418,MASTER_JAM!$Z$4:$AC$4,0))+0,0)</f>
        <v/>
      </c>
      <c r="Q418" s="158">
        <f>IF($P418=0,0,$P418+IFERROR(INDEX(MASTER_JAM!$H$5:$H$94,MATCH($C418,MASTER_JAM!$A$5:$A$94,0))+0,MASTER_JAM!$AC$15)/1000*(60/MASTER_JAM!$AC$12+60/MASTER_JAM!$AC$13)+MASTER_JAM!$AC$14)</f>
        <v/>
      </c>
      <c r="R418" s="158">
        <f>IF(N($F418)=0,0,$F418/SUMIFS(INPUT_RITASE!$F$5:$F$20000,INPUT_RITASE!$A$5:$A$20000,$A418,INPUT_RITASE!$B$5:$B$20000,$B418,INPUT_RITASE!$C$5:$C$20000,$C418,INPUT_RITASE!$D$5:$D$20000,$D418))</f>
        <v/>
      </c>
      <c r="S418" s="158">
        <f>IF($Q418=0,0,$R418*$P418/$Q418)</f>
        <v/>
      </c>
    </row>
    <row r="419">
      <c r="A419" s="155" t="n">
        <v>46105</v>
      </c>
      <c r="B419" s="156" t="inlineStr">
        <is>
          <t>10-11</t>
        </is>
      </c>
      <c r="C419" s="156" t="inlineStr">
        <is>
          <t>EX-755</t>
        </is>
      </c>
      <c r="D419" s="156" t="inlineStr">
        <is>
          <t>DT-510</t>
        </is>
      </c>
      <c r="E419" s="156" t="inlineStr">
        <is>
          <t>OB</t>
        </is>
      </c>
      <c r="F419" s="156" t="n">
        <v>3</v>
      </c>
      <c r="G419" s="156" t="inlineStr"/>
      <c r="H419" s="157">
        <f>IF($B419="","",IF(ISNA(MATCH($B419,MASTER_JAM!$Q$5:$Q$28,0)),"?",IF(MATCH($B419,MASTER_JAM!$Q$5:$Q$28,0)&lt;=12,"DS","NS")))</f>
        <v/>
      </c>
      <c r="I419" s="157">
        <f>IFERROR(INDEX(MASTER_JAM!$B$5:$B$94,MATCH($C419,MASTER_JAM!$A$5:$A$94,0)),"")</f>
        <v/>
      </c>
      <c r="J419" s="157">
        <f>IFERROR(INDEX(MASTER_JAM!$E$5:$E$94,MATCH($D419,MASTER_JAM!$A$5:$A$94,0)),"")</f>
        <v/>
      </c>
      <c r="K419" s="158">
        <f>IFERROR(INDEX(MASTER_JAM!$J$5:$O$12,MATCH($E419,MASTER_JAM!$I$5:$I$12,0),MATCH($J419,MASTER_JAM!$J$4:$O$4,0))+0,0)</f>
        <v/>
      </c>
      <c r="L419" s="159">
        <f>N($F419)*$K419</f>
        <v/>
      </c>
      <c r="M419" s="157">
        <f>IF($E419="","",IF(OR($E419="Coal",$E419="Dirty Coal"),"MT","BCM"))</f>
        <v/>
      </c>
      <c r="N419" s="157">
        <f>IF($E419="","",IF(OR($E419="Coal",$E419="Dirty Coal"),"Coal","OB"))</f>
        <v/>
      </c>
      <c r="O419" s="157">
        <f>IF($F419="","",IF(COUNTIF(MASTER_JAM!$A$5:$A$94,$C419)=0,"Digger tidak dikenal",IF($J419="","Hauler tidak dikenal",IF($H419="?","Jam salah",IF($K419=0,"Faktor kosong",IF(SUMIFS(INPUT_DELAY!$E$5:$E$20000,INPUT_DELAY!$A$5:$A$20000,$A419,INPUT_DELAY!$B$5:$B$20000,$B419,INPUT_DELAY!$C$5:$C$20000,$C419)+SUMIFS(INPUT_DELAY!$E$5:$E$20000,INPUT_DELAY!$A$5:$A$20000,$A419,INPUT_DELAY!$B$5:$B$20000,$B419,INPUT_DELAY!$C$5:$C$20000,"SEMUA")&gt;=60,"Delay 60 mnt tapi ada ritase","OK"))))))</f>
        <v/>
      </c>
      <c r="P419" s="158">
        <f>IFERROR(INDEX(MASTER_JAM!$Z$5:$AC$10,MATCH($I419,MASTER_JAM!$Y$5:$Y$10,0),MATCH($J419,MASTER_JAM!$Z$4:$AC$4,0))+0,0)</f>
        <v/>
      </c>
      <c r="Q419" s="158">
        <f>IF($P419=0,0,$P419+IFERROR(INDEX(MASTER_JAM!$H$5:$H$94,MATCH($C419,MASTER_JAM!$A$5:$A$94,0))+0,MASTER_JAM!$AC$15)/1000*(60/MASTER_JAM!$AC$12+60/MASTER_JAM!$AC$13)+MASTER_JAM!$AC$14)</f>
        <v/>
      </c>
      <c r="R419" s="158">
        <f>IF(N($F419)=0,0,$F419/SUMIFS(INPUT_RITASE!$F$5:$F$20000,INPUT_RITASE!$A$5:$A$20000,$A419,INPUT_RITASE!$B$5:$B$20000,$B419,INPUT_RITASE!$C$5:$C$20000,$C419,INPUT_RITASE!$D$5:$D$20000,$D419))</f>
        <v/>
      </c>
      <c r="S419" s="158">
        <f>IF($Q419=0,0,$R419*$P419/$Q419)</f>
        <v/>
      </c>
    </row>
    <row r="420">
      <c r="A420" s="155" t="n">
        <v>46105</v>
      </c>
      <c r="B420" s="156" t="inlineStr">
        <is>
          <t>11-12</t>
        </is>
      </c>
      <c r="C420" s="156" t="inlineStr">
        <is>
          <t>EX-755</t>
        </is>
      </c>
      <c r="D420" s="156" t="inlineStr">
        <is>
          <t>DT-521</t>
        </is>
      </c>
      <c r="E420" s="156" t="inlineStr">
        <is>
          <t>OB</t>
        </is>
      </c>
      <c r="F420" s="156" t="n">
        <v>4</v>
      </c>
      <c r="G420" s="156" t="inlineStr"/>
      <c r="H420" s="157">
        <f>IF($B420="","",IF(ISNA(MATCH($B420,MASTER_JAM!$Q$5:$Q$28,0)),"?",IF(MATCH($B420,MASTER_JAM!$Q$5:$Q$28,0)&lt;=12,"DS","NS")))</f>
        <v/>
      </c>
      <c r="I420" s="157">
        <f>IFERROR(INDEX(MASTER_JAM!$B$5:$B$94,MATCH($C420,MASTER_JAM!$A$5:$A$94,0)),"")</f>
        <v/>
      </c>
      <c r="J420" s="157">
        <f>IFERROR(INDEX(MASTER_JAM!$E$5:$E$94,MATCH($D420,MASTER_JAM!$A$5:$A$94,0)),"")</f>
        <v/>
      </c>
      <c r="K420" s="158">
        <f>IFERROR(INDEX(MASTER_JAM!$J$5:$O$12,MATCH($E420,MASTER_JAM!$I$5:$I$12,0),MATCH($J420,MASTER_JAM!$J$4:$O$4,0))+0,0)</f>
        <v/>
      </c>
      <c r="L420" s="159">
        <f>N($F420)*$K420</f>
        <v/>
      </c>
      <c r="M420" s="157">
        <f>IF($E420="","",IF(OR($E420="Coal",$E420="Dirty Coal"),"MT","BCM"))</f>
        <v/>
      </c>
      <c r="N420" s="157">
        <f>IF($E420="","",IF(OR($E420="Coal",$E420="Dirty Coal"),"Coal","OB"))</f>
        <v/>
      </c>
      <c r="O420" s="157">
        <f>IF($F420="","",IF(COUNTIF(MASTER_JAM!$A$5:$A$94,$C420)=0,"Digger tidak dikenal",IF($J420="","Hauler tidak dikenal",IF($H420="?","Jam salah",IF($K420=0,"Faktor kosong",IF(SUMIFS(INPUT_DELAY!$E$5:$E$20000,INPUT_DELAY!$A$5:$A$20000,$A420,INPUT_DELAY!$B$5:$B$20000,$B420,INPUT_DELAY!$C$5:$C$20000,$C420)+SUMIFS(INPUT_DELAY!$E$5:$E$20000,INPUT_DELAY!$A$5:$A$20000,$A420,INPUT_DELAY!$B$5:$B$20000,$B420,INPUT_DELAY!$C$5:$C$20000,"SEMUA")&gt;=60,"Delay 60 mnt tapi ada ritase","OK"))))))</f>
        <v/>
      </c>
      <c r="P420" s="158">
        <f>IFERROR(INDEX(MASTER_JAM!$Z$5:$AC$10,MATCH($I420,MASTER_JAM!$Y$5:$Y$10,0),MATCH($J420,MASTER_JAM!$Z$4:$AC$4,0))+0,0)</f>
        <v/>
      </c>
      <c r="Q420" s="158">
        <f>IF($P420=0,0,$P420+IFERROR(INDEX(MASTER_JAM!$H$5:$H$94,MATCH($C420,MASTER_JAM!$A$5:$A$94,0))+0,MASTER_JAM!$AC$15)/1000*(60/MASTER_JAM!$AC$12+60/MASTER_JAM!$AC$13)+MASTER_JAM!$AC$14)</f>
        <v/>
      </c>
      <c r="R420" s="158">
        <f>IF(N($F420)=0,0,$F420/SUMIFS(INPUT_RITASE!$F$5:$F$20000,INPUT_RITASE!$A$5:$A$20000,$A420,INPUT_RITASE!$B$5:$B$20000,$B420,INPUT_RITASE!$C$5:$C$20000,$C420,INPUT_RITASE!$D$5:$D$20000,$D420))</f>
        <v/>
      </c>
      <c r="S420" s="158">
        <f>IF($Q420=0,0,$R420*$P420/$Q420)</f>
        <v/>
      </c>
    </row>
    <row r="421">
      <c r="A421" s="155" t="n">
        <v>46105</v>
      </c>
      <c r="B421" s="156" t="inlineStr">
        <is>
          <t>11-12</t>
        </is>
      </c>
      <c r="C421" s="156" t="inlineStr">
        <is>
          <t>EX-755</t>
        </is>
      </c>
      <c r="D421" s="156" t="inlineStr">
        <is>
          <t>DT-502</t>
        </is>
      </c>
      <c r="E421" s="156" t="inlineStr">
        <is>
          <t>OB</t>
        </is>
      </c>
      <c r="F421" s="156" t="n">
        <v>4</v>
      </c>
      <c r="G421" s="156" t="inlineStr"/>
      <c r="H421" s="157">
        <f>IF($B421="","",IF(ISNA(MATCH($B421,MASTER_JAM!$Q$5:$Q$28,0)),"?",IF(MATCH($B421,MASTER_JAM!$Q$5:$Q$28,0)&lt;=12,"DS","NS")))</f>
        <v/>
      </c>
      <c r="I421" s="157">
        <f>IFERROR(INDEX(MASTER_JAM!$B$5:$B$94,MATCH($C421,MASTER_JAM!$A$5:$A$94,0)),"")</f>
        <v/>
      </c>
      <c r="J421" s="157">
        <f>IFERROR(INDEX(MASTER_JAM!$E$5:$E$94,MATCH($D421,MASTER_JAM!$A$5:$A$94,0)),"")</f>
        <v/>
      </c>
      <c r="K421" s="158">
        <f>IFERROR(INDEX(MASTER_JAM!$J$5:$O$12,MATCH($E421,MASTER_JAM!$I$5:$I$12,0),MATCH($J421,MASTER_JAM!$J$4:$O$4,0))+0,0)</f>
        <v/>
      </c>
      <c r="L421" s="159">
        <f>N($F421)*$K421</f>
        <v/>
      </c>
      <c r="M421" s="157">
        <f>IF($E421="","",IF(OR($E421="Coal",$E421="Dirty Coal"),"MT","BCM"))</f>
        <v/>
      </c>
      <c r="N421" s="157">
        <f>IF($E421="","",IF(OR($E421="Coal",$E421="Dirty Coal"),"Coal","OB"))</f>
        <v/>
      </c>
      <c r="O421" s="157">
        <f>IF($F421="","",IF(COUNTIF(MASTER_JAM!$A$5:$A$94,$C421)=0,"Digger tidak dikenal",IF($J421="","Hauler tidak dikenal",IF($H421="?","Jam salah",IF($K421=0,"Faktor kosong",IF(SUMIFS(INPUT_DELAY!$E$5:$E$20000,INPUT_DELAY!$A$5:$A$20000,$A421,INPUT_DELAY!$B$5:$B$20000,$B421,INPUT_DELAY!$C$5:$C$20000,$C421)+SUMIFS(INPUT_DELAY!$E$5:$E$20000,INPUT_DELAY!$A$5:$A$20000,$A421,INPUT_DELAY!$B$5:$B$20000,$B421,INPUT_DELAY!$C$5:$C$20000,"SEMUA")&gt;=60,"Delay 60 mnt tapi ada ritase","OK"))))))</f>
        <v/>
      </c>
      <c r="P421" s="158">
        <f>IFERROR(INDEX(MASTER_JAM!$Z$5:$AC$10,MATCH($I421,MASTER_JAM!$Y$5:$Y$10,0),MATCH($J421,MASTER_JAM!$Z$4:$AC$4,0))+0,0)</f>
        <v/>
      </c>
      <c r="Q421" s="158">
        <f>IF($P421=0,0,$P421+IFERROR(INDEX(MASTER_JAM!$H$5:$H$94,MATCH($C421,MASTER_JAM!$A$5:$A$94,0))+0,MASTER_JAM!$AC$15)/1000*(60/MASTER_JAM!$AC$12+60/MASTER_JAM!$AC$13)+MASTER_JAM!$AC$14)</f>
        <v/>
      </c>
      <c r="R421" s="158">
        <f>IF(N($F421)=0,0,$F421/SUMIFS(INPUT_RITASE!$F$5:$F$20000,INPUT_RITASE!$A$5:$A$20000,$A421,INPUT_RITASE!$B$5:$B$20000,$B421,INPUT_RITASE!$C$5:$C$20000,$C421,INPUT_RITASE!$D$5:$D$20000,$D421))</f>
        <v/>
      </c>
      <c r="S421" s="158">
        <f>IF($Q421=0,0,$R421*$P421/$Q421)</f>
        <v/>
      </c>
    </row>
    <row r="422">
      <c r="A422" s="155" t="n">
        <v>46105</v>
      </c>
      <c r="B422" s="156" t="inlineStr">
        <is>
          <t>11-12</t>
        </is>
      </c>
      <c r="C422" s="156" t="inlineStr">
        <is>
          <t>EX-755</t>
        </is>
      </c>
      <c r="D422" s="156" t="inlineStr">
        <is>
          <t>DT-503</t>
        </is>
      </c>
      <c r="E422" s="156" t="inlineStr">
        <is>
          <t>OB</t>
        </is>
      </c>
      <c r="F422" s="156" t="n">
        <v>4</v>
      </c>
      <c r="G422" s="156" t="inlineStr"/>
      <c r="H422" s="157">
        <f>IF($B422="","",IF(ISNA(MATCH($B422,MASTER_JAM!$Q$5:$Q$28,0)),"?",IF(MATCH($B422,MASTER_JAM!$Q$5:$Q$28,0)&lt;=12,"DS","NS")))</f>
        <v/>
      </c>
      <c r="I422" s="157">
        <f>IFERROR(INDEX(MASTER_JAM!$B$5:$B$94,MATCH($C422,MASTER_JAM!$A$5:$A$94,0)),"")</f>
        <v/>
      </c>
      <c r="J422" s="157">
        <f>IFERROR(INDEX(MASTER_JAM!$E$5:$E$94,MATCH($D422,MASTER_JAM!$A$5:$A$94,0)),"")</f>
        <v/>
      </c>
      <c r="K422" s="158">
        <f>IFERROR(INDEX(MASTER_JAM!$J$5:$O$12,MATCH($E422,MASTER_JAM!$I$5:$I$12,0),MATCH($J422,MASTER_JAM!$J$4:$O$4,0))+0,0)</f>
        <v/>
      </c>
      <c r="L422" s="159">
        <f>N($F422)*$K422</f>
        <v/>
      </c>
      <c r="M422" s="157">
        <f>IF($E422="","",IF(OR($E422="Coal",$E422="Dirty Coal"),"MT","BCM"))</f>
        <v/>
      </c>
      <c r="N422" s="157">
        <f>IF($E422="","",IF(OR($E422="Coal",$E422="Dirty Coal"),"Coal","OB"))</f>
        <v/>
      </c>
      <c r="O422" s="157">
        <f>IF($F422="","",IF(COUNTIF(MASTER_JAM!$A$5:$A$94,$C422)=0,"Digger tidak dikenal",IF($J422="","Hauler tidak dikenal",IF($H422="?","Jam salah",IF($K422=0,"Faktor kosong",IF(SUMIFS(INPUT_DELAY!$E$5:$E$20000,INPUT_DELAY!$A$5:$A$20000,$A422,INPUT_DELAY!$B$5:$B$20000,$B422,INPUT_DELAY!$C$5:$C$20000,$C422)+SUMIFS(INPUT_DELAY!$E$5:$E$20000,INPUT_DELAY!$A$5:$A$20000,$A422,INPUT_DELAY!$B$5:$B$20000,$B422,INPUT_DELAY!$C$5:$C$20000,"SEMUA")&gt;=60,"Delay 60 mnt tapi ada ritase","OK"))))))</f>
        <v/>
      </c>
      <c r="P422" s="158">
        <f>IFERROR(INDEX(MASTER_JAM!$Z$5:$AC$10,MATCH($I422,MASTER_JAM!$Y$5:$Y$10,0),MATCH($J422,MASTER_JAM!$Z$4:$AC$4,0))+0,0)</f>
        <v/>
      </c>
      <c r="Q422" s="158">
        <f>IF($P422=0,0,$P422+IFERROR(INDEX(MASTER_JAM!$H$5:$H$94,MATCH($C422,MASTER_JAM!$A$5:$A$94,0))+0,MASTER_JAM!$AC$15)/1000*(60/MASTER_JAM!$AC$12+60/MASTER_JAM!$AC$13)+MASTER_JAM!$AC$14)</f>
        <v/>
      </c>
      <c r="R422" s="158">
        <f>IF(N($F422)=0,0,$F422/SUMIFS(INPUT_RITASE!$F$5:$F$20000,INPUT_RITASE!$A$5:$A$20000,$A422,INPUT_RITASE!$B$5:$B$20000,$B422,INPUT_RITASE!$C$5:$C$20000,$C422,INPUT_RITASE!$D$5:$D$20000,$D422))</f>
        <v/>
      </c>
      <c r="S422" s="158">
        <f>IF($Q422=0,0,$R422*$P422/$Q422)</f>
        <v/>
      </c>
    </row>
    <row r="423">
      <c r="A423" s="155" t="n">
        <v>46105</v>
      </c>
      <c r="B423" s="156" t="inlineStr">
        <is>
          <t>11-12</t>
        </is>
      </c>
      <c r="C423" s="156" t="inlineStr">
        <is>
          <t>EX-755</t>
        </is>
      </c>
      <c r="D423" s="156" t="inlineStr">
        <is>
          <t>DT-512</t>
        </is>
      </c>
      <c r="E423" s="156" t="inlineStr">
        <is>
          <t>OB</t>
        </is>
      </c>
      <c r="F423" s="156" t="n">
        <v>3</v>
      </c>
      <c r="G423" s="156" t="inlineStr"/>
      <c r="H423" s="157">
        <f>IF($B423="","",IF(ISNA(MATCH($B423,MASTER_JAM!$Q$5:$Q$28,0)),"?",IF(MATCH($B423,MASTER_JAM!$Q$5:$Q$28,0)&lt;=12,"DS","NS")))</f>
        <v/>
      </c>
      <c r="I423" s="157">
        <f>IFERROR(INDEX(MASTER_JAM!$B$5:$B$94,MATCH($C423,MASTER_JAM!$A$5:$A$94,0)),"")</f>
        <v/>
      </c>
      <c r="J423" s="157">
        <f>IFERROR(INDEX(MASTER_JAM!$E$5:$E$94,MATCH($D423,MASTER_JAM!$A$5:$A$94,0)),"")</f>
        <v/>
      </c>
      <c r="K423" s="158">
        <f>IFERROR(INDEX(MASTER_JAM!$J$5:$O$12,MATCH($E423,MASTER_JAM!$I$5:$I$12,0),MATCH($J423,MASTER_JAM!$J$4:$O$4,0))+0,0)</f>
        <v/>
      </c>
      <c r="L423" s="159">
        <f>N($F423)*$K423</f>
        <v/>
      </c>
      <c r="M423" s="157">
        <f>IF($E423="","",IF(OR($E423="Coal",$E423="Dirty Coal"),"MT","BCM"))</f>
        <v/>
      </c>
      <c r="N423" s="157">
        <f>IF($E423="","",IF(OR($E423="Coal",$E423="Dirty Coal"),"Coal","OB"))</f>
        <v/>
      </c>
      <c r="O423" s="157">
        <f>IF($F423="","",IF(COUNTIF(MASTER_JAM!$A$5:$A$94,$C423)=0,"Digger tidak dikenal",IF($J423="","Hauler tidak dikenal",IF($H423="?","Jam salah",IF($K423=0,"Faktor kosong",IF(SUMIFS(INPUT_DELAY!$E$5:$E$20000,INPUT_DELAY!$A$5:$A$20000,$A423,INPUT_DELAY!$B$5:$B$20000,$B423,INPUT_DELAY!$C$5:$C$20000,$C423)+SUMIFS(INPUT_DELAY!$E$5:$E$20000,INPUT_DELAY!$A$5:$A$20000,$A423,INPUT_DELAY!$B$5:$B$20000,$B423,INPUT_DELAY!$C$5:$C$20000,"SEMUA")&gt;=60,"Delay 60 mnt tapi ada ritase","OK"))))))</f>
        <v/>
      </c>
      <c r="P423" s="158">
        <f>IFERROR(INDEX(MASTER_JAM!$Z$5:$AC$10,MATCH($I423,MASTER_JAM!$Y$5:$Y$10,0),MATCH($J423,MASTER_JAM!$Z$4:$AC$4,0))+0,0)</f>
        <v/>
      </c>
      <c r="Q423" s="158">
        <f>IF($P423=0,0,$P423+IFERROR(INDEX(MASTER_JAM!$H$5:$H$94,MATCH($C423,MASTER_JAM!$A$5:$A$94,0))+0,MASTER_JAM!$AC$15)/1000*(60/MASTER_JAM!$AC$12+60/MASTER_JAM!$AC$13)+MASTER_JAM!$AC$14)</f>
        <v/>
      </c>
      <c r="R423" s="158">
        <f>IF(N($F423)=0,0,$F423/SUMIFS(INPUT_RITASE!$F$5:$F$20000,INPUT_RITASE!$A$5:$A$20000,$A423,INPUT_RITASE!$B$5:$B$20000,$B423,INPUT_RITASE!$C$5:$C$20000,$C423,INPUT_RITASE!$D$5:$D$20000,$D423))</f>
        <v/>
      </c>
      <c r="S423" s="158">
        <f>IF($Q423=0,0,$R423*$P423/$Q423)</f>
        <v/>
      </c>
    </row>
    <row r="424">
      <c r="A424" s="155" t="n">
        <v>46105</v>
      </c>
      <c r="B424" s="156" t="inlineStr">
        <is>
          <t>13-14</t>
        </is>
      </c>
      <c r="C424" s="156" t="inlineStr">
        <is>
          <t>EX-755</t>
        </is>
      </c>
      <c r="D424" s="156" t="inlineStr">
        <is>
          <t>DT-510</t>
        </is>
      </c>
      <c r="E424" s="156" t="inlineStr">
        <is>
          <t>OB</t>
        </is>
      </c>
      <c r="F424" s="156" t="n">
        <v>4</v>
      </c>
      <c r="G424" s="156" t="inlineStr"/>
      <c r="H424" s="157">
        <f>IF($B424="","",IF(ISNA(MATCH($B424,MASTER_JAM!$Q$5:$Q$28,0)),"?",IF(MATCH($B424,MASTER_JAM!$Q$5:$Q$28,0)&lt;=12,"DS","NS")))</f>
        <v/>
      </c>
      <c r="I424" s="157">
        <f>IFERROR(INDEX(MASTER_JAM!$B$5:$B$94,MATCH($C424,MASTER_JAM!$A$5:$A$94,0)),"")</f>
        <v/>
      </c>
      <c r="J424" s="157">
        <f>IFERROR(INDEX(MASTER_JAM!$E$5:$E$94,MATCH($D424,MASTER_JAM!$A$5:$A$94,0)),"")</f>
        <v/>
      </c>
      <c r="K424" s="158">
        <f>IFERROR(INDEX(MASTER_JAM!$J$5:$O$12,MATCH($E424,MASTER_JAM!$I$5:$I$12,0),MATCH($J424,MASTER_JAM!$J$4:$O$4,0))+0,0)</f>
        <v/>
      </c>
      <c r="L424" s="159">
        <f>N($F424)*$K424</f>
        <v/>
      </c>
      <c r="M424" s="157">
        <f>IF($E424="","",IF(OR($E424="Coal",$E424="Dirty Coal"),"MT","BCM"))</f>
        <v/>
      </c>
      <c r="N424" s="157">
        <f>IF($E424="","",IF(OR($E424="Coal",$E424="Dirty Coal"),"Coal","OB"))</f>
        <v/>
      </c>
      <c r="O424" s="157">
        <f>IF($F424="","",IF(COUNTIF(MASTER_JAM!$A$5:$A$94,$C424)=0,"Digger tidak dikenal",IF($J424="","Hauler tidak dikenal",IF($H424="?","Jam salah",IF($K424=0,"Faktor kosong",IF(SUMIFS(INPUT_DELAY!$E$5:$E$20000,INPUT_DELAY!$A$5:$A$20000,$A424,INPUT_DELAY!$B$5:$B$20000,$B424,INPUT_DELAY!$C$5:$C$20000,$C424)+SUMIFS(INPUT_DELAY!$E$5:$E$20000,INPUT_DELAY!$A$5:$A$20000,$A424,INPUT_DELAY!$B$5:$B$20000,$B424,INPUT_DELAY!$C$5:$C$20000,"SEMUA")&gt;=60,"Delay 60 mnt tapi ada ritase","OK"))))))</f>
        <v/>
      </c>
      <c r="P424" s="158">
        <f>IFERROR(INDEX(MASTER_JAM!$Z$5:$AC$10,MATCH($I424,MASTER_JAM!$Y$5:$Y$10,0),MATCH($J424,MASTER_JAM!$Z$4:$AC$4,0))+0,0)</f>
        <v/>
      </c>
      <c r="Q424" s="158">
        <f>IF($P424=0,0,$P424+IFERROR(INDEX(MASTER_JAM!$H$5:$H$94,MATCH($C424,MASTER_JAM!$A$5:$A$94,0))+0,MASTER_JAM!$AC$15)/1000*(60/MASTER_JAM!$AC$12+60/MASTER_JAM!$AC$13)+MASTER_JAM!$AC$14)</f>
        <v/>
      </c>
      <c r="R424" s="158">
        <f>IF(N($F424)=0,0,$F424/SUMIFS(INPUT_RITASE!$F$5:$F$20000,INPUT_RITASE!$A$5:$A$20000,$A424,INPUT_RITASE!$B$5:$B$20000,$B424,INPUT_RITASE!$C$5:$C$20000,$C424,INPUT_RITASE!$D$5:$D$20000,$D424))</f>
        <v/>
      </c>
      <c r="S424" s="158">
        <f>IF($Q424=0,0,$R424*$P424/$Q424)</f>
        <v/>
      </c>
    </row>
    <row r="425">
      <c r="A425" s="155" t="n">
        <v>46105</v>
      </c>
      <c r="B425" s="156" t="inlineStr">
        <is>
          <t>13-14</t>
        </is>
      </c>
      <c r="C425" s="156" t="inlineStr">
        <is>
          <t>EX-755</t>
        </is>
      </c>
      <c r="D425" s="156" t="inlineStr">
        <is>
          <t>DT-528</t>
        </is>
      </c>
      <c r="E425" s="156" t="inlineStr">
        <is>
          <t>OB</t>
        </is>
      </c>
      <c r="F425" s="156" t="n">
        <v>4</v>
      </c>
      <c r="G425" s="156" t="inlineStr"/>
      <c r="H425" s="157">
        <f>IF($B425="","",IF(ISNA(MATCH($B425,MASTER_JAM!$Q$5:$Q$28,0)),"?",IF(MATCH($B425,MASTER_JAM!$Q$5:$Q$28,0)&lt;=12,"DS","NS")))</f>
        <v/>
      </c>
      <c r="I425" s="157">
        <f>IFERROR(INDEX(MASTER_JAM!$B$5:$B$94,MATCH($C425,MASTER_JAM!$A$5:$A$94,0)),"")</f>
        <v/>
      </c>
      <c r="J425" s="157">
        <f>IFERROR(INDEX(MASTER_JAM!$E$5:$E$94,MATCH($D425,MASTER_JAM!$A$5:$A$94,0)),"")</f>
        <v/>
      </c>
      <c r="K425" s="158">
        <f>IFERROR(INDEX(MASTER_JAM!$J$5:$O$12,MATCH($E425,MASTER_JAM!$I$5:$I$12,0),MATCH($J425,MASTER_JAM!$J$4:$O$4,0))+0,0)</f>
        <v/>
      </c>
      <c r="L425" s="159">
        <f>N($F425)*$K425</f>
        <v/>
      </c>
      <c r="M425" s="157">
        <f>IF($E425="","",IF(OR($E425="Coal",$E425="Dirty Coal"),"MT","BCM"))</f>
        <v/>
      </c>
      <c r="N425" s="157">
        <f>IF($E425="","",IF(OR($E425="Coal",$E425="Dirty Coal"),"Coal","OB"))</f>
        <v/>
      </c>
      <c r="O425" s="157">
        <f>IF($F425="","",IF(COUNTIF(MASTER_JAM!$A$5:$A$94,$C425)=0,"Digger tidak dikenal",IF($J425="","Hauler tidak dikenal",IF($H425="?","Jam salah",IF($K425=0,"Faktor kosong",IF(SUMIFS(INPUT_DELAY!$E$5:$E$20000,INPUT_DELAY!$A$5:$A$20000,$A425,INPUT_DELAY!$B$5:$B$20000,$B425,INPUT_DELAY!$C$5:$C$20000,$C425)+SUMIFS(INPUT_DELAY!$E$5:$E$20000,INPUT_DELAY!$A$5:$A$20000,$A425,INPUT_DELAY!$B$5:$B$20000,$B425,INPUT_DELAY!$C$5:$C$20000,"SEMUA")&gt;=60,"Delay 60 mnt tapi ada ritase","OK"))))))</f>
        <v/>
      </c>
      <c r="P425" s="158">
        <f>IFERROR(INDEX(MASTER_JAM!$Z$5:$AC$10,MATCH($I425,MASTER_JAM!$Y$5:$Y$10,0),MATCH($J425,MASTER_JAM!$Z$4:$AC$4,0))+0,0)</f>
        <v/>
      </c>
      <c r="Q425" s="158">
        <f>IF($P425=0,0,$P425+IFERROR(INDEX(MASTER_JAM!$H$5:$H$94,MATCH($C425,MASTER_JAM!$A$5:$A$94,0))+0,MASTER_JAM!$AC$15)/1000*(60/MASTER_JAM!$AC$12+60/MASTER_JAM!$AC$13)+MASTER_JAM!$AC$14)</f>
        <v/>
      </c>
      <c r="R425" s="158">
        <f>IF(N($F425)=0,0,$F425/SUMIFS(INPUT_RITASE!$F$5:$F$20000,INPUT_RITASE!$A$5:$A$20000,$A425,INPUT_RITASE!$B$5:$B$20000,$B425,INPUT_RITASE!$C$5:$C$20000,$C425,INPUT_RITASE!$D$5:$D$20000,$D425))</f>
        <v/>
      </c>
      <c r="S425" s="158">
        <f>IF($Q425=0,0,$R425*$P425/$Q425)</f>
        <v/>
      </c>
    </row>
    <row r="426">
      <c r="A426" s="155" t="n">
        <v>46105</v>
      </c>
      <c r="B426" s="156" t="inlineStr">
        <is>
          <t>13-14</t>
        </is>
      </c>
      <c r="C426" s="156" t="inlineStr">
        <is>
          <t>EX-755</t>
        </is>
      </c>
      <c r="D426" s="156" t="inlineStr">
        <is>
          <t>DT-501</t>
        </is>
      </c>
      <c r="E426" s="156" t="inlineStr">
        <is>
          <t>OB</t>
        </is>
      </c>
      <c r="F426" s="156" t="n">
        <v>4</v>
      </c>
      <c r="G426" s="156" t="inlineStr"/>
      <c r="H426" s="157">
        <f>IF($B426="","",IF(ISNA(MATCH($B426,MASTER_JAM!$Q$5:$Q$28,0)),"?",IF(MATCH($B426,MASTER_JAM!$Q$5:$Q$28,0)&lt;=12,"DS","NS")))</f>
        <v/>
      </c>
      <c r="I426" s="157">
        <f>IFERROR(INDEX(MASTER_JAM!$B$5:$B$94,MATCH($C426,MASTER_JAM!$A$5:$A$94,0)),"")</f>
        <v/>
      </c>
      <c r="J426" s="157">
        <f>IFERROR(INDEX(MASTER_JAM!$E$5:$E$94,MATCH($D426,MASTER_JAM!$A$5:$A$94,0)),"")</f>
        <v/>
      </c>
      <c r="K426" s="158">
        <f>IFERROR(INDEX(MASTER_JAM!$J$5:$O$12,MATCH($E426,MASTER_JAM!$I$5:$I$12,0),MATCH($J426,MASTER_JAM!$J$4:$O$4,0))+0,0)</f>
        <v/>
      </c>
      <c r="L426" s="159">
        <f>N($F426)*$K426</f>
        <v/>
      </c>
      <c r="M426" s="157">
        <f>IF($E426="","",IF(OR($E426="Coal",$E426="Dirty Coal"),"MT","BCM"))</f>
        <v/>
      </c>
      <c r="N426" s="157">
        <f>IF($E426="","",IF(OR($E426="Coal",$E426="Dirty Coal"),"Coal","OB"))</f>
        <v/>
      </c>
      <c r="O426" s="157">
        <f>IF($F426="","",IF(COUNTIF(MASTER_JAM!$A$5:$A$94,$C426)=0,"Digger tidak dikenal",IF($J426="","Hauler tidak dikenal",IF($H426="?","Jam salah",IF($K426=0,"Faktor kosong",IF(SUMIFS(INPUT_DELAY!$E$5:$E$20000,INPUT_DELAY!$A$5:$A$20000,$A426,INPUT_DELAY!$B$5:$B$20000,$B426,INPUT_DELAY!$C$5:$C$20000,$C426)+SUMIFS(INPUT_DELAY!$E$5:$E$20000,INPUT_DELAY!$A$5:$A$20000,$A426,INPUT_DELAY!$B$5:$B$20000,$B426,INPUT_DELAY!$C$5:$C$20000,"SEMUA")&gt;=60,"Delay 60 mnt tapi ada ritase","OK"))))))</f>
        <v/>
      </c>
      <c r="P426" s="158">
        <f>IFERROR(INDEX(MASTER_JAM!$Z$5:$AC$10,MATCH($I426,MASTER_JAM!$Y$5:$Y$10,0),MATCH($J426,MASTER_JAM!$Z$4:$AC$4,0))+0,0)</f>
        <v/>
      </c>
      <c r="Q426" s="158">
        <f>IF($P426=0,0,$P426+IFERROR(INDEX(MASTER_JAM!$H$5:$H$94,MATCH($C426,MASTER_JAM!$A$5:$A$94,0))+0,MASTER_JAM!$AC$15)/1000*(60/MASTER_JAM!$AC$12+60/MASTER_JAM!$AC$13)+MASTER_JAM!$AC$14)</f>
        <v/>
      </c>
      <c r="R426" s="158">
        <f>IF(N($F426)=0,0,$F426/SUMIFS(INPUT_RITASE!$F$5:$F$20000,INPUT_RITASE!$A$5:$A$20000,$A426,INPUT_RITASE!$B$5:$B$20000,$B426,INPUT_RITASE!$C$5:$C$20000,$C426,INPUT_RITASE!$D$5:$D$20000,$D426))</f>
        <v/>
      </c>
      <c r="S426" s="158">
        <f>IF($Q426=0,0,$R426*$P426/$Q426)</f>
        <v/>
      </c>
    </row>
    <row r="427">
      <c r="A427" s="155" t="n">
        <v>46105</v>
      </c>
      <c r="B427" s="156" t="inlineStr">
        <is>
          <t>13-14</t>
        </is>
      </c>
      <c r="C427" s="156" t="inlineStr">
        <is>
          <t>EX-755</t>
        </is>
      </c>
      <c r="D427" s="156" t="inlineStr">
        <is>
          <t>DT-521</t>
        </is>
      </c>
      <c r="E427" s="156" t="inlineStr">
        <is>
          <t>OB</t>
        </is>
      </c>
      <c r="F427" s="156" t="n">
        <v>3</v>
      </c>
      <c r="G427" s="156" t="inlineStr"/>
      <c r="H427" s="157">
        <f>IF($B427="","",IF(ISNA(MATCH($B427,MASTER_JAM!$Q$5:$Q$28,0)),"?",IF(MATCH($B427,MASTER_JAM!$Q$5:$Q$28,0)&lt;=12,"DS","NS")))</f>
        <v/>
      </c>
      <c r="I427" s="157">
        <f>IFERROR(INDEX(MASTER_JAM!$B$5:$B$94,MATCH($C427,MASTER_JAM!$A$5:$A$94,0)),"")</f>
        <v/>
      </c>
      <c r="J427" s="157">
        <f>IFERROR(INDEX(MASTER_JAM!$E$5:$E$94,MATCH($D427,MASTER_JAM!$A$5:$A$94,0)),"")</f>
        <v/>
      </c>
      <c r="K427" s="158">
        <f>IFERROR(INDEX(MASTER_JAM!$J$5:$O$12,MATCH($E427,MASTER_JAM!$I$5:$I$12,0),MATCH($J427,MASTER_JAM!$J$4:$O$4,0))+0,0)</f>
        <v/>
      </c>
      <c r="L427" s="159">
        <f>N($F427)*$K427</f>
        <v/>
      </c>
      <c r="M427" s="157">
        <f>IF($E427="","",IF(OR($E427="Coal",$E427="Dirty Coal"),"MT","BCM"))</f>
        <v/>
      </c>
      <c r="N427" s="157">
        <f>IF($E427="","",IF(OR($E427="Coal",$E427="Dirty Coal"),"Coal","OB"))</f>
        <v/>
      </c>
      <c r="O427" s="157">
        <f>IF($F427="","",IF(COUNTIF(MASTER_JAM!$A$5:$A$94,$C427)=0,"Digger tidak dikenal",IF($J427="","Hauler tidak dikenal",IF($H427="?","Jam salah",IF($K427=0,"Faktor kosong",IF(SUMIFS(INPUT_DELAY!$E$5:$E$20000,INPUT_DELAY!$A$5:$A$20000,$A427,INPUT_DELAY!$B$5:$B$20000,$B427,INPUT_DELAY!$C$5:$C$20000,$C427)+SUMIFS(INPUT_DELAY!$E$5:$E$20000,INPUT_DELAY!$A$5:$A$20000,$A427,INPUT_DELAY!$B$5:$B$20000,$B427,INPUT_DELAY!$C$5:$C$20000,"SEMUA")&gt;=60,"Delay 60 mnt tapi ada ritase","OK"))))))</f>
        <v/>
      </c>
      <c r="P427" s="158">
        <f>IFERROR(INDEX(MASTER_JAM!$Z$5:$AC$10,MATCH($I427,MASTER_JAM!$Y$5:$Y$10,0),MATCH($J427,MASTER_JAM!$Z$4:$AC$4,0))+0,0)</f>
        <v/>
      </c>
      <c r="Q427" s="158">
        <f>IF($P427=0,0,$P427+IFERROR(INDEX(MASTER_JAM!$H$5:$H$94,MATCH($C427,MASTER_JAM!$A$5:$A$94,0))+0,MASTER_JAM!$AC$15)/1000*(60/MASTER_JAM!$AC$12+60/MASTER_JAM!$AC$13)+MASTER_JAM!$AC$14)</f>
        <v/>
      </c>
      <c r="R427" s="158">
        <f>IF(N($F427)=0,0,$F427/SUMIFS(INPUT_RITASE!$F$5:$F$20000,INPUT_RITASE!$A$5:$A$20000,$A427,INPUT_RITASE!$B$5:$B$20000,$B427,INPUT_RITASE!$C$5:$C$20000,$C427,INPUT_RITASE!$D$5:$D$20000,$D427))</f>
        <v/>
      </c>
      <c r="S427" s="158">
        <f>IF($Q427=0,0,$R427*$P427/$Q427)</f>
        <v/>
      </c>
    </row>
    <row r="428">
      <c r="A428" s="155" t="n">
        <v>46105</v>
      </c>
      <c r="B428" s="156" t="inlineStr">
        <is>
          <t>13-14</t>
        </is>
      </c>
      <c r="C428" s="156" t="inlineStr">
        <is>
          <t>EX-755</t>
        </is>
      </c>
      <c r="D428" s="156" t="inlineStr">
        <is>
          <t>DT-512</t>
        </is>
      </c>
      <c r="E428" s="156" t="inlineStr">
        <is>
          <t>OB</t>
        </is>
      </c>
      <c r="F428" s="156" t="n">
        <v>3</v>
      </c>
      <c r="G428" s="156" t="inlineStr"/>
      <c r="H428" s="157">
        <f>IF($B428="","",IF(ISNA(MATCH($B428,MASTER_JAM!$Q$5:$Q$28,0)),"?",IF(MATCH($B428,MASTER_JAM!$Q$5:$Q$28,0)&lt;=12,"DS","NS")))</f>
        <v/>
      </c>
      <c r="I428" s="157">
        <f>IFERROR(INDEX(MASTER_JAM!$B$5:$B$94,MATCH($C428,MASTER_JAM!$A$5:$A$94,0)),"")</f>
        <v/>
      </c>
      <c r="J428" s="157">
        <f>IFERROR(INDEX(MASTER_JAM!$E$5:$E$94,MATCH($D428,MASTER_JAM!$A$5:$A$94,0)),"")</f>
        <v/>
      </c>
      <c r="K428" s="158">
        <f>IFERROR(INDEX(MASTER_JAM!$J$5:$O$12,MATCH($E428,MASTER_JAM!$I$5:$I$12,0),MATCH($J428,MASTER_JAM!$J$4:$O$4,0))+0,0)</f>
        <v/>
      </c>
      <c r="L428" s="159">
        <f>N($F428)*$K428</f>
        <v/>
      </c>
      <c r="M428" s="157">
        <f>IF($E428="","",IF(OR($E428="Coal",$E428="Dirty Coal"),"MT","BCM"))</f>
        <v/>
      </c>
      <c r="N428" s="157">
        <f>IF($E428="","",IF(OR($E428="Coal",$E428="Dirty Coal"),"Coal","OB"))</f>
        <v/>
      </c>
      <c r="O428" s="157">
        <f>IF($F428="","",IF(COUNTIF(MASTER_JAM!$A$5:$A$94,$C428)=0,"Digger tidak dikenal",IF($J428="","Hauler tidak dikenal",IF($H428="?","Jam salah",IF($K428=0,"Faktor kosong",IF(SUMIFS(INPUT_DELAY!$E$5:$E$20000,INPUT_DELAY!$A$5:$A$20000,$A428,INPUT_DELAY!$B$5:$B$20000,$B428,INPUT_DELAY!$C$5:$C$20000,$C428)+SUMIFS(INPUT_DELAY!$E$5:$E$20000,INPUT_DELAY!$A$5:$A$20000,$A428,INPUT_DELAY!$B$5:$B$20000,$B428,INPUT_DELAY!$C$5:$C$20000,"SEMUA")&gt;=60,"Delay 60 mnt tapi ada ritase","OK"))))))</f>
        <v/>
      </c>
      <c r="P428" s="158">
        <f>IFERROR(INDEX(MASTER_JAM!$Z$5:$AC$10,MATCH($I428,MASTER_JAM!$Y$5:$Y$10,0),MATCH($J428,MASTER_JAM!$Z$4:$AC$4,0))+0,0)</f>
        <v/>
      </c>
      <c r="Q428" s="158">
        <f>IF($P428=0,0,$P428+IFERROR(INDEX(MASTER_JAM!$H$5:$H$94,MATCH($C428,MASTER_JAM!$A$5:$A$94,0))+0,MASTER_JAM!$AC$15)/1000*(60/MASTER_JAM!$AC$12+60/MASTER_JAM!$AC$13)+MASTER_JAM!$AC$14)</f>
        <v/>
      </c>
      <c r="R428" s="158">
        <f>IF(N($F428)=0,0,$F428/SUMIFS(INPUT_RITASE!$F$5:$F$20000,INPUT_RITASE!$A$5:$A$20000,$A428,INPUT_RITASE!$B$5:$B$20000,$B428,INPUT_RITASE!$C$5:$C$20000,$C428,INPUT_RITASE!$D$5:$D$20000,$D428))</f>
        <v/>
      </c>
      <c r="S428" s="158">
        <f>IF($Q428=0,0,$R428*$P428/$Q428)</f>
        <v/>
      </c>
    </row>
    <row r="429">
      <c r="A429" s="155" t="n">
        <v>46105</v>
      </c>
      <c r="B429" s="156" t="inlineStr">
        <is>
          <t>14-15</t>
        </is>
      </c>
      <c r="C429" s="156" t="inlineStr">
        <is>
          <t>EX-755</t>
        </is>
      </c>
      <c r="D429" s="156" t="inlineStr">
        <is>
          <t>DT-505</t>
        </is>
      </c>
      <c r="E429" s="156" t="inlineStr">
        <is>
          <t>OB</t>
        </is>
      </c>
      <c r="F429" s="156" t="n">
        <v>4</v>
      </c>
      <c r="G429" s="156" t="inlineStr"/>
      <c r="H429" s="157">
        <f>IF($B429="","",IF(ISNA(MATCH($B429,MASTER_JAM!$Q$5:$Q$28,0)),"?",IF(MATCH($B429,MASTER_JAM!$Q$5:$Q$28,0)&lt;=12,"DS","NS")))</f>
        <v/>
      </c>
      <c r="I429" s="157">
        <f>IFERROR(INDEX(MASTER_JAM!$B$5:$B$94,MATCH($C429,MASTER_JAM!$A$5:$A$94,0)),"")</f>
        <v/>
      </c>
      <c r="J429" s="157">
        <f>IFERROR(INDEX(MASTER_JAM!$E$5:$E$94,MATCH($D429,MASTER_JAM!$A$5:$A$94,0)),"")</f>
        <v/>
      </c>
      <c r="K429" s="158">
        <f>IFERROR(INDEX(MASTER_JAM!$J$5:$O$12,MATCH($E429,MASTER_JAM!$I$5:$I$12,0),MATCH($J429,MASTER_JAM!$J$4:$O$4,0))+0,0)</f>
        <v/>
      </c>
      <c r="L429" s="159">
        <f>N($F429)*$K429</f>
        <v/>
      </c>
      <c r="M429" s="157">
        <f>IF($E429="","",IF(OR($E429="Coal",$E429="Dirty Coal"),"MT","BCM"))</f>
        <v/>
      </c>
      <c r="N429" s="157">
        <f>IF($E429="","",IF(OR($E429="Coal",$E429="Dirty Coal"),"Coal","OB"))</f>
        <v/>
      </c>
      <c r="O429" s="157">
        <f>IF($F429="","",IF(COUNTIF(MASTER_JAM!$A$5:$A$94,$C429)=0,"Digger tidak dikenal",IF($J429="","Hauler tidak dikenal",IF($H429="?","Jam salah",IF($K429=0,"Faktor kosong",IF(SUMIFS(INPUT_DELAY!$E$5:$E$20000,INPUT_DELAY!$A$5:$A$20000,$A429,INPUT_DELAY!$B$5:$B$20000,$B429,INPUT_DELAY!$C$5:$C$20000,$C429)+SUMIFS(INPUT_DELAY!$E$5:$E$20000,INPUT_DELAY!$A$5:$A$20000,$A429,INPUT_DELAY!$B$5:$B$20000,$B429,INPUT_DELAY!$C$5:$C$20000,"SEMUA")&gt;=60,"Delay 60 mnt tapi ada ritase","OK"))))))</f>
        <v/>
      </c>
      <c r="P429" s="158">
        <f>IFERROR(INDEX(MASTER_JAM!$Z$5:$AC$10,MATCH($I429,MASTER_JAM!$Y$5:$Y$10,0),MATCH($J429,MASTER_JAM!$Z$4:$AC$4,0))+0,0)</f>
        <v/>
      </c>
      <c r="Q429" s="158">
        <f>IF($P429=0,0,$P429+IFERROR(INDEX(MASTER_JAM!$H$5:$H$94,MATCH($C429,MASTER_JAM!$A$5:$A$94,0))+0,MASTER_JAM!$AC$15)/1000*(60/MASTER_JAM!$AC$12+60/MASTER_JAM!$AC$13)+MASTER_JAM!$AC$14)</f>
        <v/>
      </c>
      <c r="R429" s="158">
        <f>IF(N($F429)=0,0,$F429/SUMIFS(INPUT_RITASE!$F$5:$F$20000,INPUT_RITASE!$A$5:$A$20000,$A429,INPUT_RITASE!$B$5:$B$20000,$B429,INPUT_RITASE!$C$5:$C$20000,$C429,INPUT_RITASE!$D$5:$D$20000,$D429))</f>
        <v/>
      </c>
      <c r="S429" s="158">
        <f>IF($Q429=0,0,$R429*$P429/$Q429)</f>
        <v/>
      </c>
    </row>
    <row r="430">
      <c r="A430" s="155" t="n">
        <v>46105</v>
      </c>
      <c r="B430" s="156" t="inlineStr">
        <is>
          <t>14-15</t>
        </is>
      </c>
      <c r="C430" s="156" t="inlineStr">
        <is>
          <t>EX-755</t>
        </is>
      </c>
      <c r="D430" s="156" t="inlineStr">
        <is>
          <t>DT-513</t>
        </is>
      </c>
      <c r="E430" s="156" t="inlineStr">
        <is>
          <t>OB</t>
        </is>
      </c>
      <c r="F430" s="156" t="n">
        <v>4</v>
      </c>
      <c r="G430" s="156" t="inlineStr"/>
      <c r="H430" s="157">
        <f>IF($B430="","",IF(ISNA(MATCH($B430,MASTER_JAM!$Q$5:$Q$28,0)),"?",IF(MATCH($B430,MASTER_JAM!$Q$5:$Q$28,0)&lt;=12,"DS","NS")))</f>
        <v/>
      </c>
      <c r="I430" s="157">
        <f>IFERROR(INDEX(MASTER_JAM!$B$5:$B$94,MATCH($C430,MASTER_JAM!$A$5:$A$94,0)),"")</f>
        <v/>
      </c>
      <c r="J430" s="157">
        <f>IFERROR(INDEX(MASTER_JAM!$E$5:$E$94,MATCH($D430,MASTER_JAM!$A$5:$A$94,0)),"")</f>
        <v/>
      </c>
      <c r="K430" s="158">
        <f>IFERROR(INDEX(MASTER_JAM!$J$5:$O$12,MATCH($E430,MASTER_JAM!$I$5:$I$12,0),MATCH($J430,MASTER_JAM!$J$4:$O$4,0))+0,0)</f>
        <v/>
      </c>
      <c r="L430" s="159">
        <f>N($F430)*$K430</f>
        <v/>
      </c>
      <c r="M430" s="157">
        <f>IF($E430="","",IF(OR($E430="Coal",$E430="Dirty Coal"),"MT","BCM"))</f>
        <v/>
      </c>
      <c r="N430" s="157">
        <f>IF($E430="","",IF(OR($E430="Coal",$E430="Dirty Coal"),"Coal","OB"))</f>
        <v/>
      </c>
      <c r="O430" s="157">
        <f>IF($F430="","",IF(COUNTIF(MASTER_JAM!$A$5:$A$94,$C430)=0,"Digger tidak dikenal",IF($J430="","Hauler tidak dikenal",IF($H430="?","Jam salah",IF($K430=0,"Faktor kosong",IF(SUMIFS(INPUT_DELAY!$E$5:$E$20000,INPUT_DELAY!$A$5:$A$20000,$A430,INPUT_DELAY!$B$5:$B$20000,$B430,INPUT_DELAY!$C$5:$C$20000,$C430)+SUMIFS(INPUT_DELAY!$E$5:$E$20000,INPUT_DELAY!$A$5:$A$20000,$A430,INPUT_DELAY!$B$5:$B$20000,$B430,INPUT_DELAY!$C$5:$C$20000,"SEMUA")&gt;=60,"Delay 60 mnt tapi ada ritase","OK"))))))</f>
        <v/>
      </c>
      <c r="P430" s="158">
        <f>IFERROR(INDEX(MASTER_JAM!$Z$5:$AC$10,MATCH($I430,MASTER_JAM!$Y$5:$Y$10,0),MATCH($J430,MASTER_JAM!$Z$4:$AC$4,0))+0,0)</f>
        <v/>
      </c>
      <c r="Q430" s="158">
        <f>IF($P430=0,0,$P430+IFERROR(INDEX(MASTER_JAM!$H$5:$H$94,MATCH($C430,MASTER_JAM!$A$5:$A$94,0))+0,MASTER_JAM!$AC$15)/1000*(60/MASTER_JAM!$AC$12+60/MASTER_JAM!$AC$13)+MASTER_JAM!$AC$14)</f>
        <v/>
      </c>
      <c r="R430" s="158">
        <f>IF(N($F430)=0,0,$F430/SUMIFS(INPUT_RITASE!$F$5:$F$20000,INPUT_RITASE!$A$5:$A$20000,$A430,INPUT_RITASE!$B$5:$B$20000,$B430,INPUT_RITASE!$C$5:$C$20000,$C430,INPUT_RITASE!$D$5:$D$20000,$D430))</f>
        <v/>
      </c>
      <c r="S430" s="158">
        <f>IF($Q430=0,0,$R430*$P430/$Q430)</f>
        <v/>
      </c>
    </row>
    <row r="431">
      <c r="A431" s="155" t="n">
        <v>46105</v>
      </c>
      <c r="B431" s="156" t="inlineStr">
        <is>
          <t>14-15</t>
        </is>
      </c>
      <c r="C431" s="156" t="inlineStr">
        <is>
          <t>EX-755</t>
        </is>
      </c>
      <c r="D431" s="156" t="inlineStr">
        <is>
          <t>DT-515</t>
        </is>
      </c>
      <c r="E431" s="156" t="inlineStr">
        <is>
          <t>OB</t>
        </is>
      </c>
      <c r="F431" s="156" t="n">
        <v>4</v>
      </c>
      <c r="G431" s="156" t="inlineStr"/>
      <c r="H431" s="157">
        <f>IF($B431="","",IF(ISNA(MATCH($B431,MASTER_JAM!$Q$5:$Q$28,0)),"?",IF(MATCH($B431,MASTER_JAM!$Q$5:$Q$28,0)&lt;=12,"DS","NS")))</f>
        <v/>
      </c>
      <c r="I431" s="157">
        <f>IFERROR(INDEX(MASTER_JAM!$B$5:$B$94,MATCH($C431,MASTER_JAM!$A$5:$A$94,0)),"")</f>
        <v/>
      </c>
      <c r="J431" s="157">
        <f>IFERROR(INDEX(MASTER_JAM!$E$5:$E$94,MATCH($D431,MASTER_JAM!$A$5:$A$94,0)),"")</f>
        <v/>
      </c>
      <c r="K431" s="158">
        <f>IFERROR(INDEX(MASTER_JAM!$J$5:$O$12,MATCH($E431,MASTER_JAM!$I$5:$I$12,0),MATCH($J431,MASTER_JAM!$J$4:$O$4,0))+0,0)</f>
        <v/>
      </c>
      <c r="L431" s="159">
        <f>N($F431)*$K431</f>
        <v/>
      </c>
      <c r="M431" s="157">
        <f>IF($E431="","",IF(OR($E431="Coal",$E431="Dirty Coal"),"MT","BCM"))</f>
        <v/>
      </c>
      <c r="N431" s="157">
        <f>IF($E431="","",IF(OR($E431="Coal",$E431="Dirty Coal"),"Coal","OB"))</f>
        <v/>
      </c>
      <c r="O431" s="157">
        <f>IF($F431="","",IF(COUNTIF(MASTER_JAM!$A$5:$A$94,$C431)=0,"Digger tidak dikenal",IF($J431="","Hauler tidak dikenal",IF($H431="?","Jam salah",IF($K431=0,"Faktor kosong",IF(SUMIFS(INPUT_DELAY!$E$5:$E$20000,INPUT_DELAY!$A$5:$A$20000,$A431,INPUT_DELAY!$B$5:$B$20000,$B431,INPUT_DELAY!$C$5:$C$20000,$C431)+SUMIFS(INPUT_DELAY!$E$5:$E$20000,INPUT_DELAY!$A$5:$A$20000,$A431,INPUT_DELAY!$B$5:$B$20000,$B431,INPUT_DELAY!$C$5:$C$20000,"SEMUA")&gt;=60,"Delay 60 mnt tapi ada ritase","OK"))))))</f>
        <v/>
      </c>
      <c r="P431" s="158">
        <f>IFERROR(INDEX(MASTER_JAM!$Z$5:$AC$10,MATCH($I431,MASTER_JAM!$Y$5:$Y$10,0),MATCH($J431,MASTER_JAM!$Z$4:$AC$4,0))+0,0)</f>
        <v/>
      </c>
      <c r="Q431" s="158">
        <f>IF($P431=0,0,$P431+IFERROR(INDEX(MASTER_JAM!$H$5:$H$94,MATCH($C431,MASTER_JAM!$A$5:$A$94,0))+0,MASTER_JAM!$AC$15)/1000*(60/MASTER_JAM!$AC$12+60/MASTER_JAM!$AC$13)+MASTER_JAM!$AC$14)</f>
        <v/>
      </c>
      <c r="R431" s="158">
        <f>IF(N($F431)=0,0,$F431/SUMIFS(INPUT_RITASE!$F$5:$F$20000,INPUT_RITASE!$A$5:$A$20000,$A431,INPUT_RITASE!$B$5:$B$20000,$B431,INPUT_RITASE!$C$5:$C$20000,$C431,INPUT_RITASE!$D$5:$D$20000,$D431))</f>
        <v/>
      </c>
      <c r="S431" s="158">
        <f>IF($Q431=0,0,$R431*$P431/$Q431)</f>
        <v/>
      </c>
    </row>
    <row r="432">
      <c r="A432" s="155" t="n">
        <v>46105</v>
      </c>
      <c r="B432" s="156" t="inlineStr">
        <is>
          <t>14-15</t>
        </is>
      </c>
      <c r="C432" s="156" t="inlineStr">
        <is>
          <t>EX-755</t>
        </is>
      </c>
      <c r="D432" s="156" t="inlineStr">
        <is>
          <t>DT-501</t>
        </is>
      </c>
      <c r="E432" s="156" t="inlineStr">
        <is>
          <t>OB</t>
        </is>
      </c>
      <c r="F432" s="156" t="n">
        <v>3</v>
      </c>
      <c r="G432" s="156" t="inlineStr"/>
      <c r="H432" s="157">
        <f>IF($B432="","",IF(ISNA(MATCH($B432,MASTER_JAM!$Q$5:$Q$28,0)),"?",IF(MATCH($B432,MASTER_JAM!$Q$5:$Q$28,0)&lt;=12,"DS","NS")))</f>
        <v/>
      </c>
      <c r="I432" s="157">
        <f>IFERROR(INDEX(MASTER_JAM!$B$5:$B$94,MATCH($C432,MASTER_JAM!$A$5:$A$94,0)),"")</f>
        <v/>
      </c>
      <c r="J432" s="157">
        <f>IFERROR(INDEX(MASTER_JAM!$E$5:$E$94,MATCH($D432,MASTER_JAM!$A$5:$A$94,0)),"")</f>
        <v/>
      </c>
      <c r="K432" s="158">
        <f>IFERROR(INDEX(MASTER_JAM!$J$5:$O$12,MATCH($E432,MASTER_JAM!$I$5:$I$12,0),MATCH($J432,MASTER_JAM!$J$4:$O$4,0))+0,0)</f>
        <v/>
      </c>
      <c r="L432" s="159">
        <f>N($F432)*$K432</f>
        <v/>
      </c>
      <c r="M432" s="157">
        <f>IF($E432="","",IF(OR($E432="Coal",$E432="Dirty Coal"),"MT","BCM"))</f>
        <v/>
      </c>
      <c r="N432" s="157">
        <f>IF($E432="","",IF(OR($E432="Coal",$E432="Dirty Coal"),"Coal","OB"))</f>
        <v/>
      </c>
      <c r="O432" s="157">
        <f>IF($F432="","",IF(COUNTIF(MASTER_JAM!$A$5:$A$94,$C432)=0,"Digger tidak dikenal",IF($J432="","Hauler tidak dikenal",IF($H432="?","Jam salah",IF($K432=0,"Faktor kosong",IF(SUMIFS(INPUT_DELAY!$E$5:$E$20000,INPUT_DELAY!$A$5:$A$20000,$A432,INPUT_DELAY!$B$5:$B$20000,$B432,INPUT_DELAY!$C$5:$C$20000,$C432)+SUMIFS(INPUT_DELAY!$E$5:$E$20000,INPUT_DELAY!$A$5:$A$20000,$A432,INPUT_DELAY!$B$5:$B$20000,$B432,INPUT_DELAY!$C$5:$C$20000,"SEMUA")&gt;=60,"Delay 60 mnt tapi ada ritase","OK"))))))</f>
        <v/>
      </c>
      <c r="P432" s="158">
        <f>IFERROR(INDEX(MASTER_JAM!$Z$5:$AC$10,MATCH($I432,MASTER_JAM!$Y$5:$Y$10,0),MATCH($J432,MASTER_JAM!$Z$4:$AC$4,0))+0,0)</f>
        <v/>
      </c>
      <c r="Q432" s="158">
        <f>IF($P432=0,0,$P432+IFERROR(INDEX(MASTER_JAM!$H$5:$H$94,MATCH($C432,MASTER_JAM!$A$5:$A$94,0))+0,MASTER_JAM!$AC$15)/1000*(60/MASTER_JAM!$AC$12+60/MASTER_JAM!$AC$13)+MASTER_JAM!$AC$14)</f>
        <v/>
      </c>
      <c r="R432" s="158">
        <f>IF(N($F432)=0,0,$F432/SUMIFS(INPUT_RITASE!$F$5:$F$20000,INPUT_RITASE!$A$5:$A$20000,$A432,INPUT_RITASE!$B$5:$B$20000,$B432,INPUT_RITASE!$C$5:$C$20000,$C432,INPUT_RITASE!$D$5:$D$20000,$D432))</f>
        <v/>
      </c>
      <c r="S432" s="158">
        <f>IF($Q432=0,0,$R432*$P432/$Q432)</f>
        <v/>
      </c>
    </row>
    <row r="433">
      <c r="A433" s="155" t="n">
        <v>46105</v>
      </c>
      <c r="B433" s="156" t="inlineStr">
        <is>
          <t>15-16</t>
        </is>
      </c>
      <c r="C433" s="156" t="inlineStr">
        <is>
          <t>EX-755</t>
        </is>
      </c>
      <c r="D433" s="156" t="inlineStr">
        <is>
          <t>DT-508</t>
        </is>
      </c>
      <c r="E433" s="156" t="inlineStr">
        <is>
          <t>OB</t>
        </is>
      </c>
      <c r="F433" s="156" t="n">
        <v>4</v>
      </c>
      <c r="G433" s="156" t="inlineStr"/>
      <c r="H433" s="157">
        <f>IF($B433="","",IF(ISNA(MATCH($B433,MASTER_JAM!$Q$5:$Q$28,0)),"?",IF(MATCH($B433,MASTER_JAM!$Q$5:$Q$28,0)&lt;=12,"DS","NS")))</f>
        <v/>
      </c>
      <c r="I433" s="157">
        <f>IFERROR(INDEX(MASTER_JAM!$B$5:$B$94,MATCH($C433,MASTER_JAM!$A$5:$A$94,0)),"")</f>
        <v/>
      </c>
      <c r="J433" s="157">
        <f>IFERROR(INDEX(MASTER_JAM!$E$5:$E$94,MATCH($D433,MASTER_JAM!$A$5:$A$94,0)),"")</f>
        <v/>
      </c>
      <c r="K433" s="158">
        <f>IFERROR(INDEX(MASTER_JAM!$J$5:$O$12,MATCH($E433,MASTER_JAM!$I$5:$I$12,0),MATCH($J433,MASTER_JAM!$J$4:$O$4,0))+0,0)</f>
        <v/>
      </c>
      <c r="L433" s="159">
        <f>N($F433)*$K433</f>
        <v/>
      </c>
      <c r="M433" s="157">
        <f>IF($E433="","",IF(OR($E433="Coal",$E433="Dirty Coal"),"MT","BCM"))</f>
        <v/>
      </c>
      <c r="N433" s="157">
        <f>IF($E433="","",IF(OR($E433="Coal",$E433="Dirty Coal"),"Coal","OB"))</f>
        <v/>
      </c>
      <c r="O433" s="157">
        <f>IF($F433="","",IF(COUNTIF(MASTER_JAM!$A$5:$A$94,$C433)=0,"Digger tidak dikenal",IF($J433="","Hauler tidak dikenal",IF($H433="?","Jam salah",IF($K433=0,"Faktor kosong",IF(SUMIFS(INPUT_DELAY!$E$5:$E$20000,INPUT_DELAY!$A$5:$A$20000,$A433,INPUT_DELAY!$B$5:$B$20000,$B433,INPUT_DELAY!$C$5:$C$20000,$C433)+SUMIFS(INPUT_DELAY!$E$5:$E$20000,INPUT_DELAY!$A$5:$A$20000,$A433,INPUT_DELAY!$B$5:$B$20000,$B433,INPUT_DELAY!$C$5:$C$20000,"SEMUA")&gt;=60,"Delay 60 mnt tapi ada ritase","OK"))))))</f>
        <v/>
      </c>
      <c r="P433" s="158">
        <f>IFERROR(INDEX(MASTER_JAM!$Z$5:$AC$10,MATCH($I433,MASTER_JAM!$Y$5:$Y$10,0),MATCH($J433,MASTER_JAM!$Z$4:$AC$4,0))+0,0)</f>
        <v/>
      </c>
      <c r="Q433" s="158">
        <f>IF($P433=0,0,$P433+IFERROR(INDEX(MASTER_JAM!$H$5:$H$94,MATCH($C433,MASTER_JAM!$A$5:$A$94,0))+0,MASTER_JAM!$AC$15)/1000*(60/MASTER_JAM!$AC$12+60/MASTER_JAM!$AC$13)+MASTER_JAM!$AC$14)</f>
        <v/>
      </c>
      <c r="R433" s="158">
        <f>IF(N($F433)=0,0,$F433/SUMIFS(INPUT_RITASE!$F$5:$F$20000,INPUT_RITASE!$A$5:$A$20000,$A433,INPUT_RITASE!$B$5:$B$20000,$B433,INPUT_RITASE!$C$5:$C$20000,$C433,INPUT_RITASE!$D$5:$D$20000,$D433))</f>
        <v/>
      </c>
      <c r="S433" s="158">
        <f>IF($Q433=0,0,$R433*$P433/$Q433)</f>
        <v/>
      </c>
    </row>
    <row r="434">
      <c r="A434" s="155" t="n">
        <v>46105</v>
      </c>
      <c r="B434" s="156" t="inlineStr">
        <is>
          <t>15-16</t>
        </is>
      </c>
      <c r="C434" s="156" t="inlineStr">
        <is>
          <t>EX-755</t>
        </is>
      </c>
      <c r="D434" s="156" t="inlineStr">
        <is>
          <t>DT-503</t>
        </is>
      </c>
      <c r="E434" s="156" t="inlineStr">
        <is>
          <t>OB</t>
        </is>
      </c>
      <c r="F434" s="156" t="n">
        <v>4</v>
      </c>
      <c r="G434" s="156" t="inlineStr"/>
      <c r="H434" s="157">
        <f>IF($B434="","",IF(ISNA(MATCH($B434,MASTER_JAM!$Q$5:$Q$28,0)),"?",IF(MATCH($B434,MASTER_JAM!$Q$5:$Q$28,0)&lt;=12,"DS","NS")))</f>
        <v/>
      </c>
      <c r="I434" s="157">
        <f>IFERROR(INDEX(MASTER_JAM!$B$5:$B$94,MATCH($C434,MASTER_JAM!$A$5:$A$94,0)),"")</f>
        <v/>
      </c>
      <c r="J434" s="157">
        <f>IFERROR(INDEX(MASTER_JAM!$E$5:$E$94,MATCH($D434,MASTER_JAM!$A$5:$A$94,0)),"")</f>
        <v/>
      </c>
      <c r="K434" s="158">
        <f>IFERROR(INDEX(MASTER_JAM!$J$5:$O$12,MATCH($E434,MASTER_JAM!$I$5:$I$12,0),MATCH($J434,MASTER_JAM!$J$4:$O$4,0))+0,0)</f>
        <v/>
      </c>
      <c r="L434" s="159">
        <f>N($F434)*$K434</f>
        <v/>
      </c>
      <c r="M434" s="157">
        <f>IF($E434="","",IF(OR($E434="Coal",$E434="Dirty Coal"),"MT","BCM"))</f>
        <v/>
      </c>
      <c r="N434" s="157">
        <f>IF($E434="","",IF(OR($E434="Coal",$E434="Dirty Coal"),"Coal","OB"))</f>
        <v/>
      </c>
      <c r="O434" s="157">
        <f>IF($F434="","",IF(COUNTIF(MASTER_JAM!$A$5:$A$94,$C434)=0,"Digger tidak dikenal",IF($J434="","Hauler tidak dikenal",IF($H434="?","Jam salah",IF($K434=0,"Faktor kosong",IF(SUMIFS(INPUT_DELAY!$E$5:$E$20000,INPUT_DELAY!$A$5:$A$20000,$A434,INPUT_DELAY!$B$5:$B$20000,$B434,INPUT_DELAY!$C$5:$C$20000,$C434)+SUMIFS(INPUT_DELAY!$E$5:$E$20000,INPUT_DELAY!$A$5:$A$20000,$A434,INPUT_DELAY!$B$5:$B$20000,$B434,INPUT_DELAY!$C$5:$C$20000,"SEMUA")&gt;=60,"Delay 60 mnt tapi ada ritase","OK"))))))</f>
        <v/>
      </c>
      <c r="P434" s="158">
        <f>IFERROR(INDEX(MASTER_JAM!$Z$5:$AC$10,MATCH($I434,MASTER_JAM!$Y$5:$Y$10,0),MATCH($J434,MASTER_JAM!$Z$4:$AC$4,0))+0,0)</f>
        <v/>
      </c>
      <c r="Q434" s="158">
        <f>IF($P434=0,0,$P434+IFERROR(INDEX(MASTER_JAM!$H$5:$H$94,MATCH($C434,MASTER_JAM!$A$5:$A$94,0))+0,MASTER_JAM!$AC$15)/1000*(60/MASTER_JAM!$AC$12+60/MASTER_JAM!$AC$13)+MASTER_JAM!$AC$14)</f>
        <v/>
      </c>
      <c r="R434" s="158">
        <f>IF(N($F434)=0,0,$F434/SUMIFS(INPUT_RITASE!$F$5:$F$20000,INPUT_RITASE!$A$5:$A$20000,$A434,INPUT_RITASE!$B$5:$B$20000,$B434,INPUT_RITASE!$C$5:$C$20000,$C434,INPUT_RITASE!$D$5:$D$20000,$D434))</f>
        <v/>
      </c>
      <c r="S434" s="158">
        <f>IF($Q434=0,0,$R434*$P434/$Q434)</f>
        <v/>
      </c>
    </row>
    <row r="435">
      <c r="A435" s="155" t="n">
        <v>46105</v>
      </c>
      <c r="B435" s="156" t="inlineStr">
        <is>
          <t>15-16</t>
        </is>
      </c>
      <c r="C435" s="156" t="inlineStr">
        <is>
          <t>EX-755</t>
        </is>
      </c>
      <c r="D435" s="156" t="inlineStr">
        <is>
          <t>DT-512</t>
        </is>
      </c>
      <c r="E435" s="156" t="inlineStr">
        <is>
          <t>OB</t>
        </is>
      </c>
      <c r="F435" s="156" t="n">
        <v>4</v>
      </c>
      <c r="G435" s="156" t="inlineStr"/>
      <c r="H435" s="157">
        <f>IF($B435="","",IF(ISNA(MATCH($B435,MASTER_JAM!$Q$5:$Q$28,0)),"?",IF(MATCH($B435,MASTER_JAM!$Q$5:$Q$28,0)&lt;=12,"DS","NS")))</f>
        <v/>
      </c>
      <c r="I435" s="157">
        <f>IFERROR(INDEX(MASTER_JAM!$B$5:$B$94,MATCH($C435,MASTER_JAM!$A$5:$A$94,0)),"")</f>
        <v/>
      </c>
      <c r="J435" s="157">
        <f>IFERROR(INDEX(MASTER_JAM!$E$5:$E$94,MATCH($D435,MASTER_JAM!$A$5:$A$94,0)),"")</f>
        <v/>
      </c>
      <c r="K435" s="158">
        <f>IFERROR(INDEX(MASTER_JAM!$J$5:$O$12,MATCH($E435,MASTER_JAM!$I$5:$I$12,0),MATCH($J435,MASTER_JAM!$J$4:$O$4,0))+0,0)</f>
        <v/>
      </c>
      <c r="L435" s="159">
        <f>N($F435)*$K435</f>
        <v/>
      </c>
      <c r="M435" s="157">
        <f>IF($E435="","",IF(OR($E435="Coal",$E435="Dirty Coal"),"MT","BCM"))</f>
        <v/>
      </c>
      <c r="N435" s="157">
        <f>IF($E435="","",IF(OR($E435="Coal",$E435="Dirty Coal"),"Coal","OB"))</f>
        <v/>
      </c>
      <c r="O435" s="157">
        <f>IF($F435="","",IF(COUNTIF(MASTER_JAM!$A$5:$A$94,$C435)=0,"Digger tidak dikenal",IF($J435="","Hauler tidak dikenal",IF($H435="?","Jam salah",IF($K435=0,"Faktor kosong",IF(SUMIFS(INPUT_DELAY!$E$5:$E$20000,INPUT_DELAY!$A$5:$A$20000,$A435,INPUT_DELAY!$B$5:$B$20000,$B435,INPUT_DELAY!$C$5:$C$20000,$C435)+SUMIFS(INPUT_DELAY!$E$5:$E$20000,INPUT_DELAY!$A$5:$A$20000,$A435,INPUT_DELAY!$B$5:$B$20000,$B435,INPUT_DELAY!$C$5:$C$20000,"SEMUA")&gt;=60,"Delay 60 mnt tapi ada ritase","OK"))))))</f>
        <v/>
      </c>
      <c r="P435" s="158">
        <f>IFERROR(INDEX(MASTER_JAM!$Z$5:$AC$10,MATCH($I435,MASTER_JAM!$Y$5:$Y$10,0),MATCH($J435,MASTER_JAM!$Z$4:$AC$4,0))+0,0)</f>
        <v/>
      </c>
      <c r="Q435" s="158">
        <f>IF($P435=0,0,$P435+IFERROR(INDEX(MASTER_JAM!$H$5:$H$94,MATCH($C435,MASTER_JAM!$A$5:$A$94,0))+0,MASTER_JAM!$AC$15)/1000*(60/MASTER_JAM!$AC$12+60/MASTER_JAM!$AC$13)+MASTER_JAM!$AC$14)</f>
        <v/>
      </c>
      <c r="R435" s="158">
        <f>IF(N($F435)=0,0,$F435/SUMIFS(INPUT_RITASE!$F$5:$F$20000,INPUT_RITASE!$A$5:$A$20000,$A435,INPUT_RITASE!$B$5:$B$20000,$B435,INPUT_RITASE!$C$5:$C$20000,$C435,INPUT_RITASE!$D$5:$D$20000,$D435))</f>
        <v/>
      </c>
      <c r="S435" s="158">
        <f>IF($Q435=0,0,$R435*$P435/$Q435)</f>
        <v/>
      </c>
    </row>
    <row r="436">
      <c r="A436" s="155" t="n">
        <v>46105</v>
      </c>
      <c r="B436" s="156" t="inlineStr">
        <is>
          <t>15-16</t>
        </is>
      </c>
      <c r="C436" s="156" t="inlineStr">
        <is>
          <t>EX-755</t>
        </is>
      </c>
      <c r="D436" s="156" t="inlineStr">
        <is>
          <t>DT-528</t>
        </is>
      </c>
      <c r="E436" s="156" t="inlineStr">
        <is>
          <t>OB</t>
        </is>
      </c>
      <c r="F436" s="156" t="n">
        <v>4</v>
      </c>
      <c r="G436" s="156" t="inlineStr"/>
      <c r="H436" s="157">
        <f>IF($B436="","",IF(ISNA(MATCH($B436,MASTER_JAM!$Q$5:$Q$28,0)),"?",IF(MATCH($B436,MASTER_JAM!$Q$5:$Q$28,0)&lt;=12,"DS","NS")))</f>
        <v/>
      </c>
      <c r="I436" s="157">
        <f>IFERROR(INDEX(MASTER_JAM!$B$5:$B$94,MATCH($C436,MASTER_JAM!$A$5:$A$94,0)),"")</f>
        <v/>
      </c>
      <c r="J436" s="157">
        <f>IFERROR(INDEX(MASTER_JAM!$E$5:$E$94,MATCH($D436,MASTER_JAM!$A$5:$A$94,0)),"")</f>
        <v/>
      </c>
      <c r="K436" s="158">
        <f>IFERROR(INDEX(MASTER_JAM!$J$5:$O$12,MATCH($E436,MASTER_JAM!$I$5:$I$12,0),MATCH($J436,MASTER_JAM!$J$4:$O$4,0))+0,0)</f>
        <v/>
      </c>
      <c r="L436" s="159">
        <f>N($F436)*$K436</f>
        <v/>
      </c>
      <c r="M436" s="157">
        <f>IF($E436="","",IF(OR($E436="Coal",$E436="Dirty Coal"),"MT","BCM"))</f>
        <v/>
      </c>
      <c r="N436" s="157">
        <f>IF($E436="","",IF(OR($E436="Coal",$E436="Dirty Coal"),"Coal","OB"))</f>
        <v/>
      </c>
      <c r="O436" s="157">
        <f>IF($F436="","",IF(COUNTIF(MASTER_JAM!$A$5:$A$94,$C436)=0,"Digger tidak dikenal",IF($J436="","Hauler tidak dikenal",IF($H436="?","Jam salah",IF($K436=0,"Faktor kosong",IF(SUMIFS(INPUT_DELAY!$E$5:$E$20000,INPUT_DELAY!$A$5:$A$20000,$A436,INPUT_DELAY!$B$5:$B$20000,$B436,INPUT_DELAY!$C$5:$C$20000,$C436)+SUMIFS(INPUT_DELAY!$E$5:$E$20000,INPUT_DELAY!$A$5:$A$20000,$A436,INPUT_DELAY!$B$5:$B$20000,$B436,INPUT_DELAY!$C$5:$C$20000,"SEMUA")&gt;=60,"Delay 60 mnt tapi ada ritase","OK"))))))</f>
        <v/>
      </c>
      <c r="P436" s="158">
        <f>IFERROR(INDEX(MASTER_JAM!$Z$5:$AC$10,MATCH($I436,MASTER_JAM!$Y$5:$Y$10,0),MATCH($J436,MASTER_JAM!$Z$4:$AC$4,0))+0,0)</f>
        <v/>
      </c>
      <c r="Q436" s="158">
        <f>IF($P436=0,0,$P436+IFERROR(INDEX(MASTER_JAM!$H$5:$H$94,MATCH($C436,MASTER_JAM!$A$5:$A$94,0))+0,MASTER_JAM!$AC$15)/1000*(60/MASTER_JAM!$AC$12+60/MASTER_JAM!$AC$13)+MASTER_JAM!$AC$14)</f>
        <v/>
      </c>
      <c r="R436" s="158">
        <f>IF(N($F436)=0,0,$F436/SUMIFS(INPUT_RITASE!$F$5:$F$20000,INPUT_RITASE!$A$5:$A$20000,$A436,INPUT_RITASE!$B$5:$B$20000,$B436,INPUT_RITASE!$C$5:$C$20000,$C436,INPUT_RITASE!$D$5:$D$20000,$D436))</f>
        <v/>
      </c>
      <c r="S436" s="158">
        <f>IF($Q436=0,0,$R436*$P436/$Q436)</f>
        <v/>
      </c>
    </row>
    <row r="437">
      <c r="A437" s="155" t="n">
        <v>46105</v>
      </c>
      <c r="B437" s="156" t="inlineStr">
        <is>
          <t>16-17</t>
        </is>
      </c>
      <c r="C437" s="156" t="inlineStr">
        <is>
          <t>EX-755</t>
        </is>
      </c>
      <c r="D437" s="156" t="inlineStr">
        <is>
          <t>DT-529</t>
        </is>
      </c>
      <c r="E437" s="156" t="inlineStr">
        <is>
          <t>OB</t>
        </is>
      </c>
      <c r="F437" s="156" t="n">
        <v>4</v>
      </c>
      <c r="G437" s="156" t="inlineStr"/>
      <c r="H437" s="157">
        <f>IF($B437="","",IF(ISNA(MATCH($B437,MASTER_JAM!$Q$5:$Q$28,0)),"?",IF(MATCH($B437,MASTER_JAM!$Q$5:$Q$28,0)&lt;=12,"DS","NS")))</f>
        <v/>
      </c>
      <c r="I437" s="157">
        <f>IFERROR(INDEX(MASTER_JAM!$B$5:$B$94,MATCH($C437,MASTER_JAM!$A$5:$A$94,0)),"")</f>
        <v/>
      </c>
      <c r="J437" s="157">
        <f>IFERROR(INDEX(MASTER_JAM!$E$5:$E$94,MATCH($D437,MASTER_JAM!$A$5:$A$94,0)),"")</f>
        <v/>
      </c>
      <c r="K437" s="158">
        <f>IFERROR(INDEX(MASTER_JAM!$J$5:$O$12,MATCH($E437,MASTER_JAM!$I$5:$I$12,0),MATCH($J437,MASTER_JAM!$J$4:$O$4,0))+0,0)</f>
        <v/>
      </c>
      <c r="L437" s="159">
        <f>N($F437)*$K437</f>
        <v/>
      </c>
      <c r="M437" s="157">
        <f>IF($E437="","",IF(OR($E437="Coal",$E437="Dirty Coal"),"MT","BCM"))</f>
        <v/>
      </c>
      <c r="N437" s="157">
        <f>IF($E437="","",IF(OR($E437="Coal",$E437="Dirty Coal"),"Coal","OB"))</f>
        <v/>
      </c>
      <c r="O437" s="157">
        <f>IF($F437="","",IF(COUNTIF(MASTER_JAM!$A$5:$A$94,$C437)=0,"Digger tidak dikenal",IF($J437="","Hauler tidak dikenal",IF($H437="?","Jam salah",IF($K437=0,"Faktor kosong",IF(SUMIFS(INPUT_DELAY!$E$5:$E$20000,INPUT_DELAY!$A$5:$A$20000,$A437,INPUT_DELAY!$B$5:$B$20000,$B437,INPUT_DELAY!$C$5:$C$20000,$C437)+SUMIFS(INPUT_DELAY!$E$5:$E$20000,INPUT_DELAY!$A$5:$A$20000,$A437,INPUT_DELAY!$B$5:$B$20000,$B437,INPUT_DELAY!$C$5:$C$20000,"SEMUA")&gt;=60,"Delay 60 mnt tapi ada ritase","OK"))))))</f>
        <v/>
      </c>
      <c r="P437" s="158">
        <f>IFERROR(INDEX(MASTER_JAM!$Z$5:$AC$10,MATCH($I437,MASTER_JAM!$Y$5:$Y$10,0),MATCH($J437,MASTER_JAM!$Z$4:$AC$4,0))+0,0)</f>
        <v/>
      </c>
      <c r="Q437" s="158">
        <f>IF($P437=0,0,$P437+IFERROR(INDEX(MASTER_JAM!$H$5:$H$94,MATCH($C437,MASTER_JAM!$A$5:$A$94,0))+0,MASTER_JAM!$AC$15)/1000*(60/MASTER_JAM!$AC$12+60/MASTER_JAM!$AC$13)+MASTER_JAM!$AC$14)</f>
        <v/>
      </c>
      <c r="R437" s="158">
        <f>IF(N($F437)=0,0,$F437/SUMIFS(INPUT_RITASE!$F$5:$F$20000,INPUT_RITASE!$A$5:$A$20000,$A437,INPUT_RITASE!$B$5:$B$20000,$B437,INPUT_RITASE!$C$5:$C$20000,$C437,INPUT_RITASE!$D$5:$D$20000,$D437))</f>
        <v/>
      </c>
      <c r="S437" s="158">
        <f>IF($Q437=0,0,$R437*$P437/$Q437)</f>
        <v/>
      </c>
    </row>
    <row r="438">
      <c r="A438" s="155" t="n">
        <v>46105</v>
      </c>
      <c r="B438" s="156" t="inlineStr">
        <is>
          <t>16-17</t>
        </is>
      </c>
      <c r="C438" s="156" t="inlineStr">
        <is>
          <t>EX-755</t>
        </is>
      </c>
      <c r="D438" s="156" t="inlineStr">
        <is>
          <t>DT-522</t>
        </is>
      </c>
      <c r="E438" s="156" t="inlineStr">
        <is>
          <t>OB</t>
        </is>
      </c>
      <c r="F438" s="156" t="n">
        <v>4</v>
      </c>
      <c r="G438" s="156" t="inlineStr"/>
      <c r="H438" s="157">
        <f>IF($B438="","",IF(ISNA(MATCH($B438,MASTER_JAM!$Q$5:$Q$28,0)),"?",IF(MATCH($B438,MASTER_JAM!$Q$5:$Q$28,0)&lt;=12,"DS","NS")))</f>
        <v/>
      </c>
      <c r="I438" s="157">
        <f>IFERROR(INDEX(MASTER_JAM!$B$5:$B$94,MATCH($C438,MASTER_JAM!$A$5:$A$94,0)),"")</f>
        <v/>
      </c>
      <c r="J438" s="157">
        <f>IFERROR(INDEX(MASTER_JAM!$E$5:$E$94,MATCH($D438,MASTER_JAM!$A$5:$A$94,0)),"")</f>
        <v/>
      </c>
      <c r="K438" s="158">
        <f>IFERROR(INDEX(MASTER_JAM!$J$5:$O$12,MATCH($E438,MASTER_JAM!$I$5:$I$12,0),MATCH($J438,MASTER_JAM!$J$4:$O$4,0))+0,0)</f>
        <v/>
      </c>
      <c r="L438" s="159">
        <f>N($F438)*$K438</f>
        <v/>
      </c>
      <c r="M438" s="157">
        <f>IF($E438="","",IF(OR($E438="Coal",$E438="Dirty Coal"),"MT","BCM"))</f>
        <v/>
      </c>
      <c r="N438" s="157">
        <f>IF($E438="","",IF(OR($E438="Coal",$E438="Dirty Coal"),"Coal","OB"))</f>
        <v/>
      </c>
      <c r="O438" s="157">
        <f>IF($F438="","",IF(COUNTIF(MASTER_JAM!$A$5:$A$94,$C438)=0,"Digger tidak dikenal",IF($J438="","Hauler tidak dikenal",IF($H438="?","Jam salah",IF($K438=0,"Faktor kosong",IF(SUMIFS(INPUT_DELAY!$E$5:$E$20000,INPUT_DELAY!$A$5:$A$20000,$A438,INPUT_DELAY!$B$5:$B$20000,$B438,INPUT_DELAY!$C$5:$C$20000,$C438)+SUMIFS(INPUT_DELAY!$E$5:$E$20000,INPUT_DELAY!$A$5:$A$20000,$A438,INPUT_DELAY!$B$5:$B$20000,$B438,INPUT_DELAY!$C$5:$C$20000,"SEMUA")&gt;=60,"Delay 60 mnt tapi ada ritase","OK"))))))</f>
        <v/>
      </c>
      <c r="P438" s="158">
        <f>IFERROR(INDEX(MASTER_JAM!$Z$5:$AC$10,MATCH($I438,MASTER_JAM!$Y$5:$Y$10,0),MATCH($J438,MASTER_JAM!$Z$4:$AC$4,0))+0,0)</f>
        <v/>
      </c>
      <c r="Q438" s="158">
        <f>IF($P438=0,0,$P438+IFERROR(INDEX(MASTER_JAM!$H$5:$H$94,MATCH($C438,MASTER_JAM!$A$5:$A$94,0))+0,MASTER_JAM!$AC$15)/1000*(60/MASTER_JAM!$AC$12+60/MASTER_JAM!$AC$13)+MASTER_JAM!$AC$14)</f>
        <v/>
      </c>
      <c r="R438" s="158">
        <f>IF(N($F438)=0,0,$F438/SUMIFS(INPUT_RITASE!$F$5:$F$20000,INPUT_RITASE!$A$5:$A$20000,$A438,INPUT_RITASE!$B$5:$B$20000,$B438,INPUT_RITASE!$C$5:$C$20000,$C438,INPUT_RITASE!$D$5:$D$20000,$D438))</f>
        <v/>
      </c>
      <c r="S438" s="158">
        <f>IF($Q438=0,0,$R438*$P438/$Q438)</f>
        <v/>
      </c>
    </row>
    <row r="439">
      <c r="A439" s="155" t="n">
        <v>46105</v>
      </c>
      <c r="B439" s="156" t="inlineStr">
        <is>
          <t>16-17</t>
        </is>
      </c>
      <c r="C439" s="156" t="inlineStr">
        <is>
          <t>EX-755</t>
        </is>
      </c>
      <c r="D439" s="156" t="inlineStr">
        <is>
          <t>DT-528</t>
        </is>
      </c>
      <c r="E439" s="156" t="inlineStr">
        <is>
          <t>OB</t>
        </is>
      </c>
      <c r="F439" s="156" t="n">
        <v>4</v>
      </c>
      <c r="G439" s="156" t="inlineStr"/>
      <c r="H439" s="157">
        <f>IF($B439="","",IF(ISNA(MATCH($B439,MASTER_JAM!$Q$5:$Q$28,0)),"?",IF(MATCH($B439,MASTER_JAM!$Q$5:$Q$28,0)&lt;=12,"DS","NS")))</f>
        <v/>
      </c>
      <c r="I439" s="157">
        <f>IFERROR(INDEX(MASTER_JAM!$B$5:$B$94,MATCH($C439,MASTER_JAM!$A$5:$A$94,0)),"")</f>
        <v/>
      </c>
      <c r="J439" s="157">
        <f>IFERROR(INDEX(MASTER_JAM!$E$5:$E$94,MATCH($D439,MASTER_JAM!$A$5:$A$94,0)),"")</f>
        <v/>
      </c>
      <c r="K439" s="158">
        <f>IFERROR(INDEX(MASTER_JAM!$J$5:$O$12,MATCH($E439,MASTER_JAM!$I$5:$I$12,0),MATCH($J439,MASTER_JAM!$J$4:$O$4,0))+0,0)</f>
        <v/>
      </c>
      <c r="L439" s="159">
        <f>N($F439)*$K439</f>
        <v/>
      </c>
      <c r="M439" s="157">
        <f>IF($E439="","",IF(OR($E439="Coal",$E439="Dirty Coal"),"MT","BCM"))</f>
        <v/>
      </c>
      <c r="N439" s="157">
        <f>IF($E439="","",IF(OR($E439="Coal",$E439="Dirty Coal"),"Coal","OB"))</f>
        <v/>
      </c>
      <c r="O439" s="157">
        <f>IF($F439="","",IF(COUNTIF(MASTER_JAM!$A$5:$A$94,$C439)=0,"Digger tidak dikenal",IF($J439="","Hauler tidak dikenal",IF($H439="?","Jam salah",IF($K439=0,"Faktor kosong",IF(SUMIFS(INPUT_DELAY!$E$5:$E$20000,INPUT_DELAY!$A$5:$A$20000,$A439,INPUT_DELAY!$B$5:$B$20000,$B439,INPUT_DELAY!$C$5:$C$20000,$C439)+SUMIFS(INPUT_DELAY!$E$5:$E$20000,INPUT_DELAY!$A$5:$A$20000,$A439,INPUT_DELAY!$B$5:$B$20000,$B439,INPUT_DELAY!$C$5:$C$20000,"SEMUA")&gt;=60,"Delay 60 mnt tapi ada ritase","OK"))))))</f>
        <v/>
      </c>
      <c r="P439" s="158">
        <f>IFERROR(INDEX(MASTER_JAM!$Z$5:$AC$10,MATCH($I439,MASTER_JAM!$Y$5:$Y$10,0),MATCH($J439,MASTER_JAM!$Z$4:$AC$4,0))+0,0)</f>
        <v/>
      </c>
      <c r="Q439" s="158">
        <f>IF($P439=0,0,$P439+IFERROR(INDEX(MASTER_JAM!$H$5:$H$94,MATCH($C439,MASTER_JAM!$A$5:$A$94,0))+0,MASTER_JAM!$AC$15)/1000*(60/MASTER_JAM!$AC$12+60/MASTER_JAM!$AC$13)+MASTER_JAM!$AC$14)</f>
        <v/>
      </c>
      <c r="R439" s="158">
        <f>IF(N($F439)=0,0,$F439/SUMIFS(INPUT_RITASE!$F$5:$F$20000,INPUT_RITASE!$A$5:$A$20000,$A439,INPUT_RITASE!$B$5:$B$20000,$B439,INPUT_RITASE!$C$5:$C$20000,$C439,INPUT_RITASE!$D$5:$D$20000,$D439))</f>
        <v/>
      </c>
      <c r="S439" s="158">
        <f>IF($Q439=0,0,$R439*$P439/$Q439)</f>
        <v/>
      </c>
    </row>
    <row r="440">
      <c r="A440" s="155" t="n">
        <v>46105</v>
      </c>
      <c r="B440" s="156" t="inlineStr">
        <is>
          <t>16-17</t>
        </is>
      </c>
      <c r="C440" s="156" t="inlineStr">
        <is>
          <t>EX-755</t>
        </is>
      </c>
      <c r="D440" s="156" t="inlineStr">
        <is>
          <t>DT-503</t>
        </is>
      </c>
      <c r="E440" s="156" t="inlineStr">
        <is>
          <t>OB</t>
        </is>
      </c>
      <c r="F440" s="156" t="n">
        <v>4</v>
      </c>
      <c r="G440" s="156" t="inlineStr"/>
      <c r="H440" s="157">
        <f>IF($B440="","",IF(ISNA(MATCH($B440,MASTER_JAM!$Q$5:$Q$28,0)),"?",IF(MATCH($B440,MASTER_JAM!$Q$5:$Q$28,0)&lt;=12,"DS","NS")))</f>
        <v/>
      </c>
      <c r="I440" s="157">
        <f>IFERROR(INDEX(MASTER_JAM!$B$5:$B$94,MATCH($C440,MASTER_JAM!$A$5:$A$94,0)),"")</f>
        <v/>
      </c>
      <c r="J440" s="157">
        <f>IFERROR(INDEX(MASTER_JAM!$E$5:$E$94,MATCH($D440,MASTER_JAM!$A$5:$A$94,0)),"")</f>
        <v/>
      </c>
      <c r="K440" s="158">
        <f>IFERROR(INDEX(MASTER_JAM!$J$5:$O$12,MATCH($E440,MASTER_JAM!$I$5:$I$12,0),MATCH($J440,MASTER_JAM!$J$4:$O$4,0))+0,0)</f>
        <v/>
      </c>
      <c r="L440" s="159">
        <f>N($F440)*$K440</f>
        <v/>
      </c>
      <c r="M440" s="157">
        <f>IF($E440="","",IF(OR($E440="Coal",$E440="Dirty Coal"),"MT","BCM"))</f>
        <v/>
      </c>
      <c r="N440" s="157">
        <f>IF($E440="","",IF(OR($E440="Coal",$E440="Dirty Coal"),"Coal","OB"))</f>
        <v/>
      </c>
      <c r="O440" s="157">
        <f>IF($F440="","",IF(COUNTIF(MASTER_JAM!$A$5:$A$94,$C440)=0,"Digger tidak dikenal",IF($J440="","Hauler tidak dikenal",IF($H440="?","Jam salah",IF($K440=0,"Faktor kosong",IF(SUMIFS(INPUT_DELAY!$E$5:$E$20000,INPUT_DELAY!$A$5:$A$20000,$A440,INPUT_DELAY!$B$5:$B$20000,$B440,INPUT_DELAY!$C$5:$C$20000,$C440)+SUMIFS(INPUT_DELAY!$E$5:$E$20000,INPUT_DELAY!$A$5:$A$20000,$A440,INPUT_DELAY!$B$5:$B$20000,$B440,INPUT_DELAY!$C$5:$C$20000,"SEMUA")&gt;=60,"Delay 60 mnt tapi ada ritase","OK"))))))</f>
        <v/>
      </c>
      <c r="P440" s="158">
        <f>IFERROR(INDEX(MASTER_JAM!$Z$5:$AC$10,MATCH($I440,MASTER_JAM!$Y$5:$Y$10,0),MATCH($J440,MASTER_JAM!$Z$4:$AC$4,0))+0,0)</f>
        <v/>
      </c>
      <c r="Q440" s="158">
        <f>IF($P440=0,0,$P440+IFERROR(INDEX(MASTER_JAM!$H$5:$H$94,MATCH($C440,MASTER_JAM!$A$5:$A$94,0))+0,MASTER_JAM!$AC$15)/1000*(60/MASTER_JAM!$AC$12+60/MASTER_JAM!$AC$13)+MASTER_JAM!$AC$14)</f>
        <v/>
      </c>
      <c r="R440" s="158">
        <f>IF(N($F440)=0,0,$F440/SUMIFS(INPUT_RITASE!$F$5:$F$20000,INPUT_RITASE!$A$5:$A$20000,$A440,INPUT_RITASE!$B$5:$B$20000,$B440,INPUT_RITASE!$C$5:$C$20000,$C440,INPUT_RITASE!$D$5:$D$20000,$D440))</f>
        <v/>
      </c>
      <c r="S440" s="158">
        <f>IF($Q440=0,0,$R440*$P440/$Q440)</f>
        <v/>
      </c>
    </row>
    <row r="441">
      <c r="A441" s="155" t="n">
        <v>46105</v>
      </c>
      <c r="B441" s="156" t="inlineStr">
        <is>
          <t>16-17</t>
        </is>
      </c>
      <c r="C441" s="156" t="inlineStr">
        <is>
          <t>EX-755</t>
        </is>
      </c>
      <c r="D441" s="156" t="inlineStr">
        <is>
          <t>DT-520</t>
        </is>
      </c>
      <c r="E441" s="156" t="inlineStr">
        <is>
          <t>OB</t>
        </is>
      </c>
      <c r="F441" s="156" t="n">
        <v>3</v>
      </c>
      <c r="G441" s="156" t="inlineStr"/>
      <c r="H441" s="157">
        <f>IF($B441="","",IF(ISNA(MATCH($B441,MASTER_JAM!$Q$5:$Q$28,0)),"?",IF(MATCH($B441,MASTER_JAM!$Q$5:$Q$28,0)&lt;=12,"DS","NS")))</f>
        <v/>
      </c>
      <c r="I441" s="157">
        <f>IFERROR(INDEX(MASTER_JAM!$B$5:$B$94,MATCH($C441,MASTER_JAM!$A$5:$A$94,0)),"")</f>
        <v/>
      </c>
      <c r="J441" s="157">
        <f>IFERROR(INDEX(MASTER_JAM!$E$5:$E$94,MATCH($D441,MASTER_JAM!$A$5:$A$94,0)),"")</f>
        <v/>
      </c>
      <c r="K441" s="158">
        <f>IFERROR(INDEX(MASTER_JAM!$J$5:$O$12,MATCH($E441,MASTER_JAM!$I$5:$I$12,0),MATCH($J441,MASTER_JAM!$J$4:$O$4,0))+0,0)</f>
        <v/>
      </c>
      <c r="L441" s="159">
        <f>N($F441)*$K441</f>
        <v/>
      </c>
      <c r="M441" s="157">
        <f>IF($E441="","",IF(OR($E441="Coal",$E441="Dirty Coal"),"MT","BCM"))</f>
        <v/>
      </c>
      <c r="N441" s="157">
        <f>IF($E441="","",IF(OR($E441="Coal",$E441="Dirty Coal"),"Coal","OB"))</f>
        <v/>
      </c>
      <c r="O441" s="157">
        <f>IF($F441="","",IF(COUNTIF(MASTER_JAM!$A$5:$A$94,$C441)=0,"Digger tidak dikenal",IF($J441="","Hauler tidak dikenal",IF($H441="?","Jam salah",IF($K441=0,"Faktor kosong",IF(SUMIFS(INPUT_DELAY!$E$5:$E$20000,INPUT_DELAY!$A$5:$A$20000,$A441,INPUT_DELAY!$B$5:$B$20000,$B441,INPUT_DELAY!$C$5:$C$20000,$C441)+SUMIFS(INPUT_DELAY!$E$5:$E$20000,INPUT_DELAY!$A$5:$A$20000,$A441,INPUT_DELAY!$B$5:$B$20000,$B441,INPUT_DELAY!$C$5:$C$20000,"SEMUA")&gt;=60,"Delay 60 mnt tapi ada ritase","OK"))))))</f>
        <v/>
      </c>
      <c r="P441" s="158">
        <f>IFERROR(INDEX(MASTER_JAM!$Z$5:$AC$10,MATCH($I441,MASTER_JAM!$Y$5:$Y$10,0),MATCH($J441,MASTER_JAM!$Z$4:$AC$4,0))+0,0)</f>
        <v/>
      </c>
      <c r="Q441" s="158">
        <f>IF($P441=0,0,$P441+IFERROR(INDEX(MASTER_JAM!$H$5:$H$94,MATCH($C441,MASTER_JAM!$A$5:$A$94,0))+0,MASTER_JAM!$AC$15)/1000*(60/MASTER_JAM!$AC$12+60/MASTER_JAM!$AC$13)+MASTER_JAM!$AC$14)</f>
        <v/>
      </c>
      <c r="R441" s="158">
        <f>IF(N($F441)=0,0,$F441/SUMIFS(INPUT_RITASE!$F$5:$F$20000,INPUT_RITASE!$A$5:$A$20000,$A441,INPUT_RITASE!$B$5:$B$20000,$B441,INPUT_RITASE!$C$5:$C$20000,$C441,INPUT_RITASE!$D$5:$D$20000,$D441))</f>
        <v/>
      </c>
      <c r="S441" s="158">
        <f>IF($Q441=0,0,$R441*$P441/$Q441)</f>
        <v/>
      </c>
    </row>
    <row r="442">
      <c r="A442" s="155" t="n">
        <v>46105</v>
      </c>
      <c r="B442" s="156" t="inlineStr">
        <is>
          <t>17-18</t>
        </is>
      </c>
      <c r="C442" s="156" t="inlineStr">
        <is>
          <t>EX-755</t>
        </is>
      </c>
      <c r="D442" s="156" t="inlineStr">
        <is>
          <t>DT-504</t>
        </is>
      </c>
      <c r="E442" s="156" t="inlineStr">
        <is>
          <t>OB</t>
        </is>
      </c>
      <c r="F442" s="156" t="n">
        <v>3</v>
      </c>
      <c r="G442" s="156" t="inlineStr"/>
      <c r="H442" s="157">
        <f>IF($B442="","",IF(ISNA(MATCH($B442,MASTER_JAM!$Q$5:$Q$28,0)),"?",IF(MATCH($B442,MASTER_JAM!$Q$5:$Q$28,0)&lt;=12,"DS","NS")))</f>
        <v/>
      </c>
      <c r="I442" s="157">
        <f>IFERROR(INDEX(MASTER_JAM!$B$5:$B$94,MATCH($C442,MASTER_JAM!$A$5:$A$94,0)),"")</f>
        <v/>
      </c>
      <c r="J442" s="157">
        <f>IFERROR(INDEX(MASTER_JAM!$E$5:$E$94,MATCH($D442,MASTER_JAM!$A$5:$A$94,0)),"")</f>
        <v/>
      </c>
      <c r="K442" s="158">
        <f>IFERROR(INDEX(MASTER_JAM!$J$5:$O$12,MATCH($E442,MASTER_JAM!$I$5:$I$12,0),MATCH($J442,MASTER_JAM!$J$4:$O$4,0))+0,0)</f>
        <v/>
      </c>
      <c r="L442" s="159">
        <f>N($F442)*$K442</f>
        <v/>
      </c>
      <c r="M442" s="157">
        <f>IF($E442="","",IF(OR($E442="Coal",$E442="Dirty Coal"),"MT","BCM"))</f>
        <v/>
      </c>
      <c r="N442" s="157">
        <f>IF($E442="","",IF(OR($E442="Coal",$E442="Dirty Coal"),"Coal","OB"))</f>
        <v/>
      </c>
      <c r="O442" s="157">
        <f>IF($F442="","",IF(COUNTIF(MASTER_JAM!$A$5:$A$94,$C442)=0,"Digger tidak dikenal",IF($J442="","Hauler tidak dikenal",IF($H442="?","Jam salah",IF($K442=0,"Faktor kosong",IF(SUMIFS(INPUT_DELAY!$E$5:$E$20000,INPUT_DELAY!$A$5:$A$20000,$A442,INPUT_DELAY!$B$5:$B$20000,$B442,INPUT_DELAY!$C$5:$C$20000,$C442)+SUMIFS(INPUT_DELAY!$E$5:$E$20000,INPUT_DELAY!$A$5:$A$20000,$A442,INPUT_DELAY!$B$5:$B$20000,$B442,INPUT_DELAY!$C$5:$C$20000,"SEMUA")&gt;=60,"Delay 60 mnt tapi ada ritase","OK"))))))</f>
        <v/>
      </c>
      <c r="P442" s="158">
        <f>IFERROR(INDEX(MASTER_JAM!$Z$5:$AC$10,MATCH($I442,MASTER_JAM!$Y$5:$Y$10,0),MATCH($J442,MASTER_JAM!$Z$4:$AC$4,0))+0,0)</f>
        <v/>
      </c>
      <c r="Q442" s="158">
        <f>IF($P442=0,0,$P442+IFERROR(INDEX(MASTER_JAM!$H$5:$H$94,MATCH($C442,MASTER_JAM!$A$5:$A$94,0))+0,MASTER_JAM!$AC$15)/1000*(60/MASTER_JAM!$AC$12+60/MASTER_JAM!$AC$13)+MASTER_JAM!$AC$14)</f>
        <v/>
      </c>
      <c r="R442" s="158">
        <f>IF(N($F442)=0,0,$F442/SUMIFS(INPUT_RITASE!$F$5:$F$20000,INPUT_RITASE!$A$5:$A$20000,$A442,INPUT_RITASE!$B$5:$B$20000,$B442,INPUT_RITASE!$C$5:$C$20000,$C442,INPUT_RITASE!$D$5:$D$20000,$D442))</f>
        <v/>
      </c>
      <c r="S442" s="158">
        <f>IF($Q442=0,0,$R442*$P442/$Q442)</f>
        <v/>
      </c>
    </row>
    <row r="443">
      <c r="A443" s="155" t="n">
        <v>46105</v>
      </c>
      <c r="B443" s="156" t="inlineStr">
        <is>
          <t>17-18</t>
        </is>
      </c>
      <c r="C443" s="156" t="inlineStr">
        <is>
          <t>EX-755</t>
        </is>
      </c>
      <c r="D443" s="156" t="inlineStr">
        <is>
          <t>DT-505</t>
        </is>
      </c>
      <c r="E443" s="156" t="inlineStr">
        <is>
          <t>OB</t>
        </is>
      </c>
      <c r="F443" s="156" t="n">
        <v>3</v>
      </c>
      <c r="G443" s="156" t="inlineStr"/>
      <c r="H443" s="157">
        <f>IF($B443="","",IF(ISNA(MATCH($B443,MASTER_JAM!$Q$5:$Q$28,0)),"?",IF(MATCH($B443,MASTER_JAM!$Q$5:$Q$28,0)&lt;=12,"DS","NS")))</f>
        <v/>
      </c>
      <c r="I443" s="157">
        <f>IFERROR(INDEX(MASTER_JAM!$B$5:$B$94,MATCH($C443,MASTER_JAM!$A$5:$A$94,0)),"")</f>
        <v/>
      </c>
      <c r="J443" s="157">
        <f>IFERROR(INDEX(MASTER_JAM!$E$5:$E$94,MATCH($D443,MASTER_JAM!$A$5:$A$94,0)),"")</f>
        <v/>
      </c>
      <c r="K443" s="158">
        <f>IFERROR(INDEX(MASTER_JAM!$J$5:$O$12,MATCH($E443,MASTER_JAM!$I$5:$I$12,0),MATCH($J443,MASTER_JAM!$J$4:$O$4,0))+0,0)</f>
        <v/>
      </c>
      <c r="L443" s="159">
        <f>N($F443)*$K443</f>
        <v/>
      </c>
      <c r="M443" s="157">
        <f>IF($E443="","",IF(OR($E443="Coal",$E443="Dirty Coal"),"MT","BCM"))</f>
        <v/>
      </c>
      <c r="N443" s="157">
        <f>IF($E443="","",IF(OR($E443="Coal",$E443="Dirty Coal"),"Coal","OB"))</f>
        <v/>
      </c>
      <c r="O443" s="157">
        <f>IF($F443="","",IF(COUNTIF(MASTER_JAM!$A$5:$A$94,$C443)=0,"Digger tidak dikenal",IF($J443="","Hauler tidak dikenal",IF($H443="?","Jam salah",IF($K443=0,"Faktor kosong",IF(SUMIFS(INPUT_DELAY!$E$5:$E$20000,INPUT_DELAY!$A$5:$A$20000,$A443,INPUT_DELAY!$B$5:$B$20000,$B443,INPUT_DELAY!$C$5:$C$20000,$C443)+SUMIFS(INPUT_DELAY!$E$5:$E$20000,INPUT_DELAY!$A$5:$A$20000,$A443,INPUT_DELAY!$B$5:$B$20000,$B443,INPUT_DELAY!$C$5:$C$20000,"SEMUA")&gt;=60,"Delay 60 mnt tapi ada ritase","OK"))))))</f>
        <v/>
      </c>
      <c r="P443" s="158">
        <f>IFERROR(INDEX(MASTER_JAM!$Z$5:$AC$10,MATCH($I443,MASTER_JAM!$Y$5:$Y$10,0),MATCH($J443,MASTER_JAM!$Z$4:$AC$4,0))+0,0)</f>
        <v/>
      </c>
      <c r="Q443" s="158">
        <f>IF($P443=0,0,$P443+IFERROR(INDEX(MASTER_JAM!$H$5:$H$94,MATCH($C443,MASTER_JAM!$A$5:$A$94,0))+0,MASTER_JAM!$AC$15)/1000*(60/MASTER_JAM!$AC$12+60/MASTER_JAM!$AC$13)+MASTER_JAM!$AC$14)</f>
        <v/>
      </c>
      <c r="R443" s="158">
        <f>IF(N($F443)=0,0,$F443/SUMIFS(INPUT_RITASE!$F$5:$F$20000,INPUT_RITASE!$A$5:$A$20000,$A443,INPUT_RITASE!$B$5:$B$20000,$B443,INPUT_RITASE!$C$5:$C$20000,$C443,INPUT_RITASE!$D$5:$D$20000,$D443))</f>
        <v/>
      </c>
      <c r="S443" s="158">
        <f>IF($Q443=0,0,$R443*$P443/$Q443)</f>
        <v/>
      </c>
    </row>
    <row r="444">
      <c r="A444" s="155" t="n">
        <v>46105</v>
      </c>
      <c r="B444" s="156" t="inlineStr">
        <is>
          <t>06-07</t>
        </is>
      </c>
      <c r="C444" s="156" t="inlineStr">
        <is>
          <t>EX-753</t>
        </is>
      </c>
      <c r="D444" s="156" t="inlineStr">
        <is>
          <t>DT-513</t>
        </is>
      </c>
      <c r="E444" s="156" t="inlineStr">
        <is>
          <t>OB</t>
        </is>
      </c>
      <c r="F444" s="156" t="n">
        <v>4</v>
      </c>
      <c r="G444" s="156" t="inlineStr"/>
      <c r="H444" s="157">
        <f>IF($B444="","",IF(ISNA(MATCH($B444,MASTER_JAM!$Q$5:$Q$28,0)),"?",IF(MATCH($B444,MASTER_JAM!$Q$5:$Q$28,0)&lt;=12,"DS","NS")))</f>
        <v/>
      </c>
      <c r="I444" s="157">
        <f>IFERROR(INDEX(MASTER_JAM!$B$5:$B$94,MATCH($C444,MASTER_JAM!$A$5:$A$94,0)),"")</f>
        <v/>
      </c>
      <c r="J444" s="157">
        <f>IFERROR(INDEX(MASTER_JAM!$E$5:$E$94,MATCH($D444,MASTER_JAM!$A$5:$A$94,0)),"")</f>
        <v/>
      </c>
      <c r="K444" s="158">
        <f>IFERROR(INDEX(MASTER_JAM!$J$5:$O$12,MATCH($E444,MASTER_JAM!$I$5:$I$12,0),MATCH($J444,MASTER_JAM!$J$4:$O$4,0))+0,0)</f>
        <v/>
      </c>
      <c r="L444" s="159">
        <f>N($F444)*$K444</f>
        <v/>
      </c>
      <c r="M444" s="157">
        <f>IF($E444="","",IF(OR($E444="Coal",$E444="Dirty Coal"),"MT","BCM"))</f>
        <v/>
      </c>
      <c r="N444" s="157">
        <f>IF($E444="","",IF(OR($E444="Coal",$E444="Dirty Coal"),"Coal","OB"))</f>
        <v/>
      </c>
      <c r="O444" s="157">
        <f>IF($F444="","",IF(COUNTIF(MASTER_JAM!$A$5:$A$94,$C444)=0,"Digger tidak dikenal",IF($J444="","Hauler tidak dikenal",IF($H444="?","Jam salah",IF($K444=0,"Faktor kosong",IF(SUMIFS(INPUT_DELAY!$E$5:$E$20000,INPUT_DELAY!$A$5:$A$20000,$A444,INPUT_DELAY!$B$5:$B$20000,$B444,INPUT_DELAY!$C$5:$C$20000,$C444)+SUMIFS(INPUT_DELAY!$E$5:$E$20000,INPUT_DELAY!$A$5:$A$20000,$A444,INPUT_DELAY!$B$5:$B$20000,$B444,INPUT_DELAY!$C$5:$C$20000,"SEMUA")&gt;=60,"Delay 60 mnt tapi ada ritase","OK"))))))</f>
        <v/>
      </c>
      <c r="P444" s="158">
        <f>IFERROR(INDEX(MASTER_JAM!$Z$5:$AC$10,MATCH($I444,MASTER_JAM!$Y$5:$Y$10,0),MATCH($J444,MASTER_JAM!$Z$4:$AC$4,0))+0,0)</f>
        <v/>
      </c>
      <c r="Q444" s="158">
        <f>IF($P444=0,0,$P444+IFERROR(INDEX(MASTER_JAM!$H$5:$H$94,MATCH($C444,MASTER_JAM!$A$5:$A$94,0))+0,MASTER_JAM!$AC$15)/1000*(60/MASTER_JAM!$AC$12+60/MASTER_JAM!$AC$13)+MASTER_JAM!$AC$14)</f>
        <v/>
      </c>
      <c r="R444" s="158">
        <f>IF(N($F444)=0,0,$F444/SUMIFS(INPUT_RITASE!$F$5:$F$20000,INPUT_RITASE!$A$5:$A$20000,$A444,INPUT_RITASE!$B$5:$B$20000,$B444,INPUT_RITASE!$C$5:$C$20000,$C444,INPUT_RITASE!$D$5:$D$20000,$D444))</f>
        <v/>
      </c>
      <c r="S444" s="158">
        <f>IF($Q444=0,0,$R444*$P444/$Q444)</f>
        <v/>
      </c>
    </row>
    <row r="445">
      <c r="A445" s="155" t="n">
        <v>46105</v>
      </c>
      <c r="B445" s="156" t="inlineStr">
        <is>
          <t>06-07</t>
        </is>
      </c>
      <c r="C445" s="156" t="inlineStr">
        <is>
          <t>EX-753</t>
        </is>
      </c>
      <c r="D445" s="156" t="inlineStr">
        <is>
          <t>DT-506</t>
        </is>
      </c>
      <c r="E445" s="156" t="inlineStr">
        <is>
          <t>OB</t>
        </is>
      </c>
      <c r="F445" s="156" t="n">
        <v>4</v>
      </c>
      <c r="G445" s="156" t="inlineStr"/>
      <c r="H445" s="157">
        <f>IF($B445="","",IF(ISNA(MATCH($B445,MASTER_JAM!$Q$5:$Q$28,0)),"?",IF(MATCH($B445,MASTER_JAM!$Q$5:$Q$28,0)&lt;=12,"DS","NS")))</f>
        <v/>
      </c>
      <c r="I445" s="157">
        <f>IFERROR(INDEX(MASTER_JAM!$B$5:$B$94,MATCH($C445,MASTER_JAM!$A$5:$A$94,0)),"")</f>
        <v/>
      </c>
      <c r="J445" s="157">
        <f>IFERROR(INDEX(MASTER_JAM!$E$5:$E$94,MATCH($D445,MASTER_JAM!$A$5:$A$94,0)),"")</f>
        <v/>
      </c>
      <c r="K445" s="158">
        <f>IFERROR(INDEX(MASTER_JAM!$J$5:$O$12,MATCH($E445,MASTER_JAM!$I$5:$I$12,0),MATCH($J445,MASTER_JAM!$J$4:$O$4,0))+0,0)</f>
        <v/>
      </c>
      <c r="L445" s="159">
        <f>N($F445)*$K445</f>
        <v/>
      </c>
      <c r="M445" s="157">
        <f>IF($E445="","",IF(OR($E445="Coal",$E445="Dirty Coal"),"MT","BCM"))</f>
        <v/>
      </c>
      <c r="N445" s="157">
        <f>IF($E445="","",IF(OR($E445="Coal",$E445="Dirty Coal"),"Coal","OB"))</f>
        <v/>
      </c>
      <c r="O445" s="157">
        <f>IF($F445="","",IF(COUNTIF(MASTER_JAM!$A$5:$A$94,$C445)=0,"Digger tidak dikenal",IF($J445="","Hauler tidak dikenal",IF($H445="?","Jam salah",IF($K445=0,"Faktor kosong",IF(SUMIFS(INPUT_DELAY!$E$5:$E$20000,INPUT_DELAY!$A$5:$A$20000,$A445,INPUT_DELAY!$B$5:$B$20000,$B445,INPUT_DELAY!$C$5:$C$20000,$C445)+SUMIFS(INPUT_DELAY!$E$5:$E$20000,INPUT_DELAY!$A$5:$A$20000,$A445,INPUT_DELAY!$B$5:$B$20000,$B445,INPUT_DELAY!$C$5:$C$20000,"SEMUA")&gt;=60,"Delay 60 mnt tapi ada ritase","OK"))))))</f>
        <v/>
      </c>
      <c r="P445" s="158">
        <f>IFERROR(INDEX(MASTER_JAM!$Z$5:$AC$10,MATCH($I445,MASTER_JAM!$Y$5:$Y$10,0),MATCH($J445,MASTER_JAM!$Z$4:$AC$4,0))+0,0)</f>
        <v/>
      </c>
      <c r="Q445" s="158">
        <f>IF($P445=0,0,$P445+IFERROR(INDEX(MASTER_JAM!$H$5:$H$94,MATCH($C445,MASTER_JAM!$A$5:$A$94,0))+0,MASTER_JAM!$AC$15)/1000*(60/MASTER_JAM!$AC$12+60/MASTER_JAM!$AC$13)+MASTER_JAM!$AC$14)</f>
        <v/>
      </c>
      <c r="R445" s="158">
        <f>IF(N($F445)=0,0,$F445/SUMIFS(INPUT_RITASE!$F$5:$F$20000,INPUT_RITASE!$A$5:$A$20000,$A445,INPUT_RITASE!$B$5:$B$20000,$B445,INPUT_RITASE!$C$5:$C$20000,$C445,INPUT_RITASE!$D$5:$D$20000,$D445))</f>
        <v/>
      </c>
      <c r="S445" s="158">
        <f>IF($Q445=0,0,$R445*$P445/$Q445)</f>
        <v/>
      </c>
    </row>
    <row r="446">
      <c r="A446" s="155" t="n">
        <v>46105</v>
      </c>
      <c r="B446" s="156" t="inlineStr">
        <is>
          <t>06-07</t>
        </is>
      </c>
      <c r="C446" s="156" t="inlineStr">
        <is>
          <t>EX-753</t>
        </is>
      </c>
      <c r="D446" s="156" t="inlineStr">
        <is>
          <t>DT-504</t>
        </is>
      </c>
      <c r="E446" s="156" t="inlineStr">
        <is>
          <t>OB</t>
        </is>
      </c>
      <c r="F446" s="156" t="n">
        <v>4</v>
      </c>
      <c r="G446" s="156" t="inlineStr"/>
      <c r="H446" s="157">
        <f>IF($B446="","",IF(ISNA(MATCH($B446,MASTER_JAM!$Q$5:$Q$28,0)),"?",IF(MATCH($B446,MASTER_JAM!$Q$5:$Q$28,0)&lt;=12,"DS","NS")))</f>
        <v/>
      </c>
      <c r="I446" s="157">
        <f>IFERROR(INDEX(MASTER_JAM!$B$5:$B$94,MATCH($C446,MASTER_JAM!$A$5:$A$94,0)),"")</f>
        <v/>
      </c>
      <c r="J446" s="157">
        <f>IFERROR(INDEX(MASTER_JAM!$E$5:$E$94,MATCH($D446,MASTER_JAM!$A$5:$A$94,0)),"")</f>
        <v/>
      </c>
      <c r="K446" s="158">
        <f>IFERROR(INDEX(MASTER_JAM!$J$5:$O$12,MATCH($E446,MASTER_JAM!$I$5:$I$12,0),MATCH($J446,MASTER_JAM!$J$4:$O$4,0))+0,0)</f>
        <v/>
      </c>
      <c r="L446" s="159">
        <f>N($F446)*$K446</f>
        <v/>
      </c>
      <c r="M446" s="157">
        <f>IF($E446="","",IF(OR($E446="Coal",$E446="Dirty Coal"),"MT","BCM"))</f>
        <v/>
      </c>
      <c r="N446" s="157">
        <f>IF($E446="","",IF(OR($E446="Coal",$E446="Dirty Coal"),"Coal","OB"))</f>
        <v/>
      </c>
      <c r="O446" s="157">
        <f>IF($F446="","",IF(COUNTIF(MASTER_JAM!$A$5:$A$94,$C446)=0,"Digger tidak dikenal",IF($J446="","Hauler tidak dikenal",IF($H446="?","Jam salah",IF($K446=0,"Faktor kosong",IF(SUMIFS(INPUT_DELAY!$E$5:$E$20000,INPUT_DELAY!$A$5:$A$20000,$A446,INPUT_DELAY!$B$5:$B$20000,$B446,INPUT_DELAY!$C$5:$C$20000,$C446)+SUMIFS(INPUT_DELAY!$E$5:$E$20000,INPUT_DELAY!$A$5:$A$20000,$A446,INPUT_DELAY!$B$5:$B$20000,$B446,INPUT_DELAY!$C$5:$C$20000,"SEMUA")&gt;=60,"Delay 60 mnt tapi ada ritase","OK"))))))</f>
        <v/>
      </c>
      <c r="P446" s="158">
        <f>IFERROR(INDEX(MASTER_JAM!$Z$5:$AC$10,MATCH($I446,MASTER_JAM!$Y$5:$Y$10,0),MATCH($J446,MASTER_JAM!$Z$4:$AC$4,0))+0,0)</f>
        <v/>
      </c>
      <c r="Q446" s="158">
        <f>IF($P446=0,0,$P446+IFERROR(INDEX(MASTER_JAM!$H$5:$H$94,MATCH($C446,MASTER_JAM!$A$5:$A$94,0))+0,MASTER_JAM!$AC$15)/1000*(60/MASTER_JAM!$AC$12+60/MASTER_JAM!$AC$13)+MASTER_JAM!$AC$14)</f>
        <v/>
      </c>
      <c r="R446" s="158">
        <f>IF(N($F446)=0,0,$F446/SUMIFS(INPUT_RITASE!$F$5:$F$20000,INPUT_RITASE!$A$5:$A$20000,$A446,INPUT_RITASE!$B$5:$B$20000,$B446,INPUT_RITASE!$C$5:$C$20000,$C446,INPUT_RITASE!$D$5:$D$20000,$D446))</f>
        <v/>
      </c>
      <c r="S446" s="158">
        <f>IF($Q446=0,0,$R446*$P446/$Q446)</f>
        <v/>
      </c>
    </row>
    <row r="447">
      <c r="A447" s="155" t="n">
        <v>46105</v>
      </c>
      <c r="B447" s="156" t="inlineStr">
        <is>
          <t>06-07</t>
        </is>
      </c>
      <c r="C447" s="156" t="inlineStr">
        <is>
          <t>EX-753</t>
        </is>
      </c>
      <c r="D447" s="156" t="inlineStr">
        <is>
          <t>DT-529</t>
        </is>
      </c>
      <c r="E447" s="156" t="inlineStr">
        <is>
          <t>OB</t>
        </is>
      </c>
      <c r="F447" s="156" t="n">
        <v>4</v>
      </c>
      <c r="G447" s="156" t="inlineStr"/>
      <c r="H447" s="157">
        <f>IF($B447="","",IF(ISNA(MATCH($B447,MASTER_JAM!$Q$5:$Q$28,0)),"?",IF(MATCH($B447,MASTER_JAM!$Q$5:$Q$28,0)&lt;=12,"DS","NS")))</f>
        <v/>
      </c>
      <c r="I447" s="157">
        <f>IFERROR(INDEX(MASTER_JAM!$B$5:$B$94,MATCH($C447,MASTER_JAM!$A$5:$A$94,0)),"")</f>
        <v/>
      </c>
      <c r="J447" s="157">
        <f>IFERROR(INDEX(MASTER_JAM!$E$5:$E$94,MATCH($D447,MASTER_JAM!$A$5:$A$94,0)),"")</f>
        <v/>
      </c>
      <c r="K447" s="158">
        <f>IFERROR(INDEX(MASTER_JAM!$J$5:$O$12,MATCH($E447,MASTER_JAM!$I$5:$I$12,0),MATCH($J447,MASTER_JAM!$J$4:$O$4,0))+0,0)</f>
        <v/>
      </c>
      <c r="L447" s="159">
        <f>N($F447)*$K447</f>
        <v/>
      </c>
      <c r="M447" s="157">
        <f>IF($E447="","",IF(OR($E447="Coal",$E447="Dirty Coal"),"MT","BCM"))</f>
        <v/>
      </c>
      <c r="N447" s="157">
        <f>IF($E447="","",IF(OR($E447="Coal",$E447="Dirty Coal"),"Coal","OB"))</f>
        <v/>
      </c>
      <c r="O447" s="157">
        <f>IF($F447="","",IF(COUNTIF(MASTER_JAM!$A$5:$A$94,$C447)=0,"Digger tidak dikenal",IF($J447="","Hauler tidak dikenal",IF($H447="?","Jam salah",IF($K447=0,"Faktor kosong",IF(SUMIFS(INPUT_DELAY!$E$5:$E$20000,INPUT_DELAY!$A$5:$A$20000,$A447,INPUT_DELAY!$B$5:$B$20000,$B447,INPUT_DELAY!$C$5:$C$20000,$C447)+SUMIFS(INPUT_DELAY!$E$5:$E$20000,INPUT_DELAY!$A$5:$A$20000,$A447,INPUT_DELAY!$B$5:$B$20000,$B447,INPUT_DELAY!$C$5:$C$20000,"SEMUA")&gt;=60,"Delay 60 mnt tapi ada ritase","OK"))))))</f>
        <v/>
      </c>
      <c r="P447" s="158">
        <f>IFERROR(INDEX(MASTER_JAM!$Z$5:$AC$10,MATCH($I447,MASTER_JAM!$Y$5:$Y$10,0),MATCH($J447,MASTER_JAM!$Z$4:$AC$4,0))+0,0)</f>
        <v/>
      </c>
      <c r="Q447" s="158">
        <f>IF($P447=0,0,$P447+IFERROR(INDEX(MASTER_JAM!$H$5:$H$94,MATCH($C447,MASTER_JAM!$A$5:$A$94,0))+0,MASTER_JAM!$AC$15)/1000*(60/MASTER_JAM!$AC$12+60/MASTER_JAM!$AC$13)+MASTER_JAM!$AC$14)</f>
        <v/>
      </c>
      <c r="R447" s="158">
        <f>IF(N($F447)=0,0,$F447/SUMIFS(INPUT_RITASE!$F$5:$F$20000,INPUT_RITASE!$A$5:$A$20000,$A447,INPUT_RITASE!$B$5:$B$20000,$B447,INPUT_RITASE!$C$5:$C$20000,$C447,INPUT_RITASE!$D$5:$D$20000,$D447))</f>
        <v/>
      </c>
      <c r="S447" s="158">
        <f>IF($Q447=0,0,$R447*$P447/$Q447)</f>
        <v/>
      </c>
    </row>
    <row r="448">
      <c r="A448" s="155" t="n">
        <v>46105</v>
      </c>
      <c r="B448" s="156" t="inlineStr">
        <is>
          <t>07-08</t>
        </is>
      </c>
      <c r="C448" s="156" t="inlineStr">
        <is>
          <t>EX-753</t>
        </is>
      </c>
      <c r="D448" s="156" t="inlineStr">
        <is>
          <t>DT-523</t>
        </is>
      </c>
      <c r="E448" s="156" t="inlineStr">
        <is>
          <t>OB</t>
        </is>
      </c>
      <c r="F448" s="156" t="n">
        <v>4</v>
      </c>
      <c r="G448" s="156" t="inlineStr"/>
      <c r="H448" s="157">
        <f>IF($B448="","",IF(ISNA(MATCH($B448,MASTER_JAM!$Q$5:$Q$28,0)),"?",IF(MATCH($B448,MASTER_JAM!$Q$5:$Q$28,0)&lt;=12,"DS","NS")))</f>
        <v/>
      </c>
      <c r="I448" s="157">
        <f>IFERROR(INDEX(MASTER_JAM!$B$5:$B$94,MATCH($C448,MASTER_JAM!$A$5:$A$94,0)),"")</f>
        <v/>
      </c>
      <c r="J448" s="157">
        <f>IFERROR(INDEX(MASTER_JAM!$E$5:$E$94,MATCH($D448,MASTER_JAM!$A$5:$A$94,0)),"")</f>
        <v/>
      </c>
      <c r="K448" s="158">
        <f>IFERROR(INDEX(MASTER_JAM!$J$5:$O$12,MATCH($E448,MASTER_JAM!$I$5:$I$12,0),MATCH($J448,MASTER_JAM!$J$4:$O$4,0))+0,0)</f>
        <v/>
      </c>
      <c r="L448" s="159">
        <f>N($F448)*$K448</f>
        <v/>
      </c>
      <c r="M448" s="157">
        <f>IF($E448="","",IF(OR($E448="Coal",$E448="Dirty Coal"),"MT","BCM"))</f>
        <v/>
      </c>
      <c r="N448" s="157">
        <f>IF($E448="","",IF(OR($E448="Coal",$E448="Dirty Coal"),"Coal","OB"))</f>
        <v/>
      </c>
      <c r="O448" s="157">
        <f>IF($F448="","",IF(COUNTIF(MASTER_JAM!$A$5:$A$94,$C448)=0,"Digger tidak dikenal",IF($J448="","Hauler tidak dikenal",IF($H448="?","Jam salah",IF($K448=0,"Faktor kosong",IF(SUMIFS(INPUT_DELAY!$E$5:$E$20000,INPUT_DELAY!$A$5:$A$20000,$A448,INPUT_DELAY!$B$5:$B$20000,$B448,INPUT_DELAY!$C$5:$C$20000,$C448)+SUMIFS(INPUT_DELAY!$E$5:$E$20000,INPUT_DELAY!$A$5:$A$20000,$A448,INPUT_DELAY!$B$5:$B$20000,$B448,INPUT_DELAY!$C$5:$C$20000,"SEMUA")&gt;=60,"Delay 60 mnt tapi ada ritase","OK"))))))</f>
        <v/>
      </c>
      <c r="P448" s="158">
        <f>IFERROR(INDEX(MASTER_JAM!$Z$5:$AC$10,MATCH($I448,MASTER_JAM!$Y$5:$Y$10,0),MATCH($J448,MASTER_JAM!$Z$4:$AC$4,0))+0,0)</f>
        <v/>
      </c>
      <c r="Q448" s="158">
        <f>IF($P448=0,0,$P448+IFERROR(INDEX(MASTER_JAM!$H$5:$H$94,MATCH($C448,MASTER_JAM!$A$5:$A$94,0))+0,MASTER_JAM!$AC$15)/1000*(60/MASTER_JAM!$AC$12+60/MASTER_JAM!$AC$13)+MASTER_JAM!$AC$14)</f>
        <v/>
      </c>
      <c r="R448" s="158">
        <f>IF(N($F448)=0,0,$F448/SUMIFS(INPUT_RITASE!$F$5:$F$20000,INPUT_RITASE!$A$5:$A$20000,$A448,INPUT_RITASE!$B$5:$B$20000,$B448,INPUT_RITASE!$C$5:$C$20000,$C448,INPUT_RITASE!$D$5:$D$20000,$D448))</f>
        <v/>
      </c>
      <c r="S448" s="158">
        <f>IF($Q448=0,0,$R448*$P448/$Q448)</f>
        <v/>
      </c>
    </row>
    <row r="449">
      <c r="A449" s="155" t="n">
        <v>46105</v>
      </c>
      <c r="B449" s="156" t="inlineStr">
        <is>
          <t>07-08</t>
        </is>
      </c>
      <c r="C449" s="156" t="inlineStr">
        <is>
          <t>EX-753</t>
        </is>
      </c>
      <c r="D449" s="156" t="inlineStr">
        <is>
          <t>DT-513</t>
        </is>
      </c>
      <c r="E449" s="156" t="inlineStr">
        <is>
          <t>OB</t>
        </is>
      </c>
      <c r="F449" s="156" t="n">
        <v>4</v>
      </c>
      <c r="G449" s="156" t="inlineStr"/>
      <c r="H449" s="157">
        <f>IF($B449="","",IF(ISNA(MATCH($B449,MASTER_JAM!$Q$5:$Q$28,0)),"?",IF(MATCH($B449,MASTER_JAM!$Q$5:$Q$28,0)&lt;=12,"DS","NS")))</f>
        <v/>
      </c>
      <c r="I449" s="157">
        <f>IFERROR(INDEX(MASTER_JAM!$B$5:$B$94,MATCH($C449,MASTER_JAM!$A$5:$A$94,0)),"")</f>
        <v/>
      </c>
      <c r="J449" s="157">
        <f>IFERROR(INDEX(MASTER_JAM!$E$5:$E$94,MATCH($D449,MASTER_JAM!$A$5:$A$94,0)),"")</f>
        <v/>
      </c>
      <c r="K449" s="158">
        <f>IFERROR(INDEX(MASTER_JAM!$J$5:$O$12,MATCH($E449,MASTER_JAM!$I$5:$I$12,0),MATCH($J449,MASTER_JAM!$J$4:$O$4,0))+0,0)</f>
        <v/>
      </c>
      <c r="L449" s="159">
        <f>N($F449)*$K449</f>
        <v/>
      </c>
      <c r="M449" s="157">
        <f>IF($E449="","",IF(OR($E449="Coal",$E449="Dirty Coal"),"MT","BCM"))</f>
        <v/>
      </c>
      <c r="N449" s="157">
        <f>IF($E449="","",IF(OR($E449="Coal",$E449="Dirty Coal"),"Coal","OB"))</f>
        <v/>
      </c>
      <c r="O449" s="157">
        <f>IF($F449="","",IF(COUNTIF(MASTER_JAM!$A$5:$A$94,$C449)=0,"Digger tidak dikenal",IF($J449="","Hauler tidak dikenal",IF($H449="?","Jam salah",IF($K449=0,"Faktor kosong",IF(SUMIFS(INPUT_DELAY!$E$5:$E$20000,INPUT_DELAY!$A$5:$A$20000,$A449,INPUT_DELAY!$B$5:$B$20000,$B449,INPUT_DELAY!$C$5:$C$20000,$C449)+SUMIFS(INPUT_DELAY!$E$5:$E$20000,INPUT_DELAY!$A$5:$A$20000,$A449,INPUT_DELAY!$B$5:$B$20000,$B449,INPUT_DELAY!$C$5:$C$20000,"SEMUA")&gt;=60,"Delay 60 mnt tapi ada ritase","OK"))))))</f>
        <v/>
      </c>
      <c r="P449" s="158">
        <f>IFERROR(INDEX(MASTER_JAM!$Z$5:$AC$10,MATCH($I449,MASTER_JAM!$Y$5:$Y$10,0),MATCH($J449,MASTER_JAM!$Z$4:$AC$4,0))+0,0)</f>
        <v/>
      </c>
      <c r="Q449" s="158">
        <f>IF($P449=0,0,$P449+IFERROR(INDEX(MASTER_JAM!$H$5:$H$94,MATCH($C449,MASTER_JAM!$A$5:$A$94,0))+0,MASTER_JAM!$AC$15)/1000*(60/MASTER_JAM!$AC$12+60/MASTER_JAM!$AC$13)+MASTER_JAM!$AC$14)</f>
        <v/>
      </c>
      <c r="R449" s="158">
        <f>IF(N($F449)=0,0,$F449/SUMIFS(INPUT_RITASE!$F$5:$F$20000,INPUT_RITASE!$A$5:$A$20000,$A449,INPUT_RITASE!$B$5:$B$20000,$B449,INPUT_RITASE!$C$5:$C$20000,$C449,INPUT_RITASE!$D$5:$D$20000,$D449))</f>
        <v/>
      </c>
      <c r="S449" s="158">
        <f>IF($Q449=0,0,$R449*$P449/$Q449)</f>
        <v/>
      </c>
    </row>
    <row r="450">
      <c r="A450" s="155" t="n">
        <v>46105</v>
      </c>
      <c r="B450" s="156" t="inlineStr">
        <is>
          <t>07-08</t>
        </is>
      </c>
      <c r="C450" s="156" t="inlineStr">
        <is>
          <t>EX-753</t>
        </is>
      </c>
      <c r="D450" s="156" t="inlineStr">
        <is>
          <t>DT-512</t>
        </is>
      </c>
      <c r="E450" s="156" t="inlineStr">
        <is>
          <t>OB</t>
        </is>
      </c>
      <c r="F450" s="156" t="n">
        <v>4</v>
      </c>
      <c r="G450" s="156" t="inlineStr"/>
      <c r="H450" s="157">
        <f>IF($B450="","",IF(ISNA(MATCH($B450,MASTER_JAM!$Q$5:$Q$28,0)),"?",IF(MATCH($B450,MASTER_JAM!$Q$5:$Q$28,0)&lt;=12,"DS","NS")))</f>
        <v/>
      </c>
      <c r="I450" s="157">
        <f>IFERROR(INDEX(MASTER_JAM!$B$5:$B$94,MATCH($C450,MASTER_JAM!$A$5:$A$94,0)),"")</f>
        <v/>
      </c>
      <c r="J450" s="157">
        <f>IFERROR(INDEX(MASTER_JAM!$E$5:$E$94,MATCH($D450,MASTER_JAM!$A$5:$A$94,0)),"")</f>
        <v/>
      </c>
      <c r="K450" s="158">
        <f>IFERROR(INDEX(MASTER_JAM!$J$5:$O$12,MATCH($E450,MASTER_JAM!$I$5:$I$12,0),MATCH($J450,MASTER_JAM!$J$4:$O$4,0))+0,0)</f>
        <v/>
      </c>
      <c r="L450" s="159">
        <f>N($F450)*$K450</f>
        <v/>
      </c>
      <c r="M450" s="157">
        <f>IF($E450="","",IF(OR($E450="Coal",$E450="Dirty Coal"),"MT","BCM"))</f>
        <v/>
      </c>
      <c r="N450" s="157">
        <f>IF($E450="","",IF(OR($E450="Coal",$E450="Dirty Coal"),"Coal","OB"))</f>
        <v/>
      </c>
      <c r="O450" s="157">
        <f>IF($F450="","",IF(COUNTIF(MASTER_JAM!$A$5:$A$94,$C450)=0,"Digger tidak dikenal",IF($J450="","Hauler tidak dikenal",IF($H450="?","Jam salah",IF($K450=0,"Faktor kosong",IF(SUMIFS(INPUT_DELAY!$E$5:$E$20000,INPUT_DELAY!$A$5:$A$20000,$A450,INPUT_DELAY!$B$5:$B$20000,$B450,INPUT_DELAY!$C$5:$C$20000,$C450)+SUMIFS(INPUT_DELAY!$E$5:$E$20000,INPUT_DELAY!$A$5:$A$20000,$A450,INPUT_DELAY!$B$5:$B$20000,$B450,INPUT_DELAY!$C$5:$C$20000,"SEMUA")&gt;=60,"Delay 60 mnt tapi ada ritase","OK"))))))</f>
        <v/>
      </c>
      <c r="P450" s="158">
        <f>IFERROR(INDEX(MASTER_JAM!$Z$5:$AC$10,MATCH($I450,MASTER_JAM!$Y$5:$Y$10,0),MATCH($J450,MASTER_JAM!$Z$4:$AC$4,0))+0,0)</f>
        <v/>
      </c>
      <c r="Q450" s="158">
        <f>IF($P450=0,0,$P450+IFERROR(INDEX(MASTER_JAM!$H$5:$H$94,MATCH($C450,MASTER_JAM!$A$5:$A$94,0))+0,MASTER_JAM!$AC$15)/1000*(60/MASTER_JAM!$AC$12+60/MASTER_JAM!$AC$13)+MASTER_JAM!$AC$14)</f>
        <v/>
      </c>
      <c r="R450" s="158">
        <f>IF(N($F450)=0,0,$F450/SUMIFS(INPUT_RITASE!$F$5:$F$20000,INPUT_RITASE!$A$5:$A$20000,$A450,INPUT_RITASE!$B$5:$B$20000,$B450,INPUT_RITASE!$C$5:$C$20000,$C450,INPUT_RITASE!$D$5:$D$20000,$D450))</f>
        <v/>
      </c>
      <c r="S450" s="158">
        <f>IF($Q450=0,0,$R450*$P450/$Q450)</f>
        <v/>
      </c>
    </row>
    <row r="451">
      <c r="A451" s="155" t="n">
        <v>46105</v>
      </c>
      <c r="B451" s="156" t="inlineStr">
        <is>
          <t>07-08</t>
        </is>
      </c>
      <c r="C451" s="156" t="inlineStr">
        <is>
          <t>EX-753</t>
        </is>
      </c>
      <c r="D451" s="156" t="inlineStr">
        <is>
          <t>DT-520</t>
        </is>
      </c>
      <c r="E451" s="156" t="inlineStr">
        <is>
          <t>OB</t>
        </is>
      </c>
      <c r="F451" s="156" t="n">
        <v>4</v>
      </c>
      <c r="G451" s="156" t="inlineStr"/>
      <c r="H451" s="157">
        <f>IF($B451="","",IF(ISNA(MATCH($B451,MASTER_JAM!$Q$5:$Q$28,0)),"?",IF(MATCH($B451,MASTER_JAM!$Q$5:$Q$28,0)&lt;=12,"DS","NS")))</f>
        <v/>
      </c>
      <c r="I451" s="157">
        <f>IFERROR(INDEX(MASTER_JAM!$B$5:$B$94,MATCH($C451,MASTER_JAM!$A$5:$A$94,0)),"")</f>
        <v/>
      </c>
      <c r="J451" s="157">
        <f>IFERROR(INDEX(MASTER_JAM!$E$5:$E$94,MATCH($D451,MASTER_JAM!$A$5:$A$94,0)),"")</f>
        <v/>
      </c>
      <c r="K451" s="158">
        <f>IFERROR(INDEX(MASTER_JAM!$J$5:$O$12,MATCH($E451,MASTER_JAM!$I$5:$I$12,0),MATCH($J451,MASTER_JAM!$J$4:$O$4,0))+0,0)</f>
        <v/>
      </c>
      <c r="L451" s="159">
        <f>N($F451)*$K451</f>
        <v/>
      </c>
      <c r="M451" s="157">
        <f>IF($E451="","",IF(OR($E451="Coal",$E451="Dirty Coal"),"MT","BCM"))</f>
        <v/>
      </c>
      <c r="N451" s="157">
        <f>IF($E451="","",IF(OR($E451="Coal",$E451="Dirty Coal"),"Coal","OB"))</f>
        <v/>
      </c>
      <c r="O451" s="157">
        <f>IF($F451="","",IF(COUNTIF(MASTER_JAM!$A$5:$A$94,$C451)=0,"Digger tidak dikenal",IF($J451="","Hauler tidak dikenal",IF($H451="?","Jam salah",IF($K451=0,"Faktor kosong",IF(SUMIFS(INPUT_DELAY!$E$5:$E$20000,INPUT_DELAY!$A$5:$A$20000,$A451,INPUT_DELAY!$B$5:$B$20000,$B451,INPUT_DELAY!$C$5:$C$20000,$C451)+SUMIFS(INPUT_DELAY!$E$5:$E$20000,INPUT_DELAY!$A$5:$A$20000,$A451,INPUT_DELAY!$B$5:$B$20000,$B451,INPUT_DELAY!$C$5:$C$20000,"SEMUA")&gt;=60,"Delay 60 mnt tapi ada ritase","OK"))))))</f>
        <v/>
      </c>
      <c r="P451" s="158">
        <f>IFERROR(INDEX(MASTER_JAM!$Z$5:$AC$10,MATCH($I451,MASTER_JAM!$Y$5:$Y$10,0),MATCH($J451,MASTER_JAM!$Z$4:$AC$4,0))+0,0)</f>
        <v/>
      </c>
      <c r="Q451" s="158">
        <f>IF($P451=0,0,$P451+IFERROR(INDEX(MASTER_JAM!$H$5:$H$94,MATCH($C451,MASTER_JAM!$A$5:$A$94,0))+0,MASTER_JAM!$AC$15)/1000*(60/MASTER_JAM!$AC$12+60/MASTER_JAM!$AC$13)+MASTER_JAM!$AC$14)</f>
        <v/>
      </c>
      <c r="R451" s="158">
        <f>IF(N($F451)=0,0,$F451/SUMIFS(INPUT_RITASE!$F$5:$F$20000,INPUT_RITASE!$A$5:$A$20000,$A451,INPUT_RITASE!$B$5:$B$20000,$B451,INPUT_RITASE!$C$5:$C$20000,$C451,INPUT_RITASE!$D$5:$D$20000,$D451))</f>
        <v/>
      </c>
      <c r="S451" s="158">
        <f>IF($Q451=0,0,$R451*$P451/$Q451)</f>
        <v/>
      </c>
    </row>
    <row r="452">
      <c r="A452" s="155" t="n">
        <v>46105</v>
      </c>
      <c r="B452" s="156" t="inlineStr">
        <is>
          <t>07-08</t>
        </is>
      </c>
      <c r="C452" s="156" t="inlineStr">
        <is>
          <t>EX-753</t>
        </is>
      </c>
      <c r="D452" s="156" t="inlineStr">
        <is>
          <t>DT-521</t>
        </is>
      </c>
      <c r="E452" s="156" t="inlineStr">
        <is>
          <t>OB</t>
        </is>
      </c>
      <c r="F452" s="156" t="n">
        <v>3</v>
      </c>
      <c r="G452" s="156" t="inlineStr"/>
      <c r="H452" s="157">
        <f>IF($B452="","",IF(ISNA(MATCH($B452,MASTER_JAM!$Q$5:$Q$28,0)),"?",IF(MATCH($B452,MASTER_JAM!$Q$5:$Q$28,0)&lt;=12,"DS","NS")))</f>
        <v/>
      </c>
      <c r="I452" s="157">
        <f>IFERROR(INDEX(MASTER_JAM!$B$5:$B$94,MATCH($C452,MASTER_JAM!$A$5:$A$94,0)),"")</f>
        <v/>
      </c>
      <c r="J452" s="157">
        <f>IFERROR(INDEX(MASTER_JAM!$E$5:$E$94,MATCH($D452,MASTER_JAM!$A$5:$A$94,0)),"")</f>
        <v/>
      </c>
      <c r="K452" s="158">
        <f>IFERROR(INDEX(MASTER_JAM!$J$5:$O$12,MATCH($E452,MASTER_JAM!$I$5:$I$12,0),MATCH($J452,MASTER_JAM!$J$4:$O$4,0))+0,0)</f>
        <v/>
      </c>
      <c r="L452" s="159">
        <f>N($F452)*$K452</f>
        <v/>
      </c>
      <c r="M452" s="157">
        <f>IF($E452="","",IF(OR($E452="Coal",$E452="Dirty Coal"),"MT","BCM"))</f>
        <v/>
      </c>
      <c r="N452" s="157">
        <f>IF($E452="","",IF(OR($E452="Coal",$E452="Dirty Coal"),"Coal","OB"))</f>
        <v/>
      </c>
      <c r="O452" s="157">
        <f>IF($F452="","",IF(COUNTIF(MASTER_JAM!$A$5:$A$94,$C452)=0,"Digger tidak dikenal",IF($J452="","Hauler tidak dikenal",IF($H452="?","Jam salah",IF($K452=0,"Faktor kosong",IF(SUMIFS(INPUT_DELAY!$E$5:$E$20000,INPUT_DELAY!$A$5:$A$20000,$A452,INPUT_DELAY!$B$5:$B$20000,$B452,INPUT_DELAY!$C$5:$C$20000,$C452)+SUMIFS(INPUT_DELAY!$E$5:$E$20000,INPUT_DELAY!$A$5:$A$20000,$A452,INPUT_DELAY!$B$5:$B$20000,$B452,INPUT_DELAY!$C$5:$C$20000,"SEMUA")&gt;=60,"Delay 60 mnt tapi ada ritase","OK"))))))</f>
        <v/>
      </c>
      <c r="P452" s="158">
        <f>IFERROR(INDEX(MASTER_JAM!$Z$5:$AC$10,MATCH($I452,MASTER_JAM!$Y$5:$Y$10,0),MATCH($J452,MASTER_JAM!$Z$4:$AC$4,0))+0,0)</f>
        <v/>
      </c>
      <c r="Q452" s="158">
        <f>IF($P452=0,0,$P452+IFERROR(INDEX(MASTER_JAM!$H$5:$H$94,MATCH($C452,MASTER_JAM!$A$5:$A$94,0))+0,MASTER_JAM!$AC$15)/1000*(60/MASTER_JAM!$AC$12+60/MASTER_JAM!$AC$13)+MASTER_JAM!$AC$14)</f>
        <v/>
      </c>
      <c r="R452" s="158">
        <f>IF(N($F452)=0,0,$F452/SUMIFS(INPUT_RITASE!$F$5:$F$20000,INPUT_RITASE!$A$5:$A$20000,$A452,INPUT_RITASE!$B$5:$B$20000,$B452,INPUT_RITASE!$C$5:$C$20000,$C452,INPUT_RITASE!$D$5:$D$20000,$D452))</f>
        <v/>
      </c>
      <c r="S452" s="158">
        <f>IF($Q452=0,0,$R452*$P452/$Q452)</f>
        <v/>
      </c>
    </row>
    <row r="453">
      <c r="A453" s="155" t="n">
        <v>46105</v>
      </c>
      <c r="B453" s="156" t="inlineStr">
        <is>
          <t>07-08</t>
        </is>
      </c>
      <c r="C453" s="156" t="inlineStr">
        <is>
          <t>EX-753</t>
        </is>
      </c>
      <c r="D453" s="156" t="inlineStr">
        <is>
          <t>DT-522</t>
        </is>
      </c>
      <c r="E453" s="156" t="inlineStr">
        <is>
          <t>OB</t>
        </is>
      </c>
      <c r="F453" s="156" t="n">
        <v>3</v>
      </c>
      <c r="G453" s="156" t="inlineStr"/>
      <c r="H453" s="157">
        <f>IF($B453="","",IF(ISNA(MATCH($B453,MASTER_JAM!$Q$5:$Q$28,0)),"?",IF(MATCH($B453,MASTER_JAM!$Q$5:$Q$28,0)&lt;=12,"DS","NS")))</f>
        <v/>
      </c>
      <c r="I453" s="157">
        <f>IFERROR(INDEX(MASTER_JAM!$B$5:$B$94,MATCH($C453,MASTER_JAM!$A$5:$A$94,0)),"")</f>
        <v/>
      </c>
      <c r="J453" s="157">
        <f>IFERROR(INDEX(MASTER_JAM!$E$5:$E$94,MATCH($D453,MASTER_JAM!$A$5:$A$94,0)),"")</f>
        <v/>
      </c>
      <c r="K453" s="158">
        <f>IFERROR(INDEX(MASTER_JAM!$J$5:$O$12,MATCH($E453,MASTER_JAM!$I$5:$I$12,0),MATCH($J453,MASTER_JAM!$J$4:$O$4,0))+0,0)</f>
        <v/>
      </c>
      <c r="L453" s="159">
        <f>N($F453)*$K453</f>
        <v/>
      </c>
      <c r="M453" s="157">
        <f>IF($E453="","",IF(OR($E453="Coal",$E453="Dirty Coal"),"MT","BCM"))</f>
        <v/>
      </c>
      <c r="N453" s="157">
        <f>IF($E453="","",IF(OR($E453="Coal",$E453="Dirty Coal"),"Coal","OB"))</f>
        <v/>
      </c>
      <c r="O453" s="157">
        <f>IF($F453="","",IF(COUNTIF(MASTER_JAM!$A$5:$A$94,$C453)=0,"Digger tidak dikenal",IF($J453="","Hauler tidak dikenal",IF($H453="?","Jam salah",IF($K453=0,"Faktor kosong",IF(SUMIFS(INPUT_DELAY!$E$5:$E$20000,INPUT_DELAY!$A$5:$A$20000,$A453,INPUT_DELAY!$B$5:$B$20000,$B453,INPUT_DELAY!$C$5:$C$20000,$C453)+SUMIFS(INPUT_DELAY!$E$5:$E$20000,INPUT_DELAY!$A$5:$A$20000,$A453,INPUT_DELAY!$B$5:$B$20000,$B453,INPUT_DELAY!$C$5:$C$20000,"SEMUA")&gt;=60,"Delay 60 mnt tapi ada ritase","OK"))))))</f>
        <v/>
      </c>
      <c r="P453" s="158">
        <f>IFERROR(INDEX(MASTER_JAM!$Z$5:$AC$10,MATCH($I453,MASTER_JAM!$Y$5:$Y$10,0),MATCH($J453,MASTER_JAM!$Z$4:$AC$4,0))+0,0)</f>
        <v/>
      </c>
      <c r="Q453" s="158">
        <f>IF($P453=0,0,$P453+IFERROR(INDEX(MASTER_JAM!$H$5:$H$94,MATCH($C453,MASTER_JAM!$A$5:$A$94,0))+0,MASTER_JAM!$AC$15)/1000*(60/MASTER_JAM!$AC$12+60/MASTER_JAM!$AC$13)+MASTER_JAM!$AC$14)</f>
        <v/>
      </c>
      <c r="R453" s="158">
        <f>IF(N($F453)=0,0,$F453/SUMIFS(INPUT_RITASE!$F$5:$F$20000,INPUT_RITASE!$A$5:$A$20000,$A453,INPUT_RITASE!$B$5:$B$20000,$B453,INPUT_RITASE!$C$5:$C$20000,$C453,INPUT_RITASE!$D$5:$D$20000,$D453))</f>
        <v/>
      </c>
      <c r="S453" s="158">
        <f>IF($Q453=0,0,$R453*$P453/$Q453)</f>
        <v/>
      </c>
    </row>
    <row r="454">
      <c r="A454" s="155" t="n">
        <v>46105</v>
      </c>
      <c r="B454" s="156" t="inlineStr">
        <is>
          <t>08-09</t>
        </is>
      </c>
      <c r="C454" s="156" t="inlineStr">
        <is>
          <t>EX-753</t>
        </is>
      </c>
      <c r="D454" s="156" t="inlineStr">
        <is>
          <t>DT-510</t>
        </is>
      </c>
      <c r="E454" s="156" t="inlineStr">
        <is>
          <t>OB</t>
        </is>
      </c>
      <c r="F454" s="156" t="n">
        <v>4</v>
      </c>
      <c r="G454" s="156" t="inlineStr"/>
      <c r="H454" s="157">
        <f>IF($B454="","",IF(ISNA(MATCH($B454,MASTER_JAM!$Q$5:$Q$28,0)),"?",IF(MATCH($B454,MASTER_JAM!$Q$5:$Q$28,0)&lt;=12,"DS","NS")))</f>
        <v/>
      </c>
      <c r="I454" s="157">
        <f>IFERROR(INDEX(MASTER_JAM!$B$5:$B$94,MATCH($C454,MASTER_JAM!$A$5:$A$94,0)),"")</f>
        <v/>
      </c>
      <c r="J454" s="157">
        <f>IFERROR(INDEX(MASTER_JAM!$E$5:$E$94,MATCH($D454,MASTER_JAM!$A$5:$A$94,0)),"")</f>
        <v/>
      </c>
      <c r="K454" s="158">
        <f>IFERROR(INDEX(MASTER_JAM!$J$5:$O$12,MATCH($E454,MASTER_JAM!$I$5:$I$12,0),MATCH($J454,MASTER_JAM!$J$4:$O$4,0))+0,0)</f>
        <v/>
      </c>
      <c r="L454" s="159">
        <f>N($F454)*$K454</f>
        <v/>
      </c>
      <c r="M454" s="157">
        <f>IF($E454="","",IF(OR($E454="Coal",$E454="Dirty Coal"),"MT","BCM"))</f>
        <v/>
      </c>
      <c r="N454" s="157">
        <f>IF($E454="","",IF(OR($E454="Coal",$E454="Dirty Coal"),"Coal","OB"))</f>
        <v/>
      </c>
      <c r="O454" s="157">
        <f>IF($F454="","",IF(COUNTIF(MASTER_JAM!$A$5:$A$94,$C454)=0,"Digger tidak dikenal",IF($J454="","Hauler tidak dikenal",IF($H454="?","Jam salah",IF($K454=0,"Faktor kosong",IF(SUMIFS(INPUT_DELAY!$E$5:$E$20000,INPUT_DELAY!$A$5:$A$20000,$A454,INPUT_DELAY!$B$5:$B$20000,$B454,INPUT_DELAY!$C$5:$C$20000,$C454)+SUMIFS(INPUT_DELAY!$E$5:$E$20000,INPUT_DELAY!$A$5:$A$20000,$A454,INPUT_DELAY!$B$5:$B$20000,$B454,INPUT_DELAY!$C$5:$C$20000,"SEMUA")&gt;=60,"Delay 60 mnt tapi ada ritase","OK"))))))</f>
        <v/>
      </c>
      <c r="P454" s="158">
        <f>IFERROR(INDEX(MASTER_JAM!$Z$5:$AC$10,MATCH($I454,MASTER_JAM!$Y$5:$Y$10,0),MATCH($J454,MASTER_JAM!$Z$4:$AC$4,0))+0,0)</f>
        <v/>
      </c>
      <c r="Q454" s="158">
        <f>IF($P454=0,0,$P454+IFERROR(INDEX(MASTER_JAM!$H$5:$H$94,MATCH($C454,MASTER_JAM!$A$5:$A$94,0))+0,MASTER_JAM!$AC$15)/1000*(60/MASTER_JAM!$AC$12+60/MASTER_JAM!$AC$13)+MASTER_JAM!$AC$14)</f>
        <v/>
      </c>
      <c r="R454" s="158">
        <f>IF(N($F454)=0,0,$F454/SUMIFS(INPUT_RITASE!$F$5:$F$20000,INPUT_RITASE!$A$5:$A$20000,$A454,INPUT_RITASE!$B$5:$B$20000,$B454,INPUT_RITASE!$C$5:$C$20000,$C454,INPUT_RITASE!$D$5:$D$20000,$D454))</f>
        <v/>
      </c>
      <c r="S454" s="158">
        <f>IF($Q454=0,0,$R454*$P454/$Q454)</f>
        <v/>
      </c>
    </row>
    <row r="455">
      <c r="A455" s="155" t="n">
        <v>46105</v>
      </c>
      <c r="B455" s="156" t="inlineStr">
        <is>
          <t>08-09</t>
        </is>
      </c>
      <c r="C455" s="156" t="inlineStr">
        <is>
          <t>EX-753</t>
        </is>
      </c>
      <c r="D455" s="156" t="inlineStr">
        <is>
          <t>DT-520</t>
        </is>
      </c>
      <c r="E455" s="156" t="inlineStr">
        <is>
          <t>OB</t>
        </is>
      </c>
      <c r="F455" s="156" t="n">
        <v>4</v>
      </c>
      <c r="G455" s="156" t="inlineStr"/>
      <c r="H455" s="157">
        <f>IF($B455="","",IF(ISNA(MATCH($B455,MASTER_JAM!$Q$5:$Q$28,0)),"?",IF(MATCH($B455,MASTER_JAM!$Q$5:$Q$28,0)&lt;=12,"DS","NS")))</f>
        <v/>
      </c>
      <c r="I455" s="157">
        <f>IFERROR(INDEX(MASTER_JAM!$B$5:$B$94,MATCH($C455,MASTER_JAM!$A$5:$A$94,0)),"")</f>
        <v/>
      </c>
      <c r="J455" s="157">
        <f>IFERROR(INDEX(MASTER_JAM!$E$5:$E$94,MATCH($D455,MASTER_JAM!$A$5:$A$94,0)),"")</f>
        <v/>
      </c>
      <c r="K455" s="158">
        <f>IFERROR(INDEX(MASTER_JAM!$J$5:$O$12,MATCH($E455,MASTER_JAM!$I$5:$I$12,0),MATCH($J455,MASTER_JAM!$J$4:$O$4,0))+0,0)</f>
        <v/>
      </c>
      <c r="L455" s="159">
        <f>N($F455)*$K455</f>
        <v/>
      </c>
      <c r="M455" s="157">
        <f>IF($E455="","",IF(OR($E455="Coal",$E455="Dirty Coal"),"MT","BCM"))</f>
        <v/>
      </c>
      <c r="N455" s="157">
        <f>IF($E455="","",IF(OR($E455="Coal",$E455="Dirty Coal"),"Coal","OB"))</f>
        <v/>
      </c>
      <c r="O455" s="157">
        <f>IF($F455="","",IF(COUNTIF(MASTER_JAM!$A$5:$A$94,$C455)=0,"Digger tidak dikenal",IF($J455="","Hauler tidak dikenal",IF($H455="?","Jam salah",IF($K455=0,"Faktor kosong",IF(SUMIFS(INPUT_DELAY!$E$5:$E$20000,INPUT_DELAY!$A$5:$A$20000,$A455,INPUT_DELAY!$B$5:$B$20000,$B455,INPUT_DELAY!$C$5:$C$20000,$C455)+SUMIFS(INPUT_DELAY!$E$5:$E$20000,INPUT_DELAY!$A$5:$A$20000,$A455,INPUT_DELAY!$B$5:$B$20000,$B455,INPUT_DELAY!$C$5:$C$20000,"SEMUA")&gt;=60,"Delay 60 mnt tapi ada ritase","OK"))))))</f>
        <v/>
      </c>
      <c r="P455" s="158">
        <f>IFERROR(INDEX(MASTER_JAM!$Z$5:$AC$10,MATCH($I455,MASTER_JAM!$Y$5:$Y$10,0),MATCH($J455,MASTER_JAM!$Z$4:$AC$4,0))+0,0)</f>
        <v/>
      </c>
      <c r="Q455" s="158">
        <f>IF($P455=0,0,$P455+IFERROR(INDEX(MASTER_JAM!$H$5:$H$94,MATCH($C455,MASTER_JAM!$A$5:$A$94,0))+0,MASTER_JAM!$AC$15)/1000*(60/MASTER_JAM!$AC$12+60/MASTER_JAM!$AC$13)+MASTER_JAM!$AC$14)</f>
        <v/>
      </c>
      <c r="R455" s="158">
        <f>IF(N($F455)=0,0,$F455/SUMIFS(INPUT_RITASE!$F$5:$F$20000,INPUT_RITASE!$A$5:$A$20000,$A455,INPUT_RITASE!$B$5:$B$20000,$B455,INPUT_RITASE!$C$5:$C$20000,$C455,INPUT_RITASE!$D$5:$D$20000,$D455))</f>
        <v/>
      </c>
      <c r="S455" s="158">
        <f>IF($Q455=0,0,$R455*$P455/$Q455)</f>
        <v/>
      </c>
    </row>
    <row r="456">
      <c r="A456" s="155" t="n">
        <v>46105</v>
      </c>
      <c r="B456" s="156" t="inlineStr">
        <is>
          <t>08-09</t>
        </is>
      </c>
      <c r="C456" s="156" t="inlineStr">
        <is>
          <t>EX-753</t>
        </is>
      </c>
      <c r="D456" s="156" t="inlineStr">
        <is>
          <t>DT-501</t>
        </is>
      </c>
      <c r="E456" s="156" t="inlineStr">
        <is>
          <t>OB</t>
        </is>
      </c>
      <c r="F456" s="156" t="n">
        <v>4</v>
      </c>
      <c r="G456" s="156" t="inlineStr"/>
      <c r="H456" s="157">
        <f>IF($B456="","",IF(ISNA(MATCH($B456,MASTER_JAM!$Q$5:$Q$28,0)),"?",IF(MATCH($B456,MASTER_JAM!$Q$5:$Q$28,0)&lt;=12,"DS","NS")))</f>
        <v/>
      </c>
      <c r="I456" s="157">
        <f>IFERROR(INDEX(MASTER_JAM!$B$5:$B$94,MATCH($C456,MASTER_JAM!$A$5:$A$94,0)),"")</f>
        <v/>
      </c>
      <c r="J456" s="157">
        <f>IFERROR(INDEX(MASTER_JAM!$E$5:$E$94,MATCH($D456,MASTER_JAM!$A$5:$A$94,0)),"")</f>
        <v/>
      </c>
      <c r="K456" s="158">
        <f>IFERROR(INDEX(MASTER_JAM!$J$5:$O$12,MATCH($E456,MASTER_JAM!$I$5:$I$12,0),MATCH($J456,MASTER_JAM!$J$4:$O$4,0))+0,0)</f>
        <v/>
      </c>
      <c r="L456" s="159">
        <f>N($F456)*$K456</f>
        <v/>
      </c>
      <c r="M456" s="157">
        <f>IF($E456="","",IF(OR($E456="Coal",$E456="Dirty Coal"),"MT","BCM"))</f>
        <v/>
      </c>
      <c r="N456" s="157">
        <f>IF($E456="","",IF(OR($E456="Coal",$E456="Dirty Coal"),"Coal","OB"))</f>
        <v/>
      </c>
      <c r="O456" s="157">
        <f>IF($F456="","",IF(COUNTIF(MASTER_JAM!$A$5:$A$94,$C456)=0,"Digger tidak dikenal",IF($J456="","Hauler tidak dikenal",IF($H456="?","Jam salah",IF($K456=0,"Faktor kosong",IF(SUMIFS(INPUT_DELAY!$E$5:$E$20000,INPUT_DELAY!$A$5:$A$20000,$A456,INPUT_DELAY!$B$5:$B$20000,$B456,INPUT_DELAY!$C$5:$C$20000,$C456)+SUMIFS(INPUT_DELAY!$E$5:$E$20000,INPUT_DELAY!$A$5:$A$20000,$A456,INPUT_DELAY!$B$5:$B$20000,$B456,INPUT_DELAY!$C$5:$C$20000,"SEMUA")&gt;=60,"Delay 60 mnt tapi ada ritase","OK"))))))</f>
        <v/>
      </c>
      <c r="P456" s="158">
        <f>IFERROR(INDEX(MASTER_JAM!$Z$5:$AC$10,MATCH($I456,MASTER_JAM!$Y$5:$Y$10,0),MATCH($J456,MASTER_JAM!$Z$4:$AC$4,0))+0,0)</f>
        <v/>
      </c>
      <c r="Q456" s="158">
        <f>IF($P456=0,0,$P456+IFERROR(INDEX(MASTER_JAM!$H$5:$H$94,MATCH($C456,MASTER_JAM!$A$5:$A$94,0))+0,MASTER_JAM!$AC$15)/1000*(60/MASTER_JAM!$AC$12+60/MASTER_JAM!$AC$13)+MASTER_JAM!$AC$14)</f>
        <v/>
      </c>
      <c r="R456" s="158">
        <f>IF(N($F456)=0,0,$F456/SUMIFS(INPUT_RITASE!$F$5:$F$20000,INPUT_RITASE!$A$5:$A$20000,$A456,INPUT_RITASE!$B$5:$B$20000,$B456,INPUT_RITASE!$C$5:$C$20000,$C456,INPUT_RITASE!$D$5:$D$20000,$D456))</f>
        <v/>
      </c>
      <c r="S456" s="158">
        <f>IF($Q456=0,0,$R456*$P456/$Q456)</f>
        <v/>
      </c>
    </row>
    <row r="457">
      <c r="A457" s="155" t="n">
        <v>46105</v>
      </c>
      <c r="B457" s="156" t="inlineStr">
        <is>
          <t>08-09</t>
        </is>
      </c>
      <c r="C457" s="156" t="inlineStr">
        <is>
          <t>EX-753</t>
        </is>
      </c>
      <c r="D457" s="156" t="inlineStr">
        <is>
          <t>DT-527</t>
        </is>
      </c>
      <c r="E457" s="156" t="inlineStr">
        <is>
          <t>OB</t>
        </is>
      </c>
      <c r="F457" s="156" t="n">
        <v>4</v>
      </c>
      <c r="G457" s="156" t="inlineStr"/>
      <c r="H457" s="157">
        <f>IF($B457="","",IF(ISNA(MATCH($B457,MASTER_JAM!$Q$5:$Q$28,0)),"?",IF(MATCH($B457,MASTER_JAM!$Q$5:$Q$28,0)&lt;=12,"DS","NS")))</f>
        <v/>
      </c>
      <c r="I457" s="157">
        <f>IFERROR(INDEX(MASTER_JAM!$B$5:$B$94,MATCH($C457,MASTER_JAM!$A$5:$A$94,0)),"")</f>
        <v/>
      </c>
      <c r="J457" s="157">
        <f>IFERROR(INDEX(MASTER_JAM!$E$5:$E$94,MATCH($D457,MASTER_JAM!$A$5:$A$94,0)),"")</f>
        <v/>
      </c>
      <c r="K457" s="158">
        <f>IFERROR(INDEX(MASTER_JAM!$J$5:$O$12,MATCH($E457,MASTER_JAM!$I$5:$I$12,0),MATCH($J457,MASTER_JAM!$J$4:$O$4,0))+0,0)</f>
        <v/>
      </c>
      <c r="L457" s="159">
        <f>N($F457)*$K457</f>
        <v/>
      </c>
      <c r="M457" s="157">
        <f>IF($E457="","",IF(OR($E457="Coal",$E457="Dirty Coal"),"MT","BCM"))</f>
        <v/>
      </c>
      <c r="N457" s="157">
        <f>IF($E457="","",IF(OR($E457="Coal",$E457="Dirty Coal"),"Coal","OB"))</f>
        <v/>
      </c>
      <c r="O457" s="157">
        <f>IF($F457="","",IF(COUNTIF(MASTER_JAM!$A$5:$A$94,$C457)=0,"Digger tidak dikenal",IF($J457="","Hauler tidak dikenal",IF($H457="?","Jam salah",IF($K457=0,"Faktor kosong",IF(SUMIFS(INPUT_DELAY!$E$5:$E$20000,INPUT_DELAY!$A$5:$A$20000,$A457,INPUT_DELAY!$B$5:$B$20000,$B457,INPUT_DELAY!$C$5:$C$20000,$C457)+SUMIFS(INPUT_DELAY!$E$5:$E$20000,INPUT_DELAY!$A$5:$A$20000,$A457,INPUT_DELAY!$B$5:$B$20000,$B457,INPUT_DELAY!$C$5:$C$20000,"SEMUA")&gt;=60,"Delay 60 mnt tapi ada ritase","OK"))))))</f>
        <v/>
      </c>
      <c r="P457" s="158">
        <f>IFERROR(INDEX(MASTER_JAM!$Z$5:$AC$10,MATCH($I457,MASTER_JAM!$Y$5:$Y$10,0),MATCH($J457,MASTER_JAM!$Z$4:$AC$4,0))+0,0)</f>
        <v/>
      </c>
      <c r="Q457" s="158">
        <f>IF($P457=0,0,$P457+IFERROR(INDEX(MASTER_JAM!$H$5:$H$94,MATCH($C457,MASTER_JAM!$A$5:$A$94,0))+0,MASTER_JAM!$AC$15)/1000*(60/MASTER_JAM!$AC$12+60/MASTER_JAM!$AC$13)+MASTER_JAM!$AC$14)</f>
        <v/>
      </c>
      <c r="R457" s="158">
        <f>IF(N($F457)=0,0,$F457/SUMIFS(INPUT_RITASE!$F$5:$F$20000,INPUT_RITASE!$A$5:$A$20000,$A457,INPUT_RITASE!$B$5:$B$20000,$B457,INPUT_RITASE!$C$5:$C$20000,$C457,INPUT_RITASE!$D$5:$D$20000,$D457))</f>
        <v/>
      </c>
      <c r="S457" s="158">
        <f>IF($Q457=0,0,$R457*$P457/$Q457)</f>
        <v/>
      </c>
    </row>
    <row r="458">
      <c r="A458" s="155" t="n">
        <v>46105</v>
      </c>
      <c r="B458" s="156" t="inlineStr">
        <is>
          <t>09-10</t>
        </is>
      </c>
      <c r="C458" s="156" t="inlineStr">
        <is>
          <t>EX-753</t>
        </is>
      </c>
      <c r="D458" s="156" t="inlineStr">
        <is>
          <t>DT-527</t>
        </is>
      </c>
      <c r="E458" s="156" t="inlineStr">
        <is>
          <t>OB</t>
        </is>
      </c>
      <c r="F458" s="156" t="n">
        <v>4</v>
      </c>
      <c r="G458" s="156" t="inlineStr"/>
      <c r="H458" s="157">
        <f>IF($B458="","",IF(ISNA(MATCH($B458,MASTER_JAM!$Q$5:$Q$28,0)),"?",IF(MATCH($B458,MASTER_JAM!$Q$5:$Q$28,0)&lt;=12,"DS","NS")))</f>
        <v/>
      </c>
      <c r="I458" s="157">
        <f>IFERROR(INDEX(MASTER_JAM!$B$5:$B$94,MATCH($C458,MASTER_JAM!$A$5:$A$94,0)),"")</f>
        <v/>
      </c>
      <c r="J458" s="157">
        <f>IFERROR(INDEX(MASTER_JAM!$E$5:$E$94,MATCH($D458,MASTER_JAM!$A$5:$A$94,0)),"")</f>
        <v/>
      </c>
      <c r="K458" s="158">
        <f>IFERROR(INDEX(MASTER_JAM!$J$5:$O$12,MATCH($E458,MASTER_JAM!$I$5:$I$12,0),MATCH($J458,MASTER_JAM!$J$4:$O$4,0))+0,0)</f>
        <v/>
      </c>
      <c r="L458" s="159">
        <f>N($F458)*$K458</f>
        <v/>
      </c>
      <c r="M458" s="157">
        <f>IF($E458="","",IF(OR($E458="Coal",$E458="Dirty Coal"),"MT","BCM"))</f>
        <v/>
      </c>
      <c r="N458" s="157">
        <f>IF($E458="","",IF(OR($E458="Coal",$E458="Dirty Coal"),"Coal","OB"))</f>
        <v/>
      </c>
      <c r="O458" s="157">
        <f>IF($F458="","",IF(COUNTIF(MASTER_JAM!$A$5:$A$94,$C458)=0,"Digger tidak dikenal",IF($J458="","Hauler tidak dikenal",IF($H458="?","Jam salah",IF($K458=0,"Faktor kosong",IF(SUMIFS(INPUT_DELAY!$E$5:$E$20000,INPUT_DELAY!$A$5:$A$20000,$A458,INPUT_DELAY!$B$5:$B$20000,$B458,INPUT_DELAY!$C$5:$C$20000,$C458)+SUMIFS(INPUT_DELAY!$E$5:$E$20000,INPUT_DELAY!$A$5:$A$20000,$A458,INPUT_DELAY!$B$5:$B$20000,$B458,INPUT_DELAY!$C$5:$C$20000,"SEMUA")&gt;=60,"Delay 60 mnt tapi ada ritase","OK"))))))</f>
        <v/>
      </c>
      <c r="P458" s="158">
        <f>IFERROR(INDEX(MASTER_JAM!$Z$5:$AC$10,MATCH($I458,MASTER_JAM!$Y$5:$Y$10,0),MATCH($J458,MASTER_JAM!$Z$4:$AC$4,0))+0,0)</f>
        <v/>
      </c>
      <c r="Q458" s="158">
        <f>IF($P458=0,0,$P458+IFERROR(INDEX(MASTER_JAM!$H$5:$H$94,MATCH($C458,MASTER_JAM!$A$5:$A$94,0))+0,MASTER_JAM!$AC$15)/1000*(60/MASTER_JAM!$AC$12+60/MASTER_JAM!$AC$13)+MASTER_JAM!$AC$14)</f>
        <v/>
      </c>
      <c r="R458" s="158">
        <f>IF(N($F458)=0,0,$F458/SUMIFS(INPUT_RITASE!$F$5:$F$20000,INPUT_RITASE!$A$5:$A$20000,$A458,INPUT_RITASE!$B$5:$B$20000,$B458,INPUT_RITASE!$C$5:$C$20000,$C458,INPUT_RITASE!$D$5:$D$20000,$D458))</f>
        <v/>
      </c>
      <c r="S458" s="158">
        <f>IF($Q458=0,0,$R458*$P458/$Q458)</f>
        <v/>
      </c>
    </row>
    <row r="459">
      <c r="A459" s="155" t="n">
        <v>46105</v>
      </c>
      <c r="B459" s="156" t="inlineStr">
        <is>
          <t>09-10</t>
        </is>
      </c>
      <c r="C459" s="156" t="inlineStr">
        <is>
          <t>EX-753</t>
        </is>
      </c>
      <c r="D459" s="156" t="inlineStr">
        <is>
          <t>DT-513</t>
        </is>
      </c>
      <c r="E459" s="156" t="inlineStr">
        <is>
          <t>OB</t>
        </is>
      </c>
      <c r="F459" s="156" t="n">
        <v>4</v>
      </c>
      <c r="G459" s="156" t="inlineStr"/>
      <c r="H459" s="157">
        <f>IF($B459="","",IF(ISNA(MATCH($B459,MASTER_JAM!$Q$5:$Q$28,0)),"?",IF(MATCH($B459,MASTER_JAM!$Q$5:$Q$28,0)&lt;=12,"DS","NS")))</f>
        <v/>
      </c>
      <c r="I459" s="157">
        <f>IFERROR(INDEX(MASTER_JAM!$B$5:$B$94,MATCH($C459,MASTER_JAM!$A$5:$A$94,0)),"")</f>
        <v/>
      </c>
      <c r="J459" s="157">
        <f>IFERROR(INDEX(MASTER_JAM!$E$5:$E$94,MATCH($D459,MASTER_JAM!$A$5:$A$94,0)),"")</f>
        <v/>
      </c>
      <c r="K459" s="158">
        <f>IFERROR(INDEX(MASTER_JAM!$J$5:$O$12,MATCH($E459,MASTER_JAM!$I$5:$I$12,0),MATCH($J459,MASTER_JAM!$J$4:$O$4,0))+0,0)</f>
        <v/>
      </c>
      <c r="L459" s="159">
        <f>N($F459)*$K459</f>
        <v/>
      </c>
      <c r="M459" s="157">
        <f>IF($E459="","",IF(OR($E459="Coal",$E459="Dirty Coal"),"MT","BCM"))</f>
        <v/>
      </c>
      <c r="N459" s="157">
        <f>IF($E459="","",IF(OR($E459="Coal",$E459="Dirty Coal"),"Coal","OB"))</f>
        <v/>
      </c>
      <c r="O459" s="157">
        <f>IF($F459="","",IF(COUNTIF(MASTER_JAM!$A$5:$A$94,$C459)=0,"Digger tidak dikenal",IF($J459="","Hauler tidak dikenal",IF($H459="?","Jam salah",IF($K459=0,"Faktor kosong",IF(SUMIFS(INPUT_DELAY!$E$5:$E$20000,INPUT_DELAY!$A$5:$A$20000,$A459,INPUT_DELAY!$B$5:$B$20000,$B459,INPUT_DELAY!$C$5:$C$20000,$C459)+SUMIFS(INPUT_DELAY!$E$5:$E$20000,INPUT_DELAY!$A$5:$A$20000,$A459,INPUT_DELAY!$B$5:$B$20000,$B459,INPUT_DELAY!$C$5:$C$20000,"SEMUA")&gt;=60,"Delay 60 mnt tapi ada ritase","OK"))))))</f>
        <v/>
      </c>
      <c r="P459" s="158">
        <f>IFERROR(INDEX(MASTER_JAM!$Z$5:$AC$10,MATCH($I459,MASTER_JAM!$Y$5:$Y$10,0),MATCH($J459,MASTER_JAM!$Z$4:$AC$4,0))+0,0)</f>
        <v/>
      </c>
      <c r="Q459" s="158">
        <f>IF($P459=0,0,$P459+IFERROR(INDEX(MASTER_JAM!$H$5:$H$94,MATCH($C459,MASTER_JAM!$A$5:$A$94,0))+0,MASTER_JAM!$AC$15)/1000*(60/MASTER_JAM!$AC$12+60/MASTER_JAM!$AC$13)+MASTER_JAM!$AC$14)</f>
        <v/>
      </c>
      <c r="R459" s="158">
        <f>IF(N($F459)=0,0,$F459/SUMIFS(INPUT_RITASE!$F$5:$F$20000,INPUT_RITASE!$A$5:$A$20000,$A459,INPUT_RITASE!$B$5:$B$20000,$B459,INPUT_RITASE!$C$5:$C$20000,$C459,INPUT_RITASE!$D$5:$D$20000,$D459))</f>
        <v/>
      </c>
      <c r="S459" s="158">
        <f>IF($Q459=0,0,$R459*$P459/$Q459)</f>
        <v/>
      </c>
    </row>
    <row r="460">
      <c r="A460" s="155" t="n">
        <v>46105</v>
      </c>
      <c r="B460" s="156" t="inlineStr">
        <is>
          <t>09-10</t>
        </is>
      </c>
      <c r="C460" s="156" t="inlineStr">
        <is>
          <t>EX-753</t>
        </is>
      </c>
      <c r="D460" s="156" t="inlineStr">
        <is>
          <t>DT-522</t>
        </is>
      </c>
      <c r="E460" s="156" t="inlineStr">
        <is>
          <t>OB</t>
        </is>
      </c>
      <c r="F460" s="156" t="n">
        <v>4</v>
      </c>
      <c r="G460" s="156" t="inlineStr"/>
      <c r="H460" s="157">
        <f>IF($B460="","",IF(ISNA(MATCH($B460,MASTER_JAM!$Q$5:$Q$28,0)),"?",IF(MATCH($B460,MASTER_JAM!$Q$5:$Q$28,0)&lt;=12,"DS","NS")))</f>
        <v/>
      </c>
      <c r="I460" s="157">
        <f>IFERROR(INDEX(MASTER_JAM!$B$5:$B$94,MATCH($C460,MASTER_JAM!$A$5:$A$94,0)),"")</f>
        <v/>
      </c>
      <c r="J460" s="157">
        <f>IFERROR(INDEX(MASTER_JAM!$E$5:$E$94,MATCH($D460,MASTER_JAM!$A$5:$A$94,0)),"")</f>
        <v/>
      </c>
      <c r="K460" s="158">
        <f>IFERROR(INDEX(MASTER_JAM!$J$5:$O$12,MATCH($E460,MASTER_JAM!$I$5:$I$12,0),MATCH($J460,MASTER_JAM!$J$4:$O$4,0))+0,0)</f>
        <v/>
      </c>
      <c r="L460" s="159">
        <f>N($F460)*$K460</f>
        <v/>
      </c>
      <c r="M460" s="157">
        <f>IF($E460="","",IF(OR($E460="Coal",$E460="Dirty Coal"),"MT","BCM"))</f>
        <v/>
      </c>
      <c r="N460" s="157">
        <f>IF($E460="","",IF(OR($E460="Coal",$E460="Dirty Coal"),"Coal","OB"))</f>
        <v/>
      </c>
      <c r="O460" s="157">
        <f>IF($F460="","",IF(COUNTIF(MASTER_JAM!$A$5:$A$94,$C460)=0,"Digger tidak dikenal",IF($J460="","Hauler tidak dikenal",IF($H460="?","Jam salah",IF($K460=0,"Faktor kosong",IF(SUMIFS(INPUT_DELAY!$E$5:$E$20000,INPUT_DELAY!$A$5:$A$20000,$A460,INPUT_DELAY!$B$5:$B$20000,$B460,INPUT_DELAY!$C$5:$C$20000,$C460)+SUMIFS(INPUT_DELAY!$E$5:$E$20000,INPUT_DELAY!$A$5:$A$20000,$A460,INPUT_DELAY!$B$5:$B$20000,$B460,INPUT_DELAY!$C$5:$C$20000,"SEMUA")&gt;=60,"Delay 60 mnt tapi ada ritase","OK"))))))</f>
        <v/>
      </c>
      <c r="P460" s="158">
        <f>IFERROR(INDEX(MASTER_JAM!$Z$5:$AC$10,MATCH($I460,MASTER_JAM!$Y$5:$Y$10,0),MATCH($J460,MASTER_JAM!$Z$4:$AC$4,0))+0,0)</f>
        <v/>
      </c>
      <c r="Q460" s="158">
        <f>IF($P460=0,0,$P460+IFERROR(INDEX(MASTER_JAM!$H$5:$H$94,MATCH($C460,MASTER_JAM!$A$5:$A$94,0))+0,MASTER_JAM!$AC$15)/1000*(60/MASTER_JAM!$AC$12+60/MASTER_JAM!$AC$13)+MASTER_JAM!$AC$14)</f>
        <v/>
      </c>
      <c r="R460" s="158">
        <f>IF(N($F460)=0,0,$F460/SUMIFS(INPUT_RITASE!$F$5:$F$20000,INPUT_RITASE!$A$5:$A$20000,$A460,INPUT_RITASE!$B$5:$B$20000,$B460,INPUT_RITASE!$C$5:$C$20000,$C460,INPUT_RITASE!$D$5:$D$20000,$D460))</f>
        <v/>
      </c>
      <c r="S460" s="158">
        <f>IF($Q460=0,0,$R460*$P460/$Q460)</f>
        <v/>
      </c>
    </row>
    <row r="461">
      <c r="A461" s="155" t="n">
        <v>46105</v>
      </c>
      <c r="B461" s="156" t="inlineStr">
        <is>
          <t>09-10</t>
        </is>
      </c>
      <c r="C461" s="156" t="inlineStr">
        <is>
          <t>EX-753</t>
        </is>
      </c>
      <c r="D461" s="156" t="inlineStr">
        <is>
          <t>DT-526</t>
        </is>
      </c>
      <c r="E461" s="156" t="inlineStr">
        <is>
          <t>OB</t>
        </is>
      </c>
      <c r="F461" s="156" t="n">
        <v>4</v>
      </c>
      <c r="G461" s="156" t="inlineStr"/>
      <c r="H461" s="157">
        <f>IF($B461="","",IF(ISNA(MATCH($B461,MASTER_JAM!$Q$5:$Q$28,0)),"?",IF(MATCH($B461,MASTER_JAM!$Q$5:$Q$28,0)&lt;=12,"DS","NS")))</f>
        <v/>
      </c>
      <c r="I461" s="157">
        <f>IFERROR(INDEX(MASTER_JAM!$B$5:$B$94,MATCH($C461,MASTER_JAM!$A$5:$A$94,0)),"")</f>
        <v/>
      </c>
      <c r="J461" s="157">
        <f>IFERROR(INDEX(MASTER_JAM!$E$5:$E$94,MATCH($D461,MASTER_JAM!$A$5:$A$94,0)),"")</f>
        <v/>
      </c>
      <c r="K461" s="158">
        <f>IFERROR(INDEX(MASTER_JAM!$J$5:$O$12,MATCH($E461,MASTER_JAM!$I$5:$I$12,0),MATCH($J461,MASTER_JAM!$J$4:$O$4,0))+0,0)</f>
        <v/>
      </c>
      <c r="L461" s="159">
        <f>N($F461)*$K461</f>
        <v/>
      </c>
      <c r="M461" s="157">
        <f>IF($E461="","",IF(OR($E461="Coal",$E461="Dirty Coal"),"MT","BCM"))</f>
        <v/>
      </c>
      <c r="N461" s="157">
        <f>IF($E461="","",IF(OR($E461="Coal",$E461="Dirty Coal"),"Coal","OB"))</f>
        <v/>
      </c>
      <c r="O461" s="157">
        <f>IF($F461="","",IF(COUNTIF(MASTER_JAM!$A$5:$A$94,$C461)=0,"Digger tidak dikenal",IF($J461="","Hauler tidak dikenal",IF($H461="?","Jam salah",IF($K461=0,"Faktor kosong",IF(SUMIFS(INPUT_DELAY!$E$5:$E$20000,INPUT_DELAY!$A$5:$A$20000,$A461,INPUT_DELAY!$B$5:$B$20000,$B461,INPUT_DELAY!$C$5:$C$20000,$C461)+SUMIFS(INPUT_DELAY!$E$5:$E$20000,INPUT_DELAY!$A$5:$A$20000,$A461,INPUT_DELAY!$B$5:$B$20000,$B461,INPUT_DELAY!$C$5:$C$20000,"SEMUA")&gt;=60,"Delay 60 mnt tapi ada ritase","OK"))))))</f>
        <v/>
      </c>
      <c r="P461" s="158">
        <f>IFERROR(INDEX(MASTER_JAM!$Z$5:$AC$10,MATCH($I461,MASTER_JAM!$Y$5:$Y$10,0),MATCH($J461,MASTER_JAM!$Z$4:$AC$4,0))+0,0)</f>
        <v/>
      </c>
      <c r="Q461" s="158">
        <f>IF($P461=0,0,$P461+IFERROR(INDEX(MASTER_JAM!$H$5:$H$94,MATCH($C461,MASTER_JAM!$A$5:$A$94,0))+0,MASTER_JAM!$AC$15)/1000*(60/MASTER_JAM!$AC$12+60/MASTER_JAM!$AC$13)+MASTER_JAM!$AC$14)</f>
        <v/>
      </c>
      <c r="R461" s="158">
        <f>IF(N($F461)=0,0,$F461/SUMIFS(INPUT_RITASE!$F$5:$F$20000,INPUT_RITASE!$A$5:$A$20000,$A461,INPUT_RITASE!$B$5:$B$20000,$B461,INPUT_RITASE!$C$5:$C$20000,$C461,INPUT_RITASE!$D$5:$D$20000,$D461))</f>
        <v/>
      </c>
      <c r="S461" s="158">
        <f>IF($Q461=0,0,$R461*$P461/$Q461)</f>
        <v/>
      </c>
    </row>
    <row r="462">
      <c r="A462" s="155" t="n">
        <v>46105</v>
      </c>
      <c r="B462" s="156" t="inlineStr">
        <is>
          <t>10-11</t>
        </is>
      </c>
      <c r="C462" s="156" t="inlineStr">
        <is>
          <t>EX-753</t>
        </is>
      </c>
      <c r="D462" s="156" t="inlineStr">
        <is>
          <t>DT-522</t>
        </is>
      </c>
      <c r="E462" s="156" t="inlineStr">
        <is>
          <t>OB</t>
        </is>
      </c>
      <c r="F462" s="156" t="n">
        <v>4</v>
      </c>
      <c r="G462" s="156" t="inlineStr"/>
      <c r="H462" s="157">
        <f>IF($B462="","",IF(ISNA(MATCH($B462,MASTER_JAM!$Q$5:$Q$28,0)),"?",IF(MATCH($B462,MASTER_JAM!$Q$5:$Q$28,0)&lt;=12,"DS","NS")))</f>
        <v/>
      </c>
      <c r="I462" s="157">
        <f>IFERROR(INDEX(MASTER_JAM!$B$5:$B$94,MATCH($C462,MASTER_JAM!$A$5:$A$94,0)),"")</f>
        <v/>
      </c>
      <c r="J462" s="157">
        <f>IFERROR(INDEX(MASTER_JAM!$E$5:$E$94,MATCH($D462,MASTER_JAM!$A$5:$A$94,0)),"")</f>
        <v/>
      </c>
      <c r="K462" s="158">
        <f>IFERROR(INDEX(MASTER_JAM!$J$5:$O$12,MATCH($E462,MASTER_JAM!$I$5:$I$12,0),MATCH($J462,MASTER_JAM!$J$4:$O$4,0))+0,0)</f>
        <v/>
      </c>
      <c r="L462" s="159">
        <f>N($F462)*$K462</f>
        <v/>
      </c>
      <c r="M462" s="157">
        <f>IF($E462="","",IF(OR($E462="Coal",$E462="Dirty Coal"),"MT","BCM"))</f>
        <v/>
      </c>
      <c r="N462" s="157">
        <f>IF($E462="","",IF(OR($E462="Coal",$E462="Dirty Coal"),"Coal","OB"))</f>
        <v/>
      </c>
      <c r="O462" s="157">
        <f>IF($F462="","",IF(COUNTIF(MASTER_JAM!$A$5:$A$94,$C462)=0,"Digger tidak dikenal",IF($J462="","Hauler tidak dikenal",IF($H462="?","Jam salah",IF($K462=0,"Faktor kosong",IF(SUMIFS(INPUT_DELAY!$E$5:$E$20000,INPUT_DELAY!$A$5:$A$20000,$A462,INPUT_DELAY!$B$5:$B$20000,$B462,INPUT_DELAY!$C$5:$C$20000,$C462)+SUMIFS(INPUT_DELAY!$E$5:$E$20000,INPUT_DELAY!$A$5:$A$20000,$A462,INPUT_DELAY!$B$5:$B$20000,$B462,INPUT_DELAY!$C$5:$C$20000,"SEMUA")&gt;=60,"Delay 60 mnt tapi ada ritase","OK"))))))</f>
        <v/>
      </c>
      <c r="P462" s="158">
        <f>IFERROR(INDEX(MASTER_JAM!$Z$5:$AC$10,MATCH($I462,MASTER_JAM!$Y$5:$Y$10,0),MATCH($J462,MASTER_JAM!$Z$4:$AC$4,0))+0,0)</f>
        <v/>
      </c>
      <c r="Q462" s="158">
        <f>IF($P462=0,0,$P462+IFERROR(INDEX(MASTER_JAM!$H$5:$H$94,MATCH($C462,MASTER_JAM!$A$5:$A$94,0))+0,MASTER_JAM!$AC$15)/1000*(60/MASTER_JAM!$AC$12+60/MASTER_JAM!$AC$13)+MASTER_JAM!$AC$14)</f>
        <v/>
      </c>
      <c r="R462" s="158">
        <f>IF(N($F462)=0,0,$F462/SUMIFS(INPUT_RITASE!$F$5:$F$20000,INPUT_RITASE!$A$5:$A$20000,$A462,INPUT_RITASE!$B$5:$B$20000,$B462,INPUT_RITASE!$C$5:$C$20000,$C462,INPUT_RITASE!$D$5:$D$20000,$D462))</f>
        <v/>
      </c>
      <c r="S462" s="158">
        <f>IF($Q462=0,0,$R462*$P462/$Q462)</f>
        <v/>
      </c>
    </row>
    <row r="463">
      <c r="A463" s="155" t="n">
        <v>46105</v>
      </c>
      <c r="B463" s="156" t="inlineStr">
        <is>
          <t>10-11</t>
        </is>
      </c>
      <c r="C463" s="156" t="inlineStr">
        <is>
          <t>EX-753</t>
        </is>
      </c>
      <c r="D463" s="156" t="inlineStr">
        <is>
          <t>DT-527</t>
        </is>
      </c>
      <c r="E463" s="156" t="inlineStr">
        <is>
          <t>OB</t>
        </is>
      </c>
      <c r="F463" s="156" t="n">
        <v>4</v>
      </c>
      <c r="G463" s="156" t="inlineStr"/>
      <c r="H463" s="157">
        <f>IF($B463="","",IF(ISNA(MATCH($B463,MASTER_JAM!$Q$5:$Q$28,0)),"?",IF(MATCH($B463,MASTER_JAM!$Q$5:$Q$28,0)&lt;=12,"DS","NS")))</f>
        <v/>
      </c>
      <c r="I463" s="157">
        <f>IFERROR(INDEX(MASTER_JAM!$B$5:$B$94,MATCH($C463,MASTER_JAM!$A$5:$A$94,0)),"")</f>
        <v/>
      </c>
      <c r="J463" s="157">
        <f>IFERROR(INDEX(MASTER_JAM!$E$5:$E$94,MATCH($D463,MASTER_JAM!$A$5:$A$94,0)),"")</f>
        <v/>
      </c>
      <c r="K463" s="158">
        <f>IFERROR(INDEX(MASTER_JAM!$J$5:$O$12,MATCH($E463,MASTER_JAM!$I$5:$I$12,0),MATCH($J463,MASTER_JAM!$J$4:$O$4,0))+0,0)</f>
        <v/>
      </c>
      <c r="L463" s="159">
        <f>N($F463)*$K463</f>
        <v/>
      </c>
      <c r="M463" s="157">
        <f>IF($E463="","",IF(OR($E463="Coal",$E463="Dirty Coal"),"MT","BCM"))</f>
        <v/>
      </c>
      <c r="N463" s="157">
        <f>IF($E463="","",IF(OR($E463="Coal",$E463="Dirty Coal"),"Coal","OB"))</f>
        <v/>
      </c>
      <c r="O463" s="157">
        <f>IF($F463="","",IF(COUNTIF(MASTER_JAM!$A$5:$A$94,$C463)=0,"Digger tidak dikenal",IF($J463="","Hauler tidak dikenal",IF($H463="?","Jam salah",IF($K463=0,"Faktor kosong",IF(SUMIFS(INPUT_DELAY!$E$5:$E$20000,INPUT_DELAY!$A$5:$A$20000,$A463,INPUT_DELAY!$B$5:$B$20000,$B463,INPUT_DELAY!$C$5:$C$20000,$C463)+SUMIFS(INPUT_DELAY!$E$5:$E$20000,INPUT_DELAY!$A$5:$A$20000,$A463,INPUT_DELAY!$B$5:$B$20000,$B463,INPUT_DELAY!$C$5:$C$20000,"SEMUA")&gt;=60,"Delay 60 mnt tapi ada ritase","OK"))))))</f>
        <v/>
      </c>
      <c r="P463" s="158">
        <f>IFERROR(INDEX(MASTER_JAM!$Z$5:$AC$10,MATCH($I463,MASTER_JAM!$Y$5:$Y$10,0),MATCH($J463,MASTER_JAM!$Z$4:$AC$4,0))+0,0)</f>
        <v/>
      </c>
      <c r="Q463" s="158">
        <f>IF($P463=0,0,$P463+IFERROR(INDEX(MASTER_JAM!$H$5:$H$94,MATCH($C463,MASTER_JAM!$A$5:$A$94,0))+0,MASTER_JAM!$AC$15)/1000*(60/MASTER_JAM!$AC$12+60/MASTER_JAM!$AC$13)+MASTER_JAM!$AC$14)</f>
        <v/>
      </c>
      <c r="R463" s="158">
        <f>IF(N($F463)=0,0,$F463/SUMIFS(INPUT_RITASE!$F$5:$F$20000,INPUT_RITASE!$A$5:$A$20000,$A463,INPUT_RITASE!$B$5:$B$20000,$B463,INPUT_RITASE!$C$5:$C$20000,$C463,INPUT_RITASE!$D$5:$D$20000,$D463))</f>
        <v/>
      </c>
      <c r="S463" s="158">
        <f>IF($Q463=0,0,$R463*$P463/$Q463)</f>
        <v/>
      </c>
    </row>
    <row r="464">
      <c r="A464" s="155" t="n">
        <v>46105</v>
      </c>
      <c r="B464" s="156" t="inlineStr">
        <is>
          <t>10-11</t>
        </is>
      </c>
      <c r="C464" s="156" t="inlineStr">
        <is>
          <t>EX-753</t>
        </is>
      </c>
      <c r="D464" s="156" t="inlineStr">
        <is>
          <t>DT-505</t>
        </is>
      </c>
      <c r="E464" s="156" t="inlineStr">
        <is>
          <t>OB</t>
        </is>
      </c>
      <c r="F464" s="156" t="n">
        <v>3</v>
      </c>
      <c r="G464" s="156" t="inlineStr"/>
      <c r="H464" s="157">
        <f>IF($B464="","",IF(ISNA(MATCH($B464,MASTER_JAM!$Q$5:$Q$28,0)),"?",IF(MATCH($B464,MASTER_JAM!$Q$5:$Q$28,0)&lt;=12,"DS","NS")))</f>
        <v/>
      </c>
      <c r="I464" s="157">
        <f>IFERROR(INDEX(MASTER_JAM!$B$5:$B$94,MATCH($C464,MASTER_JAM!$A$5:$A$94,0)),"")</f>
        <v/>
      </c>
      <c r="J464" s="157">
        <f>IFERROR(INDEX(MASTER_JAM!$E$5:$E$94,MATCH($D464,MASTER_JAM!$A$5:$A$94,0)),"")</f>
        <v/>
      </c>
      <c r="K464" s="158">
        <f>IFERROR(INDEX(MASTER_JAM!$J$5:$O$12,MATCH($E464,MASTER_JAM!$I$5:$I$12,0),MATCH($J464,MASTER_JAM!$J$4:$O$4,0))+0,0)</f>
        <v/>
      </c>
      <c r="L464" s="159">
        <f>N($F464)*$K464</f>
        <v/>
      </c>
      <c r="M464" s="157">
        <f>IF($E464="","",IF(OR($E464="Coal",$E464="Dirty Coal"),"MT","BCM"))</f>
        <v/>
      </c>
      <c r="N464" s="157">
        <f>IF($E464="","",IF(OR($E464="Coal",$E464="Dirty Coal"),"Coal","OB"))</f>
        <v/>
      </c>
      <c r="O464" s="157">
        <f>IF($F464="","",IF(COUNTIF(MASTER_JAM!$A$5:$A$94,$C464)=0,"Digger tidak dikenal",IF($J464="","Hauler tidak dikenal",IF($H464="?","Jam salah",IF($K464=0,"Faktor kosong",IF(SUMIFS(INPUT_DELAY!$E$5:$E$20000,INPUT_DELAY!$A$5:$A$20000,$A464,INPUT_DELAY!$B$5:$B$20000,$B464,INPUT_DELAY!$C$5:$C$20000,$C464)+SUMIFS(INPUT_DELAY!$E$5:$E$20000,INPUT_DELAY!$A$5:$A$20000,$A464,INPUT_DELAY!$B$5:$B$20000,$B464,INPUT_DELAY!$C$5:$C$20000,"SEMUA")&gt;=60,"Delay 60 mnt tapi ada ritase","OK"))))))</f>
        <v/>
      </c>
      <c r="P464" s="158">
        <f>IFERROR(INDEX(MASTER_JAM!$Z$5:$AC$10,MATCH($I464,MASTER_JAM!$Y$5:$Y$10,0),MATCH($J464,MASTER_JAM!$Z$4:$AC$4,0))+0,0)</f>
        <v/>
      </c>
      <c r="Q464" s="158">
        <f>IF($P464=0,0,$P464+IFERROR(INDEX(MASTER_JAM!$H$5:$H$94,MATCH($C464,MASTER_JAM!$A$5:$A$94,0))+0,MASTER_JAM!$AC$15)/1000*(60/MASTER_JAM!$AC$12+60/MASTER_JAM!$AC$13)+MASTER_JAM!$AC$14)</f>
        <v/>
      </c>
      <c r="R464" s="158">
        <f>IF(N($F464)=0,0,$F464/SUMIFS(INPUT_RITASE!$F$5:$F$20000,INPUT_RITASE!$A$5:$A$20000,$A464,INPUT_RITASE!$B$5:$B$20000,$B464,INPUT_RITASE!$C$5:$C$20000,$C464,INPUT_RITASE!$D$5:$D$20000,$D464))</f>
        <v/>
      </c>
      <c r="S464" s="158">
        <f>IF($Q464=0,0,$R464*$P464/$Q464)</f>
        <v/>
      </c>
    </row>
    <row r="465">
      <c r="A465" s="155" t="n">
        <v>46105</v>
      </c>
      <c r="B465" s="156" t="inlineStr">
        <is>
          <t>10-11</t>
        </is>
      </c>
      <c r="C465" s="156" t="inlineStr">
        <is>
          <t>EX-753</t>
        </is>
      </c>
      <c r="D465" s="156" t="inlineStr">
        <is>
          <t>DT-512</t>
        </is>
      </c>
      <c r="E465" s="156" t="inlineStr">
        <is>
          <t>OB</t>
        </is>
      </c>
      <c r="F465" s="156" t="n">
        <v>3</v>
      </c>
      <c r="G465" s="156" t="inlineStr"/>
      <c r="H465" s="157">
        <f>IF($B465="","",IF(ISNA(MATCH($B465,MASTER_JAM!$Q$5:$Q$28,0)),"?",IF(MATCH($B465,MASTER_JAM!$Q$5:$Q$28,0)&lt;=12,"DS","NS")))</f>
        <v/>
      </c>
      <c r="I465" s="157">
        <f>IFERROR(INDEX(MASTER_JAM!$B$5:$B$94,MATCH($C465,MASTER_JAM!$A$5:$A$94,0)),"")</f>
        <v/>
      </c>
      <c r="J465" s="157">
        <f>IFERROR(INDEX(MASTER_JAM!$E$5:$E$94,MATCH($D465,MASTER_JAM!$A$5:$A$94,0)),"")</f>
        <v/>
      </c>
      <c r="K465" s="158">
        <f>IFERROR(INDEX(MASTER_JAM!$J$5:$O$12,MATCH($E465,MASTER_JAM!$I$5:$I$12,0),MATCH($J465,MASTER_JAM!$J$4:$O$4,0))+0,0)</f>
        <v/>
      </c>
      <c r="L465" s="159">
        <f>N($F465)*$K465</f>
        <v/>
      </c>
      <c r="M465" s="157">
        <f>IF($E465="","",IF(OR($E465="Coal",$E465="Dirty Coal"),"MT","BCM"))</f>
        <v/>
      </c>
      <c r="N465" s="157">
        <f>IF($E465="","",IF(OR($E465="Coal",$E465="Dirty Coal"),"Coal","OB"))</f>
        <v/>
      </c>
      <c r="O465" s="157">
        <f>IF($F465="","",IF(COUNTIF(MASTER_JAM!$A$5:$A$94,$C465)=0,"Digger tidak dikenal",IF($J465="","Hauler tidak dikenal",IF($H465="?","Jam salah",IF($K465=0,"Faktor kosong",IF(SUMIFS(INPUT_DELAY!$E$5:$E$20000,INPUT_DELAY!$A$5:$A$20000,$A465,INPUT_DELAY!$B$5:$B$20000,$B465,INPUT_DELAY!$C$5:$C$20000,$C465)+SUMIFS(INPUT_DELAY!$E$5:$E$20000,INPUT_DELAY!$A$5:$A$20000,$A465,INPUT_DELAY!$B$5:$B$20000,$B465,INPUT_DELAY!$C$5:$C$20000,"SEMUA")&gt;=60,"Delay 60 mnt tapi ada ritase","OK"))))))</f>
        <v/>
      </c>
      <c r="P465" s="158">
        <f>IFERROR(INDEX(MASTER_JAM!$Z$5:$AC$10,MATCH($I465,MASTER_JAM!$Y$5:$Y$10,0),MATCH($J465,MASTER_JAM!$Z$4:$AC$4,0))+0,0)</f>
        <v/>
      </c>
      <c r="Q465" s="158">
        <f>IF($P465=0,0,$P465+IFERROR(INDEX(MASTER_JAM!$H$5:$H$94,MATCH($C465,MASTER_JAM!$A$5:$A$94,0))+0,MASTER_JAM!$AC$15)/1000*(60/MASTER_JAM!$AC$12+60/MASTER_JAM!$AC$13)+MASTER_JAM!$AC$14)</f>
        <v/>
      </c>
      <c r="R465" s="158">
        <f>IF(N($F465)=0,0,$F465/SUMIFS(INPUT_RITASE!$F$5:$F$20000,INPUT_RITASE!$A$5:$A$20000,$A465,INPUT_RITASE!$B$5:$B$20000,$B465,INPUT_RITASE!$C$5:$C$20000,$C465,INPUT_RITASE!$D$5:$D$20000,$D465))</f>
        <v/>
      </c>
      <c r="S465" s="158">
        <f>IF($Q465=0,0,$R465*$P465/$Q465)</f>
        <v/>
      </c>
    </row>
    <row r="466">
      <c r="A466" s="155" t="n">
        <v>46105</v>
      </c>
      <c r="B466" s="156" t="inlineStr">
        <is>
          <t>10-11</t>
        </is>
      </c>
      <c r="C466" s="156" t="inlineStr">
        <is>
          <t>EX-753</t>
        </is>
      </c>
      <c r="D466" s="156" t="inlineStr">
        <is>
          <t>DT-502</t>
        </is>
      </c>
      <c r="E466" s="156" t="inlineStr">
        <is>
          <t>OB</t>
        </is>
      </c>
      <c r="F466" s="156" t="n">
        <v>3</v>
      </c>
      <c r="G466" s="156" t="inlineStr"/>
      <c r="H466" s="157">
        <f>IF($B466="","",IF(ISNA(MATCH($B466,MASTER_JAM!$Q$5:$Q$28,0)),"?",IF(MATCH($B466,MASTER_JAM!$Q$5:$Q$28,0)&lt;=12,"DS","NS")))</f>
        <v/>
      </c>
      <c r="I466" s="157">
        <f>IFERROR(INDEX(MASTER_JAM!$B$5:$B$94,MATCH($C466,MASTER_JAM!$A$5:$A$94,0)),"")</f>
        <v/>
      </c>
      <c r="J466" s="157">
        <f>IFERROR(INDEX(MASTER_JAM!$E$5:$E$94,MATCH($D466,MASTER_JAM!$A$5:$A$94,0)),"")</f>
        <v/>
      </c>
      <c r="K466" s="158">
        <f>IFERROR(INDEX(MASTER_JAM!$J$5:$O$12,MATCH($E466,MASTER_JAM!$I$5:$I$12,0),MATCH($J466,MASTER_JAM!$J$4:$O$4,0))+0,0)</f>
        <v/>
      </c>
      <c r="L466" s="159">
        <f>N($F466)*$K466</f>
        <v/>
      </c>
      <c r="M466" s="157">
        <f>IF($E466="","",IF(OR($E466="Coal",$E466="Dirty Coal"),"MT","BCM"))</f>
        <v/>
      </c>
      <c r="N466" s="157">
        <f>IF($E466="","",IF(OR($E466="Coal",$E466="Dirty Coal"),"Coal","OB"))</f>
        <v/>
      </c>
      <c r="O466" s="157">
        <f>IF($F466="","",IF(COUNTIF(MASTER_JAM!$A$5:$A$94,$C466)=0,"Digger tidak dikenal",IF($J466="","Hauler tidak dikenal",IF($H466="?","Jam salah",IF($K466=0,"Faktor kosong",IF(SUMIFS(INPUT_DELAY!$E$5:$E$20000,INPUT_DELAY!$A$5:$A$20000,$A466,INPUT_DELAY!$B$5:$B$20000,$B466,INPUT_DELAY!$C$5:$C$20000,$C466)+SUMIFS(INPUT_DELAY!$E$5:$E$20000,INPUT_DELAY!$A$5:$A$20000,$A466,INPUT_DELAY!$B$5:$B$20000,$B466,INPUT_DELAY!$C$5:$C$20000,"SEMUA")&gt;=60,"Delay 60 mnt tapi ada ritase","OK"))))))</f>
        <v/>
      </c>
      <c r="P466" s="158">
        <f>IFERROR(INDEX(MASTER_JAM!$Z$5:$AC$10,MATCH($I466,MASTER_JAM!$Y$5:$Y$10,0),MATCH($J466,MASTER_JAM!$Z$4:$AC$4,0))+0,0)</f>
        <v/>
      </c>
      <c r="Q466" s="158">
        <f>IF($P466=0,0,$P466+IFERROR(INDEX(MASTER_JAM!$H$5:$H$94,MATCH($C466,MASTER_JAM!$A$5:$A$94,0))+0,MASTER_JAM!$AC$15)/1000*(60/MASTER_JAM!$AC$12+60/MASTER_JAM!$AC$13)+MASTER_JAM!$AC$14)</f>
        <v/>
      </c>
      <c r="R466" s="158">
        <f>IF(N($F466)=0,0,$F466/SUMIFS(INPUT_RITASE!$F$5:$F$20000,INPUT_RITASE!$A$5:$A$20000,$A466,INPUT_RITASE!$B$5:$B$20000,$B466,INPUT_RITASE!$C$5:$C$20000,$C466,INPUT_RITASE!$D$5:$D$20000,$D466))</f>
        <v/>
      </c>
      <c r="S466" s="158">
        <f>IF($Q466=0,0,$R466*$P466/$Q466)</f>
        <v/>
      </c>
    </row>
    <row r="467">
      <c r="A467" s="155" t="n">
        <v>46105</v>
      </c>
      <c r="B467" s="156" t="inlineStr">
        <is>
          <t>11-12</t>
        </is>
      </c>
      <c r="C467" s="156" t="inlineStr">
        <is>
          <t>EX-753</t>
        </is>
      </c>
      <c r="D467" s="156" t="inlineStr">
        <is>
          <t>DT-522</t>
        </is>
      </c>
      <c r="E467" s="156" t="inlineStr">
        <is>
          <t>OB</t>
        </is>
      </c>
      <c r="F467" s="156" t="n">
        <v>4</v>
      </c>
      <c r="G467" s="156" t="inlineStr"/>
      <c r="H467" s="157">
        <f>IF($B467="","",IF(ISNA(MATCH($B467,MASTER_JAM!$Q$5:$Q$28,0)),"?",IF(MATCH($B467,MASTER_JAM!$Q$5:$Q$28,0)&lt;=12,"DS","NS")))</f>
        <v/>
      </c>
      <c r="I467" s="157">
        <f>IFERROR(INDEX(MASTER_JAM!$B$5:$B$94,MATCH($C467,MASTER_JAM!$A$5:$A$94,0)),"")</f>
        <v/>
      </c>
      <c r="J467" s="157">
        <f>IFERROR(INDEX(MASTER_JAM!$E$5:$E$94,MATCH($D467,MASTER_JAM!$A$5:$A$94,0)),"")</f>
        <v/>
      </c>
      <c r="K467" s="158">
        <f>IFERROR(INDEX(MASTER_JAM!$J$5:$O$12,MATCH($E467,MASTER_JAM!$I$5:$I$12,0),MATCH($J467,MASTER_JAM!$J$4:$O$4,0))+0,0)</f>
        <v/>
      </c>
      <c r="L467" s="159">
        <f>N($F467)*$K467</f>
        <v/>
      </c>
      <c r="M467" s="157">
        <f>IF($E467="","",IF(OR($E467="Coal",$E467="Dirty Coal"),"MT","BCM"))</f>
        <v/>
      </c>
      <c r="N467" s="157">
        <f>IF($E467="","",IF(OR($E467="Coal",$E467="Dirty Coal"),"Coal","OB"))</f>
        <v/>
      </c>
      <c r="O467" s="157">
        <f>IF($F467="","",IF(COUNTIF(MASTER_JAM!$A$5:$A$94,$C467)=0,"Digger tidak dikenal",IF($J467="","Hauler tidak dikenal",IF($H467="?","Jam salah",IF($K467=0,"Faktor kosong",IF(SUMIFS(INPUT_DELAY!$E$5:$E$20000,INPUT_DELAY!$A$5:$A$20000,$A467,INPUT_DELAY!$B$5:$B$20000,$B467,INPUT_DELAY!$C$5:$C$20000,$C467)+SUMIFS(INPUT_DELAY!$E$5:$E$20000,INPUT_DELAY!$A$5:$A$20000,$A467,INPUT_DELAY!$B$5:$B$20000,$B467,INPUT_DELAY!$C$5:$C$20000,"SEMUA")&gt;=60,"Delay 60 mnt tapi ada ritase","OK"))))))</f>
        <v/>
      </c>
      <c r="P467" s="158">
        <f>IFERROR(INDEX(MASTER_JAM!$Z$5:$AC$10,MATCH($I467,MASTER_JAM!$Y$5:$Y$10,0),MATCH($J467,MASTER_JAM!$Z$4:$AC$4,0))+0,0)</f>
        <v/>
      </c>
      <c r="Q467" s="158">
        <f>IF($P467=0,0,$P467+IFERROR(INDEX(MASTER_JAM!$H$5:$H$94,MATCH($C467,MASTER_JAM!$A$5:$A$94,0))+0,MASTER_JAM!$AC$15)/1000*(60/MASTER_JAM!$AC$12+60/MASTER_JAM!$AC$13)+MASTER_JAM!$AC$14)</f>
        <v/>
      </c>
      <c r="R467" s="158">
        <f>IF(N($F467)=0,0,$F467/SUMIFS(INPUT_RITASE!$F$5:$F$20000,INPUT_RITASE!$A$5:$A$20000,$A467,INPUT_RITASE!$B$5:$B$20000,$B467,INPUT_RITASE!$C$5:$C$20000,$C467,INPUT_RITASE!$D$5:$D$20000,$D467))</f>
        <v/>
      </c>
      <c r="S467" s="158">
        <f>IF($Q467=0,0,$R467*$P467/$Q467)</f>
        <v/>
      </c>
    </row>
    <row r="468">
      <c r="A468" s="155" t="n">
        <v>46105</v>
      </c>
      <c r="B468" s="156" t="inlineStr">
        <is>
          <t>11-12</t>
        </is>
      </c>
      <c r="C468" s="156" t="inlineStr">
        <is>
          <t>EX-753</t>
        </is>
      </c>
      <c r="D468" s="156" t="inlineStr">
        <is>
          <t>DT-504</t>
        </is>
      </c>
      <c r="E468" s="156" t="inlineStr">
        <is>
          <t>OB</t>
        </is>
      </c>
      <c r="F468" s="156" t="n">
        <v>4</v>
      </c>
      <c r="G468" s="156" t="inlineStr"/>
      <c r="H468" s="157">
        <f>IF($B468="","",IF(ISNA(MATCH($B468,MASTER_JAM!$Q$5:$Q$28,0)),"?",IF(MATCH($B468,MASTER_JAM!$Q$5:$Q$28,0)&lt;=12,"DS","NS")))</f>
        <v/>
      </c>
      <c r="I468" s="157">
        <f>IFERROR(INDEX(MASTER_JAM!$B$5:$B$94,MATCH($C468,MASTER_JAM!$A$5:$A$94,0)),"")</f>
        <v/>
      </c>
      <c r="J468" s="157">
        <f>IFERROR(INDEX(MASTER_JAM!$E$5:$E$94,MATCH($D468,MASTER_JAM!$A$5:$A$94,0)),"")</f>
        <v/>
      </c>
      <c r="K468" s="158">
        <f>IFERROR(INDEX(MASTER_JAM!$J$5:$O$12,MATCH($E468,MASTER_JAM!$I$5:$I$12,0),MATCH($J468,MASTER_JAM!$J$4:$O$4,0))+0,0)</f>
        <v/>
      </c>
      <c r="L468" s="159">
        <f>N($F468)*$K468</f>
        <v/>
      </c>
      <c r="M468" s="157">
        <f>IF($E468="","",IF(OR($E468="Coal",$E468="Dirty Coal"),"MT","BCM"))</f>
        <v/>
      </c>
      <c r="N468" s="157">
        <f>IF($E468="","",IF(OR($E468="Coal",$E468="Dirty Coal"),"Coal","OB"))</f>
        <v/>
      </c>
      <c r="O468" s="157">
        <f>IF($F468="","",IF(COUNTIF(MASTER_JAM!$A$5:$A$94,$C468)=0,"Digger tidak dikenal",IF($J468="","Hauler tidak dikenal",IF($H468="?","Jam salah",IF($K468=0,"Faktor kosong",IF(SUMIFS(INPUT_DELAY!$E$5:$E$20000,INPUT_DELAY!$A$5:$A$20000,$A468,INPUT_DELAY!$B$5:$B$20000,$B468,INPUT_DELAY!$C$5:$C$20000,$C468)+SUMIFS(INPUT_DELAY!$E$5:$E$20000,INPUT_DELAY!$A$5:$A$20000,$A468,INPUT_DELAY!$B$5:$B$20000,$B468,INPUT_DELAY!$C$5:$C$20000,"SEMUA")&gt;=60,"Delay 60 mnt tapi ada ritase","OK"))))))</f>
        <v/>
      </c>
      <c r="P468" s="158">
        <f>IFERROR(INDEX(MASTER_JAM!$Z$5:$AC$10,MATCH($I468,MASTER_JAM!$Y$5:$Y$10,0),MATCH($J468,MASTER_JAM!$Z$4:$AC$4,0))+0,0)</f>
        <v/>
      </c>
      <c r="Q468" s="158">
        <f>IF($P468=0,0,$P468+IFERROR(INDEX(MASTER_JAM!$H$5:$H$94,MATCH($C468,MASTER_JAM!$A$5:$A$94,0))+0,MASTER_JAM!$AC$15)/1000*(60/MASTER_JAM!$AC$12+60/MASTER_JAM!$AC$13)+MASTER_JAM!$AC$14)</f>
        <v/>
      </c>
      <c r="R468" s="158">
        <f>IF(N($F468)=0,0,$F468/SUMIFS(INPUT_RITASE!$F$5:$F$20000,INPUT_RITASE!$A$5:$A$20000,$A468,INPUT_RITASE!$B$5:$B$20000,$B468,INPUT_RITASE!$C$5:$C$20000,$C468,INPUT_RITASE!$D$5:$D$20000,$D468))</f>
        <v/>
      </c>
      <c r="S468" s="158">
        <f>IF($Q468=0,0,$R468*$P468/$Q468)</f>
        <v/>
      </c>
    </row>
    <row r="469">
      <c r="A469" s="155" t="n">
        <v>46105</v>
      </c>
      <c r="B469" s="156" t="inlineStr">
        <is>
          <t>11-12</t>
        </is>
      </c>
      <c r="C469" s="156" t="inlineStr">
        <is>
          <t>EX-753</t>
        </is>
      </c>
      <c r="D469" s="156" t="inlineStr">
        <is>
          <t>DT-520</t>
        </is>
      </c>
      <c r="E469" s="156" t="inlineStr">
        <is>
          <t>OB</t>
        </is>
      </c>
      <c r="F469" s="156" t="n">
        <v>4</v>
      </c>
      <c r="G469" s="156" t="inlineStr"/>
      <c r="H469" s="157">
        <f>IF($B469="","",IF(ISNA(MATCH($B469,MASTER_JAM!$Q$5:$Q$28,0)),"?",IF(MATCH($B469,MASTER_JAM!$Q$5:$Q$28,0)&lt;=12,"DS","NS")))</f>
        <v/>
      </c>
      <c r="I469" s="157">
        <f>IFERROR(INDEX(MASTER_JAM!$B$5:$B$94,MATCH($C469,MASTER_JAM!$A$5:$A$94,0)),"")</f>
        <v/>
      </c>
      <c r="J469" s="157">
        <f>IFERROR(INDEX(MASTER_JAM!$E$5:$E$94,MATCH($D469,MASTER_JAM!$A$5:$A$94,0)),"")</f>
        <v/>
      </c>
      <c r="K469" s="158">
        <f>IFERROR(INDEX(MASTER_JAM!$J$5:$O$12,MATCH($E469,MASTER_JAM!$I$5:$I$12,0),MATCH($J469,MASTER_JAM!$J$4:$O$4,0))+0,0)</f>
        <v/>
      </c>
      <c r="L469" s="159">
        <f>N($F469)*$K469</f>
        <v/>
      </c>
      <c r="M469" s="157">
        <f>IF($E469="","",IF(OR($E469="Coal",$E469="Dirty Coal"),"MT","BCM"))</f>
        <v/>
      </c>
      <c r="N469" s="157">
        <f>IF($E469="","",IF(OR($E469="Coal",$E469="Dirty Coal"),"Coal","OB"))</f>
        <v/>
      </c>
      <c r="O469" s="157">
        <f>IF($F469="","",IF(COUNTIF(MASTER_JAM!$A$5:$A$94,$C469)=0,"Digger tidak dikenal",IF($J469="","Hauler tidak dikenal",IF($H469="?","Jam salah",IF($K469=0,"Faktor kosong",IF(SUMIFS(INPUT_DELAY!$E$5:$E$20000,INPUT_DELAY!$A$5:$A$20000,$A469,INPUT_DELAY!$B$5:$B$20000,$B469,INPUT_DELAY!$C$5:$C$20000,$C469)+SUMIFS(INPUT_DELAY!$E$5:$E$20000,INPUT_DELAY!$A$5:$A$20000,$A469,INPUT_DELAY!$B$5:$B$20000,$B469,INPUT_DELAY!$C$5:$C$20000,"SEMUA")&gt;=60,"Delay 60 mnt tapi ada ritase","OK"))))))</f>
        <v/>
      </c>
      <c r="P469" s="158">
        <f>IFERROR(INDEX(MASTER_JAM!$Z$5:$AC$10,MATCH($I469,MASTER_JAM!$Y$5:$Y$10,0),MATCH($J469,MASTER_JAM!$Z$4:$AC$4,0))+0,0)</f>
        <v/>
      </c>
      <c r="Q469" s="158">
        <f>IF($P469=0,0,$P469+IFERROR(INDEX(MASTER_JAM!$H$5:$H$94,MATCH($C469,MASTER_JAM!$A$5:$A$94,0))+0,MASTER_JAM!$AC$15)/1000*(60/MASTER_JAM!$AC$12+60/MASTER_JAM!$AC$13)+MASTER_JAM!$AC$14)</f>
        <v/>
      </c>
      <c r="R469" s="158">
        <f>IF(N($F469)=0,0,$F469/SUMIFS(INPUT_RITASE!$F$5:$F$20000,INPUT_RITASE!$A$5:$A$20000,$A469,INPUT_RITASE!$B$5:$B$20000,$B469,INPUT_RITASE!$C$5:$C$20000,$C469,INPUT_RITASE!$D$5:$D$20000,$D469))</f>
        <v/>
      </c>
      <c r="S469" s="158">
        <f>IF($Q469=0,0,$R469*$P469/$Q469)</f>
        <v/>
      </c>
    </row>
    <row r="470">
      <c r="A470" s="155" t="n">
        <v>46105</v>
      </c>
      <c r="B470" s="156" t="inlineStr">
        <is>
          <t>11-12</t>
        </is>
      </c>
      <c r="C470" s="156" t="inlineStr">
        <is>
          <t>EX-753</t>
        </is>
      </c>
      <c r="D470" s="156" t="inlineStr">
        <is>
          <t>DT-523</t>
        </is>
      </c>
      <c r="E470" s="156" t="inlineStr">
        <is>
          <t>OB</t>
        </is>
      </c>
      <c r="F470" s="156" t="n">
        <v>3</v>
      </c>
      <c r="G470" s="156" t="inlineStr"/>
      <c r="H470" s="157">
        <f>IF($B470="","",IF(ISNA(MATCH($B470,MASTER_JAM!$Q$5:$Q$28,0)),"?",IF(MATCH($B470,MASTER_JAM!$Q$5:$Q$28,0)&lt;=12,"DS","NS")))</f>
        <v/>
      </c>
      <c r="I470" s="157">
        <f>IFERROR(INDEX(MASTER_JAM!$B$5:$B$94,MATCH($C470,MASTER_JAM!$A$5:$A$94,0)),"")</f>
        <v/>
      </c>
      <c r="J470" s="157">
        <f>IFERROR(INDEX(MASTER_JAM!$E$5:$E$94,MATCH($D470,MASTER_JAM!$A$5:$A$94,0)),"")</f>
        <v/>
      </c>
      <c r="K470" s="158">
        <f>IFERROR(INDEX(MASTER_JAM!$J$5:$O$12,MATCH($E470,MASTER_JAM!$I$5:$I$12,0),MATCH($J470,MASTER_JAM!$J$4:$O$4,0))+0,0)</f>
        <v/>
      </c>
      <c r="L470" s="159">
        <f>N($F470)*$K470</f>
        <v/>
      </c>
      <c r="M470" s="157">
        <f>IF($E470="","",IF(OR($E470="Coal",$E470="Dirty Coal"),"MT","BCM"))</f>
        <v/>
      </c>
      <c r="N470" s="157">
        <f>IF($E470="","",IF(OR($E470="Coal",$E470="Dirty Coal"),"Coal","OB"))</f>
        <v/>
      </c>
      <c r="O470" s="157">
        <f>IF($F470="","",IF(COUNTIF(MASTER_JAM!$A$5:$A$94,$C470)=0,"Digger tidak dikenal",IF($J470="","Hauler tidak dikenal",IF($H470="?","Jam salah",IF($K470=0,"Faktor kosong",IF(SUMIFS(INPUT_DELAY!$E$5:$E$20000,INPUT_DELAY!$A$5:$A$20000,$A470,INPUT_DELAY!$B$5:$B$20000,$B470,INPUT_DELAY!$C$5:$C$20000,$C470)+SUMIFS(INPUT_DELAY!$E$5:$E$20000,INPUT_DELAY!$A$5:$A$20000,$A470,INPUT_DELAY!$B$5:$B$20000,$B470,INPUT_DELAY!$C$5:$C$20000,"SEMUA")&gt;=60,"Delay 60 mnt tapi ada ritase","OK"))))))</f>
        <v/>
      </c>
      <c r="P470" s="158">
        <f>IFERROR(INDEX(MASTER_JAM!$Z$5:$AC$10,MATCH($I470,MASTER_JAM!$Y$5:$Y$10,0),MATCH($J470,MASTER_JAM!$Z$4:$AC$4,0))+0,0)</f>
        <v/>
      </c>
      <c r="Q470" s="158">
        <f>IF($P470=0,0,$P470+IFERROR(INDEX(MASTER_JAM!$H$5:$H$94,MATCH($C470,MASTER_JAM!$A$5:$A$94,0))+0,MASTER_JAM!$AC$15)/1000*(60/MASTER_JAM!$AC$12+60/MASTER_JAM!$AC$13)+MASTER_JAM!$AC$14)</f>
        <v/>
      </c>
      <c r="R470" s="158">
        <f>IF(N($F470)=0,0,$F470/SUMIFS(INPUT_RITASE!$F$5:$F$20000,INPUT_RITASE!$A$5:$A$20000,$A470,INPUT_RITASE!$B$5:$B$20000,$B470,INPUT_RITASE!$C$5:$C$20000,$C470,INPUT_RITASE!$D$5:$D$20000,$D470))</f>
        <v/>
      </c>
      <c r="S470" s="158">
        <f>IF($Q470=0,0,$R470*$P470/$Q470)</f>
        <v/>
      </c>
    </row>
    <row r="471">
      <c r="A471" s="155" t="n">
        <v>46105</v>
      </c>
      <c r="B471" s="156" t="inlineStr">
        <is>
          <t>11-12</t>
        </is>
      </c>
      <c r="C471" s="156" t="inlineStr">
        <is>
          <t>EX-753</t>
        </is>
      </c>
      <c r="D471" s="156" t="inlineStr">
        <is>
          <t>DT-502</t>
        </is>
      </c>
      <c r="E471" s="156" t="inlineStr">
        <is>
          <t>OB</t>
        </is>
      </c>
      <c r="F471" s="156" t="n">
        <v>3</v>
      </c>
      <c r="G471" s="156" t="inlineStr"/>
      <c r="H471" s="157">
        <f>IF($B471="","",IF(ISNA(MATCH($B471,MASTER_JAM!$Q$5:$Q$28,0)),"?",IF(MATCH($B471,MASTER_JAM!$Q$5:$Q$28,0)&lt;=12,"DS","NS")))</f>
        <v/>
      </c>
      <c r="I471" s="157">
        <f>IFERROR(INDEX(MASTER_JAM!$B$5:$B$94,MATCH($C471,MASTER_JAM!$A$5:$A$94,0)),"")</f>
        <v/>
      </c>
      <c r="J471" s="157">
        <f>IFERROR(INDEX(MASTER_JAM!$E$5:$E$94,MATCH($D471,MASTER_JAM!$A$5:$A$94,0)),"")</f>
        <v/>
      </c>
      <c r="K471" s="158">
        <f>IFERROR(INDEX(MASTER_JAM!$J$5:$O$12,MATCH($E471,MASTER_JAM!$I$5:$I$12,0),MATCH($J471,MASTER_JAM!$J$4:$O$4,0))+0,0)</f>
        <v/>
      </c>
      <c r="L471" s="159">
        <f>N($F471)*$K471</f>
        <v/>
      </c>
      <c r="M471" s="157">
        <f>IF($E471="","",IF(OR($E471="Coal",$E471="Dirty Coal"),"MT","BCM"))</f>
        <v/>
      </c>
      <c r="N471" s="157">
        <f>IF($E471="","",IF(OR($E471="Coal",$E471="Dirty Coal"),"Coal","OB"))</f>
        <v/>
      </c>
      <c r="O471" s="157">
        <f>IF($F471="","",IF(COUNTIF(MASTER_JAM!$A$5:$A$94,$C471)=0,"Digger tidak dikenal",IF($J471="","Hauler tidak dikenal",IF($H471="?","Jam salah",IF($K471=0,"Faktor kosong",IF(SUMIFS(INPUT_DELAY!$E$5:$E$20000,INPUT_DELAY!$A$5:$A$20000,$A471,INPUT_DELAY!$B$5:$B$20000,$B471,INPUT_DELAY!$C$5:$C$20000,$C471)+SUMIFS(INPUT_DELAY!$E$5:$E$20000,INPUT_DELAY!$A$5:$A$20000,$A471,INPUT_DELAY!$B$5:$B$20000,$B471,INPUT_DELAY!$C$5:$C$20000,"SEMUA")&gt;=60,"Delay 60 mnt tapi ada ritase","OK"))))))</f>
        <v/>
      </c>
      <c r="P471" s="158">
        <f>IFERROR(INDEX(MASTER_JAM!$Z$5:$AC$10,MATCH($I471,MASTER_JAM!$Y$5:$Y$10,0),MATCH($J471,MASTER_JAM!$Z$4:$AC$4,0))+0,0)</f>
        <v/>
      </c>
      <c r="Q471" s="158">
        <f>IF($P471=0,0,$P471+IFERROR(INDEX(MASTER_JAM!$H$5:$H$94,MATCH($C471,MASTER_JAM!$A$5:$A$94,0))+0,MASTER_JAM!$AC$15)/1000*(60/MASTER_JAM!$AC$12+60/MASTER_JAM!$AC$13)+MASTER_JAM!$AC$14)</f>
        <v/>
      </c>
      <c r="R471" s="158">
        <f>IF(N($F471)=0,0,$F471/SUMIFS(INPUT_RITASE!$F$5:$F$20000,INPUT_RITASE!$A$5:$A$20000,$A471,INPUT_RITASE!$B$5:$B$20000,$B471,INPUT_RITASE!$C$5:$C$20000,$C471,INPUT_RITASE!$D$5:$D$20000,$D471))</f>
        <v/>
      </c>
      <c r="S471" s="158">
        <f>IF($Q471=0,0,$R471*$P471/$Q471)</f>
        <v/>
      </c>
    </row>
    <row r="472">
      <c r="A472" s="155" t="n">
        <v>46105</v>
      </c>
      <c r="B472" s="156" t="inlineStr">
        <is>
          <t>13-14</t>
        </is>
      </c>
      <c r="C472" s="156" t="inlineStr">
        <is>
          <t>EX-753</t>
        </is>
      </c>
      <c r="D472" s="156" t="inlineStr">
        <is>
          <t>DT-502</t>
        </is>
      </c>
      <c r="E472" s="156" t="inlineStr">
        <is>
          <t>OB</t>
        </is>
      </c>
      <c r="F472" s="156" t="n">
        <v>4</v>
      </c>
      <c r="G472" s="156" t="inlineStr"/>
      <c r="H472" s="157">
        <f>IF($B472="","",IF(ISNA(MATCH($B472,MASTER_JAM!$Q$5:$Q$28,0)),"?",IF(MATCH($B472,MASTER_JAM!$Q$5:$Q$28,0)&lt;=12,"DS","NS")))</f>
        <v/>
      </c>
      <c r="I472" s="157">
        <f>IFERROR(INDEX(MASTER_JAM!$B$5:$B$94,MATCH($C472,MASTER_JAM!$A$5:$A$94,0)),"")</f>
        <v/>
      </c>
      <c r="J472" s="157">
        <f>IFERROR(INDEX(MASTER_JAM!$E$5:$E$94,MATCH($D472,MASTER_JAM!$A$5:$A$94,0)),"")</f>
        <v/>
      </c>
      <c r="K472" s="158">
        <f>IFERROR(INDEX(MASTER_JAM!$J$5:$O$12,MATCH($E472,MASTER_JAM!$I$5:$I$12,0),MATCH($J472,MASTER_JAM!$J$4:$O$4,0))+0,0)</f>
        <v/>
      </c>
      <c r="L472" s="159">
        <f>N($F472)*$K472</f>
        <v/>
      </c>
      <c r="M472" s="157">
        <f>IF($E472="","",IF(OR($E472="Coal",$E472="Dirty Coal"),"MT","BCM"))</f>
        <v/>
      </c>
      <c r="N472" s="157">
        <f>IF($E472="","",IF(OR($E472="Coal",$E472="Dirty Coal"),"Coal","OB"))</f>
        <v/>
      </c>
      <c r="O472" s="157">
        <f>IF($F472="","",IF(COUNTIF(MASTER_JAM!$A$5:$A$94,$C472)=0,"Digger tidak dikenal",IF($J472="","Hauler tidak dikenal",IF($H472="?","Jam salah",IF($K472=0,"Faktor kosong",IF(SUMIFS(INPUT_DELAY!$E$5:$E$20000,INPUT_DELAY!$A$5:$A$20000,$A472,INPUT_DELAY!$B$5:$B$20000,$B472,INPUT_DELAY!$C$5:$C$20000,$C472)+SUMIFS(INPUT_DELAY!$E$5:$E$20000,INPUT_DELAY!$A$5:$A$20000,$A472,INPUT_DELAY!$B$5:$B$20000,$B472,INPUT_DELAY!$C$5:$C$20000,"SEMUA")&gt;=60,"Delay 60 mnt tapi ada ritase","OK"))))))</f>
        <v/>
      </c>
      <c r="P472" s="158">
        <f>IFERROR(INDEX(MASTER_JAM!$Z$5:$AC$10,MATCH($I472,MASTER_JAM!$Y$5:$Y$10,0),MATCH($J472,MASTER_JAM!$Z$4:$AC$4,0))+0,0)</f>
        <v/>
      </c>
      <c r="Q472" s="158">
        <f>IF($P472=0,0,$P472+IFERROR(INDEX(MASTER_JAM!$H$5:$H$94,MATCH($C472,MASTER_JAM!$A$5:$A$94,0))+0,MASTER_JAM!$AC$15)/1000*(60/MASTER_JAM!$AC$12+60/MASTER_JAM!$AC$13)+MASTER_JAM!$AC$14)</f>
        <v/>
      </c>
      <c r="R472" s="158">
        <f>IF(N($F472)=0,0,$F472/SUMIFS(INPUT_RITASE!$F$5:$F$20000,INPUT_RITASE!$A$5:$A$20000,$A472,INPUT_RITASE!$B$5:$B$20000,$B472,INPUT_RITASE!$C$5:$C$20000,$C472,INPUT_RITASE!$D$5:$D$20000,$D472))</f>
        <v/>
      </c>
      <c r="S472" s="158">
        <f>IF($Q472=0,0,$R472*$P472/$Q472)</f>
        <v/>
      </c>
    </row>
    <row r="473">
      <c r="A473" s="155" t="n">
        <v>46105</v>
      </c>
      <c r="B473" s="156" t="inlineStr">
        <is>
          <t>13-14</t>
        </is>
      </c>
      <c r="C473" s="156" t="inlineStr">
        <is>
          <t>EX-753</t>
        </is>
      </c>
      <c r="D473" s="156" t="inlineStr">
        <is>
          <t>DT-505</t>
        </is>
      </c>
      <c r="E473" s="156" t="inlineStr">
        <is>
          <t>OB</t>
        </is>
      </c>
      <c r="F473" s="156" t="n">
        <v>4</v>
      </c>
      <c r="G473" s="156" t="inlineStr"/>
      <c r="H473" s="157">
        <f>IF($B473="","",IF(ISNA(MATCH($B473,MASTER_JAM!$Q$5:$Q$28,0)),"?",IF(MATCH($B473,MASTER_JAM!$Q$5:$Q$28,0)&lt;=12,"DS","NS")))</f>
        <v/>
      </c>
      <c r="I473" s="157">
        <f>IFERROR(INDEX(MASTER_JAM!$B$5:$B$94,MATCH($C473,MASTER_JAM!$A$5:$A$94,0)),"")</f>
        <v/>
      </c>
      <c r="J473" s="157">
        <f>IFERROR(INDEX(MASTER_JAM!$E$5:$E$94,MATCH($D473,MASTER_JAM!$A$5:$A$94,0)),"")</f>
        <v/>
      </c>
      <c r="K473" s="158">
        <f>IFERROR(INDEX(MASTER_JAM!$J$5:$O$12,MATCH($E473,MASTER_JAM!$I$5:$I$12,0),MATCH($J473,MASTER_JAM!$J$4:$O$4,0))+0,0)</f>
        <v/>
      </c>
      <c r="L473" s="159">
        <f>N($F473)*$K473</f>
        <v/>
      </c>
      <c r="M473" s="157">
        <f>IF($E473="","",IF(OR($E473="Coal",$E473="Dirty Coal"),"MT","BCM"))</f>
        <v/>
      </c>
      <c r="N473" s="157">
        <f>IF($E473="","",IF(OR($E473="Coal",$E473="Dirty Coal"),"Coal","OB"))</f>
        <v/>
      </c>
      <c r="O473" s="157">
        <f>IF($F473="","",IF(COUNTIF(MASTER_JAM!$A$5:$A$94,$C473)=0,"Digger tidak dikenal",IF($J473="","Hauler tidak dikenal",IF($H473="?","Jam salah",IF($K473=0,"Faktor kosong",IF(SUMIFS(INPUT_DELAY!$E$5:$E$20000,INPUT_DELAY!$A$5:$A$20000,$A473,INPUT_DELAY!$B$5:$B$20000,$B473,INPUT_DELAY!$C$5:$C$20000,$C473)+SUMIFS(INPUT_DELAY!$E$5:$E$20000,INPUT_DELAY!$A$5:$A$20000,$A473,INPUT_DELAY!$B$5:$B$20000,$B473,INPUT_DELAY!$C$5:$C$20000,"SEMUA")&gt;=60,"Delay 60 mnt tapi ada ritase","OK"))))))</f>
        <v/>
      </c>
      <c r="P473" s="158">
        <f>IFERROR(INDEX(MASTER_JAM!$Z$5:$AC$10,MATCH($I473,MASTER_JAM!$Y$5:$Y$10,0),MATCH($J473,MASTER_JAM!$Z$4:$AC$4,0))+0,0)</f>
        <v/>
      </c>
      <c r="Q473" s="158">
        <f>IF($P473=0,0,$P473+IFERROR(INDEX(MASTER_JAM!$H$5:$H$94,MATCH($C473,MASTER_JAM!$A$5:$A$94,0))+0,MASTER_JAM!$AC$15)/1000*(60/MASTER_JAM!$AC$12+60/MASTER_JAM!$AC$13)+MASTER_JAM!$AC$14)</f>
        <v/>
      </c>
      <c r="R473" s="158">
        <f>IF(N($F473)=0,0,$F473/SUMIFS(INPUT_RITASE!$F$5:$F$20000,INPUT_RITASE!$A$5:$A$20000,$A473,INPUT_RITASE!$B$5:$B$20000,$B473,INPUT_RITASE!$C$5:$C$20000,$C473,INPUT_RITASE!$D$5:$D$20000,$D473))</f>
        <v/>
      </c>
      <c r="S473" s="158">
        <f>IF($Q473=0,0,$R473*$P473/$Q473)</f>
        <v/>
      </c>
    </row>
    <row r="474">
      <c r="A474" s="155" t="n">
        <v>46105</v>
      </c>
      <c r="B474" s="156" t="inlineStr">
        <is>
          <t>13-14</t>
        </is>
      </c>
      <c r="C474" s="156" t="inlineStr">
        <is>
          <t>EX-753</t>
        </is>
      </c>
      <c r="D474" s="156" t="inlineStr">
        <is>
          <t>DT-521</t>
        </is>
      </c>
      <c r="E474" s="156" t="inlineStr">
        <is>
          <t>OB</t>
        </is>
      </c>
      <c r="F474" s="156" t="n">
        <v>4</v>
      </c>
      <c r="G474" s="156" t="inlineStr"/>
      <c r="H474" s="157">
        <f>IF($B474="","",IF(ISNA(MATCH($B474,MASTER_JAM!$Q$5:$Q$28,0)),"?",IF(MATCH($B474,MASTER_JAM!$Q$5:$Q$28,0)&lt;=12,"DS","NS")))</f>
        <v/>
      </c>
      <c r="I474" s="157">
        <f>IFERROR(INDEX(MASTER_JAM!$B$5:$B$94,MATCH($C474,MASTER_JAM!$A$5:$A$94,0)),"")</f>
        <v/>
      </c>
      <c r="J474" s="157">
        <f>IFERROR(INDEX(MASTER_JAM!$E$5:$E$94,MATCH($D474,MASTER_JAM!$A$5:$A$94,0)),"")</f>
        <v/>
      </c>
      <c r="K474" s="158">
        <f>IFERROR(INDEX(MASTER_JAM!$J$5:$O$12,MATCH($E474,MASTER_JAM!$I$5:$I$12,0),MATCH($J474,MASTER_JAM!$J$4:$O$4,0))+0,0)</f>
        <v/>
      </c>
      <c r="L474" s="159">
        <f>N($F474)*$K474</f>
        <v/>
      </c>
      <c r="M474" s="157">
        <f>IF($E474="","",IF(OR($E474="Coal",$E474="Dirty Coal"),"MT","BCM"))</f>
        <v/>
      </c>
      <c r="N474" s="157">
        <f>IF($E474="","",IF(OR($E474="Coal",$E474="Dirty Coal"),"Coal","OB"))</f>
        <v/>
      </c>
      <c r="O474" s="157">
        <f>IF($F474="","",IF(COUNTIF(MASTER_JAM!$A$5:$A$94,$C474)=0,"Digger tidak dikenal",IF($J474="","Hauler tidak dikenal",IF($H474="?","Jam salah",IF($K474=0,"Faktor kosong",IF(SUMIFS(INPUT_DELAY!$E$5:$E$20000,INPUT_DELAY!$A$5:$A$20000,$A474,INPUT_DELAY!$B$5:$B$20000,$B474,INPUT_DELAY!$C$5:$C$20000,$C474)+SUMIFS(INPUT_DELAY!$E$5:$E$20000,INPUT_DELAY!$A$5:$A$20000,$A474,INPUT_DELAY!$B$5:$B$20000,$B474,INPUT_DELAY!$C$5:$C$20000,"SEMUA")&gt;=60,"Delay 60 mnt tapi ada ritase","OK"))))))</f>
        <v/>
      </c>
      <c r="P474" s="158">
        <f>IFERROR(INDEX(MASTER_JAM!$Z$5:$AC$10,MATCH($I474,MASTER_JAM!$Y$5:$Y$10,0),MATCH($J474,MASTER_JAM!$Z$4:$AC$4,0))+0,0)</f>
        <v/>
      </c>
      <c r="Q474" s="158">
        <f>IF($P474=0,0,$P474+IFERROR(INDEX(MASTER_JAM!$H$5:$H$94,MATCH($C474,MASTER_JAM!$A$5:$A$94,0))+0,MASTER_JAM!$AC$15)/1000*(60/MASTER_JAM!$AC$12+60/MASTER_JAM!$AC$13)+MASTER_JAM!$AC$14)</f>
        <v/>
      </c>
      <c r="R474" s="158">
        <f>IF(N($F474)=0,0,$F474/SUMIFS(INPUT_RITASE!$F$5:$F$20000,INPUT_RITASE!$A$5:$A$20000,$A474,INPUT_RITASE!$B$5:$B$20000,$B474,INPUT_RITASE!$C$5:$C$20000,$C474,INPUT_RITASE!$D$5:$D$20000,$D474))</f>
        <v/>
      </c>
      <c r="S474" s="158">
        <f>IF($Q474=0,0,$R474*$P474/$Q474)</f>
        <v/>
      </c>
    </row>
    <row r="475">
      <c r="A475" s="155" t="n">
        <v>46105</v>
      </c>
      <c r="B475" s="156" t="inlineStr">
        <is>
          <t>13-14</t>
        </is>
      </c>
      <c r="C475" s="156" t="inlineStr">
        <is>
          <t>EX-753</t>
        </is>
      </c>
      <c r="D475" s="156" t="inlineStr">
        <is>
          <t>DT-517</t>
        </is>
      </c>
      <c r="E475" s="156" t="inlineStr">
        <is>
          <t>OB</t>
        </is>
      </c>
      <c r="F475" s="156" t="n">
        <v>3</v>
      </c>
      <c r="G475" s="156" t="inlineStr"/>
      <c r="H475" s="157">
        <f>IF($B475="","",IF(ISNA(MATCH($B475,MASTER_JAM!$Q$5:$Q$28,0)),"?",IF(MATCH($B475,MASTER_JAM!$Q$5:$Q$28,0)&lt;=12,"DS","NS")))</f>
        <v/>
      </c>
      <c r="I475" s="157">
        <f>IFERROR(INDEX(MASTER_JAM!$B$5:$B$94,MATCH($C475,MASTER_JAM!$A$5:$A$94,0)),"")</f>
        <v/>
      </c>
      <c r="J475" s="157">
        <f>IFERROR(INDEX(MASTER_JAM!$E$5:$E$94,MATCH($D475,MASTER_JAM!$A$5:$A$94,0)),"")</f>
        <v/>
      </c>
      <c r="K475" s="158">
        <f>IFERROR(INDEX(MASTER_JAM!$J$5:$O$12,MATCH($E475,MASTER_JAM!$I$5:$I$12,0),MATCH($J475,MASTER_JAM!$J$4:$O$4,0))+0,0)</f>
        <v/>
      </c>
      <c r="L475" s="159">
        <f>N($F475)*$K475</f>
        <v/>
      </c>
      <c r="M475" s="157">
        <f>IF($E475="","",IF(OR($E475="Coal",$E475="Dirty Coal"),"MT","BCM"))</f>
        <v/>
      </c>
      <c r="N475" s="157">
        <f>IF($E475="","",IF(OR($E475="Coal",$E475="Dirty Coal"),"Coal","OB"))</f>
        <v/>
      </c>
      <c r="O475" s="157">
        <f>IF($F475="","",IF(COUNTIF(MASTER_JAM!$A$5:$A$94,$C475)=0,"Digger tidak dikenal",IF($J475="","Hauler tidak dikenal",IF($H475="?","Jam salah",IF($K475=0,"Faktor kosong",IF(SUMIFS(INPUT_DELAY!$E$5:$E$20000,INPUT_DELAY!$A$5:$A$20000,$A475,INPUT_DELAY!$B$5:$B$20000,$B475,INPUT_DELAY!$C$5:$C$20000,$C475)+SUMIFS(INPUT_DELAY!$E$5:$E$20000,INPUT_DELAY!$A$5:$A$20000,$A475,INPUT_DELAY!$B$5:$B$20000,$B475,INPUT_DELAY!$C$5:$C$20000,"SEMUA")&gt;=60,"Delay 60 mnt tapi ada ritase","OK"))))))</f>
        <v/>
      </c>
      <c r="P475" s="158">
        <f>IFERROR(INDEX(MASTER_JAM!$Z$5:$AC$10,MATCH($I475,MASTER_JAM!$Y$5:$Y$10,0),MATCH($J475,MASTER_JAM!$Z$4:$AC$4,0))+0,0)</f>
        <v/>
      </c>
      <c r="Q475" s="158">
        <f>IF($P475=0,0,$P475+IFERROR(INDEX(MASTER_JAM!$H$5:$H$94,MATCH($C475,MASTER_JAM!$A$5:$A$94,0))+0,MASTER_JAM!$AC$15)/1000*(60/MASTER_JAM!$AC$12+60/MASTER_JAM!$AC$13)+MASTER_JAM!$AC$14)</f>
        <v/>
      </c>
      <c r="R475" s="158">
        <f>IF(N($F475)=0,0,$F475/SUMIFS(INPUT_RITASE!$F$5:$F$20000,INPUT_RITASE!$A$5:$A$20000,$A475,INPUT_RITASE!$B$5:$B$20000,$B475,INPUT_RITASE!$C$5:$C$20000,$C475,INPUT_RITASE!$D$5:$D$20000,$D475))</f>
        <v/>
      </c>
      <c r="S475" s="158">
        <f>IF($Q475=0,0,$R475*$P475/$Q475)</f>
        <v/>
      </c>
    </row>
    <row r="476">
      <c r="A476" s="155" t="n">
        <v>46105</v>
      </c>
      <c r="B476" s="156" t="inlineStr">
        <is>
          <t>14-15</t>
        </is>
      </c>
      <c r="C476" s="156" t="inlineStr">
        <is>
          <t>EX-753</t>
        </is>
      </c>
      <c r="D476" s="156" t="inlineStr">
        <is>
          <t>DT-504</t>
        </is>
      </c>
      <c r="E476" s="156" t="inlineStr">
        <is>
          <t>OB</t>
        </is>
      </c>
      <c r="F476" s="156" t="n">
        <v>3</v>
      </c>
      <c r="G476" s="156" t="inlineStr"/>
      <c r="H476" s="157">
        <f>IF($B476="","",IF(ISNA(MATCH($B476,MASTER_JAM!$Q$5:$Q$28,0)),"?",IF(MATCH($B476,MASTER_JAM!$Q$5:$Q$28,0)&lt;=12,"DS","NS")))</f>
        <v/>
      </c>
      <c r="I476" s="157">
        <f>IFERROR(INDEX(MASTER_JAM!$B$5:$B$94,MATCH($C476,MASTER_JAM!$A$5:$A$94,0)),"")</f>
        <v/>
      </c>
      <c r="J476" s="157">
        <f>IFERROR(INDEX(MASTER_JAM!$E$5:$E$94,MATCH($D476,MASTER_JAM!$A$5:$A$94,0)),"")</f>
        <v/>
      </c>
      <c r="K476" s="158">
        <f>IFERROR(INDEX(MASTER_JAM!$J$5:$O$12,MATCH($E476,MASTER_JAM!$I$5:$I$12,0),MATCH($J476,MASTER_JAM!$J$4:$O$4,0))+0,0)</f>
        <v/>
      </c>
      <c r="L476" s="159">
        <f>N($F476)*$K476</f>
        <v/>
      </c>
      <c r="M476" s="157">
        <f>IF($E476="","",IF(OR($E476="Coal",$E476="Dirty Coal"),"MT","BCM"))</f>
        <v/>
      </c>
      <c r="N476" s="157">
        <f>IF($E476="","",IF(OR($E476="Coal",$E476="Dirty Coal"),"Coal","OB"))</f>
        <v/>
      </c>
      <c r="O476" s="157">
        <f>IF($F476="","",IF(COUNTIF(MASTER_JAM!$A$5:$A$94,$C476)=0,"Digger tidak dikenal",IF($J476="","Hauler tidak dikenal",IF($H476="?","Jam salah",IF($K476=0,"Faktor kosong",IF(SUMIFS(INPUT_DELAY!$E$5:$E$20000,INPUT_DELAY!$A$5:$A$20000,$A476,INPUT_DELAY!$B$5:$B$20000,$B476,INPUT_DELAY!$C$5:$C$20000,$C476)+SUMIFS(INPUT_DELAY!$E$5:$E$20000,INPUT_DELAY!$A$5:$A$20000,$A476,INPUT_DELAY!$B$5:$B$20000,$B476,INPUT_DELAY!$C$5:$C$20000,"SEMUA")&gt;=60,"Delay 60 mnt tapi ada ritase","OK"))))))</f>
        <v/>
      </c>
      <c r="P476" s="158">
        <f>IFERROR(INDEX(MASTER_JAM!$Z$5:$AC$10,MATCH($I476,MASTER_JAM!$Y$5:$Y$10,0),MATCH($J476,MASTER_JAM!$Z$4:$AC$4,0))+0,0)</f>
        <v/>
      </c>
      <c r="Q476" s="158">
        <f>IF($P476=0,0,$P476+IFERROR(INDEX(MASTER_JAM!$H$5:$H$94,MATCH($C476,MASTER_JAM!$A$5:$A$94,0))+0,MASTER_JAM!$AC$15)/1000*(60/MASTER_JAM!$AC$12+60/MASTER_JAM!$AC$13)+MASTER_JAM!$AC$14)</f>
        <v/>
      </c>
      <c r="R476" s="158">
        <f>IF(N($F476)=0,0,$F476/SUMIFS(INPUT_RITASE!$F$5:$F$20000,INPUT_RITASE!$A$5:$A$20000,$A476,INPUT_RITASE!$B$5:$B$20000,$B476,INPUT_RITASE!$C$5:$C$20000,$C476,INPUT_RITASE!$D$5:$D$20000,$D476))</f>
        <v/>
      </c>
      <c r="S476" s="158">
        <f>IF($Q476=0,0,$R476*$P476/$Q476)</f>
        <v/>
      </c>
    </row>
    <row r="477">
      <c r="A477" s="155" t="n">
        <v>46105</v>
      </c>
      <c r="B477" s="156" t="inlineStr">
        <is>
          <t>14-15</t>
        </is>
      </c>
      <c r="C477" s="156" t="inlineStr">
        <is>
          <t>EX-753</t>
        </is>
      </c>
      <c r="D477" s="156" t="inlineStr">
        <is>
          <t>DT-505</t>
        </is>
      </c>
      <c r="E477" s="156" t="inlineStr">
        <is>
          <t>OB</t>
        </is>
      </c>
      <c r="F477" s="156" t="n">
        <v>2</v>
      </c>
      <c r="G477" s="156" t="inlineStr"/>
      <c r="H477" s="157">
        <f>IF($B477="","",IF(ISNA(MATCH($B477,MASTER_JAM!$Q$5:$Q$28,0)),"?",IF(MATCH($B477,MASTER_JAM!$Q$5:$Q$28,0)&lt;=12,"DS","NS")))</f>
        <v/>
      </c>
      <c r="I477" s="157">
        <f>IFERROR(INDEX(MASTER_JAM!$B$5:$B$94,MATCH($C477,MASTER_JAM!$A$5:$A$94,0)),"")</f>
        <v/>
      </c>
      <c r="J477" s="157">
        <f>IFERROR(INDEX(MASTER_JAM!$E$5:$E$94,MATCH($D477,MASTER_JAM!$A$5:$A$94,0)),"")</f>
        <v/>
      </c>
      <c r="K477" s="158">
        <f>IFERROR(INDEX(MASTER_JAM!$J$5:$O$12,MATCH($E477,MASTER_JAM!$I$5:$I$12,0),MATCH($J477,MASTER_JAM!$J$4:$O$4,0))+0,0)</f>
        <v/>
      </c>
      <c r="L477" s="159">
        <f>N($F477)*$K477</f>
        <v/>
      </c>
      <c r="M477" s="157">
        <f>IF($E477="","",IF(OR($E477="Coal",$E477="Dirty Coal"),"MT","BCM"))</f>
        <v/>
      </c>
      <c r="N477" s="157">
        <f>IF($E477="","",IF(OR($E477="Coal",$E477="Dirty Coal"),"Coal","OB"))</f>
        <v/>
      </c>
      <c r="O477" s="157">
        <f>IF($F477="","",IF(COUNTIF(MASTER_JAM!$A$5:$A$94,$C477)=0,"Digger tidak dikenal",IF($J477="","Hauler tidak dikenal",IF($H477="?","Jam salah",IF($K477=0,"Faktor kosong",IF(SUMIFS(INPUT_DELAY!$E$5:$E$20000,INPUT_DELAY!$A$5:$A$20000,$A477,INPUT_DELAY!$B$5:$B$20000,$B477,INPUT_DELAY!$C$5:$C$20000,$C477)+SUMIFS(INPUT_DELAY!$E$5:$E$20000,INPUT_DELAY!$A$5:$A$20000,$A477,INPUT_DELAY!$B$5:$B$20000,$B477,INPUT_DELAY!$C$5:$C$20000,"SEMUA")&gt;=60,"Delay 60 mnt tapi ada ritase","OK"))))))</f>
        <v/>
      </c>
      <c r="P477" s="158">
        <f>IFERROR(INDEX(MASTER_JAM!$Z$5:$AC$10,MATCH($I477,MASTER_JAM!$Y$5:$Y$10,0),MATCH($J477,MASTER_JAM!$Z$4:$AC$4,0))+0,0)</f>
        <v/>
      </c>
      <c r="Q477" s="158">
        <f>IF($P477=0,0,$P477+IFERROR(INDEX(MASTER_JAM!$H$5:$H$94,MATCH($C477,MASTER_JAM!$A$5:$A$94,0))+0,MASTER_JAM!$AC$15)/1000*(60/MASTER_JAM!$AC$12+60/MASTER_JAM!$AC$13)+MASTER_JAM!$AC$14)</f>
        <v/>
      </c>
      <c r="R477" s="158">
        <f>IF(N($F477)=0,0,$F477/SUMIFS(INPUT_RITASE!$F$5:$F$20000,INPUT_RITASE!$A$5:$A$20000,$A477,INPUT_RITASE!$B$5:$B$20000,$B477,INPUT_RITASE!$C$5:$C$20000,$C477,INPUT_RITASE!$D$5:$D$20000,$D477))</f>
        <v/>
      </c>
      <c r="S477" s="158">
        <f>IF($Q477=0,0,$R477*$P477/$Q477)</f>
        <v/>
      </c>
    </row>
    <row r="478">
      <c r="A478" s="155" t="n">
        <v>46105</v>
      </c>
      <c r="B478" s="156" t="inlineStr">
        <is>
          <t>18-19</t>
        </is>
      </c>
      <c r="C478" s="156" t="inlineStr">
        <is>
          <t>EX-2101</t>
        </is>
      </c>
      <c r="D478" s="156" t="inlineStr">
        <is>
          <t>HD-901</t>
        </is>
      </c>
      <c r="E478" s="156" t="inlineStr">
        <is>
          <t>OB</t>
        </is>
      </c>
      <c r="F478" s="156" t="n">
        <v>4</v>
      </c>
      <c r="G478" s="156" t="inlineStr"/>
      <c r="H478" s="157">
        <f>IF($B478="","",IF(ISNA(MATCH($B478,MASTER_JAM!$Q$5:$Q$28,0)),"?",IF(MATCH($B478,MASTER_JAM!$Q$5:$Q$28,0)&lt;=12,"DS","NS")))</f>
        <v/>
      </c>
      <c r="I478" s="157">
        <f>IFERROR(INDEX(MASTER_JAM!$B$5:$B$94,MATCH($C478,MASTER_JAM!$A$5:$A$94,0)),"")</f>
        <v/>
      </c>
      <c r="J478" s="157">
        <f>IFERROR(INDEX(MASTER_JAM!$E$5:$E$94,MATCH($D478,MASTER_JAM!$A$5:$A$94,0)),"")</f>
        <v/>
      </c>
      <c r="K478" s="158">
        <f>IFERROR(INDEX(MASTER_JAM!$J$5:$O$12,MATCH($E478,MASTER_JAM!$I$5:$I$12,0),MATCH($J478,MASTER_JAM!$J$4:$O$4,0))+0,0)</f>
        <v/>
      </c>
      <c r="L478" s="159">
        <f>N($F478)*$K478</f>
        <v/>
      </c>
      <c r="M478" s="157">
        <f>IF($E478="","",IF(OR($E478="Coal",$E478="Dirty Coal"),"MT","BCM"))</f>
        <v/>
      </c>
      <c r="N478" s="157">
        <f>IF($E478="","",IF(OR($E478="Coal",$E478="Dirty Coal"),"Coal","OB"))</f>
        <v/>
      </c>
      <c r="O478" s="157">
        <f>IF($F478="","",IF(COUNTIF(MASTER_JAM!$A$5:$A$94,$C478)=0,"Digger tidak dikenal",IF($J478="","Hauler tidak dikenal",IF($H478="?","Jam salah",IF($K478=0,"Faktor kosong",IF(SUMIFS(INPUT_DELAY!$E$5:$E$20000,INPUT_DELAY!$A$5:$A$20000,$A478,INPUT_DELAY!$B$5:$B$20000,$B478,INPUT_DELAY!$C$5:$C$20000,$C478)+SUMIFS(INPUT_DELAY!$E$5:$E$20000,INPUT_DELAY!$A$5:$A$20000,$A478,INPUT_DELAY!$B$5:$B$20000,$B478,INPUT_DELAY!$C$5:$C$20000,"SEMUA")&gt;=60,"Delay 60 mnt tapi ada ritase","OK"))))))</f>
        <v/>
      </c>
      <c r="P478" s="158">
        <f>IFERROR(INDEX(MASTER_JAM!$Z$5:$AC$10,MATCH($I478,MASTER_JAM!$Y$5:$Y$10,0),MATCH($J478,MASTER_JAM!$Z$4:$AC$4,0))+0,0)</f>
        <v/>
      </c>
      <c r="Q478" s="158">
        <f>IF($P478=0,0,$P478+IFERROR(INDEX(MASTER_JAM!$H$5:$H$94,MATCH($C478,MASTER_JAM!$A$5:$A$94,0))+0,MASTER_JAM!$AC$15)/1000*(60/MASTER_JAM!$AC$12+60/MASTER_JAM!$AC$13)+MASTER_JAM!$AC$14)</f>
        <v/>
      </c>
      <c r="R478" s="158">
        <f>IF(N($F478)=0,0,$F478/SUMIFS(INPUT_RITASE!$F$5:$F$20000,INPUT_RITASE!$A$5:$A$20000,$A478,INPUT_RITASE!$B$5:$B$20000,$B478,INPUT_RITASE!$C$5:$C$20000,$C478,INPUT_RITASE!$D$5:$D$20000,$D478))</f>
        <v/>
      </c>
      <c r="S478" s="158">
        <f>IF($Q478=0,0,$R478*$P478/$Q478)</f>
        <v/>
      </c>
    </row>
    <row r="479">
      <c r="A479" s="155" t="n">
        <v>46105</v>
      </c>
      <c r="B479" s="156" t="inlineStr">
        <is>
          <t>18-19</t>
        </is>
      </c>
      <c r="C479" s="156" t="inlineStr">
        <is>
          <t>EX-2101</t>
        </is>
      </c>
      <c r="D479" s="156" t="inlineStr">
        <is>
          <t>HD-905</t>
        </is>
      </c>
      <c r="E479" s="156" t="inlineStr">
        <is>
          <t>OB</t>
        </is>
      </c>
      <c r="F479" s="156" t="n">
        <v>4</v>
      </c>
      <c r="G479" s="156" t="inlineStr"/>
      <c r="H479" s="157">
        <f>IF($B479="","",IF(ISNA(MATCH($B479,MASTER_JAM!$Q$5:$Q$28,0)),"?",IF(MATCH($B479,MASTER_JAM!$Q$5:$Q$28,0)&lt;=12,"DS","NS")))</f>
        <v/>
      </c>
      <c r="I479" s="157">
        <f>IFERROR(INDEX(MASTER_JAM!$B$5:$B$94,MATCH($C479,MASTER_JAM!$A$5:$A$94,0)),"")</f>
        <v/>
      </c>
      <c r="J479" s="157">
        <f>IFERROR(INDEX(MASTER_JAM!$E$5:$E$94,MATCH($D479,MASTER_JAM!$A$5:$A$94,0)),"")</f>
        <v/>
      </c>
      <c r="K479" s="158">
        <f>IFERROR(INDEX(MASTER_JAM!$J$5:$O$12,MATCH($E479,MASTER_JAM!$I$5:$I$12,0),MATCH($J479,MASTER_JAM!$J$4:$O$4,0))+0,0)</f>
        <v/>
      </c>
      <c r="L479" s="159">
        <f>N($F479)*$K479</f>
        <v/>
      </c>
      <c r="M479" s="157">
        <f>IF($E479="","",IF(OR($E479="Coal",$E479="Dirty Coal"),"MT","BCM"))</f>
        <v/>
      </c>
      <c r="N479" s="157">
        <f>IF($E479="","",IF(OR($E479="Coal",$E479="Dirty Coal"),"Coal","OB"))</f>
        <v/>
      </c>
      <c r="O479" s="157">
        <f>IF($F479="","",IF(COUNTIF(MASTER_JAM!$A$5:$A$94,$C479)=0,"Digger tidak dikenal",IF($J479="","Hauler tidak dikenal",IF($H479="?","Jam salah",IF($K479=0,"Faktor kosong",IF(SUMIFS(INPUT_DELAY!$E$5:$E$20000,INPUT_DELAY!$A$5:$A$20000,$A479,INPUT_DELAY!$B$5:$B$20000,$B479,INPUT_DELAY!$C$5:$C$20000,$C479)+SUMIFS(INPUT_DELAY!$E$5:$E$20000,INPUT_DELAY!$A$5:$A$20000,$A479,INPUT_DELAY!$B$5:$B$20000,$B479,INPUT_DELAY!$C$5:$C$20000,"SEMUA")&gt;=60,"Delay 60 mnt tapi ada ritase","OK"))))))</f>
        <v/>
      </c>
      <c r="P479" s="158">
        <f>IFERROR(INDEX(MASTER_JAM!$Z$5:$AC$10,MATCH($I479,MASTER_JAM!$Y$5:$Y$10,0),MATCH($J479,MASTER_JAM!$Z$4:$AC$4,0))+0,0)</f>
        <v/>
      </c>
      <c r="Q479" s="158">
        <f>IF($P479=0,0,$P479+IFERROR(INDEX(MASTER_JAM!$H$5:$H$94,MATCH($C479,MASTER_JAM!$A$5:$A$94,0))+0,MASTER_JAM!$AC$15)/1000*(60/MASTER_JAM!$AC$12+60/MASTER_JAM!$AC$13)+MASTER_JAM!$AC$14)</f>
        <v/>
      </c>
      <c r="R479" s="158">
        <f>IF(N($F479)=0,0,$F479/SUMIFS(INPUT_RITASE!$F$5:$F$20000,INPUT_RITASE!$A$5:$A$20000,$A479,INPUT_RITASE!$B$5:$B$20000,$B479,INPUT_RITASE!$C$5:$C$20000,$C479,INPUT_RITASE!$D$5:$D$20000,$D479))</f>
        <v/>
      </c>
      <c r="S479" s="158">
        <f>IF($Q479=0,0,$R479*$P479/$Q479)</f>
        <v/>
      </c>
    </row>
    <row r="480">
      <c r="A480" s="155" t="n">
        <v>46105</v>
      </c>
      <c r="B480" s="156" t="inlineStr">
        <is>
          <t>18-19</t>
        </is>
      </c>
      <c r="C480" s="156" t="inlineStr">
        <is>
          <t>EX-2101</t>
        </is>
      </c>
      <c r="D480" s="156" t="inlineStr">
        <is>
          <t>HD-902</t>
        </is>
      </c>
      <c r="E480" s="156" t="inlineStr">
        <is>
          <t>OB</t>
        </is>
      </c>
      <c r="F480" s="156" t="n">
        <v>3</v>
      </c>
      <c r="G480" s="156" t="inlineStr"/>
      <c r="H480" s="157">
        <f>IF($B480="","",IF(ISNA(MATCH($B480,MASTER_JAM!$Q$5:$Q$28,0)),"?",IF(MATCH($B480,MASTER_JAM!$Q$5:$Q$28,0)&lt;=12,"DS","NS")))</f>
        <v/>
      </c>
      <c r="I480" s="157">
        <f>IFERROR(INDEX(MASTER_JAM!$B$5:$B$94,MATCH($C480,MASTER_JAM!$A$5:$A$94,0)),"")</f>
        <v/>
      </c>
      <c r="J480" s="157">
        <f>IFERROR(INDEX(MASTER_JAM!$E$5:$E$94,MATCH($D480,MASTER_JAM!$A$5:$A$94,0)),"")</f>
        <v/>
      </c>
      <c r="K480" s="158">
        <f>IFERROR(INDEX(MASTER_JAM!$J$5:$O$12,MATCH($E480,MASTER_JAM!$I$5:$I$12,0),MATCH($J480,MASTER_JAM!$J$4:$O$4,0))+0,0)</f>
        <v/>
      </c>
      <c r="L480" s="159">
        <f>N($F480)*$K480</f>
        <v/>
      </c>
      <c r="M480" s="157">
        <f>IF($E480="","",IF(OR($E480="Coal",$E480="Dirty Coal"),"MT","BCM"))</f>
        <v/>
      </c>
      <c r="N480" s="157">
        <f>IF($E480="","",IF(OR($E480="Coal",$E480="Dirty Coal"),"Coal","OB"))</f>
        <v/>
      </c>
      <c r="O480" s="157">
        <f>IF($F480="","",IF(COUNTIF(MASTER_JAM!$A$5:$A$94,$C480)=0,"Digger tidak dikenal",IF($J480="","Hauler tidak dikenal",IF($H480="?","Jam salah",IF($K480=0,"Faktor kosong",IF(SUMIFS(INPUT_DELAY!$E$5:$E$20000,INPUT_DELAY!$A$5:$A$20000,$A480,INPUT_DELAY!$B$5:$B$20000,$B480,INPUT_DELAY!$C$5:$C$20000,$C480)+SUMIFS(INPUT_DELAY!$E$5:$E$20000,INPUT_DELAY!$A$5:$A$20000,$A480,INPUT_DELAY!$B$5:$B$20000,$B480,INPUT_DELAY!$C$5:$C$20000,"SEMUA")&gt;=60,"Delay 60 mnt tapi ada ritase","OK"))))))</f>
        <v/>
      </c>
      <c r="P480" s="158">
        <f>IFERROR(INDEX(MASTER_JAM!$Z$5:$AC$10,MATCH($I480,MASTER_JAM!$Y$5:$Y$10,0),MATCH($J480,MASTER_JAM!$Z$4:$AC$4,0))+0,0)</f>
        <v/>
      </c>
      <c r="Q480" s="158">
        <f>IF($P480=0,0,$P480+IFERROR(INDEX(MASTER_JAM!$H$5:$H$94,MATCH($C480,MASTER_JAM!$A$5:$A$94,0))+0,MASTER_JAM!$AC$15)/1000*(60/MASTER_JAM!$AC$12+60/MASTER_JAM!$AC$13)+MASTER_JAM!$AC$14)</f>
        <v/>
      </c>
      <c r="R480" s="158">
        <f>IF(N($F480)=0,0,$F480/SUMIFS(INPUT_RITASE!$F$5:$F$20000,INPUT_RITASE!$A$5:$A$20000,$A480,INPUT_RITASE!$B$5:$B$20000,$B480,INPUT_RITASE!$C$5:$C$20000,$C480,INPUT_RITASE!$D$5:$D$20000,$D480))</f>
        <v/>
      </c>
      <c r="S480" s="158">
        <f>IF($Q480=0,0,$R480*$P480/$Q480)</f>
        <v/>
      </c>
    </row>
    <row r="481">
      <c r="A481" s="155" t="n">
        <v>46105</v>
      </c>
      <c r="B481" s="156" t="inlineStr">
        <is>
          <t>18-19</t>
        </is>
      </c>
      <c r="C481" s="156" t="inlineStr">
        <is>
          <t>EX-2101</t>
        </is>
      </c>
      <c r="D481" s="156" t="inlineStr">
        <is>
          <t>DT-522</t>
        </is>
      </c>
      <c r="E481" s="156" t="inlineStr">
        <is>
          <t>OB</t>
        </is>
      </c>
      <c r="F481" s="156" t="n">
        <v>4</v>
      </c>
      <c r="G481" s="156" t="inlineStr"/>
      <c r="H481" s="157">
        <f>IF($B481="","",IF(ISNA(MATCH($B481,MASTER_JAM!$Q$5:$Q$28,0)),"?",IF(MATCH($B481,MASTER_JAM!$Q$5:$Q$28,0)&lt;=12,"DS","NS")))</f>
        <v/>
      </c>
      <c r="I481" s="157">
        <f>IFERROR(INDEX(MASTER_JAM!$B$5:$B$94,MATCH($C481,MASTER_JAM!$A$5:$A$94,0)),"")</f>
        <v/>
      </c>
      <c r="J481" s="157">
        <f>IFERROR(INDEX(MASTER_JAM!$E$5:$E$94,MATCH($D481,MASTER_JAM!$A$5:$A$94,0)),"")</f>
        <v/>
      </c>
      <c r="K481" s="158">
        <f>IFERROR(INDEX(MASTER_JAM!$J$5:$O$12,MATCH($E481,MASTER_JAM!$I$5:$I$12,0),MATCH($J481,MASTER_JAM!$J$4:$O$4,0))+0,0)</f>
        <v/>
      </c>
      <c r="L481" s="159">
        <f>N($F481)*$K481</f>
        <v/>
      </c>
      <c r="M481" s="157">
        <f>IF($E481="","",IF(OR($E481="Coal",$E481="Dirty Coal"),"MT","BCM"))</f>
        <v/>
      </c>
      <c r="N481" s="157">
        <f>IF($E481="","",IF(OR($E481="Coal",$E481="Dirty Coal"),"Coal","OB"))</f>
        <v/>
      </c>
      <c r="O481" s="157">
        <f>IF($F481="","",IF(COUNTIF(MASTER_JAM!$A$5:$A$94,$C481)=0,"Digger tidak dikenal",IF($J481="","Hauler tidak dikenal",IF($H481="?","Jam salah",IF($K481=0,"Faktor kosong",IF(SUMIFS(INPUT_DELAY!$E$5:$E$20000,INPUT_DELAY!$A$5:$A$20000,$A481,INPUT_DELAY!$B$5:$B$20000,$B481,INPUT_DELAY!$C$5:$C$20000,$C481)+SUMIFS(INPUT_DELAY!$E$5:$E$20000,INPUT_DELAY!$A$5:$A$20000,$A481,INPUT_DELAY!$B$5:$B$20000,$B481,INPUT_DELAY!$C$5:$C$20000,"SEMUA")&gt;=60,"Delay 60 mnt tapi ada ritase","OK"))))))</f>
        <v/>
      </c>
      <c r="P481" s="158">
        <f>IFERROR(INDEX(MASTER_JAM!$Z$5:$AC$10,MATCH($I481,MASTER_JAM!$Y$5:$Y$10,0),MATCH($J481,MASTER_JAM!$Z$4:$AC$4,0))+0,0)</f>
        <v/>
      </c>
      <c r="Q481" s="158">
        <f>IF($P481=0,0,$P481+IFERROR(INDEX(MASTER_JAM!$H$5:$H$94,MATCH($C481,MASTER_JAM!$A$5:$A$94,0))+0,MASTER_JAM!$AC$15)/1000*(60/MASTER_JAM!$AC$12+60/MASTER_JAM!$AC$13)+MASTER_JAM!$AC$14)</f>
        <v/>
      </c>
      <c r="R481" s="158">
        <f>IF(N($F481)=0,0,$F481/SUMIFS(INPUT_RITASE!$F$5:$F$20000,INPUT_RITASE!$A$5:$A$20000,$A481,INPUT_RITASE!$B$5:$B$20000,$B481,INPUT_RITASE!$C$5:$C$20000,$C481,INPUT_RITASE!$D$5:$D$20000,$D481))</f>
        <v/>
      </c>
      <c r="S481" s="158">
        <f>IF($Q481=0,0,$R481*$P481/$Q481)</f>
        <v/>
      </c>
    </row>
    <row r="482">
      <c r="A482" s="155" t="n">
        <v>46105</v>
      </c>
      <c r="B482" s="156" t="inlineStr">
        <is>
          <t>18-19</t>
        </is>
      </c>
      <c r="C482" s="156" t="inlineStr">
        <is>
          <t>EX-2101</t>
        </is>
      </c>
      <c r="D482" s="156" t="inlineStr">
        <is>
          <t>DT-501</t>
        </is>
      </c>
      <c r="E482" s="156" t="inlineStr">
        <is>
          <t>OB</t>
        </is>
      </c>
      <c r="F482" s="156" t="n">
        <v>3</v>
      </c>
      <c r="G482" s="156" t="inlineStr"/>
      <c r="H482" s="157">
        <f>IF($B482="","",IF(ISNA(MATCH($B482,MASTER_JAM!$Q$5:$Q$28,0)),"?",IF(MATCH($B482,MASTER_JAM!$Q$5:$Q$28,0)&lt;=12,"DS","NS")))</f>
        <v/>
      </c>
      <c r="I482" s="157">
        <f>IFERROR(INDEX(MASTER_JAM!$B$5:$B$94,MATCH($C482,MASTER_JAM!$A$5:$A$94,0)),"")</f>
        <v/>
      </c>
      <c r="J482" s="157">
        <f>IFERROR(INDEX(MASTER_JAM!$E$5:$E$94,MATCH($D482,MASTER_JAM!$A$5:$A$94,0)),"")</f>
        <v/>
      </c>
      <c r="K482" s="158">
        <f>IFERROR(INDEX(MASTER_JAM!$J$5:$O$12,MATCH($E482,MASTER_JAM!$I$5:$I$12,0),MATCH($J482,MASTER_JAM!$J$4:$O$4,0))+0,0)</f>
        <v/>
      </c>
      <c r="L482" s="159">
        <f>N($F482)*$K482</f>
        <v/>
      </c>
      <c r="M482" s="157">
        <f>IF($E482="","",IF(OR($E482="Coal",$E482="Dirty Coal"),"MT","BCM"))</f>
        <v/>
      </c>
      <c r="N482" s="157">
        <f>IF($E482="","",IF(OR($E482="Coal",$E482="Dirty Coal"),"Coal","OB"))</f>
        <v/>
      </c>
      <c r="O482" s="157">
        <f>IF($F482="","",IF(COUNTIF(MASTER_JAM!$A$5:$A$94,$C482)=0,"Digger tidak dikenal",IF($J482="","Hauler tidak dikenal",IF($H482="?","Jam salah",IF($K482=0,"Faktor kosong",IF(SUMIFS(INPUT_DELAY!$E$5:$E$20000,INPUT_DELAY!$A$5:$A$20000,$A482,INPUT_DELAY!$B$5:$B$20000,$B482,INPUT_DELAY!$C$5:$C$20000,$C482)+SUMIFS(INPUT_DELAY!$E$5:$E$20000,INPUT_DELAY!$A$5:$A$20000,$A482,INPUT_DELAY!$B$5:$B$20000,$B482,INPUT_DELAY!$C$5:$C$20000,"SEMUA")&gt;=60,"Delay 60 mnt tapi ada ritase","OK"))))))</f>
        <v/>
      </c>
      <c r="P482" s="158">
        <f>IFERROR(INDEX(MASTER_JAM!$Z$5:$AC$10,MATCH($I482,MASTER_JAM!$Y$5:$Y$10,0),MATCH($J482,MASTER_JAM!$Z$4:$AC$4,0))+0,0)</f>
        <v/>
      </c>
      <c r="Q482" s="158">
        <f>IF($P482=0,0,$P482+IFERROR(INDEX(MASTER_JAM!$H$5:$H$94,MATCH($C482,MASTER_JAM!$A$5:$A$94,0))+0,MASTER_JAM!$AC$15)/1000*(60/MASTER_JAM!$AC$12+60/MASTER_JAM!$AC$13)+MASTER_JAM!$AC$14)</f>
        <v/>
      </c>
      <c r="R482" s="158">
        <f>IF(N($F482)=0,0,$F482/SUMIFS(INPUT_RITASE!$F$5:$F$20000,INPUT_RITASE!$A$5:$A$20000,$A482,INPUT_RITASE!$B$5:$B$20000,$B482,INPUT_RITASE!$C$5:$C$20000,$C482,INPUT_RITASE!$D$5:$D$20000,$D482))</f>
        <v/>
      </c>
      <c r="S482" s="158">
        <f>IF($Q482=0,0,$R482*$P482/$Q482)</f>
        <v/>
      </c>
    </row>
    <row r="483">
      <c r="A483" s="155" t="n">
        <v>46105</v>
      </c>
      <c r="B483" s="156" t="inlineStr">
        <is>
          <t>19-20</t>
        </is>
      </c>
      <c r="C483" s="156" t="inlineStr">
        <is>
          <t>EX-2101</t>
        </is>
      </c>
      <c r="D483" s="156" t="inlineStr">
        <is>
          <t>HD-901</t>
        </is>
      </c>
      <c r="E483" s="156" t="inlineStr">
        <is>
          <t>OB</t>
        </is>
      </c>
      <c r="F483" s="156" t="n">
        <v>5</v>
      </c>
      <c r="G483" s="156" t="inlineStr"/>
      <c r="H483" s="157">
        <f>IF($B483="","",IF(ISNA(MATCH($B483,MASTER_JAM!$Q$5:$Q$28,0)),"?",IF(MATCH($B483,MASTER_JAM!$Q$5:$Q$28,0)&lt;=12,"DS","NS")))</f>
        <v/>
      </c>
      <c r="I483" s="157">
        <f>IFERROR(INDEX(MASTER_JAM!$B$5:$B$94,MATCH($C483,MASTER_JAM!$A$5:$A$94,0)),"")</f>
        <v/>
      </c>
      <c r="J483" s="157">
        <f>IFERROR(INDEX(MASTER_JAM!$E$5:$E$94,MATCH($D483,MASTER_JAM!$A$5:$A$94,0)),"")</f>
        <v/>
      </c>
      <c r="K483" s="158">
        <f>IFERROR(INDEX(MASTER_JAM!$J$5:$O$12,MATCH($E483,MASTER_JAM!$I$5:$I$12,0),MATCH($J483,MASTER_JAM!$J$4:$O$4,0))+0,0)</f>
        <v/>
      </c>
      <c r="L483" s="159">
        <f>N($F483)*$K483</f>
        <v/>
      </c>
      <c r="M483" s="157">
        <f>IF($E483="","",IF(OR($E483="Coal",$E483="Dirty Coal"),"MT","BCM"))</f>
        <v/>
      </c>
      <c r="N483" s="157">
        <f>IF($E483="","",IF(OR($E483="Coal",$E483="Dirty Coal"),"Coal","OB"))</f>
        <v/>
      </c>
      <c r="O483" s="157">
        <f>IF($F483="","",IF(COUNTIF(MASTER_JAM!$A$5:$A$94,$C483)=0,"Digger tidak dikenal",IF($J483="","Hauler tidak dikenal",IF($H483="?","Jam salah",IF($K483=0,"Faktor kosong",IF(SUMIFS(INPUT_DELAY!$E$5:$E$20000,INPUT_DELAY!$A$5:$A$20000,$A483,INPUT_DELAY!$B$5:$B$20000,$B483,INPUT_DELAY!$C$5:$C$20000,$C483)+SUMIFS(INPUT_DELAY!$E$5:$E$20000,INPUT_DELAY!$A$5:$A$20000,$A483,INPUT_DELAY!$B$5:$B$20000,$B483,INPUT_DELAY!$C$5:$C$20000,"SEMUA")&gt;=60,"Delay 60 mnt tapi ada ritase","OK"))))))</f>
        <v/>
      </c>
      <c r="P483" s="158">
        <f>IFERROR(INDEX(MASTER_JAM!$Z$5:$AC$10,MATCH($I483,MASTER_JAM!$Y$5:$Y$10,0),MATCH($J483,MASTER_JAM!$Z$4:$AC$4,0))+0,0)</f>
        <v/>
      </c>
      <c r="Q483" s="158">
        <f>IF($P483=0,0,$P483+IFERROR(INDEX(MASTER_JAM!$H$5:$H$94,MATCH($C483,MASTER_JAM!$A$5:$A$94,0))+0,MASTER_JAM!$AC$15)/1000*(60/MASTER_JAM!$AC$12+60/MASTER_JAM!$AC$13)+MASTER_JAM!$AC$14)</f>
        <v/>
      </c>
      <c r="R483" s="158">
        <f>IF(N($F483)=0,0,$F483/SUMIFS(INPUT_RITASE!$F$5:$F$20000,INPUT_RITASE!$A$5:$A$20000,$A483,INPUT_RITASE!$B$5:$B$20000,$B483,INPUT_RITASE!$C$5:$C$20000,$C483,INPUT_RITASE!$D$5:$D$20000,$D483))</f>
        <v/>
      </c>
      <c r="S483" s="158">
        <f>IF($Q483=0,0,$R483*$P483/$Q483)</f>
        <v/>
      </c>
    </row>
    <row r="484">
      <c r="A484" s="155" t="n">
        <v>46105</v>
      </c>
      <c r="B484" s="156" t="inlineStr">
        <is>
          <t>19-20</t>
        </is>
      </c>
      <c r="C484" s="156" t="inlineStr">
        <is>
          <t>EX-2101</t>
        </is>
      </c>
      <c r="D484" s="156" t="inlineStr">
        <is>
          <t>HD-905</t>
        </is>
      </c>
      <c r="E484" s="156" t="inlineStr">
        <is>
          <t>OB</t>
        </is>
      </c>
      <c r="F484" s="156" t="n">
        <v>4</v>
      </c>
      <c r="G484" s="156" t="inlineStr"/>
      <c r="H484" s="157">
        <f>IF($B484="","",IF(ISNA(MATCH($B484,MASTER_JAM!$Q$5:$Q$28,0)),"?",IF(MATCH($B484,MASTER_JAM!$Q$5:$Q$28,0)&lt;=12,"DS","NS")))</f>
        <v/>
      </c>
      <c r="I484" s="157">
        <f>IFERROR(INDEX(MASTER_JAM!$B$5:$B$94,MATCH($C484,MASTER_JAM!$A$5:$A$94,0)),"")</f>
        <v/>
      </c>
      <c r="J484" s="157">
        <f>IFERROR(INDEX(MASTER_JAM!$E$5:$E$94,MATCH($D484,MASTER_JAM!$A$5:$A$94,0)),"")</f>
        <v/>
      </c>
      <c r="K484" s="158">
        <f>IFERROR(INDEX(MASTER_JAM!$J$5:$O$12,MATCH($E484,MASTER_JAM!$I$5:$I$12,0),MATCH($J484,MASTER_JAM!$J$4:$O$4,0))+0,0)</f>
        <v/>
      </c>
      <c r="L484" s="159">
        <f>N($F484)*$K484</f>
        <v/>
      </c>
      <c r="M484" s="157">
        <f>IF($E484="","",IF(OR($E484="Coal",$E484="Dirty Coal"),"MT","BCM"))</f>
        <v/>
      </c>
      <c r="N484" s="157">
        <f>IF($E484="","",IF(OR($E484="Coal",$E484="Dirty Coal"),"Coal","OB"))</f>
        <v/>
      </c>
      <c r="O484" s="157">
        <f>IF($F484="","",IF(COUNTIF(MASTER_JAM!$A$5:$A$94,$C484)=0,"Digger tidak dikenal",IF($J484="","Hauler tidak dikenal",IF($H484="?","Jam salah",IF($K484=0,"Faktor kosong",IF(SUMIFS(INPUT_DELAY!$E$5:$E$20000,INPUT_DELAY!$A$5:$A$20000,$A484,INPUT_DELAY!$B$5:$B$20000,$B484,INPUT_DELAY!$C$5:$C$20000,$C484)+SUMIFS(INPUT_DELAY!$E$5:$E$20000,INPUT_DELAY!$A$5:$A$20000,$A484,INPUT_DELAY!$B$5:$B$20000,$B484,INPUT_DELAY!$C$5:$C$20000,"SEMUA")&gt;=60,"Delay 60 mnt tapi ada ritase","OK"))))))</f>
        <v/>
      </c>
      <c r="P484" s="158">
        <f>IFERROR(INDEX(MASTER_JAM!$Z$5:$AC$10,MATCH($I484,MASTER_JAM!$Y$5:$Y$10,0),MATCH($J484,MASTER_JAM!$Z$4:$AC$4,0))+0,0)</f>
        <v/>
      </c>
      <c r="Q484" s="158">
        <f>IF($P484=0,0,$P484+IFERROR(INDEX(MASTER_JAM!$H$5:$H$94,MATCH($C484,MASTER_JAM!$A$5:$A$94,0))+0,MASTER_JAM!$AC$15)/1000*(60/MASTER_JAM!$AC$12+60/MASTER_JAM!$AC$13)+MASTER_JAM!$AC$14)</f>
        <v/>
      </c>
      <c r="R484" s="158">
        <f>IF(N($F484)=0,0,$F484/SUMIFS(INPUT_RITASE!$F$5:$F$20000,INPUT_RITASE!$A$5:$A$20000,$A484,INPUT_RITASE!$B$5:$B$20000,$B484,INPUT_RITASE!$C$5:$C$20000,$C484,INPUT_RITASE!$D$5:$D$20000,$D484))</f>
        <v/>
      </c>
      <c r="S484" s="158">
        <f>IF($Q484=0,0,$R484*$P484/$Q484)</f>
        <v/>
      </c>
    </row>
    <row r="485">
      <c r="A485" s="155" t="n">
        <v>46105</v>
      </c>
      <c r="B485" s="156" t="inlineStr">
        <is>
          <t>19-20</t>
        </is>
      </c>
      <c r="C485" s="156" t="inlineStr">
        <is>
          <t>EX-2101</t>
        </is>
      </c>
      <c r="D485" s="156" t="inlineStr">
        <is>
          <t>HD-902</t>
        </is>
      </c>
      <c r="E485" s="156" t="inlineStr">
        <is>
          <t>OB</t>
        </is>
      </c>
      <c r="F485" s="156" t="n">
        <v>4</v>
      </c>
      <c r="G485" s="156" t="inlineStr"/>
      <c r="H485" s="157">
        <f>IF($B485="","",IF(ISNA(MATCH($B485,MASTER_JAM!$Q$5:$Q$28,0)),"?",IF(MATCH($B485,MASTER_JAM!$Q$5:$Q$28,0)&lt;=12,"DS","NS")))</f>
        <v/>
      </c>
      <c r="I485" s="157">
        <f>IFERROR(INDEX(MASTER_JAM!$B$5:$B$94,MATCH($C485,MASTER_JAM!$A$5:$A$94,0)),"")</f>
        <v/>
      </c>
      <c r="J485" s="157">
        <f>IFERROR(INDEX(MASTER_JAM!$E$5:$E$94,MATCH($D485,MASTER_JAM!$A$5:$A$94,0)),"")</f>
        <v/>
      </c>
      <c r="K485" s="158">
        <f>IFERROR(INDEX(MASTER_JAM!$J$5:$O$12,MATCH($E485,MASTER_JAM!$I$5:$I$12,0),MATCH($J485,MASTER_JAM!$J$4:$O$4,0))+0,0)</f>
        <v/>
      </c>
      <c r="L485" s="159">
        <f>N($F485)*$K485</f>
        <v/>
      </c>
      <c r="M485" s="157">
        <f>IF($E485="","",IF(OR($E485="Coal",$E485="Dirty Coal"),"MT","BCM"))</f>
        <v/>
      </c>
      <c r="N485" s="157">
        <f>IF($E485="","",IF(OR($E485="Coal",$E485="Dirty Coal"),"Coal","OB"))</f>
        <v/>
      </c>
      <c r="O485" s="157">
        <f>IF($F485="","",IF(COUNTIF(MASTER_JAM!$A$5:$A$94,$C485)=0,"Digger tidak dikenal",IF($J485="","Hauler tidak dikenal",IF($H485="?","Jam salah",IF($K485=0,"Faktor kosong",IF(SUMIFS(INPUT_DELAY!$E$5:$E$20000,INPUT_DELAY!$A$5:$A$20000,$A485,INPUT_DELAY!$B$5:$B$20000,$B485,INPUT_DELAY!$C$5:$C$20000,$C485)+SUMIFS(INPUT_DELAY!$E$5:$E$20000,INPUT_DELAY!$A$5:$A$20000,$A485,INPUT_DELAY!$B$5:$B$20000,$B485,INPUT_DELAY!$C$5:$C$20000,"SEMUA")&gt;=60,"Delay 60 mnt tapi ada ritase","OK"))))))</f>
        <v/>
      </c>
      <c r="P485" s="158">
        <f>IFERROR(INDEX(MASTER_JAM!$Z$5:$AC$10,MATCH($I485,MASTER_JAM!$Y$5:$Y$10,0),MATCH($J485,MASTER_JAM!$Z$4:$AC$4,0))+0,0)</f>
        <v/>
      </c>
      <c r="Q485" s="158">
        <f>IF($P485=0,0,$P485+IFERROR(INDEX(MASTER_JAM!$H$5:$H$94,MATCH($C485,MASTER_JAM!$A$5:$A$94,0))+0,MASTER_JAM!$AC$15)/1000*(60/MASTER_JAM!$AC$12+60/MASTER_JAM!$AC$13)+MASTER_JAM!$AC$14)</f>
        <v/>
      </c>
      <c r="R485" s="158">
        <f>IF(N($F485)=0,0,$F485/SUMIFS(INPUT_RITASE!$F$5:$F$20000,INPUT_RITASE!$A$5:$A$20000,$A485,INPUT_RITASE!$B$5:$B$20000,$B485,INPUT_RITASE!$C$5:$C$20000,$C485,INPUT_RITASE!$D$5:$D$20000,$D485))</f>
        <v/>
      </c>
      <c r="S485" s="158">
        <f>IF($Q485=0,0,$R485*$P485/$Q485)</f>
        <v/>
      </c>
    </row>
    <row r="486">
      <c r="A486" s="155" t="n">
        <v>46105</v>
      </c>
      <c r="B486" s="156" t="inlineStr">
        <is>
          <t>19-20</t>
        </is>
      </c>
      <c r="C486" s="156" t="inlineStr">
        <is>
          <t>EX-2101</t>
        </is>
      </c>
      <c r="D486" s="156" t="inlineStr">
        <is>
          <t>DT-503</t>
        </is>
      </c>
      <c r="E486" s="156" t="inlineStr">
        <is>
          <t>OB</t>
        </is>
      </c>
      <c r="F486" s="156" t="n">
        <v>4</v>
      </c>
      <c r="G486" s="156" t="inlineStr"/>
      <c r="H486" s="157">
        <f>IF($B486="","",IF(ISNA(MATCH($B486,MASTER_JAM!$Q$5:$Q$28,0)),"?",IF(MATCH($B486,MASTER_JAM!$Q$5:$Q$28,0)&lt;=12,"DS","NS")))</f>
        <v/>
      </c>
      <c r="I486" s="157">
        <f>IFERROR(INDEX(MASTER_JAM!$B$5:$B$94,MATCH($C486,MASTER_JAM!$A$5:$A$94,0)),"")</f>
        <v/>
      </c>
      <c r="J486" s="157">
        <f>IFERROR(INDEX(MASTER_JAM!$E$5:$E$94,MATCH($D486,MASTER_JAM!$A$5:$A$94,0)),"")</f>
        <v/>
      </c>
      <c r="K486" s="158">
        <f>IFERROR(INDEX(MASTER_JAM!$J$5:$O$12,MATCH($E486,MASTER_JAM!$I$5:$I$12,0),MATCH($J486,MASTER_JAM!$J$4:$O$4,0))+0,0)</f>
        <v/>
      </c>
      <c r="L486" s="159">
        <f>N($F486)*$K486</f>
        <v/>
      </c>
      <c r="M486" s="157">
        <f>IF($E486="","",IF(OR($E486="Coal",$E486="Dirty Coal"),"MT","BCM"))</f>
        <v/>
      </c>
      <c r="N486" s="157">
        <f>IF($E486="","",IF(OR($E486="Coal",$E486="Dirty Coal"),"Coal","OB"))</f>
        <v/>
      </c>
      <c r="O486" s="157">
        <f>IF($F486="","",IF(COUNTIF(MASTER_JAM!$A$5:$A$94,$C486)=0,"Digger tidak dikenal",IF($J486="","Hauler tidak dikenal",IF($H486="?","Jam salah",IF($K486=0,"Faktor kosong",IF(SUMIFS(INPUT_DELAY!$E$5:$E$20000,INPUT_DELAY!$A$5:$A$20000,$A486,INPUT_DELAY!$B$5:$B$20000,$B486,INPUT_DELAY!$C$5:$C$20000,$C486)+SUMIFS(INPUT_DELAY!$E$5:$E$20000,INPUT_DELAY!$A$5:$A$20000,$A486,INPUT_DELAY!$B$5:$B$20000,$B486,INPUT_DELAY!$C$5:$C$20000,"SEMUA")&gt;=60,"Delay 60 mnt tapi ada ritase","OK"))))))</f>
        <v/>
      </c>
      <c r="P486" s="158">
        <f>IFERROR(INDEX(MASTER_JAM!$Z$5:$AC$10,MATCH($I486,MASTER_JAM!$Y$5:$Y$10,0),MATCH($J486,MASTER_JAM!$Z$4:$AC$4,0))+0,0)</f>
        <v/>
      </c>
      <c r="Q486" s="158">
        <f>IF($P486=0,0,$P486+IFERROR(INDEX(MASTER_JAM!$H$5:$H$94,MATCH($C486,MASTER_JAM!$A$5:$A$94,0))+0,MASTER_JAM!$AC$15)/1000*(60/MASTER_JAM!$AC$12+60/MASTER_JAM!$AC$13)+MASTER_JAM!$AC$14)</f>
        <v/>
      </c>
      <c r="R486" s="158">
        <f>IF(N($F486)=0,0,$F486/SUMIFS(INPUT_RITASE!$F$5:$F$20000,INPUT_RITASE!$A$5:$A$20000,$A486,INPUT_RITASE!$B$5:$B$20000,$B486,INPUT_RITASE!$C$5:$C$20000,$C486,INPUT_RITASE!$D$5:$D$20000,$D486))</f>
        <v/>
      </c>
      <c r="S486" s="158">
        <f>IF($Q486=0,0,$R486*$P486/$Q486)</f>
        <v/>
      </c>
    </row>
    <row r="487">
      <c r="A487" s="155" t="n">
        <v>46105</v>
      </c>
      <c r="B487" s="156" t="inlineStr">
        <is>
          <t>19-20</t>
        </is>
      </c>
      <c r="C487" s="156" t="inlineStr">
        <is>
          <t>EX-2101</t>
        </is>
      </c>
      <c r="D487" s="156" t="inlineStr">
        <is>
          <t>DT-512</t>
        </is>
      </c>
      <c r="E487" s="156" t="inlineStr">
        <is>
          <t>OB</t>
        </is>
      </c>
      <c r="F487" s="156" t="n">
        <v>4</v>
      </c>
      <c r="G487" s="156" t="inlineStr"/>
      <c r="H487" s="157">
        <f>IF($B487="","",IF(ISNA(MATCH($B487,MASTER_JAM!$Q$5:$Q$28,0)),"?",IF(MATCH($B487,MASTER_JAM!$Q$5:$Q$28,0)&lt;=12,"DS","NS")))</f>
        <v/>
      </c>
      <c r="I487" s="157">
        <f>IFERROR(INDEX(MASTER_JAM!$B$5:$B$94,MATCH($C487,MASTER_JAM!$A$5:$A$94,0)),"")</f>
        <v/>
      </c>
      <c r="J487" s="157">
        <f>IFERROR(INDEX(MASTER_JAM!$E$5:$E$94,MATCH($D487,MASTER_JAM!$A$5:$A$94,0)),"")</f>
        <v/>
      </c>
      <c r="K487" s="158">
        <f>IFERROR(INDEX(MASTER_JAM!$J$5:$O$12,MATCH($E487,MASTER_JAM!$I$5:$I$12,0),MATCH($J487,MASTER_JAM!$J$4:$O$4,0))+0,0)</f>
        <v/>
      </c>
      <c r="L487" s="159">
        <f>N($F487)*$K487</f>
        <v/>
      </c>
      <c r="M487" s="157">
        <f>IF($E487="","",IF(OR($E487="Coal",$E487="Dirty Coal"),"MT","BCM"))</f>
        <v/>
      </c>
      <c r="N487" s="157">
        <f>IF($E487="","",IF(OR($E487="Coal",$E487="Dirty Coal"),"Coal","OB"))</f>
        <v/>
      </c>
      <c r="O487" s="157">
        <f>IF($F487="","",IF(COUNTIF(MASTER_JAM!$A$5:$A$94,$C487)=0,"Digger tidak dikenal",IF($J487="","Hauler tidak dikenal",IF($H487="?","Jam salah",IF($K487=0,"Faktor kosong",IF(SUMIFS(INPUT_DELAY!$E$5:$E$20000,INPUT_DELAY!$A$5:$A$20000,$A487,INPUT_DELAY!$B$5:$B$20000,$B487,INPUT_DELAY!$C$5:$C$20000,$C487)+SUMIFS(INPUT_DELAY!$E$5:$E$20000,INPUT_DELAY!$A$5:$A$20000,$A487,INPUT_DELAY!$B$5:$B$20000,$B487,INPUT_DELAY!$C$5:$C$20000,"SEMUA")&gt;=60,"Delay 60 mnt tapi ada ritase","OK"))))))</f>
        <v/>
      </c>
      <c r="P487" s="158">
        <f>IFERROR(INDEX(MASTER_JAM!$Z$5:$AC$10,MATCH($I487,MASTER_JAM!$Y$5:$Y$10,0),MATCH($J487,MASTER_JAM!$Z$4:$AC$4,0))+0,0)</f>
        <v/>
      </c>
      <c r="Q487" s="158">
        <f>IF($P487=0,0,$P487+IFERROR(INDEX(MASTER_JAM!$H$5:$H$94,MATCH($C487,MASTER_JAM!$A$5:$A$94,0))+0,MASTER_JAM!$AC$15)/1000*(60/MASTER_JAM!$AC$12+60/MASTER_JAM!$AC$13)+MASTER_JAM!$AC$14)</f>
        <v/>
      </c>
      <c r="R487" s="158">
        <f>IF(N($F487)=0,0,$F487/SUMIFS(INPUT_RITASE!$F$5:$F$20000,INPUT_RITASE!$A$5:$A$20000,$A487,INPUT_RITASE!$B$5:$B$20000,$B487,INPUT_RITASE!$C$5:$C$20000,$C487,INPUT_RITASE!$D$5:$D$20000,$D487))</f>
        <v/>
      </c>
      <c r="S487" s="158">
        <f>IF($Q487=0,0,$R487*$P487/$Q487)</f>
        <v/>
      </c>
    </row>
    <row r="488">
      <c r="A488" s="155" t="n">
        <v>46105</v>
      </c>
      <c r="B488" s="156" t="inlineStr">
        <is>
          <t>20-21</t>
        </is>
      </c>
      <c r="C488" s="156" t="inlineStr">
        <is>
          <t>EX-2101</t>
        </is>
      </c>
      <c r="D488" s="156" t="inlineStr">
        <is>
          <t>HD-905</t>
        </is>
      </c>
      <c r="E488" s="156" t="inlineStr">
        <is>
          <t>OB</t>
        </is>
      </c>
      <c r="F488" s="156" t="n">
        <v>6</v>
      </c>
      <c r="G488" s="156" t="inlineStr"/>
      <c r="H488" s="157">
        <f>IF($B488="","",IF(ISNA(MATCH($B488,MASTER_JAM!$Q$5:$Q$28,0)),"?",IF(MATCH($B488,MASTER_JAM!$Q$5:$Q$28,0)&lt;=12,"DS","NS")))</f>
        <v/>
      </c>
      <c r="I488" s="157">
        <f>IFERROR(INDEX(MASTER_JAM!$B$5:$B$94,MATCH($C488,MASTER_JAM!$A$5:$A$94,0)),"")</f>
        <v/>
      </c>
      <c r="J488" s="157">
        <f>IFERROR(INDEX(MASTER_JAM!$E$5:$E$94,MATCH($D488,MASTER_JAM!$A$5:$A$94,0)),"")</f>
        <v/>
      </c>
      <c r="K488" s="158">
        <f>IFERROR(INDEX(MASTER_JAM!$J$5:$O$12,MATCH($E488,MASTER_JAM!$I$5:$I$12,0),MATCH($J488,MASTER_JAM!$J$4:$O$4,0))+0,0)</f>
        <v/>
      </c>
      <c r="L488" s="159">
        <f>N($F488)*$K488</f>
        <v/>
      </c>
      <c r="M488" s="157">
        <f>IF($E488="","",IF(OR($E488="Coal",$E488="Dirty Coal"),"MT","BCM"))</f>
        <v/>
      </c>
      <c r="N488" s="157">
        <f>IF($E488="","",IF(OR($E488="Coal",$E488="Dirty Coal"),"Coal","OB"))</f>
        <v/>
      </c>
      <c r="O488" s="157">
        <f>IF($F488="","",IF(COUNTIF(MASTER_JAM!$A$5:$A$94,$C488)=0,"Digger tidak dikenal",IF($J488="","Hauler tidak dikenal",IF($H488="?","Jam salah",IF($K488=0,"Faktor kosong",IF(SUMIFS(INPUT_DELAY!$E$5:$E$20000,INPUT_DELAY!$A$5:$A$20000,$A488,INPUT_DELAY!$B$5:$B$20000,$B488,INPUT_DELAY!$C$5:$C$20000,$C488)+SUMIFS(INPUT_DELAY!$E$5:$E$20000,INPUT_DELAY!$A$5:$A$20000,$A488,INPUT_DELAY!$B$5:$B$20000,$B488,INPUT_DELAY!$C$5:$C$20000,"SEMUA")&gt;=60,"Delay 60 mnt tapi ada ritase","OK"))))))</f>
        <v/>
      </c>
      <c r="P488" s="158">
        <f>IFERROR(INDEX(MASTER_JAM!$Z$5:$AC$10,MATCH($I488,MASTER_JAM!$Y$5:$Y$10,0),MATCH($J488,MASTER_JAM!$Z$4:$AC$4,0))+0,0)</f>
        <v/>
      </c>
      <c r="Q488" s="158">
        <f>IF($P488=0,0,$P488+IFERROR(INDEX(MASTER_JAM!$H$5:$H$94,MATCH($C488,MASTER_JAM!$A$5:$A$94,0))+0,MASTER_JAM!$AC$15)/1000*(60/MASTER_JAM!$AC$12+60/MASTER_JAM!$AC$13)+MASTER_JAM!$AC$14)</f>
        <v/>
      </c>
      <c r="R488" s="158">
        <f>IF(N($F488)=0,0,$F488/SUMIFS(INPUT_RITASE!$F$5:$F$20000,INPUT_RITASE!$A$5:$A$20000,$A488,INPUT_RITASE!$B$5:$B$20000,$B488,INPUT_RITASE!$C$5:$C$20000,$C488,INPUT_RITASE!$D$5:$D$20000,$D488))</f>
        <v/>
      </c>
      <c r="S488" s="158">
        <f>IF($Q488=0,0,$R488*$P488/$Q488)</f>
        <v/>
      </c>
    </row>
    <row r="489">
      <c r="A489" s="155" t="n">
        <v>46105</v>
      </c>
      <c r="B489" s="156" t="inlineStr">
        <is>
          <t>20-21</t>
        </is>
      </c>
      <c r="C489" s="156" t="inlineStr">
        <is>
          <t>EX-2101</t>
        </is>
      </c>
      <c r="D489" s="156" t="inlineStr">
        <is>
          <t>HD-902</t>
        </is>
      </c>
      <c r="E489" s="156" t="inlineStr">
        <is>
          <t>OB</t>
        </is>
      </c>
      <c r="F489" s="156" t="n">
        <v>6</v>
      </c>
      <c r="G489" s="156" t="inlineStr"/>
      <c r="H489" s="157">
        <f>IF($B489="","",IF(ISNA(MATCH($B489,MASTER_JAM!$Q$5:$Q$28,0)),"?",IF(MATCH($B489,MASTER_JAM!$Q$5:$Q$28,0)&lt;=12,"DS","NS")))</f>
        <v/>
      </c>
      <c r="I489" s="157">
        <f>IFERROR(INDEX(MASTER_JAM!$B$5:$B$94,MATCH($C489,MASTER_JAM!$A$5:$A$94,0)),"")</f>
        <v/>
      </c>
      <c r="J489" s="157">
        <f>IFERROR(INDEX(MASTER_JAM!$E$5:$E$94,MATCH($D489,MASTER_JAM!$A$5:$A$94,0)),"")</f>
        <v/>
      </c>
      <c r="K489" s="158">
        <f>IFERROR(INDEX(MASTER_JAM!$J$5:$O$12,MATCH($E489,MASTER_JAM!$I$5:$I$12,0),MATCH($J489,MASTER_JAM!$J$4:$O$4,0))+0,0)</f>
        <v/>
      </c>
      <c r="L489" s="159">
        <f>N($F489)*$K489</f>
        <v/>
      </c>
      <c r="M489" s="157">
        <f>IF($E489="","",IF(OR($E489="Coal",$E489="Dirty Coal"),"MT","BCM"))</f>
        <v/>
      </c>
      <c r="N489" s="157">
        <f>IF($E489="","",IF(OR($E489="Coal",$E489="Dirty Coal"),"Coal","OB"))</f>
        <v/>
      </c>
      <c r="O489" s="157">
        <f>IF($F489="","",IF(COUNTIF(MASTER_JAM!$A$5:$A$94,$C489)=0,"Digger tidak dikenal",IF($J489="","Hauler tidak dikenal",IF($H489="?","Jam salah",IF($K489=0,"Faktor kosong",IF(SUMIFS(INPUT_DELAY!$E$5:$E$20000,INPUT_DELAY!$A$5:$A$20000,$A489,INPUT_DELAY!$B$5:$B$20000,$B489,INPUT_DELAY!$C$5:$C$20000,$C489)+SUMIFS(INPUT_DELAY!$E$5:$E$20000,INPUT_DELAY!$A$5:$A$20000,$A489,INPUT_DELAY!$B$5:$B$20000,$B489,INPUT_DELAY!$C$5:$C$20000,"SEMUA")&gt;=60,"Delay 60 mnt tapi ada ritase","OK"))))))</f>
        <v/>
      </c>
      <c r="P489" s="158">
        <f>IFERROR(INDEX(MASTER_JAM!$Z$5:$AC$10,MATCH($I489,MASTER_JAM!$Y$5:$Y$10,0),MATCH($J489,MASTER_JAM!$Z$4:$AC$4,0))+0,0)</f>
        <v/>
      </c>
      <c r="Q489" s="158">
        <f>IF($P489=0,0,$P489+IFERROR(INDEX(MASTER_JAM!$H$5:$H$94,MATCH($C489,MASTER_JAM!$A$5:$A$94,0))+0,MASTER_JAM!$AC$15)/1000*(60/MASTER_JAM!$AC$12+60/MASTER_JAM!$AC$13)+MASTER_JAM!$AC$14)</f>
        <v/>
      </c>
      <c r="R489" s="158">
        <f>IF(N($F489)=0,0,$F489/SUMIFS(INPUT_RITASE!$F$5:$F$20000,INPUT_RITASE!$A$5:$A$20000,$A489,INPUT_RITASE!$B$5:$B$20000,$B489,INPUT_RITASE!$C$5:$C$20000,$C489,INPUT_RITASE!$D$5:$D$20000,$D489))</f>
        <v/>
      </c>
      <c r="S489" s="158">
        <f>IF($Q489=0,0,$R489*$P489/$Q489)</f>
        <v/>
      </c>
    </row>
    <row r="490">
      <c r="A490" s="155" t="n">
        <v>46105</v>
      </c>
      <c r="B490" s="156" t="inlineStr">
        <is>
          <t>20-21</t>
        </is>
      </c>
      <c r="C490" s="156" t="inlineStr">
        <is>
          <t>EX-2101</t>
        </is>
      </c>
      <c r="D490" s="156" t="inlineStr">
        <is>
          <t>HD-901</t>
        </is>
      </c>
      <c r="E490" s="156" t="inlineStr">
        <is>
          <t>OB</t>
        </is>
      </c>
      <c r="F490" s="156" t="n">
        <v>6</v>
      </c>
      <c r="G490" s="156" t="inlineStr"/>
      <c r="H490" s="157">
        <f>IF($B490="","",IF(ISNA(MATCH($B490,MASTER_JAM!$Q$5:$Q$28,0)),"?",IF(MATCH($B490,MASTER_JAM!$Q$5:$Q$28,0)&lt;=12,"DS","NS")))</f>
        <v/>
      </c>
      <c r="I490" s="157">
        <f>IFERROR(INDEX(MASTER_JAM!$B$5:$B$94,MATCH($C490,MASTER_JAM!$A$5:$A$94,0)),"")</f>
        <v/>
      </c>
      <c r="J490" s="157">
        <f>IFERROR(INDEX(MASTER_JAM!$E$5:$E$94,MATCH($D490,MASTER_JAM!$A$5:$A$94,0)),"")</f>
        <v/>
      </c>
      <c r="K490" s="158">
        <f>IFERROR(INDEX(MASTER_JAM!$J$5:$O$12,MATCH($E490,MASTER_JAM!$I$5:$I$12,0),MATCH($J490,MASTER_JAM!$J$4:$O$4,0))+0,0)</f>
        <v/>
      </c>
      <c r="L490" s="159">
        <f>N($F490)*$K490</f>
        <v/>
      </c>
      <c r="M490" s="157">
        <f>IF($E490="","",IF(OR($E490="Coal",$E490="Dirty Coal"),"MT","BCM"))</f>
        <v/>
      </c>
      <c r="N490" s="157">
        <f>IF($E490="","",IF(OR($E490="Coal",$E490="Dirty Coal"),"Coal","OB"))</f>
        <v/>
      </c>
      <c r="O490" s="157">
        <f>IF($F490="","",IF(COUNTIF(MASTER_JAM!$A$5:$A$94,$C490)=0,"Digger tidak dikenal",IF($J490="","Hauler tidak dikenal",IF($H490="?","Jam salah",IF($K490=0,"Faktor kosong",IF(SUMIFS(INPUT_DELAY!$E$5:$E$20000,INPUT_DELAY!$A$5:$A$20000,$A490,INPUT_DELAY!$B$5:$B$20000,$B490,INPUT_DELAY!$C$5:$C$20000,$C490)+SUMIFS(INPUT_DELAY!$E$5:$E$20000,INPUT_DELAY!$A$5:$A$20000,$A490,INPUT_DELAY!$B$5:$B$20000,$B490,INPUT_DELAY!$C$5:$C$20000,"SEMUA")&gt;=60,"Delay 60 mnt tapi ada ritase","OK"))))))</f>
        <v/>
      </c>
      <c r="P490" s="158">
        <f>IFERROR(INDEX(MASTER_JAM!$Z$5:$AC$10,MATCH($I490,MASTER_JAM!$Y$5:$Y$10,0),MATCH($J490,MASTER_JAM!$Z$4:$AC$4,0))+0,0)</f>
        <v/>
      </c>
      <c r="Q490" s="158">
        <f>IF($P490=0,0,$P490+IFERROR(INDEX(MASTER_JAM!$H$5:$H$94,MATCH($C490,MASTER_JAM!$A$5:$A$94,0))+0,MASTER_JAM!$AC$15)/1000*(60/MASTER_JAM!$AC$12+60/MASTER_JAM!$AC$13)+MASTER_JAM!$AC$14)</f>
        <v/>
      </c>
      <c r="R490" s="158">
        <f>IF(N($F490)=0,0,$F490/SUMIFS(INPUT_RITASE!$F$5:$F$20000,INPUT_RITASE!$A$5:$A$20000,$A490,INPUT_RITASE!$B$5:$B$20000,$B490,INPUT_RITASE!$C$5:$C$20000,$C490,INPUT_RITASE!$D$5:$D$20000,$D490))</f>
        <v/>
      </c>
      <c r="S490" s="158">
        <f>IF($Q490=0,0,$R490*$P490/$Q490)</f>
        <v/>
      </c>
    </row>
    <row r="491">
      <c r="A491" s="155" t="n">
        <v>46105</v>
      </c>
      <c r="B491" s="156" t="inlineStr">
        <is>
          <t>20-21</t>
        </is>
      </c>
      <c r="C491" s="156" t="inlineStr">
        <is>
          <t>EX-2101</t>
        </is>
      </c>
      <c r="D491" s="156" t="inlineStr">
        <is>
          <t>DT-515</t>
        </is>
      </c>
      <c r="E491" s="156" t="inlineStr">
        <is>
          <t>OB</t>
        </is>
      </c>
      <c r="F491" s="156" t="n">
        <v>4</v>
      </c>
      <c r="G491" s="156" t="inlineStr"/>
      <c r="H491" s="157">
        <f>IF($B491="","",IF(ISNA(MATCH($B491,MASTER_JAM!$Q$5:$Q$28,0)),"?",IF(MATCH($B491,MASTER_JAM!$Q$5:$Q$28,0)&lt;=12,"DS","NS")))</f>
        <v/>
      </c>
      <c r="I491" s="157">
        <f>IFERROR(INDEX(MASTER_JAM!$B$5:$B$94,MATCH($C491,MASTER_JAM!$A$5:$A$94,0)),"")</f>
        <v/>
      </c>
      <c r="J491" s="157">
        <f>IFERROR(INDEX(MASTER_JAM!$E$5:$E$94,MATCH($D491,MASTER_JAM!$A$5:$A$94,0)),"")</f>
        <v/>
      </c>
      <c r="K491" s="158">
        <f>IFERROR(INDEX(MASTER_JAM!$J$5:$O$12,MATCH($E491,MASTER_JAM!$I$5:$I$12,0),MATCH($J491,MASTER_JAM!$J$4:$O$4,0))+0,0)</f>
        <v/>
      </c>
      <c r="L491" s="159">
        <f>N($F491)*$K491</f>
        <v/>
      </c>
      <c r="M491" s="157">
        <f>IF($E491="","",IF(OR($E491="Coal",$E491="Dirty Coal"),"MT","BCM"))</f>
        <v/>
      </c>
      <c r="N491" s="157">
        <f>IF($E491="","",IF(OR($E491="Coal",$E491="Dirty Coal"),"Coal","OB"))</f>
        <v/>
      </c>
      <c r="O491" s="157">
        <f>IF($F491="","",IF(COUNTIF(MASTER_JAM!$A$5:$A$94,$C491)=0,"Digger tidak dikenal",IF($J491="","Hauler tidak dikenal",IF($H491="?","Jam salah",IF($K491=0,"Faktor kosong",IF(SUMIFS(INPUT_DELAY!$E$5:$E$20000,INPUT_DELAY!$A$5:$A$20000,$A491,INPUT_DELAY!$B$5:$B$20000,$B491,INPUT_DELAY!$C$5:$C$20000,$C491)+SUMIFS(INPUT_DELAY!$E$5:$E$20000,INPUT_DELAY!$A$5:$A$20000,$A491,INPUT_DELAY!$B$5:$B$20000,$B491,INPUT_DELAY!$C$5:$C$20000,"SEMUA")&gt;=60,"Delay 60 mnt tapi ada ritase","OK"))))))</f>
        <v/>
      </c>
      <c r="P491" s="158">
        <f>IFERROR(INDEX(MASTER_JAM!$Z$5:$AC$10,MATCH($I491,MASTER_JAM!$Y$5:$Y$10,0),MATCH($J491,MASTER_JAM!$Z$4:$AC$4,0))+0,0)</f>
        <v/>
      </c>
      <c r="Q491" s="158">
        <f>IF($P491=0,0,$P491+IFERROR(INDEX(MASTER_JAM!$H$5:$H$94,MATCH($C491,MASTER_JAM!$A$5:$A$94,0))+0,MASTER_JAM!$AC$15)/1000*(60/MASTER_JAM!$AC$12+60/MASTER_JAM!$AC$13)+MASTER_JAM!$AC$14)</f>
        <v/>
      </c>
      <c r="R491" s="158">
        <f>IF(N($F491)=0,0,$F491/SUMIFS(INPUT_RITASE!$F$5:$F$20000,INPUT_RITASE!$A$5:$A$20000,$A491,INPUT_RITASE!$B$5:$B$20000,$B491,INPUT_RITASE!$C$5:$C$20000,$C491,INPUT_RITASE!$D$5:$D$20000,$D491))</f>
        <v/>
      </c>
      <c r="S491" s="158">
        <f>IF($Q491=0,0,$R491*$P491/$Q491)</f>
        <v/>
      </c>
    </row>
    <row r="492">
      <c r="A492" s="155" t="n">
        <v>46105</v>
      </c>
      <c r="B492" s="156" t="inlineStr">
        <is>
          <t>20-21</t>
        </is>
      </c>
      <c r="C492" s="156" t="inlineStr">
        <is>
          <t>EX-2101</t>
        </is>
      </c>
      <c r="D492" s="156" t="inlineStr">
        <is>
          <t>DT-523</t>
        </is>
      </c>
      <c r="E492" s="156" t="inlineStr">
        <is>
          <t>OB</t>
        </is>
      </c>
      <c r="F492" s="156" t="n">
        <v>3</v>
      </c>
      <c r="G492" s="156" t="inlineStr"/>
      <c r="H492" s="157">
        <f>IF($B492="","",IF(ISNA(MATCH($B492,MASTER_JAM!$Q$5:$Q$28,0)),"?",IF(MATCH($B492,MASTER_JAM!$Q$5:$Q$28,0)&lt;=12,"DS","NS")))</f>
        <v/>
      </c>
      <c r="I492" s="157">
        <f>IFERROR(INDEX(MASTER_JAM!$B$5:$B$94,MATCH($C492,MASTER_JAM!$A$5:$A$94,0)),"")</f>
        <v/>
      </c>
      <c r="J492" s="157">
        <f>IFERROR(INDEX(MASTER_JAM!$E$5:$E$94,MATCH($D492,MASTER_JAM!$A$5:$A$94,0)),"")</f>
        <v/>
      </c>
      <c r="K492" s="158">
        <f>IFERROR(INDEX(MASTER_JAM!$J$5:$O$12,MATCH($E492,MASTER_JAM!$I$5:$I$12,0),MATCH($J492,MASTER_JAM!$J$4:$O$4,0))+0,0)</f>
        <v/>
      </c>
      <c r="L492" s="159">
        <f>N($F492)*$K492</f>
        <v/>
      </c>
      <c r="M492" s="157">
        <f>IF($E492="","",IF(OR($E492="Coal",$E492="Dirty Coal"),"MT","BCM"))</f>
        <v/>
      </c>
      <c r="N492" s="157">
        <f>IF($E492="","",IF(OR($E492="Coal",$E492="Dirty Coal"),"Coal","OB"))</f>
        <v/>
      </c>
      <c r="O492" s="157">
        <f>IF($F492="","",IF(COUNTIF(MASTER_JAM!$A$5:$A$94,$C492)=0,"Digger tidak dikenal",IF($J492="","Hauler tidak dikenal",IF($H492="?","Jam salah",IF($K492=0,"Faktor kosong",IF(SUMIFS(INPUT_DELAY!$E$5:$E$20000,INPUT_DELAY!$A$5:$A$20000,$A492,INPUT_DELAY!$B$5:$B$20000,$B492,INPUT_DELAY!$C$5:$C$20000,$C492)+SUMIFS(INPUT_DELAY!$E$5:$E$20000,INPUT_DELAY!$A$5:$A$20000,$A492,INPUT_DELAY!$B$5:$B$20000,$B492,INPUT_DELAY!$C$5:$C$20000,"SEMUA")&gt;=60,"Delay 60 mnt tapi ada ritase","OK"))))))</f>
        <v/>
      </c>
      <c r="P492" s="158">
        <f>IFERROR(INDEX(MASTER_JAM!$Z$5:$AC$10,MATCH($I492,MASTER_JAM!$Y$5:$Y$10,0),MATCH($J492,MASTER_JAM!$Z$4:$AC$4,0))+0,0)</f>
        <v/>
      </c>
      <c r="Q492" s="158">
        <f>IF($P492=0,0,$P492+IFERROR(INDEX(MASTER_JAM!$H$5:$H$94,MATCH($C492,MASTER_JAM!$A$5:$A$94,0))+0,MASTER_JAM!$AC$15)/1000*(60/MASTER_JAM!$AC$12+60/MASTER_JAM!$AC$13)+MASTER_JAM!$AC$14)</f>
        <v/>
      </c>
      <c r="R492" s="158">
        <f>IF(N($F492)=0,0,$F492/SUMIFS(INPUT_RITASE!$F$5:$F$20000,INPUT_RITASE!$A$5:$A$20000,$A492,INPUT_RITASE!$B$5:$B$20000,$B492,INPUT_RITASE!$C$5:$C$20000,$C492,INPUT_RITASE!$D$5:$D$20000,$D492))</f>
        <v/>
      </c>
      <c r="S492" s="158">
        <f>IF($Q492=0,0,$R492*$P492/$Q492)</f>
        <v/>
      </c>
    </row>
    <row r="493">
      <c r="A493" s="155" t="n">
        <v>46105</v>
      </c>
      <c r="B493" s="156" t="inlineStr">
        <is>
          <t>20-21</t>
        </is>
      </c>
      <c r="C493" s="156" t="inlineStr">
        <is>
          <t>EX-2101</t>
        </is>
      </c>
      <c r="D493" s="156" t="inlineStr">
        <is>
          <t>DT-512</t>
        </is>
      </c>
      <c r="E493" s="156" t="inlineStr">
        <is>
          <t>OB</t>
        </is>
      </c>
      <c r="F493" s="156" t="n">
        <v>3</v>
      </c>
      <c r="G493" s="156" t="inlineStr"/>
      <c r="H493" s="157">
        <f>IF($B493="","",IF(ISNA(MATCH($B493,MASTER_JAM!$Q$5:$Q$28,0)),"?",IF(MATCH($B493,MASTER_JAM!$Q$5:$Q$28,0)&lt;=12,"DS","NS")))</f>
        <v/>
      </c>
      <c r="I493" s="157">
        <f>IFERROR(INDEX(MASTER_JAM!$B$5:$B$94,MATCH($C493,MASTER_JAM!$A$5:$A$94,0)),"")</f>
        <v/>
      </c>
      <c r="J493" s="157">
        <f>IFERROR(INDEX(MASTER_JAM!$E$5:$E$94,MATCH($D493,MASTER_JAM!$A$5:$A$94,0)),"")</f>
        <v/>
      </c>
      <c r="K493" s="158">
        <f>IFERROR(INDEX(MASTER_JAM!$J$5:$O$12,MATCH($E493,MASTER_JAM!$I$5:$I$12,0),MATCH($J493,MASTER_JAM!$J$4:$O$4,0))+0,0)</f>
        <v/>
      </c>
      <c r="L493" s="159">
        <f>N($F493)*$K493</f>
        <v/>
      </c>
      <c r="M493" s="157">
        <f>IF($E493="","",IF(OR($E493="Coal",$E493="Dirty Coal"),"MT","BCM"))</f>
        <v/>
      </c>
      <c r="N493" s="157">
        <f>IF($E493="","",IF(OR($E493="Coal",$E493="Dirty Coal"),"Coal","OB"))</f>
        <v/>
      </c>
      <c r="O493" s="157">
        <f>IF($F493="","",IF(COUNTIF(MASTER_JAM!$A$5:$A$94,$C493)=0,"Digger tidak dikenal",IF($J493="","Hauler tidak dikenal",IF($H493="?","Jam salah",IF($K493=0,"Faktor kosong",IF(SUMIFS(INPUT_DELAY!$E$5:$E$20000,INPUT_DELAY!$A$5:$A$20000,$A493,INPUT_DELAY!$B$5:$B$20000,$B493,INPUT_DELAY!$C$5:$C$20000,$C493)+SUMIFS(INPUT_DELAY!$E$5:$E$20000,INPUT_DELAY!$A$5:$A$20000,$A493,INPUT_DELAY!$B$5:$B$20000,$B493,INPUT_DELAY!$C$5:$C$20000,"SEMUA")&gt;=60,"Delay 60 mnt tapi ada ritase","OK"))))))</f>
        <v/>
      </c>
      <c r="P493" s="158">
        <f>IFERROR(INDEX(MASTER_JAM!$Z$5:$AC$10,MATCH($I493,MASTER_JAM!$Y$5:$Y$10,0),MATCH($J493,MASTER_JAM!$Z$4:$AC$4,0))+0,0)</f>
        <v/>
      </c>
      <c r="Q493" s="158">
        <f>IF($P493=0,0,$P493+IFERROR(INDEX(MASTER_JAM!$H$5:$H$94,MATCH($C493,MASTER_JAM!$A$5:$A$94,0))+0,MASTER_JAM!$AC$15)/1000*(60/MASTER_JAM!$AC$12+60/MASTER_JAM!$AC$13)+MASTER_JAM!$AC$14)</f>
        <v/>
      </c>
      <c r="R493" s="158">
        <f>IF(N($F493)=0,0,$F493/SUMIFS(INPUT_RITASE!$F$5:$F$20000,INPUT_RITASE!$A$5:$A$20000,$A493,INPUT_RITASE!$B$5:$B$20000,$B493,INPUT_RITASE!$C$5:$C$20000,$C493,INPUT_RITASE!$D$5:$D$20000,$D493))</f>
        <v/>
      </c>
      <c r="S493" s="158">
        <f>IF($Q493=0,0,$R493*$P493/$Q493)</f>
        <v/>
      </c>
    </row>
    <row r="494">
      <c r="A494" s="155" t="n">
        <v>46105</v>
      </c>
      <c r="B494" s="156" t="inlineStr">
        <is>
          <t>21-22</t>
        </is>
      </c>
      <c r="C494" s="156" t="inlineStr">
        <is>
          <t>EX-2101</t>
        </is>
      </c>
      <c r="D494" s="156" t="inlineStr">
        <is>
          <t>HD-901</t>
        </is>
      </c>
      <c r="E494" s="156" t="inlineStr">
        <is>
          <t>OB</t>
        </is>
      </c>
      <c r="F494" s="156" t="n">
        <v>4</v>
      </c>
      <c r="G494" s="156" t="inlineStr"/>
      <c r="H494" s="157">
        <f>IF($B494="","",IF(ISNA(MATCH($B494,MASTER_JAM!$Q$5:$Q$28,0)),"?",IF(MATCH($B494,MASTER_JAM!$Q$5:$Q$28,0)&lt;=12,"DS","NS")))</f>
        <v/>
      </c>
      <c r="I494" s="157">
        <f>IFERROR(INDEX(MASTER_JAM!$B$5:$B$94,MATCH($C494,MASTER_JAM!$A$5:$A$94,0)),"")</f>
        <v/>
      </c>
      <c r="J494" s="157">
        <f>IFERROR(INDEX(MASTER_JAM!$E$5:$E$94,MATCH($D494,MASTER_JAM!$A$5:$A$94,0)),"")</f>
        <v/>
      </c>
      <c r="K494" s="158">
        <f>IFERROR(INDEX(MASTER_JAM!$J$5:$O$12,MATCH($E494,MASTER_JAM!$I$5:$I$12,0),MATCH($J494,MASTER_JAM!$J$4:$O$4,0))+0,0)</f>
        <v/>
      </c>
      <c r="L494" s="159">
        <f>N($F494)*$K494</f>
        <v/>
      </c>
      <c r="M494" s="157">
        <f>IF($E494="","",IF(OR($E494="Coal",$E494="Dirty Coal"),"MT","BCM"))</f>
        <v/>
      </c>
      <c r="N494" s="157">
        <f>IF($E494="","",IF(OR($E494="Coal",$E494="Dirty Coal"),"Coal","OB"))</f>
        <v/>
      </c>
      <c r="O494" s="157">
        <f>IF($F494="","",IF(COUNTIF(MASTER_JAM!$A$5:$A$94,$C494)=0,"Digger tidak dikenal",IF($J494="","Hauler tidak dikenal",IF($H494="?","Jam salah",IF($K494=0,"Faktor kosong",IF(SUMIFS(INPUT_DELAY!$E$5:$E$20000,INPUT_DELAY!$A$5:$A$20000,$A494,INPUT_DELAY!$B$5:$B$20000,$B494,INPUT_DELAY!$C$5:$C$20000,$C494)+SUMIFS(INPUT_DELAY!$E$5:$E$20000,INPUT_DELAY!$A$5:$A$20000,$A494,INPUT_DELAY!$B$5:$B$20000,$B494,INPUT_DELAY!$C$5:$C$20000,"SEMUA")&gt;=60,"Delay 60 mnt tapi ada ritase","OK"))))))</f>
        <v/>
      </c>
      <c r="P494" s="158">
        <f>IFERROR(INDEX(MASTER_JAM!$Z$5:$AC$10,MATCH($I494,MASTER_JAM!$Y$5:$Y$10,0),MATCH($J494,MASTER_JAM!$Z$4:$AC$4,0))+0,0)</f>
        <v/>
      </c>
      <c r="Q494" s="158">
        <f>IF($P494=0,0,$P494+IFERROR(INDEX(MASTER_JAM!$H$5:$H$94,MATCH($C494,MASTER_JAM!$A$5:$A$94,0))+0,MASTER_JAM!$AC$15)/1000*(60/MASTER_JAM!$AC$12+60/MASTER_JAM!$AC$13)+MASTER_JAM!$AC$14)</f>
        <v/>
      </c>
      <c r="R494" s="158">
        <f>IF(N($F494)=0,0,$F494/SUMIFS(INPUT_RITASE!$F$5:$F$20000,INPUT_RITASE!$A$5:$A$20000,$A494,INPUT_RITASE!$B$5:$B$20000,$B494,INPUT_RITASE!$C$5:$C$20000,$C494,INPUT_RITASE!$D$5:$D$20000,$D494))</f>
        <v/>
      </c>
      <c r="S494" s="158">
        <f>IF($Q494=0,0,$R494*$P494/$Q494)</f>
        <v/>
      </c>
    </row>
    <row r="495">
      <c r="A495" s="155" t="n">
        <v>46105</v>
      </c>
      <c r="B495" s="156" t="inlineStr">
        <is>
          <t>21-22</t>
        </is>
      </c>
      <c r="C495" s="156" t="inlineStr">
        <is>
          <t>EX-2101</t>
        </is>
      </c>
      <c r="D495" s="156" t="inlineStr">
        <is>
          <t>DT-504</t>
        </is>
      </c>
      <c r="E495" s="156" t="inlineStr">
        <is>
          <t>OB</t>
        </is>
      </c>
      <c r="F495" s="156" t="n">
        <v>1</v>
      </c>
      <c r="G495" s="156" t="inlineStr"/>
      <c r="H495" s="157">
        <f>IF($B495="","",IF(ISNA(MATCH($B495,MASTER_JAM!$Q$5:$Q$28,0)),"?",IF(MATCH($B495,MASTER_JAM!$Q$5:$Q$28,0)&lt;=12,"DS","NS")))</f>
        <v/>
      </c>
      <c r="I495" s="157">
        <f>IFERROR(INDEX(MASTER_JAM!$B$5:$B$94,MATCH($C495,MASTER_JAM!$A$5:$A$94,0)),"")</f>
        <v/>
      </c>
      <c r="J495" s="157">
        <f>IFERROR(INDEX(MASTER_JAM!$E$5:$E$94,MATCH($D495,MASTER_JAM!$A$5:$A$94,0)),"")</f>
        <v/>
      </c>
      <c r="K495" s="158">
        <f>IFERROR(INDEX(MASTER_JAM!$J$5:$O$12,MATCH($E495,MASTER_JAM!$I$5:$I$12,0),MATCH($J495,MASTER_JAM!$J$4:$O$4,0))+0,0)</f>
        <v/>
      </c>
      <c r="L495" s="159">
        <f>N($F495)*$K495</f>
        <v/>
      </c>
      <c r="M495" s="157">
        <f>IF($E495="","",IF(OR($E495="Coal",$E495="Dirty Coal"),"MT","BCM"))</f>
        <v/>
      </c>
      <c r="N495" s="157">
        <f>IF($E495="","",IF(OR($E495="Coal",$E495="Dirty Coal"),"Coal","OB"))</f>
        <v/>
      </c>
      <c r="O495" s="157">
        <f>IF($F495="","",IF(COUNTIF(MASTER_JAM!$A$5:$A$94,$C495)=0,"Digger tidak dikenal",IF($J495="","Hauler tidak dikenal",IF($H495="?","Jam salah",IF($K495=0,"Faktor kosong",IF(SUMIFS(INPUT_DELAY!$E$5:$E$20000,INPUT_DELAY!$A$5:$A$20000,$A495,INPUT_DELAY!$B$5:$B$20000,$B495,INPUT_DELAY!$C$5:$C$20000,$C495)+SUMIFS(INPUT_DELAY!$E$5:$E$20000,INPUT_DELAY!$A$5:$A$20000,$A495,INPUT_DELAY!$B$5:$B$20000,$B495,INPUT_DELAY!$C$5:$C$20000,"SEMUA")&gt;=60,"Delay 60 mnt tapi ada ritase","OK"))))))</f>
        <v/>
      </c>
      <c r="P495" s="158">
        <f>IFERROR(INDEX(MASTER_JAM!$Z$5:$AC$10,MATCH($I495,MASTER_JAM!$Y$5:$Y$10,0),MATCH($J495,MASTER_JAM!$Z$4:$AC$4,0))+0,0)</f>
        <v/>
      </c>
      <c r="Q495" s="158">
        <f>IF($P495=0,0,$P495+IFERROR(INDEX(MASTER_JAM!$H$5:$H$94,MATCH($C495,MASTER_JAM!$A$5:$A$94,0))+0,MASTER_JAM!$AC$15)/1000*(60/MASTER_JAM!$AC$12+60/MASTER_JAM!$AC$13)+MASTER_JAM!$AC$14)</f>
        <v/>
      </c>
      <c r="R495" s="158">
        <f>IF(N($F495)=0,0,$F495/SUMIFS(INPUT_RITASE!$F$5:$F$20000,INPUT_RITASE!$A$5:$A$20000,$A495,INPUT_RITASE!$B$5:$B$20000,$B495,INPUT_RITASE!$C$5:$C$20000,$C495,INPUT_RITASE!$D$5:$D$20000,$D495))</f>
        <v/>
      </c>
      <c r="S495" s="158">
        <f>IF($Q495=0,0,$R495*$P495/$Q495)</f>
        <v/>
      </c>
    </row>
    <row r="496">
      <c r="A496" s="155" t="n">
        <v>46105</v>
      </c>
      <c r="B496" s="156" t="inlineStr">
        <is>
          <t>18-19</t>
        </is>
      </c>
      <c r="C496" s="156" t="inlineStr">
        <is>
          <t>EX-336</t>
        </is>
      </c>
      <c r="D496" s="156" t="inlineStr">
        <is>
          <t>DT-512</t>
        </is>
      </c>
      <c r="E496" s="156" t="inlineStr">
        <is>
          <t>OB</t>
        </is>
      </c>
      <c r="F496" s="156" t="n">
        <v>4</v>
      </c>
      <c r="G496" s="156" t="inlineStr"/>
      <c r="H496" s="157">
        <f>IF($B496="","",IF(ISNA(MATCH($B496,MASTER_JAM!$Q$5:$Q$28,0)),"?",IF(MATCH($B496,MASTER_JAM!$Q$5:$Q$28,0)&lt;=12,"DS","NS")))</f>
        <v/>
      </c>
      <c r="I496" s="157">
        <f>IFERROR(INDEX(MASTER_JAM!$B$5:$B$94,MATCH($C496,MASTER_JAM!$A$5:$A$94,0)),"")</f>
        <v/>
      </c>
      <c r="J496" s="157">
        <f>IFERROR(INDEX(MASTER_JAM!$E$5:$E$94,MATCH($D496,MASTER_JAM!$A$5:$A$94,0)),"")</f>
        <v/>
      </c>
      <c r="K496" s="158">
        <f>IFERROR(INDEX(MASTER_JAM!$J$5:$O$12,MATCH($E496,MASTER_JAM!$I$5:$I$12,0),MATCH($J496,MASTER_JAM!$J$4:$O$4,0))+0,0)</f>
        <v/>
      </c>
      <c r="L496" s="159">
        <f>N($F496)*$K496</f>
        <v/>
      </c>
      <c r="M496" s="157">
        <f>IF($E496="","",IF(OR($E496="Coal",$E496="Dirty Coal"),"MT","BCM"))</f>
        <v/>
      </c>
      <c r="N496" s="157">
        <f>IF($E496="","",IF(OR($E496="Coal",$E496="Dirty Coal"),"Coal","OB"))</f>
        <v/>
      </c>
      <c r="O496" s="157">
        <f>IF($F496="","",IF(COUNTIF(MASTER_JAM!$A$5:$A$94,$C496)=0,"Digger tidak dikenal",IF($J496="","Hauler tidak dikenal",IF($H496="?","Jam salah",IF($K496=0,"Faktor kosong",IF(SUMIFS(INPUT_DELAY!$E$5:$E$20000,INPUT_DELAY!$A$5:$A$20000,$A496,INPUT_DELAY!$B$5:$B$20000,$B496,INPUT_DELAY!$C$5:$C$20000,$C496)+SUMIFS(INPUT_DELAY!$E$5:$E$20000,INPUT_DELAY!$A$5:$A$20000,$A496,INPUT_DELAY!$B$5:$B$20000,$B496,INPUT_DELAY!$C$5:$C$20000,"SEMUA")&gt;=60,"Delay 60 mnt tapi ada ritase","OK"))))))</f>
        <v/>
      </c>
      <c r="P496" s="158">
        <f>IFERROR(INDEX(MASTER_JAM!$Z$5:$AC$10,MATCH($I496,MASTER_JAM!$Y$5:$Y$10,0),MATCH($J496,MASTER_JAM!$Z$4:$AC$4,0))+0,0)</f>
        <v/>
      </c>
      <c r="Q496" s="158">
        <f>IF($P496=0,0,$P496+IFERROR(INDEX(MASTER_JAM!$H$5:$H$94,MATCH($C496,MASTER_JAM!$A$5:$A$94,0))+0,MASTER_JAM!$AC$15)/1000*(60/MASTER_JAM!$AC$12+60/MASTER_JAM!$AC$13)+MASTER_JAM!$AC$14)</f>
        <v/>
      </c>
      <c r="R496" s="158">
        <f>IF(N($F496)=0,0,$F496/SUMIFS(INPUT_RITASE!$F$5:$F$20000,INPUT_RITASE!$A$5:$A$20000,$A496,INPUT_RITASE!$B$5:$B$20000,$B496,INPUT_RITASE!$C$5:$C$20000,$C496,INPUT_RITASE!$D$5:$D$20000,$D496))</f>
        <v/>
      </c>
      <c r="S496" s="158">
        <f>IF($Q496=0,0,$R496*$P496/$Q496)</f>
        <v/>
      </c>
    </row>
    <row r="497">
      <c r="A497" s="155" t="n">
        <v>46105</v>
      </c>
      <c r="B497" s="156" t="inlineStr">
        <is>
          <t>18-19</t>
        </is>
      </c>
      <c r="C497" s="156" t="inlineStr">
        <is>
          <t>EX-336</t>
        </is>
      </c>
      <c r="D497" s="156" t="inlineStr">
        <is>
          <t>DT-503</t>
        </is>
      </c>
      <c r="E497" s="156" t="inlineStr">
        <is>
          <t>OB</t>
        </is>
      </c>
      <c r="F497" s="156" t="n">
        <v>4</v>
      </c>
      <c r="G497" s="156" t="inlineStr"/>
      <c r="H497" s="157">
        <f>IF($B497="","",IF(ISNA(MATCH($B497,MASTER_JAM!$Q$5:$Q$28,0)),"?",IF(MATCH($B497,MASTER_JAM!$Q$5:$Q$28,0)&lt;=12,"DS","NS")))</f>
        <v/>
      </c>
      <c r="I497" s="157">
        <f>IFERROR(INDEX(MASTER_JAM!$B$5:$B$94,MATCH($C497,MASTER_JAM!$A$5:$A$94,0)),"")</f>
        <v/>
      </c>
      <c r="J497" s="157">
        <f>IFERROR(INDEX(MASTER_JAM!$E$5:$E$94,MATCH($D497,MASTER_JAM!$A$5:$A$94,0)),"")</f>
        <v/>
      </c>
      <c r="K497" s="158">
        <f>IFERROR(INDEX(MASTER_JAM!$J$5:$O$12,MATCH($E497,MASTER_JAM!$I$5:$I$12,0),MATCH($J497,MASTER_JAM!$J$4:$O$4,0))+0,0)</f>
        <v/>
      </c>
      <c r="L497" s="159">
        <f>N($F497)*$K497</f>
        <v/>
      </c>
      <c r="M497" s="157">
        <f>IF($E497="","",IF(OR($E497="Coal",$E497="Dirty Coal"),"MT","BCM"))</f>
        <v/>
      </c>
      <c r="N497" s="157">
        <f>IF($E497="","",IF(OR($E497="Coal",$E497="Dirty Coal"),"Coal","OB"))</f>
        <v/>
      </c>
      <c r="O497" s="157">
        <f>IF($F497="","",IF(COUNTIF(MASTER_JAM!$A$5:$A$94,$C497)=0,"Digger tidak dikenal",IF($J497="","Hauler tidak dikenal",IF($H497="?","Jam salah",IF($K497=0,"Faktor kosong",IF(SUMIFS(INPUT_DELAY!$E$5:$E$20000,INPUT_DELAY!$A$5:$A$20000,$A497,INPUT_DELAY!$B$5:$B$20000,$B497,INPUT_DELAY!$C$5:$C$20000,$C497)+SUMIFS(INPUT_DELAY!$E$5:$E$20000,INPUT_DELAY!$A$5:$A$20000,$A497,INPUT_DELAY!$B$5:$B$20000,$B497,INPUT_DELAY!$C$5:$C$20000,"SEMUA")&gt;=60,"Delay 60 mnt tapi ada ritase","OK"))))))</f>
        <v/>
      </c>
      <c r="P497" s="158">
        <f>IFERROR(INDEX(MASTER_JAM!$Z$5:$AC$10,MATCH($I497,MASTER_JAM!$Y$5:$Y$10,0),MATCH($J497,MASTER_JAM!$Z$4:$AC$4,0))+0,0)</f>
        <v/>
      </c>
      <c r="Q497" s="158">
        <f>IF($P497=0,0,$P497+IFERROR(INDEX(MASTER_JAM!$H$5:$H$94,MATCH($C497,MASTER_JAM!$A$5:$A$94,0))+0,MASTER_JAM!$AC$15)/1000*(60/MASTER_JAM!$AC$12+60/MASTER_JAM!$AC$13)+MASTER_JAM!$AC$14)</f>
        <v/>
      </c>
      <c r="R497" s="158">
        <f>IF(N($F497)=0,0,$F497/SUMIFS(INPUT_RITASE!$F$5:$F$20000,INPUT_RITASE!$A$5:$A$20000,$A497,INPUT_RITASE!$B$5:$B$20000,$B497,INPUT_RITASE!$C$5:$C$20000,$C497,INPUT_RITASE!$D$5:$D$20000,$D497))</f>
        <v/>
      </c>
      <c r="S497" s="158">
        <f>IF($Q497=0,0,$R497*$P497/$Q497)</f>
        <v/>
      </c>
    </row>
    <row r="498">
      <c r="A498" s="155" t="n">
        <v>46105</v>
      </c>
      <c r="B498" s="156" t="inlineStr">
        <is>
          <t>19-20</t>
        </is>
      </c>
      <c r="C498" s="156" t="inlineStr">
        <is>
          <t>EX-336</t>
        </is>
      </c>
      <c r="D498" s="156" t="inlineStr">
        <is>
          <t>DT-505</t>
        </is>
      </c>
      <c r="E498" s="156" t="inlineStr">
        <is>
          <t>OB</t>
        </is>
      </c>
      <c r="F498" s="156" t="n">
        <v>4</v>
      </c>
      <c r="G498" s="156" t="inlineStr"/>
      <c r="H498" s="157">
        <f>IF($B498="","",IF(ISNA(MATCH($B498,MASTER_JAM!$Q$5:$Q$28,0)),"?",IF(MATCH($B498,MASTER_JAM!$Q$5:$Q$28,0)&lt;=12,"DS","NS")))</f>
        <v/>
      </c>
      <c r="I498" s="157">
        <f>IFERROR(INDEX(MASTER_JAM!$B$5:$B$94,MATCH($C498,MASTER_JAM!$A$5:$A$94,0)),"")</f>
        <v/>
      </c>
      <c r="J498" s="157">
        <f>IFERROR(INDEX(MASTER_JAM!$E$5:$E$94,MATCH($D498,MASTER_JAM!$A$5:$A$94,0)),"")</f>
        <v/>
      </c>
      <c r="K498" s="158">
        <f>IFERROR(INDEX(MASTER_JAM!$J$5:$O$12,MATCH($E498,MASTER_JAM!$I$5:$I$12,0),MATCH($J498,MASTER_JAM!$J$4:$O$4,0))+0,0)</f>
        <v/>
      </c>
      <c r="L498" s="159">
        <f>N($F498)*$K498</f>
        <v/>
      </c>
      <c r="M498" s="157">
        <f>IF($E498="","",IF(OR($E498="Coal",$E498="Dirty Coal"),"MT","BCM"))</f>
        <v/>
      </c>
      <c r="N498" s="157">
        <f>IF($E498="","",IF(OR($E498="Coal",$E498="Dirty Coal"),"Coal","OB"))</f>
        <v/>
      </c>
      <c r="O498" s="157">
        <f>IF($F498="","",IF(COUNTIF(MASTER_JAM!$A$5:$A$94,$C498)=0,"Digger tidak dikenal",IF($J498="","Hauler tidak dikenal",IF($H498="?","Jam salah",IF($K498=0,"Faktor kosong",IF(SUMIFS(INPUT_DELAY!$E$5:$E$20000,INPUT_DELAY!$A$5:$A$20000,$A498,INPUT_DELAY!$B$5:$B$20000,$B498,INPUT_DELAY!$C$5:$C$20000,$C498)+SUMIFS(INPUT_DELAY!$E$5:$E$20000,INPUT_DELAY!$A$5:$A$20000,$A498,INPUT_DELAY!$B$5:$B$20000,$B498,INPUT_DELAY!$C$5:$C$20000,"SEMUA")&gt;=60,"Delay 60 mnt tapi ada ritase","OK"))))))</f>
        <v/>
      </c>
      <c r="P498" s="158">
        <f>IFERROR(INDEX(MASTER_JAM!$Z$5:$AC$10,MATCH($I498,MASTER_JAM!$Y$5:$Y$10,0),MATCH($J498,MASTER_JAM!$Z$4:$AC$4,0))+0,0)</f>
        <v/>
      </c>
      <c r="Q498" s="158">
        <f>IF($P498=0,0,$P498+IFERROR(INDEX(MASTER_JAM!$H$5:$H$94,MATCH($C498,MASTER_JAM!$A$5:$A$94,0))+0,MASTER_JAM!$AC$15)/1000*(60/MASTER_JAM!$AC$12+60/MASTER_JAM!$AC$13)+MASTER_JAM!$AC$14)</f>
        <v/>
      </c>
      <c r="R498" s="158">
        <f>IF(N($F498)=0,0,$F498/SUMIFS(INPUT_RITASE!$F$5:$F$20000,INPUT_RITASE!$A$5:$A$20000,$A498,INPUT_RITASE!$B$5:$B$20000,$B498,INPUT_RITASE!$C$5:$C$20000,$C498,INPUT_RITASE!$D$5:$D$20000,$D498))</f>
        <v/>
      </c>
      <c r="S498" s="158">
        <f>IF($Q498=0,0,$R498*$P498/$Q498)</f>
        <v/>
      </c>
    </row>
    <row r="499">
      <c r="A499" s="155" t="n">
        <v>46105</v>
      </c>
      <c r="B499" s="156" t="inlineStr">
        <is>
          <t>19-20</t>
        </is>
      </c>
      <c r="C499" s="156" t="inlineStr">
        <is>
          <t>EX-336</t>
        </is>
      </c>
      <c r="D499" s="156" t="inlineStr">
        <is>
          <t>DT-523</t>
        </is>
      </c>
      <c r="E499" s="156" t="inlineStr">
        <is>
          <t>OB</t>
        </is>
      </c>
      <c r="F499" s="156" t="n">
        <v>4</v>
      </c>
      <c r="G499" s="156" t="inlineStr"/>
      <c r="H499" s="157">
        <f>IF($B499="","",IF(ISNA(MATCH($B499,MASTER_JAM!$Q$5:$Q$28,0)),"?",IF(MATCH($B499,MASTER_JAM!$Q$5:$Q$28,0)&lt;=12,"DS","NS")))</f>
        <v/>
      </c>
      <c r="I499" s="157">
        <f>IFERROR(INDEX(MASTER_JAM!$B$5:$B$94,MATCH($C499,MASTER_JAM!$A$5:$A$94,0)),"")</f>
        <v/>
      </c>
      <c r="J499" s="157">
        <f>IFERROR(INDEX(MASTER_JAM!$E$5:$E$94,MATCH($D499,MASTER_JAM!$A$5:$A$94,0)),"")</f>
        <v/>
      </c>
      <c r="K499" s="158">
        <f>IFERROR(INDEX(MASTER_JAM!$J$5:$O$12,MATCH($E499,MASTER_JAM!$I$5:$I$12,0),MATCH($J499,MASTER_JAM!$J$4:$O$4,0))+0,0)</f>
        <v/>
      </c>
      <c r="L499" s="159">
        <f>N($F499)*$K499</f>
        <v/>
      </c>
      <c r="M499" s="157">
        <f>IF($E499="","",IF(OR($E499="Coal",$E499="Dirty Coal"),"MT","BCM"))</f>
        <v/>
      </c>
      <c r="N499" s="157">
        <f>IF($E499="","",IF(OR($E499="Coal",$E499="Dirty Coal"),"Coal","OB"))</f>
        <v/>
      </c>
      <c r="O499" s="157">
        <f>IF($F499="","",IF(COUNTIF(MASTER_JAM!$A$5:$A$94,$C499)=0,"Digger tidak dikenal",IF($J499="","Hauler tidak dikenal",IF($H499="?","Jam salah",IF($K499=0,"Faktor kosong",IF(SUMIFS(INPUT_DELAY!$E$5:$E$20000,INPUT_DELAY!$A$5:$A$20000,$A499,INPUT_DELAY!$B$5:$B$20000,$B499,INPUT_DELAY!$C$5:$C$20000,$C499)+SUMIFS(INPUT_DELAY!$E$5:$E$20000,INPUT_DELAY!$A$5:$A$20000,$A499,INPUT_DELAY!$B$5:$B$20000,$B499,INPUT_DELAY!$C$5:$C$20000,"SEMUA")&gt;=60,"Delay 60 mnt tapi ada ritase","OK"))))))</f>
        <v/>
      </c>
      <c r="P499" s="158">
        <f>IFERROR(INDEX(MASTER_JAM!$Z$5:$AC$10,MATCH($I499,MASTER_JAM!$Y$5:$Y$10,0),MATCH($J499,MASTER_JAM!$Z$4:$AC$4,0))+0,0)</f>
        <v/>
      </c>
      <c r="Q499" s="158">
        <f>IF($P499=0,0,$P499+IFERROR(INDEX(MASTER_JAM!$H$5:$H$94,MATCH($C499,MASTER_JAM!$A$5:$A$94,0))+0,MASTER_JAM!$AC$15)/1000*(60/MASTER_JAM!$AC$12+60/MASTER_JAM!$AC$13)+MASTER_JAM!$AC$14)</f>
        <v/>
      </c>
      <c r="R499" s="158">
        <f>IF(N($F499)=0,0,$F499/SUMIFS(INPUT_RITASE!$F$5:$F$20000,INPUT_RITASE!$A$5:$A$20000,$A499,INPUT_RITASE!$B$5:$B$20000,$B499,INPUT_RITASE!$C$5:$C$20000,$C499,INPUT_RITASE!$D$5:$D$20000,$D499))</f>
        <v/>
      </c>
      <c r="S499" s="158">
        <f>IF($Q499=0,0,$R499*$P499/$Q499)</f>
        <v/>
      </c>
    </row>
    <row r="500">
      <c r="A500" s="155" t="n">
        <v>46105</v>
      </c>
      <c r="B500" s="156" t="inlineStr">
        <is>
          <t>20-21</t>
        </is>
      </c>
      <c r="C500" s="156" t="inlineStr">
        <is>
          <t>EX-336</t>
        </is>
      </c>
      <c r="D500" s="156" t="inlineStr">
        <is>
          <t>DT-503</t>
        </is>
      </c>
      <c r="E500" s="156" t="inlineStr">
        <is>
          <t>OB</t>
        </is>
      </c>
      <c r="F500" s="156" t="n">
        <v>4</v>
      </c>
      <c r="G500" s="156" t="inlineStr"/>
      <c r="H500" s="157">
        <f>IF($B500="","",IF(ISNA(MATCH($B500,MASTER_JAM!$Q$5:$Q$28,0)),"?",IF(MATCH($B500,MASTER_JAM!$Q$5:$Q$28,0)&lt;=12,"DS","NS")))</f>
        <v/>
      </c>
      <c r="I500" s="157">
        <f>IFERROR(INDEX(MASTER_JAM!$B$5:$B$94,MATCH($C500,MASTER_JAM!$A$5:$A$94,0)),"")</f>
        <v/>
      </c>
      <c r="J500" s="157">
        <f>IFERROR(INDEX(MASTER_JAM!$E$5:$E$94,MATCH($D500,MASTER_JAM!$A$5:$A$94,0)),"")</f>
        <v/>
      </c>
      <c r="K500" s="158">
        <f>IFERROR(INDEX(MASTER_JAM!$J$5:$O$12,MATCH($E500,MASTER_JAM!$I$5:$I$12,0),MATCH($J500,MASTER_JAM!$J$4:$O$4,0))+0,0)</f>
        <v/>
      </c>
      <c r="L500" s="159">
        <f>N($F500)*$K500</f>
        <v/>
      </c>
      <c r="M500" s="157">
        <f>IF($E500="","",IF(OR($E500="Coal",$E500="Dirty Coal"),"MT","BCM"))</f>
        <v/>
      </c>
      <c r="N500" s="157">
        <f>IF($E500="","",IF(OR($E500="Coal",$E500="Dirty Coal"),"Coal","OB"))</f>
        <v/>
      </c>
      <c r="O500" s="157">
        <f>IF($F500="","",IF(COUNTIF(MASTER_JAM!$A$5:$A$94,$C500)=0,"Digger tidak dikenal",IF($J500="","Hauler tidak dikenal",IF($H500="?","Jam salah",IF($K500=0,"Faktor kosong",IF(SUMIFS(INPUT_DELAY!$E$5:$E$20000,INPUT_DELAY!$A$5:$A$20000,$A500,INPUT_DELAY!$B$5:$B$20000,$B500,INPUT_DELAY!$C$5:$C$20000,$C500)+SUMIFS(INPUT_DELAY!$E$5:$E$20000,INPUT_DELAY!$A$5:$A$20000,$A500,INPUT_DELAY!$B$5:$B$20000,$B500,INPUT_DELAY!$C$5:$C$20000,"SEMUA")&gt;=60,"Delay 60 mnt tapi ada ritase","OK"))))))</f>
        <v/>
      </c>
      <c r="P500" s="158">
        <f>IFERROR(INDEX(MASTER_JAM!$Z$5:$AC$10,MATCH($I500,MASTER_JAM!$Y$5:$Y$10,0),MATCH($J500,MASTER_JAM!$Z$4:$AC$4,0))+0,0)</f>
        <v/>
      </c>
      <c r="Q500" s="158">
        <f>IF($P500=0,0,$P500+IFERROR(INDEX(MASTER_JAM!$H$5:$H$94,MATCH($C500,MASTER_JAM!$A$5:$A$94,0))+0,MASTER_JAM!$AC$15)/1000*(60/MASTER_JAM!$AC$12+60/MASTER_JAM!$AC$13)+MASTER_JAM!$AC$14)</f>
        <v/>
      </c>
      <c r="R500" s="158">
        <f>IF(N($F500)=0,0,$F500/SUMIFS(INPUT_RITASE!$F$5:$F$20000,INPUT_RITASE!$A$5:$A$20000,$A500,INPUT_RITASE!$B$5:$B$20000,$B500,INPUT_RITASE!$C$5:$C$20000,$C500,INPUT_RITASE!$D$5:$D$20000,$D500))</f>
        <v/>
      </c>
      <c r="S500" s="158">
        <f>IF($Q500=0,0,$R500*$P500/$Q500)</f>
        <v/>
      </c>
    </row>
    <row r="501">
      <c r="A501" s="155" t="n">
        <v>46105</v>
      </c>
      <c r="B501" s="156" t="inlineStr">
        <is>
          <t>20-21</t>
        </is>
      </c>
      <c r="C501" s="156" t="inlineStr">
        <is>
          <t>EX-336</t>
        </is>
      </c>
      <c r="D501" s="156" t="inlineStr">
        <is>
          <t>DT-529</t>
        </is>
      </c>
      <c r="E501" s="156" t="inlineStr">
        <is>
          <t>OB</t>
        </is>
      </c>
      <c r="F501" s="156" t="n">
        <v>4</v>
      </c>
      <c r="G501" s="156" t="inlineStr"/>
      <c r="H501" s="157">
        <f>IF($B501="","",IF(ISNA(MATCH($B501,MASTER_JAM!$Q$5:$Q$28,0)),"?",IF(MATCH($B501,MASTER_JAM!$Q$5:$Q$28,0)&lt;=12,"DS","NS")))</f>
        <v/>
      </c>
      <c r="I501" s="157">
        <f>IFERROR(INDEX(MASTER_JAM!$B$5:$B$94,MATCH($C501,MASTER_JAM!$A$5:$A$94,0)),"")</f>
        <v/>
      </c>
      <c r="J501" s="157">
        <f>IFERROR(INDEX(MASTER_JAM!$E$5:$E$94,MATCH($D501,MASTER_JAM!$A$5:$A$94,0)),"")</f>
        <v/>
      </c>
      <c r="K501" s="158">
        <f>IFERROR(INDEX(MASTER_JAM!$J$5:$O$12,MATCH($E501,MASTER_JAM!$I$5:$I$12,0),MATCH($J501,MASTER_JAM!$J$4:$O$4,0))+0,0)</f>
        <v/>
      </c>
      <c r="L501" s="159">
        <f>N($F501)*$K501</f>
        <v/>
      </c>
      <c r="M501" s="157">
        <f>IF($E501="","",IF(OR($E501="Coal",$E501="Dirty Coal"),"MT","BCM"))</f>
        <v/>
      </c>
      <c r="N501" s="157">
        <f>IF($E501="","",IF(OR($E501="Coal",$E501="Dirty Coal"),"Coal","OB"))</f>
        <v/>
      </c>
      <c r="O501" s="157">
        <f>IF($F501="","",IF(COUNTIF(MASTER_JAM!$A$5:$A$94,$C501)=0,"Digger tidak dikenal",IF($J501="","Hauler tidak dikenal",IF($H501="?","Jam salah",IF($K501=0,"Faktor kosong",IF(SUMIFS(INPUT_DELAY!$E$5:$E$20000,INPUT_DELAY!$A$5:$A$20000,$A501,INPUT_DELAY!$B$5:$B$20000,$B501,INPUT_DELAY!$C$5:$C$20000,$C501)+SUMIFS(INPUT_DELAY!$E$5:$E$20000,INPUT_DELAY!$A$5:$A$20000,$A501,INPUT_DELAY!$B$5:$B$20000,$B501,INPUT_DELAY!$C$5:$C$20000,"SEMUA")&gt;=60,"Delay 60 mnt tapi ada ritase","OK"))))))</f>
        <v/>
      </c>
      <c r="P501" s="158">
        <f>IFERROR(INDEX(MASTER_JAM!$Z$5:$AC$10,MATCH($I501,MASTER_JAM!$Y$5:$Y$10,0),MATCH($J501,MASTER_JAM!$Z$4:$AC$4,0))+0,0)</f>
        <v/>
      </c>
      <c r="Q501" s="158">
        <f>IF($P501=0,0,$P501+IFERROR(INDEX(MASTER_JAM!$H$5:$H$94,MATCH($C501,MASTER_JAM!$A$5:$A$94,0))+0,MASTER_JAM!$AC$15)/1000*(60/MASTER_JAM!$AC$12+60/MASTER_JAM!$AC$13)+MASTER_JAM!$AC$14)</f>
        <v/>
      </c>
      <c r="R501" s="158">
        <f>IF(N($F501)=0,0,$F501/SUMIFS(INPUT_RITASE!$F$5:$F$20000,INPUT_RITASE!$A$5:$A$20000,$A501,INPUT_RITASE!$B$5:$B$20000,$B501,INPUT_RITASE!$C$5:$C$20000,$C501,INPUT_RITASE!$D$5:$D$20000,$D501))</f>
        <v/>
      </c>
      <c r="S501" s="158">
        <f>IF($Q501=0,0,$R501*$P501/$Q501)</f>
        <v/>
      </c>
    </row>
    <row r="502">
      <c r="A502" s="155" t="n">
        <v>46105</v>
      </c>
      <c r="B502" s="156" t="inlineStr">
        <is>
          <t>21-22</t>
        </is>
      </c>
      <c r="C502" s="156" t="inlineStr">
        <is>
          <t>EX-336</t>
        </is>
      </c>
      <c r="D502" s="156" t="inlineStr">
        <is>
          <t>DT-501</t>
        </is>
      </c>
      <c r="E502" s="156" t="inlineStr">
        <is>
          <t>OB</t>
        </is>
      </c>
      <c r="F502" s="156" t="n">
        <v>4</v>
      </c>
      <c r="G502" s="156" t="inlineStr"/>
      <c r="H502" s="157">
        <f>IF($B502="","",IF(ISNA(MATCH($B502,MASTER_JAM!$Q$5:$Q$28,0)),"?",IF(MATCH($B502,MASTER_JAM!$Q$5:$Q$28,0)&lt;=12,"DS","NS")))</f>
        <v/>
      </c>
      <c r="I502" s="157">
        <f>IFERROR(INDEX(MASTER_JAM!$B$5:$B$94,MATCH($C502,MASTER_JAM!$A$5:$A$94,0)),"")</f>
        <v/>
      </c>
      <c r="J502" s="157">
        <f>IFERROR(INDEX(MASTER_JAM!$E$5:$E$94,MATCH($D502,MASTER_JAM!$A$5:$A$94,0)),"")</f>
        <v/>
      </c>
      <c r="K502" s="158">
        <f>IFERROR(INDEX(MASTER_JAM!$J$5:$O$12,MATCH($E502,MASTER_JAM!$I$5:$I$12,0),MATCH($J502,MASTER_JAM!$J$4:$O$4,0))+0,0)</f>
        <v/>
      </c>
      <c r="L502" s="159">
        <f>N($F502)*$K502</f>
        <v/>
      </c>
      <c r="M502" s="157">
        <f>IF($E502="","",IF(OR($E502="Coal",$E502="Dirty Coal"),"MT","BCM"))</f>
        <v/>
      </c>
      <c r="N502" s="157">
        <f>IF($E502="","",IF(OR($E502="Coal",$E502="Dirty Coal"),"Coal","OB"))</f>
        <v/>
      </c>
      <c r="O502" s="157">
        <f>IF($F502="","",IF(COUNTIF(MASTER_JAM!$A$5:$A$94,$C502)=0,"Digger tidak dikenal",IF($J502="","Hauler tidak dikenal",IF($H502="?","Jam salah",IF($K502=0,"Faktor kosong",IF(SUMIFS(INPUT_DELAY!$E$5:$E$20000,INPUT_DELAY!$A$5:$A$20000,$A502,INPUT_DELAY!$B$5:$B$20000,$B502,INPUT_DELAY!$C$5:$C$20000,$C502)+SUMIFS(INPUT_DELAY!$E$5:$E$20000,INPUT_DELAY!$A$5:$A$20000,$A502,INPUT_DELAY!$B$5:$B$20000,$B502,INPUT_DELAY!$C$5:$C$20000,"SEMUA")&gt;=60,"Delay 60 mnt tapi ada ritase","OK"))))))</f>
        <v/>
      </c>
      <c r="P502" s="158">
        <f>IFERROR(INDEX(MASTER_JAM!$Z$5:$AC$10,MATCH($I502,MASTER_JAM!$Y$5:$Y$10,0),MATCH($J502,MASTER_JAM!$Z$4:$AC$4,0))+0,0)</f>
        <v/>
      </c>
      <c r="Q502" s="158">
        <f>IF($P502=0,0,$P502+IFERROR(INDEX(MASTER_JAM!$H$5:$H$94,MATCH($C502,MASTER_JAM!$A$5:$A$94,0))+0,MASTER_JAM!$AC$15)/1000*(60/MASTER_JAM!$AC$12+60/MASTER_JAM!$AC$13)+MASTER_JAM!$AC$14)</f>
        <v/>
      </c>
      <c r="R502" s="158">
        <f>IF(N($F502)=0,0,$F502/SUMIFS(INPUT_RITASE!$F$5:$F$20000,INPUT_RITASE!$A$5:$A$20000,$A502,INPUT_RITASE!$B$5:$B$20000,$B502,INPUT_RITASE!$C$5:$C$20000,$C502,INPUT_RITASE!$D$5:$D$20000,$D502))</f>
        <v/>
      </c>
      <c r="S502" s="158">
        <f>IF($Q502=0,0,$R502*$P502/$Q502)</f>
        <v/>
      </c>
    </row>
    <row r="503">
      <c r="A503" s="155" t="n">
        <v>46105</v>
      </c>
      <c r="B503" s="156" t="inlineStr">
        <is>
          <t>21-22</t>
        </is>
      </c>
      <c r="C503" s="156" t="inlineStr">
        <is>
          <t>EX-336</t>
        </is>
      </c>
      <c r="D503" s="156" t="inlineStr">
        <is>
          <t>DT-508</t>
        </is>
      </c>
      <c r="E503" s="156" t="inlineStr">
        <is>
          <t>OB</t>
        </is>
      </c>
      <c r="F503" s="156" t="n">
        <v>3</v>
      </c>
      <c r="G503" s="156" t="inlineStr"/>
      <c r="H503" s="157">
        <f>IF($B503="","",IF(ISNA(MATCH($B503,MASTER_JAM!$Q$5:$Q$28,0)),"?",IF(MATCH($B503,MASTER_JAM!$Q$5:$Q$28,0)&lt;=12,"DS","NS")))</f>
        <v/>
      </c>
      <c r="I503" s="157">
        <f>IFERROR(INDEX(MASTER_JAM!$B$5:$B$94,MATCH($C503,MASTER_JAM!$A$5:$A$94,0)),"")</f>
        <v/>
      </c>
      <c r="J503" s="157">
        <f>IFERROR(INDEX(MASTER_JAM!$E$5:$E$94,MATCH($D503,MASTER_JAM!$A$5:$A$94,0)),"")</f>
        <v/>
      </c>
      <c r="K503" s="158">
        <f>IFERROR(INDEX(MASTER_JAM!$J$5:$O$12,MATCH($E503,MASTER_JAM!$I$5:$I$12,0),MATCH($J503,MASTER_JAM!$J$4:$O$4,0))+0,0)</f>
        <v/>
      </c>
      <c r="L503" s="159">
        <f>N($F503)*$K503</f>
        <v/>
      </c>
      <c r="M503" s="157">
        <f>IF($E503="","",IF(OR($E503="Coal",$E503="Dirty Coal"),"MT","BCM"))</f>
        <v/>
      </c>
      <c r="N503" s="157">
        <f>IF($E503="","",IF(OR($E503="Coal",$E503="Dirty Coal"),"Coal","OB"))</f>
        <v/>
      </c>
      <c r="O503" s="157">
        <f>IF($F503="","",IF(COUNTIF(MASTER_JAM!$A$5:$A$94,$C503)=0,"Digger tidak dikenal",IF($J503="","Hauler tidak dikenal",IF($H503="?","Jam salah",IF($K503=0,"Faktor kosong",IF(SUMIFS(INPUT_DELAY!$E$5:$E$20000,INPUT_DELAY!$A$5:$A$20000,$A503,INPUT_DELAY!$B$5:$B$20000,$B503,INPUT_DELAY!$C$5:$C$20000,$C503)+SUMIFS(INPUT_DELAY!$E$5:$E$20000,INPUT_DELAY!$A$5:$A$20000,$A503,INPUT_DELAY!$B$5:$B$20000,$B503,INPUT_DELAY!$C$5:$C$20000,"SEMUA")&gt;=60,"Delay 60 mnt tapi ada ritase","OK"))))))</f>
        <v/>
      </c>
      <c r="P503" s="158">
        <f>IFERROR(INDEX(MASTER_JAM!$Z$5:$AC$10,MATCH($I503,MASTER_JAM!$Y$5:$Y$10,0),MATCH($J503,MASTER_JAM!$Z$4:$AC$4,0))+0,0)</f>
        <v/>
      </c>
      <c r="Q503" s="158">
        <f>IF($P503=0,0,$P503+IFERROR(INDEX(MASTER_JAM!$H$5:$H$94,MATCH($C503,MASTER_JAM!$A$5:$A$94,0))+0,MASTER_JAM!$AC$15)/1000*(60/MASTER_JAM!$AC$12+60/MASTER_JAM!$AC$13)+MASTER_JAM!$AC$14)</f>
        <v/>
      </c>
      <c r="R503" s="158">
        <f>IF(N($F503)=0,0,$F503/SUMIFS(INPUT_RITASE!$F$5:$F$20000,INPUT_RITASE!$A$5:$A$20000,$A503,INPUT_RITASE!$B$5:$B$20000,$B503,INPUT_RITASE!$C$5:$C$20000,$C503,INPUT_RITASE!$D$5:$D$20000,$D503))</f>
        <v/>
      </c>
      <c r="S503" s="158">
        <f>IF($Q503=0,0,$R503*$P503/$Q503)</f>
        <v/>
      </c>
    </row>
    <row r="504">
      <c r="A504" s="155" t="n">
        <v>46105</v>
      </c>
      <c r="B504" s="156" t="inlineStr">
        <is>
          <t>22-23</t>
        </is>
      </c>
      <c r="C504" s="156" t="inlineStr">
        <is>
          <t>EX-336</t>
        </is>
      </c>
      <c r="D504" s="156" t="inlineStr">
        <is>
          <t>DT-523</t>
        </is>
      </c>
      <c r="E504" s="156" t="inlineStr">
        <is>
          <t>OB</t>
        </is>
      </c>
      <c r="F504" s="156" t="n">
        <v>3</v>
      </c>
      <c r="G504" s="156" t="inlineStr"/>
      <c r="H504" s="157">
        <f>IF($B504="","",IF(ISNA(MATCH($B504,MASTER_JAM!$Q$5:$Q$28,0)),"?",IF(MATCH($B504,MASTER_JAM!$Q$5:$Q$28,0)&lt;=12,"DS","NS")))</f>
        <v/>
      </c>
      <c r="I504" s="157">
        <f>IFERROR(INDEX(MASTER_JAM!$B$5:$B$94,MATCH($C504,MASTER_JAM!$A$5:$A$94,0)),"")</f>
        <v/>
      </c>
      <c r="J504" s="157">
        <f>IFERROR(INDEX(MASTER_JAM!$E$5:$E$94,MATCH($D504,MASTER_JAM!$A$5:$A$94,0)),"")</f>
        <v/>
      </c>
      <c r="K504" s="158">
        <f>IFERROR(INDEX(MASTER_JAM!$J$5:$O$12,MATCH($E504,MASTER_JAM!$I$5:$I$12,0),MATCH($J504,MASTER_JAM!$J$4:$O$4,0))+0,0)</f>
        <v/>
      </c>
      <c r="L504" s="159">
        <f>N($F504)*$K504</f>
        <v/>
      </c>
      <c r="M504" s="157">
        <f>IF($E504="","",IF(OR($E504="Coal",$E504="Dirty Coal"),"MT","BCM"))</f>
        <v/>
      </c>
      <c r="N504" s="157">
        <f>IF($E504="","",IF(OR($E504="Coal",$E504="Dirty Coal"),"Coal","OB"))</f>
        <v/>
      </c>
      <c r="O504" s="157">
        <f>IF($F504="","",IF(COUNTIF(MASTER_JAM!$A$5:$A$94,$C504)=0,"Digger tidak dikenal",IF($J504="","Hauler tidak dikenal",IF($H504="?","Jam salah",IF($K504=0,"Faktor kosong",IF(SUMIFS(INPUT_DELAY!$E$5:$E$20000,INPUT_DELAY!$A$5:$A$20000,$A504,INPUT_DELAY!$B$5:$B$20000,$B504,INPUT_DELAY!$C$5:$C$20000,$C504)+SUMIFS(INPUT_DELAY!$E$5:$E$20000,INPUT_DELAY!$A$5:$A$20000,$A504,INPUT_DELAY!$B$5:$B$20000,$B504,INPUT_DELAY!$C$5:$C$20000,"SEMUA")&gt;=60,"Delay 60 mnt tapi ada ritase","OK"))))))</f>
        <v/>
      </c>
      <c r="P504" s="158">
        <f>IFERROR(INDEX(MASTER_JAM!$Z$5:$AC$10,MATCH($I504,MASTER_JAM!$Y$5:$Y$10,0),MATCH($J504,MASTER_JAM!$Z$4:$AC$4,0))+0,0)</f>
        <v/>
      </c>
      <c r="Q504" s="158">
        <f>IF($P504=0,0,$P504+IFERROR(INDEX(MASTER_JAM!$H$5:$H$94,MATCH($C504,MASTER_JAM!$A$5:$A$94,0))+0,MASTER_JAM!$AC$15)/1000*(60/MASTER_JAM!$AC$12+60/MASTER_JAM!$AC$13)+MASTER_JAM!$AC$14)</f>
        <v/>
      </c>
      <c r="R504" s="158">
        <f>IF(N($F504)=0,0,$F504/SUMIFS(INPUT_RITASE!$F$5:$F$20000,INPUT_RITASE!$A$5:$A$20000,$A504,INPUT_RITASE!$B$5:$B$20000,$B504,INPUT_RITASE!$C$5:$C$20000,$C504,INPUT_RITASE!$D$5:$D$20000,$D504))</f>
        <v/>
      </c>
      <c r="S504" s="158">
        <f>IF($Q504=0,0,$R504*$P504/$Q504)</f>
        <v/>
      </c>
    </row>
    <row r="505">
      <c r="A505" s="155" t="n">
        <v>46105</v>
      </c>
      <c r="B505" s="156" t="inlineStr">
        <is>
          <t>22-23</t>
        </is>
      </c>
      <c r="C505" s="156" t="inlineStr">
        <is>
          <t>EX-336</t>
        </is>
      </c>
      <c r="D505" s="156" t="inlineStr">
        <is>
          <t>DT-508</t>
        </is>
      </c>
      <c r="E505" s="156" t="inlineStr">
        <is>
          <t>OB</t>
        </is>
      </c>
      <c r="F505" s="156" t="n">
        <v>3</v>
      </c>
      <c r="G505" s="156" t="inlineStr"/>
      <c r="H505" s="157">
        <f>IF($B505="","",IF(ISNA(MATCH($B505,MASTER_JAM!$Q$5:$Q$28,0)),"?",IF(MATCH($B505,MASTER_JAM!$Q$5:$Q$28,0)&lt;=12,"DS","NS")))</f>
        <v/>
      </c>
      <c r="I505" s="157">
        <f>IFERROR(INDEX(MASTER_JAM!$B$5:$B$94,MATCH($C505,MASTER_JAM!$A$5:$A$94,0)),"")</f>
        <v/>
      </c>
      <c r="J505" s="157">
        <f>IFERROR(INDEX(MASTER_JAM!$E$5:$E$94,MATCH($D505,MASTER_JAM!$A$5:$A$94,0)),"")</f>
        <v/>
      </c>
      <c r="K505" s="158">
        <f>IFERROR(INDEX(MASTER_JAM!$J$5:$O$12,MATCH($E505,MASTER_JAM!$I$5:$I$12,0),MATCH($J505,MASTER_JAM!$J$4:$O$4,0))+0,0)</f>
        <v/>
      </c>
      <c r="L505" s="159">
        <f>N($F505)*$K505</f>
        <v/>
      </c>
      <c r="M505" s="157">
        <f>IF($E505="","",IF(OR($E505="Coal",$E505="Dirty Coal"),"MT","BCM"))</f>
        <v/>
      </c>
      <c r="N505" s="157">
        <f>IF($E505="","",IF(OR($E505="Coal",$E505="Dirty Coal"),"Coal","OB"))</f>
        <v/>
      </c>
      <c r="O505" s="157">
        <f>IF($F505="","",IF(COUNTIF(MASTER_JAM!$A$5:$A$94,$C505)=0,"Digger tidak dikenal",IF($J505="","Hauler tidak dikenal",IF($H505="?","Jam salah",IF($K505=0,"Faktor kosong",IF(SUMIFS(INPUT_DELAY!$E$5:$E$20000,INPUT_DELAY!$A$5:$A$20000,$A505,INPUT_DELAY!$B$5:$B$20000,$B505,INPUT_DELAY!$C$5:$C$20000,$C505)+SUMIFS(INPUT_DELAY!$E$5:$E$20000,INPUT_DELAY!$A$5:$A$20000,$A505,INPUT_DELAY!$B$5:$B$20000,$B505,INPUT_DELAY!$C$5:$C$20000,"SEMUA")&gt;=60,"Delay 60 mnt tapi ada ritase","OK"))))))</f>
        <v/>
      </c>
      <c r="P505" s="158">
        <f>IFERROR(INDEX(MASTER_JAM!$Z$5:$AC$10,MATCH($I505,MASTER_JAM!$Y$5:$Y$10,0),MATCH($J505,MASTER_JAM!$Z$4:$AC$4,0))+0,0)</f>
        <v/>
      </c>
      <c r="Q505" s="158">
        <f>IF($P505=0,0,$P505+IFERROR(INDEX(MASTER_JAM!$H$5:$H$94,MATCH($C505,MASTER_JAM!$A$5:$A$94,0))+0,MASTER_JAM!$AC$15)/1000*(60/MASTER_JAM!$AC$12+60/MASTER_JAM!$AC$13)+MASTER_JAM!$AC$14)</f>
        <v/>
      </c>
      <c r="R505" s="158">
        <f>IF(N($F505)=0,0,$F505/SUMIFS(INPUT_RITASE!$F$5:$F$20000,INPUT_RITASE!$A$5:$A$20000,$A505,INPUT_RITASE!$B$5:$B$20000,$B505,INPUT_RITASE!$C$5:$C$20000,$C505,INPUT_RITASE!$D$5:$D$20000,$D505))</f>
        <v/>
      </c>
      <c r="S505" s="158">
        <f>IF($Q505=0,0,$R505*$P505/$Q505)</f>
        <v/>
      </c>
    </row>
    <row r="506">
      <c r="A506" s="155" t="n">
        <v>46105</v>
      </c>
      <c r="B506" s="156" t="inlineStr">
        <is>
          <t>23-24</t>
        </is>
      </c>
      <c r="C506" s="156" t="inlineStr">
        <is>
          <t>EX-336</t>
        </is>
      </c>
      <c r="D506" s="156" t="inlineStr">
        <is>
          <t>DT-527</t>
        </is>
      </c>
      <c r="E506" s="156" t="inlineStr">
        <is>
          <t>Coal</t>
        </is>
      </c>
      <c r="F506" s="156" t="n">
        <v>4</v>
      </c>
      <c r="G506" s="156" t="inlineStr"/>
      <c r="H506" s="157">
        <f>IF($B506="","",IF(ISNA(MATCH($B506,MASTER_JAM!$Q$5:$Q$28,0)),"?",IF(MATCH($B506,MASTER_JAM!$Q$5:$Q$28,0)&lt;=12,"DS","NS")))</f>
        <v/>
      </c>
      <c r="I506" s="157">
        <f>IFERROR(INDEX(MASTER_JAM!$B$5:$B$94,MATCH($C506,MASTER_JAM!$A$5:$A$94,0)),"")</f>
        <v/>
      </c>
      <c r="J506" s="157">
        <f>IFERROR(INDEX(MASTER_JAM!$E$5:$E$94,MATCH($D506,MASTER_JAM!$A$5:$A$94,0)),"")</f>
        <v/>
      </c>
      <c r="K506" s="158">
        <f>IFERROR(INDEX(MASTER_JAM!$J$5:$O$12,MATCH($E506,MASTER_JAM!$I$5:$I$12,0),MATCH($J506,MASTER_JAM!$J$4:$O$4,0))+0,0)</f>
        <v/>
      </c>
      <c r="L506" s="159">
        <f>N($F506)*$K506</f>
        <v/>
      </c>
      <c r="M506" s="157">
        <f>IF($E506="","",IF(OR($E506="Coal",$E506="Dirty Coal"),"MT","BCM"))</f>
        <v/>
      </c>
      <c r="N506" s="157">
        <f>IF($E506="","",IF(OR($E506="Coal",$E506="Dirty Coal"),"Coal","OB"))</f>
        <v/>
      </c>
      <c r="O506" s="157">
        <f>IF($F506="","",IF(COUNTIF(MASTER_JAM!$A$5:$A$94,$C506)=0,"Digger tidak dikenal",IF($J506="","Hauler tidak dikenal",IF($H506="?","Jam salah",IF($K506=0,"Faktor kosong",IF(SUMIFS(INPUT_DELAY!$E$5:$E$20000,INPUT_DELAY!$A$5:$A$20000,$A506,INPUT_DELAY!$B$5:$B$20000,$B506,INPUT_DELAY!$C$5:$C$20000,$C506)+SUMIFS(INPUT_DELAY!$E$5:$E$20000,INPUT_DELAY!$A$5:$A$20000,$A506,INPUT_DELAY!$B$5:$B$20000,$B506,INPUT_DELAY!$C$5:$C$20000,"SEMUA")&gt;=60,"Delay 60 mnt tapi ada ritase","OK"))))))</f>
        <v/>
      </c>
      <c r="P506" s="158">
        <f>IFERROR(INDEX(MASTER_JAM!$Z$5:$AC$10,MATCH($I506,MASTER_JAM!$Y$5:$Y$10,0),MATCH($J506,MASTER_JAM!$Z$4:$AC$4,0))+0,0)</f>
        <v/>
      </c>
      <c r="Q506" s="158">
        <f>IF($P506=0,0,$P506+IFERROR(INDEX(MASTER_JAM!$H$5:$H$94,MATCH($C506,MASTER_JAM!$A$5:$A$94,0))+0,MASTER_JAM!$AC$15)/1000*(60/MASTER_JAM!$AC$12+60/MASTER_JAM!$AC$13)+MASTER_JAM!$AC$14)</f>
        <v/>
      </c>
      <c r="R506" s="158">
        <f>IF(N($F506)=0,0,$F506/SUMIFS(INPUT_RITASE!$F$5:$F$20000,INPUT_RITASE!$A$5:$A$20000,$A506,INPUT_RITASE!$B$5:$B$20000,$B506,INPUT_RITASE!$C$5:$C$20000,$C506,INPUT_RITASE!$D$5:$D$20000,$D506))</f>
        <v/>
      </c>
      <c r="S506" s="158">
        <f>IF($Q506=0,0,$R506*$P506/$Q506)</f>
        <v/>
      </c>
    </row>
    <row r="507">
      <c r="A507" s="155" t="n">
        <v>46105</v>
      </c>
      <c r="B507" s="156" t="inlineStr">
        <is>
          <t>23-24</t>
        </is>
      </c>
      <c r="C507" s="156" t="inlineStr">
        <is>
          <t>EX-336</t>
        </is>
      </c>
      <c r="D507" s="156" t="inlineStr">
        <is>
          <t>DT-505</t>
        </is>
      </c>
      <c r="E507" s="156" t="inlineStr">
        <is>
          <t>Coal</t>
        </is>
      </c>
      <c r="F507" s="156" t="n">
        <v>3</v>
      </c>
      <c r="G507" s="156" t="inlineStr"/>
      <c r="H507" s="157">
        <f>IF($B507="","",IF(ISNA(MATCH($B507,MASTER_JAM!$Q$5:$Q$28,0)),"?",IF(MATCH($B507,MASTER_JAM!$Q$5:$Q$28,0)&lt;=12,"DS","NS")))</f>
        <v/>
      </c>
      <c r="I507" s="157">
        <f>IFERROR(INDEX(MASTER_JAM!$B$5:$B$94,MATCH($C507,MASTER_JAM!$A$5:$A$94,0)),"")</f>
        <v/>
      </c>
      <c r="J507" s="157">
        <f>IFERROR(INDEX(MASTER_JAM!$E$5:$E$94,MATCH($D507,MASTER_JAM!$A$5:$A$94,0)),"")</f>
        <v/>
      </c>
      <c r="K507" s="158">
        <f>IFERROR(INDEX(MASTER_JAM!$J$5:$O$12,MATCH($E507,MASTER_JAM!$I$5:$I$12,0),MATCH($J507,MASTER_JAM!$J$4:$O$4,0))+0,0)</f>
        <v/>
      </c>
      <c r="L507" s="159">
        <f>N($F507)*$K507</f>
        <v/>
      </c>
      <c r="M507" s="157">
        <f>IF($E507="","",IF(OR($E507="Coal",$E507="Dirty Coal"),"MT","BCM"))</f>
        <v/>
      </c>
      <c r="N507" s="157">
        <f>IF($E507="","",IF(OR($E507="Coal",$E507="Dirty Coal"),"Coal","OB"))</f>
        <v/>
      </c>
      <c r="O507" s="157">
        <f>IF($F507="","",IF(COUNTIF(MASTER_JAM!$A$5:$A$94,$C507)=0,"Digger tidak dikenal",IF($J507="","Hauler tidak dikenal",IF($H507="?","Jam salah",IF($K507=0,"Faktor kosong",IF(SUMIFS(INPUT_DELAY!$E$5:$E$20000,INPUT_DELAY!$A$5:$A$20000,$A507,INPUT_DELAY!$B$5:$B$20000,$B507,INPUT_DELAY!$C$5:$C$20000,$C507)+SUMIFS(INPUT_DELAY!$E$5:$E$20000,INPUT_DELAY!$A$5:$A$20000,$A507,INPUT_DELAY!$B$5:$B$20000,$B507,INPUT_DELAY!$C$5:$C$20000,"SEMUA")&gt;=60,"Delay 60 mnt tapi ada ritase","OK"))))))</f>
        <v/>
      </c>
      <c r="P507" s="158">
        <f>IFERROR(INDEX(MASTER_JAM!$Z$5:$AC$10,MATCH($I507,MASTER_JAM!$Y$5:$Y$10,0),MATCH($J507,MASTER_JAM!$Z$4:$AC$4,0))+0,0)</f>
        <v/>
      </c>
      <c r="Q507" s="158">
        <f>IF($P507=0,0,$P507+IFERROR(INDEX(MASTER_JAM!$H$5:$H$94,MATCH($C507,MASTER_JAM!$A$5:$A$94,0))+0,MASTER_JAM!$AC$15)/1000*(60/MASTER_JAM!$AC$12+60/MASTER_JAM!$AC$13)+MASTER_JAM!$AC$14)</f>
        <v/>
      </c>
      <c r="R507" s="158">
        <f>IF(N($F507)=0,0,$F507/SUMIFS(INPUT_RITASE!$F$5:$F$20000,INPUT_RITASE!$A$5:$A$20000,$A507,INPUT_RITASE!$B$5:$B$20000,$B507,INPUT_RITASE!$C$5:$C$20000,$C507,INPUT_RITASE!$D$5:$D$20000,$D507))</f>
        <v/>
      </c>
      <c r="S507" s="158">
        <f>IF($Q507=0,0,$R507*$P507/$Q507)</f>
        <v/>
      </c>
    </row>
    <row r="508">
      <c r="A508" s="155" t="n">
        <v>46105</v>
      </c>
      <c r="B508" s="156" t="inlineStr">
        <is>
          <t>01-02</t>
        </is>
      </c>
      <c r="C508" s="156" t="inlineStr">
        <is>
          <t>EX-336</t>
        </is>
      </c>
      <c r="D508" s="156" t="inlineStr">
        <is>
          <t>DT-520</t>
        </is>
      </c>
      <c r="E508" s="156" t="inlineStr">
        <is>
          <t>Coal</t>
        </is>
      </c>
      <c r="F508" s="156" t="n">
        <v>4</v>
      </c>
      <c r="G508" s="156" t="inlineStr"/>
      <c r="H508" s="157">
        <f>IF($B508="","",IF(ISNA(MATCH($B508,MASTER_JAM!$Q$5:$Q$28,0)),"?",IF(MATCH($B508,MASTER_JAM!$Q$5:$Q$28,0)&lt;=12,"DS","NS")))</f>
        <v/>
      </c>
      <c r="I508" s="157">
        <f>IFERROR(INDEX(MASTER_JAM!$B$5:$B$94,MATCH($C508,MASTER_JAM!$A$5:$A$94,0)),"")</f>
        <v/>
      </c>
      <c r="J508" s="157">
        <f>IFERROR(INDEX(MASTER_JAM!$E$5:$E$94,MATCH($D508,MASTER_JAM!$A$5:$A$94,0)),"")</f>
        <v/>
      </c>
      <c r="K508" s="158">
        <f>IFERROR(INDEX(MASTER_JAM!$J$5:$O$12,MATCH($E508,MASTER_JAM!$I$5:$I$12,0),MATCH($J508,MASTER_JAM!$J$4:$O$4,0))+0,0)</f>
        <v/>
      </c>
      <c r="L508" s="159">
        <f>N($F508)*$K508</f>
        <v/>
      </c>
      <c r="M508" s="157">
        <f>IF($E508="","",IF(OR($E508="Coal",$E508="Dirty Coal"),"MT","BCM"))</f>
        <v/>
      </c>
      <c r="N508" s="157">
        <f>IF($E508="","",IF(OR($E508="Coal",$E508="Dirty Coal"),"Coal","OB"))</f>
        <v/>
      </c>
      <c r="O508" s="157">
        <f>IF($F508="","",IF(COUNTIF(MASTER_JAM!$A$5:$A$94,$C508)=0,"Digger tidak dikenal",IF($J508="","Hauler tidak dikenal",IF($H508="?","Jam salah",IF($K508=0,"Faktor kosong",IF(SUMIFS(INPUT_DELAY!$E$5:$E$20000,INPUT_DELAY!$A$5:$A$20000,$A508,INPUT_DELAY!$B$5:$B$20000,$B508,INPUT_DELAY!$C$5:$C$20000,$C508)+SUMIFS(INPUT_DELAY!$E$5:$E$20000,INPUT_DELAY!$A$5:$A$20000,$A508,INPUT_DELAY!$B$5:$B$20000,$B508,INPUT_DELAY!$C$5:$C$20000,"SEMUA")&gt;=60,"Delay 60 mnt tapi ada ritase","OK"))))))</f>
        <v/>
      </c>
      <c r="P508" s="158">
        <f>IFERROR(INDEX(MASTER_JAM!$Z$5:$AC$10,MATCH($I508,MASTER_JAM!$Y$5:$Y$10,0),MATCH($J508,MASTER_JAM!$Z$4:$AC$4,0))+0,0)</f>
        <v/>
      </c>
      <c r="Q508" s="158">
        <f>IF($P508=0,0,$P508+IFERROR(INDEX(MASTER_JAM!$H$5:$H$94,MATCH($C508,MASTER_JAM!$A$5:$A$94,0))+0,MASTER_JAM!$AC$15)/1000*(60/MASTER_JAM!$AC$12+60/MASTER_JAM!$AC$13)+MASTER_JAM!$AC$14)</f>
        <v/>
      </c>
      <c r="R508" s="158">
        <f>IF(N($F508)=0,0,$F508/SUMIFS(INPUT_RITASE!$F$5:$F$20000,INPUT_RITASE!$A$5:$A$20000,$A508,INPUT_RITASE!$B$5:$B$20000,$B508,INPUT_RITASE!$C$5:$C$20000,$C508,INPUT_RITASE!$D$5:$D$20000,$D508))</f>
        <v/>
      </c>
      <c r="S508" s="158">
        <f>IF($Q508=0,0,$R508*$P508/$Q508)</f>
        <v/>
      </c>
    </row>
    <row r="509">
      <c r="A509" s="155" t="n">
        <v>46105</v>
      </c>
      <c r="B509" s="156" t="inlineStr">
        <is>
          <t>01-02</t>
        </is>
      </c>
      <c r="C509" s="156" t="inlineStr">
        <is>
          <t>EX-336</t>
        </is>
      </c>
      <c r="D509" s="156" t="inlineStr">
        <is>
          <t>DT-521</t>
        </is>
      </c>
      <c r="E509" s="156" t="inlineStr">
        <is>
          <t>Coal</t>
        </is>
      </c>
      <c r="F509" s="156" t="n">
        <v>3</v>
      </c>
      <c r="G509" s="156" t="inlineStr"/>
      <c r="H509" s="157">
        <f>IF($B509="","",IF(ISNA(MATCH($B509,MASTER_JAM!$Q$5:$Q$28,0)),"?",IF(MATCH($B509,MASTER_JAM!$Q$5:$Q$28,0)&lt;=12,"DS","NS")))</f>
        <v/>
      </c>
      <c r="I509" s="157">
        <f>IFERROR(INDEX(MASTER_JAM!$B$5:$B$94,MATCH($C509,MASTER_JAM!$A$5:$A$94,0)),"")</f>
        <v/>
      </c>
      <c r="J509" s="157">
        <f>IFERROR(INDEX(MASTER_JAM!$E$5:$E$94,MATCH($D509,MASTER_JAM!$A$5:$A$94,0)),"")</f>
        <v/>
      </c>
      <c r="K509" s="158">
        <f>IFERROR(INDEX(MASTER_JAM!$J$5:$O$12,MATCH($E509,MASTER_JAM!$I$5:$I$12,0),MATCH($J509,MASTER_JAM!$J$4:$O$4,0))+0,0)</f>
        <v/>
      </c>
      <c r="L509" s="159">
        <f>N($F509)*$K509</f>
        <v/>
      </c>
      <c r="M509" s="157">
        <f>IF($E509="","",IF(OR($E509="Coal",$E509="Dirty Coal"),"MT","BCM"))</f>
        <v/>
      </c>
      <c r="N509" s="157">
        <f>IF($E509="","",IF(OR($E509="Coal",$E509="Dirty Coal"),"Coal","OB"))</f>
        <v/>
      </c>
      <c r="O509" s="157">
        <f>IF($F509="","",IF(COUNTIF(MASTER_JAM!$A$5:$A$94,$C509)=0,"Digger tidak dikenal",IF($J509="","Hauler tidak dikenal",IF($H509="?","Jam salah",IF($K509=0,"Faktor kosong",IF(SUMIFS(INPUT_DELAY!$E$5:$E$20000,INPUT_DELAY!$A$5:$A$20000,$A509,INPUT_DELAY!$B$5:$B$20000,$B509,INPUT_DELAY!$C$5:$C$20000,$C509)+SUMIFS(INPUT_DELAY!$E$5:$E$20000,INPUT_DELAY!$A$5:$A$20000,$A509,INPUT_DELAY!$B$5:$B$20000,$B509,INPUT_DELAY!$C$5:$C$20000,"SEMUA")&gt;=60,"Delay 60 mnt tapi ada ritase","OK"))))))</f>
        <v/>
      </c>
      <c r="P509" s="158">
        <f>IFERROR(INDEX(MASTER_JAM!$Z$5:$AC$10,MATCH($I509,MASTER_JAM!$Y$5:$Y$10,0),MATCH($J509,MASTER_JAM!$Z$4:$AC$4,0))+0,0)</f>
        <v/>
      </c>
      <c r="Q509" s="158">
        <f>IF($P509=0,0,$P509+IFERROR(INDEX(MASTER_JAM!$H$5:$H$94,MATCH($C509,MASTER_JAM!$A$5:$A$94,0))+0,MASTER_JAM!$AC$15)/1000*(60/MASTER_JAM!$AC$12+60/MASTER_JAM!$AC$13)+MASTER_JAM!$AC$14)</f>
        <v/>
      </c>
      <c r="R509" s="158">
        <f>IF(N($F509)=0,0,$F509/SUMIFS(INPUT_RITASE!$F$5:$F$20000,INPUT_RITASE!$A$5:$A$20000,$A509,INPUT_RITASE!$B$5:$B$20000,$B509,INPUT_RITASE!$C$5:$C$20000,$C509,INPUT_RITASE!$D$5:$D$20000,$D509))</f>
        <v/>
      </c>
      <c r="S509" s="158">
        <f>IF($Q509=0,0,$R509*$P509/$Q509)</f>
        <v/>
      </c>
    </row>
    <row r="510">
      <c r="A510" s="155" t="n">
        <v>46105</v>
      </c>
      <c r="B510" s="156" t="inlineStr">
        <is>
          <t>02-03</t>
        </is>
      </c>
      <c r="C510" s="156" t="inlineStr">
        <is>
          <t>EX-336</t>
        </is>
      </c>
      <c r="D510" s="156" t="inlineStr">
        <is>
          <t>DT-506</t>
        </is>
      </c>
      <c r="E510" s="156" t="inlineStr">
        <is>
          <t>Coal</t>
        </is>
      </c>
      <c r="F510" s="156" t="n">
        <v>4</v>
      </c>
      <c r="G510" s="156" t="inlineStr"/>
      <c r="H510" s="157">
        <f>IF($B510="","",IF(ISNA(MATCH($B510,MASTER_JAM!$Q$5:$Q$28,0)),"?",IF(MATCH($B510,MASTER_JAM!$Q$5:$Q$28,0)&lt;=12,"DS","NS")))</f>
        <v/>
      </c>
      <c r="I510" s="157">
        <f>IFERROR(INDEX(MASTER_JAM!$B$5:$B$94,MATCH($C510,MASTER_JAM!$A$5:$A$94,0)),"")</f>
        <v/>
      </c>
      <c r="J510" s="157">
        <f>IFERROR(INDEX(MASTER_JAM!$E$5:$E$94,MATCH($D510,MASTER_JAM!$A$5:$A$94,0)),"")</f>
        <v/>
      </c>
      <c r="K510" s="158">
        <f>IFERROR(INDEX(MASTER_JAM!$J$5:$O$12,MATCH($E510,MASTER_JAM!$I$5:$I$12,0),MATCH($J510,MASTER_JAM!$J$4:$O$4,0))+0,0)</f>
        <v/>
      </c>
      <c r="L510" s="159">
        <f>N($F510)*$K510</f>
        <v/>
      </c>
      <c r="M510" s="157">
        <f>IF($E510="","",IF(OR($E510="Coal",$E510="Dirty Coal"),"MT","BCM"))</f>
        <v/>
      </c>
      <c r="N510" s="157">
        <f>IF($E510="","",IF(OR($E510="Coal",$E510="Dirty Coal"),"Coal","OB"))</f>
        <v/>
      </c>
      <c r="O510" s="157">
        <f>IF($F510="","",IF(COUNTIF(MASTER_JAM!$A$5:$A$94,$C510)=0,"Digger tidak dikenal",IF($J510="","Hauler tidak dikenal",IF($H510="?","Jam salah",IF($K510=0,"Faktor kosong",IF(SUMIFS(INPUT_DELAY!$E$5:$E$20000,INPUT_DELAY!$A$5:$A$20000,$A510,INPUT_DELAY!$B$5:$B$20000,$B510,INPUT_DELAY!$C$5:$C$20000,$C510)+SUMIFS(INPUT_DELAY!$E$5:$E$20000,INPUT_DELAY!$A$5:$A$20000,$A510,INPUT_DELAY!$B$5:$B$20000,$B510,INPUT_DELAY!$C$5:$C$20000,"SEMUA")&gt;=60,"Delay 60 mnt tapi ada ritase","OK"))))))</f>
        <v/>
      </c>
      <c r="P510" s="158">
        <f>IFERROR(INDEX(MASTER_JAM!$Z$5:$AC$10,MATCH($I510,MASTER_JAM!$Y$5:$Y$10,0),MATCH($J510,MASTER_JAM!$Z$4:$AC$4,0))+0,0)</f>
        <v/>
      </c>
      <c r="Q510" s="158">
        <f>IF($P510=0,0,$P510+IFERROR(INDEX(MASTER_JAM!$H$5:$H$94,MATCH($C510,MASTER_JAM!$A$5:$A$94,0))+0,MASTER_JAM!$AC$15)/1000*(60/MASTER_JAM!$AC$12+60/MASTER_JAM!$AC$13)+MASTER_JAM!$AC$14)</f>
        <v/>
      </c>
      <c r="R510" s="158">
        <f>IF(N($F510)=0,0,$F510/SUMIFS(INPUT_RITASE!$F$5:$F$20000,INPUT_RITASE!$A$5:$A$20000,$A510,INPUT_RITASE!$B$5:$B$20000,$B510,INPUT_RITASE!$C$5:$C$20000,$C510,INPUT_RITASE!$D$5:$D$20000,$D510))</f>
        <v/>
      </c>
      <c r="S510" s="158">
        <f>IF($Q510=0,0,$R510*$P510/$Q510)</f>
        <v/>
      </c>
    </row>
    <row r="511">
      <c r="A511" s="155" t="n">
        <v>46105</v>
      </c>
      <c r="B511" s="156" t="inlineStr">
        <is>
          <t>02-03</t>
        </is>
      </c>
      <c r="C511" s="156" t="inlineStr">
        <is>
          <t>EX-336</t>
        </is>
      </c>
      <c r="D511" s="156" t="inlineStr">
        <is>
          <t>DT-503</t>
        </is>
      </c>
      <c r="E511" s="156" t="inlineStr">
        <is>
          <t>Coal</t>
        </is>
      </c>
      <c r="F511" s="156" t="n">
        <v>4</v>
      </c>
      <c r="G511" s="156" t="inlineStr"/>
      <c r="H511" s="157">
        <f>IF($B511="","",IF(ISNA(MATCH($B511,MASTER_JAM!$Q$5:$Q$28,0)),"?",IF(MATCH($B511,MASTER_JAM!$Q$5:$Q$28,0)&lt;=12,"DS","NS")))</f>
        <v/>
      </c>
      <c r="I511" s="157">
        <f>IFERROR(INDEX(MASTER_JAM!$B$5:$B$94,MATCH($C511,MASTER_JAM!$A$5:$A$94,0)),"")</f>
        <v/>
      </c>
      <c r="J511" s="157">
        <f>IFERROR(INDEX(MASTER_JAM!$E$5:$E$94,MATCH($D511,MASTER_JAM!$A$5:$A$94,0)),"")</f>
        <v/>
      </c>
      <c r="K511" s="158">
        <f>IFERROR(INDEX(MASTER_JAM!$J$5:$O$12,MATCH($E511,MASTER_JAM!$I$5:$I$12,0),MATCH($J511,MASTER_JAM!$J$4:$O$4,0))+0,0)</f>
        <v/>
      </c>
      <c r="L511" s="159">
        <f>N($F511)*$K511</f>
        <v/>
      </c>
      <c r="M511" s="157">
        <f>IF($E511="","",IF(OR($E511="Coal",$E511="Dirty Coal"),"MT","BCM"))</f>
        <v/>
      </c>
      <c r="N511" s="157">
        <f>IF($E511="","",IF(OR($E511="Coal",$E511="Dirty Coal"),"Coal","OB"))</f>
        <v/>
      </c>
      <c r="O511" s="157">
        <f>IF($F511="","",IF(COUNTIF(MASTER_JAM!$A$5:$A$94,$C511)=0,"Digger tidak dikenal",IF($J511="","Hauler tidak dikenal",IF($H511="?","Jam salah",IF($K511=0,"Faktor kosong",IF(SUMIFS(INPUT_DELAY!$E$5:$E$20000,INPUT_DELAY!$A$5:$A$20000,$A511,INPUT_DELAY!$B$5:$B$20000,$B511,INPUT_DELAY!$C$5:$C$20000,$C511)+SUMIFS(INPUT_DELAY!$E$5:$E$20000,INPUT_DELAY!$A$5:$A$20000,$A511,INPUT_DELAY!$B$5:$B$20000,$B511,INPUT_DELAY!$C$5:$C$20000,"SEMUA")&gt;=60,"Delay 60 mnt tapi ada ritase","OK"))))))</f>
        <v/>
      </c>
      <c r="P511" s="158">
        <f>IFERROR(INDEX(MASTER_JAM!$Z$5:$AC$10,MATCH($I511,MASTER_JAM!$Y$5:$Y$10,0),MATCH($J511,MASTER_JAM!$Z$4:$AC$4,0))+0,0)</f>
        <v/>
      </c>
      <c r="Q511" s="158">
        <f>IF($P511=0,0,$P511+IFERROR(INDEX(MASTER_JAM!$H$5:$H$94,MATCH($C511,MASTER_JAM!$A$5:$A$94,0))+0,MASTER_JAM!$AC$15)/1000*(60/MASTER_JAM!$AC$12+60/MASTER_JAM!$AC$13)+MASTER_JAM!$AC$14)</f>
        <v/>
      </c>
      <c r="R511" s="158">
        <f>IF(N($F511)=0,0,$F511/SUMIFS(INPUT_RITASE!$F$5:$F$20000,INPUT_RITASE!$A$5:$A$20000,$A511,INPUT_RITASE!$B$5:$B$20000,$B511,INPUT_RITASE!$C$5:$C$20000,$C511,INPUT_RITASE!$D$5:$D$20000,$D511))</f>
        <v/>
      </c>
      <c r="S511" s="158">
        <f>IF($Q511=0,0,$R511*$P511/$Q511)</f>
        <v/>
      </c>
    </row>
    <row r="512">
      <c r="A512" s="155" t="n">
        <v>46105</v>
      </c>
      <c r="B512" s="156" t="inlineStr">
        <is>
          <t>03-04</t>
        </is>
      </c>
      <c r="C512" s="156" t="inlineStr">
        <is>
          <t>EX-336</t>
        </is>
      </c>
      <c r="D512" s="156" t="inlineStr">
        <is>
          <t>DT-501</t>
        </is>
      </c>
      <c r="E512" s="156" t="inlineStr">
        <is>
          <t>Coal</t>
        </is>
      </c>
      <c r="F512" s="156" t="n">
        <v>4</v>
      </c>
      <c r="G512" s="156" t="inlineStr"/>
      <c r="H512" s="157">
        <f>IF($B512="","",IF(ISNA(MATCH($B512,MASTER_JAM!$Q$5:$Q$28,0)),"?",IF(MATCH($B512,MASTER_JAM!$Q$5:$Q$28,0)&lt;=12,"DS","NS")))</f>
        <v/>
      </c>
      <c r="I512" s="157">
        <f>IFERROR(INDEX(MASTER_JAM!$B$5:$B$94,MATCH($C512,MASTER_JAM!$A$5:$A$94,0)),"")</f>
        <v/>
      </c>
      <c r="J512" s="157">
        <f>IFERROR(INDEX(MASTER_JAM!$E$5:$E$94,MATCH($D512,MASTER_JAM!$A$5:$A$94,0)),"")</f>
        <v/>
      </c>
      <c r="K512" s="158">
        <f>IFERROR(INDEX(MASTER_JAM!$J$5:$O$12,MATCH($E512,MASTER_JAM!$I$5:$I$12,0),MATCH($J512,MASTER_JAM!$J$4:$O$4,0))+0,0)</f>
        <v/>
      </c>
      <c r="L512" s="159">
        <f>N($F512)*$K512</f>
        <v/>
      </c>
      <c r="M512" s="157">
        <f>IF($E512="","",IF(OR($E512="Coal",$E512="Dirty Coal"),"MT","BCM"))</f>
        <v/>
      </c>
      <c r="N512" s="157">
        <f>IF($E512="","",IF(OR($E512="Coal",$E512="Dirty Coal"),"Coal","OB"))</f>
        <v/>
      </c>
      <c r="O512" s="157">
        <f>IF($F512="","",IF(COUNTIF(MASTER_JAM!$A$5:$A$94,$C512)=0,"Digger tidak dikenal",IF($J512="","Hauler tidak dikenal",IF($H512="?","Jam salah",IF($K512=0,"Faktor kosong",IF(SUMIFS(INPUT_DELAY!$E$5:$E$20000,INPUT_DELAY!$A$5:$A$20000,$A512,INPUT_DELAY!$B$5:$B$20000,$B512,INPUT_DELAY!$C$5:$C$20000,$C512)+SUMIFS(INPUT_DELAY!$E$5:$E$20000,INPUT_DELAY!$A$5:$A$20000,$A512,INPUT_DELAY!$B$5:$B$20000,$B512,INPUT_DELAY!$C$5:$C$20000,"SEMUA")&gt;=60,"Delay 60 mnt tapi ada ritase","OK"))))))</f>
        <v/>
      </c>
      <c r="P512" s="158">
        <f>IFERROR(INDEX(MASTER_JAM!$Z$5:$AC$10,MATCH($I512,MASTER_JAM!$Y$5:$Y$10,0),MATCH($J512,MASTER_JAM!$Z$4:$AC$4,0))+0,0)</f>
        <v/>
      </c>
      <c r="Q512" s="158">
        <f>IF($P512=0,0,$P512+IFERROR(INDEX(MASTER_JAM!$H$5:$H$94,MATCH($C512,MASTER_JAM!$A$5:$A$94,0))+0,MASTER_JAM!$AC$15)/1000*(60/MASTER_JAM!$AC$12+60/MASTER_JAM!$AC$13)+MASTER_JAM!$AC$14)</f>
        <v/>
      </c>
      <c r="R512" s="158">
        <f>IF(N($F512)=0,0,$F512/SUMIFS(INPUT_RITASE!$F$5:$F$20000,INPUT_RITASE!$A$5:$A$20000,$A512,INPUT_RITASE!$B$5:$B$20000,$B512,INPUT_RITASE!$C$5:$C$20000,$C512,INPUT_RITASE!$D$5:$D$20000,$D512))</f>
        <v/>
      </c>
      <c r="S512" s="158">
        <f>IF($Q512=0,0,$R512*$P512/$Q512)</f>
        <v/>
      </c>
    </row>
    <row r="513">
      <c r="A513" s="155" t="n">
        <v>46105</v>
      </c>
      <c r="B513" s="156" t="inlineStr">
        <is>
          <t>03-04</t>
        </is>
      </c>
      <c r="C513" s="156" t="inlineStr">
        <is>
          <t>EX-336</t>
        </is>
      </c>
      <c r="D513" s="156" t="inlineStr">
        <is>
          <t>DT-510</t>
        </is>
      </c>
      <c r="E513" s="156" t="inlineStr">
        <is>
          <t>Coal</t>
        </is>
      </c>
      <c r="F513" s="156" t="n">
        <v>3</v>
      </c>
      <c r="G513" s="156" t="inlineStr"/>
      <c r="H513" s="157">
        <f>IF($B513="","",IF(ISNA(MATCH($B513,MASTER_JAM!$Q$5:$Q$28,0)),"?",IF(MATCH($B513,MASTER_JAM!$Q$5:$Q$28,0)&lt;=12,"DS","NS")))</f>
        <v/>
      </c>
      <c r="I513" s="157">
        <f>IFERROR(INDEX(MASTER_JAM!$B$5:$B$94,MATCH($C513,MASTER_JAM!$A$5:$A$94,0)),"")</f>
        <v/>
      </c>
      <c r="J513" s="157">
        <f>IFERROR(INDEX(MASTER_JAM!$E$5:$E$94,MATCH($D513,MASTER_JAM!$A$5:$A$94,0)),"")</f>
        <v/>
      </c>
      <c r="K513" s="158">
        <f>IFERROR(INDEX(MASTER_JAM!$J$5:$O$12,MATCH($E513,MASTER_JAM!$I$5:$I$12,0),MATCH($J513,MASTER_JAM!$J$4:$O$4,0))+0,0)</f>
        <v/>
      </c>
      <c r="L513" s="159">
        <f>N($F513)*$K513</f>
        <v/>
      </c>
      <c r="M513" s="157">
        <f>IF($E513="","",IF(OR($E513="Coal",$E513="Dirty Coal"),"MT","BCM"))</f>
        <v/>
      </c>
      <c r="N513" s="157">
        <f>IF($E513="","",IF(OR($E513="Coal",$E513="Dirty Coal"),"Coal","OB"))</f>
        <v/>
      </c>
      <c r="O513" s="157">
        <f>IF($F513="","",IF(COUNTIF(MASTER_JAM!$A$5:$A$94,$C513)=0,"Digger tidak dikenal",IF($J513="","Hauler tidak dikenal",IF($H513="?","Jam salah",IF($K513=0,"Faktor kosong",IF(SUMIFS(INPUT_DELAY!$E$5:$E$20000,INPUT_DELAY!$A$5:$A$20000,$A513,INPUT_DELAY!$B$5:$B$20000,$B513,INPUT_DELAY!$C$5:$C$20000,$C513)+SUMIFS(INPUT_DELAY!$E$5:$E$20000,INPUT_DELAY!$A$5:$A$20000,$A513,INPUT_DELAY!$B$5:$B$20000,$B513,INPUT_DELAY!$C$5:$C$20000,"SEMUA")&gt;=60,"Delay 60 mnt tapi ada ritase","OK"))))))</f>
        <v/>
      </c>
      <c r="P513" s="158">
        <f>IFERROR(INDEX(MASTER_JAM!$Z$5:$AC$10,MATCH($I513,MASTER_JAM!$Y$5:$Y$10,0),MATCH($J513,MASTER_JAM!$Z$4:$AC$4,0))+0,0)</f>
        <v/>
      </c>
      <c r="Q513" s="158">
        <f>IF($P513=0,0,$P513+IFERROR(INDEX(MASTER_JAM!$H$5:$H$94,MATCH($C513,MASTER_JAM!$A$5:$A$94,0))+0,MASTER_JAM!$AC$15)/1000*(60/MASTER_JAM!$AC$12+60/MASTER_JAM!$AC$13)+MASTER_JAM!$AC$14)</f>
        <v/>
      </c>
      <c r="R513" s="158">
        <f>IF(N($F513)=0,0,$F513/SUMIFS(INPUT_RITASE!$F$5:$F$20000,INPUT_RITASE!$A$5:$A$20000,$A513,INPUT_RITASE!$B$5:$B$20000,$B513,INPUT_RITASE!$C$5:$C$20000,$C513,INPUT_RITASE!$D$5:$D$20000,$D513))</f>
        <v/>
      </c>
      <c r="S513" s="158">
        <f>IF($Q513=0,0,$R513*$P513/$Q513)</f>
        <v/>
      </c>
    </row>
    <row r="514">
      <c r="A514" s="155" t="n">
        <v>46105</v>
      </c>
      <c r="B514" s="156" t="inlineStr">
        <is>
          <t>04-05</t>
        </is>
      </c>
      <c r="C514" s="156" t="inlineStr">
        <is>
          <t>EX-336</t>
        </is>
      </c>
      <c r="D514" s="156" t="inlineStr">
        <is>
          <t>DT-529</t>
        </is>
      </c>
      <c r="E514" s="156" t="inlineStr">
        <is>
          <t>Coal</t>
        </is>
      </c>
      <c r="F514" s="156" t="n">
        <v>3</v>
      </c>
      <c r="G514" s="156" t="inlineStr"/>
      <c r="H514" s="157">
        <f>IF($B514="","",IF(ISNA(MATCH($B514,MASTER_JAM!$Q$5:$Q$28,0)),"?",IF(MATCH($B514,MASTER_JAM!$Q$5:$Q$28,0)&lt;=12,"DS","NS")))</f>
        <v/>
      </c>
      <c r="I514" s="157">
        <f>IFERROR(INDEX(MASTER_JAM!$B$5:$B$94,MATCH($C514,MASTER_JAM!$A$5:$A$94,0)),"")</f>
        <v/>
      </c>
      <c r="J514" s="157">
        <f>IFERROR(INDEX(MASTER_JAM!$E$5:$E$94,MATCH($D514,MASTER_JAM!$A$5:$A$94,0)),"")</f>
        <v/>
      </c>
      <c r="K514" s="158">
        <f>IFERROR(INDEX(MASTER_JAM!$J$5:$O$12,MATCH($E514,MASTER_JAM!$I$5:$I$12,0),MATCH($J514,MASTER_JAM!$J$4:$O$4,0))+0,0)</f>
        <v/>
      </c>
      <c r="L514" s="159">
        <f>N($F514)*$K514</f>
        <v/>
      </c>
      <c r="M514" s="157">
        <f>IF($E514="","",IF(OR($E514="Coal",$E514="Dirty Coal"),"MT","BCM"))</f>
        <v/>
      </c>
      <c r="N514" s="157">
        <f>IF($E514="","",IF(OR($E514="Coal",$E514="Dirty Coal"),"Coal","OB"))</f>
        <v/>
      </c>
      <c r="O514" s="157">
        <f>IF($F514="","",IF(COUNTIF(MASTER_JAM!$A$5:$A$94,$C514)=0,"Digger tidak dikenal",IF($J514="","Hauler tidak dikenal",IF($H514="?","Jam salah",IF($K514=0,"Faktor kosong",IF(SUMIFS(INPUT_DELAY!$E$5:$E$20000,INPUT_DELAY!$A$5:$A$20000,$A514,INPUT_DELAY!$B$5:$B$20000,$B514,INPUT_DELAY!$C$5:$C$20000,$C514)+SUMIFS(INPUT_DELAY!$E$5:$E$20000,INPUT_DELAY!$A$5:$A$20000,$A514,INPUT_DELAY!$B$5:$B$20000,$B514,INPUT_DELAY!$C$5:$C$20000,"SEMUA")&gt;=60,"Delay 60 mnt tapi ada ritase","OK"))))))</f>
        <v/>
      </c>
      <c r="P514" s="158">
        <f>IFERROR(INDEX(MASTER_JAM!$Z$5:$AC$10,MATCH($I514,MASTER_JAM!$Y$5:$Y$10,0),MATCH($J514,MASTER_JAM!$Z$4:$AC$4,0))+0,0)</f>
        <v/>
      </c>
      <c r="Q514" s="158">
        <f>IF($P514=0,0,$P514+IFERROR(INDEX(MASTER_JAM!$H$5:$H$94,MATCH($C514,MASTER_JAM!$A$5:$A$94,0))+0,MASTER_JAM!$AC$15)/1000*(60/MASTER_JAM!$AC$12+60/MASTER_JAM!$AC$13)+MASTER_JAM!$AC$14)</f>
        <v/>
      </c>
      <c r="R514" s="158">
        <f>IF(N($F514)=0,0,$F514/SUMIFS(INPUT_RITASE!$F$5:$F$20000,INPUT_RITASE!$A$5:$A$20000,$A514,INPUT_RITASE!$B$5:$B$20000,$B514,INPUT_RITASE!$C$5:$C$20000,$C514,INPUT_RITASE!$D$5:$D$20000,$D514))</f>
        <v/>
      </c>
      <c r="S514" s="158">
        <f>IF($Q514=0,0,$R514*$P514/$Q514)</f>
        <v/>
      </c>
    </row>
    <row r="515">
      <c r="A515" s="155" t="n">
        <v>46105</v>
      </c>
      <c r="B515" s="156" t="inlineStr">
        <is>
          <t>04-05</t>
        </is>
      </c>
      <c r="C515" s="156" t="inlineStr">
        <is>
          <t>EX-336</t>
        </is>
      </c>
      <c r="D515" s="156" t="inlineStr">
        <is>
          <t>DT-521</t>
        </is>
      </c>
      <c r="E515" s="156" t="inlineStr">
        <is>
          <t>Coal</t>
        </is>
      </c>
      <c r="F515" s="156" t="n">
        <v>2</v>
      </c>
      <c r="G515" s="156" t="inlineStr"/>
      <c r="H515" s="157">
        <f>IF($B515="","",IF(ISNA(MATCH($B515,MASTER_JAM!$Q$5:$Q$28,0)),"?",IF(MATCH($B515,MASTER_JAM!$Q$5:$Q$28,0)&lt;=12,"DS","NS")))</f>
        <v/>
      </c>
      <c r="I515" s="157">
        <f>IFERROR(INDEX(MASTER_JAM!$B$5:$B$94,MATCH($C515,MASTER_JAM!$A$5:$A$94,0)),"")</f>
        <v/>
      </c>
      <c r="J515" s="157">
        <f>IFERROR(INDEX(MASTER_JAM!$E$5:$E$94,MATCH($D515,MASTER_JAM!$A$5:$A$94,0)),"")</f>
        <v/>
      </c>
      <c r="K515" s="158">
        <f>IFERROR(INDEX(MASTER_JAM!$J$5:$O$12,MATCH($E515,MASTER_JAM!$I$5:$I$12,0),MATCH($J515,MASTER_JAM!$J$4:$O$4,0))+0,0)</f>
        <v/>
      </c>
      <c r="L515" s="159">
        <f>N($F515)*$K515</f>
        <v/>
      </c>
      <c r="M515" s="157">
        <f>IF($E515="","",IF(OR($E515="Coal",$E515="Dirty Coal"),"MT","BCM"))</f>
        <v/>
      </c>
      <c r="N515" s="157">
        <f>IF($E515="","",IF(OR($E515="Coal",$E515="Dirty Coal"),"Coal","OB"))</f>
        <v/>
      </c>
      <c r="O515" s="157">
        <f>IF($F515="","",IF(COUNTIF(MASTER_JAM!$A$5:$A$94,$C515)=0,"Digger tidak dikenal",IF($J515="","Hauler tidak dikenal",IF($H515="?","Jam salah",IF($K515=0,"Faktor kosong",IF(SUMIFS(INPUT_DELAY!$E$5:$E$20000,INPUT_DELAY!$A$5:$A$20000,$A515,INPUT_DELAY!$B$5:$B$20000,$B515,INPUT_DELAY!$C$5:$C$20000,$C515)+SUMIFS(INPUT_DELAY!$E$5:$E$20000,INPUT_DELAY!$A$5:$A$20000,$A515,INPUT_DELAY!$B$5:$B$20000,$B515,INPUT_DELAY!$C$5:$C$20000,"SEMUA")&gt;=60,"Delay 60 mnt tapi ada ritase","OK"))))))</f>
        <v/>
      </c>
      <c r="P515" s="158">
        <f>IFERROR(INDEX(MASTER_JAM!$Z$5:$AC$10,MATCH($I515,MASTER_JAM!$Y$5:$Y$10,0),MATCH($J515,MASTER_JAM!$Z$4:$AC$4,0))+0,0)</f>
        <v/>
      </c>
      <c r="Q515" s="158">
        <f>IF($P515=0,0,$P515+IFERROR(INDEX(MASTER_JAM!$H$5:$H$94,MATCH($C515,MASTER_JAM!$A$5:$A$94,0))+0,MASTER_JAM!$AC$15)/1000*(60/MASTER_JAM!$AC$12+60/MASTER_JAM!$AC$13)+MASTER_JAM!$AC$14)</f>
        <v/>
      </c>
      <c r="R515" s="158">
        <f>IF(N($F515)=0,0,$F515/SUMIFS(INPUT_RITASE!$F$5:$F$20000,INPUT_RITASE!$A$5:$A$20000,$A515,INPUT_RITASE!$B$5:$B$20000,$B515,INPUT_RITASE!$C$5:$C$20000,$C515,INPUT_RITASE!$D$5:$D$20000,$D515))</f>
        <v/>
      </c>
      <c r="S515" s="158">
        <f>IF($Q515=0,0,$R515*$P515/$Q515)</f>
        <v/>
      </c>
    </row>
    <row r="516">
      <c r="A516" s="155" t="n">
        <v>46105</v>
      </c>
      <c r="B516" s="156" t="inlineStr">
        <is>
          <t>18-19</t>
        </is>
      </c>
      <c r="C516" s="156" t="inlineStr">
        <is>
          <t>EX-335</t>
        </is>
      </c>
      <c r="D516" s="156" t="inlineStr">
        <is>
          <t>DT-504</t>
        </is>
      </c>
      <c r="E516" s="156" t="inlineStr">
        <is>
          <t>Coal</t>
        </is>
      </c>
      <c r="F516" s="156" t="n">
        <v>3</v>
      </c>
      <c r="G516" s="156" t="inlineStr"/>
      <c r="H516" s="157">
        <f>IF($B516="","",IF(ISNA(MATCH($B516,MASTER_JAM!$Q$5:$Q$28,0)),"?",IF(MATCH($B516,MASTER_JAM!$Q$5:$Q$28,0)&lt;=12,"DS","NS")))</f>
        <v/>
      </c>
      <c r="I516" s="157">
        <f>IFERROR(INDEX(MASTER_JAM!$B$5:$B$94,MATCH($C516,MASTER_JAM!$A$5:$A$94,0)),"")</f>
        <v/>
      </c>
      <c r="J516" s="157">
        <f>IFERROR(INDEX(MASTER_JAM!$E$5:$E$94,MATCH($D516,MASTER_JAM!$A$5:$A$94,0)),"")</f>
        <v/>
      </c>
      <c r="K516" s="158">
        <f>IFERROR(INDEX(MASTER_JAM!$J$5:$O$12,MATCH($E516,MASTER_JAM!$I$5:$I$12,0),MATCH($J516,MASTER_JAM!$J$4:$O$4,0))+0,0)</f>
        <v/>
      </c>
      <c r="L516" s="159">
        <f>N($F516)*$K516</f>
        <v/>
      </c>
      <c r="M516" s="157">
        <f>IF($E516="","",IF(OR($E516="Coal",$E516="Dirty Coal"),"MT","BCM"))</f>
        <v/>
      </c>
      <c r="N516" s="157">
        <f>IF($E516="","",IF(OR($E516="Coal",$E516="Dirty Coal"),"Coal","OB"))</f>
        <v/>
      </c>
      <c r="O516" s="157">
        <f>IF($F516="","",IF(COUNTIF(MASTER_JAM!$A$5:$A$94,$C516)=0,"Digger tidak dikenal",IF($J516="","Hauler tidak dikenal",IF($H516="?","Jam salah",IF($K516=0,"Faktor kosong",IF(SUMIFS(INPUT_DELAY!$E$5:$E$20000,INPUT_DELAY!$A$5:$A$20000,$A516,INPUT_DELAY!$B$5:$B$20000,$B516,INPUT_DELAY!$C$5:$C$20000,$C516)+SUMIFS(INPUT_DELAY!$E$5:$E$20000,INPUT_DELAY!$A$5:$A$20000,$A516,INPUT_DELAY!$B$5:$B$20000,$B516,INPUT_DELAY!$C$5:$C$20000,"SEMUA")&gt;=60,"Delay 60 mnt tapi ada ritase","OK"))))))</f>
        <v/>
      </c>
      <c r="P516" s="158">
        <f>IFERROR(INDEX(MASTER_JAM!$Z$5:$AC$10,MATCH($I516,MASTER_JAM!$Y$5:$Y$10,0),MATCH($J516,MASTER_JAM!$Z$4:$AC$4,0))+0,0)</f>
        <v/>
      </c>
      <c r="Q516" s="158">
        <f>IF($P516=0,0,$P516+IFERROR(INDEX(MASTER_JAM!$H$5:$H$94,MATCH($C516,MASTER_JAM!$A$5:$A$94,0))+0,MASTER_JAM!$AC$15)/1000*(60/MASTER_JAM!$AC$12+60/MASTER_JAM!$AC$13)+MASTER_JAM!$AC$14)</f>
        <v/>
      </c>
      <c r="R516" s="158">
        <f>IF(N($F516)=0,0,$F516/SUMIFS(INPUT_RITASE!$F$5:$F$20000,INPUT_RITASE!$A$5:$A$20000,$A516,INPUT_RITASE!$B$5:$B$20000,$B516,INPUT_RITASE!$C$5:$C$20000,$C516,INPUT_RITASE!$D$5:$D$20000,$D516))</f>
        <v/>
      </c>
      <c r="S516" s="158">
        <f>IF($Q516=0,0,$R516*$P516/$Q516)</f>
        <v/>
      </c>
    </row>
    <row r="517">
      <c r="A517" s="155" t="n">
        <v>46105</v>
      </c>
      <c r="B517" s="156" t="inlineStr">
        <is>
          <t>18-19</t>
        </is>
      </c>
      <c r="C517" s="156" t="inlineStr">
        <is>
          <t>EX-335</t>
        </is>
      </c>
      <c r="D517" s="156" t="inlineStr">
        <is>
          <t>DT-520</t>
        </is>
      </c>
      <c r="E517" s="156" t="inlineStr">
        <is>
          <t>Coal</t>
        </is>
      </c>
      <c r="F517" s="156" t="n">
        <v>2</v>
      </c>
      <c r="G517" s="156" t="inlineStr"/>
      <c r="H517" s="157">
        <f>IF($B517="","",IF(ISNA(MATCH($B517,MASTER_JAM!$Q$5:$Q$28,0)),"?",IF(MATCH($B517,MASTER_JAM!$Q$5:$Q$28,0)&lt;=12,"DS","NS")))</f>
        <v/>
      </c>
      <c r="I517" s="157">
        <f>IFERROR(INDEX(MASTER_JAM!$B$5:$B$94,MATCH($C517,MASTER_JAM!$A$5:$A$94,0)),"")</f>
        <v/>
      </c>
      <c r="J517" s="157">
        <f>IFERROR(INDEX(MASTER_JAM!$E$5:$E$94,MATCH($D517,MASTER_JAM!$A$5:$A$94,0)),"")</f>
        <v/>
      </c>
      <c r="K517" s="158">
        <f>IFERROR(INDEX(MASTER_JAM!$J$5:$O$12,MATCH($E517,MASTER_JAM!$I$5:$I$12,0),MATCH($J517,MASTER_JAM!$J$4:$O$4,0))+0,0)</f>
        <v/>
      </c>
      <c r="L517" s="159">
        <f>N($F517)*$K517</f>
        <v/>
      </c>
      <c r="M517" s="157">
        <f>IF($E517="","",IF(OR($E517="Coal",$E517="Dirty Coal"),"MT","BCM"))</f>
        <v/>
      </c>
      <c r="N517" s="157">
        <f>IF($E517="","",IF(OR($E517="Coal",$E517="Dirty Coal"),"Coal","OB"))</f>
        <v/>
      </c>
      <c r="O517" s="157">
        <f>IF($F517="","",IF(COUNTIF(MASTER_JAM!$A$5:$A$94,$C517)=0,"Digger tidak dikenal",IF($J517="","Hauler tidak dikenal",IF($H517="?","Jam salah",IF($K517=0,"Faktor kosong",IF(SUMIFS(INPUT_DELAY!$E$5:$E$20000,INPUT_DELAY!$A$5:$A$20000,$A517,INPUT_DELAY!$B$5:$B$20000,$B517,INPUT_DELAY!$C$5:$C$20000,$C517)+SUMIFS(INPUT_DELAY!$E$5:$E$20000,INPUT_DELAY!$A$5:$A$20000,$A517,INPUT_DELAY!$B$5:$B$20000,$B517,INPUT_DELAY!$C$5:$C$20000,"SEMUA")&gt;=60,"Delay 60 mnt tapi ada ritase","OK"))))))</f>
        <v/>
      </c>
      <c r="P517" s="158">
        <f>IFERROR(INDEX(MASTER_JAM!$Z$5:$AC$10,MATCH($I517,MASTER_JAM!$Y$5:$Y$10,0),MATCH($J517,MASTER_JAM!$Z$4:$AC$4,0))+0,0)</f>
        <v/>
      </c>
      <c r="Q517" s="158">
        <f>IF($P517=0,0,$P517+IFERROR(INDEX(MASTER_JAM!$H$5:$H$94,MATCH($C517,MASTER_JAM!$A$5:$A$94,0))+0,MASTER_JAM!$AC$15)/1000*(60/MASTER_JAM!$AC$12+60/MASTER_JAM!$AC$13)+MASTER_JAM!$AC$14)</f>
        <v/>
      </c>
      <c r="R517" s="158">
        <f>IF(N($F517)=0,0,$F517/SUMIFS(INPUT_RITASE!$F$5:$F$20000,INPUT_RITASE!$A$5:$A$20000,$A517,INPUT_RITASE!$B$5:$B$20000,$B517,INPUT_RITASE!$C$5:$C$20000,$C517,INPUT_RITASE!$D$5:$D$20000,$D517))</f>
        <v/>
      </c>
      <c r="S517" s="158">
        <f>IF($Q517=0,0,$R517*$P517/$Q517)</f>
        <v/>
      </c>
    </row>
    <row r="518">
      <c r="A518" s="155" t="n">
        <v>46105</v>
      </c>
      <c r="B518" s="156" t="inlineStr">
        <is>
          <t>18-19</t>
        </is>
      </c>
      <c r="C518" s="156" t="inlineStr">
        <is>
          <t>EX-754</t>
        </is>
      </c>
      <c r="D518" s="156" t="inlineStr">
        <is>
          <t>DT-501</t>
        </is>
      </c>
      <c r="E518" s="156" t="inlineStr">
        <is>
          <t>OB</t>
        </is>
      </c>
      <c r="F518" s="156" t="n">
        <v>4</v>
      </c>
      <c r="G518" s="156" t="inlineStr"/>
      <c r="H518" s="157">
        <f>IF($B518="","",IF(ISNA(MATCH($B518,MASTER_JAM!$Q$5:$Q$28,0)),"?",IF(MATCH($B518,MASTER_JAM!$Q$5:$Q$28,0)&lt;=12,"DS","NS")))</f>
        <v/>
      </c>
      <c r="I518" s="157">
        <f>IFERROR(INDEX(MASTER_JAM!$B$5:$B$94,MATCH($C518,MASTER_JAM!$A$5:$A$94,0)),"")</f>
        <v/>
      </c>
      <c r="J518" s="157">
        <f>IFERROR(INDEX(MASTER_JAM!$E$5:$E$94,MATCH($D518,MASTER_JAM!$A$5:$A$94,0)),"")</f>
        <v/>
      </c>
      <c r="K518" s="158">
        <f>IFERROR(INDEX(MASTER_JAM!$J$5:$O$12,MATCH($E518,MASTER_JAM!$I$5:$I$12,0),MATCH($J518,MASTER_JAM!$J$4:$O$4,0))+0,0)</f>
        <v/>
      </c>
      <c r="L518" s="159">
        <f>N($F518)*$K518</f>
        <v/>
      </c>
      <c r="M518" s="157">
        <f>IF($E518="","",IF(OR($E518="Coal",$E518="Dirty Coal"),"MT","BCM"))</f>
        <v/>
      </c>
      <c r="N518" s="157">
        <f>IF($E518="","",IF(OR($E518="Coal",$E518="Dirty Coal"),"Coal","OB"))</f>
        <v/>
      </c>
      <c r="O518" s="157">
        <f>IF($F518="","",IF(COUNTIF(MASTER_JAM!$A$5:$A$94,$C518)=0,"Digger tidak dikenal",IF($J518="","Hauler tidak dikenal",IF($H518="?","Jam salah",IF($K518=0,"Faktor kosong",IF(SUMIFS(INPUT_DELAY!$E$5:$E$20000,INPUT_DELAY!$A$5:$A$20000,$A518,INPUT_DELAY!$B$5:$B$20000,$B518,INPUT_DELAY!$C$5:$C$20000,$C518)+SUMIFS(INPUT_DELAY!$E$5:$E$20000,INPUT_DELAY!$A$5:$A$20000,$A518,INPUT_DELAY!$B$5:$B$20000,$B518,INPUT_DELAY!$C$5:$C$20000,"SEMUA")&gt;=60,"Delay 60 mnt tapi ada ritase","OK"))))))</f>
        <v/>
      </c>
      <c r="P518" s="158">
        <f>IFERROR(INDEX(MASTER_JAM!$Z$5:$AC$10,MATCH($I518,MASTER_JAM!$Y$5:$Y$10,0),MATCH($J518,MASTER_JAM!$Z$4:$AC$4,0))+0,0)</f>
        <v/>
      </c>
      <c r="Q518" s="158">
        <f>IF($P518=0,0,$P518+IFERROR(INDEX(MASTER_JAM!$H$5:$H$94,MATCH($C518,MASTER_JAM!$A$5:$A$94,0))+0,MASTER_JAM!$AC$15)/1000*(60/MASTER_JAM!$AC$12+60/MASTER_JAM!$AC$13)+MASTER_JAM!$AC$14)</f>
        <v/>
      </c>
      <c r="R518" s="158">
        <f>IF(N($F518)=0,0,$F518/SUMIFS(INPUT_RITASE!$F$5:$F$20000,INPUT_RITASE!$A$5:$A$20000,$A518,INPUT_RITASE!$B$5:$B$20000,$B518,INPUT_RITASE!$C$5:$C$20000,$C518,INPUT_RITASE!$D$5:$D$20000,$D518))</f>
        <v/>
      </c>
      <c r="S518" s="158">
        <f>IF($Q518=0,0,$R518*$P518/$Q518)</f>
        <v/>
      </c>
    </row>
    <row r="519">
      <c r="A519" s="155" t="n">
        <v>46105</v>
      </c>
      <c r="B519" s="156" t="inlineStr">
        <is>
          <t>18-19</t>
        </is>
      </c>
      <c r="C519" s="156" t="inlineStr">
        <is>
          <t>EX-754</t>
        </is>
      </c>
      <c r="D519" s="156" t="inlineStr">
        <is>
          <t>DT-508</t>
        </is>
      </c>
      <c r="E519" s="156" t="inlineStr">
        <is>
          <t>OB</t>
        </is>
      </c>
      <c r="F519" s="156" t="n">
        <v>4</v>
      </c>
      <c r="G519" s="156" t="inlineStr"/>
      <c r="H519" s="157">
        <f>IF($B519="","",IF(ISNA(MATCH($B519,MASTER_JAM!$Q$5:$Q$28,0)),"?",IF(MATCH($B519,MASTER_JAM!$Q$5:$Q$28,0)&lt;=12,"DS","NS")))</f>
        <v/>
      </c>
      <c r="I519" s="157">
        <f>IFERROR(INDEX(MASTER_JAM!$B$5:$B$94,MATCH($C519,MASTER_JAM!$A$5:$A$94,0)),"")</f>
        <v/>
      </c>
      <c r="J519" s="157">
        <f>IFERROR(INDEX(MASTER_JAM!$E$5:$E$94,MATCH($D519,MASTER_JAM!$A$5:$A$94,0)),"")</f>
        <v/>
      </c>
      <c r="K519" s="158">
        <f>IFERROR(INDEX(MASTER_JAM!$J$5:$O$12,MATCH($E519,MASTER_JAM!$I$5:$I$12,0),MATCH($J519,MASTER_JAM!$J$4:$O$4,0))+0,0)</f>
        <v/>
      </c>
      <c r="L519" s="159">
        <f>N($F519)*$K519</f>
        <v/>
      </c>
      <c r="M519" s="157">
        <f>IF($E519="","",IF(OR($E519="Coal",$E519="Dirty Coal"),"MT","BCM"))</f>
        <v/>
      </c>
      <c r="N519" s="157">
        <f>IF($E519="","",IF(OR($E519="Coal",$E519="Dirty Coal"),"Coal","OB"))</f>
        <v/>
      </c>
      <c r="O519" s="157">
        <f>IF($F519="","",IF(COUNTIF(MASTER_JAM!$A$5:$A$94,$C519)=0,"Digger tidak dikenal",IF($J519="","Hauler tidak dikenal",IF($H519="?","Jam salah",IF($K519=0,"Faktor kosong",IF(SUMIFS(INPUT_DELAY!$E$5:$E$20000,INPUT_DELAY!$A$5:$A$20000,$A519,INPUT_DELAY!$B$5:$B$20000,$B519,INPUT_DELAY!$C$5:$C$20000,$C519)+SUMIFS(INPUT_DELAY!$E$5:$E$20000,INPUT_DELAY!$A$5:$A$20000,$A519,INPUT_DELAY!$B$5:$B$20000,$B519,INPUT_DELAY!$C$5:$C$20000,"SEMUA")&gt;=60,"Delay 60 mnt tapi ada ritase","OK"))))))</f>
        <v/>
      </c>
      <c r="P519" s="158">
        <f>IFERROR(INDEX(MASTER_JAM!$Z$5:$AC$10,MATCH($I519,MASTER_JAM!$Y$5:$Y$10,0),MATCH($J519,MASTER_JAM!$Z$4:$AC$4,0))+0,0)</f>
        <v/>
      </c>
      <c r="Q519" s="158">
        <f>IF($P519=0,0,$P519+IFERROR(INDEX(MASTER_JAM!$H$5:$H$94,MATCH($C519,MASTER_JAM!$A$5:$A$94,0))+0,MASTER_JAM!$AC$15)/1000*(60/MASTER_JAM!$AC$12+60/MASTER_JAM!$AC$13)+MASTER_JAM!$AC$14)</f>
        <v/>
      </c>
      <c r="R519" s="158">
        <f>IF(N($F519)=0,0,$F519/SUMIFS(INPUT_RITASE!$F$5:$F$20000,INPUT_RITASE!$A$5:$A$20000,$A519,INPUT_RITASE!$B$5:$B$20000,$B519,INPUT_RITASE!$C$5:$C$20000,$C519,INPUT_RITASE!$D$5:$D$20000,$D519))</f>
        <v/>
      </c>
      <c r="S519" s="158">
        <f>IF($Q519=0,0,$R519*$P519/$Q519)</f>
        <v/>
      </c>
    </row>
    <row r="520">
      <c r="A520" s="155" t="n">
        <v>46105</v>
      </c>
      <c r="B520" s="156" t="inlineStr">
        <is>
          <t>18-19</t>
        </is>
      </c>
      <c r="C520" s="156" t="inlineStr">
        <is>
          <t>EX-754</t>
        </is>
      </c>
      <c r="D520" s="156" t="inlineStr">
        <is>
          <t>DT-520</t>
        </is>
      </c>
      <c r="E520" s="156" t="inlineStr">
        <is>
          <t>OB</t>
        </is>
      </c>
      <c r="F520" s="156" t="n">
        <v>4</v>
      </c>
      <c r="G520" s="156" t="inlineStr"/>
      <c r="H520" s="157">
        <f>IF($B520="","",IF(ISNA(MATCH($B520,MASTER_JAM!$Q$5:$Q$28,0)),"?",IF(MATCH($B520,MASTER_JAM!$Q$5:$Q$28,0)&lt;=12,"DS","NS")))</f>
        <v/>
      </c>
      <c r="I520" s="157">
        <f>IFERROR(INDEX(MASTER_JAM!$B$5:$B$94,MATCH($C520,MASTER_JAM!$A$5:$A$94,0)),"")</f>
        <v/>
      </c>
      <c r="J520" s="157">
        <f>IFERROR(INDEX(MASTER_JAM!$E$5:$E$94,MATCH($D520,MASTER_JAM!$A$5:$A$94,0)),"")</f>
        <v/>
      </c>
      <c r="K520" s="158">
        <f>IFERROR(INDEX(MASTER_JAM!$J$5:$O$12,MATCH($E520,MASTER_JAM!$I$5:$I$12,0),MATCH($J520,MASTER_JAM!$J$4:$O$4,0))+0,0)</f>
        <v/>
      </c>
      <c r="L520" s="159">
        <f>N($F520)*$K520</f>
        <v/>
      </c>
      <c r="M520" s="157">
        <f>IF($E520="","",IF(OR($E520="Coal",$E520="Dirty Coal"),"MT","BCM"))</f>
        <v/>
      </c>
      <c r="N520" s="157">
        <f>IF($E520="","",IF(OR($E520="Coal",$E520="Dirty Coal"),"Coal","OB"))</f>
        <v/>
      </c>
      <c r="O520" s="157">
        <f>IF($F520="","",IF(COUNTIF(MASTER_JAM!$A$5:$A$94,$C520)=0,"Digger tidak dikenal",IF($J520="","Hauler tidak dikenal",IF($H520="?","Jam salah",IF($K520=0,"Faktor kosong",IF(SUMIFS(INPUT_DELAY!$E$5:$E$20000,INPUT_DELAY!$A$5:$A$20000,$A520,INPUT_DELAY!$B$5:$B$20000,$B520,INPUT_DELAY!$C$5:$C$20000,$C520)+SUMIFS(INPUT_DELAY!$E$5:$E$20000,INPUT_DELAY!$A$5:$A$20000,$A520,INPUT_DELAY!$B$5:$B$20000,$B520,INPUT_DELAY!$C$5:$C$20000,"SEMUA")&gt;=60,"Delay 60 mnt tapi ada ritase","OK"))))))</f>
        <v/>
      </c>
      <c r="P520" s="158">
        <f>IFERROR(INDEX(MASTER_JAM!$Z$5:$AC$10,MATCH($I520,MASTER_JAM!$Y$5:$Y$10,0),MATCH($J520,MASTER_JAM!$Z$4:$AC$4,0))+0,0)</f>
        <v/>
      </c>
      <c r="Q520" s="158">
        <f>IF($P520=0,0,$P520+IFERROR(INDEX(MASTER_JAM!$H$5:$H$94,MATCH($C520,MASTER_JAM!$A$5:$A$94,0))+0,MASTER_JAM!$AC$15)/1000*(60/MASTER_JAM!$AC$12+60/MASTER_JAM!$AC$13)+MASTER_JAM!$AC$14)</f>
        <v/>
      </c>
      <c r="R520" s="158">
        <f>IF(N($F520)=0,0,$F520/SUMIFS(INPUT_RITASE!$F$5:$F$20000,INPUT_RITASE!$A$5:$A$20000,$A520,INPUT_RITASE!$B$5:$B$20000,$B520,INPUT_RITASE!$C$5:$C$20000,$C520,INPUT_RITASE!$D$5:$D$20000,$D520))</f>
        <v/>
      </c>
      <c r="S520" s="158">
        <f>IF($Q520=0,0,$R520*$P520/$Q520)</f>
        <v/>
      </c>
    </row>
    <row r="521">
      <c r="A521" s="155" t="n">
        <v>46105</v>
      </c>
      <c r="B521" s="156" t="inlineStr">
        <is>
          <t>19-20</t>
        </is>
      </c>
      <c r="C521" s="156" t="inlineStr">
        <is>
          <t>EX-754</t>
        </is>
      </c>
      <c r="D521" s="156" t="inlineStr">
        <is>
          <t>DT-521</t>
        </is>
      </c>
      <c r="E521" s="156" t="inlineStr">
        <is>
          <t>OB</t>
        </is>
      </c>
      <c r="F521" s="156" t="n">
        <v>4</v>
      </c>
      <c r="G521" s="156" t="inlineStr"/>
      <c r="H521" s="157">
        <f>IF($B521="","",IF(ISNA(MATCH($B521,MASTER_JAM!$Q$5:$Q$28,0)),"?",IF(MATCH($B521,MASTER_JAM!$Q$5:$Q$28,0)&lt;=12,"DS","NS")))</f>
        <v/>
      </c>
      <c r="I521" s="157">
        <f>IFERROR(INDEX(MASTER_JAM!$B$5:$B$94,MATCH($C521,MASTER_JAM!$A$5:$A$94,0)),"")</f>
        <v/>
      </c>
      <c r="J521" s="157">
        <f>IFERROR(INDEX(MASTER_JAM!$E$5:$E$94,MATCH($D521,MASTER_JAM!$A$5:$A$94,0)),"")</f>
        <v/>
      </c>
      <c r="K521" s="158">
        <f>IFERROR(INDEX(MASTER_JAM!$J$5:$O$12,MATCH($E521,MASTER_JAM!$I$5:$I$12,0),MATCH($J521,MASTER_JAM!$J$4:$O$4,0))+0,0)</f>
        <v/>
      </c>
      <c r="L521" s="159">
        <f>N($F521)*$K521</f>
        <v/>
      </c>
      <c r="M521" s="157">
        <f>IF($E521="","",IF(OR($E521="Coal",$E521="Dirty Coal"),"MT","BCM"))</f>
        <v/>
      </c>
      <c r="N521" s="157">
        <f>IF($E521="","",IF(OR($E521="Coal",$E521="Dirty Coal"),"Coal","OB"))</f>
        <v/>
      </c>
      <c r="O521" s="157">
        <f>IF($F521="","",IF(COUNTIF(MASTER_JAM!$A$5:$A$94,$C521)=0,"Digger tidak dikenal",IF($J521="","Hauler tidak dikenal",IF($H521="?","Jam salah",IF($K521=0,"Faktor kosong",IF(SUMIFS(INPUT_DELAY!$E$5:$E$20000,INPUT_DELAY!$A$5:$A$20000,$A521,INPUT_DELAY!$B$5:$B$20000,$B521,INPUT_DELAY!$C$5:$C$20000,$C521)+SUMIFS(INPUT_DELAY!$E$5:$E$20000,INPUT_DELAY!$A$5:$A$20000,$A521,INPUT_DELAY!$B$5:$B$20000,$B521,INPUT_DELAY!$C$5:$C$20000,"SEMUA")&gt;=60,"Delay 60 mnt tapi ada ritase","OK"))))))</f>
        <v/>
      </c>
      <c r="P521" s="158">
        <f>IFERROR(INDEX(MASTER_JAM!$Z$5:$AC$10,MATCH($I521,MASTER_JAM!$Y$5:$Y$10,0),MATCH($J521,MASTER_JAM!$Z$4:$AC$4,0))+0,0)</f>
        <v/>
      </c>
      <c r="Q521" s="158">
        <f>IF($P521=0,0,$P521+IFERROR(INDEX(MASTER_JAM!$H$5:$H$94,MATCH($C521,MASTER_JAM!$A$5:$A$94,0))+0,MASTER_JAM!$AC$15)/1000*(60/MASTER_JAM!$AC$12+60/MASTER_JAM!$AC$13)+MASTER_JAM!$AC$14)</f>
        <v/>
      </c>
      <c r="R521" s="158">
        <f>IF(N($F521)=0,0,$F521/SUMIFS(INPUT_RITASE!$F$5:$F$20000,INPUT_RITASE!$A$5:$A$20000,$A521,INPUT_RITASE!$B$5:$B$20000,$B521,INPUT_RITASE!$C$5:$C$20000,$C521,INPUT_RITASE!$D$5:$D$20000,$D521))</f>
        <v/>
      </c>
      <c r="S521" s="158">
        <f>IF($Q521=0,0,$R521*$P521/$Q521)</f>
        <v/>
      </c>
    </row>
    <row r="522">
      <c r="A522" s="155" t="n">
        <v>46105</v>
      </c>
      <c r="B522" s="156" t="inlineStr">
        <is>
          <t>19-20</t>
        </is>
      </c>
      <c r="C522" s="156" t="inlineStr">
        <is>
          <t>EX-754</t>
        </is>
      </c>
      <c r="D522" s="156" t="inlineStr">
        <is>
          <t>DT-513</t>
        </is>
      </c>
      <c r="E522" s="156" t="inlineStr">
        <is>
          <t>OB</t>
        </is>
      </c>
      <c r="F522" s="156" t="n">
        <v>4</v>
      </c>
      <c r="G522" s="156" t="inlineStr"/>
      <c r="H522" s="157">
        <f>IF($B522="","",IF(ISNA(MATCH($B522,MASTER_JAM!$Q$5:$Q$28,0)),"?",IF(MATCH($B522,MASTER_JAM!$Q$5:$Q$28,0)&lt;=12,"DS","NS")))</f>
        <v/>
      </c>
      <c r="I522" s="157">
        <f>IFERROR(INDEX(MASTER_JAM!$B$5:$B$94,MATCH($C522,MASTER_JAM!$A$5:$A$94,0)),"")</f>
        <v/>
      </c>
      <c r="J522" s="157">
        <f>IFERROR(INDEX(MASTER_JAM!$E$5:$E$94,MATCH($D522,MASTER_JAM!$A$5:$A$94,0)),"")</f>
        <v/>
      </c>
      <c r="K522" s="158">
        <f>IFERROR(INDEX(MASTER_JAM!$J$5:$O$12,MATCH($E522,MASTER_JAM!$I$5:$I$12,0),MATCH($J522,MASTER_JAM!$J$4:$O$4,0))+0,0)</f>
        <v/>
      </c>
      <c r="L522" s="159">
        <f>N($F522)*$K522</f>
        <v/>
      </c>
      <c r="M522" s="157">
        <f>IF($E522="","",IF(OR($E522="Coal",$E522="Dirty Coal"),"MT","BCM"))</f>
        <v/>
      </c>
      <c r="N522" s="157">
        <f>IF($E522="","",IF(OR($E522="Coal",$E522="Dirty Coal"),"Coal","OB"))</f>
        <v/>
      </c>
      <c r="O522" s="157">
        <f>IF($F522="","",IF(COUNTIF(MASTER_JAM!$A$5:$A$94,$C522)=0,"Digger tidak dikenal",IF($J522="","Hauler tidak dikenal",IF($H522="?","Jam salah",IF($K522=0,"Faktor kosong",IF(SUMIFS(INPUT_DELAY!$E$5:$E$20000,INPUT_DELAY!$A$5:$A$20000,$A522,INPUT_DELAY!$B$5:$B$20000,$B522,INPUT_DELAY!$C$5:$C$20000,$C522)+SUMIFS(INPUT_DELAY!$E$5:$E$20000,INPUT_DELAY!$A$5:$A$20000,$A522,INPUT_DELAY!$B$5:$B$20000,$B522,INPUT_DELAY!$C$5:$C$20000,"SEMUA")&gt;=60,"Delay 60 mnt tapi ada ritase","OK"))))))</f>
        <v/>
      </c>
      <c r="P522" s="158">
        <f>IFERROR(INDEX(MASTER_JAM!$Z$5:$AC$10,MATCH($I522,MASTER_JAM!$Y$5:$Y$10,0),MATCH($J522,MASTER_JAM!$Z$4:$AC$4,0))+0,0)</f>
        <v/>
      </c>
      <c r="Q522" s="158">
        <f>IF($P522=0,0,$P522+IFERROR(INDEX(MASTER_JAM!$H$5:$H$94,MATCH($C522,MASTER_JAM!$A$5:$A$94,0))+0,MASTER_JAM!$AC$15)/1000*(60/MASTER_JAM!$AC$12+60/MASTER_JAM!$AC$13)+MASTER_JAM!$AC$14)</f>
        <v/>
      </c>
      <c r="R522" s="158">
        <f>IF(N($F522)=0,0,$F522/SUMIFS(INPUT_RITASE!$F$5:$F$20000,INPUT_RITASE!$A$5:$A$20000,$A522,INPUT_RITASE!$B$5:$B$20000,$B522,INPUT_RITASE!$C$5:$C$20000,$C522,INPUT_RITASE!$D$5:$D$20000,$D522))</f>
        <v/>
      </c>
      <c r="S522" s="158">
        <f>IF($Q522=0,0,$R522*$P522/$Q522)</f>
        <v/>
      </c>
    </row>
    <row r="523">
      <c r="A523" s="155" t="n">
        <v>46105</v>
      </c>
      <c r="B523" s="156" t="inlineStr">
        <is>
          <t>19-20</t>
        </is>
      </c>
      <c r="C523" s="156" t="inlineStr">
        <is>
          <t>EX-754</t>
        </is>
      </c>
      <c r="D523" s="156" t="inlineStr">
        <is>
          <t>DT-501</t>
        </is>
      </c>
      <c r="E523" s="156" t="inlineStr">
        <is>
          <t>OB</t>
        </is>
      </c>
      <c r="F523" s="156" t="n">
        <v>3</v>
      </c>
      <c r="G523" s="156" t="inlineStr"/>
      <c r="H523" s="157">
        <f>IF($B523="","",IF(ISNA(MATCH($B523,MASTER_JAM!$Q$5:$Q$28,0)),"?",IF(MATCH($B523,MASTER_JAM!$Q$5:$Q$28,0)&lt;=12,"DS","NS")))</f>
        <v/>
      </c>
      <c r="I523" s="157">
        <f>IFERROR(INDEX(MASTER_JAM!$B$5:$B$94,MATCH($C523,MASTER_JAM!$A$5:$A$94,0)),"")</f>
        <v/>
      </c>
      <c r="J523" s="157">
        <f>IFERROR(INDEX(MASTER_JAM!$E$5:$E$94,MATCH($D523,MASTER_JAM!$A$5:$A$94,0)),"")</f>
        <v/>
      </c>
      <c r="K523" s="158">
        <f>IFERROR(INDEX(MASTER_JAM!$J$5:$O$12,MATCH($E523,MASTER_JAM!$I$5:$I$12,0),MATCH($J523,MASTER_JAM!$J$4:$O$4,0))+0,0)</f>
        <v/>
      </c>
      <c r="L523" s="159">
        <f>N($F523)*$K523</f>
        <v/>
      </c>
      <c r="M523" s="157">
        <f>IF($E523="","",IF(OR($E523="Coal",$E523="Dirty Coal"),"MT","BCM"))</f>
        <v/>
      </c>
      <c r="N523" s="157">
        <f>IF($E523="","",IF(OR($E523="Coal",$E523="Dirty Coal"),"Coal","OB"))</f>
        <v/>
      </c>
      <c r="O523" s="157">
        <f>IF($F523="","",IF(COUNTIF(MASTER_JAM!$A$5:$A$94,$C523)=0,"Digger tidak dikenal",IF($J523="","Hauler tidak dikenal",IF($H523="?","Jam salah",IF($K523=0,"Faktor kosong",IF(SUMIFS(INPUT_DELAY!$E$5:$E$20000,INPUT_DELAY!$A$5:$A$20000,$A523,INPUT_DELAY!$B$5:$B$20000,$B523,INPUT_DELAY!$C$5:$C$20000,$C523)+SUMIFS(INPUT_DELAY!$E$5:$E$20000,INPUT_DELAY!$A$5:$A$20000,$A523,INPUT_DELAY!$B$5:$B$20000,$B523,INPUT_DELAY!$C$5:$C$20000,"SEMUA")&gt;=60,"Delay 60 mnt tapi ada ritase","OK"))))))</f>
        <v/>
      </c>
      <c r="P523" s="158">
        <f>IFERROR(INDEX(MASTER_JAM!$Z$5:$AC$10,MATCH($I523,MASTER_JAM!$Y$5:$Y$10,0),MATCH($J523,MASTER_JAM!$Z$4:$AC$4,0))+0,0)</f>
        <v/>
      </c>
      <c r="Q523" s="158">
        <f>IF($P523=0,0,$P523+IFERROR(INDEX(MASTER_JAM!$H$5:$H$94,MATCH($C523,MASTER_JAM!$A$5:$A$94,0))+0,MASTER_JAM!$AC$15)/1000*(60/MASTER_JAM!$AC$12+60/MASTER_JAM!$AC$13)+MASTER_JAM!$AC$14)</f>
        <v/>
      </c>
      <c r="R523" s="158">
        <f>IF(N($F523)=0,0,$F523/SUMIFS(INPUT_RITASE!$F$5:$F$20000,INPUT_RITASE!$A$5:$A$20000,$A523,INPUT_RITASE!$B$5:$B$20000,$B523,INPUT_RITASE!$C$5:$C$20000,$C523,INPUT_RITASE!$D$5:$D$20000,$D523))</f>
        <v/>
      </c>
      <c r="S523" s="158">
        <f>IF($Q523=0,0,$R523*$P523/$Q523)</f>
        <v/>
      </c>
    </row>
    <row r="524">
      <c r="A524" s="155" t="n">
        <v>46105</v>
      </c>
      <c r="B524" s="156" t="inlineStr">
        <is>
          <t>19-20</t>
        </is>
      </c>
      <c r="C524" s="156" t="inlineStr">
        <is>
          <t>EX-754</t>
        </is>
      </c>
      <c r="D524" s="156" t="inlineStr">
        <is>
          <t>DT-510</t>
        </is>
      </c>
      <c r="E524" s="156" t="inlineStr">
        <is>
          <t>OB</t>
        </is>
      </c>
      <c r="F524" s="156" t="n">
        <v>3</v>
      </c>
      <c r="G524" s="156" t="inlineStr"/>
      <c r="H524" s="157">
        <f>IF($B524="","",IF(ISNA(MATCH($B524,MASTER_JAM!$Q$5:$Q$28,0)),"?",IF(MATCH($B524,MASTER_JAM!$Q$5:$Q$28,0)&lt;=12,"DS","NS")))</f>
        <v/>
      </c>
      <c r="I524" s="157">
        <f>IFERROR(INDEX(MASTER_JAM!$B$5:$B$94,MATCH($C524,MASTER_JAM!$A$5:$A$94,0)),"")</f>
        <v/>
      </c>
      <c r="J524" s="157">
        <f>IFERROR(INDEX(MASTER_JAM!$E$5:$E$94,MATCH($D524,MASTER_JAM!$A$5:$A$94,0)),"")</f>
        <v/>
      </c>
      <c r="K524" s="158">
        <f>IFERROR(INDEX(MASTER_JAM!$J$5:$O$12,MATCH($E524,MASTER_JAM!$I$5:$I$12,0),MATCH($J524,MASTER_JAM!$J$4:$O$4,0))+0,0)</f>
        <v/>
      </c>
      <c r="L524" s="159">
        <f>N($F524)*$K524</f>
        <v/>
      </c>
      <c r="M524" s="157">
        <f>IF($E524="","",IF(OR($E524="Coal",$E524="Dirty Coal"),"MT","BCM"))</f>
        <v/>
      </c>
      <c r="N524" s="157">
        <f>IF($E524="","",IF(OR($E524="Coal",$E524="Dirty Coal"),"Coal","OB"))</f>
        <v/>
      </c>
      <c r="O524" s="157">
        <f>IF($F524="","",IF(COUNTIF(MASTER_JAM!$A$5:$A$94,$C524)=0,"Digger tidak dikenal",IF($J524="","Hauler tidak dikenal",IF($H524="?","Jam salah",IF($K524=0,"Faktor kosong",IF(SUMIFS(INPUT_DELAY!$E$5:$E$20000,INPUT_DELAY!$A$5:$A$20000,$A524,INPUT_DELAY!$B$5:$B$20000,$B524,INPUT_DELAY!$C$5:$C$20000,$C524)+SUMIFS(INPUT_DELAY!$E$5:$E$20000,INPUT_DELAY!$A$5:$A$20000,$A524,INPUT_DELAY!$B$5:$B$20000,$B524,INPUT_DELAY!$C$5:$C$20000,"SEMUA")&gt;=60,"Delay 60 mnt tapi ada ritase","OK"))))))</f>
        <v/>
      </c>
      <c r="P524" s="158">
        <f>IFERROR(INDEX(MASTER_JAM!$Z$5:$AC$10,MATCH($I524,MASTER_JAM!$Y$5:$Y$10,0),MATCH($J524,MASTER_JAM!$Z$4:$AC$4,0))+0,0)</f>
        <v/>
      </c>
      <c r="Q524" s="158">
        <f>IF($P524=0,0,$P524+IFERROR(INDEX(MASTER_JAM!$H$5:$H$94,MATCH($C524,MASTER_JAM!$A$5:$A$94,0))+0,MASTER_JAM!$AC$15)/1000*(60/MASTER_JAM!$AC$12+60/MASTER_JAM!$AC$13)+MASTER_JAM!$AC$14)</f>
        <v/>
      </c>
      <c r="R524" s="158">
        <f>IF(N($F524)=0,0,$F524/SUMIFS(INPUT_RITASE!$F$5:$F$20000,INPUT_RITASE!$A$5:$A$20000,$A524,INPUT_RITASE!$B$5:$B$20000,$B524,INPUT_RITASE!$C$5:$C$20000,$C524,INPUT_RITASE!$D$5:$D$20000,$D524))</f>
        <v/>
      </c>
      <c r="S524" s="158">
        <f>IF($Q524=0,0,$R524*$P524/$Q524)</f>
        <v/>
      </c>
    </row>
    <row r="525">
      <c r="A525" s="155" t="n">
        <v>46105</v>
      </c>
      <c r="B525" s="156" t="inlineStr">
        <is>
          <t>20-21</t>
        </is>
      </c>
      <c r="C525" s="156" t="inlineStr">
        <is>
          <t>EX-754</t>
        </is>
      </c>
      <c r="D525" s="156" t="inlineStr">
        <is>
          <t>DT-513</t>
        </is>
      </c>
      <c r="E525" s="156" t="inlineStr">
        <is>
          <t>OB</t>
        </is>
      </c>
      <c r="F525" s="156" t="n">
        <v>4</v>
      </c>
      <c r="G525" s="156" t="inlineStr"/>
      <c r="H525" s="157">
        <f>IF($B525="","",IF(ISNA(MATCH($B525,MASTER_JAM!$Q$5:$Q$28,0)),"?",IF(MATCH($B525,MASTER_JAM!$Q$5:$Q$28,0)&lt;=12,"DS","NS")))</f>
        <v/>
      </c>
      <c r="I525" s="157">
        <f>IFERROR(INDEX(MASTER_JAM!$B$5:$B$94,MATCH($C525,MASTER_JAM!$A$5:$A$94,0)),"")</f>
        <v/>
      </c>
      <c r="J525" s="157">
        <f>IFERROR(INDEX(MASTER_JAM!$E$5:$E$94,MATCH($D525,MASTER_JAM!$A$5:$A$94,0)),"")</f>
        <v/>
      </c>
      <c r="K525" s="158">
        <f>IFERROR(INDEX(MASTER_JAM!$J$5:$O$12,MATCH($E525,MASTER_JAM!$I$5:$I$12,0),MATCH($J525,MASTER_JAM!$J$4:$O$4,0))+0,0)</f>
        <v/>
      </c>
      <c r="L525" s="159">
        <f>N($F525)*$K525</f>
        <v/>
      </c>
      <c r="M525" s="157">
        <f>IF($E525="","",IF(OR($E525="Coal",$E525="Dirty Coal"),"MT","BCM"))</f>
        <v/>
      </c>
      <c r="N525" s="157">
        <f>IF($E525="","",IF(OR($E525="Coal",$E525="Dirty Coal"),"Coal","OB"))</f>
        <v/>
      </c>
      <c r="O525" s="157">
        <f>IF($F525="","",IF(COUNTIF(MASTER_JAM!$A$5:$A$94,$C525)=0,"Digger tidak dikenal",IF($J525="","Hauler tidak dikenal",IF($H525="?","Jam salah",IF($K525=0,"Faktor kosong",IF(SUMIFS(INPUT_DELAY!$E$5:$E$20000,INPUT_DELAY!$A$5:$A$20000,$A525,INPUT_DELAY!$B$5:$B$20000,$B525,INPUT_DELAY!$C$5:$C$20000,$C525)+SUMIFS(INPUT_DELAY!$E$5:$E$20000,INPUT_DELAY!$A$5:$A$20000,$A525,INPUT_DELAY!$B$5:$B$20000,$B525,INPUT_DELAY!$C$5:$C$20000,"SEMUA")&gt;=60,"Delay 60 mnt tapi ada ritase","OK"))))))</f>
        <v/>
      </c>
      <c r="P525" s="158">
        <f>IFERROR(INDEX(MASTER_JAM!$Z$5:$AC$10,MATCH($I525,MASTER_JAM!$Y$5:$Y$10,0),MATCH($J525,MASTER_JAM!$Z$4:$AC$4,0))+0,0)</f>
        <v/>
      </c>
      <c r="Q525" s="158">
        <f>IF($P525=0,0,$P525+IFERROR(INDEX(MASTER_JAM!$H$5:$H$94,MATCH($C525,MASTER_JAM!$A$5:$A$94,0))+0,MASTER_JAM!$AC$15)/1000*(60/MASTER_JAM!$AC$12+60/MASTER_JAM!$AC$13)+MASTER_JAM!$AC$14)</f>
        <v/>
      </c>
      <c r="R525" s="158">
        <f>IF(N($F525)=0,0,$F525/SUMIFS(INPUT_RITASE!$F$5:$F$20000,INPUT_RITASE!$A$5:$A$20000,$A525,INPUT_RITASE!$B$5:$B$20000,$B525,INPUT_RITASE!$C$5:$C$20000,$C525,INPUT_RITASE!$D$5:$D$20000,$D525))</f>
        <v/>
      </c>
      <c r="S525" s="158">
        <f>IF($Q525=0,0,$R525*$P525/$Q525)</f>
        <v/>
      </c>
    </row>
    <row r="526">
      <c r="A526" s="155" t="n">
        <v>46105</v>
      </c>
      <c r="B526" s="156" t="inlineStr">
        <is>
          <t>20-21</t>
        </is>
      </c>
      <c r="C526" s="156" t="inlineStr">
        <is>
          <t>EX-754</t>
        </is>
      </c>
      <c r="D526" s="156" t="inlineStr">
        <is>
          <t>DT-528</t>
        </is>
      </c>
      <c r="E526" s="156" t="inlineStr">
        <is>
          <t>OB</t>
        </is>
      </c>
      <c r="F526" s="156" t="n">
        <v>4</v>
      </c>
      <c r="G526" s="156" t="inlineStr"/>
      <c r="H526" s="157">
        <f>IF($B526="","",IF(ISNA(MATCH($B526,MASTER_JAM!$Q$5:$Q$28,0)),"?",IF(MATCH($B526,MASTER_JAM!$Q$5:$Q$28,0)&lt;=12,"DS","NS")))</f>
        <v/>
      </c>
      <c r="I526" s="157">
        <f>IFERROR(INDEX(MASTER_JAM!$B$5:$B$94,MATCH($C526,MASTER_JAM!$A$5:$A$94,0)),"")</f>
        <v/>
      </c>
      <c r="J526" s="157">
        <f>IFERROR(INDEX(MASTER_JAM!$E$5:$E$94,MATCH($D526,MASTER_JAM!$A$5:$A$94,0)),"")</f>
        <v/>
      </c>
      <c r="K526" s="158">
        <f>IFERROR(INDEX(MASTER_JAM!$J$5:$O$12,MATCH($E526,MASTER_JAM!$I$5:$I$12,0),MATCH($J526,MASTER_JAM!$J$4:$O$4,0))+0,0)</f>
        <v/>
      </c>
      <c r="L526" s="159">
        <f>N($F526)*$K526</f>
        <v/>
      </c>
      <c r="M526" s="157">
        <f>IF($E526="","",IF(OR($E526="Coal",$E526="Dirty Coal"),"MT","BCM"))</f>
        <v/>
      </c>
      <c r="N526" s="157">
        <f>IF($E526="","",IF(OR($E526="Coal",$E526="Dirty Coal"),"Coal","OB"))</f>
        <v/>
      </c>
      <c r="O526" s="157">
        <f>IF($F526="","",IF(COUNTIF(MASTER_JAM!$A$5:$A$94,$C526)=0,"Digger tidak dikenal",IF($J526="","Hauler tidak dikenal",IF($H526="?","Jam salah",IF($K526=0,"Faktor kosong",IF(SUMIFS(INPUT_DELAY!$E$5:$E$20000,INPUT_DELAY!$A$5:$A$20000,$A526,INPUT_DELAY!$B$5:$B$20000,$B526,INPUT_DELAY!$C$5:$C$20000,$C526)+SUMIFS(INPUT_DELAY!$E$5:$E$20000,INPUT_DELAY!$A$5:$A$20000,$A526,INPUT_DELAY!$B$5:$B$20000,$B526,INPUT_DELAY!$C$5:$C$20000,"SEMUA")&gt;=60,"Delay 60 mnt tapi ada ritase","OK"))))))</f>
        <v/>
      </c>
      <c r="P526" s="158">
        <f>IFERROR(INDEX(MASTER_JAM!$Z$5:$AC$10,MATCH($I526,MASTER_JAM!$Y$5:$Y$10,0),MATCH($J526,MASTER_JAM!$Z$4:$AC$4,0))+0,0)</f>
        <v/>
      </c>
      <c r="Q526" s="158">
        <f>IF($P526=0,0,$P526+IFERROR(INDEX(MASTER_JAM!$H$5:$H$94,MATCH($C526,MASTER_JAM!$A$5:$A$94,0))+0,MASTER_JAM!$AC$15)/1000*(60/MASTER_JAM!$AC$12+60/MASTER_JAM!$AC$13)+MASTER_JAM!$AC$14)</f>
        <v/>
      </c>
      <c r="R526" s="158">
        <f>IF(N($F526)=0,0,$F526/SUMIFS(INPUT_RITASE!$F$5:$F$20000,INPUT_RITASE!$A$5:$A$20000,$A526,INPUT_RITASE!$B$5:$B$20000,$B526,INPUT_RITASE!$C$5:$C$20000,$C526,INPUT_RITASE!$D$5:$D$20000,$D526))</f>
        <v/>
      </c>
      <c r="S526" s="158">
        <f>IF($Q526=0,0,$R526*$P526/$Q526)</f>
        <v/>
      </c>
    </row>
    <row r="527">
      <c r="A527" s="155" t="n">
        <v>46105</v>
      </c>
      <c r="B527" s="156" t="inlineStr">
        <is>
          <t>20-21</t>
        </is>
      </c>
      <c r="C527" s="156" t="inlineStr">
        <is>
          <t>EX-754</t>
        </is>
      </c>
      <c r="D527" s="156" t="inlineStr">
        <is>
          <t>DT-527</t>
        </is>
      </c>
      <c r="E527" s="156" t="inlineStr">
        <is>
          <t>OB</t>
        </is>
      </c>
      <c r="F527" s="156" t="n">
        <v>4</v>
      </c>
      <c r="G527" s="156" t="inlineStr"/>
      <c r="H527" s="157">
        <f>IF($B527="","",IF(ISNA(MATCH($B527,MASTER_JAM!$Q$5:$Q$28,0)),"?",IF(MATCH($B527,MASTER_JAM!$Q$5:$Q$28,0)&lt;=12,"DS","NS")))</f>
        <v/>
      </c>
      <c r="I527" s="157">
        <f>IFERROR(INDEX(MASTER_JAM!$B$5:$B$94,MATCH($C527,MASTER_JAM!$A$5:$A$94,0)),"")</f>
        <v/>
      </c>
      <c r="J527" s="157">
        <f>IFERROR(INDEX(MASTER_JAM!$E$5:$E$94,MATCH($D527,MASTER_JAM!$A$5:$A$94,0)),"")</f>
        <v/>
      </c>
      <c r="K527" s="158">
        <f>IFERROR(INDEX(MASTER_JAM!$J$5:$O$12,MATCH($E527,MASTER_JAM!$I$5:$I$12,0),MATCH($J527,MASTER_JAM!$J$4:$O$4,0))+0,0)</f>
        <v/>
      </c>
      <c r="L527" s="159">
        <f>N($F527)*$K527</f>
        <v/>
      </c>
      <c r="M527" s="157">
        <f>IF($E527="","",IF(OR($E527="Coal",$E527="Dirty Coal"),"MT","BCM"))</f>
        <v/>
      </c>
      <c r="N527" s="157">
        <f>IF($E527="","",IF(OR($E527="Coal",$E527="Dirty Coal"),"Coal","OB"))</f>
        <v/>
      </c>
      <c r="O527" s="157">
        <f>IF($F527="","",IF(COUNTIF(MASTER_JAM!$A$5:$A$94,$C527)=0,"Digger tidak dikenal",IF($J527="","Hauler tidak dikenal",IF($H527="?","Jam salah",IF($K527=0,"Faktor kosong",IF(SUMIFS(INPUT_DELAY!$E$5:$E$20000,INPUT_DELAY!$A$5:$A$20000,$A527,INPUT_DELAY!$B$5:$B$20000,$B527,INPUT_DELAY!$C$5:$C$20000,$C527)+SUMIFS(INPUT_DELAY!$E$5:$E$20000,INPUT_DELAY!$A$5:$A$20000,$A527,INPUT_DELAY!$B$5:$B$20000,$B527,INPUT_DELAY!$C$5:$C$20000,"SEMUA")&gt;=60,"Delay 60 mnt tapi ada ritase","OK"))))))</f>
        <v/>
      </c>
      <c r="P527" s="158">
        <f>IFERROR(INDEX(MASTER_JAM!$Z$5:$AC$10,MATCH($I527,MASTER_JAM!$Y$5:$Y$10,0),MATCH($J527,MASTER_JAM!$Z$4:$AC$4,0))+0,0)</f>
        <v/>
      </c>
      <c r="Q527" s="158">
        <f>IF($P527=0,0,$P527+IFERROR(INDEX(MASTER_JAM!$H$5:$H$94,MATCH($C527,MASTER_JAM!$A$5:$A$94,0))+0,MASTER_JAM!$AC$15)/1000*(60/MASTER_JAM!$AC$12+60/MASTER_JAM!$AC$13)+MASTER_JAM!$AC$14)</f>
        <v/>
      </c>
      <c r="R527" s="158">
        <f>IF(N($F527)=0,0,$F527/SUMIFS(INPUT_RITASE!$F$5:$F$20000,INPUT_RITASE!$A$5:$A$20000,$A527,INPUT_RITASE!$B$5:$B$20000,$B527,INPUT_RITASE!$C$5:$C$20000,$C527,INPUT_RITASE!$D$5:$D$20000,$D527))</f>
        <v/>
      </c>
      <c r="S527" s="158">
        <f>IF($Q527=0,0,$R527*$P527/$Q527)</f>
        <v/>
      </c>
    </row>
    <row r="528">
      <c r="A528" s="155" t="n">
        <v>46105</v>
      </c>
      <c r="B528" s="156" t="inlineStr">
        <is>
          <t>20-21</t>
        </is>
      </c>
      <c r="C528" s="156" t="inlineStr">
        <is>
          <t>EX-754</t>
        </is>
      </c>
      <c r="D528" s="156" t="inlineStr">
        <is>
          <t>DT-512</t>
        </is>
      </c>
      <c r="E528" s="156" t="inlineStr">
        <is>
          <t>OB</t>
        </is>
      </c>
      <c r="F528" s="156" t="n">
        <v>3</v>
      </c>
      <c r="G528" s="156" t="inlineStr"/>
      <c r="H528" s="157">
        <f>IF($B528="","",IF(ISNA(MATCH($B528,MASTER_JAM!$Q$5:$Q$28,0)),"?",IF(MATCH($B528,MASTER_JAM!$Q$5:$Q$28,0)&lt;=12,"DS","NS")))</f>
        <v/>
      </c>
      <c r="I528" s="157">
        <f>IFERROR(INDEX(MASTER_JAM!$B$5:$B$94,MATCH($C528,MASTER_JAM!$A$5:$A$94,0)),"")</f>
        <v/>
      </c>
      <c r="J528" s="157">
        <f>IFERROR(INDEX(MASTER_JAM!$E$5:$E$94,MATCH($D528,MASTER_JAM!$A$5:$A$94,0)),"")</f>
        <v/>
      </c>
      <c r="K528" s="158">
        <f>IFERROR(INDEX(MASTER_JAM!$J$5:$O$12,MATCH($E528,MASTER_JAM!$I$5:$I$12,0),MATCH($J528,MASTER_JAM!$J$4:$O$4,0))+0,0)</f>
        <v/>
      </c>
      <c r="L528" s="159">
        <f>N($F528)*$K528</f>
        <v/>
      </c>
      <c r="M528" s="157">
        <f>IF($E528="","",IF(OR($E528="Coal",$E528="Dirty Coal"),"MT","BCM"))</f>
        <v/>
      </c>
      <c r="N528" s="157">
        <f>IF($E528="","",IF(OR($E528="Coal",$E528="Dirty Coal"),"Coal","OB"))</f>
        <v/>
      </c>
      <c r="O528" s="157">
        <f>IF($F528="","",IF(COUNTIF(MASTER_JAM!$A$5:$A$94,$C528)=0,"Digger tidak dikenal",IF($J528="","Hauler tidak dikenal",IF($H528="?","Jam salah",IF($K528=0,"Faktor kosong",IF(SUMIFS(INPUT_DELAY!$E$5:$E$20000,INPUT_DELAY!$A$5:$A$20000,$A528,INPUT_DELAY!$B$5:$B$20000,$B528,INPUT_DELAY!$C$5:$C$20000,$C528)+SUMIFS(INPUT_DELAY!$E$5:$E$20000,INPUT_DELAY!$A$5:$A$20000,$A528,INPUT_DELAY!$B$5:$B$20000,$B528,INPUT_DELAY!$C$5:$C$20000,"SEMUA")&gt;=60,"Delay 60 mnt tapi ada ritase","OK"))))))</f>
        <v/>
      </c>
      <c r="P528" s="158">
        <f>IFERROR(INDEX(MASTER_JAM!$Z$5:$AC$10,MATCH($I528,MASTER_JAM!$Y$5:$Y$10,0),MATCH($J528,MASTER_JAM!$Z$4:$AC$4,0))+0,0)</f>
        <v/>
      </c>
      <c r="Q528" s="158">
        <f>IF($P528=0,0,$P528+IFERROR(INDEX(MASTER_JAM!$H$5:$H$94,MATCH($C528,MASTER_JAM!$A$5:$A$94,0))+0,MASTER_JAM!$AC$15)/1000*(60/MASTER_JAM!$AC$12+60/MASTER_JAM!$AC$13)+MASTER_JAM!$AC$14)</f>
        <v/>
      </c>
      <c r="R528" s="158">
        <f>IF(N($F528)=0,0,$F528/SUMIFS(INPUT_RITASE!$F$5:$F$20000,INPUT_RITASE!$A$5:$A$20000,$A528,INPUT_RITASE!$B$5:$B$20000,$B528,INPUT_RITASE!$C$5:$C$20000,$C528,INPUT_RITASE!$D$5:$D$20000,$D528))</f>
        <v/>
      </c>
      <c r="S528" s="158">
        <f>IF($Q528=0,0,$R528*$P528/$Q528)</f>
        <v/>
      </c>
    </row>
    <row r="529">
      <c r="A529" s="155" t="n">
        <v>46105</v>
      </c>
      <c r="B529" s="156" t="inlineStr">
        <is>
          <t>21-22</t>
        </is>
      </c>
      <c r="C529" s="156" t="inlineStr">
        <is>
          <t>EX-754</t>
        </is>
      </c>
      <c r="D529" s="156" t="inlineStr">
        <is>
          <t>DT-521</t>
        </is>
      </c>
      <c r="E529" s="156" t="inlineStr">
        <is>
          <t>OB</t>
        </is>
      </c>
      <c r="F529" s="156" t="n">
        <v>4</v>
      </c>
      <c r="G529" s="156" t="inlineStr"/>
      <c r="H529" s="157">
        <f>IF($B529="","",IF(ISNA(MATCH($B529,MASTER_JAM!$Q$5:$Q$28,0)),"?",IF(MATCH($B529,MASTER_JAM!$Q$5:$Q$28,0)&lt;=12,"DS","NS")))</f>
        <v/>
      </c>
      <c r="I529" s="157">
        <f>IFERROR(INDEX(MASTER_JAM!$B$5:$B$94,MATCH($C529,MASTER_JAM!$A$5:$A$94,0)),"")</f>
        <v/>
      </c>
      <c r="J529" s="157">
        <f>IFERROR(INDEX(MASTER_JAM!$E$5:$E$94,MATCH($D529,MASTER_JAM!$A$5:$A$94,0)),"")</f>
        <v/>
      </c>
      <c r="K529" s="158">
        <f>IFERROR(INDEX(MASTER_JAM!$J$5:$O$12,MATCH($E529,MASTER_JAM!$I$5:$I$12,0),MATCH($J529,MASTER_JAM!$J$4:$O$4,0))+0,0)</f>
        <v/>
      </c>
      <c r="L529" s="159">
        <f>N($F529)*$K529</f>
        <v/>
      </c>
      <c r="M529" s="157">
        <f>IF($E529="","",IF(OR($E529="Coal",$E529="Dirty Coal"),"MT","BCM"))</f>
        <v/>
      </c>
      <c r="N529" s="157">
        <f>IF($E529="","",IF(OR($E529="Coal",$E529="Dirty Coal"),"Coal","OB"))</f>
        <v/>
      </c>
      <c r="O529" s="157">
        <f>IF($F529="","",IF(COUNTIF(MASTER_JAM!$A$5:$A$94,$C529)=0,"Digger tidak dikenal",IF($J529="","Hauler tidak dikenal",IF($H529="?","Jam salah",IF($K529=0,"Faktor kosong",IF(SUMIFS(INPUT_DELAY!$E$5:$E$20000,INPUT_DELAY!$A$5:$A$20000,$A529,INPUT_DELAY!$B$5:$B$20000,$B529,INPUT_DELAY!$C$5:$C$20000,$C529)+SUMIFS(INPUT_DELAY!$E$5:$E$20000,INPUT_DELAY!$A$5:$A$20000,$A529,INPUT_DELAY!$B$5:$B$20000,$B529,INPUT_DELAY!$C$5:$C$20000,"SEMUA")&gt;=60,"Delay 60 mnt tapi ada ritase","OK"))))))</f>
        <v/>
      </c>
      <c r="P529" s="158">
        <f>IFERROR(INDEX(MASTER_JAM!$Z$5:$AC$10,MATCH($I529,MASTER_JAM!$Y$5:$Y$10,0),MATCH($J529,MASTER_JAM!$Z$4:$AC$4,0))+0,0)</f>
        <v/>
      </c>
      <c r="Q529" s="158">
        <f>IF($P529=0,0,$P529+IFERROR(INDEX(MASTER_JAM!$H$5:$H$94,MATCH($C529,MASTER_JAM!$A$5:$A$94,0))+0,MASTER_JAM!$AC$15)/1000*(60/MASTER_JAM!$AC$12+60/MASTER_JAM!$AC$13)+MASTER_JAM!$AC$14)</f>
        <v/>
      </c>
      <c r="R529" s="158">
        <f>IF(N($F529)=0,0,$F529/SUMIFS(INPUT_RITASE!$F$5:$F$20000,INPUT_RITASE!$A$5:$A$20000,$A529,INPUT_RITASE!$B$5:$B$20000,$B529,INPUT_RITASE!$C$5:$C$20000,$C529,INPUT_RITASE!$D$5:$D$20000,$D529))</f>
        <v/>
      </c>
      <c r="S529" s="158">
        <f>IF($Q529=0,0,$R529*$P529/$Q529)</f>
        <v/>
      </c>
    </row>
    <row r="530">
      <c r="A530" s="155" t="n">
        <v>46105</v>
      </c>
      <c r="B530" s="156" t="inlineStr">
        <is>
          <t>21-22</t>
        </is>
      </c>
      <c r="C530" s="156" t="inlineStr">
        <is>
          <t>EX-754</t>
        </is>
      </c>
      <c r="D530" s="156" t="inlineStr">
        <is>
          <t>DT-529</t>
        </is>
      </c>
      <c r="E530" s="156" t="inlineStr">
        <is>
          <t>OB</t>
        </is>
      </c>
      <c r="F530" s="156" t="n">
        <v>4</v>
      </c>
      <c r="G530" s="156" t="inlineStr"/>
      <c r="H530" s="157">
        <f>IF($B530="","",IF(ISNA(MATCH($B530,MASTER_JAM!$Q$5:$Q$28,0)),"?",IF(MATCH($B530,MASTER_JAM!$Q$5:$Q$28,0)&lt;=12,"DS","NS")))</f>
        <v/>
      </c>
      <c r="I530" s="157">
        <f>IFERROR(INDEX(MASTER_JAM!$B$5:$B$94,MATCH($C530,MASTER_JAM!$A$5:$A$94,0)),"")</f>
        <v/>
      </c>
      <c r="J530" s="157">
        <f>IFERROR(INDEX(MASTER_JAM!$E$5:$E$94,MATCH($D530,MASTER_JAM!$A$5:$A$94,0)),"")</f>
        <v/>
      </c>
      <c r="K530" s="158">
        <f>IFERROR(INDEX(MASTER_JAM!$J$5:$O$12,MATCH($E530,MASTER_JAM!$I$5:$I$12,0),MATCH($J530,MASTER_JAM!$J$4:$O$4,0))+0,0)</f>
        <v/>
      </c>
      <c r="L530" s="159">
        <f>N($F530)*$K530</f>
        <v/>
      </c>
      <c r="M530" s="157">
        <f>IF($E530="","",IF(OR($E530="Coal",$E530="Dirty Coal"),"MT","BCM"))</f>
        <v/>
      </c>
      <c r="N530" s="157">
        <f>IF($E530="","",IF(OR($E530="Coal",$E530="Dirty Coal"),"Coal","OB"))</f>
        <v/>
      </c>
      <c r="O530" s="157">
        <f>IF($F530="","",IF(COUNTIF(MASTER_JAM!$A$5:$A$94,$C530)=0,"Digger tidak dikenal",IF($J530="","Hauler tidak dikenal",IF($H530="?","Jam salah",IF($K530=0,"Faktor kosong",IF(SUMIFS(INPUT_DELAY!$E$5:$E$20000,INPUT_DELAY!$A$5:$A$20000,$A530,INPUT_DELAY!$B$5:$B$20000,$B530,INPUT_DELAY!$C$5:$C$20000,$C530)+SUMIFS(INPUT_DELAY!$E$5:$E$20000,INPUT_DELAY!$A$5:$A$20000,$A530,INPUT_DELAY!$B$5:$B$20000,$B530,INPUT_DELAY!$C$5:$C$20000,"SEMUA")&gt;=60,"Delay 60 mnt tapi ada ritase","OK"))))))</f>
        <v/>
      </c>
      <c r="P530" s="158">
        <f>IFERROR(INDEX(MASTER_JAM!$Z$5:$AC$10,MATCH($I530,MASTER_JAM!$Y$5:$Y$10,0),MATCH($J530,MASTER_JAM!$Z$4:$AC$4,0))+0,0)</f>
        <v/>
      </c>
      <c r="Q530" s="158">
        <f>IF($P530=0,0,$P530+IFERROR(INDEX(MASTER_JAM!$H$5:$H$94,MATCH($C530,MASTER_JAM!$A$5:$A$94,0))+0,MASTER_JAM!$AC$15)/1000*(60/MASTER_JAM!$AC$12+60/MASTER_JAM!$AC$13)+MASTER_JAM!$AC$14)</f>
        <v/>
      </c>
      <c r="R530" s="158">
        <f>IF(N($F530)=0,0,$F530/SUMIFS(INPUT_RITASE!$F$5:$F$20000,INPUT_RITASE!$A$5:$A$20000,$A530,INPUT_RITASE!$B$5:$B$20000,$B530,INPUT_RITASE!$C$5:$C$20000,$C530,INPUT_RITASE!$D$5:$D$20000,$D530))</f>
        <v/>
      </c>
      <c r="S530" s="158">
        <f>IF($Q530=0,0,$R530*$P530/$Q530)</f>
        <v/>
      </c>
    </row>
    <row r="531">
      <c r="A531" s="155" t="n">
        <v>46105</v>
      </c>
      <c r="B531" s="156" t="inlineStr">
        <is>
          <t>21-22</t>
        </is>
      </c>
      <c r="C531" s="156" t="inlineStr">
        <is>
          <t>EX-754</t>
        </is>
      </c>
      <c r="D531" s="156" t="inlineStr">
        <is>
          <t>DT-515</t>
        </is>
      </c>
      <c r="E531" s="156" t="inlineStr">
        <is>
          <t>OB</t>
        </is>
      </c>
      <c r="F531" s="156" t="n">
        <v>3</v>
      </c>
      <c r="G531" s="156" t="inlineStr"/>
      <c r="H531" s="157">
        <f>IF($B531="","",IF(ISNA(MATCH($B531,MASTER_JAM!$Q$5:$Q$28,0)),"?",IF(MATCH($B531,MASTER_JAM!$Q$5:$Q$28,0)&lt;=12,"DS","NS")))</f>
        <v/>
      </c>
      <c r="I531" s="157">
        <f>IFERROR(INDEX(MASTER_JAM!$B$5:$B$94,MATCH($C531,MASTER_JAM!$A$5:$A$94,0)),"")</f>
        <v/>
      </c>
      <c r="J531" s="157">
        <f>IFERROR(INDEX(MASTER_JAM!$E$5:$E$94,MATCH($D531,MASTER_JAM!$A$5:$A$94,0)),"")</f>
        <v/>
      </c>
      <c r="K531" s="158">
        <f>IFERROR(INDEX(MASTER_JAM!$J$5:$O$12,MATCH($E531,MASTER_JAM!$I$5:$I$12,0),MATCH($J531,MASTER_JAM!$J$4:$O$4,0))+0,0)</f>
        <v/>
      </c>
      <c r="L531" s="159">
        <f>N($F531)*$K531</f>
        <v/>
      </c>
      <c r="M531" s="157">
        <f>IF($E531="","",IF(OR($E531="Coal",$E531="Dirty Coal"),"MT","BCM"))</f>
        <v/>
      </c>
      <c r="N531" s="157">
        <f>IF($E531="","",IF(OR($E531="Coal",$E531="Dirty Coal"),"Coal","OB"))</f>
        <v/>
      </c>
      <c r="O531" s="157">
        <f>IF($F531="","",IF(COUNTIF(MASTER_JAM!$A$5:$A$94,$C531)=0,"Digger tidak dikenal",IF($J531="","Hauler tidak dikenal",IF($H531="?","Jam salah",IF($K531=0,"Faktor kosong",IF(SUMIFS(INPUT_DELAY!$E$5:$E$20000,INPUT_DELAY!$A$5:$A$20000,$A531,INPUT_DELAY!$B$5:$B$20000,$B531,INPUT_DELAY!$C$5:$C$20000,$C531)+SUMIFS(INPUT_DELAY!$E$5:$E$20000,INPUT_DELAY!$A$5:$A$20000,$A531,INPUT_DELAY!$B$5:$B$20000,$B531,INPUT_DELAY!$C$5:$C$20000,"SEMUA")&gt;=60,"Delay 60 mnt tapi ada ritase","OK"))))))</f>
        <v/>
      </c>
      <c r="P531" s="158">
        <f>IFERROR(INDEX(MASTER_JAM!$Z$5:$AC$10,MATCH($I531,MASTER_JAM!$Y$5:$Y$10,0),MATCH($J531,MASTER_JAM!$Z$4:$AC$4,0))+0,0)</f>
        <v/>
      </c>
      <c r="Q531" s="158">
        <f>IF($P531=0,0,$P531+IFERROR(INDEX(MASTER_JAM!$H$5:$H$94,MATCH($C531,MASTER_JAM!$A$5:$A$94,0))+0,MASTER_JAM!$AC$15)/1000*(60/MASTER_JAM!$AC$12+60/MASTER_JAM!$AC$13)+MASTER_JAM!$AC$14)</f>
        <v/>
      </c>
      <c r="R531" s="158">
        <f>IF(N($F531)=0,0,$F531/SUMIFS(INPUT_RITASE!$F$5:$F$20000,INPUT_RITASE!$A$5:$A$20000,$A531,INPUT_RITASE!$B$5:$B$20000,$B531,INPUT_RITASE!$C$5:$C$20000,$C531,INPUT_RITASE!$D$5:$D$20000,$D531))</f>
        <v/>
      </c>
      <c r="S531" s="158">
        <f>IF($Q531=0,0,$R531*$P531/$Q531)</f>
        <v/>
      </c>
    </row>
    <row r="532">
      <c r="A532" s="155" t="n">
        <v>46105</v>
      </c>
      <c r="B532" s="156" t="inlineStr">
        <is>
          <t>21-22</t>
        </is>
      </c>
      <c r="C532" s="156" t="inlineStr">
        <is>
          <t>EX-754</t>
        </is>
      </c>
      <c r="D532" s="156" t="inlineStr">
        <is>
          <t>DT-517</t>
        </is>
      </c>
      <c r="E532" s="156" t="inlineStr">
        <is>
          <t>OB</t>
        </is>
      </c>
      <c r="F532" s="156" t="n">
        <v>3</v>
      </c>
      <c r="G532" s="156" t="inlineStr"/>
      <c r="H532" s="157">
        <f>IF($B532="","",IF(ISNA(MATCH($B532,MASTER_JAM!$Q$5:$Q$28,0)),"?",IF(MATCH($B532,MASTER_JAM!$Q$5:$Q$28,0)&lt;=12,"DS","NS")))</f>
        <v/>
      </c>
      <c r="I532" s="157">
        <f>IFERROR(INDEX(MASTER_JAM!$B$5:$B$94,MATCH($C532,MASTER_JAM!$A$5:$A$94,0)),"")</f>
        <v/>
      </c>
      <c r="J532" s="157">
        <f>IFERROR(INDEX(MASTER_JAM!$E$5:$E$94,MATCH($D532,MASTER_JAM!$A$5:$A$94,0)),"")</f>
        <v/>
      </c>
      <c r="K532" s="158">
        <f>IFERROR(INDEX(MASTER_JAM!$J$5:$O$12,MATCH($E532,MASTER_JAM!$I$5:$I$12,0),MATCH($J532,MASTER_JAM!$J$4:$O$4,0))+0,0)</f>
        <v/>
      </c>
      <c r="L532" s="159">
        <f>N($F532)*$K532</f>
        <v/>
      </c>
      <c r="M532" s="157">
        <f>IF($E532="","",IF(OR($E532="Coal",$E532="Dirty Coal"),"MT","BCM"))</f>
        <v/>
      </c>
      <c r="N532" s="157">
        <f>IF($E532="","",IF(OR($E532="Coal",$E532="Dirty Coal"),"Coal","OB"))</f>
        <v/>
      </c>
      <c r="O532" s="157">
        <f>IF($F532="","",IF(COUNTIF(MASTER_JAM!$A$5:$A$94,$C532)=0,"Digger tidak dikenal",IF($J532="","Hauler tidak dikenal",IF($H532="?","Jam salah",IF($K532=0,"Faktor kosong",IF(SUMIFS(INPUT_DELAY!$E$5:$E$20000,INPUT_DELAY!$A$5:$A$20000,$A532,INPUT_DELAY!$B$5:$B$20000,$B532,INPUT_DELAY!$C$5:$C$20000,$C532)+SUMIFS(INPUT_DELAY!$E$5:$E$20000,INPUT_DELAY!$A$5:$A$20000,$A532,INPUT_DELAY!$B$5:$B$20000,$B532,INPUT_DELAY!$C$5:$C$20000,"SEMUA")&gt;=60,"Delay 60 mnt tapi ada ritase","OK"))))))</f>
        <v/>
      </c>
      <c r="P532" s="158">
        <f>IFERROR(INDEX(MASTER_JAM!$Z$5:$AC$10,MATCH($I532,MASTER_JAM!$Y$5:$Y$10,0),MATCH($J532,MASTER_JAM!$Z$4:$AC$4,0))+0,0)</f>
        <v/>
      </c>
      <c r="Q532" s="158">
        <f>IF($P532=0,0,$P532+IFERROR(INDEX(MASTER_JAM!$H$5:$H$94,MATCH($C532,MASTER_JAM!$A$5:$A$94,0))+0,MASTER_JAM!$AC$15)/1000*(60/MASTER_JAM!$AC$12+60/MASTER_JAM!$AC$13)+MASTER_JAM!$AC$14)</f>
        <v/>
      </c>
      <c r="R532" s="158">
        <f>IF(N($F532)=0,0,$F532/SUMIFS(INPUT_RITASE!$F$5:$F$20000,INPUT_RITASE!$A$5:$A$20000,$A532,INPUT_RITASE!$B$5:$B$20000,$B532,INPUT_RITASE!$C$5:$C$20000,$C532,INPUT_RITASE!$D$5:$D$20000,$D532))</f>
        <v/>
      </c>
      <c r="S532" s="158">
        <f>IF($Q532=0,0,$R532*$P532/$Q532)</f>
        <v/>
      </c>
    </row>
    <row r="533">
      <c r="A533" s="155" t="n">
        <v>46105</v>
      </c>
      <c r="B533" s="156" t="inlineStr">
        <is>
          <t>21-22</t>
        </is>
      </c>
      <c r="C533" s="156" t="inlineStr">
        <is>
          <t>EX-754</t>
        </is>
      </c>
      <c r="D533" s="156" t="inlineStr">
        <is>
          <t>DT-508</t>
        </is>
      </c>
      <c r="E533" s="156" t="inlineStr">
        <is>
          <t>OB</t>
        </is>
      </c>
      <c r="F533" s="156" t="n">
        <v>3</v>
      </c>
      <c r="G533" s="156" t="inlineStr"/>
      <c r="H533" s="157">
        <f>IF($B533="","",IF(ISNA(MATCH($B533,MASTER_JAM!$Q$5:$Q$28,0)),"?",IF(MATCH($B533,MASTER_JAM!$Q$5:$Q$28,0)&lt;=12,"DS","NS")))</f>
        <v/>
      </c>
      <c r="I533" s="157">
        <f>IFERROR(INDEX(MASTER_JAM!$B$5:$B$94,MATCH($C533,MASTER_JAM!$A$5:$A$94,0)),"")</f>
        <v/>
      </c>
      <c r="J533" s="157">
        <f>IFERROR(INDEX(MASTER_JAM!$E$5:$E$94,MATCH($D533,MASTER_JAM!$A$5:$A$94,0)),"")</f>
        <v/>
      </c>
      <c r="K533" s="158">
        <f>IFERROR(INDEX(MASTER_JAM!$J$5:$O$12,MATCH($E533,MASTER_JAM!$I$5:$I$12,0),MATCH($J533,MASTER_JAM!$J$4:$O$4,0))+0,0)</f>
        <v/>
      </c>
      <c r="L533" s="159">
        <f>N($F533)*$K533</f>
        <v/>
      </c>
      <c r="M533" s="157">
        <f>IF($E533="","",IF(OR($E533="Coal",$E533="Dirty Coal"),"MT","BCM"))</f>
        <v/>
      </c>
      <c r="N533" s="157">
        <f>IF($E533="","",IF(OR($E533="Coal",$E533="Dirty Coal"),"Coal","OB"))</f>
        <v/>
      </c>
      <c r="O533" s="157">
        <f>IF($F533="","",IF(COUNTIF(MASTER_JAM!$A$5:$A$94,$C533)=0,"Digger tidak dikenal",IF($J533="","Hauler tidak dikenal",IF($H533="?","Jam salah",IF($K533=0,"Faktor kosong",IF(SUMIFS(INPUT_DELAY!$E$5:$E$20000,INPUT_DELAY!$A$5:$A$20000,$A533,INPUT_DELAY!$B$5:$B$20000,$B533,INPUT_DELAY!$C$5:$C$20000,$C533)+SUMIFS(INPUT_DELAY!$E$5:$E$20000,INPUT_DELAY!$A$5:$A$20000,$A533,INPUT_DELAY!$B$5:$B$20000,$B533,INPUT_DELAY!$C$5:$C$20000,"SEMUA")&gt;=60,"Delay 60 mnt tapi ada ritase","OK"))))))</f>
        <v/>
      </c>
      <c r="P533" s="158">
        <f>IFERROR(INDEX(MASTER_JAM!$Z$5:$AC$10,MATCH($I533,MASTER_JAM!$Y$5:$Y$10,0),MATCH($J533,MASTER_JAM!$Z$4:$AC$4,0))+0,0)</f>
        <v/>
      </c>
      <c r="Q533" s="158">
        <f>IF($P533=0,0,$P533+IFERROR(INDEX(MASTER_JAM!$H$5:$H$94,MATCH($C533,MASTER_JAM!$A$5:$A$94,0))+0,MASTER_JAM!$AC$15)/1000*(60/MASTER_JAM!$AC$12+60/MASTER_JAM!$AC$13)+MASTER_JAM!$AC$14)</f>
        <v/>
      </c>
      <c r="R533" s="158">
        <f>IF(N($F533)=0,0,$F533/SUMIFS(INPUT_RITASE!$F$5:$F$20000,INPUT_RITASE!$A$5:$A$20000,$A533,INPUT_RITASE!$B$5:$B$20000,$B533,INPUT_RITASE!$C$5:$C$20000,$C533,INPUT_RITASE!$D$5:$D$20000,$D533))</f>
        <v/>
      </c>
      <c r="S533" s="158">
        <f>IF($Q533=0,0,$R533*$P533/$Q533)</f>
        <v/>
      </c>
    </row>
    <row r="534">
      <c r="A534" s="155" t="n">
        <v>46105</v>
      </c>
      <c r="B534" s="156" t="inlineStr">
        <is>
          <t>22-23</t>
        </is>
      </c>
      <c r="C534" s="156" t="inlineStr">
        <is>
          <t>EX-754</t>
        </is>
      </c>
      <c r="D534" s="156" t="inlineStr">
        <is>
          <t>DT-526</t>
        </is>
      </c>
      <c r="E534" s="156" t="inlineStr">
        <is>
          <t>OB</t>
        </is>
      </c>
      <c r="F534" s="156" t="n">
        <v>4</v>
      </c>
      <c r="G534" s="156" t="inlineStr"/>
      <c r="H534" s="157">
        <f>IF($B534="","",IF(ISNA(MATCH($B534,MASTER_JAM!$Q$5:$Q$28,0)),"?",IF(MATCH($B534,MASTER_JAM!$Q$5:$Q$28,0)&lt;=12,"DS","NS")))</f>
        <v/>
      </c>
      <c r="I534" s="157">
        <f>IFERROR(INDEX(MASTER_JAM!$B$5:$B$94,MATCH($C534,MASTER_JAM!$A$5:$A$94,0)),"")</f>
        <v/>
      </c>
      <c r="J534" s="157">
        <f>IFERROR(INDEX(MASTER_JAM!$E$5:$E$94,MATCH($D534,MASTER_JAM!$A$5:$A$94,0)),"")</f>
        <v/>
      </c>
      <c r="K534" s="158">
        <f>IFERROR(INDEX(MASTER_JAM!$J$5:$O$12,MATCH($E534,MASTER_JAM!$I$5:$I$12,0),MATCH($J534,MASTER_JAM!$J$4:$O$4,0))+0,0)</f>
        <v/>
      </c>
      <c r="L534" s="159">
        <f>N($F534)*$K534</f>
        <v/>
      </c>
      <c r="M534" s="157">
        <f>IF($E534="","",IF(OR($E534="Coal",$E534="Dirty Coal"),"MT","BCM"))</f>
        <v/>
      </c>
      <c r="N534" s="157">
        <f>IF($E534="","",IF(OR($E534="Coal",$E534="Dirty Coal"),"Coal","OB"))</f>
        <v/>
      </c>
      <c r="O534" s="157">
        <f>IF($F534="","",IF(COUNTIF(MASTER_JAM!$A$5:$A$94,$C534)=0,"Digger tidak dikenal",IF($J534="","Hauler tidak dikenal",IF($H534="?","Jam salah",IF($K534=0,"Faktor kosong",IF(SUMIFS(INPUT_DELAY!$E$5:$E$20000,INPUT_DELAY!$A$5:$A$20000,$A534,INPUT_DELAY!$B$5:$B$20000,$B534,INPUT_DELAY!$C$5:$C$20000,$C534)+SUMIFS(INPUT_DELAY!$E$5:$E$20000,INPUT_DELAY!$A$5:$A$20000,$A534,INPUT_DELAY!$B$5:$B$20000,$B534,INPUT_DELAY!$C$5:$C$20000,"SEMUA")&gt;=60,"Delay 60 mnt tapi ada ritase","OK"))))))</f>
        <v/>
      </c>
      <c r="P534" s="158">
        <f>IFERROR(INDEX(MASTER_JAM!$Z$5:$AC$10,MATCH($I534,MASTER_JAM!$Y$5:$Y$10,0),MATCH($J534,MASTER_JAM!$Z$4:$AC$4,0))+0,0)</f>
        <v/>
      </c>
      <c r="Q534" s="158">
        <f>IF($P534=0,0,$P534+IFERROR(INDEX(MASTER_JAM!$H$5:$H$94,MATCH($C534,MASTER_JAM!$A$5:$A$94,0))+0,MASTER_JAM!$AC$15)/1000*(60/MASTER_JAM!$AC$12+60/MASTER_JAM!$AC$13)+MASTER_JAM!$AC$14)</f>
        <v/>
      </c>
      <c r="R534" s="158">
        <f>IF(N($F534)=0,0,$F534/SUMIFS(INPUT_RITASE!$F$5:$F$20000,INPUT_RITASE!$A$5:$A$20000,$A534,INPUT_RITASE!$B$5:$B$20000,$B534,INPUT_RITASE!$C$5:$C$20000,$C534,INPUT_RITASE!$D$5:$D$20000,$D534))</f>
        <v/>
      </c>
      <c r="S534" s="158">
        <f>IF($Q534=0,0,$R534*$P534/$Q534)</f>
        <v/>
      </c>
    </row>
    <row r="535">
      <c r="A535" s="155" t="n">
        <v>46105</v>
      </c>
      <c r="B535" s="156" t="inlineStr">
        <is>
          <t>22-23</t>
        </is>
      </c>
      <c r="C535" s="156" t="inlineStr">
        <is>
          <t>EX-754</t>
        </is>
      </c>
      <c r="D535" s="156" t="inlineStr">
        <is>
          <t>DT-505</t>
        </is>
      </c>
      <c r="E535" s="156" t="inlineStr">
        <is>
          <t>OB</t>
        </is>
      </c>
      <c r="F535" s="156" t="n">
        <v>4</v>
      </c>
      <c r="G535" s="156" t="inlineStr"/>
      <c r="H535" s="157">
        <f>IF($B535="","",IF(ISNA(MATCH($B535,MASTER_JAM!$Q$5:$Q$28,0)),"?",IF(MATCH($B535,MASTER_JAM!$Q$5:$Q$28,0)&lt;=12,"DS","NS")))</f>
        <v/>
      </c>
      <c r="I535" s="157">
        <f>IFERROR(INDEX(MASTER_JAM!$B$5:$B$94,MATCH($C535,MASTER_JAM!$A$5:$A$94,0)),"")</f>
        <v/>
      </c>
      <c r="J535" s="157">
        <f>IFERROR(INDEX(MASTER_JAM!$E$5:$E$94,MATCH($D535,MASTER_JAM!$A$5:$A$94,0)),"")</f>
        <v/>
      </c>
      <c r="K535" s="158">
        <f>IFERROR(INDEX(MASTER_JAM!$J$5:$O$12,MATCH($E535,MASTER_JAM!$I$5:$I$12,0),MATCH($J535,MASTER_JAM!$J$4:$O$4,0))+0,0)</f>
        <v/>
      </c>
      <c r="L535" s="159">
        <f>N($F535)*$K535</f>
        <v/>
      </c>
      <c r="M535" s="157">
        <f>IF($E535="","",IF(OR($E535="Coal",$E535="Dirty Coal"),"MT","BCM"))</f>
        <v/>
      </c>
      <c r="N535" s="157">
        <f>IF($E535="","",IF(OR($E535="Coal",$E535="Dirty Coal"),"Coal","OB"))</f>
        <v/>
      </c>
      <c r="O535" s="157">
        <f>IF($F535="","",IF(COUNTIF(MASTER_JAM!$A$5:$A$94,$C535)=0,"Digger tidak dikenal",IF($J535="","Hauler tidak dikenal",IF($H535="?","Jam salah",IF($K535=0,"Faktor kosong",IF(SUMIFS(INPUT_DELAY!$E$5:$E$20000,INPUT_DELAY!$A$5:$A$20000,$A535,INPUT_DELAY!$B$5:$B$20000,$B535,INPUT_DELAY!$C$5:$C$20000,$C535)+SUMIFS(INPUT_DELAY!$E$5:$E$20000,INPUT_DELAY!$A$5:$A$20000,$A535,INPUT_DELAY!$B$5:$B$20000,$B535,INPUT_DELAY!$C$5:$C$20000,"SEMUA")&gt;=60,"Delay 60 mnt tapi ada ritase","OK"))))))</f>
        <v/>
      </c>
      <c r="P535" s="158">
        <f>IFERROR(INDEX(MASTER_JAM!$Z$5:$AC$10,MATCH($I535,MASTER_JAM!$Y$5:$Y$10,0),MATCH($J535,MASTER_JAM!$Z$4:$AC$4,0))+0,0)</f>
        <v/>
      </c>
      <c r="Q535" s="158">
        <f>IF($P535=0,0,$P535+IFERROR(INDEX(MASTER_JAM!$H$5:$H$94,MATCH($C535,MASTER_JAM!$A$5:$A$94,0))+0,MASTER_JAM!$AC$15)/1000*(60/MASTER_JAM!$AC$12+60/MASTER_JAM!$AC$13)+MASTER_JAM!$AC$14)</f>
        <v/>
      </c>
      <c r="R535" s="158">
        <f>IF(N($F535)=0,0,$F535/SUMIFS(INPUT_RITASE!$F$5:$F$20000,INPUT_RITASE!$A$5:$A$20000,$A535,INPUT_RITASE!$B$5:$B$20000,$B535,INPUT_RITASE!$C$5:$C$20000,$C535,INPUT_RITASE!$D$5:$D$20000,$D535))</f>
        <v/>
      </c>
      <c r="S535" s="158">
        <f>IF($Q535=0,0,$R535*$P535/$Q535)</f>
        <v/>
      </c>
    </row>
    <row r="536">
      <c r="A536" s="155" t="n">
        <v>46105</v>
      </c>
      <c r="B536" s="156" t="inlineStr">
        <is>
          <t>22-23</t>
        </is>
      </c>
      <c r="C536" s="156" t="inlineStr">
        <is>
          <t>EX-754</t>
        </is>
      </c>
      <c r="D536" s="156" t="inlineStr">
        <is>
          <t>DT-504</t>
        </is>
      </c>
      <c r="E536" s="156" t="inlineStr">
        <is>
          <t>OB</t>
        </is>
      </c>
      <c r="F536" s="156" t="n">
        <v>3</v>
      </c>
      <c r="G536" s="156" t="inlineStr"/>
      <c r="H536" s="157">
        <f>IF($B536="","",IF(ISNA(MATCH($B536,MASTER_JAM!$Q$5:$Q$28,0)),"?",IF(MATCH($B536,MASTER_JAM!$Q$5:$Q$28,0)&lt;=12,"DS","NS")))</f>
        <v/>
      </c>
      <c r="I536" s="157">
        <f>IFERROR(INDEX(MASTER_JAM!$B$5:$B$94,MATCH($C536,MASTER_JAM!$A$5:$A$94,0)),"")</f>
        <v/>
      </c>
      <c r="J536" s="157">
        <f>IFERROR(INDEX(MASTER_JAM!$E$5:$E$94,MATCH($D536,MASTER_JAM!$A$5:$A$94,0)),"")</f>
        <v/>
      </c>
      <c r="K536" s="158">
        <f>IFERROR(INDEX(MASTER_JAM!$J$5:$O$12,MATCH($E536,MASTER_JAM!$I$5:$I$12,0),MATCH($J536,MASTER_JAM!$J$4:$O$4,0))+0,0)</f>
        <v/>
      </c>
      <c r="L536" s="159">
        <f>N($F536)*$K536</f>
        <v/>
      </c>
      <c r="M536" s="157">
        <f>IF($E536="","",IF(OR($E536="Coal",$E536="Dirty Coal"),"MT","BCM"))</f>
        <v/>
      </c>
      <c r="N536" s="157">
        <f>IF($E536="","",IF(OR($E536="Coal",$E536="Dirty Coal"),"Coal","OB"))</f>
        <v/>
      </c>
      <c r="O536" s="157">
        <f>IF($F536="","",IF(COUNTIF(MASTER_JAM!$A$5:$A$94,$C536)=0,"Digger tidak dikenal",IF($J536="","Hauler tidak dikenal",IF($H536="?","Jam salah",IF($K536=0,"Faktor kosong",IF(SUMIFS(INPUT_DELAY!$E$5:$E$20000,INPUT_DELAY!$A$5:$A$20000,$A536,INPUT_DELAY!$B$5:$B$20000,$B536,INPUT_DELAY!$C$5:$C$20000,$C536)+SUMIFS(INPUT_DELAY!$E$5:$E$20000,INPUT_DELAY!$A$5:$A$20000,$A536,INPUT_DELAY!$B$5:$B$20000,$B536,INPUT_DELAY!$C$5:$C$20000,"SEMUA")&gt;=60,"Delay 60 mnt tapi ada ritase","OK"))))))</f>
        <v/>
      </c>
      <c r="P536" s="158">
        <f>IFERROR(INDEX(MASTER_JAM!$Z$5:$AC$10,MATCH($I536,MASTER_JAM!$Y$5:$Y$10,0),MATCH($J536,MASTER_JAM!$Z$4:$AC$4,0))+0,0)</f>
        <v/>
      </c>
      <c r="Q536" s="158">
        <f>IF($P536=0,0,$P536+IFERROR(INDEX(MASTER_JAM!$H$5:$H$94,MATCH($C536,MASTER_JAM!$A$5:$A$94,0))+0,MASTER_JAM!$AC$15)/1000*(60/MASTER_JAM!$AC$12+60/MASTER_JAM!$AC$13)+MASTER_JAM!$AC$14)</f>
        <v/>
      </c>
      <c r="R536" s="158">
        <f>IF(N($F536)=0,0,$F536/SUMIFS(INPUT_RITASE!$F$5:$F$20000,INPUT_RITASE!$A$5:$A$20000,$A536,INPUT_RITASE!$B$5:$B$20000,$B536,INPUT_RITASE!$C$5:$C$20000,$C536,INPUT_RITASE!$D$5:$D$20000,$D536))</f>
        <v/>
      </c>
      <c r="S536" s="158">
        <f>IF($Q536=0,0,$R536*$P536/$Q536)</f>
        <v/>
      </c>
    </row>
    <row r="537">
      <c r="A537" s="155" t="n">
        <v>46105</v>
      </c>
      <c r="B537" s="156" t="inlineStr">
        <is>
          <t>22-23</t>
        </is>
      </c>
      <c r="C537" s="156" t="inlineStr">
        <is>
          <t>EX-754</t>
        </is>
      </c>
      <c r="D537" s="156" t="inlineStr">
        <is>
          <t>DT-520</t>
        </is>
      </c>
      <c r="E537" s="156" t="inlineStr">
        <is>
          <t>OB</t>
        </is>
      </c>
      <c r="F537" s="156" t="n">
        <v>3</v>
      </c>
      <c r="G537" s="156" t="inlineStr"/>
      <c r="H537" s="157">
        <f>IF($B537="","",IF(ISNA(MATCH($B537,MASTER_JAM!$Q$5:$Q$28,0)),"?",IF(MATCH($B537,MASTER_JAM!$Q$5:$Q$28,0)&lt;=12,"DS","NS")))</f>
        <v/>
      </c>
      <c r="I537" s="157">
        <f>IFERROR(INDEX(MASTER_JAM!$B$5:$B$94,MATCH($C537,MASTER_JAM!$A$5:$A$94,0)),"")</f>
        <v/>
      </c>
      <c r="J537" s="157">
        <f>IFERROR(INDEX(MASTER_JAM!$E$5:$E$94,MATCH($D537,MASTER_JAM!$A$5:$A$94,0)),"")</f>
        <v/>
      </c>
      <c r="K537" s="158">
        <f>IFERROR(INDEX(MASTER_JAM!$J$5:$O$12,MATCH($E537,MASTER_JAM!$I$5:$I$12,0),MATCH($J537,MASTER_JAM!$J$4:$O$4,0))+0,0)</f>
        <v/>
      </c>
      <c r="L537" s="159">
        <f>N($F537)*$K537</f>
        <v/>
      </c>
      <c r="M537" s="157">
        <f>IF($E537="","",IF(OR($E537="Coal",$E537="Dirty Coal"),"MT","BCM"))</f>
        <v/>
      </c>
      <c r="N537" s="157">
        <f>IF($E537="","",IF(OR($E537="Coal",$E537="Dirty Coal"),"Coal","OB"))</f>
        <v/>
      </c>
      <c r="O537" s="157">
        <f>IF($F537="","",IF(COUNTIF(MASTER_JAM!$A$5:$A$94,$C537)=0,"Digger tidak dikenal",IF($J537="","Hauler tidak dikenal",IF($H537="?","Jam salah",IF($K537=0,"Faktor kosong",IF(SUMIFS(INPUT_DELAY!$E$5:$E$20000,INPUT_DELAY!$A$5:$A$20000,$A537,INPUT_DELAY!$B$5:$B$20000,$B537,INPUT_DELAY!$C$5:$C$20000,$C537)+SUMIFS(INPUT_DELAY!$E$5:$E$20000,INPUT_DELAY!$A$5:$A$20000,$A537,INPUT_DELAY!$B$5:$B$20000,$B537,INPUT_DELAY!$C$5:$C$20000,"SEMUA")&gt;=60,"Delay 60 mnt tapi ada ritase","OK"))))))</f>
        <v/>
      </c>
      <c r="P537" s="158">
        <f>IFERROR(INDEX(MASTER_JAM!$Z$5:$AC$10,MATCH($I537,MASTER_JAM!$Y$5:$Y$10,0),MATCH($J537,MASTER_JAM!$Z$4:$AC$4,0))+0,0)</f>
        <v/>
      </c>
      <c r="Q537" s="158">
        <f>IF($P537=0,0,$P537+IFERROR(INDEX(MASTER_JAM!$H$5:$H$94,MATCH($C537,MASTER_JAM!$A$5:$A$94,0))+0,MASTER_JAM!$AC$15)/1000*(60/MASTER_JAM!$AC$12+60/MASTER_JAM!$AC$13)+MASTER_JAM!$AC$14)</f>
        <v/>
      </c>
      <c r="R537" s="158">
        <f>IF(N($F537)=0,0,$F537/SUMIFS(INPUT_RITASE!$F$5:$F$20000,INPUT_RITASE!$A$5:$A$20000,$A537,INPUT_RITASE!$B$5:$B$20000,$B537,INPUT_RITASE!$C$5:$C$20000,$C537,INPUT_RITASE!$D$5:$D$20000,$D537))</f>
        <v/>
      </c>
      <c r="S537" s="158">
        <f>IF($Q537=0,0,$R537*$P537/$Q537)</f>
        <v/>
      </c>
    </row>
    <row r="538">
      <c r="A538" s="155" t="n">
        <v>46105</v>
      </c>
      <c r="B538" s="156" t="inlineStr">
        <is>
          <t>22-23</t>
        </is>
      </c>
      <c r="C538" s="156" t="inlineStr">
        <is>
          <t>EX-754</t>
        </is>
      </c>
      <c r="D538" s="156" t="inlineStr">
        <is>
          <t>DT-528</t>
        </is>
      </c>
      <c r="E538" s="156" t="inlineStr">
        <is>
          <t>OB</t>
        </is>
      </c>
      <c r="F538" s="156" t="n">
        <v>3</v>
      </c>
      <c r="G538" s="156" t="inlineStr"/>
      <c r="H538" s="157">
        <f>IF($B538="","",IF(ISNA(MATCH($B538,MASTER_JAM!$Q$5:$Q$28,0)),"?",IF(MATCH($B538,MASTER_JAM!$Q$5:$Q$28,0)&lt;=12,"DS","NS")))</f>
        <v/>
      </c>
      <c r="I538" s="157">
        <f>IFERROR(INDEX(MASTER_JAM!$B$5:$B$94,MATCH($C538,MASTER_JAM!$A$5:$A$94,0)),"")</f>
        <v/>
      </c>
      <c r="J538" s="157">
        <f>IFERROR(INDEX(MASTER_JAM!$E$5:$E$94,MATCH($D538,MASTER_JAM!$A$5:$A$94,0)),"")</f>
        <v/>
      </c>
      <c r="K538" s="158">
        <f>IFERROR(INDEX(MASTER_JAM!$J$5:$O$12,MATCH($E538,MASTER_JAM!$I$5:$I$12,0),MATCH($J538,MASTER_JAM!$J$4:$O$4,0))+0,0)</f>
        <v/>
      </c>
      <c r="L538" s="159">
        <f>N($F538)*$K538</f>
        <v/>
      </c>
      <c r="M538" s="157">
        <f>IF($E538="","",IF(OR($E538="Coal",$E538="Dirty Coal"),"MT","BCM"))</f>
        <v/>
      </c>
      <c r="N538" s="157">
        <f>IF($E538="","",IF(OR($E538="Coal",$E538="Dirty Coal"),"Coal","OB"))</f>
        <v/>
      </c>
      <c r="O538" s="157">
        <f>IF($F538="","",IF(COUNTIF(MASTER_JAM!$A$5:$A$94,$C538)=0,"Digger tidak dikenal",IF($J538="","Hauler tidak dikenal",IF($H538="?","Jam salah",IF($K538=0,"Faktor kosong",IF(SUMIFS(INPUT_DELAY!$E$5:$E$20000,INPUT_DELAY!$A$5:$A$20000,$A538,INPUT_DELAY!$B$5:$B$20000,$B538,INPUT_DELAY!$C$5:$C$20000,$C538)+SUMIFS(INPUT_DELAY!$E$5:$E$20000,INPUT_DELAY!$A$5:$A$20000,$A538,INPUT_DELAY!$B$5:$B$20000,$B538,INPUT_DELAY!$C$5:$C$20000,"SEMUA")&gt;=60,"Delay 60 mnt tapi ada ritase","OK"))))))</f>
        <v/>
      </c>
      <c r="P538" s="158">
        <f>IFERROR(INDEX(MASTER_JAM!$Z$5:$AC$10,MATCH($I538,MASTER_JAM!$Y$5:$Y$10,0),MATCH($J538,MASTER_JAM!$Z$4:$AC$4,0))+0,0)</f>
        <v/>
      </c>
      <c r="Q538" s="158">
        <f>IF($P538=0,0,$P538+IFERROR(INDEX(MASTER_JAM!$H$5:$H$94,MATCH($C538,MASTER_JAM!$A$5:$A$94,0))+0,MASTER_JAM!$AC$15)/1000*(60/MASTER_JAM!$AC$12+60/MASTER_JAM!$AC$13)+MASTER_JAM!$AC$14)</f>
        <v/>
      </c>
      <c r="R538" s="158">
        <f>IF(N($F538)=0,0,$F538/SUMIFS(INPUT_RITASE!$F$5:$F$20000,INPUT_RITASE!$A$5:$A$20000,$A538,INPUT_RITASE!$B$5:$B$20000,$B538,INPUT_RITASE!$C$5:$C$20000,$C538,INPUT_RITASE!$D$5:$D$20000,$D538))</f>
        <v/>
      </c>
      <c r="S538" s="158">
        <f>IF($Q538=0,0,$R538*$P538/$Q538)</f>
        <v/>
      </c>
    </row>
    <row r="539">
      <c r="A539" s="155" t="n">
        <v>46105</v>
      </c>
      <c r="B539" s="156" t="inlineStr">
        <is>
          <t>23-24</t>
        </is>
      </c>
      <c r="C539" s="156" t="inlineStr">
        <is>
          <t>EX-754</t>
        </is>
      </c>
      <c r="D539" s="156" t="inlineStr">
        <is>
          <t>DT-503</t>
        </is>
      </c>
      <c r="E539" s="156" t="inlineStr">
        <is>
          <t>OB</t>
        </is>
      </c>
      <c r="F539" s="156" t="n">
        <v>4</v>
      </c>
      <c r="G539" s="156" t="inlineStr"/>
      <c r="H539" s="157">
        <f>IF($B539="","",IF(ISNA(MATCH($B539,MASTER_JAM!$Q$5:$Q$28,0)),"?",IF(MATCH($B539,MASTER_JAM!$Q$5:$Q$28,0)&lt;=12,"DS","NS")))</f>
        <v/>
      </c>
      <c r="I539" s="157">
        <f>IFERROR(INDEX(MASTER_JAM!$B$5:$B$94,MATCH($C539,MASTER_JAM!$A$5:$A$94,0)),"")</f>
        <v/>
      </c>
      <c r="J539" s="157">
        <f>IFERROR(INDEX(MASTER_JAM!$E$5:$E$94,MATCH($D539,MASTER_JAM!$A$5:$A$94,0)),"")</f>
        <v/>
      </c>
      <c r="K539" s="158">
        <f>IFERROR(INDEX(MASTER_JAM!$J$5:$O$12,MATCH($E539,MASTER_JAM!$I$5:$I$12,0),MATCH($J539,MASTER_JAM!$J$4:$O$4,0))+0,0)</f>
        <v/>
      </c>
      <c r="L539" s="159">
        <f>N($F539)*$K539</f>
        <v/>
      </c>
      <c r="M539" s="157">
        <f>IF($E539="","",IF(OR($E539="Coal",$E539="Dirty Coal"),"MT","BCM"))</f>
        <v/>
      </c>
      <c r="N539" s="157">
        <f>IF($E539="","",IF(OR($E539="Coal",$E539="Dirty Coal"),"Coal","OB"))</f>
        <v/>
      </c>
      <c r="O539" s="157">
        <f>IF($F539="","",IF(COUNTIF(MASTER_JAM!$A$5:$A$94,$C539)=0,"Digger tidak dikenal",IF($J539="","Hauler tidak dikenal",IF($H539="?","Jam salah",IF($K539=0,"Faktor kosong",IF(SUMIFS(INPUT_DELAY!$E$5:$E$20000,INPUT_DELAY!$A$5:$A$20000,$A539,INPUT_DELAY!$B$5:$B$20000,$B539,INPUT_DELAY!$C$5:$C$20000,$C539)+SUMIFS(INPUT_DELAY!$E$5:$E$20000,INPUT_DELAY!$A$5:$A$20000,$A539,INPUT_DELAY!$B$5:$B$20000,$B539,INPUT_DELAY!$C$5:$C$20000,"SEMUA")&gt;=60,"Delay 60 mnt tapi ada ritase","OK"))))))</f>
        <v/>
      </c>
      <c r="P539" s="158">
        <f>IFERROR(INDEX(MASTER_JAM!$Z$5:$AC$10,MATCH($I539,MASTER_JAM!$Y$5:$Y$10,0),MATCH($J539,MASTER_JAM!$Z$4:$AC$4,0))+0,0)</f>
        <v/>
      </c>
      <c r="Q539" s="158">
        <f>IF($P539=0,0,$P539+IFERROR(INDEX(MASTER_JAM!$H$5:$H$94,MATCH($C539,MASTER_JAM!$A$5:$A$94,0))+0,MASTER_JAM!$AC$15)/1000*(60/MASTER_JAM!$AC$12+60/MASTER_JAM!$AC$13)+MASTER_JAM!$AC$14)</f>
        <v/>
      </c>
      <c r="R539" s="158">
        <f>IF(N($F539)=0,0,$F539/SUMIFS(INPUT_RITASE!$F$5:$F$20000,INPUT_RITASE!$A$5:$A$20000,$A539,INPUT_RITASE!$B$5:$B$20000,$B539,INPUT_RITASE!$C$5:$C$20000,$C539,INPUT_RITASE!$D$5:$D$20000,$D539))</f>
        <v/>
      </c>
      <c r="S539" s="158">
        <f>IF($Q539=0,0,$R539*$P539/$Q539)</f>
        <v/>
      </c>
    </row>
    <row r="540">
      <c r="A540" s="155" t="n">
        <v>46105</v>
      </c>
      <c r="B540" s="156" t="inlineStr">
        <is>
          <t>23-24</t>
        </is>
      </c>
      <c r="C540" s="156" t="inlineStr">
        <is>
          <t>EX-754</t>
        </is>
      </c>
      <c r="D540" s="156" t="inlineStr">
        <is>
          <t>DT-520</t>
        </is>
      </c>
      <c r="E540" s="156" t="inlineStr">
        <is>
          <t>OB</t>
        </is>
      </c>
      <c r="F540" s="156" t="n">
        <v>4</v>
      </c>
      <c r="G540" s="156" t="inlineStr"/>
      <c r="H540" s="157">
        <f>IF($B540="","",IF(ISNA(MATCH($B540,MASTER_JAM!$Q$5:$Q$28,0)),"?",IF(MATCH($B540,MASTER_JAM!$Q$5:$Q$28,0)&lt;=12,"DS","NS")))</f>
        <v/>
      </c>
      <c r="I540" s="157">
        <f>IFERROR(INDEX(MASTER_JAM!$B$5:$B$94,MATCH($C540,MASTER_JAM!$A$5:$A$94,0)),"")</f>
        <v/>
      </c>
      <c r="J540" s="157">
        <f>IFERROR(INDEX(MASTER_JAM!$E$5:$E$94,MATCH($D540,MASTER_JAM!$A$5:$A$94,0)),"")</f>
        <v/>
      </c>
      <c r="K540" s="158">
        <f>IFERROR(INDEX(MASTER_JAM!$J$5:$O$12,MATCH($E540,MASTER_JAM!$I$5:$I$12,0),MATCH($J540,MASTER_JAM!$J$4:$O$4,0))+0,0)</f>
        <v/>
      </c>
      <c r="L540" s="159">
        <f>N($F540)*$K540</f>
        <v/>
      </c>
      <c r="M540" s="157">
        <f>IF($E540="","",IF(OR($E540="Coal",$E540="Dirty Coal"),"MT","BCM"))</f>
        <v/>
      </c>
      <c r="N540" s="157">
        <f>IF($E540="","",IF(OR($E540="Coal",$E540="Dirty Coal"),"Coal","OB"))</f>
        <v/>
      </c>
      <c r="O540" s="157">
        <f>IF($F540="","",IF(COUNTIF(MASTER_JAM!$A$5:$A$94,$C540)=0,"Digger tidak dikenal",IF($J540="","Hauler tidak dikenal",IF($H540="?","Jam salah",IF($K540=0,"Faktor kosong",IF(SUMIFS(INPUT_DELAY!$E$5:$E$20000,INPUT_DELAY!$A$5:$A$20000,$A540,INPUT_DELAY!$B$5:$B$20000,$B540,INPUT_DELAY!$C$5:$C$20000,$C540)+SUMIFS(INPUT_DELAY!$E$5:$E$20000,INPUT_DELAY!$A$5:$A$20000,$A540,INPUT_DELAY!$B$5:$B$20000,$B540,INPUT_DELAY!$C$5:$C$20000,"SEMUA")&gt;=60,"Delay 60 mnt tapi ada ritase","OK"))))))</f>
        <v/>
      </c>
      <c r="P540" s="158">
        <f>IFERROR(INDEX(MASTER_JAM!$Z$5:$AC$10,MATCH($I540,MASTER_JAM!$Y$5:$Y$10,0),MATCH($J540,MASTER_JAM!$Z$4:$AC$4,0))+0,0)</f>
        <v/>
      </c>
      <c r="Q540" s="158">
        <f>IF($P540=0,0,$P540+IFERROR(INDEX(MASTER_JAM!$H$5:$H$94,MATCH($C540,MASTER_JAM!$A$5:$A$94,0))+0,MASTER_JAM!$AC$15)/1000*(60/MASTER_JAM!$AC$12+60/MASTER_JAM!$AC$13)+MASTER_JAM!$AC$14)</f>
        <v/>
      </c>
      <c r="R540" s="158">
        <f>IF(N($F540)=0,0,$F540/SUMIFS(INPUT_RITASE!$F$5:$F$20000,INPUT_RITASE!$A$5:$A$20000,$A540,INPUT_RITASE!$B$5:$B$20000,$B540,INPUT_RITASE!$C$5:$C$20000,$C540,INPUT_RITASE!$D$5:$D$20000,$D540))</f>
        <v/>
      </c>
      <c r="S540" s="158">
        <f>IF($Q540=0,0,$R540*$P540/$Q540)</f>
        <v/>
      </c>
    </row>
    <row r="541">
      <c r="A541" s="155" t="n">
        <v>46105</v>
      </c>
      <c r="B541" s="156" t="inlineStr">
        <is>
          <t>23-24</t>
        </is>
      </c>
      <c r="C541" s="156" t="inlineStr">
        <is>
          <t>EX-754</t>
        </is>
      </c>
      <c r="D541" s="156" t="inlineStr">
        <is>
          <t>DT-521</t>
        </is>
      </c>
      <c r="E541" s="156" t="inlineStr">
        <is>
          <t>OB</t>
        </is>
      </c>
      <c r="F541" s="156" t="n">
        <v>4</v>
      </c>
      <c r="G541" s="156" t="inlineStr"/>
      <c r="H541" s="157">
        <f>IF($B541="","",IF(ISNA(MATCH($B541,MASTER_JAM!$Q$5:$Q$28,0)),"?",IF(MATCH($B541,MASTER_JAM!$Q$5:$Q$28,0)&lt;=12,"DS","NS")))</f>
        <v/>
      </c>
      <c r="I541" s="157">
        <f>IFERROR(INDEX(MASTER_JAM!$B$5:$B$94,MATCH($C541,MASTER_JAM!$A$5:$A$94,0)),"")</f>
        <v/>
      </c>
      <c r="J541" s="157">
        <f>IFERROR(INDEX(MASTER_JAM!$E$5:$E$94,MATCH($D541,MASTER_JAM!$A$5:$A$94,0)),"")</f>
        <v/>
      </c>
      <c r="K541" s="158">
        <f>IFERROR(INDEX(MASTER_JAM!$J$5:$O$12,MATCH($E541,MASTER_JAM!$I$5:$I$12,0),MATCH($J541,MASTER_JAM!$J$4:$O$4,0))+0,0)</f>
        <v/>
      </c>
      <c r="L541" s="159">
        <f>N($F541)*$K541</f>
        <v/>
      </c>
      <c r="M541" s="157">
        <f>IF($E541="","",IF(OR($E541="Coal",$E541="Dirty Coal"),"MT","BCM"))</f>
        <v/>
      </c>
      <c r="N541" s="157">
        <f>IF($E541="","",IF(OR($E541="Coal",$E541="Dirty Coal"),"Coal","OB"))</f>
        <v/>
      </c>
      <c r="O541" s="157">
        <f>IF($F541="","",IF(COUNTIF(MASTER_JAM!$A$5:$A$94,$C541)=0,"Digger tidak dikenal",IF($J541="","Hauler tidak dikenal",IF($H541="?","Jam salah",IF($K541=0,"Faktor kosong",IF(SUMIFS(INPUT_DELAY!$E$5:$E$20000,INPUT_DELAY!$A$5:$A$20000,$A541,INPUT_DELAY!$B$5:$B$20000,$B541,INPUT_DELAY!$C$5:$C$20000,$C541)+SUMIFS(INPUT_DELAY!$E$5:$E$20000,INPUT_DELAY!$A$5:$A$20000,$A541,INPUT_DELAY!$B$5:$B$20000,$B541,INPUT_DELAY!$C$5:$C$20000,"SEMUA")&gt;=60,"Delay 60 mnt tapi ada ritase","OK"))))))</f>
        <v/>
      </c>
      <c r="P541" s="158">
        <f>IFERROR(INDEX(MASTER_JAM!$Z$5:$AC$10,MATCH($I541,MASTER_JAM!$Y$5:$Y$10,0),MATCH($J541,MASTER_JAM!$Z$4:$AC$4,0))+0,0)</f>
        <v/>
      </c>
      <c r="Q541" s="158">
        <f>IF($P541=0,0,$P541+IFERROR(INDEX(MASTER_JAM!$H$5:$H$94,MATCH($C541,MASTER_JAM!$A$5:$A$94,0))+0,MASTER_JAM!$AC$15)/1000*(60/MASTER_JAM!$AC$12+60/MASTER_JAM!$AC$13)+MASTER_JAM!$AC$14)</f>
        <v/>
      </c>
      <c r="R541" s="158">
        <f>IF(N($F541)=0,0,$F541/SUMIFS(INPUT_RITASE!$F$5:$F$20000,INPUT_RITASE!$A$5:$A$20000,$A541,INPUT_RITASE!$B$5:$B$20000,$B541,INPUT_RITASE!$C$5:$C$20000,$C541,INPUT_RITASE!$D$5:$D$20000,$D541))</f>
        <v/>
      </c>
      <c r="S541" s="158">
        <f>IF($Q541=0,0,$R541*$P541/$Q541)</f>
        <v/>
      </c>
    </row>
    <row r="542">
      <c r="A542" s="155" t="n">
        <v>46105</v>
      </c>
      <c r="B542" s="156" t="inlineStr">
        <is>
          <t>23-24</t>
        </is>
      </c>
      <c r="C542" s="156" t="inlineStr">
        <is>
          <t>EX-754</t>
        </is>
      </c>
      <c r="D542" s="156" t="inlineStr">
        <is>
          <t>DT-506</t>
        </is>
      </c>
      <c r="E542" s="156" t="inlineStr">
        <is>
          <t>OB</t>
        </is>
      </c>
      <c r="F542" s="156" t="n">
        <v>3</v>
      </c>
      <c r="G542" s="156" t="inlineStr"/>
      <c r="H542" s="157">
        <f>IF($B542="","",IF(ISNA(MATCH($B542,MASTER_JAM!$Q$5:$Q$28,0)),"?",IF(MATCH($B542,MASTER_JAM!$Q$5:$Q$28,0)&lt;=12,"DS","NS")))</f>
        <v/>
      </c>
      <c r="I542" s="157">
        <f>IFERROR(INDEX(MASTER_JAM!$B$5:$B$94,MATCH($C542,MASTER_JAM!$A$5:$A$94,0)),"")</f>
        <v/>
      </c>
      <c r="J542" s="157">
        <f>IFERROR(INDEX(MASTER_JAM!$E$5:$E$94,MATCH($D542,MASTER_JAM!$A$5:$A$94,0)),"")</f>
        <v/>
      </c>
      <c r="K542" s="158">
        <f>IFERROR(INDEX(MASTER_JAM!$J$5:$O$12,MATCH($E542,MASTER_JAM!$I$5:$I$12,0),MATCH($J542,MASTER_JAM!$J$4:$O$4,0))+0,0)</f>
        <v/>
      </c>
      <c r="L542" s="159">
        <f>N($F542)*$K542</f>
        <v/>
      </c>
      <c r="M542" s="157">
        <f>IF($E542="","",IF(OR($E542="Coal",$E542="Dirty Coal"),"MT","BCM"))</f>
        <v/>
      </c>
      <c r="N542" s="157">
        <f>IF($E542="","",IF(OR($E542="Coal",$E542="Dirty Coal"),"Coal","OB"))</f>
        <v/>
      </c>
      <c r="O542" s="157">
        <f>IF($F542="","",IF(COUNTIF(MASTER_JAM!$A$5:$A$94,$C542)=0,"Digger tidak dikenal",IF($J542="","Hauler tidak dikenal",IF($H542="?","Jam salah",IF($K542=0,"Faktor kosong",IF(SUMIFS(INPUT_DELAY!$E$5:$E$20000,INPUT_DELAY!$A$5:$A$20000,$A542,INPUT_DELAY!$B$5:$B$20000,$B542,INPUT_DELAY!$C$5:$C$20000,$C542)+SUMIFS(INPUT_DELAY!$E$5:$E$20000,INPUT_DELAY!$A$5:$A$20000,$A542,INPUT_DELAY!$B$5:$B$20000,$B542,INPUT_DELAY!$C$5:$C$20000,"SEMUA")&gt;=60,"Delay 60 mnt tapi ada ritase","OK"))))))</f>
        <v/>
      </c>
      <c r="P542" s="158">
        <f>IFERROR(INDEX(MASTER_JAM!$Z$5:$AC$10,MATCH($I542,MASTER_JAM!$Y$5:$Y$10,0),MATCH($J542,MASTER_JAM!$Z$4:$AC$4,0))+0,0)</f>
        <v/>
      </c>
      <c r="Q542" s="158">
        <f>IF($P542=0,0,$P542+IFERROR(INDEX(MASTER_JAM!$H$5:$H$94,MATCH($C542,MASTER_JAM!$A$5:$A$94,0))+0,MASTER_JAM!$AC$15)/1000*(60/MASTER_JAM!$AC$12+60/MASTER_JAM!$AC$13)+MASTER_JAM!$AC$14)</f>
        <v/>
      </c>
      <c r="R542" s="158">
        <f>IF(N($F542)=0,0,$F542/SUMIFS(INPUT_RITASE!$F$5:$F$20000,INPUT_RITASE!$A$5:$A$20000,$A542,INPUT_RITASE!$B$5:$B$20000,$B542,INPUT_RITASE!$C$5:$C$20000,$C542,INPUT_RITASE!$D$5:$D$20000,$D542))</f>
        <v/>
      </c>
      <c r="S542" s="158">
        <f>IF($Q542=0,0,$R542*$P542/$Q542)</f>
        <v/>
      </c>
    </row>
    <row r="543">
      <c r="A543" s="155" t="n">
        <v>46105</v>
      </c>
      <c r="B543" s="156" t="inlineStr">
        <is>
          <t>23-24</t>
        </is>
      </c>
      <c r="C543" s="156" t="inlineStr">
        <is>
          <t>EX-754</t>
        </is>
      </c>
      <c r="D543" s="156" t="inlineStr">
        <is>
          <t>DT-508</t>
        </is>
      </c>
      <c r="E543" s="156" t="inlineStr">
        <is>
          <t>OB</t>
        </is>
      </c>
      <c r="F543" s="156" t="n">
        <v>3</v>
      </c>
      <c r="G543" s="156" t="inlineStr"/>
      <c r="H543" s="157">
        <f>IF($B543="","",IF(ISNA(MATCH($B543,MASTER_JAM!$Q$5:$Q$28,0)),"?",IF(MATCH($B543,MASTER_JAM!$Q$5:$Q$28,0)&lt;=12,"DS","NS")))</f>
        <v/>
      </c>
      <c r="I543" s="157">
        <f>IFERROR(INDEX(MASTER_JAM!$B$5:$B$94,MATCH($C543,MASTER_JAM!$A$5:$A$94,0)),"")</f>
        <v/>
      </c>
      <c r="J543" s="157">
        <f>IFERROR(INDEX(MASTER_JAM!$E$5:$E$94,MATCH($D543,MASTER_JAM!$A$5:$A$94,0)),"")</f>
        <v/>
      </c>
      <c r="K543" s="158">
        <f>IFERROR(INDEX(MASTER_JAM!$J$5:$O$12,MATCH($E543,MASTER_JAM!$I$5:$I$12,0),MATCH($J543,MASTER_JAM!$J$4:$O$4,0))+0,0)</f>
        <v/>
      </c>
      <c r="L543" s="159">
        <f>N($F543)*$K543</f>
        <v/>
      </c>
      <c r="M543" s="157">
        <f>IF($E543="","",IF(OR($E543="Coal",$E543="Dirty Coal"),"MT","BCM"))</f>
        <v/>
      </c>
      <c r="N543" s="157">
        <f>IF($E543="","",IF(OR($E543="Coal",$E543="Dirty Coal"),"Coal","OB"))</f>
        <v/>
      </c>
      <c r="O543" s="157">
        <f>IF($F543="","",IF(COUNTIF(MASTER_JAM!$A$5:$A$94,$C543)=0,"Digger tidak dikenal",IF($J543="","Hauler tidak dikenal",IF($H543="?","Jam salah",IF($K543=0,"Faktor kosong",IF(SUMIFS(INPUT_DELAY!$E$5:$E$20000,INPUT_DELAY!$A$5:$A$20000,$A543,INPUT_DELAY!$B$5:$B$20000,$B543,INPUT_DELAY!$C$5:$C$20000,$C543)+SUMIFS(INPUT_DELAY!$E$5:$E$20000,INPUT_DELAY!$A$5:$A$20000,$A543,INPUT_DELAY!$B$5:$B$20000,$B543,INPUT_DELAY!$C$5:$C$20000,"SEMUA")&gt;=60,"Delay 60 mnt tapi ada ritase","OK"))))))</f>
        <v/>
      </c>
      <c r="P543" s="158">
        <f>IFERROR(INDEX(MASTER_JAM!$Z$5:$AC$10,MATCH($I543,MASTER_JAM!$Y$5:$Y$10,0),MATCH($J543,MASTER_JAM!$Z$4:$AC$4,0))+0,0)</f>
        <v/>
      </c>
      <c r="Q543" s="158">
        <f>IF($P543=0,0,$P543+IFERROR(INDEX(MASTER_JAM!$H$5:$H$94,MATCH($C543,MASTER_JAM!$A$5:$A$94,0))+0,MASTER_JAM!$AC$15)/1000*(60/MASTER_JAM!$AC$12+60/MASTER_JAM!$AC$13)+MASTER_JAM!$AC$14)</f>
        <v/>
      </c>
      <c r="R543" s="158">
        <f>IF(N($F543)=0,0,$F543/SUMIFS(INPUT_RITASE!$F$5:$F$20000,INPUT_RITASE!$A$5:$A$20000,$A543,INPUT_RITASE!$B$5:$B$20000,$B543,INPUT_RITASE!$C$5:$C$20000,$C543,INPUT_RITASE!$D$5:$D$20000,$D543))</f>
        <v/>
      </c>
      <c r="S543" s="158">
        <f>IF($Q543=0,0,$R543*$P543/$Q543)</f>
        <v/>
      </c>
    </row>
    <row r="544">
      <c r="A544" s="155" t="n">
        <v>46105</v>
      </c>
      <c r="B544" s="156" t="inlineStr">
        <is>
          <t>01-02</t>
        </is>
      </c>
      <c r="C544" s="156" t="inlineStr">
        <is>
          <t>EX-754</t>
        </is>
      </c>
      <c r="D544" s="156" t="inlineStr">
        <is>
          <t>DT-501</t>
        </is>
      </c>
      <c r="E544" s="156" t="inlineStr">
        <is>
          <t>OB</t>
        </is>
      </c>
      <c r="F544" s="156" t="n">
        <v>4</v>
      </c>
      <c r="G544" s="156" t="inlineStr"/>
      <c r="H544" s="157">
        <f>IF($B544="","",IF(ISNA(MATCH($B544,MASTER_JAM!$Q$5:$Q$28,0)),"?",IF(MATCH($B544,MASTER_JAM!$Q$5:$Q$28,0)&lt;=12,"DS","NS")))</f>
        <v/>
      </c>
      <c r="I544" s="157">
        <f>IFERROR(INDEX(MASTER_JAM!$B$5:$B$94,MATCH($C544,MASTER_JAM!$A$5:$A$94,0)),"")</f>
        <v/>
      </c>
      <c r="J544" s="157">
        <f>IFERROR(INDEX(MASTER_JAM!$E$5:$E$94,MATCH($D544,MASTER_JAM!$A$5:$A$94,0)),"")</f>
        <v/>
      </c>
      <c r="K544" s="158">
        <f>IFERROR(INDEX(MASTER_JAM!$J$5:$O$12,MATCH($E544,MASTER_JAM!$I$5:$I$12,0),MATCH($J544,MASTER_JAM!$J$4:$O$4,0))+0,0)</f>
        <v/>
      </c>
      <c r="L544" s="159">
        <f>N($F544)*$K544</f>
        <v/>
      </c>
      <c r="M544" s="157">
        <f>IF($E544="","",IF(OR($E544="Coal",$E544="Dirty Coal"),"MT","BCM"))</f>
        <v/>
      </c>
      <c r="N544" s="157">
        <f>IF($E544="","",IF(OR($E544="Coal",$E544="Dirty Coal"),"Coal","OB"))</f>
        <v/>
      </c>
      <c r="O544" s="157">
        <f>IF($F544="","",IF(COUNTIF(MASTER_JAM!$A$5:$A$94,$C544)=0,"Digger tidak dikenal",IF($J544="","Hauler tidak dikenal",IF($H544="?","Jam salah",IF($K544=0,"Faktor kosong",IF(SUMIFS(INPUT_DELAY!$E$5:$E$20000,INPUT_DELAY!$A$5:$A$20000,$A544,INPUT_DELAY!$B$5:$B$20000,$B544,INPUT_DELAY!$C$5:$C$20000,$C544)+SUMIFS(INPUT_DELAY!$E$5:$E$20000,INPUT_DELAY!$A$5:$A$20000,$A544,INPUT_DELAY!$B$5:$B$20000,$B544,INPUT_DELAY!$C$5:$C$20000,"SEMUA")&gt;=60,"Delay 60 mnt tapi ada ritase","OK"))))))</f>
        <v/>
      </c>
      <c r="P544" s="158">
        <f>IFERROR(INDEX(MASTER_JAM!$Z$5:$AC$10,MATCH($I544,MASTER_JAM!$Y$5:$Y$10,0),MATCH($J544,MASTER_JAM!$Z$4:$AC$4,0))+0,0)</f>
        <v/>
      </c>
      <c r="Q544" s="158">
        <f>IF($P544=0,0,$P544+IFERROR(INDEX(MASTER_JAM!$H$5:$H$94,MATCH($C544,MASTER_JAM!$A$5:$A$94,0))+0,MASTER_JAM!$AC$15)/1000*(60/MASTER_JAM!$AC$12+60/MASTER_JAM!$AC$13)+MASTER_JAM!$AC$14)</f>
        <v/>
      </c>
      <c r="R544" s="158">
        <f>IF(N($F544)=0,0,$F544/SUMIFS(INPUT_RITASE!$F$5:$F$20000,INPUT_RITASE!$A$5:$A$20000,$A544,INPUT_RITASE!$B$5:$B$20000,$B544,INPUT_RITASE!$C$5:$C$20000,$C544,INPUT_RITASE!$D$5:$D$20000,$D544))</f>
        <v/>
      </c>
      <c r="S544" s="158">
        <f>IF($Q544=0,0,$R544*$P544/$Q544)</f>
        <v/>
      </c>
    </row>
    <row r="545">
      <c r="A545" s="155" t="n">
        <v>46105</v>
      </c>
      <c r="B545" s="156" t="inlineStr">
        <is>
          <t>01-02</t>
        </is>
      </c>
      <c r="C545" s="156" t="inlineStr">
        <is>
          <t>EX-754</t>
        </is>
      </c>
      <c r="D545" s="156" t="inlineStr">
        <is>
          <t>DT-502</t>
        </is>
      </c>
      <c r="E545" s="156" t="inlineStr">
        <is>
          <t>OB</t>
        </is>
      </c>
      <c r="F545" s="156" t="n">
        <v>4</v>
      </c>
      <c r="G545" s="156" t="inlineStr"/>
      <c r="H545" s="157">
        <f>IF($B545="","",IF(ISNA(MATCH($B545,MASTER_JAM!$Q$5:$Q$28,0)),"?",IF(MATCH($B545,MASTER_JAM!$Q$5:$Q$28,0)&lt;=12,"DS","NS")))</f>
        <v/>
      </c>
      <c r="I545" s="157">
        <f>IFERROR(INDEX(MASTER_JAM!$B$5:$B$94,MATCH($C545,MASTER_JAM!$A$5:$A$94,0)),"")</f>
        <v/>
      </c>
      <c r="J545" s="157">
        <f>IFERROR(INDEX(MASTER_JAM!$E$5:$E$94,MATCH($D545,MASTER_JAM!$A$5:$A$94,0)),"")</f>
        <v/>
      </c>
      <c r="K545" s="158">
        <f>IFERROR(INDEX(MASTER_JAM!$J$5:$O$12,MATCH($E545,MASTER_JAM!$I$5:$I$12,0),MATCH($J545,MASTER_JAM!$J$4:$O$4,0))+0,0)</f>
        <v/>
      </c>
      <c r="L545" s="159">
        <f>N($F545)*$K545</f>
        <v/>
      </c>
      <c r="M545" s="157">
        <f>IF($E545="","",IF(OR($E545="Coal",$E545="Dirty Coal"),"MT","BCM"))</f>
        <v/>
      </c>
      <c r="N545" s="157">
        <f>IF($E545="","",IF(OR($E545="Coal",$E545="Dirty Coal"),"Coal","OB"))</f>
        <v/>
      </c>
      <c r="O545" s="157">
        <f>IF($F545="","",IF(COUNTIF(MASTER_JAM!$A$5:$A$94,$C545)=0,"Digger tidak dikenal",IF($J545="","Hauler tidak dikenal",IF($H545="?","Jam salah",IF($K545=0,"Faktor kosong",IF(SUMIFS(INPUT_DELAY!$E$5:$E$20000,INPUT_DELAY!$A$5:$A$20000,$A545,INPUT_DELAY!$B$5:$B$20000,$B545,INPUT_DELAY!$C$5:$C$20000,$C545)+SUMIFS(INPUT_DELAY!$E$5:$E$20000,INPUT_DELAY!$A$5:$A$20000,$A545,INPUT_DELAY!$B$5:$B$20000,$B545,INPUT_DELAY!$C$5:$C$20000,"SEMUA")&gt;=60,"Delay 60 mnt tapi ada ritase","OK"))))))</f>
        <v/>
      </c>
      <c r="P545" s="158">
        <f>IFERROR(INDEX(MASTER_JAM!$Z$5:$AC$10,MATCH($I545,MASTER_JAM!$Y$5:$Y$10,0),MATCH($J545,MASTER_JAM!$Z$4:$AC$4,0))+0,0)</f>
        <v/>
      </c>
      <c r="Q545" s="158">
        <f>IF($P545=0,0,$P545+IFERROR(INDEX(MASTER_JAM!$H$5:$H$94,MATCH($C545,MASTER_JAM!$A$5:$A$94,0))+0,MASTER_JAM!$AC$15)/1000*(60/MASTER_JAM!$AC$12+60/MASTER_JAM!$AC$13)+MASTER_JAM!$AC$14)</f>
        <v/>
      </c>
      <c r="R545" s="158">
        <f>IF(N($F545)=0,0,$F545/SUMIFS(INPUT_RITASE!$F$5:$F$20000,INPUT_RITASE!$A$5:$A$20000,$A545,INPUT_RITASE!$B$5:$B$20000,$B545,INPUT_RITASE!$C$5:$C$20000,$C545,INPUT_RITASE!$D$5:$D$20000,$D545))</f>
        <v/>
      </c>
      <c r="S545" s="158">
        <f>IF($Q545=0,0,$R545*$P545/$Q545)</f>
        <v/>
      </c>
    </row>
    <row r="546">
      <c r="A546" s="155" t="n">
        <v>46105</v>
      </c>
      <c r="B546" s="156" t="inlineStr">
        <is>
          <t>01-02</t>
        </is>
      </c>
      <c r="C546" s="156" t="inlineStr">
        <is>
          <t>EX-754</t>
        </is>
      </c>
      <c r="D546" s="156" t="inlineStr">
        <is>
          <t>DT-506</t>
        </is>
      </c>
      <c r="E546" s="156" t="inlineStr">
        <is>
          <t>OB</t>
        </is>
      </c>
      <c r="F546" s="156" t="n">
        <v>4</v>
      </c>
      <c r="G546" s="156" t="inlineStr"/>
      <c r="H546" s="157">
        <f>IF($B546="","",IF(ISNA(MATCH($B546,MASTER_JAM!$Q$5:$Q$28,0)),"?",IF(MATCH($B546,MASTER_JAM!$Q$5:$Q$28,0)&lt;=12,"DS","NS")))</f>
        <v/>
      </c>
      <c r="I546" s="157">
        <f>IFERROR(INDEX(MASTER_JAM!$B$5:$B$94,MATCH($C546,MASTER_JAM!$A$5:$A$94,0)),"")</f>
        <v/>
      </c>
      <c r="J546" s="157">
        <f>IFERROR(INDEX(MASTER_JAM!$E$5:$E$94,MATCH($D546,MASTER_JAM!$A$5:$A$94,0)),"")</f>
        <v/>
      </c>
      <c r="K546" s="158">
        <f>IFERROR(INDEX(MASTER_JAM!$J$5:$O$12,MATCH($E546,MASTER_JAM!$I$5:$I$12,0),MATCH($J546,MASTER_JAM!$J$4:$O$4,0))+0,0)</f>
        <v/>
      </c>
      <c r="L546" s="159">
        <f>N($F546)*$K546</f>
        <v/>
      </c>
      <c r="M546" s="157">
        <f>IF($E546="","",IF(OR($E546="Coal",$E546="Dirty Coal"),"MT","BCM"))</f>
        <v/>
      </c>
      <c r="N546" s="157">
        <f>IF($E546="","",IF(OR($E546="Coal",$E546="Dirty Coal"),"Coal","OB"))</f>
        <v/>
      </c>
      <c r="O546" s="157">
        <f>IF($F546="","",IF(COUNTIF(MASTER_JAM!$A$5:$A$94,$C546)=0,"Digger tidak dikenal",IF($J546="","Hauler tidak dikenal",IF($H546="?","Jam salah",IF($K546=0,"Faktor kosong",IF(SUMIFS(INPUT_DELAY!$E$5:$E$20000,INPUT_DELAY!$A$5:$A$20000,$A546,INPUT_DELAY!$B$5:$B$20000,$B546,INPUT_DELAY!$C$5:$C$20000,$C546)+SUMIFS(INPUT_DELAY!$E$5:$E$20000,INPUT_DELAY!$A$5:$A$20000,$A546,INPUT_DELAY!$B$5:$B$20000,$B546,INPUT_DELAY!$C$5:$C$20000,"SEMUA")&gt;=60,"Delay 60 mnt tapi ada ritase","OK"))))))</f>
        <v/>
      </c>
      <c r="P546" s="158">
        <f>IFERROR(INDEX(MASTER_JAM!$Z$5:$AC$10,MATCH($I546,MASTER_JAM!$Y$5:$Y$10,0),MATCH($J546,MASTER_JAM!$Z$4:$AC$4,0))+0,0)</f>
        <v/>
      </c>
      <c r="Q546" s="158">
        <f>IF($P546=0,0,$P546+IFERROR(INDEX(MASTER_JAM!$H$5:$H$94,MATCH($C546,MASTER_JAM!$A$5:$A$94,0))+0,MASTER_JAM!$AC$15)/1000*(60/MASTER_JAM!$AC$12+60/MASTER_JAM!$AC$13)+MASTER_JAM!$AC$14)</f>
        <v/>
      </c>
      <c r="R546" s="158">
        <f>IF(N($F546)=0,0,$F546/SUMIFS(INPUT_RITASE!$F$5:$F$20000,INPUT_RITASE!$A$5:$A$20000,$A546,INPUT_RITASE!$B$5:$B$20000,$B546,INPUT_RITASE!$C$5:$C$20000,$C546,INPUT_RITASE!$D$5:$D$20000,$D546))</f>
        <v/>
      </c>
      <c r="S546" s="158">
        <f>IF($Q546=0,0,$R546*$P546/$Q546)</f>
        <v/>
      </c>
    </row>
    <row r="547">
      <c r="A547" s="155" t="n">
        <v>46105</v>
      </c>
      <c r="B547" s="156" t="inlineStr">
        <is>
          <t>01-02</t>
        </is>
      </c>
      <c r="C547" s="156" t="inlineStr">
        <is>
          <t>EX-754</t>
        </is>
      </c>
      <c r="D547" s="156" t="inlineStr">
        <is>
          <t>DT-517</t>
        </is>
      </c>
      <c r="E547" s="156" t="inlineStr">
        <is>
          <t>OB</t>
        </is>
      </c>
      <c r="F547" s="156" t="n">
        <v>4</v>
      </c>
      <c r="G547" s="156" t="inlineStr"/>
      <c r="H547" s="157">
        <f>IF($B547="","",IF(ISNA(MATCH($B547,MASTER_JAM!$Q$5:$Q$28,0)),"?",IF(MATCH($B547,MASTER_JAM!$Q$5:$Q$28,0)&lt;=12,"DS","NS")))</f>
        <v/>
      </c>
      <c r="I547" s="157">
        <f>IFERROR(INDEX(MASTER_JAM!$B$5:$B$94,MATCH($C547,MASTER_JAM!$A$5:$A$94,0)),"")</f>
        <v/>
      </c>
      <c r="J547" s="157">
        <f>IFERROR(INDEX(MASTER_JAM!$E$5:$E$94,MATCH($D547,MASTER_JAM!$A$5:$A$94,0)),"")</f>
        <v/>
      </c>
      <c r="K547" s="158">
        <f>IFERROR(INDEX(MASTER_JAM!$J$5:$O$12,MATCH($E547,MASTER_JAM!$I$5:$I$12,0),MATCH($J547,MASTER_JAM!$J$4:$O$4,0))+0,0)</f>
        <v/>
      </c>
      <c r="L547" s="159">
        <f>N($F547)*$K547</f>
        <v/>
      </c>
      <c r="M547" s="157">
        <f>IF($E547="","",IF(OR($E547="Coal",$E547="Dirty Coal"),"MT","BCM"))</f>
        <v/>
      </c>
      <c r="N547" s="157">
        <f>IF($E547="","",IF(OR($E547="Coal",$E547="Dirty Coal"),"Coal","OB"))</f>
        <v/>
      </c>
      <c r="O547" s="157">
        <f>IF($F547="","",IF(COUNTIF(MASTER_JAM!$A$5:$A$94,$C547)=0,"Digger tidak dikenal",IF($J547="","Hauler tidak dikenal",IF($H547="?","Jam salah",IF($K547=0,"Faktor kosong",IF(SUMIFS(INPUT_DELAY!$E$5:$E$20000,INPUT_DELAY!$A$5:$A$20000,$A547,INPUT_DELAY!$B$5:$B$20000,$B547,INPUT_DELAY!$C$5:$C$20000,$C547)+SUMIFS(INPUT_DELAY!$E$5:$E$20000,INPUT_DELAY!$A$5:$A$20000,$A547,INPUT_DELAY!$B$5:$B$20000,$B547,INPUT_DELAY!$C$5:$C$20000,"SEMUA")&gt;=60,"Delay 60 mnt tapi ada ritase","OK"))))))</f>
        <v/>
      </c>
      <c r="P547" s="158">
        <f>IFERROR(INDEX(MASTER_JAM!$Z$5:$AC$10,MATCH($I547,MASTER_JAM!$Y$5:$Y$10,0),MATCH($J547,MASTER_JAM!$Z$4:$AC$4,0))+0,0)</f>
        <v/>
      </c>
      <c r="Q547" s="158">
        <f>IF($P547=0,0,$P547+IFERROR(INDEX(MASTER_JAM!$H$5:$H$94,MATCH($C547,MASTER_JAM!$A$5:$A$94,0))+0,MASTER_JAM!$AC$15)/1000*(60/MASTER_JAM!$AC$12+60/MASTER_JAM!$AC$13)+MASTER_JAM!$AC$14)</f>
        <v/>
      </c>
      <c r="R547" s="158">
        <f>IF(N($F547)=0,0,$F547/SUMIFS(INPUT_RITASE!$F$5:$F$20000,INPUT_RITASE!$A$5:$A$20000,$A547,INPUT_RITASE!$B$5:$B$20000,$B547,INPUT_RITASE!$C$5:$C$20000,$C547,INPUT_RITASE!$D$5:$D$20000,$D547))</f>
        <v/>
      </c>
      <c r="S547" s="158">
        <f>IF($Q547=0,0,$R547*$P547/$Q547)</f>
        <v/>
      </c>
    </row>
    <row r="548">
      <c r="A548" s="155" t="n">
        <v>46105</v>
      </c>
      <c r="B548" s="156" t="inlineStr">
        <is>
          <t>02-03</t>
        </is>
      </c>
      <c r="C548" s="156" t="inlineStr">
        <is>
          <t>EX-754</t>
        </is>
      </c>
      <c r="D548" s="156" t="inlineStr">
        <is>
          <t>DT-522</t>
        </is>
      </c>
      <c r="E548" s="156" t="inlineStr">
        <is>
          <t>OB</t>
        </is>
      </c>
      <c r="F548" s="156" t="n">
        <v>4</v>
      </c>
      <c r="G548" s="156" t="inlineStr"/>
      <c r="H548" s="157">
        <f>IF($B548="","",IF(ISNA(MATCH($B548,MASTER_JAM!$Q$5:$Q$28,0)),"?",IF(MATCH($B548,MASTER_JAM!$Q$5:$Q$28,0)&lt;=12,"DS","NS")))</f>
        <v/>
      </c>
      <c r="I548" s="157">
        <f>IFERROR(INDEX(MASTER_JAM!$B$5:$B$94,MATCH($C548,MASTER_JAM!$A$5:$A$94,0)),"")</f>
        <v/>
      </c>
      <c r="J548" s="157">
        <f>IFERROR(INDEX(MASTER_JAM!$E$5:$E$94,MATCH($D548,MASTER_JAM!$A$5:$A$94,0)),"")</f>
        <v/>
      </c>
      <c r="K548" s="158">
        <f>IFERROR(INDEX(MASTER_JAM!$J$5:$O$12,MATCH($E548,MASTER_JAM!$I$5:$I$12,0),MATCH($J548,MASTER_JAM!$J$4:$O$4,0))+0,0)</f>
        <v/>
      </c>
      <c r="L548" s="159">
        <f>N($F548)*$K548</f>
        <v/>
      </c>
      <c r="M548" s="157">
        <f>IF($E548="","",IF(OR($E548="Coal",$E548="Dirty Coal"),"MT","BCM"))</f>
        <v/>
      </c>
      <c r="N548" s="157">
        <f>IF($E548="","",IF(OR($E548="Coal",$E548="Dirty Coal"),"Coal","OB"))</f>
        <v/>
      </c>
      <c r="O548" s="157">
        <f>IF($F548="","",IF(COUNTIF(MASTER_JAM!$A$5:$A$94,$C548)=0,"Digger tidak dikenal",IF($J548="","Hauler tidak dikenal",IF($H548="?","Jam salah",IF($K548=0,"Faktor kosong",IF(SUMIFS(INPUT_DELAY!$E$5:$E$20000,INPUT_DELAY!$A$5:$A$20000,$A548,INPUT_DELAY!$B$5:$B$20000,$B548,INPUT_DELAY!$C$5:$C$20000,$C548)+SUMIFS(INPUT_DELAY!$E$5:$E$20000,INPUT_DELAY!$A$5:$A$20000,$A548,INPUT_DELAY!$B$5:$B$20000,$B548,INPUT_DELAY!$C$5:$C$20000,"SEMUA")&gt;=60,"Delay 60 mnt tapi ada ritase","OK"))))))</f>
        <v/>
      </c>
      <c r="P548" s="158">
        <f>IFERROR(INDEX(MASTER_JAM!$Z$5:$AC$10,MATCH($I548,MASTER_JAM!$Y$5:$Y$10,0),MATCH($J548,MASTER_JAM!$Z$4:$AC$4,0))+0,0)</f>
        <v/>
      </c>
      <c r="Q548" s="158">
        <f>IF($P548=0,0,$P548+IFERROR(INDEX(MASTER_JAM!$H$5:$H$94,MATCH($C548,MASTER_JAM!$A$5:$A$94,0))+0,MASTER_JAM!$AC$15)/1000*(60/MASTER_JAM!$AC$12+60/MASTER_JAM!$AC$13)+MASTER_JAM!$AC$14)</f>
        <v/>
      </c>
      <c r="R548" s="158">
        <f>IF(N($F548)=0,0,$F548/SUMIFS(INPUT_RITASE!$F$5:$F$20000,INPUT_RITASE!$A$5:$A$20000,$A548,INPUT_RITASE!$B$5:$B$20000,$B548,INPUT_RITASE!$C$5:$C$20000,$C548,INPUT_RITASE!$D$5:$D$20000,$D548))</f>
        <v/>
      </c>
      <c r="S548" s="158">
        <f>IF($Q548=0,0,$R548*$P548/$Q548)</f>
        <v/>
      </c>
    </row>
    <row r="549">
      <c r="A549" s="155" t="n">
        <v>46105</v>
      </c>
      <c r="B549" s="156" t="inlineStr">
        <is>
          <t>02-03</t>
        </is>
      </c>
      <c r="C549" s="156" t="inlineStr">
        <is>
          <t>EX-754</t>
        </is>
      </c>
      <c r="D549" s="156" t="inlineStr">
        <is>
          <t>DT-523</t>
        </is>
      </c>
      <c r="E549" s="156" t="inlineStr">
        <is>
          <t>OB</t>
        </is>
      </c>
      <c r="F549" s="156" t="n">
        <v>4</v>
      </c>
      <c r="G549" s="156" t="inlineStr"/>
      <c r="H549" s="157">
        <f>IF($B549="","",IF(ISNA(MATCH($B549,MASTER_JAM!$Q$5:$Q$28,0)),"?",IF(MATCH($B549,MASTER_JAM!$Q$5:$Q$28,0)&lt;=12,"DS","NS")))</f>
        <v/>
      </c>
      <c r="I549" s="157">
        <f>IFERROR(INDEX(MASTER_JAM!$B$5:$B$94,MATCH($C549,MASTER_JAM!$A$5:$A$94,0)),"")</f>
        <v/>
      </c>
      <c r="J549" s="157">
        <f>IFERROR(INDEX(MASTER_JAM!$E$5:$E$94,MATCH($D549,MASTER_JAM!$A$5:$A$94,0)),"")</f>
        <v/>
      </c>
      <c r="K549" s="158">
        <f>IFERROR(INDEX(MASTER_JAM!$J$5:$O$12,MATCH($E549,MASTER_JAM!$I$5:$I$12,0),MATCH($J549,MASTER_JAM!$J$4:$O$4,0))+0,0)</f>
        <v/>
      </c>
      <c r="L549" s="159">
        <f>N($F549)*$K549</f>
        <v/>
      </c>
      <c r="M549" s="157">
        <f>IF($E549="","",IF(OR($E549="Coal",$E549="Dirty Coal"),"MT","BCM"))</f>
        <v/>
      </c>
      <c r="N549" s="157">
        <f>IF($E549="","",IF(OR($E549="Coal",$E549="Dirty Coal"),"Coal","OB"))</f>
        <v/>
      </c>
      <c r="O549" s="157">
        <f>IF($F549="","",IF(COUNTIF(MASTER_JAM!$A$5:$A$94,$C549)=0,"Digger tidak dikenal",IF($J549="","Hauler tidak dikenal",IF($H549="?","Jam salah",IF($K549=0,"Faktor kosong",IF(SUMIFS(INPUT_DELAY!$E$5:$E$20000,INPUT_DELAY!$A$5:$A$20000,$A549,INPUT_DELAY!$B$5:$B$20000,$B549,INPUT_DELAY!$C$5:$C$20000,$C549)+SUMIFS(INPUT_DELAY!$E$5:$E$20000,INPUT_DELAY!$A$5:$A$20000,$A549,INPUT_DELAY!$B$5:$B$20000,$B549,INPUT_DELAY!$C$5:$C$20000,"SEMUA")&gt;=60,"Delay 60 mnt tapi ada ritase","OK"))))))</f>
        <v/>
      </c>
      <c r="P549" s="158">
        <f>IFERROR(INDEX(MASTER_JAM!$Z$5:$AC$10,MATCH($I549,MASTER_JAM!$Y$5:$Y$10,0),MATCH($J549,MASTER_JAM!$Z$4:$AC$4,0))+0,0)</f>
        <v/>
      </c>
      <c r="Q549" s="158">
        <f>IF($P549=0,0,$P549+IFERROR(INDEX(MASTER_JAM!$H$5:$H$94,MATCH($C549,MASTER_JAM!$A$5:$A$94,0))+0,MASTER_JAM!$AC$15)/1000*(60/MASTER_JAM!$AC$12+60/MASTER_JAM!$AC$13)+MASTER_JAM!$AC$14)</f>
        <v/>
      </c>
      <c r="R549" s="158">
        <f>IF(N($F549)=0,0,$F549/SUMIFS(INPUT_RITASE!$F$5:$F$20000,INPUT_RITASE!$A$5:$A$20000,$A549,INPUT_RITASE!$B$5:$B$20000,$B549,INPUT_RITASE!$C$5:$C$20000,$C549,INPUT_RITASE!$D$5:$D$20000,$D549))</f>
        <v/>
      </c>
      <c r="S549" s="158">
        <f>IF($Q549=0,0,$R549*$P549/$Q549)</f>
        <v/>
      </c>
    </row>
    <row r="550">
      <c r="A550" s="155" t="n">
        <v>46105</v>
      </c>
      <c r="B550" s="156" t="inlineStr">
        <is>
          <t>02-03</t>
        </is>
      </c>
      <c r="C550" s="156" t="inlineStr">
        <is>
          <t>EX-754</t>
        </is>
      </c>
      <c r="D550" s="156" t="inlineStr">
        <is>
          <t>DT-504</t>
        </is>
      </c>
      <c r="E550" s="156" t="inlineStr">
        <is>
          <t>OB</t>
        </is>
      </c>
      <c r="F550" s="156" t="n">
        <v>3</v>
      </c>
      <c r="G550" s="156" t="inlineStr"/>
      <c r="H550" s="157">
        <f>IF($B550="","",IF(ISNA(MATCH($B550,MASTER_JAM!$Q$5:$Q$28,0)),"?",IF(MATCH($B550,MASTER_JAM!$Q$5:$Q$28,0)&lt;=12,"DS","NS")))</f>
        <v/>
      </c>
      <c r="I550" s="157">
        <f>IFERROR(INDEX(MASTER_JAM!$B$5:$B$94,MATCH($C550,MASTER_JAM!$A$5:$A$94,0)),"")</f>
        <v/>
      </c>
      <c r="J550" s="157">
        <f>IFERROR(INDEX(MASTER_JAM!$E$5:$E$94,MATCH($D550,MASTER_JAM!$A$5:$A$94,0)),"")</f>
        <v/>
      </c>
      <c r="K550" s="158">
        <f>IFERROR(INDEX(MASTER_JAM!$J$5:$O$12,MATCH($E550,MASTER_JAM!$I$5:$I$12,0),MATCH($J550,MASTER_JAM!$J$4:$O$4,0))+0,0)</f>
        <v/>
      </c>
      <c r="L550" s="159">
        <f>N($F550)*$K550</f>
        <v/>
      </c>
      <c r="M550" s="157">
        <f>IF($E550="","",IF(OR($E550="Coal",$E550="Dirty Coal"),"MT","BCM"))</f>
        <v/>
      </c>
      <c r="N550" s="157">
        <f>IF($E550="","",IF(OR($E550="Coal",$E550="Dirty Coal"),"Coal","OB"))</f>
        <v/>
      </c>
      <c r="O550" s="157">
        <f>IF($F550="","",IF(COUNTIF(MASTER_JAM!$A$5:$A$94,$C550)=0,"Digger tidak dikenal",IF($J550="","Hauler tidak dikenal",IF($H550="?","Jam salah",IF($K550=0,"Faktor kosong",IF(SUMIFS(INPUT_DELAY!$E$5:$E$20000,INPUT_DELAY!$A$5:$A$20000,$A550,INPUT_DELAY!$B$5:$B$20000,$B550,INPUT_DELAY!$C$5:$C$20000,$C550)+SUMIFS(INPUT_DELAY!$E$5:$E$20000,INPUT_DELAY!$A$5:$A$20000,$A550,INPUT_DELAY!$B$5:$B$20000,$B550,INPUT_DELAY!$C$5:$C$20000,"SEMUA")&gt;=60,"Delay 60 mnt tapi ada ritase","OK"))))))</f>
        <v/>
      </c>
      <c r="P550" s="158">
        <f>IFERROR(INDEX(MASTER_JAM!$Z$5:$AC$10,MATCH($I550,MASTER_JAM!$Y$5:$Y$10,0),MATCH($J550,MASTER_JAM!$Z$4:$AC$4,0))+0,0)</f>
        <v/>
      </c>
      <c r="Q550" s="158">
        <f>IF($P550=0,0,$P550+IFERROR(INDEX(MASTER_JAM!$H$5:$H$94,MATCH($C550,MASTER_JAM!$A$5:$A$94,0))+0,MASTER_JAM!$AC$15)/1000*(60/MASTER_JAM!$AC$12+60/MASTER_JAM!$AC$13)+MASTER_JAM!$AC$14)</f>
        <v/>
      </c>
      <c r="R550" s="158">
        <f>IF(N($F550)=0,0,$F550/SUMIFS(INPUT_RITASE!$F$5:$F$20000,INPUT_RITASE!$A$5:$A$20000,$A550,INPUT_RITASE!$B$5:$B$20000,$B550,INPUT_RITASE!$C$5:$C$20000,$C550,INPUT_RITASE!$D$5:$D$20000,$D550))</f>
        <v/>
      </c>
      <c r="S550" s="158">
        <f>IF($Q550=0,0,$R550*$P550/$Q550)</f>
        <v/>
      </c>
    </row>
    <row r="551">
      <c r="A551" s="155" t="n">
        <v>46105</v>
      </c>
      <c r="B551" s="156" t="inlineStr">
        <is>
          <t>02-03</t>
        </is>
      </c>
      <c r="C551" s="156" t="inlineStr">
        <is>
          <t>EX-754</t>
        </is>
      </c>
      <c r="D551" s="156" t="inlineStr">
        <is>
          <t>DT-502</t>
        </is>
      </c>
      <c r="E551" s="156" t="inlineStr">
        <is>
          <t>OB</t>
        </is>
      </c>
      <c r="F551" s="156" t="n">
        <v>3</v>
      </c>
      <c r="G551" s="156" t="inlineStr"/>
      <c r="H551" s="157">
        <f>IF($B551="","",IF(ISNA(MATCH($B551,MASTER_JAM!$Q$5:$Q$28,0)),"?",IF(MATCH($B551,MASTER_JAM!$Q$5:$Q$28,0)&lt;=12,"DS","NS")))</f>
        <v/>
      </c>
      <c r="I551" s="157">
        <f>IFERROR(INDEX(MASTER_JAM!$B$5:$B$94,MATCH($C551,MASTER_JAM!$A$5:$A$94,0)),"")</f>
        <v/>
      </c>
      <c r="J551" s="157">
        <f>IFERROR(INDEX(MASTER_JAM!$E$5:$E$94,MATCH($D551,MASTER_JAM!$A$5:$A$94,0)),"")</f>
        <v/>
      </c>
      <c r="K551" s="158">
        <f>IFERROR(INDEX(MASTER_JAM!$J$5:$O$12,MATCH($E551,MASTER_JAM!$I$5:$I$12,0),MATCH($J551,MASTER_JAM!$J$4:$O$4,0))+0,0)</f>
        <v/>
      </c>
      <c r="L551" s="159">
        <f>N($F551)*$K551</f>
        <v/>
      </c>
      <c r="M551" s="157">
        <f>IF($E551="","",IF(OR($E551="Coal",$E551="Dirty Coal"),"MT","BCM"))</f>
        <v/>
      </c>
      <c r="N551" s="157">
        <f>IF($E551="","",IF(OR($E551="Coal",$E551="Dirty Coal"),"Coal","OB"))</f>
        <v/>
      </c>
      <c r="O551" s="157">
        <f>IF($F551="","",IF(COUNTIF(MASTER_JAM!$A$5:$A$94,$C551)=0,"Digger tidak dikenal",IF($J551="","Hauler tidak dikenal",IF($H551="?","Jam salah",IF($K551=0,"Faktor kosong",IF(SUMIFS(INPUT_DELAY!$E$5:$E$20000,INPUT_DELAY!$A$5:$A$20000,$A551,INPUT_DELAY!$B$5:$B$20000,$B551,INPUT_DELAY!$C$5:$C$20000,$C551)+SUMIFS(INPUT_DELAY!$E$5:$E$20000,INPUT_DELAY!$A$5:$A$20000,$A551,INPUT_DELAY!$B$5:$B$20000,$B551,INPUT_DELAY!$C$5:$C$20000,"SEMUA")&gt;=60,"Delay 60 mnt tapi ada ritase","OK"))))))</f>
        <v/>
      </c>
      <c r="P551" s="158">
        <f>IFERROR(INDEX(MASTER_JAM!$Z$5:$AC$10,MATCH($I551,MASTER_JAM!$Y$5:$Y$10,0),MATCH($J551,MASTER_JAM!$Z$4:$AC$4,0))+0,0)</f>
        <v/>
      </c>
      <c r="Q551" s="158">
        <f>IF($P551=0,0,$P551+IFERROR(INDEX(MASTER_JAM!$H$5:$H$94,MATCH($C551,MASTER_JAM!$A$5:$A$94,0))+0,MASTER_JAM!$AC$15)/1000*(60/MASTER_JAM!$AC$12+60/MASTER_JAM!$AC$13)+MASTER_JAM!$AC$14)</f>
        <v/>
      </c>
      <c r="R551" s="158">
        <f>IF(N($F551)=0,0,$F551/SUMIFS(INPUT_RITASE!$F$5:$F$20000,INPUT_RITASE!$A$5:$A$20000,$A551,INPUT_RITASE!$B$5:$B$20000,$B551,INPUT_RITASE!$C$5:$C$20000,$C551,INPUT_RITASE!$D$5:$D$20000,$D551))</f>
        <v/>
      </c>
      <c r="S551" s="158">
        <f>IF($Q551=0,0,$R551*$P551/$Q551)</f>
        <v/>
      </c>
    </row>
    <row r="552">
      <c r="A552" s="155" t="n">
        <v>46105</v>
      </c>
      <c r="B552" s="156" t="inlineStr">
        <is>
          <t>02-03</t>
        </is>
      </c>
      <c r="C552" s="156" t="inlineStr">
        <is>
          <t>EX-754</t>
        </is>
      </c>
      <c r="D552" s="156" t="inlineStr">
        <is>
          <t>DT-517</t>
        </is>
      </c>
      <c r="E552" s="156" t="inlineStr">
        <is>
          <t>OB</t>
        </is>
      </c>
      <c r="F552" s="156" t="n">
        <v>3</v>
      </c>
      <c r="G552" s="156" t="inlineStr"/>
      <c r="H552" s="157">
        <f>IF($B552="","",IF(ISNA(MATCH($B552,MASTER_JAM!$Q$5:$Q$28,0)),"?",IF(MATCH($B552,MASTER_JAM!$Q$5:$Q$28,0)&lt;=12,"DS","NS")))</f>
        <v/>
      </c>
      <c r="I552" s="157">
        <f>IFERROR(INDEX(MASTER_JAM!$B$5:$B$94,MATCH($C552,MASTER_JAM!$A$5:$A$94,0)),"")</f>
        <v/>
      </c>
      <c r="J552" s="157">
        <f>IFERROR(INDEX(MASTER_JAM!$E$5:$E$94,MATCH($D552,MASTER_JAM!$A$5:$A$94,0)),"")</f>
        <v/>
      </c>
      <c r="K552" s="158">
        <f>IFERROR(INDEX(MASTER_JAM!$J$5:$O$12,MATCH($E552,MASTER_JAM!$I$5:$I$12,0),MATCH($J552,MASTER_JAM!$J$4:$O$4,0))+0,0)</f>
        <v/>
      </c>
      <c r="L552" s="159">
        <f>N($F552)*$K552</f>
        <v/>
      </c>
      <c r="M552" s="157">
        <f>IF($E552="","",IF(OR($E552="Coal",$E552="Dirty Coal"),"MT","BCM"))</f>
        <v/>
      </c>
      <c r="N552" s="157">
        <f>IF($E552="","",IF(OR($E552="Coal",$E552="Dirty Coal"),"Coal","OB"))</f>
        <v/>
      </c>
      <c r="O552" s="157">
        <f>IF($F552="","",IF(COUNTIF(MASTER_JAM!$A$5:$A$94,$C552)=0,"Digger tidak dikenal",IF($J552="","Hauler tidak dikenal",IF($H552="?","Jam salah",IF($K552=0,"Faktor kosong",IF(SUMIFS(INPUT_DELAY!$E$5:$E$20000,INPUT_DELAY!$A$5:$A$20000,$A552,INPUT_DELAY!$B$5:$B$20000,$B552,INPUT_DELAY!$C$5:$C$20000,$C552)+SUMIFS(INPUT_DELAY!$E$5:$E$20000,INPUT_DELAY!$A$5:$A$20000,$A552,INPUT_DELAY!$B$5:$B$20000,$B552,INPUT_DELAY!$C$5:$C$20000,"SEMUA")&gt;=60,"Delay 60 mnt tapi ada ritase","OK"))))))</f>
        <v/>
      </c>
      <c r="P552" s="158">
        <f>IFERROR(INDEX(MASTER_JAM!$Z$5:$AC$10,MATCH($I552,MASTER_JAM!$Y$5:$Y$10,0),MATCH($J552,MASTER_JAM!$Z$4:$AC$4,0))+0,0)</f>
        <v/>
      </c>
      <c r="Q552" s="158">
        <f>IF($P552=0,0,$P552+IFERROR(INDEX(MASTER_JAM!$H$5:$H$94,MATCH($C552,MASTER_JAM!$A$5:$A$94,0))+0,MASTER_JAM!$AC$15)/1000*(60/MASTER_JAM!$AC$12+60/MASTER_JAM!$AC$13)+MASTER_JAM!$AC$14)</f>
        <v/>
      </c>
      <c r="R552" s="158">
        <f>IF(N($F552)=0,0,$F552/SUMIFS(INPUT_RITASE!$F$5:$F$20000,INPUT_RITASE!$A$5:$A$20000,$A552,INPUT_RITASE!$B$5:$B$20000,$B552,INPUT_RITASE!$C$5:$C$20000,$C552,INPUT_RITASE!$D$5:$D$20000,$D552))</f>
        <v/>
      </c>
      <c r="S552" s="158">
        <f>IF($Q552=0,0,$R552*$P552/$Q552)</f>
        <v/>
      </c>
    </row>
    <row r="553">
      <c r="A553" s="155" t="n">
        <v>46105</v>
      </c>
      <c r="B553" s="156" t="inlineStr">
        <is>
          <t>03-04</t>
        </is>
      </c>
      <c r="C553" s="156" t="inlineStr">
        <is>
          <t>EX-754</t>
        </is>
      </c>
      <c r="D553" s="156" t="inlineStr">
        <is>
          <t>DT-506</t>
        </is>
      </c>
      <c r="E553" s="156" t="inlineStr">
        <is>
          <t>OB</t>
        </is>
      </c>
      <c r="F553" s="156" t="n">
        <v>4</v>
      </c>
      <c r="G553" s="156" t="inlineStr"/>
      <c r="H553" s="157">
        <f>IF($B553="","",IF(ISNA(MATCH($B553,MASTER_JAM!$Q$5:$Q$28,0)),"?",IF(MATCH($B553,MASTER_JAM!$Q$5:$Q$28,0)&lt;=12,"DS","NS")))</f>
        <v/>
      </c>
      <c r="I553" s="157">
        <f>IFERROR(INDEX(MASTER_JAM!$B$5:$B$94,MATCH($C553,MASTER_JAM!$A$5:$A$94,0)),"")</f>
        <v/>
      </c>
      <c r="J553" s="157">
        <f>IFERROR(INDEX(MASTER_JAM!$E$5:$E$94,MATCH($D553,MASTER_JAM!$A$5:$A$94,0)),"")</f>
        <v/>
      </c>
      <c r="K553" s="158">
        <f>IFERROR(INDEX(MASTER_JAM!$J$5:$O$12,MATCH($E553,MASTER_JAM!$I$5:$I$12,0),MATCH($J553,MASTER_JAM!$J$4:$O$4,0))+0,0)</f>
        <v/>
      </c>
      <c r="L553" s="159">
        <f>N($F553)*$K553</f>
        <v/>
      </c>
      <c r="M553" s="157">
        <f>IF($E553="","",IF(OR($E553="Coal",$E553="Dirty Coal"),"MT","BCM"))</f>
        <v/>
      </c>
      <c r="N553" s="157">
        <f>IF($E553="","",IF(OR($E553="Coal",$E553="Dirty Coal"),"Coal","OB"))</f>
        <v/>
      </c>
      <c r="O553" s="157">
        <f>IF($F553="","",IF(COUNTIF(MASTER_JAM!$A$5:$A$94,$C553)=0,"Digger tidak dikenal",IF($J553="","Hauler tidak dikenal",IF($H553="?","Jam salah",IF($K553=0,"Faktor kosong",IF(SUMIFS(INPUT_DELAY!$E$5:$E$20000,INPUT_DELAY!$A$5:$A$20000,$A553,INPUT_DELAY!$B$5:$B$20000,$B553,INPUT_DELAY!$C$5:$C$20000,$C553)+SUMIFS(INPUT_DELAY!$E$5:$E$20000,INPUT_DELAY!$A$5:$A$20000,$A553,INPUT_DELAY!$B$5:$B$20000,$B553,INPUT_DELAY!$C$5:$C$20000,"SEMUA")&gt;=60,"Delay 60 mnt tapi ada ritase","OK"))))))</f>
        <v/>
      </c>
      <c r="P553" s="158">
        <f>IFERROR(INDEX(MASTER_JAM!$Z$5:$AC$10,MATCH($I553,MASTER_JAM!$Y$5:$Y$10,0),MATCH($J553,MASTER_JAM!$Z$4:$AC$4,0))+0,0)</f>
        <v/>
      </c>
      <c r="Q553" s="158">
        <f>IF($P553=0,0,$P553+IFERROR(INDEX(MASTER_JAM!$H$5:$H$94,MATCH($C553,MASTER_JAM!$A$5:$A$94,0))+0,MASTER_JAM!$AC$15)/1000*(60/MASTER_JAM!$AC$12+60/MASTER_JAM!$AC$13)+MASTER_JAM!$AC$14)</f>
        <v/>
      </c>
      <c r="R553" s="158">
        <f>IF(N($F553)=0,0,$F553/SUMIFS(INPUT_RITASE!$F$5:$F$20000,INPUT_RITASE!$A$5:$A$20000,$A553,INPUT_RITASE!$B$5:$B$20000,$B553,INPUT_RITASE!$C$5:$C$20000,$C553,INPUT_RITASE!$D$5:$D$20000,$D553))</f>
        <v/>
      </c>
      <c r="S553" s="158">
        <f>IF($Q553=0,0,$R553*$P553/$Q553)</f>
        <v/>
      </c>
    </row>
    <row r="554">
      <c r="A554" s="155" t="n">
        <v>46105</v>
      </c>
      <c r="B554" s="156" t="inlineStr">
        <is>
          <t>03-04</t>
        </is>
      </c>
      <c r="C554" s="156" t="inlineStr">
        <is>
          <t>EX-754</t>
        </is>
      </c>
      <c r="D554" s="156" t="inlineStr">
        <is>
          <t>DT-504</t>
        </is>
      </c>
      <c r="E554" s="156" t="inlineStr">
        <is>
          <t>OB</t>
        </is>
      </c>
      <c r="F554" s="156" t="n">
        <v>4</v>
      </c>
      <c r="G554" s="156" t="inlineStr"/>
      <c r="H554" s="157">
        <f>IF($B554="","",IF(ISNA(MATCH($B554,MASTER_JAM!$Q$5:$Q$28,0)),"?",IF(MATCH($B554,MASTER_JAM!$Q$5:$Q$28,0)&lt;=12,"DS","NS")))</f>
        <v/>
      </c>
      <c r="I554" s="157">
        <f>IFERROR(INDEX(MASTER_JAM!$B$5:$B$94,MATCH($C554,MASTER_JAM!$A$5:$A$94,0)),"")</f>
        <v/>
      </c>
      <c r="J554" s="157">
        <f>IFERROR(INDEX(MASTER_JAM!$E$5:$E$94,MATCH($D554,MASTER_JAM!$A$5:$A$94,0)),"")</f>
        <v/>
      </c>
      <c r="K554" s="158">
        <f>IFERROR(INDEX(MASTER_JAM!$J$5:$O$12,MATCH($E554,MASTER_JAM!$I$5:$I$12,0),MATCH($J554,MASTER_JAM!$J$4:$O$4,0))+0,0)</f>
        <v/>
      </c>
      <c r="L554" s="159">
        <f>N($F554)*$K554</f>
        <v/>
      </c>
      <c r="M554" s="157">
        <f>IF($E554="","",IF(OR($E554="Coal",$E554="Dirty Coal"),"MT","BCM"))</f>
        <v/>
      </c>
      <c r="N554" s="157">
        <f>IF($E554="","",IF(OR($E554="Coal",$E554="Dirty Coal"),"Coal","OB"))</f>
        <v/>
      </c>
      <c r="O554" s="157">
        <f>IF($F554="","",IF(COUNTIF(MASTER_JAM!$A$5:$A$94,$C554)=0,"Digger tidak dikenal",IF($J554="","Hauler tidak dikenal",IF($H554="?","Jam salah",IF($K554=0,"Faktor kosong",IF(SUMIFS(INPUT_DELAY!$E$5:$E$20000,INPUT_DELAY!$A$5:$A$20000,$A554,INPUT_DELAY!$B$5:$B$20000,$B554,INPUT_DELAY!$C$5:$C$20000,$C554)+SUMIFS(INPUT_DELAY!$E$5:$E$20000,INPUT_DELAY!$A$5:$A$20000,$A554,INPUT_DELAY!$B$5:$B$20000,$B554,INPUT_DELAY!$C$5:$C$20000,"SEMUA")&gt;=60,"Delay 60 mnt tapi ada ritase","OK"))))))</f>
        <v/>
      </c>
      <c r="P554" s="158">
        <f>IFERROR(INDEX(MASTER_JAM!$Z$5:$AC$10,MATCH($I554,MASTER_JAM!$Y$5:$Y$10,0),MATCH($J554,MASTER_JAM!$Z$4:$AC$4,0))+0,0)</f>
        <v/>
      </c>
      <c r="Q554" s="158">
        <f>IF($P554=0,0,$P554+IFERROR(INDEX(MASTER_JAM!$H$5:$H$94,MATCH($C554,MASTER_JAM!$A$5:$A$94,0))+0,MASTER_JAM!$AC$15)/1000*(60/MASTER_JAM!$AC$12+60/MASTER_JAM!$AC$13)+MASTER_JAM!$AC$14)</f>
        <v/>
      </c>
      <c r="R554" s="158">
        <f>IF(N($F554)=0,0,$F554/SUMIFS(INPUT_RITASE!$F$5:$F$20000,INPUT_RITASE!$A$5:$A$20000,$A554,INPUT_RITASE!$B$5:$B$20000,$B554,INPUT_RITASE!$C$5:$C$20000,$C554,INPUT_RITASE!$D$5:$D$20000,$D554))</f>
        <v/>
      </c>
      <c r="S554" s="158">
        <f>IF($Q554=0,0,$R554*$P554/$Q554)</f>
        <v/>
      </c>
    </row>
    <row r="555">
      <c r="A555" s="155" t="n">
        <v>46105</v>
      </c>
      <c r="B555" s="156" t="inlineStr">
        <is>
          <t>03-04</t>
        </is>
      </c>
      <c r="C555" s="156" t="inlineStr">
        <is>
          <t>EX-754</t>
        </is>
      </c>
      <c r="D555" s="156" t="inlineStr">
        <is>
          <t>DT-523</t>
        </is>
      </c>
      <c r="E555" s="156" t="inlineStr">
        <is>
          <t>OB</t>
        </is>
      </c>
      <c r="F555" s="156" t="n">
        <v>3</v>
      </c>
      <c r="G555" s="156" t="inlineStr"/>
      <c r="H555" s="157">
        <f>IF($B555="","",IF(ISNA(MATCH($B555,MASTER_JAM!$Q$5:$Q$28,0)),"?",IF(MATCH($B555,MASTER_JAM!$Q$5:$Q$28,0)&lt;=12,"DS","NS")))</f>
        <v/>
      </c>
      <c r="I555" s="157">
        <f>IFERROR(INDEX(MASTER_JAM!$B$5:$B$94,MATCH($C555,MASTER_JAM!$A$5:$A$94,0)),"")</f>
        <v/>
      </c>
      <c r="J555" s="157">
        <f>IFERROR(INDEX(MASTER_JAM!$E$5:$E$94,MATCH($D555,MASTER_JAM!$A$5:$A$94,0)),"")</f>
        <v/>
      </c>
      <c r="K555" s="158">
        <f>IFERROR(INDEX(MASTER_JAM!$J$5:$O$12,MATCH($E555,MASTER_JAM!$I$5:$I$12,0),MATCH($J555,MASTER_JAM!$J$4:$O$4,0))+0,0)</f>
        <v/>
      </c>
      <c r="L555" s="159">
        <f>N($F555)*$K555</f>
        <v/>
      </c>
      <c r="M555" s="157">
        <f>IF($E555="","",IF(OR($E555="Coal",$E555="Dirty Coal"),"MT","BCM"))</f>
        <v/>
      </c>
      <c r="N555" s="157">
        <f>IF($E555="","",IF(OR($E555="Coal",$E555="Dirty Coal"),"Coal","OB"))</f>
        <v/>
      </c>
      <c r="O555" s="157">
        <f>IF($F555="","",IF(COUNTIF(MASTER_JAM!$A$5:$A$94,$C555)=0,"Digger tidak dikenal",IF($J555="","Hauler tidak dikenal",IF($H555="?","Jam salah",IF($K555=0,"Faktor kosong",IF(SUMIFS(INPUT_DELAY!$E$5:$E$20000,INPUT_DELAY!$A$5:$A$20000,$A555,INPUT_DELAY!$B$5:$B$20000,$B555,INPUT_DELAY!$C$5:$C$20000,$C555)+SUMIFS(INPUT_DELAY!$E$5:$E$20000,INPUT_DELAY!$A$5:$A$20000,$A555,INPUT_DELAY!$B$5:$B$20000,$B555,INPUT_DELAY!$C$5:$C$20000,"SEMUA")&gt;=60,"Delay 60 mnt tapi ada ritase","OK"))))))</f>
        <v/>
      </c>
      <c r="P555" s="158">
        <f>IFERROR(INDEX(MASTER_JAM!$Z$5:$AC$10,MATCH($I555,MASTER_JAM!$Y$5:$Y$10,0),MATCH($J555,MASTER_JAM!$Z$4:$AC$4,0))+0,0)</f>
        <v/>
      </c>
      <c r="Q555" s="158">
        <f>IF($P555=0,0,$P555+IFERROR(INDEX(MASTER_JAM!$H$5:$H$94,MATCH($C555,MASTER_JAM!$A$5:$A$94,0))+0,MASTER_JAM!$AC$15)/1000*(60/MASTER_JAM!$AC$12+60/MASTER_JAM!$AC$13)+MASTER_JAM!$AC$14)</f>
        <v/>
      </c>
      <c r="R555" s="158">
        <f>IF(N($F555)=0,0,$F555/SUMIFS(INPUT_RITASE!$F$5:$F$20000,INPUT_RITASE!$A$5:$A$20000,$A555,INPUT_RITASE!$B$5:$B$20000,$B555,INPUT_RITASE!$C$5:$C$20000,$C555,INPUT_RITASE!$D$5:$D$20000,$D555))</f>
        <v/>
      </c>
      <c r="S555" s="158">
        <f>IF($Q555=0,0,$R555*$P555/$Q555)</f>
        <v/>
      </c>
    </row>
    <row r="556">
      <c r="A556" s="155" t="n">
        <v>46105</v>
      </c>
      <c r="B556" s="156" t="inlineStr">
        <is>
          <t>03-04</t>
        </is>
      </c>
      <c r="C556" s="156" t="inlineStr">
        <is>
          <t>EX-754</t>
        </is>
      </c>
      <c r="D556" s="156" t="inlineStr">
        <is>
          <t>DT-529</t>
        </is>
      </c>
      <c r="E556" s="156" t="inlineStr">
        <is>
          <t>OB</t>
        </is>
      </c>
      <c r="F556" s="156" t="n">
        <v>3</v>
      </c>
      <c r="G556" s="156" t="inlineStr"/>
      <c r="H556" s="157">
        <f>IF($B556="","",IF(ISNA(MATCH($B556,MASTER_JAM!$Q$5:$Q$28,0)),"?",IF(MATCH($B556,MASTER_JAM!$Q$5:$Q$28,0)&lt;=12,"DS","NS")))</f>
        <v/>
      </c>
      <c r="I556" s="157">
        <f>IFERROR(INDEX(MASTER_JAM!$B$5:$B$94,MATCH($C556,MASTER_JAM!$A$5:$A$94,0)),"")</f>
        <v/>
      </c>
      <c r="J556" s="157">
        <f>IFERROR(INDEX(MASTER_JAM!$E$5:$E$94,MATCH($D556,MASTER_JAM!$A$5:$A$94,0)),"")</f>
        <v/>
      </c>
      <c r="K556" s="158">
        <f>IFERROR(INDEX(MASTER_JAM!$J$5:$O$12,MATCH($E556,MASTER_JAM!$I$5:$I$12,0),MATCH($J556,MASTER_JAM!$J$4:$O$4,0))+0,0)</f>
        <v/>
      </c>
      <c r="L556" s="159">
        <f>N($F556)*$K556</f>
        <v/>
      </c>
      <c r="M556" s="157">
        <f>IF($E556="","",IF(OR($E556="Coal",$E556="Dirty Coal"),"MT","BCM"))</f>
        <v/>
      </c>
      <c r="N556" s="157">
        <f>IF($E556="","",IF(OR($E556="Coal",$E556="Dirty Coal"),"Coal","OB"))</f>
        <v/>
      </c>
      <c r="O556" s="157">
        <f>IF($F556="","",IF(COUNTIF(MASTER_JAM!$A$5:$A$94,$C556)=0,"Digger tidak dikenal",IF($J556="","Hauler tidak dikenal",IF($H556="?","Jam salah",IF($K556=0,"Faktor kosong",IF(SUMIFS(INPUT_DELAY!$E$5:$E$20000,INPUT_DELAY!$A$5:$A$20000,$A556,INPUT_DELAY!$B$5:$B$20000,$B556,INPUT_DELAY!$C$5:$C$20000,$C556)+SUMIFS(INPUT_DELAY!$E$5:$E$20000,INPUT_DELAY!$A$5:$A$20000,$A556,INPUT_DELAY!$B$5:$B$20000,$B556,INPUT_DELAY!$C$5:$C$20000,"SEMUA")&gt;=60,"Delay 60 mnt tapi ada ritase","OK"))))))</f>
        <v/>
      </c>
      <c r="P556" s="158">
        <f>IFERROR(INDEX(MASTER_JAM!$Z$5:$AC$10,MATCH($I556,MASTER_JAM!$Y$5:$Y$10,0),MATCH($J556,MASTER_JAM!$Z$4:$AC$4,0))+0,0)</f>
        <v/>
      </c>
      <c r="Q556" s="158">
        <f>IF($P556=0,0,$P556+IFERROR(INDEX(MASTER_JAM!$H$5:$H$94,MATCH($C556,MASTER_JAM!$A$5:$A$94,0))+0,MASTER_JAM!$AC$15)/1000*(60/MASTER_JAM!$AC$12+60/MASTER_JAM!$AC$13)+MASTER_JAM!$AC$14)</f>
        <v/>
      </c>
      <c r="R556" s="158">
        <f>IF(N($F556)=0,0,$F556/SUMIFS(INPUT_RITASE!$F$5:$F$20000,INPUT_RITASE!$A$5:$A$20000,$A556,INPUT_RITASE!$B$5:$B$20000,$B556,INPUT_RITASE!$C$5:$C$20000,$C556,INPUT_RITASE!$D$5:$D$20000,$D556))</f>
        <v/>
      </c>
      <c r="S556" s="158">
        <f>IF($Q556=0,0,$R556*$P556/$Q556)</f>
        <v/>
      </c>
    </row>
    <row r="557">
      <c r="A557" s="155" t="n">
        <v>46105</v>
      </c>
      <c r="B557" s="156" t="inlineStr">
        <is>
          <t>03-04</t>
        </is>
      </c>
      <c r="C557" s="156" t="inlineStr">
        <is>
          <t>EX-754</t>
        </is>
      </c>
      <c r="D557" s="156" t="inlineStr">
        <is>
          <t>DT-520</t>
        </is>
      </c>
      <c r="E557" s="156" t="inlineStr">
        <is>
          <t>OB</t>
        </is>
      </c>
      <c r="F557" s="156" t="n">
        <v>3</v>
      </c>
      <c r="G557" s="156" t="inlineStr"/>
      <c r="H557" s="157">
        <f>IF($B557="","",IF(ISNA(MATCH($B557,MASTER_JAM!$Q$5:$Q$28,0)),"?",IF(MATCH($B557,MASTER_JAM!$Q$5:$Q$28,0)&lt;=12,"DS","NS")))</f>
        <v/>
      </c>
      <c r="I557" s="157">
        <f>IFERROR(INDEX(MASTER_JAM!$B$5:$B$94,MATCH($C557,MASTER_JAM!$A$5:$A$94,0)),"")</f>
        <v/>
      </c>
      <c r="J557" s="157">
        <f>IFERROR(INDEX(MASTER_JAM!$E$5:$E$94,MATCH($D557,MASTER_JAM!$A$5:$A$94,0)),"")</f>
        <v/>
      </c>
      <c r="K557" s="158">
        <f>IFERROR(INDEX(MASTER_JAM!$J$5:$O$12,MATCH($E557,MASTER_JAM!$I$5:$I$12,0),MATCH($J557,MASTER_JAM!$J$4:$O$4,0))+0,0)</f>
        <v/>
      </c>
      <c r="L557" s="159">
        <f>N($F557)*$K557</f>
        <v/>
      </c>
      <c r="M557" s="157">
        <f>IF($E557="","",IF(OR($E557="Coal",$E557="Dirty Coal"),"MT","BCM"))</f>
        <v/>
      </c>
      <c r="N557" s="157">
        <f>IF($E557="","",IF(OR($E557="Coal",$E557="Dirty Coal"),"Coal","OB"))</f>
        <v/>
      </c>
      <c r="O557" s="157">
        <f>IF($F557="","",IF(COUNTIF(MASTER_JAM!$A$5:$A$94,$C557)=0,"Digger tidak dikenal",IF($J557="","Hauler tidak dikenal",IF($H557="?","Jam salah",IF($K557=0,"Faktor kosong",IF(SUMIFS(INPUT_DELAY!$E$5:$E$20000,INPUT_DELAY!$A$5:$A$20000,$A557,INPUT_DELAY!$B$5:$B$20000,$B557,INPUT_DELAY!$C$5:$C$20000,$C557)+SUMIFS(INPUT_DELAY!$E$5:$E$20000,INPUT_DELAY!$A$5:$A$20000,$A557,INPUT_DELAY!$B$5:$B$20000,$B557,INPUT_DELAY!$C$5:$C$20000,"SEMUA")&gt;=60,"Delay 60 mnt tapi ada ritase","OK"))))))</f>
        <v/>
      </c>
      <c r="P557" s="158">
        <f>IFERROR(INDEX(MASTER_JAM!$Z$5:$AC$10,MATCH($I557,MASTER_JAM!$Y$5:$Y$10,0),MATCH($J557,MASTER_JAM!$Z$4:$AC$4,0))+0,0)</f>
        <v/>
      </c>
      <c r="Q557" s="158">
        <f>IF($P557=0,0,$P557+IFERROR(INDEX(MASTER_JAM!$H$5:$H$94,MATCH($C557,MASTER_JAM!$A$5:$A$94,0))+0,MASTER_JAM!$AC$15)/1000*(60/MASTER_JAM!$AC$12+60/MASTER_JAM!$AC$13)+MASTER_JAM!$AC$14)</f>
        <v/>
      </c>
      <c r="R557" s="158">
        <f>IF(N($F557)=0,0,$F557/SUMIFS(INPUT_RITASE!$F$5:$F$20000,INPUT_RITASE!$A$5:$A$20000,$A557,INPUT_RITASE!$B$5:$B$20000,$B557,INPUT_RITASE!$C$5:$C$20000,$C557,INPUT_RITASE!$D$5:$D$20000,$D557))</f>
        <v/>
      </c>
      <c r="S557" s="158">
        <f>IF($Q557=0,0,$R557*$P557/$Q557)</f>
        <v/>
      </c>
    </row>
    <row r="558">
      <c r="A558" s="155" t="n">
        <v>46105</v>
      </c>
      <c r="B558" s="156" t="inlineStr">
        <is>
          <t>04-05</t>
        </is>
      </c>
      <c r="C558" s="156" t="inlineStr">
        <is>
          <t>EX-754</t>
        </is>
      </c>
      <c r="D558" s="156" t="inlineStr">
        <is>
          <t>DT-515</t>
        </is>
      </c>
      <c r="E558" s="156" t="inlineStr">
        <is>
          <t>OB</t>
        </is>
      </c>
      <c r="F558" s="156" t="n">
        <v>4</v>
      </c>
      <c r="G558" s="156" t="inlineStr"/>
      <c r="H558" s="157">
        <f>IF($B558="","",IF(ISNA(MATCH($B558,MASTER_JAM!$Q$5:$Q$28,0)),"?",IF(MATCH($B558,MASTER_JAM!$Q$5:$Q$28,0)&lt;=12,"DS","NS")))</f>
        <v/>
      </c>
      <c r="I558" s="157">
        <f>IFERROR(INDEX(MASTER_JAM!$B$5:$B$94,MATCH($C558,MASTER_JAM!$A$5:$A$94,0)),"")</f>
        <v/>
      </c>
      <c r="J558" s="157">
        <f>IFERROR(INDEX(MASTER_JAM!$E$5:$E$94,MATCH($D558,MASTER_JAM!$A$5:$A$94,0)),"")</f>
        <v/>
      </c>
      <c r="K558" s="158">
        <f>IFERROR(INDEX(MASTER_JAM!$J$5:$O$12,MATCH($E558,MASTER_JAM!$I$5:$I$12,0),MATCH($J558,MASTER_JAM!$J$4:$O$4,0))+0,0)</f>
        <v/>
      </c>
      <c r="L558" s="159">
        <f>N($F558)*$K558</f>
        <v/>
      </c>
      <c r="M558" s="157">
        <f>IF($E558="","",IF(OR($E558="Coal",$E558="Dirty Coal"),"MT","BCM"))</f>
        <v/>
      </c>
      <c r="N558" s="157">
        <f>IF($E558="","",IF(OR($E558="Coal",$E558="Dirty Coal"),"Coal","OB"))</f>
        <v/>
      </c>
      <c r="O558" s="157">
        <f>IF($F558="","",IF(COUNTIF(MASTER_JAM!$A$5:$A$94,$C558)=0,"Digger tidak dikenal",IF($J558="","Hauler tidak dikenal",IF($H558="?","Jam salah",IF($K558=0,"Faktor kosong",IF(SUMIFS(INPUT_DELAY!$E$5:$E$20000,INPUT_DELAY!$A$5:$A$20000,$A558,INPUT_DELAY!$B$5:$B$20000,$B558,INPUT_DELAY!$C$5:$C$20000,$C558)+SUMIFS(INPUT_DELAY!$E$5:$E$20000,INPUT_DELAY!$A$5:$A$20000,$A558,INPUT_DELAY!$B$5:$B$20000,$B558,INPUT_DELAY!$C$5:$C$20000,"SEMUA")&gt;=60,"Delay 60 mnt tapi ada ritase","OK"))))))</f>
        <v/>
      </c>
      <c r="P558" s="158">
        <f>IFERROR(INDEX(MASTER_JAM!$Z$5:$AC$10,MATCH($I558,MASTER_JAM!$Y$5:$Y$10,0),MATCH($J558,MASTER_JAM!$Z$4:$AC$4,0))+0,0)</f>
        <v/>
      </c>
      <c r="Q558" s="158">
        <f>IF($P558=0,0,$P558+IFERROR(INDEX(MASTER_JAM!$H$5:$H$94,MATCH($C558,MASTER_JAM!$A$5:$A$94,0))+0,MASTER_JAM!$AC$15)/1000*(60/MASTER_JAM!$AC$12+60/MASTER_JAM!$AC$13)+MASTER_JAM!$AC$14)</f>
        <v/>
      </c>
      <c r="R558" s="158">
        <f>IF(N($F558)=0,0,$F558/SUMIFS(INPUT_RITASE!$F$5:$F$20000,INPUT_RITASE!$A$5:$A$20000,$A558,INPUT_RITASE!$B$5:$B$20000,$B558,INPUT_RITASE!$C$5:$C$20000,$C558,INPUT_RITASE!$D$5:$D$20000,$D558))</f>
        <v/>
      </c>
      <c r="S558" s="158">
        <f>IF($Q558=0,0,$R558*$P558/$Q558)</f>
        <v/>
      </c>
    </row>
    <row r="559">
      <c r="A559" s="155" t="n">
        <v>46105</v>
      </c>
      <c r="B559" s="156" t="inlineStr">
        <is>
          <t>04-05</t>
        </is>
      </c>
      <c r="C559" s="156" t="inlineStr">
        <is>
          <t>EX-754</t>
        </is>
      </c>
      <c r="D559" s="156" t="inlineStr">
        <is>
          <t>DT-513</t>
        </is>
      </c>
      <c r="E559" s="156" t="inlineStr">
        <is>
          <t>OB</t>
        </is>
      </c>
      <c r="F559" s="156" t="n">
        <v>3</v>
      </c>
      <c r="G559" s="156" t="inlineStr"/>
      <c r="H559" s="157">
        <f>IF($B559="","",IF(ISNA(MATCH($B559,MASTER_JAM!$Q$5:$Q$28,0)),"?",IF(MATCH($B559,MASTER_JAM!$Q$5:$Q$28,0)&lt;=12,"DS","NS")))</f>
        <v/>
      </c>
      <c r="I559" s="157">
        <f>IFERROR(INDEX(MASTER_JAM!$B$5:$B$94,MATCH($C559,MASTER_JAM!$A$5:$A$94,0)),"")</f>
        <v/>
      </c>
      <c r="J559" s="157">
        <f>IFERROR(INDEX(MASTER_JAM!$E$5:$E$94,MATCH($D559,MASTER_JAM!$A$5:$A$94,0)),"")</f>
        <v/>
      </c>
      <c r="K559" s="158">
        <f>IFERROR(INDEX(MASTER_JAM!$J$5:$O$12,MATCH($E559,MASTER_JAM!$I$5:$I$12,0),MATCH($J559,MASTER_JAM!$J$4:$O$4,0))+0,0)</f>
        <v/>
      </c>
      <c r="L559" s="159">
        <f>N($F559)*$K559</f>
        <v/>
      </c>
      <c r="M559" s="157">
        <f>IF($E559="","",IF(OR($E559="Coal",$E559="Dirty Coal"),"MT","BCM"))</f>
        <v/>
      </c>
      <c r="N559" s="157">
        <f>IF($E559="","",IF(OR($E559="Coal",$E559="Dirty Coal"),"Coal","OB"))</f>
        <v/>
      </c>
      <c r="O559" s="157">
        <f>IF($F559="","",IF(COUNTIF(MASTER_JAM!$A$5:$A$94,$C559)=0,"Digger tidak dikenal",IF($J559="","Hauler tidak dikenal",IF($H559="?","Jam salah",IF($K559=0,"Faktor kosong",IF(SUMIFS(INPUT_DELAY!$E$5:$E$20000,INPUT_DELAY!$A$5:$A$20000,$A559,INPUT_DELAY!$B$5:$B$20000,$B559,INPUT_DELAY!$C$5:$C$20000,$C559)+SUMIFS(INPUT_DELAY!$E$5:$E$20000,INPUT_DELAY!$A$5:$A$20000,$A559,INPUT_DELAY!$B$5:$B$20000,$B559,INPUT_DELAY!$C$5:$C$20000,"SEMUA")&gt;=60,"Delay 60 mnt tapi ada ritase","OK"))))))</f>
        <v/>
      </c>
      <c r="P559" s="158">
        <f>IFERROR(INDEX(MASTER_JAM!$Z$5:$AC$10,MATCH($I559,MASTER_JAM!$Y$5:$Y$10,0),MATCH($J559,MASTER_JAM!$Z$4:$AC$4,0))+0,0)</f>
        <v/>
      </c>
      <c r="Q559" s="158">
        <f>IF($P559=0,0,$P559+IFERROR(INDEX(MASTER_JAM!$H$5:$H$94,MATCH($C559,MASTER_JAM!$A$5:$A$94,0))+0,MASTER_JAM!$AC$15)/1000*(60/MASTER_JAM!$AC$12+60/MASTER_JAM!$AC$13)+MASTER_JAM!$AC$14)</f>
        <v/>
      </c>
      <c r="R559" s="158">
        <f>IF(N($F559)=0,0,$F559/SUMIFS(INPUT_RITASE!$F$5:$F$20000,INPUT_RITASE!$A$5:$A$20000,$A559,INPUT_RITASE!$B$5:$B$20000,$B559,INPUT_RITASE!$C$5:$C$20000,$C559,INPUT_RITASE!$D$5:$D$20000,$D559))</f>
        <v/>
      </c>
      <c r="S559" s="158">
        <f>IF($Q559=0,0,$R559*$P559/$Q559)</f>
        <v/>
      </c>
    </row>
    <row r="560">
      <c r="A560" s="155" t="n">
        <v>46105</v>
      </c>
      <c r="B560" s="156" t="inlineStr">
        <is>
          <t>04-05</t>
        </is>
      </c>
      <c r="C560" s="156" t="inlineStr">
        <is>
          <t>EX-754</t>
        </is>
      </c>
      <c r="D560" s="156" t="inlineStr">
        <is>
          <t>DT-502</t>
        </is>
      </c>
      <c r="E560" s="156" t="inlineStr">
        <is>
          <t>OB</t>
        </is>
      </c>
      <c r="F560" s="156" t="n">
        <v>3</v>
      </c>
      <c r="G560" s="156" t="inlineStr"/>
      <c r="H560" s="157">
        <f>IF($B560="","",IF(ISNA(MATCH($B560,MASTER_JAM!$Q$5:$Q$28,0)),"?",IF(MATCH($B560,MASTER_JAM!$Q$5:$Q$28,0)&lt;=12,"DS","NS")))</f>
        <v/>
      </c>
      <c r="I560" s="157">
        <f>IFERROR(INDEX(MASTER_JAM!$B$5:$B$94,MATCH($C560,MASTER_JAM!$A$5:$A$94,0)),"")</f>
        <v/>
      </c>
      <c r="J560" s="157">
        <f>IFERROR(INDEX(MASTER_JAM!$E$5:$E$94,MATCH($D560,MASTER_JAM!$A$5:$A$94,0)),"")</f>
        <v/>
      </c>
      <c r="K560" s="158">
        <f>IFERROR(INDEX(MASTER_JAM!$J$5:$O$12,MATCH($E560,MASTER_JAM!$I$5:$I$12,0),MATCH($J560,MASTER_JAM!$J$4:$O$4,0))+0,0)</f>
        <v/>
      </c>
      <c r="L560" s="159">
        <f>N($F560)*$K560</f>
        <v/>
      </c>
      <c r="M560" s="157">
        <f>IF($E560="","",IF(OR($E560="Coal",$E560="Dirty Coal"),"MT","BCM"))</f>
        <v/>
      </c>
      <c r="N560" s="157">
        <f>IF($E560="","",IF(OR($E560="Coal",$E560="Dirty Coal"),"Coal","OB"))</f>
        <v/>
      </c>
      <c r="O560" s="157">
        <f>IF($F560="","",IF(COUNTIF(MASTER_JAM!$A$5:$A$94,$C560)=0,"Digger tidak dikenal",IF($J560="","Hauler tidak dikenal",IF($H560="?","Jam salah",IF($K560=0,"Faktor kosong",IF(SUMIFS(INPUT_DELAY!$E$5:$E$20000,INPUT_DELAY!$A$5:$A$20000,$A560,INPUT_DELAY!$B$5:$B$20000,$B560,INPUT_DELAY!$C$5:$C$20000,$C560)+SUMIFS(INPUT_DELAY!$E$5:$E$20000,INPUT_DELAY!$A$5:$A$20000,$A560,INPUT_DELAY!$B$5:$B$20000,$B560,INPUT_DELAY!$C$5:$C$20000,"SEMUA")&gt;=60,"Delay 60 mnt tapi ada ritase","OK"))))))</f>
        <v/>
      </c>
      <c r="P560" s="158">
        <f>IFERROR(INDEX(MASTER_JAM!$Z$5:$AC$10,MATCH($I560,MASTER_JAM!$Y$5:$Y$10,0),MATCH($J560,MASTER_JAM!$Z$4:$AC$4,0))+0,0)</f>
        <v/>
      </c>
      <c r="Q560" s="158">
        <f>IF($P560=0,0,$P560+IFERROR(INDEX(MASTER_JAM!$H$5:$H$94,MATCH($C560,MASTER_JAM!$A$5:$A$94,0))+0,MASTER_JAM!$AC$15)/1000*(60/MASTER_JAM!$AC$12+60/MASTER_JAM!$AC$13)+MASTER_JAM!$AC$14)</f>
        <v/>
      </c>
      <c r="R560" s="158">
        <f>IF(N($F560)=0,0,$F560/SUMIFS(INPUT_RITASE!$F$5:$F$20000,INPUT_RITASE!$A$5:$A$20000,$A560,INPUT_RITASE!$B$5:$B$20000,$B560,INPUT_RITASE!$C$5:$C$20000,$C560,INPUT_RITASE!$D$5:$D$20000,$D560))</f>
        <v/>
      </c>
      <c r="S560" s="158">
        <f>IF($Q560=0,0,$R560*$P560/$Q560)</f>
        <v/>
      </c>
    </row>
    <row r="561">
      <c r="A561" s="155" t="n">
        <v>46105</v>
      </c>
      <c r="B561" s="156" t="inlineStr">
        <is>
          <t>04-05</t>
        </is>
      </c>
      <c r="C561" s="156" t="inlineStr">
        <is>
          <t>EX-754</t>
        </is>
      </c>
      <c r="D561" s="156" t="inlineStr">
        <is>
          <t>DT-527</t>
        </is>
      </c>
      <c r="E561" s="156" t="inlineStr">
        <is>
          <t>OB</t>
        </is>
      </c>
      <c r="F561" s="156" t="n">
        <v>3</v>
      </c>
      <c r="G561" s="156" t="inlineStr"/>
      <c r="H561" s="157">
        <f>IF($B561="","",IF(ISNA(MATCH($B561,MASTER_JAM!$Q$5:$Q$28,0)),"?",IF(MATCH($B561,MASTER_JAM!$Q$5:$Q$28,0)&lt;=12,"DS","NS")))</f>
        <v/>
      </c>
      <c r="I561" s="157">
        <f>IFERROR(INDEX(MASTER_JAM!$B$5:$B$94,MATCH($C561,MASTER_JAM!$A$5:$A$94,0)),"")</f>
        <v/>
      </c>
      <c r="J561" s="157">
        <f>IFERROR(INDEX(MASTER_JAM!$E$5:$E$94,MATCH($D561,MASTER_JAM!$A$5:$A$94,0)),"")</f>
        <v/>
      </c>
      <c r="K561" s="158">
        <f>IFERROR(INDEX(MASTER_JAM!$J$5:$O$12,MATCH($E561,MASTER_JAM!$I$5:$I$12,0),MATCH($J561,MASTER_JAM!$J$4:$O$4,0))+0,0)</f>
        <v/>
      </c>
      <c r="L561" s="159">
        <f>N($F561)*$K561</f>
        <v/>
      </c>
      <c r="M561" s="157">
        <f>IF($E561="","",IF(OR($E561="Coal",$E561="Dirty Coal"),"MT","BCM"))</f>
        <v/>
      </c>
      <c r="N561" s="157">
        <f>IF($E561="","",IF(OR($E561="Coal",$E561="Dirty Coal"),"Coal","OB"))</f>
        <v/>
      </c>
      <c r="O561" s="157">
        <f>IF($F561="","",IF(COUNTIF(MASTER_JAM!$A$5:$A$94,$C561)=0,"Digger tidak dikenal",IF($J561="","Hauler tidak dikenal",IF($H561="?","Jam salah",IF($K561=0,"Faktor kosong",IF(SUMIFS(INPUT_DELAY!$E$5:$E$20000,INPUT_DELAY!$A$5:$A$20000,$A561,INPUT_DELAY!$B$5:$B$20000,$B561,INPUT_DELAY!$C$5:$C$20000,$C561)+SUMIFS(INPUT_DELAY!$E$5:$E$20000,INPUT_DELAY!$A$5:$A$20000,$A561,INPUT_DELAY!$B$5:$B$20000,$B561,INPUT_DELAY!$C$5:$C$20000,"SEMUA")&gt;=60,"Delay 60 mnt tapi ada ritase","OK"))))))</f>
        <v/>
      </c>
      <c r="P561" s="158">
        <f>IFERROR(INDEX(MASTER_JAM!$Z$5:$AC$10,MATCH($I561,MASTER_JAM!$Y$5:$Y$10,0),MATCH($J561,MASTER_JAM!$Z$4:$AC$4,0))+0,0)</f>
        <v/>
      </c>
      <c r="Q561" s="158">
        <f>IF($P561=0,0,$P561+IFERROR(INDEX(MASTER_JAM!$H$5:$H$94,MATCH($C561,MASTER_JAM!$A$5:$A$94,0))+0,MASTER_JAM!$AC$15)/1000*(60/MASTER_JAM!$AC$12+60/MASTER_JAM!$AC$13)+MASTER_JAM!$AC$14)</f>
        <v/>
      </c>
      <c r="R561" s="158">
        <f>IF(N($F561)=0,0,$F561/SUMIFS(INPUT_RITASE!$F$5:$F$20000,INPUT_RITASE!$A$5:$A$20000,$A561,INPUT_RITASE!$B$5:$B$20000,$B561,INPUT_RITASE!$C$5:$C$20000,$C561,INPUT_RITASE!$D$5:$D$20000,$D561))</f>
        <v/>
      </c>
      <c r="S561" s="158">
        <f>IF($Q561=0,0,$R561*$P561/$Q561)</f>
        <v/>
      </c>
    </row>
    <row r="562">
      <c r="A562" s="155" t="n">
        <v>46105</v>
      </c>
      <c r="B562" s="156" t="inlineStr">
        <is>
          <t>18-19</t>
        </is>
      </c>
      <c r="C562" s="156" t="inlineStr">
        <is>
          <t>EX-755</t>
        </is>
      </c>
      <c r="D562" s="156" t="inlineStr">
        <is>
          <t>DT-522</t>
        </is>
      </c>
      <c r="E562" s="156" t="inlineStr">
        <is>
          <t>OB</t>
        </is>
      </c>
      <c r="F562" s="156" t="n">
        <v>4</v>
      </c>
      <c r="G562" s="156" t="inlineStr"/>
      <c r="H562" s="157">
        <f>IF($B562="","",IF(ISNA(MATCH($B562,MASTER_JAM!$Q$5:$Q$28,0)),"?",IF(MATCH($B562,MASTER_JAM!$Q$5:$Q$28,0)&lt;=12,"DS","NS")))</f>
        <v/>
      </c>
      <c r="I562" s="157">
        <f>IFERROR(INDEX(MASTER_JAM!$B$5:$B$94,MATCH($C562,MASTER_JAM!$A$5:$A$94,0)),"")</f>
        <v/>
      </c>
      <c r="J562" s="157">
        <f>IFERROR(INDEX(MASTER_JAM!$E$5:$E$94,MATCH($D562,MASTER_JAM!$A$5:$A$94,0)),"")</f>
        <v/>
      </c>
      <c r="K562" s="158">
        <f>IFERROR(INDEX(MASTER_JAM!$J$5:$O$12,MATCH($E562,MASTER_JAM!$I$5:$I$12,0),MATCH($J562,MASTER_JAM!$J$4:$O$4,0))+0,0)</f>
        <v/>
      </c>
      <c r="L562" s="159">
        <f>N($F562)*$K562</f>
        <v/>
      </c>
      <c r="M562" s="157">
        <f>IF($E562="","",IF(OR($E562="Coal",$E562="Dirty Coal"),"MT","BCM"))</f>
        <v/>
      </c>
      <c r="N562" s="157">
        <f>IF($E562="","",IF(OR($E562="Coal",$E562="Dirty Coal"),"Coal","OB"))</f>
        <v/>
      </c>
      <c r="O562" s="157">
        <f>IF($F562="","",IF(COUNTIF(MASTER_JAM!$A$5:$A$94,$C562)=0,"Digger tidak dikenal",IF($J562="","Hauler tidak dikenal",IF($H562="?","Jam salah",IF($K562=0,"Faktor kosong",IF(SUMIFS(INPUT_DELAY!$E$5:$E$20000,INPUT_DELAY!$A$5:$A$20000,$A562,INPUT_DELAY!$B$5:$B$20000,$B562,INPUT_DELAY!$C$5:$C$20000,$C562)+SUMIFS(INPUT_DELAY!$E$5:$E$20000,INPUT_DELAY!$A$5:$A$20000,$A562,INPUT_DELAY!$B$5:$B$20000,$B562,INPUT_DELAY!$C$5:$C$20000,"SEMUA")&gt;=60,"Delay 60 mnt tapi ada ritase","OK"))))))</f>
        <v/>
      </c>
      <c r="P562" s="158">
        <f>IFERROR(INDEX(MASTER_JAM!$Z$5:$AC$10,MATCH($I562,MASTER_JAM!$Y$5:$Y$10,0),MATCH($J562,MASTER_JAM!$Z$4:$AC$4,0))+0,0)</f>
        <v/>
      </c>
      <c r="Q562" s="158">
        <f>IF($P562=0,0,$P562+IFERROR(INDEX(MASTER_JAM!$H$5:$H$94,MATCH($C562,MASTER_JAM!$A$5:$A$94,0))+0,MASTER_JAM!$AC$15)/1000*(60/MASTER_JAM!$AC$12+60/MASTER_JAM!$AC$13)+MASTER_JAM!$AC$14)</f>
        <v/>
      </c>
      <c r="R562" s="158">
        <f>IF(N($F562)=0,0,$F562/SUMIFS(INPUT_RITASE!$F$5:$F$20000,INPUT_RITASE!$A$5:$A$20000,$A562,INPUT_RITASE!$B$5:$B$20000,$B562,INPUT_RITASE!$C$5:$C$20000,$C562,INPUT_RITASE!$D$5:$D$20000,$D562))</f>
        <v/>
      </c>
      <c r="S562" s="158">
        <f>IF($Q562=0,0,$R562*$P562/$Q562)</f>
        <v/>
      </c>
    </row>
    <row r="563">
      <c r="A563" s="155" t="n">
        <v>46105</v>
      </c>
      <c r="B563" s="156" t="inlineStr">
        <is>
          <t>18-19</t>
        </is>
      </c>
      <c r="C563" s="156" t="inlineStr">
        <is>
          <t>EX-755</t>
        </is>
      </c>
      <c r="D563" s="156" t="inlineStr">
        <is>
          <t>DT-506</t>
        </is>
      </c>
      <c r="E563" s="156" t="inlineStr">
        <is>
          <t>OB</t>
        </is>
      </c>
      <c r="F563" s="156" t="n">
        <v>4</v>
      </c>
      <c r="G563" s="156" t="inlineStr"/>
      <c r="H563" s="157">
        <f>IF($B563="","",IF(ISNA(MATCH($B563,MASTER_JAM!$Q$5:$Q$28,0)),"?",IF(MATCH($B563,MASTER_JAM!$Q$5:$Q$28,0)&lt;=12,"DS","NS")))</f>
        <v/>
      </c>
      <c r="I563" s="157">
        <f>IFERROR(INDEX(MASTER_JAM!$B$5:$B$94,MATCH($C563,MASTER_JAM!$A$5:$A$94,0)),"")</f>
        <v/>
      </c>
      <c r="J563" s="157">
        <f>IFERROR(INDEX(MASTER_JAM!$E$5:$E$94,MATCH($D563,MASTER_JAM!$A$5:$A$94,0)),"")</f>
        <v/>
      </c>
      <c r="K563" s="158">
        <f>IFERROR(INDEX(MASTER_JAM!$J$5:$O$12,MATCH($E563,MASTER_JAM!$I$5:$I$12,0),MATCH($J563,MASTER_JAM!$J$4:$O$4,0))+0,0)</f>
        <v/>
      </c>
      <c r="L563" s="159">
        <f>N($F563)*$K563</f>
        <v/>
      </c>
      <c r="M563" s="157">
        <f>IF($E563="","",IF(OR($E563="Coal",$E563="Dirty Coal"),"MT","BCM"))</f>
        <v/>
      </c>
      <c r="N563" s="157">
        <f>IF($E563="","",IF(OR($E563="Coal",$E563="Dirty Coal"),"Coal","OB"))</f>
        <v/>
      </c>
      <c r="O563" s="157">
        <f>IF($F563="","",IF(COUNTIF(MASTER_JAM!$A$5:$A$94,$C563)=0,"Digger tidak dikenal",IF($J563="","Hauler tidak dikenal",IF($H563="?","Jam salah",IF($K563=0,"Faktor kosong",IF(SUMIFS(INPUT_DELAY!$E$5:$E$20000,INPUT_DELAY!$A$5:$A$20000,$A563,INPUT_DELAY!$B$5:$B$20000,$B563,INPUT_DELAY!$C$5:$C$20000,$C563)+SUMIFS(INPUT_DELAY!$E$5:$E$20000,INPUT_DELAY!$A$5:$A$20000,$A563,INPUT_DELAY!$B$5:$B$20000,$B563,INPUT_DELAY!$C$5:$C$20000,"SEMUA")&gt;=60,"Delay 60 mnt tapi ada ritase","OK"))))))</f>
        <v/>
      </c>
      <c r="P563" s="158">
        <f>IFERROR(INDEX(MASTER_JAM!$Z$5:$AC$10,MATCH($I563,MASTER_JAM!$Y$5:$Y$10,0),MATCH($J563,MASTER_JAM!$Z$4:$AC$4,0))+0,0)</f>
        <v/>
      </c>
      <c r="Q563" s="158">
        <f>IF($P563=0,0,$P563+IFERROR(INDEX(MASTER_JAM!$H$5:$H$94,MATCH($C563,MASTER_JAM!$A$5:$A$94,0))+0,MASTER_JAM!$AC$15)/1000*(60/MASTER_JAM!$AC$12+60/MASTER_JAM!$AC$13)+MASTER_JAM!$AC$14)</f>
        <v/>
      </c>
      <c r="R563" s="158">
        <f>IF(N($F563)=0,0,$F563/SUMIFS(INPUT_RITASE!$F$5:$F$20000,INPUT_RITASE!$A$5:$A$20000,$A563,INPUT_RITASE!$B$5:$B$20000,$B563,INPUT_RITASE!$C$5:$C$20000,$C563,INPUT_RITASE!$D$5:$D$20000,$D563))</f>
        <v/>
      </c>
      <c r="S563" s="158">
        <f>IF($Q563=0,0,$R563*$P563/$Q563)</f>
        <v/>
      </c>
    </row>
    <row r="564">
      <c r="A564" s="155" t="n">
        <v>46105</v>
      </c>
      <c r="B564" s="156" t="inlineStr">
        <is>
          <t>18-19</t>
        </is>
      </c>
      <c r="C564" s="156" t="inlineStr">
        <is>
          <t>EX-755</t>
        </is>
      </c>
      <c r="D564" s="156" t="inlineStr">
        <is>
          <t>DT-529</t>
        </is>
      </c>
      <c r="E564" s="156" t="inlineStr">
        <is>
          <t>OB</t>
        </is>
      </c>
      <c r="F564" s="156" t="n">
        <v>3</v>
      </c>
      <c r="G564" s="156" t="inlineStr"/>
      <c r="H564" s="157">
        <f>IF($B564="","",IF(ISNA(MATCH($B564,MASTER_JAM!$Q$5:$Q$28,0)),"?",IF(MATCH($B564,MASTER_JAM!$Q$5:$Q$28,0)&lt;=12,"DS","NS")))</f>
        <v/>
      </c>
      <c r="I564" s="157">
        <f>IFERROR(INDEX(MASTER_JAM!$B$5:$B$94,MATCH($C564,MASTER_JAM!$A$5:$A$94,0)),"")</f>
        <v/>
      </c>
      <c r="J564" s="157">
        <f>IFERROR(INDEX(MASTER_JAM!$E$5:$E$94,MATCH($D564,MASTER_JAM!$A$5:$A$94,0)),"")</f>
        <v/>
      </c>
      <c r="K564" s="158">
        <f>IFERROR(INDEX(MASTER_JAM!$J$5:$O$12,MATCH($E564,MASTER_JAM!$I$5:$I$12,0),MATCH($J564,MASTER_JAM!$J$4:$O$4,0))+0,0)</f>
        <v/>
      </c>
      <c r="L564" s="159">
        <f>N($F564)*$K564</f>
        <v/>
      </c>
      <c r="M564" s="157">
        <f>IF($E564="","",IF(OR($E564="Coal",$E564="Dirty Coal"),"MT","BCM"))</f>
        <v/>
      </c>
      <c r="N564" s="157">
        <f>IF($E564="","",IF(OR($E564="Coal",$E564="Dirty Coal"),"Coal","OB"))</f>
        <v/>
      </c>
      <c r="O564" s="157">
        <f>IF($F564="","",IF(COUNTIF(MASTER_JAM!$A$5:$A$94,$C564)=0,"Digger tidak dikenal",IF($J564="","Hauler tidak dikenal",IF($H564="?","Jam salah",IF($K564=0,"Faktor kosong",IF(SUMIFS(INPUT_DELAY!$E$5:$E$20000,INPUT_DELAY!$A$5:$A$20000,$A564,INPUT_DELAY!$B$5:$B$20000,$B564,INPUT_DELAY!$C$5:$C$20000,$C564)+SUMIFS(INPUT_DELAY!$E$5:$E$20000,INPUT_DELAY!$A$5:$A$20000,$A564,INPUT_DELAY!$B$5:$B$20000,$B564,INPUT_DELAY!$C$5:$C$20000,"SEMUA")&gt;=60,"Delay 60 mnt tapi ada ritase","OK"))))))</f>
        <v/>
      </c>
      <c r="P564" s="158">
        <f>IFERROR(INDEX(MASTER_JAM!$Z$5:$AC$10,MATCH($I564,MASTER_JAM!$Y$5:$Y$10,0),MATCH($J564,MASTER_JAM!$Z$4:$AC$4,0))+0,0)</f>
        <v/>
      </c>
      <c r="Q564" s="158">
        <f>IF($P564=0,0,$P564+IFERROR(INDEX(MASTER_JAM!$H$5:$H$94,MATCH($C564,MASTER_JAM!$A$5:$A$94,0))+0,MASTER_JAM!$AC$15)/1000*(60/MASTER_JAM!$AC$12+60/MASTER_JAM!$AC$13)+MASTER_JAM!$AC$14)</f>
        <v/>
      </c>
      <c r="R564" s="158">
        <f>IF(N($F564)=0,0,$F564/SUMIFS(INPUT_RITASE!$F$5:$F$20000,INPUT_RITASE!$A$5:$A$20000,$A564,INPUT_RITASE!$B$5:$B$20000,$B564,INPUT_RITASE!$C$5:$C$20000,$C564,INPUT_RITASE!$D$5:$D$20000,$D564))</f>
        <v/>
      </c>
      <c r="S564" s="158">
        <f>IF($Q564=0,0,$R564*$P564/$Q564)</f>
        <v/>
      </c>
    </row>
    <row r="565">
      <c r="A565" s="155" t="n">
        <v>46105</v>
      </c>
      <c r="B565" s="156" t="inlineStr">
        <is>
          <t>18-19</t>
        </is>
      </c>
      <c r="C565" s="156" t="inlineStr">
        <is>
          <t>EX-755</t>
        </is>
      </c>
      <c r="D565" s="156" t="inlineStr">
        <is>
          <t>DT-512</t>
        </is>
      </c>
      <c r="E565" s="156" t="inlineStr">
        <is>
          <t>OB</t>
        </is>
      </c>
      <c r="F565" s="156" t="n">
        <v>3</v>
      </c>
      <c r="G565" s="156" t="inlineStr"/>
      <c r="H565" s="157">
        <f>IF($B565="","",IF(ISNA(MATCH($B565,MASTER_JAM!$Q$5:$Q$28,0)),"?",IF(MATCH($B565,MASTER_JAM!$Q$5:$Q$28,0)&lt;=12,"DS","NS")))</f>
        <v/>
      </c>
      <c r="I565" s="157">
        <f>IFERROR(INDEX(MASTER_JAM!$B$5:$B$94,MATCH($C565,MASTER_JAM!$A$5:$A$94,0)),"")</f>
        <v/>
      </c>
      <c r="J565" s="157">
        <f>IFERROR(INDEX(MASTER_JAM!$E$5:$E$94,MATCH($D565,MASTER_JAM!$A$5:$A$94,0)),"")</f>
        <v/>
      </c>
      <c r="K565" s="158">
        <f>IFERROR(INDEX(MASTER_JAM!$J$5:$O$12,MATCH($E565,MASTER_JAM!$I$5:$I$12,0),MATCH($J565,MASTER_JAM!$J$4:$O$4,0))+0,0)</f>
        <v/>
      </c>
      <c r="L565" s="159">
        <f>N($F565)*$K565</f>
        <v/>
      </c>
      <c r="M565" s="157">
        <f>IF($E565="","",IF(OR($E565="Coal",$E565="Dirty Coal"),"MT","BCM"))</f>
        <v/>
      </c>
      <c r="N565" s="157">
        <f>IF($E565="","",IF(OR($E565="Coal",$E565="Dirty Coal"),"Coal","OB"))</f>
        <v/>
      </c>
      <c r="O565" s="157">
        <f>IF($F565="","",IF(COUNTIF(MASTER_JAM!$A$5:$A$94,$C565)=0,"Digger tidak dikenal",IF($J565="","Hauler tidak dikenal",IF($H565="?","Jam salah",IF($K565=0,"Faktor kosong",IF(SUMIFS(INPUT_DELAY!$E$5:$E$20000,INPUT_DELAY!$A$5:$A$20000,$A565,INPUT_DELAY!$B$5:$B$20000,$B565,INPUT_DELAY!$C$5:$C$20000,$C565)+SUMIFS(INPUT_DELAY!$E$5:$E$20000,INPUT_DELAY!$A$5:$A$20000,$A565,INPUT_DELAY!$B$5:$B$20000,$B565,INPUT_DELAY!$C$5:$C$20000,"SEMUA")&gt;=60,"Delay 60 mnt tapi ada ritase","OK"))))))</f>
        <v/>
      </c>
      <c r="P565" s="158">
        <f>IFERROR(INDEX(MASTER_JAM!$Z$5:$AC$10,MATCH($I565,MASTER_JAM!$Y$5:$Y$10,0),MATCH($J565,MASTER_JAM!$Z$4:$AC$4,0))+0,0)</f>
        <v/>
      </c>
      <c r="Q565" s="158">
        <f>IF($P565=0,0,$P565+IFERROR(INDEX(MASTER_JAM!$H$5:$H$94,MATCH($C565,MASTER_JAM!$A$5:$A$94,0))+0,MASTER_JAM!$AC$15)/1000*(60/MASTER_JAM!$AC$12+60/MASTER_JAM!$AC$13)+MASTER_JAM!$AC$14)</f>
        <v/>
      </c>
      <c r="R565" s="158">
        <f>IF(N($F565)=0,0,$F565/SUMIFS(INPUT_RITASE!$F$5:$F$20000,INPUT_RITASE!$A$5:$A$20000,$A565,INPUT_RITASE!$B$5:$B$20000,$B565,INPUT_RITASE!$C$5:$C$20000,$C565,INPUT_RITASE!$D$5:$D$20000,$D565))</f>
        <v/>
      </c>
      <c r="S565" s="158">
        <f>IF($Q565=0,0,$R565*$P565/$Q565)</f>
        <v/>
      </c>
    </row>
    <row r="566">
      <c r="A566" s="155" t="n">
        <v>46105</v>
      </c>
      <c r="B566" s="156" t="inlineStr">
        <is>
          <t>19-20</t>
        </is>
      </c>
      <c r="C566" s="156" t="inlineStr">
        <is>
          <t>EX-755</t>
        </is>
      </c>
      <c r="D566" s="156" t="inlineStr">
        <is>
          <t>DT-522</t>
        </is>
      </c>
      <c r="E566" s="156" t="inlineStr">
        <is>
          <t>OB</t>
        </is>
      </c>
      <c r="F566" s="156" t="n">
        <v>4</v>
      </c>
      <c r="G566" s="156" t="inlineStr"/>
      <c r="H566" s="157">
        <f>IF($B566="","",IF(ISNA(MATCH($B566,MASTER_JAM!$Q$5:$Q$28,0)),"?",IF(MATCH($B566,MASTER_JAM!$Q$5:$Q$28,0)&lt;=12,"DS","NS")))</f>
        <v/>
      </c>
      <c r="I566" s="157">
        <f>IFERROR(INDEX(MASTER_JAM!$B$5:$B$94,MATCH($C566,MASTER_JAM!$A$5:$A$94,0)),"")</f>
        <v/>
      </c>
      <c r="J566" s="157">
        <f>IFERROR(INDEX(MASTER_JAM!$E$5:$E$94,MATCH($D566,MASTER_JAM!$A$5:$A$94,0)),"")</f>
        <v/>
      </c>
      <c r="K566" s="158">
        <f>IFERROR(INDEX(MASTER_JAM!$J$5:$O$12,MATCH($E566,MASTER_JAM!$I$5:$I$12,0),MATCH($J566,MASTER_JAM!$J$4:$O$4,0))+0,0)</f>
        <v/>
      </c>
      <c r="L566" s="159">
        <f>N($F566)*$K566</f>
        <v/>
      </c>
      <c r="M566" s="157">
        <f>IF($E566="","",IF(OR($E566="Coal",$E566="Dirty Coal"),"MT","BCM"))</f>
        <v/>
      </c>
      <c r="N566" s="157">
        <f>IF($E566="","",IF(OR($E566="Coal",$E566="Dirty Coal"),"Coal","OB"))</f>
        <v/>
      </c>
      <c r="O566" s="157">
        <f>IF($F566="","",IF(COUNTIF(MASTER_JAM!$A$5:$A$94,$C566)=0,"Digger tidak dikenal",IF($J566="","Hauler tidak dikenal",IF($H566="?","Jam salah",IF($K566=0,"Faktor kosong",IF(SUMIFS(INPUT_DELAY!$E$5:$E$20000,INPUT_DELAY!$A$5:$A$20000,$A566,INPUT_DELAY!$B$5:$B$20000,$B566,INPUT_DELAY!$C$5:$C$20000,$C566)+SUMIFS(INPUT_DELAY!$E$5:$E$20000,INPUT_DELAY!$A$5:$A$20000,$A566,INPUT_DELAY!$B$5:$B$20000,$B566,INPUT_DELAY!$C$5:$C$20000,"SEMUA")&gt;=60,"Delay 60 mnt tapi ada ritase","OK"))))))</f>
        <v/>
      </c>
      <c r="P566" s="158">
        <f>IFERROR(INDEX(MASTER_JAM!$Z$5:$AC$10,MATCH($I566,MASTER_JAM!$Y$5:$Y$10,0),MATCH($J566,MASTER_JAM!$Z$4:$AC$4,0))+0,0)</f>
        <v/>
      </c>
      <c r="Q566" s="158">
        <f>IF($P566=0,0,$P566+IFERROR(INDEX(MASTER_JAM!$H$5:$H$94,MATCH($C566,MASTER_JAM!$A$5:$A$94,0))+0,MASTER_JAM!$AC$15)/1000*(60/MASTER_JAM!$AC$12+60/MASTER_JAM!$AC$13)+MASTER_JAM!$AC$14)</f>
        <v/>
      </c>
      <c r="R566" s="158">
        <f>IF(N($F566)=0,0,$F566/SUMIFS(INPUT_RITASE!$F$5:$F$20000,INPUT_RITASE!$A$5:$A$20000,$A566,INPUT_RITASE!$B$5:$B$20000,$B566,INPUT_RITASE!$C$5:$C$20000,$C566,INPUT_RITASE!$D$5:$D$20000,$D566))</f>
        <v/>
      </c>
      <c r="S566" s="158">
        <f>IF($Q566=0,0,$R566*$P566/$Q566)</f>
        <v/>
      </c>
    </row>
    <row r="567">
      <c r="A567" s="155" t="n">
        <v>46105</v>
      </c>
      <c r="B567" s="156" t="inlineStr">
        <is>
          <t>19-20</t>
        </is>
      </c>
      <c r="C567" s="156" t="inlineStr">
        <is>
          <t>EX-755</t>
        </is>
      </c>
      <c r="D567" s="156" t="inlineStr">
        <is>
          <t>DT-512</t>
        </is>
      </c>
      <c r="E567" s="156" t="inlineStr">
        <is>
          <t>OB</t>
        </is>
      </c>
      <c r="F567" s="156" t="n">
        <v>4</v>
      </c>
      <c r="G567" s="156" t="inlineStr"/>
      <c r="H567" s="157">
        <f>IF($B567="","",IF(ISNA(MATCH($B567,MASTER_JAM!$Q$5:$Q$28,0)),"?",IF(MATCH($B567,MASTER_JAM!$Q$5:$Q$28,0)&lt;=12,"DS","NS")))</f>
        <v/>
      </c>
      <c r="I567" s="157">
        <f>IFERROR(INDEX(MASTER_JAM!$B$5:$B$94,MATCH($C567,MASTER_JAM!$A$5:$A$94,0)),"")</f>
        <v/>
      </c>
      <c r="J567" s="157">
        <f>IFERROR(INDEX(MASTER_JAM!$E$5:$E$94,MATCH($D567,MASTER_JAM!$A$5:$A$94,0)),"")</f>
        <v/>
      </c>
      <c r="K567" s="158">
        <f>IFERROR(INDEX(MASTER_JAM!$J$5:$O$12,MATCH($E567,MASTER_JAM!$I$5:$I$12,0),MATCH($J567,MASTER_JAM!$J$4:$O$4,0))+0,0)</f>
        <v/>
      </c>
      <c r="L567" s="159">
        <f>N($F567)*$K567</f>
        <v/>
      </c>
      <c r="M567" s="157">
        <f>IF($E567="","",IF(OR($E567="Coal",$E567="Dirty Coal"),"MT","BCM"))</f>
        <v/>
      </c>
      <c r="N567" s="157">
        <f>IF($E567="","",IF(OR($E567="Coal",$E567="Dirty Coal"),"Coal","OB"))</f>
        <v/>
      </c>
      <c r="O567" s="157">
        <f>IF($F567="","",IF(COUNTIF(MASTER_JAM!$A$5:$A$94,$C567)=0,"Digger tidak dikenal",IF($J567="","Hauler tidak dikenal",IF($H567="?","Jam salah",IF($K567=0,"Faktor kosong",IF(SUMIFS(INPUT_DELAY!$E$5:$E$20000,INPUT_DELAY!$A$5:$A$20000,$A567,INPUT_DELAY!$B$5:$B$20000,$B567,INPUT_DELAY!$C$5:$C$20000,$C567)+SUMIFS(INPUT_DELAY!$E$5:$E$20000,INPUT_DELAY!$A$5:$A$20000,$A567,INPUT_DELAY!$B$5:$B$20000,$B567,INPUT_DELAY!$C$5:$C$20000,"SEMUA")&gt;=60,"Delay 60 mnt tapi ada ritase","OK"))))))</f>
        <v/>
      </c>
      <c r="P567" s="158">
        <f>IFERROR(INDEX(MASTER_JAM!$Z$5:$AC$10,MATCH($I567,MASTER_JAM!$Y$5:$Y$10,0),MATCH($J567,MASTER_JAM!$Z$4:$AC$4,0))+0,0)</f>
        <v/>
      </c>
      <c r="Q567" s="158">
        <f>IF($P567=0,0,$P567+IFERROR(INDEX(MASTER_JAM!$H$5:$H$94,MATCH($C567,MASTER_JAM!$A$5:$A$94,0))+0,MASTER_JAM!$AC$15)/1000*(60/MASTER_JAM!$AC$12+60/MASTER_JAM!$AC$13)+MASTER_JAM!$AC$14)</f>
        <v/>
      </c>
      <c r="R567" s="158">
        <f>IF(N($F567)=0,0,$F567/SUMIFS(INPUT_RITASE!$F$5:$F$20000,INPUT_RITASE!$A$5:$A$20000,$A567,INPUT_RITASE!$B$5:$B$20000,$B567,INPUT_RITASE!$C$5:$C$20000,$C567,INPUT_RITASE!$D$5:$D$20000,$D567))</f>
        <v/>
      </c>
      <c r="S567" s="158">
        <f>IF($Q567=0,0,$R567*$P567/$Q567)</f>
        <v/>
      </c>
    </row>
    <row r="568">
      <c r="A568" s="155" t="n">
        <v>46105</v>
      </c>
      <c r="B568" s="156" t="inlineStr">
        <is>
          <t>19-20</t>
        </is>
      </c>
      <c r="C568" s="156" t="inlineStr">
        <is>
          <t>EX-755</t>
        </is>
      </c>
      <c r="D568" s="156" t="inlineStr">
        <is>
          <t>DT-529</t>
        </is>
      </c>
      <c r="E568" s="156" t="inlineStr">
        <is>
          <t>OB</t>
        </is>
      </c>
      <c r="F568" s="156" t="n">
        <v>3</v>
      </c>
      <c r="G568" s="156" t="inlineStr"/>
      <c r="H568" s="157">
        <f>IF($B568="","",IF(ISNA(MATCH($B568,MASTER_JAM!$Q$5:$Q$28,0)),"?",IF(MATCH($B568,MASTER_JAM!$Q$5:$Q$28,0)&lt;=12,"DS","NS")))</f>
        <v/>
      </c>
      <c r="I568" s="157">
        <f>IFERROR(INDEX(MASTER_JAM!$B$5:$B$94,MATCH($C568,MASTER_JAM!$A$5:$A$94,0)),"")</f>
        <v/>
      </c>
      <c r="J568" s="157">
        <f>IFERROR(INDEX(MASTER_JAM!$E$5:$E$94,MATCH($D568,MASTER_JAM!$A$5:$A$94,0)),"")</f>
        <v/>
      </c>
      <c r="K568" s="158">
        <f>IFERROR(INDEX(MASTER_JAM!$J$5:$O$12,MATCH($E568,MASTER_JAM!$I$5:$I$12,0),MATCH($J568,MASTER_JAM!$J$4:$O$4,0))+0,0)</f>
        <v/>
      </c>
      <c r="L568" s="159">
        <f>N($F568)*$K568</f>
        <v/>
      </c>
      <c r="M568" s="157">
        <f>IF($E568="","",IF(OR($E568="Coal",$E568="Dirty Coal"),"MT","BCM"))</f>
        <v/>
      </c>
      <c r="N568" s="157">
        <f>IF($E568="","",IF(OR($E568="Coal",$E568="Dirty Coal"),"Coal","OB"))</f>
        <v/>
      </c>
      <c r="O568" s="157">
        <f>IF($F568="","",IF(COUNTIF(MASTER_JAM!$A$5:$A$94,$C568)=0,"Digger tidak dikenal",IF($J568="","Hauler tidak dikenal",IF($H568="?","Jam salah",IF($K568=0,"Faktor kosong",IF(SUMIFS(INPUT_DELAY!$E$5:$E$20000,INPUT_DELAY!$A$5:$A$20000,$A568,INPUT_DELAY!$B$5:$B$20000,$B568,INPUT_DELAY!$C$5:$C$20000,$C568)+SUMIFS(INPUT_DELAY!$E$5:$E$20000,INPUT_DELAY!$A$5:$A$20000,$A568,INPUT_DELAY!$B$5:$B$20000,$B568,INPUT_DELAY!$C$5:$C$20000,"SEMUA")&gt;=60,"Delay 60 mnt tapi ada ritase","OK"))))))</f>
        <v/>
      </c>
      <c r="P568" s="158">
        <f>IFERROR(INDEX(MASTER_JAM!$Z$5:$AC$10,MATCH($I568,MASTER_JAM!$Y$5:$Y$10,0),MATCH($J568,MASTER_JAM!$Z$4:$AC$4,0))+0,0)</f>
        <v/>
      </c>
      <c r="Q568" s="158">
        <f>IF($P568=0,0,$P568+IFERROR(INDEX(MASTER_JAM!$H$5:$H$94,MATCH($C568,MASTER_JAM!$A$5:$A$94,0))+0,MASTER_JAM!$AC$15)/1000*(60/MASTER_JAM!$AC$12+60/MASTER_JAM!$AC$13)+MASTER_JAM!$AC$14)</f>
        <v/>
      </c>
      <c r="R568" s="158">
        <f>IF(N($F568)=0,0,$F568/SUMIFS(INPUT_RITASE!$F$5:$F$20000,INPUT_RITASE!$A$5:$A$20000,$A568,INPUT_RITASE!$B$5:$B$20000,$B568,INPUT_RITASE!$C$5:$C$20000,$C568,INPUT_RITASE!$D$5:$D$20000,$D568))</f>
        <v/>
      </c>
      <c r="S568" s="158">
        <f>IF($Q568=0,0,$R568*$P568/$Q568)</f>
        <v/>
      </c>
    </row>
    <row r="569">
      <c r="A569" s="155" t="n">
        <v>46105</v>
      </c>
      <c r="B569" s="156" t="inlineStr">
        <is>
          <t>19-20</t>
        </is>
      </c>
      <c r="C569" s="156" t="inlineStr">
        <is>
          <t>EX-755</t>
        </is>
      </c>
      <c r="D569" s="156" t="inlineStr">
        <is>
          <t>DT-527</t>
        </is>
      </c>
      <c r="E569" s="156" t="inlineStr">
        <is>
          <t>OB</t>
        </is>
      </c>
      <c r="F569" s="156" t="n">
        <v>3</v>
      </c>
      <c r="G569" s="156" t="inlineStr"/>
      <c r="H569" s="157">
        <f>IF($B569="","",IF(ISNA(MATCH($B569,MASTER_JAM!$Q$5:$Q$28,0)),"?",IF(MATCH($B569,MASTER_JAM!$Q$5:$Q$28,0)&lt;=12,"DS","NS")))</f>
        <v/>
      </c>
      <c r="I569" s="157">
        <f>IFERROR(INDEX(MASTER_JAM!$B$5:$B$94,MATCH($C569,MASTER_JAM!$A$5:$A$94,0)),"")</f>
        <v/>
      </c>
      <c r="J569" s="157">
        <f>IFERROR(INDEX(MASTER_JAM!$E$5:$E$94,MATCH($D569,MASTER_JAM!$A$5:$A$94,0)),"")</f>
        <v/>
      </c>
      <c r="K569" s="158">
        <f>IFERROR(INDEX(MASTER_JAM!$J$5:$O$12,MATCH($E569,MASTER_JAM!$I$5:$I$12,0),MATCH($J569,MASTER_JAM!$J$4:$O$4,0))+0,0)</f>
        <v/>
      </c>
      <c r="L569" s="159">
        <f>N($F569)*$K569</f>
        <v/>
      </c>
      <c r="M569" s="157">
        <f>IF($E569="","",IF(OR($E569="Coal",$E569="Dirty Coal"),"MT","BCM"))</f>
        <v/>
      </c>
      <c r="N569" s="157">
        <f>IF($E569="","",IF(OR($E569="Coal",$E569="Dirty Coal"),"Coal","OB"))</f>
        <v/>
      </c>
      <c r="O569" s="157">
        <f>IF($F569="","",IF(COUNTIF(MASTER_JAM!$A$5:$A$94,$C569)=0,"Digger tidak dikenal",IF($J569="","Hauler tidak dikenal",IF($H569="?","Jam salah",IF($K569=0,"Faktor kosong",IF(SUMIFS(INPUT_DELAY!$E$5:$E$20000,INPUT_DELAY!$A$5:$A$20000,$A569,INPUT_DELAY!$B$5:$B$20000,$B569,INPUT_DELAY!$C$5:$C$20000,$C569)+SUMIFS(INPUT_DELAY!$E$5:$E$20000,INPUT_DELAY!$A$5:$A$20000,$A569,INPUT_DELAY!$B$5:$B$20000,$B569,INPUT_DELAY!$C$5:$C$20000,"SEMUA")&gt;=60,"Delay 60 mnt tapi ada ritase","OK"))))))</f>
        <v/>
      </c>
      <c r="P569" s="158">
        <f>IFERROR(INDEX(MASTER_JAM!$Z$5:$AC$10,MATCH($I569,MASTER_JAM!$Y$5:$Y$10,0),MATCH($J569,MASTER_JAM!$Z$4:$AC$4,0))+0,0)</f>
        <v/>
      </c>
      <c r="Q569" s="158">
        <f>IF($P569=0,0,$P569+IFERROR(INDEX(MASTER_JAM!$H$5:$H$94,MATCH($C569,MASTER_JAM!$A$5:$A$94,0))+0,MASTER_JAM!$AC$15)/1000*(60/MASTER_JAM!$AC$12+60/MASTER_JAM!$AC$13)+MASTER_JAM!$AC$14)</f>
        <v/>
      </c>
      <c r="R569" s="158">
        <f>IF(N($F569)=0,0,$F569/SUMIFS(INPUT_RITASE!$F$5:$F$20000,INPUT_RITASE!$A$5:$A$20000,$A569,INPUT_RITASE!$B$5:$B$20000,$B569,INPUT_RITASE!$C$5:$C$20000,$C569,INPUT_RITASE!$D$5:$D$20000,$D569))</f>
        <v/>
      </c>
      <c r="S569" s="158">
        <f>IF($Q569=0,0,$R569*$P569/$Q569)</f>
        <v/>
      </c>
    </row>
    <row r="570">
      <c r="A570" s="155" t="n">
        <v>46105</v>
      </c>
      <c r="B570" s="156" t="inlineStr">
        <is>
          <t>20-21</t>
        </is>
      </c>
      <c r="C570" s="156" t="inlineStr">
        <is>
          <t>EX-755</t>
        </is>
      </c>
      <c r="D570" s="156" t="inlineStr">
        <is>
          <t>DT-504</t>
        </is>
      </c>
      <c r="E570" s="156" t="inlineStr">
        <is>
          <t>OB</t>
        </is>
      </c>
      <c r="F570" s="156" t="n">
        <v>4</v>
      </c>
      <c r="G570" s="156" t="inlineStr"/>
      <c r="H570" s="157">
        <f>IF($B570="","",IF(ISNA(MATCH($B570,MASTER_JAM!$Q$5:$Q$28,0)),"?",IF(MATCH($B570,MASTER_JAM!$Q$5:$Q$28,0)&lt;=12,"DS","NS")))</f>
        <v/>
      </c>
      <c r="I570" s="157">
        <f>IFERROR(INDEX(MASTER_JAM!$B$5:$B$94,MATCH($C570,MASTER_JAM!$A$5:$A$94,0)),"")</f>
        <v/>
      </c>
      <c r="J570" s="157">
        <f>IFERROR(INDEX(MASTER_JAM!$E$5:$E$94,MATCH($D570,MASTER_JAM!$A$5:$A$94,0)),"")</f>
        <v/>
      </c>
      <c r="K570" s="158">
        <f>IFERROR(INDEX(MASTER_JAM!$J$5:$O$12,MATCH($E570,MASTER_JAM!$I$5:$I$12,0),MATCH($J570,MASTER_JAM!$J$4:$O$4,0))+0,0)</f>
        <v/>
      </c>
      <c r="L570" s="159">
        <f>N($F570)*$K570</f>
        <v/>
      </c>
      <c r="M570" s="157">
        <f>IF($E570="","",IF(OR($E570="Coal",$E570="Dirty Coal"),"MT","BCM"))</f>
        <v/>
      </c>
      <c r="N570" s="157">
        <f>IF($E570="","",IF(OR($E570="Coal",$E570="Dirty Coal"),"Coal","OB"))</f>
        <v/>
      </c>
      <c r="O570" s="157">
        <f>IF($F570="","",IF(COUNTIF(MASTER_JAM!$A$5:$A$94,$C570)=0,"Digger tidak dikenal",IF($J570="","Hauler tidak dikenal",IF($H570="?","Jam salah",IF($K570=0,"Faktor kosong",IF(SUMIFS(INPUT_DELAY!$E$5:$E$20000,INPUT_DELAY!$A$5:$A$20000,$A570,INPUT_DELAY!$B$5:$B$20000,$B570,INPUT_DELAY!$C$5:$C$20000,$C570)+SUMIFS(INPUT_DELAY!$E$5:$E$20000,INPUT_DELAY!$A$5:$A$20000,$A570,INPUT_DELAY!$B$5:$B$20000,$B570,INPUT_DELAY!$C$5:$C$20000,"SEMUA")&gt;=60,"Delay 60 mnt tapi ada ritase","OK"))))))</f>
        <v/>
      </c>
      <c r="P570" s="158">
        <f>IFERROR(INDEX(MASTER_JAM!$Z$5:$AC$10,MATCH($I570,MASTER_JAM!$Y$5:$Y$10,0),MATCH($J570,MASTER_JAM!$Z$4:$AC$4,0))+0,0)</f>
        <v/>
      </c>
      <c r="Q570" s="158">
        <f>IF($P570=0,0,$P570+IFERROR(INDEX(MASTER_JAM!$H$5:$H$94,MATCH($C570,MASTER_JAM!$A$5:$A$94,0))+0,MASTER_JAM!$AC$15)/1000*(60/MASTER_JAM!$AC$12+60/MASTER_JAM!$AC$13)+MASTER_JAM!$AC$14)</f>
        <v/>
      </c>
      <c r="R570" s="158">
        <f>IF(N($F570)=0,0,$F570/SUMIFS(INPUT_RITASE!$F$5:$F$20000,INPUT_RITASE!$A$5:$A$20000,$A570,INPUT_RITASE!$B$5:$B$20000,$B570,INPUT_RITASE!$C$5:$C$20000,$C570,INPUT_RITASE!$D$5:$D$20000,$D570))</f>
        <v/>
      </c>
      <c r="S570" s="158">
        <f>IF($Q570=0,0,$R570*$P570/$Q570)</f>
        <v/>
      </c>
    </row>
    <row r="571">
      <c r="A571" s="155" t="n">
        <v>46105</v>
      </c>
      <c r="B571" s="156" t="inlineStr">
        <is>
          <t>20-21</t>
        </is>
      </c>
      <c r="C571" s="156" t="inlineStr">
        <is>
          <t>EX-755</t>
        </is>
      </c>
      <c r="D571" s="156" t="inlineStr">
        <is>
          <t>DT-529</t>
        </is>
      </c>
      <c r="E571" s="156" t="inlineStr">
        <is>
          <t>OB</t>
        </is>
      </c>
      <c r="F571" s="156" t="n">
        <v>4</v>
      </c>
      <c r="G571" s="156" t="inlineStr"/>
      <c r="H571" s="157">
        <f>IF($B571="","",IF(ISNA(MATCH($B571,MASTER_JAM!$Q$5:$Q$28,0)),"?",IF(MATCH($B571,MASTER_JAM!$Q$5:$Q$28,0)&lt;=12,"DS","NS")))</f>
        <v/>
      </c>
      <c r="I571" s="157">
        <f>IFERROR(INDEX(MASTER_JAM!$B$5:$B$94,MATCH($C571,MASTER_JAM!$A$5:$A$94,0)),"")</f>
        <v/>
      </c>
      <c r="J571" s="157">
        <f>IFERROR(INDEX(MASTER_JAM!$E$5:$E$94,MATCH($D571,MASTER_JAM!$A$5:$A$94,0)),"")</f>
        <v/>
      </c>
      <c r="K571" s="158">
        <f>IFERROR(INDEX(MASTER_JAM!$J$5:$O$12,MATCH($E571,MASTER_JAM!$I$5:$I$12,0),MATCH($J571,MASTER_JAM!$J$4:$O$4,0))+0,0)</f>
        <v/>
      </c>
      <c r="L571" s="159">
        <f>N($F571)*$K571</f>
        <v/>
      </c>
      <c r="M571" s="157">
        <f>IF($E571="","",IF(OR($E571="Coal",$E571="Dirty Coal"),"MT","BCM"))</f>
        <v/>
      </c>
      <c r="N571" s="157">
        <f>IF($E571="","",IF(OR($E571="Coal",$E571="Dirty Coal"),"Coal","OB"))</f>
        <v/>
      </c>
      <c r="O571" s="157">
        <f>IF($F571="","",IF(COUNTIF(MASTER_JAM!$A$5:$A$94,$C571)=0,"Digger tidak dikenal",IF($J571="","Hauler tidak dikenal",IF($H571="?","Jam salah",IF($K571=0,"Faktor kosong",IF(SUMIFS(INPUT_DELAY!$E$5:$E$20000,INPUT_DELAY!$A$5:$A$20000,$A571,INPUT_DELAY!$B$5:$B$20000,$B571,INPUT_DELAY!$C$5:$C$20000,$C571)+SUMIFS(INPUT_DELAY!$E$5:$E$20000,INPUT_DELAY!$A$5:$A$20000,$A571,INPUT_DELAY!$B$5:$B$20000,$B571,INPUT_DELAY!$C$5:$C$20000,"SEMUA")&gt;=60,"Delay 60 mnt tapi ada ritase","OK"))))))</f>
        <v/>
      </c>
      <c r="P571" s="158">
        <f>IFERROR(INDEX(MASTER_JAM!$Z$5:$AC$10,MATCH($I571,MASTER_JAM!$Y$5:$Y$10,0),MATCH($J571,MASTER_JAM!$Z$4:$AC$4,0))+0,0)</f>
        <v/>
      </c>
      <c r="Q571" s="158">
        <f>IF($P571=0,0,$P571+IFERROR(INDEX(MASTER_JAM!$H$5:$H$94,MATCH($C571,MASTER_JAM!$A$5:$A$94,0))+0,MASTER_JAM!$AC$15)/1000*(60/MASTER_JAM!$AC$12+60/MASTER_JAM!$AC$13)+MASTER_JAM!$AC$14)</f>
        <v/>
      </c>
      <c r="R571" s="158">
        <f>IF(N($F571)=0,0,$F571/SUMIFS(INPUT_RITASE!$F$5:$F$20000,INPUT_RITASE!$A$5:$A$20000,$A571,INPUT_RITASE!$B$5:$B$20000,$B571,INPUT_RITASE!$C$5:$C$20000,$C571,INPUT_RITASE!$D$5:$D$20000,$D571))</f>
        <v/>
      </c>
      <c r="S571" s="158">
        <f>IF($Q571=0,0,$R571*$P571/$Q571)</f>
        <v/>
      </c>
    </row>
    <row r="572">
      <c r="A572" s="155" t="n">
        <v>46105</v>
      </c>
      <c r="B572" s="156" t="inlineStr">
        <is>
          <t>20-21</t>
        </is>
      </c>
      <c r="C572" s="156" t="inlineStr">
        <is>
          <t>EX-755</t>
        </is>
      </c>
      <c r="D572" s="156" t="inlineStr">
        <is>
          <t>DT-522</t>
        </is>
      </c>
      <c r="E572" s="156" t="inlineStr">
        <is>
          <t>OB</t>
        </is>
      </c>
      <c r="F572" s="156" t="n">
        <v>4</v>
      </c>
      <c r="G572" s="156" t="inlineStr"/>
      <c r="H572" s="157">
        <f>IF($B572="","",IF(ISNA(MATCH($B572,MASTER_JAM!$Q$5:$Q$28,0)),"?",IF(MATCH($B572,MASTER_JAM!$Q$5:$Q$28,0)&lt;=12,"DS","NS")))</f>
        <v/>
      </c>
      <c r="I572" s="157">
        <f>IFERROR(INDEX(MASTER_JAM!$B$5:$B$94,MATCH($C572,MASTER_JAM!$A$5:$A$94,0)),"")</f>
        <v/>
      </c>
      <c r="J572" s="157">
        <f>IFERROR(INDEX(MASTER_JAM!$E$5:$E$94,MATCH($D572,MASTER_JAM!$A$5:$A$94,0)),"")</f>
        <v/>
      </c>
      <c r="K572" s="158">
        <f>IFERROR(INDEX(MASTER_JAM!$J$5:$O$12,MATCH($E572,MASTER_JAM!$I$5:$I$12,0),MATCH($J572,MASTER_JAM!$J$4:$O$4,0))+0,0)</f>
        <v/>
      </c>
      <c r="L572" s="159">
        <f>N($F572)*$K572</f>
        <v/>
      </c>
      <c r="M572" s="157">
        <f>IF($E572="","",IF(OR($E572="Coal",$E572="Dirty Coal"),"MT","BCM"))</f>
        <v/>
      </c>
      <c r="N572" s="157">
        <f>IF($E572="","",IF(OR($E572="Coal",$E572="Dirty Coal"),"Coal","OB"))</f>
        <v/>
      </c>
      <c r="O572" s="157">
        <f>IF($F572="","",IF(COUNTIF(MASTER_JAM!$A$5:$A$94,$C572)=0,"Digger tidak dikenal",IF($J572="","Hauler tidak dikenal",IF($H572="?","Jam salah",IF($K572=0,"Faktor kosong",IF(SUMIFS(INPUT_DELAY!$E$5:$E$20000,INPUT_DELAY!$A$5:$A$20000,$A572,INPUT_DELAY!$B$5:$B$20000,$B572,INPUT_DELAY!$C$5:$C$20000,$C572)+SUMIFS(INPUT_DELAY!$E$5:$E$20000,INPUT_DELAY!$A$5:$A$20000,$A572,INPUT_DELAY!$B$5:$B$20000,$B572,INPUT_DELAY!$C$5:$C$20000,"SEMUA")&gt;=60,"Delay 60 mnt tapi ada ritase","OK"))))))</f>
        <v/>
      </c>
      <c r="P572" s="158">
        <f>IFERROR(INDEX(MASTER_JAM!$Z$5:$AC$10,MATCH($I572,MASTER_JAM!$Y$5:$Y$10,0),MATCH($J572,MASTER_JAM!$Z$4:$AC$4,0))+0,0)</f>
        <v/>
      </c>
      <c r="Q572" s="158">
        <f>IF($P572=0,0,$P572+IFERROR(INDEX(MASTER_JAM!$H$5:$H$94,MATCH($C572,MASTER_JAM!$A$5:$A$94,0))+0,MASTER_JAM!$AC$15)/1000*(60/MASTER_JAM!$AC$12+60/MASTER_JAM!$AC$13)+MASTER_JAM!$AC$14)</f>
        <v/>
      </c>
      <c r="R572" s="158">
        <f>IF(N($F572)=0,0,$F572/SUMIFS(INPUT_RITASE!$F$5:$F$20000,INPUT_RITASE!$A$5:$A$20000,$A572,INPUT_RITASE!$B$5:$B$20000,$B572,INPUT_RITASE!$C$5:$C$20000,$C572,INPUT_RITASE!$D$5:$D$20000,$D572))</f>
        <v/>
      </c>
      <c r="S572" s="158">
        <f>IF($Q572=0,0,$R572*$P572/$Q572)</f>
        <v/>
      </c>
    </row>
    <row r="573">
      <c r="A573" s="155" t="n">
        <v>46105</v>
      </c>
      <c r="B573" s="156" t="inlineStr">
        <is>
          <t>20-21</t>
        </is>
      </c>
      <c r="C573" s="156" t="inlineStr">
        <is>
          <t>EX-755</t>
        </is>
      </c>
      <c r="D573" s="156" t="inlineStr">
        <is>
          <t>DT-523</t>
        </is>
      </c>
      <c r="E573" s="156" t="inlineStr">
        <is>
          <t>OB</t>
        </is>
      </c>
      <c r="F573" s="156" t="n">
        <v>3</v>
      </c>
      <c r="G573" s="156" t="inlineStr"/>
      <c r="H573" s="157">
        <f>IF($B573="","",IF(ISNA(MATCH($B573,MASTER_JAM!$Q$5:$Q$28,0)),"?",IF(MATCH($B573,MASTER_JAM!$Q$5:$Q$28,0)&lt;=12,"DS","NS")))</f>
        <v/>
      </c>
      <c r="I573" s="157">
        <f>IFERROR(INDEX(MASTER_JAM!$B$5:$B$94,MATCH($C573,MASTER_JAM!$A$5:$A$94,0)),"")</f>
        <v/>
      </c>
      <c r="J573" s="157">
        <f>IFERROR(INDEX(MASTER_JAM!$E$5:$E$94,MATCH($D573,MASTER_JAM!$A$5:$A$94,0)),"")</f>
        <v/>
      </c>
      <c r="K573" s="158">
        <f>IFERROR(INDEX(MASTER_JAM!$J$5:$O$12,MATCH($E573,MASTER_JAM!$I$5:$I$12,0),MATCH($J573,MASTER_JAM!$J$4:$O$4,0))+0,0)</f>
        <v/>
      </c>
      <c r="L573" s="159">
        <f>N($F573)*$K573</f>
        <v/>
      </c>
      <c r="M573" s="157">
        <f>IF($E573="","",IF(OR($E573="Coal",$E573="Dirty Coal"),"MT","BCM"))</f>
        <v/>
      </c>
      <c r="N573" s="157">
        <f>IF($E573="","",IF(OR($E573="Coal",$E573="Dirty Coal"),"Coal","OB"))</f>
        <v/>
      </c>
      <c r="O573" s="157">
        <f>IF($F573="","",IF(COUNTIF(MASTER_JAM!$A$5:$A$94,$C573)=0,"Digger tidak dikenal",IF($J573="","Hauler tidak dikenal",IF($H573="?","Jam salah",IF($K573=0,"Faktor kosong",IF(SUMIFS(INPUT_DELAY!$E$5:$E$20000,INPUT_DELAY!$A$5:$A$20000,$A573,INPUT_DELAY!$B$5:$B$20000,$B573,INPUT_DELAY!$C$5:$C$20000,$C573)+SUMIFS(INPUT_DELAY!$E$5:$E$20000,INPUT_DELAY!$A$5:$A$20000,$A573,INPUT_DELAY!$B$5:$B$20000,$B573,INPUT_DELAY!$C$5:$C$20000,"SEMUA")&gt;=60,"Delay 60 mnt tapi ada ritase","OK"))))))</f>
        <v/>
      </c>
      <c r="P573" s="158">
        <f>IFERROR(INDEX(MASTER_JAM!$Z$5:$AC$10,MATCH($I573,MASTER_JAM!$Y$5:$Y$10,0),MATCH($J573,MASTER_JAM!$Z$4:$AC$4,0))+0,0)</f>
        <v/>
      </c>
      <c r="Q573" s="158">
        <f>IF($P573=0,0,$P573+IFERROR(INDEX(MASTER_JAM!$H$5:$H$94,MATCH($C573,MASTER_JAM!$A$5:$A$94,0))+0,MASTER_JAM!$AC$15)/1000*(60/MASTER_JAM!$AC$12+60/MASTER_JAM!$AC$13)+MASTER_JAM!$AC$14)</f>
        <v/>
      </c>
      <c r="R573" s="158">
        <f>IF(N($F573)=0,0,$F573/SUMIFS(INPUT_RITASE!$F$5:$F$20000,INPUT_RITASE!$A$5:$A$20000,$A573,INPUT_RITASE!$B$5:$B$20000,$B573,INPUT_RITASE!$C$5:$C$20000,$C573,INPUT_RITASE!$D$5:$D$20000,$D573))</f>
        <v/>
      </c>
      <c r="S573" s="158">
        <f>IF($Q573=0,0,$R573*$P573/$Q573)</f>
        <v/>
      </c>
    </row>
    <row r="574">
      <c r="A574" s="155" t="n">
        <v>46105</v>
      </c>
      <c r="B574" s="156" t="inlineStr">
        <is>
          <t>21-22</t>
        </is>
      </c>
      <c r="C574" s="156" t="inlineStr">
        <is>
          <t>EX-755</t>
        </is>
      </c>
      <c r="D574" s="156" t="inlineStr">
        <is>
          <t>DT-504</t>
        </is>
      </c>
      <c r="E574" s="156" t="inlineStr">
        <is>
          <t>OB</t>
        </is>
      </c>
      <c r="F574" s="156" t="n">
        <v>4</v>
      </c>
      <c r="G574" s="156" t="inlineStr"/>
      <c r="H574" s="157">
        <f>IF($B574="","",IF(ISNA(MATCH($B574,MASTER_JAM!$Q$5:$Q$28,0)),"?",IF(MATCH($B574,MASTER_JAM!$Q$5:$Q$28,0)&lt;=12,"DS","NS")))</f>
        <v/>
      </c>
      <c r="I574" s="157">
        <f>IFERROR(INDEX(MASTER_JAM!$B$5:$B$94,MATCH($C574,MASTER_JAM!$A$5:$A$94,0)),"")</f>
        <v/>
      </c>
      <c r="J574" s="157">
        <f>IFERROR(INDEX(MASTER_JAM!$E$5:$E$94,MATCH($D574,MASTER_JAM!$A$5:$A$94,0)),"")</f>
        <v/>
      </c>
      <c r="K574" s="158">
        <f>IFERROR(INDEX(MASTER_JAM!$J$5:$O$12,MATCH($E574,MASTER_JAM!$I$5:$I$12,0),MATCH($J574,MASTER_JAM!$J$4:$O$4,0))+0,0)</f>
        <v/>
      </c>
      <c r="L574" s="159">
        <f>N($F574)*$K574</f>
        <v/>
      </c>
      <c r="M574" s="157">
        <f>IF($E574="","",IF(OR($E574="Coal",$E574="Dirty Coal"),"MT","BCM"))</f>
        <v/>
      </c>
      <c r="N574" s="157">
        <f>IF($E574="","",IF(OR($E574="Coal",$E574="Dirty Coal"),"Coal","OB"))</f>
        <v/>
      </c>
      <c r="O574" s="157">
        <f>IF($F574="","",IF(COUNTIF(MASTER_JAM!$A$5:$A$94,$C574)=0,"Digger tidak dikenal",IF($J574="","Hauler tidak dikenal",IF($H574="?","Jam salah",IF($K574=0,"Faktor kosong",IF(SUMIFS(INPUT_DELAY!$E$5:$E$20000,INPUT_DELAY!$A$5:$A$20000,$A574,INPUT_DELAY!$B$5:$B$20000,$B574,INPUT_DELAY!$C$5:$C$20000,$C574)+SUMIFS(INPUT_DELAY!$E$5:$E$20000,INPUT_DELAY!$A$5:$A$20000,$A574,INPUT_DELAY!$B$5:$B$20000,$B574,INPUT_DELAY!$C$5:$C$20000,"SEMUA")&gt;=60,"Delay 60 mnt tapi ada ritase","OK"))))))</f>
        <v/>
      </c>
      <c r="P574" s="158">
        <f>IFERROR(INDEX(MASTER_JAM!$Z$5:$AC$10,MATCH($I574,MASTER_JAM!$Y$5:$Y$10,0),MATCH($J574,MASTER_JAM!$Z$4:$AC$4,0))+0,0)</f>
        <v/>
      </c>
      <c r="Q574" s="158">
        <f>IF($P574=0,0,$P574+IFERROR(INDEX(MASTER_JAM!$H$5:$H$94,MATCH($C574,MASTER_JAM!$A$5:$A$94,0))+0,MASTER_JAM!$AC$15)/1000*(60/MASTER_JAM!$AC$12+60/MASTER_JAM!$AC$13)+MASTER_JAM!$AC$14)</f>
        <v/>
      </c>
      <c r="R574" s="158">
        <f>IF(N($F574)=0,0,$F574/SUMIFS(INPUT_RITASE!$F$5:$F$20000,INPUT_RITASE!$A$5:$A$20000,$A574,INPUT_RITASE!$B$5:$B$20000,$B574,INPUT_RITASE!$C$5:$C$20000,$C574,INPUT_RITASE!$D$5:$D$20000,$D574))</f>
        <v/>
      </c>
      <c r="S574" s="158">
        <f>IF($Q574=0,0,$R574*$P574/$Q574)</f>
        <v/>
      </c>
    </row>
    <row r="575">
      <c r="A575" s="155" t="n">
        <v>46105</v>
      </c>
      <c r="B575" s="156" t="inlineStr">
        <is>
          <t>21-22</t>
        </is>
      </c>
      <c r="C575" s="156" t="inlineStr">
        <is>
          <t>EX-755</t>
        </is>
      </c>
      <c r="D575" s="156" t="inlineStr">
        <is>
          <t>DT-517</t>
        </is>
      </c>
      <c r="E575" s="156" t="inlineStr">
        <is>
          <t>OB</t>
        </is>
      </c>
      <c r="F575" s="156" t="n">
        <v>4</v>
      </c>
      <c r="G575" s="156" t="inlineStr"/>
      <c r="H575" s="157">
        <f>IF($B575="","",IF(ISNA(MATCH($B575,MASTER_JAM!$Q$5:$Q$28,0)),"?",IF(MATCH($B575,MASTER_JAM!$Q$5:$Q$28,0)&lt;=12,"DS","NS")))</f>
        <v/>
      </c>
      <c r="I575" s="157">
        <f>IFERROR(INDEX(MASTER_JAM!$B$5:$B$94,MATCH($C575,MASTER_JAM!$A$5:$A$94,0)),"")</f>
        <v/>
      </c>
      <c r="J575" s="157">
        <f>IFERROR(INDEX(MASTER_JAM!$E$5:$E$94,MATCH($D575,MASTER_JAM!$A$5:$A$94,0)),"")</f>
        <v/>
      </c>
      <c r="K575" s="158">
        <f>IFERROR(INDEX(MASTER_JAM!$J$5:$O$12,MATCH($E575,MASTER_JAM!$I$5:$I$12,0),MATCH($J575,MASTER_JAM!$J$4:$O$4,0))+0,0)</f>
        <v/>
      </c>
      <c r="L575" s="159">
        <f>N($F575)*$K575</f>
        <v/>
      </c>
      <c r="M575" s="157">
        <f>IF($E575="","",IF(OR($E575="Coal",$E575="Dirty Coal"),"MT","BCM"))</f>
        <v/>
      </c>
      <c r="N575" s="157">
        <f>IF($E575="","",IF(OR($E575="Coal",$E575="Dirty Coal"),"Coal","OB"))</f>
        <v/>
      </c>
      <c r="O575" s="157">
        <f>IF($F575="","",IF(COUNTIF(MASTER_JAM!$A$5:$A$94,$C575)=0,"Digger tidak dikenal",IF($J575="","Hauler tidak dikenal",IF($H575="?","Jam salah",IF($K575=0,"Faktor kosong",IF(SUMIFS(INPUT_DELAY!$E$5:$E$20000,INPUT_DELAY!$A$5:$A$20000,$A575,INPUT_DELAY!$B$5:$B$20000,$B575,INPUT_DELAY!$C$5:$C$20000,$C575)+SUMIFS(INPUT_DELAY!$E$5:$E$20000,INPUT_DELAY!$A$5:$A$20000,$A575,INPUT_DELAY!$B$5:$B$20000,$B575,INPUT_DELAY!$C$5:$C$20000,"SEMUA")&gt;=60,"Delay 60 mnt tapi ada ritase","OK"))))))</f>
        <v/>
      </c>
      <c r="P575" s="158">
        <f>IFERROR(INDEX(MASTER_JAM!$Z$5:$AC$10,MATCH($I575,MASTER_JAM!$Y$5:$Y$10,0),MATCH($J575,MASTER_JAM!$Z$4:$AC$4,0))+0,0)</f>
        <v/>
      </c>
      <c r="Q575" s="158">
        <f>IF($P575=0,0,$P575+IFERROR(INDEX(MASTER_JAM!$H$5:$H$94,MATCH($C575,MASTER_JAM!$A$5:$A$94,0))+0,MASTER_JAM!$AC$15)/1000*(60/MASTER_JAM!$AC$12+60/MASTER_JAM!$AC$13)+MASTER_JAM!$AC$14)</f>
        <v/>
      </c>
      <c r="R575" s="158">
        <f>IF(N($F575)=0,0,$F575/SUMIFS(INPUT_RITASE!$F$5:$F$20000,INPUT_RITASE!$A$5:$A$20000,$A575,INPUT_RITASE!$B$5:$B$20000,$B575,INPUT_RITASE!$C$5:$C$20000,$C575,INPUT_RITASE!$D$5:$D$20000,$D575))</f>
        <v/>
      </c>
      <c r="S575" s="158">
        <f>IF($Q575=0,0,$R575*$P575/$Q575)</f>
        <v/>
      </c>
    </row>
    <row r="576">
      <c r="A576" s="155" t="n">
        <v>46105</v>
      </c>
      <c r="B576" s="156" t="inlineStr">
        <is>
          <t>21-22</t>
        </is>
      </c>
      <c r="C576" s="156" t="inlineStr">
        <is>
          <t>EX-755</t>
        </is>
      </c>
      <c r="D576" s="156" t="inlineStr">
        <is>
          <t>DT-506</t>
        </is>
      </c>
      <c r="E576" s="156" t="inlineStr">
        <is>
          <t>OB</t>
        </is>
      </c>
      <c r="F576" s="156" t="n">
        <v>4</v>
      </c>
      <c r="G576" s="156" t="inlineStr"/>
      <c r="H576" s="157">
        <f>IF($B576="","",IF(ISNA(MATCH($B576,MASTER_JAM!$Q$5:$Q$28,0)),"?",IF(MATCH($B576,MASTER_JAM!$Q$5:$Q$28,0)&lt;=12,"DS","NS")))</f>
        <v/>
      </c>
      <c r="I576" s="157">
        <f>IFERROR(INDEX(MASTER_JAM!$B$5:$B$94,MATCH($C576,MASTER_JAM!$A$5:$A$94,0)),"")</f>
        <v/>
      </c>
      <c r="J576" s="157">
        <f>IFERROR(INDEX(MASTER_JAM!$E$5:$E$94,MATCH($D576,MASTER_JAM!$A$5:$A$94,0)),"")</f>
        <v/>
      </c>
      <c r="K576" s="158">
        <f>IFERROR(INDEX(MASTER_JAM!$J$5:$O$12,MATCH($E576,MASTER_JAM!$I$5:$I$12,0),MATCH($J576,MASTER_JAM!$J$4:$O$4,0))+0,0)</f>
        <v/>
      </c>
      <c r="L576" s="159">
        <f>N($F576)*$K576</f>
        <v/>
      </c>
      <c r="M576" s="157">
        <f>IF($E576="","",IF(OR($E576="Coal",$E576="Dirty Coal"),"MT","BCM"))</f>
        <v/>
      </c>
      <c r="N576" s="157">
        <f>IF($E576="","",IF(OR($E576="Coal",$E576="Dirty Coal"),"Coal","OB"))</f>
        <v/>
      </c>
      <c r="O576" s="157">
        <f>IF($F576="","",IF(COUNTIF(MASTER_JAM!$A$5:$A$94,$C576)=0,"Digger tidak dikenal",IF($J576="","Hauler tidak dikenal",IF($H576="?","Jam salah",IF($K576=0,"Faktor kosong",IF(SUMIFS(INPUT_DELAY!$E$5:$E$20000,INPUT_DELAY!$A$5:$A$20000,$A576,INPUT_DELAY!$B$5:$B$20000,$B576,INPUT_DELAY!$C$5:$C$20000,$C576)+SUMIFS(INPUT_DELAY!$E$5:$E$20000,INPUT_DELAY!$A$5:$A$20000,$A576,INPUT_DELAY!$B$5:$B$20000,$B576,INPUT_DELAY!$C$5:$C$20000,"SEMUA")&gt;=60,"Delay 60 mnt tapi ada ritase","OK"))))))</f>
        <v/>
      </c>
      <c r="P576" s="158">
        <f>IFERROR(INDEX(MASTER_JAM!$Z$5:$AC$10,MATCH($I576,MASTER_JAM!$Y$5:$Y$10,0),MATCH($J576,MASTER_JAM!$Z$4:$AC$4,0))+0,0)</f>
        <v/>
      </c>
      <c r="Q576" s="158">
        <f>IF($P576=0,0,$P576+IFERROR(INDEX(MASTER_JAM!$H$5:$H$94,MATCH($C576,MASTER_JAM!$A$5:$A$94,0))+0,MASTER_JAM!$AC$15)/1000*(60/MASTER_JAM!$AC$12+60/MASTER_JAM!$AC$13)+MASTER_JAM!$AC$14)</f>
        <v/>
      </c>
      <c r="R576" s="158">
        <f>IF(N($F576)=0,0,$F576/SUMIFS(INPUT_RITASE!$F$5:$F$20000,INPUT_RITASE!$A$5:$A$20000,$A576,INPUT_RITASE!$B$5:$B$20000,$B576,INPUT_RITASE!$C$5:$C$20000,$C576,INPUT_RITASE!$D$5:$D$20000,$D576))</f>
        <v/>
      </c>
      <c r="S576" s="158">
        <f>IF($Q576=0,0,$R576*$P576/$Q576)</f>
        <v/>
      </c>
    </row>
    <row r="577">
      <c r="A577" s="155" t="n">
        <v>46105</v>
      </c>
      <c r="B577" s="156" t="inlineStr">
        <is>
          <t>21-22</t>
        </is>
      </c>
      <c r="C577" s="156" t="inlineStr">
        <is>
          <t>EX-755</t>
        </is>
      </c>
      <c r="D577" s="156" t="inlineStr">
        <is>
          <t>DT-508</t>
        </is>
      </c>
      <c r="E577" s="156" t="inlineStr">
        <is>
          <t>OB</t>
        </is>
      </c>
      <c r="F577" s="156" t="n">
        <v>4</v>
      </c>
      <c r="G577" s="156" t="inlineStr"/>
      <c r="H577" s="157">
        <f>IF($B577="","",IF(ISNA(MATCH($B577,MASTER_JAM!$Q$5:$Q$28,0)),"?",IF(MATCH($B577,MASTER_JAM!$Q$5:$Q$28,0)&lt;=12,"DS","NS")))</f>
        <v/>
      </c>
      <c r="I577" s="157">
        <f>IFERROR(INDEX(MASTER_JAM!$B$5:$B$94,MATCH($C577,MASTER_JAM!$A$5:$A$94,0)),"")</f>
        <v/>
      </c>
      <c r="J577" s="157">
        <f>IFERROR(INDEX(MASTER_JAM!$E$5:$E$94,MATCH($D577,MASTER_JAM!$A$5:$A$94,0)),"")</f>
        <v/>
      </c>
      <c r="K577" s="158">
        <f>IFERROR(INDEX(MASTER_JAM!$J$5:$O$12,MATCH($E577,MASTER_JAM!$I$5:$I$12,0),MATCH($J577,MASTER_JAM!$J$4:$O$4,0))+0,0)</f>
        <v/>
      </c>
      <c r="L577" s="159">
        <f>N($F577)*$K577</f>
        <v/>
      </c>
      <c r="M577" s="157">
        <f>IF($E577="","",IF(OR($E577="Coal",$E577="Dirty Coal"),"MT","BCM"))</f>
        <v/>
      </c>
      <c r="N577" s="157">
        <f>IF($E577="","",IF(OR($E577="Coal",$E577="Dirty Coal"),"Coal","OB"))</f>
        <v/>
      </c>
      <c r="O577" s="157">
        <f>IF($F577="","",IF(COUNTIF(MASTER_JAM!$A$5:$A$94,$C577)=0,"Digger tidak dikenal",IF($J577="","Hauler tidak dikenal",IF($H577="?","Jam salah",IF($K577=0,"Faktor kosong",IF(SUMIFS(INPUT_DELAY!$E$5:$E$20000,INPUT_DELAY!$A$5:$A$20000,$A577,INPUT_DELAY!$B$5:$B$20000,$B577,INPUT_DELAY!$C$5:$C$20000,$C577)+SUMIFS(INPUT_DELAY!$E$5:$E$20000,INPUT_DELAY!$A$5:$A$20000,$A577,INPUT_DELAY!$B$5:$B$20000,$B577,INPUT_DELAY!$C$5:$C$20000,"SEMUA")&gt;=60,"Delay 60 mnt tapi ada ritase","OK"))))))</f>
        <v/>
      </c>
      <c r="P577" s="158">
        <f>IFERROR(INDEX(MASTER_JAM!$Z$5:$AC$10,MATCH($I577,MASTER_JAM!$Y$5:$Y$10,0),MATCH($J577,MASTER_JAM!$Z$4:$AC$4,0))+0,0)</f>
        <v/>
      </c>
      <c r="Q577" s="158">
        <f>IF($P577=0,0,$P577+IFERROR(INDEX(MASTER_JAM!$H$5:$H$94,MATCH($C577,MASTER_JAM!$A$5:$A$94,0))+0,MASTER_JAM!$AC$15)/1000*(60/MASTER_JAM!$AC$12+60/MASTER_JAM!$AC$13)+MASTER_JAM!$AC$14)</f>
        <v/>
      </c>
      <c r="R577" s="158">
        <f>IF(N($F577)=0,0,$F577/SUMIFS(INPUT_RITASE!$F$5:$F$20000,INPUT_RITASE!$A$5:$A$20000,$A577,INPUT_RITASE!$B$5:$B$20000,$B577,INPUT_RITASE!$C$5:$C$20000,$C577,INPUT_RITASE!$D$5:$D$20000,$D577))</f>
        <v/>
      </c>
      <c r="S577" s="158">
        <f>IF($Q577=0,0,$R577*$P577/$Q577)</f>
        <v/>
      </c>
    </row>
    <row r="578">
      <c r="A578" s="155" t="n">
        <v>46105</v>
      </c>
      <c r="B578" s="156" t="inlineStr">
        <is>
          <t>22-23</t>
        </is>
      </c>
      <c r="C578" s="156" t="inlineStr">
        <is>
          <t>EX-755</t>
        </is>
      </c>
      <c r="D578" s="156" t="inlineStr">
        <is>
          <t>DT-520</t>
        </is>
      </c>
      <c r="E578" s="156" t="inlineStr">
        <is>
          <t>OB</t>
        </is>
      </c>
      <c r="F578" s="156" t="n">
        <v>4</v>
      </c>
      <c r="G578" s="156" t="inlineStr"/>
      <c r="H578" s="157">
        <f>IF($B578="","",IF(ISNA(MATCH($B578,MASTER_JAM!$Q$5:$Q$28,0)),"?",IF(MATCH($B578,MASTER_JAM!$Q$5:$Q$28,0)&lt;=12,"DS","NS")))</f>
        <v/>
      </c>
      <c r="I578" s="157">
        <f>IFERROR(INDEX(MASTER_JAM!$B$5:$B$94,MATCH($C578,MASTER_JAM!$A$5:$A$94,0)),"")</f>
        <v/>
      </c>
      <c r="J578" s="157">
        <f>IFERROR(INDEX(MASTER_JAM!$E$5:$E$94,MATCH($D578,MASTER_JAM!$A$5:$A$94,0)),"")</f>
        <v/>
      </c>
      <c r="K578" s="158">
        <f>IFERROR(INDEX(MASTER_JAM!$J$5:$O$12,MATCH($E578,MASTER_JAM!$I$5:$I$12,0),MATCH($J578,MASTER_JAM!$J$4:$O$4,0))+0,0)</f>
        <v/>
      </c>
      <c r="L578" s="159">
        <f>N($F578)*$K578</f>
        <v/>
      </c>
      <c r="M578" s="157">
        <f>IF($E578="","",IF(OR($E578="Coal",$E578="Dirty Coal"),"MT","BCM"))</f>
        <v/>
      </c>
      <c r="N578" s="157">
        <f>IF($E578="","",IF(OR($E578="Coal",$E578="Dirty Coal"),"Coal","OB"))</f>
        <v/>
      </c>
      <c r="O578" s="157">
        <f>IF($F578="","",IF(COUNTIF(MASTER_JAM!$A$5:$A$94,$C578)=0,"Digger tidak dikenal",IF($J578="","Hauler tidak dikenal",IF($H578="?","Jam salah",IF($K578=0,"Faktor kosong",IF(SUMIFS(INPUT_DELAY!$E$5:$E$20000,INPUT_DELAY!$A$5:$A$20000,$A578,INPUT_DELAY!$B$5:$B$20000,$B578,INPUT_DELAY!$C$5:$C$20000,$C578)+SUMIFS(INPUT_DELAY!$E$5:$E$20000,INPUT_DELAY!$A$5:$A$20000,$A578,INPUT_DELAY!$B$5:$B$20000,$B578,INPUT_DELAY!$C$5:$C$20000,"SEMUA")&gt;=60,"Delay 60 mnt tapi ada ritase","OK"))))))</f>
        <v/>
      </c>
      <c r="P578" s="158">
        <f>IFERROR(INDEX(MASTER_JAM!$Z$5:$AC$10,MATCH($I578,MASTER_JAM!$Y$5:$Y$10,0),MATCH($J578,MASTER_JAM!$Z$4:$AC$4,0))+0,0)</f>
        <v/>
      </c>
      <c r="Q578" s="158">
        <f>IF($P578=0,0,$P578+IFERROR(INDEX(MASTER_JAM!$H$5:$H$94,MATCH($C578,MASTER_JAM!$A$5:$A$94,0))+0,MASTER_JAM!$AC$15)/1000*(60/MASTER_JAM!$AC$12+60/MASTER_JAM!$AC$13)+MASTER_JAM!$AC$14)</f>
        <v/>
      </c>
      <c r="R578" s="158">
        <f>IF(N($F578)=0,0,$F578/SUMIFS(INPUT_RITASE!$F$5:$F$20000,INPUT_RITASE!$A$5:$A$20000,$A578,INPUT_RITASE!$B$5:$B$20000,$B578,INPUT_RITASE!$C$5:$C$20000,$C578,INPUT_RITASE!$D$5:$D$20000,$D578))</f>
        <v/>
      </c>
      <c r="S578" s="158">
        <f>IF($Q578=0,0,$R578*$P578/$Q578)</f>
        <v/>
      </c>
    </row>
    <row r="579">
      <c r="A579" s="155" t="n">
        <v>46105</v>
      </c>
      <c r="B579" s="156" t="inlineStr">
        <is>
          <t>22-23</t>
        </is>
      </c>
      <c r="C579" s="156" t="inlineStr">
        <is>
          <t>EX-755</t>
        </is>
      </c>
      <c r="D579" s="156" t="inlineStr">
        <is>
          <t>DT-501</t>
        </is>
      </c>
      <c r="E579" s="156" t="inlineStr">
        <is>
          <t>OB</t>
        </is>
      </c>
      <c r="F579" s="156" t="n">
        <v>4</v>
      </c>
      <c r="G579" s="156" t="inlineStr"/>
      <c r="H579" s="157">
        <f>IF($B579="","",IF(ISNA(MATCH($B579,MASTER_JAM!$Q$5:$Q$28,0)),"?",IF(MATCH($B579,MASTER_JAM!$Q$5:$Q$28,0)&lt;=12,"DS","NS")))</f>
        <v/>
      </c>
      <c r="I579" s="157">
        <f>IFERROR(INDEX(MASTER_JAM!$B$5:$B$94,MATCH($C579,MASTER_JAM!$A$5:$A$94,0)),"")</f>
        <v/>
      </c>
      <c r="J579" s="157">
        <f>IFERROR(INDEX(MASTER_JAM!$E$5:$E$94,MATCH($D579,MASTER_JAM!$A$5:$A$94,0)),"")</f>
        <v/>
      </c>
      <c r="K579" s="158">
        <f>IFERROR(INDEX(MASTER_JAM!$J$5:$O$12,MATCH($E579,MASTER_JAM!$I$5:$I$12,0),MATCH($J579,MASTER_JAM!$J$4:$O$4,0))+0,0)</f>
        <v/>
      </c>
      <c r="L579" s="159">
        <f>N($F579)*$K579</f>
        <v/>
      </c>
      <c r="M579" s="157">
        <f>IF($E579="","",IF(OR($E579="Coal",$E579="Dirty Coal"),"MT","BCM"))</f>
        <v/>
      </c>
      <c r="N579" s="157">
        <f>IF($E579="","",IF(OR($E579="Coal",$E579="Dirty Coal"),"Coal","OB"))</f>
        <v/>
      </c>
      <c r="O579" s="157">
        <f>IF($F579="","",IF(COUNTIF(MASTER_JAM!$A$5:$A$94,$C579)=0,"Digger tidak dikenal",IF($J579="","Hauler tidak dikenal",IF($H579="?","Jam salah",IF($K579=0,"Faktor kosong",IF(SUMIFS(INPUT_DELAY!$E$5:$E$20000,INPUT_DELAY!$A$5:$A$20000,$A579,INPUT_DELAY!$B$5:$B$20000,$B579,INPUT_DELAY!$C$5:$C$20000,$C579)+SUMIFS(INPUT_DELAY!$E$5:$E$20000,INPUT_DELAY!$A$5:$A$20000,$A579,INPUT_DELAY!$B$5:$B$20000,$B579,INPUT_DELAY!$C$5:$C$20000,"SEMUA")&gt;=60,"Delay 60 mnt tapi ada ritase","OK"))))))</f>
        <v/>
      </c>
      <c r="P579" s="158">
        <f>IFERROR(INDEX(MASTER_JAM!$Z$5:$AC$10,MATCH($I579,MASTER_JAM!$Y$5:$Y$10,0),MATCH($J579,MASTER_JAM!$Z$4:$AC$4,0))+0,0)</f>
        <v/>
      </c>
      <c r="Q579" s="158">
        <f>IF($P579=0,0,$P579+IFERROR(INDEX(MASTER_JAM!$H$5:$H$94,MATCH($C579,MASTER_JAM!$A$5:$A$94,0))+0,MASTER_JAM!$AC$15)/1000*(60/MASTER_JAM!$AC$12+60/MASTER_JAM!$AC$13)+MASTER_JAM!$AC$14)</f>
        <v/>
      </c>
      <c r="R579" s="158">
        <f>IF(N($F579)=0,0,$F579/SUMIFS(INPUT_RITASE!$F$5:$F$20000,INPUT_RITASE!$A$5:$A$20000,$A579,INPUT_RITASE!$B$5:$B$20000,$B579,INPUT_RITASE!$C$5:$C$20000,$C579,INPUT_RITASE!$D$5:$D$20000,$D579))</f>
        <v/>
      </c>
      <c r="S579" s="158">
        <f>IF($Q579=0,0,$R579*$P579/$Q579)</f>
        <v/>
      </c>
    </row>
    <row r="580">
      <c r="A580" s="155" t="n">
        <v>46105</v>
      </c>
      <c r="B580" s="156" t="inlineStr">
        <is>
          <t>22-23</t>
        </is>
      </c>
      <c r="C580" s="156" t="inlineStr">
        <is>
          <t>EX-755</t>
        </is>
      </c>
      <c r="D580" s="156" t="inlineStr">
        <is>
          <t>DT-510</t>
        </is>
      </c>
      <c r="E580" s="156" t="inlineStr">
        <is>
          <t>OB</t>
        </is>
      </c>
      <c r="F580" s="156" t="n">
        <v>3</v>
      </c>
      <c r="G580" s="156" t="inlineStr"/>
      <c r="H580" s="157">
        <f>IF($B580="","",IF(ISNA(MATCH($B580,MASTER_JAM!$Q$5:$Q$28,0)),"?",IF(MATCH($B580,MASTER_JAM!$Q$5:$Q$28,0)&lt;=12,"DS","NS")))</f>
        <v/>
      </c>
      <c r="I580" s="157">
        <f>IFERROR(INDEX(MASTER_JAM!$B$5:$B$94,MATCH($C580,MASTER_JAM!$A$5:$A$94,0)),"")</f>
        <v/>
      </c>
      <c r="J580" s="157">
        <f>IFERROR(INDEX(MASTER_JAM!$E$5:$E$94,MATCH($D580,MASTER_JAM!$A$5:$A$94,0)),"")</f>
        <v/>
      </c>
      <c r="K580" s="158">
        <f>IFERROR(INDEX(MASTER_JAM!$J$5:$O$12,MATCH($E580,MASTER_JAM!$I$5:$I$12,0),MATCH($J580,MASTER_JAM!$J$4:$O$4,0))+0,0)</f>
        <v/>
      </c>
      <c r="L580" s="159">
        <f>N($F580)*$K580</f>
        <v/>
      </c>
      <c r="M580" s="157">
        <f>IF($E580="","",IF(OR($E580="Coal",$E580="Dirty Coal"),"MT","BCM"))</f>
        <v/>
      </c>
      <c r="N580" s="157">
        <f>IF($E580="","",IF(OR($E580="Coal",$E580="Dirty Coal"),"Coal","OB"))</f>
        <v/>
      </c>
      <c r="O580" s="157">
        <f>IF($F580="","",IF(COUNTIF(MASTER_JAM!$A$5:$A$94,$C580)=0,"Digger tidak dikenal",IF($J580="","Hauler tidak dikenal",IF($H580="?","Jam salah",IF($K580=0,"Faktor kosong",IF(SUMIFS(INPUT_DELAY!$E$5:$E$20000,INPUT_DELAY!$A$5:$A$20000,$A580,INPUT_DELAY!$B$5:$B$20000,$B580,INPUT_DELAY!$C$5:$C$20000,$C580)+SUMIFS(INPUT_DELAY!$E$5:$E$20000,INPUT_DELAY!$A$5:$A$20000,$A580,INPUT_DELAY!$B$5:$B$20000,$B580,INPUT_DELAY!$C$5:$C$20000,"SEMUA")&gt;=60,"Delay 60 mnt tapi ada ritase","OK"))))))</f>
        <v/>
      </c>
      <c r="P580" s="158">
        <f>IFERROR(INDEX(MASTER_JAM!$Z$5:$AC$10,MATCH($I580,MASTER_JAM!$Y$5:$Y$10,0),MATCH($J580,MASTER_JAM!$Z$4:$AC$4,0))+0,0)</f>
        <v/>
      </c>
      <c r="Q580" s="158">
        <f>IF($P580=0,0,$P580+IFERROR(INDEX(MASTER_JAM!$H$5:$H$94,MATCH($C580,MASTER_JAM!$A$5:$A$94,0))+0,MASTER_JAM!$AC$15)/1000*(60/MASTER_JAM!$AC$12+60/MASTER_JAM!$AC$13)+MASTER_JAM!$AC$14)</f>
        <v/>
      </c>
      <c r="R580" s="158">
        <f>IF(N($F580)=0,0,$F580/SUMIFS(INPUT_RITASE!$F$5:$F$20000,INPUT_RITASE!$A$5:$A$20000,$A580,INPUT_RITASE!$B$5:$B$20000,$B580,INPUT_RITASE!$C$5:$C$20000,$C580,INPUT_RITASE!$D$5:$D$20000,$D580))</f>
        <v/>
      </c>
      <c r="S580" s="158">
        <f>IF($Q580=0,0,$R580*$P580/$Q580)</f>
        <v/>
      </c>
    </row>
    <row r="581">
      <c r="A581" s="155" t="n">
        <v>46105</v>
      </c>
      <c r="B581" s="156" t="inlineStr">
        <is>
          <t>22-23</t>
        </is>
      </c>
      <c r="C581" s="156" t="inlineStr">
        <is>
          <t>EX-755</t>
        </is>
      </c>
      <c r="D581" s="156" t="inlineStr">
        <is>
          <t>DT-513</t>
        </is>
      </c>
      <c r="E581" s="156" t="inlineStr">
        <is>
          <t>OB</t>
        </is>
      </c>
      <c r="F581" s="156" t="n">
        <v>3</v>
      </c>
      <c r="G581" s="156" t="inlineStr"/>
      <c r="H581" s="157">
        <f>IF($B581="","",IF(ISNA(MATCH($B581,MASTER_JAM!$Q$5:$Q$28,0)),"?",IF(MATCH($B581,MASTER_JAM!$Q$5:$Q$28,0)&lt;=12,"DS","NS")))</f>
        <v/>
      </c>
      <c r="I581" s="157">
        <f>IFERROR(INDEX(MASTER_JAM!$B$5:$B$94,MATCH($C581,MASTER_JAM!$A$5:$A$94,0)),"")</f>
        <v/>
      </c>
      <c r="J581" s="157">
        <f>IFERROR(INDEX(MASTER_JAM!$E$5:$E$94,MATCH($D581,MASTER_JAM!$A$5:$A$94,0)),"")</f>
        <v/>
      </c>
      <c r="K581" s="158">
        <f>IFERROR(INDEX(MASTER_JAM!$J$5:$O$12,MATCH($E581,MASTER_JAM!$I$5:$I$12,0),MATCH($J581,MASTER_JAM!$J$4:$O$4,0))+0,0)</f>
        <v/>
      </c>
      <c r="L581" s="159">
        <f>N($F581)*$K581</f>
        <v/>
      </c>
      <c r="M581" s="157">
        <f>IF($E581="","",IF(OR($E581="Coal",$E581="Dirty Coal"),"MT","BCM"))</f>
        <v/>
      </c>
      <c r="N581" s="157">
        <f>IF($E581="","",IF(OR($E581="Coal",$E581="Dirty Coal"),"Coal","OB"))</f>
        <v/>
      </c>
      <c r="O581" s="157">
        <f>IF($F581="","",IF(COUNTIF(MASTER_JAM!$A$5:$A$94,$C581)=0,"Digger tidak dikenal",IF($J581="","Hauler tidak dikenal",IF($H581="?","Jam salah",IF($K581=0,"Faktor kosong",IF(SUMIFS(INPUT_DELAY!$E$5:$E$20000,INPUT_DELAY!$A$5:$A$20000,$A581,INPUT_DELAY!$B$5:$B$20000,$B581,INPUT_DELAY!$C$5:$C$20000,$C581)+SUMIFS(INPUT_DELAY!$E$5:$E$20000,INPUT_DELAY!$A$5:$A$20000,$A581,INPUT_DELAY!$B$5:$B$20000,$B581,INPUT_DELAY!$C$5:$C$20000,"SEMUA")&gt;=60,"Delay 60 mnt tapi ada ritase","OK"))))))</f>
        <v/>
      </c>
      <c r="P581" s="158">
        <f>IFERROR(INDEX(MASTER_JAM!$Z$5:$AC$10,MATCH($I581,MASTER_JAM!$Y$5:$Y$10,0),MATCH($J581,MASTER_JAM!$Z$4:$AC$4,0))+0,0)</f>
        <v/>
      </c>
      <c r="Q581" s="158">
        <f>IF($P581=0,0,$P581+IFERROR(INDEX(MASTER_JAM!$H$5:$H$94,MATCH($C581,MASTER_JAM!$A$5:$A$94,0))+0,MASTER_JAM!$AC$15)/1000*(60/MASTER_JAM!$AC$12+60/MASTER_JAM!$AC$13)+MASTER_JAM!$AC$14)</f>
        <v/>
      </c>
      <c r="R581" s="158">
        <f>IF(N($F581)=0,0,$F581/SUMIFS(INPUT_RITASE!$F$5:$F$20000,INPUT_RITASE!$A$5:$A$20000,$A581,INPUT_RITASE!$B$5:$B$20000,$B581,INPUT_RITASE!$C$5:$C$20000,$C581,INPUT_RITASE!$D$5:$D$20000,$D581))</f>
        <v/>
      </c>
      <c r="S581" s="158">
        <f>IF($Q581=0,0,$R581*$P581/$Q581)</f>
        <v/>
      </c>
    </row>
    <row r="582">
      <c r="A582" s="155" t="n">
        <v>46105</v>
      </c>
      <c r="B582" s="156" t="inlineStr">
        <is>
          <t>23-24</t>
        </is>
      </c>
      <c r="C582" s="156" t="inlineStr">
        <is>
          <t>EX-755</t>
        </is>
      </c>
      <c r="D582" s="156" t="inlineStr">
        <is>
          <t>DT-510</t>
        </is>
      </c>
      <c r="E582" s="156" t="inlineStr">
        <is>
          <t>OB</t>
        </is>
      </c>
      <c r="F582" s="156" t="n">
        <v>4</v>
      </c>
      <c r="G582" s="156" t="inlineStr"/>
      <c r="H582" s="157">
        <f>IF($B582="","",IF(ISNA(MATCH($B582,MASTER_JAM!$Q$5:$Q$28,0)),"?",IF(MATCH($B582,MASTER_JAM!$Q$5:$Q$28,0)&lt;=12,"DS","NS")))</f>
        <v/>
      </c>
      <c r="I582" s="157">
        <f>IFERROR(INDEX(MASTER_JAM!$B$5:$B$94,MATCH($C582,MASTER_JAM!$A$5:$A$94,0)),"")</f>
        <v/>
      </c>
      <c r="J582" s="157">
        <f>IFERROR(INDEX(MASTER_JAM!$E$5:$E$94,MATCH($D582,MASTER_JAM!$A$5:$A$94,0)),"")</f>
        <v/>
      </c>
      <c r="K582" s="158">
        <f>IFERROR(INDEX(MASTER_JAM!$J$5:$O$12,MATCH($E582,MASTER_JAM!$I$5:$I$12,0),MATCH($J582,MASTER_JAM!$J$4:$O$4,0))+0,0)</f>
        <v/>
      </c>
      <c r="L582" s="159">
        <f>N($F582)*$K582</f>
        <v/>
      </c>
      <c r="M582" s="157">
        <f>IF($E582="","",IF(OR($E582="Coal",$E582="Dirty Coal"),"MT","BCM"))</f>
        <v/>
      </c>
      <c r="N582" s="157">
        <f>IF($E582="","",IF(OR($E582="Coal",$E582="Dirty Coal"),"Coal","OB"))</f>
        <v/>
      </c>
      <c r="O582" s="157">
        <f>IF($F582="","",IF(COUNTIF(MASTER_JAM!$A$5:$A$94,$C582)=0,"Digger tidak dikenal",IF($J582="","Hauler tidak dikenal",IF($H582="?","Jam salah",IF($K582=0,"Faktor kosong",IF(SUMIFS(INPUT_DELAY!$E$5:$E$20000,INPUT_DELAY!$A$5:$A$20000,$A582,INPUT_DELAY!$B$5:$B$20000,$B582,INPUT_DELAY!$C$5:$C$20000,$C582)+SUMIFS(INPUT_DELAY!$E$5:$E$20000,INPUT_DELAY!$A$5:$A$20000,$A582,INPUT_DELAY!$B$5:$B$20000,$B582,INPUT_DELAY!$C$5:$C$20000,"SEMUA")&gt;=60,"Delay 60 mnt tapi ada ritase","OK"))))))</f>
        <v/>
      </c>
      <c r="P582" s="158">
        <f>IFERROR(INDEX(MASTER_JAM!$Z$5:$AC$10,MATCH($I582,MASTER_JAM!$Y$5:$Y$10,0),MATCH($J582,MASTER_JAM!$Z$4:$AC$4,0))+0,0)</f>
        <v/>
      </c>
      <c r="Q582" s="158">
        <f>IF($P582=0,0,$P582+IFERROR(INDEX(MASTER_JAM!$H$5:$H$94,MATCH($C582,MASTER_JAM!$A$5:$A$94,0))+0,MASTER_JAM!$AC$15)/1000*(60/MASTER_JAM!$AC$12+60/MASTER_JAM!$AC$13)+MASTER_JAM!$AC$14)</f>
        <v/>
      </c>
      <c r="R582" s="158">
        <f>IF(N($F582)=0,0,$F582/SUMIFS(INPUT_RITASE!$F$5:$F$20000,INPUT_RITASE!$A$5:$A$20000,$A582,INPUT_RITASE!$B$5:$B$20000,$B582,INPUT_RITASE!$C$5:$C$20000,$C582,INPUT_RITASE!$D$5:$D$20000,$D582))</f>
        <v/>
      </c>
      <c r="S582" s="158">
        <f>IF($Q582=0,0,$R582*$P582/$Q582)</f>
        <v/>
      </c>
    </row>
    <row r="583">
      <c r="A583" s="155" t="n">
        <v>46105</v>
      </c>
      <c r="B583" s="156" t="inlineStr">
        <is>
          <t>23-24</t>
        </is>
      </c>
      <c r="C583" s="156" t="inlineStr">
        <is>
          <t>EX-755</t>
        </is>
      </c>
      <c r="D583" s="156" t="inlineStr">
        <is>
          <t>DT-506</t>
        </is>
      </c>
      <c r="E583" s="156" t="inlineStr">
        <is>
          <t>OB</t>
        </is>
      </c>
      <c r="F583" s="156" t="n">
        <v>4</v>
      </c>
      <c r="G583" s="156" t="inlineStr"/>
      <c r="H583" s="157">
        <f>IF($B583="","",IF(ISNA(MATCH($B583,MASTER_JAM!$Q$5:$Q$28,0)),"?",IF(MATCH($B583,MASTER_JAM!$Q$5:$Q$28,0)&lt;=12,"DS","NS")))</f>
        <v/>
      </c>
      <c r="I583" s="157">
        <f>IFERROR(INDEX(MASTER_JAM!$B$5:$B$94,MATCH($C583,MASTER_JAM!$A$5:$A$94,0)),"")</f>
        <v/>
      </c>
      <c r="J583" s="157">
        <f>IFERROR(INDEX(MASTER_JAM!$E$5:$E$94,MATCH($D583,MASTER_JAM!$A$5:$A$94,0)),"")</f>
        <v/>
      </c>
      <c r="K583" s="158">
        <f>IFERROR(INDEX(MASTER_JAM!$J$5:$O$12,MATCH($E583,MASTER_JAM!$I$5:$I$12,0),MATCH($J583,MASTER_JAM!$J$4:$O$4,0))+0,0)</f>
        <v/>
      </c>
      <c r="L583" s="159">
        <f>N($F583)*$K583</f>
        <v/>
      </c>
      <c r="M583" s="157">
        <f>IF($E583="","",IF(OR($E583="Coal",$E583="Dirty Coal"),"MT","BCM"))</f>
        <v/>
      </c>
      <c r="N583" s="157">
        <f>IF($E583="","",IF(OR($E583="Coal",$E583="Dirty Coal"),"Coal","OB"))</f>
        <v/>
      </c>
      <c r="O583" s="157">
        <f>IF($F583="","",IF(COUNTIF(MASTER_JAM!$A$5:$A$94,$C583)=0,"Digger tidak dikenal",IF($J583="","Hauler tidak dikenal",IF($H583="?","Jam salah",IF($K583=0,"Faktor kosong",IF(SUMIFS(INPUT_DELAY!$E$5:$E$20000,INPUT_DELAY!$A$5:$A$20000,$A583,INPUT_DELAY!$B$5:$B$20000,$B583,INPUT_DELAY!$C$5:$C$20000,$C583)+SUMIFS(INPUT_DELAY!$E$5:$E$20000,INPUT_DELAY!$A$5:$A$20000,$A583,INPUT_DELAY!$B$5:$B$20000,$B583,INPUT_DELAY!$C$5:$C$20000,"SEMUA")&gt;=60,"Delay 60 mnt tapi ada ritase","OK"))))))</f>
        <v/>
      </c>
      <c r="P583" s="158">
        <f>IFERROR(INDEX(MASTER_JAM!$Z$5:$AC$10,MATCH($I583,MASTER_JAM!$Y$5:$Y$10,0),MATCH($J583,MASTER_JAM!$Z$4:$AC$4,0))+0,0)</f>
        <v/>
      </c>
      <c r="Q583" s="158">
        <f>IF($P583=0,0,$P583+IFERROR(INDEX(MASTER_JAM!$H$5:$H$94,MATCH($C583,MASTER_JAM!$A$5:$A$94,0))+0,MASTER_JAM!$AC$15)/1000*(60/MASTER_JAM!$AC$12+60/MASTER_JAM!$AC$13)+MASTER_JAM!$AC$14)</f>
        <v/>
      </c>
      <c r="R583" s="158">
        <f>IF(N($F583)=0,0,$F583/SUMIFS(INPUT_RITASE!$F$5:$F$20000,INPUT_RITASE!$A$5:$A$20000,$A583,INPUT_RITASE!$B$5:$B$20000,$B583,INPUT_RITASE!$C$5:$C$20000,$C583,INPUT_RITASE!$D$5:$D$20000,$D583))</f>
        <v/>
      </c>
      <c r="S583" s="158">
        <f>IF($Q583=0,0,$R583*$P583/$Q583)</f>
        <v/>
      </c>
    </row>
    <row r="584">
      <c r="A584" s="155" t="n">
        <v>46105</v>
      </c>
      <c r="B584" s="156" t="inlineStr">
        <is>
          <t>23-24</t>
        </is>
      </c>
      <c r="C584" s="156" t="inlineStr">
        <is>
          <t>EX-755</t>
        </is>
      </c>
      <c r="D584" s="156" t="inlineStr">
        <is>
          <t>DT-513</t>
        </is>
      </c>
      <c r="E584" s="156" t="inlineStr">
        <is>
          <t>OB</t>
        </is>
      </c>
      <c r="F584" s="156" t="n">
        <v>4</v>
      </c>
      <c r="G584" s="156" t="inlineStr"/>
      <c r="H584" s="157">
        <f>IF($B584="","",IF(ISNA(MATCH($B584,MASTER_JAM!$Q$5:$Q$28,0)),"?",IF(MATCH($B584,MASTER_JAM!$Q$5:$Q$28,0)&lt;=12,"DS","NS")))</f>
        <v/>
      </c>
      <c r="I584" s="157">
        <f>IFERROR(INDEX(MASTER_JAM!$B$5:$B$94,MATCH($C584,MASTER_JAM!$A$5:$A$94,0)),"")</f>
        <v/>
      </c>
      <c r="J584" s="157">
        <f>IFERROR(INDEX(MASTER_JAM!$E$5:$E$94,MATCH($D584,MASTER_JAM!$A$5:$A$94,0)),"")</f>
        <v/>
      </c>
      <c r="K584" s="158">
        <f>IFERROR(INDEX(MASTER_JAM!$J$5:$O$12,MATCH($E584,MASTER_JAM!$I$5:$I$12,0),MATCH($J584,MASTER_JAM!$J$4:$O$4,0))+0,0)</f>
        <v/>
      </c>
      <c r="L584" s="159">
        <f>N($F584)*$K584</f>
        <v/>
      </c>
      <c r="M584" s="157">
        <f>IF($E584="","",IF(OR($E584="Coal",$E584="Dirty Coal"),"MT","BCM"))</f>
        <v/>
      </c>
      <c r="N584" s="157">
        <f>IF($E584="","",IF(OR($E584="Coal",$E584="Dirty Coal"),"Coal","OB"))</f>
        <v/>
      </c>
      <c r="O584" s="157">
        <f>IF($F584="","",IF(COUNTIF(MASTER_JAM!$A$5:$A$94,$C584)=0,"Digger tidak dikenal",IF($J584="","Hauler tidak dikenal",IF($H584="?","Jam salah",IF($K584=0,"Faktor kosong",IF(SUMIFS(INPUT_DELAY!$E$5:$E$20000,INPUT_DELAY!$A$5:$A$20000,$A584,INPUT_DELAY!$B$5:$B$20000,$B584,INPUT_DELAY!$C$5:$C$20000,$C584)+SUMIFS(INPUT_DELAY!$E$5:$E$20000,INPUT_DELAY!$A$5:$A$20000,$A584,INPUT_DELAY!$B$5:$B$20000,$B584,INPUT_DELAY!$C$5:$C$20000,"SEMUA")&gt;=60,"Delay 60 mnt tapi ada ritase","OK"))))))</f>
        <v/>
      </c>
      <c r="P584" s="158">
        <f>IFERROR(INDEX(MASTER_JAM!$Z$5:$AC$10,MATCH($I584,MASTER_JAM!$Y$5:$Y$10,0),MATCH($J584,MASTER_JAM!$Z$4:$AC$4,0))+0,0)</f>
        <v/>
      </c>
      <c r="Q584" s="158">
        <f>IF($P584=0,0,$P584+IFERROR(INDEX(MASTER_JAM!$H$5:$H$94,MATCH($C584,MASTER_JAM!$A$5:$A$94,0))+0,MASTER_JAM!$AC$15)/1000*(60/MASTER_JAM!$AC$12+60/MASTER_JAM!$AC$13)+MASTER_JAM!$AC$14)</f>
        <v/>
      </c>
      <c r="R584" s="158">
        <f>IF(N($F584)=0,0,$F584/SUMIFS(INPUT_RITASE!$F$5:$F$20000,INPUT_RITASE!$A$5:$A$20000,$A584,INPUT_RITASE!$B$5:$B$20000,$B584,INPUT_RITASE!$C$5:$C$20000,$C584,INPUT_RITASE!$D$5:$D$20000,$D584))</f>
        <v/>
      </c>
      <c r="S584" s="158">
        <f>IF($Q584=0,0,$R584*$P584/$Q584)</f>
        <v/>
      </c>
    </row>
    <row r="585">
      <c r="A585" s="155" t="n">
        <v>46105</v>
      </c>
      <c r="B585" s="156" t="inlineStr">
        <is>
          <t>23-24</t>
        </is>
      </c>
      <c r="C585" s="156" t="inlineStr">
        <is>
          <t>EX-755</t>
        </is>
      </c>
      <c r="D585" s="156" t="inlineStr">
        <is>
          <t>DT-502</t>
        </is>
      </c>
      <c r="E585" s="156" t="inlineStr">
        <is>
          <t>OB</t>
        </is>
      </c>
      <c r="F585" s="156" t="n">
        <v>3</v>
      </c>
      <c r="G585" s="156" t="inlineStr"/>
      <c r="H585" s="157">
        <f>IF($B585="","",IF(ISNA(MATCH($B585,MASTER_JAM!$Q$5:$Q$28,0)),"?",IF(MATCH($B585,MASTER_JAM!$Q$5:$Q$28,0)&lt;=12,"DS","NS")))</f>
        <v/>
      </c>
      <c r="I585" s="157">
        <f>IFERROR(INDEX(MASTER_JAM!$B$5:$B$94,MATCH($C585,MASTER_JAM!$A$5:$A$94,0)),"")</f>
        <v/>
      </c>
      <c r="J585" s="157">
        <f>IFERROR(INDEX(MASTER_JAM!$E$5:$E$94,MATCH($D585,MASTER_JAM!$A$5:$A$94,0)),"")</f>
        <v/>
      </c>
      <c r="K585" s="158">
        <f>IFERROR(INDEX(MASTER_JAM!$J$5:$O$12,MATCH($E585,MASTER_JAM!$I$5:$I$12,0),MATCH($J585,MASTER_JAM!$J$4:$O$4,0))+0,0)</f>
        <v/>
      </c>
      <c r="L585" s="159">
        <f>N($F585)*$K585</f>
        <v/>
      </c>
      <c r="M585" s="157">
        <f>IF($E585="","",IF(OR($E585="Coal",$E585="Dirty Coal"),"MT","BCM"))</f>
        <v/>
      </c>
      <c r="N585" s="157">
        <f>IF($E585="","",IF(OR($E585="Coal",$E585="Dirty Coal"),"Coal","OB"))</f>
        <v/>
      </c>
      <c r="O585" s="157">
        <f>IF($F585="","",IF(COUNTIF(MASTER_JAM!$A$5:$A$94,$C585)=0,"Digger tidak dikenal",IF($J585="","Hauler tidak dikenal",IF($H585="?","Jam salah",IF($K585=0,"Faktor kosong",IF(SUMIFS(INPUT_DELAY!$E$5:$E$20000,INPUT_DELAY!$A$5:$A$20000,$A585,INPUT_DELAY!$B$5:$B$20000,$B585,INPUT_DELAY!$C$5:$C$20000,$C585)+SUMIFS(INPUT_DELAY!$E$5:$E$20000,INPUT_DELAY!$A$5:$A$20000,$A585,INPUT_DELAY!$B$5:$B$20000,$B585,INPUT_DELAY!$C$5:$C$20000,"SEMUA")&gt;=60,"Delay 60 mnt tapi ada ritase","OK"))))))</f>
        <v/>
      </c>
      <c r="P585" s="158">
        <f>IFERROR(INDEX(MASTER_JAM!$Z$5:$AC$10,MATCH($I585,MASTER_JAM!$Y$5:$Y$10,0),MATCH($J585,MASTER_JAM!$Z$4:$AC$4,0))+0,0)</f>
        <v/>
      </c>
      <c r="Q585" s="158">
        <f>IF($P585=0,0,$P585+IFERROR(INDEX(MASTER_JAM!$H$5:$H$94,MATCH($C585,MASTER_JAM!$A$5:$A$94,0))+0,MASTER_JAM!$AC$15)/1000*(60/MASTER_JAM!$AC$12+60/MASTER_JAM!$AC$13)+MASTER_JAM!$AC$14)</f>
        <v/>
      </c>
      <c r="R585" s="158">
        <f>IF(N($F585)=0,0,$F585/SUMIFS(INPUT_RITASE!$F$5:$F$20000,INPUT_RITASE!$A$5:$A$20000,$A585,INPUT_RITASE!$B$5:$B$20000,$B585,INPUT_RITASE!$C$5:$C$20000,$C585,INPUT_RITASE!$D$5:$D$20000,$D585))</f>
        <v/>
      </c>
      <c r="S585" s="158">
        <f>IF($Q585=0,0,$R585*$P585/$Q585)</f>
        <v/>
      </c>
    </row>
    <row r="586">
      <c r="A586" s="155" t="n">
        <v>46105</v>
      </c>
      <c r="B586" s="156" t="inlineStr">
        <is>
          <t>01-02</t>
        </is>
      </c>
      <c r="C586" s="156" t="inlineStr">
        <is>
          <t>EX-755</t>
        </is>
      </c>
      <c r="D586" s="156" t="inlineStr">
        <is>
          <t>DT-520</t>
        </is>
      </c>
      <c r="E586" s="156" t="inlineStr">
        <is>
          <t>OB</t>
        </is>
      </c>
      <c r="F586" s="156" t="n">
        <v>4</v>
      </c>
      <c r="G586" s="156" t="inlineStr"/>
      <c r="H586" s="157">
        <f>IF($B586="","",IF(ISNA(MATCH($B586,MASTER_JAM!$Q$5:$Q$28,0)),"?",IF(MATCH($B586,MASTER_JAM!$Q$5:$Q$28,0)&lt;=12,"DS","NS")))</f>
        <v/>
      </c>
      <c r="I586" s="157">
        <f>IFERROR(INDEX(MASTER_JAM!$B$5:$B$94,MATCH($C586,MASTER_JAM!$A$5:$A$94,0)),"")</f>
        <v/>
      </c>
      <c r="J586" s="157">
        <f>IFERROR(INDEX(MASTER_JAM!$E$5:$E$94,MATCH($D586,MASTER_JAM!$A$5:$A$94,0)),"")</f>
        <v/>
      </c>
      <c r="K586" s="158">
        <f>IFERROR(INDEX(MASTER_JAM!$J$5:$O$12,MATCH($E586,MASTER_JAM!$I$5:$I$12,0),MATCH($J586,MASTER_JAM!$J$4:$O$4,0))+0,0)</f>
        <v/>
      </c>
      <c r="L586" s="159">
        <f>N($F586)*$K586</f>
        <v/>
      </c>
      <c r="M586" s="157">
        <f>IF($E586="","",IF(OR($E586="Coal",$E586="Dirty Coal"),"MT","BCM"))</f>
        <v/>
      </c>
      <c r="N586" s="157">
        <f>IF($E586="","",IF(OR($E586="Coal",$E586="Dirty Coal"),"Coal","OB"))</f>
        <v/>
      </c>
      <c r="O586" s="157">
        <f>IF($F586="","",IF(COUNTIF(MASTER_JAM!$A$5:$A$94,$C586)=0,"Digger tidak dikenal",IF($J586="","Hauler tidak dikenal",IF($H586="?","Jam salah",IF($K586=0,"Faktor kosong",IF(SUMIFS(INPUT_DELAY!$E$5:$E$20000,INPUT_DELAY!$A$5:$A$20000,$A586,INPUT_DELAY!$B$5:$B$20000,$B586,INPUT_DELAY!$C$5:$C$20000,$C586)+SUMIFS(INPUT_DELAY!$E$5:$E$20000,INPUT_DELAY!$A$5:$A$20000,$A586,INPUT_DELAY!$B$5:$B$20000,$B586,INPUT_DELAY!$C$5:$C$20000,"SEMUA")&gt;=60,"Delay 60 mnt tapi ada ritase","OK"))))))</f>
        <v/>
      </c>
      <c r="P586" s="158">
        <f>IFERROR(INDEX(MASTER_JAM!$Z$5:$AC$10,MATCH($I586,MASTER_JAM!$Y$5:$Y$10,0),MATCH($J586,MASTER_JAM!$Z$4:$AC$4,0))+0,0)</f>
        <v/>
      </c>
      <c r="Q586" s="158">
        <f>IF($P586=0,0,$P586+IFERROR(INDEX(MASTER_JAM!$H$5:$H$94,MATCH($C586,MASTER_JAM!$A$5:$A$94,0))+0,MASTER_JAM!$AC$15)/1000*(60/MASTER_JAM!$AC$12+60/MASTER_JAM!$AC$13)+MASTER_JAM!$AC$14)</f>
        <v/>
      </c>
      <c r="R586" s="158">
        <f>IF(N($F586)=0,0,$F586/SUMIFS(INPUT_RITASE!$F$5:$F$20000,INPUT_RITASE!$A$5:$A$20000,$A586,INPUT_RITASE!$B$5:$B$20000,$B586,INPUT_RITASE!$C$5:$C$20000,$C586,INPUT_RITASE!$D$5:$D$20000,$D586))</f>
        <v/>
      </c>
      <c r="S586" s="158">
        <f>IF($Q586=0,0,$R586*$P586/$Q586)</f>
        <v/>
      </c>
    </row>
    <row r="587">
      <c r="A587" s="155" t="n">
        <v>46105</v>
      </c>
      <c r="B587" s="156" t="inlineStr">
        <is>
          <t>01-02</t>
        </is>
      </c>
      <c r="C587" s="156" t="inlineStr">
        <is>
          <t>EX-755</t>
        </is>
      </c>
      <c r="D587" s="156" t="inlineStr">
        <is>
          <t>DT-521</t>
        </is>
      </c>
      <c r="E587" s="156" t="inlineStr">
        <is>
          <t>OB</t>
        </is>
      </c>
      <c r="F587" s="156" t="n">
        <v>4</v>
      </c>
      <c r="G587" s="156" t="inlineStr"/>
      <c r="H587" s="157">
        <f>IF($B587="","",IF(ISNA(MATCH($B587,MASTER_JAM!$Q$5:$Q$28,0)),"?",IF(MATCH($B587,MASTER_JAM!$Q$5:$Q$28,0)&lt;=12,"DS","NS")))</f>
        <v/>
      </c>
      <c r="I587" s="157">
        <f>IFERROR(INDEX(MASTER_JAM!$B$5:$B$94,MATCH($C587,MASTER_JAM!$A$5:$A$94,0)),"")</f>
        <v/>
      </c>
      <c r="J587" s="157">
        <f>IFERROR(INDEX(MASTER_JAM!$E$5:$E$94,MATCH($D587,MASTER_JAM!$A$5:$A$94,0)),"")</f>
        <v/>
      </c>
      <c r="K587" s="158">
        <f>IFERROR(INDEX(MASTER_JAM!$J$5:$O$12,MATCH($E587,MASTER_JAM!$I$5:$I$12,0),MATCH($J587,MASTER_JAM!$J$4:$O$4,0))+0,0)</f>
        <v/>
      </c>
      <c r="L587" s="159">
        <f>N($F587)*$K587</f>
        <v/>
      </c>
      <c r="M587" s="157">
        <f>IF($E587="","",IF(OR($E587="Coal",$E587="Dirty Coal"),"MT","BCM"))</f>
        <v/>
      </c>
      <c r="N587" s="157">
        <f>IF($E587="","",IF(OR($E587="Coal",$E587="Dirty Coal"),"Coal","OB"))</f>
        <v/>
      </c>
      <c r="O587" s="157">
        <f>IF($F587="","",IF(COUNTIF(MASTER_JAM!$A$5:$A$94,$C587)=0,"Digger tidak dikenal",IF($J587="","Hauler tidak dikenal",IF($H587="?","Jam salah",IF($K587=0,"Faktor kosong",IF(SUMIFS(INPUT_DELAY!$E$5:$E$20000,INPUT_DELAY!$A$5:$A$20000,$A587,INPUT_DELAY!$B$5:$B$20000,$B587,INPUT_DELAY!$C$5:$C$20000,$C587)+SUMIFS(INPUT_DELAY!$E$5:$E$20000,INPUT_DELAY!$A$5:$A$20000,$A587,INPUT_DELAY!$B$5:$B$20000,$B587,INPUT_DELAY!$C$5:$C$20000,"SEMUA")&gt;=60,"Delay 60 mnt tapi ada ritase","OK"))))))</f>
        <v/>
      </c>
      <c r="P587" s="158">
        <f>IFERROR(INDEX(MASTER_JAM!$Z$5:$AC$10,MATCH($I587,MASTER_JAM!$Y$5:$Y$10,0),MATCH($J587,MASTER_JAM!$Z$4:$AC$4,0))+0,0)</f>
        <v/>
      </c>
      <c r="Q587" s="158">
        <f>IF($P587=0,0,$P587+IFERROR(INDEX(MASTER_JAM!$H$5:$H$94,MATCH($C587,MASTER_JAM!$A$5:$A$94,0))+0,MASTER_JAM!$AC$15)/1000*(60/MASTER_JAM!$AC$12+60/MASTER_JAM!$AC$13)+MASTER_JAM!$AC$14)</f>
        <v/>
      </c>
      <c r="R587" s="158">
        <f>IF(N($F587)=0,0,$F587/SUMIFS(INPUT_RITASE!$F$5:$F$20000,INPUT_RITASE!$A$5:$A$20000,$A587,INPUT_RITASE!$B$5:$B$20000,$B587,INPUT_RITASE!$C$5:$C$20000,$C587,INPUT_RITASE!$D$5:$D$20000,$D587))</f>
        <v/>
      </c>
      <c r="S587" s="158">
        <f>IF($Q587=0,0,$R587*$P587/$Q587)</f>
        <v/>
      </c>
    </row>
    <row r="588">
      <c r="A588" s="155" t="n">
        <v>46105</v>
      </c>
      <c r="B588" s="156" t="inlineStr">
        <is>
          <t>01-02</t>
        </is>
      </c>
      <c r="C588" s="156" t="inlineStr">
        <is>
          <t>EX-755</t>
        </is>
      </c>
      <c r="D588" s="156" t="inlineStr">
        <is>
          <t>DT-515</t>
        </is>
      </c>
      <c r="E588" s="156" t="inlineStr">
        <is>
          <t>OB</t>
        </is>
      </c>
      <c r="F588" s="156" t="n">
        <v>4</v>
      </c>
      <c r="G588" s="156" t="inlineStr"/>
      <c r="H588" s="157">
        <f>IF($B588="","",IF(ISNA(MATCH($B588,MASTER_JAM!$Q$5:$Q$28,0)),"?",IF(MATCH($B588,MASTER_JAM!$Q$5:$Q$28,0)&lt;=12,"DS","NS")))</f>
        <v/>
      </c>
      <c r="I588" s="157">
        <f>IFERROR(INDEX(MASTER_JAM!$B$5:$B$94,MATCH($C588,MASTER_JAM!$A$5:$A$94,0)),"")</f>
        <v/>
      </c>
      <c r="J588" s="157">
        <f>IFERROR(INDEX(MASTER_JAM!$E$5:$E$94,MATCH($D588,MASTER_JAM!$A$5:$A$94,0)),"")</f>
        <v/>
      </c>
      <c r="K588" s="158">
        <f>IFERROR(INDEX(MASTER_JAM!$J$5:$O$12,MATCH($E588,MASTER_JAM!$I$5:$I$12,0),MATCH($J588,MASTER_JAM!$J$4:$O$4,0))+0,0)</f>
        <v/>
      </c>
      <c r="L588" s="159">
        <f>N($F588)*$K588</f>
        <v/>
      </c>
      <c r="M588" s="157">
        <f>IF($E588="","",IF(OR($E588="Coal",$E588="Dirty Coal"),"MT","BCM"))</f>
        <v/>
      </c>
      <c r="N588" s="157">
        <f>IF($E588="","",IF(OR($E588="Coal",$E588="Dirty Coal"),"Coal","OB"))</f>
        <v/>
      </c>
      <c r="O588" s="157">
        <f>IF($F588="","",IF(COUNTIF(MASTER_JAM!$A$5:$A$94,$C588)=0,"Digger tidak dikenal",IF($J588="","Hauler tidak dikenal",IF($H588="?","Jam salah",IF($K588=0,"Faktor kosong",IF(SUMIFS(INPUT_DELAY!$E$5:$E$20000,INPUT_DELAY!$A$5:$A$20000,$A588,INPUT_DELAY!$B$5:$B$20000,$B588,INPUT_DELAY!$C$5:$C$20000,$C588)+SUMIFS(INPUT_DELAY!$E$5:$E$20000,INPUT_DELAY!$A$5:$A$20000,$A588,INPUT_DELAY!$B$5:$B$20000,$B588,INPUT_DELAY!$C$5:$C$20000,"SEMUA")&gt;=60,"Delay 60 mnt tapi ada ritase","OK"))))))</f>
        <v/>
      </c>
      <c r="P588" s="158">
        <f>IFERROR(INDEX(MASTER_JAM!$Z$5:$AC$10,MATCH($I588,MASTER_JAM!$Y$5:$Y$10,0),MATCH($J588,MASTER_JAM!$Z$4:$AC$4,0))+0,0)</f>
        <v/>
      </c>
      <c r="Q588" s="158">
        <f>IF($P588=0,0,$P588+IFERROR(INDEX(MASTER_JAM!$H$5:$H$94,MATCH($C588,MASTER_JAM!$A$5:$A$94,0))+0,MASTER_JAM!$AC$15)/1000*(60/MASTER_JAM!$AC$12+60/MASTER_JAM!$AC$13)+MASTER_JAM!$AC$14)</f>
        <v/>
      </c>
      <c r="R588" s="158">
        <f>IF(N($F588)=0,0,$F588/SUMIFS(INPUT_RITASE!$F$5:$F$20000,INPUT_RITASE!$A$5:$A$20000,$A588,INPUT_RITASE!$B$5:$B$20000,$B588,INPUT_RITASE!$C$5:$C$20000,$C588,INPUT_RITASE!$D$5:$D$20000,$D588))</f>
        <v/>
      </c>
      <c r="S588" s="158">
        <f>IF($Q588=0,0,$R588*$P588/$Q588)</f>
        <v/>
      </c>
    </row>
    <row r="589">
      <c r="A589" s="155" t="n">
        <v>46105</v>
      </c>
      <c r="B589" s="156" t="inlineStr">
        <is>
          <t>01-02</t>
        </is>
      </c>
      <c r="C589" s="156" t="inlineStr">
        <is>
          <t>EX-755</t>
        </is>
      </c>
      <c r="D589" s="156" t="inlineStr">
        <is>
          <t>DT-508</t>
        </is>
      </c>
      <c r="E589" s="156" t="inlineStr">
        <is>
          <t>OB</t>
        </is>
      </c>
      <c r="F589" s="156" t="n">
        <v>4</v>
      </c>
      <c r="G589" s="156" t="inlineStr"/>
      <c r="H589" s="157">
        <f>IF($B589="","",IF(ISNA(MATCH($B589,MASTER_JAM!$Q$5:$Q$28,0)),"?",IF(MATCH($B589,MASTER_JAM!$Q$5:$Q$28,0)&lt;=12,"DS","NS")))</f>
        <v/>
      </c>
      <c r="I589" s="157">
        <f>IFERROR(INDEX(MASTER_JAM!$B$5:$B$94,MATCH($C589,MASTER_JAM!$A$5:$A$94,0)),"")</f>
        <v/>
      </c>
      <c r="J589" s="157">
        <f>IFERROR(INDEX(MASTER_JAM!$E$5:$E$94,MATCH($D589,MASTER_JAM!$A$5:$A$94,0)),"")</f>
        <v/>
      </c>
      <c r="K589" s="158">
        <f>IFERROR(INDEX(MASTER_JAM!$J$5:$O$12,MATCH($E589,MASTER_JAM!$I$5:$I$12,0),MATCH($J589,MASTER_JAM!$J$4:$O$4,0))+0,0)</f>
        <v/>
      </c>
      <c r="L589" s="159">
        <f>N($F589)*$K589</f>
        <v/>
      </c>
      <c r="M589" s="157">
        <f>IF($E589="","",IF(OR($E589="Coal",$E589="Dirty Coal"),"MT","BCM"))</f>
        <v/>
      </c>
      <c r="N589" s="157">
        <f>IF($E589="","",IF(OR($E589="Coal",$E589="Dirty Coal"),"Coal","OB"))</f>
        <v/>
      </c>
      <c r="O589" s="157">
        <f>IF($F589="","",IF(COUNTIF(MASTER_JAM!$A$5:$A$94,$C589)=0,"Digger tidak dikenal",IF($J589="","Hauler tidak dikenal",IF($H589="?","Jam salah",IF($K589=0,"Faktor kosong",IF(SUMIFS(INPUT_DELAY!$E$5:$E$20000,INPUT_DELAY!$A$5:$A$20000,$A589,INPUT_DELAY!$B$5:$B$20000,$B589,INPUT_DELAY!$C$5:$C$20000,$C589)+SUMIFS(INPUT_DELAY!$E$5:$E$20000,INPUT_DELAY!$A$5:$A$20000,$A589,INPUT_DELAY!$B$5:$B$20000,$B589,INPUT_DELAY!$C$5:$C$20000,"SEMUA")&gt;=60,"Delay 60 mnt tapi ada ritase","OK"))))))</f>
        <v/>
      </c>
      <c r="P589" s="158">
        <f>IFERROR(INDEX(MASTER_JAM!$Z$5:$AC$10,MATCH($I589,MASTER_JAM!$Y$5:$Y$10,0),MATCH($J589,MASTER_JAM!$Z$4:$AC$4,0))+0,0)</f>
        <v/>
      </c>
      <c r="Q589" s="158">
        <f>IF($P589=0,0,$P589+IFERROR(INDEX(MASTER_JAM!$H$5:$H$94,MATCH($C589,MASTER_JAM!$A$5:$A$94,0))+0,MASTER_JAM!$AC$15)/1000*(60/MASTER_JAM!$AC$12+60/MASTER_JAM!$AC$13)+MASTER_JAM!$AC$14)</f>
        <v/>
      </c>
      <c r="R589" s="158">
        <f>IF(N($F589)=0,0,$F589/SUMIFS(INPUT_RITASE!$F$5:$F$20000,INPUT_RITASE!$A$5:$A$20000,$A589,INPUT_RITASE!$B$5:$B$20000,$B589,INPUT_RITASE!$C$5:$C$20000,$C589,INPUT_RITASE!$D$5:$D$20000,$D589))</f>
        <v/>
      </c>
      <c r="S589" s="158">
        <f>IF($Q589=0,0,$R589*$P589/$Q589)</f>
        <v/>
      </c>
    </row>
    <row r="590">
      <c r="A590" s="155" t="n">
        <v>46105</v>
      </c>
      <c r="B590" s="156" t="inlineStr">
        <is>
          <t>01-02</t>
        </is>
      </c>
      <c r="C590" s="156" t="inlineStr">
        <is>
          <t>EX-755</t>
        </is>
      </c>
      <c r="D590" s="156" t="inlineStr">
        <is>
          <t>DT-502</t>
        </is>
      </c>
      <c r="E590" s="156" t="inlineStr">
        <is>
          <t>OB</t>
        </is>
      </c>
      <c r="F590" s="156" t="n">
        <v>4</v>
      </c>
      <c r="G590" s="156" t="inlineStr"/>
      <c r="H590" s="157">
        <f>IF($B590="","",IF(ISNA(MATCH($B590,MASTER_JAM!$Q$5:$Q$28,0)),"?",IF(MATCH($B590,MASTER_JAM!$Q$5:$Q$28,0)&lt;=12,"DS","NS")))</f>
        <v/>
      </c>
      <c r="I590" s="157">
        <f>IFERROR(INDEX(MASTER_JAM!$B$5:$B$94,MATCH($C590,MASTER_JAM!$A$5:$A$94,0)),"")</f>
        <v/>
      </c>
      <c r="J590" s="157">
        <f>IFERROR(INDEX(MASTER_JAM!$E$5:$E$94,MATCH($D590,MASTER_JAM!$A$5:$A$94,0)),"")</f>
        <v/>
      </c>
      <c r="K590" s="158">
        <f>IFERROR(INDEX(MASTER_JAM!$J$5:$O$12,MATCH($E590,MASTER_JAM!$I$5:$I$12,0),MATCH($J590,MASTER_JAM!$J$4:$O$4,0))+0,0)</f>
        <v/>
      </c>
      <c r="L590" s="159">
        <f>N($F590)*$K590</f>
        <v/>
      </c>
      <c r="M590" s="157">
        <f>IF($E590="","",IF(OR($E590="Coal",$E590="Dirty Coal"),"MT","BCM"))</f>
        <v/>
      </c>
      <c r="N590" s="157">
        <f>IF($E590="","",IF(OR($E590="Coal",$E590="Dirty Coal"),"Coal","OB"))</f>
        <v/>
      </c>
      <c r="O590" s="157">
        <f>IF($F590="","",IF(COUNTIF(MASTER_JAM!$A$5:$A$94,$C590)=0,"Digger tidak dikenal",IF($J590="","Hauler tidak dikenal",IF($H590="?","Jam salah",IF($K590=0,"Faktor kosong",IF(SUMIFS(INPUT_DELAY!$E$5:$E$20000,INPUT_DELAY!$A$5:$A$20000,$A590,INPUT_DELAY!$B$5:$B$20000,$B590,INPUT_DELAY!$C$5:$C$20000,$C590)+SUMIFS(INPUT_DELAY!$E$5:$E$20000,INPUT_DELAY!$A$5:$A$20000,$A590,INPUT_DELAY!$B$5:$B$20000,$B590,INPUT_DELAY!$C$5:$C$20000,"SEMUA")&gt;=60,"Delay 60 mnt tapi ada ritase","OK"))))))</f>
        <v/>
      </c>
      <c r="P590" s="158">
        <f>IFERROR(INDEX(MASTER_JAM!$Z$5:$AC$10,MATCH($I590,MASTER_JAM!$Y$5:$Y$10,0),MATCH($J590,MASTER_JAM!$Z$4:$AC$4,0))+0,0)</f>
        <v/>
      </c>
      <c r="Q590" s="158">
        <f>IF($P590=0,0,$P590+IFERROR(INDEX(MASTER_JAM!$H$5:$H$94,MATCH($C590,MASTER_JAM!$A$5:$A$94,0))+0,MASTER_JAM!$AC$15)/1000*(60/MASTER_JAM!$AC$12+60/MASTER_JAM!$AC$13)+MASTER_JAM!$AC$14)</f>
        <v/>
      </c>
      <c r="R590" s="158">
        <f>IF(N($F590)=0,0,$F590/SUMIFS(INPUT_RITASE!$F$5:$F$20000,INPUT_RITASE!$A$5:$A$20000,$A590,INPUT_RITASE!$B$5:$B$20000,$B590,INPUT_RITASE!$C$5:$C$20000,$C590,INPUT_RITASE!$D$5:$D$20000,$D590))</f>
        <v/>
      </c>
      <c r="S590" s="158">
        <f>IF($Q590=0,0,$R590*$P590/$Q590)</f>
        <v/>
      </c>
    </row>
    <row r="591">
      <c r="A591" s="155" t="n">
        <v>46105</v>
      </c>
      <c r="B591" s="156" t="inlineStr">
        <is>
          <t>02-03</t>
        </is>
      </c>
      <c r="C591" s="156" t="inlineStr">
        <is>
          <t>EX-755</t>
        </is>
      </c>
      <c r="D591" s="156" t="inlineStr">
        <is>
          <t>DT-505</t>
        </is>
      </c>
      <c r="E591" s="156" t="inlineStr">
        <is>
          <t>OB</t>
        </is>
      </c>
      <c r="F591" s="156" t="n">
        <v>4</v>
      </c>
      <c r="G591" s="156" t="inlineStr"/>
      <c r="H591" s="157">
        <f>IF($B591="","",IF(ISNA(MATCH($B591,MASTER_JAM!$Q$5:$Q$28,0)),"?",IF(MATCH($B591,MASTER_JAM!$Q$5:$Q$28,0)&lt;=12,"DS","NS")))</f>
        <v/>
      </c>
      <c r="I591" s="157">
        <f>IFERROR(INDEX(MASTER_JAM!$B$5:$B$94,MATCH($C591,MASTER_JAM!$A$5:$A$94,0)),"")</f>
        <v/>
      </c>
      <c r="J591" s="157">
        <f>IFERROR(INDEX(MASTER_JAM!$E$5:$E$94,MATCH($D591,MASTER_JAM!$A$5:$A$94,0)),"")</f>
        <v/>
      </c>
      <c r="K591" s="158">
        <f>IFERROR(INDEX(MASTER_JAM!$J$5:$O$12,MATCH($E591,MASTER_JAM!$I$5:$I$12,0),MATCH($J591,MASTER_JAM!$J$4:$O$4,0))+0,0)</f>
        <v/>
      </c>
      <c r="L591" s="159">
        <f>N($F591)*$K591</f>
        <v/>
      </c>
      <c r="M591" s="157">
        <f>IF($E591="","",IF(OR($E591="Coal",$E591="Dirty Coal"),"MT","BCM"))</f>
        <v/>
      </c>
      <c r="N591" s="157">
        <f>IF($E591="","",IF(OR($E591="Coal",$E591="Dirty Coal"),"Coal","OB"))</f>
        <v/>
      </c>
      <c r="O591" s="157">
        <f>IF($F591="","",IF(COUNTIF(MASTER_JAM!$A$5:$A$94,$C591)=0,"Digger tidak dikenal",IF($J591="","Hauler tidak dikenal",IF($H591="?","Jam salah",IF($K591=0,"Faktor kosong",IF(SUMIFS(INPUT_DELAY!$E$5:$E$20000,INPUT_DELAY!$A$5:$A$20000,$A591,INPUT_DELAY!$B$5:$B$20000,$B591,INPUT_DELAY!$C$5:$C$20000,$C591)+SUMIFS(INPUT_DELAY!$E$5:$E$20000,INPUT_DELAY!$A$5:$A$20000,$A591,INPUT_DELAY!$B$5:$B$20000,$B591,INPUT_DELAY!$C$5:$C$20000,"SEMUA")&gt;=60,"Delay 60 mnt tapi ada ritase","OK"))))))</f>
        <v/>
      </c>
      <c r="P591" s="158">
        <f>IFERROR(INDEX(MASTER_JAM!$Z$5:$AC$10,MATCH($I591,MASTER_JAM!$Y$5:$Y$10,0),MATCH($J591,MASTER_JAM!$Z$4:$AC$4,0))+0,0)</f>
        <v/>
      </c>
      <c r="Q591" s="158">
        <f>IF($P591=0,0,$P591+IFERROR(INDEX(MASTER_JAM!$H$5:$H$94,MATCH($C591,MASTER_JAM!$A$5:$A$94,0))+0,MASTER_JAM!$AC$15)/1000*(60/MASTER_JAM!$AC$12+60/MASTER_JAM!$AC$13)+MASTER_JAM!$AC$14)</f>
        <v/>
      </c>
      <c r="R591" s="158">
        <f>IF(N($F591)=0,0,$F591/SUMIFS(INPUT_RITASE!$F$5:$F$20000,INPUT_RITASE!$A$5:$A$20000,$A591,INPUT_RITASE!$B$5:$B$20000,$B591,INPUT_RITASE!$C$5:$C$20000,$C591,INPUT_RITASE!$D$5:$D$20000,$D591))</f>
        <v/>
      </c>
      <c r="S591" s="158">
        <f>IF($Q591=0,0,$R591*$P591/$Q591)</f>
        <v/>
      </c>
    </row>
    <row r="592">
      <c r="A592" s="155" t="n">
        <v>46105</v>
      </c>
      <c r="B592" s="156" t="inlineStr">
        <is>
          <t>02-03</t>
        </is>
      </c>
      <c r="C592" s="156" t="inlineStr">
        <is>
          <t>EX-755</t>
        </is>
      </c>
      <c r="D592" s="156" t="inlineStr">
        <is>
          <t>DT-529</t>
        </is>
      </c>
      <c r="E592" s="156" t="inlineStr">
        <is>
          <t>OB</t>
        </is>
      </c>
      <c r="F592" s="156" t="n">
        <v>4</v>
      </c>
      <c r="G592" s="156" t="inlineStr"/>
      <c r="H592" s="157">
        <f>IF($B592="","",IF(ISNA(MATCH($B592,MASTER_JAM!$Q$5:$Q$28,0)),"?",IF(MATCH($B592,MASTER_JAM!$Q$5:$Q$28,0)&lt;=12,"DS","NS")))</f>
        <v/>
      </c>
      <c r="I592" s="157">
        <f>IFERROR(INDEX(MASTER_JAM!$B$5:$B$94,MATCH($C592,MASTER_JAM!$A$5:$A$94,0)),"")</f>
        <v/>
      </c>
      <c r="J592" s="157">
        <f>IFERROR(INDEX(MASTER_JAM!$E$5:$E$94,MATCH($D592,MASTER_JAM!$A$5:$A$94,0)),"")</f>
        <v/>
      </c>
      <c r="K592" s="158">
        <f>IFERROR(INDEX(MASTER_JAM!$J$5:$O$12,MATCH($E592,MASTER_JAM!$I$5:$I$12,0),MATCH($J592,MASTER_JAM!$J$4:$O$4,0))+0,0)</f>
        <v/>
      </c>
      <c r="L592" s="159">
        <f>N($F592)*$K592</f>
        <v/>
      </c>
      <c r="M592" s="157">
        <f>IF($E592="","",IF(OR($E592="Coal",$E592="Dirty Coal"),"MT","BCM"))</f>
        <v/>
      </c>
      <c r="N592" s="157">
        <f>IF($E592="","",IF(OR($E592="Coal",$E592="Dirty Coal"),"Coal","OB"))</f>
        <v/>
      </c>
      <c r="O592" s="157">
        <f>IF($F592="","",IF(COUNTIF(MASTER_JAM!$A$5:$A$94,$C592)=0,"Digger tidak dikenal",IF($J592="","Hauler tidak dikenal",IF($H592="?","Jam salah",IF($K592=0,"Faktor kosong",IF(SUMIFS(INPUT_DELAY!$E$5:$E$20000,INPUT_DELAY!$A$5:$A$20000,$A592,INPUT_DELAY!$B$5:$B$20000,$B592,INPUT_DELAY!$C$5:$C$20000,$C592)+SUMIFS(INPUT_DELAY!$E$5:$E$20000,INPUT_DELAY!$A$5:$A$20000,$A592,INPUT_DELAY!$B$5:$B$20000,$B592,INPUT_DELAY!$C$5:$C$20000,"SEMUA")&gt;=60,"Delay 60 mnt tapi ada ritase","OK"))))))</f>
        <v/>
      </c>
      <c r="P592" s="158">
        <f>IFERROR(INDEX(MASTER_JAM!$Z$5:$AC$10,MATCH($I592,MASTER_JAM!$Y$5:$Y$10,0),MATCH($J592,MASTER_JAM!$Z$4:$AC$4,0))+0,0)</f>
        <v/>
      </c>
      <c r="Q592" s="158">
        <f>IF($P592=0,0,$P592+IFERROR(INDEX(MASTER_JAM!$H$5:$H$94,MATCH($C592,MASTER_JAM!$A$5:$A$94,0))+0,MASTER_JAM!$AC$15)/1000*(60/MASTER_JAM!$AC$12+60/MASTER_JAM!$AC$13)+MASTER_JAM!$AC$14)</f>
        <v/>
      </c>
      <c r="R592" s="158">
        <f>IF(N($F592)=0,0,$F592/SUMIFS(INPUT_RITASE!$F$5:$F$20000,INPUT_RITASE!$A$5:$A$20000,$A592,INPUT_RITASE!$B$5:$B$20000,$B592,INPUT_RITASE!$C$5:$C$20000,$C592,INPUT_RITASE!$D$5:$D$20000,$D592))</f>
        <v/>
      </c>
      <c r="S592" s="158">
        <f>IF($Q592=0,0,$R592*$P592/$Q592)</f>
        <v/>
      </c>
    </row>
    <row r="593">
      <c r="A593" s="155" t="n">
        <v>46105</v>
      </c>
      <c r="B593" s="156" t="inlineStr">
        <is>
          <t>02-03</t>
        </is>
      </c>
      <c r="C593" s="156" t="inlineStr">
        <is>
          <t>EX-755</t>
        </is>
      </c>
      <c r="D593" s="156" t="inlineStr">
        <is>
          <t>DT-527</t>
        </is>
      </c>
      <c r="E593" s="156" t="inlineStr">
        <is>
          <t>OB</t>
        </is>
      </c>
      <c r="F593" s="156" t="n">
        <v>4</v>
      </c>
      <c r="G593" s="156" t="inlineStr"/>
      <c r="H593" s="157">
        <f>IF($B593="","",IF(ISNA(MATCH($B593,MASTER_JAM!$Q$5:$Q$28,0)),"?",IF(MATCH($B593,MASTER_JAM!$Q$5:$Q$28,0)&lt;=12,"DS","NS")))</f>
        <v/>
      </c>
      <c r="I593" s="157">
        <f>IFERROR(INDEX(MASTER_JAM!$B$5:$B$94,MATCH($C593,MASTER_JAM!$A$5:$A$94,0)),"")</f>
        <v/>
      </c>
      <c r="J593" s="157">
        <f>IFERROR(INDEX(MASTER_JAM!$E$5:$E$94,MATCH($D593,MASTER_JAM!$A$5:$A$94,0)),"")</f>
        <v/>
      </c>
      <c r="K593" s="158">
        <f>IFERROR(INDEX(MASTER_JAM!$J$5:$O$12,MATCH($E593,MASTER_JAM!$I$5:$I$12,0),MATCH($J593,MASTER_JAM!$J$4:$O$4,0))+0,0)</f>
        <v/>
      </c>
      <c r="L593" s="159">
        <f>N($F593)*$K593</f>
        <v/>
      </c>
      <c r="M593" s="157">
        <f>IF($E593="","",IF(OR($E593="Coal",$E593="Dirty Coal"),"MT","BCM"))</f>
        <v/>
      </c>
      <c r="N593" s="157">
        <f>IF($E593="","",IF(OR($E593="Coal",$E593="Dirty Coal"),"Coal","OB"))</f>
        <v/>
      </c>
      <c r="O593" s="157">
        <f>IF($F593="","",IF(COUNTIF(MASTER_JAM!$A$5:$A$94,$C593)=0,"Digger tidak dikenal",IF($J593="","Hauler tidak dikenal",IF($H593="?","Jam salah",IF($K593=0,"Faktor kosong",IF(SUMIFS(INPUT_DELAY!$E$5:$E$20000,INPUT_DELAY!$A$5:$A$20000,$A593,INPUT_DELAY!$B$5:$B$20000,$B593,INPUT_DELAY!$C$5:$C$20000,$C593)+SUMIFS(INPUT_DELAY!$E$5:$E$20000,INPUT_DELAY!$A$5:$A$20000,$A593,INPUT_DELAY!$B$5:$B$20000,$B593,INPUT_DELAY!$C$5:$C$20000,"SEMUA")&gt;=60,"Delay 60 mnt tapi ada ritase","OK"))))))</f>
        <v/>
      </c>
      <c r="P593" s="158">
        <f>IFERROR(INDEX(MASTER_JAM!$Z$5:$AC$10,MATCH($I593,MASTER_JAM!$Y$5:$Y$10,0),MATCH($J593,MASTER_JAM!$Z$4:$AC$4,0))+0,0)</f>
        <v/>
      </c>
      <c r="Q593" s="158">
        <f>IF($P593=0,0,$P593+IFERROR(INDEX(MASTER_JAM!$H$5:$H$94,MATCH($C593,MASTER_JAM!$A$5:$A$94,0))+0,MASTER_JAM!$AC$15)/1000*(60/MASTER_JAM!$AC$12+60/MASTER_JAM!$AC$13)+MASTER_JAM!$AC$14)</f>
        <v/>
      </c>
      <c r="R593" s="158">
        <f>IF(N($F593)=0,0,$F593/SUMIFS(INPUT_RITASE!$F$5:$F$20000,INPUT_RITASE!$A$5:$A$20000,$A593,INPUT_RITASE!$B$5:$B$20000,$B593,INPUT_RITASE!$C$5:$C$20000,$C593,INPUT_RITASE!$D$5:$D$20000,$D593))</f>
        <v/>
      </c>
      <c r="S593" s="158">
        <f>IF($Q593=0,0,$R593*$P593/$Q593)</f>
        <v/>
      </c>
    </row>
    <row r="594">
      <c r="A594" s="155" t="n">
        <v>46105</v>
      </c>
      <c r="B594" s="156" t="inlineStr">
        <is>
          <t>02-03</t>
        </is>
      </c>
      <c r="C594" s="156" t="inlineStr">
        <is>
          <t>EX-755</t>
        </is>
      </c>
      <c r="D594" s="156" t="inlineStr">
        <is>
          <t>DT-512</t>
        </is>
      </c>
      <c r="E594" s="156" t="inlineStr">
        <is>
          <t>OB</t>
        </is>
      </c>
      <c r="F594" s="156" t="n">
        <v>4</v>
      </c>
      <c r="G594" s="156" t="inlineStr"/>
      <c r="H594" s="157">
        <f>IF($B594="","",IF(ISNA(MATCH($B594,MASTER_JAM!$Q$5:$Q$28,0)),"?",IF(MATCH($B594,MASTER_JAM!$Q$5:$Q$28,0)&lt;=12,"DS","NS")))</f>
        <v/>
      </c>
      <c r="I594" s="157">
        <f>IFERROR(INDEX(MASTER_JAM!$B$5:$B$94,MATCH($C594,MASTER_JAM!$A$5:$A$94,0)),"")</f>
        <v/>
      </c>
      <c r="J594" s="157">
        <f>IFERROR(INDEX(MASTER_JAM!$E$5:$E$94,MATCH($D594,MASTER_JAM!$A$5:$A$94,0)),"")</f>
        <v/>
      </c>
      <c r="K594" s="158">
        <f>IFERROR(INDEX(MASTER_JAM!$J$5:$O$12,MATCH($E594,MASTER_JAM!$I$5:$I$12,0),MATCH($J594,MASTER_JAM!$J$4:$O$4,0))+0,0)</f>
        <v/>
      </c>
      <c r="L594" s="159">
        <f>N($F594)*$K594</f>
        <v/>
      </c>
      <c r="M594" s="157">
        <f>IF($E594="","",IF(OR($E594="Coal",$E594="Dirty Coal"),"MT","BCM"))</f>
        <v/>
      </c>
      <c r="N594" s="157">
        <f>IF($E594="","",IF(OR($E594="Coal",$E594="Dirty Coal"),"Coal","OB"))</f>
        <v/>
      </c>
      <c r="O594" s="157">
        <f>IF($F594="","",IF(COUNTIF(MASTER_JAM!$A$5:$A$94,$C594)=0,"Digger tidak dikenal",IF($J594="","Hauler tidak dikenal",IF($H594="?","Jam salah",IF($K594=0,"Faktor kosong",IF(SUMIFS(INPUT_DELAY!$E$5:$E$20000,INPUT_DELAY!$A$5:$A$20000,$A594,INPUT_DELAY!$B$5:$B$20000,$B594,INPUT_DELAY!$C$5:$C$20000,$C594)+SUMIFS(INPUT_DELAY!$E$5:$E$20000,INPUT_DELAY!$A$5:$A$20000,$A594,INPUT_DELAY!$B$5:$B$20000,$B594,INPUT_DELAY!$C$5:$C$20000,"SEMUA")&gt;=60,"Delay 60 mnt tapi ada ritase","OK"))))))</f>
        <v/>
      </c>
      <c r="P594" s="158">
        <f>IFERROR(INDEX(MASTER_JAM!$Z$5:$AC$10,MATCH($I594,MASTER_JAM!$Y$5:$Y$10,0),MATCH($J594,MASTER_JAM!$Z$4:$AC$4,0))+0,0)</f>
        <v/>
      </c>
      <c r="Q594" s="158">
        <f>IF($P594=0,0,$P594+IFERROR(INDEX(MASTER_JAM!$H$5:$H$94,MATCH($C594,MASTER_JAM!$A$5:$A$94,0))+0,MASTER_JAM!$AC$15)/1000*(60/MASTER_JAM!$AC$12+60/MASTER_JAM!$AC$13)+MASTER_JAM!$AC$14)</f>
        <v/>
      </c>
      <c r="R594" s="158">
        <f>IF(N($F594)=0,0,$F594/SUMIFS(INPUT_RITASE!$F$5:$F$20000,INPUT_RITASE!$A$5:$A$20000,$A594,INPUT_RITASE!$B$5:$B$20000,$B594,INPUT_RITASE!$C$5:$C$20000,$C594,INPUT_RITASE!$D$5:$D$20000,$D594))</f>
        <v/>
      </c>
      <c r="S594" s="158">
        <f>IF($Q594=0,0,$R594*$P594/$Q594)</f>
        <v/>
      </c>
    </row>
    <row r="595">
      <c r="A595" s="155" t="n">
        <v>46105</v>
      </c>
      <c r="B595" s="156" t="inlineStr">
        <is>
          <t>03-04</t>
        </is>
      </c>
      <c r="C595" s="156" t="inlineStr">
        <is>
          <t>EX-755</t>
        </is>
      </c>
      <c r="D595" s="156" t="inlineStr">
        <is>
          <t>DT-506</t>
        </is>
      </c>
      <c r="E595" s="156" t="inlineStr">
        <is>
          <t>OB</t>
        </is>
      </c>
      <c r="F595" s="156" t="n">
        <v>4</v>
      </c>
      <c r="G595" s="156" t="inlineStr"/>
      <c r="H595" s="157">
        <f>IF($B595="","",IF(ISNA(MATCH($B595,MASTER_JAM!$Q$5:$Q$28,0)),"?",IF(MATCH($B595,MASTER_JAM!$Q$5:$Q$28,0)&lt;=12,"DS","NS")))</f>
        <v/>
      </c>
      <c r="I595" s="157">
        <f>IFERROR(INDEX(MASTER_JAM!$B$5:$B$94,MATCH($C595,MASTER_JAM!$A$5:$A$94,0)),"")</f>
        <v/>
      </c>
      <c r="J595" s="157">
        <f>IFERROR(INDEX(MASTER_JAM!$E$5:$E$94,MATCH($D595,MASTER_JAM!$A$5:$A$94,0)),"")</f>
        <v/>
      </c>
      <c r="K595" s="158">
        <f>IFERROR(INDEX(MASTER_JAM!$J$5:$O$12,MATCH($E595,MASTER_JAM!$I$5:$I$12,0),MATCH($J595,MASTER_JAM!$J$4:$O$4,0))+0,0)</f>
        <v/>
      </c>
      <c r="L595" s="159">
        <f>N($F595)*$K595</f>
        <v/>
      </c>
      <c r="M595" s="157">
        <f>IF($E595="","",IF(OR($E595="Coal",$E595="Dirty Coal"),"MT","BCM"))</f>
        <v/>
      </c>
      <c r="N595" s="157">
        <f>IF($E595="","",IF(OR($E595="Coal",$E595="Dirty Coal"),"Coal","OB"))</f>
        <v/>
      </c>
      <c r="O595" s="157">
        <f>IF($F595="","",IF(COUNTIF(MASTER_JAM!$A$5:$A$94,$C595)=0,"Digger tidak dikenal",IF($J595="","Hauler tidak dikenal",IF($H595="?","Jam salah",IF($K595=0,"Faktor kosong",IF(SUMIFS(INPUT_DELAY!$E$5:$E$20000,INPUT_DELAY!$A$5:$A$20000,$A595,INPUT_DELAY!$B$5:$B$20000,$B595,INPUT_DELAY!$C$5:$C$20000,$C595)+SUMIFS(INPUT_DELAY!$E$5:$E$20000,INPUT_DELAY!$A$5:$A$20000,$A595,INPUT_DELAY!$B$5:$B$20000,$B595,INPUT_DELAY!$C$5:$C$20000,"SEMUA")&gt;=60,"Delay 60 mnt tapi ada ritase","OK"))))))</f>
        <v/>
      </c>
      <c r="P595" s="158">
        <f>IFERROR(INDEX(MASTER_JAM!$Z$5:$AC$10,MATCH($I595,MASTER_JAM!$Y$5:$Y$10,0),MATCH($J595,MASTER_JAM!$Z$4:$AC$4,0))+0,0)</f>
        <v/>
      </c>
      <c r="Q595" s="158">
        <f>IF($P595=0,0,$P595+IFERROR(INDEX(MASTER_JAM!$H$5:$H$94,MATCH($C595,MASTER_JAM!$A$5:$A$94,0))+0,MASTER_JAM!$AC$15)/1000*(60/MASTER_JAM!$AC$12+60/MASTER_JAM!$AC$13)+MASTER_JAM!$AC$14)</f>
        <v/>
      </c>
      <c r="R595" s="158">
        <f>IF(N($F595)=0,0,$F595/SUMIFS(INPUT_RITASE!$F$5:$F$20000,INPUT_RITASE!$A$5:$A$20000,$A595,INPUT_RITASE!$B$5:$B$20000,$B595,INPUT_RITASE!$C$5:$C$20000,$C595,INPUT_RITASE!$D$5:$D$20000,$D595))</f>
        <v/>
      </c>
      <c r="S595" s="158">
        <f>IF($Q595=0,0,$R595*$P595/$Q595)</f>
        <v/>
      </c>
    </row>
    <row r="596">
      <c r="A596" s="155" t="n">
        <v>46105</v>
      </c>
      <c r="B596" s="156" t="inlineStr">
        <is>
          <t>03-04</t>
        </is>
      </c>
      <c r="C596" s="156" t="inlineStr">
        <is>
          <t>EX-755</t>
        </is>
      </c>
      <c r="D596" s="156" t="inlineStr">
        <is>
          <t>DT-502</t>
        </is>
      </c>
      <c r="E596" s="156" t="inlineStr">
        <is>
          <t>OB</t>
        </is>
      </c>
      <c r="F596" s="156" t="n">
        <v>4</v>
      </c>
      <c r="G596" s="156" t="inlineStr"/>
      <c r="H596" s="157">
        <f>IF($B596="","",IF(ISNA(MATCH($B596,MASTER_JAM!$Q$5:$Q$28,0)),"?",IF(MATCH($B596,MASTER_JAM!$Q$5:$Q$28,0)&lt;=12,"DS","NS")))</f>
        <v/>
      </c>
      <c r="I596" s="157">
        <f>IFERROR(INDEX(MASTER_JAM!$B$5:$B$94,MATCH($C596,MASTER_JAM!$A$5:$A$94,0)),"")</f>
        <v/>
      </c>
      <c r="J596" s="157">
        <f>IFERROR(INDEX(MASTER_JAM!$E$5:$E$94,MATCH($D596,MASTER_JAM!$A$5:$A$94,0)),"")</f>
        <v/>
      </c>
      <c r="K596" s="158">
        <f>IFERROR(INDEX(MASTER_JAM!$J$5:$O$12,MATCH($E596,MASTER_JAM!$I$5:$I$12,0),MATCH($J596,MASTER_JAM!$J$4:$O$4,0))+0,0)</f>
        <v/>
      </c>
      <c r="L596" s="159">
        <f>N($F596)*$K596</f>
        <v/>
      </c>
      <c r="M596" s="157">
        <f>IF($E596="","",IF(OR($E596="Coal",$E596="Dirty Coal"),"MT","BCM"))</f>
        <v/>
      </c>
      <c r="N596" s="157">
        <f>IF($E596="","",IF(OR($E596="Coal",$E596="Dirty Coal"),"Coal","OB"))</f>
        <v/>
      </c>
      <c r="O596" s="157">
        <f>IF($F596="","",IF(COUNTIF(MASTER_JAM!$A$5:$A$94,$C596)=0,"Digger tidak dikenal",IF($J596="","Hauler tidak dikenal",IF($H596="?","Jam salah",IF($K596=0,"Faktor kosong",IF(SUMIFS(INPUT_DELAY!$E$5:$E$20000,INPUT_DELAY!$A$5:$A$20000,$A596,INPUT_DELAY!$B$5:$B$20000,$B596,INPUT_DELAY!$C$5:$C$20000,$C596)+SUMIFS(INPUT_DELAY!$E$5:$E$20000,INPUT_DELAY!$A$5:$A$20000,$A596,INPUT_DELAY!$B$5:$B$20000,$B596,INPUT_DELAY!$C$5:$C$20000,"SEMUA")&gt;=60,"Delay 60 mnt tapi ada ritase","OK"))))))</f>
        <v/>
      </c>
      <c r="P596" s="158">
        <f>IFERROR(INDEX(MASTER_JAM!$Z$5:$AC$10,MATCH($I596,MASTER_JAM!$Y$5:$Y$10,0),MATCH($J596,MASTER_JAM!$Z$4:$AC$4,0))+0,0)</f>
        <v/>
      </c>
      <c r="Q596" s="158">
        <f>IF($P596=0,0,$P596+IFERROR(INDEX(MASTER_JAM!$H$5:$H$94,MATCH($C596,MASTER_JAM!$A$5:$A$94,0))+0,MASTER_JAM!$AC$15)/1000*(60/MASTER_JAM!$AC$12+60/MASTER_JAM!$AC$13)+MASTER_JAM!$AC$14)</f>
        <v/>
      </c>
      <c r="R596" s="158">
        <f>IF(N($F596)=0,0,$F596/SUMIFS(INPUT_RITASE!$F$5:$F$20000,INPUT_RITASE!$A$5:$A$20000,$A596,INPUT_RITASE!$B$5:$B$20000,$B596,INPUT_RITASE!$C$5:$C$20000,$C596,INPUT_RITASE!$D$5:$D$20000,$D596))</f>
        <v/>
      </c>
      <c r="S596" s="158">
        <f>IF($Q596=0,0,$R596*$P596/$Q596)</f>
        <v/>
      </c>
    </row>
    <row r="597">
      <c r="A597" s="155" t="n">
        <v>46105</v>
      </c>
      <c r="B597" s="156" t="inlineStr">
        <is>
          <t>03-04</t>
        </is>
      </c>
      <c r="C597" s="156" t="inlineStr">
        <is>
          <t>EX-755</t>
        </is>
      </c>
      <c r="D597" s="156" t="inlineStr">
        <is>
          <t>DT-504</t>
        </is>
      </c>
      <c r="E597" s="156" t="inlineStr">
        <is>
          <t>OB</t>
        </is>
      </c>
      <c r="F597" s="156" t="n">
        <v>3</v>
      </c>
      <c r="G597" s="156" t="inlineStr"/>
      <c r="H597" s="157">
        <f>IF($B597="","",IF(ISNA(MATCH($B597,MASTER_JAM!$Q$5:$Q$28,0)),"?",IF(MATCH($B597,MASTER_JAM!$Q$5:$Q$28,0)&lt;=12,"DS","NS")))</f>
        <v/>
      </c>
      <c r="I597" s="157">
        <f>IFERROR(INDEX(MASTER_JAM!$B$5:$B$94,MATCH($C597,MASTER_JAM!$A$5:$A$94,0)),"")</f>
        <v/>
      </c>
      <c r="J597" s="157">
        <f>IFERROR(INDEX(MASTER_JAM!$E$5:$E$94,MATCH($D597,MASTER_JAM!$A$5:$A$94,0)),"")</f>
        <v/>
      </c>
      <c r="K597" s="158">
        <f>IFERROR(INDEX(MASTER_JAM!$J$5:$O$12,MATCH($E597,MASTER_JAM!$I$5:$I$12,0),MATCH($J597,MASTER_JAM!$J$4:$O$4,0))+0,0)</f>
        <v/>
      </c>
      <c r="L597" s="159">
        <f>N($F597)*$K597</f>
        <v/>
      </c>
      <c r="M597" s="157">
        <f>IF($E597="","",IF(OR($E597="Coal",$E597="Dirty Coal"),"MT","BCM"))</f>
        <v/>
      </c>
      <c r="N597" s="157">
        <f>IF($E597="","",IF(OR($E597="Coal",$E597="Dirty Coal"),"Coal","OB"))</f>
        <v/>
      </c>
      <c r="O597" s="157">
        <f>IF($F597="","",IF(COUNTIF(MASTER_JAM!$A$5:$A$94,$C597)=0,"Digger tidak dikenal",IF($J597="","Hauler tidak dikenal",IF($H597="?","Jam salah",IF($K597=0,"Faktor kosong",IF(SUMIFS(INPUT_DELAY!$E$5:$E$20000,INPUT_DELAY!$A$5:$A$20000,$A597,INPUT_DELAY!$B$5:$B$20000,$B597,INPUT_DELAY!$C$5:$C$20000,$C597)+SUMIFS(INPUT_DELAY!$E$5:$E$20000,INPUT_DELAY!$A$5:$A$20000,$A597,INPUT_DELAY!$B$5:$B$20000,$B597,INPUT_DELAY!$C$5:$C$20000,"SEMUA")&gt;=60,"Delay 60 mnt tapi ada ritase","OK"))))))</f>
        <v/>
      </c>
      <c r="P597" s="158">
        <f>IFERROR(INDEX(MASTER_JAM!$Z$5:$AC$10,MATCH($I597,MASTER_JAM!$Y$5:$Y$10,0),MATCH($J597,MASTER_JAM!$Z$4:$AC$4,0))+0,0)</f>
        <v/>
      </c>
      <c r="Q597" s="158">
        <f>IF($P597=0,0,$P597+IFERROR(INDEX(MASTER_JAM!$H$5:$H$94,MATCH($C597,MASTER_JAM!$A$5:$A$94,0))+0,MASTER_JAM!$AC$15)/1000*(60/MASTER_JAM!$AC$12+60/MASTER_JAM!$AC$13)+MASTER_JAM!$AC$14)</f>
        <v/>
      </c>
      <c r="R597" s="158">
        <f>IF(N($F597)=0,0,$F597/SUMIFS(INPUT_RITASE!$F$5:$F$20000,INPUT_RITASE!$A$5:$A$20000,$A597,INPUT_RITASE!$B$5:$B$20000,$B597,INPUT_RITASE!$C$5:$C$20000,$C597,INPUT_RITASE!$D$5:$D$20000,$D597))</f>
        <v/>
      </c>
      <c r="S597" s="158">
        <f>IF($Q597=0,0,$R597*$P597/$Q597)</f>
        <v/>
      </c>
    </row>
    <row r="598">
      <c r="A598" s="155" t="n">
        <v>46105</v>
      </c>
      <c r="B598" s="156" t="inlineStr">
        <is>
          <t>03-04</t>
        </is>
      </c>
      <c r="C598" s="156" t="inlineStr">
        <is>
          <t>EX-755</t>
        </is>
      </c>
      <c r="D598" s="156" t="inlineStr">
        <is>
          <t>DT-515</t>
        </is>
      </c>
      <c r="E598" s="156" t="inlineStr">
        <is>
          <t>OB</t>
        </is>
      </c>
      <c r="F598" s="156" t="n">
        <v>3</v>
      </c>
      <c r="G598" s="156" t="inlineStr"/>
      <c r="H598" s="157">
        <f>IF($B598="","",IF(ISNA(MATCH($B598,MASTER_JAM!$Q$5:$Q$28,0)),"?",IF(MATCH($B598,MASTER_JAM!$Q$5:$Q$28,0)&lt;=12,"DS","NS")))</f>
        <v/>
      </c>
      <c r="I598" s="157">
        <f>IFERROR(INDEX(MASTER_JAM!$B$5:$B$94,MATCH($C598,MASTER_JAM!$A$5:$A$94,0)),"")</f>
        <v/>
      </c>
      <c r="J598" s="157">
        <f>IFERROR(INDEX(MASTER_JAM!$E$5:$E$94,MATCH($D598,MASTER_JAM!$A$5:$A$94,0)),"")</f>
        <v/>
      </c>
      <c r="K598" s="158">
        <f>IFERROR(INDEX(MASTER_JAM!$J$5:$O$12,MATCH($E598,MASTER_JAM!$I$5:$I$12,0),MATCH($J598,MASTER_JAM!$J$4:$O$4,0))+0,0)</f>
        <v/>
      </c>
      <c r="L598" s="159">
        <f>N($F598)*$K598</f>
        <v/>
      </c>
      <c r="M598" s="157">
        <f>IF($E598="","",IF(OR($E598="Coal",$E598="Dirty Coal"),"MT","BCM"))</f>
        <v/>
      </c>
      <c r="N598" s="157">
        <f>IF($E598="","",IF(OR($E598="Coal",$E598="Dirty Coal"),"Coal","OB"))</f>
        <v/>
      </c>
      <c r="O598" s="157">
        <f>IF($F598="","",IF(COUNTIF(MASTER_JAM!$A$5:$A$94,$C598)=0,"Digger tidak dikenal",IF($J598="","Hauler tidak dikenal",IF($H598="?","Jam salah",IF($K598=0,"Faktor kosong",IF(SUMIFS(INPUT_DELAY!$E$5:$E$20000,INPUT_DELAY!$A$5:$A$20000,$A598,INPUT_DELAY!$B$5:$B$20000,$B598,INPUT_DELAY!$C$5:$C$20000,$C598)+SUMIFS(INPUT_DELAY!$E$5:$E$20000,INPUT_DELAY!$A$5:$A$20000,$A598,INPUT_DELAY!$B$5:$B$20000,$B598,INPUT_DELAY!$C$5:$C$20000,"SEMUA")&gt;=60,"Delay 60 mnt tapi ada ritase","OK"))))))</f>
        <v/>
      </c>
      <c r="P598" s="158">
        <f>IFERROR(INDEX(MASTER_JAM!$Z$5:$AC$10,MATCH($I598,MASTER_JAM!$Y$5:$Y$10,0),MATCH($J598,MASTER_JAM!$Z$4:$AC$4,0))+0,0)</f>
        <v/>
      </c>
      <c r="Q598" s="158">
        <f>IF($P598=0,0,$P598+IFERROR(INDEX(MASTER_JAM!$H$5:$H$94,MATCH($C598,MASTER_JAM!$A$5:$A$94,0))+0,MASTER_JAM!$AC$15)/1000*(60/MASTER_JAM!$AC$12+60/MASTER_JAM!$AC$13)+MASTER_JAM!$AC$14)</f>
        <v/>
      </c>
      <c r="R598" s="158">
        <f>IF(N($F598)=0,0,$F598/SUMIFS(INPUT_RITASE!$F$5:$F$20000,INPUT_RITASE!$A$5:$A$20000,$A598,INPUT_RITASE!$B$5:$B$20000,$B598,INPUT_RITASE!$C$5:$C$20000,$C598,INPUT_RITASE!$D$5:$D$20000,$D598))</f>
        <v/>
      </c>
      <c r="S598" s="158">
        <f>IF($Q598=0,0,$R598*$P598/$Q598)</f>
        <v/>
      </c>
    </row>
    <row r="599">
      <c r="A599" s="155" t="n">
        <v>46105</v>
      </c>
      <c r="B599" s="156" t="inlineStr">
        <is>
          <t>04-05</t>
        </is>
      </c>
      <c r="C599" s="156" t="inlineStr">
        <is>
          <t>EX-755</t>
        </is>
      </c>
      <c r="D599" s="156" t="inlineStr">
        <is>
          <t>DT-528</t>
        </is>
      </c>
      <c r="E599" s="156" t="inlineStr">
        <is>
          <t>OB</t>
        </is>
      </c>
      <c r="F599" s="156" t="n">
        <v>4</v>
      </c>
      <c r="G599" s="156" t="inlineStr"/>
      <c r="H599" s="157">
        <f>IF($B599="","",IF(ISNA(MATCH($B599,MASTER_JAM!$Q$5:$Q$28,0)),"?",IF(MATCH($B599,MASTER_JAM!$Q$5:$Q$28,0)&lt;=12,"DS","NS")))</f>
        <v/>
      </c>
      <c r="I599" s="157">
        <f>IFERROR(INDEX(MASTER_JAM!$B$5:$B$94,MATCH($C599,MASTER_JAM!$A$5:$A$94,0)),"")</f>
        <v/>
      </c>
      <c r="J599" s="157">
        <f>IFERROR(INDEX(MASTER_JAM!$E$5:$E$94,MATCH($D599,MASTER_JAM!$A$5:$A$94,0)),"")</f>
        <v/>
      </c>
      <c r="K599" s="158">
        <f>IFERROR(INDEX(MASTER_JAM!$J$5:$O$12,MATCH($E599,MASTER_JAM!$I$5:$I$12,0),MATCH($J599,MASTER_JAM!$J$4:$O$4,0))+0,0)</f>
        <v/>
      </c>
      <c r="L599" s="159">
        <f>N($F599)*$K599</f>
        <v/>
      </c>
      <c r="M599" s="157">
        <f>IF($E599="","",IF(OR($E599="Coal",$E599="Dirty Coal"),"MT","BCM"))</f>
        <v/>
      </c>
      <c r="N599" s="157">
        <f>IF($E599="","",IF(OR($E599="Coal",$E599="Dirty Coal"),"Coal","OB"))</f>
        <v/>
      </c>
      <c r="O599" s="157">
        <f>IF($F599="","",IF(COUNTIF(MASTER_JAM!$A$5:$A$94,$C599)=0,"Digger tidak dikenal",IF($J599="","Hauler tidak dikenal",IF($H599="?","Jam salah",IF($K599=0,"Faktor kosong",IF(SUMIFS(INPUT_DELAY!$E$5:$E$20000,INPUT_DELAY!$A$5:$A$20000,$A599,INPUT_DELAY!$B$5:$B$20000,$B599,INPUT_DELAY!$C$5:$C$20000,$C599)+SUMIFS(INPUT_DELAY!$E$5:$E$20000,INPUT_DELAY!$A$5:$A$20000,$A599,INPUT_DELAY!$B$5:$B$20000,$B599,INPUT_DELAY!$C$5:$C$20000,"SEMUA")&gt;=60,"Delay 60 mnt tapi ada ritase","OK"))))))</f>
        <v/>
      </c>
      <c r="P599" s="158">
        <f>IFERROR(INDEX(MASTER_JAM!$Z$5:$AC$10,MATCH($I599,MASTER_JAM!$Y$5:$Y$10,0),MATCH($J599,MASTER_JAM!$Z$4:$AC$4,0))+0,0)</f>
        <v/>
      </c>
      <c r="Q599" s="158">
        <f>IF($P599=0,0,$P599+IFERROR(INDEX(MASTER_JAM!$H$5:$H$94,MATCH($C599,MASTER_JAM!$A$5:$A$94,0))+0,MASTER_JAM!$AC$15)/1000*(60/MASTER_JAM!$AC$12+60/MASTER_JAM!$AC$13)+MASTER_JAM!$AC$14)</f>
        <v/>
      </c>
      <c r="R599" s="158">
        <f>IF(N($F599)=0,0,$F599/SUMIFS(INPUT_RITASE!$F$5:$F$20000,INPUT_RITASE!$A$5:$A$20000,$A599,INPUT_RITASE!$B$5:$B$20000,$B599,INPUT_RITASE!$C$5:$C$20000,$C599,INPUT_RITASE!$D$5:$D$20000,$D599))</f>
        <v/>
      </c>
      <c r="S599" s="158">
        <f>IF($Q599=0,0,$R599*$P599/$Q599)</f>
        <v/>
      </c>
    </row>
    <row r="600">
      <c r="A600" s="155" t="n">
        <v>46105</v>
      </c>
      <c r="B600" s="156" t="inlineStr">
        <is>
          <t>04-05</t>
        </is>
      </c>
      <c r="C600" s="156" t="inlineStr">
        <is>
          <t>EX-755</t>
        </is>
      </c>
      <c r="D600" s="156" t="inlineStr">
        <is>
          <t>DT-501</t>
        </is>
      </c>
      <c r="E600" s="156" t="inlineStr">
        <is>
          <t>OB</t>
        </is>
      </c>
      <c r="F600" s="156" t="n">
        <v>4</v>
      </c>
      <c r="G600" s="156" t="inlineStr"/>
      <c r="H600" s="157">
        <f>IF($B600="","",IF(ISNA(MATCH($B600,MASTER_JAM!$Q$5:$Q$28,0)),"?",IF(MATCH($B600,MASTER_JAM!$Q$5:$Q$28,0)&lt;=12,"DS","NS")))</f>
        <v/>
      </c>
      <c r="I600" s="157">
        <f>IFERROR(INDEX(MASTER_JAM!$B$5:$B$94,MATCH($C600,MASTER_JAM!$A$5:$A$94,0)),"")</f>
        <v/>
      </c>
      <c r="J600" s="157">
        <f>IFERROR(INDEX(MASTER_JAM!$E$5:$E$94,MATCH($D600,MASTER_JAM!$A$5:$A$94,0)),"")</f>
        <v/>
      </c>
      <c r="K600" s="158">
        <f>IFERROR(INDEX(MASTER_JAM!$J$5:$O$12,MATCH($E600,MASTER_JAM!$I$5:$I$12,0),MATCH($J600,MASTER_JAM!$J$4:$O$4,0))+0,0)</f>
        <v/>
      </c>
      <c r="L600" s="159">
        <f>N($F600)*$K600</f>
        <v/>
      </c>
      <c r="M600" s="157">
        <f>IF($E600="","",IF(OR($E600="Coal",$E600="Dirty Coal"),"MT","BCM"))</f>
        <v/>
      </c>
      <c r="N600" s="157">
        <f>IF($E600="","",IF(OR($E600="Coal",$E600="Dirty Coal"),"Coal","OB"))</f>
        <v/>
      </c>
      <c r="O600" s="157">
        <f>IF($F600="","",IF(COUNTIF(MASTER_JAM!$A$5:$A$94,$C600)=0,"Digger tidak dikenal",IF($J600="","Hauler tidak dikenal",IF($H600="?","Jam salah",IF($K600=0,"Faktor kosong",IF(SUMIFS(INPUT_DELAY!$E$5:$E$20000,INPUT_DELAY!$A$5:$A$20000,$A600,INPUT_DELAY!$B$5:$B$20000,$B600,INPUT_DELAY!$C$5:$C$20000,$C600)+SUMIFS(INPUT_DELAY!$E$5:$E$20000,INPUT_DELAY!$A$5:$A$20000,$A600,INPUT_DELAY!$B$5:$B$20000,$B600,INPUT_DELAY!$C$5:$C$20000,"SEMUA")&gt;=60,"Delay 60 mnt tapi ada ritase","OK"))))))</f>
        <v/>
      </c>
      <c r="P600" s="158">
        <f>IFERROR(INDEX(MASTER_JAM!$Z$5:$AC$10,MATCH($I600,MASTER_JAM!$Y$5:$Y$10,0),MATCH($J600,MASTER_JAM!$Z$4:$AC$4,0))+0,0)</f>
        <v/>
      </c>
      <c r="Q600" s="158">
        <f>IF($P600=0,0,$P600+IFERROR(INDEX(MASTER_JAM!$H$5:$H$94,MATCH($C600,MASTER_JAM!$A$5:$A$94,0))+0,MASTER_JAM!$AC$15)/1000*(60/MASTER_JAM!$AC$12+60/MASTER_JAM!$AC$13)+MASTER_JAM!$AC$14)</f>
        <v/>
      </c>
      <c r="R600" s="158">
        <f>IF(N($F600)=0,0,$F600/SUMIFS(INPUT_RITASE!$F$5:$F$20000,INPUT_RITASE!$A$5:$A$20000,$A600,INPUT_RITASE!$B$5:$B$20000,$B600,INPUT_RITASE!$C$5:$C$20000,$C600,INPUT_RITASE!$D$5:$D$20000,$D600))</f>
        <v/>
      </c>
      <c r="S600" s="158">
        <f>IF($Q600=0,0,$R600*$P600/$Q600)</f>
        <v/>
      </c>
    </row>
    <row r="601">
      <c r="A601" s="155" t="n">
        <v>46105</v>
      </c>
      <c r="B601" s="156" t="inlineStr">
        <is>
          <t>04-05</t>
        </is>
      </c>
      <c r="C601" s="156" t="inlineStr">
        <is>
          <t>EX-755</t>
        </is>
      </c>
      <c r="D601" s="156" t="inlineStr">
        <is>
          <t>DT-508</t>
        </is>
      </c>
      <c r="E601" s="156" t="inlineStr">
        <is>
          <t>OB</t>
        </is>
      </c>
      <c r="F601" s="156" t="n">
        <v>3</v>
      </c>
      <c r="G601" s="156" t="inlineStr"/>
      <c r="H601" s="157">
        <f>IF($B601="","",IF(ISNA(MATCH($B601,MASTER_JAM!$Q$5:$Q$28,0)),"?",IF(MATCH($B601,MASTER_JAM!$Q$5:$Q$28,0)&lt;=12,"DS","NS")))</f>
        <v/>
      </c>
      <c r="I601" s="157">
        <f>IFERROR(INDEX(MASTER_JAM!$B$5:$B$94,MATCH($C601,MASTER_JAM!$A$5:$A$94,0)),"")</f>
        <v/>
      </c>
      <c r="J601" s="157">
        <f>IFERROR(INDEX(MASTER_JAM!$E$5:$E$94,MATCH($D601,MASTER_JAM!$A$5:$A$94,0)),"")</f>
        <v/>
      </c>
      <c r="K601" s="158">
        <f>IFERROR(INDEX(MASTER_JAM!$J$5:$O$12,MATCH($E601,MASTER_JAM!$I$5:$I$12,0),MATCH($J601,MASTER_JAM!$J$4:$O$4,0))+0,0)</f>
        <v/>
      </c>
      <c r="L601" s="159">
        <f>N($F601)*$K601</f>
        <v/>
      </c>
      <c r="M601" s="157">
        <f>IF($E601="","",IF(OR($E601="Coal",$E601="Dirty Coal"),"MT","BCM"))</f>
        <v/>
      </c>
      <c r="N601" s="157">
        <f>IF($E601="","",IF(OR($E601="Coal",$E601="Dirty Coal"),"Coal","OB"))</f>
        <v/>
      </c>
      <c r="O601" s="157">
        <f>IF($F601="","",IF(COUNTIF(MASTER_JAM!$A$5:$A$94,$C601)=0,"Digger tidak dikenal",IF($J601="","Hauler tidak dikenal",IF($H601="?","Jam salah",IF($K601=0,"Faktor kosong",IF(SUMIFS(INPUT_DELAY!$E$5:$E$20000,INPUT_DELAY!$A$5:$A$20000,$A601,INPUT_DELAY!$B$5:$B$20000,$B601,INPUT_DELAY!$C$5:$C$20000,$C601)+SUMIFS(INPUT_DELAY!$E$5:$E$20000,INPUT_DELAY!$A$5:$A$20000,$A601,INPUT_DELAY!$B$5:$B$20000,$B601,INPUT_DELAY!$C$5:$C$20000,"SEMUA")&gt;=60,"Delay 60 mnt tapi ada ritase","OK"))))))</f>
        <v/>
      </c>
      <c r="P601" s="158">
        <f>IFERROR(INDEX(MASTER_JAM!$Z$5:$AC$10,MATCH($I601,MASTER_JAM!$Y$5:$Y$10,0),MATCH($J601,MASTER_JAM!$Z$4:$AC$4,0))+0,0)</f>
        <v/>
      </c>
      <c r="Q601" s="158">
        <f>IF($P601=0,0,$P601+IFERROR(INDEX(MASTER_JAM!$H$5:$H$94,MATCH($C601,MASTER_JAM!$A$5:$A$94,0))+0,MASTER_JAM!$AC$15)/1000*(60/MASTER_JAM!$AC$12+60/MASTER_JAM!$AC$13)+MASTER_JAM!$AC$14)</f>
        <v/>
      </c>
      <c r="R601" s="158">
        <f>IF(N($F601)=0,0,$F601/SUMIFS(INPUT_RITASE!$F$5:$F$20000,INPUT_RITASE!$A$5:$A$20000,$A601,INPUT_RITASE!$B$5:$B$20000,$B601,INPUT_RITASE!$C$5:$C$20000,$C601,INPUT_RITASE!$D$5:$D$20000,$D601))</f>
        <v/>
      </c>
      <c r="S601" s="158">
        <f>IF($Q601=0,0,$R601*$P601/$Q601)</f>
        <v/>
      </c>
    </row>
    <row r="602">
      <c r="A602" s="155" t="n">
        <v>46105</v>
      </c>
      <c r="B602" s="156" t="inlineStr">
        <is>
          <t>04-05</t>
        </is>
      </c>
      <c r="C602" s="156" t="inlineStr">
        <is>
          <t>EX-755</t>
        </is>
      </c>
      <c r="D602" s="156" t="inlineStr">
        <is>
          <t>DT-505</t>
        </is>
      </c>
      <c r="E602" s="156" t="inlineStr">
        <is>
          <t>OB</t>
        </is>
      </c>
      <c r="F602" s="156" t="n">
        <v>3</v>
      </c>
      <c r="G602" s="156" t="inlineStr"/>
      <c r="H602" s="157">
        <f>IF($B602="","",IF(ISNA(MATCH($B602,MASTER_JAM!$Q$5:$Q$28,0)),"?",IF(MATCH($B602,MASTER_JAM!$Q$5:$Q$28,0)&lt;=12,"DS","NS")))</f>
        <v/>
      </c>
      <c r="I602" s="157">
        <f>IFERROR(INDEX(MASTER_JAM!$B$5:$B$94,MATCH($C602,MASTER_JAM!$A$5:$A$94,0)),"")</f>
        <v/>
      </c>
      <c r="J602" s="157">
        <f>IFERROR(INDEX(MASTER_JAM!$E$5:$E$94,MATCH($D602,MASTER_JAM!$A$5:$A$94,0)),"")</f>
        <v/>
      </c>
      <c r="K602" s="158">
        <f>IFERROR(INDEX(MASTER_JAM!$J$5:$O$12,MATCH($E602,MASTER_JAM!$I$5:$I$12,0),MATCH($J602,MASTER_JAM!$J$4:$O$4,0))+0,0)</f>
        <v/>
      </c>
      <c r="L602" s="159">
        <f>N($F602)*$K602</f>
        <v/>
      </c>
      <c r="M602" s="157">
        <f>IF($E602="","",IF(OR($E602="Coal",$E602="Dirty Coal"),"MT","BCM"))</f>
        <v/>
      </c>
      <c r="N602" s="157">
        <f>IF($E602="","",IF(OR($E602="Coal",$E602="Dirty Coal"),"Coal","OB"))</f>
        <v/>
      </c>
      <c r="O602" s="157">
        <f>IF($F602="","",IF(COUNTIF(MASTER_JAM!$A$5:$A$94,$C602)=0,"Digger tidak dikenal",IF($J602="","Hauler tidak dikenal",IF($H602="?","Jam salah",IF($K602=0,"Faktor kosong",IF(SUMIFS(INPUT_DELAY!$E$5:$E$20000,INPUT_DELAY!$A$5:$A$20000,$A602,INPUT_DELAY!$B$5:$B$20000,$B602,INPUT_DELAY!$C$5:$C$20000,$C602)+SUMIFS(INPUT_DELAY!$E$5:$E$20000,INPUT_DELAY!$A$5:$A$20000,$A602,INPUT_DELAY!$B$5:$B$20000,$B602,INPUT_DELAY!$C$5:$C$20000,"SEMUA")&gt;=60,"Delay 60 mnt tapi ada ritase","OK"))))))</f>
        <v/>
      </c>
      <c r="P602" s="158">
        <f>IFERROR(INDEX(MASTER_JAM!$Z$5:$AC$10,MATCH($I602,MASTER_JAM!$Y$5:$Y$10,0),MATCH($J602,MASTER_JAM!$Z$4:$AC$4,0))+0,0)</f>
        <v/>
      </c>
      <c r="Q602" s="158">
        <f>IF($P602=0,0,$P602+IFERROR(INDEX(MASTER_JAM!$H$5:$H$94,MATCH($C602,MASTER_JAM!$A$5:$A$94,0))+0,MASTER_JAM!$AC$15)/1000*(60/MASTER_JAM!$AC$12+60/MASTER_JAM!$AC$13)+MASTER_JAM!$AC$14)</f>
        <v/>
      </c>
      <c r="R602" s="158">
        <f>IF(N($F602)=0,0,$F602/SUMIFS(INPUT_RITASE!$F$5:$F$20000,INPUT_RITASE!$A$5:$A$20000,$A602,INPUT_RITASE!$B$5:$B$20000,$B602,INPUT_RITASE!$C$5:$C$20000,$C602,INPUT_RITASE!$D$5:$D$20000,$D602))</f>
        <v/>
      </c>
      <c r="S602" s="158">
        <f>IF($Q602=0,0,$R602*$P602/$Q602)</f>
        <v/>
      </c>
    </row>
    <row r="603">
      <c r="A603" s="155" t="n">
        <v>46105</v>
      </c>
      <c r="B603" s="156" t="inlineStr">
        <is>
          <t>18-19</t>
        </is>
      </c>
      <c r="C603" s="156" t="inlineStr">
        <is>
          <t>EX-753</t>
        </is>
      </c>
      <c r="D603" s="156" t="inlineStr">
        <is>
          <t>DT-521</t>
        </is>
      </c>
      <c r="E603" s="156" t="inlineStr">
        <is>
          <t>OB</t>
        </is>
      </c>
      <c r="F603" s="156" t="n">
        <v>4</v>
      </c>
      <c r="G603" s="156" t="inlineStr"/>
      <c r="H603" s="157">
        <f>IF($B603="","",IF(ISNA(MATCH($B603,MASTER_JAM!$Q$5:$Q$28,0)),"?",IF(MATCH($B603,MASTER_JAM!$Q$5:$Q$28,0)&lt;=12,"DS","NS")))</f>
        <v/>
      </c>
      <c r="I603" s="157">
        <f>IFERROR(INDEX(MASTER_JAM!$B$5:$B$94,MATCH($C603,MASTER_JAM!$A$5:$A$94,0)),"")</f>
        <v/>
      </c>
      <c r="J603" s="157">
        <f>IFERROR(INDEX(MASTER_JAM!$E$5:$E$94,MATCH($D603,MASTER_JAM!$A$5:$A$94,0)),"")</f>
        <v/>
      </c>
      <c r="K603" s="158">
        <f>IFERROR(INDEX(MASTER_JAM!$J$5:$O$12,MATCH($E603,MASTER_JAM!$I$5:$I$12,0),MATCH($J603,MASTER_JAM!$J$4:$O$4,0))+0,0)</f>
        <v/>
      </c>
      <c r="L603" s="159">
        <f>N($F603)*$K603</f>
        <v/>
      </c>
      <c r="M603" s="157">
        <f>IF($E603="","",IF(OR($E603="Coal",$E603="Dirty Coal"),"MT","BCM"))</f>
        <v/>
      </c>
      <c r="N603" s="157">
        <f>IF($E603="","",IF(OR($E603="Coal",$E603="Dirty Coal"),"Coal","OB"))</f>
        <v/>
      </c>
      <c r="O603" s="157">
        <f>IF($F603="","",IF(COUNTIF(MASTER_JAM!$A$5:$A$94,$C603)=0,"Digger tidak dikenal",IF($J603="","Hauler tidak dikenal",IF($H603="?","Jam salah",IF($K603=0,"Faktor kosong",IF(SUMIFS(INPUT_DELAY!$E$5:$E$20000,INPUT_DELAY!$A$5:$A$20000,$A603,INPUT_DELAY!$B$5:$B$20000,$B603,INPUT_DELAY!$C$5:$C$20000,$C603)+SUMIFS(INPUT_DELAY!$E$5:$E$20000,INPUT_DELAY!$A$5:$A$20000,$A603,INPUT_DELAY!$B$5:$B$20000,$B603,INPUT_DELAY!$C$5:$C$20000,"SEMUA")&gt;=60,"Delay 60 mnt tapi ada ritase","OK"))))))</f>
        <v/>
      </c>
      <c r="P603" s="158">
        <f>IFERROR(INDEX(MASTER_JAM!$Z$5:$AC$10,MATCH($I603,MASTER_JAM!$Y$5:$Y$10,0),MATCH($J603,MASTER_JAM!$Z$4:$AC$4,0))+0,0)</f>
        <v/>
      </c>
      <c r="Q603" s="158">
        <f>IF($P603=0,0,$P603+IFERROR(INDEX(MASTER_JAM!$H$5:$H$94,MATCH($C603,MASTER_JAM!$A$5:$A$94,0))+0,MASTER_JAM!$AC$15)/1000*(60/MASTER_JAM!$AC$12+60/MASTER_JAM!$AC$13)+MASTER_JAM!$AC$14)</f>
        <v/>
      </c>
      <c r="R603" s="158">
        <f>IF(N($F603)=0,0,$F603/SUMIFS(INPUT_RITASE!$F$5:$F$20000,INPUT_RITASE!$A$5:$A$20000,$A603,INPUT_RITASE!$B$5:$B$20000,$B603,INPUT_RITASE!$C$5:$C$20000,$C603,INPUT_RITASE!$D$5:$D$20000,$D603))</f>
        <v/>
      </c>
      <c r="S603" s="158">
        <f>IF($Q603=0,0,$R603*$P603/$Q603)</f>
        <v/>
      </c>
    </row>
    <row r="604">
      <c r="A604" s="155" t="n">
        <v>46105</v>
      </c>
      <c r="B604" s="156" t="inlineStr">
        <is>
          <t>18-19</t>
        </is>
      </c>
      <c r="C604" s="156" t="inlineStr">
        <is>
          <t>EX-753</t>
        </is>
      </c>
      <c r="D604" s="156" t="inlineStr">
        <is>
          <t>DT-522</t>
        </is>
      </c>
      <c r="E604" s="156" t="inlineStr">
        <is>
          <t>OB</t>
        </is>
      </c>
      <c r="F604" s="156" t="n">
        <v>4</v>
      </c>
      <c r="G604" s="156" t="inlineStr"/>
      <c r="H604" s="157">
        <f>IF($B604="","",IF(ISNA(MATCH($B604,MASTER_JAM!$Q$5:$Q$28,0)),"?",IF(MATCH($B604,MASTER_JAM!$Q$5:$Q$28,0)&lt;=12,"DS","NS")))</f>
        <v/>
      </c>
      <c r="I604" s="157">
        <f>IFERROR(INDEX(MASTER_JAM!$B$5:$B$94,MATCH($C604,MASTER_JAM!$A$5:$A$94,0)),"")</f>
        <v/>
      </c>
      <c r="J604" s="157">
        <f>IFERROR(INDEX(MASTER_JAM!$E$5:$E$94,MATCH($D604,MASTER_JAM!$A$5:$A$94,0)),"")</f>
        <v/>
      </c>
      <c r="K604" s="158">
        <f>IFERROR(INDEX(MASTER_JAM!$J$5:$O$12,MATCH($E604,MASTER_JAM!$I$5:$I$12,0),MATCH($J604,MASTER_JAM!$J$4:$O$4,0))+0,0)</f>
        <v/>
      </c>
      <c r="L604" s="159">
        <f>N($F604)*$K604</f>
        <v/>
      </c>
      <c r="M604" s="157">
        <f>IF($E604="","",IF(OR($E604="Coal",$E604="Dirty Coal"),"MT","BCM"))</f>
        <v/>
      </c>
      <c r="N604" s="157">
        <f>IF($E604="","",IF(OR($E604="Coal",$E604="Dirty Coal"),"Coal","OB"))</f>
        <v/>
      </c>
      <c r="O604" s="157">
        <f>IF($F604="","",IF(COUNTIF(MASTER_JAM!$A$5:$A$94,$C604)=0,"Digger tidak dikenal",IF($J604="","Hauler tidak dikenal",IF($H604="?","Jam salah",IF($K604=0,"Faktor kosong",IF(SUMIFS(INPUT_DELAY!$E$5:$E$20000,INPUT_DELAY!$A$5:$A$20000,$A604,INPUT_DELAY!$B$5:$B$20000,$B604,INPUT_DELAY!$C$5:$C$20000,$C604)+SUMIFS(INPUT_DELAY!$E$5:$E$20000,INPUT_DELAY!$A$5:$A$20000,$A604,INPUT_DELAY!$B$5:$B$20000,$B604,INPUT_DELAY!$C$5:$C$20000,"SEMUA")&gt;=60,"Delay 60 mnt tapi ada ritase","OK"))))))</f>
        <v/>
      </c>
      <c r="P604" s="158">
        <f>IFERROR(INDEX(MASTER_JAM!$Z$5:$AC$10,MATCH($I604,MASTER_JAM!$Y$5:$Y$10,0),MATCH($J604,MASTER_JAM!$Z$4:$AC$4,0))+0,0)</f>
        <v/>
      </c>
      <c r="Q604" s="158">
        <f>IF($P604=0,0,$P604+IFERROR(INDEX(MASTER_JAM!$H$5:$H$94,MATCH($C604,MASTER_JAM!$A$5:$A$94,0))+0,MASTER_JAM!$AC$15)/1000*(60/MASTER_JAM!$AC$12+60/MASTER_JAM!$AC$13)+MASTER_JAM!$AC$14)</f>
        <v/>
      </c>
      <c r="R604" s="158">
        <f>IF(N($F604)=0,0,$F604/SUMIFS(INPUT_RITASE!$F$5:$F$20000,INPUT_RITASE!$A$5:$A$20000,$A604,INPUT_RITASE!$B$5:$B$20000,$B604,INPUT_RITASE!$C$5:$C$20000,$C604,INPUT_RITASE!$D$5:$D$20000,$D604))</f>
        <v/>
      </c>
      <c r="S604" s="158">
        <f>IF($Q604=0,0,$R604*$P604/$Q604)</f>
        <v/>
      </c>
    </row>
    <row r="605">
      <c r="A605" s="155" t="n">
        <v>46105</v>
      </c>
      <c r="B605" s="156" t="inlineStr">
        <is>
          <t>18-19</t>
        </is>
      </c>
      <c r="C605" s="156" t="inlineStr">
        <is>
          <t>EX-753</t>
        </is>
      </c>
      <c r="D605" s="156" t="inlineStr">
        <is>
          <t>DT-517</t>
        </is>
      </c>
      <c r="E605" s="156" t="inlineStr">
        <is>
          <t>OB</t>
        </is>
      </c>
      <c r="F605" s="156" t="n">
        <v>4</v>
      </c>
      <c r="G605" s="156" t="inlineStr"/>
      <c r="H605" s="157">
        <f>IF($B605="","",IF(ISNA(MATCH($B605,MASTER_JAM!$Q$5:$Q$28,0)),"?",IF(MATCH($B605,MASTER_JAM!$Q$5:$Q$28,0)&lt;=12,"DS","NS")))</f>
        <v/>
      </c>
      <c r="I605" s="157">
        <f>IFERROR(INDEX(MASTER_JAM!$B$5:$B$94,MATCH($C605,MASTER_JAM!$A$5:$A$94,0)),"")</f>
        <v/>
      </c>
      <c r="J605" s="157">
        <f>IFERROR(INDEX(MASTER_JAM!$E$5:$E$94,MATCH($D605,MASTER_JAM!$A$5:$A$94,0)),"")</f>
        <v/>
      </c>
      <c r="K605" s="158">
        <f>IFERROR(INDEX(MASTER_JAM!$J$5:$O$12,MATCH($E605,MASTER_JAM!$I$5:$I$12,0),MATCH($J605,MASTER_JAM!$J$4:$O$4,0))+0,0)</f>
        <v/>
      </c>
      <c r="L605" s="159">
        <f>N($F605)*$K605</f>
        <v/>
      </c>
      <c r="M605" s="157">
        <f>IF($E605="","",IF(OR($E605="Coal",$E605="Dirty Coal"),"MT","BCM"))</f>
        <v/>
      </c>
      <c r="N605" s="157">
        <f>IF($E605="","",IF(OR($E605="Coal",$E605="Dirty Coal"),"Coal","OB"))</f>
        <v/>
      </c>
      <c r="O605" s="157">
        <f>IF($F605="","",IF(COUNTIF(MASTER_JAM!$A$5:$A$94,$C605)=0,"Digger tidak dikenal",IF($J605="","Hauler tidak dikenal",IF($H605="?","Jam salah",IF($K605=0,"Faktor kosong",IF(SUMIFS(INPUT_DELAY!$E$5:$E$20000,INPUT_DELAY!$A$5:$A$20000,$A605,INPUT_DELAY!$B$5:$B$20000,$B605,INPUT_DELAY!$C$5:$C$20000,$C605)+SUMIFS(INPUT_DELAY!$E$5:$E$20000,INPUT_DELAY!$A$5:$A$20000,$A605,INPUT_DELAY!$B$5:$B$20000,$B605,INPUT_DELAY!$C$5:$C$20000,"SEMUA")&gt;=60,"Delay 60 mnt tapi ada ritase","OK"))))))</f>
        <v/>
      </c>
      <c r="P605" s="158">
        <f>IFERROR(INDEX(MASTER_JAM!$Z$5:$AC$10,MATCH($I605,MASTER_JAM!$Y$5:$Y$10,0),MATCH($J605,MASTER_JAM!$Z$4:$AC$4,0))+0,0)</f>
        <v/>
      </c>
      <c r="Q605" s="158">
        <f>IF($P605=0,0,$P605+IFERROR(INDEX(MASTER_JAM!$H$5:$H$94,MATCH($C605,MASTER_JAM!$A$5:$A$94,0))+0,MASTER_JAM!$AC$15)/1000*(60/MASTER_JAM!$AC$12+60/MASTER_JAM!$AC$13)+MASTER_JAM!$AC$14)</f>
        <v/>
      </c>
      <c r="R605" s="158">
        <f>IF(N($F605)=0,0,$F605/SUMIFS(INPUT_RITASE!$F$5:$F$20000,INPUT_RITASE!$A$5:$A$20000,$A605,INPUT_RITASE!$B$5:$B$20000,$B605,INPUT_RITASE!$C$5:$C$20000,$C605,INPUT_RITASE!$D$5:$D$20000,$D605))</f>
        <v/>
      </c>
      <c r="S605" s="158">
        <f>IF($Q605=0,0,$R605*$P605/$Q605)</f>
        <v/>
      </c>
    </row>
    <row r="606">
      <c r="A606" s="155" t="n">
        <v>46105</v>
      </c>
      <c r="B606" s="156" t="inlineStr">
        <is>
          <t>18-19</t>
        </is>
      </c>
      <c r="C606" s="156" t="inlineStr">
        <is>
          <t>EX-753</t>
        </is>
      </c>
      <c r="D606" s="156" t="inlineStr">
        <is>
          <t>DT-527</t>
        </is>
      </c>
      <c r="E606" s="156" t="inlineStr">
        <is>
          <t>OB</t>
        </is>
      </c>
      <c r="F606" s="156" t="n">
        <v>3</v>
      </c>
      <c r="G606" s="156" t="inlineStr"/>
      <c r="H606" s="157">
        <f>IF($B606="","",IF(ISNA(MATCH($B606,MASTER_JAM!$Q$5:$Q$28,0)),"?",IF(MATCH($B606,MASTER_JAM!$Q$5:$Q$28,0)&lt;=12,"DS","NS")))</f>
        <v/>
      </c>
      <c r="I606" s="157">
        <f>IFERROR(INDEX(MASTER_JAM!$B$5:$B$94,MATCH($C606,MASTER_JAM!$A$5:$A$94,0)),"")</f>
        <v/>
      </c>
      <c r="J606" s="157">
        <f>IFERROR(INDEX(MASTER_JAM!$E$5:$E$94,MATCH($D606,MASTER_JAM!$A$5:$A$94,0)),"")</f>
        <v/>
      </c>
      <c r="K606" s="158">
        <f>IFERROR(INDEX(MASTER_JAM!$J$5:$O$12,MATCH($E606,MASTER_JAM!$I$5:$I$12,0),MATCH($J606,MASTER_JAM!$J$4:$O$4,0))+0,0)</f>
        <v/>
      </c>
      <c r="L606" s="159">
        <f>N($F606)*$K606</f>
        <v/>
      </c>
      <c r="M606" s="157">
        <f>IF($E606="","",IF(OR($E606="Coal",$E606="Dirty Coal"),"MT","BCM"))</f>
        <v/>
      </c>
      <c r="N606" s="157">
        <f>IF($E606="","",IF(OR($E606="Coal",$E606="Dirty Coal"),"Coal","OB"))</f>
        <v/>
      </c>
      <c r="O606" s="157">
        <f>IF($F606="","",IF(COUNTIF(MASTER_JAM!$A$5:$A$94,$C606)=0,"Digger tidak dikenal",IF($J606="","Hauler tidak dikenal",IF($H606="?","Jam salah",IF($K606=0,"Faktor kosong",IF(SUMIFS(INPUT_DELAY!$E$5:$E$20000,INPUT_DELAY!$A$5:$A$20000,$A606,INPUT_DELAY!$B$5:$B$20000,$B606,INPUT_DELAY!$C$5:$C$20000,$C606)+SUMIFS(INPUT_DELAY!$E$5:$E$20000,INPUT_DELAY!$A$5:$A$20000,$A606,INPUT_DELAY!$B$5:$B$20000,$B606,INPUT_DELAY!$C$5:$C$20000,"SEMUA")&gt;=60,"Delay 60 mnt tapi ada ritase","OK"))))))</f>
        <v/>
      </c>
      <c r="P606" s="158">
        <f>IFERROR(INDEX(MASTER_JAM!$Z$5:$AC$10,MATCH($I606,MASTER_JAM!$Y$5:$Y$10,0),MATCH($J606,MASTER_JAM!$Z$4:$AC$4,0))+0,0)</f>
        <v/>
      </c>
      <c r="Q606" s="158">
        <f>IF($P606=0,0,$P606+IFERROR(INDEX(MASTER_JAM!$H$5:$H$94,MATCH($C606,MASTER_JAM!$A$5:$A$94,0))+0,MASTER_JAM!$AC$15)/1000*(60/MASTER_JAM!$AC$12+60/MASTER_JAM!$AC$13)+MASTER_JAM!$AC$14)</f>
        <v/>
      </c>
      <c r="R606" s="158">
        <f>IF(N($F606)=0,0,$F606/SUMIFS(INPUT_RITASE!$F$5:$F$20000,INPUT_RITASE!$A$5:$A$20000,$A606,INPUT_RITASE!$B$5:$B$20000,$B606,INPUT_RITASE!$C$5:$C$20000,$C606,INPUT_RITASE!$D$5:$D$20000,$D606))</f>
        <v/>
      </c>
      <c r="S606" s="158">
        <f>IF($Q606=0,0,$R606*$P606/$Q606)</f>
        <v/>
      </c>
    </row>
    <row r="607">
      <c r="A607" s="155" t="n">
        <v>46105</v>
      </c>
      <c r="B607" s="156" t="inlineStr">
        <is>
          <t>19-20</t>
        </is>
      </c>
      <c r="C607" s="156" t="inlineStr">
        <is>
          <t>EX-753</t>
        </is>
      </c>
      <c r="D607" s="156" t="inlineStr">
        <is>
          <t>DT-501</t>
        </is>
      </c>
      <c r="E607" s="156" t="inlineStr">
        <is>
          <t>OB</t>
        </is>
      </c>
      <c r="F607" s="156" t="n">
        <v>4</v>
      </c>
      <c r="G607" s="156" t="inlineStr"/>
      <c r="H607" s="157">
        <f>IF($B607="","",IF(ISNA(MATCH($B607,MASTER_JAM!$Q$5:$Q$28,0)),"?",IF(MATCH($B607,MASTER_JAM!$Q$5:$Q$28,0)&lt;=12,"DS","NS")))</f>
        <v/>
      </c>
      <c r="I607" s="157">
        <f>IFERROR(INDEX(MASTER_JAM!$B$5:$B$94,MATCH($C607,MASTER_JAM!$A$5:$A$94,0)),"")</f>
        <v/>
      </c>
      <c r="J607" s="157">
        <f>IFERROR(INDEX(MASTER_JAM!$E$5:$E$94,MATCH($D607,MASTER_JAM!$A$5:$A$94,0)),"")</f>
        <v/>
      </c>
      <c r="K607" s="158">
        <f>IFERROR(INDEX(MASTER_JAM!$J$5:$O$12,MATCH($E607,MASTER_JAM!$I$5:$I$12,0),MATCH($J607,MASTER_JAM!$J$4:$O$4,0))+0,0)</f>
        <v/>
      </c>
      <c r="L607" s="159">
        <f>N($F607)*$K607</f>
        <v/>
      </c>
      <c r="M607" s="157">
        <f>IF($E607="","",IF(OR($E607="Coal",$E607="Dirty Coal"),"MT","BCM"))</f>
        <v/>
      </c>
      <c r="N607" s="157">
        <f>IF($E607="","",IF(OR($E607="Coal",$E607="Dirty Coal"),"Coal","OB"))</f>
        <v/>
      </c>
      <c r="O607" s="157">
        <f>IF($F607="","",IF(COUNTIF(MASTER_JAM!$A$5:$A$94,$C607)=0,"Digger tidak dikenal",IF($J607="","Hauler tidak dikenal",IF($H607="?","Jam salah",IF($K607=0,"Faktor kosong",IF(SUMIFS(INPUT_DELAY!$E$5:$E$20000,INPUT_DELAY!$A$5:$A$20000,$A607,INPUT_DELAY!$B$5:$B$20000,$B607,INPUT_DELAY!$C$5:$C$20000,$C607)+SUMIFS(INPUT_DELAY!$E$5:$E$20000,INPUT_DELAY!$A$5:$A$20000,$A607,INPUT_DELAY!$B$5:$B$20000,$B607,INPUT_DELAY!$C$5:$C$20000,"SEMUA")&gt;=60,"Delay 60 mnt tapi ada ritase","OK"))))))</f>
        <v/>
      </c>
      <c r="P607" s="158">
        <f>IFERROR(INDEX(MASTER_JAM!$Z$5:$AC$10,MATCH($I607,MASTER_JAM!$Y$5:$Y$10,0),MATCH($J607,MASTER_JAM!$Z$4:$AC$4,0))+0,0)</f>
        <v/>
      </c>
      <c r="Q607" s="158">
        <f>IF($P607=0,0,$P607+IFERROR(INDEX(MASTER_JAM!$H$5:$H$94,MATCH($C607,MASTER_JAM!$A$5:$A$94,0))+0,MASTER_JAM!$AC$15)/1000*(60/MASTER_JAM!$AC$12+60/MASTER_JAM!$AC$13)+MASTER_JAM!$AC$14)</f>
        <v/>
      </c>
      <c r="R607" s="158">
        <f>IF(N($F607)=0,0,$F607/SUMIFS(INPUT_RITASE!$F$5:$F$20000,INPUT_RITASE!$A$5:$A$20000,$A607,INPUT_RITASE!$B$5:$B$20000,$B607,INPUT_RITASE!$C$5:$C$20000,$C607,INPUT_RITASE!$D$5:$D$20000,$D607))</f>
        <v/>
      </c>
      <c r="S607" s="158">
        <f>IF($Q607=0,0,$R607*$P607/$Q607)</f>
        <v/>
      </c>
    </row>
    <row r="608">
      <c r="A608" s="155" t="n">
        <v>46105</v>
      </c>
      <c r="B608" s="156" t="inlineStr">
        <is>
          <t>19-20</t>
        </is>
      </c>
      <c r="C608" s="156" t="inlineStr">
        <is>
          <t>EX-753</t>
        </is>
      </c>
      <c r="D608" s="156" t="inlineStr">
        <is>
          <t>DT-513</t>
        </is>
      </c>
      <c r="E608" s="156" t="inlineStr">
        <is>
          <t>OB</t>
        </is>
      </c>
      <c r="F608" s="156" t="n">
        <v>4</v>
      </c>
      <c r="G608" s="156" t="inlineStr"/>
      <c r="H608" s="157">
        <f>IF($B608="","",IF(ISNA(MATCH($B608,MASTER_JAM!$Q$5:$Q$28,0)),"?",IF(MATCH($B608,MASTER_JAM!$Q$5:$Q$28,0)&lt;=12,"DS","NS")))</f>
        <v/>
      </c>
      <c r="I608" s="157">
        <f>IFERROR(INDEX(MASTER_JAM!$B$5:$B$94,MATCH($C608,MASTER_JAM!$A$5:$A$94,0)),"")</f>
        <v/>
      </c>
      <c r="J608" s="157">
        <f>IFERROR(INDEX(MASTER_JAM!$E$5:$E$94,MATCH($D608,MASTER_JAM!$A$5:$A$94,0)),"")</f>
        <v/>
      </c>
      <c r="K608" s="158">
        <f>IFERROR(INDEX(MASTER_JAM!$J$5:$O$12,MATCH($E608,MASTER_JAM!$I$5:$I$12,0),MATCH($J608,MASTER_JAM!$J$4:$O$4,0))+0,0)</f>
        <v/>
      </c>
      <c r="L608" s="159">
        <f>N($F608)*$K608</f>
        <v/>
      </c>
      <c r="M608" s="157">
        <f>IF($E608="","",IF(OR($E608="Coal",$E608="Dirty Coal"),"MT","BCM"))</f>
        <v/>
      </c>
      <c r="N608" s="157">
        <f>IF($E608="","",IF(OR($E608="Coal",$E608="Dirty Coal"),"Coal","OB"))</f>
        <v/>
      </c>
      <c r="O608" s="157">
        <f>IF($F608="","",IF(COUNTIF(MASTER_JAM!$A$5:$A$94,$C608)=0,"Digger tidak dikenal",IF($J608="","Hauler tidak dikenal",IF($H608="?","Jam salah",IF($K608=0,"Faktor kosong",IF(SUMIFS(INPUT_DELAY!$E$5:$E$20000,INPUT_DELAY!$A$5:$A$20000,$A608,INPUT_DELAY!$B$5:$B$20000,$B608,INPUT_DELAY!$C$5:$C$20000,$C608)+SUMIFS(INPUT_DELAY!$E$5:$E$20000,INPUT_DELAY!$A$5:$A$20000,$A608,INPUT_DELAY!$B$5:$B$20000,$B608,INPUT_DELAY!$C$5:$C$20000,"SEMUA")&gt;=60,"Delay 60 mnt tapi ada ritase","OK"))))))</f>
        <v/>
      </c>
      <c r="P608" s="158">
        <f>IFERROR(INDEX(MASTER_JAM!$Z$5:$AC$10,MATCH($I608,MASTER_JAM!$Y$5:$Y$10,0),MATCH($J608,MASTER_JAM!$Z$4:$AC$4,0))+0,0)</f>
        <v/>
      </c>
      <c r="Q608" s="158">
        <f>IF($P608=0,0,$P608+IFERROR(INDEX(MASTER_JAM!$H$5:$H$94,MATCH($C608,MASTER_JAM!$A$5:$A$94,0))+0,MASTER_JAM!$AC$15)/1000*(60/MASTER_JAM!$AC$12+60/MASTER_JAM!$AC$13)+MASTER_JAM!$AC$14)</f>
        <v/>
      </c>
      <c r="R608" s="158">
        <f>IF(N($F608)=0,0,$F608/SUMIFS(INPUT_RITASE!$F$5:$F$20000,INPUT_RITASE!$A$5:$A$20000,$A608,INPUT_RITASE!$B$5:$B$20000,$B608,INPUT_RITASE!$C$5:$C$20000,$C608,INPUT_RITASE!$D$5:$D$20000,$D608))</f>
        <v/>
      </c>
      <c r="S608" s="158">
        <f>IF($Q608=0,0,$R608*$P608/$Q608)</f>
        <v/>
      </c>
    </row>
    <row r="609">
      <c r="A609" s="155" t="n">
        <v>46105</v>
      </c>
      <c r="B609" s="156" t="inlineStr">
        <is>
          <t>19-20</t>
        </is>
      </c>
      <c r="C609" s="156" t="inlineStr">
        <is>
          <t>EX-753</t>
        </is>
      </c>
      <c r="D609" s="156" t="inlineStr">
        <is>
          <t>DT-529</t>
        </is>
      </c>
      <c r="E609" s="156" t="inlineStr">
        <is>
          <t>OB</t>
        </is>
      </c>
      <c r="F609" s="156" t="n">
        <v>3</v>
      </c>
      <c r="G609" s="156" t="inlineStr"/>
      <c r="H609" s="157">
        <f>IF($B609="","",IF(ISNA(MATCH($B609,MASTER_JAM!$Q$5:$Q$28,0)),"?",IF(MATCH($B609,MASTER_JAM!$Q$5:$Q$28,0)&lt;=12,"DS","NS")))</f>
        <v/>
      </c>
      <c r="I609" s="157">
        <f>IFERROR(INDEX(MASTER_JAM!$B$5:$B$94,MATCH($C609,MASTER_JAM!$A$5:$A$94,0)),"")</f>
        <v/>
      </c>
      <c r="J609" s="157">
        <f>IFERROR(INDEX(MASTER_JAM!$E$5:$E$94,MATCH($D609,MASTER_JAM!$A$5:$A$94,0)),"")</f>
        <v/>
      </c>
      <c r="K609" s="158">
        <f>IFERROR(INDEX(MASTER_JAM!$J$5:$O$12,MATCH($E609,MASTER_JAM!$I$5:$I$12,0),MATCH($J609,MASTER_JAM!$J$4:$O$4,0))+0,0)</f>
        <v/>
      </c>
      <c r="L609" s="159">
        <f>N($F609)*$K609</f>
        <v/>
      </c>
      <c r="M609" s="157">
        <f>IF($E609="","",IF(OR($E609="Coal",$E609="Dirty Coal"),"MT","BCM"))</f>
        <v/>
      </c>
      <c r="N609" s="157">
        <f>IF($E609="","",IF(OR($E609="Coal",$E609="Dirty Coal"),"Coal","OB"))</f>
        <v/>
      </c>
      <c r="O609" s="157">
        <f>IF($F609="","",IF(COUNTIF(MASTER_JAM!$A$5:$A$94,$C609)=0,"Digger tidak dikenal",IF($J609="","Hauler tidak dikenal",IF($H609="?","Jam salah",IF($K609=0,"Faktor kosong",IF(SUMIFS(INPUT_DELAY!$E$5:$E$20000,INPUT_DELAY!$A$5:$A$20000,$A609,INPUT_DELAY!$B$5:$B$20000,$B609,INPUT_DELAY!$C$5:$C$20000,$C609)+SUMIFS(INPUT_DELAY!$E$5:$E$20000,INPUT_DELAY!$A$5:$A$20000,$A609,INPUT_DELAY!$B$5:$B$20000,$B609,INPUT_DELAY!$C$5:$C$20000,"SEMUA")&gt;=60,"Delay 60 mnt tapi ada ritase","OK"))))))</f>
        <v/>
      </c>
      <c r="P609" s="158">
        <f>IFERROR(INDEX(MASTER_JAM!$Z$5:$AC$10,MATCH($I609,MASTER_JAM!$Y$5:$Y$10,0),MATCH($J609,MASTER_JAM!$Z$4:$AC$4,0))+0,0)</f>
        <v/>
      </c>
      <c r="Q609" s="158">
        <f>IF($P609=0,0,$P609+IFERROR(INDEX(MASTER_JAM!$H$5:$H$94,MATCH($C609,MASTER_JAM!$A$5:$A$94,0))+0,MASTER_JAM!$AC$15)/1000*(60/MASTER_JAM!$AC$12+60/MASTER_JAM!$AC$13)+MASTER_JAM!$AC$14)</f>
        <v/>
      </c>
      <c r="R609" s="158">
        <f>IF(N($F609)=0,0,$F609/SUMIFS(INPUT_RITASE!$F$5:$F$20000,INPUT_RITASE!$A$5:$A$20000,$A609,INPUT_RITASE!$B$5:$B$20000,$B609,INPUT_RITASE!$C$5:$C$20000,$C609,INPUT_RITASE!$D$5:$D$20000,$D609))</f>
        <v/>
      </c>
      <c r="S609" s="158">
        <f>IF($Q609=0,0,$R609*$P609/$Q609)</f>
        <v/>
      </c>
    </row>
    <row r="610">
      <c r="A610" s="155" t="n">
        <v>46105</v>
      </c>
      <c r="B610" s="156" t="inlineStr">
        <is>
          <t>19-20</t>
        </is>
      </c>
      <c r="C610" s="156" t="inlineStr">
        <is>
          <t>EX-753</t>
        </is>
      </c>
      <c r="D610" s="156" t="inlineStr">
        <is>
          <t>DT-521</t>
        </is>
      </c>
      <c r="E610" s="156" t="inlineStr">
        <is>
          <t>OB</t>
        </is>
      </c>
      <c r="F610" s="156" t="n">
        <v>3</v>
      </c>
      <c r="G610" s="156" t="inlineStr"/>
      <c r="H610" s="157">
        <f>IF($B610="","",IF(ISNA(MATCH($B610,MASTER_JAM!$Q$5:$Q$28,0)),"?",IF(MATCH($B610,MASTER_JAM!$Q$5:$Q$28,0)&lt;=12,"DS","NS")))</f>
        <v/>
      </c>
      <c r="I610" s="157">
        <f>IFERROR(INDEX(MASTER_JAM!$B$5:$B$94,MATCH($C610,MASTER_JAM!$A$5:$A$94,0)),"")</f>
        <v/>
      </c>
      <c r="J610" s="157">
        <f>IFERROR(INDEX(MASTER_JAM!$E$5:$E$94,MATCH($D610,MASTER_JAM!$A$5:$A$94,0)),"")</f>
        <v/>
      </c>
      <c r="K610" s="158">
        <f>IFERROR(INDEX(MASTER_JAM!$J$5:$O$12,MATCH($E610,MASTER_JAM!$I$5:$I$12,0),MATCH($J610,MASTER_JAM!$J$4:$O$4,0))+0,0)</f>
        <v/>
      </c>
      <c r="L610" s="159">
        <f>N($F610)*$K610</f>
        <v/>
      </c>
      <c r="M610" s="157">
        <f>IF($E610="","",IF(OR($E610="Coal",$E610="Dirty Coal"),"MT","BCM"))</f>
        <v/>
      </c>
      <c r="N610" s="157">
        <f>IF($E610="","",IF(OR($E610="Coal",$E610="Dirty Coal"),"Coal","OB"))</f>
        <v/>
      </c>
      <c r="O610" s="157">
        <f>IF($F610="","",IF(COUNTIF(MASTER_JAM!$A$5:$A$94,$C610)=0,"Digger tidak dikenal",IF($J610="","Hauler tidak dikenal",IF($H610="?","Jam salah",IF($K610=0,"Faktor kosong",IF(SUMIFS(INPUT_DELAY!$E$5:$E$20000,INPUT_DELAY!$A$5:$A$20000,$A610,INPUT_DELAY!$B$5:$B$20000,$B610,INPUT_DELAY!$C$5:$C$20000,$C610)+SUMIFS(INPUT_DELAY!$E$5:$E$20000,INPUT_DELAY!$A$5:$A$20000,$A610,INPUT_DELAY!$B$5:$B$20000,$B610,INPUT_DELAY!$C$5:$C$20000,"SEMUA")&gt;=60,"Delay 60 mnt tapi ada ritase","OK"))))))</f>
        <v/>
      </c>
      <c r="P610" s="158">
        <f>IFERROR(INDEX(MASTER_JAM!$Z$5:$AC$10,MATCH($I610,MASTER_JAM!$Y$5:$Y$10,0),MATCH($J610,MASTER_JAM!$Z$4:$AC$4,0))+0,0)</f>
        <v/>
      </c>
      <c r="Q610" s="158">
        <f>IF($P610=0,0,$P610+IFERROR(INDEX(MASTER_JAM!$H$5:$H$94,MATCH($C610,MASTER_JAM!$A$5:$A$94,0))+0,MASTER_JAM!$AC$15)/1000*(60/MASTER_JAM!$AC$12+60/MASTER_JAM!$AC$13)+MASTER_JAM!$AC$14)</f>
        <v/>
      </c>
      <c r="R610" s="158">
        <f>IF(N($F610)=0,0,$F610/SUMIFS(INPUT_RITASE!$F$5:$F$20000,INPUT_RITASE!$A$5:$A$20000,$A610,INPUT_RITASE!$B$5:$B$20000,$B610,INPUT_RITASE!$C$5:$C$20000,$C610,INPUT_RITASE!$D$5:$D$20000,$D610))</f>
        <v/>
      </c>
      <c r="S610" s="158">
        <f>IF($Q610=0,0,$R610*$P610/$Q610)</f>
        <v/>
      </c>
    </row>
    <row r="611">
      <c r="A611" s="155" t="n">
        <v>46105</v>
      </c>
      <c r="B611" s="156" t="inlineStr">
        <is>
          <t>20-21</t>
        </is>
      </c>
      <c r="C611" s="156" t="inlineStr">
        <is>
          <t>EX-753</t>
        </is>
      </c>
      <c r="D611" s="156" t="inlineStr">
        <is>
          <t>DT-526</t>
        </is>
      </c>
      <c r="E611" s="156" t="inlineStr">
        <is>
          <t>OB</t>
        </is>
      </c>
      <c r="F611" s="156" t="n">
        <v>4</v>
      </c>
      <c r="G611" s="156" t="inlineStr"/>
      <c r="H611" s="157">
        <f>IF($B611="","",IF(ISNA(MATCH($B611,MASTER_JAM!$Q$5:$Q$28,0)),"?",IF(MATCH($B611,MASTER_JAM!$Q$5:$Q$28,0)&lt;=12,"DS","NS")))</f>
        <v/>
      </c>
      <c r="I611" s="157">
        <f>IFERROR(INDEX(MASTER_JAM!$B$5:$B$94,MATCH($C611,MASTER_JAM!$A$5:$A$94,0)),"")</f>
        <v/>
      </c>
      <c r="J611" s="157">
        <f>IFERROR(INDEX(MASTER_JAM!$E$5:$E$94,MATCH($D611,MASTER_JAM!$A$5:$A$94,0)),"")</f>
        <v/>
      </c>
      <c r="K611" s="158">
        <f>IFERROR(INDEX(MASTER_JAM!$J$5:$O$12,MATCH($E611,MASTER_JAM!$I$5:$I$12,0),MATCH($J611,MASTER_JAM!$J$4:$O$4,0))+0,0)</f>
        <v/>
      </c>
      <c r="L611" s="159">
        <f>N($F611)*$K611</f>
        <v/>
      </c>
      <c r="M611" s="157">
        <f>IF($E611="","",IF(OR($E611="Coal",$E611="Dirty Coal"),"MT","BCM"))</f>
        <v/>
      </c>
      <c r="N611" s="157">
        <f>IF($E611="","",IF(OR($E611="Coal",$E611="Dirty Coal"),"Coal","OB"))</f>
        <v/>
      </c>
      <c r="O611" s="157">
        <f>IF($F611="","",IF(COUNTIF(MASTER_JAM!$A$5:$A$94,$C611)=0,"Digger tidak dikenal",IF($J611="","Hauler tidak dikenal",IF($H611="?","Jam salah",IF($K611=0,"Faktor kosong",IF(SUMIFS(INPUT_DELAY!$E$5:$E$20000,INPUT_DELAY!$A$5:$A$20000,$A611,INPUT_DELAY!$B$5:$B$20000,$B611,INPUT_DELAY!$C$5:$C$20000,$C611)+SUMIFS(INPUT_DELAY!$E$5:$E$20000,INPUT_DELAY!$A$5:$A$20000,$A611,INPUT_DELAY!$B$5:$B$20000,$B611,INPUT_DELAY!$C$5:$C$20000,"SEMUA")&gt;=60,"Delay 60 mnt tapi ada ritase","OK"))))))</f>
        <v/>
      </c>
      <c r="P611" s="158">
        <f>IFERROR(INDEX(MASTER_JAM!$Z$5:$AC$10,MATCH($I611,MASTER_JAM!$Y$5:$Y$10,0),MATCH($J611,MASTER_JAM!$Z$4:$AC$4,0))+0,0)</f>
        <v/>
      </c>
      <c r="Q611" s="158">
        <f>IF($P611=0,0,$P611+IFERROR(INDEX(MASTER_JAM!$H$5:$H$94,MATCH($C611,MASTER_JAM!$A$5:$A$94,0))+0,MASTER_JAM!$AC$15)/1000*(60/MASTER_JAM!$AC$12+60/MASTER_JAM!$AC$13)+MASTER_JAM!$AC$14)</f>
        <v/>
      </c>
      <c r="R611" s="158">
        <f>IF(N($F611)=0,0,$F611/SUMIFS(INPUT_RITASE!$F$5:$F$20000,INPUT_RITASE!$A$5:$A$20000,$A611,INPUT_RITASE!$B$5:$B$20000,$B611,INPUT_RITASE!$C$5:$C$20000,$C611,INPUT_RITASE!$D$5:$D$20000,$D611))</f>
        <v/>
      </c>
      <c r="S611" s="158">
        <f>IF($Q611=0,0,$R611*$P611/$Q611)</f>
        <v/>
      </c>
    </row>
    <row r="612">
      <c r="A612" s="155" t="n">
        <v>46105</v>
      </c>
      <c r="B612" s="156" t="inlineStr">
        <is>
          <t>20-21</t>
        </is>
      </c>
      <c r="C612" s="156" t="inlineStr">
        <is>
          <t>EX-753</t>
        </is>
      </c>
      <c r="D612" s="156" t="inlineStr">
        <is>
          <t>DT-528</t>
        </is>
      </c>
      <c r="E612" s="156" t="inlineStr">
        <is>
          <t>OB</t>
        </is>
      </c>
      <c r="F612" s="156" t="n">
        <v>4</v>
      </c>
      <c r="G612" s="156" t="inlineStr"/>
      <c r="H612" s="157">
        <f>IF($B612="","",IF(ISNA(MATCH($B612,MASTER_JAM!$Q$5:$Q$28,0)),"?",IF(MATCH($B612,MASTER_JAM!$Q$5:$Q$28,0)&lt;=12,"DS","NS")))</f>
        <v/>
      </c>
      <c r="I612" s="157">
        <f>IFERROR(INDEX(MASTER_JAM!$B$5:$B$94,MATCH($C612,MASTER_JAM!$A$5:$A$94,0)),"")</f>
        <v/>
      </c>
      <c r="J612" s="157">
        <f>IFERROR(INDEX(MASTER_JAM!$E$5:$E$94,MATCH($D612,MASTER_JAM!$A$5:$A$94,0)),"")</f>
        <v/>
      </c>
      <c r="K612" s="158">
        <f>IFERROR(INDEX(MASTER_JAM!$J$5:$O$12,MATCH($E612,MASTER_JAM!$I$5:$I$12,0),MATCH($J612,MASTER_JAM!$J$4:$O$4,0))+0,0)</f>
        <v/>
      </c>
      <c r="L612" s="159">
        <f>N($F612)*$K612</f>
        <v/>
      </c>
      <c r="M612" s="157">
        <f>IF($E612="","",IF(OR($E612="Coal",$E612="Dirty Coal"),"MT","BCM"))</f>
        <v/>
      </c>
      <c r="N612" s="157">
        <f>IF($E612="","",IF(OR($E612="Coal",$E612="Dirty Coal"),"Coal","OB"))</f>
        <v/>
      </c>
      <c r="O612" s="157">
        <f>IF($F612="","",IF(COUNTIF(MASTER_JAM!$A$5:$A$94,$C612)=0,"Digger tidak dikenal",IF($J612="","Hauler tidak dikenal",IF($H612="?","Jam salah",IF($K612=0,"Faktor kosong",IF(SUMIFS(INPUT_DELAY!$E$5:$E$20000,INPUT_DELAY!$A$5:$A$20000,$A612,INPUT_DELAY!$B$5:$B$20000,$B612,INPUT_DELAY!$C$5:$C$20000,$C612)+SUMIFS(INPUT_DELAY!$E$5:$E$20000,INPUT_DELAY!$A$5:$A$20000,$A612,INPUT_DELAY!$B$5:$B$20000,$B612,INPUT_DELAY!$C$5:$C$20000,"SEMUA")&gt;=60,"Delay 60 mnt tapi ada ritase","OK"))))))</f>
        <v/>
      </c>
      <c r="P612" s="158">
        <f>IFERROR(INDEX(MASTER_JAM!$Z$5:$AC$10,MATCH($I612,MASTER_JAM!$Y$5:$Y$10,0),MATCH($J612,MASTER_JAM!$Z$4:$AC$4,0))+0,0)</f>
        <v/>
      </c>
      <c r="Q612" s="158">
        <f>IF($P612=0,0,$P612+IFERROR(INDEX(MASTER_JAM!$H$5:$H$94,MATCH($C612,MASTER_JAM!$A$5:$A$94,0))+0,MASTER_JAM!$AC$15)/1000*(60/MASTER_JAM!$AC$12+60/MASTER_JAM!$AC$13)+MASTER_JAM!$AC$14)</f>
        <v/>
      </c>
      <c r="R612" s="158">
        <f>IF(N($F612)=0,0,$F612/SUMIFS(INPUT_RITASE!$F$5:$F$20000,INPUT_RITASE!$A$5:$A$20000,$A612,INPUT_RITASE!$B$5:$B$20000,$B612,INPUT_RITASE!$C$5:$C$20000,$C612,INPUT_RITASE!$D$5:$D$20000,$D612))</f>
        <v/>
      </c>
      <c r="S612" s="158">
        <f>IF($Q612=0,0,$R612*$P612/$Q612)</f>
        <v/>
      </c>
    </row>
    <row r="613">
      <c r="A613" s="155" t="n">
        <v>46105</v>
      </c>
      <c r="B613" s="156" t="inlineStr">
        <is>
          <t>20-21</t>
        </is>
      </c>
      <c r="C613" s="156" t="inlineStr">
        <is>
          <t>EX-753</t>
        </is>
      </c>
      <c r="D613" s="156" t="inlineStr">
        <is>
          <t>DT-502</t>
        </is>
      </c>
      <c r="E613" s="156" t="inlineStr">
        <is>
          <t>OB</t>
        </is>
      </c>
      <c r="F613" s="156" t="n">
        <v>4</v>
      </c>
      <c r="G613" s="156" t="inlineStr"/>
      <c r="H613" s="157">
        <f>IF($B613="","",IF(ISNA(MATCH($B613,MASTER_JAM!$Q$5:$Q$28,0)),"?",IF(MATCH($B613,MASTER_JAM!$Q$5:$Q$28,0)&lt;=12,"DS","NS")))</f>
        <v/>
      </c>
      <c r="I613" s="157">
        <f>IFERROR(INDEX(MASTER_JAM!$B$5:$B$94,MATCH($C613,MASTER_JAM!$A$5:$A$94,0)),"")</f>
        <v/>
      </c>
      <c r="J613" s="157">
        <f>IFERROR(INDEX(MASTER_JAM!$E$5:$E$94,MATCH($D613,MASTER_JAM!$A$5:$A$94,0)),"")</f>
        <v/>
      </c>
      <c r="K613" s="158">
        <f>IFERROR(INDEX(MASTER_JAM!$J$5:$O$12,MATCH($E613,MASTER_JAM!$I$5:$I$12,0),MATCH($J613,MASTER_JAM!$J$4:$O$4,0))+0,0)</f>
        <v/>
      </c>
      <c r="L613" s="159">
        <f>N($F613)*$K613</f>
        <v/>
      </c>
      <c r="M613" s="157">
        <f>IF($E613="","",IF(OR($E613="Coal",$E613="Dirty Coal"),"MT","BCM"))</f>
        <v/>
      </c>
      <c r="N613" s="157">
        <f>IF($E613="","",IF(OR($E613="Coal",$E613="Dirty Coal"),"Coal","OB"))</f>
        <v/>
      </c>
      <c r="O613" s="157">
        <f>IF($F613="","",IF(COUNTIF(MASTER_JAM!$A$5:$A$94,$C613)=0,"Digger tidak dikenal",IF($J613="","Hauler tidak dikenal",IF($H613="?","Jam salah",IF($K613=0,"Faktor kosong",IF(SUMIFS(INPUT_DELAY!$E$5:$E$20000,INPUT_DELAY!$A$5:$A$20000,$A613,INPUT_DELAY!$B$5:$B$20000,$B613,INPUT_DELAY!$C$5:$C$20000,$C613)+SUMIFS(INPUT_DELAY!$E$5:$E$20000,INPUT_DELAY!$A$5:$A$20000,$A613,INPUT_DELAY!$B$5:$B$20000,$B613,INPUT_DELAY!$C$5:$C$20000,"SEMUA")&gt;=60,"Delay 60 mnt tapi ada ritase","OK"))))))</f>
        <v/>
      </c>
      <c r="P613" s="158">
        <f>IFERROR(INDEX(MASTER_JAM!$Z$5:$AC$10,MATCH($I613,MASTER_JAM!$Y$5:$Y$10,0),MATCH($J613,MASTER_JAM!$Z$4:$AC$4,0))+0,0)</f>
        <v/>
      </c>
      <c r="Q613" s="158">
        <f>IF($P613=0,0,$P613+IFERROR(INDEX(MASTER_JAM!$H$5:$H$94,MATCH($C613,MASTER_JAM!$A$5:$A$94,0))+0,MASTER_JAM!$AC$15)/1000*(60/MASTER_JAM!$AC$12+60/MASTER_JAM!$AC$13)+MASTER_JAM!$AC$14)</f>
        <v/>
      </c>
      <c r="R613" s="158">
        <f>IF(N($F613)=0,0,$F613/SUMIFS(INPUT_RITASE!$F$5:$F$20000,INPUT_RITASE!$A$5:$A$20000,$A613,INPUT_RITASE!$B$5:$B$20000,$B613,INPUT_RITASE!$C$5:$C$20000,$C613,INPUT_RITASE!$D$5:$D$20000,$D613))</f>
        <v/>
      </c>
      <c r="S613" s="158">
        <f>IF($Q613=0,0,$R613*$P613/$Q613)</f>
        <v/>
      </c>
    </row>
    <row r="614">
      <c r="A614" s="155" t="n">
        <v>46105</v>
      </c>
      <c r="B614" s="156" t="inlineStr">
        <is>
          <t>20-21</t>
        </is>
      </c>
      <c r="C614" s="156" t="inlineStr">
        <is>
          <t>EX-753</t>
        </is>
      </c>
      <c r="D614" s="156" t="inlineStr">
        <is>
          <t>DT-512</t>
        </is>
      </c>
      <c r="E614" s="156" t="inlineStr">
        <is>
          <t>OB</t>
        </is>
      </c>
      <c r="F614" s="156" t="n">
        <v>3</v>
      </c>
      <c r="G614" s="156" t="inlineStr"/>
      <c r="H614" s="157">
        <f>IF($B614="","",IF(ISNA(MATCH($B614,MASTER_JAM!$Q$5:$Q$28,0)),"?",IF(MATCH($B614,MASTER_JAM!$Q$5:$Q$28,0)&lt;=12,"DS","NS")))</f>
        <v/>
      </c>
      <c r="I614" s="157">
        <f>IFERROR(INDEX(MASTER_JAM!$B$5:$B$94,MATCH($C614,MASTER_JAM!$A$5:$A$94,0)),"")</f>
        <v/>
      </c>
      <c r="J614" s="157">
        <f>IFERROR(INDEX(MASTER_JAM!$E$5:$E$94,MATCH($D614,MASTER_JAM!$A$5:$A$94,0)),"")</f>
        <v/>
      </c>
      <c r="K614" s="158">
        <f>IFERROR(INDEX(MASTER_JAM!$J$5:$O$12,MATCH($E614,MASTER_JAM!$I$5:$I$12,0),MATCH($J614,MASTER_JAM!$J$4:$O$4,0))+0,0)</f>
        <v/>
      </c>
      <c r="L614" s="159">
        <f>N($F614)*$K614</f>
        <v/>
      </c>
      <c r="M614" s="157">
        <f>IF($E614="","",IF(OR($E614="Coal",$E614="Dirty Coal"),"MT","BCM"))</f>
        <v/>
      </c>
      <c r="N614" s="157">
        <f>IF($E614="","",IF(OR($E614="Coal",$E614="Dirty Coal"),"Coal","OB"))</f>
        <v/>
      </c>
      <c r="O614" s="157">
        <f>IF($F614="","",IF(COUNTIF(MASTER_JAM!$A$5:$A$94,$C614)=0,"Digger tidak dikenal",IF($J614="","Hauler tidak dikenal",IF($H614="?","Jam salah",IF($K614=0,"Faktor kosong",IF(SUMIFS(INPUT_DELAY!$E$5:$E$20000,INPUT_DELAY!$A$5:$A$20000,$A614,INPUT_DELAY!$B$5:$B$20000,$B614,INPUT_DELAY!$C$5:$C$20000,$C614)+SUMIFS(INPUT_DELAY!$E$5:$E$20000,INPUT_DELAY!$A$5:$A$20000,$A614,INPUT_DELAY!$B$5:$B$20000,$B614,INPUT_DELAY!$C$5:$C$20000,"SEMUA")&gt;=60,"Delay 60 mnt tapi ada ritase","OK"))))))</f>
        <v/>
      </c>
      <c r="P614" s="158">
        <f>IFERROR(INDEX(MASTER_JAM!$Z$5:$AC$10,MATCH($I614,MASTER_JAM!$Y$5:$Y$10,0),MATCH($J614,MASTER_JAM!$Z$4:$AC$4,0))+0,0)</f>
        <v/>
      </c>
      <c r="Q614" s="158">
        <f>IF($P614=0,0,$P614+IFERROR(INDEX(MASTER_JAM!$H$5:$H$94,MATCH($C614,MASTER_JAM!$A$5:$A$94,0))+0,MASTER_JAM!$AC$15)/1000*(60/MASTER_JAM!$AC$12+60/MASTER_JAM!$AC$13)+MASTER_JAM!$AC$14)</f>
        <v/>
      </c>
      <c r="R614" s="158">
        <f>IF(N($F614)=0,0,$F614/SUMIFS(INPUT_RITASE!$F$5:$F$20000,INPUT_RITASE!$A$5:$A$20000,$A614,INPUT_RITASE!$B$5:$B$20000,$B614,INPUT_RITASE!$C$5:$C$20000,$C614,INPUT_RITASE!$D$5:$D$20000,$D614))</f>
        <v/>
      </c>
      <c r="S614" s="158">
        <f>IF($Q614=0,0,$R614*$P614/$Q614)</f>
        <v/>
      </c>
    </row>
    <row r="615">
      <c r="A615" s="155" t="n">
        <v>46105</v>
      </c>
      <c r="B615" s="156" t="inlineStr">
        <is>
          <t>21-22</t>
        </is>
      </c>
      <c r="C615" s="156" t="inlineStr">
        <is>
          <t>EX-753</t>
        </is>
      </c>
      <c r="D615" s="156" t="inlineStr">
        <is>
          <t>DT-505</t>
        </is>
      </c>
      <c r="E615" s="156" t="inlineStr">
        <is>
          <t>OB</t>
        </is>
      </c>
      <c r="F615" s="156" t="n">
        <v>4</v>
      </c>
      <c r="G615" s="156" t="inlineStr"/>
      <c r="H615" s="157">
        <f>IF($B615="","",IF(ISNA(MATCH($B615,MASTER_JAM!$Q$5:$Q$28,0)),"?",IF(MATCH($B615,MASTER_JAM!$Q$5:$Q$28,0)&lt;=12,"DS","NS")))</f>
        <v/>
      </c>
      <c r="I615" s="157">
        <f>IFERROR(INDEX(MASTER_JAM!$B$5:$B$94,MATCH($C615,MASTER_JAM!$A$5:$A$94,0)),"")</f>
        <v/>
      </c>
      <c r="J615" s="157">
        <f>IFERROR(INDEX(MASTER_JAM!$E$5:$E$94,MATCH($D615,MASTER_JAM!$A$5:$A$94,0)),"")</f>
        <v/>
      </c>
      <c r="K615" s="158">
        <f>IFERROR(INDEX(MASTER_JAM!$J$5:$O$12,MATCH($E615,MASTER_JAM!$I$5:$I$12,0),MATCH($J615,MASTER_JAM!$J$4:$O$4,0))+0,0)</f>
        <v/>
      </c>
      <c r="L615" s="159">
        <f>N($F615)*$K615</f>
        <v/>
      </c>
      <c r="M615" s="157">
        <f>IF($E615="","",IF(OR($E615="Coal",$E615="Dirty Coal"),"MT","BCM"))</f>
        <v/>
      </c>
      <c r="N615" s="157">
        <f>IF($E615="","",IF(OR($E615="Coal",$E615="Dirty Coal"),"Coal","OB"))</f>
        <v/>
      </c>
      <c r="O615" s="157">
        <f>IF($F615="","",IF(COUNTIF(MASTER_JAM!$A$5:$A$94,$C615)=0,"Digger tidak dikenal",IF($J615="","Hauler tidak dikenal",IF($H615="?","Jam salah",IF($K615=0,"Faktor kosong",IF(SUMIFS(INPUT_DELAY!$E$5:$E$20000,INPUT_DELAY!$A$5:$A$20000,$A615,INPUT_DELAY!$B$5:$B$20000,$B615,INPUT_DELAY!$C$5:$C$20000,$C615)+SUMIFS(INPUT_DELAY!$E$5:$E$20000,INPUT_DELAY!$A$5:$A$20000,$A615,INPUT_DELAY!$B$5:$B$20000,$B615,INPUT_DELAY!$C$5:$C$20000,"SEMUA")&gt;=60,"Delay 60 mnt tapi ada ritase","OK"))))))</f>
        <v/>
      </c>
      <c r="P615" s="158">
        <f>IFERROR(INDEX(MASTER_JAM!$Z$5:$AC$10,MATCH($I615,MASTER_JAM!$Y$5:$Y$10,0),MATCH($J615,MASTER_JAM!$Z$4:$AC$4,0))+0,0)</f>
        <v/>
      </c>
      <c r="Q615" s="158">
        <f>IF($P615=0,0,$P615+IFERROR(INDEX(MASTER_JAM!$H$5:$H$94,MATCH($C615,MASTER_JAM!$A$5:$A$94,0))+0,MASTER_JAM!$AC$15)/1000*(60/MASTER_JAM!$AC$12+60/MASTER_JAM!$AC$13)+MASTER_JAM!$AC$14)</f>
        <v/>
      </c>
      <c r="R615" s="158">
        <f>IF(N($F615)=0,0,$F615/SUMIFS(INPUT_RITASE!$F$5:$F$20000,INPUT_RITASE!$A$5:$A$20000,$A615,INPUT_RITASE!$B$5:$B$20000,$B615,INPUT_RITASE!$C$5:$C$20000,$C615,INPUT_RITASE!$D$5:$D$20000,$D615))</f>
        <v/>
      </c>
      <c r="S615" s="158">
        <f>IF($Q615=0,0,$R615*$P615/$Q615)</f>
        <v/>
      </c>
    </row>
    <row r="616">
      <c r="A616" s="155" t="n">
        <v>46105</v>
      </c>
      <c r="B616" s="156" t="inlineStr">
        <is>
          <t>21-22</t>
        </is>
      </c>
      <c r="C616" s="156" t="inlineStr">
        <is>
          <t>EX-753</t>
        </is>
      </c>
      <c r="D616" s="156" t="inlineStr">
        <is>
          <t>DT-515</t>
        </is>
      </c>
      <c r="E616" s="156" t="inlineStr">
        <is>
          <t>OB</t>
        </is>
      </c>
      <c r="F616" s="156" t="n">
        <v>4</v>
      </c>
      <c r="G616" s="156" t="inlineStr"/>
      <c r="H616" s="157">
        <f>IF($B616="","",IF(ISNA(MATCH($B616,MASTER_JAM!$Q$5:$Q$28,0)),"?",IF(MATCH($B616,MASTER_JAM!$Q$5:$Q$28,0)&lt;=12,"DS","NS")))</f>
        <v/>
      </c>
      <c r="I616" s="157">
        <f>IFERROR(INDEX(MASTER_JAM!$B$5:$B$94,MATCH($C616,MASTER_JAM!$A$5:$A$94,0)),"")</f>
        <v/>
      </c>
      <c r="J616" s="157">
        <f>IFERROR(INDEX(MASTER_JAM!$E$5:$E$94,MATCH($D616,MASTER_JAM!$A$5:$A$94,0)),"")</f>
        <v/>
      </c>
      <c r="K616" s="158">
        <f>IFERROR(INDEX(MASTER_JAM!$J$5:$O$12,MATCH($E616,MASTER_JAM!$I$5:$I$12,0),MATCH($J616,MASTER_JAM!$J$4:$O$4,0))+0,0)</f>
        <v/>
      </c>
      <c r="L616" s="159">
        <f>N($F616)*$K616</f>
        <v/>
      </c>
      <c r="M616" s="157">
        <f>IF($E616="","",IF(OR($E616="Coal",$E616="Dirty Coal"),"MT","BCM"))</f>
        <v/>
      </c>
      <c r="N616" s="157">
        <f>IF($E616="","",IF(OR($E616="Coal",$E616="Dirty Coal"),"Coal","OB"))</f>
        <v/>
      </c>
      <c r="O616" s="157">
        <f>IF($F616="","",IF(COUNTIF(MASTER_JAM!$A$5:$A$94,$C616)=0,"Digger tidak dikenal",IF($J616="","Hauler tidak dikenal",IF($H616="?","Jam salah",IF($K616=0,"Faktor kosong",IF(SUMIFS(INPUT_DELAY!$E$5:$E$20000,INPUT_DELAY!$A$5:$A$20000,$A616,INPUT_DELAY!$B$5:$B$20000,$B616,INPUT_DELAY!$C$5:$C$20000,$C616)+SUMIFS(INPUT_DELAY!$E$5:$E$20000,INPUT_DELAY!$A$5:$A$20000,$A616,INPUT_DELAY!$B$5:$B$20000,$B616,INPUT_DELAY!$C$5:$C$20000,"SEMUA")&gt;=60,"Delay 60 mnt tapi ada ritase","OK"))))))</f>
        <v/>
      </c>
      <c r="P616" s="158">
        <f>IFERROR(INDEX(MASTER_JAM!$Z$5:$AC$10,MATCH($I616,MASTER_JAM!$Y$5:$Y$10,0),MATCH($J616,MASTER_JAM!$Z$4:$AC$4,0))+0,0)</f>
        <v/>
      </c>
      <c r="Q616" s="158">
        <f>IF($P616=0,0,$P616+IFERROR(INDEX(MASTER_JAM!$H$5:$H$94,MATCH($C616,MASTER_JAM!$A$5:$A$94,0))+0,MASTER_JAM!$AC$15)/1000*(60/MASTER_JAM!$AC$12+60/MASTER_JAM!$AC$13)+MASTER_JAM!$AC$14)</f>
        <v/>
      </c>
      <c r="R616" s="158">
        <f>IF(N($F616)=0,0,$F616/SUMIFS(INPUT_RITASE!$F$5:$F$20000,INPUT_RITASE!$A$5:$A$20000,$A616,INPUT_RITASE!$B$5:$B$20000,$B616,INPUT_RITASE!$C$5:$C$20000,$C616,INPUT_RITASE!$D$5:$D$20000,$D616))</f>
        <v/>
      </c>
      <c r="S616" s="158">
        <f>IF($Q616=0,0,$R616*$P616/$Q616)</f>
        <v/>
      </c>
    </row>
    <row r="617">
      <c r="A617" s="155" t="n">
        <v>46105</v>
      </c>
      <c r="B617" s="156" t="inlineStr">
        <is>
          <t>21-22</t>
        </is>
      </c>
      <c r="C617" s="156" t="inlineStr">
        <is>
          <t>EX-753</t>
        </is>
      </c>
      <c r="D617" s="156" t="inlineStr">
        <is>
          <t>DT-502</t>
        </is>
      </c>
      <c r="E617" s="156" t="inlineStr">
        <is>
          <t>OB</t>
        </is>
      </c>
      <c r="F617" s="156" t="n">
        <v>4</v>
      </c>
      <c r="G617" s="156" t="inlineStr"/>
      <c r="H617" s="157">
        <f>IF($B617="","",IF(ISNA(MATCH($B617,MASTER_JAM!$Q$5:$Q$28,0)),"?",IF(MATCH($B617,MASTER_JAM!$Q$5:$Q$28,0)&lt;=12,"DS","NS")))</f>
        <v/>
      </c>
      <c r="I617" s="157">
        <f>IFERROR(INDEX(MASTER_JAM!$B$5:$B$94,MATCH($C617,MASTER_JAM!$A$5:$A$94,0)),"")</f>
        <v/>
      </c>
      <c r="J617" s="157">
        <f>IFERROR(INDEX(MASTER_JAM!$E$5:$E$94,MATCH($D617,MASTER_JAM!$A$5:$A$94,0)),"")</f>
        <v/>
      </c>
      <c r="K617" s="158">
        <f>IFERROR(INDEX(MASTER_JAM!$J$5:$O$12,MATCH($E617,MASTER_JAM!$I$5:$I$12,0),MATCH($J617,MASTER_JAM!$J$4:$O$4,0))+0,0)</f>
        <v/>
      </c>
      <c r="L617" s="159">
        <f>N($F617)*$K617</f>
        <v/>
      </c>
      <c r="M617" s="157">
        <f>IF($E617="","",IF(OR($E617="Coal",$E617="Dirty Coal"),"MT","BCM"))</f>
        <v/>
      </c>
      <c r="N617" s="157">
        <f>IF($E617="","",IF(OR($E617="Coal",$E617="Dirty Coal"),"Coal","OB"))</f>
        <v/>
      </c>
      <c r="O617" s="157">
        <f>IF($F617="","",IF(COUNTIF(MASTER_JAM!$A$5:$A$94,$C617)=0,"Digger tidak dikenal",IF($J617="","Hauler tidak dikenal",IF($H617="?","Jam salah",IF($K617=0,"Faktor kosong",IF(SUMIFS(INPUT_DELAY!$E$5:$E$20000,INPUT_DELAY!$A$5:$A$20000,$A617,INPUT_DELAY!$B$5:$B$20000,$B617,INPUT_DELAY!$C$5:$C$20000,$C617)+SUMIFS(INPUT_DELAY!$E$5:$E$20000,INPUT_DELAY!$A$5:$A$20000,$A617,INPUT_DELAY!$B$5:$B$20000,$B617,INPUT_DELAY!$C$5:$C$20000,"SEMUA")&gt;=60,"Delay 60 mnt tapi ada ritase","OK"))))))</f>
        <v/>
      </c>
      <c r="P617" s="158">
        <f>IFERROR(INDEX(MASTER_JAM!$Z$5:$AC$10,MATCH($I617,MASTER_JAM!$Y$5:$Y$10,0),MATCH($J617,MASTER_JAM!$Z$4:$AC$4,0))+0,0)</f>
        <v/>
      </c>
      <c r="Q617" s="158">
        <f>IF($P617=0,0,$P617+IFERROR(INDEX(MASTER_JAM!$H$5:$H$94,MATCH($C617,MASTER_JAM!$A$5:$A$94,0))+0,MASTER_JAM!$AC$15)/1000*(60/MASTER_JAM!$AC$12+60/MASTER_JAM!$AC$13)+MASTER_JAM!$AC$14)</f>
        <v/>
      </c>
      <c r="R617" s="158">
        <f>IF(N($F617)=0,0,$F617/SUMIFS(INPUT_RITASE!$F$5:$F$20000,INPUT_RITASE!$A$5:$A$20000,$A617,INPUT_RITASE!$B$5:$B$20000,$B617,INPUT_RITASE!$C$5:$C$20000,$C617,INPUT_RITASE!$D$5:$D$20000,$D617))</f>
        <v/>
      </c>
      <c r="S617" s="158">
        <f>IF($Q617=0,0,$R617*$P617/$Q617)</f>
        <v/>
      </c>
    </row>
    <row r="618">
      <c r="A618" s="155" t="n">
        <v>46105</v>
      </c>
      <c r="B618" s="156" t="inlineStr">
        <is>
          <t>21-22</t>
        </is>
      </c>
      <c r="C618" s="156" t="inlineStr">
        <is>
          <t>EX-753</t>
        </is>
      </c>
      <c r="D618" s="156" t="inlineStr">
        <is>
          <t>DT-517</t>
        </is>
      </c>
      <c r="E618" s="156" t="inlineStr">
        <is>
          <t>OB</t>
        </is>
      </c>
      <c r="F618" s="156" t="n">
        <v>4</v>
      </c>
      <c r="G618" s="156" t="inlineStr"/>
      <c r="H618" s="157">
        <f>IF($B618="","",IF(ISNA(MATCH($B618,MASTER_JAM!$Q$5:$Q$28,0)),"?",IF(MATCH($B618,MASTER_JAM!$Q$5:$Q$28,0)&lt;=12,"DS","NS")))</f>
        <v/>
      </c>
      <c r="I618" s="157">
        <f>IFERROR(INDEX(MASTER_JAM!$B$5:$B$94,MATCH($C618,MASTER_JAM!$A$5:$A$94,0)),"")</f>
        <v/>
      </c>
      <c r="J618" s="157">
        <f>IFERROR(INDEX(MASTER_JAM!$E$5:$E$94,MATCH($D618,MASTER_JAM!$A$5:$A$94,0)),"")</f>
        <v/>
      </c>
      <c r="K618" s="158">
        <f>IFERROR(INDEX(MASTER_JAM!$J$5:$O$12,MATCH($E618,MASTER_JAM!$I$5:$I$12,0),MATCH($J618,MASTER_JAM!$J$4:$O$4,0))+0,0)</f>
        <v/>
      </c>
      <c r="L618" s="159">
        <f>N($F618)*$K618</f>
        <v/>
      </c>
      <c r="M618" s="157">
        <f>IF($E618="","",IF(OR($E618="Coal",$E618="Dirty Coal"),"MT","BCM"))</f>
        <v/>
      </c>
      <c r="N618" s="157">
        <f>IF($E618="","",IF(OR($E618="Coal",$E618="Dirty Coal"),"Coal","OB"))</f>
        <v/>
      </c>
      <c r="O618" s="157">
        <f>IF($F618="","",IF(COUNTIF(MASTER_JAM!$A$5:$A$94,$C618)=0,"Digger tidak dikenal",IF($J618="","Hauler tidak dikenal",IF($H618="?","Jam salah",IF($K618=0,"Faktor kosong",IF(SUMIFS(INPUT_DELAY!$E$5:$E$20000,INPUT_DELAY!$A$5:$A$20000,$A618,INPUT_DELAY!$B$5:$B$20000,$B618,INPUT_DELAY!$C$5:$C$20000,$C618)+SUMIFS(INPUT_DELAY!$E$5:$E$20000,INPUT_DELAY!$A$5:$A$20000,$A618,INPUT_DELAY!$B$5:$B$20000,$B618,INPUT_DELAY!$C$5:$C$20000,"SEMUA")&gt;=60,"Delay 60 mnt tapi ada ritase","OK"))))))</f>
        <v/>
      </c>
      <c r="P618" s="158">
        <f>IFERROR(INDEX(MASTER_JAM!$Z$5:$AC$10,MATCH($I618,MASTER_JAM!$Y$5:$Y$10,0),MATCH($J618,MASTER_JAM!$Z$4:$AC$4,0))+0,0)</f>
        <v/>
      </c>
      <c r="Q618" s="158">
        <f>IF($P618=0,0,$P618+IFERROR(INDEX(MASTER_JAM!$H$5:$H$94,MATCH($C618,MASTER_JAM!$A$5:$A$94,0))+0,MASTER_JAM!$AC$15)/1000*(60/MASTER_JAM!$AC$12+60/MASTER_JAM!$AC$13)+MASTER_JAM!$AC$14)</f>
        <v/>
      </c>
      <c r="R618" s="158">
        <f>IF(N($F618)=0,0,$F618/SUMIFS(INPUT_RITASE!$F$5:$F$20000,INPUT_RITASE!$A$5:$A$20000,$A618,INPUT_RITASE!$B$5:$B$20000,$B618,INPUT_RITASE!$C$5:$C$20000,$C618,INPUT_RITASE!$D$5:$D$20000,$D618))</f>
        <v/>
      </c>
      <c r="S618" s="158">
        <f>IF($Q618=0,0,$R618*$P618/$Q618)</f>
        <v/>
      </c>
    </row>
    <row r="619">
      <c r="A619" s="155" t="n">
        <v>46105</v>
      </c>
      <c r="B619" s="156" t="inlineStr">
        <is>
          <t>22-23</t>
        </is>
      </c>
      <c r="C619" s="156" t="inlineStr">
        <is>
          <t>EX-753</t>
        </is>
      </c>
      <c r="D619" s="156" t="inlineStr">
        <is>
          <t>DT-528</t>
        </is>
      </c>
      <c r="E619" s="156" t="inlineStr">
        <is>
          <t>OB</t>
        </is>
      </c>
      <c r="F619" s="156" t="n">
        <v>4</v>
      </c>
      <c r="G619" s="156" t="inlineStr"/>
      <c r="H619" s="157">
        <f>IF($B619="","",IF(ISNA(MATCH($B619,MASTER_JAM!$Q$5:$Q$28,0)),"?",IF(MATCH($B619,MASTER_JAM!$Q$5:$Q$28,0)&lt;=12,"DS","NS")))</f>
        <v/>
      </c>
      <c r="I619" s="157">
        <f>IFERROR(INDEX(MASTER_JAM!$B$5:$B$94,MATCH($C619,MASTER_JAM!$A$5:$A$94,0)),"")</f>
        <v/>
      </c>
      <c r="J619" s="157">
        <f>IFERROR(INDEX(MASTER_JAM!$E$5:$E$94,MATCH($D619,MASTER_JAM!$A$5:$A$94,0)),"")</f>
        <v/>
      </c>
      <c r="K619" s="158">
        <f>IFERROR(INDEX(MASTER_JAM!$J$5:$O$12,MATCH($E619,MASTER_JAM!$I$5:$I$12,0),MATCH($J619,MASTER_JAM!$J$4:$O$4,0))+0,0)</f>
        <v/>
      </c>
      <c r="L619" s="159">
        <f>N($F619)*$K619</f>
        <v/>
      </c>
      <c r="M619" s="157">
        <f>IF($E619="","",IF(OR($E619="Coal",$E619="Dirty Coal"),"MT","BCM"))</f>
        <v/>
      </c>
      <c r="N619" s="157">
        <f>IF($E619="","",IF(OR($E619="Coal",$E619="Dirty Coal"),"Coal","OB"))</f>
        <v/>
      </c>
      <c r="O619" s="157">
        <f>IF($F619="","",IF(COUNTIF(MASTER_JAM!$A$5:$A$94,$C619)=0,"Digger tidak dikenal",IF($J619="","Hauler tidak dikenal",IF($H619="?","Jam salah",IF($K619=0,"Faktor kosong",IF(SUMIFS(INPUT_DELAY!$E$5:$E$20000,INPUT_DELAY!$A$5:$A$20000,$A619,INPUT_DELAY!$B$5:$B$20000,$B619,INPUT_DELAY!$C$5:$C$20000,$C619)+SUMIFS(INPUT_DELAY!$E$5:$E$20000,INPUT_DELAY!$A$5:$A$20000,$A619,INPUT_DELAY!$B$5:$B$20000,$B619,INPUT_DELAY!$C$5:$C$20000,"SEMUA")&gt;=60,"Delay 60 mnt tapi ada ritase","OK"))))))</f>
        <v/>
      </c>
      <c r="P619" s="158">
        <f>IFERROR(INDEX(MASTER_JAM!$Z$5:$AC$10,MATCH($I619,MASTER_JAM!$Y$5:$Y$10,0),MATCH($J619,MASTER_JAM!$Z$4:$AC$4,0))+0,0)</f>
        <v/>
      </c>
      <c r="Q619" s="158">
        <f>IF($P619=0,0,$P619+IFERROR(INDEX(MASTER_JAM!$H$5:$H$94,MATCH($C619,MASTER_JAM!$A$5:$A$94,0))+0,MASTER_JAM!$AC$15)/1000*(60/MASTER_JAM!$AC$12+60/MASTER_JAM!$AC$13)+MASTER_JAM!$AC$14)</f>
        <v/>
      </c>
      <c r="R619" s="158">
        <f>IF(N($F619)=0,0,$F619/SUMIFS(INPUT_RITASE!$F$5:$F$20000,INPUT_RITASE!$A$5:$A$20000,$A619,INPUT_RITASE!$B$5:$B$20000,$B619,INPUT_RITASE!$C$5:$C$20000,$C619,INPUT_RITASE!$D$5:$D$20000,$D619))</f>
        <v/>
      </c>
      <c r="S619" s="158">
        <f>IF($Q619=0,0,$R619*$P619/$Q619)</f>
        <v/>
      </c>
    </row>
    <row r="620">
      <c r="A620" s="155" t="n">
        <v>46105</v>
      </c>
      <c r="B620" s="156" t="inlineStr">
        <is>
          <t>22-23</t>
        </is>
      </c>
      <c r="C620" s="156" t="inlineStr">
        <is>
          <t>EX-753</t>
        </is>
      </c>
      <c r="D620" s="156" t="inlineStr">
        <is>
          <t>DT-508</t>
        </is>
      </c>
      <c r="E620" s="156" t="inlineStr">
        <is>
          <t>OB</t>
        </is>
      </c>
      <c r="F620" s="156" t="n">
        <v>4</v>
      </c>
      <c r="G620" s="156" t="inlineStr"/>
      <c r="H620" s="157">
        <f>IF($B620="","",IF(ISNA(MATCH($B620,MASTER_JAM!$Q$5:$Q$28,0)),"?",IF(MATCH($B620,MASTER_JAM!$Q$5:$Q$28,0)&lt;=12,"DS","NS")))</f>
        <v/>
      </c>
      <c r="I620" s="157">
        <f>IFERROR(INDEX(MASTER_JAM!$B$5:$B$94,MATCH($C620,MASTER_JAM!$A$5:$A$94,0)),"")</f>
        <v/>
      </c>
      <c r="J620" s="157">
        <f>IFERROR(INDEX(MASTER_JAM!$E$5:$E$94,MATCH($D620,MASTER_JAM!$A$5:$A$94,0)),"")</f>
        <v/>
      </c>
      <c r="K620" s="158">
        <f>IFERROR(INDEX(MASTER_JAM!$J$5:$O$12,MATCH($E620,MASTER_JAM!$I$5:$I$12,0),MATCH($J620,MASTER_JAM!$J$4:$O$4,0))+0,0)</f>
        <v/>
      </c>
      <c r="L620" s="159">
        <f>N($F620)*$K620</f>
        <v/>
      </c>
      <c r="M620" s="157">
        <f>IF($E620="","",IF(OR($E620="Coal",$E620="Dirty Coal"),"MT","BCM"))</f>
        <v/>
      </c>
      <c r="N620" s="157">
        <f>IF($E620="","",IF(OR($E620="Coal",$E620="Dirty Coal"),"Coal","OB"))</f>
        <v/>
      </c>
      <c r="O620" s="157">
        <f>IF($F620="","",IF(COUNTIF(MASTER_JAM!$A$5:$A$94,$C620)=0,"Digger tidak dikenal",IF($J620="","Hauler tidak dikenal",IF($H620="?","Jam salah",IF($K620=0,"Faktor kosong",IF(SUMIFS(INPUT_DELAY!$E$5:$E$20000,INPUT_DELAY!$A$5:$A$20000,$A620,INPUT_DELAY!$B$5:$B$20000,$B620,INPUT_DELAY!$C$5:$C$20000,$C620)+SUMIFS(INPUT_DELAY!$E$5:$E$20000,INPUT_DELAY!$A$5:$A$20000,$A620,INPUT_DELAY!$B$5:$B$20000,$B620,INPUT_DELAY!$C$5:$C$20000,"SEMUA")&gt;=60,"Delay 60 mnt tapi ada ritase","OK"))))))</f>
        <v/>
      </c>
      <c r="P620" s="158">
        <f>IFERROR(INDEX(MASTER_JAM!$Z$5:$AC$10,MATCH($I620,MASTER_JAM!$Y$5:$Y$10,0),MATCH($J620,MASTER_JAM!$Z$4:$AC$4,0))+0,0)</f>
        <v/>
      </c>
      <c r="Q620" s="158">
        <f>IF($P620=0,0,$P620+IFERROR(INDEX(MASTER_JAM!$H$5:$H$94,MATCH($C620,MASTER_JAM!$A$5:$A$94,0))+0,MASTER_JAM!$AC$15)/1000*(60/MASTER_JAM!$AC$12+60/MASTER_JAM!$AC$13)+MASTER_JAM!$AC$14)</f>
        <v/>
      </c>
      <c r="R620" s="158">
        <f>IF(N($F620)=0,0,$F620/SUMIFS(INPUT_RITASE!$F$5:$F$20000,INPUT_RITASE!$A$5:$A$20000,$A620,INPUT_RITASE!$B$5:$B$20000,$B620,INPUT_RITASE!$C$5:$C$20000,$C620,INPUT_RITASE!$D$5:$D$20000,$D620))</f>
        <v/>
      </c>
      <c r="S620" s="158">
        <f>IF($Q620=0,0,$R620*$P620/$Q620)</f>
        <v/>
      </c>
    </row>
    <row r="621">
      <c r="A621" s="155" t="n">
        <v>46105</v>
      </c>
      <c r="B621" s="156" t="inlineStr">
        <is>
          <t>22-23</t>
        </is>
      </c>
      <c r="C621" s="156" t="inlineStr">
        <is>
          <t>EX-753</t>
        </is>
      </c>
      <c r="D621" s="156" t="inlineStr">
        <is>
          <t>DT-513</t>
        </is>
      </c>
      <c r="E621" s="156" t="inlineStr">
        <is>
          <t>OB</t>
        </is>
      </c>
      <c r="F621" s="156" t="n">
        <v>3</v>
      </c>
      <c r="G621" s="156" t="inlineStr"/>
      <c r="H621" s="157">
        <f>IF($B621="","",IF(ISNA(MATCH($B621,MASTER_JAM!$Q$5:$Q$28,0)),"?",IF(MATCH($B621,MASTER_JAM!$Q$5:$Q$28,0)&lt;=12,"DS","NS")))</f>
        <v/>
      </c>
      <c r="I621" s="157">
        <f>IFERROR(INDEX(MASTER_JAM!$B$5:$B$94,MATCH($C621,MASTER_JAM!$A$5:$A$94,0)),"")</f>
        <v/>
      </c>
      <c r="J621" s="157">
        <f>IFERROR(INDEX(MASTER_JAM!$E$5:$E$94,MATCH($D621,MASTER_JAM!$A$5:$A$94,0)),"")</f>
        <v/>
      </c>
      <c r="K621" s="158">
        <f>IFERROR(INDEX(MASTER_JAM!$J$5:$O$12,MATCH($E621,MASTER_JAM!$I$5:$I$12,0),MATCH($J621,MASTER_JAM!$J$4:$O$4,0))+0,0)</f>
        <v/>
      </c>
      <c r="L621" s="159">
        <f>N($F621)*$K621</f>
        <v/>
      </c>
      <c r="M621" s="157">
        <f>IF($E621="","",IF(OR($E621="Coal",$E621="Dirty Coal"),"MT","BCM"))</f>
        <v/>
      </c>
      <c r="N621" s="157">
        <f>IF($E621="","",IF(OR($E621="Coal",$E621="Dirty Coal"),"Coal","OB"))</f>
        <v/>
      </c>
      <c r="O621" s="157">
        <f>IF($F621="","",IF(COUNTIF(MASTER_JAM!$A$5:$A$94,$C621)=0,"Digger tidak dikenal",IF($J621="","Hauler tidak dikenal",IF($H621="?","Jam salah",IF($K621=0,"Faktor kosong",IF(SUMIFS(INPUT_DELAY!$E$5:$E$20000,INPUT_DELAY!$A$5:$A$20000,$A621,INPUT_DELAY!$B$5:$B$20000,$B621,INPUT_DELAY!$C$5:$C$20000,$C621)+SUMIFS(INPUT_DELAY!$E$5:$E$20000,INPUT_DELAY!$A$5:$A$20000,$A621,INPUT_DELAY!$B$5:$B$20000,$B621,INPUT_DELAY!$C$5:$C$20000,"SEMUA")&gt;=60,"Delay 60 mnt tapi ada ritase","OK"))))))</f>
        <v/>
      </c>
      <c r="P621" s="158">
        <f>IFERROR(INDEX(MASTER_JAM!$Z$5:$AC$10,MATCH($I621,MASTER_JAM!$Y$5:$Y$10,0),MATCH($J621,MASTER_JAM!$Z$4:$AC$4,0))+0,0)</f>
        <v/>
      </c>
      <c r="Q621" s="158">
        <f>IF($P621=0,0,$P621+IFERROR(INDEX(MASTER_JAM!$H$5:$H$94,MATCH($C621,MASTER_JAM!$A$5:$A$94,0))+0,MASTER_JAM!$AC$15)/1000*(60/MASTER_JAM!$AC$12+60/MASTER_JAM!$AC$13)+MASTER_JAM!$AC$14)</f>
        <v/>
      </c>
      <c r="R621" s="158">
        <f>IF(N($F621)=0,0,$F621/SUMIFS(INPUT_RITASE!$F$5:$F$20000,INPUT_RITASE!$A$5:$A$20000,$A621,INPUT_RITASE!$B$5:$B$20000,$B621,INPUT_RITASE!$C$5:$C$20000,$C621,INPUT_RITASE!$D$5:$D$20000,$D621))</f>
        <v/>
      </c>
      <c r="S621" s="158">
        <f>IF($Q621=0,0,$R621*$P621/$Q621)</f>
        <v/>
      </c>
    </row>
    <row r="622">
      <c r="A622" s="155" t="n">
        <v>46105</v>
      </c>
      <c r="B622" s="156" t="inlineStr">
        <is>
          <t>22-23</t>
        </is>
      </c>
      <c r="C622" s="156" t="inlineStr">
        <is>
          <t>EX-753</t>
        </is>
      </c>
      <c r="D622" s="156" t="inlineStr">
        <is>
          <t>DT-504</t>
        </is>
      </c>
      <c r="E622" s="156" t="inlineStr">
        <is>
          <t>OB</t>
        </is>
      </c>
      <c r="F622" s="156" t="n">
        <v>3</v>
      </c>
      <c r="G622" s="156" t="inlineStr"/>
      <c r="H622" s="157">
        <f>IF($B622="","",IF(ISNA(MATCH($B622,MASTER_JAM!$Q$5:$Q$28,0)),"?",IF(MATCH($B622,MASTER_JAM!$Q$5:$Q$28,0)&lt;=12,"DS","NS")))</f>
        <v/>
      </c>
      <c r="I622" s="157">
        <f>IFERROR(INDEX(MASTER_JAM!$B$5:$B$94,MATCH($C622,MASTER_JAM!$A$5:$A$94,0)),"")</f>
        <v/>
      </c>
      <c r="J622" s="157">
        <f>IFERROR(INDEX(MASTER_JAM!$E$5:$E$94,MATCH($D622,MASTER_JAM!$A$5:$A$94,0)),"")</f>
        <v/>
      </c>
      <c r="K622" s="158">
        <f>IFERROR(INDEX(MASTER_JAM!$J$5:$O$12,MATCH($E622,MASTER_JAM!$I$5:$I$12,0),MATCH($J622,MASTER_JAM!$J$4:$O$4,0))+0,0)</f>
        <v/>
      </c>
      <c r="L622" s="159">
        <f>N($F622)*$K622</f>
        <v/>
      </c>
      <c r="M622" s="157">
        <f>IF($E622="","",IF(OR($E622="Coal",$E622="Dirty Coal"),"MT","BCM"))</f>
        <v/>
      </c>
      <c r="N622" s="157">
        <f>IF($E622="","",IF(OR($E622="Coal",$E622="Dirty Coal"),"Coal","OB"))</f>
        <v/>
      </c>
      <c r="O622" s="157">
        <f>IF($F622="","",IF(COUNTIF(MASTER_JAM!$A$5:$A$94,$C622)=0,"Digger tidak dikenal",IF($J622="","Hauler tidak dikenal",IF($H622="?","Jam salah",IF($K622=0,"Faktor kosong",IF(SUMIFS(INPUT_DELAY!$E$5:$E$20000,INPUT_DELAY!$A$5:$A$20000,$A622,INPUT_DELAY!$B$5:$B$20000,$B622,INPUT_DELAY!$C$5:$C$20000,$C622)+SUMIFS(INPUT_DELAY!$E$5:$E$20000,INPUT_DELAY!$A$5:$A$20000,$A622,INPUT_DELAY!$B$5:$B$20000,$B622,INPUT_DELAY!$C$5:$C$20000,"SEMUA")&gt;=60,"Delay 60 mnt tapi ada ritase","OK"))))))</f>
        <v/>
      </c>
      <c r="P622" s="158">
        <f>IFERROR(INDEX(MASTER_JAM!$Z$5:$AC$10,MATCH($I622,MASTER_JAM!$Y$5:$Y$10,0),MATCH($J622,MASTER_JAM!$Z$4:$AC$4,0))+0,0)</f>
        <v/>
      </c>
      <c r="Q622" s="158">
        <f>IF($P622=0,0,$P622+IFERROR(INDEX(MASTER_JAM!$H$5:$H$94,MATCH($C622,MASTER_JAM!$A$5:$A$94,0))+0,MASTER_JAM!$AC$15)/1000*(60/MASTER_JAM!$AC$12+60/MASTER_JAM!$AC$13)+MASTER_JAM!$AC$14)</f>
        <v/>
      </c>
      <c r="R622" s="158">
        <f>IF(N($F622)=0,0,$F622/SUMIFS(INPUT_RITASE!$F$5:$F$20000,INPUT_RITASE!$A$5:$A$20000,$A622,INPUT_RITASE!$B$5:$B$20000,$B622,INPUT_RITASE!$C$5:$C$20000,$C622,INPUT_RITASE!$D$5:$D$20000,$D622))</f>
        <v/>
      </c>
      <c r="S622" s="158">
        <f>IF($Q622=0,0,$R622*$P622/$Q622)</f>
        <v/>
      </c>
    </row>
    <row r="623">
      <c r="A623" s="155" t="n">
        <v>46105</v>
      </c>
      <c r="B623" s="156" t="inlineStr">
        <is>
          <t>22-23</t>
        </is>
      </c>
      <c r="C623" s="156" t="inlineStr">
        <is>
          <t>EX-753</t>
        </is>
      </c>
      <c r="D623" s="156" t="inlineStr">
        <is>
          <t>DT-529</t>
        </is>
      </c>
      <c r="E623" s="156" t="inlineStr">
        <is>
          <t>OB</t>
        </is>
      </c>
      <c r="F623" s="156" t="n">
        <v>3</v>
      </c>
      <c r="G623" s="156" t="inlineStr"/>
      <c r="H623" s="157">
        <f>IF($B623="","",IF(ISNA(MATCH($B623,MASTER_JAM!$Q$5:$Q$28,0)),"?",IF(MATCH($B623,MASTER_JAM!$Q$5:$Q$28,0)&lt;=12,"DS","NS")))</f>
        <v/>
      </c>
      <c r="I623" s="157">
        <f>IFERROR(INDEX(MASTER_JAM!$B$5:$B$94,MATCH($C623,MASTER_JAM!$A$5:$A$94,0)),"")</f>
        <v/>
      </c>
      <c r="J623" s="157">
        <f>IFERROR(INDEX(MASTER_JAM!$E$5:$E$94,MATCH($D623,MASTER_JAM!$A$5:$A$94,0)),"")</f>
        <v/>
      </c>
      <c r="K623" s="158">
        <f>IFERROR(INDEX(MASTER_JAM!$J$5:$O$12,MATCH($E623,MASTER_JAM!$I$5:$I$12,0),MATCH($J623,MASTER_JAM!$J$4:$O$4,0))+0,0)</f>
        <v/>
      </c>
      <c r="L623" s="159">
        <f>N($F623)*$K623</f>
        <v/>
      </c>
      <c r="M623" s="157">
        <f>IF($E623="","",IF(OR($E623="Coal",$E623="Dirty Coal"),"MT","BCM"))</f>
        <v/>
      </c>
      <c r="N623" s="157">
        <f>IF($E623="","",IF(OR($E623="Coal",$E623="Dirty Coal"),"Coal","OB"))</f>
        <v/>
      </c>
      <c r="O623" s="157">
        <f>IF($F623="","",IF(COUNTIF(MASTER_JAM!$A$5:$A$94,$C623)=0,"Digger tidak dikenal",IF($J623="","Hauler tidak dikenal",IF($H623="?","Jam salah",IF($K623=0,"Faktor kosong",IF(SUMIFS(INPUT_DELAY!$E$5:$E$20000,INPUT_DELAY!$A$5:$A$20000,$A623,INPUT_DELAY!$B$5:$B$20000,$B623,INPUT_DELAY!$C$5:$C$20000,$C623)+SUMIFS(INPUT_DELAY!$E$5:$E$20000,INPUT_DELAY!$A$5:$A$20000,$A623,INPUT_DELAY!$B$5:$B$20000,$B623,INPUT_DELAY!$C$5:$C$20000,"SEMUA")&gt;=60,"Delay 60 mnt tapi ada ritase","OK"))))))</f>
        <v/>
      </c>
      <c r="P623" s="158">
        <f>IFERROR(INDEX(MASTER_JAM!$Z$5:$AC$10,MATCH($I623,MASTER_JAM!$Y$5:$Y$10,0),MATCH($J623,MASTER_JAM!$Z$4:$AC$4,0))+0,0)</f>
        <v/>
      </c>
      <c r="Q623" s="158">
        <f>IF($P623=0,0,$P623+IFERROR(INDEX(MASTER_JAM!$H$5:$H$94,MATCH($C623,MASTER_JAM!$A$5:$A$94,0))+0,MASTER_JAM!$AC$15)/1000*(60/MASTER_JAM!$AC$12+60/MASTER_JAM!$AC$13)+MASTER_JAM!$AC$14)</f>
        <v/>
      </c>
      <c r="R623" s="158">
        <f>IF(N($F623)=0,0,$F623/SUMIFS(INPUT_RITASE!$F$5:$F$20000,INPUT_RITASE!$A$5:$A$20000,$A623,INPUT_RITASE!$B$5:$B$20000,$B623,INPUT_RITASE!$C$5:$C$20000,$C623,INPUT_RITASE!$D$5:$D$20000,$D623))</f>
        <v/>
      </c>
      <c r="S623" s="158">
        <f>IF($Q623=0,0,$R623*$P623/$Q623)</f>
        <v/>
      </c>
    </row>
    <row r="624">
      <c r="A624" s="155" t="n">
        <v>46105</v>
      </c>
      <c r="B624" s="156" t="inlineStr">
        <is>
          <t>23-24</t>
        </is>
      </c>
      <c r="C624" s="156" t="inlineStr">
        <is>
          <t>EX-753</t>
        </is>
      </c>
      <c r="D624" s="156" t="inlineStr">
        <is>
          <t>DT-513</t>
        </is>
      </c>
      <c r="E624" s="156" t="inlineStr">
        <is>
          <t>OB</t>
        </is>
      </c>
      <c r="F624" s="156" t="n">
        <v>4</v>
      </c>
      <c r="G624" s="156" t="inlineStr"/>
      <c r="H624" s="157">
        <f>IF($B624="","",IF(ISNA(MATCH($B624,MASTER_JAM!$Q$5:$Q$28,0)),"?",IF(MATCH($B624,MASTER_JAM!$Q$5:$Q$28,0)&lt;=12,"DS","NS")))</f>
        <v/>
      </c>
      <c r="I624" s="157">
        <f>IFERROR(INDEX(MASTER_JAM!$B$5:$B$94,MATCH($C624,MASTER_JAM!$A$5:$A$94,0)),"")</f>
        <v/>
      </c>
      <c r="J624" s="157">
        <f>IFERROR(INDEX(MASTER_JAM!$E$5:$E$94,MATCH($D624,MASTER_JAM!$A$5:$A$94,0)),"")</f>
        <v/>
      </c>
      <c r="K624" s="158">
        <f>IFERROR(INDEX(MASTER_JAM!$J$5:$O$12,MATCH($E624,MASTER_JAM!$I$5:$I$12,0),MATCH($J624,MASTER_JAM!$J$4:$O$4,0))+0,0)</f>
        <v/>
      </c>
      <c r="L624" s="159">
        <f>N($F624)*$K624</f>
        <v/>
      </c>
      <c r="M624" s="157">
        <f>IF($E624="","",IF(OR($E624="Coal",$E624="Dirty Coal"),"MT","BCM"))</f>
        <v/>
      </c>
      <c r="N624" s="157">
        <f>IF($E624="","",IF(OR($E624="Coal",$E624="Dirty Coal"),"Coal","OB"))</f>
        <v/>
      </c>
      <c r="O624" s="157">
        <f>IF($F624="","",IF(COUNTIF(MASTER_JAM!$A$5:$A$94,$C624)=0,"Digger tidak dikenal",IF($J624="","Hauler tidak dikenal",IF($H624="?","Jam salah",IF($K624=0,"Faktor kosong",IF(SUMIFS(INPUT_DELAY!$E$5:$E$20000,INPUT_DELAY!$A$5:$A$20000,$A624,INPUT_DELAY!$B$5:$B$20000,$B624,INPUT_DELAY!$C$5:$C$20000,$C624)+SUMIFS(INPUT_DELAY!$E$5:$E$20000,INPUT_DELAY!$A$5:$A$20000,$A624,INPUT_DELAY!$B$5:$B$20000,$B624,INPUT_DELAY!$C$5:$C$20000,"SEMUA")&gt;=60,"Delay 60 mnt tapi ada ritase","OK"))))))</f>
        <v/>
      </c>
      <c r="P624" s="158">
        <f>IFERROR(INDEX(MASTER_JAM!$Z$5:$AC$10,MATCH($I624,MASTER_JAM!$Y$5:$Y$10,0),MATCH($J624,MASTER_JAM!$Z$4:$AC$4,0))+0,0)</f>
        <v/>
      </c>
      <c r="Q624" s="158">
        <f>IF($P624=0,0,$P624+IFERROR(INDEX(MASTER_JAM!$H$5:$H$94,MATCH($C624,MASTER_JAM!$A$5:$A$94,0))+0,MASTER_JAM!$AC$15)/1000*(60/MASTER_JAM!$AC$12+60/MASTER_JAM!$AC$13)+MASTER_JAM!$AC$14)</f>
        <v/>
      </c>
      <c r="R624" s="158">
        <f>IF(N($F624)=0,0,$F624/SUMIFS(INPUT_RITASE!$F$5:$F$20000,INPUT_RITASE!$A$5:$A$20000,$A624,INPUT_RITASE!$B$5:$B$20000,$B624,INPUT_RITASE!$C$5:$C$20000,$C624,INPUT_RITASE!$D$5:$D$20000,$D624))</f>
        <v/>
      </c>
      <c r="S624" s="158">
        <f>IF($Q624=0,0,$R624*$P624/$Q624)</f>
        <v/>
      </c>
    </row>
    <row r="625">
      <c r="A625" s="155" t="n">
        <v>46105</v>
      </c>
      <c r="B625" s="156" t="inlineStr">
        <is>
          <t>23-24</t>
        </is>
      </c>
      <c r="C625" s="156" t="inlineStr">
        <is>
          <t>EX-753</t>
        </is>
      </c>
      <c r="D625" s="156" t="inlineStr">
        <is>
          <t>DT-503</t>
        </is>
      </c>
      <c r="E625" s="156" t="inlineStr">
        <is>
          <t>OB</t>
        </is>
      </c>
      <c r="F625" s="156" t="n">
        <v>4</v>
      </c>
      <c r="G625" s="156" t="inlineStr"/>
      <c r="H625" s="157">
        <f>IF($B625="","",IF(ISNA(MATCH($B625,MASTER_JAM!$Q$5:$Q$28,0)),"?",IF(MATCH($B625,MASTER_JAM!$Q$5:$Q$28,0)&lt;=12,"DS","NS")))</f>
        <v/>
      </c>
      <c r="I625" s="157">
        <f>IFERROR(INDEX(MASTER_JAM!$B$5:$B$94,MATCH($C625,MASTER_JAM!$A$5:$A$94,0)),"")</f>
        <v/>
      </c>
      <c r="J625" s="157">
        <f>IFERROR(INDEX(MASTER_JAM!$E$5:$E$94,MATCH($D625,MASTER_JAM!$A$5:$A$94,0)),"")</f>
        <v/>
      </c>
      <c r="K625" s="158">
        <f>IFERROR(INDEX(MASTER_JAM!$J$5:$O$12,MATCH($E625,MASTER_JAM!$I$5:$I$12,0),MATCH($J625,MASTER_JAM!$J$4:$O$4,0))+0,0)</f>
        <v/>
      </c>
      <c r="L625" s="159">
        <f>N($F625)*$K625</f>
        <v/>
      </c>
      <c r="M625" s="157">
        <f>IF($E625="","",IF(OR($E625="Coal",$E625="Dirty Coal"),"MT","BCM"))</f>
        <v/>
      </c>
      <c r="N625" s="157">
        <f>IF($E625="","",IF(OR($E625="Coal",$E625="Dirty Coal"),"Coal","OB"))</f>
        <v/>
      </c>
      <c r="O625" s="157">
        <f>IF($F625="","",IF(COUNTIF(MASTER_JAM!$A$5:$A$94,$C625)=0,"Digger tidak dikenal",IF($J625="","Hauler tidak dikenal",IF($H625="?","Jam salah",IF($K625=0,"Faktor kosong",IF(SUMIFS(INPUT_DELAY!$E$5:$E$20000,INPUT_DELAY!$A$5:$A$20000,$A625,INPUT_DELAY!$B$5:$B$20000,$B625,INPUT_DELAY!$C$5:$C$20000,$C625)+SUMIFS(INPUT_DELAY!$E$5:$E$20000,INPUT_DELAY!$A$5:$A$20000,$A625,INPUT_DELAY!$B$5:$B$20000,$B625,INPUT_DELAY!$C$5:$C$20000,"SEMUA")&gt;=60,"Delay 60 mnt tapi ada ritase","OK"))))))</f>
        <v/>
      </c>
      <c r="P625" s="158">
        <f>IFERROR(INDEX(MASTER_JAM!$Z$5:$AC$10,MATCH($I625,MASTER_JAM!$Y$5:$Y$10,0),MATCH($J625,MASTER_JAM!$Z$4:$AC$4,0))+0,0)</f>
        <v/>
      </c>
      <c r="Q625" s="158">
        <f>IF($P625=0,0,$P625+IFERROR(INDEX(MASTER_JAM!$H$5:$H$94,MATCH($C625,MASTER_JAM!$A$5:$A$94,0))+0,MASTER_JAM!$AC$15)/1000*(60/MASTER_JAM!$AC$12+60/MASTER_JAM!$AC$13)+MASTER_JAM!$AC$14)</f>
        <v/>
      </c>
      <c r="R625" s="158">
        <f>IF(N($F625)=0,0,$F625/SUMIFS(INPUT_RITASE!$F$5:$F$20000,INPUT_RITASE!$A$5:$A$20000,$A625,INPUT_RITASE!$B$5:$B$20000,$B625,INPUT_RITASE!$C$5:$C$20000,$C625,INPUT_RITASE!$D$5:$D$20000,$D625))</f>
        <v/>
      </c>
      <c r="S625" s="158">
        <f>IF($Q625=0,0,$R625*$P625/$Q625)</f>
        <v/>
      </c>
    </row>
    <row r="626">
      <c r="A626" s="155" t="n">
        <v>46105</v>
      </c>
      <c r="B626" s="156" t="inlineStr">
        <is>
          <t>23-24</t>
        </is>
      </c>
      <c r="C626" s="156" t="inlineStr">
        <is>
          <t>EX-753</t>
        </is>
      </c>
      <c r="D626" s="156" t="inlineStr">
        <is>
          <t>DT-529</t>
        </is>
      </c>
      <c r="E626" s="156" t="inlineStr">
        <is>
          <t>OB</t>
        </is>
      </c>
      <c r="F626" s="156" t="n">
        <v>4</v>
      </c>
      <c r="G626" s="156" t="inlineStr"/>
      <c r="H626" s="157">
        <f>IF($B626="","",IF(ISNA(MATCH($B626,MASTER_JAM!$Q$5:$Q$28,0)),"?",IF(MATCH($B626,MASTER_JAM!$Q$5:$Q$28,0)&lt;=12,"DS","NS")))</f>
        <v/>
      </c>
      <c r="I626" s="157">
        <f>IFERROR(INDEX(MASTER_JAM!$B$5:$B$94,MATCH($C626,MASTER_JAM!$A$5:$A$94,0)),"")</f>
        <v/>
      </c>
      <c r="J626" s="157">
        <f>IFERROR(INDEX(MASTER_JAM!$E$5:$E$94,MATCH($D626,MASTER_JAM!$A$5:$A$94,0)),"")</f>
        <v/>
      </c>
      <c r="K626" s="158">
        <f>IFERROR(INDEX(MASTER_JAM!$J$5:$O$12,MATCH($E626,MASTER_JAM!$I$5:$I$12,0),MATCH($J626,MASTER_JAM!$J$4:$O$4,0))+0,0)</f>
        <v/>
      </c>
      <c r="L626" s="159">
        <f>N($F626)*$K626</f>
        <v/>
      </c>
      <c r="M626" s="157">
        <f>IF($E626="","",IF(OR($E626="Coal",$E626="Dirty Coal"),"MT","BCM"))</f>
        <v/>
      </c>
      <c r="N626" s="157">
        <f>IF($E626="","",IF(OR($E626="Coal",$E626="Dirty Coal"),"Coal","OB"))</f>
        <v/>
      </c>
      <c r="O626" s="157">
        <f>IF($F626="","",IF(COUNTIF(MASTER_JAM!$A$5:$A$94,$C626)=0,"Digger tidak dikenal",IF($J626="","Hauler tidak dikenal",IF($H626="?","Jam salah",IF($K626=0,"Faktor kosong",IF(SUMIFS(INPUT_DELAY!$E$5:$E$20000,INPUT_DELAY!$A$5:$A$20000,$A626,INPUT_DELAY!$B$5:$B$20000,$B626,INPUT_DELAY!$C$5:$C$20000,$C626)+SUMIFS(INPUT_DELAY!$E$5:$E$20000,INPUT_DELAY!$A$5:$A$20000,$A626,INPUT_DELAY!$B$5:$B$20000,$B626,INPUT_DELAY!$C$5:$C$20000,"SEMUA")&gt;=60,"Delay 60 mnt tapi ada ritase","OK"))))))</f>
        <v/>
      </c>
      <c r="P626" s="158">
        <f>IFERROR(INDEX(MASTER_JAM!$Z$5:$AC$10,MATCH($I626,MASTER_JAM!$Y$5:$Y$10,0),MATCH($J626,MASTER_JAM!$Z$4:$AC$4,0))+0,0)</f>
        <v/>
      </c>
      <c r="Q626" s="158">
        <f>IF($P626=0,0,$P626+IFERROR(INDEX(MASTER_JAM!$H$5:$H$94,MATCH($C626,MASTER_JAM!$A$5:$A$94,0))+0,MASTER_JAM!$AC$15)/1000*(60/MASTER_JAM!$AC$12+60/MASTER_JAM!$AC$13)+MASTER_JAM!$AC$14)</f>
        <v/>
      </c>
      <c r="R626" s="158">
        <f>IF(N($F626)=0,0,$F626/SUMIFS(INPUT_RITASE!$F$5:$F$20000,INPUT_RITASE!$A$5:$A$20000,$A626,INPUT_RITASE!$B$5:$B$20000,$B626,INPUT_RITASE!$C$5:$C$20000,$C626,INPUT_RITASE!$D$5:$D$20000,$D626))</f>
        <v/>
      </c>
      <c r="S626" s="158">
        <f>IF($Q626=0,0,$R626*$P626/$Q626)</f>
        <v/>
      </c>
    </row>
    <row r="627">
      <c r="A627" s="155" t="n">
        <v>46105</v>
      </c>
      <c r="B627" s="156" t="inlineStr">
        <is>
          <t>23-24</t>
        </is>
      </c>
      <c r="C627" s="156" t="inlineStr">
        <is>
          <t>EX-753</t>
        </is>
      </c>
      <c r="D627" s="156" t="inlineStr">
        <is>
          <t>DT-506</t>
        </is>
      </c>
      <c r="E627" s="156" t="inlineStr">
        <is>
          <t>OB</t>
        </is>
      </c>
      <c r="F627" s="156" t="n">
        <v>3</v>
      </c>
      <c r="G627" s="156" t="inlineStr"/>
      <c r="H627" s="157">
        <f>IF($B627="","",IF(ISNA(MATCH($B627,MASTER_JAM!$Q$5:$Q$28,0)),"?",IF(MATCH($B627,MASTER_JAM!$Q$5:$Q$28,0)&lt;=12,"DS","NS")))</f>
        <v/>
      </c>
      <c r="I627" s="157">
        <f>IFERROR(INDEX(MASTER_JAM!$B$5:$B$94,MATCH($C627,MASTER_JAM!$A$5:$A$94,0)),"")</f>
        <v/>
      </c>
      <c r="J627" s="157">
        <f>IFERROR(INDEX(MASTER_JAM!$E$5:$E$94,MATCH($D627,MASTER_JAM!$A$5:$A$94,0)),"")</f>
        <v/>
      </c>
      <c r="K627" s="158">
        <f>IFERROR(INDEX(MASTER_JAM!$J$5:$O$12,MATCH($E627,MASTER_JAM!$I$5:$I$12,0),MATCH($J627,MASTER_JAM!$J$4:$O$4,0))+0,0)</f>
        <v/>
      </c>
      <c r="L627" s="159">
        <f>N($F627)*$K627</f>
        <v/>
      </c>
      <c r="M627" s="157">
        <f>IF($E627="","",IF(OR($E627="Coal",$E627="Dirty Coal"),"MT","BCM"))</f>
        <v/>
      </c>
      <c r="N627" s="157">
        <f>IF($E627="","",IF(OR($E627="Coal",$E627="Dirty Coal"),"Coal","OB"))</f>
        <v/>
      </c>
      <c r="O627" s="157">
        <f>IF($F627="","",IF(COUNTIF(MASTER_JAM!$A$5:$A$94,$C627)=0,"Digger tidak dikenal",IF($J627="","Hauler tidak dikenal",IF($H627="?","Jam salah",IF($K627=0,"Faktor kosong",IF(SUMIFS(INPUT_DELAY!$E$5:$E$20000,INPUT_DELAY!$A$5:$A$20000,$A627,INPUT_DELAY!$B$5:$B$20000,$B627,INPUT_DELAY!$C$5:$C$20000,$C627)+SUMIFS(INPUT_DELAY!$E$5:$E$20000,INPUT_DELAY!$A$5:$A$20000,$A627,INPUT_DELAY!$B$5:$B$20000,$B627,INPUT_DELAY!$C$5:$C$20000,"SEMUA")&gt;=60,"Delay 60 mnt tapi ada ritase","OK"))))))</f>
        <v/>
      </c>
      <c r="P627" s="158">
        <f>IFERROR(INDEX(MASTER_JAM!$Z$5:$AC$10,MATCH($I627,MASTER_JAM!$Y$5:$Y$10,0),MATCH($J627,MASTER_JAM!$Z$4:$AC$4,0))+0,0)</f>
        <v/>
      </c>
      <c r="Q627" s="158">
        <f>IF($P627=0,0,$P627+IFERROR(INDEX(MASTER_JAM!$H$5:$H$94,MATCH($C627,MASTER_JAM!$A$5:$A$94,0))+0,MASTER_JAM!$AC$15)/1000*(60/MASTER_JAM!$AC$12+60/MASTER_JAM!$AC$13)+MASTER_JAM!$AC$14)</f>
        <v/>
      </c>
      <c r="R627" s="158">
        <f>IF(N($F627)=0,0,$F627/SUMIFS(INPUT_RITASE!$F$5:$F$20000,INPUT_RITASE!$A$5:$A$20000,$A627,INPUT_RITASE!$B$5:$B$20000,$B627,INPUT_RITASE!$C$5:$C$20000,$C627,INPUT_RITASE!$D$5:$D$20000,$D627))</f>
        <v/>
      </c>
      <c r="S627" s="158">
        <f>IF($Q627=0,0,$R627*$P627/$Q627)</f>
        <v/>
      </c>
    </row>
    <row r="628">
      <c r="A628" s="155" t="n">
        <v>46105</v>
      </c>
      <c r="B628" s="156" t="inlineStr">
        <is>
          <t>01-02</t>
        </is>
      </c>
      <c r="C628" s="156" t="inlineStr">
        <is>
          <t>EX-753</t>
        </is>
      </c>
      <c r="D628" s="156" t="inlineStr">
        <is>
          <t>DT-503</t>
        </is>
      </c>
      <c r="E628" s="156" t="inlineStr">
        <is>
          <t>OB</t>
        </is>
      </c>
      <c r="F628" s="156" t="n">
        <v>4</v>
      </c>
      <c r="G628" s="156" t="inlineStr"/>
      <c r="H628" s="157">
        <f>IF($B628="","",IF(ISNA(MATCH($B628,MASTER_JAM!$Q$5:$Q$28,0)),"?",IF(MATCH($B628,MASTER_JAM!$Q$5:$Q$28,0)&lt;=12,"DS","NS")))</f>
        <v/>
      </c>
      <c r="I628" s="157">
        <f>IFERROR(INDEX(MASTER_JAM!$B$5:$B$94,MATCH($C628,MASTER_JAM!$A$5:$A$94,0)),"")</f>
        <v/>
      </c>
      <c r="J628" s="157">
        <f>IFERROR(INDEX(MASTER_JAM!$E$5:$E$94,MATCH($D628,MASTER_JAM!$A$5:$A$94,0)),"")</f>
        <v/>
      </c>
      <c r="K628" s="158">
        <f>IFERROR(INDEX(MASTER_JAM!$J$5:$O$12,MATCH($E628,MASTER_JAM!$I$5:$I$12,0),MATCH($J628,MASTER_JAM!$J$4:$O$4,0))+0,0)</f>
        <v/>
      </c>
      <c r="L628" s="159">
        <f>N($F628)*$K628</f>
        <v/>
      </c>
      <c r="M628" s="157">
        <f>IF($E628="","",IF(OR($E628="Coal",$E628="Dirty Coal"),"MT","BCM"))</f>
        <v/>
      </c>
      <c r="N628" s="157">
        <f>IF($E628="","",IF(OR($E628="Coal",$E628="Dirty Coal"),"Coal","OB"))</f>
        <v/>
      </c>
      <c r="O628" s="157">
        <f>IF($F628="","",IF(COUNTIF(MASTER_JAM!$A$5:$A$94,$C628)=0,"Digger tidak dikenal",IF($J628="","Hauler tidak dikenal",IF($H628="?","Jam salah",IF($K628=0,"Faktor kosong",IF(SUMIFS(INPUT_DELAY!$E$5:$E$20000,INPUT_DELAY!$A$5:$A$20000,$A628,INPUT_DELAY!$B$5:$B$20000,$B628,INPUT_DELAY!$C$5:$C$20000,$C628)+SUMIFS(INPUT_DELAY!$E$5:$E$20000,INPUT_DELAY!$A$5:$A$20000,$A628,INPUT_DELAY!$B$5:$B$20000,$B628,INPUT_DELAY!$C$5:$C$20000,"SEMUA")&gt;=60,"Delay 60 mnt tapi ada ritase","OK"))))))</f>
        <v/>
      </c>
      <c r="P628" s="158">
        <f>IFERROR(INDEX(MASTER_JAM!$Z$5:$AC$10,MATCH($I628,MASTER_JAM!$Y$5:$Y$10,0),MATCH($J628,MASTER_JAM!$Z$4:$AC$4,0))+0,0)</f>
        <v/>
      </c>
      <c r="Q628" s="158">
        <f>IF($P628=0,0,$P628+IFERROR(INDEX(MASTER_JAM!$H$5:$H$94,MATCH($C628,MASTER_JAM!$A$5:$A$94,0))+0,MASTER_JAM!$AC$15)/1000*(60/MASTER_JAM!$AC$12+60/MASTER_JAM!$AC$13)+MASTER_JAM!$AC$14)</f>
        <v/>
      </c>
      <c r="R628" s="158">
        <f>IF(N($F628)=0,0,$F628/SUMIFS(INPUT_RITASE!$F$5:$F$20000,INPUT_RITASE!$A$5:$A$20000,$A628,INPUT_RITASE!$B$5:$B$20000,$B628,INPUT_RITASE!$C$5:$C$20000,$C628,INPUT_RITASE!$D$5:$D$20000,$D628))</f>
        <v/>
      </c>
      <c r="S628" s="158">
        <f>IF($Q628=0,0,$R628*$P628/$Q628)</f>
        <v/>
      </c>
    </row>
    <row r="629">
      <c r="A629" s="155" t="n">
        <v>46105</v>
      </c>
      <c r="B629" s="156" t="inlineStr">
        <is>
          <t>01-02</t>
        </is>
      </c>
      <c r="C629" s="156" t="inlineStr">
        <is>
          <t>EX-753</t>
        </is>
      </c>
      <c r="D629" s="156" t="inlineStr">
        <is>
          <t>DT-506</t>
        </is>
      </c>
      <c r="E629" s="156" t="inlineStr">
        <is>
          <t>OB</t>
        </is>
      </c>
      <c r="F629" s="156" t="n">
        <v>4</v>
      </c>
      <c r="G629" s="156" t="inlineStr"/>
      <c r="H629" s="157">
        <f>IF($B629="","",IF(ISNA(MATCH($B629,MASTER_JAM!$Q$5:$Q$28,0)),"?",IF(MATCH($B629,MASTER_JAM!$Q$5:$Q$28,0)&lt;=12,"DS","NS")))</f>
        <v/>
      </c>
      <c r="I629" s="157">
        <f>IFERROR(INDEX(MASTER_JAM!$B$5:$B$94,MATCH($C629,MASTER_JAM!$A$5:$A$94,0)),"")</f>
        <v/>
      </c>
      <c r="J629" s="157">
        <f>IFERROR(INDEX(MASTER_JAM!$E$5:$E$94,MATCH($D629,MASTER_JAM!$A$5:$A$94,0)),"")</f>
        <v/>
      </c>
      <c r="K629" s="158">
        <f>IFERROR(INDEX(MASTER_JAM!$J$5:$O$12,MATCH($E629,MASTER_JAM!$I$5:$I$12,0),MATCH($J629,MASTER_JAM!$J$4:$O$4,0))+0,0)</f>
        <v/>
      </c>
      <c r="L629" s="159">
        <f>N($F629)*$K629</f>
        <v/>
      </c>
      <c r="M629" s="157">
        <f>IF($E629="","",IF(OR($E629="Coal",$E629="Dirty Coal"),"MT","BCM"))</f>
        <v/>
      </c>
      <c r="N629" s="157">
        <f>IF($E629="","",IF(OR($E629="Coal",$E629="Dirty Coal"),"Coal","OB"))</f>
        <v/>
      </c>
      <c r="O629" s="157">
        <f>IF($F629="","",IF(COUNTIF(MASTER_JAM!$A$5:$A$94,$C629)=0,"Digger tidak dikenal",IF($J629="","Hauler tidak dikenal",IF($H629="?","Jam salah",IF($K629=0,"Faktor kosong",IF(SUMIFS(INPUT_DELAY!$E$5:$E$20000,INPUT_DELAY!$A$5:$A$20000,$A629,INPUT_DELAY!$B$5:$B$20000,$B629,INPUT_DELAY!$C$5:$C$20000,$C629)+SUMIFS(INPUT_DELAY!$E$5:$E$20000,INPUT_DELAY!$A$5:$A$20000,$A629,INPUT_DELAY!$B$5:$B$20000,$B629,INPUT_DELAY!$C$5:$C$20000,"SEMUA")&gt;=60,"Delay 60 mnt tapi ada ritase","OK"))))))</f>
        <v/>
      </c>
      <c r="P629" s="158">
        <f>IFERROR(INDEX(MASTER_JAM!$Z$5:$AC$10,MATCH($I629,MASTER_JAM!$Y$5:$Y$10,0),MATCH($J629,MASTER_JAM!$Z$4:$AC$4,0))+0,0)</f>
        <v/>
      </c>
      <c r="Q629" s="158">
        <f>IF($P629=0,0,$P629+IFERROR(INDEX(MASTER_JAM!$H$5:$H$94,MATCH($C629,MASTER_JAM!$A$5:$A$94,0))+0,MASTER_JAM!$AC$15)/1000*(60/MASTER_JAM!$AC$12+60/MASTER_JAM!$AC$13)+MASTER_JAM!$AC$14)</f>
        <v/>
      </c>
      <c r="R629" s="158">
        <f>IF(N($F629)=0,0,$F629/SUMIFS(INPUT_RITASE!$F$5:$F$20000,INPUT_RITASE!$A$5:$A$20000,$A629,INPUT_RITASE!$B$5:$B$20000,$B629,INPUT_RITASE!$C$5:$C$20000,$C629,INPUT_RITASE!$D$5:$D$20000,$D629))</f>
        <v/>
      </c>
      <c r="S629" s="158">
        <f>IF($Q629=0,0,$R629*$P629/$Q629)</f>
        <v/>
      </c>
    </row>
    <row r="630">
      <c r="A630" s="155" t="n">
        <v>46105</v>
      </c>
      <c r="B630" s="156" t="inlineStr">
        <is>
          <t>01-02</t>
        </is>
      </c>
      <c r="C630" s="156" t="inlineStr">
        <is>
          <t>EX-753</t>
        </is>
      </c>
      <c r="D630" s="156" t="inlineStr">
        <is>
          <t>DT-526</t>
        </is>
      </c>
      <c r="E630" s="156" t="inlineStr">
        <is>
          <t>OB</t>
        </is>
      </c>
      <c r="F630" s="156" t="n">
        <v>4</v>
      </c>
      <c r="G630" s="156" t="inlineStr"/>
      <c r="H630" s="157">
        <f>IF($B630="","",IF(ISNA(MATCH($B630,MASTER_JAM!$Q$5:$Q$28,0)),"?",IF(MATCH($B630,MASTER_JAM!$Q$5:$Q$28,0)&lt;=12,"DS","NS")))</f>
        <v/>
      </c>
      <c r="I630" s="157">
        <f>IFERROR(INDEX(MASTER_JAM!$B$5:$B$94,MATCH($C630,MASTER_JAM!$A$5:$A$94,0)),"")</f>
        <v/>
      </c>
      <c r="J630" s="157">
        <f>IFERROR(INDEX(MASTER_JAM!$E$5:$E$94,MATCH($D630,MASTER_JAM!$A$5:$A$94,0)),"")</f>
        <v/>
      </c>
      <c r="K630" s="158">
        <f>IFERROR(INDEX(MASTER_JAM!$J$5:$O$12,MATCH($E630,MASTER_JAM!$I$5:$I$12,0),MATCH($J630,MASTER_JAM!$J$4:$O$4,0))+0,0)</f>
        <v/>
      </c>
      <c r="L630" s="159">
        <f>N($F630)*$K630</f>
        <v/>
      </c>
      <c r="M630" s="157">
        <f>IF($E630="","",IF(OR($E630="Coal",$E630="Dirty Coal"),"MT","BCM"))</f>
        <v/>
      </c>
      <c r="N630" s="157">
        <f>IF($E630="","",IF(OR($E630="Coal",$E630="Dirty Coal"),"Coal","OB"))</f>
        <v/>
      </c>
      <c r="O630" s="157">
        <f>IF($F630="","",IF(COUNTIF(MASTER_JAM!$A$5:$A$94,$C630)=0,"Digger tidak dikenal",IF($J630="","Hauler tidak dikenal",IF($H630="?","Jam salah",IF($K630=0,"Faktor kosong",IF(SUMIFS(INPUT_DELAY!$E$5:$E$20000,INPUT_DELAY!$A$5:$A$20000,$A630,INPUT_DELAY!$B$5:$B$20000,$B630,INPUT_DELAY!$C$5:$C$20000,$C630)+SUMIFS(INPUT_DELAY!$E$5:$E$20000,INPUT_DELAY!$A$5:$A$20000,$A630,INPUT_DELAY!$B$5:$B$20000,$B630,INPUT_DELAY!$C$5:$C$20000,"SEMUA")&gt;=60,"Delay 60 mnt tapi ada ritase","OK"))))))</f>
        <v/>
      </c>
      <c r="P630" s="158">
        <f>IFERROR(INDEX(MASTER_JAM!$Z$5:$AC$10,MATCH($I630,MASTER_JAM!$Y$5:$Y$10,0),MATCH($J630,MASTER_JAM!$Z$4:$AC$4,0))+0,0)</f>
        <v/>
      </c>
      <c r="Q630" s="158">
        <f>IF($P630=0,0,$P630+IFERROR(INDEX(MASTER_JAM!$H$5:$H$94,MATCH($C630,MASTER_JAM!$A$5:$A$94,0))+0,MASTER_JAM!$AC$15)/1000*(60/MASTER_JAM!$AC$12+60/MASTER_JAM!$AC$13)+MASTER_JAM!$AC$14)</f>
        <v/>
      </c>
      <c r="R630" s="158">
        <f>IF(N($F630)=0,0,$F630/SUMIFS(INPUT_RITASE!$F$5:$F$20000,INPUT_RITASE!$A$5:$A$20000,$A630,INPUT_RITASE!$B$5:$B$20000,$B630,INPUT_RITASE!$C$5:$C$20000,$C630,INPUT_RITASE!$D$5:$D$20000,$D630))</f>
        <v/>
      </c>
      <c r="S630" s="158">
        <f>IF($Q630=0,0,$R630*$P630/$Q630)</f>
        <v/>
      </c>
    </row>
    <row r="631">
      <c r="A631" s="155" t="n">
        <v>46105</v>
      </c>
      <c r="B631" s="156" t="inlineStr">
        <is>
          <t>01-02</t>
        </is>
      </c>
      <c r="C631" s="156" t="inlineStr">
        <is>
          <t>EX-753</t>
        </is>
      </c>
      <c r="D631" s="156" t="inlineStr">
        <is>
          <t>DT-512</t>
        </is>
      </c>
      <c r="E631" s="156" t="inlineStr">
        <is>
          <t>OB</t>
        </is>
      </c>
      <c r="F631" s="156" t="n">
        <v>3</v>
      </c>
      <c r="G631" s="156" t="inlineStr"/>
      <c r="H631" s="157">
        <f>IF($B631="","",IF(ISNA(MATCH($B631,MASTER_JAM!$Q$5:$Q$28,0)),"?",IF(MATCH($B631,MASTER_JAM!$Q$5:$Q$28,0)&lt;=12,"DS","NS")))</f>
        <v/>
      </c>
      <c r="I631" s="157">
        <f>IFERROR(INDEX(MASTER_JAM!$B$5:$B$94,MATCH($C631,MASTER_JAM!$A$5:$A$94,0)),"")</f>
        <v/>
      </c>
      <c r="J631" s="157">
        <f>IFERROR(INDEX(MASTER_JAM!$E$5:$E$94,MATCH($D631,MASTER_JAM!$A$5:$A$94,0)),"")</f>
        <v/>
      </c>
      <c r="K631" s="158">
        <f>IFERROR(INDEX(MASTER_JAM!$J$5:$O$12,MATCH($E631,MASTER_JAM!$I$5:$I$12,0),MATCH($J631,MASTER_JAM!$J$4:$O$4,0))+0,0)</f>
        <v/>
      </c>
      <c r="L631" s="159">
        <f>N($F631)*$K631</f>
        <v/>
      </c>
      <c r="M631" s="157">
        <f>IF($E631="","",IF(OR($E631="Coal",$E631="Dirty Coal"),"MT","BCM"))</f>
        <v/>
      </c>
      <c r="N631" s="157">
        <f>IF($E631="","",IF(OR($E631="Coal",$E631="Dirty Coal"),"Coal","OB"))</f>
        <v/>
      </c>
      <c r="O631" s="157">
        <f>IF($F631="","",IF(COUNTIF(MASTER_JAM!$A$5:$A$94,$C631)=0,"Digger tidak dikenal",IF($J631="","Hauler tidak dikenal",IF($H631="?","Jam salah",IF($K631=0,"Faktor kosong",IF(SUMIFS(INPUT_DELAY!$E$5:$E$20000,INPUT_DELAY!$A$5:$A$20000,$A631,INPUT_DELAY!$B$5:$B$20000,$B631,INPUT_DELAY!$C$5:$C$20000,$C631)+SUMIFS(INPUT_DELAY!$E$5:$E$20000,INPUT_DELAY!$A$5:$A$20000,$A631,INPUT_DELAY!$B$5:$B$20000,$B631,INPUT_DELAY!$C$5:$C$20000,"SEMUA")&gt;=60,"Delay 60 mnt tapi ada ritase","OK"))))))</f>
        <v/>
      </c>
      <c r="P631" s="158">
        <f>IFERROR(INDEX(MASTER_JAM!$Z$5:$AC$10,MATCH($I631,MASTER_JAM!$Y$5:$Y$10,0),MATCH($J631,MASTER_JAM!$Z$4:$AC$4,0))+0,0)</f>
        <v/>
      </c>
      <c r="Q631" s="158">
        <f>IF($P631=0,0,$P631+IFERROR(INDEX(MASTER_JAM!$H$5:$H$94,MATCH($C631,MASTER_JAM!$A$5:$A$94,0))+0,MASTER_JAM!$AC$15)/1000*(60/MASTER_JAM!$AC$12+60/MASTER_JAM!$AC$13)+MASTER_JAM!$AC$14)</f>
        <v/>
      </c>
      <c r="R631" s="158">
        <f>IF(N($F631)=0,0,$F631/SUMIFS(INPUT_RITASE!$F$5:$F$20000,INPUT_RITASE!$A$5:$A$20000,$A631,INPUT_RITASE!$B$5:$B$20000,$B631,INPUT_RITASE!$C$5:$C$20000,$C631,INPUT_RITASE!$D$5:$D$20000,$D631))</f>
        <v/>
      </c>
      <c r="S631" s="158">
        <f>IF($Q631=0,0,$R631*$P631/$Q631)</f>
        <v/>
      </c>
    </row>
    <row r="632">
      <c r="A632" s="155" t="n">
        <v>46105</v>
      </c>
      <c r="B632" s="156" t="inlineStr">
        <is>
          <t>01-02</t>
        </is>
      </c>
      <c r="C632" s="156" t="inlineStr">
        <is>
          <t>EX-753</t>
        </is>
      </c>
      <c r="D632" s="156" t="inlineStr">
        <is>
          <t>DT-515</t>
        </is>
      </c>
      <c r="E632" s="156" t="inlineStr">
        <is>
          <t>OB</t>
        </is>
      </c>
      <c r="F632" s="156" t="n">
        <v>3</v>
      </c>
      <c r="G632" s="156" t="inlineStr"/>
      <c r="H632" s="157">
        <f>IF($B632="","",IF(ISNA(MATCH($B632,MASTER_JAM!$Q$5:$Q$28,0)),"?",IF(MATCH($B632,MASTER_JAM!$Q$5:$Q$28,0)&lt;=12,"DS","NS")))</f>
        <v/>
      </c>
      <c r="I632" s="157">
        <f>IFERROR(INDEX(MASTER_JAM!$B$5:$B$94,MATCH($C632,MASTER_JAM!$A$5:$A$94,0)),"")</f>
        <v/>
      </c>
      <c r="J632" s="157">
        <f>IFERROR(INDEX(MASTER_JAM!$E$5:$E$94,MATCH($D632,MASTER_JAM!$A$5:$A$94,0)),"")</f>
        <v/>
      </c>
      <c r="K632" s="158">
        <f>IFERROR(INDEX(MASTER_JAM!$J$5:$O$12,MATCH($E632,MASTER_JAM!$I$5:$I$12,0),MATCH($J632,MASTER_JAM!$J$4:$O$4,0))+0,0)</f>
        <v/>
      </c>
      <c r="L632" s="159">
        <f>N($F632)*$K632</f>
        <v/>
      </c>
      <c r="M632" s="157">
        <f>IF($E632="","",IF(OR($E632="Coal",$E632="Dirty Coal"),"MT","BCM"))</f>
        <v/>
      </c>
      <c r="N632" s="157">
        <f>IF($E632="","",IF(OR($E632="Coal",$E632="Dirty Coal"),"Coal","OB"))</f>
        <v/>
      </c>
      <c r="O632" s="157">
        <f>IF($F632="","",IF(COUNTIF(MASTER_JAM!$A$5:$A$94,$C632)=0,"Digger tidak dikenal",IF($J632="","Hauler tidak dikenal",IF($H632="?","Jam salah",IF($K632=0,"Faktor kosong",IF(SUMIFS(INPUT_DELAY!$E$5:$E$20000,INPUT_DELAY!$A$5:$A$20000,$A632,INPUT_DELAY!$B$5:$B$20000,$B632,INPUT_DELAY!$C$5:$C$20000,$C632)+SUMIFS(INPUT_DELAY!$E$5:$E$20000,INPUT_DELAY!$A$5:$A$20000,$A632,INPUT_DELAY!$B$5:$B$20000,$B632,INPUT_DELAY!$C$5:$C$20000,"SEMUA")&gt;=60,"Delay 60 mnt tapi ada ritase","OK"))))))</f>
        <v/>
      </c>
      <c r="P632" s="158">
        <f>IFERROR(INDEX(MASTER_JAM!$Z$5:$AC$10,MATCH($I632,MASTER_JAM!$Y$5:$Y$10,0),MATCH($J632,MASTER_JAM!$Z$4:$AC$4,0))+0,0)</f>
        <v/>
      </c>
      <c r="Q632" s="158">
        <f>IF($P632=0,0,$P632+IFERROR(INDEX(MASTER_JAM!$H$5:$H$94,MATCH($C632,MASTER_JAM!$A$5:$A$94,0))+0,MASTER_JAM!$AC$15)/1000*(60/MASTER_JAM!$AC$12+60/MASTER_JAM!$AC$13)+MASTER_JAM!$AC$14)</f>
        <v/>
      </c>
      <c r="R632" s="158">
        <f>IF(N($F632)=0,0,$F632/SUMIFS(INPUT_RITASE!$F$5:$F$20000,INPUT_RITASE!$A$5:$A$20000,$A632,INPUT_RITASE!$B$5:$B$20000,$B632,INPUT_RITASE!$C$5:$C$20000,$C632,INPUT_RITASE!$D$5:$D$20000,$D632))</f>
        <v/>
      </c>
      <c r="S632" s="158">
        <f>IF($Q632=0,0,$R632*$P632/$Q632)</f>
        <v/>
      </c>
    </row>
    <row r="633">
      <c r="A633" s="155" t="n">
        <v>46105</v>
      </c>
      <c r="B633" s="156" t="inlineStr">
        <is>
          <t>02-03</t>
        </is>
      </c>
      <c r="C633" s="156" t="inlineStr">
        <is>
          <t>EX-753</t>
        </is>
      </c>
      <c r="D633" s="156" t="inlineStr">
        <is>
          <t>DT-515</t>
        </is>
      </c>
      <c r="E633" s="156" t="inlineStr">
        <is>
          <t>OB</t>
        </is>
      </c>
      <c r="F633" s="156" t="n">
        <v>4</v>
      </c>
      <c r="G633" s="156" t="inlineStr"/>
      <c r="H633" s="157">
        <f>IF($B633="","",IF(ISNA(MATCH($B633,MASTER_JAM!$Q$5:$Q$28,0)),"?",IF(MATCH($B633,MASTER_JAM!$Q$5:$Q$28,0)&lt;=12,"DS","NS")))</f>
        <v/>
      </c>
      <c r="I633" s="157">
        <f>IFERROR(INDEX(MASTER_JAM!$B$5:$B$94,MATCH($C633,MASTER_JAM!$A$5:$A$94,0)),"")</f>
        <v/>
      </c>
      <c r="J633" s="157">
        <f>IFERROR(INDEX(MASTER_JAM!$E$5:$E$94,MATCH($D633,MASTER_JAM!$A$5:$A$94,0)),"")</f>
        <v/>
      </c>
      <c r="K633" s="158">
        <f>IFERROR(INDEX(MASTER_JAM!$J$5:$O$12,MATCH($E633,MASTER_JAM!$I$5:$I$12,0),MATCH($J633,MASTER_JAM!$J$4:$O$4,0))+0,0)</f>
        <v/>
      </c>
      <c r="L633" s="159">
        <f>N($F633)*$K633</f>
        <v/>
      </c>
      <c r="M633" s="157">
        <f>IF($E633="","",IF(OR($E633="Coal",$E633="Dirty Coal"),"MT","BCM"))</f>
        <v/>
      </c>
      <c r="N633" s="157">
        <f>IF($E633="","",IF(OR($E633="Coal",$E633="Dirty Coal"),"Coal","OB"))</f>
        <v/>
      </c>
      <c r="O633" s="157">
        <f>IF($F633="","",IF(COUNTIF(MASTER_JAM!$A$5:$A$94,$C633)=0,"Digger tidak dikenal",IF($J633="","Hauler tidak dikenal",IF($H633="?","Jam salah",IF($K633=0,"Faktor kosong",IF(SUMIFS(INPUT_DELAY!$E$5:$E$20000,INPUT_DELAY!$A$5:$A$20000,$A633,INPUT_DELAY!$B$5:$B$20000,$B633,INPUT_DELAY!$C$5:$C$20000,$C633)+SUMIFS(INPUT_DELAY!$E$5:$E$20000,INPUT_DELAY!$A$5:$A$20000,$A633,INPUT_DELAY!$B$5:$B$20000,$B633,INPUT_DELAY!$C$5:$C$20000,"SEMUA")&gt;=60,"Delay 60 mnt tapi ada ritase","OK"))))))</f>
        <v/>
      </c>
      <c r="P633" s="158">
        <f>IFERROR(INDEX(MASTER_JAM!$Z$5:$AC$10,MATCH($I633,MASTER_JAM!$Y$5:$Y$10,0),MATCH($J633,MASTER_JAM!$Z$4:$AC$4,0))+0,0)</f>
        <v/>
      </c>
      <c r="Q633" s="158">
        <f>IF($P633=0,0,$P633+IFERROR(INDEX(MASTER_JAM!$H$5:$H$94,MATCH($C633,MASTER_JAM!$A$5:$A$94,0))+0,MASTER_JAM!$AC$15)/1000*(60/MASTER_JAM!$AC$12+60/MASTER_JAM!$AC$13)+MASTER_JAM!$AC$14)</f>
        <v/>
      </c>
      <c r="R633" s="158">
        <f>IF(N($F633)=0,0,$F633/SUMIFS(INPUT_RITASE!$F$5:$F$20000,INPUT_RITASE!$A$5:$A$20000,$A633,INPUT_RITASE!$B$5:$B$20000,$B633,INPUT_RITASE!$C$5:$C$20000,$C633,INPUT_RITASE!$D$5:$D$20000,$D633))</f>
        <v/>
      </c>
      <c r="S633" s="158">
        <f>IF($Q633=0,0,$R633*$P633/$Q633)</f>
        <v/>
      </c>
    </row>
    <row r="634">
      <c r="A634" s="155" t="n">
        <v>46105</v>
      </c>
      <c r="B634" s="156" t="inlineStr">
        <is>
          <t>02-03</t>
        </is>
      </c>
      <c r="C634" s="156" t="inlineStr">
        <is>
          <t>EX-753</t>
        </is>
      </c>
      <c r="D634" s="156" t="inlineStr">
        <is>
          <t>DT-521</t>
        </is>
      </c>
      <c r="E634" s="156" t="inlineStr">
        <is>
          <t>OB</t>
        </is>
      </c>
      <c r="F634" s="156" t="n">
        <v>4</v>
      </c>
      <c r="G634" s="156" t="inlineStr"/>
      <c r="H634" s="157">
        <f>IF($B634="","",IF(ISNA(MATCH($B634,MASTER_JAM!$Q$5:$Q$28,0)),"?",IF(MATCH($B634,MASTER_JAM!$Q$5:$Q$28,0)&lt;=12,"DS","NS")))</f>
        <v/>
      </c>
      <c r="I634" s="157">
        <f>IFERROR(INDEX(MASTER_JAM!$B$5:$B$94,MATCH($C634,MASTER_JAM!$A$5:$A$94,0)),"")</f>
        <v/>
      </c>
      <c r="J634" s="157">
        <f>IFERROR(INDEX(MASTER_JAM!$E$5:$E$94,MATCH($D634,MASTER_JAM!$A$5:$A$94,0)),"")</f>
        <v/>
      </c>
      <c r="K634" s="158">
        <f>IFERROR(INDEX(MASTER_JAM!$J$5:$O$12,MATCH($E634,MASTER_JAM!$I$5:$I$12,0),MATCH($J634,MASTER_JAM!$J$4:$O$4,0))+0,0)</f>
        <v/>
      </c>
      <c r="L634" s="159">
        <f>N($F634)*$K634</f>
        <v/>
      </c>
      <c r="M634" s="157">
        <f>IF($E634="","",IF(OR($E634="Coal",$E634="Dirty Coal"),"MT","BCM"))</f>
        <v/>
      </c>
      <c r="N634" s="157">
        <f>IF($E634="","",IF(OR($E634="Coal",$E634="Dirty Coal"),"Coal","OB"))</f>
        <v/>
      </c>
      <c r="O634" s="157">
        <f>IF($F634="","",IF(COUNTIF(MASTER_JAM!$A$5:$A$94,$C634)=0,"Digger tidak dikenal",IF($J634="","Hauler tidak dikenal",IF($H634="?","Jam salah",IF($K634=0,"Faktor kosong",IF(SUMIFS(INPUT_DELAY!$E$5:$E$20000,INPUT_DELAY!$A$5:$A$20000,$A634,INPUT_DELAY!$B$5:$B$20000,$B634,INPUT_DELAY!$C$5:$C$20000,$C634)+SUMIFS(INPUT_DELAY!$E$5:$E$20000,INPUT_DELAY!$A$5:$A$20000,$A634,INPUT_DELAY!$B$5:$B$20000,$B634,INPUT_DELAY!$C$5:$C$20000,"SEMUA")&gt;=60,"Delay 60 mnt tapi ada ritase","OK"))))))</f>
        <v/>
      </c>
      <c r="P634" s="158">
        <f>IFERROR(INDEX(MASTER_JAM!$Z$5:$AC$10,MATCH($I634,MASTER_JAM!$Y$5:$Y$10,0),MATCH($J634,MASTER_JAM!$Z$4:$AC$4,0))+0,0)</f>
        <v/>
      </c>
      <c r="Q634" s="158">
        <f>IF($P634=0,0,$P634+IFERROR(INDEX(MASTER_JAM!$H$5:$H$94,MATCH($C634,MASTER_JAM!$A$5:$A$94,0))+0,MASTER_JAM!$AC$15)/1000*(60/MASTER_JAM!$AC$12+60/MASTER_JAM!$AC$13)+MASTER_JAM!$AC$14)</f>
        <v/>
      </c>
      <c r="R634" s="158">
        <f>IF(N($F634)=0,0,$F634/SUMIFS(INPUT_RITASE!$F$5:$F$20000,INPUT_RITASE!$A$5:$A$20000,$A634,INPUT_RITASE!$B$5:$B$20000,$B634,INPUT_RITASE!$C$5:$C$20000,$C634,INPUT_RITASE!$D$5:$D$20000,$D634))</f>
        <v/>
      </c>
      <c r="S634" s="158">
        <f>IF($Q634=0,0,$R634*$P634/$Q634)</f>
        <v/>
      </c>
    </row>
    <row r="635">
      <c r="A635" s="155" t="n">
        <v>46105</v>
      </c>
      <c r="B635" s="156" t="inlineStr">
        <is>
          <t>02-03</t>
        </is>
      </c>
      <c r="C635" s="156" t="inlineStr">
        <is>
          <t>EX-753</t>
        </is>
      </c>
      <c r="D635" s="156" t="inlineStr">
        <is>
          <t>DT-503</t>
        </is>
      </c>
      <c r="E635" s="156" t="inlineStr">
        <is>
          <t>OB</t>
        </is>
      </c>
      <c r="F635" s="156" t="n">
        <v>4</v>
      </c>
      <c r="G635" s="156" t="inlineStr"/>
      <c r="H635" s="157">
        <f>IF($B635="","",IF(ISNA(MATCH($B635,MASTER_JAM!$Q$5:$Q$28,0)),"?",IF(MATCH($B635,MASTER_JAM!$Q$5:$Q$28,0)&lt;=12,"DS","NS")))</f>
        <v/>
      </c>
      <c r="I635" s="157">
        <f>IFERROR(INDEX(MASTER_JAM!$B$5:$B$94,MATCH($C635,MASTER_JAM!$A$5:$A$94,0)),"")</f>
        <v/>
      </c>
      <c r="J635" s="157">
        <f>IFERROR(INDEX(MASTER_JAM!$E$5:$E$94,MATCH($D635,MASTER_JAM!$A$5:$A$94,0)),"")</f>
        <v/>
      </c>
      <c r="K635" s="158">
        <f>IFERROR(INDEX(MASTER_JAM!$J$5:$O$12,MATCH($E635,MASTER_JAM!$I$5:$I$12,0),MATCH($J635,MASTER_JAM!$J$4:$O$4,0))+0,0)</f>
        <v/>
      </c>
      <c r="L635" s="159">
        <f>N($F635)*$K635</f>
        <v/>
      </c>
      <c r="M635" s="157">
        <f>IF($E635="","",IF(OR($E635="Coal",$E635="Dirty Coal"),"MT","BCM"))</f>
        <v/>
      </c>
      <c r="N635" s="157">
        <f>IF($E635="","",IF(OR($E635="Coal",$E635="Dirty Coal"),"Coal","OB"))</f>
        <v/>
      </c>
      <c r="O635" s="157">
        <f>IF($F635="","",IF(COUNTIF(MASTER_JAM!$A$5:$A$94,$C635)=0,"Digger tidak dikenal",IF($J635="","Hauler tidak dikenal",IF($H635="?","Jam salah",IF($K635=0,"Faktor kosong",IF(SUMIFS(INPUT_DELAY!$E$5:$E$20000,INPUT_DELAY!$A$5:$A$20000,$A635,INPUT_DELAY!$B$5:$B$20000,$B635,INPUT_DELAY!$C$5:$C$20000,$C635)+SUMIFS(INPUT_DELAY!$E$5:$E$20000,INPUT_DELAY!$A$5:$A$20000,$A635,INPUT_DELAY!$B$5:$B$20000,$B635,INPUT_DELAY!$C$5:$C$20000,"SEMUA")&gt;=60,"Delay 60 mnt tapi ada ritase","OK"))))))</f>
        <v/>
      </c>
      <c r="P635" s="158">
        <f>IFERROR(INDEX(MASTER_JAM!$Z$5:$AC$10,MATCH($I635,MASTER_JAM!$Y$5:$Y$10,0),MATCH($J635,MASTER_JAM!$Z$4:$AC$4,0))+0,0)</f>
        <v/>
      </c>
      <c r="Q635" s="158">
        <f>IF($P635=0,0,$P635+IFERROR(INDEX(MASTER_JAM!$H$5:$H$94,MATCH($C635,MASTER_JAM!$A$5:$A$94,0))+0,MASTER_JAM!$AC$15)/1000*(60/MASTER_JAM!$AC$12+60/MASTER_JAM!$AC$13)+MASTER_JAM!$AC$14)</f>
        <v/>
      </c>
      <c r="R635" s="158">
        <f>IF(N($F635)=0,0,$F635/SUMIFS(INPUT_RITASE!$F$5:$F$20000,INPUT_RITASE!$A$5:$A$20000,$A635,INPUT_RITASE!$B$5:$B$20000,$B635,INPUT_RITASE!$C$5:$C$20000,$C635,INPUT_RITASE!$D$5:$D$20000,$D635))</f>
        <v/>
      </c>
      <c r="S635" s="158">
        <f>IF($Q635=0,0,$R635*$P635/$Q635)</f>
        <v/>
      </c>
    </row>
    <row r="636">
      <c r="A636" s="155" t="n">
        <v>46105</v>
      </c>
      <c r="B636" s="156" t="inlineStr">
        <is>
          <t>02-03</t>
        </is>
      </c>
      <c r="C636" s="156" t="inlineStr">
        <is>
          <t>EX-753</t>
        </is>
      </c>
      <c r="D636" s="156" t="inlineStr">
        <is>
          <t>DT-501</t>
        </is>
      </c>
      <c r="E636" s="156" t="inlineStr">
        <is>
          <t>OB</t>
        </is>
      </c>
      <c r="F636" s="156" t="n">
        <v>3</v>
      </c>
      <c r="G636" s="156" t="inlineStr"/>
      <c r="H636" s="157">
        <f>IF($B636="","",IF(ISNA(MATCH($B636,MASTER_JAM!$Q$5:$Q$28,0)),"?",IF(MATCH($B636,MASTER_JAM!$Q$5:$Q$28,0)&lt;=12,"DS","NS")))</f>
        <v/>
      </c>
      <c r="I636" s="157">
        <f>IFERROR(INDEX(MASTER_JAM!$B$5:$B$94,MATCH($C636,MASTER_JAM!$A$5:$A$94,0)),"")</f>
        <v/>
      </c>
      <c r="J636" s="157">
        <f>IFERROR(INDEX(MASTER_JAM!$E$5:$E$94,MATCH($D636,MASTER_JAM!$A$5:$A$94,0)),"")</f>
        <v/>
      </c>
      <c r="K636" s="158">
        <f>IFERROR(INDEX(MASTER_JAM!$J$5:$O$12,MATCH($E636,MASTER_JAM!$I$5:$I$12,0),MATCH($J636,MASTER_JAM!$J$4:$O$4,0))+0,0)</f>
        <v/>
      </c>
      <c r="L636" s="159">
        <f>N($F636)*$K636</f>
        <v/>
      </c>
      <c r="M636" s="157">
        <f>IF($E636="","",IF(OR($E636="Coal",$E636="Dirty Coal"),"MT","BCM"))</f>
        <v/>
      </c>
      <c r="N636" s="157">
        <f>IF($E636="","",IF(OR($E636="Coal",$E636="Dirty Coal"),"Coal","OB"))</f>
        <v/>
      </c>
      <c r="O636" s="157">
        <f>IF($F636="","",IF(COUNTIF(MASTER_JAM!$A$5:$A$94,$C636)=0,"Digger tidak dikenal",IF($J636="","Hauler tidak dikenal",IF($H636="?","Jam salah",IF($K636=0,"Faktor kosong",IF(SUMIFS(INPUT_DELAY!$E$5:$E$20000,INPUT_DELAY!$A$5:$A$20000,$A636,INPUT_DELAY!$B$5:$B$20000,$B636,INPUT_DELAY!$C$5:$C$20000,$C636)+SUMIFS(INPUT_DELAY!$E$5:$E$20000,INPUT_DELAY!$A$5:$A$20000,$A636,INPUT_DELAY!$B$5:$B$20000,$B636,INPUT_DELAY!$C$5:$C$20000,"SEMUA")&gt;=60,"Delay 60 mnt tapi ada ritase","OK"))))))</f>
        <v/>
      </c>
      <c r="P636" s="158">
        <f>IFERROR(INDEX(MASTER_JAM!$Z$5:$AC$10,MATCH($I636,MASTER_JAM!$Y$5:$Y$10,0),MATCH($J636,MASTER_JAM!$Z$4:$AC$4,0))+0,0)</f>
        <v/>
      </c>
      <c r="Q636" s="158">
        <f>IF($P636=0,0,$P636+IFERROR(INDEX(MASTER_JAM!$H$5:$H$94,MATCH($C636,MASTER_JAM!$A$5:$A$94,0))+0,MASTER_JAM!$AC$15)/1000*(60/MASTER_JAM!$AC$12+60/MASTER_JAM!$AC$13)+MASTER_JAM!$AC$14)</f>
        <v/>
      </c>
      <c r="R636" s="158">
        <f>IF(N($F636)=0,0,$F636/SUMIFS(INPUT_RITASE!$F$5:$F$20000,INPUT_RITASE!$A$5:$A$20000,$A636,INPUT_RITASE!$B$5:$B$20000,$B636,INPUT_RITASE!$C$5:$C$20000,$C636,INPUT_RITASE!$D$5:$D$20000,$D636))</f>
        <v/>
      </c>
      <c r="S636" s="158">
        <f>IF($Q636=0,0,$R636*$P636/$Q636)</f>
        <v/>
      </c>
    </row>
    <row r="637">
      <c r="A637" s="155" t="n">
        <v>46105</v>
      </c>
      <c r="B637" s="156" t="inlineStr">
        <is>
          <t>02-03</t>
        </is>
      </c>
      <c r="C637" s="156" t="inlineStr">
        <is>
          <t>EX-753</t>
        </is>
      </c>
      <c r="D637" s="156" t="inlineStr">
        <is>
          <t>DT-528</t>
        </is>
      </c>
      <c r="E637" s="156" t="inlineStr">
        <is>
          <t>OB</t>
        </is>
      </c>
      <c r="F637" s="156" t="n">
        <v>3</v>
      </c>
      <c r="G637" s="156" t="inlineStr"/>
      <c r="H637" s="157">
        <f>IF($B637="","",IF(ISNA(MATCH($B637,MASTER_JAM!$Q$5:$Q$28,0)),"?",IF(MATCH($B637,MASTER_JAM!$Q$5:$Q$28,0)&lt;=12,"DS","NS")))</f>
        <v/>
      </c>
      <c r="I637" s="157">
        <f>IFERROR(INDEX(MASTER_JAM!$B$5:$B$94,MATCH($C637,MASTER_JAM!$A$5:$A$94,0)),"")</f>
        <v/>
      </c>
      <c r="J637" s="157">
        <f>IFERROR(INDEX(MASTER_JAM!$E$5:$E$94,MATCH($D637,MASTER_JAM!$A$5:$A$94,0)),"")</f>
        <v/>
      </c>
      <c r="K637" s="158">
        <f>IFERROR(INDEX(MASTER_JAM!$J$5:$O$12,MATCH($E637,MASTER_JAM!$I$5:$I$12,0),MATCH($J637,MASTER_JAM!$J$4:$O$4,0))+0,0)</f>
        <v/>
      </c>
      <c r="L637" s="159">
        <f>N($F637)*$K637</f>
        <v/>
      </c>
      <c r="M637" s="157">
        <f>IF($E637="","",IF(OR($E637="Coal",$E637="Dirty Coal"),"MT","BCM"))</f>
        <v/>
      </c>
      <c r="N637" s="157">
        <f>IF($E637="","",IF(OR($E637="Coal",$E637="Dirty Coal"),"Coal","OB"))</f>
        <v/>
      </c>
      <c r="O637" s="157">
        <f>IF($F637="","",IF(COUNTIF(MASTER_JAM!$A$5:$A$94,$C637)=0,"Digger tidak dikenal",IF($J637="","Hauler tidak dikenal",IF($H637="?","Jam salah",IF($K637=0,"Faktor kosong",IF(SUMIFS(INPUT_DELAY!$E$5:$E$20000,INPUT_DELAY!$A$5:$A$20000,$A637,INPUT_DELAY!$B$5:$B$20000,$B637,INPUT_DELAY!$C$5:$C$20000,$C637)+SUMIFS(INPUT_DELAY!$E$5:$E$20000,INPUT_DELAY!$A$5:$A$20000,$A637,INPUT_DELAY!$B$5:$B$20000,$B637,INPUT_DELAY!$C$5:$C$20000,"SEMUA")&gt;=60,"Delay 60 mnt tapi ada ritase","OK"))))))</f>
        <v/>
      </c>
      <c r="P637" s="158">
        <f>IFERROR(INDEX(MASTER_JAM!$Z$5:$AC$10,MATCH($I637,MASTER_JAM!$Y$5:$Y$10,0),MATCH($J637,MASTER_JAM!$Z$4:$AC$4,0))+0,0)</f>
        <v/>
      </c>
      <c r="Q637" s="158">
        <f>IF($P637=0,0,$P637+IFERROR(INDEX(MASTER_JAM!$H$5:$H$94,MATCH($C637,MASTER_JAM!$A$5:$A$94,0))+0,MASTER_JAM!$AC$15)/1000*(60/MASTER_JAM!$AC$12+60/MASTER_JAM!$AC$13)+MASTER_JAM!$AC$14)</f>
        <v/>
      </c>
      <c r="R637" s="158">
        <f>IF(N($F637)=0,0,$F637/SUMIFS(INPUT_RITASE!$F$5:$F$20000,INPUT_RITASE!$A$5:$A$20000,$A637,INPUT_RITASE!$B$5:$B$20000,$B637,INPUT_RITASE!$C$5:$C$20000,$C637,INPUT_RITASE!$D$5:$D$20000,$D637))</f>
        <v/>
      </c>
      <c r="S637" s="158">
        <f>IF($Q637=0,0,$R637*$P637/$Q637)</f>
        <v/>
      </c>
    </row>
    <row r="638">
      <c r="A638" s="155" t="n">
        <v>46105</v>
      </c>
      <c r="B638" s="156" t="inlineStr">
        <is>
          <t>03-04</t>
        </is>
      </c>
      <c r="C638" s="156" t="inlineStr">
        <is>
          <t>EX-753</t>
        </is>
      </c>
      <c r="D638" s="156" t="inlineStr">
        <is>
          <t>DT-504</t>
        </is>
      </c>
      <c r="E638" s="156" t="inlineStr">
        <is>
          <t>OB</t>
        </is>
      </c>
      <c r="F638" s="156" t="n">
        <v>4</v>
      </c>
      <c r="G638" s="156" t="inlineStr"/>
      <c r="H638" s="157">
        <f>IF($B638="","",IF(ISNA(MATCH($B638,MASTER_JAM!$Q$5:$Q$28,0)),"?",IF(MATCH($B638,MASTER_JAM!$Q$5:$Q$28,0)&lt;=12,"DS","NS")))</f>
        <v/>
      </c>
      <c r="I638" s="157">
        <f>IFERROR(INDEX(MASTER_JAM!$B$5:$B$94,MATCH($C638,MASTER_JAM!$A$5:$A$94,0)),"")</f>
        <v/>
      </c>
      <c r="J638" s="157">
        <f>IFERROR(INDEX(MASTER_JAM!$E$5:$E$94,MATCH($D638,MASTER_JAM!$A$5:$A$94,0)),"")</f>
        <v/>
      </c>
      <c r="K638" s="158">
        <f>IFERROR(INDEX(MASTER_JAM!$J$5:$O$12,MATCH($E638,MASTER_JAM!$I$5:$I$12,0),MATCH($J638,MASTER_JAM!$J$4:$O$4,0))+0,0)</f>
        <v/>
      </c>
      <c r="L638" s="159">
        <f>N($F638)*$K638</f>
        <v/>
      </c>
      <c r="M638" s="157">
        <f>IF($E638="","",IF(OR($E638="Coal",$E638="Dirty Coal"),"MT","BCM"))</f>
        <v/>
      </c>
      <c r="N638" s="157">
        <f>IF($E638="","",IF(OR($E638="Coal",$E638="Dirty Coal"),"Coal","OB"))</f>
        <v/>
      </c>
      <c r="O638" s="157">
        <f>IF($F638="","",IF(COUNTIF(MASTER_JAM!$A$5:$A$94,$C638)=0,"Digger tidak dikenal",IF($J638="","Hauler tidak dikenal",IF($H638="?","Jam salah",IF($K638=0,"Faktor kosong",IF(SUMIFS(INPUT_DELAY!$E$5:$E$20000,INPUT_DELAY!$A$5:$A$20000,$A638,INPUT_DELAY!$B$5:$B$20000,$B638,INPUT_DELAY!$C$5:$C$20000,$C638)+SUMIFS(INPUT_DELAY!$E$5:$E$20000,INPUT_DELAY!$A$5:$A$20000,$A638,INPUT_DELAY!$B$5:$B$20000,$B638,INPUT_DELAY!$C$5:$C$20000,"SEMUA")&gt;=60,"Delay 60 mnt tapi ada ritase","OK"))))))</f>
        <v/>
      </c>
      <c r="P638" s="158">
        <f>IFERROR(INDEX(MASTER_JAM!$Z$5:$AC$10,MATCH($I638,MASTER_JAM!$Y$5:$Y$10,0),MATCH($J638,MASTER_JAM!$Z$4:$AC$4,0))+0,0)</f>
        <v/>
      </c>
      <c r="Q638" s="158">
        <f>IF($P638=0,0,$P638+IFERROR(INDEX(MASTER_JAM!$H$5:$H$94,MATCH($C638,MASTER_JAM!$A$5:$A$94,0))+0,MASTER_JAM!$AC$15)/1000*(60/MASTER_JAM!$AC$12+60/MASTER_JAM!$AC$13)+MASTER_JAM!$AC$14)</f>
        <v/>
      </c>
      <c r="R638" s="158">
        <f>IF(N($F638)=0,0,$F638/SUMIFS(INPUT_RITASE!$F$5:$F$20000,INPUT_RITASE!$A$5:$A$20000,$A638,INPUT_RITASE!$B$5:$B$20000,$B638,INPUT_RITASE!$C$5:$C$20000,$C638,INPUT_RITASE!$D$5:$D$20000,$D638))</f>
        <v/>
      </c>
      <c r="S638" s="158">
        <f>IF($Q638=0,0,$R638*$P638/$Q638)</f>
        <v/>
      </c>
    </row>
    <row r="639">
      <c r="A639" s="155" t="n">
        <v>46105</v>
      </c>
      <c r="B639" s="156" t="inlineStr">
        <is>
          <t>03-04</t>
        </is>
      </c>
      <c r="C639" s="156" t="inlineStr">
        <is>
          <t>EX-753</t>
        </is>
      </c>
      <c r="D639" s="156" t="inlineStr">
        <is>
          <t>DT-520</t>
        </is>
      </c>
      <c r="E639" s="156" t="inlineStr">
        <is>
          <t>OB</t>
        </is>
      </c>
      <c r="F639" s="156" t="n">
        <v>3</v>
      </c>
      <c r="G639" s="156" t="inlineStr"/>
      <c r="H639" s="157">
        <f>IF($B639="","",IF(ISNA(MATCH($B639,MASTER_JAM!$Q$5:$Q$28,0)),"?",IF(MATCH($B639,MASTER_JAM!$Q$5:$Q$28,0)&lt;=12,"DS","NS")))</f>
        <v/>
      </c>
      <c r="I639" s="157">
        <f>IFERROR(INDEX(MASTER_JAM!$B$5:$B$94,MATCH($C639,MASTER_JAM!$A$5:$A$94,0)),"")</f>
        <v/>
      </c>
      <c r="J639" s="157">
        <f>IFERROR(INDEX(MASTER_JAM!$E$5:$E$94,MATCH($D639,MASTER_JAM!$A$5:$A$94,0)),"")</f>
        <v/>
      </c>
      <c r="K639" s="158">
        <f>IFERROR(INDEX(MASTER_JAM!$J$5:$O$12,MATCH($E639,MASTER_JAM!$I$5:$I$12,0),MATCH($J639,MASTER_JAM!$J$4:$O$4,0))+0,0)</f>
        <v/>
      </c>
      <c r="L639" s="159">
        <f>N($F639)*$K639</f>
        <v/>
      </c>
      <c r="M639" s="157">
        <f>IF($E639="","",IF(OR($E639="Coal",$E639="Dirty Coal"),"MT","BCM"))</f>
        <v/>
      </c>
      <c r="N639" s="157">
        <f>IF($E639="","",IF(OR($E639="Coal",$E639="Dirty Coal"),"Coal","OB"))</f>
        <v/>
      </c>
      <c r="O639" s="157">
        <f>IF($F639="","",IF(COUNTIF(MASTER_JAM!$A$5:$A$94,$C639)=0,"Digger tidak dikenal",IF($J639="","Hauler tidak dikenal",IF($H639="?","Jam salah",IF($K639=0,"Faktor kosong",IF(SUMIFS(INPUT_DELAY!$E$5:$E$20000,INPUT_DELAY!$A$5:$A$20000,$A639,INPUT_DELAY!$B$5:$B$20000,$B639,INPUT_DELAY!$C$5:$C$20000,$C639)+SUMIFS(INPUT_DELAY!$E$5:$E$20000,INPUT_DELAY!$A$5:$A$20000,$A639,INPUT_DELAY!$B$5:$B$20000,$B639,INPUT_DELAY!$C$5:$C$20000,"SEMUA")&gt;=60,"Delay 60 mnt tapi ada ritase","OK"))))))</f>
        <v/>
      </c>
      <c r="P639" s="158">
        <f>IFERROR(INDEX(MASTER_JAM!$Z$5:$AC$10,MATCH($I639,MASTER_JAM!$Y$5:$Y$10,0),MATCH($J639,MASTER_JAM!$Z$4:$AC$4,0))+0,0)</f>
        <v/>
      </c>
      <c r="Q639" s="158">
        <f>IF($P639=0,0,$P639+IFERROR(INDEX(MASTER_JAM!$H$5:$H$94,MATCH($C639,MASTER_JAM!$A$5:$A$94,0))+0,MASTER_JAM!$AC$15)/1000*(60/MASTER_JAM!$AC$12+60/MASTER_JAM!$AC$13)+MASTER_JAM!$AC$14)</f>
        <v/>
      </c>
      <c r="R639" s="158">
        <f>IF(N($F639)=0,0,$F639/SUMIFS(INPUT_RITASE!$F$5:$F$20000,INPUT_RITASE!$A$5:$A$20000,$A639,INPUT_RITASE!$B$5:$B$20000,$B639,INPUT_RITASE!$C$5:$C$20000,$C639,INPUT_RITASE!$D$5:$D$20000,$D639))</f>
        <v/>
      </c>
      <c r="S639" s="158">
        <f>IF($Q639=0,0,$R639*$P639/$Q639)</f>
        <v/>
      </c>
    </row>
    <row r="640">
      <c r="A640" s="155" t="n">
        <v>46105</v>
      </c>
      <c r="B640" s="156" t="inlineStr">
        <is>
          <t>03-04</t>
        </is>
      </c>
      <c r="C640" s="156" t="inlineStr">
        <is>
          <t>EX-753</t>
        </is>
      </c>
      <c r="D640" s="156" t="inlineStr">
        <is>
          <t>DT-513</t>
        </is>
      </c>
      <c r="E640" s="156" t="inlineStr">
        <is>
          <t>OB</t>
        </is>
      </c>
      <c r="F640" s="156" t="n">
        <v>3</v>
      </c>
      <c r="G640" s="156" t="inlineStr"/>
      <c r="H640" s="157">
        <f>IF($B640="","",IF(ISNA(MATCH($B640,MASTER_JAM!$Q$5:$Q$28,0)),"?",IF(MATCH($B640,MASTER_JAM!$Q$5:$Q$28,0)&lt;=12,"DS","NS")))</f>
        <v/>
      </c>
      <c r="I640" s="157">
        <f>IFERROR(INDEX(MASTER_JAM!$B$5:$B$94,MATCH($C640,MASTER_JAM!$A$5:$A$94,0)),"")</f>
        <v/>
      </c>
      <c r="J640" s="157">
        <f>IFERROR(INDEX(MASTER_JAM!$E$5:$E$94,MATCH($D640,MASTER_JAM!$A$5:$A$94,0)),"")</f>
        <v/>
      </c>
      <c r="K640" s="158">
        <f>IFERROR(INDEX(MASTER_JAM!$J$5:$O$12,MATCH($E640,MASTER_JAM!$I$5:$I$12,0),MATCH($J640,MASTER_JAM!$J$4:$O$4,0))+0,0)</f>
        <v/>
      </c>
      <c r="L640" s="159">
        <f>N($F640)*$K640</f>
        <v/>
      </c>
      <c r="M640" s="157">
        <f>IF($E640="","",IF(OR($E640="Coal",$E640="Dirty Coal"),"MT","BCM"))</f>
        <v/>
      </c>
      <c r="N640" s="157">
        <f>IF($E640="","",IF(OR($E640="Coal",$E640="Dirty Coal"),"Coal","OB"))</f>
        <v/>
      </c>
      <c r="O640" s="157">
        <f>IF($F640="","",IF(COUNTIF(MASTER_JAM!$A$5:$A$94,$C640)=0,"Digger tidak dikenal",IF($J640="","Hauler tidak dikenal",IF($H640="?","Jam salah",IF($K640=0,"Faktor kosong",IF(SUMIFS(INPUT_DELAY!$E$5:$E$20000,INPUT_DELAY!$A$5:$A$20000,$A640,INPUT_DELAY!$B$5:$B$20000,$B640,INPUT_DELAY!$C$5:$C$20000,$C640)+SUMIFS(INPUT_DELAY!$E$5:$E$20000,INPUT_DELAY!$A$5:$A$20000,$A640,INPUT_DELAY!$B$5:$B$20000,$B640,INPUT_DELAY!$C$5:$C$20000,"SEMUA")&gt;=60,"Delay 60 mnt tapi ada ritase","OK"))))))</f>
        <v/>
      </c>
      <c r="P640" s="158">
        <f>IFERROR(INDEX(MASTER_JAM!$Z$5:$AC$10,MATCH($I640,MASTER_JAM!$Y$5:$Y$10,0),MATCH($J640,MASTER_JAM!$Z$4:$AC$4,0))+0,0)</f>
        <v/>
      </c>
      <c r="Q640" s="158">
        <f>IF($P640=0,0,$P640+IFERROR(INDEX(MASTER_JAM!$H$5:$H$94,MATCH($C640,MASTER_JAM!$A$5:$A$94,0))+0,MASTER_JAM!$AC$15)/1000*(60/MASTER_JAM!$AC$12+60/MASTER_JAM!$AC$13)+MASTER_JAM!$AC$14)</f>
        <v/>
      </c>
      <c r="R640" s="158">
        <f>IF(N($F640)=0,0,$F640/SUMIFS(INPUT_RITASE!$F$5:$F$20000,INPUT_RITASE!$A$5:$A$20000,$A640,INPUT_RITASE!$B$5:$B$20000,$B640,INPUT_RITASE!$C$5:$C$20000,$C640,INPUT_RITASE!$D$5:$D$20000,$D640))</f>
        <v/>
      </c>
      <c r="S640" s="158">
        <f>IF($Q640=0,0,$R640*$P640/$Q640)</f>
        <v/>
      </c>
    </row>
    <row r="641">
      <c r="A641" s="155" t="n">
        <v>46105</v>
      </c>
      <c r="B641" s="156" t="inlineStr">
        <is>
          <t>04-05</t>
        </is>
      </c>
      <c r="C641" s="156" t="inlineStr">
        <is>
          <t>EX-753</t>
        </is>
      </c>
      <c r="D641" s="156" t="inlineStr">
        <is>
          <t>DT-521</t>
        </is>
      </c>
      <c r="E641" s="156" t="inlineStr">
        <is>
          <t>Coal</t>
        </is>
      </c>
      <c r="F641" s="156" t="n">
        <v>4</v>
      </c>
      <c r="G641" s="156" t="inlineStr"/>
      <c r="H641" s="157">
        <f>IF($B641="","",IF(ISNA(MATCH($B641,MASTER_JAM!$Q$5:$Q$28,0)),"?",IF(MATCH($B641,MASTER_JAM!$Q$5:$Q$28,0)&lt;=12,"DS","NS")))</f>
        <v/>
      </c>
      <c r="I641" s="157">
        <f>IFERROR(INDEX(MASTER_JAM!$B$5:$B$94,MATCH($C641,MASTER_JAM!$A$5:$A$94,0)),"")</f>
        <v/>
      </c>
      <c r="J641" s="157">
        <f>IFERROR(INDEX(MASTER_JAM!$E$5:$E$94,MATCH($D641,MASTER_JAM!$A$5:$A$94,0)),"")</f>
        <v/>
      </c>
      <c r="K641" s="158">
        <f>IFERROR(INDEX(MASTER_JAM!$J$5:$O$12,MATCH($E641,MASTER_JAM!$I$5:$I$12,0),MATCH($J641,MASTER_JAM!$J$4:$O$4,0))+0,0)</f>
        <v/>
      </c>
      <c r="L641" s="159">
        <f>N($F641)*$K641</f>
        <v/>
      </c>
      <c r="M641" s="157">
        <f>IF($E641="","",IF(OR($E641="Coal",$E641="Dirty Coal"),"MT","BCM"))</f>
        <v/>
      </c>
      <c r="N641" s="157">
        <f>IF($E641="","",IF(OR($E641="Coal",$E641="Dirty Coal"),"Coal","OB"))</f>
        <v/>
      </c>
      <c r="O641" s="157">
        <f>IF($F641="","",IF(COUNTIF(MASTER_JAM!$A$5:$A$94,$C641)=0,"Digger tidak dikenal",IF($J641="","Hauler tidak dikenal",IF($H641="?","Jam salah",IF($K641=0,"Faktor kosong",IF(SUMIFS(INPUT_DELAY!$E$5:$E$20000,INPUT_DELAY!$A$5:$A$20000,$A641,INPUT_DELAY!$B$5:$B$20000,$B641,INPUT_DELAY!$C$5:$C$20000,$C641)+SUMIFS(INPUT_DELAY!$E$5:$E$20000,INPUT_DELAY!$A$5:$A$20000,$A641,INPUT_DELAY!$B$5:$B$20000,$B641,INPUT_DELAY!$C$5:$C$20000,"SEMUA")&gt;=60,"Delay 60 mnt tapi ada ritase","OK"))))))</f>
        <v/>
      </c>
      <c r="P641" s="158">
        <f>IFERROR(INDEX(MASTER_JAM!$Z$5:$AC$10,MATCH($I641,MASTER_JAM!$Y$5:$Y$10,0),MATCH($J641,MASTER_JAM!$Z$4:$AC$4,0))+0,0)</f>
        <v/>
      </c>
      <c r="Q641" s="158">
        <f>IF($P641=0,0,$P641+IFERROR(INDEX(MASTER_JAM!$H$5:$H$94,MATCH($C641,MASTER_JAM!$A$5:$A$94,0))+0,MASTER_JAM!$AC$15)/1000*(60/MASTER_JAM!$AC$12+60/MASTER_JAM!$AC$13)+MASTER_JAM!$AC$14)</f>
        <v/>
      </c>
      <c r="R641" s="158">
        <f>IF(N($F641)=0,0,$F641/SUMIFS(INPUT_RITASE!$F$5:$F$20000,INPUT_RITASE!$A$5:$A$20000,$A641,INPUT_RITASE!$B$5:$B$20000,$B641,INPUT_RITASE!$C$5:$C$20000,$C641,INPUT_RITASE!$D$5:$D$20000,$D641))</f>
        <v/>
      </c>
      <c r="S641" s="158">
        <f>IF($Q641=0,0,$R641*$P641/$Q641)</f>
        <v/>
      </c>
    </row>
    <row r="642">
      <c r="A642" s="155" t="n">
        <v>46105</v>
      </c>
      <c r="B642" s="156" t="inlineStr">
        <is>
          <t>04-05</t>
        </is>
      </c>
      <c r="C642" s="156" t="inlineStr">
        <is>
          <t>EX-753</t>
        </is>
      </c>
      <c r="D642" s="156" t="inlineStr">
        <is>
          <t>DT-506</t>
        </is>
      </c>
      <c r="E642" s="156" t="inlineStr">
        <is>
          <t>Coal</t>
        </is>
      </c>
      <c r="F642" s="156" t="n">
        <v>4</v>
      </c>
      <c r="G642" s="156" t="inlineStr"/>
      <c r="H642" s="157">
        <f>IF($B642="","",IF(ISNA(MATCH($B642,MASTER_JAM!$Q$5:$Q$28,0)),"?",IF(MATCH($B642,MASTER_JAM!$Q$5:$Q$28,0)&lt;=12,"DS","NS")))</f>
        <v/>
      </c>
      <c r="I642" s="157">
        <f>IFERROR(INDEX(MASTER_JAM!$B$5:$B$94,MATCH($C642,MASTER_JAM!$A$5:$A$94,0)),"")</f>
        <v/>
      </c>
      <c r="J642" s="157">
        <f>IFERROR(INDEX(MASTER_JAM!$E$5:$E$94,MATCH($D642,MASTER_JAM!$A$5:$A$94,0)),"")</f>
        <v/>
      </c>
      <c r="K642" s="158">
        <f>IFERROR(INDEX(MASTER_JAM!$J$5:$O$12,MATCH($E642,MASTER_JAM!$I$5:$I$12,0),MATCH($J642,MASTER_JAM!$J$4:$O$4,0))+0,0)</f>
        <v/>
      </c>
      <c r="L642" s="159">
        <f>N($F642)*$K642</f>
        <v/>
      </c>
      <c r="M642" s="157">
        <f>IF($E642="","",IF(OR($E642="Coal",$E642="Dirty Coal"),"MT","BCM"))</f>
        <v/>
      </c>
      <c r="N642" s="157">
        <f>IF($E642="","",IF(OR($E642="Coal",$E642="Dirty Coal"),"Coal","OB"))</f>
        <v/>
      </c>
      <c r="O642" s="157">
        <f>IF($F642="","",IF(COUNTIF(MASTER_JAM!$A$5:$A$94,$C642)=0,"Digger tidak dikenal",IF($J642="","Hauler tidak dikenal",IF($H642="?","Jam salah",IF($K642=0,"Faktor kosong",IF(SUMIFS(INPUT_DELAY!$E$5:$E$20000,INPUT_DELAY!$A$5:$A$20000,$A642,INPUT_DELAY!$B$5:$B$20000,$B642,INPUT_DELAY!$C$5:$C$20000,$C642)+SUMIFS(INPUT_DELAY!$E$5:$E$20000,INPUT_DELAY!$A$5:$A$20000,$A642,INPUT_DELAY!$B$5:$B$20000,$B642,INPUT_DELAY!$C$5:$C$20000,"SEMUA")&gt;=60,"Delay 60 mnt tapi ada ritase","OK"))))))</f>
        <v/>
      </c>
      <c r="P642" s="158">
        <f>IFERROR(INDEX(MASTER_JAM!$Z$5:$AC$10,MATCH($I642,MASTER_JAM!$Y$5:$Y$10,0),MATCH($J642,MASTER_JAM!$Z$4:$AC$4,0))+0,0)</f>
        <v/>
      </c>
      <c r="Q642" s="158">
        <f>IF($P642=0,0,$P642+IFERROR(INDEX(MASTER_JAM!$H$5:$H$94,MATCH($C642,MASTER_JAM!$A$5:$A$94,0))+0,MASTER_JAM!$AC$15)/1000*(60/MASTER_JAM!$AC$12+60/MASTER_JAM!$AC$13)+MASTER_JAM!$AC$14)</f>
        <v/>
      </c>
      <c r="R642" s="158">
        <f>IF(N($F642)=0,0,$F642/SUMIFS(INPUT_RITASE!$F$5:$F$20000,INPUT_RITASE!$A$5:$A$20000,$A642,INPUT_RITASE!$B$5:$B$20000,$B642,INPUT_RITASE!$C$5:$C$20000,$C642,INPUT_RITASE!$D$5:$D$20000,$D642))</f>
        <v/>
      </c>
      <c r="S642" s="158">
        <f>IF($Q642=0,0,$R642*$P642/$Q642)</f>
        <v/>
      </c>
    </row>
    <row r="643">
      <c r="A643" s="155" t="n">
        <v>46105</v>
      </c>
      <c r="B643" s="156" t="inlineStr">
        <is>
          <t>05-06</t>
        </is>
      </c>
      <c r="C643" s="156" t="inlineStr">
        <is>
          <t>EX-753</t>
        </is>
      </c>
      <c r="D643" s="156" t="inlineStr">
        <is>
          <t>DT-512</t>
        </is>
      </c>
      <c r="E643" s="156" t="inlineStr">
        <is>
          <t>Coal</t>
        </is>
      </c>
      <c r="F643" s="156" t="n">
        <v>3</v>
      </c>
      <c r="G643" s="156" t="inlineStr"/>
      <c r="H643" s="157">
        <f>IF($B643="","",IF(ISNA(MATCH($B643,MASTER_JAM!$Q$5:$Q$28,0)),"?",IF(MATCH($B643,MASTER_JAM!$Q$5:$Q$28,0)&lt;=12,"DS","NS")))</f>
        <v/>
      </c>
      <c r="I643" s="157">
        <f>IFERROR(INDEX(MASTER_JAM!$B$5:$B$94,MATCH($C643,MASTER_JAM!$A$5:$A$94,0)),"")</f>
        <v/>
      </c>
      <c r="J643" s="157">
        <f>IFERROR(INDEX(MASTER_JAM!$E$5:$E$94,MATCH($D643,MASTER_JAM!$A$5:$A$94,0)),"")</f>
        <v/>
      </c>
      <c r="K643" s="158">
        <f>IFERROR(INDEX(MASTER_JAM!$J$5:$O$12,MATCH($E643,MASTER_JAM!$I$5:$I$12,0),MATCH($J643,MASTER_JAM!$J$4:$O$4,0))+0,0)</f>
        <v/>
      </c>
      <c r="L643" s="159">
        <f>N($F643)*$K643</f>
        <v/>
      </c>
      <c r="M643" s="157">
        <f>IF($E643="","",IF(OR($E643="Coal",$E643="Dirty Coal"),"MT","BCM"))</f>
        <v/>
      </c>
      <c r="N643" s="157">
        <f>IF($E643="","",IF(OR($E643="Coal",$E643="Dirty Coal"),"Coal","OB"))</f>
        <v/>
      </c>
      <c r="O643" s="157">
        <f>IF($F643="","",IF(COUNTIF(MASTER_JAM!$A$5:$A$94,$C643)=0,"Digger tidak dikenal",IF($J643="","Hauler tidak dikenal",IF($H643="?","Jam salah",IF($K643=0,"Faktor kosong",IF(SUMIFS(INPUT_DELAY!$E$5:$E$20000,INPUT_DELAY!$A$5:$A$20000,$A643,INPUT_DELAY!$B$5:$B$20000,$B643,INPUT_DELAY!$C$5:$C$20000,$C643)+SUMIFS(INPUT_DELAY!$E$5:$E$20000,INPUT_DELAY!$A$5:$A$20000,$A643,INPUT_DELAY!$B$5:$B$20000,$B643,INPUT_DELAY!$C$5:$C$20000,"SEMUA")&gt;=60,"Delay 60 mnt tapi ada ritase","OK"))))))</f>
        <v/>
      </c>
      <c r="P643" s="158">
        <f>IFERROR(INDEX(MASTER_JAM!$Z$5:$AC$10,MATCH($I643,MASTER_JAM!$Y$5:$Y$10,0),MATCH($J643,MASTER_JAM!$Z$4:$AC$4,0))+0,0)</f>
        <v/>
      </c>
      <c r="Q643" s="158">
        <f>IF($P643=0,0,$P643+IFERROR(INDEX(MASTER_JAM!$H$5:$H$94,MATCH($C643,MASTER_JAM!$A$5:$A$94,0))+0,MASTER_JAM!$AC$15)/1000*(60/MASTER_JAM!$AC$12+60/MASTER_JAM!$AC$13)+MASTER_JAM!$AC$14)</f>
        <v/>
      </c>
      <c r="R643" s="158">
        <f>IF(N($F643)=0,0,$F643/SUMIFS(INPUT_RITASE!$F$5:$F$20000,INPUT_RITASE!$A$5:$A$20000,$A643,INPUT_RITASE!$B$5:$B$20000,$B643,INPUT_RITASE!$C$5:$C$20000,$C643,INPUT_RITASE!$D$5:$D$20000,$D643))</f>
        <v/>
      </c>
      <c r="S643" s="158">
        <f>IF($Q643=0,0,$R643*$P643/$Q643)</f>
        <v/>
      </c>
    </row>
    <row r="644">
      <c r="A644" s="155" t="n">
        <v>46105</v>
      </c>
      <c r="B644" s="156" t="inlineStr">
        <is>
          <t>05-06</t>
        </is>
      </c>
      <c r="C644" s="156" t="inlineStr">
        <is>
          <t>EX-753</t>
        </is>
      </c>
      <c r="D644" s="156" t="inlineStr">
        <is>
          <t>DT-527</t>
        </is>
      </c>
      <c r="E644" s="156" t="inlineStr">
        <is>
          <t>Coal</t>
        </is>
      </c>
      <c r="F644" s="156" t="n">
        <v>2</v>
      </c>
      <c r="G644" s="156" t="inlineStr"/>
      <c r="H644" s="157">
        <f>IF($B644="","",IF(ISNA(MATCH($B644,MASTER_JAM!$Q$5:$Q$28,0)),"?",IF(MATCH($B644,MASTER_JAM!$Q$5:$Q$28,0)&lt;=12,"DS","NS")))</f>
        <v/>
      </c>
      <c r="I644" s="157">
        <f>IFERROR(INDEX(MASTER_JAM!$B$5:$B$94,MATCH($C644,MASTER_JAM!$A$5:$A$94,0)),"")</f>
        <v/>
      </c>
      <c r="J644" s="157">
        <f>IFERROR(INDEX(MASTER_JAM!$E$5:$E$94,MATCH($D644,MASTER_JAM!$A$5:$A$94,0)),"")</f>
        <v/>
      </c>
      <c r="K644" s="158">
        <f>IFERROR(INDEX(MASTER_JAM!$J$5:$O$12,MATCH($E644,MASTER_JAM!$I$5:$I$12,0),MATCH($J644,MASTER_JAM!$J$4:$O$4,0))+0,0)</f>
        <v/>
      </c>
      <c r="L644" s="159">
        <f>N($F644)*$K644</f>
        <v/>
      </c>
      <c r="M644" s="157">
        <f>IF($E644="","",IF(OR($E644="Coal",$E644="Dirty Coal"),"MT","BCM"))</f>
        <v/>
      </c>
      <c r="N644" s="157">
        <f>IF($E644="","",IF(OR($E644="Coal",$E644="Dirty Coal"),"Coal","OB"))</f>
        <v/>
      </c>
      <c r="O644" s="157">
        <f>IF($F644="","",IF(COUNTIF(MASTER_JAM!$A$5:$A$94,$C644)=0,"Digger tidak dikenal",IF($J644="","Hauler tidak dikenal",IF($H644="?","Jam salah",IF($K644=0,"Faktor kosong",IF(SUMIFS(INPUT_DELAY!$E$5:$E$20000,INPUT_DELAY!$A$5:$A$20000,$A644,INPUT_DELAY!$B$5:$B$20000,$B644,INPUT_DELAY!$C$5:$C$20000,$C644)+SUMIFS(INPUT_DELAY!$E$5:$E$20000,INPUT_DELAY!$A$5:$A$20000,$A644,INPUT_DELAY!$B$5:$B$20000,$B644,INPUT_DELAY!$C$5:$C$20000,"SEMUA")&gt;=60,"Delay 60 mnt tapi ada ritase","OK"))))))</f>
        <v/>
      </c>
      <c r="P644" s="158">
        <f>IFERROR(INDEX(MASTER_JAM!$Z$5:$AC$10,MATCH($I644,MASTER_JAM!$Y$5:$Y$10,0),MATCH($J644,MASTER_JAM!$Z$4:$AC$4,0))+0,0)</f>
        <v/>
      </c>
      <c r="Q644" s="158">
        <f>IF($P644=0,0,$P644+IFERROR(INDEX(MASTER_JAM!$H$5:$H$94,MATCH($C644,MASTER_JAM!$A$5:$A$94,0))+0,MASTER_JAM!$AC$15)/1000*(60/MASTER_JAM!$AC$12+60/MASTER_JAM!$AC$13)+MASTER_JAM!$AC$14)</f>
        <v/>
      </c>
      <c r="R644" s="158">
        <f>IF(N($F644)=0,0,$F644/SUMIFS(INPUT_RITASE!$F$5:$F$20000,INPUT_RITASE!$A$5:$A$20000,$A644,INPUT_RITASE!$B$5:$B$20000,$B644,INPUT_RITASE!$C$5:$C$20000,$C644,INPUT_RITASE!$D$5:$D$20000,$D644))</f>
        <v/>
      </c>
      <c r="S644" s="158">
        <f>IF($Q644=0,0,$R644*$P644/$Q644)</f>
        <v/>
      </c>
    </row>
    <row r="645">
      <c r="A645" s="155" t="n">
        <v>46106</v>
      </c>
      <c r="B645" s="156" t="inlineStr">
        <is>
          <t>06-07</t>
        </is>
      </c>
      <c r="C645" s="156" t="inlineStr">
        <is>
          <t>EX-1251</t>
        </is>
      </c>
      <c r="D645" s="156" t="inlineStr">
        <is>
          <t>DT-523</t>
        </is>
      </c>
      <c r="E645" s="156" t="inlineStr">
        <is>
          <t>OB</t>
        </is>
      </c>
      <c r="F645" s="156" t="n">
        <v>4</v>
      </c>
      <c r="G645" s="156" t="inlineStr"/>
      <c r="H645" s="157">
        <f>IF($B645="","",IF(ISNA(MATCH($B645,MASTER_JAM!$Q$5:$Q$28,0)),"?",IF(MATCH($B645,MASTER_JAM!$Q$5:$Q$28,0)&lt;=12,"DS","NS")))</f>
        <v/>
      </c>
      <c r="I645" s="157">
        <f>IFERROR(INDEX(MASTER_JAM!$B$5:$B$94,MATCH($C645,MASTER_JAM!$A$5:$A$94,0)),"")</f>
        <v/>
      </c>
      <c r="J645" s="157">
        <f>IFERROR(INDEX(MASTER_JAM!$E$5:$E$94,MATCH($D645,MASTER_JAM!$A$5:$A$94,0)),"")</f>
        <v/>
      </c>
      <c r="K645" s="158">
        <f>IFERROR(INDEX(MASTER_JAM!$J$5:$O$12,MATCH($E645,MASTER_JAM!$I$5:$I$12,0),MATCH($J645,MASTER_JAM!$J$4:$O$4,0))+0,0)</f>
        <v/>
      </c>
      <c r="L645" s="159">
        <f>N($F645)*$K645</f>
        <v/>
      </c>
      <c r="M645" s="157">
        <f>IF($E645="","",IF(OR($E645="Coal",$E645="Dirty Coal"),"MT","BCM"))</f>
        <v/>
      </c>
      <c r="N645" s="157">
        <f>IF($E645="","",IF(OR($E645="Coal",$E645="Dirty Coal"),"Coal","OB"))</f>
        <v/>
      </c>
      <c r="O645" s="157">
        <f>IF($F645="","",IF(COUNTIF(MASTER_JAM!$A$5:$A$94,$C645)=0,"Digger tidak dikenal",IF($J645="","Hauler tidak dikenal",IF($H645="?","Jam salah",IF($K645=0,"Faktor kosong",IF(SUMIFS(INPUT_DELAY!$E$5:$E$20000,INPUT_DELAY!$A$5:$A$20000,$A645,INPUT_DELAY!$B$5:$B$20000,$B645,INPUT_DELAY!$C$5:$C$20000,$C645)+SUMIFS(INPUT_DELAY!$E$5:$E$20000,INPUT_DELAY!$A$5:$A$20000,$A645,INPUT_DELAY!$B$5:$B$20000,$B645,INPUT_DELAY!$C$5:$C$20000,"SEMUA")&gt;=60,"Delay 60 mnt tapi ada ritase","OK"))))))</f>
        <v/>
      </c>
      <c r="P645" s="158">
        <f>IFERROR(INDEX(MASTER_JAM!$Z$5:$AC$10,MATCH($I645,MASTER_JAM!$Y$5:$Y$10,0),MATCH($J645,MASTER_JAM!$Z$4:$AC$4,0))+0,0)</f>
        <v/>
      </c>
      <c r="Q645" s="158">
        <f>IF($P645=0,0,$P645+IFERROR(INDEX(MASTER_JAM!$H$5:$H$94,MATCH($C645,MASTER_JAM!$A$5:$A$94,0))+0,MASTER_JAM!$AC$15)/1000*(60/MASTER_JAM!$AC$12+60/MASTER_JAM!$AC$13)+MASTER_JAM!$AC$14)</f>
        <v/>
      </c>
      <c r="R645" s="158">
        <f>IF(N($F645)=0,0,$F645/SUMIFS(INPUT_RITASE!$F$5:$F$20000,INPUT_RITASE!$A$5:$A$20000,$A645,INPUT_RITASE!$B$5:$B$20000,$B645,INPUT_RITASE!$C$5:$C$20000,$C645,INPUT_RITASE!$D$5:$D$20000,$D645))</f>
        <v/>
      </c>
      <c r="S645" s="158">
        <f>IF($Q645=0,0,$R645*$P645/$Q645)</f>
        <v/>
      </c>
    </row>
    <row r="646">
      <c r="A646" s="155" t="n">
        <v>46106</v>
      </c>
      <c r="B646" s="156" t="inlineStr">
        <is>
          <t>06-07</t>
        </is>
      </c>
      <c r="C646" s="156" t="inlineStr">
        <is>
          <t>EX-1251</t>
        </is>
      </c>
      <c r="D646" s="156" t="inlineStr">
        <is>
          <t>DT-504</t>
        </is>
      </c>
      <c r="E646" s="156" t="inlineStr">
        <is>
          <t>OB</t>
        </is>
      </c>
      <c r="F646" s="156" t="n">
        <v>4</v>
      </c>
      <c r="G646" s="156" t="inlineStr"/>
      <c r="H646" s="157">
        <f>IF($B646="","",IF(ISNA(MATCH($B646,MASTER_JAM!$Q$5:$Q$28,0)),"?",IF(MATCH($B646,MASTER_JAM!$Q$5:$Q$28,0)&lt;=12,"DS","NS")))</f>
        <v/>
      </c>
      <c r="I646" s="157">
        <f>IFERROR(INDEX(MASTER_JAM!$B$5:$B$94,MATCH($C646,MASTER_JAM!$A$5:$A$94,0)),"")</f>
        <v/>
      </c>
      <c r="J646" s="157">
        <f>IFERROR(INDEX(MASTER_JAM!$E$5:$E$94,MATCH($D646,MASTER_JAM!$A$5:$A$94,0)),"")</f>
        <v/>
      </c>
      <c r="K646" s="158">
        <f>IFERROR(INDEX(MASTER_JAM!$J$5:$O$12,MATCH($E646,MASTER_JAM!$I$5:$I$12,0),MATCH($J646,MASTER_JAM!$J$4:$O$4,0))+0,0)</f>
        <v/>
      </c>
      <c r="L646" s="159">
        <f>N($F646)*$K646</f>
        <v/>
      </c>
      <c r="M646" s="157">
        <f>IF($E646="","",IF(OR($E646="Coal",$E646="Dirty Coal"),"MT","BCM"))</f>
        <v/>
      </c>
      <c r="N646" s="157">
        <f>IF($E646="","",IF(OR($E646="Coal",$E646="Dirty Coal"),"Coal","OB"))</f>
        <v/>
      </c>
      <c r="O646" s="157">
        <f>IF($F646="","",IF(COUNTIF(MASTER_JAM!$A$5:$A$94,$C646)=0,"Digger tidak dikenal",IF($J646="","Hauler tidak dikenal",IF($H646="?","Jam salah",IF($K646=0,"Faktor kosong",IF(SUMIFS(INPUT_DELAY!$E$5:$E$20000,INPUT_DELAY!$A$5:$A$20000,$A646,INPUT_DELAY!$B$5:$B$20000,$B646,INPUT_DELAY!$C$5:$C$20000,$C646)+SUMIFS(INPUT_DELAY!$E$5:$E$20000,INPUT_DELAY!$A$5:$A$20000,$A646,INPUT_DELAY!$B$5:$B$20000,$B646,INPUT_DELAY!$C$5:$C$20000,"SEMUA")&gt;=60,"Delay 60 mnt tapi ada ritase","OK"))))))</f>
        <v/>
      </c>
      <c r="P646" s="158">
        <f>IFERROR(INDEX(MASTER_JAM!$Z$5:$AC$10,MATCH($I646,MASTER_JAM!$Y$5:$Y$10,0),MATCH($J646,MASTER_JAM!$Z$4:$AC$4,0))+0,0)</f>
        <v/>
      </c>
      <c r="Q646" s="158">
        <f>IF($P646=0,0,$P646+IFERROR(INDEX(MASTER_JAM!$H$5:$H$94,MATCH($C646,MASTER_JAM!$A$5:$A$94,0))+0,MASTER_JAM!$AC$15)/1000*(60/MASTER_JAM!$AC$12+60/MASTER_JAM!$AC$13)+MASTER_JAM!$AC$14)</f>
        <v/>
      </c>
      <c r="R646" s="158">
        <f>IF(N($F646)=0,0,$F646/SUMIFS(INPUT_RITASE!$F$5:$F$20000,INPUT_RITASE!$A$5:$A$20000,$A646,INPUT_RITASE!$B$5:$B$20000,$B646,INPUT_RITASE!$C$5:$C$20000,$C646,INPUT_RITASE!$D$5:$D$20000,$D646))</f>
        <v/>
      </c>
      <c r="S646" s="158">
        <f>IF($Q646=0,0,$R646*$P646/$Q646)</f>
        <v/>
      </c>
    </row>
    <row r="647">
      <c r="A647" s="155" t="n">
        <v>46106</v>
      </c>
      <c r="B647" s="156" t="inlineStr">
        <is>
          <t>06-07</t>
        </is>
      </c>
      <c r="C647" s="156" t="inlineStr">
        <is>
          <t>EX-1251</t>
        </is>
      </c>
      <c r="D647" s="156" t="inlineStr">
        <is>
          <t>DT-506</t>
        </is>
      </c>
      <c r="E647" s="156" t="inlineStr">
        <is>
          <t>OB</t>
        </is>
      </c>
      <c r="F647" s="156" t="n">
        <v>3</v>
      </c>
      <c r="G647" s="156" t="inlineStr"/>
      <c r="H647" s="157">
        <f>IF($B647="","",IF(ISNA(MATCH($B647,MASTER_JAM!$Q$5:$Q$28,0)),"?",IF(MATCH($B647,MASTER_JAM!$Q$5:$Q$28,0)&lt;=12,"DS","NS")))</f>
        <v/>
      </c>
      <c r="I647" s="157">
        <f>IFERROR(INDEX(MASTER_JAM!$B$5:$B$94,MATCH($C647,MASTER_JAM!$A$5:$A$94,0)),"")</f>
        <v/>
      </c>
      <c r="J647" s="157">
        <f>IFERROR(INDEX(MASTER_JAM!$E$5:$E$94,MATCH($D647,MASTER_JAM!$A$5:$A$94,0)),"")</f>
        <v/>
      </c>
      <c r="K647" s="158">
        <f>IFERROR(INDEX(MASTER_JAM!$J$5:$O$12,MATCH($E647,MASTER_JAM!$I$5:$I$12,0),MATCH($J647,MASTER_JAM!$J$4:$O$4,0))+0,0)</f>
        <v/>
      </c>
      <c r="L647" s="159">
        <f>N($F647)*$K647</f>
        <v/>
      </c>
      <c r="M647" s="157">
        <f>IF($E647="","",IF(OR($E647="Coal",$E647="Dirty Coal"),"MT","BCM"))</f>
        <v/>
      </c>
      <c r="N647" s="157">
        <f>IF($E647="","",IF(OR($E647="Coal",$E647="Dirty Coal"),"Coal","OB"))</f>
        <v/>
      </c>
      <c r="O647" s="157">
        <f>IF($F647="","",IF(COUNTIF(MASTER_JAM!$A$5:$A$94,$C647)=0,"Digger tidak dikenal",IF($J647="","Hauler tidak dikenal",IF($H647="?","Jam salah",IF($K647=0,"Faktor kosong",IF(SUMIFS(INPUT_DELAY!$E$5:$E$20000,INPUT_DELAY!$A$5:$A$20000,$A647,INPUT_DELAY!$B$5:$B$20000,$B647,INPUT_DELAY!$C$5:$C$20000,$C647)+SUMIFS(INPUT_DELAY!$E$5:$E$20000,INPUT_DELAY!$A$5:$A$20000,$A647,INPUT_DELAY!$B$5:$B$20000,$B647,INPUT_DELAY!$C$5:$C$20000,"SEMUA")&gt;=60,"Delay 60 mnt tapi ada ritase","OK"))))))</f>
        <v/>
      </c>
      <c r="P647" s="158">
        <f>IFERROR(INDEX(MASTER_JAM!$Z$5:$AC$10,MATCH($I647,MASTER_JAM!$Y$5:$Y$10,0),MATCH($J647,MASTER_JAM!$Z$4:$AC$4,0))+0,0)</f>
        <v/>
      </c>
      <c r="Q647" s="158">
        <f>IF($P647=0,0,$P647+IFERROR(INDEX(MASTER_JAM!$H$5:$H$94,MATCH($C647,MASTER_JAM!$A$5:$A$94,0))+0,MASTER_JAM!$AC$15)/1000*(60/MASTER_JAM!$AC$12+60/MASTER_JAM!$AC$13)+MASTER_JAM!$AC$14)</f>
        <v/>
      </c>
      <c r="R647" s="158">
        <f>IF(N($F647)=0,0,$F647/SUMIFS(INPUT_RITASE!$F$5:$F$20000,INPUT_RITASE!$A$5:$A$20000,$A647,INPUT_RITASE!$B$5:$B$20000,$B647,INPUT_RITASE!$C$5:$C$20000,$C647,INPUT_RITASE!$D$5:$D$20000,$D647))</f>
        <v/>
      </c>
      <c r="S647" s="158">
        <f>IF($Q647=0,0,$R647*$P647/$Q647)</f>
        <v/>
      </c>
    </row>
    <row r="648">
      <c r="A648" s="155" t="n">
        <v>46106</v>
      </c>
      <c r="B648" s="156" t="inlineStr">
        <is>
          <t>06-07</t>
        </is>
      </c>
      <c r="C648" s="156" t="inlineStr">
        <is>
          <t>EX-1251</t>
        </is>
      </c>
      <c r="D648" s="156" t="inlineStr">
        <is>
          <t>DT-520</t>
        </is>
      </c>
      <c r="E648" s="156" t="inlineStr">
        <is>
          <t>OB</t>
        </is>
      </c>
      <c r="F648" s="156" t="n">
        <v>3</v>
      </c>
      <c r="G648" s="156" t="inlineStr"/>
      <c r="H648" s="157">
        <f>IF($B648="","",IF(ISNA(MATCH($B648,MASTER_JAM!$Q$5:$Q$28,0)),"?",IF(MATCH($B648,MASTER_JAM!$Q$5:$Q$28,0)&lt;=12,"DS","NS")))</f>
        <v/>
      </c>
      <c r="I648" s="157">
        <f>IFERROR(INDEX(MASTER_JAM!$B$5:$B$94,MATCH($C648,MASTER_JAM!$A$5:$A$94,0)),"")</f>
        <v/>
      </c>
      <c r="J648" s="157">
        <f>IFERROR(INDEX(MASTER_JAM!$E$5:$E$94,MATCH($D648,MASTER_JAM!$A$5:$A$94,0)),"")</f>
        <v/>
      </c>
      <c r="K648" s="158">
        <f>IFERROR(INDEX(MASTER_JAM!$J$5:$O$12,MATCH($E648,MASTER_JAM!$I$5:$I$12,0),MATCH($J648,MASTER_JAM!$J$4:$O$4,0))+0,0)</f>
        <v/>
      </c>
      <c r="L648" s="159">
        <f>N($F648)*$K648</f>
        <v/>
      </c>
      <c r="M648" s="157">
        <f>IF($E648="","",IF(OR($E648="Coal",$E648="Dirty Coal"),"MT","BCM"))</f>
        <v/>
      </c>
      <c r="N648" s="157">
        <f>IF($E648="","",IF(OR($E648="Coal",$E648="Dirty Coal"),"Coal","OB"))</f>
        <v/>
      </c>
      <c r="O648" s="157">
        <f>IF($F648="","",IF(COUNTIF(MASTER_JAM!$A$5:$A$94,$C648)=0,"Digger tidak dikenal",IF($J648="","Hauler tidak dikenal",IF($H648="?","Jam salah",IF($K648=0,"Faktor kosong",IF(SUMIFS(INPUT_DELAY!$E$5:$E$20000,INPUT_DELAY!$A$5:$A$20000,$A648,INPUT_DELAY!$B$5:$B$20000,$B648,INPUT_DELAY!$C$5:$C$20000,$C648)+SUMIFS(INPUT_DELAY!$E$5:$E$20000,INPUT_DELAY!$A$5:$A$20000,$A648,INPUT_DELAY!$B$5:$B$20000,$B648,INPUT_DELAY!$C$5:$C$20000,"SEMUA")&gt;=60,"Delay 60 mnt tapi ada ritase","OK"))))))</f>
        <v/>
      </c>
      <c r="P648" s="158">
        <f>IFERROR(INDEX(MASTER_JAM!$Z$5:$AC$10,MATCH($I648,MASTER_JAM!$Y$5:$Y$10,0),MATCH($J648,MASTER_JAM!$Z$4:$AC$4,0))+0,0)</f>
        <v/>
      </c>
      <c r="Q648" s="158">
        <f>IF($P648=0,0,$P648+IFERROR(INDEX(MASTER_JAM!$H$5:$H$94,MATCH($C648,MASTER_JAM!$A$5:$A$94,0))+0,MASTER_JAM!$AC$15)/1000*(60/MASTER_JAM!$AC$12+60/MASTER_JAM!$AC$13)+MASTER_JAM!$AC$14)</f>
        <v/>
      </c>
      <c r="R648" s="158">
        <f>IF(N($F648)=0,0,$F648/SUMIFS(INPUT_RITASE!$F$5:$F$20000,INPUT_RITASE!$A$5:$A$20000,$A648,INPUT_RITASE!$B$5:$B$20000,$B648,INPUT_RITASE!$C$5:$C$20000,$C648,INPUT_RITASE!$D$5:$D$20000,$D648))</f>
        <v/>
      </c>
      <c r="S648" s="158">
        <f>IF($Q648=0,0,$R648*$P648/$Q648)</f>
        <v/>
      </c>
    </row>
    <row r="649">
      <c r="A649" s="155" t="n">
        <v>46106</v>
      </c>
      <c r="B649" s="156" t="inlineStr">
        <is>
          <t>06-07</t>
        </is>
      </c>
      <c r="C649" s="156" t="inlineStr">
        <is>
          <t>EX-1251</t>
        </is>
      </c>
      <c r="D649" s="156" t="inlineStr">
        <is>
          <t>DT-505</t>
        </is>
      </c>
      <c r="E649" s="156" t="inlineStr">
        <is>
          <t>OB</t>
        </is>
      </c>
      <c r="F649" s="156" t="n">
        <v>3</v>
      </c>
      <c r="G649" s="156" t="inlineStr"/>
      <c r="H649" s="157">
        <f>IF($B649="","",IF(ISNA(MATCH($B649,MASTER_JAM!$Q$5:$Q$28,0)),"?",IF(MATCH($B649,MASTER_JAM!$Q$5:$Q$28,0)&lt;=12,"DS","NS")))</f>
        <v/>
      </c>
      <c r="I649" s="157">
        <f>IFERROR(INDEX(MASTER_JAM!$B$5:$B$94,MATCH($C649,MASTER_JAM!$A$5:$A$94,0)),"")</f>
        <v/>
      </c>
      <c r="J649" s="157">
        <f>IFERROR(INDEX(MASTER_JAM!$E$5:$E$94,MATCH($D649,MASTER_JAM!$A$5:$A$94,0)),"")</f>
        <v/>
      </c>
      <c r="K649" s="158">
        <f>IFERROR(INDEX(MASTER_JAM!$J$5:$O$12,MATCH($E649,MASTER_JAM!$I$5:$I$12,0),MATCH($J649,MASTER_JAM!$J$4:$O$4,0))+0,0)</f>
        <v/>
      </c>
      <c r="L649" s="159">
        <f>N($F649)*$K649</f>
        <v/>
      </c>
      <c r="M649" s="157">
        <f>IF($E649="","",IF(OR($E649="Coal",$E649="Dirty Coal"),"MT","BCM"))</f>
        <v/>
      </c>
      <c r="N649" s="157">
        <f>IF($E649="","",IF(OR($E649="Coal",$E649="Dirty Coal"),"Coal","OB"))</f>
        <v/>
      </c>
      <c r="O649" s="157">
        <f>IF($F649="","",IF(COUNTIF(MASTER_JAM!$A$5:$A$94,$C649)=0,"Digger tidak dikenal",IF($J649="","Hauler tidak dikenal",IF($H649="?","Jam salah",IF($K649=0,"Faktor kosong",IF(SUMIFS(INPUT_DELAY!$E$5:$E$20000,INPUT_DELAY!$A$5:$A$20000,$A649,INPUT_DELAY!$B$5:$B$20000,$B649,INPUT_DELAY!$C$5:$C$20000,$C649)+SUMIFS(INPUT_DELAY!$E$5:$E$20000,INPUT_DELAY!$A$5:$A$20000,$A649,INPUT_DELAY!$B$5:$B$20000,$B649,INPUT_DELAY!$C$5:$C$20000,"SEMUA")&gt;=60,"Delay 60 mnt tapi ada ritase","OK"))))))</f>
        <v/>
      </c>
      <c r="P649" s="158">
        <f>IFERROR(INDEX(MASTER_JAM!$Z$5:$AC$10,MATCH($I649,MASTER_JAM!$Y$5:$Y$10,0),MATCH($J649,MASTER_JAM!$Z$4:$AC$4,0))+0,0)</f>
        <v/>
      </c>
      <c r="Q649" s="158">
        <f>IF($P649=0,0,$P649+IFERROR(INDEX(MASTER_JAM!$H$5:$H$94,MATCH($C649,MASTER_JAM!$A$5:$A$94,0))+0,MASTER_JAM!$AC$15)/1000*(60/MASTER_JAM!$AC$12+60/MASTER_JAM!$AC$13)+MASTER_JAM!$AC$14)</f>
        <v/>
      </c>
      <c r="R649" s="158">
        <f>IF(N($F649)=0,0,$F649/SUMIFS(INPUT_RITASE!$F$5:$F$20000,INPUT_RITASE!$A$5:$A$20000,$A649,INPUT_RITASE!$B$5:$B$20000,$B649,INPUT_RITASE!$C$5:$C$20000,$C649,INPUT_RITASE!$D$5:$D$20000,$D649))</f>
        <v/>
      </c>
      <c r="S649" s="158">
        <f>IF($Q649=0,0,$R649*$P649/$Q649)</f>
        <v/>
      </c>
    </row>
    <row r="650">
      <c r="A650" s="155" t="n">
        <v>46106</v>
      </c>
      <c r="B650" s="156" t="inlineStr">
        <is>
          <t>07-08</t>
        </is>
      </c>
      <c r="C650" s="156" t="inlineStr">
        <is>
          <t>EX-1251</t>
        </is>
      </c>
      <c r="D650" s="156" t="inlineStr">
        <is>
          <t>DT-505</t>
        </is>
      </c>
      <c r="E650" s="156" t="inlineStr">
        <is>
          <t>OB</t>
        </is>
      </c>
      <c r="F650" s="156" t="n">
        <v>4</v>
      </c>
      <c r="G650" s="156" t="inlineStr"/>
      <c r="H650" s="157">
        <f>IF($B650="","",IF(ISNA(MATCH($B650,MASTER_JAM!$Q$5:$Q$28,0)),"?",IF(MATCH($B650,MASTER_JAM!$Q$5:$Q$28,0)&lt;=12,"DS","NS")))</f>
        <v/>
      </c>
      <c r="I650" s="157">
        <f>IFERROR(INDEX(MASTER_JAM!$B$5:$B$94,MATCH($C650,MASTER_JAM!$A$5:$A$94,0)),"")</f>
        <v/>
      </c>
      <c r="J650" s="157">
        <f>IFERROR(INDEX(MASTER_JAM!$E$5:$E$94,MATCH($D650,MASTER_JAM!$A$5:$A$94,0)),"")</f>
        <v/>
      </c>
      <c r="K650" s="158">
        <f>IFERROR(INDEX(MASTER_JAM!$J$5:$O$12,MATCH($E650,MASTER_JAM!$I$5:$I$12,0),MATCH($J650,MASTER_JAM!$J$4:$O$4,0))+0,0)</f>
        <v/>
      </c>
      <c r="L650" s="159">
        <f>N($F650)*$K650</f>
        <v/>
      </c>
      <c r="M650" s="157">
        <f>IF($E650="","",IF(OR($E650="Coal",$E650="Dirty Coal"),"MT","BCM"))</f>
        <v/>
      </c>
      <c r="N650" s="157">
        <f>IF($E650="","",IF(OR($E650="Coal",$E650="Dirty Coal"),"Coal","OB"))</f>
        <v/>
      </c>
      <c r="O650" s="157">
        <f>IF($F650="","",IF(COUNTIF(MASTER_JAM!$A$5:$A$94,$C650)=0,"Digger tidak dikenal",IF($J650="","Hauler tidak dikenal",IF($H650="?","Jam salah",IF($K650=0,"Faktor kosong",IF(SUMIFS(INPUT_DELAY!$E$5:$E$20000,INPUT_DELAY!$A$5:$A$20000,$A650,INPUT_DELAY!$B$5:$B$20000,$B650,INPUT_DELAY!$C$5:$C$20000,$C650)+SUMIFS(INPUT_DELAY!$E$5:$E$20000,INPUT_DELAY!$A$5:$A$20000,$A650,INPUT_DELAY!$B$5:$B$20000,$B650,INPUT_DELAY!$C$5:$C$20000,"SEMUA")&gt;=60,"Delay 60 mnt tapi ada ritase","OK"))))))</f>
        <v/>
      </c>
      <c r="P650" s="158">
        <f>IFERROR(INDEX(MASTER_JAM!$Z$5:$AC$10,MATCH($I650,MASTER_JAM!$Y$5:$Y$10,0),MATCH($J650,MASTER_JAM!$Z$4:$AC$4,0))+0,0)</f>
        <v/>
      </c>
      <c r="Q650" s="158">
        <f>IF($P650=0,0,$P650+IFERROR(INDEX(MASTER_JAM!$H$5:$H$94,MATCH($C650,MASTER_JAM!$A$5:$A$94,0))+0,MASTER_JAM!$AC$15)/1000*(60/MASTER_JAM!$AC$12+60/MASTER_JAM!$AC$13)+MASTER_JAM!$AC$14)</f>
        <v/>
      </c>
      <c r="R650" s="158">
        <f>IF(N($F650)=0,0,$F650/SUMIFS(INPUT_RITASE!$F$5:$F$20000,INPUT_RITASE!$A$5:$A$20000,$A650,INPUT_RITASE!$B$5:$B$20000,$B650,INPUT_RITASE!$C$5:$C$20000,$C650,INPUT_RITASE!$D$5:$D$20000,$D650))</f>
        <v/>
      </c>
      <c r="S650" s="158">
        <f>IF($Q650=0,0,$R650*$P650/$Q650)</f>
        <v/>
      </c>
    </row>
    <row r="651">
      <c r="A651" s="155" t="n">
        <v>46106</v>
      </c>
      <c r="B651" s="156" t="inlineStr">
        <is>
          <t>07-08</t>
        </is>
      </c>
      <c r="C651" s="156" t="inlineStr">
        <is>
          <t>EX-1251</t>
        </is>
      </c>
      <c r="D651" s="156" t="inlineStr">
        <is>
          <t>DT-522</t>
        </is>
      </c>
      <c r="E651" s="156" t="inlineStr">
        <is>
          <t>OB</t>
        </is>
      </c>
      <c r="F651" s="156" t="n">
        <v>4</v>
      </c>
      <c r="G651" s="156" t="inlineStr"/>
      <c r="H651" s="157">
        <f>IF($B651="","",IF(ISNA(MATCH($B651,MASTER_JAM!$Q$5:$Q$28,0)),"?",IF(MATCH($B651,MASTER_JAM!$Q$5:$Q$28,0)&lt;=12,"DS","NS")))</f>
        <v/>
      </c>
      <c r="I651" s="157">
        <f>IFERROR(INDEX(MASTER_JAM!$B$5:$B$94,MATCH($C651,MASTER_JAM!$A$5:$A$94,0)),"")</f>
        <v/>
      </c>
      <c r="J651" s="157">
        <f>IFERROR(INDEX(MASTER_JAM!$E$5:$E$94,MATCH($D651,MASTER_JAM!$A$5:$A$94,0)),"")</f>
        <v/>
      </c>
      <c r="K651" s="158">
        <f>IFERROR(INDEX(MASTER_JAM!$J$5:$O$12,MATCH($E651,MASTER_JAM!$I$5:$I$12,0),MATCH($J651,MASTER_JAM!$J$4:$O$4,0))+0,0)</f>
        <v/>
      </c>
      <c r="L651" s="159">
        <f>N($F651)*$K651</f>
        <v/>
      </c>
      <c r="M651" s="157">
        <f>IF($E651="","",IF(OR($E651="Coal",$E651="Dirty Coal"),"MT","BCM"))</f>
        <v/>
      </c>
      <c r="N651" s="157">
        <f>IF($E651="","",IF(OR($E651="Coal",$E651="Dirty Coal"),"Coal","OB"))</f>
        <v/>
      </c>
      <c r="O651" s="157">
        <f>IF($F651="","",IF(COUNTIF(MASTER_JAM!$A$5:$A$94,$C651)=0,"Digger tidak dikenal",IF($J651="","Hauler tidak dikenal",IF($H651="?","Jam salah",IF($K651=0,"Faktor kosong",IF(SUMIFS(INPUT_DELAY!$E$5:$E$20000,INPUT_DELAY!$A$5:$A$20000,$A651,INPUT_DELAY!$B$5:$B$20000,$B651,INPUT_DELAY!$C$5:$C$20000,$C651)+SUMIFS(INPUT_DELAY!$E$5:$E$20000,INPUT_DELAY!$A$5:$A$20000,$A651,INPUT_DELAY!$B$5:$B$20000,$B651,INPUT_DELAY!$C$5:$C$20000,"SEMUA")&gt;=60,"Delay 60 mnt tapi ada ritase","OK"))))))</f>
        <v/>
      </c>
      <c r="P651" s="158">
        <f>IFERROR(INDEX(MASTER_JAM!$Z$5:$AC$10,MATCH($I651,MASTER_JAM!$Y$5:$Y$10,0),MATCH($J651,MASTER_JAM!$Z$4:$AC$4,0))+0,0)</f>
        <v/>
      </c>
      <c r="Q651" s="158">
        <f>IF($P651=0,0,$P651+IFERROR(INDEX(MASTER_JAM!$H$5:$H$94,MATCH($C651,MASTER_JAM!$A$5:$A$94,0))+0,MASTER_JAM!$AC$15)/1000*(60/MASTER_JAM!$AC$12+60/MASTER_JAM!$AC$13)+MASTER_JAM!$AC$14)</f>
        <v/>
      </c>
      <c r="R651" s="158">
        <f>IF(N($F651)=0,0,$F651/SUMIFS(INPUT_RITASE!$F$5:$F$20000,INPUT_RITASE!$A$5:$A$20000,$A651,INPUT_RITASE!$B$5:$B$20000,$B651,INPUT_RITASE!$C$5:$C$20000,$C651,INPUT_RITASE!$D$5:$D$20000,$D651))</f>
        <v/>
      </c>
      <c r="S651" s="158">
        <f>IF($Q651=0,0,$R651*$P651/$Q651)</f>
        <v/>
      </c>
    </row>
    <row r="652">
      <c r="A652" s="155" t="n">
        <v>46106</v>
      </c>
      <c r="B652" s="156" t="inlineStr">
        <is>
          <t>07-08</t>
        </is>
      </c>
      <c r="C652" s="156" t="inlineStr">
        <is>
          <t>EX-1251</t>
        </is>
      </c>
      <c r="D652" s="156" t="inlineStr">
        <is>
          <t>DT-527</t>
        </is>
      </c>
      <c r="E652" s="156" t="inlineStr">
        <is>
          <t>OB</t>
        </is>
      </c>
      <c r="F652" s="156" t="n">
        <v>4</v>
      </c>
      <c r="G652" s="156" t="inlineStr"/>
      <c r="H652" s="157">
        <f>IF($B652="","",IF(ISNA(MATCH($B652,MASTER_JAM!$Q$5:$Q$28,0)),"?",IF(MATCH($B652,MASTER_JAM!$Q$5:$Q$28,0)&lt;=12,"DS","NS")))</f>
        <v/>
      </c>
      <c r="I652" s="157">
        <f>IFERROR(INDEX(MASTER_JAM!$B$5:$B$94,MATCH($C652,MASTER_JAM!$A$5:$A$94,0)),"")</f>
        <v/>
      </c>
      <c r="J652" s="157">
        <f>IFERROR(INDEX(MASTER_JAM!$E$5:$E$94,MATCH($D652,MASTER_JAM!$A$5:$A$94,0)),"")</f>
        <v/>
      </c>
      <c r="K652" s="158">
        <f>IFERROR(INDEX(MASTER_JAM!$J$5:$O$12,MATCH($E652,MASTER_JAM!$I$5:$I$12,0),MATCH($J652,MASTER_JAM!$J$4:$O$4,0))+0,0)</f>
        <v/>
      </c>
      <c r="L652" s="159">
        <f>N($F652)*$K652</f>
        <v/>
      </c>
      <c r="M652" s="157">
        <f>IF($E652="","",IF(OR($E652="Coal",$E652="Dirty Coal"),"MT","BCM"))</f>
        <v/>
      </c>
      <c r="N652" s="157">
        <f>IF($E652="","",IF(OR($E652="Coal",$E652="Dirty Coal"),"Coal","OB"))</f>
        <v/>
      </c>
      <c r="O652" s="157">
        <f>IF($F652="","",IF(COUNTIF(MASTER_JAM!$A$5:$A$94,$C652)=0,"Digger tidak dikenal",IF($J652="","Hauler tidak dikenal",IF($H652="?","Jam salah",IF($K652=0,"Faktor kosong",IF(SUMIFS(INPUT_DELAY!$E$5:$E$20000,INPUT_DELAY!$A$5:$A$20000,$A652,INPUT_DELAY!$B$5:$B$20000,$B652,INPUT_DELAY!$C$5:$C$20000,$C652)+SUMIFS(INPUT_DELAY!$E$5:$E$20000,INPUT_DELAY!$A$5:$A$20000,$A652,INPUT_DELAY!$B$5:$B$20000,$B652,INPUT_DELAY!$C$5:$C$20000,"SEMUA")&gt;=60,"Delay 60 mnt tapi ada ritase","OK"))))))</f>
        <v/>
      </c>
      <c r="P652" s="158">
        <f>IFERROR(INDEX(MASTER_JAM!$Z$5:$AC$10,MATCH($I652,MASTER_JAM!$Y$5:$Y$10,0),MATCH($J652,MASTER_JAM!$Z$4:$AC$4,0))+0,0)</f>
        <v/>
      </c>
      <c r="Q652" s="158">
        <f>IF($P652=0,0,$P652+IFERROR(INDEX(MASTER_JAM!$H$5:$H$94,MATCH($C652,MASTER_JAM!$A$5:$A$94,0))+0,MASTER_JAM!$AC$15)/1000*(60/MASTER_JAM!$AC$12+60/MASTER_JAM!$AC$13)+MASTER_JAM!$AC$14)</f>
        <v/>
      </c>
      <c r="R652" s="158">
        <f>IF(N($F652)=0,0,$F652/SUMIFS(INPUT_RITASE!$F$5:$F$20000,INPUT_RITASE!$A$5:$A$20000,$A652,INPUT_RITASE!$B$5:$B$20000,$B652,INPUT_RITASE!$C$5:$C$20000,$C652,INPUT_RITASE!$D$5:$D$20000,$D652))</f>
        <v/>
      </c>
      <c r="S652" s="158">
        <f>IF($Q652=0,0,$R652*$P652/$Q652)</f>
        <v/>
      </c>
    </row>
    <row r="653">
      <c r="A653" s="155" t="n">
        <v>46106</v>
      </c>
      <c r="B653" s="156" t="inlineStr">
        <is>
          <t>07-08</t>
        </is>
      </c>
      <c r="C653" s="156" t="inlineStr">
        <is>
          <t>EX-1251</t>
        </is>
      </c>
      <c r="D653" s="156" t="inlineStr">
        <is>
          <t>DT-515</t>
        </is>
      </c>
      <c r="E653" s="156" t="inlineStr">
        <is>
          <t>OB</t>
        </is>
      </c>
      <c r="F653" s="156" t="n">
        <v>4</v>
      </c>
      <c r="G653" s="156" t="inlineStr"/>
      <c r="H653" s="157">
        <f>IF($B653="","",IF(ISNA(MATCH($B653,MASTER_JAM!$Q$5:$Q$28,0)),"?",IF(MATCH($B653,MASTER_JAM!$Q$5:$Q$28,0)&lt;=12,"DS","NS")))</f>
        <v/>
      </c>
      <c r="I653" s="157">
        <f>IFERROR(INDEX(MASTER_JAM!$B$5:$B$94,MATCH($C653,MASTER_JAM!$A$5:$A$94,0)),"")</f>
        <v/>
      </c>
      <c r="J653" s="157">
        <f>IFERROR(INDEX(MASTER_JAM!$E$5:$E$94,MATCH($D653,MASTER_JAM!$A$5:$A$94,0)),"")</f>
        <v/>
      </c>
      <c r="K653" s="158">
        <f>IFERROR(INDEX(MASTER_JAM!$J$5:$O$12,MATCH($E653,MASTER_JAM!$I$5:$I$12,0),MATCH($J653,MASTER_JAM!$J$4:$O$4,0))+0,0)</f>
        <v/>
      </c>
      <c r="L653" s="159">
        <f>N($F653)*$K653</f>
        <v/>
      </c>
      <c r="M653" s="157">
        <f>IF($E653="","",IF(OR($E653="Coal",$E653="Dirty Coal"),"MT","BCM"))</f>
        <v/>
      </c>
      <c r="N653" s="157">
        <f>IF($E653="","",IF(OR($E653="Coal",$E653="Dirty Coal"),"Coal","OB"))</f>
        <v/>
      </c>
      <c r="O653" s="157">
        <f>IF($F653="","",IF(COUNTIF(MASTER_JAM!$A$5:$A$94,$C653)=0,"Digger tidak dikenal",IF($J653="","Hauler tidak dikenal",IF($H653="?","Jam salah",IF($K653=0,"Faktor kosong",IF(SUMIFS(INPUT_DELAY!$E$5:$E$20000,INPUT_DELAY!$A$5:$A$20000,$A653,INPUT_DELAY!$B$5:$B$20000,$B653,INPUT_DELAY!$C$5:$C$20000,$C653)+SUMIFS(INPUT_DELAY!$E$5:$E$20000,INPUT_DELAY!$A$5:$A$20000,$A653,INPUT_DELAY!$B$5:$B$20000,$B653,INPUT_DELAY!$C$5:$C$20000,"SEMUA")&gt;=60,"Delay 60 mnt tapi ada ritase","OK"))))))</f>
        <v/>
      </c>
      <c r="P653" s="158">
        <f>IFERROR(INDEX(MASTER_JAM!$Z$5:$AC$10,MATCH($I653,MASTER_JAM!$Y$5:$Y$10,0),MATCH($J653,MASTER_JAM!$Z$4:$AC$4,0))+0,0)</f>
        <v/>
      </c>
      <c r="Q653" s="158">
        <f>IF($P653=0,0,$P653+IFERROR(INDEX(MASTER_JAM!$H$5:$H$94,MATCH($C653,MASTER_JAM!$A$5:$A$94,0))+0,MASTER_JAM!$AC$15)/1000*(60/MASTER_JAM!$AC$12+60/MASTER_JAM!$AC$13)+MASTER_JAM!$AC$14)</f>
        <v/>
      </c>
      <c r="R653" s="158">
        <f>IF(N($F653)=0,0,$F653/SUMIFS(INPUT_RITASE!$F$5:$F$20000,INPUT_RITASE!$A$5:$A$20000,$A653,INPUT_RITASE!$B$5:$B$20000,$B653,INPUT_RITASE!$C$5:$C$20000,$C653,INPUT_RITASE!$D$5:$D$20000,$D653))</f>
        <v/>
      </c>
      <c r="S653" s="158">
        <f>IF($Q653=0,0,$R653*$P653/$Q653)</f>
        <v/>
      </c>
    </row>
    <row r="654">
      <c r="A654" s="155" t="n">
        <v>46106</v>
      </c>
      <c r="B654" s="156" t="inlineStr">
        <is>
          <t>07-08</t>
        </is>
      </c>
      <c r="C654" s="156" t="inlineStr">
        <is>
          <t>EX-1251</t>
        </is>
      </c>
      <c r="D654" s="156" t="inlineStr">
        <is>
          <t>DT-502</t>
        </is>
      </c>
      <c r="E654" s="156" t="inlineStr">
        <is>
          <t>OB</t>
        </is>
      </c>
      <c r="F654" s="156" t="n">
        <v>4</v>
      </c>
      <c r="G654" s="156" t="inlineStr"/>
      <c r="H654" s="157">
        <f>IF($B654="","",IF(ISNA(MATCH($B654,MASTER_JAM!$Q$5:$Q$28,0)),"?",IF(MATCH($B654,MASTER_JAM!$Q$5:$Q$28,0)&lt;=12,"DS","NS")))</f>
        <v/>
      </c>
      <c r="I654" s="157">
        <f>IFERROR(INDEX(MASTER_JAM!$B$5:$B$94,MATCH($C654,MASTER_JAM!$A$5:$A$94,0)),"")</f>
        <v/>
      </c>
      <c r="J654" s="157">
        <f>IFERROR(INDEX(MASTER_JAM!$E$5:$E$94,MATCH($D654,MASTER_JAM!$A$5:$A$94,0)),"")</f>
        <v/>
      </c>
      <c r="K654" s="158">
        <f>IFERROR(INDEX(MASTER_JAM!$J$5:$O$12,MATCH($E654,MASTER_JAM!$I$5:$I$12,0),MATCH($J654,MASTER_JAM!$J$4:$O$4,0))+0,0)</f>
        <v/>
      </c>
      <c r="L654" s="159">
        <f>N($F654)*$K654</f>
        <v/>
      </c>
      <c r="M654" s="157">
        <f>IF($E654="","",IF(OR($E654="Coal",$E654="Dirty Coal"),"MT","BCM"))</f>
        <v/>
      </c>
      <c r="N654" s="157">
        <f>IF($E654="","",IF(OR($E654="Coal",$E654="Dirty Coal"),"Coal","OB"))</f>
        <v/>
      </c>
      <c r="O654" s="157">
        <f>IF($F654="","",IF(COUNTIF(MASTER_JAM!$A$5:$A$94,$C654)=0,"Digger tidak dikenal",IF($J654="","Hauler tidak dikenal",IF($H654="?","Jam salah",IF($K654=0,"Faktor kosong",IF(SUMIFS(INPUT_DELAY!$E$5:$E$20000,INPUT_DELAY!$A$5:$A$20000,$A654,INPUT_DELAY!$B$5:$B$20000,$B654,INPUT_DELAY!$C$5:$C$20000,$C654)+SUMIFS(INPUT_DELAY!$E$5:$E$20000,INPUT_DELAY!$A$5:$A$20000,$A654,INPUT_DELAY!$B$5:$B$20000,$B654,INPUT_DELAY!$C$5:$C$20000,"SEMUA")&gt;=60,"Delay 60 mnt tapi ada ritase","OK"))))))</f>
        <v/>
      </c>
      <c r="P654" s="158">
        <f>IFERROR(INDEX(MASTER_JAM!$Z$5:$AC$10,MATCH($I654,MASTER_JAM!$Y$5:$Y$10,0),MATCH($J654,MASTER_JAM!$Z$4:$AC$4,0))+0,0)</f>
        <v/>
      </c>
      <c r="Q654" s="158">
        <f>IF($P654=0,0,$P654+IFERROR(INDEX(MASTER_JAM!$H$5:$H$94,MATCH($C654,MASTER_JAM!$A$5:$A$94,0))+0,MASTER_JAM!$AC$15)/1000*(60/MASTER_JAM!$AC$12+60/MASTER_JAM!$AC$13)+MASTER_JAM!$AC$14)</f>
        <v/>
      </c>
      <c r="R654" s="158">
        <f>IF(N($F654)=0,0,$F654/SUMIFS(INPUT_RITASE!$F$5:$F$20000,INPUT_RITASE!$A$5:$A$20000,$A654,INPUT_RITASE!$B$5:$B$20000,$B654,INPUT_RITASE!$C$5:$C$20000,$C654,INPUT_RITASE!$D$5:$D$20000,$D654))</f>
        <v/>
      </c>
      <c r="S654" s="158">
        <f>IF($Q654=0,0,$R654*$P654/$Q654)</f>
        <v/>
      </c>
    </row>
    <row r="655">
      <c r="A655" s="155" t="n">
        <v>46106</v>
      </c>
      <c r="B655" s="156" t="inlineStr">
        <is>
          <t>07-08</t>
        </is>
      </c>
      <c r="C655" s="156" t="inlineStr">
        <is>
          <t>EX-1251</t>
        </is>
      </c>
      <c r="D655" s="156" t="inlineStr">
        <is>
          <t>DT-521</t>
        </is>
      </c>
      <c r="E655" s="156" t="inlineStr">
        <is>
          <t>OB</t>
        </is>
      </c>
      <c r="F655" s="156" t="n">
        <v>3</v>
      </c>
      <c r="G655" s="156" t="inlineStr"/>
      <c r="H655" s="157">
        <f>IF($B655="","",IF(ISNA(MATCH($B655,MASTER_JAM!$Q$5:$Q$28,0)),"?",IF(MATCH($B655,MASTER_JAM!$Q$5:$Q$28,0)&lt;=12,"DS","NS")))</f>
        <v/>
      </c>
      <c r="I655" s="157">
        <f>IFERROR(INDEX(MASTER_JAM!$B$5:$B$94,MATCH($C655,MASTER_JAM!$A$5:$A$94,0)),"")</f>
        <v/>
      </c>
      <c r="J655" s="157">
        <f>IFERROR(INDEX(MASTER_JAM!$E$5:$E$94,MATCH($D655,MASTER_JAM!$A$5:$A$94,0)),"")</f>
        <v/>
      </c>
      <c r="K655" s="158">
        <f>IFERROR(INDEX(MASTER_JAM!$J$5:$O$12,MATCH($E655,MASTER_JAM!$I$5:$I$12,0),MATCH($J655,MASTER_JAM!$J$4:$O$4,0))+0,0)</f>
        <v/>
      </c>
      <c r="L655" s="159">
        <f>N($F655)*$K655</f>
        <v/>
      </c>
      <c r="M655" s="157">
        <f>IF($E655="","",IF(OR($E655="Coal",$E655="Dirty Coal"),"MT","BCM"))</f>
        <v/>
      </c>
      <c r="N655" s="157">
        <f>IF($E655="","",IF(OR($E655="Coal",$E655="Dirty Coal"),"Coal","OB"))</f>
        <v/>
      </c>
      <c r="O655" s="157">
        <f>IF($F655="","",IF(COUNTIF(MASTER_JAM!$A$5:$A$94,$C655)=0,"Digger tidak dikenal",IF($J655="","Hauler tidak dikenal",IF($H655="?","Jam salah",IF($K655=0,"Faktor kosong",IF(SUMIFS(INPUT_DELAY!$E$5:$E$20000,INPUT_DELAY!$A$5:$A$20000,$A655,INPUT_DELAY!$B$5:$B$20000,$B655,INPUT_DELAY!$C$5:$C$20000,$C655)+SUMIFS(INPUT_DELAY!$E$5:$E$20000,INPUT_DELAY!$A$5:$A$20000,$A655,INPUT_DELAY!$B$5:$B$20000,$B655,INPUT_DELAY!$C$5:$C$20000,"SEMUA")&gt;=60,"Delay 60 mnt tapi ada ritase","OK"))))))</f>
        <v/>
      </c>
      <c r="P655" s="158">
        <f>IFERROR(INDEX(MASTER_JAM!$Z$5:$AC$10,MATCH($I655,MASTER_JAM!$Y$5:$Y$10,0),MATCH($J655,MASTER_JAM!$Z$4:$AC$4,0))+0,0)</f>
        <v/>
      </c>
      <c r="Q655" s="158">
        <f>IF($P655=0,0,$P655+IFERROR(INDEX(MASTER_JAM!$H$5:$H$94,MATCH($C655,MASTER_JAM!$A$5:$A$94,0))+0,MASTER_JAM!$AC$15)/1000*(60/MASTER_JAM!$AC$12+60/MASTER_JAM!$AC$13)+MASTER_JAM!$AC$14)</f>
        <v/>
      </c>
      <c r="R655" s="158">
        <f>IF(N($F655)=0,0,$F655/SUMIFS(INPUT_RITASE!$F$5:$F$20000,INPUT_RITASE!$A$5:$A$20000,$A655,INPUT_RITASE!$B$5:$B$20000,$B655,INPUT_RITASE!$C$5:$C$20000,$C655,INPUT_RITASE!$D$5:$D$20000,$D655))</f>
        <v/>
      </c>
      <c r="S655" s="158">
        <f>IF($Q655=0,0,$R655*$P655/$Q655)</f>
        <v/>
      </c>
    </row>
    <row r="656">
      <c r="A656" s="155" t="n">
        <v>46106</v>
      </c>
      <c r="B656" s="156" t="inlineStr">
        <is>
          <t>07-08</t>
        </is>
      </c>
      <c r="C656" s="156" t="inlineStr">
        <is>
          <t>EX-1251</t>
        </is>
      </c>
      <c r="D656" s="156" t="inlineStr">
        <is>
          <t>DT-508</t>
        </is>
      </c>
      <c r="E656" s="156" t="inlineStr">
        <is>
          <t>OB</t>
        </is>
      </c>
      <c r="F656" s="156" t="n">
        <v>3</v>
      </c>
      <c r="G656" s="156" t="inlineStr"/>
      <c r="H656" s="157">
        <f>IF($B656="","",IF(ISNA(MATCH($B656,MASTER_JAM!$Q$5:$Q$28,0)),"?",IF(MATCH($B656,MASTER_JAM!$Q$5:$Q$28,0)&lt;=12,"DS","NS")))</f>
        <v/>
      </c>
      <c r="I656" s="157">
        <f>IFERROR(INDEX(MASTER_JAM!$B$5:$B$94,MATCH($C656,MASTER_JAM!$A$5:$A$94,0)),"")</f>
        <v/>
      </c>
      <c r="J656" s="157">
        <f>IFERROR(INDEX(MASTER_JAM!$E$5:$E$94,MATCH($D656,MASTER_JAM!$A$5:$A$94,0)),"")</f>
        <v/>
      </c>
      <c r="K656" s="158">
        <f>IFERROR(INDEX(MASTER_JAM!$J$5:$O$12,MATCH($E656,MASTER_JAM!$I$5:$I$12,0),MATCH($J656,MASTER_JAM!$J$4:$O$4,0))+0,0)</f>
        <v/>
      </c>
      <c r="L656" s="159">
        <f>N($F656)*$K656</f>
        <v/>
      </c>
      <c r="M656" s="157">
        <f>IF($E656="","",IF(OR($E656="Coal",$E656="Dirty Coal"),"MT","BCM"))</f>
        <v/>
      </c>
      <c r="N656" s="157">
        <f>IF($E656="","",IF(OR($E656="Coal",$E656="Dirty Coal"),"Coal","OB"))</f>
        <v/>
      </c>
      <c r="O656" s="157">
        <f>IF($F656="","",IF(COUNTIF(MASTER_JAM!$A$5:$A$94,$C656)=0,"Digger tidak dikenal",IF($J656="","Hauler tidak dikenal",IF($H656="?","Jam salah",IF($K656=0,"Faktor kosong",IF(SUMIFS(INPUT_DELAY!$E$5:$E$20000,INPUT_DELAY!$A$5:$A$20000,$A656,INPUT_DELAY!$B$5:$B$20000,$B656,INPUT_DELAY!$C$5:$C$20000,$C656)+SUMIFS(INPUT_DELAY!$E$5:$E$20000,INPUT_DELAY!$A$5:$A$20000,$A656,INPUT_DELAY!$B$5:$B$20000,$B656,INPUT_DELAY!$C$5:$C$20000,"SEMUA")&gt;=60,"Delay 60 mnt tapi ada ritase","OK"))))))</f>
        <v/>
      </c>
      <c r="P656" s="158">
        <f>IFERROR(INDEX(MASTER_JAM!$Z$5:$AC$10,MATCH($I656,MASTER_JAM!$Y$5:$Y$10,0),MATCH($J656,MASTER_JAM!$Z$4:$AC$4,0))+0,0)</f>
        <v/>
      </c>
      <c r="Q656" s="158">
        <f>IF($P656=0,0,$P656+IFERROR(INDEX(MASTER_JAM!$H$5:$H$94,MATCH($C656,MASTER_JAM!$A$5:$A$94,0))+0,MASTER_JAM!$AC$15)/1000*(60/MASTER_JAM!$AC$12+60/MASTER_JAM!$AC$13)+MASTER_JAM!$AC$14)</f>
        <v/>
      </c>
      <c r="R656" s="158">
        <f>IF(N($F656)=0,0,$F656/SUMIFS(INPUT_RITASE!$F$5:$F$20000,INPUT_RITASE!$A$5:$A$20000,$A656,INPUT_RITASE!$B$5:$B$20000,$B656,INPUT_RITASE!$C$5:$C$20000,$C656,INPUT_RITASE!$D$5:$D$20000,$D656))</f>
        <v/>
      </c>
      <c r="S656" s="158">
        <f>IF($Q656=0,0,$R656*$P656/$Q656)</f>
        <v/>
      </c>
    </row>
    <row r="657">
      <c r="A657" s="155" t="n">
        <v>46106</v>
      </c>
      <c r="B657" s="156" t="inlineStr">
        <is>
          <t>16-17</t>
        </is>
      </c>
      <c r="C657" s="156" t="inlineStr">
        <is>
          <t>EX-1251</t>
        </is>
      </c>
      <c r="D657" s="156" t="inlineStr">
        <is>
          <t>DT-528</t>
        </is>
      </c>
      <c r="E657" s="156" t="inlineStr">
        <is>
          <t>OB</t>
        </is>
      </c>
      <c r="F657" s="156" t="n">
        <v>4</v>
      </c>
      <c r="G657" s="156" t="inlineStr"/>
      <c r="H657" s="157">
        <f>IF($B657="","",IF(ISNA(MATCH($B657,MASTER_JAM!$Q$5:$Q$28,0)),"?",IF(MATCH($B657,MASTER_JAM!$Q$5:$Q$28,0)&lt;=12,"DS","NS")))</f>
        <v/>
      </c>
      <c r="I657" s="157">
        <f>IFERROR(INDEX(MASTER_JAM!$B$5:$B$94,MATCH($C657,MASTER_JAM!$A$5:$A$94,0)),"")</f>
        <v/>
      </c>
      <c r="J657" s="157">
        <f>IFERROR(INDEX(MASTER_JAM!$E$5:$E$94,MATCH($D657,MASTER_JAM!$A$5:$A$94,0)),"")</f>
        <v/>
      </c>
      <c r="K657" s="158">
        <f>IFERROR(INDEX(MASTER_JAM!$J$5:$O$12,MATCH($E657,MASTER_JAM!$I$5:$I$12,0),MATCH($J657,MASTER_JAM!$J$4:$O$4,0))+0,0)</f>
        <v/>
      </c>
      <c r="L657" s="159">
        <f>N($F657)*$K657</f>
        <v/>
      </c>
      <c r="M657" s="157">
        <f>IF($E657="","",IF(OR($E657="Coal",$E657="Dirty Coal"),"MT","BCM"))</f>
        <v/>
      </c>
      <c r="N657" s="157">
        <f>IF($E657="","",IF(OR($E657="Coal",$E657="Dirty Coal"),"Coal","OB"))</f>
        <v/>
      </c>
      <c r="O657" s="157">
        <f>IF($F657="","",IF(COUNTIF(MASTER_JAM!$A$5:$A$94,$C657)=0,"Digger tidak dikenal",IF($J657="","Hauler tidak dikenal",IF($H657="?","Jam salah",IF($K657=0,"Faktor kosong",IF(SUMIFS(INPUT_DELAY!$E$5:$E$20000,INPUT_DELAY!$A$5:$A$20000,$A657,INPUT_DELAY!$B$5:$B$20000,$B657,INPUT_DELAY!$C$5:$C$20000,$C657)+SUMIFS(INPUT_DELAY!$E$5:$E$20000,INPUT_DELAY!$A$5:$A$20000,$A657,INPUT_DELAY!$B$5:$B$20000,$B657,INPUT_DELAY!$C$5:$C$20000,"SEMUA")&gt;=60,"Delay 60 mnt tapi ada ritase","OK"))))))</f>
        <v/>
      </c>
      <c r="P657" s="158">
        <f>IFERROR(INDEX(MASTER_JAM!$Z$5:$AC$10,MATCH($I657,MASTER_JAM!$Y$5:$Y$10,0),MATCH($J657,MASTER_JAM!$Z$4:$AC$4,0))+0,0)</f>
        <v/>
      </c>
      <c r="Q657" s="158">
        <f>IF($P657=0,0,$P657+IFERROR(INDEX(MASTER_JAM!$H$5:$H$94,MATCH($C657,MASTER_JAM!$A$5:$A$94,0))+0,MASTER_JAM!$AC$15)/1000*(60/MASTER_JAM!$AC$12+60/MASTER_JAM!$AC$13)+MASTER_JAM!$AC$14)</f>
        <v/>
      </c>
      <c r="R657" s="158">
        <f>IF(N($F657)=0,0,$F657/SUMIFS(INPUT_RITASE!$F$5:$F$20000,INPUT_RITASE!$A$5:$A$20000,$A657,INPUT_RITASE!$B$5:$B$20000,$B657,INPUT_RITASE!$C$5:$C$20000,$C657,INPUT_RITASE!$D$5:$D$20000,$D657))</f>
        <v/>
      </c>
      <c r="S657" s="158">
        <f>IF($Q657=0,0,$R657*$P657/$Q657)</f>
        <v/>
      </c>
    </row>
    <row r="658">
      <c r="A658" s="155" t="n">
        <v>46106</v>
      </c>
      <c r="B658" s="156" t="inlineStr">
        <is>
          <t>16-17</t>
        </is>
      </c>
      <c r="C658" s="156" t="inlineStr">
        <is>
          <t>EX-1251</t>
        </is>
      </c>
      <c r="D658" s="156" t="inlineStr">
        <is>
          <t>DT-518</t>
        </is>
      </c>
      <c r="E658" s="156" t="inlineStr">
        <is>
          <t>OB</t>
        </is>
      </c>
      <c r="F658" s="156" t="n">
        <v>4</v>
      </c>
      <c r="G658" s="156" t="inlineStr"/>
      <c r="H658" s="157">
        <f>IF($B658="","",IF(ISNA(MATCH($B658,MASTER_JAM!$Q$5:$Q$28,0)),"?",IF(MATCH($B658,MASTER_JAM!$Q$5:$Q$28,0)&lt;=12,"DS","NS")))</f>
        <v/>
      </c>
      <c r="I658" s="157">
        <f>IFERROR(INDEX(MASTER_JAM!$B$5:$B$94,MATCH($C658,MASTER_JAM!$A$5:$A$94,0)),"")</f>
        <v/>
      </c>
      <c r="J658" s="157">
        <f>IFERROR(INDEX(MASTER_JAM!$E$5:$E$94,MATCH($D658,MASTER_JAM!$A$5:$A$94,0)),"")</f>
        <v/>
      </c>
      <c r="K658" s="158">
        <f>IFERROR(INDEX(MASTER_JAM!$J$5:$O$12,MATCH($E658,MASTER_JAM!$I$5:$I$12,0),MATCH($J658,MASTER_JAM!$J$4:$O$4,0))+0,0)</f>
        <v/>
      </c>
      <c r="L658" s="159">
        <f>N($F658)*$K658</f>
        <v/>
      </c>
      <c r="M658" s="157">
        <f>IF($E658="","",IF(OR($E658="Coal",$E658="Dirty Coal"),"MT","BCM"))</f>
        <v/>
      </c>
      <c r="N658" s="157">
        <f>IF($E658="","",IF(OR($E658="Coal",$E658="Dirty Coal"),"Coal","OB"))</f>
        <v/>
      </c>
      <c r="O658" s="157">
        <f>IF($F658="","",IF(COUNTIF(MASTER_JAM!$A$5:$A$94,$C658)=0,"Digger tidak dikenal",IF($J658="","Hauler tidak dikenal",IF($H658="?","Jam salah",IF($K658=0,"Faktor kosong",IF(SUMIFS(INPUT_DELAY!$E$5:$E$20000,INPUT_DELAY!$A$5:$A$20000,$A658,INPUT_DELAY!$B$5:$B$20000,$B658,INPUT_DELAY!$C$5:$C$20000,$C658)+SUMIFS(INPUT_DELAY!$E$5:$E$20000,INPUT_DELAY!$A$5:$A$20000,$A658,INPUT_DELAY!$B$5:$B$20000,$B658,INPUT_DELAY!$C$5:$C$20000,"SEMUA")&gt;=60,"Delay 60 mnt tapi ada ritase","OK"))))))</f>
        <v/>
      </c>
      <c r="P658" s="158">
        <f>IFERROR(INDEX(MASTER_JAM!$Z$5:$AC$10,MATCH($I658,MASTER_JAM!$Y$5:$Y$10,0),MATCH($J658,MASTER_JAM!$Z$4:$AC$4,0))+0,0)</f>
        <v/>
      </c>
      <c r="Q658" s="158">
        <f>IF($P658=0,0,$P658+IFERROR(INDEX(MASTER_JAM!$H$5:$H$94,MATCH($C658,MASTER_JAM!$A$5:$A$94,0))+0,MASTER_JAM!$AC$15)/1000*(60/MASTER_JAM!$AC$12+60/MASTER_JAM!$AC$13)+MASTER_JAM!$AC$14)</f>
        <v/>
      </c>
      <c r="R658" s="158">
        <f>IF(N($F658)=0,0,$F658/SUMIFS(INPUT_RITASE!$F$5:$F$20000,INPUT_RITASE!$A$5:$A$20000,$A658,INPUT_RITASE!$B$5:$B$20000,$B658,INPUT_RITASE!$C$5:$C$20000,$C658,INPUT_RITASE!$D$5:$D$20000,$D658))</f>
        <v/>
      </c>
      <c r="S658" s="158">
        <f>IF($Q658=0,0,$R658*$P658/$Q658)</f>
        <v/>
      </c>
    </row>
    <row r="659">
      <c r="A659" s="155" t="n">
        <v>46106</v>
      </c>
      <c r="B659" s="156" t="inlineStr">
        <is>
          <t>16-17</t>
        </is>
      </c>
      <c r="C659" s="156" t="inlineStr">
        <is>
          <t>EX-1251</t>
        </is>
      </c>
      <c r="D659" s="156" t="inlineStr">
        <is>
          <t>DT-515</t>
        </is>
      </c>
      <c r="E659" s="156" t="inlineStr">
        <is>
          <t>OB</t>
        </is>
      </c>
      <c r="F659" s="156" t="n">
        <v>3</v>
      </c>
      <c r="G659" s="156" t="inlineStr"/>
      <c r="H659" s="157">
        <f>IF($B659="","",IF(ISNA(MATCH($B659,MASTER_JAM!$Q$5:$Q$28,0)),"?",IF(MATCH($B659,MASTER_JAM!$Q$5:$Q$28,0)&lt;=12,"DS","NS")))</f>
        <v/>
      </c>
      <c r="I659" s="157">
        <f>IFERROR(INDEX(MASTER_JAM!$B$5:$B$94,MATCH($C659,MASTER_JAM!$A$5:$A$94,0)),"")</f>
        <v/>
      </c>
      <c r="J659" s="157">
        <f>IFERROR(INDEX(MASTER_JAM!$E$5:$E$94,MATCH($D659,MASTER_JAM!$A$5:$A$94,0)),"")</f>
        <v/>
      </c>
      <c r="K659" s="158">
        <f>IFERROR(INDEX(MASTER_JAM!$J$5:$O$12,MATCH($E659,MASTER_JAM!$I$5:$I$12,0),MATCH($J659,MASTER_JAM!$J$4:$O$4,0))+0,0)</f>
        <v/>
      </c>
      <c r="L659" s="159">
        <f>N($F659)*$K659</f>
        <v/>
      </c>
      <c r="M659" s="157">
        <f>IF($E659="","",IF(OR($E659="Coal",$E659="Dirty Coal"),"MT","BCM"))</f>
        <v/>
      </c>
      <c r="N659" s="157">
        <f>IF($E659="","",IF(OR($E659="Coal",$E659="Dirty Coal"),"Coal","OB"))</f>
        <v/>
      </c>
      <c r="O659" s="157">
        <f>IF($F659="","",IF(COUNTIF(MASTER_JAM!$A$5:$A$94,$C659)=0,"Digger tidak dikenal",IF($J659="","Hauler tidak dikenal",IF($H659="?","Jam salah",IF($K659=0,"Faktor kosong",IF(SUMIFS(INPUT_DELAY!$E$5:$E$20000,INPUT_DELAY!$A$5:$A$20000,$A659,INPUT_DELAY!$B$5:$B$20000,$B659,INPUT_DELAY!$C$5:$C$20000,$C659)+SUMIFS(INPUT_DELAY!$E$5:$E$20000,INPUT_DELAY!$A$5:$A$20000,$A659,INPUT_DELAY!$B$5:$B$20000,$B659,INPUT_DELAY!$C$5:$C$20000,"SEMUA")&gt;=60,"Delay 60 mnt tapi ada ritase","OK"))))))</f>
        <v/>
      </c>
      <c r="P659" s="158">
        <f>IFERROR(INDEX(MASTER_JAM!$Z$5:$AC$10,MATCH($I659,MASTER_JAM!$Y$5:$Y$10,0),MATCH($J659,MASTER_JAM!$Z$4:$AC$4,0))+0,0)</f>
        <v/>
      </c>
      <c r="Q659" s="158">
        <f>IF($P659=0,0,$P659+IFERROR(INDEX(MASTER_JAM!$H$5:$H$94,MATCH($C659,MASTER_JAM!$A$5:$A$94,0))+0,MASTER_JAM!$AC$15)/1000*(60/MASTER_JAM!$AC$12+60/MASTER_JAM!$AC$13)+MASTER_JAM!$AC$14)</f>
        <v/>
      </c>
      <c r="R659" s="158">
        <f>IF(N($F659)=0,0,$F659/SUMIFS(INPUT_RITASE!$F$5:$F$20000,INPUT_RITASE!$A$5:$A$20000,$A659,INPUT_RITASE!$B$5:$B$20000,$B659,INPUT_RITASE!$C$5:$C$20000,$C659,INPUT_RITASE!$D$5:$D$20000,$D659))</f>
        <v/>
      </c>
      <c r="S659" s="158">
        <f>IF($Q659=0,0,$R659*$P659/$Q659)</f>
        <v/>
      </c>
    </row>
    <row r="660">
      <c r="A660" s="155" t="n">
        <v>46106</v>
      </c>
      <c r="B660" s="156" t="inlineStr">
        <is>
          <t>16-17</t>
        </is>
      </c>
      <c r="C660" s="156" t="inlineStr">
        <is>
          <t>EX-1251</t>
        </is>
      </c>
      <c r="D660" s="156" t="inlineStr">
        <is>
          <t>DT-520</t>
        </is>
      </c>
      <c r="E660" s="156" t="inlineStr">
        <is>
          <t>OB</t>
        </is>
      </c>
      <c r="F660" s="156" t="n">
        <v>3</v>
      </c>
      <c r="G660" s="156" t="inlineStr"/>
      <c r="H660" s="157">
        <f>IF($B660="","",IF(ISNA(MATCH($B660,MASTER_JAM!$Q$5:$Q$28,0)),"?",IF(MATCH($B660,MASTER_JAM!$Q$5:$Q$28,0)&lt;=12,"DS","NS")))</f>
        <v/>
      </c>
      <c r="I660" s="157">
        <f>IFERROR(INDEX(MASTER_JAM!$B$5:$B$94,MATCH($C660,MASTER_JAM!$A$5:$A$94,0)),"")</f>
        <v/>
      </c>
      <c r="J660" s="157">
        <f>IFERROR(INDEX(MASTER_JAM!$E$5:$E$94,MATCH($D660,MASTER_JAM!$A$5:$A$94,0)),"")</f>
        <v/>
      </c>
      <c r="K660" s="158">
        <f>IFERROR(INDEX(MASTER_JAM!$J$5:$O$12,MATCH($E660,MASTER_JAM!$I$5:$I$12,0),MATCH($J660,MASTER_JAM!$J$4:$O$4,0))+0,0)</f>
        <v/>
      </c>
      <c r="L660" s="159">
        <f>N($F660)*$K660</f>
        <v/>
      </c>
      <c r="M660" s="157">
        <f>IF($E660="","",IF(OR($E660="Coal",$E660="Dirty Coal"),"MT","BCM"))</f>
        <v/>
      </c>
      <c r="N660" s="157">
        <f>IF($E660="","",IF(OR($E660="Coal",$E660="Dirty Coal"),"Coal","OB"))</f>
        <v/>
      </c>
      <c r="O660" s="157">
        <f>IF($F660="","",IF(COUNTIF(MASTER_JAM!$A$5:$A$94,$C660)=0,"Digger tidak dikenal",IF($J660="","Hauler tidak dikenal",IF($H660="?","Jam salah",IF($K660=0,"Faktor kosong",IF(SUMIFS(INPUT_DELAY!$E$5:$E$20000,INPUT_DELAY!$A$5:$A$20000,$A660,INPUT_DELAY!$B$5:$B$20000,$B660,INPUT_DELAY!$C$5:$C$20000,$C660)+SUMIFS(INPUT_DELAY!$E$5:$E$20000,INPUT_DELAY!$A$5:$A$20000,$A660,INPUT_DELAY!$B$5:$B$20000,$B660,INPUT_DELAY!$C$5:$C$20000,"SEMUA")&gt;=60,"Delay 60 mnt tapi ada ritase","OK"))))))</f>
        <v/>
      </c>
      <c r="P660" s="158">
        <f>IFERROR(INDEX(MASTER_JAM!$Z$5:$AC$10,MATCH($I660,MASTER_JAM!$Y$5:$Y$10,0),MATCH($J660,MASTER_JAM!$Z$4:$AC$4,0))+0,0)</f>
        <v/>
      </c>
      <c r="Q660" s="158">
        <f>IF($P660=0,0,$P660+IFERROR(INDEX(MASTER_JAM!$H$5:$H$94,MATCH($C660,MASTER_JAM!$A$5:$A$94,0))+0,MASTER_JAM!$AC$15)/1000*(60/MASTER_JAM!$AC$12+60/MASTER_JAM!$AC$13)+MASTER_JAM!$AC$14)</f>
        <v/>
      </c>
      <c r="R660" s="158">
        <f>IF(N($F660)=0,0,$F660/SUMIFS(INPUT_RITASE!$F$5:$F$20000,INPUT_RITASE!$A$5:$A$20000,$A660,INPUT_RITASE!$B$5:$B$20000,$B660,INPUT_RITASE!$C$5:$C$20000,$C660,INPUT_RITASE!$D$5:$D$20000,$D660))</f>
        <v/>
      </c>
      <c r="S660" s="158">
        <f>IF($Q660=0,0,$R660*$P660/$Q660)</f>
        <v/>
      </c>
    </row>
    <row r="661">
      <c r="A661" s="155" t="n">
        <v>46106</v>
      </c>
      <c r="B661" s="156" t="inlineStr">
        <is>
          <t>16-17</t>
        </is>
      </c>
      <c r="C661" s="156" t="inlineStr">
        <is>
          <t>EX-1251</t>
        </is>
      </c>
      <c r="D661" s="156" t="inlineStr">
        <is>
          <t>DT-504</t>
        </is>
      </c>
      <c r="E661" s="156" t="inlineStr">
        <is>
          <t>OB</t>
        </is>
      </c>
      <c r="F661" s="156" t="n">
        <v>3</v>
      </c>
      <c r="G661" s="156" t="inlineStr"/>
      <c r="H661" s="157">
        <f>IF($B661="","",IF(ISNA(MATCH($B661,MASTER_JAM!$Q$5:$Q$28,0)),"?",IF(MATCH($B661,MASTER_JAM!$Q$5:$Q$28,0)&lt;=12,"DS","NS")))</f>
        <v/>
      </c>
      <c r="I661" s="157">
        <f>IFERROR(INDEX(MASTER_JAM!$B$5:$B$94,MATCH($C661,MASTER_JAM!$A$5:$A$94,0)),"")</f>
        <v/>
      </c>
      <c r="J661" s="157">
        <f>IFERROR(INDEX(MASTER_JAM!$E$5:$E$94,MATCH($D661,MASTER_JAM!$A$5:$A$94,0)),"")</f>
        <v/>
      </c>
      <c r="K661" s="158">
        <f>IFERROR(INDEX(MASTER_JAM!$J$5:$O$12,MATCH($E661,MASTER_JAM!$I$5:$I$12,0),MATCH($J661,MASTER_JAM!$J$4:$O$4,0))+0,0)</f>
        <v/>
      </c>
      <c r="L661" s="159">
        <f>N($F661)*$K661</f>
        <v/>
      </c>
      <c r="M661" s="157">
        <f>IF($E661="","",IF(OR($E661="Coal",$E661="Dirty Coal"),"MT","BCM"))</f>
        <v/>
      </c>
      <c r="N661" s="157">
        <f>IF($E661="","",IF(OR($E661="Coal",$E661="Dirty Coal"),"Coal","OB"))</f>
        <v/>
      </c>
      <c r="O661" s="157">
        <f>IF($F661="","",IF(COUNTIF(MASTER_JAM!$A$5:$A$94,$C661)=0,"Digger tidak dikenal",IF($J661="","Hauler tidak dikenal",IF($H661="?","Jam salah",IF($K661=0,"Faktor kosong",IF(SUMIFS(INPUT_DELAY!$E$5:$E$20000,INPUT_DELAY!$A$5:$A$20000,$A661,INPUT_DELAY!$B$5:$B$20000,$B661,INPUT_DELAY!$C$5:$C$20000,$C661)+SUMIFS(INPUT_DELAY!$E$5:$E$20000,INPUT_DELAY!$A$5:$A$20000,$A661,INPUT_DELAY!$B$5:$B$20000,$B661,INPUT_DELAY!$C$5:$C$20000,"SEMUA")&gt;=60,"Delay 60 mnt tapi ada ritase","OK"))))))</f>
        <v/>
      </c>
      <c r="P661" s="158">
        <f>IFERROR(INDEX(MASTER_JAM!$Z$5:$AC$10,MATCH($I661,MASTER_JAM!$Y$5:$Y$10,0),MATCH($J661,MASTER_JAM!$Z$4:$AC$4,0))+0,0)</f>
        <v/>
      </c>
      <c r="Q661" s="158">
        <f>IF($P661=0,0,$P661+IFERROR(INDEX(MASTER_JAM!$H$5:$H$94,MATCH($C661,MASTER_JAM!$A$5:$A$94,0))+0,MASTER_JAM!$AC$15)/1000*(60/MASTER_JAM!$AC$12+60/MASTER_JAM!$AC$13)+MASTER_JAM!$AC$14)</f>
        <v/>
      </c>
      <c r="R661" s="158">
        <f>IF(N($F661)=0,0,$F661/SUMIFS(INPUT_RITASE!$F$5:$F$20000,INPUT_RITASE!$A$5:$A$20000,$A661,INPUT_RITASE!$B$5:$B$20000,$B661,INPUT_RITASE!$C$5:$C$20000,$C661,INPUT_RITASE!$D$5:$D$20000,$D661))</f>
        <v/>
      </c>
      <c r="S661" s="158">
        <f>IF($Q661=0,0,$R661*$P661/$Q661)</f>
        <v/>
      </c>
    </row>
    <row r="662">
      <c r="A662" s="155" t="n">
        <v>46106</v>
      </c>
      <c r="B662" s="156" t="inlineStr">
        <is>
          <t>06-07</t>
        </is>
      </c>
      <c r="C662" s="156" t="inlineStr">
        <is>
          <t>EX-2101</t>
        </is>
      </c>
      <c r="D662" s="156" t="inlineStr">
        <is>
          <t>DT-508</t>
        </is>
      </c>
      <c r="E662" s="156" t="inlineStr">
        <is>
          <t>OB</t>
        </is>
      </c>
      <c r="F662" s="156" t="n">
        <v>4</v>
      </c>
      <c r="G662" s="156" t="inlineStr"/>
      <c r="H662" s="157">
        <f>IF($B662="","",IF(ISNA(MATCH($B662,MASTER_JAM!$Q$5:$Q$28,0)),"?",IF(MATCH($B662,MASTER_JAM!$Q$5:$Q$28,0)&lt;=12,"DS","NS")))</f>
        <v/>
      </c>
      <c r="I662" s="157">
        <f>IFERROR(INDEX(MASTER_JAM!$B$5:$B$94,MATCH($C662,MASTER_JAM!$A$5:$A$94,0)),"")</f>
        <v/>
      </c>
      <c r="J662" s="157">
        <f>IFERROR(INDEX(MASTER_JAM!$E$5:$E$94,MATCH($D662,MASTER_JAM!$A$5:$A$94,0)),"")</f>
        <v/>
      </c>
      <c r="K662" s="158">
        <f>IFERROR(INDEX(MASTER_JAM!$J$5:$O$12,MATCH($E662,MASTER_JAM!$I$5:$I$12,0),MATCH($J662,MASTER_JAM!$J$4:$O$4,0))+0,0)</f>
        <v/>
      </c>
      <c r="L662" s="159">
        <f>N($F662)*$K662</f>
        <v/>
      </c>
      <c r="M662" s="157">
        <f>IF($E662="","",IF(OR($E662="Coal",$E662="Dirty Coal"),"MT","BCM"))</f>
        <v/>
      </c>
      <c r="N662" s="157">
        <f>IF($E662="","",IF(OR($E662="Coal",$E662="Dirty Coal"),"Coal","OB"))</f>
        <v/>
      </c>
      <c r="O662" s="157">
        <f>IF($F662="","",IF(COUNTIF(MASTER_JAM!$A$5:$A$94,$C662)=0,"Digger tidak dikenal",IF($J662="","Hauler tidak dikenal",IF($H662="?","Jam salah",IF($K662=0,"Faktor kosong",IF(SUMIFS(INPUT_DELAY!$E$5:$E$20000,INPUT_DELAY!$A$5:$A$20000,$A662,INPUT_DELAY!$B$5:$B$20000,$B662,INPUT_DELAY!$C$5:$C$20000,$C662)+SUMIFS(INPUT_DELAY!$E$5:$E$20000,INPUT_DELAY!$A$5:$A$20000,$A662,INPUT_DELAY!$B$5:$B$20000,$B662,INPUT_DELAY!$C$5:$C$20000,"SEMUA")&gt;=60,"Delay 60 mnt tapi ada ritase","OK"))))))</f>
        <v/>
      </c>
      <c r="P662" s="158">
        <f>IFERROR(INDEX(MASTER_JAM!$Z$5:$AC$10,MATCH($I662,MASTER_JAM!$Y$5:$Y$10,0),MATCH($J662,MASTER_JAM!$Z$4:$AC$4,0))+0,0)</f>
        <v/>
      </c>
      <c r="Q662" s="158">
        <f>IF($P662=0,0,$P662+IFERROR(INDEX(MASTER_JAM!$H$5:$H$94,MATCH($C662,MASTER_JAM!$A$5:$A$94,0))+0,MASTER_JAM!$AC$15)/1000*(60/MASTER_JAM!$AC$12+60/MASTER_JAM!$AC$13)+MASTER_JAM!$AC$14)</f>
        <v/>
      </c>
      <c r="R662" s="158">
        <f>IF(N($F662)=0,0,$F662/SUMIFS(INPUT_RITASE!$F$5:$F$20000,INPUT_RITASE!$A$5:$A$20000,$A662,INPUT_RITASE!$B$5:$B$20000,$B662,INPUT_RITASE!$C$5:$C$20000,$C662,INPUT_RITASE!$D$5:$D$20000,$D662))</f>
        <v/>
      </c>
      <c r="S662" s="158">
        <f>IF($Q662=0,0,$R662*$P662/$Q662)</f>
        <v/>
      </c>
    </row>
    <row r="663">
      <c r="A663" s="155" t="n">
        <v>46106</v>
      </c>
      <c r="B663" s="156" t="inlineStr">
        <is>
          <t>06-07</t>
        </is>
      </c>
      <c r="C663" s="156" t="inlineStr">
        <is>
          <t>EX-2101</t>
        </is>
      </c>
      <c r="D663" s="156" t="inlineStr">
        <is>
          <t>DT-522</t>
        </is>
      </c>
      <c r="E663" s="156" t="inlineStr">
        <is>
          <t>OB</t>
        </is>
      </c>
      <c r="F663" s="156" t="n">
        <v>4</v>
      </c>
      <c r="G663" s="156" t="inlineStr"/>
      <c r="H663" s="157">
        <f>IF($B663="","",IF(ISNA(MATCH($B663,MASTER_JAM!$Q$5:$Q$28,0)),"?",IF(MATCH($B663,MASTER_JAM!$Q$5:$Q$28,0)&lt;=12,"DS","NS")))</f>
        <v/>
      </c>
      <c r="I663" s="157">
        <f>IFERROR(INDEX(MASTER_JAM!$B$5:$B$94,MATCH($C663,MASTER_JAM!$A$5:$A$94,0)),"")</f>
        <v/>
      </c>
      <c r="J663" s="157">
        <f>IFERROR(INDEX(MASTER_JAM!$E$5:$E$94,MATCH($D663,MASTER_JAM!$A$5:$A$94,0)),"")</f>
        <v/>
      </c>
      <c r="K663" s="158">
        <f>IFERROR(INDEX(MASTER_JAM!$J$5:$O$12,MATCH($E663,MASTER_JAM!$I$5:$I$12,0),MATCH($J663,MASTER_JAM!$J$4:$O$4,0))+0,0)</f>
        <v/>
      </c>
      <c r="L663" s="159">
        <f>N($F663)*$K663</f>
        <v/>
      </c>
      <c r="M663" s="157">
        <f>IF($E663="","",IF(OR($E663="Coal",$E663="Dirty Coal"),"MT","BCM"))</f>
        <v/>
      </c>
      <c r="N663" s="157">
        <f>IF($E663="","",IF(OR($E663="Coal",$E663="Dirty Coal"),"Coal","OB"))</f>
        <v/>
      </c>
      <c r="O663" s="157">
        <f>IF($F663="","",IF(COUNTIF(MASTER_JAM!$A$5:$A$94,$C663)=0,"Digger tidak dikenal",IF($J663="","Hauler tidak dikenal",IF($H663="?","Jam salah",IF($K663=0,"Faktor kosong",IF(SUMIFS(INPUT_DELAY!$E$5:$E$20000,INPUT_DELAY!$A$5:$A$20000,$A663,INPUT_DELAY!$B$5:$B$20000,$B663,INPUT_DELAY!$C$5:$C$20000,$C663)+SUMIFS(INPUT_DELAY!$E$5:$E$20000,INPUT_DELAY!$A$5:$A$20000,$A663,INPUT_DELAY!$B$5:$B$20000,$B663,INPUT_DELAY!$C$5:$C$20000,"SEMUA")&gt;=60,"Delay 60 mnt tapi ada ritase","OK"))))))</f>
        <v/>
      </c>
      <c r="P663" s="158">
        <f>IFERROR(INDEX(MASTER_JAM!$Z$5:$AC$10,MATCH($I663,MASTER_JAM!$Y$5:$Y$10,0),MATCH($J663,MASTER_JAM!$Z$4:$AC$4,0))+0,0)</f>
        <v/>
      </c>
      <c r="Q663" s="158">
        <f>IF($P663=0,0,$P663+IFERROR(INDEX(MASTER_JAM!$H$5:$H$94,MATCH($C663,MASTER_JAM!$A$5:$A$94,0))+0,MASTER_JAM!$AC$15)/1000*(60/MASTER_JAM!$AC$12+60/MASTER_JAM!$AC$13)+MASTER_JAM!$AC$14)</f>
        <v/>
      </c>
      <c r="R663" s="158">
        <f>IF(N($F663)=0,0,$F663/SUMIFS(INPUT_RITASE!$F$5:$F$20000,INPUT_RITASE!$A$5:$A$20000,$A663,INPUT_RITASE!$B$5:$B$20000,$B663,INPUT_RITASE!$C$5:$C$20000,$C663,INPUT_RITASE!$D$5:$D$20000,$D663))</f>
        <v/>
      </c>
      <c r="S663" s="158">
        <f>IF($Q663=0,0,$R663*$P663/$Q663)</f>
        <v/>
      </c>
    </row>
    <row r="664">
      <c r="A664" s="155" t="n">
        <v>46106</v>
      </c>
      <c r="B664" s="156" t="inlineStr">
        <is>
          <t>06-07</t>
        </is>
      </c>
      <c r="C664" s="156" t="inlineStr">
        <is>
          <t>EX-2101</t>
        </is>
      </c>
      <c r="D664" s="156" t="inlineStr">
        <is>
          <t>DT-505</t>
        </is>
      </c>
      <c r="E664" s="156" t="inlineStr">
        <is>
          <t>OB</t>
        </is>
      </c>
      <c r="F664" s="156" t="n">
        <v>3</v>
      </c>
      <c r="G664" s="156" t="inlineStr"/>
      <c r="H664" s="157">
        <f>IF($B664="","",IF(ISNA(MATCH($B664,MASTER_JAM!$Q$5:$Q$28,0)),"?",IF(MATCH($B664,MASTER_JAM!$Q$5:$Q$28,0)&lt;=12,"DS","NS")))</f>
        <v/>
      </c>
      <c r="I664" s="157">
        <f>IFERROR(INDEX(MASTER_JAM!$B$5:$B$94,MATCH($C664,MASTER_JAM!$A$5:$A$94,0)),"")</f>
        <v/>
      </c>
      <c r="J664" s="157">
        <f>IFERROR(INDEX(MASTER_JAM!$E$5:$E$94,MATCH($D664,MASTER_JAM!$A$5:$A$94,0)),"")</f>
        <v/>
      </c>
      <c r="K664" s="158">
        <f>IFERROR(INDEX(MASTER_JAM!$J$5:$O$12,MATCH($E664,MASTER_JAM!$I$5:$I$12,0),MATCH($J664,MASTER_JAM!$J$4:$O$4,0))+0,0)</f>
        <v/>
      </c>
      <c r="L664" s="159">
        <f>N($F664)*$K664</f>
        <v/>
      </c>
      <c r="M664" s="157">
        <f>IF($E664="","",IF(OR($E664="Coal",$E664="Dirty Coal"),"MT","BCM"))</f>
        <v/>
      </c>
      <c r="N664" s="157">
        <f>IF($E664="","",IF(OR($E664="Coal",$E664="Dirty Coal"),"Coal","OB"))</f>
        <v/>
      </c>
      <c r="O664" s="157">
        <f>IF($F664="","",IF(COUNTIF(MASTER_JAM!$A$5:$A$94,$C664)=0,"Digger tidak dikenal",IF($J664="","Hauler tidak dikenal",IF($H664="?","Jam salah",IF($K664=0,"Faktor kosong",IF(SUMIFS(INPUT_DELAY!$E$5:$E$20000,INPUT_DELAY!$A$5:$A$20000,$A664,INPUT_DELAY!$B$5:$B$20000,$B664,INPUT_DELAY!$C$5:$C$20000,$C664)+SUMIFS(INPUT_DELAY!$E$5:$E$20000,INPUT_DELAY!$A$5:$A$20000,$A664,INPUT_DELAY!$B$5:$B$20000,$B664,INPUT_DELAY!$C$5:$C$20000,"SEMUA")&gt;=60,"Delay 60 mnt tapi ada ritase","OK"))))))</f>
        <v/>
      </c>
      <c r="P664" s="158">
        <f>IFERROR(INDEX(MASTER_JAM!$Z$5:$AC$10,MATCH($I664,MASTER_JAM!$Y$5:$Y$10,0),MATCH($J664,MASTER_JAM!$Z$4:$AC$4,0))+0,0)</f>
        <v/>
      </c>
      <c r="Q664" s="158">
        <f>IF($P664=0,0,$P664+IFERROR(INDEX(MASTER_JAM!$H$5:$H$94,MATCH($C664,MASTER_JAM!$A$5:$A$94,0))+0,MASTER_JAM!$AC$15)/1000*(60/MASTER_JAM!$AC$12+60/MASTER_JAM!$AC$13)+MASTER_JAM!$AC$14)</f>
        <v/>
      </c>
      <c r="R664" s="158">
        <f>IF(N($F664)=0,0,$F664/SUMIFS(INPUT_RITASE!$F$5:$F$20000,INPUT_RITASE!$A$5:$A$20000,$A664,INPUT_RITASE!$B$5:$B$20000,$B664,INPUT_RITASE!$C$5:$C$20000,$C664,INPUT_RITASE!$D$5:$D$20000,$D664))</f>
        <v/>
      </c>
      <c r="S664" s="158">
        <f>IF($Q664=0,0,$R664*$P664/$Q664)</f>
        <v/>
      </c>
    </row>
    <row r="665">
      <c r="A665" s="155" t="n">
        <v>46106</v>
      </c>
      <c r="B665" s="156" t="inlineStr">
        <is>
          <t>06-07</t>
        </is>
      </c>
      <c r="C665" s="156" t="inlineStr">
        <is>
          <t>EX-2101</t>
        </is>
      </c>
      <c r="D665" s="156" t="inlineStr">
        <is>
          <t>DT-513</t>
        </is>
      </c>
      <c r="E665" s="156" t="inlineStr">
        <is>
          <t>OB</t>
        </is>
      </c>
      <c r="F665" s="156" t="n">
        <v>3</v>
      </c>
      <c r="G665" s="156" t="inlineStr"/>
      <c r="H665" s="157">
        <f>IF($B665="","",IF(ISNA(MATCH($B665,MASTER_JAM!$Q$5:$Q$28,0)),"?",IF(MATCH($B665,MASTER_JAM!$Q$5:$Q$28,0)&lt;=12,"DS","NS")))</f>
        <v/>
      </c>
      <c r="I665" s="157">
        <f>IFERROR(INDEX(MASTER_JAM!$B$5:$B$94,MATCH($C665,MASTER_JAM!$A$5:$A$94,0)),"")</f>
        <v/>
      </c>
      <c r="J665" s="157">
        <f>IFERROR(INDEX(MASTER_JAM!$E$5:$E$94,MATCH($D665,MASTER_JAM!$A$5:$A$94,0)),"")</f>
        <v/>
      </c>
      <c r="K665" s="158">
        <f>IFERROR(INDEX(MASTER_JAM!$J$5:$O$12,MATCH($E665,MASTER_JAM!$I$5:$I$12,0),MATCH($J665,MASTER_JAM!$J$4:$O$4,0))+0,0)</f>
        <v/>
      </c>
      <c r="L665" s="159">
        <f>N($F665)*$K665</f>
        <v/>
      </c>
      <c r="M665" s="157">
        <f>IF($E665="","",IF(OR($E665="Coal",$E665="Dirty Coal"),"MT","BCM"))</f>
        <v/>
      </c>
      <c r="N665" s="157">
        <f>IF($E665="","",IF(OR($E665="Coal",$E665="Dirty Coal"),"Coal","OB"))</f>
        <v/>
      </c>
      <c r="O665" s="157">
        <f>IF($F665="","",IF(COUNTIF(MASTER_JAM!$A$5:$A$94,$C665)=0,"Digger tidak dikenal",IF($J665="","Hauler tidak dikenal",IF($H665="?","Jam salah",IF($K665=0,"Faktor kosong",IF(SUMIFS(INPUT_DELAY!$E$5:$E$20000,INPUT_DELAY!$A$5:$A$20000,$A665,INPUT_DELAY!$B$5:$B$20000,$B665,INPUT_DELAY!$C$5:$C$20000,$C665)+SUMIFS(INPUT_DELAY!$E$5:$E$20000,INPUT_DELAY!$A$5:$A$20000,$A665,INPUT_DELAY!$B$5:$B$20000,$B665,INPUT_DELAY!$C$5:$C$20000,"SEMUA")&gt;=60,"Delay 60 mnt tapi ada ritase","OK"))))))</f>
        <v/>
      </c>
      <c r="P665" s="158">
        <f>IFERROR(INDEX(MASTER_JAM!$Z$5:$AC$10,MATCH($I665,MASTER_JAM!$Y$5:$Y$10,0),MATCH($J665,MASTER_JAM!$Z$4:$AC$4,0))+0,0)</f>
        <v/>
      </c>
      <c r="Q665" s="158">
        <f>IF($P665=0,0,$P665+IFERROR(INDEX(MASTER_JAM!$H$5:$H$94,MATCH($C665,MASTER_JAM!$A$5:$A$94,0))+0,MASTER_JAM!$AC$15)/1000*(60/MASTER_JAM!$AC$12+60/MASTER_JAM!$AC$13)+MASTER_JAM!$AC$14)</f>
        <v/>
      </c>
      <c r="R665" s="158">
        <f>IF(N($F665)=0,0,$F665/SUMIFS(INPUT_RITASE!$F$5:$F$20000,INPUT_RITASE!$A$5:$A$20000,$A665,INPUT_RITASE!$B$5:$B$20000,$B665,INPUT_RITASE!$C$5:$C$20000,$C665,INPUT_RITASE!$D$5:$D$20000,$D665))</f>
        <v/>
      </c>
      <c r="S665" s="158">
        <f>IF($Q665=0,0,$R665*$P665/$Q665)</f>
        <v/>
      </c>
    </row>
    <row r="666">
      <c r="A666" s="155" t="n">
        <v>46106</v>
      </c>
      <c r="B666" s="156" t="inlineStr">
        <is>
          <t>06-07</t>
        </is>
      </c>
      <c r="C666" s="156" t="inlineStr">
        <is>
          <t>EX-2101</t>
        </is>
      </c>
      <c r="D666" s="156" t="inlineStr">
        <is>
          <t>HD-903</t>
        </is>
      </c>
      <c r="E666" s="156" t="inlineStr">
        <is>
          <t>OB</t>
        </is>
      </c>
      <c r="F666" s="156" t="n">
        <v>3</v>
      </c>
      <c r="G666" s="156" t="inlineStr"/>
      <c r="H666" s="157">
        <f>IF($B666="","",IF(ISNA(MATCH($B666,MASTER_JAM!$Q$5:$Q$28,0)),"?",IF(MATCH($B666,MASTER_JAM!$Q$5:$Q$28,0)&lt;=12,"DS","NS")))</f>
        <v/>
      </c>
      <c r="I666" s="157">
        <f>IFERROR(INDEX(MASTER_JAM!$B$5:$B$94,MATCH($C666,MASTER_JAM!$A$5:$A$94,0)),"")</f>
        <v/>
      </c>
      <c r="J666" s="157">
        <f>IFERROR(INDEX(MASTER_JAM!$E$5:$E$94,MATCH($D666,MASTER_JAM!$A$5:$A$94,0)),"")</f>
        <v/>
      </c>
      <c r="K666" s="158">
        <f>IFERROR(INDEX(MASTER_JAM!$J$5:$O$12,MATCH($E666,MASTER_JAM!$I$5:$I$12,0),MATCH($J666,MASTER_JAM!$J$4:$O$4,0))+0,0)</f>
        <v/>
      </c>
      <c r="L666" s="159">
        <f>N($F666)*$K666</f>
        <v/>
      </c>
      <c r="M666" s="157">
        <f>IF($E666="","",IF(OR($E666="Coal",$E666="Dirty Coal"),"MT","BCM"))</f>
        <v/>
      </c>
      <c r="N666" s="157">
        <f>IF($E666="","",IF(OR($E666="Coal",$E666="Dirty Coal"),"Coal","OB"))</f>
        <v/>
      </c>
      <c r="O666" s="157">
        <f>IF($F666="","",IF(COUNTIF(MASTER_JAM!$A$5:$A$94,$C666)=0,"Digger tidak dikenal",IF($J666="","Hauler tidak dikenal",IF($H666="?","Jam salah",IF($K666=0,"Faktor kosong",IF(SUMIFS(INPUT_DELAY!$E$5:$E$20000,INPUT_DELAY!$A$5:$A$20000,$A666,INPUT_DELAY!$B$5:$B$20000,$B666,INPUT_DELAY!$C$5:$C$20000,$C666)+SUMIFS(INPUT_DELAY!$E$5:$E$20000,INPUT_DELAY!$A$5:$A$20000,$A666,INPUT_DELAY!$B$5:$B$20000,$B666,INPUT_DELAY!$C$5:$C$20000,"SEMUA")&gt;=60,"Delay 60 mnt tapi ada ritase","OK"))))))</f>
        <v/>
      </c>
      <c r="P666" s="158">
        <f>IFERROR(INDEX(MASTER_JAM!$Z$5:$AC$10,MATCH($I666,MASTER_JAM!$Y$5:$Y$10,0),MATCH($J666,MASTER_JAM!$Z$4:$AC$4,0))+0,0)</f>
        <v/>
      </c>
      <c r="Q666" s="158">
        <f>IF($P666=0,0,$P666+IFERROR(INDEX(MASTER_JAM!$H$5:$H$94,MATCH($C666,MASTER_JAM!$A$5:$A$94,0))+0,MASTER_JAM!$AC$15)/1000*(60/MASTER_JAM!$AC$12+60/MASTER_JAM!$AC$13)+MASTER_JAM!$AC$14)</f>
        <v/>
      </c>
      <c r="R666" s="158">
        <f>IF(N($F666)=0,0,$F666/SUMIFS(INPUT_RITASE!$F$5:$F$20000,INPUT_RITASE!$A$5:$A$20000,$A666,INPUT_RITASE!$B$5:$B$20000,$B666,INPUT_RITASE!$C$5:$C$20000,$C666,INPUT_RITASE!$D$5:$D$20000,$D666))</f>
        <v/>
      </c>
      <c r="S666" s="158">
        <f>IF($Q666=0,0,$R666*$P666/$Q666)</f>
        <v/>
      </c>
    </row>
    <row r="667">
      <c r="A667" s="155" t="n">
        <v>46106</v>
      </c>
      <c r="B667" s="156" t="inlineStr">
        <is>
          <t>06-07</t>
        </is>
      </c>
      <c r="C667" s="156" t="inlineStr">
        <is>
          <t>EX-2101</t>
        </is>
      </c>
      <c r="D667" s="156" t="inlineStr">
        <is>
          <t>HD-901</t>
        </is>
      </c>
      <c r="E667" s="156" t="inlineStr">
        <is>
          <t>OB</t>
        </is>
      </c>
      <c r="F667" s="156" t="n">
        <v>3</v>
      </c>
      <c r="G667" s="156" t="inlineStr"/>
      <c r="H667" s="157">
        <f>IF($B667="","",IF(ISNA(MATCH($B667,MASTER_JAM!$Q$5:$Q$28,0)),"?",IF(MATCH($B667,MASTER_JAM!$Q$5:$Q$28,0)&lt;=12,"DS","NS")))</f>
        <v/>
      </c>
      <c r="I667" s="157">
        <f>IFERROR(INDEX(MASTER_JAM!$B$5:$B$94,MATCH($C667,MASTER_JAM!$A$5:$A$94,0)),"")</f>
        <v/>
      </c>
      <c r="J667" s="157">
        <f>IFERROR(INDEX(MASTER_JAM!$E$5:$E$94,MATCH($D667,MASTER_JAM!$A$5:$A$94,0)),"")</f>
        <v/>
      </c>
      <c r="K667" s="158">
        <f>IFERROR(INDEX(MASTER_JAM!$J$5:$O$12,MATCH($E667,MASTER_JAM!$I$5:$I$12,0),MATCH($J667,MASTER_JAM!$J$4:$O$4,0))+0,0)</f>
        <v/>
      </c>
      <c r="L667" s="159">
        <f>N($F667)*$K667</f>
        <v/>
      </c>
      <c r="M667" s="157">
        <f>IF($E667="","",IF(OR($E667="Coal",$E667="Dirty Coal"),"MT","BCM"))</f>
        <v/>
      </c>
      <c r="N667" s="157">
        <f>IF($E667="","",IF(OR($E667="Coal",$E667="Dirty Coal"),"Coal","OB"))</f>
        <v/>
      </c>
      <c r="O667" s="157">
        <f>IF($F667="","",IF(COUNTIF(MASTER_JAM!$A$5:$A$94,$C667)=0,"Digger tidak dikenal",IF($J667="","Hauler tidak dikenal",IF($H667="?","Jam salah",IF($K667=0,"Faktor kosong",IF(SUMIFS(INPUT_DELAY!$E$5:$E$20000,INPUT_DELAY!$A$5:$A$20000,$A667,INPUT_DELAY!$B$5:$B$20000,$B667,INPUT_DELAY!$C$5:$C$20000,$C667)+SUMIFS(INPUT_DELAY!$E$5:$E$20000,INPUT_DELAY!$A$5:$A$20000,$A667,INPUT_DELAY!$B$5:$B$20000,$B667,INPUT_DELAY!$C$5:$C$20000,"SEMUA")&gt;=60,"Delay 60 mnt tapi ada ritase","OK"))))))</f>
        <v/>
      </c>
      <c r="P667" s="158">
        <f>IFERROR(INDEX(MASTER_JAM!$Z$5:$AC$10,MATCH($I667,MASTER_JAM!$Y$5:$Y$10,0),MATCH($J667,MASTER_JAM!$Z$4:$AC$4,0))+0,0)</f>
        <v/>
      </c>
      <c r="Q667" s="158">
        <f>IF($P667=0,0,$P667+IFERROR(INDEX(MASTER_JAM!$H$5:$H$94,MATCH($C667,MASTER_JAM!$A$5:$A$94,0))+0,MASTER_JAM!$AC$15)/1000*(60/MASTER_JAM!$AC$12+60/MASTER_JAM!$AC$13)+MASTER_JAM!$AC$14)</f>
        <v/>
      </c>
      <c r="R667" s="158">
        <f>IF(N($F667)=0,0,$F667/SUMIFS(INPUT_RITASE!$F$5:$F$20000,INPUT_RITASE!$A$5:$A$20000,$A667,INPUT_RITASE!$B$5:$B$20000,$B667,INPUT_RITASE!$C$5:$C$20000,$C667,INPUT_RITASE!$D$5:$D$20000,$D667))</f>
        <v/>
      </c>
      <c r="S667" s="158">
        <f>IF($Q667=0,0,$R667*$P667/$Q667)</f>
        <v/>
      </c>
    </row>
    <row r="668">
      <c r="A668" s="155" t="n">
        <v>46106</v>
      </c>
      <c r="B668" s="156" t="inlineStr">
        <is>
          <t>06-07</t>
        </is>
      </c>
      <c r="C668" s="156" t="inlineStr">
        <is>
          <t>EX-2101</t>
        </is>
      </c>
      <c r="D668" s="156" t="inlineStr">
        <is>
          <t>HD-902</t>
        </is>
      </c>
      <c r="E668" s="156" t="inlineStr">
        <is>
          <t>OB</t>
        </is>
      </c>
      <c r="F668" s="156" t="n">
        <v>3</v>
      </c>
      <c r="G668" s="156" t="inlineStr"/>
      <c r="H668" s="157">
        <f>IF($B668="","",IF(ISNA(MATCH($B668,MASTER_JAM!$Q$5:$Q$28,0)),"?",IF(MATCH($B668,MASTER_JAM!$Q$5:$Q$28,0)&lt;=12,"DS","NS")))</f>
        <v/>
      </c>
      <c r="I668" s="157">
        <f>IFERROR(INDEX(MASTER_JAM!$B$5:$B$94,MATCH($C668,MASTER_JAM!$A$5:$A$94,0)),"")</f>
        <v/>
      </c>
      <c r="J668" s="157">
        <f>IFERROR(INDEX(MASTER_JAM!$E$5:$E$94,MATCH($D668,MASTER_JAM!$A$5:$A$94,0)),"")</f>
        <v/>
      </c>
      <c r="K668" s="158">
        <f>IFERROR(INDEX(MASTER_JAM!$J$5:$O$12,MATCH($E668,MASTER_JAM!$I$5:$I$12,0),MATCH($J668,MASTER_JAM!$J$4:$O$4,0))+0,0)</f>
        <v/>
      </c>
      <c r="L668" s="159">
        <f>N($F668)*$K668</f>
        <v/>
      </c>
      <c r="M668" s="157">
        <f>IF($E668="","",IF(OR($E668="Coal",$E668="Dirty Coal"),"MT","BCM"))</f>
        <v/>
      </c>
      <c r="N668" s="157">
        <f>IF($E668="","",IF(OR($E668="Coal",$E668="Dirty Coal"),"Coal","OB"))</f>
        <v/>
      </c>
      <c r="O668" s="157">
        <f>IF($F668="","",IF(COUNTIF(MASTER_JAM!$A$5:$A$94,$C668)=0,"Digger tidak dikenal",IF($J668="","Hauler tidak dikenal",IF($H668="?","Jam salah",IF($K668=0,"Faktor kosong",IF(SUMIFS(INPUT_DELAY!$E$5:$E$20000,INPUT_DELAY!$A$5:$A$20000,$A668,INPUT_DELAY!$B$5:$B$20000,$B668,INPUT_DELAY!$C$5:$C$20000,$C668)+SUMIFS(INPUT_DELAY!$E$5:$E$20000,INPUT_DELAY!$A$5:$A$20000,$A668,INPUT_DELAY!$B$5:$B$20000,$B668,INPUT_DELAY!$C$5:$C$20000,"SEMUA")&gt;=60,"Delay 60 mnt tapi ada ritase","OK"))))))</f>
        <v/>
      </c>
      <c r="P668" s="158">
        <f>IFERROR(INDEX(MASTER_JAM!$Z$5:$AC$10,MATCH($I668,MASTER_JAM!$Y$5:$Y$10,0),MATCH($J668,MASTER_JAM!$Z$4:$AC$4,0))+0,0)</f>
        <v/>
      </c>
      <c r="Q668" s="158">
        <f>IF($P668=0,0,$P668+IFERROR(INDEX(MASTER_JAM!$H$5:$H$94,MATCH($C668,MASTER_JAM!$A$5:$A$94,0))+0,MASTER_JAM!$AC$15)/1000*(60/MASTER_JAM!$AC$12+60/MASTER_JAM!$AC$13)+MASTER_JAM!$AC$14)</f>
        <v/>
      </c>
      <c r="R668" s="158">
        <f>IF(N($F668)=0,0,$F668/SUMIFS(INPUT_RITASE!$F$5:$F$20000,INPUT_RITASE!$A$5:$A$20000,$A668,INPUT_RITASE!$B$5:$B$20000,$B668,INPUT_RITASE!$C$5:$C$20000,$C668,INPUT_RITASE!$D$5:$D$20000,$D668))</f>
        <v/>
      </c>
      <c r="S668" s="158">
        <f>IF($Q668=0,0,$R668*$P668/$Q668)</f>
        <v/>
      </c>
    </row>
    <row r="669">
      <c r="A669" s="155" t="n">
        <v>46106</v>
      </c>
      <c r="B669" s="156" t="inlineStr">
        <is>
          <t>07-08</t>
        </is>
      </c>
      <c r="C669" s="156" t="inlineStr">
        <is>
          <t>EX-2101</t>
        </is>
      </c>
      <c r="D669" s="156" t="inlineStr">
        <is>
          <t>HD-902</t>
        </is>
      </c>
      <c r="E669" s="156" t="inlineStr">
        <is>
          <t>OB</t>
        </is>
      </c>
      <c r="F669" s="156" t="n">
        <v>3</v>
      </c>
      <c r="G669" s="156" t="inlineStr"/>
      <c r="H669" s="157">
        <f>IF($B669="","",IF(ISNA(MATCH($B669,MASTER_JAM!$Q$5:$Q$28,0)),"?",IF(MATCH($B669,MASTER_JAM!$Q$5:$Q$28,0)&lt;=12,"DS","NS")))</f>
        <v/>
      </c>
      <c r="I669" s="157">
        <f>IFERROR(INDEX(MASTER_JAM!$B$5:$B$94,MATCH($C669,MASTER_JAM!$A$5:$A$94,0)),"")</f>
        <v/>
      </c>
      <c r="J669" s="157">
        <f>IFERROR(INDEX(MASTER_JAM!$E$5:$E$94,MATCH($D669,MASTER_JAM!$A$5:$A$94,0)),"")</f>
        <v/>
      </c>
      <c r="K669" s="158">
        <f>IFERROR(INDEX(MASTER_JAM!$J$5:$O$12,MATCH($E669,MASTER_JAM!$I$5:$I$12,0),MATCH($J669,MASTER_JAM!$J$4:$O$4,0))+0,0)</f>
        <v/>
      </c>
      <c r="L669" s="159">
        <f>N($F669)*$K669</f>
        <v/>
      </c>
      <c r="M669" s="157">
        <f>IF($E669="","",IF(OR($E669="Coal",$E669="Dirty Coal"),"MT","BCM"))</f>
        <v/>
      </c>
      <c r="N669" s="157">
        <f>IF($E669="","",IF(OR($E669="Coal",$E669="Dirty Coal"),"Coal","OB"))</f>
        <v/>
      </c>
      <c r="O669" s="157">
        <f>IF($F669="","",IF(COUNTIF(MASTER_JAM!$A$5:$A$94,$C669)=0,"Digger tidak dikenal",IF($J669="","Hauler tidak dikenal",IF($H669="?","Jam salah",IF($K669=0,"Faktor kosong",IF(SUMIFS(INPUT_DELAY!$E$5:$E$20000,INPUT_DELAY!$A$5:$A$20000,$A669,INPUT_DELAY!$B$5:$B$20000,$B669,INPUT_DELAY!$C$5:$C$20000,$C669)+SUMIFS(INPUT_DELAY!$E$5:$E$20000,INPUT_DELAY!$A$5:$A$20000,$A669,INPUT_DELAY!$B$5:$B$20000,$B669,INPUT_DELAY!$C$5:$C$20000,"SEMUA")&gt;=60,"Delay 60 mnt tapi ada ritase","OK"))))))</f>
        <v/>
      </c>
      <c r="P669" s="158">
        <f>IFERROR(INDEX(MASTER_JAM!$Z$5:$AC$10,MATCH($I669,MASTER_JAM!$Y$5:$Y$10,0),MATCH($J669,MASTER_JAM!$Z$4:$AC$4,0))+0,0)</f>
        <v/>
      </c>
      <c r="Q669" s="158">
        <f>IF($P669=0,0,$P669+IFERROR(INDEX(MASTER_JAM!$H$5:$H$94,MATCH($C669,MASTER_JAM!$A$5:$A$94,0))+0,MASTER_JAM!$AC$15)/1000*(60/MASTER_JAM!$AC$12+60/MASTER_JAM!$AC$13)+MASTER_JAM!$AC$14)</f>
        <v/>
      </c>
      <c r="R669" s="158">
        <f>IF(N($F669)=0,0,$F669/SUMIFS(INPUT_RITASE!$F$5:$F$20000,INPUT_RITASE!$A$5:$A$20000,$A669,INPUT_RITASE!$B$5:$B$20000,$B669,INPUT_RITASE!$C$5:$C$20000,$C669,INPUT_RITASE!$D$5:$D$20000,$D669))</f>
        <v/>
      </c>
      <c r="S669" s="158">
        <f>IF($Q669=0,0,$R669*$P669/$Q669)</f>
        <v/>
      </c>
    </row>
    <row r="670">
      <c r="A670" s="155" t="n">
        <v>46106</v>
      </c>
      <c r="B670" s="156" t="inlineStr">
        <is>
          <t>07-08</t>
        </is>
      </c>
      <c r="C670" s="156" t="inlineStr">
        <is>
          <t>EX-2101</t>
        </is>
      </c>
      <c r="D670" s="156" t="inlineStr">
        <is>
          <t>HD-901</t>
        </is>
      </c>
      <c r="E670" s="156" t="inlineStr">
        <is>
          <t>OB</t>
        </is>
      </c>
      <c r="F670" s="156" t="n">
        <v>3</v>
      </c>
      <c r="G670" s="156" t="inlineStr"/>
      <c r="H670" s="157">
        <f>IF($B670="","",IF(ISNA(MATCH($B670,MASTER_JAM!$Q$5:$Q$28,0)),"?",IF(MATCH($B670,MASTER_JAM!$Q$5:$Q$28,0)&lt;=12,"DS","NS")))</f>
        <v/>
      </c>
      <c r="I670" s="157">
        <f>IFERROR(INDEX(MASTER_JAM!$B$5:$B$94,MATCH($C670,MASTER_JAM!$A$5:$A$94,0)),"")</f>
        <v/>
      </c>
      <c r="J670" s="157">
        <f>IFERROR(INDEX(MASTER_JAM!$E$5:$E$94,MATCH($D670,MASTER_JAM!$A$5:$A$94,0)),"")</f>
        <v/>
      </c>
      <c r="K670" s="158">
        <f>IFERROR(INDEX(MASTER_JAM!$J$5:$O$12,MATCH($E670,MASTER_JAM!$I$5:$I$12,0),MATCH($J670,MASTER_JAM!$J$4:$O$4,0))+0,0)</f>
        <v/>
      </c>
      <c r="L670" s="159">
        <f>N($F670)*$K670</f>
        <v/>
      </c>
      <c r="M670" s="157">
        <f>IF($E670="","",IF(OR($E670="Coal",$E670="Dirty Coal"),"MT","BCM"))</f>
        <v/>
      </c>
      <c r="N670" s="157">
        <f>IF($E670="","",IF(OR($E670="Coal",$E670="Dirty Coal"),"Coal","OB"))</f>
        <v/>
      </c>
      <c r="O670" s="157">
        <f>IF($F670="","",IF(COUNTIF(MASTER_JAM!$A$5:$A$94,$C670)=0,"Digger tidak dikenal",IF($J670="","Hauler tidak dikenal",IF($H670="?","Jam salah",IF($K670=0,"Faktor kosong",IF(SUMIFS(INPUT_DELAY!$E$5:$E$20000,INPUT_DELAY!$A$5:$A$20000,$A670,INPUT_DELAY!$B$5:$B$20000,$B670,INPUT_DELAY!$C$5:$C$20000,$C670)+SUMIFS(INPUT_DELAY!$E$5:$E$20000,INPUT_DELAY!$A$5:$A$20000,$A670,INPUT_DELAY!$B$5:$B$20000,$B670,INPUT_DELAY!$C$5:$C$20000,"SEMUA")&gt;=60,"Delay 60 mnt tapi ada ritase","OK"))))))</f>
        <v/>
      </c>
      <c r="P670" s="158">
        <f>IFERROR(INDEX(MASTER_JAM!$Z$5:$AC$10,MATCH($I670,MASTER_JAM!$Y$5:$Y$10,0),MATCH($J670,MASTER_JAM!$Z$4:$AC$4,0))+0,0)</f>
        <v/>
      </c>
      <c r="Q670" s="158">
        <f>IF($P670=0,0,$P670+IFERROR(INDEX(MASTER_JAM!$H$5:$H$94,MATCH($C670,MASTER_JAM!$A$5:$A$94,0))+0,MASTER_JAM!$AC$15)/1000*(60/MASTER_JAM!$AC$12+60/MASTER_JAM!$AC$13)+MASTER_JAM!$AC$14)</f>
        <v/>
      </c>
      <c r="R670" s="158">
        <f>IF(N($F670)=0,0,$F670/SUMIFS(INPUT_RITASE!$F$5:$F$20000,INPUT_RITASE!$A$5:$A$20000,$A670,INPUT_RITASE!$B$5:$B$20000,$B670,INPUT_RITASE!$C$5:$C$20000,$C670,INPUT_RITASE!$D$5:$D$20000,$D670))</f>
        <v/>
      </c>
      <c r="S670" s="158">
        <f>IF($Q670=0,0,$R670*$P670/$Q670)</f>
        <v/>
      </c>
    </row>
    <row r="671">
      <c r="A671" s="155" t="n">
        <v>46106</v>
      </c>
      <c r="B671" s="156" t="inlineStr">
        <is>
          <t>07-08</t>
        </is>
      </c>
      <c r="C671" s="156" t="inlineStr">
        <is>
          <t>EX-2101</t>
        </is>
      </c>
      <c r="D671" s="156" t="inlineStr">
        <is>
          <t>HD-903</t>
        </is>
      </c>
      <c r="E671" s="156" t="inlineStr">
        <is>
          <t>OB</t>
        </is>
      </c>
      <c r="F671" s="156" t="n">
        <v>3</v>
      </c>
      <c r="G671" s="156" t="inlineStr"/>
      <c r="H671" s="157">
        <f>IF($B671="","",IF(ISNA(MATCH($B671,MASTER_JAM!$Q$5:$Q$28,0)),"?",IF(MATCH($B671,MASTER_JAM!$Q$5:$Q$28,0)&lt;=12,"DS","NS")))</f>
        <v/>
      </c>
      <c r="I671" s="157">
        <f>IFERROR(INDEX(MASTER_JAM!$B$5:$B$94,MATCH($C671,MASTER_JAM!$A$5:$A$94,0)),"")</f>
        <v/>
      </c>
      <c r="J671" s="157">
        <f>IFERROR(INDEX(MASTER_JAM!$E$5:$E$94,MATCH($D671,MASTER_JAM!$A$5:$A$94,0)),"")</f>
        <v/>
      </c>
      <c r="K671" s="158">
        <f>IFERROR(INDEX(MASTER_JAM!$J$5:$O$12,MATCH($E671,MASTER_JAM!$I$5:$I$12,0),MATCH($J671,MASTER_JAM!$J$4:$O$4,0))+0,0)</f>
        <v/>
      </c>
      <c r="L671" s="159">
        <f>N($F671)*$K671</f>
        <v/>
      </c>
      <c r="M671" s="157">
        <f>IF($E671="","",IF(OR($E671="Coal",$E671="Dirty Coal"),"MT","BCM"))</f>
        <v/>
      </c>
      <c r="N671" s="157">
        <f>IF($E671="","",IF(OR($E671="Coal",$E671="Dirty Coal"),"Coal","OB"))</f>
        <v/>
      </c>
      <c r="O671" s="157">
        <f>IF($F671="","",IF(COUNTIF(MASTER_JAM!$A$5:$A$94,$C671)=0,"Digger tidak dikenal",IF($J671="","Hauler tidak dikenal",IF($H671="?","Jam salah",IF($K671=0,"Faktor kosong",IF(SUMIFS(INPUT_DELAY!$E$5:$E$20000,INPUT_DELAY!$A$5:$A$20000,$A671,INPUT_DELAY!$B$5:$B$20000,$B671,INPUT_DELAY!$C$5:$C$20000,$C671)+SUMIFS(INPUT_DELAY!$E$5:$E$20000,INPUT_DELAY!$A$5:$A$20000,$A671,INPUT_DELAY!$B$5:$B$20000,$B671,INPUT_DELAY!$C$5:$C$20000,"SEMUA")&gt;=60,"Delay 60 mnt tapi ada ritase","OK"))))))</f>
        <v/>
      </c>
      <c r="P671" s="158">
        <f>IFERROR(INDEX(MASTER_JAM!$Z$5:$AC$10,MATCH($I671,MASTER_JAM!$Y$5:$Y$10,0),MATCH($J671,MASTER_JAM!$Z$4:$AC$4,0))+0,0)</f>
        <v/>
      </c>
      <c r="Q671" s="158">
        <f>IF($P671=0,0,$P671+IFERROR(INDEX(MASTER_JAM!$H$5:$H$94,MATCH($C671,MASTER_JAM!$A$5:$A$94,0))+0,MASTER_JAM!$AC$15)/1000*(60/MASTER_JAM!$AC$12+60/MASTER_JAM!$AC$13)+MASTER_JAM!$AC$14)</f>
        <v/>
      </c>
      <c r="R671" s="158">
        <f>IF(N($F671)=0,0,$F671/SUMIFS(INPUT_RITASE!$F$5:$F$20000,INPUT_RITASE!$A$5:$A$20000,$A671,INPUT_RITASE!$B$5:$B$20000,$B671,INPUT_RITASE!$C$5:$C$20000,$C671,INPUT_RITASE!$D$5:$D$20000,$D671))</f>
        <v/>
      </c>
      <c r="S671" s="158">
        <f>IF($Q671=0,0,$R671*$P671/$Q671)</f>
        <v/>
      </c>
    </row>
    <row r="672">
      <c r="A672" s="155" t="n">
        <v>46106</v>
      </c>
      <c r="B672" s="156" t="inlineStr">
        <is>
          <t>07-08</t>
        </is>
      </c>
      <c r="C672" s="156" t="inlineStr">
        <is>
          <t>EX-2101</t>
        </is>
      </c>
      <c r="D672" s="156" t="inlineStr">
        <is>
          <t>DT-508</t>
        </is>
      </c>
      <c r="E672" s="156" t="inlineStr">
        <is>
          <t>OB</t>
        </is>
      </c>
      <c r="F672" s="156" t="n">
        <v>4</v>
      </c>
      <c r="G672" s="156" t="inlineStr"/>
      <c r="H672" s="157">
        <f>IF($B672="","",IF(ISNA(MATCH($B672,MASTER_JAM!$Q$5:$Q$28,0)),"?",IF(MATCH($B672,MASTER_JAM!$Q$5:$Q$28,0)&lt;=12,"DS","NS")))</f>
        <v/>
      </c>
      <c r="I672" s="157">
        <f>IFERROR(INDEX(MASTER_JAM!$B$5:$B$94,MATCH($C672,MASTER_JAM!$A$5:$A$94,0)),"")</f>
        <v/>
      </c>
      <c r="J672" s="157">
        <f>IFERROR(INDEX(MASTER_JAM!$E$5:$E$94,MATCH($D672,MASTER_JAM!$A$5:$A$94,0)),"")</f>
        <v/>
      </c>
      <c r="K672" s="158">
        <f>IFERROR(INDEX(MASTER_JAM!$J$5:$O$12,MATCH($E672,MASTER_JAM!$I$5:$I$12,0),MATCH($J672,MASTER_JAM!$J$4:$O$4,0))+0,0)</f>
        <v/>
      </c>
      <c r="L672" s="159">
        <f>N($F672)*$K672</f>
        <v/>
      </c>
      <c r="M672" s="157">
        <f>IF($E672="","",IF(OR($E672="Coal",$E672="Dirty Coal"),"MT","BCM"))</f>
        <v/>
      </c>
      <c r="N672" s="157">
        <f>IF($E672="","",IF(OR($E672="Coal",$E672="Dirty Coal"),"Coal","OB"))</f>
        <v/>
      </c>
      <c r="O672" s="157">
        <f>IF($F672="","",IF(COUNTIF(MASTER_JAM!$A$5:$A$94,$C672)=0,"Digger tidak dikenal",IF($J672="","Hauler tidak dikenal",IF($H672="?","Jam salah",IF($K672=0,"Faktor kosong",IF(SUMIFS(INPUT_DELAY!$E$5:$E$20000,INPUT_DELAY!$A$5:$A$20000,$A672,INPUT_DELAY!$B$5:$B$20000,$B672,INPUT_DELAY!$C$5:$C$20000,$C672)+SUMIFS(INPUT_DELAY!$E$5:$E$20000,INPUT_DELAY!$A$5:$A$20000,$A672,INPUT_DELAY!$B$5:$B$20000,$B672,INPUT_DELAY!$C$5:$C$20000,"SEMUA")&gt;=60,"Delay 60 mnt tapi ada ritase","OK"))))))</f>
        <v/>
      </c>
      <c r="P672" s="158">
        <f>IFERROR(INDEX(MASTER_JAM!$Z$5:$AC$10,MATCH($I672,MASTER_JAM!$Y$5:$Y$10,0),MATCH($J672,MASTER_JAM!$Z$4:$AC$4,0))+0,0)</f>
        <v/>
      </c>
      <c r="Q672" s="158">
        <f>IF($P672=0,0,$P672+IFERROR(INDEX(MASTER_JAM!$H$5:$H$94,MATCH($C672,MASTER_JAM!$A$5:$A$94,0))+0,MASTER_JAM!$AC$15)/1000*(60/MASTER_JAM!$AC$12+60/MASTER_JAM!$AC$13)+MASTER_JAM!$AC$14)</f>
        <v/>
      </c>
      <c r="R672" s="158">
        <f>IF(N($F672)=0,0,$F672/SUMIFS(INPUT_RITASE!$F$5:$F$20000,INPUT_RITASE!$A$5:$A$20000,$A672,INPUT_RITASE!$B$5:$B$20000,$B672,INPUT_RITASE!$C$5:$C$20000,$C672,INPUT_RITASE!$D$5:$D$20000,$D672))</f>
        <v/>
      </c>
      <c r="S672" s="158">
        <f>IF($Q672=0,0,$R672*$P672/$Q672)</f>
        <v/>
      </c>
    </row>
    <row r="673">
      <c r="A673" s="155" t="n">
        <v>46106</v>
      </c>
      <c r="B673" s="156" t="inlineStr">
        <is>
          <t>07-08</t>
        </is>
      </c>
      <c r="C673" s="156" t="inlineStr">
        <is>
          <t>EX-2101</t>
        </is>
      </c>
      <c r="D673" s="156" t="inlineStr">
        <is>
          <t>DT-528</t>
        </is>
      </c>
      <c r="E673" s="156" t="inlineStr">
        <is>
          <t>OB</t>
        </is>
      </c>
      <c r="F673" s="156" t="n">
        <v>3</v>
      </c>
      <c r="G673" s="156" t="inlineStr"/>
      <c r="H673" s="157">
        <f>IF($B673="","",IF(ISNA(MATCH($B673,MASTER_JAM!$Q$5:$Q$28,0)),"?",IF(MATCH($B673,MASTER_JAM!$Q$5:$Q$28,0)&lt;=12,"DS","NS")))</f>
        <v/>
      </c>
      <c r="I673" s="157">
        <f>IFERROR(INDEX(MASTER_JAM!$B$5:$B$94,MATCH($C673,MASTER_JAM!$A$5:$A$94,0)),"")</f>
        <v/>
      </c>
      <c r="J673" s="157">
        <f>IFERROR(INDEX(MASTER_JAM!$E$5:$E$94,MATCH($D673,MASTER_JAM!$A$5:$A$94,0)),"")</f>
        <v/>
      </c>
      <c r="K673" s="158">
        <f>IFERROR(INDEX(MASTER_JAM!$J$5:$O$12,MATCH($E673,MASTER_JAM!$I$5:$I$12,0),MATCH($J673,MASTER_JAM!$J$4:$O$4,0))+0,0)</f>
        <v/>
      </c>
      <c r="L673" s="159">
        <f>N($F673)*$K673</f>
        <v/>
      </c>
      <c r="M673" s="157">
        <f>IF($E673="","",IF(OR($E673="Coal",$E673="Dirty Coal"),"MT","BCM"))</f>
        <v/>
      </c>
      <c r="N673" s="157">
        <f>IF($E673="","",IF(OR($E673="Coal",$E673="Dirty Coal"),"Coal","OB"))</f>
        <v/>
      </c>
      <c r="O673" s="157">
        <f>IF($F673="","",IF(COUNTIF(MASTER_JAM!$A$5:$A$94,$C673)=0,"Digger tidak dikenal",IF($J673="","Hauler tidak dikenal",IF($H673="?","Jam salah",IF($K673=0,"Faktor kosong",IF(SUMIFS(INPUT_DELAY!$E$5:$E$20000,INPUT_DELAY!$A$5:$A$20000,$A673,INPUT_DELAY!$B$5:$B$20000,$B673,INPUT_DELAY!$C$5:$C$20000,$C673)+SUMIFS(INPUT_DELAY!$E$5:$E$20000,INPUT_DELAY!$A$5:$A$20000,$A673,INPUT_DELAY!$B$5:$B$20000,$B673,INPUT_DELAY!$C$5:$C$20000,"SEMUA")&gt;=60,"Delay 60 mnt tapi ada ritase","OK"))))))</f>
        <v/>
      </c>
      <c r="P673" s="158">
        <f>IFERROR(INDEX(MASTER_JAM!$Z$5:$AC$10,MATCH($I673,MASTER_JAM!$Y$5:$Y$10,0),MATCH($J673,MASTER_JAM!$Z$4:$AC$4,0))+0,0)</f>
        <v/>
      </c>
      <c r="Q673" s="158">
        <f>IF($P673=0,0,$P673+IFERROR(INDEX(MASTER_JAM!$H$5:$H$94,MATCH($C673,MASTER_JAM!$A$5:$A$94,0))+0,MASTER_JAM!$AC$15)/1000*(60/MASTER_JAM!$AC$12+60/MASTER_JAM!$AC$13)+MASTER_JAM!$AC$14)</f>
        <v/>
      </c>
      <c r="R673" s="158">
        <f>IF(N($F673)=0,0,$F673/SUMIFS(INPUT_RITASE!$F$5:$F$20000,INPUT_RITASE!$A$5:$A$20000,$A673,INPUT_RITASE!$B$5:$B$20000,$B673,INPUT_RITASE!$C$5:$C$20000,$C673,INPUT_RITASE!$D$5:$D$20000,$D673))</f>
        <v/>
      </c>
      <c r="S673" s="158">
        <f>IF($Q673=0,0,$R673*$P673/$Q673)</f>
        <v/>
      </c>
    </row>
    <row r="674">
      <c r="A674" s="155" t="n">
        <v>46106</v>
      </c>
      <c r="B674" s="156" t="inlineStr">
        <is>
          <t>07-08</t>
        </is>
      </c>
      <c r="C674" s="156" t="inlineStr">
        <is>
          <t>EX-2101</t>
        </is>
      </c>
      <c r="D674" s="156" t="inlineStr">
        <is>
          <t>DT-515</t>
        </is>
      </c>
      <c r="E674" s="156" t="inlineStr">
        <is>
          <t>OB</t>
        </is>
      </c>
      <c r="F674" s="156" t="n">
        <v>3</v>
      </c>
      <c r="G674" s="156" t="inlineStr"/>
      <c r="H674" s="157">
        <f>IF($B674="","",IF(ISNA(MATCH($B674,MASTER_JAM!$Q$5:$Q$28,0)),"?",IF(MATCH($B674,MASTER_JAM!$Q$5:$Q$28,0)&lt;=12,"DS","NS")))</f>
        <v/>
      </c>
      <c r="I674" s="157">
        <f>IFERROR(INDEX(MASTER_JAM!$B$5:$B$94,MATCH($C674,MASTER_JAM!$A$5:$A$94,0)),"")</f>
        <v/>
      </c>
      <c r="J674" s="157">
        <f>IFERROR(INDEX(MASTER_JAM!$E$5:$E$94,MATCH($D674,MASTER_JAM!$A$5:$A$94,0)),"")</f>
        <v/>
      </c>
      <c r="K674" s="158">
        <f>IFERROR(INDEX(MASTER_JAM!$J$5:$O$12,MATCH($E674,MASTER_JAM!$I$5:$I$12,0),MATCH($J674,MASTER_JAM!$J$4:$O$4,0))+0,0)</f>
        <v/>
      </c>
      <c r="L674" s="159">
        <f>N($F674)*$K674</f>
        <v/>
      </c>
      <c r="M674" s="157">
        <f>IF($E674="","",IF(OR($E674="Coal",$E674="Dirty Coal"),"MT","BCM"))</f>
        <v/>
      </c>
      <c r="N674" s="157">
        <f>IF($E674="","",IF(OR($E674="Coal",$E674="Dirty Coal"),"Coal","OB"))</f>
        <v/>
      </c>
      <c r="O674" s="157">
        <f>IF($F674="","",IF(COUNTIF(MASTER_JAM!$A$5:$A$94,$C674)=0,"Digger tidak dikenal",IF($J674="","Hauler tidak dikenal",IF($H674="?","Jam salah",IF($K674=0,"Faktor kosong",IF(SUMIFS(INPUT_DELAY!$E$5:$E$20000,INPUT_DELAY!$A$5:$A$20000,$A674,INPUT_DELAY!$B$5:$B$20000,$B674,INPUT_DELAY!$C$5:$C$20000,$C674)+SUMIFS(INPUT_DELAY!$E$5:$E$20000,INPUT_DELAY!$A$5:$A$20000,$A674,INPUT_DELAY!$B$5:$B$20000,$B674,INPUT_DELAY!$C$5:$C$20000,"SEMUA")&gt;=60,"Delay 60 mnt tapi ada ritase","OK"))))))</f>
        <v/>
      </c>
      <c r="P674" s="158">
        <f>IFERROR(INDEX(MASTER_JAM!$Z$5:$AC$10,MATCH($I674,MASTER_JAM!$Y$5:$Y$10,0),MATCH($J674,MASTER_JAM!$Z$4:$AC$4,0))+0,0)</f>
        <v/>
      </c>
      <c r="Q674" s="158">
        <f>IF($P674=0,0,$P674+IFERROR(INDEX(MASTER_JAM!$H$5:$H$94,MATCH($C674,MASTER_JAM!$A$5:$A$94,0))+0,MASTER_JAM!$AC$15)/1000*(60/MASTER_JAM!$AC$12+60/MASTER_JAM!$AC$13)+MASTER_JAM!$AC$14)</f>
        <v/>
      </c>
      <c r="R674" s="158">
        <f>IF(N($F674)=0,0,$F674/SUMIFS(INPUT_RITASE!$F$5:$F$20000,INPUT_RITASE!$A$5:$A$20000,$A674,INPUT_RITASE!$B$5:$B$20000,$B674,INPUT_RITASE!$C$5:$C$20000,$C674,INPUT_RITASE!$D$5:$D$20000,$D674))</f>
        <v/>
      </c>
      <c r="S674" s="158">
        <f>IF($Q674=0,0,$R674*$P674/$Q674)</f>
        <v/>
      </c>
    </row>
    <row r="675">
      <c r="A675" s="155" t="n">
        <v>46106</v>
      </c>
      <c r="B675" s="156" t="inlineStr">
        <is>
          <t>07-08</t>
        </is>
      </c>
      <c r="C675" s="156" t="inlineStr">
        <is>
          <t>EX-2101</t>
        </is>
      </c>
      <c r="D675" s="156" t="inlineStr">
        <is>
          <t>DT-523</t>
        </is>
      </c>
      <c r="E675" s="156" t="inlineStr">
        <is>
          <t>OB</t>
        </is>
      </c>
      <c r="F675" s="156" t="n">
        <v>3</v>
      </c>
      <c r="G675" s="156" t="inlineStr"/>
      <c r="H675" s="157">
        <f>IF($B675="","",IF(ISNA(MATCH($B675,MASTER_JAM!$Q$5:$Q$28,0)),"?",IF(MATCH($B675,MASTER_JAM!$Q$5:$Q$28,0)&lt;=12,"DS","NS")))</f>
        <v/>
      </c>
      <c r="I675" s="157">
        <f>IFERROR(INDEX(MASTER_JAM!$B$5:$B$94,MATCH($C675,MASTER_JAM!$A$5:$A$94,0)),"")</f>
        <v/>
      </c>
      <c r="J675" s="157">
        <f>IFERROR(INDEX(MASTER_JAM!$E$5:$E$94,MATCH($D675,MASTER_JAM!$A$5:$A$94,0)),"")</f>
        <v/>
      </c>
      <c r="K675" s="158">
        <f>IFERROR(INDEX(MASTER_JAM!$J$5:$O$12,MATCH($E675,MASTER_JAM!$I$5:$I$12,0),MATCH($J675,MASTER_JAM!$J$4:$O$4,0))+0,0)</f>
        <v/>
      </c>
      <c r="L675" s="159">
        <f>N($F675)*$K675</f>
        <v/>
      </c>
      <c r="M675" s="157">
        <f>IF($E675="","",IF(OR($E675="Coal",$E675="Dirty Coal"),"MT","BCM"))</f>
        <v/>
      </c>
      <c r="N675" s="157">
        <f>IF($E675="","",IF(OR($E675="Coal",$E675="Dirty Coal"),"Coal","OB"))</f>
        <v/>
      </c>
      <c r="O675" s="157">
        <f>IF($F675="","",IF(COUNTIF(MASTER_JAM!$A$5:$A$94,$C675)=0,"Digger tidak dikenal",IF($J675="","Hauler tidak dikenal",IF($H675="?","Jam salah",IF($K675=0,"Faktor kosong",IF(SUMIFS(INPUT_DELAY!$E$5:$E$20000,INPUT_DELAY!$A$5:$A$20000,$A675,INPUT_DELAY!$B$5:$B$20000,$B675,INPUT_DELAY!$C$5:$C$20000,$C675)+SUMIFS(INPUT_DELAY!$E$5:$E$20000,INPUT_DELAY!$A$5:$A$20000,$A675,INPUT_DELAY!$B$5:$B$20000,$B675,INPUT_DELAY!$C$5:$C$20000,"SEMUA")&gt;=60,"Delay 60 mnt tapi ada ritase","OK"))))))</f>
        <v/>
      </c>
      <c r="P675" s="158">
        <f>IFERROR(INDEX(MASTER_JAM!$Z$5:$AC$10,MATCH($I675,MASTER_JAM!$Y$5:$Y$10,0),MATCH($J675,MASTER_JAM!$Z$4:$AC$4,0))+0,0)</f>
        <v/>
      </c>
      <c r="Q675" s="158">
        <f>IF($P675=0,0,$P675+IFERROR(INDEX(MASTER_JAM!$H$5:$H$94,MATCH($C675,MASTER_JAM!$A$5:$A$94,0))+0,MASTER_JAM!$AC$15)/1000*(60/MASTER_JAM!$AC$12+60/MASTER_JAM!$AC$13)+MASTER_JAM!$AC$14)</f>
        <v/>
      </c>
      <c r="R675" s="158">
        <f>IF(N($F675)=0,0,$F675/SUMIFS(INPUT_RITASE!$F$5:$F$20000,INPUT_RITASE!$A$5:$A$20000,$A675,INPUT_RITASE!$B$5:$B$20000,$B675,INPUT_RITASE!$C$5:$C$20000,$C675,INPUT_RITASE!$D$5:$D$20000,$D675))</f>
        <v/>
      </c>
      <c r="S675" s="158">
        <f>IF($Q675=0,0,$R675*$P675/$Q675)</f>
        <v/>
      </c>
    </row>
    <row r="676">
      <c r="A676" s="155" t="n">
        <v>46106</v>
      </c>
      <c r="B676" s="156" t="inlineStr">
        <is>
          <t>08-09</t>
        </is>
      </c>
      <c r="C676" s="156" t="inlineStr">
        <is>
          <t>EX-2101</t>
        </is>
      </c>
      <c r="D676" s="156" t="inlineStr">
        <is>
          <t>HD-901</t>
        </is>
      </c>
      <c r="E676" s="156" t="inlineStr">
        <is>
          <t>OB</t>
        </is>
      </c>
      <c r="F676" s="156" t="n">
        <v>4</v>
      </c>
      <c r="G676" s="156" t="inlineStr"/>
      <c r="H676" s="157">
        <f>IF($B676="","",IF(ISNA(MATCH($B676,MASTER_JAM!$Q$5:$Q$28,0)),"?",IF(MATCH($B676,MASTER_JAM!$Q$5:$Q$28,0)&lt;=12,"DS","NS")))</f>
        <v/>
      </c>
      <c r="I676" s="157">
        <f>IFERROR(INDEX(MASTER_JAM!$B$5:$B$94,MATCH($C676,MASTER_JAM!$A$5:$A$94,0)),"")</f>
        <v/>
      </c>
      <c r="J676" s="157">
        <f>IFERROR(INDEX(MASTER_JAM!$E$5:$E$94,MATCH($D676,MASTER_JAM!$A$5:$A$94,0)),"")</f>
        <v/>
      </c>
      <c r="K676" s="158">
        <f>IFERROR(INDEX(MASTER_JAM!$J$5:$O$12,MATCH($E676,MASTER_JAM!$I$5:$I$12,0),MATCH($J676,MASTER_JAM!$J$4:$O$4,0))+0,0)</f>
        <v/>
      </c>
      <c r="L676" s="159">
        <f>N($F676)*$K676</f>
        <v/>
      </c>
      <c r="M676" s="157">
        <f>IF($E676="","",IF(OR($E676="Coal",$E676="Dirty Coal"),"MT","BCM"))</f>
        <v/>
      </c>
      <c r="N676" s="157">
        <f>IF($E676="","",IF(OR($E676="Coal",$E676="Dirty Coal"),"Coal","OB"))</f>
        <v/>
      </c>
      <c r="O676" s="157">
        <f>IF($F676="","",IF(COUNTIF(MASTER_JAM!$A$5:$A$94,$C676)=0,"Digger tidak dikenal",IF($J676="","Hauler tidak dikenal",IF($H676="?","Jam salah",IF($K676=0,"Faktor kosong",IF(SUMIFS(INPUT_DELAY!$E$5:$E$20000,INPUT_DELAY!$A$5:$A$20000,$A676,INPUT_DELAY!$B$5:$B$20000,$B676,INPUT_DELAY!$C$5:$C$20000,$C676)+SUMIFS(INPUT_DELAY!$E$5:$E$20000,INPUT_DELAY!$A$5:$A$20000,$A676,INPUT_DELAY!$B$5:$B$20000,$B676,INPUT_DELAY!$C$5:$C$20000,"SEMUA")&gt;=60,"Delay 60 mnt tapi ada ritase","OK"))))))</f>
        <v/>
      </c>
      <c r="P676" s="158">
        <f>IFERROR(INDEX(MASTER_JAM!$Z$5:$AC$10,MATCH($I676,MASTER_JAM!$Y$5:$Y$10,0),MATCH($J676,MASTER_JAM!$Z$4:$AC$4,0))+0,0)</f>
        <v/>
      </c>
      <c r="Q676" s="158">
        <f>IF($P676=0,0,$P676+IFERROR(INDEX(MASTER_JAM!$H$5:$H$94,MATCH($C676,MASTER_JAM!$A$5:$A$94,0))+0,MASTER_JAM!$AC$15)/1000*(60/MASTER_JAM!$AC$12+60/MASTER_JAM!$AC$13)+MASTER_JAM!$AC$14)</f>
        <v/>
      </c>
      <c r="R676" s="158">
        <f>IF(N($F676)=0,0,$F676/SUMIFS(INPUT_RITASE!$F$5:$F$20000,INPUT_RITASE!$A$5:$A$20000,$A676,INPUT_RITASE!$B$5:$B$20000,$B676,INPUT_RITASE!$C$5:$C$20000,$C676,INPUT_RITASE!$D$5:$D$20000,$D676))</f>
        <v/>
      </c>
      <c r="S676" s="158">
        <f>IF($Q676=0,0,$R676*$P676/$Q676)</f>
        <v/>
      </c>
    </row>
    <row r="677">
      <c r="A677" s="155" t="n">
        <v>46106</v>
      </c>
      <c r="B677" s="156" t="inlineStr">
        <is>
          <t>08-09</t>
        </is>
      </c>
      <c r="C677" s="156" t="inlineStr">
        <is>
          <t>EX-2101</t>
        </is>
      </c>
      <c r="D677" s="156" t="inlineStr">
        <is>
          <t>HD-902</t>
        </is>
      </c>
      <c r="E677" s="156" t="inlineStr">
        <is>
          <t>OB</t>
        </is>
      </c>
      <c r="F677" s="156" t="n">
        <v>4</v>
      </c>
      <c r="G677" s="156" t="inlineStr"/>
      <c r="H677" s="157">
        <f>IF($B677="","",IF(ISNA(MATCH($B677,MASTER_JAM!$Q$5:$Q$28,0)),"?",IF(MATCH($B677,MASTER_JAM!$Q$5:$Q$28,0)&lt;=12,"DS","NS")))</f>
        <v/>
      </c>
      <c r="I677" s="157">
        <f>IFERROR(INDEX(MASTER_JAM!$B$5:$B$94,MATCH($C677,MASTER_JAM!$A$5:$A$94,0)),"")</f>
        <v/>
      </c>
      <c r="J677" s="157">
        <f>IFERROR(INDEX(MASTER_JAM!$E$5:$E$94,MATCH($D677,MASTER_JAM!$A$5:$A$94,0)),"")</f>
        <v/>
      </c>
      <c r="K677" s="158">
        <f>IFERROR(INDEX(MASTER_JAM!$J$5:$O$12,MATCH($E677,MASTER_JAM!$I$5:$I$12,0),MATCH($J677,MASTER_JAM!$J$4:$O$4,0))+0,0)</f>
        <v/>
      </c>
      <c r="L677" s="159">
        <f>N($F677)*$K677</f>
        <v/>
      </c>
      <c r="M677" s="157">
        <f>IF($E677="","",IF(OR($E677="Coal",$E677="Dirty Coal"),"MT","BCM"))</f>
        <v/>
      </c>
      <c r="N677" s="157">
        <f>IF($E677="","",IF(OR($E677="Coal",$E677="Dirty Coal"),"Coal","OB"))</f>
        <v/>
      </c>
      <c r="O677" s="157">
        <f>IF($F677="","",IF(COUNTIF(MASTER_JAM!$A$5:$A$94,$C677)=0,"Digger tidak dikenal",IF($J677="","Hauler tidak dikenal",IF($H677="?","Jam salah",IF($K677=0,"Faktor kosong",IF(SUMIFS(INPUT_DELAY!$E$5:$E$20000,INPUT_DELAY!$A$5:$A$20000,$A677,INPUT_DELAY!$B$5:$B$20000,$B677,INPUT_DELAY!$C$5:$C$20000,$C677)+SUMIFS(INPUT_DELAY!$E$5:$E$20000,INPUT_DELAY!$A$5:$A$20000,$A677,INPUT_DELAY!$B$5:$B$20000,$B677,INPUT_DELAY!$C$5:$C$20000,"SEMUA")&gt;=60,"Delay 60 mnt tapi ada ritase","OK"))))))</f>
        <v/>
      </c>
      <c r="P677" s="158">
        <f>IFERROR(INDEX(MASTER_JAM!$Z$5:$AC$10,MATCH($I677,MASTER_JAM!$Y$5:$Y$10,0),MATCH($J677,MASTER_JAM!$Z$4:$AC$4,0))+0,0)</f>
        <v/>
      </c>
      <c r="Q677" s="158">
        <f>IF($P677=0,0,$P677+IFERROR(INDEX(MASTER_JAM!$H$5:$H$94,MATCH($C677,MASTER_JAM!$A$5:$A$94,0))+0,MASTER_JAM!$AC$15)/1000*(60/MASTER_JAM!$AC$12+60/MASTER_JAM!$AC$13)+MASTER_JAM!$AC$14)</f>
        <v/>
      </c>
      <c r="R677" s="158">
        <f>IF(N($F677)=0,0,$F677/SUMIFS(INPUT_RITASE!$F$5:$F$20000,INPUT_RITASE!$A$5:$A$20000,$A677,INPUT_RITASE!$B$5:$B$20000,$B677,INPUT_RITASE!$C$5:$C$20000,$C677,INPUT_RITASE!$D$5:$D$20000,$D677))</f>
        <v/>
      </c>
      <c r="S677" s="158">
        <f>IF($Q677=0,0,$R677*$P677/$Q677)</f>
        <v/>
      </c>
    </row>
    <row r="678">
      <c r="A678" s="155" t="n">
        <v>46106</v>
      </c>
      <c r="B678" s="156" t="inlineStr">
        <is>
          <t>08-09</t>
        </is>
      </c>
      <c r="C678" s="156" t="inlineStr">
        <is>
          <t>EX-2101</t>
        </is>
      </c>
      <c r="D678" s="156" t="inlineStr">
        <is>
          <t>DT-523</t>
        </is>
      </c>
      <c r="E678" s="156" t="inlineStr">
        <is>
          <t>OB</t>
        </is>
      </c>
      <c r="F678" s="156" t="n">
        <v>4</v>
      </c>
      <c r="G678" s="156" t="inlineStr"/>
      <c r="H678" s="157">
        <f>IF($B678="","",IF(ISNA(MATCH($B678,MASTER_JAM!$Q$5:$Q$28,0)),"?",IF(MATCH($B678,MASTER_JAM!$Q$5:$Q$28,0)&lt;=12,"DS","NS")))</f>
        <v/>
      </c>
      <c r="I678" s="157">
        <f>IFERROR(INDEX(MASTER_JAM!$B$5:$B$94,MATCH($C678,MASTER_JAM!$A$5:$A$94,0)),"")</f>
        <v/>
      </c>
      <c r="J678" s="157">
        <f>IFERROR(INDEX(MASTER_JAM!$E$5:$E$94,MATCH($D678,MASTER_JAM!$A$5:$A$94,0)),"")</f>
        <v/>
      </c>
      <c r="K678" s="158">
        <f>IFERROR(INDEX(MASTER_JAM!$J$5:$O$12,MATCH($E678,MASTER_JAM!$I$5:$I$12,0),MATCH($J678,MASTER_JAM!$J$4:$O$4,0))+0,0)</f>
        <v/>
      </c>
      <c r="L678" s="159">
        <f>N($F678)*$K678</f>
        <v/>
      </c>
      <c r="M678" s="157">
        <f>IF($E678="","",IF(OR($E678="Coal",$E678="Dirty Coal"),"MT","BCM"))</f>
        <v/>
      </c>
      <c r="N678" s="157">
        <f>IF($E678="","",IF(OR($E678="Coal",$E678="Dirty Coal"),"Coal","OB"))</f>
        <v/>
      </c>
      <c r="O678" s="157">
        <f>IF($F678="","",IF(COUNTIF(MASTER_JAM!$A$5:$A$94,$C678)=0,"Digger tidak dikenal",IF($J678="","Hauler tidak dikenal",IF($H678="?","Jam salah",IF($K678=0,"Faktor kosong",IF(SUMIFS(INPUT_DELAY!$E$5:$E$20000,INPUT_DELAY!$A$5:$A$20000,$A678,INPUT_DELAY!$B$5:$B$20000,$B678,INPUT_DELAY!$C$5:$C$20000,$C678)+SUMIFS(INPUT_DELAY!$E$5:$E$20000,INPUT_DELAY!$A$5:$A$20000,$A678,INPUT_DELAY!$B$5:$B$20000,$B678,INPUT_DELAY!$C$5:$C$20000,"SEMUA")&gt;=60,"Delay 60 mnt tapi ada ritase","OK"))))))</f>
        <v/>
      </c>
      <c r="P678" s="158">
        <f>IFERROR(INDEX(MASTER_JAM!$Z$5:$AC$10,MATCH($I678,MASTER_JAM!$Y$5:$Y$10,0),MATCH($J678,MASTER_JAM!$Z$4:$AC$4,0))+0,0)</f>
        <v/>
      </c>
      <c r="Q678" s="158">
        <f>IF($P678=0,0,$P678+IFERROR(INDEX(MASTER_JAM!$H$5:$H$94,MATCH($C678,MASTER_JAM!$A$5:$A$94,0))+0,MASTER_JAM!$AC$15)/1000*(60/MASTER_JAM!$AC$12+60/MASTER_JAM!$AC$13)+MASTER_JAM!$AC$14)</f>
        <v/>
      </c>
      <c r="R678" s="158">
        <f>IF(N($F678)=0,0,$F678/SUMIFS(INPUT_RITASE!$F$5:$F$20000,INPUT_RITASE!$A$5:$A$20000,$A678,INPUT_RITASE!$B$5:$B$20000,$B678,INPUT_RITASE!$C$5:$C$20000,$C678,INPUT_RITASE!$D$5:$D$20000,$D678))</f>
        <v/>
      </c>
      <c r="S678" s="158">
        <f>IF($Q678=0,0,$R678*$P678/$Q678)</f>
        <v/>
      </c>
    </row>
    <row r="679">
      <c r="A679" s="155" t="n">
        <v>46106</v>
      </c>
      <c r="B679" s="156" t="inlineStr">
        <is>
          <t>08-09</t>
        </is>
      </c>
      <c r="C679" s="156" t="inlineStr">
        <is>
          <t>EX-2101</t>
        </is>
      </c>
      <c r="D679" s="156" t="inlineStr">
        <is>
          <t>DT-505</t>
        </is>
      </c>
      <c r="E679" s="156" t="inlineStr">
        <is>
          <t>OB</t>
        </is>
      </c>
      <c r="F679" s="156" t="n">
        <v>4</v>
      </c>
      <c r="G679" s="156" t="inlineStr"/>
      <c r="H679" s="157">
        <f>IF($B679="","",IF(ISNA(MATCH($B679,MASTER_JAM!$Q$5:$Q$28,0)),"?",IF(MATCH($B679,MASTER_JAM!$Q$5:$Q$28,0)&lt;=12,"DS","NS")))</f>
        <v/>
      </c>
      <c r="I679" s="157">
        <f>IFERROR(INDEX(MASTER_JAM!$B$5:$B$94,MATCH($C679,MASTER_JAM!$A$5:$A$94,0)),"")</f>
        <v/>
      </c>
      <c r="J679" s="157">
        <f>IFERROR(INDEX(MASTER_JAM!$E$5:$E$94,MATCH($D679,MASTER_JAM!$A$5:$A$94,0)),"")</f>
        <v/>
      </c>
      <c r="K679" s="158">
        <f>IFERROR(INDEX(MASTER_JAM!$J$5:$O$12,MATCH($E679,MASTER_JAM!$I$5:$I$12,0),MATCH($J679,MASTER_JAM!$J$4:$O$4,0))+0,0)</f>
        <v/>
      </c>
      <c r="L679" s="159">
        <f>N($F679)*$K679</f>
        <v/>
      </c>
      <c r="M679" s="157">
        <f>IF($E679="","",IF(OR($E679="Coal",$E679="Dirty Coal"),"MT","BCM"))</f>
        <v/>
      </c>
      <c r="N679" s="157">
        <f>IF($E679="","",IF(OR($E679="Coal",$E679="Dirty Coal"),"Coal","OB"))</f>
        <v/>
      </c>
      <c r="O679" s="157">
        <f>IF($F679="","",IF(COUNTIF(MASTER_JAM!$A$5:$A$94,$C679)=0,"Digger tidak dikenal",IF($J679="","Hauler tidak dikenal",IF($H679="?","Jam salah",IF($K679=0,"Faktor kosong",IF(SUMIFS(INPUT_DELAY!$E$5:$E$20000,INPUT_DELAY!$A$5:$A$20000,$A679,INPUT_DELAY!$B$5:$B$20000,$B679,INPUT_DELAY!$C$5:$C$20000,$C679)+SUMIFS(INPUT_DELAY!$E$5:$E$20000,INPUT_DELAY!$A$5:$A$20000,$A679,INPUT_DELAY!$B$5:$B$20000,$B679,INPUT_DELAY!$C$5:$C$20000,"SEMUA")&gt;=60,"Delay 60 mnt tapi ada ritase","OK"))))))</f>
        <v/>
      </c>
      <c r="P679" s="158">
        <f>IFERROR(INDEX(MASTER_JAM!$Z$5:$AC$10,MATCH($I679,MASTER_JAM!$Y$5:$Y$10,0),MATCH($J679,MASTER_JAM!$Z$4:$AC$4,0))+0,0)</f>
        <v/>
      </c>
      <c r="Q679" s="158">
        <f>IF($P679=0,0,$P679+IFERROR(INDEX(MASTER_JAM!$H$5:$H$94,MATCH($C679,MASTER_JAM!$A$5:$A$94,0))+0,MASTER_JAM!$AC$15)/1000*(60/MASTER_JAM!$AC$12+60/MASTER_JAM!$AC$13)+MASTER_JAM!$AC$14)</f>
        <v/>
      </c>
      <c r="R679" s="158">
        <f>IF(N($F679)=0,0,$F679/SUMIFS(INPUT_RITASE!$F$5:$F$20000,INPUT_RITASE!$A$5:$A$20000,$A679,INPUT_RITASE!$B$5:$B$20000,$B679,INPUT_RITASE!$C$5:$C$20000,$C679,INPUT_RITASE!$D$5:$D$20000,$D679))</f>
        <v/>
      </c>
      <c r="S679" s="158">
        <f>IF($Q679=0,0,$R679*$P679/$Q679)</f>
        <v/>
      </c>
    </row>
    <row r="680">
      <c r="A680" s="155" t="n">
        <v>46106</v>
      </c>
      <c r="B680" s="156" t="inlineStr">
        <is>
          <t>08-09</t>
        </is>
      </c>
      <c r="C680" s="156" t="inlineStr">
        <is>
          <t>EX-2101</t>
        </is>
      </c>
      <c r="D680" s="156" t="inlineStr">
        <is>
          <t>DT-507</t>
        </is>
      </c>
      <c r="E680" s="156" t="inlineStr">
        <is>
          <t>OB</t>
        </is>
      </c>
      <c r="F680" s="156" t="n">
        <v>3</v>
      </c>
      <c r="G680" s="156" t="inlineStr"/>
      <c r="H680" s="157">
        <f>IF($B680="","",IF(ISNA(MATCH($B680,MASTER_JAM!$Q$5:$Q$28,0)),"?",IF(MATCH($B680,MASTER_JAM!$Q$5:$Q$28,0)&lt;=12,"DS","NS")))</f>
        <v/>
      </c>
      <c r="I680" s="157">
        <f>IFERROR(INDEX(MASTER_JAM!$B$5:$B$94,MATCH($C680,MASTER_JAM!$A$5:$A$94,0)),"")</f>
        <v/>
      </c>
      <c r="J680" s="157">
        <f>IFERROR(INDEX(MASTER_JAM!$E$5:$E$94,MATCH($D680,MASTER_JAM!$A$5:$A$94,0)),"")</f>
        <v/>
      </c>
      <c r="K680" s="158">
        <f>IFERROR(INDEX(MASTER_JAM!$J$5:$O$12,MATCH($E680,MASTER_JAM!$I$5:$I$12,0),MATCH($J680,MASTER_JAM!$J$4:$O$4,0))+0,0)</f>
        <v/>
      </c>
      <c r="L680" s="159">
        <f>N($F680)*$K680</f>
        <v/>
      </c>
      <c r="M680" s="157">
        <f>IF($E680="","",IF(OR($E680="Coal",$E680="Dirty Coal"),"MT","BCM"))</f>
        <v/>
      </c>
      <c r="N680" s="157">
        <f>IF($E680="","",IF(OR($E680="Coal",$E680="Dirty Coal"),"Coal","OB"))</f>
        <v/>
      </c>
      <c r="O680" s="157">
        <f>IF($F680="","",IF(COUNTIF(MASTER_JAM!$A$5:$A$94,$C680)=0,"Digger tidak dikenal",IF($J680="","Hauler tidak dikenal",IF($H680="?","Jam salah",IF($K680=0,"Faktor kosong",IF(SUMIFS(INPUT_DELAY!$E$5:$E$20000,INPUT_DELAY!$A$5:$A$20000,$A680,INPUT_DELAY!$B$5:$B$20000,$B680,INPUT_DELAY!$C$5:$C$20000,$C680)+SUMIFS(INPUT_DELAY!$E$5:$E$20000,INPUT_DELAY!$A$5:$A$20000,$A680,INPUT_DELAY!$B$5:$B$20000,$B680,INPUT_DELAY!$C$5:$C$20000,"SEMUA")&gt;=60,"Delay 60 mnt tapi ada ritase","OK"))))))</f>
        <v/>
      </c>
      <c r="P680" s="158">
        <f>IFERROR(INDEX(MASTER_JAM!$Z$5:$AC$10,MATCH($I680,MASTER_JAM!$Y$5:$Y$10,0),MATCH($J680,MASTER_JAM!$Z$4:$AC$4,0))+0,0)</f>
        <v/>
      </c>
      <c r="Q680" s="158">
        <f>IF($P680=0,0,$P680+IFERROR(INDEX(MASTER_JAM!$H$5:$H$94,MATCH($C680,MASTER_JAM!$A$5:$A$94,0))+0,MASTER_JAM!$AC$15)/1000*(60/MASTER_JAM!$AC$12+60/MASTER_JAM!$AC$13)+MASTER_JAM!$AC$14)</f>
        <v/>
      </c>
      <c r="R680" s="158">
        <f>IF(N($F680)=0,0,$F680/SUMIFS(INPUT_RITASE!$F$5:$F$20000,INPUT_RITASE!$A$5:$A$20000,$A680,INPUT_RITASE!$B$5:$B$20000,$B680,INPUT_RITASE!$C$5:$C$20000,$C680,INPUT_RITASE!$D$5:$D$20000,$D680))</f>
        <v/>
      </c>
      <c r="S680" s="158">
        <f>IF($Q680=0,0,$R680*$P680/$Q680)</f>
        <v/>
      </c>
    </row>
    <row r="681">
      <c r="A681" s="155" t="n">
        <v>46106</v>
      </c>
      <c r="B681" s="156" t="inlineStr">
        <is>
          <t>09-10</t>
        </is>
      </c>
      <c r="C681" s="156" t="inlineStr">
        <is>
          <t>EX-2101</t>
        </is>
      </c>
      <c r="D681" s="156" t="inlineStr">
        <is>
          <t>DT-523</t>
        </is>
      </c>
      <c r="E681" s="156" t="inlineStr">
        <is>
          <t>OB</t>
        </is>
      </c>
      <c r="F681" s="156" t="n">
        <v>4</v>
      </c>
      <c r="G681" s="156" t="inlineStr"/>
      <c r="H681" s="157">
        <f>IF($B681="","",IF(ISNA(MATCH($B681,MASTER_JAM!$Q$5:$Q$28,0)),"?",IF(MATCH($B681,MASTER_JAM!$Q$5:$Q$28,0)&lt;=12,"DS","NS")))</f>
        <v/>
      </c>
      <c r="I681" s="157">
        <f>IFERROR(INDEX(MASTER_JAM!$B$5:$B$94,MATCH($C681,MASTER_JAM!$A$5:$A$94,0)),"")</f>
        <v/>
      </c>
      <c r="J681" s="157">
        <f>IFERROR(INDEX(MASTER_JAM!$E$5:$E$94,MATCH($D681,MASTER_JAM!$A$5:$A$94,0)),"")</f>
        <v/>
      </c>
      <c r="K681" s="158">
        <f>IFERROR(INDEX(MASTER_JAM!$J$5:$O$12,MATCH($E681,MASTER_JAM!$I$5:$I$12,0),MATCH($J681,MASTER_JAM!$J$4:$O$4,0))+0,0)</f>
        <v/>
      </c>
      <c r="L681" s="159">
        <f>N($F681)*$K681</f>
        <v/>
      </c>
      <c r="M681" s="157">
        <f>IF($E681="","",IF(OR($E681="Coal",$E681="Dirty Coal"),"MT","BCM"))</f>
        <v/>
      </c>
      <c r="N681" s="157">
        <f>IF($E681="","",IF(OR($E681="Coal",$E681="Dirty Coal"),"Coal","OB"))</f>
        <v/>
      </c>
      <c r="O681" s="157">
        <f>IF($F681="","",IF(COUNTIF(MASTER_JAM!$A$5:$A$94,$C681)=0,"Digger tidak dikenal",IF($J681="","Hauler tidak dikenal",IF($H681="?","Jam salah",IF($K681=0,"Faktor kosong",IF(SUMIFS(INPUT_DELAY!$E$5:$E$20000,INPUT_DELAY!$A$5:$A$20000,$A681,INPUT_DELAY!$B$5:$B$20000,$B681,INPUT_DELAY!$C$5:$C$20000,$C681)+SUMIFS(INPUT_DELAY!$E$5:$E$20000,INPUT_DELAY!$A$5:$A$20000,$A681,INPUT_DELAY!$B$5:$B$20000,$B681,INPUT_DELAY!$C$5:$C$20000,"SEMUA")&gt;=60,"Delay 60 mnt tapi ada ritase","OK"))))))</f>
        <v/>
      </c>
      <c r="P681" s="158">
        <f>IFERROR(INDEX(MASTER_JAM!$Z$5:$AC$10,MATCH($I681,MASTER_JAM!$Y$5:$Y$10,0),MATCH($J681,MASTER_JAM!$Z$4:$AC$4,0))+0,0)</f>
        <v/>
      </c>
      <c r="Q681" s="158">
        <f>IF($P681=0,0,$P681+IFERROR(INDEX(MASTER_JAM!$H$5:$H$94,MATCH($C681,MASTER_JAM!$A$5:$A$94,0))+0,MASTER_JAM!$AC$15)/1000*(60/MASTER_JAM!$AC$12+60/MASTER_JAM!$AC$13)+MASTER_JAM!$AC$14)</f>
        <v/>
      </c>
      <c r="R681" s="158">
        <f>IF(N($F681)=0,0,$F681/SUMIFS(INPUT_RITASE!$F$5:$F$20000,INPUT_RITASE!$A$5:$A$20000,$A681,INPUT_RITASE!$B$5:$B$20000,$B681,INPUT_RITASE!$C$5:$C$20000,$C681,INPUT_RITASE!$D$5:$D$20000,$D681))</f>
        <v/>
      </c>
      <c r="S681" s="158">
        <f>IF($Q681=0,0,$R681*$P681/$Q681)</f>
        <v/>
      </c>
    </row>
    <row r="682">
      <c r="A682" s="155" t="n">
        <v>46106</v>
      </c>
      <c r="B682" s="156" t="inlineStr">
        <is>
          <t>09-10</t>
        </is>
      </c>
      <c r="C682" s="156" t="inlineStr">
        <is>
          <t>EX-2101</t>
        </is>
      </c>
      <c r="D682" s="156" t="inlineStr">
        <is>
          <t>DT-520</t>
        </is>
      </c>
      <c r="E682" s="156" t="inlineStr">
        <is>
          <t>OB</t>
        </is>
      </c>
      <c r="F682" s="156" t="n">
        <v>4</v>
      </c>
      <c r="G682" s="156" t="inlineStr"/>
      <c r="H682" s="157">
        <f>IF($B682="","",IF(ISNA(MATCH($B682,MASTER_JAM!$Q$5:$Q$28,0)),"?",IF(MATCH($B682,MASTER_JAM!$Q$5:$Q$28,0)&lt;=12,"DS","NS")))</f>
        <v/>
      </c>
      <c r="I682" s="157">
        <f>IFERROR(INDEX(MASTER_JAM!$B$5:$B$94,MATCH($C682,MASTER_JAM!$A$5:$A$94,0)),"")</f>
        <v/>
      </c>
      <c r="J682" s="157">
        <f>IFERROR(INDEX(MASTER_JAM!$E$5:$E$94,MATCH($D682,MASTER_JAM!$A$5:$A$94,0)),"")</f>
        <v/>
      </c>
      <c r="K682" s="158">
        <f>IFERROR(INDEX(MASTER_JAM!$J$5:$O$12,MATCH($E682,MASTER_JAM!$I$5:$I$12,0),MATCH($J682,MASTER_JAM!$J$4:$O$4,0))+0,0)</f>
        <v/>
      </c>
      <c r="L682" s="159">
        <f>N($F682)*$K682</f>
        <v/>
      </c>
      <c r="M682" s="157">
        <f>IF($E682="","",IF(OR($E682="Coal",$E682="Dirty Coal"),"MT","BCM"))</f>
        <v/>
      </c>
      <c r="N682" s="157">
        <f>IF($E682="","",IF(OR($E682="Coal",$E682="Dirty Coal"),"Coal","OB"))</f>
        <v/>
      </c>
      <c r="O682" s="157">
        <f>IF($F682="","",IF(COUNTIF(MASTER_JAM!$A$5:$A$94,$C682)=0,"Digger tidak dikenal",IF($J682="","Hauler tidak dikenal",IF($H682="?","Jam salah",IF($K682=0,"Faktor kosong",IF(SUMIFS(INPUT_DELAY!$E$5:$E$20000,INPUT_DELAY!$A$5:$A$20000,$A682,INPUT_DELAY!$B$5:$B$20000,$B682,INPUT_DELAY!$C$5:$C$20000,$C682)+SUMIFS(INPUT_DELAY!$E$5:$E$20000,INPUT_DELAY!$A$5:$A$20000,$A682,INPUT_DELAY!$B$5:$B$20000,$B682,INPUT_DELAY!$C$5:$C$20000,"SEMUA")&gt;=60,"Delay 60 mnt tapi ada ritase","OK"))))))</f>
        <v/>
      </c>
      <c r="P682" s="158">
        <f>IFERROR(INDEX(MASTER_JAM!$Z$5:$AC$10,MATCH($I682,MASTER_JAM!$Y$5:$Y$10,0),MATCH($J682,MASTER_JAM!$Z$4:$AC$4,0))+0,0)</f>
        <v/>
      </c>
      <c r="Q682" s="158">
        <f>IF($P682=0,0,$P682+IFERROR(INDEX(MASTER_JAM!$H$5:$H$94,MATCH($C682,MASTER_JAM!$A$5:$A$94,0))+0,MASTER_JAM!$AC$15)/1000*(60/MASTER_JAM!$AC$12+60/MASTER_JAM!$AC$13)+MASTER_JAM!$AC$14)</f>
        <v/>
      </c>
      <c r="R682" s="158">
        <f>IF(N($F682)=0,0,$F682/SUMIFS(INPUT_RITASE!$F$5:$F$20000,INPUT_RITASE!$A$5:$A$20000,$A682,INPUT_RITASE!$B$5:$B$20000,$B682,INPUT_RITASE!$C$5:$C$20000,$C682,INPUT_RITASE!$D$5:$D$20000,$D682))</f>
        <v/>
      </c>
      <c r="S682" s="158">
        <f>IF($Q682=0,0,$R682*$P682/$Q682)</f>
        <v/>
      </c>
    </row>
    <row r="683">
      <c r="A683" s="155" t="n">
        <v>46106</v>
      </c>
      <c r="B683" s="156" t="inlineStr">
        <is>
          <t>09-10</t>
        </is>
      </c>
      <c r="C683" s="156" t="inlineStr">
        <is>
          <t>EX-2101</t>
        </is>
      </c>
      <c r="D683" s="156" t="inlineStr">
        <is>
          <t>DT-528</t>
        </is>
      </c>
      <c r="E683" s="156" t="inlineStr">
        <is>
          <t>OB</t>
        </is>
      </c>
      <c r="F683" s="156" t="n">
        <v>4</v>
      </c>
      <c r="G683" s="156" t="inlineStr"/>
      <c r="H683" s="157">
        <f>IF($B683="","",IF(ISNA(MATCH($B683,MASTER_JAM!$Q$5:$Q$28,0)),"?",IF(MATCH($B683,MASTER_JAM!$Q$5:$Q$28,0)&lt;=12,"DS","NS")))</f>
        <v/>
      </c>
      <c r="I683" s="157">
        <f>IFERROR(INDEX(MASTER_JAM!$B$5:$B$94,MATCH($C683,MASTER_JAM!$A$5:$A$94,0)),"")</f>
        <v/>
      </c>
      <c r="J683" s="157">
        <f>IFERROR(INDEX(MASTER_JAM!$E$5:$E$94,MATCH($D683,MASTER_JAM!$A$5:$A$94,0)),"")</f>
        <v/>
      </c>
      <c r="K683" s="158">
        <f>IFERROR(INDEX(MASTER_JAM!$J$5:$O$12,MATCH($E683,MASTER_JAM!$I$5:$I$12,0),MATCH($J683,MASTER_JAM!$J$4:$O$4,0))+0,0)</f>
        <v/>
      </c>
      <c r="L683" s="159">
        <f>N($F683)*$K683</f>
        <v/>
      </c>
      <c r="M683" s="157">
        <f>IF($E683="","",IF(OR($E683="Coal",$E683="Dirty Coal"),"MT","BCM"))</f>
        <v/>
      </c>
      <c r="N683" s="157">
        <f>IF($E683="","",IF(OR($E683="Coal",$E683="Dirty Coal"),"Coal","OB"))</f>
        <v/>
      </c>
      <c r="O683" s="157">
        <f>IF($F683="","",IF(COUNTIF(MASTER_JAM!$A$5:$A$94,$C683)=0,"Digger tidak dikenal",IF($J683="","Hauler tidak dikenal",IF($H683="?","Jam salah",IF($K683=0,"Faktor kosong",IF(SUMIFS(INPUT_DELAY!$E$5:$E$20000,INPUT_DELAY!$A$5:$A$20000,$A683,INPUT_DELAY!$B$5:$B$20000,$B683,INPUT_DELAY!$C$5:$C$20000,$C683)+SUMIFS(INPUT_DELAY!$E$5:$E$20000,INPUT_DELAY!$A$5:$A$20000,$A683,INPUT_DELAY!$B$5:$B$20000,$B683,INPUT_DELAY!$C$5:$C$20000,"SEMUA")&gt;=60,"Delay 60 mnt tapi ada ritase","OK"))))))</f>
        <v/>
      </c>
      <c r="P683" s="158">
        <f>IFERROR(INDEX(MASTER_JAM!$Z$5:$AC$10,MATCH($I683,MASTER_JAM!$Y$5:$Y$10,0),MATCH($J683,MASTER_JAM!$Z$4:$AC$4,0))+0,0)</f>
        <v/>
      </c>
      <c r="Q683" s="158">
        <f>IF($P683=0,0,$P683+IFERROR(INDEX(MASTER_JAM!$H$5:$H$94,MATCH($C683,MASTER_JAM!$A$5:$A$94,0))+0,MASTER_JAM!$AC$15)/1000*(60/MASTER_JAM!$AC$12+60/MASTER_JAM!$AC$13)+MASTER_JAM!$AC$14)</f>
        <v/>
      </c>
      <c r="R683" s="158">
        <f>IF(N($F683)=0,0,$F683/SUMIFS(INPUT_RITASE!$F$5:$F$20000,INPUT_RITASE!$A$5:$A$20000,$A683,INPUT_RITASE!$B$5:$B$20000,$B683,INPUT_RITASE!$C$5:$C$20000,$C683,INPUT_RITASE!$D$5:$D$20000,$D683))</f>
        <v/>
      </c>
      <c r="S683" s="158">
        <f>IF($Q683=0,0,$R683*$P683/$Q683)</f>
        <v/>
      </c>
    </row>
    <row r="684">
      <c r="A684" s="155" t="n">
        <v>46106</v>
      </c>
      <c r="B684" s="156" t="inlineStr">
        <is>
          <t>09-10</t>
        </is>
      </c>
      <c r="C684" s="156" t="inlineStr">
        <is>
          <t>EX-2101</t>
        </is>
      </c>
      <c r="D684" s="156" t="inlineStr">
        <is>
          <t>HD-903</t>
        </is>
      </c>
      <c r="E684" s="156" t="inlineStr">
        <is>
          <t>OB</t>
        </is>
      </c>
      <c r="F684" s="156" t="n">
        <v>4</v>
      </c>
      <c r="G684" s="156" t="inlineStr"/>
      <c r="H684" s="157">
        <f>IF($B684="","",IF(ISNA(MATCH($B684,MASTER_JAM!$Q$5:$Q$28,0)),"?",IF(MATCH($B684,MASTER_JAM!$Q$5:$Q$28,0)&lt;=12,"DS","NS")))</f>
        <v/>
      </c>
      <c r="I684" s="157">
        <f>IFERROR(INDEX(MASTER_JAM!$B$5:$B$94,MATCH($C684,MASTER_JAM!$A$5:$A$94,0)),"")</f>
        <v/>
      </c>
      <c r="J684" s="157">
        <f>IFERROR(INDEX(MASTER_JAM!$E$5:$E$94,MATCH($D684,MASTER_JAM!$A$5:$A$94,0)),"")</f>
        <v/>
      </c>
      <c r="K684" s="158">
        <f>IFERROR(INDEX(MASTER_JAM!$J$5:$O$12,MATCH($E684,MASTER_JAM!$I$5:$I$12,0),MATCH($J684,MASTER_JAM!$J$4:$O$4,0))+0,0)</f>
        <v/>
      </c>
      <c r="L684" s="159">
        <f>N($F684)*$K684</f>
        <v/>
      </c>
      <c r="M684" s="157">
        <f>IF($E684="","",IF(OR($E684="Coal",$E684="Dirty Coal"),"MT","BCM"))</f>
        <v/>
      </c>
      <c r="N684" s="157">
        <f>IF($E684="","",IF(OR($E684="Coal",$E684="Dirty Coal"),"Coal","OB"))</f>
        <v/>
      </c>
      <c r="O684" s="157">
        <f>IF($F684="","",IF(COUNTIF(MASTER_JAM!$A$5:$A$94,$C684)=0,"Digger tidak dikenal",IF($J684="","Hauler tidak dikenal",IF($H684="?","Jam salah",IF($K684=0,"Faktor kosong",IF(SUMIFS(INPUT_DELAY!$E$5:$E$20000,INPUT_DELAY!$A$5:$A$20000,$A684,INPUT_DELAY!$B$5:$B$20000,$B684,INPUT_DELAY!$C$5:$C$20000,$C684)+SUMIFS(INPUT_DELAY!$E$5:$E$20000,INPUT_DELAY!$A$5:$A$20000,$A684,INPUT_DELAY!$B$5:$B$20000,$B684,INPUT_DELAY!$C$5:$C$20000,"SEMUA")&gt;=60,"Delay 60 mnt tapi ada ritase","OK"))))))</f>
        <v/>
      </c>
      <c r="P684" s="158">
        <f>IFERROR(INDEX(MASTER_JAM!$Z$5:$AC$10,MATCH($I684,MASTER_JAM!$Y$5:$Y$10,0),MATCH($J684,MASTER_JAM!$Z$4:$AC$4,0))+0,0)</f>
        <v/>
      </c>
      <c r="Q684" s="158">
        <f>IF($P684=0,0,$P684+IFERROR(INDEX(MASTER_JAM!$H$5:$H$94,MATCH($C684,MASTER_JAM!$A$5:$A$94,0))+0,MASTER_JAM!$AC$15)/1000*(60/MASTER_JAM!$AC$12+60/MASTER_JAM!$AC$13)+MASTER_JAM!$AC$14)</f>
        <v/>
      </c>
      <c r="R684" s="158">
        <f>IF(N($F684)=0,0,$F684/SUMIFS(INPUT_RITASE!$F$5:$F$20000,INPUT_RITASE!$A$5:$A$20000,$A684,INPUT_RITASE!$B$5:$B$20000,$B684,INPUT_RITASE!$C$5:$C$20000,$C684,INPUT_RITASE!$D$5:$D$20000,$D684))</f>
        <v/>
      </c>
      <c r="S684" s="158">
        <f>IF($Q684=0,0,$R684*$P684/$Q684)</f>
        <v/>
      </c>
    </row>
    <row r="685">
      <c r="A685" s="155" t="n">
        <v>46106</v>
      </c>
      <c r="B685" s="156" t="inlineStr">
        <is>
          <t>09-10</t>
        </is>
      </c>
      <c r="C685" s="156" t="inlineStr">
        <is>
          <t>EX-2101</t>
        </is>
      </c>
      <c r="D685" s="156" t="inlineStr">
        <is>
          <t>HD-901</t>
        </is>
      </c>
      <c r="E685" s="156" t="inlineStr">
        <is>
          <t>OB</t>
        </is>
      </c>
      <c r="F685" s="156" t="n">
        <v>3</v>
      </c>
      <c r="G685" s="156" t="inlineStr"/>
      <c r="H685" s="157">
        <f>IF($B685="","",IF(ISNA(MATCH($B685,MASTER_JAM!$Q$5:$Q$28,0)),"?",IF(MATCH($B685,MASTER_JAM!$Q$5:$Q$28,0)&lt;=12,"DS","NS")))</f>
        <v/>
      </c>
      <c r="I685" s="157">
        <f>IFERROR(INDEX(MASTER_JAM!$B$5:$B$94,MATCH($C685,MASTER_JAM!$A$5:$A$94,0)),"")</f>
        <v/>
      </c>
      <c r="J685" s="157">
        <f>IFERROR(INDEX(MASTER_JAM!$E$5:$E$94,MATCH($D685,MASTER_JAM!$A$5:$A$94,0)),"")</f>
        <v/>
      </c>
      <c r="K685" s="158">
        <f>IFERROR(INDEX(MASTER_JAM!$J$5:$O$12,MATCH($E685,MASTER_JAM!$I$5:$I$12,0),MATCH($J685,MASTER_JAM!$J$4:$O$4,0))+0,0)</f>
        <v/>
      </c>
      <c r="L685" s="159">
        <f>N($F685)*$K685</f>
        <v/>
      </c>
      <c r="M685" s="157">
        <f>IF($E685="","",IF(OR($E685="Coal",$E685="Dirty Coal"),"MT","BCM"))</f>
        <v/>
      </c>
      <c r="N685" s="157">
        <f>IF($E685="","",IF(OR($E685="Coal",$E685="Dirty Coal"),"Coal","OB"))</f>
        <v/>
      </c>
      <c r="O685" s="157">
        <f>IF($F685="","",IF(COUNTIF(MASTER_JAM!$A$5:$A$94,$C685)=0,"Digger tidak dikenal",IF($J685="","Hauler tidak dikenal",IF($H685="?","Jam salah",IF($K685=0,"Faktor kosong",IF(SUMIFS(INPUT_DELAY!$E$5:$E$20000,INPUT_DELAY!$A$5:$A$20000,$A685,INPUT_DELAY!$B$5:$B$20000,$B685,INPUT_DELAY!$C$5:$C$20000,$C685)+SUMIFS(INPUT_DELAY!$E$5:$E$20000,INPUT_DELAY!$A$5:$A$20000,$A685,INPUT_DELAY!$B$5:$B$20000,$B685,INPUT_DELAY!$C$5:$C$20000,"SEMUA")&gt;=60,"Delay 60 mnt tapi ada ritase","OK"))))))</f>
        <v/>
      </c>
      <c r="P685" s="158">
        <f>IFERROR(INDEX(MASTER_JAM!$Z$5:$AC$10,MATCH($I685,MASTER_JAM!$Y$5:$Y$10,0),MATCH($J685,MASTER_JAM!$Z$4:$AC$4,0))+0,0)</f>
        <v/>
      </c>
      <c r="Q685" s="158">
        <f>IF($P685=0,0,$P685+IFERROR(INDEX(MASTER_JAM!$H$5:$H$94,MATCH($C685,MASTER_JAM!$A$5:$A$94,0))+0,MASTER_JAM!$AC$15)/1000*(60/MASTER_JAM!$AC$12+60/MASTER_JAM!$AC$13)+MASTER_JAM!$AC$14)</f>
        <v/>
      </c>
      <c r="R685" s="158">
        <f>IF(N($F685)=0,0,$F685/SUMIFS(INPUT_RITASE!$F$5:$F$20000,INPUT_RITASE!$A$5:$A$20000,$A685,INPUT_RITASE!$B$5:$B$20000,$B685,INPUT_RITASE!$C$5:$C$20000,$C685,INPUT_RITASE!$D$5:$D$20000,$D685))</f>
        <v/>
      </c>
      <c r="S685" s="158">
        <f>IF($Q685=0,0,$R685*$P685/$Q685)</f>
        <v/>
      </c>
    </row>
    <row r="686">
      <c r="A686" s="155" t="n">
        <v>46106</v>
      </c>
      <c r="B686" s="156" t="inlineStr">
        <is>
          <t>10-11</t>
        </is>
      </c>
      <c r="C686" s="156" t="inlineStr">
        <is>
          <t>EX-2101</t>
        </is>
      </c>
      <c r="D686" s="156" t="inlineStr">
        <is>
          <t>HD-902</t>
        </is>
      </c>
      <c r="E686" s="156" t="inlineStr">
        <is>
          <t>OB</t>
        </is>
      </c>
      <c r="F686" s="156" t="n">
        <v>5</v>
      </c>
      <c r="G686" s="156" t="inlineStr"/>
      <c r="H686" s="157">
        <f>IF($B686="","",IF(ISNA(MATCH($B686,MASTER_JAM!$Q$5:$Q$28,0)),"?",IF(MATCH($B686,MASTER_JAM!$Q$5:$Q$28,0)&lt;=12,"DS","NS")))</f>
        <v/>
      </c>
      <c r="I686" s="157">
        <f>IFERROR(INDEX(MASTER_JAM!$B$5:$B$94,MATCH($C686,MASTER_JAM!$A$5:$A$94,0)),"")</f>
        <v/>
      </c>
      <c r="J686" s="157">
        <f>IFERROR(INDEX(MASTER_JAM!$E$5:$E$94,MATCH($D686,MASTER_JAM!$A$5:$A$94,0)),"")</f>
        <v/>
      </c>
      <c r="K686" s="158">
        <f>IFERROR(INDEX(MASTER_JAM!$J$5:$O$12,MATCH($E686,MASTER_JAM!$I$5:$I$12,0),MATCH($J686,MASTER_JAM!$J$4:$O$4,0))+0,0)</f>
        <v/>
      </c>
      <c r="L686" s="159">
        <f>N($F686)*$K686</f>
        <v/>
      </c>
      <c r="M686" s="157">
        <f>IF($E686="","",IF(OR($E686="Coal",$E686="Dirty Coal"),"MT","BCM"))</f>
        <v/>
      </c>
      <c r="N686" s="157">
        <f>IF($E686="","",IF(OR($E686="Coal",$E686="Dirty Coal"),"Coal","OB"))</f>
        <v/>
      </c>
      <c r="O686" s="157">
        <f>IF($F686="","",IF(COUNTIF(MASTER_JAM!$A$5:$A$94,$C686)=0,"Digger tidak dikenal",IF($J686="","Hauler tidak dikenal",IF($H686="?","Jam salah",IF($K686=0,"Faktor kosong",IF(SUMIFS(INPUT_DELAY!$E$5:$E$20000,INPUT_DELAY!$A$5:$A$20000,$A686,INPUT_DELAY!$B$5:$B$20000,$B686,INPUT_DELAY!$C$5:$C$20000,$C686)+SUMIFS(INPUT_DELAY!$E$5:$E$20000,INPUT_DELAY!$A$5:$A$20000,$A686,INPUT_DELAY!$B$5:$B$20000,$B686,INPUT_DELAY!$C$5:$C$20000,"SEMUA")&gt;=60,"Delay 60 mnt tapi ada ritase","OK"))))))</f>
        <v/>
      </c>
      <c r="P686" s="158">
        <f>IFERROR(INDEX(MASTER_JAM!$Z$5:$AC$10,MATCH($I686,MASTER_JAM!$Y$5:$Y$10,0),MATCH($J686,MASTER_JAM!$Z$4:$AC$4,0))+0,0)</f>
        <v/>
      </c>
      <c r="Q686" s="158">
        <f>IF($P686=0,0,$P686+IFERROR(INDEX(MASTER_JAM!$H$5:$H$94,MATCH($C686,MASTER_JAM!$A$5:$A$94,0))+0,MASTER_JAM!$AC$15)/1000*(60/MASTER_JAM!$AC$12+60/MASTER_JAM!$AC$13)+MASTER_JAM!$AC$14)</f>
        <v/>
      </c>
      <c r="R686" s="158">
        <f>IF(N($F686)=0,0,$F686/SUMIFS(INPUT_RITASE!$F$5:$F$20000,INPUT_RITASE!$A$5:$A$20000,$A686,INPUT_RITASE!$B$5:$B$20000,$B686,INPUT_RITASE!$C$5:$C$20000,$C686,INPUT_RITASE!$D$5:$D$20000,$D686))</f>
        <v/>
      </c>
      <c r="S686" s="158">
        <f>IF($Q686=0,0,$R686*$P686/$Q686)</f>
        <v/>
      </c>
    </row>
    <row r="687">
      <c r="A687" s="155" t="n">
        <v>46106</v>
      </c>
      <c r="B687" s="156" t="inlineStr">
        <is>
          <t>10-11</t>
        </is>
      </c>
      <c r="C687" s="156" t="inlineStr">
        <is>
          <t>EX-2101</t>
        </is>
      </c>
      <c r="D687" s="156" t="inlineStr">
        <is>
          <t>HD-901</t>
        </is>
      </c>
      <c r="E687" s="156" t="inlineStr">
        <is>
          <t>OB</t>
        </is>
      </c>
      <c r="F687" s="156" t="n">
        <v>5</v>
      </c>
      <c r="G687" s="156" t="inlineStr"/>
      <c r="H687" s="157">
        <f>IF($B687="","",IF(ISNA(MATCH($B687,MASTER_JAM!$Q$5:$Q$28,0)),"?",IF(MATCH($B687,MASTER_JAM!$Q$5:$Q$28,0)&lt;=12,"DS","NS")))</f>
        <v/>
      </c>
      <c r="I687" s="157">
        <f>IFERROR(INDEX(MASTER_JAM!$B$5:$B$94,MATCH($C687,MASTER_JAM!$A$5:$A$94,0)),"")</f>
        <v/>
      </c>
      <c r="J687" s="157">
        <f>IFERROR(INDEX(MASTER_JAM!$E$5:$E$94,MATCH($D687,MASTER_JAM!$A$5:$A$94,0)),"")</f>
        <v/>
      </c>
      <c r="K687" s="158">
        <f>IFERROR(INDEX(MASTER_JAM!$J$5:$O$12,MATCH($E687,MASTER_JAM!$I$5:$I$12,0),MATCH($J687,MASTER_JAM!$J$4:$O$4,0))+0,0)</f>
        <v/>
      </c>
      <c r="L687" s="159">
        <f>N($F687)*$K687</f>
        <v/>
      </c>
      <c r="M687" s="157">
        <f>IF($E687="","",IF(OR($E687="Coal",$E687="Dirty Coal"),"MT","BCM"))</f>
        <v/>
      </c>
      <c r="N687" s="157">
        <f>IF($E687="","",IF(OR($E687="Coal",$E687="Dirty Coal"),"Coal","OB"))</f>
        <v/>
      </c>
      <c r="O687" s="157">
        <f>IF($F687="","",IF(COUNTIF(MASTER_JAM!$A$5:$A$94,$C687)=0,"Digger tidak dikenal",IF($J687="","Hauler tidak dikenal",IF($H687="?","Jam salah",IF($K687=0,"Faktor kosong",IF(SUMIFS(INPUT_DELAY!$E$5:$E$20000,INPUT_DELAY!$A$5:$A$20000,$A687,INPUT_DELAY!$B$5:$B$20000,$B687,INPUT_DELAY!$C$5:$C$20000,$C687)+SUMIFS(INPUT_DELAY!$E$5:$E$20000,INPUT_DELAY!$A$5:$A$20000,$A687,INPUT_DELAY!$B$5:$B$20000,$B687,INPUT_DELAY!$C$5:$C$20000,"SEMUA")&gt;=60,"Delay 60 mnt tapi ada ritase","OK"))))))</f>
        <v/>
      </c>
      <c r="P687" s="158">
        <f>IFERROR(INDEX(MASTER_JAM!$Z$5:$AC$10,MATCH($I687,MASTER_JAM!$Y$5:$Y$10,0),MATCH($J687,MASTER_JAM!$Z$4:$AC$4,0))+0,0)</f>
        <v/>
      </c>
      <c r="Q687" s="158">
        <f>IF($P687=0,0,$P687+IFERROR(INDEX(MASTER_JAM!$H$5:$H$94,MATCH($C687,MASTER_JAM!$A$5:$A$94,0))+0,MASTER_JAM!$AC$15)/1000*(60/MASTER_JAM!$AC$12+60/MASTER_JAM!$AC$13)+MASTER_JAM!$AC$14)</f>
        <v/>
      </c>
      <c r="R687" s="158">
        <f>IF(N($F687)=0,0,$F687/SUMIFS(INPUT_RITASE!$F$5:$F$20000,INPUT_RITASE!$A$5:$A$20000,$A687,INPUT_RITASE!$B$5:$B$20000,$B687,INPUT_RITASE!$C$5:$C$20000,$C687,INPUT_RITASE!$D$5:$D$20000,$D687))</f>
        <v/>
      </c>
      <c r="S687" s="158">
        <f>IF($Q687=0,0,$R687*$P687/$Q687)</f>
        <v/>
      </c>
    </row>
    <row r="688">
      <c r="A688" s="155" t="n">
        <v>46106</v>
      </c>
      <c r="B688" s="156" t="inlineStr">
        <is>
          <t>10-11</t>
        </is>
      </c>
      <c r="C688" s="156" t="inlineStr">
        <is>
          <t>EX-2101</t>
        </is>
      </c>
      <c r="D688" s="156" t="inlineStr">
        <is>
          <t>HD-903</t>
        </is>
      </c>
      <c r="E688" s="156" t="inlineStr">
        <is>
          <t>OB</t>
        </is>
      </c>
      <c r="F688" s="156" t="n">
        <v>4</v>
      </c>
      <c r="G688" s="156" t="inlineStr"/>
      <c r="H688" s="157">
        <f>IF($B688="","",IF(ISNA(MATCH($B688,MASTER_JAM!$Q$5:$Q$28,0)),"?",IF(MATCH($B688,MASTER_JAM!$Q$5:$Q$28,0)&lt;=12,"DS","NS")))</f>
        <v/>
      </c>
      <c r="I688" s="157">
        <f>IFERROR(INDEX(MASTER_JAM!$B$5:$B$94,MATCH($C688,MASTER_JAM!$A$5:$A$94,0)),"")</f>
        <v/>
      </c>
      <c r="J688" s="157">
        <f>IFERROR(INDEX(MASTER_JAM!$E$5:$E$94,MATCH($D688,MASTER_JAM!$A$5:$A$94,0)),"")</f>
        <v/>
      </c>
      <c r="K688" s="158">
        <f>IFERROR(INDEX(MASTER_JAM!$J$5:$O$12,MATCH($E688,MASTER_JAM!$I$5:$I$12,0),MATCH($J688,MASTER_JAM!$J$4:$O$4,0))+0,0)</f>
        <v/>
      </c>
      <c r="L688" s="159">
        <f>N($F688)*$K688</f>
        <v/>
      </c>
      <c r="M688" s="157">
        <f>IF($E688="","",IF(OR($E688="Coal",$E688="Dirty Coal"),"MT","BCM"))</f>
        <v/>
      </c>
      <c r="N688" s="157">
        <f>IF($E688="","",IF(OR($E688="Coal",$E688="Dirty Coal"),"Coal","OB"))</f>
        <v/>
      </c>
      <c r="O688" s="157">
        <f>IF($F688="","",IF(COUNTIF(MASTER_JAM!$A$5:$A$94,$C688)=0,"Digger tidak dikenal",IF($J688="","Hauler tidak dikenal",IF($H688="?","Jam salah",IF($K688=0,"Faktor kosong",IF(SUMIFS(INPUT_DELAY!$E$5:$E$20000,INPUT_DELAY!$A$5:$A$20000,$A688,INPUT_DELAY!$B$5:$B$20000,$B688,INPUT_DELAY!$C$5:$C$20000,$C688)+SUMIFS(INPUT_DELAY!$E$5:$E$20000,INPUT_DELAY!$A$5:$A$20000,$A688,INPUT_DELAY!$B$5:$B$20000,$B688,INPUT_DELAY!$C$5:$C$20000,"SEMUA")&gt;=60,"Delay 60 mnt tapi ada ritase","OK"))))))</f>
        <v/>
      </c>
      <c r="P688" s="158">
        <f>IFERROR(INDEX(MASTER_JAM!$Z$5:$AC$10,MATCH($I688,MASTER_JAM!$Y$5:$Y$10,0),MATCH($J688,MASTER_JAM!$Z$4:$AC$4,0))+0,0)</f>
        <v/>
      </c>
      <c r="Q688" s="158">
        <f>IF($P688=0,0,$P688+IFERROR(INDEX(MASTER_JAM!$H$5:$H$94,MATCH($C688,MASTER_JAM!$A$5:$A$94,0))+0,MASTER_JAM!$AC$15)/1000*(60/MASTER_JAM!$AC$12+60/MASTER_JAM!$AC$13)+MASTER_JAM!$AC$14)</f>
        <v/>
      </c>
      <c r="R688" s="158">
        <f>IF(N($F688)=0,0,$F688/SUMIFS(INPUT_RITASE!$F$5:$F$20000,INPUT_RITASE!$A$5:$A$20000,$A688,INPUT_RITASE!$B$5:$B$20000,$B688,INPUT_RITASE!$C$5:$C$20000,$C688,INPUT_RITASE!$D$5:$D$20000,$D688))</f>
        <v/>
      </c>
      <c r="S688" s="158">
        <f>IF($Q688=0,0,$R688*$P688/$Q688)</f>
        <v/>
      </c>
    </row>
    <row r="689">
      <c r="A689" s="155" t="n">
        <v>46106</v>
      </c>
      <c r="B689" s="156" t="inlineStr">
        <is>
          <t>10-11</t>
        </is>
      </c>
      <c r="C689" s="156" t="inlineStr">
        <is>
          <t>EX-2101</t>
        </is>
      </c>
      <c r="D689" s="156" t="inlineStr">
        <is>
          <t>DT-522</t>
        </is>
      </c>
      <c r="E689" s="156" t="inlineStr">
        <is>
          <t>OB</t>
        </is>
      </c>
      <c r="F689" s="156" t="n">
        <v>4</v>
      </c>
      <c r="G689" s="156" t="inlineStr"/>
      <c r="H689" s="157">
        <f>IF($B689="","",IF(ISNA(MATCH($B689,MASTER_JAM!$Q$5:$Q$28,0)),"?",IF(MATCH($B689,MASTER_JAM!$Q$5:$Q$28,0)&lt;=12,"DS","NS")))</f>
        <v/>
      </c>
      <c r="I689" s="157">
        <f>IFERROR(INDEX(MASTER_JAM!$B$5:$B$94,MATCH($C689,MASTER_JAM!$A$5:$A$94,0)),"")</f>
        <v/>
      </c>
      <c r="J689" s="157">
        <f>IFERROR(INDEX(MASTER_JAM!$E$5:$E$94,MATCH($D689,MASTER_JAM!$A$5:$A$94,0)),"")</f>
        <v/>
      </c>
      <c r="K689" s="158">
        <f>IFERROR(INDEX(MASTER_JAM!$J$5:$O$12,MATCH($E689,MASTER_JAM!$I$5:$I$12,0),MATCH($J689,MASTER_JAM!$J$4:$O$4,0))+0,0)</f>
        <v/>
      </c>
      <c r="L689" s="159">
        <f>N($F689)*$K689</f>
        <v/>
      </c>
      <c r="M689" s="157">
        <f>IF($E689="","",IF(OR($E689="Coal",$E689="Dirty Coal"),"MT","BCM"))</f>
        <v/>
      </c>
      <c r="N689" s="157">
        <f>IF($E689="","",IF(OR($E689="Coal",$E689="Dirty Coal"),"Coal","OB"))</f>
        <v/>
      </c>
      <c r="O689" s="157">
        <f>IF($F689="","",IF(COUNTIF(MASTER_JAM!$A$5:$A$94,$C689)=0,"Digger tidak dikenal",IF($J689="","Hauler tidak dikenal",IF($H689="?","Jam salah",IF($K689=0,"Faktor kosong",IF(SUMIFS(INPUT_DELAY!$E$5:$E$20000,INPUT_DELAY!$A$5:$A$20000,$A689,INPUT_DELAY!$B$5:$B$20000,$B689,INPUT_DELAY!$C$5:$C$20000,$C689)+SUMIFS(INPUT_DELAY!$E$5:$E$20000,INPUT_DELAY!$A$5:$A$20000,$A689,INPUT_DELAY!$B$5:$B$20000,$B689,INPUT_DELAY!$C$5:$C$20000,"SEMUA")&gt;=60,"Delay 60 mnt tapi ada ritase","OK"))))))</f>
        <v/>
      </c>
      <c r="P689" s="158">
        <f>IFERROR(INDEX(MASTER_JAM!$Z$5:$AC$10,MATCH($I689,MASTER_JAM!$Y$5:$Y$10,0),MATCH($J689,MASTER_JAM!$Z$4:$AC$4,0))+0,0)</f>
        <v/>
      </c>
      <c r="Q689" s="158">
        <f>IF($P689=0,0,$P689+IFERROR(INDEX(MASTER_JAM!$H$5:$H$94,MATCH($C689,MASTER_JAM!$A$5:$A$94,0))+0,MASTER_JAM!$AC$15)/1000*(60/MASTER_JAM!$AC$12+60/MASTER_JAM!$AC$13)+MASTER_JAM!$AC$14)</f>
        <v/>
      </c>
      <c r="R689" s="158">
        <f>IF(N($F689)=0,0,$F689/SUMIFS(INPUT_RITASE!$F$5:$F$20000,INPUT_RITASE!$A$5:$A$20000,$A689,INPUT_RITASE!$B$5:$B$20000,$B689,INPUT_RITASE!$C$5:$C$20000,$C689,INPUT_RITASE!$D$5:$D$20000,$D689))</f>
        <v/>
      </c>
      <c r="S689" s="158">
        <f>IF($Q689=0,0,$R689*$P689/$Q689)</f>
        <v/>
      </c>
    </row>
    <row r="690">
      <c r="A690" s="155" t="n">
        <v>46106</v>
      </c>
      <c r="B690" s="156" t="inlineStr">
        <is>
          <t>10-11</t>
        </is>
      </c>
      <c r="C690" s="156" t="inlineStr">
        <is>
          <t>EX-2101</t>
        </is>
      </c>
      <c r="D690" s="156" t="inlineStr">
        <is>
          <t>DT-523</t>
        </is>
      </c>
      <c r="E690" s="156" t="inlineStr">
        <is>
          <t>OB</t>
        </is>
      </c>
      <c r="F690" s="156" t="n">
        <v>4</v>
      </c>
      <c r="G690" s="156" t="inlineStr"/>
      <c r="H690" s="157">
        <f>IF($B690="","",IF(ISNA(MATCH($B690,MASTER_JAM!$Q$5:$Q$28,0)),"?",IF(MATCH($B690,MASTER_JAM!$Q$5:$Q$28,0)&lt;=12,"DS","NS")))</f>
        <v/>
      </c>
      <c r="I690" s="157">
        <f>IFERROR(INDEX(MASTER_JAM!$B$5:$B$94,MATCH($C690,MASTER_JAM!$A$5:$A$94,0)),"")</f>
        <v/>
      </c>
      <c r="J690" s="157">
        <f>IFERROR(INDEX(MASTER_JAM!$E$5:$E$94,MATCH($D690,MASTER_JAM!$A$5:$A$94,0)),"")</f>
        <v/>
      </c>
      <c r="K690" s="158">
        <f>IFERROR(INDEX(MASTER_JAM!$J$5:$O$12,MATCH($E690,MASTER_JAM!$I$5:$I$12,0),MATCH($J690,MASTER_JAM!$J$4:$O$4,0))+0,0)</f>
        <v/>
      </c>
      <c r="L690" s="159">
        <f>N($F690)*$K690</f>
        <v/>
      </c>
      <c r="M690" s="157">
        <f>IF($E690="","",IF(OR($E690="Coal",$E690="Dirty Coal"),"MT","BCM"))</f>
        <v/>
      </c>
      <c r="N690" s="157">
        <f>IF($E690="","",IF(OR($E690="Coal",$E690="Dirty Coal"),"Coal","OB"))</f>
        <v/>
      </c>
      <c r="O690" s="157">
        <f>IF($F690="","",IF(COUNTIF(MASTER_JAM!$A$5:$A$94,$C690)=0,"Digger tidak dikenal",IF($J690="","Hauler tidak dikenal",IF($H690="?","Jam salah",IF($K690=0,"Faktor kosong",IF(SUMIFS(INPUT_DELAY!$E$5:$E$20000,INPUT_DELAY!$A$5:$A$20000,$A690,INPUT_DELAY!$B$5:$B$20000,$B690,INPUT_DELAY!$C$5:$C$20000,$C690)+SUMIFS(INPUT_DELAY!$E$5:$E$20000,INPUT_DELAY!$A$5:$A$20000,$A690,INPUT_DELAY!$B$5:$B$20000,$B690,INPUT_DELAY!$C$5:$C$20000,"SEMUA")&gt;=60,"Delay 60 mnt tapi ada ritase","OK"))))))</f>
        <v/>
      </c>
      <c r="P690" s="158">
        <f>IFERROR(INDEX(MASTER_JAM!$Z$5:$AC$10,MATCH($I690,MASTER_JAM!$Y$5:$Y$10,0),MATCH($J690,MASTER_JAM!$Z$4:$AC$4,0))+0,0)</f>
        <v/>
      </c>
      <c r="Q690" s="158">
        <f>IF($P690=0,0,$P690+IFERROR(INDEX(MASTER_JAM!$H$5:$H$94,MATCH($C690,MASTER_JAM!$A$5:$A$94,0))+0,MASTER_JAM!$AC$15)/1000*(60/MASTER_JAM!$AC$12+60/MASTER_JAM!$AC$13)+MASTER_JAM!$AC$14)</f>
        <v/>
      </c>
      <c r="R690" s="158">
        <f>IF(N($F690)=0,0,$F690/SUMIFS(INPUT_RITASE!$F$5:$F$20000,INPUT_RITASE!$A$5:$A$20000,$A690,INPUT_RITASE!$B$5:$B$20000,$B690,INPUT_RITASE!$C$5:$C$20000,$C690,INPUT_RITASE!$D$5:$D$20000,$D690))</f>
        <v/>
      </c>
      <c r="S690" s="158">
        <f>IF($Q690=0,0,$R690*$P690/$Q690)</f>
        <v/>
      </c>
    </row>
    <row r="691">
      <c r="A691" s="155" t="n">
        <v>46106</v>
      </c>
      <c r="B691" s="156" t="inlineStr">
        <is>
          <t>10-11</t>
        </is>
      </c>
      <c r="C691" s="156" t="inlineStr">
        <is>
          <t>EX-2101</t>
        </is>
      </c>
      <c r="D691" s="156" t="inlineStr">
        <is>
          <t>DT-506</t>
        </is>
      </c>
      <c r="E691" s="156" t="inlineStr">
        <is>
          <t>OB</t>
        </is>
      </c>
      <c r="F691" s="156" t="n">
        <v>3</v>
      </c>
      <c r="G691" s="156" t="inlineStr"/>
      <c r="H691" s="157">
        <f>IF($B691="","",IF(ISNA(MATCH($B691,MASTER_JAM!$Q$5:$Q$28,0)),"?",IF(MATCH($B691,MASTER_JAM!$Q$5:$Q$28,0)&lt;=12,"DS","NS")))</f>
        <v/>
      </c>
      <c r="I691" s="157">
        <f>IFERROR(INDEX(MASTER_JAM!$B$5:$B$94,MATCH($C691,MASTER_JAM!$A$5:$A$94,0)),"")</f>
        <v/>
      </c>
      <c r="J691" s="157">
        <f>IFERROR(INDEX(MASTER_JAM!$E$5:$E$94,MATCH($D691,MASTER_JAM!$A$5:$A$94,0)),"")</f>
        <v/>
      </c>
      <c r="K691" s="158">
        <f>IFERROR(INDEX(MASTER_JAM!$J$5:$O$12,MATCH($E691,MASTER_JAM!$I$5:$I$12,0),MATCH($J691,MASTER_JAM!$J$4:$O$4,0))+0,0)</f>
        <v/>
      </c>
      <c r="L691" s="159">
        <f>N($F691)*$K691</f>
        <v/>
      </c>
      <c r="M691" s="157">
        <f>IF($E691="","",IF(OR($E691="Coal",$E691="Dirty Coal"),"MT","BCM"))</f>
        <v/>
      </c>
      <c r="N691" s="157">
        <f>IF($E691="","",IF(OR($E691="Coal",$E691="Dirty Coal"),"Coal","OB"))</f>
        <v/>
      </c>
      <c r="O691" s="157">
        <f>IF($F691="","",IF(COUNTIF(MASTER_JAM!$A$5:$A$94,$C691)=0,"Digger tidak dikenal",IF($J691="","Hauler tidak dikenal",IF($H691="?","Jam salah",IF($K691=0,"Faktor kosong",IF(SUMIFS(INPUT_DELAY!$E$5:$E$20000,INPUT_DELAY!$A$5:$A$20000,$A691,INPUT_DELAY!$B$5:$B$20000,$B691,INPUT_DELAY!$C$5:$C$20000,$C691)+SUMIFS(INPUT_DELAY!$E$5:$E$20000,INPUT_DELAY!$A$5:$A$20000,$A691,INPUT_DELAY!$B$5:$B$20000,$B691,INPUT_DELAY!$C$5:$C$20000,"SEMUA")&gt;=60,"Delay 60 mnt tapi ada ritase","OK"))))))</f>
        <v/>
      </c>
      <c r="P691" s="158">
        <f>IFERROR(INDEX(MASTER_JAM!$Z$5:$AC$10,MATCH($I691,MASTER_JAM!$Y$5:$Y$10,0),MATCH($J691,MASTER_JAM!$Z$4:$AC$4,0))+0,0)</f>
        <v/>
      </c>
      <c r="Q691" s="158">
        <f>IF($P691=0,0,$P691+IFERROR(INDEX(MASTER_JAM!$H$5:$H$94,MATCH($C691,MASTER_JAM!$A$5:$A$94,0))+0,MASTER_JAM!$AC$15)/1000*(60/MASTER_JAM!$AC$12+60/MASTER_JAM!$AC$13)+MASTER_JAM!$AC$14)</f>
        <v/>
      </c>
      <c r="R691" s="158">
        <f>IF(N($F691)=0,0,$F691/SUMIFS(INPUT_RITASE!$F$5:$F$20000,INPUT_RITASE!$A$5:$A$20000,$A691,INPUT_RITASE!$B$5:$B$20000,$B691,INPUT_RITASE!$C$5:$C$20000,$C691,INPUT_RITASE!$D$5:$D$20000,$D691))</f>
        <v/>
      </c>
      <c r="S691" s="158">
        <f>IF($Q691=0,0,$R691*$P691/$Q691)</f>
        <v/>
      </c>
    </row>
    <row r="692">
      <c r="A692" s="155" t="n">
        <v>46106</v>
      </c>
      <c r="B692" s="156" t="inlineStr">
        <is>
          <t>11-12</t>
        </is>
      </c>
      <c r="C692" s="156" t="inlineStr">
        <is>
          <t>EX-2101</t>
        </is>
      </c>
      <c r="D692" s="156" t="inlineStr">
        <is>
          <t>DT-513</t>
        </is>
      </c>
      <c r="E692" s="156" t="inlineStr">
        <is>
          <t>OB</t>
        </is>
      </c>
      <c r="F692" s="156" t="n">
        <v>4</v>
      </c>
      <c r="G692" s="156" t="inlineStr"/>
      <c r="H692" s="157">
        <f>IF($B692="","",IF(ISNA(MATCH($B692,MASTER_JAM!$Q$5:$Q$28,0)),"?",IF(MATCH($B692,MASTER_JAM!$Q$5:$Q$28,0)&lt;=12,"DS","NS")))</f>
        <v/>
      </c>
      <c r="I692" s="157">
        <f>IFERROR(INDEX(MASTER_JAM!$B$5:$B$94,MATCH($C692,MASTER_JAM!$A$5:$A$94,0)),"")</f>
        <v/>
      </c>
      <c r="J692" s="157">
        <f>IFERROR(INDEX(MASTER_JAM!$E$5:$E$94,MATCH($D692,MASTER_JAM!$A$5:$A$94,0)),"")</f>
        <v/>
      </c>
      <c r="K692" s="158">
        <f>IFERROR(INDEX(MASTER_JAM!$J$5:$O$12,MATCH($E692,MASTER_JAM!$I$5:$I$12,0),MATCH($J692,MASTER_JAM!$J$4:$O$4,0))+0,0)</f>
        <v/>
      </c>
      <c r="L692" s="159">
        <f>N($F692)*$K692</f>
        <v/>
      </c>
      <c r="M692" s="157">
        <f>IF($E692="","",IF(OR($E692="Coal",$E692="Dirty Coal"),"MT","BCM"))</f>
        <v/>
      </c>
      <c r="N692" s="157">
        <f>IF($E692="","",IF(OR($E692="Coal",$E692="Dirty Coal"),"Coal","OB"))</f>
        <v/>
      </c>
      <c r="O692" s="157">
        <f>IF($F692="","",IF(COUNTIF(MASTER_JAM!$A$5:$A$94,$C692)=0,"Digger tidak dikenal",IF($J692="","Hauler tidak dikenal",IF($H692="?","Jam salah",IF($K692=0,"Faktor kosong",IF(SUMIFS(INPUT_DELAY!$E$5:$E$20000,INPUT_DELAY!$A$5:$A$20000,$A692,INPUT_DELAY!$B$5:$B$20000,$B692,INPUT_DELAY!$C$5:$C$20000,$C692)+SUMIFS(INPUT_DELAY!$E$5:$E$20000,INPUT_DELAY!$A$5:$A$20000,$A692,INPUT_DELAY!$B$5:$B$20000,$B692,INPUT_DELAY!$C$5:$C$20000,"SEMUA")&gt;=60,"Delay 60 mnt tapi ada ritase","OK"))))))</f>
        <v/>
      </c>
      <c r="P692" s="158">
        <f>IFERROR(INDEX(MASTER_JAM!$Z$5:$AC$10,MATCH($I692,MASTER_JAM!$Y$5:$Y$10,0),MATCH($J692,MASTER_JAM!$Z$4:$AC$4,0))+0,0)</f>
        <v/>
      </c>
      <c r="Q692" s="158">
        <f>IF($P692=0,0,$P692+IFERROR(INDEX(MASTER_JAM!$H$5:$H$94,MATCH($C692,MASTER_JAM!$A$5:$A$94,0))+0,MASTER_JAM!$AC$15)/1000*(60/MASTER_JAM!$AC$12+60/MASTER_JAM!$AC$13)+MASTER_JAM!$AC$14)</f>
        <v/>
      </c>
      <c r="R692" s="158">
        <f>IF(N($F692)=0,0,$F692/SUMIFS(INPUT_RITASE!$F$5:$F$20000,INPUT_RITASE!$A$5:$A$20000,$A692,INPUT_RITASE!$B$5:$B$20000,$B692,INPUT_RITASE!$C$5:$C$20000,$C692,INPUT_RITASE!$D$5:$D$20000,$D692))</f>
        <v/>
      </c>
      <c r="S692" s="158">
        <f>IF($Q692=0,0,$R692*$P692/$Q692)</f>
        <v/>
      </c>
    </row>
    <row r="693">
      <c r="A693" s="155" t="n">
        <v>46106</v>
      </c>
      <c r="B693" s="156" t="inlineStr">
        <is>
          <t>11-12</t>
        </is>
      </c>
      <c r="C693" s="156" t="inlineStr">
        <is>
          <t>EX-2101</t>
        </is>
      </c>
      <c r="D693" s="156" t="inlineStr">
        <is>
          <t>DT-517</t>
        </is>
      </c>
      <c r="E693" s="156" t="inlineStr">
        <is>
          <t>OB</t>
        </is>
      </c>
      <c r="F693" s="156" t="n">
        <v>3</v>
      </c>
      <c r="G693" s="156" t="inlineStr"/>
      <c r="H693" s="157">
        <f>IF($B693="","",IF(ISNA(MATCH($B693,MASTER_JAM!$Q$5:$Q$28,0)),"?",IF(MATCH($B693,MASTER_JAM!$Q$5:$Q$28,0)&lt;=12,"DS","NS")))</f>
        <v/>
      </c>
      <c r="I693" s="157">
        <f>IFERROR(INDEX(MASTER_JAM!$B$5:$B$94,MATCH($C693,MASTER_JAM!$A$5:$A$94,0)),"")</f>
        <v/>
      </c>
      <c r="J693" s="157">
        <f>IFERROR(INDEX(MASTER_JAM!$E$5:$E$94,MATCH($D693,MASTER_JAM!$A$5:$A$94,0)),"")</f>
        <v/>
      </c>
      <c r="K693" s="158">
        <f>IFERROR(INDEX(MASTER_JAM!$J$5:$O$12,MATCH($E693,MASTER_JAM!$I$5:$I$12,0),MATCH($J693,MASTER_JAM!$J$4:$O$4,0))+0,0)</f>
        <v/>
      </c>
      <c r="L693" s="159">
        <f>N($F693)*$K693</f>
        <v/>
      </c>
      <c r="M693" s="157">
        <f>IF($E693="","",IF(OR($E693="Coal",$E693="Dirty Coal"),"MT","BCM"))</f>
        <v/>
      </c>
      <c r="N693" s="157">
        <f>IF($E693="","",IF(OR($E693="Coal",$E693="Dirty Coal"),"Coal","OB"))</f>
        <v/>
      </c>
      <c r="O693" s="157">
        <f>IF($F693="","",IF(COUNTIF(MASTER_JAM!$A$5:$A$94,$C693)=0,"Digger tidak dikenal",IF($J693="","Hauler tidak dikenal",IF($H693="?","Jam salah",IF($K693=0,"Faktor kosong",IF(SUMIFS(INPUT_DELAY!$E$5:$E$20000,INPUT_DELAY!$A$5:$A$20000,$A693,INPUT_DELAY!$B$5:$B$20000,$B693,INPUT_DELAY!$C$5:$C$20000,$C693)+SUMIFS(INPUT_DELAY!$E$5:$E$20000,INPUT_DELAY!$A$5:$A$20000,$A693,INPUT_DELAY!$B$5:$B$20000,$B693,INPUT_DELAY!$C$5:$C$20000,"SEMUA")&gt;=60,"Delay 60 mnt tapi ada ritase","OK"))))))</f>
        <v/>
      </c>
      <c r="P693" s="158">
        <f>IFERROR(INDEX(MASTER_JAM!$Z$5:$AC$10,MATCH($I693,MASTER_JAM!$Y$5:$Y$10,0),MATCH($J693,MASTER_JAM!$Z$4:$AC$4,0))+0,0)</f>
        <v/>
      </c>
      <c r="Q693" s="158">
        <f>IF($P693=0,0,$P693+IFERROR(INDEX(MASTER_JAM!$H$5:$H$94,MATCH($C693,MASTER_JAM!$A$5:$A$94,0))+0,MASTER_JAM!$AC$15)/1000*(60/MASTER_JAM!$AC$12+60/MASTER_JAM!$AC$13)+MASTER_JAM!$AC$14)</f>
        <v/>
      </c>
      <c r="R693" s="158">
        <f>IF(N($F693)=0,0,$F693/SUMIFS(INPUT_RITASE!$F$5:$F$20000,INPUT_RITASE!$A$5:$A$20000,$A693,INPUT_RITASE!$B$5:$B$20000,$B693,INPUT_RITASE!$C$5:$C$20000,$C693,INPUT_RITASE!$D$5:$D$20000,$D693))</f>
        <v/>
      </c>
      <c r="S693" s="158">
        <f>IF($Q693=0,0,$R693*$P693/$Q693)</f>
        <v/>
      </c>
    </row>
    <row r="694">
      <c r="A694" s="155" t="n">
        <v>46106</v>
      </c>
      <c r="B694" s="156" t="inlineStr">
        <is>
          <t>11-12</t>
        </is>
      </c>
      <c r="C694" s="156" t="inlineStr">
        <is>
          <t>EX-2101</t>
        </is>
      </c>
      <c r="D694" s="156" t="inlineStr">
        <is>
          <t>DT-522</t>
        </is>
      </c>
      <c r="E694" s="156" t="inlineStr">
        <is>
          <t>OB</t>
        </is>
      </c>
      <c r="F694" s="156" t="n">
        <v>3</v>
      </c>
      <c r="G694" s="156" t="inlineStr"/>
      <c r="H694" s="157">
        <f>IF($B694="","",IF(ISNA(MATCH($B694,MASTER_JAM!$Q$5:$Q$28,0)),"?",IF(MATCH($B694,MASTER_JAM!$Q$5:$Q$28,0)&lt;=12,"DS","NS")))</f>
        <v/>
      </c>
      <c r="I694" s="157">
        <f>IFERROR(INDEX(MASTER_JAM!$B$5:$B$94,MATCH($C694,MASTER_JAM!$A$5:$A$94,0)),"")</f>
        <v/>
      </c>
      <c r="J694" s="157">
        <f>IFERROR(INDEX(MASTER_JAM!$E$5:$E$94,MATCH($D694,MASTER_JAM!$A$5:$A$94,0)),"")</f>
        <v/>
      </c>
      <c r="K694" s="158">
        <f>IFERROR(INDEX(MASTER_JAM!$J$5:$O$12,MATCH($E694,MASTER_JAM!$I$5:$I$12,0),MATCH($J694,MASTER_JAM!$J$4:$O$4,0))+0,0)</f>
        <v/>
      </c>
      <c r="L694" s="159">
        <f>N($F694)*$K694</f>
        <v/>
      </c>
      <c r="M694" s="157">
        <f>IF($E694="","",IF(OR($E694="Coal",$E694="Dirty Coal"),"MT","BCM"))</f>
        <v/>
      </c>
      <c r="N694" s="157">
        <f>IF($E694="","",IF(OR($E694="Coal",$E694="Dirty Coal"),"Coal","OB"))</f>
        <v/>
      </c>
      <c r="O694" s="157">
        <f>IF($F694="","",IF(COUNTIF(MASTER_JAM!$A$5:$A$94,$C694)=0,"Digger tidak dikenal",IF($J694="","Hauler tidak dikenal",IF($H694="?","Jam salah",IF($K694=0,"Faktor kosong",IF(SUMIFS(INPUT_DELAY!$E$5:$E$20000,INPUT_DELAY!$A$5:$A$20000,$A694,INPUT_DELAY!$B$5:$B$20000,$B694,INPUT_DELAY!$C$5:$C$20000,$C694)+SUMIFS(INPUT_DELAY!$E$5:$E$20000,INPUT_DELAY!$A$5:$A$20000,$A694,INPUT_DELAY!$B$5:$B$20000,$B694,INPUT_DELAY!$C$5:$C$20000,"SEMUA")&gt;=60,"Delay 60 mnt tapi ada ritase","OK"))))))</f>
        <v/>
      </c>
      <c r="P694" s="158">
        <f>IFERROR(INDEX(MASTER_JAM!$Z$5:$AC$10,MATCH($I694,MASTER_JAM!$Y$5:$Y$10,0),MATCH($J694,MASTER_JAM!$Z$4:$AC$4,0))+0,0)</f>
        <v/>
      </c>
      <c r="Q694" s="158">
        <f>IF($P694=0,0,$P694+IFERROR(INDEX(MASTER_JAM!$H$5:$H$94,MATCH($C694,MASTER_JAM!$A$5:$A$94,0))+0,MASTER_JAM!$AC$15)/1000*(60/MASTER_JAM!$AC$12+60/MASTER_JAM!$AC$13)+MASTER_JAM!$AC$14)</f>
        <v/>
      </c>
      <c r="R694" s="158">
        <f>IF(N($F694)=0,0,$F694/SUMIFS(INPUT_RITASE!$F$5:$F$20000,INPUT_RITASE!$A$5:$A$20000,$A694,INPUT_RITASE!$B$5:$B$20000,$B694,INPUT_RITASE!$C$5:$C$20000,$C694,INPUT_RITASE!$D$5:$D$20000,$D694))</f>
        <v/>
      </c>
      <c r="S694" s="158">
        <f>IF($Q694=0,0,$R694*$P694/$Q694)</f>
        <v/>
      </c>
    </row>
    <row r="695">
      <c r="A695" s="155" t="n">
        <v>46106</v>
      </c>
      <c r="B695" s="156" t="inlineStr">
        <is>
          <t>11-12</t>
        </is>
      </c>
      <c r="C695" s="156" t="inlineStr">
        <is>
          <t>EX-2101</t>
        </is>
      </c>
      <c r="D695" s="156" t="inlineStr">
        <is>
          <t>HD-901</t>
        </is>
      </c>
      <c r="E695" s="156" t="inlineStr">
        <is>
          <t>OB</t>
        </is>
      </c>
      <c r="F695" s="156" t="n">
        <v>3</v>
      </c>
      <c r="G695" s="156" t="inlineStr"/>
      <c r="H695" s="157">
        <f>IF($B695="","",IF(ISNA(MATCH($B695,MASTER_JAM!$Q$5:$Q$28,0)),"?",IF(MATCH($B695,MASTER_JAM!$Q$5:$Q$28,0)&lt;=12,"DS","NS")))</f>
        <v/>
      </c>
      <c r="I695" s="157">
        <f>IFERROR(INDEX(MASTER_JAM!$B$5:$B$94,MATCH($C695,MASTER_JAM!$A$5:$A$94,0)),"")</f>
        <v/>
      </c>
      <c r="J695" s="157">
        <f>IFERROR(INDEX(MASTER_JAM!$E$5:$E$94,MATCH($D695,MASTER_JAM!$A$5:$A$94,0)),"")</f>
        <v/>
      </c>
      <c r="K695" s="158">
        <f>IFERROR(INDEX(MASTER_JAM!$J$5:$O$12,MATCH($E695,MASTER_JAM!$I$5:$I$12,0),MATCH($J695,MASTER_JAM!$J$4:$O$4,0))+0,0)</f>
        <v/>
      </c>
      <c r="L695" s="159">
        <f>N($F695)*$K695</f>
        <v/>
      </c>
      <c r="M695" s="157">
        <f>IF($E695="","",IF(OR($E695="Coal",$E695="Dirty Coal"),"MT","BCM"))</f>
        <v/>
      </c>
      <c r="N695" s="157">
        <f>IF($E695="","",IF(OR($E695="Coal",$E695="Dirty Coal"),"Coal","OB"))</f>
        <v/>
      </c>
      <c r="O695" s="157">
        <f>IF($F695="","",IF(COUNTIF(MASTER_JAM!$A$5:$A$94,$C695)=0,"Digger tidak dikenal",IF($J695="","Hauler tidak dikenal",IF($H695="?","Jam salah",IF($K695=0,"Faktor kosong",IF(SUMIFS(INPUT_DELAY!$E$5:$E$20000,INPUT_DELAY!$A$5:$A$20000,$A695,INPUT_DELAY!$B$5:$B$20000,$B695,INPUT_DELAY!$C$5:$C$20000,$C695)+SUMIFS(INPUT_DELAY!$E$5:$E$20000,INPUT_DELAY!$A$5:$A$20000,$A695,INPUT_DELAY!$B$5:$B$20000,$B695,INPUT_DELAY!$C$5:$C$20000,"SEMUA")&gt;=60,"Delay 60 mnt tapi ada ritase","OK"))))))</f>
        <v/>
      </c>
      <c r="P695" s="158">
        <f>IFERROR(INDEX(MASTER_JAM!$Z$5:$AC$10,MATCH($I695,MASTER_JAM!$Y$5:$Y$10,0),MATCH($J695,MASTER_JAM!$Z$4:$AC$4,0))+0,0)</f>
        <v/>
      </c>
      <c r="Q695" s="158">
        <f>IF($P695=0,0,$P695+IFERROR(INDEX(MASTER_JAM!$H$5:$H$94,MATCH($C695,MASTER_JAM!$A$5:$A$94,0))+0,MASTER_JAM!$AC$15)/1000*(60/MASTER_JAM!$AC$12+60/MASTER_JAM!$AC$13)+MASTER_JAM!$AC$14)</f>
        <v/>
      </c>
      <c r="R695" s="158">
        <f>IF(N($F695)=0,0,$F695/SUMIFS(INPUT_RITASE!$F$5:$F$20000,INPUT_RITASE!$A$5:$A$20000,$A695,INPUT_RITASE!$B$5:$B$20000,$B695,INPUT_RITASE!$C$5:$C$20000,$C695,INPUT_RITASE!$D$5:$D$20000,$D695))</f>
        <v/>
      </c>
      <c r="S695" s="158">
        <f>IF($Q695=0,0,$R695*$P695/$Q695)</f>
        <v/>
      </c>
    </row>
    <row r="696">
      <c r="A696" s="155" t="n">
        <v>46106</v>
      </c>
      <c r="B696" s="156" t="inlineStr">
        <is>
          <t>11-12</t>
        </is>
      </c>
      <c r="C696" s="156" t="inlineStr">
        <is>
          <t>EX-2101</t>
        </is>
      </c>
      <c r="D696" s="156" t="inlineStr">
        <is>
          <t>HD-903</t>
        </is>
      </c>
      <c r="E696" s="156" t="inlineStr">
        <is>
          <t>OB</t>
        </is>
      </c>
      <c r="F696" s="156" t="n">
        <v>3</v>
      </c>
      <c r="G696" s="156" t="inlineStr"/>
      <c r="H696" s="157">
        <f>IF($B696="","",IF(ISNA(MATCH($B696,MASTER_JAM!$Q$5:$Q$28,0)),"?",IF(MATCH($B696,MASTER_JAM!$Q$5:$Q$28,0)&lt;=12,"DS","NS")))</f>
        <v/>
      </c>
      <c r="I696" s="157">
        <f>IFERROR(INDEX(MASTER_JAM!$B$5:$B$94,MATCH($C696,MASTER_JAM!$A$5:$A$94,0)),"")</f>
        <v/>
      </c>
      <c r="J696" s="157">
        <f>IFERROR(INDEX(MASTER_JAM!$E$5:$E$94,MATCH($D696,MASTER_JAM!$A$5:$A$94,0)),"")</f>
        <v/>
      </c>
      <c r="K696" s="158">
        <f>IFERROR(INDEX(MASTER_JAM!$J$5:$O$12,MATCH($E696,MASTER_JAM!$I$5:$I$12,0),MATCH($J696,MASTER_JAM!$J$4:$O$4,0))+0,0)</f>
        <v/>
      </c>
      <c r="L696" s="159">
        <f>N($F696)*$K696</f>
        <v/>
      </c>
      <c r="M696" s="157">
        <f>IF($E696="","",IF(OR($E696="Coal",$E696="Dirty Coal"),"MT","BCM"))</f>
        <v/>
      </c>
      <c r="N696" s="157">
        <f>IF($E696="","",IF(OR($E696="Coal",$E696="Dirty Coal"),"Coal","OB"))</f>
        <v/>
      </c>
      <c r="O696" s="157">
        <f>IF($F696="","",IF(COUNTIF(MASTER_JAM!$A$5:$A$94,$C696)=0,"Digger tidak dikenal",IF($J696="","Hauler tidak dikenal",IF($H696="?","Jam salah",IF($K696=0,"Faktor kosong",IF(SUMIFS(INPUT_DELAY!$E$5:$E$20000,INPUT_DELAY!$A$5:$A$20000,$A696,INPUT_DELAY!$B$5:$B$20000,$B696,INPUT_DELAY!$C$5:$C$20000,$C696)+SUMIFS(INPUT_DELAY!$E$5:$E$20000,INPUT_DELAY!$A$5:$A$20000,$A696,INPUT_DELAY!$B$5:$B$20000,$B696,INPUT_DELAY!$C$5:$C$20000,"SEMUA")&gt;=60,"Delay 60 mnt tapi ada ritase","OK"))))))</f>
        <v/>
      </c>
      <c r="P696" s="158">
        <f>IFERROR(INDEX(MASTER_JAM!$Z$5:$AC$10,MATCH($I696,MASTER_JAM!$Y$5:$Y$10,0),MATCH($J696,MASTER_JAM!$Z$4:$AC$4,0))+0,0)</f>
        <v/>
      </c>
      <c r="Q696" s="158">
        <f>IF($P696=0,0,$P696+IFERROR(INDEX(MASTER_JAM!$H$5:$H$94,MATCH($C696,MASTER_JAM!$A$5:$A$94,0))+0,MASTER_JAM!$AC$15)/1000*(60/MASTER_JAM!$AC$12+60/MASTER_JAM!$AC$13)+MASTER_JAM!$AC$14)</f>
        <v/>
      </c>
      <c r="R696" s="158">
        <f>IF(N($F696)=0,0,$F696/SUMIFS(INPUT_RITASE!$F$5:$F$20000,INPUT_RITASE!$A$5:$A$20000,$A696,INPUT_RITASE!$B$5:$B$20000,$B696,INPUT_RITASE!$C$5:$C$20000,$C696,INPUT_RITASE!$D$5:$D$20000,$D696))</f>
        <v/>
      </c>
      <c r="S696" s="158">
        <f>IF($Q696=0,0,$R696*$P696/$Q696)</f>
        <v/>
      </c>
    </row>
    <row r="697">
      <c r="A697" s="155" t="n">
        <v>46106</v>
      </c>
      <c r="B697" s="156" t="inlineStr">
        <is>
          <t>11-12</t>
        </is>
      </c>
      <c r="C697" s="156" t="inlineStr">
        <is>
          <t>EX-2101</t>
        </is>
      </c>
      <c r="D697" s="156" t="inlineStr">
        <is>
          <t>HD-902</t>
        </is>
      </c>
      <c r="E697" s="156" t="inlineStr">
        <is>
          <t>OB</t>
        </is>
      </c>
      <c r="F697" s="156" t="n">
        <v>3</v>
      </c>
      <c r="G697" s="156" t="inlineStr"/>
      <c r="H697" s="157">
        <f>IF($B697="","",IF(ISNA(MATCH($B697,MASTER_JAM!$Q$5:$Q$28,0)),"?",IF(MATCH($B697,MASTER_JAM!$Q$5:$Q$28,0)&lt;=12,"DS","NS")))</f>
        <v/>
      </c>
      <c r="I697" s="157">
        <f>IFERROR(INDEX(MASTER_JAM!$B$5:$B$94,MATCH($C697,MASTER_JAM!$A$5:$A$94,0)),"")</f>
        <v/>
      </c>
      <c r="J697" s="157">
        <f>IFERROR(INDEX(MASTER_JAM!$E$5:$E$94,MATCH($D697,MASTER_JAM!$A$5:$A$94,0)),"")</f>
        <v/>
      </c>
      <c r="K697" s="158">
        <f>IFERROR(INDEX(MASTER_JAM!$J$5:$O$12,MATCH($E697,MASTER_JAM!$I$5:$I$12,0),MATCH($J697,MASTER_JAM!$J$4:$O$4,0))+0,0)</f>
        <v/>
      </c>
      <c r="L697" s="159">
        <f>N($F697)*$K697</f>
        <v/>
      </c>
      <c r="M697" s="157">
        <f>IF($E697="","",IF(OR($E697="Coal",$E697="Dirty Coal"),"MT","BCM"))</f>
        <v/>
      </c>
      <c r="N697" s="157">
        <f>IF($E697="","",IF(OR($E697="Coal",$E697="Dirty Coal"),"Coal","OB"))</f>
        <v/>
      </c>
      <c r="O697" s="157">
        <f>IF($F697="","",IF(COUNTIF(MASTER_JAM!$A$5:$A$94,$C697)=0,"Digger tidak dikenal",IF($J697="","Hauler tidak dikenal",IF($H697="?","Jam salah",IF($K697=0,"Faktor kosong",IF(SUMIFS(INPUT_DELAY!$E$5:$E$20000,INPUT_DELAY!$A$5:$A$20000,$A697,INPUT_DELAY!$B$5:$B$20000,$B697,INPUT_DELAY!$C$5:$C$20000,$C697)+SUMIFS(INPUT_DELAY!$E$5:$E$20000,INPUT_DELAY!$A$5:$A$20000,$A697,INPUT_DELAY!$B$5:$B$20000,$B697,INPUT_DELAY!$C$5:$C$20000,"SEMUA")&gt;=60,"Delay 60 mnt tapi ada ritase","OK"))))))</f>
        <v/>
      </c>
      <c r="P697" s="158">
        <f>IFERROR(INDEX(MASTER_JAM!$Z$5:$AC$10,MATCH($I697,MASTER_JAM!$Y$5:$Y$10,0),MATCH($J697,MASTER_JAM!$Z$4:$AC$4,0))+0,0)</f>
        <v/>
      </c>
      <c r="Q697" s="158">
        <f>IF($P697=0,0,$P697+IFERROR(INDEX(MASTER_JAM!$H$5:$H$94,MATCH($C697,MASTER_JAM!$A$5:$A$94,0))+0,MASTER_JAM!$AC$15)/1000*(60/MASTER_JAM!$AC$12+60/MASTER_JAM!$AC$13)+MASTER_JAM!$AC$14)</f>
        <v/>
      </c>
      <c r="R697" s="158">
        <f>IF(N($F697)=0,0,$F697/SUMIFS(INPUT_RITASE!$F$5:$F$20000,INPUT_RITASE!$A$5:$A$20000,$A697,INPUT_RITASE!$B$5:$B$20000,$B697,INPUT_RITASE!$C$5:$C$20000,$C697,INPUT_RITASE!$D$5:$D$20000,$D697))</f>
        <v/>
      </c>
      <c r="S697" s="158">
        <f>IF($Q697=0,0,$R697*$P697/$Q697)</f>
        <v/>
      </c>
    </row>
    <row r="698">
      <c r="A698" s="155" t="n">
        <v>46106</v>
      </c>
      <c r="B698" s="156" t="inlineStr">
        <is>
          <t>06-07</t>
        </is>
      </c>
      <c r="C698" s="156" t="inlineStr">
        <is>
          <t>EX-336</t>
        </is>
      </c>
      <c r="D698" s="156" t="inlineStr">
        <is>
          <t>DT-810</t>
        </is>
      </c>
      <c r="E698" s="156" t="inlineStr">
        <is>
          <t>Coal</t>
        </is>
      </c>
      <c r="F698" s="156" t="n">
        <v>3</v>
      </c>
      <c r="G698" s="156" t="inlineStr"/>
      <c r="H698" s="157">
        <f>IF($B698="","",IF(ISNA(MATCH($B698,MASTER_JAM!$Q$5:$Q$28,0)),"?",IF(MATCH($B698,MASTER_JAM!$Q$5:$Q$28,0)&lt;=12,"DS","NS")))</f>
        <v/>
      </c>
      <c r="I698" s="157">
        <f>IFERROR(INDEX(MASTER_JAM!$B$5:$B$94,MATCH($C698,MASTER_JAM!$A$5:$A$94,0)),"")</f>
        <v/>
      </c>
      <c r="J698" s="157">
        <f>IFERROR(INDEX(MASTER_JAM!$E$5:$E$94,MATCH($D698,MASTER_JAM!$A$5:$A$94,0)),"")</f>
        <v/>
      </c>
      <c r="K698" s="158">
        <f>IFERROR(INDEX(MASTER_JAM!$J$5:$O$12,MATCH($E698,MASTER_JAM!$I$5:$I$12,0),MATCH($J698,MASTER_JAM!$J$4:$O$4,0))+0,0)</f>
        <v/>
      </c>
      <c r="L698" s="159">
        <f>N($F698)*$K698</f>
        <v/>
      </c>
      <c r="M698" s="157">
        <f>IF($E698="","",IF(OR($E698="Coal",$E698="Dirty Coal"),"MT","BCM"))</f>
        <v/>
      </c>
      <c r="N698" s="157">
        <f>IF($E698="","",IF(OR($E698="Coal",$E698="Dirty Coal"),"Coal","OB"))</f>
        <v/>
      </c>
      <c r="O698" s="157">
        <f>IF($F698="","",IF(COUNTIF(MASTER_JAM!$A$5:$A$94,$C698)=0,"Digger tidak dikenal",IF($J698="","Hauler tidak dikenal",IF($H698="?","Jam salah",IF($K698=0,"Faktor kosong",IF(SUMIFS(INPUT_DELAY!$E$5:$E$20000,INPUT_DELAY!$A$5:$A$20000,$A698,INPUT_DELAY!$B$5:$B$20000,$B698,INPUT_DELAY!$C$5:$C$20000,$C698)+SUMIFS(INPUT_DELAY!$E$5:$E$20000,INPUT_DELAY!$A$5:$A$20000,$A698,INPUT_DELAY!$B$5:$B$20000,$B698,INPUT_DELAY!$C$5:$C$20000,"SEMUA")&gt;=60,"Delay 60 mnt tapi ada ritase","OK"))))))</f>
        <v/>
      </c>
      <c r="P698" s="158">
        <f>IFERROR(INDEX(MASTER_JAM!$Z$5:$AC$10,MATCH($I698,MASTER_JAM!$Y$5:$Y$10,0),MATCH($J698,MASTER_JAM!$Z$4:$AC$4,0))+0,0)</f>
        <v/>
      </c>
      <c r="Q698" s="158">
        <f>IF($P698=0,0,$P698+IFERROR(INDEX(MASTER_JAM!$H$5:$H$94,MATCH($C698,MASTER_JAM!$A$5:$A$94,0))+0,MASTER_JAM!$AC$15)/1000*(60/MASTER_JAM!$AC$12+60/MASTER_JAM!$AC$13)+MASTER_JAM!$AC$14)</f>
        <v/>
      </c>
      <c r="R698" s="158">
        <f>IF(N($F698)=0,0,$F698/SUMIFS(INPUT_RITASE!$F$5:$F$20000,INPUT_RITASE!$A$5:$A$20000,$A698,INPUT_RITASE!$B$5:$B$20000,$B698,INPUT_RITASE!$C$5:$C$20000,$C698,INPUT_RITASE!$D$5:$D$20000,$D698))</f>
        <v/>
      </c>
      <c r="S698" s="158">
        <f>IF($Q698=0,0,$R698*$P698/$Q698)</f>
        <v/>
      </c>
    </row>
    <row r="699">
      <c r="A699" s="155" t="n">
        <v>46106</v>
      </c>
      <c r="B699" s="156" t="inlineStr">
        <is>
          <t>06-07</t>
        </is>
      </c>
      <c r="C699" s="156" t="inlineStr">
        <is>
          <t>EX-336</t>
        </is>
      </c>
      <c r="D699" s="156" t="inlineStr">
        <is>
          <t>DT-811</t>
        </is>
      </c>
      <c r="E699" s="156" t="inlineStr">
        <is>
          <t>Coal</t>
        </is>
      </c>
      <c r="F699" s="156" t="n">
        <v>2</v>
      </c>
      <c r="G699" s="156" t="inlineStr"/>
      <c r="H699" s="157">
        <f>IF($B699="","",IF(ISNA(MATCH($B699,MASTER_JAM!$Q$5:$Q$28,0)),"?",IF(MATCH($B699,MASTER_JAM!$Q$5:$Q$28,0)&lt;=12,"DS","NS")))</f>
        <v/>
      </c>
      <c r="I699" s="157">
        <f>IFERROR(INDEX(MASTER_JAM!$B$5:$B$94,MATCH($C699,MASTER_JAM!$A$5:$A$94,0)),"")</f>
        <v/>
      </c>
      <c r="J699" s="157">
        <f>IFERROR(INDEX(MASTER_JAM!$E$5:$E$94,MATCH($D699,MASTER_JAM!$A$5:$A$94,0)),"")</f>
        <v/>
      </c>
      <c r="K699" s="158">
        <f>IFERROR(INDEX(MASTER_JAM!$J$5:$O$12,MATCH($E699,MASTER_JAM!$I$5:$I$12,0),MATCH($J699,MASTER_JAM!$J$4:$O$4,0))+0,0)</f>
        <v/>
      </c>
      <c r="L699" s="159">
        <f>N($F699)*$K699</f>
        <v/>
      </c>
      <c r="M699" s="157">
        <f>IF($E699="","",IF(OR($E699="Coal",$E699="Dirty Coal"),"MT","BCM"))</f>
        <v/>
      </c>
      <c r="N699" s="157">
        <f>IF($E699="","",IF(OR($E699="Coal",$E699="Dirty Coal"),"Coal","OB"))</f>
        <v/>
      </c>
      <c r="O699" s="157">
        <f>IF($F699="","",IF(COUNTIF(MASTER_JAM!$A$5:$A$94,$C699)=0,"Digger tidak dikenal",IF($J699="","Hauler tidak dikenal",IF($H699="?","Jam salah",IF($K699=0,"Faktor kosong",IF(SUMIFS(INPUT_DELAY!$E$5:$E$20000,INPUT_DELAY!$A$5:$A$20000,$A699,INPUT_DELAY!$B$5:$B$20000,$B699,INPUT_DELAY!$C$5:$C$20000,$C699)+SUMIFS(INPUT_DELAY!$E$5:$E$20000,INPUT_DELAY!$A$5:$A$20000,$A699,INPUT_DELAY!$B$5:$B$20000,$B699,INPUT_DELAY!$C$5:$C$20000,"SEMUA")&gt;=60,"Delay 60 mnt tapi ada ritase","OK"))))))</f>
        <v/>
      </c>
      <c r="P699" s="158">
        <f>IFERROR(INDEX(MASTER_JAM!$Z$5:$AC$10,MATCH($I699,MASTER_JAM!$Y$5:$Y$10,0),MATCH($J699,MASTER_JAM!$Z$4:$AC$4,0))+0,0)</f>
        <v/>
      </c>
      <c r="Q699" s="158">
        <f>IF($P699=0,0,$P699+IFERROR(INDEX(MASTER_JAM!$H$5:$H$94,MATCH($C699,MASTER_JAM!$A$5:$A$94,0))+0,MASTER_JAM!$AC$15)/1000*(60/MASTER_JAM!$AC$12+60/MASTER_JAM!$AC$13)+MASTER_JAM!$AC$14)</f>
        <v/>
      </c>
      <c r="R699" s="158">
        <f>IF(N($F699)=0,0,$F699/SUMIFS(INPUT_RITASE!$F$5:$F$20000,INPUT_RITASE!$A$5:$A$20000,$A699,INPUT_RITASE!$B$5:$B$20000,$B699,INPUT_RITASE!$C$5:$C$20000,$C699,INPUT_RITASE!$D$5:$D$20000,$D699))</f>
        <v/>
      </c>
      <c r="S699" s="158">
        <f>IF($Q699=0,0,$R699*$P699/$Q699)</f>
        <v/>
      </c>
    </row>
    <row r="700">
      <c r="A700" s="155" t="n">
        <v>46106</v>
      </c>
      <c r="B700" s="156" t="inlineStr">
        <is>
          <t>07-08</t>
        </is>
      </c>
      <c r="C700" s="156" t="inlineStr">
        <is>
          <t>EX-336</t>
        </is>
      </c>
      <c r="D700" s="156" t="inlineStr">
        <is>
          <t>DT-811</t>
        </is>
      </c>
      <c r="E700" s="156" t="inlineStr">
        <is>
          <t>Coal</t>
        </is>
      </c>
      <c r="F700" s="156" t="n">
        <v>3</v>
      </c>
      <c r="G700" s="156" t="inlineStr"/>
      <c r="H700" s="157">
        <f>IF($B700="","",IF(ISNA(MATCH($B700,MASTER_JAM!$Q$5:$Q$28,0)),"?",IF(MATCH($B700,MASTER_JAM!$Q$5:$Q$28,0)&lt;=12,"DS","NS")))</f>
        <v/>
      </c>
      <c r="I700" s="157">
        <f>IFERROR(INDEX(MASTER_JAM!$B$5:$B$94,MATCH($C700,MASTER_JAM!$A$5:$A$94,0)),"")</f>
        <v/>
      </c>
      <c r="J700" s="157">
        <f>IFERROR(INDEX(MASTER_JAM!$E$5:$E$94,MATCH($D700,MASTER_JAM!$A$5:$A$94,0)),"")</f>
        <v/>
      </c>
      <c r="K700" s="158">
        <f>IFERROR(INDEX(MASTER_JAM!$J$5:$O$12,MATCH($E700,MASTER_JAM!$I$5:$I$12,0),MATCH($J700,MASTER_JAM!$J$4:$O$4,0))+0,0)</f>
        <v/>
      </c>
      <c r="L700" s="159">
        <f>N($F700)*$K700</f>
        <v/>
      </c>
      <c r="M700" s="157">
        <f>IF($E700="","",IF(OR($E700="Coal",$E700="Dirty Coal"),"MT","BCM"))</f>
        <v/>
      </c>
      <c r="N700" s="157">
        <f>IF($E700="","",IF(OR($E700="Coal",$E700="Dirty Coal"),"Coal","OB"))</f>
        <v/>
      </c>
      <c r="O700" s="157">
        <f>IF($F700="","",IF(COUNTIF(MASTER_JAM!$A$5:$A$94,$C700)=0,"Digger tidak dikenal",IF($J700="","Hauler tidak dikenal",IF($H700="?","Jam salah",IF($K700=0,"Faktor kosong",IF(SUMIFS(INPUT_DELAY!$E$5:$E$20000,INPUT_DELAY!$A$5:$A$20000,$A700,INPUT_DELAY!$B$5:$B$20000,$B700,INPUT_DELAY!$C$5:$C$20000,$C700)+SUMIFS(INPUT_DELAY!$E$5:$E$20000,INPUT_DELAY!$A$5:$A$20000,$A700,INPUT_DELAY!$B$5:$B$20000,$B700,INPUT_DELAY!$C$5:$C$20000,"SEMUA")&gt;=60,"Delay 60 mnt tapi ada ritase","OK"))))))</f>
        <v/>
      </c>
      <c r="P700" s="158">
        <f>IFERROR(INDEX(MASTER_JAM!$Z$5:$AC$10,MATCH($I700,MASTER_JAM!$Y$5:$Y$10,0),MATCH($J700,MASTER_JAM!$Z$4:$AC$4,0))+0,0)</f>
        <v/>
      </c>
      <c r="Q700" s="158">
        <f>IF($P700=0,0,$P700+IFERROR(INDEX(MASTER_JAM!$H$5:$H$94,MATCH($C700,MASTER_JAM!$A$5:$A$94,0))+0,MASTER_JAM!$AC$15)/1000*(60/MASTER_JAM!$AC$12+60/MASTER_JAM!$AC$13)+MASTER_JAM!$AC$14)</f>
        <v/>
      </c>
      <c r="R700" s="158">
        <f>IF(N($F700)=0,0,$F700/SUMIFS(INPUT_RITASE!$F$5:$F$20000,INPUT_RITASE!$A$5:$A$20000,$A700,INPUT_RITASE!$B$5:$B$20000,$B700,INPUT_RITASE!$C$5:$C$20000,$C700,INPUT_RITASE!$D$5:$D$20000,$D700))</f>
        <v/>
      </c>
      <c r="S700" s="158">
        <f>IF($Q700=0,0,$R700*$P700/$Q700)</f>
        <v/>
      </c>
    </row>
    <row r="701">
      <c r="A701" s="155" t="n">
        <v>46106</v>
      </c>
      <c r="B701" s="156" t="inlineStr">
        <is>
          <t>07-08</t>
        </is>
      </c>
      <c r="C701" s="156" t="inlineStr">
        <is>
          <t>EX-336</t>
        </is>
      </c>
      <c r="D701" s="156" t="inlineStr">
        <is>
          <t>DT-810</t>
        </is>
      </c>
      <c r="E701" s="156" t="inlineStr">
        <is>
          <t>Coal</t>
        </is>
      </c>
      <c r="F701" s="156" t="n">
        <v>2</v>
      </c>
      <c r="G701" s="156" t="inlineStr"/>
      <c r="H701" s="157">
        <f>IF($B701="","",IF(ISNA(MATCH($B701,MASTER_JAM!$Q$5:$Q$28,0)),"?",IF(MATCH($B701,MASTER_JAM!$Q$5:$Q$28,0)&lt;=12,"DS","NS")))</f>
        <v/>
      </c>
      <c r="I701" s="157">
        <f>IFERROR(INDEX(MASTER_JAM!$B$5:$B$94,MATCH($C701,MASTER_JAM!$A$5:$A$94,0)),"")</f>
        <v/>
      </c>
      <c r="J701" s="157">
        <f>IFERROR(INDEX(MASTER_JAM!$E$5:$E$94,MATCH($D701,MASTER_JAM!$A$5:$A$94,0)),"")</f>
        <v/>
      </c>
      <c r="K701" s="158">
        <f>IFERROR(INDEX(MASTER_JAM!$J$5:$O$12,MATCH($E701,MASTER_JAM!$I$5:$I$12,0),MATCH($J701,MASTER_JAM!$J$4:$O$4,0))+0,0)</f>
        <v/>
      </c>
      <c r="L701" s="159">
        <f>N($F701)*$K701</f>
        <v/>
      </c>
      <c r="M701" s="157">
        <f>IF($E701="","",IF(OR($E701="Coal",$E701="Dirty Coal"),"MT","BCM"))</f>
        <v/>
      </c>
      <c r="N701" s="157">
        <f>IF($E701="","",IF(OR($E701="Coal",$E701="Dirty Coal"),"Coal","OB"))</f>
        <v/>
      </c>
      <c r="O701" s="157">
        <f>IF($F701="","",IF(COUNTIF(MASTER_JAM!$A$5:$A$94,$C701)=0,"Digger tidak dikenal",IF($J701="","Hauler tidak dikenal",IF($H701="?","Jam salah",IF($K701=0,"Faktor kosong",IF(SUMIFS(INPUT_DELAY!$E$5:$E$20000,INPUT_DELAY!$A$5:$A$20000,$A701,INPUT_DELAY!$B$5:$B$20000,$B701,INPUT_DELAY!$C$5:$C$20000,$C701)+SUMIFS(INPUT_DELAY!$E$5:$E$20000,INPUT_DELAY!$A$5:$A$20000,$A701,INPUT_DELAY!$B$5:$B$20000,$B701,INPUT_DELAY!$C$5:$C$20000,"SEMUA")&gt;=60,"Delay 60 mnt tapi ada ritase","OK"))))))</f>
        <v/>
      </c>
      <c r="P701" s="158">
        <f>IFERROR(INDEX(MASTER_JAM!$Z$5:$AC$10,MATCH($I701,MASTER_JAM!$Y$5:$Y$10,0),MATCH($J701,MASTER_JAM!$Z$4:$AC$4,0))+0,0)</f>
        <v/>
      </c>
      <c r="Q701" s="158">
        <f>IF($P701=0,0,$P701+IFERROR(INDEX(MASTER_JAM!$H$5:$H$94,MATCH($C701,MASTER_JAM!$A$5:$A$94,0))+0,MASTER_JAM!$AC$15)/1000*(60/MASTER_JAM!$AC$12+60/MASTER_JAM!$AC$13)+MASTER_JAM!$AC$14)</f>
        <v/>
      </c>
      <c r="R701" s="158">
        <f>IF(N($F701)=0,0,$F701/SUMIFS(INPUT_RITASE!$F$5:$F$20000,INPUT_RITASE!$A$5:$A$20000,$A701,INPUT_RITASE!$B$5:$B$20000,$B701,INPUT_RITASE!$C$5:$C$20000,$C701,INPUT_RITASE!$D$5:$D$20000,$D701))</f>
        <v/>
      </c>
      <c r="S701" s="158">
        <f>IF($Q701=0,0,$R701*$P701/$Q701)</f>
        <v/>
      </c>
    </row>
    <row r="702">
      <c r="A702" s="155" t="n">
        <v>46106</v>
      </c>
      <c r="B702" s="156" t="inlineStr">
        <is>
          <t>08-09</t>
        </is>
      </c>
      <c r="C702" s="156" t="inlineStr">
        <is>
          <t>EX-336</t>
        </is>
      </c>
      <c r="D702" s="156" t="inlineStr">
        <is>
          <t>DT-811</t>
        </is>
      </c>
      <c r="E702" s="156" t="inlineStr">
        <is>
          <t>Coal</t>
        </is>
      </c>
      <c r="F702" s="156" t="n">
        <v>1</v>
      </c>
      <c r="G702" s="156" t="inlineStr"/>
      <c r="H702" s="157">
        <f>IF($B702="","",IF(ISNA(MATCH($B702,MASTER_JAM!$Q$5:$Q$28,0)),"?",IF(MATCH($B702,MASTER_JAM!$Q$5:$Q$28,0)&lt;=12,"DS","NS")))</f>
        <v/>
      </c>
      <c r="I702" s="157">
        <f>IFERROR(INDEX(MASTER_JAM!$B$5:$B$94,MATCH($C702,MASTER_JAM!$A$5:$A$94,0)),"")</f>
        <v/>
      </c>
      <c r="J702" s="157">
        <f>IFERROR(INDEX(MASTER_JAM!$E$5:$E$94,MATCH($D702,MASTER_JAM!$A$5:$A$94,0)),"")</f>
        <v/>
      </c>
      <c r="K702" s="158">
        <f>IFERROR(INDEX(MASTER_JAM!$J$5:$O$12,MATCH($E702,MASTER_JAM!$I$5:$I$12,0),MATCH($J702,MASTER_JAM!$J$4:$O$4,0))+0,0)</f>
        <v/>
      </c>
      <c r="L702" s="159">
        <f>N($F702)*$K702</f>
        <v/>
      </c>
      <c r="M702" s="157">
        <f>IF($E702="","",IF(OR($E702="Coal",$E702="Dirty Coal"),"MT","BCM"))</f>
        <v/>
      </c>
      <c r="N702" s="157">
        <f>IF($E702="","",IF(OR($E702="Coal",$E702="Dirty Coal"),"Coal","OB"))</f>
        <v/>
      </c>
      <c r="O702" s="157">
        <f>IF($F702="","",IF(COUNTIF(MASTER_JAM!$A$5:$A$94,$C702)=0,"Digger tidak dikenal",IF($J702="","Hauler tidak dikenal",IF($H702="?","Jam salah",IF($K702=0,"Faktor kosong",IF(SUMIFS(INPUT_DELAY!$E$5:$E$20000,INPUT_DELAY!$A$5:$A$20000,$A702,INPUT_DELAY!$B$5:$B$20000,$B702,INPUT_DELAY!$C$5:$C$20000,$C702)+SUMIFS(INPUT_DELAY!$E$5:$E$20000,INPUT_DELAY!$A$5:$A$20000,$A702,INPUT_DELAY!$B$5:$B$20000,$B702,INPUT_DELAY!$C$5:$C$20000,"SEMUA")&gt;=60,"Delay 60 mnt tapi ada ritase","OK"))))))</f>
        <v/>
      </c>
      <c r="P702" s="158">
        <f>IFERROR(INDEX(MASTER_JAM!$Z$5:$AC$10,MATCH($I702,MASTER_JAM!$Y$5:$Y$10,0),MATCH($J702,MASTER_JAM!$Z$4:$AC$4,0))+0,0)</f>
        <v/>
      </c>
      <c r="Q702" s="158">
        <f>IF($P702=0,0,$P702+IFERROR(INDEX(MASTER_JAM!$H$5:$H$94,MATCH($C702,MASTER_JAM!$A$5:$A$94,0))+0,MASTER_JAM!$AC$15)/1000*(60/MASTER_JAM!$AC$12+60/MASTER_JAM!$AC$13)+MASTER_JAM!$AC$14)</f>
        <v/>
      </c>
      <c r="R702" s="158">
        <f>IF(N($F702)=0,0,$F702/SUMIFS(INPUT_RITASE!$F$5:$F$20000,INPUT_RITASE!$A$5:$A$20000,$A702,INPUT_RITASE!$B$5:$B$20000,$B702,INPUT_RITASE!$C$5:$C$20000,$C702,INPUT_RITASE!$D$5:$D$20000,$D702))</f>
        <v/>
      </c>
      <c r="S702" s="158">
        <f>IF($Q702=0,0,$R702*$P702/$Q702)</f>
        <v/>
      </c>
    </row>
    <row r="703">
      <c r="A703" s="155" t="n">
        <v>46106</v>
      </c>
      <c r="B703" s="156" t="inlineStr">
        <is>
          <t>06-07</t>
        </is>
      </c>
      <c r="C703" s="156" t="inlineStr">
        <is>
          <t>EX-754</t>
        </is>
      </c>
      <c r="D703" s="156" t="inlineStr">
        <is>
          <t>DT-523</t>
        </is>
      </c>
      <c r="E703" s="156" t="inlineStr">
        <is>
          <t>Mud</t>
        </is>
      </c>
      <c r="F703" s="156" t="n">
        <v>4</v>
      </c>
      <c r="G703" s="156" t="inlineStr"/>
      <c r="H703" s="157">
        <f>IF($B703="","",IF(ISNA(MATCH($B703,MASTER_JAM!$Q$5:$Q$28,0)),"?",IF(MATCH($B703,MASTER_JAM!$Q$5:$Q$28,0)&lt;=12,"DS","NS")))</f>
        <v/>
      </c>
      <c r="I703" s="157">
        <f>IFERROR(INDEX(MASTER_JAM!$B$5:$B$94,MATCH($C703,MASTER_JAM!$A$5:$A$94,0)),"")</f>
        <v/>
      </c>
      <c r="J703" s="157">
        <f>IFERROR(INDEX(MASTER_JAM!$E$5:$E$94,MATCH($D703,MASTER_JAM!$A$5:$A$94,0)),"")</f>
        <v/>
      </c>
      <c r="K703" s="158">
        <f>IFERROR(INDEX(MASTER_JAM!$J$5:$O$12,MATCH($E703,MASTER_JAM!$I$5:$I$12,0),MATCH($J703,MASTER_JAM!$J$4:$O$4,0))+0,0)</f>
        <v/>
      </c>
      <c r="L703" s="159">
        <f>N($F703)*$K703</f>
        <v/>
      </c>
      <c r="M703" s="157">
        <f>IF($E703="","",IF(OR($E703="Coal",$E703="Dirty Coal"),"MT","BCM"))</f>
        <v/>
      </c>
      <c r="N703" s="157">
        <f>IF($E703="","",IF(OR($E703="Coal",$E703="Dirty Coal"),"Coal","OB"))</f>
        <v/>
      </c>
      <c r="O703" s="157">
        <f>IF($F703="","",IF(COUNTIF(MASTER_JAM!$A$5:$A$94,$C703)=0,"Digger tidak dikenal",IF($J703="","Hauler tidak dikenal",IF($H703="?","Jam salah",IF($K703=0,"Faktor kosong",IF(SUMIFS(INPUT_DELAY!$E$5:$E$20000,INPUT_DELAY!$A$5:$A$20000,$A703,INPUT_DELAY!$B$5:$B$20000,$B703,INPUT_DELAY!$C$5:$C$20000,$C703)+SUMIFS(INPUT_DELAY!$E$5:$E$20000,INPUT_DELAY!$A$5:$A$20000,$A703,INPUT_DELAY!$B$5:$B$20000,$B703,INPUT_DELAY!$C$5:$C$20000,"SEMUA")&gt;=60,"Delay 60 mnt tapi ada ritase","OK"))))))</f>
        <v/>
      </c>
      <c r="P703" s="158">
        <f>IFERROR(INDEX(MASTER_JAM!$Z$5:$AC$10,MATCH($I703,MASTER_JAM!$Y$5:$Y$10,0),MATCH($J703,MASTER_JAM!$Z$4:$AC$4,0))+0,0)</f>
        <v/>
      </c>
      <c r="Q703" s="158">
        <f>IF($P703=0,0,$P703+IFERROR(INDEX(MASTER_JAM!$H$5:$H$94,MATCH($C703,MASTER_JAM!$A$5:$A$94,0))+0,MASTER_JAM!$AC$15)/1000*(60/MASTER_JAM!$AC$12+60/MASTER_JAM!$AC$13)+MASTER_JAM!$AC$14)</f>
        <v/>
      </c>
      <c r="R703" s="158">
        <f>IF(N($F703)=0,0,$F703/SUMIFS(INPUT_RITASE!$F$5:$F$20000,INPUT_RITASE!$A$5:$A$20000,$A703,INPUT_RITASE!$B$5:$B$20000,$B703,INPUT_RITASE!$C$5:$C$20000,$C703,INPUT_RITASE!$D$5:$D$20000,$D703))</f>
        <v/>
      </c>
      <c r="S703" s="158">
        <f>IF($Q703=0,0,$R703*$P703/$Q703)</f>
        <v/>
      </c>
    </row>
    <row r="704">
      <c r="A704" s="155" t="n">
        <v>46106</v>
      </c>
      <c r="B704" s="156" t="inlineStr">
        <is>
          <t>06-07</t>
        </is>
      </c>
      <c r="C704" s="156" t="inlineStr">
        <is>
          <t>EX-754</t>
        </is>
      </c>
      <c r="D704" s="156" t="inlineStr">
        <is>
          <t>DT-508</t>
        </is>
      </c>
      <c r="E704" s="156" t="inlineStr">
        <is>
          <t>Mud</t>
        </is>
      </c>
      <c r="F704" s="156" t="n">
        <v>4</v>
      </c>
      <c r="G704" s="156" t="inlineStr"/>
      <c r="H704" s="157">
        <f>IF($B704="","",IF(ISNA(MATCH($B704,MASTER_JAM!$Q$5:$Q$28,0)),"?",IF(MATCH($B704,MASTER_JAM!$Q$5:$Q$28,0)&lt;=12,"DS","NS")))</f>
        <v/>
      </c>
      <c r="I704" s="157">
        <f>IFERROR(INDEX(MASTER_JAM!$B$5:$B$94,MATCH($C704,MASTER_JAM!$A$5:$A$94,0)),"")</f>
        <v/>
      </c>
      <c r="J704" s="157">
        <f>IFERROR(INDEX(MASTER_JAM!$E$5:$E$94,MATCH($D704,MASTER_JAM!$A$5:$A$94,0)),"")</f>
        <v/>
      </c>
      <c r="K704" s="158">
        <f>IFERROR(INDEX(MASTER_JAM!$J$5:$O$12,MATCH($E704,MASTER_JAM!$I$5:$I$12,0),MATCH($J704,MASTER_JAM!$J$4:$O$4,0))+0,0)</f>
        <v/>
      </c>
      <c r="L704" s="159">
        <f>N($F704)*$K704</f>
        <v/>
      </c>
      <c r="M704" s="157">
        <f>IF($E704="","",IF(OR($E704="Coal",$E704="Dirty Coal"),"MT","BCM"))</f>
        <v/>
      </c>
      <c r="N704" s="157">
        <f>IF($E704="","",IF(OR($E704="Coal",$E704="Dirty Coal"),"Coal","OB"))</f>
        <v/>
      </c>
      <c r="O704" s="157">
        <f>IF($F704="","",IF(COUNTIF(MASTER_JAM!$A$5:$A$94,$C704)=0,"Digger tidak dikenal",IF($J704="","Hauler tidak dikenal",IF($H704="?","Jam salah",IF($K704=0,"Faktor kosong",IF(SUMIFS(INPUT_DELAY!$E$5:$E$20000,INPUT_DELAY!$A$5:$A$20000,$A704,INPUT_DELAY!$B$5:$B$20000,$B704,INPUT_DELAY!$C$5:$C$20000,$C704)+SUMIFS(INPUT_DELAY!$E$5:$E$20000,INPUT_DELAY!$A$5:$A$20000,$A704,INPUT_DELAY!$B$5:$B$20000,$B704,INPUT_DELAY!$C$5:$C$20000,"SEMUA")&gt;=60,"Delay 60 mnt tapi ada ritase","OK"))))))</f>
        <v/>
      </c>
      <c r="P704" s="158">
        <f>IFERROR(INDEX(MASTER_JAM!$Z$5:$AC$10,MATCH($I704,MASTER_JAM!$Y$5:$Y$10,0),MATCH($J704,MASTER_JAM!$Z$4:$AC$4,0))+0,0)</f>
        <v/>
      </c>
      <c r="Q704" s="158">
        <f>IF($P704=0,0,$P704+IFERROR(INDEX(MASTER_JAM!$H$5:$H$94,MATCH($C704,MASTER_JAM!$A$5:$A$94,0))+0,MASTER_JAM!$AC$15)/1000*(60/MASTER_JAM!$AC$12+60/MASTER_JAM!$AC$13)+MASTER_JAM!$AC$14)</f>
        <v/>
      </c>
      <c r="R704" s="158">
        <f>IF(N($F704)=0,0,$F704/SUMIFS(INPUT_RITASE!$F$5:$F$20000,INPUT_RITASE!$A$5:$A$20000,$A704,INPUT_RITASE!$B$5:$B$20000,$B704,INPUT_RITASE!$C$5:$C$20000,$C704,INPUT_RITASE!$D$5:$D$20000,$D704))</f>
        <v/>
      </c>
      <c r="S704" s="158">
        <f>IF($Q704=0,0,$R704*$P704/$Q704)</f>
        <v/>
      </c>
    </row>
    <row r="705">
      <c r="A705" s="155" t="n">
        <v>46106</v>
      </c>
      <c r="B705" s="156" t="inlineStr">
        <is>
          <t>06-07</t>
        </is>
      </c>
      <c r="C705" s="156" t="inlineStr">
        <is>
          <t>EX-754</t>
        </is>
      </c>
      <c r="D705" s="156" t="inlineStr">
        <is>
          <t>DT-505</t>
        </is>
      </c>
      <c r="E705" s="156" t="inlineStr">
        <is>
          <t>Mud</t>
        </is>
      </c>
      <c r="F705" s="156" t="n">
        <v>3</v>
      </c>
      <c r="G705" s="156" t="inlineStr"/>
      <c r="H705" s="157">
        <f>IF($B705="","",IF(ISNA(MATCH($B705,MASTER_JAM!$Q$5:$Q$28,0)),"?",IF(MATCH($B705,MASTER_JAM!$Q$5:$Q$28,0)&lt;=12,"DS","NS")))</f>
        <v/>
      </c>
      <c r="I705" s="157">
        <f>IFERROR(INDEX(MASTER_JAM!$B$5:$B$94,MATCH($C705,MASTER_JAM!$A$5:$A$94,0)),"")</f>
        <v/>
      </c>
      <c r="J705" s="157">
        <f>IFERROR(INDEX(MASTER_JAM!$E$5:$E$94,MATCH($D705,MASTER_JAM!$A$5:$A$94,0)),"")</f>
        <v/>
      </c>
      <c r="K705" s="158">
        <f>IFERROR(INDEX(MASTER_JAM!$J$5:$O$12,MATCH($E705,MASTER_JAM!$I$5:$I$12,0),MATCH($J705,MASTER_JAM!$J$4:$O$4,0))+0,0)</f>
        <v/>
      </c>
      <c r="L705" s="159">
        <f>N($F705)*$K705</f>
        <v/>
      </c>
      <c r="M705" s="157">
        <f>IF($E705="","",IF(OR($E705="Coal",$E705="Dirty Coal"),"MT","BCM"))</f>
        <v/>
      </c>
      <c r="N705" s="157">
        <f>IF($E705="","",IF(OR($E705="Coal",$E705="Dirty Coal"),"Coal","OB"))</f>
        <v/>
      </c>
      <c r="O705" s="157">
        <f>IF($F705="","",IF(COUNTIF(MASTER_JAM!$A$5:$A$94,$C705)=0,"Digger tidak dikenal",IF($J705="","Hauler tidak dikenal",IF($H705="?","Jam salah",IF($K705=0,"Faktor kosong",IF(SUMIFS(INPUT_DELAY!$E$5:$E$20000,INPUT_DELAY!$A$5:$A$20000,$A705,INPUT_DELAY!$B$5:$B$20000,$B705,INPUT_DELAY!$C$5:$C$20000,$C705)+SUMIFS(INPUT_DELAY!$E$5:$E$20000,INPUT_DELAY!$A$5:$A$20000,$A705,INPUT_DELAY!$B$5:$B$20000,$B705,INPUT_DELAY!$C$5:$C$20000,"SEMUA")&gt;=60,"Delay 60 mnt tapi ada ritase","OK"))))))</f>
        <v/>
      </c>
      <c r="P705" s="158">
        <f>IFERROR(INDEX(MASTER_JAM!$Z$5:$AC$10,MATCH($I705,MASTER_JAM!$Y$5:$Y$10,0),MATCH($J705,MASTER_JAM!$Z$4:$AC$4,0))+0,0)</f>
        <v/>
      </c>
      <c r="Q705" s="158">
        <f>IF($P705=0,0,$P705+IFERROR(INDEX(MASTER_JAM!$H$5:$H$94,MATCH($C705,MASTER_JAM!$A$5:$A$94,0))+0,MASTER_JAM!$AC$15)/1000*(60/MASTER_JAM!$AC$12+60/MASTER_JAM!$AC$13)+MASTER_JAM!$AC$14)</f>
        <v/>
      </c>
      <c r="R705" s="158">
        <f>IF(N($F705)=0,0,$F705/SUMIFS(INPUT_RITASE!$F$5:$F$20000,INPUT_RITASE!$A$5:$A$20000,$A705,INPUT_RITASE!$B$5:$B$20000,$B705,INPUT_RITASE!$C$5:$C$20000,$C705,INPUT_RITASE!$D$5:$D$20000,$D705))</f>
        <v/>
      </c>
      <c r="S705" s="158">
        <f>IF($Q705=0,0,$R705*$P705/$Q705)</f>
        <v/>
      </c>
    </row>
    <row r="706">
      <c r="A706" s="155" t="n">
        <v>46106</v>
      </c>
      <c r="B706" s="156" t="inlineStr">
        <is>
          <t>06-07</t>
        </is>
      </c>
      <c r="C706" s="156" t="inlineStr">
        <is>
          <t>EX-754</t>
        </is>
      </c>
      <c r="D706" s="156" t="inlineStr">
        <is>
          <t>DT-527</t>
        </is>
      </c>
      <c r="E706" s="156" t="inlineStr">
        <is>
          <t>Mud</t>
        </is>
      </c>
      <c r="F706" s="156" t="n">
        <v>3</v>
      </c>
      <c r="G706" s="156" t="inlineStr"/>
      <c r="H706" s="157">
        <f>IF($B706="","",IF(ISNA(MATCH($B706,MASTER_JAM!$Q$5:$Q$28,0)),"?",IF(MATCH($B706,MASTER_JAM!$Q$5:$Q$28,0)&lt;=12,"DS","NS")))</f>
        <v/>
      </c>
      <c r="I706" s="157">
        <f>IFERROR(INDEX(MASTER_JAM!$B$5:$B$94,MATCH($C706,MASTER_JAM!$A$5:$A$94,0)),"")</f>
        <v/>
      </c>
      <c r="J706" s="157">
        <f>IFERROR(INDEX(MASTER_JAM!$E$5:$E$94,MATCH($D706,MASTER_JAM!$A$5:$A$94,0)),"")</f>
        <v/>
      </c>
      <c r="K706" s="158">
        <f>IFERROR(INDEX(MASTER_JAM!$J$5:$O$12,MATCH($E706,MASTER_JAM!$I$5:$I$12,0),MATCH($J706,MASTER_JAM!$J$4:$O$4,0))+0,0)</f>
        <v/>
      </c>
      <c r="L706" s="159">
        <f>N($F706)*$K706</f>
        <v/>
      </c>
      <c r="M706" s="157">
        <f>IF($E706="","",IF(OR($E706="Coal",$E706="Dirty Coal"),"MT","BCM"))</f>
        <v/>
      </c>
      <c r="N706" s="157">
        <f>IF($E706="","",IF(OR($E706="Coal",$E706="Dirty Coal"),"Coal","OB"))</f>
        <v/>
      </c>
      <c r="O706" s="157">
        <f>IF($F706="","",IF(COUNTIF(MASTER_JAM!$A$5:$A$94,$C706)=0,"Digger tidak dikenal",IF($J706="","Hauler tidak dikenal",IF($H706="?","Jam salah",IF($K706=0,"Faktor kosong",IF(SUMIFS(INPUT_DELAY!$E$5:$E$20000,INPUT_DELAY!$A$5:$A$20000,$A706,INPUT_DELAY!$B$5:$B$20000,$B706,INPUT_DELAY!$C$5:$C$20000,$C706)+SUMIFS(INPUT_DELAY!$E$5:$E$20000,INPUT_DELAY!$A$5:$A$20000,$A706,INPUT_DELAY!$B$5:$B$20000,$B706,INPUT_DELAY!$C$5:$C$20000,"SEMUA")&gt;=60,"Delay 60 mnt tapi ada ritase","OK"))))))</f>
        <v/>
      </c>
      <c r="P706" s="158">
        <f>IFERROR(INDEX(MASTER_JAM!$Z$5:$AC$10,MATCH($I706,MASTER_JAM!$Y$5:$Y$10,0),MATCH($J706,MASTER_JAM!$Z$4:$AC$4,0))+0,0)</f>
        <v/>
      </c>
      <c r="Q706" s="158">
        <f>IF($P706=0,0,$P706+IFERROR(INDEX(MASTER_JAM!$H$5:$H$94,MATCH($C706,MASTER_JAM!$A$5:$A$94,0))+0,MASTER_JAM!$AC$15)/1000*(60/MASTER_JAM!$AC$12+60/MASTER_JAM!$AC$13)+MASTER_JAM!$AC$14)</f>
        <v/>
      </c>
      <c r="R706" s="158">
        <f>IF(N($F706)=0,0,$F706/SUMIFS(INPUT_RITASE!$F$5:$F$20000,INPUT_RITASE!$A$5:$A$20000,$A706,INPUT_RITASE!$B$5:$B$20000,$B706,INPUT_RITASE!$C$5:$C$20000,$C706,INPUT_RITASE!$D$5:$D$20000,$D706))</f>
        <v/>
      </c>
      <c r="S706" s="158">
        <f>IF($Q706=0,0,$R706*$P706/$Q706)</f>
        <v/>
      </c>
    </row>
    <row r="707">
      <c r="A707" s="155" t="n">
        <v>46106</v>
      </c>
      <c r="B707" s="156" t="inlineStr">
        <is>
          <t>07-08</t>
        </is>
      </c>
      <c r="C707" s="156" t="inlineStr">
        <is>
          <t>EX-754</t>
        </is>
      </c>
      <c r="D707" s="156" t="inlineStr">
        <is>
          <t>DT-522</t>
        </is>
      </c>
      <c r="E707" s="156" t="inlineStr">
        <is>
          <t>Mud</t>
        </is>
      </c>
      <c r="F707" s="156" t="n">
        <v>4</v>
      </c>
      <c r="G707" s="156" t="inlineStr"/>
      <c r="H707" s="157">
        <f>IF($B707="","",IF(ISNA(MATCH($B707,MASTER_JAM!$Q$5:$Q$28,0)),"?",IF(MATCH($B707,MASTER_JAM!$Q$5:$Q$28,0)&lt;=12,"DS","NS")))</f>
        <v/>
      </c>
      <c r="I707" s="157">
        <f>IFERROR(INDEX(MASTER_JAM!$B$5:$B$94,MATCH($C707,MASTER_JAM!$A$5:$A$94,0)),"")</f>
        <v/>
      </c>
      <c r="J707" s="157">
        <f>IFERROR(INDEX(MASTER_JAM!$E$5:$E$94,MATCH($D707,MASTER_JAM!$A$5:$A$94,0)),"")</f>
        <v/>
      </c>
      <c r="K707" s="158">
        <f>IFERROR(INDEX(MASTER_JAM!$J$5:$O$12,MATCH($E707,MASTER_JAM!$I$5:$I$12,0),MATCH($J707,MASTER_JAM!$J$4:$O$4,0))+0,0)</f>
        <v/>
      </c>
      <c r="L707" s="159">
        <f>N($F707)*$K707</f>
        <v/>
      </c>
      <c r="M707" s="157">
        <f>IF($E707="","",IF(OR($E707="Coal",$E707="Dirty Coal"),"MT","BCM"))</f>
        <v/>
      </c>
      <c r="N707" s="157">
        <f>IF($E707="","",IF(OR($E707="Coal",$E707="Dirty Coal"),"Coal","OB"))</f>
        <v/>
      </c>
      <c r="O707" s="157">
        <f>IF($F707="","",IF(COUNTIF(MASTER_JAM!$A$5:$A$94,$C707)=0,"Digger tidak dikenal",IF($J707="","Hauler tidak dikenal",IF($H707="?","Jam salah",IF($K707=0,"Faktor kosong",IF(SUMIFS(INPUT_DELAY!$E$5:$E$20000,INPUT_DELAY!$A$5:$A$20000,$A707,INPUT_DELAY!$B$5:$B$20000,$B707,INPUT_DELAY!$C$5:$C$20000,$C707)+SUMIFS(INPUT_DELAY!$E$5:$E$20000,INPUT_DELAY!$A$5:$A$20000,$A707,INPUT_DELAY!$B$5:$B$20000,$B707,INPUT_DELAY!$C$5:$C$20000,"SEMUA")&gt;=60,"Delay 60 mnt tapi ada ritase","OK"))))))</f>
        <v/>
      </c>
      <c r="P707" s="158">
        <f>IFERROR(INDEX(MASTER_JAM!$Z$5:$AC$10,MATCH($I707,MASTER_JAM!$Y$5:$Y$10,0),MATCH($J707,MASTER_JAM!$Z$4:$AC$4,0))+0,0)</f>
        <v/>
      </c>
      <c r="Q707" s="158">
        <f>IF($P707=0,0,$P707+IFERROR(INDEX(MASTER_JAM!$H$5:$H$94,MATCH($C707,MASTER_JAM!$A$5:$A$94,0))+0,MASTER_JAM!$AC$15)/1000*(60/MASTER_JAM!$AC$12+60/MASTER_JAM!$AC$13)+MASTER_JAM!$AC$14)</f>
        <v/>
      </c>
      <c r="R707" s="158">
        <f>IF(N($F707)=0,0,$F707/SUMIFS(INPUT_RITASE!$F$5:$F$20000,INPUT_RITASE!$A$5:$A$20000,$A707,INPUT_RITASE!$B$5:$B$20000,$B707,INPUT_RITASE!$C$5:$C$20000,$C707,INPUT_RITASE!$D$5:$D$20000,$D707))</f>
        <v/>
      </c>
      <c r="S707" s="158">
        <f>IF($Q707=0,0,$R707*$P707/$Q707)</f>
        <v/>
      </c>
    </row>
    <row r="708">
      <c r="A708" s="155" t="n">
        <v>46106</v>
      </c>
      <c r="B708" s="156" t="inlineStr">
        <is>
          <t>07-08</t>
        </is>
      </c>
      <c r="C708" s="156" t="inlineStr">
        <is>
          <t>EX-754</t>
        </is>
      </c>
      <c r="D708" s="156" t="inlineStr">
        <is>
          <t>DT-518</t>
        </is>
      </c>
      <c r="E708" s="156" t="inlineStr">
        <is>
          <t>Mud</t>
        </is>
      </c>
      <c r="F708" s="156" t="n">
        <v>4</v>
      </c>
      <c r="G708" s="156" t="inlineStr"/>
      <c r="H708" s="157">
        <f>IF($B708="","",IF(ISNA(MATCH($B708,MASTER_JAM!$Q$5:$Q$28,0)),"?",IF(MATCH($B708,MASTER_JAM!$Q$5:$Q$28,0)&lt;=12,"DS","NS")))</f>
        <v/>
      </c>
      <c r="I708" s="157">
        <f>IFERROR(INDEX(MASTER_JAM!$B$5:$B$94,MATCH($C708,MASTER_JAM!$A$5:$A$94,0)),"")</f>
        <v/>
      </c>
      <c r="J708" s="157">
        <f>IFERROR(INDEX(MASTER_JAM!$E$5:$E$94,MATCH($D708,MASTER_JAM!$A$5:$A$94,0)),"")</f>
        <v/>
      </c>
      <c r="K708" s="158">
        <f>IFERROR(INDEX(MASTER_JAM!$J$5:$O$12,MATCH($E708,MASTER_JAM!$I$5:$I$12,0),MATCH($J708,MASTER_JAM!$J$4:$O$4,0))+0,0)</f>
        <v/>
      </c>
      <c r="L708" s="159">
        <f>N($F708)*$K708</f>
        <v/>
      </c>
      <c r="M708" s="157">
        <f>IF($E708="","",IF(OR($E708="Coal",$E708="Dirty Coal"),"MT","BCM"))</f>
        <v/>
      </c>
      <c r="N708" s="157">
        <f>IF($E708="","",IF(OR($E708="Coal",$E708="Dirty Coal"),"Coal","OB"))</f>
        <v/>
      </c>
      <c r="O708" s="157">
        <f>IF($F708="","",IF(COUNTIF(MASTER_JAM!$A$5:$A$94,$C708)=0,"Digger tidak dikenal",IF($J708="","Hauler tidak dikenal",IF($H708="?","Jam salah",IF($K708=0,"Faktor kosong",IF(SUMIFS(INPUT_DELAY!$E$5:$E$20000,INPUT_DELAY!$A$5:$A$20000,$A708,INPUT_DELAY!$B$5:$B$20000,$B708,INPUT_DELAY!$C$5:$C$20000,$C708)+SUMIFS(INPUT_DELAY!$E$5:$E$20000,INPUT_DELAY!$A$5:$A$20000,$A708,INPUT_DELAY!$B$5:$B$20000,$B708,INPUT_DELAY!$C$5:$C$20000,"SEMUA")&gt;=60,"Delay 60 mnt tapi ada ritase","OK"))))))</f>
        <v/>
      </c>
      <c r="P708" s="158">
        <f>IFERROR(INDEX(MASTER_JAM!$Z$5:$AC$10,MATCH($I708,MASTER_JAM!$Y$5:$Y$10,0),MATCH($J708,MASTER_JAM!$Z$4:$AC$4,0))+0,0)</f>
        <v/>
      </c>
      <c r="Q708" s="158">
        <f>IF($P708=0,0,$P708+IFERROR(INDEX(MASTER_JAM!$H$5:$H$94,MATCH($C708,MASTER_JAM!$A$5:$A$94,0))+0,MASTER_JAM!$AC$15)/1000*(60/MASTER_JAM!$AC$12+60/MASTER_JAM!$AC$13)+MASTER_JAM!$AC$14)</f>
        <v/>
      </c>
      <c r="R708" s="158">
        <f>IF(N($F708)=0,0,$F708/SUMIFS(INPUT_RITASE!$F$5:$F$20000,INPUT_RITASE!$A$5:$A$20000,$A708,INPUT_RITASE!$B$5:$B$20000,$B708,INPUT_RITASE!$C$5:$C$20000,$C708,INPUT_RITASE!$D$5:$D$20000,$D708))</f>
        <v/>
      </c>
      <c r="S708" s="158">
        <f>IF($Q708=0,0,$R708*$P708/$Q708)</f>
        <v/>
      </c>
    </row>
    <row r="709">
      <c r="A709" s="155" t="n">
        <v>46106</v>
      </c>
      <c r="B709" s="156" t="inlineStr">
        <is>
          <t>07-08</t>
        </is>
      </c>
      <c r="C709" s="156" t="inlineStr">
        <is>
          <t>EX-754</t>
        </is>
      </c>
      <c r="D709" s="156" t="inlineStr">
        <is>
          <t>DT-516</t>
        </is>
      </c>
      <c r="E709" s="156" t="inlineStr">
        <is>
          <t>Mud</t>
        </is>
      </c>
      <c r="F709" s="156" t="n">
        <v>4</v>
      </c>
      <c r="G709" s="156" t="inlineStr"/>
      <c r="H709" s="157">
        <f>IF($B709="","",IF(ISNA(MATCH($B709,MASTER_JAM!$Q$5:$Q$28,0)),"?",IF(MATCH($B709,MASTER_JAM!$Q$5:$Q$28,0)&lt;=12,"DS","NS")))</f>
        <v/>
      </c>
      <c r="I709" s="157">
        <f>IFERROR(INDEX(MASTER_JAM!$B$5:$B$94,MATCH($C709,MASTER_JAM!$A$5:$A$94,0)),"")</f>
        <v/>
      </c>
      <c r="J709" s="157">
        <f>IFERROR(INDEX(MASTER_JAM!$E$5:$E$94,MATCH($D709,MASTER_JAM!$A$5:$A$94,0)),"")</f>
        <v/>
      </c>
      <c r="K709" s="158">
        <f>IFERROR(INDEX(MASTER_JAM!$J$5:$O$12,MATCH($E709,MASTER_JAM!$I$5:$I$12,0),MATCH($J709,MASTER_JAM!$J$4:$O$4,0))+0,0)</f>
        <v/>
      </c>
      <c r="L709" s="159">
        <f>N($F709)*$K709</f>
        <v/>
      </c>
      <c r="M709" s="157">
        <f>IF($E709="","",IF(OR($E709="Coal",$E709="Dirty Coal"),"MT","BCM"))</f>
        <v/>
      </c>
      <c r="N709" s="157">
        <f>IF($E709="","",IF(OR($E709="Coal",$E709="Dirty Coal"),"Coal","OB"))</f>
        <v/>
      </c>
      <c r="O709" s="157">
        <f>IF($F709="","",IF(COUNTIF(MASTER_JAM!$A$5:$A$94,$C709)=0,"Digger tidak dikenal",IF($J709="","Hauler tidak dikenal",IF($H709="?","Jam salah",IF($K709=0,"Faktor kosong",IF(SUMIFS(INPUT_DELAY!$E$5:$E$20000,INPUT_DELAY!$A$5:$A$20000,$A709,INPUT_DELAY!$B$5:$B$20000,$B709,INPUT_DELAY!$C$5:$C$20000,$C709)+SUMIFS(INPUT_DELAY!$E$5:$E$20000,INPUT_DELAY!$A$5:$A$20000,$A709,INPUT_DELAY!$B$5:$B$20000,$B709,INPUT_DELAY!$C$5:$C$20000,"SEMUA")&gt;=60,"Delay 60 mnt tapi ada ritase","OK"))))))</f>
        <v/>
      </c>
      <c r="P709" s="158">
        <f>IFERROR(INDEX(MASTER_JAM!$Z$5:$AC$10,MATCH($I709,MASTER_JAM!$Y$5:$Y$10,0),MATCH($J709,MASTER_JAM!$Z$4:$AC$4,0))+0,0)</f>
        <v/>
      </c>
      <c r="Q709" s="158">
        <f>IF($P709=0,0,$P709+IFERROR(INDEX(MASTER_JAM!$H$5:$H$94,MATCH($C709,MASTER_JAM!$A$5:$A$94,0))+0,MASTER_JAM!$AC$15)/1000*(60/MASTER_JAM!$AC$12+60/MASTER_JAM!$AC$13)+MASTER_JAM!$AC$14)</f>
        <v/>
      </c>
      <c r="R709" s="158">
        <f>IF(N($F709)=0,0,$F709/SUMIFS(INPUT_RITASE!$F$5:$F$20000,INPUT_RITASE!$A$5:$A$20000,$A709,INPUT_RITASE!$B$5:$B$20000,$B709,INPUT_RITASE!$C$5:$C$20000,$C709,INPUT_RITASE!$D$5:$D$20000,$D709))</f>
        <v/>
      </c>
      <c r="S709" s="158">
        <f>IF($Q709=0,0,$R709*$P709/$Q709)</f>
        <v/>
      </c>
    </row>
    <row r="710">
      <c r="A710" s="155" t="n">
        <v>46106</v>
      </c>
      <c r="B710" s="156" t="inlineStr">
        <is>
          <t>07-08</t>
        </is>
      </c>
      <c r="C710" s="156" t="inlineStr">
        <is>
          <t>EX-754</t>
        </is>
      </c>
      <c r="D710" s="156" t="inlineStr">
        <is>
          <t>DT-507</t>
        </is>
      </c>
      <c r="E710" s="156" t="inlineStr">
        <is>
          <t>Mud</t>
        </is>
      </c>
      <c r="F710" s="156" t="n">
        <v>4</v>
      </c>
      <c r="G710" s="156" t="inlineStr"/>
      <c r="H710" s="157">
        <f>IF($B710="","",IF(ISNA(MATCH($B710,MASTER_JAM!$Q$5:$Q$28,0)),"?",IF(MATCH($B710,MASTER_JAM!$Q$5:$Q$28,0)&lt;=12,"DS","NS")))</f>
        <v/>
      </c>
      <c r="I710" s="157">
        <f>IFERROR(INDEX(MASTER_JAM!$B$5:$B$94,MATCH($C710,MASTER_JAM!$A$5:$A$94,0)),"")</f>
        <v/>
      </c>
      <c r="J710" s="157">
        <f>IFERROR(INDEX(MASTER_JAM!$E$5:$E$94,MATCH($D710,MASTER_JAM!$A$5:$A$94,0)),"")</f>
        <v/>
      </c>
      <c r="K710" s="158">
        <f>IFERROR(INDEX(MASTER_JAM!$J$5:$O$12,MATCH($E710,MASTER_JAM!$I$5:$I$12,0),MATCH($J710,MASTER_JAM!$J$4:$O$4,0))+0,0)</f>
        <v/>
      </c>
      <c r="L710" s="159">
        <f>N($F710)*$K710</f>
        <v/>
      </c>
      <c r="M710" s="157">
        <f>IF($E710="","",IF(OR($E710="Coal",$E710="Dirty Coal"),"MT","BCM"))</f>
        <v/>
      </c>
      <c r="N710" s="157">
        <f>IF($E710="","",IF(OR($E710="Coal",$E710="Dirty Coal"),"Coal","OB"))</f>
        <v/>
      </c>
      <c r="O710" s="157">
        <f>IF($F710="","",IF(COUNTIF(MASTER_JAM!$A$5:$A$94,$C710)=0,"Digger tidak dikenal",IF($J710="","Hauler tidak dikenal",IF($H710="?","Jam salah",IF($K710=0,"Faktor kosong",IF(SUMIFS(INPUT_DELAY!$E$5:$E$20000,INPUT_DELAY!$A$5:$A$20000,$A710,INPUT_DELAY!$B$5:$B$20000,$B710,INPUT_DELAY!$C$5:$C$20000,$C710)+SUMIFS(INPUT_DELAY!$E$5:$E$20000,INPUT_DELAY!$A$5:$A$20000,$A710,INPUT_DELAY!$B$5:$B$20000,$B710,INPUT_DELAY!$C$5:$C$20000,"SEMUA")&gt;=60,"Delay 60 mnt tapi ada ritase","OK"))))))</f>
        <v/>
      </c>
      <c r="P710" s="158">
        <f>IFERROR(INDEX(MASTER_JAM!$Z$5:$AC$10,MATCH($I710,MASTER_JAM!$Y$5:$Y$10,0),MATCH($J710,MASTER_JAM!$Z$4:$AC$4,0))+0,0)</f>
        <v/>
      </c>
      <c r="Q710" s="158">
        <f>IF($P710=0,0,$P710+IFERROR(INDEX(MASTER_JAM!$H$5:$H$94,MATCH($C710,MASTER_JAM!$A$5:$A$94,0))+0,MASTER_JAM!$AC$15)/1000*(60/MASTER_JAM!$AC$12+60/MASTER_JAM!$AC$13)+MASTER_JAM!$AC$14)</f>
        <v/>
      </c>
      <c r="R710" s="158">
        <f>IF(N($F710)=0,0,$F710/SUMIFS(INPUT_RITASE!$F$5:$F$20000,INPUT_RITASE!$A$5:$A$20000,$A710,INPUT_RITASE!$B$5:$B$20000,$B710,INPUT_RITASE!$C$5:$C$20000,$C710,INPUT_RITASE!$D$5:$D$20000,$D710))</f>
        <v/>
      </c>
      <c r="S710" s="158">
        <f>IF($Q710=0,0,$R710*$P710/$Q710)</f>
        <v/>
      </c>
    </row>
    <row r="711">
      <c r="A711" s="155" t="n">
        <v>46106</v>
      </c>
      <c r="B711" s="156" t="inlineStr">
        <is>
          <t>08-09</t>
        </is>
      </c>
      <c r="C711" s="156" t="inlineStr">
        <is>
          <t>EX-754</t>
        </is>
      </c>
      <c r="D711" s="156" t="inlineStr">
        <is>
          <t>DT-507</t>
        </is>
      </c>
      <c r="E711" s="156" t="inlineStr">
        <is>
          <t>Mud</t>
        </is>
      </c>
      <c r="F711" s="156" t="n">
        <v>4</v>
      </c>
      <c r="G711" s="156" t="inlineStr"/>
      <c r="H711" s="157">
        <f>IF($B711="","",IF(ISNA(MATCH($B711,MASTER_JAM!$Q$5:$Q$28,0)),"?",IF(MATCH($B711,MASTER_JAM!$Q$5:$Q$28,0)&lt;=12,"DS","NS")))</f>
        <v/>
      </c>
      <c r="I711" s="157">
        <f>IFERROR(INDEX(MASTER_JAM!$B$5:$B$94,MATCH($C711,MASTER_JAM!$A$5:$A$94,0)),"")</f>
        <v/>
      </c>
      <c r="J711" s="157">
        <f>IFERROR(INDEX(MASTER_JAM!$E$5:$E$94,MATCH($D711,MASTER_JAM!$A$5:$A$94,0)),"")</f>
        <v/>
      </c>
      <c r="K711" s="158">
        <f>IFERROR(INDEX(MASTER_JAM!$J$5:$O$12,MATCH($E711,MASTER_JAM!$I$5:$I$12,0),MATCH($J711,MASTER_JAM!$J$4:$O$4,0))+0,0)</f>
        <v/>
      </c>
      <c r="L711" s="159">
        <f>N($F711)*$K711</f>
        <v/>
      </c>
      <c r="M711" s="157">
        <f>IF($E711="","",IF(OR($E711="Coal",$E711="Dirty Coal"),"MT","BCM"))</f>
        <v/>
      </c>
      <c r="N711" s="157">
        <f>IF($E711="","",IF(OR($E711="Coal",$E711="Dirty Coal"),"Coal","OB"))</f>
        <v/>
      </c>
      <c r="O711" s="157">
        <f>IF($F711="","",IF(COUNTIF(MASTER_JAM!$A$5:$A$94,$C711)=0,"Digger tidak dikenal",IF($J711="","Hauler tidak dikenal",IF($H711="?","Jam salah",IF($K711=0,"Faktor kosong",IF(SUMIFS(INPUT_DELAY!$E$5:$E$20000,INPUT_DELAY!$A$5:$A$20000,$A711,INPUT_DELAY!$B$5:$B$20000,$B711,INPUT_DELAY!$C$5:$C$20000,$C711)+SUMIFS(INPUT_DELAY!$E$5:$E$20000,INPUT_DELAY!$A$5:$A$20000,$A711,INPUT_DELAY!$B$5:$B$20000,$B711,INPUT_DELAY!$C$5:$C$20000,"SEMUA")&gt;=60,"Delay 60 mnt tapi ada ritase","OK"))))))</f>
        <v/>
      </c>
      <c r="P711" s="158">
        <f>IFERROR(INDEX(MASTER_JAM!$Z$5:$AC$10,MATCH($I711,MASTER_JAM!$Y$5:$Y$10,0),MATCH($J711,MASTER_JAM!$Z$4:$AC$4,0))+0,0)</f>
        <v/>
      </c>
      <c r="Q711" s="158">
        <f>IF($P711=0,0,$P711+IFERROR(INDEX(MASTER_JAM!$H$5:$H$94,MATCH($C711,MASTER_JAM!$A$5:$A$94,0))+0,MASTER_JAM!$AC$15)/1000*(60/MASTER_JAM!$AC$12+60/MASTER_JAM!$AC$13)+MASTER_JAM!$AC$14)</f>
        <v/>
      </c>
      <c r="R711" s="158">
        <f>IF(N($F711)=0,0,$F711/SUMIFS(INPUT_RITASE!$F$5:$F$20000,INPUT_RITASE!$A$5:$A$20000,$A711,INPUT_RITASE!$B$5:$B$20000,$B711,INPUT_RITASE!$C$5:$C$20000,$C711,INPUT_RITASE!$D$5:$D$20000,$D711))</f>
        <v/>
      </c>
      <c r="S711" s="158">
        <f>IF($Q711=0,0,$R711*$P711/$Q711)</f>
        <v/>
      </c>
    </row>
    <row r="712">
      <c r="A712" s="155" t="n">
        <v>46106</v>
      </c>
      <c r="B712" s="156" t="inlineStr">
        <is>
          <t>08-09</t>
        </is>
      </c>
      <c r="C712" s="156" t="inlineStr">
        <is>
          <t>EX-754</t>
        </is>
      </c>
      <c r="D712" s="156" t="inlineStr">
        <is>
          <t>DT-508</t>
        </is>
      </c>
      <c r="E712" s="156" t="inlineStr">
        <is>
          <t>Mud</t>
        </is>
      </c>
      <c r="F712" s="156" t="n">
        <v>4</v>
      </c>
      <c r="G712" s="156" t="inlineStr"/>
      <c r="H712" s="157">
        <f>IF($B712="","",IF(ISNA(MATCH($B712,MASTER_JAM!$Q$5:$Q$28,0)),"?",IF(MATCH($B712,MASTER_JAM!$Q$5:$Q$28,0)&lt;=12,"DS","NS")))</f>
        <v/>
      </c>
      <c r="I712" s="157">
        <f>IFERROR(INDEX(MASTER_JAM!$B$5:$B$94,MATCH($C712,MASTER_JAM!$A$5:$A$94,0)),"")</f>
        <v/>
      </c>
      <c r="J712" s="157">
        <f>IFERROR(INDEX(MASTER_JAM!$E$5:$E$94,MATCH($D712,MASTER_JAM!$A$5:$A$94,0)),"")</f>
        <v/>
      </c>
      <c r="K712" s="158">
        <f>IFERROR(INDEX(MASTER_JAM!$J$5:$O$12,MATCH($E712,MASTER_JAM!$I$5:$I$12,0),MATCH($J712,MASTER_JAM!$J$4:$O$4,0))+0,0)</f>
        <v/>
      </c>
      <c r="L712" s="159">
        <f>N($F712)*$K712</f>
        <v/>
      </c>
      <c r="M712" s="157">
        <f>IF($E712="","",IF(OR($E712="Coal",$E712="Dirty Coal"),"MT","BCM"))</f>
        <v/>
      </c>
      <c r="N712" s="157">
        <f>IF($E712="","",IF(OR($E712="Coal",$E712="Dirty Coal"),"Coal","OB"))</f>
        <v/>
      </c>
      <c r="O712" s="157">
        <f>IF($F712="","",IF(COUNTIF(MASTER_JAM!$A$5:$A$94,$C712)=0,"Digger tidak dikenal",IF($J712="","Hauler tidak dikenal",IF($H712="?","Jam salah",IF($K712=0,"Faktor kosong",IF(SUMIFS(INPUT_DELAY!$E$5:$E$20000,INPUT_DELAY!$A$5:$A$20000,$A712,INPUT_DELAY!$B$5:$B$20000,$B712,INPUT_DELAY!$C$5:$C$20000,$C712)+SUMIFS(INPUT_DELAY!$E$5:$E$20000,INPUT_DELAY!$A$5:$A$20000,$A712,INPUT_DELAY!$B$5:$B$20000,$B712,INPUT_DELAY!$C$5:$C$20000,"SEMUA")&gt;=60,"Delay 60 mnt tapi ada ritase","OK"))))))</f>
        <v/>
      </c>
      <c r="P712" s="158">
        <f>IFERROR(INDEX(MASTER_JAM!$Z$5:$AC$10,MATCH($I712,MASTER_JAM!$Y$5:$Y$10,0),MATCH($J712,MASTER_JAM!$Z$4:$AC$4,0))+0,0)</f>
        <v/>
      </c>
      <c r="Q712" s="158">
        <f>IF($P712=0,0,$P712+IFERROR(INDEX(MASTER_JAM!$H$5:$H$94,MATCH($C712,MASTER_JAM!$A$5:$A$94,0))+0,MASTER_JAM!$AC$15)/1000*(60/MASTER_JAM!$AC$12+60/MASTER_JAM!$AC$13)+MASTER_JAM!$AC$14)</f>
        <v/>
      </c>
      <c r="R712" s="158">
        <f>IF(N($F712)=0,0,$F712/SUMIFS(INPUT_RITASE!$F$5:$F$20000,INPUT_RITASE!$A$5:$A$20000,$A712,INPUT_RITASE!$B$5:$B$20000,$B712,INPUT_RITASE!$C$5:$C$20000,$C712,INPUT_RITASE!$D$5:$D$20000,$D712))</f>
        <v/>
      </c>
      <c r="S712" s="158">
        <f>IF($Q712=0,0,$R712*$P712/$Q712)</f>
        <v/>
      </c>
    </row>
    <row r="713">
      <c r="A713" s="155" t="n">
        <v>46106</v>
      </c>
      <c r="B713" s="156" t="inlineStr">
        <is>
          <t>08-09</t>
        </is>
      </c>
      <c r="C713" s="156" t="inlineStr">
        <is>
          <t>EX-754</t>
        </is>
      </c>
      <c r="D713" s="156" t="inlineStr">
        <is>
          <t>DT-502</t>
        </is>
      </c>
      <c r="E713" s="156" t="inlineStr">
        <is>
          <t>Mud</t>
        </is>
      </c>
      <c r="F713" s="156" t="n">
        <v>3</v>
      </c>
      <c r="G713" s="156" t="inlineStr"/>
      <c r="H713" s="157">
        <f>IF($B713="","",IF(ISNA(MATCH($B713,MASTER_JAM!$Q$5:$Q$28,0)),"?",IF(MATCH($B713,MASTER_JAM!$Q$5:$Q$28,0)&lt;=12,"DS","NS")))</f>
        <v/>
      </c>
      <c r="I713" s="157">
        <f>IFERROR(INDEX(MASTER_JAM!$B$5:$B$94,MATCH($C713,MASTER_JAM!$A$5:$A$94,0)),"")</f>
        <v/>
      </c>
      <c r="J713" s="157">
        <f>IFERROR(INDEX(MASTER_JAM!$E$5:$E$94,MATCH($D713,MASTER_JAM!$A$5:$A$94,0)),"")</f>
        <v/>
      </c>
      <c r="K713" s="158">
        <f>IFERROR(INDEX(MASTER_JAM!$J$5:$O$12,MATCH($E713,MASTER_JAM!$I$5:$I$12,0),MATCH($J713,MASTER_JAM!$J$4:$O$4,0))+0,0)</f>
        <v/>
      </c>
      <c r="L713" s="159">
        <f>N($F713)*$K713</f>
        <v/>
      </c>
      <c r="M713" s="157">
        <f>IF($E713="","",IF(OR($E713="Coal",$E713="Dirty Coal"),"MT","BCM"))</f>
        <v/>
      </c>
      <c r="N713" s="157">
        <f>IF($E713="","",IF(OR($E713="Coal",$E713="Dirty Coal"),"Coal","OB"))</f>
        <v/>
      </c>
      <c r="O713" s="157">
        <f>IF($F713="","",IF(COUNTIF(MASTER_JAM!$A$5:$A$94,$C713)=0,"Digger tidak dikenal",IF($J713="","Hauler tidak dikenal",IF($H713="?","Jam salah",IF($K713=0,"Faktor kosong",IF(SUMIFS(INPUT_DELAY!$E$5:$E$20000,INPUT_DELAY!$A$5:$A$20000,$A713,INPUT_DELAY!$B$5:$B$20000,$B713,INPUT_DELAY!$C$5:$C$20000,$C713)+SUMIFS(INPUT_DELAY!$E$5:$E$20000,INPUT_DELAY!$A$5:$A$20000,$A713,INPUT_DELAY!$B$5:$B$20000,$B713,INPUT_DELAY!$C$5:$C$20000,"SEMUA")&gt;=60,"Delay 60 mnt tapi ada ritase","OK"))))))</f>
        <v/>
      </c>
      <c r="P713" s="158">
        <f>IFERROR(INDEX(MASTER_JAM!$Z$5:$AC$10,MATCH($I713,MASTER_JAM!$Y$5:$Y$10,0),MATCH($J713,MASTER_JAM!$Z$4:$AC$4,0))+0,0)</f>
        <v/>
      </c>
      <c r="Q713" s="158">
        <f>IF($P713=0,0,$P713+IFERROR(INDEX(MASTER_JAM!$H$5:$H$94,MATCH($C713,MASTER_JAM!$A$5:$A$94,0))+0,MASTER_JAM!$AC$15)/1000*(60/MASTER_JAM!$AC$12+60/MASTER_JAM!$AC$13)+MASTER_JAM!$AC$14)</f>
        <v/>
      </c>
      <c r="R713" s="158">
        <f>IF(N($F713)=0,0,$F713/SUMIFS(INPUT_RITASE!$F$5:$F$20000,INPUT_RITASE!$A$5:$A$20000,$A713,INPUT_RITASE!$B$5:$B$20000,$B713,INPUT_RITASE!$C$5:$C$20000,$C713,INPUT_RITASE!$D$5:$D$20000,$D713))</f>
        <v/>
      </c>
      <c r="S713" s="158">
        <f>IF($Q713=0,0,$R713*$P713/$Q713)</f>
        <v/>
      </c>
    </row>
    <row r="714">
      <c r="A714" s="155" t="n">
        <v>46106</v>
      </c>
      <c r="B714" s="156" t="inlineStr">
        <is>
          <t>08-09</t>
        </is>
      </c>
      <c r="C714" s="156" t="inlineStr">
        <is>
          <t>EX-754</t>
        </is>
      </c>
      <c r="D714" s="156" t="inlineStr">
        <is>
          <t>DT-520</t>
        </is>
      </c>
      <c r="E714" s="156" t="inlineStr">
        <is>
          <t>Mud</t>
        </is>
      </c>
      <c r="F714" s="156" t="n">
        <v>3</v>
      </c>
      <c r="G714" s="156" t="inlineStr"/>
      <c r="H714" s="157">
        <f>IF($B714="","",IF(ISNA(MATCH($B714,MASTER_JAM!$Q$5:$Q$28,0)),"?",IF(MATCH($B714,MASTER_JAM!$Q$5:$Q$28,0)&lt;=12,"DS","NS")))</f>
        <v/>
      </c>
      <c r="I714" s="157">
        <f>IFERROR(INDEX(MASTER_JAM!$B$5:$B$94,MATCH($C714,MASTER_JAM!$A$5:$A$94,0)),"")</f>
        <v/>
      </c>
      <c r="J714" s="157">
        <f>IFERROR(INDEX(MASTER_JAM!$E$5:$E$94,MATCH($D714,MASTER_JAM!$A$5:$A$94,0)),"")</f>
        <v/>
      </c>
      <c r="K714" s="158">
        <f>IFERROR(INDEX(MASTER_JAM!$J$5:$O$12,MATCH($E714,MASTER_JAM!$I$5:$I$12,0),MATCH($J714,MASTER_JAM!$J$4:$O$4,0))+0,0)</f>
        <v/>
      </c>
      <c r="L714" s="159">
        <f>N($F714)*$K714</f>
        <v/>
      </c>
      <c r="M714" s="157">
        <f>IF($E714="","",IF(OR($E714="Coal",$E714="Dirty Coal"),"MT","BCM"))</f>
        <v/>
      </c>
      <c r="N714" s="157">
        <f>IF($E714="","",IF(OR($E714="Coal",$E714="Dirty Coal"),"Coal","OB"))</f>
        <v/>
      </c>
      <c r="O714" s="157">
        <f>IF($F714="","",IF(COUNTIF(MASTER_JAM!$A$5:$A$94,$C714)=0,"Digger tidak dikenal",IF($J714="","Hauler tidak dikenal",IF($H714="?","Jam salah",IF($K714=0,"Faktor kosong",IF(SUMIFS(INPUT_DELAY!$E$5:$E$20000,INPUT_DELAY!$A$5:$A$20000,$A714,INPUT_DELAY!$B$5:$B$20000,$B714,INPUT_DELAY!$C$5:$C$20000,$C714)+SUMIFS(INPUT_DELAY!$E$5:$E$20000,INPUT_DELAY!$A$5:$A$20000,$A714,INPUT_DELAY!$B$5:$B$20000,$B714,INPUT_DELAY!$C$5:$C$20000,"SEMUA")&gt;=60,"Delay 60 mnt tapi ada ritase","OK"))))))</f>
        <v/>
      </c>
      <c r="P714" s="158">
        <f>IFERROR(INDEX(MASTER_JAM!$Z$5:$AC$10,MATCH($I714,MASTER_JAM!$Y$5:$Y$10,0),MATCH($J714,MASTER_JAM!$Z$4:$AC$4,0))+0,0)</f>
        <v/>
      </c>
      <c r="Q714" s="158">
        <f>IF($P714=0,0,$P714+IFERROR(INDEX(MASTER_JAM!$H$5:$H$94,MATCH($C714,MASTER_JAM!$A$5:$A$94,0))+0,MASTER_JAM!$AC$15)/1000*(60/MASTER_JAM!$AC$12+60/MASTER_JAM!$AC$13)+MASTER_JAM!$AC$14)</f>
        <v/>
      </c>
      <c r="R714" s="158">
        <f>IF(N($F714)=0,0,$F714/SUMIFS(INPUT_RITASE!$F$5:$F$20000,INPUT_RITASE!$A$5:$A$20000,$A714,INPUT_RITASE!$B$5:$B$20000,$B714,INPUT_RITASE!$C$5:$C$20000,$C714,INPUT_RITASE!$D$5:$D$20000,$D714))</f>
        <v/>
      </c>
      <c r="S714" s="158">
        <f>IF($Q714=0,0,$R714*$P714/$Q714)</f>
        <v/>
      </c>
    </row>
    <row r="715">
      <c r="A715" s="155" t="n">
        <v>46106</v>
      </c>
      <c r="B715" s="156" t="inlineStr">
        <is>
          <t>09-10</t>
        </is>
      </c>
      <c r="C715" s="156" t="inlineStr">
        <is>
          <t>EX-754</t>
        </is>
      </c>
      <c r="D715" s="156" t="inlineStr">
        <is>
          <t>DT-508</t>
        </is>
      </c>
      <c r="E715" s="156" t="inlineStr">
        <is>
          <t>Mud</t>
        </is>
      </c>
      <c r="F715" s="156" t="n">
        <v>4</v>
      </c>
      <c r="G715" s="156" t="inlineStr"/>
      <c r="H715" s="157">
        <f>IF($B715="","",IF(ISNA(MATCH($B715,MASTER_JAM!$Q$5:$Q$28,0)),"?",IF(MATCH($B715,MASTER_JAM!$Q$5:$Q$28,0)&lt;=12,"DS","NS")))</f>
        <v/>
      </c>
      <c r="I715" s="157">
        <f>IFERROR(INDEX(MASTER_JAM!$B$5:$B$94,MATCH($C715,MASTER_JAM!$A$5:$A$94,0)),"")</f>
        <v/>
      </c>
      <c r="J715" s="157">
        <f>IFERROR(INDEX(MASTER_JAM!$E$5:$E$94,MATCH($D715,MASTER_JAM!$A$5:$A$94,0)),"")</f>
        <v/>
      </c>
      <c r="K715" s="158">
        <f>IFERROR(INDEX(MASTER_JAM!$J$5:$O$12,MATCH($E715,MASTER_JAM!$I$5:$I$12,0),MATCH($J715,MASTER_JAM!$J$4:$O$4,0))+0,0)</f>
        <v/>
      </c>
      <c r="L715" s="159">
        <f>N($F715)*$K715</f>
        <v/>
      </c>
      <c r="M715" s="157">
        <f>IF($E715="","",IF(OR($E715="Coal",$E715="Dirty Coal"),"MT","BCM"))</f>
        <v/>
      </c>
      <c r="N715" s="157">
        <f>IF($E715="","",IF(OR($E715="Coal",$E715="Dirty Coal"),"Coal","OB"))</f>
        <v/>
      </c>
      <c r="O715" s="157">
        <f>IF($F715="","",IF(COUNTIF(MASTER_JAM!$A$5:$A$94,$C715)=0,"Digger tidak dikenal",IF($J715="","Hauler tidak dikenal",IF($H715="?","Jam salah",IF($K715=0,"Faktor kosong",IF(SUMIFS(INPUT_DELAY!$E$5:$E$20000,INPUT_DELAY!$A$5:$A$20000,$A715,INPUT_DELAY!$B$5:$B$20000,$B715,INPUT_DELAY!$C$5:$C$20000,$C715)+SUMIFS(INPUT_DELAY!$E$5:$E$20000,INPUT_DELAY!$A$5:$A$20000,$A715,INPUT_DELAY!$B$5:$B$20000,$B715,INPUT_DELAY!$C$5:$C$20000,"SEMUA")&gt;=60,"Delay 60 mnt tapi ada ritase","OK"))))))</f>
        <v/>
      </c>
      <c r="P715" s="158">
        <f>IFERROR(INDEX(MASTER_JAM!$Z$5:$AC$10,MATCH($I715,MASTER_JAM!$Y$5:$Y$10,0),MATCH($J715,MASTER_JAM!$Z$4:$AC$4,0))+0,0)</f>
        <v/>
      </c>
      <c r="Q715" s="158">
        <f>IF($P715=0,0,$P715+IFERROR(INDEX(MASTER_JAM!$H$5:$H$94,MATCH($C715,MASTER_JAM!$A$5:$A$94,0))+0,MASTER_JAM!$AC$15)/1000*(60/MASTER_JAM!$AC$12+60/MASTER_JAM!$AC$13)+MASTER_JAM!$AC$14)</f>
        <v/>
      </c>
      <c r="R715" s="158">
        <f>IF(N($F715)=0,0,$F715/SUMIFS(INPUT_RITASE!$F$5:$F$20000,INPUT_RITASE!$A$5:$A$20000,$A715,INPUT_RITASE!$B$5:$B$20000,$B715,INPUT_RITASE!$C$5:$C$20000,$C715,INPUT_RITASE!$D$5:$D$20000,$D715))</f>
        <v/>
      </c>
      <c r="S715" s="158">
        <f>IF($Q715=0,0,$R715*$P715/$Q715)</f>
        <v/>
      </c>
    </row>
    <row r="716">
      <c r="A716" s="155" t="n">
        <v>46106</v>
      </c>
      <c r="B716" s="156" t="inlineStr">
        <is>
          <t>09-10</t>
        </is>
      </c>
      <c r="C716" s="156" t="inlineStr">
        <is>
          <t>EX-754</t>
        </is>
      </c>
      <c r="D716" s="156" t="inlineStr">
        <is>
          <t>DT-523</t>
        </is>
      </c>
      <c r="E716" s="156" t="inlineStr">
        <is>
          <t>Mud</t>
        </is>
      </c>
      <c r="F716" s="156" t="n">
        <v>3</v>
      </c>
      <c r="G716" s="156" t="inlineStr"/>
      <c r="H716" s="157">
        <f>IF($B716="","",IF(ISNA(MATCH($B716,MASTER_JAM!$Q$5:$Q$28,0)),"?",IF(MATCH($B716,MASTER_JAM!$Q$5:$Q$28,0)&lt;=12,"DS","NS")))</f>
        <v/>
      </c>
      <c r="I716" s="157">
        <f>IFERROR(INDEX(MASTER_JAM!$B$5:$B$94,MATCH($C716,MASTER_JAM!$A$5:$A$94,0)),"")</f>
        <v/>
      </c>
      <c r="J716" s="157">
        <f>IFERROR(INDEX(MASTER_JAM!$E$5:$E$94,MATCH($D716,MASTER_JAM!$A$5:$A$94,0)),"")</f>
        <v/>
      </c>
      <c r="K716" s="158">
        <f>IFERROR(INDEX(MASTER_JAM!$J$5:$O$12,MATCH($E716,MASTER_JAM!$I$5:$I$12,0),MATCH($J716,MASTER_JAM!$J$4:$O$4,0))+0,0)</f>
        <v/>
      </c>
      <c r="L716" s="159">
        <f>N($F716)*$K716</f>
        <v/>
      </c>
      <c r="M716" s="157">
        <f>IF($E716="","",IF(OR($E716="Coal",$E716="Dirty Coal"),"MT","BCM"))</f>
        <v/>
      </c>
      <c r="N716" s="157">
        <f>IF($E716="","",IF(OR($E716="Coal",$E716="Dirty Coal"),"Coal","OB"))</f>
        <v/>
      </c>
      <c r="O716" s="157">
        <f>IF($F716="","",IF(COUNTIF(MASTER_JAM!$A$5:$A$94,$C716)=0,"Digger tidak dikenal",IF($J716="","Hauler tidak dikenal",IF($H716="?","Jam salah",IF($K716=0,"Faktor kosong",IF(SUMIFS(INPUT_DELAY!$E$5:$E$20000,INPUT_DELAY!$A$5:$A$20000,$A716,INPUT_DELAY!$B$5:$B$20000,$B716,INPUT_DELAY!$C$5:$C$20000,$C716)+SUMIFS(INPUT_DELAY!$E$5:$E$20000,INPUT_DELAY!$A$5:$A$20000,$A716,INPUT_DELAY!$B$5:$B$20000,$B716,INPUT_DELAY!$C$5:$C$20000,"SEMUA")&gt;=60,"Delay 60 mnt tapi ada ritase","OK"))))))</f>
        <v/>
      </c>
      <c r="P716" s="158">
        <f>IFERROR(INDEX(MASTER_JAM!$Z$5:$AC$10,MATCH($I716,MASTER_JAM!$Y$5:$Y$10,0),MATCH($J716,MASTER_JAM!$Z$4:$AC$4,0))+0,0)</f>
        <v/>
      </c>
      <c r="Q716" s="158">
        <f>IF($P716=0,0,$P716+IFERROR(INDEX(MASTER_JAM!$H$5:$H$94,MATCH($C716,MASTER_JAM!$A$5:$A$94,0))+0,MASTER_JAM!$AC$15)/1000*(60/MASTER_JAM!$AC$12+60/MASTER_JAM!$AC$13)+MASTER_JAM!$AC$14)</f>
        <v/>
      </c>
      <c r="R716" s="158">
        <f>IF(N($F716)=0,0,$F716/SUMIFS(INPUT_RITASE!$F$5:$F$20000,INPUT_RITASE!$A$5:$A$20000,$A716,INPUT_RITASE!$B$5:$B$20000,$B716,INPUT_RITASE!$C$5:$C$20000,$C716,INPUT_RITASE!$D$5:$D$20000,$D716))</f>
        <v/>
      </c>
      <c r="S716" s="158">
        <f>IF($Q716=0,0,$R716*$P716/$Q716)</f>
        <v/>
      </c>
    </row>
    <row r="717">
      <c r="A717" s="155" t="n">
        <v>46106</v>
      </c>
      <c r="B717" s="156" t="inlineStr">
        <is>
          <t>09-10</t>
        </is>
      </c>
      <c r="C717" s="156" t="inlineStr">
        <is>
          <t>EX-754</t>
        </is>
      </c>
      <c r="D717" s="156" t="inlineStr">
        <is>
          <t>DT-502</t>
        </is>
      </c>
      <c r="E717" s="156" t="inlineStr">
        <is>
          <t>Mud</t>
        </is>
      </c>
      <c r="F717" s="156" t="n">
        <v>3</v>
      </c>
      <c r="G717" s="156" t="inlineStr"/>
      <c r="H717" s="157">
        <f>IF($B717="","",IF(ISNA(MATCH($B717,MASTER_JAM!$Q$5:$Q$28,0)),"?",IF(MATCH($B717,MASTER_JAM!$Q$5:$Q$28,0)&lt;=12,"DS","NS")))</f>
        <v/>
      </c>
      <c r="I717" s="157">
        <f>IFERROR(INDEX(MASTER_JAM!$B$5:$B$94,MATCH($C717,MASTER_JAM!$A$5:$A$94,0)),"")</f>
        <v/>
      </c>
      <c r="J717" s="157">
        <f>IFERROR(INDEX(MASTER_JAM!$E$5:$E$94,MATCH($D717,MASTER_JAM!$A$5:$A$94,0)),"")</f>
        <v/>
      </c>
      <c r="K717" s="158">
        <f>IFERROR(INDEX(MASTER_JAM!$J$5:$O$12,MATCH($E717,MASTER_JAM!$I$5:$I$12,0),MATCH($J717,MASTER_JAM!$J$4:$O$4,0))+0,0)</f>
        <v/>
      </c>
      <c r="L717" s="159">
        <f>N($F717)*$K717</f>
        <v/>
      </c>
      <c r="M717" s="157">
        <f>IF($E717="","",IF(OR($E717="Coal",$E717="Dirty Coal"),"MT","BCM"))</f>
        <v/>
      </c>
      <c r="N717" s="157">
        <f>IF($E717="","",IF(OR($E717="Coal",$E717="Dirty Coal"),"Coal","OB"))</f>
        <v/>
      </c>
      <c r="O717" s="157">
        <f>IF($F717="","",IF(COUNTIF(MASTER_JAM!$A$5:$A$94,$C717)=0,"Digger tidak dikenal",IF($J717="","Hauler tidak dikenal",IF($H717="?","Jam salah",IF($K717=0,"Faktor kosong",IF(SUMIFS(INPUT_DELAY!$E$5:$E$20000,INPUT_DELAY!$A$5:$A$20000,$A717,INPUT_DELAY!$B$5:$B$20000,$B717,INPUT_DELAY!$C$5:$C$20000,$C717)+SUMIFS(INPUT_DELAY!$E$5:$E$20000,INPUT_DELAY!$A$5:$A$20000,$A717,INPUT_DELAY!$B$5:$B$20000,$B717,INPUT_DELAY!$C$5:$C$20000,"SEMUA")&gt;=60,"Delay 60 mnt tapi ada ritase","OK"))))))</f>
        <v/>
      </c>
      <c r="P717" s="158">
        <f>IFERROR(INDEX(MASTER_JAM!$Z$5:$AC$10,MATCH($I717,MASTER_JAM!$Y$5:$Y$10,0),MATCH($J717,MASTER_JAM!$Z$4:$AC$4,0))+0,0)</f>
        <v/>
      </c>
      <c r="Q717" s="158">
        <f>IF($P717=0,0,$P717+IFERROR(INDEX(MASTER_JAM!$H$5:$H$94,MATCH($C717,MASTER_JAM!$A$5:$A$94,0))+0,MASTER_JAM!$AC$15)/1000*(60/MASTER_JAM!$AC$12+60/MASTER_JAM!$AC$13)+MASTER_JAM!$AC$14)</f>
        <v/>
      </c>
      <c r="R717" s="158">
        <f>IF(N($F717)=0,0,$F717/SUMIFS(INPUT_RITASE!$F$5:$F$20000,INPUT_RITASE!$A$5:$A$20000,$A717,INPUT_RITASE!$B$5:$B$20000,$B717,INPUT_RITASE!$C$5:$C$20000,$C717,INPUT_RITASE!$D$5:$D$20000,$D717))</f>
        <v/>
      </c>
      <c r="S717" s="158">
        <f>IF($Q717=0,0,$R717*$P717/$Q717)</f>
        <v/>
      </c>
    </row>
    <row r="718">
      <c r="A718" s="155" t="n">
        <v>46106</v>
      </c>
      <c r="B718" s="156" t="inlineStr">
        <is>
          <t>09-10</t>
        </is>
      </c>
      <c r="C718" s="156" t="inlineStr">
        <is>
          <t>EX-754</t>
        </is>
      </c>
      <c r="D718" s="156" t="inlineStr">
        <is>
          <t>DT-522</t>
        </is>
      </c>
      <c r="E718" s="156" t="inlineStr">
        <is>
          <t>Mud</t>
        </is>
      </c>
      <c r="F718" s="156" t="n">
        <v>3</v>
      </c>
      <c r="G718" s="156" t="inlineStr"/>
      <c r="H718" s="157">
        <f>IF($B718="","",IF(ISNA(MATCH($B718,MASTER_JAM!$Q$5:$Q$28,0)),"?",IF(MATCH($B718,MASTER_JAM!$Q$5:$Q$28,0)&lt;=12,"DS","NS")))</f>
        <v/>
      </c>
      <c r="I718" s="157">
        <f>IFERROR(INDEX(MASTER_JAM!$B$5:$B$94,MATCH($C718,MASTER_JAM!$A$5:$A$94,0)),"")</f>
        <v/>
      </c>
      <c r="J718" s="157">
        <f>IFERROR(INDEX(MASTER_JAM!$E$5:$E$94,MATCH($D718,MASTER_JAM!$A$5:$A$94,0)),"")</f>
        <v/>
      </c>
      <c r="K718" s="158">
        <f>IFERROR(INDEX(MASTER_JAM!$J$5:$O$12,MATCH($E718,MASTER_JAM!$I$5:$I$12,0),MATCH($J718,MASTER_JAM!$J$4:$O$4,0))+0,0)</f>
        <v/>
      </c>
      <c r="L718" s="159">
        <f>N($F718)*$K718</f>
        <v/>
      </c>
      <c r="M718" s="157">
        <f>IF($E718="","",IF(OR($E718="Coal",$E718="Dirty Coal"),"MT","BCM"))</f>
        <v/>
      </c>
      <c r="N718" s="157">
        <f>IF($E718="","",IF(OR($E718="Coal",$E718="Dirty Coal"),"Coal","OB"))</f>
        <v/>
      </c>
      <c r="O718" s="157">
        <f>IF($F718="","",IF(COUNTIF(MASTER_JAM!$A$5:$A$94,$C718)=0,"Digger tidak dikenal",IF($J718="","Hauler tidak dikenal",IF($H718="?","Jam salah",IF($K718=0,"Faktor kosong",IF(SUMIFS(INPUT_DELAY!$E$5:$E$20000,INPUT_DELAY!$A$5:$A$20000,$A718,INPUT_DELAY!$B$5:$B$20000,$B718,INPUT_DELAY!$C$5:$C$20000,$C718)+SUMIFS(INPUT_DELAY!$E$5:$E$20000,INPUT_DELAY!$A$5:$A$20000,$A718,INPUT_DELAY!$B$5:$B$20000,$B718,INPUT_DELAY!$C$5:$C$20000,"SEMUA")&gt;=60,"Delay 60 mnt tapi ada ritase","OK"))))))</f>
        <v/>
      </c>
      <c r="P718" s="158">
        <f>IFERROR(INDEX(MASTER_JAM!$Z$5:$AC$10,MATCH($I718,MASTER_JAM!$Y$5:$Y$10,0),MATCH($J718,MASTER_JAM!$Z$4:$AC$4,0))+0,0)</f>
        <v/>
      </c>
      <c r="Q718" s="158">
        <f>IF($P718=0,0,$P718+IFERROR(INDEX(MASTER_JAM!$H$5:$H$94,MATCH($C718,MASTER_JAM!$A$5:$A$94,0))+0,MASTER_JAM!$AC$15)/1000*(60/MASTER_JAM!$AC$12+60/MASTER_JAM!$AC$13)+MASTER_JAM!$AC$14)</f>
        <v/>
      </c>
      <c r="R718" s="158">
        <f>IF(N($F718)=0,0,$F718/SUMIFS(INPUT_RITASE!$F$5:$F$20000,INPUT_RITASE!$A$5:$A$20000,$A718,INPUT_RITASE!$B$5:$B$20000,$B718,INPUT_RITASE!$C$5:$C$20000,$C718,INPUT_RITASE!$D$5:$D$20000,$D718))</f>
        <v/>
      </c>
      <c r="S718" s="158">
        <f>IF($Q718=0,0,$R718*$P718/$Q718)</f>
        <v/>
      </c>
    </row>
    <row r="719">
      <c r="A719" s="155" t="n">
        <v>46106</v>
      </c>
      <c r="B719" s="156" t="inlineStr">
        <is>
          <t>10-11</t>
        </is>
      </c>
      <c r="C719" s="156" t="inlineStr">
        <is>
          <t>EX-754</t>
        </is>
      </c>
      <c r="D719" s="156" t="inlineStr">
        <is>
          <t>DT-508</t>
        </is>
      </c>
      <c r="E719" s="156" t="inlineStr">
        <is>
          <t>Mud</t>
        </is>
      </c>
      <c r="F719" s="156" t="n">
        <v>4</v>
      </c>
      <c r="G719" s="156" t="inlineStr"/>
      <c r="H719" s="157">
        <f>IF($B719="","",IF(ISNA(MATCH($B719,MASTER_JAM!$Q$5:$Q$28,0)),"?",IF(MATCH($B719,MASTER_JAM!$Q$5:$Q$28,0)&lt;=12,"DS","NS")))</f>
        <v/>
      </c>
      <c r="I719" s="157">
        <f>IFERROR(INDEX(MASTER_JAM!$B$5:$B$94,MATCH($C719,MASTER_JAM!$A$5:$A$94,0)),"")</f>
        <v/>
      </c>
      <c r="J719" s="157">
        <f>IFERROR(INDEX(MASTER_JAM!$E$5:$E$94,MATCH($D719,MASTER_JAM!$A$5:$A$94,0)),"")</f>
        <v/>
      </c>
      <c r="K719" s="158">
        <f>IFERROR(INDEX(MASTER_JAM!$J$5:$O$12,MATCH($E719,MASTER_JAM!$I$5:$I$12,0),MATCH($J719,MASTER_JAM!$J$4:$O$4,0))+0,0)</f>
        <v/>
      </c>
      <c r="L719" s="159">
        <f>N($F719)*$K719</f>
        <v/>
      </c>
      <c r="M719" s="157">
        <f>IF($E719="","",IF(OR($E719="Coal",$E719="Dirty Coal"),"MT","BCM"))</f>
        <v/>
      </c>
      <c r="N719" s="157">
        <f>IF($E719="","",IF(OR($E719="Coal",$E719="Dirty Coal"),"Coal","OB"))</f>
        <v/>
      </c>
      <c r="O719" s="157">
        <f>IF($F719="","",IF(COUNTIF(MASTER_JAM!$A$5:$A$94,$C719)=0,"Digger tidak dikenal",IF($J719="","Hauler tidak dikenal",IF($H719="?","Jam salah",IF($K719=0,"Faktor kosong",IF(SUMIFS(INPUT_DELAY!$E$5:$E$20000,INPUT_DELAY!$A$5:$A$20000,$A719,INPUT_DELAY!$B$5:$B$20000,$B719,INPUT_DELAY!$C$5:$C$20000,$C719)+SUMIFS(INPUT_DELAY!$E$5:$E$20000,INPUT_DELAY!$A$5:$A$20000,$A719,INPUT_DELAY!$B$5:$B$20000,$B719,INPUT_DELAY!$C$5:$C$20000,"SEMUA")&gt;=60,"Delay 60 mnt tapi ada ritase","OK"))))))</f>
        <v/>
      </c>
      <c r="P719" s="158">
        <f>IFERROR(INDEX(MASTER_JAM!$Z$5:$AC$10,MATCH($I719,MASTER_JAM!$Y$5:$Y$10,0),MATCH($J719,MASTER_JAM!$Z$4:$AC$4,0))+0,0)</f>
        <v/>
      </c>
      <c r="Q719" s="158">
        <f>IF($P719=0,0,$P719+IFERROR(INDEX(MASTER_JAM!$H$5:$H$94,MATCH($C719,MASTER_JAM!$A$5:$A$94,0))+0,MASTER_JAM!$AC$15)/1000*(60/MASTER_JAM!$AC$12+60/MASTER_JAM!$AC$13)+MASTER_JAM!$AC$14)</f>
        <v/>
      </c>
      <c r="R719" s="158">
        <f>IF(N($F719)=0,0,$F719/SUMIFS(INPUT_RITASE!$F$5:$F$20000,INPUT_RITASE!$A$5:$A$20000,$A719,INPUT_RITASE!$B$5:$B$20000,$B719,INPUT_RITASE!$C$5:$C$20000,$C719,INPUT_RITASE!$D$5:$D$20000,$D719))</f>
        <v/>
      </c>
      <c r="S719" s="158">
        <f>IF($Q719=0,0,$R719*$P719/$Q719)</f>
        <v/>
      </c>
    </row>
    <row r="720">
      <c r="A720" s="155" t="n">
        <v>46106</v>
      </c>
      <c r="B720" s="156" t="inlineStr">
        <is>
          <t>10-11</t>
        </is>
      </c>
      <c r="C720" s="156" t="inlineStr">
        <is>
          <t>EX-754</t>
        </is>
      </c>
      <c r="D720" s="156" t="inlineStr">
        <is>
          <t>DT-528</t>
        </is>
      </c>
      <c r="E720" s="156" t="inlineStr">
        <is>
          <t>Mud</t>
        </is>
      </c>
      <c r="F720" s="156" t="n">
        <v>3</v>
      </c>
      <c r="G720" s="156" t="inlineStr"/>
      <c r="H720" s="157">
        <f>IF($B720="","",IF(ISNA(MATCH($B720,MASTER_JAM!$Q$5:$Q$28,0)),"?",IF(MATCH($B720,MASTER_JAM!$Q$5:$Q$28,0)&lt;=12,"DS","NS")))</f>
        <v/>
      </c>
      <c r="I720" s="157">
        <f>IFERROR(INDEX(MASTER_JAM!$B$5:$B$94,MATCH($C720,MASTER_JAM!$A$5:$A$94,0)),"")</f>
        <v/>
      </c>
      <c r="J720" s="157">
        <f>IFERROR(INDEX(MASTER_JAM!$E$5:$E$94,MATCH($D720,MASTER_JAM!$A$5:$A$94,0)),"")</f>
        <v/>
      </c>
      <c r="K720" s="158">
        <f>IFERROR(INDEX(MASTER_JAM!$J$5:$O$12,MATCH($E720,MASTER_JAM!$I$5:$I$12,0),MATCH($J720,MASTER_JAM!$J$4:$O$4,0))+0,0)</f>
        <v/>
      </c>
      <c r="L720" s="159">
        <f>N($F720)*$K720</f>
        <v/>
      </c>
      <c r="M720" s="157">
        <f>IF($E720="","",IF(OR($E720="Coal",$E720="Dirty Coal"),"MT","BCM"))</f>
        <v/>
      </c>
      <c r="N720" s="157">
        <f>IF($E720="","",IF(OR($E720="Coal",$E720="Dirty Coal"),"Coal","OB"))</f>
        <v/>
      </c>
      <c r="O720" s="157">
        <f>IF($F720="","",IF(COUNTIF(MASTER_JAM!$A$5:$A$94,$C720)=0,"Digger tidak dikenal",IF($J720="","Hauler tidak dikenal",IF($H720="?","Jam salah",IF($K720=0,"Faktor kosong",IF(SUMIFS(INPUT_DELAY!$E$5:$E$20000,INPUT_DELAY!$A$5:$A$20000,$A720,INPUT_DELAY!$B$5:$B$20000,$B720,INPUT_DELAY!$C$5:$C$20000,$C720)+SUMIFS(INPUT_DELAY!$E$5:$E$20000,INPUT_DELAY!$A$5:$A$20000,$A720,INPUT_DELAY!$B$5:$B$20000,$B720,INPUT_DELAY!$C$5:$C$20000,"SEMUA")&gt;=60,"Delay 60 mnt tapi ada ritase","OK"))))))</f>
        <v/>
      </c>
      <c r="P720" s="158">
        <f>IFERROR(INDEX(MASTER_JAM!$Z$5:$AC$10,MATCH($I720,MASTER_JAM!$Y$5:$Y$10,0),MATCH($J720,MASTER_JAM!$Z$4:$AC$4,0))+0,0)</f>
        <v/>
      </c>
      <c r="Q720" s="158">
        <f>IF($P720=0,0,$P720+IFERROR(INDEX(MASTER_JAM!$H$5:$H$94,MATCH($C720,MASTER_JAM!$A$5:$A$94,0))+0,MASTER_JAM!$AC$15)/1000*(60/MASTER_JAM!$AC$12+60/MASTER_JAM!$AC$13)+MASTER_JAM!$AC$14)</f>
        <v/>
      </c>
      <c r="R720" s="158">
        <f>IF(N($F720)=0,0,$F720/SUMIFS(INPUT_RITASE!$F$5:$F$20000,INPUT_RITASE!$A$5:$A$20000,$A720,INPUT_RITASE!$B$5:$B$20000,$B720,INPUT_RITASE!$C$5:$C$20000,$C720,INPUT_RITASE!$D$5:$D$20000,$D720))</f>
        <v/>
      </c>
      <c r="S720" s="158">
        <f>IF($Q720=0,0,$R720*$P720/$Q720)</f>
        <v/>
      </c>
    </row>
    <row r="721">
      <c r="A721" s="155" t="n">
        <v>46106</v>
      </c>
      <c r="B721" s="156" t="inlineStr">
        <is>
          <t>10-11</t>
        </is>
      </c>
      <c r="C721" s="156" t="inlineStr">
        <is>
          <t>EX-754</t>
        </is>
      </c>
      <c r="D721" s="156" t="inlineStr">
        <is>
          <t>DT-513</t>
        </is>
      </c>
      <c r="E721" s="156" t="inlineStr">
        <is>
          <t>Mud</t>
        </is>
      </c>
      <c r="F721" s="156" t="n">
        <v>3</v>
      </c>
      <c r="G721" s="156" t="inlineStr"/>
      <c r="H721" s="157">
        <f>IF($B721="","",IF(ISNA(MATCH($B721,MASTER_JAM!$Q$5:$Q$28,0)),"?",IF(MATCH($B721,MASTER_JAM!$Q$5:$Q$28,0)&lt;=12,"DS","NS")))</f>
        <v/>
      </c>
      <c r="I721" s="157">
        <f>IFERROR(INDEX(MASTER_JAM!$B$5:$B$94,MATCH($C721,MASTER_JAM!$A$5:$A$94,0)),"")</f>
        <v/>
      </c>
      <c r="J721" s="157">
        <f>IFERROR(INDEX(MASTER_JAM!$E$5:$E$94,MATCH($D721,MASTER_JAM!$A$5:$A$94,0)),"")</f>
        <v/>
      </c>
      <c r="K721" s="158">
        <f>IFERROR(INDEX(MASTER_JAM!$J$5:$O$12,MATCH($E721,MASTER_JAM!$I$5:$I$12,0),MATCH($J721,MASTER_JAM!$J$4:$O$4,0))+0,0)</f>
        <v/>
      </c>
      <c r="L721" s="159">
        <f>N($F721)*$K721</f>
        <v/>
      </c>
      <c r="M721" s="157">
        <f>IF($E721="","",IF(OR($E721="Coal",$E721="Dirty Coal"),"MT","BCM"))</f>
        <v/>
      </c>
      <c r="N721" s="157">
        <f>IF($E721="","",IF(OR($E721="Coal",$E721="Dirty Coal"),"Coal","OB"))</f>
        <v/>
      </c>
      <c r="O721" s="157">
        <f>IF($F721="","",IF(COUNTIF(MASTER_JAM!$A$5:$A$94,$C721)=0,"Digger tidak dikenal",IF($J721="","Hauler tidak dikenal",IF($H721="?","Jam salah",IF($K721=0,"Faktor kosong",IF(SUMIFS(INPUT_DELAY!$E$5:$E$20000,INPUT_DELAY!$A$5:$A$20000,$A721,INPUT_DELAY!$B$5:$B$20000,$B721,INPUT_DELAY!$C$5:$C$20000,$C721)+SUMIFS(INPUT_DELAY!$E$5:$E$20000,INPUT_DELAY!$A$5:$A$20000,$A721,INPUT_DELAY!$B$5:$B$20000,$B721,INPUT_DELAY!$C$5:$C$20000,"SEMUA")&gt;=60,"Delay 60 mnt tapi ada ritase","OK"))))))</f>
        <v/>
      </c>
      <c r="P721" s="158">
        <f>IFERROR(INDEX(MASTER_JAM!$Z$5:$AC$10,MATCH($I721,MASTER_JAM!$Y$5:$Y$10,0),MATCH($J721,MASTER_JAM!$Z$4:$AC$4,0))+0,0)</f>
        <v/>
      </c>
      <c r="Q721" s="158">
        <f>IF($P721=0,0,$P721+IFERROR(INDEX(MASTER_JAM!$H$5:$H$94,MATCH($C721,MASTER_JAM!$A$5:$A$94,0))+0,MASTER_JAM!$AC$15)/1000*(60/MASTER_JAM!$AC$12+60/MASTER_JAM!$AC$13)+MASTER_JAM!$AC$14)</f>
        <v/>
      </c>
      <c r="R721" s="158">
        <f>IF(N($F721)=0,0,$F721/SUMIFS(INPUT_RITASE!$F$5:$F$20000,INPUT_RITASE!$A$5:$A$20000,$A721,INPUT_RITASE!$B$5:$B$20000,$B721,INPUT_RITASE!$C$5:$C$20000,$C721,INPUT_RITASE!$D$5:$D$20000,$D721))</f>
        <v/>
      </c>
      <c r="S721" s="158">
        <f>IF($Q721=0,0,$R721*$P721/$Q721)</f>
        <v/>
      </c>
    </row>
    <row r="722">
      <c r="A722" s="155" t="n">
        <v>46106</v>
      </c>
      <c r="B722" s="156" t="inlineStr">
        <is>
          <t>10-11</t>
        </is>
      </c>
      <c r="C722" s="156" t="inlineStr">
        <is>
          <t>EX-754</t>
        </is>
      </c>
      <c r="D722" s="156" t="inlineStr">
        <is>
          <t>DT-523</t>
        </is>
      </c>
      <c r="E722" s="156" t="inlineStr">
        <is>
          <t>Mud</t>
        </is>
      </c>
      <c r="F722" s="156" t="n">
        <v>3</v>
      </c>
      <c r="G722" s="156" t="inlineStr"/>
      <c r="H722" s="157">
        <f>IF($B722="","",IF(ISNA(MATCH($B722,MASTER_JAM!$Q$5:$Q$28,0)),"?",IF(MATCH($B722,MASTER_JAM!$Q$5:$Q$28,0)&lt;=12,"DS","NS")))</f>
        <v/>
      </c>
      <c r="I722" s="157">
        <f>IFERROR(INDEX(MASTER_JAM!$B$5:$B$94,MATCH($C722,MASTER_JAM!$A$5:$A$94,0)),"")</f>
        <v/>
      </c>
      <c r="J722" s="157">
        <f>IFERROR(INDEX(MASTER_JAM!$E$5:$E$94,MATCH($D722,MASTER_JAM!$A$5:$A$94,0)),"")</f>
        <v/>
      </c>
      <c r="K722" s="158">
        <f>IFERROR(INDEX(MASTER_JAM!$J$5:$O$12,MATCH($E722,MASTER_JAM!$I$5:$I$12,0),MATCH($J722,MASTER_JAM!$J$4:$O$4,0))+0,0)</f>
        <v/>
      </c>
      <c r="L722" s="159">
        <f>N($F722)*$K722</f>
        <v/>
      </c>
      <c r="M722" s="157">
        <f>IF($E722="","",IF(OR($E722="Coal",$E722="Dirty Coal"),"MT","BCM"))</f>
        <v/>
      </c>
      <c r="N722" s="157">
        <f>IF($E722="","",IF(OR($E722="Coal",$E722="Dirty Coal"),"Coal","OB"))</f>
        <v/>
      </c>
      <c r="O722" s="157">
        <f>IF($F722="","",IF(COUNTIF(MASTER_JAM!$A$5:$A$94,$C722)=0,"Digger tidak dikenal",IF($J722="","Hauler tidak dikenal",IF($H722="?","Jam salah",IF($K722=0,"Faktor kosong",IF(SUMIFS(INPUT_DELAY!$E$5:$E$20000,INPUT_DELAY!$A$5:$A$20000,$A722,INPUT_DELAY!$B$5:$B$20000,$B722,INPUT_DELAY!$C$5:$C$20000,$C722)+SUMIFS(INPUT_DELAY!$E$5:$E$20000,INPUT_DELAY!$A$5:$A$20000,$A722,INPUT_DELAY!$B$5:$B$20000,$B722,INPUT_DELAY!$C$5:$C$20000,"SEMUA")&gt;=60,"Delay 60 mnt tapi ada ritase","OK"))))))</f>
        <v/>
      </c>
      <c r="P722" s="158">
        <f>IFERROR(INDEX(MASTER_JAM!$Z$5:$AC$10,MATCH($I722,MASTER_JAM!$Y$5:$Y$10,0),MATCH($J722,MASTER_JAM!$Z$4:$AC$4,0))+0,0)</f>
        <v/>
      </c>
      <c r="Q722" s="158">
        <f>IF($P722=0,0,$P722+IFERROR(INDEX(MASTER_JAM!$H$5:$H$94,MATCH($C722,MASTER_JAM!$A$5:$A$94,0))+0,MASTER_JAM!$AC$15)/1000*(60/MASTER_JAM!$AC$12+60/MASTER_JAM!$AC$13)+MASTER_JAM!$AC$14)</f>
        <v/>
      </c>
      <c r="R722" s="158">
        <f>IF(N($F722)=0,0,$F722/SUMIFS(INPUT_RITASE!$F$5:$F$20000,INPUT_RITASE!$A$5:$A$20000,$A722,INPUT_RITASE!$B$5:$B$20000,$B722,INPUT_RITASE!$C$5:$C$20000,$C722,INPUT_RITASE!$D$5:$D$20000,$D722))</f>
        <v/>
      </c>
      <c r="S722" s="158">
        <f>IF($Q722=0,0,$R722*$P722/$Q722)</f>
        <v/>
      </c>
    </row>
    <row r="723">
      <c r="A723" s="155" t="n">
        <v>46106</v>
      </c>
      <c r="B723" s="156" t="inlineStr">
        <is>
          <t>06-07</t>
        </is>
      </c>
      <c r="C723" s="156" t="inlineStr">
        <is>
          <t>EX-755</t>
        </is>
      </c>
      <c r="D723" s="156" t="inlineStr">
        <is>
          <t>DT-518</t>
        </is>
      </c>
      <c r="E723" s="156" t="inlineStr">
        <is>
          <t>OB</t>
        </is>
      </c>
      <c r="F723" s="156" t="n">
        <v>4</v>
      </c>
      <c r="G723" s="156" t="inlineStr"/>
      <c r="H723" s="157">
        <f>IF($B723="","",IF(ISNA(MATCH($B723,MASTER_JAM!$Q$5:$Q$28,0)),"?",IF(MATCH($B723,MASTER_JAM!$Q$5:$Q$28,0)&lt;=12,"DS","NS")))</f>
        <v/>
      </c>
      <c r="I723" s="157">
        <f>IFERROR(INDEX(MASTER_JAM!$B$5:$B$94,MATCH($C723,MASTER_JAM!$A$5:$A$94,0)),"")</f>
        <v/>
      </c>
      <c r="J723" s="157">
        <f>IFERROR(INDEX(MASTER_JAM!$E$5:$E$94,MATCH($D723,MASTER_JAM!$A$5:$A$94,0)),"")</f>
        <v/>
      </c>
      <c r="K723" s="158">
        <f>IFERROR(INDEX(MASTER_JAM!$J$5:$O$12,MATCH($E723,MASTER_JAM!$I$5:$I$12,0),MATCH($J723,MASTER_JAM!$J$4:$O$4,0))+0,0)</f>
        <v/>
      </c>
      <c r="L723" s="159">
        <f>N($F723)*$K723</f>
        <v/>
      </c>
      <c r="M723" s="157">
        <f>IF($E723="","",IF(OR($E723="Coal",$E723="Dirty Coal"),"MT","BCM"))</f>
        <v/>
      </c>
      <c r="N723" s="157">
        <f>IF($E723="","",IF(OR($E723="Coal",$E723="Dirty Coal"),"Coal","OB"))</f>
        <v/>
      </c>
      <c r="O723" s="157">
        <f>IF($F723="","",IF(COUNTIF(MASTER_JAM!$A$5:$A$94,$C723)=0,"Digger tidak dikenal",IF($J723="","Hauler tidak dikenal",IF($H723="?","Jam salah",IF($K723=0,"Faktor kosong",IF(SUMIFS(INPUT_DELAY!$E$5:$E$20000,INPUT_DELAY!$A$5:$A$20000,$A723,INPUT_DELAY!$B$5:$B$20000,$B723,INPUT_DELAY!$C$5:$C$20000,$C723)+SUMIFS(INPUT_DELAY!$E$5:$E$20000,INPUT_DELAY!$A$5:$A$20000,$A723,INPUT_DELAY!$B$5:$B$20000,$B723,INPUT_DELAY!$C$5:$C$20000,"SEMUA")&gt;=60,"Delay 60 mnt tapi ada ritase","OK"))))))</f>
        <v/>
      </c>
      <c r="P723" s="158">
        <f>IFERROR(INDEX(MASTER_JAM!$Z$5:$AC$10,MATCH($I723,MASTER_JAM!$Y$5:$Y$10,0),MATCH($J723,MASTER_JAM!$Z$4:$AC$4,0))+0,0)</f>
        <v/>
      </c>
      <c r="Q723" s="158">
        <f>IF($P723=0,0,$P723+IFERROR(INDEX(MASTER_JAM!$H$5:$H$94,MATCH($C723,MASTER_JAM!$A$5:$A$94,0))+0,MASTER_JAM!$AC$15)/1000*(60/MASTER_JAM!$AC$12+60/MASTER_JAM!$AC$13)+MASTER_JAM!$AC$14)</f>
        <v/>
      </c>
      <c r="R723" s="158">
        <f>IF(N($F723)=0,0,$F723/SUMIFS(INPUT_RITASE!$F$5:$F$20000,INPUT_RITASE!$A$5:$A$20000,$A723,INPUT_RITASE!$B$5:$B$20000,$B723,INPUT_RITASE!$C$5:$C$20000,$C723,INPUT_RITASE!$D$5:$D$20000,$D723))</f>
        <v/>
      </c>
      <c r="S723" s="158">
        <f>IF($Q723=0,0,$R723*$P723/$Q723)</f>
        <v/>
      </c>
    </row>
    <row r="724">
      <c r="A724" s="155" t="n">
        <v>46106</v>
      </c>
      <c r="B724" s="156" t="inlineStr">
        <is>
          <t>06-07</t>
        </is>
      </c>
      <c r="C724" s="156" t="inlineStr">
        <is>
          <t>EX-755</t>
        </is>
      </c>
      <c r="D724" s="156" t="inlineStr">
        <is>
          <t>DT-504</t>
        </is>
      </c>
      <c r="E724" s="156" t="inlineStr">
        <is>
          <t>OB</t>
        </is>
      </c>
      <c r="F724" s="156" t="n">
        <v>4</v>
      </c>
      <c r="G724" s="156" t="inlineStr"/>
      <c r="H724" s="157">
        <f>IF($B724="","",IF(ISNA(MATCH($B724,MASTER_JAM!$Q$5:$Q$28,0)),"?",IF(MATCH($B724,MASTER_JAM!$Q$5:$Q$28,0)&lt;=12,"DS","NS")))</f>
        <v/>
      </c>
      <c r="I724" s="157">
        <f>IFERROR(INDEX(MASTER_JAM!$B$5:$B$94,MATCH($C724,MASTER_JAM!$A$5:$A$94,0)),"")</f>
        <v/>
      </c>
      <c r="J724" s="157">
        <f>IFERROR(INDEX(MASTER_JAM!$E$5:$E$94,MATCH($D724,MASTER_JAM!$A$5:$A$94,0)),"")</f>
        <v/>
      </c>
      <c r="K724" s="158">
        <f>IFERROR(INDEX(MASTER_JAM!$J$5:$O$12,MATCH($E724,MASTER_JAM!$I$5:$I$12,0),MATCH($J724,MASTER_JAM!$J$4:$O$4,0))+0,0)</f>
        <v/>
      </c>
      <c r="L724" s="159">
        <f>N($F724)*$K724</f>
        <v/>
      </c>
      <c r="M724" s="157">
        <f>IF($E724="","",IF(OR($E724="Coal",$E724="Dirty Coal"),"MT","BCM"))</f>
        <v/>
      </c>
      <c r="N724" s="157">
        <f>IF($E724="","",IF(OR($E724="Coal",$E724="Dirty Coal"),"Coal","OB"))</f>
        <v/>
      </c>
      <c r="O724" s="157">
        <f>IF($F724="","",IF(COUNTIF(MASTER_JAM!$A$5:$A$94,$C724)=0,"Digger tidak dikenal",IF($J724="","Hauler tidak dikenal",IF($H724="?","Jam salah",IF($K724=0,"Faktor kosong",IF(SUMIFS(INPUT_DELAY!$E$5:$E$20000,INPUT_DELAY!$A$5:$A$20000,$A724,INPUT_DELAY!$B$5:$B$20000,$B724,INPUT_DELAY!$C$5:$C$20000,$C724)+SUMIFS(INPUT_DELAY!$E$5:$E$20000,INPUT_DELAY!$A$5:$A$20000,$A724,INPUT_DELAY!$B$5:$B$20000,$B724,INPUT_DELAY!$C$5:$C$20000,"SEMUA")&gt;=60,"Delay 60 mnt tapi ada ritase","OK"))))))</f>
        <v/>
      </c>
      <c r="P724" s="158">
        <f>IFERROR(INDEX(MASTER_JAM!$Z$5:$AC$10,MATCH($I724,MASTER_JAM!$Y$5:$Y$10,0),MATCH($J724,MASTER_JAM!$Z$4:$AC$4,0))+0,0)</f>
        <v/>
      </c>
      <c r="Q724" s="158">
        <f>IF($P724=0,0,$P724+IFERROR(INDEX(MASTER_JAM!$H$5:$H$94,MATCH($C724,MASTER_JAM!$A$5:$A$94,0))+0,MASTER_JAM!$AC$15)/1000*(60/MASTER_JAM!$AC$12+60/MASTER_JAM!$AC$13)+MASTER_JAM!$AC$14)</f>
        <v/>
      </c>
      <c r="R724" s="158">
        <f>IF(N($F724)=0,0,$F724/SUMIFS(INPUT_RITASE!$F$5:$F$20000,INPUT_RITASE!$A$5:$A$20000,$A724,INPUT_RITASE!$B$5:$B$20000,$B724,INPUT_RITASE!$C$5:$C$20000,$C724,INPUT_RITASE!$D$5:$D$20000,$D724))</f>
        <v/>
      </c>
      <c r="S724" s="158">
        <f>IF($Q724=0,0,$R724*$P724/$Q724)</f>
        <v/>
      </c>
    </row>
    <row r="725">
      <c r="A725" s="155" t="n">
        <v>46106</v>
      </c>
      <c r="B725" s="156" t="inlineStr">
        <is>
          <t>06-07</t>
        </is>
      </c>
      <c r="C725" s="156" t="inlineStr">
        <is>
          <t>EX-755</t>
        </is>
      </c>
      <c r="D725" s="156" t="inlineStr">
        <is>
          <t>DT-513</t>
        </is>
      </c>
      <c r="E725" s="156" t="inlineStr">
        <is>
          <t>OB</t>
        </is>
      </c>
      <c r="F725" s="156" t="n">
        <v>4</v>
      </c>
      <c r="G725" s="156" t="inlineStr"/>
      <c r="H725" s="157">
        <f>IF($B725="","",IF(ISNA(MATCH($B725,MASTER_JAM!$Q$5:$Q$28,0)),"?",IF(MATCH($B725,MASTER_JAM!$Q$5:$Q$28,0)&lt;=12,"DS","NS")))</f>
        <v/>
      </c>
      <c r="I725" s="157">
        <f>IFERROR(INDEX(MASTER_JAM!$B$5:$B$94,MATCH($C725,MASTER_JAM!$A$5:$A$94,0)),"")</f>
        <v/>
      </c>
      <c r="J725" s="157">
        <f>IFERROR(INDEX(MASTER_JAM!$E$5:$E$94,MATCH($D725,MASTER_JAM!$A$5:$A$94,0)),"")</f>
        <v/>
      </c>
      <c r="K725" s="158">
        <f>IFERROR(INDEX(MASTER_JAM!$J$5:$O$12,MATCH($E725,MASTER_JAM!$I$5:$I$12,0),MATCH($J725,MASTER_JAM!$J$4:$O$4,0))+0,0)</f>
        <v/>
      </c>
      <c r="L725" s="159">
        <f>N($F725)*$K725</f>
        <v/>
      </c>
      <c r="M725" s="157">
        <f>IF($E725="","",IF(OR($E725="Coal",$E725="Dirty Coal"),"MT","BCM"))</f>
        <v/>
      </c>
      <c r="N725" s="157">
        <f>IF($E725="","",IF(OR($E725="Coal",$E725="Dirty Coal"),"Coal","OB"))</f>
        <v/>
      </c>
      <c r="O725" s="157">
        <f>IF($F725="","",IF(COUNTIF(MASTER_JAM!$A$5:$A$94,$C725)=0,"Digger tidak dikenal",IF($J725="","Hauler tidak dikenal",IF($H725="?","Jam salah",IF($K725=0,"Faktor kosong",IF(SUMIFS(INPUT_DELAY!$E$5:$E$20000,INPUT_DELAY!$A$5:$A$20000,$A725,INPUT_DELAY!$B$5:$B$20000,$B725,INPUT_DELAY!$C$5:$C$20000,$C725)+SUMIFS(INPUT_DELAY!$E$5:$E$20000,INPUT_DELAY!$A$5:$A$20000,$A725,INPUT_DELAY!$B$5:$B$20000,$B725,INPUT_DELAY!$C$5:$C$20000,"SEMUA")&gt;=60,"Delay 60 mnt tapi ada ritase","OK"))))))</f>
        <v/>
      </c>
      <c r="P725" s="158">
        <f>IFERROR(INDEX(MASTER_JAM!$Z$5:$AC$10,MATCH($I725,MASTER_JAM!$Y$5:$Y$10,0),MATCH($J725,MASTER_JAM!$Z$4:$AC$4,0))+0,0)</f>
        <v/>
      </c>
      <c r="Q725" s="158">
        <f>IF($P725=0,0,$P725+IFERROR(INDEX(MASTER_JAM!$H$5:$H$94,MATCH($C725,MASTER_JAM!$A$5:$A$94,0))+0,MASTER_JAM!$AC$15)/1000*(60/MASTER_JAM!$AC$12+60/MASTER_JAM!$AC$13)+MASTER_JAM!$AC$14)</f>
        <v/>
      </c>
      <c r="R725" s="158">
        <f>IF(N($F725)=0,0,$F725/SUMIFS(INPUT_RITASE!$F$5:$F$20000,INPUT_RITASE!$A$5:$A$20000,$A725,INPUT_RITASE!$B$5:$B$20000,$B725,INPUT_RITASE!$C$5:$C$20000,$C725,INPUT_RITASE!$D$5:$D$20000,$D725))</f>
        <v/>
      </c>
      <c r="S725" s="158">
        <f>IF($Q725=0,0,$R725*$P725/$Q725)</f>
        <v/>
      </c>
    </row>
    <row r="726">
      <c r="A726" s="155" t="n">
        <v>46106</v>
      </c>
      <c r="B726" s="156" t="inlineStr">
        <is>
          <t>07-08</t>
        </is>
      </c>
      <c r="C726" s="156" t="inlineStr">
        <is>
          <t>EX-755</t>
        </is>
      </c>
      <c r="D726" s="156" t="inlineStr">
        <is>
          <t>DT-513</t>
        </is>
      </c>
      <c r="E726" s="156" t="inlineStr">
        <is>
          <t>OB</t>
        </is>
      </c>
      <c r="F726" s="156" t="n">
        <v>4</v>
      </c>
      <c r="G726" s="156" t="inlineStr"/>
      <c r="H726" s="157">
        <f>IF($B726="","",IF(ISNA(MATCH($B726,MASTER_JAM!$Q$5:$Q$28,0)),"?",IF(MATCH($B726,MASTER_JAM!$Q$5:$Q$28,0)&lt;=12,"DS","NS")))</f>
        <v/>
      </c>
      <c r="I726" s="157">
        <f>IFERROR(INDEX(MASTER_JAM!$B$5:$B$94,MATCH($C726,MASTER_JAM!$A$5:$A$94,0)),"")</f>
        <v/>
      </c>
      <c r="J726" s="157">
        <f>IFERROR(INDEX(MASTER_JAM!$E$5:$E$94,MATCH($D726,MASTER_JAM!$A$5:$A$94,0)),"")</f>
        <v/>
      </c>
      <c r="K726" s="158">
        <f>IFERROR(INDEX(MASTER_JAM!$J$5:$O$12,MATCH($E726,MASTER_JAM!$I$5:$I$12,0),MATCH($J726,MASTER_JAM!$J$4:$O$4,0))+0,0)</f>
        <v/>
      </c>
      <c r="L726" s="159">
        <f>N($F726)*$K726</f>
        <v/>
      </c>
      <c r="M726" s="157">
        <f>IF($E726="","",IF(OR($E726="Coal",$E726="Dirty Coal"),"MT","BCM"))</f>
        <v/>
      </c>
      <c r="N726" s="157">
        <f>IF($E726="","",IF(OR($E726="Coal",$E726="Dirty Coal"),"Coal","OB"))</f>
        <v/>
      </c>
      <c r="O726" s="157">
        <f>IF($F726="","",IF(COUNTIF(MASTER_JAM!$A$5:$A$94,$C726)=0,"Digger tidak dikenal",IF($J726="","Hauler tidak dikenal",IF($H726="?","Jam salah",IF($K726=0,"Faktor kosong",IF(SUMIFS(INPUT_DELAY!$E$5:$E$20000,INPUT_DELAY!$A$5:$A$20000,$A726,INPUT_DELAY!$B$5:$B$20000,$B726,INPUT_DELAY!$C$5:$C$20000,$C726)+SUMIFS(INPUT_DELAY!$E$5:$E$20000,INPUT_DELAY!$A$5:$A$20000,$A726,INPUT_DELAY!$B$5:$B$20000,$B726,INPUT_DELAY!$C$5:$C$20000,"SEMUA")&gt;=60,"Delay 60 mnt tapi ada ritase","OK"))))))</f>
        <v/>
      </c>
      <c r="P726" s="158">
        <f>IFERROR(INDEX(MASTER_JAM!$Z$5:$AC$10,MATCH($I726,MASTER_JAM!$Y$5:$Y$10,0),MATCH($J726,MASTER_JAM!$Z$4:$AC$4,0))+0,0)</f>
        <v/>
      </c>
      <c r="Q726" s="158">
        <f>IF($P726=0,0,$P726+IFERROR(INDEX(MASTER_JAM!$H$5:$H$94,MATCH($C726,MASTER_JAM!$A$5:$A$94,0))+0,MASTER_JAM!$AC$15)/1000*(60/MASTER_JAM!$AC$12+60/MASTER_JAM!$AC$13)+MASTER_JAM!$AC$14)</f>
        <v/>
      </c>
      <c r="R726" s="158">
        <f>IF(N($F726)=0,0,$F726/SUMIFS(INPUT_RITASE!$F$5:$F$20000,INPUT_RITASE!$A$5:$A$20000,$A726,INPUT_RITASE!$B$5:$B$20000,$B726,INPUT_RITASE!$C$5:$C$20000,$C726,INPUT_RITASE!$D$5:$D$20000,$D726))</f>
        <v/>
      </c>
      <c r="S726" s="158">
        <f>IF($Q726=0,0,$R726*$P726/$Q726)</f>
        <v/>
      </c>
    </row>
    <row r="727">
      <c r="A727" s="155" t="n">
        <v>46106</v>
      </c>
      <c r="B727" s="156" t="inlineStr">
        <is>
          <t>07-08</t>
        </is>
      </c>
      <c r="C727" s="156" t="inlineStr">
        <is>
          <t>EX-755</t>
        </is>
      </c>
      <c r="D727" s="156" t="inlineStr">
        <is>
          <t>DT-517</t>
        </is>
      </c>
      <c r="E727" s="156" t="inlineStr">
        <is>
          <t>OB</t>
        </is>
      </c>
      <c r="F727" s="156" t="n">
        <v>4</v>
      </c>
      <c r="G727" s="156" t="inlineStr"/>
      <c r="H727" s="157">
        <f>IF($B727="","",IF(ISNA(MATCH($B727,MASTER_JAM!$Q$5:$Q$28,0)),"?",IF(MATCH($B727,MASTER_JAM!$Q$5:$Q$28,0)&lt;=12,"DS","NS")))</f>
        <v/>
      </c>
      <c r="I727" s="157">
        <f>IFERROR(INDEX(MASTER_JAM!$B$5:$B$94,MATCH($C727,MASTER_JAM!$A$5:$A$94,0)),"")</f>
        <v/>
      </c>
      <c r="J727" s="157">
        <f>IFERROR(INDEX(MASTER_JAM!$E$5:$E$94,MATCH($D727,MASTER_JAM!$A$5:$A$94,0)),"")</f>
        <v/>
      </c>
      <c r="K727" s="158">
        <f>IFERROR(INDEX(MASTER_JAM!$J$5:$O$12,MATCH($E727,MASTER_JAM!$I$5:$I$12,0),MATCH($J727,MASTER_JAM!$J$4:$O$4,0))+0,0)</f>
        <v/>
      </c>
      <c r="L727" s="159">
        <f>N($F727)*$K727</f>
        <v/>
      </c>
      <c r="M727" s="157">
        <f>IF($E727="","",IF(OR($E727="Coal",$E727="Dirty Coal"),"MT","BCM"))</f>
        <v/>
      </c>
      <c r="N727" s="157">
        <f>IF($E727="","",IF(OR($E727="Coal",$E727="Dirty Coal"),"Coal","OB"))</f>
        <v/>
      </c>
      <c r="O727" s="157">
        <f>IF($F727="","",IF(COUNTIF(MASTER_JAM!$A$5:$A$94,$C727)=0,"Digger tidak dikenal",IF($J727="","Hauler tidak dikenal",IF($H727="?","Jam salah",IF($K727=0,"Faktor kosong",IF(SUMIFS(INPUT_DELAY!$E$5:$E$20000,INPUT_DELAY!$A$5:$A$20000,$A727,INPUT_DELAY!$B$5:$B$20000,$B727,INPUT_DELAY!$C$5:$C$20000,$C727)+SUMIFS(INPUT_DELAY!$E$5:$E$20000,INPUT_DELAY!$A$5:$A$20000,$A727,INPUT_DELAY!$B$5:$B$20000,$B727,INPUT_DELAY!$C$5:$C$20000,"SEMUA")&gt;=60,"Delay 60 mnt tapi ada ritase","OK"))))))</f>
        <v/>
      </c>
      <c r="P727" s="158">
        <f>IFERROR(INDEX(MASTER_JAM!$Z$5:$AC$10,MATCH($I727,MASTER_JAM!$Y$5:$Y$10,0),MATCH($J727,MASTER_JAM!$Z$4:$AC$4,0))+0,0)</f>
        <v/>
      </c>
      <c r="Q727" s="158">
        <f>IF($P727=0,0,$P727+IFERROR(INDEX(MASTER_JAM!$H$5:$H$94,MATCH($C727,MASTER_JAM!$A$5:$A$94,0))+0,MASTER_JAM!$AC$15)/1000*(60/MASTER_JAM!$AC$12+60/MASTER_JAM!$AC$13)+MASTER_JAM!$AC$14)</f>
        <v/>
      </c>
      <c r="R727" s="158">
        <f>IF(N($F727)=0,0,$F727/SUMIFS(INPUT_RITASE!$F$5:$F$20000,INPUT_RITASE!$A$5:$A$20000,$A727,INPUT_RITASE!$B$5:$B$20000,$B727,INPUT_RITASE!$C$5:$C$20000,$C727,INPUT_RITASE!$D$5:$D$20000,$D727))</f>
        <v/>
      </c>
      <c r="S727" s="158">
        <f>IF($Q727=0,0,$R727*$P727/$Q727)</f>
        <v/>
      </c>
    </row>
    <row r="728">
      <c r="A728" s="155" t="n">
        <v>46106</v>
      </c>
      <c r="B728" s="156" t="inlineStr">
        <is>
          <t>07-08</t>
        </is>
      </c>
      <c r="C728" s="156" t="inlineStr">
        <is>
          <t>EX-755</t>
        </is>
      </c>
      <c r="D728" s="156" t="inlineStr">
        <is>
          <t>DT-522</t>
        </is>
      </c>
      <c r="E728" s="156" t="inlineStr">
        <is>
          <t>OB</t>
        </is>
      </c>
      <c r="F728" s="156" t="n">
        <v>4</v>
      </c>
      <c r="G728" s="156" t="inlineStr"/>
      <c r="H728" s="157">
        <f>IF($B728="","",IF(ISNA(MATCH($B728,MASTER_JAM!$Q$5:$Q$28,0)),"?",IF(MATCH($B728,MASTER_JAM!$Q$5:$Q$28,0)&lt;=12,"DS","NS")))</f>
        <v/>
      </c>
      <c r="I728" s="157">
        <f>IFERROR(INDEX(MASTER_JAM!$B$5:$B$94,MATCH($C728,MASTER_JAM!$A$5:$A$94,0)),"")</f>
        <v/>
      </c>
      <c r="J728" s="157">
        <f>IFERROR(INDEX(MASTER_JAM!$E$5:$E$94,MATCH($D728,MASTER_JAM!$A$5:$A$94,0)),"")</f>
        <v/>
      </c>
      <c r="K728" s="158">
        <f>IFERROR(INDEX(MASTER_JAM!$J$5:$O$12,MATCH($E728,MASTER_JAM!$I$5:$I$12,0),MATCH($J728,MASTER_JAM!$J$4:$O$4,0))+0,0)</f>
        <v/>
      </c>
      <c r="L728" s="159">
        <f>N($F728)*$K728</f>
        <v/>
      </c>
      <c r="M728" s="157">
        <f>IF($E728="","",IF(OR($E728="Coal",$E728="Dirty Coal"),"MT","BCM"))</f>
        <v/>
      </c>
      <c r="N728" s="157">
        <f>IF($E728="","",IF(OR($E728="Coal",$E728="Dirty Coal"),"Coal","OB"))</f>
        <v/>
      </c>
      <c r="O728" s="157">
        <f>IF($F728="","",IF(COUNTIF(MASTER_JAM!$A$5:$A$94,$C728)=0,"Digger tidak dikenal",IF($J728="","Hauler tidak dikenal",IF($H728="?","Jam salah",IF($K728=0,"Faktor kosong",IF(SUMIFS(INPUT_DELAY!$E$5:$E$20000,INPUT_DELAY!$A$5:$A$20000,$A728,INPUT_DELAY!$B$5:$B$20000,$B728,INPUT_DELAY!$C$5:$C$20000,$C728)+SUMIFS(INPUT_DELAY!$E$5:$E$20000,INPUT_DELAY!$A$5:$A$20000,$A728,INPUT_DELAY!$B$5:$B$20000,$B728,INPUT_DELAY!$C$5:$C$20000,"SEMUA")&gt;=60,"Delay 60 mnt tapi ada ritase","OK"))))))</f>
        <v/>
      </c>
      <c r="P728" s="158">
        <f>IFERROR(INDEX(MASTER_JAM!$Z$5:$AC$10,MATCH($I728,MASTER_JAM!$Y$5:$Y$10,0),MATCH($J728,MASTER_JAM!$Z$4:$AC$4,0))+0,0)</f>
        <v/>
      </c>
      <c r="Q728" s="158">
        <f>IF($P728=0,0,$P728+IFERROR(INDEX(MASTER_JAM!$H$5:$H$94,MATCH($C728,MASTER_JAM!$A$5:$A$94,0))+0,MASTER_JAM!$AC$15)/1000*(60/MASTER_JAM!$AC$12+60/MASTER_JAM!$AC$13)+MASTER_JAM!$AC$14)</f>
        <v/>
      </c>
      <c r="R728" s="158">
        <f>IF(N($F728)=0,0,$F728/SUMIFS(INPUT_RITASE!$F$5:$F$20000,INPUT_RITASE!$A$5:$A$20000,$A728,INPUT_RITASE!$B$5:$B$20000,$B728,INPUT_RITASE!$C$5:$C$20000,$C728,INPUT_RITASE!$D$5:$D$20000,$D728))</f>
        <v/>
      </c>
      <c r="S728" s="158">
        <f>IF($Q728=0,0,$R728*$P728/$Q728)</f>
        <v/>
      </c>
    </row>
    <row r="729">
      <c r="A729" s="155" t="n">
        <v>46106</v>
      </c>
      <c r="B729" s="156" t="inlineStr">
        <is>
          <t>07-08</t>
        </is>
      </c>
      <c r="C729" s="156" t="inlineStr">
        <is>
          <t>EX-755</t>
        </is>
      </c>
      <c r="D729" s="156" t="inlineStr">
        <is>
          <t>DT-507</t>
        </is>
      </c>
      <c r="E729" s="156" t="inlineStr">
        <is>
          <t>OB</t>
        </is>
      </c>
      <c r="F729" s="156" t="n">
        <v>4</v>
      </c>
      <c r="G729" s="156" t="inlineStr"/>
      <c r="H729" s="157">
        <f>IF($B729="","",IF(ISNA(MATCH($B729,MASTER_JAM!$Q$5:$Q$28,0)),"?",IF(MATCH($B729,MASTER_JAM!$Q$5:$Q$28,0)&lt;=12,"DS","NS")))</f>
        <v/>
      </c>
      <c r="I729" s="157">
        <f>IFERROR(INDEX(MASTER_JAM!$B$5:$B$94,MATCH($C729,MASTER_JAM!$A$5:$A$94,0)),"")</f>
        <v/>
      </c>
      <c r="J729" s="157">
        <f>IFERROR(INDEX(MASTER_JAM!$E$5:$E$94,MATCH($D729,MASTER_JAM!$A$5:$A$94,0)),"")</f>
        <v/>
      </c>
      <c r="K729" s="158">
        <f>IFERROR(INDEX(MASTER_JAM!$J$5:$O$12,MATCH($E729,MASTER_JAM!$I$5:$I$12,0),MATCH($J729,MASTER_JAM!$J$4:$O$4,0))+0,0)</f>
        <v/>
      </c>
      <c r="L729" s="159">
        <f>N($F729)*$K729</f>
        <v/>
      </c>
      <c r="M729" s="157">
        <f>IF($E729="","",IF(OR($E729="Coal",$E729="Dirty Coal"),"MT","BCM"))</f>
        <v/>
      </c>
      <c r="N729" s="157">
        <f>IF($E729="","",IF(OR($E729="Coal",$E729="Dirty Coal"),"Coal","OB"))</f>
        <v/>
      </c>
      <c r="O729" s="157">
        <f>IF($F729="","",IF(COUNTIF(MASTER_JAM!$A$5:$A$94,$C729)=0,"Digger tidak dikenal",IF($J729="","Hauler tidak dikenal",IF($H729="?","Jam salah",IF($K729=0,"Faktor kosong",IF(SUMIFS(INPUT_DELAY!$E$5:$E$20000,INPUT_DELAY!$A$5:$A$20000,$A729,INPUT_DELAY!$B$5:$B$20000,$B729,INPUT_DELAY!$C$5:$C$20000,$C729)+SUMIFS(INPUT_DELAY!$E$5:$E$20000,INPUT_DELAY!$A$5:$A$20000,$A729,INPUT_DELAY!$B$5:$B$20000,$B729,INPUT_DELAY!$C$5:$C$20000,"SEMUA")&gt;=60,"Delay 60 mnt tapi ada ritase","OK"))))))</f>
        <v/>
      </c>
      <c r="P729" s="158">
        <f>IFERROR(INDEX(MASTER_JAM!$Z$5:$AC$10,MATCH($I729,MASTER_JAM!$Y$5:$Y$10,0),MATCH($J729,MASTER_JAM!$Z$4:$AC$4,0))+0,0)</f>
        <v/>
      </c>
      <c r="Q729" s="158">
        <f>IF($P729=0,0,$P729+IFERROR(INDEX(MASTER_JAM!$H$5:$H$94,MATCH($C729,MASTER_JAM!$A$5:$A$94,0))+0,MASTER_JAM!$AC$15)/1000*(60/MASTER_JAM!$AC$12+60/MASTER_JAM!$AC$13)+MASTER_JAM!$AC$14)</f>
        <v/>
      </c>
      <c r="R729" s="158">
        <f>IF(N($F729)=0,0,$F729/SUMIFS(INPUT_RITASE!$F$5:$F$20000,INPUT_RITASE!$A$5:$A$20000,$A729,INPUT_RITASE!$B$5:$B$20000,$B729,INPUT_RITASE!$C$5:$C$20000,$C729,INPUT_RITASE!$D$5:$D$20000,$D729))</f>
        <v/>
      </c>
      <c r="S729" s="158">
        <f>IF($Q729=0,0,$R729*$P729/$Q729)</f>
        <v/>
      </c>
    </row>
    <row r="730">
      <c r="A730" s="155" t="n">
        <v>46106</v>
      </c>
      <c r="B730" s="156" t="inlineStr">
        <is>
          <t>07-08</t>
        </is>
      </c>
      <c r="C730" s="156" t="inlineStr">
        <is>
          <t>EX-755</t>
        </is>
      </c>
      <c r="D730" s="156" t="inlineStr">
        <is>
          <t>DT-527</t>
        </is>
      </c>
      <c r="E730" s="156" t="inlineStr">
        <is>
          <t>OB</t>
        </is>
      </c>
      <c r="F730" s="156" t="n">
        <v>4</v>
      </c>
      <c r="G730" s="156" t="inlineStr"/>
      <c r="H730" s="157">
        <f>IF($B730="","",IF(ISNA(MATCH($B730,MASTER_JAM!$Q$5:$Q$28,0)),"?",IF(MATCH($B730,MASTER_JAM!$Q$5:$Q$28,0)&lt;=12,"DS","NS")))</f>
        <v/>
      </c>
      <c r="I730" s="157">
        <f>IFERROR(INDEX(MASTER_JAM!$B$5:$B$94,MATCH($C730,MASTER_JAM!$A$5:$A$94,0)),"")</f>
        <v/>
      </c>
      <c r="J730" s="157">
        <f>IFERROR(INDEX(MASTER_JAM!$E$5:$E$94,MATCH($D730,MASTER_JAM!$A$5:$A$94,0)),"")</f>
        <v/>
      </c>
      <c r="K730" s="158">
        <f>IFERROR(INDEX(MASTER_JAM!$J$5:$O$12,MATCH($E730,MASTER_JAM!$I$5:$I$12,0),MATCH($J730,MASTER_JAM!$J$4:$O$4,0))+0,0)</f>
        <v/>
      </c>
      <c r="L730" s="159">
        <f>N($F730)*$K730</f>
        <v/>
      </c>
      <c r="M730" s="157">
        <f>IF($E730="","",IF(OR($E730="Coal",$E730="Dirty Coal"),"MT","BCM"))</f>
        <v/>
      </c>
      <c r="N730" s="157">
        <f>IF($E730="","",IF(OR($E730="Coal",$E730="Dirty Coal"),"Coal","OB"))</f>
        <v/>
      </c>
      <c r="O730" s="157">
        <f>IF($F730="","",IF(COUNTIF(MASTER_JAM!$A$5:$A$94,$C730)=0,"Digger tidak dikenal",IF($J730="","Hauler tidak dikenal",IF($H730="?","Jam salah",IF($K730=0,"Faktor kosong",IF(SUMIFS(INPUT_DELAY!$E$5:$E$20000,INPUT_DELAY!$A$5:$A$20000,$A730,INPUT_DELAY!$B$5:$B$20000,$B730,INPUT_DELAY!$C$5:$C$20000,$C730)+SUMIFS(INPUT_DELAY!$E$5:$E$20000,INPUT_DELAY!$A$5:$A$20000,$A730,INPUT_DELAY!$B$5:$B$20000,$B730,INPUT_DELAY!$C$5:$C$20000,"SEMUA")&gt;=60,"Delay 60 mnt tapi ada ritase","OK"))))))</f>
        <v/>
      </c>
      <c r="P730" s="158">
        <f>IFERROR(INDEX(MASTER_JAM!$Z$5:$AC$10,MATCH($I730,MASTER_JAM!$Y$5:$Y$10,0),MATCH($J730,MASTER_JAM!$Z$4:$AC$4,0))+0,0)</f>
        <v/>
      </c>
      <c r="Q730" s="158">
        <f>IF($P730=0,0,$P730+IFERROR(INDEX(MASTER_JAM!$H$5:$H$94,MATCH($C730,MASTER_JAM!$A$5:$A$94,0))+0,MASTER_JAM!$AC$15)/1000*(60/MASTER_JAM!$AC$12+60/MASTER_JAM!$AC$13)+MASTER_JAM!$AC$14)</f>
        <v/>
      </c>
      <c r="R730" s="158">
        <f>IF(N($F730)=0,0,$F730/SUMIFS(INPUT_RITASE!$F$5:$F$20000,INPUT_RITASE!$A$5:$A$20000,$A730,INPUT_RITASE!$B$5:$B$20000,$B730,INPUT_RITASE!$C$5:$C$20000,$C730,INPUT_RITASE!$D$5:$D$20000,$D730))</f>
        <v/>
      </c>
      <c r="S730" s="158">
        <f>IF($Q730=0,0,$R730*$P730/$Q730)</f>
        <v/>
      </c>
    </row>
    <row r="731">
      <c r="A731" s="155" t="n">
        <v>46106</v>
      </c>
      <c r="B731" s="156" t="inlineStr">
        <is>
          <t>08-09</t>
        </is>
      </c>
      <c r="C731" s="156" t="inlineStr">
        <is>
          <t>EX-755</t>
        </is>
      </c>
      <c r="D731" s="156" t="inlineStr">
        <is>
          <t>DT-508</t>
        </is>
      </c>
      <c r="E731" s="156" t="inlineStr">
        <is>
          <t>OB</t>
        </is>
      </c>
      <c r="F731" s="156" t="n">
        <v>4</v>
      </c>
      <c r="G731" s="156" t="inlineStr"/>
      <c r="H731" s="157">
        <f>IF($B731="","",IF(ISNA(MATCH($B731,MASTER_JAM!$Q$5:$Q$28,0)),"?",IF(MATCH($B731,MASTER_JAM!$Q$5:$Q$28,0)&lt;=12,"DS","NS")))</f>
        <v/>
      </c>
      <c r="I731" s="157">
        <f>IFERROR(INDEX(MASTER_JAM!$B$5:$B$94,MATCH($C731,MASTER_JAM!$A$5:$A$94,0)),"")</f>
        <v/>
      </c>
      <c r="J731" s="157">
        <f>IFERROR(INDEX(MASTER_JAM!$E$5:$E$94,MATCH($D731,MASTER_JAM!$A$5:$A$94,0)),"")</f>
        <v/>
      </c>
      <c r="K731" s="158">
        <f>IFERROR(INDEX(MASTER_JAM!$J$5:$O$12,MATCH($E731,MASTER_JAM!$I$5:$I$12,0),MATCH($J731,MASTER_JAM!$J$4:$O$4,0))+0,0)</f>
        <v/>
      </c>
      <c r="L731" s="159">
        <f>N($F731)*$K731</f>
        <v/>
      </c>
      <c r="M731" s="157">
        <f>IF($E731="","",IF(OR($E731="Coal",$E731="Dirty Coal"),"MT","BCM"))</f>
        <v/>
      </c>
      <c r="N731" s="157">
        <f>IF($E731="","",IF(OR($E731="Coal",$E731="Dirty Coal"),"Coal","OB"))</f>
        <v/>
      </c>
      <c r="O731" s="157">
        <f>IF($F731="","",IF(COUNTIF(MASTER_JAM!$A$5:$A$94,$C731)=0,"Digger tidak dikenal",IF($J731="","Hauler tidak dikenal",IF($H731="?","Jam salah",IF($K731=0,"Faktor kosong",IF(SUMIFS(INPUT_DELAY!$E$5:$E$20000,INPUT_DELAY!$A$5:$A$20000,$A731,INPUT_DELAY!$B$5:$B$20000,$B731,INPUT_DELAY!$C$5:$C$20000,$C731)+SUMIFS(INPUT_DELAY!$E$5:$E$20000,INPUT_DELAY!$A$5:$A$20000,$A731,INPUT_DELAY!$B$5:$B$20000,$B731,INPUT_DELAY!$C$5:$C$20000,"SEMUA")&gt;=60,"Delay 60 mnt tapi ada ritase","OK"))))))</f>
        <v/>
      </c>
      <c r="P731" s="158">
        <f>IFERROR(INDEX(MASTER_JAM!$Z$5:$AC$10,MATCH($I731,MASTER_JAM!$Y$5:$Y$10,0),MATCH($J731,MASTER_JAM!$Z$4:$AC$4,0))+0,0)</f>
        <v/>
      </c>
      <c r="Q731" s="158">
        <f>IF($P731=0,0,$P731+IFERROR(INDEX(MASTER_JAM!$H$5:$H$94,MATCH($C731,MASTER_JAM!$A$5:$A$94,0))+0,MASTER_JAM!$AC$15)/1000*(60/MASTER_JAM!$AC$12+60/MASTER_JAM!$AC$13)+MASTER_JAM!$AC$14)</f>
        <v/>
      </c>
      <c r="R731" s="158">
        <f>IF(N($F731)=0,0,$F731/SUMIFS(INPUT_RITASE!$F$5:$F$20000,INPUT_RITASE!$A$5:$A$20000,$A731,INPUT_RITASE!$B$5:$B$20000,$B731,INPUT_RITASE!$C$5:$C$20000,$C731,INPUT_RITASE!$D$5:$D$20000,$D731))</f>
        <v/>
      </c>
      <c r="S731" s="158">
        <f>IF($Q731=0,0,$R731*$P731/$Q731)</f>
        <v/>
      </c>
    </row>
    <row r="732">
      <c r="A732" s="155" t="n">
        <v>46106</v>
      </c>
      <c r="B732" s="156" t="inlineStr">
        <is>
          <t>08-09</t>
        </is>
      </c>
      <c r="C732" s="156" t="inlineStr">
        <is>
          <t>EX-755</t>
        </is>
      </c>
      <c r="D732" s="156" t="inlineStr">
        <is>
          <t>DT-520</t>
        </is>
      </c>
      <c r="E732" s="156" t="inlineStr">
        <is>
          <t>OB</t>
        </is>
      </c>
      <c r="F732" s="156" t="n">
        <v>4</v>
      </c>
      <c r="G732" s="156" t="inlineStr"/>
      <c r="H732" s="157">
        <f>IF($B732="","",IF(ISNA(MATCH($B732,MASTER_JAM!$Q$5:$Q$28,0)),"?",IF(MATCH($B732,MASTER_JAM!$Q$5:$Q$28,0)&lt;=12,"DS","NS")))</f>
        <v/>
      </c>
      <c r="I732" s="157">
        <f>IFERROR(INDEX(MASTER_JAM!$B$5:$B$94,MATCH($C732,MASTER_JAM!$A$5:$A$94,0)),"")</f>
        <v/>
      </c>
      <c r="J732" s="157">
        <f>IFERROR(INDEX(MASTER_JAM!$E$5:$E$94,MATCH($D732,MASTER_JAM!$A$5:$A$94,0)),"")</f>
        <v/>
      </c>
      <c r="K732" s="158">
        <f>IFERROR(INDEX(MASTER_JAM!$J$5:$O$12,MATCH($E732,MASTER_JAM!$I$5:$I$12,0),MATCH($J732,MASTER_JAM!$J$4:$O$4,0))+0,0)</f>
        <v/>
      </c>
      <c r="L732" s="159">
        <f>N($F732)*$K732</f>
        <v/>
      </c>
      <c r="M732" s="157">
        <f>IF($E732="","",IF(OR($E732="Coal",$E732="Dirty Coal"),"MT","BCM"))</f>
        <v/>
      </c>
      <c r="N732" s="157">
        <f>IF($E732="","",IF(OR($E732="Coal",$E732="Dirty Coal"),"Coal","OB"))</f>
        <v/>
      </c>
      <c r="O732" s="157">
        <f>IF($F732="","",IF(COUNTIF(MASTER_JAM!$A$5:$A$94,$C732)=0,"Digger tidak dikenal",IF($J732="","Hauler tidak dikenal",IF($H732="?","Jam salah",IF($K732=0,"Faktor kosong",IF(SUMIFS(INPUT_DELAY!$E$5:$E$20000,INPUT_DELAY!$A$5:$A$20000,$A732,INPUT_DELAY!$B$5:$B$20000,$B732,INPUT_DELAY!$C$5:$C$20000,$C732)+SUMIFS(INPUT_DELAY!$E$5:$E$20000,INPUT_DELAY!$A$5:$A$20000,$A732,INPUT_DELAY!$B$5:$B$20000,$B732,INPUT_DELAY!$C$5:$C$20000,"SEMUA")&gt;=60,"Delay 60 mnt tapi ada ritase","OK"))))))</f>
        <v/>
      </c>
      <c r="P732" s="158">
        <f>IFERROR(INDEX(MASTER_JAM!$Z$5:$AC$10,MATCH($I732,MASTER_JAM!$Y$5:$Y$10,0),MATCH($J732,MASTER_JAM!$Z$4:$AC$4,0))+0,0)</f>
        <v/>
      </c>
      <c r="Q732" s="158">
        <f>IF($P732=0,0,$P732+IFERROR(INDEX(MASTER_JAM!$H$5:$H$94,MATCH($C732,MASTER_JAM!$A$5:$A$94,0))+0,MASTER_JAM!$AC$15)/1000*(60/MASTER_JAM!$AC$12+60/MASTER_JAM!$AC$13)+MASTER_JAM!$AC$14)</f>
        <v/>
      </c>
      <c r="R732" s="158">
        <f>IF(N($F732)=0,0,$F732/SUMIFS(INPUT_RITASE!$F$5:$F$20000,INPUT_RITASE!$A$5:$A$20000,$A732,INPUT_RITASE!$B$5:$B$20000,$B732,INPUT_RITASE!$C$5:$C$20000,$C732,INPUT_RITASE!$D$5:$D$20000,$D732))</f>
        <v/>
      </c>
      <c r="S732" s="158">
        <f>IF($Q732=0,0,$R732*$P732/$Q732)</f>
        <v/>
      </c>
    </row>
    <row r="733">
      <c r="A733" s="155" t="n">
        <v>46106</v>
      </c>
      <c r="B733" s="156" t="inlineStr">
        <is>
          <t>08-09</t>
        </is>
      </c>
      <c r="C733" s="156" t="inlineStr">
        <is>
          <t>EX-755</t>
        </is>
      </c>
      <c r="D733" s="156" t="inlineStr">
        <is>
          <t>DT-528</t>
        </is>
      </c>
      <c r="E733" s="156" t="inlineStr">
        <is>
          <t>OB</t>
        </is>
      </c>
      <c r="F733" s="156" t="n">
        <v>4</v>
      </c>
      <c r="G733" s="156" t="inlineStr"/>
      <c r="H733" s="157">
        <f>IF($B733="","",IF(ISNA(MATCH($B733,MASTER_JAM!$Q$5:$Q$28,0)),"?",IF(MATCH($B733,MASTER_JAM!$Q$5:$Q$28,0)&lt;=12,"DS","NS")))</f>
        <v/>
      </c>
      <c r="I733" s="157">
        <f>IFERROR(INDEX(MASTER_JAM!$B$5:$B$94,MATCH($C733,MASTER_JAM!$A$5:$A$94,0)),"")</f>
        <v/>
      </c>
      <c r="J733" s="157">
        <f>IFERROR(INDEX(MASTER_JAM!$E$5:$E$94,MATCH($D733,MASTER_JAM!$A$5:$A$94,0)),"")</f>
        <v/>
      </c>
      <c r="K733" s="158">
        <f>IFERROR(INDEX(MASTER_JAM!$J$5:$O$12,MATCH($E733,MASTER_JAM!$I$5:$I$12,0),MATCH($J733,MASTER_JAM!$J$4:$O$4,0))+0,0)</f>
        <v/>
      </c>
      <c r="L733" s="159">
        <f>N($F733)*$K733</f>
        <v/>
      </c>
      <c r="M733" s="157">
        <f>IF($E733="","",IF(OR($E733="Coal",$E733="Dirty Coal"),"MT","BCM"))</f>
        <v/>
      </c>
      <c r="N733" s="157">
        <f>IF($E733="","",IF(OR($E733="Coal",$E733="Dirty Coal"),"Coal","OB"))</f>
        <v/>
      </c>
      <c r="O733" s="157">
        <f>IF($F733="","",IF(COUNTIF(MASTER_JAM!$A$5:$A$94,$C733)=0,"Digger tidak dikenal",IF($J733="","Hauler tidak dikenal",IF($H733="?","Jam salah",IF($K733=0,"Faktor kosong",IF(SUMIFS(INPUT_DELAY!$E$5:$E$20000,INPUT_DELAY!$A$5:$A$20000,$A733,INPUT_DELAY!$B$5:$B$20000,$B733,INPUT_DELAY!$C$5:$C$20000,$C733)+SUMIFS(INPUT_DELAY!$E$5:$E$20000,INPUT_DELAY!$A$5:$A$20000,$A733,INPUT_DELAY!$B$5:$B$20000,$B733,INPUT_DELAY!$C$5:$C$20000,"SEMUA")&gt;=60,"Delay 60 mnt tapi ada ritase","OK"))))))</f>
        <v/>
      </c>
      <c r="P733" s="158">
        <f>IFERROR(INDEX(MASTER_JAM!$Z$5:$AC$10,MATCH($I733,MASTER_JAM!$Y$5:$Y$10,0),MATCH($J733,MASTER_JAM!$Z$4:$AC$4,0))+0,0)</f>
        <v/>
      </c>
      <c r="Q733" s="158">
        <f>IF($P733=0,0,$P733+IFERROR(INDEX(MASTER_JAM!$H$5:$H$94,MATCH($C733,MASTER_JAM!$A$5:$A$94,0))+0,MASTER_JAM!$AC$15)/1000*(60/MASTER_JAM!$AC$12+60/MASTER_JAM!$AC$13)+MASTER_JAM!$AC$14)</f>
        <v/>
      </c>
      <c r="R733" s="158">
        <f>IF(N($F733)=0,0,$F733/SUMIFS(INPUT_RITASE!$F$5:$F$20000,INPUT_RITASE!$A$5:$A$20000,$A733,INPUT_RITASE!$B$5:$B$20000,$B733,INPUT_RITASE!$C$5:$C$20000,$C733,INPUT_RITASE!$D$5:$D$20000,$D733))</f>
        <v/>
      </c>
      <c r="S733" s="158">
        <f>IF($Q733=0,0,$R733*$P733/$Q733)</f>
        <v/>
      </c>
    </row>
    <row r="734">
      <c r="A734" s="155" t="n">
        <v>46106</v>
      </c>
      <c r="B734" s="156" t="inlineStr">
        <is>
          <t>08-09</t>
        </is>
      </c>
      <c r="C734" s="156" t="inlineStr">
        <is>
          <t>EX-755</t>
        </is>
      </c>
      <c r="D734" s="156" t="inlineStr">
        <is>
          <t>DT-513</t>
        </is>
      </c>
      <c r="E734" s="156" t="inlineStr">
        <is>
          <t>OB</t>
        </is>
      </c>
      <c r="F734" s="156" t="n">
        <v>3</v>
      </c>
      <c r="G734" s="156" t="inlineStr"/>
      <c r="H734" s="157">
        <f>IF($B734="","",IF(ISNA(MATCH($B734,MASTER_JAM!$Q$5:$Q$28,0)),"?",IF(MATCH($B734,MASTER_JAM!$Q$5:$Q$28,0)&lt;=12,"DS","NS")))</f>
        <v/>
      </c>
      <c r="I734" s="157">
        <f>IFERROR(INDEX(MASTER_JAM!$B$5:$B$94,MATCH($C734,MASTER_JAM!$A$5:$A$94,0)),"")</f>
        <v/>
      </c>
      <c r="J734" s="157">
        <f>IFERROR(INDEX(MASTER_JAM!$E$5:$E$94,MATCH($D734,MASTER_JAM!$A$5:$A$94,0)),"")</f>
        <v/>
      </c>
      <c r="K734" s="158">
        <f>IFERROR(INDEX(MASTER_JAM!$J$5:$O$12,MATCH($E734,MASTER_JAM!$I$5:$I$12,0),MATCH($J734,MASTER_JAM!$J$4:$O$4,0))+0,0)</f>
        <v/>
      </c>
      <c r="L734" s="159">
        <f>N($F734)*$K734</f>
        <v/>
      </c>
      <c r="M734" s="157">
        <f>IF($E734="","",IF(OR($E734="Coal",$E734="Dirty Coal"),"MT","BCM"))</f>
        <v/>
      </c>
      <c r="N734" s="157">
        <f>IF($E734="","",IF(OR($E734="Coal",$E734="Dirty Coal"),"Coal","OB"))</f>
        <v/>
      </c>
      <c r="O734" s="157">
        <f>IF($F734="","",IF(COUNTIF(MASTER_JAM!$A$5:$A$94,$C734)=0,"Digger tidak dikenal",IF($J734="","Hauler tidak dikenal",IF($H734="?","Jam salah",IF($K734=0,"Faktor kosong",IF(SUMIFS(INPUT_DELAY!$E$5:$E$20000,INPUT_DELAY!$A$5:$A$20000,$A734,INPUT_DELAY!$B$5:$B$20000,$B734,INPUT_DELAY!$C$5:$C$20000,$C734)+SUMIFS(INPUT_DELAY!$E$5:$E$20000,INPUT_DELAY!$A$5:$A$20000,$A734,INPUT_DELAY!$B$5:$B$20000,$B734,INPUT_DELAY!$C$5:$C$20000,"SEMUA")&gt;=60,"Delay 60 mnt tapi ada ritase","OK"))))))</f>
        <v/>
      </c>
      <c r="P734" s="158">
        <f>IFERROR(INDEX(MASTER_JAM!$Z$5:$AC$10,MATCH($I734,MASTER_JAM!$Y$5:$Y$10,0),MATCH($J734,MASTER_JAM!$Z$4:$AC$4,0))+0,0)</f>
        <v/>
      </c>
      <c r="Q734" s="158">
        <f>IF($P734=0,0,$P734+IFERROR(INDEX(MASTER_JAM!$H$5:$H$94,MATCH($C734,MASTER_JAM!$A$5:$A$94,0))+0,MASTER_JAM!$AC$15)/1000*(60/MASTER_JAM!$AC$12+60/MASTER_JAM!$AC$13)+MASTER_JAM!$AC$14)</f>
        <v/>
      </c>
      <c r="R734" s="158">
        <f>IF(N($F734)=0,0,$F734/SUMIFS(INPUT_RITASE!$F$5:$F$20000,INPUT_RITASE!$A$5:$A$20000,$A734,INPUT_RITASE!$B$5:$B$20000,$B734,INPUT_RITASE!$C$5:$C$20000,$C734,INPUT_RITASE!$D$5:$D$20000,$D734))</f>
        <v/>
      </c>
      <c r="S734" s="158">
        <f>IF($Q734=0,0,$R734*$P734/$Q734)</f>
        <v/>
      </c>
    </row>
    <row r="735">
      <c r="A735" s="155" t="n">
        <v>46106</v>
      </c>
      <c r="B735" s="156" t="inlineStr">
        <is>
          <t>08-09</t>
        </is>
      </c>
      <c r="C735" s="156" t="inlineStr">
        <is>
          <t>EX-755</t>
        </is>
      </c>
      <c r="D735" s="156" t="inlineStr">
        <is>
          <t>DT-518</t>
        </is>
      </c>
      <c r="E735" s="156" t="inlineStr">
        <is>
          <t>OB</t>
        </is>
      </c>
      <c r="F735" s="156" t="n">
        <v>3</v>
      </c>
      <c r="G735" s="156" t="inlineStr"/>
      <c r="H735" s="157">
        <f>IF($B735="","",IF(ISNA(MATCH($B735,MASTER_JAM!$Q$5:$Q$28,0)),"?",IF(MATCH($B735,MASTER_JAM!$Q$5:$Q$28,0)&lt;=12,"DS","NS")))</f>
        <v/>
      </c>
      <c r="I735" s="157">
        <f>IFERROR(INDEX(MASTER_JAM!$B$5:$B$94,MATCH($C735,MASTER_JAM!$A$5:$A$94,0)),"")</f>
        <v/>
      </c>
      <c r="J735" s="157">
        <f>IFERROR(INDEX(MASTER_JAM!$E$5:$E$94,MATCH($D735,MASTER_JAM!$A$5:$A$94,0)),"")</f>
        <v/>
      </c>
      <c r="K735" s="158">
        <f>IFERROR(INDEX(MASTER_JAM!$J$5:$O$12,MATCH($E735,MASTER_JAM!$I$5:$I$12,0),MATCH($J735,MASTER_JAM!$J$4:$O$4,0))+0,0)</f>
        <v/>
      </c>
      <c r="L735" s="159">
        <f>N($F735)*$K735</f>
        <v/>
      </c>
      <c r="M735" s="157">
        <f>IF($E735="","",IF(OR($E735="Coal",$E735="Dirty Coal"),"MT","BCM"))</f>
        <v/>
      </c>
      <c r="N735" s="157">
        <f>IF($E735="","",IF(OR($E735="Coal",$E735="Dirty Coal"),"Coal","OB"))</f>
        <v/>
      </c>
      <c r="O735" s="157">
        <f>IF($F735="","",IF(COUNTIF(MASTER_JAM!$A$5:$A$94,$C735)=0,"Digger tidak dikenal",IF($J735="","Hauler tidak dikenal",IF($H735="?","Jam salah",IF($K735=0,"Faktor kosong",IF(SUMIFS(INPUT_DELAY!$E$5:$E$20000,INPUT_DELAY!$A$5:$A$20000,$A735,INPUT_DELAY!$B$5:$B$20000,$B735,INPUT_DELAY!$C$5:$C$20000,$C735)+SUMIFS(INPUT_DELAY!$E$5:$E$20000,INPUT_DELAY!$A$5:$A$20000,$A735,INPUT_DELAY!$B$5:$B$20000,$B735,INPUT_DELAY!$C$5:$C$20000,"SEMUA")&gt;=60,"Delay 60 mnt tapi ada ritase","OK"))))))</f>
        <v/>
      </c>
      <c r="P735" s="158">
        <f>IFERROR(INDEX(MASTER_JAM!$Z$5:$AC$10,MATCH($I735,MASTER_JAM!$Y$5:$Y$10,0),MATCH($J735,MASTER_JAM!$Z$4:$AC$4,0))+0,0)</f>
        <v/>
      </c>
      <c r="Q735" s="158">
        <f>IF($P735=0,0,$P735+IFERROR(INDEX(MASTER_JAM!$H$5:$H$94,MATCH($C735,MASTER_JAM!$A$5:$A$94,0))+0,MASTER_JAM!$AC$15)/1000*(60/MASTER_JAM!$AC$12+60/MASTER_JAM!$AC$13)+MASTER_JAM!$AC$14)</f>
        <v/>
      </c>
      <c r="R735" s="158">
        <f>IF(N($F735)=0,0,$F735/SUMIFS(INPUT_RITASE!$F$5:$F$20000,INPUT_RITASE!$A$5:$A$20000,$A735,INPUT_RITASE!$B$5:$B$20000,$B735,INPUT_RITASE!$C$5:$C$20000,$C735,INPUT_RITASE!$D$5:$D$20000,$D735))</f>
        <v/>
      </c>
      <c r="S735" s="158">
        <f>IF($Q735=0,0,$R735*$P735/$Q735)</f>
        <v/>
      </c>
    </row>
    <row r="736">
      <c r="A736" s="155" t="n">
        <v>46106</v>
      </c>
      <c r="B736" s="156" t="inlineStr">
        <is>
          <t>09-10</t>
        </is>
      </c>
      <c r="C736" s="156" t="inlineStr">
        <is>
          <t>EX-755</t>
        </is>
      </c>
      <c r="D736" s="156" t="inlineStr">
        <is>
          <t>DT-527</t>
        </is>
      </c>
      <c r="E736" s="156" t="inlineStr">
        <is>
          <t>OB</t>
        </is>
      </c>
      <c r="F736" s="156" t="n">
        <v>4</v>
      </c>
      <c r="G736" s="156" t="inlineStr"/>
      <c r="H736" s="157">
        <f>IF($B736="","",IF(ISNA(MATCH($B736,MASTER_JAM!$Q$5:$Q$28,0)),"?",IF(MATCH($B736,MASTER_JAM!$Q$5:$Q$28,0)&lt;=12,"DS","NS")))</f>
        <v/>
      </c>
      <c r="I736" s="157">
        <f>IFERROR(INDEX(MASTER_JAM!$B$5:$B$94,MATCH($C736,MASTER_JAM!$A$5:$A$94,0)),"")</f>
        <v/>
      </c>
      <c r="J736" s="157">
        <f>IFERROR(INDEX(MASTER_JAM!$E$5:$E$94,MATCH($D736,MASTER_JAM!$A$5:$A$94,0)),"")</f>
        <v/>
      </c>
      <c r="K736" s="158">
        <f>IFERROR(INDEX(MASTER_JAM!$J$5:$O$12,MATCH($E736,MASTER_JAM!$I$5:$I$12,0),MATCH($J736,MASTER_JAM!$J$4:$O$4,0))+0,0)</f>
        <v/>
      </c>
      <c r="L736" s="159">
        <f>N($F736)*$K736</f>
        <v/>
      </c>
      <c r="M736" s="157">
        <f>IF($E736="","",IF(OR($E736="Coal",$E736="Dirty Coal"),"MT","BCM"))</f>
        <v/>
      </c>
      <c r="N736" s="157">
        <f>IF($E736="","",IF(OR($E736="Coal",$E736="Dirty Coal"),"Coal","OB"))</f>
        <v/>
      </c>
      <c r="O736" s="157">
        <f>IF($F736="","",IF(COUNTIF(MASTER_JAM!$A$5:$A$94,$C736)=0,"Digger tidak dikenal",IF($J736="","Hauler tidak dikenal",IF($H736="?","Jam salah",IF($K736=0,"Faktor kosong",IF(SUMIFS(INPUT_DELAY!$E$5:$E$20000,INPUT_DELAY!$A$5:$A$20000,$A736,INPUT_DELAY!$B$5:$B$20000,$B736,INPUT_DELAY!$C$5:$C$20000,$C736)+SUMIFS(INPUT_DELAY!$E$5:$E$20000,INPUT_DELAY!$A$5:$A$20000,$A736,INPUT_DELAY!$B$5:$B$20000,$B736,INPUT_DELAY!$C$5:$C$20000,"SEMUA")&gt;=60,"Delay 60 mnt tapi ada ritase","OK"))))))</f>
        <v/>
      </c>
      <c r="P736" s="158">
        <f>IFERROR(INDEX(MASTER_JAM!$Z$5:$AC$10,MATCH($I736,MASTER_JAM!$Y$5:$Y$10,0),MATCH($J736,MASTER_JAM!$Z$4:$AC$4,0))+0,0)</f>
        <v/>
      </c>
      <c r="Q736" s="158">
        <f>IF($P736=0,0,$P736+IFERROR(INDEX(MASTER_JAM!$H$5:$H$94,MATCH($C736,MASTER_JAM!$A$5:$A$94,0))+0,MASTER_JAM!$AC$15)/1000*(60/MASTER_JAM!$AC$12+60/MASTER_JAM!$AC$13)+MASTER_JAM!$AC$14)</f>
        <v/>
      </c>
      <c r="R736" s="158">
        <f>IF(N($F736)=0,0,$F736/SUMIFS(INPUT_RITASE!$F$5:$F$20000,INPUT_RITASE!$A$5:$A$20000,$A736,INPUT_RITASE!$B$5:$B$20000,$B736,INPUT_RITASE!$C$5:$C$20000,$C736,INPUT_RITASE!$D$5:$D$20000,$D736))</f>
        <v/>
      </c>
      <c r="S736" s="158">
        <f>IF($Q736=0,0,$R736*$P736/$Q736)</f>
        <v/>
      </c>
    </row>
    <row r="737">
      <c r="A737" s="155" t="n">
        <v>46106</v>
      </c>
      <c r="B737" s="156" t="inlineStr">
        <is>
          <t>09-10</t>
        </is>
      </c>
      <c r="C737" s="156" t="inlineStr">
        <is>
          <t>EX-755</t>
        </is>
      </c>
      <c r="D737" s="156" t="inlineStr">
        <is>
          <t>DT-502</t>
        </is>
      </c>
      <c r="E737" s="156" t="inlineStr">
        <is>
          <t>OB</t>
        </is>
      </c>
      <c r="F737" s="156" t="n">
        <v>3</v>
      </c>
      <c r="G737" s="156" t="inlineStr"/>
      <c r="H737" s="157">
        <f>IF($B737="","",IF(ISNA(MATCH($B737,MASTER_JAM!$Q$5:$Q$28,0)),"?",IF(MATCH($B737,MASTER_JAM!$Q$5:$Q$28,0)&lt;=12,"DS","NS")))</f>
        <v/>
      </c>
      <c r="I737" s="157">
        <f>IFERROR(INDEX(MASTER_JAM!$B$5:$B$94,MATCH($C737,MASTER_JAM!$A$5:$A$94,0)),"")</f>
        <v/>
      </c>
      <c r="J737" s="157">
        <f>IFERROR(INDEX(MASTER_JAM!$E$5:$E$94,MATCH($D737,MASTER_JAM!$A$5:$A$94,0)),"")</f>
        <v/>
      </c>
      <c r="K737" s="158">
        <f>IFERROR(INDEX(MASTER_JAM!$J$5:$O$12,MATCH($E737,MASTER_JAM!$I$5:$I$12,0),MATCH($J737,MASTER_JAM!$J$4:$O$4,0))+0,0)</f>
        <v/>
      </c>
      <c r="L737" s="159">
        <f>N($F737)*$K737</f>
        <v/>
      </c>
      <c r="M737" s="157">
        <f>IF($E737="","",IF(OR($E737="Coal",$E737="Dirty Coal"),"MT","BCM"))</f>
        <v/>
      </c>
      <c r="N737" s="157">
        <f>IF($E737="","",IF(OR($E737="Coal",$E737="Dirty Coal"),"Coal","OB"))</f>
        <v/>
      </c>
      <c r="O737" s="157">
        <f>IF($F737="","",IF(COUNTIF(MASTER_JAM!$A$5:$A$94,$C737)=0,"Digger tidak dikenal",IF($J737="","Hauler tidak dikenal",IF($H737="?","Jam salah",IF($K737=0,"Faktor kosong",IF(SUMIFS(INPUT_DELAY!$E$5:$E$20000,INPUT_DELAY!$A$5:$A$20000,$A737,INPUT_DELAY!$B$5:$B$20000,$B737,INPUT_DELAY!$C$5:$C$20000,$C737)+SUMIFS(INPUT_DELAY!$E$5:$E$20000,INPUT_DELAY!$A$5:$A$20000,$A737,INPUT_DELAY!$B$5:$B$20000,$B737,INPUT_DELAY!$C$5:$C$20000,"SEMUA")&gt;=60,"Delay 60 mnt tapi ada ritase","OK"))))))</f>
        <v/>
      </c>
      <c r="P737" s="158">
        <f>IFERROR(INDEX(MASTER_JAM!$Z$5:$AC$10,MATCH($I737,MASTER_JAM!$Y$5:$Y$10,0),MATCH($J737,MASTER_JAM!$Z$4:$AC$4,0))+0,0)</f>
        <v/>
      </c>
      <c r="Q737" s="158">
        <f>IF($P737=0,0,$P737+IFERROR(INDEX(MASTER_JAM!$H$5:$H$94,MATCH($C737,MASTER_JAM!$A$5:$A$94,0))+0,MASTER_JAM!$AC$15)/1000*(60/MASTER_JAM!$AC$12+60/MASTER_JAM!$AC$13)+MASTER_JAM!$AC$14)</f>
        <v/>
      </c>
      <c r="R737" s="158">
        <f>IF(N($F737)=0,0,$F737/SUMIFS(INPUT_RITASE!$F$5:$F$20000,INPUT_RITASE!$A$5:$A$20000,$A737,INPUT_RITASE!$B$5:$B$20000,$B737,INPUT_RITASE!$C$5:$C$20000,$C737,INPUT_RITASE!$D$5:$D$20000,$D737))</f>
        <v/>
      </c>
      <c r="S737" s="158">
        <f>IF($Q737=0,0,$R737*$P737/$Q737)</f>
        <v/>
      </c>
    </row>
    <row r="738">
      <c r="A738" s="155" t="n">
        <v>46106</v>
      </c>
      <c r="B738" s="156" t="inlineStr">
        <is>
          <t>18-19</t>
        </is>
      </c>
      <c r="C738" s="156" t="inlineStr">
        <is>
          <t>EX-2101</t>
        </is>
      </c>
      <c r="D738" s="156" t="inlineStr">
        <is>
          <t>HD-903</t>
        </is>
      </c>
      <c r="E738" s="156" t="inlineStr">
        <is>
          <t>OB</t>
        </is>
      </c>
      <c r="F738" s="156" t="n">
        <v>5</v>
      </c>
      <c r="G738" s="156" t="inlineStr"/>
      <c r="H738" s="157">
        <f>IF($B738="","",IF(ISNA(MATCH($B738,MASTER_JAM!$Q$5:$Q$28,0)),"?",IF(MATCH($B738,MASTER_JAM!$Q$5:$Q$28,0)&lt;=12,"DS","NS")))</f>
        <v/>
      </c>
      <c r="I738" s="157">
        <f>IFERROR(INDEX(MASTER_JAM!$B$5:$B$94,MATCH($C738,MASTER_JAM!$A$5:$A$94,0)),"")</f>
        <v/>
      </c>
      <c r="J738" s="157">
        <f>IFERROR(INDEX(MASTER_JAM!$E$5:$E$94,MATCH($D738,MASTER_JAM!$A$5:$A$94,0)),"")</f>
        <v/>
      </c>
      <c r="K738" s="158">
        <f>IFERROR(INDEX(MASTER_JAM!$J$5:$O$12,MATCH($E738,MASTER_JAM!$I$5:$I$12,0),MATCH($J738,MASTER_JAM!$J$4:$O$4,0))+0,0)</f>
        <v/>
      </c>
      <c r="L738" s="159">
        <f>N($F738)*$K738</f>
        <v/>
      </c>
      <c r="M738" s="157">
        <f>IF($E738="","",IF(OR($E738="Coal",$E738="Dirty Coal"),"MT","BCM"))</f>
        <v/>
      </c>
      <c r="N738" s="157">
        <f>IF($E738="","",IF(OR($E738="Coal",$E738="Dirty Coal"),"Coal","OB"))</f>
        <v/>
      </c>
      <c r="O738" s="157">
        <f>IF($F738="","",IF(COUNTIF(MASTER_JAM!$A$5:$A$94,$C738)=0,"Digger tidak dikenal",IF($J738="","Hauler tidak dikenal",IF($H738="?","Jam salah",IF($K738=0,"Faktor kosong",IF(SUMIFS(INPUT_DELAY!$E$5:$E$20000,INPUT_DELAY!$A$5:$A$20000,$A738,INPUT_DELAY!$B$5:$B$20000,$B738,INPUT_DELAY!$C$5:$C$20000,$C738)+SUMIFS(INPUT_DELAY!$E$5:$E$20000,INPUT_DELAY!$A$5:$A$20000,$A738,INPUT_DELAY!$B$5:$B$20000,$B738,INPUT_DELAY!$C$5:$C$20000,"SEMUA")&gt;=60,"Delay 60 mnt tapi ada ritase","OK"))))))</f>
        <v/>
      </c>
      <c r="P738" s="158">
        <f>IFERROR(INDEX(MASTER_JAM!$Z$5:$AC$10,MATCH($I738,MASTER_JAM!$Y$5:$Y$10,0),MATCH($J738,MASTER_JAM!$Z$4:$AC$4,0))+0,0)</f>
        <v/>
      </c>
      <c r="Q738" s="158">
        <f>IF($P738=0,0,$P738+IFERROR(INDEX(MASTER_JAM!$H$5:$H$94,MATCH($C738,MASTER_JAM!$A$5:$A$94,0))+0,MASTER_JAM!$AC$15)/1000*(60/MASTER_JAM!$AC$12+60/MASTER_JAM!$AC$13)+MASTER_JAM!$AC$14)</f>
        <v/>
      </c>
      <c r="R738" s="158">
        <f>IF(N($F738)=0,0,$F738/SUMIFS(INPUT_RITASE!$F$5:$F$20000,INPUT_RITASE!$A$5:$A$20000,$A738,INPUT_RITASE!$B$5:$B$20000,$B738,INPUT_RITASE!$C$5:$C$20000,$C738,INPUT_RITASE!$D$5:$D$20000,$D738))</f>
        <v/>
      </c>
      <c r="S738" s="158">
        <f>IF($Q738=0,0,$R738*$P738/$Q738)</f>
        <v/>
      </c>
    </row>
    <row r="739">
      <c r="A739" s="155" t="n">
        <v>46106</v>
      </c>
      <c r="B739" s="156" t="inlineStr">
        <is>
          <t>18-19</t>
        </is>
      </c>
      <c r="C739" s="156" t="inlineStr">
        <is>
          <t>EX-2101</t>
        </is>
      </c>
      <c r="D739" s="156" t="inlineStr">
        <is>
          <t>HD-901</t>
        </is>
      </c>
      <c r="E739" s="156" t="inlineStr">
        <is>
          <t>OB</t>
        </is>
      </c>
      <c r="F739" s="156" t="n">
        <v>4</v>
      </c>
      <c r="G739" s="156" t="inlineStr"/>
      <c r="H739" s="157">
        <f>IF($B739="","",IF(ISNA(MATCH($B739,MASTER_JAM!$Q$5:$Q$28,0)),"?",IF(MATCH($B739,MASTER_JAM!$Q$5:$Q$28,0)&lt;=12,"DS","NS")))</f>
        <v/>
      </c>
      <c r="I739" s="157">
        <f>IFERROR(INDEX(MASTER_JAM!$B$5:$B$94,MATCH($C739,MASTER_JAM!$A$5:$A$94,0)),"")</f>
        <v/>
      </c>
      <c r="J739" s="157">
        <f>IFERROR(INDEX(MASTER_JAM!$E$5:$E$94,MATCH($D739,MASTER_JAM!$A$5:$A$94,0)),"")</f>
        <v/>
      </c>
      <c r="K739" s="158">
        <f>IFERROR(INDEX(MASTER_JAM!$J$5:$O$12,MATCH($E739,MASTER_JAM!$I$5:$I$12,0),MATCH($J739,MASTER_JAM!$J$4:$O$4,0))+0,0)</f>
        <v/>
      </c>
      <c r="L739" s="159">
        <f>N($F739)*$K739</f>
        <v/>
      </c>
      <c r="M739" s="157">
        <f>IF($E739="","",IF(OR($E739="Coal",$E739="Dirty Coal"),"MT","BCM"))</f>
        <v/>
      </c>
      <c r="N739" s="157">
        <f>IF($E739="","",IF(OR($E739="Coal",$E739="Dirty Coal"),"Coal","OB"))</f>
        <v/>
      </c>
      <c r="O739" s="157">
        <f>IF($F739="","",IF(COUNTIF(MASTER_JAM!$A$5:$A$94,$C739)=0,"Digger tidak dikenal",IF($J739="","Hauler tidak dikenal",IF($H739="?","Jam salah",IF($K739=0,"Faktor kosong",IF(SUMIFS(INPUT_DELAY!$E$5:$E$20000,INPUT_DELAY!$A$5:$A$20000,$A739,INPUT_DELAY!$B$5:$B$20000,$B739,INPUT_DELAY!$C$5:$C$20000,$C739)+SUMIFS(INPUT_DELAY!$E$5:$E$20000,INPUT_DELAY!$A$5:$A$20000,$A739,INPUT_DELAY!$B$5:$B$20000,$B739,INPUT_DELAY!$C$5:$C$20000,"SEMUA")&gt;=60,"Delay 60 mnt tapi ada ritase","OK"))))))</f>
        <v/>
      </c>
      <c r="P739" s="158">
        <f>IFERROR(INDEX(MASTER_JAM!$Z$5:$AC$10,MATCH($I739,MASTER_JAM!$Y$5:$Y$10,0),MATCH($J739,MASTER_JAM!$Z$4:$AC$4,0))+0,0)</f>
        <v/>
      </c>
      <c r="Q739" s="158">
        <f>IF($P739=0,0,$P739+IFERROR(INDEX(MASTER_JAM!$H$5:$H$94,MATCH($C739,MASTER_JAM!$A$5:$A$94,0))+0,MASTER_JAM!$AC$15)/1000*(60/MASTER_JAM!$AC$12+60/MASTER_JAM!$AC$13)+MASTER_JAM!$AC$14)</f>
        <v/>
      </c>
      <c r="R739" s="158">
        <f>IF(N($F739)=0,0,$F739/SUMIFS(INPUT_RITASE!$F$5:$F$20000,INPUT_RITASE!$A$5:$A$20000,$A739,INPUT_RITASE!$B$5:$B$20000,$B739,INPUT_RITASE!$C$5:$C$20000,$C739,INPUT_RITASE!$D$5:$D$20000,$D739))</f>
        <v/>
      </c>
      <c r="S739" s="158">
        <f>IF($Q739=0,0,$R739*$P739/$Q739)</f>
        <v/>
      </c>
    </row>
    <row r="740">
      <c r="A740" s="155" t="n">
        <v>46106</v>
      </c>
      <c r="B740" s="156" t="inlineStr">
        <is>
          <t>18-19</t>
        </is>
      </c>
      <c r="C740" s="156" t="inlineStr">
        <is>
          <t>EX-2101</t>
        </is>
      </c>
      <c r="D740" s="156" t="inlineStr">
        <is>
          <t>HD-902</t>
        </is>
      </c>
      <c r="E740" s="156" t="inlineStr">
        <is>
          <t>OB</t>
        </is>
      </c>
      <c r="F740" s="156" t="n">
        <v>4</v>
      </c>
      <c r="G740" s="156" t="inlineStr"/>
      <c r="H740" s="157">
        <f>IF($B740="","",IF(ISNA(MATCH($B740,MASTER_JAM!$Q$5:$Q$28,0)),"?",IF(MATCH($B740,MASTER_JAM!$Q$5:$Q$28,0)&lt;=12,"DS","NS")))</f>
        <v/>
      </c>
      <c r="I740" s="157">
        <f>IFERROR(INDEX(MASTER_JAM!$B$5:$B$94,MATCH($C740,MASTER_JAM!$A$5:$A$94,0)),"")</f>
        <v/>
      </c>
      <c r="J740" s="157">
        <f>IFERROR(INDEX(MASTER_JAM!$E$5:$E$94,MATCH($D740,MASTER_JAM!$A$5:$A$94,0)),"")</f>
        <v/>
      </c>
      <c r="K740" s="158">
        <f>IFERROR(INDEX(MASTER_JAM!$J$5:$O$12,MATCH($E740,MASTER_JAM!$I$5:$I$12,0),MATCH($J740,MASTER_JAM!$J$4:$O$4,0))+0,0)</f>
        <v/>
      </c>
      <c r="L740" s="159">
        <f>N($F740)*$K740</f>
        <v/>
      </c>
      <c r="M740" s="157">
        <f>IF($E740="","",IF(OR($E740="Coal",$E740="Dirty Coal"),"MT","BCM"))</f>
        <v/>
      </c>
      <c r="N740" s="157">
        <f>IF($E740="","",IF(OR($E740="Coal",$E740="Dirty Coal"),"Coal","OB"))</f>
        <v/>
      </c>
      <c r="O740" s="157">
        <f>IF($F740="","",IF(COUNTIF(MASTER_JAM!$A$5:$A$94,$C740)=0,"Digger tidak dikenal",IF($J740="","Hauler tidak dikenal",IF($H740="?","Jam salah",IF($K740=0,"Faktor kosong",IF(SUMIFS(INPUT_DELAY!$E$5:$E$20000,INPUT_DELAY!$A$5:$A$20000,$A740,INPUT_DELAY!$B$5:$B$20000,$B740,INPUT_DELAY!$C$5:$C$20000,$C740)+SUMIFS(INPUT_DELAY!$E$5:$E$20000,INPUT_DELAY!$A$5:$A$20000,$A740,INPUT_DELAY!$B$5:$B$20000,$B740,INPUT_DELAY!$C$5:$C$20000,"SEMUA")&gt;=60,"Delay 60 mnt tapi ada ritase","OK"))))))</f>
        <v/>
      </c>
      <c r="P740" s="158">
        <f>IFERROR(INDEX(MASTER_JAM!$Z$5:$AC$10,MATCH($I740,MASTER_JAM!$Y$5:$Y$10,0),MATCH($J740,MASTER_JAM!$Z$4:$AC$4,0))+0,0)</f>
        <v/>
      </c>
      <c r="Q740" s="158">
        <f>IF($P740=0,0,$P740+IFERROR(INDEX(MASTER_JAM!$H$5:$H$94,MATCH($C740,MASTER_JAM!$A$5:$A$94,0))+0,MASTER_JAM!$AC$15)/1000*(60/MASTER_JAM!$AC$12+60/MASTER_JAM!$AC$13)+MASTER_JAM!$AC$14)</f>
        <v/>
      </c>
      <c r="R740" s="158">
        <f>IF(N($F740)=0,0,$F740/SUMIFS(INPUT_RITASE!$F$5:$F$20000,INPUT_RITASE!$A$5:$A$20000,$A740,INPUT_RITASE!$B$5:$B$20000,$B740,INPUT_RITASE!$C$5:$C$20000,$C740,INPUT_RITASE!$D$5:$D$20000,$D740))</f>
        <v/>
      </c>
      <c r="S740" s="158">
        <f>IF($Q740=0,0,$R740*$P740/$Q740)</f>
        <v/>
      </c>
    </row>
    <row r="741">
      <c r="A741" s="155" t="n">
        <v>46106</v>
      </c>
      <c r="B741" s="156" t="inlineStr">
        <is>
          <t>18-19</t>
        </is>
      </c>
      <c r="C741" s="156" t="inlineStr">
        <is>
          <t>EX-2101</t>
        </is>
      </c>
      <c r="D741" s="156" t="inlineStr">
        <is>
          <t>DT-811</t>
        </is>
      </c>
      <c r="E741" s="156" t="inlineStr">
        <is>
          <t>OB</t>
        </is>
      </c>
      <c r="F741" s="156" t="n">
        <v>3</v>
      </c>
      <c r="G741" s="156" t="inlineStr"/>
      <c r="H741" s="157">
        <f>IF($B741="","",IF(ISNA(MATCH($B741,MASTER_JAM!$Q$5:$Q$28,0)),"?",IF(MATCH($B741,MASTER_JAM!$Q$5:$Q$28,0)&lt;=12,"DS","NS")))</f>
        <v/>
      </c>
      <c r="I741" s="157">
        <f>IFERROR(INDEX(MASTER_JAM!$B$5:$B$94,MATCH($C741,MASTER_JAM!$A$5:$A$94,0)),"")</f>
        <v/>
      </c>
      <c r="J741" s="157">
        <f>IFERROR(INDEX(MASTER_JAM!$E$5:$E$94,MATCH($D741,MASTER_JAM!$A$5:$A$94,0)),"")</f>
        <v/>
      </c>
      <c r="K741" s="158">
        <f>IFERROR(INDEX(MASTER_JAM!$J$5:$O$12,MATCH($E741,MASTER_JAM!$I$5:$I$12,0),MATCH($J741,MASTER_JAM!$J$4:$O$4,0))+0,0)</f>
        <v/>
      </c>
      <c r="L741" s="159">
        <f>N($F741)*$K741</f>
        <v/>
      </c>
      <c r="M741" s="157">
        <f>IF($E741="","",IF(OR($E741="Coal",$E741="Dirty Coal"),"MT","BCM"))</f>
        <v/>
      </c>
      <c r="N741" s="157">
        <f>IF($E741="","",IF(OR($E741="Coal",$E741="Dirty Coal"),"Coal","OB"))</f>
        <v/>
      </c>
      <c r="O741" s="157">
        <f>IF($F741="","",IF(COUNTIF(MASTER_JAM!$A$5:$A$94,$C741)=0,"Digger tidak dikenal",IF($J741="","Hauler tidak dikenal",IF($H741="?","Jam salah",IF($K741=0,"Faktor kosong",IF(SUMIFS(INPUT_DELAY!$E$5:$E$20000,INPUT_DELAY!$A$5:$A$20000,$A741,INPUT_DELAY!$B$5:$B$20000,$B741,INPUT_DELAY!$C$5:$C$20000,$C741)+SUMIFS(INPUT_DELAY!$E$5:$E$20000,INPUT_DELAY!$A$5:$A$20000,$A741,INPUT_DELAY!$B$5:$B$20000,$B741,INPUT_DELAY!$C$5:$C$20000,"SEMUA")&gt;=60,"Delay 60 mnt tapi ada ritase","OK"))))))</f>
        <v/>
      </c>
      <c r="P741" s="158">
        <f>IFERROR(INDEX(MASTER_JAM!$Z$5:$AC$10,MATCH($I741,MASTER_JAM!$Y$5:$Y$10,0),MATCH($J741,MASTER_JAM!$Z$4:$AC$4,0))+0,0)</f>
        <v/>
      </c>
      <c r="Q741" s="158">
        <f>IF($P741=0,0,$P741+IFERROR(INDEX(MASTER_JAM!$H$5:$H$94,MATCH($C741,MASTER_JAM!$A$5:$A$94,0))+0,MASTER_JAM!$AC$15)/1000*(60/MASTER_JAM!$AC$12+60/MASTER_JAM!$AC$13)+MASTER_JAM!$AC$14)</f>
        <v/>
      </c>
      <c r="R741" s="158">
        <f>IF(N($F741)=0,0,$F741/SUMIFS(INPUT_RITASE!$F$5:$F$20000,INPUT_RITASE!$A$5:$A$20000,$A741,INPUT_RITASE!$B$5:$B$20000,$B741,INPUT_RITASE!$C$5:$C$20000,$C741,INPUT_RITASE!$D$5:$D$20000,$D741))</f>
        <v/>
      </c>
      <c r="S741" s="158">
        <f>IF($Q741=0,0,$R741*$P741/$Q741)</f>
        <v/>
      </c>
    </row>
    <row r="742">
      <c r="A742" s="155" t="n">
        <v>46106</v>
      </c>
      <c r="B742" s="156" t="inlineStr">
        <is>
          <t>18-19</t>
        </is>
      </c>
      <c r="C742" s="156" t="inlineStr">
        <is>
          <t>EX-2101</t>
        </is>
      </c>
      <c r="D742" s="156" t="inlineStr">
        <is>
          <t>DT-812</t>
        </is>
      </c>
      <c r="E742" s="156" t="inlineStr">
        <is>
          <t>OB</t>
        </is>
      </c>
      <c r="F742" s="156" t="n">
        <v>2</v>
      </c>
      <c r="G742" s="156" t="inlineStr"/>
      <c r="H742" s="157">
        <f>IF($B742="","",IF(ISNA(MATCH($B742,MASTER_JAM!$Q$5:$Q$28,0)),"?",IF(MATCH($B742,MASTER_JAM!$Q$5:$Q$28,0)&lt;=12,"DS","NS")))</f>
        <v/>
      </c>
      <c r="I742" s="157">
        <f>IFERROR(INDEX(MASTER_JAM!$B$5:$B$94,MATCH($C742,MASTER_JAM!$A$5:$A$94,0)),"")</f>
        <v/>
      </c>
      <c r="J742" s="157">
        <f>IFERROR(INDEX(MASTER_JAM!$E$5:$E$94,MATCH($D742,MASTER_JAM!$A$5:$A$94,0)),"")</f>
        <v/>
      </c>
      <c r="K742" s="158">
        <f>IFERROR(INDEX(MASTER_JAM!$J$5:$O$12,MATCH($E742,MASTER_JAM!$I$5:$I$12,0),MATCH($J742,MASTER_JAM!$J$4:$O$4,0))+0,0)</f>
        <v/>
      </c>
      <c r="L742" s="159">
        <f>N($F742)*$K742</f>
        <v/>
      </c>
      <c r="M742" s="157">
        <f>IF($E742="","",IF(OR($E742="Coal",$E742="Dirty Coal"),"MT","BCM"))</f>
        <v/>
      </c>
      <c r="N742" s="157">
        <f>IF($E742="","",IF(OR($E742="Coal",$E742="Dirty Coal"),"Coal","OB"))</f>
        <v/>
      </c>
      <c r="O742" s="157">
        <f>IF($F742="","",IF(COUNTIF(MASTER_JAM!$A$5:$A$94,$C742)=0,"Digger tidak dikenal",IF($J742="","Hauler tidak dikenal",IF($H742="?","Jam salah",IF($K742=0,"Faktor kosong",IF(SUMIFS(INPUT_DELAY!$E$5:$E$20000,INPUT_DELAY!$A$5:$A$20000,$A742,INPUT_DELAY!$B$5:$B$20000,$B742,INPUT_DELAY!$C$5:$C$20000,$C742)+SUMIFS(INPUT_DELAY!$E$5:$E$20000,INPUT_DELAY!$A$5:$A$20000,$A742,INPUT_DELAY!$B$5:$B$20000,$B742,INPUT_DELAY!$C$5:$C$20000,"SEMUA")&gt;=60,"Delay 60 mnt tapi ada ritase","OK"))))))</f>
        <v/>
      </c>
      <c r="P742" s="158">
        <f>IFERROR(INDEX(MASTER_JAM!$Z$5:$AC$10,MATCH($I742,MASTER_JAM!$Y$5:$Y$10,0),MATCH($J742,MASTER_JAM!$Z$4:$AC$4,0))+0,0)</f>
        <v/>
      </c>
      <c r="Q742" s="158">
        <f>IF($P742=0,0,$P742+IFERROR(INDEX(MASTER_JAM!$H$5:$H$94,MATCH($C742,MASTER_JAM!$A$5:$A$94,0))+0,MASTER_JAM!$AC$15)/1000*(60/MASTER_JAM!$AC$12+60/MASTER_JAM!$AC$13)+MASTER_JAM!$AC$14)</f>
        <v/>
      </c>
      <c r="R742" s="158">
        <f>IF(N($F742)=0,0,$F742/SUMIFS(INPUT_RITASE!$F$5:$F$20000,INPUT_RITASE!$A$5:$A$20000,$A742,INPUT_RITASE!$B$5:$B$20000,$B742,INPUT_RITASE!$C$5:$C$20000,$C742,INPUT_RITASE!$D$5:$D$20000,$D742))</f>
        <v/>
      </c>
      <c r="S742" s="158">
        <f>IF($Q742=0,0,$R742*$P742/$Q742)</f>
        <v/>
      </c>
    </row>
    <row r="743">
      <c r="A743" s="155" t="n">
        <v>46106</v>
      </c>
      <c r="B743" s="156" t="inlineStr">
        <is>
          <t>19-20</t>
        </is>
      </c>
      <c r="C743" s="156" t="inlineStr">
        <is>
          <t>EX-2101</t>
        </is>
      </c>
      <c r="D743" s="156" t="inlineStr">
        <is>
          <t>DT-811</t>
        </is>
      </c>
      <c r="E743" s="156" t="inlineStr">
        <is>
          <t>OB</t>
        </is>
      </c>
      <c r="F743" s="156" t="n">
        <v>4</v>
      </c>
      <c r="G743" s="156" t="inlineStr"/>
      <c r="H743" s="157">
        <f>IF($B743="","",IF(ISNA(MATCH($B743,MASTER_JAM!$Q$5:$Q$28,0)),"?",IF(MATCH($B743,MASTER_JAM!$Q$5:$Q$28,0)&lt;=12,"DS","NS")))</f>
        <v/>
      </c>
      <c r="I743" s="157">
        <f>IFERROR(INDEX(MASTER_JAM!$B$5:$B$94,MATCH($C743,MASTER_JAM!$A$5:$A$94,0)),"")</f>
        <v/>
      </c>
      <c r="J743" s="157">
        <f>IFERROR(INDEX(MASTER_JAM!$E$5:$E$94,MATCH($D743,MASTER_JAM!$A$5:$A$94,0)),"")</f>
        <v/>
      </c>
      <c r="K743" s="158">
        <f>IFERROR(INDEX(MASTER_JAM!$J$5:$O$12,MATCH($E743,MASTER_JAM!$I$5:$I$12,0),MATCH($J743,MASTER_JAM!$J$4:$O$4,0))+0,0)</f>
        <v/>
      </c>
      <c r="L743" s="159">
        <f>N($F743)*$K743</f>
        <v/>
      </c>
      <c r="M743" s="157">
        <f>IF($E743="","",IF(OR($E743="Coal",$E743="Dirty Coal"),"MT","BCM"))</f>
        <v/>
      </c>
      <c r="N743" s="157">
        <f>IF($E743="","",IF(OR($E743="Coal",$E743="Dirty Coal"),"Coal","OB"))</f>
        <v/>
      </c>
      <c r="O743" s="157">
        <f>IF($F743="","",IF(COUNTIF(MASTER_JAM!$A$5:$A$94,$C743)=0,"Digger tidak dikenal",IF($J743="","Hauler tidak dikenal",IF($H743="?","Jam salah",IF($K743=0,"Faktor kosong",IF(SUMIFS(INPUT_DELAY!$E$5:$E$20000,INPUT_DELAY!$A$5:$A$20000,$A743,INPUT_DELAY!$B$5:$B$20000,$B743,INPUT_DELAY!$C$5:$C$20000,$C743)+SUMIFS(INPUT_DELAY!$E$5:$E$20000,INPUT_DELAY!$A$5:$A$20000,$A743,INPUT_DELAY!$B$5:$B$20000,$B743,INPUT_DELAY!$C$5:$C$20000,"SEMUA")&gt;=60,"Delay 60 mnt tapi ada ritase","OK"))))))</f>
        <v/>
      </c>
      <c r="P743" s="158">
        <f>IFERROR(INDEX(MASTER_JAM!$Z$5:$AC$10,MATCH($I743,MASTER_JAM!$Y$5:$Y$10,0),MATCH($J743,MASTER_JAM!$Z$4:$AC$4,0))+0,0)</f>
        <v/>
      </c>
      <c r="Q743" s="158">
        <f>IF($P743=0,0,$P743+IFERROR(INDEX(MASTER_JAM!$H$5:$H$94,MATCH($C743,MASTER_JAM!$A$5:$A$94,0))+0,MASTER_JAM!$AC$15)/1000*(60/MASTER_JAM!$AC$12+60/MASTER_JAM!$AC$13)+MASTER_JAM!$AC$14)</f>
        <v/>
      </c>
      <c r="R743" s="158">
        <f>IF(N($F743)=0,0,$F743/SUMIFS(INPUT_RITASE!$F$5:$F$20000,INPUT_RITASE!$A$5:$A$20000,$A743,INPUT_RITASE!$B$5:$B$20000,$B743,INPUT_RITASE!$C$5:$C$20000,$C743,INPUT_RITASE!$D$5:$D$20000,$D743))</f>
        <v/>
      </c>
      <c r="S743" s="158">
        <f>IF($Q743=0,0,$R743*$P743/$Q743)</f>
        <v/>
      </c>
    </row>
    <row r="744">
      <c r="A744" s="155" t="n">
        <v>46106</v>
      </c>
      <c r="B744" s="156" t="inlineStr">
        <is>
          <t>19-20</t>
        </is>
      </c>
      <c r="C744" s="156" t="inlineStr">
        <is>
          <t>EX-2101</t>
        </is>
      </c>
      <c r="D744" s="156" t="inlineStr">
        <is>
          <t>DT-812</t>
        </is>
      </c>
      <c r="E744" s="156" t="inlineStr">
        <is>
          <t>OB</t>
        </is>
      </c>
      <c r="F744" s="156" t="n">
        <v>3</v>
      </c>
      <c r="G744" s="156" t="inlineStr"/>
      <c r="H744" s="157">
        <f>IF($B744="","",IF(ISNA(MATCH($B744,MASTER_JAM!$Q$5:$Q$28,0)),"?",IF(MATCH($B744,MASTER_JAM!$Q$5:$Q$28,0)&lt;=12,"DS","NS")))</f>
        <v/>
      </c>
      <c r="I744" s="157">
        <f>IFERROR(INDEX(MASTER_JAM!$B$5:$B$94,MATCH($C744,MASTER_JAM!$A$5:$A$94,0)),"")</f>
        <v/>
      </c>
      <c r="J744" s="157">
        <f>IFERROR(INDEX(MASTER_JAM!$E$5:$E$94,MATCH($D744,MASTER_JAM!$A$5:$A$94,0)),"")</f>
        <v/>
      </c>
      <c r="K744" s="158">
        <f>IFERROR(INDEX(MASTER_JAM!$J$5:$O$12,MATCH($E744,MASTER_JAM!$I$5:$I$12,0),MATCH($J744,MASTER_JAM!$J$4:$O$4,0))+0,0)</f>
        <v/>
      </c>
      <c r="L744" s="159">
        <f>N($F744)*$K744</f>
        <v/>
      </c>
      <c r="M744" s="157">
        <f>IF($E744="","",IF(OR($E744="Coal",$E744="Dirty Coal"),"MT","BCM"))</f>
        <v/>
      </c>
      <c r="N744" s="157">
        <f>IF($E744="","",IF(OR($E744="Coal",$E744="Dirty Coal"),"Coal","OB"))</f>
        <v/>
      </c>
      <c r="O744" s="157">
        <f>IF($F744="","",IF(COUNTIF(MASTER_JAM!$A$5:$A$94,$C744)=0,"Digger tidak dikenal",IF($J744="","Hauler tidak dikenal",IF($H744="?","Jam salah",IF($K744=0,"Faktor kosong",IF(SUMIFS(INPUT_DELAY!$E$5:$E$20000,INPUT_DELAY!$A$5:$A$20000,$A744,INPUT_DELAY!$B$5:$B$20000,$B744,INPUT_DELAY!$C$5:$C$20000,$C744)+SUMIFS(INPUT_DELAY!$E$5:$E$20000,INPUT_DELAY!$A$5:$A$20000,$A744,INPUT_DELAY!$B$5:$B$20000,$B744,INPUT_DELAY!$C$5:$C$20000,"SEMUA")&gt;=60,"Delay 60 mnt tapi ada ritase","OK"))))))</f>
        <v/>
      </c>
      <c r="P744" s="158">
        <f>IFERROR(INDEX(MASTER_JAM!$Z$5:$AC$10,MATCH($I744,MASTER_JAM!$Y$5:$Y$10,0),MATCH($J744,MASTER_JAM!$Z$4:$AC$4,0))+0,0)</f>
        <v/>
      </c>
      <c r="Q744" s="158">
        <f>IF($P744=0,0,$P744+IFERROR(INDEX(MASTER_JAM!$H$5:$H$94,MATCH($C744,MASTER_JAM!$A$5:$A$94,0))+0,MASTER_JAM!$AC$15)/1000*(60/MASTER_JAM!$AC$12+60/MASTER_JAM!$AC$13)+MASTER_JAM!$AC$14)</f>
        <v/>
      </c>
      <c r="R744" s="158">
        <f>IF(N($F744)=0,0,$F744/SUMIFS(INPUT_RITASE!$F$5:$F$20000,INPUT_RITASE!$A$5:$A$20000,$A744,INPUT_RITASE!$B$5:$B$20000,$B744,INPUT_RITASE!$C$5:$C$20000,$C744,INPUT_RITASE!$D$5:$D$20000,$D744))</f>
        <v/>
      </c>
      <c r="S744" s="158">
        <f>IF($Q744=0,0,$R744*$P744/$Q744)</f>
        <v/>
      </c>
    </row>
    <row r="745">
      <c r="A745" s="155" t="n">
        <v>46106</v>
      </c>
      <c r="B745" s="156" t="inlineStr">
        <is>
          <t>19-20</t>
        </is>
      </c>
      <c r="C745" s="156" t="inlineStr">
        <is>
          <t>EX-2101</t>
        </is>
      </c>
      <c r="D745" s="156" t="inlineStr">
        <is>
          <t>HD-901</t>
        </is>
      </c>
      <c r="E745" s="156" t="inlineStr">
        <is>
          <t>OB</t>
        </is>
      </c>
      <c r="F745" s="156" t="n">
        <v>3</v>
      </c>
      <c r="G745" s="156" t="inlineStr"/>
      <c r="H745" s="157">
        <f>IF($B745="","",IF(ISNA(MATCH($B745,MASTER_JAM!$Q$5:$Q$28,0)),"?",IF(MATCH($B745,MASTER_JAM!$Q$5:$Q$28,0)&lt;=12,"DS","NS")))</f>
        <v/>
      </c>
      <c r="I745" s="157">
        <f>IFERROR(INDEX(MASTER_JAM!$B$5:$B$94,MATCH($C745,MASTER_JAM!$A$5:$A$94,0)),"")</f>
        <v/>
      </c>
      <c r="J745" s="157">
        <f>IFERROR(INDEX(MASTER_JAM!$E$5:$E$94,MATCH($D745,MASTER_JAM!$A$5:$A$94,0)),"")</f>
        <v/>
      </c>
      <c r="K745" s="158">
        <f>IFERROR(INDEX(MASTER_JAM!$J$5:$O$12,MATCH($E745,MASTER_JAM!$I$5:$I$12,0),MATCH($J745,MASTER_JAM!$J$4:$O$4,0))+0,0)</f>
        <v/>
      </c>
      <c r="L745" s="159">
        <f>N($F745)*$K745</f>
        <v/>
      </c>
      <c r="M745" s="157">
        <f>IF($E745="","",IF(OR($E745="Coal",$E745="Dirty Coal"),"MT","BCM"))</f>
        <v/>
      </c>
      <c r="N745" s="157">
        <f>IF($E745="","",IF(OR($E745="Coal",$E745="Dirty Coal"),"Coal","OB"))</f>
        <v/>
      </c>
      <c r="O745" s="157">
        <f>IF($F745="","",IF(COUNTIF(MASTER_JAM!$A$5:$A$94,$C745)=0,"Digger tidak dikenal",IF($J745="","Hauler tidak dikenal",IF($H745="?","Jam salah",IF($K745=0,"Faktor kosong",IF(SUMIFS(INPUT_DELAY!$E$5:$E$20000,INPUT_DELAY!$A$5:$A$20000,$A745,INPUT_DELAY!$B$5:$B$20000,$B745,INPUT_DELAY!$C$5:$C$20000,$C745)+SUMIFS(INPUT_DELAY!$E$5:$E$20000,INPUT_DELAY!$A$5:$A$20000,$A745,INPUT_DELAY!$B$5:$B$20000,$B745,INPUT_DELAY!$C$5:$C$20000,"SEMUA")&gt;=60,"Delay 60 mnt tapi ada ritase","OK"))))))</f>
        <v/>
      </c>
      <c r="P745" s="158">
        <f>IFERROR(INDEX(MASTER_JAM!$Z$5:$AC$10,MATCH($I745,MASTER_JAM!$Y$5:$Y$10,0),MATCH($J745,MASTER_JAM!$Z$4:$AC$4,0))+0,0)</f>
        <v/>
      </c>
      <c r="Q745" s="158">
        <f>IF($P745=0,0,$P745+IFERROR(INDEX(MASTER_JAM!$H$5:$H$94,MATCH($C745,MASTER_JAM!$A$5:$A$94,0))+0,MASTER_JAM!$AC$15)/1000*(60/MASTER_JAM!$AC$12+60/MASTER_JAM!$AC$13)+MASTER_JAM!$AC$14)</f>
        <v/>
      </c>
      <c r="R745" s="158">
        <f>IF(N($F745)=0,0,$F745/SUMIFS(INPUT_RITASE!$F$5:$F$20000,INPUT_RITASE!$A$5:$A$20000,$A745,INPUT_RITASE!$B$5:$B$20000,$B745,INPUT_RITASE!$C$5:$C$20000,$C745,INPUT_RITASE!$D$5:$D$20000,$D745))</f>
        <v/>
      </c>
      <c r="S745" s="158">
        <f>IF($Q745=0,0,$R745*$P745/$Q745)</f>
        <v/>
      </c>
    </row>
    <row r="746">
      <c r="A746" s="155" t="n">
        <v>46106</v>
      </c>
      <c r="B746" s="156" t="inlineStr">
        <is>
          <t>19-20</t>
        </is>
      </c>
      <c r="C746" s="156" t="inlineStr">
        <is>
          <t>EX-2101</t>
        </is>
      </c>
      <c r="D746" s="156" t="inlineStr">
        <is>
          <t>HD-903</t>
        </is>
      </c>
      <c r="E746" s="156" t="inlineStr">
        <is>
          <t>OB</t>
        </is>
      </c>
      <c r="F746" s="156" t="n">
        <v>3</v>
      </c>
      <c r="G746" s="156" t="inlineStr"/>
      <c r="H746" s="157">
        <f>IF($B746="","",IF(ISNA(MATCH($B746,MASTER_JAM!$Q$5:$Q$28,0)),"?",IF(MATCH($B746,MASTER_JAM!$Q$5:$Q$28,0)&lt;=12,"DS","NS")))</f>
        <v/>
      </c>
      <c r="I746" s="157">
        <f>IFERROR(INDEX(MASTER_JAM!$B$5:$B$94,MATCH($C746,MASTER_JAM!$A$5:$A$94,0)),"")</f>
        <v/>
      </c>
      <c r="J746" s="157">
        <f>IFERROR(INDEX(MASTER_JAM!$E$5:$E$94,MATCH($D746,MASTER_JAM!$A$5:$A$94,0)),"")</f>
        <v/>
      </c>
      <c r="K746" s="158">
        <f>IFERROR(INDEX(MASTER_JAM!$J$5:$O$12,MATCH($E746,MASTER_JAM!$I$5:$I$12,0),MATCH($J746,MASTER_JAM!$J$4:$O$4,0))+0,0)</f>
        <v/>
      </c>
      <c r="L746" s="159">
        <f>N($F746)*$K746</f>
        <v/>
      </c>
      <c r="M746" s="157">
        <f>IF($E746="","",IF(OR($E746="Coal",$E746="Dirty Coal"),"MT","BCM"))</f>
        <v/>
      </c>
      <c r="N746" s="157">
        <f>IF($E746="","",IF(OR($E746="Coal",$E746="Dirty Coal"),"Coal","OB"))</f>
        <v/>
      </c>
      <c r="O746" s="157">
        <f>IF($F746="","",IF(COUNTIF(MASTER_JAM!$A$5:$A$94,$C746)=0,"Digger tidak dikenal",IF($J746="","Hauler tidak dikenal",IF($H746="?","Jam salah",IF($K746=0,"Faktor kosong",IF(SUMIFS(INPUT_DELAY!$E$5:$E$20000,INPUT_DELAY!$A$5:$A$20000,$A746,INPUT_DELAY!$B$5:$B$20000,$B746,INPUT_DELAY!$C$5:$C$20000,$C746)+SUMIFS(INPUT_DELAY!$E$5:$E$20000,INPUT_DELAY!$A$5:$A$20000,$A746,INPUT_DELAY!$B$5:$B$20000,$B746,INPUT_DELAY!$C$5:$C$20000,"SEMUA")&gt;=60,"Delay 60 mnt tapi ada ritase","OK"))))))</f>
        <v/>
      </c>
      <c r="P746" s="158">
        <f>IFERROR(INDEX(MASTER_JAM!$Z$5:$AC$10,MATCH($I746,MASTER_JAM!$Y$5:$Y$10,0),MATCH($J746,MASTER_JAM!$Z$4:$AC$4,0))+0,0)</f>
        <v/>
      </c>
      <c r="Q746" s="158">
        <f>IF($P746=0,0,$P746+IFERROR(INDEX(MASTER_JAM!$H$5:$H$94,MATCH($C746,MASTER_JAM!$A$5:$A$94,0))+0,MASTER_JAM!$AC$15)/1000*(60/MASTER_JAM!$AC$12+60/MASTER_JAM!$AC$13)+MASTER_JAM!$AC$14)</f>
        <v/>
      </c>
      <c r="R746" s="158">
        <f>IF(N($F746)=0,0,$F746/SUMIFS(INPUT_RITASE!$F$5:$F$20000,INPUT_RITASE!$A$5:$A$20000,$A746,INPUT_RITASE!$B$5:$B$20000,$B746,INPUT_RITASE!$C$5:$C$20000,$C746,INPUT_RITASE!$D$5:$D$20000,$D746))</f>
        <v/>
      </c>
      <c r="S746" s="158">
        <f>IF($Q746=0,0,$R746*$P746/$Q746)</f>
        <v/>
      </c>
    </row>
    <row r="747">
      <c r="A747" s="155" t="n">
        <v>46106</v>
      </c>
      <c r="B747" s="156" t="inlineStr">
        <is>
          <t>19-20</t>
        </is>
      </c>
      <c r="C747" s="156" t="inlineStr">
        <is>
          <t>EX-2101</t>
        </is>
      </c>
      <c r="D747" s="156" t="inlineStr">
        <is>
          <t>HD-902</t>
        </is>
      </c>
      <c r="E747" s="156" t="inlineStr">
        <is>
          <t>OB</t>
        </is>
      </c>
      <c r="F747" s="156" t="n">
        <v>3</v>
      </c>
      <c r="G747" s="156" t="inlineStr"/>
      <c r="H747" s="157">
        <f>IF($B747="","",IF(ISNA(MATCH($B747,MASTER_JAM!$Q$5:$Q$28,0)),"?",IF(MATCH($B747,MASTER_JAM!$Q$5:$Q$28,0)&lt;=12,"DS","NS")))</f>
        <v/>
      </c>
      <c r="I747" s="157">
        <f>IFERROR(INDEX(MASTER_JAM!$B$5:$B$94,MATCH($C747,MASTER_JAM!$A$5:$A$94,0)),"")</f>
        <v/>
      </c>
      <c r="J747" s="157">
        <f>IFERROR(INDEX(MASTER_JAM!$E$5:$E$94,MATCH($D747,MASTER_JAM!$A$5:$A$94,0)),"")</f>
        <v/>
      </c>
      <c r="K747" s="158">
        <f>IFERROR(INDEX(MASTER_JAM!$J$5:$O$12,MATCH($E747,MASTER_JAM!$I$5:$I$12,0),MATCH($J747,MASTER_JAM!$J$4:$O$4,0))+0,0)</f>
        <v/>
      </c>
      <c r="L747" s="159">
        <f>N($F747)*$K747</f>
        <v/>
      </c>
      <c r="M747" s="157">
        <f>IF($E747="","",IF(OR($E747="Coal",$E747="Dirty Coal"),"MT","BCM"))</f>
        <v/>
      </c>
      <c r="N747" s="157">
        <f>IF($E747="","",IF(OR($E747="Coal",$E747="Dirty Coal"),"Coal","OB"))</f>
        <v/>
      </c>
      <c r="O747" s="157">
        <f>IF($F747="","",IF(COUNTIF(MASTER_JAM!$A$5:$A$94,$C747)=0,"Digger tidak dikenal",IF($J747="","Hauler tidak dikenal",IF($H747="?","Jam salah",IF($K747=0,"Faktor kosong",IF(SUMIFS(INPUT_DELAY!$E$5:$E$20000,INPUT_DELAY!$A$5:$A$20000,$A747,INPUT_DELAY!$B$5:$B$20000,$B747,INPUT_DELAY!$C$5:$C$20000,$C747)+SUMIFS(INPUT_DELAY!$E$5:$E$20000,INPUT_DELAY!$A$5:$A$20000,$A747,INPUT_DELAY!$B$5:$B$20000,$B747,INPUT_DELAY!$C$5:$C$20000,"SEMUA")&gt;=60,"Delay 60 mnt tapi ada ritase","OK"))))))</f>
        <v/>
      </c>
      <c r="P747" s="158">
        <f>IFERROR(INDEX(MASTER_JAM!$Z$5:$AC$10,MATCH($I747,MASTER_JAM!$Y$5:$Y$10,0),MATCH($J747,MASTER_JAM!$Z$4:$AC$4,0))+0,0)</f>
        <v/>
      </c>
      <c r="Q747" s="158">
        <f>IF($P747=0,0,$P747+IFERROR(INDEX(MASTER_JAM!$H$5:$H$94,MATCH($C747,MASTER_JAM!$A$5:$A$94,0))+0,MASTER_JAM!$AC$15)/1000*(60/MASTER_JAM!$AC$12+60/MASTER_JAM!$AC$13)+MASTER_JAM!$AC$14)</f>
        <v/>
      </c>
      <c r="R747" s="158">
        <f>IF(N($F747)=0,0,$F747/SUMIFS(INPUT_RITASE!$F$5:$F$20000,INPUT_RITASE!$A$5:$A$20000,$A747,INPUT_RITASE!$B$5:$B$20000,$B747,INPUT_RITASE!$C$5:$C$20000,$C747,INPUT_RITASE!$D$5:$D$20000,$D747))</f>
        <v/>
      </c>
      <c r="S747" s="158">
        <f>IF($Q747=0,0,$R747*$P747/$Q747)</f>
        <v/>
      </c>
    </row>
    <row r="748">
      <c r="A748" s="155" t="n">
        <v>46106</v>
      </c>
      <c r="B748" s="156" t="inlineStr">
        <is>
          <t>21-22</t>
        </is>
      </c>
      <c r="C748" s="156" t="inlineStr">
        <is>
          <t>EX-2101</t>
        </is>
      </c>
      <c r="D748" s="156" t="inlineStr">
        <is>
          <t>HD-903</t>
        </is>
      </c>
      <c r="E748" s="156" t="inlineStr">
        <is>
          <t>OB</t>
        </is>
      </c>
      <c r="F748" s="156" t="n">
        <v>4</v>
      </c>
      <c r="G748" s="156" t="inlineStr"/>
      <c r="H748" s="157">
        <f>IF($B748="","",IF(ISNA(MATCH($B748,MASTER_JAM!$Q$5:$Q$28,0)),"?",IF(MATCH($B748,MASTER_JAM!$Q$5:$Q$28,0)&lt;=12,"DS","NS")))</f>
        <v/>
      </c>
      <c r="I748" s="157">
        <f>IFERROR(INDEX(MASTER_JAM!$B$5:$B$94,MATCH($C748,MASTER_JAM!$A$5:$A$94,0)),"")</f>
        <v/>
      </c>
      <c r="J748" s="157">
        <f>IFERROR(INDEX(MASTER_JAM!$E$5:$E$94,MATCH($D748,MASTER_JAM!$A$5:$A$94,0)),"")</f>
        <v/>
      </c>
      <c r="K748" s="158">
        <f>IFERROR(INDEX(MASTER_JAM!$J$5:$O$12,MATCH($E748,MASTER_JAM!$I$5:$I$12,0),MATCH($J748,MASTER_JAM!$J$4:$O$4,0))+0,0)</f>
        <v/>
      </c>
      <c r="L748" s="159">
        <f>N($F748)*$K748</f>
        <v/>
      </c>
      <c r="M748" s="157">
        <f>IF($E748="","",IF(OR($E748="Coal",$E748="Dirty Coal"),"MT","BCM"))</f>
        <v/>
      </c>
      <c r="N748" s="157">
        <f>IF($E748="","",IF(OR($E748="Coal",$E748="Dirty Coal"),"Coal","OB"))</f>
        <v/>
      </c>
      <c r="O748" s="157">
        <f>IF($F748="","",IF(COUNTIF(MASTER_JAM!$A$5:$A$94,$C748)=0,"Digger tidak dikenal",IF($J748="","Hauler tidak dikenal",IF($H748="?","Jam salah",IF($K748=0,"Faktor kosong",IF(SUMIFS(INPUT_DELAY!$E$5:$E$20000,INPUT_DELAY!$A$5:$A$20000,$A748,INPUT_DELAY!$B$5:$B$20000,$B748,INPUT_DELAY!$C$5:$C$20000,$C748)+SUMIFS(INPUT_DELAY!$E$5:$E$20000,INPUT_DELAY!$A$5:$A$20000,$A748,INPUT_DELAY!$B$5:$B$20000,$B748,INPUT_DELAY!$C$5:$C$20000,"SEMUA")&gt;=60,"Delay 60 mnt tapi ada ritase","OK"))))))</f>
        <v/>
      </c>
      <c r="P748" s="158">
        <f>IFERROR(INDEX(MASTER_JAM!$Z$5:$AC$10,MATCH($I748,MASTER_JAM!$Y$5:$Y$10,0),MATCH($J748,MASTER_JAM!$Z$4:$AC$4,0))+0,0)</f>
        <v/>
      </c>
      <c r="Q748" s="158">
        <f>IF($P748=0,0,$P748+IFERROR(INDEX(MASTER_JAM!$H$5:$H$94,MATCH($C748,MASTER_JAM!$A$5:$A$94,0))+0,MASTER_JAM!$AC$15)/1000*(60/MASTER_JAM!$AC$12+60/MASTER_JAM!$AC$13)+MASTER_JAM!$AC$14)</f>
        <v/>
      </c>
      <c r="R748" s="158">
        <f>IF(N($F748)=0,0,$F748/SUMIFS(INPUT_RITASE!$F$5:$F$20000,INPUT_RITASE!$A$5:$A$20000,$A748,INPUT_RITASE!$B$5:$B$20000,$B748,INPUT_RITASE!$C$5:$C$20000,$C748,INPUT_RITASE!$D$5:$D$20000,$D748))</f>
        <v/>
      </c>
      <c r="S748" s="158">
        <f>IF($Q748=0,0,$R748*$P748/$Q748)</f>
        <v/>
      </c>
    </row>
    <row r="749">
      <c r="A749" s="155" t="n">
        <v>46106</v>
      </c>
      <c r="B749" s="156" t="inlineStr">
        <is>
          <t>21-22</t>
        </is>
      </c>
      <c r="C749" s="156" t="inlineStr">
        <is>
          <t>EX-2101</t>
        </is>
      </c>
      <c r="D749" s="156" t="inlineStr">
        <is>
          <t>HD-902</t>
        </is>
      </c>
      <c r="E749" s="156" t="inlineStr">
        <is>
          <t>OB</t>
        </is>
      </c>
      <c r="F749" s="156" t="n">
        <v>4</v>
      </c>
      <c r="G749" s="156" t="inlineStr"/>
      <c r="H749" s="157">
        <f>IF($B749="","",IF(ISNA(MATCH($B749,MASTER_JAM!$Q$5:$Q$28,0)),"?",IF(MATCH($B749,MASTER_JAM!$Q$5:$Q$28,0)&lt;=12,"DS","NS")))</f>
        <v/>
      </c>
      <c r="I749" s="157">
        <f>IFERROR(INDEX(MASTER_JAM!$B$5:$B$94,MATCH($C749,MASTER_JAM!$A$5:$A$94,0)),"")</f>
        <v/>
      </c>
      <c r="J749" s="157">
        <f>IFERROR(INDEX(MASTER_JAM!$E$5:$E$94,MATCH($D749,MASTER_JAM!$A$5:$A$94,0)),"")</f>
        <v/>
      </c>
      <c r="K749" s="158">
        <f>IFERROR(INDEX(MASTER_JAM!$J$5:$O$12,MATCH($E749,MASTER_JAM!$I$5:$I$12,0),MATCH($J749,MASTER_JAM!$J$4:$O$4,0))+0,0)</f>
        <v/>
      </c>
      <c r="L749" s="159">
        <f>N($F749)*$K749</f>
        <v/>
      </c>
      <c r="M749" s="157">
        <f>IF($E749="","",IF(OR($E749="Coal",$E749="Dirty Coal"),"MT","BCM"))</f>
        <v/>
      </c>
      <c r="N749" s="157">
        <f>IF($E749="","",IF(OR($E749="Coal",$E749="Dirty Coal"),"Coal","OB"))</f>
        <v/>
      </c>
      <c r="O749" s="157">
        <f>IF($F749="","",IF(COUNTIF(MASTER_JAM!$A$5:$A$94,$C749)=0,"Digger tidak dikenal",IF($J749="","Hauler tidak dikenal",IF($H749="?","Jam salah",IF($K749=0,"Faktor kosong",IF(SUMIFS(INPUT_DELAY!$E$5:$E$20000,INPUT_DELAY!$A$5:$A$20000,$A749,INPUT_DELAY!$B$5:$B$20000,$B749,INPUT_DELAY!$C$5:$C$20000,$C749)+SUMIFS(INPUT_DELAY!$E$5:$E$20000,INPUT_DELAY!$A$5:$A$20000,$A749,INPUT_DELAY!$B$5:$B$20000,$B749,INPUT_DELAY!$C$5:$C$20000,"SEMUA")&gt;=60,"Delay 60 mnt tapi ada ritase","OK"))))))</f>
        <v/>
      </c>
      <c r="P749" s="158">
        <f>IFERROR(INDEX(MASTER_JAM!$Z$5:$AC$10,MATCH($I749,MASTER_JAM!$Y$5:$Y$10,0),MATCH($J749,MASTER_JAM!$Z$4:$AC$4,0))+0,0)</f>
        <v/>
      </c>
      <c r="Q749" s="158">
        <f>IF($P749=0,0,$P749+IFERROR(INDEX(MASTER_JAM!$H$5:$H$94,MATCH($C749,MASTER_JAM!$A$5:$A$94,0))+0,MASTER_JAM!$AC$15)/1000*(60/MASTER_JAM!$AC$12+60/MASTER_JAM!$AC$13)+MASTER_JAM!$AC$14)</f>
        <v/>
      </c>
      <c r="R749" s="158">
        <f>IF(N($F749)=0,0,$F749/SUMIFS(INPUT_RITASE!$F$5:$F$20000,INPUT_RITASE!$A$5:$A$20000,$A749,INPUT_RITASE!$B$5:$B$20000,$B749,INPUT_RITASE!$C$5:$C$20000,$C749,INPUT_RITASE!$D$5:$D$20000,$D749))</f>
        <v/>
      </c>
      <c r="S749" s="158">
        <f>IF($Q749=0,0,$R749*$P749/$Q749)</f>
        <v/>
      </c>
    </row>
    <row r="750">
      <c r="A750" s="155" t="n">
        <v>46106</v>
      </c>
      <c r="B750" s="156" t="inlineStr">
        <is>
          <t>22-23</t>
        </is>
      </c>
      <c r="C750" s="156" t="inlineStr">
        <is>
          <t>EX-2101</t>
        </is>
      </c>
      <c r="D750" s="156" t="inlineStr">
        <is>
          <t>HD-901</t>
        </is>
      </c>
      <c r="E750" s="156" t="inlineStr">
        <is>
          <t>OB</t>
        </is>
      </c>
      <c r="F750" s="156" t="n">
        <v>4</v>
      </c>
      <c r="G750" s="156" t="inlineStr"/>
      <c r="H750" s="157">
        <f>IF($B750="","",IF(ISNA(MATCH($B750,MASTER_JAM!$Q$5:$Q$28,0)),"?",IF(MATCH($B750,MASTER_JAM!$Q$5:$Q$28,0)&lt;=12,"DS","NS")))</f>
        <v/>
      </c>
      <c r="I750" s="157">
        <f>IFERROR(INDEX(MASTER_JAM!$B$5:$B$94,MATCH($C750,MASTER_JAM!$A$5:$A$94,0)),"")</f>
        <v/>
      </c>
      <c r="J750" s="157">
        <f>IFERROR(INDEX(MASTER_JAM!$E$5:$E$94,MATCH($D750,MASTER_JAM!$A$5:$A$94,0)),"")</f>
        <v/>
      </c>
      <c r="K750" s="158">
        <f>IFERROR(INDEX(MASTER_JAM!$J$5:$O$12,MATCH($E750,MASTER_JAM!$I$5:$I$12,0),MATCH($J750,MASTER_JAM!$J$4:$O$4,0))+0,0)</f>
        <v/>
      </c>
      <c r="L750" s="159">
        <f>N($F750)*$K750</f>
        <v/>
      </c>
      <c r="M750" s="157">
        <f>IF($E750="","",IF(OR($E750="Coal",$E750="Dirty Coal"),"MT","BCM"))</f>
        <v/>
      </c>
      <c r="N750" s="157">
        <f>IF($E750="","",IF(OR($E750="Coal",$E750="Dirty Coal"),"Coal","OB"))</f>
        <v/>
      </c>
      <c r="O750" s="157">
        <f>IF($F750="","",IF(COUNTIF(MASTER_JAM!$A$5:$A$94,$C750)=0,"Digger tidak dikenal",IF($J750="","Hauler tidak dikenal",IF($H750="?","Jam salah",IF($K750=0,"Faktor kosong",IF(SUMIFS(INPUT_DELAY!$E$5:$E$20000,INPUT_DELAY!$A$5:$A$20000,$A750,INPUT_DELAY!$B$5:$B$20000,$B750,INPUT_DELAY!$C$5:$C$20000,$C750)+SUMIFS(INPUT_DELAY!$E$5:$E$20000,INPUT_DELAY!$A$5:$A$20000,$A750,INPUT_DELAY!$B$5:$B$20000,$B750,INPUT_DELAY!$C$5:$C$20000,"SEMUA")&gt;=60,"Delay 60 mnt tapi ada ritase","OK"))))))</f>
        <v/>
      </c>
      <c r="P750" s="158">
        <f>IFERROR(INDEX(MASTER_JAM!$Z$5:$AC$10,MATCH($I750,MASTER_JAM!$Y$5:$Y$10,0),MATCH($J750,MASTER_JAM!$Z$4:$AC$4,0))+0,0)</f>
        <v/>
      </c>
      <c r="Q750" s="158">
        <f>IF($P750=0,0,$P750+IFERROR(INDEX(MASTER_JAM!$H$5:$H$94,MATCH($C750,MASTER_JAM!$A$5:$A$94,0))+0,MASTER_JAM!$AC$15)/1000*(60/MASTER_JAM!$AC$12+60/MASTER_JAM!$AC$13)+MASTER_JAM!$AC$14)</f>
        <v/>
      </c>
      <c r="R750" s="158">
        <f>IF(N($F750)=0,0,$F750/SUMIFS(INPUT_RITASE!$F$5:$F$20000,INPUT_RITASE!$A$5:$A$20000,$A750,INPUT_RITASE!$B$5:$B$20000,$B750,INPUT_RITASE!$C$5:$C$20000,$C750,INPUT_RITASE!$D$5:$D$20000,$D750))</f>
        <v/>
      </c>
      <c r="S750" s="158">
        <f>IF($Q750=0,0,$R750*$P750/$Q750)</f>
        <v/>
      </c>
    </row>
    <row r="751">
      <c r="A751" s="155" t="n">
        <v>46106</v>
      </c>
      <c r="B751" s="156" t="inlineStr">
        <is>
          <t>22-23</t>
        </is>
      </c>
      <c r="C751" s="156" t="inlineStr">
        <is>
          <t>EX-2101</t>
        </is>
      </c>
      <c r="D751" s="156" t="inlineStr">
        <is>
          <t>HD-903</t>
        </is>
      </c>
      <c r="E751" s="156" t="inlineStr">
        <is>
          <t>OB</t>
        </is>
      </c>
      <c r="F751" s="156" t="n">
        <v>4</v>
      </c>
      <c r="G751" s="156" t="inlineStr"/>
      <c r="H751" s="157">
        <f>IF($B751="","",IF(ISNA(MATCH($B751,MASTER_JAM!$Q$5:$Q$28,0)),"?",IF(MATCH($B751,MASTER_JAM!$Q$5:$Q$28,0)&lt;=12,"DS","NS")))</f>
        <v/>
      </c>
      <c r="I751" s="157">
        <f>IFERROR(INDEX(MASTER_JAM!$B$5:$B$94,MATCH($C751,MASTER_JAM!$A$5:$A$94,0)),"")</f>
        <v/>
      </c>
      <c r="J751" s="157">
        <f>IFERROR(INDEX(MASTER_JAM!$E$5:$E$94,MATCH($D751,MASTER_JAM!$A$5:$A$94,0)),"")</f>
        <v/>
      </c>
      <c r="K751" s="158">
        <f>IFERROR(INDEX(MASTER_JAM!$J$5:$O$12,MATCH($E751,MASTER_JAM!$I$5:$I$12,0),MATCH($J751,MASTER_JAM!$J$4:$O$4,0))+0,0)</f>
        <v/>
      </c>
      <c r="L751" s="159">
        <f>N($F751)*$K751</f>
        <v/>
      </c>
      <c r="M751" s="157">
        <f>IF($E751="","",IF(OR($E751="Coal",$E751="Dirty Coal"),"MT","BCM"))</f>
        <v/>
      </c>
      <c r="N751" s="157">
        <f>IF($E751="","",IF(OR($E751="Coal",$E751="Dirty Coal"),"Coal","OB"))</f>
        <v/>
      </c>
      <c r="O751" s="157">
        <f>IF($F751="","",IF(COUNTIF(MASTER_JAM!$A$5:$A$94,$C751)=0,"Digger tidak dikenal",IF($J751="","Hauler tidak dikenal",IF($H751="?","Jam salah",IF($K751=0,"Faktor kosong",IF(SUMIFS(INPUT_DELAY!$E$5:$E$20000,INPUT_DELAY!$A$5:$A$20000,$A751,INPUT_DELAY!$B$5:$B$20000,$B751,INPUT_DELAY!$C$5:$C$20000,$C751)+SUMIFS(INPUT_DELAY!$E$5:$E$20000,INPUT_DELAY!$A$5:$A$20000,$A751,INPUT_DELAY!$B$5:$B$20000,$B751,INPUT_DELAY!$C$5:$C$20000,"SEMUA")&gt;=60,"Delay 60 mnt tapi ada ritase","OK"))))))</f>
        <v/>
      </c>
      <c r="P751" s="158">
        <f>IFERROR(INDEX(MASTER_JAM!$Z$5:$AC$10,MATCH($I751,MASTER_JAM!$Y$5:$Y$10,0),MATCH($J751,MASTER_JAM!$Z$4:$AC$4,0))+0,0)</f>
        <v/>
      </c>
      <c r="Q751" s="158">
        <f>IF($P751=0,0,$P751+IFERROR(INDEX(MASTER_JAM!$H$5:$H$94,MATCH($C751,MASTER_JAM!$A$5:$A$94,0))+0,MASTER_JAM!$AC$15)/1000*(60/MASTER_JAM!$AC$12+60/MASTER_JAM!$AC$13)+MASTER_JAM!$AC$14)</f>
        <v/>
      </c>
      <c r="R751" s="158">
        <f>IF(N($F751)=0,0,$F751/SUMIFS(INPUT_RITASE!$F$5:$F$20000,INPUT_RITASE!$A$5:$A$20000,$A751,INPUT_RITASE!$B$5:$B$20000,$B751,INPUT_RITASE!$C$5:$C$20000,$C751,INPUT_RITASE!$D$5:$D$20000,$D751))</f>
        <v/>
      </c>
      <c r="S751" s="158">
        <f>IF($Q751=0,0,$R751*$P751/$Q751)</f>
        <v/>
      </c>
    </row>
    <row r="752">
      <c r="A752" s="155" t="n">
        <v>46106</v>
      </c>
      <c r="B752" s="156" t="inlineStr">
        <is>
          <t>22-23</t>
        </is>
      </c>
      <c r="C752" s="156" t="inlineStr">
        <is>
          <t>EX-2101</t>
        </is>
      </c>
      <c r="D752" s="156" t="inlineStr">
        <is>
          <t>HD-902</t>
        </is>
      </c>
      <c r="E752" s="156" t="inlineStr">
        <is>
          <t>OB</t>
        </is>
      </c>
      <c r="F752" s="156" t="n">
        <v>3</v>
      </c>
      <c r="G752" s="156" t="inlineStr"/>
      <c r="H752" s="157">
        <f>IF($B752="","",IF(ISNA(MATCH($B752,MASTER_JAM!$Q$5:$Q$28,0)),"?",IF(MATCH($B752,MASTER_JAM!$Q$5:$Q$28,0)&lt;=12,"DS","NS")))</f>
        <v/>
      </c>
      <c r="I752" s="157">
        <f>IFERROR(INDEX(MASTER_JAM!$B$5:$B$94,MATCH($C752,MASTER_JAM!$A$5:$A$94,0)),"")</f>
        <v/>
      </c>
      <c r="J752" s="157">
        <f>IFERROR(INDEX(MASTER_JAM!$E$5:$E$94,MATCH($D752,MASTER_JAM!$A$5:$A$94,0)),"")</f>
        <v/>
      </c>
      <c r="K752" s="158">
        <f>IFERROR(INDEX(MASTER_JAM!$J$5:$O$12,MATCH($E752,MASTER_JAM!$I$5:$I$12,0),MATCH($J752,MASTER_JAM!$J$4:$O$4,0))+0,0)</f>
        <v/>
      </c>
      <c r="L752" s="159">
        <f>N($F752)*$K752</f>
        <v/>
      </c>
      <c r="M752" s="157">
        <f>IF($E752="","",IF(OR($E752="Coal",$E752="Dirty Coal"),"MT","BCM"))</f>
        <v/>
      </c>
      <c r="N752" s="157">
        <f>IF($E752="","",IF(OR($E752="Coal",$E752="Dirty Coal"),"Coal","OB"))</f>
        <v/>
      </c>
      <c r="O752" s="157">
        <f>IF($F752="","",IF(COUNTIF(MASTER_JAM!$A$5:$A$94,$C752)=0,"Digger tidak dikenal",IF($J752="","Hauler tidak dikenal",IF($H752="?","Jam salah",IF($K752=0,"Faktor kosong",IF(SUMIFS(INPUT_DELAY!$E$5:$E$20000,INPUT_DELAY!$A$5:$A$20000,$A752,INPUT_DELAY!$B$5:$B$20000,$B752,INPUT_DELAY!$C$5:$C$20000,$C752)+SUMIFS(INPUT_DELAY!$E$5:$E$20000,INPUT_DELAY!$A$5:$A$20000,$A752,INPUT_DELAY!$B$5:$B$20000,$B752,INPUT_DELAY!$C$5:$C$20000,"SEMUA")&gt;=60,"Delay 60 mnt tapi ada ritase","OK"))))))</f>
        <v/>
      </c>
      <c r="P752" s="158">
        <f>IFERROR(INDEX(MASTER_JAM!$Z$5:$AC$10,MATCH($I752,MASTER_JAM!$Y$5:$Y$10,0),MATCH($J752,MASTER_JAM!$Z$4:$AC$4,0))+0,0)</f>
        <v/>
      </c>
      <c r="Q752" s="158">
        <f>IF($P752=0,0,$P752+IFERROR(INDEX(MASTER_JAM!$H$5:$H$94,MATCH($C752,MASTER_JAM!$A$5:$A$94,0))+0,MASTER_JAM!$AC$15)/1000*(60/MASTER_JAM!$AC$12+60/MASTER_JAM!$AC$13)+MASTER_JAM!$AC$14)</f>
        <v/>
      </c>
      <c r="R752" s="158">
        <f>IF(N($F752)=0,0,$F752/SUMIFS(INPUT_RITASE!$F$5:$F$20000,INPUT_RITASE!$A$5:$A$20000,$A752,INPUT_RITASE!$B$5:$B$20000,$B752,INPUT_RITASE!$C$5:$C$20000,$C752,INPUT_RITASE!$D$5:$D$20000,$D752))</f>
        <v/>
      </c>
      <c r="S752" s="158">
        <f>IF($Q752=0,0,$R752*$P752/$Q752)</f>
        <v/>
      </c>
    </row>
    <row r="753">
      <c r="A753" s="155" t="n">
        <v>46106</v>
      </c>
      <c r="B753" s="156" t="inlineStr">
        <is>
          <t>22-23</t>
        </is>
      </c>
      <c r="C753" s="156" t="inlineStr">
        <is>
          <t>EX-2101</t>
        </is>
      </c>
      <c r="D753" s="156" t="inlineStr">
        <is>
          <t>DT-810</t>
        </is>
      </c>
      <c r="E753" s="156" t="inlineStr">
        <is>
          <t>OB</t>
        </is>
      </c>
      <c r="F753" s="156" t="n">
        <v>3</v>
      </c>
      <c r="G753" s="156" t="inlineStr"/>
      <c r="H753" s="157">
        <f>IF($B753="","",IF(ISNA(MATCH($B753,MASTER_JAM!$Q$5:$Q$28,0)),"?",IF(MATCH($B753,MASTER_JAM!$Q$5:$Q$28,0)&lt;=12,"DS","NS")))</f>
        <v/>
      </c>
      <c r="I753" s="157">
        <f>IFERROR(INDEX(MASTER_JAM!$B$5:$B$94,MATCH($C753,MASTER_JAM!$A$5:$A$94,0)),"")</f>
        <v/>
      </c>
      <c r="J753" s="157">
        <f>IFERROR(INDEX(MASTER_JAM!$E$5:$E$94,MATCH($D753,MASTER_JAM!$A$5:$A$94,0)),"")</f>
        <v/>
      </c>
      <c r="K753" s="158">
        <f>IFERROR(INDEX(MASTER_JAM!$J$5:$O$12,MATCH($E753,MASTER_JAM!$I$5:$I$12,0),MATCH($J753,MASTER_JAM!$J$4:$O$4,0))+0,0)</f>
        <v/>
      </c>
      <c r="L753" s="159">
        <f>N($F753)*$K753</f>
        <v/>
      </c>
      <c r="M753" s="157">
        <f>IF($E753="","",IF(OR($E753="Coal",$E753="Dirty Coal"),"MT","BCM"))</f>
        <v/>
      </c>
      <c r="N753" s="157">
        <f>IF($E753="","",IF(OR($E753="Coal",$E753="Dirty Coal"),"Coal","OB"))</f>
        <v/>
      </c>
      <c r="O753" s="157">
        <f>IF($F753="","",IF(COUNTIF(MASTER_JAM!$A$5:$A$94,$C753)=0,"Digger tidak dikenal",IF($J753="","Hauler tidak dikenal",IF($H753="?","Jam salah",IF($K753=0,"Faktor kosong",IF(SUMIFS(INPUT_DELAY!$E$5:$E$20000,INPUT_DELAY!$A$5:$A$20000,$A753,INPUT_DELAY!$B$5:$B$20000,$B753,INPUT_DELAY!$C$5:$C$20000,$C753)+SUMIFS(INPUT_DELAY!$E$5:$E$20000,INPUT_DELAY!$A$5:$A$20000,$A753,INPUT_DELAY!$B$5:$B$20000,$B753,INPUT_DELAY!$C$5:$C$20000,"SEMUA")&gt;=60,"Delay 60 mnt tapi ada ritase","OK"))))))</f>
        <v/>
      </c>
      <c r="P753" s="158">
        <f>IFERROR(INDEX(MASTER_JAM!$Z$5:$AC$10,MATCH($I753,MASTER_JAM!$Y$5:$Y$10,0),MATCH($J753,MASTER_JAM!$Z$4:$AC$4,0))+0,0)</f>
        <v/>
      </c>
      <c r="Q753" s="158">
        <f>IF($P753=0,0,$P753+IFERROR(INDEX(MASTER_JAM!$H$5:$H$94,MATCH($C753,MASTER_JAM!$A$5:$A$94,0))+0,MASTER_JAM!$AC$15)/1000*(60/MASTER_JAM!$AC$12+60/MASTER_JAM!$AC$13)+MASTER_JAM!$AC$14)</f>
        <v/>
      </c>
      <c r="R753" s="158">
        <f>IF(N($F753)=0,0,$F753/SUMIFS(INPUT_RITASE!$F$5:$F$20000,INPUT_RITASE!$A$5:$A$20000,$A753,INPUT_RITASE!$B$5:$B$20000,$B753,INPUT_RITASE!$C$5:$C$20000,$C753,INPUT_RITASE!$D$5:$D$20000,$D753))</f>
        <v/>
      </c>
      <c r="S753" s="158">
        <f>IF($Q753=0,0,$R753*$P753/$Q753)</f>
        <v/>
      </c>
    </row>
    <row r="754">
      <c r="A754" s="155" t="n">
        <v>46106</v>
      </c>
      <c r="B754" s="156" t="inlineStr">
        <is>
          <t>22-23</t>
        </is>
      </c>
      <c r="C754" s="156" t="inlineStr">
        <is>
          <t>EX-2101</t>
        </is>
      </c>
      <c r="D754" s="156" t="inlineStr">
        <is>
          <t>DT-812</t>
        </is>
      </c>
      <c r="E754" s="156" t="inlineStr">
        <is>
          <t>OB</t>
        </is>
      </c>
      <c r="F754" s="156" t="n">
        <v>2</v>
      </c>
      <c r="G754" s="156" t="inlineStr"/>
      <c r="H754" s="157">
        <f>IF($B754="","",IF(ISNA(MATCH($B754,MASTER_JAM!$Q$5:$Q$28,0)),"?",IF(MATCH($B754,MASTER_JAM!$Q$5:$Q$28,0)&lt;=12,"DS","NS")))</f>
        <v/>
      </c>
      <c r="I754" s="157">
        <f>IFERROR(INDEX(MASTER_JAM!$B$5:$B$94,MATCH($C754,MASTER_JAM!$A$5:$A$94,0)),"")</f>
        <v/>
      </c>
      <c r="J754" s="157">
        <f>IFERROR(INDEX(MASTER_JAM!$E$5:$E$94,MATCH($D754,MASTER_JAM!$A$5:$A$94,0)),"")</f>
        <v/>
      </c>
      <c r="K754" s="158">
        <f>IFERROR(INDEX(MASTER_JAM!$J$5:$O$12,MATCH($E754,MASTER_JAM!$I$5:$I$12,0),MATCH($J754,MASTER_JAM!$J$4:$O$4,0))+0,0)</f>
        <v/>
      </c>
      <c r="L754" s="159">
        <f>N($F754)*$K754</f>
        <v/>
      </c>
      <c r="M754" s="157">
        <f>IF($E754="","",IF(OR($E754="Coal",$E754="Dirty Coal"),"MT","BCM"))</f>
        <v/>
      </c>
      <c r="N754" s="157">
        <f>IF($E754="","",IF(OR($E754="Coal",$E754="Dirty Coal"),"Coal","OB"))</f>
        <v/>
      </c>
      <c r="O754" s="157">
        <f>IF($F754="","",IF(COUNTIF(MASTER_JAM!$A$5:$A$94,$C754)=0,"Digger tidak dikenal",IF($J754="","Hauler tidak dikenal",IF($H754="?","Jam salah",IF($K754=0,"Faktor kosong",IF(SUMIFS(INPUT_DELAY!$E$5:$E$20000,INPUT_DELAY!$A$5:$A$20000,$A754,INPUT_DELAY!$B$5:$B$20000,$B754,INPUT_DELAY!$C$5:$C$20000,$C754)+SUMIFS(INPUT_DELAY!$E$5:$E$20000,INPUT_DELAY!$A$5:$A$20000,$A754,INPUT_DELAY!$B$5:$B$20000,$B754,INPUT_DELAY!$C$5:$C$20000,"SEMUA")&gt;=60,"Delay 60 mnt tapi ada ritase","OK"))))))</f>
        <v/>
      </c>
      <c r="P754" s="158">
        <f>IFERROR(INDEX(MASTER_JAM!$Z$5:$AC$10,MATCH($I754,MASTER_JAM!$Y$5:$Y$10,0),MATCH($J754,MASTER_JAM!$Z$4:$AC$4,0))+0,0)</f>
        <v/>
      </c>
      <c r="Q754" s="158">
        <f>IF($P754=0,0,$P754+IFERROR(INDEX(MASTER_JAM!$H$5:$H$94,MATCH($C754,MASTER_JAM!$A$5:$A$94,0))+0,MASTER_JAM!$AC$15)/1000*(60/MASTER_JAM!$AC$12+60/MASTER_JAM!$AC$13)+MASTER_JAM!$AC$14)</f>
        <v/>
      </c>
      <c r="R754" s="158">
        <f>IF(N($F754)=0,0,$F754/SUMIFS(INPUT_RITASE!$F$5:$F$20000,INPUT_RITASE!$A$5:$A$20000,$A754,INPUT_RITASE!$B$5:$B$20000,$B754,INPUT_RITASE!$C$5:$C$20000,$C754,INPUT_RITASE!$D$5:$D$20000,$D754))</f>
        <v/>
      </c>
      <c r="S754" s="158">
        <f>IF($Q754=0,0,$R754*$P754/$Q754)</f>
        <v/>
      </c>
    </row>
    <row r="755">
      <c r="A755" s="155" t="n">
        <v>46106</v>
      </c>
      <c r="B755" s="156" t="inlineStr">
        <is>
          <t>23-24</t>
        </is>
      </c>
      <c r="C755" s="156" t="inlineStr">
        <is>
          <t>EX-2101</t>
        </is>
      </c>
      <c r="D755" s="156" t="inlineStr">
        <is>
          <t>DT-811</t>
        </is>
      </c>
      <c r="E755" s="156" t="inlineStr">
        <is>
          <t>OB</t>
        </is>
      </c>
      <c r="F755" s="156" t="n">
        <v>4</v>
      </c>
      <c r="G755" s="156" t="inlineStr"/>
      <c r="H755" s="157">
        <f>IF($B755="","",IF(ISNA(MATCH($B755,MASTER_JAM!$Q$5:$Q$28,0)),"?",IF(MATCH($B755,MASTER_JAM!$Q$5:$Q$28,0)&lt;=12,"DS","NS")))</f>
        <v/>
      </c>
      <c r="I755" s="157">
        <f>IFERROR(INDEX(MASTER_JAM!$B$5:$B$94,MATCH($C755,MASTER_JAM!$A$5:$A$94,0)),"")</f>
        <v/>
      </c>
      <c r="J755" s="157">
        <f>IFERROR(INDEX(MASTER_JAM!$E$5:$E$94,MATCH($D755,MASTER_JAM!$A$5:$A$94,0)),"")</f>
        <v/>
      </c>
      <c r="K755" s="158">
        <f>IFERROR(INDEX(MASTER_JAM!$J$5:$O$12,MATCH($E755,MASTER_JAM!$I$5:$I$12,0),MATCH($J755,MASTER_JAM!$J$4:$O$4,0))+0,0)</f>
        <v/>
      </c>
      <c r="L755" s="159">
        <f>N($F755)*$K755</f>
        <v/>
      </c>
      <c r="M755" s="157">
        <f>IF($E755="","",IF(OR($E755="Coal",$E755="Dirty Coal"),"MT","BCM"))</f>
        <v/>
      </c>
      <c r="N755" s="157">
        <f>IF($E755="","",IF(OR($E755="Coal",$E755="Dirty Coal"),"Coal","OB"))</f>
        <v/>
      </c>
      <c r="O755" s="157">
        <f>IF($F755="","",IF(COUNTIF(MASTER_JAM!$A$5:$A$94,$C755)=0,"Digger tidak dikenal",IF($J755="","Hauler tidak dikenal",IF($H755="?","Jam salah",IF($K755=0,"Faktor kosong",IF(SUMIFS(INPUT_DELAY!$E$5:$E$20000,INPUT_DELAY!$A$5:$A$20000,$A755,INPUT_DELAY!$B$5:$B$20000,$B755,INPUT_DELAY!$C$5:$C$20000,$C755)+SUMIFS(INPUT_DELAY!$E$5:$E$20000,INPUT_DELAY!$A$5:$A$20000,$A755,INPUT_DELAY!$B$5:$B$20000,$B755,INPUT_DELAY!$C$5:$C$20000,"SEMUA")&gt;=60,"Delay 60 mnt tapi ada ritase","OK"))))))</f>
        <v/>
      </c>
      <c r="P755" s="158">
        <f>IFERROR(INDEX(MASTER_JAM!$Z$5:$AC$10,MATCH($I755,MASTER_JAM!$Y$5:$Y$10,0),MATCH($J755,MASTER_JAM!$Z$4:$AC$4,0))+0,0)</f>
        <v/>
      </c>
      <c r="Q755" s="158">
        <f>IF($P755=0,0,$P755+IFERROR(INDEX(MASTER_JAM!$H$5:$H$94,MATCH($C755,MASTER_JAM!$A$5:$A$94,0))+0,MASTER_JAM!$AC$15)/1000*(60/MASTER_JAM!$AC$12+60/MASTER_JAM!$AC$13)+MASTER_JAM!$AC$14)</f>
        <v/>
      </c>
      <c r="R755" s="158">
        <f>IF(N($F755)=0,0,$F755/SUMIFS(INPUT_RITASE!$F$5:$F$20000,INPUT_RITASE!$A$5:$A$20000,$A755,INPUT_RITASE!$B$5:$B$20000,$B755,INPUT_RITASE!$C$5:$C$20000,$C755,INPUT_RITASE!$D$5:$D$20000,$D755))</f>
        <v/>
      </c>
      <c r="S755" s="158">
        <f>IF($Q755=0,0,$R755*$P755/$Q755)</f>
        <v/>
      </c>
    </row>
    <row r="756">
      <c r="A756" s="155" t="n">
        <v>46106</v>
      </c>
      <c r="B756" s="156" t="inlineStr">
        <is>
          <t>23-24</t>
        </is>
      </c>
      <c r="C756" s="156" t="inlineStr">
        <is>
          <t>EX-2101</t>
        </is>
      </c>
      <c r="D756" s="156" t="inlineStr">
        <is>
          <t>DT-812</t>
        </is>
      </c>
      <c r="E756" s="156" t="inlineStr">
        <is>
          <t>OB</t>
        </is>
      </c>
      <c r="F756" s="156" t="n">
        <v>3</v>
      </c>
      <c r="G756" s="156" t="inlineStr"/>
      <c r="H756" s="157">
        <f>IF($B756="","",IF(ISNA(MATCH($B756,MASTER_JAM!$Q$5:$Q$28,0)),"?",IF(MATCH($B756,MASTER_JAM!$Q$5:$Q$28,0)&lt;=12,"DS","NS")))</f>
        <v/>
      </c>
      <c r="I756" s="157">
        <f>IFERROR(INDEX(MASTER_JAM!$B$5:$B$94,MATCH($C756,MASTER_JAM!$A$5:$A$94,0)),"")</f>
        <v/>
      </c>
      <c r="J756" s="157">
        <f>IFERROR(INDEX(MASTER_JAM!$E$5:$E$94,MATCH($D756,MASTER_JAM!$A$5:$A$94,0)),"")</f>
        <v/>
      </c>
      <c r="K756" s="158">
        <f>IFERROR(INDEX(MASTER_JAM!$J$5:$O$12,MATCH($E756,MASTER_JAM!$I$5:$I$12,0),MATCH($J756,MASTER_JAM!$J$4:$O$4,0))+0,0)</f>
        <v/>
      </c>
      <c r="L756" s="159">
        <f>N($F756)*$K756</f>
        <v/>
      </c>
      <c r="M756" s="157">
        <f>IF($E756="","",IF(OR($E756="Coal",$E756="Dirty Coal"),"MT","BCM"))</f>
        <v/>
      </c>
      <c r="N756" s="157">
        <f>IF($E756="","",IF(OR($E756="Coal",$E756="Dirty Coal"),"Coal","OB"))</f>
        <v/>
      </c>
      <c r="O756" s="157">
        <f>IF($F756="","",IF(COUNTIF(MASTER_JAM!$A$5:$A$94,$C756)=0,"Digger tidak dikenal",IF($J756="","Hauler tidak dikenal",IF($H756="?","Jam salah",IF($K756=0,"Faktor kosong",IF(SUMIFS(INPUT_DELAY!$E$5:$E$20000,INPUT_DELAY!$A$5:$A$20000,$A756,INPUT_DELAY!$B$5:$B$20000,$B756,INPUT_DELAY!$C$5:$C$20000,$C756)+SUMIFS(INPUT_DELAY!$E$5:$E$20000,INPUT_DELAY!$A$5:$A$20000,$A756,INPUT_DELAY!$B$5:$B$20000,$B756,INPUT_DELAY!$C$5:$C$20000,"SEMUA")&gt;=60,"Delay 60 mnt tapi ada ritase","OK"))))))</f>
        <v/>
      </c>
      <c r="P756" s="158">
        <f>IFERROR(INDEX(MASTER_JAM!$Z$5:$AC$10,MATCH($I756,MASTER_JAM!$Y$5:$Y$10,0),MATCH($J756,MASTER_JAM!$Z$4:$AC$4,0))+0,0)</f>
        <v/>
      </c>
      <c r="Q756" s="158">
        <f>IF($P756=0,0,$P756+IFERROR(INDEX(MASTER_JAM!$H$5:$H$94,MATCH($C756,MASTER_JAM!$A$5:$A$94,0))+0,MASTER_JAM!$AC$15)/1000*(60/MASTER_JAM!$AC$12+60/MASTER_JAM!$AC$13)+MASTER_JAM!$AC$14)</f>
        <v/>
      </c>
      <c r="R756" s="158">
        <f>IF(N($F756)=0,0,$F756/SUMIFS(INPUT_RITASE!$F$5:$F$20000,INPUT_RITASE!$A$5:$A$20000,$A756,INPUT_RITASE!$B$5:$B$20000,$B756,INPUT_RITASE!$C$5:$C$20000,$C756,INPUT_RITASE!$D$5:$D$20000,$D756))</f>
        <v/>
      </c>
      <c r="S756" s="158">
        <f>IF($Q756=0,0,$R756*$P756/$Q756)</f>
        <v/>
      </c>
    </row>
    <row r="757">
      <c r="A757" s="155" t="n">
        <v>46106</v>
      </c>
      <c r="B757" s="156" t="inlineStr">
        <is>
          <t>23-24</t>
        </is>
      </c>
      <c r="C757" s="156" t="inlineStr">
        <is>
          <t>EX-2101</t>
        </is>
      </c>
      <c r="D757" s="156" t="inlineStr">
        <is>
          <t>HD-902</t>
        </is>
      </c>
      <c r="E757" s="156" t="inlineStr">
        <is>
          <t>OB</t>
        </is>
      </c>
      <c r="F757" s="156" t="n">
        <v>5</v>
      </c>
      <c r="G757" s="156" t="inlineStr"/>
      <c r="H757" s="157">
        <f>IF($B757="","",IF(ISNA(MATCH($B757,MASTER_JAM!$Q$5:$Q$28,0)),"?",IF(MATCH($B757,MASTER_JAM!$Q$5:$Q$28,0)&lt;=12,"DS","NS")))</f>
        <v/>
      </c>
      <c r="I757" s="157">
        <f>IFERROR(INDEX(MASTER_JAM!$B$5:$B$94,MATCH($C757,MASTER_JAM!$A$5:$A$94,0)),"")</f>
        <v/>
      </c>
      <c r="J757" s="157">
        <f>IFERROR(INDEX(MASTER_JAM!$E$5:$E$94,MATCH($D757,MASTER_JAM!$A$5:$A$94,0)),"")</f>
        <v/>
      </c>
      <c r="K757" s="158">
        <f>IFERROR(INDEX(MASTER_JAM!$J$5:$O$12,MATCH($E757,MASTER_JAM!$I$5:$I$12,0),MATCH($J757,MASTER_JAM!$J$4:$O$4,0))+0,0)</f>
        <v/>
      </c>
      <c r="L757" s="159">
        <f>N($F757)*$K757</f>
        <v/>
      </c>
      <c r="M757" s="157">
        <f>IF($E757="","",IF(OR($E757="Coal",$E757="Dirty Coal"),"MT","BCM"))</f>
        <v/>
      </c>
      <c r="N757" s="157">
        <f>IF($E757="","",IF(OR($E757="Coal",$E757="Dirty Coal"),"Coal","OB"))</f>
        <v/>
      </c>
      <c r="O757" s="157">
        <f>IF($F757="","",IF(COUNTIF(MASTER_JAM!$A$5:$A$94,$C757)=0,"Digger tidak dikenal",IF($J757="","Hauler tidak dikenal",IF($H757="?","Jam salah",IF($K757=0,"Faktor kosong",IF(SUMIFS(INPUT_DELAY!$E$5:$E$20000,INPUT_DELAY!$A$5:$A$20000,$A757,INPUT_DELAY!$B$5:$B$20000,$B757,INPUT_DELAY!$C$5:$C$20000,$C757)+SUMIFS(INPUT_DELAY!$E$5:$E$20000,INPUT_DELAY!$A$5:$A$20000,$A757,INPUT_DELAY!$B$5:$B$20000,$B757,INPUT_DELAY!$C$5:$C$20000,"SEMUA")&gt;=60,"Delay 60 mnt tapi ada ritase","OK"))))))</f>
        <v/>
      </c>
      <c r="P757" s="158">
        <f>IFERROR(INDEX(MASTER_JAM!$Z$5:$AC$10,MATCH($I757,MASTER_JAM!$Y$5:$Y$10,0),MATCH($J757,MASTER_JAM!$Z$4:$AC$4,0))+0,0)</f>
        <v/>
      </c>
      <c r="Q757" s="158">
        <f>IF($P757=0,0,$P757+IFERROR(INDEX(MASTER_JAM!$H$5:$H$94,MATCH($C757,MASTER_JAM!$A$5:$A$94,0))+0,MASTER_JAM!$AC$15)/1000*(60/MASTER_JAM!$AC$12+60/MASTER_JAM!$AC$13)+MASTER_JAM!$AC$14)</f>
        <v/>
      </c>
      <c r="R757" s="158">
        <f>IF(N($F757)=0,0,$F757/SUMIFS(INPUT_RITASE!$F$5:$F$20000,INPUT_RITASE!$A$5:$A$20000,$A757,INPUT_RITASE!$B$5:$B$20000,$B757,INPUT_RITASE!$C$5:$C$20000,$C757,INPUT_RITASE!$D$5:$D$20000,$D757))</f>
        <v/>
      </c>
      <c r="S757" s="158">
        <f>IF($Q757=0,0,$R757*$P757/$Q757)</f>
        <v/>
      </c>
    </row>
    <row r="758">
      <c r="A758" s="155" t="n">
        <v>46106</v>
      </c>
      <c r="B758" s="156" t="inlineStr">
        <is>
          <t>23-24</t>
        </is>
      </c>
      <c r="C758" s="156" t="inlineStr">
        <is>
          <t>EX-2101</t>
        </is>
      </c>
      <c r="D758" s="156" t="inlineStr">
        <is>
          <t>HD-901</t>
        </is>
      </c>
      <c r="E758" s="156" t="inlineStr">
        <is>
          <t>OB</t>
        </is>
      </c>
      <c r="F758" s="156" t="n">
        <v>5</v>
      </c>
      <c r="G758" s="156" t="inlineStr"/>
      <c r="H758" s="157">
        <f>IF($B758="","",IF(ISNA(MATCH($B758,MASTER_JAM!$Q$5:$Q$28,0)),"?",IF(MATCH($B758,MASTER_JAM!$Q$5:$Q$28,0)&lt;=12,"DS","NS")))</f>
        <v/>
      </c>
      <c r="I758" s="157">
        <f>IFERROR(INDEX(MASTER_JAM!$B$5:$B$94,MATCH($C758,MASTER_JAM!$A$5:$A$94,0)),"")</f>
        <v/>
      </c>
      <c r="J758" s="157">
        <f>IFERROR(INDEX(MASTER_JAM!$E$5:$E$94,MATCH($D758,MASTER_JAM!$A$5:$A$94,0)),"")</f>
        <v/>
      </c>
      <c r="K758" s="158">
        <f>IFERROR(INDEX(MASTER_JAM!$J$5:$O$12,MATCH($E758,MASTER_JAM!$I$5:$I$12,0),MATCH($J758,MASTER_JAM!$J$4:$O$4,0))+0,0)</f>
        <v/>
      </c>
      <c r="L758" s="159">
        <f>N($F758)*$K758</f>
        <v/>
      </c>
      <c r="M758" s="157">
        <f>IF($E758="","",IF(OR($E758="Coal",$E758="Dirty Coal"),"MT","BCM"))</f>
        <v/>
      </c>
      <c r="N758" s="157">
        <f>IF($E758="","",IF(OR($E758="Coal",$E758="Dirty Coal"),"Coal","OB"))</f>
        <v/>
      </c>
      <c r="O758" s="157">
        <f>IF($F758="","",IF(COUNTIF(MASTER_JAM!$A$5:$A$94,$C758)=0,"Digger tidak dikenal",IF($J758="","Hauler tidak dikenal",IF($H758="?","Jam salah",IF($K758=0,"Faktor kosong",IF(SUMIFS(INPUT_DELAY!$E$5:$E$20000,INPUT_DELAY!$A$5:$A$20000,$A758,INPUT_DELAY!$B$5:$B$20000,$B758,INPUT_DELAY!$C$5:$C$20000,$C758)+SUMIFS(INPUT_DELAY!$E$5:$E$20000,INPUT_DELAY!$A$5:$A$20000,$A758,INPUT_DELAY!$B$5:$B$20000,$B758,INPUT_DELAY!$C$5:$C$20000,"SEMUA")&gt;=60,"Delay 60 mnt tapi ada ritase","OK"))))))</f>
        <v/>
      </c>
      <c r="P758" s="158">
        <f>IFERROR(INDEX(MASTER_JAM!$Z$5:$AC$10,MATCH($I758,MASTER_JAM!$Y$5:$Y$10,0),MATCH($J758,MASTER_JAM!$Z$4:$AC$4,0))+0,0)</f>
        <v/>
      </c>
      <c r="Q758" s="158">
        <f>IF($P758=0,0,$P758+IFERROR(INDEX(MASTER_JAM!$H$5:$H$94,MATCH($C758,MASTER_JAM!$A$5:$A$94,0))+0,MASTER_JAM!$AC$15)/1000*(60/MASTER_JAM!$AC$12+60/MASTER_JAM!$AC$13)+MASTER_JAM!$AC$14)</f>
        <v/>
      </c>
      <c r="R758" s="158">
        <f>IF(N($F758)=0,0,$F758/SUMIFS(INPUT_RITASE!$F$5:$F$20000,INPUT_RITASE!$A$5:$A$20000,$A758,INPUT_RITASE!$B$5:$B$20000,$B758,INPUT_RITASE!$C$5:$C$20000,$C758,INPUT_RITASE!$D$5:$D$20000,$D758))</f>
        <v/>
      </c>
      <c r="S758" s="158">
        <f>IF($Q758=0,0,$R758*$P758/$Q758)</f>
        <v/>
      </c>
    </row>
    <row r="759">
      <c r="A759" s="155" t="n">
        <v>46106</v>
      </c>
      <c r="B759" s="156" t="inlineStr">
        <is>
          <t>23-24</t>
        </is>
      </c>
      <c r="C759" s="156" t="inlineStr">
        <is>
          <t>EX-2101</t>
        </is>
      </c>
      <c r="D759" s="156" t="inlineStr">
        <is>
          <t>HD-903</t>
        </is>
      </c>
      <c r="E759" s="156" t="inlineStr">
        <is>
          <t>OB</t>
        </is>
      </c>
      <c r="F759" s="156" t="n">
        <v>4</v>
      </c>
      <c r="G759" s="156" t="inlineStr"/>
      <c r="H759" s="157">
        <f>IF($B759="","",IF(ISNA(MATCH($B759,MASTER_JAM!$Q$5:$Q$28,0)),"?",IF(MATCH($B759,MASTER_JAM!$Q$5:$Q$28,0)&lt;=12,"DS","NS")))</f>
        <v/>
      </c>
      <c r="I759" s="157">
        <f>IFERROR(INDEX(MASTER_JAM!$B$5:$B$94,MATCH($C759,MASTER_JAM!$A$5:$A$94,0)),"")</f>
        <v/>
      </c>
      <c r="J759" s="157">
        <f>IFERROR(INDEX(MASTER_JAM!$E$5:$E$94,MATCH($D759,MASTER_JAM!$A$5:$A$94,0)),"")</f>
        <v/>
      </c>
      <c r="K759" s="158">
        <f>IFERROR(INDEX(MASTER_JAM!$J$5:$O$12,MATCH($E759,MASTER_JAM!$I$5:$I$12,0),MATCH($J759,MASTER_JAM!$J$4:$O$4,0))+0,0)</f>
        <v/>
      </c>
      <c r="L759" s="159">
        <f>N($F759)*$K759</f>
        <v/>
      </c>
      <c r="M759" s="157">
        <f>IF($E759="","",IF(OR($E759="Coal",$E759="Dirty Coal"),"MT","BCM"))</f>
        <v/>
      </c>
      <c r="N759" s="157">
        <f>IF($E759="","",IF(OR($E759="Coal",$E759="Dirty Coal"),"Coal","OB"))</f>
        <v/>
      </c>
      <c r="O759" s="157">
        <f>IF($F759="","",IF(COUNTIF(MASTER_JAM!$A$5:$A$94,$C759)=0,"Digger tidak dikenal",IF($J759="","Hauler tidak dikenal",IF($H759="?","Jam salah",IF($K759=0,"Faktor kosong",IF(SUMIFS(INPUT_DELAY!$E$5:$E$20000,INPUT_DELAY!$A$5:$A$20000,$A759,INPUT_DELAY!$B$5:$B$20000,$B759,INPUT_DELAY!$C$5:$C$20000,$C759)+SUMIFS(INPUT_DELAY!$E$5:$E$20000,INPUT_DELAY!$A$5:$A$20000,$A759,INPUT_DELAY!$B$5:$B$20000,$B759,INPUT_DELAY!$C$5:$C$20000,"SEMUA")&gt;=60,"Delay 60 mnt tapi ada ritase","OK"))))))</f>
        <v/>
      </c>
      <c r="P759" s="158">
        <f>IFERROR(INDEX(MASTER_JAM!$Z$5:$AC$10,MATCH($I759,MASTER_JAM!$Y$5:$Y$10,0),MATCH($J759,MASTER_JAM!$Z$4:$AC$4,0))+0,0)</f>
        <v/>
      </c>
      <c r="Q759" s="158">
        <f>IF($P759=0,0,$P759+IFERROR(INDEX(MASTER_JAM!$H$5:$H$94,MATCH($C759,MASTER_JAM!$A$5:$A$94,0))+0,MASTER_JAM!$AC$15)/1000*(60/MASTER_JAM!$AC$12+60/MASTER_JAM!$AC$13)+MASTER_JAM!$AC$14)</f>
        <v/>
      </c>
      <c r="R759" s="158">
        <f>IF(N($F759)=0,0,$F759/SUMIFS(INPUT_RITASE!$F$5:$F$20000,INPUT_RITASE!$A$5:$A$20000,$A759,INPUT_RITASE!$B$5:$B$20000,$B759,INPUT_RITASE!$C$5:$C$20000,$C759,INPUT_RITASE!$D$5:$D$20000,$D759))</f>
        <v/>
      </c>
      <c r="S759" s="158">
        <f>IF($Q759=0,0,$R759*$P759/$Q759)</f>
        <v/>
      </c>
    </row>
    <row r="760">
      <c r="A760" s="155" t="n">
        <v>46106</v>
      </c>
      <c r="B760" s="156" t="inlineStr">
        <is>
          <t>01-02</t>
        </is>
      </c>
      <c r="C760" s="156" t="inlineStr">
        <is>
          <t>EX-2101</t>
        </is>
      </c>
      <c r="D760" s="156" t="inlineStr">
        <is>
          <t>DT-812</t>
        </is>
      </c>
      <c r="E760" s="156" t="inlineStr">
        <is>
          <t>OB</t>
        </is>
      </c>
      <c r="F760" s="156" t="n">
        <v>3</v>
      </c>
      <c r="G760" s="156" t="inlineStr"/>
      <c r="H760" s="157">
        <f>IF($B760="","",IF(ISNA(MATCH($B760,MASTER_JAM!$Q$5:$Q$28,0)),"?",IF(MATCH($B760,MASTER_JAM!$Q$5:$Q$28,0)&lt;=12,"DS","NS")))</f>
        <v/>
      </c>
      <c r="I760" s="157">
        <f>IFERROR(INDEX(MASTER_JAM!$B$5:$B$94,MATCH($C760,MASTER_JAM!$A$5:$A$94,0)),"")</f>
        <v/>
      </c>
      <c r="J760" s="157">
        <f>IFERROR(INDEX(MASTER_JAM!$E$5:$E$94,MATCH($D760,MASTER_JAM!$A$5:$A$94,0)),"")</f>
        <v/>
      </c>
      <c r="K760" s="158">
        <f>IFERROR(INDEX(MASTER_JAM!$J$5:$O$12,MATCH($E760,MASTER_JAM!$I$5:$I$12,0),MATCH($J760,MASTER_JAM!$J$4:$O$4,0))+0,0)</f>
        <v/>
      </c>
      <c r="L760" s="159">
        <f>N($F760)*$K760</f>
        <v/>
      </c>
      <c r="M760" s="157">
        <f>IF($E760="","",IF(OR($E760="Coal",$E760="Dirty Coal"),"MT","BCM"))</f>
        <v/>
      </c>
      <c r="N760" s="157">
        <f>IF($E760="","",IF(OR($E760="Coal",$E760="Dirty Coal"),"Coal","OB"))</f>
        <v/>
      </c>
      <c r="O760" s="157">
        <f>IF($F760="","",IF(COUNTIF(MASTER_JAM!$A$5:$A$94,$C760)=0,"Digger tidak dikenal",IF($J760="","Hauler tidak dikenal",IF($H760="?","Jam salah",IF($K760=0,"Faktor kosong",IF(SUMIFS(INPUT_DELAY!$E$5:$E$20000,INPUT_DELAY!$A$5:$A$20000,$A760,INPUT_DELAY!$B$5:$B$20000,$B760,INPUT_DELAY!$C$5:$C$20000,$C760)+SUMIFS(INPUT_DELAY!$E$5:$E$20000,INPUT_DELAY!$A$5:$A$20000,$A760,INPUT_DELAY!$B$5:$B$20000,$B760,INPUT_DELAY!$C$5:$C$20000,"SEMUA")&gt;=60,"Delay 60 mnt tapi ada ritase","OK"))))))</f>
        <v/>
      </c>
      <c r="P760" s="158">
        <f>IFERROR(INDEX(MASTER_JAM!$Z$5:$AC$10,MATCH($I760,MASTER_JAM!$Y$5:$Y$10,0),MATCH($J760,MASTER_JAM!$Z$4:$AC$4,0))+0,0)</f>
        <v/>
      </c>
      <c r="Q760" s="158">
        <f>IF($P760=0,0,$P760+IFERROR(INDEX(MASTER_JAM!$H$5:$H$94,MATCH($C760,MASTER_JAM!$A$5:$A$94,0))+0,MASTER_JAM!$AC$15)/1000*(60/MASTER_JAM!$AC$12+60/MASTER_JAM!$AC$13)+MASTER_JAM!$AC$14)</f>
        <v/>
      </c>
      <c r="R760" s="158">
        <f>IF(N($F760)=0,0,$F760/SUMIFS(INPUT_RITASE!$F$5:$F$20000,INPUT_RITASE!$A$5:$A$20000,$A760,INPUT_RITASE!$B$5:$B$20000,$B760,INPUT_RITASE!$C$5:$C$20000,$C760,INPUT_RITASE!$D$5:$D$20000,$D760))</f>
        <v/>
      </c>
      <c r="S760" s="158">
        <f>IF($Q760=0,0,$R760*$P760/$Q760)</f>
        <v/>
      </c>
    </row>
    <row r="761">
      <c r="A761" s="155" t="n">
        <v>46106</v>
      </c>
      <c r="B761" s="156" t="inlineStr">
        <is>
          <t>01-02</t>
        </is>
      </c>
      <c r="C761" s="156" t="inlineStr">
        <is>
          <t>EX-2101</t>
        </is>
      </c>
      <c r="D761" s="156" t="inlineStr">
        <is>
          <t>DT-811</t>
        </is>
      </c>
      <c r="E761" s="156" t="inlineStr">
        <is>
          <t>OB</t>
        </is>
      </c>
      <c r="F761" s="156" t="n">
        <v>3</v>
      </c>
      <c r="G761" s="156" t="inlineStr"/>
      <c r="H761" s="157">
        <f>IF($B761="","",IF(ISNA(MATCH($B761,MASTER_JAM!$Q$5:$Q$28,0)),"?",IF(MATCH($B761,MASTER_JAM!$Q$5:$Q$28,0)&lt;=12,"DS","NS")))</f>
        <v/>
      </c>
      <c r="I761" s="157">
        <f>IFERROR(INDEX(MASTER_JAM!$B$5:$B$94,MATCH($C761,MASTER_JAM!$A$5:$A$94,0)),"")</f>
        <v/>
      </c>
      <c r="J761" s="157">
        <f>IFERROR(INDEX(MASTER_JAM!$E$5:$E$94,MATCH($D761,MASTER_JAM!$A$5:$A$94,0)),"")</f>
        <v/>
      </c>
      <c r="K761" s="158">
        <f>IFERROR(INDEX(MASTER_JAM!$J$5:$O$12,MATCH($E761,MASTER_JAM!$I$5:$I$12,0),MATCH($J761,MASTER_JAM!$J$4:$O$4,0))+0,0)</f>
        <v/>
      </c>
      <c r="L761" s="159">
        <f>N($F761)*$K761</f>
        <v/>
      </c>
      <c r="M761" s="157">
        <f>IF($E761="","",IF(OR($E761="Coal",$E761="Dirty Coal"),"MT","BCM"))</f>
        <v/>
      </c>
      <c r="N761" s="157">
        <f>IF($E761="","",IF(OR($E761="Coal",$E761="Dirty Coal"),"Coal","OB"))</f>
        <v/>
      </c>
      <c r="O761" s="157">
        <f>IF($F761="","",IF(COUNTIF(MASTER_JAM!$A$5:$A$94,$C761)=0,"Digger tidak dikenal",IF($J761="","Hauler tidak dikenal",IF($H761="?","Jam salah",IF($K761=0,"Faktor kosong",IF(SUMIFS(INPUT_DELAY!$E$5:$E$20000,INPUT_DELAY!$A$5:$A$20000,$A761,INPUT_DELAY!$B$5:$B$20000,$B761,INPUT_DELAY!$C$5:$C$20000,$C761)+SUMIFS(INPUT_DELAY!$E$5:$E$20000,INPUT_DELAY!$A$5:$A$20000,$A761,INPUT_DELAY!$B$5:$B$20000,$B761,INPUT_DELAY!$C$5:$C$20000,"SEMUA")&gt;=60,"Delay 60 mnt tapi ada ritase","OK"))))))</f>
        <v/>
      </c>
      <c r="P761" s="158">
        <f>IFERROR(INDEX(MASTER_JAM!$Z$5:$AC$10,MATCH($I761,MASTER_JAM!$Y$5:$Y$10,0),MATCH($J761,MASTER_JAM!$Z$4:$AC$4,0))+0,0)</f>
        <v/>
      </c>
      <c r="Q761" s="158">
        <f>IF($P761=0,0,$P761+IFERROR(INDEX(MASTER_JAM!$H$5:$H$94,MATCH($C761,MASTER_JAM!$A$5:$A$94,0))+0,MASTER_JAM!$AC$15)/1000*(60/MASTER_JAM!$AC$12+60/MASTER_JAM!$AC$13)+MASTER_JAM!$AC$14)</f>
        <v/>
      </c>
      <c r="R761" s="158">
        <f>IF(N($F761)=0,0,$F761/SUMIFS(INPUT_RITASE!$F$5:$F$20000,INPUT_RITASE!$A$5:$A$20000,$A761,INPUT_RITASE!$B$5:$B$20000,$B761,INPUT_RITASE!$C$5:$C$20000,$C761,INPUT_RITASE!$D$5:$D$20000,$D761))</f>
        <v/>
      </c>
      <c r="S761" s="158">
        <f>IF($Q761=0,0,$R761*$P761/$Q761)</f>
        <v/>
      </c>
    </row>
    <row r="762">
      <c r="A762" s="155" t="n">
        <v>46106</v>
      </c>
      <c r="B762" s="156" t="inlineStr">
        <is>
          <t>01-02</t>
        </is>
      </c>
      <c r="C762" s="156" t="inlineStr">
        <is>
          <t>EX-2101</t>
        </is>
      </c>
      <c r="D762" s="156" t="inlineStr">
        <is>
          <t>DT-810</t>
        </is>
      </c>
      <c r="E762" s="156" t="inlineStr">
        <is>
          <t>OB</t>
        </is>
      </c>
      <c r="F762" s="156" t="n">
        <v>3</v>
      </c>
      <c r="G762" s="156" t="inlineStr"/>
      <c r="H762" s="157">
        <f>IF($B762="","",IF(ISNA(MATCH($B762,MASTER_JAM!$Q$5:$Q$28,0)),"?",IF(MATCH($B762,MASTER_JAM!$Q$5:$Q$28,0)&lt;=12,"DS","NS")))</f>
        <v/>
      </c>
      <c r="I762" s="157">
        <f>IFERROR(INDEX(MASTER_JAM!$B$5:$B$94,MATCH($C762,MASTER_JAM!$A$5:$A$94,0)),"")</f>
        <v/>
      </c>
      <c r="J762" s="157">
        <f>IFERROR(INDEX(MASTER_JAM!$E$5:$E$94,MATCH($D762,MASTER_JAM!$A$5:$A$94,0)),"")</f>
        <v/>
      </c>
      <c r="K762" s="158">
        <f>IFERROR(INDEX(MASTER_JAM!$J$5:$O$12,MATCH($E762,MASTER_JAM!$I$5:$I$12,0),MATCH($J762,MASTER_JAM!$J$4:$O$4,0))+0,0)</f>
        <v/>
      </c>
      <c r="L762" s="159">
        <f>N($F762)*$K762</f>
        <v/>
      </c>
      <c r="M762" s="157">
        <f>IF($E762="","",IF(OR($E762="Coal",$E762="Dirty Coal"),"MT","BCM"))</f>
        <v/>
      </c>
      <c r="N762" s="157">
        <f>IF($E762="","",IF(OR($E762="Coal",$E762="Dirty Coal"),"Coal","OB"))</f>
        <v/>
      </c>
      <c r="O762" s="157">
        <f>IF($F762="","",IF(COUNTIF(MASTER_JAM!$A$5:$A$94,$C762)=0,"Digger tidak dikenal",IF($J762="","Hauler tidak dikenal",IF($H762="?","Jam salah",IF($K762=0,"Faktor kosong",IF(SUMIFS(INPUT_DELAY!$E$5:$E$20000,INPUT_DELAY!$A$5:$A$20000,$A762,INPUT_DELAY!$B$5:$B$20000,$B762,INPUT_DELAY!$C$5:$C$20000,$C762)+SUMIFS(INPUT_DELAY!$E$5:$E$20000,INPUT_DELAY!$A$5:$A$20000,$A762,INPUT_DELAY!$B$5:$B$20000,$B762,INPUT_DELAY!$C$5:$C$20000,"SEMUA")&gt;=60,"Delay 60 mnt tapi ada ritase","OK"))))))</f>
        <v/>
      </c>
      <c r="P762" s="158">
        <f>IFERROR(INDEX(MASTER_JAM!$Z$5:$AC$10,MATCH($I762,MASTER_JAM!$Y$5:$Y$10,0),MATCH($J762,MASTER_JAM!$Z$4:$AC$4,0))+0,0)</f>
        <v/>
      </c>
      <c r="Q762" s="158">
        <f>IF($P762=0,0,$P762+IFERROR(INDEX(MASTER_JAM!$H$5:$H$94,MATCH($C762,MASTER_JAM!$A$5:$A$94,0))+0,MASTER_JAM!$AC$15)/1000*(60/MASTER_JAM!$AC$12+60/MASTER_JAM!$AC$13)+MASTER_JAM!$AC$14)</f>
        <v/>
      </c>
      <c r="R762" s="158">
        <f>IF(N($F762)=0,0,$F762/SUMIFS(INPUT_RITASE!$F$5:$F$20000,INPUT_RITASE!$A$5:$A$20000,$A762,INPUT_RITASE!$B$5:$B$20000,$B762,INPUT_RITASE!$C$5:$C$20000,$C762,INPUT_RITASE!$D$5:$D$20000,$D762))</f>
        <v/>
      </c>
      <c r="S762" s="158">
        <f>IF($Q762=0,0,$R762*$P762/$Q762)</f>
        <v/>
      </c>
    </row>
    <row r="763">
      <c r="A763" s="155" t="n">
        <v>46106</v>
      </c>
      <c r="B763" s="156" t="inlineStr">
        <is>
          <t>01-02</t>
        </is>
      </c>
      <c r="C763" s="156" t="inlineStr">
        <is>
          <t>EX-2101</t>
        </is>
      </c>
      <c r="D763" s="156" t="inlineStr">
        <is>
          <t>HD-902</t>
        </is>
      </c>
      <c r="E763" s="156" t="inlineStr">
        <is>
          <t>OB</t>
        </is>
      </c>
      <c r="F763" s="156" t="n">
        <v>4</v>
      </c>
      <c r="G763" s="156" t="inlineStr"/>
      <c r="H763" s="157">
        <f>IF($B763="","",IF(ISNA(MATCH($B763,MASTER_JAM!$Q$5:$Q$28,0)),"?",IF(MATCH($B763,MASTER_JAM!$Q$5:$Q$28,0)&lt;=12,"DS","NS")))</f>
        <v/>
      </c>
      <c r="I763" s="157">
        <f>IFERROR(INDEX(MASTER_JAM!$B$5:$B$94,MATCH($C763,MASTER_JAM!$A$5:$A$94,0)),"")</f>
        <v/>
      </c>
      <c r="J763" s="157">
        <f>IFERROR(INDEX(MASTER_JAM!$E$5:$E$94,MATCH($D763,MASTER_JAM!$A$5:$A$94,0)),"")</f>
        <v/>
      </c>
      <c r="K763" s="158">
        <f>IFERROR(INDEX(MASTER_JAM!$J$5:$O$12,MATCH($E763,MASTER_JAM!$I$5:$I$12,0),MATCH($J763,MASTER_JAM!$J$4:$O$4,0))+0,0)</f>
        <v/>
      </c>
      <c r="L763" s="159">
        <f>N($F763)*$K763</f>
        <v/>
      </c>
      <c r="M763" s="157">
        <f>IF($E763="","",IF(OR($E763="Coal",$E763="Dirty Coal"),"MT","BCM"))</f>
        <v/>
      </c>
      <c r="N763" s="157">
        <f>IF($E763="","",IF(OR($E763="Coal",$E763="Dirty Coal"),"Coal","OB"))</f>
        <v/>
      </c>
      <c r="O763" s="157">
        <f>IF($F763="","",IF(COUNTIF(MASTER_JAM!$A$5:$A$94,$C763)=0,"Digger tidak dikenal",IF($J763="","Hauler tidak dikenal",IF($H763="?","Jam salah",IF($K763=0,"Faktor kosong",IF(SUMIFS(INPUT_DELAY!$E$5:$E$20000,INPUT_DELAY!$A$5:$A$20000,$A763,INPUT_DELAY!$B$5:$B$20000,$B763,INPUT_DELAY!$C$5:$C$20000,$C763)+SUMIFS(INPUT_DELAY!$E$5:$E$20000,INPUT_DELAY!$A$5:$A$20000,$A763,INPUT_DELAY!$B$5:$B$20000,$B763,INPUT_DELAY!$C$5:$C$20000,"SEMUA")&gt;=60,"Delay 60 mnt tapi ada ritase","OK"))))))</f>
        <v/>
      </c>
      <c r="P763" s="158">
        <f>IFERROR(INDEX(MASTER_JAM!$Z$5:$AC$10,MATCH($I763,MASTER_JAM!$Y$5:$Y$10,0),MATCH($J763,MASTER_JAM!$Z$4:$AC$4,0))+0,0)</f>
        <v/>
      </c>
      <c r="Q763" s="158">
        <f>IF($P763=0,0,$P763+IFERROR(INDEX(MASTER_JAM!$H$5:$H$94,MATCH($C763,MASTER_JAM!$A$5:$A$94,0))+0,MASTER_JAM!$AC$15)/1000*(60/MASTER_JAM!$AC$12+60/MASTER_JAM!$AC$13)+MASTER_JAM!$AC$14)</f>
        <v/>
      </c>
      <c r="R763" s="158">
        <f>IF(N($F763)=0,0,$F763/SUMIFS(INPUT_RITASE!$F$5:$F$20000,INPUT_RITASE!$A$5:$A$20000,$A763,INPUT_RITASE!$B$5:$B$20000,$B763,INPUT_RITASE!$C$5:$C$20000,$C763,INPUT_RITASE!$D$5:$D$20000,$D763))</f>
        <v/>
      </c>
      <c r="S763" s="158">
        <f>IF($Q763=0,0,$R763*$P763/$Q763)</f>
        <v/>
      </c>
    </row>
    <row r="764">
      <c r="A764" s="155" t="n">
        <v>46106</v>
      </c>
      <c r="B764" s="156" t="inlineStr">
        <is>
          <t>01-02</t>
        </is>
      </c>
      <c r="C764" s="156" t="inlineStr">
        <is>
          <t>EX-2101</t>
        </is>
      </c>
      <c r="D764" s="156" t="inlineStr">
        <is>
          <t>HD-903</t>
        </is>
      </c>
      <c r="E764" s="156" t="inlineStr">
        <is>
          <t>OB</t>
        </is>
      </c>
      <c r="F764" s="156" t="n">
        <v>4</v>
      </c>
      <c r="G764" s="156" t="inlineStr"/>
      <c r="H764" s="157">
        <f>IF($B764="","",IF(ISNA(MATCH($B764,MASTER_JAM!$Q$5:$Q$28,0)),"?",IF(MATCH($B764,MASTER_JAM!$Q$5:$Q$28,0)&lt;=12,"DS","NS")))</f>
        <v/>
      </c>
      <c r="I764" s="157">
        <f>IFERROR(INDEX(MASTER_JAM!$B$5:$B$94,MATCH($C764,MASTER_JAM!$A$5:$A$94,0)),"")</f>
        <v/>
      </c>
      <c r="J764" s="157">
        <f>IFERROR(INDEX(MASTER_JAM!$E$5:$E$94,MATCH($D764,MASTER_JAM!$A$5:$A$94,0)),"")</f>
        <v/>
      </c>
      <c r="K764" s="158">
        <f>IFERROR(INDEX(MASTER_JAM!$J$5:$O$12,MATCH($E764,MASTER_JAM!$I$5:$I$12,0),MATCH($J764,MASTER_JAM!$J$4:$O$4,0))+0,0)</f>
        <v/>
      </c>
      <c r="L764" s="159">
        <f>N($F764)*$K764</f>
        <v/>
      </c>
      <c r="M764" s="157">
        <f>IF($E764="","",IF(OR($E764="Coal",$E764="Dirty Coal"),"MT","BCM"))</f>
        <v/>
      </c>
      <c r="N764" s="157">
        <f>IF($E764="","",IF(OR($E764="Coal",$E764="Dirty Coal"),"Coal","OB"))</f>
        <v/>
      </c>
      <c r="O764" s="157">
        <f>IF($F764="","",IF(COUNTIF(MASTER_JAM!$A$5:$A$94,$C764)=0,"Digger tidak dikenal",IF($J764="","Hauler tidak dikenal",IF($H764="?","Jam salah",IF($K764=0,"Faktor kosong",IF(SUMIFS(INPUT_DELAY!$E$5:$E$20000,INPUT_DELAY!$A$5:$A$20000,$A764,INPUT_DELAY!$B$5:$B$20000,$B764,INPUT_DELAY!$C$5:$C$20000,$C764)+SUMIFS(INPUT_DELAY!$E$5:$E$20000,INPUT_DELAY!$A$5:$A$20000,$A764,INPUT_DELAY!$B$5:$B$20000,$B764,INPUT_DELAY!$C$5:$C$20000,"SEMUA")&gt;=60,"Delay 60 mnt tapi ada ritase","OK"))))))</f>
        <v/>
      </c>
      <c r="P764" s="158">
        <f>IFERROR(INDEX(MASTER_JAM!$Z$5:$AC$10,MATCH($I764,MASTER_JAM!$Y$5:$Y$10,0),MATCH($J764,MASTER_JAM!$Z$4:$AC$4,0))+0,0)</f>
        <v/>
      </c>
      <c r="Q764" s="158">
        <f>IF($P764=0,0,$P764+IFERROR(INDEX(MASTER_JAM!$H$5:$H$94,MATCH($C764,MASTER_JAM!$A$5:$A$94,0))+0,MASTER_JAM!$AC$15)/1000*(60/MASTER_JAM!$AC$12+60/MASTER_JAM!$AC$13)+MASTER_JAM!$AC$14)</f>
        <v/>
      </c>
      <c r="R764" s="158">
        <f>IF(N($F764)=0,0,$F764/SUMIFS(INPUT_RITASE!$F$5:$F$20000,INPUT_RITASE!$A$5:$A$20000,$A764,INPUT_RITASE!$B$5:$B$20000,$B764,INPUT_RITASE!$C$5:$C$20000,$C764,INPUT_RITASE!$D$5:$D$20000,$D764))</f>
        <v/>
      </c>
      <c r="S764" s="158">
        <f>IF($Q764=0,0,$R764*$P764/$Q764)</f>
        <v/>
      </c>
    </row>
    <row r="765">
      <c r="A765" s="155" t="n">
        <v>46106</v>
      </c>
      <c r="B765" s="156" t="inlineStr">
        <is>
          <t>01-02</t>
        </is>
      </c>
      <c r="C765" s="156" t="inlineStr">
        <is>
          <t>EX-2101</t>
        </is>
      </c>
      <c r="D765" s="156" t="inlineStr">
        <is>
          <t>HD-901</t>
        </is>
      </c>
      <c r="E765" s="156" t="inlineStr">
        <is>
          <t>OB</t>
        </is>
      </c>
      <c r="F765" s="156" t="n">
        <v>4</v>
      </c>
      <c r="G765" s="156" t="inlineStr"/>
      <c r="H765" s="157">
        <f>IF($B765="","",IF(ISNA(MATCH($B765,MASTER_JAM!$Q$5:$Q$28,0)),"?",IF(MATCH($B765,MASTER_JAM!$Q$5:$Q$28,0)&lt;=12,"DS","NS")))</f>
        <v/>
      </c>
      <c r="I765" s="157">
        <f>IFERROR(INDEX(MASTER_JAM!$B$5:$B$94,MATCH($C765,MASTER_JAM!$A$5:$A$94,0)),"")</f>
        <v/>
      </c>
      <c r="J765" s="157">
        <f>IFERROR(INDEX(MASTER_JAM!$E$5:$E$94,MATCH($D765,MASTER_JAM!$A$5:$A$94,0)),"")</f>
        <v/>
      </c>
      <c r="K765" s="158">
        <f>IFERROR(INDEX(MASTER_JAM!$J$5:$O$12,MATCH($E765,MASTER_JAM!$I$5:$I$12,0),MATCH($J765,MASTER_JAM!$J$4:$O$4,0))+0,0)</f>
        <v/>
      </c>
      <c r="L765" s="159">
        <f>N($F765)*$K765</f>
        <v/>
      </c>
      <c r="M765" s="157">
        <f>IF($E765="","",IF(OR($E765="Coal",$E765="Dirty Coal"),"MT","BCM"))</f>
        <v/>
      </c>
      <c r="N765" s="157">
        <f>IF($E765="","",IF(OR($E765="Coal",$E765="Dirty Coal"),"Coal","OB"))</f>
        <v/>
      </c>
      <c r="O765" s="157">
        <f>IF($F765="","",IF(COUNTIF(MASTER_JAM!$A$5:$A$94,$C765)=0,"Digger tidak dikenal",IF($J765="","Hauler tidak dikenal",IF($H765="?","Jam salah",IF($K765=0,"Faktor kosong",IF(SUMIFS(INPUT_DELAY!$E$5:$E$20000,INPUT_DELAY!$A$5:$A$20000,$A765,INPUT_DELAY!$B$5:$B$20000,$B765,INPUT_DELAY!$C$5:$C$20000,$C765)+SUMIFS(INPUT_DELAY!$E$5:$E$20000,INPUT_DELAY!$A$5:$A$20000,$A765,INPUT_DELAY!$B$5:$B$20000,$B765,INPUT_DELAY!$C$5:$C$20000,"SEMUA")&gt;=60,"Delay 60 mnt tapi ada ritase","OK"))))))</f>
        <v/>
      </c>
      <c r="P765" s="158">
        <f>IFERROR(INDEX(MASTER_JAM!$Z$5:$AC$10,MATCH($I765,MASTER_JAM!$Y$5:$Y$10,0),MATCH($J765,MASTER_JAM!$Z$4:$AC$4,0))+0,0)</f>
        <v/>
      </c>
      <c r="Q765" s="158">
        <f>IF($P765=0,0,$P765+IFERROR(INDEX(MASTER_JAM!$H$5:$H$94,MATCH($C765,MASTER_JAM!$A$5:$A$94,0))+0,MASTER_JAM!$AC$15)/1000*(60/MASTER_JAM!$AC$12+60/MASTER_JAM!$AC$13)+MASTER_JAM!$AC$14)</f>
        <v/>
      </c>
      <c r="R765" s="158">
        <f>IF(N($F765)=0,0,$F765/SUMIFS(INPUT_RITASE!$F$5:$F$20000,INPUT_RITASE!$A$5:$A$20000,$A765,INPUT_RITASE!$B$5:$B$20000,$B765,INPUT_RITASE!$C$5:$C$20000,$C765,INPUT_RITASE!$D$5:$D$20000,$D765))</f>
        <v/>
      </c>
      <c r="S765" s="158">
        <f>IF($Q765=0,0,$R765*$P765/$Q765)</f>
        <v/>
      </c>
    </row>
    <row r="766">
      <c r="A766" s="155" t="n">
        <v>46106</v>
      </c>
      <c r="B766" s="156" t="inlineStr">
        <is>
          <t>02-03</t>
        </is>
      </c>
      <c r="C766" s="156" t="inlineStr">
        <is>
          <t>EX-2101</t>
        </is>
      </c>
      <c r="D766" s="156" t="inlineStr">
        <is>
          <t>HD-903</t>
        </is>
      </c>
      <c r="E766" s="156" t="inlineStr">
        <is>
          <t>OB</t>
        </is>
      </c>
      <c r="F766" s="156" t="n">
        <v>5</v>
      </c>
      <c r="G766" s="156" t="inlineStr"/>
      <c r="H766" s="157">
        <f>IF($B766="","",IF(ISNA(MATCH($B766,MASTER_JAM!$Q$5:$Q$28,0)),"?",IF(MATCH($B766,MASTER_JAM!$Q$5:$Q$28,0)&lt;=12,"DS","NS")))</f>
        <v/>
      </c>
      <c r="I766" s="157">
        <f>IFERROR(INDEX(MASTER_JAM!$B$5:$B$94,MATCH($C766,MASTER_JAM!$A$5:$A$94,0)),"")</f>
        <v/>
      </c>
      <c r="J766" s="157">
        <f>IFERROR(INDEX(MASTER_JAM!$E$5:$E$94,MATCH($D766,MASTER_JAM!$A$5:$A$94,0)),"")</f>
        <v/>
      </c>
      <c r="K766" s="158">
        <f>IFERROR(INDEX(MASTER_JAM!$J$5:$O$12,MATCH($E766,MASTER_JAM!$I$5:$I$12,0),MATCH($J766,MASTER_JAM!$J$4:$O$4,0))+0,0)</f>
        <v/>
      </c>
      <c r="L766" s="159">
        <f>N($F766)*$K766</f>
        <v/>
      </c>
      <c r="M766" s="157">
        <f>IF($E766="","",IF(OR($E766="Coal",$E766="Dirty Coal"),"MT","BCM"))</f>
        <v/>
      </c>
      <c r="N766" s="157">
        <f>IF($E766="","",IF(OR($E766="Coal",$E766="Dirty Coal"),"Coal","OB"))</f>
        <v/>
      </c>
      <c r="O766" s="157">
        <f>IF($F766="","",IF(COUNTIF(MASTER_JAM!$A$5:$A$94,$C766)=0,"Digger tidak dikenal",IF($J766="","Hauler tidak dikenal",IF($H766="?","Jam salah",IF($K766=0,"Faktor kosong",IF(SUMIFS(INPUT_DELAY!$E$5:$E$20000,INPUT_DELAY!$A$5:$A$20000,$A766,INPUT_DELAY!$B$5:$B$20000,$B766,INPUT_DELAY!$C$5:$C$20000,$C766)+SUMIFS(INPUT_DELAY!$E$5:$E$20000,INPUT_DELAY!$A$5:$A$20000,$A766,INPUT_DELAY!$B$5:$B$20000,$B766,INPUT_DELAY!$C$5:$C$20000,"SEMUA")&gt;=60,"Delay 60 mnt tapi ada ritase","OK"))))))</f>
        <v/>
      </c>
      <c r="P766" s="158">
        <f>IFERROR(INDEX(MASTER_JAM!$Z$5:$AC$10,MATCH($I766,MASTER_JAM!$Y$5:$Y$10,0),MATCH($J766,MASTER_JAM!$Z$4:$AC$4,0))+0,0)</f>
        <v/>
      </c>
      <c r="Q766" s="158">
        <f>IF($P766=0,0,$P766+IFERROR(INDEX(MASTER_JAM!$H$5:$H$94,MATCH($C766,MASTER_JAM!$A$5:$A$94,0))+0,MASTER_JAM!$AC$15)/1000*(60/MASTER_JAM!$AC$12+60/MASTER_JAM!$AC$13)+MASTER_JAM!$AC$14)</f>
        <v/>
      </c>
      <c r="R766" s="158">
        <f>IF(N($F766)=0,0,$F766/SUMIFS(INPUT_RITASE!$F$5:$F$20000,INPUT_RITASE!$A$5:$A$20000,$A766,INPUT_RITASE!$B$5:$B$20000,$B766,INPUT_RITASE!$C$5:$C$20000,$C766,INPUT_RITASE!$D$5:$D$20000,$D766))</f>
        <v/>
      </c>
      <c r="S766" s="158">
        <f>IF($Q766=0,0,$R766*$P766/$Q766)</f>
        <v/>
      </c>
    </row>
    <row r="767">
      <c r="A767" s="155" t="n">
        <v>46106</v>
      </c>
      <c r="B767" s="156" t="inlineStr">
        <is>
          <t>02-03</t>
        </is>
      </c>
      <c r="C767" s="156" t="inlineStr">
        <is>
          <t>EX-2101</t>
        </is>
      </c>
      <c r="D767" s="156" t="inlineStr">
        <is>
          <t>HD-902</t>
        </is>
      </c>
      <c r="E767" s="156" t="inlineStr">
        <is>
          <t>OB</t>
        </is>
      </c>
      <c r="F767" s="156" t="n">
        <v>5</v>
      </c>
      <c r="G767" s="156" t="inlineStr"/>
      <c r="H767" s="157">
        <f>IF($B767="","",IF(ISNA(MATCH($B767,MASTER_JAM!$Q$5:$Q$28,0)),"?",IF(MATCH($B767,MASTER_JAM!$Q$5:$Q$28,0)&lt;=12,"DS","NS")))</f>
        <v/>
      </c>
      <c r="I767" s="157">
        <f>IFERROR(INDEX(MASTER_JAM!$B$5:$B$94,MATCH($C767,MASTER_JAM!$A$5:$A$94,0)),"")</f>
        <v/>
      </c>
      <c r="J767" s="157">
        <f>IFERROR(INDEX(MASTER_JAM!$E$5:$E$94,MATCH($D767,MASTER_JAM!$A$5:$A$94,0)),"")</f>
        <v/>
      </c>
      <c r="K767" s="158">
        <f>IFERROR(INDEX(MASTER_JAM!$J$5:$O$12,MATCH($E767,MASTER_JAM!$I$5:$I$12,0),MATCH($J767,MASTER_JAM!$J$4:$O$4,0))+0,0)</f>
        <v/>
      </c>
      <c r="L767" s="159">
        <f>N($F767)*$K767</f>
        <v/>
      </c>
      <c r="M767" s="157">
        <f>IF($E767="","",IF(OR($E767="Coal",$E767="Dirty Coal"),"MT","BCM"))</f>
        <v/>
      </c>
      <c r="N767" s="157">
        <f>IF($E767="","",IF(OR($E767="Coal",$E767="Dirty Coal"),"Coal","OB"))</f>
        <v/>
      </c>
      <c r="O767" s="157">
        <f>IF($F767="","",IF(COUNTIF(MASTER_JAM!$A$5:$A$94,$C767)=0,"Digger tidak dikenal",IF($J767="","Hauler tidak dikenal",IF($H767="?","Jam salah",IF($K767=0,"Faktor kosong",IF(SUMIFS(INPUT_DELAY!$E$5:$E$20000,INPUT_DELAY!$A$5:$A$20000,$A767,INPUT_DELAY!$B$5:$B$20000,$B767,INPUT_DELAY!$C$5:$C$20000,$C767)+SUMIFS(INPUT_DELAY!$E$5:$E$20000,INPUT_DELAY!$A$5:$A$20000,$A767,INPUT_DELAY!$B$5:$B$20000,$B767,INPUT_DELAY!$C$5:$C$20000,"SEMUA")&gt;=60,"Delay 60 mnt tapi ada ritase","OK"))))))</f>
        <v/>
      </c>
      <c r="P767" s="158">
        <f>IFERROR(INDEX(MASTER_JAM!$Z$5:$AC$10,MATCH($I767,MASTER_JAM!$Y$5:$Y$10,0),MATCH($J767,MASTER_JAM!$Z$4:$AC$4,0))+0,0)</f>
        <v/>
      </c>
      <c r="Q767" s="158">
        <f>IF($P767=0,0,$P767+IFERROR(INDEX(MASTER_JAM!$H$5:$H$94,MATCH($C767,MASTER_JAM!$A$5:$A$94,0))+0,MASTER_JAM!$AC$15)/1000*(60/MASTER_JAM!$AC$12+60/MASTER_JAM!$AC$13)+MASTER_JAM!$AC$14)</f>
        <v/>
      </c>
      <c r="R767" s="158">
        <f>IF(N($F767)=0,0,$F767/SUMIFS(INPUT_RITASE!$F$5:$F$20000,INPUT_RITASE!$A$5:$A$20000,$A767,INPUT_RITASE!$B$5:$B$20000,$B767,INPUT_RITASE!$C$5:$C$20000,$C767,INPUT_RITASE!$D$5:$D$20000,$D767))</f>
        <v/>
      </c>
      <c r="S767" s="158">
        <f>IF($Q767=0,0,$R767*$P767/$Q767)</f>
        <v/>
      </c>
    </row>
    <row r="768">
      <c r="A768" s="155" t="n">
        <v>46106</v>
      </c>
      <c r="B768" s="156" t="inlineStr">
        <is>
          <t>02-03</t>
        </is>
      </c>
      <c r="C768" s="156" t="inlineStr">
        <is>
          <t>EX-2101</t>
        </is>
      </c>
      <c r="D768" s="156" t="inlineStr">
        <is>
          <t>HD-901</t>
        </is>
      </c>
      <c r="E768" s="156" t="inlineStr">
        <is>
          <t>OB</t>
        </is>
      </c>
      <c r="F768" s="156" t="n">
        <v>4</v>
      </c>
      <c r="G768" s="156" t="inlineStr"/>
      <c r="H768" s="157">
        <f>IF($B768="","",IF(ISNA(MATCH($B768,MASTER_JAM!$Q$5:$Q$28,0)),"?",IF(MATCH($B768,MASTER_JAM!$Q$5:$Q$28,0)&lt;=12,"DS","NS")))</f>
        <v/>
      </c>
      <c r="I768" s="157">
        <f>IFERROR(INDEX(MASTER_JAM!$B$5:$B$94,MATCH($C768,MASTER_JAM!$A$5:$A$94,0)),"")</f>
        <v/>
      </c>
      <c r="J768" s="157">
        <f>IFERROR(INDEX(MASTER_JAM!$E$5:$E$94,MATCH($D768,MASTER_JAM!$A$5:$A$94,0)),"")</f>
        <v/>
      </c>
      <c r="K768" s="158">
        <f>IFERROR(INDEX(MASTER_JAM!$J$5:$O$12,MATCH($E768,MASTER_JAM!$I$5:$I$12,0),MATCH($J768,MASTER_JAM!$J$4:$O$4,0))+0,0)</f>
        <v/>
      </c>
      <c r="L768" s="159">
        <f>N($F768)*$K768</f>
        <v/>
      </c>
      <c r="M768" s="157">
        <f>IF($E768="","",IF(OR($E768="Coal",$E768="Dirty Coal"),"MT","BCM"))</f>
        <v/>
      </c>
      <c r="N768" s="157">
        <f>IF($E768="","",IF(OR($E768="Coal",$E768="Dirty Coal"),"Coal","OB"))</f>
        <v/>
      </c>
      <c r="O768" s="157">
        <f>IF($F768="","",IF(COUNTIF(MASTER_JAM!$A$5:$A$94,$C768)=0,"Digger tidak dikenal",IF($J768="","Hauler tidak dikenal",IF($H768="?","Jam salah",IF($K768=0,"Faktor kosong",IF(SUMIFS(INPUT_DELAY!$E$5:$E$20000,INPUT_DELAY!$A$5:$A$20000,$A768,INPUT_DELAY!$B$5:$B$20000,$B768,INPUT_DELAY!$C$5:$C$20000,$C768)+SUMIFS(INPUT_DELAY!$E$5:$E$20000,INPUT_DELAY!$A$5:$A$20000,$A768,INPUT_DELAY!$B$5:$B$20000,$B768,INPUT_DELAY!$C$5:$C$20000,"SEMUA")&gt;=60,"Delay 60 mnt tapi ada ritase","OK"))))))</f>
        <v/>
      </c>
      <c r="P768" s="158">
        <f>IFERROR(INDEX(MASTER_JAM!$Z$5:$AC$10,MATCH($I768,MASTER_JAM!$Y$5:$Y$10,0),MATCH($J768,MASTER_JAM!$Z$4:$AC$4,0))+0,0)</f>
        <v/>
      </c>
      <c r="Q768" s="158">
        <f>IF($P768=0,0,$P768+IFERROR(INDEX(MASTER_JAM!$H$5:$H$94,MATCH($C768,MASTER_JAM!$A$5:$A$94,0))+0,MASTER_JAM!$AC$15)/1000*(60/MASTER_JAM!$AC$12+60/MASTER_JAM!$AC$13)+MASTER_JAM!$AC$14)</f>
        <v/>
      </c>
      <c r="R768" s="158">
        <f>IF(N($F768)=0,0,$F768/SUMIFS(INPUT_RITASE!$F$5:$F$20000,INPUT_RITASE!$A$5:$A$20000,$A768,INPUT_RITASE!$B$5:$B$20000,$B768,INPUT_RITASE!$C$5:$C$20000,$C768,INPUT_RITASE!$D$5:$D$20000,$D768))</f>
        <v/>
      </c>
      <c r="S768" s="158">
        <f>IF($Q768=0,0,$R768*$P768/$Q768)</f>
        <v/>
      </c>
    </row>
    <row r="769">
      <c r="A769" s="155" t="n">
        <v>46106</v>
      </c>
      <c r="B769" s="156" t="inlineStr">
        <is>
          <t>02-03</t>
        </is>
      </c>
      <c r="C769" s="156" t="inlineStr">
        <is>
          <t>EX-2101</t>
        </is>
      </c>
      <c r="D769" s="156" t="inlineStr">
        <is>
          <t>DT-810</t>
        </is>
      </c>
      <c r="E769" s="156" t="inlineStr">
        <is>
          <t>OB</t>
        </is>
      </c>
      <c r="F769" s="156" t="n">
        <v>4</v>
      </c>
      <c r="G769" s="156" t="inlineStr"/>
      <c r="H769" s="157">
        <f>IF($B769="","",IF(ISNA(MATCH($B769,MASTER_JAM!$Q$5:$Q$28,0)),"?",IF(MATCH($B769,MASTER_JAM!$Q$5:$Q$28,0)&lt;=12,"DS","NS")))</f>
        <v/>
      </c>
      <c r="I769" s="157">
        <f>IFERROR(INDEX(MASTER_JAM!$B$5:$B$94,MATCH($C769,MASTER_JAM!$A$5:$A$94,0)),"")</f>
        <v/>
      </c>
      <c r="J769" s="157">
        <f>IFERROR(INDEX(MASTER_JAM!$E$5:$E$94,MATCH($D769,MASTER_JAM!$A$5:$A$94,0)),"")</f>
        <v/>
      </c>
      <c r="K769" s="158">
        <f>IFERROR(INDEX(MASTER_JAM!$J$5:$O$12,MATCH($E769,MASTER_JAM!$I$5:$I$12,0),MATCH($J769,MASTER_JAM!$J$4:$O$4,0))+0,0)</f>
        <v/>
      </c>
      <c r="L769" s="159">
        <f>N($F769)*$K769</f>
        <v/>
      </c>
      <c r="M769" s="157">
        <f>IF($E769="","",IF(OR($E769="Coal",$E769="Dirty Coal"),"MT","BCM"))</f>
        <v/>
      </c>
      <c r="N769" s="157">
        <f>IF($E769="","",IF(OR($E769="Coal",$E769="Dirty Coal"),"Coal","OB"))</f>
        <v/>
      </c>
      <c r="O769" s="157">
        <f>IF($F769="","",IF(COUNTIF(MASTER_JAM!$A$5:$A$94,$C769)=0,"Digger tidak dikenal",IF($J769="","Hauler tidak dikenal",IF($H769="?","Jam salah",IF($K769=0,"Faktor kosong",IF(SUMIFS(INPUT_DELAY!$E$5:$E$20000,INPUT_DELAY!$A$5:$A$20000,$A769,INPUT_DELAY!$B$5:$B$20000,$B769,INPUT_DELAY!$C$5:$C$20000,$C769)+SUMIFS(INPUT_DELAY!$E$5:$E$20000,INPUT_DELAY!$A$5:$A$20000,$A769,INPUT_DELAY!$B$5:$B$20000,$B769,INPUT_DELAY!$C$5:$C$20000,"SEMUA")&gt;=60,"Delay 60 mnt tapi ada ritase","OK"))))))</f>
        <v/>
      </c>
      <c r="P769" s="158">
        <f>IFERROR(INDEX(MASTER_JAM!$Z$5:$AC$10,MATCH($I769,MASTER_JAM!$Y$5:$Y$10,0),MATCH($J769,MASTER_JAM!$Z$4:$AC$4,0))+0,0)</f>
        <v/>
      </c>
      <c r="Q769" s="158">
        <f>IF($P769=0,0,$P769+IFERROR(INDEX(MASTER_JAM!$H$5:$H$94,MATCH($C769,MASTER_JAM!$A$5:$A$94,0))+0,MASTER_JAM!$AC$15)/1000*(60/MASTER_JAM!$AC$12+60/MASTER_JAM!$AC$13)+MASTER_JAM!$AC$14)</f>
        <v/>
      </c>
      <c r="R769" s="158">
        <f>IF(N($F769)=0,0,$F769/SUMIFS(INPUT_RITASE!$F$5:$F$20000,INPUT_RITASE!$A$5:$A$20000,$A769,INPUT_RITASE!$B$5:$B$20000,$B769,INPUT_RITASE!$C$5:$C$20000,$C769,INPUT_RITASE!$D$5:$D$20000,$D769))</f>
        <v/>
      </c>
      <c r="S769" s="158">
        <f>IF($Q769=0,0,$R769*$P769/$Q769)</f>
        <v/>
      </c>
    </row>
    <row r="770">
      <c r="A770" s="155" t="n">
        <v>46106</v>
      </c>
      <c r="B770" s="156" t="inlineStr">
        <is>
          <t>03-04</t>
        </is>
      </c>
      <c r="C770" s="156" t="inlineStr">
        <is>
          <t>EX-2101</t>
        </is>
      </c>
      <c r="D770" s="156" t="inlineStr">
        <is>
          <t>HD-903</t>
        </is>
      </c>
      <c r="E770" s="156" t="inlineStr">
        <is>
          <t>OB</t>
        </is>
      </c>
      <c r="F770" s="156" t="n">
        <v>4</v>
      </c>
      <c r="G770" s="156" t="inlineStr"/>
      <c r="H770" s="157">
        <f>IF($B770="","",IF(ISNA(MATCH($B770,MASTER_JAM!$Q$5:$Q$28,0)),"?",IF(MATCH($B770,MASTER_JAM!$Q$5:$Q$28,0)&lt;=12,"DS","NS")))</f>
        <v/>
      </c>
      <c r="I770" s="157">
        <f>IFERROR(INDEX(MASTER_JAM!$B$5:$B$94,MATCH($C770,MASTER_JAM!$A$5:$A$94,0)),"")</f>
        <v/>
      </c>
      <c r="J770" s="157">
        <f>IFERROR(INDEX(MASTER_JAM!$E$5:$E$94,MATCH($D770,MASTER_JAM!$A$5:$A$94,0)),"")</f>
        <v/>
      </c>
      <c r="K770" s="158">
        <f>IFERROR(INDEX(MASTER_JAM!$J$5:$O$12,MATCH($E770,MASTER_JAM!$I$5:$I$12,0),MATCH($J770,MASTER_JAM!$J$4:$O$4,0))+0,0)</f>
        <v/>
      </c>
      <c r="L770" s="159">
        <f>N($F770)*$K770</f>
        <v/>
      </c>
      <c r="M770" s="157">
        <f>IF($E770="","",IF(OR($E770="Coal",$E770="Dirty Coal"),"MT","BCM"))</f>
        <v/>
      </c>
      <c r="N770" s="157">
        <f>IF($E770="","",IF(OR($E770="Coal",$E770="Dirty Coal"),"Coal","OB"))</f>
        <v/>
      </c>
      <c r="O770" s="157">
        <f>IF($F770="","",IF(COUNTIF(MASTER_JAM!$A$5:$A$94,$C770)=0,"Digger tidak dikenal",IF($J770="","Hauler tidak dikenal",IF($H770="?","Jam salah",IF($K770=0,"Faktor kosong",IF(SUMIFS(INPUT_DELAY!$E$5:$E$20000,INPUT_DELAY!$A$5:$A$20000,$A770,INPUT_DELAY!$B$5:$B$20000,$B770,INPUT_DELAY!$C$5:$C$20000,$C770)+SUMIFS(INPUT_DELAY!$E$5:$E$20000,INPUT_DELAY!$A$5:$A$20000,$A770,INPUT_DELAY!$B$5:$B$20000,$B770,INPUT_DELAY!$C$5:$C$20000,"SEMUA")&gt;=60,"Delay 60 mnt tapi ada ritase","OK"))))))</f>
        <v/>
      </c>
      <c r="P770" s="158">
        <f>IFERROR(INDEX(MASTER_JAM!$Z$5:$AC$10,MATCH($I770,MASTER_JAM!$Y$5:$Y$10,0),MATCH($J770,MASTER_JAM!$Z$4:$AC$4,0))+0,0)</f>
        <v/>
      </c>
      <c r="Q770" s="158">
        <f>IF($P770=0,0,$P770+IFERROR(INDEX(MASTER_JAM!$H$5:$H$94,MATCH($C770,MASTER_JAM!$A$5:$A$94,0))+0,MASTER_JAM!$AC$15)/1000*(60/MASTER_JAM!$AC$12+60/MASTER_JAM!$AC$13)+MASTER_JAM!$AC$14)</f>
        <v/>
      </c>
      <c r="R770" s="158">
        <f>IF(N($F770)=0,0,$F770/SUMIFS(INPUT_RITASE!$F$5:$F$20000,INPUT_RITASE!$A$5:$A$20000,$A770,INPUT_RITASE!$B$5:$B$20000,$B770,INPUT_RITASE!$C$5:$C$20000,$C770,INPUT_RITASE!$D$5:$D$20000,$D770))</f>
        <v/>
      </c>
      <c r="S770" s="158">
        <f>IF($Q770=0,0,$R770*$P770/$Q770)</f>
        <v/>
      </c>
    </row>
    <row r="771">
      <c r="A771" s="155" t="n">
        <v>46106</v>
      </c>
      <c r="B771" s="156" t="inlineStr">
        <is>
          <t>03-04</t>
        </is>
      </c>
      <c r="C771" s="156" t="inlineStr">
        <is>
          <t>EX-2101</t>
        </is>
      </c>
      <c r="D771" s="156" t="inlineStr">
        <is>
          <t>HD-902</t>
        </is>
      </c>
      <c r="E771" s="156" t="inlineStr">
        <is>
          <t>OB</t>
        </is>
      </c>
      <c r="F771" s="156" t="n">
        <v>3</v>
      </c>
      <c r="G771" s="156" t="inlineStr"/>
      <c r="H771" s="157">
        <f>IF($B771="","",IF(ISNA(MATCH($B771,MASTER_JAM!$Q$5:$Q$28,0)),"?",IF(MATCH($B771,MASTER_JAM!$Q$5:$Q$28,0)&lt;=12,"DS","NS")))</f>
        <v/>
      </c>
      <c r="I771" s="157">
        <f>IFERROR(INDEX(MASTER_JAM!$B$5:$B$94,MATCH($C771,MASTER_JAM!$A$5:$A$94,0)),"")</f>
        <v/>
      </c>
      <c r="J771" s="157">
        <f>IFERROR(INDEX(MASTER_JAM!$E$5:$E$94,MATCH($D771,MASTER_JAM!$A$5:$A$94,0)),"")</f>
        <v/>
      </c>
      <c r="K771" s="158">
        <f>IFERROR(INDEX(MASTER_JAM!$J$5:$O$12,MATCH($E771,MASTER_JAM!$I$5:$I$12,0),MATCH($J771,MASTER_JAM!$J$4:$O$4,0))+0,0)</f>
        <v/>
      </c>
      <c r="L771" s="159">
        <f>N($F771)*$K771</f>
        <v/>
      </c>
      <c r="M771" s="157">
        <f>IF($E771="","",IF(OR($E771="Coal",$E771="Dirty Coal"),"MT","BCM"))</f>
        <v/>
      </c>
      <c r="N771" s="157">
        <f>IF($E771="","",IF(OR($E771="Coal",$E771="Dirty Coal"),"Coal","OB"))</f>
        <v/>
      </c>
      <c r="O771" s="157">
        <f>IF($F771="","",IF(COUNTIF(MASTER_JAM!$A$5:$A$94,$C771)=0,"Digger tidak dikenal",IF($J771="","Hauler tidak dikenal",IF($H771="?","Jam salah",IF($K771=0,"Faktor kosong",IF(SUMIFS(INPUT_DELAY!$E$5:$E$20000,INPUT_DELAY!$A$5:$A$20000,$A771,INPUT_DELAY!$B$5:$B$20000,$B771,INPUT_DELAY!$C$5:$C$20000,$C771)+SUMIFS(INPUT_DELAY!$E$5:$E$20000,INPUT_DELAY!$A$5:$A$20000,$A771,INPUT_DELAY!$B$5:$B$20000,$B771,INPUT_DELAY!$C$5:$C$20000,"SEMUA")&gt;=60,"Delay 60 mnt tapi ada ritase","OK"))))))</f>
        <v/>
      </c>
      <c r="P771" s="158">
        <f>IFERROR(INDEX(MASTER_JAM!$Z$5:$AC$10,MATCH($I771,MASTER_JAM!$Y$5:$Y$10,0),MATCH($J771,MASTER_JAM!$Z$4:$AC$4,0))+0,0)</f>
        <v/>
      </c>
      <c r="Q771" s="158">
        <f>IF($P771=0,0,$P771+IFERROR(INDEX(MASTER_JAM!$H$5:$H$94,MATCH($C771,MASTER_JAM!$A$5:$A$94,0))+0,MASTER_JAM!$AC$15)/1000*(60/MASTER_JAM!$AC$12+60/MASTER_JAM!$AC$13)+MASTER_JAM!$AC$14)</f>
        <v/>
      </c>
      <c r="R771" s="158">
        <f>IF(N($F771)=0,0,$F771/SUMIFS(INPUT_RITASE!$F$5:$F$20000,INPUT_RITASE!$A$5:$A$20000,$A771,INPUT_RITASE!$B$5:$B$20000,$B771,INPUT_RITASE!$C$5:$C$20000,$C771,INPUT_RITASE!$D$5:$D$20000,$D771))</f>
        <v/>
      </c>
      <c r="S771" s="158">
        <f>IF($Q771=0,0,$R771*$P771/$Q771)</f>
        <v/>
      </c>
    </row>
    <row r="772">
      <c r="A772" s="155" t="n">
        <v>46106</v>
      </c>
      <c r="B772" s="156" t="inlineStr">
        <is>
          <t>03-04</t>
        </is>
      </c>
      <c r="C772" s="156" t="inlineStr">
        <is>
          <t>EX-2101</t>
        </is>
      </c>
      <c r="D772" s="156" t="inlineStr">
        <is>
          <t>HD-901</t>
        </is>
      </c>
      <c r="E772" s="156" t="inlineStr">
        <is>
          <t>OB</t>
        </is>
      </c>
      <c r="F772" s="156" t="n">
        <v>3</v>
      </c>
      <c r="G772" s="156" t="inlineStr"/>
      <c r="H772" s="157">
        <f>IF($B772="","",IF(ISNA(MATCH($B772,MASTER_JAM!$Q$5:$Q$28,0)),"?",IF(MATCH($B772,MASTER_JAM!$Q$5:$Q$28,0)&lt;=12,"DS","NS")))</f>
        <v/>
      </c>
      <c r="I772" s="157">
        <f>IFERROR(INDEX(MASTER_JAM!$B$5:$B$94,MATCH($C772,MASTER_JAM!$A$5:$A$94,0)),"")</f>
        <v/>
      </c>
      <c r="J772" s="157">
        <f>IFERROR(INDEX(MASTER_JAM!$E$5:$E$94,MATCH($D772,MASTER_JAM!$A$5:$A$94,0)),"")</f>
        <v/>
      </c>
      <c r="K772" s="158">
        <f>IFERROR(INDEX(MASTER_JAM!$J$5:$O$12,MATCH($E772,MASTER_JAM!$I$5:$I$12,0),MATCH($J772,MASTER_JAM!$J$4:$O$4,0))+0,0)</f>
        <v/>
      </c>
      <c r="L772" s="159">
        <f>N($F772)*$K772</f>
        <v/>
      </c>
      <c r="M772" s="157">
        <f>IF($E772="","",IF(OR($E772="Coal",$E772="Dirty Coal"),"MT","BCM"))</f>
        <v/>
      </c>
      <c r="N772" s="157">
        <f>IF($E772="","",IF(OR($E772="Coal",$E772="Dirty Coal"),"Coal","OB"))</f>
        <v/>
      </c>
      <c r="O772" s="157">
        <f>IF($F772="","",IF(COUNTIF(MASTER_JAM!$A$5:$A$94,$C772)=0,"Digger tidak dikenal",IF($J772="","Hauler tidak dikenal",IF($H772="?","Jam salah",IF($K772=0,"Faktor kosong",IF(SUMIFS(INPUT_DELAY!$E$5:$E$20000,INPUT_DELAY!$A$5:$A$20000,$A772,INPUT_DELAY!$B$5:$B$20000,$B772,INPUT_DELAY!$C$5:$C$20000,$C772)+SUMIFS(INPUT_DELAY!$E$5:$E$20000,INPUT_DELAY!$A$5:$A$20000,$A772,INPUT_DELAY!$B$5:$B$20000,$B772,INPUT_DELAY!$C$5:$C$20000,"SEMUA")&gt;=60,"Delay 60 mnt tapi ada ritase","OK"))))))</f>
        <v/>
      </c>
      <c r="P772" s="158">
        <f>IFERROR(INDEX(MASTER_JAM!$Z$5:$AC$10,MATCH($I772,MASTER_JAM!$Y$5:$Y$10,0),MATCH($J772,MASTER_JAM!$Z$4:$AC$4,0))+0,0)</f>
        <v/>
      </c>
      <c r="Q772" s="158">
        <f>IF($P772=0,0,$P772+IFERROR(INDEX(MASTER_JAM!$H$5:$H$94,MATCH($C772,MASTER_JAM!$A$5:$A$94,0))+0,MASTER_JAM!$AC$15)/1000*(60/MASTER_JAM!$AC$12+60/MASTER_JAM!$AC$13)+MASTER_JAM!$AC$14)</f>
        <v/>
      </c>
      <c r="R772" s="158">
        <f>IF(N($F772)=0,0,$F772/SUMIFS(INPUT_RITASE!$F$5:$F$20000,INPUT_RITASE!$A$5:$A$20000,$A772,INPUT_RITASE!$B$5:$B$20000,$B772,INPUT_RITASE!$C$5:$C$20000,$C772,INPUT_RITASE!$D$5:$D$20000,$D772))</f>
        <v/>
      </c>
      <c r="S772" s="158">
        <f>IF($Q772=0,0,$R772*$P772/$Q772)</f>
        <v/>
      </c>
    </row>
    <row r="773">
      <c r="A773" s="155" t="n">
        <v>46106</v>
      </c>
      <c r="B773" s="156" t="inlineStr">
        <is>
          <t>03-04</t>
        </is>
      </c>
      <c r="C773" s="156" t="inlineStr">
        <is>
          <t>EX-2101</t>
        </is>
      </c>
      <c r="D773" s="156" t="inlineStr">
        <is>
          <t>DT-810</t>
        </is>
      </c>
      <c r="E773" s="156" t="inlineStr">
        <is>
          <t>OB</t>
        </is>
      </c>
      <c r="F773" s="156" t="n">
        <v>3</v>
      </c>
      <c r="G773" s="156" t="inlineStr"/>
      <c r="H773" s="157">
        <f>IF($B773="","",IF(ISNA(MATCH($B773,MASTER_JAM!$Q$5:$Q$28,0)),"?",IF(MATCH($B773,MASTER_JAM!$Q$5:$Q$28,0)&lt;=12,"DS","NS")))</f>
        <v/>
      </c>
      <c r="I773" s="157">
        <f>IFERROR(INDEX(MASTER_JAM!$B$5:$B$94,MATCH($C773,MASTER_JAM!$A$5:$A$94,0)),"")</f>
        <v/>
      </c>
      <c r="J773" s="157">
        <f>IFERROR(INDEX(MASTER_JAM!$E$5:$E$94,MATCH($D773,MASTER_JAM!$A$5:$A$94,0)),"")</f>
        <v/>
      </c>
      <c r="K773" s="158">
        <f>IFERROR(INDEX(MASTER_JAM!$J$5:$O$12,MATCH($E773,MASTER_JAM!$I$5:$I$12,0),MATCH($J773,MASTER_JAM!$J$4:$O$4,0))+0,0)</f>
        <v/>
      </c>
      <c r="L773" s="159">
        <f>N($F773)*$K773</f>
        <v/>
      </c>
      <c r="M773" s="157">
        <f>IF($E773="","",IF(OR($E773="Coal",$E773="Dirty Coal"),"MT","BCM"))</f>
        <v/>
      </c>
      <c r="N773" s="157">
        <f>IF($E773="","",IF(OR($E773="Coal",$E773="Dirty Coal"),"Coal","OB"))</f>
        <v/>
      </c>
      <c r="O773" s="157">
        <f>IF($F773="","",IF(COUNTIF(MASTER_JAM!$A$5:$A$94,$C773)=0,"Digger tidak dikenal",IF($J773="","Hauler tidak dikenal",IF($H773="?","Jam salah",IF($K773=0,"Faktor kosong",IF(SUMIFS(INPUT_DELAY!$E$5:$E$20000,INPUT_DELAY!$A$5:$A$20000,$A773,INPUT_DELAY!$B$5:$B$20000,$B773,INPUT_DELAY!$C$5:$C$20000,$C773)+SUMIFS(INPUT_DELAY!$E$5:$E$20000,INPUT_DELAY!$A$5:$A$20000,$A773,INPUT_DELAY!$B$5:$B$20000,$B773,INPUT_DELAY!$C$5:$C$20000,"SEMUA")&gt;=60,"Delay 60 mnt tapi ada ritase","OK"))))))</f>
        <v/>
      </c>
      <c r="P773" s="158">
        <f>IFERROR(INDEX(MASTER_JAM!$Z$5:$AC$10,MATCH($I773,MASTER_JAM!$Y$5:$Y$10,0),MATCH($J773,MASTER_JAM!$Z$4:$AC$4,0))+0,0)</f>
        <v/>
      </c>
      <c r="Q773" s="158">
        <f>IF($P773=0,0,$P773+IFERROR(INDEX(MASTER_JAM!$H$5:$H$94,MATCH($C773,MASTER_JAM!$A$5:$A$94,0))+0,MASTER_JAM!$AC$15)/1000*(60/MASTER_JAM!$AC$12+60/MASTER_JAM!$AC$13)+MASTER_JAM!$AC$14)</f>
        <v/>
      </c>
      <c r="R773" s="158">
        <f>IF(N($F773)=0,0,$F773/SUMIFS(INPUT_RITASE!$F$5:$F$20000,INPUT_RITASE!$A$5:$A$20000,$A773,INPUT_RITASE!$B$5:$B$20000,$B773,INPUT_RITASE!$C$5:$C$20000,$C773,INPUT_RITASE!$D$5:$D$20000,$D773))</f>
        <v/>
      </c>
      <c r="S773" s="158">
        <f>IF($Q773=0,0,$R773*$P773/$Q773)</f>
        <v/>
      </c>
    </row>
    <row r="774">
      <c r="A774" s="155" t="n">
        <v>46106</v>
      </c>
      <c r="B774" s="156" t="inlineStr">
        <is>
          <t>03-04</t>
        </is>
      </c>
      <c r="C774" s="156" t="inlineStr">
        <is>
          <t>EX-2101</t>
        </is>
      </c>
      <c r="D774" s="156" t="inlineStr">
        <is>
          <t>DT-812</t>
        </is>
      </c>
      <c r="E774" s="156" t="inlineStr">
        <is>
          <t>OB</t>
        </is>
      </c>
      <c r="F774" s="156" t="n">
        <v>2</v>
      </c>
      <c r="G774" s="156" t="inlineStr"/>
      <c r="H774" s="157">
        <f>IF($B774="","",IF(ISNA(MATCH($B774,MASTER_JAM!$Q$5:$Q$28,0)),"?",IF(MATCH($B774,MASTER_JAM!$Q$5:$Q$28,0)&lt;=12,"DS","NS")))</f>
        <v/>
      </c>
      <c r="I774" s="157">
        <f>IFERROR(INDEX(MASTER_JAM!$B$5:$B$94,MATCH($C774,MASTER_JAM!$A$5:$A$94,0)),"")</f>
        <v/>
      </c>
      <c r="J774" s="157">
        <f>IFERROR(INDEX(MASTER_JAM!$E$5:$E$94,MATCH($D774,MASTER_JAM!$A$5:$A$94,0)),"")</f>
        <v/>
      </c>
      <c r="K774" s="158">
        <f>IFERROR(INDEX(MASTER_JAM!$J$5:$O$12,MATCH($E774,MASTER_JAM!$I$5:$I$12,0),MATCH($J774,MASTER_JAM!$J$4:$O$4,0))+0,0)</f>
        <v/>
      </c>
      <c r="L774" s="159">
        <f>N($F774)*$K774</f>
        <v/>
      </c>
      <c r="M774" s="157">
        <f>IF($E774="","",IF(OR($E774="Coal",$E774="Dirty Coal"),"MT","BCM"))</f>
        <v/>
      </c>
      <c r="N774" s="157">
        <f>IF($E774="","",IF(OR($E774="Coal",$E774="Dirty Coal"),"Coal","OB"))</f>
        <v/>
      </c>
      <c r="O774" s="157">
        <f>IF($F774="","",IF(COUNTIF(MASTER_JAM!$A$5:$A$94,$C774)=0,"Digger tidak dikenal",IF($J774="","Hauler tidak dikenal",IF($H774="?","Jam salah",IF($K774=0,"Faktor kosong",IF(SUMIFS(INPUT_DELAY!$E$5:$E$20000,INPUT_DELAY!$A$5:$A$20000,$A774,INPUT_DELAY!$B$5:$B$20000,$B774,INPUT_DELAY!$C$5:$C$20000,$C774)+SUMIFS(INPUT_DELAY!$E$5:$E$20000,INPUT_DELAY!$A$5:$A$20000,$A774,INPUT_DELAY!$B$5:$B$20000,$B774,INPUT_DELAY!$C$5:$C$20000,"SEMUA")&gt;=60,"Delay 60 mnt tapi ada ritase","OK"))))))</f>
        <v/>
      </c>
      <c r="P774" s="158">
        <f>IFERROR(INDEX(MASTER_JAM!$Z$5:$AC$10,MATCH($I774,MASTER_JAM!$Y$5:$Y$10,0),MATCH($J774,MASTER_JAM!$Z$4:$AC$4,0))+0,0)</f>
        <v/>
      </c>
      <c r="Q774" s="158">
        <f>IF($P774=0,0,$P774+IFERROR(INDEX(MASTER_JAM!$H$5:$H$94,MATCH($C774,MASTER_JAM!$A$5:$A$94,0))+0,MASTER_JAM!$AC$15)/1000*(60/MASTER_JAM!$AC$12+60/MASTER_JAM!$AC$13)+MASTER_JAM!$AC$14)</f>
        <v/>
      </c>
      <c r="R774" s="158">
        <f>IF(N($F774)=0,0,$F774/SUMIFS(INPUT_RITASE!$F$5:$F$20000,INPUT_RITASE!$A$5:$A$20000,$A774,INPUT_RITASE!$B$5:$B$20000,$B774,INPUT_RITASE!$C$5:$C$20000,$C774,INPUT_RITASE!$D$5:$D$20000,$D774))</f>
        <v/>
      </c>
      <c r="S774" s="158">
        <f>IF($Q774=0,0,$R774*$P774/$Q774)</f>
        <v/>
      </c>
    </row>
    <row r="775">
      <c r="A775" s="155" t="n">
        <v>46106</v>
      </c>
      <c r="B775" s="156" t="inlineStr">
        <is>
          <t>04-05</t>
        </is>
      </c>
      <c r="C775" s="156" t="inlineStr">
        <is>
          <t>EX-2101</t>
        </is>
      </c>
      <c r="D775" s="156" t="inlineStr">
        <is>
          <t>HD-902</t>
        </is>
      </c>
      <c r="E775" s="156" t="inlineStr">
        <is>
          <t>OB</t>
        </is>
      </c>
      <c r="F775" s="156" t="n">
        <v>6</v>
      </c>
      <c r="G775" s="156" t="inlineStr"/>
      <c r="H775" s="157">
        <f>IF($B775="","",IF(ISNA(MATCH($B775,MASTER_JAM!$Q$5:$Q$28,0)),"?",IF(MATCH($B775,MASTER_JAM!$Q$5:$Q$28,0)&lt;=12,"DS","NS")))</f>
        <v/>
      </c>
      <c r="I775" s="157">
        <f>IFERROR(INDEX(MASTER_JAM!$B$5:$B$94,MATCH($C775,MASTER_JAM!$A$5:$A$94,0)),"")</f>
        <v/>
      </c>
      <c r="J775" s="157">
        <f>IFERROR(INDEX(MASTER_JAM!$E$5:$E$94,MATCH($D775,MASTER_JAM!$A$5:$A$94,0)),"")</f>
        <v/>
      </c>
      <c r="K775" s="158">
        <f>IFERROR(INDEX(MASTER_JAM!$J$5:$O$12,MATCH($E775,MASTER_JAM!$I$5:$I$12,0),MATCH($J775,MASTER_JAM!$J$4:$O$4,0))+0,0)</f>
        <v/>
      </c>
      <c r="L775" s="159">
        <f>N($F775)*$K775</f>
        <v/>
      </c>
      <c r="M775" s="157">
        <f>IF($E775="","",IF(OR($E775="Coal",$E775="Dirty Coal"),"MT","BCM"))</f>
        <v/>
      </c>
      <c r="N775" s="157">
        <f>IF($E775="","",IF(OR($E775="Coal",$E775="Dirty Coal"),"Coal","OB"))</f>
        <v/>
      </c>
      <c r="O775" s="157">
        <f>IF($F775="","",IF(COUNTIF(MASTER_JAM!$A$5:$A$94,$C775)=0,"Digger tidak dikenal",IF($J775="","Hauler tidak dikenal",IF($H775="?","Jam salah",IF($K775=0,"Faktor kosong",IF(SUMIFS(INPUT_DELAY!$E$5:$E$20000,INPUT_DELAY!$A$5:$A$20000,$A775,INPUT_DELAY!$B$5:$B$20000,$B775,INPUT_DELAY!$C$5:$C$20000,$C775)+SUMIFS(INPUT_DELAY!$E$5:$E$20000,INPUT_DELAY!$A$5:$A$20000,$A775,INPUT_DELAY!$B$5:$B$20000,$B775,INPUT_DELAY!$C$5:$C$20000,"SEMUA")&gt;=60,"Delay 60 mnt tapi ada ritase","OK"))))))</f>
        <v/>
      </c>
      <c r="P775" s="158">
        <f>IFERROR(INDEX(MASTER_JAM!$Z$5:$AC$10,MATCH($I775,MASTER_JAM!$Y$5:$Y$10,0),MATCH($J775,MASTER_JAM!$Z$4:$AC$4,0))+0,0)</f>
        <v/>
      </c>
      <c r="Q775" s="158">
        <f>IF($P775=0,0,$P775+IFERROR(INDEX(MASTER_JAM!$H$5:$H$94,MATCH($C775,MASTER_JAM!$A$5:$A$94,0))+0,MASTER_JAM!$AC$15)/1000*(60/MASTER_JAM!$AC$12+60/MASTER_JAM!$AC$13)+MASTER_JAM!$AC$14)</f>
        <v/>
      </c>
      <c r="R775" s="158">
        <f>IF(N($F775)=0,0,$F775/SUMIFS(INPUT_RITASE!$F$5:$F$20000,INPUT_RITASE!$A$5:$A$20000,$A775,INPUT_RITASE!$B$5:$B$20000,$B775,INPUT_RITASE!$C$5:$C$20000,$C775,INPUT_RITASE!$D$5:$D$20000,$D775))</f>
        <v/>
      </c>
      <c r="S775" s="158">
        <f>IF($Q775=0,0,$R775*$P775/$Q775)</f>
        <v/>
      </c>
    </row>
    <row r="776">
      <c r="A776" s="155" t="n">
        <v>46106</v>
      </c>
      <c r="B776" s="156" t="inlineStr">
        <is>
          <t>04-05</t>
        </is>
      </c>
      <c r="C776" s="156" t="inlineStr">
        <is>
          <t>EX-2101</t>
        </is>
      </c>
      <c r="D776" s="156" t="inlineStr">
        <is>
          <t>HD-901</t>
        </is>
      </c>
      <c r="E776" s="156" t="inlineStr">
        <is>
          <t>OB</t>
        </is>
      </c>
      <c r="F776" s="156" t="n">
        <v>6</v>
      </c>
      <c r="G776" s="156" t="inlineStr"/>
      <c r="H776" s="157">
        <f>IF($B776="","",IF(ISNA(MATCH($B776,MASTER_JAM!$Q$5:$Q$28,0)),"?",IF(MATCH($B776,MASTER_JAM!$Q$5:$Q$28,0)&lt;=12,"DS","NS")))</f>
        <v/>
      </c>
      <c r="I776" s="157">
        <f>IFERROR(INDEX(MASTER_JAM!$B$5:$B$94,MATCH($C776,MASTER_JAM!$A$5:$A$94,0)),"")</f>
        <v/>
      </c>
      <c r="J776" s="157">
        <f>IFERROR(INDEX(MASTER_JAM!$E$5:$E$94,MATCH($D776,MASTER_JAM!$A$5:$A$94,0)),"")</f>
        <v/>
      </c>
      <c r="K776" s="158">
        <f>IFERROR(INDEX(MASTER_JAM!$J$5:$O$12,MATCH($E776,MASTER_JAM!$I$5:$I$12,0),MATCH($J776,MASTER_JAM!$J$4:$O$4,0))+0,0)</f>
        <v/>
      </c>
      <c r="L776" s="159">
        <f>N($F776)*$K776</f>
        <v/>
      </c>
      <c r="M776" s="157">
        <f>IF($E776="","",IF(OR($E776="Coal",$E776="Dirty Coal"),"MT","BCM"))</f>
        <v/>
      </c>
      <c r="N776" s="157">
        <f>IF($E776="","",IF(OR($E776="Coal",$E776="Dirty Coal"),"Coal","OB"))</f>
        <v/>
      </c>
      <c r="O776" s="157">
        <f>IF($F776="","",IF(COUNTIF(MASTER_JAM!$A$5:$A$94,$C776)=0,"Digger tidak dikenal",IF($J776="","Hauler tidak dikenal",IF($H776="?","Jam salah",IF($K776=0,"Faktor kosong",IF(SUMIFS(INPUT_DELAY!$E$5:$E$20000,INPUT_DELAY!$A$5:$A$20000,$A776,INPUT_DELAY!$B$5:$B$20000,$B776,INPUT_DELAY!$C$5:$C$20000,$C776)+SUMIFS(INPUT_DELAY!$E$5:$E$20000,INPUT_DELAY!$A$5:$A$20000,$A776,INPUT_DELAY!$B$5:$B$20000,$B776,INPUT_DELAY!$C$5:$C$20000,"SEMUA")&gt;=60,"Delay 60 mnt tapi ada ritase","OK"))))))</f>
        <v/>
      </c>
      <c r="P776" s="158">
        <f>IFERROR(INDEX(MASTER_JAM!$Z$5:$AC$10,MATCH($I776,MASTER_JAM!$Y$5:$Y$10,0),MATCH($J776,MASTER_JAM!$Z$4:$AC$4,0))+0,0)</f>
        <v/>
      </c>
      <c r="Q776" s="158">
        <f>IF($P776=0,0,$P776+IFERROR(INDEX(MASTER_JAM!$H$5:$H$94,MATCH($C776,MASTER_JAM!$A$5:$A$94,0))+0,MASTER_JAM!$AC$15)/1000*(60/MASTER_JAM!$AC$12+60/MASTER_JAM!$AC$13)+MASTER_JAM!$AC$14)</f>
        <v/>
      </c>
      <c r="R776" s="158">
        <f>IF(N($F776)=0,0,$F776/SUMIFS(INPUT_RITASE!$F$5:$F$20000,INPUT_RITASE!$A$5:$A$20000,$A776,INPUT_RITASE!$B$5:$B$20000,$B776,INPUT_RITASE!$C$5:$C$20000,$C776,INPUT_RITASE!$D$5:$D$20000,$D776))</f>
        <v/>
      </c>
      <c r="S776" s="158">
        <f>IF($Q776=0,0,$R776*$P776/$Q776)</f>
        <v/>
      </c>
    </row>
    <row r="777">
      <c r="A777" s="155" t="n">
        <v>46106</v>
      </c>
      <c r="B777" s="156" t="inlineStr">
        <is>
          <t>04-05</t>
        </is>
      </c>
      <c r="C777" s="156" t="inlineStr">
        <is>
          <t>EX-2101</t>
        </is>
      </c>
      <c r="D777" s="156" t="inlineStr">
        <is>
          <t>HD-903</t>
        </is>
      </c>
      <c r="E777" s="156" t="inlineStr">
        <is>
          <t>OB</t>
        </is>
      </c>
      <c r="F777" s="156" t="n">
        <v>5</v>
      </c>
      <c r="G777" s="156" t="inlineStr"/>
      <c r="H777" s="157">
        <f>IF($B777="","",IF(ISNA(MATCH($B777,MASTER_JAM!$Q$5:$Q$28,0)),"?",IF(MATCH($B777,MASTER_JAM!$Q$5:$Q$28,0)&lt;=12,"DS","NS")))</f>
        <v/>
      </c>
      <c r="I777" s="157">
        <f>IFERROR(INDEX(MASTER_JAM!$B$5:$B$94,MATCH($C777,MASTER_JAM!$A$5:$A$94,0)),"")</f>
        <v/>
      </c>
      <c r="J777" s="157">
        <f>IFERROR(INDEX(MASTER_JAM!$E$5:$E$94,MATCH($D777,MASTER_JAM!$A$5:$A$94,0)),"")</f>
        <v/>
      </c>
      <c r="K777" s="158">
        <f>IFERROR(INDEX(MASTER_JAM!$J$5:$O$12,MATCH($E777,MASTER_JAM!$I$5:$I$12,0),MATCH($J777,MASTER_JAM!$J$4:$O$4,0))+0,0)</f>
        <v/>
      </c>
      <c r="L777" s="159">
        <f>N($F777)*$K777</f>
        <v/>
      </c>
      <c r="M777" s="157">
        <f>IF($E777="","",IF(OR($E777="Coal",$E777="Dirty Coal"),"MT","BCM"))</f>
        <v/>
      </c>
      <c r="N777" s="157">
        <f>IF($E777="","",IF(OR($E777="Coal",$E777="Dirty Coal"),"Coal","OB"))</f>
        <v/>
      </c>
      <c r="O777" s="157">
        <f>IF($F777="","",IF(COUNTIF(MASTER_JAM!$A$5:$A$94,$C777)=0,"Digger tidak dikenal",IF($J777="","Hauler tidak dikenal",IF($H777="?","Jam salah",IF($K777=0,"Faktor kosong",IF(SUMIFS(INPUT_DELAY!$E$5:$E$20000,INPUT_DELAY!$A$5:$A$20000,$A777,INPUT_DELAY!$B$5:$B$20000,$B777,INPUT_DELAY!$C$5:$C$20000,$C777)+SUMIFS(INPUT_DELAY!$E$5:$E$20000,INPUT_DELAY!$A$5:$A$20000,$A777,INPUT_DELAY!$B$5:$B$20000,$B777,INPUT_DELAY!$C$5:$C$20000,"SEMUA")&gt;=60,"Delay 60 mnt tapi ada ritase","OK"))))))</f>
        <v/>
      </c>
      <c r="P777" s="158">
        <f>IFERROR(INDEX(MASTER_JAM!$Z$5:$AC$10,MATCH($I777,MASTER_JAM!$Y$5:$Y$10,0),MATCH($J777,MASTER_JAM!$Z$4:$AC$4,0))+0,0)</f>
        <v/>
      </c>
      <c r="Q777" s="158">
        <f>IF($P777=0,0,$P777+IFERROR(INDEX(MASTER_JAM!$H$5:$H$94,MATCH($C777,MASTER_JAM!$A$5:$A$94,0))+0,MASTER_JAM!$AC$15)/1000*(60/MASTER_JAM!$AC$12+60/MASTER_JAM!$AC$13)+MASTER_JAM!$AC$14)</f>
        <v/>
      </c>
      <c r="R777" s="158">
        <f>IF(N($F777)=0,0,$F777/SUMIFS(INPUT_RITASE!$F$5:$F$20000,INPUT_RITASE!$A$5:$A$20000,$A777,INPUT_RITASE!$B$5:$B$20000,$B777,INPUT_RITASE!$C$5:$C$20000,$C777,INPUT_RITASE!$D$5:$D$20000,$D777))</f>
        <v/>
      </c>
      <c r="S777" s="158">
        <f>IF($Q777=0,0,$R777*$P777/$Q777)</f>
        <v/>
      </c>
    </row>
    <row r="778">
      <c r="A778" s="155" t="n">
        <v>46106</v>
      </c>
      <c r="B778" s="156" t="inlineStr">
        <is>
          <t>04-05</t>
        </is>
      </c>
      <c r="C778" s="156" t="inlineStr">
        <is>
          <t>EX-2101</t>
        </is>
      </c>
      <c r="D778" s="156" t="inlineStr">
        <is>
          <t>DT-812</t>
        </is>
      </c>
      <c r="E778" s="156" t="inlineStr">
        <is>
          <t>OB</t>
        </is>
      </c>
      <c r="F778" s="156" t="n">
        <v>3</v>
      </c>
      <c r="G778" s="156" t="inlineStr"/>
      <c r="H778" s="157">
        <f>IF($B778="","",IF(ISNA(MATCH($B778,MASTER_JAM!$Q$5:$Q$28,0)),"?",IF(MATCH($B778,MASTER_JAM!$Q$5:$Q$28,0)&lt;=12,"DS","NS")))</f>
        <v/>
      </c>
      <c r="I778" s="157">
        <f>IFERROR(INDEX(MASTER_JAM!$B$5:$B$94,MATCH($C778,MASTER_JAM!$A$5:$A$94,0)),"")</f>
        <v/>
      </c>
      <c r="J778" s="157">
        <f>IFERROR(INDEX(MASTER_JAM!$E$5:$E$94,MATCH($D778,MASTER_JAM!$A$5:$A$94,0)),"")</f>
        <v/>
      </c>
      <c r="K778" s="158">
        <f>IFERROR(INDEX(MASTER_JAM!$J$5:$O$12,MATCH($E778,MASTER_JAM!$I$5:$I$12,0),MATCH($J778,MASTER_JAM!$J$4:$O$4,0))+0,0)</f>
        <v/>
      </c>
      <c r="L778" s="159">
        <f>N($F778)*$K778</f>
        <v/>
      </c>
      <c r="M778" s="157">
        <f>IF($E778="","",IF(OR($E778="Coal",$E778="Dirty Coal"),"MT","BCM"))</f>
        <v/>
      </c>
      <c r="N778" s="157">
        <f>IF($E778="","",IF(OR($E778="Coal",$E778="Dirty Coal"),"Coal","OB"))</f>
        <v/>
      </c>
      <c r="O778" s="157">
        <f>IF($F778="","",IF(COUNTIF(MASTER_JAM!$A$5:$A$94,$C778)=0,"Digger tidak dikenal",IF($J778="","Hauler tidak dikenal",IF($H778="?","Jam salah",IF($K778=0,"Faktor kosong",IF(SUMIFS(INPUT_DELAY!$E$5:$E$20000,INPUT_DELAY!$A$5:$A$20000,$A778,INPUT_DELAY!$B$5:$B$20000,$B778,INPUT_DELAY!$C$5:$C$20000,$C778)+SUMIFS(INPUT_DELAY!$E$5:$E$20000,INPUT_DELAY!$A$5:$A$20000,$A778,INPUT_DELAY!$B$5:$B$20000,$B778,INPUT_DELAY!$C$5:$C$20000,"SEMUA")&gt;=60,"Delay 60 mnt tapi ada ritase","OK"))))))</f>
        <v/>
      </c>
      <c r="P778" s="158">
        <f>IFERROR(INDEX(MASTER_JAM!$Z$5:$AC$10,MATCH($I778,MASTER_JAM!$Y$5:$Y$10,0),MATCH($J778,MASTER_JAM!$Z$4:$AC$4,0))+0,0)</f>
        <v/>
      </c>
      <c r="Q778" s="158">
        <f>IF($P778=0,0,$P778+IFERROR(INDEX(MASTER_JAM!$H$5:$H$94,MATCH($C778,MASTER_JAM!$A$5:$A$94,0))+0,MASTER_JAM!$AC$15)/1000*(60/MASTER_JAM!$AC$12+60/MASTER_JAM!$AC$13)+MASTER_JAM!$AC$14)</f>
        <v/>
      </c>
      <c r="R778" s="158">
        <f>IF(N($F778)=0,0,$F778/SUMIFS(INPUT_RITASE!$F$5:$F$20000,INPUT_RITASE!$A$5:$A$20000,$A778,INPUT_RITASE!$B$5:$B$20000,$B778,INPUT_RITASE!$C$5:$C$20000,$C778,INPUT_RITASE!$D$5:$D$20000,$D778))</f>
        <v/>
      </c>
      <c r="S778" s="158">
        <f>IF($Q778=0,0,$R778*$P778/$Q778)</f>
        <v/>
      </c>
    </row>
    <row r="779">
      <c r="A779" s="155" t="n">
        <v>46106</v>
      </c>
      <c r="B779" s="156" t="inlineStr">
        <is>
          <t>04-05</t>
        </is>
      </c>
      <c r="C779" s="156" t="inlineStr">
        <is>
          <t>EX-2101</t>
        </is>
      </c>
      <c r="D779" s="156" t="inlineStr">
        <is>
          <t>DT-811</t>
        </is>
      </c>
      <c r="E779" s="156" t="inlineStr">
        <is>
          <t>OB</t>
        </is>
      </c>
      <c r="F779" s="156" t="n">
        <v>2</v>
      </c>
      <c r="G779" s="156" t="inlineStr"/>
      <c r="H779" s="157">
        <f>IF($B779="","",IF(ISNA(MATCH($B779,MASTER_JAM!$Q$5:$Q$28,0)),"?",IF(MATCH($B779,MASTER_JAM!$Q$5:$Q$28,0)&lt;=12,"DS","NS")))</f>
        <v/>
      </c>
      <c r="I779" s="157">
        <f>IFERROR(INDEX(MASTER_JAM!$B$5:$B$94,MATCH($C779,MASTER_JAM!$A$5:$A$94,0)),"")</f>
        <v/>
      </c>
      <c r="J779" s="157">
        <f>IFERROR(INDEX(MASTER_JAM!$E$5:$E$94,MATCH($D779,MASTER_JAM!$A$5:$A$94,0)),"")</f>
        <v/>
      </c>
      <c r="K779" s="158">
        <f>IFERROR(INDEX(MASTER_JAM!$J$5:$O$12,MATCH($E779,MASTER_JAM!$I$5:$I$12,0),MATCH($J779,MASTER_JAM!$J$4:$O$4,0))+0,0)</f>
        <v/>
      </c>
      <c r="L779" s="159">
        <f>N($F779)*$K779</f>
        <v/>
      </c>
      <c r="M779" s="157">
        <f>IF($E779="","",IF(OR($E779="Coal",$E779="Dirty Coal"),"MT","BCM"))</f>
        <v/>
      </c>
      <c r="N779" s="157">
        <f>IF($E779="","",IF(OR($E779="Coal",$E779="Dirty Coal"),"Coal","OB"))</f>
        <v/>
      </c>
      <c r="O779" s="157">
        <f>IF($F779="","",IF(COUNTIF(MASTER_JAM!$A$5:$A$94,$C779)=0,"Digger tidak dikenal",IF($J779="","Hauler tidak dikenal",IF($H779="?","Jam salah",IF($K779=0,"Faktor kosong",IF(SUMIFS(INPUT_DELAY!$E$5:$E$20000,INPUT_DELAY!$A$5:$A$20000,$A779,INPUT_DELAY!$B$5:$B$20000,$B779,INPUT_DELAY!$C$5:$C$20000,$C779)+SUMIFS(INPUT_DELAY!$E$5:$E$20000,INPUT_DELAY!$A$5:$A$20000,$A779,INPUT_DELAY!$B$5:$B$20000,$B779,INPUT_DELAY!$C$5:$C$20000,"SEMUA")&gt;=60,"Delay 60 mnt tapi ada ritase","OK"))))))</f>
        <v/>
      </c>
      <c r="P779" s="158">
        <f>IFERROR(INDEX(MASTER_JAM!$Z$5:$AC$10,MATCH($I779,MASTER_JAM!$Y$5:$Y$10,0),MATCH($J779,MASTER_JAM!$Z$4:$AC$4,0))+0,0)</f>
        <v/>
      </c>
      <c r="Q779" s="158">
        <f>IF($P779=0,0,$P779+IFERROR(INDEX(MASTER_JAM!$H$5:$H$94,MATCH($C779,MASTER_JAM!$A$5:$A$94,0))+0,MASTER_JAM!$AC$15)/1000*(60/MASTER_JAM!$AC$12+60/MASTER_JAM!$AC$13)+MASTER_JAM!$AC$14)</f>
        <v/>
      </c>
      <c r="R779" s="158">
        <f>IF(N($F779)=0,0,$F779/SUMIFS(INPUT_RITASE!$F$5:$F$20000,INPUT_RITASE!$A$5:$A$20000,$A779,INPUT_RITASE!$B$5:$B$20000,$B779,INPUT_RITASE!$C$5:$C$20000,$C779,INPUT_RITASE!$D$5:$D$20000,$D779))</f>
        <v/>
      </c>
      <c r="S779" s="158">
        <f>IF($Q779=0,0,$R779*$P779/$Q779)</f>
        <v/>
      </c>
    </row>
    <row r="780">
      <c r="A780" s="155" t="n">
        <v>46106</v>
      </c>
      <c r="B780" s="156" t="inlineStr">
        <is>
          <t>05-06</t>
        </is>
      </c>
      <c r="C780" s="156" t="inlineStr">
        <is>
          <t>EX-2101</t>
        </is>
      </c>
      <c r="D780" s="156" t="inlineStr">
        <is>
          <t>HD-901</t>
        </is>
      </c>
      <c r="E780" s="156" t="inlineStr">
        <is>
          <t>OB</t>
        </is>
      </c>
      <c r="F780" s="156" t="n">
        <v>7</v>
      </c>
      <c r="G780" s="156" t="inlineStr"/>
      <c r="H780" s="157">
        <f>IF($B780="","",IF(ISNA(MATCH($B780,MASTER_JAM!$Q$5:$Q$28,0)),"?",IF(MATCH($B780,MASTER_JAM!$Q$5:$Q$28,0)&lt;=12,"DS","NS")))</f>
        <v/>
      </c>
      <c r="I780" s="157">
        <f>IFERROR(INDEX(MASTER_JAM!$B$5:$B$94,MATCH($C780,MASTER_JAM!$A$5:$A$94,0)),"")</f>
        <v/>
      </c>
      <c r="J780" s="157">
        <f>IFERROR(INDEX(MASTER_JAM!$E$5:$E$94,MATCH($D780,MASTER_JAM!$A$5:$A$94,0)),"")</f>
        <v/>
      </c>
      <c r="K780" s="158">
        <f>IFERROR(INDEX(MASTER_JAM!$J$5:$O$12,MATCH($E780,MASTER_JAM!$I$5:$I$12,0),MATCH($J780,MASTER_JAM!$J$4:$O$4,0))+0,0)</f>
        <v/>
      </c>
      <c r="L780" s="159">
        <f>N($F780)*$K780</f>
        <v/>
      </c>
      <c r="M780" s="157">
        <f>IF($E780="","",IF(OR($E780="Coal",$E780="Dirty Coal"),"MT","BCM"))</f>
        <v/>
      </c>
      <c r="N780" s="157">
        <f>IF($E780="","",IF(OR($E780="Coal",$E780="Dirty Coal"),"Coal","OB"))</f>
        <v/>
      </c>
      <c r="O780" s="157">
        <f>IF($F780="","",IF(COUNTIF(MASTER_JAM!$A$5:$A$94,$C780)=0,"Digger tidak dikenal",IF($J780="","Hauler tidak dikenal",IF($H780="?","Jam salah",IF($K780=0,"Faktor kosong",IF(SUMIFS(INPUT_DELAY!$E$5:$E$20000,INPUT_DELAY!$A$5:$A$20000,$A780,INPUT_DELAY!$B$5:$B$20000,$B780,INPUT_DELAY!$C$5:$C$20000,$C780)+SUMIFS(INPUT_DELAY!$E$5:$E$20000,INPUT_DELAY!$A$5:$A$20000,$A780,INPUT_DELAY!$B$5:$B$20000,$B780,INPUT_DELAY!$C$5:$C$20000,"SEMUA")&gt;=60,"Delay 60 mnt tapi ada ritase","OK"))))))</f>
        <v/>
      </c>
      <c r="P780" s="158">
        <f>IFERROR(INDEX(MASTER_JAM!$Z$5:$AC$10,MATCH($I780,MASTER_JAM!$Y$5:$Y$10,0),MATCH($J780,MASTER_JAM!$Z$4:$AC$4,0))+0,0)</f>
        <v/>
      </c>
      <c r="Q780" s="158">
        <f>IF($P780=0,0,$P780+IFERROR(INDEX(MASTER_JAM!$H$5:$H$94,MATCH($C780,MASTER_JAM!$A$5:$A$94,0))+0,MASTER_JAM!$AC$15)/1000*(60/MASTER_JAM!$AC$12+60/MASTER_JAM!$AC$13)+MASTER_JAM!$AC$14)</f>
        <v/>
      </c>
      <c r="R780" s="158">
        <f>IF(N($F780)=0,0,$F780/SUMIFS(INPUT_RITASE!$F$5:$F$20000,INPUT_RITASE!$A$5:$A$20000,$A780,INPUT_RITASE!$B$5:$B$20000,$B780,INPUT_RITASE!$C$5:$C$20000,$C780,INPUT_RITASE!$D$5:$D$20000,$D780))</f>
        <v/>
      </c>
      <c r="S780" s="158">
        <f>IF($Q780=0,0,$R780*$P780/$Q780)</f>
        <v/>
      </c>
    </row>
    <row r="781">
      <c r="A781" s="155" t="n">
        <v>46106</v>
      </c>
      <c r="B781" s="156" t="inlineStr">
        <is>
          <t>05-06</t>
        </is>
      </c>
      <c r="C781" s="156" t="inlineStr">
        <is>
          <t>EX-2101</t>
        </is>
      </c>
      <c r="D781" s="156" t="inlineStr">
        <is>
          <t>HD-902</t>
        </is>
      </c>
      <c r="E781" s="156" t="inlineStr">
        <is>
          <t>OB</t>
        </is>
      </c>
      <c r="F781" s="156" t="n">
        <v>6</v>
      </c>
      <c r="G781" s="156" t="inlineStr"/>
      <c r="H781" s="157">
        <f>IF($B781="","",IF(ISNA(MATCH($B781,MASTER_JAM!$Q$5:$Q$28,0)),"?",IF(MATCH($B781,MASTER_JAM!$Q$5:$Q$28,0)&lt;=12,"DS","NS")))</f>
        <v/>
      </c>
      <c r="I781" s="157">
        <f>IFERROR(INDEX(MASTER_JAM!$B$5:$B$94,MATCH($C781,MASTER_JAM!$A$5:$A$94,0)),"")</f>
        <v/>
      </c>
      <c r="J781" s="157">
        <f>IFERROR(INDEX(MASTER_JAM!$E$5:$E$94,MATCH($D781,MASTER_JAM!$A$5:$A$94,0)),"")</f>
        <v/>
      </c>
      <c r="K781" s="158">
        <f>IFERROR(INDEX(MASTER_JAM!$J$5:$O$12,MATCH($E781,MASTER_JAM!$I$5:$I$12,0),MATCH($J781,MASTER_JAM!$J$4:$O$4,0))+0,0)</f>
        <v/>
      </c>
      <c r="L781" s="159">
        <f>N($F781)*$K781</f>
        <v/>
      </c>
      <c r="M781" s="157">
        <f>IF($E781="","",IF(OR($E781="Coal",$E781="Dirty Coal"),"MT","BCM"))</f>
        <v/>
      </c>
      <c r="N781" s="157">
        <f>IF($E781="","",IF(OR($E781="Coal",$E781="Dirty Coal"),"Coal","OB"))</f>
        <v/>
      </c>
      <c r="O781" s="157">
        <f>IF($F781="","",IF(COUNTIF(MASTER_JAM!$A$5:$A$94,$C781)=0,"Digger tidak dikenal",IF($J781="","Hauler tidak dikenal",IF($H781="?","Jam salah",IF($K781=0,"Faktor kosong",IF(SUMIFS(INPUT_DELAY!$E$5:$E$20000,INPUT_DELAY!$A$5:$A$20000,$A781,INPUT_DELAY!$B$5:$B$20000,$B781,INPUT_DELAY!$C$5:$C$20000,$C781)+SUMIFS(INPUT_DELAY!$E$5:$E$20000,INPUT_DELAY!$A$5:$A$20000,$A781,INPUT_DELAY!$B$5:$B$20000,$B781,INPUT_DELAY!$C$5:$C$20000,"SEMUA")&gt;=60,"Delay 60 mnt tapi ada ritase","OK"))))))</f>
        <v/>
      </c>
      <c r="P781" s="158">
        <f>IFERROR(INDEX(MASTER_JAM!$Z$5:$AC$10,MATCH($I781,MASTER_JAM!$Y$5:$Y$10,0),MATCH($J781,MASTER_JAM!$Z$4:$AC$4,0))+0,0)</f>
        <v/>
      </c>
      <c r="Q781" s="158">
        <f>IF($P781=0,0,$P781+IFERROR(INDEX(MASTER_JAM!$H$5:$H$94,MATCH($C781,MASTER_JAM!$A$5:$A$94,0))+0,MASTER_JAM!$AC$15)/1000*(60/MASTER_JAM!$AC$12+60/MASTER_JAM!$AC$13)+MASTER_JAM!$AC$14)</f>
        <v/>
      </c>
      <c r="R781" s="158">
        <f>IF(N($F781)=0,0,$F781/SUMIFS(INPUT_RITASE!$F$5:$F$20000,INPUT_RITASE!$A$5:$A$20000,$A781,INPUT_RITASE!$B$5:$B$20000,$B781,INPUT_RITASE!$C$5:$C$20000,$C781,INPUT_RITASE!$D$5:$D$20000,$D781))</f>
        <v/>
      </c>
      <c r="S781" s="158">
        <f>IF($Q781=0,0,$R781*$P781/$Q781)</f>
        <v/>
      </c>
    </row>
    <row r="782">
      <c r="A782" s="155" t="n">
        <v>46106</v>
      </c>
      <c r="B782" s="156" t="inlineStr">
        <is>
          <t>05-06</t>
        </is>
      </c>
      <c r="C782" s="156" t="inlineStr">
        <is>
          <t>EX-2101</t>
        </is>
      </c>
      <c r="D782" s="156" t="inlineStr">
        <is>
          <t>HD-903</t>
        </is>
      </c>
      <c r="E782" s="156" t="inlineStr">
        <is>
          <t>OB</t>
        </is>
      </c>
      <c r="F782" s="156" t="n">
        <v>6</v>
      </c>
      <c r="G782" s="156" t="inlineStr"/>
      <c r="H782" s="157">
        <f>IF($B782="","",IF(ISNA(MATCH($B782,MASTER_JAM!$Q$5:$Q$28,0)),"?",IF(MATCH($B782,MASTER_JAM!$Q$5:$Q$28,0)&lt;=12,"DS","NS")))</f>
        <v/>
      </c>
      <c r="I782" s="157">
        <f>IFERROR(INDEX(MASTER_JAM!$B$5:$B$94,MATCH($C782,MASTER_JAM!$A$5:$A$94,0)),"")</f>
        <v/>
      </c>
      <c r="J782" s="157">
        <f>IFERROR(INDEX(MASTER_JAM!$E$5:$E$94,MATCH($D782,MASTER_JAM!$A$5:$A$94,0)),"")</f>
        <v/>
      </c>
      <c r="K782" s="158">
        <f>IFERROR(INDEX(MASTER_JAM!$J$5:$O$12,MATCH($E782,MASTER_JAM!$I$5:$I$12,0),MATCH($J782,MASTER_JAM!$J$4:$O$4,0))+0,0)</f>
        <v/>
      </c>
      <c r="L782" s="159">
        <f>N($F782)*$K782</f>
        <v/>
      </c>
      <c r="M782" s="157">
        <f>IF($E782="","",IF(OR($E782="Coal",$E782="Dirty Coal"),"MT","BCM"))</f>
        <v/>
      </c>
      <c r="N782" s="157">
        <f>IF($E782="","",IF(OR($E782="Coal",$E782="Dirty Coal"),"Coal","OB"))</f>
        <v/>
      </c>
      <c r="O782" s="157">
        <f>IF($F782="","",IF(COUNTIF(MASTER_JAM!$A$5:$A$94,$C782)=0,"Digger tidak dikenal",IF($J782="","Hauler tidak dikenal",IF($H782="?","Jam salah",IF($K782=0,"Faktor kosong",IF(SUMIFS(INPUT_DELAY!$E$5:$E$20000,INPUT_DELAY!$A$5:$A$20000,$A782,INPUT_DELAY!$B$5:$B$20000,$B782,INPUT_DELAY!$C$5:$C$20000,$C782)+SUMIFS(INPUT_DELAY!$E$5:$E$20000,INPUT_DELAY!$A$5:$A$20000,$A782,INPUT_DELAY!$B$5:$B$20000,$B782,INPUT_DELAY!$C$5:$C$20000,"SEMUA")&gt;=60,"Delay 60 mnt tapi ada ritase","OK"))))))</f>
        <v/>
      </c>
      <c r="P782" s="158">
        <f>IFERROR(INDEX(MASTER_JAM!$Z$5:$AC$10,MATCH($I782,MASTER_JAM!$Y$5:$Y$10,0),MATCH($J782,MASTER_JAM!$Z$4:$AC$4,0))+0,0)</f>
        <v/>
      </c>
      <c r="Q782" s="158">
        <f>IF($P782=0,0,$P782+IFERROR(INDEX(MASTER_JAM!$H$5:$H$94,MATCH($C782,MASTER_JAM!$A$5:$A$94,0))+0,MASTER_JAM!$AC$15)/1000*(60/MASTER_JAM!$AC$12+60/MASTER_JAM!$AC$13)+MASTER_JAM!$AC$14)</f>
        <v/>
      </c>
      <c r="R782" s="158">
        <f>IF(N($F782)=0,0,$F782/SUMIFS(INPUT_RITASE!$F$5:$F$20000,INPUT_RITASE!$A$5:$A$20000,$A782,INPUT_RITASE!$B$5:$B$20000,$B782,INPUT_RITASE!$C$5:$C$20000,$C782,INPUT_RITASE!$D$5:$D$20000,$D782))</f>
        <v/>
      </c>
      <c r="S782" s="158">
        <f>IF($Q782=0,0,$R782*$P782/$Q782)</f>
        <v/>
      </c>
    </row>
    <row r="783">
      <c r="A783" s="155" t="n">
        <v>46106</v>
      </c>
      <c r="B783" s="156" t="inlineStr">
        <is>
          <t>05-06</t>
        </is>
      </c>
      <c r="C783" s="156" t="inlineStr">
        <is>
          <t>EX-2101</t>
        </is>
      </c>
      <c r="D783" s="156" t="inlineStr">
        <is>
          <t>DT-812</t>
        </is>
      </c>
      <c r="E783" s="156" t="inlineStr">
        <is>
          <t>OB</t>
        </is>
      </c>
      <c r="F783" s="156" t="n">
        <v>3</v>
      </c>
      <c r="G783" s="156" t="inlineStr"/>
      <c r="H783" s="157">
        <f>IF($B783="","",IF(ISNA(MATCH($B783,MASTER_JAM!$Q$5:$Q$28,0)),"?",IF(MATCH($B783,MASTER_JAM!$Q$5:$Q$28,0)&lt;=12,"DS","NS")))</f>
        <v/>
      </c>
      <c r="I783" s="157">
        <f>IFERROR(INDEX(MASTER_JAM!$B$5:$B$94,MATCH($C783,MASTER_JAM!$A$5:$A$94,0)),"")</f>
        <v/>
      </c>
      <c r="J783" s="157">
        <f>IFERROR(INDEX(MASTER_JAM!$E$5:$E$94,MATCH($D783,MASTER_JAM!$A$5:$A$94,0)),"")</f>
        <v/>
      </c>
      <c r="K783" s="158">
        <f>IFERROR(INDEX(MASTER_JAM!$J$5:$O$12,MATCH($E783,MASTER_JAM!$I$5:$I$12,0),MATCH($J783,MASTER_JAM!$J$4:$O$4,0))+0,0)</f>
        <v/>
      </c>
      <c r="L783" s="159">
        <f>N($F783)*$K783</f>
        <v/>
      </c>
      <c r="M783" s="157">
        <f>IF($E783="","",IF(OR($E783="Coal",$E783="Dirty Coal"),"MT","BCM"))</f>
        <v/>
      </c>
      <c r="N783" s="157">
        <f>IF($E783="","",IF(OR($E783="Coal",$E783="Dirty Coal"),"Coal","OB"))</f>
        <v/>
      </c>
      <c r="O783" s="157">
        <f>IF($F783="","",IF(COUNTIF(MASTER_JAM!$A$5:$A$94,$C783)=0,"Digger tidak dikenal",IF($J783="","Hauler tidak dikenal",IF($H783="?","Jam salah",IF($K783=0,"Faktor kosong",IF(SUMIFS(INPUT_DELAY!$E$5:$E$20000,INPUT_DELAY!$A$5:$A$20000,$A783,INPUT_DELAY!$B$5:$B$20000,$B783,INPUT_DELAY!$C$5:$C$20000,$C783)+SUMIFS(INPUT_DELAY!$E$5:$E$20000,INPUT_DELAY!$A$5:$A$20000,$A783,INPUT_DELAY!$B$5:$B$20000,$B783,INPUT_DELAY!$C$5:$C$20000,"SEMUA")&gt;=60,"Delay 60 mnt tapi ada ritase","OK"))))))</f>
        <v/>
      </c>
      <c r="P783" s="158">
        <f>IFERROR(INDEX(MASTER_JAM!$Z$5:$AC$10,MATCH($I783,MASTER_JAM!$Y$5:$Y$10,0),MATCH($J783,MASTER_JAM!$Z$4:$AC$4,0))+0,0)</f>
        <v/>
      </c>
      <c r="Q783" s="158">
        <f>IF($P783=0,0,$P783+IFERROR(INDEX(MASTER_JAM!$H$5:$H$94,MATCH($C783,MASTER_JAM!$A$5:$A$94,0))+0,MASTER_JAM!$AC$15)/1000*(60/MASTER_JAM!$AC$12+60/MASTER_JAM!$AC$13)+MASTER_JAM!$AC$14)</f>
        <v/>
      </c>
      <c r="R783" s="158">
        <f>IF(N($F783)=0,0,$F783/SUMIFS(INPUT_RITASE!$F$5:$F$20000,INPUT_RITASE!$A$5:$A$20000,$A783,INPUT_RITASE!$B$5:$B$20000,$B783,INPUT_RITASE!$C$5:$C$20000,$C783,INPUT_RITASE!$D$5:$D$20000,$D783))</f>
        <v/>
      </c>
      <c r="S783" s="158">
        <f>IF($Q783=0,0,$R783*$P783/$Q783)</f>
        <v/>
      </c>
    </row>
    <row r="784">
      <c r="A784" s="155" t="n">
        <v>46106</v>
      </c>
      <c r="B784" s="156" t="inlineStr">
        <is>
          <t>18-19</t>
        </is>
      </c>
      <c r="C784" s="156" t="inlineStr">
        <is>
          <t>EX-336</t>
        </is>
      </c>
      <c r="D784" s="156" t="inlineStr">
        <is>
          <t>DT-810</t>
        </is>
      </c>
      <c r="E784" s="156" t="inlineStr">
        <is>
          <t>Coal</t>
        </is>
      </c>
      <c r="F784" s="156" t="n">
        <v>4</v>
      </c>
      <c r="G784" s="156" t="inlineStr"/>
      <c r="H784" s="157">
        <f>IF($B784="","",IF(ISNA(MATCH($B784,MASTER_JAM!$Q$5:$Q$28,0)),"?",IF(MATCH($B784,MASTER_JAM!$Q$5:$Q$28,0)&lt;=12,"DS","NS")))</f>
        <v/>
      </c>
      <c r="I784" s="157">
        <f>IFERROR(INDEX(MASTER_JAM!$B$5:$B$94,MATCH($C784,MASTER_JAM!$A$5:$A$94,0)),"")</f>
        <v/>
      </c>
      <c r="J784" s="157">
        <f>IFERROR(INDEX(MASTER_JAM!$E$5:$E$94,MATCH($D784,MASTER_JAM!$A$5:$A$94,0)),"")</f>
        <v/>
      </c>
      <c r="K784" s="158">
        <f>IFERROR(INDEX(MASTER_JAM!$J$5:$O$12,MATCH($E784,MASTER_JAM!$I$5:$I$12,0),MATCH($J784,MASTER_JAM!$J$4:$O$4,0))+0,0)</f>
        <v/>
      </c>
      <c r="L784" s="159">
        <f>N($F784)*$K784</f>
        <v/>
      </c>
      <c r="M784" s="157">
        <f>IF($E784="","",IF(OR($E784="Coal",$E784="Dirty Coal"),"MT","BCM"))</f>
        <v/>
      </c>
      <c r="N784" s="157">
        <f>IF($E784="","",IF(OR($E784="Coal",$E784="Dirty Coal"),"Coal","OB"))</f>
        <v/>
      </c>
      <c r="O784" s="157">
        <f>IF($F784="","",IF(COUNTIF(MASTER_JAM!$A$5:$A$94,$C784)=0,"Digger tidak dikenal",IF($J784="","Hauler tidak dikenal",IF($H784="?","Jam salah",IF($K784=0,"Faktor kosong",IF(SUMIFS(INPUT_DELAY!$E$5:$E$20000,INPUT_DELAY!$A$5:$A$20000,$A784,INPUT_DELAY!$B$5:$B$20000,$B784,INPUT_DELAY!$C$5:$C$20000,$C784)+SUMIFS(INPUT_DELAY!$E$5:$E$20000,INPUT_DELAY!$A$5:$A$20000,$A784,INPUT_DELAY!$B$5:$B$20000,$B784,INPUT_DELAY!$C$5:$C$20000,"SEMUA")&gt;=60,"Delay 60 mnt tapi ada ritase","OK"))))))</f>
        <v/>
      </c>
      <c r="P784" s="158">
        <f>IFERROR(INDEX(MASTER_JAM!$Z$5:$AC$10,MATCH($I784,MASTER_JAM!$Y$5:$Y$10,0),MATCH($J784,MASTER_JAM!$Z$4:$AC$4,0))+0,0)</f>
        <v/>
      </c>
      <c r="Q784" s="158">
        <f>IF($P784=0,0,$P784+IFERROR(INDEX(MASTER_JAM!$H$5:$H$94,MATCH($C784,MASTER_JAM!$A$5:$A$94,0))+0,MASTER_JAM!$AC$15)/1000*(60/MASTER_JAM!$AC$12+60/MASTER_JAM!$AC$13)+MASTER_JAM!$AC$14)</f>
        <v/>
      </c>
      <c r="R784" s="158">
        <f>IF(N($F784)=0,0,$F784/SUMIFS(INPUT_RITASE!$F$5:$F$20000,INPUT_RITASE!$A$5:$A$20000,$A784,INPUT_RITASE!$B$5:$B$20000,$B784,INPUT_RITASE!$C$5:$C$20000,$C784,INPUT_RITASE!$D$5:$D$20000,$D784))</f>
        <v/>
      </c>
      <c r="S784" s="158">
        <f>IF($Q784=0,0,$R784*$P784/$Q784)</f>
        <v/>
      </c>
    </row>
    <row r="785">
      <c r="A785" s="155" t="n">
        <v>46106</v>
      </c>
      <c r="B785" s="156" t="inlineStr">
        <is>
          <t>18-19</t>
        </is>
      </c>
      <c r="C785" s="156" t="inlineStr">
        <is>
          <t>EX-336</t>
        </is>
      </c>
      <c r="D785" s="156" t="inlineStr">
        <is>
          <t>DT-811</t>
        </is>
      </c>
      <c r="E785" s="156" t="inlineStr">
        <is>
          <t>Coal</t>
        </is>
      </c>
      <c r="F785" s="156" t="n">
        <v>3</v>
      </c>
      <c r="G785" s="156" t="inlineStr"/>
      <c r="H785" s="157">
        <f>IF($B785="","",IF(ISNA(MATCH($B785,MASTER_JAM!$Q$5:$Q$28,0)),"?",IF(MATCH($B785,MASTER_JAM!$Q$5:$Q$28,0)&lt;=12,"DS","NS")))</f>
        <v/>
      </c>
      <c r="I785" s="157">
        <f>IFERROR(INDEX(MASTER_JAM!$B$5:$B$94,MATCH($C785,MASTER_JAM!$A$5:$A$94,0)),"")</f>
        <v/>
      </c>
      <c r="J785" s="157">
        <f>IFERROR(INDEX(MASTER_JAM!$E$5:$E$94,MATCH($D785,MASTER_JAM!$A$5:$A$94,0)),"")</f>
        <v/>
      </c>
      <c r="K785" s="158">
        <f>IFERROR(INDEX(MASTER_JAM!$J$5:$O$12,MATCH($E785,MASTER_JAM!$I$5:$I$12,0),MATCH($J785,MASTER_JAM!$J$4:$O$4,0))+0,0)</f>
        <v/>
      </c>
      <c r="L785" s="159">
        <f>N($F785)*$K785</f>
        <v/>
      </c>
      <c r="M785" s="157">
        <f>IF($E785="","",IF(OR($E785="Coal",$E785="Dirty Coal"),"MT","BCM"))</f>
        <v/>
      </c>
      <c r="N785" s="157">
        <f>IF($E785="","",IF(OR($E785="Coal",$E785="Dirty Coal"),"Coal","OB"))</f>
        <v/>
      </c>
      <c r="O785" s="157">
        <f>IF($F785="","",IF(COUNTIF(MASTER_JAM!$A$5:$A$94,$C785)=0,"Digger tidak dikenal",IF($J785="","Hauler tidak dikenal",IF($H785="?","Jam salah",IF($K785=0,"Faktor kosong",IF(SUMIFS(INPUT_DELAY!$E$5:$E$20000,INPUT_DELAY!$A$5:$A$20000,$A785,INPUT_DELAY!$B$5:$B$20000,$B785,INPUT_DELAY!$C$5:$C$20000,$C785)+SUMIFS(INPUT_DELAY!$E$5:$E$20000,INPUT_DELAY!$A$5:$A$20000,$A785,INPUT_DELAY!$B$5:$B$20000,$B785,INPUT_DELAY!$C$5:$C$20000,"SEMUA")&gt;=60,"Delay 60 mnt tapi ada ritase","OK"))))))</f>
        <v/>
      </c>
      <c r="P785" s="158">
        <f>IFERROR(INDEX(MASTER_JAM!$Z$5:$AC$10,MATCH($I785,MASTER_JAM!$Y$5:$Y$10,0),MATCH($J785,MASTER_JAM!$Z$4:$AC$4,0))+0,0)</f>
        <v/>
      </c>
      <c r="Q785" s="158">
        <f>IF($P785=0,0,$P785+IFERROR(INDEX(MASTER_JAM!$H$5:$H$94,MATCH($C785,MASTER_JAM!$A$5:$A$94,0))+0,MASTER_JAM!$AC$15)/1000*(60/MASTER_JAM!$AC$12+60/MASTER_JAM!$AC$13)+MASTER_JAM!$AC$14)</f>
        <v/>
      </c>
      <c r="R785" s="158">
        <f>IF(N($F785)=0,0,$F785/SUMIFS(INPUT_RITASE!$F$5:$F$20000,INPUT_RITASE!$A$5:$A$20000,$A785,INPUT_RITASE!$B$5:$B$20000,$B785,INPUT_RITASE!$C$5:$C$20000,$C785,INPUT_RITASE!$D$5:$D$20000,$D785))</f>
        <v/>
      </c>
      <c r="S785" s="158">
        <f>IF($Q785=0,0,$R785*$P785/$Q785)</f>
        <v/>
      </c>
    </row>
    <row r="786">
      <c r="A786" s="155" t="n">
        <v>46106</v>
      </c>
      <c r="B786" s="156" t="inlineStr">
        <is>
          <t>18-19</t>
        </is>
      </c>
      <c r="C786" s="156" t="inlineStr">
        <is>
          <t>EX-336</t>
        </is>
      </c>
      <c r="D786" s="156" t="inlineStr">
        <is>
          <t>DT-812</t>
        </is>
      </c>
      <c r="E786" s="156" t="inlineStr">
        <is>
          <t>Coal</t>
        </is>
      </c>
      <c r="F786" s="156" t="n">
        <v>3</v>
      </c>
      <c r="G786" s="156" t="inlineStr"/>
      <c r="H786" s="157">
        <f>IF($B786="","",IF(ISNA(MATCH($B786,MASTER_JAM!$Q$5:$Q$28,0)),"?",IF(MATCH($B786,MASTER_JAM!$Q$5:$Q$28,0)&lt;=12,"DS","NS")))</f>
        <v/>
      </c>
      <c r="I786" s="157">
        <f>IFERROR(INDEX(MASTER_JAM!$B$5:$B$94,MATCH($C786,MASTER_JAM!$A$5:$A$94,0)),"")</f>
        <v/>
      </c>
      <c r="J786" s="157">
        <f>IFERROR(INDEX(MASTER_JAM!$E$5:$E$94,MATCH($D786,MASTER_JAM!$A$5:$A$94,0)),"")</f>
        <v/>
      </c>
      <c r="K786" s="158">
        <f>IFERROR(INDEX(MASTER_JAM!$J$5:$O$12,MATCH($E786,MASTER_JAM!$I$5:$I$12,0),MATCH($J786,MASTER_JAM!$J$4:$O$4,0))+0,0)</f>
        <v/>
      </c>
      <c r="L786" s="159">
        <f>N($F786)*$K786</f>
        <v/>
      </c>
      <c r="M786" s="157">
        <f>IF($E786="","",IF(OR($E786="Coal",$E786="Dirty Coal"),"MT","BCM"))</f>
        <v/>
      </c>
      <c r="N786" s="157">
        <f>IF($E786="","",IF(OR($E786="Coal",$E786="Dirty Coal"),"Coal","OB"))</f>
        <v/>
      </c>
      <c r="O786" s="157">
        <f>IF($F786="","",IF(COUNTIF(MASTER_JAM!$A$5:$A$94,$C786)=0,"Digger tidak dikenal",IF($J786="","Hauler tidak dikenal",IF($H786="?","Jam salah",IF($K786=0,"Faktor kosong",IF(SUMIFS(INPUT_DELAY!$E$5:$E$20000,INPUT_DELAY!$A$5:$A$20000,$A786,INPUT_DELAY!$B$5:$B$20000,$B786,INPUT_DELAY!$C$5:$C$20000,$C786)+SUMIFS(INPUT_DELAY!$E$5:$E$20000,INPUT_DELAY!$A$5:$A$20000,$A786,INPUT_DELAY!$B$5:$B$20000,$B786,INPUT_DELAY!$C$5:$C$20000,"SEMUA")&gt;=60,"Delay 60 mnt tapi ada ritase","OK"))))))</f>
        <v/>
      </c>
      <c r="P786" s="158">
        <f>IFERROR(INDEX(MASTER_JAM!$Z$5:$AC$10,MATCH($I786,MASTER_JAM!$Y$5:$Y$10,0),MATCH($J786,MASTER_JAM!$Z$4:$AC$4,0))+0,0)</f>
        <v/>
      </c>
      <c r="Q786" s="158">
        <f>IF($P786=0,0,$P786+IFERROR(INDEX(MASTER_JAM!$H$5:$H$94,MATCH($C786,MASTER_JAM!$A$5:$A$94,0))+0,MASTER_JAM!$AC$15)/1000*(60/MASTER_JAM!$AC$12+60/MASTER_JAM!$AC$13)+MASTER_JAM!$AC$14)</f>
        <v/>
      </c>
      <c r="R786" s="158">
        <f>IF(N($F786)=0,0,$F786/SUMIFS(INPUT_RITASE!$F$5:$F$20000,INPUT_RITASE!$A$5:$A$20000,$A786,INPUT_RITASE!$B$5:$B$20000,$B786,INPUT_RITASE!$C$5:$C$20000,$C786,INPUT_RITASE!$D$5:$D$20000,$D786))</f>
        <v/>
      </c>
      <c r="S786" s="158">
        <f>IF($Q786=0,0,$R786*$P786/$Q786)</f>
        <v/>
      </c>
    </row>
    <row r="787">
      <c r="A787" s="155" t="n">
        <v>46106</v>
      </c>
      <c r="B787" s="156" t="inlineStr">
        <is>
          <t>19-20</t>
        </is>
      </c>
      <c r="C787" s="156" t="inlineStr">
        <is>
          <t>EX-336</t>
        </is>
      </c>
      <c r="D787" s="156" t="inlineStr">
        <is>
          <t>DT-810</t>
        </is>
      </c>
      <c r="E787" s="156" t="inlineStr">
        <is>
          <t>Coal</t>
        </is>
      </c>
      <c r="F787" s="156" t="n">
        <v>4</v>
      </c>
      <c r="G787" s="156" t="inlineStr"/>
      <c r="H787" s="157">
        <f>IF($B787="","",IF(ISNA(MATCH($B787,MASTER_JAM!$Q$5:$Q$28,0)),"?",IF(MATCH($B787,MASTER_JAM!$Q$5:$Q$28,0)&lt;=12,"DS","NS")))</f>
        <v/>
      </c>
      <c r="I787" s="157">
        <f>IFERROR(INDEX(MASTER_JAM!$B$5:$B$94,MATCH($C787,MASTER_JAM!$A$5:$A$94,0)),"")</f>
        <v/>
      </c>
      <c r="J787" s="157">
        <f>IFERROR(INDEX(MASTER_JAM!$E$5:$E$94,MATCH($D787,MASTER_JAM!$A$5:$A$94,0)),"")</f>
        <v/>
      </c>
      <c r="K787" s="158">
        <f>IFERROR(INDEX(MASTER_JAM!$J$5:$O$12,MATCH($E787,MASTER_JAM!$I$5:$I$12,0),MATCH($J787,MASTER_JAM!$J$4:$O$4,0))+0,0)</f>
        <v/>
      </c>
      <c r="L787" s="159">
        <f>N($F787)*$K787</f>
        <v/>
      </c>
      <c r="M787" s="157">
        <f>IF($E787="","",IF(OR($E787="Coal",$E787="Dirty Coal"),"MT","BCM"))</f>
        <v/>
      </c>
      <c r="N787" s="157">
        <f>IF($E787="","",IF(OR($E787="Coal",$E787="Dirty Coal"),"Coal","OB"))</f>
        <v/>
      </c>
      <c r="O787" s="157">
        <f>IF($F787="","",IF(COUNTIF(MASTER_JAM!$A$5:$A$94,$C787)=0,"Digger tidak dikenal",IF($J787="","Hauler tidak dikenal",IF($H787="?","Jam salah",IF($K787=0,"Faktor kosong",IF(SUMIFS(INPUT_DELAY!$E$5:$E$20000,INPUT_DELAY!$A$5:$A$20000,$A787,INPUT_DELAY!$B$5:$B$20000,$B787,INPUT_DELAY!$C$5:$C$20000,$C787)+SUMIFS(INPUT_DELAY!$E$5:$E$20000,INPUT_DELAY!$A$5:$A$20000,$A787,INPUT_DELAY!$B$5:$B$20000,$B787,INPUT_DELAY!$C$5:$C$20000,"SEMUA")&gt;=60,"Delay 60 mnt tapi ada ritase","OK"))))))</f>
        <v/>
      </c>
      <c r="P787" s="158">
        <f>IFERROR(INDEX(MASTER_JAM!$Z$5:$AC$10,MATCH($I787,MASTER_JAM!$Y$5:$Y$10,0),MATCH($J787,MASTER_JAM!$Z$4:$AC$4,0))+0,0)</f>
        <v/>
      </c>
      <c r="Q787" s="158">
        <f>IF($P787=0,0,$P787+IFERROR(INDEX(MASTER_JAM!$H$5:$H$94,MATCH($C787,MASTER_JAM!$A$5:$A$94,0))+0,MASTER_JAM!$AC$15)/1000*(60/MASTER_JAM!$AC$12+60/MASTER_JAM!$AC$13)+MASTER_JAM!$AC$14)</f>
        <v/>
      </c>
      <c r="R787" s="158">
        <f>IF(N($F787)=0,0,$F787/SUMIFS(INPUT_RITASE!$F$5:$F$20000,INPUT_RITASE!$A$5:$A$20000,$A787,INPUT_RITASE!$B$5:$B$20000,$B787,INPUT_RITASE!$C$5:$C$20000,$C787,INPUT_RITASE!$D$5:$D$20000,$D787))</f>
        <v/>
      </c>
      <c r="S787" s="158">
        <f>IF($Q787=0,0,$R787*$P787/$Q787)</f>
        <v/>
      </c>
    </row>
    <row r="788">
      <c r="A788" s="155" t="n">
        <v>46106</v>
      </c>
      <c r="B788" s="156" t="inlineStr">
        <is>
          <t>19-20</t>
        </is>
      </c>
      <c r="C788" s="156" t="inlineStr">
        <is>
          <t>EX-336</t>
        </is>
      </c>
      <c r="D788" s="156" t="inlineStr">
        <is>
          <t>DT-811</t>
        </is>
      </c>
      <c r="E788" s="156" t="inlineStr">
        <is>
          <t>Coal</t>
        </is>
      </c>
      <c r="F788" s="156" t="n">
        <v>4</v>
      </c>
      <c r="G788" s="156" t="inlineStr"/>
      <c r="H788" s="157">
        <f>IF($B788="","",IF(ISNA(MATCH($B788,MASTER_JAM!$Q$5:$Q$28,0)),"?",IF(MATCH($B788,MASTER_JAM!$Q$5:$Q$28,0)&lt;=12,"DS","NS")))</f>
        <v/>
      </c>
      <c r="I788" s="157">
        <f>IFERROR(INDEX(MASTER_JAM!$B$5:$B$94,MATCH($C788,MASTER_JAM!$A$5:$A$94,0)),"")</f>
        <v/>
      </c>
      <c r="J788" s="157">
        <f>IFERROR(INDEX(MASTER_JAM!$E$5:$E$94,MATCH($D788,MASTER_JAM!$A$5:$A$94,0)),"")</f>
        <v/>
      </c>
      <c r="K788" s="158">
        <f>IFERROR(INDEX(MASTER_JAM!$J$5:$O$12,MATCH($E788,MASTER_JAM!$I$5:$I$12,0),MATCH($J788,MASTER_JAM!$J$4:$O$4,0))+0,0)</f>
        <v/>
      </c>
      <c r="L788" s="159">
        <f>N($F788)*$K788</f>
        <v/>
      </c>
      <c r="M788" s="157">
        <f>IF($E788="","",IF(OR($E788="Coal",$E788="Dirty Coal"),"MT","BCM"))</f>
        <v/>
      </c>
      <c r="N788" s="157">
        <f>IF($E788="","",IF(OR($E788="Coal",$E788="Dirty Coal"),"Coal","OB"))</f>
        <v/>
      </c>
      <c r="O788" s="157">
        <f>IF($F788="","",IF(COUNTIF(MASTER_JAM!$A$5:$A$94,$C788)=0,"Digger tidak dikenal",IF($J788="","Hauler tidak dikenal",IF($H788="?","Jam salah",IF($K788=0,"Faktor kosong",IF(SUMIFS(INPUT_DELAY!$E$5:$E$20000,INPUT_DELAY!$A$5:$A$20000,$A788,INPUT_DELAY!$B$5:$B$20000,$B788,INPUT_DELAY!$C$5:$C$20000,$C788)+SUMIFS(INPUT_DELAY!$E$5:$E$20000,INPUT_DELAY!$A$5:$A$20000,$A788,INPUT_DELAY!$B$5:$B$20000,$B788,INPUT_DELAY!$C$5:$C$20000,"SEMUA")&gt;=60,"Delay 60 mnt tapi ada ritase","OK"))))))</f>
        <v/>
      </c>
      <c r="P788" s="158">
        <f>IFERROR(INDEX(MASTER_JAM!$Z$5:$AC$10,MATCH($I788,MASTER_JAM!$Y$5:$Y$10,0),MATCH($J788,MASTER_JAM!$Z$4:$AC$4,0))+0,0)</f>
        <v/>
      </c>
      <c r="Q788" s="158">
        <f>IF($P788=0,0,$P788+IFERROR(INDEX(MASTER_JAM!$H$5:$H$94,MATCH($C788,MASTER_JAM!$A$5:$A$94,0))+0,MASTER_JAM!$AC$15)/1000*(60/MASTER_JAM!$AC$12+60/MASTER_JAM!$AC$13)+MASTER_JAM!$AC$14)</f>
        <v/>
      </c>
      <c r="R788" s="158">
        <f>IF(N($F788)=0,0,$F788/SUMIFS(INPUT_RITASE!$F$5:$F$20000,INPUT_RITASE!$A$5:$A$20000,$A788,INPUT_RITASE!$B$5:$B$20000,$B788,INPUT_RITASE!$C$5:$C$20000,$C788,INPUT_RITASE!$D$5:$D$20000,$D788))</f>
        <v/>
      </c>
      <c r="S788" s="158">
        <f>IF($Q788=0,0,$R788*$P788/$Q788)</f>
        <v/>
      </c>
    </row>
    <row r="789">
      <c r="A789" s="155" t="n">
        <v>46106</v>
      </c>
      <c r="B789" s="156" t="inlineStr">
        <is>
          <t>19-20</t>
        </is>
      </c>
      <c r="C789" s="156" t="inlineStr">
        <is>
          <t>EX-336</t>
        </is>
      </c>
      <c r="D789" s="156" t="inlineStr">
        <is>
          <t>DT-812</t>
        </is>
      </c>
      <c r="E789" s="156" t="inlineStr">
        <is>
          <t>Coal</t>
        </is>
      </c>
      <c r="F789" s="156" t="n">
        <v>3</v>
      </c>
      <c r="G789" s="156" t="inlineStr"/>
      <c r="H789" s="157">
        <f>IF($B789="","",IF(ISNA(MATCH($B789,MASTER_JAM!$Q$5:$Q$28,0)),"?",IF(MATCH($B789,MASTER_JAM!$Q$5:$Q$28,0)&lt;=12,"DS","NS")))</f>
        <v/>
      </c>
      <c r="I789" s="157">
        <f>IFERROR(INDEX(MASTER_JAM!$B$5:$B$94,MATCH($C789,MASTER_JAM!$A$5:$A$94,0)),"")</f>
        <v/>
      </c>
      <c r="J789" s="157">
        <f>IFERROR(INDEX(MASTER_JAM!$E$5:$E$94,MATCH($D789,MASTER_JAM!$A$5:$A$94,0)),"")</f>
        <v/>
      </c>
      <c r="K789" s="158">
        <f>IFERROR(INDEX(MASTER_JAM!$J$5:$O$12,MATCH($E789,MASTER_JAM!$I$5:$I$12,0),MATCH($J789,MASTER_JAM!$J$4:$O$4,0))+0,0)</f>
        <v/>
      </c>
      <c r="L789" s="159">
        <f>N($F789)*$K789</f>
        <v/>
      </c>
      <c r="M789" s="157">
        <f>IF($E789="","",IF(OR($E789="Coal",$E789="Dirty Coal"),"MT","BCM"))</f>
        <v/>
      </c>
      <c r="N789" s="157">
        <f>IF($E789="","",IF(OR($E789="Coal",$E789="Dirty Coal"),"Coal","OB"))</f>
        <v/>
      </c>
      <c r="O789" s="157">
        <f>IF($F789="","",IF(COUNTIF(MASTER_JAM!$A$5:$A$94,$C789)=0,"Digger tidak dikenal",IF($J789="","Hauler tidak dikenal",IF($H789="?","Jam salah",IF($K789=0,"Faktor kosong",IF(SUMIFS(INPUT_DELAY!$E$5:$E$20000,INPUT_DELAY!$A$5:$A$20000,$A789,INPUT_DELAY!$B$5:$B$20000,$B789,INPUT_DELAY!$C$5:$C$20000,$C789)+SUMIFS(INPUT_DELAY!$E$5:$E$20000,INPUT_DELAY!$A$5:$A$20000,$A789,INPUT_DELAY!$B$5:$B$20000,$B789,INPUT_DELAY!$C$5:$C$20000,"SEMUA")&gt;=60,"Delay 60 mnt tapi ada ritase","OK"))))))</f>
        <v/>
      </c>
      <c r="P789" s="158">
        <f>IFERROR(INDEX(MASTER_JAM!$Z$5:$AC$10,MATCH($I789,MASTER_JAM!$Y$5:$Y$10,0),MATCH($J789,MASTER_JAM!$Z$4:$AC$4,0))+0,0)</f>
        <v/>
      </c>
      <c r="Q789" s="158">
        <f>IF($P789=0,0,$P789+IFERROR(INDEX(MASTER_JAM!$H$5:$H$94,MATCH($C789,MASTER_JAM!$A$5:$A$94,0))+0,MASTER_JAM!$AC$15)/1000*(60/MASTER_JAM!$AC$12+60/MASTER_JAM!$AC$13)+MASTER_JAM!$AC$14)</f>
        <v/>
      </c>
      <c r="R789" s="158">
        <f>IF(N($F789)=0,0,$F789/SUMIFS(INPUT_RITASE!$F$5:$F$20000,INPUT_RITASE!$A$5:$A$20000,$A789,INPUT_RITASE!$B$5:$B$20000,$B789,INPUT_RITASE!$C$5:$C$20000,$C789,INPUT_RITASE!$D$5:$D$20000,$D789))</f>
        <v/>
      </c>
      <c r="S789" s="158">
        <f>IF($Q789=0,0,$R789*$P789/$Q789)</f>
        <v/>
      </c>
    </row>
    <row r="790">
      <c r="A790" s="155" t="n">
        <v>46106</v>
      </c>
      <c r="B790" s="156" t="inlineStr">
        <is>
          <t>21-22</t>
        </is>
      </c>
      <c r="C790" s="156" t="inlineStr">
        <is>
          <t>EX-336</t>
        </is>
      </c>
      <c r="D790" s="156" t="inlineStr">
        <is>
          <t>DT-810</t>
        </is>
      </c>
      <c r="E790" s="156" t="inlineStr">
        <is>
          <t>Coal</t>
        </is>
      </c>
      <c r="F790" s="156" t="n">
        <v>3</v>
      </c>
      <c r="G790" s="156" t="inlineStr"/>
      <c r="H790" s="157">
        <f>IF($B790="","",IF(ISNA(MATCH($B790,MASTER_JAM!$Q$5:$Q$28,0)),"?",IF(MATCH($B790,MASTER_JAM!$Q$5:$Q$28,0)&lt;=12,"DS","NS")))</f>
        <v/>
      </c>
      <c r="I790" s="157">
        <f>IFERROR(INDEX(MASTER_JAM!$B$5:$B$94,MATCH($C790,MASTER_JAM!$A$5:$A$94,0)),"")</f>
        <v/>
      </c>
      <c r="J790" s="157">
        <f>IFERROR(INDEX(MASTER_JAM!$E$5:$E$94,MATCH($D790,MASTER_JAM!$A$5:$A$94,0)),"")</f>
        <v/>
      </c>
      <c r="K790" s="158">
        <f>IFERROR(INDEX(MASTER_JAM!$J$5:$O$12,MATCH($E790,MASTER_JAM!$I$5:$I$12,0),MATCH($J790,MASTER_JAM!$J$4:$O$4,0))+0,0)</f>
        <v/>
      </c>
      <c r="L790" s="159">
        <f>N($F790)*$K790</f>
        <v/>
      </c>
      <c r="M790" s="157">
        <f>IF($E790="","",IF(OR($E790="Coal",$E790="Dirty Coal"),"MT","BCM"))</f>
        <v/>
      </c>
      <c r="N790" s="157">
        <f>IF($E790="","",IF(OR($E790="Coal",$E790="Dirty Coal"),"Coal","OB"))</f>
        <v/>
      </c>
      <c r="O790" s="157">
        <f>IF($F790="","",IF(COUNTIF(MASTER_JAM!$A$5:$A$94,$C790)=0,"Digger tidak dikenal",IF($J790="","Hauler tidak dikenal",IF($H790="?","Jam salah",IF($K790=0,"Faktor kosong",IF(SUMIFS(INPUT_DELAY!$E$5:$E$20000,INPUT_DELAY!$A$5:$A$20000,$A790,INPUT_DELAY!$B$5:$B$20000,$B790,INPUT_DELAY!$C$5:$C$20000,$C790)+SUMIFS(INPUT_DELAY!$E$5:$E$20000,INPUT_DELAY!$A$5:$A$20000,$A790,INPUT_DELAY!$B$5:$B$20000,$B790,INPUT_DELAY!$C$5:$C$20000,"SEMUA")&gt;=60,"Delay 60 mnt tapi ada ritase","OK"))))))</f>
        <v/>
      </c>
      <c r="P790" s="158">
        <f>IFERROR(INDEX(MASTER_JAM!$Z$5:$AC$10,MATCH($I790,MASTER_JAM!$Y$5:$Y$10,0),MATCH($J790,MASTER_JAM!$Z$4:$AC$4,0))+0,0)</f>
        <v/>
      </c>
      <c r="Q790" s="158">
        <f>IF($P790=0,0,$P790+IFERROR(INDEX(MASTER_JAM!$H$5:$H$94,MATCH($C790,MASTER_JAM!$A$5:$A$94,0))+0,MASTER_JAM!$AC$15)/1000*(60/MASTER_JAM!$AC$12+60/MASTER_JAM!$AC$13)+MASTER_JAM!$AC$14)</f>
        <v/>
      </c>
      <c r="R790" s="158">
        <f>IF(N($F790)=0,0,$F790/SUMIFS(INPUT_RITASE!$F$5:$F$20000,INPUT_RITASE!$A$5:$A$20000,$A790,INPUT_RITASE!$B$5:$B$20000,$B790,INPUT_RITASE!$C$5:$C$20000,$C790,INPUT_RITASE!$D$5:$D$20000,$D790))</f>
        <v/>
      </c>
      <c r="S790" s="158">
        <f>IF($Q790=0,0,$R790*$P790/$Q790)</f>
        <v/>
      </c>
    </row>
    <row r="791">
      <c r="A791" s="155" t="n">
        <v>46106</v>
      </c>
      <c r="B791" s="156" t="inlineStr">
        <is>
          <t>21-22</t>
        </is>
      </c>
      <c r="C791" s="156" t="inlineStr">
        <is>
          <t>EX-336</t>
        </is>
      </c>
      <c r="D791" s="156" t="inlineStr">
        <is>
          <t>DT-811</t>
        </is>
      </c>
      <c r="E791" s="156" t="inlineStr">
        <is>
          <t>Coal</t>
        </is>
      </c>
      <c r="F791" s="156" t="n">
        <v>3</v>
      </c>
      <c r="G791" s="156" t="inlineStr"/>
      <c r="H791" s="157">
        <f>IF($B791="","",IF(ISNA(MATCH($B791,MASTER_JAM!$Q$5:$Q$28,0)),"?",IF(MATCH($B791,MASTER_JAM!$Q$5:$Q$28,0)&lt;=12,"DS","NS")))</f>
        <v/>
      </c>
      <c r="I791" s="157">
        <f>IFERROR(INDEX(MASTER_JAM!$B$5:$B$94,MATCH($C791,MASTER_JAM!$A$5:$A$94,0)),"")</f>
        <v/>
      </c>
      <c r="J791" s="157">
        <f>IFERROR(INDEX(MASTER_JAM!$E$5:$E$94,MATCH($D791,MASTER_JAM!$A$5:$A$94,0)),"")</f>
        <v/>
      </c>
      <c r="K791" s="158">
        <f>IFERROR(INDEX(MASTER_JAM!$J$5:$O$12,MATCH($E791,MASTER_JAM!$I$5:$I$12,0),MATCH($J791,MASTER_JAM!$J$4:$O$4,0))+0,0)</f>
        <v/>
      </c>
      <c r="L791" s="159">
        <f>N($F791)*$K791</f>
        <v/>
      </c>
      <c r="M791" s="157">
        <f>IF($E791="","",IF(OR($E791="Coal",$E791="Dirty Coal"),"MT","BCM"))</f>
        <v/>
      </c>
      <c r="N791" s="157">
        <f>IF($E791="","",IF(OR($E791="Coal",$E791="Dirty Coal"),"Coal","OB"))</f>
        <v/>
      </c>
      <c r="O791" s="157">
        <f>IF($F791="","",IF(COUNTIF(MASTER_JAM!$A$5:$A$94,$C791)=0,"Digger tidak dikenal",IF($J791="","Hauler tidak dikenal",IF($H791="?","Jam salah",IF($K791=0,"Faktor kosong",IF(SUMIFS(INPUT_DELAY!$E$5:$E$20000,INPUT_DELAY!$A$5:$A$20000,$A791,INPUT_DELAY!$B$5:$B$20000,$B791,INPUT_DELAY!$C$5:$C$20000,$C791)+SUMIFS(INPUT_DELAY!$E$5:$E$20000,INPUT_DELAY!$A$5:$A$20000,$A791,INPUT_DELAY!$B$5:$B$20000,$B791,INPUT_DELAY!$C$5:$C$20000,"SEMUA")&gt;=60,"Delay 60 mnt tapi ada ritase","OK"))))))</f>
        <v/>
      </c>
      <c r="P791" s="158">
        <f>IFERROR(INDEX(MASTER_JAM!$Z$5:$AC$10,MATCH($I791,MASTER_JAM!$Y$5:$Y$10,0),MATCH($J791,MASTER_JAM!$Z$4:$AC$4,0))+0,0)</f>
        <v/>
      </c>
      <c r="Q791" s="158">
        <f>IF($P791=0,0,$P791+IFERROR(INDEX(MASTER_JAM!$H$5:$H$94,MATCH($C791,MASTER_JAM!$A$5:$A$94,0))+0,MASTER_JAM!$AC$15)/1000*(60/MASTER_JAM!$AC$12+60/MASTER_JAM!$AC$13)+MASTER_JAM!$AC$14)</f>
        <v/>
      </c>
      <c r="R791" s="158">
        <f>IF(N($F791)=0,0,$F791/SUMIFS(INPUT_RITASE!$F$5:$F$20000,INPUT_RITASE!$A$5:$A$20000,$A791,INPUT_RITASE!$B$5:$B$20000,$B791,INPUT_RITASE!$C$5:$C$20000,$C791,INPUT_RITASE!$D$5:$D$20000,$D791))</f>
        <v/>
      </c>
      <c r="S791" s="158">
        <f>IF($Q791=0,0,$R791*$P791/$Q791)</f>
        <v/>
      </c>
    </row>
    <row r="792">
      <c r="A792" s="155" t="n">
        <v>46106</v>
      </c>
      <c r="B792" s="156" t="inlineStr">
        <is>
          <t>22-23</t>
        </is>
      </c>
      <c r="C792" s="156" t="inlineStr">
        <is>
          <t>EX-336</t>
        </is>
      </c>
      <c r="D792" s="156" t="inlineStr">
        <is>
          <t>DT-812</t>
        </is>
      </c>
      <c r="E792" s="156" t="inlineStr">
        <is>
          <t>Coal</t>
        </is>
      </c>
      <c r="F792" s="156" t="n">
        <v>3</v>
      </c>
      <c r="G792" s="156" t="inlineStr"/>
      <c r="H792" s="157">
        <f>IF($B792="","",IF(ISNA(MATCH($B792,MASTER_JAM!$Q$5:$Q$28,0)),"?",IF(MATCH($B792,MASTER_JAM!$Q$5:$Q$28,0)&lt;=12,"DS","NS")))</f>
        <v/>
      </c>
      <c r="I792" s="157">
        <f>IFERROR(INDEX(MASTER_JAM!$B$5:$B$94,MATCH($C792,MASTER_JAM!$A$5:$A$94,0)),"")</f>
        <v/>
      </c>
      <c r="J792" s="157">
        <f>IFERROR(INDEX(MASTER_JAM!$E$5:$E$94,MATCH($D792,MASTER_JAM!$A$5:$A$94,0)),"")</f>
        <v/>
      </c>
      <c r="K792" s="158">
        <f>IFERROR(INDEX(MASTER_JAM!$J$5:$O$12,MATCH($E792,MASTER_JAM!$I$5:$I$12,0),MATCH($J792,MASTER_JAM!$J$4:$O$4,0))+0,0)</f>
        <v/>
      </c>
      <c r="L792" s="159">
        <f>N($F792)*$K792</f>
        <v/>
      </c>
      <c r="M792" s="157">
        <f>IF($E792="","",IF(OR($E792="Coal",$E792="Dirty Coal"),"MT","BCM"))</f>
        <v/>
      </c>
      <c r="N792" s="157">
        <f>IF($E792="","",IF(OR($E792="Coal",$E792="Dirty Coal"),"Coal","OB"))</f>
        <v/>
      </c>
      <c r="O792" s="157">
        <f>IF($F792="","",IF(COUNTIF(MASTER_JAM!$A$5:$A$94,$C792)=0,"Digger tidak dikenal",IF($J792="","Hauler tidak dikenal",IF($H792="?","Jam salah",IF($K792=0,"Faktor kosong",IF(SUMIFS(INPUT_DELAY!$E$5:$E$20000,INPUT_DELAY!$A$5:$A$20000,$A792,INPUT_DELAY!$B$5:$B$20000,$B792,INPUT_DELAY!$C$5:$C$20000,$C792)+SUMIFS(INPUT_DELAY!$E$5:$E$20000,INPUT_DELAY!$A$5:$A$20000,$A792,INPUT_DELAY!$B$5:$B$20000,$B792,INPUT_DELAY!$C$5:$C$20000,"SEMUA")&gt;=60,"Delay 60 mnt tapi ada ritase","OK"))))))</f>
        <v/>
      </c>
      <c r="P792" s="158">
        <f>IFERROR(INDEX(MASTER_JAM!$Z$5:$AC$10,MATCH($I792,MASTER_JAM!$Y$5:$Y$10,0),MATCH($J792,MASTER_JAM!$Z$4:$AC$4,0))+0,0)</f>
        <v/>
      </c>
      <c r="Q792" s="158">
        <f>IF($P792=0,0,$P792+IFERROR(INDEX(MASTER_JAM!$H$5:$H$94,MATCH($C792,MASTER_JAM!$A$5:$A$94,0))+0,MASTER_JAM!$AC$15)/1000*(60/MASTER_JAM!$AC$12+60/MASTER_JAM!$AC$13)+MASTER_JAM!$AC$14)</f>
        <v/>
      </c>
      <c r="R792" s="158">
        <f>IF(N($F792)=0,0,$F792/SUMIFS(INPUT_RITASE!$F$5:$F$20000,INPUT_RITASE!$A$5:$A$20000,$A792,INPUT_RITASE!$B$5:$B$20000,$B792,INPUT_RITASE!$C$5:$C$20000,$C792,INPUT_RITASE!$D$5:$D$20000,$D792))</f>
        <v/>
      </c>
      <c r="S792" s="158">
        <f>IF($Q792=0,0,$R792*$P792/$Q792)</f>
        <v/>
      </c>
    </row>
    <row r="793">
      <c r="A793" s="155" t="n">
        <v>46106</v>
      </c>
      <c r="B793" s="156" t="inlineStr">
        <is>
          <t>18-19</t>
        </is>
      </c>
      <c r="C793" s="156" t="inlineStr">
        <is>
          <t>EX-754</t>
        </is>
      </c>
      <c r="D793" s="156" t="inlineStr">
        <is>
          <t>DT-522</t>
        </is>
      </c>
      <c r="E793" s="156" t="inlineStr">
        <is>
          <t>OB</t>
        </is>
      </c>
      <c r="F793" s="156" t="n">
        <v>4</v>
      </c>
      <c r="G793" s="156" t="inlineStr"/>
      <c r="H793" s="157">
        <f>IF($B793="","",IF(ISNA(MATCH($B793,MASTER_JAM!$Q$5:$Q$28,0)),"?",IF(MATCH($B793,MASTER_JAM!$Q$5:$Q$28,0)&lt;=12,"DS","NS")))</f>
        <v/>
      </c>
      <c r="I793" s="157">
        <f>IFERROR(INDEX(MASTER_JAM!$B$5:$B$94,MATCH($C793,MASTER_JAM!$A$5:$A$94,0)),"")</f>
        <v/>
      </c>
      <c r="J793" s="157">
        <f>IFERROR(INDEX(MASTER_JAM!$E$5:$E$94,MATCH($D793,MASTER_JAM!$A$5:$A$94,0)),"")</f>
        <v/>
      </c>
      <c r="K793" s="158">
        <f>IFERROR(INDEX(MASTER_JAM!$J$5:$O$12,MATCH($E793,MASTER_JAM!$I$5:$I$12,0),MATCH($J793,MASTER_JAM!$J$4:$O$4,0))+0,0)</f>
        <v/>
      </c>
      <c r="L793" s="159">
        <f>N($F793)*$K793</f>
        <v/>
      </c>
      <c r="M793" s="157">
        <f>IF($E793="","",IF(OR($E793="Coal",$E793="Dirty Coal"),"MT","BCM"))</f>
        <v/>
      </c>
      <c r="N793" s="157">
        <f>IF($E793="","",IF(OR($E793="Coal",$E793="Dirty Coal"),"Coal","OB"))</f>
        <v/>
      </c>
      <c r="O793" s="157">
        <f>IF($F793="","",IF(COUNTIF(MASTER_JAM!$A$5:$A$94,$C793)=0,"Digger tidak dikenal",IF($J793="","Hauler tidak dikenal",IF($H793="?","Jam salah",IF($K793=0,"Faktor kosong",IF(SUMIFS(INPUT_DELAY!$E$5:$E$20000,INPUT_DELAY!$A$5:$A$20000,$A793,INPUT_DELAY!$B$5:$B$20000,$B793,INPUT_DELAY!$C$5:$C$20000,$C793)+SUMIFS(INPUT_DELAY!$E$5:$E$20000,INPUT_DELAY!$A$5:$A$20000,$A793,INPUT_DELAY!$B$5:$B$20000,$B793,INPUT_DELAY!$C$5:$C$20000,"SEMUA")&gt;=60,"Delay 60 mnt tapi ada ritase","OK"))))))</f>
        <v/>
      </c>
      <c r="P793" s="158">
        <f>IFERROR(INDEX(MASTER_JAM!$Z$5:$AC$10,MATCH($I793,MASTER_JAM!$Y$5:$Y$10,0),MATCH($J793,MASTER_JAM!$Z$4:$AC$4,0))+0,0)</f>
        <v/>
      </c>
      <c r="Q793" s="158">
        <f>IF($P793=0,0,$P793+IFERROR(INDEX(MASTER_JAM!$H$5:$H$94,MATCH($C793,MASTER_JAM!$A$5:$A$94,0))+0,MASTER_JAM!$AC$15)/1000*(60/MASTER_JAM!$AC$12+60/MASTER_JAM!$AC$13)+MASTER_JAM!$AC$14)</f>
        <v/>
      </c>
      <c r="R793" s="158">
        <f>IF(N($F793)=0,0,$F793/SUMIFS(INPUT_RITASE!$F$5:$F$20000,INPUT_RITASE!$A$5:$A$20000,$A793,INPUT_RITASE!$B$5:$B$20000,$B793,INPUT_RITASE!$C$5:$C$20000,$C793,INPUT_RITASE!$D$5:$D$20000,$D793))</f>
        <v/>
      </c>
      <c r="S793" s="158">
        <f>IF($Q793=0,0,$R793*$P793/$Q793)</f>
        <v/>
      </c>
    </row>
    <row r="794">
      <c r="A794" s="155" t="n">
        <v>46106</v>
      </c>
      <c r="B794" s="156" t="inlineStr">
        <is>
          <t>18-19</t>
        </is>
      </c>
      <c r="C794" s="156" t="inlineStr">
        <is>
          <t>EX-754</t>
        </is>
      </c>
      <c r="D794" s="156" t="inlineStr">
        <is>
          <t>DT-510</t>
        </is>
      </c>
      <c r="E794" s="156" t="inlineStr">
        <is>
          <t>OB</t>
        </is>
      </c>
      <c r="F794" s="156" t="n">
        <v>4</v>
      </c>
      <c r="G794" s="156" t="inlineStr"/>
      <c r="H794" s="157">
        <f>IF($B794="","",IF(ISNA(MATCH($B794,MASTER_JAM!$Q$5:$Q$28,0)),"?",IF(MATCH($B794,MASTER_JAM!$Q$5:$Q$28,0)&lt;=12,"DS","NS")))</f>
        <v/>
      </c>
      <c r="I794" s="157">
        <f>IFERROR(INDEX(MASTER_JAM!$B$5:$B$94,MATCH($C794,MASTER_JAM!$A$5:$A$94,0)),"")</f>
        <v/>
      </c>
      <c r="J794" s="157">
        <f>IFERROR(INDEX(MASTER_JAM!$E$5:$E$94,MATCH($D794,MASTER_JAM!$A$5:$A$94,0)),"")</f>
        <v/>
      </c>
      <c r="K794" s="158">
        <f>IFERROR(INDEX(MASTER_JAM!$J$5:$O$12,MATCH($E794,MASTER_JAM!$I$5:$I$12,0),MATCH($J794,MASTER_JAM!$J$4:$O$4,0))+0,0)</f>
        <v/>
      </c>
      <c r="L794" s="159">
        <f>N($F794)*$K794</f>
        <v/>
      </c>
      <c r="M794" s="157">
        <f>IF($E794="","",IF(OR($E794="Coal",$E794="Dirty Coal"),"MT","BCM"))</f>
        <v/>
      </c>
      <c r="N794" s="157">
        <f>IF($E794="","",IF(OR($E794="Coal",$E794="Dirty Coal"),"Coal","OB"))</f>
        <v/>
      </c>
      <c r="O794" s="157">
        <f>IF($F794="","",IF(COUNTIF(MASTER_JAM!$A$5:$A$94,$C794)=0,"Digger tidak dikenal",IF($J794="","Hauler tidak dikenal",IF($H794="?","Jam salah",IF($K794=0,"Faktor kosong",IF(SUMIFS(INPUT_DELAY!$E$5:$E$20000,INPUT_DELAY!$A$5:$A$20000,$A794,INPUT_DELAY!$B$5:$B$20000,$B794,INPUT_DELAY!$C$5:$C$20000,$C794)+SUMIFS(INPUT_DELAY!$E$5:$E$20000,INPUT_DELAY!$A$5:$A$20000,$A794,INPUT_DELAY!$B$5:$B$20000,$B794,INPUT_DELAY!$C$5:$C$20000,"SEMUA")&gt;=60,"Delay 60 mnt tapi ada ritase","OK"))))))</f>
        <v/>
      </c>
      <c r="P794" s="158">
        <f>IFERROR(INDEX(MASTER_JAM!$Z$5:$AC$10,MATCH($I794,MASTER_JAM!$Y$5:$Y$10,0),MATCH($J794,MASTER_JAM!$Z$4:$AC$4,0))+0,0)</f>
        <v/>
      </c>
      <c r="Q794" s="158">
        <f>IF($P794=0,0,$P794+IFERROR(INDEX(MASTER_JAM!$H$5:$H$94,MATCH($C794,MASTER_JAM!$A$5:$A$94,0))+0,MASTER_JAM!$AC$15)/1000*(60/MASTER_JAM!$AC$12+60/MASTER_JAM!$AC$13)+MASTER_JAM!$AC$14)</f>
        <v/>
      </c>
      <c r="R794" s="158">
        <f>IF(N($F794)=0,0,$F794/SUMIFS(INPUT_RITASE!$F$5:$F$20000,INPUT_RITASE!$A$5:$A$20000,$A794,INPUT_RITASE!$B$5:$B$20000,$B794,INPUT_RITASE!$C$5:$C$20000,$C794,INPUT_RITASE!$D$5:$D$20000,$D794))</f>
        <v/>
      </c>
      <c r="S794" s="158">
        <f>IF($Q794=0,0,$R794*$P794/$Q794)</f>
        <v/>
      </c>
    </row>
    <row r="795">
      <c r="A795" s="155" t="n">
        <v>46106</v>
      </c>
      <c r="B795" s="156" t="inlineStr">
        <is>
          <t>18-19</t>
        </is>
      </c>
      <c r="C795" s="156" t="inlineStr">
        <is>
          <t>EX-754</t>
        </is>
      </c>
      <c r="D795" s="156" t="inlineStr">
        <is>
          <t>DT-524</t>
        </is>
      </c>
      <c r="E795" s="156" t="inlineStr">
        <is>
          <t>OB</t>
        </is>
      </c>
      <c r="F795" s="156" t="n">
        <v>3</v>
      </c>
      <c r="G795" s="156" t="inlineStr"/>
      <c r="H795" s="157">
        <f>IF($B795="","",IF(ISNA(MATCH($B795,MASTER_JAM!$Q$5:$Q$28,0)),"?",IF(MATCH($B795,MASTER_JAM!$Q$5:$Q$28,0)&lt;=12,"DS","NS")))</f>
        <v/>
      </c>
      <c r="I795" s="157">
        <f>IFERROR(INDEX(MASTER_JAM!$B$5:$B$94,MATCH($C795,MASTER_JAM!$A$5:$A$94,0)),"")</f>
        <v/>
      </c>
      <c r="J795" s="157">
        <f>IFERROR(INDEX(MASTER_JAM!$E$5:$E$94,MATCH($D795,MASTER_JAM!$A$5:$A$94,0)),"")</f>
        <v/>
      </c>
      <c r="K795" s="158">
        <f>IFERROR(INDEX(MASTER_JAM!$J$5:$O$12,MATCH($E795,MASTER_JAM!$I$5:$I$12,0),MATCH($J795,MASTER_JAM!$J$4:$O$4,0))+0,0)</f>
        <v/>
      </c>
      <c r="L795" s="159">
        <f>N($F795)*$K795</f>
        <v/>
      </c>
      <c r="M795" s="157">
        <f>IF($E795="","",IF(OR($E795="Coal",$E795="Dirty Coal"),"MT","BCM"))</f>
        <v/>
      </c>
      <c r="N795" s="157">
        <f>IF($E795="","",IF(OR($E795="Coal",$E795="Dirty Coal"),"Coal","OB"))</f>
        <v/>
      </c>
      <c r="O795" s="157">
        <f>IF($F795="","",IF(COUNTIF(MASTER_JAM!$A$5:$A$94,$C795)=0,"Digger tidak dikenal",IF($J795="","Hauler tidak dikenal",IF($H795="?","Jam salah",IF($K795=0,"Faktor kosong",IF(SUMIFS(INPUT_DELAY!$E$5:$E$20000,INPUT_DELAY!$A$5:$A$20000,$A795,INPUT_DELAY!$B$5:$B$20000,$B795,INPUT_DELAY!$C$5:$C$20000,$C795)+SUMIFS(INPUT_DELAY!$E$5:$E$20000,INPUT_DELAY!$A$5:$A$20000,$A795,INPUT_DELAY!$B$5:$B$20000,$B795,INPUT_DELAY!$C$5:$C$20000,"SEMUA")&gt;=60,"Delay 60 mnt tapi ada ritase","OK"))))))</f>
        <v/>
      </c>
      <c r="P795" s="158">
        <f>IFERROR(INDEX(MASTER_JAM!$Z$5:$AC$10,MATCH($I795,MASTER_JAM!$Y$5:$Y$10,0),MATCH($J795,MASTER_JAM!$Z$4:$AC$4,0))+0,0)</f>
        <v/>
      </c>
      <c r="Q795" s="158">
        <f>IF($P795=0,0,$P795+IFERROR(INDEX(MASTER_JAM!$H$5:$H$94,MATCH($C795,MASTER_JAM!$A$5:$A$94,0))+0,MASTER_JAM!$AC$15)/1000*(60/MASTER_JAM!$AC$12+60/MASTER_JAM!$AC$13)+MASTER_JAM!$AC$14)</f>
        <v/>
      </c>
      <c r="R795" s="158">
        <f>IF(N($F795)=0,0,$F795/SUMIFS(INPUT_RITASE!$F$5:$F$20000,INPUT_RITASE!$A$5:$A$20000,$A795,INPUT_RITASE!$B$5:$B$20000,$B795,INPUT_RITASE!$C$5:$C$20000,$C795,INPUT_RITASE!$D$5:$D$20000,$D795))</f>
        <v/>
      </c>
      <c r="S795" s="158">
        <f>IF($Q795=0,0,$R795*$P795/$Q795)</f>
        <v/>
      </c>
    </row>
    <row r="796">
      <c r="A796" s="155" t="n">
        <v>46106</v>
      </c>
      <c r="B796" s="156" t="inlineStr">
        <is>
          <t>18-19</t>
        </is>
      </c>
      <c r="C796" s="156" t="inlineStr">
        <is>
          <t>EX-754</t>
        </is>
      </c>
      <c r="D796" s="156" t="inlineStr">
        <is>
          <t>DT-505</t>
        </is>
      </c>
      <c r="E796" s="156" t="inlineStr">
        <is>
          <t>OB</t>
        </is>
      </c>
      <c r="F796" s="156" t="n">
        <v>3</v>
      </c>
      <c r="G796" s="156" t="inlineStr"/>
      <c r="H796" s="157">
        <f>IF($B796="","",IF(ISNA(MATCH($B796,MASTER_JAM!$Q$5:$Q$28,0)),"?",IF(MATCH($B796,MASTER_JAM!$Q$5:$Q$28,0)&lt;=12,"DS","NS")))</f>
        <v/>
      </c>
      <c r="I796" s="157">
        <f>IFERROR(INDEX(MASTER_JAM!$B$5:$B$94,MATCH($C796,MASTER_JAM!$A$5:$A$94,0)),"")</f>
        <v/>
      </c>
      <c r="J796" s="157">
        <f>IFERROR(INDEX(MASTER_JAM!$E$5:$E$94,MATCH($D796,MASTER_JAM!$A$5:$A$94,0)),"")</f>
        <v/>
      </c>
      <c r="K796" s="158">
        <f>IFERROR(INDEX(MASTER_JAM!$J$5:$O$12,MATCH($E796,MASTER_JAM!$I$5:$I$12,0),MATCH($J796,MASTER_JAM!$J$4:$O$4,0))+0,0)</f>
        <v/>
      </c>
      <c r="L796" s="159">
        <f>N($F796)*$K796</f>
        <v/>
      </c>
      <c r="M796" s="157">
        <f>IF($E796="","",IF(OR($E796="Coal",$E796="Dirty Coal"),"MT","BCM"))</f>
        <v/>
      </c>
      <c r="N796" s="157">
        <f>IF($E796="","",IF(OR($E796="Coal",$E796="Dirty Coal"),"Coal","OB"))</f>
        <v/>
      </c>
      <c r="O796" s="157">
        <f>IF($F796="","",IF(COUNTIF(MASTER_JAM!$A$5:$A$94,$C796)=0,"Digger tidak dikenal",IF($J796="","Hauler tidak dikenal",IF($H796="?","Jam salah",IF($K796=0,"Faktor kosong",IF(SUMIFS(INPUT_DELAY!$E$5:$E$20000,INPUT_DELAY!$A$5:$A$20000,$A796,INPUT_DELAY!$B$5:$B$20000,$B796,INPUT_DELAY!$C$5:$C$20000,$C796)+SUMIFS(INPUT_DELAY!$E$5:$E$20000,INPUT_DELAY!$A$5:$A$20000,$A796,INPUT_DELAY!$B$5:$B$20000,$B796,INPUT_DELAY!$C$5:$C$20000,"SEMUA")&gt;=60,"Delay 60 mnt tapi ada ritase","OK"))))))</f>
        <v/>
      </c>
      <c r="P796" s="158">
        <f>IFERROR(INDEX(MASTER_JAM!$Z$5:$AC$10,MATCH($I796,MASTER_JAM!$Y$5:$Y$10,0),MATCH($J796,MASTER_JAM!$Z$4:$AC$4,0))+0,0)</f>
        <v/>
      </c>
      <c r="Q796" s="158">
        <f>IF($P796=0,0,$P796+IFERROR(INDEX(MASTER_JAM!$H$5:$H$94,MATCH($C796,MASTER_JAM!$A$5:$A$94,0))+0,MASTER_JAM!$AC$15)/1000*(60/MASTER_JAM!$AC$12+60/MASTER_JAM!$AC$13)+MASTER_JAM!$AC$14)</f>
        <v/>
      </c>
      <c r="R796" s="158">
        <f>IF(N($F796)=0,0,$F796/SUMIFS(INPUT_RITASE!$F$5:$F$20000,INPUT_RITASE!$A$5:$A$20000,$A796,INPUT_RITASE!$B$5:$B$20000,$B796,INPUT_RITASE!$C$5:$C$20000,$C796,INPUT_RITASE!$D$5:$D$20000,$D796))</f>
        <v/>
      </c>
      <c r="S796" s="158">
        <f>IF($Q796=0,0,$R796*$P796/$Q796)</f>
        <v/>
      </c>
    </row>
    <row r="797">
      <c r="A797" s="155" t="n">
        <v>46106</v>
      </c>
      <c r="B797" s="156" t="inlineStr">
        <is>
          <t>18-19</t>
        </is>
      </c>
      <c r="C797" s="156" t="inlineStr">
        <is>
          <t>EX-754</t>
        </is>
      </c>
      <c r="D797" s="156" t="inlineStr">
        <is>
          <t>DT-504</t>
        </is>
      </c>
      <c r="E797" s="156" t="inlineStr">
        <is>
          <t>OB</t>
        </is>
      </c>
      <c r="F797" s="156" t="n">
        <v>3</v>
      </c>
      <c r="G797" s="156" t="inlineStr"/>
      <c r="H797" s="157">
        <f>IF($B797="","",IF(ISNA(MATCH($B797,MASTER_JAM!$Q$5:$Q$28,0)),"?",IF(MATCH($B797,MASTER_JAM!$Q$5:$Q$28,0)&lt;=12,"DS","NS")))</f>
        <v/>
      </c>
      <c r="I797" s="157">
        <f>IFERROR(INDEX(MASTER_JAM!$B$5:$B$94,MATCH($C797,MASTER_JAM!$A$5:$A$94,0)),"")</f>
        <v/>
      </c>
      <c r="J797" s="157">
        <f>IFERROR(INDEX(MASTER_JAM!$E$5:$E$94,MATCH($D797,MASTER_JAM!$A$5:$A$94,0)),"")</f>
        <v/>
      </c>
      <c r="K797" s="158">
        <f>IFERROR(INDEX(MASTER_JAM!$J$5:$O$12,MATCH($E797,MASTER_JAM!$I$5:$I$12,0),MATCH($J797,MASTER_JAM!$J$4:$O$4,0))+0,0)</f>
        <v/>
      </c>
      <c r="L797" s="159">
        <f>N($F797)*$K797</f>
        <v/>
      </c>
      <c r="M797" s="157">
        <f>IF($E797="","",IF(OR($E797="Coal",$E797="Dirty Coal"),"MT","BCM"))</f>
        <v/>
      </c>
      <c r="N797" s="157">
        <f>IF($E797="","",IF(OR($E797="Coal",$E797="Dirty Coal"),"Coal","OB"))</f>
        <v/>
      </c>
      <c r="O797" s="157">
        <f>IF($F797="","",IF(COUNTIF(MASTER_JAM!$A$5:$A$94,$C797)=0,"Digger tidak dikenal",IF($J797="","Hauler tidak dikenal",IF($H797="?","Jam salah",IF($K797=0,"Faktor kosong",IF(SUMIFS(INPUT_DELAY!$E$5:$E$20000,INPUT_DELAY!$A$5:$A$20000,$A797,INPUT_DELAY!$B$5:$B$20000,$B797,INPUT_DELAY!$C$5:$C$20000,$C797)+SUMIFS(INPUT_DELAY!$E$5:$E$20000,INPUT_DELAY!$A$5:$A$20000,$A797,INPUT_DELAY!$B$5:$B$20000,$B797,INPUT_DELAY!$C$5:$C$20000,"SEMUA")&gt;=60,"Delay 60 mnt tapi ada ritase","OK"))))))</f>
        <v/>
      </c>
      <c r="P797" s="158">
        <f>IFERROR(INDEX(MASTER_JAM!$Z$5:$AC$10,MATCH($I797,MASTER_JAM!$Y$5:$Y$10,0),MATCH($J797,MASTER_JAM!$Z$4:$AC$4,0))+0,0)</f>
        <v/>
      </c>
      <c r="Q797" s="158">
        <f>IF($P797=0,0,$P797+IFERROR(INDEX(MASTER_JAM!$H$5:$H$94,MATCH($C797,MASTER_JAM!$A$5:$A$94,0))+0,MASTER_JAM!$AC$15)/1000*(60/MASTER_JAM!$AC$12+60/MASTER_JAM!$AC$13)+MASTER_JAM!$AC$14)</f>
        <v/>
      </c>
      <c r="R797" s="158">
        <f>IF(N($F797)=0,0,$F797/SUMIFS(INPUT_RITASE!$F$5:$F$20000,INPUT_RITASE!$A$5:$A$20000,$A797,INPUT_RITASE!$B$5:$B$20000,$B797,INPUT_RITASE!$C$5:$C$20000,$C797,INPUT_RITASE!$D$5:$D$20000,$D797))</f>
        <v/>
      </c>
      <c r="S797" s="158">
        <f>IF($Q797=0,0,$R797*$P797/$Q797)</f>
        <v/>
      </c>
    </row>
    <row r="798">
      <c r="A798" s="155" t="n">
        <v>46106</v>
      </c>
      <c r="B798" s="156" t="inlineStr">
        <is>
          <t>19-20</t>
        </is>
      </c>
      <c r="C798" s="156" t="inlineStr">
        <is>
          <t>EX-754</t>
        </is>
      </c>
      <c r="D798" s="156" t="inlineStr">
        <is>
          <t>DT-508</t>
        </is>
      </c>
      <c r="E798" s="156" t="inlineStr">
        <is>
          <t>OB</t>
        </is>
      </c>
      <c r="F798" s="156" t="n">
        <v>4</v>
      </c>
      <c r="G798" s="156" t="inlineStr"/>
      <c r="H798" s="157">
        <f>IF($B798="","",IF(ISNA(MATCH($B798,MASTER_JAM!$Q$5:$Q$28,0)),"?",IF(MATCH($B798,MASTER_JAM!$Q$5:$Q$28,0)&lt;=12,"DS","NS")))</f>
        <v/>
      </c>
      <c r="I798" s="157">
        <f>IFERROR(INDEX(MASTER_JAM!$B$5:$B$94,MATCH($C798,MASTER_JAM!$A$5:$A$94,0)),"")</f>
        <v/>
      </c>
      <c r="J798" s="157">
        <f>IFERROR(INDEX(MASTER_JAM!$E$5:$E$94,MATCH($D798,MASTER_JAM!$A$5:$A$94,0)),"")</f>
        <v/>
      </c>
      <c r="K798" s="158">
        <f>IFERROR(INDEX(MASTER_JAM!$J$5:$O$12,MATCH($E798,MASTER_JAM!$I$5:$I$12,0),MATCH($J798,MASTER_JAM!$J$4:$O$4,0))+0,0)</f>
        <v/>
      </c>
      <c r="L798" s="159">
        <f>N($F798)*$K798</f>
        <v/>
      </c>
      <c r="M798" s="157">
        <f>IF($E798="","",IF(OR($E798="Coal",$E798="Dirty Coal"),"MT","BCM"))</f>
        <v/>
      </c>
      <c r="N798" s="157">
        <f>IF($E798="","",IF(OR($E798="Coal",$E798="Dirty Coal"),"Coal","OB"))</f>
        <v/>
      </c>
      <c r="O798" s="157">
        <f>IF($F798="","",IF(COUNTIF(MASTER_JAM!$A$5:$A$94,$C798)=0,"Digger tidak dikenal",IF($J798="","Hauler tidak dikenal",IF($H798="?","Jam salah",IF($K798=0,"Faktor kosong",IF(SUMIFS(INPUT_DELAY!$E$5:$E$20000,INPUT_DELAY!$A$5:$A$20000,$A798,INPUT_DELAY!$B$5:$B$20000,$B798,INPUT_DELAY!$C$5:$C$20000,$C798)+SUMIFS(INPUT_DELAY!$E$5:$E$20000,INPUT_DELAY!$A$5:$A$20000,$A798,INPUT_DELAY!$B$5:$B$20000,$B798,INPUT_DELAY!$C$5:$C$20000,"SEMUA")&gt;=60,"Delay 60 mnt tapi ada ritase","OK"))))))</f>
        <v/>
      </c>
      <c r="P798" s="158">
        <f>IFERROR(INDEX(MASTER_JAM!$Z$5:$AC$10,MATCH($I798,MASTER_JAM!$Y$5:$Y$10,0),MATCH($J798,MASTER_JAM!$Z$4:$AC$4,0))+0,0)</f>
        <v/>
      </c>
      <c r="Q798" s="158">
        <f>IF($P798=0,0,$P798+IFERROR(INDEX(MASTER_JAM!$H$5:$H$94,MATCH($C798,MASTER_JAM!$A$5:$A$94,0))+0,MASTER_JAM!$AC$15)/1000*(60/MASTER_JAM!$AC$12+60/MASTER_JAM!$AC$13)+MASTER_JAM!$AC$14)</f>
        <v/>
      </c>
      <c r="R798" s="158">
        <f>IF(N($F798)=0,0,$F798/SUMIFS(INPUT_RITASE!$F$5:$F$20000,INPUT_RITASE!$A$5:$A$20000,$A798,INPUT_RITASE!$B$5:$B$20000,$B798,INPUT_RITASE!$C$5:$C$20000,$C798,INPUT_RITASE!$D$5:$D$20000,$D798))</f>
        <v/>
      </c>
      <c r="S798" s="158">
        <f>IF($Q798=0,0,$R798*$P798/$Q798)</f>
        <v/>
      </c>
    </row>
    <row r="799">
      <c r="A799" s="155" t="n">
        <v>46106</v>
      </c>
      <c r="B799" s="156" t="inlineStr">
        <is>
          <t>19-20</t>
        </is>
      </c>
      <c r="C799" s="156" t="inlineStr">
        <is>
          <t>EX-754</t>
        </is>
      </c>
      <c r="D799" s="156" t="inlineStr">
        <is>
          <t>DT-529</t>
        </is>
      </c>
      <c r="E799" s="156" t="inlineStr">
        <is>
          <t>OB</t>
        </is>
      </c>
      <c r="F799" s="156" t="n">
        <v>4</v>
      </c>
      <c r="G799" s="156" t="inlineStr"/>
      <c r="H799" s="157">
        <f>IF($B799="","",IF(ISNA(MATCH($B799,MASTER_JAM!$Q$5:$Q$28,0)),"?",IF(MATCH($B799,MASTER_JAM!$Q$5:$Q$28,0)&lt;=12,"DS","NS")))</f>
        <v/>
      </c>
      <c r="I799" s="157">
        <f>IFERROR(INDEX(MASTER_JAM!$B$5:$B$94,MATCH($C799,MASTER_JAM!$A$5:$A$94,0)),"")</f>
        <v/>
      </c>
      <c r="J799" s="157">
        <f>IFERROR(INDEX(MASTER_JAM!$E$5:$E$94,MATCH($D799,MASTER_JAM!$A$5:$A$94,0)),"")</f>
        <v/>
      </c>
      <c r="K799" s="158">
        <f>IFERROR(INDEX(MASTER_JAM!$J$5:$O$12,MATCH($E799,MASTER_JAM!$I$5:$I$12,0),MATCH($J799,MASTER_JAM!$J$4:$O$4,0))+0,0)</f>
        <v/>
      </c>
      <c r="L799" s="159">
        <f>N($F799)*$K799</f>
        <v/>
      </c>
      <c r="M799" s="157">
        <f>IF($E799="","",IF(OR($E799="Coal",$E799="Dirty Coal"),"MT","BCM"))</f>
        <v/>
      </c>
      <c r="N799" s="157">
        <f>IF($E799="","",IF(OR($E799="Coal",$E799="Dirty Coal"),"Coal","OB"))</f>
        <v/>
      </c>
      <c r="O799" s="157">
        <f>IF($F799="","",IF(COUNTIF(MASTER_JAM!$A$5:$A$94,$C799)=0,"Digger tidak dikenal",IF($J799="","Hauler tidak dikenal",IF($H799="?","Jam salah",IF($K799=0,"Faktor kosong",IF(SUMIFS(INPUT_DELAY!$E$5:$E$20000,INPUT_DELAY!$A$5:$A$20000,$A799,INPUT_DELAY!$B$5:$B$20000,$B799,INPUT_DELAY!$C$5:$C$20000,$C799)+SUMIFS(INPUT_DELAY!$E$5:$E$20000,INPUT_DELAY!$A$5:$A$20000,$A799,INPUT_DELAY!$B$5:$B$20000,$B799,INPUT_DELAY!$C$5:$C$20000,"SEMUA")&gt;=60,"Delay 60 mnt tapi ada ritase","OK"))))))</f>
        <v/>
      </c>
      <c r="P799" s="158">
        <f>IFERROR(INDEX(MASTER_JAM!$Z$5:$AC$10,MATCH($I799,MASTER_JAM!$Y$5:$Y$10,0),MATCH($J799,MASTER_JAM!$Z$4:$AC$4,0))+0,0)</f>
        <v/>
      </c>
      <c r="Q799" s="158">
        <f>IF($P799=0,0,$P799+IFERROR(INDEX(MASTER_JAM!$H$5:$H$94,MATCH($C799,MASTER_JAM!$A$5:$A$94,0))+0,MASTER_JAM!$AC$15)/1000*(60/MASTER_JAM!$AC$12+60/MASTER_JAM!$AC$13)+MASTER_JAM!$AC$14)</f>
        <v/>
      </c>
      <c r="R799" s="158">
        <f>IF(N($F799)=0,0,$F799/SUMIFS(INPUT_RITASE!$F$5:$F$20000,INPUT_RITASE!$A$5:$A$20000,$A799,INPUT_RITASE!$B$5:$B$20000,$B799,INPUT_RITASE!$C$5:$C$20000,$C799,INPUT_RITASE!$D$5:$D$20000,$D799))</f>
        <v/>
      </c>
      <c r="S799" s="158">
        <f>IF($Q799=0,0,$R799*$P799/$Q799)</f>
        <v/>
      </c>
    </row>
    <row r="800">
      <c r="A800" s="155" t="n">
        <v>46106</v>
      </c>
      <c r="B800" s="156" t="inlineStr">
        <is>
          <t>19-20</t>
        </is>
      </c>
      <c r="C800" s="156" t="inlineStr">
        <is>
          <t>EX-754</t>
        </is>
      </c>
      <c r="D800" s="156" t="inlineStr">
        <is>
          <t>DT-504</t>
        </is>
      </c>
      <c r="E800" s="156" t="inlineStr">
        <is>
          <t>OB</t>
        </is>
      </c>
      <c r="F800" s="156" t="n">
        <v>3</v>
      </c>
      <c r="G800" s="156" t="inlineStr"/>
      <c r="H800" s="157">
        <f>IF($B800="","",IF(ISNA(MATCH($B800,MASTER_JAM!$Q$5:$Q$28,0)),"?",IF(MATCH($B800,MASTER_JAM!$Q$5:$Q$28,0)&lt;=12,"DS","NS")))</f>
        <v/>
      </c>
      <c r="I800" s="157">
        <f>IFERROR(INDEX(MASTER_JAM!$B$5:$B$94,MATCH($C800,MASTER_JAM!$A$5:$A$94,0)),"")</f>
        <v/>
      </c>
      <c r="J800" s="157">
        <f>IFERROR(INDEX(MASTER_JAM!$E$5:$E$94,MATCH($D800,MASTER_JAM!$A$5:$A$94,0)),"")</f>
        <v/>
      </c>
      <c r="K800" s="158">
        <f>IFERROR(INDEX(MASTER_JAM!$J$5:$O$12,MATCH($E800,MASTER_JAM!$I$5:$I$12,0),MATCH($J800,MASTER_JAM!$J$4:$O$4,0))+0,0)</f>
        <v/>
      </c>
      <c r="L800" s="159">
        <f>N($F800)*$K800</f>
        <v/>
      </c>
      <c r="M800" s="157">
        <f>IF($E800="","",IF(OR($E800="Coal",$E800="Dirty Coal"),"MT","BCM"))</f>
        <v/>
      </c>
      <c r="N800" s="157">
        <f>IF($E800="","",IF(OR($E800="Coal",$E800="Dirty Coal"),"Coal","OB"))</f>
        <v/>
      </c>
      <c r="O800" s="157">
        <f>IF($F800="","",IF(COUNTIF(MASTER_JAM!$A$5:$A$94,$C800)=0,"Digger tidak dikenal",IF($J800="","Hauler tidak dikenal",IF($H800="?","Jam salah",IF($K800=0,"Faktor kosong",IF(SUMIFS(INPUT_DELAY!$E$5:$E$20000,INPUT_DELAY!$A$5:$A$20000,$A800,INPUT_DELAY!$B$5:$B$20000,$B800,INPUT_DELAY!$C$5:$C$20000,$C800)+SUMIFS(INPUT_DELAY!$E$5:$E$20000,INPUT_DELAY!$A$5:$A$20000,$A800,INPUT_DELAY!$B$5:$B$20000,$B800,INPUT_DELAY!$C$5:$C$20000,"SEMUA")&gt;=60,"Delay 60 mnt tapi ada ritase","OK"))))))</f>
        <v/>
      </c>
      <c r="P800" s="158">
        <f>IFERROR(INDEX(MASTER_JAM!$Z$5:$AC$10,MATCH($I800,MASTER_JAM!$Y$5:$Y$10,0),MATCH($J800,MASTER_JAM!$Z$4:$AC$4,0))+0,0)</f>
        <v/>
      </c>
      <c r="Q800" s="158">
        <f>IF($P800=0,0,$P800+IFERROR(INDEX(MASTER_JAM!$H$5:$H$94,MATCH($C800,MASTER_JAM!$A$5:$A$94,0))+0,MASTER_JAM!$AC$15)/1000*(60/MASTER_JAM!$AC$12+60/MASTER_JAM!$AC$13)+MASTER_JAM!$AC$14)</f>
        <v/>
      </c>
      <c r="R800" s="158">
        <f>IF(N($F800)=0,0,$F800/SUMIFS(INPUT_RITASE!$F$5:$F$20000,INPUT_RITASE!$A$5:$A$20000,$A800,INPUT_RITASE!$B$5:$B$20000,$B800,INPUT_RITASE!$C$5:$C$20000,$C800,INPUT_RITASE!$D$5:$D$20000,$D800))</f>
        <v/>
      </c>
      <c r="S800" s="158">
        <f>IF($Q800=0,0,$R800*$P800/$Q800)</f>
        <v/>
      </c>
    </row>
    <row r="801">
      <c r="A801" s="155" t="n">
        <v>46106</v>
      </c>
      <c r="B801" s="156" t="inlineStr">
        <is>
          <t>19-20</t>
        </is>
      </c>
      <c r="C801" s="156" t="inlineStr">
        <is>
          <t>EX-754</t>
        </is>
      </c>
      <c r="D801" s="156" t="inlineStr">
        <is>
          <t>DT-517</t>
        </is>
      </c>
      <c r="E801" s="156" t="inlineStr">
        <is>
          <t>OB</t>
        </is>
      </c>
      <c r="F801" s="156" t="n">
        <v>3</v>
      </c>
      <c r="G801" s="156" t="inlineStr"/>
      <c r="H801" s="157">
        <f>IF($B801="","",IF(ISNA(MATCH($B801,MASTER_JAM!$Q$5:$Q$28,0)),"?",IF(MATCH($B801,MASTER_JAM!$Q$5:$Q$28,0)&lt;=12,"DS","NS")))</f>
        <v/>
      </c>
      <c r="I801" s="157">
        <f>IFERROR(INDEX(MASTER_JAM!$B$5:$B$94,MATCH($C801,MASTER_JAM!$A$5:$A$94,0)),"")</f>
        <v/>
      </c>
      <c r="J801" s="157">
        <f>IFERROR(INDEX(MASTER_JAM!$E$5:$E$94,MATCH($D801,MASTER_JAM!$A$5:$A$94,0)),"")</f>
        <v/>
      </c>
      <c r="K801" s="158">
        <f>IFERROR(INDEX(MASTER_JAM!$J$5:$O$12,MATCH($E801,MASTER_JAM!$I$5:$I$12,0),MATCH($J801,MASTER_JAM!$J$4:$O$4,0))+0,0)</f>
        <v/>
      </c>
      <c r="L801" s="159">
        <f>N($F801)*$K801</f>
        <v/>
      </c>
      <c r="M801" s="157">
        <f>IF($E801="","",IF(OR($E801="Coal",$E801="Dirty Coal"),"MT","BCM"))</f>
        <v/>
      </c>
      <c r="N801" s="157">
        <f>IF($E801="","",IF(OR($E801="Coal",$E801="Dirty Coal"),"Coal","OB"))</f>
        <v/>
      </c>
      <c r="O801" s="157">
        <f>IF($F801="","",IF(COUNTIF(MASTER_JAM!$A$5:$A$94,$C801)=0,"Digger tidak dikenal",IF($J801="","Hauler tidak dikenal",IF($H801="?","Jam salah",IF($K801=0,"Faktor kosong",IF(SUMIFS(INPUT_DELAY!$E$5:$E$20000,INPUT_DELAY!$A$5:$A$20000,$A801,INPUT_DELAY!$B$5:$B$20000,$B801,INPUT_DELAY!$C$5:$C$20000,$C801)+SUMIFS(INPUT_DELAY!$E$5:$E$20000,INPUT_DELAY!$A$5:$A$20000,$A801,INPUT_DELAY!$B$5:$B$20000,$B801,INPUT_DELAY!$C$5:$C$20000,"SEMUA")&gt;=60,"Delay 60 mnt tapi ada ritase","OK"))))))</f>
        <v/>
      </c>
      <c r="P801" s="158">
        <f>IFERROR(INDEX(MASTER_JAM!$Z$5:$AC$10,MATCH($I801,MASTER_JAM!$Y$5:$Y$10,0),MATCH($J801,MASTER_JAM!$Z$4:$AC$4,0))+0,0)</f>
        <v/>
      </c>
      <c r="Q801" s="158">
        <f>IF($P801=0,0,$P801+IFERROR(INDEX(MASTER_JAM!$H$5:$H$94,MATCH($C801,MASTER_JAM!$A$5:$A$94,0))+0,MASTER_JAM!$AC$15)/1000*(60/MASTER_JAM!$AC$12+60/MASTER_JAM!$AC$13)+MASTER_JAM!$AC$14)</f>
        <v/>
      </c>
      <c r="R801" s="158">
        <f>IF(N($F801)=0,0,$F801/SUMIFS(INPUT_RITASE!$F$5:$F$20000,INPUT_RITASE!$A$5:$A$20000,$A801,INPUT_RITASE!$B$5:$B$20000,$B801,INPUT_RITASE!$C$5:$C$20000,$C801,INPUT_RITASE!$D$5:$D$20000,$D801))</f>
        <v/>
      </c>
      <c r="S801" s="158">
        <f>IF($Q801=0,0,$R801*$P801/$Q801)</f>
        <v/>
      </c>
    </row>
    <row r="802">
      <c r="A802" s="155" t="n">
        <v>46106</v>
      </c>
      <c r="B802" s="156" t="inlineStr">
        <is>
          <t>21-22</t>
        </is>
      </c>
      <c r="C802" s="156" t="inlineStr">
        <is>
          <t>EX-754</t>
        </is>
      </c>
      <c r="D802" s="156" t="inlineStr">
        <is>
          <t>DT-503</t>
        </is>
      </c>
      <c r="E802" s="156" t="inlineStr">
        <is>
          <t>OB</t>
        </is>
      </c>
      <c r="F802" s="156" t="n">
        <v>4</v>
      </c>
      <c r="G802" s="156" t="inlineStr"/>
      <c r="H802" s="157">
        <f>IF($B802="","",IF(ISNA(MATCH($B802,MASTER_JAM!$Q$5:$Q$28,0)),"?",IF(MATCH($B802,MASTER_JAM!$Q$5:$Q$28,0)&lt;=12,"DS","NS")))</f>
        <v/>
      </c>
      <c r="I802" s="157">
        <f>IFERROR(INDEX(MASTER_JAM!$B$5:$B$94,MATCH($C802,MASTER_JAM!$A$5:$A$94,0)),"")</f>
        <v/>
      </c>
      <c r="J802" s="157">
        <f>IFERROR(INDEX(MASTER_JAM!$E$5:$E$94,MATCH($D802,MASTER_JAM!$A$5:$A$94,0)),"")</f>
        <v/>
      </c>
      <c r="K802" s="158">
        <f>IFERROR(INDEX(MASTER_JAM!$J$5:$O$12,MATCH($E802,MASTER_JAM!$I$5:$I$12,0),MATCH($J802,MASTER_JAM!$J$4:$O$4,0))+0,0)</f>
        <v/>
      </c>
      <c r="L802" s="159">
        <f>N($F802)*$K802</f>
        <v/>
      </c>
      <c r="M802" s="157">
        <f>IF($E802="","",IF(OR($E802="Coal",$E802="Dirty Coal"),"MT","BCM"))</f>
        <v/>
      </c>
      <c r="N802" s="157">
        <f>IF($E802="","",IF(OR($E802="Coal",$E802="Dirty Coal"),"Coal","OB"))</f>
        <v/>
      </c>
      <c r="O802" s="157">
        <f>IF($F802="","",IF(COUNTIF(MASTER_JAM!$A$5:$A$94,$C802)=0,"Digger tidak dikenal",IF($J802="","Hauler tidak dikenal",IF($H802="?","Jam salah",IF($K802=0,"Faktor kosong",IF(SUMIFS(INPUT_DELAY!$E$5:$E$20000,INPUT_DELAY!$A$5:$A$20000,$A802,INPUT_DELAY!$B$5:$B$20000,$B802,INPUT_DELAY!$C$5:$C$20000,$C802)+SUMIFS(INPUT_DELAY!$E$5:$E$20000,INPUT_DELAY!$A$5:$A$20000,$A802,INPUT_DELAY!$B$5:$B$20000,$B802,INPUT_DELAY!$C$5:$C$20000,"SEMUA")&gt;=60,"Delay 60 mnt tapi ada ritase","OK"))))))</f>
        <v/>
      </c>
      <c r="P802" s="158">
        <f>IFERROR(INDEX(MASTER_JAM!$Z$5:$AC$10,MATCH($I802,MASTER_JAM!$Y$5:$Y$10,0),MATCH($J802,MASTER_JAM!$Z$4:$AC$4,0))+0,0)</f>
        <v/>
      </c>
      <c r="Q802" s="158">
        <f>IF($P802=0,0,$P802+IFERROR(INDEX(MASTER_JAM!$H$5:$H$94,MATCH($C802,MASTER_JAM!$A$5:$A$94,0))+0,MASTER_JAM!$AC$15)/1000*(60/MASTER_JAM!$AC$12+60/MASTER_JAM!$AC$13)+MASTER_JAM!$AC$14)</f>
        <v/>
      </c>
      <c r="R802" s="158">
        <f>IF(N($F802)=0,0,$F802/SUMIFS(INPUT_RITASE!$F$5:$F$20000,INPUT_RITASE!$A$5:$A$20000,$A802,INPUT_RITASE!$B$5:$B$20000,$B802,INPUT_RITASE!$C$5:$C$20000,$C802,INPUT_RITASE!$D$5:$D$20000,$D802))</f>
        <v/>
      </c>
      <c r="S802" s="158">
        <f>IF($Q802=0,0,$R802*$P802/$Q802)</f>
        <v/>
      </c>
    </row>
    <row r="803">
      <c r="A803" s="155" t="n">
        <v>46106</v>
      </c>
      <c r="B803" s="156" t="inlineStr">
        <is>
          <t>21-22</t>
        </is>
      </c>
      <c r="C803" s="156" t="inlineStr">
        <is>
          <t>EX-754</t>
        </is>
      </c>
      <c r="D803" s="156" t="inlineStr">
        <is>
          <t>DT-508</t>
        </is>
      </c>
      <c r="E803" s="156" t="inlineStr">
        <is>
          <t>OB</t>
        </is>
      </c>
      <c r="F803" s="156" t="n">
        <v>4</v>
      </c>
      <c r="G803" s="156" t="inlineStr"/>
      <c r="H803" s="157">
        <f>IF($B803="","",IF(ISNA(MATCH($B803,MASTER_JAM!$Q$5:$Q$28,0)),"?",IF(MATCH($B803,MASTER_JAM!$Q$5:$Q$28,0)&lt;=12,"DS","NS")))</f>
        <v/>
      </c>
      <c r="I803" s="157">
        <f>IFERROR(INDEX(MASTER_JAM!$B$5:$B$94,MATCH($C803,MASTER_JAM!$A$5:$A$94,0)),"")</f>
        <v/>
      </c>
      <c r="J803" s="157">
        <f>IFERROR(INDEX(MASTER_JAM!$E$5:$E$94,MATCH($D803,MASTER_JAM!$A$5:$A$94,0)),"")</f>
        <v/>
      </c>
      <c r="K803" s="158">
        <f>IFERROR(INDEX(MASTER_JAM!$J$5:$O$12,MATCH($E803,MASTER_JAM!$I$5:$I$12,0),MATCH($J803,MASTER_JAM!$J$4:$O$4,0))+0,0)</f>
        <v/>
      </c>
      <c r="L803" s="159">
        <f>N($F803)*$K803</f>
        <v/>
      </c>
      <c r="M803" s="157">
        <f>IF($E803="","",IF(OR($E803="Coal",$E803="Dirty Coal"),"MT","BCM"))</f>
        <v/>
      </c>
      <c r="N803" s="157">
        <f>IF($E803="","",IF(OR($E803="Coal",$E803="Dirty Coal"),"Coal","OB"))</f>
        <v/>
      </c>
      <c r="O803" s="157">
        <f>IF($F803="","",IF(COUNTIF(MASTER_JAM!$A$5:$A$94,$C803)=0,"Digger tidak dikenal",IF($J803="","Hauler tidak dikenal",IF($H803="?","Jam salah",IF($K803=0,"Faktor kosong",IF(SUMIFS(INPUT_DELAY!$E$5:$E$20000,INPUT_DELAY!$A$5:$A$20000,$A803,INPUT_DELAY!$B$5:$B$20000,$B803,INPUT_DELAY!$C$5:$C$20000,$C803)+SUMIFS(INPUT_DELAY!$E$5:$E$20000,INPUT_DELAY!$A$5:$A$20000,$A803,INPUT_DELAY!$B$5:$B$20000,$B803,INPUT_DELAY!$C$5:$C$20000,"SEMUA")&gt;=60,"Delay 60 mnt tapi ada ritase","OK"))))))</f>
        <v/>
      </c>
      <c r="P803" s="158">
        <f>IFERROR(INDEX(MASTER_JAM!$Z$5:$AC$10,MATCH($I803,MASTER_JAM!$Y$5:$Y$10,0),MATCH($J803,MASTER_JAM!$Z$4:$AC$4,0))+0,0)</f>
        <v/>
      </c>
      <c r="Q803" s="158">
        <f>IF($P803=0,0,$P803+IFERROR(INDEX(MASTER_JAM!$H$5:$H$94,MATCH($C803,MASTER_JAM!$A$5:$A$94,0))+0,MASTER_JAM!$AC$15)/1000*(60/MASTER_JAM!$AC$12+60/MASTER_JAM!$AC$13)+MASTER_JAM!$AC$14)</f>
        <v/>
      </c>
      <c r="R803" s="158">
        <f>IF(N($F803)=0,0,$F803/SUMIFS(INPUT_RITASE!$F$5:$F$20000,INPUT_RITASE!$A$5:$A$20000,$A803,INPUT_RITASE!$B$5:$B$20000,$B803,INPUT_RITASE!$C$5:$C$20000,$C803,INPUT_RITASE!$D$5:$D$20000,$D803))</f>
        <v/>
      </c>
      <c r="S803" s="158">
        <f>IF($Q803=0,0,$R803*$P803/$Q803)</f>
        <v/>
      </c>
    </row>
    <row r="804">
      <c r="A804" s="155" t="n">
        <v>46106</v>
      </c>
      <c r="B804" s="156" t="inlineStr">
        <is>
          <t>22-23</t>
        </is>
      </c>
      <c r="C804" s="156" t="inlineStr">
        <is>
          <t>EX-754</t>
        </is>
      </c>
      <c r="D804" s="156" t="inlineStr">
        <is>
          <t>DT-517</t>
        </is>
      </c>
      <c r="E804" s="156" t="inlineStr">
        <is>
          <t>OB</t>
        </is>
      </c>
      <c r="F804" s="156" t="n">
        <v>4</v>
      </c>
      <c r="G804" s="156" t="inlineStr"/>
      <c r="H804" s="157">
        <f>IF($B804="","",IF(ISNA(MATCH($B804,MASTER_JAM!$Q$5:$Q$28,0)),"?",IF(MATCH($B804,MASTER_JAM!$Q$5:$Q$28,0)&lt;=12,"DS","NS")))</f>
        <v/>
      </c>
      <c r="I804" s="157">
        <f>IFERROR(INDEX(MASTER_JAM!$B$5:$B$94,MATCH($C804,MASTER_JAM!$A$5:$A$94,0)),"")</f>
        <v/>
      </c>
      <c r="J804" s="157">
        <f>IFERROR(INDEX(MASTER_JAM!$E$5:$E$94,MATCH($D804,MASTER_JAM!$A$5:$A$94,0)),"")</f>
        <v/>
      </c>
      <c r="K804" s="158">
        <f>IFERROR(INDEX(MASTER_JAM!$J$5:$O$12,MATCH($E804,MASTER_JAM!$I$5:$I$12,0),MATCH($J804,MASTER_JAM!$J$4:$O$4,0))+0,0)</f>
        <v/>
      </c>
      <c r="L804" s="159">
        <f>N($F804)*$K804</f>
        <v/>
      </c>
      <c r="M804" s="157">
        <f>IF($E804="","",IF(OR($E804="Coal",$E804="Dirty Coal"),"MT","BCM"))</f>
        <v/>
      </c>
      <c r="N804" s="157">
        <f>IF($E804="","",IF(OR($E804="Coal",$E804="Dirty Coal"),"Coal","OB"))</f>
        <v/>
      </c>
      <c r="O804" s="157">
        <f>IF($F804="","",IF(COUNTIF(MASTER_JAM!$A$5:$A$94,$C804)=0,"Digger tidak dikenal",IF($J804="","Hauler tidak dikenal",IF($H804="?","Jam salah",IF($K804=0,"Faktor kosong",IF(SUMIFS(INPUT_DELAY!$E$5:$E$20000,INPUT_DELAY!$A$5:$A$20000,$A804,INPUT_DELAY!$B$5:$B$20000,$B804,INPUT_DELAY!$C$5:$C$20000,$C804)+SUMIFS(INPUT_DELAY!$E$5:$E$20000,INPUT_DELAY!$A$5:$A$20000,$A804,INPUT_DELAY!$B$5:$B$20000,$B804,INPUT_DELAY!$C$5:$C$20000,"SEMUA")&gt;=60,"Delay 60 mnt tapi ada ritase","OK"))))))</f>
        <v/>
      </c>
      <c r="P804" s="158">
        <f>IFERROR(INDEX(MASTER_JAM!$Z$5:$AC$10,MATCH($I804,MASTER_JAM!$Y$5:$Y$10,0),MATCH($J804,MASTER_JAM!$Z$4:$AC$4,0))+0,0)</f>
        <v/>
      </c>
      <c r="Q804" s="158">
        <f>IF($P804=0,0,$P804+IFERROR(INDEX(MASTER_JAM!$H$5:$H$94,MATCH($C804,MASTER_JAM!$A$5:$A$94,0))+0,MASTER_JAM!$AC$15)/1000*(60/MASTER_JAM!$AC$12+60/MASTER_JAM!$AC$13)+MASTER_JAM!$AC$14)</f>
        <v/>
      </c>
      <c r="R804" s="158">
        <f>IF(N($F804)=0,0,$F804/SUMIFS(INPUT_RITASE!$F$5:$F$20000,INPUT_RITASE!$A$5:$A$20000,$A804,INPUT_RITASE!$B$5:$B$20000,$B804,INPUT_RITASE!$C$5:$C$20000,$C804,INPUT_RITASE!$D$5:$D$20000,$D804))</f>
        <v/>
      </c>
      <c r="S804" s="158">
        <f>IF($Q804=0,0,$R804*$P804/$Q804)</f>
        <v/>
      </c>
    </row>
    <row r="805">
      <c r="A805" s="155" t="n">
        <v>46106</v>
      </c>
      <c r="B805" s="156" t="inlineStr">
        <is>
          <t>22-23</t>
        </is>
      </c>
      <c r="C805" s="156" t="inlineStr">
        <is>
          <t>EX-754</t>
        </is>
      </c>
      <c r="D805" s="156" t="inlineStr">
        <is>
          <t>DT-518</t>
        </is>
      </c>
      <c r="E805" s="156" t="inlineStr">
        <is>
          <t>OB</t>
        </is>
      </c>
      <c r="F805" s="156" t="n">
        <v>4</v>
      </c>
      <c r="G805" s="156" t="inlineStr"/>
      <c r="H805" s="157">
        <f>IF($B805="","",IF(ISNA(MATCH($B805,MASTER_JAM!$Q$5:$Q$28,0)),"?",IF(MATCH($B805,MASTER_JAM!$Q$5:$Q$28,0)&lt;=12,"DS","NS")))</f>
        <v/>
      </c>
      <c r="I805" s="157">
        <f>IFERROR(INDEX(MASTER_JAM!$B$5:$B$94,MATCH($C805,MASTER_JAM!$A$5:$A$94,0)),"")</f>
        <v/>
      </c>
      <c r="J805" s="157">
        <f>IFERROR(INDEX(MASTER_JAM!$E$5:$E$94,MATCH($D805,MASTER_JAM!$A$5:$A$94,0)),"")</f>
        <v/>
      </c>
      <c r="K805" s="158">
        <f>IFERROR(INDEX(MASTER_JAM!$J$5:$O$12,MATCH($E805,MASTER_JAM!$I$5:$I$12,0),MATCH($J805,MASTER_JAM!$J$4:$O$4,0))+0,0)</f>
        <v/>
      </c>
      <c r="L805" s="159">
        <f>N($F805)*$K805</f>
        <v/>
      </c>
      <c r="M805" s="157">
        <f>IF($E805="","",IF(OR($E805="Coal",$E805="Dirty Coal"),"MT","BCM"))</f>
        <v/>
      </c>
      <c r="N805" s="157">
        <f>IF($E805="","",IF(OR($E805="Coal",$E805="Dirty Coal"),"Coal","OB"))</f>
        <v/>
      </c>
      <c r="O805" s="157">
        <f>IF($F805="","",IF(COUNTIF(MASTER_JAM!$A$5:$A$94,$C805)=0,"Digger tidak dikenal",IF($J805="","Hauler tidak dikenal",IF($H805="?","Jam salah",IF($K805=0,"Faktor kosong",IF(SUMIFS(INPUT_DELAY!$E$5:$E$20000,INPUT_DELAY!$A$5:$A$20000,$A805,INPUT_DELAY!$B$5:$B$20000,$B805,INPUT_DELAY!$C$5:$C$20000,$C805)+SUMIFS(INPUT_DELAY!$E$5:$E$20000,INPUT_DELAY!$A$5:$A$20000,$A805,INPUT_DELAY!$B$5:$B$20000,$B805,INPUT_DELAY!$C$5:$C$20000,"SEMUA")&gt;=60,"Delay 60 mnt tapi ada ritase","OK"))))))</f>
        <v/>
      </c>
      <c r="P805" s="158">
        <f>IFERROR(INDEX(MASTER_JAM!$Z$5:$AC$10,MATCH($I805,MASTER_JAM!$Y$5:$Y$10,0),MATCH($J805,MASTER_JAM!$Z$4:$AC$4,0))+0,0)</f>
        <v/>
      </c>
      <c r="Q805" s="158">
        <f>IF($P805=0,0,$P805+IFERROR(INDEX(MASTER_JAM!$H$5:$H$94,MATCH($C805,MASTER_JAM!$A$5:$A$94,0))+0,MASTER_JAM!$AC$15)/1000*(60/MASTER_JAM!$AC$12+60/MASTER_JAM!$AC$13)+MASTER_JAM!$AC$14)</f>
        <v/>
      </c>
      <c r="R805" s="158">
        <f>IF(N($F805)=0,0,$F805/SUMIFS(INPUT_RITASE!$F$5:$F$20000,INPUT_RITASE!$A$5:$A$20000,$A805,INPUT_RITASE!$B$5:$B$20000,$B805,INPUT_RITASE!$C$5:$C$20000,$C805,INPUT_RITASE!$D$5:$D$20000,$D805))</f>
        <v/>
      </c>
      <c r="S805" s="158">
        <f>IF($Q805=0,0,$R805*$P805/$Q805)</f>
        <v/>
      </c>
    </row>
    <row r="806">
      <c r="A806" s="155" t="n">
        <v>46106</v>
      </c>
      <c r="B806" s="156" t="inlineStr">
        <is>
          <t>22-23</t>
        </is>
      </c>
      <c r="C806" s="156" t="inlineStr">
        <is>
          <t>EX-754</t>
        </is>
      </c>
      <c r="D806" s="156" t="inlineStr">
        <is>
          <t>DT-516</t>
        </is>
      </c>
      <c r="E806" s="156" t="inlineStr">
        <is>
          <t>OB</t>
        </is>
      </c>
      <c r="F806" s="156" t="n">
        <v>4</v>
      </c>
      <c r="G806" s="156" t="inlineStr"/>
      <c r="H806" s="157">
        <f>IF($B806="","",IF(ISNA(MATCH($B806,MASTER_JAM!$Q$5:$Q$28,0)),"?",IF(MATCH($B806,MASTER_JAM!$Q$5:$Q$28,0)&lt;=12,"DS","NS")))</f>
        <v/>
      </c>
      <c r="I806" s="157">
        <f>IFERROR(INDEX(MASTER_JAM!$B$5:$B$94,MATCH($C806,MASTER_JAM!$A$5:$A$94,0)),"")</f>
        <v/>
      </c>
      <c r="J806" s="157">
        <f>IFERROR(INDEX(MASTER_JAM!$E$5:$E$94,MATCH($D806,MASTER_JAM!$A$5:$A$94,0)),"")</f>
        <v/>
      </c>
      <c r="K806" s="158">
        <f>IFERROR(INDEX(MASTER_JAM!$J$5:$O$12,MATCH($E806,MASTER_JAM!$I$5:$I$12,0),MATCH($J806,MASTER_JAM!$J$4:$O$4,0))+0,0)</f>
        <v/>
      </c>
      <c r="L806" s="159">
        <f>N($F806)*$K806</f>
        <v/>
      </c>
      <c r="M806" s="157">
        <f>IF($E806="","",IF(OR($E806="Coal",$E806="Dirty Coal"),"MT","BCM"))</f>
        <v/>
      </c>
      <c r="N806" s="157">
        <f>IF($E806="","",IF(OR($E806="Coal",$E806="Dirty Coal"),"Coal","OB"))</f>
        <v/>
      </c>
      <c r="O806" s="157">
        <f>IF($F806="","",IF(COUNTIF(MASTER_JAM!$A$5:$A$94,$C806)=0,"Digger tidak dikenal",IF($J806="","Hauler tidak dikenal",IF($H806="?","Jam salah",IF($K806=0,"Faktor kosong",IF(SUMIFS(INPUT_DELAY!$E$5:$E$20000,INPUT_DELAY!$A$5:$A$20000,$A806,INPUT_DELAY!$B$5:$B$20000,$B806,INPUT_DELAY!$C$5:$C$20000,$C806)+SUMIFS(INPUT_DELAY!$E$5:$E$20000,INPUT_DELAY!$A$5:$A$20000,$A806,INPUT_DELAY!$B$5:$B$20000,$B806,INPUT_DELAY!$C$5:$C$20000,"SEMUA")&gt;=60,"Delay 60 mnt tapi ada ritase","OK"))))))</f>
        <v/>
      </c>
      <c r="P806" s="158">
        <f>IFERROR(INDEX(MASTER_JAM!$Z$5:$AC$10,MATCH($I806,MASTER_JAM!$Y$5:$Y$10,0),MATCH($J806,MASTER_JAM!$Z$4:$AC$4,0))+0,0)</f>
        <v/>
      </c>
      <c r="Q806" s="158">
        <f>IF($P806=0,0,$P806+IFERROR(INDEX(MASTER_JAM!$H$5:$H$94,MATCH($C806,MASTER_JAM!$A$5:$A$94,0))+0,MASTER_JAM!$AC$15)/1000*(60/MASTER_JAM!$AC$12+60/MASTER_JAM!$AC$13)+MASTER_JAM!$AC$14)</f>
        <v/>
      </c>
      <c r="R806" s="158">
        <f>IF(N($F806)=0,0,$F806/SUMIFS(INPUT_RITASE!$F$5:$F$20000,INPUT_RITASE!$A$5:$A$20000,$A806,INPUT_RITASE!$B$5:$B$20000,$B806,INPUT_RITASE!$C$5:$C$20000,$C806,INPUT_RITASE!$D$5:$D$20000,$D806))</f>
        <v/>
      </c>
      <c r="S806" s="158">
        <f>IF($Q806=0,0,$R806*$P806/$Q806)</f>
        <v/>
      </c>
    </row>
    <row r="807">
      <c r="A807" s="155" t="n">
        <v>46106</v>
      </c>
      <c r="B807" s="156" t="inlineStr">
        <is>
          <t>22-23</t>
        </is>
      </c>
      <c r="C807" s="156" t="inlineStr">
        <is>
          <t>EX-754</t>
        </is>
      </c>
      <c r="D807" s="156" t="inlineStr">
        <is>
          <t>DT-508</t>
        </is>
      </c>
      <c r="E807" s="156" t="inlineStr">
        <is>
          <t>OB</t>
        </is>
      </c>
      <c r="F807" s="156" t="n">
        <v>3</v>
      </c>
      <c r="G807" s="156" t="inlineStr"/>
      <c r="H807" s="157">
        <f>IF($B807="","",IF(ISNA(MATCH($B807,MASTER_JAM!$Q$5:$Q$28,0)),"?",IF(MATCH($B807,MASTER_JAM!$Q$5:$Q$28,0)&lt;=12,"DS","NS")))</f>
        <v/>
      </c>
      <c r="I807" s="157">
        <f>IFERROR(INDEX(MASTER_JAM!$B$5:$B$94,MATCH($C807,MASTER_JAM!$A$5:$A$94,0)),"")</f>
        <v/>
      </c>
      <c r="J807" s="157">
        <f>IFERROR(INDEX(MASTER_JAM!$E$5:$E$94,MATCH($D807,MASTER_JAM!$A$5:$A$94,0)),"")</f>
        <v/>
      </c>
      <c r="K807" s="158">
        <f>IFERROR(INDEX(MASTER_JAM!$J$5:$O$12,MATCH($E807,MASTER_JAM!$I$5:$I$12,0),MATCH($J807,MASTER_JAM!$J$4:$O$4,0))+0,0)</f>
        <v/>
      </c>
      <c r="L807" s="159">
        <f>N($F807)*$K807</f>
        <v/>
      </c>
      <c r="M807" s="157">
        <f>IF($E807="","",IF(OR($E807="Coal",$E807="Dirty Coal"),"MT","BCM"))</f>
        <v/>
      </c>
      <c r="N807" s="157">
        <f>IF($E807="","",IF(OR($E807="Coal",$E807="Dirty Coal"),"Coal","OB"))</f>
        <v/>
      </c>
      <c r="O807" s="157">
        <f>IF($F807="","",IF(COUNTIF(MASTER_JAM!$A$5:$A$94,$C807)=0,"Digger tidak dikenal",IF($J807="","Hauler tidak dikenal",IF($H807="?","Jam salah",IF($K807=0,"Faktor kosong",IF(SUMIFS(INPUT_DELAY!$E$5:$E$20000,INPUT_DELAY!$A$5:$A$20000,$A807,INPUT_DELAY!$B$5:$B$20000,$B807,INPUT_DELAY!$C$5:$C$20000,$C807)+SUMIFS(INPUT_DELAY!$E$5:$E$20000,INPUT_DELAY!$A$5:$A$20000,$A807,INPUT_DELAY!$B$5:$B$20000,$B807,INPUT_DELAY!$C$5:$C$20000,"SEMUA")&gt;=60,"Delay 60 mnt tapi ada ritase","OK"))))))</f>
        <v/>
      </c>
      <c r="P807" s="158">
        <f>IFERROR(INDEX(MASTER_JAM!$Z$5:$AC$10,MATCH($I807,MASTER_JAM!$Y$5:$Y$10,0),MATCH($J807,MASTER_JAM!$Z$4:$AC$4,0))+0,0)</f>
        <v/>
      </c>
      <c r="Q807" s="158">
        <f>IF($P807=0,0,$P807+IFERROR(INDEX(MASTER_JAM!$H$5:$H$94,MATCH($C807,MASTER_JAM!$A$5:$A$94,0))+0,MASTER_JAM!$AC$15)/1000*(60/MASTER_JAM!$AC$12+60/MASTER_JAM!$AC$13)+MASTER_JAM!$AC$14)</f>
        <v/>
      </c>
      <c r="R807" s="158">
        <f>IF(N($F807)=0,0,$F807/SUMIFS(INPUT_RITASE!$F$5:$F$20000,INPUT_RITASE!$A$5:$A$20000,$A807,INPUT_RITASE!$B$5:$B$20000,$B807,INPUT_RITASE!$C$5:$C$20000,$C807,INPUT_RITASE!$D$5:$D$20000,$D807))</f>
        <v/>
      </c>
      <c r="S807" s="158">
        <f>IF($Q807=0,0,$R807*$P807/$Q807)</f>
        <v/>
      </c>
    </row>
    <row r="808">
      <c r="A808" s="155" t="n">
        <v>46106</v>
      </c>
      <c r="B808" s="156" t="inlineStr">
        <is>
          <t>04-05</t>
        </is>
      </c>
      <c r="C808" s="156" t="inlineStr">
        <is>
          <t>EX-754</t>
        </is>
      </c>
      <c r="D808" s="156" t="inlineStr">
        <is>
          <t>DT-508</t>
        </is>
      </c>
      <c r="E808" s="156" t="inlineStr">
        <is>
          <t>OB</t>
        </is>
      </c>
      <c r="F808" s="156" t="n">
        <v>4</v>
      </c>
      <c r="G808" s="156" t="inlineStr"/>
      <c r="H808" s="157">
        <f>IF($B808="","",IF(ISNA(MATCH($B808,MASTER_JAM!$Q$5:$Q$28,0)),"?",IF(MATCH($B808,MASTER_JAM!$Q$5:$Q$28,0)&lt;=12,"DS","NS")))</f>
        <v/>
      </c>
      <c r="I808" s="157">
        <f>IFERROR(INDEX(MASTER_JAM!$B$5:$B$94,MATCH($C808,MASTER_JAM!$A$5:$A$94,0)),"")</f>
        <v/>
      </c>
      <c r="J808" s="157">
        <f>IFERROR(INDEX(MASTER_JAM!$E$5:$E$94,MATCH($D808,MASTER_JAM!$A$5:$A$94,0)),"")</f>
        <v/>
      </c>
      <c r="K808" s="158">
        <f>IFERROR(INDEX(MASTER_JAM!$J$5:$O$12,MATCH($E808,MASTER_JAM!$I$5:$I$12,0),MATCH($J808,MASTER_JAM!$J$4:$O$4,0))+0,0)</f>
        <v/>
      </c>
      <c r="L808" s="159">
        <f>N($F808)*$K808</f>
        <v/>
      </c>
      <c r="M808" s="157">
        <f>IF($E808="","",IF(OR($E808="Coal",$E808="Dirty Coal"),"MT","BCM"))</f>
        <v/>
      </c>
      <c r="N808" s="157">
        <f>IF($E808="","",IF(OR($E808="Coal",$E808="Dirty Coal"),"Coal","OB"))</f>
        <v/>
      </c>
      <c r="O808" s="157">
        <f>IF($F808="","",IF(COUNTIF(MASTER_JAM!$A$5:$A$94,$C808)=0,"Digger tidak dikenal",IF($J808="","Hauler tidak dikenal",IF($H808="?","Jam salah",IF($K808=0,"Faktor kosong",IF(SUMIFS(INPUT_DELAY!$E$5:$E$20000,INPUT_DELAY!$A$5:$A$20000,$A808,INPUT_DELAY!$B$5:$B$20000,$B808,INPUT_DELAY!$C$5:$C$20000,$C808)+SUMIFS(INPUT_DELAY!$E$5:$E$20000,INPUT_DELAY!$A$5:$A$20000,$A808,INPUT_DELAY!$B$5:$B$20000,$B808,INPUT_DELAY!$C$5:$C$20000,"SEMUA")&gt;=60,"Delay 60 mnt tapi ada ritase","OK"))))))</f>
        <v/>
      </c>
      <c r="P808" s="158">
        <f>IFERROR(INDEX(MASTER_JAM!$Z$5:$AC$10,MATCH($I808,MASTER_JAM!$Y$5:$Y$10,0),MATCH($J808,MASTER_JAM!$Z$4:$AC$4,0))+0,0)</f>
        <v/>
      </c>
      <c r="Q808" s="158">
        <f>IF($P808=0,0,$P808+IFERROR(INDEX(MASTER_JAM!$H$5:$H$94,MATCH($C808,MASTER_JAM!$A$5:$A$94,0))+0,MASTER_JAM!$AC$15)/1000*(60/MASTER_JAM!$AC$12+60/MASTER_JAM!$AC$13)+MASTER_JAM!$AC$14)</f>
        <v/>
      </c>
      <c r="R808" s="158">
        <f>IF(N($F808)=0,0,$F808/SUMIFS(INPUT_RITASE!$F$5:$F$20000,INPUT_RITASE!$A$5:$A$20000,$A808,INPUT_RITASE!$B$5:$B$20000,$B808,INPUT_RITASE!$C$5:$C$20000,$C808,INPUT_RITASE!$D$5:$D$20000,$D808))</f>
        <v/>
      </c>
      <c r="S808" s="158">
        <f>IF($Q808=0,0,$R808*$P808/$Q808)</f>
        <v/>
      </c>
    </row>
    <row r="809">
      <c r="A809" s="155" t="n">
        <v>46106</v>
      </c>
      <c r="B809" s="156" t="inlineStr">
        <is>
          <t>04-05</t>
        </is>
      </c>
      <c r="C809" s="156" t="inlineStr">
        <is>
          <t>EX-754</t>
        </is>
      </c>
      <c r="D809" s="156" t="inlineStr">
        <is>
          <t>DT-529</t>
        </is>
      </c>
      <c r="E809" s="156" t="inlineStr">
        <is>
          <t>OB</t>
        </is>
      </c>
      <c r="F809" s="156" t="n">
        <v>4</v>
      </c>
      <c r="G809" s="156" t="inlineStr"/>
      <c r="H809" s="157">
        <f>IF($B809="","",IF(ISNA(MATCH($B809,MASTER_JAM!$Q$5:$Q$28,0)),"?",IF(MATCH($B809,MASTER_JAM!$Q$5:$Q$28,0)&lt;=12,"DS","NS")))</f>
        <v/>
      </c>
      <c r="I809" s="157">
        <f>IFERROR(INDEX(MASTER_JAM!$B$5:$B$94,MATCH($C809,MASTER_JAM!$A$5:$A$94,0)),"")</f>
        <v/>
      </c>
      <c r="J809" s="157">
        <f>IFERROR(INDEX(MASTER_JAM!$E$5:$E$94,MATCH($D809,MASTER_JAM!$A$5:$A$94,0)),"")</f>
        <v/>
      </c>
      <c r="K809" s="158">
        <f>IFERROR(INDEX(MASTER_JAM!$J$5:$O$12,MATCH($E809,MASTER_JAM!$I$5:$I$12,0),MATCH($J809,MASTER_JAM!$J$4:$O$4,0))+0,0)</f>
        <v/>
      </c>
      <c r="L809" s="159">
        <f>N($F809)*$K809</f>
        <v/>
      </c>
      <c r="M809" s="157">
        <f>IF($E809="","",IF(OR($E809="Coal",$E809="Dirty Coal"),"MT","BCM"))</f>
        <v/>
      </c>
      <c r="N809" s="157">
        <f>IF($E809="","",IF(OR($E809="Coal",$E809="Dirty Coal"),"Coal","OB"))</f>
        <v/>
      </c>
      <c r="O809" s="157">
        <f>IF($F809="","",IF(COUNTIF(MASTER_JAM!$A$5:$A$94,$C809)=0,"Digger tidak dikenal",IF($J809="","Hauler tidak dikenal",IF($H809="?","Jam salah",IF($K809=0,"Faktor kosong",IF(SUMIFS(INPUT_DELAY!$E$5:$E$20000,INPUT_DELAY!$A$5:$A$20000,$A809,INPUT_DELAY!$B$5:$B$20000,$B809,INPUT_DELAY!$C$5:$C$20000,$C809)+SUMIFS(INPUT_DELAY!$E$5:$E$20000,INPUT_DELAY!$A$5:$A$20000,$A809,INPUT_DELAY!$B$5:$B$20000,$B809,INPUT_DELAY!$C$5:$C$20000,"SEMUA")&gt;=60,"Delay 60 mnt tapi ada ritase","OK"))))))</f>
        <v/>
      </c>
      <c r="P809" s="158">
        <f>IFERROR(INDEX(MASTER_JAM!$Z$5:$AC$10,MATCH($I809,MASTER_JAM!$Y$5:$Y$10,0),MATCH($J809,MASTER_JAM!$Z$4:$AC$4,0))+0,0)</f>
        <v/>
      </c>
      <c r="Q809" s="158">
        <f>IF($P809=0,0,$P809+IFERROR(INDEX(MASTER_JAM!$H$5:$H$94,MATCH($C809,MASTER_JAM!$A$5:$A$94,0))+0,MASTER_JAM!$AC$15)/1000*(60/MASTER_JAM!$AC$12+60/MASTER_JAM!$AC$13)+MASTER_JAM!$AC$14)</f>
        <v/>
      </c>
      <c r="R809" s="158">
        <f>IF(N($F809)=0,0,$F809/SUMIFS(INPUT_RITASE!$F$5:$F$20000,INPUT_RITASE!$A$5:$A$20000,$A809,INPUT_RITASE!$B$5:$B$20000,$B809,INPUT_RITASE!$C$5:$C$20000,$C809,INPUT_RITASE!$D$5:$D$20000,$D809))</f>
        <v/>
      </c>
      <c r="S809" s="158">
        <f>IF($Q809=0,0,$R809*$P809/$Q809)</f>
        <v/>
      </c>
    </row>
    <row r="810">
      <c r="A810" s="155" t="n">
        <v>46106</v>
      </c>
      <c r="B810" s="156" t="inlineStr">
        <is>
          <t>04-05</t>
        </is>
      </c>
      <c r="C810" s="156" t="inlineStr">
        <is>
          <t>EX-754</t>
        </is>
      </c>
      <c r="D810" s="156" t="inlineStr">
        <is>
          <t>DT-506</t>
        </is>
      </c>
      <c r="E810" s="156" t="inlineStr">
        <is>
          <t>OB</t>
        </is>
      </c>
      <c r="F810" s="156" t="n">
        <v>4</v>
      </c>
      <c r="G810" s="156" t="inlineStr"/>
      <c r="H810" s="157">
        <f>IF($B810="","",IF(ISNA(MATCH($B810,MASTER_JAM!$Q$5:$Q$28,0)),"?",IF(MATCH($B810,MASTER_JAM!$Q$5:$Q$28,0)&lt;=12,"DS","NS")))</f>
        <v/>
      </c>
      <c r="I810" s="157">
        <f>IFERROR(INDEX(MASTER_JAM!$B$5:$B$94,MATCH($C810,MASTER_JAM!$A$5:$A$94,0)),"")</f>
        <v/>
      </c>
      <c r="J810" s="157">
        <f>IFERROR(INDEX(MASTER_JAM!$E$5:$E$94,MATCH($D810,MASTER_JAM!$A$5:$A$94,0)),"")</f>
        <v/>
      </c>
      <c r="K810" s="158">
        <f>IFERROR(INDEX(MASTER_JAM!$J$5:$O$12,MATCH($E810,MASTER_JAM!$I$5:$I$12,0),MATCH($J810,MASTER_JAM!$J$4:$O$4,0))+0,0)</f>
        <v/>
      </c>
      <c r="L810" s="159">
        <f>N($F810)*$K810</f>
        <v/>
      </c>
      <c r="M810" s="157">
        <f>IF($E810="","",IF(OR($E810="Coal",$E810="Dirty Coal"),"MT","BCM"))</f>
        <v/>
      </c>
      <c r="N810" s="157">
        <f>IF($E810="","",IF(OR($E810="Coal",$E810="Dirty Coal"),"Coal","OB"))</f>
        <v/>
      </c>
      <c r="O810" s="157">
        <f>IF($F810="","",IF(COUNTIF(MASTER_JAM!$A$5:$A$94,$C810)=0,"Digger tidak dikenal",IF($J810="","Hauler tidak dikenal",IF($H810="?","Jam salah",IF($K810=0,"Faktor kosong",IF(SUMIFS(INPUT_DELAY!$E$5:$E$20000,INPUT_DELAY!$A$5:$A$20000,$A810,INPUT_DELAY!$B$5:$B$20000,$B810,INPUT_DELAY!$C$5:$C$20000,$C810)+SUMIFS(INPUT_DELAY!$E$5:$E$20000,INPUT_DELAY!$A$5:$A$20000,$A810,INPUT_DELAY!$B$5:$B$20000,$B810,INPUT_DELAY!$C$5:$C$20000,"SEMUA")&gt;=60,"Delay 60 mnt tapi ada ritase","OK"))))))</f>
        <v/>
      </c>
      <c r="P810" s="158">
        <f>IFERROR(INDEX(MASTER_JAM!$Z$5:$AC$10,MATCH($I810,MASTER_JAM!$Y$5:$Y$10,0),MATCH($J810,MASTER_JAM!$Z$4:$AC$4,0))+0,0)</f>
        <v/>
      </c>
      <c r="Q810" s="158">
        <f>IF($P810=0,0,$P810+IFERROR(INDEX(MASTER_JAM!$H$5:$H$94,MATCH($C810,MASTER_JAM!$A$5:$A$94,0))+0,MASTER_JAM!$AC$15)/1000*(60/MASTER_JAM!$AC$12+60/MASTER_JAM!$AC$13)+MASTER_JAM!$AC$14)</f>
        <v/>
      </c>
      <c r="R810" s="158">
        <f>IF(N($F810)=0,0,$F810/SUMIFS(INPUT_RITASE!$F$5:$F$20000,INPUT_RITASE!$A$5:$A$20000,$A810,INPUT_RITASE!$B$5:$B$20000,$B810,INPUT_RITASE!$C$5:$C$20000,$C810,INPUT_RITASE!$D$5:$D$20000,$D810))</f>
        <v/>
      </c>
      <c r="S810" s="158">
        <f>IF($Q810=0,0,$R810*$P810/$Q810)</f>
        <v/>
      </c>
    </row>
    <row r="811">
      <c r="A811" s="155" t="n">
        <v>46106</v>
      </c>
      <c r="B811" s="156" t="inlineStr">
        <is>
          <t>04-05</t>
        </is>
      </c>
      <c r="C811" s="156" t="inlineStr">
        <is>
          <t>EX-754</t>
        </is>
      </c>
      <c r="D811" s="156" t="inlineStr">
        <is>
          <t>DT-517</t>
        </is>
      </c>
      <c r="E811" s="156" t="inlineStr">
        <is>
          <t>OB</t>
        </is>
      </c>
      <c r="F811" s="156" t="n">
        <v>4</v>
      </c>
      <c r="G811" s="156" t="inlineStr"/>
      <c r="H811" s="157">
        <f>IF($B811="","",IF(ISNA(MATCH($B811,MASTER_JAM!$Q$5:$Q$28,0)),"?",IF(MATCH($B811,MASTER_JAM!$Q$5:$Q$28,0)&lt;=12,"DS","NS")))</f>
        <v/>
      </c>
      <c r="I811" s="157">
        <f>IFERROR(INDEX(MASTER_JAM!$B$5:$B$94,MATCH($C811,MASTER_JAM!$A$5:$A$94,0)),"")</f>
        <v/>
      </c>
      <c r="J811" s="157">
        <f>IFERROR(INDEX(MASTER_JAM!$E$5:$E$94,MATCH($D811,MASTER_JAM!$A$5:$A$94,0)),"")</f>
        <v/>
      </c>
      <c r="K811" s="158">
        <f>IFERROR(INDEX(MASTER_JAM!$J$5:$O$12,MATCH($E811,MASTER_JAM!$I$5:$I$12,0),MATCH($J811,MASTER_JAM!$J$4:$O$4,0))+0,0)</f>
        <v/>
      </c>
      <c r="L811" s="159">
        <f>N($F811)*$K811</f>
        <v/>
      </c>
      <c r="M811" s="157">
        <f>IF($E811="","",IF(OR($E811="Coal",$E811="Dirty Coal"),"MT","BCM"))</f>
        <v/>
      </c>
      <c r="N811" s="157">
        <f>IF($E811="","",IF(OR($E811="Coal",$E811="Dirty Coal"),"Coal","OB"))</f>
        <v/>
      </c>
      <c r="O811" s="157">
        <f>IF($F811="","",IF(COUNTIF(MASTER_JAM!$A$5:$A$94,$C811)=0,"Digger tidak dikenal",IF($J811="","Hauler tidak dikenal",IF($H811="?","Jam salah",IF($K811=0,"Faktor kosong",IF(SUMIFS(INPUT_DELAY!$E$5:$E$20000,INPUT_DELAY!$A$5:$A$20000,$A811,INPUT_DELAY!$B$5:$B$20000,$B811,INPUT_DELAY!$C$5:$C$20000,$C811)+SUMIFS(INPUT_DELAY!$E$5:$E$20000,INPUT_DELAY!$A$5:$A$20000,$A811,INPUT_DELAY!$B$5:$B$20000,$B811,INPUT_DELAY!$C$5:$C$20000,"SEMUA")&gt;=60,"Delay 60 mnt tapi ada ritase","OK"))))))</f>
        <v/>
      </c>
      <c r="P811" s="158">
        <f>IFERROR(INDEX(MASTER_JAM!$Z$5:$AC$10,MATCH($I811,MASTER_JAM!$Y$5:$Y$10,0),MATCH($J811,MASTER_JAM!$Z$4:$AC$4,0))+0,0)</f>
        <v/>
      </c>
      <c r="Q811" s="158">
        <f>IF($P811=0,0,$P811+IFERROR(INDEX(MASTER_JAM!$H$5:$H$94,MATCH($C811,MASTER_JAM!$A$5:$A$94,0))+0,MASTER_JAM!$AC$15)/1000*(60/MASTER_JAM!$AC$12+60/MASTER_JAM!$AC$13)+MASTER_JAM!$AC$14)</f>
        <v/>
      </c>
      <c r="R811" s="158">
        <f>IF(N($F811)=0,0,$F811/SUMIFS(INPUT_RITASE!$F$5:$F$20000,INPUT_RITASE!$A$5:$A$20000,$A811,INPUT_RITASE!$B$5:$B$20000,$B811,INPUT_RITASE!$C$5:$C$20000,$C811,INPUT_RITASE!$D$5:$D$20000,$D811))</f>
        <v/>
      </c>
      <c r="S811" s="158">
        <f>IF($Q811=0,0,$R811*$P811/$Q811)</f>
        <v/>
      </c>
    </row>
    <row r="812">
      <c r="A812" s="155" t="n">
        <v>46106</v>
      </c>
      <c r="B812" s="156" t="inlineStr">
        <is>
          <t>05-06</t>
        </is>
      </c>
      <c r="C812" s="156" t="inlineStr">
        <is>
          <t>EX-754</t>
        </is>
      </c>
      <c r="D812" s="156" t="inlineStr">
        <is>
          <t>DT-517</t>
        </is>
      </c>
      <c r="E812" s="156" t="inlineStr">
        <is>
          <t>OB</t>
        </is>
      </c>
      <c r="F812" s="156" t="n">
        <v>3</v>
      </c>
      <c r="G812" s="156" t="inlineStr"/>
      <c r="H812" s="157">
        <f>IF($B812="","",IF(ISNA(MATCH($B812,MASTER_JAM!$Q$5:$Q$28,0)),"?",IF(MATCH($B812,MASTER_JAM!$Q$5:$Q$28,0)&lt;=12,"DS","NS")))</f>
        <v/>
      </c>
      <c r="I812" s="157">
        <f>IFERROR(INDEX(MASTER_JAM!$B$5:$B$94,MATCH($C812,MASTER_JAM!$A$5:$A$94,0)),"")</f>
        <v/>
      </c>
      <c r="J812" s="157">
        <f>IFERROR(INDEX(MASTER_JAM!$E$5:$E$94,MATCH($D812,MASTER_JAM!$A$5:$A$94,0)),"")</f>
        <v/>
      </c>
      <c r="K812" s="158">
        <f>IFERROR(INDEX(MASTER_JAM!$J$5:$O$12,MATCH($E812,MASTER_JAM!$I$5:$I$12,0),MATCH($J812,MASTER_JAM!$J$4:$O$4,0))+0,0)</f>
        <v/>
      </c>
      <c r="L812" s="159">
        <f>N($F812)*$K812</f>
        <v/>
      </c>
      <c r="M812" s="157">
        <f>IF($E812="","",IF(OR($E812="Coal",$E812="Dirty Coal"),"MT","BCM"))</f>
        <v/>
      </c>
      <c r="N812" s="157">
        <f>IF($E812="","",IF(OR($E812="Coal",$E812="Dirty Coal"),"Coal","OB"))</f>
        <v/>
      </c>
      <c r="O812" s="157">
        <f>IF($F812="","",IF(COUNTIF(MASTER_JAM!$A$5:$A$94,$C812)=0,"Digger tidak dikenal",IF($J812="","Hauler tidak dikenal",IF($H812="?","Jam salah",IF($K812=0,"Faktor kosong",IF(SUMIFS(INPUT_DELAY!$E$5:$E$20000,INPUT_DELAY!$A$5:$A$20000,$A812,INPUT_DELAY!$B$5:$B$20000,$B812,INPUT_DELAY!$C$5:$C$20000,$C812)+SUMIFS(INPUT_DELAY!$E$5:$E$20000,INPUT_DELAY!$A$5:$A$20000,$A812,INPUT_DELAY!$B$5:$B$20000,$B812,INPUT_DELAY!$C$5:$C$20000,"SEMUA")&gt;=60,"Delay 60 mnt tapi ada ritase","OK"))))))</f>
        <v/>
      </c>
      <c r="P812" s="158">
        <f>IFERROR(INDEX(MASTER_JAM!$Z$5:$AC$10,MATCH($I812,MASTER_JAM!$Y$5:$Y$10,0),MATCH($J812,MASTER_JAM!$Z$4:$AC$4,0))+0,0)</f>
        <v/>
      </c>
      <c r="Q812" s="158">
        <f>IF($P812=0,0,$P812+IFERROR(INDEX(MASTER_JAM!$H$5:$H$94,MATCH($C812,MASTER_JAM!$A$5:$A$94,0))+0,MASTER_JAM!$AC$15)/1000*(60/MASTER_JAM!$AC$12+60/MASTER_JAM!$AC$13)+MASTER_JAM!$AC$14)</f>
        <v/>
      </c>
      <c r="R812" s="158">
        <f>IF(N($F812)=0,0,$F812/SUMIFS(INPUT_RITASE!$F$5:$F$20000,INPUT_RITASE!$A$5:$A$20000,$A812,INPUT_RITASE!$B$5:$B$20000,$B812,INPUT_RITASE!$C$5:$C$20000,$C812,INPUT_RITASE!$D$5:$D$20000,$D812))</f>
        <v/>
      </c>
      <c r="S812" s="158">
        <f>IF($Q812=0,0,$R812*$P812/$Q812)</f>
        <v/>
      </c>
    </row>
    <row r="813">
      <c r="A813" s="155" t="n">
        <v>46106</v>
      </c>
      <c r="B813" s="156" t="inlineStr">
        <is>
          <t>18-19</t>
        </is>
      </c>
      <c r="C813" s="156" t="inlineStr">
        <is>
          <t>EX-755</t>
        </is>
      </c>
      <c r="D813" s="156" t="inlineStr">
        <is>
          <t>DT-506</t>
        </is>
      </c>
      <c r="E813" s="156" t="inlineStr">
        <is>
          <t>OB</t>
        </is>
      </c>
      <c r="F813" s="156" t="n">
        <v>4</v>
      </c>
      <c r="G813" s="156" t="inlineStr"/>
      <c r="H813" s="157">
        <f>IF($B813="","",IF(ISNA(MATCH($B813,MASTER_JAM!$Q$5:$Q$28,0)),"?",IF(MATCH($B813,MASTER_JAM!$Q$5:$Q$28,0)&lt;=12,"DS","NS")))</f>
        <v/>
      </c>
      <c r="I813" s="157">
        <f>IFERROR(INDEX(MASTER_JAM!$B$5:$B$94,MATCH($C813,MASTER_JAM!$A$5:$A$94,0)),"")</f>
        <v/>
      </c>
      <c r="J813" s="157">
        <f>IFERROR(INDEX(MASTER_JAM!$E$5:$E$94,MATCH($D813,MASTER_JAM!$A$5:$A$94,0)),"")</f>
        <v/>
      </c>
      <c r="K813" s="158">
        <f>IFERROR(INDEX(MASTER_JAM!$J$5:$O$12,MATCH($E813,MASTER_JAM!$I$5:$I$12,0),MATCH($J813,MASTER_JAM!$J$4:$O$4,0))+0,0)</f>
        <v/>
      </c>
      <c r="L813" s="159">
        <f>N($F813)*$K813</f>
        <v/>
      </c>
      <c r="M813" s="157">
        <f>IF($E813="","",IF(OR($E813="Coal",$E813="Dirty Coal"),"MT","BCM"))</f>
        <v/>
      </c>
      <c r="N813" s="157">
        <f>IF($E813="","",IF(OR($E813="Coal",$E813="Dirty Coal"),"Coal","OB"))</f>
        <v/>
      </c>
      <c r="O813" s="157">
        <f>IF($F813="","",IF(COUNTIF(MASTER_JAM!$A$5:$A$94,$C813)=0,"Digger tidak dikenal",IF($J813="","Hauler tidak dikenal",IF($H813="?","Jam salah",IF($K813=0,"Faktor kosong",IF(SUMIFS(INPUT_DELAY!$E$5:$E$20000,INPUT_DELAY!$A$5:$A$20000,$A813,INPUT_DELAY!$B$5:$B$20000,$B813,INPUT_DELAY!$C$5:$C$20000,$C813)+SUMIFS(INPUT_DELAY!$E$5:$E$20000,INPUT_DELAY!$A$5:$A$20000,$A813,INPUT_DELAY!$B$5:$B$20000,$B813,INPUT_DELAY!$C$5:$C$20000,"SEMUA")&gt;=60,"Delay 60 mnt tapi ada ritase","OK"))))))</f>
        <v/>
      </c>
      <c r="P813" s="158">
        <f>IFERROR(INDEX(MASTER_JAM!$Z$5:$AC$10,MATCH($I813,MASTER_JAM!$Y$5:$Y$10,0),MATCH($J813,MASTER_JAM!$Z$4:$AC$4,0))+0,0)</f>
        <v/>
      </c>
      <c r="Q813" s="158">
        <f>IF($P813=0,0,$P813+IFERROR(INDEX(MASTER_JAM!$H$5:$H$94,MATCH($C813,MASTER_JAM!$A$5:$A$94,0))+0,MASTER_JAM!$AC$15)/1000*(60/MASTER_JAM!$AC$12+60/MASTER_JAM!$AC$13)+MASTER_JAM!$AC$14)</f>
        <v/>
      </c>
      <c r="R813" s="158">
        <f>IF(N($F813)=0,0,$F813/SUMIFS(INPUT_RITASE!$F$5:$F$20000,INPUT_RITASE!$A$5:$A$20000,$A813,INPUT_RITASE!$B$5:$B$20000,$B813,INPUT_RITASE!$C$5:$C$20000,$C813,INPUT_RITASE!$D$5:$D$20000,$D813))</f>
        <v/>
      </c>
      <c r="S813" s="158">
        <f>IF($Q813=0,0,$R813*$P813/$Q813)</f>
        <v/>
      </c>
    </row>
    <row r="814">
      <c r="A814" s="155" t="n">
        <v>46106</v>
      </c>
      <c r="B814" s="156" t="inlineStr">
        <is>
          <t>18-19</t>
        </is>
      </c>
      <c r="C814" s="156" t="inlineStr">
        <is>
          <t>EX-755</t>
        </is>
      </c>
      <c r="D814" s="156" t="inlineStr">
        <is>
          <t>DT-510</t>
        </is>
      </c>
      <c r="E814" s="156" t="inlineStr">
        <is>
          <t>OB</t>
        </is>
      </c>
      <c r="F814" s="156" t="n">
        <v>4</v>
      </c>
      <c r="G814" s="156" t="inlineStr"/>
      <c r="H814" s="157">
        <f>IF($B814="","",IF(ISNA(MATCH($B814,MASTER_JAM!$Q$5:$Q$28,0)),"?",IF(MATCH($B814,MASTER_JAM!$Q$5:$Q$28,0)&lt;=12,"DS","NS")))</f>
        <v/>
      </c>
      <c r="I814" s="157">
        <f>IFERROR(INDEX(MASTER_JAM!$B$5:$B$94,MATCH($C814,MASTER_JAM!$A$5:$A$94,0)),"")</f>
        <v/>
      </c>
      <c r="J814" s="157">
        <f>IFERROR(INDEX(MASTER_JAM!$E$5:$E$94,MATCH($D814,MASTER_JAM!$A$5:$A$94,0)),"")</f>
        <v/>
      </c>
      <c r="K814" s="158">
        <f>IFERROR(INDEX(MASTER_JAM!$J$5:$O$12,MATCH($E814,MASTER_JAM!$I$5:$I$12,0),MATCH($J814,MASTER_JAM!$J$4:$O$4,0))+0,0)</f>
        <v/>
      </c>
      <c r="L814" s="159">
        <f>N($F814)*$K814</f>
        <v/>
      </c>
      <c r="M814" s="157">
        <f>IF($E814="","",IF(OR($E814="Coal",$E814="Dirty Coal"),"MT","BCM"))</f>
        <v/>
      </c>
      <c r="N814" s="157">
        <f>IF($E814="","",IF(OR($E814="Coal",$E814="Dirty Coal"),"Coal","OB"))</f>
        <v/>
      </c>
      <c r="O814" s="157">
        <f>IF($F814="","",IF(COUNTIF(MASTER_JAM!$A$5:$A$94,$C814)=0,"Digger tidak dikenal",IF($J814="","Hauler tidak dikenal",IF($H814="?","Jam salah",IF($K814=0,"Faktor kosong",IF(SUMIFS(INPUT_DELAY!$E$5:$E$20000,INPUT_DELAY!$A$5:$A$20000,$A814,INPUT_DELAY!$B$5:$B$20000,$B814,INPUT_DELAY!$C$5:$C$20000,$C814)+SUMIFS(INPUT_DELAY!$E$5:$E$20000,INPUT_DELAY!$A$5:$A$20000,$A814,INPUT_DELAY!$B$5:$B$20000,$B814,INPUT_DELAY!$C$5:$C$20000,"SEMUA")&gt;=60,"Delay 60 mnt tapi ada ritase","OK"))))))</f>
        <v/>
      </c>
      <c r="P814" s="158">
        <f>IFERROR(INDEX(MASTER_JAM!$Z$5:$AC$10,MATCH($I814,MASTER_JAM!$Y$5:$Y$10,0),MATCH($J814,MASTER_JAM!$Z$4:$AC$4,0))+0,0)</f>
        <v/>
      </c>
      <c r="Q814" s="158">
        <f>IF($P814=0,0,$P814+IFERROR(INDEX(MASTER_JAM!$H$5:$H$94,MATCH($C814,MASTER_JAM!$A$5:$A$94,0))+0,MASTER_JAM!$AC$15)/1000*(60/MASTER_JAM!$AC$12+60/MASTER_JAM!$AC$13)+MASTER_JAM!$AC$14)</f>
        <v/>
      </c>
      <c r="R814" s="158">
        <f>IF(N($F814)=0,0,$F814/SUMIFS(INPUT_RITASE!$F$5:$F$20000,INPUT_RITASE!$A$5:$A$20000,$A814,INPUT_RITASE!$B$5:$B$20000,$B814,INPUT_RITASE!$C$5:$C$20000,$C814,INPUT_RITASE!$D$5:$D$20000,$D814))</f>
        <v/>
      </c>
      <c r="S814" s="158">
        <f>IF($Q814=0,0,$R814*$P814/$Q814)</f>
        <v/>
      </c>
    </row>
    <row r="815">
      <c r="A815" s="155" t="n">
        <v>46106</v>
      </c>
      <c r="B815" s="156" t="inlineStr">
        <is>
          <t>18-19</t>
        </is>
      </c>
      <c r="C815" s="156" t="inlineStr">
        <is>
          <t>EX-755</t>
        </is>
      </c>
      <c r="D815" s="156" t="inlineStr">
        <is>
          <t>DT-512</t>
        </is>
      </c>
      <c r="E815" s="156" t="inlineStr">
        <is>
          <t>OB</t>
        </is>
      </c>
      <c r="F815" s="156" t="n">
        <v>4</v>
      </c>
      <c r="G815" s="156" t="inlineStr"/>
      <c r="H815" s="157">
        <f>IF($B815="","",IF(ISNA(MATCH($B815,MASTER_JAM!$Q$5:$Q$28,0)),"?",IF(MATCH($B815,MASTER_JAM!$Q$5:$Q$28,0)&lt;=12,"DS","NS")))</f>
        <v/>
      </c>
      <c r="I815" s="157">
        <f>IFERROR(INDEX(MASTER_JAM!$B$5:$B$94,MATCH($C815,MASTER_JAM!$A$5:$A$94,0)),"")</f>
        <v/>
      </c>
      <c r="J815" s="157">
        <f>IFERROR(INDEX(MASTER_JAM!$E$5:$E$94,MATCH($D815,MASTER_JAM!$A$5:$A$94,0)),"")</f>
        <v/>
      </c>
      <c r="K815" s="158">
        <f>IFERROR(INDEX(MASTER_JAM!$J$5:$O$12,MATCH($E815,MASTER_JAM!$I$5:$I$12,0),MATCH($J815,MASTER_JAM!$J$4:$O$4,0))+0,0)</f>
        <v/>
      </c>
      <c r="L815" s="159">
        <f>N($F815)*$K815</f>
        <v/>
      </c>
      <c r="M815" s="157">
        <f>IF($E815="","",IF(OR($E815="Coal",$E815="Dirty Coal"),"MT","BCM"))</f>
        <v/>
      </c>
      <c r="N815" s="157">
        <f>IF($E815="","",IF(OR($E815="Coal",$E815="Dirty Coal"),"Coal","OB"))</f>
        <v/>
      </c>
      <c r="O815" s="157">
        <f>IF($F815="","",IF(COUNTIF(MASTER_JAM!$A$5:$A$94,$C815)=0,"Digger tidak dikenal",IF($J815="","Hauler tidak dikenal",IF($H815="?","Jam salah",IF($K815=0,"Faktor kosong",IF(SUMIFS(INPUT_DELAY!$E$5:$E$20000,INPUT_DELAY!$A$5:$A$20000,$A815,INPUT_DELAY!$B$5:$B$20000,$B815,INPUT_DELAY!$C$5:$C$20000,$C815)+SUMIFS(INPUT_DELAY!$E$5:$E$20000,INPUT_DELAY!$A$5:$A$20000,$A815,INPUT_DELAY!$B$5:$B$20000,$B815,INPUT_DELAY!$C$5:$C$20000,"SEMUA")&gt;=60,"Delay 60 mnt tapi ada ritase","OK"))))))</f>
        <v/>
      </c>
      <c r="P815" s="158">
        <f>IFERROR(INDEX(MASTER_JAM!$Z$5:$AC$10,MATCH($I815,MASTER_JAM!$Y$5:$Y$10,0),MATCH($J815,MASTER_JAM!$Z$4:$AC$4,0))+0,0)</f>
        <v/>
      </c>
      <c r="Q815" s="158">
        <f>IF($P815=0,0,$P815+IFERROR(INDEX(MASTER_JAM!$H$5:$H$94,MATCH($C815,MASTER_JAM!$A$5:$A$94,0))+0,MASTER_JAM!$AC$15)/1000*(60/MASTER_JAM!$AC$12+60/MASTER_JAM!$AC$13)+MASTER_JAM!$AC$14)</f>
        <v/>
      </c>
      <c r="R815" s="158">
        <f>IF(N($F815)=0,0,$F815/SUMIFS(INPUT_RITASE!$F$5:$F$20000,INPUT_RITASE!$A$5:$A$20000,$A815,INPUT_RITASE!$B$5:$B$20000,$B815,INPUT_RITASE!$C$5:$C$20000,$C815,INPUT_RITASE!$D$5:$D$20000,$D815))</f>
        <v/>
      </c>
      <c r="S815" s="158">
        <f>IF($Q815=0,0,$R815*$P815/$Q815)</f>
        <v/>
      </c>
    </row>
    <row r="816">
      <c r="A816" s="155" t="n">
        <v>46106</v>
      </c>
      <c r="B816" s="156" t="inlineStr">
        <is>
          <t>18-19</t>
        </is>
      </c>
      <c r="C816" s="156" t="inlineStr">
        <is>
          <t>EX-755</t>
        </is>
      </c>
      <c r="D816" s="156" t="inlineStr">
        <is>
          <t>DT-524</t>
        </is>
      </c>
      <c r="E816" s="156" t="inlineStr">
        <is>
          <t>OB</t>
        </is>
      </c>
      <c r="F816" s="156" t="n">
        <v>4</v>
      </c>
      <c r="G816" s="156" t="inlineStr"/>
      <c r="H816" s="157">
        <f>IF($B816="","",IF(ISNA(MATCH($B816,MASTER_JAM!$Q$5:$Q$28,0)),"?",IF(MATCH($B816,MASTER_JAM!$Q$5:$Q$28,0)&lt;=12,"DS","NS")))</f>
        <v/>
      </c>
      <c r="I816" s="157">
        <f>IFERROR(INDEX(MASTER_JAM!$B$5:$B$94,MATCH($C816,MASTER_JAM!$A$5:$A$94,0)),"")</f>
        <v/>
      </c>
      <c r="J816" s="157">
        <f>IFERROR(INDEX(MASTER_JAM!$E$5:$E$94,MATCH($D816,MASTER_JAM!$A$5:$A$94,0)),"")</f>
        <v/>
      </c>
      <c r="K816" s="158">
        <f>IFERROR(INDEX(MASTER_JAM!$J$5:$O$12,MATCH($E816,MASTER_JAM!$I$5:$I$12,0),MATCH($J816,MASTER_JAM!$J$4:$O$4,0))+0,0)</f>
        <v/>
      </c>
      <c r="L816" s="159">
        <f>N($F816)*$K816</f>
        <v/>
      </c>
      <c r="M816" s="157">
        <f>IF($E816="","",IF(OR($E816="Coal",$E816="Dirty Coal"),"MT","BCM"))</f>
        <v/>
      </c>
      <c r="N816" s="157">
        <f>IF($E816="","",IF(OR($E816="Coal",$E816="Dirty Coal"),"Coal","OB"))</f>
        <v/>
      </c>
      <c r="O816" s="157">
        <f>IF($F816="","",IF(COUNTIF(MASTER_JAM!$A$5:$A$94,$C816)=0,"Digger tidak dikenal",IF($J816="","Hauler tidak dikenal",IF($H816="?","Jam salah",IF($K816=0,"Faktor kosong",IF(SUMIFS(INPUT_DELAY!$E$5:$E$20000,INPUT_DELAY!$A$5:$A$20000,$A816,INPUT_DELAY!$B$5:$B$20000,$B816,INPUT_DELAY!$C$5:$C$20000,$C816)+SUMIFS(INPUT_DELAY!$E$5:$E$20000,INPUT_DELAY!$A$5:$A$20000,$A816,INPUT_DELAY!$B$5:$B$20000,$B816,INPUT_DELAY!$C$5:$C$20000,"SEMUA")&gt;=60,"Delay 60 mnt tapi ada ritase","OK"))))))</f>
        <v/>
      </c>
      <c r="P816" s="158">
        <f>IFERROR(INDEX(MASTER_JAM!$Z$5:$AC$10,MATCH($I816,MASTER_JAM!$Y$5:$Y$10,0),MATCH($J816,MASTER_JAM!$Z$4:$AC$4,0))+0,0)</f>
        <v/>
      </c>
      <c r="Q816" s="158">
        <f>IF($P816=0,0,$P816+IFERROR(INDEX(MASTER_JAM!$H$5:$H$94,MATCH($C816,MASTER_JAM!$A$5:$A$94,0))+0,MASTER_JAM!$AC$15)/1000*(60/MASTER_JAM!$AC$12+60/MASTER_JAM!$AC$13)+MASTER_JAM!$AC$14)</f>
        <v/>
      </c>
      <c r="R816" s="158">
        <f>IF(N($F816)=0,0,$F816/SUMIFS(INPUT_RITASE!$F$5:$F$20000,INPUT_RITASE!$A$5:$A$20000,$A816,INPUT_RITASE!$B$5:$B$20000,$B816,INPUT_RITASE!$C$5:$C$20000,$C816,INPUT_RITASE!$D$5:$D$20000,$D816))</f>
        <v/>
      </c>
      <c r="S816" s="158">
        <f>IF($Q816=0,0,$R816*$P816/$Q816)</f>
        <v/>
      </c>
    </row>
    <row r="817">
      <c r="A817" s="155" t="n">
        <v>46106</v>
      </c>
      <c r="B817" s="156" t="inlineStr">
        <is>
          <t>18-19</t>
        </is>
      </c>
      <c r="C817" s="156" t="inlineStr">
        <is>
          <t>EX-755</t>
        </is>
      </c>
      <c r="D817" s="156" t="inlineStr">
        <is>
          <t>DT-527</t>
        </is>
      </c>
      <c r="E817" s="156" t="inlineStr">
        <is>
          <t>OB</t>
        </is>
      </c>
      <c r="F817" s="156" t="n">
        <v>4</v>
      </c>
      <c r="G817" s="156" t="inlineStr"/>
      <c r="H817" s="157">
        <f>IF($B817="","",IF(ISNA(MATCH($B817,MASTER_JAM!$Q$5:$Q$28,0)),"?",IF(MATCH($B817,MASTER_JAM!$Q$5:$Q$28,0)&lt;=12,"DS","NS")))</f>
        <v/>
      </c>
      <c r="I817" s="157">
        <f>IFERROR(INDEX(MASTER_JAM!$B$5:$B$94,MATCH($C817,MASTER_JAM!$A$5:$A$94,0)),"")</f>
        <v/>
      </c>
      <c r="J817" s="157">
        <f>IFERROR(INDEX(MASTER_JAM!$E$5:$E$94,MATCH($D817,MASTER_JAM!$A$5:$A$94,0)),"")</f>
        <v/>
      </c>
      <c r="K817" s="158">
        <f>IFERROR(INDEX(MASTER_JAM!$J$5:$O$12,MATCH($E817,MASTER_JAM!$I$5:$I$12,0),MATCH($J817,MASTER_JAM!$J$4:$O$4,0))+0,0)</f>
        <v/>
      </c>
      <c r="L817" s="159">
        <f>N($F817)*$K817</f>
        <v/>
      </c>
      <c r="M817" s="157">
        <f>IF($E817="","",IF(OR($E817="Coal",$E817="Dirty Coal"),"MT","BCM"))</f>
        <v/>
      </c>
      <c r="N817" s="157">
        <f>IF($E817="","",IF(OR($E817="Coal",$E817="Dirty Coal"),"Coal","OB"))</f>
        <v/>
      </c>
      <c r="O817" s="157">
        <f>IF($F817="","",IF(COUNTIF(MASTER_JAM!$A$5:$A$94,$C817)=0,"Digger tidak dikenal",IF($J817="","Hauler tidak dikenal",IF($H817="?","Jam salah",IF($K817=0,"Faktor kosong",IF(SUMIFS(INPUT_DELAY!$E$5:$E$20000,INPUT_DELAY!$A$5:$A$20000,$A817,INPUT_DELAY!$B$5:$B$20000,$B817,INPUT_DELAY!$C$5:$C$20000,$C817)+SUMIFS(INPUT_DELAY!$E$5:$E$20000,INPUT_DELAY!$A$5:$A$20000,$A817,INPUT_DELAY!$B$5:$B$20000,$B817,INPUT_DELAY!$C$5:$C$20000,"SEMUA")&gt;=60,"Delay 60 mnt tapi ada ritase","OK"))))))</f>
        <v/>
      </c>
      <c r="P817" s="158">
        <f>IFERROR(INDEX(MASTER_JAM!$Z$5:$AC$10,MATCH($I817,MASTER_JAM!$Y$5:$Y$10,0),MATCH($J817,MASTER_JAM!$Z$4:$AC$4,0))+0,0)</f>
        <v/>
      </c>
      <c r="Q817" s="158">
        <f>IF($P817=0,0,$P817+IFERROR(INDEX(MASTER_JAM!$H$5:$H$94,MATCH($C817,MASTER_JAM!$A$5:$A$94,0))+0,MASTER_JAM!$AC$15)/1000*(60/MASTER_JAM!$AC$12+60/MASTER_JAM!$AC$13)+MASTER_JAM!$AC$14)</f>
        <v/>
      </c>
      <c r="R817" s="158">
        <f>IF(N($F817)=0,0,$F817/SUMIFS(INPUT_RITASE!$F$5:$F$20000,INPUT_RITASE!$A$5:$A$20000,$A817,INPUT_RITASE!$B$5:$B$20000,$B817,INPUT_RITASE!$C$5:$C$20000,$C817,INPUT_RITASE!$D$5:$D$20000,$D817))</f>
        <v/>
      </c>
      <c r="S817" s="158">
        <f>IF($Q817=0,0,$R817*$P817/$Q817)</f>
        <v/>
      </c>
    </row>
    <row r="818">
      <c r="A818" s="155" t="n">
        <v>46106</v>
      </c>
      <c r="B818" s="156" t="inlineStr">
        <is>
          <t>18-19</t>
        </is>
      </c>
      <c r="C818" s="156" t="inlineStr">
        <is>
          <t>EX-755</t>
        </is>
      </c>
      <c r="D818" s="156" t="inlineStr">
        <is>
          <t>DT-516</t>
        </is>
      </c>
      <c r="E818" s="156" t="inlineStr">
        <is>
          <t>OB</t>
        </is>
      </c>
      <c r="F818" s="156" t="n">
        <v>3</v>
      </c>
      <c r="G818" s="156" t="inlineStr"/>
      <c r="H818" s="157">
        <f>IF($B818="","",IF(ISNA(MATCH($B818,MASTER_JAM!$Q$5:$Q$28,0)),"?",IF(MATCH($B818,MASTER_JAM!$Q$5:$Q$28,0)&lt;=12,"DS","NS")))</f>
        <v/>
      </c>
      <c r="I818" s="157">
        <f>IFERROR(INDEX(MASTER_JAM!$B$5:$B$94,MATCH($C818,MASTER_JAM!$A$5:$A$94,0)),"")</f>
        <v/>
      </c>
      <c r="J818" s="157">
        <f>IFERROR(INDEX(MASTER_JAM!$E$5:$E$94,MATCH($D818,MASTER_JAM!$A$5:$A$94,0)),"")</f>
        <v/>
      </c>
      <c r="K818" s="158">
        <f>IFERROR(INDEX(MASTER_JAM!$J$5:$O$12,MATCH($E818,MASTER_JAM!$I$5:$I$12,0),MATCH($J818,MASTER_JAM!$J$4:$O$4,0))+0,0)</f>
        <v/>
      </c>
      <c r="L818" s="159">
        <f>N($F818)*$K818</f>
        <v/>
      </c>
      <c r="M818" s="157">
        <f>IF($E818="","",IF(OR($E818="Coal",$E818="Dirty Coal"),"MT","BCM"))</f>
        <v/>
      </c>
      <c r="N818" s="157">
        <f>IF($E818="","",IF(OR($E818="Coal",$E818="Dirty Coal"),"Coal","OB"))</f>
        <v/>
      </c>
      <c r="O818" s="157">
        <f>IF($F818="","",IF(COUNTIF(MASTER_JAM!$A$5:$A$94,$C818)=0,"Digger tidak dikenal",IF($J818="","Hauler tidak dikenal",IF($H818="?","Jam salah",IF($K818=0,"Faktor kosong",IF(SUMIFS(INPUT_DELAY!$E$5:$E$20000,INPUT_DELAY!$A$5:$A$20000,$A818,INPUT_DELAY!$B$5:$B$20000,$B818,INPUT_DELAY!$C$5:$C$20000,$C818)+SUMIFS(INPUT_DELAY!$E$5:$E$20000,INPUT_DELAY!$A$5:$A$20000,$A818,INPUT_DELAY!$B$5:$B$20000,$B818,INPUT_DELAY!$C$5:$C$20000,"SEMUA")&gt;=60,"Delay 60 mnt tapi ada ritase","OK"))))))</f>
        <v/>
      </c>
      <c r="P818" s="158">
        <f>IFERROR(INDEX(MASTER_JAM!$Z$5:$AC$10,MATCH($I818,MASTER_JAM!$Y$5:$Y$10,0),MATCH($J818,MASTER_JAM!$Z$4:$AC$4,0))+0,0)</f>
        <v/>
      </c>
      <c r="Q818" s="158">
        <f>IF($P818=0,0,$P818+IFERROR(INDEX(MASTER_JAM!$H$5:$H$94,MATCH($C818,MASTER_JAM!$A$5:$A$94,0))+0,MASTER_JAM!$AC$15)/1000*(60/MASTER_JAM!$AC$12+60/MASTER_JAM!$AC$13)+MASTER_JAM!$AC$14)</f>
        <v/>
      </c>
      <c r="R818" s="158">
        <f>IF(N($F818)=0,0,$F818/SUMIFS(INPUT_RITASE!$F$5:$F$20000,INPUT_RITASE!$A$5:$A$20000,$A818,INPUT_RITASE!$B$5:$B$20000,$B818,INPUT_RITASE!$C$5:$C$20000,$C818,INPUT_RITASE!$D$5:$D$20000,$D818))</f>
        <v/>
      </c>
      <c r="S818" s="158">
        <f>IF($Q818=0,0,$R818*$P818/$Q818)</f>
        <v/>
      </c>
    </row>
    <row r="819">
      <c r="A819" s="155" t="n">
        <v>46106</v>
      </c>
      <c r="B819" s="156" t="inlineStr">
        <is>
          <t>19-20</t>
        </is>
      </c>
      <c r="C819" s="156" t="inlineStr">
        <is>
          <t>EX-755</t>
        </is>
      </c>
      <c r="D819" s="156" t="inlineStr">
        <is>
          <t>DT-523</t>
        </is>
      </c>
      <c r="E819" s="156" t="inlineStr">
        <is>
          <t>OB</t>
        </is>
      </c>
      <c r="F819" s="156" t="n">
        <v>4</v>
      </c>
      <c r="G819" s="156" t="inlineStr"/>
      <c r="H819" s="157">
        <f>IF($B819="","",IF(ISNA(MATCH($B819,MASTER_JAM!$Q$5:$Q$28,0)),"?",IF(MATCH($B819,MASTER_JAM!$Q$5:$Q$28,0)&lt;=12,"DS","NS")))</f>
        <v/>
      </c>
      <c r="I819" s="157">
        <f>IFERROR(INDEX(MASTER_JAM!$B$5:$B$94,MATCH($C819,MASTER_JAM!$A$5:$A$94,0)),"")</f>
        <v/>
      </c>
      <c r="J819" s="157">
        <f>IFERROR(INDEX(MASTER_JAM!$E$5:$E$94,MATCH($D819,MASTER_JAM!$A$5:$A$94,0)),"")</f>
        <v/>
      </c>
      <c r="K819" s="158">
        <f>IFERROR(INDEX(MASTER_JAM!$J$5:$O$12,MATCH($E819,MASTER_JAM!$I$5:$I$12,0),MATCH($J819,MASTER_JAM!$J$4:$O$4,0))+0,0)</f>
        <v/>
      </c>
      <c r="L819" s="159">
        <f>N($F819)*$K819</f>
        <v/>
      </c>
      <c r="M819" s="157">
        <f>IF($E819="","",IF(OR($E819="Coal",$E819="Dirty Coal"),"MT","BCM"))</f>
        <v/>
      </c>
      <c r="N819" s="157">
        <f>IF($E819="","",IF(OR($E819="Coal",$E819="Dirty Coal"),"Coal","OB"))</f>
        <v/>
      </c>
      <c r="O819" s="157">
        <f>IF($F819="","",IF(COUNTIF(MASTER_JAM!$A$5:$A$94,$C819)=0,"Digger tidak dikenal",IF($J819="","Hauler tidak dikenal",IF($H819="?","Jam salah",IF($K819=0,"Faktor kosong",IF(SUMIFS(INPUT_DELAY!$E$5:$E$20000,INPUT_DELAY!$A$5:$A$20000,$A819,INPUT_DELAY!$B$5:$B$20000,$B819,INPUT_DELAY!$C$5:$C$20000,$C819)+SUMIFS(INPUT_DELAY!$E$5:$E$20000,INPUT_DELAY!$A$5:$A$20000,$A819,INPUT_DELAY!$B$5:$B$20000,$B819,INPUT_DELAY!$C$5:$C$20000,"SEMUA")&gt;=60,"Delay 60 mnt tapi ada ritase","OK"))))))</f>
        <v/>
      </c>
      <c r="P819" s="158">
        <f>IFERROR(INDEX(MASTER_JAM!$Z$5:$AC$10,MATCH($I819,MASTER_JAM!$Y$5:$Y$10,0),MATCH($J819,MASTER_JAM!$Z$4:$AC$4,0))+0,0)</f>
        <v/>
      </c>
      <c r="Q819" s="158">
        <f>IF($P819=0,0,$P819+IFERROR(INDEX(MASTER_JAM!$H$5:$H$94,MATCH($C819,MASTER_JAM!$A$5:$A$94,0))+0,MASTER_JAM!$AC$15)/1000*(60/MASTER_JAM!$AC$12+60/MASTER_JAM!$AC$13)+MASTER_JAM!$AC$14)</f>
        <v/>
      </c>
      <c r="R819" s="158">
        <f>IF(N($F819)=0,0,$F819/SUMIFS(INPUT_RITASE!$F$5:$F$20000,INPUT_RITASE!$A$5:$A$20000,$A819,INPUT_RITASE!$B$5:$B$20000,$B819,INPUT_RITASE!$C$5:$C$20000,$C819,INPUT_RITASE!$D$5:$D$20000,$D819))</f>
        <v/>
      </c>
      <c r="S819" s="158">
        <f>IF($Q819=0,0,$R819*$P819/$Q819)</f>
        <v/>
      </c>
    </row>
    <row r="820">
      <c r="A820" s="155" t="n">
        <v>46106</v>
      </c>
      <c r="B820" s="156" t="inlineStr">
        <is>
          <t>19-20</t>
        </is>
      </c>
      <c r="C820" s="156" t="inlineStr">
        <is>
          <t>EX-755</t>
        </is>
      </c>
      <c r="D820" s="156" t="inlineStr">
        <is>
          <t>DT-506</t>
        </is>
      </c>
      <c r="E820" s="156" t="inlineStr">
        <is>
          <t>OB</t>
        </is>
      </c>
      <c r="F820" s="156" t="n">
        <v>4</v>
      </c>
      <c r="G820" s="156" t="inlineStr"/>
      <c r="H820" s="157">
        <f>IF($B820="","",IF(ISNA(MATCH($B820,MASTER_JAM!$Q$5:$Q$28,0)),"?",IF(MATCH($B820,MASTER_JAM!$Q$5:$Q$28,0)&lt;=12,"DS","NS")))</f>
        <v/>
      </c>
      <c r="I820" s="157">
        <f>IFERROR(INDEX(MASTER_JAM!$B$5:$B$94,MATCH($C820,MASTER_JAM!$A$5:$A$94,0)),"")</f>
        <v/>
      </c>
      <c r="J820" s="157">
        <f>IFERROR(INDEX(MASTER_JAM!$E$5:$E$94,MATCH($D820,MASTER_JAM!$A$5:$A$94,0)),"")</f>
        <v/>
      </c>
      <c r="K820" s="158">
        <f>IFERROR(INDEX(MASTER_JAM!$J$5:$O$12,MATCH($E820,MASTER_JAM!$I$5:$I$12,0),MATCH($J820,MASTER_JAM!$J$4:$O$4,0))+0,0)</f>
        <v/>
      </c>
      <c r="L820" s="159">
        <f>N($F820)*$K820</f>
        <v/>
      </c>
      <c r="M820" s="157">
        <f>IF($E820="","",IF(OR($E820="Coal",$E820="Dirty Coal"),"MT","BCM"))</f>
        <v/>
      </c>
      <c r="N820" s="157">
        <f>IF($E820="","",IF(OR($E820="Coal",$E820="Dirty Coal"),"Coal","OB"))</f>
        <v/>
      </c>
      <c r="O820" s="157">
        <f>IF($F820="","",IF(COUNTIF(MASTER_JAM!$A$5:$A$94,$C820)=0,"Digger tidak dikenal",IF($J820="","Hauler tidak dikenal",IF($H820="?","Jam salah",IF($K820=0,"Faktor kosong",IF(SUMIFS(INPUT_DELAY!$E$5:$E$20000,INPUT_DELAY!$A$5:$A$20000,$A820,INPUT_DELAY!$B$5:$B$20000,$B820,INPUT_DELAY!$C$5:$C$20000,$C820)+SUMIFS(INPUT_DELAY!$E$5:$E$20000,INPUT_DELAY!$A$5:$A$20000,$A820,INPUT_DELAY!$B$5:$B$20000,$B820,INPUT_DELAY!$C$5:$C$20000,"SEMUA")&gt;=60,"Delay 60 mnt tapi ada ritase","OK"))))))</f>
        <v/>
      </c>
      <c r="P820" s="158">
        <f>IFERROR(INDEX(MASTER_JAM!$Z$5:$AC$10,MATCH($I820,MASTER_JAM!$Y$5:$Y$10,0),MATCH($J820,MASTER_JAM!$Z$4:$AC$4,0))+0,0)</f>
        <v/>
      </c>
      <c r="Q820" s="158">
        <f>IF($P820=0,0,$P820+IFERROR(INDEX(MASTER_JAM!$H$5:$H$94,MATCH($C820,MASTER_JAM!$A$5:$A$94,0))+0,MASTER_JAM!$AC$15)/1000*(60/MASTER_JAM!$AC$12+60/MASTER_JAM!$AC$13)+MASTER_JAM!$AC$14)</f>
        <v/>
      </c>
      <c r="R820" s="158">
        <f>IF(N($F820)=0,0,$F820/SUMIFS(INPUT_RITASE!$F$5:$F$20000,INPUT_RITASE!$A$5:$A$20000,$A820,INPUT_RITASE!$B$5:$B$20000,$B820,INPUT_RITASE!$C$5:$C$20000,$C820,INPUT_RITASE!$D$5:$D$20000,$D820))</f>
        <v/>
      </c>
      <c r="S820" s="158">
        <f>IF($Q820=0,0,$R820*$P820/$Q820)</f>
        <v/>
      </c>
    </row>
    <row r="821">
      <c r="A821" s="155" t="n">
        <v>46106</v>
      </c>
      <c r="B821" s="156" t="inlineStr">
        <is>
          <t>19-20</t>
        </is>
      </c>
      <c r="C821" s="156" t="inlineStr">
        <is>
          <t>EX-755</t>
        </is>
      </c>
      <c r="D821" s="156" t="inlineStr">
        <is>
          <t>DT-504</t>
        </is>
      </c>
      <c r="E821" s="156" t="inlineStr">
        <is>
          <t>OB</t>
        </is>
      </c>
      <c r="F821" s="156" t="n">
        <v>4</v>
      </c>
      <c r="G821" s="156" t="inlineStr"/>
      <c r="H821" s="157">
        <f>IF($B821="","",IF(ISNA(MATCH($B821,MASTER_JAM!$Q$5:$Q$28,0)),"?",IF(MATCH($B821,MASTER_JAM!$Q$5:$Q$28,0)&lt;=12,"DS","NS")))</f>
        <v/>
      </c>
      <c r="I821" s="157">
        <f>IFERROR(INDEX(MASTER_JAM!$B$5:$B$94,MATCH($C821,MASTER_JAM!$A$5:$A$94,0)),"")</f>
        <v/>
      </c>
      <c r="J821" s="157">
        <f>IFERROR(INDEX(MASTER_JAM!$E$5:$E$94,MATCH($D821,MASTER_JAM!$A$5:$A$94,0)),"")</f>
        <v/>
      </c>
      <c r="K821" s="158">
        <f>IFERROR(INDEX(MASTER_JAM!$J$5:$O$12,MATCH($E821,MASTER_JAM!$I$5:$I$12,0),MATCH($J821,MASTER_JAM!$J$4:$O$4,0))+0,0)</f>
        <v/>
      </c>
      <c r="L821" s="159">
        <f>N($F821)*$K821</f>
        <v/>
      </c>
      <c r="M821" s="157">
        <f>IF($E821="","",IF(OR($E821="Coal",$E821="Dirty Coal"),"MT","BCM"))</f>
        <v/>
      </c>
      <c r="N821" s="157">
        <f>IF($E821="","",IF(OR($E821="Coal",$E821="Dirty Coal"),"Coal","OB"))</f>
        <v/>
      </c>
      <c r="O821" s="157">
        <f>IF($F821="","",IF(COUNTIF(MASTER_JAM!$A$5:$A$94,$C821)=0,"Digger tidak dikenal",IF($J821="","Hauler tidak dikenal",IF($H821="?","Jam salah",IF($K821=0,"Faktor kosong",IF(SUMIFS(INPUT_DELAY!$E$5:$E$20000,INPUT_DELAY!$A$5:$A$20000,$A821,INPUT_DELAY!$B$5:$B$20000,$B821,INPUT_DELAY!$C$5:$C$20000,$C821)+SUMIFS(INPUT_DELAY!$E$5:$E$20000,INPUT_DELAY!$A$5:$A$20000,$A821,INPUT_DELAY!$B$5:$B$20000,$B821,INPUT_DELAY!$C$5:$C$20000,"SEMUA")&gt;=60,"Delay 60 mnt tapi ada ritase","OK"))))))</f>
        <v/>
      </c>
      <c r="P821" s="158">
        <f>IFERROR(INDEX(MASTER_JAM!$Z$5:$AC$10,MATCH($I821,MASTER_JAM!$Y$5:$Y$10,0),MATCH($J821,MASTER_JAM!$Z$4:$AC$4,0))+0,0)</f>
        <v/>
      </c>
      <c r="Q821" s="158">
        <f>IF($P821=0,0,$P821+IFERROR(INDEX(MASTER_JAM!$H$5:$H$94,MATCH($C821,MASTER_JAM!$A$5:$A$94,0))+0,MASTER_JAM!$AC$15)/1000*(60/MASTER_JAM!$AC$12+60/MASTER_JAM!$AC$13)+MASTER_JAM!$AC$14)</f>
        <v/>
      </c>
      <c r="R821" s="158">
        <f>IF(N($F821)=0,0,$F821/SUMIFS(INPUT_RITASE!$F$5:$F$20000,INPUT_RITASE!$A$5:$A$20000,$A821,INPUT_RITASE!$B$5:$B$20000,$B821,INPUT_RITASE!$C$5:$C$20000,$C821,INPUT_RITASE!$D$5:$D$20000,$D821))</f>
        <v/>
      </c>
      <c r="S821" s="158">
        <f>IF($Q821=0,0,$R821*$P821/$Q821)</f>
        <v/>
      </c>
    </row>
    <row r="822">
      <c r="A822" s="155" t="n">
        <v>46106</v>
      </c>
      <c r="B822" s="156" t="inlineStr">
        <is>
          <t>19-20</t>
        </is>
      </c>
      <c r="C822" s="156" t="inlineStr">
        <is>
          <t>EX-755</t>
        </is>
      </c>
      <c r="D822" s="156" t="inlineStr">
        <is>
          <t>DT-516</t>
        </is>
      </c>
      <c r="E822" s="156" t="inlineStr">
        <is>
          <t>OB</t>
        </is>
      </c>
      <c r="F822" s="156" t="n">
        <v>4</v>
      </c>
      <c r="G822" s="156" t="inlineStr"/>
      <c r="H822" s="157">
        <f>IF($B822="","",IF(ISNA(MATCH($B822,MASTER_JAM!$Q$5:$Q$28,0)),"?",IF(MATCH($B822,MASTER_JAM!$Q$5:$Q$28,0)&lt;=12,"DS","NS")))</f>
        <v/>
      </c>
      <c r="I822" s="157">
        <f>IFERROR(INDEX(MASTER_JAM!$B$5:$B$94,MATCH($C822,MASTER_JAM!$A$5:$A$94,0)),"")</f>
        <v/>
      </c>
      <c r="J822" s="157">
        <f>IFERROR(INDEX(MASTER_JAM!$E$5:$E$94,MATCH($D822,MASTER_JAM!$A$5:$A$94,0)),"")</f>
        <v/>
      </c>
      <c r="K822" s="158">
        <f>IFERROR(INDEX(MASTER_JAM!$J$5:$O$12,MATCH($E822,MASTER_JAM!$I$5:$I$12,0),MATCH($J822,MASTER_JAM!$J$4:$O$4,0))+0,0)</f>
        <v/>
      </c>
      <c r="L822" s="159">
        <f>N($F822)*$K822</f>
        <v/>
      </c>
      <c r="M822" s="157">
        <f>IF($E822="","",IF(OR($E822="Coal",$E822="Dirty Coal"),"MT","BCM"))</f>
        <v/>
      </c>
      <c r="N822" s="157">
        <f>IF($E822="","",IF(OR($E822="Coal",$E822="Dirty Coal"),"Coal","OB"))</f>
        <v/>
      </c>
      <c r="O822" s="157">
        <f>IF($F822="","",IF(COUNTIF(MASTER_JAM!$A$5:$A$94,$C822)=0,"Digger tidak dikenal",IF($J822="","Hauler tidak dikenal",IF($H822="?","Jam salah",IF($K822=0,"Faktor kosong",IF(SUMIFS(INPUT_DELAY!$E$5:$E$20000,INPUT_DELAY!$A$5:$A$20000,$A822,INPUT_DELAY!$B$5:$B$20000,$B822,INPUT_DELAY!$C$5:$C$20000,$C822)+SUMIFS(INPUT_DELAY!$E$5:$E$20000,INPUT_DELAY!$A$5:$A$20000,$A822,INPUT_DELAY!$B$5:$B$20000,$B822,INPUT_DELAY!$C$5:$C$20000,"SEMUA")&gt;=60,"Delay 60 mnt tapi ada ritase","OK"))))))</f>
        <v/>
      </c>
      <c r="P822" s="158">
        <f>IFERROR(INDEX(MASTER_JAM!$Z$5:$AC$10,MATCH($I822,MASTER_JAM!$Y$5:$Y$10,0),MATCH($J822,MASTER_JAM!$Z$4:$AC$4,0))+0,0)</f>
        <v/>
      </c>
      <c r="Q822" s="158">
        <f>IF($P822=0,0,$P822+IFERROR(INDEX(MASTER_JAM!$H$5:$H$94,MATCH($C822,MASTER_JAM!$A$5:$A$94,0))+0,MASTER_JAM!$AC$15)/1000*(60/MASTER_JAM!$AC$12+60/MASTER_JAM!$AC$13)+MASTER_JAM!$AC$14)</f>
        <v/>
      </c>
      <c r="R822" s="158">
        <f>IF(N($F822)=0,0,$F822/SUMIFS(INPUT_RITASE!$F$5:$F$20000,INPUT_RITASE!$A$5:$A$20000,$A822,INPUT_RITASE!$B$5:$B$20000,$B822,INPUT_RITASE!$C$5:$C$20000,$C822,INPUT_RITASE!$D$5:$D$20000,$D822))</f>
        <v/>
      </c>
      <c r="S822" s="158">
        <f>IF($Q822=0,0,$R822*$P822/$Q822)</f>
        <v/>
      </c>
    </row>
    <row r="823">
      <c r="A823" s="155" t="n">
        <v>46106</v>
      </c>
      <c r="B823" s="156" t="inlineStr">
        <is>
          <t>19-20</t>
        </is>
      </c>
      <c r="C823" s="156" t="inlineStr">
        <is>
          <t>EX-755</t>
        </is>
      </c>
      <c r="D823" s="156" t="inlineStr">
        <is>
          <t>DT-505</t>
        </is>
      </c>
      <c r="E823" s="156" t="inlineStr">
        <is>
          <t>OB</t>
        </is>
      </c>
      <c r="F823" s="156" t="n">
        <v>4</v>
      </c>
      <c r="G823" s="156" t="inlineStr"/>
      <c r="H823" s="157">
        <f>IF($B823="","",IF(ISNA(MATCH($B823,MASTER_JAM!$Q$5:$Q$28,0)),"?",IF(MATCH($B823,MASTER_JAM!$Q$5:$Q$28,0)&lt;=12,"DS","NS")))</f>
        <v/>
      </c>
      <c r="I823" s="157">
        <f>IFERROR(INDEX(MASTER_JAM!$B$5:$B$94,MATCH($C823,MASTER_JAM!$A$5:$A$94,0)),"")</f>
        <v/>
      </c>
      <c r="J823" s="157">
        <f>IFERROR(INDEX(MASTER_JAM!$E$5:$E$94,MATCH($D823,MASTER_JAM!$A$5:$A$94,0)),"")</f>
        <v/>
      </c>
      <c r="K823" s="158">
        <f>IFERROR(INDEX(MASTER_JAM!$J$5:$O$12,MATCH($E823,MASTER_JAM!$I$5:$I$12,0),MATCH($J823,MASTER_JAM!$J$4:$O$4,0))+0,0)</f>
        <v/>
      </c>
      <c r="L823" s="159">
        <f>N($F823)*$K823</f>
        <v/>
      </c>
      <c r="M823" s="157">
        <f>IF($E823="","",IF(OR($E823="Coal",$E823="Dirty Coal"),"MT","BCM"))</f>
        <v/>
      </c>
      <c r="N823" s="157">
        <f>IF($E823="","",IF(OR($E823="Coal",$E823="Dirty Coal"),"Coal","OB"))</f>
        <v/>
      </c>
      <c r="O823" s="157">
        <f>IF($F823="","",IF(COUNTIF(MASTER_JAM!$A$5:$A$94,$C823)=0,"Digger tidak dikenal",IF($J823="","Hauler tidak dikenal",IF($H823="?","Jam salah",IF($K823=0,"Faktor kosong",IF(SUMIFS(INPUT_DELAY!$E$5:$E$20000,INPUT_DELAY!$A$5:$A$20000,$A823,INPUT_DELAY!$B$5:$B$20000,$B823,INPUT_DELAY!$C$5:$C$20000,$C823)+SUMIFS(INPUT_DELAY!$E$5:$E$20000,INPUT_DELAY!$A$5:$A$20000,$A823,INPUT_DELAY!$B$5:$B$20000,$B823,INPUT_DELAY!$C$5:$C$20000,"SEMUA")&gt;=60,"Delay 60 mnt tapi ada ritase","OK"))))))</f>
        <v/>
      </c>
      <c r="P823" s="158">
        <f>IFERROR(INDEX(MASTER_JAM!$Z$5:$AC$10,MATCH($I823,MASTER_JAM!$Y$5:$Y$10,0),MATCH($J823,MASTER_JAM!$Z$4:$AC$4,0))+0,0)</f>
        <v/>
      </c>
      <c r="Q823" s="158">
        <f>IF($P823=0,0,$P823+IFERROR(INDEX(MASTER_JAM!$H$5:$H$94,MATCH($C823,MASTER_JAM!$A$5:$A$94,0))+0,MASTER_JAM!$AC$15)/1000*(60/MASTER_JAM!$AC$12+60/MASTER_JAM!$AC$13)+MASTER_JAM!$AC$14)</f>
        <v/>
      </c>
      <c r="R823" s="158">
        <f>IF(N($F823)=0,0,$F823/SUMIFS(INPUT_RITASE!$F$5:$F$20000,INPUT_RITASE!$A$5:$A$20000,$A823,INPUT_RITASE!$B$5:$B$20000,$B823,INPUT_RITASE!$C$5:$C$20000,$C823,INPUT_RITASE!$D$5:$D$20000,$D823))</f>
        <v/>
      </c>
      <c r="S823" s="158">
        <f>IF($Q823=0,0,$R823*$P823/$Q823)</f>
        <v/>
      </c>
    </row>
    <row r="824">
      <c r="A824" s="155" t="n">
        <v>46106</v>
      </c>
      <c r="B824" s="156" t="inlineStr">
        <is>
          <t>21-22</t>
        </is>
      </c>
      <c r="C824" s="156" t="inlineStr">
        <is>
          <t>EX-755</t>
        </is>
      </c>
      <c r="D824" s="156" t="inlineStr">
        <is>
          <t>DT-503</t>
        </is>
      </c>
      <c r="E824" s="156" t="inlineStr">
        <is>
          <t>OB</t>
        </is>
      </c>
      <c r="F824" s="156" t="n">
        <v>4</v>
      </c>
      <c r="G824" s="156" t="inlineStr"/>
      <c r="H824" s="157">
        <f>IF($B824="","",IF(ISNA(MATCH($B824,MASTER_JAM!$Q$5:$Q$28,0)),"?",IF(MATCH($B824,MASTER_JAM!$Q$5:$Q$28,0)&lt;=12,"DS","NS")))</f>
        <v/>
      </c>
      <c r="I824" s="157">
        <f>IFERROR(INDEX(MASTER_JAM!$B$5:$B$94,MATCH($C824,MASTER_JAM!$A$5:$A$94,0)),"")</f>
        <v/>
      </c>
      <c r="J824" s="157">
        <f>IFERROR(INDEX(MASTER_JAM!$E$5:$E$94,MATCH($D824,MASTER_JAM!$A$5:$A$94,0)),"")</f>
        <v/>
      </c>
      <c r="K824" s="158">
        <f>IFERROR(INDEX(MASTER_JAM!$J$5:$O$12,MATCH($E824,MASTER_JAM!$I$5:$I$12,0),MATCH($J824,MASTER_JAM!$J$4:$O$4,0))+0,0)</f>
        <v/>
      </c>
      <c r="L824" s="159">
        <f>N($F824)*$K824</f>
        <v/>
      </c>
      <c r="M824" s="157">
        <f>IF($E824="","",IF(OR($E824="Coal",$E824="Dirty Coal"),"MT","BCM"))</f>
        <v/>
      </c>
      <c r="N824" s="157">
        <f>IF($E824="","",IF(OR($E824="Coal",$E824="Dirty Coal"),"Coal","OB"))</f>
        <v/>
      </c>
      <c r="O824" s="157">
        <f>IF($F824="","",IF(COUNTIF(MASTER_JAM!$A$5:$A$94,$C824)=0,"Digger tidak dikenal",IF($J824="","Hauler tidak dikenal",IF($H824="?","Jam salah",IF($K824=0,"Faktor kosong",IF(SUMIFS(INPUT_DELAY!$E$5:$E$20000,INPUT_DELAY!$A$5:$A$20000,$A824,INPUT_DELAY!$B$5:$B$20000,$B824,INPUT_DELAY!$C$5:$C$20000,$C824)+SUMIFS(INPUT_DELAY!$E$5:$E$20000,INPUT_DELAY!$A$5:$A$20000,$A824,INPUT_DELAY!$B$5:$B$20000,$B824,INPUT_DELAY!$C$5:$C$20000,"SEMUA")&gt;=60,"Delay 60 mnt tapi ada ritase","OK"))))))</f>
        <v/>
      </c>
      <c r="P824" s="158">
        <f>IFERROR(INDEX(MASTER_JAM!$Z$5:$AC$10,MATCH($I824,MASTER_JAM!$Y$5:$Y$10,0),MATCH($J824,MASTER_JAM!$Z$4:$AC$4,0))+0,0)</f>
        <v/>
      </c>
      <c r="Q824" s="158">
        <f>IF($P824=0,0,$P824+IFERROR(INDEX(MASTER_JAM!$H$5:$H$94,MATCH($C824,MASTER_JAM!$A$5:$A$94,0))+0,MASTER_JAM!$AC$15)/1000*(60/MASTER_JAM!$AC$12+60/MASTER_JAM!$AC$13)+MASTER_JAM!$AC$14)</f>
        <v/>
      </c>
      <c r="R824" s="158">
        <f>IF(N($F824)=0,0,$F824/SUMIFS(INPUT_RITASE!$F$5:$F$20000,INPUT_RITASE!$A$5:$A$20000,$A824,INPUT_RITASE!$B$5:$B$20000,$B824,INPUT_RITASE!$C$5:$C$20000,$C824,INPUT_RITASE!$D$5:$D$20000,$D824))</f>
        <v/>
      </c>
      <c r="S824" s="158">
        <f>IF($Q824=0,0,$R824*$P824/$Q824)</f>
        <v/>
      </c>
    </row>
    <row r="825">
      <c r="A825" s="155" t="n">
        <v>46106</v>
      </c>
      <c r="B825" s="156" t="inlineStr">
        <is>
          <t>21-22</t>
        </is>
      </c>
      <c r="C825" s="156" t="inlineStr">
        <is>
          <t>EX-755</t>
        </is>
      </c>
      <c r="D825" s="156" t="inlineStr">
        <is>
          <t>DT-507</t>
        </is>
      </c>
      <c r="E825" s="156" t="inlineStr">
        <is>
          <t>OB</t>
        </is>
      </c>
      <c r="F825" s="156" t="n">
        <v>4</v>
      </c>
      <c r="G825" s="156" t="inlineStr"/>
      <c r="H825" s="157">
        <f>IF($B825="","",IF(ISNA(MATCH($B825,MASTER_JAM!$Q$5:$Q$28,0)),"?",IF(MATCH($B825,MASTER_JAM!$Q$5:$Q$28,0)&lt;=12,"DS","NS")))</f>
        <v/>
      </c>
      <c r="I825" s="157">
        <f>IFERROR(INDEX(MASTER_JAM!$B$5:$B$94,MATCH($C825,MASTER_JAM!$A$5:$A$94,0)),"")</f>
        <v/>
      </c>
      <c r="J825" s="157">
        <f>IFERROR(INDEX(MASTER_JAM!$E$5:$E$94,MATCH($D825,MASTER_JAM!$A$5:$A$94,0)),"")</f>
        <v/>
      </c>
      <c r="K825" s="158">
        <f>IFERROR(INDEX(MASTER_JAM!$J$5:$O$12,MATCH($E825,MASTER_JAM!$I$5:$I$12,0),MATCH($J825,MASTER_JAM!$J$4:$O$4,0))+0,0)</f>
        <v/>
      </c>
      <c r="L825" s="159">
        <f>N($F825)*$K825</f>
        <v/>
      </c>
      <c r="M825" s="157">
        <f>IF($E825="","",IF(OR($E825="Coal",$E825="Dirty Coal"),"MT","BCM"))</f>
        <v/>
      </c>
      <c r="N825" s="157">
        <f>IF($E825="","",IF(OR($E825="Coal",$E825="Dirty Coal"),"Coal","OB"))</f>
        <v/>
      </c>
      <c r="O825" s="157">
        <f>IF($F825="","",IF(COUNTIF(MASTER_JAM!$A$5:$A$94,$C825)=0,"Digger tidak dikenal",IF($J825="","Hauler tidak dikenal",IF($H825="?","Jam salah",IF($K825=0,"Faktor kosong",IF(SUMIFS(INPUT_DELAY!$E$5:$E$20000,INPUT_DELAY!$A$5:$A$20000,$A825,INPUT_DELAY!$B$5:$B$20000,$B825,INPUT_DELAY!$C$5:$C$20000,$C825)+SUMIFS(INPUT_DELAY!$E$5:$E$20000,INPUT_DELAY!$A$5:$A$20000,$A825,INPUT_DELAY!$B$5:$B$20000,$B825,INPUT_DELAY!$C$5:$C$20000,"SEMUA")&gt;=60,"Delay 60 mnt tapi ada ritase","OK"))))))</f>
        <v/>
      </c>
      <c r="P825" s="158">
        <f>IFERROR(INDEX(MASTER_JAM!$Z$5:$AC$10,MATCH($I825,MASTER_JAM!$Y$5:$Y$10,0),MATCH($J825,MASTER_JAM!$Z$4:$AC$4,0))+0,0)</f>
        <v/>
      </c>
      <c r="Q825" s="158">
        <f>IF($P825=0,0,$P825+IFERROR(INDEX(MASTER_JAM!$H$5:$H$94,MATCH($C825,MASTER_JAM!$A$5:$A$94,0))+0,MASTER_JAM!$AC$15)/1000*(60/MASTER_JAM!$AC$12+60/MASTER_JAM!$AC$13)+MASTER_JAM!$AC$14)</f>
        <v/>
      </c>
      <c r="R825" s="158">
        <f>IF(N($F825)=0,0,$F825/SUMIFS(INPUT_RITASE!$F$5:$F$20000,INPUT_RITASE!$A$5:$A$20000,$A825,INPUT_RITASE!$B$5:$B$20000,$B825,INPUT_RITASE!$C$5:$C$20000,$C825,INPUT_RITASE!$D$5:$D$20000,$D825))</f>
        <v/>
      </c>
      <c r="S825" s="158">
        <f>IF($Q825=0,0,$R825*$P825/$Q825)</f>
        <v/>
      </c>
    </row>
    <row r="826">
      <c r="A826" s="155" t="n">
        <v>46106</v>
      </c>
      <c r="B826" s="156" t="inlineStr">
        <is>
          <t>21-22</t>
        </is>
      </c>
      <c r="C826" s="156" t="inlineStr">
        <is>
          <t>EX-755</t>
        </is>
      </c>
      <c r="D826" s="156" t="inlineStr">
        <is>
          <t>DT-527</t>
        </is>
      </c>
      <c r="E826" s="156" t="inlineStr">
        <is>
          <t>OB</t>
        </is>
      </c>
      <c r="F826" s="156" t="n">
        <v>3</v>
      </c>
      <c r="G826" s="156" t="inlineStr"/>
      <c r="H826" s="157">
        <f>IF($B826="","",IF(ISNA(MATCH($B826,MASTER_JAM!$Q$5:$Q$28,0)),"?",IF(MATCH($B826,MASTER_JAM!$Q$5:$Q$28,0)&lt;=12,"DS","NS")))</f>
        <v/>
      </c>
      <c r="I826" s="157">
        <f>IFERROR(INDEX(MASTER_JAM!$B$5:$B$94,MATCH($C826,MASTER_JAM!$A$5:$A$94,0)),"")</f>
        <v/>
      </c>
      <c r="J826" s="157">
        <f>IFERROR(INDEX(MASTER_JAM!$E$5:$E$94,MATCH($D826,MASTER_JAM!$A$5:$A$94,0)),"")</f>
        <v/>
      </c>
      <c r="K826" s="158">
        <f>IFERROR(INDEX(MASTER_JAM!$J$5:$O$12,MATCH($E826,MASTER_JAM!$I$5:$I$12,0),MATCH($J826,MASTER_JAM!$J$4:$O$4,0))+0,0)</f>
        <v/>
      </c>
      <c r="L826" s="159">
        <f>N($F826)*$K826</f>
        <v/>
      </c>
      <c r="M826" s="157">
        <f>IF($E826="","",IF(OR($E826="Coal",$E826="Dirty Coal"),"MT","BCM"))</f>
        <v/>
      </c>
      <c r="N826" s="157">
        <f>IF($E826="","",IF(OR($E826="Coal",$E826="Dirty Coal"),"Coal","OB"))</f>
        <v/>
      </c>
      <c r="O826" s="157">
        <f>IF($F826="","",IF(COUNTIF(MASTER_JAM!$A$5:$A$94,$C826)=0,"Digger tidak dikenal",IF($J826="","Hauler tidak dikenal",IF($H826="?","Jam salah",IF($K826=0,"Faktor kosong",IF(SUMIFS(INPUT_DELAY!$E$5:$E$20000,INPUT_DELAY!$A$5:$A$20000,$A826,INPUT_DELAY!$B$5:$B$20000,$B826,INPUT_DELAY!$C$5:$C$20000,$C826)+SUMIFS(INPUT_DELAY!$E$5:$E$20000,INPUT_DELAY!$A$5:$A$20000,$A826,INPUT_DELAY!$B$5:$B$20000,$B826,INPUT_DELAY!$C$5:$C$20000,"SEMUA")&gt;=60,"Delay 60 mnt tapi ada ritase","OK"))))))</f>
        <v/>
      </c>
      <c r="P826" s="158">
        <f>IFERROR(INDEX(MASTER_JAM!$Z$5:$AC$10,MATCH($I826,MASTER_JAM!$Y$5:$Y$10,0),MATCH($J826,MASTER_JAM!$Z$4:$AC$4,0))+0,0)</f>
        <v/>
      </c>
      <c r="Q826" s="158">
        <f>IF($P826=0,0,$P826+IFERROR(INDEX(MASTER_JAM!$H$5:$H$94,MATCH($C826,MASTER_JAM!$A$5:$A$94,0))+0,MASTER_JAM!$AC$15)/1000*(60/MASTER_JAM!$AC$12+60/MASTER_JAM!$AC$13)+MASTER_JAM!$AC$14)</f>
        <v/>
      </c>
      <c r="R826" s="158">
        <f>IF(N($F826)=0,0,$F826/SUMIFS(INPUT_RITASE!$F$5:$F$20000,INPUT_RITASE!$A$5:$A$20000,$A826,INPUT_RITASE!$B$5:$B$20000,$B826,INPUT_RITASE!$C$5:$C$20000,$C826,INPUT_RITASE!$D$5:$D$20000,$D826))</f>
        <v/>
      </c>
      <c r="S826" s="158">
        <f>IF($Q826=0,0,$R826*$P826/$Q826)</f>
        <v/>
      </c>
    </row>
    <row r="827">
      <c r="A827" s="155" t="n">
        <v>46106</v>
      </c>
      <c r="B827" s="156" t="inlineStr">
        <is>
          <t>22-23</t>
        </is>
      </c>
      <c r="C827" s="156" t="inlineStr">
        <is>
          <t>EX-755</t>
        </is>
      </c>
      <c r="D827" s="156" t="inlineStr">
        <is>
          <t>DT-517</t>
        </is>
      </c>
      <c r="E827" s="156" t="inlineStr">
        <is>
          <t>OB</t>
        </is>
      </c>
      <c r="F827" s="156" t="n">
        <v>4</v>
      </c>
      <c r="G827" s="156" t="inlineStr"/>
      <c r="H827" s="157">
        <f>IF($B827="","",IF(ISNA(MATCH($B827,MASTER_JAM!$Q$5:$Q$28,0)),"?",IF(MATCH($B827,MASTER_JAM!$Q$5:$Q$28,0)&lt;=12,"DS","NS")))</f>
        <v/>
      </c>
      <c r="I827" s="157">
        <f>IFERROR(INDEX(MASTER_JAM!$B$5:$B$94,MATCH($C827,MASTER_JAM!$A$5:$A$94,0)),"")</f>
        <v/>
      </c>
      <c r="J827" s="157">
        <f>IFERROR(INDEX(MASTER_JAM!$E$5:$E$94,MATCH($D827,MASTER_JAM!$A$5:$A$94,0)),"")</f>
        <v/>
      </c>
      <c r="K827" s="158">
        <f>IFERROR(INDEX(MASTER_JAM!$J$5:$O$12,MATCH($E827,MASTER_JAM!$I$5:$I$12,0),MATCH($J827,MASTER_JAM!$J$4:$O$4,0))+0,0)</f>
        <v/>
      </c>
      <c r="L827" s="159">
        <f>N($F827)*$K827</f>
        <v/>
      </c>
      <c r="M827" s="157">
        <f>IF($E827="","",IF(OR($E827="Coal",$E827="Dirty Coal"),"MT","BCM"))</f>
        <v/>
      </c>
      <c r="N827" s="157">
        <f>IF($E827="","",IF(OR($E827="Coal",$E827="Dirty Coal"),"Coal","OB"))</f>
        <v/>
      </c>
      <c r="O827" s="157">
        <f>IF($F827="","",IF(COUNTIF(MASTER_JAM!$A$5:$A$94,$C827)=0,"Digger tidak dikenal",IF($J827="","Hauler tidak dikenal",IF($H827="?","Jam salah",IF($K827=0,"Faktor kosong",IF(SUMIFS(INPUT_DELAY!$E$5:$E$20000,INPUT_DELAY!$A$5:$A$20000,$A827,INPUT_DELAY!$B$5:$B$20000,$B827,INPUT_DELAY!$C$5:$C$20000,$C827)+SUMIFS(INPUT_DELAY!$E$5:$E$20000,INPUT_DELAY!$A$5:$A$20000,$A827,INPUT_DELAY!$B$5:$B$20000,$B827,INPUT_DELAY!$C$5:$C$20000,"SEMUA")&gt;=60,"Delay 60 mnt tapi ada ritase","OK"))))))</f>
        <v/>
      </c>
      <c r="P827" s="158">
        <f>IFERROR(INDEX(MASTER_JAM!$Z$5:$AC$10,MATCH($I827,MASTER_JAM!$Y$5:$Y$10,0),MATCH($J827,MASTER_JAM!$Z$4:$AC$4,0))+0,0)</f>
        <v/>
      </c>
      <c r="Q827" s="158">
        <f>IF($P827=0,0,$P827+IFERROR(INDEX(MASTER_JAM!$H$5:$H$94,MATCH($C827,MASTER_JAM!$A$5:$A$94,0))+0,MASTER_JAM!$AC$15)/1000*(60/MASTER_JAM!$AC$12+60/MASTER_JAM!$AC$13)+MASTER_JAM!$AC$14)</f>
        <v/>
      </c>
      <c r="R827" s="158">
        <f>IF(N($F827)=0,0,$F827/SUMIFS(INPUT_RITASE!$F$5:$F$20000,INPUT_RITASE!$A$5:$A$20000,$A827,INPUT_RITASE!$B$5:$B$20000,$B827,INPUT_RITASE!$C$5:$C$20000,$C827,INPUT_RITASE!$D$5:$D$20000,$D827))</f>
        <v/>
      </c>
      <c r="S827" s="158">
        <f>IF($Q827=0,0,$R827*$P827/$Q827)</f>
        <v/>
      </c>
    </row>
    <row r="828">
      <c r="A828" s="155" t="n">
        <v>46106</v>
      </c>
      <c r="B828" s="156" t="inlineStr">
        <is>
          <t>22-23</t>
        </is>
      </c>
      <c r="C828" s="156" t="inlineStr">
        <is>
          <t>EX-755</t>
        </is>
      </c>
      <c r="D828" s="156" t="inlineStr">
        <is>
          <t>DT-510</t>
        </is>
      </c>
      <c r="E828" s="156" t="inlineStr">
        <is>
          <t>OB</t>
        </is>
      </c>
      <c r="F828" s="156" t="n">
        <v>4</v>
      </c>
      <c r="G828" s="156" t="inlineStr"/>
      <c r="H828" s="157">
        <f>IF($B828="","",IF(ISNA(MATCH($B828,MASTER_JAM!$Q$5:$Q$28,0)),"?",IF(MATCH($B828,MASTER_JAM!$Q$5:$Q$28,0)&lt;=12,"DS","NS")))</f>
        <v/>
      </c>
      <c r="I828" s="157">
        <f>IFERROR(INDEX(MASTER_JAM!$B$5:$B$94,MATCH($C828,MASTER_JAM!$A$5:$A$94,0)),"")</f>
        <v/>
      </c>
      <c r="J828" s="157">
        <f>IFERROR(INDEX(MASTER_JAM!$E$5:$E$94,MATCH($D828,MASTER_JAM!$A$5:$A$94,0)),"")</f>
        <v/>
      </c>
      <c r="K828" s="158">
        <f>IFERROR(INDEX(MASTER_JAM!$J$5:$O$12,MATCH($E828,MASTER_JAM!$I$5:$I$12,0),MATCH($J828,MASTER_JAM!$J$4:$O$4,0))+0,0)</f>
        <v/>
      </c>
      <c r="L828" s="159">
        <f>N($F828)*$K828</f>
        <v/>
      </c>
      <c r="M828" s="157">
        <f>IF($E828="","",IF(OR($E828="Coal",$E828="Dirty Coal"),"MT","BCM"))</f>
        <v/>
      </c>
      <c r="N828" s="157">
        <f>IF($E828="","",IF(OR($E828="Coal",$E828="Dirty Coal"),"Coal","OB"))</f>
        <v/>
      </c>
      <c r="O828" s="157">
        <f>IF($F828="","",IF(COUNTIF(MASTER_JAM!$A$5:$A$94,$C828)=0,"Digger tidak dikenal",IF($J828="","Hauler tidak dikenal",IF($H828="?","Jam salah",IF($K828=0,"Faktor kosong",IF(SUMIFS(INPUT_DELAY!$E$5:$E$20000,INPUT_DELAY!$A$5:$A$20000,$A828,INPUT_DELAY!$B$5:$B$20000,$B828,INPUT_DELAY!$C$5:$C$20000,$C828)+SUMIFS(INPUT_DELAY!$E$5:$E$20000,INPUT_DELAY!$A$5:$A$20000,$A828,INPUT_DELAY!$B$5:$B$20000,$B828,INPUT_DELAY!$C$5:$C$20000,"SEMUA")&gt;=60,"Delay 60 mnt tapi ada ritase","OK"))))))</f>
        <v/>
      </c>
      <c r="P828" s="158">
        <f>IFERROR(INDEX(MASTER_JAM!$Z$5:$AC$10,MATCH($I828,MASTER_JAM!$Y$5:$Y$10,0),MATCH($J828,MASTER_JAM!$Z$4:$AC$4,0))+0,0)</f>
        <v/>
      </c>
      <c r="Q828" s="158">
        <f>IF($P828=0,0,$P828+IFERROR(INDEX(MASTER_JAM!$H$5:$H$94,MATCH($C828,MASTER_JAM!$A$5:$A$94,0))+0,MASTER_JAM!$AC$15)/1000*(60/MASTER_JAM!$AC$12+60/MASTER_JAM!$AC$13)+MASTER_JAM!$AC$14)</f>
        <v/>
      </c>
      <c r="R828" s="158">
        <f>IF(N($F828)=0,0,$F828/SUMIFS(INPUT_RITASE!$F$5:$F$20000,INPUT_RITASE!$A$5:$A$20000,$A828,INPUT_RITASE!$B$5:$B$20000,$B828,INPUT_RITASE!$C$5:$C$20000,$C828,INPUT_RITASE!$D$5:$D$20000,$D828))</f>
        <v/>
      </c>
      <c r="S828" s="158">
        <f>IF($Q828=0,0,$R828*$P828/$Q828)</f>
        <v/>
      </c>
    </row>
    <row r="829">
      <c r="A829" s="155" t="n">
        <v>46106</v>
      </c>
      <c r="B829" s="156" t="inlineStr">
        <is>
          <t>22-23</t>
        </is>
      </c>
      <c r="C829" s="156" t="inlineStr">
        <is>
          <t>EX-755</t>
        </is>
      </c>
      <c r="D829" s="156" t="inlineStr">
        <is>
          <t>DT-516</t>
        </is>
      </c>
      <c r="E829" s="156" t="inlineStr">
        <is>
          <t>OB</t>
        </is>
      </c>
      <c r="F829" s="156" t="n">
        <v>4</v>
      </c>
      <c r="G829" s="156" t="inlineStr"/>
      <c r="H829" s="157">
        <f>IF($B829="","",IF(ISNA(MATCH($B829,MASTER_JAM!$Q$5:$Q$28,0)),"?",IF(MATCH($B829,MASTER_JAM!$Q$5:$Q$28,0)&lt;=12,"DS","NS")))</f>
        <v/>
      </c>
      <c r="I829" s="157">
        <f>IFERROR(INDEX(MASTER_JAM!$B$5:$B$94,MATCH($C829,MASTER_JAM!$A$5:$A$94,0)),"")</f>
        <v/>
      </c>
      <c r="J829" s="157">
        <f>IFERROR(INDEX(MASTER_JAM!$E$5:$E$94,MATCH($D829,MASTER_JAM!$A$5:$A$94,0)),"")</f>
        <v/>
      </c>
      <c r="K829" s="158">
        <f>IFERROR(INDEX(MASTER_JAM!$J$5:$O$12,MATCH($E829,MASTER_JAM!$I$5:$I$12,0),MATCH($J829,MASTER_JAM!$J$4:$O$4,0))+0,0)</f>
        <v/>
      </c>
      <c r="L829" s="159">
        <f>N($F829)*$K829</f>
        <v/>
      </c>
      <c r="M829" s="157">
        <f>IF($E829="","",IF(OR($E829="Coal",$E829="Dirty Coal"),"MT","BCM"))</f>
        <v/>
      </c>
      <c r="N829" s="157">
        <f>IF($E829="","",IF(OR($E829="Coal",$E829="Dirty Coal"),"Coal","OB"))</f>
        <v/>
      </c>
      <c r="O829" s="157">
        <f>IF($F829="","",IF(COUNTIF(MASTER_JAM!$A$5:$A$94,$C829)=0,"Digger tidak dikenal",IF($J829="","Hauler tidak dikenal",IF($H829="?","Jam salah",IF($K829=0,"Faktor kosong",IF(SUMIFS(INPUT_DELAY!$E$5:$E$20000,INPUT_DELAY!$A$5:$A$20000,$A829,INPUT_DELAY!$B$5:$B$20000,$B829,INPUT_DELAY!$C$5:$C$20000,$C829)+SUMIFS(INPUT_DELAY!$E$5:$E$20000,INPUT_DELAY!$A$5:$A$20000,$A829,INPUT_DELAY!$B$5:$B$20000,$B829,INPUT_DELAY!$C$5:$C$20000,"SEMUA")&gt;=60,"Delay 60 mnt tapi ada ritase","OK"))))))</f>
        <v/>
      </c>
      <c r="P829" s="158">
        <f>IFERROR(INDEX(MASTER_JAM!$Z$5:$AC$10,MATCH($I829,MASTER_JAM!$Y$5:$Y$10,0),MATCH($J829,MASTER_JAM!$Z$4:$AC$4,0))+0,0)</f>
        <v/>
      </c>
      <c r="Q829" s="158">
        <f>IF($P829=0,0,$P829+IFERROR(INDEX(MASTER_JAM!$H$5:$H$94,MATCH($C829,MASTER_JAM!$A$5:$A$94,0))+0,MASTER_JAM!$AC$15)/1000*(60/MASTER_JAM!$AC$12+60/MASTER_JAM!$AC$13)+MASTER_JAM!$AC$14)</f>
        <v/>
      </c>
      <c r="R829" s="158">
        <f>IF(N($F829)=0,0,$F829/SUMIFS(INPUT_RITASE!$F$5:$F$20000,INPUT_RITASE!$A$5:$A$20000,$A829,INPUT_RITASE!$B$5:$B$20000,$B829,INPUT_RITASE!$C$5:$C$20000,$C829,INPUT_RITASE!$D$5:$D$20000,$D829))</f>
        <v/>
      </c>
      <c r="S829" s="158">
        <f>IF($Q829=0,0,$R829*$P829/$Q829)</f>
        <v/>
      </c>
    </row>
    <row r="830">
      <c r="A830" s="155" t="n">
        <v>46106</v>
      </c>
      <c r="B830" s="156" t="inlineStr">
        <is>
          <t>22-23</t>
        </is>
      </c>
      <c r="C830" s="156" t="inlineStr">
        <is>
          <t>EX-755</t>
        </is>
      </c>
      <c r="D830" s="156" t="inlineStr">
        <is>
          <t>DT-512</t>
        </is>
      </c>
      <c r="E830" s="156" t="inlineStr">
        <is>
          <t>OB</t>
        </is>
      </c>
      <c r="F830" s="156" t="n">
        <v>3</v>
      </c>
      <c r="G830" s="156" t="inlineStr"/>
      <c r="H830" s="157">
        <f>IF($B830="","",IF(ISNA(MATCH($B830,MASTER_JAM!$Q$5:$Q$28,0)),"?",IF(MATCH($B830,MASTER_JAM!$Q$5:$Q$28,0)&lt;=12,"DS","NS")))</f>
        <v/>
      </c>
      <c r="I830" s="157">
        <f>IFERROR(INDEX(MASTER_JAM!$B$5:$B$94,MATCH($C830,MASTER_JAM!$A$5:$A$94,0)),"")</f>
        <v/>
      </c>
      <c r="J830" s="157">
        <f>IFERROR(INDEX(MASTER_JAM!$E$5:$E$94,MATCH($D830,MASTER_JAM!$A$5:$A$94,0)),"")</f>
        <v/>
      </c>
      <c r="K830" s="158">
        <f>IFERROR(INDEX(MASTER_JAM!$J$5:$O$12,MATCH($E830,MASTER_JAM!$I$5:$I$12,0),MATCH($J830,MASTER_JAM!$J$4:$O$4,0))+0,0)</f>
        <v/>
      </c>
      <c r="L830" s="159">
        <f>N($F830)*$K830</f>
        <v/>
      </c>
      <c r="M830" s="157">
        <f>IF($E830="","",IF(OR($E830="Coal",$E830="Dirty Coal"),"MT","BCM"))</f>
        <v/>
      </c>
      <c r="N830" s="157">
        <f>IF($E830="","",IF(OR($E830="Coal",$E830="Dirty Coal"),"Coal","OB"))</f>
        <v/>
      </c>
      <c r="O830" s="157">
        <f>IF($F830="","",IF(COUNTIF(MASTER_JAM!$A$5:$A$94,$C830)=0,"Digger tidak dikenal",IF($J830="","Hauler tidak dikenal",IF($H830="?","Jam salah",IF($K830=0,"Faktor kosong",IF(SUMIFS(INPUT_DELAY!$E$5:$E$20000,INPUT_DELAY!$A$5:$A$20000,$A830,INPUT_DELAY!$B$5:$B$20000,$B830,INPUT_DELAY!$C$5:$C$20000,$C830)+SUMIFS(INPUT_DELAY!$E$5:$E$20000,INPUT_DELAY!$A$5:$A$20000,$A830,INPUT_DELAY!$B$5:$B$20000,$B830,INPUT_DELAY!$C$5:$C$20000,"SEMUA")&gt;=60,"Delay 60 mnt tapi ada ritase","OK"))))))</f>
        <v/>
      </c>
      <c r="P830" s="158">
        <f>IFERROR(INDEX(MASTER_JAM!$Z$5:$AC$10,MATCH($I830,MASTER_JAM!$Y$5:$Y$10,0),MATCH($J830,MASTER_JAM!$Z$4:$AC$4,0))+0,0)</f>
        <v/>
      </c>
      <c r="Q830" s="158">
        <f>IF($P830=0,0,$P830+IFERROR(INDEX(MASTER_JAM!$H$5:$H$94,MATCH($C830,MASTER_JAM!$A$5:$A$94,0))+0,MASTER_JAM!$AC$15)/1000*(60/MASTER_JAM!$AC$12+60/MASTER_JAM!$AC$13)+MASTER_JAM!$AC$14)</f>
        <v/>
      </c>
      <c r="R830" s="158">
        <f>IF(N($F830)=0,0,$F830/SUMIFS(INPUT_RITASE!$F$5:$F$20000,INPUT_RITASE!$A$5:$A$20000,$A830,INPUT_RITASE!$B$5:$B$20000,$B830,INPUT_RITASE!$C$5:$C$20000,$C830,INPUT_RITASE!$D$5:$D$20000,$D830))</f>
        <v/>
      </c>
      <c r="S830" s="158">
        <f>IF($Q830=0,0,$R830*$P830/$Q830)</f>
        <v/>
      </c>
    </row>
    <row r="831">
      <c r="A831" s="155" t="n">
        <v>46106</v>
      </c>
      <c r="B831" s="156" t="inlineStr">
        <is>
          <t>22-23</t>
        </is>
      </c>
      <c r="C831" s="156" t="inlineStr">
        <is>
          <t>EX-755</t>
        </is>
      </c>
      <c r="D831" s="156" t="inlineStr">
        <is>
          <t>DT-527</t>
        </is>
      </c>
      <c r="E831" s="156" t="inlineStr">
        <is>
          <t>OB</t>
        </is>
      </c>
      <c r="F831" s="156" t="n">
        <v>3</v>
      </c>
      <c r="G831" s="156" t="inlineStr"/>
      <c r="H831" s="157">
        <f>IF($B831="","",IF(ISNA(MATCH($B831,MASTER_JAM!$Q$5:$Q$28,0)),"?",IF(MATCH($B831,MASTER_JAM!$Q$5:$Q$28,0)&lt;=12,"DS","NS")))</f>
        <v/>
      </c>
      <c r="I831" s="157">
        <f>IFERROR(INDEX(MASTER_JAM!$B$5:$B$94,MATCH($C831,MASTER_JAM!$A$5:$A$94,0)),"")</f>
        <v/>
      </c>
      <c r="J831" s="157">
        <f>IFERROR(INDEX(MASTER_JAM!$E$5:$E$94,MATCH($D831,MASTER_JAM!$A$5:$A$94,0)),"")</f>
        <v/>
      </c>
      <c r="K831" s="158">
        <f>IFERROR(INDEX(MASTER_JAM!$J$5:$O$12,MATCH($E831,MASTER_JAM!$I$5:$I$12,0),MATCH($J831,MASTER_JAM!$J$4:$O$4,0))+0,0)</f>
        <v/>
      </c>
      <c r="L831" s="159">
        <f>N($F831)*$K831</f>
        <v/>
      </c>
      <c r="M831" s="157">
        <f>IF($E831="","",IF(OR($E831="Coal",$E831="Dirty Coal"),"MT","BCM"))</f>
        <v/>
      </c>
      <c r="N831" s="157">
        <f>IF($E831="","",IF(OR($E831="Coal",$E831="Dirty Coal"),"Coal","OB"))</f>
        <v/>
      </c>
      <c r="O831" s="157">
        <f>IF($F831="","",IF(COUNTIF(MASTER_JAM!$A$5:$A$94,$C831)=0,"Digger tidak dikenal",IF($J831="","Hauler tidak dikenal",IF($H831="?","Jam salah",IF($K831=0,"Faktor kosong",IF(SUMIFS(INPUT_DELAY!$E$5:$E$20000,INPUT_DELAY!$A$5:$A$20000,$A831,INPUT_DELAY!$B$5:$B$20000,$B831,INPUT_DELAY!$C$5:$C$20000,$C831)+SUMIFS(INPUT_DELAY!$E$5:$E$20000,INPUT_DELAY!$A$5:$A$20000,$A831,INPUT_DELAY!$B$5:$B$20000,$B831,INPUT_DELAY!$C$5:$C$20000,"SEMUA")&gt;=60,"Delay 60 mnt tapi ada ritase","OK"))))))</f>
        <v/>
      </c>
      <c r="P831" s="158">
        <f>IFERROR(INDEX(MASTER_JAM!$Z$5:$AC$10,MATCH($I831,MASTER_JAM!$Y$5:$Y$10,0),MATCH($J831,MASTER_JAM!$Z$4:$AC$4,0))+0,0)</f>
        <v/>
      </c>
      <c r="Q831" s="158">
        <f>IF($P831=0,0,$P831+IFERROR(INDEX(MASTER_JAM!$H$5:$H$94,MATCH($C831,MASTER_JAM!$A$5:$A$94,0))+0,MASTER_JAM!$AC$15)/1000*(60/MASTER_JAM!$AC$12+60/MASTER_JAM!$AC$13)+MASTER_JAM!$AC$14)</f>
        <v/>
      </c>
      <c r="R831" s="158">
        <f>IF(N($F831)=0,0,$F831/SUMIFS(INPUT_RITASE!$F$5:$F$20000,INPUT_RITASE!$A$5:$A$20000,$A831,INPUT_RITASE!$B$5:$B$20000,$B831,INPUT_RITASE!$C$5:$C$20000,$C831,INPUT_RITASE!$D$5:$D$20000,$D831))</f>
        <v/>
      </c>
      <c r="S831" s="158">
        <f>IF($Q831=0,0,$R831*$P831/$Q831)</f>
        <v/>
      </c>
    </row>
    <row r="832">
      <c r="A832" s="155" t="n">
        <v>46106</v>
      </c>
      <c r="B832" s="156" t="inlineStr">
        <is>
          <t>22-23</t>
        </is>
      </c>
      <c r="C832" s="156" t="inlineStr">
        <is>
          <t>EX-755</t>
        </is>
      </c>
      <c r="D832" s="156" t="inlineStr">
        <is>
          <t>DT-506</t>
        </is>
      </c>
      <c r="E832" s="156" t="inlineStr">
        <is>
          <t>OB</t>
        </is>
      </c>
      <c r="F832" s="156" t="n">
        <v>3</v>
      </c>
      <c r="G832" s="156" t="inlineStr"/>
      <c r="H832" s="157">
        <f>IF($B832="","",IF(ISNA(MATCH($B832,MASTER_JAM!$Q$5:$Q$28,0)),"?",IF(MATCH($B832,MASTER_JAM!$Q$5:$Q$28,0)&lt;=12,"DS","NS")))</f>
        <v/>
      </c>
      <c r="I832" s="157">
        <f>IFERROR(INDEX(MASTER_JAM!$B$5:$B$94,MATCH($C832,MASTER_JAM!$A$5:$A$94,0)),"")</f>
        <v/>
      </c>
      <c r="J832" s="157">
        <f>IFERROR(INDEX(MASTER_JAM!$E$5:$E$94,MATCH($D832,MASTER_JAM!$A$5:$A$94,0)),"")</f>
        <v/>
      </c>
      <c r="K832" s="158">
        <f>IFERROR(INDEX(MASTER_JAM!$J$5:$O$12,MATCH($E832,MASTER_JAM!$I$5:$I$12,0),MATCH($J832,MASTER_JAM!$J$4:$O$4,0))+0,0)</f>
        <v/>
      </c>
      <c r="L832" s="159">
        <f>N($F832)*$K832</f>
        <v/>
      </c>
      <c r="M832" s="157">
        <f>IF($E832="","",IF(OR($E832="Coal",$E832="Dirty Coal"),"MT","BCM"))</f>
        <v/>
      </c>
      <c r="N832" s="157">
        <f>IF($E832="","",IF(OR($E832="Coal",$E832="Dirty Coal"),"Coal","OB"))</f>
        <v/>
      </c>
      <c r="O832" s="157">
        <f>IF($F832="","",IF(COUNTIF(MASTER_JAM!$A$5:$A$94,$C832)=0,"Digger tidak dikenal",IF($J832="","Hauler tidak dikenal",IF($H832="?","Jam salah",IF($K832=0,"Faktor kosong",IF(SUMIFS(INPUT_DELAY!$E$5:$E$20000,INPUT_DELAY!$A$5:$A$20000,$A832,INPUT_DELAY!$B$5:$B$20000,$B832,INPUT_DELAY!$C$5:$C$20000,$C832)+SUMIFS(INPUT_DELAY!$E$5:$E$20000,INPUT_DELAY!$A$5:$A$20000,$A832,INPUT_DELAY!$B$5:$B$20000,$B832,INPUT_DELAY!$C$5:$C$20000,"SEMUA")&gt;=60,"Delay 60 mnt tapi ada ritase","OK"))))))</f>
        <v/>
      </c>
      <c r="P832" s="158">
        <f>IFERROR(INDEX(MASTER_JAM!$Z$5:$AC$10,MATCH($I832,MASTER_JAM!$Y$5:$Y$10,0),MATCH($J832,MASTER_JAM!$Z$4:$AC$4,0))+0,0)</f>
        <v/>
      </c>
      <c r="Q832" s="158">
        <f>IF($P832=0,0,$P832+IFERROR(INDEX(MASTER_JAM!$H$5:$H$94,MATCH($C832,MASTER_JAM!$A$5:$A$94,0))+0,MASTER_JAM!$AC$15)/1000*(60/MASTER_JAM!$AC$12+60/MASTER_JAM!$AC$13)+MASTER_JAM!$AC$14)</f>
        <v/>
      </c>
      <c r="R832" s="158">
        <f>IF(N($F832)=0,0,$F832/SUMIFS(INPUT_RITASE!$F$5:$F$20000,INPUT_RITASE!$A$5:$A$20000,$A832,INPUT_RITASE!$B$5:$B$20000,$B832,INPUT_RITASE!$C$5:$C$20000,$C832,INPUT_RITASE!$D$5:$D$20000,$D832))</f>
        <v/>
      </c>
      <c r="S832" s="158">
        <f>IF($Q832=0,0,$R832*$P832/$Q832)</f>
        <v/>
      </c>
    </row>
    <row r="833">
      <c r="A833" s="155" t="n">
        <v>46106</v>
      </c>
      <c r="B833" s="156" t="inlineStr">
        <is>
          <t>23-24</t>
        </is>
      </c>
      <c r="C833" s="156" t="inlineStr">
        <is>
          <t>EX-755</t>
        </is>
      </c>
      <c r="D833" s="156" t="inlineStr">
        <is>
          <t>DT-516</t>
        </is>
      </c>
      <c r="E833" s="156" t="inlineStr">
        <is>
          <t>OB</t>
        </is>
      </c>
      <c r="F833" s="156" t="n">
        <v>4</v>
      </c>
      <c r="G833" s="156" t="inlineStr"/>
      <c r="H833" s="157">
        <f>IF($B833="","",IF(ISNA(MATCH($B833,MASTER_JAM!$Q$5:$Q$28,0)),"?",IF(MATCH($B833,MASTER_JAM!$Q$5:$Q$28,0)&lt;=12,"DS","NS")))</f>
        <v/>
      </c>
      <c r="I833" s="157">
        <f>IFERROR(INDEX(MASTER_JAM!$B$5:$B$94,MATCH($C833,MASTER_JAM!$A$5:$A$94,0)),"")</f>
        <v/>
      </c>
      <c r="J833" s="157">
        <f>IFERROR(INDEX(MASTER_JAM!$E$5:$E$94,MATCH($D833,MASTER_JAM!$A$5:$A$94,0)),"")</f>
        <v/>
      </c>
      <c r="K833" s="158">
        <f>IFERROR(INDEX(MASTER_JAM!$J$5:$O$12,MATCH($E833,MASTER_JAM!$I$5:$I$12,0),MATCH($J833,MASTER_JAM!$J$4:$O$4,0))+0,0)</f>
        <v/>
      </c>
      <c r="L833" s="159">
        <f>N($F833)*$K833</f>
        <v/>
      </c>
      <c r="M833" s="157">
        <f>IF($E833="","",IF(OR($E833="Coal",$E833="Dirty Coal"),"MT","BCM"))</f>
        <v/>
      </c>
      <c r="N833" s="157">
        <f>IF($E833="","",IF(OR($E833="Coal",$E833="Dirty Coal"),"Coal","OB"))</f>
        <v/>
      </c>
      <c r="O833" s="157">
        <f>IF($F833="","",IF(COUNTIF(MASTER_JAM!$A$5:$A$94,$C833)=0,"Digger tidak dikenal",IF($J833="","Hauler tidak dikenal",IF($H833="?","Jam salah",IF($K833=0,"Faktor kosong",IF(SUMIFS(INPUT_DELAY!$E$5:$E$20000,INPUT_DELAY!$A$5:$A$20000,$A833,INPUT_DELAY!$B$5:$B$20000,$B833,INPUT_DELAY!$C$5:$C$20000,$C833)+SUMIFS(INPUT_DELAY!$E$5:$E$20000,INPUT_DELAY!$A$5:$A$20000,$A833,INPUT_DELAY!$B$5:$B$20000,$B833,INPUT_DELAY!$C$5:$C$20000,"SEMUA")&gt;=60,"Delay 60 mnt tapi ada ritase","OK"))))))</f>
        <v/>
      </c>
      <c r="P833" s="158">
        <f>IFERROR(INDEX(MASTER_JAM!$Z$5:$AC$10,MATCH($I833,MASTER_JAM!$Y$5:$Y$10,0),MATCH($J833,MASTER_JAM!$Z$4:$AC$4,0))+0,0)</f>
        <v/>
      </c>
      <c r="Q833" s="158">
        <f>IF($P833=0,0,$P833+IFERROR(INDEX(MASTER_JAM!$H$5:$H$94,MATCH($C833,MASTER_JAM!$A$5:$A$94,0))+0,MASTER_JAM!$AC$15)/1000*(60/MASTER_JAM!$AC$12+60/MASTER_JAM!$AC$13)+MASTER_JAM!$AC$14)</f>
        <v/>
      </c>
      <c r="R833" s="158">
        <f>IF(N($F833)=0,0,$F833/SUMIFS(INPUT_RITASE!$F$5:$F$20000,INPUT_RITASE!$A$5:$A$20000,$A833,INPUT_RITASE!$B$5:$B$20000,$B833,INPUT_RITASE!$C$5:$C$20000,$C833,INPUT_RITASE!$D$5:$D$20000,$D833))</f>
        <v/>
      </c>
      <c r="S833" s="158">
        <f>IF($Q833=0,0,$R833*$P833/$Q833)</f>
        <v/>
      </c>
    </row>
    <row r="834">
      <c r="A834" s="155" t="n">
        <v>46106</v>
      </c>
      <c r="B834" s="156" t="inlineStr">
        <is>
          <t>23-24</t>
        </is>
      </c>
      <c r="C834" s="156" t="inlineStr">
        <is>
          <t>EX-755</t>
        </is>
      </c>
      <c r="D834" s="156" t="inlineStr">
        <is>
          <t>DT-527</t>
        </is>
      </c>
      <c r="E834" s="156" t="inlineStr">
        <is>
          <t>OB</t>
        </is>
      </c>
      <c r="F834" s="156" t="n">
        <v>4</v>
      </c>
      <c r="G834" s="156" t="inlineStr"/>
      <c r="H834" s="157">
        <f>IF($B834="","",IF(ISNA(MATCH($B834,MASTER_JAM!$Q$5:$Q$28,0)),"?",IF(MATCH($B834,MASTER_JAM!$Q$5:$Q$28,0)&lt;=12,"DS","NS")))</f>
        <v/>
      </c>
      <c r="I834" s="157">
        <f>IFERROR(INDEX(MASTER_JAM!$B$5:$B$94,MATCH($C834,MASTER_JAM!$A$5:$A$94,0)),"")</f>
        <v/>
      </c>
      <c r="J834" s="157">
        <f>IFERROR(INDEX(MASTER_JAM!$E$5:$E$94,MATCH($D834,MASTER_JAM!$A$5:$A$94,0)),"")</f>
        <v/>
      </c>
      <c r="K834" s="158">
        <f>IFERROR(INDEX(MASTER_JAM!$J$5:$O$12,MATCH($E834,MASTER_JAM!$I$5:$I$12,0),MATCH($J834,MASTER_JAM!$J$4:$O$4,0))+0,0)</f>
        <v/>
      </c>
      <c r="L834" s="159">
        <f>N($F834)*$K834</f>
        <v/>
      </c>
      <c r="M834" s="157">
        <f>IF($E834="","",IF(OR($E834="Coal",$E834="Dirty Coal"),"MT","BCM"))</f>
        <v/>
      </c>
      <c r="N834" s="157">
        <f>IF($E834="","",IF(OR($E834="Coal",$E834="Dirty Coal"),"Coal","OB"))</f>
        <v/>
      </c>
      <c r="O834" s="157">
        <f>IF($F834="","",IF(COUNTIF(MASTER_JAM!$A$5:$A$94,$C834)=0,"Digger tidak dikenal",IF($J834="","Hauler tidak dikenal",IF($H834="?","Jam salah",IF($K834=0,"Faktor kosong",IF(SUMIFS(INPUT_DELAY!$E$5:$E$20000,INPUT_DELAY!$A$5:$A$20000,$A834,INPUT_DELAY!$B$5:$B$20000,$B834,INPUT_DELAY!$C$5:$C$20000,$C834)+SUMIFS(INPUT_DELAY!$E$5:$E$20000,INPUT_DELAY!$A$5:$A$20000,$A834,INPUT_DELAY!$B$5:$B$20000,$B834,INPUT_DELAY!$C$5:$C$20000,"SEMUA")&gt;=60,"Delay 60 mnt tapi ada ritase","OK"))))))</f>
        <v/>
      </c>
      <c r="P834" s="158">
        <f>IFERROR(INDEX(MASTER_JAM!$Z$5:$AC$10,MATCH($I834,MASTER_JAM!$Y$5:$Y$10,0),MATCH($J834,MASTER_JAM!$Z$4:$AC$4,0))+0,0)</f>
        <v/>
      </c>
      <c r="Q834" s="158">
        <f>IF($P834=0,0,$P834+IFERROR(INDEX(MASTER_JAM!$H$5:$H$94,MATCH($C834,MASTER_JAM!$A$5:$A$94,0))+0,MASTER_JAM!$AC$15)/1000*(60/MASTER_JAM!$AC$12+60/MASTER_JAM!$AC$13)+MASTER_JAM!$AC$14)</f>
        <v/>
      </c>
      <c r="R834" s="158">
        <f>IF(N($F834)=0,0,$F834/SUMIFS(INPUT_RITASE!$F$5:$F$20000,INPUT_RITASE!$A$5:$A$20000,$A834,INPUT_RITASE!$B$5:$B$20000,$B834,INPUT_RITASE!$C$5:$C$20000,$C834,INPUT_RITASE!$D$5:$D$20000,$D834))</f>
        <v/>
      </c>
      <c r="S834" s="158">
        <f>IF($Q834=0,0,$R834*$P834/$Q834)</f>
        <v/>
      </c>
    </row>
    <row r="835">
      <c r="A835" s="155" t="n">
        <v>46106</v>
      </c>
      <c r="B835" s="156" t="inlineStr">
        <is>
          <t>23-24</t>
        </is>
      </c>
      <c r="C835" s="156" t="inlineStr">
        <is>
          <t>EX-755</t>
        </is>
      </c>
      <c r="D835" s="156" t="inlineStr">
        <is>
          <t>DT-512</t>
        </is>
      </c>
      <c r="E835" s="156" t="inlineStr">
        <is>
          <t>OB</t>
        </is>
      </c>
      <c r="F835" s="156" t="n">
        <v>4</v>
      </c>
      <c r="G835" s="156" t="inlineStr"/>
      <c r="H835" s="157">
        <f>IF($B835="","",IF(ISNA(MATCH($B835,MASTER_JAM!$Q$5:$Q$28,0)),"?",IF(MATCH($B835,MASTER_JAM!$Q$5:$Q$28,0)&lt;=12,"DS","NS")))</f>
        <v/>
      </c>
      <c r="I835" s="157">
        <f>IFERROR(INDEX(MASTER_JAM!$B$5:$B$94,MATCH($C835,MASTER_JAM!$A$5:$A$94,0)),"")</f>
        <v/>
      </c>
      <c r="J835" s="157">
        <f>IFERROR(INDEX(MASTER_JAM!$E$5:$E$94,MATCH($D835,MASTER_JAM!$A$5:$A$94,0)),"")</f>
        <v/>
      </c>
      <c r="K835" s="158">
        <f>IFERROR(INDEX(MASTER_JAM!$J$5:$O$12,MATCH($E835,MASTER_JAM!$I$5:$I$12,0),MATCH($J835,MASTER_JAM!$J$4:$O$4,0))+0,0)</f>
        <v/>
      </c>
      <c r="L835" s="159">
        <f>N($F835)*$K835</f>
        <v/>
      </c>
      <c r="M835" s="157">
        <f>IF($E835="","",IF(OR($E835="Coal",$E835="Dirty Coal"),"MT","BCM"))</f>
        <v/>
      </c>
      <c r="N835" s="157">
        <f>IF($E835="","",IF(OR($E835="Coal",$E835="Dirty Coal"),"Coal","OB"))</f>
        <v/>
      </c>
      <c r="O835" s="157">
        <f>IF($F835="","",IF(COUNTIF(MASTER_JAM!$A$5:$A$94,$C835)=0,"Digger tidak dikenal",IF($J835="","Hauler tidak dikenal",IF($H835="?","Jam salah",IF($K835=0,"Faktor kosong",IF(SUMIFS(INPUT_DELAY!$E$5:$E$20000,INPUT_DELAY!$A$5:$A$20000,$A835,INPUT_DELAY!$B$5:$B$20000,$B835,INPUT_DELAY!$C$5:$C$20000,$C835)+SUMIFS(INPUT_DELAY!$E$5:$E$20000,INPUT_DELAY!$A$5:$A$20000,$A835,INPUT_DELAY!$B$5:$B$20000,$B835,INPUT_DELAY!$C$5:$C$20000,"SEMUA")&gt;=60,"Delay 60 mnt tapi ada ritase","OK"))))))</f>
        <v/>
      </c>
      <c r="P835" s="158">
        <f>IFERROR(INDEX(MASTER_JAM!$Z$5:$AC$10,MATCH($I835,MASTER_JAM!$Y$5:$Y$10,0),MATCH($J835,MASTER_JAM!$Z$4:$AC$4,0))+0,0)</f>
        <v/>
      </c>
      <c r="Q835" s="158">
        <f>IF($P835=0,0,$P835+IFERROR(INDEX(MASTER_JAM!$H$5:$H$94,MATCH($C835,MASTER_JAM!$A$5:$A$94,0))+0,MASTER_JAM!$AC$15)/1000*(60/MASTER_JAM!$AC$12+60/MASTER_JAM!$AC$13)+MASTER_JAM!$AC$14)</f>
        <v/>
      </c>
      <c r="R835" s="158">
        <f>IF(N($F835)=0,0,$F835/SUMIFS(INPUT_RITASE!$F$5:$F$20000,INPUT_RITASE!$A$5:$A$20000,$A835,INPUT_RITASE!$B$5:$B$20000,$B835,INPUT_RITASE!$C$5:$C$20000,$C835,INPUT_RITASE!$D$5:$D$20000,$D835))</f>
        <v/>
      </c>
      <c r="S835" s="158">
        <f>IF($Q835=0,0,$R835*$P835/$Q835)</f>
        <v/>
      </c>
    </row>
    <row r="836">
      <c r="A836" s="155" t="n">
        <v>46106</v>
      </c>
      <c r="B836" s="156" t="inlineStr">
        <is>
          <t>23-24</t>
        </is>
      </c>
      <c r="C836" s="156" t="inlineStr">
        <is>
          <t>EX-755</t>
        </is>
      </c>
      <c r="D836" s="156" t="inlineStr">
        <is>
          <t>DT-517</t>
        </is>
      </c>
      <c r="E836" s="156" t="inlineStr">
        <is>
          <t>OB</t>
        </is>
      </c>
      <c r="F836" s="156" t="n">
        <v>3</v>
      </c>
      <c r="G836" s="156" t="inlineStr"/>
      <c r="H836" s="157">
        <f>IF($B836="","",IF(ISNA(MATCH($B836,MASTER_JAM!$Q$5:$Q$28,0)),"?",IF(MATCH($B836,MASTER_JAM!$Q$5:$Q$28,0)&lt;=12,"DS","NS")))</f>
        <v/>
      </c>
      <c r="I836" s="157">
        <f>IFERROR(INDEX(MASTER_JAM!$B$5:$B$94,MATCH($C836,MASTER_JAM!$A$5:$A$94,0)),"")</f>
        <v/>
      </c>
      <c r="J836" s="157">
        <f>IFERROR(INDEX(MASTER_JAM!$E$5:$E$94,MATCH($D836,MASTER_JAM!$A$5:$A$94,0)),"")</f>
        <v/>
      </c>
      <c r="K836" s="158">
        <f>IFERROR(INDEX(MASTER_JAM!$J$5:$O$12,MATCH($E836,MASTER_JAM!$I$5:$I$12,0),MATCH($J836,MASTER_JAM!$J$4:$O$4,0))+0,0)</f>
        <v/>
      </c>
      <c r="L836" s="159">
        <f>N($F836)*$K836</f>
        <v/>
      </c>
      <c r="M836" s="157">
        <f>IF($E836="","",IF(OR($E836="Coal",$E836="Dirty Coal"),"MT","BCM"))</f>
        <v/>
      </c>
      <c r="N836" s="157">
        <f>IF($E836="","",IF(OR($E836="Coal",$E836="Dirty Coal"),"Coal","OB"))</f>
        <v/>
      </c>
      <c r="O836" s="157">
        <f>IF($F836="","",IF(COUNTIF(MASTER_JAM!$A$5:$A$94,$C836)=0,"Digger tidak dikenal",IF($J836="","Hauler tidak dikenal",IF($H836="?","Jam salah",IF($K836=0,"Faktor kosong",IF(SUMIFS(INPUT_DELAY!$E$5:$E$20000,INPUT_DELAY!$A$5:$A$20000,$A836,INPUT_DELAY!$B$5:$B$20000,$B836,INPUT_DELAY!$C$5:$C$20000,$C836)+SUMIFS(INPUT_DELAY!$E$5:$E$20000,INPUT_DELAY!$A$5:$A$20000,$A836,INPUT_DELAY!$B$5:$B$20000,$B836,INPUT_DELAY!$C$5:$C$20000,"SEMUA")&gt;=60,"Delay 60 mnt tapi ada ritase","OK"))))))</f>
        <v/>
      </c>
      <c r="P836" s="158">
        <f>IFERROR(INDEX(MASTER_JAM!$Z$5:$AC$10,MATCH($I836,MASTER_JAM!$Y$5:$Y$10,0),MATCH($J836,MASTER_JAM!$Z$4:$AC$4,0))+0,0)</f>
        <v/>
      </c>
      <c r="Q836" s="158">
        <f>IF($P836=0,0,$P836+IFERROR(INDEX(MASTER_JAM!$H$5:$H$94,MATCH($C836,MASTER_JAM!$A$5:$A$94,0))+0,MASTER_JAM!$AC$15)/1000*(60/MASTER_JAM!$AC$12+60/MASTER_JAM!$AC$13)+MASTER_JAM!$AC$14)</f>
        <v/>
      </c>
      <c r="R836" s="158">
        <f>IF(N($F836)=0,0,$F836/SUMIFS(INPUT_RITASE!$F$5:$F$20000,INPUT_RITASE!$A$5:$A$20000,$A836,INPUT_RITASE!$B$5:$B$20000,$B836,INPUT_RITASE!$C$5:$C$20000,$C836,INPUT_RITASE!$D$5:$D$20000,$D836))</f>
        <v/>
      </c>
      <c r="S836" s="158">
        <f>IF($Q836=0,0,$R836*$P836/$Q836)</f>
        <v/>
      </c>
    </row>
    <row r="837">
      <c r="A837" s="155" t="n">
        <v>46106</v>
      </c>
      <c r="B837" s="156" t="inlineStr">
        <is>
          <t>23-24</t>
        </is>
      </c>
      <c r="C837" s="156" t="inlineStr">
        <is>
          <t>EX-755</t>
        </is>
      </c>
      <c r="D837" s="156" t="inlineStr">
        <is>
          <t>DT-508</t>
        </is>
      </c>
      <c r="E837" s="156" t="inlineStr">
        <is>
          <t>OB</t>
        </is>
      </c>
      <c r="F837" s="156" t="n">
        <v>3</v>
      </c>
      <c r="G837" s="156" t="inlineStr"/>
      <c r="H837" s="157">
        <f>IF($B837="","",IF(ISNA(MATCH($B837,MASTER_JAM!$Q$5:$Q$28,0)),"?",IF(MATCH($B837,MASTER_JAM!$Q$5:$Q$28,0)&lt;=12,"DS","NS")))</f>
        <v/>
      </c>
      <c r="I837" s="157">
        <f>IFERROR(INDEX(MASTER_JAM!$B$5:$B$94,MATCH($C837,MASTER_JAM!$A$5:$A$94,0)),"")</f>
        <v/>
      </c>
      <c r="J837" s="157">
        <f>IFERROR(INDEX(MASTER_JAM!$E$5:$E$94,MATCH($D837,MASTER_JAM!$A$5:$A$94,0)),"")</f>
        <v/>
      </c>
      <c r="K837" s="158">
        <f>IFERROR(INDEX(MASTER_JAM!$J$5:$O$12,MATCH($E837,MASTER_JAM!$I$5:$I$12,0),MATCH($J837,MASTER_JAM!$J$4:$O$4,0))+0,0)</f>
        <v/>
      </c>
      <c r="L837" s="159">
        <f>N($F837)*$K837</f>
        <v/>
      </c>
      <c r="M837" s="157">
        <f>IF($E837="","",IF(OR($E837="Coal",$E837="Dirty Coal"),"MT","BCM"))</f>
        <v/>
      </c>
      <c r="N837" s="157">
        <f>IF($E837="","",IF(OR($E837="Coal",$E837="Dirty Coal"),"Coal","OB"))</f>
        <v/>
      </c>
      <c r="O837" s="157">
        <f>IF($F837="","",IF(COUNTIF(MASTER_JAM!$A$5:$A$94,$C837)=0,"Digger tidak dikenal",IF($J837="","Hauler tidak dikenal",IF($H837="?","Jam salah",IF($K837=0,"Faktor kosong",IF(SUMIFS(INPUT_DELAY!$E$5:$E$20000,INPUT_DELAY!$A$5:$A$20000,$A837,INPUT_DELAY!$B$5:$B$20000,$B837,INPUT_DELAY!$C$5:$C$20000,$C837)+SUMIFS(INPUT_DELAY!$E$5:$E$20000,INPUT_DELAY!$A$5:$A$20000,$A837,INPUT_DELAY!$B$5:$B$20000,$B837,INPUT_DELAY!$C$5:$C$20000,"SEMUA")&gt;=60,"Delay 60 mnt tapi ada ritase","OK"))))))</f>
        <v/>
      </c>
      <c r="P837" s="158">
        <f>IFERROR(INDEX(MASTER_JAM!$Z$5:$AC$10,MATCH($I837,MASTER_JAM!$Y$5:$Y$10,0),MATCH($J837,MASTER_JAM!$Z$4:$AC$4,0))+0,0)</f>
        <v/>
      </c>
      <c r="Q837" s="158">
        <f>IF($P837=0,0,$P837+IFERROR(INDEX(MASTER_JAM!$H$5:$H$94,MATCH($C837,MASTER_JAM!$A$5:$A$94,0))+0,MASTER_JAM!$AC$15)/1000*(60/MASTER_JAM!$AC$12+60/MASTER_JAM!$AC$13)+MASTER_JAM!$AC$14)</f>
        <v/>
      </c>
      <c r="R837" s="158">
        <f>IF(N($F837)=0,0,$F837/SUMIFS(INPUT_RITASE!$F$5:$F$20000,INPUT_RITASE!$A$5:$A$20000,$A837,INPUT_RITASE!$B$5:$B$20000,$B837,INPUT_RITASE!$C$5:$C$20000,$C837,INPUT_RITASE!$D$5:$D$20000,$D837))</f>
        <v/>
      </c>
      <c r="S837" s="158">
        <f>IF($Q837=0,0,$R837*$P837/$Q837)</f>
        <v/>
      </c>
    </row>
    <row r="838">
      <c r="A838" s="155" t="n">
        <v>46106</v>
      </c>
      <c r="B838" s="156" t="inlineStr">
        <is>
          <t>23-24</t>
        </is>
      </c>
      <c r="C838" s="156" t="inlineStr">
        <is>
          <t>EX-755</t>
        </is>
      </c>
      <c r="D838" s="156" t="inlineStr">
        <is>
          <t>DT-506</t>
        </is>
      </c>
      <c r="E838" s="156" t="inlineStr">
        <is>
          <t>OB</t>
        </is>
      </c>
      <c r="F838" s="156" t="n">
        <v>3</v>
      </c>
      <c r="G838" s="156" t="inlineStr"/>
      <c r="H838" s="157">
        <f>IF($B838="","",IF(ISNA(MATCH($B838,MASTER_JAM!$Q$5:$Q$28,0)),"?",IF(MATCH($B838,MASTER_JAM!$Q$5:$Q$28,0)&lt;=12,"DS","NS")))</f>
        <v/>
      </c>
      <c r="I838" s="157">
        <f>IFERROR(INDEX(MASTER_JAM!$B$5:$B$94,MATCH($C838,MASTER_JAM!$A$5:$A$94,0)),"")</f>
        <v/>
      </c>
      <c r="J838" s="157">
        <f>IFERROR(INDEX(MASTER_JAM!$E$5:$E$94,MATCH($D838,MASTER_JAM!$A$5:$A$94,0)),"")</f>
        <v/>
      </c>
      <c r="K838" s="158">
        <f>IFERROR(INDEX(MASTER_JAM!$J$5:$O$12,MATCH($E838,MASTER_JAM!$I$5:$I$12,0),MATCH($J838,MASTER_JAM!$J$4:$O$4,0))+0,0)</f>
        <v/>
      </c>
      <c r="L838" s="159">
        <f>N($F838)*$K838</f>
        <v/>
      </c>
      <c r="M838" s="157">
        <f>IF($E838="","",IF(OR($E838="Coal",$E838="Dirty Coal"),"MT","BCM"))</f>
        <v/>
      </c>
      <c r="N838" s="157">
        <f>IF($E838="","",IF(OR($E838="Coal",$E838="Dirty Coal"),"Coal","OB"))</f>
        <v/>
      </c>
      <c r="O838" s="157">
        <f>IF($F838="","",IF(COUNTIF(MASTER_JAM!$A$5:$A$94,$C838)=0,"Digger tidak dikenal",IF($J838="","Hauler tidak dikenal",IF($H838="?","Jam salah",IF($K838=0,"Faktor kosong",IF(SUMIFS(INPUT_DELAY!$E$5:$E$20000,INPUT_DELAY!$A$5:$A$20000,$A838,INPUT_DELAY!$B$5:$B$20000,$B838,INPUT_DELAY!$C$5:$C$20000,$C838)+SUMIFS(INPUT_DELAY!$E$5:$E$20000,INPUT_DELAY!$A$5:$A$20000,$A838,INPUT_DELAY!$B$5:$B$20000,$B838,INPUT_DELAY!$C$5:$C$20000,"SEMUA")&gt;=60,"Delay 60 mnt tapi ada ritase","OK"))))))</f>
        <v/>
      </c>
      <c r="P838" s="158">
        <f>IFERROR(INDEX(MASTER_JAM!$Z$5:$AC$10,MATCH($I838,MASTER_JAM!$Y$5:$Y$10,0),MATCH($J838,MASTER_JAM!$Z$4:$AC$4,0))+0,0)</f>
        <v/>
      </c>
      <c r="Q838" s="158">
        <f>IF($P838=0,0,$P838+IFERROR(INDEX(MASTER_JAM!$H$5:$H$94,MATCH($C838,MASTER_JAM!$A$5:$A$94,0))+0,MASTER_JAM!$AC$15)/1000*(60/MASTER_JAM!$AC$12+60/MASTER_JAM!$AC$13)+MASTER_JAM!$AC$14)</f>
        <v/>
      </c>
      <c r="R838" s="158">
        <f>IF(N($F838)=0,0,$F838/SUMIFS(INPUT_RITASE!$F$5:$F$20000,INPUT_RITASE!$A$5:$A$20000,$A838,INPUT_RITASE!$B$5:$B$20000,$B838,INPUT_RITASE!$C$5:$C$20000,$C838,INPUT_RITASE!$D$5:$D$20000,$D838))</f>
        <v/>
      </c>
      <c r="S838" s="158">
        <f>IF($Q838=0,0,$R838*$P838/$Q838)</f>
        <v/>
      </c>
    </row>
    <row r="839">
      <c r="A839" s="155" t="n">
        <v>46106</v>
      </c>
      <c r="B839" s="156" t="inlineStr">
        <is>
          <t>01-02</t>
        </is>
      </c>
      <c r="C839" s="156" t="inlineStr">
        <is>
          <t>EX-755</t>
        </is>
      </c>
      <c r="D839" s="156" t="inlineStr">
        <is>
          <t>DT-516</t>
        </is>
      </c>
      <c r="E839" s="156" t="inlineStr">
        <is>
          <t>OB</t>
        </is>
      </c>
      <c r="F839" s="156" t="n">
        <v>4</v>
      </c>
      <c r="G839" s="156" t="inlineStr"/>
      <c r="H839" s="157">
        <f>IF($B839="","",IF(ISNA(MATCH($B839,MASTER_JAM!$Q$5:$Q$28,0)),"?",IF(MATCH($B839,MASTER_JAM!$Q$5:$Q$28,0)&lt;=12,"DS","NS")))</f>
        <v/>
      </c>
      <c r="I839" s="157">
        <f>IFERROR(INDEX(MASTER_JAM!$B$5:$B$94,MATCH($C839,MASTER_JAM!$A$5:$A$94,0)),"")</f>
        <v/>
      </c>
      <c r="J839" s="157">
        <f>IFERROR(INDEX(MASTER_JAM!$E$5:$E$94,MATCH($D839,MASTER_JAM!$A$5:$A$94,0)),"")</f>
        <v/>
      </c>
      <c r="K839" s="158">
        <f>IFERROR(INDEX(MASTER_JAM!$J$5:$O$12,MATCH($E839,MASTER_JAM!$I$5:$I$12,0),MATCH($J839,MASTER_JAM!$J$4:$O$4,0))+0,0)</f>
        <v/>
      </c>
      <c r="L839" s="159">
        <f>N($F839)*$K839</f>
        <v/>
      </c>
      <c r="M839" s="157">
        <f>IF($E839="","",IF(OR($E839="Coal",$E839="Dirty Coal"),"MT","BCM"))</f>
        <v/>
      </c>
      <c r="N839" s="157">
        <f>IF($E839="","",IF(OR($E839="Coal",$E839="Dirty Coal"),"Coal","OB"))</f>
        <v/>
      </c>
      <c r="O839" s="157">
        <f>IF($F839="","",IF(COUNTIF(MASTER_JAM!$A$5:$A$94,$C839)=0,"Digger tidak dikenal",IF($J839="","Hauler tidak dikenal",IF($H839="?","Jam salah",IF($K839=0,"Faktor kosong",IF(SUMIFS(INPUT_DELAY!$E$5:$E$20000,INPUT_DELAY!$A$5:$A$20000,$A839,INPUT_DELAY!$B$5:$B$20000,$B839,INPUT_DELAY!$C$5:$C$20000,$C839)+SUMIFS(INPUT_DELAY!$E$5:$E$20000,INPUT_DELAY!$A$5:$A$20000,$A839,INPUT_DELAY!$B$5:$B$20000,$B839,INPUT_DELAY!$C$5:$C$20000,"SEMUA")&gt;=60,"Delay 60 mnt tapi ada ritase","OK"))))))</f>
        <v/>
      </c>
      <c r="P839" s="158">
        <f>IFERROR(INDEX(MASTER_JAM!$Z$5:$AC$10,MATCH($I839,MASTER_JAM!$Y$5:$Y$10,0),MATCH($J839,MASTER_JAM!$Z$4:$AC$4,0))+0,0)</f>
        <v/>
      </c>
      <c r="Q839" s="158">
        <f>IF($P839=0,0,$P839+IFERROR(INDEX(MASTER_JAM!$H$5:$H$94,MATCH($C839,MASTER_JAM!$A$5:$A$94,0))+0,MASTER_JAM!$AC$15)/1000*(60/MASTER_JAM!$AC$12+60/MASTER_JAM!$AC$13)+MASTER_JAM!$AC$14)</f>
        <v/>
      </c>
      <c r="R839" s="158">
        <f>IF(N($F839)=0,0,$F839/SUMIFS(INPUT_RITASE!$F$5:$F$20000,INPUT_RITASE!$A$5:$A$20000,$A839,INPUT_RITASE!$B$5:$B$20000,$B839,INPUT_RITASE!$C$5:$C$20000,$C839,INPUT_RITASE!$D$5:$D$20000,$D839))</f>
        <v/>
      </c>
      <c r="S839" s="158">
        <f>IF($Q839=0,0,$R839*$P839/$Q839)</f>
        <v/>
      </c>
    </row>
    <row r="840">
      <c r="A840" s="155" t="n">
        <v>46106</v>
      </c>
      <c r="B840" s="156" t="inlineStr">
        <is>
          <t>01-02</t>
        </is>
      </c>
      <c r="C840" s="156" t="inlineStr">
        <is>
          <t>EX-755</t>
        </is>
      </c>
      <c r="D840" s="156" t="inlineStr">
        <is>
          <t>DT-507</t>
        </is>
      </c>
      <c r="E840" s="156" t="inlineStr">
        <is>
          <t>OB</t>
        </is>
      </c>
      <c r="F840" s="156" t="n">
        <v>4</v>
      </c>
      <c r="G840" s="156" t="inlineStr"/>
      <c r="H840" s="157">
        <f>IF($B840="","",IF(ISNA(MATCH($B840,MASTER_JAM!$Q$5:$Q$28,0)),"?",IF(MATCH($B840,MASTER_JAM!$Q$5:$Q$28,0)&lt;=12,"DS","NS")))</f>
        <v/>
      </c>
      <c r="I840" s="157">
        <f>IFERROR(INDEX(MASTER_JAM!$B$5:$B$94,MATCH($C840,MASTER_JAM!$A$5:$A$94,0)),"")</f>
        <v/>
      </c>
      <c r="J840" s="157">
        <f>IFERROR(INDEX(MASTER_JAM!$E$5:$E$94,MATCH($D840,MASTER_JAM!$A$5:$A$94,0)),"")</f>
        <v/>
      </c>
      <c r="K840" s="158">
        <f>IFERROR(INDEX(MASTER_JAM!$J$5:$O$12,MATCH($E840,MASTER_JAM!$I$5:$I$12,0),MATCH($J840,MASTER_JAM!$J$4:$O$4,0))+0,0)</f>
        <v/>
      </c>
      <c r="L840" s="159">
        <f>N($F840)*$K840</f>
        <v/>
      </c>
      <c r="M840" s="157">
        <f>IF($E840="","",IF(OR($E840="Coal",$E840="Dirty Coal"),"MT","BCM"))</f>
        <v/>
      </c>
      <c r="N840" s="157">
        <f>IF($E840="","",IF(OR($E840="Coal",$E840="Dirty Coal"),"Coal","OB"))</f>
        <v/>
      </c>
      <c r="O840" s="157">
        <f>IF($F840="","",IF(COUNTIF(MASTER_JAM!$A$5:$A$94,$C840)=0,"Digger tidak dikenal",IF($J840="","Hauler tidak dikenal",IF($H840="?","Jam salah",IF($K840=0,"Faktor kosong",IF(SUMIFS(INPUT_DELAY!$E$5:$E$20000,INPUT_DELAY!$A$5:$A$20000,$A840,INPUT_DELAY!$B$5:$B$20000,$B840,INPUT_DELAY!$C$5:$C$20000,$C840)+SUMIFS(INPUT_DELAY!$E$5:$E$20000,INPUT_DELAY!$A$5:$A$20000,$A840,INPUT_DELAY!$B$5:$B$20000,$B840,INPUT_DELAY!$C$5:$C$20000,"SEMUA")&gt;=60,"Delay 60 mnt tapi ada ritase","OK"))))))</f>
        <v/>
      </c>
      <c r="P840" s="158">
        <f>IFERROR(INDEX(MASTER_JAM!$Z$5:$AC$10,MATCH($I840,MASTER_JAM!$Y$5:$Y$10,0),MATCH($J840,MASTER_JAM!$Z$4:$AC$4,0))+0,0)</f>
        <v/>
      </c>
      <c r="Q840" s="158">
        <f>IF($P840=0,0,$P840+IFERROR(INDEX(MASTER_JAM!$H$5:$H$94,MATCH($C840,MASTER_JAM!$A$5:$A$94,0))+0,MASTER_JAM!$AC$15)/1000*(60/MASTER_JAM!$AC$12+60/MASTER_JAM!$AC$13)+MASTER_JAM!$AC$14)</f>
        <v/>
      </c>
      <c r="R840" s="158">
        <f>IF(N($F840)=0,0,$F840/SUMIFS(INPUT_RITASE!$F$5:$F$20000,INPUT_RITASE!$A$5:$A$20000,$A840,INPUT_RITASE!$B$5:$B$20000,$B840,INPUT_RITASE!$C$5:$C$20000,$C840,INPUT_RITASE!$D$5:$D$20000,$D840))</f>
        <v/>
      </c>
      <c r="S840" s="158">
        <f>IF($Q840=0,0,$R840*$P840/$Q840)</f>
        <v/>
      </c>
    </row>
    <row r="841">
      <c r="A841" s="155" t="n">
        <v>46106</v>
      </c>
      <c r="B841" s="156" t="inlineStr">
        <is>
          <t>01-02</t>
        </is>
      </c>
      <c r="C841" s="156" t="inlineStr">
        <is>
          <t>EX-755</t>
        </is>
      </c>
      <c r="D841" s="156" t="inlineStr">
        <is>
          <t>DT-510</t>
        </is>
      </c>
      <c r="E841" s="156" t="inlineStr">
        <is>
          <t>OB</t>
        </is>
      </c>
      <c r="F841" s="156" t="n">
        <v>4</v>
      </c>
      <c r="G841" s="156" t="inlineStr"/>
      <c r="H841" s="157">
        <f>IF($B841="","",IF(ISNA(MATCH($B841,MASTER_JAM!$Q$5:$Q$28,0)),"?",IF(MATCH($B841,MASTER_JAM!$Q$5:$Q$28,0)&lt;=12,"DS","NS")))</f>
        <v/>
      </c>
      <c r="I841" s="157">
        <f>IFERROR(INDEX(MASTER_JAM!$B$5:$B$94,MATCH($C841,MASTER_JAM!$A$5:$A$94,0)),"")</f>
        <v/>
      </c>
      <c r="J841" s="157">
        <f>IFERROR(INDEX(MASTER_JAM!$E$5:$E$94,MATCH($D841,MASTER_JAM!$A$5:$A$94,0)),"")</f>
        <v/>
      </c>
      <c r="K841" s="158">
        <f>IFERROR(INDEX(MASTER_JAM!$J$5:$O$12,MATCH($E841,MASTER_JAM!$I$5:$I$12,0),MATCH($J841,MASTER_JAM!$J$4:$O$4,0))+0,0)</f>
        <v/>
      </c>
      <c r="L841" s="159">
        <f>N($F841)*$K841</f>
        <v/>
      </c>
      <c r="M841" s="157">
        <f>IF($E841="","",IF(OR($E841="Coal",$E841="Dirty Coal"),"MT","BCM"))</f>
        <v/>
      </c>
      <c r="N841" s="157">
        <f>IF($E841="","",IF(OR($E841="Coal",$E841="Dirty Coal"),"Coal","OB"))</f>
        <v/>
      </c>
      <c r="O841" s="157">
        <f>IF($F841="","",IF(COUNTIF(MASTER_JAM!$A$5:$A$94,$C841)=0,"Digger tidak dikenal",IF($J841="","Hauler tidak dikenal",IF($H841="?","Jam salah",IF($K841=0,"Faktor kosong",IF(SUMIFS(INPUT_DELAY!$E$5:$E$20000,INPUT_DELAY!$A$5:$A$20000,$A841,INPUT_DELAY!$B$5:$B$20000,$B841,INPUT_DELAY!$C$5:$C$20000,$C841)+SUMIFS(INPUT_DELAY!$E$5:$E$20000,INPUT_DELAY!$A$5:$A$20000,$A841,INPUT_DELAY!$B$5:$B$20000,$B841,INPUT_DELAY!$C$5:$C$20000,"SEMUA")&gt;=60,"Delay 60 mnt tapi ada ritase","OK"))))))</f>
        <v/>
      </c>
      <c r="P841" s="158">
        <f>IFERROR(INDEX(MASTER_JAM!$Z$5:$AC$10,MATCH($I841,MASTER_JAM!$Y$5:$Y$10,0),MATCH($J841,MASTER_JAM!$Z$4:$AC$4,0))+0,0)</f>
        <v/>
      </c>
      <c r="Q841" s="158">
        <f>IF($P841=0,0,$P841+IFERROR(INDEX(MASTER_JAM!$H$5:$H$94,MATCH($C841,MASTER_JAM!$A$5:$A$94,0))+0,MASTER_JAM!$AC$15)/1000*(60/MASTER_JAM!$AC$12+60/MASTER_JAM!$AC$13)+MASTER_JAM!$AC$14)</f>
        <v/>
      </c>
      <c r="R841" s="158">
        <f>IF(N($F841)=0,0,$F841/SUMIFS(INPUT_RITASE!$F$5:$F$20000,INPUT_RITASE!$A$5:$A$20000,$A841,INPUT_RITASE!$B$5:$B$20000,$B841,INPUT_RITASE!$C$5:$C$20000,$C841,INPUT_RITASE!$D$5:$D$20000,$D841))</f>
        <v/>
      </c>
      <c r="S841" s="158">
        <f>IF($Q841=0,0,$R841*$P841/$Q841)</f>
        <v/>
      </c>
    </row>
    <row r="842">
      <c r="A842" s="155" t="n">
        <v>46106</v>
      </c>
      <c r="B842" s="156" t="inlineStr">
        <is>
          <t>01-02</t>
        </is>
      </c>
      <c r="C842" s="156" t="inlineStr">
        <is>
          <t>EX-755</t>
        </is>
      </c>
      <c r="D842" s="156" t="inlineStr">
        <is>
          <t>DT-503</t>
        </is>
      </c>
      <c r="E842" s="156" t="inlineStr">
        <is>
          <t>OB</t>
        </is>
      </c>
      <c r="F842" s="156" t="n">
        <v>4</v>
      </c>
      <c r="G842" s="156" t="inlineStr"/>
      <c r="H842" s="157">
        <f>IF($B842="","",IF(ISNA(MATCH($B842,MASTER_JAM!$Q$5:$Q$28,0)),"?",IF(MATCH($B842,MASTER_JAM!$Q$5:$Q$28,0)&lt;=12,"DS","NS")))</f>
        <v/>
      </c>
      <c r="I842" s="157">
        <f>IFERROR(INDEX(MASTER_JAM!$B$5:$B$94,MATCH($C842,MASTER_JAM!$A$5:$A$94,0)),"")</f>
        <v/>
      </c>
      <c r="J842" s="157">
        <f>IFERROR(INDEX(MASTER_JAM!$E$5:$E$94,MATCH($D842,MASTER_JAM!$A$5:$A$94,0)),"")</f>
        <v/>
      </c>
      <c r="K842" s="158">
        <f>IFERROR(INDEX(MASTER_JAM!$J$5:$O$12,MATCH($E842,MASTER_JAM!$I$5:$I$12,0),MATCH($J842,MASTER_JAM!$J$4:$O$4,0))+0,0)</f>
        <v/>
      </c>
      <c r="L842" s="159">
        <f>N($F842)*$K842</f>
        <v/>
      </c>
      <c r="M842" s="157">
        <f>IF($E842="","",IF(OR($E842="Coal",$E842="Dirty Coal"),"MT","BCM"))</f>
        <v/>
      </c>
      <c r="N842" s="157">
        <f>IF($E842="","",IF(OR($E842="Coal",$E842="Dirty Coal"),"Coal","OB"))</f>
        <v/>
      </c>
      <c r="O842" s="157">
        <f>IF($F842="","",IF(COUNTIF(MASTER_JAM!$A$5:$A$94,$C842)=0,"Digger tidak dikenal",IF($J842="","Hauler tidak dikenal",IF($H842="?","Jam salah",IF($K842=0,"Faktor kosong",IF(SUMIFS(INPUT_DELAY!$E$5:$E$20000,INPUT_DELAY!$A$5:$A$20000,$A842,INPUT_DELAY!$B$5:$B$20000,$B842,INPUT_DELAY!$C$5:$C$20000,$C842)+SUMIFS(INPUT_DELAY!$E$5:$E$20000,INPUT_DELAY!$A$5:$A$20000,$A842,INPUT_DELAY!$B$5:$B$20000,$B842,INPUT_DELAY!$C$5:$C$20000,"SEMUA")&gt;=60,"Delay 60 mnt tapi ada ritase","OK"))))))</f>
        <v/>
      </c>
      <c r="P842" s="158">
        <f>IFERROR(INDEX(MASTER_JAM!$Z$5:$AC$10,MATCH($I842,MASTER_JAM!$Y$5:$Y$10,0),MATCH($J842,MASTER_JAM!$Z$4:$AC$4,0))+0,0)</f>
        <v/>
      </c>
      <c r="Q842" s="158">
        <f>IF($P842=0,0,$P842+IFERROR(INDEX(MASTER_JAM!$H$5:$H$94,MATCH($C842,MASTER_JAM!$A$5:$A$94,0))+0,MASTER_JAM!$AC$15)/1000*(60/MASTER_JAM!$AC$12+60/MASTER_JAM!$AC$13)+MASTER_JAM!$AC$14)</f>
        <v/>
      </c>
      <c r="R842" s="158">
        <f>IF(N($F842)=0,0,$F842/SUMIFS(INPUT_RITASE!$F$5:$F$20000,INPUT_RITASE!$A$5:$A$20000,$A842,INPUT_RITASE!$B$5:$B$20000,$B842,INPUT_RITASE!$C$5:$C$20000,$C842,INPUT_RITASE!$D$5:$D$20000,$D842))</f>
        <v/>
      </c>
      <c r="S842" s="158">
        <f>IF($Q842=0,0,$R842*$P842/$Q842)</f>
        <v/>
      </c>
    </row>
    <row r="843">
      <c r="A843" s="155" t="n">
        <v>46106</v>
      </c>
      <c r="B843" s="156" t="inlineStr">
        <is>
          <t>02-03</t>
        </is>
      </c>
      <c r="C843" s="156" t="inlineStr">
        <is>
          <t>EX-755</t>
        </is>
      </c>
      <c r="D843" s="156" t="inlineStr">
        <is>
          <t>DT-517</t>
        </is>
      </c>
      <c r="E843" s="156" t="inlineStr">
        <is>
          <t>OB</t>
        </is>
      </c>
      <c r="F843" s="156" t="n">
        <v>4</v>
      </c>
      <c r="G843" s="156" t="inlineStr"/>
      <c r="H843" s="157">
        <f>IF($B843="","",IF(ISNA(MATCH($B843,MASTER_JAM!$Q$5:$Q$28,0)),"?",IF(MATCH($B843,MASTER_JAM!$Q$5:$Q$28,0)&lt;=12,"DS","NS")))</f>
        <v/>
      </c>
      <c r="I843" s="157">
        <f>IFERROR(INDEX(MASTER_JAM!$B$5:$B$94,MATCH($C843,MASTER_JAM!$A$5:$A$94,0)),"")</f>
        <v/>
      </c>
      <c r="J843" s="157">
        <f>IFERROR(INDEX(MASTER_JAM!$E$5:$E$94,MATCH($D843,MASTER_JAM!$A$5:$A$94,0)),"")</f>
        <v/>
      </c>
      <c r="K843" s="158">
        <f>IFERROR(INDEX(MASTER_JAM!$J$5:$O$12,MATCH($E843,MASTER_JAM!$I$5:$I$12,0),MATCH($J843,MASTER_JAM!$J$4:$O$4,0))+0,0)</f>
        <v/>
      </c>
      <c r="L843" s="159">
        <f>N($F843)*$K843</f>
        <v/>
      </c>
      <c r="M843" s="157">
        <f>IF($E843="","",IF(OR($E843="Coal",$E843="Dirty Coal"),"MT","BCM"))</f>
        <v/>
      </c>
      <c r="N843" s="157">
        <f>IF($E843="","",IF(OR($E843="Coal",$E843="Dirty Coal"),"Coal","OB"))</f>
        <v/>
      </c>
      <c r="O843" s="157">
        <f>IF($F843="","",IF(COUNTIF(MASTER_JAM!$A$5:$A$94,$C843)=0,"Digger tidak dikenal",IF($J843="","Hauler tidak dikenal",IF($H843="?","Jam salah",IF($K843=0,"Faktor kosong",IF(SUMIFS(INPUT_DELAY!$E$5:$E$20000,INPUT_DELAY!$A$5:$A$20000,$A843,INPUT_DELAY!$B$5:$B$20000,$B843,INPUT_DELAY!$C$5:$C$20000,$C843)+SUMIFS(INPUT_DELAY!$E$5:$E$20000,INPUT_DELAY!$A$5:$A$20000,$A843,INPUT_DELAY!$B$5:$B$20000,$B843,INPUT_DELAY!$C$5:$C$20000,"SEMUA")&gt;=60,"Delay 60 mnt tapi ada ritase","OK"))))))</f>
        <v/>
      </c>
      <c r="P843" s="158">
        <f>IFERROR(INDEX(MASTER_JAM!$Z$5:$AC$10,MATCH($I843,MASTER_JAM!$Y$5:$Y$10,0),MATCH($J843,MASTER_JAM!$Z$4:$AC$4,0))+0,0)</f>
        <v/>
      </c>
      <c r="Q843" s="158">
        <f>IF($P843=0,0,$P843+IFERROR(INDEX(MASTER_JAM!$H$5:$H$94,MATCH($C843,MASTER_JAM!$A$5:$A$94,0))+0,MASTER_JAM!$AC$15)/1000*(60/MASTER_JAM!$AC$12+60/MASTER_JAM!$AC$13)+MASTER_JAM!$AC$14)</f>
        <v/>
      </c>
      <c r="R843" s="158">
        <f>IF(N($F843)=0,0,$F843/SUMIFS(INPUT_RITASE!$F$5:$F$20000,INPUT_RITASE!$A$5:$A$20000,$A843,INPUT_RITASE!$B$5:$B$20000,$B843,INPUT_RITASE!$C$5:$C$20000,$C843,INPUT_RITASE!$D$5:$D$20000,$D843))</f>
        <v/>
      </c>
      <c r="S843" s="158">
        <f>IF($Q843=0,0,$R843*$P843/$Q843)</f>
        <v/>
      </c>
    </row>
    <row r="844">
      <c r="A844" s="155" t="n">
        <v>46106</v>
      </c>
      <c r="B844" s="156" t="inlineStr">
        <is>
          <t>02-03</t>
        </is>
      </c>
      <c r="C844" s="156" t="inlineStr">
        <is>
          <t>EX-755</t>
        </is>
      </c>
      <c r="D844" s="156" t="inlineStr">
        <is>
          <t>DT-527</t>
        </is>
      </c>
      <c r="E844" s="156" t="inlineStr">
        <is>
          <t>OB</t>
        </is>
      </c>
      <c r="F844" s="156" t="n">
        <v>4</v>
      </c>
      <c r="G844" s="156" t="inlineStr"/>
      <c r="H844" s="157">
        <f>IF($B844="","",IF(ISNA(MATCH($B844,MASTER_JAM!$Q$5:$Q$28,0)),"?",IF(MATCH($B844,MASTER_JAM!$Q$5:$Q$28,0)&lt;=12,"DS","NS")))</f>
        <v/>
      </c>
      <c r="I844" s="157">
        <f>IFERROR(INDEX(MASTER_JAM!$B$5:$B$94,MATCH($C844,MASTER_JAM!$A$5:$A$94,0)),"")</f>
        <v/>
      </c>
      <c r="J844" s="157">
        <f>IFERROR(INDEX(MASTER_JAM!$E$5:$E$94,MATCH($D844,MASTER_JAM!$A$5:$A$94,0)),"")</f>
        <v/>
      </c>
      <c r="K844" s="158">
        <f>IFERROR(INDEX(MASTER_JAM!$J$5:$O$12,MATCH($E844,MASTER_JAM!$I$5:$I$12,0),MATCH($J844,MASTER_JAM!$J$4:$O$4,0))+0,0)</f>
        <v/>
      </c>
      <c r="L844" s="159">
        <f>N($F844)*$K844</f>
        <v/>
      </c>
      <c r="M844" s="157">
        <f>IF($E844="","",IF(OR($E844="Coal",$E844="Dirty Coal"),"MT","BCM"))</f>
        <v/>
      </c>
      <c r="N844" s="157">
        <f>IF($E844="","",IF(OR($E844="Coal",$E844="Dirty Coal"),"Coal","OB"))</f>
        <v/>
      </c>
      <c r="O844" s="157">
        <f>IF($F844="","",IF(COUNTIF(MASTER_JAM!$A$5:$A$94,$C844)=0,"Digger tidak dikenal",IF($J844="","Hauler tidak dikenal",IF($H844="?","Jam salah",IF($K844=0,"Faktor kosong",IF(SUMIFS(INPUT_DELAY!$E$5:$E$20000,INPUT_DELAY!$A$5:$A$20000,$A844,INPUT_DELAY!$B$5:$B$20000,$B844,INPUT_DELAY!$C$5:$C$20000,$C844)+SUMIFS(INPUT_DELAY!$E$5:$E$20000,INPUT_DELAY!$A$5:$A$20000,$A844,INPUT_DELAY!$B$5:$B$20000,$B844,INPUT_DELAY!$C$5:$C$20000,"SEMUA")&gt;=60,"Delay 60 mnt tapi ada ritase","OK"))))))</f>
        <v/>
      </c>
      <c r="P844" s="158">
        <f>IFERROR(INDEX(MASTER_JAM!$Z$5:$AC$10,MATCH($I844,MASTER_JAM!$Y$5:$Y$10,0),MATCH($J844,MASTER_JAM!$Z$4:$AC$4,0))+0,0)</f>
        <v/>
      </c>
      <c r="Q844" s="158">
        <f>IF($P844=0,0,$P844+IFERROR(INDEX(MASTER_JAM!$H$5:$H$94,MATCH($C844,MASTER_JAM!$A$5:$A$94,0))+0,MASTER_JAM!$AC$15)/1000*(60/MASTER_JAM!$AC$12+60/MASTER_JAM!$AC$13)+MASTER_JAM!$AC$14)</f>
        <v/>
      </c>
      <c r="R844" s="158">
        <f>IF(N($F844)=0,0,$F844/SUMIFS(INPUT_RITASE!$F$5:$F$20000,INPUT_RITASE!$A$5:$A$20000,$A844,INPUT_RITASE!$B$5:$B$20000,$B844,INPUT_RITASE!$C$5:$C$20000,$C844,INPUT_RITASE!$D$5:$D$20000,$D844))</f>
        <v/>
      </c>
      <c r="S844" s="158">
        <f>IF($Q844=0,0,$R844*$P844/$Q844)</f>
        <v/>
      </c>
    </row>
    <row r="845">
      <c r="A845" s="155" t="n">
        <v>46106</v>
      </c>
      <c r="B845" s="156" t="inlineStr">
        <is>
          <t>02-03</t>
        </is>
      </c>
      <c r="C845" s="156" t="inlineStr">
        <is>
          <t>EX-755</t>
        </is>
      </c>
      <c r="D845" s="156" t="inlineStr">
        <is>
          <t>DT-529</t>
        </is>
      </c>
      <c r="E845" s="156" t="inlineStr">
        <is>
          <t>OB</t>
        </is>
      </c>
      <c r="F845" s="156" t="n">
        <v>3</v>
      </c>
      <c r="G845" s="156" t="inlineStr"/>
      <c r="H845" s="157">
        <f>IF($B845="","",IF(ISNA(MATCH($B845,MASTER_JAM!$Q$5:$Q$28,0)),"?",IF(MATCH($B845,MASTER_JAM!$Q$5:$Q$28,0)&lt;=12,"DS","NS")))</f>
        <v/>
      </c>
      <c r="I845" s="157">
        <f>IFERROR(INDEX(MASTER_JAM!$B$5:$B$94,MATCH($C845,MASTER_JAM!$A$5:$A$94,0)),"")</f>
        <v/>
      </c>
      <c r="J845" s="157">
        <f>IFERROR(INDEX(MASTER_JAM!$E$5:$E$94,MATCH($D845,MASTER_JAM!$A$5:$A$94,0)),"")</f>
        <v/>
      </c>
      <c r="K845" s="158">
        <f>IFERROR(INDEX(MASTER_JAM!$J$5:$O$12,MATCH($E845,MASTER_JAM!$I$5:$I$12,0),MATCH($J845,MASTER_JAM!$J$4:$O$4,0))+0,0)</f>
        <v/>
      </c>
      <c r="L845" s="159">
        <f>N($F845)*$K845</f>
        <v/>
      </c>
      <c r="M845" s="157">
        <f>IF($E845="","",IF(OR($E845="Coal",$E845="Dirty Coal"),"MT","BCM"))</f>
        <v/>
      </c>
      <c r="N845" s="157">
        <f>IF($E845="","",IF(OR($E845="Coal",$E845="Dirty Coal"),"Coal","OB"))</f>
        <v/>
      </c>
      <c r="O845" s="157">
        <f>IF($F845="","",IF(COUNTIF(MASTER_JAM!$A$5:$A$94,$C845)=0,"Digger tidak dikenal",IF($J845="","Hauler tidak dikenal",IF($H845="?","Jam salah",IF($K845=0,"Faktor kosong",IF(SUMIFS(INPUT_DELAY!$E$5:$E$20000,INPUT_DELAY!$A$5:$A$20000,$A845,INPUT_DELAY!$B$5:$B$20000,$B845,INPUT_DELAY!$C$5:$C$20000,$C845)+SUMIFS(INPUT_DELAY!$E$5:$E$20000,INPUT_DELAY!$A$5:$A$20000,$A845,INPUT_DELAY!$B$5:$B$20000,$B845,INPUT_DELAY!$C$5:$C$20000,"SEMUA")&gt;=60,"Delay 60 mnt tapi ada ritase","OK"))))))</f>
        <v/>
      </c>
      <c r="P845" s="158">
        <f>IFERROR(INDEX(MASTER_JAM!$Z$5:$AC$10,MATCH($I845,MASTER_JAM!$Y$5:$Y$10,0),MATCH($J845,MASTER_JAM!$Z$4:$AC$4,0))+0,0)</f>
        <v/>
      </c>
      <c r="Q845" s="158">
        <f>IF($P845=0,0,$P845+IFERROR(INDEX(MASTER_JAM!$H$5:$H$94,MATCH($C845,MASTER_JAM!$A$5:$A$94,0))+0,MASTER_JAM!$AC$15)/1000*(60/MASTER_JAM!$AC$12+60/MASTER_JAM!$AC$13)+MASTER_JAM!$AC$14)</f>
        <v/>
      </c>
      <c r="R845" s="158">
        <f>IF(N($F845)=0,0,$F845/SUMIFS(INPUT_RITASE!$F$5:$F$20000,INPUT_RITASE!$A$5:$A$20000,$A845,INPUT_RITASE!$B$5:$B$20000,$B845,INPUT_RITASE!$C$5:$C$20000,$C845,INPUT_RITASE!$D$5:$D$20000,$D845))</f>
        <v/>
      </c>
      <c r="S845" s="158">
        <f>IF($Q845=0,0,$R845*$P845/$Q845)</f>
        <v/>
      </c>
    </row>
    <row r="846">
      <c r="A846" s="155" t="n">
        <v>46106</v>
      </c>
      <c r="B846" s="156" t="inlineStr">
        <is>
          <t>02-03</t>
        </is>
      </c>
      <c r="C846" s="156" t="inlineStr">
        <is>
          <t>EX-755</t>
        </is>
      </c>
      <c r="D846" s="156" t="inlineStr">
        <is>
          <t>DT-506</t>
        </is>
      </c>
      <c r="E846" s="156" t="inlineStr">
        <is>
          <t>OB</t>
        </is>
      </c>
      <c r="F846" s="156" t="n">
        <v>3</v>
      </c>
      <c r="G846" s="156" t="inlineStr"/>
      <c r="H846" s="157">
        <f>IF($B846="","",IF(ISNA(MATCH($B846,MASTER_JAM!$Q$5:$Q$28,0)),"?",IF(MATCH($B846,MASTER_JAM!$Q$5:$Q$28,0)&lt;=12,"DS","NS")))</f>
        <v/>
      </c>
      <c r="I846" s="157">
        <f>IFERROR(INDEX(MASTER_JAM!$B$5:$B$94,MATCH($C846,MASTER_JAM!$A$5:$A$94,0)),"")</f>
        <v/>
      </c>
      <c r="J846" s="157">
        <f>IFERROR(INDEX(MASTER_JAM!$E$5:$E$94,MATCH($D846,MASTER_JAM!$A$5:$A$94,0)),"")</f>
        <v/>
      </c>
      <c r="K846" s="158">
        <f>IFERROR(INDEX(MASTER_JAM!$J$5:$O$12,MATCH($E846,MASTER_JAM!$I$5:$I$12,0),MATCH($J846,MASTER_JAM!$J$4:$O$4,0))+0,0)</f>
        <v/>
      </c>
      <c r="L846" s="159">
        <f>N($F846)*$K846</f>
        <v/>
      </c>
      <c r="M846" s="157">
        <f>IF($E846="","",IF(OR($E846="Coal",$E846="Dirty Coal"),"MT","BCM"))</f>
        <v/>
      </c>
      <c r="N846" s="157">
        <f>IF($E846="","",IF(OR($E846="Coal",$E846="Dirty Coal"),"Coal","OB"))</f>
        <v/>
      </c>
      <c r="O846" s="157">
        <f>IF($F846="","",IF(COUNTIF(MASTER_JAM!$A$5:$A$94,$C846)=0,"Digger tidak dikenal",IF($J846="","Hauler tidak dikenal",IF($H846="?","Jam salah",IF($K846=0,"Faktor kosong",IF(SUMIFS(INPUT_DELAY!$E$5:$E$20000,INPUT_DELAY!$A$5:$A$20000,$A846,INPUT_DELAY!$B$5:$B$20000,$B846,INPUT_DELAY!$C$5:$C$20000,$C846)+SUMIFS(INPUT_DELAY!$E$5:$E$20000,INPUT_DELAY!$A$5:$A$20000,$A846,INPUT_DELAY!$B$5:$B$20000,$B846,INPUT_DELAY!$C$5:$C$20000,"SEMUA")&gt;=60,"Delay 60 mnt tapi ada ritase","OK"))))))</f>
        <v/>
      </c>
      <c r="P846" s="158">
        <f>IFERROR(INDEX(MASTER_JAM!$Z$5:$AC$10,MATCH($I846,MASTER_JAM!$Y$5:$Y$10,0),MATCH($J846,MASTER_JAM!$Z$4:$AC$4,0))+0,0)</f>
        <v/>
      </c>
      <c r="Q846" s="158">
        <f>IF($P846=0,0,$P846+IFERROR(INDEX(MASTER_JAM!$H$5:$H$94,MATCH($C846,MASTER_JAM!$A$5:$A$94,0))+0,MASTER_JAM!$AC$15)/1000*(60/MASTER_JAM!$AC$12+60/MASTER_JAM!$AC$13)+MASTER_JAM!$AC$14)</f>
        <v/>
      </c>
      <c r="R846" s="158">
        <f>IF(N($F846)=0,0,$F846/SUMIFS(INPUT_RITASE!$F$5:$F$20000,INPUT_RITASE!$A$5:$A$20000,$A846,INPUT_RITASE!$B$5:$B$20000,$B846,INPUT_RITASE!$C$5:$C$20000,$C846,INPUT_RITASE!$D$5:$D$20000,$D846))</f>
        <v/>
      </c>
      <c r="S846" s="158">
        <f>IF($Q846=0,0,$R846*$P846/$Q846)</f>
        <v/>
      </c>
    </row>
    <row r="847">
      <c r="A847" s="155" t="n">
        <v>46106</v>
      </c>
      <c r="B847" s="156" t="inlineStr">
        <is>
          <t>02-03</t>
        </is>
      </c>
      <c r="C847" s="156" t="inlineStr">
        <is>
          <t>EX-755</t>
        </is>
      </c>
      <c r="D847" s="156" t="inlineStr">
        <is>
          <t>DT-516</t>
        </is>
      </c>
      <c r="E847" s="156" t="inlineStr">
        <is>
          <t>OB</t>
        </is>
      </c>
      <c r="F847" s="156" t="n">
        <v>3</v>
      </c>
      <c r="G847" s="156" t="inlineStr"/>
      <c r="H847" s="157">
        <f>IF($B847="","",IF(ISNA(MATCH($B847,MASTER_JAM!$Q$5:$Q$28,0)),"?",IF(MATCH($B847,MASTER_JAM!$Q$5:$Q$28,0)&lt;=12,"DS","NS")))</f>
        <v/>
      </c>
      <c r="I847" s="157">
        <f>IFERROR(INDEX(MASTER_JAM!$B$5:$B$94,MATCH($C847,MASTER_JAM!$A$5:$A$94,0)),"")</f>
        <v/>
      </c>
      <c r="J847" s="157">
        <f>IFERROR(INDEX(MASTER_JAM!$E$5:$E$94,MATCH($D847,MASTER_JAM!$A$5:$A$94,0)),"")</f>
        <v/>
      </c>
      <c r="K847" s="158">
        <f>IFERROR(INDEX(MASTER_JAM!$J$5:$O$12,MATCH($E847,MASTER_JAM!$I$5:$I$12,0),MATCH($J847,MASTER_JAM!$J$4:$O$4,0))+0,0)</f>
        <v/>
      </c>
      <c r="L847" s="159">
        <f>N($F847)*$K847</f>
        <v/>
      </c>
      <c r="M847" s="157">
        <f>IF($E847="","",IF(OR($E847="Coal",$E847="Dirty Coal"),"MT","BCM"))</f>
        <v/>
      </c>
      <c r="N847" s="157">
        <f>IF($E847="","",IF(OR($E847="Coal",$E847="Dirty Coal"),"Coal","OB"))</f>
        <v/>
      </c>
      <c r="O847" s="157">
        <f>IF($F847="","",IF(COUNTIF(MASTER_JAM!$A$5:$A$94,$C847)=0,"Digger tidak dikenal",IF($J847="","Hauler tidak dikenal",IF($H847="?","Jam salah",IF($K847=0,"Faktor kosong",IF(SUMIFS(INPUT_DELAY!$E$5:$E$20000,INPUT_DELAY!$A$5:$A$20000,$A847,INPUT_DELAY!$B$5:$B$20000,$B847,INPUT_DELAY!$C$5:$C$20000,$C847)+SUMIFS(INPUT_DELAY!$E$5:$E$20000,INPUT_DELAY!$A$5:$A$20000,$A847,INPUT_DELAY!$B$5:$B$20000,$B847,INPUT_DELAY!$C$5:$C$20000,"SEMUA")&gt;=60,"Delay 60 mnt tapi ada ritase","OK"))))))</f>
        <v/>
      </c>
      <c r="P847" s="158">
        <f>IFERROR(INDEX(MASTER_JAM!$Z$5:$AC$10,MATCH($I847,MASTER_JAM!$Y$5:$Y$10,0),MATCH($J847,MASTER_JAM!$Z$4:$AC$4,0))+0,0)</f>
        <v/>
      </c>
      <c r="Q847" s="158">
        <f>IF($P847=0,0,$P847+IFERROR(INDEX(MASTER_JAM!$H$5:$H$94,MATCH($C847,MASTER_JAM!$A$5:$A$94,0))+0,MASTER_JAM!$AC$15)/1000*(60/MASTER_JAM!$AC$12+60/MASTER_JAM!$AC$13)+MASTER_JAM!$AC$14)</f>
        <v/>
      </c>
      <c r="R847" s="158">
        <f>IF(N($F847)=0,0,$F847/SUMIFS(INPUT_RITASE!$F$5:$F$20000,INPUT_RITASE!$A$5:$A$20000,$A847,INPUT_RITASE!$B$5:$B$20000,$B847,INPUT_RITASE!$C$5:$C$20000,$C847,INPUT_RITASE!$D$5:$D$20000,$D847))</f>
        <v/>
      </c>
      <c r="S847" s="158">
        <f>IF($Q847=0,0,$R847*$P847/$Q847)</f>
        <v/>
      </c>
    </row>
    <row r="848">
      <c r="A848" s="155" t="n">
        <v>46106</v>
      </c>
      <c r="B848" s="156" t="inlineStr">
        <is>
          <t>03-04</t>
        </is>
      </c>
      <c r="C848" s="156" t="inlineStr">
        <is>
          <t>EX-755</t>
        </is>
      </c>
      <c r="D848" s="156" t="inlineStr">
        <is>
          <t>DT-524</t>
        </is>
      </c>
      <c r="E848" s="156" t="inlineStr">
        <is>
          <t>OB</t>
        </is>
      </c>
      <c r="F848" s="156" t="n">
        <v>4</v>
      </c>
      <c r="G848" s="156" t="inlineStr"/>
      <c r="H848" s="157">
        <f>IF($B848="","",IF(ISNA(MATCH($B848,MASTER_JAM!$Q$5:$Q$28,0)),"?",IF(MATCH($B848,MASTER_JAM!$Q$5:$Q$28,0)&lt;=12,"DS","NS")))</f>
        <v/>
      </c>
      <c r="I848" s="157">
        <f>IFERROR(INDEX(MASTER_JAM!$B$5:$B$94,MATCH($C848,MASTER_JAM!$A$5:$A$94,0)),"")</f>
        <v/>
      </c>
      <c r="J848" s="157">
        <f>IFERROR(INDEX(MASTER_JAM!$E$5:$E$94,MATCH($D848,MASTER_JAM!$A$5:$A$94,0)),"")</f>
        <v/>
      </c>
      <c r="K848" s="158">
        <f>IFERROR(INDEX(MASTER_JAM!$J$5:$O$12,MATCH($E848,MASTER_JAM!$I$5:$I$12,0),MATCH($J848,MASTER_JAM!$J$4:$O$4,0))+0,0)</f>
        <v/>
      </c>
      <c r="L848" s="159">
        <f>N($F848)*$K848</f>
        <v/>
      </c>
      <c r="M848" s="157">
        <f>IF($E848="","",IF(OR($E848="Coal",$E848="Dirty Coal"),"MT","BCM"))</f>
        <v/>
      </c>
      <c r="N848" s="157">
        <f>IF($E848="","",IF(OR($E848="Coal",$E848="Dirty Coal"),"Coal","OB"))</f>
        <v/>
      </c>
      <c r="O848" s="157">
        <f>IF($F848="","",IF(COUNTIF(MASTER_JAM!$A$5:$A$94,$C848)=0,"Digger tidak dikenal",IF($J848="","Hauler tidak dikenal",IF($H848="?","Jam salah",IF($K848=0,"Faktor kosong",IF(SUMIFS(INPUT_DELAY!$E$5:$E$20000,INPUT_DELAY!$A$5:$A$20000,$A848,INPUT_DELAY!$B$5:$B$20000,$B848,INPUT_DELAY!$C$5:$C$20000,$C848)+SUMIFS(INPUT_DELAY!$E$5:$E$20000,INPUT_DELAY!$A$5:$A$20000,$A848,INPUT_DELAY!$B$5:$B$20000,$B848,INPUT_DELAY!$C$5:$C$20000,"SEMUA")&gt;=60,"Delay 60 mnt tapi ada ritase","OK"))))))</f>
        <v/>
      </c>
      <c r="P848" s="158">
        <f>IFERROR(INDEX(MASTER_JAM!$Z$5:$AC$10,MATCH($I848,MASTER_JAM!$Y$5:$Y$10,0),MATCH($J848,MASTER_JAM!$Z$4:$AC$4,0))+0,0)</f>
        <v/>
      </c>
      <c r="Q848" s="158">
        <f>IF($P848=0,0,$P848+IFERROR(INDEX(MASTER_JAM!$H$5:$H$94,MATCH($C848,MASTER_JAM!$A$5:$A$94,0))+0,MASTER_JAM!$AC$15)/1000*(60/MASTER_JAM!$AC$12+60/MASTER_JAM!$AC$13)+MASTER_JAM!$AC$14)</f>
        <v/>
      </c>
      <c r="R848" s="158">
        <f>IF(N($F848)=0,0,$F848/SUMIFS(INPUT_RITASE!$F$5:$F$20000,INPUT_RITASE!$A$5:$A$20000,$A848,INPUT_RITASE!$B$5:$B$20000,$B848,INPUT_RITASE!$C$5:$C$20000,$C848,INPUT_RITASE!$D$5:$D$20000,$D848))</f>
        <v/>
      </c>
      <c r="S848" s="158">
        <f>IF($Q848=0,0,$R848*$P848/$Q848)</f>
        <v/>
      </c>
    </row>
    <row r="849">
      <c r="A849" s="155" t="n">
        <v>46106</v>
      </c>
      <c r="B849" s="156" t="inlineStr">
        <is>
          <t>03-04</t>
        </is>
      </c>
      <c r="C849" s="156" t="inlineStr">
        <is>
          <t>EX-755</t>
        </is>
      </c>
      <c r="D849" s="156" t="inlineStr">
        <is>
          <t>DT-517</t>
        </is>
      </c>
      <c r="E849" s="156" t="inlineStr">
        <is>
          <t>OB</t>
        </is>
      </c>
      <c r="F849" s="156" t="n">
        <v>4</v>
      </c>
      <c r="G849" s="156" t="inlineStr"/>
      <c r="H849" s="157">
        <f>IF($B849="","",IF(ISNA(MATCH($B849,MASTER_JAM!$Q$5:$Q$28,0)),"?",IF(MATCH($B849,MASTER_JAM!$Q$5:$Q$28,0)&lt;=12,"DS","NS")))</f>
        <v/>
      </c>
      <c r="I849" s="157">
        <f>IFERROR(INDEX(MASTER_JAM!$B$5:$B$94,MATCH($C849,MASTER_JAM!$A$5:$A$94,0)),"")</f>
        <v/>
      </c>
      <c r="J849" s="157">
        <f>IFERROR(INDEX(MASTER_JAM!$E$5:$E$94,MATCH($D849,MASTER_JAM!$A$5:$A$94,0)),"")</f>
        <v/>
      </c>
      <c r="K849" s="158">
        <f>IFERROR(INDEX(MASTER_JAM!$J$5:$O$12,MATCH($E849,MASTER_JAM!$I$5:$I$12,0),MATCH($J849,MASTER_JAM!$J$4:$O$4,0))+0,0)</f>
        <v/>
      </c>
      <c r="L849" s="159">
        <f>N($F849)*$K849</f>
        <v/>
      </c>
      <c r="M849" s="157">
        <f>IF($E849="","",IF(OR($E849="Coal",$E849="Dirty Coal"),"MT","BCM"))</f>
        <v/>
      </c>
      <c r="N849" s="157">
        <f>IF($E849="","",IF(OR($E849="Coal",$E849="Dirty Coal"),"Coal","OB"))</f>
        <v/>
      </c>
      <c r="O849" s="157">
        <f>IF($F849="","",IF(COUNTIF(MASTER_JAM!$A$5:$A$94,$C849)=0,"Digger tidak dikenal",IF($J849="","Hauler tidak dikenal",IF($H849="?","Jam salah",IF($K849=0,"Faktor kosong",IF(SUMIFS(INPUT_DELAY!$E$5:$E$20000,INPUT_DELAY!$A$5:$A$20000,$A849,INPUT_DELAY!$B$5:$B$20000,$B849,INPUT_DELAY!$C$5:$C$20000,$C849)+SUMIFS(INPUT_DELAY!$E$5:$E$20000,INPUT_DELAY!$A$5:$A$20000,$A849,INPUT_DELAY!$B$5:$B$20000,$B849,INPUT_DELAY!$C$5:$C$20000,"SEMUA")&gt;=60,"Delay 60 mnt tapi ada ritase","OK"))))))</f>
        <v/>
      </c>
      <c r="P849" s="158">
        <f>IFERROR(INDEX(MASTER_JAM!$Z$5:$AC$10,MATCH($I849,MASTER_JAM!$Y$5:$Y$10,0),MATCH($J849,MASTER_JAM!$Z$4:$AC$4,0))+0,0)</f>
        <v/>
      </c>
      <c r="Q849" s="158">
        <f>IF($P849=0,0,$P849+IFERROR(INDEX(MASTER_JAM!$H$5:$H$94,MATCH($C849,MASTER_JAM!$A$5:$A$94,0))+0,MASTER_JAM!$AC$15)/1000*(60/MASTER_JAM!$AC$12+60/MASTER_JAM!$AC$13)+MASTER_JAM!$AC$14)</f>
        <v/>
      </c>
      <c r="R849" s="158">
        <f>IF(N($F849)=0,0,$F849/SUMIFS(INPUT_RITASE!$F$5:$F$20000,INPUT_RITASE!$A$5:$A$20000,$A849,INPUT_RITASE!$B$5:$B$20000,$B849,INPUT_RITASE!$C$5:$C$20000,$C849,INPUT_RITASE!$D$5:$D$20000,$D849))</f>
        <v/>
      </c>
      <c r="S849" s="158">
        <f>IF($Q849=0,0,$R849*$P849/$Q849)</f>
        <v/>
      </c>
    </row>
    <row r="850">
      <c r="A850" s="155" t="n">
        <v>46106</v>
      </c>
      <c r="B850" s="156" t="inlineStr">
        <is>
          <t>03-04</t>
        </is>
      </c>
      <c r="C850" s="156" t="inlineStr">
        <is>
          <t>EX-755</t>
        </is>
      </c>
      <c r="D850" s="156" t="inlineStr">
        <is>
          <t>DT-503</t>
        </is>
      </c>
      <c r="E850" s="156" t="inlineStr">
        <is>
          <t>OB</t>
        </is>
      </c>
      <c r="F850" s="156" t="n">
        <v>4</v>
      </c>
      <c r="G850" s="156" t="inlineStr"/>
      <c r="H850" s="157">
        <f>IF($B850="","",IF(ISNA(MATCH($B850,MASTER_JAM!$Q$5:$Q$28,0)),"?",IF(MATCH($B850,MASTER_JAM!$Q$5:$Q$28,0)&lt;=12,"DS","NS")))</f>
        <v/>
      </c>
      <c r="I850" s="157">
        <f>IFERROR(INDEX(MASTER_JAM!$B$5:$B$94,MATCH($C850,MASTER_JAM!$A$5:$A$94,0)),"")</f>
        <v/>
      </c>
      <c r="J850" s="157">
        <f>IFERROR(INDEX(MASTER_JAM!$E$5:$E$94,MATCH($D850,MASTER_JAM!$A$5:$A$94,0)),"")</f>
        <v/>
      </c>
      <c r="K850" s="158">
        <f>IFERROR(INDEX(MASTER_JAM!$J$5:$O$12,MATCH($E850,MASTER_JAM!$I$5:$I$12,0),MATCH($J850,MASTER_JAM!$J$4:$O$4,0))+0,0)</f>
        <v/>
      </c>
      <c r="L850" s="159">
        <f>N($F850)*$K850</f>
        <v/>
      </c>
      <c r="M850" s="157">
        <f>IF($E850="","",IF(OR($E850="Coal",$E850="Dirty Coal"),"MT","BCM"))</f>
        <v/>
      </c>
      <c r="N850" s="157">
        <f>IF($E850="","",IF(OR($E850="Coal",$E850="Dirty Coal"),"Coal","OB"))</f>
        <v/>
      </c>
      <c r="O850" s="157">
        <f>IF($F850="","",IF(COUNTIF(MASTER_JAM!$A$5:$A$94,$C850)=0,"Digger tidak dikenal",IF($J850="","Hauler tidak dikenal",IF($H850="?","Jam salah",IF($K850=0,"Faktor kosong",IF(SUMIFS(INPUT_DELAY!$E$5:$E$20000,INPUT_DELAY!$A$5:$A$20000,$A850,INPUT_DELAY!$B$5:$B$20000,$B850,INPUT_DELAY!$C$5:$C$20000,$C850)+SUMIFS(INPUT_DELAY!$E$5:$E$20000,INPUT_DELAY!$A$5:$A$20000,$A850,INPUT_DELAY!$B$5:$B$20000,$B850,INPUT_DELAY!$C$5:$C$20000,"SEMUA")&gt;=60,"Delay 60 mnt tapi ada ritase","OK"))))))</f>
        <v/>
      </c>
      <c r="P850" s="158">
        <f>IFERROR(INDEX(MASTER_JAM!$Z$5:$AC$10,MATCH($I850,MASTER_JAM!$Y$5:$Y$10,0),MATCH($J850,MASTER_JAM!$Z$4:$AC$4,0))+0,0)</f>
        <v/>
      </c>
      <c r="Q850" s="158">
        <f>IF($P850=0,0,$P850+IFERROR(INDEX(MASTER_JAM!$H$5:$H$94,MATCH($C850,MASTER_JAM!$A$5:$A$94,0))+0,MASTER_JAM!$AC$15)/1000*(60/MASTER_JAM!$AC$12+60/MASTER_JAM!$AC$13)+MASTER_JAM!$AC$14)</f>
        <v/>
      </c>
      <c r="R850" s="158">
        <f>IF(N($F850)=0,0,$F850/SUMIFS(INPUT_RITASE!$F$5:$F$20000,INPUT_RITASE!$A$5:$A$20000,$A850,INPUT_RITASE!$B$5:$B$20000,$B850,INPUT_RITASE!$C$5:$C$20000,$C850,INPUT_RITASE!$D$5:$D$20000,$D850))</f>
        <v/>
      </c>
      <c r="S850" s="158">
        <f>IF($Q850=0,0,$R850*$P850/$Q850)</f>
        <v/>
      </c>
    </row>
    <row r="851">
      <c r="A851" s="155" t="n">
        <v>46106</v>
      </c>
      <c r="B851" s="156" t="inlineStr">
        <is>
          <t>03-04</t>
        </is>
      </c>
      <c r="C851" s="156" t="inlineStr">
        <is>
          <t>EX-755</t>
        </is>
      </c>
      <c r="D851" s="156" t="inlineStr">
        <is>
          <t>DT-508</t>
        </is>
      </c>
      <c r="E851" s="156" t="inlineStr">
        <is>
          <t>OB</t>
        </is>
      </c>
      <c r="F851" s="156" t="n">
        <v>4</v>
      </c>
      <c r="G851" s="156" t="inlineStr"/>
      <c r="H851" s="157">
        <f>IF($B851="","",IF(ISNA(MATCH($B851,MASTER_JAM!$Q$5:$Q$28,0)),"?",IF(MATCH($B851,MASTER_JAM!$Q$5:$Q$28,0)&lt;=12,"DS","NS")))</f>
        <v/>
      </c>
      <c r="I851" s="157">
        <f>IFERROR(INDEX(MASTER_JAM!$B$5:$B$94,MATCH($C851,MASTER_JAM!$A$5:$A$94,0)),"")</f>
        <v/>
      </c>
      <c r="J851" s="157">
        <f>IFERROR(INDEX(MASTER_JAM!$E$5:$E$94,MATCH($D851,MASTER_JAM!$A$5:$A$94,0)),"")</f>
        <v/>
      </c>
      <c r="K851" s="158">
        <f>IFERROR(INDEX(MASTER_JAM!$J$5:$O$12,MATCH($E851,MASTER_JAM!$I$5:$I$12,0),MATCH($J851,MASTER_JAM!$J$4:$O$4,0))+0,0)</f>
        <v/>
      </c>
      <c r="L851" s="159">
        <f>N($F851)*$K851</f>
        <v/>
      </c>
      <c r="M851" s="157">
        <f>IF($E851="","",IF(OR($E851="Coal",$E851="Dirty Coal"),"MT","BCM"))</f>
        <v/>
      </c>
      <c r="N851" s="157">
        <f>IF($E851="","",IF(OR($E851="Coal",$E851="Dirty Coal"),"Coal","OB"))</f>
        <v/>
      </c>
      <c r="O851" s="157">
        <f>IF($F851="","",IF(COUNTIF(MASTER_JAM!$A$5:$A$94,$C851)=0,"Digger tidak dikenal",IF($J851="","Hauler tidak dikenal",IF($H851="?","Jam salah",IF($K851=0,"Faktor kosong",IF(SUMIFS(INPUT_DELAY!$E$5:$E$20000,INPUT_DELAY!$A$5:$A$20000,$A851,INPUT_DELAY!$B$5:$B$20000,$B851,INPUT_DELAY!$C$5:$C$20000,$C851)+SUMIFS(INPUT_DELAY!$E$5:$E$20000,INPUT_DELAY!$A$5:$A$20000,$A851,INPUT_DELAY!$B$5:$B$20000,$B851,INPUT_DELAY!$C$5:$C$20000,"SEMUA")&gt;=60,"Delay 60 mnt tapi ada ritase","OK"))))))</f>
        <v/>
      </c>
      <c r="P851" s="158">
        <f>IFERROR(INDEX(MASTER_JAM!$Z$5:$AC$10,MATCH($I851,MASTER_JAM!$Y$5:$Y$10,0),MATCH($J851,MASTER_JAM!$Z$4:$AC$4,0))+0,0)</f>
        <v/>
      </c>
      <c r="Q851" s="158">
        <f>IF($P851=0,0,$P851+IFERROR(INDEX(MASTER_JAM!$H$5:$H$94,MATCH($C851,MASTER_JAM!$A$5:$A$94,0))+0,MASTER_JAM!$AC$15)/1000*(60/MASTER_JAM!$AC$12+60/MASTER_JAM!$AC$13)+MASTER_JAM!$AC$14)</f>
        <v/>
      </c>
      <c r="R851" s="158">
        <f>IF(N($F851)=0,0,$F851/SUMIFS(INPUT_RITASE!$F$5:$F$20000,INPUT_RITASE!$A$5:$A$20000,$A851,INPUT_RITASE!$B$5:$B$20000,$B851,INPUT_RITASE!$C$5:$C$20000,$C851,INPUT_RITASE!$D$5:$D$20000,$D851))</f>
        <v/>
      </c>
      <c r="S851" s="158">
        <f>IF($Q851=0,0,$R851*$P851/$Q851)</f>
        <v/>
      </c>
    </row>
    <row r="852">
      <c r="A852" s="155" t="n">
        <v>46106</v>
      </c>
      <c r="B852" s="156" t="inlineStr">
        <is>
          <t>03-04</t>
        </is>
      </c>
      <c r="C852" s="156" t="inlineStr">
        <is>
          <t>EX-755</t>
        </is>
      </c>
      <c r="D852" s="156" t="inlineStr">
        <is>
          <t>DT-512</t>
        </is>
      </c>
      <c r="E852" s="156" t="inlineStr">
        <is>
          <t>OB</t>
        </is>
      </c>
      <c r="F852" s="156" t="n">
        <v>4</v>
      </c>
      <c r="G852" s="156" t="inlineStr"/>
      <c r="H852" s="157">
        <f>IF($B852="","",IF(ISNA(MATCH($B852,MASTER_JAM!$Q$5:$Q$28,0)),"?",IF(MATCH($B852,MASTER_JAM!$Q$5:$Q$28,0)&lt;=12,"DS","NS")))</f>
        <v/>
      </c>
      <c r="I852" s="157">
        <f>IFERROR(INDEX(MASTER_JAM!$B$5:$B$94,MATCH($C852,MASTER_JAM!$A$5:$A$94,0)),"")</f>
        <v/>
      </c>
      <c r="J852" s="157">
        <f>IFERROR(INDEX(MASTER_JAM!$E$5:$E$94,MATCH($D852,MASTER_JAM!$A$5:$A$94,0)),"")</f>
        <v/>
      </c>
      <c r="K852" s="158">
        <f>IFERROR(INDEX(MASTER_JAM!$J$5:$O$12,MATCH($E852,MASTER_JAM!$I$5:$I$12,0),MATCH($J852,MASTER_JAM!$J$4:$O$4,0))+0,0)</f>
        <v/>
      </c>
      <c r="L852" s="159">
        <f>N($F852)*$K852</f>
        <v/>
      </c>
      <c r="M852" s="157">
        <f>IF($E852="","",IF(OR($E852="Coal",$E852="Dirty Coal"),"MT","BCM"))</f>
        <v/>
      </c>
      <c r="N852" s="157">
        <f>IF($E852="","",IF(OR($E852="Coal",$E852="Dirty Coal"),"Coal","OB"))</f>
        <v/>
      </c>
      <c r="O852" s="157">
        <f>IF($F852="","",IF(COUNTIF(MASTER_JAM!$A$5:$A$94,$C852)=0,"Digger tidak dikenal",IF($J852="","Hauler tidak dikenal",IF($H852="?","Jam salah",IF($K852=0,"Faktor kosong",IF(SUMIFS(INPUT_DELAY!$E$5:$E$20000,INPUT_DELAY!$A$5:$A$20000,$A852,INPUT_DELAY!$B$5:$B$20000,$B852,INPUT_DELAY!$C$5:$C$20000,$C852)+SUMIFS(INPUT_DELAY!$E$5:$E$20000,INPUT_DELAY!$A$5:$A$20000,$A852,INPUT_DELAY!$B$5:$B$20000,$B852,INPUT_DELAY!$C$5:$C$20000,"SEMUA")&gt;=60,"Delay 60 mnt tapi ada ritase","OK"))))))</f>
        <v/>
      </c>
      <c r="P852" s="158">
        <f>IFERROR(INDEX(MASTER_JAM!$Z$5:$AC$10,MATCH($I852,MASTER_JAM!$Y$5:$Y$10,0),MATCH($J852,MASTER_JAM!$Z$4:$AC$4,0))+0,0)</f>
        <v/>
      </c>
      <c r="Q852" s="158">
        <f>IF($P852=0,0,$P852+IFERROR(INDEX(MASTER_JAM!$H$5:$H$94,MATCH($C852,MASTER_JAM!$A$5:$A$94,0))+0,MASTER_JAM!$AC$15)/1000*(60/MASTER_JAM!$AC$12+60/MASTER_JAM!$AC$13)+MASTER_JAM!$AC$14)</f>
        <v/>
      </c>
      <c r="R852" s="158">
        <f>IF(N($F852)=0,0,$F852/SUMIFS(INPUT_RITASE!$F$5:$F$20000,INPUT_RITASE!$A$5:$A$20000,$A852,INPUT_RITASE!$B$5:$B$20000,$B852,INPUT_RITASE!$C$5:$C$20000,$C852,INPUT_RITASE!$D$5:$D$20000,$D852))</f>
        <v/>
      </c>
      <c r="S852" s="158">
        <f>IF($Q852=0,0,$R852*$P852/$Q852)</f>
        <v/>
      </c>
    </row>
    <row r="853">
      <c r="A853" s="155" t="n">
        <v>46106</v>
      </c>
      <c r="B853" s="156" t="inlineStr">
        <is>
          <t>03-04</t>
        </is>
      </c>
      <c r="C853" s="156" t="inlineStr">
        <is>
          <t>EX-755</t>
        </is>
      </c>
      <c r="D853" s="156" t="inlineStr">
        <is>
          <t>DT-510</t>
        </is>
      </c>
      <c r="E853" s="156" t="inlineStr">
        <is>
          <t>OB</t>
        </is>
      </c>
      <c r="F853" s="156" t="n">
        <v>3</v>
      </c>
      <c r="G853" s="156" t="inlineStr"/>
      <c r="H853" s="157">
        <f>IF($B853="","",IF(ISNA(MATCH($B853,MASTER_JAM!$Q$5:$Q$28,0)),"?",IF(MATCH($B853,MASTER_JAM!$Q$5:$Q$28,0)&lt;=12,"DS","NS")))</f>
        <v/>
      </c>
      <c r="I853" s="157">
        <f>IFERROR(INDEX(MASTER_JAM!$B$5:$B$94,MATCH($C853,MASTER_JAM!$A$5:$A$94,0)),"")</f>
        <v/>
      </c>
      <c r="J853" s="157">
        <f>IFERROR(INDEX(MASTER_JAM!$E$5:$E$94,MATCH($D853,MASTER_JAM!$A$5:$A$94,0)),"")</f>
        <v/>
      </c>
      <c r="K853" s="158">
        <f>IFERROR(INDEX(MASTER_JAM!$J$5:$O$12,MATCH($E853,MASTER_JAM!$I$5:$I$12,0),MATCH($J853,MASTER_JAM!$J$4:$O$4,0))+0,0)</f>
        <v/>
      </c>
      <c r="L853" s="159">
        <f>N($F853)*$K853</f>
        <v/>
      </c>
      <c r="M853" s="157">
        <f>IF($E853="","",IF(OR($E853="Coal",$E853="Dirty Coal"),"MT","BCM"))</f>
        <v/>
      </c>
      <c r="N853" s="157">
        <f>IF($E853="","",IF(OR($E853="Coal",$E853="Dirty Coal"),"Coal","OB"))</f>
        <v/>
      </c>
      <c r="O853" s="157">
        <f>IF($F853="","",IF(COUNTIF(MASTER_JAM!$A$5:$A$94,$C853)=0,"Digger tidak dikenal",IF($J853="","Hauler tidak dikenal",IF($H853="?","Jam salah",IF($K853=0,"Faktor kosong",IF(SUMIFS(INPUT_DELAY!$E$5:$E$20000,INPUT_DELAY!$A$5:$A$20000,$A853,INPUT_DELAY!$B$5:$B$20000,$B853,INPUT_DELAY!$C$5:$C$20000,$C853)+SUMIFS(INPUT_DELAY!$E$5:$E$20000,INPUT_DELAY!$A$5:$A$20000,$A853,INPUT_DELAY!$B$5:$B$20000,$B853,INPUT_DELAY!$C$5:$C$20000,"SEMUA")&gt;=60,"Delay 60 mnt tapi ada ritase","OK"))))))</f>
        <v/>
      </c>
      <c r="P853" s="158">
        <f>IFERROR(INDEX(MASTER_JAM!$Z$5:$AC$10,MATCH($I853,MASTER_JAM!$Y$5:$Y$10,0),MATCH($J853,MASTER_JAM!$Z$4:$AC$4,0))+0,0)</f>
        <v/>
      </c>
      <c r="Q853" s="158">
        <f>IF($P853=0,0,$P853+IFERROR(INDEX(MASTER_JAM!$H$5:$H$94,MATCH($C853,MASTER_JAM!$A$5:$A$94,0))+0,MASTER_JAM!$AC$15)/1000*(60/MASTER_JAM!$AC$12+60/MASTER_JAM!$AC$13)+MASTER_JAM!$AC$14)</f>
        <v/>
      </c>
      <c r="R853" s="158">
        <f>IF(N($F853)=0,0,$F853/SUMIFS(INPUT_RITASE!$F$5:$F$20000,INPUT_RITASE!$A$5:$A$20000,$A853,INPUT_RITASE!$B$5:$B$20000,$B853,INPUT_RITASE!$C$5:$C$20000,$C853,INPUT_RITASE!$D$5:$D$20000,$D853))</f>
        <v/>
      </c>
      <c r="S853" s="158">
        <f>IF($Q853=0,0,$R853*$P853/$Q853)</f>
        <v/>
      </c>
    </row>
    <row r="854">
      <c r="A854" s="155" t="n">
        <v>46106</v>
      </c>
      <c r="B854" s="156" t="inlineStr">
        <is>
          <t>04-05</t>
        </is>
      </c>
      <c r="C854" s="156" t="inlineStr">
        <is>
          <t>EX-755</t>
        </is>
      </c>
      <c r="D854" s="156" t="inlineStr">
        <is>
          <t>DT-518</t>
        </is>
      </c>
      <c r="E854" s="156" t="inlineStr">
        <is>
          <t>OB</t>
        </is>
      </c>
      <c r="F854" s="156" t="n">
        <v>4</v>
      </c>
      <c r="G854" s="156" t="inlineStr"/>
      <c r="H854" s="157">
        <f>IF($B854="","",IF(ISNA(MATCH($B854,MASTER_JAM!$Q$5:$Q$28,0)),"?",IF(MATCH($B854,MASTER_JAM!$Q$5:$Q$28,0)&lt;=12,"DS","NS")))</f>
        <v/>
      </c>
      <c r="I854" s="157">
        <f>IFERROR(INDEX(MASTER_JAM!$B$5:$B$94,MATCH($C854,MASTER_JAM!$A$5:$A$94,0)),"")</f>
        <v/>
      </c>
      <c r="J854" s="157">
        <f>IFERROR(INDEX(MASTER_JAM!$E$5:$E$94,MATCH($D854,MASTER_JAM!$A$5:$A$94,0)),"")</f>
        <v/>
      </c>
      <c r="K854" s="158">
        <f>IFERROR(INDEX(MASTER_JAM!$J$5:$O$12,MATCH($E854,MASTER_JAM!$I$5:$I$12,0),MATCH($J854,MASTER_JAM!$J$4:$O$4,0))+0,0)</f>
        <v/>
      </c>
      <c r="L854" s="159">
        <f>N($F854)*$K854</f>
        <v/>
      </c>
      <c r="M854" s="157">
        <f>IF($E854="","",IF(OR($E854="Coal",$E854="Dirty Coal"),"MT","BCM"))</f>
        <v/>
      </c>
      <c r="N854" s="157">
        <f>IF($E854="","",IF(OR($E854="Coal",$E854="Dirty Coal"),"Coal","OB"))</f>
        <v/>
      </c>
      <c r="O854" s="157">
        <f>IF($F854="","",IF(COUNTIF(MASTER_JAM!$A$5:$A$94,$C854)=0,"Digger tidak dikenal",IF($J854="","Hauler tidak dikenal",IF($H854="?","Jam salah",IF($K854=0,"Faktor kosong",IF(SUMIFS(INPUT_DELAY!$E$5:$E$20000,INPUT_DELAY!$A$5:$A$20000,$A854,INPUT_DELAY!$B$5:$B$20000,$B854,INPUT_DELAY!$C$5:$C$20000,$C854)+SUMIFS(INPUT_DELAY!$E$5:$E$20000,INPUT_DELAY!$A$5:$A$20000,$A854,INPUT_DELAY!$B$5:$B$20000,$B854,INPUT_DELAY!$C$5:$C$20000,"SEMUA")&gt;=60,"Delay 60 mnt tapi ada ritase","OK"))))))</f>
        <v/>
      </c>
      <c r="P854" s="158">
        <f>IFERROR(INDEX(MASTER_JAM!$Z$5:$AC$10,MATCH($I854,MASTER_JAM!$Y$5:$Y$10,0),MATCH($J854,MASTER_JAM!$Z$4:$AC$4,0))+0,0)</f>
        <v/>
      </c>
      <c r="Q854" s="158">
        <f>IF($P854=0,0,$P854+IFERROR(INDEX(MASTER_JAM!$H$5:$H$94,MATCH($C854,MASTER_JAM!$A$5:$A$94,0))+0,MASTER_JAM!$AC$15)/1000*(60/MASTER_JAM!$AC$12+60/MASTER_JAM!$AC$13)+MASTER_JAM!$AC$14)</f>
        <v/>
      </c>
      <c r="R854" s="158">
        <f>IF(N($F854)=0,0,$F854/SUMIFS(INPUT_RITASE!$F$5:$F$20000,INPUT_RITASE!$A$5:$A$20000,$A854,INPUT_RITASE!$B$5:$B$20000,$B854,INPUT_RITASE!$C$5:$C$20000,$C854,INPUT_RITASE!$D$5:$D$20000,$D854))</f>
        <v/>
      </c>
      <c r="S854" s="158">
        <f>IF($Q854=0,0,$R854*$P854/$Q854)</f>
        <v/>
      </c>
    </row>
    <row r="855">
      <c r="A855" s="155" t="n">
        <v>46106</v>
      </c>
      <c r="B855" s="156" t="inlineStr">
        <is>
          <t>04-05</t>
        </is>
      </c>
      <c r="C855" s="156" t="inlineStr">
        <is>
          <t>EX-755</t>
        </is>
      </c>
      <c r="D855" s="156" t="inlineStr">
        <is>
          <t>DT-506</t>
        </is>
      </c>
      <c r="E855" s="156" t="inlineStr">
        <is>
          <t>OB</t>
        </is>
      </c>
      <c r="F855" s="156" t="n">
        <v>4</v>
      </c>
      <c r="G855" s="156" t="inlineStr"/>
      <c r="H855" s="157">
        <f>IF($B855="","",IF(ISNA(MATCH($B855,MASTER_JAM!$Q$5:$Q$28,0)),"?",IF(MATCH($B855,MASTER_JAM!$Q$5:$Q$28,0)&lt;=12,"DS","NS")))</f>
        <v/>
      </c>
      <c r="I855" s="157">
        <f>IFERROR(INDEX(MASTER_JAM!$B$5:$B$94,MATCH($C855,MASTER_JAM!$A$5:$A$94,0)),"")</f>
        <v/>
      </c>
      <c r="J855" s="157">
        <f>IFERROR(INDEX(MASTER_JAM!$E$5:$E$94,MATCH($D855,MASTER_JAM!$A$5:$A$94,0)),"")</f>
        <v/>
      </c>
      <c r="K855" s="158">
        <f>IFERROR(INDEX(MASTER_JAM!$J$5:$O$12,MATCH($E855,MASTER_JAM!$I$5:$I$12,0),MATCH($J855,MASTER_JAM!$J$4:$O$4,0))+0,0)</f>
        <v/>
      </c>
      <c r="L855" s="159">
        <f>N($F855)*$K855</f>
        <v/>
      </c>
      <c r="M855" s="157">
        <f>IF($E855="","",IF(OR($E855="Coal",$E855="Dirty Coal"),"MT","BCM"))</f>
        <v/>
      </c>
      <c r="N855" s="157">
        <f>IF($E855="","",IF(OR($E855="Coal",$E855="Dirty Coal"),"Coal","OB"))</f>
        <v/>
      </c>
      <c r="O855" s="157">
        <f>IF($F855="","",IF(COUNTIF(MASTER_JAM!$A$5:$A$94,$C855)=0,"Digger tidak dikenal",IF($J855="","Hauler tidak dikenal",IF($H855="?","Jam salah",IF($K855=0,"Faktor kosong",IF(SUMIFS(INPUT_DELAY!$E$5:$E$20000,INPUT_DELAY!$A$5:$A$20000,$A855,INPUT_DELAY!$B$5:$B$20000,$B855,INPUT_DELAY!$C$5:$C$20000,$C855)+SUMIFS(INPUT_DELAY!$E$5:$E$20000,INPUT_DELAY!$A$5:$A$20000,$A855,INPUT_DELAY!$B$5:$B$20000,$B855,INPUT_DELAY!$C$5:$C$20000,"SEMUA")&gt;=60,"Delay 60 mnt tapi ada ritase","OK"))))))</f>
        <v/>
      </c>
      <c r="P855" s="158">
        <f>IFERROR(INDEX(MASTER_JAM!$Z$5:$AC$10,MATCH($I855,MASTER_JAM!$Y$5:$Y$10,0),MATCH($J855,MASTER_JAM!$Z$4:$AC$4,0))+0,0)</f>
        <v/>
      </c>
      <c r="Q855" s="158">
        <f>IF($P855=0,0,$P855+IFERROR(INDEX(MASTER_JAM!$H$5:$H$94,MATCH($C855,MASTER_JAM!$A$5:$A$94,0))+0,MASTER_JAM!$AC$15)/1000*(60/MASTER_JAM!$AC$12+60/MASTER_JAM!$AC$13)+MASTER_JAM!$AC$14)</f>
        <v/>
      </c>
      <c r="R855" s="158">
        <f>IF(N($F855)=0,0,$F855/SUMIFS(INPUT_RITASE!$F$5:$F$20000,INPUT_RITASE!$A$5:$A$20000,$A855,INPUT_RITASE!$B$5:$B$20000,$B855,INPUT_RITASE!$C$5:$C$20000,$C855,INPUT_RITASE!$D$5:$D$20000,$D855))</f>
        <v/>
      </c>
      <c r="S855" s="158">
        <f>IF($Q855=0,0,$R855*$P855/$Q855)</f>
        <v/>
      </c>
    </row>
    <row r="856">
      <c r="A856" s="155" t="n">
        <v>46106</v>
      </c>
      <c r="B856" s="156" t="inlineStr">
        <is>
          <t>04-05</t>
        </is>
      </c>
      <c r="C856" s="156" t="inlineStr">
        <is>
          <t>EX-755</t>
        </is>
      </c>
      <c r="D856" s="156" t="inlineStr">
        <is>
          <t>DT-507</t>
        </is>
      </c>
      <c r="E856" s="156" t="inlineStr">
        <is>
          <t>OB</t>
        </is>
      </c>
      <c r="F856" s="156" t="n">
        <v>4</v>
      </c>
      <c r="G856" s="156" t="inlineStr"/>
      <c r="H856" s="157">
        <f>IF($B856="","",IF(ISNA(MATCH($B856,MASTER_JAM!$Q$5:$Q$28,0)),"?",IF(MATCH($B856,MASTER_JAM!$Q$5:$Q$28,0)&lt;=12,"DS","NS")))</f>
        <v/>
      </c>
      <c r="I856" s="157">
        <f>IFERROR(INDEX(MASTER_JAM!$B$5:$B$94,MATCH($C856,MASTER_JAM!$A$5:$A$94,0)),"")</f>
        <v/>
      </c>
      <c r="J856" s="157">
        <f>IFERROR(INDEX(MASTER_JAM!$E$5:$E$94,MATCH($D856,MASTER_JAM!$A$5:$A$94,0)),"")</f>
        <v/>
      </c>
      <c r="K856" s="158">
        <f>IFERROR(INDEX(MASTER_JAM!$J$5:$O$12,MATCH($E856,MASTER_JAM!$I$5:$I$12,0),MATCH($J856,MASTER_JAM!$J$4:$O$4,0))+0,0)</f>
        <v/>
      </c>
      <c r="L856" s="159">
        <f>N($F856)*$K856</f>
        <v/>
      </c>
      <c r="M856" s="157">
        <f>IF($E856="","",IF(OR($E856="Coal",$E856="Dirty Coal"),"MT","BCM"))</f>
        <v/>
      </c>
      <c r="N856" s="157">
        <f>IF($E856="","",IF(OR($E856="Coal",$E856="Dirty Coal"),"Coal","OB"))</f>
        <v/>
      </c>
      <c r="O856" s="157">
        <f>IF($F856="","",IF(COUNTIF(MASTER_JAM!$A$5:$A$94,$C856)=0,"Digger tidak dikenal",IF($J856="","Hauler tidak dikenal",IF($H856="?","Jam salah",IF($K856=0,"Faktor kosong",IF(SUMIFS(INPUT_DELAY!$E$5:$E$20000,INPUT_DELAY!$A$5:$A$20000,$A856,INPUT_DELAY!$B$5:$B$20000,$B856,INPUT_DELAY!$C$5:$C$20000,$C856)+SUMIFS(INPUT_DELAY!$E$5:$E$20000,INPUT_DELAY!$A$5:$A$20000,$A856,INPUT_DELAY!$B$5:$B$20000,$B856,INPUT_DELAY!$C$5:$C$20000,"SEMUA")&gt;=60,"Delay 60 mnt tapi ada ritase","OK"))))))</f>
        <v/>
      </c>
      <c r="P856" s="158">
        <f>IFERROR(INDEX(MASTER_JAM!$Z$5:$AC$10,MATCH($I856,MASTER_JAM!$Y$5:$Y$10,0),MATCH($J856,MASTER_JAM!$Z$4:$AC$4,0))+0,0)</f>
        <v/>
      </c>
      <c r="Q856" s="158">
        <f>IF($P856=0,0,$P856+IFERROR(INDEX(MASTER_JAM!$H$5:$H$94,MATCH($C856,MASTER_JAM!$A$5:$A$94,0))+0,MASTER_JAM!$AC$15)/1000*(60/MASTER_JAM!$AC$12+60/MASTER_JAM!$AC$13)+MASTER_JAM!$AC$14)</f>
        <v/>
      </c>
      <c r="R856" s="158">
        <f>IF(N($F856)=0,0,$F856/SUMIFS(INPUT_RITASE!$F$5:$F$20000,INPUT_RITASE!$A$5:$A$20000,$A856,INPUT_RITASE!$B$5:$B$20000,$B856,INPUT_RITASE!$C$5:$C$20000,$C856,INPUT_RITASE!$D$5:$D$20000,$D856))</f>
        <v/>
      </c>
      <c r="S856" s="158">
        <f>IF($Q856=0,0,$R856*$P856/$Q856)</f>
        <v/>
      </c>
    </row>
    <row r="857">
      <c r="A857" s="155" t="n">
        <v>46106</v>
      </c>
      <c r="B857" s="156" t="inlineStr">
        <is>
          <t>04-05</t>
        </is>
      </c>
      <c r="C857" s="156" t="inlineStr">
        <is>
          <t>EX-755</t>
        </is>
      </c>
      <c r="D857" s="156" t="inlineStr">
        <is>
          <t>DT-522</t>
        </is>
      </c>
      <c r="E857" s="156" t="inlineStr">
        <is>
          <t>OB</t>
        </is>
      </c>
      <c r="F857" s="156" t="n">
        <v>4</v>
      </c>
      <c r="G857" s="156" t="inlineStr"/>
      <c r="H857" s="157">
        <f>IF($B857="","",IF(ISNA(MATCH($B857,MASTER_JAM!$Q$5:$Q$28,0)),"?",IF(MATCH($B857,MASTER_JAM!$Q$5:$Q$28,0)&lt;=12,"DS","NS")))</f>
        <v/>
      </c>
      <c r="I857" s="157">
        <f>IFERROR(INDEX(MASTER_JAM!$B$5:$B$94,MATCH($C857,MASTER_JAM!$A$5:$A$94,0)),"")</f>
        <v/>
      </c>
      <c r="J857" s="157">
        <f>IFERROR(INDEX(MASTER_JAM!$E$5:$E$94,MATCH($D857,MASTER_JAM!$A$5:$A$94,0)),"")</f>
        <v/>
      </c>
      <c r="K857" s="158">
        <f>IFERROR(INDEX(MASTER_JAM!$J$5:$O$12,MATCH($E857,MASTER_JAM!$I$5:$I$12,0),MATCH($J857,MASTER_JAM!$J$4:$O$4,0))+0,0)</f>
        <v/>
      </c>
      <c r="L857" s="159">
        <f>N($F857)*$K857</f>
        <v/>
      </c>
      <c r="M857" s="157">
        <f>IF($E857="","",IF(OR($E857="Coal",$E857="Dirty Coal"),"MT","BCM"))</f>
        <v/>
      </c>
      <c r="N857" s="157">
        <f>IF($E857="","",IF(OR($E857="Coal",$E857="Dirty Coal"),"Coal","OB"))</f>
        <v/>
      </c>
      <c r="O857" s="157">
        <f>IF($F857="","",IF(COUNTIF(MASTER_JAM!$A$5:$A$94,$C857)=0,"Digger tidak dikenal",IF($J857="","Hauler tidak dikenal",IF($H857="?","Jam salah",IF($K857=0,"Faktor kosong",IF(SUMIFS(INPUT_DELAY!$E$5:$E$20000,INPUT_DELAY!$A$5:$A$20000,$A857,INPUT_DELAY!$B$5:$B$20000,$B857,INPUT_DELAY!$C$5:$C$20000,$C857)+SUMIFS(INPUT_DELAY!$E$5:$E$20000,INPUT_DELAY!$A$5:$A$20000,$A857,INPUT_DELAY!$B$5:$B$20000,$B857,INPUT_DELAY!$C$5:$C$20000,"SEMUA")&gt;=60,"Delay 60 mnt tapi ada ritase","OK"))))))</f>
        <v/>
      </c>
      <c r="P857" s="158">
        <f>IFERROR(INDEX(MASTER_JAM!$Z$5:$AC$10,MATCH($I857,MASTER_JAM!$Y$5:$Y$10,0),MATCH($J857,MASTER_JAM!$Z$4:$AC$4,0))+0,0)</f>
        <v/>
      </c>
      <c r="Q857" s="158">
        <f>IF($P857=0,0,$P857+IFERROR(INDEX(MASTER_JAM!$H$5:$H$94,MATCH($C857,MASTER_JAM!$A$5:$A$94,0))+0,MASTER_JAM!$AC$15)/1000*(60/MASTER_JAM!$AC$12+60/MASTER_JAM!$AC$13)+MASTER_JAM!$AC$14)</f>
        <v/>
      </c>
      <c r="R857" s="158">
        <f>IF(N($F857)=0,0,$F857/SUMIFS(INPUT_RITASE!$F$5:$F$20000,INPUT_RITASE!$A$5:$A$20000,$A857,INPUT_RITASE!$B$5:$B$20000,$B857,INPUT_RITASE!$C$5:$C$20000,$C857,INPUT_RITASE!$D$5:$D$20000,$D857))</f>
        <v/>
      </c>
      <c r="S857" s="158">
        <f>IF($Q857=0,0,$R857*$P857/$Q857)</f>
        <v/>
      </c>
    </row>
    <row r="858">
      <c r="A858" s="155" t="n">
        <v>46106</v>
      </c>
      <c r="B858" s="156" t="inlineStr">
        <is>
          <t>04-05</t>
        </is>
      </c>
      <c r="C858" s="156" t="inlineStr">
        <is>
          <t>EX-755</t>
        </is>
      </c>
      <c r="D858" s="156" t="inlineStr">
        <is>
          <t>DT-529</t>
        </is>
      </c>
      <c r="E858" s="156" t="inlineStr">
        <is>
          <t>OB</t>
        </is>
      </c>
      <c r="F858" s="156" t="n">
        <v>4</v>
      </c>
      <c r="G858" s="156" t="inlineStr"/>
      <c r="H858" s="157">
        <f>IF($B858="","",IF(ISNA(MATCH($B858,MASTER_JAM!$Q$5:$Q$28,0)),"?",IF(MATCH($B858,MASTER_JAM!$Q$5:$Q$28,0)&lt;=12,"DS","NS")))</f>
        <v/>
      </c>
      <c r="I858" s="157">
        <f>IFERROR(INDEX(MASTER_JAM!$B$5:$B$94,MATCH($C858,MASTER_JAM!$A$5:$A$94,0)),"")</f>
        <v/>
      </c>
      <c r="J858" s="157">
        <f>IFERROR(INDEX(MASTER_JAM!$E$5:$E$94,MATCH($D858,MASTER_JAM!$A$5:$A$94,0)),"")</f>
        <v/>
      </c>
      <c r="K858" s="158">
        <f>IFERROR(INDEX(MASTER_JAM!$J$5:$O$12,MATCH($E858,MASTER_JAM!$I$5:$I$12,0),MATCH($J858,MASTER_JAM!$J$4:$O$4,0))+0,0)</f>
        <v/>
      </c>
      <c r="L858" s="159">
        <f>N($F858)*$K858</f>
        <v/>
      </c>
      <c r="M858" s="157">
        <f>IF($E858="","",IF(OR($E858="Coal",$E858="Dirty Coal"),"MT","BCM"))</f>
        <v/>
      </c>
      <c r="N858" s="157">
        <f>IF($E858="","",IF(OR($E858="Coal",$E858="Dirty Coal"),"Coal","OB"))</f>
        <v/>
      </c>
      <c r="O858" s="157">
        <f>IF($F858="","",IF(COUNTIF(MASTER_JAM!$A$5:$A$94,$C858)=0,"Digger tidak dikenal",IF($J858="","Hauler tidak dikenal",IF($H858="?","Jam salah",IF($K858=0,"Faktor kosong",IF(SUMIFS(INPUT_DELAY!$E$5:$E$20000,INPUT_DELAY!$A$5:$A$20000,$A858,INPUT_DELAY!$B$5:$B$20000,$B858,INPUT_DELAY!$C$5:$C$20000,$C858)+SUMIFS(INPUT_DELAY!$E$5:$E$20000,INPUT_DELAY!$A$5:$A$20000,$A858,INPUT_DELAY!$B$5:$B$20000,$B858,INPUT_DELAY!$C$5:$C$20000,"SEMUA")&gt;=60,"Delay 60 mnt tapi ada ritase","OK"))))))</f>
        <v/>
      </c>
      <c r="P858" s="158">
        <f>IFERROR(INDEX(MASTER_JAM!$Z$5:$AC$10,MATCH($I858,MASTER_JAM!$Y$5:$Y$10,0),MATCH($J858,MASTER_JAM!$Z$4:$AC$4,0))+0,0)</f>
        <v/>
      </c>
      <c r="Q858" s="158">
        <f>IF($P858=0,0,$P858+IFERROR(INDEX(MASTER_JAM!$H$5:$H$94,MATCH($C858,MASTER_JAM!$A$5:$A$94,0))+0,MASTER_JAM!$AC$15)/1000*(60/MASTER_JAM!$AC$12+60/MASTER_JAM!$AC$13)+MASTER_JAM!$AC$14)</f>
        <v/>
      </c>
      <c r="R858" s="158">
        <f>IF(N($F858)=0,0,$F858/SUMIFS(INPUT_RITASE!$F$5:$F$20000,INPUT_RITASE!$A$5:$A$20000,$A858,INPUT_RITASE!$B$5:$B$20000,$B858,INPUT_RITASE!$C$5:$C$20000,$C858,INPUT_RITASE!$D$5:$D$20000,$D858))</f>
        <v/>
      </c>
      <c r="S858" s="158">
        <f>IF($Q858=0,0,$R858*$P858/$Q858)</f>
        <v/>
      </c>
    </row>
    <row r="859">
      <c r="A859" s="155" t="n">
        <v>46106</v>
      </c>
      <c r="B859" s="156" t="inlineStr">
        <is>
          <t>04-05</t>
        </is>
      </c>
      <c r="C859" s="156" t="inlineStr">
        <is>
          <t>EX-755</t>
        </is>
      </c>
      <c r="D859" s="156" t="inlineStr">
        <is>
          <t>DT-512</t>
        </is>
      </c>
      <c r="E859" s="156" t="inlineStr">
        <is>
          <t>OB</t>
        </is>
      </c>
      <c r="F859" s="156" t="n">
        <v>3</v>
      </c>
      <c r="G859" s="156" t="inlineStr"/>
      <c r="H859" s="157">
        <f>IF($B859="","",IF(ISNA(MATCH($B859,MASTER_JAM!$Q$5:$Q$28,0)),"?",IF(MATCH($B859,MASTER_JAM!$Q$5:$Q$28,0)&lt;=12,"DS","NS")))</f>
        <v/>
      </c>
      <c r="I859" s="157">
        <f>IFERROR(INDEX(MASTER_JAM!$B$5:$B$94,MATCH($C859,MASTER_JAM!$A$5:$A$94,0)),"")</f>
        <v/>
      </c>
      <c r="J859" s="157">
        <f>IFERROR(INDEX(MASTER_JAM!$E$5:$E$94,MATCH($D859,MASTER_JAM!$A$5:$A$94,0)),"")</f>
        <v/>
      </c>
      <c r="K859" s="158">
        <f>IFERROR(INDEX(MASTER_JAM!$J$5:$O$12,MATCH($E859,MASTER_JAM!$I$5:$I$12,0),MATCH($J859,MASTER_JAM!$J$4:$O$4,0))+0,0)</f>
        <v/>
      </c>
      <c r="L859" s="159">
        <f>N($F859)*$K859</f>
        <v/>
      </c>
      <c r="M859" s="157">
        <f>IF($E859="","",IF(OR($E859="Coal",$E859="Dirty Coal"),"MT","BCM"))</f>
        <v/>
      </c>
      <c r="N859" s="157">
        <f>IF($E859="","",IF(OR($E859="Coal",$E859="Dirty Coal"),"Coal","OB"))</f>
        <v/>
      </c>
      <c r="O859" s="157">
        <f>IF($F859="","",IF(COUNTIF(MASTER_JAM!$A$5:$A$94,$C859)=0,"Digger tidak dikenal",IF($J859="","Hauler tidak dikenal",IF($H859="?","Jam salah",IF($K859=0,"Faktor kosong",IF(SUMIFS(INPUT_DELAY!$E$5:$E$20000,INPUT_DELAY!$A$5:$A$20000,$A859,INPUT_DELAY!$B$5:$B$20000,$B859,INPUT_DELAY!$C$5:$C$20000,$C859)+SUMIFS(INPUT_DELAY!$E$5:$E$20000,INPUT_DELAY!$A$5:$A$20000,$A859,INPUT_DELAY!$B$5:$B$20000,$B859,INPUT_DELAY!$C$5:$C$20000,"SEMUA")&gt;=60,"Delay 60 mnt tapi ada ritase","OK"))))))</f>
        <v/>
      </c>
      <c r="P859" s="158">
        <f>IFERROR(INDEX(MASTER_JAM!$Z$5:$AC$10,MATCH($I859,MASTER_JAM!$Y$5:$Y$10,0),MATCH($J859,MASTER_JAM!$Z$4:$AC$4,0))+0,0)</f>
        <v/>
      </c>
      <c r="Q859" s="158">
        <f>IF($P859=0,0,$P859+IFERROR(INDEX(MASTER_JAM!$H$5:$H$94,MATCH($C859,MASTER_JAM!$A$5:$A$94,0))+0,MASTER_JAM!$AC$15)/1000*(60/MASTER_JAM!$AC$12+60/MASTER_JAM!$AC$13)+MASTER_JAM!$AC$14)</f>
        <v/>
      </c>
      <c r="R859" s="158">
        <f>IF(N($F859)=0,0,$F859/SUMIFS(INPUT_RITASE!$F$5:$F$20000,INPUT_RITASE!$A$5:$A$20000,$A859,INPUT_RITASE!$B$5:$B$20000,$B859,INPUT_RITASE!$C$5:$C$20000,$C859,INPUT_RITASE!$D$5:$D$20000,$D859))</f>
        <v/>
      </c>
      <c r="S859" s="158">
        <f>IF($Q859=0,0,$R859*$P859/$Q859)</f>
        <v/>
      </c>
    </row>
    <row r="860">
      <c r="A860" s="155" t="n">
        <v>46106</v>
      </c>
      <c r="B860" s="156" t="inlineStr">
        <is>
          <t>05-06</t>
        </is>
      </c>
      <c r="C860" s="156" t="inlineStr">
        <is>
          <t>EX-755</t>
        </is>
      </c>
      <c r="D860" s="156" t="inlineStr">
        <is>
          <t>DT-512</t>
        </is>
      </c>
      <c r="E860" s="156" t="inlineStr">
        <is>
          <t>OB</t>
        </is>
      </c>
      <c r="F860" s="156" t="n">
        <v>4</v>
      </c>
      <c r="G860" s="156" t="inlineStr"/>
      <c r="H860" s="157">
        <f>IF($B860="","",IF(ISNA(MATCH($B860,MASTER_JAM!$Q$5:$Q$28,0)),"?",IF(MATCH($B860,MASTER_JAM!$Q$5:$Q$28,0)&lt;=12,"DS","NS")))</f>
        <v/>
      </c>
      <c r="I860" s="157">
        <f>IFERROR(INDEX(MASTER_JAM!$B$5:$B$94,MATCH($C860,MASTER_JAM!$A$5:$A$94,0)),"")</f>
        <v/>
      </c>
      <c r="J860" s="157">
        <f>IFERROR(INDEX(MASTER_JAM!$E$5:$E$94,MATCH($D860,MASTER_JAM!$A$5:$A$94,0)),"")</f>
        <v/>
      </c>
      <c r="K860" s="158">
        <f>IFERROR(INDEX(MASTER_JAM!$J$5:$O$12,MATCH($E860,MASTER_JAM!$I$5:$I$12,0),MATCH($J860,MASTER_JAM!$J$4:$O$4,0))+0,0)</f>
        <v/>
      </c>
      <c r="L860" s="159">
        <f>N($F860)*$K860</f>
        <v/>
      </c>
      <c r="M860" s="157">
        <f>IF($E860="","",IF(OR($E860="Coal",$E860="Dirty Coal"),"MT","BCM"))</f>
        <v/>
      </c>
      <c r="N860" s="157">
        <f>IF($E860="","",IF(OR($E860="Coal",$E860="Dirty Coal"),"Coal","OB"))</f>
        <v/>
      </c>
      <c r="O860" s="157">
        <f>IF($F860="","",IF(COUNTIF(MASTER_JAM!$A$5:$A$94,$C860)=0,"Digger tidak dikenal",IF($J860="","Hauler tidak dikenal",IF($H860="?","Jam salah",IF($K860=0,"Faktor kosong",IF(SUMIFS(INPUT_DELAY!$E$5:$E$20000,INPUT_DELAY!$A$5:$A$20000,$A860,INPUT_DELAY!$B$5:$B$20000,$B860,INPUT_DELAY!$C$5:$C$20000,$C860)+SUMIFS(INPUT_DELAY!$E$5:$E$20000,INPUT_DELAY!$A$5:$A$20000,$A860,INPUT_DELAY!$B$5:$B$20000,$B860,INPUT_DELAY!$C$5:$C$20000,"SEMUA")&gt;=60,"Delay 60 mnt tapi ada ritase","OK"))))))</f>
        <v/>
      </c>
      <c r="P860" s="158">
        <f>IFERROR(INDEX(MASTER_JAM!$Z$5:$AC$10,MATCH($I860,MASTER_JAM!$Y$5:$Y$10,0),MATCH($J860,MASTER_JAM!$Z$4:$AC$4,0))+0,0)</f>
        <v/>
      </c>
      <c r="Q860" s="158">
        <f>IF($P860=0,0,$P860+IFERROR(INDEX(MASTER_JAM!$H$5:$H$94,MATCH($C860,MASTER_JAM!$A$5:$A$94,0))+0,MASTER_JAM!$AC$15)/1000*(60/MASTER_JAM!$AC$12+60/MASTER_JAM!$AC$13)+MASTER_JAM!$AC$14)</f>
        <v/>
      </c>
      <c r="R860" s="158">
        <f>IF(N($F860)=0,0,$F860/SUMIFS(INPUT_RITASE!$F$5:$F$20000,INPUT_RITASE!$A$5:$A$20000,$A860,INPUT_RITASE!$B$5:$B$20000,$B860,INPUT_RITASE!$C$5:$C$20000,$C860,INPUT_RITASE!$D$5:$D$20000,$D860))</f>
        <v/>
      </c>
      <c r="S860" s="158">
        <f>IF($Q860=0,0,$R860*$P860/$Q860)</f>
        <v/>
      </c>
    </row>
    <row r="861">
      <c r="A861" s="155" t="n">
        <v>46106</v>
      </c>
      <c r="B861" s="156" t="inlineStr">
        <is>
          <t>05-06</t>
        </is>
      </c>
      <c r="C861" s="156" t="inlineStr">
        <is>
          <t>EX-755</t>
        </is>
      </c>
      <c r="D861" s="156" t="inlineStr">
        <is>
          <t>DT-504</t>
        </is>
      </c>
      <c r="E861" s="156" t="inlineStr">
        <is>
          <t>OB</t>
        </is>
      </c>
      <c r="F861" s="156" t="n">
        <v>4</v>
      </c>
      <c r="G861" s="156" t="inlineStr"/>
      <c r="H861" s="157">
        <f>IF($B861="","",IF(ISNA(MATCH($B861,MASTER_JAM!$Q$5:$Q$28,0)),"?",IF(MATCH($B861,MASTER_JAM!$Q$5:$Q$28,0)&lt;=12,"DS","NS")))</f>
        <v/>
      </c>
      <c r="I861" s="157">
        <f>IFERROR(INDEX(MASTER_JAM!$B$5:$B$94,MATCH($C861,MASTER_JAM!$A$5:$A$94,0)),"")</f>
        <v/>
      </c>
      <c r="J861" s="157">
        <f>IFERROR(INDEX(MASTER_JAM!$E$5:$E$94,MATCH($D861,MASTER_JAM!$A$5:$A$94,0)),"")</f>
        <v/>
      </c>
      <c r="K861" s="158">
        <f>IFERROR(INDEX(MASTER_JAM!$J$5:$O$12,MATCH($E861,MASTER_JAM!$I$5:$I$12,0),MATCH($J861,MASTER_JAM!$J$4:$O$4,0))+0,0)</f>
        <v/>
      </c>
      <c r="L861" s="159">
        <f>N($F861)*$K861</f>
        <v/>
      </c>
      <c r="M861" s="157">
        <f>IF($E861="","",IF(OR($E861="Coal",$E861="Dirty Coal"),"MT","BCM"))</f>
        <v/>
      </c>
      <c r="N861" s="157">
        <f>IF($E861="","",IF(OR($E861="Coal",$E861="Dirty Coal"),"Coal","OB"))</f>
        <v/>
      </c>
      <c r="O861" s="157">
        <f>IF($F861="","",IF(COUNTIF(MASTER_JAM!$A$5:$A$94,$C861)=0,"Digger tidak dikenal",IF($J861="","Hauler tidak dikenal",IF($H861="?","Jam salah",IF($K861=0,"Faktor kosong",IF(SUMIFS(INPUT_DELAY!$E$5:$E$20000,INPUT_DELAY!$A$5:$A$20000,$A861,INPUT_DELAY!$B$5:$B$20000,$B861,INPUT_DELAY!$C$5:$C$20000,$C861)+SUMIFS(INPUT_DELAY!$E$5:$E$20000,INPUT_DELAY!$A$5:$A$20000,$A861,INPUT_DELAY!$B$5:$B$20000,$B861,INPUT_DELAY!$C$5:$C$20000,"SEMUA")&gt;=60,"Delay 60 mnt tapi ada ritase","OK"))))))</f>
        <v/>
      </c>
      <c r="P861" s="158">
        <f>IFERROR(INDEX(MASTER_JAM!$Z$5:$AC$10,MATCH($I861,MASTER_JAM!$Y$5:$Y$10,0),MATCH($J861,MASTER_JAM!$Z$4:$AC$4,0))+0,0)</f>
        <v/>
      </c>
      <c r="Q861" s="158">
        <f>IF($P861=0,0,$P861+IFERROR(INDEX(MASTER_JAM!$H$5:$H$94,MATCH($C861,MASTER_JAM!$A$5:$A$94,0))+0,MASTER_JAM!$AC$15)/1000*(60/MASTER_JAM!$AC$12+60/MASTER_JAM!$AC$13)+MASTER_JAM!$AC$14)</f>
        <v/>
      </c>
      <c r="R861" s="158">
        <f>IF(N($F861)=0,0,$F861/SUMIFS(INPUT_RITASE!$F$5:$F$20000,INPUT_RITASE!$A$5:$A$20000,$A861,INPUT_RITASE!$B$5:$B$20000,$B861,INPUT_RITASE!$C$5:$C$20000,$C861,INPUT_RITASE!$D$5:$D$20000,$D861))</f>
        <v/>
      </c>
      <c r="S861" s="158">
        <f>IF($Q861=0,0,$R861*$P861/$Q861)</f>
        <v/>
      </c>
    </row>
    <row r="862">
      <c r="A862" s="155" t="n">
        <v>46106</v>
      </c>
      <c r="B862" s="156" t="inlineStr">
        <is>
          <t>05-06</t>
        </is>
      </c>
      <c r="C862" s="156" t="inlineStr">
        <is>
          <t>EX-755</t>
        </is>
      </c>
      <c r="D862" s="156" t="inlineStr">
        <is>
          <t>DT-518</t>
        </is>
      </c>
      <c r="E862" s="156" t="inlineStr">
        <is>
          <t>OB</t>
        </is>
      </c>
      <c r="F862" s="156" t="n">
        <v>3</v>
      </c>
      <c r="G862" s="156" t="inlineStr"/>
      <c r="H862" s="157">
        <f>IF($B862="","",IF(ISNA(MATCH($B862,MASTER_JAM!$Q$5:$Q$28,0)),"?",IF(MATCH($B862,MASTER_JAM!$Q$5:$Q$28,0)&lt;=12,"DS","NS")))</f>
        <v/>
      </c>
      <c r="I862" s="157">
        <f>IFERROR(INDEX(MASTER_JAM!$B$5:$B$94,MATCH($C862,MASTER_JAM!$A$5:$A$94,0)),"")</f>
        <v/>
      </c>
      <c r="J862" s="157">
        <f>IFERROR(INDEX(MASTER_JAM!$E$5:$E$94,MATCH($D862,MASTER_JAM!$A$5:$A$94,0)),"")</f>
        <v/>
      </c>
      <c r="K862" s="158">
        <f>IFERROR(INDEX(MASTER_JAM!$J$5:$O$12,MATCH($E862,MASTER_JAM!$I$5:$I$12,0),MATCH($J862,MASTER_JAM!$J$4:$O$4,0))+0,0)</f>
        <v/>
      </c>
      <c r="L862" s="159">
        <f>N($F862)*$K862</f>
        <v/>
      </c>
      <c r="M862" s="157">
        <f>IF($E862="","",IF(OR($E862="Coal",$E862="Dirty Coal"),"MT","BCM"))</f>
        <v/>
      </c>
      <c r="N862" s="157">
        <f>IF($E862="","",IF(OR($E862="Coal",$E862="Dirty Coal"),"Coal","OB"))</f>
        <v/>
      </c>
      <c r="O862" s="157">
        <f>IF($F862="","",IF(COUNTIF(MASTER_JAM!$A$5:$A$94,$C862)=0,"Digger tidak dikenal",IF($J862="","Hauler tidak dikenal",IF($H862="?","Jam salah",IF($K862=0,"Faktor kosong",IF(SUMIFS(INPUT_DELAY!$E$5:$E$20000,INPUT_DELAY!$A$5:$A$20000,$A862,INPUT_DELAY!$B$5:$B$20000,$B862,INPUT_DELAY!$C$5:$C$20000,$C862)+SUMIFS(INPUT_DELAY!$E$5:$E$20000,INPUT_DELAY!$A$5:$A$20000,$A862,INPUT_DELAY!$B$5:$B$20000,$B862,INPUT_DELAY!$C$5:$C$20000,"SEMUA")&gt;=60,"Delay 60 mnt tapi ada ritase","OK"))))))</f>
        <v/>
      </c>
      <c r="P862" s="158">
        <f>IFERROR(INDEX(MASTER_JAM!$Z$5:$AC$10,MATCH($I862,MASTER_JAM!$Y$5:$Y$10,0),MATCH($J862,MASTER_JAM!$Z$4:$AC$4,0))+0,0)</f>
        <v/>
      </c>
      <c r="Q862" s="158">
        <f>IF($P862=0,0,$P862+IFERROR(INDEX(MASTER_JAM!$H$5:$H$94,MATCH($C862,MASTER_JAM!$A$5:$A$94,0))+0,MASTER_JAM!$AC$15)/1000*(60/MASTER_JAM!$AC$12+60/MASTER_JAM!$AC$13)+MASTER_JAM!$AC$14)</f>
        <v/>
      </c>
      <c r="R862" s="158">
        <f>IF(N($F862)=0,0,$F862/SUMIFS(INPUT_RITASE!$F$5:$F$20000,INPUT_RITASE!$A$5:$A$20000,$A862,INPUT_RITASE!$B$5:$B$20000,$B862,INPUT_RITASE!$C$5:$C$20000,$C862,INPUT_RITASE!$D$5:$D$20000,$D862))</f>
        <v/>
      </c>
      <c r="S862" s="158">
        <f>IF($Q862=0,0,$R862*$P862/$Q862)</f>
        <v/>
      </c>
    </row>
    <row r="863">
      <c r="A863" s="155" t="n">
        <v>46106</v>
      </c>
      <c r="B863" s="156" t="inlineStr">
        <is>
          <t>18-19</t>
        </is>
      </c>
      <c r="C863" s="156" t="inlineStr">
        <is>
          <t>EX-753</t>
        </is>
      </c>
      <c r="D863" s="156" t="inlineStr">
        <is>
          <t>DT-507</t>
        </is>
      </c>
      <c r="E863" s="156" t="inlineStr">
        <is>
          <t>OB</t>
        </is>
      </c>
      <c r="F863" s="156" t="n">
        <v>4</v>
      </c>
      <c r="G863" s="156" t="inlineStr"/>
      <c r="H863" s="157">
        <f>IF($B863="","",IF(ISNA(MATCH($B863,MASTER_JAM!$Q$5:$Q$28,0)),"?",IF(MATCH($B863,MASTER_JAM!$Q$5:$Q$28,0)&lt;=12,"DS","NS")))</f>
        <v/>
      </c>
      <c r="I863" s="157">
        <f>IFERROR(INDEX(MASTER_JAM!$B$5:$B$94,MATCH($C863,MASTER_JAM!$A$5:$A$94,0)),"")</f>
        <v/>
      </c>
      <c r="J863" s="157">
        <f>IFERROR(INDEX(MASTER_JAM!$E$5:$E$94,MATCH($D863,MASTER_JAM!$A$5:$A$94,0)),"")</f>
        <v/>
      </c>
      <c r="K863" s="158">
        <f>IFERROR(INDEX(MASTER_JAM!$J$5:$O$12,MATCH($E863,MASTER_JAM!$I$5:$I$12,0),MATCH($J863,MASTER_JAM!$J$4:$O$4,0))+0,0)</f>
        <v/>
      </c>
      <c r="L863" s="159">
        <f>N($F863)*$K863</f>
        <v/>
      </c>
      <c r="M863" s="157">
        <f>IF($E863="","",IF(OR($E863="Coal",$E863="Dirty Coal"),"MT","BCM"))</f>
        <v/>
      </c>
      <c r="N863" s="157">
        <f>IF($E863="","",IF(OR($E863="Coal",$E863="Dirty Coal"),"Coal","OB"))</f>
        <v/>
      </c>
      <c r="O863" s="157">
        <f>IF($F863="","",IF(COUNTIF(MASTER_JAM!$A$5:$A$94,$C863)=0,"Digger tidak dikenal",IF($J863="","Hauler tidak dikenal",IF($H863="?","Jam salah",IF($K863=0,"Faktor kosong",IF(SUMIFS(INPUT_DELAY!$E$5:$E$20000,INPUT_DELAY!$A$5:$A$20000,$A863,INPUT_DELAY!$B$5:$B$20000,$B863,INPUT_DELAY!$C$5:$C$20000,$C863)+SUMIFS(INPUT_DELAY!$E$5:$E$20000,INPUT_DELAY!$A$5:$A$20000,$A863,INPUT_DELAY!$B$5:$B$20000,$B863,INPUT_DELAY!$C$5:$C$20000,"SEMUA")&gt;=60,"Delay 60 mnt tapi ada ritase","OK"))))))</f>
        <v/>
      </c>
      <c r="P863" s="158">
        <f>IFERROR(INDEX(MASTER_JAM!$Z$5:$AC$10,MATCH($I863,MASTER_JAM!$Y$5:$Y$10,0),MATCH($J863,MASTER_JAM!$Z$4:$AC$4,0))+0,0)</f>
        <v/>
      </c>
      <c r="Q863" s="158">
        <f>IF($P863=0,0,$P863+IFERROR(INDEX(MASTER_JAM!$H$5:$H$94,MATCH($C863,MASTER_JAM!$A$5:$A$94,0))+0,MASTER_JAM!$AC$15)/1000*(60/MASTER_JAM!$AC$12+60/MASTER_JAM!$AC$13)+MASTER_JAM!$AC$14)</f>
        <v/>
      </c>
      <c r="R863" s="158">
        <f>IF(N($F863)=0,0,$F863/SUMIFS(INPUT_RITASE!$F$5:$F$20000,INPUT_RITASE!$A$5:$A$20000,$A863,INPUT_RITASE!$B$5:$B$20000,$B863,INPUT_RITASE!$C$5:$C$20000,$C863,INPUT_RITASE!$D$5:$D$20000,$D863))</f>
        <v/>
      </c>
      <c r="S863" s="158">
        <f>IF($Q863=0,0,$R863*$P863/$Q863)</f>
        <v/>
      </c>
    </row>
    <row r="864">
      <c r="A864" s="155" t="n">
        <v>46106</v>
      </c>
      <c r="B864" s="156" t="inlineStr">
        <is>
          <t>18-19</t>
        </is>
      </c>
      <c r="C864" s="156" t="inlineStr">
        <is>
          <t>EX-753</t>
        </is>
      </c>
      <c r="D864" s="156" t="inlineStr">
        <is>
          <t>DT-510</t>
        </is>
      </c>
      <c r="E864" s="156" t="inlineStr">
        <is>
          <t>OB</t>
        </is>
      </c>
      <c r="F864" s="156" t="n">
        <v>3</v>
      </c>
      <c r="G864" s="156" t="inlineStr"/>
      <c r="H864" s="157">
        <f>IF($B864="","",IF(ISNA(MATCH($B864,MASTER_JAM!$Q$5:$Q$28,0)),"?",IF(MATCH($B864,MASTER_JAM!$Q$5:$Q$28,0)&lt;=12,"DS","NS")))</f>
        <v/>
      </c>
      <c r="I864" s="157">
        <f>IFERROR(INDEX(MASTER_JAM!$B$5:$B$94,MATCH($C864,MASTER_JAM!$A$5:$A$94,0)),"")</f>
        <v/>
      </c>
      <c r="J864" s="157">
        <f>IFERROR(INDEX(MASTER_JAM!$E$5:$E$94,MATCH($D864,MASTER_JAM!$A$5:$A$94,0)),"")</f>
        <v/>
      </c>
      <c r="K864" s="158">
        <f>IFERROR(INDEX(MASTER_JAM!$J$5:$O$12,MATCH($E864,MASTER_JAM!$I$5:$I$12,0),MATCH($J864,MASTER_JAM!$J$4:$O$4,0))+0,0)</f>
        <v/>
      </c>
      <c r="L864" s="159">
        <f>N($F864)*$K864</f>
        <v/>
      </c>
      <c r="M864" s="157">
        <f>IF($E864="","",IF(OR($E864="Coal",$E864="Dirty Coal"),"MT","BCM"))</f>
        <v/>
      </c>
      <c r="N864" s="157">
        <f>IF($E864="","",IF(OR($E864="Coal",$E864="Dirty Coal"),"Coal","OB"))</f>
        <v/>
      </c>
      <c r="O864" s="157">
        <f>IF($F864="","",IF(COUNTIF(MASTER_JAM!$A$5:$A$94,$C864)=0,"Digger tidak dikenal",IF($J864="","Hauler tidak dikenal",IF($H864="?","Jam salah",IF($K864=0,"Faktor kosong",IF(SUMIFS(INPUT_DELAY!$E$5:$E$20000,INPUT_DELAY!$A$5:$A$20000,$A864,INPUT_DELAY!$B$5:$B$20000,$B864,INPUT_DELAY!$C$5:$C$20000,$C864)+SUMIFS(INPUT_DELAY!$E$5:$E$20000,INPUT_DELAY!$A$5:$A$20000,$A864,INPUT_DELAY!$B$5:$B$20000,$B864,INPUT_DELAY!$C$5:$C$20000,"SEMUA")&gt;=60,"Delay 60 mnt tapi ada ritase","OK"))))))</f>
        <v/>
      </c>
      <c r="P864" s="158">
        <f>IFERROR(INDEX(MASTER_JAM!$Z$5:$AC$10,MATCH($I864,MASTER_JAM!$Y$5:$Y$10,0),MATCH($J864,MASTER_JAM!$Z$4:$AC$4,0))+0,0)</f>
        <v/>
      </c>
      <c r="Q864" s="158">
        <f>IF($P864=0,0,$P864+IFERROR(INDEX(MASTER_JAM!$H$5:$H$94,MATCH($C864,MASTER_JAM!$A$5:$A$94,0))+0,MASTER_JAM!$AC$15)/1000*(60/MASTER_JAM!$AC$12+60/MASTER_JAM!$AC$13)+MASTER_JAM!$AC$14)</f>
        <v/>
      </c>
      <c r="R864" s="158">
        <f>IF(N($F864)=0,0,$F864/SUMIFS(INPUT_RITASE!$F$5:$F$20000,INPUT_RITASE!$A$5:$A$20000,$A864,INPUT_RITASE!$B$5:$B$20000,$B864,INPUT_RITASE!$C$5:$C$20000,$C864,INPUT_RITASE!$D$5:$D$20000,$D864))</f>
        <v/>
      </c>
      <c r="S864" s="158">
        <f>IF($Q864=0,0,$R864*$P864/$Q864)</f>
        <v/>
      </c>
    </row>
    <row r="865">
      <c r="A865" s="155" t="n">
        <v>46106</v>
      </c>
      <c r="B865" s="156" t="inlineStr">
        <is>
          <t>18-19</t>
        </is>
      </c>
      <c r="C865" s="156" t="inlineStr">
        <is>
          <t>EX-753</t>
        </is>
      </c>
      <c r="D865" s="156" t="inlineStr">
        <is>
          <t>DT-527</t>
        </is>
      </c>
      <c r="E865" s="156" t="inlineStr">
        <is>
          <t>OB</t>
        </is>
      </c>
      <c r="F865" s="156" t="n">
        <v>3</v>
      </c>
      <c r="G865" s="156" t="inlineStr"/>
      <c r="H865" s="157">
        <f>IF($B865="","",IF(ISNA(MATCH($B865,MASTER_JAM!$Q$5:$Q$28,0)),"?",IF(MATCH($B865,MASTER_JAM!$Q$5:$Q$28,0)&lt;=12,"DS","NS")))</f>
        <v/>
      </c>
      <c r="I865" s="157">
        <f>IFERROR(INDEX(MASTER_JAM!$B$5:$B$94,MATCH($C865,MASTER_JAM!$A$5:$A$94,0)),"")</f>
        <v/>
      </c>
      <c r="J865" s="157">
        <f>IFERROR(INDEX(MASTER_JAM!$E$5:$E$94,MATCH($D865,MASTER_JAM!$A$5:$A$94,0)),"")</f>
        <v/>
      </c>
      <c r="K865" s="158">
        <f>IFERROR(INDEX(MASTER_JAM!$J$5:$O$12,MATCH($E865,MASTER_JAM!$I$5:$I$12,0),MATCH($J865,MASTER_JAM!$J$4:$O$4,0))+0,0)</f>
        <v/>
      </c>
      <c r="L865" s="159">
        <f>N($F865)*$K865</f>
        <v/>
      </c>
      <c r="M865" s="157">
        <f>IF($E865="","",IF(OR($E865="Coal",$E865="Dirty Coal"),"MT","BCM"))</f>
        <v/>
      </c>
      <c r="N865" s="157">
        <f>IF($E865="","",IF(OR($E865="Coal",$E865="Dirty Coal"),"Coal","OB"))</f>
        <v/>
      </c>
      <c r="O865" s="157">
        <f>IF($F865="","",IF(COUNTIF(MASTER_JAM!$A$5:$A$94,$C865)=0,"Digger tidak dikenal",IF($J865="","Hauler tidak dikenal",IF($H865="?","Jam salah",IF($K865=0,"Faktor kosong",IF(SUMIFS(INPUT_DELAY!$E$5:$E$20000,INPUT_DELAY!$A$5:$A$20000,$A865,INPUT_DELAY!$B$5:$B$20000,$B865,INPUT_DELAY!$C$5:$C$20000,$C865)+SUMIFS(INPUT_DELAY!$E$5:$E$20000,INPUT_DELAY!$A$5:$A$20000,$A865,INPUT_DELAY!$B$5:$B$20000,$B865,INPUT_DELAY!$C$5:$C$20000,"SEMUA")&gt;=60,"Delay 60 mnt tapi ada ritase","OK"))))))</f>
        <v/>
      </c>
      <c r="P865" s="158">
        <f>IFERROR(INDEX(MASTER_JAM!$Z$5:$AC$10,MATCH($I865,MASTER_JAM!$Y$5:$Y$10,0),MATCH($J865,MASTER_JAM!$Z$4:$AC$4,0))+0,0)</f>
        <v/>
      </c>
      <c r="Q865" s="158">
        <f>IF($P865=0,0,$P865+IFERROR(INDEX(MASTER_JAM!$H$5:$H$94,MATCH($C865,MASTER_JAM!$A$5:$A$94,0))+0,MASTER_JAM!$AC$15)/1000*(60/MASTER_JAM!$AC$12+60/MASTER_JAM!$AC$13)+MASTER_JAM!$AC$14)</f>
        <v/>
      </c>
      <c r="R865" s="158">
        <f>IF(N($F865)=0,0,$F865/SUMIFS(INPUT_RITASE!$F$5:$F$20000,INPUT_RITASE!$A$5:$A$20000,$A865,INPUT_RITASE!$B$5:$B$20000,$B865,INPUT_RITASE!$C$5:$C$20000,$C865,INPUT_RITASE!$D$5:$D$20000,$D865))</f>
        <v/>
      </c>
      <c r="S865" s="158">
        <f>IF($Q865=0,0,$R865*$P865/$Q865)</f>
        <v/>
      </c>
    </row>
    <row r="866">
      <c r="A866" s="155" t="n">
        <v>46106</v>
      </c>
      <c r="B866" s="156" t="inlineStr">
        <is>
          <t>18-19</t>
        </is>
      </c>
      <c r="C866" s="156" t="inlineStr">
        <is>
          <t>EX-753</t>
        </is>
      </c>
      <c r="D866" s="156" t="inlineStr">
        <is>
          <t>DT-524</t>
        </is>
      </c>
      <c r="E866" s="156" t="inlineStr">
        <is>
          <t>OB</t>
        </is>
      </c>
      <c r="F866" s="156" t="n">
        <v>3</v>
      </c>
      <c r="G866" s="156" t="inlineStr"/>
      <c r="H866" s="157">
        <f>IF($B866="","",IF(ISNA(MATCH($B866,MASTER_JAM!$Q$5:$Q$28,0)),"?",IF(MATCH($B866,MASTER_JAM!$Q$5:$Q$28,0)&lt;=12,"DS","NS")))</f>
        <v/>
      </c>
      <c r="I866" s="157">
        <f>IFERROR(INDEX(MASTER_JAM!$B$5:$B$94,MATCH($C866,MASTER_JAM!$A$5:$A$94,0)),"")</f>
        <v/>
      </c>
      <c r="J866" s="157">
        <f>IFERROR(INDEX(MASTER_JAM!$E$5:$E$94,MATCH($D866,MASTER_JAM!$A$5:$A$94,0)),"")</f>
        <v/>
      </c>
      <c r="K866" s="158">
        <f>IFERROR(INDEX(MASTER_JAM!$J$5:$O$12,MATCH($E866,MASTER_JAM!$I$5:$I$12,0),MATCH($J866,MASTER_JAM!$J$4:$O$4,0))+0,0)</f>
        <v/>
      </c>
      <c r="L866" s="159">
        <f>N($F866)*$K866</f>
        <v/>
      </c>
      <c r="M866" s="157">
        <f>IF($E866="","",IF(OR($E866="Coal",$E866="Dirty Coal"),"MT","BCM"))</f>
        <v/>
      </c>
      <c r="N866" s="157">
        <f>IF($E866="","",IF(OR($E866="Coal",$E866="Dirty Coal"),"Coal","OB"))</f>
        <v/>
      </c>
      <c r="O866" s="157">
        <f>IF($F866="","",IF(COUNTIF(MASTER_JAM!$A$5:$A$94,$C866)=0,"Digger tidak dikenal",IF($J866="","Hauler tidak dikenal",IF($H866="?","Jam salah",IF($K866=0,"Faktor kosong",IF(SUMIFS(INPUT_DELAY!$E$5:$E$20000,INPUT_DELAY!$A$5:$A$20000,$A866,INPUT_DELAY!$B$5:$B$20000,$B866,INPUT_DELAY!$C$5:$C$20000,$C866)+SUMIFS(INPUT_DELAY!$E$5:$E$20000,INPUT_DELAY!$A$5:$A$20000,$A866,INPUT_DELAY!$B$5:$B$20000,$B866,INPUT_DELAY!$C$5:$C$20000,"SEMUA")&gt;=60,"Delay 60 mnt tapi ada ritase","OK"))))))</f>
        <v/>
      </c>
      <c r="P866" s="158">
        <f>IFERROR(INDEX(MASTER_JAM!$Z$5:$AC$10,MATCH($I866,MASTER_JAM!$Y$5:$Y$10,0),MATCH($J866,MASTER_JAM!$Z$4:$AC$4,0))+0,0)</f>
        <v/>
      </c>
      <c r="Q866" s="158">
        <f>IF($P866=0,0,$P866+IFERROR(INDEX(MASTER_JAM!$H$5:$H$94,MATCH($C866,MASTER_JAM!$A$5:$A$94,0))+0,MASTER_JAM!$AC$15)/1000*(60/MASTER_JAM!$AC$12+60/MASTER_JAM!$AC$13)+MASTER_JAM!$AC$14)</f>
        <v/>
      </c>
      <c r="R866" s="158">
        <f>IF(N($F866)=0,0,$F866/SUMIFS(INPUT_RITASE!$F$5:$F$20000,INPUT_RITASE!$A$5:$A$20000,$A866,INPUT_RITASE!$B$5:$B$20000,$B866,INPUT_RITASE!$C$5:$C$20000,$C866,INPUT_RITASE!$D$5:$D$20000,$D866))</f>
        <v/>
      </c>
      <c r="S866" s="158">
        <f>IF($Q866=0,0,$R866*$P866/$Q866)</f>
        <v/>
      </c>
    </row>
    <row r="867">
      <c r="A867" s="155" t="n">
        <v>46106</v>
      </c>
      <c r="B867" s="156" t="inlineStr">
        <is>
          <t>19-20</t>
        </is>
      </c>
      <c r="C867" s="156" t="inlineStr">
        <is>
          <t>EX-753</t>
        </is>
      </c>
      <c r="D867" s="156" t="inlineStr">
        <is>
          <t>DT-506</t>
        </is>
      </c>
      <c r="E867" s="156" t="inlineStr">
        <is>
          <t>OB</t>
        </is>
      </c>
      <c r="F867" s="156" t="n">
        <v>4</v>
      </c>
      <c r="G867" s="156" t="inlineStr"/>
      <c r="H867" s="157">
        <f>IF($B867="","",IF(ISNA(MATCH($B867,MASTER_JAM!$Q$5:$Q$28,0)),"?",IF(MATCH($B867,MASTER_JAM!$Q$5:$Q$28,0)&lt;=12,"DS","NS")))</f>
        <v/>
      </c>
      <c r="I867" s="157">
        <f>IFERROR(INDEX(MASTER_JAM!$B$5:$B$94,MATCH($C867,MASTER_JAM!$A$5:$A$94,0)),"")</f>
        <v/>
      </c>
      <c r="J867" s="157">
        <f>IFERROR(INDEX(MASTER_JAM!$E$5:$E$94,MATCH($D867,MASTER_JAM!$A$5:$A$94,0)),"")</f>
        <v/>
      </c>
      <c r="K867" s="158">
        <f>IFERROR(INDEX(MASTER_JAM!$J$5:$O$12,MATCH($E867,MASTER_JAM!$I$5:$I$12,0),MATCH($J867,MASTER_JAM!$J$4:$O$4,0))+0,0)</f>
        <v/>
      </c>
      <c r="L867" s="159">
        <f>N($F867)*$K867</f>
        <v/>
      </c>
      <c r="M867" s="157">
        <f>IF($E867="","",IF(OR($E867="Coal",$E867="Dirty Coal"),"MT","BCM"))</f>
        <v/>
      </c>
      <c r="N867" s="157">
        <f>IF($E867="","",IF(OR($E867="Coal",$E867="Dirty Coal"),"Coal","OB"))</f>
        <v/>
      </c>
      <c r="O867" s="157">
        <f>IF($F867="","",IF(COUNTIF(MASTER_JAM!$A$5:$A$94,$C867)=0,"Digger tidak dikenal",IF($J867="","Hauler tidak dikenal",IF($H867="?","Jam salah",IF($K867=0,"Faktor kosong",IF(SUMIFS(INPUT_DELAY!$E$5:$E$20000,INPUT_DELAY!$A$5:$A$20000,$A867,INPUT_DELAY!$B$5:$B$20000,$B867,INPUT_DELAY!$C$5:$C$20000,$C867)+SUMIFS(INPUT_DELAY!$E$5:$E$20000,INPUT_DELAY!$A$5:$A$20000,$A867,INPUT_DELAY!$B$5:$B$20000,$B867,INPUT_DELAY!$C$5:$C$20000,"SEMUA")&gt;=60,"Delay 60 mnt tapi ada ritase","OK"))))))</f>
        <v/>
      </c>
      <c r="P867" s="158">
        <f>IFERROR(INDEX(MASTER_JAM!$Z$5:$AC$10,MATCH($I867,MASTER_JAM!$Y$5:$Y$10,0),MATCH($J867,MASTER_JAM!$Z$4:$AC$4,0))+0,0)</f>
        <v/>
      </c>
      <c r="Q867" s="158">
        <f>IF($P867=0,0,$P867+IFERROR(INDEX(MASTER_JAM!$H$5:$H$94,MATCH($C867,MASTER_JAM!$A$5:$A$94,0))+0,MASTER_JAM!$AC$15)/1000*(60/MASTER_JAM!$AC$12+60/MASTER_JAM!$AC$13)+MASTER_JAM!$AC$14)</f>
        <v/>
      </c>
      <c r="R867" s="158">
        <f>IF(N($F867)=0,0,$F867/SUMIFS(INPUT_RITASE!$F$5:$F$20000,INPUT_RITASE!$A$5:$A$20000,$A867,INPUT_RITASE!$B$5:$B$20000,$B867,INPUT_RITASE!$C$5:$C$20000,$C867,INPUT_RITASE!$D$5:$D$20000,$D867))</f>
        <v/>
      </c>
      <c r="S867" s="158">
        <f>IF($Q867=0,0,$R867*$P867/$Q867)</f>
        <v/>
      </c>
    </row>
    <row r="868">
      <c r="A868" s="155" t="n">
        <v>46106</v>
      </c>
      <c r="B868" s="156" t="inlineStr">
        <is>
          <t>19-20</t>
        </is>
      </c>
      <c r="C868" s="156" t="inlineStr">
        <is>
          <t>EX-753</t>
        </is>
      </c>
      <c r="D868" s="156" t="inlineStr">
        <is>
          <t>DT-518</t>
        </is>
      </c>
      <c r="E868" s="156" t="inlineStr">
        <is>
          <t>OB</t>
        </is>
      </c>
      <c r="F868" s="156" t="n">
        <v>4</v>
      </c>
      <c r="G868" s="156" t="inlineStr"/>
      <c r="H868" s="157">
        <f>IF($B868="","",IF(ISNA(MATCH($B868,MASTER_JAM!$Q$5:$Q$28,0)),"?",IF(MATCH($B868,MASTER_JAM!$Q$5:$Q$28,0)&lt;=12,"DS","NS")))</f>
        <v/>
      </c>
      <c r="I868" s="157">
        <f>IFERROR(INDEX(MASTER_JAM!$B$5:$B$94,MATCH($C868,MASTER_JAM!$A$5:$A$94,0)),"")</f>
        <v/>
      </c>
      <c r="J868" s="157">
        <f>IFERROR(INDEX(MASTER_JAM!$E$5:$E$94,MATCH($D868,MASTER_JAM!$A$5:$A$94,0)),"")</f>
        <v/>
      </c>
      <c r="K868" s="158">
        <f>IFERROR(INDEX(MASTER_JAM!$J$5:$O$12,MATCH($E868,MASTER_JAM!$I$5:$I$12,0),MATCH($J868,MASTER_JAM!$J$4:$O$4,0))+0,0)</f>
        <v/>
      </c>
      <c r="L868" s="159">
        <f>N($F868)*$K868</f>
        <v/>
      </c>
      <c r="M868" s="157">
        <f>IF($E868="","",IF(OR($E868="Coal",$E868="Dirty Coal"),"MT","BCM"))</f>
        <v/>
      </c>
      <c r="N868" s="157">
        <f>IF($E868="","",IF(OR($E868="Coal",$E868="Dirty Coal"),"Coal","OB"))</f>
        <v/>
      </c>
      <c r="O868" s="157">
        <f>IF($F868="","",IF(COUNTIF(MASTER_JAM!$A$5:$A$94,$C868)=0,"Digger tidak dikenal",IF($J868="","Hauler tidak dikenal",IF($H868="?","Jam salah",IF($K868=0,"Faktor kosong",IF(SUMIFS(INPUT_DELAY!$E$5:$E$20000,INPUT_DELAY!$A$5:$A$20000,$A868,INPUT_DELAY!$B$5:$B$20000,$B868,INPUT_DELAY!$C$5:$C$20000,$C868)+SUMIFS(INPUT_DELAY!$E$5:$E$20000,INPUT_DELAY!$A$5:$A$20000,$A868,INPUT_DELAY!$B$5:$B$20000,$B868,INPUT_DELAY!$C$5:$C$20000,"SEMUA")&gt;=60,"Delay 60 mnt tapi ada ritase","OK"))))))</f>
        <v/>
      </c>
      <c r="P868" s="158">
        <f>IFERROR(INDEX(MASTER_JAM!$Z$5:$AC$10,MATCH($I868,MASTER_JAM!$Y$5:$Y$10,0),MATCH($J868,MASTER_JAM!$Z$4:$AC$4,0))+0,0)</f>
        <v/>
      </c>
      <c r="Q868" s="158">
        <f>IF($P868=0,0,$P868+IFERROR(INDEX(MASTER_JAM!$H$5:$H$94,MATCH($C868,MASTER_JAM!$A$5:$A$94,0))+0,MASTER_JAM!$AC$15)/1000*(60/MASTER_JAM!$AC$12+60/MASTER_JAM!$AC$13)+MASTER_JAM!$AC$14)</f>
        <v/>
      </c>
      <c r="R868" s="158">
        <f>IF(N($F868)=0,0,$F868/SUMIFS(INPUT_RITASE!$F$5:$F$20000,INPUT_RITASE!$A$5:$A$20000,$A868,INPUT_RITASE!$B$5:$B$20000,$B868,INPUT_RITASE!$C$5:$C$20000,$C868,INPUT_RITASE!$D$5:$D$20000,$D868))</f>
        <v/>
      </c>
      <c r="S868" s="158">
        <f>IF($Q868=0,0,$R868*$P868/$Q868)</f>
        <v/>
      </c>
    </row>
    <row r="869">
      <c r="A869" s="155" t="n">
        <v>46106</v>
      </c>
      <c r="B869" s="156" t="inlineStr">
        <is>
          <t>19-20</t>
        </is>
      </c>
      <c r="C869" s="156" t="inlineStr">
        <is>
          <t>EX-753</t>
        </is>
      </c>
      <c r="D869" s="156" t="inlineStr">
        <is>
          <t>DT-505</t>
        </is>
      </c>
      <c r="E869" s="156" t="inlineStr">
        <is>
          <t>OB</t>
        </is>
      </c>
      <c r="F869" s="156" t="n">
        <v>4</v>
      </c>
      <c r="G869" s="156" t="inlineStr"/>
      <c r="H869" s="157">
        <f>IF($B869="","",IF(ISNA(MATCH($B869,MASTER_JAM!$Q$5:$Q$28,0)),"?",IF(MATCH($B869,MASTER_JAM!$Q$5:$Q$28,0)&lt;=12,"DS","NS")))</f>
        <v/>
      </c>
      <c r="I869" s="157">
        <f>IFERROR(INDEX(MASTER_JAM!$B$5:$B$94,MATCH($C869,MASTER_JAM!$A$5:$A$94,0)),"")</f>
        <v/>
      </c>
      <c r="J869" s="157">
        <f>IFERROR(INDEX(MASTER_JAM!$E$5:$E$94,MATCH($D869,MASTER_JAM!$A$5:$A$94,0)),"")</f>
        <v/>
      </c>
      <c r="K869" s="158">
        <f>IFERROR(INDEX(MASTER_JAM!$J$5:$O$12,MATCH($E869,MASTER_JAM!$I$5:$I$12,0),MATCH($J869,MASTER_JAM!$J$4:$O$4,0))+0,0)</f>
        <v/>
      </c>
      <c r="L869" s="159">
        <f>N($F869)*$K869</f>
        <v/>
      </c>
      <c r="M869" s="157">
        <f>IF($E869="","",IF(OR($E869="Coal",$E869="Dirty Coal"),"MT","BCM"))</f>
        <v/>
      </c>
      <c r="N869" s="157">
        <f>IF($E869="","",IF(OR($E869="Coal",$E869="Dirty Coal"),"Coal","OB"))</f>
        <v/>
      </c>
      <c r="O869" s="157">
        <f>IF($F869="","",IF(COUNTIF(MASTER_JAM!$A$5:$A$94,$C869)=0,"Digger tidak dikenal",IF($J869="","Hauler tidak dikenal",IF($H869="?","Jam salah",IF($K869=0,"Faktor kosong",IF(SUMIFS(INPUT_DELAY!$E$5:$E$20000,INPUT_DELAY!$A$5:$A$20000,$A869,INPUT_DELAY!$B$5:$B$20000,$B869,INPUT_DELAY!$C$5:$C$20000,$C869)+SUMIFS(INPUT_DELAY!$E$5:$E$20000,INPUT_DELAY!$A$5:$A$20000,$A869,INPUT_DELAY!$B$5:$B$20000,$B869,INPUT_DELAY!$C$5:$C$20000,"SEMUA")&gt;=60,"Delay 60 mnt tapi ada ritase","OK"))))))</f>
        <v/>
      </c>
      <c r="P869" s="158">
        <f>IFERROR(INDEX(MASTER_JAM!$Z$5:$AC$10,MATCH($I869,MASTER_JAM!$Y$5:$Y$10,0),MATCH($J869,MASTER_JAM!$Z$4:$AC$4,0))+0,0)</f>
        <v/>
      </c>
      <c r="Q869" s="158">
        <f>IF($P869=0,0,$P869+IFERROR(INDEX(MASTER_JAM!$H$5:$H$94,MATCH($C869,MASTER_JAM!$A$5:$A$94,0))+0,MASTER_JAM!$AC$15)/1000*(60/MASTER_JAM!$AC$12+60/MASTER_JAM!$AC$13)+MASTER_JAM!$AC$14)</f>
        <v/>
      </c>
      <c r="R869" s="158">
        <f>IF(N($F869)=0,0,$F869/SUMIFS(INPUT_RITASE!$F$5:$F$20000,INPUT_RITASE!$A$5:$A$20000,$A869,INPUT_RITASE!$B$5:$B$20000,$B869,INPUT_RITASE!$C$5:$C$20000,$C869,INPUT_RITASE!$D$5:$D$20000,$D869))</f>
        <v/>
      </c>
      <c r="S869" s="158">
        <f>IF($Q869=0,0,$R869*$P869/$Q869)</f>
        <v/>
      </c>
    </row>
    <row r="870">
      <c r="A870" s="155" t="n">
        <v>46106</v>
      </c>
      <c r="B870" s="156" t="inlineStr">
        <is>
          <t>19-20</t>
        </is>
      </c>
      <c r="C870" s="156" t="inlineStr">
        <is>
          <t>EX-753</t>
        </is>
      </c>
      <c r="D870" s="156" t="inlineStr">
        <is>
          <t>DT-524</t>
        </is>
      </c>
      <c r="E870" s="156" t="inlineStr">
        <is>
          <t>OB</t>
        </is>
      </c>
      <c r="F870" s="156" t="n">
        <v>3</v>
      </c>
      <c r="G870" s="156" t="inlineStr"/>
      <c r="H870" s="157">
        <f>IF($B870="","",IF(ISNA(MATCH($B870,MASTER_JAM!$Q$5:$Q$28,0)),"?",IF(MATCH($B870,MASTER_JAM!$Q$5:$Q$28,0)&lt;=12,"DS","NS")))</f>
        <v/>
      </c>
      <c r="I870" s="157">
        <f>IFERROR(INDEX(MASTER_JAM!$B$5:$B$94,MATCH($C870,MASTER_JAM!$A$5:$A$94,0)),"")</f>
        <v/>
      </c>
      <c r="J870" s="157">
        <f>IFERROR(INDEX(MASTER_JAM!$E$5:$E$94,MATCH($D870,MASTER_JAM!$A$5:$A$94,0)),"")</f>
        <v/>
      </c>
      <c r="K870" s="158">
        <f>IFERROR(INDEX(MASTER_JAM!$J$5:$O$12,MATCH($E870,MASTER_JAM!$I$5:$I$12,0),MATCH($J870,MASTER_JAM!$J$4:$O$4,0))+0,0)</f>
        <v/>
      </c>
      <c r="L870" s="159">
        <f>N($F870)*$K870</f>
        <v/>
      </c>
      <c r="M870" s="157">
        <f>IF($E870="","",IF(OR($E870="Coal",$E870="Dirty Coal"),"MT","BCM"))</f>
        <v/>
      </c>
      <c r="N870" s="157">
        <f>IF($E870="","",IF(OR($E870="Coal",$E870="Dirty Coal"),"Coal","OB"))</f>
        <v/>
      </c>
      <c r="O870" s="157">
        <f>IF($F870="","",IF(COUNTIF(MASTER_JAM!$A$5:$A$94,$C870)=0,"Digger tidak dikenal",IF($J870="","Hauler tidak dikenal",IF($H870="?","Jam salah",IF($K870=0,"Faktor kosong",IF(SUMIFS(INPUT_DELAY!$E$5:$E$20000,INPUT_DELAY!$A$5:$A$20000,$A870,INPUT_DELAY!$B$5:$B$20000,$B870,INPUT_DELAY!$C$5:$C$20000,$C870)+SUMIFS(INPUT_DELAY!$E$5:$E$20000,INPUT_DELAY!$A$5:$A$20000,$A870,INPUT_DELAY!$B$5:$B$20000,$B870,INPUT_DELAY!$C$5:$C$20000,"SEMUA")&gt;=60,"Delay 60 mnt tapi ada ritase","OK"))))))</f>
        <v/>
      </c>
      <c r="P870" s="158">
        <f>IFERROR(INDEX(MASTER_JAM!$Z$5:$AC$10,MATCH($I870,MASTER_JAM!$Y$5:$Y$10,0),MATCH($J870,MASTER_JAM!$Z$4:$AC$4,0))+0,0)</f>
        <v/>
      </c>
      <c r="Q870" s="158">
        <f>IF($P870=0,0,$P870+IFERROR(INDEX(MASTER_JAM!$H$5:$H$94,MATCH($C870,MASTER_JAM!$A$5:$A$94,0))+0,MASTER_JAM!$AC$15)/1000*(60/MASTER_JAM!$AC$12+60/MASTER_JAM!$AC$13)+MASTER_JAM!$AC$14)</f>
        <v/>
      </c>
      <c r="R870" s="158">
        <f>IF(N($F870)=0,0,$F870/SUMIFS(INPUT_RITASE!$F$5:$F$20000,INPUT_RITASE!$A$5:$A$20000,$A870,INPUT_RITASE!$B$5:$B$20000,$B870,INPUT_RITASE!$C$5:$C$20000,$C870,INPUT_RITASE!$D$5:$D$20000,$D870))</f>
        <v/>
      </c>
      <c r="S870" s="158">
        <f>IF($Q870=0,0,$R870*$P870/$Q870)</f>
        <v/>
      </c>
    </row>
    <row r="871">
      <c r="A871" s="155" t="n">
        <v>46106</v>
      </c>
      <c r="B871" s="156" t="inlineStr">
        <is>
          <t>21-22</t>
        </is>
      </c>
      <c r="C871" s="156" t="inlineStr">
        <is>
          <t>EX-753</t>
        </is>
      </c>
      <c r="D871" s="156" t="inlineStr">
        <is>
          <t>DT-506</t>
        </is>
      </c>
      <c r="E871" s="156" t="inlineStr">
        <is>
          <t>OB</t>
        </is>
      </c>
      <c r="F871" s="156" t="n">
        <v>4</v>
      </c>
      <c r="G871" s="156" t="inlineStr"/>
      <c r="H871" s="157">
        <f>IF($B871="","",IF(ISNA(MATCH($B871,MASTER_JAM!$Q$5:$Q$28,0)),"?",IF(MATCH($B871,MASTER_JAM!$Q$5:$Q$28,0)&lt;=12,"DS","NS")))</f>
        <v/>
      </c>
      <c r="I871" s="157">
        <f>IFERROR(INDEX(MASTER_JAM!$B$5:$B$94,MATCH($C871,MASTER_JAM!$A$5:$A$94,0)),"")</f>
        <v/>
      </c>
      <c r="J871" s="157">
        <f>IFERROR(INDEX(MASTER_JAM!$E$5:$E$94,MATCH($D871,MASTER_JAM!$A$5:$A$94,0)),"")</f>
        <v/>
      </c>
      <c r="K871" s="158">
        <f>IFERROR(INDEX(MASTER_JAM!$J$5:$O$12,MATCH($E871,MASTER_JAM!$I$5:$I$12,0),MATCH($J871,MASTER_JAM!$J$4:$O$4,0))+0,0)</f>
        <v/>
      </c>
      <c r="L871" s="159">
        <f>N($F871)*$K871</f>
        <v/>
      </c>
      <c r="M871" s="157">
        <f>IF($E871="","",IF(OR($E871="Coal",$E871="Dirty Coal"),"MT","BCM"))</f>
        <v/>
      </c>
      <c r="N871" s="157">
        <f>IF($E871="","",IF(OR($E871="Coal",$E871="Dirty Coal"),"Coal","OB"))</f>
        <v/>
      </c>
      <c r="O871" s="157">
        <f>IF($F871="","",IF(COUNTIF(MASTER_JAM!$A$5:$A$94,$C871)=0,"Digger tidak dikenal",IF($J871="","Hauler tidak dikenal",IF($H871="?","Jam salah",IF($K871=0,"Faktor kosong",IF(SUMIFS(INPUT_DELAY!$E$5:$E$20000,INPUT_DELAY!$A$5:$A$20000,$A871,INPUT_DELAY!$B$5:$B$20000,$B871,INPUT_DELAY!$C$5:$C$20000,$C871)+SUMIFS(INPUT_DELAY!$E$5:$E$20000,INPUT_DELAY!$A$5:$A$20000,$A871,INPUT_DELAY!$B$5:$B$20000,$B871,INPUT_DELAY!$C$5:$C$20000,"SEMUA")&gt;=60,"Delay 60 mnt tapi ada ritase","OK"))))))</f>
        <v/>
      </c>
      <c r="P871" s="158">
        <f>IFERROR(INDEX(MASTER_JAM!$Z$5:$AC$10,MATCH($I871,MASTER_JAM!$Y$5:$Y$10,0),MATCH($J871,MASTER_JAM!$Z$4:$AC$4,0))+0,0)</f>
        <v/>
      </c>
      <c r="Q871" s="158">
        <f>IF($P871=0,0,$P871+IFERROR(INDEX(MASTER_JAM!$H$5:$H$94,MATCH($C871,MASTER_JAM!$A$5:$A$94,0))+0,MASTER_JAM!$AC$15)/1000*(60/MASTER_JAM!$AC$12+60/MASTER_JAM!$AC$13)+MASTER_JAM!$AC$14)</f>
        <v/>
      </c>
      <c r="R871" s="158">
        <f>IF(N($F871)=0,0,$F871/SUMIFS(INPUT_RITASE!$F$5:$F$20000,INPUT_RITASE!$A$5:$A$20000,$A871,INPUT_RITASE!$B$5:$B$20000,$B871,INPUT_RITASE!$C$5:$C$20000,$C871,INPUT_RITASE!$D$5:$D$20000,$D871))</f>
        <v/>
      </c>
      <c r="S871" s="158">
        <f>IF($Q871=0,0,$R871*$P871/$Q871)</f>
        <v/>
      </c>
    </row>
    <row r="872">
      <c r="A872" s="155" t="n">
        <v>46106</v>
      </c>
      <c r="B872" s="156" t="inlineStr">
        <is>
          <t>21-22</t>
        </is>
      </c>
      <c r="C872" s="156" t="inlineStr">
        <is>
          <t>EX-753</t>
        </is>
      </c>
      <c r="D872" s="156" t="inlineStr">
        <is>
          <t>DT-503</t>
        </is>
      </c>
      <c r="E872" s="156" t="inlineStr">
        <is>
          <t>OB</t>
        </is>
      </c>
      <c r="F872" s="156" t="n">
        <v>3</v>
      </c>
      <c r="G872" s="156" t="inlineStr"/>
      <c r="H872" s="157">
        <f>IF($B872="","",IF(ISNA(MATCH($B872,MASTER_JAM!$Q$5:$Q$28,0)),"?",IF(MATCH($B872,MASTER_JAM!$Q$5:$Q$28,0)&lt;=12,"DS","NS")))</f>
        <v/>
      </c>
      <c r="I872" s="157">
        <f>IFERROR(INDEX(MASTER_JAM!$B$5:$B$94,MATCH($C872,MASTER_JAM!$A$5:$A$94,0)),"")</f>
        <v/>
      </c>
      <c r="J872" s="157">
        <f>IFERROR(INDEX(MASTER_JAM!$E$5:$E$94,MATCH($D872,MASTER_JAM!$A$5:$A$94,0)),"")</f>
        <v/>
      </c>
      <c r="K872" s="158">
        <f>IFERROR(INDEX(MASTER_JAM!$J$5:$O$12,MATCH($E872,MASTER_JAM!$I$5:$I$12,0),MATCH($J872,MASTER_JAM!$J$4:$O$4,0))+0,0)</f>
        <v/>
      </c>
      <c r="L872" s="159">
        <f>N($F872)*$K872</f>
        <v/>
      </c>
      <c r="M872" s="157">
        <f>IF($E872="","",IF(OR($E872="Coal",$E872="Dirty Coal"),"MT","BCM"))</f>
        <v/>
      </c>
      <c r="N872" s="157">
        <f>IF($E872="","",IF(OR($E872="Coal",$E872="Dirty Coal"),"Coal","OB"))</f>
        <v/>
      </c>
      <c r="O872" s="157">
        <f>IF($F872="","",IF(COUNTIF(MASTER_JAM!$A$5:$A$94,$C872)=0,"Digger tidak dikenal",IF($J872="","Hauler tidak dikenal",IF($H872="?","Jam salah",IF($K872=0,"Faktor kosong",IF(SUMIFS(INPUT_DELAY!$E$5:$E$20000,INPUT_DELAY!$A$5:$A$20000,$A872,INPUT_DELAY!$B$5:$B$20000,$B872,INPUT_DELAY!$C$5:$C$20000,$C872)+SUMIFS(INPUT_DELAY!$E$5:$E$20000,INPUT_DELAY!$A$5:$A$20000,$A872,INPUT_DELAY!$B$5:$B$20000,$B872,INPUT_DELAY!$C$5:$C$20000,"SEMUA")&gt;=60,"Delay 60 mnt tapi ada ritase","OK"))))))</f>
        <v/>
      </c>
      <c r="P872" s="158">
        <f>IFERROR(INDEX(MASTER_JAM!$Z$5:$AC$10,MATCH($I872,MASTER_JAM!$Y$5:$Y$10,0),MATCH($J872,MASTER_JAM!$Z$4:$AC$4,0))+0,0)</f>
        <v/>
      </c>
      <c r="Q872" s="158">
        <f>IF($P872=0,0,$P872+IFERROR(INDEX(MASTER_JAM!$H$5:$H$94,MATCH($C872,MASTER_JAM!$A$5:$A$94,0))+0,MASTER_JAM!$AC$15)/1000*(60/MASTER_JAM!$AC$12+60/MASTER_JAM!$AC$13)+MASTER_JAM!$AC$14)</f>
        <v/>
      </c>
      <c r="R872" s="158">
        <f>IF(N($F872)=0,0,$F872/SUMIFS(INPUT_RITASE!$F$5:$F$20000,INPUT_RITASE!$A$5:$A$20000,$A872,INPUT_RITASE!$B$5:$B$20000,$B872,INPUT_RITASE!$C$5:$C$20000,$C872,INPUT_RITASE!$D$5:$D$20000,$D872))</f>
        <v/>
      </c>
      <c r="S872" s="158">
        <f>IF($Q872=0,0,$R872*$P872/$Q872)</f>
        <v/>
      </c>
    </row>
    <row r="873">
      <c r="A873" s="155" t="n">
        <v>46106</v>
      </c>
      <c r="B873" s="156" t="inlineStr">
        <is>
          <t>22-23</t>
        </is>
      </c>
      <c r="C873" s="156" t="inlineStr">
        <is>
          <t>EX-753</t>
        </is>
      </c>
      <c r="D873" s="156" t="inlineStr">
        <is>
          <t>DT-524</t>
        </is>
      </c>
      <c r="E873" s="156" t="inlineStr">
        <is>
          <t>OB</t>
        </is>
      </c>
      <c r="F873" s="156" t="n">
        <v>4</v>
      </c>
      <c r="G873" s="156" t="inlineStr"/>
      <c r="H873" s="157">
        <f>IF($B873="","",IF(ISNA(MATCH($B873,MASTER_JAM!$Q$5:$Q$28,0)),"?",IF(MATCH($B873,MASTER_JAM!$Q$5:$Q$28,0)&lt;=12,"DS","NS")))</f>
        <v/>
      </c>
      <c r="I873" s="157">
        <f>IFERROR(INDEX(MASTER_JAM!$B$5:$B$94,MATCH($C873,MASTER_JAM!$A$5:$A$94,0)),"")</f>
        <v/>
      </c>
      <c r="J873" s="157">
        <f>IFERROR(INDEX(MASTER_JAM!$E$5:$E$94,MATCH($D873,MASTER_JAM!$A$5:$A$94,0)),"")</f>
        <v/>
      </c>
      <c r="K873" s="158">
        <f>IFERROR(INDEX(MASTER_JAM!$J$5:$O$12,MATCH($E873,MASTER_JAM!$I$5:$I$12,0),MATCH($J873,MASTER_JAM!$J$4:$O$4,0))+0,0)</f>
        <v/>
      </c>
      <c r="L873" s="159">
        <f>N($F873)*$K873</f>
        <v/>
      </c>
      <c r="M873" s="157">
        <f>IF($E873="","",IF(OR($E873="Coal",$E873="Dirty Coal"),"MT","BCM"))</f>
        <v/>
      </c>
      <c r="N873" s="157">
        <f>IF($E873="","",IF(OR($E873="Coal",$E873="Dirty Coal"),"Coal","OB"))</f>
        <v/>
      </c>
      <c r="O873" s="157">
        <f>IF($F873="","",IF(COUNTIF(MASTER_JAM!$A$5:$A$94,$C873)=0,"Digger tidak dikenal",IF($J873="","Hauler tidak dikenal",IF($H873="?","Jam salah",IF($K873=0,"Faktor kosong",IF(SUMIFS(INPUT_DELAY!$E$5:$E$20000,INPUT_DELAY!$A$5:$A$20000,$A873,INPUT_DELAY!$B$5:$B$20000,$B873,INPUT_DELAY!$C$5:$C$20000,$C873)+SUMIFS(INPUT_DELAY!$E$5:$E$20000,INPUT_DELAY!$A$5:$A$20000,$A873,INPUT_DELAY!$B$5:$B$20000,$B873,INPUT_DELAY!$C$5:$C$20000,"SEMUA")&gt;=60,"Delay 60 mnt tapi ada ritase","OK"))))))</f>
        <v/>
      </c>
      <c r="P873" s="158">
        <f>IFERROR(INDEX(MASTER_JAM!$Z$5:$AC$10,MATCH($I873,MASTER_JAM!$Y$5:$Y$10,0),MATCH($J873,MASTER_JAM!$Z$4:$AC$4,0))+0,0)</f>
        <v/>
      </c>
      <c r="Q873" s="158">
        <f>IF($P873=0,0,$P873+IFERROR(INDEX(MASTER_JAM!$H$5:$H$94,MATCH($C873,MASTER_JAM!$A$5:$A$94,0))+0,MASTER_JAM!$AC$15)/1000*(60/MASTER_JAM!$AC$12+60/MASTER_JAM!$AC$13)+MASTER_JAM!$AC$14)</f>
        <v/>
      </c>
      <c r="R873" s="158">
        <f>IF(N($F873)=0,0,$F873/SUMIFS(INPUT_RITASE!$F$5:$F$20000,INPUT_RITASE!$A$5:$A$20000,$A873,INPUT_RITASE!$B$5:$B$20000,$B873,INPUT_RITASE!$C$5:$C$20000,$C873,INPUT_RITASE!$D$5:$D$20000,$D873))</f>
        <v/>
      </c>
      <c r="S873" s="158">
        <f>IF($Q873=0,0,$R873*$P873/$Q873)</f>
        <v/>
      </c>
    </row>
    <row r="874">
      <c r="A874" s="155" t="n">
        <v>46106</v>
      </c>
      <c r="B874" s="156" t="inlineStr">
        <is>
          <t>22-23</t>
        </is>
      </c>
      <c r="C874" s="156" t="inlineStr">
        <is>
          <t>EX-753</t>
        </is>
      </c>
      <c r="D874" s="156" t="inlineStr">
        <is>
          <t>DT-503</t>
        </is>
      </c>
      <c r="E874" s="156" t="inlineStr">
        <is>
          <t>OB</t>
        </is>
      </c>
      <c r="F874" s="156" t="n">
        <v>4</v>
      </c>
      <c r="G874" s="156" t="inlineStr"/>
      <c r="H874" s="157">
        <f>IF($B874="","",IF(ISNA(MATCH($B874,MASTER_JAM!$Q$5:$Q$28,0)),"?",IF(MATCH($B874,MASTER_JAM!$Q$5:$Q$28,0)&lt;=12,"DS","NS")))</f>
        <v/>
      </c>
      <c r="I874" s="157">
        <f>IFERROR(INDEX(MASTER_JAM!$B$5:$B$94,MATCH($C874,MASTER_JAM!$A$5:$A$94,0)),"")</f>
        <v/>
      </c>
      <c r="J874" s="157">
        <f>IFERROR(INDEX(MASTER_JAM!$E$5:$E$94,MATCH($D874,MASTER_JAM!$A$5:$A$94,0)),"")</f>
        <v/>
      </c>
      <c r="K874" s="158">
        <f>IFERROR(INDEX(MASTER_JAM!$J$5:$O$12,MATCH($E874,MASTER_JAM!$I$5:$I$12,0),MATCH($J874,MASTER_JAM!$J$4:$O$4,0))+0,0)</f>
        <v/>
      </c>
      <c r="L874" s="159">
        <f>N($F874)*$K874</f>
        <v/>
      </c>
      <c r="M874" s="157">
        <f>IF($E874="","",IF(OR($E874="Coal",$E874="Dirty Coal"),"MT","BCM"))</f>
        <v/>
      </c>
      <c r="N874" s="157">
        <f>IF($E874="","",IF(OR($E874="Coal",$E874="Dirty Coal"),"Coal","OB"))</f>
        <v/>
      </c>
      <c r="O874" s="157">
        <f>IF($F874="","",IF(COUNTIF(MASTER_JAM!$A$5:$A$94,$C874)=0,"Digger tidak dikenal",IF($J874="","Hauler tidak dikenal",IF($H874="?","Jam salah",IF($K874=0,"Faktor kosong",IF(SUMIFS(INPUT_DELAY!$E$5:$E$20000,INPUT_DELAY!$A$5:$A$20000,$A874,INPUT_DELAY!$B$5:$B$20000,$B874,INPUT_DELAY!$C$5:$C$20000,$C874)+SUMIFS(INPUT_DELAY!$E$5:$E$20000,INPUT_DELAY!$A$5:$A$20000,$A874,INPUT_DELAY!$B$5:$B$20000,$B874,INPUT_DELAY!$C$5:$C$20000,"SEMUA")&gt;=60,"Delay 60 mnt tapi ada ritase","OK"))))))</f>
        <v/>
      </c>
      <c r="P874" s="158">
        <f>IFERROR(INDEX(MASTER_JAM!$Z$5:$AC$10,MATCH($I874,MASTER_JAM!$Y$5:$Y$10,0),MATCH($J874,MASTER_JAM!$Z$4:$AC$4,0))+0,0)</f>
        <v/>
      </c>
      <c r="Q874" s="158">
        <f>IF($P874=0,0,$P874+IFERROR(INDEX(MASTER_JAM!$H$5:$H$94,MATCH($C874,MASTER_JAM!$A$5:$A$94,0))+0,MASTER_JAM!$AC$15)/1000*(60/MASTER_JAM!$AC$12+60/MASTER_JAM!$AC$13)+MASTER_JAM!$AC$14)</f>
        <v/>
      </c>
      <c r="R874" s="158">
        <f>IF(N($F874)=0,0,$F874/SUMIFS(INPUT_RITASE!$F$5:$F$20000,INPUT_RITASE!$A$5:$A$20000,$A874,INPUT_RITASE!$B$5:$B$20000,$B874,INPUT_RITASE!$C$5:$C$20000,$C874,INPUT_RITASE!$D$5:$D$20000,$D874))</f>
        <v/>
      </c>
      <c r="S874" s="158">
        <f>IF($Q874=0,0,$R874*$P874/$Q874)</f>
        <v/>
      </c>
    </row>
    <row r="875">
      <c r="A875" s="155" t="n">
        <v>46106</v>
      </c>
      <c r="B875" s="156" t="inlineStr">
        <is>
          <t>22-23</t>
        </is>
      </c>
      <c r="C875" s="156" t="inlineStr">
        <is>
          <t>EX-753</t>
        </is>
      </c>
      <c r="D875" s="156" t="inlineStr">
        <is>
          <t>DT-506</t>
        </is>
      </c>
      <c r="E875" s="156" t="inlineStr">
        <is>
          <t>OB</t>
        </is>
      </c>
      <c r="F875" s="156" t="n">
        <v>4</v>
      </c>
      <c r="G875" s="156" t="inlineStr"/>
      <c r="H875" s="157">
        <f>IF($B875="","",IF(ISNA(MATCH($B875,MASTER_JAM!$Q$5:$Q$28,0)),"?",IF(MATCH($B875,MASTER_JAM!$Q$5:$Q$28,0)&lt;=12,"DS","NS")))</f>
        <v/>
      </c>
      <c r="I875" s="157">
        <f>IFERROR(INDEX(MASTER_JAM!$B$5:$B$94,MATCH($C875,MASTER_JAM!$A$5:$A$94,0)),"")</f>
        <v/>
      </c>
      <c r="J875" s="157">
        <f>IFERROR(INDEX(MASTER_JAM!$E$5:$E$94,MATCH($D875,MASTER_JAM!$A$5:$A$94,0)),"")</f>
        <v/>
      </c>
      <c r="K875" s="158">
        <f>IFERROR(INDEX(MASTER_JAM!$J$5:$O$12,MATCH($E875,MASTER_JAM!$I$5:$I$12,0),MATCH($J875,MASTER_JAM!$J$4:$O$4,0))+0,0)</f>
        <v/>
      </c>
      <c r="L875" s="159">
        <f>N($F875)*$K875</f>
        <v/>
      </c>
      <c r="M875" s="157">
        <f>IF($E875="","",IF(OR($E875="Coal",$E875="Dirty Coal"),"MT","BCM"))</f>
        <v/>
      </c>
      <c r="N875" s="157">
        <f>IF($E875="","",IF(OR($E875="Coal",$E875="Dirty Coal"),"Coal","OB"))</f>
        <v/>
      </c>
      <c r="O875" s="157">
        <f>IF($F875="","",IF(COUNTIF(MASTER_JAM!$A$5:$A$94,$C875)=0,"Digger tidak dikenal",IF($J875="","Hauler tidak dikenal",IF($H875="?","Jam salah",IF($K875=0,"Faktor kosong",IF(SUMIFS(INPUT_DELAY!$E$5:$E$20000,INPUT_DELAY!$A$5:$A$20000,$A875,INPUT_DELAY!$B$5:$B$20000,$B875,INPUT_DELAY!$C$5:$C$20000,$C875)+SUMIFS(INPUT_DELAY!$E$5:$E$20000,INPUT_DELAY!$A$5:$A$20000,$A875,INPUT_DELAY!$B$5:$B$20000,$B875,INPUT_DELAY!$C$5:$C$20000,"SEMUA")&gt;=60,"Delay 60 mnt tapi ada ritase","OK"))))))</f>
        <v/>
      </c>
      <c r="P875" s="158">
        <f>IFERROR(INDEX(MASTER_JAM!$Z$5:$AC$10,MATCH($I875,MASTER_JAM!$Y$5:$Y$10,0),MATCH($J875,MASTER_JAM!$Z$4:$AC$4,0))+0,0)</f>
        <v/>
      </c>
      <c r="Q875" s="158">
        <f>IF($P875=0,0,$P875+IFERROR(INDEX(MASTER_JAM!$H$5:$H$94,MATCH($C875,MASTER_JAM!$A$5:$A$94,0))+0,MASTER_JAM!$AC$15)/1000*(60/MASTER_JAM!$AC$12+60/MASTER_JAM!$AC$13)+MASTER_JAM!$AC$14)</f>
        <v/>
      </c>
      <c r="R875" s="158">
        <f>IF(N($F875)=0,0,$F875/SUMIFS(INPUT_RITASE!$F$5:$F$20000,INPUT_RITASE!$A$5:$A$20000,$A875,INPUT_RITASE!$B$5:$B$20000,$B875,INPUT_RITASE!$C$5:$C$20000,$C875,INPUT_RITASE!$D$5:$D$20000,$D875))</f>
        <v/>
      </c>
      <c r="S875" s="158">
        <f>IF($Q875=0,0,$R875*$P875/$Q875)</f>
        <v/>
      </c>
    </row>
    <row r="876">
      <c r="A876" s="155" t="n">
        <v>46106</v>
      </c>
      <c r="B876" s="156" t="inlineStr">
        <is>
          <t>22-23</t>
        </is>
      </c>
      <c r="C876" s="156" t="inlineStr">
        <is>
          <t>EX-753</t>
        </is>
      </c>
      <c r="D876" s="156" t="inlineStr">
        <is>
          <t>DT-508</t>
        </is>
      </c>
      <c r="E876" s="156" t="inlineStr">
        <is>
          <t>OB</t>
        </is>
      </c>
      <c r="F876" s="156" t="n">
        <v>3</v>
      </c>
      <c r="G876" s="156" t="inlineStr"/>
      <c r="H876" s="157">
        <f>IF($B876="","",IF(ISNA(MATCH($B876,MASTER_JAM!$Q$5:$Q$28,0)),"?",IF(MATCH($B876,MASTER_JAM!$Q$5:$Q$28,0)&lt;=12,"DS","NS")))</f>
        <v/>
      </c>
      <c r="I876" s="157">
        <f>IFERROR(INDEX(MASTER_JAM!$B$5:$B$94,MATCH($C876,MASTER_JAM!$A$5:$A$94,0)),"")</f>
        <v/>
      </c>
      <c r="J876" s="157">
        <f>IFERROR(INDEX(MASTER_JAM!$E$5:$E$94,MATCH($D876,MASTER_JAM!$A$5:$A$94,0)),"")</f>
        <v/>
      </c>
      <c r="K876" s="158">
        <f>IFERROR(INDEX(MASTER_JAM!$J$5:$O$12,MATCH($E876,MASTER_JAM!$I$5:$I$12,0),MATCH($J876,MASTER_JAM!$J$4:$O$4,0))+0,0)</f>
        <v/>
      </c>
      <c r="L876" s="159">
        <f>N($F876)*$K876</f>
        <v/>
      </c>
      <c r="M876" s="157">
        <f>IF($E876="","",IF(OR($E876="Coal",$E876="Dirty Coal"),"MT","BCM"))</f>
        <v/>
      </c>
      <c r="N876" s="157">
        <f>IF($E876="","",IF(OR($E876="Coal",$E876="Dirty Coal"),"Coal","OB"))</f>
        <v/>
      </c>
      <c r="O876" s="157">
        <f>IF($F876="","",IF(COUNTIF(MASTER_JAM!$A$5:$A$94,$C876)=0,"Digger tidak dikenal",IF($J876="","Hauler tidak dikenal",IF($H876="?","Jam salah",IF($K876=0,"Faktor kosong",IF(SUMIFS(INPUT_DELAY!$E$5:$E$20000,INPUT_DELAY!$A$5:$A$20000,$A876,INPUT_DELAY!$B$5:$B$20000,$B876,INPUT_DELAY!$C$5:$C$20000,$C876)+SUMIFS(INPUT_DELAY!$E$5:$E$20000,INPUT_DELAY!$A$5:$A$20000,$A876,INPUT_DELAY!$B$5:$B$20000,$B876,INPUT_DELAY!$C$5:$C$20000,"SEMUA")&gt;=60,"Delay 60 mnt tapi ada ritase","OK"))))))</f>
        <v/>
      </c>
      <c r="P876" s="158">
        <f>IFERROR(INDEX(MASTER_JAM!$Z$5:$AC$10,MATCH($I876,MASTER_JAM!$Y$5:$Y$10,0),MATCH($J876,MASTER_JAM!$Z$4:$AC$4,0))+0,0)</f>
        <v/>
      </c>
      <c r="Q876" s="158">
        <f>IF($P876=0,0,$P876+IFERROR(INDEX(MASTER_JAM!$H$5:$H$94,MATCH($C876,MASTER_JAM!$A$5:$A$94,0))+0,MASTER_JAM!$AC$15)/1000*(60/MASTER_JAM!$AC$12+60/MASTER_JAM!$AC$13)+MASTER_JAM!$AC$14)</f>
        <v/>
      </c>
      <c r="R876" s="158">
        <f>IF(N($F876)=0,0,$F876/SUMIFS(INPUT_RITASE!$F$5:$F$20000,INPUT_RITASE!$A$5:$A$20000,$A876,INPUT_RITASE!$B$5:$B$20000,$B876,INPUT_RITASE!$C$5:$C$20000,$C876,INPUT_RITASE!$D$5:$D$20000,$D876))</f>
        <v/>
      </c>
      <c r="S876" s="158">
        <f>IF($Q876=0,0,$R876*$P876/$Q876)</f>
        <v/>
      </c>
    </row>
    <row r="877">
      <c r="A877" s="155" t="n">
        <v>46106</v>
      </c>
      <c r="B877" s="156" t="inlineStr">
        <is>
          <t>23-24</t>
        </is>
      </c>
      <c r="C877" s="156" t="inlineStr">
        <is>
          <t>EX-753</t>
        </is>
      </c>
      <c r="D877" s="156" t="inlineStr">
        <is>
          <t>DT-527</t>
        </is>
      </c>
      <c r="E877" s="156" t="inlineStr">
        <is>
          <t>OB</t>
        </is>
      </c>
      <c r="F877" s="156" t="n">
        <v>4</v>
      </c>
      <c r="G877" s="156" t="inlineStr"/>
      <c r="H877" s="157">
        <f>IF($B877="","",IF(ISNA(MATCH($B877,MASTER_JAM!$Q$5:$Q$28,0)),"?",IF(MATCH($B877,MASTER_JAM!$Q$5:$Q$28,0)&lt;=12,"DS","NS")))</f>
        <v/>
      </c>
      <c r="I877" s="157">
        <f>IFERROR(INDEX(MASTER_JAM!$B$5:$B$94,MATCH($C877,MASTER_JAM!$A$5:$A$94,0)),"")</f>
        <v/>
      </c>
      <c r="J877" s="157">
        <f>IFERROR(INDEX(MASTER_JAM!$E$5:$E$94,MATCH($D877,MASTER_JAM!$A$5:$A$94,0)),"")</f>
        <v/>
      </c>
      <c r="K877" s="158">
        <f>IFERROR(INDEX(MASTER_JAM!$J$5:$O$12,MATCH($E877,MASTER_JAM!$I$5:$I$12,0),MATCH($J877,MASTER_JAM!$J$4:$O$4,0))+0,0)</f>
        <v/>
      </c>
      <c r="L877" s="159">
        <f>N($F877)*$K877</f>
        <v/>
      </c>
      <c r="M877" s="157">
        <f>IF($E877="","",IF(OR($E877="Coal",$E877="Dirty Coal"),"MT","BCM"))</f>
        <v/>
      </c>
      <c r="N877" s="157">
        <f>IF($E877="","",IF(OR($E877="Coal",$E877="Dirty Coal"),"Coal","OB"))</f>
        <v/>
      </c>
      <c r="O877" s="157">
        <f>IF($F877="","",IF(COUNTIF(MASTER_JAM!$A$5:$A$94,$C877)=0,"Digger tidak dikenal",IF($J877="","Hauler tidak dikenal",IF($H877="?","Jam salah",IF($K877=0,"Faktor kosong",IF(SUMIFS(INPUT_DELAY!$E$5:$E$20000,INPUT_DELAY!$A$5:$A$20000,$A877,INPUT_DELAY!$B$5:$B$20000,$B877,INPUT_DELAY!$C$5:$C$20000,$C877)+SUMIFS(INPUT_DELAY!$E$5:$E$20000,INPUT_DELAY!$A$5:$A$20000,$A877,INPUT_DELAY!$B$5:$B$20000,$B877,INPUT_DELAY!$C$5:$C$20000,"SEMUA")&gt;=60,"Delay 60 mnt tapi ada ritase","OK"))))))</f>
        <v/>
      </c>
      <c r="P877" s="158">
        <f>IFERROR(INDEX(MASTER_JAM!$Z$5:$AC$10,MATCH($I877,MASTER_JAM!$Y$5:$Y$10,0),MATCH($J877,MASTER_JAM!$Z$4:$AC$4,0))+0,0)</f>
        <v/>
      </c>
      <c r="Q877" s="158">
        <f>IF($P877=0,0,$P877+IFERROR(INDEX(MASTER_JAM!$H$5:$H$94,MATCH($C877,MASTER_JAM!$A$5:$A$94,0))+0,MASTER_JAM!$AC$15)/1000*(60/MASTER_JAM!$AC$12+60/MASTER_JAM!$AC$13)+MASTER_JAM!$AC$14)</f>
        <v/>
      </c>
      <c r="R877" s="158">
        <f>IF(N($F877)=0,0,$F877/SUMIFS(INPUT_RITASE!$F$5:$F$20000,INPUT_RITASE!$A$5:$A$20000,$A877,INPUT_RITASE!$B$5:$B$20000,$B877,INPUT_RITASE!$C$5:$C$20000,$C877,INPUT_RITASE!$D$5:$D$20000,$D877))</f>
        <v/>
      </c>
      <c r="S877" s="158">
        <f>IF($Q877=0,0,$R877*$P877/$Q877)</f>
        <v/>
      </c>
    </row>
    <row r="878">
      <c r="A878" s="155" t="n">
        <v>46106</v>
      </c>
      <c r="B878" s="156" t="inlineStr">
        <is>
          <t>23-24</t>
        </is>
      </c>
      <c r="C878" s="156" t="inlineStr">
        <is>
          <t>EX-753</t>
        </is>
      </c>
      <c r="D878" s="156" t="inlineStr">
        <is>
          <t>DT-529</t>
        </is>
      </c>
      <c r="E878" s="156" t="inlineStr">
        <is>
          <t>OB</t>
        </is>
      </c>
      <c r="F878" s="156" t="n">
        <v>4</v>
      </c>
      <c r="G878" s="156" t="inlineStr"/>
      <c r="H878" s="157">
        <f>IF($B878="","",IF(ISNA(MATCH($B878,MASTER_JAM!$Q$5:$Q$28,0)),"?",IF(MATCH($B878,MASTER_JAM!$Q$5:$Q$28,0)&lt;=12,"DS","NS")))</f>
        <v/>
      </c>
      <c r="I878" s="157">
        <f>IFERROR(INDEX(MASTER_JAM!$B$5:$B$94,MATCH($C878,MASTER_JAM!$A$5:$A$94,0)),"")</f>
        <v/>
      </c>
      <c r="J878" s="157">
        <f>IFERROR(INDEX(MASTER_JAM!$E$5:$E$94,MATCH($D878,MASTER_JAM!$A$5:$A$94,0)),"")</f>
        <v/>
      </c>
      <c r="K878" s="158">
        <f>IFERROR(INDEX(MASTER_JAM!$J$5:$O$12,MATCH($E878,MASTER_JAM!$I$5:$I$12,0),MATCH($J878,MASTER_JAM!$J$4:$O$4,0))+0,0)</f>
        <v/>
      </c>
      <c r="L878" s="159">
        <f>N($F878)*$K878</f>
        <v/>
      </c>
      <c r="M878" s="157">
        <f>IF($E878="","",IF(OR($E878="Coal",$E878="Dirty Coal"),"MT","BCM"))</f>
        <v/>
      </c>
      <c r="N878" s="157">
        <f>IF($E878="","",IF(OR($E878="Coal",$E878="Dirty Coal"),"Coal","OB"))</f>
        <v/>
      </c>
      <c r="O878" s="157">
        <f>IF($F878="","",IF(COUNTIF(MASTER_JAM!$A$5:$A$94,$C878)=0,"Digger tidak dikenal",IF($J878="","Hauler tidak dikenal",IF($H878="?","Jam salah",IF($K878=0,"Faktor kosong",IF(SUMIFS(INPUT_DELAY!$E$5:$E$20000,INPUT_DELAY!$A$5:$A$20000,$A878,INPUT_DELAY!$B$5:$B$20000,$B878,INPUT_DELAY!$C$5:$C$20000,$C878)+SUMIFS(INPUT_DELAY!$E$5:$E$20000,INPUT_DELAY!$A$5:$A$20000,$A878,INPUT_DELAY!$B$5:$B$20000,$B878,INPUT_DELAY!$C$5:$C$20000,"SEMUA")&gt;=60,"Delay 60 mnt tapi ada ritase","OK"))))))</f>
        <v/>
      </c>
      <c r="P878" s="158">
        <f>IFERROR(INDEX(MASTER_JAM!$Z$5:$AC$10,MATCH($I878,MASTER_JAM!$Y$5:$Y$10,0),MATCH($J878,MASTER_JAM!$Z$4:$AC$4,0))+0,0)</f>
        <v/>
      </c>
      <c r="Q878" s="158">
        <f>IF($P878=0,0,$P878+IFERROR(INDEX(MASTER_JAM!$H$5:$H$94,MATCH($C878,MASTER_JAM!$A$5:$A$94,0))+0,MASTER_JAM!$AC$15)/1000*(60/MASTER_JAM!$AC$12+60/MASTER_JAM!$AC$13)+MASTER_JAM!$AC$14)</f>
        <v/>
      </c>
      <c r="R878" s="158">
        <f>IF(N($F878)=0,0,$F878/SUMIFS(INPUT_RITASE!$F$5:$F$20000,INPUT_RITASE!$A$5:$A$20000,$A878,INPUT_RITASE!$B$5:$B$20000,$B878,INPUT_RITASE!$C$5:$C$20000,$C878,INPUT_RITASE!$D$5:$D$20000,$D878))</f>
        <v/>
      </c>
      <c r="S878" s="158">
        <f>IF($Q878=0,0,$R878*$P878/$Q878)</f>
        <v/>
      </c>
    </row>
    <row r="879">
      <c r="A879" s="155" t="n">
        <v>46106</v>
      </c>
      <c r="B879" s="156" t="inlineStr">
        <is>
          <t>23-24</t>
        </is>
      </c>
      <c r="C879" s="156" t="inlineStr">
        <is>
          <t>EX-753</t>
        </is>
      </c>
      <c r="D879" s="156" t="inlineStr">
        <is>
          <t>DT-524</t>
        </is>
      </c>
      <c r="E879" s="156" t="inlineStr">
        <is>
          <t>OB</t>
        </is>
      </c>
      <c r="F879" s="156" t="n">
        <v>4</v>
      </c>
      <c r="G879" s="156" t="inlineStr"/>
      <c r="H879" s="157">
        <f>IF($B879="","",IF(ISNA(MATCH($B879,MASTER_JAM!$Q$5:$Q$28,0)),"?",IF(MATCH($B879,MASTER_JAM!$Q$5:$Q$28,0)&lt;=12,"DS","NS")))</f>
        <v/>
      </c>
      <c r="I879" s="157">
        <f>IFERROR(INDEX(MASTER_JAM!$B$5:$B$94,MATCH($C879,MASTER_JAM!$A$5:$A$94,0)),"")</f>
        <v/>
      </c>
      <c r="J879" s="157">
        <f>IFERROR(INDEX(MASTER_JAM!$E$5:$E$94,MATCH($D879,MASTER_JAM!$A$5:$A$94,0)),"")</f>
        <v/>
      </c>
      <c r="K879" s="158">
        <f>IFERROR(INDEX(MASTER_JAM!$J$5:$O$12,MATCH($E879,MASTER_JAM!$I$5:$I$12,0),MATCH($J879,MASTER_JAM!$J$4:$O$4,0))+0,0)</f>
        <v/>
      </c>
      <c r="L879" s="159">
        <f>N($F879)*$K879</f>
        <v/>
      </c>
      <c r="M879" s="157">
        <f>IF($E879="","",IF(OR($E879="Coal",$E879="Dirty Coal"),"MT","BCM"))</f>
        <v/>
      </c>
      <c r="N879" s="157">
        <f>IF($E879="","",IF(OR($E879="Coal",$E879="Dirty Coal"),"Coal","OB"))</f>
        <v/>
      </c>
      <c r="O879" s="157">
        <f>IF($F879="","",IF(COUNTIF(MASTER_JAM!$A$5:$A$94,$C879)=0,"Digger tidak dikenal",IF($J879="","Hauler tidak dikenal",IF($H879="?","Jam salah",IF($K879=0,"Faktor kosong",IF(SUMIFS(INPUT_DELAY!$E$5:$E$20000,INPUT_DELAY!$A$5:$A$20000,$A879,INPUT_DELAY!$B$5:$B$20000,$B879,INPUT_DELAY!$C$5:$C$20000,$C879)+SUMIFS(INPUT_DELAY!$E$5:$E$20000,INPUT_DELAY!$A$5:$A$20000,$A879,INPUT_DELAY!$B$5:$B$20000,$B879,INPUT_DELAY!$C$5:$C$20000,"SEMUA")&gt;=60,"Delay 60 mnt tapi ada ritase","OK"))))))</f>
        <v/>
      </c>
      <c r="P879" s="158">
        <f>IFERROR(INDEX(MASTER_JAM!$Z$5:$AC$10,MATCH($I879,MASTER_JAM!$Y$5:$Y$10,0),MATCH($J879,MASTER_JAM!$Z$4:$AC$4,0))+0,0)</f>
        <v/>
      </c>
      <c r="Q879" s="158">
        <f>IF($P879=0,0,$P879+IFERROR(INDEX(MASTER_JAM!$H$5:$H$94,MATCH($C879,MASTER_JAM!$A$5:$A$94,0))+0,MASTER_JAM!$AC$15)/1000*(60/MASTER_JAM!$AC$12+60/MASTER_JAM!$AC$13)+MASTER_JAM!$AC$14)</f>
        <v/>
      </c>
      <c r="R879" s="158">
        <f>IF(N($F879)=0,0,$F879/SUMIFS(INPUT_RITASE!$F$5:$F$20000,INPUT_RITASE!$A$5:$A$20000,$A879,INPUT_RITASE!$B$5:$B$20000,$B879,INPUT_RITASE!$C$5:$C$20000,$C879,INPUT_RITASE!$D$5:$D$20000,$D879))</f>
        <v/>
      </c>
      <c r="S879" s="158">
        <f>IF($Q879=0,0,$R879*$P879/$Q879)</f>
        <v/>
      </c>
    </row>
    <row r="880">
      <c r="A880" s="155" t="n">
        <v>46106</v>
      </c>
      <c r="B880" s="156" t="inlineStr">
        <is>
          <t>23-24</t>
        </is>
      </c>
      <c r="C880" s="156" t="inlineStr">
        <is>
          <t>EX-753</t>
        </is>
      </c>
      <c r="D880" s="156" t="inlineStr">
        <is>
          <t>DT-518</t>
        </is>
      </c>
      <c r="E880" s="156" t="inlineStr">
        <is>
          <t>OB</t>
        </is>
      </c>
      <c r="F880" s="156" t="n">
        <v>3</v>
      </c>
      <c r="G880" s="156" t="inlineStr"/>
      <c r="H880" s="157">
        <f>IF($B880="","",IF(ISNA(MATCH($B880,MASTER_JAM!$Q$5:$Q$28,0)),"?",IF(MATCH($B880,MASTER_JAM!$Q$5:$Q$28,0)&lt;=12,"DS","NS")))</f>
        <v/>
      </c>
      <c r="I880" s="157">
        <f>IFERROR(INDEX(MASTER_JAM!$B$5:$B$94,MATCH($C880,MASTER_JAM!$A$5:$A$94,0)),"")</f>
        <v/>
      </c>
      <c r="J880" s="157">
        <f>IFERROR(INDEX(MASTER_JAM!$E$5:$E$94,MATCH($D880,MASTER_JAM!$A$5:$A$94,0)),"")</f>
        <v/>
      </c>
      <c r="K880" s="158">
        <f>IFERROR(INDEX(MASTER_JAM!$J$5:$O$12,MATCH($E880,MASTER_JAM!$I$5:$I$12,0),MATCH($J880,MASTER_JAM!$J$4:$O$4,0))+0,0)</f>
        <v/>
      </c>
      <c r="L880" s="159">
        <f>N($F880)*$K880</f>
        <v/>
      </c>
      <c r="M880" s="157">
        <f>IF($E880="","",IF(OR($E880="Coal",$E880="Dirty Coal"),"MT","BCM"))</f>
        <v/>
      </c>
      <c r="N880" s="157">
        <f>IF($E880="","",IF(OR($E880="Coal",$E880="Dirty Coal"),"Coal","OB"))</f>
        <v/>
      </c>
      <c r="O880" s="157">
        <f>IF($F880="","",IF(COUNTIF(MASTER_JAM!$A$5:$A$94,$C880)=0,"Digger tidak dikenal",IF($J880="","Hauler tidak dikenal",IF($H880="?","Jam salah",IF($K880=0,"Faktor kosong",IF(SUMIFS(INPUT_DELAY!$E$5:$E$20000,INPUT_DELAY!$A$5:$A$20000,$A880,INPUT_DELAY!$B$5:$B$20000,$B880,INPUT_DELAY!$C$5:$C$20000,$C880)+SUMIFS(INPUT_DELAY!$E$5:$E$20000,INPUT_DELAY!$A$5:$A$20000,$A880,INPUT_DELAY!$B$5:$B$20000,$B880,INPUT_DELAY!$C$5:$C$20000,"SEMUA")&gt;=60,"Delay 60 mnt tapi ada ritase","OK"))))))</f>
        <v/>
      </c>
      <c r="P880" s="158">
        <f>IFERROR(INDEX(MASTER_JAM!$Z$5:$AC$10,MATCH($I880,MASTER_JAM!$Y$5:$Y$10,0),MATCH($J880,MASTER_JAM!$Z$4:$AC$4,0))+0,0)</f>
        <v/>
      </c>
      <c r="Q880" s="158">
        <f>IF($P880=0,0,$P880+IFERROR(INDEX(MASTER_JAM!$H$5:$H$94,MATCH($C880,MASTER_JAM!$A$5:$A$94,0))+0,MASTER_JAM!$AC$15)/1000*(60/MASTER_JAM!$AC$12+60/MASTER_JAM!$AC$13)+MASTER_JAM!$AC$14)</f>
        <v/>
      </c>
      <c r="R880" s="158">
        <f>IF(N($F880)=0,0,$F880/SUMIFS(INPUT_RITASE!$F$5:$F$20000,INPUT_RITASE!$A$5:$A$20000,$A880,INPUT_RITASE!$B$5:$B$20000,$B880,INPUT_RITASE!$C$5:$C$20000,$C880,INPUT_RITASE!$D$5:$D$20000,$D880))</f>
        <v/>
      </c>
      <c r="S880" s="158">
        <f>IF($Q880=0,0,$R880*$P880/$Q880)</f>
        <v/>
      </c>
    </row>
    <row r="881">
      <c r="A881" s="155" t="n">
        <v>46106</v>
      </c>
      <c r="B881" s="156" t="inlineStr">
        <is>
          <t>23-24</t>
        </is>
      </c>
      <c r="C881" s="156" t="inlineStr">
        <is>
          <t>EX-753</t>
        </is>
      </c>
      <c r="D881" s="156" t="inlineStr">
        <is>
          <t>DT-522</t>
        </is>
      </c>
      <c r="E881" s="156" t="inlineStr">
        <is>
          <t>OB</t>
        </is>
      </c>
      <c r="F881" s="156" t="n">
        <v>3</v>
      </c>
      <c r="G881" s="156" t="inlineStr"/>
      <c r="H881" s="157">
        <f>IF($B881="","",IF(ISNA(MATCH($B881,MASTER_JAM!$Q$5:$Q$28,0)),"?",IF(MATCH($B881,MASTER_JAM!$Q$5:$Q$28,0)&lt;=12,"DS","NS")))</f>
        <v/>
      </c>
      <c r="I881" s="157">
        <f>IFERROR(INDEX(MASTER_JAM!$B$5:$B$94,MATCH($C881,MASTER_JAM!$A$5:$A$94,0)),"")</f>
        <v/>
      </c>
      <c r="J881" s="157">
        <f>IFERROR(INDEX(MASTER_JAM!$E$5:$E$94,MATCH($D881,MASTER_JAM!$A$5:$A$94,0)),"")</f>
        <v/>
      </c>
      <c r="K881" s="158">
        <f>IFERROR(INDEX(MASTER_JAM!$J$5:$O$12,MATCH($E881,MASTER_JAM!$I$5:$I$12,0),MATCH($J881,MASTER_JAM!$J$4:$O$4,0))+0,0)</f>
        <v/>
      </c>
      <c r="L881" s="159">
        <f>N($F881)*$K881</f>
        <v/>
      </c>
      <c r="M881" s="157">
        <f>IF($E881="","",IF(OR($E881="Coal",$E881="Dirty Coal"),"MT","BCM"))</f>
        <v/>
      </c>
      <c r="N881" s="157">
        <f>IF($E881="","",IF(OR($E881="Coal",$E881="Dirty Coal"),"Coal","OB"))</f>
        <v/>
      </c>
      <c r="O881" s="157">
        <f>IF($F881="","",IF(COUNTIF(MASTER_JAM!$A$5:$A$94,$C881)=0,"Digger tidak dikenal",IF($J881="","Hauler tidak dikenal",IF($H881="?","Jam salah",IF($K881=0,"Faktor kosong",IF(SUMIFS(INPUT_DELAY!$E$5:$E$20000,INPUT_DELAY!$A$5:$A$20000,$A881,INPUT_DELAY!$B$5:$B$20000,$B881,INPUT_DELAY!$C$5:$C$20000,$C881)+SUMIFS(INPUT_DELAY!$E$5:$E$20000,INPUT_DELAY!$A$5:$A$20000,$A881,INPUT_DELAY!$B$5:$B$20000,$B881,INPUT_DELAY!$C$5:$C$20000,"SEMUA")&gt;=60,"Delay 60 mnt tapi ada ritase","OK"))))))</f>
        <v/>
      </c>
      <c r="P881" s="158">
        <f>IFERROR(INDEX(MASTER_JAM!$Z$5:$AC$10,MATCH($I881,MASTER_JAM!$Y$5:$Y$10,0),MATCH($J881,MASTER_JAM!$Z$4:$AC$4,0))+0,0)</f>
        <v/>
      </c>
      <c r="Q881" s="158">
        <f>IF($P881=0,0,$P881+IFERROR(INDEX(MASTER_JAM!$H$5:$H$94,MATCH($C881,MASTER_JAM!$A$5:$A$94,0))+0,MASTER_JAM!$AC$15)/1000*(60/MASTER_JAM!$AC$12+60/MASTER_JAM!$AC$13)+MASTER_JAM!$AC$14)</f>
        <v/>
      </c>
      <c r="R881" s="158">
        <f>IF(N($F881)=0,0,$F881/SUMIFS(INPUT_RITASE!$F$5:$F$20000,INPUT_RITASE!$A$5:$A$20000,$A881,INPUT_RITASE!$B$5:$B$20000,$B881,INPUT_RITASE!$C$5:$C$20000,$C881,INPUT_RITASE!$D$5:$D$20000,$D881))</f>
        <v/>
      </c>
      <c r="S881" s="158">
        <f>IF($Q881=0,0,$R881*$P881/$Q881)</f>
        <v/>
      </c>
    </row>
    <row r="882">
      <c r="A882" s="155" t="n">
        <v>46106</v>
      </c>
      <c r="B882" s="156" t="inlineStr">
        <is>
          <t>01-02</t>
        </is>
      </c>
      <c r="C882" s="156" t="inlineStr">
        <is>
          <t>EX-753</t>
        </is>
      </c>
      <c r="D882" s="156" t="inlineStr">
        <is>
          <t>DT-529</t>
        </is>
      </c>
      <c r="E882" s="156" t="inlineStr">
        <is>
          <t>OB</t>
        </is>
      </c>
      <c r="F882" s="156" t="n">
        <v>4</v>
      </c>
      <c r="G882" s="156" t="inlineStr"/>
      <c r="H882" s="157">
        <f>IF($B882="","",IF(ISNA(MATCH($B882,MASTER_JAM!$Q$5:$Q$28,0)),"?",IF(MATCH($B882,MASTER_JAM!$Q$5:$Q$28,0)&lt;=12,"DS","NS")))</f>
        <v/>
      </c>
      <c r="I882" s="157">
        <f>IFERROR(INDEX(MASTER_JAM!$B$5:$B$94,MATCH($C882,MASTER_JAM!$A$5:$A$94,0)),"")</f>
        <v/>
      </c>
      <c r="J882" s="157">
        <f>IFERROR(INDEX(MASTER_JAM!$E$5:$E$94,MATCH($D882,MASTER_JAM!$A$5:$A$94,0)),"")</f>
        <v/>
      </c>
      <c r="K882" s="158">
        <f>IFERROR(INDEX(MASTER_JAM!$J$5:$O$12,MATCH($E882,MASTER_JAM!$I$5:$I$12,0),MATCH($J882,MASTER_JAM!$J$4:$O$4,0))+0,0)</f>
        <v/>
      </c>
      <c r="L882" s="159">
        <f>N($F882)*$K882</f>
        <v/>
      </c>
      <c r="M882" s="157">
        <f>IF($E882="","",IF(OR($E882="Coal",$E882="Dirty Coal"),"MT","BCM"))</f>
        <v/>
      </c>
      <c r="N882" s="157">
        <f>IF($E882="","",IF(OR($E882="Coal",$E882="Dirty Coal"),"Coal","OB"))</f>
        <v/>
      </c>
      <c r="O882" s="157">
        <f>IF($F882="","",IF(COUNTIF(MASTER_JAM!$A$5:$A$94,$C882)=0,"Digger tidak dikenal",IF($J882="","Hauler tidak dikenal",IF($H882="?","Jam salah",IF($K882=0,"Faktor kosong",IF(SUMIFS(INPUT_DELAY!$E$5:$E$20000,INPUT_DELAY!$A$5:$A$20000,$A882,INPUT_DELAY!$B$5:$B$20000,$B882,INPUT_DELAY!$C$5:$C$20000,$C882)+SUMIFS(INPUT_DELAY!$E$5:$E$20000,INPUT_DELAY!$A$5:$A$20000,$A882,INPUT_DELAY!$B$5:$B$20000,$B882,INPUT_DELAY!$C$5:$C$20000,"SEMUA")&gt;=60,"Delay 60 mnt tapi ada ritase","OK"))))))</f>
        <v/>
      </c>
      <c r="P882" s="158">
        <f>IFERROR(INDEX(MASTER_JAM!$Z$5:$AC$10,MATCH($I882,MASTER_JAM!$Y$5:$Y$10,0),MATCH($J882,MASTER_JAM!$Z$4:$AC$4,0))+0,0)</f>
        <v/>
      </c>
      <c r="Q882" s="158">
        <f>IF($P882=0,0,$P882+IFERROR(INDEX(MASTER_JAM!$H$5:$H$94,MATCH($C882,MASTER_JAM!$A$5:$A$94,0))+0,MASTER_JAM!$AC$15)/1000*(60/MASTER_JAM!$AC$12+60/MASTER_JAM!$AC$13)+MASTER_JAM!$AC$14)</f>
        <v/>
      </c>
      <c r="R882" s="158">
        <f>IF(N($F882)=0,0,$F882/SUMIFS(INPUT_RITASE!$F$5:$F$20000,INPUT_RITASE!$A$5:$A$20000,$A882,INPUT_RITASE!$B$5:$B$20000,$B882,INPUT_RITASE!$C$5:$C$20000,$C882,INPUT_RITASE!$D$5:$D$20000,$D882))</f>
        <v/>
      </c>
      <c r="S882" s="158">
        <f>IF($Q882=0,0,$R882*$P882/$Q882)</f>
        <v/>
      </c>
    </row>
    <row r="883">
      <c r="A883" s="155" t="n">
        <v>46106</v>
      </c>
      <c r="B883" s="156" t="inlineStr">
        <is>
          <t>01-02</t>
        </is>
      </c>
      <c r="C883" s="156" t="inlineStr">
        <is>
          <t>EX-753</t>
        </is>
      </c>
      <c r="D883" s="156" t="inlineStr">
        <is>
          <t>DT-524</t>
        </is>
      </c>
      <c r="E883" s="156" t="inlineStr">
        <is>
          <t>OB</t>
        </is>
      </c>
      <c r="F883" s="156" t="n">
        <v>4</v>
      </c>
      <c r="G883" s="156" t="inlineStr"/>
      <c r="H883" s="157">
        <f>IF($B883="","",IF(ISNA(MATCH($B883,MASTER_JAM!$Q$5:$Q$28,0)),"?",IF(MATCH($B883,MASTER_JAM!$Q$5:$Q$28,0)&lt;=12,"DS","NS")))</f>
        <v/>
      </c>
      <c r="I883" s="157">
        <f>IFERROR(INDEX(MASTER_JAM!$B$5:$B$94,MATCH($C883,MASTER_JAM!$A$5:$A$94,0)),"")</f>
        <v/>
      </c>
      <c r="J883" s="157">
        <f>IFERROR(INDEX(MASTER_JAM!$E$5:$E$94,MATCH($D883,MASTER_JAM!$A$5:$A$94,0)),"")</f>
        <v/>
      </c>
      <c r="K883" s="158">
        <f>IFERROR(INDEX(MASTER_JAM!$J$5:$O$12,MATCH($E883,MASTER_JAM!$I$5:$I$12,0),MATCH($J883,MASTER_JAM!$J$4:$O$4,0))+0,0)</f>
        <v/>
      </c>
      <c r="L883" s="159">
        <f>N($F883)*$K883</f>
        <v/>
      </c>
      <c r="M883" s="157">
        <f>IF($E883="","",IF(OR($E883="Coal",$E883="Dirty Coal"),"MT","BCM"))</f>
        <v/>
      </c>
      <c r="N883" s="157">
        <f>IF($E883="","",IF(OR($E883="Coal",$E883="Dirty Coal"),"Coal","OB"))</f>
        <v/>
      </c>
      <c r="O883" s="157">
        <f>IF($F883="","",IF(COUNTIF(MASTER_JAM!$A$5:$A$94,$C883)=0,"Digger tidak dikenal",IF($J883="","Hauler tidak dikenal",IF($H883="?","Jam salah",IF($K883=0,"Faktor kosong",IF(SUMIFS(INPUT_DELAY!$E$5:$E$20000,INPUT_DELAY!$A$5:$A$20000,$A883,INPUT_DELAY!$B$5:$B$20000,$B883,INPUT_DELAY!$C$5:$C$20000,$C883)+SUMIFS(INPUT_DELAY!$E$5:$E$20000,INPUT_DELAY!$A$5:$A$20000,$A883,INPUT_DELAY!$B$5:$B$20000,$B883,INPUT_DELAY!$C$5:$C$20000,"SEMUA")&gt;=60,"Delay 60 mnt tapi ada ritase","OK"))))))</f>
        <v/>
      </c>
      <c r="P883" s="158">
        <f>IFERROR(INDEX(MASTER_JAM!$Z$5:$AC$10,MATCH($I883,MASTER_JAM!$Y$5:$Y$10,0),MATCH($J883,MASTER_JAM!$Z$4:$AC$4,0))+0,0)</f>
        <v/>
      </c>
      <c r="Q883" s="158">
        <f>IF($P883=0,0,$P883+IFERROR(INDEX(MASTER_JAM!$H$5:$H$94,MATCH($C883,MASTER_JAM!$A$5:$A$94,0))+0,MASTER_JAM!$AC$15)/1000*(60/MASTER_JAM!$AC$12+60/MASTER_JAM!$AC$13)+MASTER_JAM!$AC$14)</f>
        <v/>
      </c>
      <c r="R883" s="158">
        <f>IF(N($F883)=0,0,$F883/SUMIFS(INPUT_RITASE!$F$5:$F$20000,INPUT_RITASE!$A$5:$A$20000,$A883,INPUT_RITASE!$B$5:$B$20000,$B883,INPUT_RITASE!$C$5:$C$20000,$C883,INPUT_RITASE!$D$5:$D$20000,$D883))</f>
        <v/>
      </c>
      <c r="S883" s="158">
        <f>IF($Q883=0,0,$R883*$P883/$Q883)</f>
        <v/>
      </c>
    </row>
    <row r="884">
      <c r="A884" s="155" t="n">
        <v>46106</v>
      </c>
      <c r="B884" s="156" t="inlineStr">
        <is>
          <t>01-02</t>
        </is>
      </c>
      <c r="C884" s="156" t="inlineStr">
        <is>
          <t>EX-753</t>
        </is>
      </c>
      <c r="D884" s="156" t="inlineStr">
        <is>
          <t>DT-508</t>
        </is>
      </c>
      <c r="E884" s="156" t="inlineStr">
        <is>
          <t>OB</t>
        </is>
      </c>
      <c r="F884" s="156" t="n">
        <v>4</v>
      </c>
      <c r="G884" s="156" t="inlineStr"/>
      <c r="H884" s="157">
        <f>IF($B884="","",IF(ISNA(MATCH($B884,MASTER_JAM!$Q$5:$Q$28,0)),"?",IF(MATCH($B884,MASTER_JAM!$Q$5:$Q$28,0)&lt;=12,"DS","NS")))</f>
        <v/>
      </c>
      <c r="I884" s="157">
        <f>IFERROR(INDEX(MASTER_JAM!$B$5:$B$94,MATCH($C884,MASTER_JAM!$A$5:$A$94,0)),"")</f>
        <v/>
      </c>
      <c r="J884" s="157">
        <f>IFERROR(INDEX(MASTER_JAM!$E$5:$E$94,MATCH($D884,MASTER_JAM!$A$5:$A$94,0)),"")</f>
        <v/>
      </c>
      <c r="K884" s="158">
        <f>IFERROR(INDEX(MASTER_JAM!$J$5:$O$12,MATCH($E884,MASTER_JAM!$I$5:$I$12,0),MATCH($J884,MASTER_JAM!$J$4:$O$4,0))+0,0)</f>
        <v/>
      </c>
      <c r="L884" s="159">
        <f>N($F884)*$K884</f>
        <v/>
      </c>
      <c r="M884" s="157">
        <f>IF($E884="","",IF(OR($E884="Coal",$E884="Dirty Coal"),"MT","BCM"))</f>
        <v/>
      </c>
      <c r="N884" s="157">
        <f>IF($E884="","",IF(OR($E884="Coal",$E884="Dirty Coal"),"Coal","OB"))</f>
        <v/>
      </c>
      <c r="O884" s="157">
        <f>IF($F884="","",IF(COUNTIF(MASTER_JAM!$A$5:$A$94,$C884)=0,"Digger tidak dikenal",IF($J884="","Hauler tidak dikenal",IF($H884="?","Jam salah",IF($K884=0,"Faktor kosong",IF(SUMIFS(INPUT_DELAY!$E$5:$E$20000,INPUT_DELAY!$A$5:$A$20000,$A884,INPUT_DELAY!$B$5:$B$20000,$B884,INPUT_DELAY!$C$5:$C$20000,$C884)+SUMIFS(INPUT_DELAY!$E$5:$E$20000,INPUT_DELAY!$A$5:$A$20000,$A884,INPUT_DELAY!$B$5:$B$20000,$B884,INPUT_DELAY!$C$5:$C$20000,"SEMUA")&gt;=60,"Delay 60 mnt tapi ada ritase","OK"))))))</f>
        <v/>
      </c>
      <c r="P884" s="158">
        <f>IFERROR(INDEX(MASTER_JAM!$Z$5:$AC$10,MATCH($I884,MASTER_JAM!$Y$5:$Y$10,0),MATCH($J884,MASTER_JAM!$Z$4:$AC$4,0))+0,0)</f>
        <v/>
      </c>
      <c r="Q884" s="158">
        <f>IF($P884=0,0,$P884+IFERROR(INDEX(MASTER_JAM!$H$5:$H$94,MATCH($C884,MASTER_JAM!$A$5:$A$94,0))+0,MASTER_JAM!$AC$15)/1000*(60/MASTER_JAM!$AC$12+60/MASTER_JAM!$AC$13)+MASTER_JAM!$AC$14)</f>
        <v/>
      </c>
      <c r="R884" s="158">
        <f>IF(N($F884)=0,0,$F884/SUMIFS(INPUT_RITASE!$F$5:$F$20000,INPUT_RITASE!$A$5:$A$20000,$A884,INPUT_RITASE!$B$5:$B$20000,$B884,INPUT_RITASE!$C$5:$C$20000,$C884,INPUT_RITASE!$D$5:$D$20000,$D884))</f>
        <v/>
      </c>
      <c r="S884" s="158">
        <f>IF($Q884=0,0,$R884*$P884/$Q884)</f>
        <v/>
      </c>
    </row>
    <row r="885">
      <c r="A885" s="155" t="n">
        <v>46106</v>
      </c>
      <c r="B885" s="156" t="inlineStr">
        <is>
          <t>01-02</t>
        </is>
      </c>
      <c r="C885" s="156" t="inlineStr">
        <is>
          <t>EX-753</t>
        </is>
      </c>
      <c r="D885" s="156" t="inlineStr">
        <is>
          <t>DT-527</t>
        </is>
      </c>
      <c r="E885" s="156" t="inlineStr">
        <is>
          <t>OB</t>
        </is>
      </c>
      <c r="F885" s="156" t="n">
        <v>3</v>
      </c>
      <c r="G885" s="156" t="inlineStr"/>
      <c r="H885" s="157">
        <f>IF($B885="","",IF(ISNA(MATCH($B885,MASTER_JAM!$Q$5:$Q$28,0)),"?",IF(MATCH($B885,MASTER_JAM!$Q$5:$Q$28,0)&lt;=12,"DS","NS")))</f>
        <v/>
      </c>
      <c r="I885" s="157">
        <f>IFERROR(INDEX(MASTER_JAM!$B$5:$B$94,MATCH($C885,MASTER_JAM!$A$5:$A$94,0)),"")</f>
        <v/>
      </c>
      <c r="J885" s="157">
        <f>IFERROR(INDEX(MASTER_JAM!$E$5:$E$94,MATCH($D885,MASTER_JAM!$A$5:$A$94,0)),"")</f>
        <v/>
      </c>
      <c r="K885" s="158">
        <f>IFERROR(INDEX(MASTER_JAM!$J$5:$O$12,MATCH($E885,MASTER_JAM!$I$5:$I$12,0),MATCH($J885,MASTER_JAM!$J$4:$O$4,0))+0,0)</f>
        <v/>
      </c>
      <c r="L885" s="159">
        <f>N($F885)*$K885</f>
        <v/>
      </c>
      <c r="M885" s="157">
        <f>IF($E885="","",IF(OR($E885="Coal",$E885="Dirty Coal"),"MT","BCM"))</f>
        <v/>
      </c>
      <c r="N885" s="157">
        <f>IF($E885="","",IF(OR($E885="Coal",$E885="Dirty Coal"),"Coal","OB"))</f>
        <v/>
      </c>
      <c r="O885" s="157">
        <f>IF($F885="","",IF(COUNTIF(MASTER_JAM!$A$5:$A$94,$C885)=0,"Digger tidak dikenal",IF($J885="","Hauler tidak dikenal",IF($H885="?","Jam salah",IF($K885=0,"Faktor kosong",IF(SUMIFS(INPUT_DELAY!$E$5:$E$20000,INPUT_DELAY!$A$5:$A$20000,$A885,INPUT_DELAY!$B$5:$B$20000,$B885,INPUT_DELAY!$C$5:$C$20000,$C885)+SUMIFS(INPUT_DELAY!$E$5:$E$20000,INPUT_DELAY!$A$5:$A$20000,$A885,INPUT_DELAY!$B$5:$B$20000,$B885,INPUT_DELAY!$C$5:$C$20000,"SEMUA")&gt;=60,"Delay 60 mnt tapi ada ritase","OK"))))))</f>
        <v/>
      </c>
      <c r="P885" s="158">
        <f>IFERROR(INDEX(MASTER_JAM!$Z$5:$AC$10,MATCH($I885,MASTER_JAM!$Y$5:$Y$10,0),MATCH($J885,MASTER_JAM!$Z$4:$AC$4,0))+0,0)</f>
        <v/>
      </c>
      <c r="Q885" s="158">
        <f>IF($P885=0,0,$P885+IFERROR(INDEX(MASTER_JAM!$H$5:$H$94,MATCH($C885,MASTER_JAM!$A$5:$A$94,0))+0,MASTER_JAM!$AC$15)/1000*(60/MASTER_JAM!$AC$12+60/MASTER_JAM!$AC$13)+MASTER_JAM!$AC$14)</f>
        <v/>
      </c>
      <c r="R885" s="158">
        <f>IF(N($F885)=0,0,$F885/SUMIFS(INPUT_RITASE!$F$5:$F$20000,INPUT_RITASE!$A$5:$A$20000,$A885,INPUT_RITASE!$B$5:$B$20000,$B885,INPUT_RITASE!$C$5:$C$20000,$C885,INPUT_RITASE!$D$5:$D$20000,$D885))</f>
        <v/>
      </c>
      <c r="S885" s="158">
        <f>IF($Q885=0,0,$R885*$P885/$Q885)</f>
        <v/>
      </c>
    </row>
    <row r="886">
      <c r="A886" s="155" t="n">
        <v>46106</v>
      </c>
      <c r="B886" s="156" t="inlineStr">
        <is>
          <t>02-03</t>
        </is>
      </c>
      <c r="C886" s="156" t="inlineStr">
        <is>
          <t>EX-753</t>
        </is>
      </c>
      <c r="D886" s="156" t="inlineStr">
        <is>
          <t>DT-504</t>
        </is>
      </c>
      <c r="E886" s="156" t="inlineStr">
        <is>
          <t>OB</t>
        </is>
      </c>
      <c r="F886" s="156" t="n">
        <v>4</v>
      </c>
      <c r="G886" s="156" t="inlineStr"/>
      <c r="H886" s="157">
        <f>IF($B886="","",IF(ISNA(MATCH($B886,MASTER_JAM!$Q$5:$Q$28,0)),"?",IF(MATCH($B886,MASTER_JAM!$Q$5:$Q$28,0)&lt;=12,"DS","NS")))</f>
        <v/>
      </c>
      <c r="I886" s="157">
        <f>IFERROR(INDEX(MASTER_JAM!$B$5:$B$94,MATCH($C886,MASTER_JAM!$A$5:$A$94,0)),"")</f>
        <v/>
      </c>
      <c r="J886" s="157">
        <f>IFERROR(INDEX(MASTER_JAM!$E$5:$E$94,MATCH($D886,MASTER_JAM!$A$5:$A$94,0)),"")</f>
        <v/>
      </c>
      <c r="K886" s="158">
        <f>IFERROR(INDEX(MASTER_JAM!$J$5:$O$12,MATCH($E886,MASTER_JAM!$I$5:$I$12,0),MATCH($J886,MASTER_JAM!$J$4:$O$4,0))+0,0)</f>
        <v/>
      </c>
      <c r="L886" s="159">
        <f>N($F886)*$K886</f>
        <v/>
      </c>
      <c r="M886" s="157">
        <f>IF($E886="","",IF(OR($E886="Coal",$E886="Dirty Coal"),"MT","BCM"))</f>
        <v/>
      </c>
      <c r="N886" s="157">
        <f>IF($E886="","",IF(OR($E886="Coal",$E886="Dirty Coal"),"Coal","OB"))</f>
        <v/>
      </c>
      <c r="O886" s="157">
        <f>IF($F886="","",IF(COUNTIF(MASTER_JAM!$A$5:$A$94,$C886)=0,"Digger tidak dikenal",IF($J886="","Hauler tidak dikenal",IF($H886="?","Jam salah",IF($K886=0,"Faktor kosong",IF(SUMIFS(INPUT_DELAY!$E$5:$E$20000,INPUT_DELAY!$A$5:$A$20000,$A886,INPUT_DELAY!$B$5:$B$20000,$B886,INPUT_DELAY!$C$5:$C$20000,$C886)+SUMIFS(INPUT_DELAY!$E$5:$E$20000,INPUT_DELAY!$A$5:$A$20000,$A886,INPUT_DELAY!$B$5:$B$20000,$B886,INPUT_DELAY!$C$5:$C$20000,"SEMUA")&gt;=60,"Delay 60 mnt tapi ada ritase","OK"))))))</f>
        <v/>
      </c>
      <c r="P886" s="158">
        <f>IFERROR(INDEX(MASTER_JAM!$Z$5:$AC$10,MATCH($I886,MASTER_JAM!$Y$5:$Y$10,0),MATCH($J886,MASTER_JAM!$Z$4:$AC$4,0))+0,0)</f>
        <v/>
      </c>
      <c r="Q886" s="158">
        <f>IF($P886=0,0,$P886+IFERROR(INDEX(MASTER_JAM!$H$5:$H$94,MATCH($C886,MASTER_JAM!$A$5:$A$94,0))+0,MASTER_JAM!$AC$15)/1000*(60/MASTER_JAM!$AC$12+60/MASTER_JAM!$AC$13)+MASTER_JAM!$AC$14)</f>
        <v/>
      </c>
      <c r="R886" s="158">
        <f>IF(N($F886)=0,0,$F886/SUMIFS(INPUT_RITASE!$F$5:$F$20000,INPUT_RITASE!$A$5:$A$20000,$A886,INPUT_RITASE!$B$5:$B$20000,$B886,INPUT_RITASE!$C$5:$C$20000,$C886,INPUT_RITASE!$D$5:$D$20000,$D886))</f>
        <v/>
      </c>
      <c r="S886" s="158">
        <f>IF($Q886=0,0,$R886*$P886/$Q886)</f>
        <v/>
      </c>
    </row>
    <row r="887">
      <c r="A887" s="155" t="n">
        <v>46106</v>
      </c>
      <c r="B887" s="156" t="inlineStr">
        <is>
          <t>02-03</t>
        </is>
      </c>
      <c r="C887" s="156" t="inlineStr">
        <is>
          <t>EX-753</t>
        </is>
      </c>
      <c r="D887" s="156" t="inlineStr">
        <is>
          <t>DT-527</t>
        </is>
      </c>
      <c r="E887" s="156" t="inlineStr">
        <is>
          <t>OB</t>
        </is>
      </c>
      <c r="F887" s="156" t="n">
        <v>4</v>
      </c>
      <c r="G887" s="156" t="inlineStr"/>
      <c r="H887" s="157">
        <f>IF($B887="","",IF(ISNA(MATCH($B887,MASTER_JAM!$Q$5:$Q$28,0)),"?",IF(MATCH($B887,MASTER_JAM!$Q$5:$Q$28,0)&lt;=12,"DS","NS")))</f>
        <v/>
      </c>
      <c r="I887" s="157">
        <f>IFERROR(INDEX(MASTER_JAM!$B$5:$B$94,MATCH($C887,MASTER_JAM!$A$5:$A$94,0)),"")</f>
        <v/>
      </c>
      <c r="J887" s="157">
        <f>IFERROR(INDEX(MASTER_JAM!$E$5:$E$94,MATCH($D887,MASTER_JAM!$A$5:$A$94,0)),"")</f>
        <v/>
      </c>
      <c r="K887" s="158">
        <f>IFERROR(INDEX(MASTER_JAM!$J$5:$O$12,MATCH($E887,MASTER_JAM!$I$5:$I$12,0),MATCH($J887,MASTER_JAM!$J$4:$O$4,0))+0,0)</f>
        <v/>
      </c>
      <c r="L887" s="159">
        <f>N($F887)*$K887</f>
        <v/>
      </c>
      <c r="M887" s="157">
        <f>IF($E887="","",IF(OR($E887="Coal",$E887="Dirty Coal"),"MT","BCM"))</f>
        <v/>
      </c>
      <c r="N887" s="157">
        <f>IF($E887="","",IF(OR($E887="Coal",$E887="Dirty Coal"),"Coal","OB"))</f>
        <v/>
      </c>
      <c r="O887" s="157">
        <f>IF($F887="","",IF(COUNTIF(MASTER_JAM!$A$5:$A$94,$C887)=0,"Digger tidak dikenal",IF($J887="","Hauler tidak dikenal",IF($H887="?","Jam salah",IF($K887=0,"Faktor kosong",IF(SUMIFS(INPUT_DELAY!$E$5:$E$20000,INPUT_DELAY!$A$5:$A$20000,$A887,INPUT_DELAY!$B$5:$B$20000,$B887,INPUT_DELAY!$C$5:$C$20000,$C887)+SUMIFS(INPUT_DELAY!$E$5:$E$20000,INPUT_DELAY!$A$5:$A$20000,$A887,INPUT_DELAY!$B$5:$B$20000,$B887,INPUT_DELAY!$C$5:$C$20000,"SEMUA")&gt;=60,"Delay 60 mnt tapi ada ritase","OK"))))))</f>
        <v/>
      </c>
      <c r="P887" s="158">
        <f>IFERROR(INDEX(MASTER_JAM!$Z$5:$AC$10,MATCH($I887,MASTER_JAM!$Y$5:$Y$10,0),MATCH($J887,MASTER_JAM!$Z$4:$AC$4,0))+0,0)</f>
        <v/>
      </c>
      <c r="Q887" s="158">
        <f>IF($P887=0,0,$P887+IFERROR(INDEX(MASTER_JAM!$H$5:$H$94,MATCH($C887,MASTER_JAM!$A$5:$A$94,0))+0,MASTER_JAM!$AC$15)/1000*(60/MASTER_JAM!$AC$12+60/MASTER_JAM!$AC$13)+MASTER_JAM!$AC$14)</f>
        <v/>
      </c>
      <c r="R887" s="158">
        <f>IF(N($F887)=0,0,$F887/SUMIFS(INPUT_RITASE!$F$5:$F$20000,INPUT_RITASE!$A$5:$A$20000,$A887,INPUT_RITASE!$B$5:$B$20000,$B887,INPUT_RITASE!$C$5:$C$20000,$C887,INPUT_RITASE!$D$5:$D$20000,$D887))</f>
        <v/>
      </c>
      <c r="S887" s="158">
        <f>IF($Q887=0,0,$R887*$P887/$Q887)</f>
        <v/>
      </c>
    </row>
    <row r="888">
      <c r="A888" s="155" t="n">
        <v>46106</v>
      </c>
      <c r="B888" s="156" t="inlineStr">
        <is>
          <t>02-03</t>
        </is>
      </c>
      <c r="C888" s="156" t="inlineStr">
        <is>
          <t>EX-753</t>
        </is>
      </c>
      <c r="D888" s="156" t="inlineStr">
        <is>
          <t>DT-508</t>
        </is>
      </c>
      <c r="E888" s="156" t="inlineStr">
        <is>
          <t>OB</t>
        </is>
      </c>
      <c r="F888" s="156" t="n">
        <v>3</v>
      </c>
      <c r="G888" s="156" t="inlineStr"/>
      <c r="H888" s="157">
        <f>IF($B888="","",IF(ISNA(MATCH($B888,MASTER_JAM!$Q$5:$Q$28,0)),"?",IF(MATCH($B888,MASTER_JAM!$Q$5:$Q$28,0)&lt;=12,"DS","NS")))</f>
        <v/>
      </c>
      <c r="I888" s="157">
        <f>IFERROR(INDEX(MASTER_JAM!$B$5:$B$94,MATCH($C888,MASTER_JAM!$A$5:$A$94,0)),"")</f>
        <v/>
      </c>
      <c r="J888" s="157">
        <f>IFERROR(INDEX(MASTER_JAM!$E$5:$E$94,MATCH($D888,MASTER_JAM!$A$5:$A$94,0)),"")</f>
        <v/>
      </c>
      <c r="K888" s="158">
        <f>IFERROR(INDEX(MASTER_JAM!$J$5:$O$12,MATCH($E888,MASTER_JAM!$I$5:$I$12,0),MATCH($J888,MASTER_JAM!$J$4:$O$4,0))+0,0)</f>
        <v/>
      </c>
      <c r="L888" s="159">
        <f>N($F888)*$K888</f>
        <v/>
      </c>
      <c r="M888" s="157">
        <f>IF($E888="","",IF(OR($E888="Coal",$E888="Dirty Coal"),"MT","BCM"))</f>
        <v/>
      </c>
      <c r="N888" s="157">
        <f>IF($E888="","",IF(OR($E888="Coal",$E888="Dirty Coal"),"Coal","OB"))</f>
        <v/>
      </c>
      <c r="O888" s="157">
        <f>IF($F888="","",IF(COUNTIF(MASTER_JAM!$A$5:$A$94,$C888)=0,"Digger tidak dikenal",IF($J888="","Hauler tidak dikenal",IF($H888="?","Jam salah",IF($K888=0,"Faktor kosong",IF(SUMIFS(INPUT_DELAY!$E$5:$E$20000,INPUT_DELAY!$A$5:$A$20000,$A888,INPUT_DELAY!$B$5:$B$20000,$B888,INPUT_DELAY!$C$5:$C$20000,$C888)+SUMIFS(INPUT_DELAY!$E$5:$E$20000,INPUT_DELAY!$A$5:$A$20000,$A888,INPUT_DELAY!$B$5:$B$20000,$B888,INPUT_DELAY!$C$5:$C$20000,"SEMUA")&gt;=60,"Delay 60 mnt tapi ada ritase","OK"))))))</f>
        <v/>
      </c>
      <c r="P888" s="158">
        <f>IFERROR(INDEX(MASTER_JAM!$Z$5:$AC$10,MATCH($I888,MASTER_JAM!$Y$5:$Y$10,0),MATCH($J888,MASTER_JAM!$Z$4:$AC$4,0))+0,0)</f>
        <v/>
      </c>
      <c r="Q888" s="158">
        <f>IF($P888=0,0,$P888+IFERROR(INDEX(MASTER_JAM!$H$5:$H$94,MATCH($C888,MASTER_JAM!$A$5:$A$94,0))+0,MASTER_JAM!$AC$15)/1000*(60/MASTER_JAM!$AC$12+60/MASTER_JAM!$AC$13)+MASTER_JAM!$AC$14)</f>
        <v/>
      </c>
      <c r="R888" s="158">
        <f>IF(N($F888)=0,0,$F888/SUMIFS(INPUT_RITASE!$F$5:$F$20000,INPUT_RITASE!$A$5:$A$20000,$A888,INPUT_RITASE!$B$5:$B$20000,$B888,INPUT_RITASE!$C$5:$C$20000,$C888,INPUT_RITASE!$D$5:$D$20000,$D888))</f>
        <v/>
      </c>
      <c r="S888" s="158">
        <f>IF($Q888=0,0,$R888*$P888/$Q888)</f>
        <v/>
      </c>
    </row>
    <row r="889">
      <c r="A889" s="155" t="n">
        <v>46106</v>
      </c>
      <c r="B889" s="156" t="inlineStr">
        <is>
          <t>02-03</t>
        </is>
      </c>
      <c r="C889" s="156" t="inlineStr">
        <is>
          <t>EX-753</t>
        </is>
      </c>
      <c r="D889" s="156" t="inlineStr">
        <is>
          <t>DT-516</t>
        </is>
      </c>
      <c r="E889" s="156" t="inlineStr">
        <is>
          <t>OB</t>
        </is>
      </c>
      <c r="F889" s="156" t="n">
        <v>3</v>
      </c>
      <c r="G889" s="156" t="inlineStr"/>
      <c r="H889" s="157">
        <f>IF($B889="","",IF(ISNA(MATCH($B889,MASTER_JAM!$Q$5:$Q$28,0)),"?",IF(MATCH($B889,MASTER_JAM!$Q$5:$Q$28,0)&lt;=12,"DS","NS")))</f>
        <v/>
      </c>
      <c r="I889" s="157">
        <f>IFERROR(INDEX(MASTER_JAM!$B$5:$B$94,MATCH($C889,MASTER_JAM!$A$5:$A$94,0)),"")</f>
        <v/>
      </c>
      <c r="J889" s="157">
        <f>IFERROR(INDEX(MASTER_JAM!$E$5:$E$94,MATCH($D889,MASTER_JAM!$A$5:$A$94,0)),"")</f>
        <v/>
      </c>
      <c r="K889" s="158">
        <f>IFERROR(INDEX(MASTER_JAM!$J$5:$O$12,MATCH($E889,MASTER_JAM!$I$5:$I$12,0),MATCH($J889,MASTER_JAM!$J$4:$O$4,0))+0,0)</f>
        <v/>
      </c>
      <c r="L889" s="159">
        <f>N($F889)*$K889</f>
        <v/>
      </c>
      <c r="M889" s="157">
        <f>IF($E889="","",IF(OR($E889="Coal",$E889="Dirty Coal"),"MT","BCM"))</f>
        <v/>
      </c>
      <c r="N889" s="157">
        <f>IF($E889="","",IF(OR($E889="Coal",$E889="Dirty Coal"),"Coal","OB"))</f>
        <v/>
      </c>
      <c r="O889" s="157">
        <f>IF($F889="","",IF(COUNTIF(MASTER_JAM!$A$5:$A$94,$C889)=0,"Digger tidak dikenal",IF($J889="","Hauler tidak dikenal",IF($H889="?","Jam salah",IF($K889=0,"Faktor kosong",IF(SUMIFS(INPUT_DELAY!$E$5:$E$20000,INPUT_DELAY!$A$5:$A$20000,$A889,INPUT_DELAY!$B$5:$B$20000,$B889,INPUT_DELAY!$C$5:$C$20000,$C889)+SUMIFS(INPUT_DELAY!$E$5:$E$20000,INPUT_DELAY!$A$5:$A$20000,$A889,INPUT_DELAY!$B$5:$B$20000,$B889,INPUT_DELAY!$C$5:$C$20000,"SEMUA")&gt;=60,"Delay 60 mnt tapi ada ritase","OK"))))))</f>
        <v/>
      </c>
      <c r="P889" s="158">
        <f>IFERROR(INDEX(MASTER_JAM!$Z$5:$AC$10,MATCH($I889,MASTER_JAM!$Y$5:$Y$10,0),MATCH($J889,MASTER_JAM!$Z$4:$AC$4,0))+0,0)</f>
        <v/>
      </c>
      <c r="Q889" s="158">
        <f>IF($P889=0,0,$P889+IFERROR(INDEX(MASTER_JAM!$H$5:$H$94,MATCH($C889,MASTER_JAM!$A$5:$A$94,0))+0,MASTER_JAM!$AC$15)/1000*(60/MASTER_JAM!$AC$12+60/MASTER_JAM!$AC$13)+MASTER_JAM!$AC$14)</f>
        <v/>
      </c>
      <c r="R889" s="158">
        <f>IF(N($F889)=0,0,$F889/SUMIFS(INPUT_RITASE!$F$5:$F$20000,INPUT_RITASE!$A$5:$A$20000,$A889,INPUT_RITASE!$B$5:$B$20000,$B889,INPUT_RITASE!$C$5:$C$20000,$C889,INPUT_RITASE!$D$5:$D$20000,$D889))</f>
        <v/>
      </c>
      <c r="S889" s="158">
        <f>IF($Q889=0,0,$R889*$P889/$Q889)</f>
        <v/>
      </c>
    </row>
    <row r="890">
      <c r="A890" s="155" t="n">
        <v>46107</v>
      </c>
      <c r="B890" s="156" t="inlineStr">
        <is>
          <t>06-07</t>
        </is>
      </c>
      <c r="C890" s="156" t="inlineStr">
        <is>
          <t>EX-1251</t>
        </is>
      </c>
      <c r="D890" s="156" t="inlineStr">
        <is>
          <t>DT-506</t>
        </is>
      </c>
      <c r="E890" s="156" t="inlineStr">
        <is>
          <t>OB</t>
        </is>
      </c>
      <c r="F890" s="156" t="n">
        <v>4</v>
      </c>
      <c r="G890" s="156" t="inlineStr"/>
      <c r="H890" s="157">
        <f>IF($B890="","",IF(ISNA(MATCH($B890,MASTER_JAM!$Q$5:$Q$28,0)),"?",IF(MATCH($B890,MASTER_JAM!$Q$5:$Q$28,0)&lt;=12,"DS","NS")))</f>
        <v/>
      </c>
      <c r="I890" s="157">
        <f>IFERROR(INDEX(MASTER_JAM!$B$5:$B$94,MATCH($C890,MASTER_JAM!$A$5:$A$94,0)),"")</f>
        <v/>
      </c>
      <c r="J890" s="157">
        <f>IFERROR(INDEX(MASTER_JAM!$E$5:$E$94,MATCH($D890,MASTER_JAM!$A$5:$A$94,0)),"")</f>
        <v/>
      </c>
      <c r="K890" s="158">
        <f>IFERROR(INDEX(MASTER_JAM!$J$5:$O$12,MATCH($E890,MASTER_JAM!$I$5:$I$12,0),MATCH($J890,MASTER_JAM!$J$4:$O$4,0))+0,0)</f>
        <v/>
      </c>
      <c r="L890" s="159">
        <f>N($F890)*$K890</f>
        <v/>
      </c>
      <c r="M890" s="157">
        <f>IF($E890="","",IF(OR($E890="Coal",$E890="Dirty Coal"),"MT","BCM"))</f>
        <v/>
      </c>
      <c r="N890" s="157">
        <f>IF($E890="","",IF(OR($E890="Coal",$E890="Dirty Coal"),"Coal","OB"))</f>
        <v/>
      </c>
      <c r="O890" s="157">
        <f>IF($F890="","",IF(COUNTIF(MASTER_JAM!$A$5:$A$94,$C890)=0,"Digger tidak dikenal",IF($J890="","Hauler tidak dikenal",IF($H890="?","Jam salah",IF($K890=0,"Faktor kosong",IF(SUMIFS(INPUT_DELAY!$E$5:$E$20000,INPUT_DELAY!$A$5:$A$20000,$A890,INPUT_DELAY!$B$5:$B$20000,$B890,INPUT_DELAY!$C$5:$C$20000,$C890)+SUMIFS(INPUT_DELAY!$E$5:$E$20000,INPUT_DELAY!$A$5:$A$20000,$A890,INPUT_DELAY!$B$5:$B$20000,$B890,INPUT_DELAY!$C$5:$C$20000,"SEMUA")&gt;=60,"Delay 60 mnt tapi ada ritase","OK"))))))</f>
        <v/>
      </c>
      <c r="P890" s="158">
        <f>IFERROR(INDEX(MASTER_JAM!$Z$5:$AC$10,MATCH($I890,MASTER_JAM!$Y$5:$Y$10,0),MATCH($J890,MASTER_JAM!$Z$4:$AC$4,0))+0,0)</f>
        <v/>
      </c>
      <c r="Q890" s="158">
        <f>IF($P890=0,0,$P890+IFERROR(INDEX(MASTER_JAM!$H$5:$H$94,MATCH($C890,MASTER_JAM!$A$5:$A$94,0))+0,MASTER_JAM!$AC$15)/1000*(60/MASTER_JAM!$AC$12+60/MASTER_JAM!$AC$13)+MASTER_JAM!$AC$14)</f>
        <v/>
      </c>
      <c r="R890" s="158">
        <f>IF(N($F890)=0,0,$F890/SUMIFS(INPUT_RITASE!$F$5:$F$20000,INPUT_RITASE!$A$5:$A$20000,$A890,INPUT_RITASE!$B$5:$B$20000,$B890,INPUT_RITASE!$C$5:$C$20000,$C890,INPUT_RITASE!$D$5:$D$20000,$D890))</f>
        <v/>
      </c>
      <c r="S890" s="158">
        <f>IF($Q890=0,0,$R890*$P890/$Q890)</f>
        <v/>
      </c>
    </row>
    <row r="891">
      <c r="A891" s="155" t="n">
        <v>46107</v>
      </c>
      <c r="B891" s="156" t="inlineStr">
        <is>
          <t>06-07</t>
        </is>
      </c>
      <c r="C891" s="156" t="inlineStr">
        <is>
          <t>EX-1251</t>
        </is>
      </c>
      <c r="D891" s="156" t="inlineStr">
        <is>
          <t>DT-510</t>
        </is>
      </c>
      <c r="E891" s="156" t="inlineStr">
        <is>
          <t>OB</t>
        </is>
      </c>
      <c r="F891" s="156" t="n">
        <v>4</v>
      </c>
      <c r="G891" s="156" t="inlineStr"/>
      <c r="H891" s="157">
        <f>IF($B891="","",IF(ISNA(MATCH($B891,MASTER_JAM!$Q$5:$Q$28,0)),"?",IF(MATCH($B891,MASTER_JAM!$Q$5:$Q$28,0)&lt;=12,"DS","NS")))</f>
        <v/>
      </c>
      <c r="I891" s="157">
        <f>IFERROR(INDEX(MASTER_JAM!$B$5:$B$94,MATCH($C891,MASTER_JAM!$A$5:$A$94,0)),"")</f>
        <v/>
      </c>
      <c r="J891" s="157">
        <f>IFERROR(INDEX(MASTER_JAM!$E$5:$E$94,MATCH($D891,MASTER_JAM!$A$5:$A$94,0)),"")</f>
        <v/>
      </c>
      <c r="K891" s="158">
        <f>IFERROR(INDEX(MASTER_JAM!$J$5:$O$12,MATCH($E891,MASTER_JAM!$I$5:$I$12,0),MATCH($J891,MASTER_JAM!$J$4:$O$4,0))+0,0)</f>
        <v/>
      </c>
      <c r="L891" s="159">
        <f>N($F891)*$K891</f>
        <v/>
      </c>
      <c r="M891" s="157">
        <f>IF($E891="","",IF(OR($E891="Coal",$E891="Dirty Coal"),"MT","BCM"))</f>
        <v/>
      </c>
      <c r="N891" s="157">
        <f>IF($E891="","",IF(OR($E891="Coal",$E891="Dirty Coal"),"Coal","OB"))</f>
        <v/>
      </c>
      <c r="O891" s="157">
        <f>IF($F891="","",IF(COUNTIF(MASTER_JAM!$A$5:$A$94,$C891)=0,"Digger tidak dikenal",IF($J891="","Hauler tidak dikenal",IF($H891="?","Jam salah",IF($K891=0,"Faktor kosong",IF(SUMIFS(INPUT_DELAY!$E$5:$E$20000,INPUT_DELAY!$A$5:$A$20000,$A891,INPUT_DELAY!$B$5:$B$20000,$B891,INPUT_DELAY!$C$5:$C$20000,$C891)+SUMIFS(INPUT_DELAY!$E$5:$E$20000,INPUT_DELAY!$A$5:$A$20000,$A891,INPUT_DELAY!$B$5:$B$20000,$B891,INPUT_DELAY!$C$5:$C$20000,"SEMUA")&gt;=60,"Delay 60 mnt tapi ada ritase","OK"))))))</f>
        <v/>
      </c>
      <c r="P891" s="158">
        <f>IFERROR(INDEX(MASTER_JAM!$Z$5:$AC$10,MATCH($I891,MASTER_JAM!$Y$5:$Y$10,0),MATCH($J891,MASTER_JAM!$Z$4:$AC$4,0))+0,0)</f>
        <v/>
      </c>
      <c r="Q891" s="158">
        <f>IF($P891=0,0,$P891+IFERROR(INDEX(MASTER_JAM!$H$5:$H$94,MATCH($C891,MASTER_JAM!$A$5:$A$94,0))+0,MASTER_JAM!$AC$15)/1000*(60/MASTER_JAM!$AC$12+60/MASTER_JAM!$AC$13)+MASTER_JAM!$AC$14)</f>
        <v/>
      </c>
      <c r="R891" s="158">
        <f>IF(N($F891)=0,0,$F891/SUMIFS(INPUT_RITASE!$F$5:$F$20000,INPUT_RITASE!$A$5:$A$20000,$A891,INPUT_RITASE!$B$5:$B$20000,$B891,INPUT_RITASE!$C$5:$C$20000,$C891,INPUT_RITASE!$D$5:$D$20000,$D891))</f>
        <v/>
      </c>
      <c r="S891" s="158">
        <f>IF($Q891=0,0,$R891*$P891/$Q891)</f>
        <v/>
      </c>
    </row>
    <row r="892">
      <c r="A892" s="155" t="n">
        <v>46107</v>
      </c>
      <c r="B892" s="156" t="inlineStr">
        <is>
          <t>06-07</t>
        </is>
      </c>
      <c r="C892" s="156" t="inlineStr">
        <is>
          <t>EX-1251</t>
        </is>
      </c>
      <c r="D892" s="156" t="inlineStr">
        <is>
          <t>DT-507</t>
        </is>
      </c>
      <c r="E892" s="156" t="inlineStr">
        <is>
          <t>OB</t>
        </is>
      </c>
      <c r="F892" s="156" t="n">
        <v>4</v>
      </c>
      <c r="G892" s="156" t="inlineStr"/>
      <c r="H892" s="157">
        <f>IF($B892="","",IF(ISNA(MATCH($B892,MASTER_JAM!$Q$5:$Q$28,0)),"?",IF(MATCH($B892,MASTER_JAM!$Q$5:$Q$28,0)&lt;=12,"DS","NS")))</f>
        <v/>
      </c>
      <c r="I892" s="157">
        <f>IFERROR(INDEX(MASTER_JAM!$B$5:$B$94,MATCH($C892,MASTER_JAM!$A$5:$A$94,0)),"")</f>
        <v/>
      </c>
      <c r="J892" s="157">
        <f>IFERROR(INDEX(MASTER_JAM!$E$5:$E$94,MATCH($D892,MASTER_JAM!$A$5:$A$94,0)),"")</f>
        <v/>
      </c>
      <c r="K892" s="158">
        <f>IFERROR(INDEX(MASTER_JAM!$J$5:$O$12,MATCH($E892,MASTER_JAM!$I$5:$I$12,0),MATCH($J892,MASTER_JAM!$J$4:$O$4,0))+0,0)</f>
        <v/>
      </c>
      <c r="L892" s="159">
        <f>N($F892)*$K892</f>
        <v/>
      </c>
      <c r="M892" s="157">
        <f>IF($E892="","",IF(OR($E892="Coal",$E892="Dirty Coal"),"MT","BCM"))</f>
        <v/>
      </c>
      <c r="N892" s="157">
        <f>IF($E892="","",IF(OR($E892="Coal",$E892="Dirty Coal"),"Coal","OB"))</f>
        <v/>
      </c>
      <c r="O892" s="157">
        <f>IF($F892="","",IF(COUNTIF(MASTER_JAM!$A$5:$A$94,$C892)=0,"Digger tidak dikenal",IF($J892="","Hauler tidak dikenal",IF($H892="?","Jam salah",IF($K892=0,"Faktor kosong",IF(SUMIFS(INPUT_DELAY!$E$5:$E$20000,INPUT_DELAY!$A$5:$A$20000,$A892,INPUT_DELAY!$B$5:$B$20000,$B892,INPUT_DELAY!$C$5:$C$20000,$C892)+SUMIFS(INPUT_DELAY!$E$5:$E$20000,INPUT_DELAY!$A$5:$A$20000,$A892,INPUT_DELAY!$B$5:$B$20000,$B892,INPUT_DELAY!$C$5:$C$20000,"SEMUA")&gt;=60,"Delay 60 mnt tapi ada ritase","OK"))))))</f>
        <v/>
      </c>
      <c r="P892" s="158">
        <f>IFERROR(INDEX(MASTER_JAM!$Z$5:$AC$10,MATCH($I892,MASTER_JAM!$Y$5:$Y$10,0),MATCH($J892,MASTER_JAM!$Z$4:$AC$4,0))+0,0)</f>
        <v/>
      </c>
      <c r="Q892" s="158">
        <f>IF($P892=0,0,$P892+IFERROR(INDEX(MASTER_JAM!$H$5:$H$94,MATCH($C892,MASTER_JAM!$A$5:$A$94,0))+0,MASTER_JAM!$AC$15)/1000*(60/MASTER_JAM!$AC$12+60/MASTER_JAM!$AC$13)+MASTER_JAM!$AC$14)</f>
        <v/>
      </c>
      <c r="R892" s="158">
        <f>IF(N($F892)=0,0,$F892/SUMIFS(INPUT_RITASE!$F$5:$F$20000,INPUT_RITASE!$A$5:$A$20000,$A892,INPUT_RITASE!$B$5:$B$20000,$B892,INPUT_RITASE!$C$5:$C$20000,$C892,INPUT_RITASE!$D$5:$D$20000,$D892))</f>
        <v/>
      </c>
      <c r="S892" s="158">
        <f>IF($Q892=0,0,$R892*$P892/$Q892)</f>
        <v/>
      </c>
    </row>
    <row r="893">
      <c r="A893" s="155" t="n">
        <v>46107</v>
      </c>
      <c r="B893" s="156" t="inlineStr">
        <is>
          <t>07-08</t>
        </is>
      </c>
      <c r="C893" s="156" t="inlineStr">
        <is>
          <t>EX-1251</t>
        </is>
      </c>
      <c r="D893" s="156" t="inlineStr">
        <is>
          <t>DT-521</t>
        </is>
      </c>
      <c r="E893" s="156" t="inlineStr">
        <is>
          <t>OB</t>
        </is>
      </c>
      <c r="F893" s="156" t="n">
        <v>4</v>
      </c>
      <c r="G893" s="156" t="inlineStr"/>
      <c r="H893" s="157">
        <f>IF($B893="","",IF(ISNA(MATCH($B893,MASTER_JAM!$Q$5:$Q$28,0)),"?",IF(MATCH($B893,MASTER_JAM!$Q$5:$Q$28,0)&lt;=12,"DS","NS")))</f>
        <v/>
      </c>
      <c r="I893" s="157">
        <f>IFERROR(INDEX(MASTER_JAM!$B$5:$B$94,MATCH($C893,MASTER_JAM!$A$5:$A$94,0)),"")</f>
        <v/>
      </c>
      <c r="J893" s="157">
        <f>IFERROR(INDEX(MASTER_JAM!$E$5:$E$94,MATCH($D893,MASTER_JAM!$A$5:$A$94,0)),"")</f>
        <v/>
      </c>
      <c r="K893" s="158">
        <f>IFERROR(INDEX(MASTER_JAM!$J$5:$O$12,MATCH($E893,MASTER_JAM!$I$5:$I$12,0),MATCH($J893,MASTER_JAM!$J$4:$O$4,0))+0,0)</f>
        <v/>
      </c>
      <c r="L893" s="159">
        <f>N($F893)*$K893</f>
        <v/>
      </c>
      <c r="M893" s="157">
        <f>IF($E893="","",IF(OR($E893="Coal",$E893="Dirty Coal"),"MT","BCM"))</f>
        <v/>
      </c>
      <c r="N893" s="157">
        <f>IF($E893="","",IF(OR($E893="Coal",$E893="Dirty Coal"),"Coal","OB"))</f>
        <v/>
      </c>
      <c r="O893" s="157">
        <f>IF($F893="","",IF(COUNTIF(MASTER_JAM!$A$5:$A$94,$C893)=0,"Digger tidak dikenal",IF($J893="","Hauler tidak dikenal",IF($H893="?","Jam salah",IF($K893=0,"Faktor kosong",IF(SUMIFS(INPUT_DELAY!$E$5:$E$20000,INPUT_DELAY!$A$5:$A$20000,$A893,INPUT_DELAY!$B$5:$B$20000,$B893,INPUT_DELAY!$C$5:$C$20000,$C893)+SUMIFS(INPUT_DELAY!$E$5:$E$20000,INPUT_DELAY!$A$5:$A$20000,$A893,INPUT_DELAY!$B$5:$B$20000,$B893,INPUT_DELAY!$C$5:$C$20000,"SEMUA")&gt;=60,"Delay 60 mnt tapi ada ritase","OK"))))))</f>
        <v/>
      </c>
      <c r="P893" s="158">
        <f>IFERROR(INDEX(MASTER_JAM!$Z$5:$AC$10,MATCH($I893,MASTER_JAM!$Y$5:$Y$10,0),MATCH($J893,MASTER_JAM!$Z$4:$AC$4,0))+0,0)</f>
        <v/>
      </c>
      <c r="Q893" s="158">
        <f>IF($P893=0,0,$P893+IFERROR(INDEX(MASTER_JAM!$H$5:$H$94,MATCH($C893,MASTER_JAM!$A$5:$A$94,0))+0,MASTER_JAM!$AC$15)/1000*(60/MASTER_JAM!$AC$12+60/MASTER_JAM!$AC$13)+MASTER_JAM!$AC$14)</f>
        <v/>
      </c>
      <c r="R893" s="158">
        <f>IF(N($F893)=0,0,$F893/SUMIFS(INPUT_RITASE!$F$5:$F$20000,INPUT_RITASE!$A$5:$A$20000,$A893,INPUT_RITASE!$B$5:$B$20000,$B893,INPUT_RITASE!$C$5:$C$20000,$C893,INPUT_RITASE!$D$5:$D$20000,$D893))</f>
        <v/>
      </c>
      <c r="S893" s="158">
        <f>IF($Q893=0,0,$R893*$P893/$Q893)</f>
        <v/>
      </c>
    </row>
    <row r="894">
      <c r="A894" s="155" t="n">
        <v>46107</v>
      </c>
      <c r="B894" s="156" t="inlineStr">
        <is>
          <t>07-08</t>
        </is>
      </c>
      <c r="C894" s="156" t="inlineStr">
        <is>
          <t>EX-1251</t>
        </is>
      </c>
      <c r="D894" s="156" t="inlineStr">
        <is>
          <t>DT-504</t>
        </is>
      </c>
      <c r="E894" s="156" t="inlineStr">
        <is>
          <t>OB</t>
        </is>
      </c>
      <c r="F894" s="156" t="n">
        <v>4</v>
      </c>
      <c r="G894" s="156" t="inlineStr"/>
      <c r="H894" s="157">
        <f>IF($B894="","",IF(ISNA(MATCH($B894,MASTER_JAM!$Q$5:$Q$28,0)),"?",IF(MATCH($B894,MASTER_JAM!$Q$5:$Q$28,0)&lt;=12,"DS","NS")))</f>
        <v/>
      </c>
      <c r="I894" s="157">
        <f>IFERROR(INDEX(MASTER_JAM!$B$5:$B$94,MATCH($C894,MASTER_JAM!$A$5:$A$94,0)),"")</f>
        <v/>
      </c>
      <c r="J894" s="157">
        <f>IFERROR(INDEX(MASTER_JAM!$E$5:$E$94,MATCH($D894,MASTER_JAM!$A$5:$A$94,0)),"")</f>
        <v/>
      </c>
      <c r="K894" s="158">
        <f>IFERROR(INDEX(MASTER_JAM!$J$5:$O$12,MATCH($E894,MASTER_JAM!$I$5:$I$12,0),MATCH($J894,MASTER_JAM!$J$4:$O$4,0))+0,0)</f>
        <v/>
      </c>
      <c r="L894" s="159">
        <f>N($F894)*$K894</f>
        <v/>
      </c>
      <c r="M894" s="157">
        <f>IF($E894="","",IF(OR($E894="Coal",$E894="Dirty Coal"),"MT","BCM"))</f>
        <v/>
      </c>
      <c r="N894" s="157">
        <f>IF($E894="","",IF(OR($E894="Coal",$E894="Dirty Coal"),"Coal","OB"))</f>
        <v/>
      </c>
      <c r="O894" s="157">
        <f>IF($F894="","",IF(COUNTIF(MASTER_JAM!$A$5:$A$94,$C894)=0,"Digger tidak dikenal",IF($J894="","Hauler tidak dikenal",IF($H894="?","Jam salah",IF($K894=0,"Faktor kosong",IF(SUMIFS(INPUT_DELAY!$E$5:$E$20000,INPUT_DELAY!$A$5:$A$20000,$A894,INPUT_DELAY!$B$5:$B$20000,$B894,INPUT_DELAY!$C$5:$C$20000,$C894)+SUMIFS(INPUT_DELAY!$E$5:$E$20000,INPUT_DELAY!$A$5:$A$20000,$A894,INPUT_DELAY!$B$5:$B$20000,$B894,INPUT_DELAY!$C$5:$C$20000,"SEMUA")&gt;=60,"Delay 60 mnt tapi ada ritase","OK"))))))</f>
        <v/>
      </c>
      <c r="P894" s="158">
        <f>IFERROR(INDEX(MASTER_JAM!$Z$5:$AC$10,MATCH($I894,MASTER_JAM!$Y$5:$Y$10,0),MATCH($J894,MASTER_JAM!$Z$4:$AC$4,0))+0,0)</f>
        <v/>
      </c>
      <c r="Q894" s="158">
        <f>IF($P894=0,0,$P894+IFERROR(INDEX(MASTER_JAM!$H$5:$H$94,MATCH($C894,MASTER_JAM!$A$5:$A$94,0))+0,MASTER_JAM!$AC$15)/1000*(60/MASTER_JAM!$AC$12+60/MASTER_JAM!$AC$13)+MASTER_JAM!$AC$14)</f>
        <v/>
      </c>
      <c r="R894" s="158">
        <f>IF(N($F894)=0,0,$F894/SUMIFS(INPUT_RITASE!$F$5:$F$20000,INPUT_RITASE!$A$5:$A$20000,$A894,INPUT_RITASE!$B$5:$B$20000,$B894,INPUT_RITASE!$C$5:$C$20000,$C894,INPUT_RITASE!$D$5:$D$20000,$D894))</f>
        <v/>
      </c>
      <c r="S894" s="158">
        <f>IF($Q894=0,0,$R894*$P894/$Q894)</f>
        <v/>
      </c>
    </row>
    <row r="895">
      <c r="A895" s="155" t="n">
        <v>46107</v>
      </c>
      <c r="B895" s="156" t="inlineStr">
        <is>
          <t>07-08</t>
        </is>
      </c>
      <c r="C895" s="156" t="inlineStr">
        <is>
          <t>EX-1251</t>
        </is>
      </c>
      <c r="D895" s="156" t="inlineStr">
        <is>
          <t>DT-503</t>
        </is>
      </c>
      <c r="E895" s="156" t="inlineStr">
        <is>
          <t>OB</t>
        </is>
      </c>
      <c r="F895" s="156" t="n">
        <v>4</v>
      </c>
      <c r="G895" s="156" t="inlineStr"/>
      <c r="H895" s="157">
        <f>IF($B895="","",IF(ISNA(MATCH($B895,MASTER_JAM!$Q$5:$Q$28,0)),"?",IF(MATCH($B895,MASTER_JAM!$Q$5:$Q$28,0)&lt;=12,"DS","NS")))</f>
        <v/>
      </c>
      <c r="I895" s="157">
        <f>IFERROR(INDEX(MASTER_JAM!$B$5:$B$94,MATCH($C895,MASTER_JAM!$A$5:$A$94,0)),"")</f>
        <v/>
      </c>
      <c r="J895" s="157">
        <f>IFERROR(INDEX(MASTER_JAM!$E$5:$E$94,MATCH($D895,MASTER_JAM!$A$5:$A$94,0)),"")</f>
        <v/>
      </c>
      <c r="K895" s="158">
        <f>IFERROR(INDEX(MASTER_JAM!$J$5:$O$12,MATCH($E895,MASTER_JAM!$I$5:$I$12,0),MATCH($J895,MASTER_JAM!$J$4:$O$4,0))+0,0)</f>
        <v/>
      </c>
      <c r="L895" s="159">
        <f>N($F895)*$K895</f>
        <v/>
      </c>
      <c r="M895" s="157">
        <f>IF($E895="","",IF(OR($E895="Coal",$E895="Dirty Coal"),"MT","BCM"))</f>
        <v/>
      </c>
      <c r="N895" s="157">
        <f>IF($E895="","",IF(OR($E895="Coal",$E895="Dirty Coal"),"Coal","OB"))</f>
        <v/>
      </c>
      <c r="O895" s="157">
        <f>IF($F895="","",IF(COUNTIF(MASTER_JAM!$A$5:$A$94,$C895)=0,"Digger tidak dikenal",IF($J895="","Hauler tidak dikenal",IF($H895="?","Jam salah",IF($K895=0,"Faktor kosong",IF(SUMIFS(INPUT_DELAY!$E$5:$E$20000,INPUT_DELAY!$A$5:$A$20000,$A895,INPUT_DELAY!$B$5:$B$20000,$B895,INPUT_DELAY!$C$5:$C$20000,$C895)+SUMIFS(INPUT_DELAY!$E$5:$E$20000,INPUT_DELAY!$A$5:$A$20000,$A895,INPUT_DELAY!$B$5:$B$20000,$B895,INPUT_DELAY!$C$5:$C$20000,"SEMUA")&gt;=60,"Delay 60 mnt tapi ada ritase","OK"))))))</f>
        <v/>
      </c>
      <c r="P895" s="158">
        <f>IFERROR(INDEX(MASTER_JAM!$Z$5:$AC$10,MATCH($I895,MASTER_JAM!$Y$5:$Y$10,0),MATCH($J895,MASTER_JAM!$Z$4:$AC$4,0))+0,0)</f>
        <v/>
      </c>
      <c r="Q895" s="158">
        <f>IF($P895=0,0,$P895+IFERROR(INDEX(MASTER_JAM!$H$5:$H$94,MATCH($C895,MASTER_JAM!$A$5:$A$94,0))+0,MASTER_JAM!$AC$15)/1000*(60/MASTER_JAM!$AC$12+60/MASTER_JAM!$AC$13)+MASTER_JAM!$AC$14)</f>
        <v/>
      </c>
      <c r="R895" s="158">
        <f>IF(N($F895)=0,0,$F895/SUMIFS(INPUT_RITASE!$F$5:$F$20000,INPUT_RITASE!$A$5:$A$20000,$A895,INPUT_RITASE!$B$5:$B$20000,$B895,INPUT_RITASE!$C$5:$C$20000,$C895,INPUT_RITASE!$D$5:$D$20000,$D895))</f>
        <v/>
      </c>
      <c r="S895" s="158">
        <f>IF($Q895=0,0,$R895*$P895/$Q895)</f>
        <v/>
      </c>
    </row>
    <row r="896">
      <c r="A896" s="155" t="n">
        <v>46107</v>
      </c>
      <c r="B896" s="156" t="inlineStr">
        <is>
          <t>07-08</t>
        </is>
      </c>
      <c r="C896" s="156" t="inlineStr">
        <is>
          <t>EX-1251</t>
        </is>
      </c>
      <c r="D896" s="156" t="inlineStr">
        <is>
          <t>DT-518</t>
        </is>
      </c>
      <c r="E896" s="156" t="inlineStr">
        <is>
          <t>OB</t>
        </is>
      </c>
      <c r="F896" s="156" t="n">
        <v>3</v>
      </c>
      <c r="G896" s="156" t="inlineStr"/>
      <c r="H896" s="157">
        <f>IF($B896="","",IF(ISNA(MATCH($B896,MASTER_JAM!$Q$5:$Q$28,0)),"?",IF(MATCH($B896,MASTER_JAM!$Q$5:$Q$28,0)&lt;=12,"DS","NS")))</f>
        <v/>
      </c>
      <c r="I896" s="157">
        <f>IFERROR(INDEX(MASTER_JAM!$B$5:$B$94,MATCH($C896,MASTER_JAM!$A$5:$A$94,0)),"")</f>
        <v/>
      </c>
      <c r="J896" s="157">
        <f>IFERROR(INDEX(MASTER_JAM!$E$5:$E$94,MATCH($D896,MASTER_JAM!$A$5:$A$94,0)),"")</f>
        <v/>
      </c>
      <c r="K896" s="158">
        <f>IFERROR(INDEX(MASTER_JAM!$J$5:$O$12,MATCH($E896,MASTER_JAM!$I$5:$I$12,0),MATCH($J896,MASTER_JAM!$J$4:$O$4,0))+0,0)</f>
        <v/>
      </c>
      <c r="L896" s="159">
        <f>N($F896)*$K896</f>
        <v/>
      </c>
      <c r="M896" s="157">
        <f>IF($E896="","",IF(OR($E896="Coal",$E896="Dirty Coal"),"MT","BCM"))</f>
        <v/>
      </c>
      <c r="N896" s="157">
        <f>IF($E896="","",IF(OR($E896="Coal",$E896="Dirty Coal"),"Coal","OB"))</f>
        <v/>
      </c>
      <c r="O896" s="157">
        <f>IF($F896="","",IF(COUNTIF(MASTER_JAM!$A$5:$A$94,$C896)=0,"Digger tidak dikenal",IF($J896="","Hauler tidak dikenal",IF($H896="?","Jam salah",IF($K896=0,"Faktor kosong",IF(SUMIFS(INPUT_DELAY!$E$5:$E$20000,INPUT_DELAY!$A$5:$A$20000,$A896,INPUT_DELAY!$B$5:$B$20000,$B896,INPUT_DELAY!$C$5:$C$20000,$C896)+SUMIFS(INPUT_DELAY!$E$5:$E$20000,INPUT_DELAY!$A$5:$A$20000,$A896,INPUT_DELAY!$B$5:$B$20000,$B896,INPUT_DELAY!$C$5:$C$20000,"SEMUA")&gt;=60,"Delay 60 mnt tapi ada ritase","OK"))))))</f>
        <v/>
      </c>
      <c r="P896" s="158">
        <f>IFERROR(INDEX(MASTER_JAM!$Z$5:$AC$10,MATCH($I896,MASTER_JAM!$Y$5:$Y$10,0),MATCH($J896,MASTER_JAM!$Z$4:$AC$4,0))+0,0)</f>
        <v/>
      </c>
      <c r="Q896" s="158">
        <f>IF($P896=0,0,$P896+IFERROR(INDEX(MASTER_JAM!$H$5:$H$94,MATCH($C896,MASTER_JAM!$A$5:$A$94,0))+0,MASTER_JAM!$AC$15)/1000*(60/MASTER_JAM!$AC$12+60/MASTER_JAM!$AC$13)+MASTER_JAM!$AC$14)</f>
        <v/>
      </c>
      <c r="R896" s="158">
        <f>IF(N($F896)=0,0,$F896/SUMIFS(INPUT_RITASE!$F$5:$F$20000,INPUT_RITASE!$A$5:$A$20000,$A896,INPUT_RITASE!$B$5:$B$20000,$B896,INPUT_RITASE!$C$5:$C$20000,$C896,INPUT_RITASE!$D$5:$D$20000,$D896))</f>
        <v/>
      </c>
      <c r="S896" s="158">
        <f>IF($Q896=0,0,$R896*$P896/$Q896)</f>
        <v/>
      </c>
    </row>
    <row r="897">
      <c r="A897" s="155" t="n">
        <v>46107</v>
      </c>
      <c r="B897" s="156" t="inlineStr">
        <is>
          <t>07-08</t>
        </is>
      </c>
      <c r="C897" s="156" t="inlineStr">
        <is>
          <t>EX-1251</t>
        </is>
      </c>
      <c r="D897" s="156" t="inlineStr">
        <is>
          <t>DT-513</t>
        </is>
      </c>
      <c r="E897" s="156" t="inlineStr">
        <is>
          <t>OB</t>
        </is>
      </c>
      <c r="F897" s="156" t="n">
        <v>3</v>
      </c>
      <c r="G897" s="156" t="inlineStr"/>
      <c r="H897" s="157">
        <f>IF($B897="","",IF(ISNA(MATCH($B897,MASTER_JAM!$Q$5:$Q$28,0)),"?",IF(MATCH($B897,MASTER_JAM!$Q$5:$Q$28,0)&lt;=12,"DS","NS")))</f>
        <v/>
      </c>
      <c r="I897" s="157">
        <f>IFERROR(INDEX(MASTER_JAM!$B$5:$B$94,MATCH($C897,MASTER_JAM!$A$5:$A$94,0)),"")</f>
        <v/>
      </c>
      <c r="J897" s="157">
        <f>IFERROR(INDEX(MASTER_JAM!$E$5:$E$94,MATCH($D897,MASTER_JAM!$A$5:$A$94,0)),"")</f>
        <v/>
      </c>
      <c r="K897" s="158">
        <f>IFERROR(INDEX(MASTER_JAM!$J$5:$O$12,MATCH($E897,MASTER_JAM!$I$5:$I$12,0),MATCH($J897,MASTER_JAM!$J$4:$O$4,0))+0,0)</f>
        <v/>
      </c>
      <c r="L897" s="159">
        <f>N($F897)*$K897</f>
        <v/>
      </c>
      <c r="M897" s="157">
        <f>IF($E897="","",IF(OR($E897="Coal",$E897="Dirty Coal"),"MT","BCM"))</f>
        <v/>
      </c>
      <c r="N897" s="157">
        <f>IF($E897="","",IF(OR($E897="Coal",$E897="Dirty Coal"),"Coal","OB"))</f>
        <v/>
      </c>
      <c r="O897" s="157">
        <f>IF($F897="","",IF(COUNTIF(MASTER_JAM!$A$5:$A$94,$C897)=0,"Digger tidak dikenal",IF($J897="","Hauler tidak dikenal",IF($H897="?","Jam salah",IF($K897=0,"Faktor kosong",IF(SUMIFS(INPUT_DELAY!$E$5:$E$20000,INPUT_DELAY!$A$5:$A$20000,$A897,INPUT_DELAY!$B$5:$B$20000,$B897,INPUT_DELAY!$C$5:$C$20000,$C897)+SUMIFS(INPUT_DELAY!$E$5:$E$20000,INPUT_DELAY!$A$5:$A$20000,$A897,INPUT_DELAY!$B$5:$B$20000,$B897,INPUT_DELAY!$C$5:$C$20000,"SEMUA")&gt;=60,"Delay 60 mnt tapi ada ritase","OK"))))))</f>
        <v/>
      </c>
      <c r="P897" s="158">
        <f>IFERROR(INDEX(MASTER_JAM!$Z$5:$AC$10,MATCH($I897,MASTER_JAM!$Y$5:$Y$10,0),MATCH($J897,MASTER_JAM!$Z$4:$AC$4,0))+0,0)</f>
        <v/>
      </c>
      <c r="Q897" s="158">
        <f>IF($P897=0,0,$P897+IFERROR(INDEX(MASTER_JAM!$H$5:$H$94,MATCH($C897,MASTER_JAM!$A$5:$A$94,0))+0,MASTER_JAM!$AC$15)/1000*(60/MASTER_JAM!$AC$12+60/MASTER_JAM!$AC$13)+MASTER_JAM!$AC$14)</f>
        <v/>
      </c>
      <c r="R897" s="158">
        <f>IF(N($F897)=0,0,$F897/SUMIFS(INPUT_RITASE!$F$5:$F$20000,INPUT_RITASE!$A$5:$A$20000,$A897,INPUT_RITASE!$B$5:$B$20000,$B897,INPUT_RITASE!$C$5:$C$20000,$C897,INPUT_RITASE!$D$5:$D$20000,$D897))</f>
        <v/>
      </c>
      <c r="S897" s="158">
        <f>IF($Q897=0,0,$R897*$P897/$Q897)</f>
        <v/>
      </c>
    </row>
    <row r="898">
      <c r="A898" s="155" t="n">
        <v>46107</v>
      </c>
      <c r="B898" s="156" t="inlineStr">
        <is>
          <t>07-08</t>
        </is>
      </c>
      <c r="C898" s="156" t="inlineStr">
        <is>
          <t>EX-1251</t>
        </is>
      </c>
      <c r="D898" s="156" t="inlineStr">
        <is>
          <t>DT-527</t>
        </is>
      </c>
      <c r="E898" s="156" t="inlineStr">
        <is>
          <t>OB</t>
        </is>
      </c>
      <c r="F898" s="156" t="n">
        <v>3</v>
      </c>
      <c r="G898" s="156" t="inlineStr"/>
      <c r="H898" s="157">
        <f>IF($B898="","",IF(ISNA(MATCH($B898,MASTER_JAM!$Q$5:$Q$28,0)),"?",IF(MATCH($B898,MASTER_JAM!$Q$5:$Q$28,0)&lt;=12,"DS","NS")))</f>
        <v/>
      </c>
      <c r="I898" s="157">
        <f>IFERROR(INDEX(MASTER_JAM!$B$5:$B$94,MATCH($C898,MASTER_JAM!$A$5:$A$94,0)),"")</f>
        <v/>
      </c>
      <c r="J898" s="157">
        <f>IFERROR(INDEX(MASTER_JAM!$E$5:$E$94,MATCH($D898,MASTER_JAM!$A$5:$A$94,0)),"")</f>
        <v/>
      </c>
      <c r="K898" s="158">
        <f>IFERROR(INDEX(MASTER_JAM!$J$5:$O$12,MATCH($E898,MASTER_JAM!$I$5:$I$12,0),MATCH($J898,MASTER_JAM!$J$4:$O$4,0))+0,0)</f>
        <v/>
      </c>
      <c r="L898" s="159">
        <f>N($F898)*$K898</f>
        <v/>
      </c>
      <c r="M898" s="157">
        <f>IF($E898="","",IF(OR($E898="Coal",$E898="Dirty Coal"),"MT","BCM"))</f>
        <v/>
      </c>
      <c r="N898" s="157">
        <f>IF($E898="","",IF(OR($E898="Coal",$E898="Dirty Coal"),"Coal","OB"))</f>
        <v/>
      </c>
      <c r="O898" s="157">
        <f>IF($F898="","",IF(COUNTIF(MASTER_JAM!$A$5:$A$94,$C898)=0,"Digger tidak dikenal",IF($J898="","Hauler tidak dikenal",IF($H898="?","Jam salah",IF($K898=0,"Faktor kosong",IF(SUMIFS(INPUT_DELAY!$E$5:$E$20000,INPUT_DELAY!$A$5:$A$20000,$A898,INPUT_DELAY!$B$5:$B$20000,$B898,INPUT_DELAY!$C$5:$C$20000,$C898)+SUMIFS(INPUT_DELAY!$E$5:$E$20000,INPUT_DELAY!$A$5:$A$20000,$A898,INPUT_DELAY!$B$5:$B$20000,$B898,INPUT_DELAY!$C$5:$C$20000,"SEMUA")&gt;=60,"Delay 60 mnt tapi ada ritase","OK"))))))</f>
        <v/>
      </c>
      <c r="P898" s="158">
        <f>IFERROR(INDEX(MASTER_JAM!$Z$5:$AC$10,MATCH($I898,MASTER_JAM!$Y$5:$Y$10,0),MATCH($J898,MASTER_JAM!$Z$4:$AC$4,0))+0,0)</f>
        <v/>
      </c>
      <c r="Q898" s="158">
        <f>IF($P898=0,0,$P898+IFERROR(INDEX(MASTER_JAM!$H$5:$H$94,MATCH($C898,MASTER_JAM!$A$5:$A$94,0))+0,MASTER_JAM!$AC$15)/1000*(60/MASTER_JAM!$AC$12+60/MASTER_JAM!$AC$13)+MASTER_JAM!$AC$14)</f>
        <v/>
      </c>
      <c r="R898" s="158">
        <f>IF(N($F898)=0,0,$F898/SUMIFS(INPUT_RITASE!$F$5:$F$20000,INPUT_RITASE!$A$5:$A$20000,$A898,INPUT_RITASE!$B$5:$B$20000,$B898,INPUT_RITASE!$C$5:$C$20000,$C898,INPUT_RITASE!$D$5:$D$20000,$D898))</f>
        <v/>
      </c>
      <c r="S898" s="158">
        <f>IF($Q898=0,0,$R898*$P898/$Q898)</f>
        <v/>
      </c>
    </row>
    <row r="899">
      <c r="A899" s="155" t="n">
        <v>46107</v>
      </c>
      <c r="B899" s="156" t="inlineStr">
        <is>
          <t>08-09</t>
        </is>
      </c>
      <c r="C899" s="156" t="inlineStr">
        <is>
          <t>EX-1251</t>
        </is>
      </c>
      <c r="D899" s="156" t="inlineStr">
        <is>
          <t>DT-506</t>
        </is>
      </c>
      <c r="E899" s="156" t="inlineStr">
        <is>
          <t>OB</t>
        </is>
      </c>
      <c r="F899" s="156" t="n">
        <v>4</v>
      </c>
      <c r="G899" s="156" t="inlineStr"/>
      <c r="H899" s="157">
        <f>IF($B899="","",IF(ISNA(MATCH($B899,MASTER_JAM!$Q$5:$Q$28,0)),"?",IF(MATCH($B899,MASTER_JAM!$Q$5:$Q$28,0)&lt;=12,"DS","NS")))</f>
        <v/>
      </c>
      <c r="I899" s="157">
        <f>IFERROR(INDEX(MASTER_JAM!$B$5:$B$94,MATCH($C899,MASTER_JAM!$A$5:$A$94,0)),"")</f>
        <v/>
      </c>
      <c r="J899" s="157">
        <f>IFERROR(INDEX(MASTER_JAM!$E$5:$E$94,MATCH($D899,MASTER_JAM!$A$5:$A$94,0)),"")</f>
        <v/>
      </c>
      <c r="K899" s="158">
        <f>IFERROR(INDEX(MASTER_JAM!$J$5:$O$12,MATCH($E899,MASTER_JAM!$I$5:$I$12,0),MATCH($J899,MASTER_JAM!$J$4:$O$4,0))+0,0)</f>
        <v/>
      </c>
      <c r="L899" s="159">
        <f>N($F899)*$K899</f>
        <v/>
      </c>
      <c r="M899" s="157">
        <f>IF($E899="","",IF(OR($E899="Coal",$E899="Dirty Coal"),"MT","BCM"))</f>
        <v/>
      </c>
      <c r="N899" s="157">
        <f>IF($E899="","",IF(OR($E899="Coal",$E899="Dirty Coal"),"Coal","OB"))</f>
        <v/>
      </c>
      <c r="O899" s="157">
        <f>IF($F899="","",IF(COUNTIF(MASTER_JAM!$A$5:$A$94,$C899)=0,"Digger tidak dikenal",IF($J899="","Hauler tidak dikenal",IF($H899="?","Jam salah",IF($K899=0,"Faktor kosong",IF(SUMIFS(INPUT_DELAY!$E$5:$E$20000,INPUT_DELAY!$A$5:$A$20000,$A899,INPUT_DELAY!$B$5:$B$20000,$B899,INPUT_DELAY!$C$5:$C$20000,$C899)+SUMIFS(INPUT_DELAY!$E$5:$E$20000,INPUT_DELAY!$A$5:$A$20000,$A899,INPUT_DELAY!$B$5:$B$20000,$B899,INPUT_DELAY!$C$5:$C$20000,"SEMUA")&gt;=60,"Delay 60 mnt tapi ada ritase","OK"))))))</f>
        <v/>
      </c>
      <c r="P899" s="158">
        <f>IFERROR(INDEX(MASTER_JAM!$Z$5:$AC$10,MATCH($I899,MASTER_JAM!$Y$5:$Y$10,0),MATCH($J899,MASTER_JAM!$Z$4:$AC$4,0))+0,0)</f>
        <v/>
      </c>
      <c r="Q899" s="158">
        <f>IF($P899=0,0,$P899+IFERROR(INDEX(MASTER_JAM!$H$5:$H$94,MATCH($C899,MASTER_JAM!$A$5:$A$94,0))+0,MASTER_JAM!$AC$15)/1000*(60/MASTER_JAM!$AC$12+60/MASTER_JAM!$AC$13)+MASTER_JAM!$AC$14)</f>
        <v/>
      </c>
      <c r="R899" s="158">
        <f>IF(N($F899)=0,0,$F899/SUMIFS(INPUT_RITASE!$F$5:$F$20000,INPUT_RITASE!$A$5:$A$20000,$A899,INPUT_RITASE!$B$5:$B$20000,$B899,INPUT_RITASE!$C$5:$C$20000,$C899,INPUT_RITASE!$D$5:$D$20000,$D899))</f>
        <v/>
      </c>
      <c r="S899" s="158">
        <f>IF($Q899=0,0,$R899*$P899/$Q899)</f>
        <v/>
      </c>
    </row>
    <row r="900">
      <c r="A900" s="155" t="n">
        <v>46107</v>
      </c>
      <c r="B900" s="156" t="inlineStr">
        <is>
          <t>08-09</t>
        </is>
      </c>
      <c r="C900" s="156" t="inlineStr">
        <is>
          <t>EX-1251</t>
        </is>
      </c>
      <c r="D900" s="156" t="inlineStr">
        <is>
          <t>DT-522</t>
        </is>
      </c>
      <c r="E900" s="156" t="inlineStr">
        <is>
          <t>OB</t>
        </is>
      </c>
      <c r="F900" s="156" t="n">
        <v>4</v>
      </c>
      <c r="G900" s="156" t="inlineStr"/>
      <c r="H900" s="157">
        <f>IF($B900="","",IF(ISNA(MATCH($B900,MASTER_JAM!$Q$5:$Q$28,0)),"?",IF(MATCH($B900,MASTER_JAM!$Q$5:$Q$28,0)&lt;=12,"DS","NS")))</f>
        <v/>
      </c>
      <c r="I900" s="157">
        <f>IFERROR(INDEX(MASTER_JAM!$B$5:$B$94,MATCH($C900,MASTER_JAM!$A$5:$A$94,0)),"")</f>
        <v/>
      </c>
      <c r="J900" s="157">
        <f>IFERROR(INDEX(MASTER_JAM!$E$5:$E$94,MATCH($D900,MASTER_JAM!$A$5:$A$94,0)),"")</f>
        <v/>
      </c>
      <c r="K900" s="158">
        <f>IFERROR(INDEX(MASTER_JAM!$J$5:$O$12,MATCH($E900,MASTER_JAM!$I$5:$I$12,0),MATCH($J900,MASTER_JAM!$J$4:$O$4,0))+0,0)</f>
        <v/>
      </c>
      <c r="L900" s="159">
        <f>N($F900)*$K900</f>
        <v/>
      </c>
      <c r="M900" s="157">
        <f>IF($E900="","",IF(OR($E900="Coal",$E900="Dirty Coal"),"MT","BCM"))</f>
        <v/>
      </c>
      <c r="N900" s="157">
        <f>IF($E900="","",IF(OR($E900="Coal",$E900="Dirty Coal"),"Coal","OB"))</f>
        <v/>
      </c>
      <c r="O900" s="157">
        <f>IF($F900="","",IF(COUNTIF(MASTER_JAM!$A$5:$A$94,$C900)=0,"Digger tidak dikenal",IF($J900="","Hauler tidak dikenal",IF($H900="?","Jam salah",IF($K900=0,"Faktor kosong",IF(SUMIFS(INPUT_DELAY!$E$5:$E$20000,INPUT_DELAY!$A$5:$A$20000,$A900,INPUT_DELAY!$B$5:$B$20000,$B900,INPUT_DELAY!$C$5:$C$20000,$C900)+SUMIFS(INPUT_DELAY!$E$5:$E$20000,INPUT_DELAY!$A$5:$A$20000,$A900,INPUT_DELAY!$B$5:$B$20000,$B900,INPUT_DELAY!$C$5:$C$20000,"SEMUA")&gt;=60,"Delay 60 mnt tapi ada ritase","OK"))))))</f>
        <v/>
      </c>
      <c r="P900" s="158">
        <f>IFERROR(INDEX(MASTER_JAM!$Z$5:$AC$10,MATCH($I900,MASTER_JAM!$Y$5:$Y$10,0),MATCH($J900,MASTER_JAM!$Z$4:$AC$4,0))+0,0)</f>
        <v/>
      </c>
      <c r="Q900" s="158">
        <f>IF($P900=0,0,$P900+IFERROR(INDEX(MASTER_JAM!$H$5:$H$94,MATCH($C900,MASTER_JAM!$A$5:$A$94,0))+0,MASTER_JAM!$AC$15)/1000*(60/MASTER_JAM!$AC$12+60/MASTER_JAM!$AC$13)+MASTER_JAM!$AC$14)</f>
        <v/>
      </c>
      <c r="R900" s="158">
        <f>IF(N($F900)=0,0,$F900/SUMIFS(INPUT_RITASE!$F$5:$F$20000,INPUT_RITASE!$A$5:$A$20000,$A900,INPUT_RITASE!$B$5:$B$20000,$B900,INPUT_RITASE!$C$5:$C$20000,$C900,INPUT_RITASE!$D$5:$D$20000,$D900))</f>
        <v/>
      </c>
      <c r="S900" s="158">
        <f>IF($Q900=0,0,$R900*$P900/$Q900)</f>
        <v/>
      </c>
    </row>
    <row r="901">
      <c r="A901" s="155" t="n">
        <v>46107</v>
      </c>
      <c r="B901" s="156" t="inlineStr">
        <is>
          <t>08-09</t>
        </is>
      </c>
      <c r="C901" s="156" t="inlineStr">
        <is>
          <t>EX-1251</t>
        </is>
      </c>
      <c r="D901" s="156" t="inlineStr">
        <is>
          <t>DT-504</t>
        </is>
      </c>
      <c r="E901" s="156" t="inlineStr">
        <is>
          <t>OB</t>
        </is>
      </c>
      <c r="F901" s="156" t="n">
        <v>4</v>
      </c>
      <c r="G901" s="156" t="inlineStr"/>
      <c r="H901" s="157">
        <f>IF($B901="","",IF(ISNA(MATCH($B901,MASTER_JAM!$Q$5:$Q$28,0)),"?",IF(MATCH($B901,MASTER_JAM!$Q$5:$Q$28,0)&lt;=12,"DS","NS")))</f>
        <v/>
      </c>
      <c r="I901" s="157">
        <f>IFERROR(INDEX(MASTER_JAM!$B$5:$B$94,MATCH($C901,MASTER_JAM!$A$5:$A$94,0)),"")</f>
        <v/>
      </c>
      <c r="J901" s="157">
        <f>IFERROR(INDEX(MASTER_JAM!$E$5:$E$94,MATCH($D901,MASTER_JAM!$A$5:$A$94,0)),"")</f>
        <v/>
      </c>
      <c r="K901" s="158">
        <f>IFERROR(INDEX(MASTER_JAM!$J$5:$O$12,MATCH($E901,MASTER_JAM!$I$5:$I$12,0),MATCH($J901,MASTER_JAM!$J$4:$O$4,0))+0,0)</f>
        <v/>
      </c>
      <c r="L901" s="159">
        <f>N($F901)*$K901</f>
        <v/>
      </c>
      <c r="M901" s="157">
        <f>IF($E901="","",IF(OR($E901="Coal",$E901="Dirty Coal"),"MT","BCM"))</f>
        <v/>
      </c>
      <c r="N901" s="157">
        <f>IF($E901="","",IF(OR($E901="Coal",$E901="Dirty Coal"),"Coal","OB"))</f>
        <v/>
      </c>
      <c r="O901" s="157">
        <f>IF($F901="","",IF(COUNTIF(MASTER_JAM!$A$5:$A$94,$C901)=0,"Digger tidak dikenal",IF($J901="","Hauler tidak dikenal",IF($H901="?","Jam salah",IF($K901=0,"Faktor kosong",IF(SUMIFS(INPUT_DELAY!$E$5:$E$20000,INPUT_DELAY!$A$5:$A$20000,$A901,INPUT_DELAY!$B$5:$B$20000,$B901,INPUT_DELAY!$C$5:$C$20000,$C901)+SUMIFS(INPUT_DELAY!$E$5:$E$20000,INPUT_DELAY!$A$5:$A$20000,$A901,INPUT_DELAY!$B$5:$B$20000,$B901,INPUT_DELAY!$C$5:$C$20000,"SEMUA")&gt;=60,"Delay 60 mnt tapi ada ritase","OK"))))))</f>
        <v/>
      </c>
      <c r="P901" s="158">
        <f>IFERROR(INDEX(MASTER_JAM!$Z$5:$AC$10,MATCH($I901,MASTER_JAM!$Y$5:$Y$10,0),MATCH($J901,MASTER_JAM!$Z$4:$AC$4,0))+0,0)</f>
        <v/>
      </c>
      <c r="Q901" s="158">
        <f>IF($P901=0,0,$P901+IFERROR(INDEX(MASTER_JAM!$H$5:$H$94,MATCH($C901,MASTER_JAM!$A$5:$A$94,0))+0,MASTER_JAM!$AC$15)/1000*(60/MASTER_JAM!$AC$12+60/MASTER_JAM!$AC$13)+MASTER_JAM!$AC$14)</f>
        <v/>
      </c>
      <c r="R901" s="158">
        <f>IF(N($F901)=0,0,$F901/SUMIFS(INPUT_RITASE!$F$5:$F$20000,INPUT_RITASE!$A$5:$A$20000,$A901,INPUT_RITASE!$B$5:$B$20000,$B901,INPUT_RITASE!$C$5:$C$20000,$C901,INPUT_RITASE!$D$5:$D$20000,$D901))</f>
        <v/>
      </c>
      <c r="S901" s="158">
        <f>IF($Q901=0,0,$R901*$P901/$Q901)</f>
        <v/>
      </c>
    </row>
    <row r="902">
      <c r="A902" s="155" t="n">
        <v>46107</v>
      </c>
      <c r="B902" s="156" t="inlineStr">
        <is>
          <t>08-09</t>
        </is>
      </c>
      <c r="C902" s="156" t="inlineStr">
        <is>
          <t>EX-1251</t>
        </is>
      </c>
      <c r="D902" s="156" t="inlineStr">
        <is>
          <t>DT-515</t>
        </is>
      </c>
      <c r="E902" s="156" t="inlineStr">
        <is>
          <t>OB</t>
        </is>
      </c>
      <c r="F902" s="156" t="n">
        <v>3</v>
      </c>
      <c r="G902" s="156" t="inlineStr"/>
      <c r="H902" s="157">
        <f>IF($B902="","",IF(ISNA(MATCH($B902,MASTER_JAM!$Q$5:$Q$28,0)),"?",IF(MATCH($B902,MASTER_JAM!$Q$5:$Q$28,0)&lt;=12,"DS","NS")))</f>
        <v/>
      </c>
      <c r="I902" s="157">
        <f>IFERROR(INDEX(MASTER_JAM!$B$5:$B$94,MATCH($C902,MASTER_JAM!$A$5:$A$94,0)),"")</f>
        <v/>
      </c>
      <c r="J902" s="157">
        <f>IFERROR(INDEX(MASTER_JAM!$E$5:$E$94,MATCH($D902,MASTER_JAM!$A$5:$A$94,0)),"")</f>
        <v/>
      </c>
      <c r="K902" s="158">
        <f>IFERROR(INDEX(MASTER_JAM!$J$5:$O$12,MATCH($E902,MASTER_JAM!$I$5:$I$12,0),MATCH($J902,MASTER_JAM!$J$4:$O$4,0))+0,0)</f>
        <v/>
      </c>
      <c r="L902" s="159">
        <f>N($F902)*$K902</f>
        <v/>
      </c>
      <c r="M902" s="157">
        <f>IF($E902="","",IF(OR($E902="Coal",$E902="Dirty Coal"),"MT","BCM"))</f>
        <v/>
      </c>
      <c r="N902" s="157">
        <f>IF($E902="","",IF(OR($E902="Coal",$E902="Dirty Coal"),"Coal","OB"))</f>
        <v/>
      </c>
      <c r="O902" s="157">
        <f>IF($F902="","",IF(COUNTIF(MASTER_JAM!$A$5:$A$94,$C902)=0,"Digger tidak dikenal",IF($J902="","Hauler tidak dikenal",IF($H902="?","Jam salah",IF($K902=0,"Faktor kosong",IF(SUMIFS(INPUT_DELAY!$E$5:$E$20000,INPUT_DELAY!$A$5:$A$20000,$A902,INPUT_DELAY!$B$5:$B$20000,$B902,INPUT_DELAY!$C$5:$C$20000,$C902)+SUMIFS(INPUT_DELAY!$E$5:$E$20000,INPUT_DELAY!$A$5:$A$20000,$A902,INPUT_DELAY!$B$5:$B$20000,$B902,INPUT_DELAY!$C$5:$C$20000,"SEMUA")&gt;=60,"Delay 60 mnt tapi ada ritase","OK"))))))</f>
        <v/>
      </c>
      <c r="P902" s="158">
        <f>IFERROR(INDEX(MASTER_JAM!$Z$5:$AC$10,MATCH($I902,MASTER_JAM!$Y$5:$Y$10,0),MATCH($J902,MASTER_JAM!$Z$4:$AC$4,0))+0,0)</f>
        <v/>
      </c>
      <c r="Q902" s="158">
        <f>IF($P902=0,0,$P902+IFERROR(INDEX(MASTER_JAM!$H$5:$H$94,MATCH($C902,MASTER_JAM!$A$5:$A$94,0))+0,MASTER_JAM!$AC$15)/1000*(60/MASTER_JAM!$AC$12+60/MASTER_JAM!$AC$13)+MASTER_JAM!$AC$14)</f>
        <v/>
      </c>
      <c r="R902" s="158">
        <f>IF(N($F902)=0,0,$F902/SUMIFS(INPUT_RITASE!$F$5:$F$20000,INPUT_RITASE!$A$5:$A$20000,$A902,INPUT_RITASE!$B$5:$B$20000,$B902,INPUT_RITASE!$C$5:$C$20000,$C902,INPUT_RITASE!$D$5:$D$20000,$D902))</f>
        <v/>
      </c>
      <c r="S902" s="158">
        <f>IF($Q902=0,0,$R902*$P902/$Q902)</f>
        <v/>
      </c>
    </row>
    <row r="903">
      <c r="A903" s="155" t="n">
        <v>46107</v>
      </c>
      <c r="B903" s="156" t="inlineStr">
        <is>
          <t>09-10</t>
        </is>
      </c>
      <c r="C903" s="156" t="inlineStr">
        <is>
          <t>EX-1251</t>
        </is>
      </c>
      <c r="D903" s="156" t="inlineStr">
        <is>
          <t>DT-522</t>
        </is>
      </c>
      <c r="E903" s="156" t="inlineStr">
        <is>
          <t>OB</t>
        </is>
      </c>
      <c r="F903" s="156" t="n">
        <v>4</v>
      </c>
      <c r="G903" s="156" t="inlineStr"/>
      <c r="H903" s="157">
        <f>IF($B903="","",IF(ISNA(MATCH($B903,MASTER_JAM!$Q$5:$Q$28,0)),"?",IF(MATCH($B903,MASTER_JAM!$Q$5:$Q$28,0)&lt;=12,"DS","NS")))</f>
        <v/>
      </c>
      <c r="I903" s="157">
        <f>IFERROR(INDEX(MASTER_JAM!$B$5:$B$94,MATCH($C903,MASTER_JAM!$A$5:$A$94,0)),"")</f>
        <v/>
      </c>
      <c r="J903" s="157">
        <f>IFERROR(INDEX(MASTER_JAM!$E$5:$E$94,MATCH($D903,MASTER_JAM!$A$5:$A$94,0)),"")</f>
        <v/>
      </c>
      <c r="K903" s="158">
        <f>IFERROR(INDEX(MASTER_JAM!$J$5:$O$12,MATCH($E903,MASTER_JAM!$I$5:$I$12,0),MATCH($J903,MASTER_JAM!$J$4:$O$4,0))+0,0)</f>
        <v/>
      </c>
      <c r="L903" s="159">
        <f>N($F903)*$K903</f>
        <v/>
      </c>
      <c r="M903" s="157">
        <f>IF($E903="","",IF(OR($E903="Coal",$E903="Dirty Coal"),"MT","BCM"))</f>
        <v/>
      </c>
      <c r="N903" s="157">
        <f>IF($E903="","",IF(OR($E903="Coal",$E903="Dirty Coal"),"Coal","OB"))</f>
        <v/>
      </c>
      <c r="O903" s="157">
        <f>IF($F903="","",IF(COUNTIF(MASTER_JAM!$A$5:$A$94,$C903)=0,"Digger tidak dikenal",IF($J903="","Hauler tidak dikenal",IF($H903="?","Jam salah",IF($K903=0,"Faktor kosong",IF(SUMIFS(INPUT_DELAY!$E$5:$E$20000,INPUT_DELAY!$A$5:$A$20000,$A903,INPUT_DELAY!$B$5:$B$20000,$B903,INPUT_DELAY!$C$5:$C$20000,$C903)+SUMIFS(INPUT_DELAY!$E$5:$E$20000,INPUT_DELAY!$A$5:$A$20000,$A903,INPUT_DELAY!$B$5:$B$20000,$B903,INPUT_DELAY!$C$5:$C$20000,"SEMUA")&gt;=60,"Delay 60 mnt tapi ada ritase","OK"))))))</f>
        <v/>
      </c>
      <c r="P903" s="158">
        <f>IFERROR(INDEX(MASTER_JAM!$Z$5:$AC$10,MATCH($I903,MASTER_JAM!$Y$5:$Y$10,0),MATCH($J903,MASTER_JAM!$Z$4:$AC$4,0))+0,0)</f>
        <v/>
      </c>
      <c r="Q903" s="158">
        <f>IF($P903=0,0,$P903+IFERROR(INDEX(MASTER_JAM!$H$5:$H$94,MATCH($C903,MASTER_JAM!$A$5:$A$94,0))+0,MASTER_JAM!$AC$15)/1000*(60/MASTER_JAM!$AC$12+60/MASTER_JAM!$AC$13)+MASTER_JAM!$AC$14)</f>
        <v/>
      </c>
      <c r="R903" s="158">
        <f>IF(N($F903)=0,0,$F903/SUMIFS(INPUT_RITASE!$F$5:$F$20000,INPUT_RITASE!$A$5:$A$20000,$A903,INPUT_RITASE!$B$5:$B$20000,$B903,INPUT_RITASE!$C$5:$C$20000,$C903,INPUT_RITASE!$D$5:$D$20000,$D903))</f>
        <v/>
      </c>
      <c r="S903" s="158">
        <f>IF($Q903=0,0,$R903*$P903/$Q903)</f>
        <v/>
      </c>
    </row>
    <row r="904">
      <c r="A904" s="155" t="n">
        <v>46107</v>
      </c>
      <c r="B904" s="156" t="inlineStr">
        <is>
          <t>09-10</t>
        </is>
      </c>
      <c r="C904" s="156" t="inlineStr">
        <is>
          <t>EX-1251</t>
        </is>
      </c>
      <c r="D904" s="156" t="inlineStr">
        <is>
          <t>DT-503</t>
        </is>
      </c>
      <c r="E904" s="156" t="inlineStr">
        <is>
          <t>OB</t>
        </is>
      </c>
      <c r="F904" s="156" t="n">
        <v>4</v>
      </c>
      <c r="G904" s="156" t="inlineStr"/>
      <c r="H904" s="157">
        <f>IF($B904="","",IF(ISNA(MATCH($B904,MASTER_JAM!$Q$5:$Q$28,0)),"?",IF(MATCH($B904,MASTER_JAM!$Q$5:$Q$28,0)&lt;=12,"DS","NS")))</f>
        <v/>
      </c>
      <c r="I904" s="157">
        <f>IFERROR(INDEX(MASTER_JAM!$B$5:$B$94,MATCH($C904,MASTER_JAM!$A$5:$A$94,0)),"")</f>
        <v/>
      </c>
      <c r="J904" s="157">
        <f>IFERROR(INDEX(MASTER_JAM!$E$5:$E$94,MATCH($D904,MASTER_JAM!$A$5:$A$94,0)),"")</f>
        <v/>
      </c>
      <c r="K904" s="158">
        <f>IFERROR(INDEX(MASTER_JAM!$J$5:$O$12,MATCH($E904,MASTER_JAM!$I$5:$I$12,0),MATCH($J904,MASTER_JAM!$J$4:$O$4,0))+0,0)</f>
        <v/>
      </c>
      <c r="L904" s="159">
        <f>N($F904)*$K904</f>
        <v/>
      </c>
      <c r="M904" s="157">
        <f>IF($E904="","",IF(OR($E904="Coal",$E904="Dirty Coal"),"MT","BCM"))</f>
        <v/>
      </c>
      <c r="N904" s="157">
        <f>IF($E904="","",IF(OR($E904="Coal",$E904="Dirty Coal"),"Coal","OB"))</f>
        <v/>
      </c>
      <c r="O904" s="157">
        <f>IF($F904="","",IF(COUNTIF(MASTER_JAM!$A$5:$A$94,$C904)=0,"Digger tidak dikenal",IF($J904="","Hauler tidak dikenal",IF($H904="?","Jam salah",IF($K904=0,"Faktor kosong",IF(SUMIFS(INPUT_DELAY!$E$5:$E$20000,INPUT_DELAY!$A$5:$A$20000,$A904,INPUT_DELAY!$B$5:$B$20000,$B904,INPUT_DELAY!$C$5:$C$20000,$C904)+SUMIFS(INPUT_DELAY!$E$5:$E$20000,INPUT_DELAY!$A$5:$A$20000,$A904,INPUT_DELAY!$B$5:$B$20000,$B904,INPUT_DELAY!$C$5:$C$20000,"SEMUA")&gt;=60,"Delay 60 mnt tapi ada ritase","OK"))))))</f>
        <v/>
      </c>
      <c r="P904" s="158">
        <f>IFERROR(INDEX(MASTER_JAM!$Z$5:$AC$10,MATCH($I904,MASTER_JAM!$Y$5:$Y$10,0),MATCH($J904,MASTER_JAM!$Z$4:$AC$4,0))+0,0)</f>
        <v/>
      </c>
      <c r="Q904" s="158">
        <f>IF($P904=0,0,$P904+IFERROR(INDEX(MASTER_JAM!$H$5:$H$94,MATCH($C904,MASTER_JAM!$A$5:$A$94,0))+0,MASTER_JAM!$AC$15)/1000*(60/MASTER_JAM!$AC$12+60/MASTER_JAM!$AC$13)+MASTER_JAM!$AC$14)</f>
        <v/>
      </c>
      <c r="R904" s="158">
        <f>IF(N($F904)=0,0,$F904/SUMIFS(INPUT_RITASE!$F$5:$F$20000,INPUT_RITASE!$A$5:$A$20000,$A904,INPUT_RITASE!$B$5:$B$20000,$B904,INPUT_RITASE!$C$5:$C$20000,$C904,INPUT_RITASE!$D$5:$D$20000,$D904))</f>
        <v/>
      </c>
      <c r="S904" s="158">
        <f>IF($Q904=0,0,$R904*$P904/$Q904)</f>
        <v/>
      </c>
    </row>
    <row r="905">
      <c r="A905" s="155" t="n">
        <v>46107</v>
      </c>
      <c r="B905" s="156" t="inlineStr">
        <is>
          <t>09-10</t>
        </is>
      </c>
      <c r="C905" s="156" t="inlineStr">
        <is>
          <t>EX-1251</t>
        </is>
      </c>
      <c r="D905" s="156" t="inlineStr">
        <is>
          <t>DT-528</t>
        </is>
      </c>
      <c r="E905" s="156" t="inlineStr">
        <is>
          <t>OB</t>
        </is>
      </c>
      <c r="F905" s="156" t="n">
        <v>4</v>
      </c>
      <c r="G905" s="156" t="inlineStr"/>
      <c r="H905" s="157">
        <f>IF($B905="","",IF(ISNA(MATCH($B905,MASTER_JAM!$Q$5:$Q$28,0)),"?",IF(MATCH($B905,MASTER_JAM!$Q$5:$Q$28,0)&lt;=12,"DS","NS")))</f>
        <v/>
      </c>
      <c r="I905" s="157">
        <f>IFERROR(INDEX(MASTER_JAM!$B$5:$B$94,MATCH($C905,MASTER_JAM!$A$5:$A$94,0)),"")</f>
        <v/>
      </c>
      <c r="J905" s="157">
        <f>IFERROR(INDEX(MASTER_JAM!$E$5:$E$94,MATCH($D905,MASTER_JAM!$A$5:$A$94,0)),"")</f>
        <v/>
      </c>
      <c r="K905" s="158">
        <f>IFERROR(INDEX(MASTER_JAM!$J$5:$O$12,MATCH($E905,MASTER_JAM!$I$5:$I$12,0),MATCH($J905,MASTER_JAM!$J$4:$O$4,0))+0,0)</f>
        <v/>
      </c>
      <c r="L905" s="159">
        <f>N($F905)*$K905</f>
        <v/>
      </c>
      <c r="M905" s="157">
        <f>IF($E905="","",IF(OR($E905="Coal",$E905="Dirty Coal"),"MT","BCM"))</f>
        <v/>
      </c>
      <c r="N905" s="157">
        <f>IF($E905="","",IF(OR($E905="Coal",$E905="Dirty Coal"),"Coal","OB"))</f>
        <v/>
      </c>
      <c r="O905" s="157">
        <f>IF($F905="","",IF(COUNTIF(MASTER_JAM!$A$5:$A$94,$C905)=0,"Digger tidak dikenal",IF($J905="","Hauler tidak dikenal",IF($H905="?","Jam salah",IF($K905=0,"Faktor kosong",IF(SUMIFS(INPUT_DELAY!$E$5:$E$20000,INPUT_DELAY!$A$5:$A$20000,$A905,INPUT_DELAY!$B$5:$B$20000,$B905,INPUT_DELAY!$C$5:$C$20000,$C905)+SUMIFS(INPUT_DELAY!$E$5:$E$20000,INPUT_DELAY!$A$5:$A$20000,$A905,INPUT_DELAY!$B$5:$B$20000,$B905,INPUT_DELAY!$C$5:$C$20000,"SEMUA")&gt;=60,"Delay 60 mnt tapi ada ritase","OK"))))))</f>
        <v/>
      </c>
      <c r="P905" s="158">
        <f>IFERROR(INDEX(MASTER_JAM!$Z$5:$AC$10,MATCH($I905,MASTER_JAM!$Y$5:$Y$10,0),MATCH($J905,MASTER_JAM!$Z$4:$AC$4,0))+0,0)</f>
        <v/>
      </c>
      <c r="Q905" s="158">
        <f>IF($P905=0,0,$P905+IFERROR(INDEX(MASTER_JAM!$H$5:$H$94,MATCH($C905,MASTER_JAM!$A$5:$A$94,0))+0,MASTER_JAM!$AC$15)/1000*(60/MASTER_JAM!$AC$12+60/MASTER_JAM!$AC$13)+MASTER_JAM!$AC$14)</f>
        <v/>
      </c>
      <c r="R905" s="158">
        <f>IF(N($F905)=0,0,$F905/SUMIFS(INPUT_RITASE!$F$5:$F$20000,INPUT_RITASE!$A$5:$A$20000,$A905,INPUT_RITASE!$B$5:$B$20000,$B905,INPUT_RITASE!$C$5:$C$20000,$C905,INPUT_RITASE!$D$5:$D$20000,$D905))</f>
        <v/>
      </c>
      <c r="S905" s="158">
        <f>IF($Q905=0,0,$R905*$P905/$Q905)</f>
        <v/>
      </c>
    </row>
    <row r="906">
      <c r="A906" s="155" t="n">
        <v>46107</v>
      </c>
      <c r="B906" s="156" t="inlineStr">
        <is>
          <t>09-10</t>
        </is>
      </c>
      <c r="C906" s="156" t="inlineStr">
        <is>
          <t>EX-1251</t>
        </is>
      </c>
      <c r="D906" s="156" t="inlineStr">
        <is>
          <t>DT-521</t>
        </is>
      </c>
      <c r="E906" s="156" t="inlineStr">
        <is>
          <t>OB</t>
        </is>
      </c>
      <c r="F906" s="156" t="n">
        <v>4</v>
      </c>
      <c r="G906" s="156" t="inlineStr"/>
      <c r="H906" s="157">
        <f>IF($B906="","",IF(ISNA(MATCH($B906,MASTER_JAM!$Q$5:$Q$28,0)),"?",IF(MATCH($B906,MASTER_JAM!$Q$5:$Q$28,0)&lt;=12,"DS","NS")))</f>
        <v/>
      </c>
      <c r="I906" s="157">
        <f>IFERROR(INDEX(MASTER_JAM!$B$5:$B$94,MATCH($C906,MASTER_JAM!$A$5:$A$94,0)),"")</f>
        <v/>
      </c>
      <c r="J906" s="157">
        <f>IFERROR(INDEX(MASTER_JAM!$E$5:$E$94,MATCH($D906,MASTER_JAM!$A$5:$A$94,0)),"")</f>
        <v/>
      </c>
      <c r="K906" s="158">
        <f>IFERROR(INDEX(MASTER_JAM!$J$5:$O$12,MATCH($E906,MASTER_JAM!$I$5:$I$12,0),MATCH($J906,MASTER_JAM!$J$4:$O$4,0))+0,0)</f>
        <v/>
      </c>
      <c r="L906" s="159">
        <f>N($F906)*$K906</f>
        <v/>
      </c>
      <c r="M906" s="157">
        <f>IF($E906="","",IF(OR($E906="Coal",$E906="Dirty Coal"),"MT","BCM"))</f>
        <v/>
      </c>
      <c r="N906" s="157">
        <f>IF($E906="","",IF(OR($E906="Coal",$E906="Dirty Coal"),"Coal","OB"))</f>
        <v/>
      </c>
      <c r="O906" s="157">
        <f>IF($F906="","",IF(COUNTIF(MASTER_JAM!$A$5:$A$94,$C906)=0,"Digger tidak dikenal",IF($J906="","Hauler tidak dikenal",IF($H906="?","Jam salah",IF($K906=0,"Faktor kosong",IF(SUMIFS(INPUT_DELAY!$E$5:$E$20000,INPUT_DELAY!$A$5:$A$20000,$A906,INPUT_DELAY!$B$5:$B$20000,$B906,INPUT_DELAY!$C$5:$C$20000,$C906)+SUMIFS(INPUT_DELAY!$E$5:$E$20000,INPUT_DELAY!$A$5:$A$20000,$A906,INPUT_DELAY!$B$5:$B$20000,$B906,INPUT_DELAY!$C$5:$C$20000,"SEMUA")&gt;=60,"Delay 60 mnt tapi ada ritase","OK"))))))</f>
        <v/>
      </c>
      <c r="P906" s="158">
        <f>IFERROR(INDEX(MASTER_JAM!$Z$5:$AC$10,MATCH($I906,MASTER_JAM!$Y$5:$Y$10,0),MATCH($J906,MASTER_JAM!$Z$4:$AC$4,0))+0,0)</f>
        <v/>
      </c>
      <c r="Q906" s="158">
        <f>IF($P906=0,0,$P906+IFERROR(INDEX(MASTER_JAM!$H$5:$H$94,MATCH($C906,MASTER_JAM!$A$5:$A$94,0))+0,MASTER_JAM!$AC$15)/1000*(60/MASTER_JAM!$AC$12+60/MASTER_JAM!$AC$13)+MASTER_JAM!$AC$14)</f>
        <v/>
      </c>
      <c r="R906" s="158">
        <f>IF(N($F906)=0,0,$F906/SUMIFS(INPUT_RITASE!$F$5:$F$20000,INPUT_RITASE!$A$5:$A$20000,$A906,INPUT_RITASE!$B$5:$B$20000,$B906,INPUT_RITASE!$C$5:$C$20000,$C906,INPUT_RITASE!$D$5:$D$20000,$D906))</f>
        <v/>
      </c>
      <c r="S906" s="158">
        <f>IF($Q906=0,0,$R906*$P906/$Q906)</f>
        <v/>
      </c>
    </row>
    <row r="907">
      <c r="A907" s="155" t="n">
        <v>46107</v>
      </c>
      <c r="B907" s="156" t="inlineStr">
        <is>
          <t>09-10</t>
        </is>
      </c>
      <c r="C907" s="156" t="inlineStr">
        <is>
          <t>EX-1251</t>
        </is>
      </c>
      <c r="D907" s="156" t="inlineStr">
        <is>
          <t>DT-518</t>
        </is>
      </c>
      <c r="E907" s="156" t="inlineStr">
        <is>
          <t>OB</t>
        </is>
      </c>
      <c r="F907" s="156" t="n">
        <v>4</v>
      </c>
      <c r="G907" s="156" t="inlineStr"/>
      <c r="H907" s="157">
        <f>IF($B907="","",IF(ISNA(MATCH($B907,MASTER_JAM!$Q$5:$Q$28,0)),"?",IF(MATCH($B907,MASTER_JAM!$Q$5:$Q$28,0)&lt;=12,"DS","NS")))</f>
        <v/>
      </c>
      <c r="I907" s="157">
        <f>IFERROR(INDEX(MASTER_JAM!$B$5:$B$94,MATCH($C907,MASTER_JAM!$A$5:$A$94,0)),"")</f>
        <v/>
      </c>
      <c r="J907" s="157">
        <f>IFERROR(INDEX(MASTER_JAM!$E$5:$E$94,MATCH($D907,MASTER_JAM!$A$5:$A$94,0)),"")</f>
        <v/>
      </c>
      <c r="K907" s="158">
        <f>IFERROR(INDEX(MASTER_JAM!$J$5:$O$12,MATCH($E907,MASTER_JAM!$I$5:$I$12,0),MATCH($J907,MASTER_JAM!$J$4:$O$4,0))+0,0)</f>
        <v/>
      </c>
      <c r="L907" s="159">
        <f>N($F907)*$K907</f>
        <v/>
      </c>
      <c r="M907" s="157">
        <f>IF($E907="","",IF(OR($E907="Coal",$E907="Dirty Coal"),"MT","BCM"))</f>
        <v/>
      </c>
      <c r="N907" s="157">
        <f>IF($E907="","",IF(OR($E907="Coal",$E907="Dirty Coal"),"Coal","OB"))</f>
        <v/>
      </c>
      <c r="O907" s="157">
        <f>IF($F907="","",IF(COUNTIF(MASTER_JAM!$A$5:$A$94,$C907)=0,"Digger tidak dikenal",IF($J907="","Hauler tidak dikenal",IF($H907="?","Jam salah",IF($K907=0,"Faktor kosong",IF(SUMIFS(INPUT_DELAY!$E$5:$E$20000,INPUT_DELAY!$A$5:$A$20000,$A907,INPUT_DELAY!$B$5:$B$20000,$B907,INPUT_DELAY!$C$5:$C$20000,$C907)+SUMIFS(INPUT_DELAY!$E$5:$E$20000,INPUT_DELAY!$A$5:$A$20000,$A907,INPUT_DELAY!$B$5:$B$20000,$B907,INPUT_DELAY!$C$5:$C$20000,"SEMUA")&gt;=60,"Delay 60 mnt tapi ada ritase","OK"))))))</f>
        <v/>
      </c>
      <c r="P907" s="158">
        <f>IFERROR(INDEX(MASTER_JAM!$Z$5:$AC$10,MATCH($I907,MASTER_JAM!$Y$5:$Y$10,0),MATCH($J907,MASTER_JAM!$Z$4:$AC$4,0))+0,0)</f>
        <v/>
      </c>
      <c r="Q907" s="158">
        <f>IF($P907=0,0,$P907+IFERROR(INDEX(MASTER_JAM!$H$5:$H$94,MATCH($C907,MASTER_JAM!$A$5:$A$94,0))+0,MASTER_JAM!$AC$15)/1000*(60/MASTER_JAM!$AC$12+60/MASTER_JAM!$AC$13)+MASTER_JAM!$AC$14)</f>
        <v/>
      </c>
      <c r="R907" s="158">
        <f>IF(N($F907)=0,0,$F907/SUMIFS(INPUT_RITASE!$F$5:$F$20000,INPUT_RITASE!$A$5:$A$20000,$A907,INPUT_RITASE!$B$5:$B$20000,$B907,INPUT_RITASE!$C$5:$C$20000,$C907,INPUT_RITASE!$D$5:$D$20000,$D907))</f>
        <v/>
      </c>
      <c r="S907" s="158">
        <f>IF($Q907=0,0,$R907*$P907/$Q907)</f>
        <v/>
      </c>
    </row>
    <row r="908">
      <c r="A908" s="155" t="n">
        <v>46107</v>
      </c>
      <c r="B908" s="156" t="inlineStr">
        <is>
          <t>10-11</t>
        </is>
      </c>
      <c r="C908" s="156" t="inlineStr">
        <is>
          <t>EX-1251</t>
        </is>
      </c>
      <c r="D908" s="156" t="inlineStr">
        <is>
          <t>DT-516</t>
        </is>
      </c>
      <c r="E908" s="156" t="inlineStr">
        <is>
          <t>OB</t>
        </is>
      </c>
      <c r="F908" s="156" t="n">
        <v>4</v>
      </c>
      <c r="G908" s="156" t="inlineStr"/>
      <c r="H908" s="157">
        <f>IF($B908="","",IF(ISNA(MATCH($B908,MASTER_JAM!$Q$5:$Q$28,0)),"?",IF(MATCH($B908,MASTER_JAM!$Q$5:$Q$28,0)&lt;=12,"DS","NS")))</f>
        <v/>
      </c>
      <c r="I908" s="157">
        <f>IFERROR(INDEX(MASTER_JAM!$B$5:$B$94,MATCH($C908,MASTER_JAM!$A$5:$A$94,0)),"")</f>
        <v/>
      </c>
      <c r="J908" s="157">
        <f>IFERROR(INDEX(MASTER_JAM!$E$5:$E$94,MATCH($D908,MASTER_JAM!$A$5:$A$94,0)),"")</f>
        <v/>
      </c>
      <c r="K908" s="158">
        <f>IFERROR(INDEX(MASTER_JAM!$J$5:$O$12,MATCH($E908,MASTER_JAM!$I$5:$I$12,0),MATCH($J908,MASTER_JAM!$J$4:$O$4,0))+0,0)</f>
        <v/>
      </c>
      <c r="L908" s="159">
        <f>N($F908)*$K908</f>
        <v/>
      </c>
      <c r="M908" s="157">
        <f>IF($E908="","",IF(OR($E908="Coal",$E908="Dirty Coal"),"MT","BCM"))</f>
        <v/>
      </c>
      <c r="N908" s="157">
        <f>IF($E908="","",IF(OR($E908="Coal",$E908="Dirty Coal"),"Coal","OB"))</f>
        <v/>
      </c>
      <c r="O908" s="157">
        <f>IF($F908="","",IF(COUNTIF(MASTER_JAM!$A$5:$A$94,$C908)=0,"Digger tidak dikenal",IF($J908="","Hauler tidak dikenal",IF($H908="?","Jam salah",IF($K908=0,"Faktor kosong",IF(SUMIFS(INPUT_DELAY!$E$5:$E$20000,INPUT_DELAY!$A$5:$A$20000,$A908,INPUT_DELAY!$B$5:$B$20000,$B908,INPUT_DELAY!$C$5:$C$20000,$C908)+SUMIFS(INPUT_DELAY!$E$5:$E$20000,INPUT_DELAY!$A$5:$A$20000,$A908,INPUT_DELAY!$B$5:$B$20000,$B908,INPUT_DELAY!$C$5:$C$20000,"SEMUA")&gt;=60,"Delay 60 mnt tapi ada ritase","OK"))))))</f>
        <v/>
      </c>
      <c r="P908" s="158">
        <f>IFERROR(INDEX(MASTER_JAM!$Z$5:$AC$10,MATCH($I908,MASTER_JAM!$Y$5:$Y$10,0),MATCH($J908,MASTER_JAM!$Z$4:$AC$4,0))+0,0)</f>
        <v/>
      </c>
      <c r="Q908" s="158">
        <f>IF($P908=0,0,$P908+IFERROR(INDEX(MASTER_JAM!$H$5:$H$94,MATCH($C908,MASTER_JAM!$A$5:$A$94,0))+0,MASTER_JAM!$AC$15)/1000*(60/MASTER_JAM!$AC$12+60/MASTER_JAM!$AC$13)+MASTER_JAM!$AC$14)</f>
        <v/>
      </c>
      <c r="R908" s="158">
        <f>IF(N($F908)=0,0,$F908/SUMIFS(INPUT_RITASE!$F$5:$F$20000,INPUT_RITASE!$A$5:$A$20000,$A908,INPUT_RITASE!$B$5:$B$20000,$B908,INPUT_RITASE!$C$5:$C$20000,$C908,INPUT_RITASE!$D$5:$D$20000,$D908))</f>
        <v/>
      </c>
      <c r="S908" s="158">
        <f>IF($Q908=0,0,$R908*$P908/$Q908)</f>
        <v/>
      </c>
    </row>
    <row r="909">
      <c r="A909" s="155" t="n">
        <v>46107</v>
      </c>
      <c r="B909" s="156" t="inlineStr">
        <is>
          <t>10-11</t>
        </is>
      </c>
      <c r="C909" s="156" t="inlineStr">
        <is>
          <t>EX-1251</t>
        </is>
      </c>
      <c r="D909" s="156" t="inlineStr">
        <is>
          <t>DT-506</t>
        </is>
      </c>
      <c r="E909" s="156" t="inlineStr">
        <is>
          <t>OB</t>
        </is>
      </c>
      <c r="F909" s="156" t="n">
        <v>4</v>
      </c>
      <c r="G909" s="156" t="inlineStr"/>
      <c r="H909" s="157">
        <f>IF($B909="","",IF(ISNA(MATCH($B909,MASTER_JAM!$Q$5:$Q$28,0)),"?",IF(MATCH($B909,MASTER_JAM!$Q$5:$Q$28,0)&lt;=12,"DS","NS")))</f>
        <v/>
      </c>
      <c r="I909" s="157">
        <f>IFERROR(INDEX(MASTER_JAM!$B$5:$B$94,MATCH($C909,MASTER_JAM!$A$5:$A$94,0)),"")</f>
        <v/>
      </c>
      <c r="J909" s="157">
        <f>IFERROR(INDEX(MASTER_JAM!$E$5:$E$94,MATCH($D909,MASTER_JAM!$A$5:$A$94,0)),"")</f>
        <v/>
      </c>
      <c r="K909" s="158">
        <f>IFERROR(INDEX(MASTER_JAM!$J$5:$O$12,MATCH($E909,MASTER_JAM!$I$5:$I$12,0),MATCH($J909,MASTER_JAM!$J$4:$O$4,0))+0,0)</f>
        <v/>
      </c>
      <c r="L909" s="159">
        <f>N($F909)*$K909</f>
        <v/>
      </c>
      <c r="M909" s="157">
        <f>IF($E909="","",IF(OR($E909="Coal",$E909="Dirty Coal"),"MT","BCM"))</f>
        <v/>
      </c>
      <c r="N909" s="157">
        <f>IF($E909="","",IF(OR($E909="Coal",$E909="Dirty Coal"),"Coal","OB"))</f>
        <v/>
      </c>
      <c r="O909" s="157">
        <f>IF($F909="","",IF(COUNTIF(MASTER_JAM!$A$5:$A$94,$C909)=0,"Digger tidak dikenal",IF($J909="","Hauler tidak dikenal",IF($H909="?","Jam salah",IF($K909=0,"Faktor kosong",IF(SUMIFS(INPUT_DELAY!$E$5:$E$20000,INPUT_DELAY!$A$5:$A$20000,$A909,INPUT_DELAY!$B$5:$B$20000,$B909,INPUT_DELAY!$C$5:$C$20000,$C909)+SUMIFS(INPUT_DELAY!$E$5:$E$20000,INPUT_DELAY!$A$5:$A$20000,$A909,INPUT_DELAY!$B$5:$B$20000,$B909,INPUT_DELAY!$C$5:$C$20000,"SEMUA")&gt;=60,"Delay 60 mnt tapi ada ritase","OK"))))))</f>
        <v/>
      </c>
      <c r="P909" s="158">
        <f>IFERROR(INDEX(MASTER_JAM!$Z$5:$AC$10,MATCH($I909,MASTER_JAM!$Y$5:$Y$10,0),MATCH($J909,MASTER_JAM!$Z$4:$AC$4,0))+0,0)</f>
        <v/>
      </c>
      <c r="Q909" s="158">
        <f>IF($P909=0,0,$P909+IFERROR(INDEX(MASTER_JAM!$H$5:$H$94,MATCH($C909,MASTER_JAM!$A$5:$A$94,0))+0,MASTER_JAM!$AC$15)/1000*(60/MASTER_JAM!$AC$12+60/MASTER_JAM!$AC$13)+MASTER_JAM!$AC$14)</f>
        <v/>
      </c>
      <c r="R909" s="158">
        <f>IF(N($F909)=0,0,$F909/SUMIFS(INPUT_RITASE!$F$5:$F$20000,INPUT_RITASE!$A$5:$A$20000,$A909,INPUT_RITASE!$B$5:$B$20000,$B909,INPUT_RITASE!$C$5:$C$20000,$C909,INPUT_RITASE!$D$5:$D$20000,$D909))</f>
        <v/>
      </c>
      <c r="S909" s="158">
        <f>IF($Q909=0,0,$R909*$P909/$Q909)</f>
        <v/>
      </c>
    </row>
    <row r="910">
      <c r="A910" s="155" t="n">
        <v>46107</v>
      </c>
      <c r="B910" s="156" t="inlineStr">
        <is>
          <t>10-11</t>
        </is>
      </c>
      <c r="C910" s="156" t="inlineStr">
        <is>
          <t>EX-1251</t>
        </is>
      </c>
      <c r="D910" s="156" t="inlineStr">
        <is>
          <t>DT-522</t>
        </is>
      </c>
      <c r="E910" s="156" t="inlineStr">
        <is>
          <t>OB</t>
        </is>
      </c>
      <c r="F910" s="156" t="n">
        <v>3</v>
      </c>
      <c r="G910" s="156" t="inlineStr"/>
      <c r="H910" s="157">
        <f>IF($B910="","",IF(ISNA(MATCH($B910,MASTER_JAM!$Q$5:$Q$28,0)),"?",IF(MATCH($B910,MASTER_JAM!$Q$5:$Q$28,0)&lt;=12,"DS","NS")))</f>
        <v/>
      </c>
      <c r="I910" s="157">
        <f>IFERROR(INDEX(MASTER_JAM!$B$5:$B$94,MATCH($C910,MASTER_JAM!$A$5:$A$94,0)),"")</f>
        <v/>
      </c>
      <c r="J910" s="157">
        <f>IFERROR(INDEX(MASTER_JAM!$E$5:$E$94,MATCH($D910,MASTER_JAM!$A$5:$A$94,0)),"")</f>
        <v/>
      </c>
      <c r="K910" s="158">
        <f>IFERROR(INDEX(MASTER_JAM!$J$5:$O$12,MATCH($E910,MASTER_JAM!$I$5:$I$12,0),MATCH($J910,MASTER_JAM!$J$4:$O$4,0))+0,0)</f>
        <v/>
      </c>
      <c r="L910" s="159">
        <f>N($F910)*$K910</f>
        <v/>
      </c>
      <c r="M910" s="157">
        <f>IF($E910="","",IF(OR($E910="Coal",$E910="Dirty Coal"),"MT","BCM"))</f>
        <v/>
      </c>
      <c r="N910" s="157">
        <f>IF($E910="","",IF(OR($E910="Coal",$E910="Dirty Coal"),"Coal","OB"))</f>
        <v/>
      </c>
      <c r="O910" s="157">
        <f>IF($F910="","",IF(COUNTIF(MASTER_JAM!$A$5:$A$94,$C910)=0,"Digger tidak dikenal",IF($J910="","Hauler tidak dikenal",IF($H910="?","Jam salah",IF($K910=0,"Faktor kosong",IF(SUMIFS(INPUT_DELAY!$E$5:$E$20000,INPUT_DELAY!$A$5:$A$20000,$A910,INPUT_DELAY!$B$5:$B$20000,$B910,INPUT_DELAY!$C$5:$C$20000,$C910)+SUMIFS(INPUT_DELAY!$E$5:$E$20000,INPUT_DELAY!$A$5:$A$20000,$A910,INPUT_DELAY!$B$5:$B$20000,$B910,INPUT_DELAY!$C$5:$C$20000,"SEMUA")&gt;=60,"Delay 60 mnt tapi ada ritase","OK"))))))</f>
        <v/>
      </c>
      <c r="P910" s="158">
        <f>IFERROR(INDEX(MASTER_JAM!$Z$5:$AC$10,MATCH($I910,MASTER_JAM!$Y$5:$Y$10,0),MATCH($J910,MASTER_JAM!$Z$4:$AC$4,0))+0,0)</f>
        <v/>
      </c>
      <c r="Q910" s="158">
        <f>IF($P910=0,0,$P910+IFERROR(INDEX(MASTER_JAM!$H$5:$H$94,MATCH($C910,MASTER_JAM!$A$5:$A$94,0))+0,MASTER_JAM!$AC$15)/1000*(60/MASTER_JAM!$AC$12+60/MASTER_JAM!$AC$13)+MASTER_JAM!$AC$14)</f>
        <v/>
      </c>
      <c r="R910" s="158">
        <f>IF(N($F910)=0,0,$F910/SUMIFS(INPUT_RITASE!$F$5:$F$20000,INPUT_RITASE!$A$5:$A$20000,$A910,INPUT_RITASE!$B$5:$B$20000,$B910,INPUT_RITASE!$C$5:$C$20000,$C910,INPUT_RITASE!$D$5:$D$20000,$D910))</f>
        <v/>
      </c>
      <c r="S910" s="158">
        <f>IF($Q910=0,0,$R910*$P910/$Q910)</f>
        <v/>
      </c>
    </row>
    <row r="911">
      <c r="A911" s="155" t="n">
        <v>46107</v>
      </c>
      <c r="B911" s="156" t="inlineStr">
        <is>
          <t>10-11</t>
        </is>
      </c>
      <c r="C911" s="156" t="inlineStr">
        <is>
          <t>EX-1251</t>
        </is>
      </c>
      <c r="D911" s="156" t="inlineStr">
        <is>
          <t>DT-503</t>
        </is>
      </c>
      <c r="E911" s="156" t="inlineStr">
        <is>
          <t>OB</t>
        </is>
      </c>
      <c r="F911" s="156" t="n">
        <v>3</v>
      </c>
      <c r="G911" s="156" t="inlineStr"/>
      <c r="H911" s="157">
        <f>IF($B911="","",IF(ISNA(MATCH($B911,MASTER_JAM!$Q$5:$Q$28,0)),"?",IF(MATCH($B911,MASTER_JAM!$Q$5:$Q$28,0)&lt;=12,"DS","NS")))</f>
        <v/>
      </c>
      <c r="I911" s="157">
        <f>IFERROR(INDEX(MASTER_JAM!$B$5:$B$94,MATCH($C911,MASTER_JAM!$A$5:$A$94,0)),"")</f>
        <v/>
      </c>
      <c r="J911" s="157">
        <f>IFERROR(INDEX(MASTER_JAM!$E$5:$E$94,MATCH($D911,MASTER_JAM!$A$5:$A$94,0)),"")</f>
        <v/>
      </c>
      <c r="K911" s="158">
        <f>IFERROR(INDEX(MASTER_JAM!$J$5:$O$12,MATCH($E911,MASTER_JAM!$I$5:$I$12,0),MATCH($J911,MASTER_JAM!$J$4:$O$4,0))+0,0)</f>
        <v/>
      </c>
      <c r="L911" s="159">
        <f>N($F911)*$K911</f>
        <v/>
      </c>
      <c r="M911" s="157">
        <f>IF($E911="","",IF(OR($E911="Coal",$E911="Dirty Coal"),"MT","BCM"))</f>
        <v/>
      </c>
      <c r="N911" s="157">
        <f>IF($E911="","",IF(OR($E911="Coal",$E911="Dirty Coal"),"Coal","OB"))</f>
        <v/>
      </c>
      <c r="O911" s="157">
        <f>IF($F911="","",IF(COUNTIF(MASTER_JAM!$A$5:$A$94,$C911)=0,"Digger tidak dikenal",IF($J911="","Hauler tidak dikenal",IF($H911="?","Jam salah",IF($K911=0,"Faktor kosong",IF(SUMIFS(INPUT_DELAY!$E$5:$E$20000,INPUT_DELAY!$A$5:$A$20000,$A911,INPUT_DELAY!$B$5:$B$20000,$B911,INPUT_DELAY!$C$5:$C$20000,$C911)+SUMIFS(INPUT_DELAY!$E$5:$E$20000,INPUT_DELAY!$A$5:$A$20000,$A911,INPUT_DELAY!$B$5:$B$20000,$B911,INPUT_DELAY!$C$5:$C$20000,"SEMUA")&gt;=60,"Delay 60 mnt tapi ada ritase","OK"))))))</f>
        <v/>
      </c>
      <c r="P911" s="158">
        <f>IFERROR(INDEX(MASTER_JAM!$Z$5:$AC$10,MATCH($I911,MASTER_JAM!$Y$5:$Y$10,0),MATCH($J911,MASTER_JAM!$Z$4:$AC$4,0))+0,0)</f>
        <v/>
      </c>
      <c r="Q911" s="158">
        <f>IF($P911=0,0,$P911+IFERROR(INDEX(MASTER_JAM!$H$5:$H$94,MATCH($C911,MASTER_JAM!$A$5:$A$94,0))+0,MASTER_JAM!$AC$15)/1000*(60/MASTER_JAM!$AC$12+60/MASTER_JAM!$AC$13)+MASTER_JAM!$AC$14)</f>
        <v/>
      </c>
      <c r="R911" s="158">
        <f>IF(N($F911)=0,0,$F911/SUMIFS(INPUT_RITASE!$F$5:$F$20000,INPUT_RITASE!$A$5:$A$20000,$A911,INPUT_RITASE!$B$5:$B$20000,$B911,INPUT_RITASE!$C$5:$C$20000,$C911,INPUT_RITASE!$D$5:$D$20000,$D911))</f>
        <v/>
      </c>
      <c r="S911" s="158">
        <f>IF($Q911=0,0,$R911*$P911/$Q911)</f>
        <v/>
      </c>
    </row>
    <row r="912">
      <c r="A912" s="155" t="n">
        <v>46107</v>
      </c>
      <c r="B912" s="156" t="inlineStr">
        <is>
          <t>10-11</t>
        </is>
      </c>
      <c r="C912" s="156" t="inlineStr">
        <is>
          <t>EX-1251</t>
        </is>
      </c>
      <c r="D912" s="156" t="inlineStr">
        <is>
          <t>DT-515</t>
        </is>
      </c>
      <c r="E912" s="156" t="inlineStr">
        <is>
          <t>OB</t>
        </is>
      </c>
      <c r="F912" s="156" t="n">
        <v>3</v>
      </c>
      <c r="G912" s="156" t="inlineStr"/>
      <c r="H912" s="157">
        <f>IF($B912="","",IF(ISNA(MATCH($B912,MASTER_JAM!$Q$5:$Q$28,0)),"?",IF(MATCH($B912,MASTER_JAM!$Q$5:$Q$28,0)&lt;=12,"DS","NS")))</f>
        <v/>
      </c>
      <c r="I912" s="157">
        <f>IFERROR(INDEX(MASTER_JAM!$B$5:$B$94,MATCH($C912,MASTER_JAM!$A$5:$A$94,0)),"")</f>
        <v/>
      </c>
      <c r="J912" s="157">
        <f>IFERROR(INDEX(MASTER_JAM!$E$5:$E$94,MATCH($D912,MASTER_JAM!$A$5:$A$94,0)),"")</f>
        <v/>
      </c>
      <c r="K912" s="158">
        <f>IFERROR(INDEX(MASTER_JAM!$J$5:$O$12,MATCH($E912,MASTER_JAM!$I$5:$I$12,0),MATCH($J912,MASTER_JAM!$J$4:$O$4,0))+0,0)</f>
        <v/>
      </c>
      <c r="L912" s="159">
        <f>N($F912)*$K912</f>
        <v/>
      </c>
      <c r="M912" s="157">
        <f>IF($E912="","",IF(OR($E912="Coal",$E912="Dirty Coal"),"MT","BCM"))</f>
        <v/>
      </c>
      <c r="N912" s="157">
        <f>IF($E912="","",IF(OR($E912="Coal",$E912="Dirty Coal"),"Coal","OB"))</f>
        <v/>
      </c>
      <c r="O912" s="157">
        <f>IF($F912="","",IF(COUNTIF(MASTER_JAM!$A$5:$A$94,$C912)=0,"Digger tidak dikenal",IF($J912="","Hauler tidak dikenal",IF($H912="?","Jam salah",IF($K912=0,"Faktor kosong",IF(SUMIFS(INPUT_DELAY!$E$5:$E$20000,INPUT_DELAY!$A$5:$A$20000,$A912,INPUT_DELAY!$B$5:$B$20000,$B912,INPUT_DELAY!$C$5:$C$20000,$C912)+SUMIFS(INPUT_DELAY!$E$5:$E$20000,INPUT_DELAY!$A$5:$A$20000,$A912,INPUT_DELAY!$B$5:$B$20000,$B912,INPUT_DELAY!$C$5:$C$20000,"SEMUA")&gt;=60,"Delay 60 mnt tapi ada ritase","OK"))))))</f>
        <v/>
      </c>
      <c r="P912" s="158">
        <f>IFERROR(INDEX(MASTER_JAM!$Z$5:$AC$10,MATCH($I912,MASTER_JAM!$Y$5:$Y$10,0),MATCH($J912,MASTER_JAM!$Z$4:$AC$4,0))+0,0)</f>
        <v/>
      </c>
      <c r="Q912" s="158">
        <f>IF($P912=0,0,$P912+IFERROR(INDEX(MASTER_JAM!$H$5:$H$94,MATCH($C912,MASTER_JAM!$A$5:$A$94,0))+0,MASTER_JAM!$AC$15)/1000*(60/MASTER_JAM!$AC$12+60/MASTER_JAM!$AC$13)+MASTER_JAM!$AC$14)</f>
        <v/>
      </c>
      <c r="R912" s="158">
        <f>IF(N($F912)=0,0,$F912/SUMIFS(INPUT_RITASE!$F$5:$F$20000,INPUT_RITASE!$A$5:$A$20000,$A912,INPUT_RITASE!$B$5:$B$20000,$B912,INPUT_RITASE!$C$5:$C$20000,$C912,INPUT_RITASE!$D$5:$D$20000,$D912))</f>
        <v/>
      </c>
      <c r="S912" s="158">
        <f>IF($Q912=0,0,$R912*$P912/$Q912)</f>
        <v/>
      </c>
    </row>
    <row r="913">
      <c r="A913" s="155" t="n">
        <v>46107</v>
      </c>
      <c r="B913" s="156" t="inlineStr">
        <is>
          <t>11-12</t>
        </is>
      </c>
      <c r="C913" s="156" t="inlineStr">
        <is>
          <t>EX-1251</t>
        </is>
      </c>
      <c r="D913" s="156" t="inlineStr">
        <is>
          <t>DT-515</t>
        </is>
      </c>
      <c r="E913" s="156" t="inlineStr">
        <is>
          <t>OB</t>
        </is>
      </c>
      <c r="F913" s="156" t="n">
        <v>4</v>
      </c>
      <c r="G913" s="156" t="inlineStr"/>
      <c r="H913" s="157">
        <f>IF($B913="","",IF(ISNA(MATCH($B913,MASTER_JAM!$Q$5:$Q$28,0)),"?",IF(MATCH($B913,MASTER_JAM!$Q$5:$Q$28,0)&lt;=12,"DS","NS")))</f>
        <v/>
      </c>
      <c r="I913" s="157">
        <f>IFERROR(INDEX(MASTER_JAM!$B$5:$B$94,MATCH($C913,MASTER_JAM!$A$5:$A$94,0)),"")</f>
        <v/>
      </c>
      <c r="J913" s="157">
        <f>IFERROR(INDEX(MASTER_JAM!$E$5:$E$94,MATCH($D913,MASTER_JAM!$A$5:$A$94,0)),"")</f>
        <v/>
      </c>
      <c r="K913" s="158">
        <f>IFERROR(INDEX(MASTER_JAM!$J$5:$O$12,MATCH($E913,MASTER_JAM!$I$5:$I$12,0),MATCH($J913,MASTER_JAM!$J$4:$O$4,0))+0,0)</f>
        <v/>
      </c>
      <c r="L913" s="159">
        <f>N($F913)*$K913</f>
        <v/>
      </c>
      <c r="M913" s="157">
        <f>IF($E913="","",IF(OR($E913="Coal",$E913="Dirty Coal"),"MT","BCM"))</f>
        <v/>
      </c>
      <c r="N913" s="157">
        <f>IF($E913="","",IF(OR($E913="Coal",$E913="Dirty Coal"),"Coal","OB"))</f>
        <v/>
      </c>
      <c r="O913" s="157">
        <f>IF($F913="","",IF(COUNTIF(MASTER_JAM!$A$5:$A$94,$C913)=0,"Digger tidak dikenal",IF($J913="","Hauler tidak dikenal",IF($H913="?","Jam salah",IF($K913=0,"Faktor kosong",IF(SUMIFS(INPUT_DELAY!$E$5:$E$20000,INPUT_DELAY!$A$5:$A$20000,$A913,INPUT_DELAY!$B$5:$B$20000,$B913,INPUT_DELAY!$C$5:$C$20000,$C913)+SUMIFS(INPUT_DELAY!$E$5:$E$20000,INPUT_DELAY!$A$5:$A$20000,$A913,INPUT_DELAY!$B$5:$B$20000,$B913,INPUT_DELAY!$C$5:$C$20000,"SEMUA")&gt;=60,"Delay 60 mnt tapi ada ritase","OK"))))))</f>
        <v/>
      </c>
      <c r="P913" s="158">
        <f>IFERROR(INDEX(MASTER_JAM!$Z$5:$AC$10,MATCH($I913,MASTER_JAM!$Y$5:$Y$10,0),MATCH($J913,MASTER_JAM!$Z$4:$AC$4,0))+0,0)</f>
        <v/>
      </c>
      <c r="Q913" s="158">
        <f>IF($P913=0,0,$P913+IFERROR(INDEX(MASTER_JAM!$H$5:$H$94,MATCH($C913,MASTER_JAM!$A$5:$A$94,0))+0,MASTER_JAM!$AC$15)/1000*(60/MASTER_JAM!$AC$12+60/MASTER_JAM!$AC$13)+MASTER_JAM!$AC$14)</f>
        <v/>
      </c>
      <c r="R913" s="158">
        <f>IF(N($F913)=0,0,$F913/SUMIFS(INPUT_RITASE!$F$5:$F$20000,INPUT_RITASE!$A$5:$A$20000,$A913,INPUT_RITASE!$B$5:$B$20000,$B913,INPUT_RITASE!$C$5:$C$20000,$C913,INPUT_RITASE!$D$5:$D$20000,$D913))</f>
        <v/>
      </c>
      <c r="S913" s="158">
        <f>IF($Q913=0,0,$R913*$P913/$Q913)</f>
        <v/>
      </c>
    </row>
    <row r="914">
      <c r="A914" s="155" t="n">
        <v>46107</v>
      </c>
      <c r="B914" s="156" t="inlineStr">
        <is>
          <t>11-12</t>
        </is>
      </c>
      <c r="C914" s="156" t="inlineStr">
        <is>
          <t>EX-1251</t>
        </is>
      </c>
      <c r="D914" s="156" t="inlineStr">
        <is>
          <t>DT-528</t>
        </is>
      </c>
      <c r="E914" s="156" t="inlineStr">
        <is>
          <t>OB</t>
        </is>
      </c>
      <c r="F914" s="156" t="n">
        <v>4</v>
      </c>
      <c r="G914" s="156" t="inlineStr"/>
      <c r="H914" s="157">
        <f>IF($B914="","",IF(ISNA(MATCH($B914,MASTER_JAM!$Q$5:$Q$28,0)),"?",IF(MATCH($B914,MASTER_JAM!$Q$5:$Q$28,0)&lt;=12,"DS","NS")))</f>
        <v/>
      </c>
      <c r="I914" s="157">
        <f>IFERROR(INDEX(MASTER_JAM!$B$5:$B$94,MATCH($C914,MASTER_JAM!$A$5:$A$94,0)),"")</f>
        <v/>
      </c>
      <c r="J914" s="157">
        <f>IFERROR(INDEX(MASTER_JAM!$E$5:$E$94,MATCH($D914,MASTER_JAM!$A$5:$A$94,0)),"")</f>
        <v/>
      </c>
      <c r="K914" s="158">
        <f>IFERROR(INDEX(MASTER_JAM!$J$5:$O$12,MATCH($E914,MASTER_JAM!$I$5:$I$12,0),MATCH($J914,MASTER_JAM!$J$4:$O$4,0))+0,0)</f>
        <v/>
      </c>
      <c r="L914" s="159">
        <f>N($F914)*$K914</f>
        <v/>
      </c>
      <c r="M914" s="157">
        <f>IF($E914="","",IF(OR($E914="Coal",$E914="Dirty Coal"),"MT","BCM"))</f>
        <v/>
      </c>
      <c r="N914" s="157">
        <f>IF($E914="","",IF(OR($E914="Coal",$E914="Dirty Coal"),"Coal","OB"))</f>
        <v/>
      </c>
      <c r="O914" s="157">
        <f>IF($F914="","",IF(COUNTIF(MASTER_JAM!$A$5:$A$94,$C914)=0,"Digger tidak dikenal",IF($J914="","Hauler tidak dikenal",IF($H914="?","Jam salah",IF($K914=0,"Faktor kosong",IF(SUMIFS(INPUT_DELAY!$E$5:$E$20000,INPUT_DELAY!$A$5:$A$20000,$A914,INPUT_DELAY!$B$5:$B$20000,$B914,INPUT_DELAY!$C$5:$C$20000,$C914)+SUMIFS(INPUT_DELAY!$E$5:$E$20000,INPUT_DELAY!$A$5:$A$20000,$A914,INPUT_DELAY!$B$5:$B$20000,$B914,INPUT_DELAY!$C$5:$C$20000,"SEMUA")&gt;=60,"Delay 60 mnt tapi ada ritase","OK"))))))</f>
        <v/>
      </c>
      <c r="P914" s="158">
        <f>IFERROR(INDEX(MASTER_JAM!$Z$5:$AC$10,MATCH($I914,MASTER_JAM!$Y$5:$Y$10,0),MATCH($J914,MASTER_JAM!$Z$4:$AC$4,0))+0,0)</f>
        <v/>
      </c>
      <c r="Q914" s="158">
        <f>IF($P914=0,0,$P914+IFERROR(INDEX(MASTER_JAM!$H$5:$H$94,MATCH($C914,MASTER_JAM!$A$5:$A$94,0))+0,MASTER_JAM!$AC$15)/1000*(60/MASTER_JAM!$AC$12+60/MASTER_JAM!$AC$13)+MASTER_JAM!$AC$14)</f>
        <v/>
      </c>
      <c r="R914" s="158">
        <f>IF(N($F914)=0,0,$F914/SUMIFS(INPUT_RITASE!$F$5:$F$20000,INPUT_RITASE!$A$5:$A$20000,$A914,INPUT_RITASE!$B$5:$B$20000,$B914,INPUT_RITASE!$C$5:$C$20000,$C914,INPUT_RITASE!$D$5:$D$20000,$D914))</f>
        <v/>
      </c>
      <c r="S914" s="158">
        <f>IF($Q914=0,0,$R914*$P914/$Q914)</f>
        <v/>
      </c>
    </row>
    <row r="915">
      <c r="A915" s="155" t="n">
        <v>46107</v>
      </c>
      <c r="B915" s="156" t="inlineStr">
        <is>
          <t>11-12</t>
        </is>
      </c>
      <c r="C915" s="156" t="inlineStr">
        <is>
          <t>EX-1251</t>
        </is>
      </c>
      <c r="D915" s="156" t="inlineStr">
        <is>
          <t>DT-516</t>
        </is>
      </c>
      <c r="E915" s="156" t="inlineStr">
        <is>
          <t>OB</t>
        </is>
      </c>
      <c r="F915" s="156" t="n">
        <v>4</v>
      </c>
      <c r="G915" s="156" t="inlineStr"/>
      <c r="H915" s="157">
        <f>IF($B915="","",IF(ISNA(MATCH($B915,MASTER_JAM!$Q$5:$Q$28,0)),"?",IF(MATCH($B915,MASTER_JAM!$Q$5:$Q$28,0)&lt;=12,"DS","NS")))</f>
        <v/>
      </c>
      <c r="I915" s="157">
        <f>IFERROR(INDEX(MASTER_JAM!$B$5:$B$94,MATCH($C915,MASTER_JAM!$A$5:$A$94,0)),"")</f>
        <v/>
      </c>
      <c r="J915" s="157">
        <f>IFERROR(INDEX(MASTER_JAM!$E$5:$E$94,MATCH($D915,MASTER_JAM!$A$5:$A$94,0)),"")</f>
        <v/>
      </c>
      <c r="K915" s="158">
        <f>IFERROR(INDEX(MASTER_JAM!$J$5:$O$12,MATCH($E915,MASTER_JAM!$I$5:$I$12,0),MATCH($J915,MASTER_JAM!$J$4:$O$4,0))+0,0)</f>
        <v/>
      </c>
      <c r="L915" s="159">
        <f>N($F915)*$K915</f>
        <v/>
      </c>
      <c r="M915" s="157">
        <f>IF($E915="","",IF(OR($E915="Coal",$E915="Dirty Coal"),"MT","BCM"))</f>
        <v/>
      </c>
      <c r="N915" s="157">
        <f>IF($E915="","",IF(OR($E915="Coal",$E915="Dirty Coal"),"Coal","OB"))</f>
        <v/>
      </c>
      <c r="O915" s="157">
        <f>IF($F915="","",IF(COUNTIF(MASTER_JAM!$A$5:$A$94,$C915)=0,"Digger tidak dikenal",IF($J915="","Hauler tidak dikenal",IF($H915="?","Jam salah",IF($K915=0,"Faktor kosong",IF(SUMIFS(INPUT_DELAY!$E$5:$E$20000,INPUT_DELAY!$A$5:$A$20000,$A915,INPUT_DELAY!$B$5:$B$20000,$B915,INPUT_DELAY!$C$5:$C$20000,$C915)+SUMIFS(INPUT_DELAY!$E$5:$E$20000,INPUT_DELAY!$A$5:$A$20000,$A915,INPUT_DELAY!$B$5:$B$20000,$B915,INPUT_DELAY!$C$5:$C$20000,"SEMUA")&gt;=60,"Delay 60 mnt tapi ada ritase","OK"))))))</f>
        <v/>
      </c>
      <c r="P915" s="158">
        <f>IFERROR(INDEX(MASTER_JAM!$Z$5:$AC$10,MATCH($I915,MASTER_JAM!$Y$5:$Y$10,0),MATCH($J915,MASTER_JAM!$Z$4:$AC$4,0))+0,0)</f>
        <v/>
      </c>
      <c r="Q915" s="158">
        <f>IF($P915=0,0,$P915+IFERROR(INDEX(MASTER_JAM!$H$5:$H$94,MATCH($C915,MASTER_JAM!$A$5:$A$94,0))+0,MASTER_JAM!$AC$15)/1000*(60/MASTER_JAM!$AC$12+60/MASTER_JAM!$AC$13)+MASTER_JAM!$AC$14)</f>
        <v/>
      </c>
      <c r="R915" s="158">
        <f>IF(N($F915)=0,0,$F915/SUMIFS(INPUT_RITASE!$F$5:$F$20000,INPUT_RITASE!$A$5:$A$20000,$A915,INPUT_RITASE!$B$5:$B$20000,$B915,INPUT_RITASE!$C$5:$C$20000,$C915,INPUT_RITASE!$D$5:$D$20000,$D915))</f>
        <v/>
      </c>
      <c r="S915" s="158">
        <f>IF($Q915=0,0,$R915*$P915/$Q915)</f>
        <v/>
      </c>
    </row>
    <row r="916">
      <c r="A916" s="155" t="n">
        <v>46107</v>
      </c>
      <c r="B916" s="156" t="inlineStr">
        <is>
          <t>11-12</t>
        </is>
      </c>
      <c r="C916" s="156" t="inlineStr">
        <is>
          <t>EX-1251</t>
        </is>
      </c>
      <c r="D916" s="156" t="inlineStr">
        <is>
          <t>DT-527</t>
        </is>
      </c>
      <c r="E916" s="156" t="inlineStr">
        <is>
          <t>OB</t>
        </is>
      </c>
      <c r="F916" s="156" t="n">
        <v>4</v>
      </c>
      <c r="G916" s="156" t="inlineStr"/>
      <c r="H916" s="157">
        <f>IF($B916="","",IF(ISNA(MATCH($B916,MASTER_JAM!$Q$5:$Q$28,0)),"?",IF(MATCH($B916,MASTER_JAM!$Q$5:$Q$28,0)&lt;=12,"DS","NS")))</f>
        <v/>
      </c>
      <c r="I916" s="157">
        <f>IFERROR(INDEX(MASTER_JAM!$B$5:$B$94,MATCH($C916,MASTER_JAM!$A$5:$A$94,0)),"")</f>
        <v/>
      </c>
      <c r="J916" s="157">
        <f>IFERROR(INDEX(MASTER_JAM!$E$5:$E$94,MATCH($D916,MASTER_JAM!$A$5:$A$94,0)),"")</f>
        <v/>
      </c>
      <c r="K916" s="158">
        <f>IFERROR(INDEX(MASTER_JAM!$J$5:$O$12,MATCH($E916,MASTER_JAM!$I$5:$I$12,0),MATCH($J916,MASTER_JAM!$J$4:$O$4,0))+0,0)</f>
        <v/>
      </c>
      <c r="L916" s="159">
        <f>N($F916)*$K916</f>
        <v/>
      </c>
      <c r="M916" s="157">
        <f>IF($E916="","",IF(OR($E916="Coal",$E916="Dirty Coal"),"MT","BCM"))</f>
        <v/>
      </c>
      <c r="N916" s="157">
        <f>IF($E916="","",IF(OR($E916="Coal",$E916="Dirty Coal"),"Coal","OB"))</f>
        <v/>
      </c>
      <c r="O916" s="157">
        <f>IF($F916="","",IF(COUNTIF(MASTER_JAM!$A$5:$A$94,$C916)=0,"Digger tidak dikenal",IF($J916="","Hauler tidak dikenal",IF($H916="?","Jam salah",IF($K916=0,"Faktor kosong",IF(SUMIFS(INPUT_DELAY!$E$5:$E$20000,INPUT_DELAY!$A$5:$A$20000,$A916,INPUT_DELAY!$B$5:$B$20000,$B916,INPUT_DELAY!$C$5:$C$20000,$C916)+SUMIFS(INPUT_DELAY!$E$5:$E$20000,INPUT_DELAY!$A$5:$A$20000,$A916,INPUT_DELAY!$B$5:$B$20000,$B916,INPUT_DELAY!$C$5:$C$20000,"SEMUA")&gt;=60,"Delay 60 mnt tapi ada ritase","OK"))))))</f>
        <v/>
      </c>
      <c r="P916" s="158">
        <f>IFERROR(INDEX(MASTER_JAM!$Z$5:$AC$10,MATCH($I916,MASTER_JAM!$Y$5:$Y$10,0),MATCH($J916,MASTER_JAM!$Z$4:$AC$4,0))+0,0)</f>
        <v/>
      </c>
      <c r="Q916" s="158">
        <f>IF($P916=0,0,$P916+IFERROR(INDEX(MASTER_JAM!$H$5:$H$94,MATCH($C916,MASTER_JAM!$A$5:$A$94,0))+0,MASTER_JAM!$AC$15)/1000*(60/MASTER_JAM!$AC$12+60/MASTER_JAM!$AC$13)+MASTER_JAM!$AC$14)</f>
        <v/>
      </c>
      <c r="R916" s="158">
        <f>IF(N($F916)=0,0,$F916/SUMIFS(INPUT_RITASE!$F$5:$F$20000,INPUT_RITASE!$A$5:$A$20000,$A916,INPUT_RITASE!$B$5:$B$20000,$B916,INPUT_RITASE!$C$5:$C$20000,$C916,INPUT_RITASE!$D$5:$D$20000,$D916))</f>
        <v/>
      </c>
      <c r="S916" s="158">
        <f>IF($Q916=0,0,$R916*$P916/$Q916)</f>
        <v/>
      </c>
    </row>
    <row r="917">
      <c r="A917" s="155" t="n">
        <v>46107</v>
      </c>
      <c r="B917" s="156" t="inlineStr">
        <is>
          <t>13-14</t>
        </is>
      </c>
      <c r="C917" s="156" t="inlineStr">
        <is>
          <t>EX-1251</t>
        </is>
      </c>
      <c r="D917" s="156" t="inlineStr">
        <is>
          <t>DT-523</t>
        </is>
      </c>
      <c r="E917" s="156" t="inlineStr">
        <is>
          <t>OB</t>
        </is>
      </c>
      <c r="F917" s="156" t="n">
        <v>4</v>
      </c>
      <c r="G917" s="156" t="inlineStr"/>
      <c r="H917" s="157">
        <f>IF($B917="","",IF(ISNA(MATCH($B917,MASTER_JAM!$Q$5:$Q$28,0)),"?",IF(MATCH($B917,MASTER_JAM!$Q$5:$Q$28,0)&lt;=12,"DS","NS")))</f>
        <v/>
      </c>
      <c r="I917" s="157">
        <f>IFERROR(INDEX(MASTER_JAM!$B$5:$B$94,MATCH($C917,MASTER_JAM!$A$5:$A$94,0)),"")</f>
        <v/>
      </c>
      <c r="J917" s="157">
        <f>IFERROR(INDEX(MASTER_JAM!$E$5:$E$94,MATCH($D917,MASTER_JAM!$A$5:$A$94,0)),"")</f>
        <v/>
      </c>
      <c r="K917" s="158">
        <f>IFERROR(INDEX(MASTER_JAM!$J$5:$O$12,MATCH($E917,MASTER_JAM!$I$5:$I$12,0),MATCH($J917,MASTER_JAM!$J$4:$O$4,0))+0,0)</f>
        <v/>
      </c>
      <c r="L917" s="159">
        <f>N($F917)*$K917</f>
        <v/>
      </c>
      <c r="M917" s="157">
        <f>IF($E917="","",IF(OR($E917="Coal",$E917="Dirty Coal"),"MT","BCM"))</f>
        <v/>
      </c>
      <c r="N917" s="157">
        <f>IF($E917="","",IF(OR($E917="Coal",$E917="Dirty Coal"),"Coal","OB"))</f>
        <v/>
      </c>
      <c r="O917" s="157">
        <f>IF($F917="","",IF(COUNTIF(MASTER_JAM!$A$5:$A$94,$C917)=0,"Digger tidak dikenal",IF($J917="","Hauler tidak dikenal",IF($H917="?","Jam salah",IF($K917=0,"Faktor kosong",IF(SUMIFS(INPUT_DELAY!$E$5:$E$20000,INPUT_DELAY!$A$5:$A$20000,$A917,INPUT_DELAY!$B$5:$B$20000,$B917,INPUT_DELAY!$C$5:$C$20000,$C917)+SUMIFS(INPUT_DELAY!$E$5:$E$20000,INPUT_DELAY!$A$5:$A$20000,$A917,INPUT_DELAY!$B$5:$B$20000,$B917,INPUT_DELAY!$C$5:$C$20000,"SEMUA")&gt;=60,"Delay 60 mnt tapi ada ritase","OK"))))))</f>
        <v/>
      </c>
      <c r="P917" s="158">
        <f>IFERROR(INDEX(MASTER_JAM!$Z$5:$AC$10,MATCH($I917,MASTER_JAM!$Y$5:$Y$10,0),MATCH($J917,MASTER_JAM!$Z$4:$AC$4,0))+0,0)</f>
        <v/>
      </c>
      <c r="Q917" s="158">
        <f>IF($P917=0,0,$P917+IFERROR(INDEX(MASTER_JAM!$H$5:$H$94,MATCH($C917,MASTER_JAM!$A$5:$A$94,0))+0,MASTER_JAM!$AC$15)/1000*(60/MASTER_JAM!$AC$12+60/MASTER_JAM!$AC$13)+MASTER_JAM!$AC$14)</f>
        <v/>
      </c>
      <c r="R917" s="158">
        <f>IF(N($F917)=0,0,$F917/SUMIFS(INPUT_RITASE!$F$5:$F$20000,INPUT_RITASE!$A$5:$A$20000,$A917,INPUT_RITASE!$B$5:$B$20000,$B917,INPUT_RITASE!$C$5:$C$20000,$C917,INPUT_RITASE!$D$5:$D$20000,$D917))</f>
        <v/>
      </c>
      <c r="S917" s="158">
        <f>IF($Q917=0,0,$R917*$P917/$Q917)</f>
        <v/>
      </c>
    </row>
    <row r="918">
      <c r="A918" s="155" t="n">
        <v>46107</v>
      </c>
      <c r="B918" s="156" t="inlineStr">
        <is>
          <t>13-14</t>
        </is>
      </c>
      <c r="C918" s="156" t="inlineStr">
        <is>
          <t>EX-1251</t>
        </is>
      </c>
      <c r="D918" s="156" t="inlineStr">
        <is>
          <t>DT-527</t>
        </is>
      </c>
      <c r="E918" s="156" t="inlineStr">
        <is>
          <t>OB</t>
        </is>
      </c>
      <c r="F918" s="156" t="n">
        <v>4</v>
      </c>
      <c r="G918" s="156" t="inlineStr"/>
      <c r="H918" s="157">
        <f>IF($B918="","",IF(ISNA(MATCH($B918,MASTER_JAM!$Q$5:$Q$28,0)),"?",IF(MATCH($B918,MASTER_JAM!$Q$5:$Q$28,0)&lt;=12,"DS","NS")))</f>
        <v/>
      </c>
      <c r="I918" s="157">
        <f>IFERROR(INDEX(MASTER_JAM!$B$5:$B$94,MATCH($C918,MASTER_JAM!$A$5:$A$94,0)),"")</f>
        <v/>
      </c>
      <c r="J918" s="157">
        <f>IFERROR(INDEX(MASTER_JAM!$E$5:$E$94,MATCH($D918,MASTER_JAM!$A$5:$A$94,0)),"")</f>
        <v/>
      </c>
      <c r="K918" s="158">
        <f>IFERROR(INDEX(MASTER_JAM!$J$5:$O$12,MATCH($E918,MASTER_JAM!$I$5:$I$12,0),MATCH($J918,MASTER_JAM!$J$4:$O$4,0))+0,0)</f>
        <v/>
      </c>
      <c r="L918" s="159">
        <f>N($F918)*$K918</f>
        <v/>
      </c>
      <c r="M918" s="157">
        <f>IF($E918="","",IF(OR($E918="Coal",$E918="Dirty Coal"),"MT","BCM"))</f>
        <v/>
      </c>
      <c r="N918" s="157">
        <f>IF($E918="","",IF(OR($E918="Coal",$E918="Dirty Coal"),"Coal","OB"))</f>
        <v/>
      </c>
      <c r="O918" s="157">
        <f>IF($F918="","",IF(COUNTIF(MASTER_JAM!$A$5:$A$94,$C918)=0,"Digger tidak dikenal",IF($J918="","Hauler tidak dikenal",IF($H918="?","Jam salah",IF($K918=0,"Faktor kosong",IF(SUMIFS(INPUT_DELAY!$E$5:$E$20000,INPUT_DELAY!$A$5:$A$20000,$A918,INPUT_DELAY!$B$5:$B$20000,$B918,INPUT_DELAY!$C$5:$C$20000,$C918)+SUMIFS(INPUT_DELAY!$E$5:$E$20000,INPUT_DELAY!$A$5:$A$20000,$A918,INPUT_DELAY!$B$5:$B$20000,$B918,INPUT_DELAY!$C$5:$C$20000,"SEMUA")&gt;=60,"Delay 60 mnt tapi ada ritase","OK"))))))</f>
        <v/>
      </c>
      <c r="P918" s="158">
        <f>IFERROR(INDEX(MASTER_JAM!$Z$5:$AC$10,MATCH($I918,MASTER_JAM!$Y$5:$Y$10,0),MATCH($J918,MASTER_JAM!$Z$4:$AC$4,0))+0,0)</f>
        <v/>
      </c>
      <c r="Q918" s="158">
        <f>IF($P918=0,0,$P918+IFERROR(INDEX(MASTER_JAM!$H$5:$H$94,MATCH($C918,MASTER_JAM!$A$5:$A$94,0))+0,MASTER_JAM!$AC$15)/1000*(60/MASTER_JAM!$AC$12+60/MASTER_JAM!$AC$13)+MASTER_JAM!$AC$14)</f>
        <v/>
      </c>
      <c r="R918" s="158">
        <f>IF(N($F918)=0,0,$F918/SUMIFS(INPUT_RITASE!$F$5:$F$20000,INPUT_RITASE!$A$5:$A$20000,$A918,INPUT_RITASE!$B$5:$B$20000,$B918,INPUT_RITASE!$C$5:$C$20000,$C918,INPUT_RITASE!$D$5:$D$20000,$D918))</f>
        <v/>
      </c>
      <c r="S918" s="158">
        <f>IF($Q918=0,0,$R918*$P918/$Q918)</f>
        <v/>
      </c>
    </row>
    <row r="919">
      <c r="A919" s="155" t="n">
        <v>46107</v>
      </c>
      <c r="B919" s="156" t="inlineStr">
        <is>
          <t>13-14</t>
        </is>
      </c>
      <c r="C919" s="156" t="inlineStr">
        <is>
          <t>EX-1251</t>
        </is>
      </c>
      <c r="D919" s="156" t="inlineStr">
        <is>
          <t>DT-501</t>
        </is>
      </c>
      <c r="E919" s="156" t="inlineStr">
        <is>
          <t>OB</t>
        </is>
      </c>
      <c r="F919" s="156" t="n">
        <v>4</v>
      </c>
      <c r="G919" s="156" t="inlineStr"/>
      <c r="H919" s="157">
        <f>IF($B919="","",IF(ISNA(MATCH($B919,MASTER_JAM!$Q$5:$Q$28,0)),"?",IF(MATCH($B919,MASTER_JAM!$Q$5:$Q$28,0)&lt;=12,"DS","NS")))</f>
        <v/>
      </c>
      <c r="I919" s="157">
        <f>IFERROR(INDEX(MASTER_JAM!$B$5:$B$94,MATCH($C919,MASTER_JAM!$A$5:$A$94,0)),"")</f>
        <v/>
      </c>
      <c r="J919" s="157">
        <f>IFERROR(INDEX(MASTER_JAM!$E$5:$E$94,MATCH($D919,MASTER_JAM!$A$5:$A$94,0)),"")</f>
        <v/>
      </c>
      <c r="K919" s="158">
        <f>IFERROR(INDEX(MASTER_JAM!$J$5:$O$12,MATCH($E919,MASTER_JAM!$I$5:$I$12,0),MATCH($J919,MASTER_JAM!$J$4:$O$4,0))+0,0)</f>
        <v/>
      </c>
      <c r="L919" s="159">
        <f>N($F919)*$K919</f>
        <v/>
      </c>
      <c r="M919" s="157">
        <f>IF($E919="","",IF(OR($E919="Coal",$E919="Dirty Coal"),"MT","BCM"))</f>
        <v/>
      </c>
      <c r="N919" s="157">
        <f>IF($E919="","",IF(OR($E919="Coal",$E919="Dirty Coal"),"Coal","OB"))</f>
        <v/>
      </c>
      <c r="O919" s="157">
        <f>IF($F919="","",IF(COUNTIF(MASTER_JAM!$A$5:$A$94,$C919)=0,"Digger tidak dikenal",IF($J919="","Hauler tidak dikenal",IF($H919="?","Jam salah",IF($K919=0,"Faktor kosong",IF(SUMIFS(INPUT_DELAY!$E$5:$E$20000,INPUT_DELAY!$A$5:$A$20000,$A919,INPUT_DELAY!$B$5:$B$20000,$B919,INPUT_DELAY!$C$5:$C$20000,$C919)+SUMIFS(INPUT_DELAY!$E$5:$E$20000,INPUT_DELAY!$A$5:$A$20000,$A919,INPUT_DELAY!$B$5:$B$20000,$B919,INPUT_DELAY!$C$5:$C$20000,"SEMUA")&gt;=60,"Delay 60 mnt tapi ada ritase","OK"))))))</f>
        <v/>
      </c>
      <c r="P919" s="158">
        <f>IFERROR(INDEX(MASTER_JAM!$Z$5:$AC$10,MATCH($I919,MASTER_JAM!$Y$5:$Y$10,0),MATCH($J919,MASTER_JAM!$Z$4:$AC$4,0))+0,0)</f>
        <v/>
      </c>
      <c r="Q919" s="158">
        <f>IF($P919=0,0,$P919+IFERROR(INDEX(MASTER_JAM!$H$5:$H$94,MATCH($C919,MASTER_JAM!$A$5:$A$94,0))+0,MASTER_JAM!$AC$15)/1000*(60/MASTER_JAM!$AC$12+60/MASTER_JAM!$AC$13)+MASTER_JAM!$AC$14)</f>
        <v/>
      </c>
      <c r="R919" s="158">
        <f>IF(N($F919)=0,0,$F919/SUMIFS(INPUT_RITASE!$F$5:$F$20000,INPUT_RITASE!$A$5:$A$20000,$A919,INPUT_RITASE!$B$5:$B$20000,$B919,INPUT_RITASE!$C$5:$C$20000,$C919,INPUT_RITASE!$D$5:$D$20000,$D919))</f>
        <v/>
      </c>
      <c r="S919" s="158">
        <f>IF($Q919=0,0,$R919*$P919/$Q919)</f>
        <v/>
      </c>
    </row>
    <row r="920">
      <c r="A920" s="155" t="n">
        <v>46107</v>
      </c>
      <c r="B920" s="156" t="inlineStr">
        <is>
          <t>13-14</t>
        </is>
      </c>
      <c r="C920" s="156" t="inlineStr">
        <is>
          <t>EX-1251</t>
        </is>
      </c>
      <c r="D920" s="156" t="inlineStr">
        <is>
          <t>DT-513</t>
        </is>
      </c>
      <c r="E920" s="156" t="inlineStr">
        <is>
          <t>OB</t>
        </is>
      </c>
      <c r="F920" s="156" t="n">
        <v>4</v>
      </c>
      <c r="G920" s="156" t="inlineStr"/>
      <c r="H920" s="157">
        <f>IF($B920="","",IF(ISNA(MATCH($B920,MASTER_JAM!$Q$5:$Q$28,0)),"?",IF(MATCH($B920,MASTER_JAM!$Q$5:$Q$28,0)&lt;=12,"DS","NS")))</f>
        <v/>
      </c>
      <c r="I920" s="157">
        <f>IFERROR(INDEX(MASTER_JAM!$B$5:$B$94,MATCH($C920,MASTER_JAM!$A$5:$A$94,0)),"")</f>
        <v/>
      </c>
      <c r="J920" s="157">
        <f>IFERROR(INDEX(MASTER_JAM!$E$5:$E$94,MATCH($D920,MASTER_JAM!$A$5:$A$94,0)),"")</f>
        <v/>
      </c>
      <c r="K920" s="158">
        <f>IFERROR(INDEX(MASTER_JAM!$J$5:$O$12,MATCH($E920,MASTER_JAM!$I$5:$I$12,0),MATCH($J920,MASTER_JAM!$J$4:$O$4,0))+0,0)</f>
        <v/>
      </c>
      <c r="L920" s="159">
        <f>N($F920)*$K920</f>
        <v/>
      </c>
      <c r="M920" s="157">
        <f>IF($E920="","",IF(OR($E920="Coal",$E920="Dirty Coal"),"MT","BCM"))</f>
        <v/>
      </c>
      <c r="N920" s="157">
        <f>IF($E920="","",IF(OR($E920="Coal",$E920="Dirty Coal"),"Coal","OB"))</f>
        <v/>
      </c>
      <c r="O920" s="157">
        <f>IF($F920="","",IF(COUNTIF(MASTER_JAM!$A$5:$A$94,$C920)=0,"Digger tidak dikenal",IF($J920="","Hauler tidak dikenal",IF($H920="?","Jam salah",IF($K920=0,"Faktor kosong",IF(SUMIFS(INPUT_DELAY!$E$5:$E$20000,INPUT_DELAY!$A$5:$A$20000,$A920,INPUT_DELAY!$B$5:$B$20000,$B920,INPUT_DELAY!$C$5:$C$20000,$C920)+SUMIFS(INPUT_DELAY!$E$5:$E$20000,INPUT_DELAY!$A$5:$A$20000,$A920,INPUT_DELAY!$B$5:$B$20000,$B920,INPUT_DELAY!$C$5:$C$20000,"SEMUA")&gt;=60,"Delay 60 mnt tapi ada ritase","OK"))))))</f>
        <v/>
      </c>
      <c r="P920" s="158">
        <f>IFERROR(INDEX(MASTER_JAM!$Z$5:$AC$10,MATCH($I920,MASTER_JAM!$Y$5:$Y$10,0),MATCH($J920,MASTER_JAM!$Z$4:$AC$4,0))+0,0)</f>
        <v/>
      </c>
      <c r="Q920" s="158">
        <f>IF($P920=0,0,$P920+IFERROR(INDEX(MASTER_JAM!$H$5:$H$94,MATCH($C920,MASTER_JAM!$A$5:$A$94,0))+0,MASTER_JAM!$AC$15)/1000*(60/MASTER_JAM!$AC$12+60/MASTER_JAM!$AC$13)+MASTER_JAM!$AC$14)</f>
        <v/>
      </c>
      <c r="R920" s="158">
        <f>IF(N($F920)=0,0,$F920/SUMIFS(INPUT_RITASE!$F$5:$F$20000,INPUT_RITASE!$A$5:$A$20000,$A920,INPUT_RITASE!$B$5:$B$20000,$B920,INPUT_RITASE!$C$5:$C$20000,$C920,INPUT_RITASE!$D$5:$D$20000,$D920))</f>
        <v/>
      </c>
      <c r="S920" s="158">
        <f>IF($Q920=0,0,$R920*$P920/$Q920)</f>
        <v/>
      </c>
    </row>
    <row r="921">
      <c r="A921" s="155" t="n">
        <v>46107</v>
      </c>
      <c r="B921" s="156" t="inlineStr">
        <is>
          <t>14-15</t>
        </is>
      </c>
      <c r="C921" s="156" t="inlineStr">
        <is>
          <t>EX-1251</t>
        </is>
      </c>
      <c r="D921" s="156" t="inlineStr">
        <is>
          <t>DT-503</t>
        </is>
      </c>
      <c r="E921" s="156" t="inlineStr">
        <is>
          <t>OB</t>
        </is>
      </c>
      <c r="F921" s="156" t="n">
        <v>4</v>
      </c>
      <c r="G921" s="156" t="inlineStr"/>
      <c r="H921" s="157">
        <f>IF($B921="","",IF(ISNA(MATCH($B921,MASTER_JAM!$Q$5:$Q$28,0)),"?",IF(MATCH($B921,MASTER_JAM!$Q$5:$Q$28,0)&lt;=12,"DS","NS")))</f>
        <v/>
      </c>
      <c r="I921" s="157">
        <f>IFERROR(INDEX(MASTER_JAM!$B$5:$B$94,MATCH($C921,MASTER_JAM!$A$5:$A$94,0)),"")</f>
        <v/>
      </c>
      <c r="J921" s="157">
        <f>IFERROR(INDEX(MASTER_JAM!$E$5:$E$94,MATCH($D921,MASTER_JAM!$A$5:$A$94,0)),"")</f>
        <v/>
      </c>
      <c r="K921" s="158">
        <f>IFERROR(INDEX(MASTER_JAM!$J$5:$O$12,MATCH($E921,MASTER_JAM!$I$5:$I$12,0),MATCH($J921,MASTER_JAM!$J$4:$O$4,0))+0,0)</f>
        <v/>
      </c>
      <c r="L921" s="159">
        <f>N($F921)*$K921</f>
        <v/>
      </c>
      <c r="M921" s="157">
        <f>IF($E921="","",IF(OR($E921="Coal",$E921="Dirty Coal"),"MT","BCM"))</f>
        <v/>
      </c>
      <c r="N921" s="157">
        <f>IF($E921="","",IF(OR($E921="Coal",$E921="Dirty Coal"),"Coal","OB"))</f>
        <v/>
      </c>
      <c r="O921" s="157">
        <f>IF($F921="","",IF(COUNTIF(MASTER_JAM!$A$5:$A$94,$C921)=0,"Digger tidak dikenal",IF($J921="","Hauler tidak dikenal",IF($H921="?","Jam salah",IF($K921=0,"Faktor kosong",IF(SUMIFS(INPUT_DELAY!$E$5:$E$20000,INPUT_DELAY!$A$5:$A$20000,$A921,INPUT_DELAY!$B$5:$B$20000,$B921,INPUT_DELAY!$C$5:$C$20000,$C921)+SUMIFS(INPUT_DELAY!$E$5:$E$20000,INPUT_DELAY!$A$5:$A$20000,$A921,INPUT_DELAY!$B$5:$B$20000,$B921,INPUT_DELAY!$C$5:$C$20000,"SEMUA")&gt;=60,"Delay 60 mnt tapi ada ritase","OK"))))))</f>
        <v/>
      </c>
      <c r="P921" s="158">
        <f>IFERROR(INDEX(MASTER_JAM!$Z$5:$AC$10,MATCH($I921,MASTER_JAM!$Y$5:$Y$10,0),MATCH($J921,MASTER_JAM!$Z$4:$AC$4,0))+0,0)</f>
        <v/>
      </c>
      <c r="Q921" s="158">
        <f>IF($P921=0,0,$P921+IFERROR(INDEX(MASTER_JAM!$H$5:$H$94,MATCH($C921,MASTER_JAM!$A$5:$A$94,0))+0,MASTER_JAM!$AC$15)/1000*(60/MASTER_JAM!$AC$12+60/MASTER_JAM!$AC$13)+MASTER_JAM!$AC$14)</f>
        <v/>
      </c>
      <c r="R921" s="158">
        <f>IF(N($F921)=0,0,$F921/SUMIFS(INPUT_RITASE!$F$5:$F$20000,INPUT_RITASE!$A$5:$A$20000,$A921,INPUT_RITASE!$B$5:$B$20000,$B921,INPUT_RITASE!$C$5:$C$20000,$C921,INPUT_RITASE!$D$5:$D$20000,$D921))</f>
        <v/>
      </c>
      <c r="S921" s="158">
        <f>IF($Q921=0,0,$R921*$P921/$Q921)</f>
        <v/>
      </c>
    </row>
    <row r="922">
      <c r="A922" s="155" t="n">
        <v>46107</v>
      </c>
      <c r="B922" s="156" t="inlineStr">
        <is>
          <t>14-15</t>
        </is>
      </c>
      <c r="C922" s="156" t="inlineStr">
        <is>
          <t>EX-1251</t>
        </is>
      </c>
      <c r="D922" s="156" t="inlineStr">
        <is>
          <t>DT-515</t>
        </is>
      </c>
      <c r="E922" s="156" t="inlineStr">
        <is>
          <t>OB</t>
        </is>
      </c>
      <c r="F922" s="156" t="n">
        <v>4</v>
      </c>
      <c r="G922" s="156" t="inlineStr"/>
      <c r="H922" s="157">
        <f>IF($B922="","",IF(ISNA(MATCH($B922,MASTER_JAM!$Q$5:$Q$28,0)),"?",IF(MATCH($B922,MASTER_JAM!$Q$5:$Q$28,0)&lt;=12,"DS","NS")))</f>
        <v/>
      </c>
      <c r="I922" s="157">
        <f>IFERROR(INDEX(MASTER_JAM!$B$5:$B$94,MATCH($C922,MASTER_JAM!$A$5:$A$94,0)),"")</f>
        <v/>
      </c>
      <c r="J922" s="157">
        <f>IFERROR(INDEX(MASTER_JAM!$E$5:$E$94,MATCH($D922,MASTER_JAM!$A$5:$A$94,0)),"")</f>
        <v/>
      </c>
      <c r="K922" s="158">
        <f>IFERROR(INDEX(MASTER_JAM!$J$5:$O$12,MATCH($E922,MASTER_JAM!$I$5:$I$12,0),MATCH($J922,MASTER_JAM!$J$4:$O$4,0))+0,0)</f>
        <v/>
      </c>
      <c r="L922" s="159">
        <f>N($F922)*$K922</f>
        <v/>
      </c>
      <c r="M922" s="157">
        <f>IF($E922="","",IF(OR($E922="Coal",$E922="Dirty Coal"),"MT","BCM"))</f>
        <v/>
      </c>
      <c r="N922" s="157">
        <f>IF($E922="","",IF(OR($E922="Coal",$E922="Dirty Coal"),"Coal","OB"))</f>
        <v/>
      </c>
      <c r="O922" s="157">
        <f>IF($F922="","",IF(COUNTIF(MASTER_JAM!$A$5:$A$94,$C922)=0,"Digger tidak dikenal",IF($J922="","Hauler tidak dikenal",IF($H922="?","Jam salah",IF($K922=0,"Faktor kosong",IF(SUMIFS(INPUT_DELAY!$E$5:$E$20000,INPUT_DELAY!$A$5:$A$20000,$A922,INPUT_DELAY!$B$5:$B$20000,$B922,INPUT_DELAY!$C$5:$C$20000,$C922)+SUMIFS(INPUT_DELAY!$E$5:$E$20000,INPUT_DELAY!$A$5:$A$20000,$A922,INPUT_DELAY!$B$5:$B$20000,$B922,INPUT_DELAY!$C$5:$C$20000,"SEMUA")&gt;=60,"Delay 60 mnt tapi ada ritase","OK"))))))</f>
        <v/>
      </c>
      <c r="P922" s="158">
        <f>IFERROR(INDEX(MASTER_JAM!$Z$5:$AC$10,MATCH($I922,MASTER_JAM!$Y$5:$Y$10,0),MATCH($J922,MASTER_JAM!$Z$4:$AC$4,0))+0,0)</f>
        <v/>
      </c>
      <c r="Q922" s="158">
        <f>IF($P922=0,0,$P922+IFERROR(INDEX(MASTER_JAM!$H$5:$H$94,MATCH($C922,MASTER_JAM!$A$5:$A$94,0))+0,MASTER_JAM!$AC$15)/1000*(60/MASTER_JAM!$AC$12+60/MASTER_JAM!$AC$13)+MASTER_JAM!$AC$14)</f>
        <v/>
      </c>
      <c r="R922" s="158">
        <f>IF(N($F922)=0,0,$F922/SUMIFS(INPUT_RITASE!$F$5:$F$20000,INPUT_RITASE!$A$5:$A$20000,$A922,INPUT_RITASE!$B$5:$B$20000,$B922,INPUT_RITASE!$C$5:$C$20000,$C922,INPUT_RITASE!$D$5:$D$20000,$D922))</f>
        <v/>
      </c>
      <c r="S922" s="158">
        <f>IF($Q922=0,0,$R922*$P922/$Q922)</f>
        <v/>
      </c>
    </row>
    <row r="923">
      <c r="A923" s="155" t="n">
        <v>46107</v>
      </c>
      <c r="B923" s="156" t="inlineStr">
        <is>
          <t>14-15</t>
        </is>
      </c>
      <c r="C923" s="156" t="inlineStr">
        <is>
          <t>EX-1251</t>
        </is>
      </c>
      <c r="D923" s="156" t="inlineStr">
        <is>
          <t>DT-510</t>
        </is>
      </c>
      <c r="E923" s="156" t="inlineStr">
        <is>
          <t>OB</t>
        </is>
      </c>
      <c r="F923" s="156" t="n">
        <v>3</v>
      </c>
      <c r="G923" s="156" t="inlineStr"/>
      <c r="H923" s="157">
        <f>IF($B923="","",IF(ISNA(MATCH($B923,MASTER_JAM!$Q$5:$Q$28,0)),"?",IF(MATCH($B923,MASTER_JAM!$Q$5:$Q$28,0)&lt;=12,"DS","NS")))</f>
        <v/>
      </c>
      <c r="I923" s="157">
        <f>IFERROR(INDEX(MASTER_JAM!$B$5:$B$94,MATCH($C923,MASTER_JAM!$A$5:$A$94,0)),"")</f>
        <v/>
      </c>
      <c r="J923" s="157">
        <f>IFERROR(INDEX(MASTER_JAM!$E$5:$E$94,MATCH($D923,MASTER_JAM!$A$5:$A$94,0)),"")</f>
        <v/>
      </c>
      <c r="K923" s="158">
        <f>IFERROR(INDEX(MASTER_JAM!$J$5:$O$12,MATCH($E923,MASTER_JAM!$I$5:$I$12,0),MATCH($J923,MASTER_JAM!$J$4:$O$4,0))+0,0)</f>
        <v/>
      </c>
      <c r="L923" s="159">
        <f>N($F923)*$K923</f>
        <v/>
      </c>
      <c r="M923" s="157">
        <f>IF($E923="","",IF(OR($E923="Coal",$E923="Dirty Coal"),"MT","BCM"))</f>
        <v/>
      </c>
      <c r="N923" s="157">
        <f>IF($E923="","",IF(OR($E923="Coal",$E923="Dirty Coal"),"Coal","OB"))</f>
        <v/>
      </c>
      <c r="O923" s="157">
        <f>IF($F923="","",IF(COUNTIF(MASTER_JAM!$A$5:$A$94,$C923)=0,"Digger tidak dikenal",IF($J923="","Hauler tidak dikenal",IF($H923="?","Jam salah",IF($K923=0,"Faktor kosong",IF(SUMIFS(INPUT_DELAY!$E$5:$E$20000,INPUT_DELAY!$A$5:$A$20000,$A923,INPUT_DELAY!$B$5:$B$20000,$B923,INPUT_DELAY!$C$5:$C$20000,$C923)+SUMIFS(INPUT_DELAY!$E$5:$E$20000,INPUT_DELAY!$A$5:$A$20000,$A923,INPUT_DELAY!$B$5:$B$20000,$B923,INPUT_DELAY!$C$5:$C$20000,"SEMUA")&gt;=60,"Delay 60 mnt tapi ada ritase","OK"))))))</f>
        <v/>
      </c>
      <c r="P923" s="158">
        <f>IFERROR(INDEX(MASTER_JAM!$Z$5:$AC$10,MATCH($I923,MASTER_JAM!$Y$5:$Y$10,0),MATCH($J923,MASTER_JAM!$Z$4:$AC$4,0))+0,0)</f>
        <v/>
      </c>
      <c r="Q923" s="158">
        <f>IF($P923=0,0,$P923+IFERROR(INDEX(MASTER_JAM!$H$5:$H$94,MATCH($C923,MASTER_JAM!$A$5:$A$94,0))+0,MASTER_JAM!$AC$15)/1000*(60/MASTER_JAM!$AC$12+60/MASTER_JAM!$AC$13)+MASTER_JAM!$AC$14)</f>
        <v/>
      </c>
      <c r="R923" s="158">
        <f>IF(N($F923)=0,0,$F923/SUMIFS(INPUT_RITASE!$F$5:$F$20000,INPUT_RITASE!$A$5:$A$20000,$A923,INPUT_RITASE!$B$5:$B$20000,$B923,INPUT_RITASE!$C$5:$C$20000,$C923,INPUT_RITASE!$D$5:$D$20000,$D923))</f>
        <v/>
      </c>
      <c r="S923" s="158">
        <f>IF($Q923=0,0,$R923*$P923/$Q923)</f>
        <v/>
      </c>
    </row>
    <row r="924">
      <c r="A924" s="155" t="n">
        <v>46107</v>
      </c>
      <c r="B924" s="156" t="inlineStr">
        <is>
          <t>14-15</t>
        </is>
      </c>
      <c r="C924" s="156" t="inlineStr">
        <is>
          <t>EX-1251</t>
        </is>
      </c>
      <c r="D924" s="156" t="inlineStr">
        <is>
          <t>DT-501</t>
        </is>
      </c>
      <c r="E924" s="156" t="inlineStr">
        <is>
          <t>OB</t>
        </is>
      </c>
      <c r="F924" s="156" t="n">
        <v>3</v>
      </c>
      <c r="G924" s="156" t="inlineStr"/>
      <c r="H924" s="157">
        <f>IF($B924="","",IF(ISNA(MATCH($B924,MASTER_JAM!$Q$5:$Q$28,0)),"?",IF(MATCH($B924,MASTER_JAM!$Q$5:$Q$28,0)&lt;=12,"DS","NS")))</f>
        <v/>
      </c>
      <c r="I924" s="157">
        <f>IFERROR(INDEX(MASTER_JAM!$B$5:$B$94,MATCH($C924,MASTER_JAM!$A$5:$A$94,0)),"")</f>
        <v/>
      </c>
      <c r="J924" s="157">
        <f>IFERROR(INDEX(MASTER_JAM!$E$5:$E$94,MATCH($D924,MASTER_JAM!$A$5:$A$94,0)),"")</f>
        <v/>
      </c>
      <c r="K924" s="158">
        <f>IFERROR(INDEX(MASTER_JAM!$J$5:$O$12,MATCH($E924,MASTER_JAM!$I$5:$I$12,0),MATCH($J924,MASTER_JAM!$J$4:$O$4,0))+0,0)</f>
        <v/>
      </c>
      <c r="L924" s="159">
        <f>N($F924)*$K924</f>
        <v/>
      </c>
      <c r="M924" s="157">
        <f>IF($E924="","",IF(OR($E924="Coal",$E924="Dirty Coal"),"MT","BCM"))</f>
        <v/>
      </c>
      <c r="N924" s="157">
        <f>IF($E924="","",IF(OR($E924="Coal",$E924="Dirty Coal"),"Coal","OB"))</f>
        <v/>
      </c>
      <c r="O924" s="157">
        <f>IF($F924="","",IF(COUNTIF(MASTER_JAM!$A$5:$A$94,$C924)=0,"Digger tidak dikenal",IF($J924="","Hauler tidak dikenal",IF($H924="?","Jam salah",IF($K924=0,"Faktor kosong",IF(SUMIFS(INPUT_DELAY!$E$5:$E$20000,INPUT_DELAY!$A$5:$A$20000,$A924,INPUT_DELAY!$B$5:$B$20000,$B924,INPUT_DELAY!$C$5:$C$20000,$C924)+SUMIFS(INPUT_DELAY!$E$5:$E$20000,INPUT_DELAY!$A$5:$A$20000,$A924,INPUT_DELAY!$B$5:$B$20000,$B924,INPUT_DELAY!$C$5:$C$20000,"SEMUA")&gt;=60,"Delay 60 mnt tapi ada ritase","OK"))))))</f>
        <v/>
      </c>
      <c r="P924" s="158">
        <f>IFERROR(INDEX(MASTER_JAM!$Z$5:$AC$10,MATCH($I924,MASTER_JAM!$Y$5:$Y$10,0),MATCH($J924,MASTER_JAM!$Z$4:$AC$4,0))+0,0)</f>
        <v/>
      </c>
      <c r="Q924" s="158">
        <f>IF($P924=0,0,$P924+IFERROR(INDEX(MASTER_JAM!$H$5:$H$94,MATCH($C924,MASTER_JAM!$A$5:$A$94,0))+0,MASTER_JAM!$AC$15)/1000*(60/MASTER_JAM!$AC$12+60/MASTER_JAM!$AC$13)+MASTER_JAM!$AC$14)</f>
        <v/>
      </c>
      <c r="R924" s="158">
        <f>IF(N($F924)=0,0,$F924/SUMIFS(INPUT_RITASE!$F$5:$F$20000,INPUT_RITASE!$A$5:$A$20000,$A924,INPUT_RITASE!$B$5:$B$20000,$B924,INPUT_RITASE!$C$5:$C$20000,$C924,INPUT_RITASE!$D$5:$D$20000,$D924))</f>
        <v/>
      </c>
      <c r="S924" s="158">
        <f>IF($Q924=0,0,$R924*$P924/$Q924)</f>
        <v/>
      </c>
    </row>
    <row r="925">
      <c r="A925" s="155" t="n">
        <v>46107</v>
      </c>
      <c r="B925" s="156" t="inlineStr">
        <is>
          <t>15-16</t>
        </is>
      </c>
      <c r="C925" s="156" t="inlineStr">
        <is>
          <t>EX-1251</t>
        </is>
      </c>
      <c r="D925" s="156" t="inlineStr">
        <is>
          <t>DT-505</t>
        </is>
      </c>
      <c r="E925" s="156" t="inlineStr">
        <is>
          <t>OB</t>
        </is>
      </c>
      <c r="F925" s="156" t="n">
        <v>4</v>
      </c>
      <c r="G925" s="156" t="inlineStr"/>
      <c r="H925" s="157">
        <f>IF($B925="","",IF(ISNA(MATCH($B925,MASTER_JAM!$Q$5:$Q$28,0)),"?",IF(MATCH($B925,MASTER_JAM!$Q$5:$Q$28,0)&lt;=12,"DS","NS")))</f>
        <v/>
      </c>
      <c r="I925" s="157">
        <f>IFERROR(INDEX(MASTER_JAM!$B$5:$B$94,MATCH($C925,MASTER_JAM!$A$5:$A$94,0)),"")</f>
        <v/>
      </c>
      <c r="J925" s="157">
        <f>IFERROR(INDEX(MASTER_JAM!$E$5:$E$94,MATCH($D925,MASTER_JAM!$A$5:$A$94,0)),"")</f>
        <v/>
      </c>
      <c r="K925" s="158">
        <f>IFERROR(INDEX(MASTER_JAM!$J$5:$O$12,MATCH($E925,MASTER_JAM!$I$5:$I$12,0),MATCH($J925,MASTER_JAM!$J$4:$O$4,0))+0,0)</f>
        <v/>
      </c>
      <c r="L925" s="159">
        <f>N($F925)*$K925</f>
        <v/>
      </c>
      <c r="M925" s="157">
        <f>IF($E925="","",IF(OR($E925="Coal",$E925="Dirty Coal"),"MT","BCM"))</f>
        <v/>
      </c>
      <c r="N925" s="157">
        <f>IF($E925="","",IF(OR($E925="Coal",$E925="Dirty Coal"),"Coal","OB"))</f>
        <v/>
      </c>
      <c r="O925" s="157">
        <f>IF($F925="","",IF(COUNTIF(MASTER_JAM!$A$5:$A$94,$C925)=0,"Digger tidak dikenal",IF($J925="","Hauler tidak dikenal",IF($H925="?","Jam salah",IF($K925=0,"Faktor kosong",IF(SUMIFS(INPUT_DELAY!$E$5:$E$20000,INPUT_DELAY!$A$5:$A$20000,$A925,INPUT_DELAY!$B$5:$B$20000,$B925,INPUT_DELAY!$C$5:$C$20000,$C925)+SUMIFS(INPUT_DELAY!$E$5:$E$20000,INPUT_DELAY!$A$5:$A$20000,$A925,INPUT_DELAY!$B$5:$B$20000,$B925,INPUT_DELAY!$C$5:$C$20000,"SEMUA")&gt;=60,"Delay 60 mnt tapi ada ritase","OK"))))))</f>
        <v/>
      </c>
      <c r="P925" s="158">
        <f>IFERROR(INDEX(MASTER_JAM!$Z$5:$AC$10,MATCH($I925,MASTER_JAM!$Y$5:$Y$10,0),MATCH($J925,MASTER_JAM!$Z$4:$AC$4,0))+0,0)</f>
        <v/>
      </c>
      <c r="Q925" s="158">
        <f>IF($P925=0,0,$P925+IFERROR(INDEX(MASTER_JAM!$H$5:$H$94,MATCH($C925,MASTER_JAM!$A$5:$A$94,0))+0,MASTER_JAM!$AC$15)/1000*(60/MASTER_JAM!$AC$12+60/MASTER_JAM!$AC$13)+MASTER_JAM!$AC$14)</f>
        <v/>
      </c>
      <c r="R925" s="158">
        <f>IF(N($F925)=0,0,$F925/SUMIFS(INPUT_RITASE!$F$5:$F$20000,INPUT_RITASE!$A$5:$A$20000,$A925,INPUT_RITASE!$B$5:$B$20000,$B925,INPUT_RITASE!$C$5:$C$20000,$C925,INPUT_RITASE!$D$5:$D$20000,$D925))</f>
        <v/>
      </c>
      <c r="S925" s="158">
        <f>IF($Q925=0,0,$R925*$P925/$Q925)</f>
        <v/>
      </c>
    </row>
    <row r="926">
      <c r="A926" s="155" t="n">
        <v>46107</v>
      </c>
      <c r="B926" s="156" t="inlineStr">
        <is>
          <t>15-16</t>
        </is>
      </c>
      <c r="C926" s="156" t="inlineStr">
        <is>
          <t>EX-1251</t>
        </is>
      </c>
      <c r="D926" s="156" t="inlineStr">
        <is>
          <t>DT-506</t>
        </is>
      </c>
      <c r="E926" s="156" t="inlineStr">
        <is>
          <t>OB</t>
        </is>
      </c>
      <c r="F926" s="156" t="n">
        <v>4</v>
      </c>
      <c r="G926" s="156" t="inlineStr"/>
      <c r="H926" s="157">
        <f>IF($B926="","",IF(ISNA(MATCH($B926,MASTER_JAM!$Q$5:$Q$28,0)),"?",IF(MATCH($B926,MASTER_JAM!$Q$5:$Q$28,0)&lt;=12,"DS","NS")))</f>
        <v/>
      </c>
      <c r="I926" s="157">
        <f>IFERROR(INDEX(MASTER_JAM!$B$5:$B$94,MATCH($C926,MASTER_JAM!$A$5:$A$94,0)),"")</f>
        <v/>
      </c>
      <c r="J926" s="157">
        <f>IFERROR(INDEX(MASTER_JAM!$E$5:$E$94,MATCH($D926,MASTER_JAM!$A$5:$A$94,0)),"")</f>
        <v/>
      </c>
      <c r="K926" s="158">
        <f>IFERROR(INDEX(MASTER_JAM!$J$5:$O$12,MATCH($E926,MASTER_JAM!$I$5:$I$12,0),MATCH($J926,MASTER_JAM!$J$4:$O$4,0))+0,0)</f>
        <v/>
      </c>
      <c r="L926" s="159">
        <f>N($F926)*$K926</f>
        <v/>
      </c>
      <c r="M926" s="157">
        <f>IF($E926="","",IF(OR($E926="Coal",$E926="Dirty Coal"),"MT","BCM"))</f>
        <v/>
      </c>
      <c r="N926" s="157">
        <f>IF($E926="","",IF(OR($E926="Coal",$E926="Dirty Coal"),"Coal","OB"))</f>
        <v/>
      </c>
      <c r="O926" s="157">
        <f>IF($F926="","",IF(COUNTIF(MASTER_JAM!$A$5:$A$94,$C926)=0,"Digger tidak dikenal",IF($J926="","Hauler tidak dikenal",IF($H926="?","Jam salah",IF($K926=0,"Faktor kosong",IF(SUMIFS(INPUT_DELAY!$E$5:$E$20000,INPUT_DELAY!$A$5:$A$20000,$A926,INPUT_DELAY!$B$5:$B$20000,$B926,INPUT_DELAY!$C$5:$C$20000,$C926)+SUMIFS(INPUT_DELAY!$E$5:$E$20000,INPUT_DELAY!$A$5:$A$20000,$A926,INPUT_DELAY!$B$5:$B$20000,$B926,INPUT_DELAY!$C$5:$C$20000,"SEMUA")&gt;=60,"Delay 60 mnt tapi ada ritase","OK"))))))</f>
        <v/>
      </c>
      <c r="P926" s="158">
        <f>IFERROR(INDEX(MASTER_JAM!$Z$5:$AC$10,MATCH($I926,MASTER_JAM!$Y$5:$Y$10,0),MATCH($J926,MASTER_JAM!$Z$4:$AC$4,0))+0,0)</f>
        <v/>
      </c>
      <c r="Q926" s="158">
        <f>IF($P926=0,0,$P926+IFERROR(INDEX(MASTER_JAM!$H$5:$H$94,MATCH($C926,MASTER_JAM!$A$5:$A$94,0))+0,MASTER_JAM!$AC$15)/1000*(60/MASTER_JAM!$AC$12+60/MASTER_JAM!$AC$13)+MASTER_JAM!$AC$14)</f>
        <v/>
      </c>
      <c r="R926" s="158">
        <f>IF(N($F926)=0,0,$F926/SUMIFS(INPUT_RITASE!$F$5:$F$20000,INPUT_RITASE!$A$5:$A$20000,$A926,INPUT_RITASE!$B$5:$B$20000,$B926,INPUT_RITASE!$C$5:$C$20000,$C926,INPUT_RITASE!$D$5:$D$20000,$D926))</f>
        <v/>
      </c>
      <c r="S926" s="158">
        <f>IF($Q926=0,0,$R926*$P926/$Q926)</f>
        <v/>
      </c>
    </row>
    <row r="927">
      <c r="A927" s="155" t="n">
        <v>46107</v>
      </c>
      <c r="B927" s="156" t="inlineStr">
        <is>
          <t>15-16</t>
        </is>
      </c>
      <c r="C927" s="156" t="inlineStr">
        <is>
          <t>EX-1251</t>
        </is>
      </c>
      <c r="D927" s="156" t="inlineStr">
        <is>
          <t>DT-503</t>
        </is>
      </c>
      <c r="E927" s="156" t="inlineStr">
        <is>
          <t>OB</t>
        </is>
      </c>
      <c r="F927" s="156" t="n">
        <v>3</v>
      </c>
      <c r="G927" s="156" t="inlineStr"/>
      <c r="H927" s="157">
        <f>IF($B927="","",IF(ISNA(MATCH($B927,MASTER_JAM!$Q$5:$Q$28,0)),"?",IF(MATCH($B927,MASTER_JAM!$Q$5:$Q$28,0)&lt;=12,"DS","NS")))</f>
        <v/>
      </c>
      <c r="I927" s="157">
        <f>IFERROR(INDEX(MASTER_JAM!$B$5:$B$94,MATCH($C927,MASTER_JAM!$A$5:$A$94,0)),"")</f>
        <v/>
      </c>
      <c r="J927" s="157">
        <f>IFERROR(INDEX(MASTER_JAM!$E$5:$E$94,MATCH($D927,MASTER_JAM!$A$5:$A$94,0)),"")</f>
        <v/>
      </c>
      <c r="K927" s="158">
        <f>IFERROR(INDEX(MASTER_JAM!$J$5:$O$12,MATCH($E927,MASTER_JAM!$I$5:$I$12,0),MATCH($J927,MASTER_JAM!$J$4:$O$4,0))+0,0)</f>
        <v/>
      </c>
      <c r="L927" s="159">
        <f>N($F927)*$K927</f>
        <v/>
      </c>
      <c r="M927" s="157">
        <f>IF($E927="","",IF(OR($E927="Coal",$E927="Dirty Coal"),"MT","BCM"))</f>
        <v/>
      </c>
      <c r="N927" s="157">
        <f>IF($E927="","",IF(OR($E927="Coal",$E927="Dirty Coal"),"Coal","OB"))</f>
        <v/>
      </c>
      <c r="O927" s="157">
        <f>IF($F927="","",IF(COUNTIF(MASTER_JAM!$A$5:$A$94,$C927)=0,"Digger tidak dikenal",IF($J927="","Hauler tidak dikenal",IF($H927="?","Jam salah",IF($K927=0,"Faktor kosong",IF(SUMIFS(INPUT_DELAY!$E$5:$E$20000,INPUT_DELAY!$A$5:$A$20000,$A927,INPUT_DELAY!$B$5:$B$20000,$B927,INPUT_DELAY!$C$5:$C$20000,$C927)+SUMIFS(INPUT_DELAY!$E$5:$E$20000,INPUT_DELAY!$A$5:$A$20000,$A927,INPUT_DELAY!$B$5:$B$20000,$B927,INPUT_DELAY!$C$5:$C$20000,"SEMUA")&gt;=60,"Delay 60 mnt tapi ada ritase","OK"))))))</f>
        <v/>
      </c>
      <c r="P927" s="158">
        <f>IFERROR(INDEX(MASTER_JAM!$Z$5:$AC$10,MATCH($I927,MASTER_JAM!$Y$5:$Y$10,0),MATCH($J927,MASTER_JAM!$Z$4:$AC$4,0))+0,0)</f>
        <v/>
      </c>
      <c r="Q927" s="158">
        <f>IF($P927=0,0,$P927+IFERROR(INDEX(MASTER_JAM!$H$5:$H$94,MATCH($C927,MASTER_JAM!$A$5:$A$94,0))+0,MASTER_JAM!$AC$15)/1000*(60/MASTER_JAM!$AC$12+60/MASTER_JAM!$AC$13)+MASTER_JAM!$AC$14)</f>
        <v/>
      </c>
      <c r="R927" s="158">
        <f>IF(N($F927)=0,0,$F927/SUMIFS(INPUT_RITASE!$F$5:$F$20000,INPUT_RITASE!$A$5:$A$20000,$A927,INPUT_RITASE!$B$5:$B$20000,$B927,INPUT_RITASE!$C$5:$C$20000,$C927,INPUT_RITASE!$D$5:$D$20000,$D927))</f>
        <v/>
      </c>
      <c r="S927" s="158">
        <f>IF($Q927=0,0,$R927*$P927/$Q927)</f>
        <v/>
      </c>
    </row>
    <row r="928">
      <c r="A928" s="155" t="n">
        <v>46107</v>
      </c>
      <c r="B928" s="156" t="inlineStr">
        <is>
          <t>15-16</t>
        </is>
      </c>
      <c r="C928" s="156" t="inlineStr">
        <is>
          <t>EX-1251</t>
        </is>
      </c>
      <c r="D928" s="156" t="inlineStr">
        <is>
          <t>DT-523</t>
        </is>
      </c>
      <c r="E928" s="156" t="inlineStr">
        <is>
          <t>OB</t>
        </is>
      </c>
      <c r="F928" s="156" t="n">
        <v>3</v>
      </c>
      <c r="G928" s="156" t="inlineStr"/>
      <c r="H928" s="157">
        <f>IF($B928="","",IF(ISNA(MATCH($B928,MASTER_JAM!$Q$5:$Q$28,0)),"?",IF(MATCH($B928,MASTER_JAM!$Q$5:$Q$28,0)&lt;=12,"DS","NS")))</f>
        <v/>
      </c>
      <c r="I928" s="157">
        <f>IFERROR(INDEX(MASTER_JAM!$B$5:$B$94,MATCH($C928,MASTER_JAM!$A$5:$A$94,0)),"")</f>
        <v/>
      </c>
      <c r="J928" s="157">
        <f>IFERROR(INDEX(MASTER_JAM!$E$5:$E$94,MATCH($D928,MASTER_JAM!$A$5:$A$94,0)),"")</f>
        <v/>
      </c>
      <c r="K928" s="158">
        <f>IFERROR(INDEX(MASTER_JAM!$J$5:$O$12,MATCH($E928,MASTER_JAM!$I$5:$I$12,0),MATCH($J928,MASTER_JAM!$J$4:$O$4,0))+0,0)</f>
        <v/>
      </c>
      <c r="L928" s="159">
        <f>N($F928)*$K928</f>
        <v/>
      </c>
      <c r="M928" s="157">
        <f>IF($E928="","",IF(OR($E928="Coal",$E928="Dirty Coal"),"MT","BCM"))</f>
        <v/>
      </c>
      <c r="N928" s="157">
        <f>IF($E928="","",IF(OR($E928="Coal",$E928="Dirty Coal"),"Coal","OB"))</f>
        <v/>
      </c>
      <c r="O928" s="157">
        <f>IF($F928="","",IF(COUNTIF(MASTER_JAM!$A$5:$A$94,$C928)=0,"Digger tidak dikenal",IF($J928="","Hauler tidak dikenal",IF($H928="?","Jam salah",IF($K928=0,"Faktor kosong",IF(SUMIFS(INPUT_DELAY!$E$5:$E$20000,INPUT_DELAY!$A$5:$A$20000,$A928,INPUT_DELAY!$B$5:$B$20000,$B928,INPUT_DELAY!$C$5:$C$20000,$C928)+SUMIFS(INPUT_DELAY!$E$5:$E$20000,INPUT_DELAY!$A$5:$A$20000,$A928,INPUT_DELAY!$B$5:$B$20000,$B928,INPUT_DELAY!$C$5:$C$20000,"SEMUA")&gt;=60,"Delay 60 mnt tapi ada ritase","OK"))))))</f>
        <v/>
      </c>
      <c r="P928" s="158">
        <f>IFERROR(INDEX(MASTER_JAM!$Z$5:$AC$10,MATCH($I928,MASTER_JAM!$Y$5:$Y$10,0),MATCH($J928,MASTER_JAM!$Z$4:$AC$4,0))+0,0)</f>
        <v/>
      </c>
      <c r="Q928" s="158">
        <f>IF($P928=0,0,$P928+IFERROR(INDEX(MASTER_JAM!$H$5:$H$94,MATCH($C928,MASTER_JAM!$A$5:$A$94,0))+0,MASTER_JAM!$AC$15)/1000*(60/MASTER_JAM!$AC$12+60/MASTER_JAM!$AC$13)+MASTER_JAM!$AC$14)</f>
        <v/>
      </c>
      <c r="R928" s="158">
        <f>IF(N($F928)=0,0,$F928/SUMIFS(INPUT_RITASE!$F$5:$F$20000,INPUT_RITASE!$A$5:$A$20000,$A928,INPUT_RITASE!$B$5:$B$20000,$B928,INPUT_RITASE!$C$5:$C$20000,$C928,INPUT_RITASE!$D$5:$D$20000,$D928))</f>
        <v/>
      </c>
      <c r="S928" s="158">
        <f>IF($Q928=0,0,$R928*$P928/$Q928)</f>
        <v/>
      </c>
    </row>
    <row r="929">
      <c r="A929" s="155" t="n">
        <v>46107</v>
      </c>
      <c r="B929" s="156" t="inlineStr">
        <is>
          <t>16-17</t>
        </is>
      </c>
      <c r="C929" s="156" t="inlineStr">
        <is>
          <t>EX-1251</t>
        </is>
      </c>
      <c r="D929" s="156" t="inlineStr">
        <is>
          <t>DT-505</t>
        </is>
      </c>
      <c r="E929" s="156" t="inlineStr">
        <is>
          <t>OB</t>
        </is>
      </c>
      <c r="F929" s="156" t="n">
        <v>4</v>
      </c>
      <c r="G929" s="156" t="inlineStr"/>
      <c r="H929" s="157">
        <f>IF($B929="","",IF(ISNA(MATCH($B929,MASTER_JAM!$Q$5:$Q$28,0)),"?",IF(MATCH($B929,MASTER_JAM!$Q$5:$Q$28,0)&lt;=12,"DS","NS")))</f>
        <v/>
      </c>
      <c r="I929" s="157">
        <f>IFERROR(INDEX(MASTER_JAM!$B$5:$B$94,MATCH($C929,MASTER_JAM!$A$5:$A$94,0)),"")</f>
        <v/>
      </c>
      <c r="J929" s="157">
        <f>IFERROR(INDEX(MASTER_JAM!$E$5:$E$94,MATCH($D929,MASTER_JAM!$A$5:$A$94,0)),"")</f>
        <v/>
      </c>
      <c r="K929" s="158">
        <f>IFERROR(INDEX(MASTER_JAM!$J$5:$O$12,MATCH($E929,MASTER_JAM!$I$5:$I$12,0),MATCH($J929,MASTER_JAM!$J$4:$O$4,0))+0,0)</f>
        <v/>
      </c>
      <c r="L929" s="159">
        <f>N($F929)*$K929</f>
        <v/>
      </c>
      <c r="M929" s="157">
        <f>IF($E929="","",IF(OR($E929="Coal",$E929="Dirty Coal"),"MT","BCM"))</f>
        <v/>
      </c>
      <c r="N929" s="157">
        <f>IF($E929="","",IF(OR($E929="Coal",$E929="Dirty Coal"),"Coal","OB"))</f>
        <v/>
      </c>
      <c r="O929" s="157">
        <f>IF($F929="","",IF(COUNTIF(MASTER_JAM!$A$5:$A$94,$C929)=0,"Digger tidak dikenal",IF($J929="","Hauler tidak dikenal",IF($H929="?","Jam salah",IF($K929=0,"Faktor kosong",IF(SUMIFS(INPUT_DELAY!$E$5:$E$20000,INPUT_DELAY!$A$5:$A$20000,$A929,INPUT_DELAY!$B$5:$B$20000,$B929,INPUT_DELAY!$C$5:$C$20000,$C929)+SUMIFS(INPUT_DELAY!$E$5:$E$20000,INPUT_DELAY!$A$5:$A$20000,$A929,INPUT_DELAY!$B$5:$B$20000,$B929,INPUT_DELAY!$C$5:$C$20000,"SEMUA")&gt;=60,"Delay 60 mnt tapi ada ritase","OK"))))))</f>
        <v/>
      </c>
      <c r="P929" s="158">
        <f>IFERROR(INDEX(MASTER_JAM!$Z$5:$AC$10,MATCH($I929,MASTER_JAM!$Y$5:$Y$10,0),MATCH($J929,MASTER_JAM!$Z$4:$AC$4,0))+0,0)</f>
        <v/>
      </c>
      <c r="Q929" s="158">
        <f>IF($P929=0,0,$P929+IFERROR(INDEX(MASTER_JAM!$H$5:$H$94,MATCH($C929,MASTER_JAM!$A$5:$A$94,0))+0,MASTER_JAM!$AC$15)/1000*(60/MASTER_JAM!$AC$12+60/MASTER_JAM!$AC$13)+MASTER_JAM!$AC$14)</f>
        <v/>
      </c>
      <c r="R929" s="158">
        <f>IF(N($F929)=0,0,$F929/SUMIFS(INPUT_RITASE!$F$5:$F$20000,INPUT_RITASE!$A$5:$A$20000,$A929,INPUT_RITASE!$B$5:$B$20000,$B929,INPUT_RITASE!$C$5:$C$20000,$C929,INPUT_RITASE!$D$5:$D$20000,$D929))</f>
        <v/>
      </c>
      <c r="S929" s="158">
        <f>IF($Q929=0,0,$R929*$P929/$Q929)</f>
        <v/>
      </c>
    </row>
    <row r="930">
      <c r="A930" s="155" t="n">
        <v>46107</v>
      </c>
      <c r="B930" s="156" t="inlineStr">
        <is>
          <t>16-17</t>
        </is>
      </c>
      <c r="C930" s="156" t="inlineStr">
        <is>
          <t>EX-1251</t>
        </is>
      </c>
      <c r="D930" s="156" t="inlineStr">
        <is>
          <t>DT-517</t>
        </is>
      </c>
      <c r="E930" s="156" t="inlineStr">
        <is>
          <t>OB</t>
        </is>
      </c>
      <c r="F930" s="156" t="n">
        <v>3</v>
      </c>
      <c r="G930" s="156" t="inlineStr"/>
      <c r="H930" s="157">
        <f>IF($B930="","",IF(ISNA(MATCH($B930,MASTER_JAM!$Q$5:$Q$28,0)),"?",IF(MATCH($B930,MASTER_JAM!$Q$5:$Q$28,0)&lt;=12,"DS","NS")))</f>
        <v/>
      </c>
      <c r="I930" s="157">
        <f>IFERROR(INDEX(MASTER_JAM!$B$5:$B$94,MATCH($C930,MASTER_JAM!$A$5:$A$94,0)),"")</f>
        <v/>
      </c>
      <c r="J930" s="157">
        <f>IFERROR(INDEX(MASTER_JAM!$E$5:$E$94,MATCH($D930,MASTER_JAM!$A$5:$A$94,0)),"")</f>
        <v/>
      </c>
      <c r="K930" s="158">
        <f>IFERROR(INDEX(MASTER_JAM!$J$5:$O$12,MATCH($E930,MASTER_JAM!$I$5:$I$12,0),MATCH($J930,MASTER_JAM!$J$4:$O$4,0))+0,0)</f>
        <v/>
      </c>
      <c r="L930" s="159">
        <f>N($F930)*$K930</f>
        <v/>
      </c>
      <c r="M930" s="157">
        <f>IF($E930="","",IF(OR($E930="Coal",$E930="Dirty Coal"),"MT","BCM"))</f>
        <v/>
      </c>
      <c r="N930" s="157">
        <f>IF($E930="","",IF(OR($E930="Coal",$E930="Dirty Coal"),"Coal","OB"))</f>
        <v/>
      </c>
      <c r="O930" s="157">
        <f>IF($F930="","",IF(COUNTIF(MASTER_JAM!$A$5:$A$94,$C930)=0,"Digger tidak dikenal",IF($J930="","Hauler tidak dikenal",IF($H930="?","Jam salah",IF($K930=0,"Faktor kosong",IF(SUMIFS(INPUT_DELAY!$E$5:$E$20000,INPUT_DELAY!$A$5:$A$20000,$A930,INPUT_DELAY!$B$5:$B$20000,$B930,INPUT_DELAY!$C$5:$C$20000,$C930)+SUMIFS(INPUT_DELAY!$E$5:$E$20000,INPUT_DELAY!$A$5:$A$20000,$A930,INPUT_DELAY!$B$5:$B$20000,$B930,INPUT_DELAY!$C$5:$C$20000,"SEMUA")&gt;=60,"Delay 60 mnt tapi ada ritase","OK"))))))</f>
        <v/>
      </c>
      <c r="P930" s="158">
        <f>IFERROR(INDEX(MASTER_JAM!$Z$5:$AC$10,MATCH($I930,MASTER_JAM!$Y$5:$Y$10,0),MATCH($J930,MASTER_JAM!$Z$4:$AC$4,0))+0,0)</f>
        <v/>
      </c>
      <c r="Q930" s="158">
        <f>IF($P930=0,0,$P930+IFERROR(INDEX(MASTER_JAM!$H$5:$H$94,MATCH($C930,MASTER_JAM!$A$5:$A$94,0))+0,MASTER_JAM!$AC$15)/1000*(60/MASTER_JAM!$AC$12+60/MASTER_JAM!$AC$13)+MASTER_JAM!$AC$14)</f>
        <v/>
      </c>
      <c r="R930" s="158">
        <f>IF(N($F930)=0,0,$F930/SUMIFS(INPUT_RITASE!$F$5:$F$20000,INPUT_RITASE!$A$5:$A$20000,$A930,INPUT_RITASE!$B$5:$B$20000,$B930,INPUT_RITASE!$C$5:$C$20000,$C930,INPUT_RITASE!$D$5:$D$20000,$D930))</f>
        <v/>
      </c>
      <c r="S930" s="158">
        <f>IF($Q930=0,0,$R930*$P930/$Q930)</f>
        <v/>
      </c>
    </row>
    <row r="931">
      <c r="A931" s="155" t="n">
        <v>46107</v>
      </c>
      <c r="B931" s="156" t="inlineStr">
        <is>
          <t>16-17</t>
        </is>
      </c>
      <c r="C931" s="156" t="inlineStr">
        <is>
          <t>EX-1251</t>
        </is>
      </c>
      <c r="D931" s="156" t="inlineStr">
        <is>
          <t>DT-506</t>
        </is>
      </c>
      <c r="E931" s="156" t="inlineStr">
        <is>
          <t>OB</t>
        </is>
      </c>
      <c r="F931" s="156" t="n">
        <v>3</v>
      </c>
      <c r="G931" s="156" t="inlineStr"/>
      <c r="H931" s="157">
        <f>IF($B931="","",IF(ISNA(MATCH($B931,MASTER_JAM!$Q$5:$Q$28,0)),"?",IF(MATCH($B931,MASTER_JAM!$Q$5:$Q$28,0)&lt;=12,"DS","NS")))</f>
        <v/>
      </c>
      <c r="I931" s="157">
        <f>IFERROR(INDEX(MASTER_JAM!$B$5:$B$94,MATCH($C931,MASTER_JAM!$A$5:$A$94,0)),"")</f>
        <v/>
      </c>
      <c r="J931" s="157">
        <f>IFERROR(INDEX(MASTER_JAM!$E$5:$E$94,MATCH($D931,MASTER_JAM!$A$5:$A$94,0)),"")</f>
        <v/>
      </c>
      <c r="K931" s="158">
        <f>IFERROR(INDEX(MASTER_JAM!$J$5:$O$12,MATCH($E931,MASTER_JAM!$I$5:$I$12,0),MATCH($J931,MASTER_JAM!$J$4:$O$4,0))+0,0)</f>
        <v/>
      </c>
      <c r="L931" s="159">
        <f>N($F931)*$K931</f>
        <v/>
      </c>
      <c r="M931" s="157">
        <f>IF($E931="","",IF(OR($E931="Coal",$E931="Dirty Coal"),"MT","BCM"))</f>
        <v/>
      </c>
      <c r="N931" s="157">
        <f>IF($E931="","",IF(OR($E931="Coal",$E931="Dirty Coal"),"Coal","OB"))</f>
        <v/>
      </c>
      <c r="O931" s="157">
        <f>IF($F931="","",IF(COUNTIF(MASTER_JAM!$A$5:$A$94,$C931)=0,"Digger tidak dikenal",IF($J931="","Hauler tidak dikenal",IF($H931="?","Jam salah",IF($K931=0,"Faktor kosong",IF(SUMIFS(INPUT_DELAY!$E$5:$E$20000,INPUT_DELAY!$A$5:$A$20000,$A931,INPUT_DELAY!$B$5:$B$20000,$B931,INPUT_DELAY!$C$5:$C$20000,$C931)+SUMIFS(INPUT_DELAY!$E$5:$E$20000,INPUT_DELAY!$A$5:$A$20000,$A931,INPUT_DELAY!$B$5:$B$20000,$B931,INPUT_DELAY!$C$5:$C$20000,"SEMUA")&gt;=60,"Delay 60 mnt tapi ada ritase","OK"))))))</f>
        <v/>
      </c>
      <c r="P931" s="158">
        <f>IFERROR(INDEX(MASTER_JAM!$Z$5:$AC$10,MATCH($I931,MASTER_JAM!$Y$5:$Y$10,0),MATCH($J931,MASTER_JAM!$Z$4:$AC$4,0))+0,0)</f>
        <v/>
      </c>
      <c r="Q931" s="158">
        <f>IF($P931=0,0,$P931+IFERROR(INDEX(MASTER_JAM!$H$5:$H$94,MATCH($C931,MASTER_JAM!$A$5:$A$94,0))+0,MASTER_JAM!$AC$15)/1000*(60/MASTER_JAM!$AC$12+60/MASTER_JAM!$AC$13)+MASTER_JAM!$AC$14)</f>
        <v/>
      </c>
      <c r="R931" s="158">
        <f>IF(N($F931)=0,0,$F931/SUMIFS(INPUT_RITASE!$F$5:$F$20000,INPUT_RITASE!$A$5:$A$20000,$A931,INPUT_RITASE!$B$5:$B$20000,$B931,INPUT_RITASE!$C$5:$C$20000,$C931,INPUT_RITASE!$D$5:$D$20000,$D931))</f>
        <v/>
      </c>
      <c r="S931" s="158">
        <f>IF($Q931=0,0,$R931*$P931/$Q931)</f>
        <v/>
      </c>
    </row>
    <row r="932">
      <c r="A932" s="155" t="n">
        <v>46107</v>
      </c>
      <c r="B932" s="156" t="inlineStr">
        <is>
          <t>16-17</t>
        </is>
      </c>
      <c r="C932" s="156" t="inlineStr">
        <is>
          <t>EX-1251</t>
        </is>
      </c>
      <c r="D932" s="156" t="inlineStr">
        <is>
          <t>DT-504</t>
        </is>
      </c>
      <c r="E932" s="156" t="inlineStr">
        <is>
          <t>OB</t>
        </is>
      </c>
      <c r="F932" s="156" t="n">
        <v>3</v>
      </c>
      <c r="G932" s="156" t="inlineStr"/>
      <c r="H932" s="157">
        <f>IF($B932="","",IF(ISNA(MATCH($B932,MASTER_JAM!$Q$5:$Q$28,0)),"?",IF(MATCH($B932,MASTER_JAM!$Q$5:$Q$28,0)&lt;=12,"DS","NS")))</f>
        <v/>
      </c>
      <c r="I932" s="157">
        <f>IFERROR(INDEX(MASTER_JAM!$B$5:$B$94,MATCH($C932,MASTER_JAM!$A$5:$A$94,0)),"")</f>
        <v/>
      </c>
      <c r="J932" s="157">
        <f>IFERROR(INDEX(MASTER_JAM!$E$5:$E$94,MATCH($D932,MASTER_JAM!$A$5:$A$94,0)),"")</f>
        <v/>
      </c>
      <c r="K932" s="158">
        <f>IFERROR(INDEX(MASTER_JAM!$J$5:$O$12,MATCH($E932,MASTER_JAM!$I$5:$I$12,0),MATCH($J932,MASTER_JAM!$J$4:$O$4,0))+0,0)</f>
        <v/>
      </c>
      <c r="L932" s="159">
        <f>N($F932)*$K932</f>
        <v/>
      </c>
      <c r="M932" s="157">
        <f>IF($E932="","",IF(OR($E932="Coal",$E932="Dirty Coal"),"MT","BCM"))</f>
        <v/>
      </c>
      <c r="N932" s="157">
        <f>IF($E932="","",IF(OR($E932="Coal",$E932="Dirty Coal"),"Coal","OB"))</f>
        <v/>
      </c>
      <c r="O932" s="157">
        <f>IF($F932="","",IF(COUNTIF(MASTER_JAM!$A$5:$A$94,$C932)=0,"Digger tidak dikenal",IF($J932="","Hauler tidak dikenal",IF($H932="?","Jam salah",IF($K932=0,"Faktor kosong",IF(SUMIFS(INPUT_DELAY!$E$5:$E$20000,INPUT_DELAY!$A$5:$A$20000,$A932,INPUT_DELAY!$B$5:$B$20000,$B932,INPUT_DELAY!$C$5:$C$20000,$C932)+SUMIFS(INPUT_DELAY!$E$5:$E$20000,INPUT_DELAY!$A$5:$A$20000,$A932,INPUT_DELAY!$B$5:$B$20000,$B932,INPUT_DELAY!$C$5:$C$20000,"SEMUA")&gt;=60,"Delay 60 mnt tapi ada ritase","OK"))))))</f>
        <v/>
      </c>
      <c r="P932" s="158">
        <f>IFERROR(INDEX(MASTER_JAM!$Z$5:$AC$10,MATCH($I932,MASTER_JAM!$Y$5:$Y$10,0),MATCH($J932,MASTER_JAM!$Z$4:$AC$4,0))+0,0)</f>
        <v/>
      </c>
      <c r="Q932" s="158">
        <f>IF($P932=0,0,$P932+IFERROR(INDEX(MASTER_JAM!$H$5:$H$94,MATCH($C932,MASTER_JAM!$A$5:$A$94,0))+0,MASTER_JAM!$AC$15)/1000*(60/MASTER_JAM!$AC$12+60/MASTER_JAM!$AC$13)+MASTER_JAM!$AC$14)</f>
        <v/>
      </c>
      <c r="R932" s="158">
        <f>IF(N($F932)=0,0,$F932/SUMIFS(INPUT_RITASE!$F$5:$F$20000,INPUT_RITASE!$A$5:$A$20000,$A932,INPUT_RITASE!$B$5:$B$20000,$B932,INPUT_RITASE!$C$5:$C$20000,$C932,INPUT_RITASE!$D$5:$D$20000,$D932))</f>
        <v/>
      </c>
      <c r="S932" s="158">
        <f>IF($Q932=0,0,$R932*$P932/$Q932)</f>
        <v/>
      </c>
    </row>
    <row r="933">
      <c r="A933" s="155" t="n">
        <v>46107</v>
      </c>
      <c r="B933" s="156" t="inlineStr">
        <is>
          <t>06-07</t>
        </is>
      </c>
      <c r="C933" s="156" t="inlineStr">
        <is>
          <t>EX-1252</t>
        </is>
      </c>
      <c r="D933" s="156" t="inlineStr">
        <is>
          <t>DT-501</t>
        </is>
      </c>
      <c r="E933" s="156" t="inlineStr">
        <is>
          <t>OB</t>
        </is>
      </c>
      <c r="F933" s="156" t="n">
        <v>4</v>
      </c>
      <c r="G933" s="156" t="inlineStr"/>
      <c r="H933" s="157">
        <f>IF($B933="","",IF(ISNA(MATCH($B933,MASTER_JAM!$Q$5:$Q$28,0)),"?",IF(MATCH($B933,MASTER_JAM!$Q$5:$Q$28,0)&lt;=12,"DS","NS")))</f>
        <v/>
      </c>
      <c r="I933" s="157">
        <f>IFERROR(INDEX(MASTER_JAM!$B$5:$B$94,MATCH($C933,MASTER_JAM!$A$5:$A$94,0)),"")</f>
        <v/>
      </c>
      <c r="J933" s="157">
        <f>IFERROR(INDEX(MASTER_JAM!$E$5:$E$94,MATCH($D933,MASTER_JAM!$A$5:$A$94,0)),"")</f>
        <v/>
      </c>
      <c r="K933" s="158">
        <f>IFERROR(INDEX(MASTER_JAM!$J$5:$O$12,MATCH($E933,MASTER_JAM!$I$5:$I$12,0),MATCH($J933,MASTER_JAM!$J$4:$O$4,0))+0,0)</f>
        <v/>
      </c>
      <c r="L933" s="159">
        <f>N($F933)*$K933</f>
        <v/>
      </c>
      <c r="M933" s="157">
        <f>IF($E933="","",IF(OR($E933="Coal",$E933="Dirty Coal"),"MT","BCM"))</f>
        <v/>
      </c>
      <c r="N933" s="157">
        <f>IF($E933="","",IF(OR($E933="Coal",$E933="Dirty Coal"),"Coal","OB"))</f>
        <v/>
      </c>
      <c r="O933" s="157">
        <f>IF($F933="","",IF(COUNTIF(MASTER_JAM!$A$5:$A$94,$C933)=0,"Digger tidak dikenal",IF($J933="","Hauler tidak dikenal",IF($H933="?","Jam salah",IF($K933=0,"Faktor kosong",IF(SUMIFS(INPUT_DELAY!$E$5:$E$20000,INPUT_DELAY!$A$5:$A$20000,$A933,INPUT_DELAY!$B$5:$B$20000,$B933,INPUT_DELAY!$C$5:$C$20000,$C933)+SUMIFS(INPUT_DELAY!$E$5:$E$20000,INPUT_DELAY!$A$5:$A$20000,$A933,INPUT_DELAY!$B$5:$B$20000,$B933,INPUT_DELAY!$C$5:$C$20000,"SEMUA")&gt;=60,"Delay 60 mnt tapi ada ritase","OK"))))))</f>
        <v/>
      </c>
      <c r="P933" s="158">
        <f>IFERROR(INDEX(MASTER_JAM!$Z$5:$AC$10,MATCH($I933,MASTER_JAM!$Y$5:$Y$10,0),MATCH($J933,MASTER_JAM!$Z$4:$AC$4,0))+0,0)</f>
        <v/>
      </c>
      <c r="Q933" s="158">
        <f>IF($P933=0,0,$P933+IFERROR(INDEX(MASTER_JAM!$H$5:$H$94,MATCH($C933,MASTER_JAM!$A$5:$A$94,0))+0,MASTER_JAM!$AC$15)/1000*(60/MASTER_JAM!$AC$12+60/MASTER_JAM!$AC$13)+MASTER_JAM!$AC$14)</f>
        <v/>
      </c>
      <c r="R933" s="158">
        <f>IF(N($F933)=0,0,$F933/SUMIFS(INPUT_RITASE!$F$5:$F$20000,INPUT_RITASE!$A$5:$A$20000,$A933,INPUT_RITASE!$B$5:$B$20000,$B933,INPUT_RITASE!$C$5:$C$20000,$C933,INPUT_RITASE!$D$5:$D$20000,$D933))</f>
        <v/>
      </c>
      <c r="S933" s="158">
        <f>IF($Q933=0,0,$R933*$P933/$Q933)</f>
        <v/>
      </c>
    </row>
    <row r="934">
      <c r="A934" s="155" t="n">
        <v>46107</v>
      </c>
      <c r="B934" s="156" t="inlineStr">
        <is>
          <t>06-07</t>
        </is>
      </c>
      <c r="C934" s="156" t="inlineStr">
        <is>
          <t>EX-1252</t>
        </is>
      </c>
      <c r="D934" s="156" t="inlineStr">
        <is>
          <t>DT-528</t>
        </is>
      </c>
      <c r="E934" s="156" t="inlineStr">
        <is>
          <t>OB</t>
        </is>
      </c>
      <c r="F934" s="156" t="n">
        <v>4</v>
      </c>
      <c r="G934" s="156" t="inlineStr"/>
      <c r="H934" s="157">
        <f>IF($B934="","",IF(ISNA(MATCH($B934,MASTER_JAM!$Q$5:$Q$28,0)),"?",IF(MATCH($B934,MASTER_JAM!$Q$5:$Q$28,0)&lt;=12,"DS","NS")))</f>
        <v/>
      </c>
      <c r="I934" s="157">
        <f>IFERROR(INDEX(MASTER_JAM!$B$5:$B$94,MATCH($C934,MASTER_JAM!$A$5:$A$94,0)),"")</f>
        <v/>
      </c>
      <c r="J934" s="157">
        <f>IFERROR(INDEX(MASTER_JAM!$E$5:$E$94,MATCH($D934,MASTER_JAM!$A$5:$A$94,0)),"")</f>
        <v/>
      </c>
      <c r="K934" s="158">
        <f>IFERROR(INDEX(MASTER_JAM!$J$5:$O$12,MATCH($E934,MASTER_JAM!$I$5:$I$12,0),MATCH($J934,MASTER_JAM!$J$4:$O$4,0))+0,0)</f>
        <v/>
      </c>
      <c r="L934" s="159">
        <f>N($F934)*$K934</f>
        <v/>
      </c>
      <c r="M934" s="157">
        <f>IF($E934="","",IF(OR($E934="Coal",$E934="Dirty Coal"),"MT","BCM"))</f>
        <v/>
      </c>
      <c r="N934" s="157">
        <f>IF($E934="","",IF(OR($E934="Coal",$E934="Dirty Coal"),"Coal","OB"))</f>
        <v/>
      </c>
      <c r="O934" s="157">
        <f>IF($F934="","",IF(COUNTIF(MASTER_JAM!$A$5:$A$94,$C934)=0,"Digger tidak dikenal",IF($J934="","Hauler tidak dikenal",IF($H934="?","Jam salah",IF($K934=0,"Faktor kosong",IF(SUMIFS(INPUT_DELAY!$E$5:$E$20000,INPUT_DELAY!$A$5:$A$20000,$A934,INPUT_DELAY!$B$5:$B$20000,$B934,INPUT_DELAY!$C$5:$C$20000,$C934)+SUMIFS(INPUT_DELAY!$E$5:$E$20000,INPUT_DELAY!$A$5:$A$20000,$A934,INPUT_DELAY!$B$5:$B$20000,$B934,INPUT_DELAY!$C$5:$C$20000,"SEMUA")&gt;=60,"Delay 60 mnt tapi ada ritase","OK"))))))</f>
        <v/>
      </c>
      <c r="P934" s="158">
        <f>IFERROR(INDEX(MASTER_JAM!$Z$5:$AC$10,MATCH($I934,MASTER_JAM!$Y$5:$Y$10,0),MATCH($J934,MASTER_JAM!$Z$4:$AC$4,0))+0,0)</f>
        <v/>
      </c>
      <c r="Q934" s="158">
        <f>IF($P934=0,0,$P934+IFERROR(INDEX(MASTER_JAM!$H$5:$H$94,MATCH($C934,MASTER_JAM!$A$5:$A$94,0))+0,MASTER_JAM!$AC$15)/1000*(60/MASTER_JAM!$AC$12+60/MASTER_JAM!$AC$13)+MASTER_JAM!$AC$14)</f>
        <v/>
      </c>
      <c r="R934" s="158">
        <f>IF(N($F934)=0,0,$F934/SUMIFS(INPUT_RITASE!$F$5:$F$20000,INPUT_RITASE!$A$5:$A$20000,$A934,INPUT_RITASE!$B$5:$B$20000,$B934,INPUT_RITASE!$C$5:$C$20000,$C934,INPUT_RITASE!$D$5:$D$20000,$D934))</f>
        <v/>
      </c>
      <c r="S934" s="158">
        <f>IF($Q934=0,0,$R934*$P934/$Q934)</f>
        <v/>
      </c>
    </row>
    <row r="935">
      <c r="A935" s="155" t="n">
        <v>46107</v>
      </c>
      <c r="B935" s="156" t="inlineStr">
        <is>
          <t>06-07</t>
        </is>
      </c>
      <c r="C935" s="156" t="inlineStr">
        <is>
          <t>EX-1252</t>
        </is>
      </c>
      <c r="D935" s="156" t="inlineStr">
        <is>
          <t>DT-508</t>
        </is>
      </c>
      <c r="E935" s="156" t="inlineStr">
        <is>
          <t>OB</t>
        </is>
      </c>
      <c r="F935" s="156" t="n">
        <v>4</v>
      </c>
      <c r="G935" s="156" t="inlineStr"/>
      <c r="H935" s="157">
        <f>IF($B935="","",IF(ISNA(MATCH($B935,MASTER_JAM!$Q$5:$Q$28,0)),"?",IF(MATCH($B935,MASTER_JAM!$Q$5:$Q$28,0)&lt;=12,"DS","NS")))</f>
        <v/>
      </c>
      <c r="I935" s="157">
        <f>IFERROR(INDEX(MASTER_JAM!$B$5:$B$94,MATCH($C935,MASTER_JAM!$A$5:$A$94,0)),"")</f>
        <v/>
      </c>
      <c r="J935" s="157">
        <f>IFERROR(INDEX(MASTER_JAM!$E$5:$E$94,MATCH($D935,MASTER_JAM!$A$5:$A$94,0)),"")</f>
        <v/>
      </c>
      <c r="K935" s="158">
        <f>IFERROR(INDEX(MASTER_JAM!$J$5:$O$12,MATCH($E935,MASTER_JAM!$I$5:$I$12,0),MATCH($J935,MASTER_JAM!$J$4:$O$4,0))+0,0)</f>
        <v/>
      </c>
      <c r="L935" s="159">
        <f>N($F935)*$K935</f>
        <v/>
      </c>
      <c r="M935" s="157">
        <f>IF($E935="","",IF(OR($E935="Coal",$E935="Dirty Coal"),"MT","BCM"))</f>
        <v/>
      </c>
      <c r="N935" s="157">
        <f>IF($E935="","",IF(OR($E935="Coal",$E935="Dirty Coal"),"Coal","OB"))</f>
        <v/>
      </c>
      <c r="O935" s="157">
        <f>IF($F935="","",IF(COUNTIF(MASTER_JAM!$A$5:$A$94,$C935)=0,"Digger tidak dikenal",IF($J935="","Hauler tidak dikenal",IF($H935="?","Jam salah",IF($K935=0,"Faktor kosong",IF(SUMIFS(INPUT_DELAY!$E$5:$E$20000,INPUT_DELAY!$A$5:$A$20000,$A935,INPUT_DELAY!$B$5:$B$20000,$B935,INPUT_DELAY!$C$5:$C$20000,$C935)+SUMIFS(INPUT_DELAY!$E$5:$E$20000,INPUT_DELAY!$A$5:$A$20000,$A935,INPUT_DELAY!$B$5:$B$20000,$B935,INPUT_DELAY!$C$5:$C$20000,"SEMUA")&gt;=60,"Delay 60 mnt tapi ada ritase","OK"))))))</f>
        <v/>
      </c>
      <c r="P935" s="158">
        <f>IFERROR(INDEX(MASTER_JAM!$Z$5:$AC$10,MATCH($I935,MASTER_JAM!$Y$5:$Y$10,0),MATCH($J935,MASTER_JAM!$Z$4:$AC$4,0))+0,0)</f>
        <v/>
      </c>
      <c r="Q935" s="158">
        <f>IF($P935=0,0,$P935+IFERROR(INDEX(MASTER_JAM!$H$5:$H$94,MATCH($C935,MASTER_JAM!$A$5:$A$94,0))+0,MASTER_JAM!$AC$15)/1000*(60/MASTER_JAM!$AC$12+60/MASTER_JAM!$AC$13)+MASTER_JAM!$AC$14)</f>
        <v/>
      </c>
      <c r="R935" s="158">
        <f>IF(N($F935)=0,0,$F935/SUMIFS(INPUT_RITASE!$F$5:$F$20000,INPUT_RITASE!$A$5:$A$20000,$A935,INPUT_RITASE!$B$5:$B$20000,$B935,INPUT_RITASE!$C$5:$C$20000,$C935,INPUT_RITASE!$D$5:$D$20000,$D935))</f>
        <v/>
      </c>
      <c r="S935" s="158">
        <f>IF($Q935=0,0,$R935*$P935/$Q935)</f>
        <v/>
      </c>
    </row>
    <row r="936">
      <c r="A936" s="155" t="n">
        <v>46107</v>
      </c>
      <c r="B936" s="156" t="inlineStr">
        <is>
          <t>06-07</t>
        </is>
      </c>
      <c r="C936" s="156" t="inlineStr">
        <is>
          <t>EX-1252</t>
        </is>
      </c>
      <c r="D936" s="156" t="inlineStr">
        <is>
          <t>DT-507</t>
        </is>
      </c>
      <c r="E936" s="156" t="inlineStr">
        <is>
          <t>OB</t>
        </is>
      </c>
      <c r="F936" s="156" t="n">
        <v>4</v>
      </c>
      <c r="G936" s="156" t="inlineStr"/>
      <c r="H936" s="157">
        <f>IF($B936="","",IF(ISNA(MATCH($B936,MASTER_JAM!$Q$5:$Q$28,0)),"?",IF(MATCH($B936,MASTER_JAM!$Q$5:$Q$28,0)&lt;=12,"DS","NS")))</f>
        <v/>
      </c>
      <c r="I936" s="157">
        <f>IFERROR(INDEX(MASTER_JAM!$B$5:$B$94,MATCH($C936,MASTER_JAM!$A$5:$A$94,0)),"")</f>
        <v/>
      </c>
      <c r="J936" s="157">
        <f>IFERROR(INDEX(MASTER_JAM!$E$5:$E$94,MATCH($D936,MASTER_JAM!$A$5:$A$94,0)),"")</f>
        <v/>
      </c>
      <c r="K936" s="158">
        <f>IFERROR(INDEX(MASTER_JAM!$J$5:$O$12,MATCH($E936,MASTER_JAM!$I$5:$I$12,0),MATCH($J936,MASTER_JAM!$J$4:$O$4,0))+0,0)</f>
        <v/>
      </c>
      <c r="L936" s="159">
        <f>N($F936)*$K936</f>
        <v/>
      </c>
      <c r="M936" s="157">
        <f>IF($E936="","",IF(OR($E936="Coal",$E936="Dirty Coal"),"MT","BCM"))</f>
        <v/>
      </c>
      <c r="N936" s="157">
        <f>IF($E936="","",IF(OR($E936="Coal",$E936="Dirty Coal"),"Coal","OB"))</f>
        <v/>
      </c>
      <c r="O936" s="157">
        <f>IF($F936="","",IF(COUNTIF(MASTER_JAM!$A$5:$A$94,$C936)=0,"Digger tidak dikenal",IF($J936="","Hauler tidak dikenal",IF($H936="?","Jam salah",IF($K936=0,"Faktor kosong",IF(SUMIFS(INPUT_DELAY!$E$5:$E$20000,INPUT_DELAY!$A$5:$A$20000,$A936,INPUT_DELAY!$B$5:$B$20000,$B936,INPUT_DELAY!$C$5:$C$20000,$C936)+SUMIFS(INPUT_DELAY!$E$5:$E$20000,INPUT_DELAY!$A$5:$A$20000,$A936,INPUT_DELAY!$B$5:$B$20000,$B936,INPUT_DELAY!$C$5:$C$20000,"SEMUA")&gt;=60,"Delay 60 mnt tapi ada ritase","OK"))))))</f>
        <v/>
      </c>
      <c r="P936" s="158">
        <f>IFERROR(INDEX(MASTER_JAM!$Z$5:$AC$10,MATCH($I936,MASTER_JAM!$Y$5:$Y$10,0),MATCH($J936,MASTER_JAM!$Z$4:$AC$4,0))+0,0)</f>
        <v/>
      </c>
      <c r="Q936" s="158">
        <f>IF($P936=0,0,$P936+IFERROR(INDEX(MASTER_JAM!$H$5:$H$94,MATCH($C936,MASTER_JAM!$A$5:$A$94,0))+0,MASTER_JAM!$AC$15)/1000*(60/MASTER_JAM!$AC$12+60/MASTER_JAM!$AC$13)+MASTER_JAM!$AC$14)</f>
        <v/>
      </c>
      <c r="R936" s="158">
        <f>IF(N($F936)=0,0,$F936/SUMIFS(INPUT_RITASE!$F$5:$F$20000,INPUT_RITASE!$A$5:$A$20000,$A936,INPUT_RITASE!$B$5:$B$20000,$B936,INPUT_RITASE!$C$5:$C$20000,$C936,INPUT_RITASE!$D$5:$D$20000,$D936))</f>
        <v/>
      </c>
      <c r="S936" s="158">
        <f>IF($Q936=0,0,$R936*$P936/$Q936)</f>
        <v/>
      </c>
    </row>
    <row r="937">
      <c r="A937" s="155" t="n">
        <v>46107</v>
      </c>
      <c r="B937" s="156" t="inlineStr">
        <is>
          <t>06-07</t>
        </is>
      </c>
      <c r="C937" s="156" t="inlineStr">
        <is>
          <t>EX-1252</t>
        </is>
      </c>
      <c r="D937" s="156" t="inlineStr">
        <is>
          <t>DT-516</t>
        </is>
      </c>
      <c r="E937" s="156" t="inlineStr">
        <is>
          <t>OB</t>
        </is>
      </c>
      <c r="F937" s="156" t="n">
        <v>3</v>
      </c>
      <c r="G937" s="156" t="inlineStr"/>
      <c r="H937" s="157">
        <f>IF($B937="","",IF(ISNA(MATCH($B937,MASTER_JAM!$Q$5:$Q$28,0)),"?",IF(MATCH($B937,MASTER_JAM!$Q$5:$Q$28,0)&lt;=12,"DS","NS")))</f>
        <v/>
      </c>
      <c r="I937" s="157">
        <f>IFERROR(INDEX(MASTER_JAM!$B$5:$B$94,MATCH($C937,MASTER_JAM!$A$5:$A$94,0)),"")</f>
        <v/>
      </c>
      <c r="J937" s="157">
        <f>IFERROR(INDEX(MASTER_JAM!$E$5:$E$94,MATCH($D937,MASTER_JAM!$A$5:$A$94,0)),"")</f>
        <v/>
      </c>
      <c r="K937" s="158">
        <f>IFERROR(INDEX(MASTER_JAM!$J$5:$O$12,MATCH($E937,MASTER_JAM!$I$5:$I$12,0),MATCH($J937,MASTER_JAM!$J$4:$O$4,0))+0,0)</f>
        <v/>
      </c>
      <c r="L937" s="159">
        <f>N($F937)*$K937</f>
        <v/>
      </c>
      <c r="M937" s="157">
        <f>IF($E937="","",IF(OR($E937="Coal",$E937="Dirty Coal"),"MT","BCM"))</f>
        <v/>
      </c>
      <c r="N937" s="157">
        <f>IF($E937="","",IF(OR($E937="Coal",$E937="Dirty Coal"),"Coal","OB"))</f>
        <v/>
      </c>
      <c r="O937" s="157">
        <f>IF($F937="","",IF(COUNTIF(MASTER_JAM!$A$5:$A$94,$C937)=0,"Digger tidak dikenal",IF($J937="","Hauler tidak dikenal",IF($H937="?","Jam salah",IF($K937=0,"Faktor kosong",IF(SUMIFS(INPUT_DELAY!$E$5:$E$20000,INPUT_DELAY!$A$5:$A$20000,$A937,INPUT_DELAY!$B$5:$B$20000,$B937,INPUT_DELAY!$C$5:$C$20000,$C937)+SUMIFS(INPUT_DELAY!$E$5:$E$20000,INPUT_DELAY!$A$5:$A$20000,$A937,INPUT_DELAY!$B$5:$B$20000,$B937,INPUT_DELAY!$C$5:$C$20000,"SEMUA")&gt;=60,"Delay 60 mnt tapi ada ritase","OK"))))))</f>
        <v/>
      </c>
      <c r="P937" s="158">
        <f>IFERROR(INDEX(MASTER_JAM!$Z$5:$AC$10,MATCH($I937,MASTER_JAM!$Y$5:$Y$10,0),MATCH($J937,MASTER_JAM!$Z$4:$AC$4,0))+0,0)</f>
        <v/>
      </c>
      <c r="Q937" s="158">
        <f>IF($P937=0,0,$P937+IFERROR(INDEX(MASTER_JAM!$H$5:$H$94,MATCH($C937,MASTER_JAM!$A$5:$A$94,0))+0,MASTER_JAM!$AC$15)/1000*(60/MASTER_JAM!$AC$12+60/MASTER_JAM!$AC$13)+MASTER_JAM!$AC$14)</f>
        <v/>
      </c>
      <c r="R937" s="158">
        <f>IF(N($F937)=0,0,$F937/SUMIFS(INPUT_RITASE!$F$5:$F$20000,INPUT_RITASE!$A$5:$A$20000,$A937,INPUT_RITASE!$B$5:$B$20000,$B937,INPUT_RITASE!$C$5:$C$20000,$C937,INPUT_RITASE!$D$5:$D$20000,$D937))</f>
        <v/>
      </c>
      <c r="S937" s="158">
        <f>IF($Q937=0,0,$R937*$P937/$Q937)</f>
        <v/>
      </c>
    </row>
    <row r="938">
      <c r="A938" s="155" t="n">
        <v>46107</v>
      </c>
      <c r="B938" s="156" t="inlineStr">
        <is>
          <t>07-08</t>
        </is>
      </c>
      <c r="C938" s="156" t="inlineStr">
        <is>
          <t>EX-1252</t>
        </is>
      </c>
      <c r="D938" s="156" t="inlineStr">
        <is>
          <t>DT-528</t>
        </is>
      </c>
      <c r="E938" s="156" t="inlineStr">
        <is>
          <t>OB</t>
        </is>
      </c>
      <c r="F938" s="156" t="n">
        <v>4</v>
      </c>
      <c r="G938" s="156" t="inlineStr"/>
      <c r="H938" s="157">
        <f>IF($B938="","",IF(ISNA(MATCH($B938,MASTER_JAM!$Q$5:$Q$28,0)),"?",IF(MATCH($B938,MASTER_JAM!$Q$5:$Q$28,0)&lt;=12,"DS","NS")))</f>
        <v/>
      </c>
      <c r="I938" s="157">
        <f>IFERROR(INDEX(MASTER_JAM!$B$5:$B$94,MATCH($C938,MASTER_JAM!$A$5:$A$94,0)),"")</f>
        <v/>
      </c>
      <c r="J938" s="157">
        <f>IFERROR(INDEX(MASTER_JAM!$E$5:$E$94,MATCH($D938,MASTER_JAM!$A$5:$A$94,0)),"")</f>
        <v/>
      </c>
      <c r="K938" s="158">
        <f>IFERROR(INDEX(MASTER_JAM!$J$5:$O$12,MATCH($E938,MASTER_JAM!$I$5:$I$12,0),MATCH($J938,MASTER_JAM!$J$4:$O$4,0))+0,0)</f>
        <v/>
      </c>
      <c r="L938" s="159">
        <f>N($F938)*$K938</f>
        <v/>
      </c>
      <c r="M938" s="157">
        <f>IF($E938="","",IF(OR($E938="Coal",$E938="Dirty Coal"),"MT","BCM"))</f>
        <v/>
      </c>
      <c r="N938" s="157">
        <f>IF($E938="","",IF(OR($E938="Coal",$E938="Dirty Coal"),"Coal","OB"))</f>
        <v/>
      </c>
      <c r="O938" s="157">
        <f>IF($F938="","",IF(COUNTIF(MASTER_JAM!$A$5:$A$94,$C938)=0,"Digger tidak dikenal",IF($J938="","Hauler tidak dikenal",IF($H938="?","Jam salah",IF($K938=0,"Faktor kosong",IF(SUMIFS(INPUT_DELAY!$E$5:$E$20000,INPUT_DELAY!$A$5:$A$20000,$A938,INPUT_DELAY!$B$5:$B$20000,$B938,INPUT_DELAY!$C$5:$C$20000,$C938)+SUMIFS(INPUT_DELAY!$E$5:$E$20000,INPUT_DELAY!$A$5:$A$20000,$A938,INPUT_DELAY!$B$5:$B$20000,$B938,INPUT_DELAY!$C$5:$C$20000,"SEMUA")&gt;=60,"Delay 60 mnt tapi ada ritase","OK"))))))</f>
        <v/>
      </c>
      <c r="P938" s="158">
        <f>IFERROR(INDEX(MASTER_JAM!$Z$5:$AC$10,MATCH($I938,MASTER_JAM!$Y$5:$Y$10,0),MATCH($J938,MASTER_JAM!$Z$4:$AC$4,0))+0,0)</f>
        <v/>
      </c>
      <c r="Q938" s="158">
        <f>IF($P938=0,0,$P938+IFERROR(INDEX(MASTER_JAM!$H$5:$H$94,MATCH($C938,MASTER_JAM!$A$5:$A$94,0))+0,MASTER_JAM!$AC$15)/1000*(60/MASTER_JAM!$AC$12+60/MASTER_JAM!$AC$13)+MASTER_JAM!$AC$14)</f>
        <v/>
      </c>
      <c r="R938" s="158">
        <f>IF(N($F938)=0,0,$F938/SUMIFS(INPUT_RITASE!$F$5:$F$20000,INPUT_RITASE!$A$5:$A$20000,$A938,INPUT_RITASE!$B$5:$B$20000,$B938,INPUT_RITASE!$C$5:$C$20000,$C938,INPUT_RITASE!$D$5:$D$20000,$D938))</f>
        <v/>
      </c>
      <c r="S938" s="158">
        <f>IF($Q938=0,0,$R938*$P938/$Q938)</f>
        <v/>
      </c>
    </row>
    <row r="939">
      <c r="A939" s="155" t="n">
        <v>46107</v>
      </c>
      <c r="B939" s="156" t="inlineStr">
        <is>
          <t>07-08</t>
        </is>
      </c>
      <c r="C939" s="156" t="inlineStr">
        <is>
          <t>EX-1252</t>
        </is>
      </c>
      <c r="D939" s="156" t="inlineStr">
        <is>
          <t>DT-510</t>
        </is>
      </c>
      <c r="E939" s="156" t="inlineStr">
        <is>
          <t>OB</t>
        </is>
      </c>
      <c r="F939" s="156" t="n">
        <v>4</v>
      </c>
      <c r="G939" s="156" t="inlineStr"/>
      <c r="H939" s="157">
        <f>IF($B939="","",IF(ISNA(MATCH($B939,MASTER_JAM!$Q$5:$Q$28,0)),"?",IF(MATCH($B939,MASTER_JAM!$Q$5:$Q$28,0)&lt;=12,"DS","NS")))</f>
        <v/>
      </c>
      <c r="I939" s="157">
        <f>IFERROR(INDEX(MASTER_JAM!$B$5:$B$94,MATCH($C939,MASTER_JAM!$A$5:$A$94,0)),"")</f>
        <v/>
      </c>
      <c r="J939" s="157">
        <f>IFERROR(INDEX(MASTER_JAM!$E$5:$E$94,MATCH($D939,MASTER_JAM!$A$5:$A$94,0)),"")</f>
        <v/>
      </c>
      <c r="K939" s="158">
        <f>IFERROR(INDEX(MASTER_JAM!$J$5:$O$12,MATCH($E939,MASTER_JAM!$I$5:$I$12,0),MATCH($J939,MASTER_JAM!$J$4:$O$4,0))+0,0)</f>
        <v/>
      </c>
      <c r="L939" s="159">
        <f>N($F939)*$K939</f>
        <v/>
      </c>
      <c r="M939" s="157">
        <f>IF($E939="","",IF(OR($E939="Coal",$E939="Dirty Coal"),"MT","BCM"))</f>
        <v/>
      </c>
      <c r="N939" s="157">
        <f>IF($E939="","",IF(OR($E939="Coal",$E939="Dirty Coal"),"Coal","OB"))</f>
        <v/>
      </c>
      <c r="O939" s="157">
        <f>IF($F939="","",IF(COUNTIF(MASTER_JAM!$A$5:$A$94,$C939)=0,"Digger tidak dikenal",IF($J939="","Hauler tidak dikenal",IF($H939="?","Jam salah",IF($K939=0,"Faktor kosong",IF(SUMIFS(INPUT_DELAY!$E$5:$E$20000,INPUT_DELAY!$A$5:$A$20000,$A939,INPUT_DELAY!$B$5:$B$20000,$B939,INPUT_DELAY!$C$5:$C$20000,$C939)+SUMIFS(INPUT_DELAY!$E$5:$E$20000,INPUT_DELAY!$A$5:$A$20000,$A939,INPUT_DELAY!$B$5:$B$20000,$B939,INPUT_DELAY!$C$5:$C$20000,"SEMUA")&gt;=60,"Delay 60 mnt tapi ada ritase","OK"))))))</f>
        <v/>
      </c>
      <c r="P939" s="158">
        <f>IFERROR(INDEX(MASTER_JAM!$Z$5:$AC$10,MATCH($I939,MASTER_JAM!$Y$5:$Y$10,0),MATCH($J939,MASTER_JAM!$Z$4:$AC$4,0))+0,0)</f>
        <v/>
      </c>
      <c r="Q939" s="158">
        <f>IF($P939=0,0,$P939+IFERROR(INDEX(MASTER_JAM!$H$5:$H$94,MATCH($C939,MASTER_JAM!$A$5:$A$94,0))+0,MASTER_JAM!$AC$15)/1000*(60/MASTER_JAM!$AC$12+60/MASTER_JAM!$AC$13)+MASTER_JAM!$AC$14)</f>
        <v/>
      </c>
      <c r="R939" s="158">
        <f>IF(N($F939)=0,0,$F939/SUMIFS(INPUT_RITASE!$F$5:$F$20000,INPUT_RITASE!$A$5:$A$20000,$A939,INPUT_RITASE!$B$5:$B$20000,$B939,INPUT_RITASE!$C$5:$C$20000,$C939,INPUT_RITASE!$D$5:$D$20000,$D939))</f>
        <v/>
      </c>
      <c r="S939" s="158">
        <f>IF($Q939=0,0,$R939*$P939/$Q939)</f>
        <v/>
      </c>
    </row>
    <row r="940">
      <c r="A940" s="155" t="n">
        <v>46107</v>
      </c>
      <c r="B940" s="156" t="inlineStr">
        <is>
          <t>07-08</t>
        </is>
      </c>
      <c r="C940" s="156" t="inlineStr">
        <is>
          <t>EX-1252</t>
        </is>
      </c>
      <c r="D940" s="156" t="inlineStr">
        <is>
          <t>DT-529</t>
        </is>
      </c>
      <c r="E940" s="156" t="inlineStr">
        <is>
          <t>OB</t>
        </is>
      </c>
      <c r="F940" s="156" t="n">
        <v>4</v>
      </c>
      <c r="G940" s="156" t="inlineStr"/>
      <c r="H940" s="157">
        <f>IF($B940="","",IF(ISNA(MATCH($B940,MASTER_JAM!$Q$5:$Q$28,0)),"?",IF(MATCH($B940,MASTER_JAM!$Q$5:$Q$28,0)&lt;=12,"DS","NS")))</f>
        <v/>
      </c>
      <c r="I940" s="157">
        <f>IFERROR(INDEX(MASTER_JAM!$B$5:$B$94,MATCH($C940,MASTER_JAM!$A$5:$A$94,0)),"")</f>
        <v/>
      </c>
      <c r="J940" s="157">
        <f>IFERROR(INDEX(MASTER_JAM!$E$5:$E$94,MATCH($D940,MASTER_JAM!$A$5:$A$94,0)),"")</f>
        <v/>
      </c>
      <c r="K940" s="158">
        <f>IFERROR(INDEX(MASTER_JAM!$J$5:$O$12,MATCH($E940,MASTER_JAM!$I$5:$I$12,0),MATCH($J940,MASTER_JAM!$J$4:$O$4,0))+0,0)</f>
        <v/>
      </c>
      <c r="L940" s="159">
        <f>N($F940)*$K940</f>
        <v/>
      </c>
      <c r="M940" s="157">
        <f>IF($E940="","",IF(OR($E940="Coal",$E940="Dirty Coal"),"MT","BCM"))</f>
        <v/>
      </c>
      <c r="N940" s="157">
        <f>IF($E940="","",IF(OR($E940="Coal",$E940="Dirty Coal"),"Coal","OB"))</f>
        <v/>
      </c>
      <c r="O940" s="157">
        <f>IF($F940="","",IF(COUNTIF(MASTER_JAM!$A$5:$A$94,$C940)=0,"Digger tidak dikenal",IF($J940="","Hauler tidak dikenal",IF($H940="?","Jam salah",IF($K940=0,"Faktor kosong",IF(SUMIFS(INPUT_DELAY!$E$5:$E$20000,INPUT_DELAY!$A$5:$A$20000,$A940,INPUT_DELAY!$B$5:$B$20000,$B940,INPUT_DELAY!$C$5:$C$20000,$C940)+SUMIFS(INPUT_DELAY!$E$5:$E$20000,INPUT_DELAY!$A$5:$A$20000,$A940,INPUT_DELAY!$B$5:$B$20000,$B940,INPUT_DELAY!$C$5:$C$20000,"SEMUA")&gt;=60,"Delay 60 mnt tapi ada ritase","OK"))))))</f>
        <v/>
      </c>
      <c r="P940" s="158">
        <f>IFERROR(INDEX(MASTER_JAM!$Z$5:$AC$10,MATCH($I940,MASTER_JAM!$Y$5:$Y$10,0),MATCH($J940,MASTER_JAM!$Z$4:$AC$4,0))+0,0)</f>
        <v/>
      </c>
      <c r="Q940" s="158">
        <f>IF($P940=0,0,$P940+IFERROR(INDEX(MASTER_JAM!$H$5:$H$94,MATCH($C940,MASTER_JAM!$A$5:$A$94,0))+0,MASTER_JAM!$AC$15)/1000*(60/MASTER_JAM!$AC$12+60/MASTER_JAM!$AC$13)+MASTER_JAM!$AC$14)</f>
        <v/>
      </c>
      <c r="R940" s="158">
        <f>IF(N($F940)=0,0,$F940/SUMIFS(INPUT_RITASE!$F$5:$F$20000,INPUT_RITASE!$A$5:$A$20000,$A940,INPUT_RITASE!$B$5:$B$20000,$B940,INPUT_RITASE!$C$5:$C$20000,$C940,INPUT_RITASE!$D$5:$D$20000,$D940))</f>
        <v/>
      </c>
      <c r="S940" s="158">
        <f>IF($Q940=0,0,$R940*$P940/$Q940)</f>
        <v/>
      </c>
    </row>
    <row r="941">
      <c r="A941" s="155" t="n">
        <v>46107</v>
      </c>
      <c r="B941" s="156" t="inlineStr">
        <is>
          <t>07-08</t>
        </is>
      </c>
      <c r="C941" s="156" t="inlineStr">
        <is>
          <t>EX-1252</t>
        </is>
      </c>
      <c r="D941" s="156" t="inlineStr">
        <is>
          <t>DT-503</t>
        </is>
      </c>
      <c r="E941" s="156" t="inlineStr">
        <is>
          <t>OB</t>
        </is>
      </c>
      <c r="F941" s="156" t="n">
        <v>4</v>
      </c>
      <c r="G941" s="156" t="inlineStr"/>
      <c r="H941" s="157">
        <f>IF($B941="","",IF(ISNA(MATCH($B941,MASTER_JAM!$Q$5:$Q$28,0)),"?",IF(MATCH($B941,MASTER_JAM!$Q$5:$Q$28,0)&lt;=12,"DS","NS")))</f>
        <v/>
      </c>
      <c r="I941" s="157">
        <f>IFERROR(INDEX(MASTER_JAM!$B$5:$B$94,MATCH($C941,MASTER_JAM!$A$5:$A$94,0)),"")</f>
        <v/>
      </c>
      <c r="J941" s="157">
        <f>IFERROR(INDEX(MASTER_JAM!$E$5:$E$94,MATCH($D941,MASTER_JAM!$A$5:$A$94,0)),"")</f>
        <v/>
      </c>
      <c r="K941" s="158">
        <f>IFERROR(INDEX(MASTER_JAM!$J$5:$O$12,MATCH($E941,MASTER_JAM!$I$5:$I$12,0),MATCH($J941,MASTER_JAM!$J$4:$O$4,0))+0,0)</f>
        <v/>
      </c>
      <c r="L941" s="159">
        <f>N($F941)*$K941</f>
        <v/>
      </c>
      <c r="M941" s="157">
        <f>IF($E941="","",IF(OR($E941="Coal",$E941="Dirty Coal"),"MT","BCM"))</f>
        <v/>
      </c>
      <c r="N941" s="157">
        <f>IF($E941="","",IF(OR($E941="Coal",$E941="Dirty Coal"),"Coal","OB"))</f>
        <v/>
      </c>
      <c r="O941" s="157">
        <f>IF($F941="","",IF(COUNTIF(MASTER_JAM!$A$5:$A$94,$C941)=0,"Digger tidak dikenal",IF($J941="","Hauler tidak dikenal",IF($H941="?","Jam salah",IF($K941=0,"Faktor kosong",IF(SUMIFS(INPUT_DELAY!$E$5:$E$20000,INPUT_DELAY!$A$5:$A$20000,$A941,INPUT_DELAY!$B$5:$B$20000,$B941,INPUT_DELAY!$C$5:$C$20000,$C941)+SUMIFS(INPUT_DELAY!$E$5:$E$20000,INPUT_DELAY!$A$5:$A$20000,$A941,INPUT_DELAY!$B$5:$B$20000,$B941,INPUT_DELAY!$C$5:$C$20000,"SEMUA")&gt;=60,"Delay 60 mnt tapi ada ritase","OK"))))))</f>
        <v/>
      </c>
      <c r="P941" s="158">
        <f>IFERROR(INDEX(MASTER_JAM!$Z$5:$AC$10,MATCH($I941,MASTER_JAM!$Y$5:$Y$10,0),MATCH($J941,MASTER_JAM!$Z$4:$AC$4,0))+0,0)</f>
        <v/>
      </c>
      <c r="Q941" s="158">
        <f>IF($P941=0,0,$P941+IFERROR(INDEX(MASTER_JAM!$H$5:$H$94,MATCH($C941,MASTER_JAM!$A$5:$A$94,0))+0,MASTER_JAM!$AC$15)/1000*(60/MASTER_JAM!$AC$12+60/MASTER_JAM!$AC$13)+MASTER_JAM!$AC$14)</f>
        <v/>
      </c>
      <c r="R941" s="158">
        <f>IF(N($F941)=0,0,$F941/SUMIFS(INPUT_RITASE!$F$5:$F$20000,INPUT_RITASE!$A$5:$A$20000,$A941,INPUT_RITASE!$B$5:$B$20000,$B941,INPUT_RITASE!$C$5:$C$20000,$C941,INPUT_RITASE!$D$5:$D$20000,$D941))</f>
        <v/>
      </c>
      <c r="S941" s="158">
        <f>IF($Q941=0,0,$R941*$P941/$Q941)</f>
        <v/>
      </c>
    </row>
    <row r="942">
      <c r="A942" s="155" t="n">
        <v>46107</v>
      </c>
      <c r="B942" s="156" t="inlineStr">
        <is>
          <t>07-08</t>
        </is>
      </c>
      <c r="C942" s="156" t="inlineStr">
        <is>
          <t>EX-1252</t>
        </is>
      </c>
      <c r="D942" s="156" t="inlineStr">
        <is>
          <t>DT-518</t>
        </is>
      </c>
      <c r="E942" s="156" t="inlineStr">
        <is>
          <t>OB</t>
        </is>
      </c>
      <c r="F942" s="156" t="n">
        <v>3</v>
      </c>
      <c r="G942" s="156" t="inlineStr"/>
      <c r="H942" s="157">
        <f>IF($B942="","",IF(ISNA(MATCH($B942,MASTER_JAM!$Q$5:$Q$28,0)),"?",IF(MATCH($B942,MASTER_JAM!$Q$5:$Q$28,0)&lt;=12,"DS","NS")))</f>
        <v/>
      </c>
      <c r="I942" s="157">
        <f>IFERROR(INDEX(MASTER_JAM!$B$5:$B$94,MATCH($C942,MASTER_JAM!$A$5:$A$94,0)),"")</f>
        <v/>
      </c>
      <c r="J942" s="157">
        <f>IFERROR(INDEX(MASTER_JAM!$E$5:$E$94,MATCH($D942,MASTER_JAM!$A$5:$A$94,0)),"")</f>
        <v/>
      </c>
      <c r="K942" s="158">
        <f>IFERROR(INDEX(MASTER_JAM!$J$5:$O$12,MATCH($E942,MASTER_JAM!$I$5:$I$12,0),MATCH($J942,MASTER_JAM!$J$4:$O$4,0))+0,0)</f>
        <v/>
      </c>
      <c r="L942" s="159">
        <f>N($F942)*$K942</f>
        <v/>
      </c>
      <c r="M942" s="157">
        <f>IF($E942="","",IF(OR($E942="Coal",$E942="Dirty Coal"),"MT","BCM"))</f>
        <v/>
      </c>
      <c r="N942" s="157">
        <f>IF($E942="","",IF(OR($E942="Coal",$E942="Dirty Coal"),"Coal","OB"))</f>
        <v/>
      </c>
      <c r="O942" s="157">
        <f>IF($F942="","",IF(COUNTIF(MASTER_JAM!$A$5:$A$94,$C942)=0,"Digger tidak dikenal",IF($J942="","Hauler tidak dikenal",IF($H942="?","Jam salah",IF($K942=0,"Faktor kosong",IF(SUMIFS(INPUT_DELAY!$E$5:$E$20000,INPUT_DELAY!$A$5:$A$20000,$A942,INPUT_DELAY!$B$5:$B$20000,$B942,INPUT_DELAY!$C$5:$C$20000,$C942)+SUMIFS(INPUT_DELAY!$E$5:$E$20000,INPUT_DELAY!$A$5:$A$20000,$A942,INPUT_DELAY!$B$5:$B$20000,$B942,INPUT_DELAY!$C$5:$C$20000,"SEMUA")&gt;=60,"Delay 60 mnt tapi ada ritase","OK"))))))</f>
        <v/>
      </c>
      <c r="P942" s="158">
        <f>IFERROR(INDEX(MASTER_JAM!$Z$5:$AC$10,MATCH($I942,MASTER_JAM!$Y$5:$Y$10,0),MATCH($J942,MASTER_JAM!$Z$4:$AC$4,0))+0,0)</f>
        <v/>
      </c>
      <c r="Q942" s="158">
        <f>IF($P942=0,0,$P942+IFERROR(INDEX(MASTER_JAM!$H$5:$H$94,MATCH($C942,MASTER_JAM!$A$5:$A$94,0))+0,MASTER_JAM!$AC$15)/1000*(60/MASTER_JAM!$AC$12+60/MASTER_JAM!$AC$13)+MASTER_JAM!$AC$14)</f>
        <v/>
      </c>
      <c r="R942" s="158">
        <f>IF(N($F942)=0,0,$F942/SUMIFS(INPUT_RITASE!$F$5:$F$20000,INPUT_RITASE!$A$5:$A$20000,$A942,INPUT_RITASE!$B$5:$B$20000,$B942,INPUT_RITASE!$C$5:$C$20000,$C942,INPUT_RITASE!$D$5:$D$20000,$D942))</f>
        <v/>
      </c>
      <c r="S942" s="158">
        <f>IF($Q942=0,0,$R942*$P942/$Q942)</f>
        <v/>
      </c>
    </row>
    <row r="943">
      <c r="A943" s="155" t="n">
        <v>46107</v>
      </c>
      <c r="B943" s="156" t="inlineStr">
        <is>
          <t>07-08</t>
        </is>
      </c>
      <c r="C943" s="156" t="inlineStr">
        <is>
          <t>EX-1252</t>
        </is>
      </c>
      <c r="D943" s="156" t="inlineStr">
        <is>
          <t>DT-521</t>
        </is>
      </c>
      <c r="E943" s="156" t="inlineStr">
        <is>
          <t>OB</t>
        </is>
      </c>
      <c r="F943" s="156" t="n">
        <v>3</v>
      </c>
      <c r="G943" s="156" t="inlineStr"/>
      <c r="H943" s="157">
        <f>IF($B943="","",IF(ISNA(MATCH($B943,MASTER_JAM!$Q$5:$Q$28,0)),"?",IF(MATCH($B943,MASTER_JAM!$Q$5:$Q$28,0)&lt;=12,"DS","NS")))</f>
        <v/>
      </c>
      <c r="I943" s="157">
        <f>IFERROR(INDEX(MASTER_JAM!$B$5:$B$94,MATCH($C943,MASTER_JAM!$A$5:$A$94,0)),"")</f>
        <v/>
      </c>
      <c r="J943" s="157">
        <f>IFERROR(INDEX(MASTER_JAM!$E$5:$E$94,MATCH($D943,MASTER_JAM!$A$5:$A$94,0)),"")</f>
        <v/>
      </c>
      <c r="K943" s="158">
        <f>IFERROR(INDEX(MASTER_JAM!$J$5:$O$12,MATCH($E943,MASTER_JAM!$I$5:$I$12,0),MATCH($J943,MASTER_JAM!$J$4:$O$4,0))+0,0)</f>
        <v/>
      </c>
      <c r="L943" s="159">
        <f>N($F943)*$K943</f>
        <v/>
      </c>
      <c r="M943" s="157">
        <f>IF($E943="","",IF(OR($E943="Coal",$E943="Dirty Coal"),"MT","BCM"))</f>
        <v/>
      </c>
      <c r="N943" s="157">
        <f>IF($E943="","",IF(OR($E943="Coal",$E943="Dirty Coal"),"Coal","OB"))</f>
        <v/>
      </c>
      <c r="O943" s="157">
        <f>IF($F943="","",IF(COUNTIF(MASTER_JAM!$A$5:$A$94,$C943)=0,"Digger tidak dikenal",IF($J943="","Hauler tidak dikenal",IF($H943="?","Jam salah",IF($K943=0,"Faktor kosong",IF(SUMIFS(INPUT_DELAY!$E$5:$E$20000,INPUT_DELAY!$A$5:$A$20000,$A943,INPUT_DELAY!$B$5:$B$20000,$B943,INPUT_DELAY!$C$5:$C$20000,$C943)+SUMIFS(INPUT_DELAY!$E$5:$E$20000,INPUT_DELAY!$A$5:$A$20000,$A943,INPUT_DELAY!$B$5:$B$20000,$B943,INPUT_DELAY!$C$5:$C$20000,"SEMUA")&gt;=60,"Delay 60 mnt tapi ada ritase","OK"))))))</f>
        <v/>
      </c>
      <c r="P943" s="158">
        <f>IFERROR(INDEX(MASTER_JAM!$Z$5:$AC$10,MATCH($I943,MASTER_JAM!$Y$5:$Y$10,0),MATCH($J943,MASTER_JAM!$Z$4:$AC$4,0))+0,0)</f>
        <v/>
      </c>
      <c r="Q943" s="158">
        <f>IF($P943=0,0,$P943+IFERROR(INDEX(MASTER_JAM!$H$5:$H$94,MATCH($C943,MASTER_JAM!$A$5:$A$94,0))+0,MASTER_JAM!$AC$15)/1000*(60/MASTER_JAM!$AC$12+60/MASTER_JAM!$AC$13)+MASTER_JAM!$AC$14)</f>
        <v/>
      </c>
      <c r="R943" s="158">
        <f>IF(N($F943)=0,0,$F943/SUMIFS(INPUT_RITASE!$F$5:$F$20000,INPUT_RITASE!$A$5:$A$20000,$A943,INPUT_RITASE!$B$5:$B$20000,$B943,INPUT_RITASE!$C$5:$C$20000,$C943,INPUT_RITASE!$D$5:$D$20000,$D943))</f>
        <v/>
      </c>
      <c r="S943" s="158">
        <f>IF($Q943=0,0,$R943*$P943/$Q943)</f>
        <v/>
      </c>
    </row>
    <row r="944">
      <c r="A944" s="155" t="n">
        <v>46107</v>
      </c>
      <c r="B944" s="156" t="inlineStr">
        <is>
          <t>08-09</t>
        </is>
      </c>
      <c r="C944" s="156" t="inlineStr">
        <is>
          <t>EX-1252</t>
        </is>
      </c>
      <c r="D944" s="156" t="inlineStr">
        <is>
          <t>DT-517</t>
        </is>
      </c>
      <c r="E944" s="156" t="inlineStr">
        <is>
          <t>OB</t>
        </is>
      </c>
      <c r="F944" s="156" t="n">
        <v>4</v>
      </c>
      <c r="G944" s="156" t="inlineStr"/>
      <c r="H944" s="157">
        <f>IF($B944="","",IF(ISNA(MATCH($B944,MASTER_JAM!$Q$5:$Q$28,0)),"?",IF(MATCH($B944,MASTER_JAM!$Q$5:$Q$28,0)&lt;=12,"DS","NS")))</f>
        <v/>
      </c>
      <c r="I944" s="157">
        <f>IFERROR(INDEX(MASTER_JAM!$B$5:$B$94,MATCH($C944,MASTER_JAM!$A$5:$A$94,0)),"")</f>
        <v/>
      </c>
      <c r="J944" s="157">
        <f>IFERROR(INDEX(MASTER_JAM!$E$5:$E$94,MATCH($D944,MASTER_JAM!$A$5:$A$94,0)),"")</f>
        <v/>
      </c>
      <c r="K944" s="158">
        <f>IFERROR(INDEX(MASTER_JAM!$J$5:$O$12,MATCH($E944,MASTER_JAM!$I$5:$I$12,0),MATCH($J944,MASTER_JAM!$J$4:$O$4,0))+0,0)</f>
        <v/>
      </c>
      <c r="L944" s="159">
        <f>N($F944)*$K944</f>
        <v/>
      </c>
      <c r="M944" s="157">
        <f>IF($E944="","",IF(OR($E944="Coal",$E944="Dirty Coal"),"MT","BCM"))</f>
        <v/>
      </c>
      <c r="N944" s="157">
        <f>IF($E944="","",IF(OR($E944="Coal",$E944="Dirty Coal"),"Coal","OB"))</f>
        <v/>
      </c>
      <c r="O944" s="157">
        <f>IF($F944="","",IF(COUNTIF(MASTER_JAM!$A$5:$A$94,$C944)=0,"Digger tidak dikenal",IF($J944="","Hauler tidak dikenal",IF($H944="?","Jam salah",IF($K944=0,"Faktor kosong",IF(SUMIFS(INPUT_DELAY!$E$5:$E$20000,INPUT_DELAY!$A$5:$A$20000,$A944,INPUT_DELAY!$B$5:$B$20000,$B944,INPUT_DELAY!$C$5:$C$20000,$C944)+SUMIFS(INPUT_DELAY!$E$5:$E$20000,INPUT_DELAY!$A$5:$A$20000,$A944,INPUT_DELAY!$B$5:$B$20000,$B944,INPUT_DELAY!$C$5:$C$20000,"SEMUA")&gt;=60,"Delay 60 mnt tapi ada ritase","OK"))))))</f>
        <v/>
      </c>
      <c r="P944" s="158">
        <f>IFERROR(INDEX(MASTER_JAM!$Z$5:$AC$10,MATCH($I944,MASTER_JAM!$Y$5:$Y$10,0),MATCH($J944,MASTER_JAM!$Z$4:$AC$4,0))+0,0)</f>
        <v/>
      </c>
      <c r="Q944" s="158">
        <f>IF($P944=0,0,$P944+IFERROR(INDEX(MASTER_JAM!$H$5:$H$94,MATCH($C944,MASTER_JAM!$A$5:$A$94,0))+0,MASTER_JAM!$AC$15)/1000*(60/MASTER_JAM!$AC$12+60/MASTER_JAM!$AC$13)+MASTER_JAM!$AC$14)</f>
        <v/>
      </c>
      <c r="R944" s="158">
        <f>IF(N($F944)=0,0,$F944/SUMIFS(INPUT_RITASE!$F$5:$F$20000,INPUT_RITASE!$A$5:$A$20000,$A944,INPUT_RITASE!$B$5:$B$20000,$B944,INPUT_RITASE!$C$5:$C$20000,$C944,INPUT_RITASE!$D$5:$D$20000,$D944))</f>
        <v/>
      </c>
      <c r="S944" s="158">
        <f>IF($Q944=0,0,$R944*$P944/$Q944)</f>
        <v/>
      </c>
    </row>
    <row r="945">
      <c r="A945" s="155" t="n">
        <v>46107</v>
      </c>
      <c r="B945" s="156" t="inlineStr">
        <is>
          <t>08-09</t>
        </is>
      </c>
      <c r="C945" s="156" t="inlineStr">
        <is>
          <t>EX-1252</t>
        </is>
      </c>
      <c r="D945" s="156" t="inlineStr">
        <is>
          <t>DT-518</t>
        </is>
      </c>
      <c r="E945" s="156" t="inlineStr">
        <is>
          <t>OB</t>
        </is>
      </c>
      <c r="F945" s="156" t="n">
        <v>4</v>
      </c>
      <c r="G945" s="156" t="inlineStr"/>
      <c r="H945" s="157">
        <f>IF($B945="","",IF(ISNA(MATCH($B945,MASTER_JAM!$Q$5:$Q$28,0)),"?",IF(MATCH($B945,MASTER_JAM!$Q$5:$Q$28,0)&lt;=12,"DS","NS")))</f>
        <v/>
      </c>
      <c r="I945" s="157">
        <f>IFERROR(INDEX(MASTER_JAM!$B$5:$B$94,MATCH($C945,MASTER_JAM!$A$5:$A$94,0)),"")</f>
        <v/>
      </c>
      <c r="J945" s="157">
        <f>IFERROR(INDEX(MASTER_JAM!$E$5:$E$94,MATCH($D945,MASTER_JAM!$A$5:$A$94,0)),"")</f>
        <v/>
      </c>
      <c r="K945" s="158">
        <f>IFERROR(INDEX(MASTER_JAM!$J$5:$O$12,MATCH($E945,MASTER_JAM!$I$5:$I$12,0),MATCH($J945,MASTER_JAM!$J$4:$O$4,0))+0,0)</f>
        <v/>
      </c>
      <c r="L945" s="159">
        <f>N($F945)*$K945</f>
        <v/>
      </c>
      <c r="M945" s="157">
        <f>IF($E945="","",IF(OR($E945="Coal",$E945="Dirty Coal"),"MT","BCM"))</f>
        <v/>
      </c>
      <c r="N945" s="157">
        <f>IF($E945="","",IF(OR($E945="Coal",$E945="Dirty Coal"),"Coal","OB"))</f>
        <v/>
      </c>
      <c r="O945" s="157">
        <f>IF($F945="","",IF(COUNTIF(MASTER_JAM!$A$5:$A$94,$C945)=0,"Digger tidak dikenal",IF($J945="","Hauler tidak dikenal",IF($H945="?","Jam salah",IF($K945=0,"Faktor kosong",IF(SUMIFS(INPUT_DELAY!$E$5:$E$20000,INPUT_DELAY!$A$5:$A$20000,$A945,INPUT_DELAY!$B$5:$B$20000,$B945,INPUT_DELAY!$C$5:$C$20000,$C945)+SUMIFS(INPUT_DELAY!$E$5:$E$20000,INPUT_DELAY!$A$5:$A$20000,$A945,INPUT_DELAY!$B$5:$B$20000,$B945,INPUT_DELAY!$C$5:$C$20000,"SEMUA")&gt;=60,"Delay 60 mnt tapi ada ritase","OK"))))))</f>
        <v/>
      </c>
      <c r="P945" s="158">
        <f>IFERROR(INDEX(MASTER_JAM!$Z$5:$AC$10,MATCH($I945,MASTER_JAM!$Y$5:$Y$10,0),MATCH($J945,MASTER_JAM!$Z$4:$AC$4,0))+0,0)</f>
        <v/>
      </c>
      <c r="Q945" s="158">
        <f>IF($P945=0,0,$P945+IFERROR(INDEX(MASTER_JAM!$H$5:$H$94,MATCH($C945,MASTER_JAM!$A$5:$A$94,0))+0,MASTER_JAM!$AC$15)/1000*(60/MASTER_JAM!$AC$12+60/MASTER_JAM!$AC$13)+MASTER_JAM!$AC$14)</f>
        <v/>
      </c>
      <c r="R945" s="158">
        <f>IF(N($F945)=0,0,$F945/SUMIFS(INPUT_RITASE!$F$5:$F$20000,INPUT_RITASE!$A$5:$A$20000,$A945,INPUT_RITASE!$B$5:$B$20000,$B945,INPUT_RITASE!$C$5:$C$20000,$C945,INPUT_RITASE!$D$5:$D$20000,$D945))</f>
        <v/>
      </c>
      <c r="S945" s="158">
        <f>IF($Q945=0,0,$R945*$P945/$Q945)</f>
        <v/>
      </c>
    </row>
    <row r="946">
      <c r="A946" s="155" t="n">
        <v>46107</v>
      </c>
      <c r="B946" s="156" t="inlineStr">
        <is>
          <t>08-09</t>
        </is>
      </c>
      <c r="C946" s="156" t="inlineStr">
        <is>
          <t>EX-1252</t>
        </is>
      </c>
      <c r="D946" s="156" t="inlineStr">
        <is>
          <t>DT-507</t>
        </is>
      </c>
      <c r="E946" s="156" t="inlineStr">
        <is>
          <t>OB</t>
        </is>
      </c>
      <c r="F946" s="156" t="n">
        <v>3</v>
      </c>
      <c r="G946" s="156" t="inlineStr"/>
      <c r="H946" s="157">
        <f>IF($B946="","",IF(ISNA(MATCH($B946,MASTER_JAM!$Q$5:$Q$28,0)),"?",IF(MATCH($B946,MASTER_JAM!$Q$5:$Q$28,0)&lt;=12,"DS","NS")))</f>
        <v/>
      </c>
      <c r="I946" s="157">
        <f>IFERROR(INDEX(MASTER_JAM!$B$5:$B$94,MATCH($C946,MASTER_JAM!$A$5:$A$94,0)),"")</f>
        <v/>
      </c>
      <c r="J946" s="157">
        <f>IFERROR(INDEX(MASTER_JAM!$E$5:$E$94,MATCH($D946,MASTER_JAM!$A$5:$A$94,0)),"")</f>
        <v/>
      </c>
      <c r="K946" s="158">
        <f>IFERROR(INDEX(MASTER_JAM!$J$5:$O$12,MATCH($E946,MASTER_JAM!$I$5:$I$12,0),MATCH($J946,MASTER_JAM!$J$4:$O$4,0))+0,0)</f>
        <v/>
      </c>
      <c r="L946" s="159">
        <f>N($F946)*$K946</f>
        <v/>
      </c>
      <c r="M946" s="157">
        <f>IF($E946="","",IF(OR($E946="Coal",$E946="Dirty Coal"),"MT","BCM"))</f>
        <v/>
      </c>
      <c r="N946" s="157">
        <f>IF($E946="","",IF(OR($E946="Coal",$E946="Dirty Coal"),"Coal","OB"))</f>
        <v/>
      </c>
      <c r="O946" s="157">
        <f>IF($F946="","",IF(COUNTIF(MASTER_JAM!$A$5:$A$94,$C946)=0,"Digger tidak dikenal",IF($J946="","Hauler tidak dikenal",IF($H946="?","Jam salah",IF($K946=0,"Faktor kosong",IF(SUMIFS(INPUT_DELAY!$E$5:$E$20000,INPUT_DELAY!$A$5:$A$20000,$A946,INPUT_DELAY!$B$5:$B$20000,$B946,INPUT_DELAY!$C$5:$C$20000,$C946)+SUMIFS(INPUT_DELAY!$E$5:$E$20000,INPUT_DELAY!$A$5:$A$20000,$A946,INPUT_DELAY!$B$5:$B$20000,$B946,INPUT_DELAY!$C$5:$C$20000,"SEMUA")&gt;=60,"Delay 60 mnt tapi ada ritase","OK"))))))</f>
        <v/>
      </c>
      <c r="P946" s="158">
        <f>IFERROR(INDEX(MASTER_JAM!$Z$5:$AC$10,MATCH($I946,MASTER_JAM!$Y$5:$Y$10,0),MATCH($J946,MASTER_JAM!$Z$4:$AC$4,0))+0,0)</f>
        <v/>
      </c>
      <c r="Q946" s="158">
        <f>IF($P946=0,0,$P946+IFERROR(INDEX(MASTER_JAM!$H$5:$H$94,MATCH($C946,MASTER_JAM!$A$5:$A$94,0))+0,MASTER_JAM!$AC$15)/1000*(60/MASTER_JAM!$AC$12+60/MASTER_JAM!$AC$13)+MASTER_JAM!$AC$14)</f>
        <v/>
      </c>
      <c r="R946" s="158">
        <f>IF(N($F946)=0,0,$F946/SUMIFS(INPUT_RITASE!$F$5:$F$20000,INPUT_RITASE!$A$5:$A$20000,$A946,INPUT_RITASE!$B$5:$B$20000,$B946,INPUT_RITASE!$C$5:$C$20000,$C946,INPUT_RITASE!$D$5:$D$20000,$D946))</f>
        <v/>
      </c>
      <c r="S946" s="158">
        <f>IF($Q946=0,0,$R946*$P946/$Q946)</f>
        <v/>
      </c>
    </row>
    <row r="947">
      <c r="A947" s="155" t="n">
        <v>46107</v>
      </c>
      <c r="B947" s="156" t="inlineStr">
        <is>
          <t>08-09</t>
        </is>
      </c>
      <c r="C947" s="156" t="inlineStr">
        <is>
          <t>EX-1252</t>
        </is>
      </c>
      <c r="D947" s="156" t="inlineStr">
        <is>
          <t>DT-523</t>
        </is>
      </c>
      <c r="E947" s="156" t="inlineStr">
        <is>
          <t>OB</t>
        </is>
      </c>
      <c r="F947" s="156" t="n">
        <v>3</v>
      </c>
      <c r="G947" s="156" t="inlineStr"/>
      <c r="H947" s="157">
        <f>IF($B947="","",IF(ISNA(MATCH($B947,MASTER_JAM!$Q$5:$Q$28,0)),"?",IF(MATCH($B947,MASTER_JAM!$Q$5:$Q$28,0)&lt;=12,"DS","NS")))</f>
        <v/>
      </c>
      <c r="I947" s="157">
        <f>IFERROR(INDEX(MASTER_JAM!$B$5:$B$94,MATCH($C947,MASTER_JAM!$A$5:$A$94,0)),"")</f>
        <v/>
      </c>
      <c r="J947" s="157">
        <f>IFERROR(INDEX(MASTER_JAM!$E$5:$E$94,MATCH($D947,MASTER_JAM!$A$5:$A$94,0)),"")</f>
        <v/>
      </c>
      <c r="K947" s="158">
        <f>IFERROR(INDEX(MASTER_JAM!$J$5:$O$12,MATCH($E947,MASTER_JAM!$I$5:$I$12,0),MATCH($J947,MASTER_JAM!$J$4:$O$4,0))+0,0)</f>
        <v/>
      </c>
      <c r="L947" s="159">
        <f>N($F947)*$K947</f>
        <v/>
      </c>
      <c r="M947" s="157">
        <f>IF($E947="","",IF(OR($E947="Coal",$E947="Dirty Coal"),"MT","BCM"))</f>
        <v/>
      </c>
      <c r="N947" s="157">
        <f>IF($E947="","",IF(OR($E947="Coal",$E947="Dirty Coal"),"Coal","OB"))</f>
        <v/>
      </c>
      <c r="O947" s="157">
        <f>IF($F947="","",IF(COUNTIF(MASTER_JAM!$A$5:$A$94,$C947)=0,"Digger tidak dikenal",IF($J947="","Hauler tidak dikenal",IF($H947="?","Jam salah",IF($K947=0,"Faktor kosong",IF(SUMIFS(INPUT_DELAY!$E$5:$E$20000,INPUT_DELAY!$A$5:$A$20000,$A947,INPUT_DELAY!$B$5:$B$20000,$B947,INPUT_DELAY!$C$5:$C$20000,$C947)+SUMIFS(INPUT_DELAY!$E$5:$E$20000,INPUT_DELAY!$A$5:$A$20000,$A947,INPUT_DELAY!$B$5:$B$20000,$B947,INPUT_DELAY!$C$5:$C$20000,"SEMUA")&gt;=60,"Delay 60 mnt tapi ada ritase","OK"))))))</f>
        <v/>
      </c>
      <c r="P947" s="158">
        <f>IFERROR(INDEX(MASTER_JAM!$Z$5:$AC$10,MATCH($I947,MASTER_JAM!$Y$5:$Y$10,0),MATCH($J947,MASTER_JAM!$Z$4:$AC$4,0))+0,0)</f>
        <v/>
      </c>
      <c r="Q947" s="158">
        <f>IF($P947=0,0,$P947+IFERROR(INDEX(MASTER_JAM!$H$5:$H$94,MATCH($C947,MASTER_JAM!$A$5:$A$94,0))+0,MASTER_JAM!$AC$15)/1000*(60/MASTER_JAM!$AC$12+60/MASTER_JAM!$AC$13)+MASTER_JAM!$AC$14)</f>
        <v/>
      </c>
      <c r="R947" s="158">
        <f>IF(N($F947)=0,0,$F947/SUMIFS(INPUT_RITASE!$F$5:$F$20000,INPUT_RITASE!$A$5:$A$20000,$A947,INPUT_RITASE!$B$5:$B$20000,$B947,INPUT_RITASE!$C$5:$C$20000,$C947,INPUT_RITASE!$D$5:$D$20000,$D947))</f>
        <v/>
      </c>
      <c r="S947" s="158">
        <f>IF($Q947=0,0,$R947*$P947/$Q947)</f>
        <v/>
      </c>
    </row>
    <row r="948">
      <c r="A948" s="155" t="n">
        <v>46107</v>
      </c>
      <c r="B948" s="156" t="inlineStr">
        <is>
          <t>09-10</t>
        </is>
      </c>
      <c r="C948" s="156" t="inlineStr">
        <is>
          <t>EX-1252</t>
        </is>
      </c>
      <c r="D948" s="156" t="inlineStr">
        <is>
          <t>DT-507</t>
        </is>
      </c>
      <c r="E948" s="156" t="inlineStr">
        <is>
          <t>OB</t>
        </is>
      </c>
      <c r="F948" s="156" t="n">
        <v>4</v>
      </c>
      <c r="G948" s="156" t="inlineStr"/>
      <c r="H948" s="157">
        <f>IF($B948="","",IF(ISNA(MATCH($B948,MASTER_JAM!$Q$5:$Q$28,0)),"?",IF(MATCH($B948,MASTER_JAM!$Q$5:$Q$28,0)&lt;=12,"DS","NS")))</f>
        <v/>
      </c>
      <c r="I948" s="157">
        <f>IFERROR(INDEX(MASTER_JAM!$B$5:$B$94,MATCH($C948,MASTER_JAM!$A$5:$A$94,0)),"")</f>
        <v/>
      </c>
      <c r="J948" s="157">
        <f>IFERROR(INDEX(MASTER_JAM!$E$5:$E$94,MATCH($D948,MASTER_JAM!$A$5:$A$94,0)),"")</f>
        <v/>
      </c>
      <c r="K948" s="158">
        <f>IFERROR(INDEX(MASTER_JAM!$J$5:$O$12,MATCH($E948,MASTER_JAM!$I$5:$I$12,0),MATCH($J948,MASTER_JAM!$J$4:$O$4,0))+0,0)</f>
        <v/>
      </c>
      <c r="L948" s="159">
        <f>N($F948)*$K948</f>
        <v/>
      </c>
      <c r="M948" s="157">
        <f>IF($E948="","",IF(OR($E948="Coal",$E948="Dirty Coal"),"MT","BCM"))</f>
        <v/>
      </c>
      <c r="N948" s="157">
        <f>IF($E948="","",IF(OR($E948="Coal",$E948="Dirty Coal"),"Coal","OB"))</f>
        <v/>
      </c>
      <c r="O948" s="157">
        <f>IF($F948="","",IF(COUNTIF(MASTER_JAM!$A$5:$A$94,$C948)=0,"Digger tidak dikenal",IF($J948="","Hauler tidak dikenal",IF($H948="?","Jam salah",IF($K948=0,"Faktor kosong",IF(SUMIFS(INPUT_DELAY!$E$5:$E$20000,INPUT_DELAY!$A$5:$A$20000,$A948,INPUT_DELAY!$B$5:$B$20000,$B948,INPUT_DELAY!$C$5:$C$20000,$C948)+SUMIFS(INPUT_DELAY!$E$5:$E$20000,INPUT_DELAY!$A$5:$A$20000,$A948,INPUT_DELAY!$B$5:$B$20000,$B948,INPUT_DELAY!$C$5:$C$20000,"SEMUA")&gt;=60,"Delay 60 mnt tapi ada ritase","OK"))))))</f>
        <v/>
      </c>
      <c r="P948" s="158">
        <f>IFERROR(INDEX(MASTER_JAM!$Z$5:$AC$10,MATCH($I948,MASTER_JAM!$Y$5:$Y$10,0),MATCH($J948,MASTER_JAM!$Z$4:$AC$4,0))+0,0)</f>
        <v/>
      </c>
      <c r="Q948" s="158">
        <f>IF($P948=0,0,$P948+IFERROR(INDEX(MASTER_JAM!$H$5:$H$94,MATCH($C948,MASTER_JAM!$A$5:$A$94,0))+0,MASTER_JAM!$AC$15)/1000*(60/MASTER_JAM!$AC$12+60/MASTER_JAM!$AC$13)+MASTER_JAM!$AC$14)</f>
        <v/>
      </c>
      <c r="R948" s="158">
        <f>IF(N($F948)=0,0,$F948/SUMIFS(INPUT_RITASE!$F$5:$F$20000,INPUT_RITASE!$A$5:$A$20000,$A948,INPUT_RITASE!$B$5:$B$20000,$B948,INPUT_RITASE!$C$5:$C$20000,$C948,INPUT_RITASE!$D$5:$D$20000,$D948))</f>
        <v/>
      </c>
      <c r="S948" s="158">
        <f>IF($Q948=0,0,$R948*$P948/$Q948)</f>
        <v/>
      </c>
    </row>
    <row r="949">
      <c r="A949" s="155" t="n">
        <v>46107</v>
      </c>
      <c r="B949" s="156" t="inlineStr">
        <is>
          <t>09-10</t>
        </is>
      </c>
      <c r="C949" s="156" t="inlineStr">
        <is>
          <t>EX-1252</t>
        </is>
      </c>
      <c r="D949" s="156" t="inlineStr">
        <is>
          <t>DT-510</t>
        </is>
      </c>
      <c r="E949" s="156" t="inlineStr">
        <is>
          <t>OB</t>
        </is>
      </c>
      <c r="F949" s="156" t="n">
        <v>4</v>
      </c>
      <c r="G949" s="156" t="inlineStr"/>
      <c r="H949" s="157">
        <f>IF($B949="","",IF(ISNA(MATCH($B949,MASTER_JAM!$Q$5:$Q$28,0)),"?",IF(MATCH($B949,MASTER_JAM!$Q$5:$Q$28,0)&lt;=12,"DS","NS")))</f>
        <v/>
      </c>
      <c r="I949" s="157">
        <f>IFERROR(INDEX(MASTER_JAM!$B$5:$B$94,MATCH($C949,MASTER_JAM!$A$5:$A$94,0)),"")</f>
        <v/>
      </c>
      <c r="J949" s="157">
        <f>IFERROR(INDEX(MASTER_JAM!$E$5:$E$94,MATCH($D949,MASTER_JAM!$A$5:$A$94,0)),"")</f>
        <v/>
      </c>
      <c r="K949" s="158">
        <f>IFERROR(INDEX(MASTER_JAM!$J$5:$O$12,MATCH($E949,MASTER_JAM!$I$5:$I$12,0),MATCH($J949,MASTER_JAM!$J$4:$O$4,0))+0,0)</f>
        <v/>
      </c>
      <c r="L949" s="159">
        <f>N($F949)*$K949</f>
        <v/>
      </c>
      <c r="M949" s="157">
        <f>IF($E949="","",IF(OR($E949="Coal",$E949="Dirty Coal"),"MT","BCM"))</f>
        <v/>
      </c>
      <c r="N949" s="157">
        <f>IF($E949="","",IF(OR($E949="Coal",$E949="Dirty Coal"),"Coal","OB"))</f>
        <v/>
      </c>
      <c r="O949" s="157">
        <f>IF($F949="","",IF(COUNTIF(MASTER_JAM!$A$5:$A$94,$C949)=0,"Digger tidak dikenal",IF($J949="","Hauler tidak dikenal",IF($H949="?","Jam salah",IF($K949=0,"Faktor kosong",IF(SUMIFS(INPUT_DELAY!$E$5:$E$20000,INPUT_DELAY!$A$5:$A$20000,$A949,INPUT_DELAY!$B$5:$B$20000,$B949,INPUT_DELAY!$C$5:$C$20000,$C949)+SUMIFS(INPUT_DELAY!$E$5:$E$20000,INPUT_DELAY!$A$5:$A$20000,$A949,INPUT_DELAY!$B$5:$B$20000,$B949,INPUT_DELAY!$C$5:$C$20000,"SEMUA")&gt;=60,"Delay 60 mnt tapi ada ritase","OK"))))))</f>
        <v/>
      </c>
      <c r="P949" s="158">
        <f>IFERROR(INDEX(MASTER_JAM!$Z$5:$AC$10,MATCH($I949,MASTER_JAM!$Y$5:$Y$10,0),MATCH($J949,MASTER_JAM!$Z$4:$AC$4,0))+0,0)</f>
        <v/>
      </c>
      <c r="Q949" s="158">
        <f>IF($P949=0,0,$P949+IFERROR(INDEX(MASTER_JAM!$H$5:$H$94,MATCH($C949,MASTER_JAM!$A$5:$A$94,0))+0,MASTER_JAM!$AC$15)/1000*(60/MASTER_JAM!$AC$12+60/MASTER_JAM!$AC$13)+MASTER_JAM!$AC$14)</f>
        <v/>
      </c>
      <c r="R949" s="158">
        <f>IF(N($F949)=0,0,$F949/SUMIFS(INPUT_RITASE!$F$5:$F$20000,INPUT_RITASE!$A$5:$A$20000,$A949,INPUT_RITASE!$B$5:$B$20000,$B949,INPUT_RITASE!$C$5:$C$20000,$C949,INPUT_RITASE!$D$5:$D$20000,$D949))</f>
        <v/>
      </c>
      <c r="S949" s="158">
        <f>IF($Q949=0,0,$R949*$P949/$Q949)</f>
        <v/>
      </c>
    </row>
    <row r="950">
      <c r="A950" s="155" t="n">
        <v>46107</v>
      </c>
      <c r="B950" s="156" t="inlineStr">
        <is>
          <t>09-10</t>
        </is>
      </c>
      <c r="C950" s="156" t="inlineStr">
        <is>
          <t>EX-1252</t>
        </is>
      </c>
      <c r="D950" s="156" t="inlineStr">
        <is>
          <t>DT-506</t>
        </is>
      </c>
      <c r="E950" s="156" t="inlineStr">
        <is>
          <t>OB</t>
        </is>
      </c>
      <c r="F950" s="156" t="n">
        <v>4</v>
      </c>
      <c r="G950" s="156" t="inlineStr"/>
      <c r="H950" s="157">
        <f>IF($B950="","",IF(ISNA(MATCH($B950,MASTER_JAM!$Q$5:$Q$28,0)),"?",IF(MATCH($B950,MASTER_JAM!$Q$5:$Q$28,0)&lt;=12,"DS","NS")))</f>
        <v/>
      </c>
      <c r="I950" s="157">
        <f>IFERROR(INDEX(MASTER_JAM!$B$5:$B$94,MATCH($C950,MASTER_JAM!$A$5:$A$94,0)),"")</f>
        <v/>
      </c>
      <c r="J950" s="157">
        <f>IFERROR(INDEX(MASTER_JAM!$E$5:$E$94,MATCH($D950,MASTER_JAM!$A$5:$A$94,0)),"")</f>
        <v/>
      </c>
      <c r="K950" s="158">
        <f>IFERROR(INDEX(MASTER_JAM!$J$5:$O$12,MATCH($E950,MASTER_JAM!$I$5:$I$12,0),MATCH($J950,MASTER_JAM!$J$4:$O$4,0))+0,0)</f>
        <v/>
      </c>
      <c r="L950" s="159">
        <f>N($F950)*$K950</f>
        <v/>
      </c>
      <c r="M950" s="157">
        <f>IF($E950="","",IF(OR($E950="Coal",$E950="Dirty Coal"),"MT","BCM"))</f>
        <v/>
      </c>
      <c r="N950" s="157">
        <f>IF($E950="","",IF(OR($E950="Coal",$E950="Dirty Coal"),"Coal","OB"))</f>
        <v/>
      </c>
      <c r="O950" s="157">
        <f>IF($F950="","",IF(COUNTIF(MASTER_JAM!$A$5:$A$94,$C950)=0,"Digger tidak dikenal",IF($J950="","Hauler tidak dikenal",IF($H950="?","Jam salah",IF($K950=0,"Faktor kosong",IF(SUMIFS(INPUT_DELAY!$E$5:$E$20000,INPUT_DELAY!$A$5:$A$20000,$A950,INPUT_DELAY!$B$5:$B$20000,$B950,INPUT_DELAY!$C$5:$C$20000,$C950)+SUMIFS(INPUT_DELAY!$E$5:$E$20000,INPUT_DELAY!$A$5:$A$20000,$A950,INPUT_DELAY!$B$5:$B$20000,$B950,INPUT_DELAY!$C$5:$C$20000,"SEMUA")&gt;=60,"Delay 60 mnt tapi ada ritase","OK"))))))</f>
        <v/>
      </c>
      <c r="P950" s="158">
        <f>IFERROR(INDEX(MASTER_JAM!$Z$5:$AC$10,MATCH($I950,MASTER_JAM!$Y$5:$Y$10,0),MATCH($J950,MASTER_JAM!$Z$4:$AC$4,0))+0,0)</f>
        <v/>
      </c>
      <c r="Q950" s="158">
        <f>IF($P950=0,0,$P950+IFERROR(INDEX(MASTER_JAM!$H$5:$H$94,MATCH($C950,MASTER_JAM!$A$5:$A$94,0))+0,MASTER_JAM!$AC$15)/1000*(60/MASTER_JAM!$AC$12+60/MASTER_JAM!$AC$13)+MASTER_JAM!$AC$14)</f>
        <v/>
      </c>
      <c r="R950" s="158">
        <f>IF(N($F950)=0,0,$F950/SUMIFS(INPUT_RITASE!$F$5:$F$20000,INPUT_RITASE!$A$5:$A$20000,$A950,INPUT_RITASE!$B$5:$B$20000,$B950,INPUT_RITASE!$C$5:$C$20000,$C950,INPUT_RITASE!$D$5:$D$20000,$D950))</f>
        <v/>
      </c>
      <c r="S950" s="158">
        <f>IF($Q950=0,0,$R950*$P950/$Q950)</f>
        <v/>
      </c>
    </row>
    <row r="951">
      <c r="A951" s="155" t="n">
        <v>46107</v>
      </c>
      <c r="B951" s="156" t="inlineStr">
        <is>
          <t>09-10</t>
        </is>
      </c>
      <c r="C951" s="156" t="inlineStr">
        <is>
          <t>EX-1252</t>
        </is>
      </c>
      <c r="D951" s="156" t="inlineStr">
        <is>
          <t>DT-505</t>
        </is>
      </c>
      <c r="E951" s="156" t="inlineStr">
        <is>
          <t>OB</t>
        </is>
      </c>
      <c r="F951" s="156" t="n">
        <v>4</v>
      </c>
      <c r="G951" s="156" t="inlineStr"/>
      <c r="H951" s="157">
        <f>IF($B951="","",IF(ISNA(MATCH($B951,MASTER_JAM!$Q$5:$Q$28,0)),"?",IF(MATCH($B951,MASTER_JAM!$Q$5:$Q$28,0)&lt;=12,"DS","NS")))</f>
        <v/>
      </c>
      <c r="I951" s="157">
        <f>IFERROR(INDEX(MASTER_JAM!$B$5:$B$94,MATCH($C951,MASTER_JAM!$A$5:$A$94,0)),"")</f>
        <v/>
      </c>
      <c r="J951" s="157">
        <f>IFERROR(INDEX(MASTER_JAM!$E$5:$E$94,MATCH($D951,MASTER_JAM!$A$5:$A$94,0)),"")</f>
        <v/>
      </c>
      <c r="K951" s="158">
        <f>IFERROR(INDEX(MASTER_JAM!$J$5:$O$12,MATCH($E951,MASTER_JAM!$I$5:$I$12,0),MATCH($J951,MASTER_JAM!$J$4:$O$4,0))+0,0)</f>
        <v/>
      </c>
      <c r="L951" s="159">
        <f>N($F951)*$K951</f>
        <v/>
      </c>
      <c r="M951" s="157">
        <f>IF($E951="","",IF(OR($E951="Coal",$E951="Dirty Coal"),"MT","BCM"))</f>
        <v/>
      </c>
      <c r="N951" s="157">
        <f>IF($E951="","",IF(OR($E951="Coal",$E951="Dirty Coal"),"Coal","OB"))</f>
        <v/>
      </c>
      <c r="O951" s="157">
        <f>IF($F951="","",IF(COUNTIF(MASTER_JAM!$A$5:$A$94,$C951)=0,"Digger tidak dikenal",IF($J951="","Hauler tidak dikenal",IF($H951="?","Jam salah",IF($K951=0,"Faktor kosong",IF(SUMIFS(INPUT_DELAY!$E$5:$E$20000,INPUT_DELAY!$A$5:$A$20000,$A951,INPUT_DELAY!$B$5:$B$20000,$B951,INPUT_DELAY!$C$5:$C$20000,$C951)+SUMIFS(INPUT_DELAY!$E$5:$E$20000,INPUT_DELAY!$A$5:$A$20000,$A951,INPUT_DELAY!$B$5:$B$20000,$B951,INPUT_DELAY!$C$5:$C$20000,"SEMUA")&gt;=60,"Delay 60 mnt tapi ada ritase","OK"))))))</f>
        <v/>
      </c>
      <c r="P951" s="158">
        <f>IFERROR(INDEX(MASTER_JAM!$Z$5:$AC$10,MATCH($I951,MASTER_JAM!$Y$5:$Y$10,0),MATCH($J951,MASTER_JAM!$Z$4:$AC$4,0))+0,0)</f>
        <v/>
      </c>
      <c r="Q951" s="158">
        <f>IF($P951=0,0,$P951+IFERROR(INDEX(MASTER_JAM!$H$5:$H$94,MATCH($C951,MASTER_JAM!$A$5:$A$94,0))+0,MASTER_JAM!$AC$15)/1000*(60/MASTER_JAM!$AC$12+60/MASTER_JAM!$AC$13)+MASTER_JAM!$AC$14)</f>
        <v/>
      </c>
      <c r="R951" s="158">
        <f>IF(N($F951)=0,0,$F951/SUMIFS(INPUT_RITASE!$F$5:$F$20000,INPUT_RITASE!$A$5:$A$20000,$A951,INPUT_RITASE!$B$5:$B$20000,$B951,INPUT_RITASE!$C$5:$C$20000,$C951,INPUT_RITASE!$D$5:$D$20000,$D951))</f>
        <v/>
      </c>
      <c r="S951" s="158">
        <f>IF($Q951=0,0,$R951*$P951/$Q951)</f>
        <v/>
      </c>
    </row>
    <row r="952">
      <c r="A952" s="155" t="n">
        <v>46107</v>
      </c>
      <c r="B952" s="156" t="inlineStr">
        <is>
          <t>09-10</t>
        </is>
      </c>
      <c r="C952" s="156" t="inlineStr">
        <is>
          <t>EX-1252</t>
        </is>
      </c>
      <c r="D952" s="156" t="inlineStr">
        <is>
          <t>DT-522</t>
        </is>
      </c>
      <c r="E952" s="156" t="inlineStr">
        <is>
          <t>OB</t>
        </is>
      </c>
      <c r="F952" s="156" t="n">
        <v>3</v>
      </c>
      <c r="G952" s="156" t="inlineStr"/>
      <c r="H952" s="157">
        <f>IF($B952="","",IF(ISNA(MATCH($B952,MASTER_JAM!$Q$5:$Q$28,0)),"?",IF(MATCH($B952,MASTER_JAM!$Q$5:$Q$28,0)&lt;=12,"DS","NS")))</f>
        <v/>
      </c>
      <c r="I952" s="157">
        <f>IFERROR(INDEX(MASTER_JAM!$B$5:$B$94,MATCH($C952,MASTER_JAM!$A$5:$A$94,0)),"")</f>
        <v/>
      </c>
      <c r="J952" s="157">
        <f>IFERROR(INDEX(MASTER_JAM!$E$5:$E$94,MATCH($D952,MASTER_JAM!$A$5:$A$94,0)),"")</f>
        <v/>
      </c>
      <c r="K952" s="158">
        <f>IFERROR(INDEX(MASTER_JAM!$J$5:$O$12,MATCH($E952,MASTER_JAM!$I$5:$I$12,0),MATCH($J952,MASTER_JAM!$J$4:$O$4,0))+0,0)</f>
        <v/>
      </c>
      <c r="L952" s="159">
        <f>N($F952)*$K952</f>
        <v/>
      </c>
      <c r="M952" s="157">
        <f>IF($E952="","",IF(OR($E952="Coal",$E952="Dirty Coal"),"MT","BCM"))</f>
        <v/>
      </c>
      <c r="N952" s="157">
        <f>IF($E952="","",IF(OR($E952="Coal",$E952="Dirty Coal"),"Coal","OB"))</f>
        <v/>
      </c>
      <c r="O952" s="157">
        <f>IF($F952="","",IF(COUNTIF(MASTER_JAM!$A$5:$A$94,$C952)=0,"Digger tidak dikenal",IF($J952="","Hauler tidak dikenal",IF($H952="?","Jam salah",IF($K952=0,"Faktor kosong",IF(SUMIFS(INPUT_DELAY!$E$5:$E$20000,INPUT_DELAY!$A$5:$A$20000,$A952,INPUT_DELAY!$B$5:$B$20000,$B952,INPUT_DELAY!$C$5:$C$20000,$C952)+SUMIFS(INPUT_DELAY!$E$5:$E$20000,INPUT_DELAY!$A$5:$A$20000,$A952,INPUT_DELAY!$B$5:$B$20000,$B952,INPUT_DELAY!$C$5:$C$20000,"SEMUA")&gt;=60,"Delay 60 mnt tapi ada ritase","OK"))))))</f>
        <v/>
      </c>
      <c r="P952" s="158">
        <f>IFERROR(INDEX(MASTER_JAM!$Z$5:$AC$10,MATCH($I952,MASTER_JAM!$Y$5:$Y$10,0),MATCH($J952,MASTER_JAM!$Z$4:$AC$4,0))+0,0)</f>
        <v/>
      </c>
      <c r="Q952" s="158">
        <f>IF($P952=0,0,$P952+IFERROR(INDEX(MASTER_JAM!$H$5:$H$94,MATCH($C952,MASTER_JAM!$A$5:$A$94,0))+0,MASTER_JAM!$AC$15)/1000*(60/MASTER_JAM!$AC$12+60/MASTER_JAM!$AC$13)+MASTER_JAM!$AC$14)</f>
        <v/>
      </c>
      <c r="R952" s="158">
        <f>IF(N($F952)=0,0,$F952/SUMIFS(INPUT_RITASE!$F$5:$F$20000,INPUT_RITASE!$A$5:$A$20000,$A952,INPUT_RITASE!$B$5:$B$20000,$B952,INPUT_RITASE!$C$5:$C$20000,$C952,INPUT_RITASE!$D$5:$D$20000,$D952))</f>
        <v/>
      </c>
      <c r="S952" s="158">
        <f>IF($Q952=0,0,$R952*$P952/$Q952)</f>
        <v/>
      </c>
    </row>
    <row r="953">
      <c r="A953" s="155" t="n">
        <v>46107</v>
      </c>
      <c r="B953" s="156" t="inlineStr">
        <is>
          <t>13-14</t>
        </is>
      </c>
      <c r="C953" s="156" t="inlineStr">
        <is>
          <t>EX-1252</t>
        </is>
      </c>
      <c r="D953" s="156" t="inlineStr">
        <is>
          <t>DT-522</t>
        </is>
      </c>
      <c r="E953" s="156" t="inlineStr">
        <is>
          <t>OB</t>
        </is>
      </c>
      <c r="F953" s="156" t="n">
        <v>4</v>
      </c>
      <c r="G953" s="156" t="inlineStr"/>
      <c r="H953" s="157">
        <f>IF($B953="","",IF(ISNA(MATCH($B953,MASTER_JAM!$Q$5:$Q$28,0)),"?",IF(MATCH($B953,MASTER_JAM!$Q$5:$Q$28,0)&lt;=12,"DS","NS")))</f>
        <v/>
      </c>
      <c r="I953" s="157">
        <f>IFERROR(INDEX(MASTER_JAM!$B$5:$B$94,MATCH($C953,MASTER_JAM!$A$5:$A$94,0)),"")</f>
        <v/>
      </c>
      <c r="J953" s="157">
        <f>IFERROR(INDEX(MASTER_JAM!$E$5:$E$94,MATCH($D953,MASTER_JAM!$A$5:$A$94,0)),"")</f>
        <v/>
      </c>
      <c r="K953" s="158">
        <f>IFERROR(INDEX(MASTER_JAM!$J$5:$O$12,MATCH($E953,MASTER_JAM!$I$5:$I$12,0),MATCH($J953,MASTER_JAM!$J$4:$O$4,0))+0,0)</f>
        <v/>
      </c>
      <c r="L953" s="159">
        <f>N($F953)*$K953</f>
        <v/>
      </c>
      <c r="M953" s="157">
        <f>IF($E953="","",IF(OR($E953="Coal",$E953="Dirty Coal"),"MT","BCM"))</f>
        <v/>
      </c>
      <c r="N953" s="157">
        <f>IF($E953="","",IF(OR($E953="Coal",$E953="Dirty Coal"),"Coal","OB"))</f>
        <v/>
      </c>
      <c r="O953" s="157">
        <f>IF($F953="","",IF(COUNTIF(MASTER_JAM!$A$5:$A$94,$C953)=0,"Digger tidak dikenal",IF($J953="","Hauler tidak dikenal",IF($H953="?","Jam salah",IF($K953=0,"Faktor kosong",IF(SUMIFS(INPUT_DELAY!$E$5:$E$20000,INPUT_DELAY!$A$5:$A$20000,$A953,INPUT_DELAY!$B$5:$B$20000,$B953,INPUT_DELAY!$C$5:$C$20000,$C953)+SUMIFS(INPUT_DELAY!$E$5:$E$20000,INPUT_DELAY!$A$5:$A$20000,$A953,INPUT_DELAY!$B$5:$B$20000,$B953,INPUT_DELAY!$C$5:$C$20000,"SEMUA")&gt;=60,"Delay 60 mnt tapi ada ritase","OK"))))))</f>
        <v/>
      </c>
      <c r="P953" s="158">
        <f>IFERROR(INDEX(MASTER_JAM!$Z$5:$AC$10,MATCH($I953,MASTER_JAM!$Y$5:$Y$10,0),MATCH($J953,MASTER_JAM!$Z$4:$AC$4,0))+0,0)</f>
        <v/>
      </c>
      <c r="Q953" s="158">
        <f>IF($P953=0,0,$P953+IFERROR(INDEX(MASTER_JAM!$H$5:$H$94,MATCH($C953,MASTER_JAM!$A$5:$A$94,0))+0,MASTER_JAM!$AC$15)/1000*(60/MASTER_JAM!$AC$12+60/MASTER_JAM!$AC$13)+MASTER_JAM!$AC$14)</f>
        <v/>
      </c>
      <c r="R953" s="158">
        <f>IF(N($F953)=0,0,$F953/SUMIFS(INPUT_RITASE!$F$5:$F$20000,INPUT_RITASE!$A$5:$A$20000,$A953,INPUT_RITASE!$B$5:$B$20000,$B953,INPUT_RITASE!$C$5:$C$20000,$C953,INPUT_RITASE!$D$5:$D$20000,$D953))</f>
        <v/>
      </c>
      <c r="S953" s="158">
        <f>IF($Q953=0,0,$R953*$P953/$Q953)</f>
        <v/>
      </c>
    </row>
    <row r="954">
      <c r="A954" s="155" t="n">
        <v>46107</v>
      </c>
      <c r="B954" s="156" t="inlineStr">
        <is>
          <t>13-14</t>
        </is>
      </c>
      <c r="C954" s="156" t="inlineStr">
        <is>
          <t>EX-1252</t>
        </is>
      </c>
      <c r="D954" s="156" t="inlineStr">
        <is>
          <t>DT-521</t>
        </is>
      </c>
      <c r="E954" s="156" t="inlineStr">
        <is>
          <t>OB</t>
        </is>
      </c>
      <c r="F954" s="156" t="n">
        <v>4</v>
      </c>
      <c r="G954" s="156" t="inlineStr"/>
      <c r="H954" s="157">
        <f>IF($B954="","",IF(ISNA(MATCH($B954,MASTER_JAM!$Q$5:$Q$28,0)),"?",IF(MATCH($B954,MASTER_JAM!$Q$5:$Q$28,0)&lt;=12,"DS","NS")))</f>
        <v/>
      </c>
      <c r="I954" s="157">
        <f>IFERROR(INDEX(MASTER_JAM!$B$5:$B$94,MATCH($C954,MASTER_JAM!$A$5:$A$94,0)),"")</f>
        <v/>
      </c>
      <c r="J954" s="157">
        <f>IFERROR(INDEX(MASTER_JAM!$E$5:$E$94,MATCH($D954,MASTER_JAM!$A$5:$A$94,0)),"")</f>
        <v/>
      </c>
      <c r="K954" s="158">
        <f>IFERROR(INDEX(MASTER_JAM!$J$5:$O$12,MATCH($E954,MASTER_JAM!$I$5:$I$12,0),MATCH($J954,MASTER_JAM!$J$4:$O$4,0))+0,0)</f>
        <v/>
      </c>
      <c r="L954" s="159">
        <f>N($F954)*$K954</f>
        <v/>
      </c>
      <c r="M954" s="157">
        <f>IF($E954="","",IF(OR($E954="Coal",$E954="Dirty Coal"),"MT","BCM"))</f>
        <v/>
      </c>
      <c r="N954" s="157">
        <f>IF($E954="","",IF(OR($E954="Coal",$E954="Dirty Coal"),"Coal","OB"))</f>
        <v/>
      </c>
      <c r="O954" s="157">
        <f>IF($F954="","",IF(COUNTIF(MASTER_JAM!$A$5:$A$94,$C954)=0,"Digger tidak dikenal",IF($J954="","Hauler tidak dikenal",IF($H954="?","Jam salah",IF($K954=0,"Faktor kosong",IF(SUMIFS(INPUT_DELAY!$E$5:$E$20000,INPUT_DELAY!$A$5:$A$20000,$A954,INPUT_DELAY!$B$5:$B$20000,$B954,INPUT_DELAY!$C$5:$C$20000,$C954)+SUMIFS(INPUT_DELAY!$E$5:$E$20000,INPUT_DELAY!$A$5:$A$20000,$A954,INPUT_DELAY!$B$5:$B$20000,$B954,INPUT_DELAY!$C$5:$C$20000,"SEMUA")&gt;=60,"Delay 60 mnt tapi ada ritase","OK"))))))</f>
        <v/>
      </c>
      <c r="P954" s="158">
        <f>IFERROR(INDEX(MASTER_JAM!$Z$5:$AC$10,MATCH($I954,MASTER_JAM!$Y$5:$Y$10,0),MATCH($J954,MASTER_JAM!$Z$4:$AC$4,0))+0,0)</f>
        <v/>
      </c>
      <c r="Q954" s="158">
        <f>IF($P954=0,0,$P954+IFERROR(INDEX(MASTER_JAM!$H$5:$H$94,MATCH($C954,MASTER_JAM!$A$5:$A$94,0))+0,MASTER_JAM!$AC$15)/1000*(60/MASTER_JAM!$AC$12+60/MASTER_JAM!$AC$13)+MASTER_JAM!$AC$14)</f>
        <v/>
      </c>
      <c r="R954" s="158">
        <f>IF(N($F954)=0,0,$F954/SUMIFS(INPUT_RITASE!$F$5:$F$20000,INPUT_RITASE!$A$5:$A$20000,$A954,INPUT_RITASE!$B$5:$B$20000,$B954,INPUT_RITASE!$C$5:$C$20000,$C954,INPUT_RITASE!$D$5:$D$20000,$D954))</f>
        <v/>
      </c>
      <c r="S954" s="158">
        <f>IF($Q954=0,0,$R954*$P954/$Q954)</f>
        <v/>
      </c>
    </row>
    <row r="955">
      <c r="A955" s="155" t="n">
        <v>46107</v>
      </c>
      <c r="B955" s="156" t="inlineStr">
        <is>
          <t>13-14</t>
        </is>
      </c>
      <c r="C955" s="156" t="inlineStr">
        <is>
          <t>EX-1252</t>
        </is>
      </c>
      <c r="D955" s="156" t="inlineStr">
        <is>
          <t>DT-505</t>
        </is>
      </c>
      <c r="E955" s="156" t="inlineStr">
        <is>
          <t>OB</t>
        </is>
      </c>
      <c r="F955" s="156" t="n">
        <v>4</v>
      </c>
      <c r="G955" s="156" t="inlineStr"/>
      <c r="H955" s="157">
        <f>IF($B955="","",IF(ISNA(MATCH($B955,MASTER_JAM!$Q$5:$Q$28,0)),"?",IF(MATCH($B955,MASTER_JAM!$Q$5:$Q$28,0)&lt;=12,"DS","NS")))</f>
        <v/>
      </c>
      <c r="I955" s="157">
        <f>IFERROR(INDEX(MASTER_JAM!$B$5:$B$94,MATCH($C955,MASTER_JAM!$A$5:$A$94,0)),"")</f>
        <v/>
      </c>
      <c r="J955" s="157">
        <f>IFERROR(INDEX(MASTER_JAM!$E$5:$E$94,MATCH($D955,MASTER_JAM!$A$5:$A$94,0)),"")</f>
        <v/>
      </c>
      <c r="K955" s="158">
        <f>IFERROR(INDEX(MASTER_JAM!$J$5:$O$12,MATCH($E955,MASTER_JAM!$I$5:$I$12,0),MATCH($J955,MASTER_JAM!$J$4:$O$4,0))+0,0)</f>
        <v/>
      </c>
      <c r="L955" s="159">
        <f>N($F955)*$K955</f>
        <v/>
      </c>
      <c r="M955" s="157">
        <f>IF($E955="","",IF(OR($E955="Coal",$E955="Dirty Coal"),"MT","BCM"))</f>
        <v/>
      </c>
      <c r="N955" s="157">
        <f>IF($E955="","",IF(OR($E955="Coal",$E955="Dirty Coal"),"Coal","OB"))</f>
        <v/>
      </c>
      <c r="O955" s="157">
        <f>IF($F955="","",IF(COUNTIF(MASTER_JAM!$A$5:$A$94,$C955)=0,"Digger tidak dikenal",IF($J955="","Hauler tidak dikenal",IF($H955="?","Jam salah",IF($K955=0,"Faktor kosong",IF(SUMIFS(INPUT_DELAY!$E$5:$E$20000,INPUT_DELAY!$A$5:$A$20000,$A955,INPUT_DELAY!$B$5:$B$20000,$B955,INPUT_DELAY!$C$5:$C$20000,$C955)+SUMIFS(INPUT_DELAY!$E$5:$E$20000,INPUT_DELAY!$A$5:$A$20000,$A955,INPUT_DELAY!$B$5:$B$20000,$B955,INPUT_DELAY!$C$5:$C$20000,"SEMUA")&gt;=60,"Delay 60 mnt tapi ada ritase","OK"))))))</f>
        <v/>
      </c>
      <c r="P955" s="158">
        <f>IFERROR(INDEX(MASTER_JAM!$Z$5:$AC$10,MATCH($I955,MASTER_JAM!$Y$5:$Y$10,0),MATCH($J955,MASTER_JAM!$Z$4:$AC$4,0))+0,0)</f>
        <v/>
      </c>
      <c r="Q955" s="158">
        <f>IF($P955=0,0,$P955+IFERROR(INDEX(MASTER_JAM!$H$5:$H$94,MATCH($C955,MASTER_JAM!$A$5:$A$94,0))+0,MASTER_JAM!$AC$15)/1000*(60/MASTER_JAM!$AC$12+60/MASTER_JAM!$AC$13)+MASTER_JAM!$AC$14)</f>
        <v/>
      </c>
      <c r="R955" s="158">
        <f>IF(N($F955)=0,0,$F955/SUMIFS(INPUT_RITASE!$F$5:$F$20000,INPUT_RITASE!$A$5:$A$20000,$A955,INPUT_RITASE!$B$5:$B$20000,$B955,INPUT_RITASE!$C$5:$C$20000,$C955,INPUT_RITASE!$D$5:$D$20000,$D955))</f>
        <v/>
      </c>
      <c r="S955" s="158">
        <f>IF($Q955=0,0,$R955*$P955/$Q955)</f>
        <v/>
      </c>
    </row>
    <row r="956">
      <c r="A956" s="155" t="n">
        <v>46107</v>
      </c>
      <c r="B956" s="156" t="inlineStr">
        <is>
          <t>13-14</t>
        </is>
      </c>
      <c r="C956" s="156" t="inlineStr">
        <is>
          <t>EX-1252</t>
        </is>
      </c>
      <c r="D956" s="156" t="inlineStr">
        <is>
          <t>DT-527</t>
        </is>
      </c>
      <c r="E956" s="156" t="inlineStr">
        <is>
          <t>OB</t>
        </is>
      </c>
      <c r="F956" s="156" t="n">
        <v>4</v>
      </c>
      <c r="G956" s="156" t="inlineStr"/>
      <c r="H956" s="157">
        <f>IF($B956="","",IF(ISNA(MATCH($B956,MASTER_JAM!$Q$5:$Q$28,0)),"?",IF(MATCH($B956,MASTER_JAM!$Q$5:$Q$28,0)&lt;=12,"DS","NS")))</f>
        <v/>
      </c>
      <c r="I956" s="157">
        <f>IFERROR(INDEX(MASTER_JAM!$B$5:$B$94,MATCH($C956,MASTER_JAM!$A$5:$A$94,0)),"")</f>
        <v/>
      </c>
      <c r="J956" s="157">
        <f>IFERROR(INDEX(MASTER_JAM!$E$5:$E$94,MATCH($D956,MASTER_JAM!$A$5:$A$94,0)),"")</f>
        <v/>
      </c>
      <c r="K956" s="158">
        <f>IFERROR(INDEX(MASTER_JAM!$J$5:$O$12,MATCH($E956,MASTER_JAM!$I$5:$I$12,0),MATCH($J956,MASTER_JAM!$J$4:$O$4,0))+0,0)</f>
        <v/>
      </c>
      <c r="L956" s="159">
        <f>N($F956)*$K956</f>
        <v/>
      </c>
      <c r="M956" s="157">
        <f>IF($E956="","",IF(OR($E956="Coal",$E956="Dirty Coal"),"MT","BCM"))</f>
        <v/>
      </c>
      <c r="N956" s="157">
        <f>IF($E956="","",IF(OR($E956="Coal",$E956="Dirty Coal"),"Coal","OB"))</f>
        <v/>
      </c>
      <c r="O956" s="157">
        <f>IF($F956="","",IF(COUNTIF(MASTER_JAM!$A$5:$A$94,$C956)=0,"Digger tidak dikenal",IF($J956="","Hauler tidak dikenal",IF($H956="?","Jam salah",IF($K956=0,"Faktor kosong",IF(SUMIFS(INPUT_DELAY!$E$5:$E$20000,INPUT_DELAY!$A$5:$A$20000,$A956,INPUT_DELAY!$B$5:$B$20000,$B956,INPUT_DELAY!$C$5:$C$20000,$C956)+SUMIFS(INPUT_DELAY!$E$5:$E$20000,INPUT_DELAY!$A$5:$A$20000,$A956,INPUT_DELAY!$B$5:$B$20000,$B956,INPUT_DELAY!$C$5:$C$20000,"SEMUA")&gt;=60,"Delay 60 mnt tapi ada ritase","OK"))))))</f>
        <v/>
      </c>
      <c r="P956" s="158">
        <f>IFERROR(INDEX(MASTER_JAM!$Z$5:$AC$10,MATCH($I956,MASTER_JAM!$Y$5:$Y$10,0),MATCH($J956,MASTER_JAM!$Z$4:$AC$4,0))+0,0)</f>
        <v/>
      </c>
      <c r="Q956" s="158">
        <f>IF($P956=0,0,$P956+IFERROR(INDEX(MASTER_JAM!$H$5:$H$94,MATCH($C956,MASTER_JAM!$A$5:$A$94,0))+0,MASTER_JAM!$AC$15)/1000*(60/MASTER_JAM!$AC$12+60/MASTER_JAM!$AC$13)+MASTER_JAM!$AC$14)</f>
        <v/>
      </c>
      <c r="R956" s="158">
        <f>IF(N($F956)=0,0,$F956/SUMIFS(INPUT_RITASE!$F$5:$F$20000,INPUT_RITASE!$A$5:$A$20000,$A956,INPUT_RITASE!$B$5:$B$20000,$B956,INPUT_RITASE!$C$5:$C$20000,$C956,INPUT_RITASE!$D$5:$D$20000,$D956))</f>
        <v/>
      </c>
      <c r="S956" s="158">
        <f>IF($Q956=0,0,$R956*$P956/$Q956)</f>
        <v/>
      </c>
    </row>
    <row r="957">
      <c r="A957" s="155" t="n">
        <v>46107</v>
      </c>
      <c r="B957" s="156" t="inlineStr">
        <is>
          <t>13-14</t>
        </is>
      </c>
      <c r="C957" s="156" t="inlineStr">
        <is>
          <t>EX-1252</t>
        </is>
      </c>
      <c r="D957" s="156" t="inlineStr">
        <is>
          <t>DT-515</t>
        </is>
      </c>
      <c r="E957" s="156" t="inlineStr">
        <is>
          <t>OB</t>
        </is>
      </c>
      <c r="F957" s="156" t="n">
        <v>3</v>
      </c>
      <c r="G957" s="156" t="inlineStr"/>
      <c r="H957" s="157">
        <f>IF($B957="","",IF(ISNA(MATCH($B957,MASTER_JAM!$Q$5:$Q$28,0)),"?",IF(MATCH($B957,MASTER_JAM!$Q$5:$Q$28,0)&lt;=12,"DS","NS")))</f>
        <v/>
      </c>
      <c r="I957" s="157">
        <f>IFERROR(INDEX(MASTER_JAM!$B$5:$B$94,MATCH($C957,MASTER_JAM!$A$5:$A$94,0)),"")</f>
        <v/>
      </c>
      <c r="J957" s="157">
        <f>IFERROR(INDEX(MASTER_JAM!$E$5:$E$94,MATCH($D957,MASTER_JAM!$A$5:$A$94,0)),"")</f>
        <v/>
      </c>
      <c r="K957" s="158">
        <f>IFERROR(INDEX(MASTER_JAM!$J$5:$O$12,MATCH($E957,MASTER_JAM!$I$5:$I$12,0),MATCH($J957,MASTER_JAM!$J$4:$O$4,0))+0,0)</f>
        <v/>
      </c>
      <c r="L957" s="159">
        <f>N($F957)*$K957</f>
        <v/>
      </c>
      <c r="M957" s="157">
        <f>IF($E957="","",IF(OR($E957="Coal",$E957="Dirty Coal"),"MT","BCM"))</f>
        <v/>
      </c>
      <c r="N957" s="157">
        <f>IF($E957="","",IF(OR($E957="Coal",$E957="Dirty Coal"),"Coal","OB"))</f>
        <v/>
      </c>
      <c r="O957" s="157">
        <f>IF($F957="","",IF(COUNTIF(MASTER_JAM!$A$5:$A$94,$C957)=0,"Digger tidak dikenal",IF($J957="","Hauler tidak dikenal",IF($H957="?","Jam salah",IF($K957=0,"Faktor kosong",IF(SUMIFS(INPUT_DELAY!$E$5:$E$20000,INPUT_DELAY!$A$5:$A$20000,$A957,INPUT_DELAY!$B$5:$B$20000,$B957,INPUT_DELAY!$C$5:$C$20000,$C957)+SUMIFS(INPUT_DELAY!$E$5:$E$20000,INPUT_DELAY!$A$5:$A$20000,$A957,INPUT_DELAY!$B$5:$B$20000,$B957,INPUT_DELAY!$C$5:$C$20000,"SEMUA")&gt;=60,"Delay 60 mnt tapi ada ritase","OK"))))))</f>
        <v/>
      </c>
      <c r="P957" s="158">
        <f>IFERROR(INDEX(MASTER_JAM!$Z$5:$AC$10,MATCH($I957,MASTER_JAM!$Y$5:$Y$10,0),MATCH($J957,MASTER_JAM!$Z$4:$AC$4,0))+0,0)</f>
        <v/>
      </c>
      <c r="Q957" s="158">
        <f>IF($P957=0,0,$P957+IFERROR(INDEX(MASTER_JAM!$H$5:$H$94,MATCH($C957,MASTER_JAM!$A$5:$A$94,0))+0,MASTER_JAM!$AC$15)/1000*(60/MASTER_JAM!$AC$12+60/MASTER_JAM!$AC$13)+MASTER_JAM!$AC$14)</f>
        <v/>
      </c>
      <c r="R957" s="158">
        <f>IF(N($F957)=0,0,$F957/SUMIFS(INPUT_RITASE!$F$5:$F$20000,INPUT_RITASE!$A$5:$A$20000,$A957,INPUT_RITASE!$B$5:$B$20000,$B957,INPUT_RITASE!$C$5:$C$20000,$C957,INPUT_RITASE!$D$5:$D$20000,$D957))</f>
        <v/>
      </c>
      <c r="S957" s="158">
        <f>IF($Q957=0,0,$R957*$P957/$Q957)</f>
        <v/>
      </c>
    </row>
    <row r="958">
      <c r="A958" s="155" t="n">
        <v>46107</v>
      </c>
      <c r="B958" s="156" t="inlineStr">
        <is>
          <t>14-15</t>
        </is>
      </c>
      <c r="C958" s="156" t="inlineStr">
        <is>
          <t>EX-1252</t>
        </is>
      </c>
      <c r="D958" s="156" t="inlineStr">
        <is>
          <t>DT-503</t>
        </is>
      </c>
      <c r="E958" s="156" t="inlineStr">
        <is>
          <t>OB</t>
        </is>
      </c>
      <c r="F958" s="156" t="n">
        <v>4</v>
      </c>
      <c r="G958" s="156" t="inlineStr"/>
      <c r="H958" s="157">
        <f>IF($B958="","",IF(ISNA(MATCH($B958,MASTER_JAM!$Q$5:$Q$28,0)),"?",IF(MATCH($B958,MASTER_JAM!$Q$5:$Q$28,0)&lt;=12,"DS","NS")))</f>
        <v/>
      </c>
      <c r="I958" s="157">
        <f>IFERROR(INDEX(MASTER_JAM!$B$5:$B$94,MATCH($C958,MASTER_JAM!$A$5:$A$94,0)),"")</f>
        <v/>
      </c>
      <c r="J958" s="157">
        <f>IFERROR(INDEX(MASTER_JAM!$E$5:$E$94,MATCH($D958,MASTER_JAM!$A$5:$A$94,0)),"")</f>
        <v/>
      </c>
      <c r="K958" s="158">
        <f>IFERROR(INDEX(MASTER_JAM!$J$5:$O$12,MATCH($E958,MASTER_JAM!$I$5:$I$12,0),MATCH($J958,MASTER_JAM!$J$4:$O$4,0))+0,0)</f>
        <v/>
      </c>
      <c r="L958" s="159">
        <f>N($F958)*$K958</f>
        <v/>
      </c>
      <c r="M958" s="157">
        <f>IF($E958="","",IF(OR($E958="Coal",$E958="Dirty Coal"),"MT","BCM"))</f>
        <v/>
      </c>
      <c r="N958" s="157">
        <f>IF($E958="","",IF(OR($E958="Coal",$E958="Dirty Coal"),"Coal","OB"))</f>
        <v/>
      </c>
      <c r="O958" s="157">
        <f>IF($F958="","",IF(COUNTIF(MASTER_JAM!$A$5:$A$94,$C958)=0,"Digger tidak dikenal",IF($J958="","Hauler tidak dikenal",IF($H958="?","Jam salah",IF($K958=0,"Faktor kosong",IF(SUMIFS(INPUT_DELAY!$E$5:$E$20000,INPUT_DELAY!$A$5:$A$20000,$A958,INPUT_DELAY!$B$5:$B$20000,$B958,INPUT_DELAY!$C$5:$C$20000,$C958)+SUMIFS(INPUT_DELAY!$E$5:$E$20000,INPUT_DELAY!$A$5:$A$20000,$A958,INPUT_DELAY!$B$5:$B$20000,$B958,INPUT_DELAY!$C$5:$C$20000,"SEMUA")&gt;=60,"Delay 60 mnt tapi ada ritase","OK"))))))</f>
        <v/>
      </c>
      <c r="P958" s="158">
        <f>IFERROR(INDEX(MASTER_JAM!$Z$5:$AC$10,MATCH($I958,MASTER_JAM!$Y$5:$Y$10,0),MATCH($J958,MASTER_JAM!$Z$4:$AC$4,0))+0,0)</f>
        <v/>
      </c>
      <c r="Q958" s="158">
        <f>IF($P958=0,0,$P958+IFERROR(INDEX(MASTER_JAM!$H$5:$H$94,MATCH($C958,MASTER_JAM!$A$5:$A$94,0))+0,MASTER_JAM!$AC$15)/1000*(60/MASTER_JAM!$AC$12+60/MASTER_JAM!$AC$13)+MASTER_JAM!$AC$14)</f>
        <v/>
      </c>
      <c r="R958" s="158">
        <f>IF(N($F958)=0,0,$F958/SUMIFS(INPUT_RITASE!$F$5:$F$20000,INPUT_RITASE!$A$5:$A$20000,$A958,INPUT_RITASE!$B$5:$B$20000,$B958,INPUT_RITASE!$C$5:$C$20000,$C958,INPUT_RITASE!$D$5:$D$20000,$D958))</f>
        <v/>
      </c>
      <c r="S958" s="158">
        <f>IF($Q958=0,0,$R958*$P958/$Q958)</f>
        <v/>
      </c>
    </row>
    <row r="959">
      <c r="A959" s="155" t="n">
        <v>46107</v>
      </c>
      <c r="B959" s="156" t="inlineStr">
        <is>
          <t>14-15</t>
        </is>
      </c>
      <c r="C959" s="156" t="inlineStr">
        <is>
          <t>EX-1252</t>
        </is>
      </c>
      <c r="D959" s="156" t="inlineStr">
        <is>
          <t>DT-510</t>
        </is>
      </c>
      <c r="E959" s="156" t="inlineStr">
        <is>
          <t>OB</t>
        </is>
      </c>
      <c r="F959" s="156" t="n">
        <v>4</v>
      </c>
      <c r="G959" s="156" t="inlineStr"/>
      <c r="H959" s="157">
        <f>IF($B959="","",IF(ISNA(MATCH($B959,MASTER_JAM!$Q$5:$Q$28,0)),"?",IF(MATCH($B959,MASTER_JAM!$Q$5:$Q$28,0)&lt;=12,"DS","NS")))</f>
        <v/>
      </c>
      <c r="I959" s="157">
        <f>IFERROR(INDEX(MASTER_JAM!$B$5:$B$94,MATCH($C959,MASTER_JAM!$A$5:$A$94,0)),"")</f>
        <v/>
      </c>
      <c r="J959" s="157">
        <f>IFERROR(INDEX(MASTER_JAM!$E$5:$E$94,MATCH($D959,MASTER_JAM!$A$5:$A$94,0)),"")</f>
        <v/>
      </c>
      <c r="K959" s="158">
        <f>IFERROR(INDEX(MASTER_JAM!$J$5:$O$12,MATCH($E959,MASTER_JAM!$I$5:$I$12,0),MATCH($J959,MASTER_JAM!$J$4:$O$4,0))+0,0)</f>
        <v/>
      </c>
      <c r="L959" s="159">
        <f>N($F959)*$K959</f>
        <v/>
      </c>
      <c r="M959" s="157">
        <f>IF($E959="","",IF(OR($E959="Coal",$E959="Dirty Coal"),"MT","BCM"))</f>
        <v/>
      </c>
      <c r="N959" s="157">
        <f>IF($E959="","",IF(OR($E959="Coal",$E959="Dirty Coal"),"Coal","OB"))</f>
        <v/>
      </c>
      <c r="O959" s="157">
        <f>IF($F959="","",IF(COUNTIF(MASTER_JAM!$A$5:$A$94,$C959)=0,"Digger tidak dikenal",IF($J959="","Hauler tidak dikenal",IF($H959="?","Jam salah",IF($K959=0,"Faktor kosong",IF(SUMIFS(INPUT_DELAY!$E$5:$E$20000,INPUT_DELAY!$A$5:$A$20000,$A959,INPUT_DELAY!$B$5:$B$20000,$B959,INPUT_DELAY!$C$5:$C$20000,$C959)+SUMIFS(INPUT_DELAY!$E$5:$E$20000,INPUT_DELAY!$A$5:$A$20000,$A959,INPUT_DELAY!$B$5:$B$20000,$B959,INPUT_DELAY!$C$5:$C$20000,"SEMUA")&gt;=60,"Delay 60 mnt tapi ada ritase","OK"))))))</f>
        <v/>
      </c>
      <c r="P959" s="158">
        <f>IFERROR(INDEX(MASTER_JAM!$Z$5:$AC$10,MATCH($I959,MASTER_JAM!$Y$5:$Y$10,0),MATCH($J959,MASTER_JAM!$Z$4:$AC$4,0))+0,0)</f>
        <v/>
      </c>
      <c r="Q959" s="158">
        <f>IF($P959=0,0,$P959+IFERROR(INDEX(MASTER_JAM!$H$5:$H$94,MATCH($C959,MASTER_JAM!$A$5:$A$94,0))+0,MASTER_JAM!$AC$15)/1000*(60/MASTER_JAM!$AC$12+60/MASTER_JAM!$AC$13)+MASTER_JAM!$AC$14)</f>
        <v/>
      </c>
      <c r="R959" s="158">
        <f>IF(N($F959)=0,0,$F959/SUMIFS(INPUT_RITASE!$F$5:$F$20000,INPUT_RITASE!$A$5:$A$20000,$A959,INPUT_RITASE!$B$5:$B$20000,$B959,INPUT_RITASE!$C$5:$C$20000,$C959,INPUT_RITASE!$D$5:$D$20000,$D959))</f>
        <v/>
      </c>
      <c r="S959" s="158">
        <f>IF($Q959=0,0,$R959*$P959/$Q959)</f>
        <v/>
      </c>
    </row>
    <row r="960">
      <c r="A960" s="155" t="n">
        <v>46107</v>
      </c>
      <c r="B960" s="156" t="inlineStr">
        <is>
          <t>14-15</t>
        </is>
      </c>
      <c r="C960" s="156" t="inlineStr">
        <is>
          <t>EX-1252</t>
        </is>
      </c>
      <c r="D960" s="156" t="inlineStr">
        <is>
          <t>DT-506</t>
        </is>
      </c>
      <c r="E960" s="156" t="inlineStr">
        <is>
          <t>OB</t>
        </is>
      </c>
      <c r="F960" s="156" t="n">
        <v>4</v>
      </c>
      <c r="G960" s="156" t="inlineStr"/>
      <c r="H960" s="157">
        <f>IF($B960="","",IF(ISNA(MATCH($B960,MASTER_JAM!$Q$5:$Q$28,0)),"?",IF(MATCH($B960,MASTER_JAM!$Q$5:$Q$28,0)&lt;=12,"DS","NS")))</f>
        <v/>
      </c>
      <c r="I960" s="157">
        <f>IFERROR(INDEX(MASTER_JAM!$B$5:$B$94,MATCH($C960,MASTER_JAM!$A$5:$A$94,0)),"")</f>
        <v/>
      </c>
      <c r="J960" s="157">
        <f>IFERROR(INDEX(MASTER_JAM!$E$5:$E$94,MATCH($D960,MASTER_JAM!$A$5:$A$94,0)),"")</f>
        <v/>
      </c>
      <c r="K960" s="158">
        <f>IFERROR(INDEX(MASTER_JAM!$J$5:$O$12,MATCH($E960,MASTER_JAM!$I$5:$I$12,0),MATCH($J960,MASTER_JAM!$J$4:$O$4,0))+0,0)</f>
        <v/>
      </c>
      <c r="L960" s="159">
        <f>N($F960)*$K960</f>
        <v/>
      </c>
      <c r="M960" s="157">
        <f>IF($E960="","",IF(OR($E960="Coal",$E960="Dirty Coal"),"MT","BCM"))</f>
        <v/>
      </c>
      <c r="N960" s="157">
        <f>IF($E960="","",IF(OR($E960="Coal",$E960="Dirty Coal"),"Coal","OB"))</f>
        <v/>
      </c>
      <c r="O960" s="157">
        <f>IF($F960="","",IF(COUNTIF(MASTER_JAM!$A$5:$A$94,$C960)=0,"Digger tidak dikenal",IF($J960="","Hauler tidak dikenal",IF($H960="?","Jam salah",IF($K960=0,"Faktor kosong",IF(SUMIFS(INPUT_DELAY!$E$5:$E$20000,INPUT_DELAY!$A$5:$A$20000,$A960,INPUT_DELAY!$B$5:$B$20000,$B960,INPUT_DELAY!$C$5:$C$20000,$C960)+SUMIFS(INPUT_DELAY!$E$5:$E$20000,INPUT_DELAY!$A$5:$A$20000,$A960,INPUT_DELAY!$B$5:$B$20000,$B960,INPUT_DELAY!$C$5:$C$20000,"SEMUA")&gt;=60,"Delay 60 mnt tapi ada ritase","OK"))))))</f>
        <v/>
      </c>
      <c r="P960" s="158">
        <f>IFERROR(INDEX(MASTER_JAM!$Z$5:$AC$10,MATCH($I960,MASTER_JAM!$Y$5:$Y$10,0),MATCH($J960,MASTER_JAM!$Z$4:$AC$4,0))+0,0)</f>
        <v/>
      </c>
      <c r="Q960" s="158">
        <f>IF($P960=0,0,$P960+IFERROR(INDEX(MASTER_JAM!$H$5:$H$94,MATCH($C960,MASTER_JAM!$A$5:$A$94,0))+0,MASTER_JAM!$AC$15)/1000*(60/MASTER_JAM!$AC$12+60/MASTER_JAM!$AC$13)+MASTER_JAM!$AC$14)</f>
        <v/>
      </c>
      <c r="R960" s="158">
        <f>IF(N($F960)=0,0,$F960/SUMIFS(INPUT_RITASE!$F$5:$F$20000,INPUT_RITASE!$A$5:$A$20000,$A960,INPUT_RITASE!$B$5:$B$20000,$B960,INPUT_RITASE!$C$5:$C$20000,$C960,INPUT_RITASE!$D$5:$D$20000,$D960))</f>
        <v/>
      </c>
      <c r="S960" s="158">
        <f>IF($Q960=0,0,$R960*$P960/$Q960)</f>
        <v/>
      </c>
    </row>
    <row r="961">
      <c r="A961" s="155" t="n">
        <v>46107</v>
      </c>
      <c r="B961" s="156" t="inlineStr">
        <is>
          <t>14-15</t>
        </is>
      </c>
      <c r="C961" s="156" t="inlineStr">
        <is>
          <t>EX-1252</t>
        </is>
      </c>
      <c r="D961" s="156" t="inlineStr">
        <is>
          <t>DT-508</t>
        </is>
      </c>
      <c r="E961" s="156" t="inlineStr">
        <is>
          <t>OB</t>
        </is>
      </c>
      <c r="F961" s="156" t="n">
        <v>4</v>
      </c>
      <c r="G961" s="156" t="inlineStr"/>
      <c r="H961" s="157">
        <f>IF($B961="","",IF(ISNA(MATCH($B961,MASTER_JAM!$Q$5:$Q$28,0)),"?",IF(MATCH($B961,MASTER_JAM!$Q$5:$Q$28,0)&lt;=12,"DS","NS")))</f>
        <v/>
      </c>
      <c r="I961" s="157">
        <f>IFERROR(INDEX(MASTER_JAM!$B$5:$B$94,MATCH($C961,MASTER_JAM!$A$5:$A$94,0)),"")</f>
        <v/>
      </c>
      <c r="J961" s="157">
        <f>IFERROR(INDEX(MASTER_JAM!$E$5:$E$94,MATCH($D961,MASTER_JAM!$A$5:$A$94,0)),"")</f>
        <v/>
      </c>
      <c r="K961" s="158">
        <f>IFERROR(INDEX(MASTER_JAM!$J$5:$O$12,MATCH($E961,MASTER_JAM!$I$5:$I$12,0),MATCH($J961,MASTER_JAM!$J$4:$O$4,0))+0,0)</f>
        <v/>
      </c>
      <c r="L961" s="159">
        <f>N($F961)*$K961</f>
        <v/>
      </c>
      <c r="M961" s="157">
        <f>IF($E961="","",IF(OR($E961="Coal",$E961="Dirty Coal"),"MT","BCM"))</f>
        <v/>
      </c>
      <c r="N961" s="157">
        <f>IF($E961="","",IF(OR($E961="Coal",$E961="Dirty Coal"),"Coal","OB"))</f>
        <v/>
      </c>
      <c r="O961" s="157">
        <f>IF($F961="","",IF(COUNTIF(MASTER_JAM!$A$5:$A$94,$C961)=0,"Digger tidak dikenal",IF($J961="","Hauler tidak dikenal",IF($H961="?","Jam salah",IF($K961=0,"Faktor kosong",IF(SUMIFS(INPUT_DELAY!$E$5:$E$20000,INPUT_DELAY!$A$5:$A$20000,$A961,INPUT_DELAY!$B$5:$B$20000,$B961,INPUT_DELAY!$C$5:$C$20000,$C961)+SUMIFS(INPUT_DELAY!$E$5:$E$20000,INPUT_DELAY!$A$5:$A$20000,$A961,INPUT_DELAY!$B$5:$B$20000,$B961,INPUT_DELAY!$C$5:$C$20000,"SEMUA")&gt;=60,"Delay 60 mnt tapi ada ritase","OK"))))))</f>
        <v/>
      </c>
      <c r="P961" s="158">
        <f>IFERROR(INDEX(MASTER_JAM!$Z$5:$AC$10,MATCH($I961,MASTER_JAM!$Y$5:$Y$10,0),MATCH($J961,MASTER_JAM!$Z$4:$AC$4,0))+0,0)</f>
        <v/>
      </c>
      <c r="Q961" s="158">
        <f>IF($P961=0,0,$P961+IFERROR(INDEX(MASTER_JAM!$H$5:$H$94,MATCH($C961,MASTER_JAM!$A$5:$A$94,0))+0,MASTER_JAM!$AC$15)/1000*(60/MASTER_JAM!$AC$12+60/MASTER_JAM!$AC$13)+MASTER_JAM!$AC$14)</f>
        <v/>
      </c>
      <c r="R961" s="158">
        <f>IF(N($F961)=0,0,$F961/SUMIFS(INPUT_RITASE!$F$5:$F$20000,INPUT_RITASE!$A$5:$A$20000,$A961,INPUT_RITASE!$B$5:$B$20000,$B961,INPUT_RITASE!$C$5:$C$20000,$C961,INPUT_RITASE!$D$5:$D$20000,$D961))</f>
        <v/>
      </c>
      <c r="S961" s="158">
        <f>IF($Q961=0,0,$R961*$P961/$Q961)</f>
        <v/>
      </c>
    </row>
    <row r="962">
      <c r="A962" s="155" t="n">
        <v>46107</v>
      </c>
      <c r="B962" s="156" t="inlineStr">
        <is>
          <t>14-15</t>
        </is>
      </c>
      <c r="C962" s="156" t="inlineStr">
        <is>
          <t>EX-1252</t>
        </is>
      </c>
      <c r="D962" s="156" t="inlineStr">
        <is>
          <t>DT-528</t>
        </is>
      </c>
      <c r="E962" s="156" t="inlineStr">
        <is>
          <t>OB</t>
        </is>
      </c>
      <c r="F962" s="156" t="n">
        <v>3</v>
      </c>
      <c r="G962" s="156" t="inlineStr"/>
      <c r="H962" s="157">
        <f>IF($B962="","",IF(ISNA(MATCH($B962,MASTER_JAM!$Q$5:$Q$28,0)),"?",IF(MATCH($B962,MASTER_JAM!$Q$5:$Q$28,0)&lt;=12,"DS","NS")))</f>
        <v/>
      </c>
      <c r="I962" s="157">
        <f>IFERROR(INDEX(MASTER_JAM!$B$5:$B$94,MATCH($C962,MASTER_JAM!$A$5:$A$94,0)),"")</f>
        <v/>
      </c>
      <c r="J962" s="157">
        <f>IFERROR(INDEX(MASTER_JAM!$E$5:$E$94,MATCH($D962,MASTER_JAM!$A$5:$A$94,0)),"")</f>
        <v/>
      </c>
      <c r="K962" s="158">
        <f>IFERROR(INDEX(MASTER_JAM!$J$5:$O$12,MATCH($E962,MASTER_JAM!$I$5:$I$12,0),MATCH($J962,MASTER_JAM!$J$4:$O$4,0))+0,0)</f>
        <v/>
      </c>
      <c r="L962" s="159">
        <f>N($F962)*$K962</f>
        <v/>
      </c>
      <c r="M962" s="157">
        <f>IF($E962="","",IF(OR($E962="Coal",$E962="Dirty Coal"),"MT","BCM"))</f>
        <v/>
      </c>
      <c r="N962" s="157">
        <f>IF($E962="","",IF(OR($E962="Coal",$E962="Dirty Coal"),"Coal","OB"))</f>
        <v/>
      </c>
      <c r="O962" s="157">
        <f>IF($F962="","",IF(COUNTIF(MASTER_JAM!$A$5:$A$94,$C962)=0,"Digger tidak dikenal",IF($J962="","Hauler tidak dikenal",IF($H962="?","Jam salah",IF($K962=0,"Faktor kosong",IF(SUMIFS(INPUT_DELAY!$E$5:$E$20000,INPUT_DELAY!$A$5:$A$20000,$A962,INPUT_DELAY!$B$5:$B$20000,$B962,INPUT_DELAY!$C$5:$C$20000,$C962)+SUMIFS(INPUT_DELAY!$E$5:$E$20000,INPUT_DELAY!$A$5:$A$20000,$A962,INPUT_DELAY!$B$5:$B$20000,$B962,INPUT_DELAY!$C$5:$C$20000,"SEMUA")&gt;=60,"Delay 60 mnt tapi ada ritase","OK"))))))</f>
        <v/>
      </c>
      <c r="P962" s="158">
        <f>IFERROR(INDEX(MASTER_JAM!$Z$5:$AC$10,MATCH($I962,MASTER_JAM!$Y$5:$Y$10,0),MATCH($J962,MASTER_JAM!$Z$4:$AC$4,0))+0,0)</f>
        <v/>
      </c>
      <c r="Q962" s="158">
        <f>IF($P962=0,0,$P962+IFERROR(INDEX(MASTER_JAM!$H$5:$H$94,MATCH($C962,MASTER_JAM!$A$5:$A$94,0))+0,MASTER_JAM!$AC$15)/1000*(60/MASTER_JAM!$AC$12+60/MASTER_JAM!$AC$13)+MASTER_JAM!$AC$14)</f>
        <v/>
      </c>
      <c r="R962" s="158">
        <f>IF(N($F962)=0,0,$F962/SUMIFS(INPUT_RITASE!$F$5:$F$20000,INPUT_RITASE!$A$5:$A$20000,$A962,INPUT_RITASE!$B$5:$B$20000,$B962,INPUT_RITASE!$C$5:$C$20000,$C962,INPUT_RITASE!$D$5:$D$20000,$D962))</f>
        <v/>
      </c>
      <c r="S962" s="158">
        <f>IF($Q962=0,0,$R962*$P962/$Q962)</f>
        <v/>
      </c>
    </row>
    <row r="963">
      <c r="A963" s="155" t="n">
        <v>46107</v>
      </c>
      <c r="B963" s="156" t="inlineStr">
        <is>
          <t>15-16</t>
        </is>
      </c>
      <c r="C963" s="156" t="inlineStr">
        <is>
          <t>EX-1252</t>
        </is>
      </c>
      <c r="D963" s="156" t="inlineStr">
        <is>
          <t>DT-516</t>
        </is>
      </c>
      <c r="E963" s="156" t="inlineStr">
        <is>
          <t>OB</t>
        </is>
      </c>
      <c r="F963" s="156" t="n">
        <v>4</v>
      </c>
      <c r="G963" s="156" t="inlineStr"/>
      <c r="H963" s="157">
        <f>IF($B963="","",IF(ISNA(MATCH($B963,MASTER_JAM!$Q$5:$Q$28,0)),"?",IF(MATCH($B963,MASTER_JAM!$Q$5:$Q$28,0)&lt;=12,"DS","NS")))</f>
        <v/>
      </c>
      <c r="I963" s="157">
        <f>IFERROR(INDEX(MASTER_JAM!$B$5:$B$94,MATCH($C963,MASTER_JAM!$A$5:$A$94,0)),"")</f>
        <v/>
      </c>
      <c r="J963" s="157">
        <f>IFERROR(INDEX(MASTER_JAM!$E$5:$E$94,MATCH($D963,MASTER_JAM!$A$5:$A$94,0)),"")</f>
        <v/>
      </c>
      <c r="K963" s="158">
        <f>IFERROR(INDEX(MASTER_JAM!$J$5:$O$12,MATCH($E963,MASTER_JAM!$I$5:$I$12,0),MATCH($J963,MASTER_JAM!$J$4:$O$4,0))+0,0)</f>
        <v/>
      </c>
      <c r="L963" s="159">
        <f>N($F963)*$K963</f>
        <v/>
      </c>
      <c r="M963" s="157">
        <f>IF($E963="","",IF(OR($E963="Coal",$E963="Dirty Coal"),"MT","BCM"))</f>
        <v/>
      </c>
      <c r="N963" s="157">
        <f>IF($E963="","",IF(OR($E963="Coal",$E963="Dirty Coal"),"Coal","OB"))</f>
        <v/>
      </c>
      <c r="O963" s="157">
        <f>IF($F963="","",IF(COUNTIF(MASTER_JAM!$A$5:$A$94,$C963)=0,"Digger tidak dikenal",IF($J963="","Hauler tidak dikenal",IF($H963="?","Jam salah",IF($K963=0,"Faktor kosong",IF(SUMIFS(INPUT_DELAY!$E$5:$E$20000,INPUT_DELAY!$A$5:$A$20000,$A963,INPUT_DELAY!$B$5:$B$20000,$B963,INPUT_DELAY!$C$5:$C$20000,$C963)+SUMIFS(INPUT_DELAY!$E$5:$E$20000,INPUT_DELAY!$A$5:$A$20000,$A963,INPUT_DELAY!$B$5:$B$20000,$B963,INPUT_DELAY!$C$5:$C$20000,"SEMUA")&gt;=60,"Delay 60 mnt tapi ada ritase","OK"))))))</f>
        <v/>
      </c>
      <c r="P963" s="158">
        <f>IFERROR(INDEX(MASTER_JAM!$Z$5:$AC$10,MATCH($I963,MASTER_JAM!$Y$5:$Y$10,0),MATCH($J963,MASTER_JAM!$Z$4:$AC$4,0))+0,0)</f>
        <v/>
      </c>
      <c r="Q963" s="158">
        <f>IF($P963=0,0,$P963+IFERROR(INDEX(MASTER_JAM!$H$5:$H$94,MATCH($C963,MASTER_JAM!$A$5:$A$94,0))+0,MASTER_JAM!$AC$15)/1000*(60/MASTER_JAM!$AC$12+60/MASTER_JAM!$AC$13)+MASTER_JAM!$AC$14)</f>
        <v/>
      </c>
      <c r="R963" s="158">
        <f>IF(N($F963)=0,0,$F963/SUMIFS(INPUT_RITASE!$F$5:$F$20000,INPUT_RITASE!$A$5:$A$20000,$A963,INPUT_RITASE!$B$5:$B$20000,$B963,INPUT_RITASE!$C$5:$C$20000,$C963,INPUT_RITASE!$D$5:$D$20000,$D963))</f>
        <v/>
      </c>
      <c r="S963" s="158">
        <f>IF($Q963=0,0,$R963*$P963/$Q963)</f>
        <v/>
      </c>
    </row>
    <row r="964">
      <c r="A964" s="155" t="n">
        <v>46107</v>
      </c>
      <c r="B964" s="156" t="inlineStr">
        <is>
          <t>15-16</t>
        </is>
      </c>
      <c r="C964" s="156" t="inlineStr">
        <is>
          <t>EX-1252</t>
        </is>
      </c>
      <c r="D964" s="156" t="inlineStr">
        <is>
          <t>DT-507</t>
        </is>
      </c>
      <c r="E964" s="156" t="inlineStr">
        <is>
          <t>OB</t>
        </is>
      </c>
      <c r="F964" s="156" t="n">
        <v>4</v>
      </c>
      <c r="G964" s="156" t="inlineStr"/>
      <c r="H964" s="157">
        <f>IF($B964="","",IF(ISNA(MATCH($B964,MASTER_JAM!$Q$5:$Q$28,0)),"?",IF(MATCH($B964,MASTER_JAM!$Q$5:$Q$28,0)&lt;=12,"DS","NS")))</f>
        <v/>
      </c>
      <c r="I964" s="157">
        <f>IFERROR(INDEX(MASTER_JAM!$B$5:$B$94,MATCH($C964,MASTER_JAM!$A$5:$A$94,0)),"")</f>
        <v/>
      </c>
      <c r="J964" s="157">
        <f>IFERROR(INDEX(MASTER_JAM!$E$5:$E$94,MATCH($D964,MASTER_JAM!$A$5:$A$94,0)),"")</f>
        <v/>
      </c>
      <c r="K964" s="158">
        <f>IFERROR(INDEX(MASTER_JAM!$J$5:$O$12,MATCH($E964,MASTER_JAM!$I$5:$I$12,0),MATCH($J964,MASTER_JAM!$J$4:$O$4,0))+0,0)</f>
        <v/>
      </c>
      <c r="L964" s="159">
        <f>N($F964)*$K964</f>
        <v/>
      </c>
      <c r="M964" s="157">
        <f>IF($E964="","",IF(OR($E964="Coal",$E964="Dirty Coal"),"MT","BCM"))</f>
        <v/>
      </c>
      <c r="N964" s="157">
        <f>IF($E964="","",IF(OR($E964="Coal",$E964="Dirty Coal"),"Coal","OB"))</f>
        <v/>
      </c>
      <c r="O964" s="157">
        <f>IF($F964="","",IF(COUNTIF(MASTER_JAM!$A$5:$A$94,$C964)=0,"Digger tidak dikenal",IF($J964="","Hauler tidak dikenal",IF($H964="?","Jam salah",IF($K964=0,"Faktor kosong",IF(SUMIFS(INPUT_DELAY!$E$5:$E$20000,INPUT_DELAY!$A$5:$A$20000,$A964,INPUT_DELAY!$B$5:$B$20000,$B964,INPUT_DELAY!$C$5:$C$20000,$C964)+SUMIFS(INPUT_DELAY!$E$5:$E$20000,INPUT_DELAY!$A$5:$A$20000,$A964,INPUT_DELAY!$B$5:$B$20000,$B964,INPUT_DELAY!$C$5:$C$20000,"SEMUA")&gt;=60,"Delay 60 mnt tapi ada ritase","OK"))))))</f>
        <v/>
      </c>
      <c r="P964" s="158">
        <f>IFERROR(INDEX(MASTER_JAM!$Z$5:$AC$10,MATCH($I964,MASTER_JAM!$Y$5:$Y$10,0),MATCH($J964,MASTER_JAM!$Z$4:$AC$4,0))+0,0)</f>
        <v/>
      </c>
      <c r="Q964" s="158">
        <f>IF($P964=0,0,$P964+IFERROR(INDEX(MASTER_JAM!$H$5:$H$94,MATCH($C964,MASTER_JAM!$A$5:$A$94,0))+0,MASTER_JAM!$AC$15)/1000*(60/MASTER_JAM!$AC$12+60/MASTER_JAM!$AC$13)+MASTER_JAM!$AC$14)</f>
        <v/>
      </c>
      <c r="R964" s="158">
        <f>IF(N($F964)=0,0,$F964/SUMIFS(INPUT_RITASE!$F$5:$F$20000,INPUT_RITASE!$A$5:$A$20000,$A964,INPUT_RITASE!$B$5:$B$20000,$B964,INPUT_RITASE!$C$5:$C$20000,$C964,INPUT_RITASE!$D$5:$D$20000,$D964))</f>
        <v/>
      </c>
      <c r="S964" s="158">
        <f>IF($Q964=0,0,$R964*$P964/$Q964)</f>
        <v/>
      </c>
    </row>
    <row r="965">
      <c r="A965" s="155" t="n">
        <v>46107</v>
      </c>
      <c r="B965" s="156" t="inlineStr">
        <is>
          <t>15-16</t>
        </is>
      </c>
      <c r="C965" s="156" t="inlineStr">
        <is>
          <t>EX-1252</t>
        </is>
      </c>
      <c r="D965" s="156" t="inlineStr">
        <is>
          <t>DT-521</t>
        </is>
      </c>
      <c r="E965" s="156" t="inlineStr">
        <is>
          <t>OB</t>
        </is>
      </c>
      <c r="F965" s="156" t="n">
        <v>4</v>
      </c>
      <c r="G965" s="156" t="inlineStr"/>
      <c r="H965" s="157">
        <f>IF($B965="","",IF(ISNA(MATCH($B965,MASTER_JAM!$Q$5:$Q$28,0)),"?",IF(MATCH($B965,MASTER_JAM!$Q$5:$Q$28,0)&lt;=12,"DS","NS")))</f>
        <v/>
      </c>
      <c r="I965" s="157">
        <f>IFERROR(INDEX(MASTER_JAM!$B$5:$B$94,MATCH($C965,MASTER_JAM!$A$5:$A$94,0)),"")</f>
        <v/>
      </c>
      <c r="J965" s="157">
        <f>IFERROR(INDEX(MASTER_JAM!$E$5:$E$94,MATCH($D965,MASTER_JAM!$A$5:$A$94,0)),"")</f>
        <v/>
      </c>
      <c r="K965" s="158">
        <f>IFERROR(INDEX(MASTER_JAM!$J$5:$O$12,MATCH($E965,MASTER_JAM!$I$5:$I$12,0),MATCH($J965,MASTER_JAM!$J$4:$O$4,0))+0,0)</f>
        <v/>
      </c>
      <c r="L965" s="159">
        <f>N($F965)*$K965</f>
        <v/>
      </c>
      <c r="M965" s="157">
        <f>IF($E965="","",IF(OR($E965="Coal",$E965="Dirty Coal"),"MT","BCM"))</f>
        <v/>
      </c>
      <c r="N965" s="157">
        <f>IF($E965="","",IF(OR($E965="Coal",$E965="Dirty Coal"),"Coal","OB"))</f>
        <v/>
      </c>
      <c r="O965" s="157">
        <f>IF($F965="","",IF(COUNTIF(MASTER_JAM!$A$5:$A$94,$C965)=0,"Digger tidak dikenal",IF($J965="","Hauler tidak dikenal",IF($H965="?","Jam salah",IF($K965=0,"Faktor kosong",IF(SUMIFS(INPUT_DELAY!$E$5:$E$20000,INPUT_DELAY!$A$5:$A$20000,$A965,INPUT_DELAY!$B$5:$B$20000,$B965,INPUT_DELAY!$C$5:$C$20000,$C965)+SUMIFS(INPUT_DELAY!$E$5:$E$20000,INPUT_DELAY!$A$5:$A$20000,$A965,INPUT_DELAY!$B$5:$B$20000,$B965,INPUT_DELAY!$C$5:$C$20000,"SEMUA")&gt;=60,"Delay 60 mnt tapi ada ritase","OK"))))))</f>
        <v/>
      </c>
      <c r="P965" s="158">
        <f>IFERROR(INDEX(MASTER_JAM!$Z$5:$AC$10,MATCH($I965,MASTER_JAM!$Y$5:$Y$10,0),MATCH($J965,MASTER_JAM!$Z$4:$AC$4,0))+0,0)</f>
        <v/>
      </c>
      <c r="Q965" s="158">
        <f>IF($P965=0,0,$P965+IFERROR(INDEX(MASTER_JAM!$H$5:$H$94,MATCH($C965,MASTER_JAM!$A$5:$A$94,0))+0,MASTER_JAM!$AC$15)/1000*(60/MASTER_JAM!$AC$12+60/MASTER_JAM!$AC$13)+MASTER_JAM!$AC$14)</f>
        <v/>
      </c>
      <c r="R965" s="158">
        <f>IF(N($F965)=0,0,$F965/SUMIFS(INPUT_RITASE!$F$5:$F$20000,INPUT_RITASE!$A$5:$A$20000,$A965,INPUT_RITASE!$B$5:$B$20000,$B965,INPUT_RITASE!$C$5:$C$20000,$C965,INPUT_RITASE!$D$5:$D$20000,$D965))</f>
        <v/>
      </c>
      <c r="S965" s="158">
        <f>IF($Q965=0,0,$R965*$P965/$Q965)</f>
        <v/>
      </c>
    </row>
    <row r="966">
      <c r="A966" s="155" t="n">
        <v>46107</v>
      </c>
      <c r="B966" s="156" t="inlineStr">
        <is>
          <t>15-16</t>
        </is>
      </c>
      <c r="C966" s="156" t="inlineStr">
        <is>
          <t>EX-1252</t>
        </is>
      </c>
      <c r="D966" s="156" t="inlineStr">
        <is>
          <t>DT-504</t>
        </is>
      </c>
      <c r="E966" s="156" t="inlineStr">
        <is>
          <t>OB</t>
        </is>
      </c>
      <c r="F966" s="156" t="n">
        <v>4</v>
      </c>
      <c r="G966" s="156" t="inlineStr"/>
      <c r="H966" s="157">
        <f>IF($B966="","",IF(ISNA(MATCH($B966,MASTER_JAM!$Q$5:$Q$28,0)),"?",IF(MATCH($B966,MASTER_JAM!$Q$5:$Q$28,0)&lt;=12,"DS","NS")))</f>
        <v/>
      </c>
      <c r="I966" s="157">
        <f>IFERROR(INDEX(MASTER_JAM!$B$5:$B$94,MATCH($C966,MASTER_JAM!$A$5:$A$94,0)),"")</f>
        <v/>
      </c>
      <c r="J966" s="157">
        <f>IFERROR(INDEX(MASTER_JAM!$E$5:$E$94,MATCH($D966,MASTER_JAM!$A$5:$A$94,0)),"")</f>
        <v/>
      </c>
      <c r="K966" s="158">
        <f>IFERROR(INDEX(MASTER_JAM!$J$5:$O$12,MATCH($E966,MASTER_JAM!$I$5:$I$12,0),MATCH($J966,MASTER_JAM!$J$4:$O$4,0))+0,0)</f>
        <v/>
      </c>
      <c r="L966" s="159">
        <f>N($F966)*$K966</f>
        <v/>
      </c>
      <c r="M966" s="157">
        <f>IF($E966="","",IF(OR($E966="Coal",$E966="Dirty Coal"),"MT","BCM"))</f>
        <v/>
      </c>
      <c r="N966" s="157">
        <f>IF($E966="","",IF(OR($E966="Coal",$E966="Dirty Coal"),"Coal","OB"))</f>
        <v/>
      </c>
      <c r="O966" s="157">
        <f>IF($F966="","",IF(COUNTIF(MASTER_JAM!$A$5:$A$94,$C966)=0,"Digger tidak dikenal",IF($J966="","Hauler tidak dikenal",IF($H966="?","Jam salah",IF($K966=0,"Faktor kosong",IF(SUMIFS(INPUT_DELAY!$E$5:$E$20000,INPUT_DELAY!$A$5:$A$20000,$A966,INPUT_DELAY!$B$5:$B$20000,$B966,INPUT_DELAY!$C$5:$C$20000,$C966)+SUMIFS(INPUT_DELAY!$E$5:$E$20000,INPUT_DELAY!$A$5:$A$20000,$A966,INPUT_DELAY!$B$5:$B$20000,$B966,INPUT_DELAY!$C$5:$C$20000,"SEMUA")&gt;=60,"Delay 60 mnt tapi ada ritase","OK"))))))</f>
        <v/>
      </c>
      <c r="P966" s="158">
        <f>IFERROR(INDEX(MASTER_JAM!$Z$5:$AC$10,MATCH($I966,MASTER_JAM!$Y$5:$Y$10,0),MATCH($J966,MASTER_JAM!$Z$4:$AC$4,0))+0,0)</f>
        <v/>
      </c>
      <c r="Q966" s="158">
        <f>IF($P966=0,0,$P966+IFERROR(INDEX(MASTER_JAM!$H$5:$H$94,MATCH($C966,MASTER_JAM!$A$5:$A$94,0))+0,MASTER_JAM!$AC$15)/1000*(60/MASTER_JAM!$AC$12+60/MASTER_JAM!$AC$13)+MASTER_JAM!$AC$14)</f>
        <v/>
      </c>
      <c r="R966" s="158">
        <f>IF(N($F966)=0,0,$F966/SUMIFS(INPUT_RITASE!$F$5:$F$20000,INPUT_RITASE!$A$5:$A$20000,$A966,INPUT_RITASE!$B$5:$B$20000,$B966,INPUT_RITASE!$C$5:$C$20000,$C966,INPUT_RITASE!$D$5:$D$20000,$D966))</f>
        <v/>
      </c>
      <c r="S966" s="158">
        <f>IF($Q966=0,0,$R966*$P966/$Q966)</f>
        <v/>
      </c>
    </row>
    <row r="967">
      <c r="A967" s="155" t="n">
        <v>46107</v>
      </c>
      <c r="B967" s="156" t="inlineStr">
        <is>
          <t>15-16</t>
        </is>
      </c>
      <c r="C967" s="156" t="inlineStr">
        <is>
          <t>EX-1252</t>
        </is>
      </c>
      <c r="D967" s="156" t="inlineStr">
        <is>
          <t>DT-508</t>
        </is>
      </c>
      <c r="E967" s="156" t="inlineStr">
        <is>
          <t>OB</t>
        </is>
      </c>
      <c r="F967" s="156" t="n">
        <v>3</v>
      </c>
      <c r="G967" s="156" t="inlineStr"/>
      <c r="H967" s="157">
        <f>IF($B967="","",IF(ISNA(MATCH($B967,MASTER_JAM!$Q$5:$Q$28,0)),"?",IF(MATCH($B967,MASTER_JAM!$Q$5:$Q$28,0)&lt;=12,"DS","NS")))</f>
        <v/>
      </c>
      <c r="I967" s="157">
        <f>IFERROR(INDEX(MASTER_JAM!$B$5:$B$94,MATCH($C967,MASTER_JAM!$A$5:$A$94,0)),"")</f>
        <v/>
      </c>
      <c r="J967" s="157">
        <f>IFERROR(INDEX(MASTER_JAM!$E$5:$E$94,MATCH($D967,MASTER_JAM!$A$5:$A$94,0)),"")</f>
        <v/>
      </c>
      <c r="K967" s="158">
        <f>IFERROR(INDEX(MASTER_JAM!$J$5:$O$12,MATCH($E967,MASTER_JAM!$I$5:$I$12,0),MATCH($J967,MASTER_JAM!$J$4:$O$4,0))+0,0)</f>
        <v/>
      </c>
      <c r="L967" s="159">
        <f>N($F967)*$K967</f>
        <v/>
      </c>
      <c r="M967" s="157">
        <f>IF($E967="","",IF(OR($E967="Coal",$E967="Dirty Coal"),"MT","BCM"))</f>
        <v/>
      </c>
      <c r="N967" s="157">
        <f>IF($E967="","",IF(OR($E967="Coal",$E967="Dirty Coal"),"Coal","OB"))</f>
        <v/>
      </c>
      <c r="O967" s="157">
        <f>IF($F967="","",IF(COUNTIF(MASTER_JAM!$A$5:$A$94,$C967)=0,"Digger tidak dikenal",IF($J967="","Hauler tidak dikenal",IF($H967="?","Jam salah",IF($K967=0,"Faktor kosong",IF(SUMIFS(INPUT_DELAY!$E$5:$E$20000,INPUT_DELAY!$A$5:$A$20000,$A967,INPUT_DELAY!$B$5:$B$20000,$B967,INPUT_DELAY!$C$5:$C$20000,$C967)+SUMIFS(INPUT_DELAY!$E$5:$E$20000,INPUT_DELAY!$A$5:$A$20000,$A967,INPUT_DELAY!$B$5:$B$20000,$B967,INPUT_DELAY!$C$5:$C$20000,"SEMUA")&gt;=60,"Delay 60 mnt tapi ada ritase","OK"))))))</f>
        <v/>
      </c>
      <c r="P967" s="158">
        <f>IFERROR(INDEX(MASTER_JAM!$Z$5:$AC$10,MATCH($I967,MASTER_JAM!$Y$5:$Y$10,0),MATCH($J967,MASTER_JAM!$Z$4:$AC$4,0))+0,0)</f>
        <v/>
      </c>
      <c r="Q967" s="158">
        <f>IF($P967=0,0,$P967+IFERROR(INDEX(MASTER_JAM!$H$5:$H$94,MATCH($C967,MASTER_JAM!$A$5:$A$94,0))+0,MASTER_JAM!$AC$15)/1000*(60/MASTER_JAM!$AC$12+60/MASTER_JAM!$AC$13)+MASTER_JAM!$AC$14)</f>
        <v/>
      </c>
      <c r="R967" s="158">
        <f>IF(N($F967)=0,0,$F967/SUMIFS(INPUT_RITASE!$F$5:$F$20000,INPUT_RITASE!$A$5:$A$20000,$A967,INPUT_RITASE!$B$5:$B$20000,$B967,INPUT_RITASE!$C$5:$C$20000,$C967,INPUT_RITASE!$D$5:$D$20000,$D967))</f>
        <v/>
      </c>
      <c r="S967" s="158">
        <f>IF($Q967=0,0,$R967*$P967/$Q967)</f>
        <v/>
      </c>
    </row>
    <row r="968">
      <c r="A968" s="155" t="n">
        <v>46107</v>
      </c>
      <c r="B968" s="156" t="inlineStr">
        <is>
          <t>16-17</t>
        </is>
      </c>
      <c r="C968" s="156" t="inlineStr">
        <is>
          <t>EX-1252</t>
        </is>
      </c>
      <c r="D968" s="156" t="inlineStr">
        <is>
          <t>DT-510</t>
        </is>
      </c>
      <c r="E968" s="156" t="inlineStr">
        <is>
          <t>OB</t>
        </is>
      </c>
      <c r="F968" s="156" t="n">
        <v>4</v>
      </c>
      <c r="G968" s="156" t="inlineStr"/>
      <c r="H968" s="157">
        <f>IF($B968="","",IF(ISNA(MATCH($B968,MASTER_JAM!$Q$5:$Q$28,0)),"?",IF(MATCH($B968,MASTER_JAM!$Q$5:$Q$28,0)&lt;=12,"DS","NS")))</f>
        <v/>
      </c>
      <c r="I968" s="157">
        <f>IFERROR(INDEX(MASTER_JAM!$B$5:$B$94,MATCH($C968,MASTER_JAM!$A$5:$A$94,0)),"")</f>
        <v/>
      </c>
      <c r="J968" s="157">
        <f>IFERROR(INDEX(MASTER_JAM!$E$5:$E$94,MATCH($D968,MASTER_JAM!$A$5:$A$94,0)),"")</f>
        <v/>
      </c>
      <c r="K968" s="158">
        <f>IFERROR(INDEX(MASTER_JAM!$J$5:$O$12,MATCH($E968,MASTER_JAM!$I$5:$I$12,0),MATCH($J968,MASTER_JAM!$J$4:$O$4,0))+0,0)</f>
        <v/>
      </c>
      <c r="L968" s="159">
        <f>N($F968)*$K968</f>
        <v/>
      </c>
      <c r="M968" s="157">
        <f>IF($E968="","",IF(OR($E968="Coal",$E968="Dirty Coal"),"MT","BCM"))</f>
        <v/>
      </c>
      <c r="N968" s="157">
        <f>IF($E968="","",IF(OR($E968="Coal",$E968="Dirty Coal"),"Coal","OB"))</f>
        <v/>
      </c>
      <c r="O968" s="157">
        <f>IF($F968="","",IF(COUNTIF(MASTER_JAM!$A$5:$A$94,$C968)=0,"Digger tidak dikenal",IF($J968="","Hauler tidak dikenal",IF($H968="?","Jam salah",IF($K968=0,"Faktor kosong",IF(SUMIFS(INPUT_DELAY!$E$5:$E$20000,INPUT_DELAY!$A$5:$A$20000,$A968,INPUT_DELAY!$B$5:$B$20000,$B968,INPUT_DELAY!$C$5:$C$20000,$C968)+SUMIFS(INPUT_DELAY!$E$5:$E$20000,INPUT_DELAY!$A$5:$A$20000,$A968,INPUT_DELAY!$B$5:$B$20000,$B968,INPUT_DELAY!$C$5:$C$20000,"SEMUA")&gt;=60,"Delay 60 mnt tapi ada ritase","OK"))))))</f>
        <v/>
      </c>
      <c r="P968" s="158">
        <f>IFERROR(INDEX(MASTER_JAM!$Z$5:$AC$10,MATCH($I968,MASTER_JAM!$Y$5:$Y$10,0),MATCH($J968,MASTER_JAM!$Z$4:$AC$4,0))+0,0)</f>
        <v/>
      </c>
      <c r="Q968" s="158">
        <f>IF($P968=0,0,$P968+IFERROR(INDEX(MASTER_JAM!$H$5:$H$94,MATCH($C968,MASTER_JAM!$A$5:$A$94,0))+0,MASTER_JAM!$AC$15)/1000*(60/MASTER_JAM!$AC$12+60/MASTER_JAM!$AC$13)+MASTER_JAM!$AC$14)</f>
        <v/>
      </c>
      <c r="R968" s="158">
        <f>IF(N($F968)=0,0,$F968/SUMIFS(INPUT_RITASE!$F$5:$F$20000,INPUT_RITASE!$A$5:$A$20000,$A968,INPUT_RITASE!$B$5:$B$20000,$B968,INPUT_RITASE!$C$5:$C$20000,$C968,INPUT_RITASE!$D$5:$D$20000,$D968))</f>
        <v/>
      </c>
      <c r="S968" s="158">
        <f>IF($Q968=0,0,$R968*$P968/$Q968)</f>
        <v/>
      </c>
    </row>
    <row r="969">
      <c r="A969" s="155" t="n">
        <v>46107</v>
      </c>
      <c r="B969" s="156" t="inlineStr">
        <is>
          <t>16-17</t>
        </is>
      </c>
      <c r="C969" s="156" t="inlineStr">
        <is>
          <t>EX-1252</t>
        </is>
      </c>
      <c r="D969" s="156" t="inlineStr">
        <is>
          <t>DT-522</t>
        </is>
      </c>
      <c r="E969" s="156" t="inlineStr">
        <is>
          <t>OB</t>
        </is>
      </c>
      <c r="F969" s="156" t="n">
        <v>4</v>
      </c>
      <c r="G969" s="156" t="inlineStr"/>
      <c r="H969" s="157">
        <f>IF($B969="","",IF(ISNA(MATCH($B969,MASTER_JAM!$Q$5:$Q$28,0)),"?",IF(MATCH($B969,MASTER_JAM!$Q$5:$Q$28,0)&lt;=12,"DS","NS")))</f>
        <v/>
      </c>
      <c r="I969" s="157">
        <f>IFERROR(INDEX(MASTER_JAM!$B$5:$B$94,MATCH($C969,MASTER_JAM!$A$5:$A$94,0)),"")</f>
        <v/>
      </c>
      <c r="J969" s="157">
        <f>IFERROR(INDEX(MASTER_JAM!$E$5:$E$94,MATCH($D969,MASTER_JAM!$A$5:$A$94,0)),"")</f>
        <v/>
      </c>
      <c r="K969" s="158">
        <f>IFERROR(INDEX(MASTER_JAM!$J$5:$O$12,MATCH($E969,MASTER_JAM!$I$5:$I$12,0),MATCH($J969,MASTER_JAM!$J$4:$O$4,0))+0,0)</f>
        <v/>
      </c>
      <c r="L969" s="159">
        <f>N($F969)*$K969</f>
        <v/>
      </c>
      <c r="M969" s="157">
        <f>IF($E969="","",IF(OR($E969="Coal",$E969="Dirty Coal"),"MT","BCM"))</f>
        <v/>
      </c>
      <c r="N969" s="157">
        <f>IF($E969="","",IF(OR($E969="Coal",$E969="Dirty Coal"),"Coal","OB"))</f>
        <v/>
      </c>
      <c r="O969" s="157">
        <f>IF($F969="","",IF(COUNTIF(MASTER_JAM!$A$5:$A$94,$C969)=0,"Digger tidak dikenal",IF($J969="","Hauler tidak dikenal",IF($H969="?","Jam salah",IF($K969=0,"Faktor kosong",IF(SUMIFS(INPUT_DELAY!$E$5:$E$20000,INPUT_DELAY!$A$5:$A$20000,$A969,INPUT_DELAY!$B$5:$B$20000,$B969,INPUT_DELAY!$C$5:$C$20000,$C969)+SUMIFS(INPUT_DELAY!$E$5:$E$20000,INPUT_DELAY!$A$5:$A$20000,$A969,INPUT_DELAY!$B$5:$B$20000,$B969,INPUT_DELAY!$C$5:$C$20000,"SEMUA")&gt;=60,"Delay 60 mnt tapi ada ritase","OK"))))))</f>
        <v/>
      </c>
      <c r="P969" s="158">
        <f>IFERROR(INDEX(MASTER_JAM!$Z$5:$AC$10,MATCH($I969,MASTER_JAM!$Y$5:$Y$10,0),MATCH($J969,MASTER_JAM!$Z$4:$AC$4,0))+0,0)</f>
        <v/>
      </c>
      <c r="Q969" s="158">
        <f>IF($P969=0,0,$P969+IFERROR(INDEX(MASTER_JAM!$H$5:$H$94,MATCH($C969,MASTER_JAM!$A$5:$A$94,0))+0,MASTER_JAM!$AC$15)/1000*(60/MASTER_JAM!$AC$12+60/MASTER_JAM!$AC$13)+MASTER_JAM!$AC$14)</f>
        <v/>
      </c>
      <c r="R969" s="158">
        <f>IF(N($F969)=0,0,$F969/SUMIFS(INPUT_RITASE!$F$5:$F$20000,INPUT_RITASE!$A$5:$A$20000,$A969,INPUT_RITASE!$B$5:$B$20000,$B969,INPUT_RITASE!$C$5:$C$20000,$C969,INPUT_RITASE!$D$5:$D$20000,$D969))</f>
        <v/>
      </c>
      <c r="S969" s="158">
        <f>IF($Q969=0,0,$R969*$P969/$Q969)</f>
        <v/>
      </c>
    </row>
    <row r="970">
      <c r="A970" s="155" t="n">
        <v>46107</v>
      </c>
      <c r="B970" s="156" t="inlineStr">
        <is>
          <t>16-17</t>
        </is>
      </c>
      <c r="C970" s="156" t="inlineStr">
        <is>
          <t>EX-1252</t>
        </is>
      </c>
      <c r="D970" s="156" t="inlineStr">
        <is>
          <t>DT-518</t>
        </is>
      </c>
      <c r="E970" s="156" t="inlineStr">
        <is>
          <t>OB</t>
        </is>
      </c>
      <c r="F970" s="156" t="n">
        <v>4</v>
      </c>
      <c r="G970" s="156" t="inlineStr"/>
      <c r="H970" s="157">
        <f>IF($B970="","",IF(ISNA(MATCH($B970,MASTER_JAM!$Q$5:$Q$28,0)),"?",IF(MATCH($B970,MASTER_JAM!$Q$5:$Q$28,0)&lt;=12,"DS","NS")))</f>
        <v/>
      </c>
      <c r="I970" s="157">
        <f>IFERROR(INDEX(MASTER_JAM!$B$5:$B$94,MATCH($C970,MASTER_JAM!$A$5:$A$94,0)),"")</f>
        <v/>
      </c>
      <c r="J970" s="157">
        <f>IFERROR(INDEX(MASTER_JAM!$E$5:$E$94,MATCH($D970,MASTER_JAM!$A$5:$A$94,0)),"")</f>
        <v/>
      </c>
      <c r="K970" s="158">
        <f>IFERROR(INDEX(MASTER_JAM!$J$5:$O$12,MATCH($E970,MASTER_JAM!$I$5:$I$12,0),MATCH($J970,MASTER_JAM!$J$4:$O$4,0))+0,0)</f>
        <v/>
      </c>
      <c r="L970" s="159">
        <f>N($F970)*$K970</f>
        <v/>
      </c>
      <c r="M970" s="157">
        <f>IF($E970="","",IF(OR($E970="Coal",$E970="Dirty Coal"),"MT","BCM"))</f>
        <v/>
      </c>
      <c r="N970" s="157">
        <f>IF($E970="","",IF(OR($E970="Coal",$E970="Dirty Coal"),"Coal","OB"))</f>
        <v/>
      </c>
      <c r="O970" s="157">
        <f>IF($F970="","",IF(COUNTIF(MASTER_JAM!$A$5:$A$94,$C970)=0,"Digger tidak dikenal",IF($J970="","Hauler tidak dikenal",IF($H970="?","Jam salah",IF($K970=0,"Faktor kosong",IF(SUMIFS(INPUT_DELAY!$E$5:$E$20000,INPUT_DELAY!$A$5:$A$20000,$A970,INPUT_DELAY!$B$5:$B$20000,$B970,INPUT_DELAY!$C$5:$C$20000,$C970)+SUMIFS(INPUT_DELAY!$E$5:$E$20000,INPUT_DELAY!$A$5:$A$20000,$A970,INPUT_DELAY!$B$5:$B$20000,$B970,INPUT_DELAY!$C$5:$C$20000,"SEMUA")&gt;=60,"Delay 60 mnt tapi ada ritase","OK"))))))</f>
        <v/>
      </c>
      <c r="P970" s="158">
        <f>IFERROR(INDEX(MASTER_JAM!$Z$5:$AC$10,MATCH($I970,MASTER_JAM!$Y$5:$Y$10,0),MATCH($J970,MASTER_JAM!$Z$4:$AC$4,0))+0,0)</f>
        <v/>
      </c>
      <c r="Q970" s="158">
        <f>IF($P970=0,0,$P970+IFERROR(INDEX(MASTER_JAM!$H$5:$H$94,MATCH($C970,MASTER_JAM!$A$5:$A$94,0))+0,MASTER_JAM!$AC$15)/1000*(60/MASTER_JAM!$AC$12+60/MASTER_JAM!$AC$13)+MASTER_JAM!$AC$14)</f>
        <v/>
      </c>
      <c r="R970" s="158">
        <f>IF(N($F970)=0,0,$F970/SUMIFS(INPUT_RITASE!$F$5:$F$20000,INPUT_RITASE!$A$5:$A$20000,$A970,INPUT_RITASE!$B$5:$B$20000,$B970,INPUT_RITASE!$C$5:$C$20000,$C970,INPUT_RITASE!$D$5:$D$20000,$D970))</f>
        <v/>
      </c>
      <c r="S970" s="158">
        <f>IF($Q970=0,0,$R970*$P970/$Q970)</f>
        <v/>
      </c>
    </row>
    <row r="971">
      <c r="A971" s="155" t="n">
        <v>46107</v>
      </c>
      <c r="B971" s="156" t="inlineStr">
        <is>
          <t>16-17</t>
        </is>
      </c>
      <c r="C971" s="156" t="inlineStr">
        <is>
          <t>EX-1252</t>
        </is>
      </c>
      <c r="D971" s="156" t="inlineStr">
        <is>
          <t>DT-513</t>
        </is>
      </c>
      <c r="E971" s="156" t="inlineStr">
        <is>
          <t>OB</t>
        </is>
      </c>
      <c r="F971" s="156" t="n">
        <v>4</v>
      </c>
      <c r="G971" s="156" t="inlineStr"/>
      <c r="H971" s="157">
        <f>IF($B971="","",IF(ISNA(MATCH($B971,MASTER_JAM!$Q$5:$Q$28,0)),"?",IF(MATCH($B971,MASTER_JAM!$Q$5:$Q$28,0)&lt;=12,"DS","NS")))</f>
        <v/>
      </c>
      <c r="I971" s="157">
        <f>IFERROR(INDEX(MASTER_JAM!$B$5:$B$94,MATCH($C971,MASTER_JAM!$A$5:$A$94,0)),"")</f>
        <v/>
      </c>
      <c r="J971" s="157">
        <f>IFERROR(INDEX(MASTER_JAM!$E$5:$E$94,MATCH($D971,MASTER_JAM!$A$5:$A$94,0)),"")</f>
        <v/>
      </c>
      <c r="K971" s="158">
        <f>IFERROR(INDEX(MASTER_JAM!$J$5:$O$12,MATCH($E971,MASTER_JAM!$I$5:$I$12,0),MATCH($J971,MASTER_JAM!$J$4:$O$4,0))+0,0)</f>
        <v/>
      </c>
      <c r="L971" s="159">
        <f>N($F971)*$K971</f>
        <v/>
      </c>
      <c r="M971" s="157">
        <f>IF($E971="","",IF(OR($E971="Coal",$E971="Dirty Coal"),"MT","BCM"))</f>
        <v/>
      </c>
      <c r="N971" s="157">
        <f>IF($E971="","",IF(OR($E971="Coal",$E971="Dirty Coal"),"Coal","OB"))</f>
        <v/>
      </c>
      <c r="O971" s="157">
        <f>IF($F971="","",IF(COUNTIF(MASTER_JAM!$A$5:$A$94,$C971)=0,"Digger tidak dikenal",IF($J971="","Hauler tidak dikenal",IF($H971="?","Jam salah",IF($K971=0,"Faktor kosong",IF(SUMIFS(INPUT_DELAY!$E$5:$E$20000,INPUT_DELAY!$A$5:$A$20000,$A971,INPUT_DELAY!$B$5:$B$20000,$B971,INPUT_DELAY!$C$5:$C$20000,$C971)+SUMIFS(INPUT_DELAY!$E$5:$E$20000,INPUT_DELAY!$A$5:$A$20000,$A971,INPUT_DELAY!$B$5:$B$20000,$B971,INPUT_DELAY!$C$5:$C$20000,"SEMUA")&gt;=60,"Delay 60 mnt tapi ada ritase","OK"))))))</f>
        <v/>
      </c>
      <c r="P971" s="158">
        <f>IFERROR(INDEX(MASTER_JAM!$Z$5:$AC$10,MATCH($I971,MASTER_JAM!$Y$5:$Y$10,0),MATCH($J971,MASTER_JAM!$Z$4:$AC$4,0))+0,0)</f>
        <v/>
      </c>
      <c r="Q971" s="158">
        <f>IF($P971=0,0,$P971+IFERROR(INDEX(MASTER_JAM!$H$5:$H$94,MATCH($C971,MASTER_JAM!$A$5:$A$94,0))+0,MASTER_JAM!$AC$15)/1000*(60/MASTER_JAM!$AC$12+60/MASTER_JAM!$AC$13)+MASTER_JAM!$AC$14)</f>
        <v/>
      </c>
      <c r="R971" s="158">
        <f>IF(N($F971)=0,0,$F971/SUMIFS(INPUT_RITASE!$F$5:$F$20000,INPUT_RITASE!$A$5:$A$20000,$A971,INPUT_RITASE!$B$5:$B$20000,$B971,INPUT_RITASE!$C$5:$C$20000,$C971,INPUT_RITASE!$D$5:$D$20000,$D971))</f>
        <v/>
      </c>
      <c r="S971" s="158">
        <f>IF($Q971=0,0,$R971*$P971/$Q971)</f>
        <v/>
      </c>
    </row>
    <row r="972">
      <c r="A972" s="155" t="n">
        <v>46107</v>
      </c>
      <c r="B972" s="156" t="inlineStr">
        <is>
          <t>17-18</t>
        </is>
      </c>
      <c r="C972" s="156" t="inlineStr">
        <is>
          <t>EX-1252</t>
        </is>
      </c>
      <c r="D972" s="156" t="inlineStr">
        <is>
          <t>DT-515</t>
        </is>
      </c>
      <c r="E972" s="156" t="inlineStr">
        <is>
          <t>OB</t>
        </is>
      </c>
      <c r="F972" s="156" t="n">
        <v>3</v>
      </c>
      <c r="G972" s="156" t="inlineStr"/>
      <c r="H972" s="157">
        <f>IF($B972="","",IF(ISNA(MATCH($B972,MASTER_JAM!$Q$5:$Q$28,0)),"?",IF(MATCH($B972,MASTER_JAM!$Q$5:$Q$28,0)&lt;=12,"DS","NS")))</f>
        <v/>
      </c>
      <c r="I972" s="157">
        <f>IFERROR(INDEX(MASTER_JAM!$B$5:$B$94,MATCH($C972,MASTER_JAM!$A$5:$A$94,0)),"")</f>
        <v/>
      </c>
      <c r="J972" s="157">
        <f>IFERROR(INDEX(MASTER_JAM!$E$5:$E$94,MATCH($D972,MASTER_JAM!$A$5:$A$94,0)),"")</f>
        <v/>
      </c>
      <c r="K972" s="158">
        <f>IFERROR(INDEX(MASTER_JAM!$J$5:$O$12,MATCH($E972,MASTER_JAM!$I$5:$I$12,0),MATCH($J972,MASTER_JAM!$J$4:$O$4,0))+0,0)</f>
        <v/>
      </c>
      <c r="L972" s="159">
        <f>N($F972)*$K972</f>
        <v/>
      </c>
      <c r="M972" s="157">
        <f>IF($E972="","",IF(OR($E972="Coal",$E972="Dirty Coal"),"MT","BCM"))</f>
        <v/>
      </c>
      <c r="N972" s="157">
        <f>IF($E972="","",IF(OR($E972="Coal",$E972="Dirty Coal"),"Coal","OB"))</f>
        <v/>
      </c>
      <c r="O972" s="157">
        <f>IF($F972="","",IF(COUNTIF(MASTER_JAM!$A$5:$A$94,$C972)=0,"Digger tidak dikenal",IF($J972="","Hauler tidak dikenal",IF($H972="?","Jam salah",IF($K972=0,"Faktor kosong",IF(SUMIFS(INPUT_DELAY!$E$5:$E$20000,INPUT_DELAY!$A$5:$A$20000,$A972,INPUT_DELAY!$B$5:$B$20000,$B972,INPUT_DELAY!$C$5:$C$20000,$C972)+SUMIFS(INPUT_DELAY!$E$5:$E$20000,INPUT_DELAY!$A$5:$A$20000,$A972,INPUT_DELAY!$B$5:$B$20000,$B972,INPUT_DELAY!$C$5:$C$20000,"SEMUA")&gt;=60,"Delay 60 mnt tapi ada ritase","OK"))))))</f>
        <v/>
      </c>
      <c r="P972" s="158">
        <f>IFERROR(INDEX(MASTER_JAM!$Z$5:$AC$10,MATCH($I972,MASTER_JAM!$Y$5:$Y$10,0),MATCH($J972,MASTER_JAM!$Z$4:$AC$4,0))+0,0)</f>
        <v/>
      </c>
      <c r="Q972" s="158">
        <f>IF($P972=0,0,$P972+IFERROR(INDEX(MASTER_JAM!$H$5:$H$94,MATCH($C972,MASTER_JAM!$A$5:$A$94,0))+0,MASTER_JAM!$AC$15)/1000*(60/MASTER_JAM!$AC$12+60/MASTER_JAM!$AC$13)+MASTER_JAM!$AC$14)</f>
        <v/>
      </c>
      <c r="R972" s="158">
        <f>IF(N($F972)=0,0,$F972/SUMIFS(INPUT_RITASE!$F$5:$F$20000,INPUT_RITASE!$A$5:$A$20000,$A972,INPUT_RITASE!$B$5:$B$20000,$B972,INPUT_RITASE!$C$5:$C$20000,$C972,INPUT_RITASE!$D$5:$D$20000,$D972))</f>
        <v/>
      </c>
      <c r="S972" s="158">
        <f>IF($Q972=0,0,$R972*$P972/$Q972)</f>
        <v/>
      </c>
    </row>
    <row r="973">
      <c r="A973" s="155" t="n">
        <v>46107</v>
      </c>
      <c r="B973" s="156" t="inlineStr">
        <is>
          <t>17-18</t>
        </is>
      </c>
      <c r="C973" s="156" t="inlineStr">
        <is>
          <t>EX-1252</t>
        </is>
      </c>
      <c r="D973" s="156" t="inlineStr">
        <is>
          <t>DT-513</t>
        </is>
      </c>
      <c r="E973" s="156" t="inlineStr">
        <is>
          <t>OB</t>
        </is>
      </c>
      <c r="F973" s="156" t="n">
        <v>2</v>
      </c>
      <c r="G973" s="156" t="inlineStr"/>
      <c r="H973" s="157">
        <f>IF($B973="","",IF(ISNA(MATCH($B973,MASTER_JAM!$Q$5:$Q$28,0)),"?",IF(MATCH($B973,MASTER_JAM!$Q$5:$Q$28,0)&lt;=12,"DS","NS")))</f>
        <v/>
      </c>
      <c r="I973" s="157">
        <f>IFERROR(INDEX(MASTER_JAM!$B$5:$B$94,MATCH($C973,MASTER_JAM!$A$5:$A$94,0)),"")</f>
        <v/>
      </c>
      <c r="J973" s="157">
        <f>IFERROR(INDEX(MASTER_JAM!$E$5:$E$94,MATCH($D973,MASTER_JAM!$A$5:$A$94,0)),"")</f>
        <v/>
      </c>
      <c r="K973" s="158">
        <f>IFERROR(INDEX(MASTER_JAM!$J$5:$O$12,MATCH($E973,MASTER_JAM!$I$5:$I$12,0),MATCH($J973,MASTER_JAM!$J$4:$O$4,0))+0,0)</f>
        <v/>
      </c>
      <c r="L973" s="159">
        <f>N($F973)*$K973</f>
        <v/>
      </c>
      <c r="M973" s="157">
        <f>IF($E973="","",IF(OR($E973="Coal",$E973="Dirty Coal"),"MT","BCM"))</f>
        <v/>
      </c>
      <c r="N973" s="157">
        <f>IF($E973="","",IF(OR($E973="Coal",$E973="Dirty Coal"),"Coal","OB"))</f>
        <v/>
      </c>
      <c r="O973" s="157">
        <f>IF($F973="","",IF(COUNTIF(MASTER_JAM!$A$5:$A$94,$C973)=0,"Digger tidak dikenal",IF($J973="","Hauler tidak dikenal",IF($H973="?","Jam salah",IF($K973=0,"Faktor kosong",IF(SUMIFS(INPUT_DELAY!$E$5:$E$20000,INPUT_DELAY!$A$5:$A$20000,$A973,INPUT_DELAY!$B$5:$B$20000,$B973,INPUT_DELAY!$C$5:$C$20000,$C973)+SUMIFS(INPUT_DELAY!$E$5:$E$20000,INPUT_DELAY!$A$5:$A$20000,$A973,INPUT_DELAY!$B$5:$B$20000,$B973,INPUT_DELAY!$C$5:$C$20000,"SEMUA")&gt;=60,"Delay 60 mnt tapi ada ritase","OK"))))))</f>
        <v/>
      </c>
      <c r="P973" s="158">
        <f>IFERROR(INDEX(MASTER_JAM!$Z$5:$AC$10,MATCH($I973,MASTER_JAM!$Y$5:$Y$10,0),MATCH($J973,MASTER_JAM!$Z$4:$AC$4,0))+0,0)</f>
        <v/>
      </c>
      <c r="Q973" s="158">
        <f>IF($P973=0,0,$P973+IFERROR(INDEX(MASTER_JAM!$H$5:$H$94,MATCH($C973,MASTER_JAM!$A$5:$A$94,0))+0,MASTER_JAM!$AC$15)/1000*(60/MASTER_JAM!$AC$12+60/MASTER_JAM!$AC$13)+MASTER_JAM!$AC$14)</f>
        <v/>
      </c>
      <c r="R973" s="158">
        <f>IF(N($F973)=0,0,$F973/SUMIFS(INPUT_RITASE!$F$5:$F$20000,INPUT_RITASE!$A$5:$A$20000,$A973,INPUT_RITASE!$B$5:$B$20000,$B973,INPUT_RITASE!$C$5:$C$20000,$C973,INPUT_RITASE!$D$5:$D$20000,$D973))</f>
        <v/>
      </c>
      <c r="S973" s="158">
        <f>IF($Q973=0,0,$R973*$P973/$Q973)</f>
        <v/>
      </c>
    </row>
    <row r="974">
      <c r="A974" s="155" t="n">
        <v>46107</v>
      </c>
      <c r="B974" s="156" t="inlineStr">
        <is>
          <t>06-07</t>
        </is>
      </c>
      <c r="C974" s="156" t="inlineStr">
        <is>
          <t>EX-2101</t>
        </is>
      </c>
      <c r="D974" s="156" t="inlineStr">
        <is>
          <t>HD-903</t>
        </is>
      </c>
      <c r="E974" s="156" t="inlineStr">
        <is>
          <t>OB</t>
        </is>
      </c>
      <c r="F974" s="156" t="n">
        <v>5</v>
      </c>
      <c r="G974" s="156" t="inlineStr"/>
      <c r="H974" s="157">
        <f>IF($B974="","",IF(ISNA(MATCH($B974,MASTER_JAM!$Q$5:$Q$28,0)),"?",IF(MATCH($B974,MASTER_JAM!$Q$5:$Q$28,0)&lt;=12,"DS","NS")))</f>
        <v/>
      </c>
      <c r="I974" s="157">
        <f>IFERROR(INDEX(MASTER_JAM!$B$5:$B$94,MATCH($C974,MASTER_JAM!$A$5:$A$94,0)),"")</f>
        <v/>
      </c>
      <c r="J974" s="157">
        <f>IFERROR(INDEX(MASTER_JAM!$E$5:$E$94,MATCH($D974,MASTER_JAM!$A$5:$A$94,0)),"")</f>
        <v/>
      </c>
      <c r="K974" s="158">
        <f>IFERROR(INDEX(MASTER_JAM!$J$5:$O$12,MATCH($E974,MASTER_JAM!$I$5:$I$12,0),MATCH($J974,MASTER_JAM!$J$4:$O$4,0))+0,0)</f>
        <v/>
      </c>
      <c r="L974" s="159">
        <f>N($F974)*$K974</f>
        <v/>
      </c>
      <c r="M974" s="157">
        <f>IF($E974="","",IF(OR($E974="Coal",$E974="Dirty Coal"),"MT","BCM"))</f>
        <v/>
      </c>
      <c r="N974" s="157">
        <f>IF($E974="","",IF(OR($E974="Coal",$E974="Dirty Coal"),"Coal","OB"))</f>
        <v/>
      </c>
      <c r="O974" s="157">
        <f>IF($F974="","",IF(COUNTIF(MASTER_JAM!$A$5:$A$94,$C974)=0,"Digger tidak dikenal",IF($J974="","Hauler tidak dikenal",IF($H974="?","Jam salah",IF($K974=0,"Faktor kosong",IF(SUMIFS(INPUT_DELAY!$E$5:$E$20000,INPUT_DELAY!$A$5:$A$20000,$A974,INPUT_DELAY!$B$5:$B$20000,$B974,INPUT_DELAY!$C$5:$C$20000,$C974)+SUMIFS(INPUT_DELAY!$E$5:$E$20000,INPUT_DELAY!$A$5:$A$20000,$A974,INPUT_DELAY!$B$5:$B$20000,$B974,INPUT_DELAY!$C$5:$C$20000,"SEMUA")&gt;=60,"Delay 60 mnt tapi ada ritase","OK"))))))</f>
        <v/>
      </c>
      <c r="P974" s="158">
        <f>IFERROR(INDEX(MASTER_JAM!$Z$5:$AC$10,MATCH($I974,MASTER_JAM!$Y$5:$Y$10,0),MATCH($J974,MASTER_JAM!$Z$4:$AC$4,0))+0,0)</f>
        <v/>
      </c>
      <c r="Q974" s="158">
        <f>IF($P974=0,0,$P974+IFERROR(INDEX(MASTER_JAM!$H$5:$H$94,MATCH($C974,MASTER_JAM!$A$5:$A$94,0))+0,MASTER_JAM!$AC$15)/1000*(60/MASTER_JAM!$AC$12+60/MASTER_JAM!$AC$13)+MASTER_JAM!$AC$14)</f>
        <v/>
      </c>
      <c r="R974" s="158">
        <f>IF(N($F974)=0,0,$F974/SUMIFS(INPUT_RITASE!$F$5:$F$20000,INPUT_RITASE!$A$5:$A$20000,$A974,INPUT_RITASE!$B$5:$B$20000,$B974,INPUT_RITASE!$C$5:$C$20000,$C974,INPUT_RITASE!$D$5:$D$20000,$D974))</f>
        <v/>
      </c>
      <c r="S974" s="158">
        <f>IF($Q974=0,0,$R974*$P974/$Q974)</f>
        <v/>
      </c>
    </row>
    <row r="975">
      <c r="A975" s="155" t="n">
        <v>46107</v>
      </c>
      <c r="B975" s="156" t="inlineStr">
        <is>
          <t>06-07</t>
        </is>
      </c>
      <c r="C975" s="156" t="inlineStr">
        <is>
          <t>EX-2101</t>
        </is>
      </c>
      <c r="D975" s="156" t="inlineStr">
        <is>
          <t>HD-901</t>
        </is>
      </c>
      <c r="E975" s="156" t="inlineStr">
        <is>
          <t>OB</t>
        </is>
      </c>
      <c r="F975" s="156" t="n">
        <v>4</v>
      </c>
      <c r="G975" s="156" t="inlineStr"/>
      <c r="H975" s="157">
        <f>IF($B975="","",IF(ISNA(MATCH($B975,MASTER_JAM!$Q$5:$Q$28,0)),"?",IF(MATCH($B975,MASTER_JAM!$Q$5:$Q$28,0)&lt;=12,"DS","NS")))</f>
        <v/>
      </c>
      <c r="I975" s="157">
        <f>IFERROR(INDEX(MASTER_JAM!$B$5:$B$94,MATCH($C975,MASTER_JAM!$A$5:$A$94,0)),"")</f>
        <v/>
      </c>
      <c r="J975" s="157">
        <f>IFERROR(INDEX(MASTER_JAM!$E$5:$E$94,MATCH($D975,MASTER_JAM!$A$5:$A$94,0)),"")</f>
        <v/>
      </c>
      <c r="K975" s="158">
        <f>IFERROR(INDEX(MASTER_JAM!$J$5:$O$12,MATCH($E975,MASTER_JAM!$I$5:$I$12,0),MATCH($J975,MASTER_JAM!$J$4:$O$4,0))+0,0)</f>
        <v/>
      </c>
      <c r="L975" s="159">
        <f>N($F975)*$K975</f>
        <v/>
      </c>
      <c r="M975" s="157">
        <f>IF($E975="","",IF(OR($E975="Coal",$E975="Dirty Coal"),"MT","BCM"))</f>
        <v/>
      </c>
      <c r="N975" s="157">
        <f>IF($E975="","",IF(OR($E975="Coal",$E975="Dirty Coal"),"Coal","OB"))</f>
        <v/>
      </c>
      <c r="O975" s="157">
        <f>IF($F975="","",IF(COUNTIF(MASTER_JAM!$A$5:$A$94,$C975)=0,"Digger tidak dikenal",IF($J975="","Hauler tidak dikenal",IF($H975="?","Jam salah",IF($K975=0,"Faktor kosong",IF(SUMIFS(INPUT_DELAY!$E$5:$E$20000,INPUT_DELAY!$A$5:$A$20000,$A975,INPUT_DELAY!$B$5:$B$20000,$B975,INPUT_DELAY!$C$5:$C$20000,$C975)+SUMIFS(INPUT_DELAY!$E$5:$E$20000,INPUT_DELAY!$A$5:$A$20000,$A975,INPUT_DELAY!$B$5:$B$20000,$B975,INPUT_DELAY!$C$5:$C$20000,"SEMUA")&gt;=60,"Delay 60 mnt tapi ada ritase","OK"))))))</f>
        <v/>
      </c>
      <c r="P975" s="158">
        <f>IFERROR(INDEX(MASTER_JAM!$Z$5:$AC$10,MATCH($I975,MASTER_JAM!$Y$5:$Y$10,0),MATCH($J975,MASTER_JAM!$Z$4:$AC$4,0))+0,0)</f>
        <v/>
      </c>
      <c r="Q975" s="158">
        <f>IF($P975=0,0,$P975+IFERROR(INDEX(MASTER_JAM!$H$5:$H$94,MATCH($C975,MASTER_JAM!$A$5:$A$94,0))+0,MASTER_JAM!$AC$15)/1000*(60/MASTER_JAM!$AC$12+60/MASTER_JAM!$AC$13)+MASTER_JAM!$AC$14)</f>
        <v/>
      </c>
      <c r="R975" s="158">
        <f>IF(N($F975)=0,0,$F975/SUMIFS(INPUT_RITASE!$F$5:$F$20000,INPUT_RITASE!$A$5:$A$20000,$A975,INPUT_RITASE!$B$5:$B$20000,$B975,INPUT_RITASE!$C$5:$C$20000,$C975,INPUT_RITASE!$D$5:$D$20000,$D975))</f>
        <v/>
      </c>
      <c r="S975" s="158">
        <f>IF($Q975=0,0,$R975*$P975/$Q975)</f>
        <v/>
      </c>
    </row>
    <row r="976">
      <c r="A976" s="155" t="n">
        <v>46107</v>
      </c>
      <c r="B976" s="156" t="inlineStr">
        <is>
          <t>06-07</t>
        </is>
      </c>
      <c r="C976" s="156" t="inlineStr">
        <is>
          <t>EX-2101</t>
        </is>
      </c>
      <c r="D976" s="156" t="inlineStr">
        <is>
          <t>HD-904</t>
        </is>
      </c>
      <c r="E976" s="156" t="inlineStr">
        <is>
          <t>OB</t>
        </is>
      </c>
      <c r="F976" s="156" t="n">
        <v>4</v>
      </c>
      <c r="G976" s="156" t="inlineStr"/>
      <c r="H976" s="157">
        <f>IF($B976="","",IF(ISNA(MATCH($B976,MASTER_JAM!$Q$5:$Q$28,0)),"?",IF(MATCH($B976,MASTER_JAM!$Q$5:$Q$28,0)&lt;=12,"DS","NS")))</f>
        <v/>
      </c>
      <c r="I976" s="157">
        <f>IFERROR(INDEX(MASTER_JAM!$B$5:$B$94,MATCH($C976,MASTER_JAM!$A$5:$A$94,0)),"")</f>
        <v/>
      </c>
      <c r="J976" s="157">
        <f>IFERROR(INDEX(MASTER_JAM!$E$5:$E$94,MATCH($D976,MASTER_JAM!$A$5:$A$94,0)),"")</f>
        <v/>
      </c>
      <c r="K976" s="158">
        <f>IFERROR(INDEX(MASTER_JAM!$J$5:$O$12,MATCH($E976,MASTER_JAM!$I$5:$I$12,0),MATCH($J976,MASTER_JAM!$J$4:$O$4,0))+0,0)</f>
        <v/>
      </c>
      <c r="L976" s="159">
        <f>N($F976)*$K976</f>
        <v/>
      </c>
      <c r="M976" s="157">
        <f>IF($E976="","",IF(OR($E976="Coal",$E976="Dirty Coal"),"MT","BCM"))</f>
        <v/>
      </c>
      <c r="N976" s="157">
        <f>IF($E976="","",IF(OR($E976="Coal",$E976="Dirty Coal"),"Coal","OB"))</f>
        <v/>
      </c>
      <c r="O976" s="157">
        <f>IF($F976="","",IF(COUNTIF(MASTER_JAM!$A$5:$A$94,$C976)=0,"Digger tidak dikenal",IF($J976="","Hauler tidak dikenal",IF($H976="?","Jam salah",IF($K976=0,"Faktor kosong",IF(SUMIFS(INPUT_DELAY!$E$5:$E$20000,INPUT_DELAY!$A$5:$A$20000,$A976,INPUT_DELAY!$B$5:$B$20000,$B976,INPUT_DELAY!$C$5:$C$20000,$C976)+SUMIFS(INPUT_DELAY!$E$5:$E$20000,INPUT_DELAY!$A$5:$A$20000,$A976,INPUT_DELAY!$B$5:$B$20000,$B976,INPUT_DELAY!$C$5:$C$20000,"SEMUA")&gt;=60,"Delay 60 mnt tapi ada ritase","OK"))))))</f>
        <v/>
      </c>
      <c r="P976" s="158">
        <f>IFERROR(INDEX(MASTER_JAM!$Z$5:$AC$10,MATCH($I976,MASTER_JAM!$Y$5:$Y$10,0),MATCH($J976,MASTER_JAM!$Z$4:$AC$4,0))+0,0)</f>
        <v/>
      </c>
      <c r="Q976" s="158">
        <f>IF($P976=0,0,$P976+IFERROR(INDEX(MASTER_JAM!$H$5:$H$94,MATCH($C976,MASTER_JAM!$A$5:$A$94,0))+0,MASTER_JAM!$AC$15)/1000*(60/MASTER_JAM!$AC$12+60/MASTER_JAM!$AC$13)+MASTER_JAM!$AC$14)</f>
        <v/>
      </c>
      <c r="R976" s="158">
        <f>IF(N($F976)=0,0,$F976/SUMIFS(INPUT_RITASE!$F$5:$F$20000,INPUT_RITASE!$A$5:$A$20000,$A976,INPUT_RITASE!$B$5:$B$20000,$B976,INPUT_RITASE!$C$5:$C$20000,$C976,INPUT_RITASE!$D$5:$D$20000,$D976))</f>
        <v/>
      </c>
      <c r="S976" s="158">
        <f>IF($Q976=0,0,$R976*$P976/$Q976)</f>
        <v/>
      </c>
    </row>
    <row r="977">
      <c r="A977" s="155" t="n">
        <v>46107</v>
      </c>
      <c r="B977" s="156" t="inlineStr">
        <is>
          <t>06-07</t>
        </is>
      </c>
      <c r="C977" s="156" t="inlineStr">
        <is>
          <t>EX-2101</t>
        </is>
      </c>
      <c r="D977" s="156" t="inlineStr">
        <is>
          <t>DT-522</t>
        </is>
      </c>
      <c r="E977" s="156" t="inlineStr">
        <is>
          <t>OB</t>
        </is>
      </c>
      <c r="F977" s="156" t="n">
        <v>2</v>
      </c>
      <c r="G977" s="156" t="inlineStr"/>
      <c r="H977" s="157">
        <f>IF($B977="","",IF(ISNA(MATCH($B977,MASTER_JAM!$Q$5:$Q$28,0)),"?",IF(MATCH($B977,MASTER_JAM!$Q$5:$Q$28,0)&lt;=12,"DS","NS")))</f>
        <v/>
      </c>
      <c r="I977" s="157">
        <f>IFERROR(INDEX(MASTER_JAM!$B$5:$B$94,MATCH($C977,MASTER_JAM!$A$5:$A$94,0)),"")</f>
        <v/>
      </c>
      <c r="J977" s="157">
        <f>IFERROR(INDEX(MASTER_JAM!$E$5:$E$94,MATCH($D977,MASTER_JAM!$A$5:$A$94,0)),"")</f>
        <v/>
      </c>
      <c r="K977" s="158">
        <f>IFERROR(INDEX(MASTER_JAM!$J$5:$O$12,MATCH($E977,MASTER_JAM!$I$5:$I$12,0),MATCH($J977,MASTER_JAM!$J$4:$O$4,0))+0,0)</f>
        <v/>
      </c>
      <c r="L977" s="159">
        <f>N($F977)*$K977</f>
        <v/>
      </c>
      <c r="M977" s="157">
        <f>IF($E977="","",IF(OR($E977="Coal",$E977="Dirty Coal"),"MT","BCM"))</f>
        <v/>
      </c>
      <c r="N977" s="157">
        <f>IF($E977="","",IF(OR($E977="Coal",$E977="Dirty Coal"),"Coal","OB"))</f>
        <v/>
      </c>
      <c r="O977" s="157">
        <f>IF($F977="","",IF(COUNTIF(MASTER_JAM!$A$5:$A$94,$C977)=0,"Digger tidak dikenal",IF($J977="","Hauler tidak dikenal",IF($H977="?","Jam salah",IF($K977=0,"Faktor kosong",IF(SUMIFS(INPUT_DELAY!$E$5:$E$20000,INPUT_DELAY!$A$5:$A$20000,$A977,INPUT_DELAY!$B$5:$B$20000,$B977,INPUT_DELAY!$C$5:$C$20000,$C977)+SUMIFS(INPUT_DELAY!$E$5:$E$20000,INPUT_DELAY!$A$5:$A$20000,$A977,INPUT_DELAY!$B$5:$B$20000,$B977,INPUT_DELAY!$C$5:$C$20000,"SEMUA")&gt;=60,"Delay 60 mnt tapi ada ritase","OK"))))))</f>
        <v/>
      </c>
      <c r="P977" s="158">
        <f>IFERROR(INDEX(MASTER_JAM!$Z$5:$AC$10,MATCH($I977,MASTER_JAM!$Y$5:$Y$10,0),MATCH($J977,MASTER_JAM!$Z$4:$AC$4,0))+0,0)</f>
        <v/>
      </c>
      <c r="Q977" s="158">
        <f>IF($P977=0,0,$P977+IFERROR(INDEX(MASTER_JAM!$H$5:$H$94,MATCH($C977,MASTER_JAM!$A$5:$A$94,0))+0,MASTER_JAM!$AC$15)/1000*(60/MASTER_JAM!$AC$12+60/MASTER_JAM!$AC$13)+MASTER_JAM!$AC$14)</f>
        <v/>
      </c>
      <c r="R977" s="158">
        <f>IF(N($F977)=0,0,$F977/SUMIFS(INPUT_RITASE!$F$5:$F$20000,INPUT_RITASE!$A$5:$A$20000,$A977,INPUT_RITASE!$B$5:$B$20000,$B977,INPUT_RITASE!$C$5:$C$20000,$C977,INPUT_RITASE!$D$5:$D$20000,$D977))</f>
        <v/>
      </c>
      <c r="S977" s="158">
        <f>IF($Q977=0,0,$R977*$P977/$Q977)</f>
        <v/>
      </c>
    </row>
    <row r="978">
      <c r="A978" s="155" t="n">
        <v>46107</v>
      </c>
      <c r="B978" s="156" t="inlineStr">
        <is>
          <t>07-08</t>
        </is>
      </c>
      <c r="C978" s="156" t="inlineStr">
        <is>
          <t>EX-2101</t>
        </is>
      </c>
      <c r="D978" s="156" t="inlineStr">
        <is>
          <t>DT-513</t>
        </is>
      </c>
      <c r="E978" s="156" t="inlineStr">
        <is>
          <t>OB</t>
        </is>
      </c>
      <c r="F978" s="156" t="n">
        <v>3</v>
      </c>
      <c r="G978" s="156" t="inlineStr"/>
      <c r="H978" s="157">
        <f>IF($B978="","",IF(ISNA(MATCH($B978,MASTER_JAM!$Q$5:$Q$28,0)),"?",IF(MATCH($B978,MASTER_JAM!$Q$5:$Q$28,0)&lt;=12,"DS","NS")))</f>
        <v/>
      </c>
      <c r="I978" s="157">
        <f>IFERROR(INDEX(MASTER_JAM!$B$5:$B$94,MATCH($C978,MASTER_JAM!$A$5:$A$94,0)),"")</f>
        <v/>
      </c>
      <c r="J978" s="157">
        <f>IFERROR(INDEX(MASTER_JAM!$E$5:$E$94,MATCH($D978,MASTER_JAM!$A$5:$A$94,0)),"")</f>
        <v/>
      </c>
      <c r="K978" s="158">
        <f>IFERROR(INDEX(MASTER_JAM!$J$5:$O$12,MATCH($E978,MASTER_JAM!$I$5:$I$12,0),MATCH($J978,MASTER_JAM!$J$4:$O$4,0))+0,0)</f>
        <v/>
      </c>
      <c r="L978" s="159">
        <f>N($F978)*$K978</f>
        <v/>
      </c>
      <c r="M978" s="157">
        <f>IF($E978="","",IF(OR($E978="Coal",$E978="Dirty Coal"),"MT","BCM"))</f>
        <v/>
      </c>
      <c r="N978" s="157">
        <f>IF($E978="","",IF(OR($E978="Coal",$E978="Dirty Coal"),"Coal","OB"))</f>
        <v/>
      </c>
      <c r="O978" s="157">
        <f>IF($F978="","",IF(COUNTIF(MASTER_JAM!$A$5:$A$94,$C978)=0,"Digger tidak dikenal",IF($J978="","Hauler tidak dikenal",IF($H978="?","Jam salah",IF($K978=0,"Faktor kosong",IF(SUMIFS(INPUT_DELAY!$E$5:$E$20000,INPUT_DELAY!$A$5:$A$20000,$A978,INPUT_DELAY!$B$5:$B$20000,$B978,INPUT_DELAY!$C$5:$C$20000,$C978)+SUMIFS(INPUT_DELAY!$E$5:$E$20000,INPUT_DELAY!$A$5:$A$20000,$A978,INPUT_DELAY!$B$5:$B$20000,$B978,INPUT_DELAY!$C$5:$C$20000,"SEMUA")&gt;=60,"Delay 60 mnt tapi ada ritase","OK"))))))</f>
        <v/>
      </c>
      <c r="P978" s="158">
        <f>IFERROR(INDEX(MASTER_JAM!$Z$5:$AC$10,MATCH($I978,MASTER_JAM!$Y$5:$Y$10,0),MATCH($J978,MASTER_JAM!$Z$4:$AC$4,0))+0,0)</f>
        <v/>
      </c>
      <c r="Q978" s="158">
        <f>IF($P978=0,0,$P978+IFERROR(INDEX(MASTER_JAM!$H$5:$H$94,MATCH($C978,MASTER_JAM!$A$5:$A$94,0))+0,MASTER_JAM!$AC$15)/1000*(60/MASTER_JAM!$AC$12+60/MASTER_JAM!$AC$13)+MASTER_JAM!$AC$14)</f>
        <v/>
      </c>
      <c r="R978" s="158">
        <f>IF(N($F978)=0,0,$F978/SUMIFS(INPUT_RITASE!$F$5:$F$20000,INPUT_RITASE!$A$5:$A$20000,$A978,INPUT_RITASE!$B$5:$B$20000,$B978,INPUT_RITASE!$C$5:$C$20000,$C978,INPUT_RITASE!$D$5:$D$20000,$D978))</f>
        <v/>
      </c>
      <c r="S978" s="158">
        <f>IF($Q978=0,0,$R978*$P978/$Q978)</f>
        <v/>
      </c>
    </row>
    <row r="979">
      <c r="A979" s="155" t="n">
        <v>46107</v>
      </c>
      <c r="B979" s="156" t="inlineStr">
        <is>
          <t>07-08</t>
        </is>
      </c>
      <c r="C979" s="156" t="inlineStr">
        <is>
          <t>EX-2101</t>
        </is>
      </c>
      <c r="D979" s="156" t="inlineStr">
        <is>
          <t>DT-518</t>
        </is>
      </c>
      <c r="E979" s="156" t="inlineStr">
        <is>
          <t>OB</t>
        </is>
      </c>
      <c r="F979" s="156" t="n">
        <v>2</v>
      </c>
      <c r="G979" s="156" t="inlineStr"/>
      <c r="H979" s="157">
        <f>IF($B979="","",IF(ISNA(MATCH($B979,MASTER_JAM!$Q$5:$Q$28,0)),"?",IF(MATCH($B979,MASTER_JAM!$Q$5:$Q$28,0)&lt;=12,"DS","NS")))</f>
        <v/>
      </c>
      <c r="I979" s="157">
        <f>IFERROR(INDEX(MASTER_JAM!$B$5:$B$94,MATCH($C979,MASTER_JAM!$A$5:$A$94,0)),"")</f>
        <v/>
      </c>
      <c r="J979" s="157">
        <f>IFERROR(INDEX(MASTER_JAM!$E$5:$E$94,MATCH($D979,MASTER_JAM!$A$5:$A$94,0)),"")</f>
        <v/>
      </c>
      <c r="K979" s="158">
        <f>IFERROR(INDEX(MASTER_JAM!$J$5:$O$12,MATCH($E979,MASTER_JAM!$I$5:$I$12,0),MATCH($J979,MASTER_JAM!$J$4:$O$4,0))+0,0)</f>
        <v/>
      </c>
      <c r="L979" s="159">
        <f>N($F979)*$K979</f>
        <v/>
      </c>
      <c r="M979" s="157">
        <f>IF($E979="","",IF(OR($E979="Coal",$E979="Dirty Coal"),"MT","BCM"))</f>
        <v/>
      </c>
      <c r="N979" s="157">
        <f>IF($E979="","",IF(OR($E979="Coal",$E979="Dirty Coal"),"Coal","OB"))</f>
        <v/>
      </c>
      <c r="O979" s="157">
        <f>IF($F979="","",IF(COUNTIF(MASTER_JAM!$A$5:$A$94,$C979)=0,"Digger tidak dikenal",IF($J979="","Hauler tidak dikenal",IF($H979="?","Jam salah",IF($K979=0,"Faktor kosong",IF(SUMIFS(INPUT_DELAY!$E$5:$E$20000,INPUT_DELAY!$A$5:$A$20000,$A979,INPUT_DELAY!$B$5:$B$20000,$B979,INPUT_DELAY!$C$5:$C$20000,$C979)+SUMIFS(INPUT_DELAY!$E$5:$E$20000,INPUT_DELAY!$A$5:$A$20000,$A979,INPUT_DELAY!$B$5:$B$20000,$B979,INPUT_DELAY!$C$5:$C$20000,"SEMUA")&gt;=60,"Delay 60 mnt tapi ada ritase","OK"))))))</f>
        <v/>
      </c>
      <c r="P979" s="158">
        <f>IFERROR(INDEX(MASTER_JAM!$Z$5:$AC$10,MATCH($I979,MASTER_JAM!$Y$5:$Y$10,0),MATCH($J979,MASTER_JAM!$Z$4:$AC$4,0))+0,0)</f>
        <v/>
      </c>
      <c r="Q979" s="158">
        <f>IF($P979=0,0,$P979+IFERROR(INDEX(MASTER_JAM!$H$5:$H$94,MATCH($C979,MASTER_JAM!$A$5:$A$94,0))+0,MASTER_JAM!$AC$15)/1000*(60/MASTER_JAM!$AC$12+60/MASTER_JAM!$AC$13)+MASTER_JAM!$AC$14)</f>
        <v/>
      </c>
      <c r="R979" s="158">
        <f>IF(N($F979)=0,0,$F979/SUMIFS(INPUT_RITASE!$F$5:$F$20000,INPUT_RITASE!$A$5:$A$20000,$A979,INPUT_RITASE!$B$5:$B$20000,$B979,INPUT_RITASE!$C$5:$C$20000,$C979,INPUT_RITASE!$D$5:$D$20000,$D979))</f>
        <v/>
      </c>
      <c r="S979" s="158">
        <f>IF($Q979=0,0,$R979*$P979/$Q979)</f>
        <v/>
      </c>
    </row>
    <row r="980">
      <c r="A980" s="155" t="n">
        <v>46107</v>
      </c>
      <c r="B980" s="156" t="inlineStr">
        <is>
          <t>07-08</t>
        </is>
      </c>
      <c r="C980" s="156" t="inlineStr">
        <is>
          <t>EX-2101</t>
        </is>
      </c>
      <c r="D980" s="156" t="inlineStr">
        <is>
          <t>HD-904</t>
        </is>
      </c>
      <c r="E980" s="156" t="inlineStr">
        <is>
          <t>OB</t>
        </is>
      </c>
      <c r="F980" s="156" t="n">
        <v>4</v>
      </c>
      <c r="G980" s="156" t="inlineStr"/>
      <c r="H980" s="157">
        <f>IF($B980="","",IF(ISNA(MATCH($B980,MASTER_JAM!$Q$5:$Q$28,0)),"?",IF(MATCH($B980,MASTER_JAM!$Q$5:$Q$28,0)&lt;=12,"DS","NS")))</f>
        <v/>
      </c>
      <c r="I980" s="157">
        <f>IFERROR(INDEX(MASTER_JAM!$B$5:$B$94,MATCH($C980,MASTER_JAM!$A$5:$A$94,0)),"")</f>
        <v/>
      </c>
      <c r="J980" s="157">
        <f>IFERROR(INDEX(MASTER_JAM!$E$5:$E$94,MATCH($D980,MASTER_JAM!$A$5:$A$94,0)),"")</f>
        <v/>
      </c>
      <c r="K980" s="158">
        <f>IFERROR(INDEX(MASTER_JAM!$J$5:$O$12,MATCH($E980,MASTER_JAM!$I$5:$I$12,0),MATCH($J980,MASTER_JAM!$J$4:$O$4,0))+0,0)</f>
        <v/>
      </c>
      <c r="L980" s="159">
        <f>N($F980)*$K980</f>
        <v/>
      </c>
      <c r="M980" s="157">
        <f>IF($E980="","",IF(OR($E980="Coal",$E980="Dirty Coal"),"MT","BCM"))</f>
        <v/>
      </c>
      <c r="N980" s="157">
        <f>IF($E980="","",IF(OR($E980="Coal",$E980="Dirty Coal"),"Coal","OB"))</f>
        <v/>
      </c>
      <c r="O980" s="157">
        <f>IF($F980="","",IF(COUNTIF(MASTER_JAM!$A$5:$A$94,$C980)=0,"Digger tidak dikenal",IF($J980="","Hauler tidak dikenal",IF($H980="?","Jam salah",IF($K980=0,"Faktor kosong",IF(SUMIFS(INPUT_DELAY!$E$5:$E$20000,INPUT_DELAY!$A$5:$A$20000,$A980,INPUT_DELAY!$B$5:$B$20000,$B980,INPUT_DELAY!$C$5:$C$20000,$C980)+SUMIFS(INPUT_DELAY!$E$5:$E$20000,INPUT_DELAY!$A$5:$A$20000,$A980,INPUT_DELAY!$B$5:$B$20000,$B980,INPUT_DELAY!$C$5:$C$20000,"SEMUA")&gt;=60,"Delay 60 mnt tapi ada ritase","OK"))))))</f>
        <v/>
      </c>
      <c r="P980" s="158">
        <f>IFERROR(INDEX(MASTER_JAM!$Z$5:$AC$10,MATCH($I980,MASTER_JAM!$Y$5:$Y$10,0),MATCH($J980,MASTER_JAM!$Z$4:$AC$4,0))+0,0)</f>
        <v/>
      </c>
      <c r="Q980" s="158">
        <f>IF($P980=0,0,$P980+IFERROR(INDEX(MASTER_JAM!$H$5:$H$94,MATCH($C980,MASTER_JAM!$A$5:$A$94,0))+0,MASTER_JAM!$AC$15)/1000*(60/MASTER_JAM!$AC$12+60/MASTER_JAM!$AC$13)+MASTER_JAM!$AC$14)</f>
        <v/>
      </c>
      <c r="R980" s="158">
        <f>IF(N($F980)=0,0,$F980/SUMIFS(INPUT_RITASE!$F$5:$F$20000,INPUT_RITASE!$A$5:$A$20000,$A980,INPUT_RITASE!$B$5:$B$20000,$B980,INPUT_RITASE!$C$5:$C$20000,$C980,INPUT_RITASE!$D$5:$D$20000,$D980))</f>
        <v/>
      </c>
      <c r="S980" s="158">
        <f>IF($Q980=0,0,$R980*$P980/$Q980)</f>
        <v/>
      </c>
    </row>
    <row r="981">
      <c r="A981" s="155" t="n">
        <v>46107</v>
      </c>
      <c r="B981" s="156" t="inlineStr">
        <is>
          <t>07-08</t>
        </is>
      </c>
      <c r="C981" s="156" t="inlineStr">
        <is>
          <t>EX-2101</t>
        </is>
      </c>
      <c r="D981" s="156" t="inlineStr">
        <is>
          <t>HD-901</t>
        </is>
      </c>
      <c r="E981" s="156" t="inlineStr">
        <is>
          <t>OB</t>
        </is>
      </c>
      <c r="F981" s="156" t="n">
        <v>4</v>
      </c>
      <c r="G981" s="156" t="inlineStr"/>
      <c r="H981" s="157">
        <f>IF($B981="","",IF(ISNA(MATCH($B981,MASTER_JAM!$Q$5:$Q$28,0)),"?",IF(MATCH($B981,MASTER_JAM!$Q$5:$Q$28,0)&lt;=12,"DS","NS")))</f>
        <v/>
      </c>
      <c r="I981" s="157">
        <f>IFERROR(INDEX(MASTER_JAM!$B$5:$B$94,MATCH($C981,MASTER_JAM!$A$5:$A$94,0)),"")</f>
        <v/>
      </c>
      <c r="J981" s="157">
        <f>IFERROR(INDEX(MASTER_JAM!$E$5:$E$94,MATCH($D981,MASTER_JAM!$A$5:$A$94,0)),"")</f>
        <v/>
      </c>
      <c r="K981" s="158">
        <f>IFERROR(INDEX(MASTER_JAM!$J$5:$O$12,MATCH($E981,MASTER_JAM!$I$5:$I$12,0),MATCH($J981,MASTER_JAM!$J$4:$O$4,0))+0,0)</f>
        <v/>
      </c>
      <c r="L981" s="159">
        <f>N($F981)*$K981</f>
        <v/>
      </c>
      <c r="M981" s="157">
        <f>IF($E981="","",IF(OR($E981="Coal",$E981="Dirty Coal"),"MT","BCM"))</f>
        <v/>
      </c>
      <c r="N981" s="157">
        <f>IF($E981="","",IF(OR($E981="Coal",$E981="Dirty Coal"),"Coal","OB"))</f>
        <v/>
      </c>
      <c r="O981" s="157">
        <f>IF($F981="","",IF(COUNTIF(MASTER_JAM!$A$5:$A$94,$C981)=0,"Digger tidak dikenal",IF($J981="","Hauler tidak dikenal",IF($H981="?","Jam salah",IF($K981=0,"Faktor kosong",IF(SUMIFS(INPUT_DELAY!$E$5:$E$20000,INPUT_DELAY!$A$5:$A$20000,$A981,INPUT_DELAY!$B$5:$B$20000,$B981,INPUT_DELAY!$C$5:$C$20000,$C981)+SUMIFS(INPUT_DELAY!$E$5:$E$20000,INPUT_DELAY!$A$5:$A$20000,$A981,INPUT_DELAY!$B$5:$B$20000,$B981,INPUT_DELAY!$C$5:$C$20000,"SEMUA")&gt;=60,"Delay 60 mnt tapi ada ritase","OK"))))))</f>
        <v/>
      </c>
      <c r="P981" s="158">
        <f>IFERROR(INDEX(MASTER_JAM!$Z$5:$AC$10,MATCH($I981,MASTER_JAM!$Y$5:$Y$10,0),MATCH($J981,MASTER_JAM!$Z$4:$AC$4,0))+0,0)</f>
        <v/>
      </c>
      <c r="Q981" s="158">
        <f>IF($P981=0,0,$P981+IFERROR(INDEX(MASTER_JAM!$H$5:$H$94,MATCH($C981,MASTER_JAM!$A$5:$A$94,0))+0,MASTER_JAM!$AC$15)/1000*(60/MASTER_JAM!$AC$12+60/MASTER_JAM!$AC$13)+MASTER_JAM!$AC$14)</f>
        <v/>
      </c>
      <c r="R981" s="158">
        <f>IF(N($F981)=0,0,$F981/SUMIFS(INPUT_RITASE!$F$5:$F$20000,INPUT_RITASE!$A$5:$A$20000,$A981,INPUT_RITASE!$B$5:$B$20000,$B981,INPUT_RITASE!$C$5:$C$20000,$C981,INPUT_RITASE!$D$5:$D$20000,$D981))</f>
        <v/>
      </c>
      <c r="S981" s="158">
        <f>IF($Q981=0,0,$R981*$P981/$Q981)</f>
        <v/>
      </c>
    </row>
    <row r="982">
      <c r="A982" s="155" t="n">
        <v>46107</v>
      </c>
      <c r="B982" s="156" t="inlineStr">
        <is>
          <t>08-09</t>
        </is>
      </c>
      <c r="C982" s="156" t="inlineStr">
        <is>
          <t>EX-2101</t>
        </is>
      </c>
      <c r="D982" s="156" t="inlineStr">
        <is>
          <t>DT-528</t>
        </is>
      </c>
      <c r="E982" s="156" t="inlineStr">
        <is>
          <t>OB</t>
        </is>
      </c>
      <c r="F982" s="156" t="n">
        <v>3</v>
      </c>
      <c r="G982" s="156" t="inlineStr"/>
      <c r="H982" s="157">
        <f>IF($B982="","",IF(ISNA(MATCH($B982,MASTER_JAM!$Q$5:$Q$28,0)),"?",IF(MATCH($B982,MASTER_JAM!$Q$5:$Q$28,0)&lt;=12,"DS","NS")))</f>
        <v/>
      </c>
      <c r="I982" s="157">
        <f>IFERROR(INDEX(MASTER_JAM!$B$5:$B$94,MATCH($C982,MASTER_JAM!$A$5:$A$94,0)),"")</f>
        <v/>
      </c>
      <c r="J982" s="157">
        <f>IFERROR(INDEX(MASTER_JAM!$E$5:$E$94,MATCH($D982,MASTER_JAM!$A$5:$A$94,0)),"")</f>
        <v/>
      </c>
      <c r="K982" s="158">
        <f>IFERROR(INDEX(MASTER_JAM!$J$5:$O$12,MATCH($E982,MASTER_JAM!$I$5:$I$12,0),MATCH($J982,MASTER_JAM!$J$4:$O$4,0))+0,0)</f>
        <v/>
      </c>
      <c r="L982" s="159">
        <f>N($F982)*$K982</f>
        <v/>
      </c>
      <c r="M982" s="157">
        <f>IF($E982="","",IF(OR($E982="Coal",$E982="Dirty Coal"),"MT","BCM"))</f>
        <v/>
      </c>
      <c r="N982" s="157">
        <f>IF($E982="","",IF(OR($E982="Coal",$E982="Dirty Coal"),"Coal","OB"))</f>
        <v/>
      </c>
      <c r="O982" s="157">
        <f>IF($F982="","",IF(COUNTIF(MASTER_JAM!$A$5:$A$94,$C982)=0,"Digger tidak dikenal",IF($J982="","Hauler tidak dikenal",IF($H982="?","Jam salah",IF($K982=0,"Faktor kosong",IF(SUMIFS(INPUT_DELAY!$E$5:$E$20000,INPUT_DELAY!$A$5:$A$20000,$A982,INPUT_DELAY!$B$5:$B$20000,$B982,INPUT_DELAY!$C$5:$C$20000,$C982)+SUMIFS(INPUT_DELAY!$E$5:$E$20000,INPUT_DELAY!$A$5:$A$20000,$A982,INPUT_DELAY!$B$5:$B$20000,$B982,INPUT_DELAY!$C$5:$C$20000,"SEMUA")&gt;=60,"Delay 60 mnt tapi ada ritase","OK"))))))</f>
        <v/>
      </c>
      <c r="P982" s="158">
        <f>IFERROR(INDEX(MASTER_JAM!$Z$5:$AC$10,MATCH($I982,MASTER_JAM!$Y$5:$Y$10,0),MATCH($J982,MASTER_JAM!$Z$4:$AC$4,0))+0,0)</f>
        <v/>
      </c>
      <c r="Q982" s="158">
        <f>IF($P982=0,0,$P982+IFERROR(INDEX(MASTER_JAM!$H$5:$H$94,MATCH($C982,MASTER_JAM!$A$5:$A$94,0))+0,MASTER_JAM!$AC$15)/1000*(60/MASTER_JAM!$AC$12+60/MASTER_JAM!$AC$13)+MASTER_JAM!$AC$14)</f>
        <v/>
      </c>
      <c r="R982" s="158">
        <f>IF(N($F982)=0,0,$F982/SUMIFS(INPUT_RITASE!$F$5:$F$20000,INPUT_RITASE!$A$5:$A$20000,$A982,INPUT_RITASE!$B$5:$B$20000,$B982,INPUT_RITASE!$C$5:$C$20000,$C982,INPUT_RITASE!$D$5:$D$20000,$D982))</f>
        <v/>
      </c>
      <c r="S982" s="158">
        <f>IF($Q982=0,0,$R982*$P982/$Q982)</f>
        <v/>
      </c>
    </row>
    <row r="983">
      <c r="A983" s="155" t="n">
        <v>46107</v>
      </c>
      <c r="B983" s="156" t="inlineStr">
        <is>
          <t>08-09</t>
        </is>
      </c>
      <c r="C983" s="156" t="inlineStr">
        <is>
          <t>EX-2101</t>
        </is>
      </c>
      <c r="D983" s="156" t="inlineStr">
        <is>
          <t>DT-521</t>
        </is>
      </c>
      <c r="E983" s="156" t="inlineStr">
        <is>
          <t>OB</t>
        </is>
      </c>
      <c r="F983" s="156" t="n">
        <v>3</v>
      </c>
      <c r="G983" s="156" t="inlineStr"/>
      <c r="H983" s="157">
        <f>IF($B983="","",IF(ISNA(MATCH($B983,MASTER_JAM!$Q$5:$Q$28,0)),"?",IF(MATCH($B983,MASTER_JAM!$Q$5:$Q$28,0)&lt;=12,"DS","NS")))</f>
        <v/>
      </c>
      <c r="I983" s="157">
        <f>IFERROR(INDEX(MASTER_JAM!$B$5:$B$94,MATCH($C983,MASTER_JAM!$A$5:$A$94,0)),"")</f>
        <v/>
      </c>
      <c r="J983" s="157">
        <f>IFERROR(INDEX(MASTER_JAM!$E$5:$E$94,MATCH($D983,MASTER_JAM!$A$5:$A$94,0)),"")</f>
        <v/>
      </c>
      <c r="K983" s="158">
        <f>IFERROR(INDEX(MASTER_JAM!$J$5:$O$12,MATCH($E983,MASTER_JAM!$I$5:$I$12,0),MATCH($J983,MASTER_JAM!$J$4:$O$4,0))+0,0)</f>
        <v/>
      </c>
      <c r="L983" s="159">
        <f>N($F983)*$K983</f>
        <v/>
      </c>
      <c r="M983" s="157">
        <f>IF($E983="","",IF(OR($E983="Coal",$E983="Dirty Coal"),"MT","BCM"))</f>
        <v/>
      </c>
      <c r="N983" s="157">
        <f>IF($E983="","",IF(OR($E983="Coal",$E983="Dirty Coal"),"Coal","OB"))</f>
        <v/>
      </c>
      <c r="O983" s="157">
        <f>IF($F983="","",IF(COUNTIF(MASTER_JAM!$A$5:$A$94,$C983)=0,"Digger tidak dikenal",IF($J983="","Hauler tidak dikenal",IF($H983="?","Jam salah",IF($K983=0,"Faktor kosong",IF(SUMIFS(INPUT_DELAY!$E$5:$E$20000,INPUT_DELAY!$A$5:$A$20000,$A983,INPUT_DELAY!$B$5:$B$20000,$B983,INPUT_DELAY!$C$5:$C$20000,$C983)+SUMIFS(INPUT_DELAY!$E$5:$E$20000,INPUT_DELAY!$A$5:$A$20000,$A983,INPUT_DELAY!$B$5:$B$20000,$B983,INPUT_DELAY!$C$5:$C$20000,"SEMUA")&gt;=60,"Delay 60 mnt tapi ada ritase","OK"))))))</f>
        <v/>
      </c>
      <c r="P983" s="158">
        <f>IFERROR(INDEX(MASTER_JAM!$Z$5:$AC$10,MATCH($I983,MASTER_JAM!$Y$5:$Y$10,0),MATCH($J983,MASTER_JAM!$Z$4:$AC$4,0))+0,0)</f>
        <v/>
      </c>
      <c r="Q983" s="158">
        <f>IF($P983=0,0,$P983+IFERROR(INDEX(MASTER_JAM!$H$5:$H$94,MATCH($C983,MASTER_JAM!$A$5:$A$94,0))+0,MASTER_JAM!$AC$15)/1000*(60/MASTER_JAM!$AC$12+60/MASTER_JAM!$AC$13)+MASTER_JAM!$AC$14)</f>
        <v/>
      </c>
      <c r="R983" s="158">
        <f>IF(N($F983)=0,0,$F983/SUMIFS(INPUT_RITASE!$F$5:$F$20000,INPUT_RITASE!$A$5:$A$20000,$A983,INPUT_RITASE!$B$5:$B$20000,$B983,INPUT_RITASE!$C$5:$C$20000,$C983,INPUT_RITASE!$D$5:$D$20000,$D983))</f>
        <v/>
      </c>
      <c r="S983" s="158">
        <f>IF($Q983=0,0,$R983*$P983/$Q983)</f>
        <v/>
      </c>
    </row>
    <row r="984">
      <c r="A984" s="155" t="n">
        <v>46107</v>
      </c>
      <c r="B984" s="156" t="inlineStr">
        <is>
          <t>08-09</t>
        </is>
      </c>
      <c r="C984" s="156" t="inlineStr">
        <is>
          <t>EX-2101</t>
        </is>
      </c>
      <c r="D984" s="156" t="inlineStr">
        <is>
          <t>HD-903</t>
        </is>
      </c>
      <c r="E984" s="156" t="inlineStr">
        <is>
          <t>OB</t>
        </is>
      </c>
      <c r="F984" s="156" t="n">
        <v>4</v>
      </c>
      <c r="G984" s="156" t="inlineStr"/>
      <c r="H984" s="157">
        <f>IF($B984="","",IF(ISNA(MATCH($B984,MASTER_JAM!$Q$5:$Q$28,0)),"?",IF(MATCH($B984,MASTER_JAM!$Q$5:$Q$28,0)&lt;=12,"DS","NS")))</f>
        <v/>
      </c>
      <c r="I984" s="157">
        <f>IFERROR(INDEX(MASTER_JAM!$B$5:$B$94,MATCH($C984,MASTER_JAM!$A$5:$A$94,0)),"")</f>
        <v/>
      </c>
      <c r="J984" s="157">
        <f>IFERROR(INDEX(MASTER_JAM!$E$5:$E$94,MATCH($D984,MASTER_JAM!$A$5:$A$94,0)),"")</f>
        <v/>
      </c>
      <c r="K984" s="158">
        <f>IFERROR(INDEX(MASTER_JAM!$J$5:$O$12,MATCH($E984,MASTER_JAM!$I$5:$I$12,0),MATCH($J984,MASTER_JAM!$J$4:$O$4,0))+0,0)</f>
        <v/>
      </c>
      <c r="L984" s="159">
        <f>N($F984)*$K984</f>
        <v/>
      </c>
      <c r="M984" s="157">
        <f>IF($E984="","",IF(OR($E984="Coal",$E984="Dirty Coal"),"MT","BCM"))</f>
        <v/>
      </c>
      <c r="N984" s="157">
        <f>IF($E984="","",IF(OR($E984="Coal",$E984="Dirty Coal"),"Coal","OB"))</f>
        <v/>
      </c>
      <c r="O984" s="157">
        <f>IF($F984="","",IF(COUNTIF(MASTER_JAM!$A$5:$A$94,$C984)=0,"Digger tidak dikenal",IF($J984="","Hauler tidak dikenal",IF($H984="?","Jam salah",IF($K984=0,"Faktor kosong",IF(SUMIFS(INPUT_DELAY!$E$5:$E$20000,INPUT_DELAY!$A$5:$A$20000,$A984,INPUT_DELAY!$B$5:$B$20000,$B984,INPUT_DELAY!$C$5:$C$20000,$C984)+SUMIFS(INPUT_DELAY!$E$5:$E$20000,INPUT_DELAY!$A$5:$A$20000,$A984,INPUT_DELAY!$B$5:$B$20000,$B984,INPUT_DELAY!$C$5:$C$20000,"SEMUA")&gt;=60,"Delay 60 mnt tapi ada ritase","OK"))))))</f>
        <v/>
      </c>
      <c r="P984" s="158">
        <f>IFERROR(INDEX(MASTER_JAM!$Z$5:$AC$10,MATCH($I984,MASTER_JAM!$Y$5:$Y$10,0),MATCH($J984,MASTER_JAM!$Z$4:$AC$4,0))+0,0)</f>
        <v/>
      </c>
      <c r="Q984" s="158">
        <f>IF($P984=0,0,$P984+IFERROR(INDEX(MASTER_JAM!$H$5:$H$94,MATCH($C984,MASTER_JAM!$A$5:$A$94,0))+0,MASTER_JAM!$AC$15)/1000*(60/MASTER_JAM!$AC$12+60/MASTER_JAM!$AC$13)+MASTER_JAM!$AC$14)</f>
        <v/>
      </c>
      <c r="R984" s="158">
        <f>IF(N($F984)=0,0,$F984/SUMIFS(INPUT_RITASE!$F$5:$F$20000,INPUT_RITASE!$A$5:$A$20000,$A984,INPUT_RITASE!$B$5:$B$20000,$B984,INPUT_RITASE!$C$5:$C$20000,$C984,INPUT_RITASE!$D$5:$D$20000,$D984))</f>
        <v/>
      </c>
      <c r="S984" s="158">
        <f>IF($Q984=0,0,$R984*$P984/$Q984)</f>
        <v/>
      </c>
    </row>
    <row r="985">
      <c r="A985" s="155" t="n">
        <v>46107</v>
      </c>
      <c r="B985" s="156" t="inlineStr">
        <is>
          <t>08-09</t>
        </is>
      </c>
      <c r="C985" s="156" t="inlineStr">
        <is>
          <t>EX-2101</t>
        </is>
      </c>
      <c r="D985" s="156" t="inlineStr">
        <is>
          <t>HD-901</t>
        </is>
      </c>
      <c r="E985" s="156" t="inlineStr">
        <is>
          <t>OB</t>
        </is>
      </c>
      <c r="F985" s="156" t="n">
        <v>4</v>
      </c>
      <c r="G985" s="156" t="inlineStr"/>
      <c r="H985" s="157">
        <f>IF($B985="","",IF(ISNA(MATCH($B985,MASTER_JAM!$Q$5:$Q$28,0)),"?",IF(MATCH($B985,MASTER_JAM!$Q$5:$Q$28,0)&lt;=12,"DS","NS")))</f>
        <v/>
      </c>
      <c r="I985" s="157">
        <f>IFERROR(INDEX(MASTER_JAM!$B$5:$B$94,MATCH($C985,MASTER_JAM!$A$5:$A$94,0)),"")</f>
        <v/>
      </c>
      <c r="J985" s="157">
        <f>IFERROR(INDEX(MASTER_JAM!$E$5:$E$94,MATCH($D985,MASTER_JAM!$A$5:$A$94,0)),"")</f>
        <v/>
      </c>
      <c r="K985" s="158">
        <f>IFERROR(INDEX(MASTER_JAM!$J$5:$O$12,MATCH($E985,MASTER_JAM!$I$5:$I$12,0),MATCH($J985,MASTER_JAM!$J$4:$O$4,0))+0,0)</f>
        <v/>
      </c>
      <c r="L985" s="159">
        <f>N($F985)*$K985</f>
        <v/>
      </c>
      <c r="M985" s="157">
        <f>IF($E985="","",IF(OR($E985="Coal",$E985="Dirty Coal"),"MT","BCM"))</f>
        <v/>
      </c>
      <c r="N985" s="157">
        <f>IF($E985="","",IF(OR($E985="Coal",$E985="Dirty Coal"),"Coal","OB"))</f>
        <v/>
      </c>
      <c r="O985" s="157">
        <f>IF($F985="","",IF(COUNTIF(MASTER_JAM!$A$5:$A$94,$C985)=0,"Digger tidak dikenal",IF($J985="","Hauler tidak dikenal",IF($H985="?","Jam salah",IF($K985=0,"Faktor kosong",IF(SUMIFS(INPUT_DELAY!$E$5:$E$20000,INPUT_DELAY!$A$5:$A$20000,$A985,INPUT_DELAY!$B$5:$B$20000,$B985,INPUT_DELAY!$C$5:$C$20000,$C985)+SUMIFS(INPUT_DELAY!$E$5:$E$20000,INPUT_DELAY!$A$5:$A$20000,$A985,INPUT_DELAY!$B$5:$B$20000,$B985,INPUT_DELAY!$C$5:$C$20000,"SEMUA")&gt;=60,"Delay 60 mnt tapi ada ritase","OK"))))))</f>
        <v/>
      </c>
      <c r="P985" s="158">
        <f>IFERROR(INDEX(MASTER_JAM!$Z$5:$AC$10,MATCH($I985,MASTER_JAM!$Y$5:$Y$10,0),MATCH($J985,MASTER_JAM!$Z$4:$AC$4,0))+0,0)</f>
        <v/>
      </c>
      <c r="Q985" s="158">
        <f>IF($P985=0,0,$P985+IFERROR(INDEX(MASTER_JAM!$H$5:$H$94,MATCH($C985,MASTER_JAM!$A$5:$A$94,0))+0,MASTER_JAM!$AC$15)/1000*(60/MASTER_JAM!$AC$12+60/MASTER_JAM!$AC$13)+MASTER_JAM!$AC$14)</f>
        <v/>
      </c>
      <c r="R985" s="158">
        <f>IF(N($F985)=0,0,$F985/SUMIFS(INPUT_RITASE!$F$5:$F$20000,INPUT_RITASE!$A$5:$A$20000,$A985,INPUT_RITASE!$B$5:$B$20000,$B985,INPUT_RITASE!$C$5:$C$20000,$C985,INPUT_RITASE!$D$5:$D$20000,$D985))</f>
        <v/>
      </c>
      <c r="S985" s="158">
        <f>IF($Q985=0,0,$R985*$P985/$Q985)</f>
        <v/>
      </c>
    </row>
    <row r="986">
      <c r="A986" s="155" t="n">
        <v>46107</v>
      </c>
      <c r="B986" s="156" t="inlineStr">
        <is>
          <t>08-09</t>
        </is>
      </c>
      <c r="C986" s="156" t="inlineStr">
        <is>
          <t>EX-2101</t>
        </is>
      </c>
      <c r="D986" s="156" t="inlineStr">
        <is>
          <t>HD-904</t>
        </is>
      </c>
      <c r="E986" s="156" t="inlineStr">
        <is>
          <t>OB</t>
        </is>
      </c>
      <c r="F986" s="156" t="n">
        <v>3</v>
      </c>
      <c r="G986" s="156" t="inlineStr"/>
      <c r="H986" s="157">
        <f>IF($B986="","",IF(ISNA(MATCH($B986,MASTER_JAM!$Q$5:$Q$28,0)),"?",IF(MATCH($B986,MASTER_JAM!$Q$5:$Q$28,0)&lt;=12,"DS","NS")))</f>
        <v/>
      </c>
      <c r="I986" s="157">
        <f>IFERROR(INDEX(MASTER_JAM!$B$5:$B$94,MATCH($C986,MASTER_JAM!$A$5:$A$94,0)),"")</f>
        <v/>
      </c>
      <c r="J986" s="157">
        <f>IFERROR(INDEX(MASTER_JAM!$E$5:$E$94,MATCH($D986,MASTER_JAM!$A$5:$A$94,0)),"")</f>
        <v/>
      </c>
      <c r="K986" s="158">
        <f>IFERROR(INDEX(MASTER_JAM!$J$5:$O$12,MATCH($E986,MASTER_JAM!$I$5:$I$12,0),MATCH($J986,MASTER_JAM!$J$4:$O$4,0))+0,0)</f>
        <v/>
      </c>
      <c r="L986" s="159">
        <f>N($F986)*$K986</f>
        <v/>
      </c>
      <c r="M986" s="157">
        <f>IF($E986="","",IF(OR($E986="Coal",$E986="Dirty Coal"),"MT","BCM"))</f>
        <v/>
      </c>
      <c r="N986" s="157">
        <f>IF($E986="","",IF(OR($E986="Coal",$E986="Dirty Coal"),"Coal","OB"))</f>
        <v/>
      </c>
      <c r="O986" s="157">
        <f>IF($F986="","",IF(COUNTIF(MASTER_JAM!$A$5:$A$94,$C986)=0,"Digger tidak dikenal",IF($J986="","Hauler tidak dikenal",IF($H986="?","Jam salah",IF($K986=0,"Faktor kosong",IF(SUMIFS(INPUT_DELAY!$E$5:$E$20000,INPUT_DELAY!$A$5:$A$20000,$A986,INPUT_DELAY!$B$5:$B$20000,$B986,INPUT_DELAY!$C$5:$C$20000,$C986)+SUMIFS(INPUT_DELAY!$E$5:$E$20000,INPUT_DELAY!$A$5:$A$20000,$A986,INPUT_DELAY!$B$5:$B$20000,$B986,INPUT_DELAY!$C$5:$C$20000,"SEMUA")&gt;=60,"Delay 60 mnt tapi ada ritase","OK"))))))</f>
        <v/>
      </c>
      <c r="P986" s="158">
        <f>IFERROR(INDEX(MASTER_JAM!$Z$5:$AC$10,MATCH($I986,MASTER_JAM!$Y$5:$Y$10,0),MATCH($J986,MASTER_JAM!$Z$4:$AC$4,0))+0,0)</f>
        <v/>
      </c>
      <c r="Q986" s="158">
        <f>IF($P986=0,0,$P986+IFERROR(INDEX(MASTER_JAM!$H$5:$H$94,MATCH($C986,MASTER_JAM!$A$5:$A$94,0))+0,MASTER_JAM!$AC$15)/1000*(60/MASTER_JAM!$AC$12+60/MASTER_JAM!$AC$13)+MASTER_JAM!$AC$14)</f>
        <v/>
      </c>
      <c r="R986" s="158">
        <f>IF(N($F986)=0,0,$F986/SUMIFS(INPUT_RITASE!$F$5:$F$20000,INPUT_RITASE!$A$5:$A$20000,$A986,INPUT_RITASE!$B$5:$B$20000,$B986,INPUT_RITASE!$C$5:$C$20000,$C986,INPUT_RITASE!$D$5:$D$20000,$D986))</f>
        <v/>
      </c>
      <c r="S986" s="158">
        <f>IF($Q986=0,0,$R986*$P986/$Q986)</f>
        <v/>
      </c>
    </row>
    <row r="987">
      <c r="A987" s="155" t="n">
        <v>46107</v>
      </c>
      <c r="B987" s="156" t="inlineStr">
        <is>
          <t>09-10</t>
        </is>
      </c>
      <c r="C987" s="156" t="inlineStr">
        <is>
          <t>EX-2101</t>
        </is>
      </c>
      <c r="D987" s="156" t="inlineStr">
        <is>
          <t>DT-517</t>
        </is>
      </c>
      <c r="E987" s="156" t="inlineStr">
        <is>
          <t>OB</t>
        </is>
      </c>
      <c r="F987" s="156" t="n">
        <v>3</v>
      </c>
      <c r="G987" s="156" t="inlineStr"/>
      <c r="H987" s="157">
        <f>IF($B987="","",IF(ISNA(MATCH($B987,MASTER_JAM!$Q$5:$Q$28,0)),"?",IF(MATCH($B987,MASTER_JAM!$Q$5:$Q$28,0)&lt;=12,"DS","NS")))</f>
        <v/>
      </c>
      <c r="I987" s="157">
        <f>IFERROR(INDEX(MASTER_JAM!$B$5:$B$94,MATCH($C987,MASTER_JAM!$A$5:$A$94,0)),"")</f>
        <v/>
      </c>
      <c r="J987" s="157">
        <f>IFERROR(INDEX(MASTER_JAM!$E$5:$E$94,MATCH($D987,MASTER_JAM!$A$5:$A$94,0)),"")</f>
        <v/>
      </c>
      <c r="K987" s="158">
        <f>IFERROR(INDEX(MASTER_JAM!$J$5:$O$12,MATCH($E987,MASTER_JAM!$I$5:$I$12,0),MATCH($J987,MASTER_JAM!$J$4:$O$4,0))+0,0)</f>
        <v/>
      </c>
      <c r="L987" s="159">
        <f>N($F987)*$K987</f>
        <v/>
      </c>
      <c r="M987" s="157">
        <f>IF($E987="","",IF(OR($E987="Coal",$E987="Dirty Coal"),"MT","BCM"))</f>
        <v/>
      </c>
      <c r="N987" s="157">
        <f>IF($E987="","",IF(OR($E987="Coal",$E987="Dirty Coal"),"Coal","OB"))</f>
        <v/>
      </c>
      <c r="O987" s="157">
        <f>IF($F987="","",IF(COUNTIF(MASTER_JAM!$A$5:$A$94,$C987)=0,"Digger tidak dikenal",IF($J987="","Hauler tidak dikenal",IF($H987="?","Jam salah",IF($K987=0,"Faktor kosong",IF(SUMIFS(INPUT_DELAY!$E$5:$E$20000,INPUT_DELAY!$A$5:$A$20000,$A987,INPUT_DELAY!$B$5:$B$20000,$B987,INPUT_DELAY!$C$5:$C$20000,$C987)+SUMIFS(INPUT_DELAY!$E$5:$E$20000,INPUT_DELAY!$A$5:$A$20000,$A987,INPUT_DELAY!$B$5:$B$20000,$B987,INPUT_DELAY!$C$5:$C$20000,"SEMUA")&gt;=60,"Delay 60 mnt tapi ada ritase","OK"))))))</f>
        <v/>
      </c>
      <c r="P987" s="158">
        <f>IFERROR(INDEX(MASTER_JAM!$Z$5:$AC$10,MATCH($I987,MASTER_JAM!$Y$5:$Y$10,0),MATCH($J987,MASTER_JAM!$Z$4:$AC$4,0))+0,0)</f>
        <v/>
      </c>
      <c r="Q987" s="158">
        <f>IF($P987=0,0,$P987+IFERROR(INDEX(MASTER_JAM!$H$5:$H$94,MATCH($C987,MASTER_JAM!$A$5:$A$94,0))+0,MASTER_JAM!$AC$15)/1000*(60/MASTER_JAM!$AC$12+60/MASTER_JAM!$AC$13)+MASTER_JAM!$AC$14)</f>
        <v/>
      </c>
      <c r="R987" s="158">
        <f>IF(N($F987)=0,0,$F987/SUMIFS(INPUT_RITASE!$F$5:$F$20000,INPUT_RITASE!$A$5:$A$20000,$A987,INPUT_RITASE!$B$5:$B$20000,$B987,INPUT_RITASE!$C$5:$C$20000,$C987,INPUT_RITASE!$D$5:$D$20000,$D987))</f>
        <v/>
      </c>
      <c r="S987" s="158">
        <f>IF($Q987=0,0,$R987*$P987/$Q987)</f>
        <v/>
      </c>
    </row>
    <row r="988">
      <c r="A988" s="155" t="n">
        <v>46107</v>
      </c>
      <c r="B988" s="156" t="inlineStr">
        <is>
          <t>09-10</t>
        </is>
      </c>
      <c r="C988" s="156" t="inlineStr">
        <is>
          <t>EX-2101</t>
        </is>
      </c>
      <c r="D988" s="156" t="inlineStr">
        <is>
          <t>DT-508</t>
        </is>
      </c>
      <c r="E988" s="156" t="inlineStr">
        <is>
          <t>OB</t>
        </is>
      </c>
      <c r="F988" s="156" t="n">
        <v>3</v>
      </c>
      <c r="G988" s="156" t="inlineStr"/>
      <c r="H988" s="157">
        <f>IF($B988="","",IF(ISNA(MATCH($B988,MASTER_JAM!$Q$5:$Q$28,0)),"?",IF(MATCH($B988,MASTER_JAM!$Q$5:$Q$28,0)&lt;=12,"DS","NS")))</f>
        <v/>
      </c>
      <c r="I988" s="157">
        <f>IFERROR(INDEX(MASTER_JAM!$B$5:$B$94,MATCH($C988,MASTER_JAM!$A$5:$A$94,0)),"")</f>
        <v/>
      </c>
      <c r="J988" s="157">
        <f>IFERROR(INDEX(MASTER_JAM!$E$5:$E$94,MATCH($D988,MASTER_JAM!$A$5:$A$94,0)),"")</f>
        <v/>
      </c>
      <c r="K988" s="158">
        <f>IFERROR(INDEX(MASTER_JAM!$J$5:$O$12,MATCH($E988,MASTER_JAM!$I$5:$I$12,0),MATCH($J988,MASTER_JAM!$J$4:$O$4,0))+0,0)</f>
        <v/>
      </c>
      <c r="L988" s="159">
        <f>N($F988)*$K988</f>
        <v/>
      </c>
      <c r="M988" s="157">
        <f>IF($E988="","",IF(OR($E988="Coal",$E988="Dirty Coal"),"MT","BCM"))</f>
        <v/>
      </c>
      <c r="N988" s="157">
        <f>IF($E988="","",IF(OR($E988="Coal",$E988="Dirty Coal"),"Coal","OB"))</f>
        <v/>
      </c>
      <c r="O988" s="157">
        <f>IF($F988="","",IF(COUNTIF(MASTER_JAM!$A$5:$A$94,$C988)=0,"Digger tidak dikenal",IF($J988="","Hauler tidak dikenal",IF($H988="?","Jam salah",IF($K988=0,"Faktor kosong",IF(SUMIFS(INPUT_DELAY!$E$5:$E$20000,INPUT_DELAY!$A$5:$A$20000,$A988,INPUT_DELAY!$B$5:$B$20000,$B988,INPUT_DELAY!$C$5:$C$20000,$C988)+SUMIFS(INPUT_DELAY!$E$5:$E$20000,INPUT_DELAY!$A$5:$A$20000,$A988,INPUT_DELAY!$B$5:$B$20000,$B988,INPUT_DELAY!$C$5:$C$20000,"SEMUA")&gt;=60,"Delay 60 mnt tapi ada ritase","OK"))))))</f>
        <v/>
      </c>
      <c r="P988" s="158">
        <f>IFERROR(INDEX(MASTER_JAM!$Z$5:$AC$10,MATCH($I988,MASTER_JAM!$Y$5:$Y$10,0),MATCH($J988,MASTER_JAM!$Z$4:$AC$4,0))+0,0)</f>
        <v/>
      </c>
      <c r="Q988" s="158">
        <f>IF($P988=0,0,$P988+IFERROR(INDEX(MASTER_JAM!$H$5:$H$94,MATCH($C988,MASTER_JAM!$A$5:$A$94,0))+0,MASTER_JAM!$AC$15)/1000*(60/MASTER_JAM!$AC$12+60/MASTER_JAM!$AC$13)+MASTER_JAM!$AC$14)</f>
        <v/>
      </c>
      <c r="R988" s="158">
        <f>IF(N($F988)=0,0,$F988/SUMIFS(INPUT_RITASE!$F$5:$F$20000,INPUT_RITASE!$A$5:$A$20000,$A988,INPUT_RITASE!$B$5:$B$20000,$B988,INPUT_RITASE!$C$5:$C$20000,$C988,INPUT_RITASE!$D$5:$D$20000,$D988))</f>
        <v/>
      </c>
      <c r="S988" s="158">
        <f>IF($Q988=0,0,$R988*$P988/$Q988)</f>
        <v/>
      </c>
    </row>
    <row r="989">
      <c r="A989" s="155" t="n">
        <v>46107</v>
      </c>
      <c r="B989" s="156" t="inlineStr">
        <is>
          <t>09-10</t>
        </is>
      </c>
      <c r="C989" s="156" t="inlineStr">
        <is>
          <t>EX-2101</t>
        </is>
      </c>
      <c r="D989" s="156" t="inlineStr">
        <is>
          <t>HD-901</t>
        </is>
      </c>
      <c r="E989" s="156" t="inlineStr">
        <is>
          <t>OB</t>
        </is>
      </c>
      <c r="F989" s="156" t="n">
        <v>4</v>
      </c>
      <c r="G989" s="156" t="inlineStr"/>
      <c r="H989" s="157">
        <f>IF($B989="","",IF(ISNA(MATCH($B989,MASTER_JAM!$Q$5:$Q$28,0)),"?",IF(MATCH($B989,MASTER_JAM!$Q$5:$Q$28,0)&lt;=12,"DS","NS")))</f>
        <v/>
      </c>
      <c r="I989" s="157">
        <f>IFERROR(INDEX(MASTER_JAM!$B$5:$B$94,MATCH($C989,MASTER_JAM!$A$5:$A$94,0)),"")</f>
        <v/>
      </c>
      <c r="J989" s="157">
        <f>IFERROR(INDEX(MASTER_JAM!$E$5:$E$94,MATCH($D989,MASTER_JAM!$A$5:$A$94,0)),"")</f>
        <v/>
      </c>
      <c r="K989" s="158">
        <f>IFERROR(INDEX(MASTER_JAM!$J$5:$O$12,MATCH($E989,MASTER_JAM!$I$5:$I$12,0),MATCH($J989,MASTER_JAM!$J$4:$O$4,0))+0,0)</f>
        <v/>
      </c>
      <c r="L989" s="159">
        <f>N($F989)*$K989</f>
        <v/>
      </c>
      <c r="M989" s="157">
        <f>IF($E989="","",IF(OR($E989="Coal",$E989="Dirty Coal"),"MT","BCM"))</f>
        <v/>
      </c>
      <c r="N989" s="157">
        <f>IF($E989="","",IF(OR($E989="Coal",$E989="Dirty Coal"),"Coal","OB"))</f>
        <v/>
      </c>
      <c r="O989" s="157">
        <f>IF($F989="","",IF(COUNTIF(MASTER_JAM!$A$5:$A$94,$C989)=0,"Digger tidak dikenal",IF($J989="","Hauler tidak dikenal",IF($H989="?","Jam salah",IF($K989=0,"Faktor kosong",IF(SUMIFS(INPUT_DELAY!$E$5:$E$20000,INPUT_DELAY!$A$5:$A$20000,$A989,INPUT_DELAY!$B$5:$B$20000,$B989,INPUT_DELAY!$C$5:$C$20000,$C989)+SUMIFS(INPUT_DELAY!$E$5:$E$20000,INPUT_DELAY!$A$5:$A$20000,$A989,INPUT_DELAY!$B$5:$B$20000,$B989,INPUT_DELAY!$C$5:$C$20000,"SEMUA")&gt;=60,"Delay 60 mnt tapi ada ritase","OK"))))))</f>
        <v/>
      </c>
      <c r="P989" s="158">
        <f>IFERROR(INDEX(MASTER_JAM!$Z$5:$AC$10,MATCH($I989,MASTER_JAM!$Y$5:$Y$10,0),MATCH($J989,MASTER_JAM!$Z$4:$AC$4,0))+0,0)</f>
        <v/>
      </c>
      <c r="Q989" s="158">
        <f>IF($P989=0,0,$P989+IFERROR(INDEX(MASTER_JAM!$H$5:$H$94,MATCH($C989,MASTER_JAM!$A$5:$A$94,0))+0,MASTER_JAM!$AC$15)/1000*(60/MASTER_JAM!$AC$12+60/MASTER_JAM!$AC$13)+MASTER_JAM!$AC$14)</f>
        <v/>
      </c>
      <c r="R989" s="158">
        <f>IF(N($F989)=0,0,$F989/SUMIFS(INPUT_RITASE!$F$5:$F$20000,INPUT_RITASE!$A$5:$A$20000,$A989,INPUT_RITASE!$B$5:$B$20000,$B989,INPUT_RITASE!$C$5:$C$20000,$C989,INPUT_RITASE!$D$5:$D$20000,$D989))</f>
        <v/>
      </c>
      <c r="S989" s="158">
        <f>IF($Q989=0,0,$R989*$P989/$Q989)</f>
        <v/>
      </c>
    </row>
    <row r="990">
      <c r="A990" s="155" t="n">
        <v>46107</v>
      </c>
      <c r="B990" s="156" t="inlineStr">
        <is>
          <t>09-10</t>
        </is>
      </c>
      <c r="C990" s="156" t="inlineStr">
        <is>
          <t>EX-2101</t>
        </is>
      </c>
      <c r="D990" s="156" t="inlineStr">
        <is>
          <t>HD-903</t>
        </is>
      </c>
      <c r="E990" s="156" t="inlineStr">
        <is>
          <t>OB</t>
        </is>
      </c>
      <c r="F990" s="156" t="n">
        <v>4</v>
      </c>
      <c r="G990" s="156" t="inlineStr"/>
      <c r="H990" s="157">
        <f>IF($B990="","",IF(ISNA(MATCH($B990,MASTER_JAM!$Q$5:$Q$28,0)),"?",IF(MATCH($B990,MASTER_JAM!$Q$5:$Q$28,0)&lt;=12,"DS","NS")))</f>
        <v/>
      </c>
      <c r="I990" s="157">
        <f>IFERROR(INDEX(MASTER_JAM!$B$5:$B$94,MATCH($C990,MASTER_JAM!$A$5:$A$94,0)),"")</f>
        <v/>
      </c>
      <c r="J990" s="157">
        <f>IFERROR(INDEX(MASTER_JAM!$E$5:$E$94,MATCH($D990,MASTER_JAM!$A$5:$A$94,0)),"")</f>
        <v/>
      </c>
      <c r="K990" s="158">
        <f>IFERROR(INDEX(MASTER_JAM!$J$5:$O$12,MATCH($E990,MASTER_JAM!$I$5:$I$12,0),MATCH($J990,MASTER_JAM!$J$4:$O$4,0))+0,0)</f>
        <v/>
      </c>
      <c r="L990" s="159">
        <f>N($F990)*$K990</f>
        <v/>
      </c>
      <c r="M990" s="157">
        <f>IF($E990="","",IF(OR($E990="Coal",$E990="Dirty Coal"),"MT","BCM"))</f>
        <v/>
      </c>
      <c r="N990" s="157">
        <f>IF($E990="","",IF(OR($E990="Coal",$E990="Dirty Coal"),"Coal","OB"))</f>
        <v/>
      </c>
      <c r="O990" s="157">
        <f>IF($F990="","",IF(COUNTIF(MASTER_JAM!$A$5:$A$94,$C990)=0,"Digger tidak dikenal",IF($J990="","Hauler tidak dikenal",IF($H990="?","Jam salah",IF($K990=0,"Faktor kosong",IF(SUMIFS(INPUT_DELAY!$E$5:$E$20000,INPUT_DELAY!$A$5:$A$20000,$A990,INPUT_DELAY!$B$5:$B$20000,$B990,INPUT_DELAY!$C$5:$C$20000,$C990)+SUMIFS(INPUT_DELAY!$E$5:$E$20000,INPUT_DELAY!$A$5:$A$20000,$A990,INPUT_DELAY!$B$5:$B$20000,$B990,INPUT_DELAY!$C$5:$C$20000,"SEMUA")&gt;=60,"Delay 60 mnt tapi ada ritase","OK"))))))</f>
        <v/>
      </c>
      <c r="P990" s="158">
        <f>IFERROR(INDEX(MASTER_JAM!$Z$5:$AC$10,MATCH($I990,MASTER_JAM!$Y$5:$Y$10,0),MATCH($J990,MASTER_JAM!$Z$4:$AC$4,0))+0,0)</f>
        <v/>
      </c>
      <c r="Q990" s="158">
        <f>IF($P990=0,0,$P990+IFERROR(INDEX(MASTER_JAM!$H$5:$H$94,MATCH($C990,MASTER_JAM!$A$5:$A$94,0))+0,MASTER_JAM!$AC$15)/1000*(60/MASTER_JAM!$AC$12+60/MASTER_JAM!$AC$13)+MASTER_JAM!$AC$14)</f>
        <v/>
      </c>
      <c r="R990" s="158">
        <f>IF(N($F990)=0,0,$F990/SUMIFS(INPUT_RITASE!$F$5:$F$20000,INPUT_RITASE!$A$5:$A$20000,$A990,INPUT_RITASE!$B$5:$B$20000,$B990,INPUT_RITASE!$C$5:$C$20000,$C990,INPUT_RITASE!$D$5:$D$20000,$D990))</f>
        <v/>
      </c>
      <c r="S990" s="158">
        <f>IF($Q990=0,0,$R990*$P990/$Q990)</f>
        <v/>
      </c>
    </row>
    <row r="991">
      <c r="A991" s="155" t="n">
        <v>46107</v>
      </c>
      <c r="B991" s="156" t="inlineStr">
        <is>
          <t>09-10</t>
        </is>
      </c>
      <c r="C991" s="156" t="inlineStr">
        <is>
          <t>EX-2101</t>
        </is>
      </c>
      <c r="D991" s="156" t="inlineStr">
        <is>
          <t>HD-904</t>
        </is>
      </c>
      <c r="E991" s="156" t="inlineStr">
        <is>
          <t>OB</t>
        </is>
      </c>
      <c r="F991" s="156" t="n">
        <v>4</v>
      </c>
      <c r="G991" s="156" t="inlineStr"/>
      <c r="H991" s="157">
        <f>IF($B991="","",IF(ISNA(MATCH($B991,MASTER_JAM!$Q$5:$Q$28,0)),"?",IF(MATCH($B991,MASTER_JAM!$Q$5:$Q$28,0)&lt;=12,"DS","NS")))</f>
        <v/>
      </c>
      <c r="I991" s="157">
        <f>IFERROR(INDEX(MASTER_JAM!$B$5:$B$94,MATCH($C991,MASTER_JAM!$A$5:$A$94,0)),"")</f>
        <v/>
      </c>
      <c r="J991" s="157">
        <f>IFERROR(INDEX(MASTER_JAM!$E$5:$E$94,MATCH($D991,MASTER_JAM!$A$5:$A$94,0)),"")</f>
        <v/>
      </c>
      <c r="K991" s="158">
        <f>IFERROR(INDEX(MASTER_JAM!$J$5:$O$12,MATCH($E991,MASTER_JAM!$I$5:$I$12,0),MATCH($J991,MASTER_JAM!$J$4:$O$4,0))+0,0)</f>
        <v/>
      </c>
      <c r="L991" s="159">
        <f>N($F991)*$K991</f>
        <v/>
      </c>
      <c r="M991" s="157">
        <f>IF($E991="","",IF(OR($E991="Coal",$E991="Dirty Coal"),"MT","BCM"))</f>
        <v/>
      </c>
      <c r="N991" s="157">
        <f>IF($E991="","",IF(OR($E991="Coal",$E991="Dirty Coal"),"Coal","OB"))</f>
        <v/>
      </c>
      <c r="O991" s="157">
        <f>IF($F991="","",IF(COUNTIF(MASTER_JAM!$A$5:$A$94,$C991)=0,"Digger tidak dikenal",IF($J991="","Hauler tidak dikenal",IF($H991="?","Jam salah",IF($K991=0,"Faktor kosong",IF(SUMIFS(INPUT_DELAY!$E$5:$E$20000,INPUT_DELAY!$A$5:$A$20000,$A991,INPUT_DELAY!$B$5:$B$20000,$B991,INPUT_DELAY!$C$5:$C$20000,$C991)+SUMIFS(INPUT_DELAY!$E$5:$E$20000,INPUT_DELAY!$A$5:$A$20000,$A991,INPUT_DELAY!$B$5:$B$20000,$B991,INPUT_DELAY!$C$5:$C$20000,"SEMUA")&gt;=60,"Delay 60 mnt tapi ada ritase","OK"))))))</f>
        <v/>
      </c>
      <c r="P991" s="158">
        <f>IFERROR(INDEX(MASTER_JAM!$Z$5:$AC$10,MATCH($I991,MASTER_JAM!$Y$5:$Y$10,0),MATCH($J991,MASTER_JAM!$Z$4:$AC$4,0))+0,0)</f>
        <v/>
      </c>
      <c r="Q991" s="158">
        <f>IF($P991=0,0,$P991+IFERROR(INDEX(MASTER_JAM!$H$5:$H$94,MATCH($C991,MASTER_JAM!$A$5:$A$94,0))+0,MASTER_JAM!$AC$15)/1000*(60/MASTER_JAM!$AC$12+60/MASTER_JAM!$AC$13)+MASTER_JAM!$AC$14)</f>
        <v/>
      </c>
      <c r="R991" s="158">
        <f>IF(N($F991)=0,0,$F991/SUMIFS(INPUT_RITASE!$F$5:$F$20000,INPUT_RITASE!$A$5:$A$20000,$A991,INPUT_RITASE!$B$5:$B$20000,$B991,INPUT_RITASE!$C$5:$C$20000,$C991,INPUT_RITASE!$D$5:$D$20000,$D991))</f>
        <v/>
      </c>
      <c r="S991" s="158">
        <f>IF($Q991=0,0,$R991*$P991/$Q991)</f>
        <v/>
      </c>
    </row>
    <row r="992">
      <c r="A992" s="155" t="n">
        <v>46107</v>
      </c>
      <c r="B992" s="156" t="inlineStr">
        <is>
          <t>10-11</t>
        </is>
      </c>
      <c r="C992" s="156" t="inlineStr">
        <is>
          <t>EX-2101</t>
        </is>
      </c>
      <c r="D992" s="156" t="inlineStr">
        <is>
          <t>HD-904</t>
        </is>
      </c>
      <c r="E992" s="156" t="inlineStr">
        <is>
          <t>OB</t>
        </is>
      </c>
      <c r="F992" s="156" t="n">
        <v>3</v>
      </c>
      <c r="G992" s="156" t="inlineStr"/>
      <c r="H992" s="157">
        <f>IF($B992="","",IF(ISNA(MATCH($B992,MASTER_JAM!$Q$5:$Q$28,0)),"?",IF(MATCH($B992,MASTER_JAM!$Q$5:$Q$28,0)&lt;=12,"DS","NS")))</f>
        <v/>
      </c>
      <c r="I992" s="157">
        <f>IFERROR(INDEX(MASTER_JAM!$B$5:$B$94,MATCH($C992,MASTER_JAM!$A$5:$A$94,0)),"")</f>
        <v/>
      </c>
      <c r="J992" s="157">
        <f>IFERROR(INDEX(MASTER_JAM!$E$5:$E$94,MATCH($D992,MASTER_JAM!$A$5:$A$94,0)),"")</f>
        <v/>
      </c>
      <c r="K992" s="158">
        <f>IFERROR(INDEX(MASTER_JAM!$J$5:$O$12,MATCH($E992,MASTER_JAM!$I$5:$I$12,0),MATCH($J992,MASTER_JAM!$J$4:$O$4,0))+0,0)</f>
        <v/>
      </c>
      <c r="L992" s="159">
        <f>N($F992)*$K992</f>
        <v/>
      </c>
      <c r="M992" s="157">
        <f>IF($E992="","",IF(OR($E992="Coal",$E992="Dirty Coal"),"MT","BCM"))</f>
        <v/>
      </c>
      <c r="N992" s="157">
        <f>IF($E992="","",IF(OR($E992="Coal",$E992="Dirty Coal"),"Coal","OB"))</f>
        <v/>
      </c>
      <c r="O992" s="157">
        <f>IF($F992="","",IF(COUNTIF(MASTER_JAM!$A$5:$A$94,$C992)=0,"Digger tidak dikenal",IF($J992="","Hauler tidak dikenal",IF($H992="?","Jam salah",IF($K992=0,"Faktor kosong",IF(SUMIFS(INPUT_DELAY!$E$5:$E$20000,INPUT_DELAY!$A$5:$A$20000,$A992,INPUT_DELAY!$B$5:$B$20000,$B992,INPUT_DELAY!$C$5:$C$20000,$C992)+SUMIFS(INPUT_DELAY!$E$5:$E$20000,INPUT_DELAY!$A$5:$A$20000,$A992,INPUT_DELAY!$B$5:$B$20000,$B992,INPUT_DELAY!$C$5:$C$20000,"SEMUA")&gt;=60,"Delay 60 mnt tapi ada ritase","OK"))))))</f>
        <v/>
      </c>
      <c r="P992" s="158">
        <f>IFERROR(INDEX(MASTER_JAM!$Z$5:$AC$10,MATCH($I992,MASTER_JAM!$Y$5:$Y$10,0),MATCH($J992,MASTER_JAM!$Z$4:$AC$4,0))+0,0)</f>
        <v/>
      </c>
      <c r="Q992" s="158">
        <f>IF($P992=0,0,$P992+IFERROR(INDEX(MASTER_JAM!$H$5:$H$94,MATCH($C992,MASTER_JAM!$A$5:$A$94,0))+0,MASTER_JAM!$AC$15)/1000*(60/MASTER_JAM!$AC$12+60/MASTER_JAM!$AC$13)+MASTER_JAM!$AC$14)</f>
        <v/>
      </c>
      <c r="R992" s="158">
        <f>IF(N($F992)=0,0,$F992/SUMIFS(INPUT_RITASE!$F$5:$F$20000,INPUT_RITASE!$A$5:$A$20000,$A992,INPUT_RITASE!$B$5:$B$20000,$B992,INPUT_RITASE!$C$5:$C$20000,$C992,INPUT_RITASE!$D$5:$D$20000,$D992))</f>
        <v/>
      </c>
      <c r="S992" s="158">
        <f>IF($Q992=0,0,$R992*$P992/$Q992)</f>
        <v/>
      </c>
    </row>
    <row r="993">
      <c r="A993" s="155" t="n">
        <v>46107</v>
      </c>
      <c r="B993" s="156" t="inlineStr">
        <is>
          <t>10-11</t>
        </is>
      </c>
      <c r="C993" s="156" t="inlineStr">
        <is>
          <t>EX-2101</t>
        </is>
      </c>
      <c r="D993" s="156" t="inlineStr">
        <is>
          <t>HD-901</t>
        </is>
      </c>
      <c r="E993" s="156" t="inlineStr">
        <is>
          <t>OB</t>
        </is>
      </c>
      <c r="F993" s="156" t="n">
        <v>3</v>
      </c>
      <c r="G993" s="156" t="inlineStr"/>
      <c r="H993" s="157">
        <f>IF($B993="","",IF(ISNA(MATCH($B993,MASTER_JAM!$Q$5:$Q$28,0)),"?",IF(MATCH($B993,MASTER_JAM!$Q$5:$Q$28,0)&lt;=12,"DS","NS")))</f>
        <v/>
      </c>
      <c r="I993" s="157">
        <f>IFERROR(INDEX(MASTER_JAM!$B$5:$B$94,MATCH($C993,MASTER_JAM!$A$5:$A$94,0)),"")</f>
        <v/>
      </c>
      <c r="J993" s="157">
        <f>IFERROR(INDEX(MASTER_JAM!$E$5:$E$94,MATCH($D993,MASTER_JAM!$A$5:$A$94,0)),"")</f>
        <v/>
      </c>
      <c r="K993" s="158">
        <f>IFERROR(INDEX(MASTER_JAM!$J$5:$O$12,MATCH($E993,MASTER_JAM!$I$5:$I$12,0),MATCH($J993,MASTER_JAM!$J$4:$O$4,0))+0,0)</f>
        <v/>
      </c>
      <c r="L993" s="159">
        <f>N($F993)*$K993</f>
        <v/>
      </c>
      <c r="M993" s="157">
        <f>IF($E993="","",IF(OR($E993="Coal",$E993="Dirty Coal"),"MT","BCM"))</f>
        <v/>
      </c>
      <c r="N993" s="157">
        <f>IF($E993="","",IF(OR($E993="Coal",$E993="Dirty Coal"),"Coal","OB"))</f>
        <v/>
      </c>
      <c r="O993" s="157">
        <f>IF($F993="","",IF(COUNTIF(MASTER_JAM!$A$5:$A$94,$C993)=0,"Digger tidak dikenal",IF($J993="","Hauler tidak dikenal",IF($H993="?","Jam salah",IF($K993=0,"Faktor kosong",IF(SUMIFS(INPUT_DELAY!$E$5:$E$20000,INPUT_DELAY!$A$5:$A$20000,$A993,INPUT_DELAY!$B$5:$B$20000,$B993,INPUT_DELAY!$C$5:$C$20000,$C993)+SUMIFS(INPUT_DELAY!$E$5:$E$20000,INPUT_DELAY!$A$5:$A$20000,$A993,INPUT_DELAY!$B$5:$B$20000,$B993,INPUT_DELAY!$C$5:$C$20000,"SEMUA")&gt;=60,"Delay 60 mnt tapi ada ritase","OK"))))))</f>
        <v/>
      </c>
      <c r="P993" s="158">
        <f>IFERROR(INDEX(MASTER_JAM!$Z$5:$AC$10,MATCH($I993,MASTER_JAM!$Y$5:$Y$10,0),MATCH($J993,MASTER_JAM!$Z$4:$AC$4,0))+0,0)</f>
        <v/>
      </c>
      <c r="Q993" s="158">
        <f>IF($P993=0,0,$P993+IFERROR(INDEX(MASTER_JAM!$H$5:$H$94,MATCH($C993,MASTER_JAM!$A$5:$A$94,0))+0,MASTER_JAM!$AC$15)/1000*(60/MASTER_JAM!$AC$12+60/MASTER_JAM!$AC$13)+MASTER_JAM!$AC$14)</f>
        <v/>
      </c>
      <c r="R993" s="158">
        <f>IF(N($F993)=0,0,$F993/SUMIFS(INPUT_RITASE!$F$5:$F$20000,INPUT_RITASE!$A$5:$A$20000,$A993,INPUT_RITASE!$B$5:$B$20000,$B993,INPUT_RITASE!$C$5:$C$20000,$C993,INPUT_RITASE!$D$5:$D$20000,$D993))</f>
        <v/>
      </c>
      <c r="S993" s="158">
        <f>IF($Q993=0,0,$R993*$P993/$Q993)</f>
        <v/>
      </c>
    </row>
    <row r="994">
      <c r="A994" s="155" t="n">
        <v>46107</v>
      </c>
      <c r="B994" s="156" t="inlineStr">
        <is>
          <t>10-11</t>
        </is>
      </c>
      <c r="C994" s="156" t="inlineStr">
        <is>
          <t>EX-2101</t>
        </is>
      </c>
      <c r="D994" s="156" t="inlineStr">
        <is>
          <t>HD-903</t>
        </is>
      </c>
      <c r="E994" s="156" t="inlineStr">
        <is>
          <t>OB</t>
        </is>
      </c>
      <c r="F994" s="156" t="n">
        <v>3</v>
      </c>
      <c r="G994" s="156" t="inlineStr"/>
      <c r="H994" s="157">
        <f>IF($B994="","",IF(ISNA(MATCH($B994,MASTER_JAM!$Q$5:$Q$28,0)),"?",IF(MATCH($B994,MASTER_JAM!$Q$5:$Q$28,0)&lt;=12,"DS","NS")))</f>
        <v/>
      </c>
      <c r="I994" s="157">
        <f>IFERROR(INDEX(MASTER_JAM!$B$5:$B$94,MATCH($C994,MASTER_JAM!$A$5:$A$94,0)),"")</f>
        <v/>
      </c>
      <c r="J994" s="157">
        <f>IFERROR(INDEX(MASTER_JAM!$E$5:$E$94,MATCH($D994,MASTER_JAM!$A$5:$A$94,0)),"")</f>
        <v/>
      </c>
      <c r="K994" s="158">
        <f>IFERROR(INDEX(MASTER_JAM!$J$5:$O$12,MATCH($E994,MASTER_JAM!$I$5:$I$12,0),MATCH($J994,MASTER_JAM!$J$4:$O$4,0))+0,0)</f>
        <v/>
      </c>
      <c r="L994" s="159">
        <f>N($F994)*$K994</f>
        <v/>
      </c>
      <c r="M994" s="157">
        <f>IF($E994="","",IF(OR($E994="Coal",$E994="Dirty Coal"),"MT","BCM"))</f>
        <v/>
      </c>
      <c r="N994" s="157">
        <f>IF($E994="","",IF(OR($E994="Coal",$E994="Dirty Coal"),"Coal","OB"))</f>
        <v/>
      </c>
      <c r="O994" s="157">
        <f>IF($F994="","",IF(COUNTIF(MASTER_JAM!$A$5:$A$94,$C994)=0,"Digger tidak dikenal",IF($J994="","Hauler tidak dikenal",IF($H994="?","Jam salah",IF($K994=0,"Faktor kosong",IF(SUMIFS(INPUT_DELAY!$E$5:$E$20000,INPUT_DELAY!$A$5:$A$20000,$A994,INPUT_DELAY!$B$5:$B$20000,$B994,INPUT_DELAY!$C$5:$C$20000,$C994)+SUMIFS(INPUT_DELAY!$E$5:$E$20000,INPUT_DELAY!$A$5:$A$20000,$A994,INPUT_DELAY!$B$5:$B$20000,$B994,INPUT_DELAY!$C$5:$C$20000,"SEMUA")&gt;=60,"Delay 60 mnt tapi ada ritase","OK"))))))</f>
        <v/>
      </c>
      <c r="P994" s="158">
        <f>IFERROR(INDEX(MASTER_JAM!$Z$5:$AC$10,MATCH($I994,MASTER_JAM!$Y$5:$Y$10,0),MATCH($J994,MASTER_JAM!$Z$4:$AC$4,0))+0,0)</f>
        <v/>
      </c>
      <c r="Q994" s="158">
        <f>IF($P994=0,0,$P994+IFERROR(INDEX(MASTER_JAM!$H$5:$H$94,MATCH($C994,MASTER_JAM!$A$5:$A$94,0))+0,MASTER_JAM!$AC$15)/1000*(60/MASTER_JAM!$AC$12+60/MASTER_JAM!$AC$13)+MASTER_JAM!$AC$14)</f>
        <v/>
      </c>
      <c r="R994" s="158">
        <f>IF(N($F994)=0,0,$F994/SUMIFS(INPUT_RITASE!$F$5:$F$20000,INPUT_RITASE!$A$5:$A$20000,$A994,INPUT_RITASE!$B$5:$B$20000,$B994,INPUT_RITASE!$C$5:$C$20000,$C994,INPUT_RITASE!$D$5:$D$20000,$D994))</f>
        <v/>
      </c>
      <c r="S994" s="158">
        <f>IF($Q994=0,0,$R994*$P994/$Q994)</f>
        <v/>
      </c>
    </row>
    <row r="995">
      <c r="A995" s="155" t="n">
        <v>46107</v>
      </c>
      <c r="B995" s="156" t="inlineStr">
        <is>
          <t>10-11</t>
        </is>
      </c>
      <c r="C995" s="156" t="inlineStr">
        <is>
          <t>EX-2101</t>
        </is>
      </c>
      <c r="D995" s="156" t="inlineStr">
        <is>
          <t>DT-513</t>
        </is>
      </c>
      <c r="E995" s="156" t="inlineStr">
        <is>
          <t>OB</t>
        </is>
      </c>
      <c r="F995" s="156" t="n">
        <v>3</v>
      </c>
      <c r="G995" s="156" t="inlineStr"/>
      <c r="H995" s="157">
        <f>IF($B995="","",IF(ISNA(MATCH($B995,MASTER_JAM!$Q$5:$Q$28,0)),"?",IF(MATCH($B995,MASTER_JAM!$Q$5:$Q$28,0)&lt;=12,"DS","NS")))</f>
        <v/>
      </c>
      <c r="I995" s="157">
        <f>IFERROR(INDEX(MASTER_JAM!$B$5:$B$94,MATCH($C995,MASTER_JAM!$A$5:$A$94,0)),"")</f>
        <v/>
      </c>
      <c r="J995" s="157">
        <f>IFERROR(INDEX(MASTER_JAM!$E$5:$E$94,MATCH($D995,MASTER_JAM!$A$5:$A$94,0)),"")</f>
        <v/>
      </c>
      <c r="K995" s="158">
        <f>IFERROR(INDEX(MASTER_JAM!$J$5:$O$12,MATCH($E995,MASTER_JAM!$I$5:$I$12,0),MATCH($J995,MASTER_JAM!$J$4:$O$4,0))+0,0)</f>
        <v/>
      </c>
      <c r="L995" s="159">
        <f>N($F995)*$K995</f>
        <v/>
      </c>
      <c r="M995" s="157">
        <f>IF($E995="","",IF(OR($E995="Coal",$E995="Dirty Coal"),"MT","BCM"))</f>
        <v/>
      </c>
      <c r="N995" s="157">
        <f>IF($E995="","",IF(OR($E995="Coal",$E995="Dirty Coal"),"Coal","OB"))</f>
        <v/>
      </c>
      <c r="O995" s="157">
        <f>IF($F995="","",IF(COUNTIF(MASTER_JAM!$A$5:$A$94,$C995)=0,"Digger tidak dikenal",IF($J995="","Hauler tidak dikenal",IF($H995="?","Jam salah",IF($K995=0,"Faktor kosong",IF(SUMIFS(INPUT_DELAY!$E$5:$E$20000,INPUT_DELAY!$A$5:$A$20000,$A995,INPUT_DELAY!$B$5:$B$20000,$B995,INPUT_DELAY!$C$5:$C$20000,$C995)+SUMIFS(INPUT_DELAY!$E$5:$E$20000,INPUT_DELAY!$A$5:$A$20000,$A995,INPUT_DELAY!$B$5:$B$20000,$B995,INPUT_DELAY!$C$5:$C$20000,"SEMUA")&gt;=60,"Delay 60 mnt tapi ada ritase","OK"))))))</f>
        <v/>
      </c>
      <c r="P995" s="158">
        <f>IFERROR(INDEX(MASTER_JAM!$Z$5:$AC$10,MATCH($I995,MASTER_JAM!$Y$5:$Y$10,0),MATCH($J995,MASTER_JAM!$Z$4:$AC$4,0))+0,0)</f>
        <v/>
      </c>
      <c r="Q995" s="158">
        <f>IF($P995=0,0,$P995+IFERROR(INDEX(MASTER_JAM!$H$5:$H$94,MATCH($C995,MASTER_JAM!$A$5:$A$94,0))+0,MASTER_JAM!$AC$15)/1000*(60/MASTER_JAM!$AC$12+60/MASTER_JAM!$AC$13)+MASTER_JAM!$AC$14)</f>
        <v/>
      </c>
      <c r="R995" s="158">
        <f>IF(N($F995)=0,0,$F995/SUMIFS(INPUT_RITASE!$F$5:$F$20000,INPUT_RITASE!$A$5:$A$20000,$A995,INPUT_RITASE!$B$5:$B$20000,$B995,INPUT_RITASE!$C$5:$C$20000,$C995,INPUT_RITASE!$D$5:$D$20000,$D995))</f>
        <v/>
      </c>
      <c r="S995" s="158">
        <f>IF($Q995=0,0,$R995*$P995/$Q995)</f>
        <v/>
      </c>
    </row>
    <row r="996">
      <c r="A996" s="155" t="n">
        <v>46107</v>
      </c>
      <c r="B996" s="156" t="inlineStr">
        <is>
          <t>10-11</t>
        </is>
      </c>
      <c r="C996" s="156" t="inlineStr">
        <is>
          <t>EX-2101</t>
        </is>
      </c>
      <c r="D996" s="156" t="inlineStr">
        <is>
          <t>DT-527</t>
        </is>
      </c>
      <c r="E996" s="156" t="inlineStr">
        <is>
          <t>OB</t>
        </is>
      </c>
      <c r="F996" s="156" t="n">
        <v>2</v>
      </c>
      <c r="G996" s="156" t="inlineStr"/>
      <c r="H996" s="157">
        <f>IF($B996="","",IF(ISNA(MATCH($B996,MASTER_JAM!$Q$5:$Q$28,0)),"?",IF(MATCH($B996,MASTER_JAM!$Q$5:$Q$28,0)&lt;=12,"DS","NS")))</f>
        <v/>
      </c>
      <c r="I996" s="157">
        <f>IFERROR(INDEX(MASTER_JAM!$B$5:$B$94,MATCH($C996,MASTER_JAM!$A$5:$A$94,0)),"")</f>
        <v/>
      </c>
      <c r="J996" s="157">
        <f>IFERROR(INDEX(MASTER_JAM!$E$5:$E$94,MATCH($D996,MASTER_JAM!$A$5:$A$94,0)),"")</f>
        <v/>
      </c>
      <c r="K996" s="158">
        <f>IFERROR(INDEX(MASTER_JAM!$J$5:$O$12,MATCH($E996,MASTER_JAM!$I$5:$I$12,0),MATCH($J996,MASTER_JAM!$J$4:$O$4,0))+0,0)</f>
        <v/>
      </c>
      <c r="L996" s="159">
        <f>N($F996)*$K996</f>
        <v/>
      </c>
      <c r="M996" s="157">
        <f>IF($E996="","",IF(OR($E996="Coal",$E996="Dirty Coal"),"MT","BCM"))</f>
        <v/>
      </c>
      <c r="N996" s="157">
        <f>IF($E996="","",IF(OR($E996="Coal",$E996="Dirty Coal"),"Coal","OB"))</f>
        <v/>
      </c>
      <c r="O996" s="157">
        <f>IF($F996="","",IF(COUNTIF(MASTER_JAM!$A$5:$A$94,$C996)=0,"Digger tidak dikenal",IF($J996="","Hauler tidak dikenal",IF($H996="?","Jam salah",IF($K996=0,"Faktor kosong",IF(SUMIFS(INPUT_DELAY!$E$5:$E$20000,INPUT_DELAY!$A$5:$A$20000,$A996,INPUT_DELAY!$B$5:$B$20000,$B996,INPUT_DELAY!$C$5:$C$20000,$C996)+SUMIFS(INPUT_DELAY!$E$5:$E$20000,INPUT_DELAY!$A$5:$A$20000,$A996,INPUT_DELAY!$B$5:$B$20000,$B996,INPUT_DELAY!$C$5:$C$20000,"SEMUA")&gt;=60,"Delay 60 mnt tapi ada ritase","OK"))))))</f>
        <v/>
      </c>
      <c r="P996" s="158">
        <f>IFERROR(INDEX(MASTER_JAM!$Z$5:$AC$10,MATCH($I996,MASTER_JAM!$Y$5:$Y$10,0),MATCH($J996,MASTER_JAM!$Z$4:$AC$4,0))+0,0)</f>
        <v/>
      </c>
      <c r="Q996" s="158">
        <f>IF($P996=0,0,$P996+IFERROR(INDEX(MASTER_JAM!$H$5:$H$94,MATCH($C996,MASTER_JAM!$A$5:$A$94,0))+0,MASTER_JAM!$AC$15)/1000*(60/MASTER_JAM!$AC$12+60/MASTER_JAM!$AC$13)+MASTER_JAM!$AC$14)</f>
        <v/>
      </c>
      <c r="R996" s="158">
        <f>IF(N($F996)=0,0,$F996/SUMIFS(INPUT_RITASE!$F$5:$F$20000,INPUT_RITASE!$A$5:$A$20000,$A996,INPUT_RITASE!$B$5:$B$20000,$B996,INPUT_RITASE!$C$5:$C$20000,$C996,INPUT_RITASE!$D$5:$D$20000,$D996))</f>
        <v/>
      </c>
      <c r="S996" s="158">
        <f>IF($Q996=0,0,$R996*$P996/$Q996)</f>
        <v/>
      </c>
    </row>
    <row r="997">
      <c r="A997" s="155" t="n">
        <v>46107</v>
      </c>
      <c r="B997" s="156" t="inlineStr">
        <is>
          <t>11-12</t>
        </is>
      </c>
      <c r="C997" s="156" t="inlineStr">
        <is>
          <t>EX-2101</t>
        </is>
      </c>
      <c r="D997" s="156" t="inlineStr">
        <is>
          <t>HD-901</t>
        </is>
      </c>
      <c r="E997" s="156" t="inlineStr">
        <is>
          <t>OB</t>
        </is>
      </c>
      <c r="F997" s="156" t="n">
        <v>4</v>
      </c>
      <c r="G997" s="156" t="inlineStr"/>
      <c r="H997" s="157">
        <f>IF($B997="","",IF(ISNA(MATCH($B997,MASTER_JAM!$Q$5:$Q$28,0)),"?",IF(MATCH($B997,MASTER_JAM!$Q$5:$Q$28,0)&lt;=12,"DS","NS")))</f>
        <v/>
      </c>
      <c r="I997" s="157">
        <f>IFERROR(INDEX(MASTER_JAM!$B$5:$B$94,MATCH($C997,MASTER_JAM!$A$5:$A$94,0)),"")</f>
        <v/>
      </c>
      <c r="J997" s="157">
        <f>IFERROR(INDEX(MASTER_JAM!$E$5:$E$94,MATCH($D997,MASTER_JAM!$A$5:$A$94,0)),"")</f>
        <v/>
      </c>
      <c r="K997" s="158">
        <f>IFERROR(INDEX(MASTER_JAM!$J$5:$O$12,MATCH($E997,MASTER_JAM!$I$5:$I$12,0),MATCH($J997,MASTER_JAM!$J$4:$O$4,0))+0,0)</f>
        <v/>
      </c>
      <c r="L997" s="159">
        <f>N($F997)*$K997</f>
        <v/>
      </c>
      <c r="M997" s="157">
        <f>IF($E997="","",IF(OR($E997="Coal",$E997="Dirty Coal"),"MT","BCM"))</f>
        <v/>
      </c>
      <c r="N997" s="157">
        <f>IF($E997="","",IF(OR($E997="Coal",$E997="Dirty Coal"),"Coal","OB"))</f>
        <v/>
      </c>
      <c r="O997" s="157">
        <f>IF($F997="","",IF(COUNTIF(MASTER_JAM!$A$5:$A$94,$C997)=0,"Digger tidak dikenal",IF($J997="","Hauler tidak dikenal",IF($H997="?","Jam salah",IF($K997=0,"Faktor kosong",IF(SUMIFS(INPUT_DELAY!$E$5:$E$20000,INPUT_DELAY!$A$5:$A$20000,$A997,INPUT_DELAY!$B$5:$B$20000,$B997,INPUT_DELAY!$C$5:$C$20000,$C997)+SUMIFS(INPUT_DELAY!$E$5:$E$20000,INPUT_DELAY!$A$5:$A$20000,$A997,INPUT_DELAY!$B$5:$B$20000,$B997,INPUT_DELAY!$C$5:$C$20000,"SEMUA")&gt;=60,"Delay 60 mnt tapi ada ritase","OK"))))))</f>
        <v/>
      </c>
      <c r="P997" s="158">
        <f>IFERROR(INDEX(MASTER_JAM!$Z$5:$AC$10,MATCH($I997,MASTER_JAM!$Y$5:$Y$10,0),MATCH($J997,MASTER_JAM!$Z$4:$AC$4,0))+0,0)</f>
        <v/>
      </c>
      <c r="Q997" s="158">
        <f>IF($P997=0,0,$P997+IFERROR(INDEX(MASTER_JAM!$H$5:$H$94,MATCH($C997,MASTER_JAM!$A$5:$A$94,0))+0,MASTER_JAM!$AC$15)/1000*(60/MASTER_JAM!$AC$12+60/MASTER_JAM!$AC$13)+MASTER_JAM!$AC$14)</f>
        <v/>
      </c>
      <c r="R997" s="158">
        <f>IF(N($F997)=0,0,$F997/SUMIFS(INPUT_RITASE!$F$5:$F$20000,INPUT_RITASE!$A$5:$A$20000,$A997,INPUT_RITASE!$B$5:$B$20000,$B997,INPUT_RITASE!$C$5:$C$20000,$C997,INPUT_RITASE!$D$5:$D$20000,$D997))</f>
        <v/>
      </c>
      <c r="S997" s="158">
        <f>IF($Q997=0,0,$R997*$P997/$Q997)</f>
        <v/>
      </c>
    </row>
    <row r="998">
      <c r="A998" s="155" t="n">
        <v>46107</v>
      </c>
      <c r="B998" s="156" t="inlineStr">
        <is>
          <t>11-12</t>
        </is>
      </c>
      <c r="C998" s="156" t="inlineStr">
        <is>
          <t>EX-2101</t>
        </is>
      </c>
      <c r="D998" s="156" t="inlineStr">
        <is>
          <t>HD-903</t>
        </is>
      </c>
      <c r="E998" s="156" t="inlineStr">
        <is>
          <t>OB</t>
        </is>
      </c>
      <c r="F998" s="156" t="n">
        <v>3</v>
      </c>
      <c r="G998" s="156" t="inlineStr"/>
      <c r="H998" s="157">
        <f>IF($B998="","",IF(ISNA(MATCH($B998,MASTER_JAM!$Q$5:$Q$28,0)),"?",IF(MATCH($B998,MASTER_JAM!$Q$5:$Q$28,0)&lt;=12,"DS","NS")))</f>
        <v/>
      </c>
      <c r="I998" s="157">
        <f>IFERROR(INDEX(MASTER_JAM!$B$5:$B$94,MATCH($C998,MASTER_JAM!$A$5:$A$94,0)),"")</f>
        <v/>
      </c>
      <c r="J998" s="157">
        <f>IFERROR(INDEX(MASTER_JAM!$E$5:$E$94,MATCH($D998,MASTER_JAM!$A$5:$A$94,0)),"")</f>
        <v/>
      </c>
      <c r="K998" s="158">
        <f>IFERROR(INDEX(MASTER_JAM!$J$5:$O$12,MATCH($E998,MASTER_JAM!$I$5:$I$12,0),MATCH($J998,MASTER_JAM!$J$4:$O$4,0))+0,0)</f>
        <v/>
      </c>
      <c r="L998" s="159">
        <f>N($F998)*$K998</f>
        <v/>
      </c>
      <c r="M998" s="157">
        <f>IF($E998="","",IF(OR($E998="Coal",$E998="Dirty Coal"),"MT","BCM"))</f>
        <v/>
      </c>
      <c r="N998" s="157">
        <f>IF($E998="","",IF(OR($E998="Coal",$E998="Dirty Coal"),"Coal","OB"))</f>
        <v/>
      </c>
      <c r="O998" s="157">
        <f>IF($F998="","",IF(COUNTIF(MASTER_JAM!$A$5:$A$94,$C998)=0,"Digger tidak dikenal",IF($J998="","Hauler tidak dikenal",IF($H998="?","Jam salah",IF($K998=0,"Faktor kosong",IF(SUMIFS(INPUT_DELAY!$E$5:$E$20000,INPUT_DELAY!$A$5:$A$20000,$A998,INPUT_DELAY!$B$5:$B$20000,$B998,INPUT_DELAY!$C$5:$C$20000,$C998)+SUMIFS(INPUT_DELAY!$E$5:$E$20000,INPUT_DELAY!$A$5:$A$20000,$A998,INPUT_DELAY!$B$5:$B$20000,$B998,INPUT_DELAY!$C$5:$C$20000,"SEMUA")&gt;=60,"Delay 60 mnt tapi ada ritase","OK"))))))</f>
        <v/>
      </c>
      <c r="P998" s="158">
        <f>IFERROR(INDEX(MASTER_JAM!$Z$5:$AC$10,MATCH($I998,MASTER_JAM!$Y$5:$Y$10,0),MATCH($J998,MASTER_JAM!$Z$4:$AC$4,0))+0,0)</f>
        <v/>
      </c>
      <c r="Q998" s="158">
        <f>IF($P998=0,0,$P998+IFERROR(INDEX(MASTER_JAM!$H$5:$H$94,MATCH($C998,MASTER_JAM!$A$5:$A$94,0))+0,MASTER_JAM!$AC$15)/1000*(60/MASTER_JAM!$AC$12+60/MASTER_JAM!$AC$13)+MASTER_JAM!$AC$14)</f>
        <v/>
      </c>
      <c r="R998" s="158">
        <f>IF(N($F998)=0,0,$F998/SUMIFS(INPUT_RITASE!$F$5:$F$20000,INPUT_RITASE!$A$5:$A$20000,$A998,INPUT_RITASE!$B$5:$B$20000,$B998,INPUT_RITASE!$C$5:$C$20000,$C998,INPUT_RITASE!$D$5:$D$20000,$D998))</f>
        <v/>
      </c>
      <c r="S998" s="158">
        <f>IF($Q998=0,0,$R998*$P998/$Q998)</f>
        <v/>
      </c>
    </row>
    <row r="999">
      <c r="A999" s="155" t="n">
        <v>46107</v>
      </c>
      <c r="B999" s="156" t="inlineStr">
        <is>
          <t>11-12</t>
        </is>
      </c>
      <c r="C999" s="156" t="inlineStr">
        <is>
          <t>EX-2101</t>
        </is>
      </c>
      <c r="D999" s="156" t="inlineStr">
        <is>
          <t>DT-503</t>
        </is>
      </c>
      <c r="E999" s="156" t="inlineStr">
        <is>
          <t>OB</t>
        </is>
      </c>
      <c r="F999" s="156" t="n">
        <v>3</v>
      </c>
      <c r="G999" s="156" t="inlineStr"/>
      <c r="H999" s="157">
        <f>IF($B999="","",IF(ISNA(MATCH($B999,MASTER_JAM!$Q$5:$Q$28,0)),"?",IF(MATCH($B999,MASTER_JAM!$Q$5:$Q$28,0)&lt;=12,"DS","NS")))</f>
        <v/>
      </c>
      <c r="I999" s="157">
        <f>IFERROR(INDEX(MASTER_JAM!$B$5:$B$94,MATCH($C999,MASTER_JAM!$A$5:$A$94,0)),"")</f>
        <v/>
      </c>
      <c r="J999" s="157">
        <f>IFERROR(INDEX(MASTER_JAM!$E$5:$E$94,MATCH($D999,MASTER_JAM!$A$5:$A$94,0)),"")</f>
        <v/>
      </c>
      <c r="K999" s="158">
        <f>IFERROR(INDEX(MASTER_JAM!$J$5:$O$12,MATCH($E999,MASTER_JAM!$I$5:$I$12,0),MATCH($J999,MASTER_JAM!$J$4:$O$4,0))+0,0)</f>
        <v/>
      </c>
      <c r="L999" s="159">
        <f>N($F999)*$K999</f>
        <v/>
      </c>
      <c r="M999" s="157">
        <f>IF($E999="","",IF(OR($E999="Coal",$E999="Dirty Coal"),"MT","BCM"))</f>
        <v/>
      </c>
      <c r="N999" s="157">
        <f>IF($E999="","",IF(OR($E999="Coal",$E999="Dirty Coal"),"Coal","OB"))</f>
        <v/>
      </c>
      <c r="O999" s="157">
        <f>IF($F999="","",IF(COUNTIF(MASTER_JAM!$A$5:$A$94,$C999)=0,"Digger tidak dikenal",IF($J999="","Hauler tidak dikenal",IF($H999="?","Jam salah",IF($K999=0,"Faktor kosong",IF(SUMIFS(INPUT_DELAY!$E$5:$E$20000,INPUT_DELAY!$A$5:$A$20000,$A999,INPUT_DELAY!$B$5:$B$20000,$B999,INPUT_DELAY!$C$5:$C$20000,$C999)+SUMIFS(INPUT_DELAY!$E$5:$E$20000,INPUT_DELAY!$A$5:$A$20000,$A999,INPUT_DELAY!$B$5:$B$20000,$B999,INPUT_DELAY!$C$5:$C$20000,"SEMUA")&gt;=60,"Delay 60 mnt tapi ada ritase","OK"))))))</f>
        <v/>
      </c>
      <c r="P999" s="158">
        <f>IFERROR(INDEX(MASTER_JAM!$Z$5:$AC$10,MATCH($I999,MASTER_JAM!$Y$5:$Y$10,0),MATCH($J999,MASTER_JAM!$Z$4:$AC$4,0))+0,0)</f>
        <v/>
      </c>
      <c r="Q999" s="158">
        <f>IF($P999=0,0,$P999+IFERROR(INDEX(MASTER_JAM!$H$5:$H$94,MATCH($C999,MASTER_JAM!$A$5:$A$94,0))+0,MASTER_JAM!$AC$15)/1000*(60/MASTER_JAM!$AC$12+60/MASTER_JAM!$AC$13)+MASTER_JAM!$AC$14)</f>
        <v/>
      </c>
      <c r="R999" s="158">
        <f>IF(N($F999)=0,0,$F999/SUMIFS(INPUT_RITASE!$F$5:$F$20000,INPUT_RITASE!$A$5:$A$20000,$A999,INPUT_RITASE!$B$5:$B$20000,$B999,INPUT_RITASE!$C$5:$C$20000,$C999,INPUT_RITASE!$D$5:$D$20000,$D999))</f>
        <v/>
      </c>
      <c r="S999" s="158">
        <f>IF($Q999=0,0,$R999*$P999/$Q999)</f>
        <v/>
      </c>
    </row>
    <row r="1000">
      <c r="A1000" s="155" t="n">
        <v>46107</v>
      </c>
      <c r="B1000" s="156" t="inlineStr">
        <is>
          <t>11-12</t>
        </is>
      </c>
      <c r="C1000" s="156" t="inlineStr">
        <is>
          <t>EX-2101</t>
        </is>
      </c>
      <c r="D1000" s="156" t="inlineStr">
        <is>
          <t>DT-518</t>
        </is>
      </c>
      <c r="E1000" s="156" t="inlineStr">
        <is>
          <t>OB</t>
        </is>
      </c>
      <c r="F1000" s="156" t="n">
        <v>3</v>
      </c>
      <c r="G1000" s="156" t="inlineStr"/>
      <c r="H1000" s="157">
        <f>IF($B1000="","",IF(ISNA(MATCH($B1000,MASTER_JAM!$Q$5:$Q$28,0)),"?",IF(MATCH($B1000,MASTER_JAM!$Q$5:$Q$28,0)&lt;=12,"DS","NS")))</f>
        <v/>
      </c>
      <c r="I1000" s="157">
        <f>IFERROR(INDEX(MASTER_JAM!$B$5:$B$94,MATCH($C1000,MASTER_JAM!$A$5:$A$94,0)),"")</f>
        <v/>
      </c>
      <c r="J1000" s="157">
        <f>IFERROR(INDEX(MASTER_JAM!$E$5:$E$94,MATCH($D1000,MASTER_JAM!$A$5:$A$94,0)),"")</f>
        <v/>
      </c>
      <c r="K1000" s="158">
        <f>IFERROR(INDEX(MASTER_JAM!$J$5:$O$12,MATCH($E1000,MASTER_JAM!$I$5:$I$12,0),MATCH($J1000,MASTER_JAM!$J$4:$O$4,0))+0,0)</f>
        <v/>
      </c>
      <c r="L1000" s="159">
        <f>N($F1000)*$K1000</f>
        <v/>
      </c>
      <c r="M1000" s="157">
        <f>IF($E1000="","",IF(OR($E1000="Coal",$E1000="Dirty Coal"),"MT","BCM"))</f>
        <v/>
      </c>
      <c r="N1000" s="157">
        <f>IF($E1000="","",IF(OR($E1000="Coal",$E1000="Dirty Coal"),"Coal","OB"))</f>
        <v/>
      </c>
      <c r="O1000" s="157">
        <f>IF($F1000="","",IF(COUNTIF(MASTER_JAM!$A$5:$A$94,$C1000)=0,"Digger tidak dikenal",IF($J1000="","Hauler tidak dikenal",IF($H1000="?","Jam salah",IF($K1000=0,"Faktor kosong",IF(SUMIFS(INPUT_DELAY!$E$5:$E$20000,INPUT_DELAY!$A$5:$A$20000,$A1000,INPUT_DELAY!$B$5:$B$20000,$B1000,INPUT_DELAY!$C$5:$C$20000,$C1000)+SUMIFS(INPUT_DELAY!$E$5:$E$20000,INPUT_DELAY!$A$5:$A$20000,$A1000,INPUT_DELAY!$B$5:$B$20000,$B1000,INPUT_DELAY!$C$5:$C$20000,"SEMUA")&gt;=60,"Delay 60 mnt tapi ada ritase","OK"))))))</f>
        <v/>
      </c>
      <c r="P1000" s="158">
        <f>IFERROR(INDEX(MASTER_JAM!$Z$5:$AC$10,MATCH($I1000,MASTER_JAM!$Y$5:$Y$10,0),MATCH($J1000,MASTER_JAM!$Z$4:$AC$4,0))+0,0)</f>
        <v/>
      </c>
      <c r="Q1000" s="158">
        <f>IF($P1000=0,0,$P1000+IFERROR(INDEX(MASTER_JAM!$H$5:$H$94,MATCH($C1000,MASTER_JAM!$A$5:$A$94,0))+0,MASTER_JAM!$AC$15)/1000*(60/MASTER_JAM!$AC$12+60/MASTER_JAM!$AC$13)+MASTER_JAM!$AC$14)</f>
        <v/>
      </c>
      <c r="R1000" s="158">
        <f>IF(N($F1000)=0,0,$F1000/SUMIFS(INPUT_RITASE!$F$5:$F$20000,INPUT_RITASE!$A$5:$A$20000,$A1000,INPUT_RITASE!$B$5:$B$20000,$B1000,INPUT_RITASE!$C$5:$C$20000,$C1000,INPUT_RITASE!$D$5:$D$20000,$D1000))</f>
        <v/>
      </c>
      <c r="S1000" s="158">
        <f>IF($Q1000=0,0,$R1000*$P1000/$Q1000)</f>
        <v/>
      </c>
    </row>
    <row r="1001">
      <c r="A1001" s="155" t="n">
        <v>46107</v>
      </c>
      <c r="B1001" s="156" t="inlineStr">
        <is>
          <t>13-14</t>
        </is>
      </c>
      <c r="C1001" s="156" t="inlineStr">
        <is>
          <t>EX-2101</t>
        </is>
      </c>
      <c r="D1001" s="156" t="inlineStr">
        <is>
          <t>HD-904</t>
        </is>
      </c>
      <c r="E1001" s="156" t="inlineStr">
        <is>
          <t>OB</t>
        </is>
      </c>
      <c r="F1001" s="156" t="n">
        <v>4</v>
      </c>
      <c r="G1001" s="156" t="inlineStr"/>
      <c r="H1001" s="157">
        <f>IF($B1001="","",IF(ISNA(MATCH($B1001,MASTER_JAM!$Q$5:$Q$28,0)),"?",IF(MATCH($B1001,MASTER_JAM!$Q$5:$Q$28,0)&lt;=12,"DS","NS")))</f>
        <v/>
      </c>
      <c r="I1001" s="157">
        <f>IFERROR(INDEX(MASTER_JAM!$B$5:$B$94,MATCH($C1001,MASTER_JAM!$A$5:$A$94,0)),"")</f>
        <v/>
      </c>
      <c r="J1001" s="157">
        <f>IFERROR(INDEX(MASTER_JAM!$E$5:$E$94,MATCH($D1001,MASTER_JAM!$A$5:$A$94,0)),"")</f>
        <v/>
      </c>
      <c r="K1001" s="158">
        <f>IFERROR(INDEX(MASTER_JAM!$J$5:$O$12,MATCH($E1001,MASTER_JAM!$I$5:$I$12,0),MATCH($J1001,MASTER_JAM!$J$4:$O$4,0))+0,0)</f>
        <v/>
      </c>
      <c r="L1001" s="159">
        <f>N($F1001)*$K1001</f>
        <v/>
      </c>
      <c r="M1001" s="157">
        <f>IF($E1001="","",IF(OR($E1001="Coal",$E1001="Dirty Coal"),"MT","BCM"))</f>
        <v/>
      </c>
      <c r="N1001" s="157">
        <f>IF($E1001="","",IF(OR($E1001="Coal",$E1001="Dirty Coal"),"Coal","OB"))</f>
        <v/>
      </c>
      <c r="O1001" s="157">
        <f>IF($F1001="","",IF(COUNTIF(MASTER_JAM!$A$5:$A$94,$C1001)=0,"Digger tidak dikenal",IF($J1001="","Hauler tidak dikenal",IF($H1001="?","Jam salah",IF($K1001=0,"Faktor kosong",IF(SUMIFS(INPUT_DELAY!$E$5:$E$20000,INPUT_DELAY!$A$5:$A$20000,$A1001,INPUT_DELAY!$B$5:$B$20000,$B1001,INPUT_DELAY!$C$5:$C$20000,$C1001)+SUMIFS(INPUT_DELAY!$E$5:$E$20000,INPUT_DELAY!$A$5:$A$20000,$A1001,INPUT_DELAY!$B$5:$B$20000,$B1001,INPUT_DELAY!$C$5:$C$20000,"SEMUA")&gt;=60,"Delay 60 mnt tapi ada ritase","OK"))))))</f>
        <v/>
      </c>
      <c r="P1001" s="158">
        <f>IFERROR(INDEX(MASTER_JAM!$Z$5:$AC$10,MATCH($I1001,MASTER_JAM!$Y$5:$Y$10,0),MATCH($J1001,MASTER_JAM!$Z$4:$AC$4,0))+0,0)</f>
        <v/>
      </c>
      <c r="Q1001" s="158">
        <f>IF($P1001=0,0,$P1001+IFERROR(INDEX(MASTER_JAM!$H$5:$H$94,MATCH($C1001,MASTER_JAM!$A$5:$A$94,0))+0,MASTER_JAM!$AC$15)/1000*(60/MASTER_JAM!$AC$12+60/MASTER_JAM!$AC$13)+MASTER_JAM!$AC$14)</f>
        <v/>
      </c>
      <c r="R1001" s="158">
        <f>IF(N($F1001)=0,0,$F1001/SUMIFS(INPUT_RITASE!$F$5:$F$20000,INPUT_RITASE!$A$5:$A$20000,$A1001,INPUT_RITASE!$B$5:$B$20000,$B1001,INPUT_RITASE!$C$5:$C$20000,$C1001,INPUT_RITASE!$D$5:$D$20000,$D1001))</f>
        <v/>
      </c>
      <c r="S1001" s="158">
        <f>IF($Q1001=0,0,$R1001*$P1001/$Q1001)</f>
        <v/>
      </c>
    </row>
    <row r="1002">
      <c r="A1002" s="155" t="n">
        <v>46107</v>
      </c>
      <c r="B1002" s="156" t="inlineStr">
        <is>
          <t>13-14</t>
        </is>
      </c>
      <c r="C1002" s="156" t="inlineStr">
        <is>
          <t>EX-2101</t>
        </is>
      </c>
      <c r="D1002" s="156" t="inlineStr">
        <is>
          <t>HD-901</t>
        </is>
      </c>
      <c r="E1002" s="156" t="inlineStr">
        <is>
          <t>OB</t>
        </is>
      </c>
      <c r="F1002" s="156" t="n">
        <v>4</v>
      </c>
      <c r="G1002" s="156" t="inlineStr"/>
      <c r="H1002" s="157">
        <f>IF($B1002="","",IF(ISNA(MATCH($B1002,MASTER_JAM!$Q$5:$Q$28,0)),"?",IF(MATCH($B1002,MASTER_JAM!$Q$5:$Q$28,0)&lt;=12,"DS","NS")))</f>
        <v/>
      </c>
      <c r="I1002" s="157">
        <f>IFERROR(INDEX(MASTER_JAM!$B$5:$B$94,MATCH($C1002,MASTER_JAM!$A$5:$A$94,0)),"")</f>
        <v/>
      </c>
      <c r="J1002" s="157">
        <f>IFERROR(INDEX(MASTER_JAM!$E$5:$E$94,MATCH($D1002,MASTER_JAM!$A$5:$A$94,0)),"")</f>
        <v/>
      </c>
      <c r="K1002" s="158">
        <f>IFERROR(INDEX(MASTER_JAM!$J$5:$O$12,MATCH($E1002,MASTER_JAM!$I$5:$I$12,0),MATCH($J1002,MASTER_JAM!$J$4:$O$4,0))+0,0)</f>
        <v/>
      </c>
      <c r="L1002" s="159">
        <f>N($F1002)*$K1002</f>
        <v/>
      </c>
      <c r="M1002" s="157">
        <f>IF($E1002="","",IF(OR($E1002="Coal",$E1002="Dirty Coal"),"MT","BCM"))</f>
        <v/>
      </c>
      <c r="N1002" s="157">
        <f>IF($E1002="","",IF(OR($E1002="Coal",$E1002="Dirty Coal"),"Coal","OB"))</f>
        <v/>
      </c>
      <c r="O1002" s="157">
        <f>IF($F1002="","",IF(COUNTIF(MASTER_JAM!$A$5:$A$94,$C1002)=0,"Digger tidak dikenal",IF($J1002="","Hauler tidak dikenal",IF($H1002="?","Jam salah",IF($K1002=0,"Faktor kosong",IF(SUMIFS(INPUT_DELAY!$E$5:$E$20000,INPUT_DELAY!$A$5:$A$20000,$A1002,INPUT_DELAY!$B$5:$B$20000,$B1002,INPUT_DELAY!$C$5:$C$20000,$C1002)+SUMIFS(INPUT_DELAY!$E$5:$E$20000,INPUT_DELAY!$A$5:$A$20000,$A1002,INPUT_DELAY!$B$5:$B$20000,$B1002,INPUT_DELAY!$C$5:$C$20000,"SEMUA")&gt;=60,"Delay 60 mnt tapi ada ritase","OK"))))))</f>
        <v/>
      </c>
      <c r="P1002" s="158">
        <f>IFERROR(INDEX(MASTER_JAM!$Z$5:$AC$10,MATCH($I1002,MASTER_JAM!$Y$5:$Y$10,0),MATCH($J1002,MASTER_JAM!$Z$4:$AC$4,0))+0,0)</f>
        <v/>
      </c>
      <c r="Q1002" s="158">
        <f>IF($P1002=0,0,$P1002+IFERROR(INDEX(MASTER_JAM!$H$5:$H$94,MATCH($C1002,MASTER_JAM!$A$5:$A$94,0))+0,MASTER_JAM!$AC$15)/1000*(60/MASTER_JAM!$AC$12+60/MASTER_JAM!$AC$13)+MASTER_JAM!$AC$14)</f>
        <v/>
      </c>
      <c r="R1002" s="158">
        <f>IF(N($F1002)=0,0,$F1002/SUMIFS(INPUT_RITASE!$F$5:$F$20000,INPUT_RITASE!$A$5:$A$20000,$A1002,INPUT_RITASE!$B$5:$B$20000,$B1002,INPUT_RITASE!$C$5:$C$20000,$C1002,INPUT_RITASE!$D$5:$D$20000,$D1002))</f>
        <v/>
      </c>
      <c r="S1002" s="158">
        <f>IF($Q1002=0,0,$R1002*$P1002/$Q1002)</f>
        <v/>
      </c>
    </row>
    <row r="1003">
      <c r="A1003" s="155" t="n">
        <v>46107</v>
      </c>
      <c r="B1003" s="156" t="inlineStr">
        <is>
          <t>13-14</t>
        </is>
      </c>
      <c r="C1003" s="156" t="inlineStr">
        <is>
          <t>EX-2101</t>
        </is>
      </c>
      <c r="D1003" s="156" t="inlineStr">
        <is>
          <t>HD-903</t>
        </is>
      </c>
      <c r="E1003" s="156" t="inlineStr">
        <is>
          <t>OB</t>
        </is>
      </c>
      <c r="F1003" s="156" t="n">
        <v>4</v>
      </c>
      <c r="G1003" s="156" t="inlineStr"/>
      <c r="H1003" s="157">
        <f>IF($B1003="","",IF(ISNA(MATCH($B1003,MASTER_JAM!$Q$5:$Q$28,0)),"?",IF(MATCH($B1003,MASTER_JAM!$Q$5:$Q$28,0)&lt;=12,"DS","NS")))</f>
        <v/>
      </c>
      <c r="I1003" s="157">
        <f>IFERROR(INDEX(MASTER_JAM!$B$5:$B$94,MATCH($C1003,MASTER_JAM!$A$5:$A$94,0)),"")</f>
        <v/>
      </c>
      <c r="J1003" s="157">
        <f>IFERROR(INDEX(MASTER_JAM!$E$5:$E$94,MATCH($D1003,MASTER_JAM!$A$5:$A$94,0)),"")</f>
        <v/>
      </c>
      <c r="K1003" s="158">
        <f>IFERROR(INDEX(MASTER_JAM!$J$5:$O$12,MATCH($E1003,MASTER_JAM!$I$5:$I$12,0),MATCH($J1003,MASTER_JAM!$J$4:$O$4,0))+0,0)</f>
        <v/>
      </c>
      <c r="L1003" s="159">
        <f>N($F1003)*$K1003</f>
        <v/>
      </c>
      <c r="M1003" s="157">
        <f>IF($E1003="","",IF(OR($E1003="Coal",$E1003="Dirty Coal"),"MT","BCM"))</f>
        <v/>
      </c>
      <c r="N1003" s="157">
        <f>IF($E1003="","",IF(OR($E1003="Coal",$E1003="Dirty Coal"),"Coal","OB"))</f>
        <v/>
      </c>
      <c r="O1003" s="157">
        <f>IF($F1003="","",IF(COUNTIF(MASTER_JAM!$A$5:$A$94,$C1003)=0,"Digger tidak dikenal",IF($J1003="","Hauler tidak dikenal",IF($H1003="?","Jam salah",IF($K1003=0,"Faktor kosong",IF(SUMIFS(INPUT_DELAY!$E$5:$E$20000,INPUT_DELAY!$A$5:$A$20000,$A1003,INPUT_DELAY!$B$5:$B$20000,$B1003,INPUT_DELAY!$C$5:$C$20000,$C1003)+SUMIFS(INPUT_DELAY!$E$5:$E$20000,INPUT_DELAY!$A$5:$A$20000,$A1003,INPUT_DELAY!$B$5:$B$20000,$B1003,INPUT_DELAY!$C$5:$C$20000,"SEMUA")&gt;=60,"Delay 60 mnt tapi ada ritase","OK"))))))</f>
        <v/>
      </c>
      <c r="P1003" s="158">
        <f>IFERROR(INDEX(MASTER_JAM!$Z$5:$AC$10,MATCH($I1003,MASTER_JAM!$Y$5:$Y$10,0),MATCH($J1003,MASTER_JAM!$Z$4:$AC$4,0))+0,0)</f>
        <v/>
      </c>
      <c r="Q1003" s="158">
        <f>IF($P1003=0,0,$P1003+IFERROR(INDEX(MASTER_JAM!$H$5:$H$94,MATCH($C1003,MASTER_JAM!$A$5:$A$94,0))+0,MASTER_JAM!$AC$15)/1000*(60/MASTER_JAM!$AC$12+60/MASTER_JAM!$AC$13)+MASTER_JAM!$AC$14)</f>
        <v/>
      </c>
      <c r="R1003" s="158">
        <f>IF(N($F1003)=0,0,$F1003/SUMIFS(INPUT_RITASE!$F$5:$F$20000,INPUT_RITASE!$A$5:$A$20000,$A1003,INPUT_RITASE!$B$5:$B$20000,$B1003,INPUT_RITASE!$C$5:$C$20000,$C1003,INPUT_RITASE!$D$5:$D$20000,$D1003))</f>
        <v/>
      </c>
      <c r="S1003" s="158">
        <f>IF($Q1003=0,0,$R1003*$P1003/$Q1003)</f>
        <v/>
      </c>
    </row>
    <row r="1004">
      <c r="A1004" s="155" t="n">
        <v>46107</v>
      </c>
      <c r="B1004" s="156" t="inlineStr">
        <is>
          <t>13-14</t>
        </is>
      </c>
      <c r="C1004" s="156" t="inlineStr">
        <is>
          <t>EX-2101</t>
        </is>
      </c>
      <c r="D1004" s="156" t="inlineStr">
        <is>
          <t>DT-521</t>
        </is>
      </c>
      <c r="E1004" s="156" t="inlineStr">
        <is>
          <t>OB</t>
        </is>
      </c>
      <c r="F1004" s="156" t="n">
        <v>3</v>
      </c>
      <c r="G1004" s="156" t="inlineStr"/>
      <c r="H1004" s="157">
        <f>IF($B1004="","",IF(ISNA(MATCH($B1004,MASTER_JAM!$Q$5:$Q$28,0)),"?",IF(MATCH($B1004,MASTER_JAM!$Q$5:$Q$28,0)&lt;=12,"DS","NS")))</f>
        <v/>
      </c>
      <c r="I1004" s="157">
        <f>IFERROR(INDEX(MASTER_JAM!$B$5:$B$94,MATCH($C1004,MASTER_JAM!$A$5:$A$94,0)),"")</f>
        <v/>
      </c>
      <c r="J1004" s="157">
        <f>IFERROR(INDEX(MASTER_JAM!$E$5:$E$94,MATCH($D1004,MASTER_JAM!$A$5:$A$94,0)),"")</f>
        <v/>
      </c>
      <c r="K1004" s="158">
        <f>IFERROR(INDEX(MASTER_JAM!$J$5:$O$12,MATCH($E1004,MASTER_JAM!$I$5:$I$12,0),MATCH($J1004,MASTER_JAM!$J$4:$O$4,0))+0,0)</f>
        <v/>
      </c>
      <c r="L1004" s="159">
        <f>N($F1004)*$K1004</f>
        <v/>
      </c>
      <c r="M1004" s="157">
        <f>IF($E1004="","",IF(OR($E1004="Coal",$E1004="Dirty Coal"),"MT","BCM"))</f>
        <v/>
      </c>
      <c r="N1004" s="157">
        <f>IF($E1004="","",IF(OR($E1004="Coal",$E1004="Dirty Coal"),"Coal","OB"))</f>
        <v/>
      </c>
      <c r="O1004" s="157">
        <f>IF($F1004="","",IF(COUNTIF(MASTER_JAM!$A$5:$A$94,$C1004)=0,"Digger tidak dikenal",IF($J1004="","Hauler tidak dikenal",IF($H1004="?","Jam salah",IF($K1004=0,"Faktor kosong",IF(SUMIFS(INPUT_DELAY!$E$5:$E$20000,INPUT_DELAY!$A$5:$A$20000,$A1004,INPUT_DELAY!$B$5:$B$20000,$B1004,INPUT_DELAY!$C$5:$C$20000,$C1004)+SUMIFS(INPUT_DELAY!$E$5:$E$20000,INPUT_DELAY!$A$5:$A$20000,$A1004,INPUT_DELAY!$B$5:$B$20000,$B1004,INPUT_DELAY!$C$5:$C$20000,"SEMUA")&gt;=60,"Delay 60 mnt tapi ada ritase","OK"))))))</f>
        <v/>
      </c>
      <c r="P1004" s="158">
        <f>IFERROR(INDEX(MASTER_JAM!$Z$5:$AC$10,MATCH($I1004,MASTER_JAM!$Y$5:$Y$10,0),MATCH($J1004,MASTER_JAM!$Z$4:$AC$4,0))+0,0)</f>
        <v/>
      </c>
      <c r="Q1004" s="158">
        <f>IF($P1004=0,0,$P1004+IFERROR(INDEX(MASTER_JAM!$H$5:$H$94,MATCH($C1004,MASTER_JAM!$A$5:$A$94,0))+0,MASTER_JAM!$AC$15)/1000*(60/MASTER_JAM!$AC$12+60/MASTER_JAM!$AC$13)+MASTER_JAM!$AC$14)</f>
        <v/>
      </c>
      <c r="R1004" s="158">
        <f>IF(N($F1004)=0,0,$F1004/SUMIFS(INPUT_RITASE!$F$5:$F$20000,INPUT_RITASE!$A$5:$A$20000,$A1004,INPUT_RITASE!$B$5:$B$20000,$B1004,INPUT_RITASE!$C$5:$C$20000,$C1004,INPUT_RITASE!$D$5:$D$20000,$D1004))</f>
        <v/>
      </c>
      <c r="S1004" s="158">
        <f>IF($Q1004=0,0,$R1004*$P1004/$Q1004)</f>
        <v/>
      </c>
    </row>
    <row r="1005">
      <c r="A1005" s="155" t="n">
        <v>46107</v>
      </c>
      <c r="B1005" s="156" t="inlineStr">
        <is>
          <t>13-14</t>
        </is>
      </c>
      <c r="C1005" s="156" t="inlineStr">
        <is>
          <t>EX-2101</t>
        </is>
      </c>
      <c r="D1005" s="156" t="inlineStr">
        <is>
          <t>DT-523</t>
        </is>
      </c>
      <c r="E1005" s="156" t="inlineStr">
        <is>
          <t>OB</t>
        </is>
      </c>
      <c r="F1005" s="156" t="n">
        <v>2</v>
      </c>
      <c r="G1005" s="156" t="inlineStr"/>
      <c r="H1005" s="157">
        <f>IF($B1005="","",IF(ISNA(MATCH($B1005,MASTER_JAM!$Q$5:$Q$28,0)),"?",IF(MATCH($B1005,MASTER_JAM!$Q$5:$Q$28,0)&lt;=12,"DS","NS")))</f>
        <v/>
      </c>
      <c r="I1005" s="157">
        <f>IFERROR(INDEX(MASTER_JAM!$B$5:$B$94,MATCH($C1005,MASTER_JAM!$A$5:$A$94,0)),"")</f>
        <v/>
      </c>
      <c r="J1005" s="157">
        <f>IFERROR(INDEX(MASTER_JAM!$E$5:$E$94,MATCH($D1005,MASTER_JAM!$A$5:$A$94,0)),"")</f>
        <v/>
      </c>
      <c r="K1005" s="158">
        <f>IFERROR(INDEX(MASTER_JAM!$J$5:$O$12,MATCH($E1005,MASTER_JAM!$I$5:$I$12,0),MATCH($J1005,MASTER_JAM!$J$4:$O$4,0))+0,0)</f>
        <v/>
      </c>
      <c r="L1005" s="159">
        <f>N($F1005)*$K1005</f>
        <v/>
      </c>
      <c r="M1005" s="157">
        <f>IF($E1005="","",IF(OR($E1005="Coal",$E1005="Dirty Coal"),"MT","BCM"))</f>
        <v/>
      </c>
      <c r="N1005" s="157">
        <f>IF($E1005="","",IF(OR($E1005="Coal",$E1005="Dirty Coal"),"Coal","OB"))</f>
        <v/>
      </c>
      <c r="O1005" s="157">
        <f>IF($F1005="","",IF(COUNTIF(MASTER_JAM!$A$5:$A$94,$C1005)=0,"Digger tidak dikenal",IF($J1005="","Hauler tidak dikenal",IF($H1005="?","Jam salah",IF($K1005=0,"Faktor kosong",IF(SUMIFS(INPUT_DELAY!$E$5:$E$20000,INPUT_DELAY!$A$5:$A$20000,$A1005,INPUT_DELAY!$B$5:$B$20000,$B1005,INPUT_DELAY!$C$5:$C$20000,$C1005)+SUMIFS(INPUT_DELAY!$E$5:$E$20000,INPUT_DELAY!$A$5:$A$20000,$A1005,INPUT_DELAY!$B$5:$B$20000,$B1005,INPUT_DELAY!$C$5:$C$20000,"SEMUA")&gt;=60,"Delay 60 mnt tapi ada ritase","OK"))))))</f>
        <v/>
      </c>
      <c r="P1005" s="158">
        <f>IFERROR(INDEX(MASTER_JAM!$Z$5:$AC$10,MATCH($I1005,MASTER_JAM!$Y$5:$Y$10,0),MATCH($J1005,MASTER_JAM!$Z$4:$AC$4,0))+0,0)</f>
        <v/>
      </c>
      <c r="Q1005" s="158">
        <f>IF($P1005=0,0,$P1005+IFERROR(INDEX(MASTER_JAM!$H$5:$H$94,MATCH($C1005,MASTER_JAM!$A$5:$A$94,0))+0,MASTER_JAM!$AC$15)/1000*(60/MASTER_JAM!$AC$12+60/MASTER_JAM!$AC$13)+MASTER_JAM!$AC$14)</f>
        <v/>
      </c>
      <c r="R1005" s="158">
        <f>IF(N($F1005)=0,0,$F1005/SUMIFS(INPUT_RITASE!$F$5:$F$20000,INPUT_RITASE!$A$5:$A$20000,$A1005,INPUT_RITASE!$B$5:$B$20000,$B1005,INPUT_RITASE!$C$5:$C$20000,$C1005,INPUT_RITASE!$D$5:$D$20000,$D1005))</f>
        <v/>
      </c>
      <c r="S1005" s="158">
        <f>IF($Q1005=0,0,$R1005*$P1005/$Q1005)</f>
        <v/>
      </c>
    </row>
    <row r="1006">
      <c r="A1006" s="155" t="n">
        <v>46107</v>
      </c>
      <c r="B1006" s="156" t="inlineStr">
        <is>
          <t>14-15</t>
        </is>
      </c>
      <c r="C1006" s="156" t="inlineStr">
        <is>
          <t>EX-2101</t>
        </is>
      </c>
      <c r="D1006" s="156" t="inlineStr">
        <is>
          <t>HD-904</t>
        </is>
      </c>
      <c r="E1006" s="156" t="inlineStr">
        <is>
          <t>OB</t>
        </is>
      </c>
      <c r="F1006" s="156" t="n">
        <v>4</v>
      </c>
      <c r="G1006" s="156" t="inlineStr"/>
      <c r="H1006" s="157">
        <f>IF($B1006="","",IF(ISNA(MATCH($B1006,MASTER_JAM!$Q$5:$Q$28,0)),"?",IF(MATCH($B1006,MASTER_JAM!$Q$5:$Q$28,0)&lt;=12,"DS","NS")))</f>
        <v/>
      </c>
      <c r="I1006" s="157">
        <f>IFERROR(INDEX(MASTER_JAM!$B$5:$B$94,MATCH($C1006,MASTER_JAM!$A$5:$A$94,0)),"")</f>
        <v/>
      </c>
      <c r="J1006" s="157">
        <f>IFERROR(INDEX(MASTER_JAM!$E$5:$E$94,MATCH($D1006,MASTER_JAM!$A$5:$A$94,0)),"")</f>
        <v/>
      </c>
      <c r="K1006" s="158">
        <f>IFERROR(INDEX(MASTER_JAM!$J$5:$O$12,MATCH($E1006,MASTER_JAM!$I$5:$I$12,0),MATCH($J1006,MASTER_JAM!$J$4:$O$4,0))+0,0)</f>
        <v/>
      </c>
      <c r="L1006" s="159">
        <f>N($F1006)*$K1006</f>
        <v/>
      </c>
      <c r="M1006" s="157">
        <f>IF($E1006="","",IF(OR($E1006="Coal",$E1006="Dirty Coal"),"MT","BCM"))</f>
        <v/>
      </c>
      <c r="N1006" s="157">
        <f>IF($E1006="","",IF(OR($E1006="Coal",$E1006="Dirty Coal"),"Coal","OB"))</f>
        <v/>
      </c>
      <c r="O1006" s="157">
        <f>IF($F1006="","",IF(COUNTIF(MASTER_JAM!$A$5:$A$94,$C1006)=0,"Digger tidak dikenal",IF($J1006="","Hauler tidak dikenal",IF($H1006="?","Jam salah",IF($K1006=0,"Faktor kosong",IF(SUMIFS(INPUT_DELAY!$E$5:$E$20000,INPUT_DELAY!$A$5:$A$20000,$A1006,INPUT_DELAY!$B$5:$B$20000,$B1006,INPUT_DELAY!$C$5:$C$20000,$C1006)+SUMIFS(INPUT_DELAY!$E$5:$E$20000,INPUT_DELAY!$A$5:$A$20000,$A1006,INPUT_DELAY!$B$5:$B$20000,$B1006,INPUT_DELAY!$C$5:$C$20000,"SEMUA")&gt;=60,"Delay 60 mnt tapi ada ritase","OK"))))))</f>
        <v/>
      </c>
      <c r="P1006" s="158">
        <f>IFERROR(INDEX(MASTER_JAM!$Z$5:$AC$10,MATCH($I1006,MASTER_JAM!$Y$5:$Y$10,0),MATCH($J1006,MASTER_JAM!$Z$4:$AC$4,0))+0,0)</f>
        <v/>
      </c>
      <c r="Q1006" s="158">
        <f>IF($P1006=0,0,$P1006+IFERROR(INDEX(MASTER_JAM!$H$5:$H$94,MATCH($C1006,MASTER_JAM!$A$5:$A$94,0))+0,MASTER_JAM!$AC$15)/1000*(60/MASTER_JAM!$AC$12+60/MASTER_JAM!$AC$13)+MASTER_JAM!$AC$14)</f>
        <v/>
      </c>
      <c r="R1006" s="158">
        <f>IF(N($F1006)=0,0,$F1006/SUMIFS(INPUT_RITASE!$F$5:$F$20000,INPUT_RITASE!$A$5:$A$20000,$A1006,INPUT_RITASE!$B$5:$B$20000,$B1006,INPUT_RITASE!$C$5:$C$20000,$C1006,INPUT_RITASE!$D$5:$D$20000,$D1006))</f>
        <v/>
      </c>
      <c r="S1006" s="158">
        <f>IF($Q1006=0,0,$R1006*$P1006/$Q1006)</f>
        <v/>
      </c>
    </row>
    <row r="1007">
      <c r="A1007" s="155" t="n">
        <v>46107</v>
      </c>
      <c r="B1007" s="156" t="inlineStr">
        <is>
          <t>14-15</t>
        </is>
      </c>
      <c r="C1007" s="156" t="inlineStr">
        <is>
          <t>EX-2101</t>
        </is>
      </c>
      <c r="D1007" s="156" t="inlineStr">
        <is>
          <t>HD-901</t>
        </is>
      </c>
      <c r="E1007" s="156" t="inlineStr">
        <is>
          <t>OB</t>
        </is>
      </c>
      <c r="F1007" s="156" t="n">
        <v>4</v>
      </c>
      <c r="G1007" s="156" t="inlineStr"/>
      <c r="H1007" s="157">
        <f>IF($B1007="","",IF(ISNA(MATCH($B1007,MASTER_JAM!$Q$5:$Q$28,0)),"?",IF(MATCH($B1007,MASTER_JAM!$Q$5:$Q$28,0)&lt;=12,"DS","NS")))</f>
        <v/>
      </c>
      <c r="I1007" s="157">
        <f>IFERROR(INDEX(MASTER_JAM!$B$5:$B$94,MATCH($C1007,MASTER_JAM!$A$5:$A$94,0)),"")</f>
        <v/>
      </c>
      <c r="J1007" s="157">
        <f>IFERROR(INDEX(MASTER_JAM!$E$5:$E$94,MATCH($D1007,MASTER_JAM!$A$5:$A$94,0)),"")</f>
        <v/>
      </c>
      <c r="K1007" s="158">
        <f>IFERROR(INDEX(MASTER_JAM!$J$5:$O$12,MATCH($E1007,MASTER_JAM!$I$5:$I$12,0),MATCH($J1007,MASTER_JAM!$J$4:$O$4,0))+0,0)</f>
        <v/>
      </c>
      <c r="L1007" s="159">
        <f>N($F1007)*$K1007</f>
        <v/>
      </c>
      <c r="M1007" s="157">
        <f>IF($E1007="","",IF(OR($E1007="Coal",$E1007="Dirty Coal"),"MT","BCM"))</f>
        <v/>
      </c>
      <c r="N1007" s="157">
        <f>IF($E1007="","",IF(OR($E1007="Coal",$E1007="Dirty Coal"),"Coal","OB"))</f>
        <v/>
      </c>
      <c r="O1007" s="157">
        <f>IF($F1007="","",IF(COUNTIF(MASTER_JAM!$A$5:$A$94,$C1007)=0,"Digger tidak dikenal",IF($J1007="","Hauler tidak dikenal",IF($H1007="?","Jam salah",IF($K1007=0,"Faktor kosong",IF(SUMIFS(INPUT_DELAY!$E$5:$E$20000,INPUT_DELAY!$A$5:$A$20000,$A1007,INPUT_DELAY!$B$5:$B$20000,$B1007,INPUT_DELAY!$C$5:$C$20000,$C1007)+SUMIFS(INPUT_DELAY!$E$5:$E$20000,INPUT_DELAY!$A$5:$A$20000,$A1007,INPUT_DELAY!$B$5:$B$20000,$B1007,INPUT_DELAY!$C$5:$C$20000,"SEMUA")&gt;=60,"Delay 60 mnt tapi ada ritase","OK"))))))</f>
        <v/>
      </c>
      <c r="P1007" s="158">
        <f>IFERROR(INDEX(MASTER_JAM!$Z$5:$AC$10,MATCH($I1007,MASTER_JAM!$Y$5:$Y$10,0),MATCH($J1007,MASTER_JAM!$Z$4:$AC$4,0))+0,0)</f>
        <v/>
      </c>
      <c r="Q1007" s="158">
        <f>IF($P1007=0,0,$P1007+IFERROR(INDEX(MASTER_JAM!$H$5:$H$94,MATCH($C1007,MASTER_JAM!$A$5:$A$94,0))+0,MASTER_JAM!$AC$15)/1000*(60/MASTER_JAM!$AC$12+60/MASTER_JAM!$AC$13)+MASTER_JAM!$AC$14)</f>
        <v/>
      </c>
      <c r="R1007" s="158">
        <f>IF(N($F1007)=0,0,$F1007/SUMIFS(INPUT_RITASE!$F$5:$F$20000,INPUT_RITASE!$A$5:$A$20000,$A1007,INPUT_RITASE!$B$5:$B$20000,$B1007,INPUT_RITASE!$C$5:$C$20000,$C1007,INPUT_RITASE!$D$5:$D$20000,$D1007))</f>
        <v/>
      </c>
      <c r="S1007" s="158">
        <f>IF($Q1007=0,0,$R1007*$P1007/$Q1007)</f>
        <v/>
      </c>
    </row>
    <row r="1008">
      <c r="A1008" s="155" t="n">
        <v>46107</v>
      </c>
      <c r="B1008" s="156" t="inlineStr">
        <is>
          <t>14-15</t>
        </is>
      </c>
      <c r="C1008" s="156" t="inlineStr">
        <is>
          <t>EX-2101</t>
        </is>
      </c>
      <c r="D1008" s="156" t="inlineStr">
        <is>
          <t>HD-903</t>
        </is>
      </c>
      <c r="E1008" s="156" t="inlineStr">
        <is>
          <t>OB</t>
        </is>
      </c>
      <c r="F1008" s="156" t="n">
        <v>4</v>
      </c>
      <c r="G1008" s="156" t="inlineStr"/>
      <c r="H1008" s="157">
        <f>IF($B1008="","",IF(ISNA(MATCH($B1008,MASTER_JAM!$Q$5:$Q$28,0)),"?",IF(MATCH($B1008,MASTER_JAM!$Q$5:$Q$28,0)&lt;=12,"DS","NS")))</f>
        <v/>
      </c>
      <c r="I1008" s="157">
        <f>IFERROR(INDEX(MASTER_JAM!$B$5:$B$94,MATCH($C1008,MASTER_JAM!$A$5:$A$94,0)),"")</f>
        <v/>
      </c>
      <c r="J1008" s="157">
        <f>IFERROR(INDEX(MASTER_JAM!$E$5:$E$94,MATCH($D1008,MASTER_JAM!$A$5:$A$94,0)),"")</f>
        <v/>
      </c>
      <c r="K1008" s="158">
        <f>IFERROR(INDEX(MASTER_JAM!$J$5:$O$12,MATCH($E1008,MASTER_JAM!$I$5:$I$12,0),MATCH($J1008,MASTER_JAM!$J$4:$O$4,0))+0,0)</f>
        <v/>
      </c>
      <c r="L1008" s="159">
        <f>N($F1008)*$K1008</f>
        <v/>
      </c>
      <c r="M1008" s="157">
        <f>IF($E1008="","",IF(OR($E1008="Coal",$E1008="Dirty Coal"),"MT","BCM"))</f>
        <v/>
      </c>
      <c r="N1008" s="157">
        <f>IF($E1008="","",IF(OR($E1008="Coal",$E1008="Dirty Coal"),"Coal","OB"))</f>
        <v/>
      </c>
      <c r="O1008" s="157">
        <f>IF($F1008="","",IF(COUNTIF(MASTER_JAM!$A$5:$A$94,$C1008)=0,"Digger tidak dikenal",IF($J1008="","Hauler tidak dikenal",IF($H1008="?","Jam salah",IF($K1008=0,"Faktor kosong",IF(SUMIFS(INPUT_DELAY!$E$5:$E$20000,INPUT_DELAY!$A$5:$A$20000,$A1008,INPUT_DELAY!$B$5:$B$20000,$B1008,INPUT_DELAY!$C$5:$C$20000,$C1008)+SUMIFS(INPUT_DELAY!$E$5:$E$20000,INPUT_DELAY!$A$5:$A$20000,$A1008,INPUT_DELAY!$B$5:$B$20000,$B1008,INPUT_DELAY!$C$5:$C$20000,"SEMUA")&gt;=60,"Delay 60 mnt tapi ada ritase","OK"))))))</f>
        <v/>
      </c>
      <c r="P1008" s="158">
        <f>IFERROR(INDEX(MASTER_JAM!$Z$5:$AC$10,MATCH($I1008,MASTER_JAM!$Y$5:$Y$10,0),MATCH($J1008,MASTER_JAM!$Z$4:$AC$4,0))+0,0)</f>
        <v/>
      </c>
      <c r="Q1008" s="158">
        <f>IF($P1008=0,0,$P1008+IFERROR(INDEX(MASTER_JAM!$H$5:$H$94,MATCH($C1008,MASTER_JAM!$A$5:$A$94,0))+0,MASTER_JAM!$AC$15)/1000*(60/MASTER_JAM!$AC$12+60/MASTER_JAM!$AC$13)+MASTER_JAM!$AC$14)</f>
        <v/>
      </c>
      <c r="R1008" s="158">
        <f>IF(N($F1008)=0,0,$F1008/SUMIFS(INPUT_RITASE!$F$5:$F$20000,INPUT_RITASE!$A$5:$A$20000,$A1008,INPUT_RITASE!$B$5:$B$20000,$B1008,INPUT_RITASE!$C$5:$C$20000,$C1008,INPUT_RITASE!$D$5:$D$20000,$D1008))</f>
        <v/>
      </c>
      <c r="S1008" s="158">
        <f>IF($Q1008=0,0,$R1008*$P1008/$Q1008)</f>
        <v/>
      </c>
    </row>
    <row r="1009">
      <c r="A1009" s="155" t="n">
        <v>46107</v>
      </c>
      <c r="B1009" s="156" t="inlineStr">
        <is>
          <t>14-15</t>
        </is>
      </c>
      <c r="C1009" s="156" t="inlineStr">
        <is>
          <t>EX-2101</t>
        </is>
      </c>
      <c r="D1009" s="156" t="inlineStr">
        <is>
          <t>DT-516</t>
        </is>
      </c>
      <c r="E1009" s="156" t="inlineStr">
        <is>
          <t>OB</t>
        </is>
      </c>
      <c r="F1009" s="156" t="n">
        <v>3</v>
      </c>
      <c r="G1009" s="156" t="inlineStr"/>
      <c r="H1009" s="157">
        <f>IF($B1009="","",IF(ISNA(MATCH($B1009,MASTER_JAM!$Q$5:$Q$28,0)),"?",IF(MATCH($B1009,MASTER_JAM!$Q$5:$Q$28,0)&lt;=12,"DS","NS")))</f>
        <v/>
      </c>
      <c r="I1009" s="157">
        <f>IFERROR(INDEX(MASTER_JAM!$B$5:$B$94,MATCH($C1009,MASTER_JAM!$A$5:$A$94,0)),"")</f>
        <v/>
      </c>
      <c r="J1009" s="157">
        <f>IFERROR(INDEX(MASTER_JAM!$E$5:$E$94,MATCH($D1009,MASTER_JAM!$A$5:$A$94,0)),"")</f>
        <v/>
      </c>
      <c r="K1009" s="158">
        <f>IFERROR(INDEX(MASTER_JAM!$J$5:$O$12,MATCH($E1009,MASTER_JAM!$I$5:$I$12,0),MATCH($J1009,MASTER_JAM!$J$4:$O$4,0))+0,0)</f>
        <v/>
      </c>
      <c r="L1009" s="159">
        <f>N($F1009)*$K1009</f>
        <v/>
      </c>
      <c r="M1009" s="157">
        <f>IF($E1009="","",IF(OR($E1009="Coal",$E1009="Dirty Coal"),"MT","BCM"))</f>
        <v/>
      </c>
      <c r="N1009" s="157">
        <f>IF($E1009="","",IF(OR($E1009="Coal",$E1009="Dirty Coal"),"Coal","OB"))</f>
        <v/>
      </c>
      <c r="O1009" s="157">
        <f>IF($F1009="","",IF(COUNTIF(MASTER_JAM!$A$5:$A$94,$C1009)=0,"Digger tidak dikenal",IF($J1009="","Hauler tidak dikenal",IF($H1009="?","Jam salah",IF($K1009=0,"Faktor kosong",IF(SUMIFS(INPUT_DELAY!$E$5:$E$20000,INPUT_DELAY!$A$5:$A$20000,$A1009,INPUT_DELAY!$B$5:$B$20000,$B1009,INPUT_DELAY!$C$5:$C$20000,$C1009)+SUMIFS(INPUT_DELAY!$E$5:$E$20000,INPUT_DELAY!$A$5:$A$20000,$A1009,INPUT_DELAY!$B$5:$B$20000,$B1009,INPUT_DELAY!$C$5:$C$20000,"SEMUA")&gt;=60,"Delay 60 mnt tapi ada ritase","OK"))))))</f>
        <v/>
      </c>
      <c r="P1009" s="158">
        <f>IFERROR(INDEX(MASTER_JAM!$Z$5:$AC$10,MATCH($I1009,MASTER_JAM!$Y$5:$Y$10,0),MATCH($J1009,MASTER_JAM!$Z$4:$AC$4,0))+0,0)</f>
        <v/>
      </c>
      <c r="Q1009" s="158">
        <f>IF($P1009=0,0,$P1009+IFERROR(INDEX(MASTER_JAM!$H$5:$H$94,MATCH($C1009,MASTER_JAM!$A$5:$A$94,0))+0,MASTER_JAM!$AC$15)/1000*(60/MASTER_JAM!$AC$12+60/MASTER_JAM!$AC$13)+MASTER_JAM!$AC$14)</f>
        <v/>
      </c>
      <c r="R1009" s="158">
        <f>IF(N($F1009)=0,0,$F1009/SUMIFS(INPUT_RITASE!$F$5:$F$20000,INPUT_RITASE!$A$5:$A$20000,$A1009,INPUT_RITASE!$B$5:$B$20000,$B1009,INPUT_RITASE!$C$5:$C$20000,$C1009,INPUT_RITASE!$D$5:$D$20000,$D1009))</f>
        <v/>
      </c>
      <c r="S1009" s="158">
        <f>IF($Q1009=0,0,$R1009*$P1009/$Q1009)</f>
        <v/>
      </c>
    </row>
    <row r="1010">
      <c r="A1010" s="155" t="n">
        <v>46107</v>
      </c>
      <c r="B1010" s="156" t="inlineStr">
        <is>
          <t>14-15</t>
        </is>
      </c>
      <c r="C1010" s="156" t="inlineStr">
        <is>
          <t>EX-2101</t>
        </is>
      </c>
      <c r="D1010" s="156" t="inlineStr">
        <is>
          <t>DT-521</t>
        </is>
      </c>
      <c r="E1010" s="156" t="inlineStr">
        <is>
          <t>OB</t>
        </is>
      </c>
      <c r="F1010" s="156" t="n">
        <v>2</v>
      </c>
      <c r="G1010" s="156" t="inlineStr"/>
      <c r="H1010" s="157">
        <f>IF($B1010="","",IF(ISNA(MATCH($B1010,MASTER_JAM!$Q$5:$Q$28,0)),"?",IF(MATCH($B1010,MASTER_JAM!$Q$5:$Q$28,0)&lt;=12,"DS","NS")))</f>
        <v/>
      </c>
      <c r="I1010" s="157">
        <f>IFERROR(INDEX(MASTER_JAM!$B$5:$B$94,MATCH($C1010,MASTER_JAM!$A$5:$A$94,0)),"")</f>
        <v/>
      </c>
      <c r="J1010" s="157">
        <f>IFERROR(INDEX(MASTER_JAM!$E$5:$E$94,MATCH($D1010,MASTER_JAM!$A$5:$A$94,0)),"")</f>
        <v/>
      </c>
      <c r="K1010" s="158">
        <f>IFERROR(INDEX(MASTER_JAM!$J$5:$O$12,MATCH($E1010,MASTER_JAM!$I$5:$I$12,0),MATCH($J1010,MASTER_JAM!$J$4:$O$4,0))+0,0)</f>
        <v/>
      </c>
      <c r="L1010" s="159">
        <f>N($F1010)*$K1010</f>
        <v/>
      </c>
      <c r="M1010" s="157">
        <f>IF($E1010="","",IF(OR($E1010="Coal",$E1010="Dirty Coal"),"MT","BCM"))</f>
        <v/>
      </c>
      <c r="N1010" s="157">
        <f>IF($E1010="","",IF(OR($E1010="Coal",$E1010="Dirty Coal"),"Coal","OB"))</f>
        <v/>
      </c>
      <c r="O1010" s="157">
        <f>IF($F1010="","",IF(COUNTIF(MASTER_JAM!$A$5:$A$94,$C1010)=0,"Digger tidak dikenal",IF($J1010="","Hauler tidak dikenal",IF($H1010="?","Jam salah",IF($K1010=0,"Faktor kosong",IF(SUMIFS(INPUT_DELAY!$E$5:$E$20000,INPUT_DELAY!$A$5:$A$20000,$A1010,INPUT_DELAY!$B$5:$B$20000,$B1010,INPUT_DELAY!$C$5:$C$20000,$C1010)+SUMIFS(INPUT_DELAY!$E$5:$E$20000,INPUT_DELAY!$A$5:$A$20000,$A1010,INPUT_DELAY!$B$5:$B$20000,$B1010,INPUT_DELAY!$C$5:$C$20000,"SEMUA")&gt;=60,"Delay 60 mnt tapi ada ritase","OK"))))))</f>
        <v/>
      </c>
      <c r="P1010" s="158">
        <f>IFERROR(INDEX(MASTER_JAM!$Z$5:$AC$10,MATCH($I1010,MASTER_JAM!$Y$5:$Y$10,0),MATCH($J1010,MASTER_JAM!$Z$4:$AC$4,0))+0,0)</f>
        <v/>
      </c>
      <c r="Q1010" s="158">
        <f>IF($P1010=0,0,$P1010+IFERROR(INDEX(MASTER_JAM!$H$5:$H$94,MATCH($C1010,MASTER_JAM!$A$5:$A$94,0))+0,MASTER_JAM!$AC$15)/1000*(60/MASTER_JAM!$AC$12+60/MASTER_JAM!$AC$13)+MASTER_JAM!$AC$14)</f>
        <v/>
      </c>
      <c r="R1010" s="158">
        <f>IF(N($F1010)=0,0,$F1010/SUMIFS(INPUT_RITASE!$F$5:$F$20000,INPUT_RITASE!$A$5:$A$20000,$A1010,INPUT_RITASE!$B$5:$B$20000,$B1010,INPUT_RITASE!$C$5:$C$20000,$C1010,INPUT_RITASE!$D$5:$D$20000,$D1010))</f>
        <v/>
      </c>
      <c r="S1010" s="158">
        <f>IF($Q1010=0,0,$R1010*$P1010/$Q1010)</f>
        <v/>
      </c>
    </row>
    <row r="1011">
      <c r="A1011" s="155" t="n">
        <v>46107</v>
      </c>
      <c r="B1011" s="156" t="inlineStr">
        <is>
          <t>15-16</t>
        </is>
      </c>
      <c r="C1011" s="156" t="inlineStr">
        <is>
          <t>EX-2101</t>
        </is>
      </c>
      <c r="D1011" s="156" t="inlineStr">
        <is>
          <t>DT-505</t>
        </is>
      </c>
      <c r="E1011" s="156" t="inlineStr">
        <is>
          <t>OB</t>
        </is>
      </c>
      <c r="F1011" s="156" t="n">
        <v>4</v>
      </c>
      <c r="G1011" s="156" t="inlineStr"/>
      <c r="H1011" s="157">
        <f>IF($B1011="","",IF(ISNA(MATCH($B1011,MASTER_JAM!$Q$5:$Q$28,0)),"?",IF(MATCH($B1011,MASTER_JAM!$Q$5:$Q$28,0)&lt;=12,"DS","NS")))</f>
        <v/>
      </c>
      <c r="I1011" s="157">
        <f>IFERROR(INDEX(MASTER_JAM!$B$5:$B$94,MATCH($C1011,MASTER_JAM!$A$5:$A$94,0)),"")</f>
        <v/>
      </c>
      <c r="J1011" s="157">
        <f>IFERROR(INDEX(MASTER_JAM!$E$5:$E$94,MATCH($D1011,MASTER_JAM!$A$5:$A$94,0)),"")</f>
        <v/>
      </c>
      <c r="K1011" s="158">
        <f>IFERROR(INDEX(MASTER_JAM!$J$5:$O$12,MATCH($E1011,MASTER_JAM!$I$5:$I$12,0),MATCH($J1011,MASTER_JAM!$J$4:$O$4,0))+0,0)</f>
        <v/>
      </c>
      <c r="L1011" s="159">
        <f>N($F1011)*$K1011</f>
        <v/>
      </c>
      <c r="M1011" s="157">
        <f>IF($E1011="","",IF(OR($E1011="Coal",$E1011="Dirty Coal"),"MT","BCM"))</f>
        <v/>
      </c>
      <c r="N1011" s="157">
        <f>IF($E1011="","",IF(OR($E1011="Coal",$E1011="Dirty Coal"),"Coal","OB"))</f>
        <v/>
      </c>
      <c r="O1011" s="157">
        <f>IF($F1011="","",IF(COUNTIF(MASTER_JAM!$A$5:$A$94,$C1011)=0,"Digger tidak dikenal",IF($J1011="","Hauler tidak dikenal",IF($H1011="?","Jam salah",IF($K1011=0,"Faktor kosong",IF(SUMIFS(INPUT_DELAY!$E$5:$E$20000,INPUT_DELAY!$A$5:$A$20000,$A1011,INPUT_DELAY!$B$5:$B$20000,$B1011,INPUT_DELAY!$C$5:$C$20000,$C1011)+SUMIFS(INPUT_DELAY!$E$5:$E$20000,INPUT_DELAY!$A$5:$A$20000,$A1011,INPUT_DELAY!$B$5:$B$20000,$B1011,INPUT_DELAY!$C$5:$C$20000,"SEMUA")&gt;=60,"Delay 60 mnt tapi ada ritase","OK"))))))</f>
        <v/>
      </c>
      <c r="P1011" s="158">
        <f>IFERROR(INDEX(MASTER_JAM!$Z$5:$AC$10,MATCH($I1011,MASTER_JAM!$Y$5:$Y$10,0),MATCH($J1011,MASTER_JAM!$Z$4:$AC$4,0))+0,0)</f>
        <v/>
      </c>
      <c r="Q1011" s="158">
        <f>IF($P1011=0,0,$P1011+IFERROR(INDEX(MASTER_JAM!$H$5:$H$94,MATCH($C1011,MASTER_JAM!$A$5:$A$94,0))+0,MASTER_JAM!$AC$15)/1000*(60/MASTER_JAM!$AC$12+60/MASTER_JAM!$AC$13)+MASTER_JAM!$AC$14)</f>
        <v/>
      </c>
      <c r="R1011" s="158">
        <f>IF(N($F1011)=0,0,$F1011/SUMIFS(INPUT_RITASE!$F$5:$F$20000,INPUT_RITASE!$A$5:$A$20000,$A1011,INPUT_RITASE!$B$5:$B$20000,$B1011,INPUT_RITASE!$C$5:$C$20000,$C1011,INPUT_RITASE!$D$5:$D$20000,$D1011))</f>
        <v/>
      </c>
      <c r="S1011" s="158">
        <f>IF($Q1011=0,0,$R1011*$P1011/$Q1011)</f>
        <v/>
      </c>
    </row>
    <row r="1012">
      <c r="A1012" s="155" t="n">
        <v>46107</v>
      </c>
      <c r="B1012" s="156" t="inlineStr">
        <is>
          <t>15-16</t>
        </is>
      </c>
      <c r="C1012" s="156" t="inlineStr">
        <is>
          <t>EX-2101</t>
        </is>
      </c>
      <c r="D1012" s="156" t="inlineStr">
        <is>
          <t>HD-901</t>
        </is>
      </c>
      <c r="E1012" s="156" t="inlineStr">
        <is>
          <t>OB</t>
        </is>
      </c>
      <c r="F1012" s="156" t="n">
        <v>4</v>
      </c>
      <c r="G1012" s="156" t="inlineStr"/>
      <c r="H1012" s="157">
        <f>IF($B1012="","",IF(ISNA(MATCH($B1012,MASTER_JAM!$Q$5:$Q$28,0)),"?",IF(MATCH($B1012,MASTER_JAM!$Q$5:$Q$28,0)&lt;=12,"DS","NS")))</f>
        <v/>
      </c>
      <c r="I1012" s="157">
        <f>IFERROR(INDEX(MASTER_JAM!$B$5:$B$94,MATCH($C1012,MASTER_JAM!$A$5:$A$94,0)),"")</f>
        <v/>
      </c>
      <c r="J1012" s="157">
        <f>IFERROR(INDEX(MASTER_JAM!$E$5:$E$94,MATCH($D1012,MASTER_JAM!$A$5:$A$94,0)),"")</f>
        <v/>
      </c>
      <c r="K1012" s="158">
        <f>IFERROR(INDEX(MASTER_JAM!$J$5:$O$12,MATCH($E1012,MASTER_JAM!$I$5:$I$12,0),MATCH($J1012,MASTER_JAM!$J$4:$O$4,0))+0,0)</f>
        <v/>
      </c>
      <c r="L1012" s="159">
        <f>N($F1012)*$K1012</f>
        <v/>
      </c>
      <c r="M1012" s="157">
        <f>IF($E1012="","",IF(OR($E1012="Coal",$E1012="Dirty Coal"),"MT","BCM"))</f>
        <v/>
      </c>
      <c r="N1012" s="157">
        <f>IF($E1012="","",IF(OR($E1012="Coal",$E1012="Dirty Coal"),"Coal","OB"))</f>
        <v/>
      </c>
      <c r="O1012" s="157">
        <f>IF($F1012="","",IF(COUNTIF(MASTER_JAM!$A$5:$A$94,$C1012)=0,"Digger tidak dikenal",IF($J1012="","Hauler tidak dikenal",IF($H1012="?","Jam salah",IF($K1012=0,"Faktor kosong",IF(SUMIFS(INPUT_DELAY!$E$5:$E$20000,INPUT_DELAY!$A$5:$A$20000,$A1012,INPUT_DELAY!$B$5:$B$20000,$B1012,INPUT_DELAY!$C$5:$C$20000,$C1012)+SUMIFS(INPUT_DELAY!$E$5:$E$20000,INPUT_DELAY!$A$5:$A$20000,$A1012,INPUT_DELAY!$B$5:$B$20000,$B1012,INPUT_DELAY!$C$5:$C$20000,"SEMUA")&gt;=60,"Delay 60 mnt tapi ada ritase","OK"))))))</f>
        <v/>
      </c>
      <c r="P1012" s="158">
        <f>IFERROR(INDEX(MASTER_JAM!$Z$5:$AC$10,MATCH($I1012,MASTER_JAM!$Y$5:$Y$10,0),MATCH($J1012,MASTER_JAM!$Z$4:$AC$4,0))+0,0)</f>
        <v/>
      </c>
      <c r="Q1012" s="158">
        <f>IF($P1012=0,0,$P1012+IFERROR(INDEX(MASTER_JAM!$H$5:$H$94,MATCH($C1012,MASTER_JAM!$A$5:$A$94,0))+0,MASTER_JAM!$AC$15)/1000*(60/MASTER_JAM!$AC$12+60/MASTER_JAM!$AC$13)+MASTER_JAM!$AC$14)</f>
        <v/>
      </c>
      <c r="R1012" s="158">
        <f>IF(N($F1012)=0,0,$F1012/SUMIFS(INPUT_RITASE!$F$5:$F$20000,INPUT_RITASE!$A$5:$A$20000,$A1012,INPUT_RITASE!$B$5:$B$20000,$B1012,INPUT_RITASE!$C$5:$C$20000,$C1012,INPUT_RITASE!$D$5:$D$20000,$D1012))</f>
        <v/>
      </c>
      <c r="S1012" s="158">
        <f>IF($Q1012=0,0,$R1012*$P1012/$Q1012)</f>
        <v/>
      </c>
    </row>
    <row r="1013">
      <c r="A1013" s="155" t="n">
        <v>46107</v>
      </c>
      <c r="B1013" s="156" t="inlineStr">
        <is>
          <t>15-16</t>
        </is>
      </c>
      <c r="C1013" s="156" t="inlineStr">
        <is>
          <t>EX-2101</t>
        </is>
      </c>
      <c r="D1013" s="156" t="inlineStr">
        <is>
          <t>HD-904</t>
        </is>
      </c>
      <c r="E1013" s="156" t="inlineStr">
        <is>
          <t>OB</t>
        </is>
      </c>
      <c r="F1013" s="156" t="n">
        <v>4</v>
      </c>
      <c r="G1013" s="156" t="inlineStr"/>
      <c r="H1013" s="157">
        <f>IF($B1013="","",IF(ISNA(MATCH($B1013,MASTER_JAM!$Q$5:$Q$28,0)),"?",IF(MATCH($B1013,MASTER_JAM!$Q$5:$Q$28,0)&lt;=12,"DS","NS")))</f>
        <v/>
      </c>
      <c r="I1013" s="157">
        <f>IFERROR(INDEX(MASTER_JAM!$B$5:$B$94,MATCH($C1013,MASTER_JAM!$A$5:$A$94,0)),"")</f>
        <v/>
      </c>
      <c r="J1013" s="157">
        <f>IFERROR(INDEX(MASTER_JAM!$E$5:$E$94,MATCH($D1013,MASTER_JAM!$A$5:$A$94,0)),"")</f>
        <v/>
      </c>
      <c r="K1013" s="158">
        <f>IFERROR(INDEX(MASTER_JAM!$J$5:$O$12,MATCH($E1013,MASTER_JAM!$I$5:$I$12,0),MATCH($J1013,MASTER_JAM!$J$4:$O$4,0))+0,0)</f>
        <v/>
      </c>
      <c r="L1013" s="159">
        <f>N($F1013)*$K1013</f>
        <v/>
      </c>
      <c r="M1013" s="157">
        <f>IF($E1013="","",IF(OR($E1013="Coal",$E1013="Dirty Coal"),"MT","BCM"))</f>
        <v/>
      </c>
      <c r="N1013" s="157">
        <f>IF($E1013="","",IF(OR($E1013="Coal",$E1013="Dirty Coal"),"Coal","OB"))</f>
        <v/>
      </c>
      <c r="O1013" s="157">
        <f>IF($F1013="","",IF(COUNTIF(MASTER_JAM!$A$5:$A$94,$C1013)=0,"Digger tidak dikenal",IF($J1013="","Hauler tidak dikenal",IF($H1013="?","Jam salah",IF($K1013=0,"Faktor kosong",IF(SUMIFS(INPUT_DELAY!$E$5:$E$20000,INPUT_DELAY!$A$5:$A$20000,$A1013,INPUT_DELAY!$B$5:$B$20000,$B1013,INPUT_DELAY!$C$5:$C$20000,$C1013)+SUMIFS(INPUT_DELAY!$E$5:$E$20000,INPUT_DELAY!$A$5:$A$20000,$A1013,INPUT_DELAY!$B$5:$B$20000,$B1013,INPUT_DELAY!$C$5:$C$20000,"SEMUA")&gt;=60,"Delay 60 mnt tapi ada ritase","OK"))))))</f>
        <v/>
      </c>
      <c r="P1013" s="158">
        <f>IFERROR(INDEX(MASTER_JAM!$Z$5:$AC$10,MATCH($I1013,MASTER_JAM!$Y$5:$Y$10,0),MATCH($J1013,MASTER_JAM!$Z$4:$AC$4,0))+0,0)</f>
        <v/>
      </c>
      <c r="Q1013" s="158">
        <f>IF($P1013=0,0,$P1013+IFERROR(INDEX(MASTER_JAM!$H$5:$H$94,MATCH($C1013,MASTER_JAM!$A$5:$A$94,0))+0,MASTER_JAM!$AC$15)/1000*(60/MASTER_JAM!$AC$12+60/MASTER_JAM!$AC$13)+MASTER_JAM!$AC$14)</f>
        <v/>
      </c>
      <c r="R1013" s="158">
        <f>IF(N($F1013)=0,0,$F1013/SUMIFS(INPUT_RITASE!$F$5:$F$20000,INPUT_RITASE!$A$5:$A$20000,$A1013,INPUT_RITASE!$B$5:$B$20000,$B1013,INPUT_RITASE!$C$5:$C$20000,$C1013,INPUT_RITASE!$D$5:$D$20000,$D1013))</f>
        <v/>
      </c>
      <c r="S1013" s="158">
        <f>IF($Q1013=0,0,$R1013*$P1013/$Q1013)</f>
        <v/>
      </c>
    </row>
    <row r="1014">
      <c r="A1014" s="155" t="n">
        <v>46107</v>
      </c>
      <c r="B1014" s="156" t="inlineStr">
        <is>
          <t>15-16</t>
        </is>
      </c>
      <c r="C1014" s="156" t="inlineStr">
        <is>
          <t>EX-2101</t>
        </is>
      </c>
      <c r="D1014" s="156" t="inlineStr">
        <is>
          <t>HD-903</t>
        </is>
      </c>
      <c r="E1014" s="156" t="inlineStr">
        <is>
          <t>OB</t>
        </is>
      </c>
      <c r="F1014" s="156" t="n">
        <v>3</v>
      </c>
      <c r="G1014" s="156" t="inlineStr"/>
      <c r="H1014" s="157">
        <f>IF($B1014="","",IF(ISNA(MATCH($B1014,MASTER_JAM!$Q$5:$Q$28,0)),"?",IF(MATCH($B1014,MASTER_JAM!$Q$5:$Q$28,0)&lt;=12,"DS","NS")))</f>
        <v/>
      </c>
      <c r="I1014" s="157">
        <f>IFERROR(INDEX(MASTER_JAM!$B$5:$B$94,MATCH($C1014,MASTER_JAM!$A$5:$A$94,0)),"")</f>
        <v/>
      </c>
      <c r="J1014" s="157">
        <f>IFERROR(INDEX(MASTER_JAM!$E$5:$E$94,MATCH($D1014,MASTER_JAM!$A$5:$A$94,0)),"")</f>
        <v/>
      </c>
      <c r="K1014" s="158">
        <f>IFERROR(INDEX(MASTER_JAM!$J$5:$O$12,MATCH($E1014,MASTER_JAM!$I$5:$I$12,0),MATCH($J1014,MASTER_JAM!$J$4:$O$4,0))+0,0)</f>
        <v/>
      </c>
      <c r="L1014" s="159">
        <f>N($F1014)*$K1014</f>
        <v/>
      </c>
      <c r="M1014" s="157">
        <f>IF($E1014="","",IF(OR($E1014="Coal",$E1014="Dirty Coal"),"MT","BCM"))</f>
        <v/>
      </c>
      <c r="N1014" s="157">
        <f>IF($E1014="","",IF(OR($E1014="Coal",$E1014="Dirty Coal"),"Coal","OB"))</f>
        <v/>
      </c>
      <c r="O1014" s="157">
        <f>IF($F1014="","",IF(COUNTIF(MASTER_JAM!$A$5:$A$94,$C1014)=0,"Digger tidak dikenal",IF($J1014="","Hauler tidak dikenal",IF($H1014="?","Jam salah",IF($K1014=0,"Faktor kosong",IF(SUMIFS(INPUT_DELAY!$E$5:$E$20000,INPUT_DELAY!$A$5:$A$20000,$A1014,INPUT_DELAY!$B$5:$B$20000,$B1014,INPUT_DELAY!$C$5:$C$20000,$C1014)+SUMIFS(INPUT_DELAY!$E$5:$E$20000,INPUT_DELAY!$A$5:$A$20000,$A1014,INPUT_DELAY!$B$5:$B$20000,$B1014,INPUT_DELAY!$C$5:$C$20000,"SEMUA")&gt;=60,"Delay 60 mnt tapi ada ritase","OK"))))))</f>
        <v/>
      </c>
      <c r="P1014" s="158">
        <f>IFERROR(INDEX(MASTER_JAM!$Z$5:$AC$10,MATCH($I1014,MASTER_JAM!$Y$5:$Y$10,0),MATCH($J1014,MASTER_JAM!$Z$4:$AC$4,0))+0,0)</f>
        <v/>
      </c>
      <c r="Q1014" s="158">
        <f>IF($P1014=0,0,$P1014+IFERROR(INDEX(MASTER_JAM!$H$5:$H$94,MATCH($C1014,MASTER_JAM!$A$5:$A$94,0))+0,MASTER_JAM!$AC$15)/1000*(60/MASTER_JAM!$AC$12+60/MASTER_JAM!$AC$13)+MASTER_JAM!$AC$14)</f>
        <v/>
      </c>
      <c r="R1014" s="158">
        <f>IF(N($F1014)=0,0,$F1014/SUMIFS(INPUT_RITASE!$F$5:$F$20000,INPUT_RITASE!$A$5:$A$20000,$A1014,INPUT_RITASE!$B$5:$B$20000,$B1014,INPUT_RITASE!$C$5:$C$20000,$C1014,INPUT_RITASE!$D$5:$D$20000,$D1014))</f>
        <v/>
      </c>
      <c r="S1014" s="158">
        <f>IF($Q1014=0,0,$R1014*$P1014/$Q1014)</f>
        <v/>
      </c>
    </row>
    <row r="1015">
      <c r="A1015" s="155" t="n">
        <v>46107</v>
      </c>
      <c r="B1015" s="156" t="inlineStr">
        <is>
          <t>16-17</t>
        </is>
      </c>
      <c r="C1015" s="156" t="inlineStr">
        <is>
          <t>EX-2101</t>
        </is>
      </c>
      <c r="D1015" s="156" t="inlineStr">
        <is>
          <t>DT-510</t>
        </is>
      </c>
      <c r="E1015" s="156" t="inlineStr">
        <is>
          <t>OB</t>
        </is>
      </c>
      <c r="F1015" s="156" t="n">
        <v>3</v>
      </c>
      <c r="G1015" s="156" t="inlineStr"/>
      <c r="H1015" s="157">
        <f>IF($B1015="","",IF(ISNA(MATCH($B1015,MASTER_JAM!$Q$5:$Q$28,0)),"?",IF(MATCH($B1015,MASTER_JAM!$Q$5:$Q$28,0)&lt;=12,"DS","NS")))</f>
        <v/>
      </c>
      <c r="I1015" s="157">
        <f>IFERROR(INDEX(MASTER_JAM!$B$5:$B$94,MATCH($C1015,MASTER_JAM!$A$5:$A$94,0)),"")</f>
        <v/>
      </c>
      <c r="J1015" s="157">
        <f>IFERROR(INDEX(MASTER_JAM!$E$5:$E$94,MATCH($D1015,MASTER_JAM!$A$5:$A$94,0)),"")</f>
        <v/>
      </c>
      <c r="K1015" s="158">
        <f>IFERROR(INDEX(MASTER_JAM!$J$5:$O$12,MATCH($E1015,MASTER_JAM!$I$5:$I$12,0),MATCH($J1015,MASTER_JAM!$J$4:$O$4,0))+0,0)</f>
        <v/>
      </c>
      <c r="L1015" s="159">
        <f>N($F1015)*$K1015</f>
        <v/>
      </c>
      <c r="M1015" s="157">
        <f>IF($E1015="","",IF(OR($E1015="Coal",$E1015="Dirty Coal"),"MT","BCM"))</f>
        <v/>
      </c>
      <c r="N1015" s="157">
        <f>IF($E1015="","",IF(OR($E1015="Coal",$E1015="Dirty Coal"),"Coal","OB"))</f>
        <v/>
      </c>
      <c r="O1015" s="157">
        <f>IF($F1015="","",IF(COUNTIF(MASTER_JAM!$A$5:$A$94,$C1015)=0,"Digger tidak dikenal",IF($J1015="","Hauler tidak dikenal",IF($H1015="?","Jam salah",IF($K1015=0,"Faktor kosong",IF(SUMIFS(INPUT_DELAY!$E$5:$E$20000,INPUT_DELAY!$A$5:$A$20000,$A1015,INPUT_DELAY!$B$5:$B$20000,$B1015,INPUT_DELAY!$C$5:$C$20000,$C1015)+SUMIFS(INPUT_DELAY!$E$5:$E$20000,INPUT_DELAY!$A$5:$A$20000,$A1015,INPUT_DELAY!$B$5:$B$20000,$B1015,INPUT_DELAY!$C$5:$C$20000,"SEMUA")&gt;=60,"Delay 60 mnt tapi ada ritase","OK"))))))</f>
        <v/>
      </c>
      <c r="P1015" s="158">
        <f>IFERROR(INDEX(MASTER_JAM!$Z$5:$AC$10,MATCH($I1015,MASTER_JAM!$Y$5:$Y$10,0),MATCH($J1015,MASTER_JAM!$Z$4:$AC$4,0))+0,0)</f>
        <v/>
      </c>
      <c r="Q1015" s="158">
        <f>IF($P1015=0,0,$P1015+IFERROR(INDEX(MASTER_JAM!$H$5:$H$94,MATCH($C1015,MASTER_JAM!$A$5:$A$94,0))+0,MASTER_JAM!$AC$15)/1000*(60/MASTER_JAM!$AC$12+60/MASTER_JAM!$AC$13)+MASTER_JAM!$AC$14)</f>
        <v/>
      </c>
      <c r="R1015" s="158">
        <f>IF(N($F1015)=0,0,$F1015/SUMIFS(INPUT_RITASE!$F$5:$F$20000,INPUT_RITASE!$A$5:$A$20000,$A1015,INPUT_RITASE!$B$5:$B$20000,$B1015,INPUT_RITASE!$C$5:$C$20000,$C1015,INPUT_RITASE!$D$5:$D$20000,$D1015))</f>
        <v/>
      </c>
      <c r="S1015" s="158">
        <f>IF($Q1015=0,0,$R1015*$P1015/$Q1015)</f>
        <v/>
      </c>
    </row>
    <row r="1016">
      <c r="A1016" s="155" t="n">
        <v>46107</v>
      </c>
      <c r="B1016" s="156" t="inlineStr">
        <is>
          <t>16-17</t>
        </is>
      </c>
      <c r="C1016" s="156" t="inlineStr">
        <is>
          <t>EX-2101</t>
        </is>
      </c>
      <c r="D1016" s="156" t="inlineStr">
        <is>
          <t>DT-518</t>
        </is>
      </c>
      <c r="E1016" s="156" t="inlineStr">
        <is>
          <t>OB</t>
        </is>
      </c>
      <c r="F1016" s="156" t="n">
        <v>3</v>
      </c>
      <c r="G1016" s="156" t="inlineStr"/>
      <c r="H1016" s="157">
        <f>IF($B1016="","",IF(ISNA(MATCH($B1016,MASTER_JAM!$Q$5:$Q$28,0)),"?",IF(MATCH($B1016,MASTER_JAM!$Q$5:$Q$28,0)&lt;=12,"DS","NS")))</f>
        <v/>
      </c>
      <c r="I1016" s="157">
        <f>IFERROR(INDEX(MASTER_JAM!$B$5:$B$94,MATCH($C1016,MASTER_JAM!$A$5:$A$94,0)),"")</f>
        <v/>
      </c>
      <c r="J1016" s="157">
        <f>IFERROR(INDEX(MASTER_JAM!$E$5:$E$94,MATCH($D1016,MASTER_JAM!$A$5:$A$94,0)),"")</f>
        <v/>
      </c>
      <c r="K1016" s="158">
        <f>IFERROR(INDEX(MASTER_JAM!$J$5:$O$12,MATCH($E1016,MASTER_JAM!$I$5:$I$12,0),MATCH($J1016,MASTER_JAM!$J$4:$O$4,0))+0,0)</f>
        <v/>
      </c>
      <c r="L1016" s="159">
        <f>N($F1016)*$K1016</f>
        <v/>
      </c>
      <c r="M1016" s="157">
        <f>IF($E1016="","",IF(OR($E1016="Coal",$E1016="Dirty Coal"),"MT","BCM"))</f>
        <v/>
      </c>
      <c r="N1016" s="157">
        <f>IF($E1016="","",IF(OR($E1016="Coal",$E1016="Dirty Coal"),"Coal","OB"))</f>
        <v/>
      </c>
      <c r="O1016" s="157">
        <f>IF($F1016="","",IF(COUNTIF(MASTER_JAM!$A$5:$A$94,$C1016)=0,"Digger tidak dikenal",IF($J1016="","Hauler tidak dikenal",IF($H1016="?","Jam salah",IF($K1016=0,"Faktor kosong",IF(SUMIFS(INPUT_DELAY!$E$5:$E$20000,INPUT_DELAY!$A$5:$A$20000,$A1016,INPUT_DELAY!$B$5:$B$20000,$B1016,INPUT_DELAY!$C$5:$C$20000,$C1016)+SUMIFS(INPUT_DELAY!$E$5:$E$20000,INPUT_DELAY!$A$5:$A$20000,$A1016,INPUT_DELAY!$B$5:$B$20000,$B1016,INPUT_DELAY!$C$5:$C$20000,"SEMUA")&gt;=60,"Delay 60 mnt tapi ada ritase","OK"))))))</f>
        <v/>
      </c>
      <c r="P1016" s="158">
        <f>IFERROR(INDEX(MASTER_JAM!$Z$5:$AC$10,MATCH($I1016,MASTER_JAM!$Y$5:$Y$10,0),MATCH($J1016,MASTER_JAM!$Z$4:$AC$4,0))+0,0)</f>
        <v/>
      </c>
      <c r="Q1016" s="158">
        <f>IF($P1016=0,0,$P1016+IFERROR(INDEX(MASTER_JAM!$H$5:$H$94,MATCH($C1016,MASTER_JAM!$A$5:$A$94,0))+0,MASTER_JAM!$AC$15)/1000*(60/MASTER_JAM!$AC$12+60/MASTER_JAM!$AC$13)+MASTER_JAM!$AC$14)</f>
        <v/>
      </c>
      <c r="R1016" s="158">
        <f>IF(N($F1016)=0,0,$F1016/SUMIFS(INPUT_RITASE!$F$5:$F$20000,INPUT_RITASE!$A$5:$A$20000,$A1016,INPUT_RITASE!$B$5:$B$20000,$B1016,INPUT_RITASE!$C$5:$C$20000,$C1016,INPUT_RITASE!$D$5:$D$20000,$D1016))</f>
        <v/>
      </c>
      <c r="S1016" s="158">
        <f>IF($Q1016=0,0,$R1016*$P1016/$Q1016)</f>
        <v/>
      </c>
    </row>
    <row r="1017">
      <c r="A1017" s="155" t="n">
        <v>46107</v>
      </c>
      <c r="B1017" s="156" t="inlineStr">
        <is>
          <t>16-17</t>
        </is>
      </c>
      <c r="C1017" s="156" t="inlineStr">
        <is>
          <t>EX-2101</t>
        </is>
      </c>
      <c r="D1017" s="156" t="inlineStr">
        <is>
          <t>HD-901</t>
        </is>
      </c>
      <c r="E1017" s="156" t="inlineStr">
        <is>
          <t>OB</t>
        </is>
      </c>
      <c r="F1017" s="156" t="n">
        <v>4</v>
      </c>
      <c r="G1017" s="156" t="inlineStr"/>
      <c r="H1017" s="157">
        <f>IF($B1017="","",IF(ISNA(MATCH($B1017,MASTER_JAM!$Q$5:$Q$28,0)),"?",IF(MATCH($B1017,MASTER_JAM!$Q$5:$Q$28,0)&lt;=12,"DS","NS")))</f>
        <v/>
      </c>
      <c r="I1017" s="157">
        <f>IFERROR(INDEX(MASTER_JAM!$B$5:$B$94,MATCH($C1017,MASTER_JAM!$A$5:$A$94,0)),"")</f>
        <v/>
      </c>
      <c r="J1017" s="157">
        <f>IFERROR(INDEX(MASTER_JAM!$E$5:$E$94,MATCH($D1017,MASTER_JAM!$A$5:$A$94,0)),"")</f>
        <v/>
      </c>
      <c r="K1017" s="158">
        <f>IFERROR(INDEX(MASTER_JAM!$J$5:$O$12,MATCH($E1017,MASTER_JAM!$I$5:$I$12,0),MATCH($J1017,MASTER_JAM!$J$4:$O$4,0))+0,0)</f>
        <v/>
      </c>
      <c r="L1017" s="159">
        <f>N($F1017)*$K1017</f>
        <v/>
      </c>
      <c r="M1017" s="157">
        <f>IF($E1017="","",IF(OR($E1017="Coal",$E1017="Dirty Coal"),"MT","BCM"))</f>
        <v/>
      </c>
      <c r="N1017" s="157">
        <f>IF($E1017="","",IF(OR($E1017="Coal",$E1017="Dirty Coal"),"Coal","OB"))</f>
        <v/>
      </c>
      <c r="O1017" s="157">
        <f>IF($F1017="","",IF(COUNTIF(MASTER_JAM!$A$5:$A$94,$C1017)=0,"Digger tidak dikenal",IF($J1017="","Hauler tidak dikenal",IF($H1017="?","Jam salah",IF($K1017=0,"Faktor kosong",IF(SUMIFS(INPUT_DELAY!$E$5:$E$20000,INPUT_DELAY!$A$5:$A$20000,$A1017,INPUT_DELAY!$B$5:$B$20000,$B1017,INPUT_DELAY!$C$5:$C$20000,$C1017)+SUMIFS(INPUT_DELAY!$E$5:$E$20000,INPUT_DELAY!$A$5:$A$20000,$A1017,INPUT_DELAY!$B$5:$B$20000,$B1017,INPUT_DELAY!$C$5:$C$20000,"SEMUA")&gt;=60,"Delay 60 mnt tapi ada ritase","OK"))))))</f>
        <v/>
      </c>
      <c r="P1017" s="158">
        <f>IFERROR(INDEX(MASTER_JAM!$Z$5:$AC$10,MATCH($I1017,MASTER_JAM!$Y$5:$Y$10,0),MATCH($J1017,MASTER_JAM!$Z$4:$AC$4,0))+0,0)</f>
        <v/>
      </c>
      <c r="Q1017" s="158">
        <f>IF($P1017=0,0,$P1017+IFERROR(INDEX(MASTER_JAM!$H$5:$H$94,MATCH($C1017,MASTER_JAM!$A$5:$A$94,0))+0,MASTER_JAM!$AC$15)/1000*(60/MASTER_JAM!$AC$12+60/MASTER_JAM!$AC$13)+MASTER_JAM!$AC$14)</f>
        <v/>
      </c>
      <c r="R1017" s="158">
        <f>IF(N($F1017)=0,0,$F1017/SUMIFS(INPUT_RITASE!$F$5:$F$20000,INPUT_RITASE!$A$5:$A$20000,$A1017,INPUT_RITASE!$B$5:$B$20000,$B1017,INPUT_RITASE!$C$5:$C$20000,$C1017,INPUT_RITASE!$D$5:$D$20000,$D1017))</f>
        <v/>
      </c>
      <c r="S1017" s="158">
        <f>IF($Q1017=0,0,$R1017*$P1017/$Q1017)</f>
        <v/>
      </c>
    </row>
    <row r="1018">
      <c r="A1018" s="155" t="n">
        <v>46107</v>
      </c>
      <c r="B1018" s="156" t="inlineStr">
        <is>
          <t>16-17</t>
        </is>
      </c>
      <c r="C1018" s="156" t="inlineStr">
        <is>
          <t>EX-2101</t>
        </is>
      </c>
      <c r="D1018" s="156" t="inlineStr">
        <is>
          <t>HD-904</t>
        </is>
      </c>
      <c r="E1018" s="156" t="inlineStr">
        <is>
          <t>OB</t>
        </is>
      </c>
      <c r="F1018" s="156" t="n">
        <v>4</v>
      </c>
      <c r="G1018" s="156" t="inlineStr"/>
      <c r="H1018" s="157">
        <f>IF($B1018="","",IF(ISNA(MATCH($B1018,MASTER_JAM!$Q$5:$Q$28,0)),"?",IF(MATCH($B1018,MASTER_JAM!$Q$5:$Q$28,0)&lt;=12,"DS","NS")))</f>
        <v/>
      </c>
      <c r="I1018" s="157">
        <f>IFERROR(INDEX(MASTER_JAM!$B$5:$B$94,MATCH($C1018,MASTER_JAM!$A$5:$A$94,0)),"")</f>
        <v/>
      </c>
      <c r="J1018" s="157">
        <f>IFERROR(INDEX(MASTER_JAM!$E$5:$E$94,MATCH($D1018,MASTER_JAM!$A$5:$A$94,0)),"")</f>
        <v/>
      </c>
      <c r="K1018" s="158">
        <f>IFERROR(INDEX(MASTER_JAM!$J$5:$O$12,MATCH($E1018,MASTER_JAM!$I$5:$I$12,0),MATCH($J1018,MASTER_JAM!$J$4:$O$4,0))+0,0)</f>
        <v/>
      </c>
      <c r="L1018" s="159">
        <f>N($F1018)*$K1018</f>
        <v/>
      </c>
      <c r="M1018" s="157">
        <f>IF($E1018="","",IF(OR($E1018="Coal",$E1018="Dirty Coal"),"MT","BCM"))</f>
        <v/>
      </c>
      <c r="N1018" s="157">
        <f>IF($E1018="","",IF(OR($E1018="Coal",$E1018="Dirty Coal"),"Coal","OB"))</f>
        <v/>
      </c>
      <c r="O1018" s="157">
        <f>IF($F1018="","",IF(COUNTIF(MASTER_JAM!$A$5:$A$94,$C1018)=0,"Digger tidak dikenal",IF($J1018="","Hauler tidak dikenal",IF($H1018="?","Jam salah",IF($K1018=0,"Faktor kosong",IF(SUMIFS(INPUT_DELAY!$E$5:$E$20000,INPUT_DELAY!$A$5:$A$20000,$A1018,INPUT_DELAY!$B$5:$B$20000,$B1018,INPUT_DELAY!$C$5:$C$20000,$C1018)+SUMIFS(INPUT_DELAY!$E$5:$E$20000,INPUT_DELAY!$A$5:$A$20000,$A1018,INPUT_DELAY!$B$5:$B$20000,$B1018,INPUT_DELAY!$C$5:$C$20000,"SEMUA")&gt;=60,"Delay 60 mnt tapi ada ritase","OK"))))))</f>
        <v/>
      </c>
      <c r="P1018" s="158">
        <f>IFERROR(INDEX(MASTER_JAM!$Z$5:$AC$10,MATCH($I1018,MASTER_JAM!$Y$5:$Y$10,0),MATCH($J1018,MASTER_JAM!$Z$4:$AC$4,0))+0,0)</f>
        <v/>
      </c>
      <c r="Q1018" s="158">
        <f>IF($P1018=0,0,$P1018+IFERROR(INDEX(MASTER_JAM!$H$5:$H$94,MATCH($C1018,MASTER_JAM!$A$5:$A$94,0))+0,MASTER_JAM!$AC$15)/1000*(60/MASTER_JAM!$AC$12+60/MASTER_JAM!$AC$13)+MASTER_JAM!$AC$14)</f>
        <v/>
      </c>
      <c r="R1018" s="158">
        <f>IF(N($F1018)=0,0,$F1018/SUMIFS(INPUT_RITASE!$F$5:$F$20000,INPUT_RITASE!$A$5:$A$20000,$A1018,INPUT_RITASE!$B$5:$B$20000,$B1018,INPUT_RITASE!$C$5:$C$20000,$C1018,INPUT_RITASE!$D$5:$D$20000,$D1018))</f>
        <v/>
      </c>
      <c r="S1018" s="158">
        <f>IF($Q1018=0,0,$R1018*$P1018/$Q1018)</f>
        <v/>
      </c>
    </row>
    <row r="1019">
      <c r="A1019" s="155" t="n">
        <v>46107</v>
      </c>
      <c r="B1019" s="156" t="inlineStr">
        <is>
          <t>17-18</t>
        </is>
      </c>
      <c r="C1019" s="156" t="inlineStr">
        <is>
          <t>EX-2101</t>
        </is>
      </c>
      <c r="D1019" s="156" t="inlineStr">
        <is>
          <t>DT-508</t>
        </is>
      </c>
      <c r="E1019" s="156" t="inlineStr">
        <is>
          <t>OB</t>
        </is>
      </c>
      <c r="F1019" s="156" t="n">
        <v>4</v>
      </c>
      <c r="G1019" s="156" t="inlineStr"/>
      <c r="H1019" s="157">
        <f>IF($B1019="","",IF(ISNA(MATCH($B1019,MASTER_JAM!$Q$5:$Q$28,0)),"?",IF(MATCH($B1019,MASTER_JAM!$Q$5:$Q$28,0)&lt;=12,"DS","NS")))</f>
        <v/>
      </c>
      <c r="I1019" s="157">
        <f>IFERROR(INDEX(MASTER_JAM!$B$5:$B$94,MATCH($C1019,MASTER_JAM!$A$5:$A$94,0)),"")</f>
        <v/>
      </c>
      <c r="J1019" s="157">
        <f>IFERROR(INDEX(MASTER_JAM!$E$5:$E$94,MATCH($D1019,MASTER_JAM!$A$5:$A$94,0)),"")</f>
        <v/>
      </c>
      <c r="K1019" s="158">
        <f>IFERROR(INDEX(MASTER_JAM!$J$5:$O$12,MATCH($E1019,MASTER_JAM!$I$5:$I$12,0),MATCH($J1019,MASTER_JAM!$J$4:$O$4,0))+0,0)</f>
        <v/>
      </c>
      <c r="L1019" s="159">
        <f>N($F1019)*$K1019</f>
        <v/>
      </c>
      <c r="M1019" s="157">
        <f>IF($E1019="","",IF(OR($E1019="Coal",$E1019="Dirty Coal"),"MT","BCM"))</f>
        <v/>
      </c>
      <c r="N1019" s="157">
        <f>IF($E1019="","",IF(OR($E1019="Coal",$E1019="Dirty Coal"),"Coal","OB"))</f>
        <v/>
      </c>
      <c r="O1019" s="157">
        <f>IF($F1019="","",IF(COUNTIF(MASTER_JAM!$A$5:$A$94,$C1019)=0,"Digger tidak dikenal",IF($J1019="","Hauler tidak dikenal",IF($H1019="?","Jam salah",IF($K1019=0,"Faktor kosong",IF(SUMIFS(INPUT_DELAY!$E$5:$E$20000,INPUT_DELAY!$A$5:$A$20000,$A1019,INPUT_DELAY!$B$5:$B$20000,$B1019,INPUT_DELAY!$C$5:$C$20000,$C1019)+SUMIFS(INPUT_DELAY!$E$5:$E$20000,INPUT_DELAY!$A$5:$A$20000,$A1019,INPUT_DELAY!$B$5:$B$20000,$B1019,INPUT_DELAY!$C$5:$C$20000,"SEMUA")&gt;=60,"Delay 60 mnt tapi ada ritase","OK"))))))</f>
        <v/>
      </c>
      <c r="P1019" s="158">
        <f>IFERROR(INDEX(MASTER_JAM!$Z$5:$AC$10,MATCH($I1019,MASTER_JAM!$Y$5:$Y$10,0),MATCH($J1019,MASTER_JAM!$Z$4:$AC$4,0))+0,0)</f>
        <v/>
      </c>
      <c r="Q1019" s="158">
        <f>IF($P1019=0,0,$P1019+IFERROR(INDEX(MASTER_JAM!$H$5:$H$94,MATCH($C1019,MASTER_JAM!$A$5:$A$94,0))+0,MASTER_JAM!$AC$15)/1000*(60/MASTER_JAM!$AC$12+60/MASTER_JAM!$AC$13)+MASTER_JAM!$AC$14)</f>
        <v/>
      </c>
      <c r="R1019" s="158">
        <f>IF(N($F1019)=0,0,$F1019/SUMIFS(INPUT_RITASE!$F$5:$F$20000,INPUT_RITASE!$A$5:$A$20000,$A1019,INPUT_RITASE!$B$5:$B$20000,$B1019,INPUT_RITASE!$C$5:$C$20000,$C1019,INPUT_RITASE!$D$5:$D$20000,$D1019))</f>
        <v/>
      </c>
      <c r="S1019" s="158">
        <f>IF($Q1019=0,0,$R1019*$P1019/$Q1019)</f>
        <v/>
      </c>
    </row>
    <row r="1020">
      <c r="A1020" s="155" t="n">
        <v>46107</v>
      </c>
      <c r="B1020" s="156" t="inlineStr">
        <is>
          <t>17-18</t>
        </is>
      </c>
      <c r="C1020" s="156" t="inlineStr">
        <is>
          <t>EX-2101</t>
        </is>
      </c>
      <c r="D1020" s="156" t="inlineStr">
        <is>
          <t>DT-501</t>
        </is>
      </c>
      <c r="E1020" s="156" t="inlineStr">
        <is>
          <t>OB</t>
        </is>
      </c>
      <c r="F1020" s="156" t="n">
        <v>4</v>
      </c>
      <c r="G1020" s="156" t="inlineStr"/>
      <c r="H1020" s="157">
        <f>IF($B1020="","",IF(ISNA(MATCH($B1020,MASTER_JAM!$Q$5:$Q$28,0)),"?",IF(MATCH($B1020,MASTER_JAM!$Q$5:$Q$28,0)&lt;=12,"DS","NS")))</f>
        <v/>
      </c>
      <c r="I1020" s="157">
        <f>IFERROR(INDEX(MASTER_JAM!$B$5:$B$94,MATCH($C1020,MASTER_JAM!$A$5:$A$94,0)),"")</f>
        <v/>
      </c>
      <c r="J1020" s="157">
        <f>IFERROR(INDEX(MASTER_JAM!$E$5:$E$94,MATCH($D1020,MASTER_JAM!$A$5:$A$94,0)),"")</f>
        <v/>
      </c>
      <c r="K1020" s="158">
        <f>IFERROR(INDEX(MASTER_JAM!$J$5:$O$12,MATCH($E1020,MASTER_JAM!$I$5:$I$12,0),MATCH($J1020,MASTER_JAM!$J$4:$O$4,0))+0,0)</f>
        <v/>
      </c>
      <c r="L1020" s="159">
        <f>N($F1020)*$K1020</f>
        <v/>
      </c>
      <c r="M1020" s="157">
        <f>IF($E1020="","",IF(OR($E1020="Coal",$E1020="Dirty Coal"),"MT","BCM"))</f>
        <v/>
      </c>
      <c r="N1020" s="157">
        <f>IF($E1020="","",IF(OR($E1020="Coal",$E1020="Dirty Coal"),"Coal","OB"))</f>
        <v/>
      </c>
      <c r="O1020" s="157">
        <f>IF($F1020="","",IF(COUNTIF(MASTER_JAM!$A$5:$A$94,$C1020)=0,"Digger tidak dikenal",IF($J1020="","Hauler tidak dikenal",IF($H1020="?","Jam salah",IF($K1020=0,"Faktor kosong",IF(SUMIFS(INPUT_DELAY!$E$5:$E$20000,INPUT_DELAY!$A$5:$A$20000,$A1020,INPUT_DELAY!$B$5:$B$20000,$B1020,INPUT_DELAY!$C$5:$C$20000,$C1020)+SUMIFS(INPUT_DELAY!$E$5:$E$20000,INPUT_DELAY!$A$5:$A$20000,$A1020,INPUT_DELAY!$B$5:$B$20000,$B1020,INPUT_DELAY!$C$5:$C$20000,"SEMUA")&gt;=60,"Delay 60 mnt tapi ada ritase","OK"))))))</f>
        <v/>
      </c>
      <c r="P1020" s="158">
        <f>IFERROR(INDEX(MASTER_JAM!$Z$5:$AC$10,MATCH($I1020,MASTER_JAM!$Y$5:$Y$10,0),MATCH($J1020,MASTER_JAM!$Z$4:$AC$4,0))+0,0)</f>
        <v/>
      </c>
      <c r="Q1020" s="158">
        <f>IF($P1020=0,0,$P1020+IFERROR(INDEX(MASTER_JAM!$H$5:$H$94,MATCH($C1020,MASTER_JAM!$A$5:$A$94,0))+0,MASTER_JAM!$AC$15)/1000*(60/MASTER_JAM!$AC$12+60/MASTER_JAM!$AC$13)+MASTER_JAM!$AC$14)</f>
        <v/>
      </c>
      <c r="R1020" s="158">
        <f>IF(N($F1020)=0,0,$F1020/SUMIFS(INPUT_RITASE!$F$5:$F$20000,INPUT_RITASE!$A$5:$A$20000,$A1020,INPUT_RITASE!$B$5:$B$20000,$B1020,INPUT_RITASE!$C$5:$C$20000,$C1020,INPUT_RITASE!$D$5:$D$20000,$D1020))</f>
        <v/>
      </c>
      <c r="S1020" s="158">
        <f>IF($Q1020=0,0,$R1020*$P1020/$Q1020)</f>
        <v/>
      </c>
    </row>
    <row r="1021">
      <c r="A1021" s="155" t="n">
        <v>46107</v>
      </c>
      <c r="B1021" s="156" t="inlineStr">
        <is>
          <t>17-18</t>
        </is>
      </c>
      <c r="C1021" s="156" t="inlineStr">
        <is>
          <t>EX-2101</t>
        </is>
      </c>
      <c r="D1021" s="156" t="inlineStr">
        <is>
          <t>HD-903</t>
        </is>
      </c>
      <c r="E1021" s="156" t="inlineStr">
        <is>
          <t>OB</t>
        </is>
      </c>
      <c r="F1021" s="156" t="n">
        <v>4</v>
      </c>
      <c r="G1021" s="156" t="inlineStr"/>
      <c r="H1021" s="157">
        <f>IF($B1021="","",IF(ISNA(MATCH($B1021,MASTER_JAM!$Q$5:$Q$28,0)),"?",IF(MATCH($B1021,MASTER_JAM!$Q$5:$Q$28,0)&lt;=12,"DS","NS")))</f>
        <v/>
      </c>
      <c r="I1021" s="157">
        <f>IFERROR(INDEX(MASTER_JAM!$B$5:$B$94,MATCH($C1021,MASTER_JAM!$A$5:$A$94,0)),"")</f>
        <v/>
      </c>
      <c r="J1021" s="157">
        <f>IFERROR(INDEX(MASTER_JAM!$E$5:$E$94,MATCH($D1021,MASTER_JAM!$A$5:$A$94,0)),"")</f>
        <v/>
      </c>
      <c r="K1021" s="158">
        <f>IFERROR(INDEX(MASTER_JAM!$J$5:$O$12,MATCH($E1021,MASTER_JAM!$I$5:$I$12,0),MATCH($J1021,MASTER_JAM!$J$4:$O$4,0))+0,0)</f>
        <v/>
      </c>
      <c r="L1021" s="159">
        <f>N($F1021)*$K1021</f>
        <v/>
      </c>
      <c r="M1021" s="157">
        <f>IF($E1021="","",IF(OR($E1021="Coal",$E1021="Dirty Coal"),"MT","BCM"))</f>
        <v/>
      </c>
      <c r="N1021" s="157">
        <f>IF($E1021="","",IF(OR($E1021="Coal",$E1021="Dirty Coal"),"Coal","OB"))</f>
        <v/>
      </c>
      <c r="O1021" s="157">
        <f>IF($F1021="","",IF(COUNTIF(MASTER_JAM!$A$5:$A$94,$C1021)=0,"Digger tidak dikenal",IF($J1021="","Hauler tidak dikenal",IF($H1021="?","Jam salah",IF($K1021=0,"Faktor kosong",IF(SUMIFS(INPUT_DELAY!$E$5:$E$20000,INPUT_DELAY!$A$5:$A$20000,$A1021,INPUT_DELAY!$B$5:$B$20000,$B1021,INPUT_DELAY!$C$5:$C$20000,$C1021)+SUMIFS(INPUT_DELAY!$E$5:$E$20000,INPUT_DELAY!$A$5:$A$20000,$A1021,INPUT_DELAY!$B$5:$B$20000,$B1021,INPUT_DELAY!$C$5:$C$20000,"SEMUA")&gt;=60,"Delay 60 mnt tapi ada ritase","OK"))))))</f>
        <v/>
      </c>
      <c r="P1021" s="158">
        <f>IFERROR(INDEX(MASTER_JAM!$Z$5:$AC$10,MATCH($I1021,MASTER_JAM!$Y$5:$Y$10,0),MATCH($J1021,MASTER_JAM!$Z$4:$AC$4,0))+0,0)</f>
        <v/>
      </c>
      <c r="Q1021" s="158">
        <f>IF($P1021=0,0,$P1021+IFERROR(INDEX(MASTER_JAM!$H$5:$H$94,MATCH($C1021,MASTER_JAM!$A$5:$A$94,0))+0,MASTER_JAM!$AC$15)/1000*(60/MASTER_JAM!$AC$12+60/MASTER_JAM!$AC$13)+MASTER_JAM!$AC$14)</f>
        <v/>
      </c>
      <c r="R1021" s="158">
        <f>IF(N($F1021)=0,0,$F1021/SUMIFS(INPUT_RITASE!$F$5:$F$20000,INPUT_RITASE!$A$5:$A$20000,$A1021,INPUT_RITASE!$B$5:$B$20000,$B1021,INPUT_RITASE!$C$5:$C$20000,$C1021,INPUT_RITASE!$D$5:$D$20000,$D1021))</f>
        <v/>
      </c>
      <c r="S1021" s="158">
        <f>IF($Q1021=0,0,$R1021*$P1021/$Q1021)</f>
        <v/>
      </c>
    </row>
    <row r="1022">
      <c r="A1022" s="155" t="n">
        <v>46107</v>
      </c>
      <c r="B1022" s="156" t="inlineStr">
        <is>
          <t>17-18</t>
        </is>
      </c>
      <c r="C1022" s="156" t="inlineStr">
        <is>
          <t>EX-2101</t>
        </is>
      </c>
      <c r="D1022" s="156" t="inlineStr">
        <is>
          <t>HD-901</t>
        </is>
      </c>
      <c r="E1022" s="156" t="inlineStr">
        <is>
          <t>OB</t>
        </is>
      </c>
      <c r="F1022" s="156" t="n">
        <v>4</v>
      </c>
      <c r="G1022" s="156" t="inlineStr"/>
      <c r="H1022" s="157">
        <f>IF($B1022="","",IF(ISNA(MATCH($B1022,MASTER_JAM!$Q$5:$Q$28,0)),"?",IF(MATCH($B1022,MASTER_JAM!$Q$5:$Q$28,0)&lt;=12,"DS","NS")))</f>
        <v/>
      </c>
      <c r="I1022" s="157">
        <f>IFERROR(INDEX(MASTER_JAM!$B$5:$B$94,MATCH($C1022,MASTER_JAM!$A$5:$A$94,0)),"")</f>
        <v/>
      </c>
      <c r="J1022" s="157">
        <f>IFERROR(INDEX(MASTER_JAM!$E$5:$E$94,MATCH($D1022,MASTER_JAM!$A$5:$A$94,0)),"")</f>
        <v/>
      </c>
      <c r="K1022" s="158">
        <f>IFERROR(INDEX(MASTER_JAM!$J$5:$O$12,MATCH($E1022,MASTER_JAM!$I$5:$I$12,0),MATCH($J1022,MASTER_JAM!$J$4:$O$4,0))+0,0)</f>
        <v/>
      </c>
      <c r="L1022" s="159">
        <f>N($F1022)*$K1022</f>
        <v/>
      </c>
      <c r="M1022" s="157">
        <f>IF($E1022="","",IF(OR($E1022="Coal",$E1022="Dirty Coal"),"MT","BCM"))</f>
        <v/>
      </c>
      <c r="N1022" s="157">
        <f>IF($E1022="","",IF(OR($E1022="Coal",$E1022="Dirty Coal"),"Coal","OB"))</f>
        <v/>
      </c>
      <c r="O1022" s="157">
        <f>IF($F1022="","",IF(COUNTIF(MASTER_JAM!$A$5:$A$94,$C1022)=0,"Digger tidak dikenal",IF($J1022="","Hauler tidak dikenal",IF($H1022="?","Jam salah",IF($K1022=0,"Faktor kosong",IF(SUMIFS(INPUT_DELAY!$E$5:$E$20000,INPUT_DELAY!$A$5:$A$20000,$A1022,INPUT_DELAY!$B$5:$B$20000,$B1022,INPUT_DELAY!$C$5:$C$20000,$C1022)+SUMIFS(INPUT_DELAY!$E$5:$E$20000,INPUT_DELAY!$A$5:$A$20000,$A1022,INPUT_DELAY!$B$5:$B$20000,$B1022,INPUT_DELAY!$C$5:$C$20000,"SEMUA")&gt;=60,"Delay 60 mnt tapi ada ritase","OK"))))))</f>
        <v/>
      </c>
      <c r="P1022" s="158">
        <f>IFERROR(INDEX(MASTER_JAM!$Z$5:$AC$10,MATCH($I1022,MASTER_JAM!$Y$5:$Y$10,0),MATCH($J1022,MASTER_JAM!$Z$4:$AC$4,0))+0,0)</f>
        <v/>
      </c>
      <c r="Q1022" s="158">
        <f>IF($P1022=0,0,$P1022+IFERROR(INDEX(MASTER_JAM!$H$5:$H$94,MATCH($C1022,MASTER_JAM!$A$5:$A$94,0))+0,MASTER_JAM!$AC$15)/1000*(60/MASTER_JAM!$AC$12+60/MASTER_JAM!$AC$13)+MASTER_JAM!$AC$14)</f>
        <v/>
      </c>
      <c r="R1022" s="158">
        <f>IF(N($F1022)=0,0,$F1022/SUMIFS(INPUT_RITASE!$F$5:$F$20000,INPUT_RITASE!$A$5:$A$20000,$A1022,INPUT_RITASE!$B$5:$B$20000,$B1022,INPUT_RITASE!$C$5:$C$20000,$C1022,INPUT_RITASE!$D$5:$D$20000,$D1022))</f>
        <v/>
      </c>
      <c r="S1022" s="158">
        <f>IF($Q1022=0,0,$R1022*$P1022/$Q1022)</f>
        <v/>
      </c>
    </row>
    <row r="1023">
      <c r="A1023" s="155" t="n">
        <v>46107</v>
      </c>
      <c r="B1023" s="156" t="inlineStr">
        <is>
          <t>06-07</t>
        </is>
      </c>
      <c r="C1023" s="156" t="inlineStr">
        <is>
          <t>EX-334</t>
        </is>
      </c>
      <c r="D1023" s="156" t="inlineStr">
        <is>
          <t>DT-811</t>
        </is>
      </c>
      <c r="E1023" s="156" t="inlineStr">
        <is>
          <t>Coal</t>
        </is>
      </c>
      <c r="F1023" s="156" t="n">
        <v>3</v>
      </c>
      <c r="G1023" s="156" t="inlineStr"/>
      <c r="H1023" s="157">
        <f>IF($B1023="","",IF(ISNA(MATCH($B1023,MASTER_JAM!$Q$5:$Q$28,0)),"?",IF(MATCH($B1023,MASTER_JAM!$Q$5:$Q$28,0)&lt;=12,"DS","NS")))</f>
        <v/>
      </c>
      <c r="I1023" s="157">
        <f>IFERROR(INDEX(MASTER_JAM!$B$5:$B$94,MATCH($C1023,MASTER_JAM!$A$5:$A$94,0)),"")</f>
        <v/>
      </c>
      <c r="J1023" s="157">
        <f>IFERROR(INDEX(MASTER_JAM!$E$5:$E$94,MATCH($D1023,MASTER_JAM!$A$5:$A$94,0)),"")</f>
        <v/>
      </c>
      <c r="K1023" s="158">
        <f>IFERROR(INDEX(MASTER_JAM!$J$5:$O$12,MATCH($E1023,MASTER_JAM!$I$5:$I$12,0),MATCH($J1023,MASTER_JAM!$J$4:$O$4,0))+0,0)</f>
        <v/>
      </c>
      <c r="L1023" s="159">
        <f>N($F1023)*$K1023</f>
        <v/>
      </c>
      <c r="M1023" s="157">
        <f>IF($E1023="","",IF(OR($E1023="Coal",$E1023="Dirty Coal"),"MT","BCM"))</f>
        <v/>
      </c>
      <c r="N1023" s="157">
        <f>IF($E1023="","",IF(OR($E1023="Coal",$E1023="Dirty Coal"),"Coal","OB"))</f>
        <v/>
      </c>
      <c r="O1023" s="157">
        <f>IF($F1023="","",IF(COUNTIF(MASTER_JAM!$A$5:$A$94,$C1023)=0,"Digger tidak dikenal",IF($J1023="","Hauler tidak dikenal",IF($H1023="?","Jam salah",IF($K1023=0,"Faktor kosong",IF(SUMIFS(INPUT_DELAY!$E$5:$E$20000,INPUT_DELAY!$A$5:$A$20000,$A1023,INPUT_DELAY!$B$5:$B$20000,$B1023,INPUT_DELAY!$C$5:$C$20000,$C1023)+SUMIFS(INPUT_DELAY!$E$5:$E$20000,INPUT_DELAY!$A$5:$A$20000,$A1023,INPUT_DELAY!$B$5:$B$20000,$B1023,INPUT_DELAY!$C$5:$C$20000,"SEMUA")&gt;=60,"Delay 60 mnt tapi ada ritase","OK"))))))</f>
        <v/>
      </c>
      <c r="P1023" s="158">
        <f>IFERROR(INDEX(MASTER_JAM!$Z$5:$AC$10,MATCH($I1023,MASTER_JAM!$Y$5:$Y$10,0),MATCH($J1023,MASTER_JAM!$Z$4:$AC$4,0))+0,0)</f>
        <v/>
      </c>
      <c r="Q1023" s="158">
        <f>IF($P1023=0,0,$P1023+IFERROR(INDEX(MASTER_JAM!$H$5:$H$94,MATCH($C1023,MASTER_JAM!$A$5:$A$94,0))+0,MASTER_JAM!$AC$15)/1000*(60/MASTER_JAM!$AC$12+60/MASTER_JAM!$AC$13)+MASTER_JAM!$AC$14)</f>
        <v/>
      </c>
      <c r="R1023" s="158">
        <f>IF(N($F1023)=0,0,$F1023/SUMIFS(INPUT_RITASE!$F$5:$F$20000,INPUT_RITASE!$A$5:$A$20000,$A1023,INPUT_RITASE!$B$5:$B$20000,$B1023,INPUT_RITASE!$C$5:$C$20000,$C1023,INPUT_RITASE!$D$5:$D$20000,$D1023))</f>
        <v/>
      </c>
      <c r="S1023" s="158">
        <f>IF($Q1023=0,0,$R1023*$P1023/$Q1023)</f>
        <v/>
      </c>
    </row>
    <row r="1024">
      <c r="A1024" s="155" t="n">
        <v>46107</v>
      </c>
      <c r="B1024" s="156" t="inlineStr">
        <is>
          <t>06-07</t>
        </is>
      </c>
      <c r="C1024" s="156" t="inlineStr">
        <is>
          <t>EX-334</t>
        </is>
      </c>
      <c r="D1024" s="156" t="inlineStr">
        <is>
          <t>DT-810</t>
        </is>
      </c>
      <c r="E1024" s="156" t="inlineStr">
        <is>
          <t>Coal</t>
        </is>
      </c>
      <c r="F1024" s="156" t="n">
        <v>3</v>
      </c>
      <c r="G1024" s="156" t="inlineStr"/>
      <c r="H1024" s="157">
        <f>IF($B1024="","",IF(ISNA(MATCH($B1024,MASTER_JAM!$Q$5:$Q$28,0)),"?",IF(MATCH($B1024,MASTER_JAM!$Q$5:$Q$28,0)&lt;=12,"DS","NS")))</f>
        <v/>
      </c>
      <c r="I1024" s="157">
        <f>IFERROR(INDEX(MASTER_JAM!$B$5:$B$94,MATCH($C1024,MASTER_JAM!$A$5:$A$94,0)),"")</f>
        <v/>
      </c>
      <c r="J1024" s="157">
        <f>IFERROR(INDEX(MASTER_JAM!$E$5:$E$94,MATCH($D1024,MASTER_JAM!$A$5:$A$94,0)),"")</f>
        <v/>
      </c>
      <c r="K1024" s="158">
        <f>IFERROR(INDEX(MASTER_JAM!$J$5:$O$12,MATCH($E1024,MASTER_JAM!$I$5:$I$12,0),MATCH($J1024,MASTER_JAM!$J$4:$O$4,0))+0,0)</f>
        <v/>
      </c>
      <c r="L1024" s="159">
        <f>N($F1024)*$K1024</f>
        <v/>
      </c>
      <c r="M1024" s="157">
        <f>IF($E1024="","",IF(OR($E1024="Coal",$E1024="Dirty Coal"),"MT","BCM"))</f>
        <v/>
      </c>
      <c r="N1024" s="157">
        <f>IF($E1024="","",IF(OR($E1024="Coal",$E1024="Dirty Coal"),"Coal","OB"))</f>
        <v/>
      </c>
      <c r="O1024" s="157">
        <f>IF($F1024="","",IF(COUNTIF(MASTER_JAM!$A$5:$A$94,$C1024)=0,"Digger tidak dikenal",IF($J1024="","Hauler tidak dikenal",IF($H1024="?","Jam salah",IF($K1024=0,"Faktor kosong",IF(SUMIFS(INPUT_DELAY!$E$5:$E$20000,INPUT_DELAY!$A$5:$A$20000,$A1024,INPUT_DELAY!$B$5:$B$20000,$B1024,INPUT_DELAY!$C$5:$C$20000,$C1024)+SUMIFS(INPUT_DELAY!$E$5:$E$20000,INPUT_DELAY!$A$5:$A$20000,$A1024,INPUT_DELAY!$B$5:$B$20000,$B1024,INPUT_DELAY!$C$5:$C$20000,"SEMUA")&gt;=60,"Delay 60 mnt tapi ada ritase","OK"))))))</f>
        <v/>
      </c>
      <c r="P1024" s="158">
        <f>IFERROR(INDEX(MASTER_JAM!$Z$5:$AC$10,MATCH($I1024,MASTER_JAM!$Y$5:$Y$10,0),MATCH($J1024,MASTER_JAM!$Z$4:$AC$4,0))+0,0)</f>
        <v/>
      </c>
      <c r="Q1024" s="158">
        <f>IF($P1024=0,0,$P1024+IFERROR(INDEX(MASTER_JAM!$H$5:$H$94,MATCH($C1024,MASTER_JAM!$A$5:$A$94,0))+0,MASTER_JAM!$AC$15)/1000*(60/MASTER_JAM!$AC$12+60/MASTER_JAM!$AC$13)+MASTER_JAM!$AC$14)</f>
        <v/>
      </c>
      <c r="R1024" s="158">
        <f>IF(N($F1024)=0,0,$F1024/SUMIFS(INPUT_RITASE!$F$5:$F$20000,INPUT_RITASE!$A$5:$A$20000,$A1024,INPUT_RITASE!$B$5:$B$20000,$B1024,INPUT_RITASE!$C$5:$C$20000,$C1024,INPUT_RITASE!$D$5:$D$20000,$D1024))</f>
        <v/>
      </c>
      <c r="S1024" s="158">
        <f>IF($Q1024=0,0,$R1024*$P1024/$Q1024)</f>
        <v/>
      </c>
    </row>
    <row r="1025">
      <c r="A1025" s="155" t="n">
        <v>46107</v>
      </c>
      <c r="B1025" s="156" t="inlineStr">
        <is>
          <t>06-07</t>
        </is>
      </c>
      <c r="C1025" s="156" t="inlineStr">
        <is>
          <t>EX-334</t>
        </is>
      </c>
      <c r="D1025" s="156" t="inlineStr">
        <is>
          <t>DT-812</t>
        </is>
      </c>
      <c r="E1025" s="156" t="inlineStr">
        <is>
          <t>Coal</t>
        </is>
      </c>
      <c r="F1025" s="156" t="n">
        <v>3</v>
      </c>
      <c r="G1025" s="156" t="inlineStr"/>
      <c r="H1025" s="157">
        <f>IF($B1025="","",IF(ISNA(MATCH($B1025,MASTER_JAM!$Q$5:$Q$28,0)),"?",IF(MATCH($B1025,MASTER_JAM!$Q$5:$Q$28,0)&lt;=12,"DS","NS")))</f>
        <v/>
      </c>
      <c r="I1025" s="157">
        <f>IFERROR(INDEX(MASTER_JAM!$B$5:$B$94,MATCH($C1025,MASTER_JAM!$A$5:$A$94,0)),"")</f>
        <v/>
      </c>
      <c r="J1025" s="157">
        <f>IFERROR(INDEX(MASTER_JAM!$E$5:$E$94,MATCH($D1025,MASTER_JAM!$A$5:$A$94,0)),"")</f>
        <v/>
      </c>
      <c r="K1025" s="158">
        <f>IFERROR(INDEX(MASTER_JAM!$J$5:$O$12,MATCH($E1025,MASTER_JAM!$I$5:$I$12,0),MATCH($J1025,MASTER_JAM!$J$4:$O$4,0))+0,0)</f>
        <v/>
      </c>
      <c r="L1025" s="159">
        <f>N($F1025)*$K1025</f>
        <v/>
      </c>
      <c r="M1025" s="157">
        <f>IF($E1025="","",IF(OR($E1025="Coal",$E1025="Dirty Coal"),"MT","BCM"))</f>
        <v/>
      </c>
      <c r="N1025" s="157">
        <f>IF($E1025="","",IF(OR($E1025="Coal",$E1025="Dirty Coal"),"Coal","OB"))</f>
        <v/>
      </c>
      <c r="O1025" s="157">
        <f>IF($F1025="","",IF(COUNTIF(MASTER_JAM!$A$5:$A$94,$C1025)=0,"Digger tidak dikenal",IF($J1025="","Hauler tidak dikenal",IF($H1025="?","Jam salah",IF($K1025=0,"Faktor kosong",IF(SUMIFS(INPUT_DELAY!$E$5:$E$20000,INPUT_DELAY!$A$5:$A$20000,$A1025,INPUT_DELAY!$B$5:$B$20000,$B1025,INPUT_DELAY!$C$5:$C$20000,$C1025)+SUMIFS(INPUT_DELAY!$E$5:$E$20000,INPUT_DELAY!$A$5:$A$20000,$A1025,INPUT_DELAY!$B$5:$B$20000,$B1025,INPUT_DELAY!$C$5:$C$20000,"SEMUA")&gt;=60,"Delay 60 mnt tapi ada ritase","OK"))))))</f>
        <v/>
      </c>
      <c r="P1025" s="158">
        <f>IFERROR(INDEX(MASTER_JAM!$Z$5:$AC$10,MATCH($I1025,MASTER_JAM!$Y$5:$Y$10,0),MATCH($J1025,MASTER_JAM!$Z$4:$AC$4,0))+0,0)</f>
        <v/>
      </c>
      <c r="Q1025" s="158">
        <f>IF($P1025=0,0,$P1025+IFERROR(INDEX(MASTER_JAM!$H$5:$H$94,MATCH($C1025,MASTER_JAM!$A$5:$A$94,0))+0,MASTER_JAM!$AC$15)/1000*(60/MASTER_JAM!$AC$12+60/MASTER_JAM!$AC$13)+MASTER_JAM!$AC$14)</f>
        <v/>
      </c>
      <c r="R1025" s="158">
        <f>IF(N($F1025)=0,0,$F1025/SUMIFS(INPUT_RITASE!$F$5:$F$20000,INPUT_RITASE!$A$5:$A$20000,$A1025,INPUT_RITASE!$B$5:$B$20000,$B1025,INPUT_RITASE!$C$5:$C$20000,$C1025,INPUT_RITASE!$D$5:$D$20000,$D1025))</f>
        <v/>
      </c>
      <c r="S1025" s="158">
        <f>IF($Q1025=0,0,$R1025*$P1025/$Q1025)</f>
        <v/>
      </c>
    </row>
    <row r="1026">
      <c r="A1026" s="155" t="n">
        <v>46107</v>
      </c>
      <c r="B1026" s="156" t="inlineStr">
        <is>
          <t>07-08</t>
        </is>
      </c>
      <c r="C1026" s="156" t="inlineStr">
        <is>
          <t>EX-334</t>
        </is>
      </c>
      <c r="D1026" s="156" t="inlineStr">
        <is>
          <t>DT-811</t>
        </is>
      </c>
      <c r="E1026" s="156" t="inlineStr">
        <is>
          <t>Coal</t>
        </is>
      </c>
      <c r="F1026" s="156" t="n">
        <v>4</v>
      </c>
      <c r="G1026" s="156" t="inlineStr"/>
      <c r="H1026" s="157">
        <f>IF($B1026="","",IF(ISNA(MATCH($B1026,MASTER_JAM!$Q$5:$Q$28,0)),"?",IF(MATCH($B1026,MASTER_JAM!$Q$5:$Q$28,0)&lt;=12,"DS","NS")))</f>
        <v/>
      </c>
      <c r="I1026" s="157">
        <f>IFERROR(INDEX(MASTER_JAM!$B$5:$B$94,MATCH($C1026,MASTER_JAM!$A$5:$A$94,0)),"")</f>
        <v/>
      </c>
      <c r="J1026" s="157">
        <f>IFERROR(INDEX(MASTER_JAM!$E$5:$E$94,MATCH($D1026,MASTER_JAM!$A$5:$A$94,0)),"")</f>
        <v/>
      </c>
      <c r="K1026" s="158">
        <f>IFERROR(INDEX(MASTER_JAM!$J$5:$O$12,MATCH($E1026,MASTER_JAM!$I$5:$I$12,0),MATCH($J1026,MASTER_JAM!$J$4:$O$4,0))+0,0)</f>
        <v/>
      </c>
      <c r="L1026" s="159">
        <f>N($F1026)*$K1026</f>
        <v/>
      </c>
      <c r="M1026" s="157">
        <f>IF($E1026="","",IF(OR($E1026="Coal",$E1026="Dirty Coal"),"MT","BCM"))</f>
        <v/>
      </c>
      <c r="N1026" s="157">
        <f>IF($E1026="","",IF(OR($E1026="Coal",$E1026="Dirty Coal"),"Coal","OB"))</f>
        <v/>
      </c>
      <c r="O1026" s="157">
        <f>IF($F1026="","",IF(COUNTIF(MASTER_JAM!$A$5:$A$94,$C1026)=0,"Digger tidak dikenal",IF($J1026="","Hauler tidak dikenal",IF($H1026="?","Jam salah",IF($K1026=0,"Faktor kosong",IF(SUMIFS(INPUT_DELAY!$E$5:$E$20000,INPUT_DELAY!$A$5:$A$20000,$A1026,INPUT_DELAY!$B$5:$B$20000,$B1026,INPUT_DELAY!$C$5:$C$20000,$C1026)+SUMIFS(INPUT_DELAY!$E$5:$E$20000,INPUT_DELAY!$A$5:$A$20000,$A1026,INPUT_DELAY!$B$5:$B$20000,$B1026,INPUT_DELAY!$C$5:$C$20000,"SEMUA")&gt;=60,"Delay 60 mnt tapi ada ritase","OK"))))))</f>
        <v/>
      </c>
      <c r="P1026" s="158">
        <f>IFERROR(INDEX(MASTER_JAM!$Z$5:$AC$10,MATCH($I1026,MASTER_JAM!$Y$5:$Y$10,0),MATCH($J1026,MASTER_JAM!$Z$4:$AC$4,0))+0,0)</f>
        <v/>
      </c>
      <c r="Q1026" s="158">
        <f>IF($P1026=0,0,$P1026+IFERROR(INDEX(MASTER_JAM!$H$5:$H$94,MATCH($C1026,MASTER_JAM!$A$5:$A$94,0))+0,MASTER_JAM!$AC$15)/1000*(60/MASTER_JAM!$AC$12+60/MASTER_JAM!$AC$13)+MASTER_JAM!$AC$14)</f>
        <v/>
      </c>
      <c r="R1026" s="158">
        <f>IF(N($F1026)=0,0,$F1026/SUMIFS(INPUT_RITASE!$F$5:$F$20000,INPUT_RITASE!$A$5:$A$20000,$A1026,INPUT_RITASE!$B$5:$B$20000,$B1026,INPUT_RITASE!$C$5:$C$20000,$C1026,INPUT_RITASE!$D$5:$D$20000,$D1026))</f>
        <v/>
      </c>
      <c r="S1026" s="158">
        <f>IF($Q1026=0,0,$R1026*$P1026/$Q1026)</f>
        <v/>
      </c>
    </row>
    <row r="1027">
      <c r="A1027" s="155" t="n">
        <v>46107</v>
      </c>
      <c r="B1027" s="156" t="inlineStr">
        <is>
          <t>07-08</t>
        </is>
      </c>
      <c r="C1027" s="156" t="inlineStr">
        <is>
          <t>EX-334</t>
        </is>
      </c>
      <c r="D1027" s="156" t="inlineStr">
        <is>
          <t>DT-812</t>
        </is>
      </c>
      <c r="E1027" s="156" t="inlineStr">
        <is>
          <t>Coal</t>
        </is>
      </c>
      <c r="F1027" s="156" t="n">
        <v>3</v>
      </c>
      <c r="G1027" s="156" t="inlineStr"/>
      <c r="H1027" s="157">
        <f>IF($B1027="","",IF(ISNA(MATCH($B1027,MASTER_JAM!$Q$5:$Q$28,0)),"?",IF(MATCH($B1027,MASTER_JAM!$Q$5:$Q$28,0)&lt;=12,"DS","NS")))</f>
        <v/>
      </c>
      <c r="I1027" s="157">
        <f>IFERROR(INDEX(MASTER_JAM!$B$5:$B$94,MATCH($C1027,MASTER_JAM!$A$5:$A$94,0)),"")</f>
        <v/>
      </c>
      <c r="J1027" s="157">
        <f>IFERROR(INDEX(MASTER_JAM!$E$5:$E$94,MATCH($D1027,MASTER_JAM!$A$5:$A$94,0)),"")</f>
        <v/>
      </c>
      <c r="K1027" s="158">
        <f>IFERROR(INDEX(MASTER_JAM!$J$5:$O$12,MATCH($E1027,MASTER_JAM!$I$5:$I$12,0),MATCH($J1027,MASTER_JAM!$J$4:$O$4,0))+0,0)</f>
        <v/>
      </c>
      <c r="L1027" s="159">
        <f>N($F1027)*$K1027</f>
        <v/>
      </c>
      <c r="M1027" s="157">
        <f>IF($E1027="","",IF(OR($E1027="Coal",$E1027="Dirty Coal"),"MT","BCM"))</f>
        <v/>
      </c>
      <c r="N1027" s="157">
        <f>IF($E1027="","",IF(OR($E1027="Coal",$E1027="Dirty Coal"),"Coal","OB"))</f>
        <v/>
      </c>
      <c r="O1027" s="157">
        <f>IF($F1027="","",IF(COUNTIF(MASTER_JAM!$A$5:$A$94,$C1027)=0,"Digger tidak dikenal",IF($J1027="","Hauler tidak dikenal",IF($H1027="?","Jam salah",IF($K1027=0,"Faktor kosong",IF(SUMIFS(INPUT_DELAY!$E$5:$E$20000,INPUT_DELAY!$A$5:$A$20000,$A1027,INPUT_DELAY!$B$5:$B$20000,$B1027,INPUT_DELAY!$C$5:$C$20000,$C1027)+SUMIFS(INPUT_DELAY!$E$5:$E$20000,INPUT_DELAY!$A$5:$A$20000,$A1027,INPUT_DELAY!$B$5:$B$20000,$B1027,INPUT_DELAY!$C$5:$C$20000,"SEMUA")&gt;=60,"Delay 60 mnt tapi ada ritase","OK"))))))</f>
        <v/>
      </c>
      <c r="P1027" s="158">
        <f>IFERROR(INDEX(MASTER_JAM!$Z$5:$AC$10,MATCH($I1027,MASTER_JAM!$Y$5:$Y$10,0),MATCH($J1027,MASTER_JAM!$Z$4:$AC$4,0))+0,0)</f>
        <v/>
      </c>
      <c r="Q1027" s="158">
        <f>IF($P1027=0,0,$P1027+IFERROR(INDEX(MASTER_JAM!$H$5:$H$94,MATCH($C1027,MASTER_JAM!$A$5:$A$94,0))+0,MASTER_JAM!$AC$15)/1000*(60/MASTER_JAM!$AC$12+60/MASTER_JAM!$AC$13)+MASTER_JAM!$AC$14)</f>
        <v/>
      </c>
      <c r="R1027" s="158">
        <f>IF(N($F1027)=0,0,$F1027/SUMIFS(INPUT_RITASE!$F$5:$F$20000,INPUT_RITASE!$A$5:$A$20000,$A1027,INPUT_RITASE!$B$5:$B$20000,$B1027,INPUT_RITASE!$C$5:$C$20000,$C1027,INPUT_RITASE!$D$5:$D$20000,$D1027))</f>
        <v/>
      </c>
      <c r="S1027" s="158">
        <f>IF($Q1027=0,0,$R1027*$P1027/$Q1027)</f>
        <v/>
      </c>
    </row>
    <row r="1028">
      <c r="A1028" s="155" t="n">
        <v>46107</v>
      </c>
      <c r="B1028" s="156" t="inlineStr">
        <is>
          <t>07-08</t>
        </is>
      </c>
      <c r="C1028" s="156" t="inlineStr">
        <is>
          <t>EX-334</t>
        </is>
      </c>
      <c r="D1028" s="156" t="inlineStr">
        <is>
          <t>DT-810</t>
        </is>
      </c>
      <c r="E1028" s="156" t="inlineStr">
        <is>
          <t>Coal</t>
        </is>
      </c>
      <c r="F1028" s="156" t="n">
        <v>3</v>
      </c>
      <c r="G1028" s="156" t="inlineStr"/>
      <c r="H1028" s="157">
        <f>IF($B1028="","",IF(ISNA(MATCH($B1028,MASTER_JAM!$Q$5:$Q$28,0)),"?",IF(MATCH($B1028,MASTER_JAM!$Q$5:$Q$28,0)&lt;=12,"DS","NS")))</f>
        <v/>
      </c>
      <c r="I1028" s="157">
        <f>IFERROR(INDEX(MASTER_JAM!$B$5:$B$94,MATCH($C1028,MASTER_JAM!$A$5:$A$94,0)),"")</f>
        <v/>
      </c>
      <c r="J1028" s="157">
        <f>IFERROR(INDEX(MASTER_JAM!$E$5:$E$94,MATCH($D1028,MASTER_JAM!$A$5:$A$94,0)),"")</f>
        <v/>
      </c>
      <c r="K1028" s="158">
        <f>IFERROR(INDEX(MASTER_JAM!$J$5:$O$12,MATCH($E1028,MASTER_JAM!$I$5:$I$12,0),MATCH($J1028,MASTER_JAM!$J$4:$O$4,0))+0,0)</f>
        <v/>
      </c>
      <c r="L1028" s="159">
        <f>N($F1028)*$K1028</f>
        <v/>
      </c>
      <c r="M1028" s="157">
        <f>IF($E1028="","",IF(OR($E1028="Coal",$E1028="Dirty Coal"),"MT","BCM"))</f>
        <v/>
      </c>
      <c r="N1028" s="157">
        <f>IF($E1028="","",IF(OR($E1028="Coal",$E1028="Dirty Coal"),"Coal","OB"))</f>
        <v/>
      </c>
      <c r="O1028" s="157">
        <f>IF($F1028="","",IF(COUNTIF(MASTER_JAM!$A$5:$A$94,$C1028)=0,"Digger tidak dikenal",IF($J1028="","Hauler tidak dikenal",IF($H1028="?","Jam salah",IF($K1028=0,"Faktor kosong",IF(SUMIFS(INPUT_DELAY!$E$5:$E$20000,INPUT_DELAY!$A$5:$A$20000,$A1028,INPUT_DELAY!$B$5:$B$20000,$B1028,INPUT_DELAY!$C$5:$C$20000,$C1028)+SUMIFS(INPUT_DELAY!$E$5:$E$20000,INPUT_DELAY!$A$5:$A$20000,$A1028,INPUT_DELAY!$B$5:$B$20000,$B1028,INPUT_DELAY!$C$5:$C$20000,"SEMUA")&gt;=60,"Delay 60 mnt tapi ada ritase","OK"))))))</f>
        <v/>
      </c>
      <c r="P1028" s="158">
        <f>IFERROR(INDEX(MASTER_JAM!$Z$5:$AC$10,MATCH($I1028,MASTER_JAM!$Y$5:$Y$10,0),MATCH($J1028,MASTER_JAM!$Z$4:$AC$4,0))+0,0)</f>
        <v/>
      </c>
      <c r="Q1028" s="158">
        <f>IF($P1028=0,0,$P1028+IFERROR(INDEX(MASTER_JAM!$H$5:$H$94,MATCH($C1028,MASTER_JAM!$A$5:$A$94,0))+0,MASTER_JAM!$AC$15)/1000*(60/MASTER_JAM!$AC$12+60/MASTER_JAM!$AC$13)+MASTER_JAM!$AC$14)</f>
        <v/>
      </c>
      <c r="R1028" s="158">
        <f>IF(N($F1028)=0,0,$F1028/SUMIFS(INPUT_RITASE!$F$5:$F$20000,INPUT_RITASE!$A$5:$A$20000,$A1028,INPUT_RITASE!$B$5:$B$20000,$B1028,INPUT_RITASE!$C$5:$C$20000,$C1028,INPUT_RITASE!$D$5:$D$20000,$D1028))</f>
        <v/>
      </c>
      <c r="S1028" s="158">
        <f>IF($Q1028=0,0,$R1028*$P1028/$Q1028)</f>
        <v/>
      </c>
    </row>
    <row r="1029">
      <c r="A1029" s="155" t="n">
        <v>46107</v>
      </c>
      <c r="B1029" s="156" t="inlineStr">
        <is>
          <t>06-07</t>
        </is>
      </c>
      <c r="C1029" s="156" t="inlineStr">
        <is>
          <t>EX-755</t>
        </is>
      </c>
      <c r="D1029" s="156" t="inlineStr">
        <is>
          <t>DT-518</t>
        </is>
      </c>
      <c r="E1029" s="156" t="inlineStr">
        <is>
          <t>OB</t>
        </is>
      </c>
      <c r="F1029" s="156" t="n">
        <v>4</v>
      </c>
      <c r="G1029" s="156" t="inlineStr"/>
      <c r="H1029" s="157">
        <f>IF($B1029="","",IF(ISNA(MATCH($B1029,MASTER_JAM!$Q$5:$Q$28,0)),"?",IF(MATCH($B1029,MASTER_JAM!$Q$5:$Q$28,0)&lt;=12,"DS","NS")))</f>
        <v/>
      </c>
      <c r="I1029" s="157">
        <f>IFERROR(INDEX(MASTER_JAM!$B$5:$B$94,MATCH($C1029,MASTER_JAM!$A$5:$A$94,0)),"")</f>
        <v/>
      </c>
      <c r="J1029" s="157">
        <f>IFERROR(INDEX(MASTER_JAM!$E$5:$E$94,MATCH($D1029,MASTER_JAM!$A$5:$A$94,0)),"")</f>
        <v/>
      </c>
      <c r="K1029" s="158">
        <f>IFERROR(INDEX(MASTER_JAM!$J$5:$O$12,MATCH($E1029,MASTER_JAM!$I$5:$I$12,0),MATCH($J1029,MASTER_JAM!$J$4:$O$4,0))+0,0)</f>
        <v/>
      </c>
      <c r="L1029" s="159">
        <f>N($F1029)*$K1029</f>
        <v/>
      </c>
      <c r="M1029" s="157">
        <f>IF($E1029="","",IF(OR($E1029="Coal",$E1029="Dirty Coal"),"MT","BCM"))</f>
        <v/>
      </c>
      <c r="N1029" s="157">
        <f>IF($E1029="","",IF(OR($E1029="Coal",$E1029="Dirty Coal"),"Coal","OB"))</f>
        <v/>
      </c>
      <c r="O1029" s="157">
        <f>IF($F1029="","",IF(COUNTIF(MASTER_JAM!$A$5:$A$94,$C1029)=0,"Digger tidak dikenal",IF($J1029="","Hauler tidak dikenal",IF($H1029="?","Jam salah",IF($K1029=0,"Faktor kosong",IF(SUMIFS(INPUT_DELAY!$E$5:$E$20000,INPUT_DELAY!$A$5:$A$20000,$A1029,INPUT_DELAY!$B$5:$B$20000,$B1029,INPUT_DELAY!$C$5:$C$20000,$C1029)+SUMIFS(INPUT_DELAY!$E$5:$E$20000,INPUT_DELAY!$A$5:$A$20000,$A1029,INPUT_DELAY!$B$5:$B$20000,$B1029,INPUT_DELAY!$C$5:$C$20000,"SEMUA")&gt;=60,"Delay 60 mnt tapi ada ritase","OK"))))))</f>
        <v/>
      </c>
      <c r="P1029" s="158">
        <f>IFERROR(INDEX(MASTER_JAM!$Z$5:$AC$10,MATCH($I1029,MASTER_JAM!$Y$5:$Y$10,0),MATCH($J1029,MASTER_JAM!$Z$4:$AC$4,0))+0,0)</f>
        <v/>
      </c>
      <c r="Q1029" s="158">
        <f>IF($P1029=0,0,$P1029+IFERROR(INDEX(MASTER_JAM!$H$5:$H$94,MATCH($C1029,MASTER_JAM!$A$5:$A$94,0))+0,MASTER_JAM!$AC$15)/1000*(60/MASTER_JAM!$AC$12+60/MASTER_JAM!$AC$13)+MASTER_JAM!$AC$14)</f>
        <v/>
      </c>
      <c r="R1029" s="158">
        <f>IF(N($F1029)=0,0,$F1029/SUMIFS(INPUT_RITASE!$F$5:$F$20000,INPUT_RITASE!$A$5:$A$20000,$A1029,INPUT_RITASE!$B$5:$B$20000,$B1029,INPUT_RITASE!$C$5:$C$20000,$C1029,INPUT_RITASE!$D$5:$D$20000,$D1029))</f>
        <v/>
      </c>
      <c r="S1029" s="158">
        <f>IF($Q1029=0,0,$R1029*$P1029/$Q1029)</f>
        <v/>
      </c>
    </row>
    <row r="1030">
      <c r="A1030" s="155" t="n">
        <v>46107</v>
      </c>
      <c r="B1030" s="156" t="inlineStr">
        <is>
          <t>06-07</t>
        </is>
      </c>
      <c r="C1030" s="156" t="inlineStr">
        <is>
          <t>EX-755</t>
        </is>
      </c>
      <c r="D1030" s="156" t="inlineStr">
        <is>
          <t>DT-529</t>
        </is>
      </c>
      <c r="E1030" s="156" t="inlineStr">
        <is>
          <t>OB</t>
        </is>
      </c>
      <c r="F1030" s="156" t="n">
        <v>4</v>
      </c>
      <c r="G1030" s="156" t="inlineStr"/>
      <c r="H1030" s="157">
        <f>IF($B1030="","",IF(ISNA(MATCH($B1030,MASTER_JAM!$Q$5:$Q$28,0)),"?",IF(MATCH($B1030,MASTER_JAM!$Q$5:$Q$28,0)&lt;=12,"DS","NS")))</f>
        <v/>
      </c>
      <c r="I1030" s="157">
        <f>IFERROR(INDEX(MASTER_JAM!$B$5:$B$94,MATCH($C1030,MASTER_JAM!$A$5:$A$94,0)),"")</f>
        <v/>
      </c>
      <c r="J1030" s="157">
        <f>IFERROR(INDEX(MASTER_JAM!$E$5:$E$94,MATCH($D1030,MASTER_JAM!$A$5:$A$94,0)),"")</f>
        <v/>
      </c>
      <c r="K1030" s="158">
        <f>IFERROR(INDEX(MASTER_JAM!$J$5:$O$12,MATCH($E1030,MASTER_JAM!$I$5:$I$12,0),MATCH($J1030,MASTER_JAM!$J$4:$O$4,0))+0,0)</f>
        <v/>
      </c>
      <c r="L1030" s="159">
        <f>N($F1030)*$K1030</f>
        <v/>
      </c>
      <c r="M1030" s="157">
        <f>IF($E1030="","",IF(OR($E1030="Coal",$E1030="Dirty Coal"),"MT","BCM"))</f>
        <v/>
      </c>
      <c r="N1030" s="157">
        <f>IF($E1030="","",IF(OR($E1030="Coal",$E1030="Dirty Coal"),"Coal","OB"))</f>
        <v/>
      </c>
      <c r="O1030" s="157">
        <f>IF($F1030="","",IF(COUNTIF(MASTER_JAM!$A$5:$A$94,$C1030)=0,"Digger tidak dikenal",IF($J1030="","Hauler tidak dikenal",IF($H1030="?","Jam salah",IF($K1030=0,"Faktor kosong",IF(SUMIFS(INPUT_DELAY!$E$5:$E$20000,INPUT_DELAY!$A$5:$A$20000,$A1030,INPUT_DELAY!$B$5:$B$20000,$B1030,INPUT_DELAY!$C$5:$C$20000,$C1030)+SUMIFS(INPUT_DELAY!$E$5:$E$20000,INPUT_DELAY!$A$5:$A$20000,$A1030,INPUT_DELAY!$B$5:$B$20000,$B1030,INPUT_DELAY!$C$5:$C$20000,"SEMUA")&gt;=60,"Delay 60 mnt tapi ada ritase","OK"))))))</f>
        <v/>
      </c>
      <c r="P1030" s="158">
        <f>IFERROR(INDEX(MASTER_JAM!$Z$5:$AC$10,MATCH($I1030,MASTER_JAM!$Y$5:$Y$10,0),MATCH($J1030,MASTER_JAM!$Z$4:$AC$4,0))+0,0)</f>
        <v/>
      </c>
      <c r="Q1030" s="158">
        <f>IF($P1030=0,0,$P1030+IFERROR(INDEX(MASTER_JAM!$H$5:$H$94,MATCH($C1030,MASTER_JAM!$A$5:$A$94,0))+0,MASTER_JAM!$AC$15)/1000*(60/MASTER_JAM!$AC$12+60/MASTER_JAM!$AC$13)+MASTER_JAM!$AC$14)</f>
        <v/>
      </c>
      <c r="R1030" s="158">
        <f>IF(N($F1030)=0,0,$F1030/SUMIFS(INPUT_RITASE!$F$5:$F$20000,INPUT_RITASE!$A$5:$A$20000,$A1030,INPUT_RITASE!$B$5:$B$20000,$B1030,INPUT_RITASE!$C$5:$C$20000,$C1030,INPUT_RITASE!$D$5:$D$20000,$D1030))</f>
        <v/>
      </c>
      <c r="S1030" s="158">
        <f>IF($Q1030=0,0,$R1030*$P1030/$Q1030)</f>
        <v/>
      </c>
    </row>
    <row r="1031">
      <c r="A1031" s="155" t="n">
        <v>46107</v>
      </c>
      <c r="B1031" s="156" t="inlineStr">
        <is>
          <t>06-07</t>
        </is>
      </c>
      <c r="C1031" s="156" t="inlineStr">
        <is>
          <t>EX-755</t>
        </is>
      </c>
      <c r="D1031" s="156" t="inlineStr">
        <is>
          <t>DT-528</t>
        </is>
      </c>
      <c r="E1031" s="156" t="inlineStr">
        <is>
          <t>OB</t>
        </is>
      </c>
      <c r="F1031" s="156" t="n">
        <v>3</v>
      </c>
      <c r="G1031" s="156" t="inlineStr"/>
      <c r="H1031" s="157">
        <f>IF($B1031="","",IF(ISNA(MATCH($B1031,MASTER_JAM!$Q$5:$Q$28,0)),"?",IF(MATCH($B1031,MASTER_JAM!$Q$5:$Q$28,0)&lt;=12,"DS","NS")))</f>
        <v/>
      </c>
      <c r="I1031" s="157">
        <f>IFERROR(INDEX(MASTER_JAM!$B$5:$B$94,MATCH($C1031,MASTER_JAM!$A$5:$A$94,0)),"")</f>
        <v/>
      </c>
      <c r="J1031" s="157">
        <f>IFERROR(INDEX(MASTER_JAM!$E$5:$E$94,MATCH($D1031,MASTER_JAM!$A$5:$A$94,0)),"")</f>
        <v/>
      </c>
      <c r="K1031" s="158">
        <f>IFERROR(INDEX(MASTER_JAM!$J$5:$O$12,MATCH($E1031,MASTER_JAM!$I$5:$I$12,0),MATCH($J1031,MASTER_JAM!$J$4:$O$4,0))+0,0)</f>
        <v/>
      </c>
      <c r="L1031" s="159">
        <f>N($F1031)*$K1031</f>
        <v/>
      </c>
      <c r="M1031" s="157">
        <f>IF($E1031="","",IF(OR($E1031="Coal",$E1031="Dirty Coal"),"MT","BCM"))</f>
        <v/>
      </c>
      <c r="N1031" s="157">
        <f>IF($E1031="","",IF(OR($E1031="Coal",$E1031="Dirty Coal"),"Coal","OB"))</f>
        <v/>
      </c>
      <c r="O1031" s="157">
        <f>IF($F1031="","",IF(COUNTIF(MASTER_JAM!$A$5:$A$94,$C1031)=0,"Digger tidak dikenal",IF($J1031="","Hauler tidak dikenal",IF($H1031="?","Jam salah",IF($K1031=0,"Faktor kosong",IF(SUMIFS(INPUT_DELAY!$E$5:$E$20000,INPUT_DELAY!$A$5:$A$20000,$A1031,INPUT_DELAY!$B$5:$B$20000,$B1031,INPUT_DELAY!$C$5:$C$20000,$C1031)+SUMIFS(INPUT_DELAY!$E$5:$E$20000,INPUT_DELAY!$A$5:$A$20000,$A1031,INPUT_DELAY!$B$5:$B$20000,$B1031,INPUT_DELAY!$C$5:$C$20000,"SEMUA")&gt;=60,"Delay 60 mnt tapi ada ritase","OK"))))))</f>
        <v/>
      </c>
      <c r="P1031" s="158">
        <f>IFERROR(INDEX(MASTER_JAM!$Z$5:$AC$10,MATCH($I1031,MASTER_JAM!$Y$5:$Y$10,0),MATCH($J1031,MASTER_JAM!$Z$4:$AC$4,0))+0,0)</f>
        <v/>
      </c>
      <c r="Q1031" s="158">
        <f>IF($P1031=0,0,$P1031+IFERROR(INDEX(MASTER_JAM!$H$5:$H$94,MATCH($C1031,MASTER_JAM!$A$5:$A$94,0))+0,MASTER_JAM!$AC$15)/1000*(60/MASTER_JAM!$AC$12+60/MASTER_JAM!$AC$13)+MASTER_JAM!$AC$14)</f>
        <v/>
      </c>
      <c r="R1031" s="158">
        <f>IF(N($F1031)=0,0,$F1031/SUMIFS(INPUT_RITASE!$F$5:$F$20000,INPUT_RITASE!$A$5:$A$20000,$A1031,INPUT_RITASE!$B$5:$B$20000,$B1031,INPUT_RITASE!$C$5:$C$20000,$C1031,INPUT_RITASE!$D$5:$D$20000,$D1031))</f>
        <v/>
      </c>
      <c r="S1031" s="158">
        <f>IF($Q1031=0,0,$R1031*$P1031/$Q1031)</f>
        <v/>
      </c>
    </row>
    <row r="1032">
      <c r="A1032" s="155" t="n">
        <v>46107</v>
      </c>
      <c r="B1032" s="156" t="inlineStr">
        <is>
          <t>06-07</t>
        </is>
      </c>
      <c r="C1032" s="156" t="inlineStr">
        <is>
          <t>EX-755</t>
        </is>
      </c>
      <c r="D1032" s="156" t="inlineStr">
        <is>
          <t>DT-505</t>
        </is>
      </c>
      <c r="E1032" s="156" t="inlineStr">
        <is>
          <t>OB</t>
        </is>
      </c>
      <c r="F1032" s="156" t="n">
        <v>3</v>
      </c>
      <c r="G1032" s="156" t="inlineStr"/>
      <c r="H1032" s="157">
        <f>IF($B1032="","",IF(ISNA(MATCH($B1032,MASTER_JAM!$Q$5:$Q$28,0)),"?",IF(MATCH($B1032,MASTER_JAM!$Q$5:$Q$28,0)&lt;=12,"DS","NS")))</f>
        <v/>
      </c>
      <c r="I1032" s="157">
        <f>IFERROR(INDEX(MASTER_JAM!$B$5:$B$94,MATCH($C1032,MASTER_JAM!$A$5:$A$94,0)),"")</f>
        <v/>
      </c>
      <c r="J1032" s="157">
        <f>IFERROR(INDEX(MASTER_JAM!$E$5:$E$94,MATCH($D1032,MASTER_JAM!$A$5:$A$94,0)),"")</f>
        <v/>
      </c>
      <c r="K1032" s="158">
        <f>IFERROR(INDEX(MASTER_JAM!$J$5:$O$12,MATCH($E1032,MASTER_JAM!$I$5:$I$12,0),MATCH($J1032,MASTER_JAM!$J$4:$O$4,0))+0,0)</f>
        <v/>
      </c>
      <c r="L1032" s="159">
        <f>N($F1032)*$K1032</f>
        <v/>
      </c>
      <c r="M1032" s="157">
        <f>IF($E1032="","",IF(OR($E1032="Coal",$E1032="Dirty Coal"),"MT","BCM"))</f>
        <v/>
      </c>
      <c r="N1032" s="157">
        <f>IF($E1032="","",IF(OR($E1032="Coal",$E1032="Dirty Coal"),"Coal","OB"))</f>
        <v/>
      </c>
      <c r="O1032" s="157">
        <f>IF($F1032="","",IF(COUNTIF(MASTER_JAM!$A$5:$A$94,$C1032)=0,"Digger tidak dikenal",IF($J1032="","Hauler tidak dikenal",IF($H1032="?","Jam salah",IF($K1032=0,"Faktor kosong",IF(SUMIFS(INPUT_DELAY!$E$5:$E$20000,INPUT_DELAY!$A$5:$A$20000,$A1032,INPUT_DELAY!$B$5:$B$20000,$B1032,INPUT_DELAY!$C$5:$C$20000,$C1032)+SUMIFS(INPUT_DELAY!$E$5:$E$20000,INPUT_DELAY!$A$5:$A$20000,$A1032,INPUT_DELAY!$B$5:$B$20000,$B1032,INPUT_DELAY!$C$5:$C$20000,"SEMUA")&gt;=60,"Delay 60 mnt tapi ada ritase","OK"))))))</f>
        <v/>
      </c>
      <c r="P1032" s="158">
        <f>IFERROR(INDEX(MASTER_JAM!$Z$5:$AC$10,MATCH($I1032,MASTER_JAM!$Y$5:$Y$10,0),MATCH($J1032,MASTER_JAM!$Z$4:$AC$4,0))+0,0)</f>
        <v/>
      </c>
      <c r="Q1032" s="158">
        <f>IF($P1032=0,0,$P1032+IFERROR(INDEX(MASTER_JAM!$H$5:$H$94,MATCH($C1032,MASTER_JAM!$A$5:$A$94,0))+0,MASTER_JAM!$AC$15)/1000*(60/MASTER_JAM!$AC$12+60/MASTER_JAM!$AC$13)+MASTER_JAM!$AC$14)</f>
        <v/>
      </c>
      <c r="R1032" s="158">
        <f>IF(N($F1032)=0,0,$F1032/SUMIFS(INPUT_RITASE!$F$5:$F$20000,INPUT_RITASE!$A$5:$A$20000,$A1032,INPUT_RITASE!$B$5:$B$20000,$B1032,INPUT_RITASE!$C$5:$C$20000,$C1032,INPUT_RITASE!$D$5:$D$20000,$D1032))</f>
        <v/>
      </c>
      <c r="S1032" s="158">
        <f>IF($Q1032=0,0,$R1032*$P1032/$Q1032)</f>
        <v/>
      </c>
    </row>
    <row r="1033">
      <c r="A1033" s="155" t="n">
        <v>46107</v>
      </c>
      <c r="B1033" s="156" t="inlineStr">
        <is>
          <t>07-08</t>
        </is>
      </c>
      <c r="C1033" s="156" t="inlineStr">
        <is>
          <t>EX-755</t>
        </is>
      </c>
      <c r="D1033" s="156" t="inlineStr">
        <is>
          <t>DT-504</t>
        </is>
      </c>
      <c r="E1033" s="156" t="inlineStr">
        <is>
          <t>OB</t>
        </is>
      </c>
      <c r="F1033" s="156" t="n">
        <v>4</v>
      </c>
      <c r="G1033" s="156" t="inlineStr"/>
      <c r="H1033" s="157">
        <f>IF($B1033="","",IF(ISNA(MATCH($B1033,MASTER_JAM!$Q$5:$Q$28,0)),"?",IF(MATCH($B1033,MASTER_JAM!$Q$5:$Q$28,0)&lt;=12,"DS","NS")))</f>
        <v/>
      </c>
      <c r="I1033" s="157">
        <f>IFERROR(INDEX(MASTER_JAM!$B$5:$B$94,MATCH($C1033,MASTER_JAM!$A$5:$A$94,0)),"")</f>
        <v/>
      </c>
      <c r="J1033" s="157">
        <f>IFERROR(INDEX(MASTER_JAM!$E$5:$E$94,MATCH($D1033,MASTER_JAM!$A$5:$A$94,0)),"")</f>
        <v/>
      </c>
      <c r="K1033" s="158">
        <f>IFERROR(INDEX(MASTER_JAM!$J$5:$O$12,MATCH($E1033,MASTER_JAM!$I$5:$I$12,0),MATCH($J1033,MASTER_JAM!$J$4:$O$4,0))+0,0)</f>
        <v/>
      </c>
      <c r="L1033" s="159">
        <f>N($F1033)*$K1033</f>
        <v/>
      </c>
      <c r="M1033" s="157">
        <f>IF($E1033="","",IF(OR($E1033="Coal",$E1033="Dirty Coal"),"MT","BCM"))</f>
        <v/>
      </c>
      <c r="N1033" s="157">
        <f>IF($E1033="","",IF(OR($E1033="Coal",$E1033="Dirty Coal"),"Coal","OB"))</f>
        <v/>
      </c>
      <c r="O1033" s="157">
        <f>IF($F1033="","",IF(COUNTIF(MASTER_JAM!$A$5:$A$94,$C1033)=0,"Digger tidak dikenal",IF($J1033="","Hauler tidak dikenal",IF($H1033="?","Jam salah",IF($K1033=0,"Faktor kosong",IF(SUMIFS(INPUT_DELAY!$E$5:$E$20000,INPUT_DELAY!$A$5:$A$20000,$A1033,INPUT_DELAY!$B$5:$B$20000,$B1033,INPUT_DELAY!$C$5:$C$20000,$C1033)+SUMIFS(INPUT_DELAY!$E$5:$E$20000,INPUT_DELAY!$A$5:$A$20000,$A1033,INPUT_DELAY!$B$5:$B$20000,$B1033,INPUT_DELAY!$C$5:$C$20000,"SEMUA")&gt;=60,"Delay 60 mnt tapi ada ritase","OK"))))))</f>
        <v/>
      </c>
      <c r="P1033" s="158">
        <f>IFERROR(INDEX(MASTER_JAM!$Z$5:$AC$10,MATCH($I1033,MASTER_JAM!$Y$5:$Y$10,0),MATCH($J1033,MASTER_JAM!$Z$4:$AC$4,0))+0,0)</f>
        <v/>
      </c>
      <c r="Q1033" s="158">
        <f>IF($P1033=0,0,$P1033+IFERROR(INDEX(MASTER_JAM!$H$5:$H$94,MATCH($C1033,MASTER_JAM!$A$5:$A$94,0))+0,MASTER_JAM!$AC$15)/1000*(60/MASTER_JAM!$AC$12+60/MASTER_JAM!$AC$13)+MASTER_JAM!$AC$14)</f>
        <v/>
      </c>
      <c r="R1033" s="158">
        <f>IF(N($F1033)=0,0,$F1033/SUMIFS(INPUT_RITASE!$F$5:$F$20000,INPUT_RITASE!$A$5:$A$20000,$A1033,INPUT_RITASE!$B$5:$B$20000,$B1033,INPUT_RITASE!$C$5:$C$20000,$C1033,INPUT_RITASE!$D$5:$D$20000,$D1033))</f>
        <v/>
      </c>
      <c r="S1033" s="158">
        <f>IF($Q1033=0,0,$R1033*$P1033/$Q1033)</f>
        <v/>
      </c>
    </row>
    <row r="1034">
      <c r="A1034" s="155" t="n">
        <v>46107</v>
      </c>
      <c r="B1034" s="156" t="inlineStr">
        <is>
          <t>07-08</t>
        </is>
      </c>
      <c r="C1034" s="156" t="inlineStr">
        <is>
          <t>EX-755</t>
        </is>
      </c>
      <c r="D1034" s="156" t="inlineStr">
        <is>
          <t>DT-506</t>
        </is>
      </c>
      <c r="E1034" s="156" t="inlineStr">
        <is>
          <t>OB</t>
        </is>
      </c>
      <c r="F1034" s="156" t="n">
        <v>3</v>
      </c>
      <c r="G1034" s="156" t="inlineStr"/>
      <c r="H1034" s="157">
        <f>IF($B1034="","",IF(ISNA(MATCH($B1034,MASTER_JAM!$Q$5:$Q$28,0)),"?",IF(MATCH($B1034,MASTER_JAM!$Q$5:$Q$28,0)&lt;=12,"DS","NS")))</f>
        <v/>
      </c>
      <c r="I1034" s="157">
        <f>IFERROR(INDEX(MASTER_JAM!$B$5:$B$94,MATCH($C1034,MASTER_JAM!$A$5:$A$94,0)),"")</f>
        <v/>
      </c>
      <c r="J1034" s="157">
        <f>IFERROR(INDEX(MASTER_JAM!$E$5:$E$94,MATCH($D1034,MASTER_JAM!$A$5:$A$94,0)),"")</f>
        <v/>
      </c>
      <c r="K1034" s="158">
        <f>IFERROR(INDEX(MASTER_JAM!$J$5:$O$12,MATCH($E1034,MASTER_JAM!$I$5:$I$12,0),MATCH($J1034,MASTER_JAM!$J$4:$O$4,0))+0,0)</f>
        <v/>
      </c>
      <c r="L1034" s="159">
        <f>N($F1034)*$K1034</f>
        <v/>
      </c>
      <c r="M1034" s="157">
        <f>IF($E1034="","",IF(OR($E1034="Coal",$E1034="Dirty Coal"),"MT","BCM"))</f>
        <v/>
      </c>
      <c r="N1034" s="157">
        <f>IF($E1034="","",IF(OR($E1034="Coal",$E1034="Dirty Coal"),"Coal","OB"))</f>
        <v/>
      </c>
      <c r="O1034" s="157">
        <f>IF($F1034="","",IF(COUNTIF(MASTER_JAM!$A$5:$A$94,$C1034)=0,"Digger tidak dikenal",IF($J1034="","Hauler tidak dikenal",IF($H1034="?","Jam salah",IF($K1034=0,"Faktor kosong",IF(SUMIFS(INPUT_DELAY!$E$5:$E$20000,INPUT_DELAY!$A$5:$A$20000,$A1034,INPUT_DELAY!$B$5:$B$20000,$B1034,INPUT_DELAY!$C$5:$C$20000,$C1034)+SUMIFS(INPUT_DELAY!$E$5:$E$20000,INPUT_DELAY!$A$5:$A$20000,$A1034,INPUT_DELAY!$B$5:$B$20000,$B1034,INPUT_DELAY!$C$5:$C$20000,"SEMUA")&gt;=60,"Delay 60 mnt tapi ada ritase","OK"))))))</f>
        <v/>
      </c>
      <c r="P1034" s="158">
        <f>IFERROR(INDEX(MASTER_JAM!$Z$5:$AC$10,MATCH($I1034,MASTER_JAM!$Y$5:$Y$10,0),MATCH($J1034,MASTER_JAM!$Z$4:$AC$4,0))+0,0)</f>
        <v/>
      </c>
      <c r="Q1034" s="158">
        <f>IF($P1034=0,0,$P1034+IFERROR(INDEX(MASTER_JAM!$H$5:$H$94,MATCH($C1034,MASTER_JAM!$A$5:$A$94,0))+0,MASTER_JAM!$AC$15)/1000*(60/MASTER_JAM!$AC$12+60/MASTER_JAM!$AC$13)+MASTER_JAM!$AC$14)</f>
        <v/>
      </c>
      <c r="R1034" s="158">
        <f>IF(N($F1034)=0,0,$F1034/SUMIFS(INPUT_RITASE!$F$5:$F$20000,INPUT_RITASE!$A$5:$A$20000,$A1034,INPUT_RITASE!$B$5:$B$20000,$B1034,INPUT_RITASE!$C$5:$C$20000,$C1034,INPUT_RITASE!$D$5:$D$20000,$D1034))</f>
        <v/>
      </c>
      <c r="S1034" s="158">
        <f>IF($Q1034=0,0,$R1034*$P1034/$Q1034)</f>
        <v/>
      </c>
    </row>
    <row r="1035">
      <c r="A1035" s="155" t="n">
        <v>46107</v>
      </c>
      <c r="B1035" s="156" t="inlineStr">
        <is>
          <t>07-08</t>
        </is>
      </c>
      <c r="C1035" s="156" t="inlineStr">
        <is>
          <t>EX-755</t>
        </is>
      </c>
      <c r="D1035" s="156" t="inlineStr">
        <is>
          <t>DT-528</t>
        </is>
      </c>
      <c r="E1035" s="156" t="inlineStr">
        <is>
          <t>OB</t>
        </is>
      </c>
      <c r="F1035" s="156" t="n">
        <v>3</v>
      </c>
      <c r="G1035" s="156" t="inlineStr"/>
      <c r="H1035" s="157">
        <f>IF($B1035="","",IF(ISNA(MATCH($B1035,MASTER_JAM!$Q$5:$Q$28,0)),"?",IF(MATCH($B1035,MASTER_JAM!$Q$5:$Q$28,0)&lt;=12,"DS","NS")))</f>
        <v/>
      </c>
      <c r="I1035" s="157">
        <f>IFERROR(INDEX(MASTER_JAM!$B$5:$B$94,MATCH($C1035,MASTER_JAM!$A$5:$A$94,0)),"")</f>
        <v/>
      </c>
      <c r="J1035" s="157">
        <f>IFERROR(INDEX(MASTER_JAM!$E$5:$E$94,MATCH($D1035,MASTER_JAM!$A$5:$A$94,0)),"")</f>
        <v/>
      </c>
      <c r="K1035" s="158">
        <f>IFERROR(INDEX(MASTER_JAM!$J$5:$O$12,MATCH($E1035,MASTER_JAM!$I$5:$I$12,0),MATCH($J1035,MASTER_JAM!$J$4:$O$4,0))+0,0)</f>
        <v/>
      </c>
      <c r="L1035" s="159">
        <f>N($F1035)*$K1035</f>
        <v/>
      </c>
      <c r="M1035" s="157">
        <f>IF($E1035="","",IF(OR($E1035="Coal",$E1035="Dirty Coal"),"MT","BCM"))</f>
        <v/>
      </c>
      <c r="N1035" s="157">
        <f>IF($E1035="","",IF(OR($E1035="Coal",$E1035="Dirty Coal"),"Coal","OB"))</f>
        <v/>
      </c>
      <c r="O1035" s="157">
        <f>IF($F1035="","",IF(COUNTIF(MASTER_JAM!$A$5:$A$94,$C1035)=0,"Digger tidak dikenal",IF($J1035="","Hauler tidak dikenal",IF($H1035="?","Jam salah",IF($K1035=0,"Faktor kosong",IF(SUMIFS(INPUT_DELAY!$E$5:$E$20000,INPUT_DELAY!$A$5:$A$20000,$A1035,INPUT_DELAY!$B$5:$B$20000,$B1035,INPUT_DELAY!$C$5:$C$20000,$C1035)+SUMIFS(INPUT_DELAY!$E$5:$E$20000,INPUT_DELAY!$A$5:$A$20000,$A1035,INPUT_DELAY!$B$5:$B$20000,$B1035,INPUT_DELAY!$C$5:$C$20000,"SEMUA")&gt;=60,"Delay 60 mnt tapi ada ritase","OK"))))))</f>
        <v/>
      </c>
      <c r="P1035" s="158">
        <f>IFERROR(INDEX(MASTER_JAM!$Z$5:$AC$10,MATCH($I1035,MASTER_JAM!$Y$5:$Y$10,0),MATCH($J1035,MASTER_JAM!$Z$4:$AC$4,0))+0,0)</f>
        <v/>
      </c>
      <c r="Q1035" s="158">
        <f>IF($P1035=0,0,$P1035+IFERROR(INDEX(MASTER_JAM!$H$5:$H$94,MATCH($C1035,MASTER_JAM!$A$5:$A$94,0))+0,MASTER_JAM!$AC$15)/1000*(60/MASTER_JAM!$AC$12+60/MASTER_JAM!$AC$13)+MASTER_JAM!$AC$14)</f>
        <v/>
      </c>
      <c r="R1035" s="158">
        <f>IF(N($F1035)=0,0,$F1035/SUMIFS(INPUT_RITASE!$F$5:$F$20000,INPUT_RITASE!$A$5:$A$20000,$A1035,INPUT_RITASE!$B$5:$B$20000,$B1035,INPUT_RITASE!$C$5:$C$20000,$C1035,INPUT_RITASE!$D$5:$D$20000,$D1035))</f>
        <v/>
      </c>
      <c r="S1035" s="158">
        <f>IF($Q1035=0,0,$R1035*$P1035/$Q1035)</f>
        <v/>
      </c>
    </row>
    <row r="1036">
      <c r="A1036" s="155" t="n">
        <v>46107</v>
      </c>
      <c r="B1036" s="156" t="inlineStr">
        <is>
          <t>07-08</t>
        </is>
      </c>
      <c r="C1036" s="156" t="inlineStr">
        <is>
          <t>EX-755</t>
        </is>
      </c>
      <c r="D1036" s="156" t="inlineStr">
        <is>
          <t>DT-516</t>
        </is>
      </c>
      <c r="E1036" s="156" t="inlineStr">
        <is>
          <t>OB</t>
        </is>
      </c>
      <c r="F1036" s="156" t="n">
        <v>3</v>
      </c>
      <c r="G1036" s="156" t="inlineStr"/>
      <c r="H1036" s="157">
        <f>IF($B1036="","",IF(ISNA(MATCH($B1036,MASTER_JAM!$Q$5:$Q$28,0)),"?",IF(MATCH($B1036,MASTER_JAM!$Q$5:$Q$28,0)&lt;=12,"DS","NS")))</f>
        <v/>
      </c>
      <c r="I1036" s="157">
        <f>IFERROR(INDEX(MASTER_JAM!$B$5:$B$94,MATCH($C1036,MASTER_JAM!$A$5:$A$94,0)),"")</f>
        <v/>
      </c>
      <c r="J1036" s="157">
        <f>IFERROR(INDEX(MASTER_JAM!$E$5:$E$94,MATCH($D1036,MASTER_JAM!$A$5:$A$94,0)),"")</f>
        <v/>
      </c>
      <c r="K1036" s="158">
        <f>IFERROR(INDEX(MASTER_JAM!$J$5:$O$12,MATCH($E1036,MASTER_JAM!$I$5:$I$12,0),MATCH($J1036,MASTER_JAM!$J$4:$O$4,0))+0,0)</f>
        <v/>
      </c>
      <c r="L1036" s="159">
        <f>N($F1036)*$K1036</f>
        <v/>
      </c>
      <c r="M1036" s="157">
        <f>IF($E1036="","",IF(OR($E1036="Coal",$E1036="Dirty Coal"),"MT","BCM"))</f>
        <v/>
      </c>
      <c r="N1036" s="157">
        <f>IF($E1036="","",IF(OR($E1036="Coal",$E1036="Dirty Coal"),"Coal","OB"))</f>
        <v/>
      </c>
      <c r="O1036" s="157">
        <f>IF($F1036="","",IF(COUNTIF(MASTER_JAM!$A$5:$A$94,$C1036)=0,"Digger tidak dikenal",IF($J1036="","Hauler tidak dikenal",IF($H1036="?","Jam salah",IF($K1036=0,"Faktor kosong",IF(SUMIFS(INPUT_DELAY!$E$5:$E$20000,INPUT_DELAY!$A$5:$A$20000,$A1036,INPUT_DELAY!$B$5:$B$20000,$B1036,INPUT_DELAY!$C$5:$C$20000,$C1036)+SUMIFS(INPUT_DELAY!$E$5:$E$20000,INPUT_DELAY!$A$5:$A$20000,$A1036,INPUT_DELAY!$B$5:$B$20000,$B1036,INPUT_DELAY!$C$5:$C$20000,"SEMUA")&gt;=60,"Delay 60 mnt tapi ada ritase","OK"))))))</f>
        <v/>
      </c>
      <c r="P1036" s="158">
        <f>IFERROR(INDEX(MASTER_JAM!$Z$5:$AC$10,MATCH($I1036,MASTER_JAM!$Y$5:$Y$10,0),MATCH($J1036,MASTER_JAM!$Z$4:$AC$4,0))+0,0)</f>
        <v/>
      </c>
      <c r="Q1036" s="158">
        <f>IF($P1036=0,0,$P1036+IFERROR(INDEX(MASTER_JAM!$H$5:$H$94,MATCH($C1036,MASTER_JAM!$A$5:$A$94,0))+0,MASTER_JAM!$AC$15)/1000*(60/MASTER_JAM!$AC$12+60/MASTER_JAM!$AC$13)+MASTER_JAM!$AC$14)</f>
        <v/>
      </c>
      <c r="R1036" s="158">
        <f>IF(N($F1036)=0,0,$F1036/SUMIFS(INPUT_RITASE!$F$5:$F$20000,INPUT_RITASE!$A$5:$A$20000,$A1036,INPUT_RITASE!$B$5:$B$20000,$B1036,INPUT_RITASE!$C$5:$C$20000,$C1036,INPUT_RITASE!$D$5:$D$20000,$D1036))</f>
        <v/>
      </c>
      <c r="S1036" s="158">
        <f>IF($Q1036=0,0,$R1036*$P1036/$Q1036)</f>
        <v/>
      </c>
    </row>
    <row r="1037">
      <c r="A1037" s="155" t="n">
        <v>46107</v>
      </c>
      <c r="B1037" s="156" t="inlineStr">
        <is>
          <t>08-09</t>
        </is>
      </c>
      <c r="C1037" s="156" t="inlineStr">
        <is>
          <t>EX-755</t>
        </is>
      </c>
      <c r="D1037" s="156" t="inlineStr">
        <is>
          <t>DT-529</t>
        </is>
      </c>
      <c r="E1037" s="156" t="inlineStr">
        <is>
          <t>OB</t>
        </is>
      </c>
      <c r="F1037" s="156" t="n">
        <v>4</v>
      </c>
      <c r="G1037" s="156" t="inlineStr"/>
      <c r="H1037" s="157">
        <f>IF($B1037="","",IF(ISNA(MATCH($B1037,MASTER_JAM!$Q$5:$Q$28,0)),"?",IF(MATCH($B1037,MASTER_JAM!$Q$5:$Q$28,0)&lt;=12,"DS","NS")))</f>
        <v/>
      </c>
      <c r="I1037" s="157">
        <f>IFERROR(INDEX(MASTER_JAM!$B$5:$B$94,MATCH($C1037,MASTER_JAM!$A$5:$A$94,0)),"")</f>
        <v/>
      </c>
      <c r="J1037" s="157">
        <f>IFERROR(INDEX(MASTER_JAM!$E$5:$E$94,MATCH($D1037,MASTER_JAM!$A$5:$A$94,0)),"")</f>
        <v/>
      </c>
      <c r="K1037" s="158">
        <f>IFERROR(INDEX(MASTER_JAM!$J$5:$O$12,MATCH($E1037,MASTER_JAM!$I$5:$I$12,0),MATCH($J1037,MASTER_JAM!$J$4:$O$4,0))+0,0)</f>
        <v/>
      </c>
      <c r="L1037" s="159">
        <f>N($F1037)*$K1037</f>
        <v/>
      </c>
      <c r="M1037" s="157">
        <f>IF($E1037="","",IF(OR($E1037="Coal",$E1037="Dirty Coal"),"MT","BCM"))</f>
        <v/>
      </c>
      <c r="N1037" s="157">
        <f>IF($E1037="","",IF(OR($E1037="Coal",$E1037="Dirty Coal"),"Coal","OB"))</f>
        <v/>
      </c>
      <c r="O1037" s="157">
        <f>IF($F1037="","",IF(COUNTIF(MASTER_JAM!$A$5:$A$94,$C1037)=0,"Digger tidak dikenal",IF($J1037="","Hauler tidak dikenal",IF($H1037="?","Jam salah",IF($K1037=0,"Faktor kosong",IF(SUMIFS(INPUT_DELAY!$E$5:$E$20000,INPUT_DELAY!$A$5:$A$20000,$A1037,INPUT_DELAY!$B$5:$B$20000,$B1037,INPUT_DELAY!$C$5:$C$20000,$C1037)+SUMIFS(INPUT_DELAY!$E$5:$E$20000,INPUT_DELAY!$A$5:$A$20000,$A1037,INPUT_DELAY!$B$5:$B$20000,$B1037,INPUT_DELAY!$C$5:$C$20000,"SEMUA")&gt;=60,"Delay 60 mnt tapi ada ritase","OK"))))))</f>
        <v/>
      </c>
      <c r="P1037" s="158">
        <f>IFERROR(INDEX(MASTER_JAM!$Z$5:$AC$10,MATCH($I1037,MASTER_JAM!$Y$5:$Y$10,0),MATCH($J1037,MASTER_JAM!$Z$4:$AC$4,0))+0,0)</f>
        <v/>
      </c>
      <c r="Q1037" s="158">
        <f>IF($P1037=0,0,$P1037+IFERROR(INDEX(MASTER_JAM!$H$5:$H$94,MATCH($C1037,MASTER_JAM!$A$5:$A$94,0))+0,MASTER_JAM!$AC$15)/1000*(60/MASTER_JAM!$AC$12+60/MASTER_JAM!$AC$13)+MASTER_JAM!$AC$14)</f>
        <v/>
      </c>
      <c r="R1037" s="158">
        <f>IF(N($F1037)=0,0,$F1037/SUMIFS(INPUT_RITASE!$F$5:$F$20000,INPUT_RITASE!$A$5:$A$20000,$A1037,INPUT_RITASE!$B$5:$B$20000,$B1037,INPUT_RITASE!$C$5:$C$20000,$C1037,INPUT_RITASE!$D$5:$D$20000,$D1037))</f>
        <v/>
      </c>
      <c r="S1037" s="158">
        <f>IF($Q1037=0,0,$R1037*$P1037/$Q1037)</f>
        <v/>
      </c>
    </row>
    <row r="1038">
      <c r="A1038" s="155" t="n">
        <v>46107</v>
      </c>
      <c r="B1038" s="156" t="inlineStr">
        <is>
          <t>08-09</t>
        </is>
      </c>
      <c r="C1038" s="156" t="inlineStr">
        <is>
          <t>EX-755</t>
        </is>
      </c>
      <c r="D1038" s="156" t="inlineStr">
        <is>
          <t>DT-517</t>
        </is>
      </c>
      <c r="E1038" s="156" t="inlineStr">
        <is>
          <t>OB</t>
        </is>
      </c>
      <c r="F1038" s="156" t="n">
        <v>4</v>
      </c>
      <c r="G1038" s="156" t="inlineStr"/>
      <c r="H1038" s="157">
        <f>IF($B1038="","",IF(ISNA(MATCH($B1038,MASTER_JAM!$Q$5:$Q$28,0)),"?",IF(MATCH($B1038,MASTER_JAM!$Q$5:$Q$28,0)&lt;=12,"DS","NS")))</f>
        <v/>
      </c>
      <c r="I1038" s="157">
        <f>IFERROR(INDEX(MASTER_JAM!$B$5:$B$94,MATCH($C1038,MASTER_JAM!$A$5:$A$94,0)),"")</f>
        <v/>
      </c>
      <c r="J1038" s="157">
        <f>IFERROR(INDEX(MASTER_JAM!$E$5:$E$94,MATCH($D1038,MASTER_JAM!$A$5:$A$94,0)),"")</f>
        <v/>
      </c>
      <c r="K1038" s="158">
        <f>IFERROR(INDEX(MASTER_JAM!$J$5:$O$12,MATCH($E1038,MASTER_JAM!$I$5:$I$12,0),MATCH($J1038,MASTER_JAM!$J$4:$O$4,0))+0,0)</f>
        <v/>
      </c>
      <c r="L1038" s="159">
        <f>N($F1038)*$K1038</f>
        <v/>
      </c>
      <c r="M1038" s="157">
        <f>IF($E1038="","",IF(OR($E1038="Coal",$E1038="Dirty Coal"),"MT","BCM"))</f>
        <v/>
      </c>
      <c r="N1038" s="157">
        <f>IF($E1038="","",IF(OR($E1038="Coal",$E1038="Dirty Coal"),"Coal","OB"))</f>
        <v/>
      </c>
      <c r="O1038" s="157">
        <f>IF($F1038="","",IF(COUNTIF(MASTER_JAM!$A$5:$A$94,$C1038)=0,"Digger tidak dikenal",IF($J1038="","Hauler tidak dikenal",IF($H1038="?","Jam salah",IF($K1038=0,"Faktor kosong",IF(SUMIFS(INPUT_DELAY!$E$5:$E$20000,INPUT_DELAY!$A$5:$A$20000,$A1038,INPUT_DELAY!$B$5:$B$20000,$B1038,INPUT_DELAY!$C$5:$C$20000,$C1038)+SUMIFS(INPUT_DELAY!$E$5:$E$20000,INPUT_DELAY!$A$5:$A$20000,$A1038,INPUT_DELAY!$B$5:$B$20000,$B1038,INPUT_DELAY!$C$5:$C$20000,"SEMUA")&gt;=60,"Delay 60 mnt tapi ada ritase","OK"))))))</f>
        <v/>
      </c>
      <c r="P1038" s="158">
        <f>IFERROR(INDEX(MASTER_JAM!$Z$5:$AC$10,MATCH($I1038,MASTER_JAM!$Y$5:$Y$10,0),MATCH($J1038,MASTER_JAM!$Z$4:$AC$4,0))+0,0)</f>
        <v/>
      </c>
      <c r="Q1038" s="158">
        <f>IF($P1038=0,0,$P1038+IFERROR(INDEX(MASTER_JAM!$H$5:$H$94,MATCH($C1038,MASTER_JAM!$A$5:$A$94,0))+0,MASTER_JAM!$AC$15)/1000*(60/MASTER_JAM!$AC$12+60/MASTER_JAM!$AC$13)+MASTER_JAM!$AC$14)</f>
        <v/>
      </c>
      <c r="R1038" s="158">
        <f>IF(N($F1038)=0,0,$F1038/SUMIFS(INPUT_RITASE!$F$5:$F$20000,INPUT_RITASE!$A$5:$A$20000,$A1038,INPUT_RITASE!$B$5:$B$20000,$B1038,INPUT_RITASE!$C$5:$C$20000,$C1038,INPUT_RITASE!$D$5:$D$20000,$D1038))</f>
        <v/>
      </c>
      <c r="S1038" s="158">
        <f>IF($Q1038=0,0,$R1038*$P1038/$Q1038)</f>
        <v/>
      </c>
    </row>
    <row r="1039">
      <c r="A1039" s="155" t="n">
        <v>46107</v>
      </c>
      <c r="B1039" s="156" t="inlineStr">
        <is>
          <t>08-09</t>
        </is>
      </c>
      <c r="C1039" s="156" t="inlineStr">
        <is>
          <t>EX-755</t>
        </is>
      </c>
      <c r="D1039" s="156" t="inlineStr">
        <is>
          <t>DT-515</t>
        </is>
      </c>
      <c r="E1039" s="156" t="inlineStr">
        <is>
          <t>OB</t>
        </is>
      </c>
      <c r="F1039" s="156" t="n">
        <v>4</v>
      </c>
      <c r="G1039" s="156" t="inlineStr"/>
      <c r="H1039" s="157">
        <f>IF($B1039="","",IF(ISNA(MATCH($B1039,MASTER_JAM!$Q$5:$Q$28,0)),"?",IF(MATCH($B1039,MASTER_JAM!$Q$5:$Q$28,0)&lt;=12,"DS","NS")))</f>
        <v/>
      </c>
      <c r="I1039" s="157">
        <f>IFERROR(INDEX(MASTER_JAM!$B$5:$B$94,MATCH($C1039,MASTER_JAM!$A$5:$A$94,0)),"")</f>
        <v/>
      </c>
      <c r="J1039" s="157">
        <f>IFERROR(INDEX(MASTER_JAM!$E$5:$E$94,MATCH($D1039,MASTER_JAM!$A$5:$A$94,0)),"")</f>
        <v/>
      </c>
      <c r="K1039" s="158">
        <f>IFERROR(INDEX(MASTER_JAM!$J$5:$O$12,MATCH($E1039,MASTER_JAM!$I$5:$I$12,0),MATCH($J1039,MASTER_JAM!$J$4:$O$4,0))+0,0)</f>
        <v/>
      </c>
      <c r="L1039" s="159">
        <f>N($F1039)*$K1039</f>
        <v/>
      </c>
      <c r="M1039" s="157">
        <f>IF($E1039="","",IF(OR($E1039="Coal",$E1039="Dirty Coal"),"MT","BCM"))</f>
        <v/>
      </c>
      <c r="N1039" s="157">
        <f>IF($E1039="","",IF(OR($E1039="Coal",$E1039="Dirty Coal"),"Coal","OB"))</f>
        <v/>
      </c>
      <c r="O1039" s="157">
        <f>IF($F1039="","",IF(COUNTIF(MASTER_JAM!$A$5:$A$94,$C1039)=0,"Digger tidak dikenal",IF($J1039="","Hauler tidak dikenal",IF($H1039="?","Jam salah",IF($K1039=0,"Faktor kosong",IF(SUMIFS(INPUT_DELAY!$E$5:$E$20000,INPUT_DELAY!$A$5:$A$20000,$A1039,INPUT_DELAY!$B$5:$B$20000,$B1039,INPUT_DELAY!$C$5:$C$20000,$C1039)+SUMIFS(INPUT_DELAY!$E$5:$E$20000,INPUT_DELAY!$A$5:$A$20000,$A1039,INPUT_DELAY!$B$5:$B$20000,$B1039,INPUT_DELAY!$C$5:$C$20000,"SEMUA")&gt;=60,"Delay 60 mnt tapi ada ritase","OK"))))))</f>
        <v/>
      </c>
      <c r="P1039" s="158">
        <f>IFERROR(INDEX(MASTER_JAM!$Z$5:$AC$10,MATCH($I1039,MASTER_JAM!$Y$5:$Y$10,0),MATCH($J1039,MASTER_JAM!$Z$4:$AC$4,0))+0,0)</f>
        <v/>
      </c>
      <c r="Q1039" s="158">
        <f>IF($P1039=0,0,$P1039+IFERROR(INDEX(MASTER_JAM!$H$5:$H$94,MATCH($C1039,MASTER_JAM!$A$5:$A$94,0))+0,MASTER_JAM!$AC$15)/1000*(60/MASTER_JAM!$AC$12+60/MASTER_JAM!$AC$13)+MASTER_JAM!$AC$14)</f>
        <v/>
      </c>
      <c r="R1039" s="158">
        <f>IF(N($F1039)=0,0,$F1039/SUMIFS(INPUT_RITASE!$F$5:$F$20000,INPUT_RITASE!$A$5:$A$20000,$A1039,INPUT_RITASE!$B$5:$B$20000,$B1039,INPUT_RITASE!$C$5:$C$20000,$C1039,INPUT_RITASE!$D$5:$D$20000,$D1039))</f>
        <v/>
      </c>
      <c r="S1039" s="158">
        <f>IF($Q1039=0,0,$R1039*$P1039/$Q1039)</f>
        <v/>
      </c>
    </row>
    <row r="1040">
      <c r="A1040" s="155" t="n">
        <v>46107</v>
      </c>
      <c r="B1040" s="156" t="inlineStr">
        <is>
          <t>08-09</t>
        </is>
      </c>
      <c r="C1040" s="156" t="inlineStr">
        <is>
          <t>EX-755</t>
        </is>
      </c>
      <c r="D1040" s="156" t="inlineStr">
        <is>
          <t>DT-518</t>
        </is>
      </c>
      <c r="E1040" s="156" t="inlineStr">
        <is>
          <t>OB</t>
        </is>
      </c>
      <c r="F1040" s="156" t="n">
        <v>4</v>
      </c>
      <c r="G1040" s="156" t="inlineStr"/>
      <c r="H1040" s="157">
        <f>IF($B1040="","",IF(ISNA(MATCH($B1040,MASTER_JAM!$Q$5:$Q$28,0)),"?",IF(MATCH($B1040,MASTER_JAM!$Q$5:$Q$28,0)&lt;=12,"DS","NS")))</f>
        <v/>
      </c>
      <c r="I1040" s="157">
        <f>IFERROR(INDEX(MASTER_JAM!$B$5:$B$94,MATCH($C1040,MASTER_JAM!$A$5:$A$94,0)),"")</f>
        <v/>
      </c>
      <c r="J1040" s="157">
        <f>IFERROR(INDEX(MASTER_JAM!$E$5:$E$94,MATCH($D1040,MASTER_JAM!$A$5:$A$94,0)),"")</f>
        <v/>
      </c>
      <c r="K1040" s="158">
        <f>IFERROR(INDEX(MASTER_JAM!$J$5:$O$12,MATCH($E1040,MASTER_JAM!$I$5:$I$12,0),MATCH($J1040,MASTER_JAM!$J$4:$O$4,0))+0,0)</f>
        <v/>
      </c>
      <c r="L1040" s="159">
        <f>N($F1040)*$K1040</f>
        <v/>
      </c>
      <c r="M1040" s="157">
        <f>IF($E1040="","",IF(OR($E1040="Coal",$E1040="Dirty Coal"),"MT","BCM"))</f>
        <v/>
      </c>
      <c r="N1040" s="157">
        <f>IF($E1040="","",IF(OR($E1040="Coal",$E1040="Dirty Coal"),"Coal","OB"))</f>
        <v/>
      </c>
      <c r="O1040" s="157">
        <f>IF($F1040="","",IF(COUNTIF(MASTER_JAM!$A$5:$A$94,$C1040)=0,"Digger tidak dikenal",IF($J1040="","Hauler tidak dikenal",IF($H1040="?","Jam salah",IF($K1040=0,"Faktor kosong",IF(SUMIFS(INPUT_DELAY!$E$5:$E$20000,INPUT_DELAY!$A$5:$A$20000,$A1040,INPUT_DELAY!$B$5:$B$20000,$B1040,INPUT_DELAY!$C$5:$C$20000,$C1040)+SUMIFS(INPUT_DELAY!$E$5:$E$20000,INPUT_DELAY!$A$5:$A$20000,$A1040,INPUT_DELAY!$B$5:$B$20000,$B1040,INPUT_DELAY!$C$5:$C$20000,"SEMUA")&gt;=60,"Delay 60 mnt tapi ada ritase","OK"))))))</f>
        <v/>
      </c>
      <c r="P1040" s="158">
        <f>IFERROR(INDEX(MASTER_JAM!$Z$5:$AC$10,MATCH($I1040,MASTER_JAM!$Y$5:$Y$10,0),MATCH($J1040,MASTER_JAM!$Z$4:$AC$4,0))+0,0)</f>
        <v/>
      </c>
      <c r="Q1040" s="158">
        <f>IF($P1040=0,0,$P1040+IFERROR(INDEX(MASTER_JAM!$H$5:$H$94,MATCH($C1040,MASTER_JAM!$A$5:$A$94,0))+0,MASTER_JAM!$AC$15)/1000*(60/MASTER_JAM!$AC$12+60/MASTER_JAM!$AC$13)+MASTER_JAM!$AC$14)</f>
        <v/>
      </c>
      <c r="R1040" s="158">
        <f>IF(N($F1040)=0,0,$F1040/SUMIFS(INPUT_RITASE!$F$5:$F$20000,INPUT_RITASE!$A$5:$A$20000,$A1040,INPUT_RITASE!$B$5:$B$20000,$B1040,INPUT_RITASE!$C$5:$C$20000,$C1040,INPUT_RITASE!$D$5:$D$20000,$D1040))</f>
        <v/>
      </c>
      <c r="S1040" s="158">
        <f>IF($Q1040=0,0,$R1040*$P1040/$Q1040)</f>
        <v/>
      </c>
    </row>
    <row r="1041">
      <c r="A1041" s="155" t="n">
        <v>46107</v>
      </c>
      <c r="B1041" s="156" t="inlineStr">
        <is>
          <t>09-10</t>
        </is>
      </c>
      <c r="C1041" s="156" t="inlineStr">
        <is>
          <t>EX-755</t>
        </is>
      </c>
      <c r="D1041" s="156" t="inlineStr">
        <is>
          <t>DT-521</t>
        </is>
      </c>
      <c r="E1041" s="156" t="inlineStr">
        <is>
          <t>OB</t>
        </is>
      </c>
      <c r="F1041" s="156" t="n">
        <v>4</v>
      </c>
      <c r="G1041" s="156" t="inlineStr"/>
      <c r="H1041" s="157">
        <f>IF($B1041="","",IF(ISNA(MATCH($B1041,MASTER_JAM!$Q$5:$Q$28,0)),"?",IF(MATCH($B1041,MASTER_JAM!$Q$5:$Q$28,0)&lt;=12,"DS","NS")))</f>
        <v/>
      </c>
      <c r="I1041" s="157">
        <f>IFERROR(INDEX(MASTER_JAM!$B$5:$B$94,MATCH($C1041,MASTER_JAM!$A$5:$A$94,0)),"")</f>
        <v/>
      </c>
      <c r="J1041" s="157">
        <f>IFERROR(INDEX(MASTER_JAM!$E$5:$E$94,MATCH($D1041,MASTER_JAM!$A$5:$A$94,0)),"")</f>
        <v/>
      </c>
      <c r="K1041" s="158">
        <f>IFERROR(INDEX(MASTER_JAM!$J$5:$O$12,MATCH($E1041,MASTER_JAM!$I$5:$I$12,0),MATCH($J1041,MASTER_JAM!$J$4:$O$4,0))+0,0)</f>
        <v/>
      </c>
      <c r="L1041" s="159">
        <f>N($F1041)*$K1041</f>
        <v/>
      </c>
      <c r="M1041" s="157">
        <f>IF($E1041="","",IF(OR($E1041="Coal",$E1041="Dirty Coal"),"MT","BCM"))</f>
        <v/>
      </c>
      <c r="N1041" s="157">
        <f>IF($E1041="","",IF(OR($E1041="Coal",$E1041="Dirty Coal"),"Coal","OB"))</f>
        <v/>
      </c>
      <c r="O1041" s="157">
        <f>IF($F1041="","",IF(COUNTIF(MASTER_JAM!$A$5:$A$94,$C1041)=0,"Digger tidak dikenal",IF($J1041="","Hauler tidak dikenal",IF($H1041="?","Jam salah",IF($K1041=0,"Faktor kosong",IF(SUMIFS(INPUT_DELAY!$E$5:$E$20000,INPUT_DELAY!$A$5:$A$20000,$A1041,INPUT_DELAY!$B$5:$B$20000,$B1041,INPUT_DELAY!$C$5:$C$20000,$C1041)+SUMIFS(INPUT_DELAY!$E$5:$E$20000,INPUT_DELAY!$A$5:$A$20000,$A1041,INPUT_DELAY!$B$5:$B$20000,$B1041,INPUT_DELAY!$C$5:$C$20000,"SEMUA")&gt;=60,"Delay 60 mnt tapi ada ritase","OK"))))))</f>
        <v/>
      </c>
      <c r="P1041" s="158">
        <f>IFERROR(INDEX(MASTER_JAM!$Z$5:$AC$10,MATCH($I1041,MASTER_JAM!$Y$5:$Y$10,0),MATCH($J1041,MASTER_JAM!$Z$4:$AC$4,0))+0,0)</f>
        <v/>
      </c>
      <c r="Q1041" s="158">
        <f>IF($P1041=0,0,$P1041+IFERROR(INDEX(MASTER_JAM!$H$5:$H$94,MATCH($C1041,MASTER_JAM!$A$5:$A$94,0))+0,MASTER_JAM!$AC$15)/1000*(60/MASTER_JAM!$AC$12+60/MASTER_JAM!$AC$13)+MASTER_JAM!$AC$14)</f>
        <v/>
      </c>
      <c r="R1041" s="158">
        <f>IF(N($F1041)=0,0,$F1041/SUMIFS(INPUT_RITASE!$F$5:$F$20000,INPUT_RITASE!$A$5:$A$20000,$A1041,INPUT_RITASE!$B$5:$B$20000,$B1041,INPUT_RITASE!$C$5:$C$20000,$C1041,INPUT_RITASE!$D$5:$D$20000,$D1041))</f>
        <v/>
      </c>
      <c r="S1041" s="158">
        <f>IF($Q1041=0,0,$R1041*$P1041/$Q1041)</f>
        <v/>
      </c>
    </row>
    <row r="1042">
      <c r="A1042" s="155" t="n">
        <v>46107</v>
      </c>
      <c r="B1042" s="156" t="inlineStr">
        <is>
          <t>09-10</t>
        </is>
      </c>
      <c r="C1042" s="156" t="inlineStr">
        <is>
          <t>EX-755</t>
        </is>
      </c>
      <c r="D1042" s="156" t="inlineStr">
        <is>
          <t>DT-510</t>
        </is>
      </c>
      <c r="E1042" s="156" t="inlineStr">
        <is>
          <t>OB</t>
        </is>
      </c>
      <c r="F1042" s="156" t="n">
        <v>4</v>
      </c>
      <c r="G1042" s="156" t="inlineStr"/>
      <c r="H1042" s="157">
        <f>IF($B1042="","",IF(ISNA(MATCH($B1042,MASTER_JAM!$Q$5:$Q$28,0)),"?",IF(MATCH($B1042,MASTER_JAM!$Q$5:$Q$28,0)&lt;=12,"DS","NS")))</f>
        <v/>
      </c>
      <c r="I1042" s="157">
        <f>IFERROR(INDEX(MASTER_JAM!$B$5:$B$94,MATCH($C1042,MASTER_JAM!$A$5:$A$94,0)),"")</f>
        <v/>
      </c>
      <c r="J1042" s="157">
        <f>IFERROR(INDEX(MASTER_JAM!$E$5:$E$94,MATCH($D1042,MASTER_JAM!$A$5:$A$94,0)),"")</f>
        <v/>
      </c>
      <c r="K1042" s="158">
        <f>IFERROR(INDEX(MASTER_JAM!$J$5:$O$12,MATCH($E1042,MASTER_JAM!$I$5:$I$12,0),MATCH($J1042,MASTER_JAM!$J$4:$O$4,0))+0,0)</f>
        <v/>
      </c>
      <c r="L1042" s="159">
        <f>N($F1042)*$K1042</f>
        <v/>
      </c>
      <c r="M1042" s="157">
        <f>IF($E1042="","",IF(OR($E1042="Coal",$E1042="Dirty Coal"),"MT","BCM"))</f>
        <v/>
      </c>
      <c r="N1042" s="157">
        <f>IF($E1042="","",IF(OR($E1042="Coal",$E1042="Dirty Coal"),"Coal","OB"))</f>
        <v/>
      </c>
      <c r="O1042" s="157">
        <f>IF($F1042="","",IF(COUNTIF(MASTER_JAM!$A$5:$A$94,$C1042)=0,"Digger tidak dikenal",IF($J1042="","Hauler tidak dikenal",IF($H1042="?","Jam salah",IF($K1042=0,"Faktor kosong",IF(SUMIFS(INPUT_DELAY!$E$5:$E$20000,INPUT_DELAY!$A$5:$A$20000,$A1042,INPUT_DELAY!$B$5:$B$20000,$B1042,INPUT_DELAY!$C$5:$C$20000,$C1042)+SUMIFS(INPUT_DELAY!$E$5:$E$20000,INPUT_DELAY!$A$5:$A$20000,$A1042,INPUT_DELAY!$B$5:$B$20000,$B1042,INPUT_DELAY!$C$5:$C$20000,"SEMUA")&gt;=60,"Delay 60 mnt tapi ada ritase","OK"))))))</f>
        <v/>
      </c>
      <c r="P1042" s="158">
        <f>IFERROR(INDEX(MASTER_JAM!$Z$5:$AC$10,MATCH($I1042,MASTER_JAM!$Y$5:$Y$10,0),MATCH($J1042,MASTER_JAM!$Z$4:$AC$4,0))+0,0)</f>
        <v/>
      </c>
      <c r="Q1042" s="158">
        <f>IF($P1042=0,0,$P1042+IFERROR(INDEX(MASTER_JAM!$H$5:$H$94,MATCH($C1042,MASTER_JAM!$A$5:$A$94,0))+0,MASTER_JAM!$AC$15)/1000*(60/MASTER_JAM!$AC$12+60/MASTER_JAM!$AC$13)+MASTER_JAM!$AC$14)</f>
        <v/>
      </c>
      <c r="R1042" s="158">
        <f>IF(N($F1042)=0,0,$F1042/SUMIFS(INPUT_RITASE!$F$5:$F$20000,INPUT_RITASE!$A$5:$A$20000,$A1042,INPUT_RITASE!$B$5:$B$20000,$B1042,INPUT_RITASE!$C$5:$C$20000,$C1042,INPUT_RITASE!$D$5:$D$20000,$D1042))</f>
        <v/>
      </c>
      <c r="S1042" s="158">
        <f>IF($Q1042=0,0,$R1042*$P1042/$Q1042)</f>
        <v/>
      </c>
    </row>
    <row r="1043">
      <c r="A1043" s="155" t="n">
        <v>46107</v>
      </c>
      <c r="B1043" s="156" t="inlineStr">
        <is>
          <t>09-10</t>
        </is>
      </c>
      <c r="C1043" s="156" t="inlineStr">
        <is>
          <t>EX-755</t>
        </is>
      </c>
      <c r="D1043" s="156" t="inlineStr">
        <is>
          <t>DT-522</t>
        </is>
      </c>
      <c r="E1043" s="156" t="inlineStr">
        <is>
          <t>OB</t>
        </is>
      </c>
      <c r="F1043" s="156" t="n">
        <v>3</v>
      </c>
      <c r="G1043" s="156" t="inlineStr"/>
      <c r="H1043" s="157">
        <f>IF($B1043="","",IF(ISNA(MATCH($B1043,MASTER_JAM!$Q$5:$Q$28,0)),"?",IF(MATCH($B1043,MASTER_JAM!$Q$5:$Q$28,0)&lt;=12,"DS","NS")))</f>
        <v/>
      </c>
      <c r="I1043" s="157">
        <f>IFERROR(INDEX(MASTER_JAM!$B$5:$B$94,MATCH($C1043,MASTER_JAM!$A$5:$A$94,0)),"")</f>
        <v/>
      </c>
      <c r="J1043" s="157">
        <f>IFERROR(INDEX(MASTER_JAM!$E$5:$E$94,MATCH($D1043,MASTER_JAM!$A$5:$A$94,0)),"")</f>
        <v/>
      </c>
      <c r="K1043" s="158">
        <f>IFERROR(INDEX(MASTER_JAM!$J$5:$O$12,MATCH($E1043,MASTER_JAM!$I$5:$I$12,0),MATCH($J1043,MASTER_JAM!$J$4:$O$4,0))+0,0)</f>
        <v/>
      </c>
      <c r="L1043" s="159">
        <f>N($F1043)*$K1043</f>
        <v/>
      </c>
      <c r="M1043" s="157">
        <f>IF($E1043="","",IF(OR($E1043="Coal",$E1043="Dirty Coal"),"MT","BCM"))</f>
        <v/>
      </c>
      <c r="N1043" s="157">
        <f>IF($E1043="","",IF(OR($E1043="Coal",$E1043="Dirty Coal"),"Coal","OB"))</f>
        <v/>
      </c>
      <c r="O1043" s="157">
        <f>IF($F1043="","",IF(COUNTIF(MASTER_JAM!$A$5:$A$94,$C1043)=0,"Digger tidak dikenal",IF($J1043="","Hauler tidak dikenal",IF($H1043="?","Jam salah",IF($K1043=0,"Faktor kosong",IF(SUMIFS(INPUT_DELAY!$E$5:$E$20000,INPUT_DELAY!$A$5:$A$20000,$A1043,INPUT_DELAY!$B$5:$B$20000,$B1043,INPUT_DELAY!$C$5:$C$20000,$C1043)+SUMIFS(INPUT_DELAY!$E$5:$E$20000,INPUT_DELAY!$A$5:$A$20000,$A1043,INPUT_DELAY!$B$5:$B$20000,$B1043,INPUT_DELAY!$C$5:$C$20000,"SEMUA")&gt;=60,"Delay 60 mnt tapi ada ritase","OK"))))))</f>
        <v/>
      </c>
      <c r="P1043" s="158">
        <f>IFERROR(INDEX(MASTER_JAM!$Z$5:$AC$10,MATCH($I1043,MASTER_JAM!$Y$5:$Y$10,0),MATCH($J1043,MASTER_JAM!$Z$4:$AC$4,0))+0,0)</f>
        <v/>
      </c>
      <c r="Q1043" s="158">
        <f>IF($P1043=0,0,$P1043+IFERROR(INDEX(MASTER_JAM!$H$5:$H$94,MATCH($C1043,MASTER_JAM!$A$5:$A$94,0))+0,MASTER_JAM!$AC$15)/1000*(60/MASTER_JAM!$AC$12+60/MASTER_JAM!$AC$13)+MASTER_JAM!$AC$14)</f>
        <v/>
      </c>
      <c r="R1043" s="158">
        <f>IF(N($F1043)=0,0,$F1043/SUMIFS(INPUT_RITASE!$F$5:$F$20000,INPUT_RITASE!$A$5:$A$20000,$A1043,INPUT_RITASE!$B$5:$B$20000,$B1043,INPUT_RITASE!$C$5:$C$20000,$C1043,INPUT_RITASE!$D$5:$D$20000,$D1043))</f>
        <v/>
      </c>
      <c r="S1043" s="158">
        <f>IF($Q1043=0,0,$R1043*$P1043/$Q1043)</f>
        <v/>
      </c>
    </row>
    <row r="1044">
      <c r="A1044" s="155" t="n">
        <v>46107</v>
      </c>
      <c r="B1044" s="156" t="inlineStr">
        <is>
          <t>09-10</t>
        </is>
      </c>
      <c r="C1044" s="156" t="inlineStr">
        <is>
          <t>EX-755</t>
        </is>
      </c>
      <c r="D1044" s="156" t="inlineStr">
        <is>
          <t>DT-508</t>
        </is>
      </c>
      <c r="E1044" s="156" t="inlineStr">
        <is>
          <t>OB</t>
        </is>
      </c>
      <c r="F1044" s="156" t="n">
        <v>3</v>
      </c>
      <c r="G1044" s="156" t="inlineStr"/>
      <c r="H1044" s="157">
        <f>IF($B1044="","",IF(ISNA(MATCH($B1044,MASTER_JAM!$Q$5:$Q$28,0)),"?",IF(MATCH($B1044,MASTER_JAM!$Q$5:$Q$28,0)&lt;=12,"DS","NS")))</f>
        <v/>
      </c>
      <c r="I1044" s="157">
        <f>IFERROR(INDEX(MASTER_JAM!$B$5:$B$94,MATCH($C1044,MASTER_JAM!$A$5:$A$94,0)),"")</f>
        <v/>
      </c>
      <c r="J1044" s="157">
        <f>IFERROR(INDEX(MASTER_JAM!$E$5:$E$94,MATCH($D1044,MASTER_JAM!$A$5:$A$94,0)),"")</f>
        <v/>
      </c>
      <c r="K1044" s="158">
        <f>IFERROR(INDEX(MASTER_JAM!$J$5:$O$12,MATCH($E1044,MASTER_JAM!$I$5:$I$12,0),MATCH($J1044,MASTER_JAM!$J$4:$O$4,0))+0,0)</f>
        <v/>
      </c>
      <c r="L1044" s="159">
        <f>N($F1044)*$K1044</f>
        <v/>
      </c>
      <c r="M1044" s="157">
        <f>IF($E1044="","",IF(OR($E1044="Coal",$E1044="Dirty Coal"),"MT","BCM"))</f>
        <v/>
      </c>
      <c r="N1044" s="157">
        <f>IF($E1044="","",IF(OR($E1044="Coal",$E1044="Dirty Coal"),"Coal","OB"))</f>
        <v/>
      </c>
      <c r="O1044" s="157">
        <f>IF($F1044="","",IF(COUNTIF(MASTER_JAM!$A$5:$A$94,$C1044)=0,"Digger tidak dikenal",IF($J1044="","Hauler tidak dikenal",IF($H1044="?","Jam salah",IF($K1044=0,"Faktor kosong",IF(SUMIFS(INPUT_DELAY!$E$5:$E$20000,INPUT_DELAY!$A$5:$A$20000,$A1044,INPUT_DELAY!$B$5:$B$20000,$B1044,INPUT_DELAY!$C$5:$C$20000,$C1044)+SUMIFS(INPUT_DELAY!$E$5:$E$20000,INPUT_DELAY!$A$5:$A$20000,$A1044,INPUT_DELAY!$B$5:$B$20000,$B1044,INPUT_DELAY!$C$5:$C$20000,"SEMUA")&gt;=60,"Delay 60 mnt tapi ada ritase","OK"))))))</f>
        <v/>
      </c>
      <c r="P1044" s="158">
        <f>IFERROR(INDEX(MASTER_JAM!$Z$5:$AC$10,MATCH($I1044,MASTER_JAM!$Y$5:$Y$10,0),MATCH($J1044,MASTER_JAM!$Z$4:$AC$4,0))+0,0)</f>
        <v/>
      </c>
      <c r="Q1044" s="158">
        <f>IF($P1044=0,0,$P1044+IFERROR(INDEX(MASTER_JAM!$H$5:$H$94,MATCH($C1044,MASTER_JAM!$A$5:$A$94,0))+0,MASTER_JAM!$AC$15)/1000*(60/MASTER_JAM!$AC$12+60/MASTER_JAM!$AC$13)+MASTER_JAM!$AC$14)</f>
        <v/>
      </c>
      <c r="R1044" s="158">
        <f>IF(N($F1044)=0,0,$F1044/SUMIFS(INPUT_RITASE!$F$5:$F$20000,INPUT_RITASE!$A$5:$A$20000,$A1044,INPUT_RITASE!$B$5:$B$20000,$B1044,INPUT_RITASE!$C$5:$C$20000,$C1044,INPUT_RITASE!$D$5:$D$20000,$D1044))</f>
        <v/>
      </c>
      <c r="S1044" s="158">
        <f>IF($Q1044=0,0,$R1044*$P1044/$Q1044)</f>
        <v/>
      </c>
    </row>
    <row r="1045">
      <c r="A1045" s="155" t="n">
        <v>46107</v>
      </c>
      <c r="B1045" s="156" t="inlineStr">
        <is>
          <t>10-11</t>
        </is>
      </c>
      <c r="C1045" s="156" t="inlineStr">
        <is>
          <t>EX-755</t>
        </is>
      </c>
      <c r="D1045" s="156" t="inlineStr">
        <is>
          <t>DT-523</t>
        </is>
      </c>
      <c r="E1045" s="156" t="inlineStr">
        <is>
          <t>Coal</t>
        </is>
      </c>
      <c r="F1045" s="156" t="n">
        <v>4</v>
      </c>
      <c r="G1045" s="156" t="inlineStr"/>
      <c r="H1045" s="157">
        <f>IF($B1045="","",IF(ISNA(MATCH($B1045,MASTER_JAM!$Q$5:$Q$28,0)),"?",IF(MATCH($B1045,MASTER_JAM!$Q$5:$Q$28,0)&lt;=12,"DS","NS")))</f>
        <v/>
      </c>
      <c r="I1045" s="157">
        <f>IFERROR(INDEX(MASTER_JAM!$B$5:$B$94,MATCH($C1045,MASTER_JAM!$A$5:$A$94,0)),"")</f>
        <v/>
      </c>
      <c r="J1045" s="157">
        <f>IFERROR(INDEX(MASTER_JAM!$E$5:$E$94,MATCH($D1045,MASTER_JAM!$A$5:$A$94,0)),"")</f>
        <v/>
      </c>
      <c r="K1045" s="158">
        <f>IFERROR(INDEX(MASTER_JAM!$J$5:$O$12,MATCH($E1045,MASTER_JAM!$I$5:$I$12,0),MATCH($J1045,MASTER_JAM!$J$4:$O$4,0))+0,0)</f>
        <v/>
      </c>
      <c r="L1045" s="159">
        <f>N($F1045)*$K1045</f>
        <v/>
      </c>
      <c r="M1045" s="157">
        <f>IF($E1045="","",IF(OR($E1045="Coal",$E1045="Dirty Coal"),"MT","BCM"))</f>
        <v/>
      </c>
      <c r="N1045" s="157">
        <f>IF($E1045="","",IF(OR($E1045="Coal",$E1045="Dirty Coal"),"Coal","OB"))</f>
        <v/>
      </c>
      <c r="O1045" s="157">
        <f>IF($F1045="","",IF(COUNTIF(MASTER_JAM!$A$5:$A$94,$C1045)=0,"Digger tidak dikenal",IF($J1045="","Hauler tidak dikenal",IF($H1045="?","Jam salah",IF($K1045=0,"Faktor kosong",IF(SUMIFS(INPUT_DELAY!$E$5:$E$20000,INPUT_DELAY!$A$5:$A$20000,$A1045,INPUT_DELAY!$B$5:$B$20000,$B1045,INPUT_DELAY!$C$5:$C$20000,$C1045)+SUMIFS(INPUT_DELAY!$E$5:$E$20000,INPUT_DELAY!$A$5:$A$20000,$A1045,INPUT_DELAY!$B$5:$B$20000,$B1045,INPUT_DELAY!$C$5:$C$20000,"SEMUA")&gt;=60,"Delay 60 mnt tapi ada ritase","OK"))))))</f>
        <v/>
      </c>
      <c r="P1045" s="158">
        <f>IFERROR(INDEX(MASTER_JAM!$Z$5:$AC$10,MATCH($I1045,MASTER_JAM!$Y$5:$Y$10,0),MATCH($J1045,MASTER_JAM!$Z$4:$AC$4,0))+0,0)</f>
        <v/>
      </c>
      <c r="Q1045" s="158">
        <f>IF($P1045=0,0,$P1045+IFERROR(INDEX(MASTER_JAM!$H$5:$H$94,MATCH($C1045,MASTER_JAM!$A$5:$A$94,0))+0,MASTER_JAM!$AC$15)/1000*(60/MASTER_JAM!$AC$12+60/MASTER_JAM!$AC$13)+MASTER_JAM!$AC$14)</f>
        <v/>
      </c>
      <c r="R1045" s="158">
        <f>IF(N($F1045)=0,0,$F1045/SUMIFS(INPUT_RITASE!$F$5:$F$20000,INPUT_RITASE!$A$5:$A$20000,$A1045,INPUT_RITASE!$B$5:$B$20000,$B1045,INPUT_RITASE!$C$5:$C$20000,$C1045,INPUT_RITASE!$D$5:$D$20000,$D1045))</f>
        <v/>
      </c>
      <c r="S1045" s="158">
        <f>IF($Q1045=0,0,$R1045*$P1045/$Q1045)</f>
        <v/>
      </c>
    </row>
    <row r="1046">
      <c r="A1046" s="155" t="n">
        <v>46107</v>
      </c>
      <c r="B1046" s="156" t="inlineStr">
        <is>
          <t>10-11</t>
        </is>
      </c>
      <c r="C1046" s="156" t="inlineStr">
        <is>
          <t>EX-755</t>
        </is>
      </c>
      <c r="D1046" s="156" t="inlineStr">
        <is>
          <t>DT-518</t>
        </is>
      </c>
      <c r="E1046" s="156" t="inlineStr">
        <is>
          <t>Coal</t>
        </is>
      </c>
      <c r="F1046" s="156" t="n">
        <v>3</v>
      </c>
      <c r="G1046" s="156" t="inlineStr"/>
      <c r="H1046" s="157">
        <f>IF($B1046="","",IF(ISNA(MATCH($B1046,MASTER_JAM!$Q$5:$Q$28,0)),"?",IF(MATCH($B1046,MASTER_JAM!$Q$5:$Q$28,0)&lt;=12,"DS","NS")))</f>
        <v/>
      </c>
      <c r="I1046" s="157">
        <f>IFERROR(INDEX(MASTER_JAM!$B$5:$B$94,MATCH($C1046,MASTER_JAM!$A$5:$A$94,0)),"")</f>
        <v/>
      </c>
      <c r="J1046" s="157">
        <f>IFERROR(INDEX(MASTER_JAM!$E$5:$E$94,MATCH($D1046,MASTER_JAM!$A$5:$A$94,0)),"")</f>
        <v/>
      </c>
      <c r="K1046" s="158">
        <f>IFERROR(INDEX(MASTER_JAM!$J$5:$O$12,MATCH($E1046,MASTER_JAM!$I$5:$I$12,0),MATCH($J1046,MASTER_JAM!$J$4:$O$4,0))+0,0)</f>
        <v/>
      </c>
      <c r="L1046" s="159">
        <f>N($F1046)*$K1046</f>
        <v/>
      </c>
      <c r="M1046" s="157">
        <f>IF($E1046="","",IF(OR($E1046="Coal",$E1046="Dirty Coal"),"MT","BCM"))</f>
        <v/>
      </c>
      <c r="N1046" s="157">
        <f>IF($E1046="","",IF(OR($E1046="Coal",$E1046="Dirty Coal"),"Coal","OB"))</f>
        <v/>
      </c>
      <c r="O1046" s="157">
        <f>IF($F1046="","",IF(COUNTIF(MASTER_JAM!$A$5:$A$94,$C1046)=0,"Digger tidak dikenal",IF($J1046="","Hauler tidak dikenal",IF($H1046="?","Jam salah",IF($K1046=0,"Faktor kosong",IF(SUMIFS(INPUT_DELAY!$E$5:$E$20000,INPUT_DELAY!$A$5:$A$20000,$A1046,INPUT_DELAY!$B$5:$B$20000,$B1046,INPUT_DELAY!$C$5:$C$20000,$C1046)+SUMIFS(INPUT_DELAY!$E$5:$E$20000,INPUT_DELAY!$A$5:$A$20000,$A1046,INPUT_DELAY!$B$5:$B$20000,$B1046,INPUT_DELAY!$C$5:$C$20000,"SEMUA")&gt;=60,"Delay 60 mnt tapi ada ritase","OK"))))))</f>
        <v/>
      </c>
      <c r="P1046" s="158">
        <f>IFERROR(INDEX(MASTER_JAM!$Z$5:$AC$10,MATCH($I1046,MASTER_JAM!$Y$5:$Y$10,0),MATCH($J1046,MASTER_JAM!$Z$4:$AC$4,0))+0,0)</f>
        <v/>
      </c>
      <c r="Q1046" s="158">
        <f>IF($P1046=0,0,$P1046+IFERROR(INDEX(MASTER_JAM!$H$5:$H$94,MATCH($C1046,MASTER_JAM!$A$5:$A$94,0))+0,MASTER_JAM!$AC$15)/1000*(60/MASTER_JAM!$AC$12+60/MASTER_JAM!$AC$13)+MASTER_JAM!$AC$14)</f>
        <v/>
      </c>
      <c r="R1046" s="158">
        <f>IF(N($F1046)=0,0,$F1046/SUMIFS(INPUT_RITASE!$F$5:$F$20000,INPUT_RITASE!$A$5:$A$20000,$A1046,INPUT_RITASE!$B$5:$B$20000,$B1046,INPUT_RITASE!$C$5:$C$20000,$C1046,INPUT_RITASE!$D$5:$D$20000,$D1046))</f>
        <v/>
      </c>
      <c r="S1046" s="158">
        <f>IF($Q1046=0,0,$R1046*$P1046/$Q1046)</f>
        <v/>
      </c>
    </row>
    <row r="1047">
      <c r="A1047" s="155" t="n">
        <v>46107</v>
      </c>
      <c r="B1047" s="156" t="inlineStr">
        <is>
          <t>10-11</t>
        </is>
      </c>
      <c r="C1047" s="156" t="inlineStr">
        <is>
          <t>EX-755</t>
        </is>
      </c>
      <c r="D1047" s="156" t="inlineStr">
        <is>
          <t>DT-521</t>
        </is>
      </c>
      <c r="E1047" s="156" t="inlineStr">
        <is>
          <t>Coal</t>
        </is>
      </c>
      <c r="F1047" s="156" t="n">
        <v>3</v>
      </c>
      <c r="G1047" s="156" t="inlineStr"/>
      <c r="H1047" s="157">
        <f>IF($B1047="","",IF(ISNA(MATCH($B1047,MASTER_JAM!$Q$5:$Q$28,0)),"?",IF(MATCH($B1047,MASTER_JAM!$Q$5:$Q$28,0)&lt;=12,"DS","NS")))</f>
        <v/>
      </c>
      <c r="I1047" s="157">
        <f>IFERROR(INDEX(MASTER_JAM!$B$5:$B$94,MATCH($C1047,MASTER_JAM!$A$5:$A$94,0)),"")</f>
        <v/>
      </c>
      <c r="J1047" s="157">
        <f>IFERROR(INDEX(MASTER_JAM!$E$5:$E$94,MATCH($D1047,MASTER_JAM!$A$5:$A$94,0)),"")</f>
        <v/>
      </c>
      <c r="K1047" s="158">
        <f>IFERROR(INDEX(MASTER_JAM!$J$5:$O$12,MATCH($E1047,MASTER_JAM!$I$5:$I$12,0),MATCH($J1047,MASTER_JAM!$J$4:$O$4,0))+0,0)</f>
        <v/>
      </c>
      <c r="L1047" s="159">
        <f>N($F1047)*$K1047</f>
        <v/>
      </c>
      <c r="M1047" s="157">
        <f>IF($E1047="","",IF(OR($E1047="Coal",$E1047="Dirty Coal"),"MT","BCM"))</f>
        <v/>
      </c>
      <c r="N1047" s="157">
        <f>IF($E1047="","",IF(OR($E1047="Coal",$E1047="Dirty Coal"),"Coal","OB"))</f>
        <v/>
      </c>
      <c r="O1047" s="157">
        <f>IF($F1047="","",IF(COUNTIF(MASTER_JAM!$A$5:$A$94,$C1047)=0,"Digger tidak dikenal",IF($J1047="","Hauler tidak dikenal",IF($H1047="?","Jam salah",IF($K1047=0,"Faktor kosong",IF(SUMIFS(INPUT_DELAY!$E$5:$E$20000,INPUT_DELAY!$A$5:$A$20000,$A1047,INPUT_DELAY!$B$5:$B$20000,$B1047,INPUT_DELAY!$C$5:$C$20000,$C1047)+SUMIFS(INPUT_DELAY!$E$5:$E$20000,INPUT_DELAY!$A$5:$A$20000,$A1047,INPUT_DELAY!$B$5:$B$20000,$B1047,INPUT_DELAY!$C$5:$C$20000,"SEMUA")&gt;=60,"Delay 60 mnt tapi ada ritase","OK"))))))</f>
        <v/>
      </c>
      <c r="P1047" s="158">
        <f>IFERROR(INDEX(MASTER_JAM!$Z$5:$AC$10,MATCH($I1047,MASTER_JAM!$Y$5:$Y$10,0),MATCH($J1047,MASTER_JAM!$Z$4:$AC$4,0))+0,0)</f>
        <v/>
      </c>
      <c r="Q1047" s="158">
        <f>IF($P1047=0,0,$P1047+IFERROR(INDEX(MASTER_JAM!$H$5:$H$94,MATCH($C1047,MASTER_JAM!$A$5:$A$94,0))+0,MASTER_JAM!$AC$15)/1000*(60/MASTER_JAM!$AC$12+60/MASTER_JAM!$AC$13)+MASTER_JAM!$AC$14)</f>
        <v/>
      </c>
      <c r="R1047" s="158">
        <f>IF(N($F1047)=0,0,$F1047/SUMIFS(INPUT_RITASE!$F$5:$F$20000,INPUT_RITASE!$A$5:$A$20000,$A1047,INPUT_RITASE!$B$5:$B$20000,$B1047,INPUT_RITASE!$C$5:$C$20000,$C1047,INPUT_RITASE!$D$5:$D$20000,$D1047))</f>
        <v/>
      </c>
      <c r="S1047" s="158">
        <f>IF($Q1047=0,0,$R1047*$P1047/$Q1047)</f>
        <v/>
      </c>
    </row>
    <row r="1048">
      <c r="A1048" s="155" t="n">
        <v>46107</v>
      </c>
      <c r="B1048" s="156" t="inlineStr">
        <is>
          <t>11-12</t>
        </is>
      </c>
      <c r="C1048" s="156" t="inlineStr">
        <is>
          <t>EX-755</t>
        </is>
      </c>
      <c r="D1048" s="156" t="inlineStr">
        <is>
          <t>DT-510</t>
        </is>
      </c>
      <c r="E1048" s="156" t="inlineStr">
        <is>
          <t>Coal</t>
        </is>
      </c>
      <c r="F1048" s="156" t="n">
        <v>4</v>
      </c>
      <c r="G1048" s="156" t="inlineStr"/>
      <c r="H1048" s="157">
        <f>IF($B1048="","",IF(ISNA(MATCH($B1048,MASTER_JAM!$Q$5:$Q$28,0)),"?",IF(MATCH($B1048,MASTER_JAM!$Q$5:$Q$28,0)&lt;=12,"DS","NS")))</f>
        <v/>
      </c>
      <c r="I1048" s="157">
        <f>IFERROR(INDEX(MASTER_JAM!$B$5:$B$94,MATCH($C1048,MASTER_JAM!$A$5:$A$94,0)),"")</f>
        <v/>
      </c>
      <c r="J1048" s="157">
        <f>IFERROR(INDEX(MASTER_JAM!$E$5:$E$94,MATCH($D1048,MASTER_JAM!$A$5:$A$94,0)),"")</f>
        <v/>
      </c>
      <c r="K1048" s="158">
        <f>IFERROR(INDEX(MASTER_JAM!$J$5:$O$12,MATCH($E1048,MASTER_JAM!$I$5:$I$12,0),MATCH($J1048,MASTER_JAM!$J$4:$O$4,0))+0,0)</f>
        <v/>
      </c>
      <c r="L1048" s="159">
        <f>N($F1048)*$K1048</f>
        <v/>
      </c>
      <c r="M1048" s="157">
        <f>IF($E1048="","",IF(OR($E1048="Coal",$E1048="Dirty Coal"),"MT","BCM"))</f>
        <v/>
      </c>
      <c r="N1048" s="157">
        <f>IF($E1048="","",IF(OR($E1048="Coal",$E1048="Dirty Coal"),"Coal","OB"))</f>
        <v/>
      </c>
      <c r="O1048" s="157">
        <f>IF($F1048="","",IF(COUNTIF(MASTER_JAM!$A$5:$A$94,$C1048)=0,"Digger tidak dikenal",IF($J1048="","Hauler tidak dikenal",IF($H1048="?","Jam salah",IF($K1048=0,"Faktor kosong",IF(SUMIFS(INPUT_DELAY!$E$5:$E$20000,INPUT_DELAY!$A$5:$A$20000,$A1048,INPUT_DELAY!$B$5:$B$20000,$B1048,INPUT_DELAY!$C$5:$C$20000,$C1048)+SUMIFS(INPUT_DELAY!$E$5:$E$20000,INPUT_DELAY!$A$5:$A$20000,$A1048,INPUT_DELAY!$B$5:$B$20000,$B1048,INPUT_DELAY!$C$5:$C$20000,"SEMUA")&gt;=60,"Delay 60 mnt tapi ada ritase","OK"))))))</f>
        <v/>
      </c>
      <c r="P1048" s="158">
        <f>IFERROR(INDEX(MASTER_JAM!$Z$5:$AC$10,MATCH($I1048,MASTER_JAM!$Y$5:$Y$10,0),MATCH($J1048,MASTER_JAM!$Z$4:$AC$4,0))+0,0)</f>
        <v/>
      </c>
      <c r="Q1048" s="158">
        <f>IF($P1048=0,0,$P1048+IFERROR(INDEX(MASTER_JAM!$H$5:$H$94,MATCH($C1048,MASTER_JAM!$A$5:$A$94,0))+0,MASTER_JAM!$AC$15)/1000*(60/MASTER_JAM!$AC$12+60/MASTER_JAM!$AC$13)+MASTER_JAM!$AC$14)</f>
        <v/>
      </c>
      <c r="R1048" s="158">
        <f>IF(N($F1048)=0,0,$F1048/SUMIFS(INPUT_RITASE!$F$5:$F$20000,INPUT_RITASE!$A$5:$A$20000,$A1048,INPUT_RITASE!$B$5:$B$20000,$B1048,INPUT_RITASE!$C$5:$C$20000,$C1048,INPUT_RITASE!$D$5:$D$20000,$D1048))</f>
        <v/>
      </c>
      <c r="S1048" s="158">
        <f>IF($Q1048=0,0,$R1048*$P1048/$Q1048)</f>
        <v/>
      </c>
    </row>
    <row r="1049">
      <c r="A1049" s="155" t="n">
        <v>46107</v>
      </c>
      <c r="B1049" s="156" t="inlineStr">
        <is>
          <t>11-12</t>
        </is>
      </c>
      <c r="C1049" s="156" t="inlineStr">
        <is>
          <t>EX-755</t>
        </is>
      </c>
      <c r="D1049" s="156" t="inlineStr">
        <is>
          <t>DT-521</t>
        </is>
      </c>
      <c r="E1049" s="156" t="inlineStr">
        <is>
          <t>Coal</t>
        </is>
      </c>
      <c r="F1049" s="156" t="n">
        <v>4</v>
      </c>
      <c r="G1049" s="156" t="inlineStr"/>
      <c r="H1049" s="157">
        <f>IF($B1049="","",IF(ISNA(MATCH($B1049,MASTER_JAM!$Q$5:$Q$28,0)),"?",IF(MATCH($B1049,MASTER_JAM!$Q$5:$Q$28,0)&lt;=12,"DS","NS")))</f>
        <v/>
      </c>
      <c r="I1049" s="157">
        <f>IFERROR(INDEX(MASTER_JAM!$B$5:$B$94,MATCH($C1049,MASTER_JAM!$A$5:$A$94,0)),"")</f>
        <v/>
      </c>
      <c r="J1049" s="157">
        <f>IFERROR(INDEX(MASTER_JAM!$E$5:$E$94,MATCH($D1049,MASTER_JAM!$A$5:$A$94,0)),"")</f>
        <v/>
      </c>
      <c r="K1049" s="158">
        <f>IFERROR(INDEX(MASTER_JAM!$J$5:$O$12,MATCH($E1049,MASTER_JAM!$I$5:$I$12,0),MATCH($J1049,MASTER_JAM!$J$4:$O$4,0))+0,0)</f>
        <v/>
      </c>
      <c r="L1049" s="159">
        <f>N($F1049)*$K1049</f>
        <v/>
      </c>
      <c r="M1049" s="157">
        <f>IF($E1049="","",IF(OR($E1049="Coal",$E1049="Dirty Coal"),"MT","BCM"))</f>
        <v/>
      </c>
      <c r="N1049" s="157">
        <f>IF($E1049="","",IF(OR($E1049="Coal",$E1049="Dirty Coal"),"Coal","OB"))</f>
        <v/>
      </c>
      <c r="O1049" s="157">
        <f>IF($F1049="","",IF(COUNTIF(MASTER_JAM!$A$5:$A$94,$C1049)=0,"Digger tidak dikenal",IF($J1049="","Hauler tidak dikenal",IF($H1049="?","Jam salah",IF($K1049=0,"Faktor kosong",IF(SUMIFS(INPUT_DELAY!$E$5:$E$20000,INPUT_DELAY!$A$5:$A$20000,$A1049,INPUT_DELAY!$B$5:$B$20000,$B1049,INPUT_DELAY!$C$5:$C$20000,$C1049)+SUMIFS(INPUT_DELAY!$E$5:$E$20000,INPUT_DELAY!$A$5:$A$20000,$A1049,INPUT_DELAY!$B$5:$B$20000,$B1049,INPUT_DELAY!$C$5:$C$20000,"SEMUA")&gt;=60,"Delay 60 mnt tapi ada ritase","OK"))))))</f>
        <v/>
      </c>
      <c r="P1049" s="158">
        <f>IFERROR(INDEX(MASTER_JAM!$Z$5:$AC$10,MATCH($I1049,MASTER_JAM!$Y$5:$Y$10,0),MATCH($J1049,MASTER_JAM!$Z$4:$AC$4,0))+0,0)</f>
        <v/>
      </c>
      <c r="Q1049" s="158">
        <f>IF($P1049=0,0,$P1049+IFERROR(INDEX(MASTER_JAM!$H$5:$H$94,MATCH($C1049,MASTER_JAM!$A$5:$A$94,0))+0,MASTER_JAM!$AC$15)/1000*(60/MASTER_JAM!$AC$12+60/MASTER_JAM!$AC$13)+MASTER_JAM!$AC$14)</f>
        <v/>
      </c>
      <c r="R1049" s="158">
        <f>IF(N($F1049)=0,0,$F1049/SUMIFS(INPUT_RITASE!$F$5:$F$20000,INPUT_RITASE!$A$5:$A$20000,$A1049,INPUT_RITASE!$B$5:$B$20000,$B1049,INPUT_RITASE!$C$5:$C$20000,$C1049,INPUT_RITASE!$D$5:$D$20000,$D1049))</f>
        <v/>
      </c>
      <c r="S1049" s="158">
        <f>IF($Q1049=0,0,$R1049*$P1049/$Q1049)</f>
        <v/>
      </c>
    </row>
    <row r="1050">
      <c r="A1050" s="155" t="n">
        <v>46107</v>
      </c>
      <c r="B1050" s="156" t="inlineStr">
        <is>
          <t>11-12</t>
        </is>
      </c>
      <c r="C1050" s="156" t="inlineStr">
        <is>
          <t>EX-755</t>
        </is>
      </c>
      <c r="D1050" s="156" t="inlineStr">
        <is>
          <t>DT-523</t>
        </is>
      </c>
      <c r="E1050" s="156" t="inlineStr">
        <is>
          <t>Coal</t>
        </is>
      </c>
      <c r="F1050" s="156" t="n">
        <v>4</v>
      </c>
      <c r="G1050" s="156" t="inlineStr"/>
      <c r="H1050" s="157">
        <f>IF($B1050="","",IF(ISNA(MATCH($B1050,MASTER_JAM!$Q$5:$Q$28,0)),"?",IF(MATCH($B1050,MASTER_JAM!$Q$5:$Q$28,0)&lt;=12,"DS","NS")))</f>
        <v/>
      </c>
      <c r="I1050" s="157">
        <f>IFERROR(INDEX(MASTER_JAM!$B$5:$B$94,MATCH($C1050,MASTER_JAM!$A$5:$A$94,0)),"")</f>
        <v/>
      </c>
      <c r="J1050" s="157">
        <f>IFERROR(INDEX(MASTER_JAM!$E$5:$E$94,MATCH($D1050,MASTER_JAM!$A$5:$A$94,0)),"")</f>
        <v/>
      </c>
      <c r="K1050" s="158">
        <f>IFERROR(INDEX(MASTER_JAM!$J$5:$O$12,MATCH($E1050,MASTER_JAM!$I$5:$I$12,0),MATCH($J1050,MASTER_JAM!$J$4:$O$4,0))+0,0)</f>
        <v/>
      </c>
      <c r="L1050" s="159">
        <f>N($F1050)*$K1050</f>
        <v/>
      </c>
      <c r="M1050" s="157">
        <f>IF($E1050="","",IF(OR($E1050="Coal",$E1050="Dirty Coal"),"MT","BCM"))</f>
        <v/>
      </c>
      <c r="N1050" s="157">
        <f>IF($E1050="","",IF(OR($E1050="Coal",$E1050="Dirty Coal"),"Coal","OB"))</f>
        <v/>
      </c>
      <c r="O1050" s="157">
        <f>IF($F1050="","",IF(COUNTIF(MASTER_JAM!$A$5:$A$94,$C1050)=0,"Digger tidak dikenal",IF($J1050="","Hauler tidak dikenal",IF($H1050="?","Jam salah",IF($K1050=0,"Faktor kosong",IF(SUMIFS(INPUT_DELAY!$E$5:$E$20000,INPUT_DELAY!$A$5:$A$20000,$A1050,INPUT_DELAY!$B$5:$B$20000,$B1050,INPUT_DELAY!$C$5:$C$20000,$C1050)+SUMIFS(INPUT_DELAY!$E$5:$E$20000,INPUT_DELAY!$A$5:$A$20000,$A1050,INPUT_DELAY!$B$5:$B$20000,$B1050,INPUT_DELAY!$C$5:$C$20000,"SEMUA")&gt;=60,"Delay 60 mnt tapi ada ritase","OK"))))))</f>
        <v/>
      </c>
      <c r="P1050" s="158">
        <f>IFERROR(INDEX(MASTER_JAM!$Z$5:$AC$10,MATCH($I1050,MASTER_JAM!$Y$5:$Y$10,0),MATCH($J1050,MASTER_JAM!$Z$4:$AC$4,0))+0,0)</f>
        <v/>
      </c>
      <c r="Q1050" s="158">
        <f>IF($P1050=0,0,$P1050+IFERROR(INDEX(MASTER_JAM!$H$5:$H$94,MATCH($C1050,MASTER_JAM!$A$5:$A$94,0))+0,MASTER_JAM!$AC$15)/1000*(60/MASTER_JAM!$AC$12+60/MASTER_JAM!$AC$13)+MASTER_JAM!$AC$14)</f>
        <v/>
      </c>
      <c r="R1050" s="158">
        <f>IF(N($F1050)=0,0,$F1050/SUMIFS(INPUT_RITASE!$F$5:$F$20000,INPUT_RITASE!$A$5:$A$20000,$A1050,INPUT_RITASE!$B$5:$B$20000,$B1050,INPUT_RITASE!$C$5:$C$20000,$C1050,INPUT_RITASE!$D$5:$D$20000,$D1050))</f>
        <v/>
      </c>
      <c r="S1050" s="158">
        <f>IF($Q1050=0,0,$R1050*$P1050/$Q1050)</f>
        <v/>
      </c>
    </row>
    <row r="1051">
      <c r="A1051" s="155" t="n">
        <v>46107</v>
      </c>
      <c r="B1051" s="156" t="inlineStr">
        <is>
          <t>13-14</t>
        </is>
      </c>
      <c r="C1051" s="156" t="inlineStr">
        <is>
          <t>EX-755</t>
        </is>
      </c>
      <c r="D1051" s="156" t="inlineStr">
        <is>
          <t>DT-513</t>
        </is>
      </c>
      <c r="E1051" s="156" t="inlineStr">
        <is>
          <t>Coal</t>
        </is>
      </c>
      <c r="F1051" s="156" t="n">
        <v>3</v>
      </c>
      <c r="G1051" s="156" t="inlineStr"/>
      <c r="H1051" s="157">
        <f>IF($B1051="","",IF(ISNA(MATCH($B1051,MASTER_JAM!$Q$5:$Q$28,0)),"?",IF(MATCH($B1051,MASTER_JAM!$Q$5:$Q$28,0)&lt;=12,"DS","NS")))</f>
        <v/>
      </c>
      <c r="I1051" s="157">
        <f>IFERROR(INDEX(MASTER_JAM!$B$5:$B$94,MATCH($C1051,MASTER_JAM!$A$5:$A$94,0)),"")</f>
        <v/>
      </c>
      <c r="J1051" s="157">
        <f>IFERROR(INDEX(MASTER_JAM!$E$5:$E$94,MATCH($D1051,MASTER_JAM!$A$5:$A$94,0)),"")</f>
        <v/>
      </c>
      <c r="K1051" s="158">
        <f>IFERROR(INDEX(MASTER_JAM!$J$5:$O$12,MATCH($E1051,MASTER_JAM!$I$5:$I$12,0),MATCH($J1051,MASTER_JAM!$J$4:$O$4,0))+0,0)</f>
        <v/>
      </c>
      <c r="L1051" s="159">
        <f>N($F1051)*$K1051</f>
        <v/>
      </c>
      <c r="M1051" s="157">
        <f>IF($E1051="","",IF(OR($E1051="Coal",$E1051="Dirty Coal"),"MT","BCM"))</f>
        <v/>
      </c>
      <c r="N1051" s="157">
        <f>IF($E1051="","",IF(OR($E1051="Coal",$E1051="Dirty Coal"),"Coal","OB"))</f>
        <v/>
      </c>
      <c r="O1051" s="157">
        <f>IF($F1051="","",IF(COUNTIF(MASTER_JAM!$A$5:$A$94,$C1051)=0,"Digger tidak dikenal",IF($J1051="","Hauler tidak dikenal",IF($H1051="?","Jam salah",IF($K1051=0,"Faktor kosong",IF(SUMIFS(INPUT_DELAY!$E$5:$E$20000,INPUT_DELAY!$A$5:$A$20000,$A1051,INPUT_DELAY!$B$5:$B$20000,$B1051,INPUT_DELAY!$C$5:$C$20000,$C1051)+SUMIFS(INPUT_DELAY!$E$5:$E$20000,INPUT_DELAY!$A$5:$A$20000,$A1051,INPUT_DELAY!$B$5:$B$20000,$B1051,INPUT_DELAY!$C$5:$C$20000,"SEMUA")&gt;=60,"Delay 60 mnt tapi ada ritase","OK"))))))</f>
        <v/>
      </c>
      <c r="P1051" s="158">
        <f>IFERROR(INDEX(MASTER_JAM!$Z$5:$AC$10,MATCH($I1051,MASTER_JAM!$Y$5:$Y$10,0),MATCH($J1051,MASTER_JAM!$Z$4:$AC$4,0))+0,0)</f>
        <v/>
      </c>
      <c r="Q1051" s="158">
        <f>IF($P1051=0,0,$P1051+IFERROR(INDEX(MASTER_JAM!$H$5:$H$94,MATCH($C1051,MASTER_JAM!$A$5:$A$94,0))+0,MASTER_JAM!$AC$15)/1000*(60/MASTER_JAM!$AC$12+60/MASTER_JAM!$AC$13)+MASTER_JAM!$AC$14)</f>
        <v/>
      </c>
      <c r="R1051" s="158">
        <f>IF(N($F1051)=0,0,$F1051/SUMIFS(INPUT_RITASE!$F$5:$F$20000,INPUT_RITASE!$A$5:$A$20000,$A1051,INPUT_RITASE!$B$5:$B$20000,$B1051,INPUT_RITASE!$C$5:$C$20000,$C1051,INPUT_RITASE!$D$5:$D$20000,$D1051))</f>
        <v/>
      </c>
      <c r="S1051" s="158">
        <f>IF($Q1051=0,0,$R1051*$P1051/$Q1051)</f>
        <v/>
      </c>
    </row>
    <row r="1052">
      <c r="A1052" s="155" t="n">
        <v>46107</v>
      </c>
      <c r="B1052" s="156" t="inlineStr">
        <is>
          <t>13-14</t>
        </is>
      </c>
      <c r="C1052" s="156" t="inlineStr">
        <is>
          <t>EX-755</t>
        </is>
      </c>
      <c r="D1052" s="156" t="inlineStr">
        <is>
          <t>DT-518</t>
        </is>
      </c>
      <c r="E1052" s="156" t="inlineStr">
        <is>
          <t>Coal</t>
        </is>
      </c>
      <c r="F1052" s="156" t="n">
        <v>3</v>
      </c>
      <c r="G1052" s="156" t="inlineStr"/>
      <c r="H1052" s="157">
        <f>IF($B1052="","",IF(ISNA(MATCH($B1052,MASTER_JAM!$Q$5:$Q$28,0)),"?",IF(MATCH($B1052,MASTER_JAM!$Q$5:$Q$28,0)&lt;=12,"DS","NS")))</f>
        <v/>
      </c>
      <c r="I1052" s="157">
        <f>IFERROR(INDEX(MASTER_JAM!$B$5:$B$94,MATCH($C1052,MASTER_JAM!$A$5:$A$94,0)),"")</f>
        <v/>
      </c>
      <c r="J1052" s="157">
        <f>IFERROR(INDEX(MASTER_JAM!$E$5:$E$94,MATCH($D1052,MASTER_JAM!$A$5:$A$94,0)),"")</f>
        <v/>
      </c>
      <c r="K1052" s="158">
        <f>IFERROR(INDEX(MASTER_JAM!$J$5:$O$12,MATCH($E1052,MASTER_JAM!$I$5:$I$12,0),MATCH($J1052,MASTER_JAM!$J$4:$O$4,0))+0,0)</f>
        <v/>
      </c>
      <c r="L1052" s="159">
        <f>N($F1052)*$K1052</f>
        <v/>
      </c>
      <c r="M1052" s="157">
        <f>IF($E1052="","",IF(OR($E1052="Coal",$E1052="Dirty Coal"),"MT","BCM"))</f>
        <v/>
      </c>
      <c r="N1052" s="157">
        <f>IF($E1052="","",IF(OR($E1052="Coal",$E1052="Dirty Coal"),"Coal","OB"))</f>
        <v/>
      </c>
      <c r="O1052" s="157">
        <f>IF($F1052="","",IF(COUNTIF(MASTER_JAM!$A$5:$A$94,$C1052)=0,"Digger tidak dikenal",IF($J1052="","Hauler tidak dikenal",IF($H1052="?","Jam salah",IF($K1052=0,"Faktor kosong",IF(SUMIFS(INPUT_DELAY!$E$5:$E$20000,INPUT_DELAY!$A$5:$A$20000,$A1052,INPUT_DELAY!$B$5:$B$20000,$B1052,INPUT_DELAY!$C$5:$C$20000,$C1052)+SUMIFS(INPUT_DELAY!$E$5:$E$20000,INPUT_DELAY!$A$5:$A$20000,$A1052,INPUT_DELAY!$B$5:$B$20000,$B1052,INPUT_DELAY!$C$5:$C$20000,"SEMUA")&gt;=60,"Delay 60 mnt tapi ada ritase","OK"))))))</f>
        <v/>
      </c>
      <c r="P1052" s="158">
        <f>IFERROR(INDEX(MASTER_JAM!$Z$5:$AC$10,MATCH($I1052,MASTER_JAM!$Y$5:$Y$10,0),MATCH($J1052,MASTER_JAM!$Z$4:$AC$4,0))+0,0)</f>
        <v/>
      </c>
      <c r="Q1052" s="158">
        <f>IF($P1052=0,0,$P1052+IFERROR(INDEX(MASTER_JAM!$H$5:$H$94,MATCH($C1052,MASTER_JAM!$A$5:$A$94,0))+0,MASTER_JAM!$AC$15)/1000*(60/MASTER_JAM!$AC$12+60/MASTER_JAM!$AC$13)+MASTER_JAM!$AC$14)</f>
        <v/>
      </c>
      <c r="R1052" s="158">
        <f>IF(N($F1052)=0,0,$F1052/SUMIFS(INPUT_RITASE!$F$5:$F$20000,INPUT_RITASE!$A$5:$A$20000,$A1052,INPUT_RITASE!$B$5:$B$20000,$B1052,INPUT_RITASE!$C$5:$C$20000,$C1052,INPUT_RITASE!$D$5:$D$20000,$D1052))</f>
        <v/>
      </c>
      <c r="S1052" s="158">
        <f>IF($Q1052=0,0,$R1052*$P1052/$Q1052)</f>
        <v/>
      </c>
    </row>
    <row r="1053">
      <c r="A1053" s="155" t="n">
        <v>46107</v>
      </c>
      <c r="B1053" s="156" t="inlineStr">
        <is>
          <t>13-14</t>
        </is>
      </c>
      <c r="C1053" s="156" t="inlineStr">
        <is>
          <t>EX-755</t>
        </is>
      </c>
      <c r="D1053" s="156" t="inlineStr">
        <is>
          <t>DT-529</t>
        </is>
      </c>
      <c r="E1053" s="156" t="inlineStr">
        <is>
          <t>Coal</t>
        </is>
      </c>
      <c r="F1053" s="156" t="n">
        <v>3</v>
      </c>
      <c r="G1053" s="156" t="inlineStr"/>
      <c r="H1053" s="157">
        <f>IF($B1053="","",IF(ISNA(MATCH($B1053,MASTER_JAM!$Q$5:$Q$28,0)),"?",IF(MATCH($B1053,MASTER_JAM!$Q$5:$Q$28,0)&lt;=12,"DS","NS")))</f>
        <v/>
      </c>
      <c r="I1053" s="157">
        <f>IFERROR(INDEX(MASTER_JAM!$B$5:$B$94,MATCH($C1053,MASTER_JAM!$A$5:$A$94,0)),"")</f>
        <v/>
      </c>
      <c r="J1053" s="157">
        <f>IFERROR(INDEX(MASTER_JAM!$E$5:$E$94,MATCH($D1053,MASTER_JAM!$A$5:$A$94,0)),"")</f>
        <v/>
      </c>
      <c r="K1053" s="158">
        <f>IFERROR(INDEX(MASTER_JAM!$J$5:$O$12,MATCH($E1053,MASTER_JAM!$I$5:$I$12,0),MATCH($J1053,MASTER_JAM!$J$4:$O$4,0))+0,0)</f>
        <v/>
      </c>
      <c r="L1053" s="159">
        <f>N($F1053)*$K1053</f>
        <v/>
      </c>
      <c r="M1053" s="157">
        <f>IF($E1053="","",IF(OR($E1053="Coal",$E1053="Dirty Coal"),"MT","BCM"))</f>
        <v/>
      </c>
      <c r="N1053" s="157">
        <f>IF($E1053="","",IF(OR($E1053="Coal",$E1053="Dirty Coal"),"Coal","OB"))</f>
        <v/>
      </c>
      <c r="O1053" s="157">
        <f>IF($F1053="","",IF(COUNTIF(MASTER_JAM!$A$5:$A$94,$C1053)=0,"Digger tidak dikenal",IF($J1053="","Hauler tidak dikenal",IF($H1053="?","Jam salah",IF($K1053=0,"Faktor kosong",IF(SUMIFS(INPUT_DELAY!$E$5:$E$20000,INPUT_DELAY!$A$5:$A$20000,$A1053,INPUT_DELAY!$B$5:$B$20000,$B1053,INPUT_DELAY!$C$5:$C$20000,$C1053)+SUMIFS(INPUT_DELAY!$E$5:$E$20000,INPUT_DELAY!$A$5:$A$20000,$A1053,INPUT_DELAY!$B$5:$B$20000,$B1053,INPUT_DELAY!$C$5:$C$20000,"SEMUA")&gt;=60,"Delay 60 mnt tapi ada ritase","OK"))))))</f>
        <v/>
      </c>
      <c r="P1053" s="158">
        <f>IFERROR(INDEX(MASTER_JAM!$Z$5:$AC$10,MATCH($I1053,MASTER_JAM!$Y$5:$Y$10,0),MATCH($J1053,MASTER_JAM!$Z$4:$AC$4,0))+0,0)</f>
        <v/>
      </c>
      <c r="Q1053" s="158">
        <f>IF($P1053=0,0,$P1053+IFERROR(INDEX(MASTER_JAM!$H$5:$H$94,MATCH($C1053,MASTER_JAM!$A$5:$A$94,0))+0,MASTER_JAM!$AC$15)/1000*(60/MASTER_JAM!$AC$12+60/MASTER_JAM!$AC$13)+MASTER_JAM!$AC$14)</f>
        <v/>
      </c>
      <c r="R1053" s="158">
        <f>IF(N($F1053)=0,0,$F1053/SUMIFS(INPUT_RITASE!$F$5:$F$20000,INPUT_RITASE!$A$5:$A$20000,$A1053,INPUT_RITASE!$B$5:$B$20000,$B1053,INPUT_RITASE!$C$5:$C$20000,$C1053,INPUT_RITASE!$D$5:$D$20000,$D1053))</f>
        <v/>
      </c>
      <c r="S1053" s="158">
        <f>IF($Q1053=0,0,$R1053*$P1053/$Q1053)</f>
        <v/>
      </c>
    </row>
    <row r="1054">
      <c r="A1054" s="155" t="n">
        <v>46107</v>
      </c>
      <c r="B1054" s="156" t="inlineStr">
        <is>
          <t>14-15</t>
        </is>
      </c>
      <c r="C1054" s="156" t="inlineStr">
        <is>
          <t>EX-755</t>
        </is>
      </c>
      <c r="D1054" s="156" t="inlineStr">
        <is>
          <t>DT-523</t>
        </is>
      </c>
      <c r="E1054" s="156" t="inlineStr">
        <is>
          <t>Coal</t>
        </is>
      </c>
      <c r="F1054" s="156" t="n">
        <v>4</v>
      </c>
      <c r="G1054" s="156" t="inlineStr"/>
      <c r="H1054" s="157">
        <f>IF($B1054="","",IF(ISNA(MATCH($B1054,MASTER_JAM!$Q$5:$Q$28,0)),"?",IF(MATCH($B1054,MASTER_JAM!$Q$5:$Q$28,0)&lt;=12,"DS","NS")))</f>
        <v/>
      </c>
      <c r="I1054" s="157">
        <f>IFERROR(INDEX(MASTER_JAM!$B$5:$B$94,MATCH($C1054,MASTER_JAM!$A$5:$A$94,0)),"")</f>
        <v/>
      </c>
      <c r="J1054" s="157">
        <f>IFERROR(INDEX(MASTER_JAM!$E$5:$E$94,MATCH($D1054,MASTER_JAM!$A$5:$A$94,0)),"")</f>
        <v/>
      </c>
      <c r="K1054" s="158">
        <f>IFERROR(INDEX(MASTER_JAM!$J$5:$O$12,MATCH($E1054,MASTER_JAM!$I$5:$I$12,0),MATCH($J1054,MASTER_JAM!$J$4:$O$4,0))+0,0)</f>
        <v/>
      </c>
      <c r="L1054" s="159">
        <f>N($F1054)*$K1054</f>
        <v/>
      </c>
      <c r="M1054" s="157">
        <f>IF($E1054="","",IF(OR($E1054="Coal",$E1054="Dirty Coal"),"MT","BCM"))</f>
        <v/>
      </c>
      <c r="N1054" s="157">
        <f>IF($E1054="","",IF(OR($E1054="Coal",$E1054="Dirty Coal"),"Coal","OB"))</f>
        <v/>
      </c>
      <c r="O1054" s="157">
        <f>IF($F1054="","",IF(COUNTIF(MASTER_JAM!$A$5:$A$94,$C1054)=0,"Digger tidak dikenal",IF($J1054="","Hauler tidak dikenal",IF($H1054="?","Jam salah",IF($K1054=0,"Faktor kosong",IF(SUMIFS(INPUT_DELAY!$E$5:$E$20000,INPUT_DELAY!$A$5:$A$20000,$A1054,INPUT_DELAY!$B$5:$B$20000,$B1054,INPUT_DELAY!$C$5:$C$20000,$C1054)+SUMIFS(INPUT_DELAY!$E$5:$E$20000,INPUT_DELAY!$A$5:$A$20000,$A1054,INPUT_DELAY!$B$5:$B$20000,$B1054,INPUT_DELAY!$C$5:$C$20000,"SEMUA")&gt;=60,"Delay 60 mnt tapi ada ritase","OK"))))))</f>
        <v/>
      </c>
      <c r="P1054" s="158">
        <f>IFERROR(INDEX(MASTER_JAM!$Z$5:$AC$10,MATCH($I1054,MASTER_JAM!$Y$5:$Y$10,0),MATCH($J1054,MASTER_JAM!$Z$4:$AC$4,0))+0,0)</f>
        <v/>
      </c>
      <c r="Q1054" s="158">
        <f>IF($P1054=0,0,$P1054+IFERROR(INDEX(MASTER_JAM!$H$5:$H$94,MATCH($C1054,MASTER_JAM!$A$5:$A$94,0))+0,MASTER_JAM!$AC$15)/1000*(60/MASTER_JAM!$AC$12+60/MASTER_JAM!$AC$13)+MASTER_JAM!$AC$14)</f>
        <v/>
      </c>
      <c r="R1054" s="158">
        <f>IF(N($F1054)=0,0,$F1054/SUMIFS(INPUT_RITASE!$F$5:$F$20000,INPUT_RITASE!$A$5:$A$20000,$A1054,INPUT_RITASE!$B$5:$B$20000,$B1054,INPUT_RITASE!$C$5:$C$20000,$C1054,INPUT_RITASE!$D$5:$D$20000,$D1054))</f>
        <v/>
      </c>
      <c r="S1054" s="158">
        <f>IF($Q1054=0,0,$R1054*$P1054/$Q1054)</f>
        <v/>
      </c>
    </row>
    <row r="1055">
      <c r="A1055" s="155" t="n">
        <v>46107</v>
      </c>
      <c r="B1055" s="156" t="inlineStr">
        <is>
          <t>14-15</t>
        </is>
      </c>
      <c r="C1055" s="156" t="inlineStr">
        <is>
          <t>EX-755</t>
        </is>
      </c>
      <c r="D1055" s="156" t="inlineStr">
        <is>
          <t>DT-518</t>
        </is>
      </c>
      <c r="E1055" s="156" t="inlineStr">
        <is>
          <t>Coal</t>
        </is>
      </c>
      <c r="F1055" s="156" t="n">
        <v>4</v>
      </c>
      <c r="G1055" s="156" t="inlineStr"/>
      <c r="H1055" s="157">
        <f>IF($B1055="","",IF(ISNA(MATCH($B1055,MASTER_JAM!$Q$5:$Q$28,0)),"?",IF(MATCH($B1055,MASTER_JAM!$Q$5:$Q$28,0)&lt;=12,"DS","NS")))</f>
        <v/>
      </c>
      <c r="I1055" s="157">
        <f>IFERROR(INDEX(MASTER_JAM!$B$5:$B$94,MATCH($C1055,MASTER_JAM!$A$5:$A$94,0)),"")</f>
        <v/>
      </c>
      <c r="J1055" s="157">
        <f>IFERROR(INDEX(MASTER_JAM!$E$5:$E$94,MATCH($D1055,MASTER_JAM!$A$5:$A$94,0)),"")</f>
        <v/>
      </c>
      <c r="K1055" s="158">
        <f>IFERROR(INDEX(MASTER_JAM!$J$5:$O$12,MATCH($E1055,MASTER_JAM!$I$5:$I$12,0),MATCH($J1055,MASTER_JAM!$J$4:$O$4,0))+0,0)</f>
        <v/>
      </c>
      <c r="L1055" s="159">
        <f>N($F1055)*$K1055</f>
        <v/>
      </c>
      <c r="M1055" s="157">
        <f>IF($E1055="","",IF(OR($E1055="Coal",$E1055="Dirty Coal"),"MT","BCM"))</f>
        <v/>
      </c>
      <c r="N1055" s="157">
        <f>IF($E1055="","",IF(OR($E1055="Coal",$E1055="Dirty Coal"),"Coal","OB"))</f>
        <v/>
      </c>
      <c r="O1055" s="157">
        <f>IF($F1055="","",IF(COUNTIF(MASTER_JAM!$A$5:$A$94,$C1055)=0,"Digger tidak dikenal",IF($J1055="","Hauler tidak dikenal",IF($H1055="?","Jam salah",IF($K1055=0,"Faktor kosong",IF(SUMIFS(INPUT_DELAY!$E$5:$E$20000,INPUT_DELAY!$A$5:$A$20000,$A1055,INPUT_DELAY!$B$5:$B$20000,$B1055,INPUT_DELAY!$C$5:$C$20000,$C1055)+SUMIFS(INPUT_DELAY!$E$5:$E$20000,INPUT_DELAY!$A$5:$A$20000,$A1055,INPUT_DELAY!$B$5:$B$20000,$B1055,INPUT_DELAY!$C$5:$C$20000,"SEMUA")&gt;=60,"Delay 60 mnt tapi ada ritase","OK"))))))</f>
        <v/>
      </c>
      <c r="P1055" s="158">
        <f>IFERROR(INDEX(MASTER_JAM!$Z$5:$AC$10,MATCH($I1055,MASTER_JAM!$Y$5:$Y$10,0),MATCH($J1055,MASTER_JAM!$Z$4:$AC$4,0))+0,0)</f>
        <v/>
      </c>
      <c r="Q1055" s="158">
        <f>IF($P1055=0,0,$P1055+IFERROR(INDEX(MASTER_JAM!$H$5:$H$94,MATCH($C1055,MASTER_JAM!$A$5:$A$94,0))+0,MASTER_JAM!$AC$15)/1000*(60/MASTER_JAM!$AC$12+60/MASTER_JAM!$AC$13)+MASTER_JAM!$AC$14)</f>
        <v/>
      </c>
      <c r="R1055" s="158">
        <f>IF(N($F1055)=0,0,$F1055/SUMIFS(INPUT_RITASE!$F$5:$F$20000,INPUT_RITASE!$A$5:$A$20000,$A1055,INPUT_RITASE!$B$5:$B$20000,$B1055,INPUT_RITASE!$C$5:$C$20000,$C1055,INPUT_RITASE!$D$5:$D$20000,$D1055))</f>
        <v/>
      </c>
      <c r="S1055" s="158">
        <f>IF($Q1055=0,0,$R1055*$P1055/$Q1055)</f>
        <v/>
      </c>
    </row>
    <row r="1056">
      <c r="A1056" s="155" t="n">
        <v>46107</v>
      </c>
      <c r="B1056" s="156" t="inlineStr">
        <is>
          <t>14-15</t>
        </is>
      </c>
      <c r="C1056" s="156" t="inlineStr">
        <is>
          <t>EX-755</t>
        </is>
      </c>
      <c r="D1056" s="156" t="inlineStr">
        <is>
          <t>DT-508</t>
        </is>
      </c>
      <c r="E1056" s="156" t="inlineStr">
        <is>
          <t>Coal</t>
        </is>
      </c>
      <c r="F1056" s="156" t="n">
        <v>3</v>
      </c>
      <c r="G1056" s="156" t="inlineStr"/>
      <c r="H1056" s="157">
        <f>IF($B1056="","",IF(ISNA(MATCH($B1056,MASTER_JAM!$Q$5:$Q$28,0)),"?",IF(MATCH($B1056,MASTER_JAM!$Q$5:$Q$28,0)&lt;=12,"DS","NS")))</f>
        <v/>
      </c>
      <c r="I1056" s="157">
        <f>IFERROR(INDEX(MASTER_JAM!$B$5:$B$94,MATCH($C1056,MASTER_JAM!$A$5:$A$94,0)),"")</f>
        <v/>
      </c>
      <c r="J1056" s="157">
        <f>IFERROR(INDEX(MASTER_JAM!$E$5:$E$94,MATCH($D1056,MASTER_JAM!$A$5:$A$94,0)),"")</f>
        <v/>
      </c>
      <c r="K1056" s="158">
        <f>IFERROR(INDEX(MASTER_JAM!$J$5:$O$12,MATCH($E1056,MASTER_JAM!$I$5:$I$12,0),MATCH($J1056,MASTER_JAM!$J$4:$O$4,0))+0,0)</f>
        <v/>
      </c>
      <c r="L1056" s="159">
        <f>N($F1056)*$K1056</f>
        <v/>
      </c>
      <c r="M1056" s="157">
        <f>IF($E1056="","",IF(OR($E1056="Coal",$E1056="Dirty Coal"),"MT","BCM"))</f>
        <v/>
      </c>
      <c r="N1056" s="157">
        <f>IF($E1056="","",IF(OR($E1056="Coal",$E1056="Dirty Coal"),"Coal","OB"))</f>
        <v/>
      </c>
      <c r="O1056" s="157">
        <f>IF($F1056="","",IF(COUNTIF(MASTER_JAM!$A$5:$A$94,$C1056)=0,"Digger tidak dikenal",IF($J1056="","Hauler tidak dikenal",IF($H1056="?","Jam salah",IF($K1056=0,"Faktor kosong",IF(SUMIFS(INPUT_DELAY!$E$5:$E$20000,INPUT_DELAY!$A$5:$A$20000,$A1056,INPUT_DELAY!$B$5:$B$20000,$B1056,INPUT_DELAY!$C$5:$C$20000,$C1056)+SUMIFS(INPUT_DELAY!$E$5:$E$20000,INPUT_DELAY!$A$5:$A$20000,$A1056,INPUT_DELAY!$B$5:$B$20000,$B1056,INPUT_DELAY!$C$5:$C$20000,"SEMUA")&gt;=60,"Delay 60 mnt tapi ada ritase","OK"))))))</f>
        <v/>
      </c>
      <c r="P1056" s="158">
        <f>IFERROR(INDEX(MASTER_JAM!$Z$5:$AC$10,MATCH($I1056,MASTER_JAM!$Y$5:$Y$10,0),MATCH($J1056,MASTER_JAM!$Z$4:$AC$4,0))+0,0)</f>
        <v/>
      </c>
      <c r="Q1056" s="158">
        <f>IF($P1056=0,0,$P1056+IFERROR(INDEX(MASTER_JAM!$H$5:$H$94,MATCH($C1056,MASTER_JAM!$A$5:$A$94,0))+0,MASTER_JAM!$AC$15)/1000*(60/MASTER_JAM!$AC$12+60/MASTER_JAM!$AC$13)+MASTER_JAM!$AC$14)</f>
        <v/>
      </c>
      <c r="R1056" s="158">
        <f>IF(N($F1056)=0,0,$F1056/SUMIFS(INPUT_RITASE!$F$5:$F$20000,INPUT_RITASE!$A$5:$A$20000,$A1056,INPUT_RITASE!$B$5:$B$20000,$B1056,INPUT_RITASE!$C$5:$C$20000,$C1056,INPUT_RITASE!$D$5:$D$20000,$D1056))</f>
        <v/>
      </c>
      <c r="S1056" s="158">
        <f>IF($Q1056=0,0,$R1056*$P1056/$Q1056)</f>
        <v/>
      </c>
    </row>
    <row r="1057">
      <c r="A1057" s="155" t="n">
        <v>46107</v>
      </c>
      <c r="B1057" s="156" t="inlineStr">
        <is>
          <t>18-19</t>
        </is>
      </c>
      <c r="C1057" s="156" t="inlineStr">
        <is>
          <t>EX-1251</t>
        </is>
      </c>
      <c r="D1057" s="156" t="inlineStr">
        <is>
          <t>DT-508</t>
        </is>
      </c>
      <c r="E1057" s="156" t="inlineStr">
        <is>
          <t>OB</t>
        </is>
      </c>
      <c r="F1057" s="156" t="n">
        <v>4</v>
      </c>
      <c r="G1057" s="156" t="inlineStr"/>
      <c r="H1057" s="157">
        <f>IF($B1057="","",IF(ISNA(MATCH($B1057,MASTER_JAM!$Q$5:$Q$28,0)),"?",IF(MATCH($B1057,MASTER_JAM!$Q$5:$Q$28,0)&lt;=12,"DS","NS")))</f>
        <v/>
      </c>
      <c r="I1057" s="157">
        <f>IFERROR(INDEX(MASTER_JAM!$B$5:$B$94,MATCH($C1057,MASTER_JAM!$A$5:$A$94,0)),"")</f>
        <v/>
      </c>
      <c r="J1057" s="157">
        <f>IFERROR(INDEX(MASTER_JAM!$E$5:$E$94,MATCH($D1057,MASTER_JAM!$A$5:$A$94,0)),"")</f>
        <v/>
      </c>
      <c r="K1057" s="158">
        <f>IFERROR(INDEX(MASTER_JAM!$J$5:$O$12,MATCH($E1057,MASTER_JAM!$I$5:$I$12,0),MATCH($J1057,MASTER_JAM!$J$4:$O$4,0))+0,0)</f>
        <v/>
      </c>
      <c r="L1057" s="159">
        <f>N($F1057)*$K1057</f>
        <v/>
      </c>
      <c r="M1057" s="157">
        <f>IF($E1057="","",IF(OR($E1057="Coal",$E1057="Dirty Coal"),"MT","BCM"))</f>
        <v/>
      </c>
      <c r="N1057" s="157">
        <f>IF($E1057="","",IF(OR($E1057="Coal",$E1057="Dirty Coal"),"Coal","OB"))</f>
        <v/>
      </c>
      <c r="O1057" s="157">
        <f>IF($F1057="","",IF(COUNTIF(MASTER_JAM!$A$5:$A$94,$C1057)=0,"Digger tidak dikenal",IF($J1057="","Hauler tidak dikenal",IF($H1057="?","Jam salah",IF($K1057=0,"Faktor kosong",IF(SUMIFS(INPUT_DELAY!$E$5:$E$20000,INPUT_DELAY!$A$5:$A$20000,$A1057,INPUT_DELAY!$B$5:$B$20000,$B1057,INPUT_DELAY!$C$5:$C$20000,$C1057)+SUMIFS(INPUT_DELAY!$E$5:$E$20000,INPUT_DELAY!$A$5:$A$20000,$A1057,INPUT_DELAY!$B$5:$B$20000,$B1057,INPUT_DELAY!$C$5:$C$20000,"SEMUA")&gt;=60,"Delay 60 mnt tapi ada ritase","OK"))))))</f>
        <v/>
      </c>
      <c r="P1057" s="158">
        <f>IFERROR(INDEX(MASTER_JAM!$Z$5:$AC$10,MATCH($I1057,MASTER_JAM!$Y$5:$Y$10,0),MATCH($J1057,MASTER_JAM!$Z$4:$AC$4,0))+0,0)</f>
        <v/>
      </c>
      <c r="Q1057" s="158">
        <f>IF($P1057=0,0,$P1057+IFERROR(INDEX(MASTER_JAM!$H$5:$H$94,MATCH($C1057,MASTER_JAM!$A$5:$A$94,0))+0,MASTER_JAM!$AC$15)/1000*(60/MASTER_JAM!$AC$12+60/MASTER_JAM!$AC$13)+MASTER_JAM!$AC$14)</f>
        <v/>
      </c>
      <c r="R1057" s="158">
        <f>IF(N($F1057)=0,0,$F1057/SUMIFS(INPUT_RITASE!$F$5:$F$20000,INPUT_RITASE!$A$5:$A$20000,$A1057,INPUT_RITASE!$B$5:$B$20000,$B1057,INPUT_RITASE!$C$5:$C$20000,$C1057,INPUT_RITASE!$D$5:$D$20000,$D1057))</f>
        <v/>
      </c>
      <c r="S1057" s="158">
        <f>IF($Q1057=0,0,$R1057*$P1057/$Q1057)</f>
        <v/>
      </c>
    </row>
    <row r="1058">
      <c r="A1058" s="155" t="n">
        <v>46107</v>
      </c>
      <c r="B1058" s="156" t="inlineStr">
        <is>
          <t>18-19</t>
        </is>
      </c>
      <c r="C1058" s="156" t="inlineStr">
        <is>
          <t>EX-1251</t>
        </is>
      </c>
      <c r="D1058" s="156" t="inlineStr">
        <is>
          <t>DT-504</t>
        </is>
      </c>
      <c r="E1058" s="156" t="inlineStr">
        <is>
          <t>OB</t>
        </is>
      </c>
      <c r="F1058" s="156" t="n">
        <v>4</v>
      </c>
      <c r="G1058" s="156" t="inlineStr"/>
      <c r="H1058" s="157">
        <f>IF($B1058="","",IF(ISNA(MATCH($B1058,MASTER_JAM!$Q$5:$Q$28,0)),"?",IF(MATCH($B1058,MASTER_JAM!$Q$5:$Q$28,0)&lt;=12,"DS","NS")))</f>
        <v/>
      </c>
      <c r="I1058" s="157">
        <f>IFERROR(INDEX(MASTER_JAM!$B$5:$B$94,MATCH($C1058,MASTER_JAM!$A$5:$A$94,0)),"")</f>
        <v/>
      </c>
      <c r="J1058" s="157">
        <f>IFERROR(INDEX(MASTER_JAM!$E$5:$E$94,MATCH($D1058,MASTER_JAM!$A$5:$A$94,0)),"")</f>
        <v/>
      </c>
      <c r="K1058" s="158">
        <f>IFERROR(INDEX(MASTER_JAM!$J$5:$O$12,MATCH($E1058,MASTER_JAM!$I$5:$I$12,0),MATCH($J1058,MASTER_JAM!$J$4:$O$4,0))+0,0)</f>
        <v/>
      </c>
      <c r="L1058" s="159">
        <f>N($F1058)*$K1058</f>
        <v/>
      </c>
      <c r="M1058" s="157">
        <f>IF($E1058="","",IF(OR($E1058="Coal",$E1058="Dirty Coal"),"MT","BCM"))</f>
        <v/>
      </c>
      <c r="N1058" s="157">
        <f>IF($E1058="","",IF(OR($E1058="Coal",$E1058="Dirty Coal"),"Coal","OB"))</f>
        <v/>
      </c>
      <c r="O1058" s="157">
        <f>IF($F1058="","",IF(COUNTIF(MASTER_JAM!$A$5:$A$94,$C1058)=0,"Digger tidak dikenal",IF($J1058="","Hauler tidak dikenal",IF($H1058="?","Jam salah",IF($K1058=0,"Faktor kosong",IF(SUMIFS(INPUT_DELAY!$E$5:$E$20000,INPUT_DELAY!$A$5:$A$20000,$A1058,INPUT_DELAY!$B$5:$B$20000,$B1058,INPUT_DELAY!$C$5:$C$20000,$C1058)+SUMIFS(INPUT_DELAY!$E$5:$E$20000,INPUT_DELAY!$A$5:$A$20000,$A1058,INPUT_DELAY!$B$5:$B$20000,$B1058,INPUT_DELAY!$C$5:$C$20000,"SEMUA")&gt;=60,"Delay 60 mnt tapi ada ritase","OK"))))))</f>
        <v/>
      </c>
      <c r="P1058" s="158">
        <f>IFERROR(INDEX(MASTER_JAM!$Z$5:$AC$10,MATCH($I1058,MASTER_JAM!$Y$5:$Y$10,0),MATCH($J1058,MASTER_JAM!$Z$4:$AC$4,0))+0,0)</f>
        <v/>
      </c>
      <c r="Q1058" s="158">
        <f>IF($P1058=0,0,$P1058+IFERROR(INDEX(MASTER_JAM!$H$5:$H$94,MATCH($C1058,MASTER_JAM!$A$5:$A$94,0))+0,MASTER_JAM!$AC$15)/1000*(60/MASTER_JAM!$AC$12+60/MASTER_JAM!$AC$13)+MASTER_JAM!$AC$14)</f>
        <v/>
      </c>
      <c r="R1058" s="158">
        <f>IF(N($F1058)=0,0,$F1058/SUMIFS(INPUT_RITASE!$F$5:$F$20000,INPUT_RITASE!$A$5:$A$20000,$A1058,INPUT_RITASE!$B$5:$B$20000,$B1058,INPUT_RITASE!$C$5:$C$20000,$C1058,INPUT_RITASE!$D$5:$D$20000,$D1058))</f>
        <v/>
      </c>
      <c r="S1058" s="158">
        <f>IF($Q1058=0,0,$R1058*$P1058/$Q1058)</f>
        <v/>
      </c>
    </row>
    <row r="1059">
      <c r="A1059" s="155" t="n">
        <v>46107</v>
      </c>
      <c r="B1059" s="156" t="inlineStr">
        <is>
          <t>18-19</t>
        </is>
      </c>
      <c r="C1059" s="156" t="inlineStr">
        <is>
          <t>EX-1251</t>
        </is>
      </c>
      <c r="D1059" s="156" t="inlineStr">
        <is>
          <t>DT-523</t>
        </is>
      </c>
      <c r="E1059" s="156" t="inlineStr">
        <is>
          <t>OB</t>
        </is>
      </c>
      <c r="F1059" s="156" t="n">
        <v>4</v>
      </c>
      <c r="G1059" s="156" t="inlineStr"/>
      <c r="H1059" s="157">
        <f>IF($B1059="","",IF(ISNA(MATCH($B1059,MASTER_JAM!$Q$5:$Q$28,0)),"?",IF(MATCH($B1059,MASTER_JAM!$Q$5:$Q$28,0)&lt;=12,"DS","NS")))</f>
        <v/>
      </c>
      <c r="I1059" s="157">
        <f>IFERROR(INDEX(MASTER_JAM!$B$5:$B$94,MATCH($C1059,MASTER_JAM!$A$5:$A$94,0)),"")</f>
        <v/>
      </c>
      <c r="J1059" s="157">
        <f>IFERROR(INDEX(MASTER_JAM!$E$5:$E$94,MATCH($D1059,MASTER_JAM!$A$5:$A$94,0)),"")</f>
        <v/>
      </c>
      <c r="K1059" s="158">
        <f>IFERROR(INDEX(MASTER_JAM!$J$5:$O$12,MATCH($E1059,MASTER_JAM!$I$5:$I$12,0),MATCH($J1059,MASTER_JAM!$J$4:$O$4,0))+0,0)</f>
        <v/>
      </c>
      <c r="L1059" s="159">
        <f>N($F1059)*$K1059</f>
        <v/>
      </c>
      <c r="M1059" s="157">
        <f>IF($E1059="","",IF(OR($E1059="Coal",$E1059="Dirty Coal"),"MT","BCM"))</f>
        <v/>
      </c>
      <c r="N1059" s="157">
        <f>IF($E1059="","",IF(OR($E1059="Coal",$E1059="Dirty Coal"),"Coal","OB"))</f>
        <v/>
      </c>
      <c r="O1059" s="157">
        <f>IF($F1059="","",IF(COUNTIF(MASTER_JAM!$A$5:$A$94,$C1059)=0,"Digger tidak dikenal",IF($J1059="","Hauler tidak dikenal",IF($H1059="?","Jam salah",IF($K1059=0,"Faktor kosong",IF(SUMIFS(INPUT_DELAY!$E$5:$E$20000,INPUT_DELAY!$A$5:$A$20000,$A1059,INPUT_DELAY!$B$5:$B$20000,$B1059,INPUT_DELAY!$C$5:$C$20000,$C1059)+SUMIFS(INPUT_DELAY!$E$5:$E$20000,INPUT_DELAY!$A$5:$A$20000,$A1059,INPUT_DELAY!$B$5:$B$20000,$B1059,INPUT_DELAY!$C$5:$C$20000,"SEMUA")&gt;=60,"Delay 60 mnt tapi ada ritase","OK"))))))</f>
        <v/>
      </c>
      <c r="P1059" s="158">
        <f>IFERROR(INDEX(MASTER_JAM!$Z$5:$AC$10,MATCH($I1059,MASTER_JAM!$Y$5:$Y$10,0),MATCH($J1059,MASTER_JAM!$Z$4:$AC$4,0))+0,0)</f>
        <v/>
      </c>
      <c r="Q1059" s="158">
        <f>IF($P1059=0,0,$P1059+IFERROR(INDEX(MASTER_JAM!$H$5:$H$94,MATCH($C1059,MASTER_JAM!$A$5:$A$94,0))+0,MASTER_JAM!$AC$15)/1000*(60/MASTER_JAM!$AC$12+60/MASTER_JAM!$AC$13)+MASTER_JAM!$AC$14)</f>
        <v/>
      </c>
      <c r="R1059" s="158">
        <f>IF(N($F1059)=0,0,$F1059/SUMIFS(INPUT_RITASE!$F$5:$F$20000,INPUT_RITASE!$A$5:$A$20000,$A1059,INPUT_RITASE!$B$5:$B$20000,$B1059,INPUT_RITASE!$C$5:$C$20000,$C1059,INPUT_RITASE!$D$5:$D$20000,$D1059))</f>
        <v/>
      </c>
      <c r="S1059" s="158">
        <f>IF($Q1059=0,0,$R1059*$P1059/$Q1059)</f>
        <v/>
      </c>
    </row>
    <row r="1060">
      <c r="A1060" s="155" t="n">
        <v>46107</v>
      </c>
      <c r="B1060" s="156" t="inlineStr">
        <is>
          <t>18-19</t>
        </is>
      </c>
      <c r="C1060" s="156" t="inlineStr">
        <is>
          <t>EX-1251</t>
        </is>
      </c>
      <c r="D1060" s="156" t="inlineStr">
        <is>
          <t>DT-527</t>
        </is>
      </c>
      <c r="E1060" s="156" t="inlineStr">
        <is>
          <t>OB</t>
        </is>
      </c>
      <c r="F1060" s="156" t="n">
        <v>4</v>
      </c>
      <c r="G1060" s="156" t="inlineStr"/>
      <c r="H1060" s="157">
        <f>IF($B1060="","",IF(ISNA(MATCH($B1060,MASTER_JAM!$Q$5:$Q$28,0)),"?",IF(MATCH($B1060,MASTER_JAM!$Q$5:$Q$28,0)&lt;=12,"DS","NS")))</f>
        <v/>
      </c>
      <c r="I1060" s="157">
        <f>IFERROR(INDEX(MASTER_JAM!$B$5:$B$94,MATCH($C1060,MASTER_JAM!$A$5:$A$94,0)),"")</f>
        <v/>
      </c>
      <c r="J1060" s="157">
        <f>IFERROR(INDEX(MASTER_JAM!$E$5:$E$94,MATCH($D1060,MASTER_JAM!$A$5:$A$94,0)),"")</f>
        <v/>
      </c>
      <c r="K1060" s="158">
        <f>IFERROR(INDEX(MASTER_JAM!$J$5:$O$12,MATCH($E1060,MASTER_JAM!$I$5:$I$12,0),MATCH($J1060,MASTER_JAM!$J$4:$O$4,0))+0,0)</f>
        <v/>
      </c>
      <c r="L1060" s="159">
        <f>N($F1060)*$K1060</f>
        <v/>
      </c>
      <c r="M1060" s="157">
        <f>IF($E1060="","",IF(OR($E1060="Coal",$E1060="Dirty Coal"),"MT","BCM"))</f>
        <v/>
      </c>
      <c r="N1060" s="157">
        <f>IF($E1060="","",IF(OR($E1060="Coal",$E1060="Dirty Coal"),"Coal","OB"))</f>
        <v/>
      </c>
      <c r="O1060" s="157">
        <f>IF($F1060="","",IF(COUNTIF(MASTER_JAM!$A$5:$A$94,$C1060)=0,"Digger tidak dikenal",IF($J1060="","Hauler tidak dikenal",IF($H1060="?","Jam salah",IF($K1060=0,"Faktor kosong",IF(SUMIFS(INPUT_DELAY!$E$5:$E$20000,INPUT_DELAY!$A$5:$A$20000,$A1060,INPUT_DELAY!$B$5:$B$20000,$B1060,INPUT_DELAY!$C$5:$C$20000,$C1060)+SUMIFS(INPUT_DELAY!$E$5:$E$20000,INPUT_DELAY!$A$5:$A$20000,$A1060,INPUT_DELAY!$B$5:$B$20000,$B1060,INPUT_DELAY!$C$5:$C$20000,"SEMUA")&gt;=60,"Delay 60 mnt tapi ada ritase","OK"))))))</f>
        <v/>
      </c>
      <c r="P1060" s="158">
        <f>IFERROR(INDEX(MASTER_JAM!$Z$5:$AC$10,MATCH($I1060,MASTER_JAM!$Y$5:$Y$10,0),MATCH($J1060,MASTER_JAM!$Z$4:$AC$4,0))+0,0)</f>
        <v/>
      </c>
      <c r="Q1060" s="158">
        <f>IF($P1060=0,0,$P1060+IFERROR(INDEX(MASTER_JAM!$H$5:$H$94,MATCH($C1060,MASTER_JAM!$A$5:$A$94,0))+0,MASTER_JAM!$AC$15)/1000*(60/MASTER_JAM!$AC$12+60/MASTER_JAM!$AC$13)+MASTER_JAM!$AC$14)</f>
        <v/>
      </c>
      <c r="R1060" s="158">
        <f>IF(N($F1060)=0,0,$F1060/SUMIFS(INPUT_RITASE!$F$5:$F$20000,INPUT_RITASE!$A$5:$A$20000,$A1060,INPUT_RITASE!$B$5:$B$20000,$B1060,INPUT_RITASE!$C$5:$C$20000,$C1060,INPUT_RITASE!$D$5:$D$20000,$D1060))</f>
        <v/>
      </c>
      <c r="S1060" s="158">
        <f>IF($Q1060=0,0,$R1060*$P1060/$Q1060)</f>
        <v/>
      </c>
    </row>
    <row r="1061">
      <c r="A1061" s="155" t="n">
        <v>46107</v>
      </c>
      <c r="B1061" s="156" t="inlineStr">
        <is>
          <t>18-19</t>
        </is>
      </c>
      <c r="C1061" s="156" t="inlineStr">
        <is>
          <t>EX-1251</t>
        </is>
      </c>
      <c r="D1061" s="156" t="inlineStr">
        <is>
          <t>DT-518</t>
        </is>
      </c>
      <c r="E1061" s="156" t="inlineStr">
        <is>
          <t>OB</t>
        </is>
      </c>
      <c r="F1061" s="156" t="n">
        <v>4</v>
      </c>
      <c r="G1061" s="156" t="inlineStr"/>
      <c r="H1061" s="157">
        <f>IF($B1061="","",IF(ISNA(MATCH($B1061,MASTER_JAM!$Q$5:$Q$28,0)),"?",IF(MATCH($B1061,MASTER_JAM!$Q$5:$Q$28,0)&lt;=12,"DS","NS")))</f>
        <v/>
      </c>
      <c r="I1061" s="157">
        <f>IFERROR(INDEX(MASTER_JAM!$B$5:$B$94,MATCH($C1061,MASTER_JAM!$A$5:$A$94,0)),"")</f>
        <v/>
      </c>
      <c r="J1061" s="157">
        <f>IFERROR(INDEX(MASTER_JAM!$E$5:$E$94,MATCH($D1061,MASTER_JAM!$A$5:$A$94,0)),"")</f>
        <v/>
      </c>
      <c r="K1061" s="158">
        <f>IFERROR(INDEX(MASTER_JAM!$J$5:$O$12,MATCH($E1061,MASTER_JAM!$I$5:$I$12,0),MATCH($J1061,MASTER_JAM!$J$4:$O$4,0))+0,0)</f>
        <v/>
      </c>
      <c r="L1061" s="159">
        <f>N($F1061)*$K1061</f>
        <v/>
      </c>
      <c r="M1061" s="157">
        <f>IF($E1061="","",IF(OR($E1061="Coal",$E1061="Dirty Coal"),"MT","BCM"))</f>
        <v/>
      </c>
      <c r="N1061" s="157">
        <f>IF($E1061="","",IF(OR($E1061="Coal",$E1061="Dirty Coal"),"Coal","OB"))</f>
        <v/>
      </c>
      <c r="O1061" s="157">
        <f>IF($F1061="","",IF(COUNTIF(MASTER_JAM!$A$5:$A$94,$C1061)=0,"Digger tidak dikenal",IF($J1061="","Hauler tidak dikenal",IF($H1061="?","Jam salah",IF($K1061=0,"Faktor kosong",IF(SUMIFS(INPUT_DELAY!$E$5:$E$20000,INPUT_DELAY!$A$5:$A$20000,$A1061,INPUT_DELAY!$B$5:$B$20000,$B1061,INPUT_DELAY!$C$5:$C$20000,$C1061)+SUMIFS(INPUT_DELAY!$E$5:$E$20000,INPUT_DELAY!$A$5:$A$20000,$A1061,INPUT_DELAY!$B$5:$B$20000,$B1061,INPUT_DELAY!$C$5:$C$20000,"SEMUA")&gt;=60,"Delay 60 mnt tapi ada ritase","OK"))))))</f>
        <v/>
      </c>
      <c r="P1061" s="158">
        <f>IFERROR(INDEX(MASTER_JAM!$Z$5:$AC$10,MATCH($I1061,MASTER_JAM!$Y$5:$Y$10,0),MATCH($J1061,MASTER_JAM!$Z$4:$AC$4,0))+0,0)</f>
        <v/>
      </c>
      <c r="Q1061" s="158">
        <f>IF($P1061=0,0,$P1061+IFERROR(INDEX(MASTER_JAM!$H$5:$H$94,MATCH($C1061,MASTER_JAM!$A$5:$A$94,0))+0,MASTER_JAM!$AC$15)/1000*(60/MASTER_JAM!$AC$12+60/MASTER_JAM!$AC$13)+MASTER_JAM!$AC$14)</f>
        <v/>
      </c>
      <c r="R1061" s="158">
        <f>IF(N($F1061)=0,0,$F1061/SUMIFS(INPUT_RITASE!$F$5:$F$20000,INPUT_RITASE!$A$5:$A$20000,$A1061,INPUT_RITASE!$B$5:$B$20000,$B1061,INPUT_RITASE!$C$5:$C$20000,$C1061,INPUT_RITASE!$D$5:$D$20000,$D1061))</f>
        <v/>
      </c>
      <c r="S1061" s="158">
        <f>IF($Q1061=0,0,$R1061*$P1061/$Q1061)</f>
        <v/>
      </c>
    </row>
    <row r="1062">
      <c r="A1062" s="155" t="n">
        <v>46107</v>
      </c>
      <c r="B1062" s="156" t="inlineStr">
        <is>
          <t>18-19</t>
        </is>
      </c>
      <c r="C1062" s="156" t="inlineStr">
        <is>
          <t>EX-1251</t>
        </is>
      </c>
      <c r="D1062" s="156" t="inlineStr">
        <is>
          <t>DT-513</t>
        </is>
      </c>
      <c r="E1062" s="156" t="inlineStr">
        <is>
          <t>OB</t>
        </is>
      </c>
      <c r="F1062" s="156" t="n">
        <v>4</v>
      </c>
      <c r="G1062" s="156" t="inlineStr"/>
      <c r="H1062" s="157">
        <f>IF($B1062="","",IF(ISNA(MATCH($B1062,MASTER_JAM!$Q$5:$Q$28,0)),"?",IF(MATCH($B1062,MASTER_JAM!$Q$5:$Q$28,0)&lt;=12,"DS","NS")))</f>
        <v/>
      </c>
      <c r="I1062" s="157">
        <f>IFERROR(INDEX(MASTER_JAM!$B$5:$B$94,MATCH($C1062,MASTER_JAM!$A$5:$A$94,0)),"")</f>
        <v/>
      </c>
      <c r="J1062" s="157">
        <f>IFERROR(INDEX(MASTER_JAM!$E$5:$E$94,MATCH($D1062,MASTER_JAM!$A$5:$A$94,0)),"")</f>
        <v/>
      </c>
      <c r="K1062" s="158">
        <f>IFERROR(INDEX(MASTER_JAM!$J$5:$O$12,MATCH($E1062,MASTER_JAM!$I$5:$I$12,0),MATCH($J1062,MASTER_JAM!$J$4:$O$4,0))+0,0)</f>
        <v/>
      </c>
      <c r="L1062" s="159">
        <f>N($F1062)*$K1062</f>
        <v/>
      </c>
      <c r="M1062" s="157">
        <f>IF($E1062="","",IF(OR($E1062="Coal",$E1062="Dirty Coal"),"MT","BCM"))</f>
        <v/>
      </c>
      <c r="N1062" s="157">
        <f>IF($E1062="","",IF(OR($E1062="Coal",$E1062="Dirty Coal"),"Coal","OB"))</f>
        <v/>
      </c>
      <c r="O1062" s="157">
        <f>IF($F1062="","",IF(COUNTIF(MASTER_JAM!$A$5:$A$94,$C1062)=0,"Digger tidak dikenal",IF($J1062="","Hauler tidak dikenal",IF($H1062="?","Jam salah",IF($K1062=0,"Faktor kosong",IF(SUMIFS(INPUT_DELAY!$E$5:$E$20000,INPUT_DELAY!$A$5:$A$20000,$A1062,INPUT_DELAY!$B$5:$B$20000,$B1062,INPUT_DELAY!$C$5:$C$20000,$C1062)+SUMIFS(INPUT_DELAY!$E$5:$E$20000,INPUT_DELAY!$A$5:$A$20000,$A1062,INPUT_DELAY!$B$5:$B$20000,$B1062,INPUT_DELAY!$C$5:$C$20000,"SEMUA")&gt;=60,"Delay 60 mnt tapi ada ritase","OK"))))))</f>
        <v/>
      </c>
      <c r="P1062" s="158">
        <f>IFERROR(INDEX(MASTER_JAM!$Z$5:$AC$10,MATCH($I1062,MASTER_JAM!$Y$5:$Y$10,0),MATCH($J1062,MASTER_JAM!$Z$4:$AC$4,0))+0,0)</f>
        <v/>
      </c>
      <c r="Q1062" s="158">
        <f>IF($P1062=0,0,$P1062+IFERROR(INDEX(MASTER_JAM!$H$5:$H$94,MATCH($C1062,MASTER_JAM!$A$5:$A$94,0))+0,MASTER_JAM!$AC$15)/1000*(60/MASTER_JAM!$AC$12+60/MASTER_JAM!$AC$13)+MASTER_JAM!$AC$14)</f>
        <v/>
      </c>
      <c r="R1062" s="158">
        <f>IF(N($F1062)=0,0,$F1062/SUMIFS(INPUT_RITASE!$F$5:$F$20000,INPUT_RITASE!$A$5:$A$20000,$A1062,INPUT_RITASE!$B$5:$B$20000,$B1062,INPUT_RITASE!$C$5:$C$20000,$C1062,INPUT_RITASE!$D$5:$D$20000,$D1062))</f>
        <v/>
      </c>
      <c r="S1062" s="158">
        <f>IF($Q1062=0,0,$R1062*$P1062/$Q1062)</f>
        <v/>
      </c>
    </row>
    <row r="1063">
      <c r="A1063" s="155" t="n">
        <v>46107</v>
      </c>
      <c r="B1063" s="156" t="inlineStr">
        <is>
          <t>18-19</t>
        </is>
      </c>
      <c r="C1063" s="156" t="inlineStr">
        <is>
          <t>EX-1251</t>
        </is>
      </c>
      <c r="D1063" s="156" t="inlineStr">
        <is>
          <t>DT-506</t>
        </is>
      </c>
      <c r="E1063" s="156" t="inlineStr">
        <is>
          <t>OB</t>
        </is>
      </c>
      <c r="F1063" s="156" t="n">
        <v>3</v>
      </c>
      <c r="G1063" s="156" t="inlineStr"/>
      <c r="H1063" s="157">
        <f>IF($B1063="","",IF(ISNA(MATCH($B1063,MASTER_JAM!$Q$5:$Q$28,0)),"?",IF(MATCH($B1063,MASTER_JAM!$Q$5:$Q$28,0)&lt;=12,"DS","NS")))</f>
        <v/>
      </c>
      <c r="I1063" s="157">
        <f>IFERROR(INDEX(MASTER_JAM!$B$5:$B$94,MATCH($C1063,MASTER_JAM!$A$5:$A$94,0)),"")</f>
        <v/>
      </c>
      <c r="J1063" s="157">
        <f>IFERROR(INDEX(MASTER_JAM!$E$5:$E$94,MATCH($D1063,MASTER_JAM!$A$5:$A$94,0)),"")</f>
        <v/>
      </c>
      <c r="K1063" s="158">
        <f>IFERROR(INDEX(MASTER_JAM!$J$5:$O$12,MATCH($E1063,MASTER_JAM!$I$5:$I$12,0),MATCH($J1063,MASTER_JAM!$J$4:$O$4,0))+0,0)</f>
        <v/>
      </c>
      <c r="L1063" s="159">
        <f>N($F1063)*$K1063</f>
        <v/>
      </c>
      <c r="M1063" s="157">
        <f>IF($E1063="","",IF(OR($E1063="Coal",$E1063="Dirty Coal"),"MT","BCM"))</f>
        <v/>
      </c>
      <c r="N1063" s="157">
        <f>IF($E1063="","",IF(OR($E1063="Coal",$E1063="Dirty Coal"),"Coal","OB"))</f>
        <v/>
      </c>
      <c r="O1063" s="157">
        <f>IF($F1063="","",IF(COUNTIF(MASTER_JAM!$A$5:$A$94,$C1063)=0,"Digger tidak dikenal",IF($J1063="","Hauler tidak dikenal",IF($H1063="?","Jam salah",IF($K1063=0,"Faktor kosong",IF(SUMIFS(INPUT_DELAY!$E$5:$E$20000,INPUT_DELAY!$A$5:$A$20000,$A1063,INPUT_DELAY!$B$5:$B$20000,$B1063,INPUT_DELAY!$C$5:$C$20000,$C1063)+SUMIFS(INPUT_DELAY!$E$5:$E$20000,INPUT_DELAY!$A$5:$A$20000,$A1063,INPUT_DELAY!$B$5:$B$20000,$B1063,INPUT_DELAY!$C$5:$C$20000,"SEMUA")&gt;=60,"Delay 60 mnt tapi ada ritase","OK"))))))</f>
        <v/>
      </c>
      <c r="P1063" s="158">
        <f>IFERROR(INDEX(MASTER_JAM!$Z$5:$AC$10,MATCH($I1063,MASTER_JAM!$Y$5:$Y$10,0),MATCH($J1063,MASTER_JAM!$Z$4:$AC$4,0))+0,0)</f>
        <v/>
      </c>
      <c r="Q1063" s="158">
        <f>IF($P1063=0,0,$P1063+IFERROR(INDEX(MASTER_JAM!$H$5:$H$94,MATCH($C1063,MASTER_JAM!$A$5:$A$94,0))+0,MASTER_JAM!$AC$15)/1000*(60/MASTER_JAM!$AC$12+60/MASTER_JAM!$AC$13)+MASTER_JAM!$AC$14)</f>
        <v/>
      </c>
      <c r="R1063" s="158">
        <f>IF(N($F1063)=0,0,$F1063/SUMIFS(INPUT_RITASE!$F$5:$F$20000,INPUT_RITASE!$A$5:$A$20000,$A1063,INPUT_RITASE!$B$5:$B$20000,$B1063,INPUT_RITASE!$C$5:$C$20000,$C1063,INPUT_RITASE!$D$5:$D$20000,$D1063))</f>
        <v/>
      </c>
      <c r="S1063" s="158">
        <f>IF($Q1063=0,0,$R1063*$P1063/$Q1063)</f>
        <v/>
      </c>
    </row>
    <row r="1064">
      <c r="A1064" s="155" t="n">
        <v>46107</v>
      </c>
      <c r="B1064" s="156" t="inlineStr">
        <is>
          <t>18-19</t>
        </is>
      </c>
      <c r="C1064" s="156" t="inlineStr">
        <is>
          <t>EX-1251</t>
        </is>
      </c>
      <c r="D1064" s="156" t="inlineStr">
        <is>
          <t>DT-515</t>
        </is>
      </c>
      <c r="E1064" s="156" t="inlineStr">
        <is>
          <t>OB</t>
        </is>
      </c>
      <c r="F1064" s="156" t="n">
        <v>3</v>
      </c>
      <c r="G1064" s="156" t="inlineStr"/>
      <c r="H1064" s="157">
        <f>IF($B1064="","",IF(ISNA(MATCH($B1064,MASTER_JAM!$Q$5:$Q$28,0)),"?",IF(MATCH($B1064,MASTER_JAM!$Q$5:$Q$28,0)&lt;=12,"DS","NS")))</f>
        <v/>
      </c>
      <c r="I1064" s="157">
        <f>IFERROR(INDEX(MASTER_JAM!$B$5:$B$94,MATCH($C1064,MASTER_JAM!$A$5:$A$94,0)),"")</f>
        <v/>
      </c>
      <c r="J1064" s="157">
        <f>IFERROR(INDEX(MASTER_JAM!$E$5:$E$94,MATCH($D1064,MASTER_JAM!$A$5:$A$94,0)),"")</f>
        <v/>
      </c>
      <c r="K1064" s="158">
        <f>IFERROR(INDEX(MASTER_JAM!$J$5:$O$12,MATCH($E1064,MASTER_JAM!$I$5:$I$12,0),MATCH($J1064,MASTER_JAM!$J$4:$O$4,0))+0,0)</f>
        <v/>
      </c>
      <c r="L1064" s="159">
        <f>N($F1064)*$K1064</f>
        <v/>
      </c>
      <c r="M1064" s="157">
        <f>IF($E1064="","",IF(OR($E1064="Coal",$E1064="Dirty Coal"),"MT","BCM"))</f>
        <v/>
      </c>
      <c r="N1064" s="157">
        <f>IF($E1064="","",IF(OR($E1064="Coal",$E1064="Dirty Coal"),"Coal","OB"))</f>
        <v/>
      </c>
      <c r="O1064" s="157">
        <f>IF($F1064="","",IF(COUNTIF(MASTER_JAM!$A$5:$A$94,$C1064)=0,"Digger tidak dikenal",IF($J1064="","Hauler tidak dikenal",IF($H1064="?","Jam salah",IF($K1064=0,"Faktor kosong",IF(SUMIFS(INPUT_DELAY!$E$5:$E$20000,INPUT_DELAY!$A$5:$A$20000,$A1064,INPUT_DELAY!$B$5:$B$20000,$B1064,INPUT_DELAY!$C$5:$C$20000,$C1064)+SUMIFS(INPUT_DELAY!$E$5:$E$20000,INPUT_DELAY!$A$5:$A$20000,$A1064,INPUT_DELAY!$B$5:$B$20000,$B1064,INPUT_DELAY!$C$5:$C$20000,"SEMUA")&gt;=60,"Delay 60 mnt tapi ada ritase","OK"))))))</f>
        <v/>
      </c>
      <c r="P1064" s="158">
        <f>IFERROR(INDEX(MASTER_JAM!$Z$5:$AC$10,MATCH($I1064,MASTER_JAM!$Y$5:$Y$10,0),MATCH($J1064,MASTER_JAM!$Z$4:$AC$4,0))+0,0)</f>
        <v/>
      </c>
      <c r="Q1064" s="158">
        <f>IF($P1064=0,0,$P1064+IFERROR(INDEX(MASTER_JAM!$H$5:$H$94,MATCH($C1064,MASTER_JAM!$A$5:$A$94,0))+0,MASTER_JAM!$AC$15)/1000*(60/MASTER_JAM!$AC$12+60/MASTER_JAM!$AC$13)+MASTER_JAM!$AC$14)</f>
        <v/>
      </c>
      <c r="R1064" s="158">
        <f>IF(N($F1064)=0,0,$F1064/SUMIFS(INPUT_RITASE!$F$5:$F$20000,INPUT_RITASE!$A$5:$A$20000,$A1064,INPUT_RITASE!$B$5:$B$20000,$B1064,INPUT_RITASE!$C$5:$C$20000,$C1064,INPUT_RITASE!$D$5:$D$20000,$D1064))</f>
        <v/>
      </c>
      <c r="S1064" s="158">
        <f>IF($Q1064=0,0,$R1064*$P1064/$Q1064)</f>
        <v/>
      </c>
    </row>
    <row r="1065">
      <c r="A1065" s="155" t="n">
        <v>46107</v>
      </c>
      <c r="B1065" s="156" t="inlineStr">
        <is>
          <t>19-20</t>
        </is>
      </c>
      <c r="C1065" s="156" t="inlineStr">
        <is>
          <t>EX-1251</t>
        </is>
      </c>
      <c r="D1065" s="156" t="inlineStr">
        <is>
          <t>DT-522</t>
        </is>
      </c>
      <c r="E1065" s="156" t="inlineStr">
        <is>
          <t>OB</t>
        </is>
      </c>
      <c r="F1065" s="156" t="n">
        <v>4</v>
      </c>
      <c r="G1065" s="156" t="inlineStr"/>
      <c r="H1065" s="157">
        <f>IF($B1065="","",IF(ISNA(MATCH($B1065,MASTER_JAM!$Q$5:$Q$28,0)),"?",IF(MATCH($B1065,MASTER_JAM!$Q$5:$Q$28,0)&lt;=12,"DS","NS")))</f>
        <v/>
      </c>
      <c r="I1065" s="157">
        <f>IFERROR(INDEX(MASTER_JAM!$B$5:$B$94,MATCH($C1065,MASTER_JAM!$A$5:$A$94,0)),"")</f>
        <v/>
      </c>
      <c r="J1065" s="157">
        <f>IFERROR(INDEX(MASTER_JAM!$E$5:$E$94,MATCH($D1065,MASTER_JAM!$A$5:$A$94,0)),"")</f>
        <v/>
      </c>
      <c r="K1065" s="158">
        <f>IFERROR(INDEX(MASTER_JAM!$J$5:$O$12,MATCH($E1065,MASTER_JAM!$I$5:$I$12,0),MATCH($J1065,MASTER_JAM!$J$4:$O$4,0))+0,0)</f>
        <v/>
      </c>
      <c r="L1065" s="159">
        <f>N($F1065)*$K1065</f>
        <v/>
      </c>
      <c r="M1065" s="157">
        <f>IF($E1065="","",IF(OR($E1065="Coal",$E1065="Dirty Coal"),"MT","BCM"))</f>
        <v/>
      </c>
      <c r="N1065" s="157">
        <f>IF($E1065="","",IF(OR($E1065="Coal",$E1065="Dirty Coal"),"Coal","OB"))</f>
        <v/>
      </c>
      <c r="O1065" s="157">
        <f>IF($F1065="","",IF(COUNTIF(MASTER_JAM!$A$5:$A$94,$C1065)=0,"Digger tidak dikenal",IF($J1065="","Hauler tidak dikenal",IF($H1065="?","Jam salah",IF($K1065=0,"Faktor kosong",IF(SUMIFS(INPUT_DELAY!$E$5:$E$20000,INPUT_DELAY!$A$5:$A$20000,$A1065,INPUT_DELAY!$B$5:$B$20000,$B1065,INPUT_DELAY!$C$5:$C$20000,$C1065)+SUMIFS(INPUT_DELAY!$E$5:$E$20000,INPUT_DELAY!$A$5:$A$20000,$A1065,INPUT_DELAY!$B$5:$B$20000,$B1065,INPUT_DELAY!$C$5:$C$20000,"SEMUA")&gt;=60,"Delay 60 mnt tapi ada ritase","OK"))))))</f>
        <v/>
      </c>
      <c r="P1065" s="158">
        <f>IFERROR(INDEX(MASTER_JAM!$Z$5:$AC$10,MATCH($I1065,MASTER_JAM!$Y$5:$Y$10,0),MATCH($J1065,MASTER_JAM!$Z$4:$AC$4,0))+0,0)</f>
        <v/>
      </c>
      <c r="Q1065" s="158">
        <f>IF($P1065=0,0,$P1065+IFERROR(INDEX(MASTER_JAM!$H$5:$H$94,MATCH($C1065,MASTER_JAM!$A$5:$A$94,0))+0,MASTER_JAM!$AC$15)/1000*(60/MASTER_JAM!$AC$12+60/MASTER_JAM!$AC$13)+MASTER_JAM!$AC$14)</f>
        <v/>
      </c>
      <c r="R1065" s="158">
        <f>IF(N($F1065)=0,0,$F1065/SUMIFS(INPUT_RITASE!$F$5:$F$20000,INPUT_RITASE!$A$5:$A$20000,$A1065,INPUT_RITASE!$B$5:$B$20000,$B1065,INPUT_RITASE!$C$5:$C$20000,$C1065,INPUT_RITASE!$D$5:$D$20000,$D1065))</f>
        <v/>
      </c>
      <c r="S1065" s="158">
        <f>IF($Q1065=0,0,$R1065*$P1065/$Q1065)</f>
        <v/>
      </c>
    </row>
    <row r="1066">
      <c r="A1066" s="155" t="n">
        <v>46107</v>
      </c>
      <c r="B1066" s="156" t="inlineStr">
        <is>
          <t>19-20</t>
        </is>
      </c>
      <c r="C1066" s="156" t="inlineStr">
        <is>
          <t>EX-1251</t>
        </is>
      </c>
      <c r="D1066" s="156" t="inlineStr">
        <is>
          <t>DT-506</t>
        </is>
      </c>
      <c r="E1066" s="156" t="inlineStr">
        <is>
          <t>OB</t>
        </is>
      </c>
      <c r="F1066" s="156" t="n">
        <v>4</v>
      </c>
      <c r="G1066" s="156" t="inlineStr"/>
      <c r="H1066" s="157">
        <f>IF($B1066="","",IF(ISNA(MATCH($B1066,MASTER_JAM!$Q$5:$Q$28,0)),"?",IF(MATCH($B1066,MASTER_JAM!$Q$5:$Q$28,0)&lt;=12,"DS","NS")))</f>
        <v/>
      </c>
      <c r="I1066" s="157">
        <f>IFERROR(INDEX(MASTER_JAM!$B$5:$B$94,MATCH($C1066,MASTER_JAM!$A$5:$A$94,0)),"")</f>
        <v/>
      </c>
      <c r="J1066" s="157">
        <f>IFERROR(INDEX(MASTER_JAM!$E$5:$E$94,MATCH($D1066,MASTER_JAM!$A$5:$A$94,0)),"")</f>
        <v/>
      </c>
      <c r="K1066" s="158">
        <f>IFERROR(INDEX(MASTER_JAM!$J$5:$O$12,MATCH($E1066,MASTER_JAM!$I$5:$I$12,0),MATCH($J1066,MASTER_JAM!$J$4:$O$4,0))+0,0)</f>
        <v/>
      </c>
      <c r="L1066" s="159">
        <f>N($F1066)*$K1066</f>
        <v/>
      </c>
      <c r="M1066" s="157">
        <f>IF($E1066="","",IF(OR($E1066="Coal",$E1066="Dirty Coal"),"MT","BCM"))</f>
        <v/>
      </c>
      <c r="N1066" s="157">
        <f>IF($E1066="","",IF(OR($E1066="Coal",$E1066="Dirty Coal"),"Coal","OB"))</f>
        <v/>
      </c>
      <c r="O1066" s="157">
        <f>IF($F1066="","",IF(COUNTIF(MASTER_JAM!$A$5:$A$94,$C1066)=0,"Digger tidak dikenal",IF($J1066="","Hauler tidak dikenal",IF($H1066="?","Jam salah",IF($K1066=0,"Faktor kosong",IF(SUMIFS(INPUT_DELAY!$E$5:$E$20000,INPUT_DELAY!$A$5:$A$20000,$A1066,INPUT_DELAY!$B$5:$B$20000,$B1066,INPUT_DELAY!$C$5:$C$20000,$C1066)+SUMIFS(INPUT_DELAY!$E$5:$E$20000,INPUT_DELAY!$A$5:$A$20000,$A1066,INPUT_DELAY!$B$5:$B$20000,$B1066,INPUT_DELAY!$C$5:$C$20000,"SEMUA")&gt;=60,"Delay 60 mnt tapi ada ritase","OK"))))))</f>
        <v/>
      </c>
      <c r="P1066" s="158">
        <f>IFERROR(INDEX(MASTER_JAM!$Z$5:$AC$10,MATCH($I1066,MASTER_JAM!$Y$5:$Y$10,0),MATCH($J1066,MASTER_JAM!$Z$4:$AC$4,0))+0,0)</f>
        <v/>
      </c>
      <c r="Q1066" s="158">
        <f>IF($P1066=0,0,$P1066+IFERROR(INDEX(MASTER_JAM!$H$5:$H$94,MATCH($C1066,MASTER_JAM!$A$5:$A$94,0))+0,MASTER_JAM!$AC$15)/1000*(60/MASTER_JAM!$AC$12+60/MASTER_JAM!$AC$13)+MASTER_JAM!$AC$14)</f>
        <v/>
      </c>
      <c r="R1066" s="158">
        <f>IF(N($F1066)=0,0,$F1066/SUMIFS(INPUT_RITASE!$F$5:$F$20000,INPUT_RITASE!$A$5:$A$20000,$A1066,INPUT_RITASE!$B$5:$B$20000,$B1066,INPUT_RITASE!$C$5:$C$20000,$C1066,INPUT_RITASE!$D$5:$D$20000,$D1066))</f>
        <v/>
      </c>
      <c r="S1066" s="158">
        <f>IF($Q1066=0,0,$R1066*$P1066/$Q1066)</f>
        <v/>
      </c>
    </row>
    <row r="1067">
      <c r="A1067" s="155" t="n">
        <v>46107</v>
      </c>
      <c r="B1067" s="156" t="inlineStr">
        <is>
          <t>19-20</t>
        </is>
      </c>
      <c r="C1067" s="156" t="inlineStr">
        <is>
          <t>EX-1251</t>
        </is>
      </c>
      <c r="D1067" s="156" t="inlineStr">
        <is>
          <t>DT-523</t>
        </is>
      </c>
      <c r="E1067" s="156" t="inlineStr">
        <is>
          <t>OB</t>
        </is>
      </c>
      <c r="F1067" s="156" t="n">
        <v>4</v>
      </c>
      <c r="G1067" s="156" t="inlineStr"/>
      <c r="H1067" s="157">
        <f>IF($B1067="","",IF(ISNA(MATCH($B1067,MASTER_JAM!$Q$5:$Q$28,0)),"?",IF(MATCH($B1067,MASTER_JAM!$Q$5:$Q$28,0)&lt;=12,"DS","NS")))</f>
        <v/>
      </c>
      <c r="I1067" s="157">
        <f>IFERROR(INDEX(MASTER_JAM!$B$5:$B$94,MATCH($C1067,MASTER_JAM!$A$5:$A$94,0)),"")</f>
        <v/>
      </c>
      <c r="J1067" s="157">
        <f>IFERROR(INDEX(MASTER_JAM!$E$5:$E$94,MATCH($D1067,MASTER_JAM!$A$5:$A$94,0)),"")</f>
        <v/>
      </c>
      <c r="K1067" s="158">
        <f>IFERROR(INDEX(MASTER_JAM!$J$5:$O$12,MATCH($E1067,MASTER_JAM!$I$5:$I$12,0),MATCH($J1067,MASTER_JAM!$J$4:$O$4,0))+0,0)</f>
        <v/>
      </c>
      <c r="L1067" s="159">
        <f>N($F1067)*$K1067</f>
        <v/>
      </c>
      <c r="M1067" s="157">
        <f>IF($E1067="","",IF(OR($E1067="Coal",$E1067="Dirty Coal"),"MT","BCM"))</f>
        <v/>
      </c>
      <c r="N1067" s="157">
        <f>IF($E1067="","",IF(OR($E1067="Coal",$E1067="Dirty Coal"),"Coal","OB"))</f>
        <v/>
      </c>
      <c r="O1067" s="157">
        <f>IF($F1067="","",IF(COUNTIF(MASTER_JAM!$A$5:$A$94,$C1067)=0,"Digger tidak dikenal",IF($J1067="","Hauler tidak dikenal",IF($H1067="?","Jam salah",IF($K1067=0,"Faktor kosong",IF(SUMIFS(INPUT_DELAY!$E$5:$E$20000,INPUT_DELAY!$A$5:$A$20000,$A1067,INPUT_DELAY!$B$5:$B$20000,$B1067,INPUT_DELAY!$C$5:$C$20000,$C1067)+SUMIFS(INPUT_DELAY!$E$5:$E$20000,INPUT_DELAY!$A$5:$A$20000,$A1067,INPUT_DELAY!$B$5:$B$20000,$B1067,INPUT_DELAY!$C$5:$C$20000,"SEMUA")&gt;=60,"Delay 60 mnt tapi ada ritase","OK"))))))</f>
        <v/>
      </c>
      <c r="P1067" s="158">
        <f>IFERROR(INDEX(MASTER_JAM!$Z$5:$AC$10,MATCH($I1067,MASTER_JAM!$Y$5:$Y$10,0),MATCH($J1067,MASTER_JAM!$Z$4:$AC$4,0))+0,0)</f>
        <v/>
      </c>
      <c r="Q1067" s="158">
        <f>IF($P1067=0,0,$P1067+IFERROR(INDEX(MASTER_JAM!$H$5:$H$94,MATCH($C1067,MASTER_JAM!$A$5:$A$94,0))+0,MASTER_JAM!$AC$15)/1000*(60/MASTER_JAM!$AC$12+60/MASTER_JAM!$AC$13)+MASTER_JAM!$AC$14)</f>
        <v/>
      </c>
      <c r="R1067" s="158">
        <f>IF(N($F1067)=0,0,$F1067/SUMIFS(INPUT_RITASE!$F$5:$F$20000,INPUT_RITASE!$A$5:$A$20000,$A1067,INPUT_RITASE!$B$5:$B$20000,$B1067,INPUT_RITASE!$C$5:$C$20000,$C1067,INPUT_RITASE!$D$5:$D$20000,$D1067))</f>
        <v/>
      </c>
      <c r="S1067" s="158">
        <f>IF($Q1067=0,0,$R1067*$P1067/$Q1067)</f>
        <v/>
      </c>
    </row>
    <row r="1068">
      <c r="A1068" s="155" t="n">
        <v>46107</v>
      </c>
      <c r="B1068" s="156" t="inlineStr">
        <is>
          <t>19-20</t>
        </is>
      </c>
      <c r="C1068" s="156" t="inlineStr">
        <is>
          <t>EX-1251</t>
        </is>
      </c>
      <c r="D1068" s="156" t="inlineStr">
        <is>
          <t>DT-508</t>
        </is>
      </c>
      <c r="E1068" s="156" t="inlineStr">
        <is>
          <t>OB</t>
        </is>
      </c>
      <c r="F1068" s="156" t="n">
        <v>4</v>
      </c>
      <c r="G1068" s="156" t="inlineStr"/>
      <c r="H1068" s="157">
        <f>IF($B1068="","",IF(ISNA(MATCH($B1068,MASTER_JAM!$Q$5:$Q$28,0)),"?",IF(MATCH($B1068,MASTER_JAM!$Q$5:$Q$28,0)&lt;=12,"DS","NS")))</f>
        <v/>
      </c>
      <c r="I1068" s="157">
        <f>IFERROR(INDEX(MASTER_JAM!$B$5:$B$94,MATCH($C1068,MASTER_JAM!$A$5:$A$94,0)),"")</f>
        <v/>
      </c>
      <c r="J1068" s="157">
        <f>IFERROR(INDEX(MASTER_JAM!$E$5:$E$94,MATCH($D1068,MASTER_JAM!$A$5:$A$94,0)),"")</f>
        <v/>
      </c>
      <c r="K1068" s="158">
        <f>IFERROR(INDEX(MASTER_JAM!$J$5:$O$12,MATCH($E1068,MASTER_JAM!$I$5:$I$12,0),MATCH($J1068,MASTER_JAM!$J$4:$O$4,0))+0,0)</f>
        <v/>
      </c>
      <c r="L1068" s="159">
        <f>N($F1068)*$K1068</f>
        <v/>
      </c>
      <c r="M1068" s="157">
        <f>IF($E1068="","",IF(OR($E1068="Coal",$E1068="Dirty Coal"),"MT","BCM"))</f>
        <v/>
      </c>
      <c r="N1068" s="157">
        <f>IF($E1068="","",IF(OR($E1068="Coal",$E1068="Dirty Coal"),"Coal","OB"))</f>
        <v/>
      </c>
      <c r="O1068" s="157">
        <f>IF($F1068="","",IF(COUNTIF(MASTER_JAM!$A$5:$A$94,$C1068)=0,"Digger tidak dikenal",IF($J1068="","Hauler tidak dikenal",IF($H1068="?","Jam salah",IF($K1068=0,"Faktor kosong",IF(SUMIFS(INPUT_DELAY!$E$5:$E$20000,INPUT_DELAY!$A$5:$A$20000,$A1068,INPUT_DELAY!$B$5:$B$20000,$B1068,INPUT_DELAY!$C$5:$C$20000,$C1068)+SUMIFS(INPUT_DELAY!$E$5:$E$20000,INPUT_DELAY!$A$5:$A$20000,$A1068,INPUT_DELAY!$B$5:$B$20000,$B1068,INPUT_DELAY!$C$5:$C$20000,"SEMUA")&gt;=60,"Delay 60 mnt tapi ada ritase","OK"))))))</f>
        <v/>
      </c>
      <c r="P1068" s="158">
        <f>IFERROR(INDEX(MASTER_JAM!$Z$5:$AC$10,MATCH($I1068,MASTER_JAM!$Y$5:$Y$10,0),MATCH($J1068,MASTER_JAM!$Z$4:$AC$4,0))+0,0)</f>
        <v/>
      </c>
      <c r="Q1068" s="158">
        <f>IF($P1068=0,0,$P1068+IFERROR(INDEX(MASTER_JAM!$H$5:$H$94,MATCH($C1068,MASTER_JAM!$A$5:$A$94,0))+0,MASTER_JAM!$AC$15)/1000*(60/MASTER_JAM!$AC$12+60/MASTER_JAM!$AC$13)+MASTER_JAM!$AC$14)</f>
        <v/>
      </c>
      <c r="R1068" s="158">
        <f>IF(N($F1068)=0,0,$F1068/SUMIFS(INPUT_RITASE!$F$5:$F$20000,INPUT_RITASE!$A$5:$A$20000,$A1068,INPUT_RITASE!$B$5:$B$20000,$B1068,INPUT_RITASE!$C$5:$C$20000,$C1068,INPUT_RITASE!$D$5:$D$20000,$D1068))</f>
        <v/>
      </c>
      <c r="S1068" s="158">
        <f>IF($Q1068=0,0,$R1068*$P1068/$Q1068)</f>
        <v/>
      </c>
    </row>
    <row r="1069">
      <c r="A1069" s="155" t="n">
        <v>46107</v>
      </c>
      <c r="B1069" s="156" t="inlineStr">
        <is>
          <t>19-20</t>
        </is>
      </c>
      <c r="C1069" s="156" t="inlineStr">
        <is>
          <t>EX-1251</t>
        </is>
      </c>
      <c r="D1069" s="156" t="inlineStr">
        <is>
          <t>DT-515</t>
        </is>
      </c>
      <c r="E1069" s="156" t="inlineStr">
        <is>
          <t>OB</t>
        </is>
      </c>
      <c r="F1069" s="156" t="n">
        <v>4</v>
      </c>
      <c r="G1069" s="156" t="inlineStr"/>
      <c r="H1069" s="157">
        <f>IF($B1069="","",IF(ISNA(MATCH($B1069,MASTER_JAM!$Q$5:$Q$28,0)),"?",IF(MATCH($B1069,MASTER_JAM!$Q$5:$Q$28,0)&lt;=12,"DS","NS")))</f>
        <v/>
      </c>
      <c r="I1069" s="157">
        <f>IFERROR(INDEX(MASTER_JAM!$B$5:$B$94,MATCH($C1069,MASTER_JAM!$A$5:$A$94,0)),"")</f>
        <v/>
      </c>
      <c r="J1069" s="157">
        <f>IFERROR(INDEX(MASTER_JAM!$E$5:$E$94,MATCH($D1069,MASTER_JAM!$A$5:$A$94,0)),"")</f>
        <v/>
      </c>
      <c r="K1069" s="158">
        <f>IFERROR(INDEX(MASTER_JAM!$J$5:$O$12,MATCH($E1069,MASTER_JAM!$I$5:$I$12,0),MATCH($J1069,MASTER_JAM!$J$4:$O$4,0))+0,0)</f>
        <v/>
      </c>
      <c r="L1069" s="159">
        <f>N($F1069)*$K1069</f>
        <v/>
      </c>
      <c r="M1069" s="157">
        <f>IF($E1069="","",IF(OR($E1069="Coal",$E1069="Dirty Coal"),"MT","BCM"))</f>
        <v/>
      </c>
      <c r="N1069" s="157">
        <f>IF($E1069="","",IF(OR($E1069="Coal",$E1069="Dirty Coal"),"Coal","OB"))</f>
        <v/>
      </c>
      <c r="O1069" s="157">
        <f>IF($F1069="","",IF(COUNTIF(MASTER_JAM!$A$5:$A$94,$C1069)=0,"Digger tidak dikenal",IF($J1069="","Hauler tidak dikenal",IF($H1069="?","Jam salah",IF($K1069=0,"Faktor kosong",IF(SUMIFS(INPUT_DELAY!$E$5:$E$20000,INPUT_DELAY!$A$5:$A$20000,$A1069,INPUT_DELAY!$B$5:$B$20000,$B1069,INPUT_DELAY!$C$5:$C$20000,$C1069)+SUMIFS(INPUT_DELAY!$E$5:$E$20000,INPUT_DELAY!$A$5:$A$20000,$A1069,INPUT_DELAY!$B$5:$B$20000,$B1069,INPUT_DELAY!$C$5:$C$20000,"SEMUA")&gt;=60,"Delay 60 mnt tapi ada ritase","OK"))))))</f>
        <v/>
      </c>
      <c r="P1069" s="158">
        <f>IFERROR(INDEX(MASTER_JAM!$Z$5:$AC$10,MATCH($I1069,MASTER_JAM!$Y$5:$Y$10,0),MATCH($J1069,MASTER_JAM!$Z$4:$AC$4,0))+0,0)</f>
        <v/>
      </c>
      <c r="Q1069" s="158">
        <f>IF($P1069=0,0,$P1069+IFERROR(INDEX(MASTER_JAM!$H$5:$H$94,MATCH($C1069,MASTER_JAM!$A$5:$A$94,0))+0,MASTER_JAM!$AC$15)/1000*(60/MASTER_JAM!$AC$12+60/MASTER_JAM!$AC$13)+MASTER_JAM!$AC$14)</f>
        <v/>
      </c>
      <c r="R1069" s="158">
        <f>IF(N($F1069)=0,0,$F1069/SUMIFS(INPUT_RITASE!$F$5:$F$20000,INPUT_RITASE!$A$5:$A$20000,$A1069,INPUT_RITASE!$B$5:$B$20000,$B1069,INPUT_RITASE!$C$5:$C$20000,$C1069,INPUT_RITASE!$D$5:$D$20000,$D1069))</f>
        <v/>
      </c>
      <c r="S1069" s="158">
        <f>IF($Q1069=0,0,$R1069*$P1069/$Q1069)</f>
        <v/>
      </c>
    </row>
    <row r="1070">
      <c r="A1070" s="155" t="n">
        <v>46107</v>
      </c>
      <c r="B1070" s="156" t="inlineStr">
        <is>
          <t>19-20</t>
        </is>
      </c>
      <c r="C1070" s="156" t="inlineStr">
        <is>
          <t>EX-1251</t>
        </is>
      </c>
      <c r="D1070" s="156" t="inlineStr">
        <is>
          <t>DT-527</t>
        </is>
      </c>
      <c r="E1070" s="156" t="inlineStr">
        <is>
          <t>OB</t>
        </is>
      </c>
      <c r="F1070" s="156" t="n">
        <v>4</v>
      </c>
      <c r="G1070" s="156" t="inlineStr"/>
      <c r="H1070" s="157">
        <f>IF($B1070="","",IF(ISNA(MATCH($B1070,MASTER_JAM!$Q$5:$Q$28,0)),"?",IF(MATCH($B1070,MASTER_JAM!$Q$5:$Q$28,0)&lt;=12,"DS","NS")))</f>
        <v/>
      </c>
      <c r="I1070" s="157">
        <f>IFERROR(INDEX(MASTER_JAM!$B$5:$B$94,MATCH($C1070,MASTER_JAM!$A$5:$A$94,0)),"")</f>
        <v/>
      </c>
      <c r="J1070" s="157">
        <f>IFERROR(INDEX(MASTER_JAM!$E$5:$E$94,MATCH($D1070,MASTER_JAM!$A$5:$A$94,0)),"")</f>
        <v/>
      </c>
      <c r="K1070" s="158">
        <f>IFERROR(INDEX(MASTER_JAM!$J$5:$O$12,MATCH($E1070,MASTER_JAM!$I$5:$I$12,0),MATCH($J1070,MASTER_JAM!$J$4:$O$4,0))+0,0)</f>
        <v/>
      </c>
      <c r="L1070" s="159">
        <f>N($F1070)*$K1070</f>
        <v/>
      </c>
      <c r="M1070" s="157">
        <f>IF($E1070="","",IF(OR($E1070="Coal",$E1070="Dirty Coal"),"MT","BCM"))</f>
        <v/>
      </c>
      <c r="N1070" s="157">
        <f>IF($E1070="","",IF(OR($E1070="Coal",$E1070="Dirty Coal"),"Coal","OB"))</f>
        <v/>
      </c>
      <c r="O1070" s="157">
        <f>IF($F1070="","",IF(COUNTIF(MASTER_JAM!$A$5:$A$94,$C1070)=0,"Digger tidak dikenal",IF($J1070="","Hauler tidak dikenal",IF($H1070="?","Jam salah",IF($K1070=0,"Faktor kosong",IF(SUMIFS(INPUT_DELAY!$E$5:$E$20000,INPUT_DELAY!$A$5:$A$20000,$A1070,INPUT_DELAY!$B$5:$B$20000,$B1070,INPUT_DELAY!$C$5:$C$20000,$C1070)+SUMIFS(INPUT_DELAY!$E$5:$E$20000,INPUT_DELAY!$A$5:$A$20000,$A1070,INPUT_DELAY!$B$5:$B$20000,$B1070,INPUT_DELAY!$C$5:$C$20000,"SEMUA")&gt;=60,"Delay 60 mnt tapi ada ritase","OK"))))))</f>
        <v/>
      </c>
      <c r="P1070" s="158">
        <f>IFERROR(INDEX(MASTER_JAM!$Z$5:$AC$10,MATCH($I1070,MASTER_JAM!$Y$5:$Y$10,0),MATCH($J1070,MASTER_JAM!$Z$4:$AC$4,0))+0,0)</f>
        <v/>
      </c>
      <c r="Q1070" s="158">
        <f>IF($P1070=0,0,$P1070+IFERROR(INDEX(MASTER_JAM!$H$5:$H$94,MATCH($C1070,MASTER_JAM!$A$5:$A$94,0))+0,MASTER_JAM!$AC$15)/1000*(60/MASTER_JAM!$AC$12+60/MASTER_JAM!$AC$13)+MASTER_JAM!$AC$14)</f>
        <v/>
      </c>
      <c r="R1070" s="158">
        <f>IF(N($F1070)=0,0,$F1070/SUMIFS(INPUT_RITASE!$F$5:$F$20000,INPUT_RITASE!$A$5:$A$20000,$A1070,INPUT_RITASE!$B$5:$B$20000,$B1070,INPUT_RITASE!$C$5:$C$20000,$C1070,INPUT_RITASE!$D$5:$D$20000,$D1070))</f>
        <v/>
      </c>
      <c r="S1070" s="158">
        <f>IF($Q1070=0,0,$R1070*$P1070/$Q1070)</f>
        <v/>
      </c>
    </row>
    <row r="1071">
      <c r="A1071" s="155" t="n">
        <v>46107</v>
      </c>
      <c r="B1071" s="156" t="inlineStr">
        <is>
          <t>19-20</t>
        </is>
      </c>
      <c r="C1071" s="156" t="inlineStr">
        <is>
          <t>EX-1251</t>
        </is>
      </c>
      <c r="D1071" s="156" t="inlineStr">
        <is>
          <t>DT-521</t>
        </is>
      </c>
      <c r="E1071" s="156" t="inlineStr">
        <is>
          <t>OB</t>
        </is>
      </c>
      <c r="F1071" s="156" t="n">
        <v>4</v>
      </c>
      <c r="G1071" s="156" t="inlineStr"/>
      <c r="H1071" s="157">
        <f>IF($B1071="","",IF(ISNA(MATCH($B1071,MASTER_JAM!$Q$5:$Q$28,0)),"?",IF(MATCH($B1071,MASTER_JAM!$Q$5:$Q$28,0)&lt;=12,"DS","NS")))</f>
        <v/>
      </c>
      <c r="I1071" s="157">
        <f>IFERROR(INDEX(MASTER_JAM!$B$5:$B$94,MATCH($C1071,MASTER_JAM!$A$5:$A$94,0)),"")</f>
        <v/>
      </c>
      <c r="J1071" s="157">
        <f>IFERROR(INDEX(MASTER_JAM!$E$5:$E$94,MATCH($D1071,MASTER_JAM!$A$5:$A$94,0)),"")</f>
        <v/>
      </c>
      <c r="K1071" s="158">
        <f>IFERROR(INDEX(MASTER_JAM!$J$5:$O$12,MATCH($E1071,MASTER_JAM!$I$5:$I$12,0),MATCH($J1071,MASTER_JAM!$J$4:$O$4,0))+0,0)</f>
        <v/>
      </c>
      <c r="L1071" s="159">
        <f>N($F1071)*$K1071</f>
        <v/>
      </c>
      <c r="M1071" s="157">
        <f>IF($E1071="","",IF(OR($E1071="Coal",$E1071="Dirty Coal"),"MT","BCM"))</f>
        <v/>
      </c>
      <c r="N1071" s="157">
        <f>IF($E1071="","",IF(OR($E1071="Coal",$E1071="Dirty Coal"),"Coal","OB"))</f>
        <v/>
      </c>
      <c r="O1071" s="157">
        <f>IF($F1071="","",IF(COUNTIF(MASTER_JAM!$A$5:$A$94,$C1071)=0,"Digger tidak dikenal",IF($J1071="","Hauler tidak dikenal",IF($H1071="?","Jam salah",IF($K1071=0,"Faktor kosong",IF(SUMIFS(INPUT_DELAY!$E$5:$E$20000,INPUT_DELAY!$A$5:$A$20000,$A1071,INPUT_DELAY!$B$5:$B$20000,$B1071,INPUT_DELAY!$C$5:$C$20000,$C1071)+SUMIFS(INPUT_DELAY!$E$5:$E$20000,INPUT_DELAY!$A$5:$A$20000,$A1071,INPUT_DELAY!$B$5:$B$20000,$B1071,INPUT_DELAY!$C$5:$C$20000,"SEMUA")&gt;=60,"Delay 60 mnt tapi ada ritase","OK"))))))</f>
        <v/>
      </c>
      <c r="P1071" s="158">
        <f>IFERROR(INDEX(MASTER_JAM!$Z$5:$AC$10,MATCH($I1071,MASTER_JAM!$Y$5:$Y$10,0),MATCH($J1071,MASTER_JAM!$Z$4:$AC$4,0))+0,0)</f>
        <v/>
      </c>
      <c r="Q1071" s="158">
        <f>IF($P1071=0,0,$P1071+IFERROR(INDEX(MASTER_JAM!$H$5:$H$94,MATCH($C1071,MASTER_JAM!$A$5:$A$94,0))+0,MASTER_JAM!$AC$15)/1000*(60/MASTER_JAM!$AC$12+60/MASTER_JAM!$AC$13)+MASTER_JAM!$AC$14)</f>
        <v/>
      </c>
      <c r="R1071" s="158">
        <f>IF(N($F1071)=0,0,$F1071/SUMIFS(INPUT_RITASE!$F$5:$F$20000,INPUT_RITASE!$A$5:$A$20000,$A1071,INPUT_RITASE!$B$5:$B$20000,$B1071,INPUT_RITASE!$C$5:$C$20000,$C1071,INPUT_RITASE!$D$5:$D$20000,$D1071))</f>
        <v/>
      </c>
      <c r="S1071" s="158">
        <f>IF($Q1071=0,0,$R1071*$P1071/$Q1071)</f>
        <v/>
      </c>
    </row>
    <row r="1072">
      <c r="A1072" s="155" t="n">
        <v>46107</v>
      </c>
      <c r="B1072" s="156" t="inlineStr">
        <is>
          <t>01-02</t>
        </is>
      </c>
      <c r="C1072" s="156" t="inlineStr">
        <is>
          <t>EX-1251</t>
        </is>
      </c>
      <c r="D1072" s="156" t="inlineStr">
        <is>
          <t>DT-523</t>
        </is>
      </c>
      <c r="E1072" s="156" t="inlineStr">
        <is>
          <t>OB</t>
        </is>
      </c>
      <c r="F1072" s="156" t="n">
        <v>4</v>
      </c>
      <c r="G1072" s="156" t="inlineStr"/>
      <c r="H1072" s="157">
        <f>IF($B1072="","",IF(ISNA(MATCH($B1072,MASTER_JAM!$Q$5:$Q$28,0)),"?",IF(MATCH($B1072,MASTER_JAM!$Q$5:$Q$28,0)&lt;=12,"DS","NS")))</f>
        <v/>
      </c>
      <c r="I1072" s="157">
        <f>IFERROR(INDEX(MASTER_JAM!$B$5:$B$94,MATCH($C1072,MASTER_JAM!$A$5:$A$94,0)),"")</f>
        <v/>
      </c>
      <c r="J1072" s="157">
        <f>IFERROR(INDEX(MASTER_JAM!$E$5:$E$94,MATCH($D1072,MASTER_JAM!$A$5:$A$94,0)),"")</f>
        <v/>
      </c>
      <c r="K1072" s="158">
        <f>IFERROR(INDEX(MASTER_JAM!$J$5:$O$12,MATCH($E1072,MASTER_JAM!$I$5:$I$12,0),MATCH($J1072,MASTER_JAM!$J$4:$O$4,0))+0,0)</f>
        <v/>
      </c>
      <c r="L1072" s="159">
        <f>N($F1072)*$K1072</f>
        <v/>
      </c>
      <c r="M1072" s="157">
        <f>IF($E1072="","",IF(OR($E1072="Coal",$E1072="Dirty Coal"),"MT","BCM"))</f>
        <v/>
      </c>
      <c r="N1072" s="157">
        <f>IF($E1072="","",IF(OR($E1072="Coal",$E1072="Dirty Coal"),"Coal","OB"))</f>
        <v/>
      </c>
      <c r="O1072" s="157">
        <f>IF($F1072="","",IF(COUNTIF(MASTER_JAM!$A$5:$A$94,$C1072)=0,"Digger tidak dikenal",IF($J1072="","Hauler tidak dikenal",IF($H1072="?","Jam salah",IF($K1072=0,"Faktor kosong",IF(SUMIFS(INPUT_DELAY!$E$5:$E$20000,INPUT_DELAY!$A$5:$A$20000,$A1072,INPUT_DELAY!$B$5:$B$20000,$B1072,INPUT_DELAY!$C$5:$C$20000,$C1072)+SUMIFS(INPUT_DELAY!$E$5:$E$20000,INPUT_DELAY!$A$5:$A$20000,$A1072,INPUT_DELAY!$B$5:$B$20000,$B1072,INPUT_DELAY!$C$5:$C$20000,"SEMUA")&gt;=60,"Delay 60 mnt tapi ada ritase","OK"))))))</f>
        <v/>
      </c>
      <c r="P1072" s="158">
        <f>IFERROR(INDEX(MASTER_JAM!$Z$5:$AC$10,MATCH($I1072,MASTER_JAM!$Y$5:$Y$10,0),MATCH($J1072,MASTER_JAM!$Z$4:$AC$4,0))+0,0)</f>
        <v/>
      </c>
      <c r="Q1072" s="158">
        <f>IF($P1072=0,0,$P1072+IFERROR(INDEX(MASTER_JAM!$H$5:$H$94,MATCH($C1072,MASTER_JAM!$A$5:$A$94,0))+0,MASTER_JAM!$AC$15)/1000*(60/MASTER_JAM!$AC$12+60/MASTER_JAM!$AC$13)+MASTER_JAM!$AC$14)</f>
        <v/>
      </c>
      <c r="R1072" s="158">
        <f>IF(N($F1072)=0,0,$F1072/SUMIFS(INPUT_RITASE!$F$5:$F$20000,INPUT_RITASE!$A$5:$A$20000,$A1072,INPUT_RITASE!$B$5:$B$20000,$B1072,INPUT_RITASE!$C$5:$C$20000,$C1072,INPUT_RITASE!$D$5:$D$20000,$D1072))</f>
        <v/>
      </c>
      <c r="S1072" s="158">
        <f>IF($Q1072=0,0,$R1072*$P1072/$Q1072)</f>
        <v/>
      </c>
    </row>
    <row r="1073">
      <c r="A1073" s="155" t="n">
        <v>46107</v>
      </c>
      <c r="B1073" s="156" t="inlineStr">
        <is>
          <t>01-02</t>
        </is>
      </c>
      <c r="C1073" s="156" t="inlineStr">
        <is>
          <t>EX-1251</t>
        </is>
      </c>
      <c r="D1073" s="156" t="inlineStr">
        <is>
          <t>DT-527</t>
        </is>
      </c>
      <c r="E1073" s="156" t="inlineStr">
        <is>
          <t>OB</t>
        </is>
      </c>
      <c r="F1073" s="156" t="n">
        <v>4</v>
      </c>
      <c r="G1073" s="156" t="inlineStr"/>
      <c r="H1073" s="157">
        <f>IF($B1073="","",IF(ISNA(MATCH($B1073,MASTER_JAM!$Q$5:$Q$28,0)),"?",IF(MATCH($B1073,MASTER_JAM!$Q$5:$Q$28,0)&lt;=12,"DS","NS")))</f>
        <v/>
      </c>
      <c r="I1073" s="157">
        <f>IFERROR(INDEX(MASTER_JAM!$B$5:$B$94,MATCH($C1073,MASTER_JAM!$A$5:$A$94,0)),"")</f>
        <v/>
      </c>
      <c r="J1073" s="157">
        <f>IFERROR(INDEX(MASTER_JAM!$E$5:$E$94,MATCH($D1073,MASTER_JAM!$A$5:$A$94,0)),"")</f>
        <v/>
      </c>
      <c r="K1073" s="158">
        <f>IFERROR(INDEX(MASTER_JAM!$J$5:$O$12,MATCH($E1073,MASTER_JAM!$I$5:$I$12,0),MATCH($J1073,MASTER_JAM!$J$4:$O$4,0))+0,0)</f>
        <v/>
      </c>
      <c r="L1073" s="159">
        <f>N($F1073)*$K1073</f>
        <v/>
      </c>
      <c r="M1073" s="157">
        <f>IF($E1073="","",IF(OR($E1073="Coal",$E1073="Dirty Coal"),"MT","BCM"))</f>
        <v/>
      </c>
      <c r="N1073" s="157">
        <f>IF($E1073="","",IF(OR($E1073="Coal",$E1073="Dirty Coal"),"Coal","OB"))</f>
        <v/>
      </c>
      <c r="O1073" s="157">
        <f>IF($F1073="","",IF(COUNTIF(MASTER_JAM!$A$5:$A$94,$C1073)=0,"Digger tidak dikenal",IF($J1073="","Hauler tidak dikenal",IF($H1073="?","Jam salah",IF($K1073=0,"Faktor kosong",IF(SUMIFS(INPUT_DELAY!$E$5:$E$20000,INPUT_DELAY!$A$5:$A$20000,$A1073,INPUT_DELAY!$B$5:$B$20000,$B1073,INPUT_DELAY!$C$5:$C$20000,$C1073)+SUMIFS(INPUT_DELAY!$E$5:$E$20000,INPUT_DELAY!$A$5:$A$20000,$A1073,INPUT_DELAY!$B$5:$B$20000,$B1073,INPUT_DELAY!$C$5:$C$20000,"SEMUA")&gt;=60,"Delay 60 mnt tapi ada ritase","OK"))))))</f>
        <v/>
      </c>
      <c r="P1073" s="158">
        <f>IFERROR(INDEX(MASTER_JAM!$Z$5:$AC$10,MATCH($I1073,MASTER_JAM!$Y$5:$Y$10,0),MATCH($J1073,MASTER_JAM!$Z$4:$AC$4,0))+0,0)</f>
        <v/>
      </c>
      <c r="Q1073" s="158">
        <f>IF($P1073=0,0,$P1073+IFERROR(INDEX(MASTER_JAM!$H$5:$H$94,MATCH($C1073,MASTER_JAM!$A$5:$A$94,0))+0,MASTER_JAM!$AC$15)/1000*(60/MASTER_JAM!$AC$12+60/MASTER_JAM!$AC$13)+MASTER_JAM!$AC$14)</f>
        <v/>
      </c>
      <c r="R1073" s="158">
        <f>IF(N($F1073)=0,0,$F1073/SUMIFS(INPUT_RITASE!$F$5:$F$20000,INPUT_RITASE!$A$5:$A$20000,$A1073,INPUT_RITASE!$B$5:$B$20000,$B1073,INPUT_RITASE!$C$5:$C$20000,$C1073,INPUT_RITASE!$D$5:$D$20000,$D1073))</f>
        <v/>
      </c>
      <c r="S1073" s="158">
        <f>IF($Q1073=0,0,$R1073*$P1073/$Q1073)</f>
        <v/>
      </c>
    </row>
    <row r="1074">
      <c r="A1074" s="155" t="n">
        <v>46107</v>
      </c>
      <c r="B1074" s="156" t="inlineStr">
        <is>
          <t>01-02</t>
        </is>
      </c>
      <c r="C1074" s="156" t="inlineStr">
        <is>
          <t>EX-1251</t>
        </is>
      </c>
      <c r="D1074" s="156" t="inlineStr">
        <is>
          <t>DT-504</t>
        </is>
      </c>
      <c r="E1074" s="156" t="inlineStr">
        <is>
          <t>OB</t>
        </is>
      </c>
      <c r="F1074" s="156" t="n">
        <v>4</v>
      </c>
      <c r="G1074" s="156" t="inlineStr"/>
      <c r="H1074" s="157">
        <f>IF($B1074="","",IF(ISNA(MATCH($B1074,MASTER_JAM!$Q$5:$Q$28,0)),"?",IF(MATCH($B1074,MASTER_JAM!$Q$5:$Q$28,0)&lt;=12,"DS","NS")))</f>
        <v/>
      </c>
      <c r="I1074" s="157">
        <f>IFERROR(INDEX(MASTER_JAM!$B$5:$B$94,MATCH($C1074,MASTER_JAM!$A$5:$A$94,0)),"")</f>
        <v/>
      </c>
      <c r="J1074" s="157">
        <f>IFERROR(INDEX(MASTER_JAM!$E$5:$E$94,MATCH($D1074,MASTER_JAM!$A$5:$A$94,0)),"")</f>
        <v/>
      </c>
      <c r="K1074" s="158">
        <f>IFERROR(INDEX(MASTER_JAM!$J$5:$O$12,MATCH($E1074,MASTER_JAM!$I$5:$I$12,0),MATCH($J1074,MASTER_JAM!$J$4:$O$4,0))+0,0)</f>
        <v/>
      </c>
      <c r="L1074" s="159">
        <f>N($F1074)*$K1074</f>
        <v/>
      </c>
      <c r="M1074" s="157">
        <f>IF($E1074="","",IF(OR($E1074="Coal",$E1074="Dirty Coal"),"MT","BCM"))</f>
        <v/>
      </c>
      <c r="N1074" s="157">
        <f>IF($E1074="","",IF(OR($E1074="Coal",$E1074="Dirty Coal"),"Coal","OB"))</f>
        <v/>
      </c>
      <c r="O1074" s="157">
        <f>IF($F1074="","",IF(COUNTIF(MASTER_JAM!$A$5:$A$94,$C1074)=0,"Digger tidak dikenal",IF($J1074="","Hauler tidak dikenal",IF($H1074="?","Jam salah",IF($K1074=0,"Faktor kosong",IF(SUMIFS(INPUT_DELAY!$E$5:$E$20000,INPUT_DELAY!$A$5:$A$20000,$A1074,INPUT_DELAY!$B$5:$B$20000,$B1074,INPUT_DELAY!$C$5:$C$20000,$C1074)+SUMIFS(INPUT_DELAY!$E$5:$E$20000,INPUT_DELAY!$A$5:$A$20000,$A1074,INPUT_DELAY!$B$5:$B$20000,$B1074,INPUT_DELAY!$C$5:$C$20000,"SEMUA")&gt;=60,"Delay 60 mnt tapi ada ritase","OK"))))))</f>
        <v/>
      </c>
      <c r="P1074" s="158">
        <f>IFERROR(INDEX(MASTER_JAM!$Z$5:$AC$10,MATCH($I1074,MASTER_JAM!$Y$5:$Y$10,0),MATCH($J1074,MASTER_JAM!$Z$4:$AC$4,0))+0,0)</f>
        <v/>
      </c>
      <c r="Q1074" s="158">
        <f>IF($P1074=0,0,$P1074+IFERROR(INDEX(MASTER_JAM!$H$5:$H$94,MATCH($C1074,MASTER_JAM!$A$5:$A$94,0))+0,MASTER_JAM!$AC$15)/1000*(60/MASTER_JAM!$AC$12+60/MASTER_JAM!$AC$13)+MASTER_JAM!$AC$14)</f>
        <v/>
      </c>
      <c r="R1074" s="158">
        <f>IF(N($F1074)=0,0,$F1074/SUMIFS(INPUT_RITASE!$F$5:$F$20000,INPUT_RITASE!$A$5:$A$20000,$A1074,INPUT_RITASE!$B$5:$B$20000,$B1074,INPUT_RITASE!$C$5:$C$20000,$C1074,INPUT_RITASE!$D$5:$D$20000,$D1074))</f>
        <v/>
      </c>
      <c r="S1074" s="158">
        <f>IF($Q1074=0,0,$R1074*$P1074/$Q1074)</f>
        <v/>
      </c>
    </row>
    <row r="1075">
      <c r="A1075" s="155" t="n">
        <v>46107</v>
      </c>
      <c r="B1075" s="156" t="inlineStr">
        <is>
          <t>01-02</t>
        </is>
      </c>
      <c r="C1075" s="156" t="inlineStr">
        <is>
          <t>EX-1251</t>
        </is>
      </c>
      <c r="D1075" s="156" t="inlineStr">
        <is>
          <t>DT-508</t>
        </is>
      </c>
      <c r="E1075" s="156" t="inlineStr">
        <is>
          <t>OB</t>
        </is>
      </c>
      <c r="F1075" s="156" t="n">
        <v>4</v>
      </c>
      <c r="G1075" s="156" t="inlineStr"/>
      <c r="H1075" s="157">
        <f>IF($B1075="","",IF(ISNA(MATCH($B1075,MASTER_JAM!$Q$5:$Q$28,0)),"?",IF(MATCH($B1075,MASTER_JAM!$Q$5:$Q$28,0)&lt;=12,"DS","NS")))</f>
        <v/>
      </c>
      <c r="I1075" s="157">
        <f>IFERROR(INDEX(MASTER_JAM!$B$5:$B$94,MATCH($C1075,MASTER_JAM!$A$5:$A$94,0)),"")</f>
        <v/>
      </c>
      <c r="J1075" s="157">
        <f>IFERROR(INDEX(MASTER_JAM!$E$5:$E$94,MATCH($D1075,MASTER_JAM!$A$5:$A$94,0)),"")</f>
        <v/>
      </c>
      <c r="K1075" s="158">
        <f>IFERROR(INDEX(MASTER_JAM!$J$5:$O$12,MATCH($E1075,MASTER_JAM!$I$5:$I$12,0),MATCH($J1075,MASTER_JAM!$J$4:$O$4,0))+0,0)</f>
        <v/>
      </c>
      <c r="L1075" s="159">
        <f>N($F1075)*$K1075</f>
        <v/>
      </c>
      <c r="M1075" s="157">
        <f>IF($E1075="","",IF(OR($E1075="Coal",$E1075="Dirty Coal"),"MT","BCM"))</f>
        <v/>
      </c>
      <c r="N1075" s="157">
        <f>IF($E1075="","",IF(OR($E1075="Coal",$E1075="Dirty Coal"),"Coal","OB"))</f>
        <v/>
      </c>
      <c r="O1075" s="157">
        <f>IF($F1075="","",IF(COUNTIF(MASTER_JAM!$A$5:$A$94,$C1075)=0,"Digger tidak dikenal",IF($J1075="","Hauler tidak dikenal",IF($H1075="?","Jam salah",IF($K1075=0,"Faktor kosong",IF(SUMIFS(INPUT_DELAY!$E$5:$E$20000,INPUT_DELAY!$A$5:$A$20000,$A1075,INPUT_DELAY!$B$5:$B$20000,$B1075,INPUT_DELAY!$C$5:$C$20000,$C1075)+SUMIFS(INPUT_DELAY!$E$5:$E$20000,INPUT_DELAY!$A$5:$A$20000,$A1075,INPUT_DELAY!$B$5:$B$20000,$B1075,INPUT_DELAY!$C$5:$C$20000,"SEMUA")&gt;=60,"Delay 60 mnt tapi ada ritase","OK"))))))</f>
        <v/>
      </c>
      <c r="P1075" s="158">
        <f>IFERROR(INDEX(MASTER_JAM!$Z$5:$AC$10,MATCH($I1075,MASTER_JAM!$Y$5:$Y$10,0),MATCH($J1075,MASTER_JAM!$Z$4:$AC$4,0))+0,0)</f>
        <v/>
      </c>
      <c r="Q1075" s="158">
        <f>IF($P1075=0,0,$P1075+IFERROR(INDEX(MASTER_JAM!$H$5:$H$94,MATCH($C1075,MASTER_JAM!$A$5:$A$94,0))+0,MASTER_JAM!$AC$15)/1000*(60/MASTER_JAM!$AC$12+60/MASTER_JAM!$AC$13)+MASTER_JAM!$AC$14)</f>
        <v/>
      </c>
      <c r="R1075" s="158">
        <f>IF(N($F1075)=0,0,$F1075/SUMIFS(INPUT_RITASE!$F$5:$F$20000,INPUT_RITASE!$A$5:$A$20000,$A1075,INPUT_RITASE!$B$5:$B$20000,$B1075,INPUT_RITASE!$C$5:$C$20000,$C1075,INPUT_RITASE!$D$5:$D$20000,$D1075))</f>
        <v/>
      </c>
      <c r="S1075" s="158">
        <f>IF($Q1075=0,0,$R1075*$P1075/$Q1075)</f>
        <v/>
      </c>
    </row>
    <row r="1076">
      <c r="A1076" s="155" t="n">
        <v>46107</v>
      </c>
      <c r="B1076" s="156" t="inlineStr">
        <is>
          <t>01-02</t>
        </is>
      </c>
      <c r="C1076" s="156" t="inlineStr">
        <is>
          <t>EX-1251</t>
        </is>
      </c>
      <c r="D1076" s="156" t="inlineStr">
        <is>
          <t>DT-503</t>
        </is>
      </c>
      <c r="E1076" s="156" t="inlineStr">
        <is>
          <t>OB</t>
        </is>
      </c>
      <c r="F1076" s="156" t="n">
        <v>4</v>
      </c>
      <c r="G1076" s="156" t="inlineStr"/>
      <c r="H1076" s="157">
        <f>IF($B1076="","",IF(ISNA(MATCH($B1076,MASTER_JAM!$Q$5:$Q$28,0)),"?",IF(MATCH($B1076,MASTER_JAM!$Q$5:$Q$28,0)&lt;=12,"DS","NS")))</f>
        <v/>
      </c>
      <c r="I1076" s="157">
        <f>IFERROR(INDEX(MASTER_JAM!$B$5:$B$94,MATCH($C1076,MASTER_JAM!$A$5:$A$94,0)),"")</f>
        <v/>
      </c>
      <c r="J1076" s="157">
        <f>IFERROR(INDEX(MASTER_JAM!$E$5:$E$94,MATCH($D1076,MASTER_JAM!$A$5:$A$94,0)),"")</f>
        <v/>
      </c>
      <c r="K1076" s="158">
        <f>IFERROR(INDEX(MASTER_JAM!$J$5:$O$12,MATCH($E1076,MASTER_JAM!$I$5:$I$12,0),MATCH($J1076,MASTER_JAM!$J$4:$O$4,0))+0,0)</f>
        <v/>
      </c>
      <c r="L1076" s="159">
        <f>N($F1076)*$K1076</f>
        <v/>
      </c>
      <c r="M1076" s="157">
        <f>IF($E1076="","",IF(OR($E1076="Coal",$E1076="Dirty Coal"),"MT","BCM"))</f>
        <v/>
      </c>
      <c r="N1076" s="157">
        <f>IF($E1076="","",IF(OR($E1076="Coal",$E1076="Dirty Coal"),"Coal","OB"))</f>
        <v/>
      </c>
      <c r="O1076" s="157">
        <f>IF($F1076="","",IF(COUNTIF(MASTER_JAM!$A$5:$A$94,$C1076)=0,"Digger tidak dikenal",IF($J1076="","Hauler tidak dikenal",IF($H1076="?","Jam salah",IF($K1076=0,"Faktor kosong",IF(SUMIFS(INPUT_DELAY!$E$5:$E$20000,INPUT_DELAY!$A$5:$A$20000,$A1076,INPUT_DELAY!$B$5:$B$20000,$B1076,INPUT_DELAY!$C$5:$C$20000,$C1076)+SUMIFS(INPUT_DELAY!$E$5:$E$20000,INPUT_DELAY!$A$5:$A$20000,$A1076,INPUT_DELAY!$B$5:$B$20000,$B1076,INPUT_DELAY!$C$5:$C$20000,"SEMUA")&gt;=60,"Delay 60 mnt tapi ada ritase","OK"))))))</f>
        <v/>
      </c>
      <c r="P1076" s="158">
        <f>IFERROR(INDEX(MASTER_JAM!$Z$5:$AC$10,MATCH($I1076,MASTER_JAM!$Y$5:$Y$10,0),MATCH($J1076,MASTER_JAM!$Z$4:$AC$4,0))+0,0)</f>
        <v/>
      </c>
      <c r="Q1076" s="158">
        <f>IF($P1076=0,0,$P1076+IFERROR(INDEX(MASTER_JAM!$H$5:$H$94,MATCH($C1076,MASTER_JAM!$A$5:$A$94,0))+0,MASTER_JAM!$AC$15)/1000*(60/MASTER_JAM!$AC$12+60/MASTER_JAM!$AC$13)+MASTER_JAM!$AC$14)</f>
        <v/>
      </c>
      <c r="R1076" s="158">
        <f>IF(N($F1076)=0,0,$F1076/SUMIFS(INPUT_RITASE!$F$5:$F$20000,INPUT_RITASE!$A$5:$A$20000,$A1076,INPUT_RITASE!$B$5:$B$20000,$B1076,INPUT_RITASE!$C$5:$C$20000,$C1076,INPUT_RITASE!$D$5:$D$20000,$D1076))</f>
        <v/>
      </c>
      <c r="S1076" s="158">
        <f>IF($Q1076=0,0,$R1076*$P1076/$Q1076)</f>
        <v/>
      </c>
    </row>
    <row r="1077">
      <c r="A1077" s="155" t="n">
        <v>46107</v>
      </c>
      <c r="B1077" s="156" t="inlineStr">
        <is>
          <t>01-02</t>
        </is>
      </c>
      <c r="C1077" s="156" t="inlineStr">
        <is>
          <t>EX-1251</t>
        </is>
      </c>
      <c r="D1077" s="156" t="inlineStr">
        <is>
          <t>DT-506</t>
        </is>
      </c>
      <c r="E1077" s="156" t="inlineStr">
        <is>
          <t>OB</t>
        </is>
      </c>
      <c r="F1077" s="156" t="n">
        <v>4</v>
      </c>
      <c r="G1077" s="156" t="inlineStr"/>
      <c r="H1077" s="157">
        <f>IF($B1077="","",IF(ISNA(MATCH($B1077,MASTER_JAM!$Q$5:$Q$28,0)),"?",IF(MATCH($B1077,MASTER_JAM!$Q$5:$Q$28,0)&lt;=12,"DS","NS")))</f>
        <v/>
      </c>
      <c r="I1077" s="157">
        <f>IFERROR(INDEX(MASTER_JAM!$B$5:$B$94,MATCH($C1077,MASTER_JAM!$A$5:$A$94,0)),"")</f>
        <v/>
      </c>
      <c r="J1077" s="157">
        <f>IFERROR(INDEX(MASTER_JAM!$E$5:$E$94,MATCH($D1077,MASTER_JAM!$A$5:$A$94,0)),"")</f>
        <v/>
      </c>
      <c r="K1077" s="158">
        <f>IFERROR(INDEX(MASTER_JAM!$J$5:$O$12,MATCH($E1077,MASTER_JAM!$I$5:$I$12,0),MATCH($J1077,MASTER_JAM!$J$4:$O$4,0))+0,0)</f>
        <v/>
      </c>
      <c r="L1077" s="159">
        <f>N($F1077)*$K1077</f>
        <v/>
      </c>
      <c r="M1077" s="157">
        <f>IF($E1077="","",IF(OR($E1077="Coal",$E1077="Dirty Coal"),"MT","BCM"))</f>
        <v/>
      </c>
      <c r="N1077" s="157">
        <f>IF($E1077="","",IF(OR($E1077="Coal",$E1077="Dirty Coal"),"Coal","OB"))</f>
        <v/>
      </c>
      <c r="O1077" s="157">
        <f>IF($F1077="","",IF(COUNTIF(MASTER_JAM!$A$5:$A$94,$C1077)=0,"Digger tidak dikenal",IF($J1077="","Hauler tidak dikenal",IF($H1077="?","Jam salah",IF($K1077=0,"Faktor kosong",IF(SUMIFS(INPUT_DELAY!$E$5:$E$20000,INPUT_DELAY!$A$5:$A$20000,$A1077,INPUT_DELAY!$B$5:$B$20000,$B1077,INPUT_DELAY!$C$5:$C$20000,$C1077)+SUMIFS(INPUT_DELAY!$E$5:$E$20000,INPUT_DELAY!$A$5:$A$20000,$A1077,INPUT_DELAY!$B$5:$B$20000,$B1077,INPUT_DELAY!$C$5:$C$20000,"SEMUA")&gt;=60,"Delay 60 mnt tapi ada ritase","OK"))))))</f>
        <v/>
      </c>
      <c r="P1077" s="158">
        <f>IFERROR(INDEX(MASTER_JAM!$Z$5:$AC$10,MATCH($I1077,MASTER_JAM!$Y$5:$Y$10,0),MATCH($J1077,MASTER_JAM!$Z$4:$AC$4,0))+0,0)</f>
        <v/>
      </c>
      <c r="Q1077" s="158">
        <f>IF($P1077=0,0,$P1077+IFERROR(INDEX(MASTER_JAM!$H$5:$H$94,MATCH($C1077,MASTER_JAM!$A$5:$A$94,0))+0,MASTER_JAM!$AC$15)/1000*(60/MASTER_JAM!$AC$12+60/MASTER_JAM!$AC$13)+MASTER_JAM!$AC$14)</f>
        <v/>
      </c>
      <c r="R1077" s="158">
        <f>IF(N($F1077)=0,0,$F1077/SUMIFS(INPUT_RITASE!$F$5:$F$20000,INPUT_RITASE!$A$5:$A$20000,$A1077,INPUT_RITASE!$B$5:$B$20000,$B1077,INPUT_RITASE!$C$5:$C$20000,$C1077,INPUT_RITASE!$D$5:$D$20000,$D1077))</f>
        <v/>
      </c>
      <c r="S1077" s="158">
        <f>IF($Q1077=0,0,$R1077*$P1077/$Q1077)</f>
        <v/>
      </c>
    </row>
    <row r="1078">
      <c r="A1078" s="155" t="n">
        <v>46107</v>
      </c>
      <c r="B1078" s="156" t="inlineStr">
        <is>
          <t>04-05</t>
        </is>
      </c>
      <c r="C1078" s="156" t="inlineStr">
        <is>
          <t>EX-1251</t>
        </is>
      </c>
      <c r="D1078" s="156" t="inlineStr">
        <is>
          <t>DT-504</t>
        </is>
      </c>
      <c r="E1078" s="156" t="inlineStr">
        <is>
          <t>OB</t>
        </is>
      </c>
      <c r="F1078" s="156" t="n">
        <v>4</v>
      </c>
      <c r="G1078" s="156" t="inlineStr"/>
      <c r="H1078" s="157">
        <f>IF($B1078="","",IF(ISNA(MATCH($B1078,MASTER_JAM!$Q$5:$Q$28,0)),"?",IF(MATCH($B1078,MASTER_JAM!$Q$5:$Q$28,0)&lt;=12,"DS","NS")))</f>
        <v/>
      </c>
      <c r="I1078" s="157">
        <f>IFERROR(INDEX(MASTER_JAM!$B$5:$B$94,MATCH($C1078,MASTER_JAM!$A$5:$A$94,0)),"")</f>
        <v/>
      </c>
      <c r="J1078" s="157">
        <f>IFERROR(INDEX(MASTER_JAM!$E$5:$E$94,MATCH($D1078,MASTER_JAM!$A$5:$A$94,0)),"")</f>
        <v/>
      </c>
      <c r="K1078" s="158">
        <f>IFERROR(INDEX(MASTER_JAM!$J$5:$O$12,MATCH($E1078,MASTER_JAM!$I$5:$I$12,0),MATCH($J1078,MASTER_JAM!$J$4:$O$4,0))+0,0)</f>
        <v/>
      </c>
      <c r="L1078" s="159">
        <f>N($F1078)*$K1078</f>
        <v/>
      </c>
      <c r="M1078" s="157">
        <f>IF($E1078="","",IF(OR($E1078="Coal",$E1078="Dirty Coal"),"MT","BCM"))</f>
        <v/>
      </c>
      <c r="N1078" s="157">
        <f>IF($E1078="","",IF(OR($E1078="Coal",$E1078="Dirty Coal"),"Coal","OB"))</f>
        <v/>
      </c>
      <c r="O1078" s="157">
        <f>IF($F1078="","",IF(COUNTIF(MASTER_JAM!$A$5:$A$94,$C1078)=0,"Digger tidak dikenal",IF($J1078="","Hauler tidak dikenal",IF($H1078="?","Jam salah",IF($K1078=0,"Faktor kosong",IF(SUMIFS(INPUT_DELAY!$E$5:$E$20000,INPUT_DELAY!$A$5:$A$20000,$A1078,INPUT_DELAY!$B$5:$B$20000,$B1078,INPUT_DELAY!$C$5:$C$20000,$C1078)+SUMIFS(INPUT_DELAY!$E$5:$E$20000,INPUT_DELAY!$A$5:$A$20000,$A1078,INPUT_DELAY!$B$5:$B$20000,$B1078,INPUT_DELAY!$C$5:$C$20000,"SEMUA")&gt;=60,"Delay 60 mnt tapi ada ritase","OK"))))))</f>
        <v/>
      </c>
      <c r="P1078" s="158">
        <f>IFERROR(INDEX(MASTER_JAM!$Z$5:$AC$10,MATCH($I1078,MASTER_JAM!$Y$5:$Y$10,0),MATCH($J1078,MASTER_JAM!$Z$4:$AC$4,0))+0,0)</f>
        <v/>
      </c>
      <c r="Q1078" s="158">
        <f>IF($P1078=0,0,$P1078+IFERROR(INDEX(MASTER_JAM!$H$5:$H$94,MATCH($C1078,MASTER_JAM!$A$5:$A$94,0))+0,MASTER_JAM!$AC$15)/1000*(60/MASTER_JAM!$AC$12+60/MASTER_JAM!$AC$13)+MASTER_JAM!$AC$14)</f>
        <v/>
      </c>
      <c r="R1078" s="158">
        <f>IF(N($F1078)=0,0,$F1078/SUMIFS(INPUT_RITASE!$F$5:$F$20000,INPUT_RITASE!$A$5:$A$20000,$A1078,INPUT_RITASE!$B$5:$B$20000,$B1078,INPUT_RITASE!$C$5:$C$20000,$C1078,INPUT_RITASE!$D$5:$D$20000,$D1078))</f>
        <v/>
      </c>
      <c r="S1078" s="158">
        <f>IF($Q1078=0,0,$R1078*$P1078/$Q1078)</f>
        <v/>
      </c>
    </row>
    <row r="1079">
      <c r="A1079" s="155" t="n">
        <v>46107</v>
      </c>
      <c r="B1079" s="156" t="inlineStr">
        <is>
          <t>04-05</t>
        </is>
      </c>
      <c r="C1079" s="156" t="inlineStr">
        <is>
          <t>EX-1251</t>
        </is>
      </c>
      <c r="D1079" s="156" t="inlineStr">
        <is>
          <t>DT-506</t>
        </is>
      </c>
      <c r="E1079" s="156" t="inlineStr">
        <is>
          <t>OB</t>
        </is>
      </c>
      <c r="F1079" s="156" t="n">
        <v>4</v>
      </c>
      <c r="G1079" s="156" t="inlineStr"/>
      <c r="H1079" s="157">
        <f>IF($B1079="","",IF(ISNA(MATCH($B1079,MASTER_JAM!$Q$5:$Q$28,0)),"?",IF(MATCH($B1079,MASTER_JAM!$Q$5:$Q$28,0)&lt;=12,"DS","NS")))</f>
        <v/>
      </c>
      <c r="I1079" s="157">
        <f>IFERROR(INDEX(MASTER_JAM!$B$5:$B$94,MATCH($C1079,MASTER_JAM!$A$5:$A$94,0)),"")</f>
        <v/>
      </c>
      <c r="J1079" s="157">
        <f>IFERROR(INDEX(MASTER_JAM!$E$5:$E$94,MATCH($D1079,MASTER_JAM!$A$5:$A$94,0)),"")</f>
        <v/>
      </c>
      <c r="K1079" s="158">
        <f>IFERROR(INDEX(MASTER_JAM!$J$5:$O$12,MATCH($E1079,MASTER_JAM!$I$5:$I$12,0),MATCH($J1079,MASTER_JAM!$J$4:$O$4,0))+0,0)</f>
        <v/>
      </c>
      <c r="L1079" s="159">
        <f>N($F1079)*$K1079</f>
        <v/>
      </c>
      <c r="M1079" s="157">
        <f>IF($E1079="","",IF(OR($E1079="Coal",$E1079="Dirty Coal"),"MT","BCM"))</f>
        <v/>
      </c>
      <c r="N1079" s="157">
        <f>IF($E1079="","",IF(OR($E1079="Coal",$E1079="Dirty Coal"),"Coal","OB"))</f>
        <v/>
      </c>
      <c r="O1079" s="157">
        <f>IF($F1079="","",IF(COUNTIF(MASTER_JAM!$A$5:$A$94,$C1079)=0,"Digger tidak dikenal",IF($J1079="","Hauler tidak dikenal",IF($H1079="?","Jam salah",IF($K1079=0,"Faktor kosong",IF(SUMIFS(INPUT_DELAY!$E$5:$E$20000,INPUT_DELAY!$A$5:$A$20000,$A1079,INPUT_DELAY!$B$5:$B$20000,$B1079,INPUT_DELAY!$C$5:$C$20000,$C1079)+SUMIFS(INPUT_DELAY!$E$5:$E$20000,INPUT_DELAY!$A$5:$A$20000,$A1079,INPUT_DELAY!$B$5:$B$20000,$B1079,INPUT_DELAY!$C$5:$C$20000,"SEMUA")&gt;=60,"Delay 60 mnt tapi ada ritase","OK"))))))</f>
        <v/>
      </c>
      <c r="P1079" s="158">
        <f>IFERROR(INDEX(MASTER_JAM!$Z$5:$AC$10,MATCH($I1079,MASTER_JAM!$Y$5:$Y$10,0),MATCH($J1079,MASTER_JAM!$Z$4:$AC$4,0))+0,0)</f>
        <v/>
      </c>
      <c r="Q1079" s="158">
        <f>IF($P1079=0,0,$P1079+IFERROR(INDEX(MASTER_JAM!$H$5:$H$94,MATCH($C1079,MASTER_JAM!$A$5:$A$94,0))+0,MASTER_JAM!$AC$15)/1000*(60/MASTER_JAM!$AC$12+60/MASTER_JAM!$AC$13)+MASTER_JAM!$AC$14)</f>
        <v/>
      </c>
      <c r="R1079" s="158">
        <f>IF(N($F1079)=0,0,$F1079/SUMIFS(INPUT_RITASE!$F$5:$F$20000,INPUT_RITASE!$A$5:$A$20000,$A1079,INPUT_RITASE!$B$5:$B$20000,$B1079,INPUT_RITASE!$C$5:$C$20000,$C1079,INPUT_RITASE!$D$5:$D$20000,$D1079))</f>
        <v/>
      </c>
      <c r="S1079" s="158">
        <f>IF($Q1079=0,0,$R1079*$P1079/$Q1079)</f>
        <v/>
      </c>
    </row>
    <row r="1080">
      <c r="A1080" s="155" t="n">
        <v>46107</v>
      </c>
      <c r="B1080" s="156" t="inlineStr">
        <is>
          <t>04-05</t>
        </is>
      </c>
      <c r="C1080" s="156" t="inlineStr">
        <is>
          <t>EX-1251</t>
        </is>
      </c>
      <c r="D1080" s="156" t="inlineStr">
        <is>
          <t>DT-527</t>
        </is>
      </c>
      <c r="E1080" s="156" t="inlineStr">
        <is>
          <t>OB</t>
        </is>
      </c>
      <c r="F1080" s="156" t="n">
        <v>4</v>
      </c>
      <c r="G1080" s="156" t="inlineStr"/>
      <c r="H1080" s="157">
        <f>IF($B1080="","",IF(ISNA(MATCH($B1080,MASTER_JAM!$Q$5:$Q$28,0)),"?",IF(MATCH($B1080,MASTER_JAM!$Q$5:$Q$28,0)&lt;=12,"DS","NS")))</f>
        <v/>
      </c>
      <c r="I1080" s="157">
        <f>IFERROR(INDEX(MASTER_JAM!$B$5:$B$94,MATCH($C1080,MASTER_JAM!$A$5:$A$94,0)),"")</f>
        <v/>
      </c>
      <c r="J1080" s="157">
        <f>IFERROR(INDEX(MASTER_JAM!$E$5:$E$94,MATCH($D1080,MASTER_JAM!$A$5:$A$94,0)),"")</f>
        <v/>
      </c>
      <c r="K1080" s="158">
        <f>IFERROR(INDEX(MASTER_JAM!$J$5:$O$12,MATCH($E1080,MASTER_JAM!$I$5:$I$12,0),MATCH($J1080,MASTER_JAM!$J$4:$O$4,0))+0,0)</f>
        <v/>
      </c>
      <c r="L1080" s="159">
        <f>N($F1080)*$K1080</f>
        <v/>
      </c>
      <c r="M1080" s="157">
        <f>IF($E1080="","",IF(OR($E1080="Coal",$E1080="Dirty Coal"),"MT","BCM"))</f>
        <v/>
      </c>
      <c r="N1080" s="157">
        <f>IF($E1080="","",IF(OR($E1080="Coal",$E1080="Dirty Coal"),"Coal","OB"))</f>
        <v/>
      </c>
      <c r="O1080" s="157">
        <f>IF($F1080="","",IF(COUNTIF(MASTER_JAM!$A$5:$A$94,$C1080)=0,"Digger tidak dikenal",IF($J1080="","Hauler tidak dikenal",IF($H1080="?","Jam salah",IF($K1080=0,"Faktor kosong",IF(SUMIFS(INPUT_DELAY!$E$5:$E$20000,INPUT_DELAY!$A$5:$A$20000,$A1080,INPUT_DELAY!$B$5:$B$20000,$B1080,INPUT_DELAY!$C$5:$C$20000,$C1080)+SUMIFS(INPUT_DELAY!$E$5:$E$20000,INPUT_DELAY!$A$5:$A$20000,$A1080,INPUT_DELAY!$B$5:$B$20000,$B1080,INPUT_DELAY!$C$5:$C$20000,"SEMUA")&gt;=60,"Delay 60 mnt tapi ada ritase","OK"))))))</f>
        <v/>
      </c>
      <c r="P1080" s="158">
        <f>IFERROR(INDEX(MASTER_JAM!$Z$5:$AC$10,MATCH($I1080,MASTER_JAM!$Y$5:$Y$10,0),MATCH($J1080,MASTER_JAM!$Z$4:$AC$4,0))+0,0)</f>
        <v/>
      </c>
      <c r="Q1080" s="158">
        <f>IF($P1080=0,0,$P1080+IFERROR(INDEX(MASTER_JAM!$H$5:$H$94,MATCH($C1080,MASTER_JAM!$A$5:$A$94,0))+0,MASTER_JAM!$AC$15)/1000*(60/MASTER_JAM!$AC$12+60/MASTER_JAM!$AC$13)+MASTER_JAM!$AC$14)</f>
        <v/>
      </c>
      <c r="R1080" s="158">
        <f>IF(N($F1080)=0,0,$F1080/SUMIFS(INPUT_RITASE!$F$5:$F$20000,INPUT_RITASE!$A$5:$A$20000,$A1080,INPUT_RITASE!$B$5:$B$20000,$B1080,INPUT_RITASE!$C$5:$C$20000,$C1080,INPUT_RITASE!$D$5:$D$20000,$D1080))</f>
        <v/>
      </c>
      <c r="S1080" s="158">
        <f>IF($Q1080=0,0,$R1080*$P1080/$Q1080)</f>
        <v/>
      </c>
    </row>
    <row r="1081">
      <c r="A1081" s="155" t="n">
        <v>46107</v>
      </c>
      <c r="B1081" s="156" t="inlineStr">
        <is>
          <t>04-05</t>
        </is>
      </c>
      <c r="C1081" s="156" t="inlineStr">
        <is>
          <t>EX-1251</t>
        </is>
      </c>
      <c r="D1081" s="156" t="inlineStr">
        <is>
          <t>DT-521</t>
        </is>
      </c>
      <c r="E1081" s="156" t="inlineStr">
        <is>
          <t>OB</t>
        </is>
      </c>
      <c r="F1081" s="156" t="n">
        <v>4</v>
      </c>
      <c r="G1081" s="156" t="inlineStr"/>
      <c r="H1081" s="157">
        <f>IF($B1081="","",IF(ISNA(MATCH($B1081,MASTER_JAM!$Q$5:$Q$28,0)),"?",IF(MATCH($B1081,MASTER_JAM!$Q$5:$Q$28,0)&lt;=12,"DS","NS")))</f>
        <v/>
      </c>
      <c r="I1081" s="157">
        <f>IFERROR(INDEX(MASTER_JAM!$B$5:$B$94,MATCH($C1081,MASTER_JAM!$A$5:$A$94,0)),"")</f>
        <v/>
      </c>
      <c r="J1081" s="157">
        <f>IFERROR(INDEX(MASTER_JAM!$E$5:$E$94,MATCH($D1081,MASTER_JAM!$A$5:$A$94,0)),"")</f>
        <v/>
      </c>
      <c r="K1081" s="158">
        <f>IFERROR(INDEX(MASTER_JAM!$J$5:$O$12,MATCH($E1081,MASTER_JAM!$I$5:$I$12,0),MATCH($J1081,MASTER_JAM!$J$4:$O$4,0))+0,0)</f>
        <v/>
      </c>
      <c r="L1081" s="159">
        <f>N($F1081)*$K1081</f>
        <v/>
      </c>
      <c r="M1081" s="157">
        <f>IF($E1081="","",IF(OR($E1081="Coal",$E1081="Dirty Coal"),"MT","BCM"))</f>
        <v/>
      </c>
      <c r="N1081" s="157">
        <f>IF($E1081="","",IF(OR($E1081="Coal",$E1081="Dirty Coal"),"Coal","OB"))</f>
        <v/>
      </c>
      <c r="O1081" s="157">
        <f>IF($F1081="","",IF(COUNTIF(MASTER_JAM!$A$5:$A$94,$C1081)=0,"Digger tidak dikenal",IF($J1081="","Hauler tidak dikenal",IF($H1081="?","Jam salah",IF($K1081=0,"Faktor kosong",IF(SUMIFS(INPUT_DELAY!$E$5:$E$20000,INPUT_DELAY!$A$5:$A$20000,$A1081,INPUT_DELAY!$B$5:$B$20000,$B1081,INPUT_DELAY!$C$5:$C$20000,$C1081)+SUMIFS(INPUT_DELAY!$E$5:$E$20000,INPUT_DELAY!$A$5:$A$20000,$A1081,INPUT_DELAY!$B$5:$B$20000,$B1081,INPUT_DELAY!$C$5:$C$20000,"SEMUA")&gt;=60,"Delay 60 mnt tapi ada ritase","OK"))))))</f>
        <v/>
      </c>
      <c r="P1081" s="158">
        <f>IFERROR(INDEX(MASTER_JAM!$Z$5:$AC$10,MATCH($I1081,MASTER_JAM!$Y$5:$Y$10,0),MATCH($J1081,MASTER_JAM!$Z$4:$AC$4,0))+0,0)</f>
        <v/>
      </c>
      <c r="Q1081" s="158">
        <f>IF($P1081=0,0,$P1081+IFERROR(INDEX(MASTER_JAM!$H$5:$H$94,MATCH($C1081,MASTER_JAM!$A$5:$A$94,0))+0,MASTER_JAM!$AC$15)/1000*(60/MASTER_JAM!$AC$12+60/MASTER_JAM!$AC$13)+MASTER_JAM!$AC$14)</f>
        <v/>
      </c>
      <c r="R1081" s="158">
        <f>IF(N($F1081)=0,0,$F1081/SUMIFS(INPUT_RITASE!$F$5:$F$20000,INPUT_RITASE!$A$5:$A$20000,$A1081,INPUT_RITASE!$B$5:$B$20000,$B1081,INPUT_RITASE!$C$5:$C$20000,$C1081,INPUT_RITASE!$D$5:$D$20000,$D1081))</f>
        <v/>
      </c>
      <c r="S1081" s="158">
        <f>IF($Q1081=0,0,$R1081*$P1081/$Q1081)</f>
        <v/>
      </c>
    </row>
    <row r="1082">
      <c r="A1082" s="155" t="n">
        <v>46107</v>
      </c>
      <c r="B1082" s="156" t="inlineStr">
        <is>
          <t>04-05</t>
        </is>
      </c>
      <c r="C1082" s="156" t="inlineStr">
        <is>
          <t>EX-1251</t>
        </is>
      </c>
      <c r="D1082" s="156" t="inlineStr">
        <is>
          <t>DT-522</t>
        </is>
      </c>
      <c r="E1082" s="156" t="inlineStr">
        <is>
          <t>OB</t>
        </is>
      </c>
      <c r="F1082" s="156" t="n">
        <v>3</v>
      </c>
      <c r="G1082" s="156" t="inlineStr"/>
      <c r="H1082" s="157">
        <f>IF($B1082="","",IF(ISNA(MATCH($B1082,MASTER_JAM!$Q$5:$Q$28,0)),"?",IF(MATCH($B1082,MASTER_JAM!$Q$5:$Q$28,0)&lt;=12,"DS","NS")))</f>
        <v/>
      </c>
      <c r="I1082" s="157">
        <f>IFERROR(INDEX(MASTER_JAM!$B$5:$B$94,MATCH($C1082,MASTER_JAM!$A$5:$A$94,0)),"")</f>
        <v/>
      </c>
      <c r="J1082" s="157">
        <f>IFERROR(INDEX(MASTER_JAM!$E$5:$E$94,MATCH($D1082,MASTER_JAM!$A$5:$A$94,0)),"")</f>
        <v/>
      </c>
      <c r="K1082" s="158">
        <f>IFERROR(INDEX(MASTER_JAM!$J$5:$O$12,MATCH($E1082,MASTER_JAM!$I$5:$I$12,0),MATCH($J1082,MASTER_JAM!$J$4:$O$4,0))+0,0)</f>
        <v/>
      </c>
      <c r="L1082" s="159">
        <f>N($F1082)*$K1082</f>
        <v/>
      </c>
      <c r="M1082" s="157">
        <f>IF($E1082="","",IF(OR($E1082="Coal",$E1082="Dirty Coal"),"MT","BCM"))</f>
        <v/>
      </c>
      <c r="N1082" s="157">
        <f>IF($E1082="","",IF(OR($E1082="Coal",$E1082="Dirty Coal"),"Coal","OB"))</f>
        <v/>
      </c>
      <c r="O1082" s="157">
        <f>IF($F1082="","",IF(COUNTIF(MASTER_JAM!$A$5:$A$94,$C1082)=0,"Digger tidak dikenal",IF($J1082="","Hauler tidak dikenal",IF($H1082="?","Jam salah",IF($K1082=0,"Faktor kosong",IF(SUMIFS(INPUT_DELAY!$E$5:$E$20000,INPUT_DELAY!$A$5:$A$20000,$A1082,INPUT_DELAY!$B$5:$B$20000,$B1082,INPUT_DELAY!$C$5:$C$20000,$C1082)+SUMIFS(INPUT_DELAY!$E$5:$E$20000,INPUT_DELAY!$A$5:$A$20000,$A1082,INPUT_DELAY!$B$5:$B$20000,$B1082,INPUT_DELAY!$C$5:$C$20000,"SEMUA")&gt;=60,"Delay 60 mnt tapi ada ritase","OK"))))))</f>
        <v/>
      </c>
      <c r="P1082" s="158">
        <f>IFERROR(INDEX(MASTER_JAM!$Z$5:$AC$10,MATCH($I1082,MASTER_JAM!$Y$5:$Y$10,0),MATCH($J1082,MASTER_JAM!$Z$4:$AC$4,0))+0,0)</f>
        <v/>
      </c>
      <c r="Q1082" s="158">
        <f>IF($P1082=0,0,$P1082+IFERROR(INDEX(MASTER_JAM!$H$5:$H$94,MATCH($C1082,MASTER_JAM!$A$5:$A$94,0))+0,MASTER_JAM!$AC$15)/1000*(60/MASTER_JAM!$AC$12+60/MASTER_JAM!$AC$13)+MASTER_JAM!$AC$14)</f>
        <v/>
      </c>
      <c r="R1082" s="158">
        <f>IF(N($F1082)=0,0,$F1082/SUMIFS(INPUT_RITASE!$F$5:$F$20000,INPUT_RITASE!$A$5:$A$20000,$A1082,INPUT_RITASE!$B$5:$B$20000,$B1082,INPUT_RITASE!$C$5:$C$20000,$C1082,INPUT_RITASE!$D$5:$D$20000,$D1082))</f>
        <v/>
      </c>
      <c r="S1082" s="158">
        <f>IF($Q1082=0,0,$R1082*$P1082/$Q1082)</f>
        <v/>
      </c>
    </row>
    <row r="1083">
      <c r="A1083" s="155" t="n">
        <v>46107</v>
      </c>
      <c r="B1083" s="156" t="inlineStr">
        <is>
          <t>04-05</t>
        </is>
      </c>
      <c r="C1083" s="156" t="inlineStr">
        <is>
          <t>EX-1251</t>
        </is>
      </c>
      <c r="D1083" s="156" t="inlineStr">
        <is>
          <t>DT-518</t>
        </is>
      </c>
      <c r="E1083" s="156" t="inlineStr">
        <is>
          <t>OB</t>
        </is>
      </c>
      <c r="F1083" s="156" t="n">
        <v>3</v>
      </c>
      <c r="G1083" s="156" t="inlineStr"/>
      <c r="H1083" s="157">
        <f>IF($B1083="","",IF(ISNA(MATCH($B1083,MASTER_JAM!$Q$5:$Q$28,0)),"?",IF(MATCH($B1083,MASTER_JAM!$Q$5:$Q$28,0)&lt;=12,"DS","NS")))</f>
        <v/>
      </c>
      <c r="I1083" s="157">
        <f>IFERROR(INDEX(MASTER_JAM!$B$5:$B$94,MATCH($C1083,MASTER_JAM!$A$5:$A$94,0)),"")</f>
        <v/>
      </c>
      <c r="J1083" s="157">
        <f>IFERROR(INDEX(MASTER_JAM!$E$5:$E$94,MATCH($D1083,MASTER_JAM!$A$5:$A$94,0)),"")</f>
        <v/>
      </c>
      <c r="K1083" s="158">
        <f>IFERROR(INDEX(MASTER_JAM!$J$5:$O$12,MATCH($E1083,MASTER_JAM!$I$5:$I$12,0),MATCH($J1083,MASTER_JAM!$J$4:$O$4,0))+0,0)</f>
        <v/>
      </c>
      <c r="L1083" s="159">
        <f>N($F1083)*$K1083</f>
        <v/>
      </c>
      <c r="M1083" s="157">
        <f>IF($E1083="","",IF(OR($E1083="Coal",$E1083="Dirty Coal"),"MT","BCM"))</f>
        <v/>
      </c>
      <c r="N1083" s="157">
        <f>IF($E1083="","",IF(OR($E1083="Coal",$E1083="Dirty Coal"),"Coal","OB"))</f>
        <v/>
      </c>
      <c r="O1083" s="157">
        <f>IF($F1083="","",IF(COUNTIF(MASTER_JAM!$A$5:$A$94,$C1083)=0,"Digger tidak dikenal",IF($J1083="","Hauler tidak dikenal",IF($H1083="?","Jam salah",IF($K1083=0,"Faktor kosong",IF(SUMIFS(INPUT_DELAY!$E$5:$E$20000,INPUT_DELAY!$A$5:$A$20000,$A1083,INPUT_DELAY!$B$5:$B$20000,$B1083,INPUT_DELAY!$C$5:$C$20000,$C1083)+SUMIFS(INPUT_DELAY!$E$5:$E$20000,INPUT_DELAY!$A$5:$A$20000,$A1083,INPUT_DELAY!$B$5:$B$20000,$B1083,INPUT_DELAY!$C$5:$C$20000,"SEMUA")&gt;=60,"Delay 60 mnt tapi ada ritase","OK"))))))</f>
        <v/>
      </c>
      <c r="P1083" s="158">
        <f>IFERROR(INDEX(MASTER_JAM!$Z$5:$AC$10,MATCH($I1083,MASTER_JAM!$Y$5:$Y$10,0),MATCH($J1083,MASTER_JAM!$Z$4:$AC$4,0))+0,0)</f>
        <v/>
      </c>
      <c r="Q1083" s="158">
        <f>IF($P1083=0,0,$P1083+IFERROR(INDEX(MASTER_JAM!$H$5:$H$94,MATCH($C1083,MASTER_JAM!$A$5:$A$94,0))+0,MASTER_JAM!$AC$15)/1000*(60/MASTER_JAM!$AC$12+60/MASTER_JAM!$AC$13)+MASTER_JAM!$AC$14)</f>
        <v/>
      </c>
      <c r="R1083" s="158">
        <f>IF(N($F1083)=0,0,$F1083/SUMIFS(INPUT_RITASE!$F$5:$F$20000,INPUT_RITASE!$A$5:$A$20000,$A1083,INPUT_RITASE!$B$5:$B$20000,$B1083,INPUT_RITASE!$C$5:$C$20000,$C1083,INPUT_RITASE!$D$5:$D$20000,$D1083))</f>
        <v/>
      </c>
      <c r="S1083" s="158">
        <f>IF($Q1083=0,0,$R1083*$P1083/$Q1083)</f>
        <v/>
      </c>
    </row>
    <row r="1084">
      <c r="A1084" s="155" t="n">
        <v>46107</v>
      </c>
      <c r="B1084" s="156" t="inlineStr">
        <is>
          <t>05-06</t>
        </is>
      </c>
      <c r="C1084" s="156" t="inlineStr">
        <is>
          <t>EX-1251</t>
        </is>
      </c>
      <c r="D1084" s="156" t="inlineStr">
        <is>
          <t>DT-508</t>
        </is>
      </c>
      <c r="E1084" s="156" t="inlineStr">
        <is>
          <t>OB</t>
        </is>
      </c>
      <c r="F1084" s="156" t="n">
        <v>4</v>
      </c>
      <c r="G1084" s="156" t="inlineStr"/>
      <c r="H1084" s="157">
        <f>IF($B1084="","",IF(ISNA(MATCH($B1084,MASTER_JAM!$Q$5:$Q$28,0)),"?",IF(MATCH($B1084,MASTER_JAM!$Q$5:$Q$28,0)&lt;=12,"DS","NS")))</f>
        <v/>
      </c>
      <c r="I1084" s="157">
        <f>IFERROR(INDEX(MASTER_JAM!$B$5:$B$94,MATCH($C1084,MASTER_JAM!$A$5:$A$94,0)),"")</f>
        <v/>
      </c>
      <c r="J1084" s="157">
        <f>IFERROR(INDEX(MASTER_JAM!$E$5:$E$94,MATCH($D1084,MASTER_JAM!$A$5:$A$94,0)),"")</f>
        <v/>
      </c>
      <c r="K1084" s="158">
        <f>IFERROR(INDEX(MASTER_JAM!$J$5:$O$12,MATCH($E1084,MASTER_JAM!$I$5:$I$12,0),MATCH($J1084,MASTER_JAM!$J$4:$O$4,0))+0,0)</f>
        <v/>
      </c>
      <c r="L1084" s="159">
        <f>N($F1084)*$K1084</f>
        <v/>
      </c>
      <c r="M1084" s="157">
        <f>IF($E1084="","",IF(OR($E1084="Coal",$E1084="Dirty Coal"),"MT","BCM"))</f>
        <v/>
      </c>
      <c r="N1084" s="157">
        <f>IF($E1084="","",IF(OR($E1084="Coal",$E1084="Dirty Coal"),"Coal","OB"))</f>
        <v/>
      </c>
      <c r="O1084" s="157">
        <f>IF($F1084="","",IF(COUNTIF(MASTER_JAM!$A$5:$A$94,$C1084)=0,"Digger tidak dikenal",IF($J1084="","Hauler tidak dikenal",IF($H1084="?","Jam salah",IF($K1084=0,"Faktor kosong",IF(SUMIFS(INPUT_DELAY!$E$5:$E$20000,INPUT_DELAY!$A$5:$A$20000,$A1084,INPUT_DELAY!$B$5:$B$20000,$B1084,INPUT_DELAY!$C$5:$C$20000,$C1084)+SUMIFS(INPUT_DELAY!$E$5:$E$20000,INPUT_DELAY!$A$5:$A$20000,$A1084,INPUT_DELAY!$B$5:$B$20000,$B1084,INPUT_DELAY!$C$5:$C$20000,"SEMUA")&gt;=60,"Delay 60 mnt tapi ada ritase","OK"))))))</f>
        <v/>
      </c>
      <c r="P1084" s="158">
        <f>IFERROR(INDEX(MASTER_JAM!$Z$5:$AC$10,MATCH($I1084,MASTER_JAM!$Y$5:$Y$10,0),MATCH($J1084,MASTER_JAM!$Z$4:$AC$4,0))+0,0)</f>
        <v/>
      </c>
      <c r="Q1084" s="158">
        <f>IF($P1084=0,0,$P1084+IFERROR(INDEX(MASTER_JAM!$H$5:$H$94,MATCH($C1084,MASTER_JAM!$A$5:$A$94,0))+0,MASTER_JAM!$AC$15)/1000*(60/MASTER_JAM!$AC$12+60/MASTER_JAM!$AC$13)+MASTER_JAM!$AC$14)</f>
        <v/>
      </c>
      <c r="R1084" s="158">
        <f>IF(N($F1084)=0,0,$F1084/SUMIFS(INPUT_RITASE!$F$5:$F$20000,INPUT_RITASE!$A$5:$A$20000,$A1084,INPUT_RITASE!$B$5:$B$20000,$B1084,INPUT_RITASE!$C$5:$C$20000,$C1084,INPUT_RITASE!$D$5:$D$20000,$D1084))</f>
        <v/>
      </c>
      <c r="S1084" s="158">
        <f>IF($Q1084=0,0,$R1084*$P1084/$Q1084)</f>
        <v/>
      </c>
    </row>
    <row r="1085">
      <c r="A1085" s="155" t="n">
        <v>46107</v>
      </c>
      <c r="B1085" s="156" t="inlineStr">
        <is>
          <t>05-06</t>
        </is>
      </c>
      <c r="C1085" s="156" t="inlineStr">
        <is>
          <t>EX-1251</t>
        </is>
      </c>
      <c r="D1085" s="156" t="inlineStr">
        <is>
          <t>DT-513</t>
        </is>
      </c>
      <c r="E1085" s="156" t="inlineStr">
        <is>
          <t>OB</t>
        </is>
      </c>
      <c r="F1085" s="156" t="n">
        <v>4</v>
      </c>
      <c r="G1085" s="156" t="inlineStr"/>
      <c r="H1085" s="157">
        <f>IF($B1085="","",IF(ISNA(MATCH($B1085,MASTER_JAM!$Q$5:$Q$28,0)),"?",IF(MATCH($B1085,MASTER_JAM!$Q$5:$Q$28,0)&lt;=12,"DS","NS")))</f>
        <v/>
      </c>
      <c r="I1085" s="157">
        <f>IFERROR(INDEX(MASTER_JAM!$B$5:$B$94,MATCH($C1085,MASTER_JAM!$A$5:$A$94,0)),"")</f>
        <v/>
      </c>
      <c r="J1085" s="157">
        <f>IFERROR(INDEX(MASTER_JAM!$E$5:$E$94,MATCH($D1085,MASTER_JAM!$A$5:$A$94,0)),"")</f>
        <v/>
      </c>
      <c r="K1085" s="158">
        <f>IFERROR(INDEX(MASTER_JAM!$J$5:$O$12,MATCH($E1085,MASTER_JAM!$I$5:$I$12,0),MATCH($J1085,MASTER_JAM!$J$4:$O$4,0))+0,0)</f>
        <v/>
      </c>
      <c r="L1085" s="159">
        <f>N($F1085)*$K1085</f>
        <v/>
      </c>
      <c r="M1085" s="157">
        <f>IF($E1085="","",IF(OR($E1085="Coal",$E1085="Dirty Coal"),"MT","BCM"))</f>
        <v/>
      </c>
      <c r="N1085" s="157">
        <f>IF($E1085="","",IF(OR($E1085="Coal",$E1085="Dirty Coal"),"Coal","OB"))</f>
        <v/>
      </c>
      <c r="O1085" s="157">
        <f>IF($F1085="","",IF(COUNTIF(MASTER_JAM!$A$5:$A$94,$C1085)=0,"Digger tidak dikenal",IF($J1085="","Hauler tidak dikenal",IF($H1085="?","Jam salah",IF($K1085=0,"Faktor kosong",IF(SUMIFS(INPUT_DELAY!$E$5:$E$20000,INPUT_DELAY!$A$5:$A$20000,$A1085,INPUT_DELAY!$B$5:$B$20000,$B1085,INPUT_DELAY!$C$5:$C$20000,$C1085)+SUMIFS(INPUT_DELAY!$E$5:$E$20000,INPUT_DELAY!$A$5:$A$20000,$A1085,INPUT_DELAY!$B$5:$B$20000,$B1085,INPUT_DELAY!$C$5:$C$20000,"SEMUA")&gt;=60,"Delay 60 mnt tapi ada ritase","OK"))))))</f>
        <v/>
      </c>
      <c r="P1085" s="158">
        <f>IFERROR(INDEX(MASTER_JAM!$Z$5:$AC$10,MATCH($I1085,MASTER_JAM!$Y$5:$Y$10,0),MATCH($J1085,MASTER_JAM!$Z$4:$AC$4,0))+0,0)</f>
        <v/>
      </c>
      <c r="Q1085" s="158">
        <f>IF($P1085=0,0,$P1085+IFERROR(INDEX(MASTER_JAM!$H$5:$H$94,MATCH($C1085,MASTER_JAM!$A$5:$A$94,0))+0,MASTER_JAM!$AC$15)/1000*(60/MASTER_JAM!$AC$12+60/MASTER_JAM!$AC$13)+MASTER_JAM!$AC$14)</f>
        <v/>
      </c>
      <c r="R1085" s="158">
        <f>IF(N($F1085)=0,0,$F1085/SUMIFS(INPUT_RITASE!$F$5:$F$20000,INPUT_RITASE!$A$5:$A$20000,$A1085,INPUT_RITASE!$B$5:$B$20000,$B1085,INPUT_RITASE!$C$5:$C$20000,$C1085,INPUT_RITASE!$D$5:$D$20000,$D1085))</f>
        <v/>
      </c>
      <c r="S1085" s="158">
        <f>IF($Q1085=0,0,$R1085*$P1085/$Q1085)</f>
        <v/>
      </c>
    </row>
    <row r="1086">
      <c r="A1086" s="155" t="n">
        <v>46107</v>
      </c>
      <c r="B1086" s="156" t="inlineStr">
        <is>
          <t>05-06</t>
        </is>
      </c>
      <c r="C1086" s="156" t="inlineStr">
        <is>
          <t>EX-1251</t>
        </is>
      </c>
      <c r="D1086" s="156" t="inlineStr">
        <is>
          <t>DT-523</t>
        </is>
      </c>
      <c r="E1086" s="156" t="inlineStr">
        <is>
          <t>OB</t>
        </is>
      </c>
      <c r="F1086" s="156" t="n">
        <v>4</v>
      </c>
      <c r="G1086" s="156" t="inlineStr"/>
      <c r="H1086" s="157">
        <f>IF($B1086="","",IF(ISNA(MATCH($B1086,MASTER_JAM!$Q$5:$Q$28,0)),"?",IF(MATCH($B1086,MASTER_JAM!$Q$5:$Q$28,0)&lt;=12,"DS","NS")))</f>
        <v/>
      </c>
      <c r="I1086" s="157">
        <f>IFERROR(INDEX(MASTER_JAM!$B$5:$B$94,MATCH($C1086,MASTER_JAM!$A$5:$A$94,0)),"")</f>
        <v/>
      </c>
      <c r="J1086" s="157">
        <f>IFERROR(INDEX(MASTER_JAM!$E$5:$E$94,MATCH($D1086,MASTER_JAM!$A$5:$A$94,0)),"")</f>
        <v/>
      </c>
      <c r="K1086" s="158">
        <f>IFERROR(INDEX(MASTER_JAM!$J$5:$O$12,MATCH($E1086,MASTER_JAM!$I$5:$I$12,0),MATCH($J1086,MASTER_JAM!$J$4:$O$4,0))+0,0)</f>
        <v/>
      </c>
      <c r="L1086" s="159">
        <f>N($F1086)*$K1086</f>
        <v/>
      </c>
      <c r="M1086" s="157">
        <f>IF($E1086="","",IF(OR($E1086="Coal",$E1086="Dirty Coal"),"MT","BCM"))</f>
        <v/>
      </c>
      <c r="N1086" s="157">
        <f>IF($E1086="","",IF(OR($E1086="Coal",$E1086="Dirty Coal"),"Coal","OB"))</f>
        <v/>
      </c>
      <c r="O1086" s="157">
        <f>IF($F1086="","",IF(COUNTIF(MASTER_JAM!$A$5:$A$94,$C1086)=0,"Digger tidak dikenal",IF($J1086="","Hauler tidak dikenal",IF($H1086="?","Jam salah",IF($K1086=0,"Faktor kosong",IF(SUMIFS(INPUT_DELAY!$E$5:$E$20000,INPUT_DELAY!$A$5:$A$20000,$A1086,INPUT_DELAY!$B$5:$B$20000,$B1086,INPUT_DELAY!$C$5:$C$20000,$C1086)+SUMIFS(INPUT_DELAY!$E$5:$E$20000,INPUT_DELAY!$A$5:$A$20000,$A1086,INPUT_DELAY!$B$5:$B$20000,$B1086,INPUT_DELAY!$C$5:$C$20000,"SEMUA")&gt;=60,"Delay 60 mnt tapi ada ritase","OK"))))))</f>
        <v/>
      </c>
      <c r="P1086" s="158">
        <f>IFERROR(INDEX(MASTER_JAM!$Z$5:$AC$10,MATCH($I1086,MASTER_JAM!$Y$5:$Y$10,0),MATCH($J1086,MASTER_JAM!$Z$4:$AC$4,0))+0,0)</f>
        <v/>
      </c>
      <c r="Q1086" s="158">
        <f>IF($P1086=0,0,$P1086+IFERROR(INDEX(MASTER_JAM!$H$5:$H$94,MATCH($C1086,MASTER_JAM!$A$5:$A$94,0))+0,MASTER_JAM!$AC$15)/1000*(60/MASTER_JAM!$AC$12+60/MASTER_JAM!$AC$13)+MASTER_JAM!$AC$14)</f>
        <v/>
      </c>
      <c r="R1086" s="158">
        <f>IF(N($F1086)=0,0,$F1086/SUMIFS(INPUT_RITASE!$F$5:$F$20000,INPUT_RITASE!$A$5:$A$20000,$A1086,INPUT_RITASE!$B$5:$B$20000,$B1086,INPUT_RITASE!$C$5:$C$20000,$C1086,INPUT_RITASE!$D$5:$D$20000,$D1086))</f>
        <v/>
      </c>
      <c r="S1086" s="158">
        <f>IF($Q1086=0,0,$R1086*$P1086/$Q1086)</f>
        <v/>
      </c>
    </row>
    <row r="1087">
      <c r="A1087" s="155" t="n">
        <v>46107</v>
      </c>
      <c r="B1087" s="156" t="inlineStr">
        <is>
          <t>05-06</t>
        </is>
      </c>
      <c r="C1087" s="156" t="inlineStr">
        <is>
          <t>EX-1251</t>
        </is>
      </c>
      <c r="D1087" s="156" t="inlineStr">
        <is>
          <t>DT-522</t>
        </is>
      </c>
      <c r="E1087" s="156" t="inlineStr">
        <is>
          <t>OB</t>
        </is>
      </c>
      <c r="F1087" s="156" t="n">
        <v>4</v>
      </c>
      <c r="G1087" s="156" t="inlineStr"/>
      <c r="H1087" s="157">
        <f>IF($B1087="","",IF(ISNA(MATCH($B1087,MASTER_JAM!$Q$5:$Q$28,0)),"?",IF(MATCH($B1087,MASTER_JAM!$Q$5:$Q$28,0)&lt;=12,"DS","NS")))</f>
        <v/>
      </c>
      <c r="I1087" s="157">
        <f>IFERROR(INDEX(MASTER_JAM!$B$5:$B$94,MATCH($C1087,MASTER_JAM!$A$5:$A$94,0)),"")</f>
        <v/>
      </c>
      <c r="J1087" s="157">
        <f>IFERROR(INDEX(MASTER_JAM!$E$5:$E$94,MATCH($D1087,MASTER_JAM!$A$5:$A$94,0)),"")</f>
        <v/>
      </c>
      <c r="K1087" s="158">
        <f>IFERROR(INDEX(MASTER_JAM!$J$5:$O$12,MATCH($E1087,MASTER_JAM!$I$5:$I$12,0),MATCH($J1087,MASTER_JAM!$J$4:$O$4,0))+0,0)</f>
        <v/>
      </c>
      <c r="L1087" s="159">
        <f>N($F1087)*$K1087</f>
        <v/>
      </c>
      <c r="M1087" s="157">
        <f>IF($E1087="","",IF(OR($E1087="Coal",$E1087="Dirty Coal"),"MT","BCM"))</f>
        <v/>
      </c>
      <c r="N1087" s="157">
        <f>IF($E1087="","",IF(OR($E1087="Coal",$E1087="Dirty Coal"),"Coal","OB"))</f>
        <v/>
      </c>
      <c r="O1087" s="157">
        <f>IF($F1087="","",IF(COUNTIF(MASTER_JAM!$A$5:$A$94,$C1087)=0,"Digger tidak dikenal",IF($J1087="","Hauler tidak dikenal",IF($H1087="?","Jam salah",IF($K1087=0,"Faktor kosong",IF(SUMIFS(INPUT_DELAY!$E$5:$E$20000,INPUT_DELAY!$A$5:$A$20000,$A1087,INPUT_DELAY!$B$5:$B$20000,$B1087,INPUT_DELAY!$C$5:$C$20000,$C1087)+SUMIFS(INPUT_DELAY!$E$5:$E$20000,INPUT_DELAY!$A$5:$A$20000,$A1087,INPUT_DELAY!$B$5:$B$20000,$B1087,INPUT_DELAY!$C$5:$C$20000,"SEMUA")&gt;=60,"Delay 60 mnt tapi ada ritase","OK"))))))</f>
        <v/>
      </c>
      <c r="P1087" s="158">
        <f>IFERROR(INDEX(MASTER_JAM!$Z$5:$AC$10,MATCH($I1087,MASTER_JAM!$Y$5:$Y$10,0),MATCH($J1087,MASTER_JAM!$Z$4:$AC$4,0))+0,0)</f>
        <v/>
      </c>
      <c r="Q1087" s="158">
        <f>IF($P1087=0,0,$P1087+IFERROR(INDEX(MASTER_JAM!$H$5:$H$94,MATCH($C1087,MASTER_JAM!$A$5:$A$94,0))+0,MASTER_JAM!$AC$15)/1000*(60/MASTER_JAM!$AC$12+60/MASTER_JAM!$AC$13)+MASTER_JAM!$AC$14)</f>
        <v/>
      </c>
      <c r="R1087" s="158">
        <f>IF(N($F1087)=0,0,$F1087/SUMIFS(INPUT_RITASE!$F$5:$F$20000,INPUT_RITASE!$A$5:$A$20000,$A1087,INPUT_RITASE!$B$5:$B$20000,$B1087,INPUT_RITASE!$C$5:$C$20000,$C1087,INPUT_RITASE!$D$5:$D$20000,$D1087))</f>
        <v/>
      </c>
      <c r="S1087" s="158">
        <f>IF($Q1087=0,0,$R1087*$P1087/$Q1087)</f>
        <v/>
      </c>
    </row>
    <row r="1088">
      <c r="A1088" s="155" t="n">
        <v>46107</v>
      </c>
      <c r="B1088" s="156" t="inlineStr">
        <is>
          <t>05-06</t>
        </is>
      </c>
      <c r="C1088" s="156" t="inlineStr">
        <is>
          <t>EX-1251</t>
        </is>
      </c>
      <c r="D1088" s="156" t="inlineStr">
        <is>
          <t>DT-527</t>
        </is>
      </c>
      <c r="E1088" s="156" t="inlineStr">
        <is>
          <t>OB</t>
        </is>
      </c>
      <c r="F1088" s="156" t="n">
        <v>4</v>
      </c>
      <c r="G1088" s="156" t="inlineStr"/>
      <c r="H1088" s="157">
        <f>IF($B1088="","",IF(ISNA(MATCH($B1088,MASTER_JAM!$Q$5:$Q$28,0)),"?",IF(MATCH($B1088,MASTER_JAM!$Q$5:$Q$28,0)&lt;=12,"DS","NS")))</f>
        <v/>
      </c>
      <c r="I1088" s="157">
        <f>IFERROR(INDEX(MASTER_JAM!$B$5:$B$94,MATCH($C1088,MASTER_JAM!$A$5:$A$94,0)),"")</f>
        <v/>
      </c>
      <c r="J1088" s="157">
        <f>IFERROR(INDEX(MASTER_JAM!$E$5:$E$94,MATCH($D1088,MASTER_JAM!$A$5:$A$94,0)),"")</f>
        <v/>
      </c>
      <c r="K1088" s="158">
        <f>IFERROR(INDEX(MASTER_JAM!$J$5:$O$12,MATCH($E1088,MASTER_JAM!$I$5:$I$12,0),MATCH($J1088,MASTER_JAM!$J$4:$O$4,0))+0,0)</f>
        <v/>
      </c>
      <c r="L1088" s="159">
        <f>N($F1088)*$K1088</f>
        <v/>
      </c>
      <c r="M1088" s="157">
        <f>IF($E1088="","",IF(OR($E1088="Coal",$E1088="Dirty Coal"),"MT","BCM"))</f>
        <v/>
      </c>
      <c r="N1088" s="157">
        <f>IF($E1088="","",IF(OR($E1088="Coal",$E1088="Dirty Coal"),"Coal","OB"))</f>
        <v/>
      </c>
      <c r="O1088" s="157">
        <f>IF($F1088="","",IF(COUNTIF(MASTER_JAM!$A$5:$A$94,$C1088)=0,"Digger tidak dikenal",IF($J1088="","Hauler tidak dikenal",IF($H1088="?","Jam salah",IF($K1088=0,"Faktor kosong",IF(SUMIFS(INPUT_DELAY!$E$5:$E$20000,INPUT_DELAY!$A$5:$A$20000,$A1088,INPUT_DELAY!$B$5:$B$20000,$B1088,INPUT_DELAY!$C$5:$C$20000,$C1088)+SUMIFS(INPUT_DELAY!$E$5:$E$20000,INPUT_DELAY!$A$5:$A$20000,$A1088,INPUT_DELAY!$B$5:$B$20000,$B1088,INPUT_DELAY!$C$5:$C$20000,"SEMUA")&gt;=60,"Delay 60 mnt tapi ada ritase","OK"))))))</f>
        <v/>
      </c>
      <c r="P1088" s="158">
        <f>IFERROR(INDEX(MASTER_JAM!$Z$5:$AC$10,MATCH($I1088,MASTER_JAM!$Y$5:$Y$10,0),MATCH($J1088,MASTER_JAM!$Z$4:$AC$4,0))+0,0)</f>
        <v/>
      </c>
      <c r="Q1088" s="158">
        <f>IF($P1088=0,0,$P1088+IFERROR(INDEX(MASTER_JAM!$H$5:$H$94,MATCH($C1088,MASTER_JAM!$A$5:$A$94,0))+0,MASTER_JAM!$AC$15)/1000*(60/MASTER_JAM!$AC$12+60/MASTER_JAM!$AC$13)+MASTER_JAM!$AC$14)</f>
        <v/>
      </c>
      <c r="R1088" s="158">
        <f>IF(N($F1088)=0,0,$F1088/SUMIFS(INPUT_RITASE!$F$5:$F$20000,INPUT_RITASE!$A$5:$A$20000,$A1088,INPUT_RITASE!$B$5:$B$20000,$B1088,INPUT_RITASE!$C$5:$C$20000,$C1088,INPUT_RITASE!$D$5:$D$20000,$D1088))</f>
        <v/>
      </c>
      <c r="S1088" s="158">
        <f>IF($Q1088=0,0,$R1088*$P1088/$Q1088)</f>
        <v/>
      </c>
    </row>
    <row r="1089">
      <c r="A1089" s="155" t="n">
        <v>46107</v>
      </c>
      <c r="B1089" s="156" t="inlineStr">
        <is>
          <t>05-06</t>
        </is>
      </c>
      <c r="C1089" s="156" t="inlineStr">
        <is>
          <t>EX-1251</t>
        </is>
      </c>
      <c r="D1089" s="156" t="inlineStr">
        <is>
          <t>DT-503</t>
        </is>
      </c>
      <c r="E1089" s="156" t="inlineStr">
        <is>
          <t>OB</t>
        </is>
      </c>
      <c r="F1089" s="156" t="n">
        <v>4</v>
      </c>
      <c r="G1089" s="156" t="inlineStr"/>
      <c r="H1089" s="157">
        <f>IF($B1089="","",IF(ISNA(MATCH($B1089,MASTER_JAM!$Q$5:$Q$28,0)),"?",IF(MATCH($B1089,MASTER_JAM!$Q$5:$Q$28,0)&lt;=12,"DS","NS")))</f>
        <v/>
      </c>
      <c r="I1089" s="157">
        <f>IFERROR(INDEX(MASTER_JAM!$B$5:$B$94,MATCH($C1089,MASTER_JAM!$A$5:$A$94,0)),"")</f>
        <v/>
      </c>
      <c r="J1089" s="157">
        <f>IFERROR(INDEX(MASTER_JAM!$E$5:$E$94,MATCH($D1089,MASTER_JAM!$A$5:$A$94,0)),"")</f>
        <v/>
      </c>
      <c r="K1089" s="158">
        <f>IFERROR(INDEX(MASTER_JAM!$J$5:$O$12,MATCH($E1089,MASTER_JAM!$I$5:$I$12,0),MATCH($J1089,MASTER_JAM!$J$4:$O$4,0))+0,0)</f>
        <v/>
      </c>
      <c r="L1089" s="159">
        <f>N($F1089)*$K1089</f>
        <v/>
      </c>
      <c r="M1089" s="157">
        <f>IF($E1089="","",IF(OR($E1089="Coal",$E1089="Dirty Coal"),"MT","BCM"))</f>
        <v/>
      </c>
      <c r="N1089" s="157">
        <f>IF($E1089="","",IF(OR($E1089="Coal",$E1089="Dirty Coal"),"Coal","OB"))</f>
        <v/>
      </c>
      <c r="O1089" s="157">
        <f>IF($F1089="","",IF(COUNTIF(MASTER_JAM!$A$5:$A$94,$C1089)=0,"Digger tidak dikenal",IF($J1089="","Hauler tidak dikenal",IF($H1089="?","Jam salah",IF($K1089=0,"Faktor kosong",IF(SUMIFS(INPUT_DELAY!$E$5:$E$20000,INPUT_DELAY!$A$5:$A$20000,$A1089,INPUT_DELAY!$B$5:$B$20000,$B1089,INPUT_DELAY!$C$5:$C$20000,$C1089)+SUMIFS(INPUT_DELAY!$E$5:$E$20000,INPUT_DELAY!$A$5:$A$20000,$A1089,INPUT_DELAY!$B$5:$B$20000,$B1089,INPUT_DELAY!$C$5:$C$20000,"SEMUA")&gt;=60,"Delay 60 mnt tapi ada ritase","OK"))))))</f>
        <v/>
      </c>
      <c r="P1089" s="158">
        <f>IFERROR(INDEX(MASTER_JAM!$Z$5:$AC$10,MATCH($I1089,MASTER_JAM!$Y$5:$Y$10,0),MATCH($J1089,MASTER_JAM!$Z$4:$AC$4,0))+0,0)</f>
        <v/>
      </c>
      <c r="Q1089" s="158">
        <f>IF($P1089=0,0,$P1089+IFERROR(INDEX(MASTER_JAM!$H$5:$H$94,MATCH($C1089,MASTER_JAM!$A$5:$A$94,0))+0,MASTER_JAM!$AC$15)/1000*(60/MASTER_JAM!$AC$12+60/MASTER_JAM!$AC$13)+MASTER_JAM!$AC$14)</f>
        <v/>
      </c>
      <c r="R1089" s="158">
        <f>IF(N($F1089)=0,0,$F1089/SUMIFS(INPUT_RITASE!$F$5:$F$20000,INPUT_RITASE!$A$5:$A$20000,$A1089,INPUT_RITASE!$B$5:$B$20000,$B1089,INPUT_RITASE!$C$5:$C$20000,$C1089,INPUT_RITASE!$D$5:$D$20000,$D1089))</f>
        <v/>
      </c>
      <c r="S1089" s="158">
        <f>IF($Q1089=0,0,$R1089*$P1089/$Q1089)</f>
        <v/>
      </c>
    </row>
    <row r="1090">
      <c r="A1090" s="155" t="n">
        <v>46107</v>
      </c>
      <c r="B1090" s="156" t="inlineStr">
        <is>
          <t>18-19</t>
        </is>
      </c>
      <c r="C1090" s="156" t="inlineStr">
        <is>
          <t>EX-2101</t>
        </is>
      </c>
      <c r="D1090" s="156" t="inlineStr">
        <is>
          <t>HD-904</t>
        </is>
      </c>
      <c r="E1090" s="156" t="inlineStr">
        <is>
          <t>OB</t>
        </is>
      </c>
      <c r="F1090" s="156" t="n">
        <v>5</v>
      </c>
      <c r="G1090" s="156" t="inlineStr"/>
      <c r="H1090" s="157">
        <f>IF($B1090="","",IF(ISNA(MATCH($B1090,MASTER_JAM!$Q$5:$Q$28,0)),"?",IF(MATCH($B1090,MASTER_JAM!$Q$5:$Q$28,0)&lt;=12,"DS","NS")))</f>
        <v/>
      </c>
      <c r="I1090" s="157">
        <f>IFERROR(INDEX(MASTER_JAM!$B$5:$B$94,MATCH($C1090,MASTER_JAM!$A$5:$A$94,0)),"")</f>
        <v/>
      </c>
      <c r="J1090" s="157">
        <f>IFERROR(INDEX(MASTER_JAM!$E$5:$E$94,MATCH($D1090,MASTER_JAM!$A$5:$A$94,0)),"")</f>
        <v/>
      </c>
      <c r="K1090" s="158">
        <f>IFERROR(INDEX(MASTER_JAM!$J$5:$O$12,MATCH($E1090,MASTER_JAM!$I$5:$I$12,0),MATCH($J1090,MASTER_JAM!$J$4:$O$4,0))+0,0)</f>
        <v/>
      </c>
      <c r="L1090" s="159">
        <f>N($F1090)*$K1090</f>
        <v/>
      </c>
      <c r="M1090" s="157">
        <f>IF($E1090="","",IF(OR($E1090="Coal",$E1090="Dirty Coal"),"MT","BCM"))</f>
        <v/>
      </c>
      <c r="N1090" s="157">
        <f>IF($E1090="","",IF(OR($E1090="Coal",$E1090="Dirty Coal"),"Coal","OB"))</f>
        <v/>
      </c>
      <c r="O1090" s="157">
        <f>IF($F1090="","",IF(COUNTIF(MASTER_JAM!$A$5:$A$94,$C1090)=0,"Digger tidak dikenal",IF($J1090="","Hauler tidak dikenal",IF($H1090="?","Jam salah",IF($K1090=0,"Faktor kosong",IF(SUMIFS(INPUT_DELAY!$E$5:$E$20000,INPUT_DELAY!$A$5:$A$20000,$A1090,INPUT_DELAY!$B$5:$B$20000,$B1090,INPUT_DELAY!$C$5:$C$20000,$C1090)+SUMIFS(INPUT_DELAY!$E$5:$E$20000,INPUT_DELAY!$A$5:$A$20000,$A1090,INPUT_DELAY!$B$5:$B$20000,$B1090,INPUT_DELAY!$C$5:$C$20000,"SEMUA")&gt;=60,"Delay 60 mnt tapi ada ritase","OK"))))))</f>
        <v/>
      </c>
      <c r="P1090" s="158">
        <f>IFERROR(INDEX(MASTER_JAM!$Z$5:$AC$10,MATCH($I1090,MASTER_JAM!$Y$5:$Y$10,0),MATCH($J1090,MASTER_JAM!$Z$4:$AC$4,0))+0,0)</f>
        <v/>
      </c>
      <c r="Q1090" s="158">
        <f>IF($P1090=0,0,$P1090+IFERROR(INDEX(MASTER_JAM!$H$5:$H$94,MATCH($C1090,MASTER_JAM!$A$5:$A$94,0))+0,MASTER_JAM!$AC$15)/1000*(60/MASTER_JAM!$AC$12+60/MASTER_JAM!$AC$13)+MASTER_JAM!$AC$14)</f>
        <v/>
      </c>
      <c r="R1090" s="158">
        <f>IF(N($F1090)=0,0,$F1090/SUMIFS(INPUT_RITASE!$F$5:$F$20000,INPUT_RITASE!$A$5:$A$20000,$A1090,INPUT_RITASE!$B$5:$B$20000,$B1090,INPUT_RITASE!$C$5:$C$20000,$C1090,INPUT_RITASE!$D$5:$D$20000,$D1090))</f>
        <v/>
      </c>
      <c r="S1090" s="158">
        <f>IF($Q1090=0,0,$R1090*$P1090/$Q1090)</f>
        <v/>
      </c>
    </row>
    <row r="1091">
      <c r="A1091" s="155" t="n">
        <v>46107</v>
      </c>
      <c r="B1091" s="156" t="inlineStr">
        <is>
          <t>18-19</t>
        </is>
      </c>
      <c r="C1091" s="156" t="inlineStr">
        <is>
          <t>EX-2101</t>
        </is>
      </c>
      <c r="D1091" s="156" t="inlineStr">
        <is>
          <t>HD-901</t>
        </is>
      </c>
      <c r="E1091" s="156" t="inlineStr">
        <is>
          <t>OB</t>
        </is>
      </c>
      <c r="F1091" s="156" t="n">
        <v>5</v>
      </c>
      <c r="G1091" s="156" t="inlineStr"/>
      <c r="H1091" s="157">
        <f>IF($B1091="","",IF(ISNA(MATCH($B1091,MASTER_JAM!$Q$5:$Q$28,0)),"?",IF(MATCH($B1091,MASTER_JAM!$Q$5:$Q$28,0)&lt;=12,"DS","NS")))</f>
        <v/>
      </c>
      <c r="I1091" s="157">
        <f>IFERROR(INDEX(MASTER_JAM!$B$5:$B$94,MATCH($C1091,MASTER_JAM!$A$5:$A$94,0)),"")</f>
        <v/>
      </c>
      <c r="J1091" s="157">
        <f>IFERROR(INDEX(MASTER_JAM!$E$5:$E$94,MATCH($D1091,MASTER_JAM!$A$5:$A$94,0)),"")</f>
        <v/>
      </c>
      <c r="K1091" s="158">
        <f>IFERROR(INDEX(MASTER_JAM!$J$5:$O$12,MATCH($E1091,MASTER_JAM!$I$5:$I$12,0),MATCH($J1091,MASTER_JAM!$J$4:$O$4,0))+0,0)</f>
        <v/>
      </c>
      <c r="L1091" s="159">
        <f>N($F1091)*$K1091</f>
        <v/>
      </c>
      <c r="M1091" s="157">
        <f>IF($E1091="","",IF(OR($E1091="Coal",$E1091="Dirty Coal"),"MT","BCM"))</f>
        <v/>
      </c>
      <c r="N1091" s="157">
        <f>IF($E1091="","",IF(OR($E1091="Coal",$E1091="Dirty Coal"),"Coal","OB"))</f>
        <v/>
      </c>
      <c r="O1091" s="157">
        <f>IF($F1091="","",IF(COUNTIF(MASTER_JAM!$A$5:$A$94,$C1091)=0,"Digger tidak dikenal",IF($J1091="","Hauler tidak dikenal",IF($H1091="?","Jam salah",IF($K1091=0,"Faktor kosong",IF(SUMIFS(INPUT_DELAY!$E$5:$E$20000,INPUT_DELAY!$A$5:$A$20000,$A1091,INPUT_DELAY!$B$5:$B$20000,$B1091,INPUT_DELAY!$C$5:$C$20000,$C1091)+SUMIFS(INPUT_DELAY!$E$5:$E$20000,INPUT_DELAY!$A$5:$A$20000,$A1091,INPUT_DELAY!$B$5:$B$20000,$B1091,INPUT_DELAY!$C$5:$C$20000,"SEMUA")&gt;=60,"Delay 60 mnt tapi ada ritase","OK"))))))</f>
        <v/>
      </c>
      <c r="P1091" s="158">
        <f>IFERROR(INDEX(MASTER_JAM!$Z$5:$AC$10,MATCH($I1091,MASTER_JAM!$Y$5:$Y$10,0),MATCH($J1091,MASTER_JAM!$Z$4:$AC$4,0))+0,0)</f>
        <v/>
      </c>
      <c r="Q1091" s="158">
        <f>IF($P1091=0,0,$P1091+IFERROR(INDEX(MASTER_JAM!$H$5:$H$94,MATCH($C1091,MASTER_JAM!$A$5:$A$94,0))+0,MASTER_JAM!$AC$15)/1000*(60/MASTER_JAM!$AC$12+60/MASTER_JAM!$AC$13)+MASTER_JAM!$AC$14)</f>
        <v/>
      </c>
      <c r="R1091" s="158">
        <f>IF(N($F1091)=0,0,$F1091/SUMIFS(INPUT_RITASE!$F$5:$F$20000,INPUT_RITASE!$A$5:$A$20000,$A1091,INPUT_RITASE!$B$5:$B$20000,$B1091,INPUT_RITASE!$C$5:$C$20000,$C1091,INPUT_RITASE!$D$5:$D$20000,$D1091))</f>
        <v/>
      </c>
      <c r="S1091" s="158">
        <f>IF($Q1091=0,0,$R1091*$P1091/$Q1091)</f>
        <v/>
      </c>
    </row>
    <row r="1092">
      <c r="A1092" s="155" t="n">
        <v>46107</v>
      </c>
      <c r="B1092" s="156" t="inlineStr">
        <is>
          <t>18-19</t>
        </is>
      </c>
      <c r="C1092" s="156" t="inlineStr">
        <is>
          <t>EX-2101</t>
        </is>
      </c>
      <c r="D1092" s="156" t="inlineStr">
        <is>
          <t>HD-903</t>
        </is>
      </c>
      <c r="E1092" s="156" t="inlineStr">
        <is>
          <t>OB</t>
        </is>
      </c>
      <c r="F1092" s="156" t="n">
        <v>4</v>
      </c>
      <c r="G1092" s="156" t="inlineStr"/>
      <c r="H1092" s="157">
        <f>IF($B1092="","",IF(ISNA(MATCH($B1092,MASTER_JAM!$Q$5:$Q$28,0)),"?",IF(MATCH($B1092,MASTER_JAM!$Q$5:$Q$28,0)&lt;=12,"DS","NS")))</f>
        <v/>
      </c>
      <c r="I1092" s="157">
        <f>IFERROR(INDEX(MASTER_JAM!$B$5:$B$94,MATCH($C1092,MASTER_JAM!$A$5:$A$94,0)),"")</f>
        <v/>
      </c>
      <c r="J1092" s="157">
        <f>IFERROR(INDEX(MASTER_JAM!$E$5:$E$94,MATCH($D1092,MASTER_JAM!$A$5:$A$94,0)),"")</f>
        <v/>
      </c>
      <c r="K1092" s="158">
        <f>IFERROR(INDEX(MASTER_JAM!$J$5:$O$12,MATCH($E1092,MASTER_JAM!$I$5:$I$12,0),MATCH($J1092,MASTER_JAM!$J$4:$O$4,0))+0,0)</f>
        <v/>
      </c>
      <c r="L1092" s="159">
        <f>N($F1092)*$K1092</f>
        <v/>
      </c>
      <c r="M1092" s="157">
        <f>IF($E1092="","",IF(OR($E1092="Coal",$E1092="Dirty Coal"),"MT","BCM"))</f>
        <v/>
      </c>
      <c r="N1092" s="157">
        <f>IF($E1092="","",IF(OR($E1092="Coal",$E1092="Dirty Coal"),"Coal","OB"))</f>
        <v/>
      </c>
      <c r="O1092" s="157">
        <f>IF($F1092="","",IF(COUNTIF(MASTER_JAM!$A$5:$A$94,$C1092)=0,"Digger tidak dikenal",IF($J1092="","Hauler tidak dikenal",IF($H1092="?","Jam salah",IF($K1092=0,"Faktor kosong",IF(SUMIFS(INPUT_DELAY!$E$5:$E$20000,INPUT_DELAY!$A$5:$A$20000,$A1092,INPUT_DELAY!$B$5:$B$20000,$B1092,INPUT_DELAY!$C$5:$C$20000,$C1092)+SUMIFS(INPUT_DELAY!$E$5:$E$20000,INPUT_DELAY!$A$5:$A$20000,$A1092,INPUT_DELAY!$B$5:$B$20000,$B1092,INPUT_DELAY!$C$5:$C$20000,"SEMUA")&gt;=60,"Delay 60 mnt tapi ada ritase","OK"))))))</f>
        <v/>
      </c>
      <c r="P1092" s="158">
        <f>IFERROR(INDEX(MASTER_JAM!$Z$5:$AC$10,MATCH($I1092,MASTER_JAM!$Y$5:$Y$10,0),MATCH($J1092,MASTER_JAM!$Z$4:$AC$4,0))+0,0)</f>
        <v/>
      </c>
      <c r="Q1092" s="158">
        <f>IF($P1092=0,0,$P1092+IFERROR(INDEX(MASTER_JAM!$H$5:$H$94,MATCH($C1092,MASTER_JAM!$A$5:$A$94,0))+0,MASTER_JAM!$AC$15)/1000*(60/MASTER_JAM!$AC$12+60/MASTER_JAM!$AC$13)+MASTER_JAM!$AC$14)</f>
        <v/>
      </c>
      <c r="R1092" s="158">
        <f>IF(N($F1092)=0,0,$F1092/SUMIFS(INPUT_RITASE!$F$5:$F$20000,INPUT_RITASE!$A$5:$A$20000,$A1092,INPUT_RITASE!$B$5:$B$20000,$B1092,INPUT_RITASE!$C$5:$C$20000,$C1092,INPUT_RITASE!$D$5:$D$20000,$D1092))</f>
        <v/>
      </c>
      <c r="S1092" s="158">
        <f>IF($Q1092=0,0,$R1092*$P1092/$Q1092)</f>
        <v/>
      </c>
    </row>
    <row r="1093">
      <c r="A1093" s="155" t="n">
        <v>46107</v>
      </c>
      <c r="B1093" s="156" t="inlineStr">
        <is>
          <t>18-19</t>
        </is>
      </c>
      <c r="C1093" s="156" t="inlineStr">
        <is>
          <t>EX-2101</t>
        </is>
      </c>
      <c r="D1093" s="156" t="inlineStr">
        <is>
          <t>DT-508</t>
        </is>
      </c>
      <c r="E1093" s="156" t="inlineStr">
        <is>
          <t>OB</t>
        </is>
      </c>
      <c r="F1093" s="156" t="n">
        <v>3</v>
      </c>
      <c r="G1093" s="156" t="inlineStr"/>
      <c r="H1093" s="157">
        <f>IF($B1093="","",IF(ISNA(MATCH($B1093,MASTER_JAM!$Q$5:$Q$28,0)),"?",IF(MATCH($B1093,MASTER_JAM!$Q$5:$Q$28,0)&lt;=12,"DS","NS")))</f>
        <v/>
      </c>
      <c r="I1093" s="157">
        <f>IFERROR(INDEX(MASTER_JAM!$B$5:$B$94,MATCH($C1093,MASTER_JAM!$A$5:$A$94,0)),"")</f>
        <v/>
      </c>
      <c r="J1093" s="157">
        <f>IFERROR(INDEX(MASTER_JAM!$E$5:$E$94,MATCH($D1093,MASTER_JAM!$A$5:$A$94,0)),"")</f>
        <v/>
      </c>
      <c r="K1093" s="158">
        <f>IFERROR(INDEX(MASTER_JAM!$J$5:$O$12,MATCH($E1093,MASTER_JAM!$I$5:$I$12,0),MATCH($J1093,MASTER_JAM!$J$4:$O$4,0))+0,0)</f>
        <v/>
      </c>
      <c r="L1093" s="159">
        <f>N($F1093)*$K1093</f>
        <v/>
      </c>
      <c r="M1093" s="157">
        <f>IF($E1093="","",IF(OR($E1093="Coal",$E1093="Dirty Coal"),"MT","BCM"))</f>
        <v/>
      </c>
      <c r="N1093" s="157">
        <f>IF($E1093="","",IF(OR($E1093="Coal",$E1093="Dirty Coal"),"Coal","OB"))</f>
        <v/>
      </c>
      <c r="O1093" s="157">
        <f>IF($F1093="","",IF(COUNTIF(MASTER_JAM!$A$5:$A$94,$C1093)=0,"Digger tidak dikenal",IF($J1093="","Hauler tidak dikenal",IF($H1093="?","Jam salah",IF($K1093=0,"Faktor kosong",IF(SUMIFS(INPUT_DELAY!$E$5:$E$20000,INPUT_DELAY!$A$5:$A$20000,$A1093,INPUT_DELAY!$B$5:$B$20000,$B1093,INPUT_DELAY!$C$5:$C$20000,$C1093)+SUMIFS(INPUT_DELAY!$E$5:$E$20000,INPUT_DELAY!$A$5:$A$20000,$A1093,INPUT_DELAY!$B$5:$B$20000,$B1093,INPUT_DELAY!$C$5:$C$20000,"SEMUA")&gt;=60,"Delay 60 mnt tapi ada ritase","OK"))))))</f>
        <v/>
      </c>
      <c r="P1093" s="158">
        <f>IFERROR(INDEX(MASTER_JAM!$Z$5:$AC$10,MATCH($I1093,MASTER_JAM!$Y$5:$Y$10,0),MATCH($J1093,MASTER_JAM!$Z$4:$AC$4,0))+0,0)</f>
        <v/>
      </c>
      <c r="Q1093" s="158">
        <f>IF($P1093=0,0,$P1093+IFERROR(INDEX(MASTER_JAM!$H$5:$H$94,MATCH($C1093,MASTER_JAM!$A$5:$A$94,0))+0,MASTER_JAM!$AC$15)/1000*(60/MASTER_JAM!$AC$12+60/MASTER_JAM!$AC$13)+MASTER_JAM!$AC$14)</f>
        <v/>
      </c>
      <c r="R1093" s="158">
        <f>IF(N($F1093)=0,0,$F1093/SUMIFS(INPUT_RITASE!$F$5:$F$20000,INPUT_RITASE!$A$5:$A$20000,$A1093,INPUT_RITASE!$B$5:$B$20000,$B1093,INPUT_RITASE!$C$5:$C$20000,$C1093,INPUT_RITASE!$D$5:$D$20000,$D1093))</f>
        <v/>
      </c>
      <c r="S1093" s="158">
        <f>IF($Q1093=0,0,$R1093*$P1093/$Q1093)</f>
        <v/>
      </c>
    </row>
    <row r="1094">
      <c r="A1094" s="155" t="n">
        <v>46107</v>
      </c>
      <c r="B1094" s="156" t="inlineStr">
        <is>
          <t>18-19</t>
        </is>
      </c>
      <c r="C1094" s="156" t="inlineStr">
        <is>
          <t>EX-2101</t>
        </is>
      </c>
      <c r="D1094" s="156" t="inlineStr">
        <is>
          <t>DT-515</t>
        </is>
      </c>
      <c r="E1094" s="156" t="inlineStr">
        <is>
          <t>OB</t>
        </is>
      </c>
      <c r="F1094" s="156" t="n">
        <v>2</v>
      </c>
      <c r="G1094" s="156" t="inlineStr"/>
      <c r="H1094" s="157">
        <f>IF($B1094="","",IF(ISNA(MATCH($B1094,MASTER_JAM!$Q$5:$Q$28,0)),"?",IF(MATCH($B1094,MASTER_JAM!$Q$5:$Q$28,0)&lt;=12,"DS","NS")))</f>
        <v/>
      </c>
      <c r="I1094" s="157">
        <f>IFERROR(INDEX(MASTER_JAM!$B$5:$B$94,MATCH($C1094,MASTER_JAM!$A$5:$A$94,0)),"")</f>
        <v/>
      </c>
      <c r="J1094" s="157">
        <f>IFERROR(INDEX(MASTER_JAM!$E$5:$E$94,MATCH($D1094,MASTER_JAM!$A$5:$A$94,0)),"")</f>
        <v/>
      </c>
      <c r="K1094" s="158">
        <f>IFERROR(INDEX(MASTER_JAM!$J$5:$O$12,MATCH($E1094,MASTER_JAM!$I$5:$I$12,0),MATCH($J1094,MASTER_JAM!$J$4:$O$4,0))+0,0)</f>
        <v/>
      </c>
      <c r="L1094" s="159">
        <f>N($F1094)*$K1094</f>
        <v/>
      </c>
      <c r="M1094" s="157">
        <f>IF($E1094="","",IF(OR($E1094="Coal",$E1094="Dirty Coal"),"MT","BCM"))</f>
        <v/>
      </c>
      <c r="N1094" s="157">
        <f>IF($E1094="","",IF(OR($E1094="Coal",$E1094="Dirty Coal"),"Coal","OB"))</f>
        <v/>
      </c>
      <c r="O1094" s="157">
        <f>IF($F1094="","",IF(COUNTIF(MASTER_JAM!$A$5:$A$94,$C1094)=0,"Digger tidak dikenal",IF($J1094="","Hauler tidak dikenal",IF($H1094="?","Jam salah",IF($K1094=0,"Faktor kosong",IF(SUMIFS(INPUT_DELAY!$E$5:$E$20000,INPUT_DELAY!$A$5:$A$20000,$A1094,INPUT_DELAY!$B$5:$B$20000,$B1094,INPUT_DELAY!$C$5:$C$20000,$C1094)+SUMIFS(INPUT_DELAY!$E$5:$E$20000,INPUT_DELAY!$A$5:$A$20000,$A1094,INPUT_DELAY!$B$5:$B$20000,$B1094,INPUT_DELAY!$C$5:$C$20000,"SEMUA")&gt;=60,"Delay 60 mnt tapi ada ritase","OK"))))))</f>
        <v/>
      </c>
      <c r="P1094" s="158">
        <f>IFERROR(INDEX(MASTER_JAM!$Z$5:$AC$10,MATCH($I1094,MASTER_JAM!$Y$5:$Y$10,0),MATCH($J1094,MASTER_JAM!$Z$4:$AC$4,0))+0,0)</f>
        <v/>
      </c>
      <c r="Q1094" s="158">
        <f>IF($P1094=0,0,$P1094+IFERROR(INDEX(MASTER_JAM!$H$5:$H$94,MATCH($C1094,MASTER_JAM!$A$5:$A$94,0))+0,MASTER_JAM!$AC$15)/1000*(60/MASTER_JAM!$AC$12+60/MASTER_JAM!$AC$13)+MASTER_JAM!$AC$14)</f>
        <v/>
      </c>
      <c r="R1094" s="158">
        <f>IF(N($F1094)=0,0,$F1094/SUMIFS(INPUT_RITASE!$F$5:$F$20000,INPUT_RITASE!$A$5:$A$20000,$A1094,INPUT_RITASE!$B$5:$B$20000,$B1094,INPUT_RITASE!$C$5:$C$20000,$C1094,INPUT_RITASE!$D$5:$D$20000,$D1094))</f>
        <v/>
      </c>
      <c r="S1094" s="158">
        <f>IF($Q1094=0,0,$R1094*$P1094/$Q1094)</f>
        <v/>
      </c>
    </row>
    <row r="1095">
      <c r="A1095" s="155" t="n">
        <v>46107</v>
      </c>
      <c r="B1095" s="156" t="inlineStr">
        <is>
          <t>19-20</t>
        </is>
      </c>
      <c r="C1095" s="156" t="inlineStr">
        <is>
          <t>EX-2101</t>
        </is>
      </c>
      <c r="D1095" s="156" t="inlineStr">
        <is>
          <t>HD-903</t>
        </is>
      </c>
      <c r="E1095" s="156" t="inlineStr">
        <is>
          <t>OB</t>
        </is>
      </c>
      <c r="F1095" s="156" t="n">
        <v>6</v>
      </c>
      <c r="G1095" s="156" t="inlineStr"/>
      <c r="H1095" s="157">
        <f>IF($B1095="","",IF(ISNA(MATCH($B1095,MASTER_JAM!$Q$5:$Q$28,0)),"?",IF(MATCH($B1095,MASTER_JAM!$Q$5:$Q$28,0)&lt;=12,"DS","NS")))</f>
        <v/>
      </c>
      <c r="I1095" s="157">
        <f>IFERROR(INDEX(MASTER_JAM!$B$5:$B$94,MATCH($C1095,MASTER_JAM!$A$5:$A$94,0)),"")</f>
        <v/>
      </c>
      <c r="J1095" s="157">
        <f>IFERROR(INDEX(MASTER_JAM!$E$5:$E$94,MATCH($D1095,MASTER_JAM!$A$5:$A$94,0)),"")</f>
        <v/>
      </c>
      <c r="K1095" s="158">
        <f>IFERROR(INDEX(MASTER_JAM!$J$5:$O$12,MATCH($E1095,MASTER_JAM!$I$5:$I$12,0),MATCH($J1095,MASTER_JAM!$J$4:$O$4,0))+0,0)</f>
        <v/>
      </c>
      <c r="L1095" s="159">
        <f>N($F1095)*$K1095</f>
        <v/>
      </c>
      <c r="M1095" s="157">
        <f>IF($E1095="","",IF(OR($E1095="Coal",$E1095="Dirty Coal"),"MT","BCM"))</f>
        <v/>
      </c>
      <c r="N1095" s="157">
        <f>IF($E1095="","",IF(OR($E1095="Coal",$E1095="Dirty Coal"),"Coal","OB"))</f>
        <v/>
      </c>
      <c r="O1095" s="157">
        <f>IF($F1095="","",IF(COUNTIF(MASTER_JAM!$A$5:$A$94,$C1095)=0,"Digger tidak dikenal",IF($J1095="","Hauler tidak dikenal",IF($H1095="?","Jam salah",IF($K1095=0,"Faktor kosong",IF(SUMIFS(INPUT_DELAY!$E$5:$E$20000,INPUT_DELAY!$A$5:$A$20000,$A1095,INPUT_DELAY!$B$5:$B$20000,$B1095,INPUT_DELAY!$C$5:$C$20000,$C1095)+SUMIFS(INPUT_DELAY!$E$5:$E$20000,INPUT_DELAY!$A$5:$A$20000,$A1095,INPUT_DELAY!$B$5:$B$20000,$B1095,INPUT_DELAY!$C$5:$C$20000,"SEMUA")&gt;=60,"Delay 60 mnt tapi ada ritase","OK"))))))</f>
        <v/>
      </c>
      <c r="P1095" s="158">
        <f>IFERROR(INDEX(MASTER_JAM!$Z$5:$AC$10,MATCH($I1095,MASTER_JAM!$Y$5:$Y$10,0),MATCH($J1095,MASTER_JAM!$Z$4:$AC$4,0))+0,0)</f>
        <v/>
      </c>
      <c r="Q1095" s="158">
        <f>IF($P1095=0,0,$P1095+IFERROR(INDEX(MASTER_JAM!$H$5:$H$94,MATCH($C1095,MASTER_JAM!$A$5:$A$94,0))+0,MASTER_JAM!$AC$15)/1000*(60/MASTER_JAM!$AC$12+60/MASTER_JAM!$AC$13)+MASTER_JAM!$AC$14)</f>
        <v/>
      </c>
      <c r="R1095" s="158">
        <f>IF(N($F1095)=0,0,$F1095/SUMIFS(INPUT_RITASE!$F$5:$F$20000,INPUT_RITASE!$A$5:$A$20000,$A1095,INPUT_RITASE!$B$5:$B$20000,$B1095,INPUT_RITASE!$C$5:$C$20000,$C1095,INPUT_RITASE!$D$5:$D$20000,$D1095))</f>
        <v/>
      </c>
      <c r="S1095" s="158">
        <f>IF($Q1095=0,0,$R1095*$P1095/$Q1095)</f>
        <v/>
      </c>
    </row>
    <row r="1096">
      <c r="A1096" s="155" t="n">
        <v>46107</v>
      </c>
      <c r="B1096" s="156" t="inlineStr">
        <is>
          <t>19-20</t>
        </is>
      </c>
      <c r="C1096" s="156" t="inlineStr">
        <is>
          <t>EX-2101</t>
        </is>
      </c>
      <c r="D1096" s="156" t="inlineStr">
        <is>
          <t>HD-904</t>
        </is>
      </c>
      <c r="E1096" s="156" t="inlineStr">
        <is>
          <t>OB</t>
        </is>
      </c>
      <c r="F1096" s="156" t="n">
        <v>6</v>
      </c>
      <c r="G1096" s="156" t="inlineStr"/>
      <c r="H1096" s="157">
        <f>IF($B1096="","",IF(ISNA(MATCH($B1096,MASTER_JAM!$Q$5:$Q$28,0)),"?",IF(MATCH($B1096,MASTER_JAM!$Q$5:$Q$28,0)&lt;=12,"DS","NS")))</f>
        <v/>
      </c>
      <c r="I1096" s="157">
        <f>IFERROR(INDEX(MASTER_JAM!$B$5:$B$94,MATCH($C1096,MASTER_JAM!$A$5:$A$94,0)),"")</f>
        <v/>
      </c>
      <c r="J1096" s="157">
        <f>IFERROR(INDEX(MASTER_JAM!$E$5:$E$94,MATCH($D1096,MASTER_JAM!$A$5:$A$94,0)),"")</f>
        <v/>
      </c>
      <c r="K1096" s="158">
        <f>IFERROR(INDEX(MASTER_JAM!$J$5:$O$12,MATCH($E1096,MASTER_JAM!$I$5:$I$12,0),MATCH($J1096,MASTER_JAM!$J$4:$O$4,0))+0,0)</f>
        <v/>
      </c>
      <c r="L1096" s="159">
        <f>N($F1096)*$K1096</f>
        <v/>
      </c>
      <c r="M1096" s="157">
        <f>IF($E1096="","",IF(OR($E1096="Coal",$E1096="Dirty Coal"),"MT","BCM"))</f>
        <v/>
      </c>
      <c r="N1096" s="157">
        <f>IF($E1096="","",IF(OR($E1096="Coal",$E1096="Dirty Coal"),"Coal","OB"))</f>
        <v/>
      </c>
      <c r="O1096" s="157">
        <f>IF($F1096="","",IF(COUNTIF(MASTER_JAM!$A$5:$A$94,$C1096)=0,"Digger tidak dikenal",IF($J1096="","Hauler tidak dikenal",IF($H1096="?","Jam salah",IF($K1096=0,"Faktor kosong",IF(SUMIFS(INPUT_DELAY!$E$5:$E$20000,INPUT_DELAY!$A$5:$A$20000,$A1096,INPUT_DELAY!$B$5:$B$20000,$B1096,INPUT_DELAY!$C$5:$C$20000,$C1096)+SUMIFS(INPUT_DELAY!$E$5:$E$20000,INPUT_DELAY!$A$5:$A$20000,$A1096,INPUT_DELAY!$B$5:$B$20000,$B1096,INPUT_DELAY!$C$5:$C$20000,"SEMUA")&gt;=60,"Delay 60 mnt tapi ada ritase","OK"))))))</f>
        <v/>
      </c>
      <c r="P1096" s="158">
        <f>IFERROR(INDEX(MASTER_JAM!$Z$5:$AC$10,MATCH($I1096,MASTER_JAM!$Y$5:$Y$10,0),MATCH($J1096,MASTER_JAM!$Z$4:$AC$4,0))+0,0)</f>
        <v/>
      </c>
      <c r="Q1096" s="158">
        <f>IF($P1096=0,0,$P1096+IFERROR(INDEX(MASTER_JAM!$H$5:$H$94,MATCH($C1096,MASTER_JAM!$A$5:$A$94,0))+0,MASTER_JAM!$AC$15)/1000*(60/MASTER_JAM!$AC$12+60/MASTER_JAM!$AC$13)+MASTER_JAM!$AC$14)</f>
        <v/>
      </c>
      <c r="R1096" s="158">
        <f>IF(N($F1096)=0,0,$F1096/SUMIFS(INPUT_RITASE!$F$5:$F$20000,INPUT_RITASE!$A$5:$A$20000,$A1096,INPUT_RITASE!$B$5:$B$20000,$B1096,INPUT_RITASE!$C$5:$C$20000,$C1096,INPUT_RITASE!$D$5:$D$20000,$D1096))</f>
        <v/>
      </c>
      <c r="S1096" s="158">
        <f>IF($Q1096=0,0,$R1096*$P1096/$Q1096)</f>
        <v/>
      </c>
    </row>
    <row r="1097">
      <c r="A1097" s="155" t="n">
        <v>46107</v>
      </c>
      <c r="B1097" s="156" t="inlineStr">
        <is>
          <t>19-20</t>
        </is>
      </c>
      <c r="C1097" s="156" t="inlineStr">
        <is>
          <t>EX-2101</t>
        </is>
      </c>
      <c r="D1097" s="156" t="inlineStr">
        <is>
          <t>HD-901</t>
        </is>
      </c>
      <c r="E1097" s="156" t="inlineStr">
        <is>
          <t>OB</t>
        </is>
      </c>
      <c r="F1097" s="156" t="n">
        <v>5</v>
      </c>
      <c r="G1097" s="156" t="inlineStr"/>
      <c r="H1097" s="157">
        <f>IF($B1097="","",IF(ISNA(MATCH($B1097,MASTER_JAM!$Q$5:$Q$28,0)),"?",IF(MATCH($B1097,MASTER_JAM!$Q$5:$Q$28,0)&lt;=12,"DS","NS")))</f>
        <v/>
      </c>
      <c r="I1097" s="157">
        <f>IFERROR(INDEX(MASTER_JAM!$B$5:$B$94,MATCH($C1097,MASTER_JAM!$A$5:$A$94,0)),"")</f>
        <v/>
      </c>
      <c r="J1097" s="157">
        <f>IFERROR(INDEX(MASTER_JAM!$E$5:$E$94,MATCH($D1097,MASTER_JAM!$A$5:$A$94,0)),"")</f>
        <v/>
      </c>
      <c r="K1097" s="158">
        <f>IFERROR(INDEX(MASTER_JAM!$J$5:$O$12,MATCH($E1097,MASTER_JAM!$I$5:$I$12,0),MATCH($J1097,MASTER_JAM!$J$4:$O$4,0))+0,0)</f>
        <v/>
      </c>
      <c r="L1097" s="159">
        <f>N($F1097)*$K1097</f>
        <v/>
      </c>
      <c r="M1097" s="157">
        <f>IF($E1097="","",IF(OR($E1097="Coal",$E1097="Dirty Coal"),"MT","BCM"))</f>
        <v/>
      </c>
      <c r="N1097" s="157">
        <f>IF($E1097="","",IF(OR($E1097="Coal",$E1097="Dirty Coal"),"Coal","OB"))</f>
        <v/>
      </c>
      <c r="O1097" s="157">
        <f>IF($F1097="","",IF(COUNTIF(MASTER_JAM!$A$5:$A$94,$C1097)=0,"Digger tidak dikenal",IF($J1097="","Hauler tidak dikenal",IF($H1097="?","Jam salah",IF($K1097=0,"Faktor kosong",IF(SUMIFS(INPUT_DELAY!$E$5:$E$20000,INPUT_DELAY!$A$5:$A$20000,$A1097,INPUT_DELAY!$B$5:$B$20000,$B1097,INPUT_DELAY!$C$5:$C$20000,$C1097)+SUMIFS(INPUT_DELAY!$E$5:$E$20000,INPUT_DELAY!$A$5:$A$20000,$A1097,INPUT_DELAY!$B$5:$B$20000,$B1097,INPUT_DELAY!$C$5:$C$20000,"SEMUA")&gt;=60,"Delay 60 mnt tapi ada ritase","OK"))))))</f>
        <v/>
      </c>
      <c r="P1097" s="158">
        <f>IFERROR(INDEX(MASTER_JAM!$Z$5:$AC$10,MATCH($I1097,MASTER_JAM!$Y$5:$Y$10,0),MATCH($J1097,MASTER_JAM!$Z$4:$AC$4,0))+0,0)</f>
        <v/>
      </c>
      <c r="Q1097" s="158">
        <f>IF($P1097=0,0,$P1097+IFERROR(INDEX(MASTER_JAM!$H$5:$H$94,MATCH($C1097,MASTER_JAM!$A$5:$A$94,0))+0,MASTER_JAM!$AC$15)/1000*(60/MASTER_JAM!$AC$12+60/MASTER_JAM!$AC$13)+MASTER_JAM!$AC$14)</f>
        <v/>
      </c>
      <c r="R1097" s="158">
        <f>IF(N($F1097)=0,0,$F1097/SUMIFS(INPUT_RITASE!$F$5:$F$20000,INPUT_RITASE!$A$5:$A$20000,$A1097,INPUT_RITASE!$B$5:$B$20000,$B1097,INPUT_RITASE!$C$5:$C$20000,$C1097,INPUT_RITASE!$D$5:$D$20000,$D1097))</f>
        <v/>
      </c>
      <c r="S1097" s="158">
        <f>IF($Q1097=0,0,$R1097*$P1097/$Q1097)</f>
        <v/>
      </c>
    </row>
    <row r="1098">
      <c r="A1098" s="155" t="n">
        <v>46107</v>
      </c>
      <c r="B1098" s="156" t="inlineStr">
        <is>
          <t>19-20</t>
        </is>
      </c>
      <c r="C1098" s="156" t="inlineStr">
        <is>
          <t>EX-2101</t>
        </is>
      </c>
      <c r="D1098" s="156" t="inlineStr">
        <is>
          <t>DT-518</t>
        </is>
      </c>
      <c r="E1098" s="156" t="inlineStr">
        <is>
          <t>OB</t>
        </is>
      </c>
      <c r="F1098" s="156" t="n">
        <v>4</v>
      </c>
      <c r="G1098" s="156" t="inlineStr"/>
      <c r="H1098" s="157">
        <f>IF($B1098="","",IF(ISNA(MATCH($B1098,MASTER_JAM!$Q$5:$Q$28,0)),"?",IF(MATCH($B1098,MASTER_JAM!$Q$5:$Q$28,0)&lt;=12,"DS","NS")))</f>
        <v/>
      </c>
      <c r="I1098" s="157">
        <f>IFERROR(INDEX(MASTER_JAM!$B$5:$B$94,MATCH($C1098,MASTER_JAM!$A$5:$A$94,0)),"")</f>
        <v/>
      </c>
      <c r="J1098" s="157">
        <f>IFERROR(INDEX(MASTER_JAM!$E$5:$E$94,MATCH($D1098,MASTER_JAM!$A$5:$A$94,0)),"")</f>
        <v/>
      </c>
      <c r="K1098" s="158">
        <f>IFERROR(INDEX(MASTER_JAM!$J$5:$O$12,MATCH($E1098,MASTER_JAM!$I$5:$I$12,0),MATCH($J1098,MASTER_JAM!$J$4:$O$4,0))+0,0)</f>
        <v/>
      </c>
      <c r="L1098" s="159">
        <f>N($F1098)*$K1098</f>
        <v/>
      </c>
      <c r="M1098" s="157">
        <f>IF($E1098="","",IF(OR($E1098="Coal",$E1098="Dirty Coal"),"MT","BCM"))</f>
        <v/>
      </c>
      <c r="N1098" s="157">
        <f>IF($E1098="","",IF(OR($E1098="Coal",$E1098="Dirty Coal"),"Coal","OB"))</f>
        <v/>
      </c>
      <c r="O1098" s="157">
        <f>IF($F1098="","",IF(COUNTIF(MASTER_JAM!$A$5:$A$94,$C1098)=0,"Digger tidak dikenal",IF($J1098="","Hauler tidak dikenal",IF($H1098="?","Jam salah",IF($K1098=0,"Faktor kosong",IF(SUMIFS(INPUT_DELAY!$E$5:$E$20000,INPUT_DELAY!$A$5:$A$20000,$A1098,INPUT_DELAY!$B$5:$B$20000,$B1098,INPUT_DELAY!$C$5:$C$20000,$C1098)+SUMIFS(INPUT_DELAY!$E$5:$E$20000,INPUT_DELAY!$A$5:$A$20000,$A1098,INPUT_DELAY!$B$5:$B$20000,$B1098,INPUT_DELAY!$C$5:$C$20000,"SEMUA")&gt;=60,"Delay 60 mnt tapi ada ritase","OK"))))))</f>
        <v/>
      </c>
      <c r="P1098" s="158">
        <f>IFERROR(INDEX(MASTER_JAM!$Z$5:$AC$10,MATCH($I1098,MASTER_JAM!$Y$5:$Y$10,0),MATCH($J1098,MASTER_JAM!$Z$4:$AC$4,0))+0,0)</f>
        <v/>
      </c>
      <c r="Q1098" s="158">
        <f>IF($P1098=0,0,$P1098+IFERROR(INDEX(MASTER_JAM!$H$5:$H$94,MATCH($C1098,MASTER_JAM!$A$5:$A$94,0))+0,MASTER_JAM!$AC$15)/1000*(60/MASTER_JAM!$AC$12+60/MASTER_JAM!$AC$13)+MASTER_JAM!$AC$14)</f>
        <v/>
      </c>
      <c r="R1098" s="158">
        <f>IF(N($F1098)=0,0,$F1098/SUMIFS(INPUT_RITASE!$F$5:$F$20000,INPUT_RITASE!$A$5:$A$20000,$A1098,INPUT_RITASE!$B$5:$B$20000,$B1098,INPUT_RITASE!$C$5:$C$20000,$C1098,INPUT_RITASE!$D$5:$D$20000,$D1098))</f>
        <v/>
      </c>
      <c r="S1098" s="158">
        <f>IF($Q1098=0,0,$R1098*$P1098/$Q1098)</f>
        <v/>
      </c>
    </row>
    <row r="1099">
      <c r="A1099" s="155" t="n">
        <v>46107</v>
      </c>
      <c r="B1099" s="156" t="inlineStr">
        <is>
          <t>19-20</t>
        </is>
      </c>
      <c r="C1099" s="156" t="inlineStr">
        <is>
          <t>EX-2101</t>
        </is>
      </c>
      <c r="D1099" s="156" t="inlineStr">
        <is>
          <t>DT-523</t>
        </is>
      </c>
      <c r="E1099" s="156" t="inlineStr">
        <is>
          <t>OB</t>
        </is>
      </c>
      <c r="F1099" s="156" t="n">
        <v>3</v>
      </c>
      <c r="G1099" s="156" t="inlineStr"/>
      <c r="H1099" s="157">
        <f>IF($B1099="","",IF(ISNA(MATCH($B1099,MASTER_JAM!$Q$5:$Q$28,0)),"?",IF(MATCH($B1099,MASTER_JAM!$Q$5:$Q$28,0)&lt;=12,"DS","NS")))</f>
        <v/>
      </c>
      <c r="I1099" s="157">
        <f>IFERROR(INDEX(MASTER_JAM!$B$5:$B$94,MATCH($C1099,MASTER_JAM!$A$5:$A$94,0)),"")</f>
        <v/>
      </c>
      <c r="J1099" s="157">
        <f>IFERROR(INDEX(MASTER_JAM!$E$5:$E$94,MATCH($D1099,MASTER_JAM!$A$5:$A$94,0)),"")</f>
        <v/>
      </c>
      <c r="K1099" s="158">
        <f>IFERROR(INDEX(MASTER_JAM!$J$5:$O$12,MATCH($E1099,MASTER_JAM!$I$5:$I$12,0),MATCH($J1099,MASTER_JAM!$J$4:$O$4,0))+0,0)</f>
        <v/>
      </c>
      <c r="L1099" s="159">
        <f>N($F1099)*$K1099</f>
        <v/>
      </c>
      <c r="M1099" s="157">
        <f>IF($E1099="","",IF(OR($E1099="Coal",$E1099="Dirty Coal"),"MT","BCM"))</f>
        <v/>
      </c>
      <c r="N1099" s="157">
        <f>IF($E1099="","",IF(OR($E1099="Coal",$E1099="Dirty Coal"),"Coal","OB"))</f>
        <v/>
      </c>
      <c r="O1099" s="157">
        <f>IF($F1099="","",IF(COUNTIF(MASTER_JAM!$A$5:$A$94,$C1099)=0,"Digger tidak dikenal",IF($J1099="","Hauler tidak dikenal",IF($H1099="?","Jam salah",IF($K1099=0,"Faktor kosong",IF(SUMIFS(INPUT_DELAY!$E$5:$E$20000,INPUT_DELAY!$A$5:$A$20000,$A1099,INPUT_DELAY!$B$5:$B$20000,$B1099,INPUT_DELAY!$C$5:$C$20000,$C1099)+SUMIFS(INPUT_DELAY!$E$5:$E$20000,INPUT_DELAY!$A$5:$A$20000,$A1099,INPUT_DELAY!$B$5:$B$20000,$B1099,INPUT_DELAY!$C$5:$C$20000,"SEMUA")&gt;=60,"Delay 60 mnt tapi ada ritase","OK"))))))</f>
        <v/>
      </c>
      <c r="P1099" s="158">
        <f>IFERROR(INDEX(MASTER_JAM!$Z$5:$AC$10,MATCH($I1099,MASTER_JAM!$Y$5:$Y$10,0),MATCH($J1099,MASTER_JAM!$Z$4:$AC$4,0))+0,0)</f>
        <v/>
      </c>
      <c r="Q1099" s="158">
        <f>IF($P1099=0,0,$P1099+IFERROR(INDEX(MASTER_JAM!$H$5:$H$94,MATCH($C1099,MASTER_JAM!$A$5:$A$94,0))+0,MASTER_JAM!$AC$15)/1000*(60/MASTER_JAM!$AC$12+60/MASTER_JAM!$AC$13)+MASTER_JAM!$AC$14)</f>
        <v/>
      </c>
      <c r="R1099" s="158">
        <f>IF(N($F1099)=0,0,$F1099/SUMIFS(INPUT_RITASE!$F$5:$F$20000,INPUT_RITASE!$A$5:$A$20000,$A1099,INPUT_RITASE!$B$5:$B$20000,$B1099,INPUT_RITASE!$C$5:$C$20000,$C1099,INPUT_RITASE!$D$5:$D$20000,$D1099))</f>
        <v/>
      </c>
      <c r="S1099" s="158">
        <f>IF($Q1099=0,0,$R1099*$P1099/$Q1099)</f>
        <v/>
      </c>
    </row>
    <row r="1100">
      <c r="A1100" s="155" t="n">
        <v>46107</v>
      </c>
      <c r="B1100" s="156" t="inlineStr">
        <is>
          <t>01-02</t>
        </is>
      </c>
      <c r="C1100" s="156" t="inlineStr">
        <is>
          <t>EX-2101</t>
        </is>
      </c>
      <c r="D1100" s="156" t="inlineStr">
        <is>
          <t>DT-518</t>
        </is>
      </c>
      <c r="E1100" s="156" t="inlineStr">
        <is>
          <t>OB</t>
        </is>
      </c>
      <c r="F1100" s="156" t="n">
        <v>3</v>
      </c>
      <c r="G1100" s="156" t="inlineStr"/>
      <c r="H1100" s="157">
        <f>IF($B1100="","",IF(ISNA(MATCH($B1100,MASTER_JAM!$Q$5:$Q$28,0)),"?",IF(MATCH($B1100,MASTER_JAM!$Q$5:$Q$28,0)&lt;=12,"DS","NS")))</f>
        <v/>
      </c>
      <c r="I1100" s="157">
        <f>IFERROR(INDEX(MASTER_JAM!$B$5:$B$94,MATCH($C1100,MASTER_JAM!$A$5:$A$94,0)),"")</f>
        <v/>
      </c>
      <c r="J1100" s="157">
        <f>IFERROR(INDEX(MASTER_JAM!$E$5:$E$94,MATCH($D1100,MASTER_JAM!$A$5:$A$94,0)),"")</f>
        <v/>
      </c>
      <c r="K1100" s="158">
        <f>IFERROR(INDEX(MASTER_JAM!$J$5:$O$12,MATCH($E1100,MASTER_JAM!$I$5:$I$12,0),MATCH($J1100,MASTER_JAM!$J$4:$O$4,0))+0,0)</f>
        <v/>
      </c>
      <c r="L1100" s="159">
        <f>N($F1100)*$K1100</f>
        <v/>
      </c>
      <c r="M1100" s="157">
        <f>IF($E1100="","",IF(OR($E1100="Coal",$E1100="Dirty Coal"),"MT","BCM"))</f>
        <v/>
      </c>
      <c r="N1100" s="157">
        <f>IF($E1100="","",IF(OR($E1100="Coal",$E1100="Dirty Coal"),"Coal","OB"))</f>
        <v/>
      </c>
      <c r="O1100" s="157">
        <f>IF($F1100="","",IF(COUNTIF(MASTER_JAM!$A$5:$A$94,$C1100)=0,"Digger tidak dikenal",IF($J1100="","Hauler tidak dikenal",IF($H1100="?","Jam salah",IF($K1100=0,"Faktor kosong",IF(SUMIFS(INPUT_DELAY!$E$5:$E$20000,INPUT_DELAY!$A$5:$A$20000,$A1100,INPUT_DELAY!$B$5:$B$20000,$B1100,INPUT_DELAY!$C$5:$C$20000,$C1100)+SUMIFS(INPUT_DELAY!$E$5:$E$20000,INPUT_DELAY!$A$5:$A$20000,$A1100,INPUT_DELAY!$B$5:$B$20000,$B1100,INPUT_DELAY!$C$5:$C$20000,"SEMUA")&gt;=60,"Delay 60 mnt tapi ada ritase","OK"))))))</f>
        <v/>
      </c>
      <c r="P1100" s="158">
        <f>IFERROR(INDEX(MASTER_JAM!$Z$5:$AC$10,MATCH($I1100,MASTER_JAM!$Y$5:$Y$10,0),MATCH($J1100,MASTER_JAM!$Z$4:$AC$4,0))+0,0)</f>
        <v/>
      </c>
      <c r="Q1100" s="158">
        <f>IF($P1100=0,0,$P1100+IFERROR(INDEX(MASTER_JAM!$H$5:$H$94,MATCH($C1100,MASTER_JAM!$A$5:$A$94,0))+0,MASTER_JAM!$AC$15)/1000*(60/MASTER_JAM!$AC$12+60/MASTER_JAM!$AC$13)+MASTER_JAM!$AC$14)</f>
        <v/>
      </c>
      <c r="R1100" s="158">
        <f>IF(N($F1100)=0,0,$F1100/SUMIFS(INPUT_RITASE!$F$5:$F$20000,INPUT_RITASE!$A$5:$A$20000,$A1100,INPUT_RITASE!$B$5:$B$20000,$B1100,INPUT_RITASE!$C$5:$C$20000,$C1100,INPUT_RITASE!$D$5:$D$20000,$D1100))</f>
        <v/>
      </c>
      <c r="S1100" s="158">
        <f>IF($Q1100=0,0,$R1100*$P1100/$Q1100)</f>
        <v/>
      </c>
    </row>
    <row r="1101">
      <c r="A1101" s="155" t="n">
        <v>46107</v>
      </c>
      <c r="B1101" s="156" t="inlineStr">
        <is>
          <t>01-02</t>
        </is>
      </c>
      <c r="C1101" s="156" t="inlineStr">
        <is>
          <t>EX-2101</t>
        </is>
      </c>
      <c r="D1101" s="156" t="inlineStr">
        <is>
          <t>DT-527</t>
        </is>
      </c>
      <c r="E1101" s="156" t="inlineStr">
        <is>
          <t>OB</t>
        </is>
      </c>
      <c r="F1101" s="156" t="n">
        <v>2</v>
      </c>
      <c r="G1101" s="156" t="inlineStr"/>
      <c r="H1101" s="157">
        <f>IF($B1101="","",IF(ISNA(MATCH($B1101,MASTER_JAM!$Q$5:$Q$28,0)),"?",IF(MATCH($B1101,MASTER_JAM!$Q$5:$Q$28,0)&lt;=12,"DS","NS")))</f>
        <v/>
      </c>
      <c r="I1101" s="157">
        <f>IFERROR(INDEX(MASTER_JAM!$B$5:$B$94,MATCH($C1101,MASTER_JAM!$A$5:$A$94,0)),"")</f>
        <v/>
      </c>
      <c r="J1101" s="157">
        <f>IFERROR(INDEX(MASTER_JAM!$E$5:$E$94,MATCH($D1101,MASTER_JAM!$A$5:$A$94,0)),"")</f>
        <v/>
      </c>
      <c r="K1101" s="158">
        <f>IFERROR(INDEX(MASTER_JAM!$J$5:$O$12,MATCH($E1101,MASTER_JAM!$I$5:$I$12,0),MATCH($J1101,MASTER_JAM!$J$4:$O$4,0))+0,0)</f>
        <v/>
      </c>
      <c r="L1101" s="159">
        <f>N($F1101)*$K1101</f>
        <v/>
      </c>
      <c r="M1101" s="157">
        <f>IF($E1101="","",IF(OR($E1101="Coal",$E1101="Dirty Coal"),"MT","BCM"))</f>
        <v/>
      </c>
      <c r="N1101" s="157">
        <f>IF($E1101="","",IF(OR($E1101="Coal",$E1101="Dirty Coal"),"Coal","OB"))</f>
        <v/>
      </c>
      <c r="O1101" s="157">
        <f>IF($F1101="","",IF(COUNTIF(MASTER_JAM!$A$5:$A$94,$C1101)=0,"Digger tidak dikenal",IF($J1101="","Hauler tidak dikenal",IF($H1101="?","Jam salah",IF($K1101=0,"Faktor kosong",IF(SUMIFS(INPUT_DELAY!$E$5:$E$20000,INPUT_DELAY!$A$5:$A$20000,$A1101,INPUT_DELAY!$B$5:$B$20000,$B1101,INPUT_DELAY!$C$5:$C$20000,$C1101)+SUMIFS(INPUT_DELAY!$E$5:$E$20000,INPUT_DELAY!$A$5:$A$20000,$A1101,INPUT_DELAY!$B$5:$B$20000,$B1101,INPUT_DELAY!$C$5:$C$20000,"SEMUA")&gt;=60,"Delay 60 mnt tapi ada ritase","OK"))))))</f>
        <v/>
      </c>
      <c r="P1101" s="158">
        <f>IFERROR(INDEX(MASTER_JAM!$Z$5:$AC$10,MATCH($I1101,MASTER_JAM!$Y$5:$Y$10,0),MATCH($J1101,MASTER_JAM!$Z$4:$AC$4,0))+0,0)</f>
        <v/>
      </c>
      <c r="Q1101" s="158">
        <f>IF($P1101=0,0,$P1101+IFERROR(INDEX(MASTER_JAM!$H$5:$H$94,MATCH($C1101,MASTER_JAM!$A$5:$A$94,0))+0,MASTER_JAM!$AC$15)/1000*(60/MASTER_JAM!$AC$12+60/MASTER_JAM!$AC$13)+MASTER_JAM!$AC$14)</f>
        <v/>
      </c>
      <c r="R1101" s="158">
        <f>IF(N($F1101)=0,0,$F1101/SUMIFS(INPUT_RITASE!$F$5:$F$20000,INPUT_RITASE!$A$5:$A$20000,$A1101,INPUT_RITASE!$B$5:$B$20000,$B1101,INPUT_RITASE!$C$5:$C$20000,$C1101,INPUT_RITASE!$D$5:$D$20000,$D1101))</f>
        <v/>
      </c>
      <c r="S1101" s="158">
        <f>IF($Q1101=0,0,$R1101*$P1101/$Q1101)</f>
        <v/>
      </c>
    </row>
    <row r="1102">
      <c r="A1102" s="155" t="n">
        <v>46107</v>
      </c>
      <c r="B1102" s="156" t="inlineStr">
        <is>
          <t>01-02</t>
        </is>
      </c>
      <c r="C1102" s="156" t="inlineStr">
        <is>
          <t>EX-2101</t>
        </is>
      </c>
      <c r="D1102" s="156" t="inlineStr">
        <is>
          <t>HD-904</t>
        </is>
      </c>
      <c r="E1102" s="156" t="inlineStr">
        <is>
          <t>OB</t>
        </is>
      </c>
      <c r="F1102" s="156" t="n">
        <v>5</v>
      </c>
      <c r="G1102" s="156" t="inlineStr"/>
      <c r="H1102" s="157">
        <f>IF($B1102="","",IF(ISNA(MATCH($B1102,MASTER_JAM!$Q$5:$Q$28,0)),"?",IF(MATCH($B1102,MASTER_JAM!$Q$5:$Q$28,0)&lt;=12,"DS","NS")))</f>
        <v/>
      </c>
      <c r="I1102" s="157">
        <f>IFERROR(INDEX(MASTER_JAM!$B$5:$B$94,MATCH($C1102,MASTER_JAM!$A$5:$A$94,0)),"")</f>
        <v/>
      </c>
      <c r="J1102" s="157">
        <f>IFERROR(INDEX(MASTER_JAM!$E$5:$E$94,MATCH($D1102,MASTER_JAM!$A$5:$A$94,0)),"")</f>
        <v/>
      </c>
      <c r="K1102" s="158">
        <f>IFERROR(INDEX(MASTER_JAM!$J$5:$O$12,MATCH($E1102,MASTER_JAM!$I$5:$I$12,0),MATCH($J1102,MASTER_JAM!$J$4:$O$4,0))+0,0)</f>
        <v/>
      </c>
      <c r="L1102" s="159">
        <f>N($F1102)*$K1102</f>
        <v/>
      </c>
      <c r="M1102" s="157">
        <f>IF($E1102="","",IF(OR($E1102="Coal",$E1102="Dirty Coal"),"MT","BCM"))</f>
        <v/>
      </c>
      <c r="N1102" s="157">
        <f>IF($E1102="","",IF(OR($E1102="Coal",$E1102="Dirty Coal"),"Coal","OB"))</f>
        <v/>
      </c>
      <c r="O1102" s="157">
        <f>IF($F1102="","",IF(COUNTIF(MASTER_JAM!$A$5:$A$94,$C1102)=0,"Digger tidak dikenal",IF($J1102="","Hauler tidak dikenal",IF($H1102="?","Jam salah",IF($K1102=0,"Faktor kosong",IF(SUMIFS(INPUT_DELAY!$E$5:$E$20000,INPUT_DELAY!$A$5:$A$20000,$A1102,INPUT_DELAY!$B$5:$B$20000,$B1102,INPUT_DELAY!$C$5:$C$20000,$C1102)+SUMIFS(INPUT_DELAY!$E$5:$E$20000,INPUT_DELAY!$A$5:$A$20000,$A1102,INPUT_DELAY!$B$5:$B$20000,$B1102,INPUT_DELAY!$C$5:$C$20000,"SEMUA")&gt;=60,"Delay 60 mnt tapi ada ritase","OK"))))))</f>
        <v/>
      </c>
      <c r="P1102" s="158">
        <f>IFERROR(INDEX(MASTER_JAM!$Z$5:$AC$10,MATCH($I1102,MASTER_JAM!$Y$5:$Y$10,0),MATCH($J1102,MASTER_JAM!$Z$4:$AC$4,0))+0,0)</f>
        <v/>
      </c>
      <c r="Q1102" s="158">
        <f>IF($P1102=0,0,$P1102+IFERROR(INDEX(MASTER_JAM!$H$5:$H$94,MATCH($C1102,MASTER_JAM!$A$5:$A$94,0))+0,MASTER_JAM!$AC$15)/1000*(60/MASTER_JAM!$AC$12+60/MASTER_JAM!$AC$13)+MASTER_JAM!$AC$14)</f>
        <v/>
      </c>
      <c r="R1102" s="158">
        <f>IF(N($F1102)=0,0,$F1102/SUMIFS(INPUT_RITASE!$F$5:$F$20000,INPUT_RITASE!$A$5:$A$20000,$A1102,INPUT_RITASE!$B$5:$B$20000,$B1102,INPUT_RITASE!$C$5:$C$20000,$C1102,INPUT_RITASE!$D$5:$D$20000,$D1102))</f>
        <v/>
      </c>
      <c r="S1102" s="158">
        <f>IF($Q1102=0,0,$R1102*$P1102/$Q1102)</f>
        <v/>
      </c>
    </row>
    <row r="1103">
      <c r="A1103" s="155" t="n">
        <v>46107</v>
      </c>
      <c r="B1103" s="156" t="inlineStr">
        <is>
          <t>01-02</t>
        </is>
      </c>
      <c r="C1103" s="156" t="inlineStr">
        <is>
          <t>EX-2101</t>
        </is>
      </c>
      <c r="D1103" s="156" t="inlineStr">
        <is>
          <t>HD-903</t>
        </is>
      </c>
      <c r="E1103" s="156" t="inlineStr">
        <is>
          <t>OB</t>
        </is>
      </c>
      <c r="F1103" s="156" t="n">
        <v>5</v>
      </c>
      <c r="G1103" s="156" t="inlineStr"/>
      <c r="H1103" s="157">
        <f>IF($B1103="","",IF(ISNA(MATCH($B1103,MASTER_JAM!$Q$5:$Q$28,0)),"?",IF(MATCH($B1103,MASTER_JAM!$Q$5:$Q$28,0)&lt;=12,"DS","NS")))</f>
        <v/>
      </c>
      <c r="I1103" s="157">
        <f>IFERROR(INDEX(MASTER_JAM!$B$5:$B$94,MATCH($C1103,MASTER_JAM!$A$5:$A$94,0)),"")</f>
        <v/>
      </c>
      <c r="J1103" s="157">
        <f>IFERROR(INDEX(MASTER_JAM!$E$5:$E$94,MATCH($D1103,MASTER_JAM!$A$5:$A$94,0)),"")</f>
        <v/>
      </c>
      <c r="K1103" s="158">
        <f>IFERROR(INDEX(MASTER_JAM!$J$5:$O$12,MATCH($E1103,MASTER_JAM!$I$5:$I$12,0),MATCH($J1103,MASTER_JAM!$J$4:$O$4,0))+0,0)</f>
        <v/>
      </c>
      <c r="L1103" s="159">
        <f>N($F1103)*$K1103</f>
        <v/>
      </c>
      <c r="M1103" s="157">
        <f>IF($E1103="","",IF(OR($E1103="Coal",$E1103="Dirty Coal"),"MT","BCM"))</f>
        <v/>
      </c>
      <c r="N1103" s="157">
        <f>IF($E1103="","",IF(OR($E1103="Coal",$E1103="Dirty Coal"),"Coal","OB"))</f>
        <v/>
      </c>
      <c r="O1103" s="157">
        <f>IF($F1103="","",IF(COUNTIF(MASTER_JAM!$A$5:$A$94,$C1103)=0,"Digger tidak dikenal",IF($J1103="","Hauler tidak dikenal",IF($H1103="?","Jam salah",IF($K1103=0,"Faktor kosong",IF(SUMIFS(INPUT_DELAY!$E$5:$E$20000,INPUT_DELAY!$A$5:$A$20000,$A1103,INPUT_DELAY!$B$5:$B$20000,$B1103,INPUT_DELAY!$C$5:$C$20000,$C1103)+SUMIFS(INPUT_DELAY!$E$5:$E$20000,INPUT_DELAY!$A$5:$A$20000,$A1103,INPUT_DELAY!$B$5:$B$20000,$B1103,INPUT_DELAY!$C$5:$C$20000,"SEMUA")&gt;=60,"Delay 60 mnt tapi ada ritase","OK"))))))</f>
        <v/>
      </c>
      <c r="P1103" s="158">
        <f>IFERROR(INDEX(MASTER_JAM!$Z$5:$AC$10,MATCH($I1103,MASTER_JAM!$Y$5:$Y$10,0),MATCH($J1103,MASTER_JAM!$Z$4:$AC$4,0))+0,0)</f>
        <v/>
      </c>
      <c r="Q1103" s="158">
        <f>IF($P1103=0,0,$P1103+IFERROR(INDEX(MASTER_JAM!$H$5:$H$94,MATCH($C1103,MASTER_JAM!$A$5:$A$94,0))+0,MASTER_JAM!$AC$15)/1000*(60/MASTER_JAM!$AC$12+60/MASTER_JAM!$AC$13)+MASTER_JAM!$AC$14)</f>
        <v/>
      </c>
      <c r="R1103" s="158">
        <f>IF(N($F1103)=0,0,$F1103/SUMIFS(INPUT_RITASE!$F$5:$F$20000,INPUT_RITASE!$A$5:$A$20000,$A1103,INPUT_RITASE!$B$5:$B$20000,$B1103,INPUT_RITASE!$C$5:$C$20000,$C1103,INPUT_RITASE!$D$5:$D$20000,$D1103))</f>
        <v/>
      </c>
      <c r="S1103" s="158">
        <f>IF($Q1103=0,0,$R1103*$P1103/$Q1103)</f>
        <v/>
      </c>
    </row>
    <row r="1104">
      <c r="A1104" s="155" t="n">
        <v>46107</v>
      </c>
      <c r="B1104" s="156" t="inlineStr">
        <is>
          <t>01-02</t>
        </is>
      </c>
      <c r="C1104" s="156" t="inlineStr">
        <is>
          <t>EX-2101</t>
        </is>
      </c>
      <c r="D1104" s="156" t="inlineStr">
        <is>
          <t>HD-901</t>
        </is>
      </c>
      <c r="E1104" s="156" t="inlineStr">
        <is>
          <t>OB</t>
        </is>
      </c>
      <c r="F1104" s="156" t="n">
        <v>5</v>
      </c>
      <c r="G1104" s="156" t="inlineStr"/>
      <c r="H1104" s="157">
        <f>IF($B1104="","",IF(ISNA(MATCH($B1104,MASTER_JAM!$Q$5:$Q$28,0)),"?",IF(MATCH($B1104,MASTER_JAM!$Q$5:$Q$28,0)&lt;=12,"DS","NS")))</f>
        <v/>
      </c>
      <c r="I1104" s="157">
        <f>IFERROR(INDEX(MASTER_JAM!$B$5:$B$94,MATCH($C1104,MASTER_JAM!$A$5:$A$94,0)),"")</f>
        <v/>
      </c>
      <c r="J1104" s="157">
        <f>IFERROR(INDEX(MASTER_JAM!$E$5:$E$94,MATCH($D1104,MASTER_JAM!$A$5:$A$94,0)),"")</f>
        <v/>
      </c>
      <c r="K1104" s="158">
        <f>IFERROR(INDEX(MASTER_JAM!$J$5:$O$12,MATCH($E1104,MASTER_JAM!$I$5:$I$12,0),MATCH($J1104,MASTER_JAM!$J$4:$O$4,0))+0,0)</f>
        <v/>
      </c>
      <c r="L1104" s="159">
        <f>N($F1104)*$K1104</f>
        <v/>
      </c>
      <c r="M1104" s="157">
        <f>IF($E1104="","",IF(OR($E1104="Coal",$E1104="Dirty Coal"),"MT","BCM"))</f>
        <v/>
      </c>
      <c r="N1104" s="157">
        <f>IF($E1104="","",IF(OR($E1104="Coal",$E1104="Dirty Coal"),"Coal","OB"))</f>
        <v/>
      </c>
      <c r="O1104" s="157">
        <f>IF($F1104="","",IF(COUNTIF(MASTER_JAM!$A$5:$A$94,$C1104)=0,"Digger tidak dikenal",IF($J1104="","Hauler tidak dikenal",IF($H1104="?","Jam salah",IF($K1104=0,"Faktor kosong",IF(SUMIFS(INPUT_DELAY!$E$5:$E$20000,INPUT_DELAY!$A$5:$A$20000,$A1104,INPUT_DELAY!$B$5:$B$20000,$B1104,INPUT_DELAY!$C$5:$C$20000,$C1104)+SUMIFS(INPUT_DELAY!$E$5:$E$20000,INPUT_DELAY!$A$5:$A$20000,$A1104,INPUT_DELAY!$B$5:$B$20000,$B1104,INPUT_DELAY!$C$5:$C$20000,"SEMUA")&gt;=60,"Delay 60 mnt tapi ada ritase","OK"))))))</f>
        <v/>
      </c>
      <c r="P1104" s="158">
        <f>IFERROR(INDEX(MASTER_JAM!$Z$5:$AC$10,MATCH($I1104,MASTER_JAM!$Y$5:$Y$10,0),MATCH($J1104,MASTER_JAM!$Z$4:$AC$4,0))+0,0)</f>
        <v/>
      </c>
      <c r="Q1104" s="158">
        <f>IF($P1104=0,0,$P1104+IFERROR(INDEX(MASTER_JAM!$H$5:$H$94,MATCH($C1104,MASTER_JAM!$A$5:$A$94,0))+0,MASTER_JAM!$AC$15)/1000*(60/MASTER_JAM!$AC$12+60/MASTER_JAM!$AC$13)+MASTER_JAM!$AC$14)</f>
        <v/>
      </c>
      <c r="R1104" s="158">
        <f>IF(N($F1104)=0,0,$F1104/SUMIFS(INPUT_RITASE!$F$5:$F$20000,INPUT_RITASE!$A$5:$A$20000,$A1104,INPUT_RITASE!$B$5:$B$20000,$B1104,INPUT_RITASE!$C$5:$C$20000,$C1104,INPUT_RITASE!$D$5:$D$20000,$D1104))</f>
        <v/>
      </c>
      <c r="S1104" s="158">
        <f>IF($Q1104=0,0,$R1104*$P1104/$Q1104)</f>
        <v/>
      </c>
    </row>
    <row r="1105">
      <c r="A1105" s="155" t="n">
        <v>46107</v>
      </c>
      <c r="B1105" s="156" t="inlineStr">
        <is>
          <t>04-05</t>
        </is>
      </c>
      <c r="C1105" s="156" t="inlineStr">
        <is>
          <t>EX-2101</t>
        </is>
      </c>
      <c r="D1105" s="156" t="inlineStr">
        <is>
          <t>HD-901</t>
        </is>
      </c>
      <c r="E1105" s="156" t="inlineStr">
        <is>
          <t>OB</t>
        </is>
      </c>
      <c r="F1105" s="156" t="n">
        <v>5</v>
      </c>
      <c r="G1105" s="156" t="inlineStr"/>
      <c r="H1105" s="157">
        <f>IF($B1105="","",IF(ISNA(MATCH($B1105,MASTER_JAM!$Q$5:$Q$28,0)),"?",IF(MATCH($B1105,MASTER_JAM!$Q$5:$Q$28,0)&lt;=12,"DS","NS")))</f>
        <v/>
      </c>
      <c r="I1105" s="157">
        <f>IFERROR(INDEX(MASTER_JAM!$B$5:$B$94,MATCH($C1105,MASTER_JAM!$A$5:$A$94,0)),"")</f>
        <v/>
      </c>
      <c r="J1105" s="157">
        <f>IFERROR(INDEX(MASTER_JAM!$E$5:$E$94,MATCH($D1105,MASTER_JAM!$A$5:$A$94,0)),"")</f>
        <v/>
      </c>
      <c r="K1105" s="158">
        <f>IFERROR(INDEX(MASTER_JAM!$J$5:$O$12,MATCH($E1105,MASTER_JAM!$I$5:$I$12,0),MATCH($J1105,MASTER_JAM!$J$4:$O$4,0))+0,0)</f>
        <v/>
      </c>
      <c r="L1105" s="159">
        <f>N($F1105)*$K1105</f>
        <v/>
      </c>
      <c r="M1105" s="157">
        <f>IF($E1105="","",IF(OR($E1105="Coal",$E1105="Dirty Coal"),"MT","BCM"))</f>
        <v/>
      </c>
      <c r="N1105" s="157">
        <f>IF($E1105="","",IF(OR($E1105="Coal",$E1105="Dirty Coal"),"Coal","OB"))</f>
        <v/>
      </c>
      <c r="O1105" s="157">
        <f>IF($F1105="","",IF(COUNTIF(MASTER_JAM!$A$5:$A$94,$C1105)=0,"Digger tidak dikenal",IF($J1105="","Hauler tidak dikenal",IF($H1105="?","Jam salah",IF($K1105=0,"Faktor kosong",IF(SUMIFS(INPUT_DELAY!$E$5:$E$20000,INPUT_DELAY!$A$5:$A$20000,$A1105,INPUT_DELAY!$B$5:$B$20000,$B1105,INPUT_DELAY!$C$5:$C$20000,$C1105)+SUMIFS(INPUT_DELAY!$E$5:$E$20000,INPUT_DELAY!$A$5:$A$20000,$A1105,INPUT_DELAY!$B$5:$B$20000,$B1105,INPUT_DELAY!$C$5:$C$20000,"SEMUA")&gt;=60,"Delay 60 mnt tapi ada ritase","OK"))))))</f>
        <v/>
      </c>
      <c r="P1105" s="158">
        <f>IFERROR(INDEX(MASTER_JAM!$Z$5:$AC$10,MATCH($I1105,MASTER_JAM!$Y$5:$Y$10,0),MATCH($J1105,MASTER_JAM!$Z$4:$AC$4,0))+0,0)</f>
        <v/>
      </c>
      <c r="Q1105" s="158">
        <f>IF($P1105=0,0,$P1105+IFERROR(INDEX(MASTER_JAM!$H$5:$H$94,MATCH($C1105,MASTER_JAM!$A$5:$A$94,0))+0,MASTER_JAM!$AC$15)/1000*(60/MASTER_JAM!$AC$12+60/MASTER_JAM!$AC$13)+MASTER_JAM!$AC$14)</f>
        <v/>
      </c>
      <c r="R1105" s="158">
        <f>IF(N($F1105)=0,0,$F1105/SUMIFS(INPUT_RITASE!$F$5:$F$20000,INPUT_RITASE!$A$5:$A$20000,$A1105,INPUT_RITASE!$B$5:$B$20000,$B1105,INPUT_RITASE!$C$5:$C$20000,$C1105,INPUT_RITASE!$D$5:$D$20000,$D1105))</f>
        <v/>
      </c>
      <c r="S1105" s="158">
        <f>IF($Q1105=0,0,$R1105*$P1105/$Q1105)</f>
        <v/>
      </c>
    </row>
    <row r="1106">
      <c r="A1106" s="155" t="n">
        <v>46107</v>
      </c>
      <c r="B1106" s="156" t="inlineStr">
        <is>
          <t>04-05</t>
        </is>
      </c>
      <c r="C1106" s="156" t="inlineStr">
        <is>
          <t>EX-2101</t>
        </is>
      </c>
      <c r="D1106" s="156" t="inlineStr">
        <is>
          <t>HD-903</t>
        </is>
      </c>
      <c r="E1106" s="156" t="inlineStr">
        <is>
          <t>OB</t>
        </is>
      </c>
      <c r="F1106" s="156" t="n">
        <v>5</v>
      </c>
      <c r="G1106" s="156" t="inlineStr"/>
      <c r="H1106" s="157">
        <f>IF($B1106="","",IF(ISNA(MATCH($B1106,MASTER_JAM!$Q$5:$Q$28,0)),"?",IF(MATCH($B1106,MASTER_JAM!$Q$5:$Q$28,0)&lt;=12,"DS","NS")))</f>
        <v/>
      </c>
      <c r="I1106" s="157">
        <f>IFERROR(INDEX(MASTER_JAM!$B$5:$B$94,MATCH($C1106,MASTER_JAM!$A$5:$A$94,0)),"")</f>
        <v/>
      </c>
      <c r="J1106" s="157">
        <f>IFERROR(INDEX(MASTER_JAM!$E$5:$E$94,MATCH($D1106,MASTER_JAM!$A$5:$A$94,0)),"")</f>
        <v/>
      </c>
      <c r="K1106" s="158">
        <f>IFERROR(INDEX(MASTER_JAM!$J$5:$O$12,MATCH($E1106,MASTER_JAM!$I$5:$I$12,0),MATCH($J1106,MASTER_JAM!$J$4:$O$4,0))+0,0)</f>
        <v/>
      </c>
      <c r="L1106" s="159">
        <f>N($F1106)*$K1106</f>
        <v/>
      </c>
      <c r="M1106" s="157">
        <f>IF($E1106="","",IF(OR($E1106="Coal",$E1106="Dirty Coal"),"MT","BCM"))</f>
        <v/>
      </c>
      <c r="N1106" s="157">
        <f>IF($E1106="","",IF(OR($E1106="Coal",$E1106="Dirty Coal"),"Coal","OB"))</f>
        <v/>
      </c>
      <c r="O1106" s="157">
        <f>IF($F1106="","",IF(COUNTIF(MASTER_JAM!$A$5:$A$94,$C1106)=0,"Digger tidak dikenal",IF($J1106="","Hauler tidak dikenal",IF($H1106="?","Jam salah",IF($K1106=0,"Faktor kosong",IF(SUMIFS(INPUT_DELAY!$E$5:$E$20000,INPUT_DELAY!$A$5:$A$20000,$A1106,INPUT_DELAY!$B$5:$B$20000,$B1106,INPUT_DELAY!$C$5:$C$20000,$C1106)+SUMIFS(INPUT_DELAY!$E$5:$E$20000,INPUT_DELAY!$A$5:$A$20000,$A1106,INPUT_DELAY!$B$5:$B$20000,$B1106,INPUT_DELAY!$C$5:$C$20000,"SEMUA")&gt;=60,"Delay 60 mnt tapi ada ritase","OK"))))))</f>
        <v/>
      </c>
      <c r="P1106" s="158">
        <f>IFERROR(INDEX(MASTER_JAM!$Z$5:$AC$10,MATCH($I1106,MASTER_JAM!$Y$5:$Y$10,0),MATCH($J1106,MASTER_JAM!$Z$4:$AC$4,0))+0,0)</f>
        <v/>
      </c>
      <c r="Q1106" s="158">
        <f>IF($P1106=0,0,$P1106+IFERROR(INDEX(MASTER_JAM!$H$5:$H$94,MATCH($C1106,MASTER_JAM!$A$5:$A$94,0))+0,MASTER_JAM!$AC$15)/1000*(60/MASTER_JAM!$AC$12+60/MASTER_JAM!$AC$13)+MASTER_JAM!$AC$14)</f>
        <v/>
      </c>
      <c r="R1106" s="158">
        <f>IF(N($F1106)=0,0,$F1106/SUMIFS(INPUT_RITASE!$F$5:$F$20000,INPUT_RITASE!$A$5:$A$20000,$A1106,INPUT_RITASE!$B$5:$B$20000,$B1106,INPUT_RITASE!$C$5:$C$20000,$C1106,INPUT_RITASE!$D$5:$D$20000,$D1106))</f>
        <v/>
      </c>
      <c r="S1106" s="158">
        <f>IF($Q1106=0,0,$R1106*$P1106/$Q1106)</f>
        <v/>
      </c>
    </row>
    <row r="1107">
      <c r="A1107" s="155" t="n">
        <v>46107</v>
      </c>
      <c r="B1107" s="156" t="inlineStr">
        <is>
          <t>04-05</t>
        </is>
      </c>
      <c r="C1107" s="156" t="inlineStr">
        <is>
          <t>EX-2101</t>
        </is>
      </c>
      <c r="D1107" s="156" t="inlineStr">
        <is>
          <t>HD-904</t>
        </is>
      </c>
      <c r="E1107" s="156" t="inlineStr">
        <is>
          <t>OB</t>
        </is>
      </c>
      <c r="F1107" s="156" t="n">
        <v>4</v>
      </c>
      <c r="G1107" s="156" t="inlineStr"/>
      <c r="H1107" s="157">
        <f>IF($B1107="","",IF(ISNA(MATCH($B1107,MASTER_JAM!$Q$5:$Q$28,0)),"?",IF(MATCH($B1107,MASTER_JAM!$Q$5:$Q$28,0)&lt;=12,"DS","NS")))</f>
        <v/>
      </c>
      <c r="I1107" s="157">
        <f>IFERROR(INDEX(MASTER_JAM!$B$5:$B$94,MATCH($C1107,MASTER_JAM!$A$5:$A$94,0)),"")</f>
        <v/>
      </c>
      <c r="J1107" s="157">
        <f>IFERROR(INDEX(MASTER_JAM!$E$5:$E$94,MATCH($D1107,MASTER_JAM!$A$5:$A$94,0)),"")</f>
        <v/>
      </c>
      <c r="K1107" s="158">
        <f>IFERROR(INDEX(MASTER_JAM!$J$5:$O$12,MATCH($E1107,MASTER_JAM!$I$5:$I$12,0),MATCH($J1107,MASTER_JAM!$J$4:$O$4,0))+0,0)</f>
        <v/>
      </c>
      <c r="L1107" s="159">
        <f>N($F1107)*$K1107</f>
        <v/>
      </c>
      <c r="M1107" s="157">
        <f>IF($E1107="","",IF(OR($E1107="Coal",$E1107="Dirty Coal"),"MT","BCM"))</f>
        <v/>
      </c>
      <c r="N1107" s="157">
        <f>IF($E1107="","",IF(OR($E1107="Coal",$E1107="Dirty Coal"),"Coal","OB"))</f>
        <v/>
      </c>
      <c r="O1107" s="157">
        <f>IF($F1107="","",IF(COUNTIF(MASTER_JAM!$A$5:$A$94,$C1107)=0,"Digger tidak dikenal",IF($J1107="","Hauler tidak dikenal",IF($H1107="?","Jam salah",IF($K1107=0,"Faktor kosong",IF(SUMIFS(INPUT_DELAY!$E$5:$E$20000,INPUT_DELAY!$A$5:$A$20000,$A1107,INPUT_DELAY!$B$5:$B$20000,$B1107,INPUT_DELAY!$C$5:$C$20000,$C1107)+SUMIFS(INPUT_DELAY!$E$5:$E$20000,INPUT_DELAY!$A$5:$A$20000,$A1107,INPUT_DELAY!$B$5:$B$20000,$B1107,INPUT_DELAY!$C$5:$C$20000,"SEMUA")&gt;=60,"Delay 60 mnt tapi ada ritase","OK"))))))</f>
        <v/>
      </c>
      <c r="P1107" s="158">
        <f>IFERROR(INDEX(MASTER_JAM!$Z$5:$AC$10,MATCH($I1107,MASTER_JAM!$Y$5:$Y$10,0),MATCH($J1107,MASTER_JAM!$Z$4:$AC$4,0))+0,0)</f>
        <v/>
      </c>
      <c r="Q1107" s="158">
        <f>IF($P1107=0,0,$P1107+IFERROR(INDEX(MASTER_JAM!$H$5:$H$94,MATCH($C1107,MASTER_JAM!$A$5:$A$94,0))+0,MASTER_JAM!$AC$15)/1000*(60/MASTER_JAM!$AC$12+60/MASTER_JAM!$AC$13)+MASTER_JAM!$AC$14)</f>
        <v/>
      </c>
      <c r="R1107" s="158">
        <f>IF(N($F1107)=0,0,$F1107/SUMIFS(INPUT_RITASE!$F$5:$F$20000,INPUT_RITASE!$A$5:$A$20000,$A1107,INPUT_RITASE!$B$5:$B$20000,$B1107,INPUT_RITASE!$C$5:$C$20000,$C1107,INPUT_RITASE!$D$5:$D$20000,$D1107))</f>
        <v/>
      </c>
      <c r="S1107" s="158">
        <f>IF($Q1107=0,0,$R1107*$P1107/$Q1107)</f>
        <v/>
      </c>
    </row>
    <row r="1108">
      <c r="A1108" s="155" t="n">
        <v>46107</v>
      </c>
      <c r="B1108" s="156" t="inlineStr">
        <is>
          <t>04-05</t>
        </is>
      </c>
      <c r="C1108" s="156" t="inlineStr">
        <is>
          <t>EX-2101</t>
        </is>
      </c>
      <c r="D1108" s="156" t="inlineStr">
        <is>
          <t>DT-527</t>
        </is>
      </c>
      <c r="E1108" s="156" t="inlineStr">
        <is>
          <t>OB</t>
        </is>
      </c>
      <c r="F1108" s="156" t="n">
        <v>4</v>
      </c>
      <c r="G1108" s="156" t="inlineStr"/>
      <c r="H1108" s="157">
        <f>IF($B1108="","",IF(ISNA(MATCH($B1108,MASTER_JAM!$Q$5:$Q$28,0)),"?",IF(MATCH($B1108,MASTER_JAM!$Q$5:$Q$28,0)&lt;=12,"DS","NS")))</f>
        <v/>
      </c>
      <c r="I1108" s="157">
        <f>IFERROR(INDEX(MASTER_JAM!$B$5:$B$94,MATCH($C1108,MASTER_JAM!$A$5:$A$94,0)),"")</f>
        <v/>
      </c>
      <c r="J1108" s="157">
        <f>IFERROR(INDEX(MASTER_JAM!$E$5:$E$94,MATCH($D1108,MASTER_JAM!$A$5:$A$94,0)),"")</f>
        <v/>
      </c>
      <c r="K1108" s="158">
        <f>IFERROR(INDEX(MASTER_JAM!$J$5:$O$12,MATCH($E1108,MASTER_JAM!$I$5:$I$12,0),MATCH($J1108,MASTER_JAM!$J$4:$O$4,0))+0,0)</f>
        <v/>
      </c>
      <c r="L1108" s="159">
        <f>N($F1108)*$K1108</f>
        <v/>
      </c>
      <c r="M1108" s="157">
        <f>IF($E1108="","",IF(OR($E1108="Coal",$E1108="Dirty Coal"),"MT","BCM"))</f>
        <v/>
      </c>
      <c r="N1108" s="157">
        <f>IF($E1108="","",IF(OR($E1108="Coal",$E1108="Dirty Coal"),"Coal","OB"))</f>
        <v/>
      </c>
      <c r="O1108" s="157">
        <f>IF($F1108="","",IF(COUNTIF(MASTER_JAM!$A$5:$A$94,$C1108)=0,"Digger tidak dikenal",IF($J1108="","Hauler tidak dikenal",IF($H1108="?","Jam salah",IF($K1108=0,"Faktor kosong",IF(SUMIFS(INPUT_DELAY!$E$5:$E$20000,INPUT_DELAY!$A$5:$A$20000,$A1108,INPUT_DELAY!$B$5:$B$20000,$B1108,INPUT_DELAY!$C$5:$C$20000,$C1108)+SUMIFS(INPUT_DELAY!$E$5:$E$20000,INPUT_DELAY!$A$5:$A$20000,$A1108,INPUT_DELAY!$B$5:$B$20000,$B1108,INPUT_DELAY!$C$5:$C$20000,"SEMUA")&gt;=60,"Delay 60 mnt tapi ada ritase","OK"))))))</f>
        <v/>
      </c>
      <c r="P1108" s="158">
        <f>IFERROR(INDEX(MASTER_JAM!$Z$5:$AC$10,MATCH($I1108,MASTER_JAM!$Y$5:$Y$10,0),MATCH($J1108,MASTER_JAM!$Z$4:$AC$4,0))+0,0)</f>
        <v/>
      </c>
      <c r="Q1108" s="158">
        <f>IF($P1108=0,0,$P1108+IFERROR(INDEX(MASTER_JAM!$H$5:$H$94,MATCH($C1108,MASTER_JAM!$A$5:$A$94,0))+0,MASTER_JAM!$AC$15)/1000*(60/MASTER_JAM!$AC$12+60/MASTER_JAM!$AC$13)+MASTER_JAM!$AC$14)</f>
        <v/>
      </c>
      <c r="R1108" s="158">
        <f>IF(N($F1108)=0,0,$F1108/SUMIFS(INPUT_RITASE!$F$5:$F$20000,INPUT_RITASE!$A$5:$A$20000,$A1108,INPUT_RITASE!$B$5:$B$20000,$B1108,INPUT_RITASE!$C$5:$C$20000,$C1108,INPUT_RITASE!$D$5:$D$20000,$D1108))</f>
        <v/>
      </c>
      <c r="S1108" s="158">
        <f>IF($Q1108=0,0,$R1108*$P1108/$Q1108)</f>
        <v/>
      </c>
    </row>
    <row r="1109">
      <c r="A1109" s="155" t="n">
        <v>46107</v>
      </c>
      <c r="B1109" s="156" t="inlineStr">
        <is>
          <t>05-06</t>
        </is>
      </c>
      <c r="C1109" s="156" t="inlineStr">
        <is>
          <t>EX-2101</t>
        </is>
      </c>
      <c r="D1109" s="156" t="inlineStr">
        <is>
          <t>HD-904</t>
        </is>
      </c>
      <c r="E1109" s="156" t="inlineStr">
        <is>
          <t>OB</t>
        </is>
      </c>
      <c r="F1109" s="156" t="n">
        <v>6</v>
      </c>
      <c r="G1109" s="156" t="inlineStr"/>
      <c r="H1109" s="157">
        <f>IF($B1109="","",IF(ISNA(MATCH($B1109,MASTER_JAM!$Q$5:$Q$28,0)),"?",IF(MATCH($B1109,MASTER_JAM!$Q$5:$Q$28,0)&lt;=12,"DS","NS")))</f>
        <v/>
      </c>
      <c r="I1109" s="157">
        <f>IFERROR(INDEX(MASTER_JAM!$B$5:$B$94,MATCH($C1109,MASTER_JAM!$A$5:$A$94,0)),"")</f>
        <v/>
      </c>
      <c r="J1109" s="157">
        <f>IFERROR(INDEX(MASTER_JAM!$E$5:$E$94,MATCH($D1109,MASTER_JAM!$A$5:$A$94,0)),"")</f>
        <v/>
      </c>
      <c r="K1109" s="158">
        <f>IFERROR(INDEX(MASTER_JAM!$J$5:$O$12,MATCH($E1109,MASTER_JAM!$I$5:$I$12,0),MATCH($J1109,MASTER_JAM!$J$4:$O$4,0))+0,0)</f>
        <v/>
      </c>
      <c r="L1109" s="159">
        <f>N($F1109)*$K1109</f>
        <v/>
      </c>
      <c r="M1109" s="157">
        <f>IF($E1109="","",IF(OR($E1109="Coal",$E1109="Dirty Coal"),"MT","BCM"))</f>
        <v/>
      </c>
      <c r="N1109" s="157">
        <f>IF($E1109="","",IF(OR($E1109="Coal",$E1109="Dirty Coal"),"Coal","OB"))</f>
        <v/>
      </c>
      <c r="O1109" s="157">
        <f>IF($F1109="","",IF(COUNTIF(MASTER_JAM!$A$5:$A$94,$C1109)=0,"Digger tidak dikenal",IF($J1109="","Hauler tidak dikenal",IF($H1109="?","Jam salah",IF($K1109=0,"Faktor kosong",IF(SUMIFS(INPUT_DELAY!$E$5:$E$20000,INPUT_DELAY!$A$5:$A$20000,$A1109,INPUT_DELAY!$B$5:$B$20000,$B1109,INPUT_DELAY!$C$5:$C$20000,$C1109)+SUMIFS(INPUT_DELAY!$E$5:$E$20000,INPUT_DELAY!$A$5:$A$20000,$A1109,INPUT_DELAY!$B$5:$B$20000,$B1109,INPUT_DELAY!$C$5:$C$20000,"SEMUA")&gt;=60,"Delay 60 mnt tapi ada ritase","OK"))))))</f>
        <v/>
      </c>
      <c r="P1109" s="158">
        <f>IFERROR(INDEX(MASTER_JAM!$Z$5:$AC$10,MATCH($I1109,MASTER_JAM!$Y$5:$Y$10,0),MATCH($J1109,MASTER_JAM!$Z$4:$AC$4,0))+0,0)</f>
        <v/>
      </c>
      <c r="Q1109" s="158">
        <f>IF($P1109=0,0,$P1109+IFERROR(INDEX(MASTER_JAM!$H$5:$H$94,MATCH($C1109,MASTER_JAM!$A$5:$A$94,0))+0,MASTER_JAM!$AC$15)/1000*(60/MASTER_JAM!$AC$12+60/MASTER_JAM!$AC$13)+MASTER_JAM!$AC$14)</f>
        <v/>
      </c>
      <c r="R1109" s="158">
        <f>IF(N($F1109)=0,0,$F1109/SUMIFS(INPUT_RITASE!$F$5:$F$20000,INPUT_RITASE!$A$5:$A$20000,$A1109,INPUT_RITASE!$B$5:$B$20000,$B1109,INPUT_RITASE!$C$5:$C$20000,$C1109,INPUT_RITASE!$D$5:$D$20000,$D1109))</f>
        <v/>
      </c>
      <c r="S1109" s="158">
        <f>IF($Q1109=0,0,$R1109*$P1109/$Q1109)</f>
        <v/>
      </c>
    </row>
    <row r="1110">
      <c r="A1110" s="155" t="n">
        <v>46107</v>
      </c>
      <c r="B1110" s="156" t="inlineStr">
        <is>
          <t>05-06</t>
        </is>
      </c>
      <c r="C1110" s="156" t="inlineStr">
        <is>
          <t>EX-2101</t>
        </is>
      </c>
      <c r="D1110" s="156" t="inlineStr">
        <is>
          <t>HD-903</t>
        </is>
      </c>
      <c r="E1110" s="156" t="inlineStr">
        <is>
          <t>OB</t>
        </is>
      </c>
      <c r="F1110" s="156" t="n">
        <v>6</v>
      </c>
      <c r="G1110" s="156" t="inlineStr"/>
      <c r="H1110" s="157">
        <f>IF($B1110="","",IF(ISNA(MATCH($B1110,MASTER_JAM!$Q$5:$Q$28,0)),"?",IF(MATCH($B1110,MASTER_JAM!$Q$5:$Q$28,0)&lt;=12,"DS","NS")))</f>
        <v/>
      </c>
      <c r="I1110" s="157">
        <f>IFERROR(INDEX(MASTER_JAM!$B$5:$B$94,MATCH($C1110,MASTER_JAM!$A$5:$A$94,0)),"")</f>
        <v/>
      </c>
      <c r="J1110" s="157">
        <f>IFERROR(INDEX(MASTER_JAM!$E$5:$E$94,MATCH($D1110,MASTER_JAM!$A$5:$A$94,0)),"")</f>
        <v/>
      </c>
      <c r="K1110" s="158">
        <f>IFERROR(INDEX(MASTER_JAM!$J$5:$O$12,MATCH($E1110,MASTER_JAM!$I$5:$I$12,0),MATCH($J1110,MASTER_JAM!$J$4:$O$4,0))+0,0)</f>
        <v/>
      </c>
      <c r="L1110" s="159">
        <f>N($F1110)*$K1110</f>
        <v/>
      </c>
      <c r="M1110" s="157">
        <f>IF($E1110="","",IF(OR($E1110="Coal",$E1110="Dirty Coal"),"MT","BCM"))</f>
        <v/>
      </c>
      <c r="N1110" s="157">
        <f>IF($E1110="","",IF(OR($E1110="Coal",$E1110="Dirty Coal"),"Coal","OB"))</f>
        <v/>
      </c>
      <c r="O1110" s="157">
        <f>IF($F1110="","",IF(COUNTIF(MASTER_JAM!$A$5:$A$94,$C1110)=0,"Digger tidak dikenal",IF($J1110="","Hauler tidak dikenal",IF($H1110="?","Jam salah",IF($K1110=0,"Faktor kosong",IF(SUMIFS(INPUT_DELAY!$E$5:$E$20000,INPUT_DELAY!$A$5:$A$20000,$A1110,INPUT_DELAY!$B$5:$B$20000,$B1110,INPUT_DELAY!$C$5:$C$20000,$C1110)+SUMIFS(INPUT_DELAY!$E$5:$E$20000,INPUT_DELAY!$A$5:$A$20000,$A1110,INPUT_DELAY!$B$5:$B$20000,$B1110,INPUT_DELAY!$C$5:$C$20000,"SEMUA")&gt;=60,"Delay 60 mnt tapi ada ritase","OK"))))))</f>
        <v/>
      </c>
      <c r="P1110" s="158">
        <f>IFERROR(INDEX(MASTER_JAM!$Z$5:$AC$10,MATCH($I1110,MASTER_JAM!$Y$5:$Y$10,0),MATCH($J1110,MASTER_JAM!$Z$4:$AC$4,0))+0,0)</f>
        <v/>
      </c>
      <c r="Q1110" s="158">
        <f>IF($P1110=0,0,$P1110+IFERROR(INDEX(MASTER_JAM!$H$5:$H$94,MATCH($C1110,MASTER_JAM!$A$5:$A$94,0))+0,MASTER_JAM!$AC$15)/1000*(60/MASTER_JAM!$AC$12+60/MASTER_JAM!$AC$13)+MASTER_JAM!$AC$14)</f>
        <v/>
      </c>
      <c r="R1110" s="158">
        <f>IF(N($F1110)=0,0,$F1110/SUMIFS(INPUT_RITASE!$F$5:$F$20000,INPUT_RITASE!$A$5:$A$20000,$A1110,INPUT_RITASE!$B$5:$B$20000,$B1110,INPUT_RITASE!$C$5:$C$20000,$C1110,INPUT_RITASE!$D$5:$D$20000,$D1110))</f>
        <v/>
      </c>
      <c r="S1110" s="158">
        <f>IF($Q1110=0,0,$R1110*$P1110/$Q1110)</f>
        <v/>
      </c>
    </row>
    <row r="1111">
      <c r="A1111" s="155" t="n">
        <v>46107</v>
      </c>
      <c r="B1111" s="156" t="inlineStr">
        <is>
          <t>05-06</t>
        </is>
      </c>
      <c r="C1111" s="156" t="inlineStr">
        <is>
          <t>EX-2101</t>
        </is>
      </c>
      <c r="D1111" s="156" t="inlineStr">
        <is>
          <t>HD-901</t>
        </is>
      </c>
      <c r="E1111" s="156" t="inlineStr">
        <is>
          <t>OB</t>
        </is>
      </c>
      <c r="F1111" s="156" t="n">
        <v>5</v>
      </c>
      <c r="G1111" s="156" t="inlineStr"/>
      <c r="H1111" s="157">
        <f>IF($B1111="","",IF(ISNA(MATCH($B1111,MASTER_JAM!$Q$5:$Q$28,0)),"?",IF(MATCH($B1111,MASTER_JAM!$Q$5:$Q$28,0)&lt;=12,"DS","NS")))</f>
        <v/>
      </c>
      <c r="I1111" s="157">
        <f>IFERROR(INDEX(MASTER_JAM!$B$5:$B$94,MATCH($C1111,MASTER_JAM!$A$5:$A$94,0)),"")</f>
        <v/>
      </c>
      <c r="J1111" s="157">
        <f>IFERROR(INDEX(MASTER_JAM!$E$5:$E$94,MATCH($D1111,MASTER_JAM!$A$5:$A$94,0)),"")</f>
        <v/>
      </c>
      <c r="K1111" s="158">
        <f>IFERROR(INDEX(MASTER_JAM!$J$5:$O$12,MATCH($E1111,MASTER_JAM!$I$5:$I$12,0),MATCH($J1111,MASTER_JAM!$J$4:$O$4,0))+0,0)</f>
        <v/>
      </c>
      <c r="L1111" s="159">
        <f>N($F1111)*$K1111</f>
        <v/>
      </c>
      <c r="M1111" s="157">
        <f>IF($E1111="","",IF(OR($E1111="Coal",$E1111="Dirty Coal"),"MT","BCM"))</f>
        <v/>
      </c>
      <c r="N1111" s="157">
        <f>IF($E1111="","",IF(OR($E1111="Coal",$E1111="Dirty Coal"),"Coal","OB"))</f>
        <v/>
      </c>
      <c r="O1111" s="157">
        <f>IF($F1111="","",IF(COUNTIF(MASTER_JAM!$A$5:$A$94,$C1111)=0,"Digger tidak dikenal",IF($J1111="","Hauler tidak dikenal",IF($H1111="?","Jam salah",IF($K1111=0,"Faktor kosong",IF(SUMIFS(INPUT_DELAY!$E$5:$E$20000,INPUT_DELAY!$A$5:$A$20000,$A1111,INPUT_DELAY!$B$5:$B$20000,$B1111,INPUT_DELAY!$C$5:$C$20000,$C1111)+SUMIFS(INPUT_DELAY!$E$5:$E$20000,INPUT_DELAY!$A$5:$A$20000,$A1111,INPUT_DELAY!$B$5:$B$20000,$B1111,INPUT_DELAY!$C$5:$C$20000,"SEMUA")&gt;=60,"Delay 60 mnt tapi ada ritase","OK"))))))</f>
        <v/>
      </c>
      <c r="P1111" s="158">
        <f>IFERROR(INDEX(MASTER_JAM!$Z$5:$AC$10,MATCH($I1111,MASTER_JAM!$Y$5:$Y$10,0),MATCH($J1111,MASTER_JAM!$Z$4:$AC$4,0))+0,0)</f>
        <v/>
      </c>
      <c r="Q1111" s="158">
        <f>IF($P1111=0,0,$P1111+IFERROR(INDEX(MASTER_JAM!$H$5:$H$94,MATCH($C1111,MASTER_JAM!$A$5:$A$94,0))+0,MASTER_JAM!$AC$15)/1000*(60/MASTER_JAM!$AC$12+60/MASTER_JAM!$AC$13)+MASTER_JAM!$AC$14)</f>
        <v/>
      </c>
      <c r="R1111" s="158">
        <f>IF(N($F1111)=0,0,$F1111/SUMIFS(INPUT_RITASE!$F$5:$F$20000,INPUT_RITASE!$A$5:$A$20000,$A1111,INPUT_RITASE!$B$5:$B$20000,$B1111,INPUT_RITASE!$C$5:$C$20000,$C1111,INPUT_RITASE!$D$5:$D$20000,$D1111))</f>
        <v/>
      </c>
      <c r="S1111" s="158">
        <f>IF($Q1111=0,0,$R1111*$P1111/$Q1111)</f>
        <v/>
      </c>
    </row>
    <row r="1112">
      <c r="A1112" s="155" t="n">
        <v>46107</v>
      </c>
      <c r="B1112" s="156" t="inlineStr">
        <is>
          <t>05-06</t>
        </is>
      </c>
      <c r="C1112" s="156" t="inlineStr">
        <is>
          <t>EX-2101</t>
        </is>
      </c>
      <c r="D1112" s="156" t="inlineStr">
        <is>
          <t>DT-504</t>
        </is>
      </c>
      <c r="E1112" s="156" t="inlineStr">
        <is>
          <t>OB</t>
        </is>
      </c>
      <c r="F1112" s="156" t="n">
        <v>3</v>
      </c>
      <c r="G1112" s="156" t="inlineStr"/>
      <c r="H1112" s="157">
        <f>IF($B1112="","",IF(ISNA(MATCH($B1112,MASTER_JAM!$Q$5:$Q$28,0)),"?",IF(MATCH($B1112,MASTER_JAM!$Q$5:$Q$28,0)&lt;=12,"DS","NS")))</f>
        <v/>
      </c>
      <c r="I1112" s="157">
        <f>IFERROR(INDEX(MASTER_JAM!$B$5:$B$94,MATCH($C1112,MASTER_JAM!$A$5:$A$94,0)),"")</f>
        <v/>
      </c>
      <c r="J1112" s="157">
        <f>IFERROR(INDEX(MASTER_JAM!$E$5:$E$94,MATCH($D1112,MASTER_JAM!$A$5:$A$94,0)),"")</f>
        <v/>
      </c>
      <c r="K1112" s="158">
        <f>IFERROR(INDEX(MASTER_JAM!$J$5:$O$12,MATCH($E1112,MASTER_JAM!$I$5:$I$12,0),MATCH($J1112,MASTER_JAM!$J$4:$O$4,0))+0,0)</f>
        <v/>
      </c>
      <c r="L1112" s="159">
        <f>N($F1112)*$K1112</f>
        <v/>
      </c>
      <c r="M1112" s="157">
        <f>IF($E1112="","",IF(OR($E1112="Coal",$E1112="Dirty Coal"),"MT","BCM"))</f>
        <v/>
      </c>
      <c r="N1112" s="157">
        <f>IF($E1112="","",IF(OR($E1112="Coal",$E1112="Dirty Coal"),"Coal","OB"))</f>
        <v/>
      </c>
      <c r="O1112" s="157">
        <f>IF($F1112="","",IF(COUNTIF(MASTER_JAM!$A$5:$A$94,$C1112)=0,"Digger tidak dikenal",IF($J1112="","Hauler tidak dikenal",IF($H1112="?","Jam salah",IF($K1112=0,"Faktor kosong",IF(SUMIFS(INPUT_DELAY!$E$5:$E$20000,INPUT_DELAY!$A$5:$A$20000,$A1112,INPUT_DELAY!$B$5:$B$20000,$B1112,INPUT_DELAY!$C$5:$C$20000,$C1112)+SUMIFS(INPUT_DELAY!$E$5:$E$20000,INPUT_DELAY!$A$5:$A$20000,$A1112,INPUT_DELAY!$B$5:$B$20000,$B1112,INPUT_DELAY!$C$5:$C$20000,"SEMUA")&gt;=60,"Delay 60 mnt tapi ada ritase","OK"))))))</f>
        <v/>
      </c>
      <c r="P1112" s="158">
        <f>IFERROR(INDEX(MASTER_JAM!$Z$5:$AC$10,MATCH($I1112,MASTER_JAM!$Y$5:$Y$10,0),MATCH($J1112,MASTER_JAM!$Z$4:$AC$4,0))+0,0)</f>
        <v/>
      </c>
      <c r="Q1112" s="158">
        <f>IF($P1112=0,0,$P1112+IFERROR(INDEX(MASTER_JAM!$H$5:$H$94,MATCH($C1112,MASTER_JAM!$A$5:$A$94,0))+0,MASTER_JAM!$AC$15)/1000*(60/MASTER_JAM!$AC$12+60/MASTER_JAM!$AC$13)+MASTER_JAM!$AC$14)</f>
        <v/>
      </c>
      <c r="R1112" s="158">
        <f>IF(N($F1112)=0,0,$F1112/SUMIFS(INPUT_RITASE!$F$5:$F$20000,INPUT_RITASE!$A$5:$A$20000,$A1112,INPUT_RITASE!$B$5:$B$20000,$B1112,INPUT_RITASE!$C$5:$C$20000,$C1112,INPUT_RITASE!$D$5:$D$20000,$D1112))</f>
        <v/>
      </c>
      <c r="S1112" s="158">
        <f>IF($Q1112=0,0,$R1112*$P1112/$Q1112)</f>
        <v/>
      </c>
    </row>
    <row r="1113">
      <c r="A1113" s="155" t="n">
        <v>46107</v>
      </c>
      <c r="B1113" s="156" t="inlineStr">
        <is>
          <t>05-06</t>
        </is>
      </c>
      <c r="C1113" s="156" t="inlineStr">
        <is>
          <t>EX-2101</t>
        </is>
      </c>
      <c r="D1113" s="156" t="inlineStr">
        <is>
          <t>DT-522</t>
        </is>
      </c>
      <c r="E1113" s="156" t="inlineStr">
        <is>
          <t>OB</t>
        </is>
      </c>
      <c r="F1113" s="156" t="n">
        <v>2</v>
      </c>
      <c r="G1113" s="156" t="inlineStr"/>
      <c r="H1113" s="157">
        <f>IF($B1113="","",IF(ISNA(MATCH($B1113,MASTER_JAM!$Q$5:$Q$28,0)),"?",IF(MATCH($B1113,MASTER_JAM!$Q$5:$Q$28,0)&lt;=12,"DS","NS")))</f>
        <v/>
      </c>
      <c r="I1113" s="157">
        <f>IFERROR(INDEX(MASTER_JAM!$B$5:$B$94,MATCH($C1113,MASTER_JAM!$A$5:$A$94,0)),"")</f>
        <v/>
      </c>
      <c r="J1113" s="157">
        <f>IFERROR(INDEX(MASTER_JAM!$E$5:$E$94,MATCH($D1113,MASTER_JAM!$A$5:$A$94,0)),"")</f>
        <v/>
      </c>
      <c r="K1113" s="158">
        <f>IFERROR(INDEX(MASTER_JAM!$J$5:$O$12,MATCH($E1113,MASTER_JAM!$I$5:$I$12,0),MATCH($J1113,MASTER_JAM!$J$4:$O$4,0))+0,0)</f>
        <v/>
      </c>
      <c r="L1113" s="159">
        <f>N($F1113)*$K1113</f>
        <v/>
      </c>
      <c r="M1113" s="157">
        <f>IF($E1113="","",IF(OR($E1113="Coal",$E1113="Dirty Coal"),"MT","BCM"))</f>
        <v/>
      </c>
      <c r="N1113" s="157">
        <f>IF($E1113="","",IF(OR($E1113="Coal",$E1113="Dirty Coal"),"Coal","OB"))</f>
        <v/>
      </c>
      <c r="O1113" s="157">
        <f>IF($F1113="","",IF(COUNTIF(MASTER_JAM!$A$5:$A$94,$C1113)=0,"Digger tidak dikenal",IF($J1113="","Hauler tidak dikenal",IF($H1113="?","Jam salah",IF($K1113=0,"Faktor kosong",IF(SUMIFS(INPUT_DELAY!$E$5:$E$20000,INPUT_DELAY!$A$5:$A$20000,$A1113,INPUT_DELAY!$B$5:$B$20000,$B1113,INPUT_DELAY!$C$5:$C$20000,$C1113)+SUMIFS(INPUT_DELAY!$E$5:$E$20000,INPUT_DELAY!$A$5:$A$20000,$A1113,INPUT_DELAY!$B$5:$B$20000,$B1113,INPUT_DELAY!$C$5:$C$20000,"SEMUA")&gt;=60,"Delay 60 mnt tapi ada ritase","OK"))))))</f>
        <v/>
      </c>
      <c r="P1113" s="158">
        <f>IFERROR(INDEX(MASTER_JAM!$Z$5:$AC$10,MATCH($I1113,MASTER_JAM!$Y$5:$Y$10,0),MATCH($J1113,MASTER_JAM!$Z$4:$AC$4,0))+0,0)</f>
        <v/>
      </c>
      <c r="Q1113" s="158">
        <f>IF($P1113=0,0,$P1113+IFERROR(INDEX(MASTER_JAM!$H$5:$H$94,MATCH($C1113,MASTER_JAM!$A$5:$A$94,0))+0,MASTER_JAM!$AC$15)/1000*(60/MASTER_JAM!$AC$12+60/MASTER_JAM!$AC$13)+MASTER_JAM!$AC$14)</f>
        <v/>
      </c>
      <c r="R1113" s="158">
        <f>IF(N($F1113)=0,0,$F1113/SUMIFS(INPUT_RITASE!$F$5:$F$20000,INPUT_RITASE!$A$5:$A$20000,$A1113,INPUT_RITASE!$B$5:$B$20000,$B1113,INPUT_RITASE!$C$5:$C$20000,$C1113,INPUT_RITASE!$D$5:$D$20000,$D1113))</f>
        <v/>
      </c>
      <c r="S1113" s="158">
        <f>IF($Q1113=0,0,$R1113*$P1113/$Q1113)</f>
        <v/>
      </c>
    </row>
    <row r="1114">
      <c r="A1114" s="155" t="n">
        <v>46107</v>
      </c>
      <c r="B1114" s="156" t="inlineStr">
        <is>
          <t>18-19</t>
        </is>
      </c>
      <c r="C1114" s="156" t="inlineStr">
        <is>
          <t>EX-755</t>
        </is>
      </c>
      <c r="D1114" s="156" t="inlineStr">
        <is>
          <t>DT-513</t>
        </is>
      </c>
      <c r="E1114" s="156" t="inlineStr">
        <is>
          <t>OB</t>
        </is>
      </c>
      <c r="F1114" s="156" t="n">
        <v>4</v>
      </c>
      <c r="G1114" s="156" t="inlineStr"/>
      <c r="H1114" s="157">
        <f>IF($B1114="","",IF(ISNA(MATCH($B1114,MASTER_JAM!$Q$5:$Q$28,0)),"?",IF(MATCH($B1114,MASTER_JAM!$Q$5:$Q$28,0)&lt;=12,"DS","NS")))</f>
        <v/>
      </c>
      <c r="I1114" s="157">
        <f>IFERROR(INDEX(MASTER_JAM!$B$5:$B$94,MATCH($C1114,MASTER_JAM!$A$5:$A$94,0)),"")</f>
        <v/>
      </c>
      <c r="J1114" s="157">
        <f>IFERROR(INDEX(MASTER_JAM!$E$5:$E$94,MATCH($D1114,MASTER_JAM!$A$5:$A$94,0)),"")</f>
        <v/>
      </c>
      <c r="K1114" s="158">
        <f>IFERROR(INDEX(MASTER_JAM!$J$5:$O$12,MATCH($E1114,MASTER_JAM!$I$5:$I$12,0),MATCH($J1114,MASTER_JAM!$J$4:$O$4,0))+0,0)</f>
        <v/>
      </c>
      <c r="L1114" s="159">
        <f>N($F1114)*$K1114</f>
        <v/>
      </c>
      <c r="M1114" s="157">
        <f>IF($E1114="","",IF(OR($E1114="Coal",$E1114="Dirty Coal"),"MT","BCM"))</f>
        <v/>
      </c>
      <c r="N1114" s="157">
        <f>IF($E1114="","",IF(OR($E1114="Coal",$E1114="Dirty Coal"),"Coal","OB"))</f>
        <v/>
      </c>
      <c r="O1114" s="157">
        <f>IF($F1114="","",IF(COUNTIF(MASTER_JAM!$A$5:$A$94,$C1114)=0,"Digger tidak dikenal",IF($J1114="","Hauler tidak dikenal",IF($H1114="?","Jam salah",IF($K1114=0,"Faktor kosong",IF(SUMIFS(INPUT_DELAY!$E$5:$E$20000,INPUT_DELAY!$A$5:$A$20000,$A1114,INPUT_DELAY!$B$5:$B$20000,$B1114,INPUT_DELAY!$C$5:$C$20000,$C1114)+SUMIFS(INPUT_DELAY!$E$5:$E$20000,INPUT_DELAY!$A$5:$A$20000,$A1114,INPUT_DELAY!$B$5:$B$20000,$B1114,INPUT_DELAY!$C$5:$C$20000,"SEMUA")&gt;=60,"Delay 60 mnt tapi ada ritase","OK"))))))</f>
        <v/>
      </c>
      <c r="P1114" s="158">
        <f>IFERROR(INDEX(MASTER_JAM!$Z$5:$AC$10,MATCH($I1114,MASTER_JAM!$Y$5:$Y$10,0),MATCH($J1114,MASTER_JAM!$Z$4:$AC$4,0))+0,0)</f>
        <v/>
      </c>
      <c r="Q1114" s="158">
        <f>IF($P1114=0,0,$P1114+IFERROR(INDEX(MASTER_JAM!$H$5:$H$94,MATCH($C1114,MASTER_JAM!$A$5:$A$94,0))+0,MASTER_JAM!$AC$15)/1000*(60/MASTER_JAM!$AC$12+60/MASTER_JAM!$AC$13)+MASTER_JAM!$AC$14)</f>
        <v/>
      </c>
      <c r="R1114" s="158">
        <f>IF(N($F1114)=0,0,$F1114/SUMIFS(INPUT_RITASE!$F$5:$F$20000,INPUT_RITASE!$A$5:$A$20000,$A1114,INPUT_RITASE!$B$5:$B$20000,$B1114,INPUT_RITASE!$C$5:$C$20000,$C1114,INPUT_RITASE!$D$5:$D$20000,$D1114))</f>
        <v/>
      </c>
      <c r="S1114" s="158">
        <f>IF($Q1114=0,0,$R1114*$P1114/$Q1114)</f>
        <v/>
      </c>
    </row>
    <row r="1115">
      <c r="A1115" s="155" t="n">
        <v>46107</v>
      </c>
      <c r="B1115" s="156" t="inlineStr">
        <is>
          <t>18-19</t>
        </is>
      </c>
      <c r="C1115" s="156" t="inlineStr">
        <is>
          <t>EX-755</t>
        </is>
      </c>
      <c r="D1115" s="156" t="inlineStr">
        <is>
          <t>DT-506</t>
        </is>
      </c>
      <c r="E1115" s="156" t="inlineStr">
        <is>
          <t>OB</t>
        </is>
      </c>
      <c r="F1115" s="156" t="n">
        <v>4</v>
      </c>
      <c r="G1115" s="156" t="inlineStr"/>
      <c r="H1115" s="157">
        <f>IF($B1115="","",IF(ISNA(MATCH($B1115,MASTER_JAM!$Q$5:$Q$28,0)),"?",IF(MATCH($B1115,MASTER_JAM!$Q$5:$Q$28,0)&lt;=12,"DS","NS")))</f>
        <v/>
      </c>
      <c r="I1115" s="157">
        <f>IFERROR(INDEX(MASTER_JAM!$B$5:$B$94,MATCH($C1115,MASTER_JAM!$A$5:$A$94,0)),"")</f>
        <v/>
      </c>
      <c r="J1115" s="157">
        <f>IFERROR(INDEX(MASTER_JAM!$E$5:$E$94,MATCH($D1115,MASTER_JAM!$A$5:$A$94,0)),"")</f>
        <v/>
      </c>
      <c r="K1115" s="158">
        <f>IFERROR(INDEX(MASTER_JAM!$J$5:$O$12,MATCH($E1115,MASTER_JAM!$I$5:$I$12,0),MATCH($J1115,MASTER_JAM!$J$4:$O$4,0))+0,0)</f>
        <v/>
      </c>
      <c r="L1115" s="159">
        <f>N($F1115)*$K1115</f>
        <v/>
      </c>
      <c r="M1115" s="157">
        <f>IF($E1115="","",IF(OR($E1115="Coal",$E1115="Dirty Coal"),"MT","BCM"))</f>
        <v/>
      </c>
      <c r="N1115" s="157">
        <f>IF($E1115="","",IF(OR($E1115="Coal",$E1115="Dirty Coal"),"Coal","OB"))</f>
        <v/>
      </c>
      <c r="O1115" s="157">
        <f>IF($F1115="","",IF(COUNTIF(MASTER_JAM!$A$5:$A$94,$C1115)=0,"Digger tidak dikenal",IF($J1115="","Hauler tidak dikenal",IF($H1115="?","Jam salah",IF($K1115=0,"Faktor kosong",IF(SUMIFS(INPUT_DELAY!$E$5:$E$20000,INPUT_DELAY!$A$5:$A$20000,$A1115,INPUT_DELAY!$B$5:$B$20000,$B1115,INPUT_DELAY!$C$5:$C$20000,$C1115)+SUMIFS(INPUT_DELAY!$E$5:$E$20000,INPUT_DELAY!$A$5:$A$20000,$A1115,INPUT_DELAY!$B$5:$B$20000,$B1115,INPUT_DELAY!$C$5:$C$20000,"SEMUA")&gt;=60,"Delay 60 mnt tapi ada ritase","OK"))))))</f>
        <v/>
      </c>
      <c r="P1115" s="158">
        <f>IFERROR(INDEX(MASTER_JAM!$Z$5:$AC$10,MATCH($I1115,MASTER_JAM!$Y$5:$Y$10,0),MATCH($J1115,MASTER_JAM!$Z$4:$AC$4,0))+0,0)</f>
        <v/>
      </c>
      <c r="Q1115" s="158">
        <f>IF($P1115=0,0,$P1115+IFERROR(INDEX(MASTER_JAM!$H$5:$H$94,MATCH($C1115,MASTER_JAM!$A$5:$A$94,0))+0,MASTER_JAM!$AC$15)/1000*(60/MASTER_JAM!$AC$12+60/MASTER_JAM!$AC$13)+MASTER_JAM!$AC$14)</f>
        <v/>
      </c>
      <c r="R1115" s="158">
        <f>IF(N($F1115)=0,0,$F1115/SUMIFS(INPUT_RITASE!$F$5:$F$20000,INPUT_RITASE!$A$5:$A$20000,$A1115,INPUT_RITASE!$B$5:$B$20000,$B1115,INPUT_RITASE!$C$5:$C$20000,$C1115,INPUT_RITASE!$D$5:$D$20000,$D1115))</f>
        <v/>
      </c>
      <c r="S1115" s="158">
        <f>IF($Q1115=0,0,$R1115*$P1115/$Q1115)</f>
        <v/>
      </c>
    </row>
    <row r="1116">
      <c r="A1116" s="155" t="n">
        <v>46107</v>
      </c>
      <c r="B1116" s="156" t="inlineStr">
        <is>
          <t>18-19</t>
        </is>
      </c>
      <c r="C1116" s="156" t="inlineStr">
        <is>
          <t>EX-755</t>
        </is>
      </c>
      <c r="D1116" s="156" t="inlineStr">
        <is>
          <t>DT-508</t>
        </is>
      </c>
      <c r="E1116" s="156" t="inlineStr">
        <is>
          <t>OB</t>
        </is>
      </c>
      <c r="F1116" s="156" t="n">
        <v>4</v>
      </c>
      <c r="G1116" s="156" t="inlineStr"/>
      <c r="H1116" s="157">
        <f>IF($B1116="","",IF(ISNA(MATCH($B1116,MASTER_JAM!$Q$5:$Q$28,0)),"?",IF(MATCH($B1116,MASTER_JAM!$Q$5:$Q$28,0)&lt;=12,"DS","NS")))</f>
        <v/>
      </c>
      <c r="I1116" s="157">
        <f>IFERROR(INDEX(MASTER_JAM!$B$5:$B$94,MATCH($C1116,MASTER_JAM!$A$5:$A$94,0)),"")</f>
        <v/>
      </c>
      <c r="J1116" s="157">
        <f>IFERROR(INDEX(MASTER_JAM!$E$5:$E$94,MATCH($D1116,MASTER_JAM!$A$5:$A$94,0)),"")</f>
        <v/>
      </c>
      <c r="K1116" s="158">
        <f>IFERROR(INDEX(MASTER_JAM!$J$5:$O$12,MATCH($E1116,MASTER_JAM!$I$5:$I$12,0),MATCH($J1116,MASTER_JAM!$J$4:$O$4,0))+0,0)</f>
        <v/>
      </c>
      <c r="L1116" s="159">
        <f>N($F1116)*$K1116</f>
        <v/>
      </c>
      <c r="M1116" s="157">
        <f>IF($E1116="","",IF(OR($E1116="Coal",$E1116="Dirty Coal"),"MT","BCM"))</f>
        <v/>
      </c>
      <c r="N1116" s="157">
        <f>IF($E1116="","",IF(OR($E1116="Coal",$E1116="Dirty Coal"),"Coal","OB"))</f>
        <v/>
      </c>
      <c r="O1116" s="157">
        <f>IF($F1116="","",IF(COUNTIF(MASTER_JAM!$A$5:$A$94,$C1116)=0,"Digger tidak dikenal",IF($J1116="","Hauler tidak dikenal",IF($H1116="?","Jam salah",IF($K1116=0,"Faktor kosong",IF(SUMIFS(INPUT_DELAY!$E$5:$E$20000,INPUT_DELAY!$A$5:$A$20000,$A1116,INPUT_DELAY!$B$5:$B$20000,$B1116,INPUT_DELAY!$C$5:$C$20000,$C1116)+SUMIFS(INPUT_DELAY!$E$5:$E$20000,INPUT_DELAY!$A$5:$A$20000,$A1116,INPUT_DELAY!$B$5:$B$20000,$B1116,INPUT_DELAY!$C$5:$C$20000,"SEMUA")&gt;=60,"Delay 60 mnt tapi ada ritase","OK"))))))</f>
        <v/>
      </c>
      <c r="P1116" s="158">
        <f>IFERROR(INDEX(MASTER_JAM!$Z$5:$AC$10,MATCH($I1116,MASTER_JAM!$Y$5:$Y$10,0),MATCH($J1116,MASTER_JAM!$Z$4:$AC$4,0))+0,0)</f>
        <v/>
      </c>
      <c r="Q1116" s="158">
        <f>IF($P1116=0,0,$P1116+IFERROR(INDEX(MASTER_JAM!$H$5:$H$94,MATCH($C1116,MASTER_JAM!$A$5:$A$94,0))+0,MASTER_JAM!$AC$15)/1000*(60/MASTER_JAM!$AC$12+60/MASTER_JAM!$AC$13)+MASTER_JAM!$AC$14)</f>
        <v/>
      </c>
      <c r="R1116" s="158">
        <f>IF(N($F1116)=0,0,$F1116/SUMIFS(INPUT_RITASE!$F$5:$F$20000,INPUT_RITASE!$A$5:$A$20000,$A1116,INPUT_RITASE!$B$5:$B$20000,$B1116,INPUT_RITASE!$C$5:$C$20000,$C1116,INPUT_RITASE!$D$5:$D$20000,$D1116))</f>
        <v/>
      </c>
      <c r="S1116" s="158">
        <f>IF($Q1116=0,0,$R1116*$P1116/$Q1116)</f>
        <v/>
      </c>
    </row>
    <row r="1117">
      <c r="A1117" s="155" t="n">
        <v>46107</v>
      </c>
      <c r="B1117" s="156" t="inlineStr">
        <is>
          <t>18-19</t>
        </is>
      </c>
      <c r="C1117" s="156" t="inlineStr">
        <is>
          <t>EX-755</t>
        </is>
      </c>
      <c r="D1117" s="156" t="inlineStr">
        <is>
          <t>DT-515</t>
        </is>
      </c>
      <c r="E1117" s="156" t="inlineStr">
        <is>
          <t>OB</t>
        </is>
      </c>
      <c r="F1117" s="156" t="n">
        <v>4</v>
      </c>
      <c r="G1117" s="156" t="inlineStr"/>
      <c r="H1117" s="157">
        <f>IF($B1117="","",IF(ISNA(MATCH($B1117,MASTER_JAM!$Q$5:$Q$28,0)),"?",IF(MATCH($B1117,MASTER_JAM!$Q$5:$Q$28,0)&lt;=12,"DS","NS")))</f>
        <v/>
      </c>
      <c r="I1117" s="157">
        <f>IFERROR(INDEX(MASTER_JAM!$B$5:$B$94,MATCH($C1117,MASTER_JAM!$A$5:$A$94,0)),"")</f>
        <v/>
      </c>
      <c r="J1117" s="157">
        <f>IFERROR(INDEX(MASTER_JAM!$E$5:$E$94,MATCH($D1117,MASTER_JAM!$A$5:$A$94,0)),"")</f>
        <v/>
      </c>
      <c r="K1117" s="158">
        <f>IFERROR(INDEX(MASTER_JAM!$J$5:$O$12,MATCH($E1117,MASTER_JAM!$I$5:$I$12,0),MATCH($J1117,MASTER_JAM!$J$4:$O$4,0))+0,0)</f>
        <v/>
      </c>
      <c r="L1117" s="159">
        <f>N($F1117)*$K1117</f>
        <v/>
      </c>
      <c r="M1117" s="157">
        <f>IF($E1117="","",IF(OR($E1117="Coal",$E1117="Dirty Coal"),"MT","BCM"))</f>
        <v/>
      </c>
      <c r="N1117" s="157">
        <f>IF($E1117="","",IF(OR($E1117="Coal",$E1117="Dirty Coal"),"Coal","OB"))</f>
        <v/>
      </c>
      <c r="O1117" s="157">
        <f>IF($F1117="","",IF(COUNTIF(MASTER_JAM!$A$5:$A$94,$C1117)=0,"Digger tidak dikenal",IF($J1117="","Hauler tidak dikenal",IF($H1117="?","Jam salah",IF($K1117=0,"Faktor kosong",IF(SUMIFS(INPUT_DELAY!$E$5:$E$20000,INPUT_DELAY!$A$5:$A$20000,$A1117,INPUT_DELAY!$B$5:$B$20000,$B1117,INPUT_DELAY!$C$5:$C$20000,$C1117)+SUMIFS(INPUT_DELAY!$E$5:$E$20000,INPUT_DELAY!$A$5:$A$20000,$A1117,INPUT_DELAY!$B$5:$B$20000,$B1117,INPUT_DELAY!$C$5:$C$20000,"SEMUA")&gt;=60,"Delay 60 mnt tapi ada ritase","OK"))))))</f>
        <v/>
      </c>
      <c r="P1117" s="158">
        <f>IFERROR(INDEX(MASTER_JAM!$Z$5:$AC$10,MATCH($I1117,MASTER_JAM!$Y$5:$Y$10,0),MATCH($J1117,MASTER_JAM!$Z$4:$AC$4,0))+0,0)</f>
        <v/>
      </c>
      <c r="Q1117" s="158">
        <f>IF($P1117=0,0,$P1117+IFERROR(INDEX(MASTER_JAM!$H$5:$H$94,MATCH($C1117,MASTER_JAM!$A$5:$A$94,0))+0,MASTER_JAM!$AC$15)/1000*(60/MASTER_JAM!$AC$12+60/MASTER_JAM!$AC$13)+MASTER_JAM!$AC$14)</f>
        <v/>
      </c>
      <c r="R1117" s="158">
        <f>IF(N($F1117)=0,0,$F1117/SUMIFS(INPUT_RITASE!$F$5:$F$20000,INPUT_RITASE!$A$5:$A$20000,$A1117,INPUT_RITASE!$B$5:$B$20000,$B1117,INPUT_RITASE!$C$5:$C$20000,$C1117,INPUT_RITASE!$D$5:$D$20000,$D1117))</f>
        <v/>
      </c>
      <c r="S1117" s="158">
        <f>IF($Q1117=0,0,$R1117*$P1117/$Q1117)</f>
        <v/>
      </c>
    </row>
    <row r="1118">
      <c r="A1118" s="155" t="n">
        <v>46107</v>
      </c>
      <c r="B1118" s="156" t="inlineStr">
        <is>
          <t>19-20</t>
        </is>
      </c>
      <c r="C1118" s="156" t="inlineStr">
        <is>
          <t>EX-755</t>
        </is>
      </c>
      <c r="D1118" s="156" t="inlineStr">
        <is>
          <t>DT-515</t>
        </is>
      </c>
      <c r="E1118" s="156" t="inlineStr">
        <is>
          <t>OB</t>
        </is>
      </c>
      <c r="F1118" s="156" t="n">
        <v>4</v>
      </c>
      <c r="G1118" s="156" t="inlineStr"/>
      <c r="H1118" s="157">
        <f>IF($B1118="","",IF(ISNA(MATCH($B1118,MASTER_JAM!$Q$5:$Q$28,0)),"?",IF(MATCH($B1118,MASTER_JAM!$Q$5:$Q$28,0)&lt;=12,"DS","NS")))</f>
        <v/>
      </c>
      <c r="I1118" s="157">
        <f>IFERROR(INDEX(MASTER_JAM!$B$5:$B$94,MATCH($C1118,MASTER_JAM!$A$5:$A$94,0)),"")</f>
        <v/>
      </c>
      <c r="J1118" s="157">
        <f>IFERROR(INDEX(MASTER_JAM!$E$5:$E$94,MATCH($D1118,MASTER_JAM!$A$5:$A$94,0)),"")</f>
        <v/>
      </c>
      <c r="K1118" s="158">
        <f>IFERROR(INDEX(MASTER_JAM!$J$5:$O$12,MATCH($E1118,MASTER_JAM!$I$5:$I$12,0),MATCH($J1118,MASTER_JAM!$J$4:$O$4,0))+0,0)</f>
        <v/>
      </c>
      <c r="L1118" s="159">
        <f>N($F1118)*$K1118</f>
        <v/>
      </c>
      <c r="M1118" s="157">
        <f>IF($E1118="","",IF(OR($E1118="Coal",$E1118="Dirty Coal"),"MT","BCM"))</f>
        <v/>
      </c>
      <c r="N1118" s="157">
        <f>IF($E1118="","",IF(OR($E1118="Coal",$E1118="Dirty Coal"),"Coal","OB"))</f>
        <v/>
      </c>
      <c r="O1118" s="157">
        <f>IF($F1118="","",IF(COUNTIF(MASTER_JAM!$A$5:$A$94,$C1118)=0,"Digger tidak dikenal",IF($J1118="","Hauler tidak dikenal",IF($H1118="?","Jam salah",IF($K1118=0,"Faktor kosong",IF(SUMIFS(INPUT_DELAY!$E$5:$E$20000,INPUT_DELAY!$A$5:$A$20000,$A1118,INPUT_DELAY!$B$5:$B$20000,$B1118,INPUT_DELAY!$C$5:$C$20000,$C1118)+SUMIFS(INPUT_DELAY!$E$5:$E$20000,INPUT_DELAY!$A$5:$A$20000,$A1118,INPUT_DELAY!$B$5:$B$20000,$B1118,INPUT_DELAY!$C$5:$C$20000,"SEMUA")&gt;=60,"Delay 60 mnt tapi ada ritase","OK"))))))</f>
        <v/>
      </c>
      <c r="P1118" s="158">
        <f>IFERROR(INDEX(MASTER_JAM!$Z$5:$AC$10,MATCH($I1118,MASTER_JAM!$Y$5:$Y$10,0),MATCH($J1118,MASTER_JAM!$Z$4:$AC$4,0))+0,0)</f>
        <v/>
      </c>
      <c r="Q1118" s="158">
        <f>IF($P1118=0,0,$P1118+IFERROR(INDEX(MASTER_JAM!$H$5:$H$94,MATCH($C1118,MASTER_JAM!$A$5:$A$94,0))+0,MASTER_JAM!$AC$15)/1000*(60/MASTER_JAM!$AC$12+60/MASTER_JAM!$AC$13)+MASTER_JAM!$AC$14)</f>
        <v/>
      </c>
      <c r="R1118" s="158">
        <f>IF(N($F1118)=0,0,$F1118/SUMIFS(INPUT_RITASE!$F$5:$F$20000,INPUT_RITASE!$A$5:$A$20000,$A1118,INPUT_RITASE!$B$5:$B$20000,$B1118,INPUT_RITASE!$C$5:$C$20000,$C1118,INPUT_RITASE!$D$5:$D$20000,$D1118))</f>
        <v/>
      </c>
      <c r="S1118" s="158">
        <f>IF($Q1118=0,0,$R1118*$P1118/$Q1118)</f>
        <v/>
      </c>
    </row>
    <row r="1119">
      <c r="A1119" s="155" t="n">
        <v>46107</v>
      </c>
      <c r="B1119" s="156" t="inlineStr">
        <is>
          <t>19-20</t>
        </is>
      </c>
      <c r="C1119" s="156" t="inlineStr">
        <is>
          <t>EX-755</t>
        </is>
      </c>
      <c r="D1119" s="156" t="inlineStr">
        <is>
          <t>DT-518</t>
        </is>
      </c>
      <c r="E1119" s="156" t="inlineStr">
        <is>
          <t>OB</t>
        </is>
      </c>
      <c r="F1119" s="156" t="n">
        <v>4</v>
      </c>
      <c r="G1119" s="156" t="inlineStr"/>
      <c r="H1119" s="157">
        <f>IF($B1119="","",IF(ISNA(MATCH($B1119,MASTER_JAM!$Q$5:$Q$28,0)),"?",IF(MATCH($B1119,MASTER_JAM!$Q$5:$Q$28,0)&lt;=12,"DS","NS")))</f>
        <v/>
      </c>
      <c r="I1119" s="157">
        <f>IFERROR(INDEX(MASTER_JAM!$B$5:$B$94,MATCH($C1119,MASTER_JAM!$A$5:$A$94,0)),"")</f>
        <v/>
      </c>
      <c r="J1119" s="157">
        <f>IFERROR(INDEX(MASTER_JAM!$E$5:$E$94,MATCH($D1119,MASTER_JAM!$A$5:$A$94,0)),"")</f>
        <v/>
      </c>
      <c r="K1119" s="158">
        <f>IFERROR(INDEX(MASTER_JAM!$J$5:$O$12,MATCH($E1119,MASTER_JAM!$I$5:$I$12,0),MATCH($J1119,MASTER_JAM!$J$4:$O$4,0))+0,0)</f>
        <v/>
      </c>
      <c r="L1119" s="159">
        <f>N($F1119)*$K1119</f>
        <v/>
      </c>
      <c r="M1119" s="157">
        <f>IF($E1119="","",IF(OR($E1119="Coal",$E1119="Dirty Coal"),"MT","BCM"))</f>
        <v/>
      </c>
      <c r="N1119" s="157">
        <f>IF($E1119="","",IF(OR($E1119="Coal",$E1119="Dirty Coal"),"Coal","OB"))</f>
        <v/>
      </c>
      <c r="O1119" s="157">
        <f>IF($F1119="","",IF(COUNTIF(MASTER_JAM!$A$5:$A$94,$C1119)=0,"Digger tidak dikenal",IF($J1119="","Hauler tidak dikenal",IF($H1119="?","Jam salah",IF($K1119=0,"Faktor kosong",IF(SUMIFS(INPUT_DELAY!$E$5:$E$20000,INPUT_DELAY!$A$5:$A$20000,$A1119,INPUT_DELAY!$B$5:$B$20000,$B1119,INPUT_DELAY!$C$5:$C$20000,$C1119)+SUMIFS(INPUT_DELAY!$E$5:$E$20000,INPUT_DELAY!$A$5:$A$20000,$A1119,INPUT_DELAY!$B$5:$B$20000,$B1119,INPUT_DELAY!$C$5:$C$20000,"SEMUA")&gt;=60,"Delay 60 mnt tapi ada ritase","OK"))))))</f>
        <v/>
      </c>
      <c r="P1119" s="158">
        <f>IFERROR(INDEX(MASTER_JAM!$Z$5:$AC$10,MATCH($I1119,MASTER_JAM!$Y$5:$Y$10,0),MATCH($J1119,MASTER_JAM!$Z$4:$AC$4,0))+0,0)</f>
        <v/>
      </c>
      <c r="Q1119" s="158">
        <f>IF($P1119=0,0,$P1119+IFERROR(INDEX(MASTER_JAM!$H$5:$H$94,MATCH($C1119,MASTER_JAM!$A$5:$A$94,0))+0,MASTER_JAM!$AC$15)/1000*(60/MASTER_JAM!$AC$12+60/MASTER_JAM!$AC$13)+MASTER_JAM!$AC$14)</f>
        <v/>
      </c>
      <c r="R1119" s="158">
        <f>IF(N($F1119)=0,0,$F1119/SUMIFS(INPUT_RITASE!$F$5:$F$20000,INPUT_RITASE!$A$5:$A$20000,$A1119,INPUT_RITASE!$B$5:$B$20000,$B1119,INPUT_RITASE!$C$5:$C$20000,$C1119,INPUT_RITASE!$D$5:$D$20000,$D1119))</f>
        <v/>
      </c>
      <c r="S1119" s="158">
        <f>IF($Q1119=0,0,$R1119*$P1119/$Q1119)</f>
        <v/>
      </c>
    </row>
    <row r="1120">
      <c r="A1120" s="155" t="n">
        <v>46107</v>
      </c>
      <c r="B1120" s="156" t="inlineStr">
        <is>
          <t>19-20</t>
        </is>
      </c>
      <c r="C1120" s="156" t="inlineStr">
        <is>
          <t>EX-755</t>
        </is>
      </c>
      <c r="D1120" s="156" t="inlineStr">
        <is>
          <t>DT-523</t>
        </is>
      </c>
      <c r="E1120" s="156" t="inlineStr">
        <is>
          <t>OB</t>
        </is>
      </c>
      <c r="F1120" s="156" t="n">
        <v>4</v>
      </c>
      <c r="G1120" s="156" t="inlineStr"/>
      <c r="H1120" s="157">
        <f>IF($B1120="","",IF(ISNA(MATCH($B1120,MASTER_JAM!$Q$5:$Q$28,0)),"?",IF(MATCH($B1120,MASTER_JAM!$Q$5:$Q$28,0)&lt;=12,"DS","NS")))</f>
        <v/>
      </c>
      <c r="I1120" s="157">
        <f>IFERROR(INDEX(MASTER_JAM!$B$5:$B$94,MATCH($C1120,MASTER_JAM!$A$5:$A$94,0)),"")</f>
        <v/>
      </c>
      <c r="J1120" s="157">
        <f>IFERROR(INDEX(MASTER_JAM!$E$5:$E$94,MATCH($D1120,MASTER_JAM!$A$5:$A$94,0)),"")</f>
        <v/>
      </c>
      <c r="K1120" s="158">
        <f>IFERROR(INDEX(MASTER_JAM!$J$5:$O$12,MATCH($E1120,MASTER_JAM!$I$5:$I$12,0),MATCH($J1120,MASTER_JAM!$J$4:$O$4,0))+0,0)</f>
        <v/>
      </c>
      <c r="L1120" s="159">
        <f>N($F1120)*$K1120</f>
        <v/>
      </c>
      <c r="M1120" s="157">
        <f>IF($E1120="","",IF(OR($E1120="Coal",$E1120="Dirty Coal"),"MT","BCM"))</f>
        <v/>
      </c>
      <c r="N1120" s="157">
        <f>IF($E1120="","",IF(OR($E1120="Coal",$E1120="Dirty Coal"),"Coal","OB"))</f>
        <v/>
      </c>
      <c r="O1120" s="157">
        <f>IF($F1120="","",IF(COUNTIF(MASTER_JAM!$A$5:$A$94,$C1120)=0,"Digger tidak dikenal",IF($J1120="","Hauler tidak dikenal",IF($H1120="?","Jam salah",IF($K1120=0,"Faktor kosong",IF(SUMIFS(INPUT_DELAY!$E$5:$E$20000,INPUT_DELAY!$A$5:$A$20000,$A1120,INPUT_DELAY!$B$5:$B$20000,$B1120,INPUT_DELAY!$C$5:$C$20000,$C1120)+SUMIFS(INPUT_DELAY!$E$5:$E$20000,INPUT_DELAY!$A$5:$A$20000,$A1120,INPUT_DELAY!$B$5:$B$20000,$B1120,INPUT_DELAY!$C$5:$C$20000,"SEMUA")&gt;=60,"Delay 60 mnt tapi ada ritase","OK"))))))</f>
        <v/>
      </c>
      <c r="P1120" s="158">
        <f>IFERROR(INDEX(MASTER_JAM!$Z$5:$AC$10,MATCH($I1120,MASTER_JAM!$Y$5:$Y$10,0),MATCH($J1120,MASTER_JAM!$Z$4:$AC$4,0))+0,0)</f>
        <v/>
      </c>
      <c r="Q1120" s="158">
        <f>IF($P1120=0,0,$P1120+IFERROR(INDEX(MASTER_JAM!$H$5:$H$94,MATCH($C1120,MASTER_JAM!$A$5:$A$94,0))+0,MASTER_JAM!$AC$15)/1000*(60/MASTER_JAM!$AC$12+60/MASTER_JAM!$AC$13)+MASTER_JAM!$AC$14)</f>
        <v/>
      </c>
      <c r="R1120" s="158">
        <f>IF(N($F1120)=0,0,$F1120/SUMIFS(INPUT_RITASE!$F$5:$F$20000,INPUT_RITASE!$A$5:$A$20000,$A1120,INPUT_RITASE!$B$5:$B$20000,$B1120,INPUT_RITASE!$C$5:$C$20000,$C1120,INPUT_RITASE!$D$5:$D$20000,$D1120))</f>
        <v/>
      </c>
      <c r="S1120" s="158">
        <f>IF($Q1120=0,0,$R1120*$P1120/$Q1120)</f>
        <v/>
      </c>
    </row>
    <row r="1121">
      <c r="A1121" s="155" t="n">
        <v>46107</v>
      </c>
      <c r="B1121" s="156" t="inlineStr">
        <is>
          <t>19-20</t>
        </is>
      </c>
      <c r="C1121" s="156" t="inlineStr">
        <is>
          <t>EX-755</t>
        </is>
      </c>
      <c r="D1121" s="156" t="inlineStr">
        <is>
          <t>DT-504</t>
        </is>
      </c>
      <c r="E1121" s="156" t="inlineStr">
        <is>
          <t>OB</t>
        </is>
      </c>
      <c r="F1121" s="156" t="n">
        <v>3</v>
      </c>
      <c r="G1121" s="156" t="inlineStr"/>
      <c r="H1121" s="157">
        <f>IF($B1121="","",IF(ISNA(MATCH($B1121,MASTER_JAM!$Q$5:$Q$28,0)),"?",IF(MATCH($B1121,MASTER_JAM!$Q$5:$Q$28,0)&lt;=12,"DS","NS")))</f>
        <v/>
      </c>
      <c r="I1121" s="157">
        <f>IFERROR(INDEX(MASTER_JAM!$B$5:$B$94,MATCH($C1121,MASTER_JAM!$A$5:$A$94,0)),"")</f>
        <v/>
      </c>
      <c r="J1121" s="157">
        <f>IFERROR(INDEX(MASTER_JAM!$E$5:$E$94,MATCH($D1121,MASTER_JAM!$A$5:$A$94,0)),"")</f>
        <v/>
      </c>
      <c r="K1121" s="158">
        <f>IFERROR(INDEX(MASTER_JAM!$J$5:$O$12,MATCH($E1121,MASTER_JAM!$I$5:$I$12,0),MATCH($J1121,MASTER_JAM!$J$4:$O$4,0))+0,0)</f>
        <v/>
      </c>
      <c r="L1121" s="159">
        <f>N($F1121)*$K1121</f>
        <v/>
      </c>
      <c r="M1121" s="157">
        <f>IF($E1121="","",IF(OR($E1121="Coal",$E1121="Dirty Coal"),"MT","BCM"))</f>
        <v/>
      </c>
      <c r="N1121" s="157">
        <f>IF($E1121="","",IF(OR($E1121="Coal",$E1121="Dirty Coal"),"Coal","OB"))</f>
        <v/>
      </c>
      <c r="O1121" s="157">
        <f>IF($F1121="","",IF(COUNTIF(MASTER_JAM!$A$5:$A$94,$C1121)=0,"Digger tidak dikenal",IF($J1121="","Hauler tidak dikenal",IF($H1121="?","Jam salah",IF($K1121=0,"Faktor kosong",IF(SUMIFS(INPUT_DELAY!$E$5:$E$20000,INPUT_DELAY!$A$5:$A$20000,$A1121,INPUT_DELAY!$B$5:$B$20000,$B1121,INPUT_DELAY!$C$5:$C$20000,$C1121)+SUMIFS(INPUT_DELAY!$E$5:$E$20000,INPUT_DELAY!$A$5:$A$20000,$A1121,INPUT_DELAY!$B$5:$B$20000,$B1121,INPUT_DELAY!$C$5:$C$20000,"SEMUA")&gt;=60,"Delay 60 mnt tapi ada ritase","OK"))))))</f>
        <v/>
      </c>
      <c r="P1121" s="158">
        <f>IFERROR(INDEX(MASTER_JAM!$Z$5:$AC$10,MATCH($I1121,MASTER_JAM!$Y$5:$Y$10,0),MATCH($J1121,MASTER_JAM!$Z$4:$AC$4,0))+0,0)</f>
        <v/>
      </c>
      <c r="Q1121" s="158">
        <f>IF($P1121=0,0,$P1121+IFERROR(INDEX(MASTER_JAM!$H$5:$H$94,MATCH($C1121,MASTER_JAM!$A$5:$A$94,0))+0,MASTER_JAM!$AC$15)/1000*(60/MASTER_JAM!$AC$12+60/MASTER_JAM!$AC$13)+MASTER_JAM!$AC$14)</f>
        <v/>
      </c>
      <c r="R1121" s="158">
        <f>IF(N($F1121)=0,0,$F1121/SUMIFS(INPUT_RITASE!$F$5:$F$20000,INPUT_RITASE!$A$5:$A$20000,$A1121,INPUT_RITASE!$B$5:$B$20000,$B1121,INPUT_RITASE!$C$5:$C$20000,$C1121,INPUT_RITASE!$D$5:$D$20000,$D1121))</f>
        <v/>
      </c>
      <c r="S1121" s="158">
        <f>IF($Q1121=0,0,$R1121*$P1121/$Q1121)</f>
        <v/>
      </c>
    </row>
    <row r="1122">
      <c r="A1122" s="155" t="n">
        <v>46107</v>
      </c>
      <c r="B1122" s="156" t="inlineStr">
        <is>
          <t>01-02</t>
        </is>
      </c>
      <c r="C1122" s="156" t="inlineStr">
        <is>
          <t>EX-755</t>
        </is>
      </c>
      <c r="D1122" s="156" t="inlineStr">
        <is>
          <t>DT-522</t>
        </is>
      </c>
      <c r="E1122" s="156" t="inlineStr">
        <is>
          <t>OB</t>
        </is>
      </c>
      <c r="F1122" s="156" t="n">
        <v>4</v>
      </c>
      <c r="G1122" s="156" t="inlineStr"/>
      <c r="H1122" s="157">
        <f>IF($B1122="","",IF(ISNA(MATCH($B1122,MASTER_JAM!$Q$5:$Q$28,0)),"?",IF(MATCH($B1122,MASTER_JAM!$Q$5:$Q$28,0)&lt;=12,"DS","NS")))</f>
        <v/>
      </c>
      <c r="I1122" s="157">
        <f>IFERROR(INDEX(MASTER_JAM!$B$5:$B$94,MATCH($C1122,MASTER_JAM!$A$5:$A$94,0)),"")</f>
        <v/>
      </c>
      <c r="J1122" s="157">
        <f>IFERROR(INDEX(MASTER_JAM!$E$5:$E$94,MATCH($D1122,MASTER_JAM!$A$5:$A$94,0)),"")</f>
        <v/>
      </c>
      <c r="K1122" s="158">
        <f>IFERROR(INDEX(MASTER_JAM!$J$5:$O$12,MATCH($E1122,MASTER_JAM!$I$5:$I$12,0),MATCH($J1122,MASTER_JAM!$J$4:$O$4,0))+0,0)</f>
        <v/>
      </c>
      <c r="L1122" s="159">
        <f>N($F1122)*$K1122</f>
        <v/>
      </c>
      <c r="M1122" s="157">
        <f>IF($E1122="","",IF(OR($E1122="Coal",$E1122="Dirty Coal"),"MT","BCM"))</f>
        <v/>
      </c>
      <c r="N1122" s="157">
        <f>IF($E1122="","",IF(OR($E1122="Coal",$E1122="Dirty Coal"),"Coal","OB"))</f>
        <v/>
      </c>
      <c r="O1122" s="157">
        <f>IF($F1122="","",IF(COUNTIF(MASTER_JAM!$A$5:$A$94,$C1122)=0,"Digger tidak dikenal",IF($J1122="","Hauler tidak dikenal",IF($H1122="?","Jam salah",IF($K1122=0,"Faktor kosong",IF(SUMIFS(INPUT_DELAY!$E$5:$E$20000,INPUT_DELAY!$A$5:$A$20000,$A1122,INPUT_DELAY!$B$5:$B$20000,$B1122,INPUT_DELAY!$C$5:$C$20000,$C1122)+SUMIFS(INPUT_DELAY!$E$5:$E$20000,INPUT_DELAY!$A$5:$A$20000,$A1122,INPUT_DELAY!$B$5:$B$20000,$B1122,INPUT_DELAY!$C$5:$C$20000,"SEMUA")&gt;=60,"Delay 60 mnt tapi ada ritase","OK"))))))</f>
        <v/>
      </c>
      <c r="P1122" s="158">
        <f>IFERROR(INDEX(MASTER_JAM!$Z$5:$AC$10,MATCH($I1122,MASTER_JAM!$Y$5:$Y$10,0),MATCH($J1122,MASTER_JAM!$Z$4:$AC$4,0))+0,0)</f>
        <v/>
      </c>
      <c r="Q1122" s="158">
        <f>IF($P1122=0,0,$P1122+IFERROR(INDEX(MASTER_JAM!$H$5:$H$94,MATCH($C1122,MASTER_JAM!$A$5:$A$94,0))+0,MASTER_JAM!$AC$15)/1000*(60/MASTER_JAM!$AC$12+60/MASTER_JAM!$AC$13)+MASTER_JAM!$AC$14)</f>
        <v/>
      </c>
      <c r="R1122" s="158">
        <f>IF(N($F1122)=0,0,$F1122/SUMIFS(INPUT_RITASE!$F$5:$F$20000,INPUT_RITASE!$A$5:$A$20000,$A1122,INPUT_RITASE!$B$5:$B$20000,$B1122,INPUT_RITASE!$C$5:$C$20000,$C1122,INPUT_RITASE!$D$5:$D$20000,$D1122))</f>
        <v/>
      </c>
      <c r="S1122" s="158">
        <f>IF($Q1122=0,0,$R1122*$P1122/$Q1122)</f>
        <v/>
      </c>
    </row>
    <row r="1123">
      <c r="A1123" s="155" t="n">
        <v>46107</v>
      </c>
      <c r="B1123" s="156" t="inlineStr">
        <is>
          <t>01-02</t>
        </is>
      </c>
      <c r="C1123" s="156" t="inlineStr">
        <is>
          <t>EX-755</t>
        </is>
      </c>
      <c r="D1123" s="156" t="inlineStr">
        <is>
          <t>DT-518</t>
        </is>
      </c>
      <c r="E1123" s="156" t="inlineStr">
        <is>
          <t>OB</t>
        </is>
      </c>
      <c r="F1123" s="156" t="n">
        <v>3</v>
      </c>
      <c r="G1123" s="156" t="inlineStr"/>
      <c r="H1123" s="157">
        <f>IF($B1123="","",IF(ISNA(MATCH($B1123,MASTER_JAM!$Q$5:$Q$28,0)),"?",IF(MATCH($B1123,MASTER_JAM!$Q$5:$Q$28,0)&lt;=12,"DS","NS")))</f>
        <v/>
      </c>
      <c r="I1123" s="157">
        <f>IFERROR(INDEX(MASTER_JAM!$B$5:$B$94,MATCH($C1123,MASTER_JAM!$A$5:$A$94,0)),"")</f>
        <v/>
      </c>
      <c r="J1123" s="157">
        <f>IFERROR(INDEX(MASTER_JAM!$E$5:$E$94,MATCH($D1123,MASTER_JAM!$A$5:$A$94,0)),"")</f>
        <v/>
      </c>
      <c r="K1123" s="158">
        <f>IFERROR(INDEX(MASTER_JAM!$J$5:$O$12,MATCH($E1123,MASTER_JAM!$I$5:$I$12,0),MATCH($J1123,MASTER_JAM!$J$4:$O$4,0))+0,0)</f>
        <v/>
      </c>
      <c r="L1123" s="159">
        <f>N($F1123)*$K1123</f>
        <v/>
      </c>
      <c r="M1123" s="157">
        <f>IF($E1123="","",IF(OR($E1123="Coal",$E1123="Dirty Coal"),"MT","BCM"))</f>
        <v/>
      </c>
      <c r="N1123" s="157">
        <f>IF($E1123="","",IF(OR($E1123="Coal",$E1123="Dirty Coal"),"Coal","OB"))</f>
        <v/>
      </c>
      <c r="O1123" s="157">
        <f>IF($F1123="","",IF(COUNTIF(MASTER_JAM!$A$5:$A$94,$C1123)=0,"Digger tidak dikenal",IF($J1123="","Hauler tidak dikenal",IF($H1123="?","Jam salah",IF($K1123=0,"Faktor kosong",IF(SUMIFS(INPUT_DELAY!$E$5:$E$20000,INPUT_DELAY!$A$5:$A$20000,$A1123,INPUT_DELAY!$B$5:$B$20000,$B1123,INPUT_DELAY!$C$5:$C$20000,$C1123)+SUMIFS(INPUT_DELAY!$E$5:$E$20000,INPUT_DELAY!$A$5:$A$20000,$A1123,INPUT_DELAY!$B$5:$B$20000,$B1123,INPUT_DELAY!$C$5:$C$20000,"SEMUA")&gt;=60,"Delay 60 mnt tapi ada ritase","OK"))))))</f>
        <v/>
      </c>
      <c r="P1123" s="158">
        <f>IFERROR(INDEX(MASTER_JAM!$Z$5:$AC$10,MATCH($I1123,MASTER_JAM!$Y$5:$Y$10,0),MATCH($J1123,MASTER_JAM!$Z$4:$AC$4,0))+0,0)</f>
        <v/>
      </c>
      <c r="Q1123" s="158">
        <f>IF($P1123=0,0,$P1123+IFERROR(INDEX(MASTER_JAM!$H$5:$H$94,MATCH($C1123,MASTER_JAM!$A$5:$A$94,0))+0,MASTER_JAM!$AC$15)/1000*(60/MASTER_JAM!$AC$12+60/MASTER_JAM!$AC$13)+MASTER_JAM!$AC$14)</f>
        <v/>
      </c>
      <c r="R1123" s="158">
        <f>IF(N($F1123)=0,0,$F1123/SUMIFS(INPUT_RITASE!$F$5:$F$20000,INPUT_RITASE!$A$5:$A$20000,$A1123,INPUT_RITASE!$B$5:$B$20000,$B1123,INPUT_RITASE!$C$5:$C$20000,$C1123,INPUT_RITASE!$D$5:$D$20000,$D1123))</f>
        <v/>
      </c>
      <c r="S1123" s="158">
        <f>IF($Q1123=0,0,$R1123*$P1123/$Q1123)</f>
        <v/>
      </c>
    </row>
    <row r="1124">
      <c r="A1124" s="155" t="n">
        <v>46107</v>
      </c>
      <c r="B1124" s="156" t="inlineStr">
        <is>
          <t>01-02</t>
        </is>
      </c>
      <c r="C1124" s="156" t="inlineStr">
        <is>
          <t>EX-755</t>
        </is>
      </c>
      <c r="D1124" s="156" t="inlineStr">
        <is>
          <t>DT-527</t>
        </is>
      </c>
      <c r="E1124" s="156" t="inlineStr">
        <is>
          <t>OB</t>
        </is>
      </c>
      <c r="F1124" s="156" t="n">
        <v>3</v>
      </c>
      <c r="G1124" s="156" t="inlineStr"/>
      <c r="H1124" s="157">
        <f>IF($B1124="","",IF(ISNA(MATCH($B1124,MASTER_JAM!$Q$5:$Q$28,0)),"?",IF(MATCH($B1124,MASTER_JAM!$Q$5:$Q$28,0)&lt;=12,"DS","NS")))</f>
        <v/>
      </c>
      <c r="I1124" s="157">
        <f>IFERROR(INDEX(MASTER_JAM!$B$5:$B$94,MATCH($C1124,MASTER_JAM!$A$5:$A$94,0)),"")</f>
        <v/>
      </c>
      <c r="J1124" s="157">
        <f>IFERROR(INDEX(MASTER_JAM!$E$5:$E$94,MATCH($D1124,MASTER_JAM!$A$5:$A$94,0)),"")</f>
        <v/>
      </c>
      <c r="K1124" s="158">
        <f>IFERROR(INDEX(MASTER_JAM!$J$5:$O$12,MATCH($E1124,MASTER_JAM!$I$5:$I$12,0),MATCH($J1124,MASTER_JAM!$J$4:$O$4,0))+0,0)</f>
        <v/>
      </c>
      <c r="L1124" s="159">
        <f>N($F1124)*$K1124</f>
        <v/>
      </c>
      <c r="M1124" s="157">
        <f>IF($E1124="","",IF(OR($E1124="Coal",$E1124="Dirty Coal"),"MT","BCM"))</f>
        <v/>
      </c>
      <c r="N1124" s="157">
        <f>IF($E1124="","",IF(OR($E1124="Coal",$E1124="Dirty Coal"),"Coal","OB"))</f>
        <v/>
      </c>
      <c r="O1124" s="157">
        <f>IF($F1124="","",IF(COUNTIF(MASTER_JAM!$A$5:$A$94,$C1124)=0,"Digger tidak dikenal",IF($J1124="","Hauler tidak dikenal",IF($H1124="?","Jam salah",IF($K1124=0,"Faktor kosong",IF(SUMIFS(INPUT_DELAY!$E$5:$E$20000,INPUT_DELAY!$A$5:$A$20000,$A1124,INPUT_DELAY!$B$5:$B$20000,$B1124,INPUT_DELAY!$C$5:$C$20000,$C1124)+SUMIFS(INPUT_DELAY!$E$5:$E$20000,INPUT_DELAY!$A$5:$A$20000,$A1124,INPUT_DELAY!$B$5:$B$20000,$B1124,INPUT_DELAY!$C$5:$C$20000,"SEMUA")&gt;=60,"Delay 60 mnt tapi ada ritase","OK"))))))</f>
        <v/>
      </c>
      <c r="P1124" s="158">
        <f>IFERROR(INDEX(MASTER_JAM!$Z$5:$AC$10,MATCH($I1124,MASTER_JAM!$Y$5:$Y$10,0),MATCH($J1124,MASTER_JAM!$Z$4:$AC$4,0))+0,0)</f>
        <v/>
      </c>
      <c r="Q1124" s="158">
        <f>IF($P1124=0,0,$P1124+IFERROR(INDEX(MASTER_JAM!$H$5:$H$94,MATCH($C1124,MASTER_JAM!$A$5:$A$94,0))+0,MASTER_JAM!$AC$15)/1000*(60/MASTER_JAM!$AC$12+60/MASTER_JAM!$AC$13)+MASTER_JAM!$AC$14)</f>
        <v/>
      </c>
      <c r="R1124" s="158">
        <f>IF(N($F1124)=0,0,$F1124/SUMIFS(INPUT_RITASE!$F$5:$F$20000,INPUT_RITASE!$A$5:$A$20000,$A1124,INPUT_RITASE!$B$5:$B$20000,$B1124,INPUT_RITASE!$C$5:$C$20000,$C1124,INPUT_RITASE!$D$5:$D$20000,$D1124))</f>
        <v/>
      </c>
      <c r="S1124" s="158">
        <f>IF($Q1124=0,0,$R1124*$P1124/$Q1124)</f>
        <v/>
      </c>
    </row>
    <row r="1125">
      <c r="A1125" s="155" t="n">
        <v>46107</v>
      </c>
      <c r="B1125" s="156" t="inlineStr">
        <is>
          <t>01-02</t>
        </is>
      </c>
      <c r="C1125" s="156" t="inlineStr">
        <is>
          <t>EX-755</t>
        </is>
      </c>
      <c r="D1125" s="156" t="inlineStr">
        <is>
          <t>DT-515</t>
        </is>
      </c>
      <c r="E1125" s="156" t="inlineStr">
        <is>
          <t>OB</t>
        </is>
      </c>
      <c r="F1125" s="156" t="n">
        <v>3</v>
      </c>
      <c r="G1125" s="156" t="inlineStr"/>
      <c r="H1125" s="157">
        <f>IF($B1125="","",IF(ISNA(MATCH($B1125,MASTER_JAM!$Q$5:$Q$28,0)),"?",IF(MATCH($B1125,MASTER_JAM!$Q$5:$Q$28,0)&lt;=12,"DS","NS")))</f>
        <v/>
      </c>
      <c r="I1125" s="157">
        <f>IFERROR(INDEX(MASTER_JAM!$B$5:$B$94,MATCH($C1125,MASTER_JAM!$A$5:$A$94,0)),"")</f>
        <v/>
      </c>
      <c r="J1125" s="157">
        <f>IFERROR(INDEX(MASTER_JAM!$E$5:$E$94,MATCH($D1125,MASTER_JAM!$A$5:$A$94,0)),"")</f>
        <v/>
      </c>
      <c r="K1125" s="158">
        <f>IFERROR(INDEX(MASTER_JAM!$J$5:$O$12,MATCH($E1125,MASTER_JAM!$I$5:$I$12,0),MATCH($J1125,MASTER_JAM!$J$4:$O$4,0))+0,0)</f>
        <v/>
      </c>
      <c r="L1125" s="159">
        <f>N($F1125)*$K1125</f>
        <v/>
      </c>
      <c r="M1125" s="157">
        <f>IF($E1125="","",IF(OR($E1125="Coal",$E1125="Dirty Coal"),"MT","BCM"))</f>
        <v/>
      </c>
      <c r="N1125" s="157">
        <f>IF($E1125="","",IF(OR($E1125="Coal",$E1125="Dirty Coal"),"Coal","OB"))</f>
        <v/>
      </c>
      <c r="O1125" s="157">
        <f>IF($F1125="","",IF(COUNTIF(MASTER_JAM!$A$5:$A$94,$C1125)=0,"Digger tidak dikenal",IF($J1125="","Hauler tidak dikenal",IF($H1125="?","Jam salah",IF($K1125=0,"Faktor kosong",IF(SUMIFS(INPUT_DELAY!$E$5:$E$20000,INPUT_DELAY!$A$5:$A$20000,$A1125,INPUT_DELAY!$B$5:$B$20000,$B1125,INPUT_DELAY!$C$5:$C$20000,$C1125)+SUMIFS(INPUT_DELAY!$E$5:$E$20000,INPUT_DELAY!$A$5:$A$20000,$A1125,INPUT_DELAY!$B$5:$B$20000,$B1125,INPUT_DELAY!$C$5:$C$20000,"SEMUA")&gt;=60,"Delay 60 mnt tapi ada ritase","OK"))))))</f>
        <v/>
      </c>
      <c r="P1125" s="158">
        <f>IFERROR(INDEX(MASTER_JAM!$Z$5:$AC$10,MATCH($I1125,MASTER_JAM!$Y$5:$Y$10,0),MATCH($J1125,MASTER_JAM!$Z$4:$AC$4,0))+0,0)</f>
        <v/>
      </c>
      <c r="Q1125" s="158">
        <f>IF($P1125=0,0,$P1125+IFERROR(INDEX(MASTER_JAM!$H$5:$H$94,MATCH($C1125,MASTER_JAM!$A$5:$A$94,0))+0,MASTER_JAM!$AC$15)/1000*(60/MASTER_JAM!$AC$12+60/MASTER_JAM!$AC$13)+MASTER_JAM!$AC$14)</f>
        <v/>
      </c>
      <c r="R1125" s="158">
        <f>IF(N($F1125)=0,0,$F1125/SUMIFS(INPUT_RITASE!$F$5:$F$20000,INPUT_RITASE!$A$5:$A$20000,$A1125,INPUT_RITASE!$B$5:$B$20000,$B1125,INPUT_RITASE!$C$5:$C$20000,$C1125,INPUT_RITASE!$D$5:$D$20000,$D1125))</f>
        <v/>
      </c>
      <c r="S1125" s="158">
        <f>IF($Q1125=0,0,$R1125*$P1125/$Q1125)</f>
        <v/>
      </c>
    </row>
    <row r="1126">
      <c r="A1126" s="155" t="n">
        <v>46107</v>
      </c>
      <c r="B1126" s="156" t="inlineStr">
        <is>
          <t>04-05</t>
        </is>
      </c>
      <c r="C1126" s="156" t="inlineStr">
        <is>
          <t>EX-755</t>
        </is>
      </c>
      <c r="D1126" s="156" t="inlineStr">
        <is>
          <t>DT-506</t>
        </is>
      </c>
      <c r="E1126" s="156" t="inlineStr">
        <is>
          <t>OB</t>
        </is>
      </c>
      <c r="F1126" s="156" t="n">
        <v>4</v>
      </c>
      <c r="G1126" s="156" t="inlineStr"/>
      <c r="H1126" s="157">
        <f>IF($B1126="","",IF(ISNA(MATCH($B1126,MASTER_JAM!$Q$5:$Q$28,0)),"?",IF(MATCH($B1126,MASTER_JAM!$Q$5:$Q$28,0)&lt;=12,"DS","NS")))</f>
        <v/>
      </c>
      <c r="I1126" s="157">
        <f>IFERROR(INDEX(MASTER_JAM!$B$5:$B$94,MATCH($C1126,MASTER_JAM!$A$5:$A$94,0)),"")</f>
        <v/>
      </c>
      <c r="J1126" s="157">
        <f>IFERROR(INDEX(MASTER_JAM!$E$5:$E$94,MATCH($D1126,MASTER_JAM!$A$5:$A$94,0)),"")</f>
        <v/>
      </c>
      <c r="K1126" s="158">
        <f>IFERROR(INDEX(MASTER_JAM!$J$5:$O$12,MATCH($E1126,MASTER_JAM!$I$5:$I$12,0),MATCH($J1126,MASTER_JAM!$J$4:$O$4,0))+0,0)</f>
        <v/>
      </c>
      <c r="L1126" s="159">
        <f>N($F1126)*$K1126</f>
        <v/>
      </c>
      <c r="M1126" s="157">
        <f>IF($E1126="","",IF(OR($E1126="Coal",$E1126="Dirty Coal"),"MT","BCM"))</f>
        <v/>
      </c>
      <c r="N1126" s="157">
        <f>IF($E1126="","",IF(OR($E1126="Coal",$E1126="Dirty Coal"),"Coal","OB"))</f>
        <v/>
      </c>
      <c r="O1126" s="157">
        <f>IF($F1126="","",IF(COUNTIF(MASTER_JAM!$A$5:$A$94,$C1126)=0,"Digger tidak dikenal",IF($J1126="","Hauler tidak dikenal",IF($H1126="?","Jam salah",IF($K1126=0,"Faktor kosong",IF(SUMIFS(INPUT_DELAY!$E$5:$E$20000,INPUT_DELAY!$A$5:$A$20000,$A1126,INPUT_DELAY!$B$5:$B$20000,$B1126,INPUT_DELAY!$C$5:$C$20000,$C1126)+SUMIFS(INPUT_DELAY!$E$5:$E$20000,INPUT_DELAY!$A$5:$A$20000,$A1126,INPUT_DELAY!$B$5:$B$20000,$B1126,INPUT_DELAY!$C$5:$C$20000,"SEMUA")&gt;=60,"Delay 60 mnt tapi ada ritase","OK"))))))</f>
        <v/>
      </c>
      <c r="P1126" s="158">
        <f>IFERROR(INDEX(MASTER_JAM!$Z$5:$AC$10,MATCH($I1126,MASTER_JAM!$Y$5:$Y$10,0),MATCH($J1126,MASTER_JAM!$Z$4:$AC$4,0))+0,0)</f>
        <v/>
      </c>
      <c r="Q1126" s="158">
        <f>IF($P1126=0,0,$P1126+IFERROR(INDEX(MASTER_JAM!$H$5:$H$94,MATCH($C1126,MASTER_JAM!$A$5:$A$94,0))+0,MASTER_JAM!$AC$15)/1000*(60/MASTER_JAM!$AC$12+60/MASTER_JAM!$AC$13)+MASTER_JAM!$AC$14)</f>
        <v/>
      </c>
      <c r="R1126" s="158">
        <f>IF(N($F1126)=0,0,$F1126/SUMIFS(INPUT_RITASE!$F$5:$F$20000,INPUT_RITASE!$A$5:$A$20000,$A1126,INPUT_RITASE!$B$5:$B$20000,$B1126,INPUT_RITASE!$C$5:$C$20000,$C1126,INPUT_RITASE!$D$5:$D$20000,$D1126))</f>
        <v/>
      </c>
      <c r="S1126" s="158">
        <f>IF($Q1126=0,0,$R1126*$P1126/$Q1126)</f>
        <v/>
      </c>
    </row>
    <row r="1127">
      <c r="A1127" s="155" t="n">
        <v>46107</v>
      </c>
      <c r="B1127" s="156" t="inlineStr">
        <is>
          <t>04-05</t>
        </is>
      </c>
      <c r="C1127" s="156" t="inlineStr">
        <is>
          <t>EX-755</t>
        </is>
      </c>
      <c r="D1127" s="156" t="inlineStr">
        <is>
          <t>DT-503</t>
        </is>
      </c>
      <c r="E1127" s="156" t="inlineStr">
        <is>
          <t>OB</t>
        </is>
      </c>
      <c r="F1127" s="156" t="n">
        <v>4</v>
      </c>
      <c r="G1127" s="156" t="inlineStr"/>
      <c r="H1127" s="157">
        <f>IF($B1127="","",IF(ISNA(MATCH($B1127,MASTER_JAM!$Q$5:$Q$28,0)),"?",IF(MATCH($B1127,MASTER_JAM!$Q$5:$Q$28,0)&lt;=12,"DS","NS")))</f>
        <v/>
      </c>
      <c r="I1127" s="157">
        <f>IFERROR(INDEX(MASTER_JAM!$B$5:$B$94,MATCH($C1127,MASTER_JAM!$A$5:$A$94,0)),"")</f>
        <v/>
      </c>
      <c r="J1127" s="157">
        <f>IFERROR(INDEX(MASTER_JAM!$E$5:$E$94,MATCH($D1127,MASTER_JAM!$A$5:$A$94,0)),"")</f>
        <v/>
      </c>
      <c r="K1127" s="158">
        <f>IFERROR(INDEX(MASTER_JAM!$J$5:$O$12,MATCH($E1127,MASTER_JAM!$I$5:$I$12,0),MATCH($J1127,MASTER_JAM!$J$4:$O$4,0))+0,0)</f>
        <v/>
      </c>
      <c r="L1127" s="159">
        <f>N($F1127)*$K1127</f>
        <v/>
      </c>
      <c r="M1127" s="157">
        <f>IF($E1127="","",IF(OR($E1127="Coal",$E1127="Dirty Coal"),"MT","BCM"))</f>
        <v/>
      </c>
      <c r="N1127" s="157">
        <f>IF($E1127="","",IF(OR($E1127="Coal",$E1127="Dirty Coal"),"Coal","OB"))</f>
        <v/>
      </c>
      <c r="O1127" s="157">
        <f>IF($F1127="","",IF(COUNTIF(MASTER_JAM!$A$5:$A$94,$C1127)=0,"Digger tidak dikenal",IF($J1127="","Hauler tidak dikenal",IF($H1127="?","Jam salah",IF($K1127=0,"Faktor kosong",IF(SUMIFS(INPUT_DELAY!$E$5:$E$20000,INPUT_DELAY!$A$5:$A$20000,$A1127,INPUT_DELAY!$B$5:$B$20000,$B1127,INPUT_DELAY!$C$5:$C$20000,$C1127)+SUMIFS(INPUT_DELAY!$E$5:$E$20000,INPUT_DELAY!$A$5:$A$20000,$A1127,INPUT_DELAY!$B$5:$B$20000,$B1127,INPUT_DELAY!$C$5:$C$20000,"SEMUA")&gt;=60,"Delay 60 mnt tapi ada ritase","OK"))))))</f>
        <v/>
      </c>
      <c r="P1127" s="158">
        <f>IFERROR(INDEX(MASTER_JAM!$Z$5:$AC$10,MATCH($I1127,MASTER_JAM!$Y$5:$Y$10,0),MATCH($J1127,MASTER_JAM!$Z$4:$AC$4,0))+0,0)</f>
        <v/>
      </c>
      <c r="Q1127" s="158">
        <f>IF($P1127=0,0,$P1127+IFERROR(INDEX(MASTER_JAM!$H$5:$H$94,MATCH($C1127,MASTER_JAM!$A$5:$A$94,0))+0,MASTER_JAM!$AC$15)/1000*(60/MASTER_JAM!$AC$12+60/MASTER_JAM!$AC$13)+MASTER_JAM!$AC$14)</f>
        <v/>
      </c>
      <c r="R1127" s="158">
        <f>IF(N($F1127)=0,0,$F1127/SUMIFS(INPUT_RITASE!$F$5:$F$20000,INPUT_RITASE!$A$5:$A$20000,$A1127,INPUT_RITASE!$B$5:$B$20000,$B1127,INPUT_RITASE!$C$5:$C$20000,$C1127,INPUT_RITASE!$D$5:$D$20000,$D1127))</f>
        <v/>
      </c>
      <c r="S1127" s="158">
        <f>IF($Q1127=0,0,$R1127*$P1127/$Q1127)</f>
        <v/>
      </c>
    </row>
    <row r="1128">
      <c r="A1128" s="155" t="n">
        <v>46107</v>
      </c>
      <c r="B1128" s="156" t="inlineStr">
        <is>
          <t>04-05</t>
        </is>
      </c>
      <c r="C1128" s="156" t="inlineStr">
        <is>
          <t>EX-755</t>
        </is>
      </c>
      <c r="D1128" s="156" t="inlineStr">
        <is>
          <t>DT-513</t>
        </is>
      </c>
      <c r="E1128" s="156" t="inlineStr">
        <is>
          <t>OB</t>
        </is>
      </c>
      <c r="F1128" s="156" t="n">
        <v>4</v>
      </c>
      <c r="G1128" s="156" t="inlineStr"/>
      <c r="H1128" s="157">
        <f>IF($B1128="","",IF(ISNA(MATCH($B1128,MASTER_JAM!$Q$5:$Q$28,0)),"?",IF(MATCH($B1128,MASTER_JAM!$Q$5:$Q$28,0)&lt;=12,"DS","NS")))</f>
        <v/>
      </c>
      <c r="I1128" s="157">
        <f>IFERROR(INDEX(MASTER_JAM!$B$5:$B$94,MATCH($C1128,MASTER_JAM!$A$5:$A$94,0)),"")</f>
        <v/>
      </c>
      <c r="J1128" s="157">
        <f>IFERROR(INDEX(MASTER_JAM!$E$5:$E$94,MATCH($D1128,MASTER_JAM!$A$5:$A$94,0)),"")</f>
        <v/>
      </c>
      <c r="K1128" s="158">
        <f>IFERROR(INDEX(MASTER_JAM!$J$5:$O$12,MATCH($E1128,MASTER_JAM!$I$5:$I$12,0),MATCH($J1128,MASTER_JAM!$J$4:$O$4,0))+0,0)</f>
        <v/>
      </c>
      <c r="L1128" s="159">
        <f>N($F1128)*$K1128</f>
        <v/>
      </c>
      <c r="M1128" s="157">
        <f>IF($E1128="","",IF(OR($E1128="Coal",$E1128="Dirty Coal"),"MT","BCM"))</f>
        <v/>
      </c>
      <c r="N1128" s="157">
        <f>IF($E1128="","",IF(OR($E1128="Coal",$E1128="Dirty Coal"),"Coal","OB"))</f>
        <v/>
      </c>
      <c r="O1128" s="157">
        <f>IF($F1128="","",IF(COUNTIF(MASTER_JAM!$A$5:$A$94,$C1128)=0,"Digger tidak dikenal",IF($J1128="","Hauler tidak dikenal",IF($H1128="?","Jam salah",IF($K1128=0,"Faktor kosong",IF(SUMIFS(INPUT_DELAY!$E$5:$E$20000,INPUT_DELAY!$A$5:$A$20000,$A1128,INPUT_DELAY!$B$5:$B$20000,$B1128,INPUT_DELAY!$C$5:$C$20000,$C1128)+SUMIFS(INPUT_DELAY!$E$5:$E$20000,INPUT_DELAY!$A$5:$A$20000,$A1128,INPUT_DELAY!$B$5:$B$20000,$B1128,INPUT_DELAY!$C$5:$C$20000,"SEMUA")&gt;=60,"Delay 60 mnt tapi ada ritase","OK"))))))</f>
        <v/>
      </c>
      <c r="P1128" s="158">
        <f>IFERROR(INDEX(MASTER_JAM!$Z$5:$AC$10,MATCH($I1128,MASTER_JAM!$Y$5:$Y$10,0),MATCH($J1128,MASTER_JAM!$Z$4:$AC$4,0))+0,0)</f>
        <v/>
      </c>
      <c r="Q1128" s="158">
        <f>IF($P1128=0,0,$P1128+IFERROR(INDEX(MASTER_JAM!$H$5:$H$94,MATCH($C1128,MASTER_JAM!$A$5:$A$94,0))+0,MASTER_JAM!$AC$15)/1000*(60/MASTER_JAM!$AC$12+60/MASTER_JAM!$AC$13)+MASTER_JAM!$AC$14)</f>
        <v/>
      </c>
      <c r="R1128" s="158">
        <f>IF(N($F1128)=0,0,$F1128/SUMIFS(INPUT_RITASE!$F$5:$F$20000,INPUT_RITASE!$A$5:$A$20000,$A1128,INPUT_RITASE!$B$5:$B$20000,$B1128,INPUT_RITASE!$C$5:$C$20000,$C1128,INPUT_RITASE!$D$5:$D$20000,$D1128))</f>
        <v/>
      </c>
      <c r="S1128" s="158">
        <f>IF($Q1128=0,0,$R1128*$P1128/$Q1128)</f>
        <v/>
      </c>
    </row>
    <row r="1129">
      <c r="A1129" s="155" t="n">
        <v>46107</v>
      </c>
      <c r="B1129" s="156" t="inlineStr">
        <is>
          <t>04-05</t>
        </is>
      </c>
      <c r="C1129" s="156" t="inlineStr">
        <is>
          <t>EX-755</t>
        </is>
      </c>
      <c r="D1129" s="156" t="inlineStr">
        <is>
          <t>DT-515</t>
        </is>
      </c>
      <c r="E1129" s="156" t="inlineStr">
        <is>
          <t>OB</t>
        </is>
      </c>
      <c r="F1129" s="156" t="n">
        <v>3</v>
      </c>
      <c r="G1129" s="156" t="inlineStr"/>
      <c r="H1129" s="157">
        <f>IF($B1129="","",IF(ISNA(MATCH($B1129,MASTER_JAM!$Q$5:$Q$28,0)),"?",IF(MATCH($B1129,MASTER_JAM!$Q$5:$Q$28,0)&lt;=12,"DS","NS")))</f>
        <v/>
      </c>
      <c r="I1129" s="157">
        <f>IFERROR(INDEX(MASTER_JAM!$B$5:$B$94,MATCH($C1129,MASTER_JAM!$A$5:$A$94,0)),"")</f>
        <v/>
      </c>
      <c r="J1129" s="157">
        <f>IFERROR(INDEX(MASTER_JAM!$E$5:$E$94,MATCH($D1129,MASTER_JAM!$A$5:$A$94,0)),"")</f>
        <v/>
      </c>
      <c r="K1129" s="158">
        <f>IFERROR(INDEX(MASTER_JAM!$J$5:$O$12,MATCH($E1129,MASTER_JAM!$I$5:$I$12,0),MATCH($J1129,MASTER_JAM!$J$4:$O$4,0))+0,0)</f>
        <v/>
      </c>
      <c r="L1129" s="159">
        <f>N($F1129)*$K1129</f>
        <v/>
      </c>
      <c r="M1129" s="157">
        <f>IF($E1129="","",IF(OR($E1129="Coal",$E1129="Dirty Coal"),"MT","BCM"))</f>
        <v/>
      </c>
      <c r="N1129" s="157">
        <f>IF($E1129="","",IF(OR($E1129="Coal",$E1129="Dirty Coal"),"Coal","OB"))</f>
        <v/>
      </c>
      <c r="O1129" s="157">
        <f>IF($F1129="","",IF(COUNTIF(MASTER_JAM!$A$5:$A$94,$C1129)=0,"Digger tidak dikenal",IF($J1129="","Hauler tidak dikenal",IF($H1129="?","Jam salah",IF($K1129=0,"Faktor kosong",IF(SUMIFS(INPUT_DELAY!$E$5:$E$20000,INPUT_DELAY!$A$5:$A$20000,$A1129,INPUT_DELAY!$B$5:$B$20000,$B1129,INPUT_DELAY!$C$5:$C$20000,$C1129)+SUMIFS(INPUT_DELAY!$E$5:$E$20000,INPUT_DELAY!$A$5:$A$20000,$A1129,INPUT_DELAY!$B$5:$B$20000,$B1129,INPUT_DELAY!$C$5:$C$20000,"SEMUA")&gt;=60,"Delay 60 mnt tapi ada ritase","OK"))))))</f>
        <v/>
      </c>
      <c r="P1129" s="158">
        <f>IFERROR(INDEX(MASTER_JAM!$Z$5:$AC$10,MATCH($I1129,MASTER_JAM!$Y$5:$Y$10,0),MATCH($J1129,MASTER_JAM!$Z$4:$AC$4,0))+0,0)</f>
        <v/>
      </c>
      <c r="Q1129" s="158">
        <f>IF($P1129=0,0,$P1129+IFERROR(INDEX(MASTER_JAM!$H$5:$H$94,MATCH($C1129,MASTER_JAM!$A$5:$A$94,0))+0,MASTER_JAM!$AC$15)/1000*(60/MASTER_JAM!$AC$12+60/MASTER_JAM!$AC$13)+MASTER_JAM!$AC$14)</f>
        <v/>
      </c>
      <c r="R1129" s="158">
        <f>IF(N($F1129)=0,0,$F1129/SUMIFS(INPUT_RITASE!$F$5:$F$20000,INPUT_RITASE!$A$5:$A$20000,$A1129,INPUT_RITASE!$B$5:$B$20000,$B1129,INPUT_RITASE!$C$5:$C$20000,$C1129,INPUT_RITASE!$D$5:$D$20000,$D1129))</f>
        <v/>
      </c>
      <c r="S1129" s="158">
        <f>IF($Q1129=0,0,$R1129*$P1129/$Q1129)</f>
        <v/>
      </c>
    </row>
    <row r="1130">
      <c r="A1130" s="155" t="n">
        <v>46107</v>
      </c>
      <c r="B1130" s="156" t="inlineStr">
        <is>
          <t>05-06</t>
        </is>
      </c>
      <c r="C1130" s="156" t="inlineStr">
        <is>
          <t>EX-755</t>
        </is>
      </c>
      <c r="D1130" s="156" t="inlineStr">
        <is>
          <t>DT-518</t>
        </is>
      </c>
      <c r="E1130" s="156" t="inlineStr">
        <is>
          <t>OB</t>
        </is>
      </c>
      <c r="F1130" s="156" t="n">
        <v>4</v>
      </c>
      <c r="G1130" s="156" t="inlineStr"/>
      <c r="H1130" s="157">
        <f>IF($B1130="","",IF(ISNA(MATCH($B1130,MASTER_JAM!$Q$5:$Q$28,0)),"?",IF(MATCH($B1130,MASTER_JAM!$Q$5:$Q$28,0)&lt;=12,"DS","NS")))</f>
        <v/>
      </c>
      <c r="I1130" s="157">
        <f>IFERROR(INDEX(MASTER_JAM!$B$5:$B$94,MATCH($C1130,MASTER_JAM!$A$5:$A$94,0)),"")</f>
        <v/>
      </c>
      <c r="J1130" s="157">
        <f>IFERROR(INDEX(MASTER_JAM!$E$5:$E$94,MATCH($D1130,MASTER_JAM!$A$5:$A$94,0)),"")</f>
        <v/>
      </c>
      <c r="K1130" s="158">
        <f>IFERROR(INDEX(MASTER_JAM!$J$5:$O$12,MATCH($E1130,MASTER_JAM!$I$5:$I$12,0),MATCH($J1130,MASTER_JAM!$J$4:$O$4,0))+0,0)</f>
        <v/>
      </c>
      <c r="L1130" s="159">
        <f>N($F1130)*$K1130</f>
        <v/>
      </c>
      <c r="M1130" s="157">
        <f>IF($E1130="","",IF(OR($E1130="Coal",$E1130="Dirty Coal"),"MT","BCM"))</f>
        <v/>
      </c>
      <c r="N1130" s="157">
        <f>IF($E1130="","",IF(OR($E1130="Coal",$E1130="Dirty Coal"),"Coal","OB"))</f>
        <v/>
      </c>
      <c r="O1130" s="157">
        <f>IF($F1130="","",IF(COUNTIF(MASTER_JAM!$A$5:$A$94,$C1130)=0,"Digger tidak dikenal",IF($J1130="","Hauler tidak dikenal",IF($H1130="?","Jam salah",IF($K1130=0,"Faktor kosong",IF(SUMIFS(INPUT_DELAY!$E$5:$E$20000,INPUT_DELAY!$A$5:$A$20000,$A1130,INPUT_DELAY!$B$5:$B$20000,$B1130,INPUT_DELAY!$C$5:$C$20000,$C1130)+SUMIFS(INPUT_DELAY!$E$5:$E$20000,INPUT_DELAY!$A$5:$A$20000,$A1130,INPUT_DELAY!$B$5:$B$20000,$B1130,INPUT_DELAY!$C$5:$C$20000,"SEMUA")&gt;=60,"Delay 60 mnt tapi ada ritase","OK"))))))</f>
        <v/>
      </c>
      <c r="P1130" s="158">
        <f>IFERROR(INDEX(MASTER_JAM!$Z$5:$AC$10,MATCH($I1130,MASTER_JAM!$Y$5:$Y$10,0),MATCH($J1130,MASTER_JAM!$Z$4:$AC$4,0))+0,0)</f>
        <v/>
      </c>
      <c r="Q1130" s="158">
        <f>IF($P1130=0,0,$P1130+IFERROR(INDEX(MASTER_JAM!$H$5:$H$94,MATCH($C1130,MASTER_JAM!$A$5:$A$94,0))+0,MASTER_JAM!$AC$15)/1000*(60/MASTER_JAM!$AC$12+60/MASTER_JAM!$AC$13)+MASTER_JAM!$AC$14)</f>
        <v/>
      </c>
      <c r="R1130" s="158">
        <f>IF(N($F1130)=0,0,$F1130/SUMIFS(INPUT_RITASE!$F$5:$F$20000,INPUT_RITASE!$A$5:$A$20000,$A1130,INPUT_RITASE!$B$5:$B$20000,$B1130,INPUT_RITASE!$C$5:$C$20000,$C1130,INPUT_RITASE!$D$5:$D$20000,$D1130))</f>
        <v/>
      </c>
      <c r="S1130" s="158">
        <f>IF($Q1130=0,0,$R1130*$P1130/$Q1130)</f>
        <v/>
      </c>
    </row>
    <row r="1131">
      <c r="A1131" s="155" t="n">
        <v>46107</v>
      </c>
      <c r="B1131" s="156" t="inlineStr">
        <is>
          <t>05-06</t>
        </is>
      </c>
      <c r="C1131" s="156" t="inlineStr">
        <is>
          <t>EX-755</t>
        </is>
      </c>
      <c r="D1131" s="156" t="inlineStr">
        <is>
          <t>DT-504</t>
        </is>
      </c>
      <c r="E1131" s="156" t="inlineStr">
        <is>
          <t>OB</t>
        </is>
      </c>
      <c r="F1131" s="156" t="n">
        <v>4</v>
      </c>
      <c r="G1131" s="156" t="inlineStr"/>
      <c r="H1131" s="157">
        <f>IF($B1131="","",IF(ISNA(MATCH($B1131,MASTER_JAM!$Q$5:$Q$28,0)),"?",IF(MATCH($B1131,MASTER_JAM!$Q$5:$Q$28,0)&lt;=12,"DS","NS")))</f>
        <v/>
      </c>
      <c r="I1131" s="157">
        <f>IFERROR(INDEX(MASTER_JAM!$B$5:$B$94,MATCH($C1131,MASTER_JAM!$A$5:$A$94,0)),"")</f>
        <v/>
      </c>
      <c r="J1131" s="157">
        <f>IFERROR(INDEX(MASTER_JAM!$E$5:$E$94,MATCH($D1131,MASTER_JAM!$A$5:$A$94,0)),"")</f>
        <v/>
      </c>
      <c r="K1131" s="158">
        <f>IFERROR(INDEX(MASTER_JAM!$J$5:$O$12,MATCH($E1131,MASTER_JAM!$I$5:$I$12,0),MATCH($J1131,MASTER_JAM!$J$4:$O$4,0))+0,0)</f>
        <v/>
      </c>
      <c r="L1131" s="159">
        <f>N($F1131)*$K1131</f>
        <v/>
      </c>
      <c r="M1131" s="157">
        <f>IF($E1131="","",IF(OR($E1131="Coal",$E1131="Dirty Coal"),"MT","BCM"))</f>
        <v/>
      </c>
      <c r="N1131" s="157">
        <f>IF($E1131="","",IF(OR($E1131="Coal",$E1131="Dirty Coal"),"Coal","OB"))</f>
        <v/>
      </c>
      <c r="O1131" s="157">
        <f>IF($F1131="","",IF(COUNTIF(MASTER_JAM!$A$5:$A$94,$C1131)=0,"Digger tidak dikenal",IF($J1131="","Hauler tidak dikenal",IF($H1131="?","Jam salah",IF($K1131=0,"Faktor kosong",IF(SUMIFS(INPUT_DELAY!$E$5:$E$20000,INPUT_DELAY!$A$5:$A$20000,$A1131,INPUT_DELAY!$B$5:$B$20000,$B1131,INPUT_DELAY!$C$5:$C$20000,$C1131)+SUMIFS(INPUT_DELAY!$E$5:$E$20000,INPUT_DELAY!$A$5:$A$20000,$A1131,INPUT_DELAY!$B$5:$B$20000,$B1131,INPUT_DELAY!$C$5:$C$20000,"SEMUA")&gt;=60,"Delay 60 mnt tapi ada ritase","OK"))))))</f>
        <v/>
      </c>
      <c r="P1131" s="158">
        <f>IFERROR(INDEX(MASTER_JAM!$Z$5:$AC$10,MATCH($I1131,MASTER_JAM!$Y$5:$Y$10,0),MATCH($J1131,MASTER_JAM!$Z$4:$AC$4,0))+0,0)</f>
        <v/>
      </c>
      <c r="Q1131" s="158">
        <f>IF($P1131=0,0,$P1131+IFERROR(INDEX(MASTER_JAM!$H$5:$H$94,MATCH($C1131,MASTER_JAM!$A$5:$A$94,0))+0,MASTER_JAM!$AC$15)/1000*(60/MASTER_JAM!$AC$12+60/MASTER_JAM!$AC$13)+MASTER_JAM!$AC$14)</f>
        <v/>
      </c>
      <c r="R1131" s="158">
        <f>IF(N($F1131)=0,0,$F1131/SUMIFS(INPUT_RITASE!$F$5:$F$20000,INPUT_RITASE!$A$5:$A$20000,$A1131,INPUT_RITASE!$B$5:$B$20000,$B1131,INPUT_RITASE!$C$5:$C$20000,$C1131,INPUT_RITASE!$D$5:$D$20000,$D1131))</f>
        <v/>
      </c>
      <c r="S1131" s="158">
        <f>IF($Q1131=0,0,$R1131*$P1131/$Q1131)</f>
        <v/>
      </c>
    </row>
    <row r="1132">
      <c r="A1132" s="155" t="n">
        <v>46107</v>
      </c>
      <c r="B1132" s="156" t="inlineStr">
        <is>
          <t>05-06</t>
        </is>
      </c>
      <c r="C1132" s="156" t="inlineStr">
        <is>
          <t>EX-755</t>
        </is>
      </c>
      <c r="D1132" s="156" t="inlineStr">
        <is>
          <t>DT-503</t>
        </is>
      </c>
      <c r="E1132" s="156" t="inlineStr">
        <is>
          <t>OB</t>
        </is>
      </c>
      <c r="F1132" s="156" t="n">
        <v>3</v>
      </c>
      <c r="G1132" s="156" t="inlineStr"/>
      <c r="H1132" s="157">
        <f>IF($B1132="","",IF(ISNA(MATCH($B1132,MASTER_JAM!$Q$5:$Q$28,0)),"?",IF(MATCH($B1132,MASTER_JAM!$Q$5:$Q$28,0)&lt;=12,"DS","NS")))</f>
        <v/>
      </c>
      <c r="I1132" s="157">
        <f>IFERROR(INDEX(MASTER_JAM!$B$5:$B$94,MATCH($C1132,MASTER_JAM!$A$5:$A$94,0)),"")</f>
        <v/>
      </c>
      <c r="J1132" s="157">
        <f>IFERROR(INDEX(MASTER_JAM!$E$5:$E$94,MATCH($D1132,MASTER_JAM!$A$5:$A$94,0)),"")</f>
        <v/>
      </c>
      <c r="K1132" s="158">
        <f>IFERROR(INDEX(MASTER_JAM!$J$5:$O$12,MATCH($E1132,MASTER_JAM!$I$5:$I$12,0),MATCH($J1132,MASTER_JAM!$J$4:$O$4,0))+0,0)</f>
        <v/>
      </c>
      <c r="L1132" s="159">
        <f>N($F1132)*$K1132</f>
        <v/>
      </c>
      <c r="M1132" s="157">
        <f>IF($E1132="","",IF(OR($E1132="Coal",$E1132="Dirty Coal"),"MT","BCM"))</f>
        <v/>
      </c>
      <c r="N1132" s="157">
        <f>IF($E1132="","",IF(OR($E1132="Coal",$E1132="Dirty Coal"),"Coal","OB"))</f>
        <v/>
      </c>
      <c r="O1132" s="157">
        <f>IF($F1132="","",IF(COUNTIF(MASTER_JAM!$A$5:$A$94,$C1132)=0,"Digger tidak dikenal",IF($J1132="","Hauler tidak dikenal",IF($H1132="?","Jam salah",IF($K1132=0,"Faktor kosong",IF(SUMIFS(INPUT_DELAY!$E$5:$E$20000,INPUT_DELAY!$A$5:$A$20000,$A1132,INPUT_DELAY!$B$5:$B$20000,$B1132,INPUT_DELAY!$C$5:$C$20000,$C1132)+SUMIFS(INPUT_DELAY!$E$5:$E$20000,INPUT_DELAY!$A$5:$A$20000,$A1132,INPUT_DELAY!$B$5:$B$20000,$B1132,INPUT_DELAY!$C$5:$C$20000,"SEMUA")&gt;=60,"Delay 60 mnt tapi ada ritase","OK"))))))</f>
        <v/>
      </c>
      <c r="P1132" s="158">
        <f>IFERROR(INDEX(MASTER_JAM!$Z$5:$AC$10,MATCH($I1132,MASTER_JAM!$Y$5:$Y$10,0),MATCH($J1132,MASTER_JAM!$Z$4:$AC$4,0))+0,0)</f>
        <v/>
      </c>
      <c r="Q1132" s="158">
        <f>IF($P1132=0,0,$P1132+IFERROR(INDEX(MASTER_JAM!$H$5:$H$94,MATCH($C1132,MASTER_JAM!$A$5:$A$94,0))+0,MASTER_JAM!$AC$15)/1000*(60/MASTER_JAM!$AC$12+60/MASTER_JAM!$AC$13)+MASTER_JAM!$AC$14)</f>
        <v/>
      </c>
      <c r="R1132" s="158">
        <f>IF(N($F1132)=0,0,$F1132/SUMIFS(INPUT_RITASE!$F$5:$F$20000,INPUT_RITASE!$A$5:$A$20000,$A1132,INPUT_RITASE!$B$5:$B$20000,$B1132,INPUT_RITASE!$C$5:$C$20000,$C1132,INPUT_RITASE!$D$5:$D$20000,$D1132))</f>
        <v/>
      </c>
      <c r="S1132" s="158">
        <f>IF($Q1132=0,0,$R1132*$P1132/$Q1132)</f>
        <v/>
      </c>
    </row>
    <row r="1133">
      <c r="A1133" s="155" t="n">
        <v>46107</v>
      </c>
      <c r="B1133" s="156" t="inlineStr">
        <is>
          <t>05-06</t>
        </is>
      </c>
      <c r="C1133" s="156" t="inlineStr">
        <is>
          <t>EX-755</t>
        </is>
      </c>
      <c r="D1133" s="156" t="inlineStr">
        <is>
          <t>DT-515</t>
        </is>
      </c>
      <c r="E1133" s="156" t="inlineStr">
        <is>
          <t>OB</t>
        </is>
      </c>
      <c r="F1133" s="156" t="n">
        <v>3</v>
      </c>
      <c r="G1133" s="156" t="inlineStr"/>
      <c r="H1133" s="157">
        <f>IF($B1133="","",IF(ISNA(MATCH($B1133,MASTER_JAM!$Q$5:$Q$28,0)),"?",IF(MATCH($B1133,MASTER_JAM!$Q$5:$Q$28,0)&lt;=12,"DS","NS")))</f>
        <v/>
      </c>
      <c r="I1133" s="157">
        <f>IFERROR(INDEX(MASTER_JAM!$B$5:$B$94,MATCH($C1133,MASTER_JAM!$A$5:$A$94,0)),"")</f>
        <v/>
      </c>
      <c r="J1133" s="157">
        <f>IFERROR(INDEX(MASTER_JAM!$E$5:$E$94,MATCH($D1133,MASTER_JAM!$A$5:$A$94,0)),"")</f>
        <v/>
      </c>
      <c r="K1133" s="158">
        <f>IFERROR(INDEX(MASTER_JAM!$J$5:$O$12,MATCH($E1133,MASTER_JAM!$I$5:$I$12,0),MATCH($J1133,MASTER_JAM!$J$4:$O$4,0))+0,0)</f>
        <v/>
      </c>
      <c r="L1133" s="159">
        <f>N($F1133)*$K1133</f>
        <v/>
      </c>
      <c r="M1133" s="157">
        <f>IF($E1133="","",IF(OR($E1133="Coal",$E1133="Dirty Coal"),"MT","BCM"))</f>
        <v/>
      </c>
      <c r="N1133" s="157">
        <f>IF($E1133="","",IF(OR($E1133="Coal",$E1133="Dirty Coal"),"Coal","OB"))</f>
        <v/>
      </c>
      <c r="O1133" s="157">
        <f>IF($F1133="","",IF(COUNTIF(MASTER_JAM!$A$5:$A$94,$C1133)=0,"Digger tidak dikenal",IF($J1133="","Hauler tidak dikenal",IF($H1133="?","Jam salah",IF($K1133=0,"Faktor kosong",IF(SUMIFS(INPUT_DELAY!$E$5:$E$20000,INPUT_DELAY!$A$5:$A$20000,$A1133,INPUT_DELAY!$B$5:$B$20000,$B1133,INPUT_DELAY!$C$5:$C$20000,$C1133)+SUMIFS(INPUT_DELAY!$E$5:$E$20000,INPUT_DELAY!$A$5:$A$20000,$A1133,INPUT_DELAY!$B$5:$B$20000,$B1133,INPUT_DELAY!$C$5:$C$20000,"SEMUA")&gt;=60,"Delay 60 mnt tapi ada ritase","OK"))))))</f>
        <v/>
      </c>
      <c r="P1133" s="158">
        <f>IFERROR(INDEX(MASTER_JAM!$Z$5:$AC$10,MATCH($I1133,MASTER_JAM!$Y$5:$Y$10,0),MATCH($J1133,MASTER_JAM!$Z$4:$AC$4,0))+0,0)</f>
        <v/>
      </c>
      <c r="Q1133" s="158">
        <f>IF($P1133=0,0,$P1133+IFERROR(INDEX(MASTER_JAM!$H$5:$H$94,MATCH($C1133,MASTER_JAM!$A$5:$A$94,0))+0,MASTER_JAM!$AC$15)/1000*(60/MASTER_JAM!$AC$12+60/MASTER_JAM!$AC$13)+MASTER_JAM!$AC$14)</f>
        <v/>
      </c>
      <c r="R1133" s="158">
        <f>IF(N($F1133)=0,0,$F1133/SUMIFS(INPUT_RITASE!$F$5:$F$20000,INPUT_RITASE!$A$5:$A$20000,$A1133,INPUT_RITASE!$B$5:$B$20000,$B1133,INPUT_RITASE!$C$5:$C$20000,$C1133,INPUT_RITASE!$D$5:$D$20000,$D1133))</f>
        <v/>
      </c>
      <c r="S1133" s="158">
        <f>IF($Q1133=0,0,$R1133*$P1133/$Q1133)</f>
        <v/>
      </c>
    </row>
    <row r="1134">
      <c r="A1134" s="155" t="n">
        <v>46108</v>
      </c>
      <c r="B1134" s="156" t="inlineStr">
        <is>
          <t>06-07</t>
        </is>
      </c>
      <c r="C1134" s="156" t="inlineStr">
        <is>
          <t>EX-1251</t>
        </is>
      </c>
      <c r="D1134" s="156" t="inlineStr">
        <is>
          <t>DT-503</t>
        </is>
      </c>
      <c r="E1134" s="156" t="inlineStr">
        <is>
          <t>OB</t>
        </is>
      </c>
      <c r="F1134" s="156" t="n">
        <v>4</v>
      </c>
      <c r="G1134" s="156" t="inlineStr"/>
      <c r="H1134" s="157">
        <f>IF($B1134="","",IF(ISNA(MATCH($B1134,MASTER_JAM!$Q$5:$Q$28,0)),"?",IF(MATCH($B1134,MASTER_JAM!$Q$5:$Q$28,0)&lt;=12,"DS","NS")))</f>
        <v/>
      </c>
      <c r="I1134" s="157">
        <f>IFERROR(INDEX(MASTER_JAM!$B$5:$B$94,MATCH($C1134,MASTER_JAM!$A$5:$A$94,0)),"")</f>
        <v/>
      </c>
      <c r="J1134" s="157">
        <f>IFERROR(INDEX(MASTER_JAM!$E$5:$E$94,MATCH($D1134,MASTER_JAM!$A$5:$A$94,0)),"")</f>
        <v/>
      </c>
      <c r="K1134" s="158">
        <f>IFERROR(INDEX(MASTER_JAM!$J$5:$O$12,MATCH($E1134,MASTER_JAM!$I$5:$I$12,0),MATCH($J1134,MASTER_JAM!$J$4:$O$4,0))+0,0)</f>
        <v/>
      </c>
      <c r="L1134" s="159">
        <f>N($F1134)*$K1134</f>
        <v/>
      </c>
      <c r="M1134" s="157">
        <f>IF($E1134="","",IF(OR($E1134="Coal",$E1134="Dirty Coal"),"MT","BCM"))</f>
        <v/>
      </c>
      <c r="N1134" s="157">
        <f>IF($E1134="","",IF(OR($E1134="Coal",$E1134="Dirty Coal"),"Coal","OB"))</f>
        <v/>
      </c>
      <c r="O1134" s="157">
        <f>IF($F1134="","",IF(COUNTIF(MASTER_JAM!$A$5:$A$94,$C1134)=0,"Digger tidak dikenal",IF($J1134="","Hauler tidak dikenal",IF($H1134="?","Jam salah",IF($K1134=0,"Faktor kosong",IF(SUMIFS(INPUT_DELAY!$E$5:$E$20000,INPUT_DELAY!$A$5:$A$20000,$A1134,INPUT_DELAY!$B$5:$B$20000,$B1134,INPUT_DELAY!$C$5:$C$20000,$C1134)+SUMIFS(INPUT_DELAY!$E$5:$E$20000,INPUT_DELAY!$A$5:$A$20000,$A1134,INPUT_DELAY!$B$5:$B$20000,$B1134,INPUT_DELAY!$C$5:$C$20000,"SEMUA")&gt;=60,"Delay 60 mnt tapi ada ritase","OK"))))))</f>
        <v/>
      </c>
      <c r="P1134" s="158">
        <f>IFERROR(INDEX(MASTER_JAM!$Z$5:$AC$10,MATCH($I1134,MASTER_JAM!$Y$5:$Y$10,0),MATCH($J1134,MASTER_JAM!$Z$4:$AC$4,0))+0,0)</f>
        <v/>
      </c>
      <c r="Q1134" s="158">
        <f>IF($P1134=0,0,$P1134+IFERROR(INDEX(MASTER_JAM!$H$5:$H$94,MATCH($C1134,MASTER_JAM!$A$5:$A$94,0))+0,MASTER_JAM!$AC$15)/1000*(60/MASTER_JAM!$AC$12+60/MASTER_JAM!$AC$13)+MASTER_JAM!$AC$14)</f>
        <v/>
      </c>
      <c r="R1134" s="158">
        <f>IF(N($F1134)=0,0,$F1134/SUMIFS(INPUT_RITASE!$F$5:$F$20000,INPUT_RITASE!$A$5:$A$20000,$A1134,INPUT_RITASE!$B$5:$B$20000,$B1134,INPUT_RITASE!$C$5:$C$20000,$C1134,INPUT_RITASE!$D$5:$D$20000,$D1134))</f>
        <v/>
      </c>
      <c r="S1134" s="158">
        <f>IF($Q1134=0,0,$R1134*$P1134/$Q1134)</f>
        <v/>
      </c>
    </row>
    <row r="1135">
      <c r="A1135" s="155" t="n">
        <v>46108</v>
      </c>
      <c r="B1135" s="156" t="inlineStr">
        <is>
          <t>06-07</t>
        </is>
      </c>
      <c r="C1135" s="156" t="inlineStr">
        <is>
          <t>EX-1251</t>
        </is>
      </c>
      <c r="D1135" s="156" t="inlineStr">
        <is>
          <t>DT-521</t>
        </is>
      </c>
      <c r="E1135" s="156" t="inlineStr">
        <is>
          <t>OB</t>
        </is>
      </c>
      <c r="F1135" s="156" t="n">
        <v>4</v>
      </c>
      <c r="G1135" s="156" t="inlineStr"/>
      <c r="H1135" s="157">
        <f>IF($B1135="","",IF(ISNA(MATCH($B1135,MASTER_JAM!$Q$5:$Q$28,0)),"?",IF(MATCH($B1135,MASTER_JAM!$Q$5:$Q$28,0)&lt;=12,"DS","NS")))</f>
        <v/>
      </c>
      <c r="I1135" s="157">
        <f>IFERROR(INDEX(MASTER_JAM!$B$5:$B$94,MATCH($C1135,MASTER_JAM!$A$5:$A$94,0)),"")</f>
        <v/>
      </c>
      <c r="J1135" s="157">
        <f>IFERROR(INDEX(MASTER_JAM!$E$5:$E$94,MATCH($D1135,MASTER_JAM!$A$5:$A$94,0)),"")</f>
        <v/>
      </c>
      <c r="K1135" s="158">
        <f>IFERROR(INDEX(MASTER_JAM!$J$5:$O$12,MATCH($E1135,MASTER_JAM!$I$5:$I$12,0),MATCH($J1135,MASTER_JAM!$J$4:$O$4,0))+0,0)</f>
        <v/>
      </c>
      <c r="L1135" s="159">
        <f>N($F1135)*$K1135</f>
        <v/>
      </c>
      <c r="M1135" s="157">
        <f>IF($E1135="","",IF(OR($E1135="Coal",$E1135="Dirty Coal"),"MT","BCM"))</f>
        <v/>
      </c>
      <c r="N1135" s="157">
        <f>IF($E1135="","",IF(OR($E1135="Coal",$E1135="Dirty Coal"),"Coal","OB"))</f>
        <v/>
      </c>
      <c r="O1135" s="157">
        <f>IF($F1135="","",IF(COUNTIF(MASTER_JAM!$A$5:$A$94,$C1135)=0,"Digger tidak dikenal",IF($J1135="","Hauler tidak dikenal",IF($H1135="?","Jam salah",IF($K1135=0,"Faktor kosong",IF(SUMIFS(INPUT_DELAY!$E$5:$E$20000,INPUT_DELAY!$A$5:$A$20000,$A1135,INPUT_DELAY!$B$5:$B$20000,$B1135,INPUT_DELAY!$C$5:$C$20000,$C1135)+SUMIFS(INPUT_DELAY!$E$5:$E$20000,INPUT_DELAY!$A$5:$A$20000,$A1135,INPUT_DELAY!$B$5:$B$20000,$B1135,INPUT_DELAY!$C$5:$C$20000,"SEMUA")&gt;=60,"Delay 60 mnt tapi ada ritase","OK"))))))</f>
        <v/>
      </c>
      <c r="P1135" s="158">
        <f>IFERROR(INDEX(MASTER_JAM!$Z$5:$AC$10,MATCH($I1135,MASTER_JAM!$Y$5:$Y$10,0),MATCH($J1135,MASTER_JAM!$Z$4:$AC$4,0))+0,0)</f>
        <v/>
      </c>
      <c r="Q1135" s="158">
        <f>IF($P1135=0,0,$P1135+IFERROR(INDEX(MASTER_JAM!$H$5:$H$94,MATCH($C1135,MASTER_JAM!$A$5:$A$94,0))+0,MASTER_JAM!$AC$15)/1000*(60/MASTER_JAM!$AC$12+60/MASTER_JAM!$AC$13)+MASTER_JAM!$AC$14)</f>
        <v/>
      </c>
      <c r="R1135" s="158">
        <f>IF(N($F1135)=0,0,$F1135/SUMIFS(INPUT_RITASE!$F$5:$F$20000,INPUT_RITASE!$A$5:$A$20000,$A1135,INPUT_RITASE!$B$5:$B$20000,$B1135,INPUT_RITASE!$C$5:$C$20000,$C1135,INPUT_RITASE!$D$5:$D$20000,$D1135))</f>
        <v/>
      </c>
      <c r="S1135" s="158">
        <f>IF($Q1135=0,0,$R1135*$P1135/$Q1135)</f>
        <v/>
      </c>
    </row>
    <row r="1136">
      <c r="A1136" s="155" t="n">
        <v>46108</v>
      </c>
      <c r="B1136" s="156" t="inlineStr">
        <is>
          <t>06-07</t>
        </is>
      </c>
      <c r="C1136" s="156" t="inlineStr">
        <is>
          <t>EX-1251</t>
        </is>
      </c>
      <c r="D1136" s="156" t="inlineStr">
        <is>
          <t>DT-520</t>
        </is>
      </c>
      <c r="E1136" s="156" t="inlineStr">
        <is>
          <t>OB</t>
        </is>
      </c>
      <c r="F1136" s="156" t="n">
        <v>3</v>
      </c>
      <c r="G1136" s="156" t="inlineStr"/>
      <c r="H1136" s="157">
        <f>IF($B1136="","",IF(ISNA(MATCH($B1136,MASTER_JAM!$Q$5:$Q$28,0)),"?",IF(MATCH($B1136,MASTER_JAM!$Q$5:$Q$28,0)&lt;=12,"DS","NS")))</f>
        <v/>
      </c>
      <c r="I1136" s="157">
        <f>IFERROR(INDEX(MASTER_JAM!$B$5:$B$94,MATCH($C1136,MASTER_JAM!$A$5:$A$94,0)),"")</f>
        <v/>
      </c>
      <c r="J1136" s="157">
        <f>IFERROR(INDEX(MASTER_JAM!$E$5:$E$94,MATCH($D1136,MASTER_JAM!$A$5:$A$94,0)),"")</f>
        <v/>
      </c>
      <c r="K1136" s="158">
        <f>IFERROR(INDEX(MASTER_JAM!$J$5:$O$12,MATCH($E1136,MASTER_JAM!$I$5:$I$12,0),MATCH($J1136,MASTER_JAM!$J$4:$O$4,0))+0,0)</f>
        <v/>
      </c>
      <c r="L1136" s="159">
        <f>N($F1136)*$K1136</f>
        <v/>
      </c>
      <c r="M1136" s="157">
        <f>IF($E1136="","",IF(OR($E1136="Coal",$E1136="Dirty Coal"),"MT","BCM"))</f>
        <v/>
      </c>
      <c r="N1136" s="157">
        <f>IF($E1136="","",IF(OR($E1136="Coal",$E1136="Dirty Coal"),"Coal","OB"))</f>
        <v/>
      </c>
      <c r="O1136" s="157">
        <f>IF($F1136="","",IF(COUNTIF(MASTER_JAM!$A$5:$A$94,$C1136)=0,"Digger tidak dikenal",IF($J1136="","Hauler tidak dikenal",IF($H1136="?","Jam salah",IF($K1136=0,"Faktor kosong",IF(SUMIFS(INPUT_DELAY!$E$5:$E$20000,INPUT_DELAY!$A$5:$A$20000,$A1136,INPUT_DELAY!$B$5:$B$20000,$B1136,INPUT_DELAY!$C$5:$C$20000,$C1136)+SUMIFS(INPUT_DELAY!$E$5:$E$20000,INPUT_DELAY!$A$5:$A$20000,$A1136,INPUT_DELAY!$B$5:$B$20000,$B1136,INPUT_DELAY!$C$5:$C$20000,"SEMUA")&gt;=60,"Delay 60 mnt tapi ada ritase","OK"))))))</f>
        <v/>
      </c>
      <c r="P1136" s="158">
        <f>IFERROR(INDEX(MASTER_JAM!$Z$5:$AC$10,MATCH($I1136,MASTER_JAM!$Y$5:$Y$10,0),MATCH($J1136,MASTER_JAM!$Z$4:$AC$4,0))+0,0)</f>
        <v/>
      </c>
      <c r="Q1136" s="158">
        <f>IF($P1136=0,0,$P1136+IFERROR(INDEX(MASTER_JAM!$H$5:$H$94,MATCH($C1136,MASTER_JAM!$A$5:$A$94,0))+0,MASTER_JAM!$AC$15)/1000*(60/MASTER_JAM!$AC$12+60/MASTER_JAM!$AC$13)+MASTER_JAM!$AC$14)</f>
        <v/>
      </c>
      <c r="R1136" s="158">
        <f>IF(N($F1136)=0,0,$F1136/SUMIFS(INPUT_RITASE!$F$5:$F$20000,INPUT_RITASE!$A$5:$A$20000,$A1136,INPUT_RITASE!$B$5:$B$20000,$B1136,INPUT_RITASE!$C$5:$C$20000,$C1136,INPUT_RITASE!$D$5:$D$20000,$D1136))</f>
        <v/>
      </c>
      <c r="S1136" s="158">
        <f>IF($Q1136=0,0,$R1136*$P1136/$Q1136)</f>
        <v/>
      </c>
    </row>
    <row r="1137">
      <c r="A1137" s="155" t="n">
        <v>46108</v>
      </c>
      <c r="B1137" s="156" t="inlineStr">
        <is>
          <t>06-07</t>
        </is>
      </c>
      <c r="C1137" s="156" t="inlineStr">
        <is>
          <t>EX-1251</t>
        </is>
      </c>
      <c r="D1137" s="156" t="inlineStr">
        <is>
          <t>DT-523</t>
        </is>
      </c>
      <c r="E1137" s="156" t="inlineStr">
        <is>
          <t>OB</t>
        </is>
      </c>
      <c r="F1137" s="156" t="n">
        <v>3</v>
      </c>
      <c r="G1137" s="156" t="inlineStr"/>
      <c r="H1137" s="157">
        <f>IF($B1137="","",IF(ISNA(MATCH($B1137,MASTER_JAM!$Q$5:$Q$28,0)),"?",IF(MATCH($B1137,MASTER_JAM!$Q$5:$Q$28,0)&lt;=12,"DS","NS")))</f>
        <v/>
      </c>
      <c r="I1137" s="157">
        <f>IFERROR(INDEX(MASTER_JAM!$B$5:$B$94,MATCH($C1137,MASTER_JAM!$A$5:$A$94,0)),"")</f>
        <v/>
      </c>
      <c r="J1137" s="157">
        <f>IFERROR(INDEX(MASTER_JAM!$E$5:$E$94,MATCH($D1137,MASTER_JAM!$A$5:$A$94,0)),"")</f>
        <v/>
      </c>
      <c r="K1137" s="158">
        <f>IFERROR(INDEX(MASTER_JAM!$J$5:$O$12,MATCH($E1137,MASTER_JAM!$I$5:$I$12,0),MATCH($J1137,MASTER_JAM!$J$4:$O$4,0))+0,0)</f>
        <v/>
      </c>
      <c r="L1137" s="159">
        <f>N($F1137)*$K1137</f>
        <v/>
      </c>
      <c r="M1137" s="157">
        <f>IF($E1137="","",IF(OR($E1137="Coal",$E1137="Dirty Coal"),"MT","BCM"))</f>
        <v/>
      </c>
      <c r="N1137" s="157">
        <f>IF($E1137="","",IF(OR($E1137="Coal",$E1137="Dirty Coal"),"Coal","OB"))</f>
        <v/>
      </c>
      <c r="O1137" s="157">
        <f>IF($F1137="","",IF(COUNTIF(MASTER_JAM!$A$5:$A$94,$C1137)=0,"Digger tidak dikenal",IF($J1137="","Hauler tidak dikenal",IF($H1137="?","Jam salah",IF($K1137=0,"Faktor kosong",IF(SUMIFS(INPUT_DELAY!$E$5:$E$20000,INPUT_DELAY!$A$5:$A$20000,$A1137,INPUT_DELAY!$B$5:$B$20000,$B1137,INPUT_DELAY!$C$5:$C$20000,$C1137)+SUMIFS(INPUT_DELAY!$E$5:$E$20000,INPUT_DELAY!$A$5:$A$20000,$A1137,INPUT_DELAY!$B$5:$B$20000,$B1137,INPUT_DELAY!$C$5:$C$20000,"SEMUA")&gt;=60,"Delay 60 mnt tapi ada ritase","OK"))))))</f>
        <v/>
      </c>
      <c r="P1137" s="158">
        <f>IFERROR(INDEX(MASTER_JAM!$Z$5:$AC$10,MATCH($I1137,MASTER_JAM!$Y$5:$Y$10,0),MATCH($J1137,MASTER_JAM!$Z$4:$AC$4,0))+0,0)</f>
        <v/>
      </c>
      <c r="Q1137" s="158">
        <f>IF($P1137=0,0,$P1137+IFERROR(INDEX(MASTER_JAM!$H$5:$H$94,MATCH($C1137,MASTER_JAM!$A$5:$A$94,0))+0,MASTER_JAM!$AC$15)/1000*(60/MASTER_JAM!$AC$12+60/MASTER_JAM!$AC$13)+MASTER_JAM!$AC$14)</f>
        <v/>
      </c>
      <c r="R1137" s="158">
        <f>IF(N($F1137)=0,0,$F1137/SUMIFS(INPUT_RITASE!$F$5:$F$20000,INPUT_RITASE!$A$5:$A$20000,$A1137,INPUT_RITASE!$B$5:$B$20000,$B1137,INPUT_RITASE!$C$5:$C$20000,$C1137,INPUT_RITASE!$D$5:$D$20000,$D1137))</f>
        <v/>
      </c>
      <c r="S1137" s="158">
        <f>IF($Q1137=0,0,$R1137*$P1137/$Q1137)</f>
        <v/>
      </c>
    </row>
    <row r="1138">
      <c r="A1138" s="155" t="n">
        <v>46108</v>
      </c>
      <c r="B1138" s="156" t="inlineStr">
        <is>
          <t>06-07</t>
        </is>
      </c>
      <c r="C1138" s="156" t="inlineStr">
        <is>
          <t>EX-1251</t>
        </is>
      </c>
      <c r="D1138" s="156" t="inlineStr">
        <is>
          <t>DT-514</t>
        </is>
      </c>
      <c r="E1138" s="156" t="inlineStr">
        <is>
          <t>OB</t>
        </is>
      </c>
      <c r="F1138" s="156" t="n">
        <v>3</v>
      </c>
      <c r="G1138" s="156" t="inlineStr"/>
      <c r="H1138" s="157">
        <f>IF($B1138="","",IF(ISNA(MATCH($B1138,MASTER_JAM!$Q$5:$Q$28,0)),"?",IF(MATCH($B1138,MASTER_JAM!$Q$5:$Q$28,0)&lt;=12,"DS","NS")))</f>
        <v/>
      </c>
      <c r="I1138" s="157">
        <f>IFERROR(INDEX(MASTER_JAM!$B$5:$B$94,MATCH($C1138,MASTER_JAM!$A$5:$A$94,0)),"")</f>
        <v/>
      </c>
      <c r="J1138" s="157">
        <f>IFERROR(INDEX(MASTER_JAM!$E$5:$E$94,MATCH($D1138,MASTER_JAM!$A$5:$A$94,0)),"")</f>
        <v/>
      </c>
      <c r="K1138" s="158">
        <f>IFERROR(INDEX(MASTER_JAM!$J$5:$O$12,MATCH($E1138,MASTER_JAM!$I$5:$I$12,0),MATCH($J1138,MASTER_JAM!$J$4:$O$4,0))+0,0)</f>
        <v/>
      </c>
      <c r="L1138" s="159">
        <f>N($F1138)*$K1138</f>
        <v/>
      </c>
      <c r="M1138" s="157">
        <f>IF($E1138="","",IF(OR($E1138="Coal",$E1138="Dirty Coal"),"MT","BCM"))</f>
        <v/>
      </c>
      <c r="N1138" s="157">
        <f>IF($E1138="","",IF(OR($E1138="Coal",$E1138="Dirty Coal"),"Coal","OB"))</f>
        <v/>
      </c>
      <c r="O1138" s="157">
        <f>IF($F1138="","",IF(COUNTIF(MASTER_JAM!$A$5:$A$94,$C1138)=0,"Digger tidak dikenal",IF($J1138="","Hauler tidak dikenal",IF($H1138="?","Jam salah",IF($K1138=0,"Faktor kosong",IF(SUMIFS(INPUT_DELAY!$E$5:$E$20000,INPUT_DELAY!$A$5:$A$20000,$A1138,INPUT_DELAY!$B$5:$B$20000,$B1138,INPUT_DELAY!$C$5:$C$20000,$C1138)+SUMIFS(INPUT_DELAY!$E$5:$E$20000,INPUT_DELAY!$A$5:$A$20000,$A1138,INPUT_DELAY!$B$5:$B$20000,$B1138,INPUT_DELAY!$C$5:$C$20000,"SEMUA")&gt;=60,"Delay 60 mnt tapi ada ritase","OK"))))))</f>
        <v/>
      </c>
      <c r="P1138" s="158">
        <f>IFERROR(INDEX(MASTER_JAM!$Z$5:$AC$10,MATCH($I1138,MASTER_JAM!$Y$5:$Y$10,0),MATCH($J1138,MASTER_JAM!$Z$4:$AC$4,0))+0,0)</f>
        <v/>
      </c>
      <c r="Q1138" s="158">
        <f>IF($P1138=0,0,$P1138+IFERROR(INDEX(MASTER_JAM!$H$5:$H$94,MATCH($C1138,MASTER_JAM!$A$5:$A$94,0))+0,MASTER_JAM!$AC$15)/1000*(60/MASTER_JAM!$AC$12+60/MASTER_JAM!$AC$13)+MASTER_JAM!$AC$14)</f>
        <v/>
      </c>
      <c r="R1138" s="158">
        <f>IF(N($F1138)=0,0,$F1138/SUMIFS(INPUT_RITASE!$F$5:$F$20000,INPUT_RITASE!$A$5:$A$20000,$A1138,INPUT_RITASE!$B$5:$B$20000,$B1138,INPUT_RITASE!$C$5:$C$20000,$C1138,INPUT_RITASE!$D$5:$D$20000,$D1138))</f>
        <v/>
      </c>
      <c r="S1138" s="158">
        <f>IF($Q1138=0,0,$R1138*$P1138/$Q1138)</f>
        <v/>
      </c>
    </row>
    <row r="1139">
      <c r="A1139" s="155" t="n">
        <v>46108</v>
      </c>
      <c r="B1139" s="156" t="inlineStr">
        <is>
          <t>07-08</t>
        </is>
      </c>
      <c r="C1139" s="156" t="inlineStr">
        <is>
          <t>EX-1251</t>
        </is>
      </c>
      <c r="D1139" s="156" t="inlineStr">
        <is>
          <t>DT-516</t>
        </is>
      </c>
      <c r="E1139" s="156" t="inlineStr">
        <is>
          <t>OB</t>
        </is>
      </c>
      <c r="F1139" s="156" t="n">
        <v>4</v>
      </c>
      <c r="G1139" s="156" t="inlineStr"/>
      <c r="H1139" s="157">
        <f>IF($B1139="","",IF(ISNA(MATCH($B1139,MASTER_JAM!$Q$5:$Q$28,0)),"?",IF(MATCH($B1139,MASTER_JAM!$Q$5:$Q$28,0)&lt;=12,"DS","NS")))</f>
        <v/>
      </c>
      <c r="I1139" s="157">
        <f>IFERROR(INDEX(MASTER_JAM!$B$5:$B$94,MATCH($C1139,MASTER_JAM!$A$5:$A$94,0)),"")</f>
        <v/>
      </c>
      <c r="J1139" s="157">
        <f>IFERROR(INDEX(MASTER_JAM!$E$5:$E$94,MATCH($D1139,MASTER_JAM!$A$5:$A$94,0)),"")</f>
        <v/>
      </c>
      <c r="K1139" s="158">
        <f>IFERROR(INDEX(MASTER_JAM!$J$5:$O$12,MATCH($E1139,MASTER_JAM!$I$5:$I$12,0),MATCH($J1139,MASTER_JAM!$J$4:$O$4,0))+0,0)</f>
        <v/>
      </c>
      <c r="L1139" s="159">
        <f>N($F1139)*$K1139</f>
        <v/>
      </c>
      <c r="M1139" s="157">
        <f>IF($E1139="","",IF(OR($E1139="Coal",$E1139="Dirty Coal"),"MT","BCM"))</f>
        <v/>
      </c>
      <c r="N1139" s="157">
        <f>IF($E1139="","",IF(OR($E1139="Coal",$E1139="Dirty Coal"),"Coal","OB"))</f>
        <v/>
      </c>
      <c r="O1139" s="157">
        <f>IF($F1139="","",IF(COUNTIF(MASTER_JAM!$A$5:$A$94,$C1139)=0,"Digger tidak dikenal",IF($J1139="","Hauler tidak dikenal",IF($H1139="?","Jam salah",IF($K1139=0,"Faktor kosong",IF(SUMIFS(INPUT_DELAY!$E$5:$E$20000,INPUT_DELAY!$A$5:$A$20000,$A1139,INPUT_DELAY!$B$5:$B$20000,$B1139,INPUT_DELAY!$C$5:$C$20000,$C1139)+SUMIFS(INPUT_DELAY!$E$5:$E$20000,INPUT_DELAY!$A$5:$A$20000,$A1139,INPUT_DELAY!$B$5:$B$20000,$B1139,INPUT_DELAY!$C$5:$C$20000,"SEMUA")&gt;=60,"Delay 60 mnt tapi ada ritase","OK"))))))</f>
        <v/>
      </c>
      <c r="P1139" s="158">
        <f>IFERROR(INDEX(MASTER_JAM!$Z$5:$AC$10,MATCH($I1139,MASTER_JAM!$Y$5:$Y$10,0),MATCH($J1139,MASTER_JAM!$Z$4:$AC$4,0))+0,0)</f>
        <v/>
      </c>
      <c r="Q1139" s="158">
        <f>IF($P1139=0,0,$P1139+IFERROR(INDEX(MASTER_JAM!$H$5:$H$94,MATCH($C1139,MASTER_JAM!$A$5:$A$94,0))+0,MASTER_JAM!$AC$15)/1000*(60/MASTER_JAM!$AC$12+60/MASTER_JAM!$AC$13)+MASTER_JAM!$AC$14)</f>
        <v/>
      </c>
      <c r="R1139" s="158">
        <f>IF(N($F1139)=0,0,$F1139/SUMIFS(INPUT_RITASE!$F$5:$F$20000,INPUT_RITASE!$A$5:$A$20000,$A1139,INPUT_RITASE!$B$5:$B$20000,$B1139,INPUT_RITASE!$C$5:$C$20000,$C1139,INPUT_RITASE!$D$5:$D$20000,$D1139))</f>
        <v/>
      </c>
      <c r="S1139" s="158">
        <f>IF($Q1139=0,0,$R1139*$P1139/$Q1139)</f>
        <v/>
      </c>
    </row>
    <row r="1140">
      <c r="A1140" s="155" t="n">
        <v>46108</v>
      </c>
      <c r="B1140" s="156" t="inlineStr">
        <is>
          <t>07-08</t>
        </is>
      </c>
      <c r="C1140" s="156" t="inlineStr">
        <is>
          <t>EX-1251</t>
        </is>
      </c>
      <c r="D1140" s="156" t="inlineStr">
        <is>
          <t>DT-505</t>
        </is>
      </c>
      <c r="E1140" s="156" t="inlineStr">
        <is>
          <t>OB</t>
        </is>
      </c>
      <c r="F1140" s="156" t="n">
        <v>4</v>
      </c>
      <c r="G1140" s="156" t="inlineStr"/>
      <c r="H1140" s="157">
        <f>IF($B1140="","",IF(ISNA(MATCH($B1140,MASTER_JAM!$Q$5:$Q$28,0)),"?",IF(MATCH($B1140,MASTER_JAM!$Q$5:$Q$28,0)&lt;=12,"DS","NS")))</f>
        <v/>
      </c>
      <c r="I1140" s="157">
        <f>IFERROR(INDEX(MASTER_JAM!$B$5:$B$94,MATCH($C1140,MASTER_JAM!$A$5:$A$94,0)),"")</f>
        <v/>
      </c>
      <c r="J1140" s="157">
        <f>IFERROR(INDEX(MASTER_JAM!$E$5:$E$94,MATCH($D1140,MASTER_JAM!$A$5:$A$94,0)),"")</f>
        <v/>
      </c>
      <c r="K1140" s="158">
        <f>IFERROR(INDEX(MASTER_JAM!$J$5:$O$12,MATCH($E1140,MASTER_JAM!$I$5:$I$12,0),MATCH($J1140,MASTER_JAM!$J$4:$O$4,0))+0,0)</f>
        <v/>
      </c>
      <c r="L1140" s="159">
        <f>N($F1140)*$K1140</f>
        <v/>
      </c>
      <c r="M1140" s="157">
        <f>IF($E1140="","",IF(OR($E1140="Coal",$E1140="Dirty Coal"),"MT","BCM"))</f>
        <v/>
      </c>
      <c r="N1140" s="157">
        <f>IF($E1140="","",IF(OR($E1140="Coal",$E1140="Dirty Coal"),"Coal","OB"))</f>
        <v/>
      </c>
      <c r="O1140" s="157">
        <f>IF($F1140="","",IF(COUNTIF(MASTER_JAM!$A$5:$A$94,$C1140)=0,"Digger tidak dikenal",IF($J1140="","Hauler tidak dikenal",IF($H1140="?","Jam salah",IF($K1140=0,"Faktor kosong",IF(SUMIFS(INPUT_DELAY!$E$5:$E$20000,INPUT_DELAY!$A$5:$A$20000,$A1140,INPUT_DELAY!$B$5:$B$20000,$B1140,INPUT_DELAY!$C$5:$C$20000,$C1140)+SUMIFS(INPUT_DELAY!$E$5:$E$20000,INPUT_DELAY!$A$5:$A$20000,$A1140,INPUT_DELAY!$B$5:$B$20000,$B1140,INPUT_DELAY!$C$5:$C$20000,"SEMUA")&gt;=60,"Delay 60 mnt tapi ada ritase","OK"))))))</f>
        <v/>
      </c>
      <c r="P1140" s="158">
        <f>IFERROR(INDEX(MASTER_JAM!$Z$5:$AC$10,MATCH($I1140,MASTER_JAM!$Y$5:$Y$10,0),MATCH($J1140,MASTER_JAM!$Z$4:$AC$4,0))+0,0)</f>
        <v/>
      </c>
      <c r="Q1140" s="158">
        <f>IF($P1140=0,0,$P1140+IFERROR(INDEX(MASTER_JAM!$H$5:$H$94,MATCH($C1140,MASTER_JAM!$A$5:$A$94,0))+0,MASTER_JAM!$AC$15)/1000*(60/MASTER_JAM!$AC$12+60/MASTER_JAM!$AC$13)+MASTER_JAM!$AC$14)</f>
        <v/>
      </c>
      <c r="R1140" s="158">
        <f>IF(N($F1140)=0,0,$F1140/SUMIFS(INPUT_RITASE!$F$5:$F$20000,INPUT_RITASE!$A$5:$A$20000,$A1140,INPUT_RITASE!$B$5:$B$20000,$B1140,INPUT_RITASE!$C$5:$C$20000,$C1140,INPUT_RITASE!$D$5:$D$20000,$D1140))</f>
        <v/>
      </c>
      <c r="S1140" s="158">
        <f>IF($Q1140=0,0,$R1140*$P1140/$Q1140)</f>
        <v/>
      </c>
    </row>
    <row r="1141">
      <c r="A1141" s="155" t="n">
        <v>46108</v>
      </c>
      <c r="B1141" s="156" t="inlineStr">
        <is>
          <t>07-08</t>
        </is>
      </c>
      <c r="C1141" s="156" t="inlineStr">
        <is>
          <t>EX-1251</t>
        </is>
      </c>
      <c r="D1141" s="156" t="inlineStr">
        <is>
          <t>DT-503</t>
        </is>
      </c>
      <c r="E1141" s="156" t="inlineStr">
        <is>
          <t>OB</t>
        </is>
      </c>
      <c r="F1141" s="156" t="n">
        <v>4</v>
      </c>
      <c r="G1141" s="156" t="inlineStr"/>
      <c r="H1141" s="157">
        <f>IF($B1141="","",IF(ISNA(MATCH($B1141,MASTER_JAM!$Q$5:$Q$28,0)),"?",IF(MATCH($B1141,MASTER_JAM!$Q$5:$Q$28,0)&lt;=12,"DS","NS")))</f>
        <v/>
      </c>
      <c r="I1141" s="157">
        <f>IFERROR(INDEX(MASTER_JAM!$B$5:$B$94,MATCH($C1141,MASTER_JAM!$A$5:$A$94,0)),"")</f>
        <v/>
      </c>
      <c r="J1141" s="157">
        <f>IFERROR(INDEX(MASTER_JAM!$E$5:$E$94,MATCH($D1141,MASTER_JAM!$A$5:$A$94,0)),"")</f>
        <v/>
      </c>
      <c r="K1141" s="158">
        <f>IFERROR(INDEX(MASTER_JAM!$J$5:$O$12,MATCH($E1141,MASTER_JAM!$I$5:$I$12,0),MATCH($J1141,MASTER_JAM!$J$4:$O$4,0))+0,0)</f>
        <v/>
      </c>
      <c r="L1141" s="159">
        <f>N($F1141)*$K1141</f>
        <v/>
      </c>
      <c r="M1141" s="157">
        <f>IF($E1141="","",IF(OR($E1141="Coal",$E1141="Dirty Coal"),"MT","BCM"))</f>
        <v/>
      </c>
      <c r="N1141" s="157">
        <f>IF($E1141="","",IF(OR($E1141="Coal",$E1141="Dirty Coal"),"Coal","OB"))</f>
        <v/>
      </c>
      <c r="O1141" s="157">
        <f>IF($F1141="","",IF(COUNTIF(MASTER_JAM!$A$5:$A$94,$C1141)=0,"Digger tidak dikenal",IF($J1141="","Hauler tidak dikenal",IF($H1141="?","Jam salah",IF($K1141=0,"Faktor kosong",IF(SUMIFS(INPUT_DELAY!$E$5:$E$20000,INPUT_DELAY!$A$5:$A$20000,$A1141,INPUT_DELAY!$B$5:$B$20000,$B1141,INPUT_DELAY!$C$5:$C$20000,$C1141)+SUMIFS(INPUT_DELAY!$E$5:$E$20000,INPUT_DELAY!$A$5:$A$20000,$A1141,INPUT_DELAY!$B$5:$B$20000,$B1141,INPUT_DELAY!$C$5:$C$20000,"SEMUA")&gt;=60,"Delay 60 mnt tapi ada ritase","OK"))))))</f>
        <v/>
      </c>
      <c r="P1141" s="158">
        <f>IFERROR(INDEX(MASTER_JAM!$Z$5:$AC$10,MATCH($I1141,MASTER_JAM!$Y$5:$Y$10,0),MATCH($J1141,MASTER_JAM!$Z$4:$AC$4,0))+0,0)</f>
        <v/>
      </c>
      <c r="Q1141" s="158">
        <f>IF($P1141=0,0,$P1141+IFERROR(INDEX(MASTER_JAM!$H$5:$H$94,MATCH($C1141,MASTER_JAM!$A$5:$A$94,0))+0,MASTER_JAM!$AC$15)/1000*(60/MASTER_JAM!$AC$12+60/MASTER_JAM!$AC$13)+MASTER_JAM!$AC$14)</f>
        <v/>
      </c>
      <c r="R1141" s="158">
        <f>IF(N($F1141)=0,0,$F1141/SUMIFS(INPUT_RITASE!$F$5:$F$20000,INPUT_RITASE!$A$5:$A$20000,$A1141,INPUT_RITASE!$B$5:$B$20000,$B1141,INPUT_RITASE!$C$5:$C$20000,$C1141,INPUT_RITASE!$D$5:$D$20000,$D1141))</f>
        <v/>
      </c>
      <c r="S1141" s="158">
        <f>IF($Q1141=0,0,$R1141*$P1141/$Q1141)</f>
        <v/>
      </c>
    </row>
    <row r="1142">
      <c r="A1142" s="155" t="n">
        <v>46108</v>
      </c>
      <c r="B1142" s="156" t="inlineStr">
        <is>
          <t>07-08</t>
        </is>
      </c>
      <c r="C1142" s="156" t="inlineStr">
        <is>
          <t>EX-1251</t>
        </is>
      </c>
      <c r="D1142" s="156" t="inlineStr">
        <is>
          <t>DT-528</t>
        </is>
      </c>
      <c r="E1142" s="156" t="inlineStr">
        <is>
          <t>OB</t>
        </is>
      </c>
      <c r="F1142" s="156" t="n">
        <v>4</v>
      </c>
      <c r="G1142" s="156" t="inlineStr"/>
      <c r="H1142" s="157">
        <f>IF($B1142="","",IF(ISNA(MATCH($B1142,MASTER_JAM!$Q$5:$Q$28,0)),"?",IF(MATCH($B1142,MASTER_JAM!$Q$5:$Q$28,0)&lt;=12,"DS","NS")))</f>
        <v/>
      </c>
      <c r="I1142" s="157">
        <f>IFERROR(INDEX(MASTER_JAM!$B$5:$B$94,MATCH($C1142,MASTER_JAM!$A$5:$A$94,0)),"")</f>
        <v/>
      </c>
      <c r="J1142" s="157">
        <f>IFERROR(INDEX(MASTER_JAM!$E$5:$E$94,MATCH($D1142,MASTER_JAM!$A$5:$A$94,0)),"")</f>
        <v/>
      </c>
      <c r="K1142" s="158">
        <f>IFERROR(INDEX(MASTER_JAM!$J$5:$O$12,MATCH($E1142,MASTER_JAM!$I$5:$I$12,0),MATCH($J1142,MASTER_JAM!$J$4:$O$4,0))+0,0)</f>
        <v/>
      </c>
      <c r="L1142" s="159">
        <f>N($F1142)*$K1142</f>
        <v/>
      </c>
      <c r="M1142" s="157">
        <f>IF($E1142="","",IF(OR($E1142="Coal",$E1142="Dirty Coal"),"MT","BCM"))</f>
        <v/>
      </c>
      <c r="N1142" s="157">
        <f>IF($E1142="","",IF(OR($E1142="Coal",$E1142="Dirty Coal"),"Coal","OB"))</f>
        <v/>
      </c>
      <c r="O1142" s="157">
        <f>IF($F1142="","",IF(COUNTIF(MASTER_JAM!$A$5:$A$94,$C1142)=0,"Digger tidak dikenal",IF($J1142="","Hauler tidak dikenal",IF($H1142="?","Jam salah",IF($K1142=0,"Faktor kosong",IF(SUMIFS(INPUT_DELAY!$E$5:$E$20000,INPUT_DELAY!$A$5:$A$20000,$A1142,INPUT_DELAY!$B$5:$B$20000,$B1142,INPUT_DELAY!$C$5:$C$20000,$C1142)+SUMIFS(INPUT_DELAY!$E$5:$E$20000,INPUT_DELAY!$A$5:$A$20000,$A1142,INPUT_DELAY!$B$5:$B$20000,$B1142,INPUT_DELAY!$C$5:$C$20000,"SEMUA")&gt;=60,"Delay 60 mnt tapi ada ritase","OK"))))))</f>
        <v/>
      </c>
      <c r="P1142" s="158">
        <f>IFERROR(INDEX(MASTER_JAM!$Z$5:$AC$10,MATCH($I1142,MASTER_JAM!$Y$5:$Y$10,0),MATCH($J1142,MASTER_JAM!$Z$4:$AC$4,0))+0,0)</f>
        <v/>
      </c>
      <c r="Q1142" s="158">
        <f>IF($P1142=0,0,$P1142+IFERROR(INDEX(MASTER_JAM!$H$5:$H$94,MATCH($C1142,MASTER_JAM!$A$5:$A$94,0))+0,MASTER_JAM!$AC$15)/1000*(60/MASTER_JAM!$AC$12+60/MASTER_JAM!$AC$13)+MASTER_JAM!$AC$14)</f>
        <v/>
      </c>
      <c r="R1142" s="158">
        <f>IF(N($F1142)=0,0,$F1142/SUMIFS(INPUT_RITASE!$F$5:$F$20000,INPUT_RITASE!$A$5:$A$20000,$A1142,INPUT_RITASE!$B$5:$B$20000,$B1142,INPUT_RITASE!$C$5:$C$20000,$C1142,INPUT_RITASE!$D$5:$D$20000,$D1142))</f>
        <v/>
      </c>
      <c r="S1142" s="158">
        <f>IF($Q1142=0,0,$R1142*$P1142/$Q1142)</f>
        <v/>
      </c>
    </row>
    <row r="1143">
      <c r="A1143" s="155" t="n">
        <v>46108</v>
      </c>
      <c r="B1143" s="156" t="inlineStr">
        <is>
          <t>07-08</t>
        </is>
      </c>
      <c r="C1143" s="156" t="inlineStr">
        <is>
          <t>EX-1251</t>
        </is>
      </c>
      <c r="D1143" s="156" t="inlineStr">
        <is>
          <t>DT-515</t>
        </is>
      </c>
      <c r="E1143" s="156" t="inlineStr">
        <is>
          <t>OB</t>
        </is>
      </c>
      <c r="F1143" s="156" t="n">
        <v>4</v>
      </c>
      <c r="G1143" s="156" t="inlineStr"/>
      <c r="H1143" s="157">
        <f>IF($B1143="","",IF(ISNA(MATCH($B1143,MASTER_JAM!$Q$5:$Q$28,0)),"?",IF(MATCH($B1143,MASTER_JAM!$Q$5:$Q$28,0)&lt;=12,"DS","NS")))</f>
        <v/>
      </c>
      <c r="I1143" s="157">
        <f>IFERROR(INDEX(MASTER_JAM!$B$5:$B$94,MATCH($C1143,MASTER_JAM!$A$5:$A$94,0)),"")</f>
        <v/>
      </c>
      <c r="J1143" s="157">
        <f>IFERROR(INDEX(MASTER_JAM!$E$5:$E$94,MATCH($D1143,MASTER_JAM!$A$5:$A$94,0)),"")</f>
        <v/>
      </c>
      <c r="K1143" s="158">
        <f>IFERROR(INDEX(MASTER_JAM!$J$5:$O$12,MATCH($E1143,MASTER_JAM!$I$5:$I$12,0),MATCH($J1143,MASTER_JAM!$J$4:$O$4,0))+0,0)</f>
        <v/>
      </c>
      <c r="L1143" s="159">
        <f>N($F1143)*$K1143</f>
        <v/>
      </c>
      <c r="M1143" s="157">
        <f>IF($E1143="","",IF(OR($E1143="Coal",$E1143="Dirty Coal"),"MT","BCM"))</f>
        <v/>
      </c>
      <c r="N1143" s="157">
        <f>IF($E1143="","",IF(OR($E1143="Coal",$E1143="Dirty Coal"),"Coal","OB"))</f>
        <v/>
      </c>
      <c r="O1143" s="157">
        <f>IF($F1143="","",IF(COUNTIF(MASTER_JAM!$A$5:$A$94,$C1143)=0,"Digger tidak dikenal",IF($J1143="","Hauler tidak dikenal",IF($H1143="?","Jam salah",IF($K1143=0,"Faktor kosong",IF(SUMIFS(INPUT_DELAY!$E$5:$E$20000,INPUT_DELAY!$A$5:$A$20000,$A1143,INPUT_DELAY!$B$5:$B$20000,$B1143,INPUT_DELAY!$C$5:$C$20000,$C1143)+SUMIFS(INPUT_DELAY!$E$5:$E$20000,INPUT_DELAY!$A$5:$A$20000,$A1143,INPUT_DELAY!$B$5:$B$20000,$B1143,INPUT_DELAY!$C$5:$C$20000,"SEMUA")&gt;=60,"Delay 60 mnt tapi ada ritase","OK"))))))</f>
        <v/>
      </c>
      <c r="P1143" s="158">
        <f>IFERROR(INDEX(MASTER_JAM!$Z$5:$AC$10,MATCH($I1143,MASTER_JAM!$Y$5:$Y$10,0),MATCH($J1143,MASTER_JAM!$Z$4:$AC$4,0))+0,0)</f>
        <v/>
      </c>
      <c r="Q1143" s="158">
        <f>IF($P1143=0,0,$P1143+IFERROR(INDEX(MASTER_JAM!$H$5:$H$94,MATCH($C1143,MASTER_JAM!$A$5:$A$94,0))+0,MASTER_JAM!$AC$15)/1000*(60/MASTER_JAM!$AC$12+60/MASTER_JAM!$AC$13)+MASTER_JAM!$AC$14)</f>
        <v/>
      </c>
      <c r="R1143" s="158">
        <f>IF(N($F1143)=0,0,$F1143/SUMIFS(INPUT_RITASE!$F$5:$F$20000,INPUT_RITASE!$A$5:$A$20000,$A1143,INPUT_RITASE!$B$5:$B$20000,$B1143,INPUT_RITASE!$C$5:$C$20000,$C1143,INPUT_RITASE!$D$5:$D$20000,$D1143))</f>
        <v/>
      </c>
      <c r="S1143" s="158">
        <f>IF($Q1143=0,0,$R1143*$P1143/$Q1143)</f>
        <v/>
      </c>
    </row>
    <row r="1144">
      <c r="A1144" s="155" t="n">
        <v>46108</v>
      </c>
      <c r="B1144" s="156" t="inlineStr">
        <is>
          <t>07-08</t>
        </is>
      </c>
      <c r="C1144" s="156" t="inlineStr">
        <is>
          <t>EX-1251</t>
        </is>
      </c>
      <c r="D1144" s="156" t="inlineStr">
        <is>
          <t>DT-512</t>
        </is>
      </c>
      <c r="E1144" s="156" t="inlineStr">
        <is>
          <t>OB</t>
        </is>
      </c>
      <c r="F1144" s="156" t="n">
        <v>3</v>
      </c>
      <c r="G1144" s="156" t="inlineStr"/>
      <c r="H1144" s="157">
        <f>IF($B1144="","",IF(ISNA(MATCH($B1144,MASTER_JAM!$Q$5:$Q$28,0)),"?",IF(MATCH($B1144,MASTER_JAM!$Q$5:$Q$28,0)&lt;=12,"DS","NS")))</f>
        <v/>
      </c>
      <c r="I1144" s="157">
        <f>IFERROR(INDEX(MASTER_JAM!$B$5:$B$94,MATCH($C1144,MASTER_JAM!$A$5:$A$94,0)),"")</f>
        <v/>
      </c>
      <c r="J1144" s="157">
        <f>IFERROR(INDEX(MASTER_JAM!$E$5:$E$94,MATCH($D1144,MASTER_JAM!$A$5:$A$94,0)),"")</f>
        <v/>
      </c>
      <c r="K1144" s="158">
        <f>IFERROR(INDEX(MASTER_JAM!$J$5:$O$12,MATCH($E1144,MASTER_JAM!$I$5:$I$12,0),MATCH($J1144,MASTER_JAM!$J$4:$O$4,0))+0,0)</f>
        <v/>
      </c>
      <c r="L1144" s="159">
        <f>N($F1144)*$K1144</f>
        <v/>
      </c>
      <c r="M1144" s="157">
        <f>IF($E1144="","",IF(OR($E1144="Coal",$E1144="Dirty Coal"),"MT","BCM"))</f>
        <v/>
      </c>
      <c r="N1144" s="157">
        <f>IF($E1144="","",IF(OR($E1144="Coal",$E1144="Dirty Coal"),"Coal","OB"))</f>
        <v/>
      </c>
      <c r="O1144" s="157">
        <f>IF($F1144="","",IF(COUNTIF(MASTER_JAM!$A$5:$A$94,$C1144)=0,"Digger tidak dikenal",IF($J1144="","Hauler tidak dikenal",IF($H1144="?","Jam salah",IF($K1144=0,"Faktor kosong",IF(SUMIFS(INPUT_DELAY!$E$5:$E$20000,INPUT_DELAY!$A$5:$A$20000,$A1144,INPUT_DELAY!$B$5:$B$20000,$B1144,INPUT_DELAY!$C$5:$C$20000,$C1144)+SUMIFS(INPUT_DELAY!$E$5:$E$20000,INPUT_DELAY!$A$5:$A$20000,$A1144,INPUT_DELAY!$B$5:$B$20000,$B1144,INPUT_DELAY!$C$5:$C$20000,"SEMUA")&gt;=60,"Delay 60 mnt tapi ada ritase","OK"))))))</f>
        <v/>
      </c>
      <c r="P1144" s="158">
        <f>IFERROR(INDEX(MASTER_JAM!$Z$5:$AC$10,MATCH($I1144,MASTER_JAM!$Y$5:$Y$10,0),MATCH($J1144,MASTER_JAM!$Z$4:$AC$4,0))+0,0)</f>
        <v/>
      </c>
      <c r="Q1144" s="158">
        <f>IF($P1144=0,0,$P1144+IFERROR(INDEX(MASTER_JAM!$H$5:$H$94,MATCH($C1144,MASTER_JAM!$A$5:$A$94,0))+0,MASTER_JAM!$AC$15)/1000*(60/MASTER_JAM!$AC$12+60/MASTER_JAM!$AC$13)+MASTER_JAM!$AC$14)</f>
        <v/>
      </c>
      <c r="R1144" s="158">
        <f>IF(N($F1144)=0,0,$F1144/SUMIFS(INPUT_RITASE!$F$5:$F$20000,INPUT_RITASE!$A$5:$A$20000,$A1144,INPUT_RITASE!$B$5:$B$20000,$B1144,INPUT_RITASE!$C$5:$C$20000,$C1144,INPUT_RITASE!$D$5:$D$20000,$D1144))</f>
        <v/>
      </c>
      <c r="S1144" s="158">
        <f>IF($Q1144=0,0,$R1144*$P1144/$Q1144)</f>
        <v/>
      </c>
    </row>
    <row r="1145">
      <c r="A1145" s="155" t="n">
        <v>46108</v>
      </c>
      <c r="B1145" s="156" t="inlineStr">
        <is>
          <t>08-09</t>
        </is>
      </c>
      <c r="C1145" s="156" t="inlineStr">
        <is>
          <t>EX-1251</t>
        </is>
      </c>
      <c r="D1145" s="156" t="inlineStr">
        <is>
          <t>DT-517</t>
        </is>
      </c>
      <c r="E1145" s="156" t="inlineStr">
        <is>
          <t>OB</t>
        </is>
      </c>
      <c r="F1145" s="156" t="n">
        <v>4</v>
      </c>
      <c r="G1145" s="156" t="inlineStr"/>
      <c r="H1145" s="157">
        <f>IF($B1145="","",IF(ISNA(MATCH($B1145,MASTER_JAM!$Q$5:$Q$28,0)),"?",IF(MATCH($B1145,MASTER_JAM!$Q$5:$Q$28,0)&lt;=12,"DS","NS")))</f>
        <v/>
      </c>
      <c r="I1145" s="157">
        <f>IFERROR(INDEX(MASTER_JAM!$B$5:$B$94,MATCH($C1145,MASTER_JAM!$A$5:$A$94,0)),"")</f>
        <v/>
      </c>
      <c r="J1145" s="157">
        <f>IFERROR(INDEX(MASTER_JAM!$E$5:$E$94,MATCH($D1145,MASTER_JAM!$A$5:$A$94,0)),"")</f>
        <v/>
      </c>
      <c r="K1145" s="158">
        <f>IFERROR(INDEX(MASTER_JAM!$J$5:$O$12,MATCH($E1145,MASTER_JAM!$I$5:$I$12,0),MATCH($J1145,MASTER_JAM!$J$4:$O$4,0))+0,0)</f>
        <v/>
      </c>
      <c r="L1145" s="159">
        <f>N($F1145)*$K1145</f>
        <v/>
      </c>
      <c r="M1145" s="157">
        <f>IF($E1145="","",IF(OR($E1145="Coal",$E1145="Dirty Coal"),"MT","BCM"))</f>
        <v/>
      </c>
      <c r="N1145" s="157">
        <f>IF($E1145="","",IF(OR($E1145="Coal",$E1145="Dirty Coal"),"Coal","OB"))</f>
        <v/>
      </c>
      <c r="O1145" s="157">
        <f>IF($F1145="","",IF(COUNTIF(MASTER_JAM!$A$5:$A$94,$C1145)=0,"Digger tidak dikenal",IF($J1145="","Hauler tidak dikenal",IF($H1145="?","Jam salah",IF($K1145=0,"Faktor kosong",IF(SUMIFS(INPUT_DELAY!$E$5:$E$20000,INPUT_DELAY!$A$5:$A$20000,$A1145,INPUT_DELAY!$B$5:$B$20000,$B1145,INPUT_DELAY!$C$5:$C$20000,$C1145)+SUMIFS(INPUT_DELAY!$E$5:$E$20000,INPUT_DELAY!$A$5:$A$20000,$A1145,INPUT_DELAY!$B$5:$B$20000,$B1145,INPUT_DELAY!$C$5:$C$20000,"SEMUA")&gt;=60,"Delay 60 mnt tapi ada ritase","OK"))))))</f>
        <v/>
      </c>
      <c r="P1145" s="158">
        <f>IFERROR(INDEX(MASTER_JAM!$Z$5:$AC$10,MATCH($I1145,MASTER_JAM!$Y$5:$Y$10,0),MATCH($J1145,MASTER_JAM!$Z$4:$AC$4,0))+0,0)</f>
        <v/>
      </c>
      <c r="Q1145" s="158">
        <f>IF($P1145=0,0,$P1145+IFERROR(INDEX(MASTER_JAM!$H$5:$H$94,MATCH($C1145,MASTER_JAM!$A$5:$A$94,0))+0,MASTER_JAM!$AC$15)/1000*(60/MASTER_JAM!$AC$12+60/MASTER_JAM!$AC$13)+MASTER_JAM!$AC$14)</f>
        <v/>
      </c>
      <c r="R1145" s="158">
        <f>IF(N($F1145)=0,0,$F1145/SUMIFS(INPUT_RITASE!$F$5:$F$20000,INPUT_RITASE!$A$5:$A$20000,$A1145,INPUT_RITASE!$B$5:$B$20000,$B1145,INPUT_RITASE!$C$5:$C$20000,$C1145,INPUT_RITASE!$D$5:$D$20000,$D1145))</f>
        <v/>
      </c>
      <c r="S1145" s="158">
        <f>IF($Q1145=0,0,$R1145*$P1145/$Q1145)</f>
        <v/>
      </c>
    </row>
    <row r="1146">
      <c r="A1146" s="155" t="n">
        <v>46108</v>
      </c>
      <c r="B1146" s="156" t="inlineStr">
        <is>
          <t>08-09</t>
        </is>
      </c>
      <c r="C1146" s="156" t="inlineStr">
        <is>
          <t>EX-1251</t>
        </is>
      </c>
      <c r="D1146" s="156" t="inlineStr">
        <is>
          <t>DT-522</t>
        </is>
      </c>
      <c r="E1146" s="156" t="inlineStr">
        <is>
          <t>OB</t>
        </is>
      </c>
      <c r="F1146" s="156" t="n">
        <v>4</v>
      </c>
      <c r="G1146" s="156" t="inlineStr"/>
      <c r="H1146" s="157">
        <f>IF($B1146="","",IF(ISNA(MATCH($B1146,MASTER_JAM!$Q$5:$Q$28,0)),"?",IF(MATCH($B1146,MASTER_JAM!$Q$5:$Q$28,0)&lt;=12,"DS","NS")))</f>
        <v/>
      </c>
      <c r="I1146" s="157">
        <f>IFERROR(INDEX(MASTER_JAM!$B$5:$B$94,MATCH($C1146,MASTER_JAM!$A$5:$A$94,0)),"")</f>
        <v/>
      </c>
      <c r="J1146" s="157">
        <f>IFERROR(INDEX(MASTER_JAM!$E$5:$E$94,MATCH($D1146,MASTER_JAM!$A$5:$A$94,0)),"")</f>
        <v/>
      </c>
      <c r="K1146" s="158">
        <f>IFERROR(INDEX(MASTER_JAM!$J$5:$O$12,MATCH($E1146,MASTER_JAM!$I$5:$I$12,0),MATCH($J1146,MASTER_JAM!$J$4:$O$4,0))+0,0)</f>
        <v/>
      </c>
      <c r="L1146" s="159">
        <f>N($F1146)*$K1146</f>
        <v/>
      </c>
      <c r="M1146" s="157">
        <f>IF($E1146="","",IF(OR($E1146="Coal",$E1146="Dirty Coal"),"MT","BCM"))</f>
        <v/>
      </c>
      <c r="N1146" s="157">
        <f>IF($E1146="","",IF(OR($E1146="Coal",$E1146="Dirty Coal"),"Coal","OB"))</f>
        <v/>
      </c>
      <c r="O1146" s="157">
        <f>IF($F1146="","",IF(COUNTIF(MASTER_JAM!$A$5:$A$94,$C1146)=0,"Digger tidak dikenal",IF($J1146="","Hauler tidak dikenal",IF($H1146="?","Jam salah",IF($K1146=0,"Faktor kosong",IF(SUMIFS(INPUT_DELAY!$E$5:$E$20000,INPUT_DELAY!$A$5:$A$20000,$A1146,INPUT_DELAY!$B$5:$B$20000,$B1146,INPUT_DELAY!$C$5:$C$20000,$C1146)+SUMIFS(INPUT_DELAY!$E$5:$E$20000,INPUT_DELAY!$A$5:$A$20000,$A1146,INPUT_DELAY!$B$5:$B$20000,$B1146,INPUT_DELAY!$C$5:$C$20000,"SEMUA")&gt;=60,"Delay 60 mnt tapi ada ritase","OK"))))))</f>
        <v/>
      </c>
      <c r="P1146" s="158">
        <f>IFERROR(INDEX(MASTER_JAM!$Z$5:$AC$10,MATCH($I1146,MASTER_JAM!$Y$5:$Y$10,0),MATCH($J1146,MASTER_JAM!$Z$4:$AC$4,0))+0,0)</f>
        <v/>
      </c>
      <c r="Q1146" s="158">
        <f>IF($P1146=0,0,$P1146+IFERROR(INDEX(MASTER_JAM!$H$5:$H$94,MATCH($C1146,MASTER_JAM!$A$5:$A$94,0))+0,MASTER_JAM!$AC$15)/1000*(60/MASTER_JAM!$AC$12+60/MASTER_JAM!$AC$13)+MASTER_JAM!$AC$14)</f>
        <v/>
      </c>
      <c r="R1146" s="158">
        <f>IF(N($F1146)=0,0,$F1146/SUMIFS(INPUT_RITASE!$F$5:$F$20000,INPUT_RITASE!$A$5:$A$20000,$A1146,INPUT_RITASE!$B$5:$B$20000,$B1146,INPUT_RITASE!$C$5:$C$20000,$C1146,INPUT_RITASE!$D$5:$D$20000,$D1146))</f>
        <v/>
      </c>
      <c r="S1146" s="158">
        <f>IF($Q1146=0,0,$R1146*$P1146/$Q1146)</f>
        <v/>
      </c>
    </row>
    <row r="1147">
      <c r="A1147" s="155" t="n">
        <v>46108</v>
      </c>
      <c r="B1147" s="156" t="inlineStr">
        <is>
          <t>08-09</t>
        </is>
      </c>
      <c r="C1147" s="156" t="inlineStr">
        <is>
          <t>EX-1251</t>
        </is>
      </c>
      <c r="D1147" s="156" t="inlineStr">
        <is>
          <t>DT-514</t>
        </is>
      </c>
      <c r="E1147" s="156" t="inlineStr">
        <is>
          <t>OB</t>
        </is>
      </c>
      <c r="F1147" s="156" t="n">
        <v>4</v>
      </c>
      <c r="G1147" s="156" t="inlineStr"/>
      <c r="H1147" s="157">
        <f>IF($B1147="","",IF(ISNA(MATCH($B1147,MASTER_JAM!$Q$5:$Q$28,0)),"?",IF(MATCH($B1147,MASTER_JAM!$Q$5:$Q$28,0)&lt;=12,"DS","NS")))</f>
        <v/>
      </c>
      <c r="I1147" s="157">
        <f>IFERROR(INDEX(MASTER_JAM!$B$5:$B$94,MATCH($C1147,MASTER_JAM!$A$5:$A$94,0)),"")</f>
        <v/>
      </c>
      <c r="J1147" s="157">
        <f>IFERROR(INDEX(MASTER_JAM!$E$5:$E$94,MATCH($D1147,MASTER_JAM!$A$5:$A$94,0)),"")</f>
        <v/>
      </c>
      <c r="K1147" s="158">
        <f>IFERROR(INDEX(MASTER_JAM!$J$5:$O$12,MATCH($E1147,MASTER_JAM!$I$5:$I$12,0),MATCH($J1147,MASTER_JAM!$J$4:$O$4,0))+0,0)</f>
        <v/>
      </c>
      <c r="L1147" s="159">
        <f>N($F1147)*$K1147</f>
        <v/>
      </c>
      <c r="M1147" s="157">
        <f>IF($E1147="","",IF(OR($E1147="Coal",$E1147="Dirty Coal"),"MT","BCM"))</f>
        <v/>
      </c>
      <c r="N1147" s="157">
        <f>IF($E1147="","",IF(OR($E1147="Coal",$E1147="Dirty Coal"),"Coal","OB"))</f>
        <v/>
      </c>
      <c r="O1147" s="157">
        <f>IF($F1147="","",IF(COUNTIF(MASTER_JAM!$A$5:$A$94,$C1147)=0,"Digger tidak dikenal",IF($J1147="","Hauler tidak dikenal",IF($H1147="?","Jam salah",IF($K1147=0,"Faktor kosong",IF(SUMIFS(INPUT_DELAY!$E$5:$E$20000,INPUT_DELAY!$A$5:$A$20000,$A1147,INPUT_DELAY!$B$5:$B$20000,$B1147,INPUT_DELAY!$C$5:$C$20000,$C1147)+SUMIFS(INPUT_DELAY!$E$5:$E$20000,INPUT_DELAY!$A$5:$A$20000,$A1147,INPUT_DELAY!$B$5:$B$20000,$B1147,INPUT_DELAY!$C$5:$C$20000,"SEMUA")&gt;=60,"Delay 60 mnt tapi ada ritase","OK"))))))</f>
        <v/>
      </c>
      <c r="P1147" s="158">
        <f>IFERROR(INDEX(MASTER_JAM!$Z$5:$AC$10,MATCH($I1147,MASTER_JAM!$Y$5:$Y$10,0),MATCH($J1147,MASTER_JAM!$Z$4:$AC$4,0))+0,0)</f>
        <v/>
      </c>
      <c r="Q1147" s="158">
        <f>IF($P1147=0,0,$P1147+IFERROR(INDEX(MASTER_JAM!$H$5:$H$94,MATCH($C1147,MASTER_JAM!$A$5:$A$94,0))+0,MASTER_JAM!$AC$15)/1000*(60/MASTER_JAM!$AC$12+60/MASTER_JAM!$AC$13)+MASTER_JAM!$AC$14)</f>
        <v/>
      </c>
      <c r="R1147" s="158">
        <f>IF(N($F1147)=0,0,$F1147/SUMIFS(INPUT_RITASE!$F$5:$F$20000,INPUT_RITASE!$A$5:$A$20000,$A1147,INPUT_RITASE!$B$5:$B$20000,$B1147,INPUT_RITASE!$C$5:$C$20000,$C1147,INPUT_RITASE!$D$5:$D$20000,$D1147))</f>
        <v/>
      </c>
      <c r="S1147" s="158">
        <f>IF($Q1147=0,0,$R1147*$P1147/$Q1147)</f>
        <v/>
      </c>
    </row>
    <row r="1148">
      <c r="A1148" s="155" t="n">
        <v>46108</v>
      </c>
      <c r="B1148" s="156" t="inlineStr">
        <is>
          <t>08-09</t>
        </is>
      </c>
      <c r="C1148" s="156" t="inlineStr">
        <is>
          <t>EX-1251</t>
        </is>
      </c>
      <c r="D1148" s="156" t="inlineStr">
        <is>
          <t>DT-528</t>
        </is>
      </c>
      <c r="E1148" s="156" t="inlineStr">
        <is>
          <t>OB</t>
        </is>
      </c>
      <c r="F1148" s="156" t="n">
        <v>4</v>
      </c>
      <c r="G1148" s="156" t="inlineStr"/>
      <c r="H1148" s="157">
        <f>IF($B1148="","",IF(ISNA(MATCH($B1148,MASTER_JAM!$Q$5:$Q$28,0)),"?",IF(MATCH($B1148,MASTER_JAM!$Q$5:$Q$28,0)&lt;=12,"DS","NS")))</f>
        <v/>
      </c>
      <c r="I1148" s="157">
        <f>IFERROR(INDEX(MASTER_JAM!$B$5:$B$94,MATCH($C1148,MASTER_JAM!$A$5:$A$94,0)),"")</f>
        <v/>
      </c>
      <c r="J1148" s="157">
        <f>IFERROR(INDEX(MASTER_JAM!$E$5:$E$94,MATCH($D1148,MASTER_JAM!$A$5:$A$94,0)),"")</f>
        <v/>
      </c>
      <c r="K1148" s="158">
        <f>IFERROR(INDEX(MASTER_JAM!$J$5:$O$12,MATCH($E1148,MASTER_JAM!$I$5:$I$12,0),MATCH($J1148,MASTER_JAM!$J$4:$O$4,0))+0,0)</f>
        <v/>
      </c>
      <c r="L1148" s="159">
        <f>N($F1148)*$K1148</f>
        <v/>
      </c>
      <c r="M1148" s="157">
        <f>IF($E1148="","",IF(OR($E1148="Coal",$E1148="Dirty Coal"),"MT","BCM"))</f>
        <v/>
      </c>
      <c r="N1148" s="157">
        <f>IF($E1148="","",IF(OR($E1148="Coal",$E1148="Dirty Coal"),"Coal","OB"))</f>
        <v/>
      </c>
      <c r="O1148" s="157">
        <f>IF($F1148="","",IF(COUNTIF(MASTER_JAM!$A$5:$A$94,$C1148)=0,"Digger tidak dikenal",IF($J1148="","Hauler tidak dikenal",IF($H1148="?","Jam salah",IF($K1148=0,"Faktor kosong",IF(SUMIFS(INPUT_DELAY!$E$5:$E$20000,INPUT_DELAY!$A$5:$A$20000,$A1148,INPUT_DELAY!$B$5:$B$20000,$B1148,INPUT_DELAY!$C$5:$C$20000,$C1148)+SUMIFS(INPUT_DELAY!$E$5:$E$20000,INPUT_DELAY!$A$5:$A$20000,$A1148,INPUT_DELAY!$B$5:$B$20000,$B1148,INPUT_DELAY!$C$5:$C$20000,"SEMUA")&gt;=60,"Delay 60 mnt tapi ada ritase","OK"))))))</f>
        <v/>
      </c>
      <c r="P1148" s="158">
        <f>IFERROR(INDEX(MASTER_JAM!$Z$5:$AC$10,MATCH($I1148,MASTER_JAM!$Y$5:$Y$10,0),MATCH($J1148,MASTER_JAM!$Z$4:$AC$4,0))+0,0)</f>
        <v/>
      </c>
      <c r="Q1148" s="158">
        <f>IF($P1148=0,0,$P1148+IFERROR(INDEX(MASTER_JAM!$H$5:$H$94,MATCH($C1148,MASTER_JAM!$A$5:$A$94,0))+0,MASTER_JAM!$AC$15)/1000*(60/MASTER_JAM!$AC$12+60/MASTER_JAM!$AC$13)+MASTER_JAM!$AC$14)</f>
        <v/>
      </c>
      <c r="R1148" s="158">
        <f>IF(N($F1148)=0,0,$F1148/SUMIFS(INPUT_RITASE!$F$5:$F$20000,INPUT_RITASE!$A$5:$A$20000,$A1148,INPUT_RITASE!$B$5:$B$20000,$B1148,INPUT_RITASE!$C$5:$C$20000,$C1148,INPUT_RITASE!$D$5:$D$20000,$D1148))</f>
        <v/>
      </c>
      <c r="S1148" s="158">
        <f>IF($Q1148=0,0,$R1148*$P1148/$Q1148)</f>
        <v/>
      </c>
    </row>
    <row r="1149">
      <c r="A1149" s="155" t="n">
        <v>46108</v>
      </c>
      <c r="B1149" s="156" t="inlineStr">
        <is>
          <t>09-10</t>
        </is>
      </c>
      <c r="C1149" s="156" t="inlineStr">
        <is>
          <t>EX-1251</t>
        </is>
      </c>
      <c r="D1149" s="156" t="inlineStr">
        <is>
          <t>DT-501</t>
        </is>
      </c>
      <c r="E1149" s="156" t="inlineStr">
        <is>
          <t>OB</t>
        </is>
      </c>
      <c r="F1149" s="156" t="n">
        <v>4</v>
      </c>
      <c r="G1149" s="156" t="inlineStr"/>
      <c r="H1149" s="157">
        <f>IF($B1149="","",IF(ISNA(MATCH($B1149,MASTER_JAM!$Q$5:$Q$28,0)),"?",IF(MATCH($B1149,MASTER_JAM!$Q$5:$Q$28,0)&lt;=12,"DS","NS")))</f>
        <v/>
      </c>
      <c r="I1149" s="157">
        <f>IFERROR(INDEX(MASTER_JAM!$B$5:$B$94,MATCH($C1149,MASTER_JAM!$A$5:$A$94,0)),"")</f>
        <v/>
      </c>
      <c r="J1149" s="157">
        <f>IFERROR(INDEX(MASTER_JAM!$E$5:$E$94,MATCH($D1149,MASTER_JAM!$A$5:$A$94,0)),"")</f>
        <v/>
      </c>
      <c r="K1149" s="158">
        <f>IFERROR(INDEX(MASTER_JAM!$J$5:$O$12,MATCH($E1149,MASTER_JAM!$I$5:$I$12,0),MATCH($J1149,MASTER_JAM!$J$4:$O$4,0))+0,0)</f>
        <v/>
      </c>
      <c r="L1149" s="159">
        <f>N($F1149)*$K1149</f>
        <v/>
      </c>
      <c r="M1149" s="157">
        <f>IF($E1149="","",IF(OR($E1149="Coal",$E1149="Dirty Coal"),"MT","BCM"))</f>
        <v/>
      </c>
      <c r="N1149" s="157">
        <f>IF($E1149="","",IF(OR($E1149="Coal",$E1149="Dirty Coal"),"Coal","OB"))</f>
        <v/>
      </c>
      <c r="O1149" s="157">
        <f>IF($F1149="","",IF(COUNTIF(MASTER_JAM!$A$5:$A$94,$C1149)=0,"Digger tidak dikenal",IF($J1149="","Hauler tidak dikenal",IF($H1149="?","Jam salah",IF($K1149=0,"Faktor kosong",IF(SUMIFS(INPUT_DELAY!$E$5:$E$20000,INPUT_DELAY!$A$5:$A$20000,$A1149,INPUT_DELAY!$B$5:$B$20000,$B1149,INPUT_DELAY!$C$5:$C$20000,$C1149)+SUMIFS(INPUT_DELAY!$E$5:$E$20000,INPUT_DELAY!$A$5:$A$20000,$A1149,INPUT_DELAY!$B$5:$B$20000,$B1149,INPUT_DELAY!$C$5:$C$20000,"SEMUA")&gt;=60,"Delay 60 mnt tapi ada ritase","OK"))))))</f>
        <v/>
      </c>
      <c r="P1149" s="158">
        <f>IFERROR(INDEX(MASTER_JAM!$Z$5:$AC$10,MATCH($I1149,MASTER_JAM!$Y$5:$Y$10,0),MATCH($J1149,MASTER_JAM!$Z$4:$AC$4,0))+0,0)</f>
        <v/>
      </c>
      <c r="Q1149" s="158">
        <f>IF($P1149=0,0,$P1149+IFERROR(INDEX(MASTER_JAM!$H$5:$H$94,MATCH($C1149,MASTER_JAM!$A$5:$A$94,0))+0,MASTER_JAM!$AC$15)/1000*(60/MASTER_JAM!$AC$12+60/MASTER_JAM!$AC$13)+MASTER_JAM!$AC$14)</f>
        <v/>
      </c>
      <c r="R1149" s="158">
        <f>IF(N($F1149)=0,0,$F1149/SUMIFS(INPUT_RITASE!$F$5:$F$20000,INPUT_RITASE!$A$5:$A$20000,$A1149,INPUT_RITASE!$B$5:$B$20000,$B1149,INPUT_RITASE!$C$5:$C$20000,$C1149,INPUT_RITASE!$D$5:$D$20000,$D1149))</f>
        <v/>
      </c>
      <c r="S1149" s="158">
        <f>IF($Q1149=0,0,$R1149*$P1149/$Q1149)</f>
        <v/>
      </c>
    </row>
    <row r="1150">
      <c r="A1150" s="155" t="n">
        <v>46108</v>
      </c>
      <c r="B1150" s="156" t="inlineStr">
        <is>
          <t>09-10</t>
        </is>
      </c>
      <c r="C1150" s="156" t="inlineStr">
        <is>
          <t>EX-1251</t>
        </is>
      </c>
      <c r="D1150" s="156" t="inlineStr">
        <is>
          <t>DT-502</t>
        </is>
      </c>
      <c r="E1150" s="156" t="inlineStr">
        <is>
          <t>OB</t>
        </is>
      </c>
      <c r="F1150" s="156" t="n">
        <v>4</v>
      </c>
      <c r="G1150" s="156" t="inlineStr"/>
      <c r="H1150" s="157">
        <f>IF($B1150="","",IF(ISNA(MATCH($B1150,MASTER_JAM!$Q$5:$Q$28,0)),"?",IF(MATCH($B1150,MASTER_JAM!$Q$5:$Q$28,0)&lt;=12,"DS","NS")))</f>
        <v/>
      </c>
      <c r="I1150" s="157">
        <f>IFERROR(INDEX(MASTER_JAM!$B$5:$B$94,MATCH($C1150,MASTER_JAM!$A$5:$A$94,0)),"")</f>
        <v/>
      </c>
      <c r="J1150" s="157">
        <f>IFERROR(INDEX(MASTER_JAM!$E$5:$E$94,MATCH($D1150,MASTER_JAM!$A$5:$A$94,0)),"")</f>
        <v/>
      </c>
      <c r="K1150" s="158">
        <f>IFERROR(INDEX(MASTER_JAM!$J$5:$O$12,MATCH($E1150,MASTER_JAM!$I$5:$I$12,0),MATCH($J1150,MASTER_JAM!$J$4:$O$4,0))+0,0)</f>
        <v/>
      </c>
      <c r="L1150" s="159">
        <f>N($F1150)*$K1150</f>
        <v/>
      </c>
      <c r="M1150" s="157">
        <f>IF($E1150="","",IF(OR($E1150="Coal",$E1150="Dirty Coal"),"MT","BCM"))</f>
        <v/>
      </c>
      <c r="N1150" s="157">
        <f>IF($E1150="","",IF(OR($E1150="Coal",$E1150="Dirty Coal"),"Coal","OB"))</f>
        <v/>
      </c>
      <c r="O1150" s="157">
        <f>IF($F1150="","",IF(COUNTIF(MASTER_JAM!$A$5:$A$94,$C1150)=0,"Digger tidak dikenal",IF($J1150="","Hauler tidak dikenal",IF($H1150="?","Jam salah",IF($K1150=0,"Faktor kosong",IF(SUMIFS(INPUT_DELAY!$E$5:$E$20000,INPUT_DELAY!$A$5:$A$20000,$A1150,INPUT_DELAY!$B$5:$B$20000,$B1150,INPUT_DELAY!$C$5:$C$20000,$C1150)+SUMIFS(INPUT_DELAY!$E$5:$E$20000,INPUT_DELAY!$A$5:$A$20000,$A1150,INPUT_DELAY!$B$5:$B$20000,$B1150,INPUT_DELAY!$C$5:$C$20000,"SEMUA")&gt;=60,"Delay 60 mnt tapi ada ritase","OK"))))))</f>
        <v/>
      </c>
      <c r="P1150" s="158">
        <f>IFERROR(INDEX(MASTER_JAM!$Z$5:$AC$10,MATCH($I1150,MASTER_JAM!$Y$5:$Y$10,0),MATCH($J1150,MASTER_JAM!$Z$4:$AC$4,0))+0,0)</f>
        <v/>
      </c>
      <c r="Q1150" s="158">
        <f>IF($P1150=0,0,$P1150+IFERROR(INDEX(MASTER_JAM!$H$5:$H$94,MATCH($C1150,MASTER_JAM!$A$5:$A$94,0))+0,MASTER_JAM!$AC$15)/1000*(60/MASTER_JAM!$AC$12+60/MASTER_JAM!$AC$13)+MASTER_JAM!$AC$14)</f>
        <v/>
      </c>
      <c r="R1150" s="158">
        <f>IF(N($F1150)=0,0,$F1150/SUMIFS(INPUT_RITASE!$F$5:$F$20000,INPUT_RITASE!$A$5:$A$20000,$A1150,INPUT_RITASE!$B$5:$B$20000,$B1150,INPUT_RITASE!$C$5:$C$20000,$C1150,INPUT_RITASE!$D$5:$D$20000,$D1150))</f>
        <v/>
      </c>
      <c r="S1150" s="158">
        <f>IF($Q1150=0,0,$R1150*$P1150/$Q1150)</f>
        <v/>
      </c>
    </row>
    <row r="1151">
      <c r="A1151" s="155" t="n">
        <v>46108</v>
      </c>
      <c r="B1151" s="156" t="inlineStr">
        <is>
          <t>09-10</t>
        </is>
      </c>
      <c r="C1151" s="156" t="inlineStr">
        <is>
          <t>EX-1251</t>
        </is>
      </c>
      <c r="D1151" s="156" t="inlineStr">
        <is>
          <t>DT-515</t>
        </is>
      </c>
      <c r="E1151" s="156" t="inlineStr">
        <is>
          <t>OB</t>
        </is>
      </c>
      <c r="F1151" s="156" t="n">
        <v>4</v>
      </c>
      <c r="G1151" s="156" t="inlineStr"/>
      <c r="H1151" s="157">
        <f>IF($B1151="","",IF(ISNA(MATCH($B1151,MASTER_JAM!$Q$5:$Q$28,0)),"?",IF(MATCH($B1151,MASTER_JAM!$Q$5:$Q$28,0)&lt;=12,"DS","NS")))</f>
        <v/>
      </c>
      <c r="I1151" s="157">
        <f>IFERROR(INDEX(MASTER_JAM!$B$5:$B$94,MATCH($C1151,MASTER_JAM!$A$5:$A$94,0)),"")</f>
        <v/>
      </c>
      <c r="J1151" s="157">
        <f>IFERROR(INDEX(MASTER_JAM!$E$5:$E$94,MATCH($D1151,MASTER_JAM!$A$5:$A$94,0)),"")</f>
        <v/>
      </c>
      <c r="K1151" s="158">
        <f>IFERROR(INDEX(MASTER_JAM!$J$5:$O$12,MATCH($E1151,MASTER_JAM!$I$5:$I$12,0),MATCH($J1151,MASTER_JAM!$J$4:$O$4,0))+0,0)</f>
        <v/>
      </c>
      <c r="L1151" s="159">
        <f>N($F1151)*$K1151</f>
        <v/>
      </c>
      <c r="M1151" s="157">
        <f>IF($E1151="","",IF(OR($E1151="Coal",$E1151="Dirty Coal"),"MT","BCM"))</f>
        <v/>
      </c>
      <c r="N1151" s="157">
        <f>IF($E1151="","",IF(OR($E1151="Coal",$E1151="Dirty Coal"),"Coal","OB"))</f>
        <v/>
      </c>
      <c r="O1151" s="157">
        <f>IF($F1151="","",IF(COUNTIF(MASTER_JAM!$A$5:$A$94,$C1151)=0,"Digger tidak dikenal",IF($J1151="","Hauler tidak dikenal",IF($H1151="?","Jam salah",IF($K1151=0,"Faktor kosong",IF(SUMIFS(INPUT_DELAY!$E$5:$E$20000,INPUT_DELAY!$A$5:$A$20000,$A1151,INPUT_DELAY!$B$5:$B$20000,$B1151,INPUT_DELAY!$C$5:$C$20000,$C1151)+SUMIFS(INPUT_DELAY!$E$5:$E$20000,INPUT_DELAY!$A$5:$A$20000,$A1151,INPUT_DELAY!$B$5:$B$20000,$B1151,INPUT_DELAY!$C$5:$C$20000,"SEMUA")&gt;=60,"Delay 60 mnt tapi ada ritase","OK"))))))</f>
        <v/>
      </c>
      <c r="P1151" s="158">
        <f>IFERROR(INDEX(MASTER_JAM!$Z$5:$AC$10,MATCH($I1151,MASTER_JAM!$Y$5:$Y$10,0),MATCH($J1151,MASTER_JAM!$Z$4:$AC$4,0))+0,0)</f>
        <v/>
      </c>
      <c r="Q1151" s="158">
        <f>IF($P1151=0,0,$P1151+IFERROR(INDEX(MASTER_JAM!$H$5:$H$94,MATCH($C1151,MASTER_JAM!$A$5:$A$94,0))+0,MASTER_JAM!$AC$15)/1000*(60/MASTER_JAM!$AC$12+60/MASTER_JAM!$AC$13)+MASTER_JAM!$AC$14)</f>
        <v/>
      </c>
      <c r="R1151" s="158">
        <f>IF(N($F1151)=0,0,$F1151/SUMIFS(INPUT_RITASE!$F$5:$F$20000,INPUT_RITASE!$A$5:$A$20000,$A1151,INPUT_RITASE!$B$5:$B$20000,$B1151,INPUT_RITASE!$C$5:$C$20000,$C1151,INPUT_RITASE!$D$5:$D$20000,$D1151))</f>
        <v/>
      </c>
      <c r="S1151" s="158">
        <f>IF($Q1151=0,0,$R1151*$P1151/$Q1151)</f>
        <v/>
      </c>
    </row>
    <row r="1152">
      <c r="A1152" s="155" t="n">
        <v>46108</v>
      </c>
      <c r="B1152" s="156" t="inlineStr">
        <is>
          <t>09-10</t>
        </is>
      </c>
      <c r="C1152" s="156" t="inlineStr">
        <is>
          <t>EX-1251</t>
        </is>
      </c>
      <c r="D1152" s="156" t="inlineStr">
        <is>
          <t>DT-503</t>
        </is>
      </c>
      <c r="E1152" s="156" t="inlineStr">
        <is>
          <t>OB</t>
        </is>
      </c>
      <c r="F1152" s="156" t="n">
        <v>4</v>
      </c>
      <c r="G1152" s="156" t="inlineStr"/>
      <c r="H1152" s="157">
        <f>IF($B1152="","",IF(ISNA(MATCH($B1152,MASTER_JAM!$Q$5:$Q$28,0)),"?",IF(MATCH($B1152,MASTER_JAM!$Q$5:$Q$28,0)&lt;=12,"DS","NS")))</f>
        <v/>
      </c>
      <c r="I1152" s="157">
        <f>IFERROR(INDEX(MASTER_JAM!$B$5:$B$94,MATCH($C1152,MASTER_JAM!$A$5:$A$94,0)),"")</f>
        <v/>
      </c>
      <c r="J1152" s="157">
        <f>IFERROR(INDEX(MASTER_JAM!$E$5:$E$94,MATCH($D1152,MASTER_JAM!$A$5:$A$94,0)),"")</f>
        <v/>
      </c>
      <c r="K1152" s="158">
        <f>IFERROR(INDEX(MASTER_JAM!$J$5:$O$12,MATCH($E1152,MASTER_JAM!$I$5:$I$12,0),MATCH($J1152,MASTER_JAM!$J$4:$O$4,0))+0,0)</f>
        <v/>
      </c>
      <c r="L1152" s="159">
        <f>N($F1152)*$K1152</f>
        <v/>
      </c>
      <c r="M1152" s="157">
        <f>IF($E1152="","",IF(OR($E1152="Coal",$E1152="Dirty Coal"),"MT","BCM"))</f>
        <v/>
      </c>
      <c r="N1152" s="157">
        <f>IF($E1152="","",IF(OR($E1152="Coal",$E1152="Dirty Coal"),"Coal","OB"))</f>
        <v/>
      </c>
      <c r="O1152" s="157">
        <f>IF($F1152="","",IF(COUNTIF(MASTER_JAM!$A$5:$A$94,$C1152)=0,"Digger tidak dikenal",IF($J1152="","Hauler tidak dikenal",IF($H1152="?","Jam salah",IF($K1152=0,"Faktor kosong",IF(SUMIFS(INPUT_DELAY!$E$5:$E$20000,INPUT_DELAY!$A$5:$A$20000,$A1152,INPUT_DELAY!$B$5:$B$20000,$B1152,INPUT_DELAY!$C$5:$C$20000,$C1152)+SUMIFS(INPUT_DELAY!$E$5:$E$20000,INPUT_DELAY!$A$5:$A$20000,$A1152,INPUT_DELAY!$B$5:$B$20000,$B1152,INPUT_DELAY!$C$5:$C$20000,"SEMUA")&gt;=60,"Delay 60 mnt tapi ada ritase","OK"))))))</f>
        <v/>
      </c>
      <c r="P1152" s="158">
        <f>IFERROR(INDEX(MASTER_JAM!$Z$5:$AC$10,MATCH($I1152,MASTER_JAM!$Y$5:$Y$10,0),MATCH($J1152,MASTER_JAM!$Z$4:$AC$4,0))+0,0)</f>
        <v/>
      </c>
      <c r="Q1152" s="158">
        <f>IF($P1152=0,0,$P1152+IFERROR(INDEX(MASTER_JAM!$H$5:$H$94,MATCH($C1152,MASTER_JAM!$A$5:$A$94,0))+0,MASTER_JAM!$AC$15)/1000*(60/MASTER_JAM!$AC$12+60/MASTER_JAM!$AC$13)+MASTER_JAM!$AC$14)</f>
        <v/>
      </c>
      <c r="R1152" s="158">
        <f>IF(N($F1152)=0,0,$F1152/SUMIFS(INPUT_RITASE!$F$5:$F$20000,INPUT_RITASE!$A$5:$A$20000,$A1152,INPUT_RITASE!$B$5:$B$20000,$B1152,INPUT_RITASE!$C$5:$C$20000,$C1152,INPUT_RITASE!$D$5:$D$20000,$D1152))</f>
        <v/>
      </c>
      <c r="S1152" s="158">
        <f>IF($Q1152=0,0,$R1152*$P1152/$Q1152)</f>
        <v/>
      </c>
    </row>
    <row r="1153">
      <c r="A1153" s="155" t="n">
        <v>46108</v>
      </c>
      <c r="B1153" s="156" t="inlineStr">
        <is>
          <t>09-10</t>
        </is>
      </c>
      <c r="C1153" s="156" t="inlineStr">
        <is>
          <t>EX-1251</t>
        </is>
      </c>
      <c r="D1153" s="156" t="inlineStr">
        <is>
          <t>DT-522</t>
        </is>
      </c>
      <c r="E1153" s="156" t="inlineStr">
        <is>
          <t>OB</t>
        </is>
      </c>
      <c r="F1153" s="156" t="n">
        <v>3</v>
      </c>
      <c r="G1153" s="156" t="inlineStr"/>
      <c r="H1153" s="157">
        <f>IF($B1153="","",IF(ISNA(MATCH($B1153,MASTER_JAM!$Q$5:$Q$28,0)),"?",IF(MATCH($B1153,MASTER_JAM!$Q$5:$Q$28,0)&lt;=12,"DS","NS")))</f>
        <v/>
      </c>
      <c r="I1153" s="157">
        <f>IFERROR(INDEX(MASTER_JAM!$B$5:$B$94,MATCH($C1153,MASTER_JAM!$A$5:$A$94,0)),"")</f>
        <v/>
      </c>
      <c r="J1153" s="157">
        <f>IFERROR(INDEX(MASTER_JAM!$E$5:$E$94,MATCH($D1153,MASTER_JAM!$A$5:$A$94,0)),"")</f>
        <v/>
      </c>
      <c r="K1153" s="158">
        <f>IFERROR(INDEX(MASTER_JAM!$J$5:$O$12,MATCH($E1153,MASTER_JAM!$I$5:$I$12,0),MATCH($J1153,MASTER_JAM!$J$4:$O$4,0))+0,0)</f>
        <v/>
      </c>
      <c r="L1153" s="159">
        <f>N($F1153)*$K1153</f>
        <v/>
      </c>
      <c r="M1153" s="157">
        <f>IF($E1153="","",IF(OR($E1153="Coal",$E1153="Dirty Coal"),"MT","BCM"))</f>
        <v/>
      </c>
      <c r="N1153" s="157">
        <f>IF($E1153="","",IF(OR($E1153="Coal",$E1153="Dirty Coal"),"Coal","OB"))</f>
        <v/>
      </c>
      <c r="O1153" s="157">
        <f>IF($F1153="","",IF(COUNTIF(MASTER_JAM!$A$5:$A$94,$C1153)=0,"Digger tidak dikenal",IF($J1153="","Hauler tidak dikenal",IF($H1153="?","Jam salah",IF($K1153=0,"Faktor kosong",IF(SUMIFS(INPUT_DELAY!$E$5:$E$20000,INPUT_DELAY!$A$5:$A$20000,$A1153,INPUT_DELAY!$B$5:$B$20000,$B1153,INPUT_DELAY!$C$5:$C$20000,$C1153)+SUMIFS(INPUT_DELAY!$E$5:$E$20000,INPUT_DELAY!$A$5:$A$20000,$A1153,INPUT_DELAY!$B$5:$B$20000,$B1153,INPUT_DELAY!$C$5:$C$20000,"SEMUA")&gt;=60,"Delay 60 mnt tapi ada ritase","OK"))))))</f>
        <v/>
      </c>
      <c r="P1153" s="158">
        <f>IFERROR(INDEX(MASTER_JAM!$Z$5:$AC$10,MATCH($I1153,MASTER_JAM!$Y$5:$Y$10,0),MATCH($J1153,MASTER_JAM!$Z$4:$AC$4,0))+0,0)</f>
        <v/>
      </c>
      <c r="Q1153" s="158">
        <f>IF($P1153=0,0,$P1153+IFERROR(INDEX(MASTER_JAM!$H$5:$H$94,MATCH($C1153,MASTER_JAM!$A$5:$A$94,0))+0,MASTER_JAM!$AC$15)/1000*(60/MASTER_JAM!$AC$12+60/MASTER_JAM!$AC$13)+MASTER_JAM!$AC$14)</f>
        <v/>
      </c>
      <c r="R1153" s="158">
        <f>IF(N($F1153)=0,0,$F1153/SUMIFS(INPUT_RITASE!$F$5:$F$20000,INPUT_RITASE!$A$5:$A$20000,$A1153,INPUT_RITASE!$B$5:$B$20000,$B1153,INPUT_RITASE!$C$5:$C$20000,$C1153,INPUT_RITASE!$D$5:$D$20000,$D1153))</f>
        <v/>
      </c>
      <c r="S1153" s="158">
        <f>IF($Q1153=0,0,$R1153*$P1153/$Q1153)</f>
        <v/>
      </c>
    </row>
    <row r="1154">
      <c r="A1154" s="155" t="n">
        <v>46108</v>
      </c>
      <c r="B1154" s="156" t="inlineStr">
        <is>
          <t>09-10</t>
        </is>
      </c>
      <c r="C1154" s="156" t="inlineStr">
        <is>
          <t>EX-1251</t>
        </is>
      </c>
      <c r="D1154" s="156" t="inlineStr">
        <is>
          <t>DT-511</t>
        </is>
      </c>
      <c r="E1154" s="156" t="inlineStr">
        <is>
          <t>OB</t>
        </is>
      </c>
      <c r="F1154" s="156" t="n">
        <v>3</v>
      </c>
      <c r="G1154" s="156" t="inlineStr"/>
      <c r="H1154" s="157">
        <f>IF($B1154="","",IF(ISNA(MATCH($B1154,MASTER_JAM!$Q$5:$Q$28,0)),"?",IF(MATCH($B1154,MASTER_JAM!$Q$5:$Q$28,0)&lt;=12,"DS","NS")))</f>
        <v/>
      </c>
      <c r="I1154" s="157">
        <f>IFERROR(INDEX(MASTER_JAM!$B$5:$B$94,MATCH($C1154,MASTER_JAM!$A$5:$A$94,0)),"")</f>
        <v/>
      </c>
      <c r="J1154" s="157">
        <f>IFERROR(INDEX(MASTER_JAM!$E$5:$E$94,MATCH($D1154,MASTER_JAM!$A$5:$A$94,0)),"")</f>
        <v/>
      </c>
      <c r="K1154" s="158">
        <f>IFERROR(INDEX(MASTER_JAM!$J$5:$O$12,MATCH($E1154,MASTER_JAM!$I$5:$I$12,0),MATCH($J1154,MASTER_JAM!$J$4:$O$4,0))+0,0)</f>
        <v/>
      </c>
      <c r="L1154" s="159">
        <f>N($F1154)*$K1154</f>
        <v/>
      </c>
      <c r="M1154" s="157">
        <f>IF($E1154="","",IF(OR($E1154="Coal",$E1154="Dirty Coal"),"MT","BCM"))</f>
        <v/>
      </c>
      <c r="N1154" s="157">
        <f>IF($E1154="","",IF(OR($E1154="Coal",$E1154="Dirty Coal"),"Coal","OB"))</f>
        <v/>
      </c>
      <c r="O1154" s="157">
        <f>IF($F1154="","",IF(COUNTIF(MASTER_JAM!$A$5:$A$94,$C1154)=0,"Digger tidak dikenal",IF($J1154="","Hauler tidak dikenal",IF($H1154="?","Jam salah",IF($K1154=0,"Faktor kosong",IF(SUMIFS(INPUT_DELAY!$E$5:$E$20000,INPUT_DELAY!$A$5:$A$20000,$A1154,INPUT_DELAY!$B$5:$B$20000,$B1154,INPUT_DELAY!$C$5:$C$20000,$C1154)+SUMIFS(INPUT_DELAY!$E$5:$E$20000,INPUT_DELAY!$A$5:$A$20000,$A1154,INPUT_DELAY!$B$5:$B$20000,$B1154,INPUT_DELAY!$C$5:$C$20000,"SEMUA")&gt;=60,"Delay 60 mnt tapi ada ritase","OK"))))))</f>
        <v/>
      </c>
      <c r="P1154" s="158">
        <f>IFERROR(INDEX(MASTER_JAM!$Z$5:$AC$10,MATCH($I1154,MASTER_JAM!$Y$5:$Y$10,0),MATCH($J1154,MASTER_JAM!$Z$4:$AC$4,0))+0,0)</f>
        <v/>
      </c>
      <c r="Q1154" s="158">
        <f>IF($P1154=0,0,$P1154+IFERROR(INDEX(MASTER_JAM!$H$5:$H$94,MATCH($C1154,MASTER_JAM!$A$5:$A$94,0))+0,MASTER_JAM!$AC$15)/1000*(60/MASTER_JAM!$AC$12+60/MASTER_JAM!$AC$13)+MASTER_JAM!$AC$14)</f>
        <v/>
      </c>
      <c r="R1154" s="158">
        <f>IF(N($F1154)=0,0,$F1154/SUMIFS(INPUT_RITASE!$F$5:$F$20000,INPUT_RITASE!$A$5:$A$20000,$A1154,INPUT_RITASE!$B$5:$B$20000,$B1154,INPUT_RITASE!$C$5:$C$20000,$C1154,INPUT_RITASE!$D$5:$D$20000,$D1154))</f>
        <v/>
      </c>
      <c r="S1154" s="158">
        <f>IF($Q1154=0,0,$R1154*$P1154/$Q1154)</f>
        <v/>
      </c>
    </row>
    <row r="1155">
      <c r="A1155" s="155" t="n">
        <v>46108</v>
      </c>
      <c r="B1155" s="156" t="inlineStr">
        <is>
          <t>09-10</t>
        </is>
      </c>
      <c r="C1155" s="156" t="inlineStr">
        <is>
          <t>EX-1251</t>
        </is>
      </c>
      <c r="D1155" s="156" t="inlineStr">
        <is>
          <t>DT-527</t>
        </is>
      </c>
      <c r="E1155" s="156" t="inlineStr">
        <is>
          <t>OB</t>
        </is>
      </c>
      <c r="F1155" s="156" t="n">
        <v>3</v>
      </c>
      <c r="G1155" s="156" t="inlineStr"/>
      <c r="H1155" s="157">
        <f>IF($B1155="","",IF(ISNA(MATCH($B1155,MASTER_JAM!$Q$5:$Q$28,0)),"?",IF(MATCH($B1155,MASTER_JAM!$Q$5:$Q$28,0)&lt;=12,"DS","NS")))</f>
        <v/>
      </c>
      <c r="I1155" s="157">
        <f>IFERROR(INDEX(MASTER_JAM!$B$5:$B$94,MATCH($C1155,MASTER_JAM!$A$5:$A$94,0)),"")</f>
        <v/>
      </c>
      <c r="J1155" s="157">
        <f>IFERROR(INDEX(MASTER_JAM!$E$5:$E$94,MATCH($D1155,MASTER_JAM!$A$5:$A$94,0)),"")</f>
        <v/>
      </c>
      <c r="K1155" s="158">
        <f>IFERROR(INDEX(MASTER_JAM!$J$5:$O$12,MATCH($E1155,MASTER_JAM!$I$5:$I$12,0),MATCH($J1155,MASTER_JAM!$J$4:$O$4,0))+0,0)</f>
        <v/>
      </c>
      <c r="L1155" s="159">
        <f>N($F1155)*$K1155</f>
        <v/>
      </c>
      <c r="M1155" s="157">
        <f>IF($E1155="","",IF(OR($E1155="Coal",$E1155="Dirty Coal"),"MT","BCM"))</f>
        <v/>
      </c>
      <c r="N1155" s="157">
        <f>IF($E1155="","",IF(OR($E1155="Coal",$E1155="Dirty Coal"),"Coal","OB"))</f>
        <v/>
      </c>
      <c r="O1155" s="157">
        <f>IF($F1155="","",IF(COUNTIF(MASTER_JAM!$A$5:$A$94,$C1155)=0,"Digger tidak dikenal",IF($J1155="","Hauler tidak dikenal",IF($H1155="?","Jam salah",IF($K1155=0,"Faktor kosong",IF(SUMIFS(INPUT_DELAY!$E$5:$E$20000,INPUT_DELAY!$A$5:$A$20000,$A1155,INPUT_DELAY!$B$5:$B$20000,$B1155,INPUT_DELAY!$C$5:$C$20000,$C1155)+SUMIFS(INPUT_DELAY!$E$5:$E$20000,INPUT_DELAY!$A$5:$A$20000,$A1155,INPUT_DELAY!$B$5:$B$20000,$B1155,INPUT_DELAY!$C$5:$C$20000,"SEMUA")&gt;=60,"Delay 60 mnt tapi ada ritase","OK"))))))</f>
        <v/>
      </c>
      <c r="P1155" s="158">
        <f>IFERROR(INDEX(MASTER_JAM!$Z$5:$AC$10,MATCH($I1155,MASTER_JAM!$Y$5:$Y$10,0),MATCH($J1155,MASTER_JAM!$Z$4:$AC$4,0))+0,0)</f>
        <v/>
      </c>
      <c r="Q1155" s="158">
        <f>IF($P1155=0,0,$P1155+IFERROR(INDEX(MASTER_JAM!$H$5:$H$94,MATCH($C1155,MASTER_JAM!$A$5:$A$94,0))+0,MASTER_JAM!$AC$15)/1000*(60/MASTER_JAM!$AC$12+60/MASTER_JAM!$AC$13)+MASTER_JAM!$AC$14)</f>
        <v/>
      </c>
      <c r="R1155" s="158">
        <f>IF(N($F1155)=0,0,$F1155/SUMIFS(INPUT_RITASE!$F$5:$F$20000,INPUT_RITASE!$A$5:$A$20000,$A1155,INPUT_RITASE!$B$5:$B$20000,$B1155,INPUT_RITASE!$C$5:$C$20000,$C1155,INPUT_RITASE!$D$5:$D$20000,$D1155))</f>
        <v/>
      </c>
      <c r="S1155" s="158">
        <f>IF($Q1155=0,0,$R1155*$P1155/$Q1155)</f>
        <v/>
      </c>
    </row>
    <row r="1156">
      <c r="A1156" s="155" t="n">
        <v>46108</v>
      </c>
      <c r="B1156" s="156" t="inlineStr">
        <is>
          <t>10-11</t>
        </is>
      </c>
      <c r="C1156" s="156" t="inlineStr">
        <is>
          <t>EX-1251</t>
        </is>
      </c>
      <c r="D1156" s="156" t="inlineStr">
        <is>
          <t>DT-506</t>
        </is>
      </c>
      <c r="E1156" s="156" t="inlineStr">
        <is>
          <t>OB</t>
        </is>
      </c>
      <c r="F1156" s="156" t="n">
        <v>4</v>
      </c>
      <c r="G1156" s="156" t="inlineStr"/>
      <c r="H1156" s="157">
        <f>IF($B1156="","",IF(ISNA(MATCH($B1156,MASTER_JAM!$Q$5:$Q$28,0)),"?",IF(MATCH($B1156,MASTER_JAM!$Q$5:$Q$28,0)&lt;=12,"DS","NS")))</f>
        <v/>
      </c>
      <c r="I1156" s="157">
        <f>IFERROR(INDEX(MASTER_JAM!$B$5:$B$94,MATCH($C1156,MASTER_JAM!$A$5:$A$94,0)),"")</f>
        <v/>
      </c>
      <c r="J1156" s="157">
        <f>IFERROR(INDEX(MASTER_JAM!$E$5:$E$94,MATCH($D1156,MASTER_JAM!$A$5:$A$94,0)),"")</f>
        <v/>
      </c>
      <c r="K1156" s="158">
        <f>IFERROR(INDEX(MASTER_JAM!$J$5:$O$12,MATCH($E1156,MASTER_JAM!$I$5:$I$12,0),MATCH($J1156,MASTER_JAM!$J$4:$O$4,0))+0,0)</f>
        <v/>
      </c>
      <c r="L1156" s="159">
        <f>N($F1156)*$K1156</f>
        <v/>
      </c>
      <c r="M1156" s="157">
        <f>IF($E1156="","",IF(OR($E1156="Coal",$E1156="Dirty Coal"),"MT","BCM"))</f>
        <v/>
      </c>
      <c r="N1156" s="157">
        <f>IF($E1156="","",IF(OR($E1156="Coal",$E1156="Dirty Coal"),"Coal","OB"))</f>
        <v/>
      </c>
      <c r="O1156" s="157">
        <f>IF($F1156="","",IF(COUNTIF(MASTER_JAM!$A$5:$A$94,$C1156)=0,"Digger tidak dikenal",IF($J1156="","Hauler tidak dikenal",IF($H1156="?","Jam salah",IF($K1156=0,"Faktor kosong",IF(SUMIFS(INPUT_DELAY!$E$5:$E$20000,INPUT_DELAY!$A$5:$A$20000,$A1156,INPUT_DELAY!$B$5:$B$20000,$B1156,INPUT_DELAY!$C$5:$C$20000,$C1156)+SUMIFS(INPUT_DELAY!$E$5:$E$20000,INPUT_DELAY!$A$5:$A$20000,$A1156,INPUT_DELAY!$B$5:$B$20000,$B1156,INPUT_DELAY!$C$5:$C$20000,"SEMUA")&gt;=60,"Delay 60 mnt tapi ada ritase","OK"))))))</f>
        <v/>
      </c>
      <c r="P1156" s="158">
        <f>IFERROR(INDEX(MASTER_JAM!$Z$5:$AC$10,MATCH($I1156,MASTER_JAM!$Y$5:$Y$10,0),MATCH($J1156,MASTER_JAM!$Z$4:$AC$4,0))+0,0)</f>
        <v/>
      </c>
      <c r="Q1156" s="158">
        <f>IF($P1156=0,0,$P1156+IFERROR(INDEX(MASTER_JAM!$H$5:$H$94,MATCH($C1156,MASTER_JAM!$A$5:$A$94,0))+0,MASTER_JAM!$AC$15)/1000*(60/MASTER_JAM!$AC$12+60/MASTER_JAM!$AC$13)+MASTER_JAM!$AC$14)</f>
        <v/>
      </c>
      <c r="R1156" s="158">
        <f>IF(N($F1156)=0,0,$F1156/SUMIFS(INPUT_RITASE!$F$5:$F$20000,INPUT_RITASE!$A$5:$A$20000,$A1156,INPUT_RITASE!$B$5:$B$20000,$B1156,INPUT_RITASE!$C$5:$C$20000,$C1156,INPUT_RITASE!$D$5:$D$20000,$D1156))</f>
        <v/>
      </c>
      <c r="S1156" s="158">
        <f>IF($Q1156=0,0,$R1156*$P1156/$Q1156)</f>
        <v/>
      </c>
    </row>
    <row r="1157">
      <c r="A1157" s="155" t="n">
        <v>46108</v>
      </c>
      <c r="B1157" s="156" t="inlineStr">
        <is>
          <t>10-11</t>
        </is>
      </c>
      <c r="C1157" s="156" t="inlineStr">
        <is>
          <t>EX-1251</t>
        </is>
      </c>
      <c r="D1157" s="156" t="inlineStr">
        <is>
          <t>DT-502</t>
        </is>
      </c>
      <c r="E1157" s="156" t="inlineStr">
        <is>
          <t>OB</t>
        </is>
      </c>
      <c r="F1157" s="156" t="n">
        <v>4</v>
      </c>
      <c r="G1157" s="156" t="inlineStr"/>
      <c r="H1157" s="157">
        <f>IF($B1157="","",IF(ISNA(MATCH($B1157,MASTER_JAM!$Q$5:$Q$28,0)),"?",IF(MATCH($B1157,MASTER_JAM!$Q$5:$Q$28,0)&lt;=12,"DS","NS")))</f>
        <v/>
      </c>
      <c r="I1157" s="157">
        <f>IFERROR(INDEX(MASTER_JAM!$B$5:$B$94,MATCH($C1157,MASTER_JAM!$A$5:$A$94,0)),"")</f>
        <v/>
      </c>
      <c r="J1157" s="157">
        <f>IFERROR(INDEX(MASTER_JAM!$E$5:$E$94,MATCH($D1157,MASTER_JAM!$A$5:$A$94,0)),"")</f>
        <v/>
      </c>
      <c r="K1157" s="158">
        <f>IFERROR(INDEX(MASTER_JAM!$J$5:$O$12,MATCH($E1157,MASTER_JAM!$I$5:$I$12,0),MATCH($J1157,MASTER_JAM!$J$4:$O$4,0))+0,0)</f>
        <v/>
      </c>
      <c r="L1157" s="159">
        <f>N($F1157)*$K1157</f>
        <v/>
      </c>
      <c r="M1157" s="157">
        <f>IF($E1157="","",IF(OR($E1157="Coal",$E1157="Dirty Coal"),"MT","BCM"))</f>
        <v/>
      </c>
      <c r="N1157" s="157">
        <f>IF($E1157="","",IF(OR($E1157="Coal",$E1157="Dirty Coal"),"Coal","OB"))</f>
        <v/>
      </c>
      <c r="O1157" s="157">
        <f>IF($F1157="","",IF(COUNTIF(MASTER_JAM!$A$5:$A$94,$C1157)=0,"Digger tidak dikenal",IF($J1157="","Hauler tidak dikenal",IF($H1157="?","Jam salah",IF($K1157=0,"Faktor kosong",IF(SUMIFS(INPUT_DELAY!$E$5:$E$20000,INPUT_DELAY!$A$5:$A$20000,$A1157,INPUT_DELAY!$B$5:$B$20000,$B1157,INPUT_DELAY!$C$5:$C$20000,$C1157)+SUMIFS(INPUT_DELAY!$E$5:$E$20000,INPUT_DELAY!$A$5:$A$20000,$A1157,INPUT_DELAY!$B$5:$B$20000,$B1157,INPUT_DELAY!$C$5:$C$20000,"SEMUA")&gt;=60,"Delay 60 mnt tapi ada ritase","OK"))))))</f>
        <v/>
      </c>
      <c r="P1157" s="158">
        <f>IFERROR(INDEX(MASTER_JAM!$Z$5:$AC$10,MATCH($I1157,MASTER_JAM!$Y$5:$Y$10,0),MATCH($J1157,MASTER_JAM!$Z$4:$AC$4,0))+0,0)</f>
        <v/>
      </c>
      <c r="Q1157" s="158">
        <f>IF($P1157=0,0,$P1157+IFERROR(INDEX(MASTER_JAM!$H$5:$H$94,MATCH($C1157,MASTER_JAM!$A$5:$A$94,0))+0,MASTER_JAM!$AC$15)/1000*(60/MASTER_JAM!$AC$12+60/MASTER_JAM!$AC$13)+MASTER_JAM!$AC$14)</f>
        <v/>
      </c>
      <c r="R1157" s="158">
        <f>IF(N($F1157)=0,0,$F1157/SUMIFS(INPUT_RITASE!$F$5:$F$20000,INPUT_RITASE!$A$5:$A$20000,$A1157,INPUT_RITASE!$B$5:$B$20000,$B1157,INPUT_RITASE!$C$5:$C$20000,$C1157,INPUT_RITASE!$D$5:$D$20000,$D1157))</f>
        <v/>
      </c>
      <c r="S1157" s="158">
        <f>IF($Q1157=0,0,$R1157*$P1157/$Q1157)</f>
        <v/>
      </c>
    </row>
    <row r="1158">
      <c r="A1158" s="155" t="n">
        <v>46108</v>
      </c>
      <c r="B1158" s="156" t="inlineStr">
        <is>
          <t>10-11</t>
        </is>
      </c>
      <c r="C1158" s="156" t="inlineStr">
        <is>
          <t>EX-1251</t>
        </is>
      </c>
      <c r="D1158" s="156" t="inlineStr">
        <is>
          <t>DT-508</t>
        </is>
      </c>
      <c r="E1158" s="156" t="inlineStr">
        <is>
          <t>OB</t>
        </is>
      </c>
      <c r="F1158" s="156" t="n">
        <v>3</v>
      </c>
      <c r="G1158" s="156" t="inlineStr"/>
      <c r="H1158" s="157">
        <f>IF($B1158="","",IF(ISNA(MATCH($B1158,MASTER_JAM!$Q$5:$Q$28,0)),"?",IF(MATCH($B1158,MASTER_JAM!$Q$5:$Q$28,0)&lt;=12,"DS","NS")))</f>
        <v/>
      </c>
      <c r="I1158" s="157">
        <f>IFERROR(INDEX(MASTER_JAM!$B$5:$B$94,MATCH($C1158,MASTER_JAM!$A$5:$A$94,0)),"")</f>
        <v/>
      </c>
      <c r="J1158" s="157">
        <f>IFERROR(INDEX(MASTER_JAM!$E$5:$E$94,MATCH($D1158,MASTER_JAM!$A$5:$A$94,0)),"")</f>
        <v/>
      </c>
      <c r="K1158" s="158">
        <f>IFERROR(INDEX(MASTER_JAM!$J$5:$O$12,MATCH($E1158,MASTER_JAM!$I$5:$I$12,0),MATCH($J1158,MASTER_JAM!$J$4:$O$4,0))+0,0)</f>
        <v/>
      </c>
      <c r="L1158" s="159">
        <f>N($F1158)*$K1158</f>
        <v/>
      </c>
      <c r="M1158" s="157">
        <f>IF($E1158="","",IF(OR($E1158="Coal",$E1158="Dirty Coal"),"MT","BCM"))</f>
        <v/>
      </c>
      <c r="N1158" s="157">
        <f>IF($E1158="","",IF(OR($E1158="Coal",$E1158="Dirty Coal"),"Coal","OB"))</f>
        <v/>
      </c>
      <c r="O1158" s="157">
        <f>IF($F1158="","",IF(COUNTIF(MASTER_JAM!$A$5:$A$94,$C1158)=0,"Digger tidak dikenal",IF($J1158="","Hauler tidak dikenal",IF($H1158="?","Jam salah",IF($K1158=0,"Faktor kosong",IF(SUMIFS(INPUT_DELAY!$E$5:$E$20000,INPUT_DELAY!$A$5:$A$20000,$A1158,INPUT_DELAY!$B$5:$B$20000,$B1158,INPUT_DELAY!$C$5:$C$20000,$C1158)+SUMIFS(INPUT_DELAY!$E$5:$E$20000,INPUT_DELAY!$A$5:$A$20000,$A1158,INPUT_DELAY!$B$5:$B$20000,$B1158,INPUT_DELAY!$C$5:$C$20000,"SEMUA")&gt;=60,"Delay 60 mnt tapi ada ritase","OK"))))))</f>
        <v/>
      </c>
      <c r="P1158" s="158">
        <f>IFERROR(INDEX(MASTER_JAM!$Z$5:$AC$10,MATCH($I1158,MASTER_JAM!$Y$5:$Y$10,0),MATCH($J1158,MASTER_JAM!$Z$4:$AC$4,0))+0,0)</f>
        <v/>
      </c>
      <c r="Q1158" s="158">
        <f>IF($P1158=0,0,$P1158+IFERROR(INDEX(MASTER_JAM!$H$5:$H$94,MATCH($C1158,MASTER_JAM!$A$5:$A$94,0))+0,MASTER_JAM!$AC$15)/1000*(60/MASTER_JAM!$AC$12+60/MASTER_JAM!$AC$13)+MASTER_JAM!$AC$14)</f>
        <v/>
      </c>
      <c r="R1158" s="158">
        <f>IF(N($F1158)=0,0,$F1158/SUMIFS(INPUT_RITASE!$F$5:$F$20000,INPUT_RITASE!$A$5:$A$20000,$A1158,INPUT_RITASE!$B$5:$B$20000,$B1158,INPUT_RITASE!$C$5:$C$20000,$C1158,INPUT_RITASE!$D$5:$D$20000,$D1158))</f>
        <v/>
      </c>
      <c r="S1158" s="158">
        <f>IF($Q1158=0,0,$R1158*$P1158/$Q1158)</f>
        <v/>
      </c>
    </row>
    <row r="1159">
      <c r="A1159" s="155" t="n">
        <v>46108</v>
      </c>
      <c r="B1159" s="156" t="inlineStr">
        <is>
          <t>10-11</t>
        </is>
      </c>
      <c r="C1159" s="156" t="inlineStr">
        <is>
          <t>EX-1251</t>
        </is>
      </c>
      <c r="D1159" s="156" t="inlineStr">
        <is>
          <t>DT-516</t>
        </is>
      </c>
      <c r="E1159" s="156" t="inlineStr">
        <is>
          <t>OB</t>
        </is>
      </c>
      <c r="F1159" s="156" t="n">
        <v>3</v>
      </c>
      <c r="G1159" s="156" t="inlineStr"/>
      <c r="H1159" s="157">
        <f>IF($B1159="","",IF(ISNA(MATCH($B1159,MASTER_JAM!$Q$5:$Q$28,0)),"?",IF(MATCH($B1159,MASTER_JAM!$Q$5:$Q$28,0)&lt;=12,"DS","NS")))</f>
        <v/>
      </c>
      <c r="I1159" s="157">
        <f>IFERROR(INDEX(MASTER_JAM!$B$5:$B$94,MATCH($C1159,MASTER_JAM!$A$5:$A$94,0)),"")</f>
        <v/>
      </c>
      <c r="J1159" s="157">
        <f>IFERROR(INDEX(MASTER_JAM!$E$5:$E$94,MATCH($D1159,MASTER_JAM!$A$5:$A$94,0)),"")</f>
        <v/>
      </c>
      <c r="K1159" s="158">
        <f>IFERROR(INDEX(MASTER_JAM!$J$5:$O$12,MATCH($E1159,MASTER_JAM!$I$5:$I$12,0),MATCH($J1159,MASTER_JAM!$J$4:$O$4,0))+0,0)</f>
        <v/>
      </c>
      <c r="L1159" s="159">
        <f>N($F1159)*$K1159</f>
        <v/>
      </c>
      <c r="M1159" s="157">
        <f>IF($E1159="","",IF(OR($E1159="Coal",$E1159="Dirty Coal"),"MT","BCM"))</f>
        <v/>
      </c>
      <c r="N1159" s="157">
        <f>IF($E1159="","",IF(OR($E1159="Coal",$E1159="Dirty Coal"),"Coal","OB"))</f>
        <v/>
      </c>
      <c r="O1159" s="157">
        <f>IF($F1159="","",IF(COUNTIF(MASTER_JAM!$A$5:$A$94,$C1159)=0,"Digger tidak dikenal",IF($J1159="","Hauler tidak dikenal",IF($H1159="?","Jam salah",IF($K1159=0,"Faktor kosong",IF(SUMIFS(INPUT_DELAY!$E$5:$E$20000,INPUT_DELAY!$A$5:$A$20000,$A1159,INPUT_DELAY!$B$5:$B$20000,$B1159,INPUT_DELAY!$C$5:$C$20000,$C1159)+SUMIFS(INPUT_DELAY!$E$5:$E$20000,INPUT_DELAY!$A$5:$A$20000,$A1159,INPUT_DELAY!$B$5:$B$20000,$B1159,INPUT_DELAY!$C$5:$C$20000,"SEMUA")&gt;=60,"Delay 60 mnt tapi ada ritase","OK"))))))</f>
        <v/>
      </c>
      <c r="P1159" s="158">
        <f>IFERROR(INDEX(MASTER_JAM!$Z$5:$AC$10,MATCH($I1159,MASTER_JAM!$Y$5:$Y$10,0),MATCH($J1159,MASTER_JAM!$Z$4:$AC$4,0))+0,0)</f>
        <v/>
      </c>
      <c r="Q1159" s="158">
        <f>IF($P1159=0,0,$P1159+IFERROR(INDEX(MASTER_JAM!$H$5:$H$94,MATCH($C1159,MASTER_JAM!$A$5:$A$94,0))+0,MASTER_JAM!$AC$15)/1000*(60/MASTER_JAM!$AC$12+60/MASTER_JAM!$AC$13)+MASTER_JAM!$AC$14)</f>
        <v/>
      </c>
      <c r="R1159" s="158">
        <f>IF(N($F1159)=0,0,$F1159/SUMIFS(INPUT_RITASE!$F$5:$F$20000,INPUT_RITASE!$A$5:$A$20000,$A1159,INPUT_RITASE!$B$5:$B$20000,$B1159,INPUT_RITASE!$C$5:$C$20000,$C1159,INPUT_RITASE!$D$5:$D$20000,$D1159))</f>
        <v/>
      </c>
      <c r="S1159" s="158">
        <f>IF($Q1159=0,0,$R1159*$P1159/$Q1159)</f>
        <v/>
      </c>
    </row>
    <row r="1160">
      <c r="A1160" s="155" t="n">
        <v>46108</v>
      </c>
      <c r="B1160" s="156" t="inlineStr">
        <is>
          <t>10-11</t>
        </is>
      </c>
      <c r="C1160" s="156" t="inlineStr">
        <is>
          <t>EX-1251</t>
        </is>
      </c>
      <c r="D1160" s="156" t="inlineStr">
        <is>
          <t>DT-517</t>
        </is>
      </c>
      <c r="E1160" s="156" t="inlineStr">
        <is>
          <t>OB</t>
        </is>
      </c>
      <c r="F1160" s="156" t="n">
        <v>3</v>
      </c>
      <c r="G1160" s="156" t="inlineStr"/>
      <c r="H1160" s="157">
        <f>IF($B1160="","",IF(ISNA(MATCH($B1160,MASTER_JAM!$Q$5:$Q$28,0)),"?",IF(MATCH($B1160,MASTER_JAM!$Q$5:$Q$28,0)&lt;=12,"DS","NS")))</f>
        <v/>
      </c>
      <c r="I1160" s="157">
        <f>IFERROR(INDEX(MASTER_JAM!$B$5:$B$94,MATCH($C1160,MASTER_JAM!$A$5:$A$94,0)),"")</f>
        <v/>
      </c>
      <c r="J1160" s="157">
        <f>IFERROR(INDEX(MASTER_JAM!$E$5:$E$94,MATCH($D1160,MASTER_JAM!$A$5:$A$94,0)),"")</f>
        <v/>
      </c>
      <c r="K1160" s="158">
        <f>IFERROR(INDEX(MASTER_JAM!$J$5:$O$12,MATCH($E1160,MASTER_JAM!$I$5:$I$12,0),MATCH($J1160,MASTER_JAM!$J$4:$O$4,0))+0,0)</f>
        <v/>
      </c>
      <c r="L1160" s="159">
        <f>N($F1160)*$K1160</f>
        <v/>
      </c>
      <c r="M1160" s="157">
        <f>IF($E1160="","",IF(OR($E1160="Coal",$E1160="Dirty Coal"),"MT","BCM"))</f>
        <v/>
      </c>
      <c r="N1160" s="157">
        <f>IF($E1160="","",IF(OR($E1160="Coal",$E1160="Dirty Coal"),"Coal","OB"))</f>
        <v/>
      </c>
      <c r="O1160" s="157">
        <f>IF($F1160="","",IF(COUNTIF(MASTER_JAM!$A$5:$A$94,$C1160)=0,"Digger tidak dikenal",IF($J1160="","Hauler tidak dikenal",IF($H1160="?","Jam salah",IF($K1160=0,"Faktor kosong",IF(SUMIFS(INPUT_DELAY!$E$5:$E$20000,INPUT_DELAY!$A$5:$A$20000,$A1160,INPUT_DELAY!$B$5:$B$20000,$B1160,INPUT_DELAY!$C$5:$C$20000,$C1160)+SUMIFS(INPUT_DELAY!$E$5:$E$20000,INPUT_DELAY!$A$5:$A$20000,$A1160,INPUT_DELAY!$B$5:$B$20000,$B1160,INPUT_DELAY!$C$5:$C$20000,"SEMUA")&gt;=60,"Delay 60 mnt tapi ada ritase","OK"))))))</f>
        <v/>
      </c>
      <c r="P1160" s="158">
        <f>IFERROR(INDEX(MASTER_JAM!$Z$5:$AC$10,MATCH($I1160,MASTER_JAM!$Y$5:$Y$10,0),MATCH($J1160,MASTER_JAM!$Z$4:$AC$4,0))+0,0)</f>
        <v/>
      </c>
      <c r="Q1160" s="158">
        <f>IF($P1160=0,0,$P1160+IFERROR(INDEX(MASTER_JAM!$H$5:$H$94,MATCH($C1160,MASTER_JAM!$A$5:$A$94,0))+0,MASTER_JAM!$AC$15)/1000*(60/MASTER_JAM!$AC$12+60/MASTER_JAM!$AC$13)+MASTER_JAM!$AC$14)</f>
        <v/>
      </c>
      <c r="R1160" s="158">
        <f>IF(N($F1160)=0,0,$F1160/SUMIFS(INPUT_RITASE!$F$5:$F$20000,INPUT_RITASE!$A$5:$A$20000,$A1160,INPUT_RITASE!$B$5:$B$20000,$B1160,INPUT_RITASE!$C$5:$C$20000,$C1160,INPUT_RITASE!$D$5:$D$20000,$D1160))</f>
        <v/>
      </c>
      <c r="S1160" s="158">
        <f>IF($Q1160=0,0,$R1160*$P1160/$Q1160)</f>
        <v/>
      </c>
    </row>
    <row r="1161">
      <c r="A1161" s="155" t="n">
        <v>46108</v>
      </c>
      <c r="B1161" s="156" t="inlineStr">
        <is>
          <t>11-12</t>
        </is>
      </c>
      <c r="C1161" s="156" t="inlineStr">
        <is>
          <t>EX-1251</t>
        </is>
      </c>
      <c r="D1161" s="156" t="inlineStr">
        <is>
          <t>DT-518</t>
        </is>
      </c>
      <c r="E1161" s="156" t="inlineStr">
        <is>
          <t>OB</t>
        </is>
      </c>
      <c r="F1161" s="156" t="n">
        <v>4</v>
      </c>
      <c r="G1161" s="156" t="inlineStr"/>
      <c r="H1161" s="157">
        <f>IF($B1161="","",IF(ISNA(MATCH($B1161,MASTER_JAM!$Q$5:$Q$28,0)),"?",IF(MATCH($B1161,MASTER_JAM!$Q$5:$Q$28,0)&lt;=12,"DS","NS")))</f>
        <v/>
      </c>
      <c r="I1161" s="157">
        <f>IFERROR(INDEX(MASTER_JAM!$B$5:$B$94,MATCH($C1161,MASTER_JAM!$A$5:$A$94,0)),"")</f>
        <v/>
      </c>
      <c r="J1161" s="157">
        <f>IFERROR(INDEX(MASTER_JAM!$E$5:$E$94,MATCH($D1161,MASTER_JAM!$A$5:$A$94,0)),"")</f>
        <v/>
      </c>
      <c r="K1161" s="158">
        <f>IFERROR(INDEX(MASTER_JAM!$J$5:$O$12,MATCH($E1161,MASTER_JAM!$I$5:$I$12,0),MATCH($J1161,MASTER_JAM!$J$4:$O$4,0))+0,0)</f>
        <v/>
      </c>
      <c r="L1161" s="159">
        <f>N($F1161)*$K1161</f>
        <v/>
      </c>
      <c r="M1161" s="157">
        <f>IF($E1161="","",IF(OR($E1161="Coal",$E1161="Dirty Coal"),"MT","BCM"))</f>
        <v/>
      </c>
      <c r="N1161" s="157">
        <f>IF($E1161="","",IF(OR($E1161="Coal",$E1161="Dirty Coal"),"Coal","OB"))</f>
        <v/>
      </c>
      <c r="O1161" s="157">
        <f>IF($F1161="","",IF(COUNTIF(MASTER_JAM!$A$5:$A$94,$C1161)=0,"Digger tidak dikenal",IF($J1161="","Hauler tidak dikenal",IF($H1161="?","Jam salah",IF($K1161=0,"Faktor kosong",IF(SUMIFS(INPUT_DELAY!$E$5:$E$20000,INPUT_DELAY!$A$5:$A$20000,$A1161,INPUT_DELAY!$B$5:$B$20000,$B1161,INPUT_DELAY!$C$5:$C$20000,$C1161)+SUMIFS(INPUT_DELAY!$E$5:$E$20000,INPUT_DELAY!$A$5:$A$20000,$A1161,INPUT_DELAY!$B$5:$B$20000,$B1161,INPUT_DELAY!$C$5:$C$20000,"SEMUA")&gt;=60,"Delay 60 mnt tapi ada ritase","OK"))))))</f>
        <v/>
      </c>
      <c r="P1161" s="158">
        <f>IFERROR(INDEX(MASTER_JAM!$Z$5:$AC$10,MATCH($I1161,MASTER_JAM!$Y$5:$Y$10,0),MATCH($J1161,MASTER_JAM!$Z$4:$AC$4,0))+0,0)</f>
        <v/>
      </c>
      <c r="Q1161" s="158">
        <f>IF($P1161=0,0,$P1161+IFERROR(INDEX(MASTER_JAM!$H$5:$H$94,MATCH($C1161,MASTER_JAM!$A$5:$A$94,0))+0,MASTER_JAM!$AC$15)/1000*(60/MASTER_JAM!$AC$12+60/MASTER_JAM!$AC$13)+MASTER_JAM!$AC$14)</f>
        <v/>
      </c>
      <c r="R1161" s="158">
        <f>IF(N($F1161)=0,0,$F1161/SUMIFS(INPUT_RITASE!$F$5:$F$20000,INPUT_RITASE!$A$5:$A$20000,$A1161,INPUT_RITASE!$B$5:$B$20000,$B1161,INPUT_RITASE!$C$5:$C$20000,$C1161,INPUT_RITASE!$D$5:$D$20000,$D1161))</f>
        <v/>
      </c>
      <c r="S1161" s="158">
        <f>IF($Q1161=0,0,$R1161*$P1161/$Q1161)</f>
        <v/>
      </c>
    </row>
    <row r="1162">
      <c r="A1162" s="155" t="n">
        <v>46108</v>
      </c>
      <c r="B1162" s="156" t="inlineStr">
        <is>
          <t>11-12</t>
        </is>
      </c>
      <c r="C1162" s="156" t="inlineStr">
        <is>
          <t>EX-1251</t>
        </is>
      </c>
      <c r="D1162" s="156" t="inlineStr">
        <is>
          <t>DT-522</t>
        </is>
      </c>
      <c r="E1162" s="156" t="inlineStr">
        <is>
          <t>OB</t>
        </is>
      </c>
      <c r="F1162" s="156" t="n">
        <v>4</v>
      </c>
      <c r="G1162" s="156" t="inlineStr"/>
      <c r="H1162" s="157">
        <f>IF($B1162="","",IF(ISNA(MATCH($B1162,MASTER_JAM!$Q$5:$Q$28,0)),"?",IF(MATCH($B1162,MASTER_JAM!$Q$5:$Q$28,0)&lt;=12,"DS","NS")))</f>
        <v/>
      </c>
      <c r="I1162" s="157">
        <f>IFERROR(INDEX(MASTER_JAM!$B$5:$B$94,MATCH($C1162,MASTER_JAM!$A$5:$A$94,0)),"")</f>
        <v/>
      </c>
      <c r="J1162" s="157">
        <f>IFERROR(INDEX(MASTER_JAM!$E$5:$E$94,MATCH($D1162,MASTER_JAM!$A$5:$A$94,0)),"")</f>
        <v/>
      </c>
      <c r="K1162" s="158">
        <f>IFERROR(INDEX(MASTER_JAM!$J$5:$O$12,MATCH($E1162,MASTER_JAM!$I$5:$I$12,0),MATCH($J1162,MASTER_JAM!$J$4:$O$4,0))+0,0)</f>
        <v/>
      </c>
      <c r="L1162" s="159">
        <f>N($F1162)*$K1162</f>
        <v/>
      </c>
      <c r="M1162" s="157">
        <f>IF($E1162="","",IF(OR($E1162="Coal",$E1162="Dirty Coal"),"MT","BCM"))</f>
        <v/>
      </c>
      <c r="N1162" s="157">
        <f>IF($E1162="","",IF(OR($E1162="Coal",$E1162="Dirty Coal"),"Coal","OB"))</f>
        <v/>
      </c>
      <c r="O1162" s="157">
        <f>IF($F1162="","",IF(COUNTIF(MASTER_JAM!$A$5:$A$94,$C1162)=0,"Digger tidak dikenal",IF($J1162="","Hauler tidak dikenal",IF($H1162="?","Jam salah",IF($K1162=0,"Faktor kosong",IF(SUMIFS(INPUT_DELAY!$E$5:$E$20000,INPUT_DELAY!$A$5:$A$20000,$A1162,INPUT_DELAY!$B$5:$B$20000,$B1162,INPUT_DELAY!$C$5:$C$20000,$C1162)+SUMIFS(INPUT_DELAY!$E$5:$E$20000,INPUT_DELAY!$A$5:$A$20000,$A1162,INPUT_DELAY!$B$5:$B$20000,$B1162,INPUT_DELAY!$C$5:$C$20000,"SEMUA")&gt;=60,"Delay 60 mnt tapi ada ritase","OK"))))))</f>
        <v/>
      </c>
      <c r="P1162" s="158">
        <f>IFERROR(INDEX(MASTER_JAM!$Z$5:$AC$10,MATCH($I1162,MASTER_JAM!$Y$5:$Y$10,0),MATCH($J1162,MASTER_JAM!$Z$4:$AC$4,0))+0,0)</f>
        <v/>
      </c>
      <c r="Q1162" s="158">
        <f>IF($P1162=0,0,$P1162+IFERROR(INDEX(MASTER_JAM!$H$5:$H$94,MATCH($C1162,MASTER_JAM!$A$5:$A$94,0))+0,MASTER_JAM!$AC$15)/1000*(60/MASTER_JAM!$AC$12+60/MASTER_JAM!$AC$13)+MASTER_JAM!$AC$14)</f>
        <v/>
      </c>
      <c r="R1162" s="158">
        <f>IF(N($F1162)=0,0,$F1162/SUMIFS(INPUT_RITASE!$F$5:$F$20000,INPUT_RITASE!$A$5:$A$20000,$A1162,INPUT_RITASE!$B$5:$B$20000,$B1162,INPUT_RITASE!$C$5:$C$20000,$C1162,INPUT_RITASE!$D$5:$D$20000,$D1162))</f>
        <v/>
      </c>
      <c r="S1162" s="158">
        <f>IF($Q1162=0,0,$R1162*$P1162/$Q1162)</f>
        <v/>
      </c>
    </row>
    <row r="1163">
      <c r="A1163" s="155" t="n">
        <v>46108</v>
      </c>
      <c r="B1163" s="156" t="inlineStr">
        <is>
          <t>11-12</t>
        </is>
      </c>
      <c r="C1163" s="156" t="inlineStr">
        <is>
          <t>EX-1251</t>
        </is>
      </c>
      <c r="D1163" s="156" t="inlineStr">
        <is>
          <t>DT-504</t>
        </is>
      </c>
      <c r="E1163" s="156" t="inlineStr">
        <is>
          <t>OB</t>
        </is>
      </c>
      <c r="F1163" s="156" t="n">
        <v>4</v>
      </c>
      <c r="G1163" s="156" t="inlineStr"/>
      <c r="H1163" s="157">
        <f>IF($B1163="","",IF(ISNA(MATCH($B1163,MASTER_JAM!$Q$5:$Q$28,0)),"?",IF(MATCH($B1163,MASTER_JAM!$Q$5:$Q$28,0)&lt;=12,"DS","NS")))</f>
        <v/>
      </c>
      <c r="I1163" s="157">
        <f>IFERROR(INDEX(MASTER_JAM!$B$5:$B$94,MATCH($C1163,MASTER_JAM!$A$5:$A$94,0)),"")</f>
        <v/>
      </c>
      <c r="J1163" s="157">
        <f>IFERROR(INDEX(MASTER_JAM!$E$5:$E$94,MATCH($D1163,MASTER_JAM!$A$5:$A$94,0)),"")</f>
        <v/>
      </c>
      <c r="K1163" s="158">
        <f>IFERROR(INDEX(MASTER_JAM!$J$5:$O$12,MATCH($E1163,MASTER_JAM!$I$5:$I$12,0),MATCH($J1163,MASTER_JAM!$J$4:$O$4,0))+0,0)</f>
        <v/>
      </c>
      <c r="L1163" s="159">
        <f>N($F1163)*$K1163</f>
        <v/>
      </c>
      <c r="M1163" s="157">
        <f>IF($E1163="","",IF(OR($E1163="Coal",$E1163="Dirty Coal"),"MT","BCM"))</f>
        <v/>
      </c>
      <c r="N1163" s="157">
        <f>IF($E1163="","",IF(OR($E1163="Coal",$E1163="Dirty Coal"),"Coal","OB"))</f>
        <v/>
      </c>
      <c r="O1163" s="157">
        <f>IF($F1163="","",IF(COUNTIF(MASTER_JAM!$A$5:$A$94,$C1163)=0,"Digger tidak dikenal",IF($J1163="","Hauler tidak dikenal",IF($H1163="?","Jam salah",IF($K1163=0,"Faktor kosong",IF(SUMIFS(INPUT_DELAY!$E$5:$E$20000,INPUT_DELAY!$A$5:$A$20000,$A1163,INPUT_DELAY!$B$5:$B$20000,$B1163,INPUT_DELAY!$C$5:$C$20000,$C1163)+SUMIFS(INPUT_DELAY!$E$5:$E$20000,INPUT_DELAY!$A$5:$A$20000,$A1163,INPUT_DELAY!$B$5:$B$20000,$B1163,INPUT_DELAY!$C$5:$C$20000,"SEMUA")&gt;=60,"Delay 60 mnt tapi ada ritase","OK"))))))</f>
        <v/>
      </c>
      <c r="P1163" s="158">
        <f>IFERROR(INDEX(MASTER_JAM!$Z$5:$AC$10,MATCH($I1163,MASTER_JAM!$Y$5:$Y$10,0),MATCH($J1163,MASTER_JAM!$Z$4:$AC$4,0))+0,0)</f>
        <v/>
      </c>
      <c r="Q1163" s="158">
        <f>IF($P1163=0,0,$P1163+IFERROR(INDEX(MASTER_JAM!$H$5:$H$94,MATCH($C1163,MASTER_JAM!$A$5:$A$94,0))+0,MASTER_JAM!$AC$15)/1000*(60/MASTER_JAM!$AC$12+60/MASTER_JAM!$AC$13)+MASTER_JAM!$AC$14)</f>
        <v/>
      </c>
      <c r="R1163" s="158">
        <f>IF(N($F1163)=0,0,$F1163/SUMIFS(INPUT_RITASE!$F$5:$F$20000,INPUT_RITASE!$A$5:$A$20000,$A1163,INPUT_RITASE!$B$5:$B$20000,$B1163,INPUT_RITASE!$C$5:$C$20000,$C1163,INPUT_RITASE!$D$5:$D$20000,$D1163))</f>
        <v/>
      </c>
      <c r="S1163" s="158">
        <f>IF($Q1163=0,0,$R1163*$P1163/$Q1163)</f>
        <v/>
      </c>
    </row>
    <row r="1164">
      <c r="A1164" s="155" t="n">
        <v>46108</v>
      </c>
      <c r="B1164" s="156" t="inlineStr">
        <is>
          <t>11-12</t>
        </is>
      </c>
      <c r="C1164" s="156" t="inlineStr">
        <is>
          <t>EX-1251</t>
        </is>
      </c>
      <c r="D1164" s="156" t="inlineStr">
        <is>
          <t>DT-526</t>
        </is>
      </c>
      <c r="E1164" s="156" t="inlineStr">
        <is>
          <t>OB</t>
        </is>
      </c>
      <c r="F1164" s="156" t="n">
        <v>3</v>
      </c>
      <c r="G1164" s="156" t="inlineStr"/>
      <c r="H1164" s="157">
        <f>IF($B1164="","",IF(ISNA(MATCH($B1164,MASTER_JAM!$Q$5:$Q$28,0)),"?",IF(MATCH($B1164,MASTER_JAM!$Q$5:$Q$28,0)&lt;=12,"DS","NS")))</f>
        <v/>
      </c>
      <c r="I1164" s="157">
        <f>IFERROR(INDEX(MASTER_JAM!$B$5:$B$94,MATCH($C1164,MASTER_JAM!$A$5:$A$94,0)),"")</f>
        <v/>
      </c>
      <c r="J1164" s="157">
        <f>IFERROR(INDEX(MASTER_JAM!$E$5:$E$94,MATCH($D1164,MASTER_JAM!$A$5:$A$94,0)),"")</f>
        <v/>
      </c>
      <c r="K1164" s="158">
        <f>IFERROR(INDEX(MASTER_JAM!$J$5:$O$12,MATCH($E1164,MASTER_JAM!$I$5:$I$12,0),MATCH($J1164,MASTER_JAM!$J$4:$O$4,0))+0,0)</f>
        <v/>
      </c>
      <c r="L1164" s="159">
        <f>N($F1164)*$K1164</f>
        <v/>
      </c>
      <c r="M1164" s="157">
        <f>IF($E1164="","",IF(OR($E1164="Coal",$E1164="Dirty Coal"),"MT","BCM"))</f>
        <v/>
      </c>
      <c r="N1164" s="157">
        <f>IF($E1164="","",IF(OR($E1164="Coal",$E1164="Dirty Coal"),"Coal","OB"))</f>
        <v/>
      </c>
      <c r="O1164" s="157">
        <f>IF($F1164="","",IF(COUNTIF(MASTER_JAM!$A$5:$A$94,$C1164)=0,"Digger tidak dikenal",IF($J1164="","Hauler tidak dikenal",IF($H1164="?","Jam salah",IF($K1164=0,"Faktor kosong",IF(SUMIFS(INPUT_DELAY!$E$5:$E$20000,INPUT_DELAY!$A$5:$A$20000,$A1164,INPUT_DELAY!$B$5:$B$20000,$B1164,INPUT_DELAY!$C$5:$C$20000,$C1164)+SUMIFS(INPUT_DELAY!$E$5:$E$20000,INPUT_DELAY!$A$5:$A$20000,$A1164,INPUT_DELAY!$B$5:$B$20000,$B1164,INPUT_DELAY!$C$5:$C$20000,"SEMUA")&gt;=60,"Delay 60 mnt tapi ada ritase","OK"))))))</f>
        <v/>
      </c>
      <c r="P1164" s="158">
        <f>IFERROR(INDEX(MASTER_JAM!$Z$5:$AC$10,MATCH($I1164,MASTER_JAM!$Y$5:$Y$10,0),MATCH($J1164,MASTER_JAM!$Z$4:$AC$4,0))+0,0)</f>
        <v/>
      </c>
      <c r="Q1164" s="158">
        <f>IF($P1164=0,0,$P1164+IFERROR(INDEX(MASTER_JAM!$H$5:$H$94,MATCH($C1164,MASTER_JAM!$A$5:$A$94,0))+0,MASTER_JAM!$AC$15)/1000*(60/MASTER_JAM!$AC$12+60/MASTER_JAM!$AC$13)+MASTER_JAM!$AC$14)</f>
        <v/>
      </c>
      <c r="R1164" s="158">
        <f>IF(N($F1164)=0,0,$F1164/SUMIFS(INPUT_RITASE!$F$5:$F$20000,INPUT_RITASE!$A$5:$A$20000,$A1164,INPUT_RITASE!$B$5:$B$20000,$B1164,INPUT_RITASE!$C$5:$C$20000,$C1164,INPUT_RITASE!$D$5:$D$20000,$D1164))</f>
        <v/>
      </c>
      <c r="S1164" s="158">
        <f>IF($Q1164=0,0,$R1164*$P1164/$Q1164)</f>
        <v/>
      </c>
    </row>
    <row r="1165">
      <c r="A1165" s="155" t="n">
        <v>46108</v>
      </c>
      <c r="B1165" s="156" t="inlineStr">
        <is>
          <t>11-12</t>
        </is>
      </c>
      <c r="C1165" s="156" t="inlineStr">
        <is>
          <t>EX-1251</t>
        </is>
      </c>
      <c r="D1165" s="156" t="inlineStr">
        <is>
          <t>DT-520</t>
        </is>
      </c>
      <c r="E1165" s="156" t="inlineStr">
        <is>
          <t>OB</t>
        </is>
      </c>
      <c r="F1165" s="156" t="n">
        <v>3</v>
      </c>
      <c r="G1165" s="156" t="inlineStr"/>
      <c r="H1165" s="157">
        <f>IF($B1165="","",IF(ISNA(MATCH($B1165,MASTER_JAM!$Q$5:$Q$28,0)),"?",IF(MATCH($B1165,MASTER_JAM!$Q$5:$Q$28,0)&lt;=12,"DS","NS")))</f>
        <v/>
      </c>
      <c r="I1165" s="157">
        <f>IFERROR(INDEX(MASTER_JAM!$B$5:$B$94,MATCH($C1165,MASTER_JAM!$A$5:$A$94,0)),"")</f>
        <v/>
      </c>
      <c r="J1165" s="157">
        <f>IFERROR(INDEX(MASTER_JAM!$E$5:$E$94,MATCH($D1165,MASTER_JAM!$A$5:$A$94,0)),"")</f>
        <v/>
      </c>
      <c r="K1165" s="158">
        <f>IFERROR(INDEX(MASTER_JAM!$J$5:$O$12,MATCH($E1165,MASTER_JAM!$I$5:$I$12,0),MATCH($J1165,MASTER_JAM!$J$4:$O$4,0))+0,0)</f>
        <v/>
      </c>
      <c r="L1165" s="159">
        <f>N($F1165)*$K1165</f>
        <v/>
      </c>
      <c r="M1165" s="157">
        <f>IF($E1165="","",IF(OR($E1165="Coal",$E1165="Dirty Coal"),"MT","BCM"))</f>
        <v/>
      </c>
      <c r="N1165" s="157">
        <f>IF($E1165="","",IF(OR($E1165="Coal",$E1165="Dirty Coal"),"Coal","OB"))</f>
        <v/>
      </c>
      <c r="O1165" s="157">
        <f>IF($F1165="","",IF(COUNTIF(MASTER_JAM!$A$5:$A$94,$C1165)=0,"Digger tidak dikenal",IF($J1165="","Hauler tidak dikenal",IF($H1165="?","Jam salah",IF($K1165=0,"Faktor kosong",IF(SUMIFS(INPUT_DELAY!$E$5:$E$20000,INPUT_DELAY!$A$5:$A$20000,$A1165,INPUT_DELAY!$B$5:$B$20000,$B1165,INPUT_DELAY!$C$5:$C$20000,$C1165)+SUMIFS(INPUT_DELAY!$E$5:$E$20000,INPUT_DELAY!$A$5:$A$20000,$A1165,INPUT_DELAY!$B$5:$B$20000,$B1165,INPUT_DELAY!$C$5:$C$20000,"SEMUA")&gt;=60,"Delay 60 mnt tapi ada ritase","OK"))))))</f>
        <v/>
      </c>
      <c r="P1165" s="158">
        <f>IFERROR(INDEX(MASTER_JAM!$Z$5:$AC$10,MATCH($I1165,MASTER_JAM!$Y$5:$Y$10,0),MATCH($J1165,MASTER_JAM!$Z$4:$AC$4,0))+0,0)</f>
        <v/>
      </c>
      <c r="Q1165" s="158">
        <f>IF($P1165=0,0,$P1165+IFERROR(INDEX(MASTER_JAM!$H$5:$H$94,MATCH($C1165,MASTER_JAM!$A$5:$A$94,0))+0,MASTER_JAM!$AC$15)/1000*(60/MASTER_JAM!$AC$12+60/MASTER_JAM!$AC$13)+MASTER_JAM!$AC$14)</f>
        <v/>
      </c>
      <c r="R1165" s="158">
        <f>IF(N($F1165)=0,0,$F1165/SUMIFS(INPUT_RITASE!$F$5:$F$20000,INPUT_RITASE!$A$5:$A$20000,$A1165,INPUT_RITASE!$B$5:$B$20000,$B1165,INPUT_RITASE!$C$5:$C$20000,$C1165,INPUT_RITASE!$D$5:$D$20000,$D1165))</f>
        <v/>
      </c>
      <c r="S1165" s="158">
        <f>IF($Q1165=0,0,$R1165*$P1165/$Q1165)</f>
        <v/>
      </c>
    </row>
    <row r="1166">
      <c r="A1166" s="155" t="n">
        <v>46108</v>
      </c>
      <c r="B1166" s="156" t="inlineStr">
        <is>
          <t>11-12</t>
        </is>
      </c>
      <c r="C1166" s="156" t="inlineStr">
        <is>
          <t>EX-1251</t>
        </is>
      </c>
      <c r="D1166" s="156" t="inlineStr">
        <is>
          <t>DT-529</t>
        </is>
      </c>
      <c r="E1166" s="156" t="inlineStr">
        <is>
          <t>OB</t>
        </is>
      </c>
      <c r="F1166" s="156" t="n">
        <v>3</v>
      </c>
      <c r="G1166" s="156" t="inlineStr"/>
      <c r="H1166" s="157">
        <f>IF($B1166="","",IF(ISNA(MATCH($B1166,MASTER_JAM!$Q$5:$Q$28,0)),"?",IF(MATCH($B1166,MASTER_JAM!$Q$5:$Q$28,0)&lt;=12,"DS","NS")))</f>
        <v/>
      </c>
      <c r="I1166" s="157">
        <f>IFERROR(INDEX(MASTER_JAM!$B$5:$B$94,MATCH($C1166,MASTER_JAM!$A$5:$A$94,0)),"")</f>
        <v/>
      </c>
      <c r="J1166" s="157">
        <f>IFERROR(INDEX(MASTER_JAM!$E$5:$E$94,MATCH($D1166,MASTER_JAM!$A$5:$A$94,0)),"")</f>
        <v/>
      </c>
      <c r="K1166" s="158">
        <f>IFERROR(INDEX(MASTER_JAM!$J$5:$O$12,MATCH($E1166,MASTER_JAM!$I$5:$I$12,0),MATCH($J1166,MASTER_JAM!$J$4:$O$4,0))+0,0)</f>
        <v/>
      </c>
      <c r="L1166" s="159">
        <f>N($F1166)*$K1166</f>
        <v/>
      </c>
      <c r="M1166" s="157">
        <f>IF($E1166="","",IF(OR($E1166="Coal",$E1166="Dirty Coal"),"MT","BCM"))</f>
        <v/>
      </c>
      <c r="N1166" s="157">
        <f>IF($E1166="","",IF(OR($E1166="Coal",$E1166="Dirty Coal"),"Coal","OB"))</f>
        <v/>
      </c>
      <c r="O1166" s="157">
        <f>IF($F1166="","",IF(COUNTIF(MASTER_JAM!$A$5:$A$94,$C1166)=0,"Digger tidak dikenal",IF($J1166="","Hauler tidak dikenal",IF($H1166="?","Jam salah",IF($K1166=0,"Faktor kosong",IF(SUMIFS(INPUT_DELAY!$E$5:$E$20000,INPUT_DELAY!$A$5:$A$20000,$A1166,INPUT_DELAY!$B$5:$B$20000,$B1166,INPUT_DELAY!$C$5:$C$20000,$C1166)+SUMIFS(INPUT_DELAY!$E$5:$E$20000,INPUT_DELAY!$A$5:$A$20000,$A1166,INPUT_DELAY!$B$5:$B$20000,$B1166,INPUT_DELAY!$C$5:$C$20000,"SEMUA")&gt;=60,"Delay 60 mnt tapi ada ritase","OK"))))))</f>
        <v/>
      </c>
      <c r="P1166" s="158">
        <f>IFERROR(INDEX(MASTER_JAM!$Z$5:$AC$10,MATCH($I1166,MASTER_JAM!$Y$5:$Y$10,0),MATCH($J1166,MASTER_JAM!$Z$4:$AC$4,0))+0,0)</f>
        <v/>
      </c>
      <c r="Q1166" s="158">
        <f>IF($P1166=0,0,$P1166+IFERROR(INDEX(MASTER_JAM!$H$5:$H$94,MATCH($C1166,MASTER_JAM!$A$5:$A$94,0))+0,MASTER_JAM!$AC$15)/1000*(60/MASTER_JAM!$AC$12+60/MASTER_JAM!$AC$13)+MASTER_JAM!$AC$14)</f>
        <v/>
      </c>
      <c r="R1166" s="158">
        <f>IF(N($F1166)=0,0,$F1166/SUMIFS(INPUT_RITASE!$F$5:$F$20000,INPUT_RITASE!$A$5:$A$20000,$A1166,INPUT_RITASE!$B$5:$B$20000,$B1166,INPUT_RITASE!$C$5:$C$20000,$C1166,INPUT_RITASE!$D$5:$D$20000,$D1166))</f>
        <v/>
      </c>
      <c r="S1166" s="158">
        <f>IF($Q1166=0,0,$R1166*$P1166/$Q1166)</f>
        <v/>
      </c>
    </row>
    <row r="1167">
      <c r="A1167" s="155" t="n">
        <v>46108</v>
      </c>
      <c r="B1167" s="156" t="inlineStr">
        <is>
          <t>13-14</t>
        </is>
      </c>
      <c r="C1167" s="156" t="inlineStr">
        <is>
          <t>EX-1251</t>
        </is>
      </c>
      <c r="D1167" s="156" t="inlineStr">
        <is>
          <t>DT-511</t>
        </is>
      </c>
      <c r="E1167" s="156" t="inlineStr">
        <is>
          <t>OB</t>
        </is>
      </c>
      <c r="F1167" s="156" t="n">
        <v>4</v>
      </c>
      <c r="G1167" s="156" t="inlineStr"/>
      <c r="H1167" s="157">
        <f>IF($B1167="","",IF(ISNA(MATCH($B1167,MASTER_JAM!$Q$5:$Q$28,0)),"?",IF(MATCH($B1167,MASTER_JAM!$Q$5:$Q$28,0)&lt;=12,"DS","NS")))</f>
        <v/>
      </c>
      <c r="I1167" s="157">
        <f>IFERROR(INDEX(MASTER_JAM!$B$5:$B$94,MATCH($C1167,MASTER_JAM!$A$5:$A$94,0)),"")</f>
        <v/>
      </c>
      <c r="J1167" s="157">
        <f>IFERROR(INDEX(MASTER_JAM!$E$5:$E$94,MATCH($D1167,MASTER_JAM!$A$5:$A$94,0)),"")</f>
        <v/>
      </c>
      <c r="K1167" s="158">
        <f>IFERROR(INDEX(MASTER_JAM!$J$5:$O$12,MATCH($E1167,MASTER_JAM!$I$5:$I$12,0),MATCH($J1167,MASTER_JAM!$J$4:$O$4,0))+0,0)</f>
        <v/>
      </c>
      <c r="L1167" s="159">
        <f>N($F1167)*$K1167</f>
        <v/>
      </c>
      <c r="M1167" s="157">
        <f>IF($E1167="","",IF(OR($E1167="Coal",$E1167="Dirty Coal"),"MT","BCM"))</f>
        <v/>
      </c>
      <c r="N1167" s="157">
        <f>IF($E1167="","",IF(OR($E1167="Coal",$E1167="Dirty Coal"),"Coal","OB"))</f>
        <v/>
      </c>
      <c r="O1167" s="157">
        <f>IF($F1167="","",IF(COUNTIF(MASTER_JAM!$A$5:$A$94,$C1167)=0,"Digger tidak dikenal",IF($J1167="","Hauler tidak dikenal",IF($H1167="?","Jam salah",IF($K1167=0,"Faktor kosong",IF(SUMIFS(INPUT_DELAY!$E$5:$E$20000,INPUT_DELAY!$A$5:$A$20000,$A1167,INPUT_DELAY!$B$5:$B$20000,$B1167,INPUT_DELAY!$C$5:$C$20000,$C1167)+SUMIFS(INPUT_DELAY!$E$5:$E$20000,INPUT_DELAY!$A$5:$A$20000,$A1167,INPUT_DELAY!$B$5:$B$20000,$B1167,INPUT_DELAY!$C$5:$C$20000,"SEMUA")&gt;=60,"Delay 60 mnt tapi ada ritase","OK"))))))</f>
        <v/>
      </c>
      <c r="P1167" s="158">
        <f>IFERROR(INDEX(MASTER_JAM!$Z$5:$AC$10,MATCH($I1167,MASTER_JAM!$Y$5:$Y$10,0),MATCH($J1167,MASTER_JAM!$Z$4:$AC$4,0))+0,0)</f>
        <v/>
      </c>
      <c r="Q1167" s="158">
        <f>IF($P1167=0,0,$P1167+IFERROR(INDEX(MASTER_JAM!$H$5:$H$94,MATCH($C1167,MASTER_JAM!$A$5:$A$94,0))+0,MASTER_JAM!$AC$15)/1000*(60/MASTER_JAM!$AC$12+60/MASTER_JAM!$AC$13)+MASTER_JAM!$AC$14)</f>
        <v/>
      </c>
      <c r="R1167" s="158">
        <f>IF(N($F1167)=0,0,$F1167/SUMIFS(INPUT_RITASE!$F$5:$F$20000,INPUT_RITASE!$A$5:$A$20000,$A1167,INPUT_RITASE!$B$5:$B$20000,$B1167,INPUT_RITASE!$C$5:$C$20000,$C1167,INPUT_RITASE!$D$5:$D$20000,$D1167))</f>
        <v/>
      </c>
      <c r="S1167" s="158">
        <f>IF($Q1167=0,0,$R1167*$P1167/$Q1167)</f>
        <v/>
      </c>
    </row>
    <row r="1168">
      <c r="A1168" s="155" t="n">
        <v>46108</v>
      </c>
      <c r="B1168" s="156" t="inlineStr">
        <is>
          <t>13-14</t>
        </is>
      </c>
      <c r="C1168" s="156" t="inlineStr">
        <is>
          <t>EX-1251</t>
        </is>
      </c>
      <c r="D1168" s="156" t="inlineStr">
        <is>
          <t>DT-519</t>
        </is>
      </c>
      <c r="E1168" s="156" t="inlineStr">
        <is>
          <t>OB</t>
        </is>
      </c>
      <c r="F1168" s="156" t="n">
        <v>4</v>
      </c>
      <c r="G1168" s="156" t="inlineStr"/>
      <c r="H1168" s="157">
        <f>IF($B1168="","",IF(ISNA(MATCH($B1168,MASTER_JAM!$Q$5:$Q$28,0)),"?",IF(MATCH($B1168,MASTER_JAM!$Q$5:$Q$28,0)&lt;=12,"DS","NS")))</f>
        <v/>
      </c>
      <c r="I1168" s="157">
        <f>IFERROR(INDEX(MASTER_JAM!$B$5:$B$94,MATCH($C1168,MASTER_JAM!$A$5:$A$94,0)),"")</f>
        <v/>
      </c>
      <c r="J1168" s="157">
        <f>IFERROR(INDEX(MASTER_JAM!$E$5:$E$94,MATCH($D1168,MASTER_JAM!$A$5:$A$94,0)),"")</f>
        <v/>
      </c>
      <c r="K1168" s="158">
        <f>IFERROR(INDEX(MASTER_JAM!$J$5:$O$12,MATCH($E1168,MASTER_JAM!$I$5:$I$12,0),MATCH($J1168,MASTER_JAM!$J$4:$O$4,0))+0,0)</f>
        <v/>
      </c>
      <c r="L1168" s="159">
        <f>N($F1168)*$K1168</f>
        <v/>
      </c>
      <c r="M1168" s="157">
        <f>IF($E1168="","",IF(OR($E1168="Coal",$E1168="Dirty Coal"),"MT","BCM"))</f>
        <v/>
      </c>
      <c r="N1168" s="157">
        <f>IF($E1168="","",IF(OR($E1168="Coal",$E1168="Dirty Coal"),"Coal","OB"))</f>
        <v/>
      </c>
      <c r="O1168" s="157">
        <f>IF($F1168="","",IF(COUNTIF(MASTER_JAM!$A$5:$A$94,$C1168)=0,"Digger tidak dikenal",IF($J1168="","Hauler tidak dikenal",IF($H1168="?","Jam salah",IF($K1168=0,"Faktor kosong",IF(SUMIFS(INPUT_DELAY!$E$5:$E$20000,INPUT_DELAY!$A$5:$A$20000,$A1168,INPUT_DELAY!$B$5:$B$20000,$B1168,INPUT_DELAY!$C$5:$C$20000,$C1168)+SUMIFS(INPUT_DELAY!$E$5:$E$20000,INPUT_DELAY!$A$5:$A$20000,$A1168,INPUT_DELAY!$B$5:$B$20000,$B1168,INPUT_DELAY!$C$5:$C$20000,"SEMUA")&gt;=60,"Delay 60 mnt tapi ada ritase","OK"))))))</f>
        <v/>
      </c>
      <c r="P1168" s="158">
        <f>IFERROR(INDEX(MASTER_JAM!$Z$5:$AC$10,MATCH($I1168,MASTER_JAM!$Y$5:$Y$10,0),MATCH($J1168,MASTER_JAM!$Z$4:$AC$4,0))+0,0)</f>
        <v/>
      </c>
      <c r="Q1168" s="158">
        <f>IF($P1168=0,0,$P1168+IFERROR(INDEX(MASTER_JAM!$H$5:$H$94,MATCH($C1168,MASTER_JAM!$A$5:$A$94,0))+0,MASTER_JAM!$AC$15)/1000*(60/MASTER_JAM!$AC$12+60/MASTER_JAM!$AC$13)+MASTER_JAM!$AC$14)</f>
        <v/>
      </c>
      <c r="R1168" s="158">
        <f>IF(N($F1168)=0,0,$F1168/SUMIFS(INPUT_RITASE!$F$5:$F$20000,INPUT_RITASE!$A$5:$A$20000,$A1168,INPUT_RITASE!$B$5:$B$20000,$B1168,INPUT_RITASE!$C$5:$C$20000,$C1168,INPUT_RITASE!$D$5:$D$20000,$D1168))</f>
        <v/>
      </c>
      <c r="S1168" s="158">
        <f>IF($Q1168=0,0,$R1168*$P1168/$Q1168)</f>
        <v/>
      </c>
    </row>
    <row r="1169">
      <c r="A1169" s="155" t="n">
        <v>46108</v>
      </c>
      <c r="B1169" s="156" t="inlineStr">
        <is>
          <t>13-14</t>
        </is>
      </c>
      <c r="C1169" s="156" t="inlineStr">
        <is>
          <t>EX-1251</t>
        </is>
      </c>
      <c r="D1169" s="156" t="inlineStr">
        <is>
          <t>DT-526</t>
        </is>
      </c>
      <c r="E1169" s="156" t="inlineStr">
        <is>
          <t>OB</t>
        </is>
      </c>
      <c r="F1169" s="156" t="n">
        <v>4</v>
      </c>
      <c r="G1169" s="156" t="inlineStr"/>
      <c r="H1169" s="157">
        <f>IF($B1169="","",IF(ISNA(MATCH($B1169,MASTER_JAM!$Q$5:$Q$28,0)),"?",IF(MATCH($B1169,MASTER_JAM!$Q$5:$Q$28,0)&lt;=12,"DS","NS")))</f>
        <v/>
      </c>
      <c r="I1169" s="157">
        <f>IFERROR(INDEX(MASTER_JAM!$B$5:$B$94,MATCH($C1169,MASTER_JAM!$A$5:$A$94,0)),"")</f>
        <v/>
      </c>
      <c r="J1169" s="157">
        <f>IFERROR(INDEX(MASTER_JAM!$E$5:$E$94,MATCH($D1169,MASTER_JAM!$A$5:$A$94,0)),"")</f>
        <v/>
      </c>
      <c r="K1169" s="158">
        <f>IFERROR(INDEX(MASTER_JAM!$J$5:$O$12,MATCH($E1169,MASTER_JAM!$I$5:$I$12,0),MATCH($J1169,MASTER_JAM!$J$4:$O$4,0))+0,0)</f>
        <v/>
      </c>
      <c r="L1169" s="159">
        <f>N($F1169)*$K1169</f>
        <v/>
      </c>
      <c r="M1169" s="157">
        <f>IF($E1169="","",IF(OR($E1169="Coal",$E1169="Dirty Coal"),"MT","BCM"))</f>
        <v/>
      </c>
      <c r="N1169" s="157">
        <f>IF($E1169="","",IF(OR($E1169="Coal",$E1169="Dirty Coal"),"Coal","OB"))</f>
        <v/>
      </c>
      <c r="O1169" s="157">
        <f>IF($F1169="","",IF(COUNTIF(MASTER_JAM!$A$5:$A$94,$C1169)=0,"Digger tidak dikenal",IF($J1169="","Hauler tidak dikenal",IF($H1169="?","Jam salah",IF($K1169=0,"Faktor kosong",IF(SUMIFS(INPUT_DELAY!$E$5:$E$20000,INPUT_DELAY!$A$5:$A$20000,$A1169,INPUT_DELAY!$B$5:$B$20000,$B1169,INPUT_DELAY!$C$5:$C$20000,$C1169)+SUMIFS(INPUT_DELAY!$E$5:$E$20000,INPUT_DELAY!$A$5:$A$20000,$A1169,INPUT_DELAY!$B$5:$B$20000,$B1169,INPUT_DELAY!$C$5:$C$20000,"SEMUA")&gt;=60,"Delay 60 mnt tapi ada ritase","OK"))))))</f>
        <v/>
      </c>
      <c r="P1169" s="158">
        <f>IFERROR(INDEX(MASTER_JAM!$Z$5:$AC$10,MATCH($I1169,MASTER_JAM!$Y$5:$Y$10,0),MATCH($J1169,MASTER_JAM!$Z$4:$AC$4,0))+0,0)</f>
        <v/>
      </c>
      <c r="Q1169" s="158">
        <f>IF($P1169=0,0,$P1169+IFERROR(INDEX(MASTER_JAM!$H$5:$H$94,MATCH($C1169,MASTER_JAM!$A$5:$A$94,0))+0,MASTER_JAM!$AC$15)/1000*(60/MASTER_JAM!$AC$12+60/MASTER_JAM!$AC$13)+MASTER_JAM!$AC$14)</f>
        <v/>
      </c>
      <c r="R1169" s="158">
        <f>IF(N($F1169)=0,0,$F1169/SUMIFS(INPUT_RITASE!$F$5:$F$20000,INPUT_RITASE!$A$5:$A$20000,$A1169,INPUT_RITASE!$B$5:$B$20000,$B1169,INPUT_RITASE!$C$5:$C$20000,$C1169,INPUT_RITASE!$D$5:$D$20000,$D1169))</f>
        <v/>
      </c>
      <c r="S1169" s="158">
        <f>IF($Q1169=0,0,$R1169*$P1169/$Q1169)</f>
        <v/>
      </c>
    </row>
    <row r="1170">
      <c r="A1170" s="155" t="n">
        <v>46108</v>
      </c>
      <c r="B1170" s="156" t="inlineStr">
        <is>
          <t>13-14</t>
        </is>
      </c>
      <c r="C1170" s="156" t="inlineStr">
        <is>
          <t>EX-1251</t>
        </is>
      </c>
      <c r="D1170" s="156" t="inlineStr">
        <is>
          <t>DT-503</t>
        </is>
      </c>
      <c r="E1170" s="156" t="inlineStr">
        <is>
          <t>OB</t>
        </is>
      </c>
      <c r="F1170" s="156" t="n">
        <v>3</v>
      </c>
      <c r="G1170" s="156" t="inlineStr"/>
      <c r="H1170" s="157">
        <f>IF($B1170="","",IF(ISNA(MATCH($B1170,MASTER_JAM!$Q$5:$Q$28,0)),"?",IF(MATCH($B1170,MASTER_JAM!$Q$5:$Q$28,0)&lt;=12,"DS","NS")))</f>
        <v/>
      </c>
      <c r="I1170" s="157">
        <f>IFERROR(INDEX(MASTER_JAM!$B$5:$B$94,MATCH($C1170,MASTER_JAM!$A$5:$A$94,0)),"")</f>
        <v/>
      </c>
      <c r="J1170" s="157">
        <f>IFERROR(INDEX(MASTER_JAM!$E$5:$E$94,MATCH($D1170,MASTER_JAM!$A$5:$A$94,0)),"")</f>
        <v/>
      </c>
      <c r="K1170" s="158">
        <f>IFERROR(INDEX(MASTER_JAM!$J$5:$O$12,MATCH($E1170,MASTER_JAM!$I$5:$I$12,0),MATCH($J1170,MASTER_JAM!$J$4:$O$4,0))+0,0)</f>
        <v/>
      </c>
      <c r="L1170" s="159">
        <f>N($F1170)*$K1170</f>
        <v/>
      </c>
      <c r="M1170" s="157">
        <f>IF($E1170="","",IF(OR($E1170="Coal",$E1170="Dirty Coal"),"MT","BCM"))</f>
        <v/>
      </c>
      <c r="N1170" s="157">
        <f>IF($E1170="","",IF(OR($E1170="Coal",$E1170="Dirty Coal"),"Coal","OB"))</f>
        <v/>
      </c>
      <c r="O1170" s="157">
        <f>IF($F1170="","",IF(COUNTIF(MASTER_JAM!$A$5:$A$94,$C1170)=0,"Digger tidak dikenal",IF($J1170="","Hauler tidak dikenal",IF($H1170="?","Jam salah",IF($K1170=0,"Faktor kosong",IF(SUMIFS(INPUT_DELAY!$E$5:$E$20000,INPUT_DELAY!$A$5:$A$20000,$A1170,INPUT_DELAY!$B$5:$B$20000,$B1170,INPUT_DELAY!$C$5:$C$20000,$C1170)+SUMIFS(INPUT_DELAY!$E$5:$E$20000,INPUT_DELAY!$A$5:$A$20000,$A1170,INPUT_DELAY!$B$5:$B$20000,$B1170,INPUT_DELAY!$C$5:$C$20000,"SEMUA")&gt;=60,"Delay 60 mnt tapi ada ritase","OK"))))))</f>
        <v/>
      </c>
      <c r="P1170" s="158">
        <f>IFERROR(INDEX(MASTER_JAM!$Z$5:$AC$10,MATCH($I1170,MASTER_JAM!$Y$5:$Y$10,0),MATCH($J1170,MASTER_JAM!$Z$4:$AC$4,0))+0,0)</f>
        <v/>
      </c>
      <c r="Q1170" s="158">
        <f>IF($P1170=0,0,$P1170+IFERROR(INDEX(MASTER_JAM!$H$5:$H$94,MATCH($C1170,MASTER_JAM!$A$5:$A$94,0))+0,MASTER_JAM!$AC$15)/1000*(60/MASTER_JAM!$AC$12+60/MASTER_JAM!$AC$13)+MASTER_JAM!$AC$14)</f>
        <v/>
      </c>
      <c r="R1170" s="158">
        <f>IF(N($F1170)=0,0,$F1170/SUMIFS(INPUT_RITASE!$F$5:$F$20000,INPUT_RITASE!$A$5:$A$20000,$A1170,INPUT_RITASE!$B$5:$B$20000,$B1170,INPUT_RITASE!$C$5:$C$20000,$C1170,INPUT_RITASE!$D$5:$D$20000,$D1170))</f>
        <v/>
      </c>
      <c r="S1170" s="158">
        <f>IF($Q1170=0,0,$R1170*$P1170/$Q1170)</f>
        <v/>
      </c>
    </row>
    <row r="1171">
      <c r="A1171" s="155" t="n">
        <v>46108</v>
      </c>
      <c r="B1171" s="156" t="inlineStr">
        <is>
          <t>13-14</t>
        </is>
      </c>
      <c r="C1171" s="156" t="inlineStr">
        <is>
          <t>EX-1251</t>
        </is>
      </c>
      <c r="D1171" s="156" t="inlineStr">
        <is>
          <t>DT-518</t>
        </is>
      </c>
      <c r="E1171" s="156" t="inlineStr">
        <is>
          <t>OB</t>
        </is>
      </c>
      <c r="F1171" s="156" t="n">
        <v>3</v>
      </c>
      <c r="G1171" s="156" t="inlineStr"/>
      <c r="H1171" s="157">
        <f>IF($B1171="","",IF(ISNA(MATCH($B1171,MASTER_JAM!$Q$5:$Q$28,0)),"?",IF(MATCH($B1171,MASTER_JAM!$Q$5:$Q$28,0)&lt;=12,"DS","NS")))</f>
        <v/>
      </c>
      <c r="I1171" s="157">
        <f>IFERROR(INDEX(MASTER_JAM!$B$5:$B$94,MATCH($C1171,MASTER_JAM!$A$5:$A$94,0)),"")</f>
        <v/>
      </c>
      <c r="J1171" s="157">
        <f>IFERROR(INDEX(MASTER_JAM!$E$5:$E$94,MATCH($D1171,MASTER_JAM!$A$5:$A$94,0)),"")</f>
        <v/>
      </c>
      <c r="K1171" s="158">
        <f>IFERROR(INDEX(MASTER_JAM!$J$5:$O$12,MATCH($E1171,MASTER_JAM!$I$5:$I$12,0),MATCH($J1171,MASTER_JAM!$J$4:$O$4,0))+0,0)</f>
        <v/>
      </c>
      <c r="L1171" s="159">
        <f>N($F1171)*$K1171</f>
        <v/>
      </c>
      <c r="M1171" s="157">
        <f>IF($E1171="","",IF(OR($E1171="Coal",$E1171="Dirty Coal"),"MT","BCM"))</f>
        <v/>
      </c>
      <c r="N1171" s="157">
        <f>IF($E1171="","",IF(OR($E1171="Coal",$E1171="Dirty Coal"),"Coal","OB"))</f>
        <v/>
      </c>
      <c r="O1171" s="157">
        <f>IF($F1171="","",IF(COUNTIF(MASTER_JAM!$A$5:$A$94,$C1171)=0,"Digger tidak dikenal",IF($J1171="","Hauler tidak dikenal",IF($H1171="?","Jam salah",IF($K1171=0,"Faktor kosong",IF(SUMIFS(INPUT_DELAY!$E$5:$E$20000,INPUT_DELAY!$A$5:$A$20000,$A1171,INPUT_DELAY!$B$5:$B$20000,$B1171,INPUT_DELAY!$C$5:$C$20000,$C1171)+SUMIFS(INPUT_DELAY!$E$5:$E$20000,INPUT_DELAY!$A$5:$A$20000,$A1171,INPUT_DELAY!$B$5:$B$20000,$B1171,INPUT_DELAY!$C$5:$C$20000,"SEMUA")&gt;=60,"Delay 60 mnt tapi ada ritase","OK"))))))</f>
        <v/>
      </c>
      <c r="P1171" s="158">
        <f>IFERROR(INDEX(MASTER_JAM!$Z$5:$AC$10,MATCH($I1171,MASTER_JAM!$Y$5:$Y$10,0),MATCH($J1171,MASTER_JAM!$Z$4:$AC$4,0))+0,0)</f>
        <v/>
      </c>
      <c r="Q1171" s="158">
        <f>IF($P1171=0,0,$P1171+IFERROR(INDEX(MASTER_JAM!$H$5:$H$94,MATCH($C1171,MASTER_JAM!$A$5:$A$94,0))+0,MASTER_JAM!$AC$15)/1000*(60/MASTER_JAM!$AC$12+60/MASTER_JAM!$AC$13)+MASTER_JAM!$AC$14)</f>
        <v/>
      </c>
      <c r="R1171" s="158">
        <f>IF(N($F1171)=0,0,$F1171/SUMIFS(INPUT_RITASE!$F$5:$F$20000,INPUT_RITASE!$A$5:$A$20000,$A1171,INPUT_RITASE!$B$5:$B$20000,$B1171,INPUT_RITASE!$C$5:$C$20000,$C1171,INPUT_RITASE!$D$5:$D$20000,$D1171))</f>
        <v/>
      </c>
      <c r="S1171" s="158">
        <f>IF($Q1171=0,0,$R1171*$P1171/$Q1171)</f>
        <v/>
      </c>
    </row>
    <row r="1172">
      <c r="A1172" s="155" t="n">
        <v>46108</v>
      </c>
      <c r="B1172" s="156" t="inlineStr">
        <is>
          <t>14-15</t>
        </is>
      </c>
      <c r="C1172" s="156" t="inlineStr">
        <is>
          <t>EX-1251</t>
        </is>
      </c>
      <c r="D1172" s="156" t="inlineStr">
        <is>
          <t>DT-526</t>
        </is>
      </c>
      <c r="E1172" s="156" t="inlineStr">
        <is>
          <t>OB</t>
        </is>
      </c>
      <c r="F1172" s="156" t="n">
        <v>4</v>
      </c>
      <c r="G1172" s="156" t="inlineStr"/>
      <c r="H1172" s="157">
        <f>IF($B1172="","",IF(ISNA(MATCH($B1172,MASTER_JAM!$Q$5:$Q$28,0)),"?",IF(MATCH($B1172,MASTER_JAM!$Q$5:$Q$28,0)&lt;=12,"DS","NS")))</f>
        <v/>
      </c>
      <c r="I1172" s="157">
        <f>IFERROR(INDEX(MASTER_JAM!$B$5:$B$94,MATCH($C1172,MASTER_JAM!$A$5:$A$94,0)),"")</f>
        <v/>
      </c>
      <c r="J1172" s="157">
        <f>IFERROR(INDEX(MASTER_JAM!$E$5:$E$94,MATCH($D1172,MASTER_JAM!$A$5:$A$94,0)),"")</f>
        <v/>
      </c>
      <c r="K1172" s="158">
        <f>IFERROR(INDEX(MASTER_JAM!$J$5:$O$12,MATCH($E1172,MASTER_JAM!$I$5:$I$12,0),MATCH($J1172,MASTER_JAM!$J$4:$O$4,0))+0,0)</f>
        <v/>
      </c>
      <c r="L1172" s="159">
        <f>N($F1172)*$K1172</f>
        <v/>
      </c>
      <c r="M1172" s="157">
        <f>IF($E1172="","",IF(OR($E1172="Coal",$E1172="Dirty Coal"),"MT","BCM"))</f>
        <v/>
      </c>
      <c r="N1172" s="157">
        <f>IF($E1172="","",IF(OR($E1172="Coal",$E1172="Dirty Coal"),"Coal","OB"))</f>
        <v/>
      </c>
      <c r="O1172" s="157">
        <f>IF($F1172="","",IF(COUNTIF(MASTER_JAM!$A$5:$A$94,$C1172)=0,"Digger tidak dikenal",IF($J1172="","Hauler tidak dikenal",IF($H1172="?","Jam salah",IF($K1172=0,"Faktor kosong",IF(SUMIFS(INPUT_DELAY!$E$5:$E$20000,INPUT_DELAY!$A$5:$A$20000,$A1172,INPUT_DELAY!$B$5:$B$20000,$B1172,INPUT_DELAY!$C$5:$C$20000,$C1172)+SUMIFS(INPUT_DELAY!$E$5:$E$20000,INPUT_DELAY!$A$5:$A$20000,$A1172,INPUT_DELAY!$B$5:$B$20000,$B1172,INPUT_DELAY!$C$5:$C$20000,"SEMUA")&gt;=60,"Delay 60 mnt tapi ada ritase","OK"))))))</f>
        <v/>
      </c>
      <c r="P1172" s="158">
        <f>IFERROR(INDEX(MASTER_JAM!$Z$5:$AC$10,MATCH($I1172,MASTER_JAM!$Y$5:$Y$10,0),MATCH($J1172,MASTER_JAM!$Z$4:$AC$4,0))+0,0)</f>
        <v/>
      </c>
      <c r="Q1172" s="158">
        <f>IF($P1172=0,0,$P1172+IFERROR(INDEX(MASTER_JAM!$H$5:$H$94,MATCH($C1172,MASTER_JAM!$A$5:$A$94,0))+0,MASTER_JAM!$AC$15)/1000*(60/MASTER_JAM!$AC$12+60/MASTER_JAM!$AC$13)+MASTER_JAM!$AC$14)</f>
        <v/>
      </c>
      <c r="R1172" s="158">
        <f>IF(N($F1172)=0,0,$F1172/SUMIFS(INPUT_RITASE!$F$5:$F$20000,INPUT_RITASE!$A$5:$A$20000,$A1172,INPUT_RITASE!$B$5:$B$20000,$B1172,INPUT_RITASE!$C$5:$C$20000,$C1172,INPUT_RITASE!$D$5:$D$20000,$D1172))</f>
        <v/>
      </c>
      <c r="S1172" s="158">
        <f>IF($Q1172=0,0,$R1172*$P1172/$Q1172)</f>
        <v/>
      </c>
    </row>
    <row r="1173">
      <c r="A1173" s="155" t="n">
        <v>46108</v>
      </c>
      <c r="B1173" s="156" t="inlineStr">
        <is>
          <t>14-15</t>
        </is>
      </c>
      <c r="C1173" s="156" t="inlineStr">
        <is>
          <t>EX-1251</t>
        </is>
      </c>
      <c r="D1173" s="156" t="inlineStr">
        <is>
          <t>DT-518</t>
        </is>
      </c>
      <c r="E1173" s="156" t="inlineStr">
        <is>
          <t>OB</t>
        </is>
      </c>
      <c r="F1173" s="156" t="n">
        <v>4</v>
      </c>
      <c r="G1173" s="156" t="inlineStr"/>
      <c r="H1173" s="157">
        <f>IF($B1173="","",IF(ISNA(MATCH($B1173,MASTER_JAM!$Q$5:$Q$28,0)),"?",IF(MATCH($B1173,MASTER_JAM!$Q$5:$Q$28,0)&lt;=12,"DS","NS")))</f>
        <v/>
      </c>
      <c r="I1173" s="157">
        <f>IFERROR(INDEX(MASTER_JAM!$B$5:$B$94,MATCH($C1173,MASTER_JAM!$A$5:$A$94,0)),"")</f>
        <v/>
      </c>
      <c r="J1173" s="157">
        <f>IFERROR(INDEX(MASTER_JAM!$E$5:$E$94,MATCH($D1173,MASTER_JAM!$A$5:$A$94,0)),"")</f>
        <v/>
      </c>
      <c r="K1173" s="158">
        <f>IFERROR(INDEX(MASTER_JAM!$J$5:$O$12,MATCH($E1173,MASTER_JAM!$I$5:$I$12,0),MATCH($J1173,MASTER_JAM!$J$4:$O$4,0))+0,0)</f>
        <v/>
      </c>
      <c r="L1173" s="159">
        <f>N($F1173)*$K1173</f>
        <v/>
      </c>
      <c r="M1173" s="157">
        <f>IF($E1173="","",IF(OR($E1173="Coal",$E1173="Dirty Coal"),"MT","BCM"))</f>
        <v/>
      </c>
      <c r="N1173" s="157">
        <f>IF($E1173="","",IF(OR($E1173="Coal",$E1173="Dirty Coal"),"Coal","OB"))</f>
        <v/>
      </c>
      <c r="O1173" s="157">
        <f>IF($F1173="","",IF(COUNTIF(MASTER_JAM!$A$5:$A$94,$C1173)=0,"Digger tidak dikenal",IF($J1173="","Hauler tidak dikenal",IF($H1173="?","Jam salah",IF($K1173=0,"Faktor kosong",IF(SUMIFS(INPUT_DELAY!$E$5:$E$20000,INPUT_DELAY!$A$5:$A$20000,$A1173,INPUT_DELAY!$B$5:$B$20000,$B1173,INPUT_DELAY!$C$5:$C$20000,$C1173)+SUMIFS(INPUT_DELAY!$E$5:$E$20000,INPUT_DELAY!$A$5:$A$20000,$A1173,INPUT_DELAY!$B$5:$B$20000,$B1173,INPUT_DELAY!$C$5:$C$20000,"SEMUA")&gt;=60,"Delay 60 mnt tapi ada ritase","OK"))))))</f>
        <v/>
      </c>
      <c r="P1173" s="158">
        <f>IFERROR(INDEX(MASTER_JAM!$Z$5:$AC$10,MATCH($I1173,MASTER_JAM!$Y$5:$Y$10,0),MATCH($J1173,MASTER_JAM!$Z$4:$AC$4,0))+0,0)</f>
        <v/>
      </c>
      <c r="Q1173" s="158">
        <f>IF($P1173=0,0,$P1173+IFERROR(INDEX(MASTER_JAM!$H$5:$H$94,MATCH($C1173,MASTER_JAM!$A$5:$A$94,0))+0,MASTER_JAM!$AC$15)/1000*(60/MASTER_JAM!$AC$12+60/MASTER_JAM!$AC$13)+MASTER_JAM!$AC$14)</f>
        <v/>
      </c>
      <c r="R1173" s="158">
        <f>IF(N($F1173)=0,0,$F1173/SUMIFS(INPUT_RITASE!$F$5:$F$20000,INPUT_RITASE!$A$5:$A$20000,$A1173,INPUT_RITASE!$B$5:$B$20000,$B1173,INPUT_RITASE!$C$5:$C$20000,$C1173,INPUT_RITASE!$D$5:$D$20000,$D1173))</f>
        <v/>
      </c>
      <c r="S1173" s="158">
        <f>IF($Q1173=0,0,$R1173*$P1173/$Q1173)</f>
        <v/>
      </c>
    </row>
    <row r="1174">
      <c r="A1174" s="155" t="n">
        <v>46108</v>
      </c>
      <c r="B1174" s="156" t="inlineStr">
        <is>
          <t>14-15</t>
        </is>
      </c>
      <c r="C1174" s="156" t="inlineStr">
        <is>
          <t>EX-1251</t>
        </is>
      </c>
      <c r="D1174" s="156" t="inlineStr">
        <is>
          <t>DT-505</t>
        </is>
      </c>
      <c r="E1174" s="156" t="inlineStr">
        <is>
          <t>OB</t>
        </is>
      </c>
      <c r="F1174" s="156" t="n">
        <v>4</v>
      </c>
      <c r="G1174" s="156" t="inlineStr"/>
      <c r="H1174" s="157">
        <f>IF($B1174="","",IF(ISNA(MATCH($B1174,MASTER_JAM!$Q$5:$Q$28,0)),"?",IF(MATCH($B1174,MASTER_JAM!$Q$5:$Q$28,0)&lt;=12,"DS","NS")))</f>
        <v/>
      </c>
      <c r="I1174" s="157">
        <f>IFERROR(INDEX(MASTER_JAM!$B$5:$B$94,MATCH($C1174,MASTER_JAM!$A$5:$A$94,0)),"")</f>
        <v/>
      </c>
      <c r="J1174" s="157">
        <f>IFERROR(INDEX(MASTER_JAM!$E$5:$E$94,MATCH($D1174,MASTER_JAM!$A$5:$A$94,0)),"")</f>
        <v/>
      </c>
      <c r="K1174" s="158">
        <f>IFERROR(INDEX(MASTER_JAM!$J$5:$O$12,MATCH($E1174,MASTER_JAM!$I$5:$I$12,0),MATCH($J1174,MASTER_JAM!$J$4:$O$4,0))+0,0)</f>
        <v/>
      </c>
      <c r="L1174" s="159">
        <f>N($F1174)*$K1174</f>
        <v/>
      </c>
      <c r="M1174" s="157">
        <f>IF($E1174="","",IF(OR($E1174="Coal",$E1174="Dirty Coal"),"MT","BCM"))</f>
        <v/>
      </c>
      <c r="N1174" s="157">
        <f>IF($E1174="","",IF(OR($E1174="Coal",$E1174="Dirty Coal"),"Coal","OB"))</f>
        <v/>
      </c>
      <c r="O1174" s="157">
        <f>IF($F1174="","",IF(COUNTIF(MASTER_JAM!$A$5:$A$94,$C1174)=0,"Digger tidak dikenal",IF($J1174="","Hauler tidak dikenal",IF($H1174="?","Jam salah",IF($K1174=0,"Faktor kosong",IF(SUMIFS(INPUT_DELAY!$E$5:$E$20000,INPUT_DELAY!$A$5:$A$20000,$A1174,INPUT_DELAY!$B$5:$B$20000,$B1174,INPUT_DELAY!$C$5:$C$20000,$C1174)+SUMIFS(INPUT_DELAY!$E$5:$E$20000,INPUT_DELAY!$A$5:$A$20000,$A1174,INPUT_DELAY!$B$5:$B$20000,$B1174,INPUT_DELAY!$C$5:$C$20000,"SEMUA")&gt;=60,"Delay 60 mnt tapi ada ritase","OK"))))))</f>
        <v/>
      </c>
      <c r="P1174" s="158">
        <f>IFERROR(INDEX(MASTER_JAM!$Z$5:$AC$10,MATCH($I1174,MASTER_JAM!$Y$5:$Y$10,0),MATCH($J1174,MASTER_JAM!$Z$4:$AC$4,0))+0,0)</f>
        <v/>
      </c>
      <c r="Q1174" s="158">
        <f>IF($P1174=0,0,$P1174+IFERROR(INDEX(MASTER_JAM!$H$5:$H$94,MATCH($C1174,MASTER_JAM!$A$5:$A$94,0))+0,MASTER_JAM!$AC$15)/1000*(60/MASTER_JAM!$AC$12+60/MASTER_JAM!$AC$13)+MASTER_JAM!$AC$14)</f>
        <v/>
      </c>
      <c r="R1174" s="158">
        <f>IF(N($F1174)=0,0,$F1174/SUMIFS(INPUT_RITASE!$F$5:$F$20000,INPUT_RITASE!$A$5:$A$20000,$A1174,INPUT_RITASE!$B$5:$B$20000,$B1174,INPUT_RITASE!$C$5:$C$20000,$C1174,INPUT_RITASE!$D$5:$D$20000,$D1174))</f>
        <v/>
      </c>
      <c r="S1174" s="158">
        <f>IF($Q1174=0,0,$R1174*$P1174/$Q1174)</f>
        <v/>
      </c>
    </row>
    <row r="1175">
      <c r="A1175" s="155" t="n">
        <v>46108</v>
      </c>
      <c r="B1175" s="156" t="inlineStr">
        <is>
          <t>14-15</t>
        </is>
      </c>
      <c r="C1175" s="156" t="inlineStr">
        <is>
          <t>EX-1251</t>
        </is>
      </c>
      <c r="D1175" s="156" t="inlineStr">
        <is>
          <t>DT-501</t>
        </is>
      </c>
      <c r="E1175" s="156" t="inlineStr">
        <is>
          <t>OB</t>
        </is>
      </c>
      <c r="F1175" s="156" t="n">
        <v>4</v>
      </c>
      <c r="G1175" s="156" t="inlineStr"/>
      <c r="H1175" s="157">
        <f>IF($B1175="","",IF(ISNA(MATCH($B1175,MASTER_JAM!$Q$5:$Q$28,0)),"?",IF(MATCH($B1175,MASTER_JAM!$Q$5:$Q$28,0)&lt;=12,"DS","NS")))</f>
        <v/>
      </c>
      <c r="I1175" s="157">
        <f>IFERROR(INDEX(MASTER_JAM!$B$5:$B$94,MATCH($C1175,MASTER_JAM!$A$5:$A$94,0)),"")</f>
        <v/>
      </c>
      <c r="J1175" s="157">
        <f>IFERROR(INDEX(MASTER_JAM!$E$5:$E$94,MATCH($D1175,MASTER_JAM!$A$5:$A$94,0)),"")</f>
        <v/>
      </c>
      <c r="K1175" s="158">
        <f>IFERROR(INDEX(MASTER_JAM!$J$5:$O$12,MATCH($E1175,MASTER_JAM!$I$5:$I$12,0),MATCH($J1175,MASTER_JAM!$J$4:$O$4,0))+0,0)</f>
        <v/>
      </c>
      <c r="L1175" s="159">
        <f>N($F1175)*$K1175</f>
        <v/>
      </c>
      <c r="M1175" s="157">
        <f>IF($E1175="","",IF(OR($E1175="Coal",$E1175="Dirty Coal"),"MT","BCM"))</f>
        <v/>
      </c>
      <c r="N1175" s="157">
        <f>IF($E1175="","",IF(OR($E1175="Coal",$E1175="Dirty Coal"),"Coal","OB"))</f>
        <v/>
      </c>
      <c r="O1175" s="157">
        <f>IF($F1175="","",IF(COUNTIF(MASTER_JAM!$A$5:$A$94,$C1175)=0,"Digger tidak dikenal",IF($J1175="","Hauler tidak dikenal",IF($H1175="?","Jam salah",IF($K1175=0,"Faktor kosong",IF(SUMIFS(INPUT_DELAY!$E$5:$E$20000,INPUT_DELAY!$A$5:$A$20000,$A1175,INPUT_DELAY!$B$5:$B$20000,$B1175,INPUT_DELAY!$C$5:$C$20000,$C1175)+SUMIFS(INPUT_DELAY!$E$5:$E$20000,INPUT_DELAY!$A$5:$A$20000,$A1175,INPUT_DELAY!$B$5:$B$20000,$B1175,INPUT_DELAY!$C$5:$C$20000,"SEMUA")&gt;=60,"Delay 60 mnt tapi ada ritase","OK"))))))</f>
        <v/>
      </c>
      <c r="P1175" s="158">
        <f>IFERROR(INDEX(MASTER_JAM!$Z$5:$AC$10,MATCH($I1175,MASTER_JAM!$Y$5:$Y$10,0),MATCH($J1175,MASTER_JAM!$Z$4:$AC$4,0))+0,0)</f>
        <v/>
      </c>
      <c r="Q1175" s="158">
        <f>IF($P1175=0,0,$P1175+IFERROR(INDEX(MASTER_JAM!$H$5:$H$94,MATCH($C1175,MASTER_JAM!$A$5:$A$94,0))+0,MASTER_JAM!$AC$15)/1000*(60/MASTER_JAM!$AC$12+60/MASTER_JAM!$AC$13)+MASTER_JAM!$AC$14)</f>
        <v/>
      </c>
      <c r="R1175" s="158">
        <f>IF(N($F1175)=0,0,$F1175/SUMIFS(INPUT_RITASE!$F$5:$F$20000,INPUT_RITASE!$A$5:$A$20000,$A1175,INPUT_RITASE!$B$5:$B$20000,$B1175,INPUT_RITASE!$C$5:$C$20000,$C1175,INPUT_RITASE!$D$5:$D$20000,$D1175))</f>
        <v/>
      </c>
      <c r="S1175" s="158">
        <f>IF($Q1175=0,0,$R1175*$P1175/$Q1175)</f>
        <v/>
      </c>
    </row>
    <row r="1176">
      <c r="A1176" s="155" t="n">
        <v>46108</v>
      </c>
      <c r="B1176" s="156" t="inlineStr">
        <is>
          <t>14-15</t>
        </is>
      </c>
      <c r="C1176" s="156" t="inlineStr">
        <is>
          <t>EX-1251</t>
        </is>
      </c>
      <c r="D1176" s="156" t="inlineStr">
        <is>
          <t>DT-511</t>
        </is>
      </c>
      <c r="E1176" s="156" t="inlineStr">
        <is>
          <t>OB</t>
        </is>
      </c>
      <c r="F1176" s="156" t="n">
        <v>3</v>
      </c>
      <c r="G1176" s="156" t="inlineStr"/>
      <c r="H1176" s="157">
        <f>IF($B1176="","",IF(ISNA(MATCH($B1176,MASTER_JAM!$Q$5:$Q$28,0)),"?",IF(MATCH($B1176,MASTER_JAM!$Q$5:$Q$28,0)&lt;=12,"DS","NS")))</f>
        <v/>
      </c>
      <c r="I1176" s="157">
        <f>IFERROR(INDEX(MASTER_JAM!$B$5:$B$94,MATCH($C1176,MASTER_JAM!$A$5:$A$94,0)),"")</f>
        <v/>
      </c>
      <c r="J1176" s="157">
        <f>IFERROR(INDEX(MASTER_JAM!$E$5:$E$94,MATCH($D1176,MASTER_JAM!$A$5:$A$94,0)),"")</f>
        <v/>
      </c>
      <c r="K1176" s="158">
        <f>IFERROR(INDEX(MASTER_JAM!$J$5:$O$12,MATCH($E1176,MASTER_JAM!$I$5:$I$12,0),MATCH($J1176,MASTER_JAM!$J$4:$O$4,0))+0,0)</f>
        <v/>
      </c>
      <c r="L1176" s="159">
        <f>N($F1176)*$K1176</f>
        <v/>
      </c>
      <c r="M1176" s="157">
        <f>IF($E1176="","",IF(OR($E1176="Coal",$E1176="Dirty Coal"),"MT","BCM"))</f>
        <v/>
      </c>
      <c r="N1176" s="157">
        <f>IF($E1176="","",IF(OR($E1176="Coal",$E1176="Dirty Coal"),"Coal","OB"))</f>
        <v/>
      </c>
      <c r="O1176" s="157">
        <f>IF($F1176="","",IF(COUNTIF(MASTER_JAM!$A$5:$A$94,$C1176)=0,"Digger tidak dikenal",IF($J1176="","Hauler tidak dikenal",IF($H1176="?","Jam salah",IF($K1176=0,"Faktor kosong",IF(SUMIFS(INPUT_DELAY!$E$5:$E$20000,INPUT_DELAY!$A$5:$A$20000,$A1176,INPUT_DELAY!$B$5:$B$20000,$B1176,INPUT_DELAY!$C$5:$C$20000,$C1176)+SUMIFS(INPUT_DELAY!$E$5:$E$20000,INPUT_DELAY!$A$5:$A$20000,$A1176,INPUT_DELAY!$B$5:$B$20000,$B1176,INPUT_DELAY!$C$5:$C$20000,"SEMUA")&gt;=60,"Delay 60 mnt tapi ada ritase","OK"))))))</f>
        <v/>
      </c>
      <c r="P1176" s="158">
        <f>IFERROR(INDEX(MASTER_JAM!$Z$5:$AC$10,MATCH($I1176,MASTER_JAM!$Y$5:$Y$10,0),MATCH($J1176,MASTER_JAM!$Z$4:$AC$4,0))+0,0)</f>
        <v/>
      </c>
      <c r="Q1176" s="158">
        <f>IF($P1176=0,0,$P1176+IFERROR(INDEX(MASTER_JAM!$H$5:$H$94,MATCH($C1176,MASTER_JAM!$A$5:$A$94,0))+0,MASTER_JAM!$AC$15)/1000*(60/MASTER_JAM!$AC$12+60/MASTER_JAM!$AC$13)+MASTER_JAM!$AC$14)</f>
        <v/>
      </c>
      <c r="R1176" s="158">
        <f>IF(N($F1176)=0,0,$F1176/SUMIFS(INPUT_RITASE!$F$5:$F$20000,INPUT_RITASE!$A$5:$A$20000,$A1176,INPUT_RITASE!$B$5:$B$20000,$B1176,INPUT_RITASE!$C$5:$C$20000,$C1176,INPUT_RITASE!$D$5:$D$20000,$D1176))</f>
        <v/>
      </c>
      <c r="S1176" s="158">
        <f>IF($Q1176=0,0,$R1176*$P1176/$Q1176)</f>
        <v/>
      </c>
    </row>
    <row r="1177">
      <c r="A1177" s="155" t="n">
        <v>46108</v>
      </c>
      <c r="B1177" s="156" t="inlineStr">
        <is>
          <t>14-15</t>
        </is>
      </c>
      <c r="C1177" s="156" t="inlineStr">
        <is>
          <t>EX-1251</t>
        </is>
      </c>
      <c r="D1177" s="156" t="inlineStr">
        <is>
          <t>DT-506</t>
        </is>
      </c>
      <c r="E1177" s="156" t="inlineStr">
        <is>
          <t>OB</t>
        </is>
      </c>
      <c r="F1177" s="156" t="n">
        <v>3</v>
      </c>
      <c r="G1177" s="156" t="inlineStr"/>
      <c r="H1177" s="157">
        <f>IF($B1177="","",IF(ISNA(MATCH($B1177,MASTER_JAM!$Q$5:$Q$28,0)),"?",IF(MATCH($B1177,MASTER_JAM!$Q$5:$Q$28,0)&lt;=12,"DS","NS")))</f>
        <v/>
      </c>
      <c r="I1177" s="157">
        <f>IFERROR(INDEX(MASTER_JAM!$B$5:$B$94,MATCH($C1177,MASTER_JAM!$A$5:$A$94,0)),"")</f>
        <v/>
      </c>
      <c r="J1177" s="157">
        <f>IFERROR(INDEX(MASTER_JAM!$E$5:$E$94,MATCH($D1177,MASTER_JAM!$A$5:$A$94,0)),"")</f>
        <v/>
      </c>
      <c r="K1177" s="158">
        <f>IFERROR(INDEX(MASTER_JAM!$J$5:$O$12,MATCH($E1177,MASTER_JAM!$I$5:$I$12,0),MATCH($J1177,MASTER_JAM!$J$4:$O$4,0))+0,0)</f>
        <v/>
      </c>
      <c r="L1177" s="159">
        <f>N($F1177)*$K1177</f>
        <v/>
      </c>
      <c r="M1177" s="157">
        <f>IF($E1177="","",IF(OR($E1177="Coal",$E1177="Dirty Coal"),"MT","BCM"))</f>
        <v/>
      </c>
      <c r="N1177" s="157">
        <f>IF($E1177="","",IF(OR($E1177="Coal",$E1177="Dirty Coal"),"Coal","OB"))</f>
        <v/>
      </c>
      <c r="O1177" s="157">
        <f>IF($F1177="","",IF(COUNTIF(MASTER_JAM!$A$5:$A$94,$C1177)=0,"Digger tidak dikenal",IF($J1177="","Hauler tidak dikenal",IF($H1177="?","Jam salah",IF($K1177=0,"Faktor kosong",IF(SUMIFS(INPUT_DELAY!$E$5:$E$20000,INPUT_DELAY!$A$5:$A$20000,$A1177,INPUT_DELAY!$B$5:$B$20000,$B1177,INPUT_DELAY!$C$5:$C$20000,$C1177)+SUMIFS(INPUT_DELAY!$E$5:$E$20000,INPUT_DELAY!$A$5:$A$20000,$A1177,INPUT_DELAY!$B$5:$B$20000,$B1177,INPUT_DELAY!$C$5:$C$20000,"SEMUA")&gt;=60,"Delay 60 mnt tapi ada ritase","OK"))))))</f>
        <v/>
      </c>
      <c r="P1177" s="158">
        <f>IFERROR(INDEX(MASTER_JAM!$Z$5:$AC$10,MATCH($I1177,MASTER_JAM!$Y$5:$Y$10,0),MATCH($J1177,MASTER_JAM!$Z$4:$AC$4,0))+0,0)</f>
        <v/>
      </c>
      <c r="Q1177" s="158">
        <f>IF($P1177=0,0,$P1177+IFERROR(INDEX(MASTER_JAM!$H$5:$H$94,MATCH($C1177,MASTER_JAM!$A$5:$A$94,0))+0,MASTER_JAM!$AC$15)/1000*(60/MASTER_JAM!$AC$12+60/MASTER_JAM!$AC$13)+MASTER_JAM!$AC$14)</f>
        <v/>
      </c>
      <c r="R1177" s="158">
        <f>IF(N($F1177)=0,0,$F1177/SUMIFS(INPUT_RITASE!$F$5:$F$20000,INPUT_RITASE!$A$5:$A$20000,$A1177,INPUT_RITASE!$B$5:$B$20000,$B1177,INPUT_RITASE!$C$5:$C$20000,$C1177,INPUT_RITASE!$D$5:$D$20000,$D1177))</f>
        <v/>
      </c>
      <c r="S1177" s="158">
        <f>IF($Q1177=0,0,$R1177*$P1177/$Q1177)</f>
        <v/>
      </c>
    </row>
    <row r="1178">
      <c r="A1178" s="155" t="n">
        <v>46108</v>
      </c>
      <c r="B1178" s="156" t="inlineStr">
        <is>
          <t>15-16</t>
        </is>
      </c>
      <c r="C1178" s="156" t="inlineStr">
        <is>
          <t>EX-1251</t>
        </is>
      </c>
      <c r="D1178" s="156" t="inlineStr">
        <is>
          <t>DT-515</t>
        </is>
      </c>
      <c r="E1178" s="156" t="inlineStr">
        <is>
          <t>OB</t>
        </is>
      </c>
      <c r="F1178" s="156" t="n">
        <v>4</v>
      </c>
      <c r="G1178" s="156" t="inlineStr"/>
      <c r="H1178" s="157">
        <f>IF($B1178="","",IF(ISNA(MATCH($B1178,MASTER_JAM!$Q$5:$Q$28,0)),"?",IF(MATCH($B1178,MASTER_JAM!$Q$5:$Q$28,0)&lt;=12,"DS","NS")))</f>
        <v/>
      </c>
      <c r="I1178" s="157">
        <f>IFERROR(INDEX(MASTER_JAM!$B$5:$B$94,MATCH($C1178,MASTER_JAM!$A$5:$A$94,0)),"")</f>
        <v/>
      </c>
      <c r="J1178" s="157">
        <f>IFERROR(INDEX(MASTER_JAM!$E$5:$E$94,MATCH($D1178,MASTER_JAM!$A$5:$A$94,0)),"")</f>
        <v/>
      </c>
      <c r="K1178" s="158">
        <f>IFERROR(INDEX(MASTER_JAM!$J$5:$O$12,MATCH($E1178,MASTER_JAM!$I$5:$I$12,0),MATCH($J1178,MASTER_JAM!$J$4:$O$4,0))+0,0)</f>
        <v/>
      </c>
      <c r="L1178" s="159">
        <f>N($F1178)*$K1178</f>
        <v/>
      </c>
      <c r="M1178" s="157">
        <f>IF($E1178="","",IF(OR($E1178="Coal",$E1178="Dirty Coal"),"MT","BCM"))</f>
        <v/>
      </c>
      <c r="N1178" s="157">
        <f>IF($E1178="","",IF(OR($E1178="Coal",$E1178="Dirty Coal"),"Coal","OB"))</f>
        <v/>
      </c>
      <c r="O1178" s="157">
        <f>IF($F1178="","",IF(COUNTIF(MASTER_JAM!$A$5:$A$94,$C1178)=0,"Digger tidak dikenal",IF($J1178="","Hauler tidak dikenal",IF($H1178="?","Jam salah",IF($K1178=0,"Faktor kosong",IF(SUMIFS(INPUT_DELAY!$E$5:$E$20000,INPUT_DELAY!$A$5:$A$20000,$A1178,INPUT_DELAY!$B$5:$B$20000,$B1178,INPUT_DELAY!$C$5:$C$20000,$C1178)+SUMIFS(INPUT_DELAY!$E$5:$E$20000,INPUT_DELAY!$A$5:$A$20000,$A1178,INPUT_DELAY!$B$5:$B$20000,$B1178,INPUT_DELAY!$C$5:$C$20000,"SEMUA")&gt;=60,"Delay 60 mnt tapi ada ritase","OK"))))))</f>
        <v/>
      </c>
      <c r="P1178" s="158">
        <f>IFERROR(INDEX(MASTER_JAM!$Z$5:$AC$10,MATCH($I1178,MASTER_JAM!$Y$5:$Y$10,0),MATCH($J1178,MASTER_JAM!$Z$4:$AC$4,0))+0,0)</f>
        <v/>
      </c>
      <c r="Q1178" s="158">
        <f>IF($P1178=0,0,$P1178+IFERROR(INDEX(MASTER_JAM!$H$5:$H$94,MATCH($C1178,MASTER_JAM!$A$5:$A$94,0))+0,MASTER_JAM!$AC$15)/1000*(60/MASTER_JAM!$AC$12+60/MASTER_JAM!$AC$13)+MASTER_JAM!$AC$14)</f>
        <v/>
      </c>
      <c r="R1178" s="158">
        <f>IF(N($F1178)=0,0,$F1178/SUMIFS(INPUT_RITASE!$F$5:$F$20000,INPUT_RITASE!$A$5:$A$20000,$A1178,INPUT_RITASE!$B$5:$B$20000,$B1178,INPUT_RITASE!$C$5:$C$20000,$C1178,INPUT_RITASE!$D$5:$D$20000,$D1178))</f>
        <v/>
      </c>
      <c r="S1178" s="158">
        <f>IF($Q1178=0,0,$R1178*$P1178/$Q1178)</f>
        <v/>
      </c>
    </row>
    <row r="1179">
      <c r="A1179" s="155" t="n">
        <v>46108</v>
      </c>
      <c r="B1179" s="156" t="inlineStr">
        <is>
          <t>15-16</t>
        </is>
      </c>
      <c r="C1179" s="156" t="inlineStr">
        <is>
          <t>EX-1251</t>
        </is>
      </c>
      <c r="D1179" s="156" t="inlineStr">
        <is>
          <t>DT-529</t>
        </is>
      </c>
      <c r="E1179" s="156" t="inlineStr">
        <is>
          <t>OB</t>
        </is>
      </c>
      <c r="F1179" s="156" t="n">
        <v>4</v>
      </c>
      <c r="G1179" s="156" t="inlineStr"/>
      <c r="H1179" s="157">
        <f>IF($B1179="","",IF(ISNA(MATCH($B1179,MASTER_JAM!$Q$5:$Q$28,0)),"?",IF(MATCH($B1179,MASTER_JAM!$Q$5:$Q$28,0)&lt;=12,"DS","NS")))</f>
        <v/>
      </c>
      <c r="I1179" s="157">
        <f>IFERROR(INDEX(MASTER_JAM!$B$5:$B$94,MATCH($C1179,MASTER_JAM!$A$5:$A$94,0)),"")</f>
        <v/>
      </c>
      <c r="J1179" s="157">
        <f>IFERROR(INDEX(MASTER_JAM!$E$5:$E$94,MATCH($D1179,MASTER_JAM!$A$5:$A$94,0)),"")</f>
        <v/>
      </c>
      <c r="K1179" s="158">
        <f>IFERROR(INDEX(MASTER_JAM!$J$5:$O$12,MATCH($E1179,MASTER_JAM!$I$5:$I$12,0),MATCH($J1179,MASTER_JAM!$J$4:$O$4,0))+0,0)</f>
        <v/>
      </c>
      <c r="L1179" s="159">
        <f>N($F1179)*$K1179</f>
        <v/>
      </c>
      <c r="M1179" s="157">
        <f>IF($E1179="","",IF(OR($E1179="Coal",$E1179="Dirty Coal"),"MT","BCM"))</f>
        <v/>
      </c>
      <c r="N1179" s="157">
        <f>IF($E1179="","",IF(OR($E1179="Coal",$E1179="Dirty Coal"),"Coal","OB"))</f>
        <v/>
      </c>
      <c r="O1179" s="157">
        <f>IF($F1179="","",IF(COUNTIF(MASTER_JAM!$A$5:$A$94,$C1179)=0,"Digger tidak dikenal",IF($J1179="","Hauler tidak dikenal",IF($H1179="?","Jam salah",IF($K1179=0,"Faktor kosong",IF(SUMIFS(INPUT_DELAY!$E$5:$E$20000,INPUT_DELAY!$A$5:$A$20000,$A1179,INPUT_DELAY!$B$5:$B$20000,$B1179,INPUT_DELAY!$C$5:$C$20000,$C1179)+SUMIFS(INPUT_DELAY!$E$5:$E$20000,INPUT_DELAY!$A$5:$A$20000,$A1179,INPUT_DELAY!$B$5:$B$20000,$B1179,INPUT_DELAY!$C$5:$C$20000,"SEMUA")&gt;=60,"Delay 60 mnt tapi ada ritase","OK"))))))</f>
        <v/>
      </c>
      <c r="P1179" s="158">
        <f>IFERROR(INDEX(MASTER_JAM!$Z$5:$AC$10,MATCH($I1179,MASTER_JAM!$Y$5:$Y$10,0),MATCH($J1179,MASTER_JAM!$Z$4:$AC$4,0))+0,0)</f>
        <v/>
      </c>
      <c r="Q1179" s="158">
        <f>IF($P1179=0,0,$P1179+IFERROR(INDEX(MASTER_JAM!$H$5:$H$94,MATCH($C1179,MASTER_JAM!$A$5:$A$94,0))+0,MASTER_JAM!$AC$15)/1000*(60/MASTER_JAM!$AC$12+60/MASTER_JAM!$AC$13)+MASTER_JAM!$AC$14)</f>
        <v/>
      </c>
      <c r="R1179" s="158">
        <f>IF(N($F1179)=0,0,$F1179/SUMIFS(INPUT_RITASE!$F$5:$F$20000,INPUT_RITASE!$A$5:$A$20000,$A1179,INPUT_RITASE!$B$5:$B$20000,$B1179,INPUT_RITASE!$C$5:$C$20000,$C1179,INPUT_RITASE!$D$5:$D$20000,$D1179))</f>
        <v/>
      </c>
      <c r="S1179" s="158">
        <f>IF($Q1179=0,0,$R1179*$P1179/$Q1179)</f>
        <v/>
      </c>
    </row>
    <row r="1180">
      <c r="A1180" s="155" t="n">
        <v>46108</v>
      </c>
      <c r="B1180" s="156" t="inlineStr">
        <is>
          <t>15-16</t>
        </is>
      </c>
      <c r="C1180" s="156" t="inlineStr">
        <is>
          <t>EX-1251</t>
        </is>
      </c>
      <c r="D1180" s="156" t="inlineStr">
        <is>
          <t>DT-521</t>
        </is>
      </c>
      <c r="E1180" s="156" t="inlineStr">
        <is>
          <t>OB</t>
        </is>
      </c>
      <c r="F1180" s="156" t="n">
        <v>4</v>
      </c>
      <c r="G1180" s="156" t="inlineStr"/>
      <c r="H1180" s="157">
        <f>IF($B1180="","",IF(ISNA(MATCH($B1180,MASTER_JAM!$Q$5:$Q$28,0)),"?",IF(MATCH($B1180,MASTER_JAM!$Q$5:$Q$28,0)&lt;=12,"DS","NS")))</f>
        <v/>
      </c>
      <c r="I1180" s="157">
        <f>IFERROR(INDEX(MASTER_JAM!$B$5:$B$94,MATCH($C1180,MASTER_JAM!$A$5:$A$94,0)),"")</f>
        <v/>
      </c>
      <c r="J1180" s="157">
        <f>IFERROR(INDEX(MASTER_JAM!$E$5:$E$94,MATCH($D1180,MASTER_JAM!$A$5:$A$94,0)),"")</f>
        <v/>
      </c>
      <c r="K1180" s="158">
        <f>IFERROR(INDEX(MASTER_JAM!$J$5:$O$12,MATCH($E1180,MASTER_JAM!$I$5:$I$12,0),MATCH($J1180,MASTER_JAM!$J$4:$O$4,0))+0,0)</f>
        <v/>
      </c>
      <c r="L1180" s="159">
        <f>N($F1180)*$K1180</f>
        <v/>
      </c>
      <c r="M1180" s="157">
        <f>IF($E1180="","",IF(OR($E1180="Coal",$E1180="Dirty Coal"),"MT","BCM"))</f>
        <v/>
      </c>
      <c r="N1180" s="157">
        <f>IF($E1180="","",IF(OR($E1180="Coal",$E1180="Dirty Coal"),"Coal","OB"))</f>
        <v/>
      </c>
      <c r="O1180" s="157">
        <f>IF($F1180="","",IF(COUNTIF(MASTER_JAM!$A$5:$A$94,$C1180)=0,"Digger tidak dikenal",IF($J1180="","Hauler tidak dikenal",IF($H1180="?","Jam salah",IF($K1180=0,"Faktor kosong",IF(SUMIFS(INPUT_DELAY!$E$5:$E$20000,INPUT_DELAY!$A$5:$A$20000,$A1180,INPUT_DELAY!$B$5:$B$20000,$B1180,INPUT_DELAY!$C$5:$C$20000,$C1180)+SUMIFS(INPUT_DELAY!$E$5:$E$20000,INPUT_DELAY!$A$5:$A$20000,$A1180,INPUT_DELAY!$B$5:$B$20000,$B1180,INPUT_DELAY!$C$5:$C$20000,"SEMUA")&gt;=60,"Delay 60 mnt tapi ada ritase","OK"))))))</f>
        <v/>
      </c>
      <c r="P1180" s="158">
        <f>IFERROR(INDEX(MASTER_JAM!$Z$5:$AC$10,MATCH($I1180,MASTER_JAM!$Y$5:$Y$10,0),MATCH($J1180,MASTER_JAM!$Z$4:$AC$4,0))+0,0)</f>
        <v/>
      </c>
      <c r="Q1180" s="158">
        <f>IF($P1180=0,0,$P1180+IFERROR(INDEX(MASTER_JAM!$H$5:$H$94,MATCH($C1180,MASTER_JAM!$A$5:$A$94,0))+0,MASTER_JAM!$AC$15)/1000*(60/MASTER_JAM!$AC$12+60/MASTER_JAM!$AC$13)+MASTER_JAM!$AC$14)</f>
        <v/>
      </c>
      <c r="R1180" s="158">
        <f>IF(N($F1180)=0,0,$F1180/SUMIFS(INPUT_RITASE!$F$5:$F$20000,INPUT_RITASE!$A$5:$A$20000,$A1180,INPUT_RITASE!$B$5:$B$20000,$B1180,INPUT_RITASE!$C$5:$C$20000,$C1180,INPUT_RITASE!$D$5:$D$20000,$D1180))</f>
        <v/>
      </c>
      <c r="S1180" s="158">
        <f>IF($Q1180=0,0,$R1180*$P1180/$Q1180)</f>
        <v/>
      </c>
    </row>
    <row r="1181">
      <c r="A1181" s="155" t="n">
        <v>46108</v>
      </c>
      <c r="B1181" s="156" t="inlineStr">
        <is>
          <t>15-16</t>
        </is>
      </c>
      <c r="C1181" s="156" t="inlineStr">
        <is>
          <t>EX-1251</t>
        </is>
      </c>
      <c r="D1181" s="156" t="inlineStr">
        <is>
          <t>DT-501</t>
        </is>
      </c>
      <c r="E1181" s="156" t="inlineStr">
        <is>
          <t>OB</t>
        </is>
      </c>
      <c r="F1181" s="156" t="n">
        <v>4</v>
      </c>
      <c r="G1181" s="156" t="inlineStr"/>
      <c r="H1181" s="157">
        <f>IF($B1181="","",IF(ISNA(MATCH($B1181,MASTER_JAM!$Q$5:$Q$28,0)),"?",IF(MATCH($B1181,MASTER_JAM!$Q$5:$Q$28,0)&lt;=12,"DS","NS")))</f>
        <v/>
      </c>
      <c r="I1181" s="157">
        <f>IFERROR(INDEX(MASTER_JAM!$B$5:$B$94,MATCH($C1181,MASTER_JAM!$A$5:$A$94,0)),"")</f>
        <v/>
      </c>
      <c r="J1181" s="157">
        <f>IFERROR(INDEX(MASTER_JAM!$E$5:$E$94,MATCH($D1181,MASTER_JAM!$A$5:$A$94,0)),"")</f>
        <v/>
      </c>
      <c r="K1181" s="158">
        <f>IFERROR(INDEX(MASTER_JAM!$J$5:$O$12,MATCH($E1181,MASTER_JAM!$I$5:$I$12,0),MATCH($J1181,MASTER_JAM!$J$4:$O$4,0))+0,0)</f>
        <v/>
      </c>
      <c r="L1181" s="159">
        <f>N($F1181)*$K1181</f>
        <v/>
      </c>
      <c r="M1181" s="157">
        <f>IF($E1181="","",IF(OR($E1181="Coal",$E1181="Dirty Coal"),"MT","BCM"))</f>
        <v/>
      </c>
      <c r="N1181" s="157">
        <f>IF($E1181="","",IF(OR($E1181="Coal",$E1181="Dirty Coal"),"Coal","OB"))</f>
        <v/>
      </c>
      <c r="O1181" s="157">
        <f>IF($F1181="","",IF(COUNTIF(MASTER_JAM!$A$5:$A$94,$C1181)=0,"Digger tidak dikenal",IF($J1181="","Hauler tidak dikenal",IF($H1181="?","Jam salah",IF($K1181=0,"Faktor kosong",IF(SUMIFS(INPUT_DELAY!$E$5:$E$20000,INPUT_DELAY!$A$5:$A$20000,$A1181,INPUT_DELAY!$B$5:$B$20000,$B1181,INPUT_DELAY!$C$5:$C$20000,$C1181)+SUMIFS(INPUT_DELAY!$E$5:$E$20000,INPUT_DELAY!$A$5:$A$20000,$A1181,INPUT_DELAY!$B$5:$B$20000,$B1181,INPUT_DELAY!$C$5:$C$20000,"SEMUA")&gt;=60,"Delay 60 mnt tapi ada ritase","OK"))))))</f>
        <v/>
      </c>
      <c r="P1181" s="158">
        <f>IFERROR(INDEX(MASTER_JAM!$Z$5:$AC$10,MATCH($I1181,MASTER_JAM!$Y$5:$Y$10,0),MATCH($J1181,MASTER_JAM!$Z$4:$AC$4,0))+0,0)</f>
        <v/>
      </c>
      <c r="Q1181" s="158">
        <f>IF($P1181=0,0,$P1181+IFERROR(INDEX(MASTER_JAM!$H$5:$H$94,MATCH($C1181,MASTER_JAM!$A$5:$A$94,0))+0,MASTER_JAM!$AC$15)/1000*(60/MASTER_JAM!$AC$12+60/MASTER_JAM!$AC$13)+MASTER_JAM!$AC$14)</f>
        <v/>
      </c>
      <c r="R1181" s="158">
        <f>IF(N($F1181)=0,0,$F1181/SUMIFS(INPUT_RITASE!$F$5:$F$20000,INPUT_RITASE!$A$5:$A$20000,$A1181,INPUT_RITASE!$B$5:$B$20000,$B1181,INPUT_RITASE!$C$5:$C$20000,$C1181,INPUT_RITASE!$D$5:$D$20000,$D1181))</f>
        <v/>
      </c>
      <c r="S1181" s="158">
        <f>IF($Q1181=0,0,$R1181*$P1181/$Q1181)</f>
        <v/>
      </c>
    </row>
    <row r="1182">
      <c r="A1182" s="155" t="n">
        <v>46108</v>
      </c>
      <c r="B1182" s="156" t="inlineStr">
        <is>
          <t>15-16</t>
        </is>
      </c>
      <c r="C1182" s="156" t="inlineStr">
        <is>
          <t>EX-1251</t>
        </is>
      </c>
      <c r="D1182" s="156" t="inlineStr">
        <is>
          <t>DT-522</t>
        </is>
      </c>
      <c r="E1182" s="156" t="inlineStr">
        <is>
          <t>OB</t>
        </is>
      </c>
      <c r="F1182" s="156" t="n">
        <v>4</v>
      </c>
      <c r="G1182" s="156" t="inlineStr"/>
      <c r="H1182" s="157">
        <f>IF($B1182="","",IF(ISNA(MATCH($B1182,MASTER_JAM!$Q$5:$Q$28,0)),"?",IF(MATCH($B1182,MASTER_JAM!$Q$5:$Q$28,0)&lt;=12,"DS","NS")))</f>
        <v/>
      </c>
      <c r="I1182" s="157">
        <f>IFERROR(INDEX(MASTER_JAM!$B$5:$B$94,MATCH($C1182,MASTER_JAM!$A$5:$A$94,0)),"")</f>
        <v/>
      </c>
      <c r="J1182" s="157">
        <f>IFERROR(INDEX(MASTER_JAM!$E$5:$E$94,MATCH($D1182,MASTER_JAM!$A$5:$A$94,0)),"")</f>
        <v/>
      </c>
      <c r="K1182" s="158">
        <f>IFERROR(INDEX(MASTER_JAM!$J$5:$O$12,MATCH($E1182,MASTER_JAM!$I$5:$I$12,0),MATCH($J1182,MASTER_JAM!$J$4:$O$4,0))+0,0)</f>
        <v/>
      </c>
      <c r="L1182" s="159">
        <f>N($F1182)*$K1182</f>
        <v/>
      </c>
      <c r="M1182" s="157">
        <f>IF($E1182="","",IF(OR($E1182="Coal",$E1182="Dirty Coal"),"MT","BCM"))</f>
        <v/>
      </c>
      <c r="N1182" s="157">
        <f>IF($E1182="","",IF(OR($E1182="Coal",$E1182="Dirty Coal"),"Coal","OB"))</f>
        <v/>
      </c>
      <c r="O1182" s="157">
        <f>IF($F1182="","",IF(COUNTIF(MASTER_JAM!$A$5:$A$94,$C1182)=0,"Digger tidak dikenal",IF($J1182="","Hauler tidak dikenal",IF($H1182="?","Jam salah",IF($K1182=0,"Faktor kosong",IF(SUMIFS(INPUT_DELAY!$E$5:$E$20000,INPUT_DELAY!$A$5:$A$20000,$A1182,INPUT_DELAY!$B$5:$B$20000,$B1182,INPUT_DELAY!$C$5:$C$20000,$C1182)+SUMIFS(INPUT_DELAY!$E$5:$E$20000,INPUT_DELAY!$A$5:$A$20000,$A1182,INPUT_DELAY!$B$5:$B$20000,$B1182,INPUT_DELAY!$C$5:$C$20000,"SEMUA")&gt;=60,"Delay 60 mnt tapi ada ritase","OK"))))))</f>
        <v/>
      </c>
      <c r="P1182" s="158">
        <f>IFERROR(INDEX(MASTER_JAM!$Z$5:$AC$10,MATCH($I1182,MASTER_JAM!$Y$5:$Y$10,0),MATCH($J1182,MASTER_JAM!$Z$4:$AC$4,0))+0,0)</f>
        <v/>
      </c>
      <c r="Q1182" s="158">
        <f>IF($P1182=0,0,$P1182+IFERROR(INDEX(MASTER_JAM!$H$5:$H$94,MATCH($C1182,MASTER_JAM!$A$5:$A$94,0))+0,MASTER_JAM!$AC$15)/1000*(60/MASTER_JAM!$AC$12+60/MASTER_JAM!$AC$13)+MASTER_JAM!$AC$14)</f>
        <v/>
      </c>
      <c r="R1182" s="158">
        <f>IF(N($F1182)=0,0,$F1182/SUMIFS(INPUT_RITASE!$F$5:$F$20000,INPUT_RITASE!$A$5:$A$20000,$A1182,INPUT_RITASE!$B$5:$B$20000,$B1182,INPUT_RITASE!$C$5:$C$20000,$C1182,INPUT_RITASE!$D$5:$D$20000,$D1182))</f>
        <v/>
      </c>
      <c r="S1182" s="158">
        <f>IF($Q1182=0,0,$R1182*$P1182/$Q1182)</f>
        <v/>
      </c>
    </row>
    <row r="1183">
      <c r="A1183" s="155" t="n">
        <v>46108</v>
      </c>
      <c r="B1183" s="156" t="inlineStr">
        <is>
          <t>15-16</t>
        </is>
      </c>
      <c r="C1183" s="156" t="inlineStr">
        <is>
          <t>EX-1251</t>
        </is>
      </c>
      <c r="D1183" s="156" t="inlineStr">
        <is>
          <t>DT-518</t>
        </is>
      </c>
      <c r="E1183" s="156" t="inlineStr">
        <is>
          <t>OB</t>
        </is>
      </c>
      <c r="F1183" s="156" t="n">
        <v>4</v>
      </c>
      <c r="G1183" s="156" t="inlineStr"/>
      <c r="H1183" s="157">
        <f>IF($B1183="","",IF(ISNA(MATCH($B1183,MASTER_JAM!$Q$5:$Q$28,0)),"?",IF(MATCH($B1183,MASTER_JAM!$Q$5:$Q$28,0)&lt;=12,"DS","NS")))</f>
        <v/>
      </c>
      <c r="I1183" s="157">
        <f>IFERROR(INDEX(MASTER_JAM!$B$5:$B$94,MATCH($C1183,MASTER_JAM!$A$5:$A$94,0)),"")</f>
        <v/>
      </c>
      <c r="J1183" s="157">
        <f>IFERROR(INDEX(MASTER_JAM!$E$5:$E$94,MATCH($D1183,MASTER_JAM!$A$5:$A$94,0)),"")</f>
        <v/>
      </c>
      <c r="K1183" s="158">
        <f>IFERROR(INDEX(MASTER_JAM!$J$5:$O$12,MATCH($E1183,MASTER_JAM!$I$5:$I$12,0),MATCH($J1183,MASTER_JAM!$J$4:$O$4,0))+0,0)</f>
        <v/>
      </c>
      <c r="L1183" s="159">
        <f>N($F1183)*$K1183</f>
        <v/>
      </c>
      <c r="M1183" s="157">
        <f>IF($E1183="","",IF(OR($E1183="Coal",$E1183="Dirty Coal"),"MT","BCM"))</f>
        <v/>
      </c>
      <c r="N1183" s="157">
        <f>IF($E1183="","",IF(OR($E1183="Coal",$E1183="Dirty Coal"),"Coal","OB"))</f>
        <v/>
      </c>
      <c r="O1183" s="157">
        <f>IF($F1183="","",IF(COUNTIF(MASTER_JAM!$A$5:$A$94,$C1183)=0,"Digger tidak dikenal",IF($J1183="","Hauler tidak dikenal",IF($H1183="?","Jam salah",IF($K1183=0,"Faktor kosong",IF(SUMIFS(INPUT_DELAY!$E$5:$E$20000,INPUT_DELAY!$A$5:$A$20000,$A1183,INPUT_DELAY!$B$5:$B$20000,$B1183,INPUT_DELAY!$C$5:$C$20000,$C1183)+SUMIFS(INPUT_DELAY!$E$5:$E$20000,INPUT_DELAY!$A$5:$A$20000,$A1183,INPUT_DELAY!$B$5:$B$20000,$B1183,INPUT_DELAY!$C$5:$C$20000,"SEMUA")&gt;=60,"Delay 60 mnt tapi ada ritase","OK"))))))</f>
        <v/>
      </c>
      <c r="P1183" s="158">
        <f>IFERROR(INDEX(MASTER_JAM!$Z$5:$AC$10,MATCH($I1183,MASTER_JAM!$Y$5:$Y$10,0),MATCH($J1183,MASTER_JAM!$Z$4:$AC$4,0))+0,0)</f>
        <v/>
      </c>
      <c r="Q1183" s="158">
        <f>IF($P1183=0,0,$P1183+IFERROR(INDEX(MASTER_JAM!$H$5:$H$94,MATCH($C1183,MASTER_JAM!$A$5:$A$94,0))+0,MASTER_JAM!$AC$15)/1000*(60/MASTER_JAM!$AC$12+60/MASTER_JAM!$AC$13)+MASTER_JAM!$AC$14)</f>
        <v/>
      </c>
      <c r="R1183" s="158">
        <f>IF(N($F1183)=0,0,$F1183/SUMIFS(INPUT_RITASE!$F$5:$F$20000,INPUT_RITASE!$A$5:$A$20000,$A1183,INPUT_RITASE!$B$5:$B$20000,$B1183,INPUT_RITASE!$C$5:$C$20000,$C1183,INPUT_RITASE!$D$5:$D$20000,$D1183))</f>
        <v/>
      </c>
      <c r="S1183" s="158">
        <f>IF($Q1183=0,0,$R1183*$P1183/$Q1183)</f>
        <v/>
      </c>
    </row>
    <row r="1184">
      <c r="A1184" s="155" t="n">
        <v>46108</v>
      </c>
      <c r="B1184" s="156" t="inlineStr">
        <is>
          <t>16-17</t>
        </is>
      </c>
      <c r="C1184" s="156" t="inlineStr">
        <is>
          <t>EX-1251</t>
        </is>
      </c>
      <c r="D1184" s="156" t="inlineStr">
        <is>
          <t>DT-520</t>
        </is>
      </c>
      <c r="E1184" s="156" t="inlineStr">
        <is>
          <t>OB</t>
        </is>
      </c>
      <c r="F1184" s="156" t="n">
        <v>4</v>
      </c>
      <c r="G1184" s="156" t="inlineStr"/>
      <c r="H1184" s="157">
        <f>IF($B1184="","",IF(ISNA(MATCH($B1184,MASTER_JAM!$Q$5:$Q$28,0)),"?",IF(MATCH($B1184,MASTER_JAM!$Q$5:$Q$28,0)&lt;=12,"DS","NS")))</f>
        <v/>
      </c>
      <c r="I1184" s="157">
        <f>IFERROR(INDEX(MASTER_JAM!$B$5:$B$94,MATCH($C1184,MASTER_JAM!$A$5:$A$94,0)),"")</f>
        <v/>
      </c>
      <c r="J1184" s="157">
        <f>IFERROR(INDEX(MASTER_JAM!$E$5:$E$94,MATCH($D1184,MASTER_JAM!$A$5:$A$94,0)),"")</f>
        <v/>
      </c>
      <c r="K1184" s="158">
        <f>IFERROR(INDEX(MASTER_JAM!$J$5:$O$12,MATCH($E1184,MASTER_JAM!$I$5:$I$12,0),MATCH($J1184,MASTER_JAM!$J$4:$O$4,0))+0,0)</f>
        <v/>
      </c>
      <c r="L1184" s="159">
        <f>N($F1184)*$K1184</f>
        <v/>
      </c>
      <c r="M1184" s="157">
        <f>IF($E1184="","",IF(OR($E1184="Coal",$E1184="Dirty Coal"),"MT","BCM"))</f>
        <v/>
      </c>
      <c r="N1184" s="157">
        <f>IF($E1184="","",IF(OR($E1184="Coal",$E1184="Dirty Coal"),"Coal","OB"))</f>
        <v/>
      </c>
      <c r="O1184" s="157">
        <f>IF($F1184="","",IF(COUNTIF(MASTER_JAM!$A$5:$A$94,$C1184)=0,"Digger tidak dikenal",IF($J1184="","Hauler tidak dikenal",IF($H1184="?","Jam salah",IF($K1184=0,"Faktor kosong",IF(SUMIFS(INPUT_DELAY!$E$5:$E$20000,INPUT_DELAY!$A$5:$A$20000,$A1184,INPUT_DELAY!$B$5:$B$20000,$B1184,INPUT_DELAY!$C$5:$C$20000,$C1184)+SUMIFS(INPUT_DELAY!$E$5:$E$20000,INPUT_DELAY!$A$5:$A$20000,$A1184,INPUT_DELAY!$B$5:$B$20000,$B1184,INPUT_DELAY!$C$5:$C$20000,"SEMUA")&gt;=60,"Delay 60 mnt tapi ada ritase","OK"))))))</f>
        <v/>
      </c>
      <c r="P1184" s="158">
        <f>IFERROR(INDEX(MASTER_JAM!$Z$5:$AC$10,MATCH($I1184,MASTER_JAM!$Y$5:$Y$10,0),MATCH($J1184,MASTER_JAM!$Z$4:$AC$4,0))+0,0)</f>
        <v/>
      </c>
      <c r="Q1184" s="158">
        <f>IF($P1184=0,0,$P1184+IFERROR(INDEX(MASTER_JAM!$H$5:$H$94,MATCH($C1184,MASTER_JAM!$A$5:$A$94,0))+0,MASTER_JAM!$AC$15)/1000*(60/MASTER_JAM!$AC$12+60/MASTER_JAM!$AC$13)+MASTER_JAM!$AC$14)</f>
        <v/>
      </c>
      <c r="R1184" s="158">
        <f>IF(N($F1184)=0,0,$F1184/SUMIFS(INPUT_RITASE!$F$5:$F$20000,INPUT_RITASE!$A$5:$A$20000,$A1184,INPUT_RITASE!$B$5:$B$20000,$B1184,INPUT_RITASE!$C$5:$C$20000,$C1184,INPUT_RITASE!$D$5:$D$20000,$D1184))</f>
        <v/>
      </c>
      <c r="S1184" s="158">
        <f>IF($Q1184=0,0,$R1184*$P1184/$Q1184)</f>
        <v/>
      </c>
    </row>
    <row r="1185">
      <c r="A1185" s="155" t="n">
        <v>46108</v>
      </c>
      <c r="B1185" s="156" t="inlineStr">
        <is>
          <t>16-17</t>
        </is>
      </c>
      <c r="C1185" s="156" t="inlineStr">
        <is>
          <t>EX-1251</t>
        </is>
      </c>
      <c r="D1185" s="156" t="inlineStr">
        <is>
          <t>DT-519</t>
        </is>
      </c>
      <c r="E1185" s="156" t="inlineStr">
        <is>
          <t>OB</t>
        </is>
      </c>
      <c r="F1185" s="156" t="n">
        <v>4</v>
      </c>
      <c r="G1185" s="156" t="inlineStr"/>
      <c r="H1185" s="157">
        <f>IF($B1185="","",IF(ISNA(MATCH($B1185,MASTER_JAM!$Q$5:$Q$28,0)),"?",IF(MATCH($B1185,MASTER_JAM!$Q$5:$Q$28,0)&lt;=12,"DS","NS")))</f>
        <v/>
      </c>
      <c r="I1185" s="157">
        <f>IFERROR(INDEX(MASTER_JAM!$B$5:$B$94,MATCH($C1185,MASTER_JAM!$A$5:$A$94,0)),"")</f>
        <v/>
      </c>
      <c r="J1185" s="157">
        <f>IFERROR(INDEX(MASTER_JAM!$E$5:$E$94,MATCH($D1185,MASTER_JAM!$A$5:$A$94,0)),"")</f>
        <v/>
      </c>
      <c r="K1185" s="158">
        <f>IFERROR(INDEX(MASTER_JAM!$J$5:$O$12,MATCH($E1185,MASTER_JAM!$I$5:$I$12,0),MATCH($J1185,MASTER_JAM!$J$4:$O$4,0))+0,0)</f>
        <v/>
      </c>
      <c r="L1185" s="159">
        <f>N($F1185)*$K1185</f>
        <v/>
      </c>
      <c r="M1185" s="157">
        <f>IF($E1185="","",IF(OR($E1185="Coal",$E1185="Dirty Coal"),"MT","BCM"))</f>
        <v/>
      </c>
      <c r="N1185" s="157">
        <f>IF($E1185="","",IF(OR($E1185="Coal",$E1185="Dirty Coal"),"Coal","OB"))</f>
        <v/>
      </c>
      <c r="O1185" s="157">
        <f>IF($F1185="","",IF(COUNTIF(MASTER_JAM!$A$5:$A$94,$C1185)=0,"Digger tidak dikenal",IF($J1185="","Hauler tidak dikenal",IF($H1185="?","Jam salah",IF($K1185=0,"Faktor kosong",IF(SUMIFS(INPUT_DELAY!$E$5:$E$20000,INPUT_DELAY!$A$5:$A$20000,$A1185,INPUT_DELAY!$B$5:$B$20000,$B1185,INPUT_DELAY!$C$5:$C$20000,$C1185)+SUMIFS(INPUT_DELAY!$E$5:$E$20000,INPUT_DELAY!$A$5:$A$20000,$A1185,INPUT_DELAY!$B$5:$B$20000,$B1185,INPUT_DELAY!$C$5:$C$20000,"SEMUA")&gt;=60,"Delay 60 mnt tapi ada ritase","OK"))))))</f>
        <v/>
      </c>
      <c r="P1185" s="158">
        <f>IFERROR(INDEX(MASTER_JAM!$Z$5:$AC$10,MATCH($I1185,MASTER_JAM!$Y$5:$Y$10,0),MATCH($J1185,MASTER_JAM!$Z$4:$AC$4,0))+0,0)</f>
        <v/>
      </c>
      <c r="Q1185" s="158">
        <f>IF($P1185=0,0,$P1185+IFERROR(INDEX(MASTER_JAM!$H$5:$H$94,MATCH($C1185,MASTER_JAM!$A$5:$A$94,0))+0,MASTER_JAM!$AC$15)/1000*(60/MASTER_JAM!$AC$12+60/MASTER_JAM!$AC$13)+MASTER_JAM!$AC$14)</f>
        <v/>
      </c>
      <c r="R1185" s="158">
        <f>IF(N($F1185)=0,0,$F1185/SUMIFS(INPUT_RITASE!$F$5:$F$20000,INPUT_RITASE!$A$5:$A$20000,$A1185,INPUT_RITASE!$B$5:$B$20000,$B1185,INPUT_RITASE!$C$5:$C$20000,$C1185,INPUT_RITASE!$D$5:$D$20000,$D1185))</f>
        <v/>
      </c>
      <c r="S1185" s="158">
        <f>IF($Q1185=0,0,$R1185*$P1185/$Q1185)</f>
        <v/>
      </c>
    </row>
    <row r="1186">
      <c r="A1186" s="155" t="n">
        <v>46108</v>
      </c>
      <c r="B1186" s="156" t="inlineStr">
        <is>
          <t>16-17</t>
        </is>
      </c>
      <c r="C1186" s="156" t="inlineStr">
        <is>
          <t>EX-1251</t>
        </is>
      </c>
      <c r="D1186" s="156" t="inlineStr">
        <is>
          <t>DT-515</t>
        </is>
      </c>
      <c r="E1186" s="156" t="inlineStr">
        <is>
          <t>OB</t>
        </is>
      </c>
      <c r="F1186" s="156" t="n">
        <v>4</v>
      </c>
      <c r="G1186" s="156" t="inlineStr"/>
      <c r="H1186" s="157">
        <f>IF($B1186="","",IF(ISNA(MATCH($B1186,MASTER_JAM!$Q$5:$Q$28,0)),"?",IF(MATCH($B1186,MASTER_JAM!$Q$5:$Q$28,0)&lt;=12,"DS","NS")))</f>
        <v/>
      </c>
      <c r="I1186" s="157">
        <f>IFERROR(INDEX(MASTER_JAM!$B$5:$B$94,MATCH($C1186,MASTER_JAM!$A$5:$A$94,0)),"")</f>
        <v/>
      </c>
      <c r="J1186" s="157">
        <f>IFERROR(INDEX(MASTER_JAM!$E$5:$E$94,MATCH($D1186,MASTER_JAM!$A$5:$A$94,0)),"")</f>
        <v/>
      </c>
      <c r="K1186" s="158">
        <f>IFERROR(INDEX(MASTER_JAM!$J$5:$O$12,MATCH($E1186,MASTER_JAM!$I$5:$I$12,0),MATCH($J1186,MASTER_JAM!$J$4:$O$4,0))+0,0)</f>
        <v/>
      </c>
      <c r="L1186" s="159">
        <f>N($F1186)*$K1186</f>
        <v/>
      </c>
      <c r="M1186" s="157">
        <f>IF($E1186="","",IF(OR($E1186="Coal",$E1186="Dirty Coal"),"MT","BCM"))</f>
        <v/>
      </c>
      <c r="N1186" s="157">
        <f>IF($E1186="","",IF(OR($E1186="Coal",$E1186="Dirty Coal"),"Coal","OB"))</f>
        <v/>
      </c>
      <c r="O1186" s="157">
        <f>IF($F1186="","",IF(COUNTIF(MASTER_JAM!$A$5:$A$94,$C1186)=0,"Digger tidak dikenal",IF($J1186="","Hauler tidak dikenal",IF($H1186="?","Jam salah",IF($K1186=0,"Faktor kosong",IF(SUMIFS(INPUT_DELAY!$E$5:$E$20000,INPUT_DELAY!$A$5:$A$20000,$A1186,INPUT_DELAY!$B$5:$B$20000,$B1186,INPUT_DELAY!$C$5:$C$20000,$C1186)+SUMIFS(INPUT_DELAY!$E$5:$E$20000,INPUT_DELAY!$A$5:$A$20000,$A1186,INPUT_DELAY!$B$5:$B$20000,$B1186,INPUT_DELAY!$C$5:$C$20000,"SEMUA")&gt;=60,"Delay 60 mnt tapi ada ritase","OK"))))))</f>
        <v/>
      </c>
      <c r="P1186" s="158">
        <f>IFERROR(INDEX(MASTER_JAM!$Z$5:$AC$10,MATCH($I1186,MASTER_JAM!$Y$5:$Y$10,0),MATCH($J1186,MASTER_JAM!$Z$4:$AC$4,0))+0,0)</f>
        <v/>
      </c>
      <c r="Q1186" s="158">
        <f>IF($P1186=0,0,$P1186+IFERROR(INDEX(MASTER_JAM!$H$5:$H$94,MATCH($C1186,MASTER_JAM!$A$5:$A$94,0))+0,MASTER_JAM!$AC$15)/1000*(60/MASTER_JAM!$AC$12+60/MASTER_JAM!$AC$13)+MASTER_JAM!$AC$14)</f>
        <v/>
      </c>
      <c r="R1186" s="158">
        <f>IF(N($F1186)=0,0,$F1186/SUMIFS(INPUT_RITASE!$F$5:$F$20000,INPUT_RITASE!$A$5:$A$20000,$A1186,INPUT_RITASE!$B$5:$B$20000,$B1186,INPUT_RITASE!$C$5:$C$20000,$C1186,INPUT_RITASE!$D$5:$D$20000,$D1186))</f>
        <v/>
      </c>
      <c r="S1186" s="158">
        <f>IF($Q1186=0,0,$R1186*$P1186/$Q1186)</f>
        <v/>
      </c>
    </row>
    <row r="1187">
      <c r="A1187" s="155" t="n">
        <v>46108</v>
      </c>
      <c r="B1187" s="156" t="inlineStr">
        <is>
          <t>16-17</t>
        </is>
      </c>
      <c r="C1187" s="156" t="inlineStr">
        <is>
          <t>EX-1251</t>
        </is>
      </c>
      <c r="D1187" s="156" t="inlineStr">
        <is>
          <t>DT-522</t>
        </is>
      </c>
      <c r="E1187" s="156" t="inlineStr">
        <is>
          <t>OB</t>
        </is>
      </c>
      <c r="F1187" s="156" t="n">
        <v>4</v>
      </c>
      <c r="G1187" s="156" t="inlineStr"/>
      <c r="H1187" s="157">
        <f>IF($B1187="","",IF(ISNA(MATCH($B1187,MASTER_JAM!$Q$5:$Q$28,0)),"?",IF(MATCH($B1187,MASTER_JAM!$Q$5:$Q$28,0)&lt;=12,"DS","NS")))</f>
        <v/>
      </c>
      <c r="I1187" s="157">
        <f>IFERROR(INDEX(MASTER_JAM!$B$5:$B$94,MATCH($C1187,MASTER_JAM!$A$5:$A$94,0)),"")</f>
        <v/>
      </c>
      <c r="J1187" s="157">
        <f>IFERROR(INDEX(MASTER_JAM!$E$5:$E$94,MATCH($D1187,MASTER_JAM!$A$5:$A$94,0)),"")</f>
        <v/>
      </c>
      <c r="K1187" s="158">
        <f>IFERROR(INDEX(MASTER_JAM!$J$5:$O$12,MATCH($E1187,MASTER_JAM!$I$5:$I$12,0),MATCH($J1187,MASTER_JAM!$J$4:$O$4,0))+0,0)</f>
        <v/>
      </c>
      <c r="L1187" s="159">
        <f>N($F1187)*$K1187</f>
        <v/>
      </c>
      <c r="M1187" s="157">
        <f>IF($E1187="","",IF(OR($E1187="Coal",$E1187="Dirty Coal"),"MT","BCM"))</f>
        <v/>
      </c>
      <c r="N1187" s="157">
        <f>IF($E1187="","",IF(OR($E1187="Coal",$E1187="Dirty Coal"),"Coal","OB"))</f>
        <v/>
      </c>
      <c r="O1187" s="157">
        <f>IF($F1187="","",IF(COUNTIF(MASTER_JAM!$A$5:$A$94,$C1187)=0,"Digger tidak dikenal",IF($J1187="","Hauler tidak dikenal",IF($H1187="?","Jam salah",IF($K1187=0,"Faktor kosong",IF(SUMIFS(INPUT_DELAY!$E$5:$E$20000,INPUT_DELAY!$A$5:$A$20000,$A1187,INPUT_DELAY!$B$5:$B$20000,$B1187,INPUT_DELAY!$C$5:$C$20000,$C1187)+SUMIFS(INPUT_DELAY!$E$5:$E$20000,INPUT_DELAY!$A$5:$A$20000,$A1187,INPUT_DELAY!$B$5:$B$20000,$B1187,INPUT_DELAY!$C$5:$C$20000,"SEMUA")&gt;=60,"Delay 60 mnt tapi ada ritase","OK"))))))</f>
        <v/>
      </c>
      <c r="P1187" s="158">
        <f>IFERROR(INDEX(MASTER_JAM!$Z$5:$AC$10,MATCH($I1187,MASTER_JAM!$Y$5:$Y$10,0),MATCH($J1187,MASTER_JAM!$Z$4:$AC$4,0))+0,0)</f>
        <v/>
      </c>
      <c r="Q1187" s="158">
        <f>IF($P1187=0,0,$P1187+IFERROR(INDEX(MASTER_JAM!$H$5:$H$94,MATCH($C1187,MASTER_JAM!$A$5:$A$94,0))+0,MASTER_JAM!$AC$15)/1000*(60/MASTER_JAM!$AC$12+60/MASTER_JAM!$AC$13)+MASTER_JAM!$AC$14)</f>
        <v/>
      </c>
      <c r="R1187" s="158">
        <f>IF(N($F1187)=0,0,$F1187/SUMIFS(INPUT_RITASE!$F$5:$F$20000,INPUT_RITASE!$A$5:$A$20000,$A1187,INPUT_RITASE!$B$5:$B$20000,$B1187,INPUT_RITASE!$C$5:$C$20000,$C1187,INPUT_RITASE!$D$5:$D$20000,$D1187))</f>
        <v/>
      </c>
      <c r="S1187" s="158">
        <f>IF($Q1187=0,0,$R1187*$P1187/$Q1187)</f>
        <v/>
      </c>
    </row>
    <row r="1188">
      <c r="A1188" s="155" t="n">
        <v>46108</v>
      </c>
      <c r="B1188" s="156" t="inlineStr">
        <is>
          <t>16-17</t>
        </is>
      </c>
      <c r="C1188" s="156" t="inlineStr">
        <is>
          <t>EX-1251</t>
        </is>
      </c>
      <c r="D1188" s="156" t="inlineStr">
        <is>
          <t>DT-504</t>
        </is>
      </c>
      <c r="E1188" s="156" t="inlineStr">
        <is>
          <t>OB</t>
        </is>
      </c>
      <c r="F1188" s="156" t="n">
        <v>4</v>
      </c>
      <c r="G1188" s="156" t="inlineStr"/>
      <c r="H1188" s="157">
        <f>IF($B1188="","",IF(ISNA(MATCH($B1188,MASTER_JAM!$Q$5:$Q$28,0)),"?",IF(MATCH($B1188,MASTER_JAM!$Q$5:$Q$28,0)&lt;=12,"DS","NS")))</f>
        <v/>
      </c>
      <c r="I1188" s="157">
        <f>IFERROR(INDEX(MASTER_JAM!$B$5:$B$94,MATCH($C1188,MASTER_JAM!$A$5:$A$94,0)),"")</f>
        <v/>
      </c>
      <c r="J1188" s="157">
        <f>IFERROR(INDEX(MASTER_JAM!$E$5:$E$94,MATCH($D1188,MASTER_JAM!$A$5:$A$94,0)),"")</f>
        <v/>
      </c>
      <c r="K1188" s="158">
        <f>IFERROR(INDEX(MASTER_JAM!$J$5:$O$12,MATCH($E1188,MASTER_JAM!$I$5:$I$12,0),MATCH($J1188,MASTER_JAM!$J$4:$O$4,0))+0,0)</f>
        <v/>
      </c>
      <c r="L1188" s="159">
        <f>N($F1188)*$K1188</f>
        <v/>
      </c>
      <c r="M1188" s="157">
        <f>IF($E1188="","",IF(OR($E1188="Coal",$E1188="Dirty Coal"),"MT","BCM"))</f>
        <v/>
      </c>
      <c r="N1188" s="157">
        <f>IF($E1188="","",IF(OR($E1188="Coal",$E1188="Dirty Coal"),"Coal","OB"))</f>
        <v/>
      </c>
      <c r="O1188" s="157">
        <f>IF($F1188="","",IF(COUNTIF(MASTER_JAM!$A$5:$A$94,$C1188)=0,"Digger tidak dikenal",IF($J1188="","Hauler tidak dikenal",IF($H1188="?","Jam salah",IF($K1188=0,"Faktor kosong",IF(SUMIFS(INPUT_DELAY!$E$5:$E$20000,INPUT_DELAY!$A$5:$A$20000,$A1188,INPUT_DELAY!$B$5:$B$20000,$B1188,INPUT_DELAY!$C$5:$C$20000,$C1188)+SUMIFS(INPUT_DELAY!$E$5:$E$20000,INPUT_DELAY!$A$5:$A$20000,$A1188,INPUT_DELAY!$B$5:$B$20000,$B1188,INPUT_DELAY!$C$5:$C$20000,"SEMUA")&gt;=60,"Delay 60 mnt tapi ada ritase","OK"))))))</f>
        <v/>
      </c>
      <c r="P1188" s="158">
        <f>IFERROR(INDEX(MASTER_JAM!$Z$5:$AC$10,MATCH($I1188,MASTER_JAM!$Y$5:$Y$10,0),MATCH($J1188,MASTER_JAM!$Z$4:$AC$4,0))+0,0)</f>
        <v/>
      </c>
      <c r="Q1188" s="158">
        <f>IF($P1188=0,0,$P1188+IFERROR(INDEX(MASTER_JAM!$H$5:$H$94,MATCH($C1188,MASTER_JAM!$A$5:$A$94,0))+0,MASTER_JAM!$AC$15)/1000*(60/MASTER_JAM!$AC$12+60/MASTER_JAM!$AC$13)+MASTER_JAM!$AC$14)</f>
        <v/>
      </c>
      <c r="R1188" s="158">
        <f>IF(N($F1188)=0,0,$F1188/SUMIFS(INPUT_RITASE!$F$5:$F$20000,INPUT_RITASE!$A$5:$A$20000,$A1188,INPUT_RITASE!$B$5:$B$20000,$B1188,INPUT_RITASE!$C$5:$C$20000,$C1188,INPUT_RITASE!$D$5:$D$20000,$D1188))</f>
        <v/>
      </c>
      <c r="S1188" s="158">
        <f>IF($Q1188=0,0,$R1188*$P1188/$Q1188)</f>
        <v/>
      </c>
    </row>
    <row r="1189">
      <c r="A1189" s="155" t="n">
        <v>46108</v>
      </c>
      <c r="B1189" s="156" t="inlineStr">
        <is>
          <t>06-07</t>
        </is>
      </c>
      <c r="C1189" s="156" t="inlineStr">
        <is>
          <t>EX-1252</t>
        </is>
      </c>
      <c r="D1189" s="156" t="inlineStr">
        <is>
          <t>HD-902</t>
        </is>
      </c>
      <c r="E1189" s="156" t="inlineStr">
        <is>
          <t>OB</t>
        </is>
      </c>
      <c r="F1189" s="156" t="n">
        <v>4</v>
      </c>
      <c r="G1189" s="156" t="inlineStr"/>
      <c r="H1189" s="157">
        <f>IF($B1189="","",IF(ISNA(MATCH($B1189,MASTER_JAM!$Q$5:$Q$28,0)),"?",IF(MATCH($B1189,MASTER_JAM!$Q$5:$Q$28,0)&lt;=12,"DS","NS")))</f>
        <v/>
      </c>
      <c r="I1189" s="157">
        <f>IFERROR(INDEX(MASTER_JAM!$B$5:$B$94,MATCH($C1189,MASTER_JAM!$A$5:$A$94,0)),"")</f>
        <v/>
      </c>
      <c r="J1189" s="157">
        <f>IFERROR(INDEX(MASTER_JAM!$E$5:$E$94,MATCH($D1189,MASTER_JAM!$A$5:$A$94,0)),"")</f>
        <v/>
      </c>
      <c r="K1189" s="158">
        <f>IFERROR(INDEX(MASTER_JAM!$J$5:$O$12,MATCH($E1189,MASTER_JAM!$I$5:$I$12,0),MATCH($J1189,MASTER_JAM!$J$4:$O$4,0))+0,0)</f>
        <v/>
      </c>
      <c r="L1189" s="159">
        <f>N($F1189)*$K1189</f>
        <v/>
      </c>
      <c r="M1189" s="157">
        <f>IF($E1189="","",IF(OR($E1189="Coal",$E1189="Dirty Coal"),"MT","BCM"))</f>
        <v/>
      </c>
      <c r="N1189" s="157">
        <f>IF($E1189="","",IF(OR($E1189="Coal",$E1189="Dirty Coal"),"Coal","OB"))</f>
        <v/>
      </c>
      <c r="O1189" s="157">
        <f>IF($F1189="","",IF(COUNTIF(MASTER_JAM!$A$5:$A$94,$C1189)=0,"Digger tidak dikenal",IF($J1189="","Hauler tidak dikenal",IF($H1189="?","Jam salah",IF($K1189=0,"Faktor kosong",IF(SUMIFS(INPUT_DELAY!$E$5:$E$20000,INPUT_DELAY!$A$5:$A$20000,$A1189,INPUT_DELAY!$B$5:$B$20000,$B1189,INPUT_DELAY!$C$5:$C$20000,$C1189)+SUMIFS(INPUT_DELAY!$E$5:$E$20000,INPUT_DELAY!$A$5:$A$20000,$A1189,INPUT_DELAY!$B$5:$B$20000,$B1189,INPUT_DELAY!$C$5:$C$20000,"SEMUA")&gt;=60,"Delay 60 mnt tapi ada ritase","OK"))))))</f>
        <v/>
      </c>
      <c r="P1189" s="158">
        <f>IFERROR(INDEX(MASTER_JAM!$Z$5:$AC$10,MATCH($I1189,MASTER_JAM!$Y$5:$Y$10,0),MATCH($J1189,MASTER_JAM!$Z$4:$AC$4,0))+0,0)</f>
        <v/>
      </c>
      <c r="Q1189" s="158">
        <f>IF($P1189=0,0,$P1189+IFERROR(INDEX(MASTER_JAM!$H$5:$H$94,MATCH($C1189,MASTER_JAM!$A$5:$A$94,0))+0,MASTER_JAM!$AC$15)/1000*(60/MASTER_JAM!$AC$12+60/MASTER_JAM!$AC$13)+MASTER_JAM!$AC$14)</f>
        <v/>
      </c>
      <c r="R1189" s="158">
        <f>IF(N($F1189)=0,0,$F1189/SUMIFS(INPUT_RITASE!$F$5:$F$20000,INPUT_RITASE!$A$5:$A$20000,$A1189,INPUT_RITASE!$B$5:$B$20000,$B1189,INPUT_RITASE!$C$5:$C$20000,$C1189,INPUT_RITASE!$D$5:$D$20000,$D1189))</f>
        <v/>
      </c>
      <c r="S1189" s="158">
        <f>IF($Q1189=0,0,$R1189*$P1189/$Q1189)</f>
        <v/>
      </c>
    </row>
    <row r="1190">
      <c r="A1190" s="155" t="n">
        <v>46108</v>
      </c>
      <c r="B1190" s="156" t="inlineStr">
        <is>
          <t>06-07</t>
        </is>
      </c>
      <c r="C1190" s="156" t="inlineStr">
        <is>
          <t>EX-1252</t>
        </is>
      </c>
      <c r="D1190" s="156" t="inlineStr">
        <is>
          <t>HD-905</t>
        </is>
      </c>
      <c r="E1190" s="156" t="inlineStr">
        <is>
          <t>OB</t>
        </is>
      </c>
      <c r="F1190" s="156" t="n">
        <v>4</v>
      </c>
      <c r="G1190" s="156" t="inlineStr"/>
      <c r="H1190" s="157">
        <f>IF($B1190="","",IF(ISNA(MATCH($B1190,MASTER_JAM!$Q$5:$Q$28,0)),"?",IF(MATCH($B1190,MASTER_JAM!$Q$5:$Q$28,0)&lt;=12,"DS","NS")))</f>
        <v/>
      </c>
      <c r="I1190" s="157">
        <f>IFERROR(INDEX(MASTER_JAM!$B$5:$B$94,MATCH($C1190,MASTER_JAM!$A$5:$A$94,0)),"")</f>
        <v/>
      </c>
      <c r="J1190" s="157">
        <f>IFERROR(INDEX(MASTER_JAM!$E$5:$E$94,MATCH($D1190,MASTER_JAM!$A$5:$A$94,0)),"")</f>
        <v/>
      </c>
      <c r="K1190" s="158">
        <f>IFERROR(INDEX(MASTER_JAM!$J$5:$O$12,MATCH($E1190,MASTER_JAM!$I$5:$I$12,0),MATCH($J1190,MASTER_JAM!$J$4:$O$4,0))+0,0)</f>
        <v/>
      </c>
      <c r="L1190" s="159">
        <f>N($F1190)*$K1190</f>
        <v/>
      </c>
      <c r="M1190" s="157">
        <f>IF($E1190="","",IF(OR($E1190="Coal",$E1190="Dirty Coal"),"MT","BCM"))</f>
        <v/>
      </c>
      <c r="N1190" s="157">
        <f>IF($E1190="","",IF(OR($E1190="Coal",$E1190="Dirty Coal"),"Coal","OB"))</f>
        <v/>
      </c>
      <c r="O1190" s="157">
        <f>IF($F1190="","",IF(COUNTIF(MASTER_JAM!$A$5:$A$94,$C1190)=0,"Digger tidak dikenal",IF($J1190="","Hauler tidak dikenal",IF($H1190="?","Jam salah",IF($K1190=0,"Faktor kosong",IF(SUMIFS(INPUT_DELAY!$E$5:$E$20000,INPUT_DELAY!$A$5:$A$20000,$A1190,INPUT_DELAY!$B$5:$B$20000,$B1190,INPUT_DELAY!$C$5:$C$20000,$C1190)+SUMIFS(INPUT_DELAY!$E$5:$E$20000,INPUT_DELAY!$A$5:$A$20000,$A1190,INPUT_DELAY!$B$5:$B$20000,$B1190,INPUT_DELAY!$C$5:$C$20000,"SEMUA")&gt;=60,"Delay 60 mnt tapi ada ritase","OK"))))))</f>
        <v/>
      </c>
      <c r="P1190" s="158">
        <f>IFERROR(INDEX(MASTER_JAM!$Z$5:$AC$10,MATCH($I1190,MASTER_JAM!$Y$5:$Y$10,0),MATCH($J1190,MASTER_JAM!$Z$4:$AC$4,0))+0,0)</f>
        <v/>
      </c>
      <c r="Q1190" s="158">
        <f>IF($P1190=0,0,$P1190+IFERROR(INDEX(MASTER_JAM!$H$5:$H$94,MATCH($C1190,MASTER_JAM!$A$5:$A$94,0))+0,MASTER_JAM!$AC$15)/1000*(60/MASTER_JAM!$AC$12+60/MASTER_JAM!$AC$13)+MASTER_JAM!$AC$14)</f>
        <v/>
      </c>
      <c r="R1190" s="158">
        <f>IF(N($F1190)=0,0,$F1190/SUMIFS(INPUT_RITASE!$F$5:$F$20000,INPUT_RITASE!$A$5:$A$20000,$A1190,INPUT_RITASE!$B$5:$B$20000,$B1190,INPUT_RITASE!$C$5:$C$20000,$C1190,INPUT_RITASE!$D$5:$D$20000,$D1190))</f>
        <v/>
      </c>
      <c r="S1190" s="158">
        <f>IF($Q1190=0,0,$R1190*$P1190/$Q1190)</f>
        <v/>
      </c>
    </row>
    <row r="1191">
      <c r="A1191" s="155" t="n">
        <v>46108</v>
      </c>
      <c r="B1191" s="156" t="inlineStr">
        <is>
          <t>06-07</t>
        </is>
      </c>
      <c r="C1191" s="156" t="inlineStr">
        <is>
          <t>EX-1252</t>
        </is>
      </c>
      <c r="D1191" s="156" t="inlineStr">
        <is>
          <t>DT-512</t>
        </is>
      </c>
      <c r="E1191" s="156" t="inlineStr">
        <is>
          <t>OB</t>
        </is>
      </c>
      <c r="F1191" s="156" t="n">
        <v>4</v>
      </c>
      <c r="G1191" s="156" t="inlineStr"/>
      <c r="H1191" s="157">
        <f>IF($B1191="","",IF(ISNA(MATCH($B1191,MASTER_JAM!$Q$5:$Q$28,0)),"?",IF(MATCH($B1191,MASTER_JAM!$Q$5:$Q$28,0)&lt;=12,"DS","NS")))</f>
        <v/>
      </c>
      <c r="I1191" s="157">
        <f>IFERROR(INDEX(MASTER_JAM!$B$5:$B$94,MATCH($C1191,MASTER_JAM!$A$5:$A$94,0)),"")</f>
        <v/>
      </c>
      <c r="J1191" s="157">
        <f>IFERROR(INDEX(MASTER_JAM!$E$5:$E$94,MATCH($D1191,MASTER_JAM!$A$5:$A$94,0)),"")</f>
        <v/>
      </c>
      <c r="K1191" s="158">
        <f>IFERROR(INDEX(MASTER_JAM!$J$5:$O$12,MATCH($E1191,MASTER_JAM!$I$5:$I$12,0),MATCH($J1191,MASTER_JAM!$J$4:$O$4,0))+0,0)</f>
        <v/>
      </c>
      <c r="L1191" s="159">
        <f>N($F1191)*$K1191</f>
        <v/>
      </c>
      <c r="M1191" s="157">
        <f>IF($E1191="","",IF(OR($E1191="Coal",$E1191="Dirty Coal"),"MT","BCM"))</f>
        <v/>
      </c>
      <c r="N1191" s="157">
        <f>IF($E1191="","",IF(OR($E1191="Coal",$E1191="Dirty Coal"),"Coal","OB"))</f>
        <v/>
      </c>
      <c r="O1191" s="157">
        <f>IF($F1191="","",IF(COUNTIF(MASTER_JAM!$A$5:$A$94,$C1191)=0,"Digger tidak dikenal",IF($J1191="","Hauler tidak dikenal",IF($H1191="?","Jam salah",IF($K1191=0,"Faktor kosong",IF(SUMIFS(INPUT_DELAY!$E$5:$E$20000,INPUT_DELAY!$A$5:$A$20000,$A1191,INPUT_DELAY!$B$5:$B$20000,$B1191,INPUT_DELAY!$C$5:$C$20000,$C1191)+SUMIFS(INPUT_DELAY!$E$5:$E$20000,INPUT_DELAY!$A$5:$A$20000,$A1191,INPUT_DELAY!$B$5:$B$20000,$B1191,INPUT_DELAY!$C$5:$C$20000,"SEMUA")&gt;=60,"Delay 60 mnt tapi ada ritase","OK"))))))</f>
        <v/>
      </c>
      <c r="P1191" s="158">
        <f>IFERROR(INDEX(MASTER_JAM!$Z$5:$AC$10,MATCH($I1191,MASTER_JAM!$Y$5:$Y$10,0),MATCH($J1191,MASTER_JAM!$Z$4:$AC$4,0))+0,0)</f>
        <v/>
      </c>
      <c r="Q1191" s="158">
        <f>IF($P1191=0,0,$P1191+IFERROR(INDEX(MASTER_JAM!$H$5:$H$94,MATCH($C1191,MASTER_JAM!$A$5:$A$94,0))+0,MASTER_JAM!$AC$15)/1000*(60/MASTER_JAM!$AC$12+60/MASTER_JAM!$AC$13)+MASTER_JAM!$AC$14)</f>
        <v/>
      </c>
      <c r="R1191" s="158">
        <f>IF(N($F1191)=0,0,$F1191/SUMIFS(INPUT_RITASE!$F$5:$F$20000,INPUT_RITASE!$A$5:$A$20000,$A1191,INPUT_RITASE!$B$5:$B$20000,$B1191,INPUT_RITASE!$C$5:$C$20000,$C1191,INPUT_RITASE!$D$5:$D$20000,$D1191))</f>
        <v/>
      </c>
      <c r="S1191" s="158">
        <f>IF($Q1191=0,0,$R1191*$P1191/$Q1191)</f>
        <v/>
      </c>
    </row>
    <row r="1192">
      <c r="A1192" s="155" t="n">
        <v>46108</v>
      </c>
      <c r="B1192" s="156" t="inlineStr">
        <is>
          <t>07-08</t>
        </is>
      </c>
      <c r="C1192" s="156" t="inlineStr">
        <is>
          <t>EX-1252</t>
        </is>
      </c>
      <c r="D1192" s="156" t="inlineStr">
        <is>
          <t>HD-902</t>
        </is>
      </c>
      <c r="E1192" s="156" t="inlineStr">
        <is>
          <t>OB</t>
        </is>
      </c>
      <c r="F1192" s="156" t="n">
        <v>4</v>
      </c>
      <c r="G1192" s="156" t="inlineStr"/>
      <c r="H1192" s="157">
        <f>IF($B1192="","",IF(ISNA(MATCH($B1192,MASTER_JAM!$Q$5:$Q$28,0)),"?",IF(MATCH($B1192,MASTER_JAM!$Q$5:$Q$28,0)&lt;=12,"DS","NS")))</f>
        <v/>
      </c>
      <c r="I1192" s="157">
        <f>IFERROR(INDEX(MASTER_JAM!$B$5:$B$94,MATCH($C1192,MASTER_JAM!$A$5:$A$94,0)),"")</f>
        <v/>
      </c>
      <c r="J1192" s="157">
        <f>IFERROR(INDEX(MASTER_JAM!$E$5:$E$94,MATCH($D1192,MASTER_JAM!$A$5:$A$94,0)),"")</f>
        <v/>
      </c>
      <c r="K1192" s="158">
        <f>IFERROR(INDEX(MASTER_JAM!$J$5:$O$12,MATCH($E1192,MASTER_JAM!$I$5:$I$12,0),MATCH($J1192,MASTER_JAM!$J$4:$O$4,0))+0,0)</f>
        <v/>
      </c>
      <c r="L1192" s="159">
        <f>N($F1192)*$K1192</f>
        <v/>
      </c>
      <c r="M1192" s="157">
        <f>IF($E1192="","",IF(OR($E1192="Coal",$E1192="Dirty Coal"),"MT","BCM"))</f>
        <v/>
      </c>
      <c r="N1192" s="157">
        <f>IF($E1192="","",IF(OR($E1192="Coal",$E1192="Dirty Coal"),"Coal","OB"))</f>
        <v/>
      </c>
      <c r="O1192" s="157">
        <f>IF($F1192="","",IF(COUNTIF(MASTER_JAM!$A$5:$A$94,$C1192)=0,"Digger tidak dikenal",IF($J1192="","Hauler tidak dikenal",IF($H1192="?","Jam salah",IF($K1192=0,"Faktor kosong",IF(SUMIFS(INPUT_DELAY!$E$5:$E$20000,INPUT_DELAY!$A$5:$A$20000,$A1192,INPUT_DELAY!$B$5:$B$20000,$B1192,INPUT_DELAY!$C$5:$C$20000,$C1192)+SUMIFS(INPUT_DELAY!$E$5:$E$20000,INPUT_DELAY!$A$5:$A$20000,$A1192,INPUT_DELAY!$B$5:$B$20000,$B1192,INPUT_DELAY!$C$5:$C$20000,"SEMUA")&gt;=60,"Delay 60 mnt tapi ada ritase","OK"))))))</f>
        <v/>
      </c>
      <c r="P1192" s="158">
        <f>IFERROR(INDEX(MASTER_JAM!$Z$5:$AC$10,MATCH($I1192,MASTER_JAM!$Y$5:$Y$10,0),MATCH($J1192,MASTER_JAM!$Z$4:$AC$4,0))+0,0)</f>
        <v/>
      </c>
      <c r="Q1192" s="158">
        <f>IF($P1192=0,0,$P1192+IFERROR(INDEX(MASTER_JAM!$H$5:$H$94,MATCH($C1192,MASTER_JAM!$A$5:$A$94,0))+0,MASTER_JAM!$AC$15)/1000*(60/MASTER_JAM!$AC$12+60/MASTER_JAM!$AC$13)+MASTER_JAM!$AC$14)</f>
        <v/>
      </c>
      <c r="R1192" s="158">
        <f>IF(N($F1192)=0,0,$F1192/SUMIFS(INPUT_RITASE!$F$5:$F$20000,INPUT_RITASE!$A$5:$A$20000,$A1192,INPUT_RITASE!$B$5:$B$20000,$B1192,INPUT_RITASE!$C$5:$C$20000,$C1192,INPUT_RITASE!$D$5:$D$20000,$D1192))</f>
        <v/>
      </c>
      <c r="S1192" s="158">
        <f>IF($Q1192=0,0,$R1192*$P1192/$Q1192)</f>
        <v/>
      </c>
    </row>
    <row r="1193">
      <c r="A1193" s="155" t="n">
        <v>46108</v>
      </c>
      <c r="B1193" s="156" t="inlineStr">
        <is>
          <t>07-08</t>
        </is>
      </c>
      <c r="C1193" s="156" t="inlineStr">
        <is>
          <t>EX-1252</t>
        </is>
      </c>
      <c r="D1193" s="156" t="inlineStr">
        <is>
          <t>HD-904</t>
        </is>
      </c>
      <c r="E1193" s="156" t="inlineStr">
        <is>
          <t>OB</t>
        </is>
      </c>
      <c r="F1193" s="156" t="n">
        <v>4</v>
      </c>
      <c r="G1193" s="156" t="inlineStr"/>
      <c r="H1193" s="157">
        <f>IF($B1193="","",IF(ISNA(MATCH($B1193,MASTER_JAM!$Q$5:$Q$28,0)),"?",IF(MATCH($B1193,MASTER_JAM!$Q$5:$Q$28,0)&lt;=12,"DS","NS")))</f>
        <v/>
      </c>
      <c r="I1193" s="157">
        <f>IFERROR(INDEX(MASTER_JAM!$B$5:$B$94,MATCH($C1193,MASTER_JAM!$A$5:$A$94,0)),"")</f>
        <v/>
      </c>
      <c r="J1193" s="157">
        <f>IFERROR(INDEX(MASTER_JAM!$E$5:$E$94,MATCH($D1193,MASTER_JAM!$A$5:$A$94,0)),"")</f>
        <v/>
      </c>
      <c r="K1193" s="158">
        <f>IFERROR(INDEX(MASTER_JAM!$J$5:$O$12,MATCH($E1193,MASTER_JAM!$I$5:$I$12,0),MATCH($J1193,MASTER_JAM!$J$4:$O$4,0))+0,0)</f>
        <v/>
      </c>
      <c r="L1193" s="159">
        <f>N($F1193)*$K1193</f>
        <v/>
      </c>
      <c r="M1193" s="157">
        <f>IF($E1193="","",IF(OR($E1193="Coal",$E1193="Dirty Coal"),"MT","BCM"))</f>
        <v/>
      </c>
      <c r="N1193" s="157">
        <f>IF($E1193="","",IF(OR($E1193="Coal",$E1193="Dirty Coal"),"Coal","OB"))</f>
        <v/>
      </c>
      <c r="O1193" s="157">
        <f>IF($F1193="","",IF(COUNTIF(MASTER_JAM!$A$5:$A$94,$C1193)=0,"Digger tidak dikenal",IF($J1193="","Hauler tidak dikenal",IF($H1193="?","Jam salah",IF($K1193=0,"Faktor kosong",IF(SUMIFS(INPUT_DELAY!$E$5:$E$20000,INPUT_DELAY!$A$5:$A$20000,$A1193,INPUT_DELAY!$B$5:$B$20000,$B1193,INPUT_DELAY!$C$5:$C$20000,$C1193)+SUMIFS(INPUT_DELAY!$E$5:$E$20000,INPUT_DELAY!$A$5:$A$20000,$A1193,INPUT_DELAY!$B$5:$B$20000,$B1193,INPUT_DELAY!$C$5:$C$20000,"SEMUA")&gt;=60,"Delay 60 mnt tapi ada ritase","OK"))))))</f>
        <v/>
      </c>
      <c r="P1193" s="158">
        <f>IFERROR(INDEX(MASTER_JAM!$Z$5:$AC$10,MATCH($I1193,MASTER_JAM!$Y$5:$Y$10,0),MATCH($J1193,MASTER_JAM!$Z$4:$AC$4,0))+0,0)</f>
        <v/>
      </c>
      <c r="Q1193" s="158">
        <f>IF($P1193=0,0,$P1193+IFERROR(INDEX(MASTER_JAM!$H$5:$H$94,MATCH($C1193,MASTER_JAM!$A$5:$A$94,0))+0,MASTER_JAM!$AC$15)/1000*(60/MASTER_JAM!$AC$12+60/MASTER_JAM!$AC$13)+MASTER_JAM!$AC$14)</f>
        <v/>
      </c>
      <c r="R1193" s="158">
        <f>IF(N($F1193)=0,0,$F1193/SUMIFS(INPUT_RITASE!$F$5:$F$20000,INPUT_RITASE!$A$5:$A$20000,$A1193,INPUT_RITASE!$B$5:$B$20000,$B1193,INPUT_RITASE!$C$5:$C$20000,$C1193,INPUT_RITASE!$D$5:$D$20000,$D1193))</f>
        <v/>
      </c>
      <c r="S1193" s="158">
        <f>IF($Q1193=0,0,$R1193*$P1193/$Q1193)</f>
        <v/>
      </c>
    </row>
    <row r="1194">
      <c r="A1194" s="155" t="n">
        <v>46108</v>
      </c>
      <c r="B1194" s="156" t="inlineStr">
        <is>
          <t>07-08</t>
        </is>
      </c>
      <c r="C1194" s="156" t="inlineStr">
        <is>
          <t>EX-1252</t>
        </is>
      </c>
      <c r="D1194" s="156" t="inlineStr">
        <is>
          <t>DT-511</t>
        </is>
      </c>
      <c r="E1194" s="156" t="inlineStr">
        <is>
          <t>OB</t>
        </is>
      </c>
      <c r="F1194" s="156" t="n">
        <v>3</v>
      </c>
      <c r="G1194" s="156" t="inlineStr"/>
      <c r="H1194" s="157">
        <f>IF($B1194="","",IF(ISNA(MATCH($B1194,MASTER_JAM!$Q$5:$Q$28,0)),"?",IF(MATCH($B1194,MASTER_JAM!$Q$5:$Q$28,0)&lt;=12,"DS","NS")))</f>
        <v/>
      </c>
      <c r="I1194" s="157">
        <f>IFERROR(INDEX(MASTER_JAM!$B$5:$B$94,MATCH($C1194,MASTER_JAM!$A$5:$A$94,0)),"")</f>
        <v/>
      </c>
      <c r="J1194" s="157">
        <f>IFERROR(INDEX(MASTER_JAM!$E$5:$E$94,MATCH($D1194,MASTER_JAM!$A$5:$A$94,0)),"")</f>
        <v/>
      </c>
      <c r="K1194" s="158">
        <f>IFERROR(INDEX(MASTER_JAM!$J$5:$O$12,MATCH($E1194,MASTER_JAM!$I$5:$I$12,0),MATCH($J1194,MASTER_JAM!$J$4:$O$4,0))+0,0)</f>
        <v/>
      </c>
      <c r="L1194" s="159">
        <f>N($F1194)*$K1194</f>
        <v/>
      </c>
      <c r="M1194" s="157">
        <f>IF($E1194="","",IF(OR($E1194="Coal",$E1194="Dirty Coal"),"MT","BCM"))</f>
        <v/>
      </c>
      <c r="N1194" s="157">
        <f>IF($E1194="","",IF(OR($E1194="Coal",$E1194="Dirty Coal"),"Coal","OB"))</f>
        <v/>
      </c>
      <c r="O1194" s="157">
        <f>IF($F1194="","",IF(COUNTIF(MASTER_JAM!$A$5:$A$94,$C1194)=0,"Digger tidak dikenal",IF($J1194="","Hauler tidak dikenal",IF($H1194="?","Jam salah",IF($K1194=0,"Faktor kosong",IF(SUMIFS(INPUT_DELAY!$E$5:$E$20000,INPUT_DELAY!$A$5:$A$20000,$A1194,INPUT_DELAY!$B$5:$B$20000,$B1194,INPUT_DELAY!$C$5:$C$20000,$C1194)+SUMIFS(INPUT_DELAY!$E$5:$E$20000,INPUT_DELAY!$A$5:$A$20000,$A1194,INPUT_DELAY!$B$5:$B$20000,$B1194,INPUT_DELAY!$C$5:$C$20000,"SEMUA")&gt;=60,"Delay 60 mnt tapi ada ritase","OK"))))))</f>
        <v/>
      </c>
      <c r="P1194" s="158">
        <f>IFERROR(INDEX(MASTER_JAM!$Z$5:$AC$10,MATCH($I1194,MASTER_JAM!$Y$5:$Y$10,0),MATCH($J1194,MASTER_JAM!$Z$4:$AC$4,0))+0,0)</f>
        <v/>
      </c>
      <c r="Q1194" s="158">
        <f>IF($P1194=0,0,$P1194+IFERROR(INDEX(MASTER_JAM!$H$5:$H$94,MATCH($C1194,MASTER_JAM!$A$5:$A$94,0))+0,MASTER_JAM!$AC$15)/1000*(60/MASTER_JAM!$AC$12+60/MASTER_JAM!$AC$13)+MASTER_JAM!$AC$14)</f>
        <v/>
      </c>
      <c r="R1194" s="158">
        <f>IF(N($F1194)=0,0,$F1194/SUMIFS(INPUT_RITASE!$F$5:$F$20000,INPUT_RITASE!$A$5:$A$20000,$A1194,INPUT_RITASE!$B$5:$B$20000,$B1194,INPUT_RITASE!$C$5:$C$20000,$C1194,INPUT_RITASE!$D$5:$D$20000,$D1194))</f>
        <v/>
      </c>
      <c r="S1194" s="158">
        <f>IF($Q1194=0,0,$R1194*$P1194/$Q1194)</f>
        <v/>
      </c>
    </row>
    <row r="1195">
      <c r="A1195" s="155" t="n">
        <v>46108</v>
      </c>
      <c r="B1195" s="156" t="inlineStr">
        <is>
          <t>08-09</t>
        </is>
      </c>
      <c r="C1195" s="156" t="inlineStr">
        <is>
          <t>EX-1252</t>
        </is>
      </c>
      <c r="D1195" s="156" t="inlineStr">
        <is>
          <t>HD-905</t>
        </is>
      </c>
      <c r="E1195" s="156" t="inlineStr">
        <is>
          <t>OB</t>
        </is>
      </c>
      <c r="F1195" s="156" t="n">
        <v>3</v>
      </c>
      <c r="G1195" s="156" t="inlineStr"/>
      <c r="H1195" s="157">
        <f>IF($B1195="","",IF(ISNA(MATCH($B1195,MASTER_JAM!$Q$5:$Q$28,0)),"?",IF(MATCH($B1195,MASTER_JAM!$Q$5:$Q$28,0)&lt;=12,"DS","NS")))</f>
        <v/>
      </c>
      <c r="I1195" s="157">
        <f>IFERROR(INDEX(MASTER_JAM!$B$5:$B$94,MATCH($C1195,MASTER_JAM!$A$5:$A$94,0)),"")</f>
        <v/>
      </c>
      <c r="J1195" s="157">
        <f>IFERROR(INDEX(MASTER_JAM!$E$5:$E$94,MATCH($D1195,MASTER_JAM!$A$5:$A$94,0)),"")</f>
        <v/>
      </c>
      <c r="K1195" s="158">
        <f>IFERROR(INDEX(MASTER_JAM!$J$5:$O$12,MATCH($E1195,MASTER_JAM!$I$5:$I$12,0),MATCH($J1195,MASTER_JAM!$J$4:$O$4,0))+0,0)</f>
        <v/>
      </c>
      <c r="L1195" s="159">
        <f>N($F1195)*$K1195</f>
        <v/>
      </c>
      <c r="M1195" s="157">
        <f>IF($E1195="","",IF(OR($E1195="Coal",$E1195="Dirty Coal"),"MT","BCM"))</f>
        <v/>
      </c>
      <c r="N1195" s="157">
        <f>IF($E1195="","",IF(OR($E1195="Coal",$E1195="Dirty Coal"),"Coal","OB"))</f>
        <v/>
      </c>
      <c r="O1195" s="157">
        <f>IF($F1195="","",IF(COUNTIF(MASTER_JAM!$A$5:$A$94,$C1195)=0,"Digger tidak dikenal",IF($J1195="","Hauler tidak dikenal",IF($H1195="?","Jam salah",IF($K1195=0,"Faktor kosong",IF(SUMIFS(INPUT_DELAY!$E$5:$E$20000,INPUT_DELAY!$A$5:$A$20000,$A1195,INPUT_DELAY!$B$5:$B$20000,$B1195,INPUT_DELAY!$C$5:$C$20000,$C1195)+SUMIFS(INPUT_DELAY!$E$5:$E$20000,INPUT_DELAY!$A$5:$A$20000,$A1195,INPUT_DELAY!$B$5:$B$20000,$B1195,INPUT_DELAY!$C$5:$C$20000,"SEMUA")&gt;=60,"Delay 60 mnt tapi ada ritase","OK"))))))</f>
        <v/>
      </c>
      <c r="P1195" s="158">
        <f>IFERROR(INDEX(MASTER_JAM!$Z$5:$AC$10,MATCH($I1195,MASTER_JAM!$Y$5:$Y$10,0),MATCH($J1195,MASTER_JAM!$Z$4:$AC$4,0))+0,0)</f>
        <v/>
      </c>
      <c r="Q1195" s="158">
        <f>IF($P1195=0,0,$P1195+IFERROR(INDEX(MASTER_JAM!$H$5:$H$94,MATCH($C1195,MASTER_JAM!$A$5:$A$94,0))+0,MASTER_JAM!$AC$15)/1000*(60/MASTER_JAM!$AC$12+60/MASTER_JAM!$AC$13)+MASTER_JAM!$AC$14)</f>
        <v/>
      </c>
      <c r="R1195" s="158">
        <f>IF(N($F1195)=0,0,$F1195/SUMIFS(INPUT_RITASE!$F$5:$F$20000,INPUT_RITASE!$A$5:$A$20000,$A1195,INPUT_RITASE!$B$5:$B$20000,$B1195,INPUT_RITASE!$C$5:$C$20000,$C1195,INPUT_RITASE!$D$5:$D$20000,$D1195))</f>
        <v/>
      </c>
      <c r="S1195" s="158">
        <f>IF($Q1195=0,0,$R1195*$P1195/$Q1195)</f>
        <v/>
      </c>
    </row>
    <row r="1196">
      <c r="A1196" s="155" t="n">
        <v>46108</v>
      </c>
      <c r="B1196" s="156" t="inlineStr">
        <is>
          <t>08-09</t>
        </is>
      </c>
      <c r="C1196" s="156" t="inlineStr">
        <is>
          <t>EX-1252</t>
        </is>
      </c>
      <c r="D1196" s="156" t="inlineStr">
        <is>
          <t>HD-904</t>
        </is>
      </c>
      <c r="E1196" s="156" t="inlineStr">
        <is>
          <t>OB</t>
        </is>
      </c>
      <c r="F1196" s="156" t="n">
        <v>3</v>
      </c>
      <c r="G1196" s="156" t="inlineStr"/>
      <c r="H1196" s="157">
        <f>IF($B1196="","",IF(ISNA(MATCH($B1196,MASTER_JAM!$Q$5:$Q$28,0)),"?",IF(MATCH($B1196,MASTER_JAM!$Q$5:$Q$28,0)&lt;=12,"DS","NS")))</f>
        <v/>
      </c>
      <c r="I1196" s="157">
        <f>IFERROR(INDEX(MASTER_JAM!$B$5:$B$94,MATCH($C1196,MASTER_JAM!$A$5:$A$94,0)),"")</f>
        <v/>
      </c>
      <c r="J1196" s="157">
        <f>IFERROR(INDEX(MASTER_JAM!$E$5:$E$94,MATCH($D1196,MASTER_JAM!$A$5:$A$94,0)),"")</f>
        <v/>
      </c>
      <c r="K1196" s="158">
        <f>IFERROR(INDEX(MASTER_JAM!$J$5:$O$12,MATCH($E1196,MASTER_JAM!$I$5:$I$12,0),MATCH($J1196,MASTER_JAM!$J$4:$O$4,0))+0,0)</f>
        <v/>
      </c>
      <c r="L1196" s="159">
        <f>N($F1196)*$K1196</f>
        <v/>
      </c>
      <c r="M1196" s="157">
        <f>IF($E1196="","",IF(OR($E1196="Coal",$E1196="Dirty Coal"),"MT","BCM"))</f>
        <v/>
      </c>
      <c r="N1196" s="157">
        <f>IF($E1196="","",IF(OR($E1196="Coal",$E1196="Dirty Coal"),"Coal","OB"))</f>
        <v/>
      </c>
      <c r="O1196" s="157">
        <f>IF($F1196="","",IF(COUNTIF(MASTER_JAM!$A$5:$A$94,$C1196)=0,"Digger tidak dikenal",IF($J1196="","Hauler tidak dikenal",IF($H1196="?","Jam salah",IF($K1196=0,"Faktor kosong",IF(SUMIFS(INPUT_DELAY!$E$5:$E$20000,INPUT_DELAY!$A$5:$A$20000,$A1196,INPUT_DELAY!$B$5:$B$20000,$B1196,INPUT_DELAY!$C$5:$C$20000,$C1196)+SUMIFS(INPUT_DELAY!$E$5:$E$20000,INPUT_DELAY!$A$5:$A$20000,$A1196,INPUT_DELAY!$B$5:$B$20000,$B1196,INPUT_DELAY!$C$5:$C$20000,"SEMUA")&gt;=60,"Delay 60 mnt tapi ada ritase","OK"))))))</f>
        <v/>
      </c>
      <c r="P1196" s="158">
        <f>IFERROR(INDEX(MASTER_JAM!$Z$5:$AC$10,MATCH($I1196,MASTER_JAM!$Y$5:$Y$10,0),MATCH($J1196,MASTER_JAM!$Z$4:$AC$4,0))+0,0)</f>
        <v/>
      </c>
      <c r="Q1196" s="158">
        <f>IF($P1196=0,0,$P1196+IFERROR(INDEX(MASTER_JAM!$H$5:$H$94,MATCH($C1196,MASTER_JAM!$A$5:$A$94,0))+0,MASTER_JAM!$AC$15)/1000*(60/MASTER_JAM!$AC$12+60/MASTER_JAM!$AC$13)+MASTER_JAM!$AC$14)</f>
        <v/>
      </c>
      <c r="R1196" s="158">
        <f>IF(N($F1196)=0,0,$F1196/SUMIFS(INPUT_RITASE!$F$5:$F$20000,INPUT_RITASE!$A$5:$A$20000,$A1196,INPUT_RITASE!$B$5:$B$20000,$B1196,INPUT_RITASE!$C$5:$C$20000,$C1196,INPUT_RITASE!$D$5:$D$20000,$D1196))</f>
        <v/>
      </c>
      <c r="S1196" s="158">
        <f>IF($Q1196=0,0,$R1196*$P1196/$Q1196)</f>
        <v/>
      </c>
    </row>
    <row r="1197">
      <c r="A1197" s="155" t="n">
        <v>46108</v>
      </c>
      <c r="B1197" s="156" t="inlineStr">
        <is>
          <t>08-09</t>
        </is>
      </c>
      <c r="C1197" s="156" t="inlineStr">
        <is>
          <t>EX-1252</t>
        </is>
      </c>
      <c r="D1197" s="156" t="inlineStr">
        <is>
          <t>HD-901</t>
        </is>
      </c>
      <c r="E1197" s="156" t="inlineStr">
        <is>
          <t>OB</t>
        </is>
      </c>
      <c r="F1197" s="156" t="n">
        <v>3</v>
      </c>
      <c r="G1197" s="156" t="inlineStr"/>
      <c r="H1197" s="157">
        <f>IF($B1197="","",IF(ISNA(MATCH($B1197,MASTER_JAM!$Q$5:$Q$28,0)),"?",IF(MATCH($B1197,MASTER_JAM!$Q$5:$Q$28,0)&lt;=12,"DS","NS")))</f>
        <v/>
      </c>
      <c r="I1197" s="157">
        <f>IFERROR(INDEX(MASTER_JAM!$B$5:$B$94,MATCH($C1197,MASTER_JAM!$A$5:$A$94,0)),"")</f>
        <v/>
      </c>
      <c r="J1197" s="157">
        <f>IFERROR(INDEX(MASTER_JAM!$E$5:$E$94,MATCH($D1197,MASTER_JAM!$A$5:$A$94,0)),"")</f>
        <v/>
      </c>
      <c r="K1197" s="158">
        <f>IFERROR(INDEX(MASTER_JAM!$J$5:$O$12,MATCH($E1197,MASTER_JAM!$I$5:$I$12,0),MATCH($J1197,MASTER_JAM!$J$4:$O$4,0))+0,0)</f>
        <v/>
      </c>
      <c r="L1197" s="159">
        <f>N($F1197)*$K1197</f>
        <v/>
      </c>
      <c r="M1197" s="157">
        <f>IF($E1197="","",IF(OR($E1197="Coal",$E1197="Dirty Coal"),"MT","BCM"))</f>
        <v/>
      </c>
      <c r="N1197" s="157">
        <f>IF($E1197="","",IF(OR($E1197="Coal",$E1197="Dirty Coal"),"Coal","OB"))</f>
        <v/>
      </c>
      <c r="O1197" s="157">
        <f>IF($F1197="","",IF(COUNTIF(MASTER_JAM!$A$5:$A$94,$C1197)=0,"Digger tidak dikenal",IF($J1197="","Hauler tidak dikenal",IF($H1197="?","Jam salah",IF($K1197=0,"Faktor kosong",IF(SUMIFS(INPUT_DELAY!$E$5:$E$20000,INPUT_DELAY!$A$5:$A$20000,$A1197,INPUT_DELAY!$B$5:$B$20000,$B1197,INPUT_DELAY!$C$5:$C$20000,$C1197)+SUMIFS(INPUT_DELAY!$E$5:$E$20000,INPUT_DELAY!$A$5:$A$20000,$A1197,INPUT_DELAY!$B$5:$B$20000,$B1197,INPUT_DELAY!$C$5:$C$20000,"SEMUA")&gt;=60,"Delay 60 mnt tapi ada ritase","OK"))))))</f>
        <v/>
      </c>
      <c r="P1197" s="158">
        <f>IFERROR(INDEX(MASTER_JAM!$Z$5:$AC$10,MATCH($I1197,MASTER_JAM!$Y$5:$Y$10,0),MATCH($J1197,MASTER_JAM!$Z$4:$AC$4,0))+0,0)</f>
        <v/>
      </c>
      <c r="Q1197" s="158">
        <f>IF($P1197=0,0,$P1197+IFERROR(INDEX(MASTER_JAM!$H$5:$H$94,MATCH($C1197,MASTER_JAM!$A$5:$A$94,0))+0,MASTER_JAM!$AC$15)/1000*(60/MASTER_JAM!$AC$12+60/MASTER_JAM!$AC$13)+MASTER_JAM!$AC$14)</f>
        <v/>
      </c>
      <c r="R1197" s="158">
        <f>IF(N($F1197)=0,0,$F1197/SUMIFS(INPUT_RITASE!$F$5:$F$20000,INPUT_RITASE!$A$5:$A$20000,$A1197,INPUT_RITASE!$B$5:$B$20000,$B1197,INPUT_RITASE!$C$5:$C$20000,$C1197,INPUT_RITASE!$D$5:$D$20000,$D1197))</f>
        <v/>
      </c>
      <c r="S1197" s="158">
        <f>IF($Q1197=0,0,$R1197*$P1197/$Q1197)</f>
        <v/>
      </c>
    </row>
    <row r="1198">
      <c r="A1198" s="155" t="n">
        <v>46108</v>
      </c>
      <c r="B1198" s="156" t="inlineStr">
        <is>
          <t>08-09</t>
        </is>
      </c>
      <c r="C1198" s="156" t="inlineStr">
        <is>
          <t>EX-1252</t>
        </is>
      </c>
      <c r="D1198" s="156" t="inlineStr">
        <is>
          <t>DT-502</t>
        </is>
      </c>
      <c r="E1198" s="156" t="inlineStr">
        <is>
          <t>OB</t>
        </is>
      </c>
      <c r="F1198" s="156" t="n">
        <v>1</v>
      </c>
      <c r="G1198" s="156" t="inlineStr"/>
      <c r="H1198" s="157">
        <f>IF($B1198="","",IF(ISNA(MATCH($B1198,MASTER_JAM!$Q$5:$Q$28,0)),"?",IF(MATCH($B1198,MASTER_JAM!$Q$5:$Q$28,0)&lt;=12,"DS","NS")))</f>
        <v/>
      </c>
      <c r="I1198" s="157">
        <f>IFERROR(INDEX(MASTER_JAM!$B$5:$B$94,MATCH($C1198,MASTER_JAM!$A$5:$A$94,0)),"")</f>
        <v/>
      </c>
      <c r="J1198" s="157">
        <f>IFERROR(INDEX(MASTER_JAM!$E$5:$E$94,MATCH($D1198,MASTER_JAM!$A$5:$A$94,0)),"")</f>
        <v/>
      </c>
      <c r="K1198" s="158">
        <f>IFERROR(INDEX(MASTER_JAM!$J$5:$O$12,MATCH($E1198,MASTER_JAM!$I$5:$I$12,0),MATCH($J1198,MASTER_JAM!$J$4:$O$4,0))+0,0)</f>
        <v/>
      </c>
      <c r="L1198" s="159">
        <f>N($F1198)*$K1198</f>
        <v/>
      </c>
      <c r="M1198" s="157">
        <f>IF($E1198="","",IF(OR($E1198="Coal",$E1198="Dirty Coal"),"MT","BCM"))</f>
        <v/>
      </c>
      <c r="N1198" s="157">
        <f>IF($E1198="","",IF(OR($E1198="Coal",$E1198="Dirty Coal"),"Coal","OB"))</f>
        <v/>
      </c>
      <c r="O1198" s="157">
        <f>IF($F1198="","",IF(COUNTIF(MASTER_JAM!$A$5:$A$94,$C1198)=0,"Digger tidak dikenal",IF($J1198="","Hauler tidak dikenal",IF($H1198="?","Jam salah",IF($K1198=0,"Faktor kosong",IF(SUMIFS(INPUT_DELAY!$E$5:$E$20000,INPUT_DELAY!$A$5:$A$20000,$A1198,INPUT_DELAY!$B$5:$B$20000,$B1198,INPUT_DELAY!$C$5:$C$20000,$C1198)+SUMIFS(INPUT_DELAY!$E$5:$E$20000,INPUT_DELAY!$A$5:$A$20000,$A1198,INPUT_DELAY!$B$5:$B$20000,$B1198,INPUT_DELAY!$C$5:$C$20000,"SEMUA")&gt;=60,"Delay 60 mnt tapi ada ritase","OK"))))))</f>
        <v/>
      </c>
      <c r="P1198" s="158">
        <f>IFERROR(INDEX(MASTER_JAM!$Z$5:$AC$10,MATCH($I1198,MASTER_JAM!$Y$5:$Y$10,0),MATCH($J1198,MASTER_JAM!$Z$4:$AC$4,0))+0,0)</f>
        <v/>
      </c>
      <c r="Q1198" s="158">
        <f>IF($P1198=0,0,$P1198+IFERROR(INDEX(MASTER_JAM!$H$5:$H$94,MATCH($C1198,MASTER_JAM!$A$5:$A$94,0))+0,MASTER_JAM!$AC$15)/1000*(60/MASTER_JAM!$AC$12+60/MASTER_JAM!$AC$13)+MASTER_JAM!$AC$14)</f>
        <v/>
      </c>
      <c r="R1198" s="158">
        <f>IF(N($F1198)=0,0,$F1198/SUMIFS(INPUT_RITASE!$F$5:$F$20000,INPUT_RITASE!$A$5:$A$20000,$A1198,INPUT_RITASE!$B$5:$B$20000,$B1198,INPUT_RITASE!$C$5:$C$20000,$C1198,INPUT_RITASE!$D$5:$D$20000,$D1198))</f>
        <v/>
      </c>
      <c r="S1198" s="158">
        <f>IF($Q1198=0,0,$R1198*$P1198/$Q1198)</f>
        <v/>
      </c>
    </row>
    <row r="1199">
      <c r="A1199" s="155" t="n">
        <v>46108</v>
      </c>
      <c r="B1199" s="156" t="inlineStr">
        <is>
          <t>09-10</t>
        </is>
      </c>
      <c r="C1199" s="156" t="inlineStr">
        <is>
          <t>EX-1252</t>
        </is>
      </c>
      <c r="D1199" s="156" t="inlineStr">
        <is>
          <t>DT-506</t>
        </is>
      </c>
      <c r="E1199" s="156" t="inlineStr">
        <is>
          <t>OB</t>
        </is>
      </c>
      <c r="F1199" s="156" t="n">
        <v>3</v>
      </c>
      <c r="G1199" s="156" t="inlineStr"/>
      <c r="H1199" s="157">
        <f>IF($B1199="","",IF(ISNA(MATCH($B1199,MASTER_JAM!$Q$5:$Q$28,0)),"?",IF(MATCH($B1199,MASTER_JAM!$Q$5:$Q$28,0)&lt;=12,"DS","NS")))</f>
        <v/>
      </c>
      <c r="I1199" s="157">
        <f>IFERROR(INDEX(MASTER_JAM!$B$5:$B$94,MATCH($C1199,MASTER_JAM!$A$5:$A$94,0)),"")</f>
        <v/>
      </c>
      <c r="J1199" s="157">
        <f>IFERROR(INDEX(MASTER_JAM!$E$5:$E$94,MATCH($D1199,MASTER_JAM!$A$5:$A$94,0)),"")</f>
        <v/>
      </c>
      <c r="K1199" s="158">
        <f>IFERROR(INDEX(MASTER_JAM!$J$5:$O$12,MATCH($E1199,MASTER_JAM!$I$5:$I$12,0),MATCH($J1199,MASTER_JAM!$J$4:$O$4,0))+0,0)</f>
        <v/>
      </c>
      <c r="L1199" s="159">
        <f>N($F1199)*$K1199</f>
        <v/>
      </c>
      <c r="M1199" s="157">
        <f>IF($E1199="","",IF(OR($E1199="Coal",$E1199="Dirty Coal"),"MT","BCM"))</f>
        <v/>
      </c>
      <c r="N1199" s="157">
        <f>IF($E1199="","",IF(OR($E1199="Coal",$E1199="Dirty Coal"),"Coal","OB"))</f>
        <v/>
      </c>
      <c r="O1199" s="157">
        <f>IF($F1199="","",IF(COUNTIF(MASTER_JAM!$A$5:$A$94,$C1199)=0,"Digger tidak dikenal",IF($J1199="","Hauler tidak dikenal",IF($H1199="?","Jam salah",IF($K1199=0,"Faktor kosong",IF(SUMIFS(INPUT_DELAY!$E$5:$E$20000,INPUT_DELAY!$A$5:$A$20000,$A1199,INPUT_DELAY!$B$5:$B$20000,$B1199,INPUT_DELAY!$C$5:$C$20000,$C1199)+SUMIFS(INPUT_DELAY!$E$5:$E$20000,INPUT_DELAY!$A$5:$A$20000,$A1199,INPUT_DELAY!$B$5:$B$20000,$B1199,INPUT_DELAY!$C$5:$C$20000,"SEMUA")&gt;=60,"Delay 60 mnt tapi ada ritase","OK"))))))</f>
        <v/>
      </c>
      <c r="P1199" s="158">
        <f>IFERROR(INDEX(MASTER_JAM!$Z$5:$AC$10,MATCH($I1199,MASTER_JAM!$Y$5:$Y$10,0),MATCH($J1199,MASTER_JAM!$Z$4:$AC$4,0))+0,0)</f>
        <v/>
      </c>
      <c r="Q1199" s="158">
        <f>IF($P1199=0,0,$P1199+IFERROR(INDEX(MASTER_JAM!$H$5:$H$94,MATCH($C1199,MASTER_JAM!$A$5:$A$94,0))+0,MASTER_JAM!$AC$15)/1000*(60/MASTER_JAM!$AC$12+60/MASTER_JAM!$AC$13)+MASTER_JAM!$AC$14)</f>
        <v/>
      </c>
      <c r="R1199" s="158">
        <f>IF(N($F1199)=0,0,$F1199/SUMIFS(INPUT_RITASE!$F$5:$F$20000,INPUT_RITASE!$A$5:$A$20000,$A1199,INPUT_RITASE!$B$5:$B$20000,$B1199,INPUT_RITASE!$C$5:$C$20000,$C1199,INPUT_RITASE!$D$5:$D$20000,$D1199))</f>
        <v/>
      </c>
      <c r="S1199" s="158">
        <f>IF($Q1199=0,0,$R1199*$P1199/$Q1199)</f>
        <v/>
      </c>
    </row>
    <row r="1200">
      <c r="A1200" s="155" t="n">
        <v>46108</v>
      </c>
      <c r="B1200" s="156" t="inlineStr">
        <is>
          <t>09-10</t>
        </is>
      </c>
      <c r="C1200" s="156" t="inlineStr">
        <is>
          <t>EX-1252</t>
        </is>
      </c>
      <c r="D1200" s="156" t="inlineStr">
        <is>
          <t>DT-520</t>
        </is>
      </c>
      <c r="E1200" s="156" t="inlineStr">
        <is>
          <t>OB</t>
        </is>
      </c>
      <c r="F1200" s="156" t="n">
        <v>2</v>
      </c>
      <c r="G1200" s="156" t="inlineStr"/>
      <c r="H1200" s="157">
        <f>IF($B1200="","",IF(ISNA(MATCH($B1200,MASTER_JAM!$Q$5:$Q$28,0)),"?",IF(MATCH($B1200,MASTER_JAM!$Q$5:$Q$28,0)&lt;=12,"DS","NS")))</f>
        <v/>
      </c>
      <c r="I1200" s="157">
        <f>IFERROR(INDEX(MASTER_JAM!$B$5:$B$94,MATCH($C1200,MASTER_JAM!$A$5:$A$94,0)),"")</f>
        <v/>
      </c>
      <c r="J1200" s="157">
        <f>IFERROR(INDEX(MASTER_JAM!$E$5:$E$94,MATCH($D1200,MASTER_JAM!$A$5:$A$94,0)),"")</f>
        <v/>
      </c>
      <c r="K1200" s="158">
        <f>IFERROR(INDEX(MASTER_JAM!$J$5:$O$12,MATCH($E1200,MASTER_JAM!$I$5:$I$12,0),MATCH($J1200,MASTER_JAM!$J$4:$O$4,0))+0,0)</f>
        <v/>
      </c>
      <c r="L1200" s="159">
        <f>N($F1200)*$K1200</f>
        <v/>
      </c>
      <c r="M1200" s="157">
        <f>IF($E1200="","",IF(OR($E1200="Coal",$E1200="Dirty Coal"),"MT","BCM"))</f>
        <v/>
      </c>
      <c r="N1200" s="157">
        <f>IF($E1200="","",IF(OR($E1200="Coal",$E1200="Dirty Coal"),"Coal","OB"))</f>
        <v/>
      </c>
      <c r="O1200" s="157">
        <f>IF($F1200="","",IF(COUNTIF(MASTER_JAM!$A$5:$A$94,$C1200)=0,"Digger tidak dikenal",IF($J1200="","Hauler tidak dikenal",IF($H1200="?","Jam salah",IF($K1200=0,"Faktor kosong",IF(SUMIFS(INPUT_DELAY!$E$5:$E$20000,INPUT_DELAY!$A$5:$A$20000,$A1200,INPUT_DELAY!$B$5:$B$20000,$B1200,INPUT_DELAY!$C$5:$C$20000,$C1200)+SUMIFS(INPUT_DELAY!$E$5:$E$20000,INPUT_DELAY!$A$5:$A$20000,$A1200,INPUT_DELAY!$B$5:$B$20000,$B1200,INPUT_DELAY!$C$5:$C$20000,"SEMUA")&gt;=60,"Delay 60 mnt tapi ada ritase","OK"))))))</f>
        <v/>
      </c>
      <c r="P1200" s="158">
        <f>IFERROR(INDEX(MASTER_JAM!$Z$5:$AC$10,MATCH($I1200,MASTER_JAM!$Y$5:$Y$10,0),MATCH($J1200,MASTER_JAM!$Z$4:$AC$4,0))+0,0)</f>
        <v/>
      </c>
      <c r="Q1200" s="158">
        <f>IF($P1200=0,0,$P1200+IFERROR(INDEX(MASTER_JAM!$H$5:$H$94,MATCH($C1200,MASTER_JAM!$A$5:$A$94,0))+0,MASTER_JAM!$AC$15)/1000*(60/MASTER_JAM!$AC$12+60/MASTER_JAM!$AC$13)+MASTER_JAM!$AC$14)</f>
        <v/>
      </c>
      <c r="R1200" s="158">
        <f>IF(N($F1200)=0,0,$F1200/SUMIFS(INPUT_RITASE!$F$5:$F$20000,INPUT_RITASE!$A$5:$A$20000,$A1200,INPUT_RITASE!$B$5:$B$20000,$B1200,INPUT_RITASE!$C$5:$C$20000,$C1200,INPUT_RITASE!$D$5:$D$20000,$D1200))</f>
        <v/>
      </c>
      <c r="S1200" s="158">
        <f>IF($Q1200=0,0,$R1200*$P1200/$Q1200)</f>
        <v/>
      </c>
    </row>
    <row r="1201">
      <c r="A1201" s="155" t="n">
        <v>46108</v>
      </c>
      <c r="B1201" s="156" t="inlineStr">
        <is>
          <t>09-10</t>
        </is>
      </c>
      <c r="C1201" s="156" t="inlineStr">
        <is>
          <t>EX-1252</t>
        </is>
      </c>
      <c r="D1201" s="156" t="inlineStr">
        <is>
          <t>HD-902</t>
        </is>
      </c>
      <c r="E1201" s="156" t="inlineStr">
        <is>
          <t>OB</t>
        </is>
      </c>
      <c r="F1201" s="156" t="n">
        <v>3</v>
      </c>
      <c r="G1201" s="156" t="inlineStr"/>
      <c r="H1201" s="157">
        <f>IF($B1201="","",IF(ISNA(MATCH($B1201,MASTER_JAM!$Q$5:$Q$28,0)),"?",IF(MATCH($B1201,MASTER_JAM!$Q$5:$Q$28,0)&lt;=12,"DS","NS")))</f>
        <v/>
      </c>
      <c r="I1201" s="157">
        <f>IFERROR(INDEX(MASTER_JAM!$B$5:$B$94,MATCH($C1201,MASTER_JAM!$A$5:$A$94,0)),"")</f>
        <v/>
      </c>
      <c r="J1201" s="157">
        <f>IFERROR(INDEX(MASTER_JAM!$E$5:$E$94,MATCH($D1201,MASTER_JAM!$A$5:$A$94,0)),"")</f>
        <v/>
      </c>
      <c r="K1201" s="158">
        <f>IFERROR(INDEX(MASTER_JAM!$J$5:$O$12,MATCH($E1201,MASTER_JAM!$I$5:$I$12,0),MATCH($J1201,MASTER_JAM!$J$4:$O$4,0))+0,0)</f>
        <v/>
      </c>
      <c r="L1201" s="159">
        <f>N($F1201)*$K1201</f>
        <v/>
      </c>
      <c r="M1201" s="157">
        <f>IF($E1201="","",IF(OR($E1201="Coal",$E1201="Dirty Coal"),"MT","BCM"))</f>
        <v/>
      </c>
      <c r="N1201" s="157">
        <f>IF($E1201="","",IF(OR($E1201="Coal",$E1201="Dirty Coal"),"Coal","OB"))</f>
        <v/>
      </c>
      <c r="O1201" s="157">
        <f>IF($F1201="","",IF(COUNTIF(MASTER_JAM!$A$5:$A$94,$C1201)=0,"Digger tidak dikenal",IF($J1201="","Hauler tidak dikenal",IF($H1201="?","Jam salah",IF($K1201=0,"Faktor kosong",IF(SUMIFS(INPUT_DELAY!$E$5:$E$20000,INPUT_DELAY!$A$5:$A$20000,$A1201,INPUT_DELAY!$B$5:$B$20000,$B1201,INPUT_DELAY!$C$5:$C$20000,$C1201)+SUMIFS(INPUT_DELAY!$E$5:$E$20000,INPUT_DELAY!$A$5:$A$20000,$A1201,INPUT_DELAY!$B$5:$B$20000,$B1201,INPUT_DELAY!$C$5:$C$20000,"SEMUA")&gt;=60,"Delay 60 mnt tapi ada ritase","OK"))))))</f>
        <v/>
      </c>
      <c r="P1201" s="158">
        <f>IFERROR(INDEX(MASTER_JAM!$Z$5:$AC$10,MATCH($I1201,MASTER_JAM!$Y$5:$Y$10,0),MATCH($J1201,MASTER_JAM!$Z$4:$AC$4,0))+0,0)</f>
        <v/>
      </c>
      <c r="Q1201" s="158">
        <f>IF($P1201=0,0,$P1201+IFERROR(INDEX(MASTER_JAM!$H$5:$H$94,MATCH($C1201,MASTER_JAM!$A$5:$A$94,0))+0,MASTER_JAM!$AC$15)/1000*(60/MASTER_JAM!$AC$12+60/MASTER_JAM!$AC$13)+MASTER_JAM!$AC$14)</f>
        <v/>
      </c>
      <c r="R1201" s="158">
        <f>IF(N($F1201)=0,0,$F1201/SUMIFS(INPUT_RITASE!$F$5:$F$20000,INPUT_RITASE!$A$5:$A$20000,$A1201,INPUT_RITASE!$B$5:$B$20000,$B1201,INPUT_RITASE!$C$5:$C$20000,$C1201,INPUT_RITASE!$D$5:$D$20000,$D1201))</f>
        <v/>
      </c>
      <c r="S1201" s="158">
        <f>IF($Q1201=0,0,$R1201*$P1201/$Q1201)</f>
        <v/>
      </c>
    </row>
    <row r="1202">
      <c r="A1202" s="155" t="n">
        <v>46108</v>
      </c>
      <c r="B1202" s="156" t="inlineStr">
        <is>
          <t>09-10</t>
        </is>
      </c>
      <c r="C1202" s="156" t="inlineStr">
        <is>
          <t>EX-1252</t>
        </is>
      </c>
      <c r="D1202" s="156" t="inlineStr">
        <is>
          <t>HD-901</t>
        </is>
      </c>
      <c r="E1202" s="156" t="inlineStr">
        <is>
          <t>OB</t>
        </is>
      </c>
      <c r="F1202" s="156" t="n">
        <v>3</v>
      </c>
      <c r="G1202" s="156" t="inlineStr"/>
      <c r="H1202" s="157">
        <f>IF($B1202="","",IF(ISNA(MATCH($B1202,MASTER_JAM!$Q$5:$Q$28,0)),"?",IF(MATCH($B1202,MASTER_JAM!$Q$5:$Q$28,0)&lt;=12,"DS","NS")))</f>
        <v/>
      </c>
      <c r="I1202" s="157">
        <f>IFERROR(INDEX(MASTER_JAM!$B$5:$B$94,MATCH($C1202,MASTER_JAM!$A$5:$A$94,0)),"")</f>
        <v/>
      </c>
      <c r="J1202" s="157">
        <f>IFERROR(INDEX(MASTER_JAM!$E$5:$E$94,MATCH($D1202,MASTER_JAM!$A$5:$A$94,0)),"")</f>
        <v/>
      </c>
      <c r="K1202" s="158">
        <f>IFERROR(INDEX(MASTER_JAM!$J$5:$O$12,MATCH($E1202,MASTER_JAM!$I$5:$I$12,0),MATCH($J1202,MASTER_JAM!$J$4:$O$4,0))+0,0)</f>
        <v/>
      </c>
      <c r="L1202" s="159">
        <f>N($F1202)*$K1202</f>
        <v/>
      </c>
      <c r="M1202" s="157">
        <f>IF($E1202="","",IF(OR($E1202="Coal",$E1202="Dirty Coal"),"MT","BCM"))</f>
        <v/>
      </c>
      <c r="N1202" s="157">
        <f>IF($E1202="","",IF(OR($E1202="Coal",$E1202="Dirty Coal"),"Coal","OB"))</f>
        <v/>
      </c>
      <c r="O1202" s="157">
        <f>IF($F1202="","",IF(COUNTIF(MASTER_JAM!$A$5:$A$94,$C1202)=0,"Digger tidak dikenal",IF($J1202="","Hauler tidak dikenal",IF($H1202="?","Jam salah",IF($K1202=0,"Faktor kosong",IF(SUMIFS(INPUT_DELAY!$E$5:$E$20000,INPUT_DELAY!$A$5:$A$20000,$A1202,INPUT_DELAY!$B$5:$B$20000,$B1202,INPUT_DELAY!$C$5:$C$20000,$C1202)+SUMIFS(INPUT_DELAY!$E$5:$E$20000,INPUT_DELAY!$A$5:$A$20000,$A1202,INPUT_DELAY!$B$5:$B$20000,$B1202,INPUT_DELAY!$C$5:$C$20000,"SEMUA")&gt;=60,"Delay 60 mnt tapi ada ritase","OK"))))))</f>
        <v/>
      </c>
      <c r="P1202" s="158">
        <f>IFERROR(INDEX(MASTER_JAM!$Z$5:$AC$10,MATCH($I1202,MASTER_JAM!$Y$5:$Y$10,0),MATCH($J1202,MASTER_JAM!$Z$4:$AC$4,0))+0,0)</f>
        <v/>
      </c>
      <c r="Q1202" s="158">
        <f>IF($P1202=0,0,$P1202+IFERROR(INDEX(MASTER_JAM!$H$5:$H$94,MATCH($C1202,MASTER_JAM!$A$5:$A$94,0))+0,MASTER_JAM!$AC$15)/1000*(60/MASTER_JAM!$AC$12+60/MASTER_JAM!$AC$13)+MASTER_JAM!$AC$14)</f>
        <v/>
      </c>
      <c r="R1202" s="158">
        <f>IF(N($F1202)=0,0,$F1202/SUMIFS(INPUT_RITASE!$F$5:$F$20000,INPUT_RITASE!$A$5:$A$20000,$A1202,INPUT_RITASE!$B$5:$B$20000,$B1202,INPUT_RITASE!$C$5:$C$20000,$C1202,INPUT_RITASE!$D$5:$D$20000,$D1202))</f>
        <v/>
      </c>
      <c r="S1202" s="158">
        <f>IF($Q1202=0,0,$R1202*$P1202/$Q1202)</f>
        <v/>
      </c>
    </row>
    <row r="1203">
      <c r="A1203" s="155" t="n">
        <v>46108</v>
      </c>
      <c r="B1203" s="156" t="inlineStr">
        <is>
          <t>10-11</t>
        </is>
      </c>
      <c r="C1203" s="156" t="inlineStr">
        <is>
          <t>EX-1252</t>
        </is>
      </c>
      <c r="D1203" s="156" t="inlineStr">
        <is>
          <t>HD-905</t>
        </is>
      </c>
      <c r="E1203" s="156" t="inlineStr">
        <is>
          <t>OB</t>
        </is>
      </c>
      <c r="F1203" s="156" t="n">
        <v>4</v>
      </c>
      <c r="G1203" s="156" t="inlineStr"/>
      <c r="H1203" s="157">
        <f>IF($B1203="","",IF(ISNA(MATCH($B1203,MASTER_JAM!$Q$5:$Q$28,0)),"?",IF(MATCH($B1203,MASTER_JAM!$Q$5:$Q$28,0)&lt;=12,"DS","NS")))</f>
        <v/>
      </c>
      <c r="I1203" s="157">
        <f>IFERROR(INDEX(MASTER_JAM!$B$5:$B$94,MATCH($C1203,MASTER_JAM!$A$5:$A$94,0)),"")</f>
        <v/>
      </c>
      <c r="J1203" s="157">
        <f>IFERROR(INDEX(MASTER_JAM!$E$5:$E$94,MATCH($D1203,MASTER_JAM!$A$5:$A$94,0)),"")</f>
        <v/>
      </c>
      <c r="K1203" s="158">
        <f>IFERROR(INDEX(MASTER_JAM!$J$5:$O$12,MATCH($E1203,MASTER_JAM!$I$5:$I$12,0),MATCH($J1203,MASTER_JAM!$J$4:$O$4,0))+0,0)</f>
        <v/>
      </c>
      <c r="L1203" s="159">
        <f>N($F1203)*$K1203</f>
        <v/>
      </c>
      <c r="M1203" s="157">
        <f>IF($E1203="","",IF(OR($E1203="Coal",$E1203="Dirty Coal"),"MT","BCM"))</f>
        <v/>
      </c>
      <c r="N1203" s="157">
        <f>IF($E1203="","",IF(OR($E1203="Coal",$E1203="Dirty Coal"),"Coal","OB"))</f>
        <v/>
      </c>
      <c r="O1203" s="157">
        <f>IF($F1203="","",IF(COUNTIF(MASTER_JAM!$A$5:$A$94,$C1203)=0,"Digger tidak dikenal",IF($J1203="","Hauler tidak dikenal",IF($H1203="?","Jam salah",IF($K1203=0,"Faktor kosong",IF(SUMIFS(INPUT_DELAY!$E$5:$E$20000,INPUT_DELAY!$A$5:$A$20000,$A1203,INPUT_DELAY!$B$5:$B$20000,$B1203,INPUT_DELAY!$C$5:$C$20000,$C1203)+SUMIFS(INPUT_DELAY!$E$5:$E$20000,INPUT_DELAY!$A$5:$A$20000,$A1203,INPUT_DELAY!$B$5:$B$20000,$B1203,INPUT_DELAY!$C$5:$C$20000,"SEMUA")&gt;=60,"Delay 60 mnt tapi ada ritase","OK"))))))</f>
        <v/>
      </c>
      <c r="P1203" s="158">
        <f>IFERROR(INDEX(MASTER_JAM!$Z$5:$AC$10,MATCH($I1203,MASTER_JAM!$Y$5:$Y$10,0),MATCH($J1203,MASTER_JAM!$Z$4:$AC$4,0))+0,0)</f>
        <v/>
      </c>
      <c r="Q1203" s="158">
        <f>IF($P1203=0,0,$P1203+IFERROR(INDEX(MASTER_JAM!$H$5:$H$94,MATCH($C1203,MASTER_JAM!$A$5:$A$94,0))+0,MASTER_JAM!$AC$15)/1000*(60/MASTER_JAM!$AC$12+60/MASTER_JAM!$AC$13)+MASTER_JAM!$AC$14)</f>
        <v/>
      </c>
      <c r="R1203" s="158">
        <f>IF(N($F1203)=0,0,$F1203/SUMIFS(INPUT_RITASE!$F$5:$F$20000,INPUT_RITASE!$A$5:$A$20000,$A1203,INPUT_RITASE!$B$5:$B$20000,$B1203,INPUT_RITASE!$C$5:$C$20000,$C1203,INPUT_RITASE!$D$5:$D$20000,$D1203))</f>
        <v/>
      </c>
      <c r="S1203" s="158">
        <f>IF($Q1203=0,0,$R1203*$P1203/$Q1203)</f>
        <v/>
      </c>
    </row>
    <row r="1204">
      <c r="A1204" s="155" t="n">
        <v>46108</v>
      </c>
      <c r="B1204" s="156" t="inlineStr">
        <is>
          <t>10-11</t>
        </is>
      </c>
      <c r="C1204" s="156" t="inlineStr">
        <is>
          <t>EX-1252</t>
        </is>
      </c>
      <c r="D1204" s="156" t="inlineStr">
        <is>
          <t>HD-904</t>
        </is>
      </c>
      <c r="E1204" s="156" t="inlineStr">
        <is>
          <t>OB</t>
        </is>
      </c>
      <c r="F1204" s="156" t="n">
        <v>4</v>
      </c>
      <c r="G1204" s="156" t="inlineStr"/>
      <c r="H1204" s="157">
        <f>IF($B1204="","",IF(ISNA(MATCH($B1204,MASTER_JAM!$Q$5:$Q$28,0)),"?",IF(MATCH($B1204,MASTER_JAM!$Q$5:$Q$28,0)&lt;=12,"DS","NS")))</f>
        <v/>
      </c>
      <c r="I1204" s="157">
        <f>IFERROR(INDEX(MASTER_JAM!$B$5:$B$94,MATCH($C1204,MASTER_JAM!$A$5:$A$94,0)),"")</f>
        <v/>
      </c>
      <c r="J1204" s="157">
        <f>IFERROR(INDEX(MASTER_JAM!$E$5:$E$94,MATCH($D1204,MASTER_JAM!$A$5:$A$94,0)),"")</f>
        <v/>
      </c>
      <c r="K1204" s="158">
        <f>IFERROR(INDEX(MASTER_JAM!$J$5:$O$12,MATCH($E1204,MASTER_JAM!$I$5:$I$12,0),MATCH($J1204,MASTER_JAM!$J$4:$O$4,0))+0,0)</f>
        <v/>
      </c>
      <c r="L1204" s="159">
        <f>N($F1204)*$K1204</f>
        <v/>
      </c>
      <c r="M1204" s="157">
        <f>IF($E1204="","",IF(OR($E1204="Coal",$E1204="Dirty Coal"),"MT","BCM"))</f>
        <v/>
      </c>
      <c r="N1204" s="157">
        <f>IF($E1204="","",IF(OR($E1204="Coal",$E1204="Dirty Coal"),"Coal","OB"))</f>
        <v/>
      </c>
      <c r="O1204" s="157">
        <f>IF($F1204="","",IF(COUNTIF(MASTER_JAM!$A$5:$A$94,$C1204)=0,"Digger tidak dikenal",IF($J1204="","Hauler tidak dikenal",IF($H1204="?","Jam salah",IF($K1204=0,"Faktor kosong",IF(SUMIFS(INPUT_DELAY!$E$5:$E$20000,INPUT_DELAY!$A$5:$A$20000,$A1204,INPUT_DELAY!$B$5:$B$20000,$B1204,INPUT_DELAY!$C$5:$C$20000,$C1204)+SUMIFS(INPUT_DELAY!$E$5:$E$20000,INPUT_DELAY!$A$5:$A$20000,$A1204,INPUT_DELAY!$B$5:$B$20000,$B1204,INPUT_DELAY!$C$5:$C$20000,"SEMUA")&gt;=60,"Delay 60 mnt tapi ada ritase","OK"))))))</f>
        <v/>
      </c>
      <c r="P1204" s="158">
        <f>IFERROR(INDEX(MASTER_JAM!$Z$5:$AC$10,MATCH($I1204,MASTER_JAM!$Y$5:$Y$10,0),MATCH($J1204,MASTER_JAM!$Z$4:$AC$4,0))+0,0)</f>
        <v/>
      </c>
      <c r="Q1204" s="158">
        <f>IF($P1204=0,0,$P1204+IFERROR(INDEX(MASTER_JAM!$H$5:$H$94,MATCH($C1204,MASTER_JAM!$A$5:$A$94,0))+0,MASTER_JAM!$AC$15)/1000*(60/MASTER_JAM!$AC$12+60/MASTER_JAM!$AC$13)+MASTER_JAM!$AC$14)</f>
        <v/>
      </c>
      <c r="R1204" s="158">
        <f>IF(N($F1204)=0,0,$F1204/SUMIFS(INPUT_RITASE!$F$5:$F$20000,INPUT_RITASE!$A$5:$A$20000,$A1204,INPUT_RITASE!$B$5:$B$20000,$B1204,INPUT_RITASE!$C$5:$C$20000,$C1204,INPUT_RITASE!$D$5:$D$20000,$D1204))</f>
        <v/>
      </c>
      <c r="S1204" s="158">
        <f>IF($Q1204=0,0,$R1204*$P1204/$Q1204)</f>
        <v/>
      </c>
    </row>
    <row r="1205">
      <c r="A1205" s="155" t="n">
        <v>46108</v>
      </c>
      <c r="B1205" s="156" t="inlineStr">
        <is>
          <t>10-11</t>
        </is>
      </c>
      <c r="C1205" s="156" t="inlineStr">
        <is>
          <t>EX-1252</t>
        </is>
      </c>
      <c r="D1205" s="156" t="inlineStr">
        <is>
          <t>HD-902</t>
        </is>
      </c>
      <c r="E1205" s="156" t="inlineStr">
        <is>
          <t>OB</t>
        </is>
      </c>
      <c r="F1205" s="156" t="n">
        <v>3</v>
      </c>
      <c r="G1205" s="156" t="inlineStr"/>
      <c r="H1205" s="157">
        <f>IF($B1205="","",IF(ISNA(MATCH($B1205,MASTER_JAM!$Q$5:$Q$28,0)),"?",IF(MATCH($B1205,MASTER_JAM!$Q$5:$Q$28,0)&lt;=12,"DS","NS")))</f>
        <v/>
      </c>
      <c r="I1205" s="157">
        <f>IFERROR(INDEX(MASTER_JAM!$B$5:$B$94,MATCH($C1205,MASTER_JAM!$A$5:$A$94,0)),"")</f>
        <v/>
      </c>
      <c r="J1205" s="157">
        <f>IFERROR(INDEX(MASTER_JAM!$E$5:$E$94,MATCH($D1205,MASTER_JAM!$A$5:$A$94,0)),"")</f>
        <v/>
      </c>
      <c r="K1205" s="158">
        <f>IFERROR(INDEX(MASTER_JAM!$J$5:$O$12,MATCH($E1205,MASTER_JAM!$I$5:$I$12,0),MATCH($J1205,MASTER_JAM!$J$4:$O$4,0))+0,0)</f>
        <v/>
      </c>
      <c r="L1205" s="159">
        <f>N($F1205)*$K1205</f>
        <v/>
      </c>
      <c r="M1205" s="157">
        <f>IF($E1205="","",IF(OR($E1205="Coal",$E1205="Dirty Coal"),"MT","BCM"))</f>
        <v/>
      </c>
      <c r="N1205" s="157">
        <f>IF($E1205="","",IF(OR($E1205="Coal",$E1205="Dirty Coal"),"Coal","OB"))</f>
        <v/>
      </c>
      <c r="O1205" s="157">
        <f>IF($F1205="","",IF(COUNTIF(MASTER_JAM!$A$5:$A$94,$C1205)=0,"Digger tidak dikenal",IF($J1205="","Hauler tidak dikenal",IF($H1205="?","Jam salah",IF($K1205=0,"Faktor kosong",IF(SUMIFS(INPUT_DELAY!$E$5:$E$20000,INPUT_DELAY!$A$5:$A$20000,$A1205,INPUT_DELAY!$B$5:$B$20000,$B1205,INPUT_DELAY!$C$5:$C$20000,$C1205)+SUMIFS(INPUT_DELAY!$E$5:$E$20000,INPUT_DELAY!$A$5:$A$20000,$A1205,INPUT_DELAY!$B$5:$B$20000,$B1205,INPUT_DELAY!$C$5:$C$20000,"SEMUA")&gt;=60,"Delay 60 mnt tapi ada ritase","OK"))))))</f>
        <v/>
      </c>
      <c r="P1205" s="158">
        <f>IFERROR(INDEX(MASTER_JAM!$Z$5:$AC$10,MATCH($I1205,MASTER_JAM!$Y$5:$Y$10,0),MATCH($J1205,MASTER_JAM!$Z$4:$AC$4,0))+0,0)</f>
        <v/>
      </c>
      <c r="Q1205" s="158">
        <f>IF($P1205=0,0,$P1205+IFERROR(INDEX(MASTER_JAM!$H$5:$H$94,MATCH($C1205,MASTER_JAM!$A$5:$A$94,0))+0,MASTER_JAM!$AC$15)/1000*(60/MASTER_JAM!$AC$12+60/MASTER_JAM!$AC$13)+MASTER_JAM!$AC$14)</f>
        <v/>
      </c>
      <c r="R1205" s="158">
        <f>IF(N($F1205)=0,0,$F1205/SUMIFS(INPUT_RITASE!$F$5:$F$20000,INPUT_RITASE!$A$5:$A$20000,$A1205,INPUT_RITASE!$B$5:$B$20000,$B1205,INPUT_RITASE!$C$5:$C$20000,$C1205,INPUT_RITASE!$D$5:$D$20000,$D1205))</f>
        <v/>
      </c>
      <c r="S1205" s="158">
        <f>IF($Q1205=0,0,$R1205*$P1205/$Q1205)</f>
        <v/>
      </c>
    </row>
    <row r="1206">
      <c r="A1206" s="155" t="n">
        <v>46108</v>
      </c>
      <c r="B1206" s="156" t="inlineStr">
        <is>
          <t>10-11</t>
        </is>
      </c>
      <c r="C1206" s="156" t="inlineStr">
        <is>
          <t>EX-1252</t>
        </is>
      </c>
      <c r="D1206" s="156" t="inlineStr">
        <is>
          <t>DT-527</t>
        </is>
      </c>
      <c r="E1206" s="156" t="inlineStr">
        <is>
          <t>OB</t>
        </is>
      </c>
      <c r="F1206" s="156" t="n">
        <v>1</v>
      </c>
      <c r="G1206" s="156" t="inlineStr"/>
      <c r="H1206" s="157">
        <f>IF($B1206="","",IF(ISNA(MATCH($B1206,MASTER_JAM!$Q$5:$Q$28,0)),"?",IF(MATCH($B1206,MASTER_JAM!$Q$5:$Q$28,0)&lt;=12,"DS","NS")))</f>
        <v/>
      </c>
      <c r="I1206" s="157">
        <f>IFERROR(INDEX(MASTER_JAM!$B$5:$B$94,MATCH($C1206,MASTER_JAM!$A$5:$A$94,0)),"")</f>
        <v/>
      </c>
      <c r="J1206" s="157">
        <f>IFERROR(INDEX(MASTER_JAM!$E$5:$E$94,MATCH($D1206,MASTER_JAM!$A$5:$A$94,0)),"")</f>
        <v/>
      </c>
      <c r="K1206" s="158">
        <f>IFERROR(INDEX(MASTER_JAM!$J$5:$O$12,MATCH($E1206,MASTER_JAM!$I$5:$I$12,0),MATCH($J1206,MASTER_JAM!$J$4:$O$4,0))+0,0)</f>
        <v/>
      </c>
      <c r="L1206" s="159">
        <f>N($F1206)*$K1206</f>
        <v/>
      </c>
      <c r="M1206" s="157">
        <f>IF($E1206="","",IF(OR($E1206="Coal",$E1206="Dirty Coal"),"MT","BCM"))</f>
        <v/>
      </c>
      <c r="N1206" s="157">
        <f>IF($E1206="","",IF(OR($E1206="Coal",$E1206="Dirty Coal"),"Coal","OB"))</f>
        <v/>
      </c>
      <c r="O1206" s="157">
        <f>IF($F1206="","",IF(COUNTIF(MASTER_JAM!$A$5:$A$94,$C1206)=0,"Digger tidak dikenal",IF($J1206="","Hauler tidak dikenal",IF($H1206="?","Jam salah",IF($K1206=0,"Faktor kosong",IF(SUMIFS(INPUT_DELAY!$E$5:$E$20000,INPUT_DELAY!$A$5:$A$20000,$A1206,INPUT_DELAY!$B$5:$B$20000,$B1206,INPUT_DELAY!$C$5:$C$20000,$C1206)+SUMIFS(INPUT_DELAY!$E$5:$E$20000,INPUT_DELAY!$A$5:$A$20000,$A1206,INPUT_DELAY!$B$5:$B$20000,$B1206,INPUT_DELAY!$C$5:$C$20000,"SEMUA")&gt;=60,"Delay 60 mnt tapi ada ritase","OK"))))))</f>
        <v/>
      </c>
      <c r="P1206" s="158">
        <f>IFERROR(INDEX(MASTER_JAM!$Z$5:$AC$10,MATCH($I1206,MASTER_JAM!$Y$5:$Y$10,0),MATCH($J1206,MASTER_JAM!$Z$4:$AC$4,0))+0,0)</f>
        <v/>
      </c>
      <c r="Q1206" s="158">
        <f>IF($P1206=0,0,$P1206+IFERROR(INDEX(MASTER_JAM!$H$5:$H$94,MATCH($C1206,MASTER_JAM!$A$5:$A$94,0))+0,MASTER_JAM!$AC$15)/1000*(60/MASTER_JAM!$AC$12+60/MASTER_JAM!$AC$13)+MASTER_JAM!$AC$14)</f>
        <v/>
      </c>
      <c r="R1206" s="158">
        <f>IF(N($F1206)=0,0,$F1206/SUMIFS(INPUT_RITASE!$F$5:$F$20000,INPUT_RITASE!$A$5:$A$20000,$A1206,INPUT_RITASE!$B$5:$B$20000,$B1206,INPUT_RITASE!$C$5:$C$20000,$C1206,INPUT_RITASE!$D$5:$D$20000,$D1206))</f>
        <v/>
      </c>
      <c r="S1206" s="158">
        <f>IF($Q1206=0,0,$R1206*$P1206/$Q1206)</f>
        <v/>
      </c>
    </row>
    <row r="1207">
      <c r="A1207" s="155" t="n">
        <v>46108</v>
      </c>
      <c r="B1207" s="156" t="inlineStr">
        <is>
          <t>15-16</t>
        </is>
      </c>
      <c r="C1207" s="156" t="inlineStr">
        <is>
          <t>EX-1252</t>
        </is>
      </c>
      <c r="D1207" s="156" t="inlineStr">
        <is>
          <t>DT-502</t>
        </is>
      </c>
      <c r="E1207" s="156" t="inlineStr">
        <is>
          <t>OB</t>
        </is>
      </c>
      <c r="F1207" s="156" t="n">
        <v>2</v>
      </c>
      <c r="G1207" s="156" t="inlineStr"/>
      <c r="H1207" s="157">
        <f>IF($B1207="","",IF(ISNA(MATCH($B1207,MASTER_JAM!$Q$5:$Q$28,0)),"?",IF(MATCH($B1207,MASTER_JAM!$Q$5:$Q$28,0)&lt;=12,"DS","NS")))</f>
        <v/>
      </c>
      <c r="I1207" s="157">
        <f>IFERROR(INDEX(MASTER_JAM!$B$5:$B$94,MATCH($C1207,MASTER_JAM!$A$5:$A$94,0)),"")</f>
        <v/>
      </c>
      <c r="J1207" s="157">
        <f>IFERROR(INDEX(MASTER_JAM!$E$5:$E$94,MATCH($D1207,MASTER_JAM!$A$5:$A$94,0)),"")</f>
        <v/>
      </c>
      <c r="K1207" s="158">
        <f>IFERROR(INDEX(MASTER_JAM!$J$5:$O$12,MATCH($E1207,MASTER_JAM!$I$5:$I$12,0),MATCH($J1207,MASTER_JAM!$J$4:$O$4,0))+0,0)</f>
        <v/>
      </c>
      <c r="L1207" s="159">
        <f>N($F1207)*$K1207</f>
        <v/>
      </c>
      <c r="M1207" s="157">
        <f>IF($E1207="","",IF(OR($E1207="Coal",$E1207="Dirty Coal"),"MT","BCM"))</f>
        <v/>
      </c>
      <c r="N1207" s="157">
        <f>IF($E1207="","",IF(OR($E1207="Coal",$E1207="Dirty Coal"),"Coal","OB"))</f>
        <v/>
      </c>
      <c r="O1207" s="157">
        <f>IF($F1207="","",IF(COUNTIF(MASTER_JAM!$A$5:$A$94,$C1207)=0,"Digger tidak dikenal",IF($J1207="","Hauler tidak dikenal",IF($H1207="?","Jam salah",IF($K1207=0,"Faktor kosong",IF(SUMIFS(INPUT_DELAY!$E$5:$E$20000,INPUT_DELAY!$A$5:$A$20000,$A1207,INPUT_DELAY!$B$5:$B$20000,$B1207,INPUT_DELAY!$C$5:$C$20000,$C1207)+SUMIFS(INPUT_DELAY!$E$5:$E$20000,INPUT_DELAY!$A$5:$A$20000,$A1207,INPUT_DELAY!$B$5:$B$20000,$B1207,INPUT_DELAY!$C$5:$C$20000,"SEMUA")&gt;=60,"Delay 60 mnt tapi ada ritase","OK"))))))</f>
        <v/>
      </c>
      <c r="P1207" s="158">
        <f>IFERROR(INDEX(MASTER_JAM!$Z$5:$AC$10,MATCH($I1207,MASTER_JAM!$Y$5:$Y$10,0),MATCH($J1207,MASTER_JAM!$Z$4:$AC$4,0))+0,0)</f>
        <v/>
      </c>
      <c r="Q1207" s="158">
        <f>IF($P1207=0,0,$P1207+IFERROR(INDEX(MASTER_JAM!$H$5:$H$94,MATCH($C1207,MASTER_JAM!$A$5:$A$94,0))+0,MASTER_JAM!$AC$15)/1000*(60/MASTER_JAM!$AC$12+60/MASTER_JAM!$AC$13)+MASTER_JAM!$AC$14)</f>
        <v/>
      </c>
      <c r="R1207" s="158">
        <f>IF(N($F1207)=0,0,$F1207/SUMIFS(INPUT_RITASE!$F$5:$F$20000,INPUT_RITASE!$A$5:$A$20000,$A1207,INPUT_RITASE!$B$5:$B$20000,$B1207,INPUT_RITASE!$C$5:$C$20000,$C1207,INPUT_RITASE!$D$5:$D$20000,$D1207))</f>
        <v/>
      </c>
      <c r="S1207" s="158">
        <f>IF($Q1207=0,0,$R1207*$P1207/$Q1207)</f>
        <v/>
      </c>
    </row>
    <row r="1208">
      <c r="A1208" s="155" t="n">
        <v>46108</v>
      </c>
      <c r="B1208" s="156" t="inlineStr">
        <is>
          <t>15-16</t>
        </is>
      </c>
      <c r="C1208" s="156" t="inlineStr">
        <is>
          <t>EX-1252</t>
        </is>
      </c>
      <c r="D1208" s="156" t="inlineStr">
        <is>
          <t>HD-905</t>
        </is>
      </c>
      <c r="E1208" s="156" t="inlineStr">
        <is>
          <t>OB</t>
        </is>
      </c>
      <c r="F1208" s="156" t="n">
        <v>3</v>
      </c>
      <c r="G1208" s="156" t="inlineStr"/>
      <c r="H1208" s="157">
        <f>IF($B1208="","",IF(ISNA(MATCH($B1208,MASTER_JAM!$Q$5:$Q$28,0)),"?",IF(MATCH($B1208,MASTER_JAM!$Q$5:$Q$28,0)&lt;=12,"DS","NS")))</f>
        <v/>
      </c>
      <c r="I1208" s="157">
        <f>IFERROR(INDEX(MASTER_JAM!$B$5:$B$94,MATCH($C1208,MASTER_JAM!$A$5:$A$94,0)),"")</f>
        <v/>
      </c>
      <c r="J1208" s="157">
        <f>IFERROR(INDEX(MASTER_JAM!$E$5:$E$94,MATCH($D1208,MASTER_JAM!$A$5:$A$94,0)),"")</f>
        <v/>
      </c>
      <c r="K1208" s="158">
        <f>IFERROR(INDEX(MASTER_JAM!$J$5:$O$12,MATCH($E1208,MASTER_JAM!$I$5:$I$12,0),MATCH($J1208,MASTER_JAM!$J$4:$O$4,0))+0,0)</f>
        <v/>
      </c>
      <c r="L1208" s="159">
        <f>N($F1208)*$K1208</f>
        <v/>
      </c>
      <c r="M1208" s="157">
        <f>IF($E1208="","",IF(OR($E1208="Coal",$E1208="Dirty Coal"),"MT","BCM"))</f>
        <v/>
      </c>
      <c r="N1208" s="157">
        <f>IF($E1208="","",IF(OR($E1208="Coal",$E1208="Dirty Coal"),"Coal","OB"))</f>
        <v/>
      </c>
      <c r="O1208" s="157">
        <f>IF($F1208="","",IF(COUNTIF(MASTER_JAM!$A$5:$A$94,$C1208)=0,"Digger tidak dikenal",IF($J1208="","Hauler tidak dikenal",IF($H1208="?","Jam salah",IF($K1208=0,"Faktor kosong",IF(SUMIFS(INPUT_DELAY!$E$5:$E$20000,INPUT_DELAY!$A$5:$A$20000,$A1208,INPUT_DELAY!$B$5:$B$20000,$B1208,INPUT_DELAY!$C$5:$C$20000,$C1208)+SUMIFS(INPUT_DELAY!$E$5:$E$20000,INPUT_DELAY!$A$5:$A$20000,$A1208,INPUT_DELAY!$B$5:$B$20000,$B1208,INPUT_DELAY!$C$5:$C$20000,"SEMUA")&gt;=60,"Delay 60 mnt tapi ada ritase","OK"))))))</f>
        <v/>
      </c>
      <c r="P1208" s="158">
        <f>IFERROR(INDEX(MASTER_JAM!$Z$5:$AC$10,MATCH($I1208,MASTER_JAM!$Y$5:$Y$10,0),MATCH($J1208,MASTER_JAM!$Z$4:$AC$4,0))+0,0)</f>
        <v/>
      </c>
      <c r="Q1208" s="158">
        <f>IF($P1208=0,0,$P1208+IFERROR(INDEX(MASTER_JAM!$H$5:$H$94,MATCH($C1208,MASTER_JAM!$A$5:$A$94,0))+0,MASTER_JAM!$AC$15)/1000*(60/MASTER_JAM!$AC$12+60/MASTER_JAM!$AC$13)+MASTER_JAM!$AC$14)</f>
        <v/>
      </c>
      <c r="R1208" s="158">
        <f>IF(N($F1208)=0,0,$F1208/SUMIFS(INPUT_RITASE!$F$5:$F$20000,INPUT_RITASE!$A$5:$A$20000,$A1208,INPUT_RITASE!$B$5:$B$20000,$B1208,INPUT_RITASE!$C$5:$C$20000,$C1208,INPUT_RITASE!$D$5:$D$20000,$D1208))</f>
        <v/>
      </c>
      <c r="S1208" s="158">
        <f>IF($Q1208=0,0,$R1208*$P1208/$Q1208)</f>
        <v/>
      </c>
    </row>
    <row r="1209">
      <c r="A1209" s="155" t="n">
        <v>46108</v>
      </c>
      <c r="B1209" s="156" t="inlineStr">
        <is>
          <t>15-16</t>
        </is>
      </c>
      <c r="C1209" s="156" t="inlineStr">
        <is>
          <t>EX-1252</t>
        </is>
      </c>
      <c r="D1209" s="156" t="inlineStr">
        <is>
          <t>HD-901</t>
        </is>
      </c>
      <c r="E1209" s="156" t="inlineStr">
        <is>
          <t>OB</t>
        </is>
      </c>
      <c r="F1209" s="156" t="n">
        <v>3</v>
      </c>
      <c r="G1209" s="156" t="inlineStr"/>
      <c r="H1209" s="157">
        <f>IF($B1209="","",IF(ISNA(MATCH($B1209,MASTER_JAM!$Q$5:$Q$28,0)),"?",IF(MATCH($B1209,MASTER_JAM!$Q$5:$Q$28,0)&lt;=12,"DS","NS")))</f>
        <v/>
      </c>
      <c r="I1209" s="157">
        <f>IFERROR(INDEX(MASTER_JAM!$B$5:$B$94,MATCH($C1209,MASTER_JAM!$A$5:$A$94,0)),"")</f>
        <v/>
      </c>
      <c r="J1209" s="157">
        <f>IFERROR(INDEX(MASTER_JAM!$E$5:$E$94,MATCH($D1209,MASTER_JAM!$A$5:$A$94,0)),"")</f>
        <v/>
      </c>
      <c r="K1209" s="158">
        <f>IFERROR(INDEX(MASTER_JAM!$J$5:$O$12,MATCH($E1209,MASTER_JAM!$I$5:$I$12,0),MATCH($J1209,MASTER_JAM!$J$4:$O$4,0))+0,0)</f>
        <v/>
      </c>
      <c r="L1209" s="159">
        <f>N($F1209)*$K1209</f>
        <v/>
      </c>
      <c r="M1209" s="157">
        <f>IF($E1209="","",IF(OR($E1209="Coal",$E1209="Dirty Coal"),"MT","BCM"))</f>
        <v/>
      </c>
      <c r="N1209" s="157">
        <f>IF($E1209="","",IF(OR($E1209="Coal",$E1209="Dirty Coal"),"Coal","OB"))</f>
        <v/>
      </c>
      <c r="O1209" s="157">
        <f>IF($F1209="","",IF(COUNTIF(MASTER_JAM!$A$5:$A$94,$C1209)=0,"Digger tidak dikenal",IF($J1209="","Hauler tidak dikenal",IF($H1209="?","Jam salah",IF($K1209=0,"Faktor kosong",IF(SUMIFS(INPUT_DELAY!$E$5:$E$20000,INPUT_DELAY!$A$5:$A$20000,$A1209,INPUT_DELAY!$B$5:$B$20000,$B1209,INPUT_DELAY!$C$5:$C$20000,$C1209)+SUMIFS(INPUT_DELAY!$E$5:$E$20000,INPUT_DELAY!$A$5:$A$20000,$A1209,INPUT_DELAY!$B$5:$B$20000,$B1209,INPUT_DELAY!$C$5:$C$20000,"SEMUA")&gt;=60,"Delay 60 mnt tapi ada ritase","OK"))))))</f>
        <v/>
      </c>
      <c r="P1209" s="158">
        <f>IFERROR(INDEX(MASTER_JAM!$Z$5:$AC$10,MATCH($I1209,MASTER_JAM!$Y$5:$Y$10,0),MATCH($J1209,MASTER_JAM!$Z$4:$AC$4,0))+0,0)</f>
        <v/>
      </c>
      <c r="Q1209" s="158">
        <f>IF($P1209=0,0,$P1209+IFERROR(INDEX(MASTER_JAM!$H$5:$H$94,MATCH($C1209,MASTER_JAM!$A$5:$A$94,0))+0,MASTER_JAM!$AC$15)/1000*(60/MASTER_JAM!$AC$12+60/MASTER_JAM!$AC$13)+MASTER_JAM!$AC$14)</f>
        <v/>
      </c>
      <c r="R1209" s="158">
        <f>IF(N($F1209)=0,0,$F1209/SUMIFS(INPUT_RITASE!$F$5:$F$20000,INPUT_RITASE!$A$5:$A$20000,$A1209,INPUT_RITASE!$B$5:$B$20000,$B1209,INPUT_RITASE!$C$5:$C$20000,$C1209,INPUT_RITASE!$D$5:$D$20000,$D1209))</f>
        <v/>
      </c>
      <c r="S1209" s="158">
        <f>IF($Q1209=0,0,$R1209*$P1209/$Q1209)</f>
        <v/>
      </c>
    </row>
    <row r="1210">
      <c r="A1210" s="155" t="n">
        <v>46108</v>
      </c>
      <c r="B1210" s="156" t="inlineStr">
        <is>
          <t>15-16</t>
        </is>
      </c>
      <c r="C1210" s="156" t="inlineStr">
        <is>
          <t>EX-1252</t>
        </is>
      </c>
      <c r="D1210" s="156" t="inlineStr">
        <is>
          <t>HD-904</t>
        </is>
      </c>
      <c r="E1210" s="156" t="inlineStr">
        <is>
          <t>OB</t>
        </is>
      </c>
      <c r="F1210" s="156" t="n">
        <v>3</v>
      </c>
      <c r="G1210" s="156" t="inlineStr"/>
      <c r="H1210" s="157">
        <f>IF($B1210="","",IF(ISNA(MATCH($B1210,MASTER_JAM!$Q$5:$Q$28,0)),"?",IF(MATCH($B1210,MASTER_JAM!$Q$5:$Q$28,0)&lt;=12,"DS","NS")))</f>
        <v/>
      </c>
      <c r="I1210" s="157">
        <f>IFERROR(INDEX(MASTER_JAM!$B$5:$B$94,MATCH($C1210,MASTER_JAM!$A$5:$A$94,0)),"")</f>
        <v/>
      </c>
      <c r="J1210" s="157">
        <f>IFERROR(INDEX(MASTER_JAM!$E$5:$E$94,MATCH($D1210,MASTER_JAM!$A$5:$A$94,0)),"")</f>
        <v/>
      </c>
      <c r="K1210" s="158">
        <f>IFERROR(INDEX(MASTER_JAM!$J$5:$O$12,MATCH($E1210,MASTER_JAM!$I$5:$I$12,0),MATCH($J1210,MASTER_JAM!$J$4:$O$4,0))+0,0)</f>
        <v/>
      </c>
      <c r="L1210" s="159">
        <f>N($F1210)*$K1210</f>
        <v/>
      </c>
      <c r="M1210" s="157">
        <f>IF($E1210="","",IF(OR($E1210="Coal",$E1210="Dirty Coal"),"MT","BCM"))</f>
        <v/>
      </c>
      <c r="N1210" s="157">
        <f>IF($E1210="","",IF(OR($E1210="Coal",$E1210="Dirty Coal"),"Coal","OB"))</f>
        <v/>
      </c>
      <c r="O1210" s="157">
        <f>IF($F1210="","",IF(COUNTIF(MASTER_JAM!$A$5:$A$94,$C1210)=0,"Digger tidak dikenal",IF($J1210="","Hauler tidak dikenal",IF($H1210="?","Jam salah",IF($K1210=0,"Faktor kosong",IF(SUMIFS(INPUT_DELAY!$E$5:$E$20000,INPUT_DELAY!$A$5:$A$20000,$A1210,INPUT_DELAY!$B$5:$B$20000,$B1210,INPUT_DELAY!$C$5:$C$20000,$C1210)+SUMIFS(INPUT_DELAY!$E$5:$E$20000,INPUT_DELAY!$A$5:$A$20000,$A1210,INPUT_DELAY!$B$5:$B$20000,$B1210,INPUT_DELAY!$C$5:$C$20000,"SEMUA")&gt;=60,"Delay 60 mnt tapi ada ritase","OK"))))))</f>
        <v/>
      </c>
      <c r="P1210" s="158">
        <f>IFERROR(INDEX(MASTER_JAM!$Z$5:$AC$10,MATCH($I1210,MASTER_JAM!$Y$5:$Y$10,0),MATCH($J1210,MASTER_JAM!$Z$4:$AC$4,0))+0,0)</f>
        <v/>
      </c>
      <c r="Q1210" s="158">
        <f>IF($P1210=0,0,$P1210+IFERROR(INDEX(MASTER_JAM!$H$5:$H$94,MATCH($C1210,MASTER_JAM!$A$5:$A$94,0))+0,MASTER_JAM!$AC$15)/1000*(60/MASTER_JAM!$AC$12+60/MASTER_JAM!$AC$13)+MASTER_JAM!$AC$14)</f>
        <v/>
      </c>
      <c r="R1210" s="158">
        <f>IF(N($F1210)=0,0,$F1210/SUMIFS(INPUT_RITASE!$F$5:$F$20000,INPUT_RITASE!$A$5:$A$20000,$A1210,INPUT_RITASE!$B$5:$B$20000,$B1210,INPUT_RITASE!$C$5:$C$20000,$C1210,INPUT_RITASE!$D$5:$D$20000,$D1210))</f>
        <v/>
      </c>
      <c r="S1210" s="158">
        <f>IF($Q1210=0,0,$R1210*$P1210/$Q1210)</f>
        <v/>
      </c>
    </row>
    <row r="1211">
      <c r="A1211" s="155" t="n">
        <v>46108</v>
      </c>
      <c r="B1211" s="156" t="inlineStr">
        <is>
          <t>06-07</t>
        </is>
      </c>
      <c r="C1211" s="156" t="inlineStr">
        <is>
          <t>EX-754</t>
        </is>
      </c>
      <c r="D1211" s="156" t="inlineStr">
        <is>
          <t>DT-519</t>
        </is>
      </c>
      <c r="E1211" s="156" t="inlineStr">
        <is>
          <t>OB</t>
        </is>
      </c>
      <c r="F1211" s="156" t="n">
        <v>4</v>
      </c>
      <c r="G1211" s="156" t="inlineStr"/>
      <c r="H1211" s="157">
        <f>IF($B1211="","",IF(ISNA(MATCH($B1211,MASTER_JAM!$Q$5:$Q$28,0)),"?",IF(MATCH($B1211,MASTER_JAM!$Q$5:$Q$28,0)&lt;=12,"DS","NS")))</f>
        <v/>
      </c>
      <c r="I1211" s="157">
        <f>IFERROR(INDEX(MASTER_JAM!$B$5:$B$94,MATCH($C1211,MASTER_JAM!$A$5:$A$94,0)),"")</f>
        <v/>
      </c>
      <c r="J1211" s="157">
        <f>IFERROR(INDEX(MASTER_JAM!$E$5:$E$94,MATCH($D1211,MASTER_JAM!$A$5:$A$94,0)),"")</f>
        <v/>
      </c>
      <c r="K1211" s="158">
        <f>IFERROR(INDEX(MASTER_JAM!$J$5:$O$12,MATCH($E1211,MASTER_JAM!$I$5:$I$12,0),MATCH($J1211,MASTER_JAM!$J$4:$O$4,0))+0,0)</f>
        <v/>
      </c>
      <c r="L1211" s="159">
        <f>N($F1211)*$K1211</f>
        <v/>
      </c>
      <c r="M1211" s="157">
        <f>IF($E1211="","",IF(OR($E1211="Coal",$E1211="Dirty Coal"),"MT","BCM"))</f>
        <v/>
      </c>
      <c r="N1211" s="157">
        <f>IF($E1211="","",IF(OR($E1211="Coal",$E1211="Dirty Coal"),"Coal","OB"))</f>
        <v/>
      </c>
      <c r="O1211" s="157">
        <f>IF($F1211="","",IF(COUNTIF(MASTER_JAM!$A$5:$A$94,$C1211)=0,"Digger tidak dikenal",IF($J1211="","Hauler tidak dikenal",IF($H1211="?","Jam salah",IF($K1211=0,"Faktor kosong",IF(SUMIFS(INPUT_DELAY!$E$5:$E$20000,INPUT_DELAY!$A$5:$A$20000,$A1211,INPUT_DELAY!$B$5:$B$20000,$B1211,INPUT_DELAY!$C$5:$C$20000,$C1211)+SUMIFS(INPUT_DELAY!$E$5:$E$20000,INPUT_DELAY!$A$5:$A$20000,$A1211,INPUT_DELAY!$B$5:$B$20000,$B1211,INPUT_DELAY!$C$5:$C$20000,"SEMUA")&gt;=60,"Delay 60 mnt tapi ada ritase","OK"))))))</f>
        <v/>
      </c>
      <c r="P1211" s="158">
        <f>IFERROR(INDEX(MASTER_JAM!$Z$5:$AC$10,MATCH($I1211,MASTER_JAM!$Y$5:$Y$10,0),MATCH($J1211,MASTER_JAM!$Z$4:$AC$4,0))+0,0)</f>
        <v/>
      </c>
      <c r="Q1211" s="158">
        <f>IF($P1211=0,0,$P1211+IFERROR(INDEX(MASTER_JAM!$H$5:$H$94,MATCH($C1211,MASTER_JAM!$A$5:$A$94,0))+0,MASTER_JAM!$AC$15)/1000*(60/MASTER_JAM!$AC$12+60/MASTER_JAM!$AC$13)+MASTER_JAM!$AC$14)</f>
        <v/>
      </c>
      <c r="R1211" s="158">
        <f>IF(N($F1211)=0,0,$F1211/SUMIFS(INPUT_RITASE!$F$5:$F$20000,INPUT_RITASE!$A$5:$A$20000,$A1211,INPUT_RITASE!$B$5:$B$20000,$B1211,INPUT_RITASE!$C$5:$C$20000,$C1211,INPUT_RITASE!$D$5:$D$20000,$D1211))</f>
        <v/>
      </c>
      <c r="S1211" s="158">
        <f>IF($Q1211=0,0,$R1211*$P1211/$Q1211)</f>
        <v/>
      </c>
    </row>
    <row r="1212">
      <c r="A1212" s="155" t="n">
        <v>46108</v>
      </c>
      <c r="B1212" s="156" t="inlineStr">
        <is>
          <t>06-07</t>
        </is>
      </c>
      <c r="C1212" s="156" t="inlineStr">
        <is>
          <t>EX-754</t>
        </is>
      </c>
      <c r="D1212" s="156" t="inlineStr">
        <is>
          <t>DT-502</t>
        </is>
      </c>
      <c r="E1212" s="156" t="inlineStr">
        <is>
          <t>OB</t>
        </is>
      </c>
      <c r="F1212" s="156" t="n">
        <v>4</v>
      </c>
      <c r="G1212" s="156" t="inlineStr"/>
      <c r="H1212" s="157">
        <f>IF($B1212="","",IF(ISNA(MATCH($B1212,MASTER_JAM!$Q$5:$Q$28,0)),"?",IF(MATCH($B1212,MASTER_JAM!$Q$5:$Q$28,0)&lt;=12,"DS","NS")))</f>
        <v/>
      </c>
      <c r="I1212" s="157">
        <f>IFERROR(INDEX(MASTER_JAM!$B$5:$B$94,MATCH($C1212,MASTER_JAM!$A$5:$A$94,0)),"")</f>
        <v/>
      </c>
      <c r="J1212" s="157">
        <f>IFERROR(INDEX(MASTER_JAM!$E$5:$E$94,MATCH($D1212,MASTER_JAM!$A$5:$A$94,0)),"")</f>
        <v/>
      </c>
      <c r="K1212" s="158">
        <f>IFERROR(INDEX(MASTER_JAM!$J$5:$O$12,MATCH($E1212,MASTER_JAM!$I$5:$I$12,0),MATCH($J1212,MASTER_JAM!$J$4:$O$4,0))+0,0)</f>
        <v/>
      </c>
      <c r="L1212" s="159">
        <f>N($F1212)*$K1212</f>
        <v/>
      </c>
      <c r="M1212" s="157">
        <f>IF($E1212="","",IF(OR($E1212="Coal",$E1212="Dirty Coal"),"MT","BCM"))</f>
        <v/>
      </c>
      <c r="N1212" s="157">
        <f>IF($E1212="","",IF(OR($E1212="Coal",$E1212="Dirty Coal"),"Coal","OB"))</f>
        <v/>
      </c>
      <c r="O1212" s="157">
        <f>IF($F1212="","",IF(COUNTIF(MASTER_JAM!$A$5:$A$94,$C1212)=0,"Digger tidak dikenal",IF($J1212="","Hauler tidak dikenal",IF($H1212="?","Jam salah",IF($K1212=0,"Faktor kosong",IF(SUMIFS(INPUT_DELAY!$E$5:$E$20000,INPUT_DELAY!$A$5:$A$20000,$A1212,INPUT_DELAY!$B$5:$B$20000,$B1212,INPUT_DELAY!$C$5:$C$20000,$C1212)+SUMIFS(INPUT_DELAY!$E$5:$E$20000,INPUT_DELAY!$A$5:$A$20000,$A1212,INPUT_DELAY!$B$5:$B$20000,$B1212,INPUT_DELAY!$C$5:$C$20000,"SEMUA")&gt;=60,"Delay 60 mnt tapi ada ritase","OK"))))))</f>
        <v/>
      </c>
      <c r="P1212" s="158">
        <f>IFERROR(INDEX(MASTER_JAM!$Z$5:$AC$10,MATCH($I1212,MASTER_JAM!$Y$5:$Y$10,0),MATCH($J1212,MASTER_JAM!$Z$4:$AC$4,0))+0,0)</f>
        <v/>
      </c>
      <c r="Q1212" s="158">
        <f>IF($P1212=0,0,$P1212+IFERROR(INDEX(MASTER_JAM!$H$5:$H$94,MATCH($C1212,MASTER_JAM!$A$5:$A$94,0))+0,MASTER_JAM!$AC$15)/1000*(60/MASTER_JAM!$AC$12+60/MASTER_JAM!$AC$13)+MASTER_JAM!$AC$14)</f>
        <v/>
      </c>
      <c r="R1212" s="158">
        <f>IF(N($F1212)=0,0,$F1212/SUMIFS(INPUT_RITASE!$F$5:$F$20000,INPUT_RITASE!$A$5:$A$20000,$A1212,INPUT_RITASE!$B$5:$B$20000,$B1212,INPUT_RITASE!$C$5:$C$20000,$C1212,INPUT_RITASE!$D$5:$D$20000,$D1212))</f>
        <v/>
      </c>
      <c r="S1212" s="158">
        <f>IF($Q1212=0,0,$R1212*$P1212/$Q1212)</f>
        <v/>
      </c>
    </row>
    <row r="1213">
      <c r="A1213" s="155" t="n">
        <v>46108</v>
      </c>
      <c r="B1213" s="156" t="inlineStr">
        <is>
          <t>06-07</t>
        </is>
      </c>
      <c r="C1213" s="156" t="inlineStr">
        <is>
          <t>EX-754</t>
        </is>
      </c>
      <c r="D1213" s="156" t="inlineStr">
        <is>
          <t>DT-523</t>
        </is>
      </c>
      <c r="E1213" s="156" t="inlineStr">
        <is>
          <t>OB</t>
        </is>
      </c>
      <c r="F1213" s="156" t="n">
        <v>3</v>
      </c>
      <c r="G1213" s="156" t="inlineStr"/>
      <c r="H1213" s="157">
        <f>IF($B1213="","",IF(ISNA(MATCH($B1213,MASTER_JAM!$Q$5:$Q$28,0)),"?",IF(MATCH($B1213,MASTER_JAM!$Q$5:$Q$28,0)&lt;=12,"DS","NS")))</f>
        <v/>
      </c>
      <c r="I1213" s="157">
        <f>IFERROR(INDEX(MASTER_JAM!$B$5:$B$94,MATCH($C1213,MASTER_JAM!$A$5:$A$94,0)),"")</f>
        <v/>
      </c>
      <c r="J1213" s="157">
        <f>IFERROR(INDEX(MASTER_JAM!$E$5:$E$94,MATCH($D1213,MASTER_JAM!$A$5:$A$94,0)),"")</f>
        <v/>
      </c>
      <c r="K1213" s="158">
        <f>IFERROR(INDEX(MASTER_JAM!$J$5:$O$12,MATCH($E1213,MASTER_JAM!$I$5:$I$12,0),MATCH($J1213,MASTER_JAM!$J$4:$O$4,0))+0,0)</f>
        <v/>
      </c>
      <c r="L1213" s="159">
        <f>N($F1213)*$K1213</f>
        <v/>
      </c>
      <c r="M1213" s="157">
        <f>IF($E1213="","",IF(OR($E1213="Coal",$E1213="Dirty Coal"),"MT","BCM"))</f>
        <v/>
      </c>
      <c r="N1213" s="157">
        <f>IF($E1213="","",IF(OR($E1213="Coal",$E1213="Dirty Coal"),"Coal","OB"))</f>
        <v/>
      </c>
      <c r="O1213" s="157">
        <f>IF($F1213="","",IF(COUNTIF(MASTER_JAM!$A$5:$A$94,$C1213)=0,"Digger tidak dikenal",IF($J1213="","Hauler tidak dikenal",IF($H1213="?","Jam salah",IF($K1213=0,"Faktor kosong",IF(SUMIFS(INPUT_DELAY!$E$5:$E$20000,INPUT_DELAY!$A$5:$A$20000,$A1213,INPUT_DELAY!$B$5:$B$20000,$B1213,INPUT_DELAY!$C$5:$C$20000,$C1213)+SUMIFS(INPUT_DELAY!$E$5:$E$20000,INPUT_DELAY!$A$5:$A$20000,$A1213,INPUT_DELAY!$B$5:$B$20000,$B1213,INPUT_DELAY!$C$5:$C$20000,"SEMUA")&gt;=60,"Delay 60 mnt tapi ada ritase","OK"))))))</f>
        <v/>
      </c>
      <c r="P1213" s="158">
        <f>IFERROR(INDEX(MASTER_JAM!$Z$5:$AC$10,MATCH($I1213,MASTER_JAM!$Y$5:$Y$10,0),MATCH($J1213,MASTER_JAM!$Z$4:$AC$4,0))+0,0)</f>
        <v/>
      </c>
      <c r="Q1213" s="158">
        <f>IF($P1213=0,0,$P1213+IFERROR(INDEX(MASTER_JAM!$H$5:$H$94,MATCH($C1213,MASTER_JAM!$A$5:$A$94,0))+0,MASTER_JAM!$AC$15)/1000*(60/MASTER_JAM!$AC$12+60/MASTER_JAM!$AC$13)+MASTER_JAM!$AC$14)</f>
        <v/>
      </c>
      <c r="R1213" s="158">
        <f>IF(N($F1213)=0,0,$F1213/SUMIFS(INPUT_RITASE!$F$5:$F$20000,INPUT_RITASE!$A$5:$A$20000,$A1213,INPUT_RITASE!$B$5:$B$20000,$B1213,INPUT_RITASE!$C$5:$C$20000,$C1213,INPUT_RITASE!$D$5:$D$20000,$D1213))</f>
        <v/>
      </c>
      <c r="S1213" s="158">
        <f>IF($Q1213=0,0,$R1213*$P1213/$Q1213)</f>
        <v/>
      </c>
    </row>
    <row r="1214">
      <c r="A1214" s="155" t="n">
        <v>46108</v>
      </c>
      <c r="B1214" s="156" t="inlineStr">
        <is>
          <t>06-07</t>
        </is>
      </c>
      <c r="C1214" s="156" t="inlineStr">
        <is>
          <t>EX-754</t>
        </is>
      </c>
      <c r="D1214" s="156" t="inlineStr">
        <is>
          <t>DT-528</t>
        </is>
      </c>
      <c r="E1214" s="156" t="inlineStr">
        <is>
          <t>OB</t>
        </is>
      </c>
      <c r="F1214" s="156" t="n">
        <v>3</v>
      </c>
      <c r="G1214" s="156" t="inlineStr"/>
      <c r="H1214" s="157">
        <f>IF($B1214="","",IF(ISNA(MATCH($B1214,MASTER_JAM!$Q$5:$Q$28,0)),"?",IF(MATCH($B1214,MASTER_JAM!$Q$5:$Q$28,0)&lt;=12,"DS","NS")))</f>
        <v/>
      </c>
      <c r="I1214" s="157">
        <f>IFERROR(INDEX(MASTER_JAM!$B$5:$B$94,MATCH($C1214,MASTER_JAM!$A$5:$A$94,0)),"")</f>
        <v/>
      </c>
      <c r="J1214" s="157">
        <f>IFERROR(INDEX(MASTER_JAM!$E$5:$E$94,MATCH($D1214,MASTER_JAM!$A$5:$A$94,0)),"")</f>
        <v/>
      </c>
      <c r="K1214" s="158">
        <f>IFERROR(INDEX(MASTER_JAM!$J$5:$O$12,MATCH($E1214,MASTER_JAM!$I$5:$I$12,0),MATCH($J1214,MASTER_JAM!$J$4:$O$4,0))+0,0)</f>
        <v/>
      </c>
      <c r="L1214" s="159">
        <f>N($F1214)*$K1214</f>
        <v/>
      </c>
      <c r="M1214" s="157">
        <f>IF($E1214="","",IF(OR($E1214="Coal",$E1214="Dirty Coal"),"MT","BCM"))</f>
        <v/>
      </c>
      <c r="N1214" s="157">
        <f>IF($E1214="","",IF(OR($E1214="Coal",$E1214="Dirty Coal"),"Coal","OB"))</f>
        <v/>
      </c>
      <c r="O1214" s="157">
        <f>IF($F1214="","",IF(COUNTIF(MASTER_JAM!$A$5:$A$94,$C1214)=0,"Digger tidak dikenal",IF($J1214="","Hauler tidak dikenal",IF($H1214="?","Jam salah",IF($K1214=0,"Faktor kosong",IF(SUMIFS(INPUT_DELAY!$E$5:$E$20000,INPUT_DELAY!$A$5:$A$20000,$A1214,INPUT_DELAY!$B$5:$B$20000,$B1214,INPUT_DELAY!$C$5:$C$20000,$C1214)+SUMIFS(INPUT_DELAY!$E$5:$E$20000,INPUT_DELAY!$A$5:$A$20000,$A1214,INPUT_DELAY!$B$5:$B$20000,$B1214,INPUT_DELAY!$C$5:$C$20000,"SEMUA")&gt;=60,"Delay 60 mnt tapi ada ritase","OK"))))))</f>
        <v/>
      </c>
      <c r="P1214" s="158">
        <f>IFERROR(INDEX(MASTER_JAM!$Z$5:$AC$10,MATCH($I1214,MASTER_JAM!$Y$5:$Y$10,0),MATCH($J1214,MASTER_JAM!$Z$4:$AC$4,0))+0,0)</f>
        <v/>
      </c>
      <c r="Q1214" s="158">
        <f>IF($P1214=0,0,$P1214+IFERROR(INDEX(MASTER_JAM!$H$5:$H$94,MATCH($C1214,MASTER_JAM!$A$5:$A$94,0))+0,MASTER_JAM!$AC$15)/1000*(60/MASTER_JAM!$AC$12+60/MASTER_JAM!$AC$13)+MASTER_JAM!$AC$14)</f>
        <v/>
      </c>
      <c r="R1214" s="158">
        <f>IF(N($F1214)=0,0,$F1214/SUMIFS(INPUT_RITASE!$F$5:$F$20000,INPUT_RITASE!$A$5:$A$20000,$A1214,INPUT_RITASE!$B$5:$B$20000,$B1214,INPUT_RITASE!$C$5:$C$20000,$C1214,INPUT_RITASE!$D$5:$D$20000,$D1214))</f>
        <v/>
      </c>
      <c r="S1214" s="158">
        <f>IF($Q1214=0,0,$R1214*$P1214/$Q1214)</f>
        <v/>
      </c>
    </row>
    <row r="1215">
      <c r="A1215" s="155" t="n">
        <v>46108</v>
      </c>
      <c r="B1215" s="156" t="inlineStr">
        <is>
          <t>07-08</t>
        </is>
      </c>
      <c r="C1215" s="156" t="inlineStr">
        <is>
          <t>EX-754</t>
        </is>
      </c>
      <c r="D1215" s="156" t="inlineStr">
        <is>
          <t>DT-514</t>
        </is>
      </c>
      <c r="E1215" s="156" t="inlineStr">
        <is>
          <t>OB</t>
        </is>
      </c>
      <c r="F1215" s="156" t="n">
        <v>4</v>
      </c>
      <c r="G1215" s="156" t="inlineStr"/>
      <c r="H1215" s="157">
        <f>IF($B1215="","",IF(ISNA(MATCH($B1215,MASTER_JAM!$Q$5:$Q$28,0)),"?",IF(MATCH($B1215,MASTER_JAM!$Q$5:$Q$28,0)&lt;=12,"DS","NS")))</f>
        <v/>
      </c>
      <c r="I1215" s="157">
        <f>IFERROR(INDEX(MASTER_JAM!$B$5:$B$94,MATCH($C1215,MASTER_JAM!$A$5:$A$94,0)),"")</f>
        <v/>
      </c>
      <c r="J1215" s="157">
        <f>IFERROR(INDEX(MASTER_JAM!$E$5:$E$94,MATCH($D1215,MASTER_JAM!$A$5:$A$94,0)),"")</f>
        <v/>
      </c>
      <c r="K1215" s="158">
        <f>IFERROR(INDEX(MASTER_JAM!$J$5:$O$12,MATCH($E1215,MASTER_JAM!$I$5:$I$12,0),MATCH($J1215,MASTER_JAM!$J$4:$O$4,0))+0,0)</f>
        <v/>
      </c>
      <c r="L1215" s="159">
        <f>N($F1215)*$K1215</f>
        <v/>
      </c>
      <c r="M1215" s="157">
        <f>IF($E1215="","",IF(OR($E1215="Coal",$E1215="Dirty Coal"),"MT","BCM"))</f>
        <v/>
      </c>
      <c r="N1215" s="157">
        <f>IF($E1215="","",IF(OR($E1215="Coal",$E1215="Dirty Coal"),"Coal","OB"))</f>
        <v/>
      </c>
      <c r="O1215" s="157">
        <f>IF($F1215="","",IF(COUNTIF(MASTER_JAM!$A$5:$A$94,$C1215)=0,"Digger tidak dikenal",IF($J1215="","Hauler tidak dikenal",IF($H1215="?","Jam salah",IF($K1215=0,"Faktor kosong",IF(SUMIFS(INPUT_DELAY!$E$5:$E$20000,INPUT_DELAY!$A$5:$A$20000,$A1215,INPUT_DELAY!$B$5:$B$20000,$B1215,INPUT_DELAY!$C$5:$C$20000,$C1215)+SUMIFS(INPUT_DELAY!$E$5:$E$20000,INPUT_DELAY!$A$5:$A$20000,$A1215,INPUT_DELAY!$B$5:$B$20000,$B1215,INPUT_DELAY!$C$5:$C$20000,"SEMUA")&gt;=60,"Delay 60 mnt tapi ada ritase","OK"))))))</f>
        <v/>
      </c>
      <c r="P1215" s="158">
        <f>IFERROR(INDEX(MASTER_JAM!$Z$5:$AC$10,MATCH($I1215,MASTER_JAM!$Y$5:$Y$10,0),MATCH($J1215,MASTER_JAM!$Z$4:$AC$4,0))+0,0)</f>
        <v/>
      </c>
      <c r="Q1215" s="158">
        <f>IF($P1215=0,0,$P1215+IFERROR(INDEX(MASTER_JAM!$H$5:$H$94,MATCH($C1215,MASTER_JAM!$A$5:$A$94,0))+0,MASTER_JAM!$AC$15)/1000*(60/MASTER_JAM!$AC$12+60/MASTER_JAM!$AC$13)+MASTER_JAM!$AC$14)</f>
        <v/>
      </c>
      <c r="R1215" s="158">
        <f>IF(N($F1215)=0,0,$F1215/SUMIFS(INPUT_RITASE!$F$5:$F$20000,INPUT_RITASE!$A$5:$A$20000,$A1215,INPUT_RITASE!$B$5:$B$20000,$B1215,INPUT_RITASE!$C$5:$C$20000,$C1215,INPUT_RITASE!$D$5:$D$20000,$D1215))</f>
        <v/>
      </c>
      <c r="S1215" s="158">
        <f>IF($Q1215=0,0,$R1215*$P1215/$Q1215)</f>
        <v/>
      </c>
    </row>
    <row r="1216">
      <c r="A1216" s="155" t="n">
        <v>46108</v>
      </c>
      <c r="B1216" s="156" t="inlineStr">
        <is>
          <t>07-08</t>
        </is>
      </c>
      <c r="C1216" s="156" t="inlineStr">
        <is>
          <t>EX-754</t>
        </is>
      </c>
      <c r="D1216" s="156" t="inlineStr">
        <is>
          <t>DT-515</t>
        </is>
      </c>
      <c r="E1216" s="156" t="inlineStr">
        <is>
          <t>OB</t>
        </is>
      </c>
      <c r="F1216" s="156" t="n">
        <v>3</v>
      </c>
      <c r="G1216" s="156" t="inlineStr"/>
      <c r="H1216" s="157">
        <f>IF($B1216="","",IF(ISNA(MATCH($B1216,MASTER_JAM!$Q$5:$Q$28,0)),"?",IF(MATCH($B1216,MASTER_JAM!$Q$5:$Q$28,0)&lt;=12,"DS","NS")))</f>
        <v/>
      </c>
      <c r="I1216" s="157">
        <f>IFERROR(INDEX(MASTER_JAM!$B$5:$B$94,MATCH($C1216,MASTER_JAM!$A$5:$A$94,0)),"")</f>
        <v/>
      </c>
      <c r="J1216" s="157">
        <f>IFERROR(INDEX(MASTER_JAM!$E$5:$E$94,MATCH($D1216,MASTER_JAM!$A$5:$A$94,0)),"")</f>
        <v/>
      </c>
      <c r="K1216" s="158">
        <f>IFERROR(INDEX(MASTER_JAM!$J$5:$O$12,MATCH($E1216,MASTER_JAM!$I$5:$I$12,0),MATCH($J1216,MASTER_JAM!$J$4:$O$4,0))+0,0)</f>
        <v/>
      </c>
      <c r="L1216" s="159">
        <f>N($F1216)*$K1216</f>
        <v/>
      </c>
      <c r="M1216" s="157">
        <f>IF($E1216="","",IF(OR($E1216="Coal",$E1216="Dirty Coal"),"MT","BCM"))</f>
        <v/>
      </c>
      <c r="N1216" s="157">
        <f>IF($E1216="","",IF(OR($E1216="Coal",$E1216="Dirty Coal"),"Coal","OB"))</f>
        <v/>
      </c>
      <c r="O1216" s="157">
        <f>IF($F1216="","",IF(COUNTIF(MASTER_JAM!$A$5:$A$94,$C1216)=0,"Digger tidak dikenal",IF($J1216="","Hauler tidak dikenal",IF($H1216="?","Jam salah",IF($K1216=0,"Faktor kosong",IF(SUMIFS(INPUT_DELAY!$E$5:$E$20000,INPUT_DELAY!$A$5:$A$20000,$A1216,INPUT_DELAY!$B$5:$B$20000,$B1216,INPUT_DELAY!$C$5:$C$20000,$C1216)+SUMIFS(INPUT_DELAY!$E$5:$E$20000,INPUT_DELAY!$A$5:$A$20000,$A1216,INPUT_DELAY!$B$5:$B$20000,$B1216,INPUT_DELAY!$C$5:$C$20000,"SEMUA")&gt;=60,"Delay 60 mnt tapi ada ritase","OK"))))))</f>
        <v/>
      </c>
      <c r="P1216" s="158">
        <f>IFERROR(INDEX(MASTER_JAM!$Z$5:$AC$10,MATCH($I1216,MASTER_JAM!$Y$5:$Y$10,0),MATCH($J1216,MASTER_JAM!$Z$4:$AC$4,0))+0,0)</f>
        <v/>
      </c>
      <c r="Q1216" s="158">
        <f>IF($P1216=0,0,$P1216+IFERROR(INDEX(MASTER_JAM!$H$5:$H$94,MATCH($C1216,MASTER_JAM!$A$5:$A$94,0))+0,MASTER_JAM!$AC$15)/1000*(60/MASTER_JAM!$AC$12+60/MASTER_JAM!$AC$13)+MASTER_JAM!$AC$14)</f>
        <v/>
      </c>
      <c r="R1216" s="158">
        <f>IF(N($F1216)=0,0,$F1216/SUMIFS(INPUT_RITASE!$F$5:$F$20000,INPUT_RITASE!$A$5:$A$20000,$A1216,INPUT_RITASE!$B$5:$B$20000,$B1216,INPUT_RITASE!$C$5:$C$20000,$C1216,INPUT_RITASE!$D$5:$D$20000,$D1216))</f>
        <v/>
      </c>
      <c r="S1216" s="158">
        <f>IF($Q1216=0,0,$R1216*$P1216/$Q1216)</f>
        <v/>
      </c>
    </row>
    <row r="1217">
      <c r="A1217" s="155" t="n">
        <v>46108</v>
      </c>
      <c r="B1217" s="156" t="inlineStr">
        <is>
          <t>07-08</t>
        </is>
      </c>
      <c r="C1217" s="156" t="inlineStr">
        <is>
          <t>EX-754</t>
        </is>
      </c>
      <c r="D1217" s="156" t="inlineStr">
        <is>
          <t>DT-522</t>
        </is>
      </c>
      <c r="E1217" s="156" t="inlineStr">
        <is>
          <t>OB</t>
        </is>
      </c>
      <c r="F1217" s="156" t="n">
        <v>3</v>
      </c>
      <c r="G1217" s="156" t="inlineStr"/>
      <c r="H1217" s="157">
        <f>IF($B1217="","",IF(ISNA(MATCH($B1217,MASTER_JAM!$Q$5:$Q$28,0)),"?",IF(MATCH($B1217,MASTER_JAM!$Q$5:$Q$28,0)&lt;=12,"DS","NS")))</f>
        <v/>
      </c>
      <c r="I1217" s="157">
        <f>IFERROR(INDEX(MASTER_JAM!$B$5:$B$94,MATCH($C1217,MASTER_JAM!$A$5:$A$94,0)),"")</f>
        <v/>
      </c>
      <c r="J1217" s="157">
        <f>IFERROR(INDEX(MASTER_JAM!$E$5:$E$94,MATCH($D1217,MASTER_JAM!$A$5:$A$94,0)),"")</f>
        <v/>
      </c>
      <c r="K1217" s="158">
        <f>IFERROR(INDEX(MASTER_JAM!$J$5:$O$12,MATCH($E1217,MASTER_JAM!$I$5:$I$12,0),MATCH($J1217,MASTER_JAM!$J$4:$O$4,0))+0,0)</f>
        <v/>
      </c>
      <c r="L1217" s="159">
        <f>N($F1217)*$K1217</f>
        <v/>
      </c>
      <c r="M1217" s="157">
        <f>IF($E1217="","",IF(OR($E1217="Coal",$E1217="Dirty Coal"),"MT","BCM"))</f>
        <v/>
      </c>
      <c r="N1217" s="157">
        <f>IF($E1217="","",IF(OR($E1217="Coal",$E1217="Dirty Coal"),"Coal","OB"))</f>
        <v/>
      </c>
      <c r="O1217" s="157">
        <f>IF($F1217="","",IF(COUNTIF(MASTER_JAM!$A$5:$A$94,$C1217)=0,"Digger tidak dikenal",IF($J1217="","Hauler tidak dikenal",IF($H1217="?","Jam salah",IF($K1217=0,"Faktor kosong",IF(SUMIFS(INPUT_DELAY!$E$5:$E$20000,INPUT_DELAY!$A$5:$A$20000,$A1217,INPUT_DELAY!$B$5:$B$20000,$B1217,INPUT_DELAY!$C$5:$C$20000,$C1217)+SUMIFS(INPUT_DELAY!$E$5:$E$20000,INPUT_DELAY!$A$5:$A$20000,$A1217,INPUT_DELAY!$B$5:$B$20000,$B1217,INPUT_DELAY!$C$5:$C$20000,"SEMUA")&gt;=60,"Delay 60 mnt tapi ada ritase","OK"))))))</f>
        <v/>
      </c>
      <c r="P1217" s="158">
        <f>IFERROR(INDEX(MASTER_JAM!$Z$5:$AC$10,MATCH($I1217,MASTER_JAM!$Y$5:$Y$10,0),MATCH($J1217,MASTER_JAM!$Z$4:$AC$4,0))+0,0)</f>
        <v/>
      </c>
      <c r="Q1217" s="158">
        <f>IF($P1217=0,0,$P1217+IFERROR(INDEX(MASTER_JAM!$H$5:$H$94,MATCH($C1217,MASTER_JAM!$A$5:$A$94,0))+0,MASTER_JAM!$AC$15)/1000*(60/MASTER_JAM!$AC$12+60/MASTER_JAM!$AC$13)+MASTER_JAM!$AC$14)</f>
        <v/>
      </c>
      <c r="R1217" s="158">
        <f>IF(N($F1217)=0,0,$F1217/SUMIFS(INPUT_RITASE!$F$5:$F$20000,INPUT_RITASE!$A$5:$A$20000,$A1217,INPUT_RITASE!$B$5:$B$20000,$B1217,INPUT_RITASE!$C$5:$C$20000,$C1217,INPUT_RITASE!$D$5:$D$20000,$D1217))</f>
        <v/>
      </c>
      <c r="S1217" s="158">
        <f>IF($Q1217=0,0,$R1217*$P1217/$Q1217)</f>
        <v/>
      </c>
    </row>
    <row r="1218">
      <c r="A1218" s="155" t="n">
        <v>46108</v>
      </c>
      <c r="B1218" s="156" t="inlineStr">
        <is>
          <t>07-08</t>
        </is>
      </c>
      <c r="C1218" s="156" t="inlineStr">
        <is>
          <t>EX-754</t>
        </is>
      </c>
      <c r="D1218" s="156" t="inlineStr">
        <is>
          <t>DT-508</t>
        </is>
      </c>
      <c r="E1218" s="156" t="inlineStr">
        <is>
          <t>OB</t>
        </is>
      </c>
      <c r="F1218" s="156" t="n">
        <v>3</v>
      </c>
      <c r="G1218" s="156" t="inlineStr"/>
      <c r="H1218" s="157">
        <f>IF($B1218="","",IF(ISNA(MATCH($B1218,MASTER_JAM!$Q$5:$Q$28,0)),"?",IF(MATCH($B1218,MASTER_JAM!$Q$5:$Q$28,0)&lt;=12,"DS","NS")))</f>
        <v/>
      </c>
      <c r="I1218" s="157">
        <f>IFERROR(INDEX(MASTER_JAM!$B$5:$B$94,MATCH($C1218,MASTER_JAM!$A$5:$A$94,0)),"")</f>
        <v/>
      </c>
      <c r="J1218" s="157">
        <f>IFERROR(INDEX(MASTER_JAM!$E$5:$E$94,MATCH($D1218,MASTER_JAM!$A$5:$A$94,0)),"")</f>
        <v/>
      </c>
      <c r="K1218" s="158">
        <f>IFERROR(INDEX(MASTER_JAM!$J$5:$O$12,MATCH($E1218,MASTER_JAM!$I$5:$I$12,0),MATCH($J1218,MASTER_JAM!$J$4:$O$4,0))+0,0)</f>
        <v/>
      </c>
      <c r="L1218" s="159">
        <f>N($F1218)*$K1218</f>
        <v/>
      </c>
      <c r="M1218" s="157">
        <f>IF($E1218="","",IF(OR($E1218="Coal",$E1218="Dirty Coal"),"MT","BCM"))</f>
        <v/>
      </c>
      <c r="N1218" s="157">
        <f>IF($E1218="","",IF(OR($E1218="Coal",$E1218="Dirty Coal"),"Coal","OB"))</f>
        <v/>
      </c>
      <c r="O1218" s="157">
        <f>IF($F1218="","",IF(COUNTIF(MASTER_JAM!$A$5:$A$94,$C1218)=0,"Digger tidak dikenal",IF($J1218="","Hauler tidak dikenal",IF($H1218="?","Jam salah",IF($K1218=0,"Faktor kosong",IF(SUMIFS(INPUT_DELAY!$E$5:$E$20000,INPUT_DELAY!$A$5:$A$20000,$A1218,INPUT_DELAY!$B$5:$B$20000,$B1218,INPUT_DELAY!$C$5:$C$20000,$C1218)+SUMIFS(INPUT_DELAY!$E$5:$E$20000,INPUT_DELAY!$A$5:$A$20000,$A1218,INPUT_DELAY!$B$5:$B$20000,$B1218,INPUT_DELAY!$C$5:$C$20000,"SEMUA")&gt;=60,"Delay 60 mnt tapi ada ritase","OK"))))))</f>
        <v/>
      </c>
      <c r="P1218" s="158">
        <f>IFERROR(INDEX(MASTER_JAM!$Z$5:$AC$10,MATCH($I1218,MASTER_JAM!$Y$5:$Y$10,0),MATCH($J1218,MASTER_JAM!$Z$4:$AC$4,0))+0,0)</f>
        <v/>
      </c>
      <c r="Q1218" s="158">
        <f>IF($P1218=0,0,$P1218+IFERROR(INDEX(MASTER_JAM!$H$5:$H$94,MATCH($C1218,MASTER_JAM!$A$5:$A$94,0))+0,MASTER_JAM!$AC$15)/1000*(60/MASTER_JAM!$AC$12+60/MASTER_JAM!$AC$13)+MASTER_JAM!$AC$14)</f>
        <v/>
      </c>
      <c r="R1218" s="158">
        <f>IF(N($F1218)=0,0,$F1218/SUMIFS(INPUT_RITASE!$F$5:$F$20000,INPUT_RITASE!$A$5:$A$20000,$A1218,INPUT_RITASE!$B$5:$B$20000,$B1218,INPUT_RITASE!$C$5:$C$20000,$C1218,INPUT_RITASE!$D$5:$D$20000,$D1218))</f>
        <v/>
      </c>
      <c r="S1218" s="158">
        <f>IF($Q1218=0,0,$R1218*$P1218/$Q1218)</f>
        <v/>
      </c>
    </row>
    <row r="1219">
      <c r="A1219" s="155" t="n">
        <v>46108</v>
      </c>
      <c r="B1219" s="156" t="inlineStr">
        <is>
          <t>08-09</t>
        </is>
      </c>
      <c r="C1219" s="156" t="inlineStr">
        <is>
          <t>EX-754</t>
        </is>
      </c>
      <c r="D1219" s="156" t="inlineStr">
        <is>
          <t>DT-807</t>
        </is>
      </c>
      <c r="E1219" s="156" t="inlineStr">
        <is>
          <t>Coal</t>
        </is>
      </c>
      <c r="F1219" s="156" t="n">
        <v>2</v>
      </c>
      <c r="G1219" s="156" t="inlineStr"/>
      <c r="H1219" s="157">
        <f>IF($B1219="","",IF(ISNA(MATCH($B1219,MASTER_JAM!$Q$5:$Q$28,0)),"?",IF(MATCH($B1219,MASTER_JAM!$Q$5:$Q$28,0)&lt;=12,"DS","NS")))</f>
        <v/>
      </c>
      <c r="I1219" s="157">
        <f>IFERROR(INDEX(MASTER_JAM!$B$5:$B$94,MATCH($C1219,MASTER_JAM!$A$5:$A$94,0)),"")</f>
        <v/>
      </c>
      <c r="J1219" s="157">
        <f>IFERROR(INDEX(MASTER_JAM!$E$5:$E$94,MATCH($D1219,MASTER_JAM!$A$5:$A$94,0)),"")</f>
        <v/>
      </c>
      <c r="K1219" s="158">
        <f>IFERROR(INDEX(MASTER_JAM!$J$5:$O$12,MATCH($E1219,MASTER_JAM!$I$5:$I$12,0),MATCH($J1219,MASTER_JAM!$J$4:$O$4,0))+0,0)</f>
        <v/>
      </c>
      <c r="L1219" s="159">
        <f>N($F1219)*$K1219</f>
        <v/>
      </c>
      <c r="M1219" s="157">
        <f>IF($E1219="","",IF(OR($E1219="Coal",$E1219="Dirty Coal"),"MT","BCM"))</f>
        <v/>
      </c>
      <c r="N1219" s="157">
        <f>IF($E1219="","",IF(OR($E1219="Coal",$E1219="Dirty Coal"),"Coal","OB"))</f>
        <v/>
      </c>
      <c r="O1219" s="157">
        <f>IF($F1219="","",IF(COUNTIF(MASTER_JAM!$A$5:$A$94,$C1219)=0,"Digger tidak dikenal",IF($J1219="","Hauler tidak dikenal",IF($H1219="?","Jam salah",IF($K1219=0,"Faktor kosong",IF(SUMIFS(INPUT_DELAY!$E$5:$E$20000,INPUT_DELAY!$A$5:$A$20000,$A1219,INPUT_DELAY!$B$5:$B$20000,$B1219,INPUT_DELAY!$C$5:$C$20000,$C1219)+SUMIFS(INPUT_DELAY!$E$5:$E$20000,INPUT_DELAY!$A$5:$A$20000,$A1219,INPUT_DELAY!$B$5:$B$20000,$B1219,INPUT_DELAY!$C$5:$C$20000,"SEMUA")&gt;=60,"Delay 60 mnt tapi ada ritase","OK"))))))</f>
        <v/>
      </c>
      <c r="P1219" s="158">
        <f>IFERROR(INDEX(MASTER_JAM!$Z$5:$AC$10,MATCH($I1219,MASTER_JAM!$Y$5:$Y$10,0),MATCH($J1219,MASTER_JAM!$Z$4:$AC$4,0))+0,0)</f>
        <v/>
      </c>
      <c r="Q1219" s="158">
        <f>IF($P1219=0,0,$P1219+IFERROR(INDEX(MASTER_JAM!$H$5:$H$94,MATCH($C1219,MASTER_JAM!$A$5:$A$94,0))+0,MASTER_JAM!$AC$15)/1000*(60/MASTER_JAM!$AC$12+60/MASTER_JAM!$AC$13)+MASTER_JAM!$AC$14)</f>
        <v/>
      </c>
      <c r="R1219" s="158">
        <f>IF(N($F1219)=0,0,$F1219/SUMIFS(INPUT_RITASE!$F$5:$F$20000,INPUT_RITASE!$A$5:$A$20000,$A1219,INPUT_RITASE!$B$5:$B$20000,$B1219,INPUT_RITASE!$C$5:$C$20000,$C1219,INPUT_RITASE!$D$5:$D$20000,$D1219))</f>
        <v/>
      </c>
      <c r="S1219" s="158">
        <f>IF($Q1219=0,0,$R1219*$P1219/$Q1219)</f>
        <v/>
      </c>
    </row>
    <row r="1220">
      <c r="A1220" s="155" t="n">
        <v>46108</v>
      </c>
      <c r="B1220" s="156" t="inlineStr">
        <is>
          <t>08-09</t>
        </is>
      </c>
      <c r="C1220" s="156" t="inlineStr">
        <is>
          <t>EX-754</t>
        </is>
      </c>
      <c r="D1220" s="156" t="inlineStr">
        <is>
          <t>DT-505</t>
        </is>
      </c>
      <c r="E1220" s="156" t="inlineStr">
        <is>
          <t>Coal</t>
        </is>
      </c>
      <c r="F1220" s="156" t="n">
        <v>4</v>
      </c>
      <c r="G1220" s="156" t="inlineStr"/>
      <c r="H1220" s="157">
        <f>IF($B1220="","",IF(ISNA(MATCH($B1220,MASTER_JAM!$Q$5:$Q$28,0)),"?",IF(MATCH($B1220,MASTER_JAM!$Q$5:$Q$28,0)&lt;=12,"DS","NS")))</f>
        <v/>
      </c>
      <c r="I1220" s="157">
        <f>IFERROR(INDEX(MASTER_JAM!$B$5:$B$94,MATCH($C1220,MASTER_JAM!$A$5:$A$94,0)),"")</f>
        <v/>
      </c>
      <c r="J1220" s="157">
        <f>IFERROR(INDEX(MASTER_JAM!$E$5:$E$94,MATCH($D1220,MASTER_JAM!$A$5:$A$94,0)),"")</f>
        <v/>
      </c>
      <c r="K1220" s="158">
        <f>IFERROR(INDEX(MASTER_JAM!$J$5:$O$12,MATCH($E1220,MASTER_JAM!$I$5:$I$12,0),MATCH($J1220,MASTER_JAM!$J$4:$O$4,0))+0,0)</f>
        <v/>
      </c>
      <c r="L1220" s="159">
        <f>N($F1220)*$K1220</f>
        <v/>
      </c>
      <c r="M1220" s="157">
        <f>IF($E1220="","",IF(OR($E1220="Coal",$E1220="Dirty Coal"),"MT","BCM"))</f>
        <v/>
      </c>
      <c r="N1220" s="157">
        <f>IF($E1220="","",IF(OR($E1220="Coal",$E1220="Dirty Coal"),"Coal","OB"))</f>
        <v/>
      </c>
      <c r="O1220" s="157">
        <f>IF($F1220="","",IF(COUNTIF(MASTER_JAM!$A$5:$A$94,$C1220)=0,"Digger tidak dikenal",IF($J1220="","Hauler tidak dikenal",IF($H1220="?","Jam salah",IF($K1220=0,"Faktor kosong",IF(SUMIFS(INPUT_DELAY!$E$5:$E$20000,INPUT_DELAY!$A$5:$A$20000,$A1220,INPUT_DELAY!$B$5:$B$20000,$B1220,INPUT_DELAY!$C$5:$C$20000,$C1220)+SUMIFS(INPUT_DELAY!$E$5:$E$20000,INPUT_DELAY!$A$5:$A$20000,$A1220,INPUT_DELAY!$B$5:$B$20000,$B1220,INPUT_DELAY!$C$5:$C$20000,"SEMUA")&gt;=60,"Delay 60 mnt tapi ada ritase","OK"))))))</f>
        <v/>
      </c>
      <c r="P1220" s="158">
        <f>IFERROR(INDEX(MASTER_JAM!$Z$5:$AC$10,MATCH($I1220,MASTER_JAM!$Y$5:$Y$10,0),MATCH($J1220,MASTER_JAM!$Z$4:$AC$4,0))+0,0)</f>
        <v/>
      </c>
      <c r="Q1220" s="158">
        <f>IF($P1220=0,0,$P1220+IFERROR(INDEX(MASTER_JAM!$H$5:$H$94,MATCH($C1220,MASTER_JAM!$A$5:$A$94,0))+0,MASTER_JAM!$AC$15)/1000*(60/MASTER_JAM!$AC$12+60/MASTER_JAM!$AC$13)+MASTER_JAM!$AC$14)</f>
        <v/>
      </c>
      <c r="R1220" s="158">
        <f>IF(N($F1220)=0,0,$F1220/SUMIFS(INPUT_RITASE!$F$5:$F$20000,INPUT_RITASE!$A$5:$A$20000,$A1220,INPUT_RITASE!$B$5:$B$20000,$B1220,INPUT_RITASE!$C$5:$C$20000,$C1220,INPUT_RITASE!$D$5:$D$20000,$D1220))</f>
        <v/>
      </c>
      <c r="S1220" s="158">
        <f>IF($Q1220=0,0,$R1220*$P1220/$Q1220)</f>
        <v/>
      </c>
    </row>
    <row r="1221">
      <c r="A1221" s="155" t="n">
        <v>46108</v>
      </c>
      <c r="B1221" s="156" t="inlineStr">
        <is>
          <t>08-09</t>
        </is>
      </c>
      <c r="C1221" s="156" t="inlineStr">
        <is>
          <t>EX-754</t>
        </is>
      </c>
      <c r="D1221" s="156" t="inlineStr">
        <is>
          <t>DT-504</t>
        </is>
      </c>
      <c r="E1221" s="156" t="inlineStr">
        <is>
          <t>Coal</t>
        </is>
      </c>
      <c r="F1221" s="156" t="n">
        <v>3</v>
      </c>
      <c r="G1221" s="156" t="inlineStr"/>
      <c r="H1221" s="157">
        <f>IF($B1221="","",IF(ISNA(MATCH($B1221,MASTER_JAM!$Q$5:$Q$28,0)),"?",IF(MATCH($B1221,MASTER_JAM!$Q$5:$Q$28,0)&lt;=12,"DS","NS")))</f>
        <v/>
      </c>
      <c r="I1221" s="157">
        <f>IFERROR(INDEX(MASTER_JAM!$B$5:$B$94,MATCH($C1221,MASTER_JAM!$A$5:$A$94,0)),"")</f>
        <v/>
      </c>
      <c r="J1221" s="157">
        <f>IFERROR(INDEX(MASTER_JAM!$E$5:$E$94,MATCH($D1221,MASTER_JAM!$A$5:$A$94,0)),"")</f>
        <v/>
      </c>
      <c r="K1221" s="158">
        <f>IFERROR(INDEX(MASTER_JAM!$J$5:$O$12,MATCH($E1221,MASTER_JAM!$I$5:$I$12,0),MATCH($J1221,MASTER_JAM!$J$4:$O$4,0))+0,0)</f>
        <v/>
      </c>
      <c r="L1221" s="159">
        <f>N($F1221)*$K1221</f>
        <v/>
      </c>
      <c r="M1221" s="157">
        <f>IF($E1221="","",IF(OR($E1221="Coal",$E1221="Dirty Coal"),"MT","BCM"))</f>
        <v/>
      </c>
      <c r="N1221" s="157">
        <f>IF($E1221="","",IF(OR($E1221="Coal",$E1221="Dirty Coal"),"Coal","OB"))</f>
        <v/>
      </c>
      <c r="O1221" s="157">
        <f>IF($F1221="","",IF(COUNTIF(MASTER_JAM!$A$5:$A$94,$C1221)=0,"Digger tidak dikenal",IF($J1221="","Hauler tidak dikenal",IF($H1221="?","Jam salah",IF($K1221=0,"Faktor kosong",IF(SUMIFS(INPUT_DELAY!$E$5:$E$20000,INPUT_DELAY!$A$5:$A$20000,$A1221,INPUT_DELAY!$B$5:$B$20000,$B1221,INPUT_DELAY!$C$5:$C$20000,$C1221)+SUMIFS(INPUT_DELAY!$E$5:$E$20000,INPUT_DELAY!$A$5:$A$20000,$A1221,INPUT_DELAY!$B$5:$B$20000,$B1221,INPUT_DELAY!$C$5:$C$20000,"SEMUA")&gt;=60,"Delay 60 mnt tapi ada ritase","OK"))))))</f>
        <v/>
      </c>
      <c r="P1221" s="158">
        <f>IFERROR(INDEX(MASTER_JAM!$Z$5:$AC$10,MATCH($I1221,MASTER_JAM!$Y$5:$Y$10,0),MATCH($J1221,MASTER_JAM!$Z$4:$AC$4,0))+0,0)</f>
        <v/>
      </c>
      <c r="Q1221" s="158">
        <f>IF($P1221=0,0,$P1221+IFERROR(INDEX(MASTER_JAM!$H$5:$H$94,MATCH($C1221,MASTER_JAM!$A$5:$A$94,0))+0,MASTER_JAM!$AC$15)/1000*(60/MASTER_JAM!$AC$12+60/MASTER_JAM!$AC$13)+MASTER_JAM!$AC$14)</f>
        <v/>
      </c>
      <c r="R1221" s="158">
        <f>IF(N($F1221)=0,0,$F1221/SUMIFS(INPUT_RITASE!$F$5:$F$20000,INPUT_RITASE!$A$5:$A$20000,$A1221,INPUT_RITASE!$B$5:$B$20000,$B1221,INPUT_RITASE!$C$5:$C$20000,$C1221,INPUT_RITASE!$D$5:$D$20000,$D1221))</f>
        <v/>
      </c>
      <c r="S1221" s="158">
        <f>IF($Q1221=0,0,$R1221*$P1221/$Q1221)</f>
        <v/>
      </c>
    </row>
    <row r="1222">
      <c r="A1222" s="155" t="n">
        <v>46108</v>
      </c>
      <c r="B1222" s="156" t="inlineStr">
        <is>
          <t>08-09</t>
        </is>
      </c>
      <c r="C1222" s="156" t="inlineStr">
        <is>
          <t>EX-754</t>
        </is>
      </c>
      <c r="D1222" s="156" t="inlineStr">
        <is>
          <t>DT-528</t>
        </is>
      </c>
      <c r="E1222" s="156" t="inlineStr">
        <is>
          <t>Coal</t>
        </is>
      </c>
      <c r="F1222" s="156" t="n">
        <v>3</v>
      </c>
      <c r="G1222" s="156" t="inlineStr"/>
      <c r="H1222" s="157">
        <f>IF($B1222="","",IF(ISNA(MATCH($B1222,MASTER_JAM!$Q$5:$Q$28,0)),"?",IF(MATCH($B1222,MASTER_JAM!$Q$5:$Q$28,0)&lt;=12,"DS","NS")))</f>
        <v/>
      </c>
      <c r="I1222" s="157">
        <f>IFERROR(INDEX(MASTER_JAM!$B$5:$B$94,MATCH($C1222,MASTER_JAM!$A$5:$A$94,0)),"")</f>
        <v/>
      </c>
      <c r="J1222" s="157">
        <f>IFERROR(INDEX(MASTER_JAM!$E$5:$E$94,MATCH($D1222,MASTER_JAM!$A$5:$A$94,0)),"")</f>
        <v/>
      </c>
      <c r="K1222" s="158">
        <f>IFERROR(INDEX(MASTER_JAM!$J$5:$O$12,MATCH($E1222,MASTER_JAM!$I$5:$I$12,0),MATCH($J1222,MASTER_JAM!$J$4:$O$4,0))+0,0)</f>
        <v/>
      </c>
      <c r="L1222" s="159">
        <f>N($F1222)*$K1222</f>
        <v/>
      </c>
      <c r="M1222" s="157">
        <f>IF($E1222="","",IF(OR($E1222="Coal",$E1222="Dirty Coal"),"MT","BCM"))</f>
        <v/>
      </c>
      <c r="N1222" s="157">
        <f>IF($E1222="","",IF(OR($E1222="Coal",$E1222="Dirty Coal"),"Coal","OB"))</f>
        <v/>
      </c>
      <c r="O1222" s="157">
        <f>IF($F1222="","",IF(COUNTIF(MASTER_JAM!$A$5:$A$94,$C1222)=0,"Digger tidak dikenal",IF($J1222="","Hauler tidak dikenal",IF($H1222="?","Jam salah",IF($K1222=0,"Faktor kosong",IF(SUMIFS(INPUT_DELAY!$E$5:$E$20000,INPUT_DELAY!$A$5:$A$20000,$A1222,INPUT_DELAY!$B$5:$B$20000,$B1222,INPUT_DELAY!$C$5:$C$20000,$C1222)+SUMIFS(INPUT_DELAY!$E$5:$E$20000,INPUT_DELAY!$A$5:$A$20000,$A1222,INPUT_DELAY!$B$5:$B$20000,$B1222,INPUT_DELAY!$C$5:$C$20000,"SEMUA")&gt;=60,"Delay 60 mnt tapi ada ritase","OK"))))))</f>
        <v/>
      </c>
      <c r="P1222" s="158">
        <f>IFERROR(INDEX(MASTER_JAM!$Z$5:$AC$10,MATCH($I1222,MASTER_JAM!$Y$5:$Y$10,0),MATCH($J1222,MASTER_JAM!$Z$4:$AC$4,0))+0,0)</f>
        <v/>
      </c>
      <c r="Q1222" s="158">
        <f>IF($P1222=0,0,$P1222+IFERROR(INDEX(MASTER_JAM!$H$5:$H$94,MATCH($C1222,MASTER_JAM!$A$5:$A$94,0))+0,MASTER_JAM!$AC$15)/1000*(60/MASTER_JAM!$AC$12+60/MASTER_JAM!$AC$13)+MASTER_JAM!$AC$14)</f>
        <v/>
      </c>
      <c r="R1222" s="158">
        <f>IF(N($F1222)=0,0,$F1222/SUMIFS(INPUT_RITASE!$F$5:$F$20000,INPUT_RITASE!$A$5:$A$20000,$A1222,INPUT_RITASE!$B$5:$B$20000,$B1222,INPUT_RITASE!$C$5:$C$20000,$C1222,INPUT_RITASE!$D$5:$D$20000,$D1222))</f>
        <v/>
      </c>
      <c r="S1222" s="158">
        <f>IF($Q1222=0,0,$R1222*$P1222/$Q1222)</f>
        <v/>
      </c>
    </row>
    <row r="1223">
      <c r="A1223" s="155" t="n">
        <v>46108</v>
      </c>
      <c r="B1223" s="156" t="inlineStr">
        <is>
          <t>08-09</t>
        </is>
      </c>
      <c r="C1223" s="156" t="inlineStr">
        <is>
          <t>EX-754</t>
        </is>
      </c>
      <c r="D1223" s="156" t="inlineStr">
        <is>
          <t>DT-519</t>
        </is>
      </c>
      <c r="E1223" s="156" t="inlineStr">
        <is>
          <t>Coal</t>
        </is>
      </c>
      <c r="F1223" s="156" t="n">
        <v>3</v>
      </c>
      <c r="G1223" s="156" t="inlineStr"/>
      <c r="H1223" s="157">
        <f>IF($B1223="","",IF(ISNA(MATCH($B1223,MASTER_JAM!$Q$5:$Q$28,0)),"?",IF(MATCH($B1223,MASTER_JAM!$Q$5:$Q$28,0)&lt;=12,"DS","NS")))</f>
        <v/>
      </c>
      <c r="I1223" s="157">
        <f>IFERROR(INDEX(MASTER_JAM!$B$5:$B$94,MATCH($C1223,MASTER_JAM!$A$5:$A$94,0)),"")</f>
        <v/>
      </c>
      <c r="J1223" s="157">
        <f>IFERROR(INDEX(MASTER_JAM!$E$5:$E$94,MATCH($D1223,MASTER_JAM!$A$5:$A$94,0)),"")</f>
        <v/>
      </c>
      <c r="K1223" s="158">
        <f>IFERROR(INDEX(MASTER_JAM!$J$5:$O$12,MATCH($E1223,MASTER_JAM!$I$5:$I$12,0),MATCH($J1223,MASTER_JAM!$J$4:$O$4,0))+0,0)</f>
        <v/>
      </c>
      <c r="L1223" s="159">
        <f>N($F1223)*$K1223</f>
        <v/>
      </c>
      <c r="M1223" s="157">
        <f>IF($E1223="","",IF(OR($E1223="Coal",$E1223="Dirty Coal"),"MT","BCM"))</f>
        <v/>
      </c>
      <c r="N1223" s="157">
        <f>IF($E1223="","",IF(OR($E1223="Coal",$E1223="Dirty Coal"),"Coal","OB"))</f>
        <v/>
      </c>
      <c r="O1223" s="157">
        <f>IF($F1223="","",IF(COUNTIF(MASTER_JAM!$A$5:$A$94,$C1223)=0,"Digger tidak dikenal",IF($J1223="","Hauler tidak dikenal",IF($H1223="?","Jam salah",IF($K1223=0,"Faktor kosong",IF(SUMIFS(INPUT_DELAY!$E$5:$E$20000,INPUT_DELAY!$A$5:$A$20000,$A1223,INPUT_DELAY!$B$5:$B$20000,$B1223,INPUT_DELAY!$C$5:$C$20000,$C1223)+SUMIFS(INPUT_DELAY!$E$5:$E$20000,INPUT_DELAY!$A$5:$A$20000,$A1223,INPUT_DELAY!$B$5:$B$20000,$B1223,INPUT_DELAY!$C$5:$C$20000,"SEMUA")&gt;=60,"Delay 60 mnt tapi ada ritase","OK"))))))</f>
        <v/>
      </c>
      <c r="P1223" s="158">
        <f>IFERROR(INDEX(MASTER_JAM!$Z$5:$AC$10,MATCH($I1223,MASTER_JAM!$Y$5:$Y$10,0),MATCH($J1223,MASTER_JAM!$Z$4:$AC$4,0))+0,0)</f>
        <v/>
      </c>
      <c r="Q1223" s="158">
        <f>IF($P1223=0,0,$P1223+IFERROR(INDEX(MASTER_JAM!$H$5:$H$94,MATCH($C1223,MASTER_JAM!$A$5:$A$94,0))+0,MASTER_JAM!$AC$15)/1000*(60/MASTER_JAM!$AC$12+60/MASTER_JAM!$AC$13)+MASTER_JAM!$AC$14)</f>
        <v/>
      </c>
      <c r="R1223" s="158">
        <f>IF(N($F1223)=0,0,$F1223/SUMIFS(INPUT_RITASE!$F$5:$F$20000,INPUT_RITASE!$A$5:$A$20000,$A1223,INPUT_RITASE!$B$5:$B$20000,$B1223,INPUT_RITASE!$C$5:$C$20000,$C1223,INPUT_RITASE!$D$5:$D$20000,$D1223))</f>
        <v/>
      </c>
      <c r="S1223" s="158">
        <f>IF($Q1223=0,0,$R1223*$P1223/$Q1223)</f>
        <v/>
      </c>
    </row>
    <row r="1224">
      <c r="A1224" s="155" t="n">
        <v>46108</v>
      </c>
      <c r="B1224" s="156" t="inlineStr">
        <is>
          <t>09-10</t>
        </is>
      </c>
      <c r="C1224" s="156" t="inlineStr">
        <is>
          <t>EX-754</t>
        </is>
      </c>
      <c r="D1224" s="156" t="inlineStr">
        <is>
          <t>DT-523</t>
        </is>
      </c>
      <c r="E1224" s="156" t="inlineStr">
        <is>
          <t>Coal</t>
        </is>
      </c>
      <c r="F1224" s="156" t="n">
        <v>4</v>
      </c>
      <c r="G1224" s="156" t="inlineStr"/>
      <c r="H1224" s="157">
        <f>IF($B1224="","",IF(ISNA(MATCH($B1224,MASTER_JAM!$Q$5:$Q$28,0)),"?",IF(MATCH($B1224,MASTER_JAM!$Q$5:$Q$28,0)&lt;=12,"DS","NS")))</f>
        <v/>
      </c>
      <c r="I1224" s="157">
        <f>IFERROR(INDEX(MASTER_JAM!$B$5:$B$94,MATCH($C1224,MASTER_JAM!$A$5:$A$94,0)),"")</f>
        <v/>
      </c>
      <c r="J1224" s="157">
        <f>IFERROR(INDEX(MASTER_JAM!$E$5:$E$94,MATCH($D1224,MASTER_JAM!$A$5:$A$94,0)),"")</f>
        <v/>
      </c>
      <c r="K1224" s="158">
        <f>IFERROR(INDEX(MASTER_JAM!$J$5:$O$12,MATCH($E1224,MASTER_JAM!$I$5:$I$12,0),MATCH($J1224,MASTER_JAM!$J$4:$O$4,0))+0,0)</f>
        <v/>
      </c>
      <c r="L1224" s="159">
        <f>N($F1224)*$K1224</f>
        <v/>
      </c>
      <c r="M1224" s="157">
        <f>IF($E1224="","",IF(OR($E1224="Coal",$E1224="Dirty Coal"),"MT","BCM"))</f>
        <v/>
      </c>
      <c r="N1224" s="157">
        <f>IF($E1224="","",IF(OR($E1224="Coal",$E1224="Dirty Coal"),"Coal","OB"))</f>
        <v/>
      </c>
      <c r="O1224" s="157">
        <f>IF($F1224="","",IF(COUNTIF(MASTER_JAM!$A$5:$A$94,$C1224)=0,"Digger tidak dikenal",IF($J1224="","Hauler tidak dikenal",IF($H1224="?","Jam salah",IF($K1224=0,"Faktor kosong",IF(SUMIFS(INPUT_DELAY!$E$5:$E$20000,INPUT_DELAY!$A$5:$A$20000,$A1224,INPUT_DELAY!$B$5:$B$20000,$B1224,INPUT_DELAY!$C$5:$C$20000,$C1224)+SUMIFS(INPUT_DELAY!$E$5:$E$20000,INPUT_DELAY!$A$5:$A$20000,$A1224,INPUT_DELAY!$B$5:$B$20000,$B1224,INPUT_DELAY!$C$5:$C$20000,"SEMUA")&gt;=60,"Delay 60 mnt tapi ada ritase","OK"))))))</f>
        <v/>
      </c>
      <c r="P1224" s="158">
        <f>IFERROR(INDEX(MASTER_JAM!$Z$5:$AC$10,MATCH($I1224,MASTER_JAM!$Y$5:$Y$10,0),MATCH($J1224,MASTER_JAM!$Z$4:$AC$4,0))+0,0)</f>
        <v/>
      </c>
      <c r="Q1224" s="158">
        <f>IF($P1224=0,0,$P1224+IFERROR(INDEX(MASTER_JAM!$H$5:$H$94,MATCH($C1224,MASTER_JAM!$A$5:$A$94,0))+0,MASTER_JAM!$AC$15)/1000*(60/MASTER_JAM!$AC$12+60/MASTER_JAM!$AC$13)+MASTER_JAM!$AC$14)</f>
        <v/>
      </c>
      <c r="R1224" s="158">
        <f>IF(N($F1224)=0,0,$F1224/SUMIFS(INPUT_RITASE!$F$5:$F$20000,INPUT_RITASE!$A$5:$A$20000,$A1224,INPUT_RITASE!$B$5:$B$20000,$B1224,INPUT_RITASE!$C$5:$C$20000,$C1224,INPUT_RITASE!$D$5:$D$20000,$D1224))</f>
        <v/>
      </c>
      <c r="S1224" s="158">
        <f>IF($Q1224=0,0,$R1224*$P1224/$Q1224)</f>
        <v/>
      </c>
    </row>
    <row r="1225">
      <c r="A1225" s="155" t="n">
        <v>46108</v>
      </c>
      <c r="B1225" s="156" t="inlineStr">
        <is>
          <t>09-10</t>
        </is>
      </c>
      <c r="C1225" s="156" t="inlineStr">
        <is>
          <t>EX-754</t>
        </is>
      </c>
      <c r="D1225" s="156" t="inlineStr">
        <is>
          <t>DT-529</t>
        </is>
      </c>
      <c r="E1225" s="156" t="inlineStr">
        <is>
          <t>Coal</t>
        </is>
      </c>
      <c r="F1225" s="156" t="n">
        <v>4</v>
      </c>
      <c r="G1225" s="156" t="inlineStr"/>
      <c r="H1225" s="157">
        <f>IF($B1225="","",IF(ISNA(MATCH($B1225,MASTER_JAM!$Q$5:$Q$28,0)),"?",IF(MATCH($B1225,MASTER_JAM!$Q$5:$Q$28,0)&lt;=12,"DS","NS")))</f>
        <v/>
      </c>
      <c r="I1225" s="157">
        <f>IFERROR(INDEX(MASTER_JAM!$B$5:$B$94,MATCH($C1225,MASTER_JAM!$A$5:$A$94,0)),"")</f>
        <v/>
      </c>
      <c r="J1225" s="157">
        <f>IFERROR(INDEX(MASTER_JAM!$E$5:$E$94,MATCH($D1225,MASTER_JAM!$A$5:$A$94,0)),"")</f>
        <v/>
      </c>
      <c r="K1225" s="158">
        <f>IFERROR(INDEX(MASTER_JAM!$J$5:$O$12,MATCH($E1225,MASTER_JAM!$I$5:$I$12,0),MATCH($J1225,MASTER_JAM!$J$4:$O$4,0))+0,0)</f>
        <v/>
      </c>
      <c r="L1225" s="159">
        <f>N($F1225)*$K1225</f>
        <v/>
      </c>
      <c r="M1225" s="157">
        <f>IF($E1225="","",IF(OR($E1225="Coal",$E1225="Dirty Coal"),"MT","BCM"))</f>
        <v/>
      </c>
      <c r="N1225" s="157">
        <f>IF($E1225="","",IF(OR($E1225="Coal",$E1225="Dirty Coal"),"Coal","OB"))</f>
        <v/>
      </c>
      <c r="O1225" s="157">
        <f>IF($F1225="","",IF(COUNTIF(MASTER_JAM!$A$5:$A$94,$C1225)=0,"Digger tidak dikenal",IF($J1225="","Hauler tidak dikenal",IF($H1225="?","Jam salah",IF($K1225=0,"Faktor kosong",IF(SUMIFS(INPUT_DELAY!$E$5:$E$20000,INPUT_DELAY!$A$5:$A$20000,$A1225,INPUT_DELAY!$B$5:$B$20000,$B1225,INPUT_DELAY!$C$5:$C$20000,$C1225)+SUMIFS(INPUT_DELAY!$E$5:$E$20000,INPUT_DELAY!$A$5:$A$20000,$A1225,INPUT_DELAY!$B$5:$B$20000,$B1225,INPUT_DELAY!$C$5:$C$20000,"SEMUA")&gt;=60,"Delay 60 mnt tapi ada ritase","OK"))))))</f>
        <v/>
      </c>
      <c r="P1225" s="158">
        <f>IFERROR(INDEX(MASTER_JAM!$Z$5:$AC$10,MATCH($I1225,MASTER_JAM!$Y$5:$Y$10,0),MATCH($J1225,MASTER_JAM!$Z$4:$AC$4,0))+0,0)</f>
        <v/>
      </c>
      <c r="Q1225" s="158">
        <f>IF($P1225=0,0,$P1225+IFERROR(INDEX(MASTER_JAM!$H$5:$H$94,MATCH($C1225,MASTER_JAM!$A$5:$A$94,0))+0,MASTER_JAM!$AC$15)/1000*(60/MASTER_JAM!$AC$12+60/MASTER_JAM!$AC$13)+MASTER_JAM!$AC$14)</f>
        <v/>
      </c>
      <c r="R1225" s="158">
        <f>IF(N($F1225)=0,0,$F1225/SUMIFS(INPUT_RITASE!$F$5:$F$20000,INPUT_RITASE!$A$5:$A$20000,$A1225,INPUT_RITASE!$B$5:$B$20000,$B1225,INPUT_RITASE!$C$5:$C$20000,$C1225,INPUT_RITASE!$D$5:$D$20000,$D1225))</f>
        <v/>
      </c>
      <c r="S1225" s="158">
        <f>IF($Q1225=0,0,$R1225*$P1225/$Q1225)</f>
        <v/>
      </c>
    </row>
    <row r="1226">
      <c r="A1226" s="155" t="n">
        <v>46108</v>
      </c>
      <c r="B1226" s="156" t="inlineStr">
        <is>
          <t>09-10</t>
        </is>
      </c>
      <c r="C1226" s="156" t="inlineStr">
        <is>
          <t>EX-754</t>
        </is>
      </c>
      <c r="D1226" s="156" t="inlineStr">
        <is>
          <t>DT-521</t>
        </is>
      </c>
      <c r="E1226" s="156" t="inlineStr">
        <is>
          <t>Coal</t>
        </is>
      </c>
      <c r="F1226" s="156" t="n">
        <v>4</v>
      </c>
      <c r="G1226" s="156" t="inlineStr"/>
      <c r="H1226" s="157">
        <f>IF($B1226="","",IF(ISNA(MATCH($B1226,MASTER_JAM!$Q$5:$Q$28,0)),"?",IF(MATCH($B1226,MASTER_JAM!$Q$5:$Q$28,0)&lt;=12,"DS","NS")))</f>
        <v/>
      </c>
      <c r="I1226" s="157">
        <f>IFERROR(INDEX(MASTER_JAM!$B$5:$B$94,MATCH($C1226,MASTER_JAM!$A$5:$A$94,0)),"")</f>
        <v/>
      </c>
      <c r="J1226" s="157">
        <f>IFERROR(INDEX(MASTER_JAM!$E$5:$E$94,MATCH($D1226,MASTER_JAM!$A$5:$A$94,0)),"")</f>
        <v/>
      </c>
      <c r="K1226" s="158">
        <f>IFERROR(INDEX(MASTER_JAM!$J$5:$O$12,MATCH($E1226,MASTER_JAM!$I$5:$I$12,0),MATCH($J1226,MASTER_JAM!$J$4:$O$4,0))+0,0)</f>
        <v/>
      </c>
      <c r="L1226" s="159">
        <f>N($F1226)*$K1226</f>
        <v/>
      </c>
      <c r="M1226" s="157">
        <f>IF($E1226="","",IF(OR($E1226="Coal",$E1226="Dirty Coal"),"MT","BCM"))</f>
        <v/>
      </c>
      <c r="N1226" s="157">
        <f>IF($E1226="","",IF(OR($E1226="Coal",$E1226="Dirty Coal"),"Coal","OB"))</f>
        <v/>
      </c>
      <c r="O1226" s="157">
        <f>IF($F1226="","",IF(COUNTIF(MASTER_JAM!$A$5:$A$94,$C1226)=0,"Digger tidak dikenal",IF($J1226="","Hauler tidak dikenal",IF($H1226="?","Jam salah",IF($K1226=0,"Faktor kosong",IF(SUMIFS(INPUT_DELAY!$E$5:$E$20000,INPUT_DELAY!$A$5:$A$20000,$A1226,INPUT_DELAY!$B$5:$B$20000,$B1226,INPUT_DELAY!$C$5:$C$20000,$C1226)+SUMIFS(INPUT_DELAY!$E$5:$E$20000,INPUT_DELAY!$A$5:$A$20000,$A1226,INPUT_DELAY!$B$5:$B$20000,$B1226,INPUT_DELAY!$C$5:$C$20000,"SEMUA")&gt;=60,"Delay 60 mnt tapi ada ritase","OK"))))))</f>
        <v/>
      </c>
      <c r="P1226" s="158">
        <f>IFERROR(INDEX(MASTER_JAM!$Z$5:$AC$10,MATCH($I1226,MASTER_JAM!$Y$5:$Y$10,0),MATCH($J1226,MASTER_JAM!$Z$4:$AC$4,0))+0,0)</f>
        <v/>
      </c>
      <c r="Q1226" s="158">
        <f>IF($P1226=0,0,$P1226+IFERROR(INDEX(MASTER_JAM!$H$5:$H$94,MATCH($C1226,MASTER_JAM!$A$5:$A$94,0))+0,MASTER_JAM!$AC$15)/1000*(60/MASTER_JAM!$AC$12+60/MASTER_JAM!$AC$13)+MASTER_JAM!$AC$14)</f>
        <v/>
      </c>
      <c r="R1226" s="158">
        <f>IF(N($F1226)=0,0,$F1226/SUMIFS(INPUT_RITASE!$F$5:$F$20000,INPUT_RITASE!$A$5:$A$20000,$A1226,INPUT_RITASE!$B$5:$B$20000,$B1226,INPUT_RITASE!$C$5:$C$20000,$C1226,INPUT_RITASE!$D$5:$D$20000,$D1226))</f>
        <v/>
      </c>
      <c r="S1226" s="158">
        <f>IF($Q1226=0,0,$R1226*$P1226/$Q1226)</f>
        <v/>
      </c>
    </row>
    <row r="1227">
      <c r="A1227" s="155" t="n">
        <v>46108</v>
      </c>
      <c r="B1227" s="156" t="inlineStr">
        <is>
          <t>09-10</t>
        </is>
      </c>
      <c r="C1227" s="156" t="inlineStr">
        <is>
          <t>EX-754</t>
        </is>
      </c>
      <c r="D1227" s="156" t="inlineStr">
        <is>
          <t>DT-527</t>
        </is>
      </c>
      <c r="E1227" s="156" t="inlineStr">
        <is>
          <t>Coal</t>
        </is>
      </c>
      <c r="F1227" s="156" t="n">
        <v>3</v>
      </c>
      <c r="G1227" s="156" t="inlineStr"/>
      <c r="H1227" s="157">
        <f>IF($B1227="","",IF(ISNA(MATCH($B1227,MASTER_JAM!$Q$5:$Q$28,0)),"?",IF(MATCH($B1227,MASTER_JAM!$Q$5:$Q$28,0)&lt;=12,"DS","NS")))</f>
        <v/>
      </c>
      <c r="I1227" s="157">
        <f>IFERROR(INDEX(MASTER_JAM!$B$5:$B$94,MATCH($C1227,MASTER_JAM!$A$5:$A$94,0)),"")</f>
        <v/>
      </c>
      <c r="J1227" s="157">
        <f>IFERROR(INDEX(MASTER_JAM!$E$5:$E$94,MATCH($D1227,MASTER_JAM!$A$5:$A$94,0)),"")</f>
        <v/>
      </c>
      <c r="K1227" s="158">
        <f>IFERROR(INDEX(MASTER_JAM!$J$5:$O$12,MATCH($E1227,MASTER_JAM!$I$5:$I$12,0),MATCH($J1227,MASTER_JAM!$J$4:$O$4,0))+0,0)</f>
        <v/>
      </c>
      <c r="L1227" s="159">
        <f>N($F1227)*$K1227</f>
        <v/>
      </c>
      <c r="M1227" s="157">
        <f>IF($E1227="","",IF(OR($E1227="Coal",$E1227="Dirty Coal"),"MT","BCM"))</f>
        <v/>
      </c>
      <c r="N1227" s="157">
        <f>IF($E1227="","",IF(OR($E1227="Coal",$E1227="Dirty Coal"),"Coal","OB"))</f>
        <v/>
      </c>
      <c r="O1227" s="157">
        <f>IF($F1227="","",IF(COUNTIF(MASTER_JAM!$A$5:$A$94,$C1227)=0,"Digger tidak dikenal",IF($J1227="","Hauler tidak dikenal",IF($H1227="?","Jam salah",IF($K1227=0,"Faktor kosong",IF(SUMIFS(INPUT_DELAY!$E$5:$E$20000,INPUT_DELAY!$A$5:$A$20000,$A1227,INPUT_DELAY!$B$5:$B$20000,$B1227,INPUT_DELAY!$C$5:$C$20000,$C1227)+SUMIFS(INPUT_DELAY!$E$5:$E$20000,INPUT_DELAY!$A$5:$A$20000,$A1227,INPUT_DELAY!$B$5:$B$20000,$B1227,INPUT_DELAY!$C$5:$C$20000,"SEMUA")&gt;=60,"Delay 60 mnt tapi ada ritase","OK"))))))</f>
        <v/>
      </c>
      <c r="P1227" s="158">
        <f>IFERROR(INDEX(MASTER_JAM!$Z$5:$AC$10,MATCH($I1227,MASTER_JAM!$Y$5:$Y$10,0),MATCH($J1227,MASTER_JAM!$Z$4:$AC$4,0))+0,0)</f>
        <v/>
      </c>
      <c r="Q1227" s="158">
        <f>IF($P1227=0,0,$P1227+IFERROR(INDEX(MASTER_JAM!$H$5:$H$94,MATCH($C1227,MASTER_JAM!$A$5:$A$94,0))+0,MASTER_JAM!$AC$15)/1000*(60/MASTER_JAM!$AC$12+60/MASTER_JAM!$AC$13)+MASTER_JAM!$AC$14)</f>
        <v/>
      </c>
      <c r="R1227" s="158">
        <f>IF(N($F1227)=0,0,$F1227/SUMIFS(INPUT_RITASE!$F$5:$F$20000,INPUT_RITASE!$A$5:$A$20000,$A1227,INPUT_RITASE!$B$5:$B$20000,$B1227,INPUT_RITASE!$C$5:$C$20000,$C1227,INPUT_RITASE!$D$5:$D$20000,$D1227))</f>
        <v/>
      </c>
      <c r="S1227" s="158">
        <f>IF($Q1227=0,0,$R1227*$P1227/$Q1227)</f>
        <v/>
      </c>
    </row>
    <row r="1228">
      <c r="A1228" s="155" t="n">
        <v>46108</v>
      </c>
      <c r="B1228" s="156" t="inlineStr">
        <is>
          <t>09-10</t>
        </is>
      </c>
      <c r="C1228" s="156" t="inlineStr">
        <is>
          <t>EX-754</t>
        </is>
      </c>
      <c r="D1228" s="156" t="inlineStr">
        <is>
          <t>DT-807</t>
        </is>
      </c>
      <c r="E1228" s="156" t="inlineStr">
        <is>
          <t>Coal</t>
        </is>
      </c>
      <c r="F1228" s="156" t="n">
        <v>1</v>
      </c>
      <c r="G1228" s="156" t="inlineStr"/>
      <c r="H1228" s="157">
        <f>IF($B1228="","",IF(ISNA(MATCH($B1228,MASTER_JAM!$Q$5:$Q$28,0)),"?",IF(MATCH($B1228,MASTER_JAM!$Q$5:$Q$28,0)&lt;=12,"DS","NS")))</f>
        <v/>
      </c>
      <c r="I1228" s="157">
        <f>IFERROR(INDEX(MASTER_JAM!$B$5:$B$94,MATCH($C1228,MASTER_JAM!$A$5:$A$94,0)),"")</f>
        <v/>
      </c>
      <c r="J1228" s="157">
        <f>IFERROR(INDEX(MASTER_JAM!$E$5:$E$94,MATCH($D1228,MASTER_JAM!$A$5:$A$94,0)),"")</f>
        <v/>
      </c>
      <c r="K1228" s="158">
        <f>IFERROR(INDEX(MASTER_JAM!$J$5:$O$12,MATCH($E1228,MASTER_JAM!$I$5:$I$12,0),MATCH($J1228,MASTER_JAM!$J$4:$O$4,0))+0,0)</f>
        <v/>
      </c>
      <c r="L1228" s="159">
        <f>N($F1228)*$K1228</f>
        <v/>
      </c>
      <c r="M1228" s="157">
        <f>IF($E1228="","",IF(OR($E1228="Coal",$E1228="Dirty Coal"),"MT","BCM"))</f>
        <v/>
      </c>
      <c r="N1228" s="157">
        <f>IF($E1228="","",IF(OR($E1228="Coal",$E1228="Dirty Coal"),"Coal","OB"))</f>
        <v/>
      </c>
      <c r="O1228" s="157">
        <f>IF($F1228="","",IF(COUNTIF(MASTER_JAM!$A$5:$A$94,$C1228)=0,"Digger tidak dikenal",IF($J1228="","Hauler tidak dikenal",IF($H1228="?","Jam salah",IF($K1228=0,"Faktor kosong",IF(SUMIFS(INPUT_DELAY!$E$5:$E$20000,INPUT_DELAY!$A$5:$A$20000,$A1228,INPUT_DELAY!$B$5:$B$20000,$B1228,INPUT_DELAY!$C$5:$C$20000,$C1228)+SUMIFS(INPUT_DELAY!$E$5:$E$20000,INPUT_DELAY!$A$5:$A$20000,$A1228,INPUT_DELAY!$B$5:$B$20000,$B1228,INPUT_DELAY!$C$5:$C$20000,"SEMUA")&gt;=60,"Delay 60 mnt tapi ada ritase","OK"))))))</f>
        <v/>
      </c>
      <c r="P1228" s="158">
        <f>IFERROR(INDEX(MASTER_JAM!$Z$5:$AC$10,MATCH($I1228,MASTER_JAM!$Y$5:$Y$10,0),MATCH($J1228,MASTER_JAM!$Z$4:$AC$4,0))+0,0)</f>
        <v/>
      </c>
      <c r="Q1228" s="158">
        <f>IF($P1228=0,0,$P1228+IFERROR(INDEX(MASTER_JAM!$H$5:$H$94,MATCH($C1228,MASTER_JAM!$A$5:$A$94,0))+0,MASTER_JAM!$AC$15)/1000*(60/MASTER_JAM!$AC$12+60/MASTER_JAM!$AC$13)+MASTER_JAM!$AC$14)</f>
        <v/>
      </c>
      <c r="R1228" s="158">
        <f>IF(N($F1228)=0,0,$F1228/SUMIFS(INPUT_RITASE!$F$5:$F$20000,INPUT_RITASE!$A$5:$A$20000,$A1228,INPUT_RITASE!$B$5:$B$20000,$B1228,INPUT_RITASE!$C$5:$C$20000,$C1228,INPUT_RITASE!$D$5:$D$20000,$D1228))</f>
        <v/>
      </c>
      <c r="S1228" s="158">
        <f>IF($Q1228=0,0,$R1228*$P1228/$Q1228)</f>
        <v/>
      </c>
    </row>
    <row r="1229">
      <c r="A1229" s="155" t="n">
        <v>46108</v>
      </c>
      <c r="B1229" s="156" t="inlineStr">
        <is>
          <t>10-11</t>
        </is>
      </c>
      <c r="C1229" s="156" t="inlineStr">
        <is>
          <t>EX-754</t>
        </is>
      </c>
      <c r="D1229" s="156" t="inlineStr">
        <is>
          <t>DT-526</t>
        </is>
      </c>
      <c r="E1229" s="156" t="inlineStr">
        <is>
          <t>Coal</t>
        </is>
      </c>
      <c r="F1229" s="156" t="n">
        <v>4</v>
      </c>
      <c r="G1229" s="156" t="inlineStr"/>
      <c r="H1229" s="157">
        <f>IF($B1229="","",IF(ISNA(MATCH($B1229,MASTER_JAM!$Q$5:$Q$28,0)),"?",IF(MATCH($B1229,MASTER_JAM!$Q$5:$Q$28,0)&lt;=12,"DS","NS")))</f>
        <v/>
      </c>
      <c r="I1229" s="157">
        <f>IFERROR(INDEX(MASTER_JAM!$B$5:$B$94,MATCH($C1229,MASTER_JAM!$A$5:$A$94,0)),"")</f>
        <v/>
      </c>
      <c r="J1229" s="157">
        <f>IFERROR(INDEX(MASTER_JAM!$E$5:$E$94,MATCH($D1229,MASTER_JAM!$A$5:$A$94,0)),"")</f>
        <v/>
      </c>
      <c r="K1229" s="158">
        <f>IFERROR(INDEX(MASTER_JAM!$J$5:$O$12,MATCH($E1229,MASTER_JAM!$I$5:$I$12,0),MATCH($J1229,MASTER_JAM!$J$4:$O$4,0))+0,0)</f>
        <v/>
      </c>
      <c r="L1229" s="159">
        <f>N($F1229)*$K1229</f>
        <v/>
      </c>
      <c r="M1229" s="157">
        <f>IF($E1229="","",IF(OR($E1229="Coal",$E1229="Dirty Coal"),"MT","BCM"))</f>
        <v/>
      </c>
      <c r="N1229" s="157">
        <f>IF($E1229="","",IF(OR($E1229="Coal",$E1229="Dirty Coal"),"Coal","OB"))</f>
        <v/>
      </c>
      <c r="O1229" s="157">
        <f>IF($F1229="","",IF(COUNTIF(MASTER_JAM!$A$5:$A$94,$C1229)=0,"Digger tidak dikenal",IF($J1229="","Hauler tidak dikenal",IF($H1229="?","Jam salah",IF($K1229=0,"Faktor kosong",IF(SUMIFS(INPUT_DELAY!$E$5:$E$20000,INPUT_DELAY!$A$5:$A$20000,$A1229,INPUT_DELAY!$B$5:$B$20000,$B1229,INPUT_DELAY!$C$5:$C$20000,$C1229)+SUMIFS(INPUT_DELAY!$E$5:$E$20000,INPUT_DELAY!$A$5:$A$20000,$A1229,INPUT_DELAY!$B$5:$B$20000,$B1229,INPUT_DELAY!$C$5:$C$20000,"SEMUA")&gt;=60,"Delay 60 mnt tapi ada ritase","OK"))))))</f>
        <v/>
      </c>
      <c r="P1229" s="158">
        <f>IFERROR(INDEX(MASTER_JAM!$Z$5:$AC$10,MATCH($I1229,MASTER_JAM!$Y$5:$Y$10,0),MATCH($J1229,MASTER_JAM!$Z$4:$AC$4,0))+0,0)</f>
        <v/>
      </c>
      <c r="Q1229" s="158">
        <f>IF($P1229=0,0,$P1229+IFERROR(INDEX(MASTER_JAM!$H$5:$H$94,MATCH($C1229,MASTER_JAM!$A$5:$A$94,0))+0,MASTER_JAM!$AC$15)/1000*(60/MASTER_JAM!$AC$12+60/MASTER_JAM!$AC$13)+MASTER_JAM!$AC$14)</f>
        <v/>
      </c>
      <c r="R1229" s="158">
        <f>IF(N($F1229)=0,0,$F1229/SUMIFS(INPUT_RITASE!$F$5:$F$20000,INPUT_RITASE!$A$5:$A$20000,$A1229,INPUT_RITASE!$B$5:$B$20000,$B1229,INPUT_RITASE!$C$5:$C$20000,$C1229,INPUT_RITASE!$D$5:$D$20000,$D1229))</f>
        <v/>
      </c>
      <c r="S1229" s="158">
        <f>IF($Q1229=0,0,$R1229*$P1229/$Q1229)</f>
        <v/>
      </c>
    </row>
    <row r="1230">
      <c r="A1230" s="155" t="n">
        <v>46108</v>
      </c>
      <c r="B1230" s="156" t="inlineStr">
        <is>
          <t>10-11</t>
        </is>
      </c>
      <c r="C1230" s="156" t="inlineStr">
        <is>
          <t>EX-754</t>
        </is>
      </c>
      <c r="D1230" s="156" t="inlineStr">
        <is>
          <t>DT-514</t>
        </is>
      </c>
      <c r="E1230" s="156" t="inlineStr">
        <is>
          <t>Coal</t>
        </is>
      </c>
      <c r="F1230" s="156" t="n">
        <v>4</v>
      </c>
      <c r="G1230" s="156" t="inlineStr"/>
      <c r="H1230" s="157">
        <f>IF($B1230="","",IF(ISNA(MATCH($B1230,MASTER_JAM!$Q$5:$Q$28,0)),"?",IF(MATCH($B1230,MASTER_JAM!$Q$5:$Q$28,0)&lt;=12,"DS","NS")))</f>
        <v/>
      </c>
      <c r="I1230" s="157">
        <f>IFERROR(INDEX(MASTER_JAM!$B$5:$B$94,MATCH($C1230,MASTER_JAM!$A$5:$A$94,0)),"")</f>
        <v/>
      </c>
      <c r="J1230" s="157">
        <f>IFERROR(INDEX(MASTER_JAM!$E$5:$E$94,MATCH($D1230,MASTER_JAM!$A$5:$A$94,0)),"")</f>
        <v/>
      </c>
      <c r="K1230" s="158">
        <f>IFERROR(INDEX(MASTER_JAM!$J$5:$O$12,MATCH($E1230,MASTER_JAM!$I$5:$I$12,0),MATCH($J1230,MASTER_JAM!$J$4:$O$4,0))+0,0)</f>
        <v/>
      </c>
      <c r="L1230" s="159">
        <f>N($F1230)*$K1230</f>
        <v/>
      </c>
      <c r="M1230" s="157">
        <f>IF($E1230="","",IF(OR($E1230="Coal",$E1230="Dirty Coal"),"MT","BCM"))</f>
        <v/>
      </c>
      <c r="N1230" s="157">
        <f>IF($E1230="","",IF(OR($E1230="Coal",$E1230="Dirty Coal"),"Coal","OB"))</f>
        <v/>
      </c>
      <c r="O1230" s="157">
        <f>IF($F1230="","",IF(COUNTIF(MASTER_JAM!$A$5:$A$94,$C1230)=0,"Digger tidak dikenal",IF($J1230="","Hauler tidak dikenal",IF($H1230="?","Jam salah",IF($K1230=0,"Faktor kosong",IF(SUMIFS(INPUT_DELAY!$E$5:$E$20000,INPUT_DELAY!$A$5:$A$20000,$A1230,INPUT_DELAY!$B$5:$B$20000,$B1230,INPUT_DELAY!$C$5:$C$20000,$C1230)+SUMIFS(INPUT_DELAY!$E$5:$E$20000,INPUT_DELAY!$A$5:$A$20000,$A1230,INPUT_DELAY!$B$5:$B$20000,$B1230,INPUT_DELAY!$C$5:$C$20000,"SEMUA")&gt;=60,"Delay 60 mnt tapi ada ritase","OK"))))))</f>
        <v/>
      </c>
      <c r="P1230" s="158">
        <f>IFERROR(INDEX(MASTER_JAM!$Z$5:$AC$10,MATCH($I1230,MASTER_JAM!$Y$5:$Y$10,0),MATCH($J1230,MASTER_JAM!$Z$4:$AC$4,0))+0,0)</f>
        <v/>
      </c>
      <c r="Q1230" s="158">
        <f>IF($P1230=0,0,$P1230+IFERROR(INDEX(MASTER_JAM!$H$5:$H$94,MATCH($C1230,MASTER_JAM!$A$5:$A$94,0))+0,MASTER_JAM!$AC$15)/1000*(60/MASTER_JAM!$AC$12+60/MASTER_JAM!$AC$13)+MASTER_JAM!$AC$14)</f>
        <v/>
      </c>
      <c r="R1230" s="158">
        <f>IF(N($F1230)=0,0,$F1230/SUMIFS(INPUT_RITASE!$F$5:$F$20000,INPUT_RITASE!$A$5:$A$20000,$A1230,INPUT_RITASE!$B$5:$B$20000,$B1230,INPUT_RITASE!$C$5:$C$20000,$C1230,INPUT_RITASE!$D$5:$D$20000,$D1230))</f>
        <v/>
      </c>
      <c r="S1230" s="158">
        <f>IF($Q1230=0,0,$R1230*$P1230/$Q1230)</f>
        <v/>
      </c>
    </row>
    <row r="1231">
      <c r="A1231" s="155" t="n">
        <v>46108</v>
      </c>
      <c r="B1231" s="156" t="inlineStr">
        <is>
          <t>10-11</t>
        </is>
      </c>
      <c r="C1231" s="156" t="inlineStr">
        <is>
          <t>EX-754</t>
        </is>
      </c>
      <c r="D1231" s="156" t="inlineStr">
        <is>
          <t>DT-519</t>
        </is>
      </c>
      <c r="E1231" s="156" t="inlineStr">
        <is>
          <t>Coal</t>
        </is>
      </c>
      <c r="F1231" s="156" t="n">
        <v>4</v>
      </c>
      <c r="G1231" s="156" t="inlineStr"/>
      <c r="H1231" s="157">
        <f>IF($B1231="","",IF(ISNA(MATCH($B1231,MASTER_JAM!$Q$5:$Q$28,0)),"?",IF(MATCH($B1231,MASTER_JAM!$Q$5:$Q$28,0)&lt;=12,"DS","NS")))</f>
        <v/>
      </c>
      <c r="I1231" s="157">
        <f>IFERROR(INDEX(MASTER_JAM!$B$5:$B$94,MATCH($C1231,MASTER_JAM!$A$5:$A$94,0)),"")</f>
        <v/>
      </c>
      <c r="J1231" s="157">
        <f>IFERROR(INDEX(MASTER_JAM!$E$5:$E$94,MATCH($D1231,MASTER_JAM!$A$5:$A$94,0)),"")</f>
        <v/>
      </c>
      <c r="K1231" s="158">
        <f>IFERROR(INDEX(MASTER_JAM!$J$5:$O$12,MATCH($E1231,MASTER_JAM!$I$5:$I$12,0),MATCH($J1231,MASTER_JAM!$J$4:$O$4,0))+0,0)</f>
        <v/>
      </c>
      <c r="L1231" s="159">
        <f>N($F1231)*$K1231</f>
        <v/>
      </c>
      <c r="M1231" s="157">
        <f>IF($E1231="","",IF(OR($E1231="Coal",$E1231="Dirty Coal"),"MT","BCM"))</f>
        <v/>
      </c>
      <c r="N1231" s="157">
        <f>IF($E1231="","",IF(OR($E1231="Coal",$E1231="Dirty Coal"),"Coal","OB"))</f>
        <v/>
      </c>
      <c r="O1231" s="157">
        <f>IF($F1231="","",IF(COUNTIF(MASTER_JAM!$A$5:$A$94,$C1231)=0,"Digger tidak dikenal",IF($J1231="","Hauler tidak dikenal",IF($H1231="?","Jam salah",IF($K1231=0,"Faktor kosong",IF(SUMIFS(INPUT_DELAY!$E$5:$E$20000,INPUT_DELAY!$A$5:$A$20000,$A1231,INPUT_DELAY!$B$5:$B$20000,$B1231,INPUT_DELAY!$C$5:$C$20000,$C1231)+SUMIFS(INPUT_DELAY!$E$5:$E$20000,INPUT_DELAY!$A$5:$A$20000,$A1231,INPUT_DELAY!$B$5:$B$20000,$B1231,INPUT_DELAY!$C$5:$C$20000,"SEMUA")&gt;=60,"Delay 60 mnt tapi ada ritase","OK"))))))</f>
        <v/>
      </c>
      <c r="P1231" s="158">
        <f>IFERROR(INDEX(MASTER_JAM!$Z$5:$AC$10,MATCH($I1231,MASTER_JAM!$Y$5:$Y$10,0),MATCH($J1231,MASTER_JAM!$Z$4:$AC$4,0))+0,0)</f>
        <v/>
      </c>
      <c r="Q1231" s="158">
        <f>IF($P1231=0,0,$P1231+IFERROR(INDEX(MASTER_JAM!$H$5:$H$94,MATCH($C1231,MASTER_JAM!$A$5:$A$94,0))+0,MASTER_JAM!$AC$15)/1000*(60/MASTER_JAM!$AC$12+60/MASTER_JAM!$AC$13)+MASTER_JAM!$AC$14)</f>
        <v/>
      </c>
      <c r="R1231" s="158">
        <f>IF(N($F1231)=0,0,$F1231/SUMIFS(INPUT_RITASE!$F$5:$F$20000,INPUT_RITASE!$A$5:$A$20000,$A1231,INPUT_RITASE!$B$5:$B$20000,$B1231,INPUT_RITASE!$C$5:$C$20000,$C1231,INPUT_RITASE!$D$5:$D$20000,$D1231))</f>
        <v/>
      </c>
      <c r="S1231" s="158">
        <f>IF($Q1231=0,0,$R1231*$P1231/$Q1231)</f>
        <v/>
      </c>
    </row>
    <row r="1232">
      <c r="A1232" s="155" t="n">
        <v>46108</v>
      </c>
      <c r="B1232" s="156" t="inlineStr">
        <is>
          <t>10-11</t>
        </is>
      </c>
      <c r="C1232" s="156" t="inlineStr">
        <is>
          <t>EX-754</t>
        </is>
      </c>
      <c r="D1232" s="156" t="inlineStr">
        <is>
          <t>DT-515</t>
        </is>
      </c>
      <c r="E1232" s="156" t="inlineStr">
        <is>
          <t>Coal</t>
        </is>
      </c>
      <c r="F1232" s="156" t="n">
        <v>4</v>
      </c>
      <c r="G1232" s="156" t="inlineStr"/>
      <c r="H1232" s="157">
        <f>IF($B1232="","",IF(ISNA(MATCH($B1232,MASTER_JAM!$Q$5:$Q$28,0)),"?",IF(MATCH($B1232,MASTER_JAM!$Q$5:$Q$28,0)&lt;=12,"DS","NS")))</f>
        <v/>
      </c>
      <c r="I1232" s="157">
        <f>IFERROR(INDEX(MASTER_JAM!$B$5:$B$94,MATCH($C1232,MASTER_JAM!$A$5:$A$94,0)),"")</f>
        <v/>
      </c>
      <c r="J1232" s="157">
        <f>IFERROR(INDEX(MASTER_JAM!$E$5:$E$94,MATCH($D1232,MASTER_JAM!$A$5:$A$94,0)),"")</f>
        <v/>
      </c>
      <c r="K1232" s="158">
        <f>IFERROR(INDEX(MASTER_JAM!$J$5:$O$12,MATCH($E1232,MASTER_JAM!$I$5:$I$12,0),MATCH($J1232,MASTER_JAM!$J$4:$O$4,0))+0,0)</f>
        <v/>
      </c>
      <c r="L1232" s="159">
        <f>N($F1232)*$K1232</f>
        <v/>
      </c>
      <c r="M1232" s="157">
        <f>IF($E1232="","",IF(OR($E1232="Coal",$E1232="Dirty Coal"),"MT","BCM"))</f>
        <v/>
      </c>
      <c r="N1232" s="157">
        <f>IF($E1232="","",IF(OR($E1232="Coal",$E1232="Dirty Coal"),"Coal","OB"))</f>
        <v/>
      </c>
      <c r="O1232" s="157">
        <f>IF($F1232="","",IF(COUNTIF(MASTER_JAM!$A$5:$A$94,$C1232)=0,"Digger tidak dikenal",IF($J1232="","Hauler tidak dikenal",IF($H1232="?","Jam salah",IF($K1232=0,"Faktor kosong",IF(SUMIFS(INPUT_DELAY!$E$5:$E$20000,INPUT_DELAY!$A$5:$A$20000,$A1232,INPUT_DELAY!$B$5:$B$20000,$B1232,INPUT_DELAY!$C$5:$C$20000,$C1232)+SUMIFS(INPUT_DELAY!$E$5:$E$20000,INPUT_DELAY!$A$5:$A$20000,$A1232,INPUT_DELAY!$B$5:$B$20000,$B1232,INPUT_DELAY!$C$5:$C$20000,"SEMUA")&gt;=60,"Delay 60 mnt tapi ada ritase","OK"))))))</f>
        <v/>
      </c>
      <c r="P1232" s="158">
        <f>IFERROR(INDEX(MASTER_JAM!$Z$5:$AC$10,MATCH($I1232,MASTER_JAM!$Y$5:$Y$10,0),MATCH($J1232,MASTER_JAM!$Z$4:$AC$4,0))+0,0)</f>
        <v/>
      </c>
      <c r="Q1232" s="158">
        <f>IF($P1232=0,0,$P1232+IFERROR(INDEX(MASTER_JAM!$H$5:$H$94,MATCH($C1232,MASTER_JAM!$A$5:$A$94,0))+0,MASTER_JAM!$AC$15)/1000*(60/MASTER_JAM!$AC$12+60/MASTER_JAM!$AC$13)+MASTER_JAM!$AC$14)</f>
        <v/>
      </c>
      <c r="R1232" s="158">
        <f>IF(N($F1232)=0,0,$F1232/SUMIFS(INPUT_RITASE!$F$5:$F$20000,INPUT_RITASE!$A$5:$A$20000,$A1232,INPUT_RITASE!$B$5:$B$20000,$B1232,INPUT_RITASE!$C$5:$C$20000,$C1232,INPUT_RITASE!$D$5:$D$20000,$D1232))</f>
        <v/>
      </c>
      <c r="S1232" s="158">
        <f>IF($Q1232=0,0,$R1232*$P1232/$Q1232)</f>
        <v/>
      </c>
    </row>
    <row r="1233">
      <c r="A1233" s="155" t="n">
        <v>46108</v>
      </c>
      <c r="B1233" s="156" t="inlineStr">
        <is>
          <t>10-11</t>
        </is>
      </c>
      <c r="C1233" s="156" t="inlineStr">
        <is>
          <t>EX-754</t>
        </is>
      </c>
      <c r="D1233" s="156" t="inlineStr">
        <is>
          <t>DT-807</t>
        </is>
      </c>
      <c r="E1233" s="156" t="inlineStr">
        <is>
          <t>Coal</t>
        </is>
      </c>
      <c r="F1233" s="156" t="n">
        <v>1</v>
      </c>
      <c r="G1233" s="156" t="inlineStr"/>
      <c r="H1233" s="157">
        <f>IF($B1233="","",IF(ISNA(MATCH($B1233,MASTER_JAM!$Q$5:$Q$28,0)),"?",IF(MATCH($B1233,MASTER_JAM!$Q$5:$Q$28,0)&lt;=12,"DS","NS")))</f>
        <v/>
      </c>
      <c r="I1233" s="157">
        <f>IFERROR(INDEX(MASTER_JAM!$B$5:$B$94,MATCH($C1233,MASTER_JAM!$A$5:$A$94,0)),"")</f>
        <v/>
      </c>
      <c r="J1233" s="157">
        <f>IFERROR(INDEX(MASTER_JAM!$E$5:$E$94,MATCH($D1233,MASTER_JAM!$A$5:$A$94,0)),"")</f>
        <v/>
      </c>
      <c r="K1233" s="158">
        <f>IFERROR(INDEX(MASTER_JAM!$J$5:$O$12,MATCH($E1233,MASTER_JAM!$I$5:$I$12,0),MATCH($J1233,MASTER_JAM!$J$4:$O$4,0))+0,0)</f>
        <v/>
      </c>
      <c r="L1233" s="159">
        <f>N($F1233)*$K1233</f>
        <v/>
      </c>
      <c r="M1233" s="157">
        <f>IF($E1233="","",IF(OR($E1233="Coal",$E1233="Dirty Coal"),"MT","BCM"))</f>
        <v/>
      </c>
      <c r="N1233" s="157">
        <f>IF($E1233="","",IF(OR($E1233="Coal",$E1233="Dirty Coal"),"Coal","OB"))</f>
        <v/>
      </c>
      <c r="O1233" s="157">
        <f>IF($F1233="","",IF(COUNTIF(MASTER_JAM!$A$5:$A$94,$C1233)=0,"Digger tidak dikenal",IF($J1233="","Hauler tidak dikenal",IF($H1233="?","Jam salah",IF($K1233=0,"Faktor kosong",IF(SUMIFS(INPUT_DELAY!$E$5:$E$20000,INPUT_DELAY!$A$5:$A$20000,$A1233,INPUT_DELAY!$B$5:$B$20000,$B1233,INPUT_DELAY!$C$5:$C$20000,$C1233)+SUMIFS(INPUT_DELAY!$E$5:$E$20000,INPUT_DELAY!$A$5:$A$20000,$A1233,INPUT_DELAY!$B$5:$B$20000,$B1233,INPUT_DELAY!$C$5:$C$20000,"SEMUA")&gt;=60,"Delay 60 mnt tapi ada ritase","OK"))))))</f>
        <v/>
      </c>
      <c r="P1233" s="158">
        <f>IFERROR(INDEX(MASTER_JAM!$Z$5:$AC$10,MATCH($I1233,MASTER_JAM!$Y$5:$Y$10,0),MATCH($J1233,MASTER_JAM!$Z$4:$AC$4,0))+0,0)</f>
        <v/>
      </c>
      <c r="Q1233" s="158">
        <f>IF($P1233=0,0,$P1233+IFERROR(INDEX(MASTER_JAM!$H$5:$H$94,MATCH($C1233,MASTER_JAM!$A$5:$A$94,0))+0,MASTER_JAM!$AC$15)/1000*(60/MASTER_JAM!$AC$12+60/MASTER_JAM!$AC$13)+MASTER_JAM!$AC$14)</f>
        <v/>
      </c>
      <c r="R1233" s="158">
        <f>IF(N($F1233)=0,0,$F1233/SUMIFS(INPUT_RITASE!$F$5:$F$20000,INPUT_RITASE!$A$5:$A$20000,$A1233,INPUT_RITASE!$B$5:$B$20000,$B1233,INPUT_RITASE!$C$5:$C$20000,$C1233,INPUT_RITASE!$D$5:$D$20000,$D1233))</f>
        <v/>
      </c>
      <c r="S1233" s="158">
        <f>IF($Q1233=0,0,$R1233*$P1233/$Q1233)</f>
        <v/>
      </c>
    </row>
    <row r="1234">
      <c r="A1234" s="155" t="n">
        <v>46108</v>
      </c>
      <c r="B1234" s="156" t="inlineStr">
        <is>
          <t>11-12</t>
        </is>
      </c>
      <c r="C1234" s="156" t="inlineStr">
        <is>
          <t>EX-754</t>
        </is>
      </c>
      <c r="D1234" s="156" t="inlineStr">
        <is>
          <t>DT-521</t>
        </is>
      </c>
      <c r="E1234" s="156" t="inlineStr">
        <is>
          <t>Coal</t>
        </is>
      </c>
      <c r="F1234" s="156" t="n">
        <v>4</v>
      </c>
      <c r="G1234" s="156" t="inlineStr"/>
      <c r="H1234" s="157">
        <f>IF($B1234="","",IF(ISNA(MATCH($B1234,MASTER_JAM!$Q$5:$Q$28,0)),"?",IF(MATCH($B1234,MASTER_JAM!$Q$5:$Q$28,0)&lt;=12,"DS","NS")))</f>
        <v/>
      </c>
      <c r="I1234" s="157">
        <f>IFERROR(INDEX(MASTER_JAM!$B$5:$B$94,MATCH($C1234,MASTER_JAM!$A$5:$A$94,0)),"")</f>
        <v/>
      </c>
      <c r="J1234" s="157">
        <f>IFERROR(INDEX(MASTER_JAM!$E$5:$E$94,MATCH($D1234,MASTER_JAM!$A$5:$A$94,0)),"")</f>
        <v/>
      </c>
      <c r="K1234" s="158">
        <f>IFERROR(INDEX(MASTER_JAM!$J$5:$O$12,MATCH($E1234,MASTER_JAM!$I$5:$I$12,0),MATCH($J1234,MASTER_JAM!$J$4:$O$4,0))+0,0)</f>
        <v/>
      </c>
      <c r="L1234" s="159">
        <f>N($F1234)*$K1234</f>
        <v/>
      </c>
      <c r="M1234" s="157">
        <f>IF($E1234="","",IF(OR($E1234="Coal",$E1234="Dirty Coal"),"MT","BCM"))</f>
        <v/>
      </c>
      <c r="N1234" s="157">
        <f>IF($E1234="","",IF(OR($E1234="Coal",$E1234="Dirty Coal"),"Coal","OB"))</f>
        <v/>
      </c>
      <c r="O1234" s="157">
        <f>IF($F1234="","",IF(COUNTIF(MASTER_JAM!$A$5:$A$94,$C1234)=0,"Digger tidak dikenal",IF($J1234="","Hauler tidak dikenal",IF($H1234="?","Jam salah",IF($K1234=0,"Faktor kosong",IF(SUMIFS(INPUT_DELAY!$E$5:$E$20000,INPUT_DELAY!$A$5:$A$20000,$A1234,INPUT_DELAY!$B$5:$B$20000,$B1234,INPUT_DELAY!$C$5:$C$20000,$C1234)+SUMIFS(INPUT_DELAY!$E$5:$E$20000,INPUT_DELAY!$A$5:$A$20000,$A1234,INPUT_DELAY!$B$5:$B$20000,$B1234,INPUT_DELAY!$C$5:$C$20000,"SEMUA")&gt;=60,"Delay 60 mnt tapi ada ritase","OK"))))))</f>
        <v/>
      </c>
      <c r="P1234" s="158">
        <f>IFERROR(INDEX(MASTER_JAM!$Z$5:$AC$10,MATCH($I1234,MASTER_JAM!$Y$5:$Y$10,0),MATCH($J1234,MASTER_JAM!$Z$4:$AC$4,0))+0,0)</f>
        <v/>
      </c>
      <c r="Q1234" s="158">
        <f>IF($P1234=0,0,$P1234+IFERROR(INDEX(MASTER_JAM!$H$5:$H$94,MATCH($C1234,MASTER_JAM!$A$5:$A$94,0))+0,MASTER_JAM!$AC$15)/1000*(60/MASTER_JAM!$AC$12+60/MASTER_JAM!$AC$13)+MASTER_JAM!$AC$14)</f>
        <v/>
      </c>
      <c r="R1234" s="158">
        <f>IF(N($F1234)=0,0,$F1234/SUMIFS(INPUT_RITASE!$F$5:$F$20000,INPUT_RITASE!$A$5:$A$20000,$A1234,INPUT_RITASE!$B$5:$B$20000,$B1234,INPUT_RITASE!$C$5:$C$20000,$C1234,INPUT_RITASE!$D$5:$D$20000,$D1234))</f>
        <v/>
      </c>
      <c r="S1234" s="158">
        <f>IF($Q1234=0,0,$R1234*$P1234/$Q1234)</f>
        <v/>
      </c>
    </row>
    <row r="1235">
      <c r="A1235" s="155" t="n">
        <v>46108</v>
      </c>
      <c r="B1235" s="156" t="inlineStr">
        <is>
          <t>11-12</t>
        </is>
      </c>
      <c r="C1235" s="156" t="inlineStr">
        <is>
          <t>EX-754</t>
        </is>
      </c>
      <c r="D1235" s="156" t="inlineStr">
        <is>
          <t>DT-506</t>
        </is>
      </c>
      <c r="E1235" s="156" t="inlineStr">
        <is>
          <t>Coal</t>
        </is>
      </c>
      <c r="F1235" s="156" t="n">
        <v>3</v>
      </c>
      <c r="G1235" s="156" t="inlineStr"/>
      <c r="H1235" s="157">
        <f>IF($B1235="","",IF(ISNA(MATCH($B1235,MASTER_JAM!$Q$5:$Q$28,0)),"?",IF(MATCH($B1235,MASTER_JAM!$Q$5:$Q$28,0)&lt;=12,"DS","NS")))</f>
        <v/>
      </c>
      <c r="I1235" s="157">
        <f>IFERROR(INDEX(MASTER_JAM!$B$5:$B$94,MATCH($C1235,MASTER_JAM!$A$5:$A$94,0)),"")</f>
        <v/>
      </c>
      <c r="J1235" s="157">
        <f>IFERROR(INDEX(MASTER_JAM!$E$5:$E$94,MATCH($D1235,MASTER_JAM!$A$5:$A$94,0)),"")</f>
        <v/>
      </c>
      <c r="K1235" s="158">
        <f>IFERROR(INDEX(MASTER_JAM!$J$5:$O$12,MATCH($E1235,MASTER_JAM!$I$5:$I$12,0),MATCH($J1235,MASTER_JAM!$J$4:$O$4,0))+0,0)</f>
        <v/>
      </c>
      <c r="L1235" s="159">
        <f>N($F1235)*$K1235</f>
        <v/>
      </c>
      <c r="M1235" s="157">
        <f>IF($E1235="","",IF(OR($E1235="Coal",$E1235="Dirty Coal"),"MT","BCM"))</f>
        <v/>
      </c>
      <c r="N1235" s="157">
        <f>IF($E1235="","",IF(OR($E1235="Coal",$E1235="Dirty Coal"),"Coal","OB"))</f>
        <v/>
      </c>
      <c r="O1235" s="157">
        <f>IF($F1235="","",IF(COUNTIF(MASTER_JAM!$A$5:$A$94,$C1235)=0,"Digger tidak dikenal",IF($J1235="","Hauler tidak dikenal",IF($H1235="?","Jam salah",IF($K1235=0,"Faktor kosong",IF(SUMIFS(INPUT_DELAY!$E$5:$E$20000,INPUT_DELAY!$A$5:$A$20000,$A1235,INPUT_DELAY!$B$5:$B$20000,$B1235,INPUT_DELAY!$C$5:$C$20000,$C1235)+SUMIFS(INPUT_DELAY!$E$5:$E$20000,INPUT_DELAY!$A$5:$A$20000,$A1235,INPUT_DELAY!$B$5:$B$20000,$B1235,INPUT_DELAY!$C$5:$C$20000,"SEMUA")&gt;=60,"Delay 60 mnt tapi ada ritase","OK"))))))</f>
        <v/>
      </c>
      <c r="P1235" s="158">
        <f>IFERROR(INDEX(MASTER_JAM!$Z$5:$AC$10,MATCH($I1235,MASTER_JAM!$Y$5:$Y$10,0),MATCH($J1235,MASTER_JAM!$Z$4:$AC$4,0))+0,0)</f>
        <v/>
      </c>
      <c r="Q1235" s="158">
        <f>IF($P1235=0,0,$P1235+IFERROR(INDEX(MASTER_JAM!$H$5:$H$94,MATCH($C1235,MASTER_JAM!$A$5:$A$94,0))+0,MASTER_JAM!$AC$15)/1000*(60/MASTER_JAM!$AC$12+60/MASTER_JAM!$AC$13)+MASTER_JAM!$AC$14)</f>
        <v/>
      </c>
      <c r="R1235" s="158">
        <f>IF(N($F1235)=0,0,$F1235/SUMIFS(INPUT_RITASE!$F$5:$F$20000,INPUT_RITASE!$A$5:$A$20000,$A1235,INPUT_RITASE!$B$5:$B$20000,$B1235,INPUT_RITASE!$C$5:$C$20000,$C1235,INPUT_RITASE!$D$5:$D$20000,$D1235))</f>
        <v/>
      </c>
      <c r="S1235" s="158">
        <f>IF($Q1235=0,0,$R1235*$P1235/$Q1235)</f>
        <v/>
      </c>
    </row>
    <row r="1236">
      <c r="A1236" s="155" t="n">
        <v>46108</v>
      </c>
      <c r="B1236" s="156" t="inlineStr">
        <is>
          <t>11-12</t>
        </is>
      </c>
      <c r="C1236" s="156" t="inlineStr">
        <is>
          <t>EX-754</t>
        </is>
      </c>
      <c r="D1236" s="156" t="inlineStr">
        <is>
          <t>DT-502</t>
        </is>
      </c>
      <c r="E1236" s="156" t="inlineStr">
        <is>
          <t>Coal</t>
        </is>
      </c>
      <c r="F1236" s="156" t="n">
        <v>3</v>
      </c>
      <c r="G1236" s="156" t="inlineStr"/>
      <c r="H1236" s="157">
        <f>IF($B1236="","",IF(ISNA(MATCH($B1236,MASTER_JAM!$Q$5:$Q$28,0)),"?",IF(MATCH($B1236,MASTER_JAM!$Q$5:$Q$28,0)&lt;=12,"DS","NS")))</f>
        <v/>
      </c>
      <c r="I1236" s="157">
        <f>IFERROR(INDEX(MASTER_JAM!$B$5:$B$94,MATCH($C1236,MASTER_JAM!$A$5:$A$94,0)),"")</f>
        <v/>
      </c>
      <c r="J1236" s="157">
        <f>IFERROR(INDEX(MASTER_JAM!$E$5:$E$94,MATCH($D1236,MASTER_JAM!$A$5:$A$94,0)),"")</f>
        <v/>
      </c>
      <c r="K1236" s="158">
        <f>IFERROR(INDEX(MASTER_JAM!$J$5:$O$12,MATCH($E1236,MASTER_JAM!$I$5:$I$12,0),MATCH($J1236,MASTER_JAM!$J$4:$O$4,0))+0,0)</f>
        <v/>
      </c>
      <c r="L1236" s="159">
        <f>N($F1236)*$K1236</f>
        <v/>
      </c>
      <c r="M1236" s="157">
        <f>IF($E1236="","",IF(OR($E1236="Coal",$E1236="Dirty Coal"),"MT","BCM"))</f>
        <v/>
      </c>
      <c r="N1236" s="157">
        <f>IF($E1236="","",IF(OR($E1236="Coal",$E1236="Dirty Coal"),"Coal","OB"))</f>
        <v/>
      </c>
      <c r="O1236" s="157">
        <f>IF($F1236="","",IF(COUNTIF(MASTER_JAM!$A$5:$A$94,$C1236)=0,"Digger tidak dikenal",IF($J1236="","Hauler tidak dikenal",IF($H1236="?","Jam salah",IF($K1236=0,"Faktor kosong",IF(SUMIFS(INPUT_DELAY!$E$5:$E$20000,INPUT_DELAY!$A$5:$A$20000,$A1236,INPUT_DELAY!$B$5:$B$20000,$B1236,INPUT_DELAY!$C$5:$C$20000,$C1236)+SUMIFS(INPUT_DELAY!$E$5:$E$20000,INPUT_DELAY!$A$5:$A$20000,$A1236,INPUT_DELAY!$B$5:$B$20000,$B1236,INPUT_DELAY!$C$5:$C$20000,"SEMUA")&gt;=60,"Delay 60 mnt tapi ada ritase","OK"))))))</f>
        <v/>
      </c>
      <c r="P1236" s="158">
        <f>IFERROR(INDEX(MASTER_JAM!$Z$5:$AC$10,MATCH($I1236,MASTER_JAM!$Y$5:$Y$10,0),MATCH($J1236,MASTER_JAM!$Z$4:$AC$4,0))+0,0)</f>
        <v/>
      </c>
      <c r="Q1236" s="158">
        <f>IF($P1236=0,0,$P1236+IFERROR(INDEX(MASTER_JAM!$H$5:$H$94,MATCH($C1236,MASTER_JAM!$A$5:$A$94,0))+0,MASTER_JAM!$AC$15)/1000*(60/MASTER_JAM!$AC$12+60/MASTER_JAM!$AC$13)+MASTER_JAM!$AC$14)</f>
        <v/>
      </c>
      <c r="R1236" s="158">
        <f>IF(N($F1236)=0,0,$F1236/SUMIFS(INPUT_RITASE!$F$5:$F$20000,INPUT_RITASE!$A$5:$A$20000,$A1236,INPUT_RITASE!$B$5:$B$20000,$B1236,INPUT_RITASE!$C$5:$C$20000,$C1236,INPUT_RITASE!$D$5:$D$20000,$D1236))</f>
        <v/>
      </c>
      <c r="S1236" s="158">
        <f>IF($Q1236=0,0,$R1236*$P1236/$Q1236)</f>
        <v/>
      </c>
    </row>
    <row r="1237">
      <c r="A1237" s="155" t="n">
        <v>46108</v>
      </c>
      <c r="B1237" s="156" t="inlineStr">
        <is>
          <t>11-12</t>
        </is>
      </c>
      <c r="C1237" s="156" t="inlineStr">
        <is>
          <t>EX-754</t>
        </is>
      </c>
      <c r="D1237" s="156" t="inlineStr">
        <is>
          <t>DT-515</t>
        </is>
      </c>
      <c r="E1237" s="156" t="inlineStr">
        <is>
          <t>Coal</t>
        </is>
      </c>
      <c r="F1237" s="156" t="n">
        <v>3</v>
      </c>
      <c r="G1237" s="156" t="inlineStr"/>
      <c r="H1237" s="157">
        <f>IF($B1237="","",IF(ISNA(MATCH($B1237,MASTER_JAM!$Q$5:$Q$28,0)),"?",IF(MATCH($B1237,MASTER_JAM!$Q$5:$Q$28,0)&lt;=12,"DS","NS")))</f>
        <v/>
      </c>
      <c r="I1237" s="157">
        <f>IFERROR(INDEX(MASTER_JAM!$B$5:$B$94,MATCH($C1237,MASTER_JAM!$A$5:$A$94,0)),"")</f>
        <v/>
      </c>
      <c r="J1237" s="157">
        <f>IFERROR(INDEX(MASTER_JAM!$E$5:$E$94,MATCH($D1237,MASTER_JAM!$A$5:$A$94,0)),"")</f>
        <v/>
      </c>
      <c r="K1237" s="158">
        <f>IFERROR(INDEX(MASTER_JAM!$J$5:$O$12,MATCH($E1237,MASTER_JAM!$I$5:$I$12,0),MATCH($J1237,MASTER_JAM!$J$4:$O$4,0))+0,0)</f>
        <v/>
      </c>
      <c r="L1237" s="159">
        <f>N($F1237)*$K1237</f>
        <v/>
      </c>
      <c r="M1237" s="157">
        <f>IF($E1237="","",IF(OR($E1237="Coal",$E1237="Dirty Coal"),"MT","BCM"))</f>
        <v/>
      </c>
      <c r="N1237" s="157">
        <f>IF($E1237="","",IF(OR($E1237="Coal",$E1237="Dirty Coal"),"Coal","OB"))</f>
        <v/>
      </c>
      <c r="O1237" s="157">
        <f>IF($F1237="","",IF(COUNTIF(MASTER_JAM!$A$5:$A$94,$C1237)=0,"Digger tidak dikenal",IF($J1237="","Hauler tidak dikenal",IF($H1237="?","Jam salah",IF($K1237=0,"Faktor kosong",IF(SUMIFS(INPUT_DELAY!$E$5:$E$20000,INPUT_DELAY!$A$5:$A$20000,$A1237,INPUT_DELAY!$B$5:$B$20000,$B1237,INPUT_DELAY!$C$5:$C$20000,$C1237)+SUMIFS(INPUT_DELAY!$E$5:$E$20000,INPUT_DELAY!$A$5:$A$20000,$A1237,INPUT_DELAY!$B$5:$B$20000,$B1237,INPUT_DELAY!$C$5:$C$20000,"SEMUA")&gt;=60,"Delay 60 mnt tapi ada ritase","OK"))))))</f>
        <v/>
      </c>
      <c r="P1237" s="158">
        <f>IFERROR(INDEX(MASTER_JAM!$Z$5:$AC$10,MATCH($I1237,MASTER_JAM!$Y$5:$Y$10,0),MATCH($J1237,MASTER_JAM!$Z$4:$AC$4,0))+0,0)</f>
        <v/>
      </c>
      <c r="Q1237" s="158">
        <f>IF($P1237=0,0,$P1237+IFERROR(INDEX(MASTER_JAM!$H$5:$H$94,MATCH($C1237,MASTER_JAM!$A$5:$A$94,0))+0,MASTER_JAM!$AC$15)/1000*(60/MASTER_JAM!$AC$12+60/MASTER_JAM!$AC$13)+MASTER_JAM!$AC$14)</f>
        <v/>
      </c>
      <c r="R1237" s="158">
        <f>IF(N($F1237)=0,0,$F1237/SUMIFS(INPUT_RITASE!$F$5:$F$20000,INPUT_RITASE!$A$5:$A$20000,$A1237,INPUT_RITASE!$B$5:$B$20000,$B1237,INPUT_RITASE!$C$5:$C$20000,$C1237,INPUT_RITASE!$D$5:$D$20000,$D1237))</f>
        <v/>
      </c>
      <c r="S1237" s="158">
        <f>IF($Q1237=0,0,$R1237*$P1237/$Q1237)</f>
        <v/>
      </c>
    </row>
    <row r="1238">
      <c r="A1238" s="155" t="n">
        <v>46108</v>
      </c>
      <c r="B1238" s="156" t="inlineStr">
        <is>
          <t>16-17</t>
        </is>
      </c>
      <c r="C1238" s="156" t="inlineStr">
        <is>
          <t>EX-754</t>
        </is>
      </c>
      <c r="D1238" s="156" t="inlineStr">
        <is>
          <t>DT-501</t>
        </is>
      </c>
      <c r="E1238" s="156" t="inlineStr">
        <is>
          <t>Coal</t>
        </is>
      </c>
      <c r="F1238" s="156" t="n">
        <v>2</v>
      </c>
      <c r="G1238" s="156" t="inlineStr"/>
      <c r="H1238" s="157">
        <f>IF($B1238="","",IF(ISNA(MATCH($B1238,MASTER_JAM!$Q$5:$Q$28,0)),"?",IF(MATCH($B1238,MASTER_JAM!$Q$5:$Q$28,0)&lt;=12,"DS","NS")))</f>
        <v/>
      </c>
      <c r="I1238" s="157">
        <f>IFERROR(INDEX(MASTER_JAM!$B$5:$B$94,MATCH($C1238,MASTER_JAM!$A$5:$A$94,0)),"")</f>
        <v/>
      </c>
      <c r="J1238" s="157">
        <f>IFERROR(INDEX(MASTER_JAM!$E$5:$E$94,MATCH($D1238,MASTER_JAM!$A$5:$A$94,0)),"")</f>
        <v/>
      </c>
      <c r="K1238" s="158">
        <f>IFERROR(INDEX(MASTER_JAM!$J$5:$O$12,MATCH($E1238,MASTER_JAM!$I$5:$I$12,0),MATCH($J1238,MASTER_JAM!$J$4:$O$4,0))+0,0)</f>
        <v/>
      </c>
      <c r="L1238" s="159">
        <f>N($F1238)*$K1238</f>
        <v/>
      </c>
      <c r="M1238" s="157">
        <f>IF($E1238="","",IF(OR($E1238="Coal",$E1238="Dirty Coal"),"MT","BCM"))</f>
        <v/>
      </c>
      <c r="N1238" s="157">
        <f>IF($E1238="","",IF(OR($E1238="Coal",$E1238="Dirty Coal"),"Coal","OB"))</f>
        <v/>
      </c>
      <c r="O1238" s="157">
        <f>IF($F1238="","",IF(COUNTIF(MASTER_JAM!$A$5:$A$94,$C1238)=0,"Digger tidak dikenal",IF($J1238="","Hauler tidak dikenal",IF($H1238="?","Jam salah",IF($K1238=0,"Faktor kosong",IF(SUMIFS(INPUT_DELAY!$E$5:$E$20000,INPUT_DELAY!$A$5:$A$20000,$A1238,INPUT_DELAY!$B$5:$B$20000,$B1238,INPUT_DELAY!$C$5:$C$20000,$C1238)+SUMIFS(INPUT_DELAY!$E$5:$E$20000,INPUT_DELAY!$A$5:$A$20000,$A1238,INPUT_DELAY!$B$5:$B$20000,$B1238,INPUT_DELAY!$C$5:$C$20000,"SEMUA")&gt;=60,"Delay 60 mnt tapi ada ritase","OK"))))))</f>
        <v/>
      </c>
      <c r="P1238" s="158">
        <f>IFERROR(INDEX(MASTER_JAM!$Z$5:$AC$10,MATCH($I1238,MASTER_JAM!$Y$5:$Y$10,0),MATCH($J1238,MASTER_JAM!$Z$4:$AC$4,0))+0,0)</f>
        <v/>
      </c>
      <c r="Q1238" s="158">
        <f>IF($P1238=0,0,$P1238+IFERROR(INDEX(MASTER_JAM!$H$5:$H$94,MATCH($C1238,MASTER_JAM!$A$5:$A$94,0))+0,MASTER_JAM!$AC$15)/1000*(60/MASTER_JAM!$AC$12+60/MASTER_JAM!$AC$13)+MASTER_JAM!$AC$14)</f>
        <v/>
      </c>
      <c r="R1238" s="158">
        <f>IF(N($F1238)=0,0,$F1238/SUMIFS(INPUT_RITASE!$F$5:$F$20000,INPUT_RITASE!$A$5:$A$20000,$A1238,INPUT_RITASE!$B$5:$B$20000,$B1238,INPUT_RITASE!$C$5:$C$20000,$C1238,INPUT_RITASE!$D$5:$D$20000,$D1238))</f>
        <v/>
      </c>
      <c r="S1238" s="158">
        <f>IF($Q1238=0,0,$R1238*$P1238/$Q1238)</f>
        <v/>
      </c>
    </row>
    <row r="1239">
      <c r="A1239" s="155" t="n">
        <v>46108</v>
      </c>
      <c r="B1239" s="156" t="inlineStr">
        <is>
          <t>06-07</t>
        </is>
      </c>
      <c r="C1239" s="156" t="inlineStr">
        <is>
          <t>EX-755</t>
        </is>
      </c>
      <c r="D1239" s="156" t="inlineStr">
        <is>
          <t>DT-516</t>
        </is>
      </c>
      <c r="E1239" s="156" t="inlineStr">
        <is>
          <t>OB</t>
        </is>
      </c>
      <c r="F1239" s="156" t="n">
        <v>4</v>
      </c>
      <c r="G1239" s="156" t="inlineStr"/>
      <c r="H1239" s="157">
        <f>IF($B1239="","",IF(ISNA(MATCH($B1239,MASTER_JAM!$Q$5:$Q$28,0)),"?",IF(MATCH($B1239,MASTER_JAM!$Q$5:$Q$28,0)&lt;=12,"DS","NS")))</f>
        <v/>
      </c>
      <c r="I1239" s="157">
        <f>IFERROR(INDEX(MASTER_JAM!$B$5:$B$94,MATCH($C1239,MASTER_JAM!$A$5:$A$94,0)),"")</f>
        <v/>
      </c>
      <c r="J1239" s="157">
        <f>IFERROR(INDEX(MASTER_JAM!$E$5:$E$94,MATCH($D1239,MASTER_JAM!$A$5:$A$94,0)),"")</f>
        <v/>
      </c>
      <c r="K1239" s="158">
        <f>IFERROR(INDEX(MASTER_JAM!$J$5:$O$12,MATCH($E1239,MASTER_JAM!$I$5:$I$12,0),MATCH($J1239,MASTER_JAM!$J$4:$O$4,0))+0,0)</f>
        <v/>
      </c>
      <c r="L1239" s="159">
        <f>N($F1239)*$K1239</f>
        <v/>
      </c>
      <c r="M1239" s="157">
        <f>IF($E1239="","",IF(OR($E1239="Coal",$E1239="Dirty Coal"),"MT","BCM"))</f>
        <v/>
      </c>
      <c r="N1239" s="157">
        <f>IF($E1239="","",IF(OR($E1239="Coal",$E1239="Dirty Coal"),"Coal","OB"))</f>
        <v/>
      </c>
      <c r="O1239" s="157">
        <f>IF($F1239="","",IF(COUNTIF(MASTER_JAM!$A$5:$A$94,$C1239)=0,"Digger tidak dikenal",IF($J1239="","Hauler tidak dikenal",IF($H1239="?","Jam salah",IF($K1239=0,"Faktor kosong",IF(SUMIFS(INPUT_DELAY!$E$5:$E$20000,INPUT_DELAY!$A$5:$A$20000,$A1239,INPUT_DELAY!$B$5:$B$20000,$B1239,INPUT_DELAY!$C$5:$C$20000,$C1239)+SUMIFS(INPUT_DELAY!$E$5:$E$20000,INPUT_DELAY!$A$5:$A$20000,$A1239,INPUT_DELAY!$B$5:$B$20000,$B1239,INPUT_DELAY!$C$5:$C$20000,"SEMUA")&gt;=60,"Delay 60 mnt tapi ada ritase","OK"))))))</f>
        <v/>
      </c>
      <c r="P1239" s="158">
        <f>IFERROR(INDEX(MASTER_JAM!$Z$5:$AC$10,MATCH($I1239,MASTER_JAM!$Y$5:$Y$10,0),MATCH($J1239,MASTER_JAM!$Z$4:$AC$4,0))+0,0)</f>
        <v/>
      </c>
      <c r="Q1239" s="158">
        <f>IF($P1239=0,0,$P1239+IFERROR(INDEX(MASTER_JAM!$H$5:$H$94,MATCH($C1239,MASTER_JAM!$A$5:$A$94,0))+0,MASTER_JAM!$AC$15)/1000*(60/MASTER_JAM!$AC$12+60/MASTER_JAM!$AC$13)+MASTER_JAM!$AC$14)</f>
        <v/>
      </c>
      <c r="R1239" s="158">
        <f>IF(N($F1239)=0,0,$F1239/SUMIFS(INPUT_RITASE!$F$5:$F$20000,INPUT_RITASE!$A$5:$A$20000,$A1239,INPUT_RITASE!$B$5:$B$20000,$B1239,INPUT_RITASE!$C$5:$C$20000,$C1239,INPUT_RITASE!$D$5:$D$20000,$D1239))</f>
        <v/>
      </c>
      <c r="S1239" s="158">
        <f>IF($Q1239=0,0,$R1239*$P1239/$Q1239)</f>
        <v/>
      </c>
    </row>
    <row r="1240">
      <c r="A1240" s="155" t="n">
        <v>46108</v>
      </c>
      <c r="B1240" s="156" t="inlineStr">
        <is>
          <t>06-07</t>
        </is>
      </c>
      <c r="C1240" s="156" t="inlineStr">
        <is>
          <t>EX-755</t>
        </is>
      </c>
      <c r="D1240" s="156" t="inlineStr">
        <is>
          <t>DT-529</t>
        </is>
      </c>
      <c r="E1240" s="156" t="inlineStr">
        <is>
          <t>OB</t>
        </is>
      </c>
      <c r="F1240" s="156" t="n">
        <v>3</v>
      </c>
      <c r="G1240" s="156" t="inlineStr"/>
      <c r="H1240" s="157">
        <f>IF($B1240="","",IF(ISNA(MATCH($B1240,MASTER_JAM!$Q$5:$Q$28,0)),"?",IF(MATCH($B1240,MASTER_JAM!$Q$5:$Q$28,0)&lt;=12,"DS","NS")))</f>
        <v/>
      </c>
      <c r="I1240" s="157">
        <f>IFERROR(INDEX(MASTER_JAM!$B$5:$B$94,MATCH($C1240,MASTER_JAM!$A$5:$A$94,0)),"")</f>
        <v/>
      </c>
      <c r="J1240" s="157">
        <f>IFERROR(INDEX(MASTER_JAM!$E$5:$E$94,MATCH($D1240,MASTER_JAM!$A$5:$A$94,0)),"")</f>
        <v/>
      </c>
      <c r="K1240" s="158">
        <f>IFERROR(INDEX(MASTER_JAM!$J$5:$O$12,MATCH($E1240,MASTER_JAM!$I$5:$I$12,0),MATCH($J1240,MASTER_JAM!$J$4:$O$4,0))+0,0)</f>
        <v/>
      </c>
      <c r="L1240" s="159">
        <f>N($F1240)*$K1240</f>
        <v/>
      </c>
      <c r="M1240" s="157">
        <f>IF($E1240="","",IF(OR($E1240="Coal",$E1240="Dirty Coal"),"MT","BCM"))</f>
        <v/>
      </c>
      <c r="N1240" s="157">
        <f>IF($E1240="","",IF(OR($E1240="Coal",$E1240="Dirty Coal"),"Coal","OB"))</f>
        <v/>
      </c>
      <c r="O1240" s="157">
        <f>IF($F1240="","",IF(COUNTIF(MASTER_JAM!$A$5:$A$94,$C1240)=0,"Digger tidak dikenal",IF($J1240="","Hauler tidak dikenal",IF($H1240="?","Jam salah",IF($K1240=0,"Faktor kosong",IF(SUMIFS(INPUT_DELAY!$E$5:$E$20000,INPUT_DELAY!$A$5:$A$20000,$A1240,INPUT_DELAY!$B$5:$B$20000,$B1240,INPUT_DELAY!$C$5:$C$20000,$C1240)+SUMIFS(INPUT_DELAY!$E$5:$E$20000,INPUT_DELAY!$A$5:$A$20000,$A1240,INPUT_DELAY!$B$5:$B$20000,$B1240,INPUT_DELAY!$C$5:$C$20000,"SEMUA")&gt;=60,"Delay 60 mnt tapi ada ritase","OK"))))))</f>
        <v/>
      </c>
      <c r="P1240" s="158">
        <f>IFERROR(INDEX(MASTER_JAM!$Z$5:$AC$10,MATCH($I1240,MASTER_JAM!$Y$5:$Y$10,0),MATCH($J1240,MASTER_JAM!$Z$4:$AC$4,0))+0,0)</f>
        <v/>
      </c>
      <c r="Q1240" s="158">
        <f>IF($P1240=0,0,$P1240+IFERROR(INDEX(MASTER_JAM!$H$5:$H$94,MATCH($C1240,MASTER_JAM!$A$5:$A$94,0))+0,MASTER_JAM!$AC$15)/1000*(60/MASTER_JAM!$AC$12+60/MASTER_JAM!$AC$13)+MASTER_JAM!$AC$14)</f>
        <v/>
      </c>
      <c r="R1240" s="158">
        <f>IF(N($F1240)=0,0,$F1240/SUMIFS(INPUT_RITASE!$F$5:$F$20000,INPUT_RITASE!$A$5:$A$20000,$A1240,INPUT_RITASE!$B$5:$B$20000,$B1240,INPUT_RITASE!$C$5:$C$20000,$C1240,INPUT_RITASE!$D$5:$D$20000,$D1240))</f>
        <v/>
      </c>
      <c r="S1240" s="158">
        <f>IF($Q1240=0,0,$R1240*$P1240/$Q1240)</f>
        <v/>
      </c>
    </row>
    <row r="1241">
      <c r="A1241" s="155" t="n">
        <v>46108</v>
      </c>
      <c r="B1241" s="156" t="inlineStr">
        <is>
          <t>06-07</t>
        </is>
      </c>
      <c r="C1241" s="156" t="inlineStr">
        <is>
          <t>EX-755</t>
        </is>
      </c>
      <c r="D1241" s="156" t="inlineStr">
        <is>
          <t>DT-527</t>
        </is>
      </c>
      <c r="E1241" s="156" t="inlineStr">
        <is>
          <t>OB</t>
        </is>
      </c>
      <c r="F1241" s="156" t="n">
        <v>3</v>
      </c>
      <c r="G1241" s="156" t="inlineStr"/>
      <c r="H1241" s="157">
        <f>IF($B1241="","",IF(ISNA(MATCH($B1241,MASTER_JAM!$Q$5:$Q$28,0)),"?",IF(MATCH($B1241,MASTER_JAM!$Q$5:$Q$28,0)&lt;=12,"DS","NS")))</f>
        <v/>
      </c>
      <c r="I1241" s="157">
        <f>IFERROR(INDEX(MASTER_JAM!$B$5:$B$94,MATCH($C1241,MASTER_JAM!$A$5:$A$94,0)),"")</f>
        <v/>
      </c>
      <c r="J1241" s="157">
        <f>IFERROR(INDEX(MASTER_JAM!$E$5:$E$94,MATCH($D1241,MASTER_JAM!$A$5:$A$94,0)),"")</f>
        <v/>
      </c>
      <c r="K1241" s="158">
        <f>IFERROR(INDEX(MASTER_JAM!$J$5:$O$12,MATCH($E1241,MASTER_JAM!$I$5:$I$12,0),MATCH($J1241,MASTER_JAM!$J$4:$O$4,0))+0,0)</f>
        <v/>
      </c>
      <c r="L1241" s="159">
        <f>N($F1241)*$K1241</f>
        <v/>
      </c>
      <c r="M1241" s="157">
        <f>IF($E1241="","",IF(OR($E1241="Coal",$E1241="Dirty Coal"),"MT","BCM"))</f>
        <v/>
      </c>
      <c r="N1241" s="157">
        <f>IF($E1241="","",IF(OR($E1241="Coal",$E1241="Dirty Coal"),"Coal","OB"))</f>
        <v/>
      </c>
      <c r="O1241" s="157">
        <f>IF($F1241="","",IF(COUNTIF(MASTER_JAM!$A$5:$A$94,$C1241)=0,"Digger tidak dikenal",IF($J1241="","Hauler tidak dikenal",IF($H1241="?","Jam salah",IF($K1241=0,"Faktor kosong",IF(SUMIFS(INPUT_DELAY!$E$5:$E$20000,INPUT_DELAY!$A$5:$A$20000,$A1241,INPUT_DELAY!$B$5:$B$20000,$B1241,INPUT_DELAY!$C$5:$C$20000,$C1241)+SUMIFS(INPUT_DELAY!$E$5:$E$20000,INPUT_DELAY!$A$5:$A$20000,$A1241,INPUT_DELAY!$B$5:$B$20000,$B1241,INPUT_DELAY!$C$5:$C$20000,"SEMUA")&gt;=60,"Delay 60 mnt tapi ada ritase","OK"))))))</f>
        <v/>
      </c>
      <c r="P1241" s="158">
        <f>IFERROR(INDEX(MASTER_JAM!$Z$5:$AC$10,MATCH($I1241,MASTER_JAM!$Y$5:$Y$10,0),MATCH($J1241,MASTER_JAM!$Z$4:$AC$4,0))+0,0)</f>
        <v/>
      </c>
      <c r="Q1241" s="158">
        <f>IF($P1241=0,0,$P1241+IFERROR(INDEX(MASTER_JAM!$H$5:$H$94,MATCH($C1241,MASTER_JAM!$A$5:$A$94,0))+0,MASTER_JAM!$AC$15)/1000*(60/MASTER_JAM!$AC$12+60/MASTER_JAM!$AC$13)+MASTER_JAM!$AC$14)</f>
        <v/>
      </c>
      <c r="R1241" s="158">
        <f>IF(N($F1241)=0,0,$F1241/SUMIFS(INPUT_RITASE!$F$5:$F$20000,INPUT_RITASE!$A$5:$A$20000,$A1241,INPUT_RITASE!$B$5:$B$20000,$B1241,INPUT_RITASE!$C$5:$C$20000,$C1241,INPUT_RITASE!$D$5:$D$20000,$D1241))</f>
        <v/>
      </c>
      <c r="S1241" s="158">
        <f>IF($Q1241=0,0,$R1241*$P1241/$Q1241)</f>
        <v/>
      </c>
    </row>
    <row r="1242">
      <c r="A1242" s="155" t="n">
        <v>46108</v>
      </c>
      <c r="B1242" s="156" t="inlineStr">
        <is>
          <t>06-07</t>
        </is>
      </c>
      <c r="C1242" s="156" t="inlineStr">
        <is>
          <t>EX-755</t>
        </is>
      </c>
      <c r="D1242" s="156" t="inlineStr">
        <is>
          <t>DT-519</t>
        </is>
      </c>
      <c r="E1242" s="156" t="inlineStr">
        <is>
          <t>OB</t>
        </is>
      </c>
      <c r="F1242" s="156" t="n">
        <v>3</v>
      </c>
      <c r="G1242" s="156" t="inlineStr"/>
      <c r="H1242" s="157">
        <f>IF($B1242="","",IF(ISNA(MATCH($B1242,MASTER_JAM!$Q$5:$Q$28,0)),"?",IF(MATCH($B1242,MASTER_JAM!$Q$5:$Q$28,0)&lt;=12,"DS","NS")))</f>
        <v/>
      </c>
      <c r="I1242" s="157">
        <f>IFERROR(INDEX(MASTER_JAM!$B$5:$B$94,MATCH($C1242,MASTER_JAM!$A$5:$A$94,0)),"")</f>
        <v/>
      </c>
      <c r="J1242" s="157">
        <f>IFERROR(INDEX(MASTER_JAM!$E$5:$E$94,MATCH($D1242,MASTER_JAM!$A$5:$A$94,0)),"")</f>
        <v/>
      </c>
      <c r="K1242" s="158">
        <f>IFERROR(INDEX(MASTER_JAM!$J$5:$O$12,MATCH($E1242,MASTER_JAM!$I$5:$I$12,0),MATCH($J1242,MASTER_JAM!$J$4:$O$4,0))+0,0)</f>
        <v/>
      </c>
      <c r="L1242" s="159">
        <f>N($F1242)*$K1242</f>
        <v/>
      </c>
      <c r="M1242" s="157">
        <f>IF($E1242="","",IF(OR($E1242="Coal",$E1242="Dirty Coal"),"MT","BCM"))</f>
        <v/>
      </c>
      <c r="N1242" s="157">
        <f>IF($E1242="","",IF(OR($E1242="Coal",$E1242="Dirty Coal"),"Coal","OB"))</f>
        <v/>
      </c>
      <c r="O1242" s="157">
        <f>IF($F1242="","",IF(COUNTIF(MASTER_JAM!$A$5:$A$94,$C1242)=0,"Digger tidak dikenal",IF($J1242="","Hauler tidak dikenal",IF($H1242="?","Jam salah",IF($K1242=0,"Faktor kosong",IF(SUMIFS(INPUT_DELAY!$E$5:$E$20000,INPUT_DELAY!$A$5:$A$20000,$A1242,INPUT_DELAY!$B$5:$B$20000,$B1242,INPUT_DELAY!$C$5:$C$20000,$C1242)+SUMIFS(INPUT_DELAY!$E$5:$E$20000,INPUT_DELAY!$A$5:$A$20000,$A1242,INPUT_DELAY!$B$5:$B$20000,$B1242,INPUT_DELAY!$C$5:$C$20000,"SEMUA")&gt;=60,"Delay 60 mnt tapi ada ritase","OK"))))))</f>
        <v/>
      </c>
      <c r="P1242" s="158">
        <f>IFERROR(INDEX(MASTER_JAM!$Z$5:$AC$10,MATCH($I1242,MASTER_JAM!$Y$5:$Y$10,0),MATCH($J1242,MASTER_JAM!$Z$4:$AC$4,0))+0,0)</f>
        <v/>
      </c>
      <c r="Q1242" s="158">
        <f>IF($P1242=0,0,$P1242+IFERROR(INDEX(MASTER_JAM!$H$5:$H$94,MATCH($C1242,MASTER_JAM!$A$5:$A$94,0))+0,MASTER_JAM!$AC$15)/1000*(60/MASTER_JAM!$AC$12+60/MASTER_JAM!$AC$13)+MASTER_JAM!$AC$14)</f>
        <v/>
      </c>
      <c r="R1242" s="158">
        <f>IF(N($F1242)=0,0,$F1242/SUMIFS(INPUT_RITASE!$F$5:$F$20000,INPUT_RITASE!$A$5:$A$20000,$A1242,INPUT_RITASE!$B$5:$B$20000,$B1242,INPUT_RITASE!$C$5:$C$20000,$C1242,INPUT_RITASE!$D$5:$D$20000,$D1242))</f>
        <v/>
      </c>
      <c r="S1242" s="158">
        <f>IF($Q1242=0,0,$R1242*$P1242/$Q1242)</f>
        <v/>
      </c>
    </row>
    <row r="1243">
      <c r="A1243" s="155" t="n">
        <v>46108</v>
      </c>
      <c r="B1243" s="156" t="inlineStr">
        <is>
          <t>07-08</t>
        </is>
      </c>
      <c r="C1243" s="156" t="inlineStr">
        <is>
          <t>EX-755</t>
        </is>
      </c>
      <c r="D1243" s="156" t="inlineStr">
        <is>
          <t>DT-518</t>
        </is>
      </c>
      <c r="E1243" s="156" t="inlineStr">
        <is>
          <t>OB</t>
        </is>
      </c>
      <c r="F1243" s="156" t="n">
        <v>4</v>
      </c>
      <c r="G1243" s="156" t="inlineStr"/>
      <c r="H1243" s="157">
        <f>IF($B1243="","",IF(ISNA(MATCH($B1243,MASTER_JAM!$Q$5:$Q$28,0)),"?",IF(MATCH($B1243,MASTER_JAM!$Q$5:$Q$28,0)&lt;=12,"DS","NS")))</f>
        <v/>
      </c>
      <c r="I1243" s="157">
        <f>IFERROR(INDEX(MASTER_JAM!$B$5:$B$94,MATCH($C1243,MASTER_JAM!$A$5:$A$94,0)),"")</f>
        <v/>
      </c>
      <c r="J1243" s="157">
        <f>IFERROR(INDEX(MASTER_JAM!$E$5:$E$94,MATCH($D1243,MASTER_JAM!$A$5:$A$94,0)),"")</f>
        <v/>
      </c>
      <c r="K1243" s="158">
        <f>IFERROR(INDEX(MASTER_JAM!$J$5:$O$12,MATCH($E1243,MASTER_JAM!$I$5:$I$12,0),MATCH($J1243,MASTER_JAM!$J$4:$O$4,0))+0,0)</f>
        <v/>
      </c>
      <c r="L1243" s="159">
        <f>N($F1243)*$K1243</f>
        <v/>
      </c>
      <c r="M1243" s="157">
        <f>IF($E1243="","",IF(OR($E1243="Coal",$E1243="Dirty Coal"),"MT","BCM"))</f>
        <v/>
      </c>
      <c r="N1243" s="157">
        <f>IF($E1243="","",IF(OR($E1243="Coal",$E1243="Dirty Coal"),"Coal","OB"))</f>
        <v/>
      </c>
      <c r="O1243" s="157">
        <f>IF($F1243="","",IF(COUNTIF(MASTER_JAM!$A$5:$A$94,$C1243)=0,"Digger tidak dikenal",IF($J1243="","Hauler tidak dikenal",IF($H1243="?","Jam salah",IF($K1243=0,"Faktor kosong",IF(SUMIFS(INPUT_DELAY!$E$5:$E$20000,INPUT_DELAY!$A$5:$A$20000,$A1243,INPUT_DELAY!$B$5:$B$20000,$B1243,INPUT_DELAY!$C$5:$C$20000,$C1243)+SUMIFS(INPUT_DELAY!$E$5:$E$20000,INPUT_DELAY!$A$5:$A$20000,$A1243,INPUT_DELAY!$B$5:$B$20000,$B1243,INPUT_DELAY!$C$5:$C$20000,"SEMUA")&gt;=60,"Delay 60 mnt tapi ada ritase","OK"))))))</f>
        <v/>
      </c>
      <c r="P1243" s="158">
        <f>IFERROR(INDEX(MASTER_JAM!$Z$5:$AC$10,MATCH($I1243,MASTER_JAM!$Y$5:$Y$10,0),MATCH($J1243,MASTER_JAM!$Z$4:$AC$4,0))+0,0)</f>
        <v/>
      </c>
      <c r="Q1243" s="158">
        <f>IF($P1243=0,0,$P1243+IFERROR(INDEX(MASTER_JAM!$H$5:$H$94,MATCH($C1243,MASTER_JAM!$A$5:$A$94,0))+0,MASTER_JAM!$AC$15)/1000*(60/MASTER_JAM!$AC$12+60/MASTER_JAM!$AC$13)+MASTER_JAM!$AC$14)</f>
        <v/>
      </c>
      <c r="R1243" s="158">
        <f>IF(N($F1243)=0,0,$F1243/SUMIFS(INPUT_RITASE!$F$5:$F$20000,INPUT_RITASE!$A$5:$A$20000,$A1243,INPUT_RITASE!$B$5:$B$20000,$B1243,INPUT_RITASE!$C$5:$C$20000,$C1243,INPUT_RITASE!$D$5:$D$20000,$D1243))</f>
        <v/>
      </c>
      <c r="S1243" s="158">
        <f>IF($Q1243=0,0,$R1243*$P1243/$Q1243)</f>
        <v/>
      </c>
    </row>
    <row r="1244">
      <c r="A1244" s="155" t="n">
        <v>46108</v>
      </c>
      <c r="B1244" s="156" t="inlineStr">
        <is>
          <t>07-08</t>
        </is>
      </c>
      <c r="C1244" s="156" t="inlineStr">
        <is>
          <t>EX-755</t>
        </is>
      </c>
      <c r="D1244" s="156" t="inlineStr">
        <is>
          <t>DT-503</t>
        </is>
      </c>
      <c r="E1244" s="156" t="inlineStr">
        <is>
          <t>OB</t>
        </is>
      </c>
      <c r="F1244" s="156" t="n">
        <v>4</v>
      </c>
      <c r="G1244" s="156" t="inlineStr"/>
      <c r="H1244" s="157">
        <f>IF($B1244="","",IF(ISNA(MATCH($B1244,MASTER_JAM!$Q$5:$Q$28,0)),"?",IF(MATCH($B1244,MASTER_JAM!$Q$5:$Q$28,0)&lt;=12,"DS","NS")))</f>
        <v/>
      </c>
      <c r="I1244" s="157">
        <f>IFERROR(INDEX(MASTER_JAM!$B$5:$B$94,MATCH($C1244,MASTER_JAM!$A$5:$A$94,0)),"")</f>
        <v/>
      </c>
      <c r="J1244" s="157">
        <f>IFERROR(INDEX(MASTER_JAM!$E$5:$E$94,MATCH($D1244,MASTER_JAM!$A$5:$A$94,0)),"")</f>
        <v/>
      </c>
      <c r="K1244" s="158">
        <f>IFERROR(INDEX(MASTER_JAM!$J$5:$O$12,MATCH($E1244,MASTER_JAM!$I$5:$I$12,0),MATCH($J1244,MASTER_JAM!$J$4:$O$4,0))+0,0)</f>
        <v/>
      </c>
      <c r="L1244" s="159">
        <f>N($F1244)*$K1244</f>
        <v/>
      </c>
      <c r="M1244" s="157">
        <f>IF($E1244="","",IF(OR($E1244="Coal",$E1244="Dirty Coal"),"MT","BCM"))</f>
        <v/>
      </c>
      <c r="N1244" s="157">
        <f>IF($E1244="","",IF(OR($E1244="Coal",$E1244="Dirty Coal"),"Coal","OB"))</f>
        <v/>
      </c>
      <c r="O1244" s="157">
        <f>IF($F1244="","",IF(COUNTIF(MASTER_JAM!$A$5:$A$94,$C1244)=0,"Digger tidak dikenal",IF($J1244="","Hauler tidak dikenal",IF($H1244="?","Jam salah",IF($K1244=0,"Faktor kosong",IF(SUMIFS(INPUT_DELAY!$E$5:$E$20000,INPUT_DELAY!$A$5:$A$20000,$A1244,INPUT_DELAY!$B$5:$B$20000,$B1244,INPUT_DELAY!$C$5:$C$20000,$C1244)+SUMIFS(INPUT_DELAY!$E$5:$E$20000,INPUT_DELAY!$A$5:$A$20000,$A1244,INPUT_DELAY!$B$5:$B$20000,$B1244,INPUT_DELAY!$C$5:$C$20000,"SEMUA")&gt;=60,"Delay 60 mnt tapi ada ritase","OK"))))))</f>
        <v/>
      </c>
      <c r="P1244" s="158">
        <f>IFERROR(INDEX(MASTER_JAM!$Z$5:$AC$10,MATCH($I1244,MASTER_JAM!$Y$5:$Y$10,0),MATCH($J1244,MASTER_JAM!$Z$4:$AC$4,0))+0,0)</f>
        <v/>
      </c>
      <c r="Q1244" s="158">
        <f>IF($P1244=0,0,$P1244+IFERROR(INDEX(MASTER_JAM!$H$5:$H$94,MATCH($C1244,MASTER_JAM!$A$5:$A$94,0))+0,MASTER_JAM!$AC$15)/1000*(60/MASTER_JAM!$AC$12+60/MASTER_JAM!$AC$13)+MASTER_JAM!$AC$14)</f>
        <v/>
      </c>
      <c r="R1244" s="158">
        <f>IF(N($F1244)=0,0,$F1244/SUMIFS(INPUT_RITASE!$F$5:$F$20000,INPUT_RITASE!$A$5:$A$20000,$A1244,INPUT_RITASE!$B$5:$B$20000,$B1244,INPUT_RITASE!$C$5:$C$20000,$C1244,INPUT_RITASE!$D$5:$D$20000,$D1244))</f>
        <v/>
      </c>
      <c r="S1244" s="158">
        <f>IF($Q1244=0,0,$R1244*$P1244/$Q1244)</f>
        <v/>
      </c>
    </row>
    <row r="1245">
      <c r="A1245" s="155" t="n">
        <v>46108</v>
      </c>
      <c r="B1245" s="156" t="inlineStr">
        <is>
          <t>07-08</t>
        </is>
      </c>
      <c r="C1245" s="156" t="inlineStr">
        <is>
          <t>EX-755</t>
        </is>
      </c>
      <c r="D1245" s="156" t="inlineStr">
        <is>
          <t>DT-502</t>
        </is>
      </c>
      <c r="E1245" s="156" t="inlineStr">
        <is>
          <t>OB</t>
        </is>
      </c>
      <c r="F1245" s="156" t="n">
        <v>3</v>
      </c>
      <c r="G1245" s="156" t="inlineStr"/>
      <c r="H1245" s="157">
        <f>IF($B1245="","",IF(ISNA(MATCH($B1245,MASTER_JAM!$Q$5:$Q$28,0)),"?",IF(MATCH($B1245,MASTER_JAM!$Q$5:$Q$28,0)&lt;=12,"DS","NS")))</f>
        <v/>
      </c>
      <c r="I1245" s="157">
        <f>IFERROR(INDEX(MASTER_JAM!$B$5:$B$94,MATCH($C1245,MASTER_JAM!$A$5:$A$94,0)),"")</f>
        <v/>
      </c>
      <c r="J1245" s="157">
        <f>IFERROR(INDEX(MASTER_JAM!$E$5:$E$94,MATCH($D1245,MASTER_JAM!$A$5:$A$94,0)),"")</f>
        <v/>
      </c>
      <c r="K1245" s="158">
        <f>IFERROR(INDEX(MASTER_JAM!$J$5:$O$12,MATCH($E1245,MASTER_JAM!$I$5:$I$12,0),MATCH($J1245,MASTER_JAM!$J$4:$O$4,0))+0,0)</f>
        <v/>
      </c>
      <c r="L1245" s="159">
        <f>N($F1245)*$K1245</f>
        <v/>
      </c>
      <c r="M1245" s="157">
        <f>IF($E1245="","",IF(OR($E1245="Coal",$E1245="Dirty Coal"),"MT","BCM"))</f>
        <v/>
      </c>
      <c r="N1245" s="157">
        <f>IF($E1245="","",IF(OR($E1245="Coal",$E1245="Dirty Coal"),"Coal","OB"))</f>
        <v/>
      </c>
      <c r="O1245" s="157">
        <f>IF($F1245="","",IF(COUNTIF(MASTER_JAM!$A$5:$A$94,$C1245)=0,"Digger tidak dikenal",IF($J1245="","Hauler tidak dikenal",IF($H1245="?","Jam salah",IF($K1245=0,"Faktor kosong",IF(SUMIFS(INPUT_DELAY!$E$5:$E$20000,INPUT_DELAY!$A$5:$A$20000,$A1245,INPUT_DELAY!$B$5:$B$20000,$B1245,INPUT_DELAY!$C$5:$C$20000,$C1245)+SUMIFS(INPUT_DELAY!$E$5:$E$20000,INPUT_DELAY!$A$5:$A$20000,$A1245,INPUT_DELAY!$B$5:$B$20000,$B1245,INPUT_DELAY!$C$5:$C$20000,"SEMUA")&gt;=60,"Delay 60 mnt tapi ada ritase","OK"))))))</f>
        <v/>
      </c>
      <c r="P1245" s="158">
        <f>IFERROR(INDEX(MASTER_JAM!$Z$5:$AC$10,MATCH($I1245,MASTER_JAM!$Y$5:$Y$10,0),MATCH($J1245,MASTER_JAM!$Z$4:$AC$4,0))+0,0)</f>
        <v/>
      </c>
      <c r="Q1245" s="158">
        <f>IF($P1245=0,0,$P1245+IFERROR(INDEX(MASTER_JAM!$H$5:$H$94,MATCH($C1245,MASTER_JAM!$A$5:$A$94,0))+0,MASTER_JAM!$AC$15)/1000*(60/MASTER_JAM!$AC$12+60/MASTER_JAM!$AC$13)+MASTER_JAM!$AC$14)</f>
        <v/>
      </c>
      <c r="R1245" s="158">
        <f>IF(N($F1245)=0,0,$F1245/SUMIFS(INPUT_RITASE!$F$5:$F$20000,INPUT_RITASE!$A$5:$A$20000,$A1245,INPUT_RITASE!$B$5:$B$20000,$B1245,INPUT_RITASE!$C$5:$C$20000,$C1245,INPUT_RITASE!$D$5:$D$20000,$D1245))</f>
        <v/>
      </c>
      <c r="S1245" s="158">
        <f>IF($Q1245=0,0,$R1245*$P1245/$Q1245)</f>
        <v/>
      </c>
    </row>
    <row r="1246">
      <c r="A1246" s="155" t="n">
        <v>46108</v>
      </c>
      <c r="B1246" s="156" t="inlineStr">
        <is>
          <t>07-08</t>
        </is>
      </c>
      <c r="C1246" s="156" t="inlineStr">
        <is>
          <t>EX-755</t>
        </is>
      </c>
      <c r="D1246" s="156" t="inlineStr">
        <is>
          <t>DT-520</t>
        </is>
      </c>
      <c r="E1246" s="156" t="inlineStr">
        <is>
          <t>OB</t>
        </is>
      </c>
      <c r="F1246" s="156" t="n">
        <v>3</v>
      </c>
      <c r="G1246" s="156" t="inlineStr"/>
      <c r="H1246" s="157">
        <f>IF($B1246="","",IF(ISNA(MATCH($B1246,MASTER_JAM!$Q$5:$Q$28,0)),"?",IF(MATCH($B1246,MASTER_JAM!$Q$5:$Q$28,0)&lt;=12,"DS","NS")))</f>
        <v/>
      </c>
      <c r="I1246" s="157">
        <f>IFERROR(INDEX(MASTER_JAM!$B$5:$B$94,MATCH($C1246,MASTER_JAM!$A$5:$A$94,0)),"")</f>
        <v/>
      </c>
      <c r="J1246" s="157">
        <f>IFERROR(INDEX(MASTER_JAM!$E$5:$E$94,MATCH($D1246,MASTER_JAM!$A$5:$A$94,0)),"")</f>
        <v/>
      </c>
      <c r="K1246" s="158">
        <f>IFERROR(INDEX(MASTER_JAM!$J$5:$O$12,MATCH($E1246,MASTER_JAM!$I$5:$I$12,0),MATCH($J1246,MASTER_JAM!$J$4:$O$4,0))+0,0)</f>
        <v/>
      </c>
      <c r="L1246" s="159">
        <f>N($F1246)*$K1246</f>
        <v/>
      </c>
      <c r="M1246" s="157">
        <f>IF($E1246="","",IF(OR($E1246="Coal",$E1246="Dirty Coal"),"MT","BCM"))</f>
        <v/>
      </c>
      <c r="N1246" s="157">
        <f>IF($E1246="","",IF(OR($E1246="Coal",$E1246="Dirty Coal"),"Coal","OB"))</f>
        <v/>
      </c>
      <c r="O1246" s="157">
        <f>IF($F1246="","",IF(COUNTIF(MASTER_JAM!$A$5:$A$94,$C1246)=0,"Digger tidak dikenal",IF($J1246="","Hauler tidak dikenal",IF($H1246="?","Jam salah",IF($K1246=0,"Faktor kosong",IF(SUMIFS(INPUT_DELAY!$E$5:$E$20000,INPUT_DELAY!$A$5:$A$20000,$A1246,INPUT_DELAY!$B$5:$B$20000,$B1246,INPUT_DELAY!$C$5:$C$20000,$C1246)+SUMIFS(INPUT_DELAY!$E$5:$E$20000,INPUT_DELAY!$A$5:$A$20000,$A1246,INPUT_DELAY!$B$5:$B$20000,$B1246,INPUT_DELAY!$C$5:$C$20000,"SEMUA")&gt;=60,"Delay 60 mnt tapi ada ritase","OK"))))))</f>
        <v/>
      </c>
      <c r="P1246" s="158">
        <f>IFERROR(INDEX(MASTER_JAM!$Z$5:$AC$10,MATCH($I1246,MASTER_JAM!$Y$5:$Y$10,0),MATCH($J1246,MASTER_JAM!$Z$4:$AC$4,0))+0,0)</f>
        <v/>
      </c>
      <c r="Q1246" s="158">
        <f>IF($P1246=0,0,$P1246+IFERROR(INDEX(MASTER_JAM!$H$5:$H$94,MATCH($C1246,MASTER_JAM!$A$5:$A$94,0))+0,MASTER_JAM!$AC$15)/1000*(60/MASTER_JAM!$AC$12+60/MASTER_JAM!$AC$13)+MASTER_JAM!$AC$14)</f>
        <v/>
      </c>
      <c r="R1246" s="158">
        <f>IF(N($F1246)=0,0,$F1246/SUMIFS(INPUT_RITASE!$F$5:$F$20000,INPUT_RITASE!$A$5:$A$20000,$A1246,INPUT_RITASE!$B$5:$B$20000,$B1246,INPUT_RITASE!$C$5:$C$20000,$C1246,INPUT_RITASE!$D$5:$D$20000,$D1246))</f>
        <v/>
      </c>
      <c r="S1246" s="158">
        <f>IF($Q1246=0,0,$R1246*$P1246/$Q1246)</f>
        <v/>
      </c>
    </row>
    <row r="1247">
      <c r="A1247" s="155" t="n">
        <v>46108</v>
      </c>
      <c r="B1247" s="156" t="inlineStr">
        <is>
          <t>08-09</t>
        </is>
      </c>
      <c r="C1247" s="156" t="inlineStr">
        <is>
          <t>EX-755</t>
        </is>
      </c>
      <c r="D1247" s="156" t="inlineStr">
        <is>
          <t>DT-512</t>
        </is>
      </c>
      <c r="E1247" s="156" t="inlineStr">
        <is>
          <t>OB</t>
        </is>
      </c>
      <c r="F1247" s="156" t="n">
        <v>4</v>
      </c>
      <c r="G1247" s="156" t="inlineStr"/>
      <c r="H1247" s="157">
        <f>IF($B1247="","",IF(ISNA(MATCH($B1247,MASTER_JAM!$Q$5:$Q$28,0)),"?",IF(MATCH($B1247,MASTER_JAM!$Q$5:$Q$28,0)&lt;=12,"DS","NS")))</f>
        <v/>
      </c>
      <c r="I1247" s="157">
        <f>IFERROR(INDEX(MASTER_JAM!$B$5:$B$94,MATCH($C1247,MASTER_JAM!$A$5:$A$94,0)),"")</f>
        <v/>
      </c>
      <c r="J1247" s="157">
        <f>IFERROR(INDEX(MASTER_JAM!$E$5:$E$94,MATCH($D1247,MASTER_JAM!$A$5:$A$94,0)),"")</f>
        <v/>
      </c>
      <c r="K1247" s="158">
        <f>IFERROR(INDEX(MASTER_JAM!$J$5:$O$12,MATCH($E1247,MASTER_JAM!$I$5:$I$12,0),MATCH($J1247,MASTER_JAM!$J$4:$O$4,0))+0,0)</f>
        <v/>
      </c>
      <c r="L1247" s="159">
        <f>N($F1247)*$K1247</f>
        <v/>
      </c>
      <c r="M1247" s="157">
        <f>IF($E1247="","",IF(OR($E1247="Coal",$E1247="Dirty Coal"),"MT","BCM"))</f>
        <v/>
      </c>
      <c r="N1247" s="157">
        <f>IF($E1247="","",IF(OR($E1247="Coal",$E1247="Dirty Coal"),"Coal","OB"))</f>
        <v/>
      </c>
      <c r="O1247" s="157">
        <f>IF($F1247="","",IF(COUNTIF(MASTER_JAM!$A$5:$A$94,$C1247)=0,"Digger tidak dikenal",IF($J1247="","Hauler tidak dikenal",IF($H1247="?","Jam salah",IF($K1247=0,"Faktor kosong",IF(SUMIFS(INPUT_DELAY!$E$5:$E$20000,INPUT_DELAY!$A$5:$A$20000,$A1247,INPUT_DELAY!$B$5:$B$20000,$B1247,INPUT_DELAY!$C$5:$C$20000,$C1247)+SUMIFS(INPUT_DELAY!$E$5:$E$20000,INPUT_DELAY!$A$5:$A$20000,$A1247,INPUT_DELAY!$B$5:$B$20000,$B1247,INPUT_DELAY!$C$5:$C$20000,"SEMUA")&gt;=60,"Delay 60 mnt tapi ada ritase","OK"))))))</f>
        <v/>
      </c>
      <c r="P1247" s="158">
        <f>IFERROR(INDEX(MASTER_JAM!$Z$5:$AC$10,MATCH($I1247,MASTER_JAM!$Y$5:$Y$10,0),MATCH($J1247,MASTER_JAM!$Z$4:$AC$4,0))+0,0)</f>
        <v/>
      </c>
      <c r="Q1247" s="158">
        <f>IF($P1247=0,0,$P1247+IFERROR(INDEX(MASTER_JAM!$H$5:$H$94,MATCH($C1247,MASTER_JAM!$A$5:$A$94,0))+0,MASTER_JAM!$AC$15)/1000*(60/MASTER_JAM!$AC$12+60/MASTER_JAM!$AC$13)+MASTER_JAM!$AC$14)</f>
        <v/>
      </c>
      <c r="R1247" s="158">
        <f>IF(N($F1247)=0,0,$F1247/SUMIFS(INPUT_RITASE!$F$5:$F$20000,INPUT_RITASE!$A$5:$A$20000,$A1247,INPUT_RITASE!$B$5:$B$20000,$B1247,INPUT_RITASE!$C$5:$C$20000,$C1247,INPUT_RITASE!$D$5:$D$20000,$D1247))</f>
        <v/>
      </c>
      <c r="S1247" s="158">
        <f>IF($Q1247=0,0,$R1247*$P1247/$Q1247)</f>
        <v/>
      </c>
    </row>
    <row r="1248">
      <c r="A1248" s="155" t="n">
        <v>46108</v>
      </c>
      <c r="B1248" s="156" t="inlineStr">
        <is>
          <t>08-09</t>
        </is>
      </c>
      <c r="C1248" s="156" t="inlineStr">
        <is>
          <t>EX-755</t>
        </is>
      </c>
      <c r="D1248" s="156" t="inlineStr">
        <is>
          <t>DT-520</t>
        </is>
      </c>
      <c r="E1248" s="156" t="inlineStr">
        <is>
          <t>OB</t>
        </is>
      </c>
      <c r="F1248" s="156" t="n">
        <v>4</v>
      </c>
      <c r="G1248" s="156" t="inlineStr"/>
      <c r="H1248" s="157">
        <f>IF($B1248="","",IF(ISNA(MATCH($B1248,MASTER_JAM!$Q$5:$Q$28,0)),"?",IF(MATCH($B1248,MASTER_JAM!$Q$5:$Q$28,0)&lt;=12,"DS","NS")))</f>
        <v/>
      </c>
      <c r="I1248" s="157">
        <f>IFERROR(INDEX(MASTER_JAM!$B$5:$B$94,MATCH($C1248,MASTER_JAM!$A$5:$A$94,0)),"")</f>
        <v/>
      </c>
      <c r="J1248" s="157">
        <f>IFERROR(INDEX(MASTER_JAM!$E$5:$E$94,MATCH($D1248,MASTER_JAM!$A$5:$A$94,0)),"")</f>
        <v/>
      </c>
      <c r="K1248" s="158">
        <f>IFERROR(INDEX(MASTER_JAM!$J$5:$O$12,MATCH($E1248,MASTER_JAM!$I$5:$I$12,0),MATCH($J1248,MASTER_JAM!$J$4:$O$4,0))+0,0)</f>
        <v/>
      </c>
      <c r="L1248" s="159">
        <f>N($F1248)*$K1248</f>
        <v/>
      </c>
      <c r="M1248" s="157">
        <f>IF($E1248="","",IF(OR($E1248="Coal",$E1248="Dirty Coal"),"MT","BCM"))</f>
        <v/>
      </c>
      <c r="N1248" s="157">
        <f>IF($E1248="","",IF(OR($E1248="Coal",$E1248="Dirty Coal"),"Coal","OB"))</f>
        <v/>
      </c>
      <c r="O1248" s="157">
        <f>IF($F1248="","",IF(COUNTIF(MASTER_JAM!$A$5:$A$94,$C1248)=0,"Digger tidak dikenal",IF($J1248="","Hauler tidak dikenal",IF($H1248="?","Jam salah",IF($K1248=0,"Faktor kosong",IF(SUMIFS(INPUT_DELAY!$E$5:$E$20000,INPUT_DELAY!$A$5:$A$20000,$A1248,INPUT_DELAY!$B$5:$B$20000,$B1248,INPUT_DELAY!$C$5:$C$20000,$C1248)+SUMIFS(INPUT_DELAY!$E$5:$E$20000,INPUT_DELAY!$A$5:$A$20000,$A1248,INPUT_DELAY!$B$5:$B$20000,$B1248,INPUT_DELAY!$C$5:$C$20000,"SEMUA")&gt;=60,"Delay 60 mnt tapi ada ritase","OK"))))))</f>
        <v/>
      </c>
      <c r="P1248" s="158">
        <f>IFERROR(INDEX(MASTER_JAM!$Z$5:$AC$10,MATCH($I1248,MASTER_JAM!$Y$5:$Y$10,0),MATCH($J1248,MASTER_JAM!$Z$4:$AC$4,0))+0,0)</f>
        <v/>
      </c>
      <c r="Q1248" s="158">
        <f>IF($P1248=0,0,$P1248+IFERROR(INDEX(MASTER_JAM!$H$5:$H$94,MATCH($C1248,MASTER_JAM!$A$5:$A$94,0))+0,MASTER_JAM!$AC$15)/1000*(60/MASTER_JAM!$AC$12+60/MASTER_JAM!$AC$13)+MASTER_JAM!$AC$14)</f>
        <v/>
      </c>
      <c r="R1248" s="158">
        <f>IF(N($F1248)=0,0,$F1248/SUMIFS(INPUT_RITASE!$F$5:$F$20000,INPUT_RITASE!$A$5:$A$20000,$A1248,INPUT_RITASE!$B$5:$B$20000,$B1248,INPUT_RITASE!$C$5:$C$20000,$C1248,INPUT_RITASE!$D$5:$D$20000,$D1248))</f>
        <v/>
      </c>
      <c r="S1248" s="158">
        <f>IF($Q1248=0,0,$R1248*$P1248/$Q1248)</f>
        <v/>
      </c>
    </row>
    <row r="1249">
      <c r="A1249" s="155" t="n">
        <v>46108</v>
      </c>
      <c r="B1249" s="156" t="inlineStr">
        <is>
          <t>08-09</t>
        </is>
      </c>
      <c r="C1249" s="156" t="inlineStr">
        <is>
          <t>EX-755</t>
        </is>
      </c>
      <c r="D1249" s="156" t="inlineStr">
        <is>
          <t>DT-522</t>
        </is>
      </c>
      <c r="E1249" s="156" t="inlineStr">
        <is>
          <t>OB</t>
        </is>
      </c>
      <c r="F1249" s="156" t="n">
        <v>3</v>
      </c>
      <c r="G1249" s="156" t="inlineStr"/>
      <c r="H1249" s="157">
        <f>IF($B1249="","",IF(ISNA(MATCH($B1249,MASTER_JAM!$Q$5:$Q$28,0)),"?",IF(MATCH($B1249,MASTER_JAM!$Q$5:$Q$28,0)&lt;=12,"DS","NS")))</f>
        <v/>
      </c>
      <c r="I1249" s="157">
        <f>IFERROR(INDEX(MASTER_JAM!$B$5:$B$94,MATCH($C1249,MASTER_JAM!$A$5:$A$94,0)),"")</f>
        <v/>
      </c>
      <c r="J1249" s="157">
        <f>IFERROR(INDEX(MASTER_JAM!$E$5:$E$94,MATCH($D1249,MASTER_JAM!$A$5:$A$94,0)),"")</f>
        <v/>
      </c>
      <c r="K1249" s="158">
        <f>IFERROR(INDEX(MASTER_JAM!$J$5:$O$12,MATCH($E1249,MASTER_JAM!$I$5:$I$12,0),MATCH($J1249,MASTER_JAM!$J$4:$O$4,0))+0,0)</f>
        <v/>
      </c>
      <c r="L1249" s="159">
        <f>N($F1249)*$K1249</f>
        <v/>
      </c>
      <c r="M1249" s="157">
        <f>IF($E1249="","",IF(OR($E1249="Coal",$E1249="Dirty Coal"),"MT","BCM"))</f>
        <v/>
      </c>
      <c r="N1249" s="157">
        <f>IF($E1249="","",IF(OR($E1249="Coal",$E1249="Dirty Coal"),"Coal","OB"))</f>
        <v/>
      </c>
      <c r="O1249" s="157">
        <f>IF($F1249="","",IF(COUNTIF(MASTER_JAM!$A$5:$A$94,$C1249)=0,"Digger tidak dikenal",IF($J1249="","Hauler tidak dikenal",IF($H1249="?","Jam salah",IF($K1249=0,"Faktor kosong",IF(SUMIFS(INPUT_DELAY!$E$5:$E$20000,INPUT_DELAY!$A$5:$A$20000,$A1249,INPUT_DELAY!$B$5:$B$20000,$B1249,INPUT_DELAY!$C$5:$C$20000,$C1249)+SUMIFS(INPUT_DELAY!$E$5:$E$20000,INPUT_DELAY!$A$5:$A$20000,$A1249,INPUT_DELAY!$B$5:$B$20000,$B1249,INPUT_DELAY!$C$5:$C$20000,"SEMUA")&gt;=60,"Delay 60 mnt tapi ada ritase","OK"))))))</f>
        <v/>
      </c>
      <c r="P1249" s="158">
        <f>IFERROR(INDEX(MASTER_JAM!$Z$5:$AC$10,MATCH($I1249,MASTER_JAM!$Y$5:$Y$10,0),MATCH($J1249,MASTER_JAM!$Z$4:$AC$4,0))+0,0)</f>
        <v/>
      </c>
      <c r="Q1249" s="158">
        <f>IF($P1249=0,0,$P1249+IFERROR(INDEX(MASTER_JAM!$H$5:$H$94,MATCH($C1249,MASTER_JAM!$A$5:$A$94,0))+0,MASTER_JAM!$AC$15)/1000*(60/MASTER_JAM!$AC$12+60/MASTER_JAM!$AC$13)+MASTER_JAM!$AC$14)</f>
        <v/>
      </c>
      <c r="R1249" s="158">
        <f>IF(N($F1249)=0,0,$F1249/SUMIFS(INPUT_RITASE!$F$5:$F$20000,INPUT_RITASE!$A$5:$A$20000,$A1249,INPUT_RITASE!$B$5:$B$20000,$B1249,INPUT_RITASE!$C$5:$C$20000,$C1249,INPUT_RITASE!$D$5:$D$20000,$D1249))</f>
        <v/>
      </c>
      <c r="S1249" s="158">
        <f>IF($Q1249=0,0,$R1249*$P1249/$Q1249)</f>
        <v/>
      </c>
    </row>
    <row r="1250">
      <c r="A1250" s="155" t="n">
        <v>46108</v>
      </c>
      <c r="B1250" s="156" t="inlineStr">
        <is>
          <t>08-09</t>
        </is>
      </c>
      <c r="C1250" s="156" t="inlineStr">
        <is>
          <t>EX-755</t>
        </is>
      </c>
      <c r="D1250" s="156" t="inlineStr">
        <is>
          <t>DT-514</t>
        </is>
      </c>
      <c r="E1250" s="156" t="inlineStr">
        <is>
          <t>OB</t>
        </is>
      </c>
      <c r="F1250" s="156" t="n">
        <v>3</v>
      </c>
      <c r="G1250" s="156" t="inlineStr"/>
      <c r="H1250" s="157">
        <f>IF($B1250="","",IF(ISNA(MATCH($B1250,MASTER_JAM!$Q$5:$Q$28,0)),"?",IF(MATCH($B1250,MASTER_JAM!$Q$5:$Q$28,0)&lt;=12,"DS","NS")))</f>
        <v/>
      </c>
      <c r="I1250" s="157">
        <f>IFERROR(INDEX(MASTER_JAM!$B$5:$B$94,MATCH($C1250,MASTER_JAM!$A$5:$A$94,0)),"")</f>
        <v/>
      </c>
      <c r="J1250" s="157">
        <f>IFERROR(INDEX(MASTER_JAM!$E$5:$E$94,MATCH($D1250,MASTER_JAM!$A$5:$A$94,0)),"")</f>
        <v/>
      </c>
      <c r="K1250" s="158">
        <f>IFERROR(INDEX(MASTER_JAM!$J$5:$O$12,MATCH($E1250,MASTER_JAM!$I$5:$I$12,0),MATCH($J1250,MASTER_JAM!$J$4:$O$4,0))+0,0)</f>
        <v/>
      </c>
      <c r="L1250" s="159">
        <f>N($F1250)*$K1250</f>
        <v/>
      </c>
      <c r="M1250" s="157">
        <f>IF($E1250="","",IF(OR($E1250="Coal",$E1250="Dirty Coal"),"MT","BCM"))</f>
        <v/>
      </c>
      <c r="N1250" s="157">
        <f>IF($E1250="","",IF(OR($E1250="Coal",$E1250="Dirty Coal"),"Coal","OB"))</f>
        <v/>
      </c>
      <c r="O1250" s="157">
        <f>IF($F1250="","",IF(COUNTIF(MASTER_JAM!$A$5:$A$94,$C1250)=0,"Digger tidak dikenal",IF($J1250="","Hauler tidak dikenal",IF($H1250="?","Jam salah",IF($K1250=0,"Faktor kosong",IF(SUMIFS(INPUT_DELAY!$E$5:$E$20000,INPUT_DELAY!$A$5:$A$20000,$A1250,INPUT_DELAY!$B$5:$B$20000,$B1250,INPUT_DELAY!$C$5:$C$20000,$C1250)+SUMIFS(INPUT_DELAY!$E$5:$E$20000,INPUT_DELAY!$A$5:$A$20000,$A1250,INPUT_DELAY!$B$5:$B$20000,$B1250,INPUT_DELAY!$C$5:$C$20000,"SEMUA")&gt;=60,"Delay 60 mnt tapi ada ritase","OK"))))))</f>
        <v/>
      </c>
      <c r="P1250" s="158">
        <f>IFERROR(INDEX(MASTER_JAM!$Z$5:$AC$10,MATCH($I1250,MASTER_JAM!$Y$5:$Y$10,0),MATCH($J1250,MASTER_JAM!$Z$4:$AC$4,0))+0,0)</f>
        <v/>
      </c>
      <c r="Q1250" s="158">
        <f>IF($P1250=0,0,$P1250+IFERROR(INDEX(MASTER_JAM!$H$5:$H$94,MATCH($C1250,MASTER_JAM!$A$5:$A$94,0))+0,MASTER_JAM!$AC$15)/1000*(60/MASTER_JAM!$AC$12+60/MASTER_JAM!$AC$13)+MASTER_JAM!$AC$14)</f>
        <v/>
      </c>
      <c r="R1250" s="158">
        <f>IF(N($F1250)=0,0,$F1250/SUMIFS(INPUT_RITASE!$F$5:$F$20000,INPUT_RITASE!$A$5:$A$20000,$A1250,INPUT_RITASE!$B$5:$B$20000,$B1250,INPUT_RITASE!$C$5:$C$20000,$C1250,INPUT_RITASE!$D$5:$D$20000,$D1250))</f>
        <v/>
      </c>
      <c r="S1250" s="158">
        <f>IF($Q1250=0,0,$R1250*$P1250/$Q1250)</f>
        <v/>
      </c>
    </row>
    <row r="1251">
      <c r="A1251" s="155" t="n">
        <v>46108</v>
      </c>
      <c r="B1251" s="156" t="inlineStr">
        <is>
          <t>08-09</t>
        </is>
      </c>
      <c r="C1251" s="156" t="inlineStr">
        <is>
          <t>EX-755</t>
        </is>
      </c>
      <c r="D1251" s="156" t="inlineStr">
        <is>
          <t>DT-521</t>
        </is>
      </c>
      <c r="E1251" s="156" t="inlineStr">
        <is>
          <t>OB</t>
        </is>
      </c>
      <c r="F1251" s="156" t="n">
        <v>3</v>
      </c>
      <c r="G1251" s="156" t="inlineStr"/>
      <c r="H1251" s="157">
        <f>IF($B1251="","",IF(ISNA(MATCH($B1251,MASTER_JAM!$Q$5:$Q$28,0)),"?",IF(MATCH($B1251,MASTER_JAM!$Q$5:$Q$28,0)&lt;=12,"DS","NS")))</f>
        <v/>
      </c>
      <c r="I1251" s="157">
        <f>IFERROR(INDEX(MASTER_JAM!$B$5:$B$94,MATCH($C1251,MASTER_JAM!$A$5:$A$94,0)),"")</f>
        <v/>
      </c>
      <c r="J1251" s="157">
        <f>IFERROR(INDEX(MASTER_JAM!$E$5:$E$94,MATCH($D1251,MASTER_JAM!$A$5:$A$94,0)),"")</f>
        <v/>
      </c>
      <c r="K1251" s="158">
        <f>IFERROR(INDEX(MASTER_JAM!$J$5:$O$12,MATCH($E1251,MASTER_JAM!$I$5:$I$12,0),MATCH($J1251,MASTER_JAM!$J$4:$O$4,0))+0,0)</f>
        <v/>
      </c>
      <c r="L1251" s="159">
        <f>N($F1251)*$K1251</f>
        <v/>
      </c>
      <c r="M1251" s="157">
        <f>IF($E1251="","",IF(OR($E1251="Coal",$E1251="Dirty Coal"),"MT","BCM"))</f>
        <v/>
      </c>
      <c r="N1251" s="157">
        <f>IF($E1251="","",IF(OR($E1251="Coal",$E1251="Dirty Coal"),"Coal","OB"))</f>
        <v/>
      </c>
      <c r="O1251" s="157">
        <f>IF($F1251="","",IF(COUNTIF(MASTER_JAM!$A$5:$A$94,$C1251)=0,"Digger tidak dikenal",IF($J1251="","Hauler tidak dikenal",IF($H1251="?","Jam salah",IF($K1251=0,"Faktor kosong",IF(SUMIFS(INPUT_DELAY!$E$5:$E$20000,INPUT_DELAY!$A$5:$A$20000,$A1251,INPUT_DELAY!$B$5:$B$20000,$B1251,INPUT_DELAY!$C$5:$C$20000,$C1251)+SUMIFS(INPUT_DELAY!$E$5:$E$20000,INPUT_DELAY!$A$5:$A$20000,$A1251,INPUT_DELAY!$B$5:$B$20000,$B1251,INPUT_DELAY!$C$5:$C$20000,"SEMUA")&gt;=60,"Delay 60 mnt tapi ada ritase","OK"))))))</f>
        <v/>
      </c>
      <c r="P1251" s="158">
        <f>IFERROR(INDEX(MASTER_JAM!$Z$5:$AC$10,MATCH($I1251,MASTER_JAM!$Y$5:$Y$10,0),MATCH($J1251,MASTER_JAM!$Z$4:$AC$4,0))+0,0)</f>
        <v/>
      </c>
      <c r="Q1251" s="158">
        <f>IF($P1251=0,0,$P1251+IFERROR(INDEX(MASTER_JAM!$H$5:$H$94,MATCH($C1251,MASTER_JAM!$A$5:$A$94,0))+0,MASTER_JAM!$AC$15)/1000*(60/MASTER_JAM!$AC$12+60/MASTER_JAM!$AC$13)+MASTER_JAM!$AC$14)</f>
        <v/>
      </c>
      <c r="R1251" s="158">
        <f>IF(N($F1251)=0,0,$F1251/SUMIFS(INPUT_RITASE!$F$5:$F$20000,INPUT_RITASE!$A$5:$A$20000,$A1251,INPUT_RITASE!$B$5:$B$20000,$B1251,INPUT_RITASE!$C$5:$C$20000,$C1251,INPUT_RITASE!$D$5:$D$20000,$D1251))</f>
        <v/>
      </c>
      <c r="S1251" s="158">
        <f>IF($Q1251=0,0,$R1251*$P1251/$Q1251)</f>
        <v/>
      </c>
    </row>
    <row r="1252">
      <c r="A1252" s="155" t="n">
        <v>46108</v>
      </c>
      <c r="B1252" s="156" t="inlineStr">
        <is>
          <t>09-10</t>
        </is>
      </c>
      <c r="C1252" s="156" t="inlineStr">
        <is>
          <t>EX-755</t>
        </is>
      </c>
      <c r="D1252" s="156" t="inlineStr">
        <is>
          <t>DT-508</t>
        </is>
      </c>
      <c r="E1252" s="156" t="inlineStr">
        <is>
          <t>OB</t>
        </is>
      </c>
      <c r="F1252" s="156" t="n">
        <v>4</v>
      </c>
      <c r="G1252" s="156" t="inlineStr"/>
      <c r="H1252" s="157">
        <f>IF($B1252="","",IF(ISNA(MATCH($B1252,MASTER_JAM!$Q$5:$Q$28,0)),"?",IF(MATCH($B1252,MASTER_JAM!$Q$5:$Q$28,0)&lt;=12,"DS","NS")))</f>
        <v/>
      </c>
      <c r="I1252" s="157">
        <f>IFERROR(INDEX(MASTER_JAM!$B$5:$B$94,MATCH($C1252,MASTER_JAM!$A$5:$A$94,0)),"")</f>
        <v/>
      </c>
      <c r="J1252" s="157">
        <f>IFERROR(INDEX(MASTER_JAM!$E$5:$E$94,MATCH($D1252,MASTER_JAM!$A$5:$A$94,0)),"")</f>
        <v/>
      </c>
      <c r="K1252" s="158">
        <f>IFERROR(INDEX(MASTER_JAM!$J$5:$O$12,MATCH($E1252,MASTER_JAM!$I$5:$I$12,0),MATCH($J1252,MASTER_JAM!$J$4:$O$4,0))+0,0)</f>
        <v/>
      </c>
      <c r="L1252" s="159">
        <f>N($F1252)*$K1252</f>
        <v/>
      </c>
      <c r="M1252" s="157">
        <f>IF($E1252="","",IF(OR($E1252="Coal",$E1252="Dirty Coal"),"MT","BCM"))</f>
        <v/>
      </c>
      <c r="N1252" s="157">
        <f>IF($E1252="","",IF(OR($E1252="Coal",$E1252="Dirty Coal"),"Coal","OB"))</f>
        <v/>
      </c>
      <c r="O1252" s="157">
        <f>IF($F1252="","",IF(COUNTIF(MASTER_JAM!$A$5:$A$94,$C1252)=0,"Digger tidak dikenal",IF($J1252="","Hauler tidak dikenal",IF($H1252="?","Jam salah",IF($K1252=0,"Faktor kosong",IF(SUMIFS(INPUT_DELAY!$E$5:$E$20000,INPUT_DELAY!$A$5:$A$20000,$A1252,INPUT_DELAY!$B$5:$B$20000,$B1252,INPUT_DELAY!$C$5:$C$20000,$C1252)+SUMIFS(INPUT_DELAY!$E$5:$E$20000,INPUT_DELAY!$A$5:$A$20000,$A1252,INPUT_DELAY!$B$5:$B$20000,$B1252,INPUT_DELAY!$C$5:$C$20000,"SEMUA")&gt;=60,"Delay 60 mnt tapi ada ritase","OK"))))))</f>
        <v/>
      </c>
      <c r="P1252" s="158">
        <f>IFERROR(INDEX(MASTER_JAM!$Z$5:$AC$10,MATCH($I1252,MASTER_JAM!$Y$5:$Y$10,0),MATCH($J1252,MASTER_JAM!$Z$4:$AC$4,0))+0,0)</f>
        <v/>
      </c>
      <c r="Q1252" s="158">
        <f>IF($P1252=0,0,$P1252+IFERROR(INDEX(MASTER_JAM!$H$5:$H$94,MATCH($C1252,MASTER_JAM!$A$5:$A$94,0))+0,MASTER_JAM!$AC$15)/1000*(60/MASTER_JAM!$AC$12+60/MASTER_JAM!$AC$13)+MASTER_JAM!$AC$14)</f>
        <v/>
      </c>
      <c r="R1252" s="158">
        <f>IF(N($F1252)=0,0,$F1252/SUMIFS(INPUT_RITASE!$F$5:$F$20000,INPUT_RITASE!$A$5:$A$20000,$A1252,INPUT_RITASE!$B$5:$B$20000,$B1252,INPUT_RITASE!$C$5:$C$20000,$C1252,INPUT_RITASE!$D$5:$D$20000,$D1252))</f>
        <v/>
      </c>
      <c r="S1252" s="158">
        <f>IF($Q1252=0,0,$R1252*$P1252/$Q1252)</f>
        <v/>
      </c>
    </row>
    <row r="1253">
      <c r="A1253" s="155" t="n">
        <v>46108</v>
      </c>
      <c r="B1253" s="156" t="inlineStr">
        <is>
          <t>09-10</t>
        </is>
      </c>
      <c r="C1253" s="156" t="inlineStr">
        <is>
          <t>EX-755</t>
        </is>
      </c>
      <c r="D1253" s="156" t="inlineStr">
        <is>
          <t>DT-518</t>
        </is>
      </c>
      <c r="E1253" s="156" t="inlineStr">
        <is>
          <t>OB</t>
        </is>
      </c>
      <c r="F1253" s="156" t="n">
        <v>4</v>
      </c>
      <c r="G1253" s="156" t="inlineStr"/>
      <c r="H1253" s="157">
        <f>IF($B1253="","",IF(ISNA(MATCH($B1253,MASTER_JAM!$Q$5:$Q$28,0)),"?",IF(MATCH($B1253,MASTER_JAM!$Q$5:$Q$28,0)&lt;=12,"DS","NS")))</f>
        <v/>
      </c>
      <c r="I1253" s="157">
        <f>IFERROR(INDEX(MASTER_JAM!$B$5:$B$94,MATCH($C1253,MASTER_JAM!$A$5:$A$94,0)),"")</f>
        <v/>
      </c>
      <c r="J1253" s="157">
        <f>IFERROR(INDEX(MASTER_JAM!$E$5:$E$94,MATCH($D1253,MASTER_JAM!$A$5:$A$94,0)),"")</f>
        <v/>
      </c>
      <c r="K1253" s="158">
        <f>IFERROR(INDEX(MASTER_JAM!$J$5:$O$12,MATCH($E1253,MASTER_JAM!$I$5:$I$12,0),MATCH($J1253,MASTER_JAM!$J$4:$O$4,0))+0,0)</f>
        <v/>
      </c>
      <c r="L1253" s="159">
        <f>N($F1253)*$K1253</f>
        <v/>
      </c>
      <c r="M1253" s="157">
        <f>IF($E1253="","",IF(OR($E1253="Coal",$E1253="Dirty Coal"),"MT","BCM"))</f>
        <v/>
      </c>
      <c r="N1253" s="157">
        <f>IF($E1253="","",IF(OR($E1253="Coal",$E1253="Dirty Coal"),"Coal","OB"))</f>
        <v/>
      </c>
      <c r="O1253" s="157">
        <f>IF($F1253="","",IF(COUNTIF(MASTER_JAM!$A$5:$A$94,$C1253)=0,"Digger tidak dikenal",IF($J1253="","Hauler tidak dikenal",IF($H1253="?","Jam salah",IF($K1253=0,"Faktor kosong",IF(SUMIFS(INPUT_DELAY!$E$5:$E$20000,INPUT_DELAY!$A$5:$A$20000,$A1253,INPUT_DELAY!$B$5:$B$20000,$B1253,INPUT_DELAY!$C$5:$C$20000,$C1253)+SUMIFS(INPUT_DELAY!$E$5:$E$20000,INPUT_DELAY!$A$5:$A$20000,$A1253,INPUT_DELAY!$B$5:$B$20000,$B1253,INPUT_DELAY!$C$5:$C$20000,"SEMUA")&gt;=60,"Delay 60 mnt tapi ada ritase","OK"))))))</f>
        <v/>
      </c>
      <c r="P1253" s="158">
        <f>IFERROR(INDEX(MASTER_JAM!$Z$5:$AC$10,MATCH($I1253,MASTER_JAM!$Y$5:$Y$10,0),MATCH($J1253,MASTER_JAM!$Z$4:$AC$4,0))+0,0)</f>
        <v/>
      </c>
      <c r="Q1253" s="158">
        <f>IF($P1253=0,0,$P1253+IFERROR(INDEX(MASTER_JAM!$H$5:$H$94,MATCH($C1253,MASTER_JAM!$A$5:$A$94,0))+0,MASTER_JAM!$AC$15)/1000*(60/MASTER_JAM!$AC$12+60/MASTER_JAM!$AC$13)+MASTER_JAM!$AC$14)</f>
        <v/>
      </c>
      <c r="R1253" s="158">
        <f>IF(N($F1253)=0,0,$F1253/SUMIFS(INPUT_RITASE!$F$5:$F$20000,INPUT_RITASE!$A$5:$A$20000,$A1253,INPUT_RITASE!$B$5:$B$20000,$B1253,INPUT_RITASE!$C$5:$C$20000,$C1253,INPUT_RITASE!$D$5:$D$20000,$D1253))</f>
        <v/>
      </c>
      <c r="S1253" s="158">
        <f>IF($Q1253=0,0,$R1253*$P1253/$Q1253)</f>
        <v/>
      </c>
    </row>
    <row r="1254">
      <c r="A1254" s="155" t="n">
        <v>46108</v>
      </c>
      <c r="B1254" s="156" t="inlineStr">
        <is>
          <t>09-10</t>
        </is>
      </c>
      <c r="C1254" s="156" t="inlineStr">
        <is>
          <t>EX-755</t>
        </is>
      </c>
      <c r="D1254" s="156" t="inlineStr">
        <is>
          <t>DT-502</t>
        </is>
      </c>
      <c r="E1254" s="156" t="inlineStr">
        <is>
          <t>OB</t>
        </is>
      </c>
      <c r="F1254" s="156" t="n">
        <v>3</v>
      </c>
      <c r="G1254" s="156" t="inlineStr"/>
      <c r="H1254" s="157">
        <f>IF($B1254="","",IF(ISNA(MATCH($B1254,MASTER_JAM!$Q$5:$Q$28,0)),"?",IF(MATCH($B1254,MASTER_JAM!$Q$5:$Q$28,0)&lt;=12,"DS","NS")))</f>
        <v/>
      </c>
      <c r="I1254" s="157">
        <f>IFERROR(INDEX(MASTER_JAM!$B$5:$B$94,MATCH($C1254,MASTER_JAM!$A$5:$A$94,0)),"")</f>
        <v/>
      </c>
      <c r="J1254" s="157">
        <f>IFERROR(INDEX(MASTER_JAM!$E$5:$E$94,MATCH($D1254,MASTER_JAM!$A$5:$A$94,0)),"")</f>
        <v/>
      </c>
      <c r="K1254" s="158">
        <f>IFERROR(INDEX(MASTER_JAM!$J$5:$O$12,MATCH($E1254,MASTER_JAM!$I$5:$I$12,0),MATCH($J1254,MASTER_JAM!$J$4:$O$4,0))+0,0)</f>
        <v/>
      </c>
      <c r="L1254" s="159">
        <f>N($F1254)*$K1254</f>
        <v/>
      </c>
      <c r="M1254" s="157">
        <f>IF($E1254="","",IF(OR($E1254="Coal",$E1254="Dirty Coal"),"MT","BCM"))</f>
        <v/>
      </c>
      <c r="N1254" s="157">
        <f>IF($E1254="","",IF(OR($E1254="Coal",$E1254="Dirty Coal"),"Coal","OB"))</f>
        <v/>
      </c>
      <c r="O1254" s="157">
        <f>IF($F1254="","",IF(COUNTIF(MASTER_JAM!$A$5:$A$94,$C1254)=0,"Digger tidak dikenal",IF($J1254="","Hauler tidak dikenal",IF($H1254="?","Jam salah",IF($K1254=0,"Faktor kosong",IF(SUMIFS(INPUT_DELAY!$E$5:$E$20000,INPUT_DELAY!$A$5:$A$20000,$A1254,INPUT_DELAY!$B$5:$B$20000,$B1254,INPUT_DELAY!$C$5:$C$20000,$C1254)+SUMIFS(INPUT_DELAY!$E$5:$E$20000,INPUT_DELAY!$A$5:$A$20000,$A1254,INPUT_DELAY!$B$5:$B$20000,$B1254,INPUT_DELAY!$C$5:$C$20000,"SEMUA")&gt;=60,"Delay 60 mnt tapi ada ritase","OK"))))))</f>
        <v/>
      </c>
      <c r="P1254" s="158">
        <f>IFERROR(INDEX(MASTER_JAM!$Z$5:$AC$10,MATCH($I1254,MASTER_JAM!$Y$5:$Y$10,0),MATCH($J1254,MASTER_JAM!$Z$4:$AC$4,0))+0,0)</f>
        <v/>
      </c>
      <c r="Q1254" s="158">
        <f>IF($P1254=0,0,$P1254+IFERROR(INDEX(MASTER_JAM!$H$5:$H$94,MATCH($C1254,MASTER_JAM!$A$5:$A$94,0))+0,MASTER_JAM!$AC$15)/1000*(60/MASTER_JAM!$AC$12+60/MASTER_JAM!$AC$13)+MASTER_JAM!$AC$14)</f>
        <v/>
      </c>
      <c r="R1254" s="158">
        <f>IF(N($F1254)=0,0,$F1254/SUMIFS(INPUT_RITASE!$F$5:$F$20000,INPUT_RITASE!$A$5:$A$20000,$A1254,INPUT_RITASE!$B$5:$B$20000,$B1254,INPUT_RITASE!$C$5:$C$20000,$C1254,INPUT_RITASE!$D$5:$D$20000,$D1254))</f>
        <v/>
      </c>
      <c r="S1254" s="158">
        <f>IF($Q1254=0,0,$R1254*$P1254/$Q1254)</f>
        <v/>
      </c>
    </row>
    <row r="1255">
      <c r="A1255" s="155" t="n">
        <v>46108</v>
      </c>
      <c r="B1255" s="156" t="inlineStr">
        <is>
          <t>09-10</t>
        </is>
      </c>
      <c r="C1255" s="156" t="inlineStr">
        <is>
          <t>EX-755</t>
        </is>
      </c>
      <c r="D1255" s="156" t="inlineStr">
        <is>
          <t>DT-528</t>
        </is>
      </c>
      <c r="E1255" s="156" t="inlineStr">
        <is>
          <t>OB</t>
        </is>
      </c>
      <c r="F1255" s="156" t="n">
        <v>3</v>
      </c>
      <c r="G1255" s="156" t="inlineStr"/>
      <c r="H1255" s="157">
        <f>IF($B1255="","",IF(ISNA(MATCH($B1255,MASTER_JAM!$Q$5:$Q$28,0)),"?",IF(MATCH($B1255,MASTER_JAM!$Q$5:$Q$28,0)&lt;=12,"DS","NS")))</f>
        <v/>
      </c>
      <c r="I1255" s="157">
        <f>IFERROR(INDEX(MASTER_JAM!$B$5:$B$94,MATCH($C1255,MASTER_JAM!$A$5:$A$94,0)),"")</f>
        <v/>
      </c>
      <c r="J1255" s="157">
        <f>IFERROR(INDEX(MASTER_JAM!$E$5:$E$94,MATCH($D1255,MASTER_JAM!$A$5:$A$94,0)),"")</f>
        <v/>
      </c>
      <c r="K1255" s="158">
        <f>IFERROR(INDEX(MASTER_JAM!$J$5:$O$12,MATCH($E1255,MASTER_JAM!$I$5:$I$12,0),MATCH($J1255,MASTER_JAM!$J$4:$O$4,0))+0,0)</f>
        <v/>
      </c>
      <c r="L1255" s="159">
        <f>N($F1255)*$K1255</f>
        <v/>
      </c>
      <c r="M1255" s="157">
        <f>IF($E1255="","",IF(OR($E1255="Coal",$E1255="Dirty Coal"),"MT","BCM"))</f>
        <v/>
      </c>
      <c r="N1255" s="157">
        <f>IF($E1255="","",IF(OR($E1255="Coal",$E1255="Dirty Coal"),"Coal","OB"))</f>
        <v/>
      </c>
      <c r="O1255" s="157">
        <f>IF($F1255="","",IF(COUNTIF(MASTER_JAM!$A$5:$A$94,$C1255)=0,"Digger tidak dikenal",IF($J1255="","Hauler tidak dikenal",IF($H1255="?","Jam salah",IF($K1255=0,"Faktor kosong",IF(SUMIFS(INPUT_DELAY!$E$5:$E$20000,INPUT_DELAY!$A$5:$A$20000,$A1255,INPUT_DELAY!$B$5:$B$20000,$B1255,INPUT_DELAY!$C$5:$C$20000,$C1255)+SUMIFS(INPUT_DELAY!$E$5:$E$20000,INPUT_DELAY!$A$5:$A$20000,$A1255,INPUT_DELAY!$B$5:$B$20000,$B1255,INPUT_DELAY!$C$5:$C$20000,"SEMUA")&gt;=60,"Delay 60 mnt tapi ada ritase","OK"))))))</f>
        <v/>
      </c>
      <c r="P1255" s="158">
        <f>IFERROR(INDEX(MASTER_JAM!$Z$5:$AC$10,MATCH($I1255,MASTER_JAM!$Y$5:$Y$10,0),MATCH($J1255,MASTER_JAM!$Z$4:$AC$4,0))+0,0)</f>
        <v/>
      </c>
      <c r="Q1255" s="158">
        <f>IF($P1255=0,0,$P1255+IFERROR(INDEX(MASTER_JAM!$H$5:$H$94,MATCH($C1255,MASTER_JAM!$A$5:$A$94,0))+0,MASTER_JAM!$AC$15)/1000*(60/MASTER_JAM!$AC$12+60/MASTER_JAM!$AC$13)+MASTER_JAM!$AC$14)</f>
        <v/>
      </c>
      <c r="R1255" s="158">
        <f>IF(N($F1255)=0,0,$F1255/SUMIFS(INPUT_RITASE!$F$5:$F$20000,INPUT_RITASE!$A$5:$A$20000,$A1255,INPUT_RITASE!$B$5:$B$20000,$B1255,INPUT_RITASE!$C$5:$C$20000,$C1255,INPUT_RITASE!$D$5:$D$20000,$D1255))</f>
        <v/>
      </c>
      <c r="S1255" s="158">
        <f>IF($Q1255=0,0,$R1255*$P1255/$Q1255)</f>
        <v/>
      </c>
    </row>
    <row r="1256">
      <c r="A1256" s="155" t="n">
        <v>46108</v>
      </c>
      <c r="B1256" s="156" t="inlineStr">
        <is>
          <t>10-11</t>
        </is>
      </c>
      <c r="C1256" s="156" t="inlineStr">
        <is>
          <t>EX-755</t>
        </is>
      </c>
      <c r="D1256" s="156" t="inlineStr">
        <is>
          <t>DT-529</t>
        </is>
      </c>
      <c r="E1256" s="156" t="inlineStr">
        <is>
          <t>OB</t>
        </is>
      </c>
      <c r="F1256" s="156" t="n">
        <v>4</v>
      </c>
      <c r="G1256" s="156" t="inlineStr"/>
      <c r="H1256" s="157">
        <f>IF($B1256="","",IF(ISNA(MATCH($B1256,MASTER_JAM!$Q$5:$Q$28,0)),"?",IF(MATCH($B1256,MASTER_JAM!$Q$5:$Q$28,0)&lt;=12,"DS","NS")))</f>
        <v/>
      </c>
      <c r="I1256" s="157">
        <f>IFERROR(INDEX(MASTER_JAM!$B$5:$B$94,MATCH($C1256,MASTER_JAM!$A$5:$A$94,0)),"")</f>
        <v/>
      </c>
      <c r="J1256" s="157">
        <f>IFERROR(INDEX(MASTER_JAM!$E$5:$E$94,MATCH($D1256,MASTER_JAM!$A$5:$A$94,0)),"")</f>
        <v/>
      </c>
      <c r="K1256" s="158">
        <f>IFERROR(INDEX(MASTER_JAM!$J$5:$O$12,MATCH($E1256,MASTER_JAM!$I$5:$I$12,0),MATCH($J1256,MASTER_JAM!$J$4:$O$4,0))+0,0)</f>
        <v/>
      </c>
      <c r="L1256" s="159">
        <f>N($F1256)*$K1256</f>
        <v/>
      </c>
      <c r="M1256" s="157">
        <f>IF($E1256="","",IF(OR($E1256="Coal",$E1256="Dirty Coal"),"MT","BCM"))</f>
        <v/>
      </c>
      <c r="N1256" s="157">
        <f>IF($E1256="","",IF(OR($E1256="Coal",$E1256="Dirty Coal"),"Coal","OB"))</f>
        <v/>
      </c>
      <c r="O1256" s="157">
        <f>IF($F1256="","",IF(COUNTIF(MASTER_JAM!$A$5:$A$94,$C1256)=0,"Digger tidak dikenal",IF($J1256="","Hauler tidak dikenal",IF($H1256="?","Jam salah",IF($K1256=0,"Faktor kosong",IF(SUMIFS(INPUT_DELAY!$E$5:$E$20000,INPUT_DELAY!$A$5:$A$20000,$A1256,INPUT_DELAY!$B$5:$B$20000,$B1256,INPUT_DELAY!$C$5:$C$20000,$C1256)+SUMIFS(INPUT_DELAY!$E$5:$E$20000,INPUT_DELAY!$A$5:$A$20000,$A1256,INPUT_DELAY!$B$5:$B$20000,$B1256,INPUT_DELAY!$C$5:$C$20000,"SEMUA")&gt;=60,"Delay 60 mnt tapi ada ritase","OK"))))))</f>
        <v/>
      </c>
      <c r="P1256" s="158">
        <f>IFERROR(INDEX(MASTER_JAM!$Z$5:$AC$10,MATCH($I1256,MASTER_JAM!$Y$5:$Y$10,0),MATCH($J1256,MASTER_JAM!$Z$4:$AC$4,0))+0,0)</f>
        <v/>
      </c>
      <c r="Q1256" s="158">
        <f>IF($P1256=0,0,$P1256+IFERROR(INDEX(MASTER_JAM!$H$5:$H$94,MATCH($C1256,MASTER_JAM!$A$5:$A$94,0))+0,MASTER_JAM!$AC$15)/1000*(60/MASTER_JAM!$AC$12+60/MASTER_JAM!$AC$13)+MASTER_JAM!$AC$14)</f>
        <v/>
      </c>
      <c r="R1256" s="158">
        <f>IF(N($F1256)=0,0,$F1256/SUMIFS(INPUT_RITASE!$F$5:$F$20000,INPUT_RITASE!$A$5:$A$20000,$A1256,INPUT_RITASE!$B$5:$B$20000,$B1256,INPUT_RITASE!$C$5:$C$20000,$C1256,INPUT_RITASE!$D$5:$D$20000,$D1256))</f>
        <v/>
      </c>
      <c r="S1256" s="158">
        <f>IF($Q1256=0,0,$R1256*$P1256/$Q1256)</f>
        <v/>
      </c>
    </row>
    <row r="1257">
      <c r="A1257" s="155" t="n">
        <v>46108</v>
      </c>
      <c r="B1257" s="156" t="inlineStr">
        <is>
          <t>10-11</t>
        </is>
      </c>
      <c r="C1257" s="156" t="inlineStr">
        <is>
          <t>EX-755</t>
        </is>
      </c>
      <c r="D1257" s="156" t="inlineStr">
        <is>
          <t>DT-504</t>
        </is>
      </c>
      <c r="E1257" s="156" t="inlineStr">
        <is>
          <t>OB</t>
        </is>
      </c>
      <c r="F1257" s="156" t="n">
        <v>4</v>
      </c>
      <c r="G1257" s="156" t="inlineStr"/>
      <c r="H1257" s="157">
        <f>IF($B1257="","",IF(ISNA(MATCH($B1257,MASTER_JAM!$Q$5:$Q$28,0)),"?",IF(MATCH($B1257,MASTER_JAM!$Q$5:$Q$28,0)&lt;=12,"DS","NS")))</f>
        <v/>
      </c>
      <c r="I1257" s="157">
        <f>IFERROR(INDEX(MASTER_JAM!$B$5:$B$94,MATCH($C1257,MASTER_JAM!$A$5:$A$94,0)),"")</f>
        <v/>
      </c>
      <c r="J1257" s="157">
        <f>IFERROR(INDEX(MASTER_JAM!$E$5:$E$94,MATCH($D1257,MASTER_JAM!$A$5:$A$94,0)),"")</f>
        <v/>
      </c>
      <c r="K1257" s="158">
        <f>IFERROR(INDEX(MASTER_JAM!$J$5:$O$12,MATCH($E1257,MASTER_JAM!$I$5:$I$12,0),MATCH($J1257,MASTER_JAM!$J$4:$O$4,0))+0,0)</f>
        <v/>
      </c>
      <c r="L1257" s="159">
        <f>N($F1257)*$K1257</f>
        <v/>
      </c>
      <c r="M1257" s="157">
        <f>IF($E1257="","",IF(OR($E1257="Coal",$E1257="Dirty Coal"),"MT","BCM"))</f>
        <v/>
      </c>
      <c r="N1257" s="157">
        <f>IF($E1257="","",IF(OR($E1257="Coal",$E1257="Dirty Coal"),"Coal","OB"))</f>
        <v/>
      </c>
      <c r="O1257" s="157">
        <f>IF($F1257="","",IF(COUNTIF(MASTER_JAM!$A$5:$A$94,$C1257)=0,"Digger tidak dikenal",IF($J1257="","Hauler tidak dikenal",IF($H1257="?","Jam salah",IF($K1257=0,"Faktor kosong",IF(SUMIFS(INPUT_DELAY!$E$5:$E$20000,INPUT_DELAY!$A$5:$A$20000,$A1257,INPUT_DELAY!$B$5:$B$20000,$B1257,INPUT_DELAY!$C$5:$C$20000,$C1257)+SUMIFS(INPUT_DELAY!$E$5:$E$20000,INPUT_DELAY!$A$5:$A$20000,$A1257,INPUT_DELAY!$B$5:$B$20000,$B1257,INPUT_DELAY!$C$5:$C$20000,"SEMUA")&gt;=60,"Delay 60 mnt tapi ada ritase","OK"))))))</f>
        <v/>
      </c>
      <c r="P1257" s="158">
        <f>IFERROR(INDEX(MASTER_JAM!$Z$5:$AC$10,MATCH($I1257,MASTER_JAM!$Y$5:$Y$10,0),MATCH($J1257,MASTER_JAM!$Z$4:$AC$4,0))+0,0)</f>
        <v/>
      </c>
      <c r="Q1257" s="158">
        <f>IF($P1257=0,0,$P1257+IFERROR(INDEX(MASTER_JAM!$H$5:$H$94,MATCH($C1257,MASTER_JAM!$A$5:$A$94,0))+0,MASTER_JAM!$AC$15)/1000*(60/MASTER_JAM!$AC$12+60/MASTER_JAM!$AC$13)+MASTER_JAM!$AC$14)</f>
        <v/>
      </c>
      <c r="R1257" s="158">
        <f>IF(N($F1257)=0,0,$F1257/SUMIFS(INPUT_RITASE!$F$5:$F$20000,INPUT_RITASE!$A$5:$A$20000,$A1257,INPUT_RITASE!$B$5:$B$20000,$B1257,INPUT_RITASE!$C$5:$C$20000,$C1257,INPUT_RITASE!$D$5:$D$20000,$D1257))</f>
        <v/>
      </c>
      <c r="S1257" s="158">
        <f>IF($Q1257=0,0,$R1257*$P1257/$Q1257)</f>
        <v/>
      </c>
    </row>
    <row r="1258">
      <c r="A1258" s="155" t="n">
        <v>46108</v>
      </c>
      <c r="B1258" s="156" t="inlineStr">
        <is>
          <t>10-11</t>
        </is>
      </c>
      <c r="C1258" s="156" t="inlineStr">
        <is>
          <t>EX-755</t>
        </is>
      </c>
      <c r="D1258" s="156" t="inlineStr">
        <is>
          <t>DT-514</t>
        </is>
      </c>
      <c r="E1258" s="156" t="inlineStr">
        <is>
          <t>OB</t>
        </is>
      </c>
      <c r="F1258" s="156" t="n">
        <v>4</v>
      </c>
      <c r="G1258" s="156" t="inlineStr"/>
      <c r="H1258" s="157">
        <f>IF($B1258="","",IF(ISNA(MATCH($B1258,MASTER_JAM!$Q$5:$Q$28,0)),"?",IF(MATCH($B1258,MASTER_JAM!$Q$5:$Q$28,0)&lt;=12,"DS","NS")))</f>
        <v/>
      </c>
      <c r="I1258" s="157">
        <f>IFERROR(INDEX(MASTER_JAM!$B$5:$B$94,MATCH($C1258,MASTER_JAM!$A$5:$A$94,0)),"")</f>
        <v/>
      </c>
      <c r="J1258" s="157">
        <f>IFERROR(INDEX(MASTER_JAM!$E$5:$E$94,MATCH($D1258,MASTER_JAM!$A$5:$A$94,0)),"")</f>
        <v/>
      </c>
      <c r="K1258" s="158">
        <f>IFERROR(INDEX(MASTER_JAM!$J$5:$O$12,MATCH($E1258,MASTER_JAM!$I$5:$I$12,0),MATCH($J1258,MASTER_JAM!$J$4:$O$4,0))+0,0)</f>
        <v/>
      </c>
      <c r="L1258" s="159">
        <f>N($F1258)*$K1258</f>
        <v/>
      </c>
      <c r="M1258" s="157">
        <f>IF($E1258="","",IF(OR($E1258="Coal",$E1258="Dirty Coal"),"MT","BCM"))</f>
        <v/>
      </c>
      <c r="N1258" s="157">
        <f>IF($E1258="","",IF(OR($E1258="Coal",$E1258="Dirty Coal"),"Coal","OB"))</f>
        <v/>
      </c>
      <c r="O1258" s="157">
        <f>IF($F1258="","",IF(COUNTIF(MASTER_JAM!$A$5:$A$94,$C1258)=0,"Digger tidak dikenal",IF($J1258="","Hauler tidak dikenal",IF($H1258="?","Jam salah",IF($K1258=0,"Faktor kosong",IF(SUMIFS(INPUT_DELAY!$E$5:$E$20000,INPUT_DELAY!$A$5:$A$20000,$A1258,INPUT_DELAY!$B$5:$B$20000,$B1258,INPUT_DELAY!$C$5:$C$20000,$C1258)+SUMIFS(INPUT_DELAY!$E$5:$E$20000,INPUT_DELAY!$A$5:$A$20000,$A1258,INPUT_DELAY!$B$5:$B$20000,$B1258,INPUT_DELAY!$C$5:$C$20000,"SEMUA")&gt;=60,"Delay 60 mnt tapi ada ritase","OK"))))))</f>
        <v/>
      </c>
      <c r="P1258" s="158">
        <f>IFERROR(INDEX(MASTER_JAM!$Z$5:$AC$10,MATCH($I1258,MASTER_JAM!$Y$5:$Y$10,0),MATCH($J1258,MASTER_JAM!$Z$4:$AC$4,0))+0,0)</f>
        <v/>
      </c>
      <c r="Q1258" s="158">
        <f>IF($P1258=0,0,$P1258+IFERROR(INDEX(MASTER_JAM!$H$5:$H$94,MATCH($C1258,MASTER_JAM!$A$5:$A$94,0))+0,MASTER_JAM!$AC$15)/1000*(60/MASTER_JAM!$AC$12+60/MASTER_JAM!$AC$13)+MASTER_JAM!$AC$14)</f>
        <v/>
      </c>
      <c r="R1258" s="158">
        <f>IF(N($F1258)=0,0,$F1258/SUMIFS(INPUT_RITASE!$F$5:$F$20000,INPUT_RITASE!$A$5:$A$20000,$A1258,INPUT_RITASE!$B$5:$B$20000,$B1258,INPUT_RITASE!$C$5:$C$20000,$C1258,INPUT_RITASE!$D$5:$D$20000,$D1258))</f>
        <v/>
      </c>
      <c r="S1258" s="158">
        <f>IF($Q1258=0,0,$R1258*$P1258/$Q1258)</f>
        <v/>
      </c>
    </row>
    <row r="1259">
      <c r="A1259" s="155" t="n">
        <v>46108</v>
      </c>
      <c r="B1259" s="156" t="inlineStr">
        <is>
          <t>10-11</t>
        </is>
      </c>
      <c r="C1259" s="156" t="inlineStr">
        <is>
          <t>EX-755</t>
        </is>
      </c>
      <c r="D1259" s="156" t="inlineStr">
        <is>
          <t>DT-505</t>
        </is>
      </c>
      <c r="E1259" s="156" t="inlineStr">
        <is>
          <t>OB</t>
        </is>
      </c>
      <c r="F1259" s="156" t="n">
        <v>3</v>
      </c>
      <c r="G1259" s="156" t="inlineStr"/>
      <c r="H1259" s="157">
        <f>IF($B1259="","",IF(ISNA(MATCH($B1259,MASTER_JAM!$Q$5:$Q$28,0)),"?",IF(MATCH($B1259,MASTER_JAM!$Q$5:$Q$28,0)&lt;=12,"DS","NS")))</f>
        <v/>
      </c>
      <c r="I1259" s="157">
        <f>IFERROR(INDEX(MASTER_JAM!$B$5:$B$94,MATCH($C1259,MASTER_JAM!$A$5:$A$94,0)),"")</f>
        <v/>
      </c>
      <c r="J1259" s="157">
        <f>IFERROR(INDEX(MASTER_JAM!$E$5:$E$94,MATCH($D1259,MASTER_JAM!$A$5:$A$94,0)),"")</f>
        <v/>
      </c>
      <c r="K1259" s="158">
        <f>IFERROR(INDEX(MASTER_JAM!$J$5:$O$12,MATCH($E1259,MASTER_JAM!$I$5:$I$12,0),MATCH($J1259,MASTER_JAM!$J$4:$O$4,0))+0,0)</f>
        <v/>
      </c>
      <c r="L1259" s="159">
        <f>N($F1259)*$K1259</f>
        <v/>
      </c>
      <c r="M1259" s="157">
        <f>IF($E1259="","",IF(OR($E1259="Coal",$E1259="Dirty Coal"),"MT","BCM"))</f>
        <v/>
      </c>
      <c r="N1259" s="157">
        <f>IF($E1259="","",IF(OR($E1259="Coal",$E1259="Dirty Coal"),"Coal","OB"))</f>
        <v/>
      </c>
      <c r="O1259" s="157">
        <f>IF($F1259="","",IF(COUNTIF(MASTER_JAM!$A$5:$A$94,$C1259)=0,"Digger tidak dikenal",IF($J1259="","Hauler tidak dikenal",IF($H1259="?","Jam salah",IF($K1259=0,"Faktor kosong",IF(SUMIFS(INPUT_DELAY!$E$5:$E$20000,INPUT_DELAY!$A$5:$A$20000,$A1259,INPUT_DELAY!$B$5:$B$20000,$B1259,INPUT_DELAY!$C$5:$C$20000,$C1259)+SUMIFS(INPUT_DELAY!$E$5:$E$20000,INPUT_DELAY!$A$5:$A$20000,$A1259,INPUT_DELAY!$B$5:$B$20000,$B1259,INPUT_DELAY!$C$5:$C$20000,"SEMUA")&gt;=60,"Delay 60 mnt tapi ada ritase","OK"))))))</f>
        <v/>
      </c>
      <c r="P1259" s="158">
        <f>IFERROR(INDEX(MASTER_JAM!$Z$5:$AC$10,MATCH($I1259,MASTER_JAM!$Y$5:$Y$10,0),MATCH($J1259,MASTER_JAM!$Z$4:$AC$4,0))+0,0)</f>
        <v/>
      </c>
      <c r="Q1259" s="158">
        <f>IF($P1259=0,0,$P1259+IFERROR(INDEX(MASTER_JAM!$H$5:$H$94,MATCH($C1259,MASTER_JAM!$A$5:$A$94,0))+0,MASTER_JAM!$AC$15)/1000*(60/MASTER_JAM!$AC$12+60/MASTER_JAM!$AC$13)+MASTER_JAM!$AC$14)</f>
        <v/>
      </c>
      <c r="R1259" s="158">
        <f>IF(N($F1259)=0,0,$F1259/SUMIFS(INPUT_RITASE!$F$5:$F$20000,INPUT_RITASE!$A$5:$A$20000,$A1259,INPUT_RITASE!$B$5:$B$20000,$B1259,INPUT_RITASE!$C$5:$C$20000,$C1259,INPUT_RITASE!$D$5:$D$20000,$D1259))</f>
        <v/>
      </c>
      <c r="S1259" s="158">
        <f>IF($Q1259=0,0,$R1259*$P1259/$Q1259)</f>
        <v/>
      </c>
    </row>
    <row r="1260">
      <c r="A1260" s="155" t="n">
        <v>46108</v>
      </c>
      <c r="B1260" s="156" t="inlineStr">
        <is>
          <t>11-12</t>
        </is>
      </c>
      <c r="C1260" s="156" t="inlineStr">
        <is>
          <t>EX-755</t>
        </is>
      </c>
      <c r="D1260" s="156" t="inlineStr">
        <is>
          <t>DT-518</t>
        </is>
      </c>
      <c r="E1260" s="156" t="inlineStr">
        <is>
          <t>OB</t>
        </is>
      </c>
      <c r="F1260" s="156" t="n">
        <v>4</v>
      </c>
      <c r="G1260" s="156" t="inlineStr"/>
      <c r="H1260" s="157">
        <f>IF($B1260="","",IF(ISNA(MATCH($B1260,MASTER_JAM!$Q$5:$Q$28,0)),"?",IF(MATCH($B1260,MASTER_JAM!$Q$5:$Q$28,0)&lt;=12,"DS","NS")))</f>
        <v/>
      </c>
      <c r="I1260" s="157">
        <f>IFERROR(INDEX(MASTER_JAM!$B$5:$B$94,MATCH($C1260,MASTER_JAM!$A$5:$A$94,0)),"")</f>
        <v/>
      </c>
      <c r="J1260" s="157">
        <f>IFERROR(INDEX(MASTER_JAM!$E$5:$E$94,MATCH($D1260,MASTER_JAM!$A$5:$A$94,0)),"")</f>
        <v/>
      </c>
      <c r="K1260" s="158">
        <f>IFERROR(INDEX(MASTER_JAM!$J$5:$O$12,MATCH($E1260,MASTER_JAM!$I$5:$I$12,0),MATCH($J1260,MASTER_JAM!$J$4:$O$4,0))+0,0)</f>
        <v/>
      </c>
      <c r="L1260" s="159">
        <f>N($F1260)*$K1260</f>
        <v/>
      </c>
      <c r="M1260" s="157">
        <f>IF($E1260="","",IF(OR($E1260="Coal",$E1260="Dirty Coal"),"MT","BCM"))</f>
        <v/>
      </c>
      <c r="N1260" s="157">
        <f>IF($E1260="","",IF(OR($E1260="Coal",$E1260="Dirty Coal"),"Coal","OB"))</f>
        <v/>
      </c>
      <c r="O1260" s="157">
        <f>IF($F1260="","",IF(COUNTIF(MASTER_JAM!$A$5:$A$94,$C1260)=0,"Digger tidak dikenal",IF($J1260="","Hauler tidak dikenal",IF($H1260="?","Jam salah",IF($K1260=0,"Faktor kosong",IF(SUMIFS(INPUT_DELAY!$E$5:$E$20000,INPUT_DELAY!$A$5:$A$20000,$A1260,INPUT_DELAY!$B$5:$B$20000,$B1260,INPUT_DELAY!$C$5:$C$20000,$C1260)+SUMIFS(INPUT_DELAY!$E$5:$E$20000,INPUT_DELAY!$A$5:$A$20000,$A1260,INPUT_DELAY!$B$5:$B$20000,$B1260,INPUT_DELAY!$C$5:$C$20000,"SEMUA")&gt;=60,"Delay 60 mnt tapi ada ritase","OK"))))))</f>
        <v/>
      </c>
      <c r="P1260" s="158">
        <f>IFERROR(INDEX(MASTER_JAM!$Z$5:$AC$10,MATCH($I1260,MASTER_JAM!$Y$5:$Y$10,0),MATCH($J1260,MASTER_JAM!$Z$4:$AC$4,0))+0,0)</f>
        <v/>
      </c>
      <c r="Q1260" s="158">
        <f>IF($P1260=0,0,$P1260+IFERROR(INDEX(MASTER_JAM!$H$5:$H$94,MATCH($C1260,MASTER_JAM!$A$5:$A$94,0))+0,MASTER_JAM!$AC$15)/1000*(60/MASTER_JAM!$AC$12+60/MASTER_JAM!$AC$13)+MASTER_JAM!$AC$14)</f>
        <v/>
      </c>
      <c r="R1260" s="158">
        <f>IF(N($F1260)=0,0,$F1260/SUMIFS(INPUT_RITASE!$F$5:$F$20000,INPUT_RITASE!$A$5:$A$20000,$A1260,INPUT_RITASE!$B$5:$B$20000,$B1260,INPUT_RITASE!$C$5:$C$20000,$C1260,INPUT_RITASE!$D$5:$D$20000,$D1260))</f>
        <v/>
      </c>
      <c r="S1260" s="158">
        <f>IF($Q1260=0,0,$R1260*$P1260/$Q1260)</f>
        <v/>
      </c>
    </row>
    <row r="1261">
      <c r="A1261" s="155" t="n">
        <v>46108</v>
      </c>
      <c r="B1261" s="156" t="inlineStr">
        <is>
          <t>11-12</t>
        </is>
      </c>
      <c r="C1261" s="156" t="inlineStr">
        <is>
          <t>EX-755</t>
        </is>
      </c>
      <c r="D1261" s="156" t="inlineStr">
        <is>
          <t>DT-527</t>
        </is>
      </c>
      <c r="E1261" s="156" t="inlineStr">
        <is>
          <t>OB</t>
        </is>
      </c>
      <c r="F1261" s="156" t="n">
        <v>4</v>
      </c>
      <c r="G1261" s="156" t="inlineStr"/>
      <c r="H1261" s="157">
        <f>IF($B1261="","",IF(ISNA(MATCH($B1261,MASTER_JAM!$Q$5:$Q$28,0)),"?",IF(MATCH($B1261,MASTER_JAM!$Q$5:$Q$28,0)&lt;=12,"DS","NS")))</f>
        <v/>
      </c>
      <c r="I1261" s="157">
        <f>IFERROR(INDEX(MASTER_JAM!$B$5:$B$94,MATCH($C1261,MASTER_JAM!$A$5:$A$94,0)),"")</f>
        <v/>
      </c>
      <c r="J1261" s="157">
        <f>IFERROR(INDEX(MASTER_JAM!$E$5:$E$94,MATCH($D1261,MASTER_JAM!$A$5:$A$94,0)),"")</f>
        <v/>
      </c>
      <c r="K1261" s="158">
        <f>IFERROR(INDEX(MASTER_JAM!$J$5:$O$12,MATCH($E1261,MASTER_JAM!$I$5:$I$12,0),MATCH($J1261,MASTER_JAM!$J$4:$O$4,0))+0,0)</f>
        <v/>
      </c>
      <c r="L1261" s="159">
        <f>N($F1261)*$K1261</f>
        <v/>
      </c>
      <c r="M1261" s="157">
        <f>IF($E1261="","",IF(OR($E1261="Coal",$E1261="Dirty Coal"),"MT","BCM"))</f>
        <v/>
      </c>
      <c r="N1261" s="157">
        <f>IF($E1261="","",IF(OR($E1261="Coal",$E1261="Dirty Coal"),"Coal","OB"))</f>
        <v/>
      </c>
      <c r="O1261" s="157">
        <f>IF($F1261="","",IF(COUNTIF(MASTER_JAM!$A$5:$A$94,$C1261)=0,"Digger tidak dikenal",IF($J1261="","Hauler tidak dikenal",IF($H1261="?","Jam salah",IF($K1261=0,"Faktor kosong",IF(SUMIFS(INPUT_DELAY!$E$5:$E$20000,INPUT_DELAY!$A$5:$A$20000,$A1261,INPUT_DELAY!$B$5:$B$20000,$B1261,INPUT_DELAY!$C$5:$C$20000,$C1261)+SUMIFS(INPUT_DELAY!$E$5:$E$20000,INPUT_DELAY!$A$5:$A$20000,$A1261,INPUT_DELAY!$B$5:$B$20000,$B1261,INPUT_DELAY!$C$5:$C$20000,"SEMUA")&gt;=60,"Delay 60 mnt tapi ada ritase","OK"))))))</f>
        <v/>
      </c>
      <c r="P1261" s="158">
        <f>IFERROR(INDEX(MASTER_JAM!$Z$5:$AC$10,MATCH($I1261,MASTER_JAM!$Y$5:$Y$10,0),MATCH($J1261,MASTER_JAM!$Z$4:$AC$4,0))+0,0)</f>
        <v/>
      </c>
      <c r="Q1261" s="158">
        <f>IF($P1261=0,0,$P1261+IFERROR(INDEX(MASTER_JAM!$H$5:$H$94,MATCH($C1261,MASTER_JAM!$A$5:$A$94,0))+0,MASTER_JAM!$AC$15)/1000*(60/MASTER_JAM!$AC$12+60/MASTER_JAM!$AC$13)+MASTER_JAM!$AC$14)</f>
        <v/>
      </c>
      <c r="R1261" s="158">
        <f>IF(N($F1261)=0,0,$F1261/SUMIFS(INPUT_RITASE!$F$5:$F$20000,INPUT_RITASE!$A$5:$A$20000,$A1261,INPUT_RITASE!$B$5:$B$20000,$B1261,INPUT_RITASE!$C$5:$C$20000,$C1261,INPUT_RITASE!$D$5:$D$20000,$D1261))</f>
        <v/>
      </c>
      <c r="S1261" s="158">
        <f>IF($Q1261=0,0,$R1261*$P1261/$Q1261)</f>
        <v/>
      </c>
    </row>
    <row r="1262">
      <c r="A1262" s="155" t="n">
        <v>46108</v>
      </c>
      <c r="B1262" s="156" t="inlineStr">
        <is>
          <t>11-12</t>
        </is>
      </c>
      <c r="C1262" s="156" t="inlineStr">
        <is>
          <t>EX-755</t>
        </is>
      </c>
      <c r="D1262" s="156" t="inlineStr">
        <is>
          <t>DT-523</t>
        </is>
      </c>
      <c r="E1262" s="156" t="inlineStr">
        <is>
          <t>OB</t>
        </is>
      </c>
      <c r="F1262" s="156" t="n">
        <v>4</v>
      </c>
      <c r="G1262" s="156" t="inlineStr"/>
      <c r="H1262" s="157">
        <f>IF($B1262="","",IF(ISNA(MATCH($B1262,MASTER_JAM!$Q$5:$Q$28,0)),"?",IF(MATCH($B1262,MASTER_JAM!$Q$5:$Q$28,0)&lt;=12,"DS","NS")))</f>
        <v/>
      </c>
      <c r="I1262" s="157">
        <f>IFERROR(INDEX(MASTER_JAM!$B$5:$B$94,MATCH($C1262,MASTER_JAM!$A$5:$A$94,0)),"")</f>
        <v/>
      </c>
      <c r="J1262" s="157">
        <f>IFERROR(INDEX(MASTER_JAM!$E$5:$E$94,MATCH($D1262,MASTER_JAM!$A$5:$A$94,0)),"")</f>
        <v/>
      </c>
      <c r="K1262" s="158">
        <f>IFERROR(INDEX(MASTER_JAM!$J$5:$O$12,MATCH($E1262,MASTER_JAM!$I$5:$I$12,0),MATCH($J1262,MASTER_JAM!$J$4:$O$4,0))+0,0)</f>
        <v/>
      </c>
      <c r="L1262" s="159">
        <f>N($F1262)*$K1262</f>
        <v/>
      </c>
      <c r="M1262" s="157">
        <f>IF($E1262="","",IF(OR($E1262="Coal",$E1262="Dirty Coal"),"MT","BCM"))</f>
        <v/>
      </c>
      <c r="N1262" s="157">
        <f>IF($E1262="","",IF(OR($E1262="Coal",$E1262="Dirty Coal"),"Coal","OB"))</f>
        <v/>
      </c>
      <c r="O1262" s="157">
        <f>IF($F1262="","",IF(COUNTIF(MASTER_JAM!$A$5:$A$94,$C1262)=0,"Digger tidak dikenal",IF($J1262="","Hauler tidak dikenal",IF($H1262="?","Jam salah",IF($K1262=0,"Faktor kosong",IF(SUMIFS(INPUT_DELAY!$E$5:$E$20000,INPUT_DELAY!$A$5:$A$20000,$A1262,INPUT_DELAY!$B$5:$B$20000,$B1262,INPUT_DELAY!$C$5:$C$20000,$C1262)+SUMIFS(INPUT_DELAY!$E$5:$E$20000,INPUT_DELAY!$A$5:$A$20000,$A1262,INPUT_DELAY!$B$5:$B$20000,$B1262,INPUT_DELAY!$C$5:$C$20000,"SEMUA")&gt;=60,"Delay 60 mnt tapi ada ritase","OK"))))))</f>
        <v/>
      </c>
      <c r="P1262" s="158">
        <f>IFERROR(INDEX(MASTER_JAM!$Z$5:$AC$10,MATCH($I1262,MASTER_JAM!$Y$5:$Y$10,0),MATCH($J1262,MASTER_JAM!$Z$4:$AC$4,0))+0,0)</f>
        <v/>
      </c>
      <c r="Q1262" s="158">
        <f>IF($P1262=0,0,$P1262+IFERROR(INDEX(MASTER_JAM!$H$5:$H$94,MATCH($C1262,MASTER_JAM!$A$5:$A$94,0))+0,MASTER_JAM!$AC$15)/1000*(60/MASTER_JAM!$AC$12+60/MASTER_JAM!$AC$13)+MASTER_JAM!$AC$14)</f>
        <v/>
      </c>
      <c r="R1262" s="158">
        <f>IF(N($F1262)=0,0,$F1262/SUMIFS(INPUT_RITASE!$F$5:$F$20000,INPUT_RITASE!$A$5:$A$20000,$A1262,INPUT_RITASE!$B$5:$B$20000,$B1262,INPUT_RITASE!$C$5:$C$20000,$C1262,INPUT_RITASE!$D$5:$D$20000,$D1262))</f>
        <v/>
      </c>
      <c r="S1262" s="158">
        <f>IF($Q1262=0,0,$R1262*$P1262/$Q1262)</f>
        <v/>
      </c>
    </row>
    <row r="1263">
      <c r="A1263" s="155" t="n">
        <v>46108</v>
      </c>
      <c r="B1263" s="156" t="inlineStr">
        <is>
          <t>11-12</t>
        </is>
      </c>
      <c r="C1263" s="156" t="inlineStr">
        <is>
          <t>EX-755</t>
        </is>
      </c>
      <c r="D1263" s="156" t="inlineStr">
        <is>
          <t>DT-514</t>
        </is>
      </c>
      <c r="E1263" s="156" t="inlineStr">
        <is>
          <t>OB</t>
        </is>
      </c>
      <c r="F1263" s="156" t="n">
        <v>3</v>
      </c>
      <c r="G1263" s="156" t="inlineStr"/>
      <c r="H1263" s="157">
        <f>IF($B1263="","",IF(ISNA(MATCH($B1263,MASTER_JAM!$Q$5:$Q$28,0)),"?",IF(MATCH($B1263,MASTER_JAM!$Q$5:$Q$28,0)&lt;=12,"DS","NS")))</f>
        <v/>
      </c>
      <c r="I1263" s="157">
        <f>IFERROR(INDEX(MASTER_JAM!$B$5:$B$94,MATCH($C1263,MASTER_JAM!$A$5:$A$94,0)),"")</f>
        <v/>
      </c>
      <c r="J1263" s="157">
        <f>IFERROR(INDEX(MASTER_JAM!$E$5:$E$94,MATCH($D1263,MASTER_JAM!$A$5:$A$94,0)),"")</f>
        <v/>
      </c>
      <c r="K1263" s="158">
        <f>IFERROR(INDEX(MASTER_JAM!$J$5:$O$12,MATCH($E1263,MASTER_JAM!$I$5:$I$12,0),MATCH($J1263,MASTER_JAM!$J$4:$O$4,0))+0,0)</f>
        <v/>
      </c>
      <c r="L1263" s="159">
        <f>N($F1263)*$K1263</f>
        <v/>
      </c>
      <c r="M1263" s="157">
        <f>IF($E1263="","",IF(OR($E1263="Coal",$E1263="Dirty Coal"),"MT","BCM"))</f>
        <v/>
      </c>
      <c r="N1263" s="157">
        <f>IF($E1263="","",IF(OR($E1263="Coal",$E1263="Dirty Coal"),"Coal","OB"))</f>
        <v/>
      </c>
      <c r="O1263" s="157">
        <f>IF($F1263="","",IF(COUNTIF(MASTER_JAM!$A$5:$A$94,$C1263)=0,"Digger tidak dikenal",IF($J1263="","Hauler tidak dikenal",IF($H1263="?","Jam salah",IF($K1263=0,"Faktor kosong",IF(SUMIFS(INPUT_DELAY!$E$5:$E$20000,INPUT_DELAY!$A$5:$A$20000,$A1263,INPUT_DELAY!$B$5:$B$20000,$B1263,INPUT_DELAY!$C$5:$C$20000,$C1263)+SUMIFS(INPUT_DELAY!$E$5:$E$20000,INPUT_DELAY!$A$5:$A$20000,$A1263,INPUT_DELAY!$B$5:$B$20000,$B1263,INPUT_DELAY!$C$5:$C$20000,"SEMUA")&gt;=60,"Delay 60 mnt tapi ada ritase","OK"))))))</f>
        <v/>
      </c>
      <c r="P1263" s="158">
        <f>IFERROR(INDEX(MASTER_JAM!$Z$5:$AC$10,MATCH($I1263,MASTER_JAM!$Y$5:$Y$10,0),MATCH($J1263,MASTER_JAM!$Z$4:$AC$4,0))+0,0)</f>
        <v/>
      </c>
      <c r="Q1263" s="158">
        <f>IF($P1263=0,0,$P1263+IFERROR(INDEX(MASTER_JAM!$H$5:$H$94,MATCH($C1263,MASTER_JAM!$A$5:$A$94,0))+0,MASTER_JAM!$AC$15)/1000*(60/MASTER_JAM!$AC$12+60/MASTER_JAM!$AC$13)+MASTER_JAM!$AC$14)</f>
        <v/>
      </c>
      <c r="R1263" s="158">
        <f>IF(N($F1263)=0,0,$F1263/SUMIFS(INPUT_RITASE!$F$5:$F$20000,INPUT_RITASE!$A$5:$A$20000,$A1263,INPUT_RITASE!$B$5:$B$20000,$B1263,INPUT_RITASE!$C$5:$C$20000,$C1263,INPUT_RITASE!$D$5:$D$20000,$D1263))</f>
        <v/>
      </c>
      <c r="S1263" s="158">
        <f>IF($Q1263=0,0,$R1263*$P1263/$Q1263)</f>
        <v/>
      </c>
    </row>
    <row r="1264">
      <c r="A1264" s="155" t="n">
        <v>46108</v>
      </c>
      <c r="B1264" s="156" t="inlineStr">
        <is>
          <t>13-14</t>
        </is>
      </c>
      <c r="C1264" s="156" t="inlineStr">
        <is>
          <t>EX-755</t>
        </is>
      </c>
      <c r="D1264" s="156" t="inlineStr">
        <is>
          <t>DT-519</t>
        </is>
      </c>
      <c r="E1264" s="156" t="inlineStr">
        <is>
          <t>OB</t>
        </is>
      </c>
      <c r="F1264" s="156" t="n">
        <v>4</v>
      </c>
      <c r="G1264" s="156" t="inlineStr"/>
      <c r="H1264" s="157">
        <f>IF($B1264="","",IF(ISNA(MATCH($B1264,MASTER_JAM!$Q$5:$Q$28,0)),"?",IF(MATCH($B1264,MASTER_JAM!$Q$5:$Q$28,0)&lt;=12,"DS","NS")))</f>
        <v/>
      </c>
      <c r="I1264" s="157">
        <f>IFERROR(INDEX(MASTER_JAM!$B$5:$B$94,MATCH($C1264,MASTER_JAM!$A$5:$A$94,0)),"")</f>
        <v/>
      </c>
      <c r="J1264" s="157">
        <f>IFERROR(INDEX(MASTER_JAM!$E$5:$E$94,MATCH($D1264,MASTER_JAM!$A$5:$A$94,0)),"")</f>
        <v/>
      </c>
      <c r="K1264" s="158">
        <f>IFERROR(INDEX(MASTER_JAM!$J$5:$O$12,MATCH($E1264,MASTER_JAM!$I$5:$I$12,0),MATCH($J1264,MASTER_JAM!$J$4:$O$4,0))+0,0)</f>
        <v/>
      </c>
      <c r="L1264" s="159">
        <f>N($F1264)*$K1264</f>
        <v/>
      </c>
      <c r="M1264" s="157">
        <f>IF($E1264="","",IF(OR($E1264="Coal",$E1264="Dirty Coal"),"MT","BCM"))</f>
        <v/>
      </c>
      <c r="N1264" s="157">
        <f>IF($E1264="","",IF(OR($E1264="Coal",$E1264="Dirty Coal"),"Coal","OB"))</f>
        <v/>
      </c>
      <c r="O1264" s="157">
        <f>IF($F1264="","",IF(COUNTIF(MASTER_JAM!$A$5:$A$94,$C1264)=0,"Digger tidak dikenal",IF($J1264="","Hauler tidak dikenal",IF($H1264="?","Jam salah",IF($K1264=0,"Faktor kosong",IF(SUMIFS(INPUT_DELAY!$E$5:$E$20000,INPUT_DELAY!$A$5:$A$20000,$A1264,INPUT_DELAY!$B$5:$B$20000,$B1264,INPUT_DELAY!$C$5:$C$20000,$C1264)+SUMIFS(INPUT_DELAY!$E$5:$E$20000,INPUT_DELAY!$A$5:$A$20000,$A1264,INPUT_DELAY!$B$5:$B$20000,$B1264,INPUT_DELAY!$C$5:$C$20000,"SEMUA")&gt;=60,"Delay 60 mnt tapi ada ritase","OK"))))))</f>
        <v/>
      </c>
      <c r="P1264" s="158">
        <f>IFERROR(INDEX(MASTER_JAM!$Z$5:$AC$10,MATCH($I1264,MASTER_JAM!$Y$5:$Y$10,0),MATCH($J1264,MASTER_JAM!$Z$4:$AC$4,0))+0,0)</f>
        <v/>
      </c>
      <c r="Q1264" s="158">
        <f>IF($P1264=0,0,$P1264+IFERROR(INDEX(MASTER_JAM!$H$5:$H$94,MATCH($C1264,MASTER_JAM!$A$5:$A$94,0))+0,MASTER_JAM!$AC$15)/1000*(60/MASTER_JAM!$AC$12+60/MASTER_JAM!$AC$13)+MASTER_JAM!$AC$14)</f>
        <v/>
      </c>
      <c r="R1264" s="158">
        <f>IF(N($F1264)=0,0,$F1264/SUMIFS(INPUT_RITASE!$F$5:$F$20000,INPUT_RITASE!$A$5:$A$20000,$A1264,INPUT_RITASE!$B$5:$B$20000,$B1264,INPUT_RITASE!$C$5:$C$20000,$C1264,INPUT_RITASE!$D$5:$D$20000,$D1264))</f>
        <v/>
      </c>
      <c r="S1264" s="158">
        <f>IF($Q1264=0,0,$R1264*$P1264/$Q1264)</f>
        <v/>
      </c>
    </row>
    <row r="1265">
      <c r="A1265" s="155" t="n">
        <v>46108</v>
      </c>
      <c r="B1265" s="156" t="inlineStr">
        <is>
          <t>13-14</t>
        </is>
      </c>
      <c r="C1265" s="156" t="inlineStr">
        <is>
          <t>EX-755</t>
        </is>
      </c>
      <c r="D1265" s="156" t="inlineStr">
        <is>
          <t>DT-517</t>
        </is>
      </c>
      <c r="E1265" s="156" t="inlineStr">
        <is>
          <t>OB</t>
        </is>
      </c>
      <c r="F1265" s="156" t="n">
        <v>4</v>
      </c>
      <c r="G1265" s="156" t="inlineStr"/>
      <c r="H1265" s="157">
        <f>IF($B1265="","",IF(ISNA(MATCH($B1265,MASTER_JAM!$Q$5:$Q$28,0)),"?",IF(MATCH($B1265,MASTER_JAM!$Q$5:$Q$28,0)&lt;=12,"DS","NS")))</f>
        <v/>
      </c>
      <c r="I1265" s="157">
        <f>IFERROR(INDEX(MASTER_JAM!$B$5:$B$94,MATCH($C1265,MASTER_JAM!$A$5:$A$94,0)),"")</f>
        <v/>
      </c>
      <c r="J1265" s="157">
        <f>IFERROR(INDEX(MASTER_JAM!$E$5:$E$94,MATCH($D1265,MASTER_JAM!$A$5:$A$94,0)),"")</f>
        <v/>
      </c>
      <c r="K1265" s="158">
        <f>IFERROR(INDEX(MASTER_JAM!$J$5:$O$12,MATCH($E1265,MASTER_JAM!$I$5:$I$12,0),MATCH($J1265,MASTER_JAM!$J$4:$O$4,0))+0,0)</f>
        <v/>
      </c>
      <c r="L1265" s="159">
        <f>N($F1265)*$K1265</f>
        <v/>
      </c>
      <c r="M1265" s="157">
        <f>IF($E1265="","",IF(OR($E1265="Coal",$E1265="Dirty Coal"),"MT","BCM"))</f>
        <v/>
      </c>
      <c r="N1265" s="157">
        <f>IF($E1265="","",IF(OR($E1265="Coal",$E1265="Dirty Coal"),"Coal","OB"))</f>
        <v/>
      </c>
      <c r="O1265" s="157">
        <f>IF($F1265="","",IF(COUNTIF(MASTER_JAM!$A$5:$A$94,$C1265)=0,"Digger tidak dikenal",IF($J1265="","Hauler tidak dikenal",IF($H1265="?","Jam salah",IF($K1265=0,"Faktor kosong",IF(SUMIFS(INPUT_DELAY!$E$5:$E$20000,INPUT_DELAY!$A$5:$A$20000,$A1265,INPUT_DELAY!$B$5:$B$20000,$B1265,INPUT_DELAY!$C$5:$C$20000,$C1265)+SUMIFS(INPUT_DELAY!$E$5:$E$20000,INPUT_DELAY!$A$5:$A$20000,$A1265,INPUT_DELAY!$B$5:$B$20000,$B1265,INPUT_DELAY!$C$5:$C$20000,"SEMUA")&gt;=60,"Delay 60 mnt tapi ada ritase","OK"))))))</f>
        <v/>
      </c>
      <c r="P1265" s="158">
        <f>IFERROR(INDEX(MASTER_JAM!$Z$5:$AC$10,MATCH($I1265,MASTER_JAM!$Y$5:$Y$10,0),MATCH($J1265,MASTER_JAM!$Z$4:$AC$4,0))+0,0)</f>
        <v/>
      </c>
      <c r="Q1265" s="158">
        <f>IF($P1265=0,0,$P1265+IFERROR(INDEX(MASTER_JAM!$H$5:$H$94,MATCH($C1265,MASTER_JAM!$A$5:$A$94,0))+0,MASTER_JAM!$AC$15)/1000*(60/MASTER_JAM!$AC$12+60/MASTER_JAM!$AC$13)+MASTER_JAM!$AC$14)</f>
        <v/>
      </c>
      <c r="R1265" s="158">
        <f>IF(N($F1265)=0,0,$F1265/SUMIFS(INPUT_RITASE!$F$5:$F$20000,INPUT_RITASE!$A$5:$A$20000,$A1265,INPUT_RITASE!$B$5:$B$20000,$B1265,INPUT_RITASE!$C$5:$C$20000,$C1265,INPUT_RITASE!$D$5:$D$20000,$D1265))</f>
        <v/>
      </c>
      <c r="S1265" s="158">
        <f>IF($Q1265=0,0,$R1265*$P1265/$Q1265)</f>
        <v/>
      </c>
    </row>
    <row r="1266">
      <c r="A1266" s="155" t="n">
        <v>46108</v>
      </c>
      <c r="B1266" s="156" t="inlineStr">
        <is>
          <t>13-14</t>
        </is>
      </c>
      <c r="C1266" s="156" t="inlineStr">
        <is>
          <t>EX-755</t>
        </is>
      </c>
      <c r="D1266" s="156" t="inlineStr">
        <is>
          <t>DT-520</t>
        </is>
      </c>
      <c r="E1266" s="156" t="inlineStr">
        <is>
          <t>OB</t>
        </is>
      </c>
      <c r="F1266" s="156" t="n">
        <v>4</v>
      </c>
      <c r="G1266" s="156" t="inlineStr"/>
      <c r="H1266" s="157">
        <f>IF($B1266="","",IF(ISNA(MATCH($B1266,MASTER_JAM!$Q$5:$Q$28,0)),"?",IF(MATCH($B1266,MASTER_JAM!$Q$5:$Q$28,0)&lt;=12,"DS","NS")))</f>
        <v/>
      </c>
      <c r="I1266" s="157">
        <f>IFERROR(INDEX(MASTER_JAM!$B$5:$B$94,MATCH($C1266,MASTER_JAM!$A$5:$A$94,0)),"")</f>
        <v/>
      </c>
      <c r="J1266" s="157">
        <f>IFERROR(INDEX(MASTER_JAM!$E$5:$E$94,MATCH($D1266,MASTER_JAM!$A$5:$A$94,0)),"")</f>
        <v/>
      </c>
      <c r="K1266" s="158">
        <f>IFERROR(INDEX(MASTER_JAM!$J$5:$O$12,MATCH($E1266,MASTER_JAM!$I$5:$I$12,0),MATCH($J1266,MASTER_JAM!$J$4:$O$4,0))+0,0)</f>
        <v/>
      </c>
      <c r="L1266" s="159">
        <f>N($F1266)*$K1266</f>
        <v/>
      </c>
      <c r="M1266" s="157">
        <f>IF($E1266="","",IF(OR($E1266="Coal",$E1266="Dirty Coal"),"MT","BCM"))</f>
        <v/>
      </c>
      <c r="N1266" s="157">
        <f>IF($E1266="","",IF(OR($E1266="Coal",$E1266="Dirty Coal"),"Coal","OB"))</f>
        <v/>
      </c>
      <c r="O1266" s="157">
        <f>IF($F1266="","",IF(COUNTIF(MASTER_JAM!$A$5:$A$94,$C1266)=0,"Digger tidak dikenal",IF($J1266="","Hauler tidak dikenal",IF($H1266="?","Jam salah",IF($K1266=0,"Faktor kosong",IF(SUMIFS(INPUT_DELAY!$E$5:$E$20000,INPUT_DELAY!$A$5:$A$20000,$A1266,INPUT_DELAY!$B$5:$B$20000,$B1266,INPUT_DELAY!$C$5:$C$20000,$C1266)+SUMIFS(INPUT_DELAY!$E$5:$E$20000,INPUT_DELAY!$A$5:$A$20000,$A1266,INPUT_DELAY!$B$5:$B$20000,$B1266,INPUT_DELAY!$C$5:$C$20000,"SEMUA")&gt;=60,"Delay 60 mnt tapi ada ritase","OK"))))))</f>
        <v/>
      </c>
      <c r="P1266" s="158">
        <f>IFERROR(INDEX(MASTER_JAM!$Z$5:$AC$10,MATCH($I1266,MASTER_JAM!$Y$5:$Y$10,0),MATCH($J1266,MASTER_JAM!$Z$4:$AC$4,0))+0,0)</f>
        <v/>
      </c>
      <c r="Q1266" s="158">
        <f>IF($P1266=0,0,$P1266+IFERROR(INDEX(MASTER_JAM!$H$5:$H$94,MATCH($C1266,MASTER_JAM!$A$5:$A$94,0))+0,MASTER_JAM!$AC$15)/1000*(60/MASTER_JAM!$AC$12+60/MASTER_JAM!$AC$13)+MASTER_JAM!$AC$14)</f>
        <v/>
      </c>
      <c r="R1266" s="158">
        <f>IF(N($F1266)=0,0,$F1266/SUMIFS(INPUT_RITASE!$F$5:$F$20000,INPUT_RITASE!$A$5:$A$20000,$A1266,INPUT_RITASE!$B$5:$B$20000,$B1266,INPUT_RITASE!$C$5:$C$20000,$C1266,INPUT_RITASE!$D$5:$D$20000,$D1266))</f>
        <v/>
      </c>
      <c r="S1266" s="158">
        <f>IF($Q1266=0,0,$R1266*$P1266/$Q1266)</f>
        <v/>
      </c>
    </row>
    <row r="1267">
      <c r="A1267" s="155" t="n">
        <v>46108</v>
      </c>
      <c r="B1267" s="156" t="inlineStr">
        <is>
          <t>13-14</t>
        </is>
      </c>
      <c r="C1267" s="156" t="inlineStr">
        <is>
          <t>EX-755</t>
        </is>
      </c>
      <c r="D1267" s="156" t="inlineStr">
        <is>
          <t>DT-503</t>
        </is>
      </c>
      <c r="E1267" s="156" t="inlineStr">
        <is>
          <t>OB</t>
        </is>
      </c>
      <c r="F1267" s="156" t="n">
        <v>4</v>
      </c>
      <c r="G1267" s="156" t="inlineStr"/>
      <c r="H1267" s="157">
        <f>IF($B1267="","",IF(ISNA(MATCH($B1267,MASTER_JAM!$Q$5:$Q$28,0)),"?",IF(MATCH($B1267,MASTER_JAM!$Q$5:$Q$28,0)&lt;=12,"DS","NS")))</f>
        <v/>
      </c>
      <c r="I1267" s="157">
        <f>IFERROR(INDEX(MASTER_JAM!$B$5:$B$94,MATCH($C1267,MASTER_JAM!$A$5:$A$94,0)),"")</f>
        <v/>
      </c>
      <c r="J1267" s="157">
        <f>IFERROR(INDEX(MASTER_JAM!$E$5:$E$94,MATCH($D1267,MASTER_JAM!$A$5:$A$94,0)),"")</f>
        <v/>
      </c>
      <c r="K1267" s="158">
        <f>IFERROR(INDEX(MASTER_JAM!$J$5:$O$12,MATCH($E1267,MASTER_JAM!$I$5:$I$12,0),MATCH($J1267,MASTER_JAM!$J$4:$O$4,0))+0,0)</f>
        <v/>
      </c>
      <c r="L1267" s="159">
        <f>N($F1267)*$K1267</f>
        <v/>
      </c>
      <c r="M1267" s="157">
        <f>IF($E1267="","",IF(OR($E1267="Coal",$E1267="Dirty Coal"),"MT","BCM"))</f>
        <v/>
      </c>
      <c r="N1267" s="157">
        <f>IF($E1267="","",IF(OR($E1267="Coal",$E1267="Dirty Coal"),"Coal","OB"))</f>
        <v/>
      </c>
      <c r="O1267" s="157">
        <f>IF($F1267="","",IF(COUNTIF(MASTER_JAM!$A$5:$A$94,$C1267)=0,"Digger tidak dikenal",IF($J1267="","Hauler tidak dikenal",IF($H1267="?","Jam salah",IF($K1267=0,"Faktor kosong",IF(SUMIFS(INPUT_DELAY!$E$5:$E$20000,INPUT_DELAY!$A$5:$A$20000,$A1267,INPUT_DELAY!$B$5:$B$20000,$B1267,INPUT_DELAY!$C$5:$C$20000,$C1267)+SUMIFS(INPUT_DELAY!$E$5:$E$20000,INPUT_DELAY!$A$5:$A$20000,$A1267,INPUT_DELAY!$B$5:$B$20000,$B1267,INPUT_DELAY!$C$5:$C$20000,"SEMUA")&gt;=60,"Delay 60 mnt tapi ada ritase","OK"))))))</f>
        <v/>
      </c>
      <c r="P1267" s="158">
        <f>IFERROR(INDEX(MASTER_JAM!$Z$5:$AC$10,MATCH($I1267,MASTER_JAM!$Y$5:$Y$10,0),MATCH($J1267,MASTER_JAM!$Z$4:$AC$4,0))+0,0)</f>
        <v/>
      </c>
      <c r="Q1267" s="158">
        <f>IF($P1267=0,0,$P1267+IFERROR(INDEX(MASTER_JAM!$H$5:$H$94,MATCH($C1267,MASTER_JAM!$A$5:$A$94,0))+0,MASTER_JAM!$AC$15)/1000*(60/MASTER_JAM!$AC$12+60/MASTER_JAM!$AC$13)+MASTER_JAM!$AC$14)</f>
        <v/>
      </c>
      <c r="R1267" s="158">
        <f>IF(N($F1267)=0,0,$F1267/SUMIFS(INPUT_RITASE!$F$5:$F$20000,INPUT_RITASE!$A$5:$A$20000,$A1267,INPUT_RITASE!$B$5:$B$20000,$B1267,INPUT_RITASE!$C$5:$C$20000,$C1267,INPUT_RITASE!$D$5:$D$20000,$D1267))</f>
        <v/>
      </c>
      <c r="S1267" s="158">
        <f>IF($Q1267=0,0,$R1267*$P1267/$Q1267)</f>
        <v/>
      </c>
    </row>
    <row r="1268">
      <c r="A1268" s="155" t="n">
        <v>46108</v>
      </c>
      <c r="B1268" s="156" t="inlineStr">
        <is>
          <t>14-15</t>
        </is>
      </c>
      <c r="C1268" s="156" t="inlineStr">
        <is>
          <t>EX-755</t>
        </is>
      </c>
      <c r="D1268" s="156" t="inlineStr">
        <is>
          <t>DT-529</t>
        </is>
      </c>
      <c r="E1268" s="156" t="inlineStr">
        <is>
          <t>OB</t>
        </is>
      </c>
      <c r="F1268" s="156" t="n">
        <v>4</v>
      </c>
      <c r="G1268" s="156" t="inlineStr"/>
      <c r="H1268" s="157">
        <f>IF($B1268="","",IF(ISNA(MATCH($B1268,MASTER_JAM!$Q$5:$Q$28,0)),"?",IF(MATCH($B1268,MASTER_JAM!$Q$5:$Q$28,0)&lt;=12,"DS","NS")))</f>
        <v/>
      </c>
      <c r="I1268" s="157">
        <f>IFERROR(INDEX(MASTER_JAM!$B$5:$B$94,MATCH($C1268,MASTER_JAM!$A$5:$A$94,0)),"")</f>
        <v/>
      </c>
      <c r="J1268" s="157">
        <f>IFERROR(INDEX(MASTER_JAM!$E$5:$E$94,MATCH($D1268,MASTER_JAM!$A$5:$A$94,0)),"")</f>
        <v/>
      </c>
      <c r="K1268" s="158">
        <f>IFERROR(INDEX(MASTER_JAM!$J$5:$O$12,MATCH($E1268,MASTER_JAM!$I$5:$I$12,0),MATCH($J1268,MASTER_JAM!$J$4:$O$4,0))+0,0)</f>
        <v/>
      </c>
      <c r="L1268" s="159">
        <f>N($F1268)*$K1268</f>
        <v/>
      </c>
      <c r="M1268" s="157">
        <f>IF($E1268="","",IF(OR($E1268="Coal",$E1268="Dirty Coal"),"MT","BCM"))</f>
        <v/>
      </c>
      <c r="N1268" s="157">
        <f>IF($E1268="","",IF(OR($E1268="Coal",$E1268="Dirty Coal"),"Coal","OB"))</f>
        <v/>
      </c>
      <c r="O1268" s="157">
        <f>IF($F1268="","",IF(COUNTIF(MASTER_JAM!$A$5:$A$94,$C1268)=0,"Digger tidak dikenal",IF($J1268="","Hauler tidak dikenal",IF($H1268="?","Jam salah",IF($K1268=0,"Faktor kosong",IF(SUMIFS(INPUT_DELAY!$E$5:$E$20000,INPUT_DELAY!$A$5:$A$20000,$A1268,INPUT_DELAY!$B$5:$B$20000,$B1268,INPUT_DELAY!$C$5:$C$20000,$C1268)+SUMIFS(INPUT_DELAY!$E$5:$E$20000,INPUT_DELAY!$A$5:$A$20000,$A1268,INPUT_DELAY!$B$5:$B$20000,$B1268,INPUT_DELAY!$C$5:$C$20000,"SEMUA")&gt;=60,"Delay 60 mnt tapi ada ritase","OK"))))))</f>
        <v/>
      </c>
      <c r="P1268" s="158">
        <f>IFERROR(INDEX(MASTER_JAM!$Z$5:$AC$10,MATCH($I1268,MASTER_JAM!$Y$5:$Y$10,0),MATCH($J1268,MASTER_JAM!$Z$4:$AC$4,0))+0,0)</f>
        <v/>
      </c>
      <c r="Q1268" s="158">
        <f>IF($P1268=0,0,$P1268+IFERROR(INDEX(MASTER_JAM!$H$5:$H$94,MATCH($C1268,MASTER_JAM!$A$5:$A$94,0))+0,MASTER_JAM!$AC$15)/1000*(60/MASTER_JAM!$AC$12+60/MASTER_JAM!$AC$13)+MASTER_JAM!$AC$14)</f>
        <v/>
      </c>
      <c r="R1268" s="158">
        <f>IF(N($F1268)=0,0,$F1268/SUMIFS(INPUT_RITASE!$F$5:$F$20000,INPUT_RITASE!$A$5:$A$20000,$A1268,INPUT_RITASE!$B$5:$B$20000,$B1268,INPUT_RITASE!$C$5:$C$20000,$C1268,INPUT_RITASE!$D$5:$D$20000,$D1268))</f>
        <v/>
      </c>
      <c r="S1268" s="158">
        <f>IF($Q1268=0,0,$R1268*$P1268/$Q1268)</f>
        <v/>
      </c>
    </row>
    <row r="1269">
      <c r="A1269" s="155" t="n">
        <v>46108</v>
      </c>
      <c r="B1269" s="156" t="inlineStr">
        <is>
          <t>14-15</t>
        </is>
      </c>
      <c r="C1269" s="156" t="inlineStr">
        <is>
          <t>EX-755</t>
        </is>
      </c>
      <c r="D1269" s="156" t="inlineStr">
        <is>
          <t>DT-522</t>
        </is>
      </c>
      <c r="E1269" s="156" t="inlineStr">
        <is>
          <t>OB</t>
        </is>
      </c>
      <c r="F1269" s="156" t="n">
        <v>4</v>
      </c>
      <c r="G1269" s="156" t="inlineStr"/>
      <c r="H1269" s="157">
        <f>IF($B1269="","",IF(ISNA(MATCH($B1269,MASTER_JAM!$Q$5:$Q$28,0)),"?",IF(MATCH($B1269,MASTER_JAM!$Q$5:$Q$28,0)&lt;=12,"DS","NS")))</f>
        <v/>
      </c>
      <c r="I1269" s="157">
        <f>IFERROR(INDEX(MASTER_JAM!$B$5:$B$94,MATCH($C1269,MASTER_JAM!$A$5:$A$94,0)),"")</f>
        <v/>
      </c>
      <c r="J1269" s="157">
        <f>IFERROR(INDEX(MASTER_JAM!$E$5:$E$94,MATCH($D1269,MASTER_JAM!$A$5:$A$94,0)),"")</f>
        <v/>
      </c>
      <c r="K1269" s="158">
        <f>IFERROR(INDEX(MASTER_JAM!$J$5:$O$12,MATCH($E1269,MASTER_JAM!$I$5:$I$12,0),MATCH($J1269,MASTER_JAM!$J$4:$O$4,0))+0,0)</f>
        <v/>
      </c>
      <c r="L1269" s="159">
        <f>N($F1269)*$K1269</f>
        <v/>
      </c>
      <c r="M1269" s="157">
        <f>IF($E1269="","",IF(OR($E1269="Coal",$E1269="Dirty Coal"),"MT","BCM"))</f>
        <v/>
      </c>
      <c r="N1269" s="157">
        <f>IF($E1269="","",IF(OR($E1269="Coal",$E1269="Dirty Coal"),"Coal","OB"))</f>
        <v/>
      </c>
      <c r="O1269" s="157">
        <f>IF($F1269="","",IF(COUNTIF(MASTER_JAM!$A$5:$A$94,$C1269)=0,"Digger tidak dikenal",IF($J1269="","Hauler tidak dikenal",IF($H1269="?","Jam salah",IF($K1269=0,"Faktor kosong",IF(SUMIFS(INPUT_DELAY!$E$5:$E$20000,INPUT_DELAY!$A$5:$A$20000,$A1269,INPUT_DELAY!$B$5:$B$20000,$B1269,INPUT_DELAY!$C$5:$C$20000,$C1269)+SUMIFS(INPUT_DELAY!$E$5:$E$20000,INPUT_DELAY!$A$5:$A$20000,$A1269,INPUT_DELAY!$B$5:$B$20000,$B1269,INPUT_DELAY!$C$5:$C$20000,"SEMUA")&gt;=60,"Delay 60 mnt tapi ada ritase","OK"))))))</f>
        <v/>
      </c>
      <c r="P1269" s="158">
        <f>IFERROR(INDEX(MASTER_JAM!$Z$5:$AC$10,MATCH($I1269,MASTER_JAM!$Y$5:$Y$10,0),MATCH($J1269,MASTER_JAM!$Z$4:$AC$4,0))+0,0)</f>
        <v/>
      </c>
      <c r="Q1269" s="158">
        <f>IF($P1269=0,0,$P1269+IFERROR(INDEX(MASTER_JAM!$H$5:$H$94,MATCH($C1269,MASTER_JAM!$A$5:$A$94,0))+0,MASTER_JAM!$AC$15)/1000*(60/MASTER_JAM!$AC$12+60/MASTER_JAM!$AC$13)+MASTER_JAM!$AC$14)</f>
        <v/>
      </c>
      <c r="R1269" s="158">
        <f>IF(N($F1269)=0,0,$F1269/SUMIFS(INPUT_RITASE!$F$5:$F$20000,INPUT_RITASE!$A$5:$A$20000,$A1269,INPUT_RITASE!$B$5:$B$20000,$B1269,INPUT_RITASE!$C$5:$C$20000,$C1269,INPUT_RITASE!$D$5:$D$20000,$D1269))</f>
        <v/>
      </c>
      <c r="S1269" s="158">
        <f>IF($Q1269=0,0,$R1269*$P1269/$Q1269)</f>
        <v/>
      </c>
    </row>
    <row r="1270">
      <c r="A1270" s="155" t="n">
        <v>46108</v>
      </c>
      <c r="B1270" s="156" t="inlineStr">
        <is>
          <t>14-15</t>
        </is>
      </c>
      <c r="C1270" s="156" t="inlineStr">
        <is>
          <t>EX-755</t>
        </is>
      </c>
      <c r="D1270" s="156" t="inlineStr">
        <is>
          <t>DT-514</t>
        </is>
      </c>
      <c r="E1270" s="156" t="inlineStr">
        <is>
          <t>OB</t>
        </is>
      </c>
      <c r="F1270" s="156" t="n">
        <v>3</v>
      </c>
      <c r="G1270" s="156" t="inlineStr"/>
      <c r="H1270" s="157">
        <f>IF($B1270="","",IF(ISNA(MATCH($B1270,MASTER_JAM!$Q$5:$Q$28,0)),"?",IF(MATCH($B1270,MASTER_JAM!$Q$5:$Q$28,0)&lt;=12,"DS","NS")))</f>
        <v/>
      </c>
      <c r="I1270" s="157">
        <f>IFERROR(INDEX(MASTER_JAM!$B$5:$B$94,MATCH($C1270,MASTER_JAM!$A$5:$A$94,0)),"")</f>
        <v/>
      </c>
      <c r="J1270" s="157">
        <f>IFERROR(INDEX(MASTER_JAM!$E$5:$E$94,MATCH($D1270,MASTER_JAM!$A$5:$A$94,0)),"")</f>
        <v/>
      </c>
      <c r="K1270" s="158">
        <f>IFERROR(INDEX(MASTER_JAM!$J$5:$O$12,MATCH($E1270,MASTER_JAM!$I$5:$I$12,0),MATCH($J1270,MASTER_JAM!$J$4:$O$4,0))+0,0)</f>
        <v/>
      </c>
      <c r="L1270" s="159">
        <f>N($F1270)*$K1270</f>
        <v/>
      </c>
      <c r="M1270" s="157">
        <f>IF($E1270="","",IF(OR($E1270="Coal",$E1270="Dirty Coal"),"MT","BCM"))</f>
        <v/>
      </c>
      <c r="N1270" s="157">
        <f>IF($E1270="","",IF(OR($E1270="Coal",$E1270="Dirty Coal"),"Coal","OB"))</f>
        <v/>
      </c>
      <c r="O1270" s="157">
        <f>IF($F1270="","",IF(COUNTIF(MASTER_JAM!$A$5:$A$94,$C1270)=0,"Digger tidak dikenal",IF($J1270="","Hauler tidak dikenal",IF($H1270="?","Jam salah",IF($K1270=0,"Faktor kosong",IF(SUMIFS(INPUT_DELAY!$E$5:$E$20000,INPUT_DELAY!$A$5:$A$20000,$A1270,INPUT_DELAY!$B$5:$B$20000,$B1270,INPUT_DELAY!$C$5:$C$20000,$C1270)+SUMIFS(INPUT_DELAY!$E$5:$E$20000,INPUT_DELAY!$A$5:$A$20000,$A1270,INPUT_DELAY!$B$5:$B$20000,$B1270,INPUT_DELAY!$C$5:$C$20000,"SEMUA")&gt;=60,"Delay 60 mnt tapi ada ritase","OK"))))))</f>
        <v/>
      </c>
      <c r="P1270" s="158">
        <f>IFERROR(INDEX(MASTER_JAM!$Z$5:$AC$10,MATCH($I1270,MASTER_JAM!$Y$5:$Y$10,0),MATCH($J1270,MASTER_JAM!$Z$4:$AC$4,0))+0,0)</f>
        <v/>
      </c>
      <c r="Q1270" s="158">
        <f>IF($P1270=0,0,$P1270+IFERROR(INDEX(MASTER_JAM!$H$5:$H$94,MATCH($C1270,MASTER_JAM!$A$5:$A$94,0))+0,MASTER_JAM!$AC$15)/1000*(60/MASTER_JAM!$AC$12+60/MASTER_JAM!$AC$13)+MASTER_JAM!$AC$14)</f>
        <v/>
      </c>
      <c r="R1270" s="158">
        <f>IF(N($F1270)=0,0,$F1270/SUMIFS(INPUT_RITASE!$F$5:$F$20000,INPUT_RITASE!$A$5:$A$20000,$A1270,INPUT_RITASE!$B$5:$B$20000,$B1270,INPUT_RITASE!$C$5:$C$20000,$C1270,INPUT_RITASE!$D$5:$D$20000,$D1270))</f>
        <v/>
      </c>
      <c r="S1270" s="158">
        <f>IF($Q1270=0,0,$R1270*$P1270/$Q1270)</f>
        <v/>
      </c>
    </row>
    <row r="1271">
      <c r="A1271" s="155" t="n">
        <v>46108</v>
      </c>
      <c r="B1271" s="156" t="inlineStr">
        <is>
          <t>14-15</t>
        </is>
      </c>
      <c r="C1271" s="156" t="inlineStr">
        <is>
          <t>EX-755</t>
        </is>
      </c>
      <c r="D1271" s="156" t="inlineStr">
        <is>
          <t>DT-511</t>
        </is>
      </c>
      <c r="E1271" s="156" t="inlineStr">
        <is>
          <t>OB</t>
        </is>
      </c>
      <c r="F1271" s="156" t="n">
        <v>3</v>
      </c>
      <c r="G1271" s="156" t="inlineStr"/>
      <c r="H1271" s="157">
        <f>IF($B1271="","",IF(ISNA(MATCH($B1271,MASTER_JAM!$Q$5:$Q$28,0)),"?",IF(MATCH($B1271,MASTER_JAM!$Q$5:$Q$28,0)&lt;=12,"DS","NS")))</f>
        <v/>
      </c>
      <c r="I1271" s="157">
        <f>IFERROR(INDEX(MASTER_JAM!$B$5:$B$94,MATCH($C1271,MASTER_JAM!$A$5:$A$94,0)),"")</f>
        <v/>
      </c>
      <c r="J1271" s="157">
        <f>IFERROR(INDEX(MASTER_JAM!$E$5:$E$94,MATCH($D1271,MASTER_JAM!$A$5:$A$94,0)),"")</f>
        <v/>
      </c>
      <c r="K1271" s="158">
        <f>IFERROR(INDEX(MASTER_JAM!$J$5:$O$12,MATCH($E1271,MASTER_JAM!$I$5:$I$12,0),MATCH($J1271,MASTER_JAM!$J$4:$O$4,0))+0,0)</f>
        <v/>
      </c>
      <c r="L1271" s="159">
        <f>N($F1271)*$K1271</f>
        <v/>
      </c>
      <c r="M1271" s="157">
        <f>IF($E1271="","",IF(OR($E1271="Coal",$E1271="Dirty Coal"),"MT","BCM"))</f>
        <v/>
      </c>
      <c r="N1271" s="157">
        <f>IF($E1271="","",IF(OR($E1271="Coal",$E1271="Dirty Coal"),"Coal","OB"))</f>
        <v/>
      </c>
      <c r="O1271" s="157">
        <f>IF($F1271="","",IF(COUNTIF(MASTER_JAM!$A$5:$A$94,$C1271)=0,"Digger tidak dikenal",IF($J1271="","Hauler tidak dikenal",IF($H1271="?","Jam salah",IF($K1271=0,"Faktor kosong",IF(SUMIFS(INPUT_DELAY!$E$5:$E$20000,INPUT_DELAY!$A$5:$A$20000,$A1271,INPUT_DELAY!$B$5:$B$20000,$B1271,INPUT_DELAY!$C$5:$C$20000,$C1271)+SUMIFS(INPUT_DELAY!$E$5:$E$20000,INPUT_DELAY!$A$5:$A$20000,$A1271,INPUT_DELAY!$B$5:$B$20000,$B1271,INPUT_DELAY!$C$5:$C$20000,"SEMUA")&gt;=60,"Delay 60 mnt tapi ada ritase","OK"))))))</f>
        <v/>
      </c>
      <c r="P1271" s="158">
        <f>IFERROR(INDEX(MASTER_JAM!$Z$5:$AC$10,MATCH($I1271,MASTER_JAM!$Y$5:$Y$10,0),MATCH($J1271,MASTER_JAM!$Z$4:$AC$4,0))+0,0)</f>
        <v/>
      </c>
      <c r="Q1271" s="158">
        <f>IF($P1271=0,0,$P1271+IFERROR(INDEX(MASTER_JAM!$H$5:$H$94,MATCH($C1271,MASTER_JAM!$A$5:$A$94,0))+0,MASTER_JAM!$AC$15)/1000*(60/MASTER_JAM!$AC$12+60/MASTER_JAM!$AC$13)+MASTER_JAM!$AC$14)</f>
        <v/>
      </c>
      <c r="R1271" s="158">
        <f>IF(N($F1271)=0,0,$F1271/SUMIFS(INPUT_RITASE!$F$5:$F$20000,INPUT_RITASE!$A$5:$A$20000,$A1271,INPUT_RITASE!$B$5:$B$20000,$B1271,INPUT_RITASE!$C$5:$C$20000,$C1271,INPUT_RITASE!$D$5:$D$20000,$D1271))</f>
        <v/>
      </c>
      <c r="S1271" s="158">
        <f>IF($Q1271=0,0,$R1271*$P1271/$Q1271)</f>
        <v/>
      </c>
    </row>
    <row r="1272">
      <c r="A1272" s="155" t="n">
        <v>46108</v>
      </c>
      <c r="B1272" s="156" t="inlineStr">
        <is>
          <t>14-15</t>
        </is>
      </c>
      <c r="C1272" s="156" t="inlineStr">
        <is>
          <t>EX-755</t>
        </is>
      </c>
      <c r="D1272" s="156" t="inlineStr">
        <is>
          <t>DT-504</t>
        </is>
      </c>
      <c r="E1272" s="156" t="inlineStr">
        <is>
          <t>OB</t>
        </is>
      </c>
      <c r="F1272" s="156" t="n">
        <v>3</v>
      </c>
      <c r="G1272" s="156" t="inlineStr"/>
      <c r="H1272" s="157">
        <f>IF($B1272="","",IF(ISNA(MATCH($B1272,MASTER_JAM!$Q$5:$Q$28,0)),"?",IF(MATCH($B1272,MASTER_JAM!$Q$5:$Q$28,0)&lt;=12,"DS","NS")))</f>
        <v/>
      </c>
      <c r="I1272" s="157">
        <f>IFERROR(INDEX(MASTER_JAM!$B$5:$B$94,MATCH($C1272,MASTER_JAM!$A$5:$A$94,0)),"")</f>
        <v/>
      </c>
      <c r="J1272" s="157">
        <f>IFERROR(INDEX(MASTER_JAM!$E$5:$E$94,MATCH($D1272,MASTER_JAM!$A$5:$A$94,0)),"")</f>
        <v/>
      </c>
      <c r="K1272" s="158">
        <f>IFERROR(INDEX(MASTER_JAM!$J$5:$O$12,MATCH($E1272,MASTER_JAM!$I$5:$I$12,0),MATCH($J1272,MASTER_JAM!$J$4:$O$4,0))+0,0)</f>
        <v/>
      </c>
      <c r="L1272" s="159">
        <f>N($F1272)*$K1272</f>
        <v/>
      </c>
      <c r="M1272" s="157">
        <f>IF($E1272="","",IF(OR($E1272="Coal",$E1272="Dirty Coal"),"MT","BCM"))</f>
        <v/>
      </c>
      <c r="N1272" s="157">
        <f>IF($E1272="","",IF(OR($E1272="Coal",$E1272="Dirty Coal"),"Coal","OB"))</f>
        <v/>
      </c>
      <c r="O1272" s="157">
        <f>IF($F1272="","",IF(COUNTIF(MASTER_JAM!$A$5:$A$94,$C1272)=0,"Digger tidak dikenal",IF($J1272="","Hauler tidak dikenal",IF($H1272="?","Jam salah",IF($K1272=0,"Faktor kosong",IF(SUMIFS(INPUT_DELAY!$E$5:$E$20000,INPUT_DELAY!$A$5:$A$20000,$A1272,INPUT_DELAY!$B$5:$B$20000,$B1272,INPUT_DELAY!$C$5:$C$20000,$C1272)+SUMIFS(INPUT_DELAY!$E$5:$E$20000,INPUT_DELAY!$A$5:$A$20000,$A1272,INPUT_DELAY!$B$5:$B$20000,$B1272,INPUT_DELAY!$C$5:$C$20000,"SEMUA")&gt;=60,"Delay 60 mnt tapi ada ritase","OK"))))))</f>
        <v/>
      </c>
      <c r="P1272" s="158">
        <f>IFERROR(INDEX(MASTER_JAM!$Z$5:$AC$10,MATCH($I1272,MASTER_JAM!$Y$5:$Y$10,0),MATCH($J1272,MASTER_JAM!$Z$4:$AC$4,0))+0,0)</f>
        <v/>
      </c>
      <c r="Q1272" s="158">
        <f>IF($P1272=0,0,$P1272+IFERROR(INDEX(MASTER_JAM!$H$5:$H$94,MATCH($C1272,MASTER_JAM!$A$5:$A$94,0))+0,MASTER_JAM!$AC$15)/1000*(60/MASTER_JAM!$AC$12+60/MASTER_JAM!$AC$13)+MASTER_JAM!$AC$14)</f>
        <v/>
      </c>
      <c r="R1272" s="158">
        <f>IF(N($F1272)=0,0,$F1272/SUMIFS(INPUT_RITASE!$F$5:$F$20000,INPUT_RITASE!$A$5:$A$20000,$A1272,INPUT_RITASE!$B$5:$B$20000,$B1272,INPUT_RITASE!$C$5:$C$20000,$C1272,INPUT_RITASE!$D$5:$D$20000,$D1272))</f>
        <v/>
      </c>
      <c r="S1272" s="158">
        <f>IF($Q1272=0,0,$R1272*$P1272/$Q1272)</f>
        <v/>
      </c>
    </row>
    <row r="1273">
      <c r="A1273" s="155" t="n">
        <v>46108</v>
      </c>
      <c r="B1273" s="156" t="inlineStr">
        <is>
          <t>15-16</t>
        </is>
      </c>
      <c r="C1273" s="156" t="inlineStr">
        <is>
          <t>EX-755</t>
        </is>
      </c>
      <c r="D1273" s="156" t="inlineStr">
        <is>
          <t>DT-501</t>
        </is>
      </c>
      <c r="E1273" s="156" t="inlineStr">
        <is>
          <t>OB</t>
        </is>
      </c>
      <c r="F1273" s="156" t="n">
        <v>4</v>
      </c>
      <c r="G1273" s="156" t="inlineStr"/>
      <c r="H1273" s="157">
        <f>IF($B1273="","",IF(ISNA(MATCH($B1273,MASTER_JAM!$Q$5:$Q$28,0)),"?",IF(MATCH($B1273,MASTER_JAM!$Q$5:$Q$28,0)&lt;=12,"DS","NS")))</f>
        <v/>
      </c>
      <c r="I1273" s="157">
        <f>IFERROR(INDEX(MASTER_JAM!$B$5:$B$94,MATCH($C1273,MASTER_JAM!$A$5:$A$94,0)),"")</f>
        <v/>
      </c>
      <c r="J1273" s="157">
        <f>IFERROR(INDEX(MASTER_JAM!$E$5:$E$94,MATCH($D1273,MASTER_JAM!$A$5:$A$94,0)),"")</f>
        <v/>
      </c>
      <c r="K1273" s="158">
        <f>IFERROR(INDEX(MASTER_JAM!$J$5:$O$12,MATCH($E1273,MASTER_JAM!$I$5:$I$12,0),MATCH($J1273,MASTER_JAM!$J$4:$O$4,0))+0,0)</f>
        <v/>
      </c>
      <c r="L1273" s="159">
        <f>N($F1273)*$K1273</f>
        <v/>
      </c>
      <c r="M1273" s="157">
        <f>IF($E1273="","",IF(OR($E1273="Coal",$E1273="Dirty Coal"),"MT","BCM"))</f>
        <v/>
      </c>
      <c r="N1273" s="157">
        <f>IF($E1273="","",IF(OR($E1273="Coal",$E1273="Dirty Coal"),"Coal","OB"))</f>
        <v/>
      </c>
      <c r="O1273" s="157">
        <f>IF($F1273="","",IF(COUNTIF(MASTER_JAM!$A$5:$A$94,$C1273)=0,"Digger tidak dikenal",IF($J1273="","Hauler tidak dikenal",IF($H1273="?","Jam salah",IF($K1273=0,"Faktor kosong",IF(SUMIFS(INPUT_DELAY!$E$5:$E$20000,INPUT_DELAY!$A$5:$A$20000,$A1273,INPUT_DELAY!$B$5:$B$20000,$B1273,INPUT_DELAY!$C$5:$C$20000,$C1273)+SUMIFS(INPUT_DELAY!$E$5:$E$20000,INPUT_DELAY!$A$5:$A$20000,$A1273,INPUT_DELAY!$B$5:$B$20000,$B1273,INPUT_DELAY!$C$5:$C$20000,"SEMUA")&gt;=60,"Delay 60 mnt tapi ada ritase","OK"))))))</f>
        <v/>
      </c>
      <c r="P1273" s="158">
        <f>IFERROR(INDEX(MASTER_JAM!$Z$5:$AC$10,MATCH($I1273,MASTER_JAM!$Y$5:$Y$10,0),MATCH($J1273,MASTER_JAM!$Z$4:$AC$4,0))+0,0)</f>
        <v/>
      </c>
      <c r="Q1273" s="158">
        <f>IF($P1273=0,0,$P1273+IFERROR(INDEX(MASTER_JAM!$H$5:$H$94,MATCH($C1273,MASTER_JAM!$A$5:$A$94,0))+0,MASTER_JAM!$AC$15)/1000*(60/MASTER_JAM!$AC$12+60/MASTER_JAM!$AC$13)+MASTER_JAM!$AC$14)</f>
        <v/>
      </c>
      <c r="R1273" s="158">
        <f>IF(N($F1273)=0,0,$F1273/SUMIFS(INPUT_RITASE!$F$5:$F$20000,INPUT_RITASE!$A$5:$A$20000,$A1273,INPUT_RITASE!$B$5:$B$20000,$B1273,INPUT_RITASE!$C$5:$C$20000,$C1273,INPUT_RITASE!$D$5:$D$20000,$D1273))</f>
        <v/>
      </c>
      <c r="S1273" s="158">
        <f>IF($Q1273=0,0,$R1273*$P1273/$Q1273)</f>
        <v/>
      </c>
    </row>
    <row r="1274">
      <c r="A1274" s="155" t="n">
        <v>46108</v>
      </c>
      <c r="B1274" s="156" t="inlineStr">
        <is>
          <t>15-16</t>
        </is>
      </c>
      <c r="C1274" s="156" t="inlineStr">
        <is>
          <t>EX-755</t>
        </is>
      </c>
      <c r="D1274" s="156" t="inlineStr">
        <is>
          <t>DT-508</t>
        </is>
      </c>
      <c r="E1274" s="156" t="inlineStr">
        <is>
          <t>OB</t>
        </is>
      </c>
      <c r="F1274" s="156" t="n">
        <v>4</v>
      </c>
      <c r="G1274" s="156" t="inlineStr"/>
      <c r="H1274" s="157">
        <f>IF($B1274="","",IF(ISNA(MATCH($B1274,MASTER_JAM!$Q$5:$Q$28,0)),"?",IF(MATCH($B1274,MASTER_JAM!$Q$5:$Q$28,0)&lt;=12,"DS","NS")))</f>
        <v/>
      </c>
      <c r="I1274" s="157">
        <f>IFERROR(INDEX(MASTER_JAM!$B$5:$B$94,MATCH($C1274,MASTER_JAM!$A$5:$A$94,0)),"")</f>
        <v/>
      </c>
      <c r="J1274" s="157">
        <f>IFERROR(INDEX(MASTER_JAM!$E$5:$E$94,MATCH($D1274,MASTER_JAM!$A$5:$A$94,0)),"")</f>
        <v/>
      </c>
      <c r="K1274" s="158">
        <f>IFERROR(INDEX(MASTER_JAM!$J$5:$O$12,MATCH($E1274,MASTER_JAM!$I$5:$I$12,0),MATCH($J1274,MASTER_JAM!$J$4:$O$4,0))+0,0)</f>
        <v/>
      </c>
      <c r="L1274" s="159">
        <f>N($F1274)*$K1274</f>
        <v/>
      </c>
      <c r="M1274" s="157">
        <f>IF($E1274="","",IF(OR($E1274="Coal",$E1274="Dirty Coal"),"MT","BCM"))</f>
        <v/>
      </c>
      <c r="N1274" s="157">
        <f>IF($E1274="","",IF(OR($E1274="Coal",$E1274="Dirty Coal"),"Coal","OB"))</f>
        <v/>
      </c>
      <c r="O1274" s="157">
        <f>IF($F1274="","",IF(COUNTIF(MASTER_JAM!$A$5:$A$94,$C1274)=0,"Digger tidak dikenal",IF($J1274="","Hauler tidak dikenal",IF($H1274="?","Jam salah",IF($K1274=0,"Faktor kosong",IF(SUMIFS(INPUT_DELAY!$E$5:$E$20000,INPUT_DELAY!$A$5:$A$20000,$A1274,INPUT_DELAY!$B$5:$B$20000,$B1274,INPUT_DELAY!$C$5:$C$20000,$C1274)+SUMIFS(INPUT_DELAY!$E$5:$E$20000,INPUT_DELAY!$A$5:$A$20000,$A1274,INPUT_DELAY!$B$5:$B$20000,$B1274,INPUT_DELAY!$C$5:$C$20000,"SEMUA")&gt;=60,"Delay 60 mnt tapi ada ritase","OK"))))))</f>
        <v/>
      </c>
      <c r="P1274" s="158">
        <f>IFERROR(INDEX(MASTER_JAM!$Z$5:$AC$10,MATCH($I1274,MASTER_JAM!$Y$5:$Y$10,0),MATCH($J1274,MASTER_JAM!$Z$4:$AC$4,0))+0,0)</f>
        <v/>
      </c>
      <c r="Q1274" s="158">
        <f>IF($P1274=0,0,$P1274+IFERROR(INDEX(MASTER_JAM!$H$5:$H$94,MATCH($C1274,MASTER_JAM!$A$5:$A$94,0))+0,MASTER_JAM!$AC$15)/1000*(60/MASTER_JAM!$AC$12+60/MASTER_JAM!$AC$13)+MASTER_JAM!$AC$14)</f>
        <v/>
      </c>
      <c r="R1274" s="158">
        <f>IF(N($F1274)=0,0,$F1274/SUMIFS(INPUT_RITASE!$F$5:$F$20000,INPUT_RITASE!$A$5:$A$20000,$A1274,INPUT_RITASE!$B$5:$B$20000,$B1274,INPUT_RITASE!$C$5:$C$20000,$C1274,INPUT_RITASE!$D$5:$D$20000,$D1274))</f>
        <v/>
      </c>
      <c r="S1274" s="158">
        <f>IF($Q1274=0,0,$R1274*$P1274/$Q1274)</f>
        <v/>
      </c>
    </row>
    <row r="1275">
      <c r="A1275" s="155" t="n">
        <v>46108</v>
      </c>
      <c r="B1275" s="156" t="inlineStr">
        <is>
          <t>15-16</t>
        </is>
      </c>
      <c r="C1275" s="156" t="inlineStr">
        <is>
          <t>EX-755</t>
        </is>
      </c>
      <c r="D1275" s="156" t="inlineStr">
        <is>
          <t>DT-512</t>
        </is>
      </c>
      <c r="E1275" s="156" t="inlineStr">
        <is>
          <t>OB</t>
        </is>
      </c>
      <c r="F1275" s="156" t="n">
        <v>4</v>
      </c>
      <c r="G1275" s="156" t="inlineStr"/>
      <c r="H1275" s="157">
        <f>IF($B1275="","",IF(ISNA(MATCH($B1275,MASTER_JAM!$Q$5:$Q$28,0)),"?",IF(MATCH($B1275,MASTER_JAM!$Q$5:$Q$28,0)&lt;=12,"DS","NS")))</f>
        <v/>
      </c>
      <c r="I1275" s="157">
        <f>IFERROR(INDEX(MASTER_JAM!$B$5:$B$94,MATCH($C1275,MASTER_JAM!$A$5:$A$94,0)),"")</f>
        <v/>
      </c>
      <c r="J1275" s="157">
        <f>IFERROR(INDEX(MASTER_JAM!$E$5:$E$94,MATCH($D1275,MASTER_JAM!$A$5:$A$94,0)),"")</f>
        <v/>
      </c>
      <c r="K1275" s="158">
        <f>IFERROR(INDEX(MASTER_JAM!$J$5:$O$12,MATCH($E1275,MASTER_JAM!$I$5:$I$12,0),MATCH($J1275,MASTER_JAM!$J$4:$O$4,0))+0,0)</f>
        <v/>
      </c>
      <c r="L1275" s="159">
        <f>N($F1275)*$K1275</f>
        <v/>
      </c>
      <c r="M1275" s="157">
        <f>IF($E1275="","",IF(OR($E1275="Coal",$E1275="Dirty Coal"),"MT","BCM"))</f>
        <v/>
      </c>
      <c r="N1275" s="157">
        <f>IF($E1275="","",IF(OR($E1275="Coal",$E1275="Dirty Coal"),"Coal","OB"))</f>
        <v/>
      </c>
      <c r="O1275" s="157">
        <f>IF($F1275="","",IF(COUNTIF(MASTER_JAM!$A$5:$A$94,$C1275)=0,"Digger tidak dikenal",IF($J1275="","Hauler tidak dikenal",IF($H1275="?","Jam salah",IF($K1275=0,"Faktor kosong",IF(SUMIFS(INPUT_DELAY!$E$5:$E$20000,INPUT_DELAY!$A$5:$A$20000,$A1275,INPUT_DELAY!$B$5:$B$20000,$B1275,INPUT_DELAY!$C$5:$C$20000,$C1275)+SUMIFS(INPUT_DELAY!$E$5:$E$20000,INPUT_DELAY!$A$5:$A$20000,$A1275,INPUT_DELAY!$B$5:$B$20000,$B1275,INPUT_DELAY!$C$5:$C$20000,"SEMUA")&gt;=60,"Delay 60 mnt tapi ada ritase","OK"))))))</f>
        <v/>
      </c>
      <c r="P1275" s="158">
        <f>IFERROR(INDEX(MASTER_JAM!$Z$5:$AC$10,MATCH($I1275,MASTER_JAM!$Y$5:$Y$10,0),MATCH($J1275,MASTER_JAM!$Z$4:$AC$4,0))+0,0)</f>
        <v/>
      </c>
      <c r="Q1275" s="158">
        <f>IF($P1275=0,0,$P1275+IFERROR(INDEX(MASTER_JAM!$H$5:$H$94,MATCH($C1275,MASTER_JAM!$A$5:$A$94,0))+0,MASTER_JAM!$AC$15)/1000*(60/MASTER_JAM!$AC$12+60/MASTER_JAM!$AC$13)+MASTER_JAM!$AC$14)</f>
        <v/>
      </c>
      <c r="R1275" s="158">
        <f>IF(N($F1275)=0,0,$F1275/SUMIFS(INPUT_RITASE!$F$5:$F$20000,INPUT_RITASE!$A$5:$A$20000,$A1275,INPUT_RITASE!$B$5:$B$20000,$B1275,INPUT_RITASE!$C$5:$C$20000,$C1275,INPUT_RITASE!$D$5:$D$20000,$D1275))</f>
        <v/>
      </c>
      <c r="S1275" s="158">
        <f>IF($Q1275=0,0,$R1275*$P1275/$Q1275)</f>
        <v/>
      </c>
    </row>
    <row r="1276">
      <c r="A1276" s="155" t="n">
        <v>46108</v>
      </c>
      <c r="B1276" s="156" t="inlineStr">
        <is>
          <t>15-16</t>
        </is>
      </c>
      <c r="C1276" s="156" t="inlineStr">
        <is>
          <t>EX-755</t>
        </is>
      </c>
      <c r="D1276" s="156" t="inlineStr">
        <is>
          <t>DT-523</t>
        </is>
      </c>
      <c r="E1276" s="156" t="inlineStr">
        <is>
          <t>OB</t>
        </is>
      </c>
      <c r="F1276" s="156" t="n">
        <v>4</v>
      </c>
      <c r="G1276" s="156" t="inlineStr"/>
      <c r="H1276" s="157">
        <f>IF($B1276="","",IF(ISNA(MATCH($B1276,MASTER_JAM!$Q$5:$Q$28,0)),"?",IF(MATCH($B1276,MASTER_JAM!$Q$5:$Q$28,0)&lt;=12,"DS","NS")))</f>
        <v/>
      </c>
      <c r="I1276" s="157">
        <f>IFERROR(INDEX(MASTER_JAM!$B$5:$B$94,MATCH($C1276,MASTER_JAM!$A$5:$A$94,0)),"")</f>
        <v/>
      </c>
      <c r="J1276" s="157">
        <f>IFERROR(INDEX(MASTER_JAM!$E$5:$E$94,MATCH($D1276,MASTER_JAM!$A$5:$A$94,0)),"")</f>
        <v/>
      </c>
      <c r="K1276" s="158">
        <f>IFERROR(INDEX(MASTER_JAM!$J$5:$O$12,MATCH($E1276,MASTER_JAM!$I$5:$I$12,0),MATCH($J1276,MASTER_JAM!$J$4:$O$4,0))+0,0)</f>
        <v/>
      </c>
      <c r="L1276" s="159">
        <f>N($F1276)*$K1276</f>
        <v/>
      </c>
      <c r="M1276" s="157">
        <f>IF($E1276="","",IF(OR($E1276="Coal",$E1276="Dirty Coal"),"MT","BCM"))</f>
        <v/>
      </c>
      <c r="N1276" s="157">
        <f>IF($E1276="","",IF(OR($E1276="Coal",$E1276="Dirty Coal"),"Coal","OB"))</f>
        <v/>
      </c>
      <c r="O1276" s="157">
        <f>IF($F1276="","",IF(COUNTIF(MASTER_JAM!$A$5:$A$94,$C1276)=0,"Digger tidak dikenal",IF($J1276="","Hauler tidak dikenal",IF($H1276="?","Jam salah",IF($K1276=0,"Faktor kosong",IF(SUMIFS(INPUT_DELAY!$E$5:$E$20000,INPUT_DELAY!$A$5:$A$20000,$A1276,INPUT_DELAY!$B$5:$B$20000,$B1276,INPUT_DELAY!$C$5:$C$20000,$C1276)+SUMIFS(INPUT_DELAY!$E$5:$E$20000,INPUT_DELAY!$A$5:$A$20000,$A1276,INPUT_DELAY!$B$5:$B$20000,$B1276,INPUT_DELAY!$C$5:$C$20000,"SEMUA")&gt;=60,"Delay 60 mnt tapi ada ritase","OK"))))))</f>
        <v/>
      </c>
      <c r="P1276" s="158">
        <f>IFERROR(INDEX(MASTER_JAM!$Z$5:$AC$10,MATCH($I1276,MASTER_JAM!$Y$5:$Y$10,0),MATCH($J1276,MASTER_JAM!$Z$4:$AC$4,0))+0,0)</f>
        <v/>
      </c>
      <c r="Q1276" s="158">
        <f>IF($P1276=0,0,$P1276+IFERROR(INDEX(MASTER_JAM!$H$5:$H$94,MATCH($C1276,MASTER_JAM!$A$5:$A$94,0))+0,MASTER_JAM!$AC$15)/1000*(60/MASTER_JAM!$AC$12+60/MASTER_JAM!$AC$13)+MASTER_JAM!$AC$14)</f>
        <v/>
      </c>
      <c r="R1276" s="158">
        <f>IF(N($F1276)=0,0,$F1276/SUMIFS(INPUT_RITASE!$F$5:$F$20000,INPUT_RITASE!$A$5:$A$20000,$A1276,INPUT_RITASE!$B$5:$B$20000,$B1276,INPUT_RITASE!$C$5:$C$20000,$C1276,INPUT_RITASE!$D$5:$D$20000,$D1276))</f>
        <v/>
      </c>
      <c r="S1276" s="158">
        <f>IF($Q1276=0,0,$R1276*$P1276/$Q1276)</f>
        <v/>
      </c>
    </row>
    <row r="1277">
      <c r="A1277" s="155" t="n">
        <v>46108</v>
      </c>
      <c r="B1277" s="156" t="inlineStr">
        <is>
          <t>16-17</t>
        </is>
      </c>
      <c r="C1277" s="156" t="inlineStr">
        <is>
          <t>EX-755</t>
        </is>
      </c>
      <c r="D1277" s="156" t="inlineStr">
        <is>
          <t>DT-519</t>
        </is>
      </c>
      <c r="E1277" s="156" t="inlineStr">
        <is>
          <t>OB</t>
        </is>
      </c>
      <c r="F1277" s="156" t="n">
        <v>4</v>
      </c>
      <c r="G1277" s="156" t="inlineStr"/>
      <c r="H1277" s="157">
        <f>IF($B1277="","",IF(ISNA(MATCH($B1277,MASTER_JAM!$Q$5:$Q$28,0)),"?",IF(MATCH($B1277,MASTER_JAM!$Q$5:$Q$28,0)&lt;=12,"DS","NS")))</f>
        <v/>
      </c>
      <c r="I1277" s="157">
        <f>IFERROR(INDEX(MASTER_JAM!$B$5:$B$94,MATCH($C1277,MASTER_JAM!$A$5:$A$94,0)),"")</f>
        <v/>
      </c>
      <c r="J1277" s="157">
        <f>IFERROR(INDEX(MASTER_JAM!$E$5:$E$94,MATCH($D1277,MASTER_JAM!$A$5:$A$94,0)),"")</f>
        <v/>
      </c>
      <c r="K1277" s="158">
        <f>IFERROR(INDEX(MASTER_JAM!$J$5:$O$12,MATCH($E1277,MASTER_JAM!$I$5:$I$12,0),MATCH($J1277,MASTER_JAM!$J$4:$O$4,0))+0,0)</f>
        <v/>
      </c>
      <c r="L1277" s="159">
        <f>N($F1277)*$K1277</f>
        <v/>
      </c>
      <c r="M1277" s="157">
        <f>IF($E1277="","",IF(OR($E1277="Coal",$E1277="Dirty Coal"),"MT","BCM"))</f>
        <v/>
      </c>
      <c r="N1277" s="157">
        <f>IF($E1277="","",IF(OR($E1277="Coal",$E1277="Dirty Coal"),"Coal","OB"))</f>
        <v/>
      </c>
      <c r="O1277" s="157">
        <f>IF($F1277="","",IF(COUNTIF(MASTER_JAM!$A$5:$A$94,$C1277)=0,"Digger tidak dikenal",IF($J1277="","Hauler tidak dikenal",IF($H1277="?","Jam salah",IF($K1277=0,"Faktor kosong",IF(SUMIFS(INPUT_DELAY!$E$5:$E$20000,INPUT_DELAY!$A$5:$A$20000,$A1277,INPUT_DELAY!$B$5:$B$20000,$B1277,INPUT_DELAY!$C$5:$C$20000,$C1277)+SUMIFS(INPUT_DELAY!$E$5:$E$20000,INPUT_DELAY!$A$5:$A$20000,$A1277,INPUT_DELAY!$B$5:$B$20000,$B1277,INPUT_DELAY!$C$5:$C$20000,"SEMUA")&gt;=60,"Delay 60 mnt tapi ada ritase","OK"))))))</f>
        <v/>
      </c>
      <c r="P1277" s="158">
        <f>IFERROR(INDEX(MASTER_JAM!$Z$5:$AC$10,MATCH($I1277,MASTER_JAM!$Y$5:$Y$10,0),MATCH($J1277,MASTER_JAM!$Z$4:$AC$4,0))+0,0)</f>
        <v/>
      </c>
      <c r="Q1277" s="158">
        <f>IF($P1277=0,0,$P1277+IFERROR(INDEX(MASTER_JAM!$H$5:$H$94,MATCH($C1277,MASTER_JAM!$A$5:$A$94,0))+0,MASTER_JAM!$AC$15)/1000*(60/MASTER_JAM!$AC$12+60/MASTER_JAM!$AC$13)+MASTER_JAM!$AC$14)</f>
        <v/>
      </c>
      <c r="R1277" s="158">
        <f>IF(N($F1277)=0,0,$F1277/SUMIFS(INPUT_RITASE!$F$5:$F$20000,INPUT_RITASE!$A$5:$A$20000,$A1277,INPUT_RITASE!$B$5:$B$20000,$B1277,INPUT_RITASE!$C$5:$C$20000,$C1277,INPUT_RITASE!$D$5:$D$20000,$D1277))</f>
        <v/>
      </c>
      <c r="S1277" s="158">
        <f>IF($Q1277=0,0,$R1277*$P1277/$Q1277)</f>
        <v/>
      </c>
    </row>
    <row r="1278">
      <c r="A1278" s="155" t="n">
        <v>46108</v>
      </c>
      <c r="B1278" s="156" t="inlineStr">
        <is>
          <t>16-17</t>
        </is>
      </c>
      <c r="C1278" s="156" t="inlineStr">
        <is>
          <t>EX-755</t>
        </is>
      </c>
      <c r="D1278" s="156" t="inlineStr">
        <is>
          <t>DT-517</t>
        </is>
      </c>
      <c r="E1278" s="156" t="inlineStr">
        <is>
          <t>OB</t>
        </is>
      </c>
      <c r="F1278" s="156" t="n">
        <v>4</v>
      </c>
      <c r="G1278" s="156" t="inlineStr"/>
      <c r="H1278" s="157">
        <f>IF($B1278="","",IF(ISNA(MATCH($B1278,MASTER_JAM!$Q$5:$Q$28,0)),"?",IF(MATCH($B1278,MASTER_JAM!$Q$5:$Q$28,0)&lt;=12,"DS","NS")))</f>
        <v/>
      </c>
      <c r="I1278" s="157">
        <f>IFERROR(INDEX(MASTER_JAM!$B$5:$B$94,MATCH($C1278,MASTER_JAM!$A$5:$A$94,0)),"")</f>
        <v/>
      </c>
      <c r="J1278" s="157">
        <f>IFERROR(INDEX(MASTER_JAM!$E$5:$E$94,MATCH($D1278,MASTER_JAM!$A$5:$A$94,0)),"")</f>
        <v/>
      </c>
      <c r="K1278" s="158">
        <f>IFERROR(INDEX(MASTER_JAM!$J$5:$O$12,MATCH($E1278,MASTER_JAM!$I$5:$I$12,0),MATCH($J1278,MASTER_JAM!$J$4:$O$4,0))+0,0)</f>
        <v/>
      </c>
      <c r="L1278" s="159">
        <f>N($F1278)*$K1278</f>
        <v/>
      </c>
      <c r="M1278" s="157">
        <f>IF($E1278="","",IF(OR($E1278="Coal",$E1278="Dirty Coal"),"MT","BCM"))</f>
        <v/>
      </c>
      <c r="N1278" s="157">
        <f>IF($E1278="","",IF(OR($E1278="Coal",$E1278="Dirty Coal"),"Coal","OB"))</f>
        <v/>
      </c>
      <c r="O1278" s="157">
        <f>IF($F1278="","",IF(COUNTIF(MASTER_JAM!$A$5:$A$94,$C1278)=0,"Digger tidak dikenal",IF($J1278="","Hauler tidak dikenal",IF($H1278="?","Jam salah",IF($K1278=0,"Faktor kosong",IF(SUMIFS(INPUT_DELAY!$E$5:$E$20000,INPUT_DELAY!$A$5:$A$20000,$A1278,INPUT_DELAY!$B$5:$B$20000,$B1278,INPUT_DELAY!$C$5:$C$20000,$C1278)+SUMIFS(INPUT_DELAY!$E$5:$E$20000,INPUT_DELAY!$A$5:$A$20000,$A1278,INPUT_DELAY!$B$5:$B$20000,$B1278,INPUT_DELAY!$C$5:$C$20000,"SEMUA")&gt;=60,"Delay 60 mnt tapi ada ritase","OK"))))))</f>
        <v/>
      </c>
      <c r="P1278" s="158">
        <f>IFERROR(INDEX(MASTER_JAM!$Z$5:$AC$10,MATCH($I1278,MASTER_JAM!$Y$5:$Y$10,0),MATCH($J1278,MASTER_JAM!$Z$4:$AC$4,0))+0,0)</f>
        <v/>
      </c>
      <c r="Q1278" s="158">
        <f>IF($P1278=0,0,$P1278+IFERROR(INDEX(MASTER_JAM!$H$5:$H$94,MATCH($C1278,MASTER_JAM!$A$5:$A$94,0))+0,MASTER_JAM!$AC$15)/1000*(60/MASTER_JAM!$AC$12+60/MASTER_JAM!$AC$13)+MASTER_JAM!$AC$14)</f>
        <v/>
      </c>
      <c r="R1278" s="158">
        <f>IF(N($F1278)=0,0,$F1278/SUMIFS(INPUT_RITASE!$F$5:$F$20000,INPUT_RITASE!$A$5:$A$20000,$A1278,INPUT_RITASE!$B$5:$B$20000,$B1278,INPUT_RITASE!$C$5:$C$20000,$C1278,INPUT_RITASE!$D$5:$D$20000,$D1278))</f>
        <v/>
      </c>
      <c r="S1278" s="158">
        <f>IF($Q1278=0,0,$R1278*$P1278/$Q1278)</f>
        <v/>
      </c>
    </row>
    <row r="1279">
      <c r="A1279" s="155" t="n">
        <v>46108</v>
      </c>
      <c r="B1279" s="156" t="inlineStr">
        <is>
          <t>16-17</t>
        </is>
      </c>
      <c r="C1279" s="156" t="inlineStr">
        <is>
          <t>EX-755</t>
        </is>
      </c>
      <c r="D1279" s="156" t="inlineStr">
        <is>
          <t>DT-526</t>
        </is>
      </c>
      <c r="E1279" s="156" t="inlineStr">
        <is>
          <t>OB</t>
        </is>
      </c>
      <c r="F1279" s="156" t="n">
        <v>4</v>
      </c>
      <c r="G1279" s="156" t="inlineStr"/>
      <c r="H1279" s="157">
        <f>IF($B1279="","",IF(ISNA(MATCH($B1279,MASTER_JAM!$Q$5:$Q$28,0)),"?",IF(MATCH($B1279,MASTER_JAM!$Q$5:$Q$28,0)&lt;=12,"DS","NS")))</f>
        <v/>
      </c>
      <c r="I1279" s="157">
        <f>IFERROR(INDEX(MASTER_JAM!$B$5:$B$94,MATCH($C1279,MASTER_JAM!$A$5:$A$94,0)),"")</f>
        <v/>
      </c>
      <c r="J1279" s="157">
        <f>IFERROR(INDEX(MASTER_JAM!$E$5:$E$94,MATCH($D1279,MASTER_JAM!$A$5:$A$94,0)),"")</f>
        <v/>
      </c>
      <c r="K1279" s="158">
        <f>IFERROR(INDEX(MASTER_JAM!$J$5:$O$12,MATCH($E1279,MASTER_JAM!$I$5:$I$12,0),MATCH($J1279,MASTER_JAM!$J$4:$O$4,0))+0,0)</f>
        <v/>
      </c>
      <c r="L1279" s="159">
        <f>N($F1279)*$K1279</f>
        <v/>
      </c>
      <c r="M1279" s="157">
        <f>IF($E1279="","",IF(OR($E1279="Coal",$E1279="Dirty Coal"),"MT","BCM"))</f>
        <v/>
      </c>
      <c r="N1279" s="157">
        <f>IF($E1279="","",IF(OR($E1279="Coal",$E1279="Dirty Coal"),"Coal","OB"))</f>
        <v/>
      </c>
      <c r="O1279" s="157">
        <f>IF($F1279="","",IF(COUNTIF(MASTER_JAM!$A$5:$A$94,$C1279)=0,"Digger tidak dikenal",IF($J1279="","Hauler tidak dikenal",IF($H1279="?","Jam salah",IF($K1279=0,"Faktor kosong",IF(SUMIFS(INPUT_DELAY!$E$5:$E$20000,INPUT_DELAY!$A$5:$A$20000,$A1279,INPUT_DELAY!$B$5:$B$20000,$B1279,INPUT_DELAY!$C$5:$C$20000,$C1279)+SUMIFS(INPUT_DELAY!$E$5:$E$20000,INPUT_DELAY!$A$5:$A$20000,$A1279,INPUT_DELAY!$B$5:$B$20000,$B1279,INPUT_DELAY!$C$5:$C$20000,"SEMUA")&gt;=60,"Delay 60 mnt tapi ada ritase","OK"))))))</f>
        <v/>
      </c>
      <c r="P1279" s="158">
        <f>IFERROR(INDEX(MASTER_JAM!$Z$5:$AC$10,MATCH($I1279,MASTER_JAM!$Y$5:$Y$10,0),MATCH($J1279,MASTER_JAM!$Z$4:$AC$4,0))+0,0)</f>
        <v/>
      </c>
      <c r="Q1279" s="158">
        <f>IF($P1279=0,0,$P1279+IFERROR(INDEX(MASTER_JAM!$H$5:$H$94,MATCH($C1279,MASTER_JAM!$A$5:$A$94,0))+0,MASTER_JAM!$AC$15)/1000*(60/MASTER_JAM!$AC$12+60/MASTER_JAM!$AC$13)+MASTER_JAM!$AC$14)</f>
        <v/>
      </c>
      <c r="R1279" s="158">
        <f>IF(N($F1279)=0,0,$F1279/SUMIFS(INPUT_RITASE!$F$5:$F$20000,INPUT_RITASE!$A$5:$A$20000,$A1279,INPUT_RITASE!$B$5:$B$20000,$B1279,INPUT_RITASE!$C$5:$C$20000,$C1279,INPUT_RITASE!$D$5:$D$20000,$D1279))</f>
        <v/>
      </c>
      <c r="S1279" s="158">
        <f>IF($Q1279=0,0,$R1279*$P1279/$Q1279)</f>
        <v/>
      </c>
    </row>
    <row r="1280">
      <c r="A1280" s="155" t="n">
        <v>46108</v>
      </c>
      <c r="B1280" s="156" t="inlineStr">
        <is>
          <t>06-07</t>
        </is>
      </c>
      <c r="C1280" s="156" t="inlineStr">
        <is>
          <t>EX-753</t>
        </is>
      </c>
      <c r="D1280" s="156" t="inlineStr">
        <is>
          <t>DT-505</t>
        </is>
      </c>
      <c r="E1280" s="156" t="inlineStr">
        <is>
          <t>OB</t>
        </is>
      </c>
      <c r="F1280" s="156" t="n">
        <v>4</v>
      </c>
      <c r="G1280" s="156" t="inlineStr"/>
      <c r="H1280" s="157">
        <f>IF($B1280="","",IF(ISNA(MATCH($B1280,MASTER_JAM!$Q$5:$Q$28,0)),"?",IF(MATCH($B1280,MASTER_JAM!$Q$5:$Q$28,0)&lt;=12,"DS","NS")))</f>
        <v/>
      </c>
      <c r="I1280" s="157">
        <f>IFERROR(INDEX(MASTER_JAM!$B$5:$B$94,MATCH($C1280,MASTER_JAM!$A$5:$A$94,0)),"")</f>
        <v/>
      </c>
      <c r="J1280" s="157">
        <f>IFERROR(INDEX(MASTER_JAM!$E$5:$E$94,MATCH($D1280,MASTER_JAM!$A$5:$A$94,0)),"")</f>
        <v/>
      </c>
      <c r="K1280" s="158">
        <f>IFERROR(INDEX(MASTER_JAM!$J$5:$O$12,MATCH($E1280,MASTER_JAM!$I$5:$I$12,0),MATCH($J1280,MASTER_JAM!$J$4:$O$4,0))+0,0)</f>
        <v/>
      </c>
      <c r="L1280" s="159">
        <f>N($F1280)*$K1280</f>
        <v/>
      </c>
      <c r="M1280" s="157">
        <f>IF($E1280="","",IF(OR($E1280="Coal",$E1280="Dirty Coal"),"MT","BCM"))</f>
        <v/>
      </c>
      <c r="N1280" s="157">
        <f>IF($E1280="","",IF(OR($E1280="Coal",$E1280="Dirty Coal"),"Coal","OB"))</f>
        <v/>
      </c>
      <c r="O1280" s="157">
        <f>IF($F1280="","",IF(COUNTIF(MASTER_JAM!$A$5:$A$94,$C1280)=0,"Digger tidak dikenal",IF($J1280="","Hauler tidak dikenal",IF($H1280="?","Jam salah",IF($K1280=0,"Faktor kosong",IF(SUMIFS(INPUT_DELAY!$E$5:$E$20000,INPUT_DELAY!$A$5:$A$20000,$A1280,INPUT_DELAY!$B$5:$B$20000,$B1280,INPUT_DELAY!$C$5:$C$20000,$C1280)+SUMIFS(INPUT_DELAY!$E$5:$E$20000,INPUT_DELAY!$A$5:$A$20000,$A1280,INPUT_DELAY!$B$5:$B$20000,$B1280,INPUT_DELAY!$C$5:$C$20000,"SEMUA")&gt;=60,"Delay 60 mnt tapi ada ritase","OK"))))))</f>
        <v/>
      </c>
      <c r="P1280" s="158">
        <f>IFERROR(INDEX(MASTER_JAM!$Z$5:$AC$10,MATCH($I1280,MASTER_JAM!$Y$5:$Y$10,0),MATCH($J1280,MASTER_JAM!$Z$4:$AC$4,0))+0,0)</f>
        <v/>
      </c>
      <c r="Q1280" s="158">
        <f>IF($P1280=0,0,$P1280+IFERROR(INDEX(MASTER_JAM!$H$5:$H$94,MATCH($C1280,MASTER_JAM!$A$5:$A$94,0))+0,MASTER_JAM!$AC$15)/1000*(60/MASTER_JAM!$AC$12+60/MASTER_JAM!$AC$13)+MASTER_JAM!$AC$14)</f>
        <v/>
      </c>
      <c r="R1280" s="158">
        <f>IF(N($F1280)=0,0,$F1280/SUMIFS(INPUT_RITASE!$F$5:$F$20000,INPUT_RITASE!$A$5:$A$20000,$A1280,INPUT_RITASE!$B$5:$B$20000,$B1280,INPUT_RITASE!$C$5:$C$20000,$C1280,INPUT_RITASE!$D$5:$D$20000,$D1280))</f>
        <v/>
      </c>
      <c r="S1280" s="158">
        <f>IF($Q1280=0,0,$R1280*$P1280/$Q1280)</f>
        <v/>
      </c>
    </row>
    <row r="1281">
      <c r="A1281" s="155" t="n">
        <v>46108</v>
      </c>
      <c r="B1281" s="156" t="inlineStr">
        <is>
          <t>06-07</t>
        </is>
      </c>
      <c r="C1281" s="156" t="inlineStr">
        <is>
          <t>EX-753</t>
        </is>
      </c>
      <c r="D1281" s="156" t="inlineStr">
        <is>
          <t>DT-520</t>
        </is>
      </c>
      <c r="E1281" s="156" t="inlineStr">
        <is>
          <t>OB</t>
        </is>
      </c>
      <c r="F1281" s="156" t="n">
        <v>4</v>
      </c>
      <c r="G1281" s="156" t="inlineStr"/>
      <c r="H1281" s="157">
        <f>IF($B1281="","",IF(ISNA(MATCH($B1281,MASTER_JAM!$Q$5:$Q$28,0)),"?",IF(MATCH($B1281,MASTER_JAM!$Q$5:$Q$28,0)&lt;=12,"DS","NS")))</f>
        <v/>
      </c>
      <c r="I1281" s="157">
        <f>IFERROR(INDEX(MASTER_JAM!$B$5:$B$94,MATCH($C1281,MASTER_JAM!$A$5:$A$94,0)),"")</f>
        <v/>
      </c>
      <c r="J1281" s="157">
        <f>IFERROR(INDEX(MASTER_JAM!$E$5:$E$94,MATCH($D1281,MASTER_JAM!$A$5:$A$94,0)),"")</f>
        <v/>
      </c>
      <c r="K1281" s="158">
        <f>IFERROR(INDEX(MASTER_JAM!$J$5:$O$12,MATCH($E1281,MASTER_JAM!$I$5:$I$12,0),MATCH($J1281,MASTER_JAM!$J$4:$O$4,0))+0,0)</f>
        <v/>
      </c>
      <c r="L1281" s="159">
        <f>N($F1281)*$K1281</f>
        <v/>
      </c>
      <c r="M1281" s="157">
        <f>IF($E1281="","",IF(OR($E1281="Coal",$E1281="Dirty Coal"),"MT","BCM"))</f>
        <v/>
      </c>
      <c r="N1281" s="157">
        <f>IF($E1281="","",IF(OR($E1281="Coal",$E1281="Dirty Coal"),"Coal","OB"))</f>
        <v/>
      </c>
      <c r="O1281" s="157">
        <f>IF($F1281="","",IF(COUNTIF(MASTER_JAM!$A$5:$A$94,$C1281)=0,"Digger tidak dikenal",IF($J1281="","Hauler tidak dikenal",IF($H1281="?","Jam salah",IF($K1281=0,"Faktor kosong",IF(SUMIFS(INPUT_DELAY!$E$5:$E$20000,INPUT_DELAY!$A$5:$A$20000,$A1281,INPUT_DELAY!$B$5:$B$20000,$B1281,INPUT_DELAY!$C$5:$C$20000,$C1281)+SUMIFS(INPUT_DELAY!$E$5:$E$20000,INPUT_DELAY!$A$5:$A$20000,$A1281,INPUT_DELAY!$B$5:$B$20000,$B1281,INPUT_DELAY!$C$5:$C$20000,"SEMUA")&gt;=60,"Delay 60 mnt tapi ada ritase","OK"))))))</f>
        <v/>
      </c>
      <c r="P1281" s="158">
        <f>IFERROR(INDEX(MASTER_JAM!$Z$5:$AC$10,MATCH($I1281,MASTER_JAM!$Y$5:$Y$10,0),MATCH($J1281,MASTER_JAM!$Z$4:$AC$4,0))+0,0)</f>
        <v/>
      </c>
      <c r="Q1281" s="158">
        <f>IF($P1281=0,0,$P1281+IFERROR(INDEX(MASTER_JAM!$H$5:$H$94,MATCH($C1281,MASTER_JAM!$A$5:$A$94,0))+0,MASTER_JAM!$AC$15)/1000*(60/MASTER_JAM!$AC$12+60/MASTER_JAM!$AC$13)+MASTER_JAM!$AC$14)</f>
        <v/>
      </c>
      <c r="R1281" s="158">
        <f>IF(N($F1281)=0,0,$F1281/SUMIFS(INPUT_RITASE!$F$5:$F$20000,INPUT_RITASE!$A$5:$A$20000,$A1281,INPUT_RITASE!$B$5:$B$20000,$B1281,INPUT_RITASE!$C$5:$C$20000,$C1281,INPUT_RITASE!$D$5:$D$20000,$D1281))</f>
        <v/>
      </c>
      <c r="S1281" s="158">
        <f>IF($Q1281=0,0,$R1281*$P1281/$Q1281)</f>
        <v/>
      </c>
    </row>
    <row r="1282">
      <c r="A1282" s="155" t="n">
        <v>46108</v>
      </c>
      <c r="B1282" s="156" t="inlineStr">
        <is>
          <t>06-07</t>
        </is>
      </c>
      <c r="C1282" s="156" t="inlineStr">
        <is>
          <t>EX-753</t>
        </is>
      </c>
      <c r="D1282" s="156" t="inlineStr">
        <is>
          <t>DT-517</t>
        </is>
      </c>
      <c r="E1282" s="156" t="inlineStr">
        <is>
          <t>OB</t>
        </is>
      </c>
      <c r="F1282" s="156" t="n">
        <v>3</v>
      </c>
      <c r="G1282" s="156" t="inlineStr"/>
      <c r="H1282" s="157">
        <f>IF($B1282="","",IF(ISNA(MATCH($B1282,MASTER_JAM!$Q$5:$Q$28,0)),"?",IF(MATCH($B1282,MASTER_JAM!$Q$5:$Q$28,0)&lt;=12,"DS","NS")))</f>
        <v/>
      </c>
      <c r="I1282" s="157">
        <f>IFERROR(INDEX(MASTER_JAM!$B$5:$B$94,MATCH($C1282,MASTER_JAM!$A$5:$A$94,0)),"")</f>
        <v/>
      </c>
      <c r="J1282" s="157">
        <f>IFERROR(INDEX(MASTER_JAM!$E$5:$E$94,MATCH($D1282,MASTER_JAM!$A$5:$A$94,0)),"")</f>
        <v/>
      </c>
      <c r="K1282" s="158">
        <f>IFERROR(INDEX(MASTER_JAM!$J$5:$O$12,MATCH($E1282,MASTER_JAM!$I$5:$I$12,0),MATCH($J1282,MASTER_JAM!$J$4:$O$4,0))+0,0)</f>
        <v/>
      </c>
      <c r="L1282" s="159">
        <f>N($F1282)*$K1282</f>
        <v/>
      </c>
      <c r="M1282" s="157">
        <f>IF($E1282="","",IF(OR($E1282="Coal",$E1282="Dirty Coal"),"MT","BCM"))</f>
        <v/>
      </c>
      <c r="N1282" s="157">
        <f>IF($E1282="","",IF(OR($E1282="Coal",$E1282="Dirty Coal"),"Coal","OB"))</f>
        <v/>
      </c>
      <c r="O1282" s="157">
        <f>IF($F1282="","",IF(COUNTIF(MASTER_JAM!$A$5:$A$94,$C1282)=0,"Digger tidak dikenal",IF($J1282="","Hauler tidak dikenal",IF($H1282="?","Jam salah",IF($K1282=0,"Faktor kosong",IF(SUMIFS(INPUT_DELAY!$E$5:$E$20000,INPUT_DELAY!$A$5:$A$20000,$A1282,INPUT_DELAY!$B$5:$B$20000,$B1282,INPUT_DELAY!$C$5:$C$20000,$C1282)+SUMIFS(INPUT_DELAY!$E$5:$E$20000,INPUT_DELAY!$A$5:$A$20000,$A1282,INPUT_DELAY!$B$5:$B$20000,$B1282,INPUT_DELAY!$C$5:$C$20000,"SEMUA")&gt;=60,"Delay 60 mnt tapi ada ritase","OK"))))))</f>
        <v/>
      </c>
      <c r="P1282" s="158">
        <f>IFERROR(INDEX(MASTER_JAM!$Z$5:$AC$10,MATCH($I1282,MASTER_JAM!$Y$5:$Y$10,0),MATCH($J1282,MASTER_JAM!$Z$4:$AC$4,0))+0,0)</f>
        <v/>
      </c>
      <c r="Q1282" s="158">
        <f>IF($P1282=0,0,$P1282+IFERROR(INDEX(MASTER_JAM!$H$5:$H$94,MATCH($C1282,MASTER_JAM!$A$5:$A$94,0))+0,MASTER_JAM!$AC$15)/1000*(60/MASTER_JAM!$AC$12+60/MASTER_JAM!$AC$13)+MASTER_JAM!$AC$14)</f>
        <v/>
      </c>
      <c r="R1282" s="158">
        <f>IF(N($F1282)=0,0,$F1282/SUMIFS(INPUT_RITASE!$F$5:$F$20000,INPUT_RITASE!$A$5:$A$20000,$A1282,INPUT_RITASE!$B$5:$B$20000,$B1282,INPUT_RITASE!$C$5:$C$20000,$C1282,INPUT_RITASE!$D$5:$D$20000,$D1282))</f>
        <v/>
      </c>
      <c r="S1282" s="158">
        <f>IF($Q1282=0,0,$R1282*$P1282/$Q1282)</f>
        <v/>
      </c>
    </row>
    <row r="1283">
      <c r="A1283" s="155" t="n">
        <v>46108</v>
      </c>
      <c r="B1283" s="156" t="inlineStr">
        <is>
          <t>07-08</t>
        </is>
      </c>
      <c r="C1283" s="156" t="inlineStr">
        <is>
          <t>EX-753</t>
        </is>
      </c>
      <c r="D1283" s="156" t="inlineStr">
        <is>
          <t>DT-527</t>
        </is>
      </c>
      <c r="E1283" s="156" t="inlineStr">
        <is>
          <t>OB</t>
        </is>
      </c>
      <c r="F1283" s="156" t="n">
        <v>4</v>
      </c>
      <c r="G1283" s="156" t="inlineStr"/>
      <c r="H1283" s="157">
        <f>IF($B1283="","",IF(ISNA(MATCH($B1283,MASTER_JAM!$Q$5:$Q$28,0)),"?",IF(MATCH($B1283,MASTER_JAM!$Q$5:$Q$28,0)&lt;=12,"DS","NS")))</f>
        <v/>
      </c>
      <c r="I1283" s="157">
        <f>IFERROR(INDEX(MASTER_JAM!$B$5:$B$94,MATCH($C1283,MASTER_JAM!$A$5:$A$94,0)),"")</f>
        <v/>
      </c>
      <c r="J1283" s="157">
        <f>IFERROR(INDEX(MASTER_JAM!$E$5:$E$94,MATCH($D1283,MASTER_JAM!$A$5:$A$94,0)),"")</f>
        <v/>
      </c>
      <c r="K1283" s="158">
        <f>IFERROR(INDEX(MASTER_JAM!$J$5:$O$12,MATCH($E1283,MASTER_JAM!$I$5:$I$12,0),MATCH($J1283,MASTER_JAM!$J$4:$O$4,0))+0,0)</f>
        <v/>
      </c>
      <c r="L1283" s="159">
        <f>N($F1283)*$K1283</f>
        <v/>
      </c>
      <c r="M1283" s="157">
        <f>IF($E1283="","",IF(OR($E1283="Coal",$E1283="Dirty Coal"),"MT","BCM"))</f>
        <v/>
      </c>
      <c r="N1283" s="157">
        <f>IF($E1283="","",IF(OR($E1283="Coal",$E1283="Dirty Coal"),"Coal","OB"))</f>
        <v/>
      </c>
      <c r="O1283" s="157">
        <f>IF($F1283="","",IF(COUNTIF(MASTER_JAM!$A$5:$A$94,$C1283)=0,"Digger tidak dikenal",IF($J1283="","Hauler tidak dikenal",IF($H1283="?","Jam salah",IF($K1283=0,"Faktor kosong",IF(SUMIFS(INPUT_DELAY!$E$5:$E$20000,INPUT_DELAY!$A$5:$A$20000,$A1283,INPUT_DELAY!$B$5:$B$20000,$B1283,INPUT_DELAY!$C$5:$C$20000,$C1283)+SUMIFS(INPUT_DELAY!$E$5:$E$20000,INPUT_DELAY!$A$5:$A$20000,$A1283,INPUT_DELAY!$B$5:$B$20000,$B1283,INPUT_DELAY!$C$5:$C$20000,"SEMUA")&gt;=60,"Delay 60 mnt tapi ada ritase","OK"))))))</f>
        <v/>
      </c>
      <c r="P1283" s="158">
        <f>IFERROR(INDEX(MASTER_JAM!$Z$5:$AC$10,MATCH($I1283,MASTER_JAM!$Y$5:$Y$10,0),MATCH($J1283,MASTER_JAM!$Z$4:$AC$4,0))+0,0)</f>
        <v/>
      </c>
      <c r="Q1283" s="158">
        <f>IF($P1283=0,0,$P1283+IFERROR(INDEX(MASTER_JAM!$H$5:$H$94,MATCH($C1283,MASTER_JAM!$A$5:$A$94,0))+0,MASTER_JAM!$AC$15)/1000*(60/MASTER_JAM!$AC$12+60/MASTER_JAM!$AC$13)+MASTER_JAM!$AC$14)</f>
        <v/>
      </c>
      <c r="R1283" s="158">
        <f>IF(N($F1283)=0,0,$F1283/SUMIFS(INPUT_RITASE!$F$5:$F$20000,INPUT_RITASE!$A$5:$A$20000,$A1283,INPUT_RITASE!$B$5:$B$20000,$B1283,INPUT_RITASE!$C$5:$C$20000,$C1283,INPUT_RITASE!$D$5:$D$20000,$D1283))</f>
        <v/>
      </c>
      <c r="S1283" s="158">
        <f>IF($Q1283=0,0,$R1283*$P1283/$Q1283)</f>
        <v/>
      </c>
    </row>
    <row r="1284">
      <c r="A1284" s="155" t="n">
        <v>46108</v>
      </c>
      <c r="B1284" s="156" t="inlineStr">
        <is>
          <t>07-08</t>
        </is>
      </c>
      <c r="C1284" s="156" t="inlineStr">
        <is>
          <t>EX-753</t>
        </is>
      </c>
      <c r="D1284" s="156" t="inlineStr">
        <is>
          <t>DT-504</t>
        </is>
      </c>
      <c r="E1284" s="156" t="inlineStr">
        <is>
          <t>OB</t>
        </is>
      </c>
      <c r="F1284" s="156" t="n">
        <v>3</v>
      </c>
      <c r="G1284" s="156" t="inlineStr"/>
      <c r="H1284" s="157">
        <f>IF($B1284="","",IF(ISNA(MATCH($B1284,MASTER_JAM!$Q$5:$Q$28,0)),"?",IF(MATCH($B1284,MASTER_JAM!$Q$5:$Q$28,0)&lt;=12,"DS","NS")))</f>
        <v/>
      </c>
      <c r="I1284" s="157">
        <f>IFERROR(INDEX(MASTER_JAM!$B$5:$B$94,MATCH($C1284,MASTER_JAM!$A$5:$A$94,0)),"")</f>
        <v/>
      </c>
      <c r="J1284" s="157">
        <f>IFERROR(INDEX(MASTER_JAM!$E$5:$E$94,MATCH($D1284,MASTER_JAM!$A$5:$A$94,0)),"")</f>
        <v/>
      </c>
      <c r="K1284" s="158">
        <f>IFERROR(INDEX(MASTER_JAM!$J$5:$O$12,MATCH($E1284,MASTER_JAM!$I$5:$I$12,0),MATCH($J1284,MASTER_JAM!$J$4:$O$4,0))+0,0)</f>
        <v/>
      </c>
      <c r="L1284" s="159">
        <f>N($F1284)*$K1284</f>
        <v/>
      </c>
      <c r="M1284" s="157">
        <f>IF($E1284="","",IF(OR($E1284="Coal",$E1284="Dirty Coal"),"MT","BCM"))</f>
        <v/>
      </c>
      <c r="N1284" s="157">
        <f>IF($E1284="","",IF(OR($E1284="Coal",$E1284="Dirty Coal"),"Coal","OB"))</f>
        <v/>
      </c>
      <c r="O1284" s="157">
        <f>IF($F1284="","",IF(COUNTIF(MASTER_JAM!$A$5:$A$94,$C1284)=0,"Digger tidak dikenal",IF($J1284="","Hauler tidak dikenal",IF($H1284="?","Jam salah",IF($K1284=0,"Faktor kosong",IF(SUMIFS(INPUT_DELAY!$E$5:$E$20000,INPUT_DELAY!$A$5:$A$20000,$A1284,INPUT_DELAY!$B$5:$B$20000,$B1284,INPUT_DELAY!$C$5:$C$20000,$C1284)+SUMIFS(INPUT_DELAY!$E$5:$E$20000,INPUT_DELAY!$A$5:$A$20000,$A1284,INPUT_DELAY!$B$5:$B$20000,$B1284,INPUT_DELAY!$C$5:$C$20000,"SEMUA")&gt;=60,"Delay 60 mnt tapi ada ritase","OK"))))))</f>
        <v/>
      </c>
      <c r="P1284" s="158">
        <f>IFERROR(INDEX(MASTER_JAM!$Z$5:$AC$10,MATCH($I1284,MASTER_JAM!$Y$5:$Y$10,0),MATCH($J1284,MASTER_JAM!$Z$4:$AC$4,0))+0,0)</f>
        <v/>
      </c>
      <c r="Q1284" s="158">
        <f>IF($P1284=0,0,$P1284+IFERROR(INDEX(MASTER_JAM!$H$5:$H$94,MATCH($C1284,MASTER_JAM!$A$5:$A$94,0))+0,MASTER_JAM!$AC$15)/1000*(60/MASTER_JAM!$AC$12+60/MASTER_JAM!$AC$13)+MASTER_JAM!$AC$14)</f>
        <v/>
      </c>
      <c r="R1284" s="158">
        <f>IF(N($F1284)=0,0,$F1284/SUMIFS(INPUT_RITASE!$F$5:$F$20000,INPUT_RITASE!$A$5:$A$20000,$A1284,INPUT_RITASE!$B$5:$B$20000,$B1284,INPUT_RITASE!$C$5:$C$20000,$C1284,INPUT_RITASE!$D$5:$D$20000,$D1284))</f>
        <v/>
      </c>
      <c r="S1284" s="158">
        <f>IF($Q1284=0,0,$R1284*$P1284/$Q1284)</f>
        <v/>
      </c>
    </row>
    <row r="1285">
      <c r="A1285" s="155" t="n">
        <v>46108</v>
      </c>
      <c r="B1285" s="156" t="inlineStr">
        <is>
          <t>07-08</t>
        </is>
      </c>
      <c r="C1285" s="156" t="inlineStr">
        <is>
          <t>EX-753</t>
        </is>
      </c>
      <c r="D1285" s="156" t="inlineStr">
        <is>
          <t>DT-518</t>
        </is>
      </c>
      <c r="E1285" s="156" t="inlineStr">
        <is>
          <t>OB</t>
        </is>
      </c>
      <c r="F1285" s="156" t="n">
        <v>3</v>
      </c>
      <c r="G1285" s="156" t="inlineStr"/>
      <c r="H1285" s="157">
        <f>IF($B1285="","",IF(ISNA(MATCH($B1285,MASTER_JAM!$Q$5:$Q$28,0)),"?",IF(MATCH($B1285,MASTER_JAM!$Q$5:$Q$28,0)&lt;=12,"DS","NS")))</f>
        <v/>
      </c>
      <c r="I1285" s="157">
        <f>IFERROR(INDEX(MASTER_JAM!$B$5:$B$94,MATCH($C1285,MASTER_JAM!$A$5:$A$94,0)),"")</f>
        <v/>
      </c>
      <c r="J1285" s="157">
        <f>IFERROR(INDEX(MASTER_JAM!$E$5:$E$94,MATCH($D1285,MASTER_JAM!$A$5:$A$94,0)),"")</f>
        <v/>
      </c>
      <c r="K1285" s="158">
        <f>IFERROR(INDEX(MASTER_JAM!$J$5:$O$12,MATCH($E1285,MASTER_JAM!$I$5:$I$12,0),MATCH($J1285,MASTER_JAM!$J$4:$O$4,0))+0,0)</f>
        <v/>
      </c>
      <c r="L1285" s="159">
        <f>N($F1285)*$K1285</f>
        <v/>
      </c>
      <c r="M1285" s="157">
        <f>IF($E1285="","",IF(OR($E1285="Coal",$E1285="Dirty Coal"),"MT","BCM"))</f>
        <v/>
      </c>
      <c r="N1285" s="157">
        <f>IF($E1285="","",IF(OR($E1285="Coal",$E1285="Dirty Coal"),"Coal","OB"))</f>
        <v/>
      </c>
      <c r="O1285" s="157">
        <f>IF($F1285="","",IF(COUNTIF(MASTER_JAM!$A$5:$A$94,$C1285)=0,"Digger tidak dikenal",IF($J1285="","Hauler tidak dikenal",IF($H1285="?","Jam salah",IF($K1285=0,"Faktor kosong",IF(SUMIFS(INPUT_DELAY!$E$5:$E$20000,INPUT_DELAY!$A$5:$A$20000,$A1285,INPUT_DELAY!$B$5:$B$20000,$B1285,INPUT_DELAY!$C$5:$C$20000,$C1285)+SUMIFS(INPUT_DELAY!$E$5:$E$20000,INPUT_DELAY!$A$5:$A$20000,$A1285,INPUT_DELAY!$B$5:$B$20000,$B1285,INPUT_DELAY!$C$5:$C$20000,"SEMUA")&gt;=60,"Delay 60 mnt tapi ada ritase","OK"))))))</f>
        <v/>
      </c>
      <c r="P1285" s="158">
        <f>IFERROR(INDEX(MASTER_JAM!$Z$5:$AC$10,MATCH($I1285,MASTER_JAM!$Y$5:$Y$10,0),MATCH($J1285,MASTER_JAM!$Z$4:$AC$4,0))+0,0)</f>
        <v/>
      </c>
      <c r="Q1285" s="158">
        <f>IF($P1285=0,0,$P1285+IFERROR(INDEX(MASTER_JAM!$H$5:$H$94,MATCH($C1285,MASTER_JAM!$A$5:$A$94,0))+0,MASTER_JAM!$AC$15)/1000*(60/MASTER_JAM!$AC$12+60/MASTER_JAM!$AC$13)+MASTER_JAM!$AC$14)</f>
        <v/>
      </c>
      <c r="R1285" s="158">
        <f>IF(N($F1285)=0,0,$F1285/SUMIFS(INPUT_RITASE!$F$5:$F$20000,INPUT_RITASE!$A$5:$A$20000,$A1285,INPUT_RITASE!$B$5:$B$20000,$B1285,INPUT_RITASE!$C$5:$C$20000,$C1285,INPUT_RITASE!$D$5:$D$20000,$D1285))</f>
        <v/>
      </c>
      <c r="S1285" s="158">
        <f>IF($Q1285=0,0,$R1285*$P1285/$Q1285)</f>
        <v/>
      </c>
    </row>
    <row r="1286">
      <c r="A1286" s="155" t="n">
        <v>46108</v>
      </c>
      <c r="B1286" s="156" t="inlineStr">
        <is>
          <t>08-09</t>
        </is>
      </c>
      <c r="C1286" s="156" t="inlineStr">
        <is>
          <t>EX-753</t>
        </is>
      </c>
      <c r="D1286" s="156" t="inlineStr">
        <is>
          <t>DT-517</t>
        </is>
      </c>
      <c r="E1286" s="156" t="inlineStr">
        <is>
          <t>OB</t>
        </is>
      </c>
      <c r="F1286" s="156" t="n">
        <v>4</v>
      </c>
      <c r="G1286" s="156" t="inlineStr"/>
      <c r="H1286" s="157">
        <f>IF($B1286="","",IF(ISNA(MATCH($B1286,MASTER_JAM!$Q$5:$Q$28,0)),"?",IF(MATCH($B1286,MASTER_JAM!$Q$5:$Q$28,0)&lt;=12,"DS","NS")))</f>
        <v/>
      </c>
      <c r="I1286" s="157">
        <f>IFERROR(INDEX(MASTER_JAM!$B$5:$B$94,MATCH($C1286,MASTER_JAM!$A$5:$A$94,0)),"")</f>
        <v/>
      </c>
      <c r="J1286" s="157">
        <f>IFERROR(INDEX(MASTER_JAM!$E$5:$E$94,MATCH($D1286,MASTER_JAM!$A$5:$A$94,0)),"")</f>
        <v/>
      </c>
      <c r="K1286" s="158">
        <f>IFERROR(INDEX(MASTER_JAM!$J$5:$O$12,MATCH($E1286,MASTER_JAM!$I$5:$I$12,0),MATCH($J1286,MASTER_JAM!$J$4:$O$4,0))+0,0)</f>
        <v/>
      </c>
      <c r="L1286" s="159">
        <f>N($F1286)*$K1286</f>
        <v/>
      </c>
      <c r="M1286" s="157">
        <f>IF($E1286="","",IF(OR($E1286="Coal",$E1286="Dirty Coal"),"MT","BCM"))</f>
        <v/>
      </c>
      <c r="N1286" s="157">
        <f>IF($E1286="","",IF(OR($E1286="Coal",$E1286="Dirty Coal"),"Coal","OB"))</f>
        <v/>
      </c>
      <c r="O1286" s="157">
        <f>IF($F1286="","",IF(COUNTIF(MASTER_JAM!$A$5:$A$94,$C1286)=0,"Digger tidak dikenal",IF($J1286="","Hauler tidak dikenal",IF($H1286="?","Jam salah",IF($K1286=0,"Faktor kosong",IF(SUMIFS(INPUT_DELAY!$E$5:$E$20000,INPUT_DELAY!$A$5:$A$20000,$A1286,INPUT_DELAY!$B$5:$B$20000,$B1286,INPUT_DELAY!$C$5:$C$20000,$C1286)+SUMIFS(INPUT_DELAY!$E$5:$E$20000,INPUT_DELAY!$A$5:$A$20000,$A1286,INPUT_DELAY!$B$5:$B$20000,$B1286,INPUT_DELAY!$C$5:$C$20000,"SEMUA")&gt;=60,"Delay 60 mnt tapi ada ritase","OK"))))))</f>
        <v/>
      </c>
      <c r="P1286" s="158">
        <f>IFERROR(INDEX(MASTER_JAM!$Z$5:$AC$10,MATCH($I1286,MASTER_JAM!$Y$5:$Y$10,0),MATCH($J1286,MASTER_JAM!$Z$4:$AC$4,0))+0,0)</f>
        <v/>
      </c>
      <c r="Q1286" s="158">
        <f>IF($P1286=0,0,$P1286+IFERROR(INDEX(MASTER_JAM!$H$5:$H$94,MATCH($C1286,MASTER_JAM!$A$5:$A$94,0))+0,MASTER_JAM!$AC$15)/1000*(60/MASTER_JAM!$AC$12+60/MASTER_JAM!$AC$13)+MASTER_JAM!$AC$14)</f>
        <v/>
      </c>
      <c r="R1286" s="158">
        <f>IF(N($F1286)=0,0,$F1286/SUMIFS(INPUT_RITASE!$F$5:$F$20000,INPUT_RITASE!$A$5:$A$20000,$A1286,INPUT_RITASE!$B$5:$B$20000,$B1286,INPUT_RITASE!$C$5:$C$20000,$C1286,INPUT_RITASE!$D$5:$D$20000,$D1286))</f>
        <v/>
      </c>
      <c r="S1286" s="158">
        <f>IF($Q1286=0,0,$R1286*$P1286/$Q1286)</f>
        <v/>
      </c>
    </row>
    <row r="1287">
      <c r="A1287" s="155" t="n">
        <v>46108</v>
      </c>
      <c r="B1287" s="156" t="inlineStr">
        <is>
          <t>08-09</t>
        </is>
      </c>
      <c r="C1287" s="156" t="inlineStr">
        <is>
          <t>EX-753</t>
        </is>
      </c>
      <c r="D1287" s="156" t="inlineStr">
        <is>
          <t>DT-503</t>
        </is>
      </c>
      <c r="E1287" s="156" t="inlineStr">
        <is>
          <t>OB</t>
        </is>
      </c>
      <c r="F1287" s="156" t="n">
        <v>3</v>
      </c>
      <c r="G1287" s="156" t="inlineStr"/>
      <c r="H1287" s="157">
        <f>IF($B1287="","",IF(ISNA(MATCH($B1287,MASTER_JAM!$Q$5:$Q$28,0)),"?",IF(MATCH($B1287,MASTER_JAM!$Q$5:$Q$28,0)&lt;=12,"DS","NS")))</f>
        <v/>
      </c>
      <c r="I1287" s="157">
        <f>IFERROR(INDEX(MASTER_JAM!$B$5:$B$94,MATCH($C1287,MASTER_JAM!$A$5:$A$94,0)),"")</f>
        <v/>
      </c>
      <c r="J1287" s="157">
        <f>IFERROR(INDEX(MASTER_JAM!$E$5:$E$94,MATCH($D1287,MASTER_JAM!$A$5:$A$94,0)),"")</f>
        <v/>
      </c>
      <c r="K1287" s="158">
        <f>IFERROR(INDEX(MASTER_JAM!$J$5:$O$12,MATCH($E1287,MASTER_JAM!$I$5:$I$12,0),MATCH($J1287,MASTER_JAM!$J$4:$O$4,0))+0,0)</f>
        <v/>
      </c>
      <c r="L1287" s="159">
        <f>N($F1287)*$K1287</f>
        <v/>
      </c>
      <c r="M1287" s="157">
        <f>IF($E1287="","",IF(OR($E1287="Coal",$E1287="Dirty Coal"),"MT","BCM"))</f>
        <v/>
      </c>
      <c r="N1287" s="157">
        <f>IF($E1287="","",IF(OR($E1287="Coal",$E1287="Dirty Coal"),"Coal","OB"))</f>
        <v/>
      </c>
      <c r="O1287" s="157">
        <f>IF($F1287="","",IF(COUNTIF(MASTER_JAM!$A$5:$A$94,$C1287)=0,"Digger tidak dikenal",IF($J1287="","Hauler tidak dikenal",IF($H1287="?","Jam salah",IF($K1287=0,"Faktor kosong",IF(SUMIFS(INPUT_DELAY!$E$5:$E$20000,INPUT_DELAY!$A$5:$A$20000,$A1287,INPUT_DELAY!$B$5:$B$20000,$B1287,INPUT_DELAY!$C$5:$C$20000,$C1287)+SUMIFS(INPUT_DELAY!$E$5:$E$20000,INPUT_DELAY!$A$5:$A$20000,$A1287,INPUT_DELAY!$B$5:$B$20000,$B1287,INPUT_DELAY!$C$5:$C$20000,"SEMUA")&gt;=60,"Delay 60 mnt tapi ada ritase","OK"))))))</f>
        <v/>
      </c>
      <c r="P1287" s="158">
        <f>IFERROR(INDEX(MASTER_JAM!$Z$5:$AC$10,MATCH($I1287,MASTER_JAM!$Y$5:$Y$10,0),MATCH($J1287,MASTER_JAM!$Z$4:$AC$4,0))+0,0)</f>
        <v/>
      </c>
      <c r="Q1287" s="158">
        <f>IF($P1287=0,0,$P1287+IFERROR(INDEX(MASTER_JAM!$H$5:$H$94,MATCH($C1287,MASTER_JAM!$A$5:$A$94,0))+0,MASTER_JAM!$AC$15)/1000*(60/MASTER_JAM!$AC$12+60/MASTER_JAM!$AC$13)+MASTER_JAM!$AC$14)</f>
        <v/>
      </c>
      <c r="R1287" s="158">
        <f>IF(N($F1287)=0,0,$F1287/SUMIFS(INPUT_RITASE!$F$5:$F$20000,INPUT_RITASE!$A$5:$A$20000,$A1287,INPUT_RITASE!$B$5:$B$20000,$B1287,INPUT_RITASE!$C$5:$C$20000,$C1287,INPUT_RITASE!$D$5:$D$20000,$D1287))</f>
        <v/>
      </c>
      <c r="S1287" s="158">
        <f>IF($Q1287=0,0,$R1287*$P1287/$Q1287)</f>
        <v/>
      </c>
    </row>
    <row r="1288">
      <c r="A1288" s="155" t="n">
        <v>46108</v>
      </c>
      <c r="B1288" s="156" t="inlineStr">
        <is>
          <t>08-09</t>
        </is>
      </c>
      <c r="C1288" s="156" t="inlineStr">
        <is>
          <t>EX-753</t>
        </is>
      </c>
      <c r="D1288" s="156" t="inlineStr">
        <is>
          <t>DT-514</t>
        </is>
      </c>
      <c r="E1288" s="156" t="inlineStr">
        <is>
          <t>OB</t>
        </is>
      </c>
      <c r="F1288" s="156" t="n">
        <v>3</v>
      </c>
      <c r="G1288" s="156" t="inlineStr"/>
      <c r="H1288" s="157">
        <f>IF($B1288="","",IF(ISNA(MATCH($B1288,MASTER_JAM!$Q$5:$Q$28,0)),"?",IF(MATCH($B1288,MASTER_JAM!$Q$5:$Q$28,0)&lt;=12,"DS","NS")))</f>
        <v/>
      </c>
      <c r="I1288" s="157">
        <f>IFERROR(INDEX(MASTER_JAM!$B$5:$B$94,MATCH($C1288,MASTER_JAM!$A$5:$A$94,0)),"")</f>
        <v/>
      </c>
      <c r="J1288" s="157">
        <f>IFERROR(INDEX(MASTER_JAM!$E$5:$E$94,MATCH($D1288,MASTER_JAM!$A$5:$A$94,0)),"")</f>
        <v/>
      </c>
      <c r="K1288" s="158">
        <f>IFERROR(INDEX(MASTER_JAM!$J$5:$O$12,MATCH($E1288,MASTER_JAM!$I$5:$I$12,0),MATCH($J1288,MASTER_JAM!$J$4:$O$4,0))+0,0)</f>
        <v/>
      </c>
      <c r="L1288" s="159">
        <f>N($F1288)*$K1288</f>
        <v/>
      </c>
      <c r="M1288" s="157">
        <f>IF($E1288="","",IF(OR($E1288="Coal",$E1288="Dirty Coal"),"MT","BCM"))</f>
        <v/>
      </c>
      <c r="N1288" s="157">
        <f>IF($E1288="","",IF(OR($E1288="Coal",$E1288="Dirty Coal"),"Coal","OB"))</f>
        <v/>
      </c>
      <c r="O1288" s="157">
        <f>IF($F1288="","",IF(COUNTIF(MASTER_JAM!$A$5:$A$94,$C1288)=0,"Digger tidak dikenal",IF($J1288="","Hauler tidak dikenal",IF($H1288="?","Jam salah",IF($K1288=0,"Faktor kosong",IF(SUMIFS(INPUT_DELAY!$E$5:$E$20000,INPUT_DELAY!$A$5:$A$20000,$A1288,INPUT_DELAY!$B$5:$B$20000,$B1288,INPUT_DELAY!$C$5:$C$20000,$C1288)+SUMIFS(INPUT_DELAY!$E$5:$E$20000,INPUT_DELAY!$A$5:$A$20000,$A1288,INPUT_DELAY!$B$5:$B$20000,$B1288,INPUT_DELAY!$C$5:$C$20000,"SEMUA")&gt;=60,"Delay 60 mnt tapi ada ritase","OK"))))))</f>
        <v/>
      </c>
      <c r="P1288" s="158">
        <f>IFERROR(INDEX(MASTER_JAM!$Z$5:$AC$10,MATCH($I1288,MASTER_JAM!$Y$5:$Y$10,0),MATCH($J1288,MASTER_JAM!$Z$4:$AC$4,0))+0,0)</f>
        <v/>
      </c>
      <c r="Q1288" s="158">
        <f>IF($P1288=0,0,$P1288+IFERROR(INDEX(MASTER_JAM!$H$5:$H$94,MATCH($C1288,MASTER_JAM!$A$5:$A$94,0))+0,MASTER_JAM!$AC$15)/1000*(60/MASTER_JAM!$AC$12+60/MASTER_JAM!$AC$13)+MASTER_JAM!$AC$14)</f>
        <v/>
      </c>
      <c r="R1288" s="158">
        <f>IF(N($F1288)=0,0,$F1288/SUMIFS(INPUT_RITASE!$F$5:$F$20000,INPUT_RITASE!$A$5:$A$20000,$A1288,INPUT_RITASE!$B$5:$B$20000,$B1288,INPUT_RITASE!$C$5:$C$20000,$C1288,INPUT_RITASE!$D$5:$D$20000,$D1288))</f>
        <v/>
      </c>
      <c r="S1288" s="158">
        <f>IF($Q1288=0,0,$R1288*$P1288/$Q1288)</f>
        <v/>
      </c>
    </row>
    <row r="1289">
      <c r="A1289" s="155" t="n">
        <v>46108</v>
      </c>
      <c r="B1289" s="156" t="inlineStr">
        <is>
          <t>08-09</t>
        </is>
      </c>
      <c r="C1289" s="156" t="inlineStr">
        <is>
          <t>EX-753</t>
        </is>
      </c>
      <c r="D1289" s="156" t="inlineStr">
        <is>
          <t>DT-519</t>
        </is>
      </c>
      <c r="E1289" s="156" t="inlineStr">
        <is>
          <t>OB</t>
        </is>
      </c>
      <c r="F1289" s="156" t="n">
        <v>3</v>
      </c>
      <c r="G1289" s="156" t="inlineStr"/>
      <c r="H1289" s="157">
        <f>IF($B1289="","",IF(ISNA(MATCH($B1289,MASTER_JAM!$Q$5:$Q$28,0)),"?",IF(MATCH($B1289,MASTER_JAM!$Q$5:$Q$28,0)&lt;=12,"DS","NS")))</f>
        <v/>
      </c>
      <c r="I1289" s="157">
        <f>IFERROR(INDEX(MASTER_JAM!$B$5:$B$94,MATCH($C1289,MASTER_JAM!$A$5:$A$94,0)),"")</f>
        <v/>
      </c>
      <c r="J1289" s="157">
        <f>IFERROR(INDEX(MASTER_JAM!$E$5:$E$94,MATCH($D1289,MASTER_JAM!$A$5:$A$94,0)),"")</f>
        <v/>
      </c>
      <c r="K1289" s="158">
        <f>IFERROR(INDEX(MASTER_JAM!$J$5:$O$12,MATCH($E1289,MASTER_JAM!$I$5:$I$12,0),MATCH($J1289,MASTER_JAM!$J$4:$O$4,0))+0,0)</f>
        <v/>
      </c>
      <c r="L1289" s="159">
        <f>N($F1289)*$K1289</f>
        <v/>
      </c>
      <c r="M1289" s="157">
        <f>IF($E1289="","",IF(OR($E1289="Coal",$E1289="Dirty Coal"),"MT","BCM"))</f>
        <v/>
      </c>
      <c r="N1289" s="157">
        <f>IF($E1289="","",IF(OR($E1289="Coal",$E1289="Dirty Coal"),"Coal","OB"))</f>
        <v/>
      </c>
      <c r="O1289" s="157">
        <f>IF($F1289="","",IF(COUNTIF(MASTER_JAM!$A$5:$A$94,$C1289)=0,"Digger tidak dikenal",IF($J1289="","Hauler tidak dikenal",IF($H1289="?","Jam salah",IF($K1289=0,"Faktor kosong",IF(SUMIFS(INPUT_DELAY!$E$5:$E$20000,INPUT_DELAY!$A$5:$A$20000,$A1289,INPUT_DELAY!$B$5:$B$20000,$B1289,INPUT_DELAY!$C$5:$C$20000,$C1289)+SUMIFS(INPUT_DELAY!$E$5:$E$20000,INPUT_DELAY!$A$5:$A$20000,$A1289,INPUT_DELAY!$B$5:$B$20000,$B1289,INPUT_DELAY!$C$5:$C$20000,"SEMUA")&gt;=60,"Delay 60 mnt tapi ada ritase","OK"))))))</f>
        <v/>
      </c>
      <c r="P1289" s="158">
        <f>IFERROR(INDEX(MASTER_JAM!$Z$5:$AC$10,MATCH($I1289,MASTER_JAM!$Y$5:$Y$10,0),MATCH($J1289,MASTER_JAM!$Z$4:$AC$4,0))+0,0)</f>
        <v/>
      </c>
      <c r="Q1289" s="158">
        <f>IF($P1289=0,0,$P1289+IFERROR(INDEX(MASTER_JAM!$H$5:$H$94,MATCH($C1289,MASTER_JAM!$A$5:$A$94,0))+0,MASTER_JAM!$AC$15)/1000*(60/MASTER_JAM!$AC$12+60/MASTER_JAM!$AC$13)+MASTER_JAM!$AC$14)</f>
        <v/>
      </c>
      <c r="R1289" s="158">
        <f>IF(N($F1289)=0,0,$F1289/SUMIFS(INPUT_RITASE!$F$5:$F$20000,INPUT_RITASE!$A$5:$A$20000,$A1289,INPUT_RITASE!$B$5:$B$20000,$B1289,INPUT_RITASE!$C$5:$C$20000,$C1289,INPUT_RITASE!$D$5:$D$20000,$D1289))</f>
        <v/>
      </c>
      <c r="S1289" s="158">
        <f>IF($Q1289=0,0,$R1289*$P1289/$Q1289)</f>
        <v/>
      </c>
    </row>
    <row r="1290">
      <c r="A1290" s="155" t="n">
        <v>46108</v>
      </c>
      <c r="B1290" s="156" t="inlineStr">
        <is>
          <t>09-10</t>
        </is>
      </c>
      <c r="C1290" s="156" t="inlineStr">
        <is>
          <t>EX-753</t>
        </is>
      </c>
      <c r="D1290" s="156" t="inlineStr">
        <is>
          <t>DT-516</t>
        </is>
      </c>
      <c r="E1290" s="156" t="inlineStr">
        <is>
          <t>OB</t>
        </is>
      </c>
      <c r="F1290" s="156" t="n">
        <v>4</v>
      </c>
      <c r="G1290" s="156" t="inlineStr"/>
      <c r="H1290" s="157">
        <f>IF($B1290="","",IF(ISNA(MATCH($B1290,MASTER_JAM!$Q$5:$Q$28,0)),"?",IF(MATCH($B1290,MASTER_JAM!$Q$5:$Q$28,0)&lt;=12,"DS","NS")))</f>
        <v/>
      </c>
      <c r="I1290" s="157">
        <f>IFERROR(INDEX(MASTER_JAM!$B$5:$B$94,MATCH($C1290,MASTER_JAM!$A$5:$A$94,0)),"")</f>
        <v/>
      </c>
      <c r="J1290" s="157">
        <f>IFERROR(INDEX(MASTER_JAM!$E$5:$E$94,MATCH($D1290,MASTER_JAM!$A$5:$A$94,0)),"")</f>
        <v/>
      </c>
      <c r="K1290" s="158">
        <f>IFERROR(INDEX(MASTER_JAM!$J$5:$O$12,MATCH($E1290,MASTER_JAM!$I$5:$I$12,0),MATCH($J1290,MASTER_JAM!$J$4:$O$4,0))+0,0)</f>
        <v/>
      </c>
      <c r="L1290" s="159">
        <f>N($F1290)*$K1290</f>
        <v/>
      </c>
      <c r="M1290" s="157">
        <f>IF($E1290="","",IF(OR($E1290="Coal",$E1290="Dirty Coal"),"MT","BCM"))</f>
        <v/>
      </c>
      <c r="N1290" s="157">
        <f>IF($E1290="","",IF(OR($E1290="Coal",$E1290="Dirty Coal"),"Coal","OB"))</f>
        <v/>
      </c>
      <c r="O1290" s="157">
        <f>IF($F1290="","",IF(COUNTIF(MASTER_JAM!$A$5:$A$94,$C1290)=0,"Digger tidak dikenal",IF($J1290="","Hauler tidak dikenal",IF($H1290="?","Jam salah",IF($K1290=0,"Faktor kosong",IF(SUMIFS(INPUT_DELAY!$E$5:$E$20000,INPUT_DELAY!$A$5:$A$20000,$A1290,INPUT_DELAY!$B$5:$B$20000,$B1290,INPUT_DELAY!$C$5:$C$20000,$C1290)+SUMIFS(INPUT_DELAY!$E$5:$E$20000,INPUT_DELAY!$A$5:$A$20000,$A1290,INPUT_DELAY!$B$5:$B$20000,$B1290,INPUT_DELAY!$C$5:$C$20000,"SEMUA")&gt;=60,"Delay 60 mnt tapi ada ritase","OK"))))))</f>
        <v/>
      </c>
      <c r="P1290" s="158">
        <f>IFERROR(INDEX(MASTER_JAM!$Z$5:$AC$10,MATCH($I1290,MASTER_JAM!$Y$5:$Y$10,0),MATCH($J1290,MASTER_JAM!$Z$4:$AC$4,0))+0,0)</f>
        <v/>
      </c>
      <c r="Q1290" s="158">
        <f>IF($P1290=0,0,$P1290+IFERROR(INDEX(MASTER_JAM!$H$5:$H$94,MATCH($C1290,MASTER_JAM!$A$5:$A$94,0))+0,MASTER_JAM!$AC$15)/1000*(60/MASTER_JAM!$AC$12+60/MASTER_JAM!$AC$13)+MASTER_JAM!$AC$14)</f>
        <v/>
      </c>
      <c r="R1290" s="158">
        <f>IF(N($F1290)=0,0,$F1290/SUMIFS(INPUT_RITASE!$F$5:$F$20000,INPUT_RITASE!$A$5:$A$20000,$A1290,INPUT_RITASE!$B$5:$B$20000,$B1290,INPUT_RITASE!$C$5:$C$20000,$C1290,INPUT_RITASE!$D$5:$D$20000,$D1290))</f>
        <v/>
      </c>
      <c r="S1290" s="158">
        <f>IF($Q1290=0,0,$R1290*$P1290/$Q1290)</f>
        <v/>
      </c>
    </row>
    <row r="1291">
      <c r="A1291" s="155" t="n">
        <v>46108</v>
      </c>
      <c r="B1291" s="156" t="inlineStr">
        <is>
          <t>09-10</t>
        </is>
      </c>
      <c r="C1291" s="156" t="inlineStr">
        <is>
          <t>EX-753</t>
        </is>
      </c>
      <c r="D1291" s="156" t="inlineStr">
        <is>
          <t>DT-517</t>
        </is>
      </c>
      <c r="E1291" s="156" t="inlineStr">
        <is>
          <t>OB</t>
        </is>
      </c>
      <c r="F1291" s="156" t="n">
        <v>4</v>
      </c>
      <c r="G1291" s="156" t="inlineStr"/>
      <c r="H1291" s="157">
        <f>IF($B1291="","",IF(ISNA(MATCH($B1291,MASTER_JAM!$Q$5:$Q$28,0)),"?",IF(MATCH($B1291,MASTER_JAM!$Q$5:$Q$28,0)&lt;=12,"DS","NS")))</f>
        <v/>
      </c>
      <c r="I1291" s="157">
        <f>IFERROR(INDEX(MASTER_JAM!$B$5:$B$94,MATCH($C1291,MASTER_JAM!$A$5:$A$94,0)),"")</f>
        <v/>
      </c>
      <c r="J1291" s="157">
        <f>IFERROR(INDEX(MASTER_JAM!$E$5:$E$94,MATCH($D1291,MASTER_JAM!$A$5:$A$94,0)),"")</f>
        <v/>
      </c>
      <c r="K1291" s="158">
        <f>IFERROR(INDEX(MASTER_JAM!$J$5:$O$12,MATCH($E1291,MASTER_JAM!$I$5:$I$12,0),MATCH($J1291,MASTER_JAM!$J$4:$O$4,0))+0,0)</f>
        <v/>
      </c>
      <c r="L1291" s="159">
        <f>N($F1291)*$K1291</f>
        <v/>
      </c>
      <c r="M1291" s="157">
        <f>IF($E1291="","",IF(OR($E1291="Coal",$E1291="Dirty Coal"),"MT","BCM"))</f>
        <v/>
      </c>
      <c r="N1291" s="157">
        <f>IF($E1291="","",IF(OR($E1291="Coal",$E1291="Dirty Coal"),"Coal","OB"))</f>
        <v/>
      </c>
      <c r="O1291" s="157">
        <f>IF($F1291="","",IF(COUNTIF(MASTER_JAM!$A$5:$A$94,$C1291)=0,"Digger tidak dikenal",IF($J1291="","Hauler tidak dikenal",IF($H1291="?","Jam salah",IF($K1291=0,"Faktor kosong",IF(SUMIFS(INPUT_DELAY!$E$5:$E$20000,INPUT_DELAY!$A$5:$A$20000,$A1291,INPUT_DELAY!$B$5:$B$20000,$B1291,INPUT_DELAY!$C$5:$C$20000,$C1291)+SUMIFS(INPUT_DELAY!$E$5:$E$20000,INPUT_DELAY!$A$5:$A$20000,$A1291,INPUT_DELAY!$B$5:$B$20000,$B1291,INPUT_DELAY!$C$5:$C$20000,"SEMUA")&gt;=60,"Delay 60 mnt tapi ada ritase","OK"))))))</f>
        <v/>
      </c>
      <c r="P1291" s="158">
        <f>IFERROR(INDEX(MASTER_JAM!$Z$5:$AC$10,MATCH($I1291,MASTER_JAM!$Y$5:$Y$10,0),MATCH($J1291,MASTER_JAM!$Z$4:$AC$4,0))+0,0)</f>
        <v/>
      </c>
      <c r="Q1291" s="158">
        <f>IF($P1291=0,0,$P1291+IFERROR(INDEX(MASTER_JAM!$H$5:$H$94,MATCH($C1291,MASTER_JAM!$A$5:$A$94,0))+0,MASTER_JAM!$AC$15)/1000*(60/MASTER_JAM!$AC$12+60/MASTER_JAM!$AC$13)+MASTER_JAM!$AC$14)</f>
        <v/>
      </c>
      <c r="R1291" s="158">
        <f>IF(N($F1291)=0,0,$F1291/SUMIFS(INPUT_RITASE!$F$5:$F$20000,INPUT_RITASE!$A$5:$A$20000,$A1291,INPUT_RITASE!$B$5:$B$20000,$B1291,INPUT_RITASE!$C$5:$C$20000,$C1291,INPUT_RITASE!$D$5:$D$20000,$D1291))</f>
        <v/>
      </c>
      <c r="S1291" s="158">
        <f>IF($Q1291=0,0,$R1291*$P1291/$Q1291)</f>
        <v/>
      </c>
    </row>
    <row r="1292">
      <c r="A1292" s="155" t="n">
        <v>46108</v>
      </c>
      <c r="B1292" s="156" t="inlineStr">
        <is>
          <t>09-10</t>
        </is>
      </c>
      <c r="C1292" s="156" t="inlineStr">
        <is>
          <t>EX-753</t>
        </is>
      </c>
      <c r="D1292" s="156" t="inlineStr">
        <is>
          <t>DT-515</t>
        </is>
      </c>
      <c r="E1292" s="156" t="inlineStr">
        <is>
          <t>OB</t>
        </is>
      </c>
      <c r="F1292" s="156" t="n">
        <v>3</v>
      </c>
      <c r="G1292" s="156" t="inlineStr"/>
      <c r="H1292" s="157">
        <f>IF($B1292="","",IF(ISNA(MATCH($B1292,MASTER_JAM!$Q$5:$Q$28,0)),"?",IF(MATCH($B1292,MASTER_JAM!$Q$5:$Q$28,0)&lt;=12,"DS","NS")))</f>
        <v/>
      </c>
      <c r="I1292" s="157">
        <f>IFERROR(INDEX(MASTER_JAM!$B$5:$B$94,MATCH($C1292,MASTER_JAM!$A$5:$A$94,0)),"")</f>
        <v/>
      </c>
      <c r="J1292" s="157">
        <f>IFERROR(INDEX(MASTER_JAM!$E$5:$E$94,MATCH($D1292,MASTER_JAM!$A$5:$A$94,0)),"")</f>
        <v/>
      </c>
      <c r="K1292" s="158">
        <f>IFERROR(INDEX(MASTER_JAM!$J$5:$O$12,MATCH($E1292,MASTER_JAM!$I$5:$I$12,0),MATCH($J1292,MASTER_JAM!$J$4:$O$4,0))+0,0)</f>
        <v/>
      </c>
      <c r="L1292" s="159">
        <f>N($F1292)*$K1292</f>
        <v/>
      </c>
      <c r="M1292" s="157">
        <f>IF($E1292="","",IF(OR($E1292="Coal",$E1292="Dirty Coal"),"MT","BCM"))</f>
        <v/>
      </c>
      <c r="N1292" s="157">
        <f>IF($E1292="","",IF(OR($E1292="Coal",$E1292="Dirty Coal"),"Coal","OB"))</f>
        <v/>
      </c>
      <c r="O1292" s="157">
        <f>IF($F1292="","",IF(COUNTIF(MASTER_JAM!$A$5:$A$94,$C1292)=0,"Digger tidak dikenal",IF($J1292="","Hauler tidak dikenal",IF($H1292="?","Jam salah",IF($K1292=0,"Faktor kosong",IF(SUMIFS(INPUT_DELAY!$E$5:$E$20000,INPUT_DELAY!$A$5:$A$20000,$A1292,INPUT_DELAY!$B$5:$B$20000,$B1292,INPUT_DELAY!$C$5:$C$20000,$C1292)+SUMIFS(INPUT_DELAY!$E$5:$E$20000,INPUT_DELAY!$A$5:$A$20000,$A1292,INPUT_DELAY!$B$5:$B$20000,$B1292,INPUT_DELAY!$C$5:$C$20000,"SEMUA")&gt;=60,"Delay 60 mnt tapi ada ritase","OK"))))))</f>
        <v/>
      </c>
      <c r="P1292" s="158">
        <f>IFERROR(INDEX(MASTER_JAM!$Z$5:$AC$10,MATCH($I1292,MASTER_JAM!$Y$5:$Y$10,0),MATCH($J1292,MASTER_JAM!$Z$4:$AC$4,0))+0,0)</f>
        <v/>
      </c>
      <c r="Q1292" s="158">
        <f>IF($P1292=0,0,$P1292+IFERROR(INDEX(MASTER_JAM!$H$5:$H$94,MATCH($C1292,MASTER_JAM!$A$5:$A$94,0))+0,MASTER_JAM!$AC$15)/1000*(60/MASTER_JAM!$AC$12+60/MASTER_JAM!$AC$13)+MASTER_JAM!$AC$14)</f>
        <v/>
      </c>
      <c r="R1292" s="158">
        <f>IF(N($F1292)=0,0,$F1292/SUMIFS(INPUT_RITASE!$F$5:$F$20000,INPUT_RITASE!$A$5:$A$20000,$A1292,INPUT_RITASE!$B$5:$B$20000,$B1292,INPUT_RITASE!$C$5:$C$20000,$C1292,INPUT_RITASE!$D$5:$D$20000,$D1292))</f>
        <v/>
      </c>
      <c r="S1292" s="158">
        <f>IF($Q1292=0,0,$R1292*$P1292/$Q1292)</f>
        <v/>
      </c>
    </row>
    <row r="1293">
      <c r="A1293" s="155" t="n">
        <v>46108</v>
      </c>
      <c r="B1293" s="156" t="inlineStr">
        <is>
          <t>09-10</t>
        </is>
      </c>
      <c r="C1293" s="156" t="inlineStr">
        <is>
          <t>EX-753</t>
        </is>
      </c>
      <c r="D1293" s="156" t="inlineStr">
        <is>
          <t>DT-520</t>
        </is>
      </c>
      <c r="E1293" s="156" t="inlineStr">
        <is>
          <t>OB</t>
        </is>
      </c>
      <c r="F1293" s="156" t="n">
        <v>3</v>
      </c>
      <c r="G1293" s="156" t="inlineStr"/>
      <c r="H1293" s="157">
        <f>IF($B1293="","",IF(ISNA(MATCH($B1293,MASTER_JAM!$Q$5:$Q$28,0)),"?",IF(MATCH($B1293,MASTER_JAM!$Q$5:$Q$28,0)&lt;=12,"DS","NS")))</f>
        <v/>
      </c>
      <c r="I1293" s="157">
        <f>IFERROR(INDEX(MASTER_JAM!$B$5:$B$94,MATCH($C1293,MASTER_JAM!$A$5:$A$94,0)),"")</f>
        <v/>
      </c>
      <c r="J1293" s="157">
        <f>IFERROR(INDEX(MASTER_JAM!$E$5:$E$94,MATCH($D1293,MASTER_JAM!$A$5:$A$94,0)),"")</f>
        <v/>
      </c>
      <c r="K1293" s="158">
        <f>IFERROR(INDEX(MASTER_JAM!$J$5:$O$12,MATCH($E1293,MASTER_JAM!$I$5:$I$12,0),MATCH($J1293,MASTER_JAM!$J$4:$O$4,0))+0,0)</f>
        <v/>
      </c>
      <c r="L1293" s="159">
        <f>N($F1293)*$K1293</f>
        <v/>
      </c>
      <c r="M1293" s="157">
        <f>IF($E1293="","",IF(OR($E1293="Coal",$E1293="Dirty Coal"),"MT","BCM"))</f>
        <v/>
      </c>
      <c r="N1293" s="157">
        <f>IF($E1293="","",IF(OR($E1293="Coal",$E1293="Dirty Coal"),"Coal","OB"))</f>
        <v/>
      </c>
      <c r="O1293" s="157">
        <f>IF($F1293="","",IF(COUNTIF(MASTER_JAM!$A$5:$A$94,$C1293)=0,"Digger tidak dikenal",IF($J1293="","Hauler tidak dikenal",IF($H1293="?","Jam salah",IF($K1293=0,"Faktor kosong",IF(SUMIFS(INPUT_DELAY!$E$5:$E$20000,INPUT_DELAY!$A$5:$A$20000,$A1293,INPUT_DELAY!$B$5:$B$20000,$B1293,INPUT_DELAY!$C$5:$C$20000,$C1293)+SUMIFS(INPUT_DELAY!$E$5:$E$20000,INPUT_DELAY!$A$5:$A$20000,$A1293,INPUT_DELAY!$B$5:$B$20000,$B1293,INPUT_DELAY!$C$5:$C$20000,"SEMUA")&gt;=60,"Delay 60 mnt tapi ada ritase","OK"))))))</f>
        <v/>
      </c>
      <c r="P1293" s="158">
        <f>IFERROR(INDEX(MASTER_JAM!$Z$5:$AC$10,MATCH($I1293,MASTER_JAM!$Y$5:$Y$10,0),MATCH($J1293,MASTER_JAM!$Z$4:$AC$4,0))+0,0)</f>
        <v/>
      </c>
      <c r="Q1293" s="158">
        <f>IF($P1293=0,0,$P1293+IFERROR(INDEX(MASTER_JAM!$H$5:$H$94,MATCH($C1293,MASTER_JAM!$A$5:$A$94,0))+0,MASTER_JAM!$AC$15)/1000*(60/MASTER_JAM!$AC$12+60/MASTER_JAM!$AC$13)+MASTER_JAM!$AC$14)</f>
        <v/>
      </c>
      <c r="R1293" s="158">
        <f>IF(N($F1293)=0,0,$F1293/SUMIFS(INPUT_RITASE!$F$5:$F$20000,INPUT_RITASE!$A$5:$A$20000,$A1293,INPUT_RITASE!$B$5:$B$20000,$B1293,INPUT_RITASE!$C$5:$C$20000,$C1293,INPUT_RITASE!$D$5:$D$20000,$D1293))</f>
        <v/>
      </c>
      <c r="S1293" s="158">
        <f>IF($Q1293=0,0,$R1293*$P1293/$Q1293)</f>
        <v/>
      </c>
    </row>
    <row r="1294">
      <c r="A1294" s="155" t="n">
        <v>46108</v>
      </c>
      <c r="B1294" s="156" t="inlineStr">
        <is>
          <t>11-12</t>
        </is>
      </c>
      <c r="C1294" s="156" t="inlineStr">
        <is>
          <t>EX-753</t>
        </is>
      </c>
      <c r="D1294" s="156" t="inlineStr">
        <is>
          <t>DT-522</t>
        </is>
      </c>
      <c r="E1294" s="156" t="inlineStr">
        <is>
          <t>OB</t>
        </is>
      </c>
      <c r="F1294" s="156" t="n">
        <v>4</v>
      </c>
      <c r="G1294" s="156" t="inlineStr"/>
      <c r="H1294" s="157">
        <f>IF($B1294="","",IF(ISNA(MATCH($B1294,MASTER_JAM!$Q$5:$Q$28,0)),"?",IF(MATCH($B1294,MASTER_JAM!$Q$5:$Q$28,0)&lt;=12,"DS","NS")))</f>
        <v/>
      </c>
      <c r="I1294" s="157">
        <f>IFERROR(INDEX(MASTER_JAM!$B$5:$B$94,MATCH($C1294,MASTER_JAM!$A$5:$A$94,0)),"")</f>
        <v/>
      </c>
      <c r="J1294" s="157">
        <f>IFERROR(INDEX(MASTER_JAM!$E$5:$E$94,MATCH($D1294,MASTER_JAM!$A$5:$A$94,0)),"")</f>
        <v/>
      </c>
      <c r="K1294" s="158">
        <f>IFERROR(INDEX(MASTER_JAM!$J$5:$O$12,MATCH($E1294,MASTER_JAM!$I$5:$I$12,0),MATCH($J1294,MASTER_JAM!$J$4:$O$4,0))+0,0)</f>
        <v/>
      </c>
      <c r="L1294" s="159">
        <f>N($F1294)*$K1294</f>
        <v/>
      </c>
      <c r="M1294" s="157">
        <f>IF($E1294="","",IF(OR($E1294="Coal",$E1294="Dirty Coal"),"MT","BCM"))</f>
        <v/>
      </c>
      <c r="N1294" s="157">
        <f>IF($E1294="","",IF(OR($E1294="Coal",$E1294="Dirty Coal"),"Coal","OB"))</f>
        <v/>
      </c>
      <c r="O1294" s="157">
        <f>IF($F1294="","",IF(COUNTIF(MASTER_JAM!$A$5:$A$94,$C1294)=0,"Digger tidak dikenal",IF($J1294="","Hauler tidak dikenal",IF($H1294="?","Jam salah",IF($K1294=0,"Faktor kosong",IF(SUMIFS(INPUT_DELAY!$E$5:$E$20000,INPUT_DELAY!$A$5:$A$20000,$A1294,INPUT_DELAY!$B$5:$B$20000,$B1294,INPUT_DELAY!$C$5:$C$20000,$C1294)+SUMIFS(INPUT_DELAY!$E$5:$E$20000,INPUT_DELAY!$A$5:$A$20000,$A1294,INPUT_DELAY!$B$5:$B$20000,$B1294,INPUT_DELAY!$C$5:$C$20000,"SEMUA")&gt;=60,"Delay 60 mnt tapi ada ritase","OK"))))))</f>
        <v/>
      </c>
      <c r="P1294" s="158">
        <f>IFERROR(INDEX(MASTER_JAM!$Z$5:$AC$10,MATCH($I1294,MASTER_JAM!$Y$5:$Y$10,0),MATCH($J1294,MASTER_JAM!$Z$4:$AC$4,0))+0,0)</f>
        <v/>
      </c>
      <c r="Q1294" s="158">
        <f>IF($P1294=0,0,$P1294+IFERROR(INDEX(MASTER_JAM!$H$5:$H$94,MATCH($C1294,MASTER_JAM!$A$5:$A$94,0))+0,MASTER_JAM!$AC$15)/1000*(60/MASTER_JAM!$AC$12+60/MASTER_JAM!$AC$13)+MASTER_JAM!$AC$14)</f>
        <v/>
      </c>
      <c r="R1294" s="158">
        <f>IF(N($F1294)=0,0,$F1294/SUMIFS(INPUT_RITASE!$F$5:$F$20000,INPUT_RITASE!$A$5:$A$20000,$A1294,INPUT_RITASE!$B$5:$B$20000,$B1294,INPUT_RITASE!$C$5:$C$20000,$C1294,INPUT_RITASE!$D$5:$D$20000,$D1294))</f>
        <v/>
      </c>
      <c r="S1294" s="158">
        <f>IF($Q1294=0,0,$R1294*$P1294/$Q1294)</f>
        <v/>
      </c>
    </row>
    <row r="1295">
      <c r="A1295" s="155" t="n">
        <v>46108</v>
      </c>
      <c r="B1295" s="156" t="inlineStr">
        <is>
          <t>11-12</t>
        </is>
      </c>
      <c r="C1295" s="156" t="inlineStr">
        <is>
          <t>EX-753</t>
        </is>
      </c>
      <c r="D1295" s="156" t="inlineStr">
        <is>
          <t>DT-528</t>
        </is>
      </c>
      <c r="E1295" s="156" t="inlineStr">
        <is>
          <t>OB</t>
        </is>
      </c>
      <c r="F1295" s="156" t="n">
        <v>3</v>
      </c>
      <c r="G1295" s="156" t="inlineStr"/>
      <c r="H1295" s="157">
        <f>IF($B1295="","",IF(ISNA(MATCH($B1295,MASTER_JAM!$Q$5:$Q$28,0)),"?",IF(MATCH($B1295,MASTER_JAM!$Q$5:$Q$28,0)&lt;=12,"DS","NS")))</f>
        <v/>
      </c>
      <c r="I1295" s="157">
        <f>IFERROR(INDEX(MASTER_JAM!$B$5:$B$94,MATCH($C1295,MASTER_JAM!$A$5:$A$94,0)),"")</f>
        <v/>
      </c>
      <c r="J1295" s="157">
        <f>IFERROR(INDEX(MASTER_JAM!$E$5:$E$94,MATCH($D1295,MASTER_JAM!$A$5:$A$94,0)),"")</f>
        <v/>
      </c>
      <c r="K1295" s="158">
        <f>IFERROR(INDEX(MASTER_JAM!$J$5:$O$12,MATCH($E1295,MASTER_JAM!$I$5:$I$12,0),MATCH($J1295,MASTER_JAM!$J$4:$O$4,0))+0,0)</f>
        <v/>
      </c>
      <c r="L1295" s="159">
        <f>N($F1295)*$K1295</f>
        <v/>
      </c>
      <c r="M1295" s="157">
        <f>IF($E1295="","",IF(OR($E1295="Coal",$E1295="Dirty Coal"),"MT","BCM"))</f>
        <v/>
      </c>
      <c r="N1295" s="157">
        <f>IF($E1295="","",IF(OR($E1295="Coal",$E1295="Dirty Coal"),"Coal","OB"))</f>
        <v/>
      </c>
      <c r="O1295" s="157">
        <f>IF($F1295="","",IF(COUNTIF(MASTER_JAM!$A$5:$A$94,$C1295)=0,"Digger tidak dikenal",IF($J1295="","Hauler tidak dikenal",IF($H1295="?","Jam salah",IF($K1295=0,"Faktor kosong",IF(SUMIFS(INPUT_DELAY!$E$5:$E$20000,INPUT_DELAY!$A$5:$A$20000,$A1295,INPUT_DELAY!$B$5:$B$20000,$B1295,INPUT_DELAY!$C$5:$C$20000,$C1295)+SUMIFS(INPUT_DELAY!$E$5:$E$20000,INPUT_DELAY!$A$5:$A$20000,$A1295,INPUT_DELAY!$B$5:$B$20000,$B1295,INPUT_DELAY!$C$5:$C$20000,"SEMUA")&gt;=60,"Delay 60 mnt tapi ada ritase","OK"))))))</f>
        <v/>
      </c>
      <c r="P1295" s="158">
        <f>IFERROR(INDEX(MASTER_JAM!$Z$5:$AC$10,MATCH($I1295,MASTER_JAM!$Y$5:$Y$10,0),MATCH($J1295,MASTER_JAM!$Z$4:$AC$4,0))+0,0)</f>
        <v/>
      </c>
      <c r="Q1295" s="158">
        <f>IF($P1295=0,0,$P1295+IFERROR(INDEX(MASTER_JAM!$H$5:$H$94,MATCH($C1295,MASTER_JAM!$A$5:$A$94,0))+0,MASTER_JAM!$AC$15)/1000*(60/MASTER_JAM!$AC$12+60/MASTER_JAM!$AC$13)+MASTER_JAM!$AC$14)</f>
        <v/>
      </c>
      <c r="R1295" s="158">
        <f>IF(N($F1295)=0,0,$F1295/SUMIFS(INPUT_RITASE!$F$5:$F$20000,INPUT_RITASE!$A$5:$A$20000,$A1295,INPUT_RITASE!$B$5:$B$20000,$B1295,INPUT_RITASE!$C$5:$C$20000,$C1295,INPUT_RITASE!$D$5:$D$20000,$D1295))</f>
        <v/>
      </c>
      <c r="S1295" s="158">
        <f>IF($Q1295=0,0,$R1295*$P1295/$Q1295)</f>
        <v/>
      </c>
    </row>
    <row r="1296">
      <c r="A1296" s="155" t="n">
        <v>46108</v>
      </c>
      <c r="B1296" s="156" t="inlineStr">
        <is>
          <t>11-12</t>
        </is>
      </c>
      <c r="C1296" s="156" t="inlineStr">
        <is>
          <t>EX-753</t>
        </is>
      </c>
      <c r="D1296" s="156" t="inlineStr">
        <is>
          <t>DT-515</t>
        </is>
      </c>
      <c r="E1296" s="156" t="inlineStr">
        <is>
          <t>OB</t>
        </is>
      </c>
      <c r="F1296" s="156" t="n">
        <v>3</v>
      </c>
      <c r="G1296" s="156" t="inlineStr"/>
      <c r="H1296" s="157">
        <f>IF($B1296="","",IF(ISNA(MATCH($B1296,MASTER_JAM!$Q$5:$Q$28,0)),"?",IF(MATCH($B1296,MASTER_JAM!$Q$5:$Q$28,0)&lt;=12,"DS","NS")))</f>
        <v/>
      </c>
      <c r="I1296" s="157">
        <f>IFERROR(INDEX(MASTER_JAM!$B$5:$B$94,MATCH($C1296,MASTER_JAM!$A$5:$A$94,0)),"")</f>
        <v/>
      </c>
      <c r="J1296" s="157">
        <f>IFERROR(INDEX(MASTER_JAM!$E$5:$E$94,MATCH($D1296,MASTER_JAM!$A$5:$A$94,0)),"")</f>
        <v/>
      </c>
      <c r="K1296" s="158">
        <f>IFERROR(INDEX(MASTER_JAM!$J$5:$O$12,MATCH($E1296,MASTER_JAM!$I$5:$I$12,0),MATCH($J1296,MASTER_JAM!$J$4:$O$4,0))+0,0)</f>
        <v/>
      </c>
      <c r="L1296" s="159">
        <f>N($F1296)*$K1296</f>
        <v/>
      </c>
      <c r="M1296" s="157">
        <f>IF($E1296="","",IF(OR($E1296="Coal",$E1296="Dirty Coal"),"MT","BCM"))</f>
        <v/>
      </c>
      <c r="N1296" s="157">
        <f>IF($E1296="","",IF(OR($E1296="Coal",$E1296="Dirty Coal"),"Coal","OB"))</f>
        <v/>
      </c>
      <c r="O1296" s="157">
        <f>IF($F1296="","",IF(COUNTIF(MASTER_JAM!$A$5:$A$94,$C1296)=0,"Digger tidak dikenal",IF($J1296="","Hauler tidak dikenal",IF($H1296="?","Jam salah",IF($K1296=0,"Faktor kosong",IF(SUMIFS(INPUT_DELAY!$E$5:$E$20000,INPUT_DELAY!$A$5:$A$20000,$A1296,INPUT_DELAY!$B$5:$B$20000,$B1296,INPUT_DELAY!$C$5:$C$20000,$C1296)+SUMIFS(INPUT_DELAY!$E$5:$E$20000,INPUT_DELAY!$A$5:$A$20000,$A1296,INPUT_DELAY!$B$5:$B$20000,$B1296,INPUT_DELAY!$C$5:$C$20000,"SEMUA")&gt;=60,"Delay 60 mnt tapi ada ritase","OK"))))))</f>
        <v/>
      </c>
      <c r="P1296" s="158">
        <f>IFERROR(INDEX(MASTER_JAM!$Z$5:$AC$10,MATCH($I1296,MASTER_JAM!$Y$5:$Y$10,0),MATCH($J1296,MASTER_JAM!$Z$4:$AC$4,0))+0,0)</f>
        <v/>
      </c>
      <c r="Q1296" s="158">
        <f>IF($P1296=0,0,$P1296+IFERROR(INDEX(MASTER_JAM!$H$5:$H$94,MATCH($C1296,MASTER_JAM!$A$5:$A$94,0))+0,MASTER_JAM!$AC$15)/1000*(60/MASTER_JAM!$AC$12+60/MASTER_JAM!$AC$13)+MASTER_JAM!$AC$14)</f>
        <v/>
      </c>
      <c r="R1296" s="158">
        <f>IF(N($F1296)=0,0,$F1296/SUMIFS(INPUT_RITASE!$F$5:$F$20000,INPUT_RITASE!$A$5:$A$20000,$A1296,INPUT_RITASE!$B$5:$B$20000,$B1296,INPUT_RITASE!$C$5:$C$20000,$C1296,INPUT_RITASE!$D$5:$D$20000,$D1296))</f>
        <v/>
      </c>
      <c r="S1296" s="158">
        <f>IF($Q1296=0,0,$R1296*$P1296/$Q1296)</f>
        <v/>
      </c>
    </row>
    <row r="1297">
      <c r="A1297" s="155" t="n">
        <v>46108</v>
      </c>
      <c r="B1297" s="156" t="inlineStr">
        <is>
          <t>11-12</t>
        </is>
      </c>
      <c r="C1297" s="156" t="inlineStr">
        <is>
          <t>EX-753</t>
        </is>
      </c>
      <c r="D1297" s="156" t="inlineStr">
        <is>
          <t>DT-505</t>
        </is>
      </c>
      <c r="E1297" s="156" t="inlineStr">
        <is>
          <t>OB</t>
        </is>
      </c>
      <c r="F1297" s="156" t="n">
        <v>3</v>
      </c>
      <c r="G1297" s="156" t="inlineStr"/>
      <c r="H1297" s="157">
        <f>IF($B1297="","",IF(ISNA(MATCH($B1297,MASTER_JAM!$Q$5:$Q$28,0)),"?",IF(MATCH($B1297,MASTER_JAM!$Q$5:$Q$28,0)&lt;=12,"DS","NS")))</f>
        <v/>
      </c>
      <c r="I1297" s="157">
        <f>IFERROR(INDEX(MASTER_JAM!$B$5:$B$94,MATCH($C1297,MASTER_JAM!$A$5:$A$94,0)),"")</f>
        <v/>
      </c>
      <c r="J1297" s="157">
        <f>IFERROR(INDEX(MASTER_JAM!$E$5:$E$94,MATCH($D1297,MASTER_JAM!$A$5:$A$94,0)),"")</f>
        <v/>
      </c>
      <c r="K1297" s="158">
        <f>IFERROR(INDEX(MASTER_JAM!$J$5:$O$12,MATCH($E1297,MASTER_JAM!$I$5:$I$12,0),MATCH($J1297,MASTER_JAM!$J$4:$O$4,0))+0,0)</f>
        <v/>
      </c>
      <c r="L1297" s="159">
        <f>N($F1297)*$K1297</f>
        <v/>
      </c>
      <c r="M1297" s="157">
        <f>IF($E1297="","",IF(OR($E1297="Coal",$E1297="Dirty Coal"),"MT","BCM"))</f>
        <v/>
      </c>
      <c r="N1297" s="157">
        <f>IF($E1297="","",IF(OR($E1297="Coal",$E1297="Dirty Coal"),"Coal","OB"))</f>
        <v/>
      </c>
      <c r="O1297" s="157">
        <f>IF($F1297="","",IF(COUNTIF(MASTER_JAM!$A$5:$A$94,$C1297)=0,"Digger tidak dikenal",IF($J1297="","Hauler tidak dikenal",IF($H1297="?","Jam salah",IF($K1297=0,"Faktor kosong",IF(SUMIFS(INPUT_DELAY!$E$5:$E$20000,INPUT_DELAY!$A$5:$A$20000,$A1297,INPUT_DELAY!$B$5:$B$20000,$B1297,INPUT_DELAY!$C$5:$C$20000,$C1297)+SUMIFS(INPUT_DELAY!$E$5:$E$20000,INPUT_DELAY!$A$5:$A$20000,$A1297,INPUT_DELAY!$B$5:$B$20000,$B1297,INPUT_DELAY!$C$5:$C$20000,"SEMUA")&gt;=60,"Delay 60 mnt tapi ada ritase","OK"))))))</f>
        <v/>
      </c>
      <c r="P1297" s="158">
        <f>IFERROR(INDEX(MASTER_JAM!$Z$5:$AC$10,MATCH($I1297,MASTER_JAM!$Y$5:$Y$10,0),MATCH($J1297,MASTER_JAM!$Z$4:$AC$4,0))+0,0)</f>
        <v/>
      </c>
      <c r="Q1297" s="158">
        <f>IF($P1297=0,0,$P1297+IFERROR(INDEX(MASTER_JAM!$H$5:$H$94,MATCH($C1297,MASTER_JAM!$A$5:$A$94,0))+0,MASTER_JAM!$AC$15)/1000*(60/MASTER_JAM!$AC$12+60/MASTER_JAM!$AC$13)+MASTER_JAM!$AC$14)</f>
        <v/>
      </c>
      <c r="R1297" s="158">
        <f>IF(N($F1297)=0,0,$F1297/SUMIFS(INPUT_RITASE!$F$5:$F$20000,INPUT_RITASE!$A$5:$A$20000,$A1297,INPUT_RITASE!$B$5:$B$20000,$B1297,INPUT_RITASE!$C$5:$C$20000,$C1297,INPUT_RITASE!$D$5:$D$20000,$D1297))</f>
        <v/>
      </c>
      <c r="S1297" s="158">
        <f>IF($Q1297=0,0,$R1297*$P1297/$Q1297)</f>
        <v/>
      </c>
    </row>
    <row r="1298">
      <c r="A1298" s="155" t="n">
        <v>46108</v>
      </c>
      <c r="B1298" s="156" t="inlineStr">
        <is>
          <t>13-14</t>
        </is>
      </c>
      <c r="C1298" s="156" t="inlineStr">
        <is>
          <t>EX-753</t>
        </is>
      </c>
      <c r="D1298" s="156" t="inlineStr">
        <is>
          <t>DT-520</t>
        </is>
      </c>
      <c r="E1298" s="156" t="inlineStr">
        <is>
          <t>OB</t>
        </is>
      </c>
      <c r="F1298" s="156" t="n">
        <v>4</v>
      </c>
      <c r="G1298" s="156" t="inlineStr"/>
      <c r="H1298" s="157">
        <f>IF($B1298="","",IF(ISNA(MATCH($B1298,MASTER_JAM!$Q$5:$Q$28,0)),"?",IF(MATCH($B1298,MASTER_JAM!$Q$5:$Q$28,0)&lt;=12,"DS","NS")))</f>
        <v/>
      </c>
      <c r="I1298" s="157">
        <f>IFERROR(INDEX(MASTER_JAM!$B$5:$B$94,MATCH($C1298,MASTER_JAM!$A$5:$A$94,0)),"")</f>
        <v/>
      </c>
      <c r="J1298" s="157">
        <f>IFERROR(INDEX(MASTER_JAM!$E$5:$E$94,MATCH($D1298,MASTER_JAM!$A$5:$A$94,0)),"")</f>
        <v/>
      </c>
      <c r="K1298" s="158">
        <f>IFERROR(INDEX(MASTER_JAM!$J$5:$O$12,MATCH($E1298,MASTER_JAM!$I$5:$I$12,0),MATCH($J1298,MASTER_JAM!$J$4:$O$4,0))+0,0)</f>
        <v/>
      </c>
      <c r="L1298" s="159">
        <f>N($F1298)*$K1298</f>
        <v/>
      </c>
      <c r="M1298" s="157">
        <f>IF($E1298="","",IF(OR($E1298="Coal",$E1298="Dirty Coal"),"MT","BCM"))</f>
        <v/>
      </c>
      <c r="N1298" s="157">
        <f>IF($E1298="","",IF(OR($E1298="Coal",$E1298="Dirty Coal"),"Coal","OB"))</f>
        <v/>
      </c>
      <c r="O1298" s="157">
        <f>IF($F1298="","",IF(COUNTIF(MASTER_JAM!$A$5:$A$94,$C1298)=0,"Digger tidak dikenal",IF($J1298="","Hauler tidak dikenal",IF($H1298="?","Jam salah",IF($K1298=0,"Faktor kosong",IF(SUMIFS(INPUT_DELAY!$E$5:$E$20000,INPUT_DELAY!$A$5:$A$20000,$A1298,INPUT_DELAY!$B$5:$B$20000,$B1298,INPUT_DELAY!$C$5:$C$20000,$C1298)+SUMIFS(INPUT_DELAY!$E$5:$E$20000,INPUT_DELAY!$A$5:$A$20000,$A1298,INPUT_DELAY!$B$5:$B$20000,$B1298,INPUT_DELAY!$C$5:$C$20000,"SEMUA")&gt;=60,"Delay 60 mnt tapi ada ritase","OK"))))))</f>
        <v/>
      </c>
      <c r="P1298" s="158">
        <f>IFERROR(INDEX(MASTER_JAM!$Z$5:$AC$10,MATCH($I1298,MASTER_JAM!$Y$5:$Y$10,0),MATCH($J1298,MASTER_JAM!$Z$4:$AC$4,0))+0,0)</f>
        <v/>
      </c>
      <c r="Q1298" s="158">
        <f>IF($P1298=0,0,$P1298+IFERROR(INDEX(MASTER_JAM!$H$5:$H$94,MATCH($C1298,MASTER_JAM!$A$5:$A$94,0))+0,MASTER_JAM!$AC$15)/1000*(60/MASTER_JAM!$AC$12+60/MASTER_JAM!$AC$13)+MASTER_JAM!$AC$14)</f>
        <v/>
      </c>
      <c r="R1298" s="158">
        <f>IF(N($F1298)=0,0,$F1298/SUMIFS(INPUT_RITASE!$F$5:$F$20000,INPUT_RITASE!$A$5:$A$20000,$A1298,INPUT_RITASE!$B$5:$B$20000,$B1298,INPUT_RITASE!$C$5:$C$20000,$C1298,INPUT_RITASE!$D$5:$D$20000,$D1298))</f>
        <v/>
      </c>
      <c r="S1298" s="158">
        <f>IF($Q1298=0,0,$R1298*$P1298/$Q1298)</f>
        <v/>
      </c>
    </row>
    <row r="1299">
      <c r="A1299" s="155" t="n">
        <v>46108</v>
      </c>
      <c r="B1299" s="156" t="inlineStr">
        <is>
          <t>13-14</t>
        </is>
      </c>
      <c r="C1299" s="156" t="inlineStr">
        <is>
          <t>EX-753</t>
        </is>
      </c>
      <c r="D1299" s="156" t="inlineStr">
        <is>
          <t>DT-529</t>
        </is>
      </c>
      <c r="E1299" s="156" t="inlineStr">
        <is>
          <t>OB</t>
        </is>
      </c>
      <c r="F1299" s="156" t="n">
        <v>3</v>
      </c>
      <c r="G1299" s="156" t="inlineStr"/>
      <c r="H1299" s="157">
        <f>IF($B1299="","",IF(ISNA(MATCH($B1299,MASTER_JAM!$Q$5:$Q$28,0)),"?",IF(MATCH($B1299,MASTER_JAM!$Q$5:$Q$28,0)&lt;=12,"DS","NS")))</f>
        <v/>
      </c>
      <c r="I1299" s="157">
        <f>IFERROR(INDEX(MASTER_JAM!$B$5:$B$94,MATCH($C1299,MASTER_JAM!$A$5:$A$94,0)),"")</f>
        <v/>
      </c>
      <c r="J1299" s="157">
        <f>IFERROR(INDEX(MASTER_JAM!$E$5:$E$94,MATCH($D1299,MASTER_JAM!$A$5:$A$94,0)),"")</f>
        <v/>
      </c>
      <c r="K1299" s="158">
        <f>IFERROR(INDEX(MASTER_JAM!$J$5:$O$12,MATCH($E1299,MASTER_JAM!$I$5:$I$12,0),MATCH($J1299,MASTER_JAM!$J$4:$O$4,0))+0,0)</f>
        <v/>
      </c>
      <c r="L1299" s="159">
        <f>N($F1299)*$K1299</f>
        <v/>
      </c>
      <c r="M1299" s="157">
        <f>IF($E1299="","",IF(OR($E1299="Coal",$E1299="Dirty Coal"),"MT","BCM"))</f>
        <v/>
      </c>
      <c r="N1299" s="157">
        <f>IF($E1299="","",IF(OR($E1299="Coal",$E1299="Dirty Coal"),"Coal","OB"))</f>
        <v/>
      </c>
      <c r="O1299" s="157">
        <f>IF($F1299="","",IF(COUNTIF(MASTER_JAM!$A$5:$A$94,$C1299)=0,"Digger tidak dikenal",IF($J1299="","Hauler tidak dikenal",IF($H1299="?","Jam salah",IF($K1299=0,"Faktor kosong",IF(SUMIFS(INPUT_DELAY!$E$5:$E$20000,INPUT_DELAY!$A$5:$A$20000,$A1299,INPUT_DELAY!$B$5:$B$20000,$B1299,INPUT_DELAY!$C$5:$C$20000,$C1299)+SUMIFS(INPUT_DELAY!$E$5:$E$20000,INPUT_DELAY!$A$5:$A$20000,$A1299,INPUT_DELAY!$B$5:$B$20000,$B1299,INPUT_DELAY!$C$5:$C$20000,"SEMUA")&gt;=60,"Delay 60 mnt tapi ada ritase","OK"))))))</f>
        <v/>
      </c>
      <c r="P1299" s="158">
        <f>IFERROR(INDEX(MASTER_JAM!$Z$5:$AC$10,MATCH($I1299,MASTER_JAM!$Y$5:$Y$10,0),MATCH($J1299,MASTER_JAM!$Z$4:$AC$4,0))+0,0)</f>
        <v/>
      </c>
      <c r="Q1299" s="158">
        <f>IF($P1299=0,0,$P1299+IFERROR(INDEX(MASTER_JAM!$H$5:$H$94,MATCH($C1299,MASTER_JAM!$A$5:$A$94,0))+0,MASTER_JAM!$AC$15)/1000*(60/MASTER_JAM!$AC$12+60/MASTER_JAM!$AC$13)+MASTER_JAM!$AC$14)</f>
        <v/>
      </c>
      <c r="R1299" s="158">
        <f>IF(N($F1299)=0,0,$F1299/SUMIFS(INPUT_RITASE!$F$5:$F$20000,INPUT_RITASE!$A$5:$A$20000,$A1299,INPUT_RITASE!$B$5:$B$20000,$B1299,INPUT_RITASE!$C$5:$C$20000,$C1299,INPUT_RITASE!$D$5:$D$20000,$D1299))</f>
        <v/>
      </c>
      <c r="S1299" s="158">
        <f>IF($Q1299=0,0,$R1299*$P1299/$Q1299)</f>
        <v/>
      </c>
    </row>
    <row r="1300">
      <c r="A1300" s="155" t="n">
        <v>46108</v>
      </c>
      <c r="B1300" s="156" t="inlineStr">
        <is>
          <t>13-14</t>
        </is>
      </c>
      <c r="C1300" s="156" t="inlineStr">
        <is>
          <t>EX-753</t>
        </is>
      </c>
      <c r="D1300" s="156" t="inlineStr">
        <is>
          <t>DT-502</t>
        </is>
      </c>
      <c r="E1300" s="156" t="inlineStr">
        <is>
          <t>OB</t>
        </is>
      </c>
      <c r="F1300" s="156" t="n">
        <v>3</v>
      </c>
      <c r="G1300" s="156" t="inlineStr"/>
      <c r="H1300" s="157">
        <f>IF($B1300="","",IF(ISNA(MATCH($B1300,MASTER_JAM!$Q$5:$Q$28,0)),"?",IF(MATCH($B1300,MASTER_JAM!$Q$5:$Q$28,0)&lt;=12,"DS","NS")))</f>
        <v/>
      </c>
      <c r="I1300" s="157">
        <f>IFERROR(INDEX(MASTER_JAM!$B$5:$B$94,MATCH($C1300,MASTER_JAM!$A$5:$A$94,0)),"")</f>
        <v/>
      </c>
      <c r="J1300" s="157">
        <f>IFERROR(INDEX(MASTER_JAM!$E$5:$E$94,MATCH($D1300,MASTER_JAM!$A$5:$A$94,0)),"")</f>
        <v/>
      </c>
      <c r="K1300" s="158">
        <f>IFERROR(INDEX(MASTER_JAM!$J$5:$O$12,MATCH($E1300,MASTER_JAM!$I$5:$I$12,0),MATCH($J1300,MASTER_JAM!$J$4:$O$4,0))+0,0)</f>
        <v/>
      </c>
      <c r="L1300" s="159">
        <f>N($F1300)*$K1300</f>
        <v/>
      </c>
      <c r="M1300" s="157">
        <f>IF($E1300="","",IF(OR($E1300="Coal",$E1300="Dirty Coal"),"MT","BCM"))</f>
        <v/>
      </c>
      <c r="N1300" s="157">
        <f>IF($E1300="","",IF(OR($E1300="Coal",$E1300="Dirty Coal"),"Coal","OB"))</f>
        <v/>
      </c>
      <c r="O1300" s="157">
        <f>IF($F1300="","",IF(COUNTIF(MASTER_JAM!$A$5:$A$94,$C1300)=0,"Digger tidak dikenal",IF($J1300="","Hauler tidak dikenal",IF($H1300="?","Jam salah",IF($K1300=0,"Faktor kosong",IF(SUMIFS(INPUT_DELAY!$E$5:$E$20000,INPUT_DELAY!$A$5:$A$20000,$A1300,INPUT_DELAY!$B$5:$B$20000,$B1300,INPUT_DELAY!$C$5:$C$20000,$C1300)+SUMIFS(INPUT_DELAY!$E$5:$E$20000,INPUT_DELAY!$A$5:$A$20000,$A1300,INPUT_DELAY!$B$5:$B$20000,$B1300,INPUT_DELAY!$C$5:$C$20000,"SEMUA")&gt;=60,"Delay 60 mnt tapi ada ritase","OK"))))))</f>
        <v/>
      </c>
      <c r="P1300" s="158">
        <f>IFERROR(INDEX(MASTER_JAM!$Z$5:$AC$10,MATCH($I1300,MASTER_JAM!$Y$5:$Y$10,0),MATCH($J1300,MASTER_JAM!$Z$4:$AC$4,0))+0,0)</f>
        <v/>
      </c>
      <c r="Q1300" s="158">
        <f>IF($P1300=0,0,$P1300+IFERROR(INDEX(MASTER_JAM!$H$5:$H$94,MATCH($C1300,MASTER_JAM!$A$5:$A$94,0))+0,MASTER_JAM!$AC$15)/1000*(60/MASTER_JAM!$AC$12+60/MASTER_JAM!$AC$13)+MASTER_JAM!$AC$14)</f>
        <v/>
      </c>
      <c r="R1300" s="158">
        <f>IF(N($F1300)=0,0,$F1300/SUMIFS(INPUT_RITASE!$F$5:$F$20000,INPUT_RITASE!$A$5:$A$20000,$A1300,INPUT_RITASE!$B$5:$B$20000,$B1300,INPUT_RITASE!$C$5:$C$20000,$C1300,INPUT_RITASE!$D$5:$D$20000,$D1300))</f>
        <v/>
      </c>
      <c r="S1300" s="158">
        <f>IF($Q1300=0,0,$R1300*$P1300/$Q1300)</f>
        <v/>
      </c>
    </row>
    <row r="1301">
      <c r="A1301" s="155" t="n">
        <v>46108</v>
      </c>
      <c r="B1301" s="156" t="inlineStr">
        <is>
          <t>14-15</t>
        </is>
      </c>
      <c r="C1301" s="156" t="inlineStr">
        <is>
          <t>EX-753</t>
        </is>
      </c>
      <c r="D1301" s="156" t="inlineStr">
        <is>
          <t>DT-503</t>
        </is>
      </c>
      <c r="E1301" s="156" t="inlineStr">
        <is>
          <t>OB</t>
        </is>
      </c>
      <c r="F1301" s="156" t="n">
        <v>4</v>
      </c>
      <c r="G1301" s="156" t="inlineStr"/>
      <c r="H1301" s="157">
        <f>IF($B1301="","",IF(ISNA(MATCH($B1301,MASTER_JAM!$Q$5:$Q$28,0)),"?",IF(MATCH($B1301,MASTER_JAM!$Q$5:$Q$28,0)&lt;=12,"DS","NS")))</f>
        <v/>
      </c>
      <c r="I1301" s="157">
        <f>IFERROR(INDEX(MASTER_JAM!$B$5:$B$94,MATCH($C1301,MASTER_JAM!$A$5:$A$94,0)),"")</f>
        <v/>
      </c>
      <c r="J1301" s="157">
        <f>IFERROR(INDEX(MASTER_JAM!$E$5:$E$94,MATCH($D1301,MASTER_JAM!$A$5:$A$94,0)),"")</f>
        <v/>
      </c>
      <c r="K1301" s="158">
        <f>IFERROR(INDEX(MASTER_JAM!$J$5:$O$12,MATCH($E1301,MASTER_JAM!$I$5:$I$12,0),MATCH($J1301,MASTER_JAM!$J$4:$O$4,0))+0,0)</f>
        <v/>
      </c>
      <c r="L1301" s="159">
        <f>N($F1301)*$K1301</f>
        <v/>
      </c>
      <c r="M1301" s="157">
        <f>IF($E1301="","",IF(OR($E1301="Coal",$E1301="Dirty Coal"),"MT","BCM"))</f>
        <v/>
      </c>
      <c r="N1301" s="157">
        <f>IF($E1301="","",IF(OR($E1301="Coal",$E1301="Dirty Coal"),"Coal","OB"))</f>
        <v/>
      </c>
      <c r="O1301" s="157">
        <f>IF($F1301="","",IF(COUNTIF(MASTER_JAM!$A$5:$A$94,$C1301)=0,"Digger tidak dikenal",IF($J1301="","Hauler tidak dikenal",IF($H1301="?","Jam salah",IF($K1301=0,"Faktor kosong",IF(SUMIFS(INPUT_DELAY!$E$5:$E$20000,INPUT_DELAY!$A$5:$A$20000,$A1301,INPUT_DELAY!$B$5:$B$20000,$B1301,INPUT_DELAY!$C$5:$C$20000,$C1301)+SUMIFS(INPUT_DELAY!$E$5:$E$20000,INPUT_DELAY!$A$5:$A$20000,$A1301,INPUT_DELAY!$B$5:$B$20000,$B1301,INPUT_DELAY!$C$5:$C$20000,"SEMUA")&gt;=60,"Delay 60 mnt tapi ada ritase","OK"))))))</f>
        <v/>
      </c>
      <c r="P1301" s="158">
        <f>IFERROR(INDEX(MASTER_JAM!$Z$5:$AC$10,MATCH($I1301,MASTER_JAM!$Y$5:$Y$10,0),MATCH($J1301,MASTER_JAM!$Z$4:$AC$4,0))+0,0)</f>
        <v/>
      </c>
      <c r="Q1301" s="158">
        <f>IF($P1301=0,0,$P1301+IFERROR(INDEX(MASTER_JAM!$H$5:$H$94,MATCH($C1301,MASTER_JAM!$A$5:$A$94,0))+0,MASTER_JAM!$AC$15)/1000*(60/MASTER_JAM!$AC$12+60/MASTER_JAM!$AC$13)+MASTER_JAM!$AC$14)</f>
        <v/>
      </c>
      <c r="R1301" s="158">
        <f>IF(N($F1301)=0,0,$F1301/SUMIFS(INPUT_RITASE!$F$5:$F$20000,INPUT_RITASE!$A$5:$A$20000,$A1301,INPUT_RITASE!$B$5:$B$20000,$B1301,INPUT_RITASE!$C$5:$C$20000,$C1301,INPUT_RITASE!$D$5:$D$20000,$D1301))</f>
        <v/>
      </c>
      <c r="S1301" s="158">
        <f>IF($Q1301=0,0,$R1301*$P1301/$Q1301)</f>
        <v/>
      </c>
    </row>
    <row r="1302">
      <c r="A1302" s="155" t="n">
        <v>46108</v>
      </c>
      <c r="B1302" s="156" t="inlineStr">
        <is>
          <t>14-15</t>
        </is>
      </c>
      <c r="C1302" s="156" t="inlineStr">
        <is>
          <t>EX-753</t>
        </is>
      </c>
      <c r="D1302" s="156" t="inlineStr">
        <is>
          <t>DT-526</t>
        </is>
      </c>
      <c r="E1302" s="156" t="inlineStr">
        <is>
          <t>OB</t>
        </is>
      </c>
      <c r="F1302" s="156" t="n">
        <v>4</v>
      </c>
      <c r="G1302" s="156" t="inlineStr"/>
      <c r="H1302" s="157">
        <f>IF($B1302="","",IF(ISNA(MATCH($B1302,MASTER_JAM!$Q$5:$Q$28,0)),"?",IF(MATCH($B1302,MASTER_JAM!$Q$5:$Q$28,0)&lt;=12,"DS","NS")))</f>
        <v/>
      </c>
      <c r="I1302" s="157">
        <f>IFERROR(INDEX(MASTER_JAM!$B$5:$B$94,MATCH($C1302,MASTER_JAM!$A$5:$A$94,0)),"")</f>
        <v/>
      </c>
      <c r="J1302" s="157">
        <f>IFERROR(INDEX(MASTER_JAM!$E$5:$E$94,MATCH($D1302,MASTER_JAM!$A$5:$A$94,0)),"")</f>
        <v/>
      </c>
      <c r="K1302" s="158">
        <f>IFERROR(INDEX(MASTER_JAM!$J$5:$O$12,MATCH($E1302,MASTER_JAM!$I$5:$I$12,0),MATCH($J1302,MASTER_JAM!$J$4:$O$4,0))+0,0)</f>
        <v/>
      </c>
      <c r="L1302" s="159">
        <f>N($F1302)*$K1302</f>
        <v/>
      </c>
      <c r="M1302" s="157">
        <f>IF($E1302="","",IF(OR($E1302="Coal",$E1302="Dirty Coal"),"MT","BCM"))</f>
        <v/>
      </c>
      <c r="N1302" s="157">
        <f>IF($E1302="","",IF(OR($E1302="Coal",$E1302="Dirty Coal"),"Coal","OB"))</f>
        <v/>
      </c>
      <c r="O1302" s="157">
        <f>IF($F1302="","",IF(COUNTIF(MASTER_JAM!$A$5:$A$94,$C1302)=0,"Digger tidak dikenal",IF($J1302="","Hauler tidak dikenal",IF($H1302="?","Jam salah",IF($K1302=0,"Faktor kosong",IF(SUMIFS(INPUT_DELAY!$E$5:$E$20000,INPUT_DELAY!$A$5:$A$20000,$A1302,INPUT_DELAY!$B$5:$B$20000,$B1302,INPUT_DELAY!$C$5:$C$20000,$C1302)+SUMIFS(INPUT_DELAY!$E$5:$E$20000,INPUT_DELAY!$A$5:$A$20000,$A1302,INPUT_DELAY!$B$5:$B$20000,$B1302,INPUT_DELAY!$C$5:$C$20000,"SEMUA")&gt;=60,"Delay 60 mnt tapi ada ritase","OK"))))))</f>
        <v/>
      </c>
      <c r="P1302" s="158">
        <f>IFERROR(INDEX(MASTER_JAM!$Z$5:$AC$10,MATCH($I1302,MASTER_JAM!$Y$5:$Y$10,0),MATCH($J1302,MASTER_JAM!$Z$4:$AC$4,0))+0,0)</f>
        <v/>
      </c>
      <c r="Q1302" s="158">
        <f>IF($P1302=0,0,$P1302+IFERROR(INDEX(MASTER_JAM!$H$5:$H$94,MATCH($C1302,MASTER_JAM!$A$5:$A$94,0))+0,MASTER_JAM!$AC$15)/1000*(60/MASTER_JAM!$AC$12+60/MASTER_JAM!$AC$13)+MASTER_JAM!$AC$14)</f>
        <v/>
      </c>
      <c r="R1302" s="158">
        <f>IF(N($F1302)=0,0,$F1302/SUMIFS(INPUT_RITASE!$F$5:$F$20000,INPUT_RITASE!$A$5:$A$20000,$A1302,INPUT_RITASE!$B$5:$B$20000,$B1302,INPUT_RITASE!$C$5:$C$20000,$C1302,INPUT_RITASE!$D$5:$D$20000,$D1302))</f>
        <v/>
      </c>
      <c r="S1302" s="158">
        <f>IF($Q1302=0,0,$R1302*$P1302/$Q1302)</f>
        <v/>
      </c>
    </row>
    <row r="1303">
      <c r="A1303" s="155" t="n">
        <v>46108</v>
      </c>
      <c r="B1303" s="156" t="inlineStr">
        <is>
          <t>14-15</t>
        </is>
      </c>
      <c r="C1303" s="156" t="inlineStr">
        <is>
          <t>EX-753</t>
        </is>
      </c>
      <c r="D1303" s="156" t="inlineStr">
        <is>
          <t>DT-516</t>
        </is>
      </c>
      <c r="E1303" s="156" t="inlineStr">
        <is>
          <t>OB</t>
        </is>
      </c>
      <c r="F1303" s="156" t="n">
        <v>3</v>
      </c>
      <c r="G1303" s="156" t="inlineStr"/>
      <c r="H1303" s="157">
        <f>IF($B1303="","",IF(ISNA(MATCH($B1303,MASTER_JAM!$Q$5:$Q$28,0)),"?",IF(MATCH($B1303,MASTER_JAM!$Q$5:$Q$28,0)&lt;=12,"DS","NS")))</f>
        <v/>
      </c>
      <c r="I1303" s="157">
        <f>IFERROR(INDEX(MASTER_JAM!$B$5:$B$94,MATCH($C1303,MASTER_JAM!$A$5:$A$94,0)),"")</f>
        <v/>
      </c>
      <c r="J1303" s="157">
        <f>IFERROR(INDEX(MASTER_JAM!$E$5:$E$94,MATCH($D1303,MASTER_JAM!$A$5:$A$94,0)),"")</f>
        <v/>
      </c>
      <c r="K1303" s="158">
        <f>IFERROR(INDEX(MASTER_JAM!$J$5:$O$12,MATCH($E1303,MASTER_JAM!$I$5:$I$12,0),MATCH($J1303,MASTER_JAM!$J$4:$O$4,0))+0,0)</f>
        <v/>
      </c>
      <c r="L1303" s="159">
        <f>N($F1303)*$K1303</f>
        <v/>
      </c>
      <c r="M1303" s="157">
        <f>IF($E1303="","",IF(OR($E1303="Coal",$E1303="Dirty Coal"),"MT","BCM"))</f>
        <v/>
      </c>
      <c r="N1303" s="157">
        <f>IF($E1303="","",IF(OR($E1303="Coal",$E1303="Dirty Coal"),"Coal","OB"))</f>
        <v/>
      </c>
      <c r="O1303" s="157">
        <f>IF($F1303="","",IF(COUNTIF(MASTER_JAM!$A$5:$A$94,$C1303)=0,"Digger tidak dikenal",IF($J1303="","Hauler tidak dikenal",IF($H1303="?","Jam salah",IF($K1303=0,"Faktor kosong",IF(SUMIFS(INPUT_DELAY!$E$5:$E$20000,INPUT_DELAY!$A$5:$A$20000,$A1303,INPUT_DELAY!$B$5:$B$20000,$B1303,INPUT_DELAY!$C$5:$C$20000,$C1303)+SUMIFS(INPUT_DELAY!$E$5:$E$20000,INPUT_DELAY!$A$5:$A$20000,$A1303,INPUT_DELAY!$B$5:$B$20000,$B1303,INPUT_DELAY!$C$5:$C$20000,"SEMUA")&gt;=60,"Delay 60 mnt tapi ada ritase","OK"))))))</f>
        <v/>
      </c>
      <c r="P1303" s="158">
        <f>IFERROR(INDEX(MASTER_JAM!$Z$5:$AC$10,MATCH($I1303,MASTER_JAM!$Y$5:$Y$10,0),MATCH($J1303,MASTER_JAM!$Z$4:$AC$4,0))+0,0)</f>
        <v/>
      </c>
      <c r="Q1303" s="158">
        <f>IF($P1303=0,0,$P1303+IFERROR(INDEX(MASTER_JAM!$H$5:$H$94,MATCH($C1303,MASTER_JAM!$A$5:$A$94,0))+0,MASTER_JAM!$AC$15)/1000*(60/MASTER_JAM!$AC$12+60/MASTER_JAM!$AC$13)+MASTER_JAM!$AC$14)</f>
        <v/>
      </c>
      <c r="R1303" s="158">
        <f>IF(N($F1303)=0,0,$F1303/SUMIFS(INPUT_RITASE!$F$5:$F$20000,INPUT_RITASE!$A$5:$A$20000,$A1303,INPUT_RITASE!$B$5:$B$20000,$B1303,INPUT_RITASE!$C$5:$C$20000,$C1303,INPUT_RITASE!$D$5:$D$20000,$D1303))</f>
        <v/>
      </c>
      <c r="S1303" s="158">
        <f>IF($Q1303=0,0,$R1303*$P1303/$Q1303)</f>
        <v/>
      </c>
    </row>
    <row r="1304">
      <c r="A1304" s="155" t="n">
        <v>46108</v>
      </c>
      <c r="B1304" s="156" t="inlineStr">
        <is>
          <t>15-16</t>
        </is>
      </c>
      <c r="C1304" s="156" t="inlineStr">
        <is>
          <t>EX-753</t>
        </is>
      </c>
      <c r="D1304" s="156" t="inlineStr">
        <is>
          <t>DT-514</t>
        </is>
      </c>
      <c r="E1304" s="156" t="inlineStr">
        <is>
          <t>OB</t>
        </is>
      </c>
      <c r="F1304" s="156" t="n">
        <v>4</v>
      </c>
      <c r="G1304" s="156" t="inlineStr"/>
      <c r="H1304" s="157">
        <f>IF($B1304="","",IF(ISNA(MATCH($B1304,MASTER_JAM!$Q$5:$Q$28,0)),"?",IF(MATCH($B1304,MASTER_JAM!$Q$5:$Q$28,0)&lt;=12,"DS","NS")))</f>
        <v/>
      </c>
      <c r="I1304" s="157">
        <f>IFERROR(INDEX(MASTER_JAM!$B$5:$B$94,MATCH($C1304,MASTER_JAM!$A$5:$A$94,0)),"")</f>
        <v/>
      </c>
      <c r="J1304" s="157">
        <f>IFERROR(INDEX(MASTER_JAM!$E$5:$E$94,MATCH($D1304,MASTER_JAM!$A$5:$A$94,0)),"")</f>
        <v/>
      </c>
      <c r="K1304" s="158">
        <f>IFERROR(INDEX(MASTER_JAM!$J$5:$O$12,MATCH($E1304,MASTER_JAM!$I$5:$I$12,0),MATCH($J1304,MASTER_JAM!$J$4:$O$4,0))+0,0)</f>
        <v/>
      </c>
      <c r="L1304" s="159">
        <f>N($F1304)*$K1304</f>
        <v/>
      </c>
      <c r="M1304" s="157">
        <f>IF($E1304="","",IF(OR($E1304="Coal",$E1304="Dirty Coal"),"MT","BCM"))</f>
        <v/>
      </c>
      <c r="N1304" s="157">
        <f>IF($E1304="","",IF(OR($E1304="Coal",$E1304="Dirty Coal"),"Coal","OB"))</f>
        <v/>
      </c>
      <c r="O1304" s="157">
        <f>IF($F1304="","",IF(COUNTIF(MASTER_JAM!$A$5:$A$94,$C1304)=0,"Digger tidak dikenal",IF($J1304="","Hauler tidak dikenal",IF($H1304="?","Jam salah",IF($K1304=0,"Faktor kosong",IF(SUMIFS(INPUT_DELAY!$E$5:$E$20000,INPUT_DELAY!$A$5:$A$20000,$A1304,INPUT_DELAY!$B$5:$B$20000,$B1304,INPUT_DELAY!$C$5:$C$20000,$C1304)+SUMIFS(INPUT_DELAY!$E$5:$E$20000,INPUT_DELAY!$A$5:$A$20000,$A1304,INPUT_DELAY!$B$5:$B$20000,$B1304,INPUT_DELAY!$C$5:$C$20000,"SEMUA")&gt;=60,"Delay 60 mnt tapi ada ritase","OK"))))))</f>
        <v/>
      </c>
      <c r="P1304" s="158">
        <f>IFERROR(INDEX(MASTER_JAM!$Z$5:$AC$10,MATCH($I1304,MASTER_JAM!$Y$5:$Y$10,0),MATCH($J1304,MASTER_JAM!$Z$4:$AC$4,0))+0,0)</f>
        <v/>
      </c>
      <c r="Q1304" s="158">
        <f>IF($P1304=0,0,$P1304+IFERROR(INDEX(MASTER_JAM!$H$5:$H$94,MATCH($C1304,MASTER_JAM!$A$5:$A$94,0))+0,MASTER_JAM!$AC$15)/1000*(60/MASTER_JAM!$AC$12+60/MASTER_JAM!$AC$13)+MASTER_JAM!$AC$14)</f>
        <v/>
      </c>
      <c r="R1304" s="158">
        <f>IF(N($F1304)=0,0,$F1304/SUMIFS(INPUT_RITASE!$F$5:$F$20000,INPUT_RITASE!$A$5:$A$20000,$A1304,INPUT_RITASE!$B$5:$B$20000,$B1304,INPUT_RITASE!$C$5:$C$20000,$C1304,INPUT_RITASE!$D$5:$D$20000,$D1304))</f>
        <v/>
      </c>
      <c r="S1304" s="158">
        <f>IF($Q1304=0,0,$R1304*$P1304/$Q1304)</f>
        <v/>
      </c>
    </row>
    <row r="1305">
      <c r="A1305" s="155" t="n">
        <v>46108</v>
      </c>
      <c r="B1305" s="156" t="inlineStr">
        <is>
          <t>15-16</t>
        </is>
      </c>
      <c r="C1305" s="156" t="inlineStr">
        <is>
          <t>EX-753</t>
        </is>
      </c>
      <c r="D1305" s="156" t="inlineStr">
        <is>
          <t>DT-519</t>
        </is>
      </c>
      <c r="E1305" s="156" t="inlineStr">
        <is>
          <t>OB</t>
        </is>
      </c>
      <c r="F1305" s="156" t="n">
        <v>4</v>
      </c>
      <c r="G1305" s="156" t="inlineStr"/>
      <c r="H1305" s="157">
        <f>IF($B1305="","",IF(ISNA(MATCH($B1305,MASTER_JAM!$Q$5:$Q$28,0)),"?",IF(MATCH($B1305,MASTER_JAM!$Q$5:$Q$28,0)&lt;=12,"DS","NS")))</f>
        <v/>
      </c>
      <c r="I1305" s="157">
        <f>IFERROR(INDEX(MASTER_JAM!$B$5:$B$94,MATCH($C1305,MASTER_JAM!$A$5:$A$94,0)),"")</f>
        <v/>
      </c>
      <c r="J1305" s="157">
        <f>IFERROR(INDEX(MASTER_JAM!$E$5:$E$94,MATCH($D1305,MASTER_JAM!$A$5:$A$94,0)),"")</f>
        <v/>
      </c>
      <c r="K1305" s="158">
        <f>IFERROR(INDEX(MASTER_JAM!$J$5:$O$12,MATCH($E1305,MASTER_JAM!$I$5:$I$12,0),MATCH($J1305,MASTER_JAM!$J$4:$O$4,0))+0,0)</f>
        <v/>
      </c>
      <c r="L1305" s="159">
        <f>N($F1305)*$K1305</f>
        <v/>
      </c>
      <c r="M1305" s="157">
        <f>IF($E1305="","",IF(OR($E1305="Coal",$E1305="Dirty Coal"),"MT","BCM"))</f>
        <v/>
      </c>
      <c r="N1305" s="157">
        <f>IF($E1305="","",IF(OR($E1305="Coal",$E1305="Dirty Coal"),"Coal","OB"))</f>
        <v/>
      </c>
      <c r="O1305" s="157">
        <f>IF($F1305="","",IF(COUNTIF(MASTER_JAM!$A$5:$A$94,$C1305)=0,"Digger tidak dikenal",IF($J1305="","Hauler tidak dikenal",IF($H1305="?","Jam salah",IF($K1305=0,"Faktor kosong",IF(SUMIFS(INPUT_DELAY!$E$5:$E$20000,INPUT_DELAY!$A$5:$A$20000,$A1305,INPUT_DELAY!$B$5:$B$20000,$B1305,INPUT_DELAY!$C$5:$C$20000,$C1305)+SUMIFS(INPUT_DELAY!$E$5:$E$20000,INPUT_DELAY!$A$5:$A$20000,$A1305,INPUT_DELAY!$B$5:$B$20000,$B1305,INPUT_DELAY!$C$5:$C$20000,"SEMUA")&gt;=60,"Delay 60 mnt tapi ada ritase","OK"))))))</f>
        <v/>
      </c>
      <c r="P1305" s="158">
        <f>IFERROR(INDEX(MASTER_JAM!$Z$5:$AC$10,MATCH($I1305,MASTER_JAM!$Y$5:$Y$10,0),MATCH($J1305,MASTER_JAM!$Z$4:$AC$4,0))+0,0)</f>
        <v/>
      </c>
      <c r="Q1305" s="158">
        <f>IF($P1305=0,0,$P1305+IFERROR(INDEX(MASTER_JAM!$H$5:$H$94,MATCH($C1305,MASTER_JAM!$A$5:$A$94,0))+0,MASTER_JAM!$AC$15)/1000*(60/MASTER_JAM!$AC$12+60/MASTER_JAM!$AC$13)+MASTER_JAM!$AC$14)</f>
        <v/>
      </c>
      <c r="R1305" s="158">
        <f>IF(N($F1305)=0,0,$F1305/SUMIFS(INPUT_RITASE!$F$5:$F$20000,INPUT_RITASE!$A$5:$A$20000,$A1305,INPUT_RITASE!$B$5:$B$20000,$B1305,INPUT_RITASE!$C$5:$C$20000,$C1305,INPUT_RITASE!$D$5:$D$20000,$D1305))</f>
        <v/>
      </c>
      <c r="S1305" s="158">
        <f>IF($Q1305=0,0,$R1305*$P1305/$Q1305)</f>
        <v/>
      </c>
    </row>
    <row r="1306">
      <c r="A1306" s="155" t="n">
        <v>46108</v>
      </c>
      <c r="B1306" s="156" t="inlineStr">
        <is>
          <t>15-16</t>
        </is>
      </c>
      <c r="C1306" s="156" t="inlineStr">
        <is>
          <t>EX-753</t>
        </is>
      </c>
      <c r="D1306" s="156" t="inlineStr">
        <is>
          <t>DT-512</t>
        </is>
      </c>
      <c r="E1306" s="156" t="inlineStr">
        <is>
          <t>OB</t>
        </is>
      </c>
      <c r="F1306" s="156" t="n">
        <v>4</v>
      </c>
      <c r="G1306" s="156" t="inlineStr"/>
      <c r="H1306" s="157">
        <f>IF($B1306="","",IF(ISNA(MATCH($B1306,MASTER_JAM!$Q$5:$Q$28,0)),"?",IF(MATCH($B1306,MASTER_JAM!$Q$5:$Q$28,0)&lt;=12,"DS","NS")))</f>
        <v/>
      </c>
      <c r="I1306" s="157">
        <f>IFERROR(INDEX(MASTER_JAM!$B$5:$B$94,MATCH($C1306,MASTER_JAM!$A$5:$A$94,0)),"")</f>
        <v/>
      </c>
      <c r="J1306" s="157">
        <f>IFERROR(INDEX(MASTER_JAM!$E$5:$E$94,MATCH($D1306,MASTER_JAM!$A$5:$A$94,0)),"")</f>
        <v/>
      </c>
      <c r="K1306" s="158">
        <f>IFERROR(INDEX(MASTER_JAM!$J$5:$O$12,MATCH($E1306,MASTER_JAM!$I$5:$I$12,0),MATCH($J1306,MASTER_JAM!$J$4:$O$4,0))+0,0)</f>
        <v/>
      </c>
      <c r="L1306" s="159">
        <f>N($F1306)*$K1306</f>
        <v/>
      </c>
      <c r="M1306" s="157">
        <f>IF($E1306="","",IF(OR($E1306="Coal",$E1306="Dirty Coal"),"MT","BCM"))</f>
        <v/>
      </c>
      <c r="N1306" s="157">
        <f>IF($E1306="","",IF(OR($E1306="Coal",$E1306="Dirty Coal"),"Coal","OB"))</f>
        <v/>
      </c>
      <c r="O1306" s="157">
        <f>IF($F1306="","",IF(COUNTIF(MASTER_JAM!$A$5:$A$94,$C1306)=0,"Digger tidak dikenal",IF($J1306="","Hauler tidak dikenal",IF($H1306="?","Jam salah",IF($K1306=0,"Faktor kosong",IF(SUMIFS(INPUT_DELAY!$E$5:$E$20000,INPUT_DELAY!$A$5:$A$20000,$A1306,INPUT_DELAY!$B$5:$B$20000,$B1306,INPUT_DELAY!$C$5:$C$20000,$C1306)+SUMIFS(INPUT_DELAY!$E$5:$E$20000,INPUT_DELAY!$A$5:$A$20000,$A1306,INPUT_DELAY!$B$5:$B$20000,$B1306,INPUT_DELAY!$C$5:$C$20000,"SEMUA")&gt;=60,"Delay 60 mnt tapi ada ritase","OK"))))))</f>
        <v/>
      </c>
      <c r="P1306" s="158">
        <f>IFERROR(INDEX(MASTER_JAM!$Z$5:$AC$10,MATCH($I1306,MASTER_JAM!$Y$5:$Y$10,0),MATCH($J1306,MASTER_JAM!$Z$4:$AC$4,0))+0,0)</f>
        <v/>
      </c>
      <c r="Q1306" s="158">
        <f>IF($P1306=0,0,$P1306+IFERROR(INDEX(MASTER_JAM!$H$5:$H$94,MATCH($C1306,MASTER_JAM!$A$5:$A$94,0))+0,MASTER_JAM!$AC$15)/1000*(60/MASTER_JAM!$AC$12+60/MASTER_JAM!$AC$13)+MASTER_JAM!$AC$14)</f>
        <v/>
      </c>
      <c r="R1306" s="158">
        <f>IF(N($F1306)=0,0,$F1306/SUMIFS(INPUT_RITASE!$F$5:$F$20000,INPUT_RITASE!$A$5:$A$20000,$A1306,INPUT_RITASE!$B$5:$B$20000,$B1306,INPUT_RITASE!$C$5:$C$20000,$C1306,INPUT_RITASE!$D$5:$D$20000,$D1306))</f>
        <v/>
      </c>
      <c r="S1306" s="158">
        <f>IF($Q1306=0,0,$R1306*$P1306/$Q1306)</f>
        <v/>
      </c>
    </row>
    <row r="1307">
      <c r="A1307" s="155" t="n">
        <v>46108</v>
      </c>
      <c r="B1307" s="156" t="inlineStr">
        <is>
          <t>16-17</t>
        </is>
      </c>
      <c r="C1307" s="156" t="inlineStr">
        <is>
          <t>EX-753</t>
        </is>
      </c>
      <c r="D1307" s="156" t="inlineStr">
        <is>
          <t>DT-503</t>
        </is>
      </c>
      <c r="E1307" s="156" t="inlineStr">
        <is>
          <t>OB</t>
        </is>
      </c>
      <c r="F1307" s="156" t="n">
        <v>4</v>
      </c>
      <c r="G1307" s="156" t="inlineStr"/>
      <c r="H1307" s="157">
        <f>IF($B1307="","",IF(ISNA(MATCH($B1307,MASTER_JAM!$Q$5:$Q$28,0)),"?",IF(MATCH($B1307,MASTER_JAM!$Q$5:$Q$28,0)&lt;=12,"DS","NS")))</f>
        <v/>
      </c>
      <c r="I1307" s="157">
        <f>IFERROR(INDEX(MASTER_JAM!$B$5:$B$94,MATCH($C1307,MASTER_JAM!$A$5:$A$94,0)),"")</f>
        <v/>
      </c>
      <c r="J1307" s="157">
        <f>IFERROR(INDEX(MASTER_JAM!$E$5:$E$94,MATCH($D1307,MASTER_JAM!$A$5:$A$94,0)),"")</f>
        <v/>
      </c>
      <c r="K1307" s="158">
        <f>IFERROR(INDEX(MASTER_JAM!$J$5:$O$12,MATCH($E1307,MASTER_JAM!$I$5:$I$12,0),MATCH($J1307,MASTER_JAM!$J$4:$O$4,0))+0,0)</f>
        <v/>
      </c>
      <c r="L1307" s="159">
        <f>N($F1307)*$K1307</f>
        <v/>
      </c>
      <c r="M1307" s="157">
        <f>IF($E1307="","",IF(OR($E1307="Coal",$E1307="Dirty Coal"),"MT","BCM"))</f>
        <v/>
      </c>
      <c r="N1307" s="157">
        <f>IF($E1307="","",IF(OR($E1307="Coal",$E1307="Dirty Coal"),"Coal","OB"))</f>
        <v/>
      </c>
      <c r="O1307" s="157">
        <f>IF($F1307="","",IF(COUNTIF(MASTER_JAM!$A$5:$A$94,$C1307)=0,"Digger tidak dikenal",IF($J1307="","Hauler tidak dikenal",IF($H1307="?","Jam salah",IF($K1307=0,"Faktor kosong",IF(SUMIFS(INPUT_DELAY!$E$5:$E$20000,INPUT_DELAY!$A$5:$A$20000,$A1307,INPUT_DELAY!$B$5:$B$20000,$B1307,INPUT_DELAY!$C$5:$C$20000,$C1307)+SUMIFS(INPUT_DELAY!$E$5:$E$20000,INPUT_DELAY!$A$5:$A$20000,$A1307,INPUT_DELAY!$B$5:$B$20000,$B1307,INPUT_DELAY!$C$5:$C$20000,"SEMUA")&gt;=60,"Delay 60 mnt tapi ada ritase","OK"))))))</f>
        <v/>
      </c>
      <c r="P1307" s="158">
        <f>IFERROR(INDEX(MASTER_JAM!$Z$5:$AC$10,MATCH($I1307,MASTER_JAM!$Y$5:$Y$10,0),MATCH($J1307,MASTER_JAM!$Z$4:$AC$4,0))+0,0)</f>
        <v/>
      </c>
      <c r="Q1307" s="158">
        <f>IF($P1307=0,0,$P1307+IFERROR(INDEX(MASTER_JAM!$H$5:$H$94,MATCH($C1307,MASTER_JAM!$A$5:$A$94,0))+0,MASTER_JAM!$AC$15)/1000*(60/MASTER_JAM!$AC$12+60/MASTER_JAM!$AC$13)+MASTER_JAM!$AC$14)</f>
        <v/>
      </c>
      <c r="R1307" s="158">
        <f>IF(N($F1307)=0,0,$F1307/SUMIFS(INPUT_RITASE!$F$5:$F$20000,INPUT_RITASE!$A$5:$A$20000,$A1307,INPUT_RITASE!$B$5:$B$20000,$B1307,INPUT_RITASE!$C$5:$C$20000,$C1307,INPUT_RITASE!$D$5:$D$20000,$D1307))</f>
        <v/>
      </c>
      <c r="S1307" s="158">
        <f>IF($Q1307=0,0,$R1307*$P1307/$Q1307)</f>
        <v/>
      </c>
    </row>
    <row r="1308">
      <c r="A1308" s="155" t="n">
        <v>46108</v>
      </c>
      <c r="B1308" s="156" t="inlineStr">
        <is>
          <t>16-17</t>
        </is>
      </c>
      <c r="C1308" s="156" t="inlineStr">
        <is>
          <t>EX-753</t>
        </is>
      </c>
      <c r="D1308" s="156" t="inlineStr">
        <is>
          <t>DT-515</t>
        </is>
      </c>
      <c r="E1308" s="156" t="inlineStr">
        <is>
          <t>OB</t>
        </is>
      </c>
      <c r="F1308" s="156" t="n">
        <v>4</v>
      </c>
      <c r="G1308" s="156" t="inlineStr"/>
      <c r="H1308" s="157">
        <f>IF($B1308="","",IF(ISNA(MATCH($B1308,MASTER_JAM!$Q$5:$Q$28,0)),"?",IF(MATCH($B1308,MASTER_JAM!$Q$5:$Q$28,0)&lt;=12,"DS","NS")))</f>
        <v/>
      </c>
      <c r="I1308" s="157">
        <f>IFERROR(INDEX(MASTER_JAM!$B$5:$B$94,MATCH($C1308,MASTER_JAM!$A$5:$A$94,0)),"")</f>
        <v/>
      </c>
      <c r="J1308" s="157">
        <f>IFERROR(INDEX(MASTER_JAM!$E$5:$E$94,MATCH($D1308,MASTER_JAM!$A$5:$A$94,0)),"")</f>
        <v/>
      </c>
      <c r="K1308" s="158">
        <f>IFERROR(INDEX(MASTER_JAM!$J$5:$O$12,MATCH($E1308,MASTER_JAM!$I$5:$I$12,0),MATCH($J1308,MASTER_JAM!$J$4:$O$4,0))+0,0)</f>
        <v/>
      </c>
      <c r="L1308" s="159">
        <f>N($F1308)*$K1308</f>
        <v/>
      </c>
      <c r="M1308" s="157">
        <f>IF($E1308="","",IF(OR($E1308="Coal",$E1308="Dirty Coal"),"MT","BCM"))</f>
        <v/>
      </c>
      <c r="N1308" s="157">
        <f>IF($E1308="","",IF(OR($E1308="Coal",$E1308="Dirty Coal"),"Coal","OB"))</f>
        <v/>
      </c>
      <c r="O1308" s="157">
        <f>IF($F1308="","",IF(COUNTIF(MASTER_JAM!$A$5:$A$94,$C1308)=0,"Digger tidak dikenal",IF($J1308="","Hauler tidak dikenal",IF($H1308="?","Jam salah",IF($K1308=0,"Faktor kosong",IF(SUMIFS(INPUT_DELAY!$E$5:$E$20000,INPUT_DELAY!$A$5:$A$20000,$A1308,INPUT_DELAY!$B$5:$B$20000,$B1308,INPUT_DELAY!$C$5:$C$20000,$C1308)+SUMIFS(INPUT_DELAY!$E$5:$E$20000,INPUT_DELAY!$A$5:$A$20000,$A1308,INPUT_DELAY!$B$5:$B$20000,$B1308,INPUT_DELAY!$C$5:$C$20000,"SEMUA")&gt;=60,"Delay 60 mnt tapi ada ritase","OK"))))))</f>
        <v/>
      </c>
      <c r="P1308" s="158">
        <f>IFERROR(INDEX(MASTER_JAM!$Z$5:$AC$10,MATCH($I1308,MASTER_JAM!$Y$5:$Y$10,0),MATCH($J1308,MASTER_JAM!$Z$4:$AC$4,0))+0,0)</f>
        <v/>
      </c>
      <c r="Q1308" s="158">
        <f>IF($P1308=0,0,$P1308+IFERROR(INDEX(MASTER_JAM!$H$5:$H$94,MATCH($C1308,MASTER_JAM!$A$5:$A$94,0))+0,MASTER_JAM!$AC$15)/1000*(60/MASTER_JAM!$AC$12+60/MASTER_JAM!$AC$13)+MASTER_JAM!$AC$14)</f>
        <v/>
      </c>
      <c r="R1308" s="158">
        <f>IF(N($F1308)=0,0,$F1308/SUMIFS(INPUT_RITASE!$F$5:$F$20000,INPUT_RITASE!$A$5:$A$20000,$A1308,INPUT_RITASE!$B$5:$B$20000,$B1308,INPUT_RITASE!$C$5:$C$20000,$C1308,INPUT_RITASE!$D$5:$D$20000,$D1308))</f>
        <v/>
      </c>
      <c r="S1308" s="158">
        <f>IF($Q1308=0,0,$R1308*$P1308/$Q1308)</f>
        <v/>
      </c>
    </row>
    <row r="1309">
      <c r="A1309" s="155" t="n">
        <v>46108</v>
      </c>
      <c r="B1309" s="156" t="inlineStr">
        <is>
          <t>16-17</t>
        </is>
      </c>
      <c r="C1309" s="156" t="inlineStr">
        <is>
          <t>EX-753</t>
        </is>
      </c>
      <c r="D1309" s="156" t="inlineStr">
        <is>
          <t>DT-511</t>
        </is>
      </c>
      <c r="E1309" s="156" t="inlineStr">
        <is>
          <t>OB</t>
        </is>
      </c>
      <c r="F1309" s="156" t="n">
        <v>4</v>
      </c>
      <c r="G1309" s="156" t="inlineStr"/>
      <c r="H1309" s="157">
        <f>IF($B1309="","",IF(ISNA(MATCH($B1309,MASTER_JAM!$Q$5:$Q$28,0)),"?",IF(MATCH($B1309,MASTER_JAM!$Q$5:$Q$28,0)&lt;=12,"DS","NS")))</f>
        <v/>
      </c>
      <c r="I1309" s="157">
        <f>IFERROR(INDEX(MASTER_JAM!$B$5:$B$94,MATCH($C1309,MASTER_JAM!$A$5:$A$94,0)),"")</f>
        <v/>
      </c>
      <c r="J1309" s="157">
        <f>IFERROR(INDEX(MASTER_JAM!$E$5:$E$94,MATCH($D1309,MASTER_JAM!$A$5:$A$94,0)),"")</f>
        <v/>
      </c>
      <c r="K1309" s="158">
        <f>IFERROR(INDEX(MASTER_JAM!$J$5:$O$12,MATCH($E1309,MASTER_JAM!$I$5:$I$12,0),MATCH($J1309,MASTER_JAM!$J$4:$O$4,0))+0,0)</f>
        <v/>
      </c>
      <c r="L1309" s="159">
        <f>N($F1309)*$K1309</f>
        <v/>
      </c>
      <c r="M1309" s="157">
        <f>IF($E1309="","",IF(OR($E1309="Coal",$E1309="Dirty Coal"),"MT","BCM"))</f>
        <v/>
      </c>
      <c r="N1309" s="157">
        <f>IF($E1309="","",IF(OR($E1309="Coal",$E1309="Dirty Coal"),"Coal","OB"))</f>
        <v/>
      </c>
      <c r="O1309" s="157">
        <f>IF($F1309="","",IF(COUNTIF(MASTER_JAM!$A$5:$A$94,$C1309)=0,"Digger tidak dikenal",IF($J1309="","Hauler tidak dikenal",IF($H1309="?","Jam salah",IF($K1309=0,"Faktor kosong",IF(SUMIFS(INPUT_DELAY!$E$5:$E$20000,INPUT_DELAY!$A$5:$A$20000,$A1309,INPUT_DELAY!$B$5:$B$20000,$B1309,INPUT_DELAY!$C$5:$C$20000,$C1309)+SUMIFS(INPUT_DELAY!$E$5:$E$20000,INPUT_DELAY!$A$5:$A$20000,$A1309,INPUT_DELAY!$B$5:$B$20000,$B1309,INPUT_DELAY!$C$5:$C$20000,"SEMUA")&gt;=60,"Delay 60 mnt tapi ada ritase","OK"))))))</f>
        <v/>
      </c>
      <c r="P1309" s="158">
        <f>IFERROR(INDEX(MASTER_JAM!$Z$5:$AC$10,MATCH($I1309,MASTER_JAM!$Y$5:$Y$10,0),MATCH($J1309,MASTER_JAM!$Z$4:$AC$4,0))+0,0)</f>
        <v/>
      </c>
      <c r="Q1309" s="158">
        <f>IF($P1309=0,0,$P1309+IFERROR(INDEX(MASTER_JAM!$H$5:$H$94,MATCH($C1309,MASTER_JAM!$A$5:$A$94,0))+0,MASTER_JAM!$AC$15)/1000*(60/MASTER_JAM!$AC$12+60/MASTER_JAM!$AC$13)+MASTER_JAM!$AC$14)</f>
        <v/>
      </c>
      <c r="R1309" s="158">
        <f>IF(N($F1309)=0,0,$F1309/SUMIFS(INPUT_RITASE!$F$5:$F$20000,INPUT_RITASE!$A$5:$A$20000,$A1309,INPUT_RITASE!$B$5:$B$20000,$B1309,INPUT_RITASE!$C$5:$C$20000,$C1309,INPUT_RITASE!$D$5:$D$20000,$D1309))</f>
        <v/>
      </c>
      <c r="S1309" s="158">
        <f>IF($Q1309=0,0,$R1309*$P1309/$Q1309)</f>
        <v/>
      </c>
    </row>
    <row r="1310">
      <c r="A1310" s="155" t="n">
        <v>46108</v>
      </c>
      <c r="B1310" s="156" t="inlineStr">
        <is>
          <t>17-18</t>
        </is>
      </c>
      <c r="C1310" s="156" t="inlineStr">
        <is>
          <t>EX-753</t>
        </is>
      </c>
      <c r="D1310" s="156" t="inlineStr">
        <is>
          <t>DT-529</t>
        </is>
      </c>
      <c r="E1310" s="156" t="inlineStr">
        <is>
          <t>OB</t>
        </is>
      </c>
      <c r="F1310" s="156" t="n">
        <v>4</v>
      </c>
      <c r="G1310" s="156" t="inlineStr"/>
      <c r="H1310" s="157">
        <f>IF($B1310="","",IF(ISNA(MATCH($B1310,MASTER_JAM!$Q$5:$Q$28,0)),"?",IF(MATCH($B1310,MASTER_JAM!$Q$5:$Q$28,0)&lt;=12,"DS","NS")))</f>
        <v/>
      </c>
      <c r="I1310" s="157">
        <f>IFERROR(INDEX(MASTER_JAM!$B$5:$B$94,MATCH($C1310,MASTER_JAM!$A$5:$A$94,0)),"")</f>
        <v/>
      </c>
      <c r="J1310" s="157">
        <f>IFERROR(INDEX(MASTER_JAM!$E$5:$E$94,MATCH($D1310,MASTER_JAM!$A$5:$A$94,0)),"")</f>
        <v/>
      </c>
      <c r="K1310" s="158">
        <f>IFERROR(INDEX(MASTER_JAM!$J$5:$O$12,MATCH($E1310,MASTER_JAM!$I$5:$I$12,0),MATCH($J1310,MASTER_JAM!$J$4:$O$4,0))+0,0)</f>
        <v/>
      </c>
      <c r="L1310" s="159">
        <f>N($F1310)*$K1310</f>
        <v/>
      </c>
      <c r="M1310" s="157">
        <f>IF($E1310="","",IF(OR($E1310="Coal",$E1310="Dirty Coal"),"MT","BCM"))</f>
        <v/>
      </c>
      <c r="N1310" s="157">
        <f>IF($E1310="","",IF(OR($E1310="Coal",$E1310="Dirty Coal"),"Coal","OB"))</f>
        <v/>
      </c>
      <c r="O1310" s="157">
        <f>IF($F1310="","",IF(COUNTIF(MASTER_JAM!$A$5:$A$94,$C1310)=0,"Digger tidak dikenal",IF($J1310="","Hauler tidak dikenal",IF($H1310="?","Jam salah",IF($K1310=0,"Faktor kosong",IF(SUMIFS(INPUT_DELAY!$E$5:$E$20000,INPUT_DELAY!$A$5:$A$20000,$A1310,INPUT_DELAY!$B$5:$B$20000,$B1310,INPUT_DELAY!$C$5:$C$20000,$C1310)+SUMIFS(INPUT_DELAY!$E$5:$E$20000,INPUT_DELAY!$A$5:$A$20000,$A1310,INPUT_DELAY!$B$5:$B$20000,$B1310,INPUT_DELAY!$C$5:$C$20000,"SEMUA")&gt;=60,"Delay 60 mnt tapi ada ritase","OK"))))))</f>
        <v/>
      </c>
      <c r="P1310" s="158">
        <f>IFERROR(INDEX(MASTER_JAM!$Z$5:$AC$10,MATCH($I1310,MASTER_JAM!$Y$5:$Y$10,0),MATCH($J1310,MASTER_JAM!$Z$4:$AC$4,0))+0,0)</f>
        <v/>
      </c>
      <c r="Q1310" s="158">
        <f>IF($P1310=0,0,$P1310+IFERROR(INDEX(MASTER_JAM!$H$5:$H$94,MATCH($C1310,MASTER_JAM!$A$5:$A$94,0))+0,MASTER_JAM!$AC$15)/1000*(60/MASTER_JAM!$AC$12+60/MASTER_JAM!$AC$13)+MASTER_JAM!$AC$14)</f>
        <v/>
      </c>
      <c r="R1310" s="158">
        <f>IF(N($F1310)=0,0,$F1310/SUMIFS(INPUT_RITASE!$F$5:$F$20000,INPUT_RITASE!$A$5:$A$20000,$A1310,INPUT_RITASE!$B$5:$B$20000,$B1310,INPUT_RITASE!$C$5:$C$20000,$C1310,INPUT_RITASE!$D$5:$D$20000,$D1310))</f>
        <v/>
      </c>
      <c r="S1310" s="158">
        <f>IF($Q1310=0,0,$R1310*$P1310/$Q1310)</f>
        <v/>
      </c>
    </row>
    <row r="1311">
      <c r="A1311" s="155" t="n">
        <v>46108</v>
      </c>
      <c r="B1311" s="156" t="inlineStr">
        <is>
          <t>17-18</t>
        </is>
      </c>
      <c r="C1311" s="156" t="inlineStr">
        <is>
          <t>EX-753</t>
        </is>
      </c>
      <c r="D1311" s="156" t="inlineStr">
        <is>
          <t>DT-520</t>
        </is>
      </c>
      <c r="E1311" s="156" t="inlineStr">
        <is>
          <t>OB</t>
        </is>
      </c>
      <c r="F1311" s="156" t="n">
        <v>3</v>
      </c>
      <c r="G1311" s="156" t="inlineStr"/>
      <c r="H1311" s="157">
        <f>IF($B1311="","",IF(ISNA(MATCH($B1311,MASTER_JAM!$Q$5:$Q$28,0)),"?",IF(MATCH($B1311,MASTER_JAM!$Q$5:$Q$28,0)&lt;=12,"DS","NS")))</f>
        <v/>
      </c>
      <c r="I1311" s="157">
        <f>IFERROR(INDEX(MASTER_JAM!$B$5:$B$94,MATCH($C1311,MASTER_JAM!$A$5:$A$94,0)),"")</f>
        <v/>
      </c>
      <c r="J1311" s="157">
        <f>IFERROR(INDEX(MASTER_JAM!$E$5:$E$94,MATCH($D1311,MASTER_JAM!$A$5:$A$94,0)),"")</f>
        <v/>
      </c>
      <c r="K1311" s="158">
        <f>IFERROR(INDEX(MASTER_JAM!$J$5:$O$12,MATCH($E1311,MASTER_JAM!$I$5:$I$12,0),MATCH($J1311,MASTER_JAM!$J$4:$O$4,0))+0,0)</f>
        <v/>
      </c>
      <c r="L1311" s="159">
        <f>N($F1311)*$K1311</f>
        <v/>
      </c>
      <c r="M1311" s="157">
        <f>IF($E1311="","",IF(OR($E1311="Coal",$E1311="Dirty Coal"),"MT","BCM"))</f>
        <v/>
      </c>
      <c r="N1311" s="157">
        <f>IF($E1311="","",IF(OR($E1311="Coal",$E1311="Dirty Coal"),"Coal","OB"))</f>
        <v/>
      </c>
      <c r="O1311" s="157">
        <f>IF($F1311="","",IF(COUNTIF(MASTER_JAM!$A$5:$A$94,$C1311)=0,"Digger tidak dikenal",IF($J1311="","Hauler tidak dikenal",IF($H1311="?","Jam salah",IF($K1311=0,"Faktor kosong",IF(SUMIFS(INPUT_DELAY!$E$5:$E$20000,INPUT_DELAY!$A$5:$A$20000,$A1311,INPUT_DELAY!$B$5:$B$20000,$B1311,INPUT_DELAY!$C$5:$C$20000,$C1311)+SUMIFS(INPUT_DELAY!$E$5:$E$20000,INPUT_DELAY!$A$5:$A$20000,$A1311,INPUT_DELAY!$B$5:$B$20000,$B1311,INPUT_DELAY!$C$5:$C$20000,"SEMUA")&gt;=60,"Delay 60 mnt tapi ada ritase","OK"))))))</f>
        <v/>
      </c>
      <c r="P1311" s="158">
        <f>IFERROR(INDEX(MASTER_JAM!$Z$5:$AC$10,MATCH($I1311,MASTER_JAM!$Y$5:$Y$10,0),MATCH($J1311,MASTER_JAM!$Z$4:$AC$4,0))+0,0)</f>
        <v/>
      </c>
      <c r="Q1311" s="158">
        <f>IF($P1311=0,0,$P1311+IFERROR(INDEX(MASTER_JAM!$H$5:$H$94,MATCH($C1311,MASTER_JAM!$A$5:$A$94,0))+0,MASTER_JAM!$AC$15)/1000*(60/MASTER_JAM!$AC$12+60/MASTER_JAM!$AC$13)+MASTER_JAM!$AC$14)</f>
        <v/>
      </c>
      <c r="R1311" s="158">
        <f>IF(N($F1311)=0,0,$F1311/SUMIFS(INPUT_RITASE!$F$5:$F$20000,INPUT_RITASE!$A$5:$A$20000,$A1311,INPUT_RITASE!$B$5:$B$20000,$B1311,INPUT_RITASE!$C$5:$C$20000,$C1311,INPUT_RITASE!$D$5:$D$20000,$D1311))</f>
        <v/>
      </c>
      <c r="S1311" s="158">
        <f>IF($Q1311=0,0,$R1311*$P1311/$Q1311)</f>
        <v/>
      </c>
    </row>
    <row r="1312">
      <c r="A1312" s="155" t="n">
        <v>46108</v>
      </c>
      <c r="B1312" s="156" t="inlineStr">
        <is>
          <t>17-18</t>
        </is>
      </c>
      <c r="C1312" s="156" t="inlineStr">
        <is>
          <t>EX-753</t>
        </is>
      </c>
      <c r="D1312" s="156" t="inlineStr">
        <is>
          <t>DT-518</t>
        </is>
      </c>
      <c r="E1312" s="156" t="inlineStr">
        <is>
          <t>Coal</t>
        </is>
      </c>
      <c r="F1312" s="156" t="n">
        <v>2</v>
      </c>
      <c r="G1312" s="156" t="inlineStr"/>
      <c r="H1312" s="157">
        <f>IF($B1312="","",IF(ISNA(MATCH($B1312,MASTER_JAM!$Q$5:$Q$28,0)),"?",IF(MATCH($B1312,MASTER_JAM!$Q$5:$Q$28,0)&lt;=12,"DS","NS")))</f>
        <v/>
      </c>
      <c r="I1312" s="157">
        <f>IFERROR(INDEX(MASTER_JAM!$B$5:$B$94,MATCH($C1312,MASTER_JAM!$A$5:$A$94,0)),"")</f>
        <v/>
      </c>
      <c r="J1312" s="157">
        <f>IFERROR(INDEX(MASTER_JAM!$E$5:$E$94,MATCH($D1312,MASTER_JAM!$A$5:$A$94,0)),"")</f>
        <v/>
      </c>
      <c r="K1312" s="158">
        <f>IFERROR(INDEX(MASTER_JAM!$J$5:$O$12,MATCH($E1312,MASTER_JAM!$I$5:$I$12,0),MATCH($J1312,MASTER_JAM!$J$4:$O$4,0))+0,0)</f>
        <v/>
      </c>
      <c r="L1312" s="159">
        <f>N($F1312)*$K1312</f>
        <v/>
      </c>
      <c r="M1312" s="157">
        <f>IF($E1312="","",IF(OR($E1312="Coal",$E1312="Dirty Coal"),"MT","BCM"))</f>
        <v/>
      </c>
      <c r="N1312" s="157">
        <f>IF($E1312="","",IF(OR($E1312="Coal",$E1312="Dirty Coal"),"Coal","OB"))</f>
        <v/>
      </c>
      <c r="O1312" s="157">
        <f>IF($F1312="","",IF(COUNTIF(MASTER_JAM!$A$5:$A$94,$C1312)=0,"Digger tidak dikenal",IF($J1312="","Hauler tidak dikenal",IF($H1312="?","Jam salah",IF($K1312=0,"Faktor kosong",IF(SUMIFS(INPUT_DELAY!$E$5:$E$20000,INPUT_DELAY!$A$5:$A$20000,$A1312,INPUT_DELAY!$B$5:$B$20000,$B1312,INPUT_DELAY!$C$5:$C$20000,$C1312)+SUMIFS(INPUT_DELAY!$E$5:$E$20000,INPUT_DELAY!$A$5:$A$20000,$A1312,INPUT_DELAY!$B$5:$B$20000,$B1312,INPUT_DELAY!$C$5:$C$20000,"SEMUA")&gt;=60,"Delay 60 mnt tapi ada ritase","OK"))))))</f>
        <v/>
      </c>
      <c r="P1312" s="158">
        <f>IFERROR(INDEX(MASTER_JAM!$Z$5:$AC$10,MATCH($I1312,MASTER_JAM!$Y$5:$Y$10,0),MATCH($J1312,MASTER_JAM!$Z$4:$AC$4,0))+0,0)</f>
        <v/>
      </c>
      <c r="Q1312" s="158">
        <f>IF($P1312=0,0,$P1312+IFERROR(INDEX(MASTER_JAM!$H$5:$H$94,MATCH($C1312,MASTER_JAM!$A$5:$A$94,0))+0,MASTER_JAM!$AC$15)/1000*(60/MASTER_JAM!$AC$12+60/MASTER_JAM!$AC$13)+MASTER_JAM!$AC$14)</f>
        <v/>
      </c>
      <c r="R1312" s="158">
        <f>IF(N($F1312)=0,0,$F1312/SUMIFS(INPUT_RITASE!$F$5:$F$20000,INPUT_RITASE!$A$5:$A$20000,$A1312,INPUT_RITASE!$B$5:$B$20000,$B1312,INPUT_RITASE!$C$5:$C$20000,$C1312,INPUT_RITASE!$D$5:$D$20000,$D1312))</f>
        <v/>
      </c>
      <c r="S1312" s="158">
        <f>IF($Q1312=0,0,$R1312*$P1312/$Q1312)</f>
        <v/>
      </c>
    </row>
    <row r="1313">
      <c r="A1313" s="155" t="n">
        <v>46108</v>
      </c>
      <c r="B1313" s="156" t="inlineStr">
        <is>
          <t>18-19</t>
        </is>
      </c>
      <c r="C1313" s="156" t="inlineStr">
        <is>
          <t>EX-1251</t>
        </is>
      </c>
      <c r="D1313" s="156" t="inlineStr">
        <is>
          <t>DT-523</t>
        </is>
      </c>
      <c r="E1313" s="156" t="inlineStr">
        <is>
          <t>OB</t>
        </is>
      </c>
      <c r="F1313" s="156" t="n">
        <v>4</v>
      </c>
      <c r="G1313" s="156" t="inlineStr"/>
      <c r="H1313" s="157">
        <f>IF($B1313="","",IF(ISNA(MATCH($B1313,MASTER_JAM!$Q$5:$Q$28,0)),"?",IF(MATCH($B1313,MASTER_JAM!$Q$5:$Q$28,0)&lt;=12,"DS","NS")))</f>
        <v/>
      </c>
      <c r="I1313" s="157">
        <f>IFERROR(INDEX(MASTER_JAM!$B$5:$B$94,MATCH($C1313,MASTER_JAM!$A$5:$A$94,0)),"")</f>
        <v/>
      </c>
      <c r="J1313" s="157">
        <f>IFERROR(INDEX(MASTER_JAM!$E$5:$E$94,MATCH($D1313,MASTER_JAM!$A$5:$A$94,0)),"")</f>
        <v/>
      </c>
      <c r="K1313" s="158">
        <f>IFERROR(INDEX(MASTER_JAM!$J$5:$O$12,MATCH($E1313,MASTER_JAM!$I$5:$I$12,0),MATCH($J1313,MASTER_JAM!$J$4:$O$4,0))+0,0)</f>
        <v/>
      </c>
      <c r="L1313" s="159">
        <f>N($F1313)*$K1313</f>
        <v/>
      </c>
      <c r="M1313" s="157">
        <f>IF($E1313="","",IF(OR($E1313="Coal",$E1313="Dirty Coal"),"MT","BCM"))</f>
        <v/>
      </c>
      <c r="N1313" s="157">
        <f>IF($E1313="","",IF(OR($E1313="Coal",$E1313="Dirty Coal"),"Coal","OB"))</f>
        <v/>
      </c>
      <c r="O1313" s="157">
        <f>IF($F1313="","",IF(COUNTIF(MASTER_JAM!$A$5:$A$94,$C1313)=0,"Digger tidak dikenal",IF($J1313="","Hauler tidak dikenal",IF($H1313="?","Jam salah",IF($K1313=0,"Faktor kosong",IF(SUMIFS(INPUT_DELAY!$E$5:$E$20000,INPUT_DELAY!$A$5:$A$20000,$A1313,INPUT_DELAY!$B$5:$B$20000,$B1313,INPUT_DELAY!$C$5:$C$20000,$C1313)+SUMIFS(INPUT_DELAY!$E$5:$E$20000,INPUT_DELAY!$A$5:$A$20000,$A1313,INPUT_DELAY!$B$5:$B$20000,$B1313,INPUT_DELAY!$C$5:$C$20000,"SEMUA")&gt;=60,"Delay 60 mnt tapi ada ritase","OK"))))))</f>
        <v/>
      </c>
      <c r="P1313" s="158">
        <f>IFERROR(INDEX(MASTER_JAM!$Z$5:$AC$10,MATCH($I1313,MASTER_JAM!$Y$5:$Y$10,0),MATCH($J1313,MASTER_JAM!$Z$4:$AC$4,0))+0,0)</f>
        <v/>
      </c>
      <c r="Q1313" s="158">
        <f>IF($P1313=0,0,$P1313+IFERROR(INDEX(MASTER_JAM!$H$5:$H$94,MATCH($C1313,MASTER_JAM!$A$5:$A$94,0))+0,MASTER_JAM!$AC$15)/1000*(60/MASTER_JAM!$AC$12+60/MASTER_JAM!$AC$13)+MASTER_JAM!$AC$14)</f>
        <v/>
      </c>
      <c r="R1313" s="158">
        <f>IF(N($F1313)=0,0,$F1313/SUMIFS(INPUT_RITASE!$F$5:$F$20000,INPUT_RITASE!$A$5:$A$20000,$A1313,INPUT_RITASE!$B$5:$B$20000,$B1313,INPUT_RITASE!$C$5:$C$20000,$C1313,INPUT_RITASE!$D$5:$D$20000,$D1313))</f>
        <v/>
      </c>
      <c r="S1313" s="158">
        <f>IF($Q1313=0,0,$R1313*$P1313/$Q1313)</f>
        <v/>
      </c>
    </row>
    <row r="1314">
      <c r="A1314" s="155" t="n">
        <v>46108</v>
      </c>
      <c r="B1314" s="156" t="inlineStr">
        <is>
          <t>18-19</t>
        </is>
      </c>
      <c r="C1314" s="156" t="inlineStr">
        <is>
          <t>EX-1251</t>
        </is>
      </c>
      <c r="D1314" s="156" t="inlineStr">
        <is>
          <t>DT-526</t>
        </is>
      </c>
      <c r="E1314" s="156" t="inlineStr">
        <is>
          <t>OB</t>
        </is>
      </c>
      <c r="F1314" s="156" t="n">
        <v>4</v>
      </c>
      <c r="G1314" s="156" t="inlineStr"/>
      <c r="H1314" s="157">
        <f>IF($B1314="","",IF(ISNA(MATCH($B1314,MASTER_JAM!$Q$5:$Q$28,0)),"?",IF(MATCH($B1314,MASTER_JAM!$Q$5:$Q$28,0)&lt;=12,"DS","NS")))</f>
        <v/>
      </c>
      <c r="I1314" s="157">
        <f>IFERROR(INDEX(MASTER_JAM!$B$5:$B$94,MATCH($C1314,MASTER_JAM!$A$5:$A$94,0)),"")</f>
        <v/>
      </c>
      <c r="J1314" s="157">
        <f>IFERROR(INDEX(MASTER_JAM!$E$5:$E$94,MATCH($D1314,MASTER_JAM!$A$5:$A$94,0)),"")</f>
        <v/>
      </c>
      <c r="K1314" s="158">
        <f>IFERROR(INDEX(MASTER_JAM!$J$5:$O$12,MATCH($E1314,MASTER_JAM!$I$5:$I$12,0),MATCH($J1314,MASTER_JAM!$J$4:$O$4,0))+0,0)</f>
        <v/>
      </c>
      <c r="L1314" s="159">
        <f>N($F1314)*$K1314</f>
        <v/>
      </c>
      <c r="M1314" s="157">
        <f>IF($E1314="","",IF(OR($E1314="Coal",$E1314="Dirty Coal"),"MT","BCM"))</f>
        <v/>
      </c>
      <c r="N1314" s="157">
        <f>IF($E1314="","",IF(OR($E1314="Coal",$E1314="Dirty Coal"),"Coal","OB"))</f>
        <v/>
      </c>
      <c r="O1314" s="157">
        <f>IF($F1314="","",IF(COUNTIF(MASTER_JAM!$A$5:$A$94,$C1314)=0,"Digger tidak dikenal",IF($J1314="","Hauler tidak dikenal",IF($H1314="?","Jam salah",IF($K1314=0,"Faktor kosong",IF(SUMIFS(INPUT_DELAY!$E$5:$E$20000,INPUT_DELAY!$A$5:$A$20000,$A1314,INPUT_DELAY!$B$5:$B$20000,$B1314,INPUT_DELAY!$C$5:$C$20000,$C1314)+SUMIFS(INPUT_DELAY!$E$5:$E$20000,INPUT_DELAY!$A$5:$A$20000,$A1314,INPUT_DELAY!$B$5:$B$20000,$B1314,INPUT_DELAY!$C$5:$C$20000,"SEMUA")&gt;=60,"Delay 60 mnt tapi ada ritase","OK"))))))</f>
        <v/>
      </c>
      <c r="P1314" s="158">
        <f>IFERROR(INDEX(MASTER_JAM!$Z$5:$AC$10,MATCH($I1314,MASTER_JAM!$Y$5:$Y$10,0),MATCH($J1314,MASTER_JAM!$Z$4:$AC$4,0))+0,0)</f>
        <v/>
      </c>
      <c r="Q1314" s="158">
        <f>IF($P1314=0,0,$P1314+IFERROR(INDEX(MASTER_JAM!$H$5:$H$94,MATCH($C1314,MASTER_JAM!$A$5:$A$94,0))+0,MASTER_JAM!$AC$15)/1000*(60/MASTER_JAM!$AC$12+60/MASTER_JAM!$AC$13)+MASTER_JAM!$AC$14)</f>
        <v/>
      </c>
      <c r="R1314" s="158">
        <f>IF(N($F1314)=0,0,$F1314/SUMIFS(INPUT_RITASE!$F$5:$F$20000,INPUT_RITASE!$A$5:$A$20000,$A1314,INPUT_RITASE!$B$5:$B$20000,$B1314,INPUT_RITASE!$C$5:$C$20000,$C1314,INPUT_RITASE!$D$5:$D$20000,$D1314))</f>
        <v/>
      </c>
      <c r="S1314" s="158">
        <f>IF($Q1314=0,0,$R1314*$P1314/$Q1314)</f>
        <v/>
      </c>
    </row>
    <row r="1315">
      <c r="A1315" s="155" t="n">
        <v>46108</v>
      </c>
      <c r="B1315" s="156" t="inlineStr">
        <is>
          <t>18-19</t>
        </is>
      </c>
      <c r="C1315" s="156" t="inlineStr">
        <is>
          <t>EX-1251</t>
        </is>
      </c>
      <c r="D1315" s="156" t="inlineStr">
        <is>
          <t>DT-515</t>
        </is>
      </c>
      <c r="E1315" s="156" t="inlineStr">
        <is>
          <t>OB</t>
        </is>
      </c>
      <c r="F1315" s="156" t="n">
        <v>4</v>
      </c>
      <c r="G1315" s="156" t="inlineStr"/>
      <c r="H1315" s="157">
        <f>IF($B1315="","",IF(ISNA(MATCH($B1315,MASTER_JAM!$Q$5:$Q$28,0)),"?",IF(MATCH($B1315,MASTER_JAM!$Q$5:$Q$28,0)&lt;=12,"DS","NS")))</f>
        <v/>
      </c>
      <c r="I1315" s="157">
        <f>IFERROR(INDEX(MASTER_JAM!$B$5:$B$94,MATCH($C1315,MASTER_JAM!$A$5:$A$94,0)),"")</f>
        <v/>
      </c>
      <c r="J1315" s="157">
        <f>IFERROR(INDEX(MASTER_JAM!$E$5:$E$94,MATCH($D1315,MASTER_JAM!$A$5:$A$94,0)),"")</f>
        <v/>
      </c>
      <c r="K1315" s="158">
        <f>IFERROR(INDEX(MASTER_JAM!$J$5:$O$12,MATCH($E1315,MASTER_JAM!$I$5:$I$12,0),MATCH($J1315,MASTER_JAM!$J$4:$O$4,0))+0,0)</f>
        <v/>
      </c>
      <c r="L1315" s="159">
        <f>N($F1315)*$K1315</f>
        <v/>
      </c>
      <c r="M1315" s="157">
        <f>IF($E1315="","",IF(OR($E1315="Coal",$E1315="Dirty Coal"),"MT","BCM"))</f>
        <v/>
      </c>
      <c r="N1315" s="157">
        <f>IF($E1315="","",IF(OR($E1315="Coal",$E1315="Dirty Coal"),"Coal","OB"))</f>
        <v/>
      </c>
      <c r="O1315" s="157">
        <f>IF($F1315="","",IF(COUNTIF(MASTER_JAM!$A$5:$A$94,$C1315)=0,"Digger tidak dikenal",IF($J1315="","Hauler tidak dikenal",IF($H1315="?","Jam salah",IF($K1315=0,"Faktor kosong",IF(SUMIFS(INPUT_DELAY!$E$5:$E$20000,INPUT_DELAY!$A$5:$A$20000,$A1315,INPUT_DELAY!$B$5:$B$20000,$B1315,INPUT_DELAY!$C$5:$C$20000,$C1315)+SUMIFS(INPUT_DELAY!$E$5:$E$20000,INPUT_DELAY!$A$5:$A$20000,$A1315,INPUT_DELAY!$B$5:$B$20000,$B1315,INPUT_DELAY!$C$5:$C$20000,"SEMUA")&gt;=60,"Delay 60 mnt tapi ada ritase","OK"))))))</f>
        <v/>
      </c>
      <c r="P1315" s="158">
        <f>IFERROR(INDEX(MASTER_JAM!$Z$5:$AC$10,MATCH($I1315,MASTER_JAM!$Y$5:$Y$10,0),MATCH($J1315,MASTER_JAM!$Z$4:$AC$4,0))+0,0)</f>
        <v/>
      </c>
      <c r="Q1315" s="158">
        <f>IF($P1315=0,0,$P1315+IFERROR(INDEX(MASTER_JAM!$H$5:$H$94,MATCH($C1315,MASTER_JAM!$A$5:$A$94,0))+0,MASTER_JAM!$AC$15)/1000*(60/MASTER_JAM!$AC$12+60/MASTER_JAM!$AC$13)+MASTER_JAM!$AC$14)</f>
        <v/>
      </c>
      <c r="R1315" s="158">
        <f>IF(N($F1315)=0,0,$F1315/SUMIFS(INPUT_RITASE!$F$5:$F$20000,INPUT_RITASE!$A$5:$A$20000,$A1315,INPUT_RITASE!$B$5:$B$20000,$B1315,INPUT_RITASE!$C$5:$C$20000,$C1315,INPUT_RITASE!$D$5:$D$20000,$D1315))</f>
        <v/>
      </c>
      <c r="S1315" s="158">
        <f>IF($Q1315=0,0,$R1315*$P1315/$Q1315)</f>
        <v/>
      </c>
    </row>
    <row r="1316">
      <c r="A1316" s="155" t="n">
        <v>46108</v>
      </c>
      <c r="B1316" s="156" t="inlineStr">
        <is>
          <t>18-19</t>
        </is>
      </c>
      <c r="C1316" s="156" t="inlineStr">
        <is>
          <t>EX-1251</t>
        </is>
      </c>
      <c r="D1316" s="156" t="inlineStr">
        <is>
          <t>DT-511</t>
        </is>
      </c>
      <c r="E1316" s="156" t="inlineStr">
        <is>
          <t>OB</t>
        </is>
      </c>
      <c r="F1316" s="156" t="n">
        <v>3</v>
      </c>
      <c r="G1316" s="156" t="inlineStr"/>
      <c r="H1316" s="157">
        <f>IF($B1316="","",IF(ISNA(MATCH($B1316,MASTER_JAM!$Q$5:$Q$28,0)),"?",IF(MATCH($B1316,MASTER_JAM!$Q$5:$Q$28,0)&lt;=12,"DS","NS")))</f>
        <v/>
      </c>
      <c r="I1316" s="157">
        <f>IFERROR(INDEX(MASTER_JAM!$B$5:$B$94,MATCH($C1316,MASTER_JAM!$A$5:$A$94,0)),"")</f>
        <v/>
      </c>
      <c r="J1316" s="157">
        <f>IFERROR(INDEX(MASTER_JAM!$E$5:$E$94,MATCH($D1316,MASTER_JAM!$A$5:$A$94,0)),"")</f>
        <v/>
      </c>
      <c r="K1316" s="158">
        <f>IFERROR(INDEX(MASTER_JAM!$J$5:$O$12,MATCH($E1316,MASTER_JAM!$I$5:$I$12,0),MATCH($J1316,MASTER_JAM!$J$4:$O$4,0))+0,0)</f>
        <v/>
      </c>
      <c r="L1316" s="159">
        <f>N($F1316)*$K1316</f>
        <v/>
      </c>
      <c r="M1316" s="157">
        <f>IF($E1316="","",IF(OR($E1316="Coal",$E1316="Dirty Coal"),"MT","BCM"))</f>
        <v/>
      </c>
      <c r="N1316" s="157">
        <f>IF($E1316="","",IF(OR($E1316="Coal",$E1316="Dirty Coal"),"Coal","OB"))</f>
        <v/>
      </c>
      <c r="O1316" s="157">
        <f>IF($F1316="","",IF(COUNTIF(MASTER_JAM!$A$5:$A$94,$C1316)=0,"Digger tidak dikenal",IF($J1316="","Hauler tidak dikenal",IF($H1316="?","Jam salah",IF($K1316=0,"Faktor kosong",IF(SUMIFS(INPUT_DELAY!$E$5:$E$20000,INPUT_DELAY!$A$5:$A$20000,$A1316,INPUT_DELAY!$B$5:$B$20000,$B1316,INPUT_DELAY!$C$5:$C$20000,$C1316)+SUMIFS(INPUT_DELAY!$E$5:$E$20000,INPUT_DELAY!$A$5:$A$20000,$A1316,INPUT_DELAY!$B$5:$B$20000,$B1316,INPUT_DELAY!$C$5:$C$20000,"SEMUA")&gt;=60,"Delay 60 mnt tapi ada ritase","OK"))))))</f>
        <v/>
      </c>
      <c r="P1316" s="158">
        <f>IFERROR(INDEX(MASTER_JAM!$Z$5:$AC$10,MATCH($I1316,MASTER_JAM!$Y$5:$Y$10,0),MATCH($J1316,MASTER_JAM!$Z$4:$AC$4,0))+0,0)</f>
        <v/>
      </c>
      <c r="Q1316" s="158">
        <f>IF($P1316=0,0,$P1316+IFERROR(INDEX(MASTER_JAM!$H$5:$H$94,MATCH($C1316,MASTER_JAM!$A$5:$A$94,0))+0,MASTER_JAM!$AC$15)/1000*(60/MASTER_JAM!$AC$12+60/MASTER_JAM!$AC$13)+MASTER_JAM!$AC$14)</f>
        <v/>
      </c>
      <c r="R1316" s="158">
        <f>IF(N($F1316)=0,0,$F1316/SUMIFS(INPUT_RITASE!$F$5:$F$20000,INPUT_RITASE!$A$5:$A$20000,$A1316,INPUT_RITASE!$B$5:$B$20000,$B1316,INPUT_RITASE!$C$5:$C$20000,$C1316,INPUT_RITASE!$D$5:$D$20000,$D1316))</f>
        <v/>
      </c>
      <c r="S1316" s="158">
        <f>IF($Q1316=0,0,$R1316*$P1316/$Q1316)</f>
        <v/>
      </c>
    </row>
    <row r="1317">
      <c r="A1317" s="155" t="n">
        <v>46108</v>
      </c>
      <c r="B1317" s="156" t="inlineStr">
        <is>
          <t>19-20</t>
        </is>
      </c>
      <c r="C1317" s="156" t="inlineStr">
        <is>
          <t>EX-1251</t>
        </is>
      </c>
      <c r="D1317" s="156" t="inlineStr">
        <is>
          <t>DT-511</t>
        </is>
      </c>
      <c r="E1317" s="156" t="inlineStr">
        <is>
          <t>OB</t>
        </is>
      </c>
      <c r="F1317" s="156" t="n">
        <v>4</v>
      </c>
      <c r="G1317" s="156" t="inlineStr"/>
      <c r="H1317" s="157">
        <f>IF($B1317="","",IF(ISNA(MATCH($B1317,MASTER_JAM!$Q$5:$Q$28,0)),"?",IF(MATCH($B1317,MASTER_JAM!$Q$5:$Q$28,0)&lt;=12,"DS","NS")))</f>
        <v/>
      </c>
      <c r="I1317" s="157">
        <f>IFERROR(INDEX(MASTER_JAM!$B$5:$B$94,MATCH($C1317,MASTER_JAM!$A$5:$A$94,0)),"")</f>
        <v/>
      </c>
      <c r="J1317" s="157">
        <f>IFERROR(INDEX(MASTER_JAM!$E$5:$E$94,MATCH($D1317,MASTER_JAM!$A$5:$A$94,0)),"")</f>
        <v/>
      </c>
      <c r="K1317" s="158">
        <f>IFERROR(INDEX(MASTER_JAM!$J$5:$O$12,MATCH($E1317,MASTER_JAM!$I$5:$I$12,0),MATCH($J1317,MASTER_JAM!$J$4:$O$4,0))+0,0)</f>
        <v/>
      </c>
      <c r="L1317" s="159">
        <f>N($F1317)*$K1317</f>
        <v/>
      </c>
      <c r="M1317" s="157">
        <f>IF($E1317="","",IF(OR($E1317="Coal",$E1317="Dirty Coal"),"MT","BCM"))</f>
        <v/>
      </c>
      <c r="N1317" s="157">
        <f>IF($E1317="","",IF(OR($E1317="Coal",$E1317="Dirty Coal"),"Coal","OB"))</f>
        <v/>
      </c>
      <c r="O1317" s="157">
        <f>IF($F1317="","",IF(COUNTIF(MASTER_JAM!$A$5:$A$94,$C1317)=0,"Digger tidak dikenal",IF($J1317="","Hauler tidak dikenal",IF($H1317="?","Jam salah",IF($K1317=0,"Faktor kosong",IF(SUMIFS(INPUT_DELAY!$E$5:$E$20000,INPUT_DELAY!$A$5:$A$20000,$A1317,INPUT_DELAY!$B$5:$B$20000,$B1317,INPUT_DELAY!$C$5:$C$20000,$C1317)+SUMIFS(INPUT_DELAY!$E$5:$E$20000,INPUT_DELAY!$A$5:$A$20000,$A1317,INPUT_DELAY!$B$5:$B$20000,$B1317,INPUT_DELAY!$C$5:$C$20000,"SEMUA")&gt;=60,"Delay 60 mnt tapi ada ritase","OK"))))))</f>
        <v/>
      </c>
      <c r="P1317" s="158">
        <f>IFERROR(INDEX(MASTER_JAM!$Z$5:$AC$10,MATCH($I1317,MASTER_JAM!$Y$5:$Y$10,0),MATCH($J1317,MASTER_JAM!$Z$4:$AC$4,0))+0,0)</f>
        <v/>
      </c>
      <c r="Q1317" s="158">
        <f>IF($P1317=0,0,$P1317+IFERROR(INDEX(MASTER_JAM!$H$5:$H$94,MATCH($C1317,MASTER_JAM!$A$5:$A$94,0))+0,MASTER_JAM!$AC$15)/1000*(60/MASTER_JAM!$AC$12+60/MASTER_JAM!$AC$13)+MASTER_JAM!$AC$14)</f>
        <v/>
      </c>
      <c r="R1317" s="158">
        <f>IF(N($F1317)=0,0,$F1317/SUMIFS(INPUT_RITASE!$F$5:$F$20000,INPUT_RITASE!$A$5:$A$20000,$A1317,INPUT_RITASE!$B$5:$B$20000,$B1317,INPUT_RITASE!$C$5:$C$20000,$C1317,INPUT_RITASE!$D$5:$D$20000,$D1317))</f>
        <v/>
      </c>
      <c r="S1317" s="158">
        <f>IF($Q1317=0,0,$R1317*$P1317/$Q1317)</f>
        <v/>
      </c>
    </row>
    <row r="1318">
      <c r="A1318" s="155" t="n">
        <v>46108</v>
      </c>
      <c r="B1318" s="156" t="inlineStr">
        <is>
          <t>19-20</t>
        </is>
      </c>
      <c r="C1318" s="156" t="inlineStr">
        <is>
          <t>EX-1251</t>
        </is>
      </c>
      <c r="D1318" s="156" t="inlineStr">
        <is>
          <t>DT-515</t>
        </is>
      </c>
      <c r="E1318" s="156" t="inlineStr">
        <is>
          <t>OB</t>
        </is>
      </c>
      <c r="F1318" s="156" t="n">
        <v>4</v>
      </c>
      <c r="G1318" s="156" t="inlineStr"/>
      <c r="H1318" s="157">
        <f>IF($B1318="","",IF(ISNA(MATCH($B1318,MASTER_JAM!$Q$5:$Q$28,0)),"?",IF(MATCH($B1318,MASTER_JAM!$Q$5:$Q$28,0)&lt;=12,"DS","NS")))</f>
        <v/>
      </c>
      <c r="I1318" s="157">
        <f>IFERROR(INDEX(MASTER_JAM!$B$5:$B$94,MATCH($C1318,MASTER_JAM!$A$5:$A$94,0)),"")</f>
        <v/>
      </c>
      <c r="J1318" s="157">
        <f>IFERROR(INDEX(MASTER_JAM!$E$5:$E$94,MATCH($D1318,MASTER_JAM!$A$5:$A$94,0)),"")</f>
        <v/>
      </c>
      <c r="K1318" s="158">
        <f>IFERROR(INDEX(MASTER_JAM!$J$5:$O$12,MATCH($E1318,MASTER_JAM!$I$5:$I$12,0),MATCH($J1318,MASTER_JAM!$J$4:$O$4,0))+0,0)</f>
        <v/>
      </c>
      <c r="L1318" s="159">
        <f>N($F1318)*$K1318</f>
        <v/>
      </c>
      <c r="M1318" s="157">
        <f>IF($E1318="","",IF(OR($E1318="Coal",$E1318="Dirty Coal"),"MT","BCM"))</f>
        <v/>
      </c>
      <c r="N1318" s="157">
        <f>IF($E1318="","",IF(OR($E1318="Coal",$E1318="Dirty Coal"),"Coal","OB"))</f>
        <v/>
      </c>
      <c r="O1318" s="157">
        <f>IF($F1318="","",IF(COUNTIF(MASTER_JAM!$A$5:$A$94,$C1318)=0,"Digger tidak dikenal",IF($J1318="","Hauler tidak dikenal",IF($H1318="?","Jam salah",IF($K1318=0,"Faktor kosong",IF(SUMIFS(INPUT_DELAY!$E$5:$E$20000,INPUT_DELAY!$A$5:$A$20000,$A1318,INPUT_DELAY!$B$5:$B$20000,$B1318,INPUT_DELAY!$C$5:$C$20000,$C1318)+SUMIFS(INPUT_DELAY!$E$5:$E$20000,INPUT_DELAY!$A$5:$A$20000,$A1318,INPUT_DELAY!$B$5:$B$20000,$B1318,INPUT_DELAY!$C$5:$C$20000,"SEMUA")&gt;=60,"Delay 60 mnt tapi ada ritase","OK"))))))</f>
        <v/>
      </c>
      <c r="P1318" s="158">
        <f>IFERROR(INDEX(MASTER_JAM!$Z$5:$AC$10,MATCH($I1318,MASTER_JAM!$Y$5:$Y$10,0),MATCH($J1318,MASTER_JAM!$Z$4:$AC$4,0))+0,0)</f>
        <v/>
      </c>
      <c r="Q1318" s="158">
        <f>IF($P1318=0,0,$P1318+IFERROR(INDEX(MASTER_JAM!$H$5:$H$94,MATCH($C1318,MASTER_JAM!$A$5:$A$94,0))+0,MASTER_JAM!$AC$15)/1000*(60/MASTER_JAM!$AC$12+60/MASTER_JAM!$AC$13)+MASTER_JAM!$AC$14)</f>
        <v/>
      </c>
      <c r="R1318" s="158">
        <f>IF(N($F1318)=0,0,$F1318/SUMIFS(INPUT_RITASE!$F$5:$F$20000,INPUT_RITASE!$A$5:$A$20000,$A1318,INPUT_RITASE!$B$5:$B$20000,$B1318,INPUT_RITASE!$C$5:$C$20000,$C1318,INPUT_RITASE!$D$5:$D$20000,$D1318))</f>
        <v/>
      </c>
      <c r="S1318" s="158">
        <f>IF($Q1318=0,0,$R1318*$P1318/$Q1318)</f>
        <v/>
      </c>
    </row>
    <row r="1319">
      <c r="A1319" s="155" t="n">
        <v>46108</v>
      </c>
      <c r="B1319" s="156" t="inlineStr">
        <is>
          <t>19-20</t>
        </is>
      </c>
      <c r="C1319" s="156" t="inlineStr">
        <is>
          <t>EX-1251</t>
        </is>
      </c>
      <c r="D1319" s="156" t="inlineStr">
        <is>
          <t>DT-529</t>
        </is>
      </c>
      <c r="E1319" s="156" t="inlineStr">
        <is>
          <t>OB</t>
        </is>
      </c>
      <c r="F1319" s="156" t="n">
        <v>3</v>
      </c>
      <c r="G1319" s="156" t="inlineStr"/>
      <c r="H1319" s="157">
        <f>IF($B1319="","",IF(ISNA(MATCH($B1319,MASTER_JAM!$Q$5:$Q$28,0)),"?",IF(MATCH($B1319,MASTER_JAM!$Q$5:$Q$28,0)&lt;=12,"DS","NS")))</f>
        <v/>
      </c>
      <c r="I1319" s="157">
        <f>IFERROR(INDEX(MASTER_JAM!$B$5:$B$94,MATCH($C1319,MASTER_JAM!$A$5:$A$94,0)),"")</f>
        <v/>
      </c>
      <c r="J1319" s="157">
        <f>IFERROR(INDEX(MASTER_JAM!$E$5:$E$94,MATCH($D1319,MASTER_JAM!$A$5:$A$94,0)),"")</f>
        <v/>
      </c>
      <c r="K1319" s="158">
        <f>IFERROR(INDEX(MASTER_JAM!$J$5:$O$12,MATCH($E1319,MASTER_JAM!$I$5:$I$12,0),MATCH($J1319,MASTER_JAM!$J$4:$O$4,0))+0,0)</f>
        <v/>
      </c>
      <c r="L1319" s="159">
        <f>N($F1319)*$K1319</f>
        <v/>
      </c>
      <c r="M1319" s="157">
        <f>IF($E1319="","",IF(OR($E1319="Coal",$E1319="Dirty Coal"),"MT","BCM"))</f>
        <v/>
      </c>
      <c r="N1319" s="157">
        <f>IF($E1319="","",IF(OR($E1319="Coal",$E1319="Dirty Coal"),"Coal","OB"))</f>
        <v/>
      </c>
      <c r="O1319" s="157">
        <f>IF($F1319="","",IF(COUNTIF(MASTER_JAM!$A$5:$A$94,$C1319)=0,"Digger tidak dikenal",IF($J1319="","Hauler tidak dikenal",IF($H1319="?","Jam salah",IF($K1319=0,"Faktor kosong",IF(SUMIFS(INPUT_DELAY!$E$5:$E$20000,INPUT_DELAY!$A$5:$A$20000,$A1319,INPUT_DELAY!$B$5:$B$20000,$B1319,INPUT_DELAY!$C$5:$C$20000,$C1319)+SUMIFS(INPUT_DELAY!$E$5:$E$20000,INPUT_DELAY!$A$5:$A$20000,$A1319,INPUT_DELAY!$B$5:$B$20000,$B1319,INPUT_DELAY!$C$5:$C$20000,"SEMUA")&gt;=60,"Delay 60 mnt tapi ada ritase","OK"))))))</f>
        <v/>
      </c>
      <c r="P1319" s="158">
        <f>IFERROR(INDEX(MASTER_JAM!$Z$5:$AC$10,MATCH($I1319,MASTER_JAM!$Y$5:$Y$10,0),MATCH($J1319,MASTER_JAM!$Z$4:$AC$4,0))+0,0)</f>
        <v/>
      </c>
      <c r="Q1319" s="158">
        <f>IF($P1319=0,0,$P1319+IFERROR(INDEX(MASTER_JAM!$H$5:$H$94,MATCH($C1319,MASTER_JAM!$A$5:$A$94,0))+0,MASTER_JAM!$AC$15)/1000*(60/MASTER_JAM!$AC$12+60/MASTER_JAM!$AC$13)+MASTER_JAM!$AC$14)</f>
        <v/>
      </c>
      <c r="R1319" s="158">
        <f>IF(N($F1319)=0,0,$F1319/SUMIFS(INPUT_RITASE!$F$5:$F$20000,INPUT_RITASE!$A$5:$A$20000,$A1319,INPUT_RITASE!$B$5:$B$20000,$B1319,INPUT_RITASE!$C$5:$C$20000,$C1319,INPUT_RITASE!$D$5:$D$20000,$D1319))</f>
        <v/>
      </c>
      <c r="S1319" s="158">
        <f>IF($Q1319=0,0,$R1319*$P1319/$Q1319)</f>
        <v/>
      </c>
    </row>
    <row r="1320">
      <c r="A1320" s="155" t="n">
        <v>46108</v>
      </c>
      <c r="B1320" s="156" t="inlineStr">
        <is>
          <t>19-20</t>
        </is>
      </c>
      <c r="C1320" s="156" t="inlineStr">
        <is>
          <t>EX-1251</t>
        </is>
      </c>
      <c r="D1320" s="156" t="inlineStr">
        <is>
          <t>DT-523</t>
        </is>
      </c>
      <c r="E1320" s="156" t="inlineStr">
        <is>
          <t>OB</t>
        </is>
      </c>
      <c r="F1320" s="156" t="n">
        <v>3</v>
      </c>
      <c r="G1320" s="156" t="inlineStr"/>
      <c r="H1320" s="157">
        <f>IF($B1320="","",IF(ISNA(MATCH($B1320,MASTER_JAM!$Q$5:$Q$28,0)),"?",IF(MATCH($B1320,MASTER_JAM!$Q$5:$Q$28,0)&lt;=12,"DS","NS")))</f>
        <v/>
      </c>
      <c r="I1320" s="157">
        <f>IFERROR(INDEX(MASTER_JAM!$B$5:$B$94,MATCH($C1320,MASTER_JAM!$A$5:$A$94,0)),"")</f>
        <v/>
      </c>
      <c r="J1320" s="157">
        <f>IFERROR(INDEX(MASTER_JAM!$E$5:$E$94,MATCH($D1320,MASTER_JAM!$A$5:$A$94,0)),"")</f>
        <v/>
      </c>
      <c r="K1320" s="158">
        <f>IFERROR(INDEX(MASTER_JAM!$J$5:$O$12,MATCH($E1320,MASTER_JAM!$I$5:$I$12,0),MATCH($J1320,MASTER_JAM!$J$4:$O$4,0))+0,0)</f>
        <v/>
      </c>
      <c r="L1320" s="159">
        <f>N($F1320)*$K1320</f>
        <v/>
      </c>
      <c r="M1320" s="157">
        <f>IF($E1320="","",IF(OR($E1320="Coal",$E1320="Dirty Coal"),"MT","BCM"))</f>
        <v/>
      </c>
      <c r="N1320" s="157">
        <f>IF($E1320="","",IF(OR($E1320="Coal",$E1320="Dirty Coal"),"Coal","OB"))</f>
        <v/>
      </c>
      <c r="O1320" s="157">
        <f>IF($F1320="","",IF(COUNTIF(MASTER_JAM!$A$5:$A$94,$C1320)=0,"Digger tidak dikenal",IF($J1320="","Hauler tidak dikenal",IF($H1320="?","Jam salah",IF($K1320=0,"Faktor kosong",IF(SUMIFS(INPUT_DELAY!$E$5:$E$20000,INPUT_DELAY!$A$5:$A$20000,$A1320,INPUT_DELAY!$B$5:$B$20000,$B1320,INPUT_DELAY!$C$5:$C$20000,$C1320)+SUMIFS(INPUT_DELAY!$E$5:$E$20000,INPUT_DELAY!$A$5:$A$20000,$A1320,INPUT_DELAY!$B$5:$B$20000,$B1320,INPUT_DELAY!$C$5:$C$20000,"SEMUA")&gt;=60,"Delay 60 mnt tapi ada ritase","OK"))))))</f>
        <v/>
      </c>
      <c r="P1320" s="158">
        <f>IFERROR(INDEX(MASTER_JAM!$Z$5:$AC$10,MATCH($I1320,MASTER_JAM!$Y$5:$Y$10,0),MATCH($J1320,MASTER_JAM!$Z$4:$AC$4,0))+0,0)</f>
        <v/>
      </c>
      <c r="Q1320" s="158">
        <f>IF($P1320=0,0,$P1320+IFERROR(INDEX(MASTER_JAM!$H$5:$H$94,MATCH($C1320,MASTER_JAM!$A$5:$A$94,0))+0,MASTER_JAM!$AC$15)/1000*(60/MASTER_JAM!$AC$12+60/MASTER_JAM!$AC$13)+MASTER_JAM!$AC$14)</f>
        <v/>
      </c>
      <c r="R1320" s="158">
        <f>IF(N($F1320)=0,0,$F1320/SUMIFS(INPUT_RITASE!$F$5:$F$20000,INPUT_RITASE!$A$5:$A$20000,$A1320,INPUT_RITASE!$B$5:$B$20000,$B1320,INPUT_RITASE!$C$5:$C$20000,$C1320,INPUT_RITASE!$D$5:$D$20000,$D1320))</f>
        <v/>
      </c>
      <c r="S1320" s="158">
        <f>IF($Q1320=0,0,$R1320*$P1320/$Q1320)</f>
        <v/>
      </c>
    </row>
    <row r="1321">
      <c r="A1321" s="155" t="n">
        <v>46108</v>
      </c>
      <c r="B1321" s="156" t="inlineStr">
        <is>
          <t>19-20</t>
        </is>
      </c>
      <c r="C1321" s="156" t="inlineStr">
        <is>
          <t>EX-1251</t>
        </is>
      </c>
      <c r="D1321" s="156" t="inlineStr">
        <is>
          <t>DT-501</t>
        </is>
      </c>
      <c r="E1321" s="156" t="inlineStr">
        <is>
          <t>OB</t>
        </is>
      </c>
      <c r="F1321" s="156" t="n">
        <v>3</v>
      </c>
      <c r="G1321" s="156" t="inlineStr"/>
      <c r="H1321" s="157">
        <f>IF($B1321="","",IF(ISNA(MATCH($B1321,MASTER_JAM!$Q$5:$Q$28,0)),"?",IF(MATCH($B1321,MASTER_JAM!$Q$5:$Q$28,0)&lt;=12,"DS","NS")))</f>
        <v/>
      </c>
      <c r="I1321" s="157">
        <f>IFERROR(INDEX(MASTER_JAM!$B$5:$B$94,MATCH($C1321,MASTER_JAM!$A$5:$A$94,0)),"")</f>
        <v/>
      </c>
      <c r="J1321" s="157">
        <f>IFERROR(INDEX(MASTER_JAM!$E$5:$E$94,MATCH($D1321,MASTER_JAM!$A$5:$A$94,0)),"")</f>
        <v/>
      </c>
      <c r="K1321" s="158">
        <f>IFERROR(INDEX(MASTER_JAM!$J$5:$O$12,MATCH($E1321,MASTER_JAM!$I$5:$I$12,0),MATCH($J1321,MASTER_JAM!$J$4:$O$4,0))+0,0)</f>
        <v/>
      </c>
      <c r="L1321" s="159">
        <f>N($F1321)*$K1321</f>
        <v/>
      </c>
      <c r="M1321" s="157">
        <f>IF($E1321="","",IF(OR($E1321="Coal",$E1321="Dirty Coal"),"MT","BCM"))</f>
        <v/>
      </c>
      <c r="N1321" s="157">
        <f>IF($E1321="","",IF(OR($E1321="Coal",$E1321="Dirty Coal"),"Coal","OB"))</f>
        <v/>
      </c>
      <c r="O1321" s="157">
        <f>IF($F1321="","",IF(COUNTIF(MASTER_JAM!$A$5:$A$94,$C1321)=0,"Digger tidak dikenal",IF($J1321="","Hauler tidak dikenal",IF($H1321="?","Jam salah",IF($K1321=0,"Faktor kosong",IF(SUMIFS(INPUT_DELAY!$E$5:$E$20000,INPUT_DELAY!$A$5:$A$20000,$A1321,INPUT_DELAY!$B$5:$B$20000,$B1321,INPUT_DELAY!$C$5:$C$20000,$C1321)+SUMIFS(INPUT_DELAY!$E$5:$E$20000,INPUT_DELAY!$A$5:$A$20000,$A1321,INPUT_DELAY!$B$5:$B$20000,$B1321,INPUT_DELAY!$C$5:$C$20000,"SEMUA")&gt;=60,"Delay 60 mnt tapi ada ritase","OK"))))))</f>
        <v/>
      </c>
      <c r="P1321" s="158">
        <f>IFERROR(INDEX(MASTER_JAM!$Z$5:$AC$10,MATCH($I1321,MASTER_JAM!$Y$5:$Y$10,0),MATCH($J1321,MASTER_JAM!$Z$4:$AC$4,0))+0,0)</f>
        <v/>
      </c>
      <c r="Q1321" s="158">
        <f>IF($P1321=0,0,$P1321+IFERROR(INDEX(MASTER_JAM!$H$5:$H$94,MATCH($C1321,MASTER_JAM!$A$5:$A$94,0))+0,MASTER_JAM!$AC$15)/1000*(60/MASTER_JAM!$AC$12+60/MASTER_JAM!$AC$13)+MASTER_JAM!$AC$14)</f>
        <v/>
      </c>
      <c r="R1321" s="158">
        <f>IF(N($F1321)=0,0,$F1321/SUMIFS(INPUT_RITASE!$F$5:$F$20000,INPUT_RITASE!$A$5:$A$20000,$A1321,INPUT_RITASE!$B$5:$B$20000,$B1321,INPUT_RITASE!$C$5:$C$20000,$C1321,INPUT_RITASE!$D$5:$D$20000,$D1321))</f>
        <v/>
      </c>
      <c r="S1321" s="158">
        <f>IF($Q1321=0,0,$R1321*$P1321/$Q1321)</f>
        <v/>
      </c>
    </row>
    <row r="1322">
      <c r="A1322" s="155" t="n">
        <v>46108</v>
      </c>
      <c r="B1322" s="156" t="inlineStr">
        <is>
          <t>20-21</t>
        </is>
      </c>
      <c r="C1322" s="156" t="inlineStr">
        <is>
          <t>EX-1251</t>
        </is>
      </c>
      <c r="D1322" s="156" t="inlineStr">
        <is>
          <t>DT-503</t>
        </is>
      </c>
      <c r="E1322" s="156" t="inlineStr">
        <is>
          <t>OB</t>
        </is>
      </c>
      <c r="F1322" s="156" t="n">
        <v>4</v>
      </c>
      <c r="G1322" s="156" t="inlineStr"/>
      <c r="H1322" s="157">
        <f>IF($B1322="","",IF(ISNA(MATCH($B1322,MASTER_JAM!$Q$5:$Q$28,0)),"?",IF(MATCH($B1322,MASTER_JAM!$Q$5:$Q$28,0)&lt;=12,"DS","NS")))</f>
        <v/>
      </c>
      <c r="I1322" s="157">
        <f>IFERROR(INDEX(MASTER_JAM!$B$5:$B$94,MATCH($C1322,MASTER_JAM!$A$5:$A$94,0)),"")</f>
        <v/>
      </c>
      <c r="J1322" s="157">
        <f>IFERROR(INDEX(MASTER_JAM!$E$5:$E$94,MATCH($D1322,MASTER_JAM!$A$5:$A$94,0)),"")</f>
        <v/>
      </c>
      <c r="K1322" s="158">
        <f>IFERROR(INDEX(MASTER_JAM!$J$5:$O$12,MATCH($E1322,MASTER_JAM!$I$5:$I$12,0),MATCH($J1322,MASTER_JAM!$J$4:$O$4,0))+0,0)</f>
        <v/>
      </c>
      <c r="L1322" s="159">
        <f>N($F1322)*$K1322</f>
        <v/>
      </c>
      <c r="M1322" s="157">
        <f>IF($E1322="","",IF(OR($E1322="Coal",$E1322="Dirty Coal"),"MT","BCM"))</f>
        <v/>
      </c>
      <c r="N1322" s="157">
        <f>IF($E1322="","",IF(OR($E1322="Coal",$E1322="Dirty Coal"),"Coal","OB"))</f>
        <v/>
      </c>
      <c r="O1322" s="157">
        <f>IF($F1322="","",IF(COUNTIF(MASTER_JAM!$A$5:$A$94,$C1322)=0,"Digger tidak dikenal",IF($J1322="","Hauler tidak dikenal",IF($H1322="?","Jam salah",IF($K1322=0,"Faktor kosong",IF(SUMIFS(INPUT_DELAY!$E$5:$E$20000,INPUT_DELAY!$A$5:$A$20000,$A1322,INPUT_DELAY!$B$5:$B$20000,$B1322,INPUT_DELAY!$C$5:$C$20000,$C1322)+SUMIFS(INPUT_DELAY!$E$5:$E$20000,INPUT_DELAY!$A$5:$A$20000,$A1322,INPUT_DELAY!$B$5:$B$20000,$B1322,INPUT_DELAY!$C$5:$C$20000,"SEMUA")&gt;=60,"Delay 60 mnt tapi ada ritase","OK"))))))</f>
        <v/>
      </c>
      <c r="P1322" s="158">
        <f>IFERROR(INDEX(MASTER_JAM!$Z$5:$AC$10,MATCH($I1322,MASTER_JAM!$Y$5:$Y$10,0),MATCH($J1322,MASTER_JAM!$Z$4:$AC$4,0))+0,0)</f>
        <v/>
      </c>
      <c r="Q1322" s="158">
        <f>IF($P1322=0,0,$P1322+IFERROR(INDEX(MASTER_JAM!$H$5:$H$94,MATCH($C1322,MASTER_JAM!$A$5:$A$94,0))+0,MASTER_JAM!$AC$15)/1000*(60/MASTER_JAM!$AC$12+60/MASTER_JAM!$AC$13)+MASTER_JAM!$AC$14)</f>
        <v/>
      </c>
      <c r="R1322" s="158">
        <f>IF(N($F1322)=0,0,$F1322/SUMIFS(INPUT_RITASE!$F$5:$F$20000,INPUT_RITASE!$A$5:$A$20000,$A1322,INPUT_RITASE!$B$5:$B$20000,$B1322,INPUT_RITASE!$C$5:$C$20000,$C1322,INPUT_RITASE!$D$5:$D$20000,$D1322))</f>
        <v/>
      </c>
      <c r="S1322" s="158">
        <f>IF($Q1322=0,0,$R1322*$P1322/$Q1322)</f>
        <v/>
      </c>
    </row>
    <row r="1323">
      <c r="A1323" s="155" t="n">
        <v>46108</v>
      </c>
      <c r="B1323" s="156" t="inlineStr">
        <is>
          <t>20-21</t>
        </is>
      </c>
      <c r="C1323" s="156" t="inlineStr">
        <is>
          <t>EX-1251</t>
        </is>
      </c>
      <c r="D1323" s="156" t="inlineStr">
        <is>
          <t>DT-526</t>
        </is>
      </c>
      <c r="E1323" s="156" t="inlineStr">
        <is>
          <t>OB</t>
        </is>
      </c>
      <c r="F1323" s="156" t="n">
        <v>4</v>
      </c>
      <c r="G1323" s="156" t="inlineStr"/>
      <c r="H1323" s="157">
        <f>IF($B1323="","",IF(ISNA(MATCH($B1323,MASTER_JAM!$Q$5:$Q$28,0)),"?",IF(MATCH($B1323,MASTER_JAM!$Q$5:$Q$28,0)&lt;=12,"DS","NS")))</f>
        <v/>
      </c>
      <c r="I1323" s="157">
        <f>IFERROR(INDEX(MASTER_JAM!$B$5:$B$94,MATCH($C1323,MASTER_JAM!$A$5:$A$94,0)),"")</f>
        <v/>
      </c>
      <c r="J1323" s="157">
        <f>IFERROR(INDEX(MASTER_JAM!$E$5:$E$94,MATCH($D1323,MASTER_JAM!$A$5:$A$94,0)),"")</f>
        <v/>
      </c>
      <c r="K1323" s="158">
        <f>IFERROR(INDEX(MASTER_JAM!$J$5:$O$12,MATCH($E1323,MASTER_JAM!$I$5:$I$12,0),MATCH($J1323,MASTER_JAM!$J$4:$O$4,0))+0,0)</f>
        <v/>
      </c>
      <c r="L1323" s="159">
        <f>N($F1323)*$K1323</f>
        <v/>
      </c>
      <c r="M1323" s="157">
        <f>IF($E1323="","",IF(OR($E1323="Coal",$E1323="Dirty Coal"),"MT","BCM"))</f>
        <v/>
      </c>
      <c r="N1323" s="157">
        <f>IF($E1323="","",IF(OR($E1323="Coal",$E1323="Dirty Coal"),"Coal","OB"))</f>
        <v/>
      </c>
      <c r="O1323" s="157">
        <f>IF($F1323="","",IF(COUNTIF(MASTER_JAM!$A$5:$A$94,$C1323)=0,"Digger tidak dikenal",IF($J1323="","Hauler tidak dikenal",IF($H1323="?","Jam salah",IF($K1323=0,"Faktor kosong",IF(SUMIFS(INPUT_DELAY!$E$5:$E$20000,INPUT_DELAY!$A$5:$A$20000,$A1323,INPUT_DELAY!$B$5:$B$20000,$B1323,INPUT_DELAY!$C$5:$C$20000,$C1323)+SUMIFS(INPUT_DELAY!$E$5:$E$20000,INPUT_DELAY!$A$5:$A$20000,$A1323,INPUT_DELAY!$B$5:$B$20000,$B1323,INPUT_DELAY!$C$5:$C$20000,"SEMUA")&gt;=60,"Delay 60 mnt tapi ada ritase","OK"))))))</f>
        <v/>
      </c>
      <c r="P1323" s="158">
        <f>IFERROR(INDEX(MASTER_JAM!$Z$5:$AC$10,MATCH($I1323,MASTER_JAM!$Y$5:$Y$10,0),MATCH($J1323,MASTER_JAM!$Z$4:$AC$4,0))+0,0)</f>
        <v/>
      </c>
      <c r="Q1323" s="158">
        <f>IF($P1323=0,0,$P1323+IFERROR(INDEX(MASTER_JAM!$H$5:$H$94,MATCH($C1323,MASTER_JAM!$A$5:$A$94,0))+0,MASTER_JAM!$AC$15)/1000*(60/MASTER_JAM!$AC$12+60/MASTER_JAM!$AC$13)+MASTER_JAM!$AC$14)</f>
        <v/>
      </c>
      <c r="R1323" s="158">
        <f>IF(N($F1323)=0,0,$F1323/SUMIFS(INPUT_RITASE!$F$5:$F$20000,INPUT_RITASE!$A$5:$A$20000,$A1323,INPUT_RITASE!$B$5:$B$20000,$B1323,INPUT_RITASE!$C$5:$C$20000,$C1323,INPUT_RITASE!$D$5:$D$20000,$D1323))</f>
        <v/>
      </c>
      <c r="S1323" s="158">
        <f>IF($Q1323=0,0,$R1323*$P1323/$Q1323)</f>
        <v/>
      </c>
    </row>
    <row r="1324">
      <c r="A1324" s="155" t="n">
        <v>46108</v>
      </c>
      <c r="B1324" s="156" t="inlineStr">
        <is>
          <t>20-21</t>
        </is>
      </c>
      <c r="C1324" s="156" t="inlineStr">
        <is>
          <t>EX-1251</t>
        </is>
      </c>
      <c r="D1324" s="156" t="inlineStr">
        <is>
          <t>DT-517</t>
        </is>
      </c>
      <c r="E1324" s="156" t="inlineStr">
        <is>
          <t>OB</t>
        </is>
      </c>
      <c r="F1324" s="156" t="n">
        <v>4</v>
      </c>
      <c r="G1324" s="156" t="inlineStr"/>
      <c r="H1324" s="157">
        <f>IF($B1324="","",IF(ISNA(MATCH($B1324,MASTER_JAM!$Q$5:$Q$28,0)),"?",IF(MATCH($B1324,MASTER_JAM!$Q$5:$Q$28,0)&lt;=12,"DS","NS")))</f>
        <v/>
      </c>
      <c r="I1324" s="157">
        <f>IFERROR(INDEX(MASTER_JAM!$B$5:$B$94,MATCH($C1324,MASTER_JAM!$A$5:$A$94,0)),"")</f>
        <v/>
      </c>
      <c r="J1324" s="157">
        <f>IFERROR(INDEX(MASTER_JAM!$E$5:$E$94,MATCH($D1324,MASTER_JAM!$A$5:$A$94,0)),"")</f>
        <v/>
      </c>
      <c r="K1324" s="158">
        <f>IFERROR(INDEX(MASTER_JAM!$J$5:$O$12,MATCH($E1324,MASTER_JAM!$I$5:$I$12,0),MATCH($J1324,MASTER_JAM!$J$4:$O$4,0))+0,0)</f>
        <v/>
      </c>
      <c r="L1324" s="159">
        <f>N($F1324)*$K1324</f>
        <v/>
      </c>
      <c r="M1324" s="157">
        <f>IF($E1324="","",IF(OR($E1324="Coal",$E1324="Dirty Coal"),"MT","BCM"))</f>
        <v/>
      </c>
      <c r="N1324" s="157">
        <f>IF($E1324="","",IF(OR($E1324="Coal",$E1324="Dirty Coal"),"Coal","OB"))</f>
        <v/>
      </c>
      <c r="O1324" s="157">
        <f>IF($F1324="","",IF(COUNTIF(MASTER_JAM!$A$5:$A$94,$C1324)=0,"Digger tidak dikenal",IF($J1324="","Hauler tidak dikenal",IF($H1324="?","Jam salah",IF($K1324=0,"Faktor kosong",IF(SUMIFS(INPUT_DELAY!$E$5:$E$20000,INPUT_DELAY!$A$5:$A$20000,$A1324,INPUT_DELAY!$B$5:$B$20000,$B1324,INPUT_DELAY!$C$5:$C$20000,$C1324)+SUMIFS(INPUT_DELAY!$E$5:$E$20000,INPUT_DELAY!$A$5:$A$20000,$A1324,INPUT_DELAY!$B$5:$B$20000,$B1324,INPUT_DELAY!$C$5:$C$20000,"SEMUA")&gt;=60,"Delay 60 mnt tapi ada ritase","OK"))))))</f>
        <v/>
      </c>
      <c r="P1324" s="158">
        <f>IFERROR(INDEX(MASTER_JAM!$Z$5:$AC$10,MATCH($I1324,MASTER_JAM!$Y$5:$Y$10,0),MATCH($J1324,MASTER_JAM!$Z$4:$AC$4,0))+0,0)</f>
        <v/>
      </c>
      <c r="Q1324" s="158">
        <f>IF($P1324=0,0,$P1324+IFERROR(INDEX(MASTER_JAM!$H$5:$H$94,MATCH($C1324,MASTER_JAM!$A$5:$A$94,0))+0,MASTER_JAM!$AC$15)/1000*(60/MASTER_JAM!$AC$12+60/MASTER_JAM!$AC$13)+MASTER_JAM!$AC$14)</f>
        <v/>
      </c>
      <c r="R1324" s="158">
        <f>IF(N($F1324)=0,0,$F1324/SUMIFS(INPUT_RITASE!$F$5:$F$20000,INPUT_RITASE!$A$5:$A$20000,$A1324,INPUT_RITASE!$B$5:$B$20000,$B1324,INPUT_RITASE!$C$5:$C$20000,$C1324,INPUT_RITASE!$D$5:$D$20000,$D1324))</f>
        <v/>
      </c>
      <c r="S1324" s="158">
        <f>IF($Q1324=0,0,$R1324*$P1324/$Q1324)</f>
        <v/>
      </c>
    </row>
    <row r="1325">
      <c r="A1325" s="155" t="n">
        <v>46108</v>
      </c>
      <c r="B1325" s="156" t="inlineStr">
        <is>
          <t>20-21</t>
        </is>
      </c>
      <c r="C1325" s="156" t="inlineStr">
        <is>
          <t>EX-1251</t>
        </is>
      </c>
      <c r="D1325" s="156" t="inlineStr">
        <is>
          <t>DT-516</t>
        </is>
      </c>
      <c r="E1325" s="156" t="inlineStr">
        <is>
          <t>OB</t>
        </is>
      </c>
      <c r="F1325" s="156" t="n">
        <v>4</v>
      </c>
      <c r="G1325" s="156" t="inlineStr"/>
      <c r="H1325" s="157">
        <f>IF($B1325="","",IF(ISNA(MATCH($B1325,MASTER_JAM!$Q$5:$Q$28,0)),"?",IF(MATCH($B1325,MASTER_JAM!$Q$5:$Q$28,0)&lt;=12,"DS","NS")))</f>
        <v/>
      </c>
      <c r="I1325" s="157">
        <f>IFERROR(INDEX(MASTER_JAM!$B$5:$B$94,MATCH($C1325,MASTER_JAM!$A$5:$A$94,0)),"")</f>
        <v/>
      </c>
      <c r="J1325" s="157">
        <f>IFERROR(INDEX(MASTER_JAM!$E$5:$E$94,MATCH($D1325,MASTER_JAM!$A$5:$A$94,0)),"")</f>
        <v/>
      </c>
      <c r="K1325" s="158">
        <f>IFERROR(INDEX(MASTER_JAM!$J$5:$O$12,MATCH($E1325,MASTER_JAM!$I$5:$I$12,0),MATCH($J1325,MASTER_JAM!$J$4:$O$4,0))+0,0)</f>
        <v/>
      </c>
      <c r="L1325" s="159">
        <f>N($F1325)*$K1325</f>
        <v/>
      </c>
      <c r="M1325" s="157">
        <f>IF($E1325="","",IF(OR($E1325="Coal",$E1325="Dirty Coal"),"MT","BCM"))</f>
        <v/>
      </c>
      <c r="N1325" s="157">
        <f>IF($E1325="","",IF(OR($E1325="Coal",$E1325="Dirty Coal"),"Coal","OB"))</f>
        <v/>
      </c>
      <c r="O1325" s="157">
        <f>IF($F1325="","",IF(COUNTIF(MASTER_JAM!$A$5:$A$94,$C1325)=0,"Digger tidak dikenal",IF($J1325="","Hauler tidak dikenal",IF($H1325="?","Jam salah",IF($K1325=0,"Faktor kosong",IF(SUMIFS(INPUT_DELAY!$E$5:$E$20000,INPUT_DELAY!$A$5:$A$20000,$A1325,INPUT_DELAY!$B$5:$B$20000,$B1325,INPUT_DELAY!$C$5:$C$20000,$C1325)+SUMIFS(INPUT_DELAY!$E$5:$E$20000,INPUT_DELAY!$A$5:$A$20000,$A1325,INPUT_DELAY!$B$5:$B$20000,$B1325,INPUT_DELAY!$C$5:$C$20000,"SEMUA")&gt;=60,"Delay 60 mnt tapi ada ritase","OK"))))))</f>
        <v/>
      </c>
      <c r="P1325" s="158">
        <f>IFERROR(INDEX(MASTER_JAM!$Z$5:$AC$10,MATCH($I1325,MASTER_JAM!$Y$5:$Y$10,0),MATCH($J1325,MASTER_JAM!$Z$4:$AC$4,0))+0,0)</f>
        <v/>
      </c>
      <c r="Q1325" s="158">
        <f>IF($P1325=0,0,$P1325+IFERROR(INDEX(MASTER_JAM!$H$5:$H$94,MATCH($C1325,MASTER_JAM!$A$5:$A$94,0))+0,MASTER_JAM!$AC$15)/1000*(60/MASTER_JAM!$AC$12+60/MASTER_JAM!$AC$13)+MASTER_JAM!$AC$14)</f>
        <v/>
      </c>
      <c r="R1325" s="158">
        <f>IF(N($F1325)=0,0,$F1325/SUMIFS(INPUT_RITASE!$F$5:$F$20000,INPUT_RITASE!$A$5:$A$20000,$A1325,INPUT_RITASE!$B$5:$B$20000,$B1325,INPUT_RITASE!$C$5:$C$20000,$C1325,INPUT_RITASE!$D$5:$D$20000,$D1325))</f>
        <v/>
      </c>
      <c r="S1325" s="158">
        <f>IF($Q1325=0,0,$R1325*$P1325/$Q1325)</f>
        <v/>
      </c>
    </row>
    <row r="1326">
      <c r="A1326" s="155" t="n">
        <v>46108</v>
      </c>
      <c r="B1326" s="156" t="inlineStr">
        <is>
          <t>20-21</t>
        </is>
      </c>
      <c r="C1326" s="156" t="inlineStr">
        <is>
          <t>EX-1251</t>
        </is>
      </c>
      <c r="D1326" s="156" t="inlineStr">
        <is>
          <t>DT-504</t>
        </is>
      </c>
      <c r="E1326" s="156" t="inlineStr">
        <is>
          <t>OB</t>
        </is>
      </c>
      <c r="F1326" s="156" t="n">
        <v>3</v>
      </c>
      <c r="G1326" s="156" t="inlineStr"/>
      <c r="H1326" s="157">
        <f>IF($B1326="","",IF(ISNA(MATCH($B1326,MASTER_JAM!$Q$5:$Q$28,0)),"?",IF(MATCH($B1326,MASTER_JAM!$Q$5:$Q$28,0)&lt;=12,"DS","NS")))</f>
        <v/>
      </c>
      <c r="I1326" s="157">
        <f>IFERROR(INDEX(MASTER_JAM!$B$5:$B$94,MATCH($C1326,MASTER_JAM!$A$5:$A$94,0)),"")</f>
        <v/>
      </c>
      <c r="J1326" s="157">
        <f>IFERROR(INDEX(MASTER_JAM!$E$5:$E$94,MATCH($D1326,MASTER_JAM!$A$5:$A$94,0)),"")</f>
        <v/>
      </c>
      <c r="K1326" s="158">
        <f>IFERROR(INDEX(MASTER_JAM!$J$5:$O$12,MATCH($E1326,MASTER_JAM!$I$5:$I$12,0),MATCH($J1326,MASTER_JAM!$J$4:$O$4,0))+0,0)</f>
        <v/>
      </c>
      <c r="L1326" s="159">
        <f>N($F1326)*$K1326</f>
        <v/>
      </c>
      <c r="M1326" s="157">
        <f>IF($E1326="","",IF(OR($E1326="Coal",$E1326="Dirty Coal"),"MT","BCM"))</f>
        <v/>
      </c>
      <c r="N1326" s="157">
        <f>IF($E1326="","",IF(OR($E1326="Coal",$E1326="Dirty Coal"),"Coal","OB"))</f>
        <v/>
      </c>
      <c r="O1326" s="157">
        <f>IF($F1326="","",IF(COUNTIF(MASTER_JAM!$A$5:$A$94,$C1326)=0,"Digger tidak dikenal",IF($J1326="","Hauler tidak dikenal",IF($H1326="?","Jam salah",IF($K1326=0,"Faktor kosong",IF(SUMIFS(INPUT_DELAY!$E$5:$E$20000,INPUT_DELAY!$A$5:$A$20000,$A1326,INPUT_DELAY!$B$5:$B$20000,$B1326,INPUT_DELAY!$C$5:$C$20000,$C1326)+SUMIFS(INPUT_DELAY!$E$5:$E$20000,INPUT_DELAY!$A$5:$A$20000,$A1326,INPUT_DELAY!$B$5:$B$20000,$B1326,INPUT_DELAY!$C$5:$C$20000,"SEMUA")&gt;=60,"Delay 60 mnt tapi ada ritase","OK"))))))</f>
        <v/>
      </c>
      <c r="P1326" s="158">
        <f>IFERROR(INDEX(MASTER_JAM!$Z$5:$AC$10,MATCH($I1326,MASTER_JAM!$Y$5:$Y$10,0),MATCH($J1326,MASTER_JAM!$Z$4:$AC$4,0))+0,0)</f>
        <v/>
      </c>
      <c r="Q1326" s="158">
        <f>IF($P1326=0,0,$P1326+IFERROR(INDEX(MASTER_JAM!$H$5:$H$94,MATCH($C1326,MASTER_JAM!$A$5:$A$94,0))+0,MASTER_JAM!$AC$15)/1000*(60/MASTER_JAM!$AC$12+60/MASTER_JAM!$AC$13)+MASTER_JAM!$AC$14)</f>
        <v/>
      </c>
      <c r="R1326" s="158">
        <f>IF(N($F1326)=0,0,$F1326/SUMIFS(INPUT_RITASE!$F$5:$F$20000,INPUT_RITASE!$A$5:$A$20000,$A1326,INPUT_RITASE!$B$5:$B$20000,$B1326,INPUT_RITASE!$C$5:$C$20000,$C1326,INPUT_RITASE!$D$5:$D$20000,$D1326))</f>
        <v/>
      </c>
      <c r="S1326" s="158">
        <f>IF($Q1326=0,0,$R1326*$P1326/$Q1326)</f>
        <v/>
      </c>
    </row>
    <row r="1327">
      <c r="A1327" s="155" t="n">
        <v>46108</v>
      </c>
      <c r="B1327" s="156" t="inlineStr">
        <is>
          <t>21-22</t>
        </is>
      </c>
      <c r="C1327" s="156" t="inlineStr">
        <is>
          <t>EX-1251</t>
        </is>
      </c>
      <c r="D1327" s="156" t="inlineStr">
        <is>
          <t>DT-527</t>
        </is>
      </c>
      <c r="E1327" s="156" t="inlineStr">
        <is>
          <t>OB</t>
        </is>
      </c>
      <c r="F1327" s="156" t="n">
        <v>4</v>
      </c>
      <c r="G1327" s="156" t="inlineStr"/>
      <c r="H1327" s="157">
        <f>IF($B1327="","",IF(ISNA(MATCH($B1327,MASTER_JAM!$Q$5:$Q$28,0)),"?",IF(MATCH($B1327,MASTER_JAM!$Q$5:$Q$28,0)&lt;=12,"DS","NS")))</f>
        <v/>
      </c>
      <c r="I1327" s="157">
        <f>IFERROR(INDEX(MASTER_JAM!$B$5:$B$94,MATCH($C1327,MASTER_JAM!$A$5:$A$94,0)),"")</f>
        <v/>
      </c>
      <c r="J1327" s="157">
        <f>IFERROR(INDEX(MASTER_JAM!$E$5:$E$94,MATCH($D1327,MASTER_JAM!$A$5:$A$94,0)),"")</f>
        <v/>
      </c>
      <c r="K1327" s="158">
        <f>IFERROR(INDEX(MASTER_JAM!$J$5:$O$12,MATCH($E1327,MASTER_JAM!$I$5:$I$12,0),MATCH($J1327,MASTER_JAM!$J$4:$O$4,0))+0,0)</f>
        <v/>
      </c>
      <c r="L1327" s="159">
        <f>N($F1327)*$K1327</f>
        <v/>
      </c>
      <c r="M1327" s="157">
        <f>IF($E1327="","",IF(OR($E1327="Coal",$E1327="Dirty Coal"),"MT","BCM"))</f>
        <v/>
      </c>
      <c r="N1327" s="157">
        <f>IF($E1327="","",IF(OR($E1327="Coal",$E1327="Dirty Coal"),"Coal","OB"))</f>
        <v/>
      </c>
      <c r="O1327" s="157">
        <f>IF($F1327="","",IF(COUNTIF(MASTER_JAM!$A$5:$A$94,$C1327)=0,"Digger tidak dikenal",IF($J1327="","Hauler tidak dikenal",IF($H1327="?","Jam salah",IF($K1327=0,"Faktor kosong",IF(SUMIFS(INPUT_DELAY!$E$5:$E$20000,INPUT_DELAY!$A$5:$A$20000,$A1327,INPUT_DELAY!$B$5:$B$20000,$B1327,INPUT_DELAY!$C$5:$C$20000,$C1327)+SUMIFS(INPUT_DELAY!$E$5:$E$20000,INPUT_DELAY!$A$5:$A$20000,$A1327,INPUT_DELAY!$B$5:$B$20000,$B1327,INPUT_DELAY!$C$5:$C$20000,"SEMUA")&gt;=60,"Delay 60 mnt tapi ada ritase","OK"))))))</f>
        <v/>
      </c>
      <c r="P1327" s="158">
        <f>IFERROR(INDEX(MASTER_JAM!$Z$5:$AC$10,MATCH($I1327,MASTER_JAM!$Y$5:$Y$10,0),MATCH($J1327,MASTER_JAM!$Z$4:$AC$4,0))+0,0)</f>
        <v/>
      </c>
      <c r="Q1327" s="158">
        <f>IF($P1327=0,0,$P1327+IFERROR(INDEX(MASTER_JAM!$H$5:$H$94,MATCH($C1327,MASTER_JAM!$A$5:$A$94,0))+0,MASTER_JAM!$AC$15)/1000*(60/MASTER_JAM!$AC$12+60/MASTER_JAM!$AC$13)+MASTER_JAM!$AC$14)</f>
        <v/>
      </c>
      <c r="R1327" s="158">
        <f>IF(N($F1327)=0,0,$F1327/SUMIFS(INPUT_RITASE!$F$5:$F$20000,INPUT_RITASE!$A$5:$A$20000,$A1327,INPUT_RITASE!$B$5:$B$20000,$B1327,INPUT_RITASE!$C$5:$C$20000,$C1327,INPUT_RITASE!$D$5:$D$20000,$D1327))</f>
        <v/>
      </c>
      <c r="S1327" s="158">
        <f>IF($Q1327=0,0,$R1327*$P1327/$Q1327)</f>
        <v/>
      </c>
    </row>
    <row r="1328">
      <c r="A1328" s="155" t="n">
        <v>46108</v>
      </c>
      <c r="B1328" s="156" t="inlineStr">
        <is>
          <t>21-22</t>
        </is>
      </c>
      <c r="C1328" s="156" t="inlineStr">
        <is>
          <t>EX-1251</t>
        </is>
      </c>
      <c r="D1328" s="156" t="inlineStr">
        <is>
          <t>DT-523</t>
        </is>
      </c>
      <c r="E1328" s="156" t="inlineStr">
        <is>
          <t>OB</t>
        </is>
      </c>
      <c r="F1328" s="156" t="n">
        <v>4</v>
      </c>
      <c r="G1328" s="156" t="inlineStr"/>
      <c r="H1328" s="157">
        <f>IF($B1328="","",IF(ISNA(MATCH($B1328,MASTER_JAM!$Q$5:$Q$28,0)),"?",IF(MATCH($B1328,MASTER_JAM!$Q$5:$Q$28,0)&lt;=12,"DS","NS")))</f>
        <v/>
      </c>
      <c r="I1328" s="157">
        <f>IFERROR(INDEX(MASTER_JAM!$B$5:$B$94,MATCH($C1328,MASTER_JAM!$A$5:$A$94,0)),"")</f>
        <v/>
      </c>
      <c r="J1328" s="157">
        <f>IFERROR(INDEX(MASTER_JAM!$E$5:$E$94,MATCH($D1328,MASTER_JAM!$A$5:$A$94,0)),"")</f>
        <v/>
      </c>
      <c r="K1328" s="158">
        <f>IFERROR(INDEX(MASTER_JAM!$J$5:$O$12,MATCH($E1328,MASTER_JAM!$I$5:$I$12,0),MATCH($J1328,MASTER_JAM!$J$4:$O$4,0))+0,0)</f>
        <v/>
      </c>
      <c r="L1328" s="159">
        <f>N($F1328)*$K1328</f>
        <v/>
      </c>
      <c r="M1328" s="157">
        <f>IF($E1328="","",IF(OR($E1328="Coal",$E1328="Dirty Coal"),"MT","BCM"))</f>
        <v/>
      </c>
      <c r="N1328" s="157">
        <f>IF($E1328="","",IF(OR($E1328="Coal",$E1328="Dirty Coal"),"Coal","OB"))</f>
        <v/>
      </c>
      <c r="O1328" s="157">
        <f>IF($F1328="","",IF(COUNTIF(MASTER_JAM!$A$5:$A$94,$C1328)=0,"Digger tidak dikenal",IF($J1328="","Hauler tidak dikenal",IF($H1328="?","Jam salah",IF($K1328=0,"Faktor kosong",IF(SUMIFS(INPUT_DELAY!$E$5:$E$20000,INPUT_DELAY!$A$5:$A$20000,$A1328,INPUT_DELAY!$B$5:$B$20000,$B1328,INPUT_DELAY!$C$5:$C$20000,$C1328)+SUMIFS(INPUT_DELAY!$E$5:$E$20000,INPUT_DELAY!$A$5:$A$20000,$A1328,INPUT_DELAY!$B$5:$B$20000,$B1328,INPUT_DELAY!$C$5:$C$20000,"SEMUA")&gt;=60,"Delay 60 mnt tapi ada ritase","OK"))))))</f>
        <v/>
      </c>
      <c r="P1328" s="158">
        <f>IFERROR(INDEX(MASTER_JAM!$Z$5:$AC$10,MATCH($I1328,MASTER_JAM!$Y$5:$Y$10,0),MATCH($J1328,MASTER_JAM!$Z$4:$AC$4,0))+0,0)</f>
        <v/>
      </c>
      <c r="Q1328" s="158">
        <f>IF($P1328=0,0,$P1328+IFERROR(INDEX(MASTER_JAM!$H$5:$H$94,MATCH($C1328,MASTER_JAM!$A$5:$A$94,0))+0,MASTER_JAM!$AC$15)/1000*(60/MASTER_JAM!$AC$12+60/MASTER_JAM!$AC$13)+MASTER_JAM!$AC$14)</f>
        <v/>
      </c>
      <c r="R1328" s="158">
        <f>IF(N($F1328)=0,0,$F1328/SUMIFS(INPUT_RITASE!$F$5:$F$20000,INPUT_RITASE!$A$5:$A$20000,$A1328,INPUT_RITASE!$B$5:$B$20000,$B1328,INPUT_RITASE!$C$5:$C$20000,$C1328,INPUT_RITASE!$D$5:$D$20000,$D1328))</f>
        <v/>
      </c>
      <c r="S1328" s="158">
        <f>IF($Q1328=0,0,$R1328*$P1328/$Q1328)</f>
        <v/>
      </c>
    </row>
    <row r="1329">
      <c r="A1329" s="155" t="n">
        <v>46108</v>
      </c>
      <c r="B1329" s="156" t="inlineStr">
        <is>
          <t>21-22</t>
        </is>
      </c>
      <c r="C1329" s="156" t="inlineStr">
        <is>
          <t>EX-1251</t>
        </is>
      </c>
      <c r="D1329" s="156" t="inlineStr">
        <is>
          <t>DT-511</t>
        </is>
      </c>
      <c r="E1329" s="156" t="inlineStr">
        <is>
          <t>OB</t>
        </is>
      </c>
      <c r="F1329" s="156" t="n">
        <v>4</v>
      </c>
      <c r="G1329" s="156" t="inlineStr"/>
      <c r="H1329" s="157">
        <f>IF($B1329="","",IF(ISNA(MATCH($B1329,MASTER_JAM!$Q$5:$Q$28,0)),"?",IF(MATCH($B1329,MASTER_JAM!$Q$5:$Q$28,0)&lt;=12,"DS","NS")))</f>
        <v/>
      </c>
      <c r="I1329" s="157">
        <f>IFERROR(INDEX(MASTER_JAM!$B$5:$B$94,MATCH($C1329,MASTER_JAM!$A$5:$A$94,0)),"")</f>
        <v/>
      </c>
      <c r="J1329" s="157">
        <f>IFERROR(INDEX(MASTER_JAM!$E$5:$E$94,MATCH($D1329,MASTER_JAM!$A$5:$A$94,0)),"")</f>
        <v/>
      </c>
      <c r="K1329" s="158">
        <f>IFERROR(INDEX(MASTER_JAM!$J$5:$O$12,MATCH($E1329,MASTER_JAM!$I$5:$I$12,0),MATCH($J1329,MASTER_JAM!$J$4:$O$4,0))+0,0)</f>
        <v/>
      </c>
      <c r="L1329" s="159">
        <f>N($F1329)*$K1329</f>
        <v/>
      </c>
      <c r="M1329" s="157">
        <f>IF($E1329="","",IF(OR($E1329="Coal",$E1329="Dirty Coal"),"MT","BCM"))</f>
        <v/>
      </c>
      <c r="N1329" s="157">
        <f>IF($E1329="","",IF(OR($E1329="Coal",$E1329="Dirty Coal"),"Coal","OB"))</f>
        <v/>
      </c>
      <c r="O1329" s="157">
        <f>IF($F1329="","",IF(COUNTIF(MASTER_JAM!$A$5:$A$94,$C1329)=0,"Digger tidak dikenal",IF($J1329="","Hauler tidak dikenal",IF($H1329="?","Jam salah",IF($K1329=0,"Faktor kosong",IF(SUMIFS(INPUT_DELAY!$E$5:$E$20000,INPUT_DELAY!$A$5:$A$20000,$A1329,INPUT_DELAY!$B$5:$B$20000,$B1329,INPUT_DELAY!$C$5:$C$20000,$C1329)+SUMIFS(INPUT_DELAY!$E$5:$E$20000,INPUT_DELAY!$A$5:$A$20000,$A1329,INPUT_DELAY!$B$5:$B$20000,$B1329,INPUT_DELAY!$C$5:$C$20000,"SEMUA")&gt;=60,"Delay 60 mnt tapi ada ritase","OK"))))))</f>
        <v/>
      </c>
      <c r="P1329" s="158">
        <f>IFERROR(INDEX(MASTER_JAM!$Z$5:$AC$10,MATCH($I1329,MASTER_JAM!$Y$5:$Y$10,0),MATCH($J1329,MASTER_JAM!$Z$4:$AC$4,0))+0,0)</f>
        <v/>
      </c>
      <c r="Q1329" s="158">
        <f>IF($P1329=0,0,$P1329+IFERROR(INDEX(MASTER_JAM!$H$5:$H$94,MATCH($C1329,MASTER_JAM!$A$5:$A$94,0))+0,MASTER_JAM!$AC$15)/1000*(60/MASTER_JAM!$AC$12+60/MASTER_JAM!$AC$13)+MASTER_JAM!$AC$14)</f>
        <v/>
      </c>
      <c r="R1329" s="158">
        <f>IF(N($F1329)=0,0,$F1329/SUMIFS(INPUT_RITASE!$F$5:$F$20000,INPUT_RITASE!$A$5:$A$20000,$A1329,INPUT_RITASE!$B$5:$B$20000,$B1329,INPUT_RITASE!$C$5:$C$20000,$C1329,INPUT_RITASE!$D$5:$D$20000,$D1329))</f>
        <v/>
      </c>
      <c r="S1329" s="158">
        <f>IF($Q1329=0,0,$R1329*$P1329/$Q1329)</f>
        <v/>
      </c>
    </row>
    <row r="1330">
      <c r="A1330" s="155" t="n">
        <v>46108</v>
      </c>
      <c r="B1330" s="156" t="inlineStr">
        <is>
          <t>21-22</t>
        </is>
      </c>
      <c r="C1330" s="156" t="inlineStr">
        <is>
          <t>EX-1251</t>
        </is>
      </c>
      <c r="D1330" s="156" t="inlineStr">
        <is>
          <t>DT-502</t>
        </is>
      </c>
      <c r="E1330" s="156" t="inlineStr">
        <is>
          <t>OB</t>
        </is>
      </c>
      <c r="F1330" s="156" t="n">
        <v>4</v>
      </c>
      <c r="G1330" s="156" t="inlineStr"/>
      <c r="H1330" s="157">
        <f>IF($B1330="","",IF(ISNA(MATCH($B1330,MASTER_JAM!$Q$5:$Q$28,0)),"?",IF(MATCH($B1330,MASTER_JAM!$Q$5:$Q$28,0)&lt;=12,"DS","NS")))</f>
        <v/>
      </c>
      <c r="I1330" s="157">
        <f>IFERROR(INDEX(MASTER_JAM!$B$5:$B$94,MATCH($C1330,MASTER_JAM!$A$5:$A$94,0)),"")</f>
        <v/>
      </c>
      <c r="J1330" s="157">
        <f>IFERROR(INDEX(MASTER_JAM!$E$5:$E$94,MATCH($D1330,MASTER_JAM!$A$5:$A$94,0)),"")</f>
        <v/>
      </c>
      <c r="K1330" s="158">
        <f>IFERROR(INDEX(MASTER_JAM!$J$5:$O$12,MATCH($E1330,MASTER_JAM!$I$5:$I$12,0),MATCH($J1330,MASTER_JAM!$J$4:$O$4,0))+0,0)</f>
        <v/>
      </c>
      <c r="L1330" s="159">
        <f>N($F1330)*$K1330</f>
        <v/>
      </c>
      <c r="M1330" s="157">
        <f>IF($E1330="","",IF(OR($E1330="Coal",$E1330="Dirty Coal"),"MT","BCM"))</f>
        <v/>
      </c>
      <c r="N1330" s="157">
        <f>IF($E1330="","",IF(OR($E1330="Coal",$E1330="Dirty Coal"),"Coal","OB"))</f>
        <v/>
      </c>
      <c r="O1330" s="157">
        <f>IF($F1330="","",IF(COUNTIF(MASTER_JAM!$A$5:$A$94,$C1330)=0,"Digger tidak dikenal",IF($J1330="","Hauler tidak dikenal",IF($H1330="?","Jam salah",IF($K1330=0,"Faktor kosong",IF(SUMIFS(INPUT_DELAY!$E$5:$E$20000,INPUT_DELAY!$A$5:$A$20000,$A1330,INPUT_DELAY!$B$5:$B$20000,$B1330,INPUT_DELAY!$C$5:$C$20000,$C1330)+SUMIFS(INPUT_DELAY!$E$5:$E$20000,INPUT_DELAY!$A$5:$A$20000,$A1330,INPUT_DELAY!$B$5:$B$20000,$B1330,INPUT_DELAY!$C$5:$C$20000,"SEMUA")&gt;=60,"Delay 60 mnt tapi ada ritase","OK"))))))</f>
        <v/>
      </c>
      <c r="P1330" s="158">
        <f>IFERROR(INDEX(MASTER_JAM!$Z$5:$AC$10,MATCH($I1330,MASTER_JAM!$Y$5:$Y$10,0),MATCH($J1330,MASTER_JAM!$Z$4:$AC$4,0))+0,0)</f>
        <v/>
      </c>
      <c r="Q1330" s="158">
        <f>IF($P1330=0,0,$P1330+IFERROR(INDEX(MASTER_JAM!$H$5:$H$94,MATCH($C1330,MASTER_JAM!$A$5:$A$94,0))+0,MASTER_JAM!$AC$15)/1000*(60/MASTER_JAM!$AC$12+60/MASTER_JAM!$AC$13)+MASTER_JAM!$AC$14)</f>
        <v/>
      </c>
      <c r="R1330" s="158">
        <f>IF(N($F1330)=0,0,$F1330/SUMIFS(INPUT_RITASE!$F$5:$F$20000,INPUT_RITASE!$A$5:$A$20000,$A1330,INPUT_RITASE!$B$5:$B$20000,$B1330,INPUT_RITASE!$C$5:$C$20000,$C1330,INPUT_RITASE!$D$5:$D$20000,$D1330))</f>
        <v/>
      </c>
      <c r="S1330" s="158">
        <f>IF($Q1330=0,0,$R1330*$P1330/$Q1330)</f>
        <v/>
      </c>
    </row>
    <row r="1331">
      <c r="A1331" s="155" t="n">
        <v>46108</v>
      </c>
      <c r="B1331" s="156" t="inlineStr">
        <is>
          <t>21-22</t>
        </is>
      </c>
      <c r="C1331" s="156" t="inlineStr">
        <is>
          <t>EX-1251</t>
        </is>
      </c>
      <c r="D1331" s="156" t="inlineStr">
        <is>
          <t>DT-508</t>
        </is>
      </c>
      <c r="E1331" s="156" t="inlineStr">
        <is>
          <t>OB</t>
        </is>
      </c>
      <c r="F1331" s="156" t="n">
        <v>3</v>
      </c>
      <c r="G1331" s="156" t="inlineStr"/>
      <c r="H1331" s="157">
        <f>IF($B1331="","",IF(ISNA(MATCH($B1331,MASTER_JAM!$Q$5:$Q$28,0)),"?",IF(MATCH($B1331,MASTER_JAM!$Q$5:$Q$28,0)&lt;=12,"DS","NS")))</f>
        <v/>
      </c>
      <c r="I1331" s="157">
        <f>IFERROR(INDEX(MASTER_JAM!$B$5:$B$94,MATCH($C1331,MASTER_JAM!$A$5:$A$94,0)),"")</f>
        <v/>
      </c>
      <c r="J1331" s="157">
        <f>IFERROR(INDEX(MASTER_JAM!$E$5:$E$94,MATCH($D1331,MASTER_JAM!$A$5:$A$94,0)),"")</f>
        <v/>
      </c>
      <c r="K1331" s="158">
        <f>IFERROR(INDEX(MASTER_JAM!$J$5:$O$12,MATCH($E1331,MASTER_JAM!$I$5:$I$12,0),MATCH($J1331,MASTER_JAM!$J$4:$O$4,0))+0,0)</f>
        <v/>
      </c>
      <c r="L1331" s="159">
        <f>N($F1331)*$K1331</f>
        <v/>
      </c>
      <c r="M1331" s="157">
        <f>IF($E1331="","",IF(OR($E1331="Coal",$E1331="Dirty Coal"),"MT","BCM"))</f>
        <v/>
      </c>
      <c r="N1331" s="157">
        <f>IF($E1331="","",IF(OR($E1331="Coal",$E1331="Dirty Coal"),"Coal","OB"))</f>
        <v/>
      </c>
      <c r="O1331" s="157">
        <f>IF($F1331="","",IF(COUNTIF(MASTER_JAM!$A$5:$A$94,$C1331)=0,"Digger tidak dikenal",IF($J1331="","Hauler tidak dikenal",IF($H1331="?","Jam salah",IF($K1331=0,"Faktor kosong",IF(SUMIFS(INPUT_DELAY!$E$5:$E$20000,INPUT_DELAY!$A$5:$A$20000,$A1331,INPUT_DELAY!$B$5:$B$20000,$B1331,INPUT_DELAY!$C$5:$C$20000,$C1331)+SUMIFS(INPUT_DELAY!$E$5:$E$20000,INPUT_DELAY!$A$5:$A$20000,$A1331,INPUT_DELAY!$B$5:$B$20000,$B1331,INPUT_DELAY!$C$5:$C$20000,"SEMUA")&gt;=60,"Delay 60 mnt tapi ada ritase","OK"))))))</f>
        <v/>
      </c>
      <c r="P1331" s="158">
        <f>IFERROR(INDEX(MASTER_JAM!$Z$5:$AC$10,MATCH($I1331,MASTER_JAM!$Y$5:$Y$10,0),MATCH($J1331,MASTER_JAM!$Z$4:$AC$4,0))+0,0)</f>
        <v/>
      </c>
      <c r="Q1331" s="158">
        <f>IF($P1331=0,0,$P1331+IFERROR(INDEX(MASTER_JAM!$H$5:$H$94,MATCH($C1331,MASTER_JAM!$A$5:$A$94,0))+0,MASTER_JAM!$AC$15)/1000*(60/MASTER_JAM!$AC$12+60/MASTER_JAM!$AC$13)+MASTER_JAM!$AC$14)</f>
        <v/>
      </c>
      <c r="R1331" s="158">
        <f>IF(N($F1331)=0,0,$F1331/SUMIFS(INPUT_RITASE!$F$5:$F$20000,INPUT_RITASE!$A$5:$A$20000,$A1331,INPUT_RITASE!$B$5:$B$20000,$B1331,INPUT_RITASE!$C$5:$C$20000,$C1331,INPUT_RITASE!$D$5:$D$20000,$D1331))</f>
        <v/>
      </c>
      <c r="S1331" s="158">
        <f>IF($Q1331=0,0,$R1331*$P1331/$Q1331)</f>
        <v/>
      </c>
    </row>
    <row r="1332">
      <c r="A1332" s="155" t="n">
        <v>46108</v>
      </c>
      <c r="B1332" s="156" t="inlineStr">
        <is>
          <t>22-23</t>
        </is>
      </c>
      <c r="C1332" s="156" t="inlineStr">
        <is>
          <t>EX-1251</t>
        </is>
      </c>
      <c r="D1332" s="156" t="inlineStr">
        <is>
          <t>DT-518</t>
        </is>
      </c>
      <c r="E1332" s="156" t="inlineStr">
        <is>
          <t>OB</t>
        </is>
      </c>
      <c r="F1332" s="156" t="n">
        <v>4</v>
      </c>
      <c r="G1332" s="156" t="inlineStr"/>
      <c r="H1332" s="157">
        <f>IF($B1332="","",IF(ISNA(MATCH($B1332,MASTER_JAM!$Q$5:$Q$28,0)),"?",IF(MATCH($B1332,MASTER_JAM!$Q$5:$Q$28,0)&lt;=12,"DS","NS")))</f>
        <v/>
      </c>
      <c r="I1332" s="157">
        <f>IFERROR(INDEX(MASTER_JAM!$B$5:$B$94,MATCH($C1332,MASTER_JAM!$A$5:$A$94,0)),"")</f>
        <v/>
      </c>
      <c r="J1332" s="157">
        <f>IFERROR(INDEX(MASTER_JAM!$E$5:$E$94,MATCH($D1332,MASTER_JAM!$A$5:$A$94,0)),"")</f>
        <v/>
      </c>
      <c r="K1332" s="158">
        <f>IFERROR(INDEX(MASTER_JAM!$J$5:$O$12,MATCH($E1332,MASTER_JAM!$I$5:$I$12,0),MATCH($J1332,MASTER_JAM!$J$4:$O$4,0))+0,0)</f>
        <v/>
      </c>
      <c r="L1332" s="159">
        <f>N($F1332)*$K1332</f>
        <v/>
      </c>
      <c r="M1332" s="157">
        <f>IF($E1332="","",IF(OR($E1332="Coal",$E1332="Dirty Coal"),"MT","BCM"))</f>
        <v/>
      </c>
      <c r="N1332" s="157">
        <f>IF($E1332="","",IF(OR($E1332="Coal",$E1332="Dirty Coal"),"Coal","OB"))</f>
        <v/>
      </c>
      <c r="O1332" s="157">
        <f>IF($F1332="","",IF(COUNTIF(MASTER_JAM!$A$5:$A$94,$C1332)=0,"Digger tidak dikenal",IF($J1332="","Hauler tidak dikenal",IF($H1332="?","Jam salah",IF($K1332=0,"Faktor kosong",IF(SUMIFS(INPUT_DELAY!$E$5:$E$20000,INPUT_DELAY!$A$5:$A$20000,$A1332,INPUT_DELAY!$B$5:$B$20000,$B1332,INPUT_DELAY!$C$5:$C$20000,$C1332)+SUMIFS(INPUT_DELAY!$E$5:$E$20000,INPUT_DELAY!$A$5:$A$20000,$A1332,INPUT_DELAY!$B$5:$B$20000,$B1332,INPUT_DELAY!$C$5:$C$20000,"SEMUA")&gt;=60,"Delay 60 mnt tapi ada ritase","OK"))))))</f>
        <v/>
      </c>
      <c r="P1332" s="158">
        <f>IFERROR(INDEX(MASTER_JAM!$Z$5:$AC$10,MATCH($I1332,MASTER_JAM!$Y$5:$Y$10,0),MATCH($J1332,MASTER_JAM!$Z$4:$AC$4,0))+0,0)</f>
        <v/>
      </c>
      <c r="Q1332" s="158">
        <f>IF($P1332=0,0,$P1332+IFERROR(INDEX(MASTER_JAM!$H$5:$H$94,MATCH($C1332,MASTER_JAM!$A$5:$A$94,0))+0,MASTER_JAM!$AC$15)/1000*(60/MASTER_JAM!$AC$12+60/MASTER_JAM!$AC$13)+MASTER_JAM!$AC$14)</f>
        <v/>
      </c>
      <c r="R1332" s="158">
        <f>IF(N($F1332)=0,0,$F1332/SUMIFS(INPUT_RITASE!$F$5:$F$20000,INPUT_RITASE!$A$5:$A$20000,$A1332,INPUT_RITASE!$B$5:$B$20000,$B1332,INPUT_RITASE!$C$5:$C$20000,$C1332,INPUT_RITASE!$D$5:$D$20000,$D1332))</f>
        <v/>
      </c>
      <c r="S1332" s="158">
        <f>IF($Q1332=0,0,$R1332*$P1332/$Q1332)</f>
        <v/>
      </c>
    </row>
    <row r="1333">
      <c r="A1333" s="155" t="n">
        <v>46108</v>
      </c>
      <c r="B1333" s="156" t="inlineStr">
        <is>
          <t>22-23</t>
        </is>
      </c>
      <c r="C1333" s="156" t="inlineStr">
        <is>
          <t>EX-1251</t>
        </is>
      </c>
      <c r="D1333" s="156" t="inlineStr">
        <is>
          <t>DT-521</t>
        </is>
      </c>
      <c r="E1333" s="156" t="inlineStr">
        <is>
          <t>OB</t>
        </is>
      </c>
      <c r="F1333" s="156" t="n">
        <v>4</v>
      </c>
      <c r="G1333" s="156" t="inlineStr"/>
      <c r="H1333" s="157">
        <f>IF($B1333="","",IF(ISNA(MATCH($B1333,MASTER_JAM!$Q$5:$Q$28,0)),"?",IF(MATCH($B1333,MASTER_JAM!$Q$5:$Q$28,0)&lt;=12,"DS","NS")))</f>
        <v/>
      </c>
      <c r="I1333" s="157">
        <f>IFERROR(INDEX(MASTER_JAM!$B$5:$B$94,MATCH($C1333,MASTER_JAM!$A$5:$A$94,0)),"")</f>
        <v/>
      </c>
      <c r="J1333" s="157">
        <f>IFERROR(INDEX(MASTER_JAM!$E$5:$E$94,MATCH($D1333,MASTER_JAM!$A$5:$A$94,0)),"")</f>
        <v/>
      </c>
      <c r="K1333" s="158">
        <f>IFERROR(INDEX(MASTER_JAM!$J$5:$O$12,MATCH($E1333,MASTER_JAM!$I$5:$I$12,0),MATCH($J1333,MASTER_JAM!$J$4:$O$4,0))+0,0)</f>
        <v/>
      </c>
      <c r="L1333" s="159">
        <f>N($F1333)*$K1333</f>
        <v/>
      </c>
      <c r="M1333" s="157">
        <f>IF($E1333="","",IF(OR($E1333="Coal",$E1333="Dirty Coal"),"MT","BCM"))</f>
        <v/>
      </c>
      <c r="N1333" s="157">
        <f>IF($E1333="","",IF(OR($E1333="Coal",$E1333="Dirty Coal"),"Coal","OB"))</f>
        <v/>
      </c>
      <c r="O1333" s="157">
        <f>IF($F1333="","",IF(COUNTIF(MASTER_JAM!$A$5:$A$94,$C1333)=0,"Digger tidak dikenal",IF($J1333="","Hauler tidak dikenal",IF($H1333="?","Jam salah",IF($K1333=0,"Faktor kosong",IF(SUMIFS(INPUT_DELAY!$E$5:$E$20000,INPUT_DELAY!$A$5:$A$20000,$A1333,INPUT_DELAY!$B$5:$B$20000,$B1333,INPUT_DELAY!$C$5:$C$20000,$C1333)+SUMIFS(INPUT_DELAY!$E$5:$E$20000,INPUT_DELAY!$A$5:$A$20000,$A1333,INPUT_DELAY!$B$5:$B$20000,$B1333,INPUT_DELAY!$C$5:$C$20000,"SEMUA")&gt;=60,"Delay 60 mnt tapi ada ritase","OK"))))))</f>
        <v/>
      </c>
      <c r="P1333" s="158">
        <f>IFERROR(INDEX(MASTER_JAM!$Z$5:$AC$10,MATCH($I1333,MASTER_JAM!$Y$5:$Y$10,0),MATCH($J1333,MASTER_JAM!$Z$4:$AC$4,0))+0,0)</f>
        <v/>
      </c>
      <c r="Q1333" s="158">
        <f>IF($P1333=0,0,$P1333+IFERROR(INDEX(MASTER_JAM!$H$5:$H$94,MATCH($C1333,MASTER_JAM!$A$5:$A$94,0))+0,MASTER_JAM!$AC$15)/1000*(60/MASTER_JAM!$AC$12+60/MASTER_JAM!$AC$13)+MASTER_JAM!$AC$14)</f>
        <v/>
      </c>
      <c r="R1333" s="158">
        <f>IF(N($F1333)=0,0,$F1333/SUMIFS(INPUT_RITASE!$F$5:$F$20000,INPUT_RITASE!$A$5:$A$20000,$A1333,INPUT_RITASE!$B$5:$B$20000,$B1333,INPUT_RITASE!$C$5:$C$20000,$C1333,INPUT_RITASE!$D$5:$D$20000,$D1333))</f>
        <v/>
      </c>
      <c r="S1333" s="158">
        <f>IF($Q1333=0,0,$R1333*$P1333/$Q1333)</f>
        <v/>
      </c>
    </row>
    <row r="1334">
      <c r="A1334" s="155" t="n">
        <v>46108</v>
      </c>
      <c r="B1334" s="156" t="inlineStr">
        <is>
          <t>22-23</t>
        </is>
      </c>
      <c r="C1334" s="156" t="inlineStr">
        <is>
          <t>EX-1251</t>
        </is>
      </c>
      <c r="D1334" s="156" t="inlineStr">
        <is>
          <t>DT-511</t>
        </is>
      </c>
      <c r="E1334" s="156" t="inlineStr">
        <is>
          <t>OB</t>
        </is>
      </c>
      <c r="F1334" s="156" t="n">
        <v>4</v>
      </c>
      <c r="G1334" s="156" t="inlineStr"/>
      <c r="H1334" s="157">
        <f>IF($B1334="","",IF(ISNA(MATCH($B1334,MASTER_JAM!$Q$5:$Q$28,0)),"?",IF(MATCH($B1334,MASTER_JAM!$Q$5:$Q$28,0)&lt;=12,"DS","NS")))</f>
        <v/>
      </c>
      <c r="I1334" s="157">
        <f>IFERROR(INDEX(MASTER_JAM!$B$5:$B$94,MATCH($C1334,MASTER_JAM!$A$5:$A$94,0)),"")</f>
        <v/>
      </c>
      <c r="J1334" s="157">
        <f>IFERROR(INDEX(MASTER_JAM!$E$5:$E$94,MATCH($D1334,MASTER_JAM!$A$5:$A$94,0)),"")</f>
        <v/>
      </c>
      <c r="K1334" s="158">
        <f>IFERROR(INDEX(MASTER_JAM!$J$5:$O$12,MATCH($E1334,MASTER_JAM!$I$5:$I$12,0),MATCH($J1334,MASTER_JAM!$J$4:$O$4,0))+0,0)</f>
        <v/>
      </c>
      <c r="L1334" s="159">
        <f>N($F1334)*$K1334</f>
        <v/>
      </c>
      <c r="M1334" s="157">
        <f>IF($E1334="","",IF(OR($E1334="Coal",$E1334="Dirty Coal"),"MT","BCM"))</f>
        <v/>
      </c>
      <c r="N1334" s="157">
        <f>IF($E1334="","",IF(OR($E1334="Coal",$E1334="Dirty Coal"),"Coal","OB"))</f>
        <v/>
      </c>
      <c r="O1334" s="157">
        <f>IF($F1334="","",IF(COUNTIF(MASTER_JAM!$A$5:$A$94,$C1334)=0,"Digger tidak dikenal",IF($J1334="","Hauler tidak dikenal",IF($H1334="?","Jam salah",IF($K1334=0,"Faktor kosong",IF(SUMIFS(INPUT_DELAY!$E$5:$E$20000,INPUT_DELAY!$A$5:$A$20000,$A1334,INPUT_DELAY!$B$5:$B$20000,$B1334,INPUT_DELAY!$C$5:$C$20000,$C1334)+SUMIFS(INPUT_DELAY!$E$5:$E$20000,INPUT_DELAY!$A$5:$A$20000,$A1334,INPUT_DELAY!$B$5:$B$20000,$B1334,INPUT_DELAY!$C$5:$C$20000,"SEMUA")&gt;=60,"Delay 60 mnt tapi ada ritase","OK"))))))</f>
        <v/>
      </c>
      <c r="P1334" s="158">
        <f>IFERROR(INDEX(MASTER_JAM!$Z$5:$AC$10,MATCH($I1334,MASTER_JAM!$Y$5:$Y$10,0),MATCH($J1334,MASTER_JAM!$Z$4:$AC$4,0))+0,0)</f>
        <v/>
      </c>
      <c r="Q1334" s="158">
        <f>IF($P1334=0,0,$P1334+IFERROR(INDEX(MASTER_JAM!$H$5:$H$94,MATCH($C1334,MASTER_JAM!$A$5:$A$94,0))+0,MASTER_JAM!$AC$15)/1000*(60/MASTER_JAM!$AC$12+60/MASTER_JAM!$AC$13)+MASTER_JAM!$AC$14)</f>
        <v/>
      </c>
      <c r="R1334" s="158">
        <f>IF(N($F1334)=0,0,$F1334/SUMIFS(INPUT_RITASE!$F$5:$F$20000,INPUT_RITASE!$A$5:$A$20000,$A1334,INPUT_RITASE!$B$5:$B$20000,$B1334,INPUT_RITASE!$C$5:$C$20000,$C1334,INPUT_RITASE!$D$5:$D$20000,$D1334))</f>
        <v/>
      </c>
      <c r="S1334" s="158">
        <f>IF($Q1334=0,0,$R1334*$P1334/$Q1334)</f>
        <v/>
      </c>
    </row>
    <row r="1335">
      <c r="A1335" s="155" t="n">
        <v>46108</v>
      </c>
      <c r="B1335" s="156" t="inlineStr">
        <is>
          <t>22-23</t>
        </is>
      </c>
      <c r="C1335" s="156" t="inlineStr">
        <is>
          <t>EX-1251</t>
        </is>
      </c>
      <c r="D1335" s="156" t="inlineStr">
        <is>
          <t>DT-503</t>
        </is>
      </c>
      <c r="E1335" s="156" t="inlineStr">
        <is>
          <t>OB</t>
        </is>
      </c>
      <c r="F1335" s="156" t="n">
        <v>3</v>
      </c>
      <c r="G1335" s="156" t="inlineStr"/>
      <c r="H1335" s="157">
        <f>IF($B1335="","",IF(ISNA(MATCH($B1335,MASTER_JAM!$Q$5:$Q$28,0)),"?",IF(MATCH($B1335,MASTER_JAM!$Q$5:$Q$28,0)&lt;=12,"DS","NS")))</f>
        <v/>
      </c>
      <c r="I1335" s="157">
        <f>IFERROR(INDEX(MASTER_JAM!$B$5:$B$94,MATCH($C1335,MASTER_JAM!$A$5:$A$94,0)),"")</f>
        <v/>
      </c>
      <c r="J1335" s="157">
        <f>IFERROR(INDEX(MASTER_JAM!$E$5:$E$94,MATCH($D1335,MASTER_JAM!$A$5:$A$94,0)),"")</f>
        <v/>
      </c>
      <c r="K1335" s="158">
        <f>IFERROR(INDEX(MASTER_JAM!$J$5:$O$12,MATCH($E1335,MASTER_JAM!$I$5:$I$12,0),MATCH($J1335,MASTER_JAM!$J$4:$O$4,0))+0,0)</f>
        <v/>
      </c>
      <c r="L1335" s="159">
        <f>N($F1335)*$K1335</f>
        <v/>
      </c>
      <c r="M1335" s="157">
        <f>IF($E1335="","",IF(OR($E1335="Coal",$E1335="Dirty Coal"),"MT","BCM"))</f>
        <v/>
      </c>
      <c r="N1335" s="157">
        <f>IF($E1335="","",IF(OR($E1335="Coal",$E1335="Dirty Coal"),"Coal","OB"))</f>
        <v/>
      </c>
      <c r="O1335" s="157">
        <f>IF($F1335="","",IF(COUNTIF(MASTER_JAM!$A$5:$A$94,$C1335)=0,"Digger tidak dikenal",IF($J1335="","Hauler tidak dikenal",IF($H1335="?","Jam salah",IF($K1335=0,"Faktor kosong",IF(SUMIFS(INPUT_DELAY!$E$5:$E$20000,INPUT_DELAY!$A$5:$A$20000,$A1335,INPUT_DELAY!$B$5:$B$20000,$B1335,INPUT_DELAY!$C$5:$C$20000,$C1335)+SUMIFS(INPUT_DELAY!$E$5:$E$20000,INPUT_DELAY!$A$5:$A$20000,$A1335,INPUT_DELAY!$B$5:$B$20000,$B1335,INPUT_DELAY!$C$5:$C$20000,"SEMUA")&gt;=60,"Delay 60 mnt tapi ada ritase","OK"))))))</f>
        <v/>
      </c>
      <c r="P1335" s="158">
        <f>IFERROR(INDEX(MASTER_JAM!$Z$5:$AC$10,MATCH($I1335,MASTER_JAM!$Y$5:$Y$10,0),MATCH($J1335,MASTER_JAM!$Z$4:$AC$4,0))+0,0)</f>
        <v/>
      </c>
      <c r="Q1335" s="158">
        <f>IF($P1335=0,0,$P1335+IFERROR(INDEX(MASTER_JAM!$H$5:$H$94,MATCH($C1335,MASTER_JAM!$A$5:$A$94,0))+0,MASTER_JAM!$AC$15)/1000*(60/MASTER_JAM!$AC$12+60/MASTER_JAM!$AC$13)+MASTER_JAM!$AC$14)</f>
        <v/>
      </c>
      <c r="R1335" s="158">
        <f>IF(N($F1335)=0,0,$F1335/SUMIFS(INPUT_RITASE!$F$5:$F$20000,INPUT_RITASE!$A$5:$A$20000,$A1335,INPUT_RITASE!$B$5:$B$20000,$B1335,INPUT_RITASE!$C$5:$C$20000,$C1335,INPUT_RITASE!$D$5:$D$20000,$D1335))</f>
        <v/>
      </c>
      <c r="S1335" s="158">
        <f>IF($Q1335=0,0,$R1335*$P1335/$Q1335)</f>
        <v/>
      </c>
    </row>
    <row r="1336">
      <c r="A1336" s="155" t="n">
        <v>46108</v>
      </c>
      <c r="B1336" s="156" t="inlineStr">
        <is>
          <t>23-24</t>
        </is>
      </c>
      <c r="C1336" s="156" t="inlineStr">
        <is>
          <t>EX-1251</t>
        </is>
      </c>
      <c r="D1336" s="156" t="inlineStr">
        <is>
          <t>DT-517</t>
        </is>
      </c>
      <c r="E1336" s="156" t="inlineStr">
        <is>
          <t>OB</t>
        </is>
      </c>
      <c r="F1336" s="156" t="n">
        <v>4</v>
      </c>
      <c r="G1336" s="156" t="inlineStr"/>
      <c r="H1336" s="157">
        <f>IF($B1336="","",IF(ISNA(MATCH($B1336,MASTER_JAM!$Q$5:$Q$28,0)),"?",IF(MATCH($B1336,MASTER_JAM!$Q$5:$Q$28,0)&lt;=12,"DS","NS")))</f>
        <v/>
      </c>
      <c r="I1336" s="157">
        <f>IFERROR(INDEX(MASTER_JAM!$B$5:$B$94,MATCH($C1336,MASTER_JAM!$A$5:$A$94,0)),"")</f>
        <v/>
      </c>
      <c r="J1336" s="157">
        <f>IFERROR(INDEX(MASTER_JAM!$E$5:$E$94,MATCH($D1336,MASTER_JAM!$A$5:$A$94,0)),"")</f>
        <v/>
      </c>
      <c r="K1336" s="158">
        <f>IFERROR(INDEX(MASTER_JAM!$J$5:$O$12,MATCH($E1336,MASTER_JAM!$I$5:$I$12,0),MATCH($J1336,MASTER_JAM!$J$4:$O$4,0))+0,0)</f>
        <v/>
      </c>
      <c r="L1336" s="159">
        <f>N($F1336)*$K1336</f>
        <v/>
      </c>
      <c r="M1336" s="157">
        <f>IF($E1336="","",IF(OR($E1336="Coal",$E1336="Dirty Coal"),"MT","BCM"))</f>
        <v/>
      </c>
      <c r="N1336" s="157">
        <f>IF($E1336="","",IF(OR($E1336="Coal",$E1336="Dirty Coal"),"Coal","OB"))</f>
        <v/>
      </c>
      <c r="O1336" s="157">
        <f>IF($F1336="","",IF(COUNTIF(MASTER_JAM!$A$5:$A$94,$C1336)=0,"Digger tidak dikenal",IF($J1336="","Hauler tidak dikenal",IF($H1336="?","Jam salah",IF($K1336=0,"Faktor kosong",IF(SUMIFS(INPUT_DELAY!$E$5:$E$20000,INPUT_DELAY!$A$5:$A$20000,$A1336,INPUT_DELAY!$B$5:$B$20000,$B1336,INPUT_DELAY!$C$5:$C$20000,$C1336)+SUMIFS(INPUT_DELAY!$E$5:$E$20000,INPUT_DELAY!$A$5:$A$20000,$A1336,INPUT_DELAY!$B$5:$B$20000,$B1336,INPUT_DELAY!$C$5:$C$20000,"SEMUA")&gt;=60,"Delay 60 mnt tapi ada ritase","OK"))))))</f>
        <v/>
      </c>
      <c r="P1336" s="158">
        <f>IFERROR(INDEX(MASTER_JAM!$Z$5:$AC$10,MATCH($I1336,MASTER_JAM!$Y$5:$Y$10,0),MATCH($J1336,MASTER_JAM!$Z$4:$AC$4,0))+0,0)</f>
        <v/>
      </c>
      <c r="Q1336" s="158">
        <f>IF($P1336=0,0,$P1336+IFERROR(INDEX(MASTER_JAM!$H$5:$H$94,MATCH($C1336,MASTER_JAM!$A$5:$A$94,0))+0,MASTER_JAM!$AC$15)/1000*(60/MASTER_JAM!$AC$12+60/MASTER_JAM!$AC$13)+MASTER_JAM!$AC$14)</f>
        <v/>
      </c>
      <c r="R1336" s="158">
        <f>IF(N($F1336)=0,0,$F1336/SUMIFS(INPUT_RITASE!$F$5:$F$20000,INPUT_RITASE!$A$5:$A$20000,$A1336,INPUT_RITASE!$B$5:$B$20000,$B1336,INPUT_RITASE!$C$5:$C$20000,$C1336,INPUT_RITASE!$D$5:$D$20000,$D1336))</f>
        <v/>
      </c>
      <c r="S1336" s="158">
        <f>IF($Q1336=0,0,$R1336*$P1336/$Q1336)</f>
        <v/>
      </c>
    </row>
    <row r="1337">
      <c r="A1337" s="155" t="n">
        <v>46108</v>
      </c>
      <c r="B1337" s="156" t="inlineStr">
        <is>
          <t>23-24</t>
        </is>
      </c>
      <c r="C1337" s="156" t="inlineStr">
        <is>
          <t>EX-1251</t>
        </is>
      </c>
      <c r="D1337" s="156" t="inlineStr">
        <is>
          <t>DT-511</t>
        </is>
      </c>
      <c r="E1337" s="156" t="inlineStr">
        <is>
          <t>OB</t>
        </is>
      </c>
      <c r="F1337" s="156" t="n">
        <v>4</v>
      </c>
      <c r="G1337" s="156" t="inlineStr"/>
      <c r="H1337" s="157">
        <f>IF($B1337="","",IF(ISNA(MATCH($B1337,MASTER_JAM!$Q$5:$Q$28,0)),"?",IF(MATCH($B1337,MASTER_JAM!$Q$5:$Q$28,0)&lt;=12,"DS","NS")))</f>
        <v/>
      </c>
      <c r="I1337" s="157">
        <f>IFERROR(INDEX(MASTER_JAM!$B$5:$B$94,MATCH($C1337,MASTER_JAM!$A$5:$A$94,0)),"")</f>
        <v/>
      </c>
      <c r="J1337" s="157">
        <f>IFERROR(INDEX(MASTER_JAM!$E$5:$E$94,MATCH($D1337,MASTER_JAM!$A$5:$A$94,0)),"")</f>
        <v/>
      </c>
      <c r="K1337" s="158">
        <f>IFERROR(INDEX(MASTER_JAM!$J$5:$O$12,MATCH($E1337,MASTER_JAM!$I$5:$I$12,0),MATCH($J1337,MASTER_JAM!$J$4:$O$4,0))+0,0)</f>
        <v/>
      </c>
      <c r="L1337" s="159">
        <f>N($F1337)*$K1337</f>
        <v/>
      </c>
      <c r="M1337" s="157">
        <f>IF($E1337="","",IF(OR($E1337="Coal",$E1337="Dirty Coal"),"MT","BCM"))</f>
        <v/>
      </c>
      <c r="N1337" s="157">
        <f>IF($E1337="","",IF(OR($E1337="Coal",$E1337="Dirty Coal"),"Coal","OB"))</f>
        <v/>
      </c>
      <c r="O1337" s="157">
        <f>IF($F1337="","",IF(COUNTIF(MASTER_JAM!$A$5:$A$94,$C1337)=0,"Digger tidak dikenal",IF($J1337="","Hauler tidak dikenal",IF($H1337="?","Jam salah",IF($K1337=0,"Faktor kosong",IF(SUMIFS(INPUT_DELAY!$E$5:$E$20000,INPUT_DELAY!$A$5:$A$20000,$A1337,INPUT_DELAY!$B$5:$B$20000,$B1337,INPUT_DELAY!$C$5:$C$20000,$C1337)+SUMIFS(INPUT_DELAY!$E$5:$E$20000,INPUT_DELAY!$A$5:$A$20000,$A1337,INPUT_DELAY!$B$5:$B$20000,$B1337,INPUT_DELAY!$C$5:$C$20000,"SEMUA")&gt;=60,"Delay 60 mnt tapi ada ritase","OK"))))))</f>
        <v/>
      </c>
      <c r="P1337" s="158">
        <f>IFERROR(INDEX(MASTER_JAM!$Z$5:$AC$10,MATCH($I1337,MASTER_JAM!$Y$5:$Y$10,0),MATCH($J1337,MASTER_JAM!$Z$4:$AC$4,0))+0,0)</f>
        <v/>
      </c>
      <c r="Q1337" s="158">
        <f>IF($P1337=0,0,$P1337+IFERROR(INDEX(MASTER_JAM!$H$5:$H$94,MATCH($C1337,MASTER_JAM!$A$5:$A$94,0))+0,MASTER_JAM!$AC$15)/1000*(60/MASTER_JAM!$AC$12+60/MASTER_JAM!$AC$13)+MASTER_JAM!$AC$14)</f>
        <v/>
      </c>
      <c r="R1337" s="158">
        <f>IF(N($F1337)=0,0,$F1337/SUMIFS(INPUT_RITASE!$F$5:$F$20000,INPUT_RITASE!$A$5:$A$20000,$A1337,INPUT_RITASE!$B$5:$B$20000,$B1337,INPUT_RITASE!$C$5:$C$20000,$C1337,INPUT_RITASE!$D$5:$D$20000,$D1337))</f>
        <v/>
      </c>
      <c r="S1337" s="158">
        <f>IF($Q1337=0,0,$R1337*$P1337/$Q1337)</f>
        <v/>
      </c>
    </row>
    <row r="1338">
      <c r="A1338" s="155" t="n">
        <v>46108</v>
      </c>
      <c r="B1338" s="156" t="inlineStr">
        <is>
          <t>23-24</t>
        </is>
      </c>
      <c r="C1338" s="156" t="inlineStr">
        <is>
          <t>EX-1251</t>
        </is>
      </c>
      <c r="D1338" s="156" t="inlineStr">
        <is>
          <t>DT-516</t>
        </is>
      </c>
      <c r="E1338" s="156" t="inlineStr">
        <is>
          <t>OB</t>
        </is>
      </c>
      <c r="F1338" s="156" t="n">
        <v>4</v>
      </c>
      <c r="G1338" s="156" t="inlineStr"/>
      <c r="H1338" s="157">
        <f>IF($B1338="","",IF(ISNA(MATCH($B1338,MASTER_JAM!$Q$5:$Q$28,0)),"?",IF(MATCH($B1338,MASTER_JAM!$Q$5:$Q$28,0)&lt;=12,"DS","NS")))</f>
        <v/>
      </c>
      <c r="I1338" s="157">
        <f>IFERROR(INDEX(MASTER_JAM!$B$5:$B$94,MATCH($C1338,MASTER_JAM!$A$5:$A$94,0)),"")</f>
        <v/>
      </c>
      <c r="J1338" s="157">
        <f>IFERROR(INDEX(MASTER_JAM!$E$5:$E$94,MATCH($D1338,MASTER_JAM!$A$5:$A$94,0)),"")</f>
        <v/>
      </c>
      <c r="K1338" s="158">
        <f>IFERROR(INDEX(MASTER_JAM!$J$5:$O$12,MATCH($E1338,MASTER_JAM!$I$5:$I$12,0),MATCH($J1338,MASTER_JAM!$J$4:$O$4,0))+0,0)</f>
        <v/>
      </c>
      <c r="L1338" s="159">
        <f>N($F1338)*$K1338</f>
        <v/>
      </c>
      <c r="M1338" s="157">
        <f>IF($E1338="","",IF(OR($E1338="Coal",$E1338="Dirty Coal"),"MT","BCM"))</f>
        <v/>
      </c>
      <c r="N1338" s="157">
        <f>IF($E1338="","",IF(OR($E1338="Coal",$E1338="Dirty Coal"),"Coal","OB"))</f>
        <v/>
      </c>
      <c r="O1338" s="157">
        <f>IF($F1338="","",IF(COUNTIF(MASTER_JAM!$A$5:$A$94,$C1338)=0,"Digger tidak dikenal",IF($J1338="","Hauler tidak dikenal",IF($H1338="?","Jam salah",IF($K1338=0,"Faktor kosong",IF(SUMIFS(INPUT_DELAY!$E$5:$E$20000,INPUT_DELAY!$A$5:$A$20000,$A1338,INPUT_DELAY!$B$5:$B$20000,$B1338,INPUT_DELAY!$C$5:$C$20000,$C1338)+SUMIFS(INPUT_DELAY!$E$5:$E$20000,INPUT_DELAY!$A$5:$A$20000,$A1338,INPUT_DELAY!$B$5:$B$20000,$B1338,INPUT_DELAY!$C$5:$C$20000,"SEMUA")&gt;=60,"Delay 60 mnt tapi ada ritase","OK"))))))</f>
        <v/>
      </c>
      <c r="P1338" s="158">
        <f>IFERROR(INDEX(MASTER_JAM!$Z$5:$AC$10,MATCH($I1338,MASTER_JAM!$Y$5:$Y$10,0),MATCH($J1338,MASTER_JAM!$Z$4:$AC$4,0))+0,0)</f>
        <v/>
      </c>
      <c r="Q1338" s="158">
        <f>IF($P1338=0,0,$P1338+IFERROR(INDEX(MASTER_JAM!$H$5:$H$94,MATCH($C1338,MASTER_JAM!$A$5:$A$94,0))+0,MASTER_JAM!$AC$15)/1000*(60/MASTER_JAM!$AC$12+60/MASTER_JAM!$AC$13)+MASTER_JAM!$AC$14)</f>
        <v/>
      </c>
      <c r="R1338" s="158">
        <f>IF(N($F1338)=0,0,$F1338/SUMIFS(INPUT_RITASE!$F$5:$F$20000,INPUT_RITASE!$A$5:$A$20000,$A1338,INPUT_RITASE!$B$5:$B$20000,$B1338,INPUT_RITASE!$C$5:$C$20000,$C1338,INPUT_RITASE!$D$5:$D$20000,$D1338))</f>
        <v/>
      </c>
      <c r="S1338" s="158">
        <f>IF($Q1338=0,0,$R1338*$P1338/$Q1338)</f>
        <v/>
      </c>
    </row>
    <row r="1339">
      <c r="A1339" s="155" t="n">
        <v>46108</v>
      </c>
      <c r="B1339" s="156" t="inlineStr">
        <is>
          <t>23-24</t>
        </is>
      </c>
      <c r="C1339" s="156" t="inlineStr">
        <is>
          <t>EX-1251</t>
        </is>
      </c>
      <c r="D1339" s="156" t="inlineStr">
        <is>
          <t>DT-512</t>
        </is>
      </c>
      <c r="E1339" s="156" t="inlineStr">
        <is>
          <t>OB</t>
        </is>
      </c>
      <c r="F1339" s="156" t="n">
        <v>4</v>
      </c>
      <c r="G1339" s="156" t="inlineStr"/>
      <c r="H1339" s="157">
        <f>IF($B1339="","",IF(ISNA(MATCH($B1339,MASTER_JAM!$Q$5:$Q$28,0)),"?",IF(MATCH($B1339,MASTER_JAM!$Q$5:$Q$28,0)&lt;=12,"DS","NS")))</f>
        <v/>
      </c>
      <c r="I1339" s="157">
        <f>IFERROR(INDEX(MASTER_JAM!$B$5:$B$94,MATCH($C1339,MASTER_JAM!$A$5:$A$94,0)),"")</f>
        <v/>
      </c>
      <c r="J1339" s="157">
        <f>IFERROR(INDEX(MASTER_JAM!$E$5:$E$94,MATCH($D1339,MASTER_JAM!$A$5:$A$94,0)),"")</f>
        <v/>
      </c>
      <c r="K1339" s="158">
        <f>IFERROR(INDEX(MASTER_JAM!$J$5:$O$12,MATCH($E1339,MASTER_JAM!$I$5:$I$12,0),MATCH($J1339,MASTER_JAM!$J$4:$O$4,0))+0,0)</f>
        <v/>
      </c>
      <c r="L1339" s="159">
        <f>N($F1339)*$K1339</f>
        <v/>
      </c>
      <c r="M1339" s="157">
        <f>IF($E1339="","",IF(OR($E1339="Coal",$E1339="Dirty Coal"),"MT","BCM"))</f>
        <v/>
      </c>
      <c r="N1339" s="157">
        <f>IF($E1339="","",IF(OR($E1339="Coal",$E1339="Dirty Coal"),"Coal","OB"))</f>
        <v/>
      </c>
      <c r="O1339" s="157">
        <f>IF($F1339="","",IF(COUNTIF(MASTER_JAM!$A$5:$A$94,$C1339)=0,"Digger tidak dikenal",IF($J1339="","Hauler tidak dikenal",IF($H1339="?","Jam salah",IF($K1339=0,"Faktor kosong",IF(SUMIFS(INPUT_DELAY!$E$5:$E$20000,INPUT_DELAY!$A$5:$A$20000,$A1339,INPUT_DELAY!$B$5:$B$20000,$B1339,INPUT_DELAY!$C$5:$C$20000,$C1339)+SUMIFS(INPUT_DELAY!$E$5:$E$20000,INPUT_DELAY!$A$5:$A$20000,$A1339,INPUT_DELAY!$B$5:$B$20000,$B1339,INPUT_DELAY!$C$5:$C$20000,"SEMUA")&gt;=60,"Delay 60 mnt tapi ada ritase","OK"))))))</f>
        <v/>
      </c>
      <c r="P1339" s="158">
        <f>IFERROR(INDEX(MASTER_JAM!$Z$5:$AC$10,MATCH($I1339,MASTER_JAM!$Y$5:$Y$10,0),MATCH($J1339,MASTER_JAM!$Z$4:$AC$4,0))+0,0)</f>
        <v/>
      </c>
      <c r="Q1339" s="158">
        <f>IF($P1339=0,0,$P1339+IFERROR(INDEX(MASTER_JAM!$H$5:$H$94,MATCH($C1339,MASTER_JAM!$A$5:$A$94,0))+0,MASTER_JAM!$AC$15)/1000*(60/MASTER_JAM!$AC$12+60/MASTER_JAM!$AC$13)+MASTER_JAM!$AC$14)</f>
        <v/>
      </c>
      <c r="R1339" s="158">
        <f>IF(N($F1339)=0,0,$F1339/SUMIFS(INPUT_RITASE!$F$5:$F$20000,INPUT_RITASE!$A$5:$A$20000,$A1339,INPUT_RITASE!$B$5:$B$20000,$B1339,INPUT_RITASE!$C$5:$C$20000,$C1339,INPUT_RITASE!$D$5:$D$20000,$D1339))</f>
        <v/>
      </c>
      <c r="S1339" s="158">
        <f>IF($Q1339=0,0,$R1339*$P1339/$Q1339)</f>
        <v/>
      </c>
    </row>
    <row r="1340">
      <c r="A1340" s="155" t="n">
        <v>46108</v>
      </c>
      <c r="B1340" s="156" t="inlineStr">
        <is>
          <t>23-24</t>
        </is>
      </c>
      <c r="C1340" s="156" t="inlineStr">
        <is>
          <t>EX-1251</t>
        </is>
      </c>
      <c r="D1340" s="156" t="inlineStr">
        <is>
          <t>DT-502</t>
        </is>
      </c>
      <c r="E1340" s="156" t="inlineStr">
        <is>
          <t>OB</t>
        </is>
      </c>
      <c r="F1340" s="156" t="n">
        <v>3</v>
      </c>
      <c r="G1340" s="156" t="inlineStr"/>
      <c r="H1340" s="157">
        <f>IF($B1340="","",IF(ISNA(MATCH($B1340,MASTER_JAM!$Q$5:$Q$28,0)),"?",IF(MATCH($B1340,MASTER_JAM!$Q$5:$Q$28,0)&lt;=12,"DS","NS")))</f>
        <v/>
      </c>
      <c r="I1340" s="157">
        <f>IFERROR(INDEX(MASTER_JAM!$B$5:$B$94,MATCH($C1340,MASTER_JAM!$A$5:$A$94,0)),"")</f>
        <v/>
      </c>
      <c r="J1340" s="157">
        <f>IFERROR(INDEX(MASTER_JAM!$E$5:$E$94,MATCH($D1340,MASTER_JAM!$A$5:$A$94,0)),"")</f>
        <v/>
      </c>
      <c r="K1340" s="158">
        <f>IFERROR(INDEX(MASTER_JAM!$J$5:$O$12,MATCH($E1340,MASTER_JAM!$I$5:$I$12,0),MATCH($J1340,MASTER_JAM!$J$4:$O$4,0))+0,0)</f>
        <v/>
      </c>
      <c r="L1340" s="159">
        <f>N($F1340)*$K1340</f>
        <v/>
      </c>
      <c r="M1340" s="157">
        <f>IF($E1340="","",IF(OR($E1340="Coal",$E1340="Dirty Coal"),"MT","BCM"))</f>
        <v/>
      </c>
      <c r="N1340" s="157">
        <f>IF($E1340="","",IF(OR($E1340="Coal",$E1340="Dirty Coal"),"Coal","OB"))</f>
        <v/>
      </c>
      <c r="O1340" s="157">
        <f>IF($F1340="","",IF(COUNTIF(MASTER_JAM!$A$5:$A$94,$C1340)=0,"Digger tidak dikenal",IF($J1340="","Hauler tidak dikenal",IF($H1340="?","Jam salah",IF($K1340=0,"Faktor kosong",IF(SUMIFS(INPUT_DELAY!$E$5:$E$20000,INPUT_DELAY!$A$5:$A$20000,$A1340,INPUT_DELAY!$B$5:$B$20000,$B1340,INPUT_DELAY!$C$5:$C$20000,$C1340)+SUMIFS(INPUT_DELAY!$E$5:$E$20000,INPUT_DELAY!$A$5:$A$20000,$A1340,INPUT_DELAY!$B$5:$B$20000,$B1340,INPUT_DELAY!$C$5:$C$20000,"SEMUA")&gt;=60,"Delay 60 mnt tapi ada ritase","OK"))))))</f>
        <v/>
      </c>
      <c r="P1340" s="158">
        <f>IFERROR(INDEX(MASTER_JAM!$Z$5:$AC$10,MATCH($I1340,MASTER_JAM!$Y$5:$Y$10,0),MATCH($J1340,MASTER_JAM!$Z$4:$AC$4,0))+0,0)</f>
        <v/>
      </c>
      <c r="Q1340" s="158">
        <f>IF($P1340=0,0,$P1340+IFERROR(INDEX(MASTER_JAM!$H$5:$H$94,MATCH($C1340,MASTER_JAM!$A$5:$A$94,0))+0,MASTER_JAM!$AC$15)/1000*(60/MASTER_JAM!$AC$12+60/MASTER_JAM!$AC$13)+MASTER_JAM!$AC$14)</f>
        <v/>
      </c>
      <c r="R1340" s="158">
        <f>IF(N($F1340)=0,0,$F1340/SUMIFS(INPUT_RITASE!$F$5:$F$20000,INPUT_RITASE!$A$5:$A$20000,$A1340,INPUT_RITASE!$B$5:$B$20000,$B1340,INPUT_RITASE!$C$5:$C$20000,$C1340,INPUT_RITASE!$D$5:$D$20000,$D1340))</f>
        <v/>
      </c>
      <c r="S1340" s="158">
        <f>IF($Q1340=0,0,$R1340*$P1340/$Q1340)</f>
        <v/>
      </c>
    </row>
    <row r="1341">
      <c r="A1341" s="155" t="n">
        <v>46108</v>
      </c>
      <c r="B1341" s="156" t="inlineStr">
        <is>
          <t>01-02</t>
        </is>
      </c>
      <c r="C1341" s="156" t="inlineStr">
        <is>
          <t>EX-1251</t>
        </is>
      </c>
      <c r="D1341" s="156" t="inlineStr">
        <is>
          <t>DT-512</t>
        </is>
      </c>
      <c r="E1341" s="156" t="inlineStr">
        <is>
          <t>OB</t>
        </is>
      </c>
      <c r="F1341" s="156" t="n">
        <v>4</v>
      </c>
      <c r="G1341" s="156" t="inlineStr"/>
      <c r="H1341" s="157">
        <f>IF($B1341="","",IF(ISNA(MATCH($B1341,MASTER_JAM!$Q$5:$Q$28,0)),"?",IF(MATCH($B1341,MASTER_JAM!$Q$5:$Q$28,0)&lt;=12,"DS","NS")))</f>
        <v/>
      </c>
      <c r="I1341" s="157">
        <f>IFERROR(INDEX(MASTER_JAM!$B$5:$B$94,MATCH($C1341,MASTER_JAM!$A$5:$A$94,0)),"")</f>
        <v/>
      </c>
      <c r="J1341" s="157">
        <f>IFERROR(INDEX(MASTER_JAM!$E$5:$E$94,MATCH($D1341,MASTER_JAM!$A$5:$A$94,0)),"")</f>
        <v/>
      </c>
      <c r="K1341" s="158">
        <f>IFERROR(INDEX(MASTER_JAM!$J$5:$O$12,MATCH($E1341,MASTER_JAM!$I$5:$I$12,0),MATCH($J1341,MASTER_JAM!$J$4:$O$4,0))+0,0)</f>
        <v/>
      </c>
      <c r="L1341" s="159">
        <f>N($F1341)*$K1341</f>
        <v/>
      </c>
      <c r="M1341" s="157">
        <f>IF($E1341="","",IF(OR($E1341="Coal",$E1341="Dirty Coal"),"MT","BCM"))</f>
        <v/>
      </c>
      <c r="N1341" s="157">
        <f>IF($E1341="","",IF(OR($E1341="Coal",$E1341="Dirty Coal"),"Coal","OB"))</f>
        <v/>
      </c>
      <c r="O1341" s="157">
        <f>IF($F1341="","",IF(COUNTIF(MASTER_JAM!$A$5:$A$94,$C1341)=0,"Digger tidak dikenal",IF($J1341="","Hauler tidak dikenal",IF($H1341="?","Jam salah",IF($K1341=0,"Faktor kosong",IF(SUMIFS(INPUT_DELAY!$E$5:$E$20000,INPUT_DELAY!$A$5:$A$20000,$A1341,INPUT_DELAY!$B$5:$B$20000,$B1341,INPUT_DELAY!$C$5:$C$20000,$C1341)+SUMIFS(INPUT_DELAY!$E$5:$E$20000,INPUT_DELAY!$A$5:$A$20000,$A1341,INPUT_DELAY!$B$5:$B$20000,$B1341,INPUT_DELAY!$C$5:$C$20000,"SEMUA")&gt;=60,"Delay 60 mnt tapi ada ritase","OK"))))))</f>
        <v/>
      </c>
      <c r="P1341" s="158">
        <f>IFERROR(INDEX(MASTER_JAM!$Z$5:$AC$10,MATCH($I1341,MASTER_JAM!$Y$5:$Y$10,0),MATCH($J1341,MASTER_JAM!$Z$4:$AC$4,0))+0,0)</f>
        <v/>
      </c>
      <c r="Q1341" s="158">
        <f>IF($P1341=0,0,$P1341+IFERROR(INDEX(MASTER_JAM!$H$5:$H$94,MATCH($C1341,MASTER_JAM!$A$5:$A$94,0))+0,MASTER_JAM!$AC$15)/1000*(60/MASTER_JAM!$AC$12+60/MASTER_JAM!$AC$13)+MASTER_JAM!$AC$14)</f>
        <v/>
      </c>
      <c r="R1341" s="158">
        <f>IF(N($F1341)=0,0,$F1341/SUMIFS(INPUT_RITASE!$F$5:$F$20000,INPUT_RITASE!$A$5:$A$20000,$A1341,INPUT_RITASE!$B$5:$B$20000,$B1341,INPUT_RITASE!$C$5:$C$20000,$C1341,INPUT_RITASE!$D$5:$D$20000,$D1341))</f>
        <v/>
      </c>
      <c r="S1341" s="158">
        <f>IF($Q1341=0,0,$R1341*$P1341/$Q1341)</f>
        <v/>
      </c>
    </row>
    <row r="1342">
      <c r="A1342" s="155" t="n">
        <v>46108</v>
      </c>
      <c r="B1342" s="156" t="inlineStr">
        <is>
          <t>01-02</t>
        </is>
      </c>
      <c r="C1342" s="156" t="inlineStr">
        <is>
          <t>EX-1251</t>
        </is>
      </c>
      <c r="D1342" s="156" t="inlineStr">
        <is>
          <t>DT-503</t>
        </is>
      </c>
      <c r="E1342" s="156" t="inlineStr">
        <is>
          <t>OB</t>
        </is>
      </c>
      <c r="F1342" s="156" t="n">
        <v>4</v>
      </c>
      <c r="G1342" s="156" t="inlineStr"/>
      <c r="H1342" s="157">
        <f>IF($B1342="","",IF(ISNA(MATCH($B1342,MASTER_JAM!$Q$5:$Q$28,0)),"?",IF(MATCH($B1342,MASTER_JAM!$Q$5:$Q$28,0)&lt;=12,"DS","NS")))</f>
        <v/>
      </c>
      <c r="I1342" s="157">
        <f>IFERROR(INDEX(MASTER_JAM!$B$5:$B$94,MATCH($C1342,MASTER_JAM!$A$5:$A$94,0)),"")</f>
        <v/>
      </c>
      <c r="J1342" s="157">
        <f>IFERROR(INDEX(MASTER_JAM!$E$5:$E$94,MATCH($D1342,MASTER_JAM!$A$5:$A$94,0)),"")</f>
        <v/>
      </c>
      <c r="K1342" s="158">
        <f>IFERROR(INDEX(MASTER_JAM!$J$5:$O$12,MATCH($E1342,MASTER_JAM!$I$5:$I$12,0),MATCH($J1342,MASTER_JAM!$J$4:$O$4,0))+0,0)</f>
        <v/>
      </c>
      <c r="L1342" s="159">
        <f>N($F1342)*$K1342</f>
        <v/>
      </c>
      <c r="M1342" s="157">
        <f>IF($E1342="","",IF(OR($E1342="Coal",$E1342="Dirty Coal"),"MT","BCM"))</f>
        <v/>
      </c>
      <c r="N1342" s="157">
        <f>IF($E1342="","",IF(OR($E1342="Coal",$E1342="Dirty Coal"),"Coal","OB"))</f>
        <v/>
      </c>
      <c r="O1342" s="157">
        <f>IF($F1342="","",IF(COUNTIF(MASTER_JAM!$A$5:$A$94,$C1342)=0,"Digger tidak dikenal",IF($J1342="","Hauler tidak dikenal",IF($H1342="?","Jam salah",IF($K1342=0,"Faktor kosong",IF(SUMIFS(INPUT_DELAY!$E$5:$E$20000,INPUT_DELAY!$A$5:$A$20000,$A1342,INPUT_DELAY!$B$5:$B$20000,$B1342,INPUT_DELAY!$C$5:$C$20000,$C1342)+SUMIFS(INPUT_DELAY!$E$5:$E$20000,INPUT_DELAY!$A$5:$A$20000,$A1342,INPUT_DELAY!$B$5:$B$20000,$B1342,INPUT_DELAY!$C$5:$C$20000,"SEMUA")&gt;=60,"Delay 60 mnt tapi ada ritase","OK"))))))</f>
        <v/>
      </c>
      <c r="P1342" s="158">
        <f>IFERROR(INDEX(MASTER_JAM!$Z$5:$AC$10,MATCH($I1342,MASTER_JAM!$Y$5:$Y$10,0),MATCH($J1342,MASTER_JAM!$Z$4:$AC$4,0))+0,0)</f>
        <v/>
      </c>
      <c r="Q1342" s="158">
        <f>IF($P1342=0,0,$P1342+IFERROR(INDEX(MASTER_JAM!$H$5:$H$94,MATCH($C1342,MASTER_JAM!$A$5:$A$94,0))+0,MASTER_JAM!$AC$15)/1000*(60/MASTER_JAM!$AC$12+60/MASTER_JAM!$AC$13)+MASTER_JAM!$AC$14)</f>
        <v/>
      </c>
      <c r="R1342" s="158">
        <f>IF(N($F1342)=0,0,$F1342/SUMIFS(INPUT_RITASE!$F$5:$F$20000,INPUT_RITASE!$A$5:$A$20000,$A1342,INPUT_RITASE!$B$5:$B$20000,$B1342,INPUT_RITASE!$C$5:$C$20000,$C1342,INPUT_RITASE!$D$5:$D$20000,$D1342))</f>
        <v/>
      </c>
      <c r="S1342" s="158">
        <f>IF($Q1342=0,0,$R1342*$P1342/$Q1342)</f>
        <v/>
      </c>
    </row>
    <row r="1343">
      <c r="A1343" s="155" t="n">
        <v>46108</v>
      </c>
      <c r="B1343" s="156" t="inlineStr">
        <is>
          <t>01-02</t>
        </is>
      </c>
      <c r="C1343" s="156" t="inlineStr">
        <is>
          <t>EX-1251</t>
        </is>
      </c>
      <c r="D1343" s="156" t="inlineStr">
        <is>
          <t>DT-515</t>
        </is>
      </c>
      <c r="E1343" s="156" t="inlineStr">
        <is>
          <t>OB</t>
        </is>
      </c>
      <c r="F1343" s="156" t="n">
        <v>4</v>
      </c>
      <c r="G1343" s="156" t="inlineStr"/>
      <c r="H1343" s="157">
        <f>IF($B1343="","",IF(ISNA(MATCH($B1343,MASTER_JAM!$Q$5:$Q$28,0)),"?",IF(MATCH($B1343,MASTER_JAM!$Q$5:$Q$28,0)&lt;=12,"DS","NS")))</f>
        <v/>
      </c>
      <c r="I1343" s="157">
        <f>IFERROR(INDEX(MASTER_JAM!$B$5:$B$94,MATCH($C1343,MASTER_JAM!$A$5:$A$94,0)),"")</f>
        <v/>
      </c>
      <c r="J1343" s="157">
        <f>IFERROR(INDEX(MASTER_JAM!$E$5:$E$94,MATCH($D1343,MASTER_JAM!$A$5:$A$94,0)),"")</f>
        <v/>
      </c>
      <c r="K1343" s="158">
        <f>IFERROR(INDEX(MASTER_JAM!$J$5:$O$12,MATCH($E1343,MASTER_JAM!$I$5:$I$12,0),MATCH($J1343,MASTER_JAM!$J$4:$O$4,0))+0,0)</f>
        <v/>
      </c>
      <c r="L1343" s="159">
        <f>N($F1343)*$K1343</f>
        <v/>
      </c>
      <c r="M1343" s="157">
        <f>IF($E1343="","",IF(OR($E1343="Coal",$E1343="Dirty Coal"),"MT","BCM"))</f>
        <v/>
      </c>
      <c r="N1343" s="157">
        <f>IF($E1343="","",IF(OR($E1343="Coal",$E1343="Dirty Coal"),"Coal","OB"))</f>
        <v/>
      </c>
      <c r="O1343" s="157">
        <f>IF($F1343="","",IF(COUNTIF(MASTER_JAM!$A$5:$A$94,$C1343)=0,"Digger tidak dikenal",IF($J1343="","Hauler tidak dikenal",IF($H1343="?","Jam salah",IF($K1343=0,"Faktor kosong",IF(SUMIFS(INPUT_DELAY!$E$5:$E$20000,INPUT_DELAY!$A$5:$A$20000,$A1343,INPUT_DELAY!$B$5:$B$20000,$B1343,INPUT_DELAY!$C$5:$C$20000,$C1343)+SUMIFS(INPUT_DELAY!$E$5:$E$20000,INPUT_DELAY!$A$5:$A$20000,$A1343,INPUT_DELAY!$B$5:$B$20000,$B1343,INPUT_DELAY!$C$5:$C$20000,"SEMUA")&gt;=60,"Delay 60 mnt tapi ada ritase","OK"))))))</f>
        <v/>
      </c>
      <c r="P1343" s="158">
        <f>IFERROR(INDEX(MASTER_JAM!$Z$5:$AC$10,MATCH($I1343,MASTER_JAM!$Y$5:$Y$10,0),MATCH($J1343,MASTER_JAM!$Z$4:$AC$4,0))+0,0)</f>
        <v/>
      </c>
      <c r="Q1343" s="158">
        <f>IF($P1343=0,0,$P1343+IFERROR(INDEX(MASTER_JAM!$H$5:$H$94,MATCH($C1343,MASTER_JAM!$A$5:$A$94,0))+0,MASTER_JAM!$AC$15)/1000*(60/MASTER_JAM!$AC$12+60/MASTER_JAM!$AC$13)+MASTER_JAM!$AC$14)</f>
        <v/>
      </c>
      <c r="R1343" s="158">
        <f>IF(N($F1343)=0,0,$F1343/SUMIFS(INPUT_RITASE!$F$5:$F$20000,INPUT_RITASE!$A$5:$A$20000,$A1343,INPUT_RITASE!$B$5:$B$20000,$B1343,INPUT_RITASE!$C$5:$C$20000,$C1343,INPUT_RITASE!$D$5:$D$20000,$D1343))</f>
        <v/>
      </c>
      <c r="S1343" s="158">
        <f>IF($Q1343=0,0,$R1343*$P1343/$Q1343)</f>
        <v/>
      </c>
    </row>
    <row r="1344">
      <c r="A1344" s="155" t="n">
        <v>46108</v>
      </c>
      <c r="B1344" s="156" t="inlineStr">
        <is>
          <t>01-02</t>
        </is>
      </c>
      <c r="C1344" s="156" t="inlineStr">
        <is>
          <t>EX-1251</t>
        </is>
      </c>
      <c r="D1344" s="156" t="inlineStr">
        <is>
          <t>DT-501</t>
        </is>
      </c>
      <c r="E1344" s="156" t="inlineStr">
        <is>
          <t>OB</t>
        </is>
      </c>
      <c r="F1344" s="156" t="n">
        <v>4</v>
      </c>
      <c r="G1344" s="156" t="inlineStr"/>
      <c r="H1344" s="157">
        <f>IF($B1344="","",IF(ISNA(MATCH($B1344,MASTER_JAM!$Q$5:$Q$28,0)),"?",IF(MATCH($B1344,MASTER_JAM!$Q$5:$Q$28,0)&lt;=12,"DS","NS")))</f>
        <v/>
      </c>
      <c r="I1344" s="157">
        <f>IFERROR(INDEX(MASTER_JAM!$B$5:$B$94,MATCH($C1344,MASTER_JAM!$A$5:$A$94,0)),"")</f>
        <v/>
      </c>
      <c r="J1344" s="157">
        <f>IFERROR(INDEX(MASTER_JAM!$E$5:$E$94,MATCH($D1344,MASTER_JAM!$A$5:$A$94,0)),"")</f>
        <v/>
      </c>
      <c r="K1344" s="158">
        <f>IFERROR(INDEX(MASTER_JAM!$J$5:$O$12,MATCH($E1344,MASTER_JAM!$I$5:$I$12,0),MATCH($J1344,MASTER_JAM!$J$4:$O$4,0))+0,0)</f>
        <v/>
      </c>
      <c r="L1344" s="159">
        <f>N($F1344)*$K1344</f>
        <v/>
      </c>
      <c r="M1344" s="157">
        <f>IF($E1344="","",IF(OR($E1344="Coal",$E1344="Dirty Coal"),"MT","BCM"))</f>
        <v/>
      </c>
      <c r="N1344" s="157">
        <f>IF($E1344="","",IF(OR($E1344="Coal",$E1344="Dirty Coal"),"Coal","OB"))</f>
        <v/>
      </c>
      <c r="O1344" s="157">
        <f>IF($F1344="","",IF(COUNTIF(MASTER_JAM!$A$5:$A$94,$C1344)=0,"Digger tidak dikenal",IF($J1344="","Hauler tidak dikenal",IF($H1344="?","Jam salah",IF($K1344=0,"Faktor kosong",IF(SUMIFS(INPUT_DELAY!$E$5:$E$20000,INPUT_DELAY!$A$5:$A$20000,$A1344,INPUT_DELAY!$B$5:$B$20000,$B1344,INPUT_DELAY!$C$5:$C$20000,$C1344)+SUMIFS(INPUT_DELAY!$E$5:$E$20000,INPUT_DELAY!$A$5:$A$20000,$A1344,INPUT_DELAY!$B$5:$B$20000,$B1344,INPUT_DELAY!$C$5:$C$20000,"SEMUA")&gt;=60,"Delay 60 mnt tapi ada ritase","OK"))))))</f>
        <v/>
      </c>
      <c r="P1344" s="158">
        <f>IFERROR(INDEX(MASTER_JAM!$Z$5:$AC$10,MATCH($I1344,MASTER_JAM!$Y$5:$Y$10,0),MATCH($J1344,MASTER_JAM!$Z$4:$AC$4,0))+0,0)</f>
        <v/>
      </c>
      <c r="Q1344" s="158">
        <f>IF($P1344=0,0,$P1344+IFERROR(INDEX(MASTER_JAM!$H$5:$H$94,MATCH($C1344,MASTER_JAM!$A$5:$A$94,0))+0,MASTER_JAM!$AC$15)/1000*(60/MASTER_JAM!$AC$12+60/MASTER_JAM!$AC$13)+MASTER_JAM!$AC$14)</f>
        <v/>
      </c>
      <c r="R1344" s="158">
        <f>IF(N($F1344)=0,0,$F1344/SUMIFS(INPUT_RITASE!$F$5:$F$20000,INPUT_RITASE!$A$5:$A$20000,$A1344,INPUT_RITASE!$B$5:$B$20000,$B1344,INPUT_RITASE!$C$5:$C$20000,$C1344,INPUT_RITASE!$D$5:$D$20000,$D1344))</f>
        <v/>
      </c>
      <c r="S1344" s="158">
        <f>IF($Q1344=0,0,$R1344*$P1344/$Q1344)</f>
        <v/>
      </c>
    </row>
    <row r="1345">
      <c r="A1345" s="155" t="n">
        <v>46108</v>
      </c>
      <c r="B1345" s="156" t="inlineStr">
        <is>
          <t>01-02</t>
        </is>
      </c>
      <c r="C1345" s="156" t="inlineStr">
        <is>
          <t>EX-1251</t>
        </is>
      </c>
      <c r="D1345" s="156" t="inlineStr">
        <is>
          <t>DT-522</t>
        </is>
      </c>
      <c r="E1345" s="156" t="inlineStr">
        <is>
          <t>OB</t>
        </is>
      </c>
      <c r="F1345" s="156" t="n">
        <v>3</v>
      </c>
      <c r="G1345" s="156" t="inlineStr"/>
      <c r="H1345" s="157">
        <f>IF($B1345="","",IF(ISNA(MATCH($B1345,MASTER_JAM!$Q$5:$Q$28,0)),"?",IF(MATCH($B1345,MASTER_JAM!$Q$5:$Q$28,0)&lt;=12,"DS","NS")))</f>
        <v/>
      </c>
      <c r="I1345" s="157">
        <f>IFERROR(INDEX(MASTER_JAM!$B$5:$B$94,MATCH($C1345,MASTER_JAM!$A$5:$A$94,0)),"")</f>
        <v/>
      </c>
      <c r="J1345" s="157">
        <f>IFERROR(INDEX(MASTER_JAM!$E$5:$E$94,MATCH($D1345,MASTER_JAM!$A$5:$A$94,0)),"")</f>
        <v/>
      </c>
      <c r="K1345" s="158">
        <f>IFERROR(INDEX(MASTER_JAM!$J$5:$O$12,MATCH($E1345,MASTER_JAM!$I$5:$I$12,0),MATCH($J1345,MASTER_JAM!$J$4:$O$4,0))+0,0)</f>
        <v/>
      </c>
      <c r="L1345" s="159">
        <f>N($F1345)*$K1345</f>
        <v/>
      </c>
      <c r="M1345" s="157">
        <f>IF($E1345="","",IF(OR($E1345="Coal",$E1345="Dirty Coal"),"MT","BCM"))</f>
        <v/>
      </c>
      <c r="N1345" s="157">
        <f>IF($E1345="","",IF(OR($E1345="Coal",$E1345="Dirty Coal"),"Coal","OB"))</f>
        <v/>
      </c>
      <c r="O1345" s="157">
        <f>IF($F1345="","",IF(COUNTIF(MASTER_JAM!$A$5:$A$94,$C1345)=0,"Digger tidak dikenal",IF($J1345="","Hauler tidak dikenal",IF($H1345="?","Jam salah",IF($K1345=0,"Faktor kosong",IF(SUMIFS(INPUT_DELAY!$E$5:$E$20000,INPUT_DELAY!$A$5:$A$20000,$A1345,INPUT_DELAY!$B$5:$B$20000,$B1345,INPUT_DELAY!$C$5:$C$20000,$C1345)+SUMIFS(INPUT_DELAY!$E$5:$E$20000,INPUT_DELAY!$A$5:$A$20000,$A1345,INPUT_DELAY!$B$5:$B$20000,$B1345,INPUT_DELAY!$C$5:$C$20000,"SEMUA")&gt;=60,"Delay 60 mnt tapi ada ritase","OK"))))))</f>
        <v/>
      </c>
      <c r="P1345" s="158">
        <f>IFERROR(INDEX(MASTER_JAM!$Z$5:$AC$10,MATCH($I1345,MASTER_JAM!$Y$5:$Y$10,0),MATCH($J1345,MASTER_JAM!$Z$4:$AC$4,0))+0,0)</f>
        <v/>
      </c>
      <c r="Q1345" s="158">
        <f>IF($P1345=0,0,$P1345+IFERROR(INDEX(MASTER_JAM!$H$5:$H$94,MATCH($C1345,MASTER_JAM!$A$5:$A$94,0))+0,MASTER_JAM!$AC$15)/1000*(60/MASTER_JAM!$AC$12+60/MASTER_JAM!$AC$13)+MASTER_JAM!$AC$14)</f>
        <v/>
      </c>
      <c r="R1345" s="158">
        <f>IF(N($F1345)=0,0,$F1345/SUMIFS(INPUT_RITASE!$F$5:$F$20000,INPUT_RITASE!$A$5:$A$20000,$A1345,INPUT_RITASE!$B$5:$B$20000,$B1345,INPUT_RITASE!$C$5:$C$20000,$C1345,INPUT_RITASE!$D$5:$D$20000,$D1345))</f>
        <v/>
      </c>
      <c r="S1345" s="158">
        <f>IF($Q1345=0,0,$R1345*$P1345/$Q1345)</f>
        <v/>
      </c>
    </row>
    <row r="1346">
      <c r="A1346" s="155" t="n">
        <v>46108</v>
      </c>
      <c r="B1346" s="156" t="inlineStr">
        <is>
          <t>02-03</t>
        </is>
      </c>
      <c r="C1346" s="156" t="inlineStr">
        <is>
          <t>EX-1251</t>
        </is>
      </c>
      <c r="D1346" s="156" t="inlineStr">
        <is>
          <t>DT-516</t>
        </is>
      </c>
      <c r="E1346" s="156" t="inlineStr">
        <is>
          <t>OB</t>
        </is>
      </c>
      <c r="F1346" s="156" t="n">
        <v>4</v>
      </c>
      <c r="G1346" s="156" t="inlineStr"/>
      <c r="H1346" s="157">
        <f>IF($B1346="","",IF(ISNA(MATCH($B1346,MASTER_JAM!$Q$5:$Q$28,0)),"?",IF(MATCH($B1346,MASTER_JAM!$Q$5:$Q$28,0)&lt;=12,"DS","NS")))</f>
        <v/>
      </c>
      <c r="I1346" s="157">
        <f>IFERROR(INDEX(MASTER_JAM!$B$5:$B$94,MATCH($C1346,MASTER_JAM!$A$5:$A$94,0)),"")</f>
        <v/>
      </c>
      <c r="J1346" s="157">
        <f>IFERROR(INDEX(MASTER_JAM!$E$5:$E$94,MATCH($D1346,MASTER_JAM!$A$5:$A$94,0)),"")</f>
        <v/>
      </c>
      <c r="K1346" s="158">
        <f>IFERROR(INDEX(MASTER_JAM!$J$5:$O$12,MATCH($E1346,MASTER_JAM!$I$5:$I$12,0),MATCH($J1346,MASTER_JAM!$J$4:$O$4,0))+0,0)</f>
        <v/>
      </c>
      <c r="L1346" s="159">
        <f>N($F1346)*$K1346</f>
        <v/>
      </c>
      <c r="M1346" s="157">
        <f>IF($E1346="","",IF(OR($E1346="Coal",$E1346="Dirty Coal"),"MT","BCM"))</f>
        <v/>
      </c>
      <c r="N1346" s="157">
        <f>IF($E1346="","",IF(OR($E1346="Coal",$E1346="Dirty Coal"),"Coal","OB"))</f>
        <v/>
      </c>
      <c r="O1346" s="157">
        <f>IF($F1346="","",IF(COUNTIF(MASTER_JAM!$A$5:$A$94,$C1346)=0,"Digger tidak dikenal",IF($J1346="","Hauler tidak dikenal",IF($H1346="?","Jam salah",IF($K1346=0,"Faktor kosong",IF(SUMIFS(INPUT_DELAY!$E$5:$E$20000,INPUT_DELAY!$A$5:$A$20000,$A1346,INPUT_DELAY!$B$5:$B$20000,$B1346,INPUT_DELAY!$C$5:$C$20000,$C1346)+SUMIFS(INPUT_DELAY!$E$5:$E$20000,INPUT_DELAY!$A$5:$A$20000,$A1346,INPUT_DELAY!$B$5:$B$20000,$B1346,INPUT_DELAY!$C$5:$C$20000,"SEMUA")&gt;=60,"Delay 60 mnt tapi ada ritase","OK"))))))</f>
        <v/>
      </c>
      <c r="P1346" s="158">
        <f>IFERROR(INDEX(MASTER_JAM!$Z$5:$AC$10,MATCH($I1346,MASTER_JAM!$Y$5:$Y$10,0),MATCH($J1346,MASTER_JAM!$Z$4:$AC$4,0))+0,0)</f>
        <v/>
      </c>
      <c r="Q1346" s="158">
        <f>IF($P1346=0,0,$P1346+IFERROR(INDEX(MASTER_JAM!$H$5:$H$94,MATCH($C1346,MASTER_JAM!$A$5:$A$94,0))+0,MASTER_JAM!$AC$15)/1000*(60/MASTER_JAM!$AC$12+60/MASTER_JAM!$AC$13)+MASTER_JAM!$AC$14)</f>
        <v/>
      </c>
      <c r="R1346" s="158">
        <f>IF(N($F1346)=0,0,$F1346/SUMIFS(INPUT_RITASE!$F$5:$F$20000,INPUT_RITASE!$A$5:$A$20000,$A1346,INPUT_RITASE!$B$5:$B$20000,$B1346,INPUT_RITASE!$C$5:$C$20000,$C1346,INPUT_RITASE!$D$5:$D$20000,$D1346))</f>
        <v/>
      </c>
      <c r="S1346" s="158">
        <f>IF($Q1346=0,0,$R1346*$P1346/$Q1346)</f>
        <v/>
      </c>
    </row>
    <row r="1347">
      <c r="A1347" s="155" t="n">
        <v>46108</v>
      </c>
      <c r="B1347" s="156" t="inlineStr">
        <is>
          <t>18-19</t>
        </is>
      </c>
      <c r="C1347" s="156" t="inlineStr">
        <is>
          <t>EX-1252</t>
        </is>
      </c>
      <c r="D1347" s="156" t="inlineStr">
        <is>
          <t>HD-902</t>
        </is>
      </c>
      <c r="E1347" s="156" t="inlineStr">
        <is>
          <t>OB</t>
        </is>
      </c>
      <c r="F1347" s="156" t="n">
        <v>4</v>
      </c>
      <c r="G1347" s="156" t="inlineStr"/>
      <c r="H1347" s="157">
        <f>IF($B1347="","",IF(ISNA(MATCH($B1347,MASTER_JAM!$Q$5:$Q$28,0)),"?",IF(MATCH($B1347,MASTER_JAM!$Q$5:$Q$28,0)&lt;=12,"DS","NS")))</f>
        <v/>
      </c>
      <c r="I1347" s="157">
        <f>IFERROR(INDEX(MASTER_JAM!$B$5:$B$94,MATCH($C1347,MASTER_JAM!$A$5:$A$94,0)),"")</f>
        <v/>
      </c>
      <c r="J1347" s="157">
        <f>IFERROR(INDEX(MASTER_JAM!$E$5:$E$94,MATCH($D1347,MASTER_JAM!$A$5:$A$94,0)),"")</f>
        <v/>
      </c>
      <c r="K1347" s="158">
        <f>IFERROR(INDEX(MASTER_JAM!$J$5:$O$12,MATCH($E1347,MASTER_JAM!$I$5:$I$12,0),MATCH($J1347,MASTER_JAM!$J$4:$O$4,0))+0,0)</f>
        <v/>
      </c>
      <c r="L1347" s="159">
        <f>N($F1347)*$K1347</f>
        <v/>
      </c>
      <c r="M1347" s="157">
        <f>IF($E1347="","",IF(OR($E1347="Coal",$E1347="Dirty Coal"),"MT","BCM"))</f>
        <v/>
      </c>
      <c r="N1347" s="157">
        <f>IF($E1347="","",IF(OR($E1347="Coal",$E1347="Dirty Coal"),"Coal","OB"))</f>
        <v/>
      </c>
      <c r="O1347" s="157">
        <f>IF($F1347="","",IF(COUNTIF(MASTER_JAM!$A$5:$A$94,$C1347)=0,"Digger tidak dikenal",IF($J1347="","Hauler tidak dikenal",IF($H1347="?","Jam salah",IF($K1347=0,"Faktor kosong",IF(SUMIFS(INPUT_DELAY!$E$5:$E$20000,INPUT_DELAY!$A$5:$A$20000,$A1347,INPUT_DELAY!$B$5:$B$20000,$B1347,INPUT_DELAY!$C$5:$C$20000,$C1347)+SUMIFS(INPUT_DELAY!$E$5:$E$20000,INPUT_DELAY!$A$5:$A$20000,$A1347,INPUT_DELAY!$B$5:$B$20000,$B1347,INPUT_DELAY!$C$5:$C$20000,"SEMUA")&gt;=60,"Delay 60 mnt tapi ada ritase","OK"))))))</f>
        <v/>
      </c>
      <c r="P1347" s="158">
        <f>IFERROR(INDEX(MASTER_JAM!$Z$5:$AC$10,MATCH($I1347,MASTER_JAM!$Y$5:$Y$10,0),MATCH($J1347,MASTER_JAM!$Z$4:$AC$4,0))+0,0)</f>
        <v/>
      </c>
      <c r="Q1347" s="158">
        <f>IF($P1347=0,0,$P1347+IFERROR(INDEX(MASTER_JAM!$H$5:$H$94,MATCH($C1347,MASTER_JAM!$A$5:$A$94,0))+0,MASTER_JAM!$AC$15)/1000*(60/MASTER_JAM!$AC$12+60/MASTER_JAM!$AC$13)+MASTER_JAM!$AC$14)</f>
        <v/>
      </c>
      <c r="R1347" s="158">
        <f>IF(N($F1347)=0,0,$F1347/SUMIFS(INPUT_RITASE!$F$5:$F$20000,INPUT_RITASE!$A$5:$A$20000,$A1347,INPUT_RITASE!$B$5:$B$20000,$B1347,INPUT_RITASE!$C$5:$C$20000,$C1347,INPUT_RITASE!$D$5:$D$20000,$D1347))</f>
        <v/>
      </c>
      <c r="S1347" s="158">
        <f>IF($Q1347=0,0,$R1347*$P1347/$Q1347)</f>
        <v/>
      </c>
    </row>
    <row r="1348">
      <c r="A1348" s="155" t="n">
        <v>46108</v>
      </c>
      <c r="B1348" s="156" t="inlineStr">
        <is>
          <t>18-19</t>
        </is>
      </c>
      <c r="C1348" s="156" t="inlineStr">
        <is>
          <t>EX-1252</t>
        </is>
      </c>
      <c r="D1348" s="156" t="inlineStr">
        <is>
          <t>HD-904</t>
        </is>
      </c>
      <c r="E1348" s="156" t="inlineStr">
        <is>
          <t>OB</t>
        </is>
      </c>
      <c r="F1348" s="156" t="n">
        <v>3</v>
      </c>
      <c r="G1348" s="156" t="inlineStr"/>
      <c r="H1348" s="157">
        <f>IF($B1348="","",IF(ISNA(MATCH($B1348,MASTER_JAM!$Q$5:$Q$28,0)),"?",IF(MATCH($B1348,MASTER_JAM!$Q$5:$Q$28,0)&lt;=12,"DS","NS")))</f>
        <v/>
      </c>
      <c r="I1348" s="157">
        <f>IFERROR(INDEX(MASTER_JAM!$B$5:$B$94,MATCH($C1348,MASTER_JAM!$A$5:$A$94,0)),"")</f>
        <v/>
      </c>
      <c r="J1348" s="157">
        <f>IFERROR(INDEX(MASTER_JAM!$E$5:$E$94,MATCH($D1348,MASTER_JAM!$A$5:$A$94,0)),"")</f>
        <v/>
      </c>
      <c r="K1348" s="158">
        <f>IFERROR(INDEX(MASTER_JAM!$J$5:$O$12,MATCH($E1348,MASTER_JAM!$I$5:$I$12,0),MATCH($J1348,MASTER_JAM!$J$4:$O$4,0))+0,0)</f>
        <v/>
      </c>
      <c r="L1348" s="159">
        <f>N($F1348)*$K1348</f>
        <v/>
      </c>
      <c r="M1348" s="157">
        <f>IF($E1348="","",IF(OR($E1348="Coal",$E1348="Dirty Coal"),"MT","BCM"))</f>
        <v/>
      </c>
      <c r="N1348" s="157">
        <f>IF($E1348="","",IF(OR($E1348="Coal",$E1348="Dirty Coal"),"Coal","OB"))</f>
        <v/>
      </c>
      <c r="O1348" s="157">
        <f>IF($F1348="","",IF(COUNTIF(MASTER_JAM!$A$5:$A$94,$C1348)=0,"Digger tidak dikenal",IF($J1348="","Hauler tidak dikenal",IF($H1348="?","Jam salah",IF($K1348=0,"Faktor kosong",IF(SUMIFS(INPUT_DELAY!$E$5:$E$20000,INPUT_DELAY!$A$5:$A$20000,$A1348,INPUT_DELAY!$B$5:$B$20000,$B1348,INPUT_DELAY!$C$5:$C$20000,$C1348)+SUMIFS(INPUT_DELAY!$E$5:$E$20000,INPUT_DELAY!$A$5:$A$20000,$A1348,INPUT_DELAY!$B$5:$B$20000,$B1348,INPUT_DELAY!$C$5:$C$20000,"SEMUA")&gt;=60,"Delay 60 mnt tapi ada ritase","OK"))))))</f>
        <v/>
      </c>
      <c r="P1348" s="158">
        <f>IFERROR(INDEX(MASTER_JAM!$Z$5:$AC$10,MATCH($I1348,MASTER_JAM!$Y$5:$Y$10,0),MATCH($J1348,MASTER_JAM!$Z$4:$AC$4,0))+0,0)</f>
        <v/>
      </c>
      <c r="Q1348" s="158">
        <f>IF($P1348=0,0,$P1348+IFERROR(INDEX(MASTER_JAM!$H$5:$H$94,MATCH($C1348,MASTER_JAM!$A$5:$A$94,0))+0,MASTER_JAM!$AC$15)/1000*(60/MASTER_JAM!$AC$12+60/MASTER_JAM!$AC$13)+MASTER_JAM!$AC$14)</f>
        <v/>
      </c>
      <c r="R1348" s="158">
        <f>IF(N($F1348)=0,0,$F1348/SUMIFS(INPUT_RITASE!$F$5:$F$20000,INPUT_RITASE!$A$5:$A$20000,$A1348,INPUT_RITASE!$B$5:$B$20000,$B1348,INPUT_RITASE!$C$5:$C$20000,$C1348,INPUT_RITASE!$D$5:$D$20000,$D1348))</f>
        <v/>
      </c>
      <c r="S1348" s="158">
        <f>IF($Q1348=0,0,$R1348*$P1348/$Q1348)</f>
        <v/>
      </c>
    </row>
    <row r="1349">
      <c r="A1349" s="155" t="n">
        <v>46108</v>
      </c>
      <c r="B1349" s="156" t="inlineStr">
        <is>
          <t>19-20</t>
        </is>
      </c>
      <c r="C1349" s="156" t="inlineStr">
        <is>
          <t>EX-1252</t>
        </is>
      </c>
      <c r="D1349" s="156" t="inlineStr">
        <is>
          <t>HD-904</t>
        </is>
      </c>
      <c r="E1349" s="156" t="inlineStr">
        <is>
          <t>OB</t>
        </is>
      </c>
      <c r="F1349" s="156" t="n">
        <v>3</v>
      </c>
      <c r="G1349" s="156" t="inlineStr"/>
      <c r="H1349" s="157">
        <f>IF($B1349="","",IF(ISNA(MATCH($B1349,MASTER_JAM!$Q$5:$Q$28,0)),"?",IF(MATCH($B1349,MASTER_JAM!$Q$5:$Q$28,0)&lt;=12,"DS","NS")))</f>
        <v/>
      </c>
      <c r="I1349" s="157">
        <f>IFERROR(INDEX(MASTER_JAM!$B$5:$B$94,MATCH($C1349,MASTER_JAM!$A$5:$A$94,0)),"")</f>
        <v/>
      </c>
      <c r="J1349" s="157">
        <f>IFERROR(INDEX(MASTER_JAM!$E$5:$E$94,MATCH($D1349,MASTER_JAM!$A$5:$A$94,0)),"")</f>
        <v/>
      </c>
      <c r="K1349" s="158">
        <f>IFERROR(INDEX(MASTER_JAM!$J$5:$O$12,MATCH($E1349,MASTER_JAM!$I$5:$I$12,0),MATCH($J1349,MASTER_JAM!$J$4:$O$4,0))+0,0)</f>
        <v/>
      </c>
      <c r="L1349" s="159">
        <f>N($F1349)*$K1349</f>
        <v/>
      </c>
      <c r="M1349" s="157">
        <f>IF($E1349="","",IF(OR($E1349="Coal",$E1349="Dirty Coal"),"MT","BCM"))</f>
        <v/>
      </c>
      <c r="N1349" s="157">
        <f>IF($E1349="","",IF(OR($E1349="Coal",$E1349="Dirty Coal"),"Coal","OB"))</f>
        <v/>
      </c>
      <c r="O1349" s="157">
        <f>IF($F1349="","",IF(COUNTIF(MASTER_JAM!$A$5:$A$94,$C1349)=0,"Digger tidak dikenal",IF($J1349="","Hauler tidak dikenal",IF($H1349="?","Jam salah",IF($K1349=0,"Faktor kosong",IF(SUMIFS(INPUT_DELAY!$E$5:$E$20000,INPUT_DELAY!$A$5:$A$20000,$A1349,INPUT_DELAY!$B$5:$B$20000,$B1349,INPUT_DELAY!$C$5:$C$20000,$C1349)+SUMIFS(INPUT_DELAY!$E$5:$E$20000,INPUT_DELAY!$A$5:$A$20000,$A1349,INPUT_DELAY!$B$5:$B$20000,$B1349,INPUT_DELAY!$C$5:$C$20000,"SEMUA")&gt;=60,"Delay 60 mnt tapi ada ritase","OK"))))))</f>
        <v/>
      </c>
      <c r="P1349" s="158">
        <f>IFERROR(INDEX(MASTER_JAM!$Z$5:$AC$10,MATCH($I1349,MASTER_JAM!$Y$5:$Y$10,0),MATCH($J1349,MASTER_JAM!$Z$4:$AC$4,0))+0,0)</f>
        <v/>
      </c>
      <c r="Q1349" s="158">
        <f>IF($P1349=0,0,$P1349+IFERROR(INDEX(MASTER_JAM!$H$5:$H$94,MATCH($C1349,MASTER_JAM!$A$5:$A$94,0))+0,MASTER_JAM!$AC$15)/1000*(60/MASTER_JAM!$AC$12+60/MASTER_JAM!$AC$13)+MASTER_JAM!$AC$14)</f>
        <v/>
      </c>
      <c r="R1349" s="158">
        <f>IF(N($F1349)=0,0,$F1349/SUMIFS(INPUT_RITASE!$F$5:$F$20000,INPUT_RITASE!$A$5:$A$20000,$A1349,INPUT_RITASE!$B$5:$B$20000,$B1349,INPUT_RITASE!$C$5:$C$20000,$C1349,INPUT_RITASE!$D$5:$D$20000,$D1349))</f>
        <v/>
      </c>
      <c r="S1349" s="158">
        <f>IF($Q1349=0,0,$R1349*$P1349/$Q1349)</f>
        <v/>
      </c>
    </row>
    <row r="1350">
      <c r="A1350" s="155" t="n">
        <v>46108</v>
      </c>
      <c r="B1350" s="156" t="inlineStr">
        <is>
          <t>18-19</t>
        </is>
      </c>
      <c r="C1350" s="156" t="inlineStr">
        <is>
          <t>EX-334</t>
        </is>
      </c>
      <c r="D1350" s="156" t="inlineStr">
        <is>
          <t>DT-504</t>
        </is>
      </c>
      <c r="E1350" s="156" t="inlineStr">
        <is>
          <t>Coal</t>
        </is>
      </c>
      <c r="F1350" s="156" t="n">
        <v>3</v>
      </c>
      <c r="G1350" s="156" t="inlineStr"/>
      <c r="H1350" s="157">
        <f>IF($B1350="","",IF(ISNA(MATCH($B1350,MASTER_JAM!$Q$5:$Q$28,0)),"?",IF(MATCH($B1350,MASTER_JAM!$Q$5:$Q$28,0)&lt;=12,"DS","NS")))</f>
        <v/>
      </c>
      <c r="I1350" s="157">
        <f>IFERROR(INDEX(MASTER_JAM!$B$5:$B$94,MATCH($C1350,MASTER_JAM!$A$5:$A$94,0)),"")</f>
        <v/>
      </c>
      <c r="J1350" s="157">
        <f>IFERROR(INDEX(MASTER_JAM!$E$5:$E$94,MATCH($D1350,MASTER_JAM!$A$5:$A$94,0)),"")</f>
        <v/>
      </c>
      <c r="K1350" s="158">
        <f>IFERROR(INDEX(MASTER_JAM!$J$5:$O$12,MATCH($E1350,MASTER_JAM!$I$5:$I$12,0),MATCH($J1350,MASTER_JAM!$J$4:$O$4,0))+0,0)</f>
        <v/>
      </c>
      <c r="L1350" s="159">
        <f>N($F1350)*$K1350</f>
        <v/>
      </c>
      <c r="M1350" s="157">
        <f>IF($E1350="","",IF(OR($E1350="Coal",$E1350="Dirty Coal"),"MT","BCM"))</f>
        <v/>
      </c>
      <c r="N1350" s="157">
        <f>IF($E1350="","",IF(OR($E1350="Coal",$E1350="Dirty Coal"),"Coal","OB"))</f>
        <v/>
      </c>
      <c r="O1350" s="157">
        <f>IF($F1350="","",IF(COUNTIF(MASTER_JAM!$A$5:$A$94,$C1350)=0,"Digger tidak dikenal",IF($J1350="","Hauler tidak dikenal",IF($H1350="?","Jam salah",IF($K1350=0,"Faktor kosong",IF(SUMIFS(INPUT_DELAY!$E$5:$E$20000,INPUT_DELAY!$A$5:$A$20000,$A1350,INPUT_DELAY!$B$5:$B$20000,$B1350,INPUT_DELAY!$C$5:$C$20000,$C1350)+SUMIFS(INPUT_DELAY!$E$5:$E$20000,INPUT_DELAY!$A$5:$A$20000,$A1350,INPUT_DELAY!$B$5:$B$20000,$B1350,INPUT_DELAY!$C$5:$C$20000,"SEMUA")&gt;=60,"Delay 60 mnt tapi ada ritase","OK"))))))</f>
        <v/>
      </c>
      <c r="P1350" s="158">
        <f>IFERROR(INDEX(MASTER_JAM!$Z$5:$AC$10,MATCH($I1350,MASTER_JAM!$Y$5:$Y$10,0),MATCH($J1350,MASTER_JAM!$Z$4:$AC$4,0))+0,0)</f>
        <v/>
      </c>
      <c r="Q1350" s="158">
        <f>IF($P1350=0,0,$P1350+IFERROR(INDEX(MASTER_JAM!$H$5:$H$94,MATCH($C1350,MASTER_JAM!$A$5:$A$94,0))+0,MASTER_JAM!$AC$15)/1000*(60/MASTER_JAM!$AC$12+60/MASTER_JAM!$AC$13)+MASTER_JAM!$AC$14)</f>
        <v/>
      </c>
      <c r="R1350" s="158">
        <f>IF(N($F1350)=0,0,$F1350/SUMIFS(INPUT_RITASE!$F$5:$F$20000,INPUT_RITASE!$A$5:$A$20000,$A1350,INPUT_RITASE!$B$5:$B$20000,$B1350,INPUT_RITASE!$C$5:$C$20000,$C1350,INPUT_RITASE!$D$5:$D$20000,$D1350))</f>
        <v/>
      </c>
      <c r="S1350" s="158">
        <f>IF($Q1350=0,0,$R1350*$P1350/$Q1350)</f>
        <v/>
      </c>
    </row>
    <row r="1351">
      <c r="A1351" s="155" t="n">
        <v>46108</v>
      </c>
      <c r="B1351" s="156" t="inlineStr">
        <is>
          <t>18-19</t>
        </is>
      </c>
      <c r="C1351" s="156" t="inlineStr">
        <is>
          <t>EX-334</t>
        </is>
      </c>
      <c r="D1351" s="156" t="inlineStr">
        <is>
          <t>DT-517</t>
        </is>
      </c>
      <c r="E1351" s="156" t="inlineStr">
        <is>
          <t>Coal</t>
        </is>
      </c>
      <c r="F1351" s="156" t="n">
        <v>3</v>
      </c>
      <c r="G1351" s="156" t="inlineStr"/>
      <c r="H1351" s="157">
        <f>IF($B1351="","",IF(ISNA(MATCH($B1351,MASTER_JAM!$Q$5:$Q$28,0)),"?",IF(MATCH($B1351,MASTER_JAM!$Q$5:$Q$28,0)&lt;=12,"DS","NS")))</f>
        <v/>
      </c>
      <c r="I1351" s="157">
        <f>IFERROR(INDEX(MASTER_JAM!$B$5:$B$94,MATCH($C1351,MASTER_JAM!$A$5:$A$94,0)),"")</f>
        <v/>
      </c>
      <c r="J1351" s="157">
        <f>IFERROR(INDEX(MASTER_JAM!$E$5:$E$94,MATCH($D1351,MASTER_JAM!$A$5:$A$94,0)),"")</f>
        <v/>
      </c>
      <c r="K1351" s="158">
        <f>IFERROR(INDEX(MASTER_JAM!$J$5:$O$12,MATCH($E1351,MASTER_JAM!$I$5:$I$12,0),MATCH($J1351,MASTER_JAM!$J$4:$O$4,0))+0,0)</f>
        <v/>
      </c>
      <c r="L1351" s="159">
        <f>N($F1351)*$K1351</f>
        <v/>
      </c>
      <c r="M1351" s="157">
        <f>IF($E1351="","",IF(OR($E1351="Coal",$E1351="Dirty Coal"),"MT","BCM"))</f>
        <v/>
      </c>
      <c r="N1351" s="157">
        <f>IF($E1351="","",IF(OR($E1351="Coal",$E1351="Dirty Coal"),"Coal","OB"))</f>
        <v/>
      </c>
      <c r="O1351" s="157">
        <f>IF($F1351="","",IF(COUNTIF(MASTER_JAM!$A$5:$A$94,$C1351)=0,"Digger tidak dikenal",IF($J1351="","Hauler tidak dikenal",IF($H1351="?","Jam salah",IF($K1351=0,"Faktor kosong",IF(SUMIFS(INPUT_DELAY!$E$5:$E$20000,INPUT_DELAY!$A$5:$A$20000,$A1351,INPUT_DELAY!$B$5:$B$20000,$B1351,INPUT_DELAY!$C$5:$C$20000,$C1351)+SUMIFS(INPUT_DELAY!$E$5:$E$20000,INPUT_DELAY!$A$5:$A$20000,$A1351,INPUT_DELAY!$B$5:$B$20000,$B1351,INPUT_DELAY!$C$5:$C$20000,"SEMUA")&gt;=60,"Delay 60 mnt tapi ada ritase","OK"))))))</f>
        <v/>
      </c>
      <c r="P1351" s="158">
        <f>IFERROR(INDEX(MASTER_JAM!$Z$5:$AC$10,MATCH($I1351,MASTER_JAM!$Y$5:$Y$10,0),MATCH($J1351,MASTER_JAM!$Z$4:$AC$4,0))+0,0)</f>
        <v/>
      </c>
      <c r="Q1351" s="158">
        <f>IF($P1351=0,0,$P1351+IFERROR(INDEX(MASTER_JAM!$H$5:$H$94,MATCH($C1351,MASTER_JAM!$A$5:$A$94,0))+0,MASTER_JAM!$AC$15)/1000*(60/MASTER_JAM!$AC$12+60/MASTER_JAM!$AC$13)+MASTER_JAM!$AC$14)</f>
        <v/>
      </c>
      <c r="R1351" s="158">
        <f>IF(N($F1351)=0,0,$F1351/SUMIFS(INPUT_RITASE!$F$5:$F$20000,INPUT_RITASE!$A$5:$A$20000,$A1351,INPUT_RITASE!$B$5:$B$20000,$B1351,INPUT_RITASE!$C$5:$C$20000,$C1351,INPUT_RITASE!$D$5:$D$20000,$D1351))</f>
        <v/>
      </c>
      <c r="S1351" s="158">
        <f>IF($Q1351=0,0,$R1351*$P1351/$Q1351)</f>
        <v/>
      </c>
    </row>
    <row r="1352">
      <c r="A1352" s="155" t="n">
        <v>46108</v>
      </c>
      <c r="B1352" s="156" t="inlineStr">
        <is>
          <t>19-20</t>
        </is>
      </c>
      <c r="C1352" s="156" t="inlineStr">
        <is>
          <t>EX-334</t>
        </is>
      </c>
      <c r="D1352" s="156" t="inlineStr">
        <is>
          <t>DT-502</t>
        </is>
      </c>
      <c r="E1352" s="156" t="inlineStr">
        <is>
          <t>Coal</t>
        </is>
      </c>
      <c r="F1352" s="156" t="n">
        <v>1</v>
      </c>
      <c r="G1352" s="156" t="inlineStr"/>
      <c r="H1352" s="157">
        <f>IF($B1352="","",IF(ISNA(MATCH($B1352,MASTER_JAM!$Q$5:$Q$28,0)),"?",IF(MATCH($B1352,MASTER_JAM!$Q$5:$Q$28,0)&lt;=12,"DS","NS")))</f>
        <v/>
      </c>
      <c r="I1352" s="157">
        <f>IFERROR(INDEX(MASTER_JAM!$B$5:$B$94,MATCH($C1352,MASTER_JAM!$A$5:$A$94,0)),"")</f>
        <v/>
      </c>
      <c r="J1352" s="157">
        <f>IFERROR(INDEX(MASTER_JAM!$E$5:$E$94,MATCH($D1352,MASTER_JAM!$A$5:$A$94,0)),"")</f>
        <v/>
      </c>
      <c r="K1352" s="158">
        <f>IFERROR(INDEX(MASTER_JAM!$J$5:$O$12,MATCH($E1352,MASTER_JAM!$I$5:$I$12,0),MATCH($J1352,MASTER_JAM!$J$4:$O$4,0))+0,0)</f>
        <v/>
      </c>
      <c r="L1352" s="159">
        <f>N($F1352)*$K1352</f>
        <v/>
      </c>
      <c r="M1352" s="157">
        <f>IF($E1352="","",IF(OR($E1352="Coal",$E1352="Dirty Coal"),"MT","BCM"))</f>
        <v/>
      </c>
      <c r="N1352" s="157">
        <f>IF($E1352="","",IF(OR($E1352="Coal",$E1352="Dirty Coal"),"Coal","OB"))</f>
        <v/>
      </c>
      <c r="O1352" s="157">
        <f>IF($F1352="","",IF(COUNTIF(MASTER_JAM!$A$5:$A$94,$C1352)=0,"Digger tidak dikenal",IF($J1352="","Hauler tidak dikenal",IF($H1352="?","Jam salah",IF($K1352=0,"Faktor kosong",IF(SUMIFS(INPUT_DELAY!$E$5:$E$20000,INPUT_DELAY!$A$5:$A$20000,$A1352,INPUT_DELAY!$B$5:$B$20000,$B1352,INPUT_DELAY!$C$5:$C$20000,$C1352)+SUMIFS(INPUT_DELAY!$E$5:$E$20000,INPUT_DELAY!$A$5:$A$20000,$A1352,INPUT_DELAY!$B$5:$B$20000,$B1352,INPUT_DELAY!$C$5:$C$20000,"SEMUA")&gt;=60,"Delay 60 mnt tapi ada ritase","OK"))))))</f>
        <v/>
      </c>
      <c r="P1352" s="158">
        <f>IFERROR(INDEX(MASTER_JAM!$Z$5:$AC$10,MATCH($I1352,MASTER_JAM!$Y$5:$Y$10,0),MATCH($J1352,MASTER_JAM!$Z$4:$AC$4,0))+0,0)</f>
        <v/>
      </c>
      <c r="Q1352" s="158">
        <f>IF($P1352=0,0,$P1352+IFERROR(INDEX(MASTER_JAM!$H$5:$H$94,MATCH($C1352,MASTER_JAM!$A$5:$A$94,0))+0,MASTER_JAM!$AC$15)/1000*(60/MASTER_JAM!$AC$12+60/MASTER_JAM!$AC$13)+MASTER_JAM!$AC$14)</f>
        <v/>
      </c>
      <c r="R1352" s="158">
        <f>IF(N($F1352)=0,0,$F1352/SUMIFS(INPUT_RITASE!$F$5:$F$20000,INPUT_RITASE!$A$5:$A$20000,$A1352,INPUT_RITASE!$B$5:$B$20000,$B1352,INPUT_RITASE!$C$5:$C$20000,$C1352,INPUT_RITASE!$D$5:$D$20000,$D1352))</f>
        <v/>
      </c>
      <c r="S1352" s="158">
        <f>IF($Q1352=0,0,$R1352*$P1352/$Q1352)</f>
        <v/>
      </c>
    </row>
    <row r="1353">
      <c r="A1353" s="155" t="n">
        <v>46108</v>
      </c>
      <c r="B1353" s="156" t="inlineStr">
        <is>
          <t>18-19</t>
        </is>
      </c>
      <c r="C1353" s="156" t="inlineStr">
        <is>
          <t>EX-332</t>
        </is>
      </c>
      <c r="D1353" s="156" t="inlineStr">
        <is>
          <t>DT-512</t>
        </is>
      </c>
      <c r="E1353" s="156" t="inlineStr">
        <is>
          <t>Coal</t>
        </is>
      </c>
      <c r="F1353" s="156" t="n">
        <v>4</v>
      </c>
      <c r="G1353" s="156" t="inlineStr"/>
      <c r="H1353" s="157">
        <f>IF($B1353="","",IF(ISNA(MATCH($B1353,MASTER_JAM!$Q$5:$Q$28,0)),"?",IF(MATCH($B1353,MASTER_JAM!$Q$5:$Q$28,0)&lt;=12,"DS","NS")))</f>
        <v/>
      </c>
      <c r="I1353" s="157">
        <f>IFERROR(INDEX(MASTER_JAM!$B$5:$B$94,MATCH($C1353,MASTER_JAM!$A$5:$A$94,0)),"")</f>
        <v/>
      </c>
      <c r="J1353" s="157">
        <f>IFERROR(INDEX(MASTER_JAM!$E$5:$E$94,MATCH($D1353,MASTER_JAM!$A$5:$A$94,0)),"")</f>
        <v/>
      </c>
      <c r="K1353" s="158">
        <f>IFERROR(INDEX(MASTER_JAM!$J$5:$O$12,MATCH($E1353,MASTER_JAM!$I$5:$I$12,0),MATCH($J1353,MASTER_JAM!$J$4:$O$4,0))+0,0)</f>
        <v/>
      </c>
      <c r="L1353" s="159">
        <f>N($F1353)*$K1353</f>
        <v/>
      </c>
      <c r="M1353" s="157">
        <f>IF($E1353="","",IF(OR($E1353="Coal",$E1353="Dirty Coal"),"MT","BCM"))</f>
        <v/>
      </c>
      <c r="N1353" s="157">
        <f>IF($E1353="","",IF(OR($E1353="Coal",$E1353="Dirty Coal"),"Coal","OB"))</f>
        <v/>
      </c>
      <c r="O1353" s="157">
        <f>IF($F1353="","",IF(COUNTIF(MASTER_JAM!$A$5:$A$94,$C1353)=0,"Digger tidak dikenal",IF($J1353="","Hauler tidak dikenal",IF($H1353="?","Jam salah",IF($K1353=0,"Faktor kosong",IF(SUMIFS(INPUT_DELAY!$E$5:$E$20000,INPUT_DELAY!$A$5:$A$20000,$A1353,INPUT_DELAY!$B$5:$B$20000,$B1353,INPUT_DELAY!$C$5:$C$20000,$C1353)+SUMIFS(INPUT_DELAY!$E$5:$E$20000,INPUT_DELAY!$A$5:$A$20000,$A1353,INPUT_DELAY!$B$5:$B$20000,$B1353,INPUT_DELAY!$C$5:$C$20000,"SEMUA")&gt;=60,"Delay 60 mnt tapi ada ritase","OK"))))))</f>
        <v/>
      </c>
      <c r="P1353" s="158">
        <f>IFERROR(INDEX(MASTER_JAM!$Z$5:$AC$10,MATCH($I1353,MASTER_JAM!$Y$5:$Y$10,0),MATCH($J1353,MASTER_JAM!$Z$4:$AC$4,0))+0,0)</f>
        <v/>
      </c>
      <c r="Q1353" s="158">
        <f>IF($P1353=0,0,$P1353+IFERROR(INDEX(MASTER_JAM!$H$5:$H$94,MATCH($C1353,MASTER_JAM!$A$5:$A$94,0))+0,MASTER_JAM!$AC$15)/1000*(60/MASTER_JAM!$AC$12+60/MASTER_JAM!$AC$13)+MASTER_JAM!$AC$14)</f>
        <v/>
      </c>
      <c r="R1353" s="158">
        <f>IF(N($F1353)=0,0,$F1353/SUMIFS(INPUT_RITASE!$F$5:$F$20000,INPUT_RITASE!$A$5:$A$20000,$A1353,INPUT_RITASE!$B$5:$B$20000,$B1353,INPUT_RITASE!$C$5:$C$20000,$C1353,INPUT_RITASE!$D$5:$D$20000,$D1353))</f>
        <v/>
      </c>
      <c r="S1353" s="158">
        <f>IF($Q1353=0,0,$R1353*$P1353/$Q1353)</f>
        <v/>
      </c>
    </row>
    <row r="1354">
      <c r="A1354" s="155" t="n">
        <v>46108</v>
      </c>
      <c r="B1354" s="156" t="inlineStr">
        <is>
          <t>18-19</t>
        </is>
      </c>
      <c r="C1354" s="156" t="inlineStr">
        <is>
          <t>EX-754</t>
        </is>
      </c>
      <c r="D1354" s="156" t="inlineStr">
        <is>
          <t>DT-518</t>
        </is>
      </c>
      <c r="E1354" s="156" t="inlineStr">
        <is>
          <t>OB</t>
        </is>
      </c>
      <c r="F1354" s="156" t="n">
        <v>3</v>
      </c>
      <c r="G1354" s="156" t="inlineStr"/>
      <c r="H1354" s="157">
        <f>IF($B1354="","",IF(ISNA(MATCH($B1354,MASTER_JAM!$Q$5:$Q$28,0)),"?",IF(MATCH($B1354,MASTER_JAM!$Q$5:$Q$28,0)&lt;=12,"DS","NS")))</f>
        <v/>
      </c>
      <c r="I1354" s="157">
        <f>IFERROR(INDEX(MASTER_JAM!$B$5:$B$94,MATCH($C1354,MASTER_JAM!$A$5:$A$94,0)),"")</f>
        <v/>
      </c>
      <c r="J1354" s="157">
        <f>IFERROR(INDEX(MASTER_JAM!$E$5:$E$94,MATCH($D1354,MASTER_JAM!$A$5:$A$94,0)),"")</f>
        <v/>
      </c>
      <c r="K1354" s="158">
        <f>IFERROR(INDEX(MASTER_JAM!$J$5:$O$12,MATCH($E1354,MASTER_JAM!$I$5:$I$12,0),MATCH($J1354,MASTER_JAM!$J$4:$O$4,0))+0,0)</f>
        <v/>
      </c>
      <c r="L1354" s="159">
        <f>N($F1354)*$K1354</f>
        <v/>
      </c>
      <c r="M1354" s="157">
        <f>IF($E1354="","",IF(OR($E1354="Coal",$E1354="Dirty Coal"),"MT","BCM"))</f>
        <v/>
      </c>
      <c r="N1354" s="157">
        <f>IF($E1354="","",IF(OR($E1354="Coal",$E1354="Dirty Coal"),"Coal","OB"))</f>
        <v/>
      </c>
      <c r="O1354" s="157">
        <f>IF($F1354="","",IF(COUNTIF(MASTER_JAM!$A$5:$A$94,$C1354)=0,"Digger tidak dikenal",IF($J1354="","Hauler tidak dikenal",IF($H1354="?","Jam salah",IF($K1354=0,"Faktor kosong",IF(SUMIFS(INPUT_DELAY!$E$5:$E$20000,INPUT_DELAY!$A$5:$A$20000,$A1354,INPUT_DELAY!$B$5:$B$20000,$B1354,INPUT_DELAY!$C$5:$C$20000,$C1354)+SUMIFS(INPUT_DELAY!$E$5:$E$20000,INPUT_DELAY!$A$5:$A$20000,$A1354,INPUT_DELAY!$B$5:$B$20000,$B1354,INPUT_DELAY!$C$5:$C$20000,"SEMUA")&gt;=60,"Delay 60 mnt tapi ada ritase","OK"))))))</f>
        <v/>
      </c>
      <c r="P1354" s="158">
        <f>IFERROR(INDEX(MASTER_JAM!$Z$5:$AC$10,MATCH($I1354,MASTER_JAM!$Y$5:$Y$10,0),MATCH($J1354,MASTER_JAM!$Z$4:$AC$4,0))+0,0)</f>
        <v/>
      </c>
      <c r="Q1354" s="158">
        <f>IF($P1354=0,0,$P1354+IFERROR(INDEX(MASTER_JAM!$H$5:$H$94,MATCH($C1354,MASTER_JAM!$A$5:$A$94,0))+0,MASTER_JAM!$AC$15)/1000*(60/MASTER_JAM!$AC$12+60/MASTER_JAM!$AC$13)+MASTER_JAM!$AC$14)</f>
        <v/>
      </c>
      <c r="R1354" s="158">
        <f>IF(N($F1354)=0,0,$F1354/SUMIFS(INPUT_RITASE!$F$5:$F$20000,INPUT_RITASE!$A$5:$A$20000,$A1354,INPUT_RITASE!$B$5:$B$20000,$B1354,INPUT_RITASE!$C$5:$C$20000,$C1354,INPUT_RITASE!$D$5:$D$20000,$D1354))</f>
        <v/>
      </c>
      <c r="S1354" s="158">
        <f>IF($Q1354=0,0,$R1354*$P1354/$Q1354)</f>
        <v/>
      </c>
    </row>
    <row r="1355">
      <c r="A1355" s="155" t="n">
        <v>46108</v>
      </c>
      <c r="B1355" s="156" t="inlineStr">
        <is>
          <t>18-19</t>
        </is>
      </c>
      <c r="C1355" s="156" t="inlineStr">
        <is>
          <t>EX-754</t>
        </is>
      </c>
      <c r="D1355" s="156" t="inlineStr">
        <is>
          <t>DT-526</t>
        </is>
      </c>
      <c r="E1355" s="156" t="inlineStr">
        <is>
          <t>OB</t>
        </is>
      </c>
      <c r="F1355" s="156" t="n">
        <v>3</v>
      </c>
      <c r="G1355" s="156" t="inlineStr"/>
      <c r="H1355" s="157">
        <f>IF($B1355="","",IF(ISNA(MATCH($B1355,MASTER_JAM!$Q$5:$Q$28,0)),"?",IF(MATCH($B1355,MASTER_JAM!$Q$5:$Q$28,0)&lt;=12,"DS","NS")))</f>
        <v/>
      </c>
      <c r="I1355" s="157">
        <f>IFERROR(INDEX(MASTER_JAM!$B$5:$B$94,MATCH($C1355,MASTER_JAM!$A$5:$A$94,0)),"")</f>
        <v/>
      </c>
      <c r="J1355" s="157">
        <f>IFERROR(INDEX(MASTER_JAM!$E$5:$E$94,MATCH($D1355,MASTER_JAM!$A$5:$A$94,0)),"")</f>
        <v/>
      </c>
      <c r="K1355" s="158">
        <f>IFERROR(INDEX(MASTER_JAM!$J$5:$O$12,MATCH($E1355,MASTER_JAM!$I$5:$I$12,0),MATCH($J1355,MASTER_JAM!$J$4:$O$4,0))+0,0)</f>
        <v/>
      </c>
      <c r="L1355" s="159">
        <f>N($F1355)*$K1355</f>
        <v/>
      </c>
      <c r="M1355" s="157">
        <f>IF($E1355="","",IF(OR($E1355="Coal",$E1355="Dirty Coal"),"MT","BCM"))</f>
        <v/>
      </c>
      <c r="N1355" s="157">
        <f>IF($E1355="","",IF(OR($E1355="Coal",$E1355="Dirty Coal"),"Coal","OB"))</f>
        <v/>
      </c>
      <c r="O1355" s="157">
        <f>IF($F1355="","",IF(COUNTIF(MASTER_JAM!$A$5:$A$94,$C1355)=0,"Digger tidak dikenal",IF($J1355="","Hauler tidak dikenal",IF($H1355="?","Jam salah",IF($K1355=0,"Faktor kosong",IF(SUMIFS(INPUT_DELAY!$E$5:$E$20000,INPUT_DELAY!$A$5:$A$20000,$A1355,INPUT_DELAY!$B$5:$B$20000,$B1355,INPUT_DELAY!$C$5:$C$20000,$C1355)+SUMIFS(INPUT_DELAY!$E$5:$E$20000,INPUT_DELAY!$A$5:$A$20000,$A1355,INPUT_DELAY!$B$5:$B$20000,$B1355,INPUT_DELAY!$C$5:$C$20000,"SEMUA")&gt;=60,"Delay 60 mnt tapi ada ritase","OK"))))))</f>
        <v/>
      </c>
      <c r="P1355" s="158">
        <f>IFERROR(INDEX(MASTER_JAM!$Z$5:$AC$10,MATCH($I1355,MASTER_JAM!$Y$5:$Y$10,0),MATCH($J1355,MASTER_JAM!$Z$4:$AC$4,0))+0,0)</f>
        <v/>
      </c>
      <c r="Q1355" s="158">
        <f>IF($P1355=0,0,$P1355+IFERROR(INDEX(MASTER_JAM!$H$5:$H$94,MATCH($C1355,MASTER_JAM!$A$5:$A$94,0))+0,MASTER_JAM!$AC$15)/1000*(60/MASTER_JAM!$AC$12+60/MASTER_JAM!$AC$13)+MASTER_JAM!$AC$14)</f>
        <v/>
      </c>
      <c r="R1355" s="158">
        <f>IF(N($F1355)=0,0,$F1355/SUMIFS(INPUT_RITASE!$F$5:$F$20000,INPUT_RITASE!$A$5:$A$20000,$A1355,INPUT_RITASE!$B$5:$B$20000,$B1355,INPUT_RITASE!$C$5:$C$20000,$C1355,INPUT_RITASE!$D$5:$D$20000,$D1355))</f>
        <v/>
      </c>
      <c r="S1355" s="158">
        <f>IF($Q1355=0,0,$R1355*$P1355/$Q1355)</f>
        <v/>
      </c>
    </row>
    <row r="1356">
      <c r="A1356" s="155" t="n">
        <v>46108</v>
      </c>
      <c r="B1356" s="156" t="inlineStr">
        <is>
          <t>18-19</t>
        </is>
      </c>
      <c r="C1356" s="156" t="inlineStr">
        <is>
          <t>EX-754</t>
        </is>
      </c>
      <c r="D1356" s="156" t="inlineStr">
        <is>
          <t>DT-503</t>
        </is>
      </c>
      <c r="E1356" s="156" t="inlineStr">
        <is>
          <t>OB</t>
        </is>
      </c>
      <c r="F1356" s="156" t="n">
        <v>3</v>
      </c>
      <c r="G1356" s="156" t="inlineStr"/>
      <c r="H1356" s="157">
        <f>IF($B1356="","",IF(ISNA(MATCH($B1356,MASTER_JAM!$Q$5:$Q$28,0)),"?",IF(MATCH($B1356,MASTER_JAM!$Q$5:$Q$28,0)&lt;=12,"DS","NS")))</f>
        <v/>
      </c>
      <c r="I1356" s="157">
        <f>IFERROR(INDEX(MASTER_JAM!$B$5:$B$94,MATCH($C1356,MASTER_JAM!$A$5:$A$94,0)),"")</f>
        <v/>
      </c>
      <c r="J1356" s="157">
        <f>IFERROR(INDEX(MASTER_JAM!$E$5:$E$94,MATCH($D1356,MASTER_JAM!$A$5:$A$94,0)),"")</f>
        <v/>
      </c>
      <c r="K1356" s="158">
        <f>IFERROR(INDEX(MASTER_JAM!$J$5:$O$12,MATCH($E1356,MASTER_JAM!$I$5:$I$12,0),MATCH($J1356,MASTER_JAM!$J$4:$O$4,0))+0,0)</f>
        <v/>
      </c>
      <c r="L1356" s="159">
        <f>N($F1356)*$K1356</f>
        <v/>
      </c>
      <c r="M1356" s="157">
        <f>IF($E1356="","",IF(OR($E1356="Coal",$E1356="Dirty Coal"),"MT","BCM"))</f>
        <v/>
      </c>
      <c r="N1356" s="157">
        <f>IF($E1356="","",IF(OR($E1356="Coal",$E1356="Dirty Coal"),"Coal","OB"))</f>
        <v/>
      </c>
      <c r="O1356" s="157">
        <f>IF($F1356="","",IF(COUNTIF(MASTER_JAM!$A$5:$A$94,$C1356)=0,"Digger tidak dikenal",IF($J1356="","Hauler tidak dikenal",IF($H1356="?","Jam salah",IF($K1356=0,"Faktor kosong",IF(SUMIFS(INPUT_DELAY!$E$5:$E$20000,INPUT_DELAY!$A$5:$A$20000,$A1356,INPUT_DELAY!$B$5:$B$20000,$B1356,INPUT_DELAY!$C$5:$C$20000,$C1356)+SUMIFS(INPUT_DELAY!$E$5:$E$20000,INPUT_DELAY!$A$5:$A$20000,$A1356,INPUT_DELAY!$B$5:$B$20000,$B1356,INPUT_DELAY!$C$5:$C$20000,"SEMUA")&gt;=60,"Delay 60 mnt tapi ada ritase","OK"))))))</f>
        <v/>
      </c>
      <c r="P1356" s="158">
        <f>IFERROR(INDEX(MASTER_JAM!$Z$5:$AC$10,MATCH($I1356,MASTER_JAM!$Y$5:$Y$10,0),MATCH($J1356,MASTER_JAM!$Z$4:$AC$4,0))+0,0)</f>
        <v/>
      </c>
      <c r="Q1356" s="158">
        <f>IF($P1356=0,0,$P1356+IFERROR(INDEX(MASTER_JAM!$H$5:$H$94,MATCH($C1356,MASTER_JAM!$A$5:$A$94,0))+0,MASTER_JAM!$AC$15)/1000*(60/MASTER_JAM!$AC$12+60/MASTER_JAM!$AC$13)+MASTER_JAM!$AC$14)</f>
        <v/>
      </c>
      <c r="R1356" s="158">
        <f>IF(N($F1356)=0,0,$F1356/SUMIFS(INPUT_RITASE!$F$5:$F$20000,INPUT_RITASE!$A$5:$A$20000,$A1356,INPUT_RITASE!$B$5:$B$20000,$B1356,INPUT_RITASE!$C$5:$C$20000,$C1356,INPUT_RITASE!$D$5:$D$20000,$D1356))</f>
        <v/>
      </c>
      <c r="S1356" s="158">
        <f>IF($Q1356=0,0,$R1356*$P1356/$Q1356)</f>
        <v/>
      </c>
    </row>
    <row r="1357">
      <c r="A1357" s="155" t="n">
        <v>46108</v>
      </c>
      <c r="B1357" s="156" t="inlineStr">
        <is>
          <t>19-20</t>
        </is>
      </c>
      <c r="C1357" s="156" t="inlineStr">
        <is>
          <t>EX-754</t>
        </is>
      </c>
      <c r="D1357" s="156" t="inlineStr">
        <is>
          <t>DT-527</t>
        </is>
      </c>
      <c r="E1357" s="156" t="inlineStr">
        <is>
          <t>OB</t>
        </is>
      </c>
      <c r="F1357" s="156" t="n">
        <v>3</v>
      </c>
      <c r="G1357" s="156" t="inlineStr"/>
      <c r="H1357" s="157">
        <f>IF($B1357="","",IF(ISNA(MATCH($B1357,MASTER_JAM!$Q$5:$Q$28,0)),"?",IF(MATCH($B1357,MASTER_JAM!$Q$5:$Q$28,0)&lt;=12,"DS","NS")))</f>
        <v/>
      </c>
      <c r="I1357" s="157">
        <f>IFERROR(INDEX(MASTER_JAM!$B$5:$B$94,MATCH($C1357,MASTER_JAM!$A$5:$A$94,0)),"")</f>
        <v/>
      </c>
      <c r="J1357" s="157">
        <f>IFERROR(INDEX(MASTER_JAM!$E$5:$E$94,MATCH($D1357,MASTER_JAM!$A$5:$A$94,0)),"")</f>
        <v/>
      </c>
      <c r="K1357" s="158">
        <f>IFERROR(INDEX(MASTER_JAM!$J$5:$O$12,MATCH($E1357,MASTER_JAM!$I$5:$I$12,0),MATCH($J1357,MASTER_JAM!$J$4:$O$4,0))+0,0)</f>
        <v/>
      </c>
      <c r="L1357" s="159">
        <f>N($F1357)*$K1357</f>
        <v/>
      </c>
      <c r="M1357" s="157">
        <f>IF($E1357="","",IF(OR($E1357="Coal",$E1357="Dirty Coal"),"MT","BCM"))</f>
        <v/>
      </c>
      <c r="N1357" s="157">
        <f>IF($E1357="","",IF(OR($E1357="Coal",$E1357="Dirty Coal"),"Coal","OB"))</f>
        <v/>
      </c>
      <c r="O1357" s="157">
        <f>IF($F1357="","",IF(COUNTIF(MASTER_JAM!$A$5:$A$94,$C1357)=0,"Digger tidak dikenal",IF($J1357="","Hauler tidak dikenal",IF($H1357="?","Jam salah",IF($K1357=0,"Faktor kosong",IF(SUMIFS(INPUT_DELAY!$E$5:$E$20000,INPUT_DELAY!$A$5:$A$20000,$A1357,INPUT_DELAY!$B$5:$B$20000,$B1357,INPUT_DELAY!$C$5:$C$20000,$C1357)+SUMIFS(INPUT_DELAY!$E$5:$E$20000,INPUT_DELAY!$A$5:$A$20000,$A1357,INPUT_DELAY!$B$5:$B$20000,$B1357,INPUT_DELAY!$C$5:$C$20000,"SEMUA")&gt;=60,"Delay 60 mnt tapi ada ritase","OK"))))))</f>
        <v/>
      </c>
      <c r="P1357" s="158">
        <f>IFERROR(INDEX(MASTER_JAM!$Z$5:$AC$10,MATCH($I1357,MASTER_JAM!$Y$5:$Y$10,0),MATCH($J1357,MASTER_JAM!$Z$4:$AC$4,0))+0,0)</f>
        <v/>
      </c>
      <c r="Q1357" s="158">
        <f>IF($P1357=0,0,$P1357+IFERROR(INDEX(MASTER_JAM!$H$5:$H$94,MATCH($C1357,MASTER_JAM!$A$5:$A$94,0))+0,MASTER_JAM!$AC$15)/1000*(60/MASTER_JAM!$AC$12+60/MASTER_JAM!$AC$13)+MASTER_JAM!$AC$14)</f>
        <v/>
      </c>
      <c r="R1357" s="158">
        <f>IF(N($F1357)=0,0,$F1357/SUMIFS(INPUT_RITASE!$F$5:$F$20000,INPUT_RITASE!$A$5:$A$20000,$A1357,INPUT_RITASE!$B$5:$B$20000,$B1357,INPUT_RITASE!$C$5:$C$20000,$C1357,INPUT_RITASE!$D$5:$D$20000,$D1357))</f>
        <v/>
      </c>
      <c r="S1357" s="158">
        <f>IF($Q1357=0,0,$R1357*$P1357/$Q1357)</f>
        <v/>
      </c>
    </row>
    <row r="1358">
      <c r="A1358" s="155" t="n">
        <v>46108</v>
      </c>
      <c r="B1358" s="156" t="inlineStr">
        <is>
          <t>19-20</t>
        </is>
      </c>
      <c r="C1358" s="156" t="inlineStr">
        <is>
          <t>EX-754</t>
        </is>
      </c>
      <c r="D1358" s="156" t="inlineStr">
        <is>
          <t>DT-501</t>
        </is>
      </c>
      <c r="E1358" s="156" t="inlineStr">
        <is>
          <t>OB</t>
        </is>
      </c>
      <c r="F1358" s="156" t="n">
        <v>3</v>
      </c>
      <c r="G1358" s="156" t="inlineStr"/>
      <c r="H1358" s="157">
        <f>IF($B1358="","",IF(ISNA(MATCH($B1358,MASTER_JAM!$Q$5:$Q$28,0)),"?",IF(MATCH($B1358,MASTER_JAM!$Q$5:$Q$28,0)&lt;=12,"DS","NS")))</f>
        <v/>
      </c>
      <c r="I1358" s="157">
        <f>IFERROR(INDEX(MASTER_JAM!$B$5:$B$94,MATCH($C1358,MASTER_JAM!$A$5:$A$94,0)),"")</f>
        <v/>
      </c>
      <c r="J1358" s="157">
        <f>IFERROR(INDEX(MASTER_JAM!$E$5:$E$94,MATCH($D1358,MASTER_JAM!$A$5:$A$94,0)),"")</f>
        <v/>
      </c>
      <c r="K1358" s="158">
        <f>IFERROR(INDEX(MASTER_JAM!$J$5:$O$12,MATCH($E1358,MASTER_JAM!$I$5:$I$12,0),MATCH($J1358,MASTER_JAM!$J$4:$O$4,0))+0,0)</f>
        <v/>
      </c>
      <c r="L1358" s="159">
        <f>N($F1358)*$K1358</f>
        <v/>
      </c>
      <c r="M1358" s="157">
        <f>IF($E1358="","",IF(OR($E1358="Coal",$E1358="Dirty Coal"),"MT","BCM"))</f>
        <v/>
      </c>
      <c r="N1358" s="157">
        <f>IF($E1358="","",IF(OR($E1358="Coal",$E1358="Dirty Coal"),"Coal","OB"))</f>
        <v/>
      </c>
      <c r="O1358" s="157">
        <f>IF($F1358="","",IF(COUNTIF(MASTER_JAM!$A$5:$A$94,$C1358)=0,"Digger tidak dikenal",IF($J1358="","Hauler tidak dikenal",IF($H1358="?","Jam salah",IF($K1358=0,"Faktor kosong",IF(SUMIFS(INPUT_DELAY!$E$5:$E$20000,INPUT_DELAY!$A$5:$A$20000,$A1358,INPUT_DELAY!$B$5:$B$20000,$B1358,INPUT_DELAY!$C$5:$C$20000,$C1358)+SUMIFS(INPUT_DELAY!$E$5:$E$20000,INPUT_DELAY!$A$5:$A$20000,$A1358,INPUT_DELAY!$B$5:$B$20000,$B1358,INPUT_DELAY!$C$5:$C$20000,"SEMUA")&gt;=60,"Delay 60 mnt tapi ada ritase","OK"))))))</f>
        <v/>
      </c>
      <c r="P1358" s="158">
        <f>IFERROR(INDEX(MASTER_JAM!$Z$5:$AC$10,MATCH($I1358,MASTER_JAM!$Y$5:$Y$10,0),MATCH($J1358,MASTER_JAM!$Z$4:$AC$4,0))+0,0)</f>
        <v/>
      </c>
      <c r="Q1358" s="158">
        <f>IF($P1358=0,0,$P1358+IFERROR(INDEX(MASTER_JAM!$H$5:$H$94,MATCH($C1358,MASTER_JAM!$A$5:$A$94,0))+0,MASTER_JAM!$AC$15)/1000*(60/MASTER_JAM!$AC$12+60/MASTER_JAM!$AC$13)+MASTER_JAM!$AC$14)</f>
        <v/>
      </c>
      <c r="R1358" s="158">
        <f>IF(N($F1358)=0,0,$F1358/SUMIFS(INPUT_RITASE!$F$5:$F$20000,INPUT_RITASE!$A$5:$A$20000,$A1358,INPUT_RITASE!$B$5:$B$20000,$B1358,INPUT_RITASE!$C$5:$C$20000,$C1358,INPUT_RITASE!$D$5:$D$20000,$D1358))</f>
        <v/>
      </c>
      <c r="S1358" s="158">
        <f>IF($Q1358=0,0,$R1358*$P1358/$Q1358)</f>
        <v/>
      </c>
    </row>
    <row r="1359">
      <c r="A1359" s="155" t="n">
        <v>46108</v>
      </c>
      <c r="B1359" s="156" t="inlineStr">
        <is>
          <t>19-20</t>
        </is>
      </c>
      <c r="C1359" s="156" t="inlineStr">
        <is>
          <t>EX-754</t>
        </is>
      </c>
      <c r="D1359" s="156" t="inlineStr">
        <is>
          <t>DT-515</t>
        </is>
      </c>
      <c r="E1359" s="156" t="inlineStr">
        <is>
          <t>OB</t>
        </is>
      </c>
      <c r="F1359" s="156" t="n">
        <v>3</v>
      </c>
      <c r="G1359" s="156" t="inlineStr"/>
      <c r="H1359" s="157">
        <f>IF($B1359="","",IF(ISNA(MATCH($B1359,MASTER_JAM!$Q$5:$Q$28,0)),"?",IF(MATCH($B1359,MASTER_JAM!$Q$5:$Q$28,0)&lt;=12,"DS","NS")))</f>
        <v/>
      </c>
      <c r="I1359" s="157">
        <f>IFERROR(INDEX(MASTER_JAM!$B$5:$B$94,MATCH($C1359,MASTER_JAM!$A$5:$A$94,0)),"")</f>
        <v/>
      </c>
      <c r="J1359" s="157">
        <f>IFERROR(INDEX(MASTER_JAM!$E$5:$E$94,MATCH($D1359,MASTER_JAM!$A$5:$A$94,0)),"")</f>
        <v/>
      </c>
      <c r="K1359" s="158">
        <f>IFERROR(INDEX(MASTER_JAM!$J$5:$O$12,MATCH($E1359,MASTER_JAM!$I$5:$I$12,0),MATCH($J1359,MASTER_JAM!$J$4:$O$4,0))+0,0)</f>
        <v/>
      </c>
      <c r="L1359" s="159">
        <f>N($F1359)*$K1359</f>
        <v/>
      </c>
      <c r="M1359" s="157">
        <f>IF($E1359="","",IF(OR($E1359="Coal",$E1359="Dirty Coal"),"MT","BCM"))</f>
        <v/>
      </c>
      <c r="N1359" s="157">
        <f>IF($E1359="","",IF(OR($E1359="Coal",$E1359="Dirty Coal"),"Coal","OB"))</f>
        <v/>
      </c>
      <c r="O1359" s="157">
        <f>IF($F1359="","",IF(COUNTIF(MASTER_JAM!$A$5:$A$94,$C1359)=0,"Digger tidak dikenal",IF($J1359="","Hauler tidak dikenal",IF($H1359="?","Jam salah",IF($K1359=0,"Faktor kosong",IF(SUMIFS(INPUT_DELAY!$E$5:$E$20000,INPUT_DELAY!$A$5:$A$20000,$A1359,INPUT_DELAY!$B$5:$B$20000,$B1359,INPUT_DELAY!$C$5:$C$20000,$C1359)+SUMIFS(INPUT_DELAY!$E$5:$E$20000,INPUT_DELAY!$A$5:$A$20000,$A1359,INPUT_DELAY!$B$5:$B$20000,$B1359,INPUT_DELAY!$C$5:$C$20000,"SEMUA")&gt;=60,"Delay 60 mnt tapi ada ritase","OK"))))))</f>
        <v/>
      </c>
      <c r="P1359" s="158">
        <f>IFERROR(INDEX(MASTER_JAM!$Z$5:$AC$10,MATCH($I1359,MASTER_JAM!$Y$5:$Y$10,0),MATCH($J1359,MASTER_JAM!$Z$4:$AC$4,0))+0,0)</f>
        <v/>
      </c>
      <c r="Q1359" s="158">
        <f>IF($P1359=0,0,$P1359+IFERROR(INDEX(MASTER_JAM!$H$5:$H$94,MATCH($C1359,MASTER_JAM!$A$5:$A$94,0))+0,MASTER_JAM!$AC$15)/1000*(60/MASTER_JAM!$AC$12+60/MASTER_JAM!$AC$13)+MASTER_JAM!$AC$14)</f>
        <v/>
      </c>
      <c r="R1359" s="158">
        <f>IF(N($F1359)=0,0,$F1359/SUMIFS(INPUT_RITASE!$F$5:$F$20000,INPUT_RITASE!$A$5:$A$20000,$A1359,INPUT_RITASE!$B$5:$B$20000,$B1359,INPUT_RITASE!$C$5:$C$20000,$C1359,INPUT_RITASE!$D$5:$D$20000,$D1359))</f>
        <v/>
      </c>
      <c r="S1359" s="158">
        <f>IF($Q1359=0,0,$R1359*$P1359/$Q1359)</f>
        <v/>
      </c>
    </row>
    <row r="1360">
      <c r="A1360" s="155" t="n">
        <v>46108</v>
      </c>
      <c r="B1360" s="156" t="inlineStr">
        <is>
          <t>20-21</t>
        </is>
      </c>
      <c r="C1360" s="156" t="inlineStr">
        <is>
          <t>EX-754</t>
        </is>
      </c>
      <c r="D1360" s="156" t="inlineStr">
        <is>
          <t>DT-528</t>
        </is>
      </c>
      <c r="E1360" s="156" t="inlineStr">
        <is>
          <t>OB</t>
        </is>
      </c>
      <c r="F1360" s="156" t="n">
        <v>4</v>
      </c>
      <c r="G1360" s="156" t="inlineStr"/>
      <c r="H1360" s="157">
        <f>IF($B1360="","",IF(ISNA(MATCH($B1360,MASTER_JAM!$Q$5:$Q$28,0)),"?",IF(MATCH($B1360,MASTER_JAM!$Q$5:$Q$28,0)&lt;=12,"DS","NS")))</f>
        <v/>
      </c>
      <c r="I1360" s="157">
        <f>IFERROR(INDEX(MASTER_JAM!$B$5:$B$94,MATCH($C1360,MASTER_JAM!$A$5:$A$94,0)),"")</f>
        <v/>
      </c>
      <c r="J1360" s="157">
        <f>IFERROR(INDEX(MASTER_JAM!$E$5:$E$94,MATCH($D1360,MASTER_JAM!$A$5:$A$94,0)),"")</f>
        <v/>
      </c>
      <c r="K1360" s="158">
        <f>IFERROR(INDEX(MASTER_JAM!$J$5:$O$12,MATCH($E1360,MASTER_JAM!$I$5:$I$12,0),MATCH($J1360,MASTER_JAM!$J$4:$O$4,0))+0,0)</f>
        <v/>
      </c>
      <c r="L1360" s="159">
        <f>N($F1360)*$K1360</f>
        <v/>
      </c>
      <c r="M1360" s="157">
        <f>IF($E1360="","",IF(OR($E1360="Coal",$E1360="Dirty Coal"),"MT","BCM"))</f>
        <v/>
      </c>
      <c r="N1360" s="157">
        <f>IF($E1360="","",IF(OR($E1360="Coal",$E1360="Dirty Coal"),"Coal","OB"))</f>
        <v/>
      </c>
      <c r="O1360" s="157">
        <f>IF($F1360="","",IF(COUNTIF(MASTER_JAM!$A$5:$A$94,$C1360)=0,"Digger tidak dikenal",IF($J1360="","Hauler tidak dikenal",IF($H1360="?","Jam salah",IF($K1360=0,"Faktor kosong",IF(SUMIFS(INPUT_DELAY!$E$5:$E$20000,INPUT_DELAY!$A$5:$A$20000,$A1360,INPUT_DELAY!$B$5:$B$20000,$B1360,INPUT_DELAY!$C$5:$C$20000,$C1360)+SUMIFS(INPUT_DELAY!$E$5:$E$20000,INPUT_DELAY!$A$5:$A$20000,$A1360,INPUT_DELAY!$B$5:$B$20000,$B1360,INPUT_DELAY!$C$5:$C$20000,"SEMUA")&gt;=60,"Delay 60 mnt tapi ada ritase","OK"))))))</f>
        <v/>
      </c>
      <c r="P1360" s="158">
        <f>IFERROR(INDEX(MASTER_JAM!$Z$5:$AC$10,MATCH($I1360,MASTER_JAM!$Y$5:$Y$10,0),MATCH($J1360,MASTER_JAM!$Z$4:$AC$4,0))+0,0)</f>
        <v/>
      </c>
      <c r="Q1360" s="158">
        <f>IF($P1360=0,0,$P1360+IFERROR(INDEX(MASTER_JAM!$H$5:$H$94,MATCH($C1360,MASTER_JAM!$A$5:$A$94,0))+0,MASTER_JAM!$AC$15)/1000*(60/MASTER_JAM!$AC$12+60/MASTER_JAM!$AC$13)+MASTER_JAM!$AC$14)</f>
        <v/>
      </c>
      <c r="R1360" s="158">
        <f>IF(N($F1360)=0,0,$F1360/SUMIFS(INPUT_RITASE!$F$5:$F$20000,INPUT_RITASE!$A$5:$A$20000,$A1360,INPUT_RITASE!$B$5:$B$20000,$B1360,INPUT_RITASE!$C$5:$C$20000,$C1360,INPUT_RITASE!$D$5:$D$20000,$D1360))</f>
        <v/>
      </c>
      <c r="S1360" s="158">
        <f>IF($Q1360=0,0,$R1360*$P1360/$Q1360)</f>
        <v/>
      </c>
    </row>
    <row r="1361">
      <c r="A1361" s="155" t="n">
        <v>46108</v>
      </c>
      <c r="B1361" s="156" t="inlineStr">
        <is>
          <t>20-21</t>
        </is>
      </c>
      <c r="C1361" s="156" t="inlineStr">
        <is>
          <t>EX-754</t>
        </is>
      </c>
      <c r="D1361" s="156" t="inlineStr">
        <is>
          <t>DT-520</t>
        </is>
      </c>
      <c r="E1361" s="156" t="inlineStr">
        <is>
          <t>OB</t>
        </is>
      </c>
      <c r="F1361" s="156" t="n">
        <v>4</v>
      </c>
      <c r="G1361" s="156" t="inlineStr"/>
      <c r="H1361" s="157">
        <f>IF($B1361="","",IF(ISNA(MATCH($B1361,MASTER_JAM!$Q$5:$Q$28,0)),"?",IF(MATCH($B1361,MASTER_JAM!$Q$5:$Q$28,0)&lt;=12,"DS","NS")))</f>
        <v/>
      </c>
      <c r="I1361" s="157">
        <f>IFERROR(INDEX(MASTER_JAM!$B$5:$B$94,MATCH($C1361,MASTER_JAM!$A$5:$A$94,0)),"")</f>
        <v/>
      </c>
      <c r="J1361" s="157">
        <f>IFERROR(INDEX(MASTER_JAM!$E$5:$E$94,MATCH($D1361,MASTER_JAM!$A$5:$A$94,0)),"")</f>
        <v/>
      </c>
      <c r="K1361" s="158">
        <f>IFERROR(INDEX(MASTER_JAM!$J$5:$O$12,MATCH($E1361,MASTER_JAM!$I$5:$I$12,0),MATCH($J1361,MASTER_JAM!$J$4:$O$4,0))+0,0)</f>
        <v/>
      </c>
      <c r="L1361" s="159">
        <f>N($F1361)*$K1361</f>
        <v/>
      </c>
      <c r="M1361" s="157">
        <f>IF($E1361="","",IF(OR($E1361="Coal",$E1361="Dirty Coal"),"MT","BCM"))</f>
        <v/>
      </c>
      <c r="N1361" s="157">
        <f>IF($E1361="","",IF(OR($E1361="Coal",$E1361="Dirty Coal"),"Coal","OB"))</f>
        <v/>
      </c>
      <c r="O1361" s="157">
        <f>IF($F1361="","",IF(COUNTIF(MASTER_JAM!$A$5:$A$94,$C1361)=0,"Digger tidak dikenal",IF($J1361="","Hauler tidak dikenal",IF($H1361="?","Jam salah",IF($K1361=0,"Faktor kosong",IF(SUMIFS(INPUT_DELAY!$E$5:$E$20000,INPUT_DELAY!$A$5:$A$20000,$A1361,INPUT_DELAY!$B$5:$B$20000,$B1361,INPUT_DELAY!$C$5:$C$20000,$C1361)+SUMIFS(INPUT_DELAY!$E$5:$E$20000,INPUT_DELAY!$A$5:$A$20000,$A1361,INPUT_DELAY!$B$5:$B$20000,$B1361,INPUT_DELAY!$C$5:$C$20000,"SEMUA")&gt;=60,"Delay 60 mnt tapi ada ritase","OK"))))))</f>
        <v/>
      </c>
      <c r="P1361" s="158">
        <f>IFERROR(INDEX(MASTER_JAM!$Z$5:$AC$10,MATCH($I1361,MASTER_JAM!$Y$5:$Y$10,0),MATCH($J1361,MASTER_JAM!$Z$4:$AC$4,0))+0,0)</f>
        <v/>
      </c>
      <c r="Q1361" s="158">
        <f>IF($P1361=0,0,$P1361+IFERROR(INDEX(MASTER_JAM!$H$5:$H$94,MATCH($C1361,MASTER_JAM!$A$5:$A$94,0))+0,MASTER_JAM!$AC$15)/1000*(60/MASTER_JAM!$AC$12+60/MASTER_JAM!$AC$13)+MASTER_JAM!$AC$14)</f>
        <v/>
      </c>
      <c r="R1361" s="158">
        <f>IF(N($F1361)=0,0,$F1361/SUMIFS(INPUT_RITASE!$F$5:$F$20000,INPUT_RITASE!$A$5:$A$20000,$A1361,INPUT_RITASE!$B$5:$B$20000,$B1361,INPUT_RITASE!$C$5:$C$20000,$C1361,INPUT_RITASE!$D$5:$D$20000,$D1361))</f>
        <v/>
      </c>
      <c r="S1361" s="158">
        <f>IF($Q1361=0,0,$R1361*$P1361/$Q1361)</f>
        <v/>
      </c>
    </row>
    <row r="1362">
      <c r="A1362" s="155" t="n">
        <v>46108</v>
      </c>
      <c r="B1362" s="156" t="inlineStr">
        <is>
          <t>20-21</t>
        </is>
      </c>
      <c r="C1362" s="156" t="inlineStr">
        <is>
          <t>EX-754</t>
        </is>
      </c>
      <c r="D1362" s="156" t="inlineStr">
        <is>
          <t>DT-501</t>
        </is>
      </c>
      <c r="E1362" s="156" t="inlineStr">
        <is>
          <t>OB</t>
        </is>
      </c>
      <c r="F1362" s="156" t="n">
        <v>4</v>
      </c>
      <c r="G1362" s="156" t="inlineStr"/>
      <c r="H1362" s="157">
        <f>IF($B1362="","",IF(ISNA(MATCH($B1362,MASTER_JAM!$Q$5:$Q$28,0)),"?",IF(MATCH($B1362,MASTER_JAM!$Q$5:$Q$28,0)&lt;=12,"DS","NS")))</f>
        <v/>
      </c>
      <c r="I1362" s="157">
        <f>IFERROR(INDEX(MASTER_JAM!$B$5:$B$94,MATCH($C1362,MASTER_JAM!$A$5:$A$94,0)),"")</f>
        <v/>
      </c>
      <c r="J1362" s="157">
        <f>IFERROR(INDEX(MASTER_JAM!$E$5:$E$94,MATCH($D1362,MASTER_JAM!$A$5:$A$94,0)),"")</f>
        <v/>
      </c>
      <c r="K1362" s="158">
        <f>IFERROR(INDEX(MASTER_JAM!$J$5:$O$12,MATCH($E1362,MASTER_JAM!$I$5:$I$12,0),MATCH($J1362,MASTER_JAM!$J$4:$O$4,0))+0,0)</f>
        <v/>
      </c>
      <c r="L1362" s="159">
        <f>N($F1362)*$K1362</f>
        <v/>
      </c>
      <c r="M1362" s="157">
        <f>IF($E1362="","",IF(OR($E1362="Coal",$E1362="Dirty Coal"),"MT","BCM"))</f>
        <v/>
      </c>
      <c r="N1362" s="157">
        <f>IF($E1362="","",IF(OR($E1362="Coal",$E1362="Dirty Coal"),"Coal","OB"))</f>
        <v/>
      </c>
      <c r="O1362" s="157">
        <f>IF($F1362="","",IF(COUNTIF(MASTER_JAM!$A$5:$A$94,$C1362)=0,"Digger tidak dikenal",IF($J1362="","Hauler tidak dikenal",IF($H1362="?","Jam salah",IF($K1362=0,"Faktor kosong",IF(SUMIFS(INPUT_DELAY!$E$5:$E$20000,INPUT_DELAY!$A$5:$A$20000,$A1362,INPUT_DELAY!$B$5:$B$20000,$B1362,INPUT_DELAY!$C$5:$C$20000,$C1362)+SUMIFS(INPUT_DELAY!$E$5:$E$20000,INPUT_DELAY!$A$5:$A$20000,$A1362,INPUT_DELAY!$B$5:$B$20000,$B1362,INPUT_DELAY!$C$5:$C$20000,"SEMUA")&gt;=60,"Delay 60 mnt tapi ada ritase","OK"))))))</f>
        <v/>
      </c>
      <c r="P1362" s="158">
        <f>IFERROR(INDEX(MASTER_JAM!$Z$5:$AC$10,MATCH($I1362,MASTER_JAM!$Y$5:$Y$10,0),MATCH($J1362,MASTER_JAM!$Z$4:$AC$4,0))+0,0)</f>
        <v/>
      </c>
      <c r="Q1362" s="158">
        <f>IF($P1362=0,0,$P1362+IFERROR(INDEX(MASTER_JAM!$H$5:$H$94,MATCH($C1362,MASTER_JAM!$A$5:$A$94,0))+0,MASTER_JAM!$AC$15)/1000*(60/MASTER_JAM!$AC$12+60/MASTER_JAM!$AC$13)+MASTER_JAM!$AC$14)</f>
        <v/>
      </c>
      <c r="R1362" s="158">
        <f>IF(N($F1362)=0,0,$F1362/SUMIFS(INPUT_RITASE!$F$5:$F$20000,INPUT_RITASE!$A$5:$A$20000,$A1362,INPUT_RITASE!$B$5:$B$20000,$B1362,INPUT_RITASE!$C$5:$C$20000,$C1362,INPUT_RITASE!$D$5:$D$20000,$D1362))</f>
        <v/>
      </c>
      <c r="S1362" s="158">
        <f>IF($Q1362=0,0,$R1362*$P1362/$Q1362)</f>
        <v/>
      </c>
    </row>
    <row r="1363">
      <c r="A1363" s="155" t="n">
        <v>46108</v>
      </c>
      <c r="B1363" s="156" t="inlineStr">
        <is>
          <t>21-22</t>
        </is>
      </c>
      <c r="C1363" s="156" t="inlineStr">
        <is>
          <t>EX-754</t>
        </is>
      </c>
      <c r="D1363" s="156" t="inlineStr">
        <is>
          <t>DT-516</t>
        </is>
      </c>
      <c r="E1363" s="156" t="inlineStr">
        <is>
          <t>Coal</t>
        </is>
      </c>
      <c r="F1363" s="156" t="n">
        <v>4</v>
      </c>
      <c r="G1363" s="156" t="inlineStr"/>
      <c r="H1363" s="157">
        <f>IF($B1363="","",IF(ISNA(MATCH($B1363,MASTER_JAM!$Q$5:$Q$28,0)),"?",IF(MATCH($B1363,MASTER_JAM!$Q$5:$Q$28,0)&lt;=12,"DS","NS")))</f>
        <v/>
      </c>
      <c r="I1363" s="157">
        <f>IFERROR(INDEX(MASTER_JAM!$B$5:$B$94,MATCH($C1363,MASTER_JAM!$A$5:$A$94,0)),"")</f>
        <v/>
      </c>
      <c r="J1363" s="157">
        <f>IFERROR(INDEX(MASTER_JAM!$E$5:$E$94,MATCH($D1363,MASTER_JAM!$A$5:$A$94,0)),"")</f>
        <v/>
      </c>
      <c r="K1363" s="158">
        <f>IFERROR(INDEX(MASTER_JAM!$J$5:$O$12,MATCH($E1363,MASTER_JAM!$I$5:$I$12,0),MATCH($J1363,MASTER_JAM!$J$4:$O$4,0))+0,0)</f>
        <v/>
      </c>
      <c r="L1363" s="159">
        <f>N($F1363)*$K1363</f>
        <v/>
      </c>
      <c r="M1363" s="157">
        <f>IF($E1363="","",IF(OR($E1363="Coal",$E1363="Dirty Coal"),"MT","BCM"))</f>
        <v/>
      </c>
      <c r="N1363" s="157">
        <f>IF($E1363="","",IF(OR($E1363="Coal",$E1363="Dirty Coal"),"Coal","OB"))</f>
        <v/>
      </c>
      <c r="O1363" s="157">
        <f>IF($F1363="","",IF(COUNTIF(MASTER_JAM!$A$5:$A$94,$C1363)=0,"Digger tidak dikenal",IF($J1363="","Hauler tidak dikenal",IF($H1363="?","Jam salah",IF($K1363=0,"Faktor kosong",IF(SUMIFS(INPUT_DELAY!$E$5:$E$20000,INPUT_DELAY!$A$5:$A$20000,$A1363,INPUT_DELAY!$B$5:$B$20000,$B1363,INPUT_DELAY!$C$5:$C$20000,$C1363)+SUMIFS(INPUT_DELAY!$E$5:$E$20000,INPUT_DELAY!$A$5:$A$20000,$A1363,INPUT_DELAY!$B$5:$B$20000,$B1363,INPUT_DELAY!$C$5:$C$20000,"SEMUA")&gt;=60,"Delay 60 mnt tapi ada ritase","OK"))))))</f>
        <v/>
      </c>
      <c r="P1363" s="158">
        <f>IFERROR(INDEX(MASTER_JAM!$Z$5:$AC$10,MATCH($I1363,MASTER_JAM!$Y$5:$Y$10,0),MATCH($J1363,MASTER_JAM!$Z$4:$AC$4,0))+0,0)</f>
        <v/>
      </c>
      <c r="Q1363" s="158">
        <f>IF($P1363=0,0,$P1363+IFERROR(INDEX(MASTER_JAM!$H$5:$H$94,MATCH($C1363,MASTER_JAM!$A$5:$A$94,0))+0,MASTER_JAM!$AC$15)/1000*(60/MASTER_JAM!$AC$12+60/MASTER_JAM!$AC$13)+MASTER_JAM!$AC$14)</f>
        <v/>
      </c>
      <c r="R1363" s="158">
        <f>IF(N($F1363)=0,0,$F1363/SUMIFS(INPUT_RITASE!$F$5:$F$20000,INPUT_RITASE!$A$5:$A$20000,$A1363,INPUT_RITASE!$B$5:$B$20000,$B1363,INPUT_RITASE!$C$5:$C$20000,$C1363,INPUT_RITASE!$D$5:$D$20000,$D1363))</f>
        <v/>
      </c>
      <c r="S1363" s="158">
        <f>IF($Q1363=0,0,$R1363*$P1363/$Q1363)</f>
        <v/>
      </c>
    </row>
    <row r="1364">
      <c r="A1364" s="155" t="n">
        <v>46108</v>
      </c>
      <c r="B1364" s="156" t="inlineStr">
        <is>
          <t>21-22</t>
        </is>
      </c>
      <c r="C1364" s="156" t="inlineStr">
        <is>
          <t>EX-754</t>
        </is>
      </c>
      <c r="D1364" s="156" t="inlineStr">
        <is>
          <t>DT-520</t>
        </is>
      </c>
      <c r="E1364" s="156" t="inlineStr">
        <is>
          <t>Coal</t>
        </is>
      </c>
      <c r="F1364" s="156" t="n">
        <v>4</v>
      </c>
      <c r="G1364" s="156" t="inlineStr"/>
      <c r="H1364" s="157">
        <f>IF($B1364="","",IF(ISNA(MATCH($B1364,MASTER_JAM!$Q$5:$Q$28,0)),"?",IF(MATCH($B1364,MASTER_JAM!$Q$5:$Q$28,0)&lt;=12,"DS","NS")))</f>
        <v/>
      </c>
      <c r="I1364" s="157">
        <f>IFERROR(INDEX(MASTER_JAM!$B$5:$B$94,MATCH($C1364,MASTER_JAM!$A$5:$A$94,0)),"")</f>
        <v/>
      </c>
      <c r="J1364" s="157">
        <f>IFERROR(INDEX(MASTER_JAM!$E$5:$E$94,MATCH($D1364,MASTER_JAM!$A$5:$A$94,0)),"")</f>
        <v/>
      </c>
      <c r="K1364" s="158">
        <f>IFERROR(INDEX(MASTER_JAM!$J$5:$O$12,MATCH($E1364,MASTER_JAM!$I$5:$I$12,0),MATCH($J1364,MASTER_JAM!$J$4:$O$4,0))+0,0)</f>
        <v/>
      </c>
      <c r="L1364" s="159">
        <f>N($F1364)*$K1364</f>
        <v/>
      </c>
      <c r="M1364" s="157">
        <f>IF($E1364="","",IF(OR($E1364="Coal",$E1364="Dirty Coal"),"MT","BCM"))</f>
        <v/>
      </c>
      <c r="N1364" s="157">
        <f>IF($E1364="","",IF(OR($E1364="Coal",$E1364="Dirty Coal"),"Coal","OB"))</f>
        <v/>
      </c>
      <c r="O1364" s="157">
        <f>IF($F1364="","",IF(COUNTIF(MASTER_JAM!$A$5:$A$94,$C1364)=0,"Digger tidak dikenal",IF($J1364="","Hauler tidak dikenal",IF($H1364="?","Jam salah",IF($K1364=0,"Faktor kosong",IF(SUMIFS(INPUT_DELAY!$E$5:$E$20000,INPUT_DELAY!$A$5:$A$20000,$A1364,INPUT_DELAY!$B$5:$B$20000,$B1364,INPUT_DELAY!$C$5:$C$20000,$C1364)+SUMIFS(INPUT_DELAY!$E$5:$E$20000,INPUT_DELAY!$A$5:$A$20000,$A1364,INPUT_DELAY!$B$5:$B$20000,$B1364,INPUT_DELAY!$C$5:$C$20000,"SEMUA")&gt;=60,"Delay 60 mnt tapi ada ritase","OK"))))))</f>
        <v/>
      </c>
      <c r="P1364" s="158">
        <f>IFERROR(INDEX(MASTER_JAM!$Z$5:$AC$10,MATCH($I1364,MASTER_JAM!$Y$5:$Y$10,0),MATCH($J1364,MASTER_JAM!$Z$4:$AC$4,0))+0,0)</f>
        <v/>
      </c>
      <c r="Q1364" s="158">
        <f>IF($P1364=0,0,$P1364+IFERROR(INDEX(MASTER_JAM!$H$5:$H$94,MATCH($C1364,MASTER_JAM!$A$5:$A$94,0))+0,MASTER_JAM!$AC$15)/1000*(60/MASTER_JAM!$AC$12+60/MASTER_JAM!$AC$13)+MASTER_JAM!$AC$14)</f>
        <v/>
      </c>
      <c r="R1364" s="158">
        <f>IF(N($F1364)=0,0,$F1364/SUMIFS(INPUT_RITASE!$F$5:$F$20000,INPUT_RITASE!$A$5:$A$20000,$A1364,INPUT_RITASE!$B$5:$B$20000,$B1364,INPUT_RITASE!$C$5:$C$20000,$C1364,INPUT_RITASE!$D$5:$D$20000,$D1364))</f>
        <v/>
      </c>
      <c r="S1364" s="158">
        <f>IF($Q1364=0,0,$R1364*$P1364/$Q1364)</f>
        <v/>
      </c>
    </row>
    <row r="1365">
      <c r="A1365" s="155" t="n">
        <v>46108</v>
      </c>
      <c r="B1365" s="156" t="inlineStr">
        <is>
          <t>21-22</t>
        </is>
      </c>
      <c r="C1365" s="156" t="inlineStr">
        <is>
          <t>EX-754</t>
        </is>
      </c>
      <c r="D1365" s="156" t="inlineStr">
        <is>
          <t>DT-504</t>
        </is>
      </c>
      <c r="E1365" s="156" t="inlineStr">
        <is>
          <t>Coal</t>
        </is>
      </c>
      <c r="F1365" s="156" t="n">
        <v>3</v>
      </c>
      <c r="G1365" s="156" t="inlineStr"/>
      <c r="H1365" s="157">
        <f>IF($B1365="","",IF(ISNA(MATCH($B1365,MASTER_JAM!$Q$5:$Q$28,0)),"?",IF(MATCH($B1365,MASTER_JAM!$Q$5:$Q$28,0)&lt;=12,"DS","NS")))</f>
        <v/>
      </c>
      <c r="I1365" s="157">
        <f>IFERROR(INDEX(MASTER_JAM!$B$5:$B$94,MATCH($C1365,MASTER_JAM!$A$5:$A$94,0)),"")</f>
        <v/>
      </c>
      <c r="J1365" s="157">
        <f>IFERROR(INDEX(MASTER_JAM!$E$5:$E$94,MATCH($D1365,MASTER_JAM!$A$5:$A$94,0)),"")</f>
        <v/>
      </c>
      <c r="K1365" s="158">
        <f>IFERROR(INDEX(MASTER_JAM!$J$5:$O$12,MATCH($E1365,MASTER_JAM!$I$5:$I$12,0),MATCH($J1365,MASTER_JAM!$J$4:$O$4,0))+0,0)</f>
        <v/>
      </c>
      <c r="L1365" s="159">
        <f>N($F1365)*$K1365</f>
        <v/>
      </c>
      <c r="M1365" s="157">
        <f>IF($E1365="","",IF(OR($E1365="Coal",$E1365="Dirty Coal"),"MT","BCM"))</f>
        <v/>
      </c>
      <c r="N1365" s="157">
        <f>IF($E1365="","",IF(OR($E1365="Coal",$E1365="Dirty Coal"),"Coal","OB"))</f>
        <v/>
      </c>
      <c r="O1365" s="157">
        <f>IF($F1365="","",IF(COUNTIF(MASTER_JAM!$A$5:$A$94,$C1365)=0,"Digger tidak dikenal",IF($J1365="","Hauler tidak dikenal",IF($H1365="?","Jam salah",IF($K1365=0,"Faktor kosong",IF(SUMIFS(INPUT_DELAY!$E$5:$E$20000,INPUT_DELAY!$A$5:$A$20000,$A1365,INPUT_DELAY!$B$5:$B$20000,$B1365,INPUT_DELAY!$C$5:$C$20000,$C1365)+SUMIFS(INPUT_DELAY!$E$5:$E$20000,INPUT_DELAY!$A$5:$A$20000,$A1365,INPUT_DELAY!$B$5:$B$20000,$B1365,INPUT_DELAY!$C$5:$C$20000,"SEMUA")&gt;=60,"Delay 60 mnt tapi ada ritase","OK"))))))</f>
        <v/>
      </c>
      <c r="P1365" s="158">
        <f>IFERROR(INDEX(MASTER_JAM!$Z$5:$AC$10,MATCH($I1365,MASTER_JAM!$Y$5:$Y$10,0),MATCH($J1365,MASTER_JAM!$Z$4:$AC$4,0))+0,0)</f>
        <v/>
      </c>
      <c r="Q1365" s="158">
        <f>IF($P1365=0,0,$P1365+IFERROR(INDEX(MASTER_JAM!$H$5:$H$94,MATCH($C1365,MASTER_JAM!$A$5:$A$94,0))+0,MASTER_JAM!$AC$15)/1000*(60/MASTER_JAM!$AC$12+60/MASTER_JAM!$AC$13)+MASTER_JAM!$AC$14)</f>
        <v/>
      </c>
      <c r="R1365" s="158">
        <f>IF(N($F1365)=0,0,$F1365/SUMIFS(INPUT_RITASE!$F$5:$F$20000,INPUT_RITASE!$A$5:$A$20000,$A1365,INPUT_RITASE!$B$5:$B$20000,$B1365,INPUT_RITASE!$C$5:$C$20000,$C1365,INPUT_RITASE!$D$5:$D$20000,$D1365))</f>
        <v/>
      </c>
      <c r="S1365" s="158">
        <f>IF($Q1365=0,0,$R1365*$P1365/$Q1365)</f>
        <v/>
      </c>
    </row>
    <row r="1366">
      <c r="A1366" s="155" t="n">
        <v>46108</v>
      </c>
      <c r="B1366" s="156" t="inlineStr">
        <is>
          <t>21-22</t>
        </is>
      </c>
      <c r="C1366" s="156" t="inlineStr">
        <is>
          <t>EX-754</t>
        </is>
      </c>
      <c r="D1366" s="156" t="inlineStr">
        <is>
          <t>DT-528</t>
        </is>
      </c>
      <c r="E1366" s="156" t="inlineStr">
        <is>
          <t>Coal</t>
        </is>
      </c>
      <c r="F1366" s="156" t="n">
        <v>3</v>
      </c>
      <c r="G1366" s="156" t="inlineStr"/>
      <c r="H1366" s="157">
        <f>IF($B1366="","",IF(ISNA(MATCH($B1366,MASTER_JAM!$Q$5:$Q$28,0)),"?",IF(MATCH($B1366,MASTER_JAM!$Q$5:$Q$28,0)&lt;=12,"DS","NS")))</f>
        <v/>
      </c>
      <c r="I1366" s="157">
        <f>IFERROR(INDEX(MASTER_JAM!$B$5:$B$94,MATCH($C1366,MASTER_JAM!$A$5:$A$94,0)),"")</f>
        <v/>
      </c>
      <c r="J1366" s="157">
        <f>IFERROR(INDEX(MASTER_JAM!$E$5:$E$94,MATCH($D1366,MASTER_JAM!$A$5:$A$94,0)),"")</f>
        <v/>
      </c>
      <c r="K1366" s="158">
        <f>IFERROR(INDEX(MASTER_JAM!$J$5:$O$12,MATCH($E1366,MASTER_JAM!$I$5:$I$12,0),MATCH($J1366,MASTER_JAM!$J$4:$O$4,0))+0,0)</f>
        <v/>
      </c>
      <c r="L1366" s="159">
        <f>N($F1366)*$K1366</f>
        <v/>
      </c>
      <c r="M1366" s="157">
        <f>IF($E1366="","",IF(OR($E1366="Coal",$E1366="Dirty Coal"),"MT","BCM"))</f>
        <v/>
      </c>
      <c r="N1366" s="157">
        <f>IF($E1366="","",IF(OR($E1366="Coal",$E1366="Dirty Coal"),"Coal","OB"))</f>
        <v/>
      </c>
      <c r="O1366" s="157">
        <f>IF($F1366="","",IF(COUNTIF(MASTER_JAM!$A$5:$A$94,$C1366)=0,"Digger tidak dikenal",IF($J1366="","Hauler tidak dikenal",IF($H1366="?","Jam salah",IF($K1366=0,"Faktor kosong",IF(SUMIFS(INPUT_DELAY!$E$5:$E$20000,INPUT_DELAY!$A$5:$A$20000,$A1366,INPUT_DELAY!$B$5:$B$20000,$B1366,INPUT_DELAY!$C$5:$C$20000,$C1366)+SUMIFS(INPUT_DELAY!$E$5:$E$20000,INPUT_DELAY!$A$5:$A$20000,$A1366,INPUT_DELAY!$B$5:$B$20000,$B1366,INPUT_DELAY!$C$5:$C$20000,"SEMUA")&gt;=60,"Delay 60 mnt tapi ada ritase","OK"))))))</f>
        <v/>
      </c>
      <c r="P1366" s="158">
        <f>IFERROR(INDEX(MASTER_JAM!$Z$5:$AC$10,MATCH($I1366,MASTER_JAM!$Y$5:$Y$10,0),MATCH($J1366,MASTER_JAM!$Z$4:$AC$4,0))+0,0)</f>
        <v/>
      </c>
      <c r="Q1366" s="158">
        <f>IF($P1366=0,0,$P1366+IFERROR(INDEX(MASTER_JAM!$H$5:$H$94,MATCH($C1366,MASTER_JAM!$A$5:$A$94,0))+0,MASTER_JAM!$AC$15)/1000*(60/MASTER_JAM!$AC$12+60/MASTER_JAM!$AC$13)+MASTER_JAM!$AC$14)</f>
        <v/>
      </c>
      <c r="R1366" s="158">
        <f>IF(N($F1366)=0,0,$F1366/SUMIFS(INPUT_RITASE!$F$5:$F$20000,INPUT_RITASE!$A$5:$A$20000,$A1366,INPUT_RITASE!$B$5:$B$20000,$B1366,INPUT_RITASE!$C$5:$C$20000,$C1366,INPUT_RITASE!$D$5:$D$20000,$D1366))</f>
        <v/>
      </c>
      <c r="S1366" s="158">
        <f>IF($Q1366=0,0,$R1366*$P1366/$Q1366)</f>
        <v/>
      </c>
    </row>
    <row r="1367">
      <c r="A1367" s="155" t="n">
        <v>46108</v>
      </c>
      <c r="B1367" s="156" t="inlineStr">
        <is>
          <t>21-22</t>
        </is>
      </c>
      <c r="C1367" s="156" t="inlineStr">
        <is>
          <t>EX-754</t>
        </is>
      </c>
      <c r="D1367" s="156" t="inlineStr">
        <is>
          <t>DT-515</t>
        </is>
      </c>
      <c r="E1367" s="156" t="inlineStr">
        <is>
          <t>Coal</t>
        </is>
      </c>
      <c r="F1367" s="156" t="n">
        <v>3</v>
      </c>
      <c r="G1367" s="156" t="inlineStr"/>
      <c r="H1367" s="157">
        <f>IF($B1367="","",IF(ISNA(MATCH($B1367,MASTER_JAM!$Q$5:$Q$28,0)),"?",IF(MATCH($B1367,MASTER_JAM!$Q$5:$Q$28,0)&lt;=12,"DS","NS")))</f>
        <v/>
      </c>
      <c r="I1367" s="157">
        <f>IFERROR(INDEX(MASTER_JAM!$B$5:$B$94,MATCH($C1367,MASTER_JAM!$A$5:$A$94,0)),"")</f>
        <v/>
      </c>
      <c r="J1367" s="157">
        <f>IFERROR(INDEX(MASTER_JAM!$E$5:$E$94,MATCH($D1367,MASTER_JAM!$A$5:$A$94,0)),"")</f>
        <v/>
      </c>
      <c r="K1367" s="158">
        <f>IFERROR(INDEX(MASTER_JAM!$J$5:$O$12,MATCH($E1367,MASTER_JAM!$I$5:$I$12,0),MATCH($J1367,MASTER_JAM!$J$4:$O$4,0))+0,0)</f>
        <v/>
      </c>
      <c r="L1367" s="159">
        <f>N($F1367)*$K1367</f>
        <v/>
      </c>
      <c r="M1367" s="157">
        <f>IF($E1367="","",IF(OR($E1367="Coal",$E1367="Dirty Coal"),"MT","BCM"))</f>
        <v/>
      </c>
      <c r="N1367" s="157">
        <f>IF($E1367="","",IF(OR($E1367="Coal",$E1367="Dirty Coal"),"Coal","OB"))</f>
        <v/>
      </c>
      <c r="O1367" s="157">
        <f>IF($F1367="","",IF(COUNTIF(MASTER_JAM!$A$5:$A$94,$C1367)=0,"Digger tidak dikenal",IF($J1367="","Hauler tidak dikenal",IF($H1367="?","Jam salah",IF($K1367=0,"Faktor kosong",IF(SUMIFS(INPUT_DELAY!$E$5:$E$20000,INPUT_DELAY!$A$5:$A$20000,$A1367,INPUT_DELAY!$B$5:$B$20000,$B1367,INPUT_DELAY!$C$5:$C$20000,$C1367)+SUMIFS(INPUT_DELAY!$E$5:$E$20000,INPUT_DELAY!$A$5:$A$20000,$A1367,INPUT_DELAY!$B$5:$B$20000,$B1367,INPUT_DELAY!$C$5:$C$20000,"SEMUA")&gt;=60,"Delay 60 mnt tapi ada ritase","OK"))))))</f>
        <v/>
      </c>
      <c r="P1367" s="158">
        <f>IFERROR(INDEX(MASTER_JAM!$Z$5:$AC$10,MATCH($I1367,MASTER_JAM!$Y$5:$Y$10,0),MATCH($J1367,MASTER_JAM!$Z$4:$AC$4,0))+0,0)</f>
        <v/>
      </c>
      <c r="Q1367" s="158">
        <f>IF($P1367=0,0,$P1367+IFERROR(INDEX(MASTER_JAM!$H$5:$H$94,MATCH($C1367,MASTER_JAM!$A$5:$A$94,0))+0,MASTER_JAM!$AC$15)/1000*(60/MASTER_JAM!$AC$12+60/MASTER_JAM!$AC$13)+MASTER_JAM!$AC$14)</f>
        <v/>
      </c>
      <c r="R1367" s="158">
        <f>IF(N($F1367)=0,0,$F1367/SUMIFS(INPUT_RITASE!$F$5:$F$20000,INPUT_RITASE!$A$5:$A$20000,$A1367,INPUT_RITASE!$B$5:$B$20000,$B1367,INPUT_RITASE!$C$5:$C$20000,$C1367,INPUT_RITASE!$D$5:$D$20000,$D1367))</f>
        <v/>
      </c>
      <c r="S1367" s="158">
        <f>IF($Q1367=0,0,$R1367*$P1367/$Q1367)</f>
        <v/>
      </c>
    </row>
    <row r="1368">
      <c r="A1368" s="155" t="n">
        <v>46108</v>
      </c>
      <c r="B1368" s="156" t="inlineStr">
        <is>
          <t>22-23</t>
        </is>
      </c>
      <c r="C1368" s="156" t="inlineStr">
        <is>
          <t>EX-754</t>
        </is>
      </c>
      <c r="D1368" s="156" t="inlineStr">
        <is>
          <t>DT-518</t>
        </is>
      </c>
      <c r="E1368" s="156" t="inlineStr">
        <is>
          <t>Coal</t>
        </is>
      </c>
      <c r="F1368" s="156" t="n">
        <v>4</v>
      </c>
      <c r="G1368" s="156" t="inlineStr"/>
      <c r="H1368" s="157">
        <f>IF($B1368="","",IF(ISNA(MATCH($B1368,MASTER_JAM!$Q$5:$Q$28,0)),"?",IF(MATCH($B1368,MASTER_JAM!$Q$5:$Q$28,0)&lt;=12,"DS","NS")))</f>
        <v/>
      </c>
      <c r="I1368" s="157">
        <f>IFERROR(INDEX(MASTER_JAM!$B$5:$B$94,MATCH($C1368,MASTER_JAM!$A$5:$A$94,0)),"")</f>
        <v/>
      </c>
      <c r="J1368" s="157">
        <f>IFERROR(INDEX(MASTER_JAM!$E$5:$E$94,MATCH($D1368,MASTER_JAM!$A$5:$A$94,0)),"")</f>
        <v/>
      </c>
      <c r="K1368" s="158">
        <f>IFERROR(INDEX(MASTER_JAM!$J$5:$O$12,MATCH($E1368,MASTER_JAM!$I$5:$I$12,0),MATCH($J1368,MASTER_JAM!$J$4:$O$4,0))+0,0)</f>
        <v/>
      </c>
      <c r="L1368" s="159">
        <f>N($F1368)*$K1368</f>
        <v/>
      </c>
      <c r="M1368" s="157">
        <f>IF($E1368="","",IF(OR($E1368="Coal",$E1368="Dirty Coal"),"MT","BCM"))</f>
        <v/>
      </c>
      <c r="N1368" s="157">
        <f>IF($E1368="","",IF(OR($E1368="Coal",$E1368="Dirty Coal"),"Coal","OB"))</f>
        <v/>
      </c>
      <c r="O1368" s="157">
        <f>IF($F1368="","",IF(COUNTIF(MASTER_JAM!$A$5:$A$94,$C1368)=0,"Digger tidak dikenal",IF($J1368="","Hauler tidak dikenal",IF($H1368="?","Jam salah",IF($K1368=0,"Faktor kosong",IF(SUMIFS(INPUT_DELAY!$E$5:$E$20000,INPUT_DELAY!$A$5:$A$20000,$A1368,INPUT_DELAY!$B$5:$B$20000,$B1368,INPUT_DELAY!$C$5:$C$20000,$C1368)+SUMIFS(INPUT_DELAY!$E$5:$E$20000,INPUT_DELAY!$A$5:$A$20000,$A1368,INPUT_DELAY!$B$5:$B$20000,$B1368,INPUT_DELAY!$C$5:$C$20000,"SEMUA")&gt;=60,"Delay 60 mnt tapi ada ritase","OK"))))))</f>
        <v/>
      </c>
      <c r="P1368" s="158">
        <f>IFERROR(INDEX(MASTER_JAM!$Z$5:$AC$10,MATCH($I1368,MASTER_JAM!$Y$5:$Y$10,0),MATCH($J1368,MASTER_JAM!$Z$4:$AC$4,0))+0,0)</f>
        <v/>
      </c>
      <c r="Q1368" s="158">
        <f>IF($P1368=0,0,$P1368+IFERROR(INDEX(MASTER_JAM!$H$5:$H$94,MATCH($C1368,MASTER_JAM!$A$5:$A$94,0))+0,MASTER_JAM!$AC$15)/1000*(60/MASTER_JAM!$AC$12+60/MASTER_JAM!$AC$13)+MASTER_JAM!$AC$14)</f>
        <v/>
      </c>
      <c r="R1368" s="158">
        <f>IF(N($F1368)=0,0,$F1368/SUMIFS(INPUT_RITASE!$F$5:$F$20000,INPUT_RITASE!$A$5:$A$20000,$A1368,INPUT_RITASE!$B$5:$B$20000,$B1368,INPUT_RITASE!$C$5:$C$20000,$C1368,INPUT_RITASE!$D$5:$D$20000,$D1368))</f>
        <v/>
      </c>
      <c r="S1368" s="158">
        <f>IF($Q1368=0,0,$R1368*$P1368/$Q1368)</f>
        <v/>
      </c>
    </row>
    <row r="1369">
      <c r="A1369" s="155" t="n">
        <v>46108</v>
      </c>
      <c r="B1369" s="156" t="inlineStr">
        <is>
          <t>22-23</t>
        </is>
      </c>
      <c r="C1369" s="156" t="inlineStr">
        <is>
          <t>EX-754</t>
        </is>
      </c>
      <c r="D1369" s="156" t="inlineStr">
        <is>
          <t>DT-501</t>
        </is>
      </c>
      <c r="E1369" s="156" t="inlineStr">
        <is>
          <t>Coal</t>
        </is>
      </c>
      <c r="F1369" s="156" t="n">
        <v>3</v>
      </c>
      <c r="G1369" s="156" t="inlineStr"/>
      <c r="H1369" s="157">
        <f>IF($B1369="","",IF(ISNA(MATCH($B1369,MASTER_JAM!$Q$5:$Q$28,0)),"?",IF(MATCH($B1369,MASTER_JAM!$Q$5:$Q$28,0)&lt;=12,"DS","NS")))</f>
        <v/>
      </c>
      <c r="I1369" s="157">
        <f>IFERROR(INDEX(MASTER_JAM!$B$5:$B$94,MATCH($C1369,MASTER_JAM!$A$5:$A$94,0)),"")</f>
        <v/>
      </c>
      <c r="J1369" s="157">
        <f>IFERROR(INDEX(MASTER_JAM!$E$5:$E$94,MATCH($D1369,MASTER_JAM!$A$5:$A$94,0)),"")</f>
        <v/>
      </c>
      <c r="K1369" s="158">
        <f>IFERROR(INDEX(MASTER_JAM!$J$5:$O$12,MATCH($E1369,MASTER_JAM!$I$5:$I$12,0),MATCH($J1369,MASTER_JAM!$J$4:$O$4,0))+0,0)</f>
        <v/>
      </c>
      <c r="L1369" s="159">
        <f>N($F1369)*$K1369</f>
        <v/>
      </c>
      <c r="M1369" s="157">
        <f>IF($E1369="","",IF(OR($E1369="Coal",$E1369="Dirty Coal"),"MT","BCM"))</f>
        <v/>
      </c>
      <c r="N1369" s="157">
        <f>IF($E1369="","",IF(OR($E1369="Coal",$E1369="Dirty Coal"),"Coal","OB"))</f>
        <v/>
      </c>
      <c r="O1369" s="157">
        <f>IF($F1369="","",IF(COUNTIF(MASTER_JAM!$A$5:$A$94,$C1369)=0,"Digger tidak dikenal",IF($J1369="","Hauler tidak dikenal",IF($H1369="?","Jam salah",IF($K1369=0,"Faktor kosong",IF(SUMIFS(INPUT_DELAY!$E$5:$E$20000,INPUT_DELAY!$A$5:$A$20000,$A1369,INPUT_DELAY!$B$5:$B$20000,$B1369,INPUT_DELAY!$C$5:$C$20000,$C1369)+SUMIFS(INPUT_DELAY!$E$5:$E$20000,INPUT_DELAY!$A$5:$A$20000,$A1369,INPUT_DELAY!$B$5:$B$20000,$B1369,INPUT_DELAY!$C$5:$C$20000,"SEMUA")&gt;=60,"Delay 60 mnt tapi ada ritase","OK"))))))</f>
        <v/>
      </c>
      <c r="P1369" s="158">
        <f>IFERROR(INDEX(MASTER_JAM!$Z$5:$AC$10,MATCH($I1369,MASTER_JAM!$Y$5:$Y$10,0),MATCH($J1369,MASTER_JAM!$Z$4:$AC$4,0))+0,0)</f>
        <v/>
      </c>
      <c r="Q1369" s="158">
        <f>IF($P1369=0,0,$P1369+IFERROR(INDEX(MASTER_JAM!$H$5:$H$94,MATCH($C1369,MASTER_JAM!$A$5:$A$94,0))+0,MASTER_JAM!$AC$15)/1000*(60/MASTER_JAM!$AC$12+60/MASTER_JAM!$AC$13)+MASTER_JAM!$AC$14)</f>
        <v/>
      </c>
      <c r="R1369" s="158">
        <f>IF(N($F1369)=0,0,$F1369/SUMIFS(INPUT_RITASE!$F$5:$F$20000,INPUT_RITASE!$A$5:$A$20000,$A1369,INPUT_RITASE!$B$5:$B$20000,$B1369,INPUT_RITASE!$C$5:$C$20000,$C1369,INPUT_RITASE!$D$5:$D$20000,$D1369))</f>
        <v/>
      </c>
      <c r="S1369" s="158">
        <f>IF($Q1369=0,0,$R1369*$P1369/$Q1369)</f>
        <v/>
      </c>
    </row>
    <row r="1370">
      <c r="A1370" s="155" t="n">
        <v>46108</v>
      </c>
      <c r="B1370" s="156" t="inlineStr">
        <is>
          <t>22-23</t>
        </is>
      </c>
      <c r="C1370" s="156" t="inlineStr">
        <is>
          <t>EX-754</t>
        </is>
      </c>
      <c r="D1370" s="156" t="inlineStr">
        <is>
          <t>DT-522</t>
        </is>
      </c>
      <c r="E1370" s="156" t="inlineStr">
        <is>
          <t>Coal</t>
        </is>
      </c>
      <c r="F1370" s="156" t="n">
        <v>3</v>
      </c>
      <c r="G1370" s="156" t="inlineStr"/>
      <c r="H1370" s="157">
        <f>IF($B1370="","",IF(ISNA(MATCH($B1370,MASTER_JAM!$Q$5:$Q$28,0)),"?",IF(MATCH($B1370,MASTER_JAM!$Q$5:$Q$28,0)&lt;=12,"DS","NS")))</f>
        <v/>
      </c>
      <c r="I1370" s="157">
        <f>IFERROR(INDEX(MASTER_JAM!$B$5:$B$94,MATCH($C1370,MASTER_JAM!$A$5:$A$94,0)),"")</f>
        <v/>
      </c>
      <c r="J1370" s="157">
        <f>IFERROR(INDEX(MASTER_JAM!$E$5:$E$94,MATCH($D1370,MASTER_JAM!$A$5:$A$94,0)),"")</f>
        <v/>
      </c>
      <c r="K1370" s="158">
        <f>IFERROR(INDEX(MASTER_JAM!$J$5:$O$12,MATCH($E1370,MASTER_JAM!$I$5:$I$12,0),MATCH($J1370,MASTER_JAM!$J$4:$O$4,0))+0,0)</f>
        <v/>
      </c>
      <c r="L1370" s="159">
        <f>N($F1370)*$K1370</f>
        <v/>
      </c>
      <c r="M1370" s="157">
        <f>IF($E1370="","",IF(OR($E1370="Coal",$E1370="Dirty Coal"),"MT","BCM"))</f>
        <v/>
      </c>
      <c r="N1370" s="157">
        <f>IF($E1370="","",IF(OR($E1370="Coal",$E1370="Dirty Coal"),"Coal","OB"))</f>
        <v/>
      </c>
      <c r="O1370" s="157">
        <f>IF($F1370="","",IF(COUNTIF(MASTER_JAM!$A$5:$A$94,$C1370)=0,"Digger tidak dikenal",IF($J1370="","Hauler tidak dikenal",IF($H1370="?","Jam salah",IF($K1370=0,"Faktor kosong",IF(SUMIFS(INPUT_DELAY!$E$5:$E$20000,INPUT_DELAY!$A$5:$A$20000,$A1370,INPUT_DELAY!$B$5:$B$20000,$B1370,INPUT_DELAY!$C$5:$C$20000,$C1370)+SUMIFS(INPUT_DELAY!$E$5:$E$20000,INPUT_DELAY!$A$5:$A$20000,$A1370,INPUT_DELAY!$B$5:$B$20000,$B1370,INPUT_DELAY!$C$5:$C$20000,"SEMUA")&gt;=60,"Delay 60 mnt tapi ada ritase","OK"))))))</f>
        <v/>
      </c>
      <c r="P1370" s="158">
        <f>IFERROR(INDEX(MASTER_JAM!$Z$5:$AC$10,MATCH($I1370,MASTER_JAM!$Y$5:$Y$10,0),MATCH($J1370,MASTER_JAM!$Z$4:$AC$4,0))+0,0)</f>
        <v/>
      </c>
      <c r="Q1370" s="158">
        <f>IF($P1370=0,0,$P1370+IFERROR(INDEX(MASTER_JAM!$H$5:$H$94,MATCH($C1370,MASTER_JAM!$A$5:$A$94,0))+0,MASTER_JAM!$AC$15)/1000*(60/MASTER_JAM!$AC$12+60/MASTER_JAM!$AC$13)+MASTER_JAM!$AC$14)</f>
        <v/>
      </c>
      <c r="R1370" s="158">
        <f>IF(N($F1370)=0,0,$F1370/SUMIFS(INPUT_RITASE!$F$5:$F$20000,INPUT_RITASE!$A$5:$A$20000,$A1370,INPUT_RITASE!$B$5:$B$20000,$B1370,INPUT_RITASE!$C$5:$C$20000,$C1370,INPUT_RITASE!$D$5:$D$20000,$D1370))</f>
        <v/>
      </c>
      <c r="S1370" s="158">
        <f>IF($Q1370=0,0,$R1370*$P1370/$Q1370)</f>
        <v/>
      </c>
    </row>
    <row r="1371">
      <c r="A1371" s="155" t="n">
        <v>46108</v>
      </c>
      <c r="B1371" s="156" t="inlineStr">
        <is>
          <t>22-23</t>
        </is>
      </c>
      <c r="C1371" s="156" t="inlineStr">
        <is>
          <t>EX-754</t>
        </is>
      </c>
      <c r="D1371" s="156" t="inlineStr">
        <is>
          <t>DT-521</t>
        </is>
      </c>
      <c r="E1371" s="156" t="inlineStr">
        <is>
          <t>Coal</t>
        </is>
      </c>
      <c r="F1371" s="156" t="n">
        <v>3</v>
      </c>
      <c r="G1371" s="156" t="inlineStr"/>
      <c r="H1371" s="157">
        <f>IF($B1371="","",IF(ISNA(MATCH($B1371,MASTER_JAM!$Q$5:$Q$28,0)),"?",IF(MATCH($B1371,MASTER_JAM!$Q$5:$Q$28,0)&lt;=12,"DS","NS")))</f>
        <v/>
      </c>
      <c r="I1371" s="157">
        <f>IFERROR(INDEX(MASTER_JAM!$B$5:$B$94,MATCH($C1371,MASTER_JAM!$A$5:$A$94,0)),"")</f>
        <v/>
      </c>
      <c r="J1371" s="157">
        <f>IFERROR(INDEX(MASTER_JAM!$E$5:$E$94,MATCH($D1371,MASTER_JAM!$A$5:$A$94,0)),"")</f>
        <v/>
      </c>
      <c r="K1371" s="158">
        <f>IFERROR(INDEX(MASTER_JAM!$J$5:$O$12,MATCH($E1371,MASTER_JAM!$I$5:$I$12,0),MATCH($J1371,MASTER_JAM!$J$4:$O$4,0))+0,0)</f>
        <v/>
      </c>
      <c r="L1371" s="159">
        <f>N($F1371)*$K1371</f>
        <v/>
      </c>
      <c r="M1371" s="157">
        <f>IF($E1371="","",IF(OR($E1371="Coal",$E1371="Dirty Coal"),"MT","BCM"))</f>
        <v/>
      </c>
      <c r="N1371" s="157">
        <f>IF($E1371="","",IF(OR($E1371="Coal",$E1371="Dirty Coal"),"Coal","OB"))</f>
        <v/>
      </c>
      <c r="O1371" s="157">
        <f>IF($F1371="","",IF(COUNTIF(MASTER_JAM!$A$5:$A$94,$C1371)=0,"Digger tidak dikenal",IF($J1371="","Hauler tidak dikenal",IF($H1371="?","Jam salah",IF($K1371=0,"Faktor kosong",IF(SUMIFS(INPUT_DELAY!$E$5:$E$20000,INPUT_DELAY!$A$5:$A$20000,$A1371,INPUT_DELAY!$B$5:$B$20000,$B1371,INPUT_DELAY!$C$5:$C$20000,$C1371)+SUMIFS(INPUT_DELAY!$E$5:$E$20000,INPUT_DELAY!$A$5:$A$20000,$A1371,INPUT_DELAY!$B$5:$B$20000,$B1371,INPUT_DELAY!$C$5:$C$20000,"SEMUA")&gt;=60,"Delay 60 mnt tapi ada ritase","OK"))))))</f>
        <v/>
      </c>
      <c r="P1371" s="158">
        <f>IFERROR(INDEX(MASTER_JAM!$Z$5:$AC$10,MATCH($I1371,MASTER_JAM!$Y$5:$Y$10,0),MATCH($J1371,MASTER_JAM!$Z$4:$AC$4,0))+0,0)</f>
        <v/>
      </c>
      <c r="Q1371" s="158">
        <f>IF($P1371=0,0,$P1371+IFERROR(INDEX(MASTER_JAM!$H$5:$H$94,MATCH($C1371,MASTER_JAM!$A$5:$A$94,0))+0,MASTER_JAM!$AC$15)/1000*(60/MASTER_JAM!$AC$12+60/MASTER_JAM!$AC$13)+MASTER_JAM!$AC$14)</f>
        <v/>
      </c>
      <c r="R1371" s="158">
        <f>IF(N($F1371)=0,0,$F1371/SUMIFS(INPUT_RITASE!$F$5:$F$20000,INPUT_RITASE!$A$5:$A$20000,$A1371,INPUT_RITASE!$B$5:$B$20000,$B1371,INPUT_RITASE!$C$5:$C$20000,$C1371,INPUT_RITASE!$D$5:$D$20000,$D1371))</f>
        <v/>
      </c>
      <c r="S1371" s="158">
        <f>IF($Q1371=0,0,$R1371*$P1371/$Q1371)</f>
        <v/>
      </c>
    </row>
    <row r="1372">
      <c r="A1372" s="155" t="n">
        <v>46108</v>
      </c>
      <c r="B1372" s="156" t="inlineStr">
        <is>
          <t>23-24</t>
        </is>
      </c>
      <c r="C1372" s="156" t="inlineStr">
        <is>
          <t>EX-754</t>
        </is>
      </c>
      <c r="D1372" s="156" t="inlineStr">
        <is>
          <t>DT-526</t>
        </is>
      </c>
      <c r="E1372" s="156" t="inlineStr">
        <is>
          <t>Coal</t>
        </is>
      </c>
      <c r="F1372" s="156" t="n">
        <v>4</v>
      </c>
      <c r="G1372" s="156" t="inlineStr"/>
      <c r="H1372" s="157">
        <f>IF($B1372="","",IF(ISNA(MATCH($B1372,MASTER_JAM!$Q$5:$Q$28,0)),"?",IF(MATCH($B1372,MASTER_JAM!$Q$5:$Q$28,0)&lt;=12,"DS","NS")))</f>
        <v/>
      </c>
      <c r="I1372" s="157">
        <f>IFERROR(INDEX(MASTER_JAM!$B$5:$B$94,MATCH($C1372,MASTER_JAM!$A$5:$A$94,0)),"")</f>
        <v/>
      </c>
      <c r="J1372" s="157">
        <f>IFERROR(INDEX(MASTER_JAM!$E$5:$E$94,MATCH($D1372,MASTER_JAM!$A$5:$A$94,0)),"")</f>
        <v/>
      </c>
      <c r="K1372" s="158">
        <f>IFERROR(INDEX(MASTER_JAM!$J$5:$O$12,MATCH($E1372,MASTER_JAM!$I$5:$I$12,0),MATCH($J1372,MASTER_JAM!$J$4:$O$4,0))+0,0)</f>
        <v/>
      </c>
      <c r="L1372" s="159">
        <f>N($F1372)*$K1372</f>
        <v/>
      </c>
      <c r="M1372" s="157">
        <f>IF($E1372="","",IF(OR($E1372="Coal",$E1372="Dirty Coal"),"MT","BCM"))</f>
        <v/>
      </c>
      <c r="N1372" s="157">
        <f>IF($E1372="","",IF(OR($E1372="Coal",$E1372="Dirty Coal"),"Coal","OB"))</f>
        <v/>
      </c>
      <c r="O1372" s="157">
        <f>IF($F1372="","",IF(COUNTIF(MASTER_JAM!$A$5:$A$94,$C1372)=0,"Digger tidak dikenal",IF($J1372="","Hauler tidak dikenal",IF($H1372="?","Jam salah",IF($K1372=0,"Faktor kosong",IF(SUMIFS(INPUT_DELAY!$E$5:$E$20000,INPUT_DELAY!$A$5:$A$20000,$A1372,INPUT_DELAY!$B$5:$B$20000,$B1372,INPUT_DELAY!$C$5:$C$20000,$C1372)+SUMIFS(INPUT_DELAY!$E$5:$E$20000,INPUT_DELAY!$A$5:$A$20000,$A1372,INPUT_DELAY!$B$5:$B$20000,$B1372,INPUT_DELAY!$C$5:$C$20000,"SEMUA")&gt;=60,"Delay 60 mnt tapi ada ritase","OK"))))))</f>
        <v/>
      </c>
      <c r="P1372" s="158">
        <f>IFERROR(INDEX(MASTER_JAM!$Z$5:$AC$10,MATCH($I1372,MASTER_JAM!$Y$5:$Y$10,0),MATCH($J1372,MASTER_JAM!$Z$4:$AC$4,0))+0,0)</f>
        <v/>
      </c>
      <c r="Q1372" s="158">
        <f>IF($P1372=0,0,$P1372+IFERROR(INDEX(MASTER_JAM!$H$5:$H$94,MATCH($C1372,MASTER_JAM!$A$5:$A$94,0))+0,MASTER_JAM!$AC$15)/1000*(60/MASTER_JAM!$AC$12+60/MASTER_JAM!$AC$13)+MASTER_JAM!$AC$14)</f>
        <v/>
      </c>
      <c r="R1372" s="158">
        <f>IF(N($F1372)=0,0,$F1372/SUMIFS(INPUT_RITASE!$F$5:$F$20000,INPUT_RITASE!$A$5:$A$20000,$A1372,INPUT_RITASE!$B$5:$B$20000,$B1372,INPUT_RITASE!$C$5:$C$20000,$C1372,INPUT_RITASE!$D$5:$D$20000,$D1372))</f>
        <v/>
      </c>
      <c r="S1372" s="158">
        <f>IF($Q1372=0,0,$R1372*$P1372/$Q1372)</f>
        <v/>
      </c>
    </row>
    <row r="1373">
      <c r="A1373" s="155" t="n">
        <v>46108</v>
      </c>
      <c r="B1373" s="156" t="inlineStr">
        <is>
          <t>23-24</t>
        </is>
      </c>
      <c r="C1373" s="156" t="inlineStr">
        <is>
          <t>EX-754</t>
        </is>
      </c>
      <c r="D1373" s="156" t="inlineStr">
        <is>
          <t>DT-512</t>
        </is>
      </c>
      <c r="E1373" s="156" t="inlineStr">
        <is>
          <t>Coal</t>
        </is>
      </c>
      <c r="F1373" s="156" t="n">
        <v>3</v>
      </c>
      <c r="G1373" s="156" t="inlineStr"/>
      <c r="H1373" s="157">
        <f>IF($B1373="","",IF(ISNA(MATCH($B1373,MASTER_JAM!$Q$5:$Q$28,0)),"?",IF(MATCH($B1373,MASTER_JAM!$Q$5:$Q$28,0)&lt;=12,"DS","NS")))</f>
        <v/>
      </c>
      <c r="I1373" s="157">
        <f>IFERROR(INDEX(MASTER_JAM!$B$5:$B$94,MATCH($C1373,MASTER_JAM!$A$5:$A$94,0)),"")</f>
        <v/>
      </c>
      <c r="J1373" s="157">
        <f>IFERROR(INDEX(MASTER_JAM!$E$5:$E$94,MATCH($D1373,MASTER_JAM!$A$5:$A$94,0)),"")</f>
        <v/>
      </c>
      <c r="K1373" s="158">
        <f>IFERROR(INDEX(MASTER_JAM!$J$5:$O$12,MATCH($E1373,MASTER_JAM!$I$5:$I$12,0),MATCH($J1373,MASTER_JAM!$J$4:$O$4,0))+0,0)</f>
        <v/>
      </c>
      <c r="L1373" s="159">
        <f>N($F1373)*$K1373</f>
        <v/>
      </c>
      <c r="M1373" s="157">
        <f>IF($E1373="","",IF(OR($E1373="Coal",$E1373="Dirty Coal"),"MT","BCM"))</f>
        <v/>
      </c>
      <c r="N1373" s="157">
        <f>IF($E1373="","",IF(OR($E1373="Coal",$E1373="Dirty Coal"),"Coal","OB"))</f>
        <v/>
      </c>
      <c r="O1373" s="157">
        <f>IF($F1373="","",IF(COUNTIF(MASTER_JAM!$A$5:$A$94,$C1373)=0,"Digger tidak dikenal",IF($J1373="","Hauler tidak dikenal",IF($H1373="?","Jam salah",IF($K1373=0,"Faktor kosong",IF(SUMIFS(INPUT_DELAY!$E$5:$E$20000,INPUT_DELAY!$A$5:$A$20000,$A1373,INPUT_DELAY!$B$5:$B$20000,$B1373,INPUT_DELAY!$C$5:$C$20000,$C1373)+SUMIFS(INPUT_DELAY!$E$5:$E$20000,INPUT_DELAY!$A$5:$A$20000,$A1373,INPUT_DELAY!$B$5:$B$20000,$B1373,INPUT_DELAY!$C$5:$C$20000,"SEMUA")&gt;=60,"Delay 60 mnt tapi ada ritase","OK"))))))</f>
        <v/>
      </c>
      <c r="P1373" s="158">
        <f>IFERROR(INDEX(MASTER_JAM!$Z$5:$AC$10,MATCH($I1373,MASTER_JAM!$Y$5:$Y$10,0),MATCH($J1373,MASTER_JAM!$Z$4:$AC$4,0))+0,0)</f>
        <v/>
      </c>
      <c r="Q1373" s="158">
        <f>IF($P1373=0,0,$P1373+IFERROR(INDEX(MASTER_JAM!$H$5:$H$94,MATCH($C1373,MASTER_JAM!$A$5:$A$94,0))+0,MASTER_JAM!$AC$15)/1000*(60/MASTER_JAM!$AC$12+60/MASTER_JAM!$AC$13)+MASTER_JAM!$AC$14)</f>
        <v/>
      </c>
      <c r="R1373" s="158">
        <f>IF(N($F1373)=0,0,$F1373/SUMIFS(INPUT_RITASE!$F$5:$F$20000,INPUT_RITASE!$A$5:$A$20000,$A1373,INPUT_RITASE!$B$5:$B$20000,$B1373,INPUT_RITASE!$C$5:$C$20000,$C1373,INPUT_RITASE!$D$5:$D$20000,$D1373))</f>
        <v/>
      </c>
      <c r="S1373" s="158">
        <f>IF($Q1373=0,0,$R1373*$P1373/$Q1373)</f>
        <v/>
      </c>
    </row>
    <row r="1374">
      <c r="A1374" s="155" t="n">
        <v>46108</v>
      </c>
      <c r="B1374" s="156" t="inlineStr">
        <is>
          <t>23-24</t>
        </is>
      </c>
      <c r="C1374" s="156" t="inlineStr">
        <is>
          <t>EX-754</t>
        </is>
      </c>
      <c r="D1374" s="156" t="inlineStr">
        <is>
          <t>DT-506</t>
        </is>
      </c>
      <c r="E1374" s="156" t="inlineStr">
        <is>
          <t>Coal</t>
        </is>
      </c>
      <c r="F1374" s="156" t="n">
        <v>3</v>
      </c>
      <c r="G1374" s="156" t="inlineStr"/>
      <c r="H1374" s="157">
        <f>IF($B1374="","",IF(ISNA(MATCH($B1374,MASTER_JAM!$Q$5:$Q$28,0)),"?",IF(MATCH($B1374,MASTER_JAM!$Q$5:$Q$28,0)&lt;=12,"DS","NS")))</f>
        <v/>
      </c>
      <c r="I1374" s="157">
        <f>IFERROR(INDEX(MASTER_JAM!$B$5:$B$94,MATCH($C1374,MASTER_JAM!$A$5:$A$94,0)),"")</f>
        <v/>
      </c>
      <c r="J1374" s="157">
        <f>IFERROR(INDEX(MASTER_JAM!$E$5:$E$94,MATCH($D1374,MASTER_JAM!$A$5:$A$94,0)),"")</f>
        <v/>
      </c>
      <c r="K1374" s="158">
        <f>IFERROR(INDEX(MASTER_JAM!$J$5:$O$12,MATCH($E1374,MASTER_JAM!$I$5:$I$12,0),MATCH($J1374,MASTER_JAM!$J$4:$O$4,0))+0,0)</f>
        <v/>
      </c>
      <c r="L1374" s="159">
        <f>N($F1374)*$K1374</f>
        <v/>
      </c>
      <c r="M1374" s="157">
        <f>IF($E1374="","",IF(OR($E1374="Coal",$E1374="Dirty Coal"),"MT","BCM"))</f>
        <v/>
      </c>
      <c r="N1374" s="157">
        <f>IF($E1374="","",IF(OR($E1374="Coal",$E1374="Dirty Coal"),"Coal","OB"))</f>
        <v/>
      </c>
      <c r="O1374" s="157">
        <f>IF($F1374="","",IF(COUNTIF(MASTER_JAM!$A$5:$A$94,$C1374)=0,"Digger tidak dikenal",IF($J1374="","Hauler tidak dikenal",IF($H1374="?","Jam salah",IF($K1374=0,"Faktor kosong",IF(SUMIFS(INPUT_DELAY!$E$5:$E$20000,INPUT_DELAY!$A$5:$A$20000,$A1374,INPUT_DELAY!$B$5:$B$20000,$B1374,INPUT_DELAY!$C$5:$C$20000,$C1374)+SUMIFS(INPUT_DELAY!$E$5:$E$20000,INPUT_DELAY!$A$5:$A$20000,$A1374,INPUT_DELAY!$B$5:$B$20000,$B1374,INPUT_DELAY!$C$5:$C$20000,"SEMUA")&gt;=60,"Delay 60 mnt tapi ada ritase","OK"))))))</f>
        <v/>
      </c>
      <c r="P1374" s="158">
        <f>IFERROR(INDEX(MASTER_JAM!$Z$5:$AC$10,MATCH($I1374,MASTER_JAM!$Y$5:$Y$10,0),MATCH($J1374,MASTER_JAM!$Z$4:$AC$4,0))+0,0)</f>
        <v/>
      </c>
      <c r="Q1374" s="158">
        <f>IF($P1374=0,0,$P1374+IFERROR(INDEX(MASTER_JAM!$H$5:$H$94,MATCH($C1374,MASTER_JAM!$A$5:$A$94,0))+0,MASTER_JAM!$AC$15)/1000*(60/MASTER_JAM!$AC$12+60/MASTER_JAM!$AC$13)+MASTER_JAM!$AC$14)</f>
        <v/>
      </c>
      <c r="R1374" s="158">
        <f>IF(N($F1374)=0,0,$F1374/SUMIFS(INPUT_RITASE!$F$5:$F$20000,INPUT_RITASE!$A$5:$A$20000,$A1374,INPUT_RITASE!$B$5:$B$20000,$B1374,INPUT_RITASE!$C$5:$C$20000,$C1374,INPUT_RITASE!$D$5:$D$20000,$D1374))</f>
        <v/>
      </c>
      <c r="S1374" s="158">
        <f>IF($Q1374=0,0,$R1374*$P1374/$Q1374)</f>
        <v/>
      </c>
    </row>
    <row r="1375">
      <c r="A1375" s="155" t="n">
        <v>46108</v>
      </c>
      <c r="B1375" s="156" t="inlineStr">
        <is>
          <t>23-24</t>
        </is>
      </c>
      <c r="C1375" s="156" t="inlineStr">
        <is>
          <t>EX-754</t>
        </is>
      </c>
      <c r="D1375" s="156" t="inlineStr">
        <is>
          <t>DT-528</t>
        </is>
      </c>
      <c r="E1375" s="156" t="inlineStr">
        <is>
          <t>Coal</t>
        </is>
      </c>
      <c r="F1375" s="156" t="n">
        <v>3</v>
      </c>
      <c r="G1375" s="156" t="inlineStr"/>
      <c r="H1375" s="157">
        <f>IF($B1375="","",IF(ISNA(MATCH($B1375,MASTER_JAM!$Q$5:$Q$28,0)),"?",IF(MATCH($B1375,MASTER_JAM!$Q$5:$Q$28,0)&lt;=12,"DS","NS")))</f>
        <v/>
      </c>
      <c r="I1375" s="157">
        <f>IFERROR(INDEX(MASTER_JAM!$B$5:$B$94,MATCH($C1375,MASTER_JAM!$A$5:$A$94,0)),"")</f>
        <v/>
      </c>
      <c r="J1375" s="157">
        <f>IFERROR(INDEX(MASTER_JAM!$E$5:$E$94,MATCH($D1375,MASTER_JAM!$A$5:$A$94,0)),"")</f>
        <v/>
      </c>
      <c r="K1375" s="158">
        <f>IFERROR(INDEX(MASTER_JAM!$J$5:$O$12,MATCH($E1375,MASTER_JAM!$I$5:$I$12,0),MATCH($J1375,MASTER_JAM!$J$4:$O$4,0))+0,0)</f>
        <v/>
      </c>
      <c r="L1375" s="159">
        <f>N($F1375)*$K1375</f>
        <v/>
      </c>
      <c r="M1375" s="157">
        <f>IF($E1375="","",IF(OR($E1375="Coal",$E1375="Dirty Coal"),"MT","BCM"))</f>
        <v/>
      </c>
      <c r="N1375" s="157">
        <f>IF($E1375="","",IF(OR($E1375="Coal",$E1375="Dirty Coal"),"Coal","OB"))</f>
        <v/>
      </c>
      <c r="O1375" s="157">
        <f>IF($F1375="","",IF(COUNTIF(MASTER_JAM!$A$5:$A$94,$C1375)=0,"Digger tidak dikenal",IF($J1375="","Hauler tidak dikenal",IF($H1375="?","Jam salah",IF($K1375=0,"Faktor kosong",IF(SUMIFS(INPUT_DELAY!$E$5:$E$20000,INPUT_DELAY!$A$5:$A$20000,$A1375,INPUT_DELAY!$B$5:$B$20000,$B1375,INPUT_DELAY!$C$5:$C$20000,$C1375)+SUMIFS(INPUT_DELAY!$E$5:$E$20000,INPUT_DELAY!$A$5:$A$20000,$A1375,INPUT_DELAY!$B$5:$B$20000,$B1375,INPUT_DELAY!$C$5:$C$20000,"SEMUA")&gt;=60,"Delay 60 mnt tapi ada ritase","OK"))))))</f>
        <v/>
      </c>
      <c r="P1375" s="158">
        <f>IFERROR(INDEX(MASTER_JAM!$Z$5:$AC$10,MATCH($I1375,MASTER_JAM!$Y$5:$Y$10,0),MATCH($J1375,MASTER_JAM!$Z$4:$AC$4,0))+0,0)</f>
        <v/>
      </c>
      <c r="Q1375" s="158">
        <f>IF($P1375=0,0,$P1375+IFERROR(INDEX(MASTER_JAM!$H$5:$H$94,MATCH($C1375,MASTER_JAM!$A$5:$A$94,0))+0,MASTER_JAM!$AC$15)/1000*(60/MASTER_JAM!$AC$12+60/MASTER_JAM!$AC$13)+MASTER_JAM!$AC$14)</f>
        <v/>
      </c>
      <c r="R1375" s="158">
        <f>IF(N($F1375)=0,0,$F1375/SUMIFS(INPUT_RITASE!$F$5:$F$20000,INPUT_RITASE!$A$5:$A$20000,$A1375,INPUT_RITASE!$B$5:$B$20000,$B1375,INPUT_RITASE!$C$5:$C$20000,$C1375,INPUT_RITASE!$D$5:$D$20000,$D1375))</f>
        <v/>
      </c>
      <c r="S1375" s="158">
        <f>IF($Q1375=0,0,$R1375*$P1375/$Q1375)</f>
        <v/>
      </c>
    </row>
    <row r="1376">
      <c r="A1376" s="155" t="n">
        <v>46108</v>
      </c>
      <c r="B1376" s="156" t="inlineStr">
        <is>
          <t>01-02</t>
        </is>
      </c>
      <c r="C1376" s="156" t="inlineStr">
        <is>
          <t>EX-754</t>
        </is>
      </c>
      <c r="D1376" s="156" t="inlineStr">
        <is>
          <t>DT-526</t>
        </is>
      </c>
      <c r="E1376" s="156" t="inlineStr">
        <is>
          <t>Coal</t>
        </is>
      </c>
      <c r="F1376" s="156" t="n">
        <v>4</v>
      </c>
      <c r="G1376" s="156" t="inlineStr"/>
      <c r="H1376" s="157">
        <f>IF($B1376="","",IF(ISNA(MATCH($B1376,MASTER_JAM!$Q$5:$Q$28,0)),"?",IF(MATCH($B1376,MASTER_JAM!$Q$5:$Q$28,0)&lt;=12,"DS","NS")))</f>
        <v/>
      </c>
      <c r="I1376" s="157">
        <f>IFERROR(INDEX(MASTER_JAM!$B$5:$B$94,MATCH($C1376,MASTER_JAM!$A$5:$A$94,0)),"")</f>
        <v/>
      </c>
      <c r="J1376" s="157">
        <f>IFERROR(INDEX(MASTER_JAM!$E$5:$E$94,MATCH($D1376,MASTER_JAM!$A$5:$A$94,0)),"")</f>
        <v/>
      </c>
      <c r="K1376" s="158">
        <f>IFERROR(INDEX(MASTER_JAM!$J$5:$O$12,MATCH($E1376,MASTER_JAM!$I$5:$I$12,0),MATCH($J1376,MASTER_JAM!$J$4:$O$4,0))+0,0)</f>
        <v/>
      </c>
      <c r="L1376" s="159">
        <f>N($F1376)*$K1376</f>
        <v/>
      </c>
      <c r="M1376" s="157">
        <f>IF($E1376="","",IF(OR($E1376="Coal",$E1376="Dirty Coal"),"MT","BCM"))</f>
        <v/>
      </c>
      <c r="N1376" s="157">
        <f>IF($E1376="","",IF(OR($E1376="Coal",$E1376="Dirty Coal"),"Coal","OB"))</f>
        <v/>
      </c>
      <c r="O1376" s="157">
        <f>IF($F1376="","",IF(COUNTIF(MASTER_JAM!$A$5:$A$94,$C1376)=0,"Digger tidak dikenal",IF($J1376="","Hauler tidak dikenal",IF($H1376="?","Jam salah",IF($K1376=0,"Faktor kosong",IF(SUMIFS(INPUT_DELAY!$E$5:$E$20000,INPUT_DELAY!$A$5:$A$20000,$A1376,INPUT_DELAY!$B$5:$B$20000,$B1376,INPUT_DELAY!$C$5:$C$20000,$C1376)+SUMIFS(INPUT_DELAY!$E$5:$E$20000,INPUT_DELAY!$A$5:$A$20000,$A1376,INPUT_DELAY!$B$5:$B$20000,$B1376,INPUT_DELAY!$C$5:$C$20000,"SEMUA")&gt;=60,"Delay 60 mnt tapi ada ritase","OK"))))))</f>
        <v/>
      </c>
      <c r="P1376" s="158">
        <f>IFERROR(INDEX(MASTER_JAM!$Z$5:$AC$10,MATCH($I1376,MASTER_JAM!$Y$5:$Y$10,0),MATCH($J1376,MASTER_JAM!$Z$4:$AC$4,0))+0,0)</f>
        <v/>
      </c>
      <c r="Q1376" s="158">
        <f>IF($P1376=0,0,$P1376+IFERROR(INDEX(MASTER_JAM!$H$5:$H$94,MATCH($C1376,MASTER_JAM!$A$5:$A$94,0))+0,MASTER_JAM!$AC$15)/1000*(60/MASTER_JAM!$AC$12+60/MASTER_JAM!$AC$13)+MASTER_JAM!$AC$14)</f>
        <v/>
      </c>
      <c r="R1376" s="158">
        <f>IF(N($F1376)=0,0,$F1376/SUMIFS(INPUT_RITASE!$F$5:$F$20000,INPUT_RITASE!$A$5:$A$20000,$A1376,INPUT_RITASE!$B$5:$B$20000,$B1376,INPUT_RITASE!$C$5:$C$20000,$C1376,INPUT_RITASE!$D$5:$D$20000,$D1376))</f>
        <v/>
      </c>
      <c r="S1376" s="158">
        <f>IF($Q1376=0,0,$R1376*$P1376/$Q1376)</f>
        <v/>
      </c>
    </row>
    <row r="1377">
      <c r="A1377" s="155" t="n">
        <v>46108</v>
      </c>
      <c r="B1377" s="156" t="inlineStr">
        <is>
          <t>01-02</t>
        </is>
      </c>
      <c r="C1377" s="156" t="inlineStr">
        <is>
          <t>EX-754</t>
        </is>
      </c>
      <c r="D1377" s="156" t="inlineStr">
        <is>
          <t>DT-520</t>
        </is>
      </c>
      <c r="E1377" s="156" t="inlineStr">
        <is>
          <t>Coal</t>
        </is>
      </c>
      <c r="F1377" s="156" t="n">
        <v>4</v>
      </c>
      <c r="G1377" s="156" t="inlineStr"/>
      <c r="H1377" s="157">
        <f>IF($B1377="","",IF(ISNA(MATCH($B1377,MASTER_JAM!$Q$5:$Q$28,0)),"?",IF(MATCH($B1377,MASTER_JAM!$Q$5:$Q$28,0)&lt;=12,"DS","NS")))</f>
        <v/>
      </c>
      <c r="I1377" s="157">
        <f>IFERROR(INDEX(MASTER_JAM!$B$5:$B$94,MATCH($C1377,MASTER_JAM!$A$5:$A$94,0)),"")</f>
        <v/>
      </c>
      <c r="J1377" s="157">
        <f>IFERROR(INDEX(MASTER_JAM!$E$5:$E$94,MATCH($D1377,MASTER_JAM!$A$5:$A$94,0)),"")</f>
        <v/>
      </c>
      <c r="K1377" s="158">
        <f>IFERROR(INDEX(MASTER_JAM!$J$5:$O$12,MATCH($E1377,MASTER_JAM!$I$5:$I$12,0),MATCH($J1377,MASTER_JAM!$J$4:$O$4,0))+0,0)</f>
        <v/>
      </c>
      <c r="L1377" s="159">
        <f>N($F1377)*$K1377</f>
        <v/>
      </c>
      <c r="M1377" s="157">
        <f>IF($E1377="","",IF(OR($E1377="Coal",$E1377="Dirty Coal"),"MT","BCM"))</f>
        <v/>
      </c>
      <c r="N1377" s="157">
        <f>IF($E1377="","",IF(OR($E1377="Coal",$E1377="Dirty Coal"),"Coal","OB"))</f>
        <v/>
      </c>
      <c r="O1377" s="157">
        <f>IF($F1377="","",IF(COUNTIF(MASTER_JAM!$A$5:$A$94,$C1377)=0,"Digger tidak dikenal",IF($J1377="","Hauler tidak dikenal",IF($H1377="?","Jam salah",IF($K1377=0,"Faktor kosong",IF(SUMIFS(INPUT_DELAY!$E$5:$E$20000,INPUT_DELAY!$A$5:$A$20000,$A1377,INPUT_DELAY!$B$5:$B$20000,$B1377,INPUT_DELAY!$C$5:$C$20000,$C1377)+SUMIFS(INPUT_DELAY!$E$5:$E$20000,INPUT_DELAY!$A$5:$A$20000,$A1377,INPUT_DELAY!$B$5:$B$20000,$B1377,INPUT_DELAY!$C$5:$C$20000,"SEMUA")&gt;=60,"Delay 60 mnt tapi ada ritase","OK"))))))</f>
        <v/>
      </c>
      <c r="P1377" s="158">
        <f>IFERROR(INDEX(MASTER_JAM!$Z$5:$AC$10,MATCH($I1377,MASTER_JAM!$Y$5:$Y$10,0),MATCH($J1377,MASTER_JAM!$Z$4:$AC$4,0))+0,0)</f>
        <v/>
      </c>
      <c r="Q1377" s="158">
        <f>IF($P1377=0,0,$P1377+IFERROR(INDEX(MASTER_JAM!$H$5:$H$94,MATCH($C1377,MASTER_JAM!$A$5:$A$94,0))+0,MASTER_JAM!$AC$15)/1000*(60/MASTER_JAM!$AC$12+60/MASTER_JAM!$AC$13)+MASTER_JAM!$AC$14)</f>
        <v/>
      </c>
      <c r="R1377" s="158">
        <f>IF(N($F1377)=0,0,$F1377/SUMIFS(INPUT_RITASE!$F$5:$F$20000,INPUT_RITASE!$A$5:$A$20000,$A1377,INPUT_RITASE!$B$5:$B$20000,$B1377,INPUT_RITASE!$C$5:$C$20000,$C1377,INPUT_RITASE!$D$5:$D$20000,$D1377))</f>
        <v/>
      </c>
      <c r="S1377" s="158">
        <f>IF($Q1377=0,0,$R1377*$P1377/$Q1377)</f>
        <v/>
      </c>
    </row>
    <row r="1378">
      <c r="A1378" s="155" t="n">
        <v>46108</v>
      </c>
      <c r="B1378" s="156" t="inlineStr">
        <is>
          <t>01-02</t>
        </is>
      </c>
      <c r="C1378" s="156" t="inlineStr">
        <is>
          <t>EX-754</t>
        </is>
      </c>
      <c r="D1378" s="156" t="inlineStr">
        <is>
          <t>DT-502</t>
        </is>
      </c>
      <c r="E1378" s="156" t="inlineStr">
        <is>
          <t>Coal</t>
        </is>
      </c>
      <c r="F1378" s="156" t="n">
        <v>3</v>
      </c>
      <c r="G1378" s="156" t="inlineStr"/>
      <c r="H1378" s="157">
        <f>IF($B1378="","",IF(ISNA(MATCH($B1378,MASTER_JAM!$Q$5:$Q$28,0)),"?",IF(MATCH($B1378,MASTER_JAM!$Q$5:$Q$28,0)&lt;=12,"DS","NS")))</f>
        <v/>
      </c>
      <c r="I1378" s="157">
        <f>IFERROR(INDEX(MASTER_JAM!$B$5:$B$94,MATCH($C1378,MASTER_JAM!$A$5:$A$94,0)),"")</f>
        <v/>
      </c>
      <c r="J1378" s="157">
        <f>IFERROR(INDEX(MASTER_JAM!$E$5:$E$94,MATCH($D1378,MASTER_JAM!$A$5:$A$94,0)),"")</f>
        <v/>
      </c>
      <c r="K1378" s="158">
        <f>IFERROR(INDEX(MASTER_JAM!$J$5:$O$12,MATCH($E1378,MASTER_JAM!$I$5:$I$12,0),MATCH($J1378,MASTER_JAM!$J$4:$O$4,0))+0,0)</f>
        <v/>
      </c>
      <c r="L1378" s="159">
        <f>N($F1378)*$K1378</f>
        <v/>
      </c>
      <c r="M1378" s="157">
        <f>IF($E1378="","",IF(OR($E1378="Coal",$E1378="Dirty Coal"),"MT","BCM"))</f>
        <v/>
      </c>
      <c r="N1378" s="157">
        <f>IF($E1378="","",IF(OR($E1378="Coal",$E1378="Dirty Coal"),"Coal","OB"))</f>
        <v/>
      </c>
      <c r="O1378" s="157">
        <f>IF($F1378="","",IF(COUNTIF(MASTER_JAM!$A$5:$A$94,$C1378)=0,"Digger tidak dikenal",IF($J1378="","Hauler tidak dikenal",IF($H1378="?","Jam salah",IF($K1378=0,"Faktor kosong",IF(SUMIFS(INPUT_DELAY!$E$5:$E$20000,INPUT_DELAY!$A$5:$A$20000,$A1378,INPUT_DELAY!$B$5:$B$20000,$B1378,INPUT_DELAY!$C$5:$C$20000,$C1378)+SUMIFS(INPUT_DELAY!$E$5:$E$20000,INPUT_DELAY!$A$5:$A$20000,$A1378,INPUT_DELAY!$B$5:$B$20000,$B1378,INPUT_DELAY!$C$5:$C$20000,"SEMUA")&gt;=60,"Delay 60 mnt tapi ada ritase","OK"))))))</f>
        <v/>
      </c>
      <c r="P1378" s="158">
        <f>IFERROR(INDEX(MASTER_JAM!$Z$5:$AC$10,MATCH($I1378,MASTER_JAM!$Y$5:$Y$10,0),MATCH($J1378,MASTER_JAM!$Z$4:$AC$4,0))+0,0)</f>
        <v/>
      </c>
      <c r="Q1378" s="158">
        <f>IF($P1378=0,0,$P1378+IFERROR(INDEX(MASTER_JAM!$H$5:$H$94,MATCH($C1378,MASTER_JAM!$A$5:$A$94,0))+0,MASTER_JAM!$AC$15)/1000*(60/MASTER_JAM!$AC$12+60/MASTER_JAM!$AC$13)+MASTER_JAM!$AC$14)</f>
        <v/>
      </c>
      <c r="R1378" s="158">
        <f>IF(N($F1378)=0,0,$F1378/SUMIFS(INPUT_RITASE!$F$5:$F$20000,INPUT_RITASE!$A$5:$A$20000,$A1378,INPUT_RITASE!$B$5:$B$20000,$B1378,INPUT_RITASE!$C$5:$C$20000,$C1378,INPUT_RITASE!$D$5:$D$20000,$D1378))</f>
        <v/>
      </c>
      <c r="S1378" s="158">
        <f>IF($Q1378=0,0,$R1378*$P1378/$Q1378)</f>
        <v/>
      </c>
    </row>
    <row r="1379">
      <c r="A1379" s="155" t="n">
        <v>46108</v>
      </c>
      <c r="B1379" s="156" t="inlineStr">
        <is>
          <t>02-03</t>
        </is>
      </c>
      <c r="C1379" s="156" t="inlineStr">
        <is>
          <t>EX-754</t>
        </is>
      </c>
      <c r="D1379" s="156" t="inlineStr">
        <is>
          <t>DT-506</t>
        </is>
      </c>
      <c r="E1379" s="156" t="inlineStr">
        <is>
          <t>Coal</t>
        </is>
      </c>
      <c r="F1379" s="156" t="n">
        <v>4</v>
      </c>
      <c r="G1379" s="156" t="inlineStr"/>
      <c r="H1379" s="157">
        <f>IF($B1379="","",IF(ISNA(MATCH($B1379,MASTER_JAM!$Q$5:$Q$28,0)),"?",IF(MATCH($B1379,MASTER_JAM!$Q$5:$Q$28,0)&lt;=12,"DS","NS")))</f>
        <v/>
      </c>
      <c r="I1379" s="157">
        <f>IFERROR(INDEX(MASTER_JAM!$B$5:$B$94,MATCH($C1379,MASTER_JAM!$A$5:$A$94,0)),"")</f>
        <v/>
      </c>
      <c r="J1379" s="157">
        <f>IFERROR(INDEX(MASTER_JAM!$E$5:$E$94,MATCH($D1379,MASTER_JAM!$A$5:$A$94,0)),"")</f>
        <v/>
      </c>
      <c r="K1379" s="158">
        <f>IFERROR(INDEX(MASTER_JAM!$J$5:$O$12,MATCH($E1379,MASTER_JAM!$I$5:$I$12,0),MATCH($J1379,MASTER_JAM!$J$4:$O$4,0))+0,0)</f>
        <v/>
      </c>
      <c r="L1379" s="159">
        <f>N($F1379)*$K1379</f>
        <v/>
      </c>
      <c r="M1379" s="157">
        <f>IF($E1379="","",IF(OR($E1379="Coal",$E1379="Dirty Coal"),"MT","BCM"))</f>
        <v/>
      </c>
      <c r="N1379" s="157">
        <f>IF($E1379="","",IF(OR($E1379="Coal",$E1379="Dirty Coal"),"Coal","OB"))</f>
        <v/>
      </c>
      <c r="O1379" s="157">
        <f>IF($F1379="","",IF(COUNTIF(MASTER_JAM!$A$5:$A$94,$C1379)=0,"Digger tidak dikenal",IF($J1379="","Hauler tidak dikenal",IF($H1379="?","Jam salah",IF($K1379=0,"Faktor kosong",IF(SUMIFS(INPUT_DELAY!$E$5:$E$20000,INPUT_DELAY!$A$5:$A$20000,$A1379,INPUT_DELAY!$B$5:$B$20000,$B1379,INPUT_DELAY!$C$5:$C$20000,$C1379)+SUMIFS(INPUT_DELAY!$E$5:$E$20000,INPUT_DELAY!$A$5:$A$20000,$A1379,INPUT_DELAY!$B$5:$B$20000,$B1379,INPUT_DELAY!$C$5:$C$20000,"SEMUA")&gt;=60,"Delay 60 mnt tapi ada ritase","OK"))))))</f>
        <v/>
      </c>
      <c r="P1379" s="158">
        <f>IFERROR(INDEX(MASTER_JAM!$Z$5:$AC$10,MATCH($I1379,MASTER_JAM!$Y$5:$Y$10,0),MATCH($J1379,MASTER_JAM!$Z$4:$AC$4,0))+0,0)</f>
        <v/>
      </c>
      <c r="Q1379" s="158">
        <f>IF($P1379=0,0,$P1379+IFERROR(INDEX(MASTER_JAM!$H$5:$H$94,MATCH($C1379,MASTER_JAM!$A$5:$A$94,0))+0,MASTER_JAM!$AC$15)/1000*(60/MASTER_JAM!$AC$12+60/MASTER_JAM!$AC$13)+MASTER_JAM!$AC$14)</f>
        <v/>
      </c>
      <c r="R1379" s="158">
        <f>IF(N($F1379)=0,0,$F1379/SUMIFS(INPUT_RITASE!$F$5:$F$20000,INPUT_RITASE!$A$5:$A$20000,$A1379,INPUT_RITASE!$B$5:$B$20000,$B1379,INPUT_RITASE!$C$5:$C$20000,$C1379,INPUT_RITASE!$D$5:$D$20000,$D1379))</f>
        <v/>
      </c>
      <c r="S1379" s="158">
        <f>IF($Q1379=0,0,$R1379*$P1379/$Q1379)</f>
        <v/>
      </c>
    </row>
    <row r="1380">
      <c r="A1380" s="155" t="n">
        <v>46108</v>
      </c>
      <c r="B1380" s="156" t="inlineStr">
        <is>
          <t>02-03</t>
        </is>
      </c>
      <c r="C1380" s="156" t="inlineStr">
        <is>
          <t>EX-754</t>
        </is>
      </c>
      <c r="D1380" s="156" t="inlineStr">
        <is>
          <t>DT-517</t>
        </is>
      </c>
      <c r="E1380" s="156" t="inlineStr">
        <is>
          <t>Coal</t>
        </is>
      </c>
      <c r="F1380" s="156" t="n">
        <v>4</v>
      </c>
      <c r="G1380" s="156" t="inlineStr"/>
      <c r="H1380" s="157">
        <f>IF($B1380="","",IF(ISNA(MATCH($B1380,MASTER_JAM!$Q$5:$Q$28,0)),"?",IF(MATCH($B1380,MASTER_JAM!$Q$5:$Q$28,0)&lt;=12,"DS","NS")))</f>
        <v/>
      </c>
      <c r="I1380" s="157">
        <f>IFERROR(INDEX(MASTER_JAM!$B$5:$B$94,MATCH($C1380,MASTER_JAM!$A$5:$A$94,0)),"")</f>
        <v/>
      </c>
      <c r="J1380" s="157">
        <f>IFERROR(INDEX(MASTER_JAM!$E$5:$E$94,MATCH($D1380,MASTER_JAM!$A$5:$A$94,0)),"")</f>
        <v/>
      </c>
      <c r="K1380" s="158">
        <f>IFERROR(INDEX(MASTER_JAM!$J$5:$O$12,MATCH($E1380,MASTER_JAM!$I$5:$I$12,0),MATCH($J1380,MASTER_JAM!$J$4:$O$4,0))+0,0)</f>
        <v/>
      </c>
      <c r="L1380" s="159">
        <f>N($F1380)*$K1380</f>
        <v/>
      </c>
      <c r="M1380" s="157">
        <f>IF($E1380="","",IF(OR($E1380="Coal",$E1380="Dirty Coal"),"MT","BCM"))</f>
        <v/>
      </c>
      <c r="N1380" s="157">
        <f>IF($E1380="","",IF(OR($E1380="Coal",$E1380="Dirty Coal"),"Coal","OB"))</f>
        <v/>
      </c>
      <c r="O1380" s="157">
        <f>IF($F1380="","",IF(COUNTIF(MASTER_JAM!$A$5:$A$94,$C1380)=0,"Digger tidak dikenal",IF($J1380="","Hauler tidak dikenal",IF($H1380="?","Jam salah",IF($K1380=0,"Faktor kosong",IF(SUMIFS(INPUT_DELAY!$E$5:$E$20000,INPUT_DELAY!$A$5:$A$20000,$A1380,INPUT_DELAY!$B$5:$B$20000,$B1380,INPUT_DELAY!$C$5:$C$20000,$C1380)+SUMIFS(INPUT_DELAY!$E$5:$E$20000,INPUT_DELAY!$A$5:$A$20000,$A1380,INPUT_DELAY!$B$5:$B$20000,$B1380,INPUT_DELAY!$C$5:$C$20000,"SEMUA")&gt;=60,"Delay 60 mnt tapi ada ritase","OK"))))))</f>
        <v/>
      </c>
      <c r="P1380" s="158">
        <f>IFERROR(INDEX(MASTER_JAM!$Z$5:$AC$10,MATCH($I1380,MASTER_JAM!$Y$5:$Y$10,0),MATCH($J1380,MASTER_JAM!$Z$4:$AC$4,0))+0,0)</f>
        <v/>
      </c>
      <c r="Q1380" s="158">
        <f>IF($P1380=0,0,$P1380+IFERROR(INDEX(MASTER_JAM!$H$5:$H$94,MATCH($C1380,MASTER_JAM!$A$5:$A$94,0))+0,MASTER_JAM!$AC$15)/1000*(60/MASTER_JAM!$AC$12+60/MASTER_JAM!$AC$13)+MASTER_JAM!$AC$14)</f>
        <v/>
      </c>
      <c r="R1380" s="158">
        <f>IF(N($F1380)=0,0,$F1380/SUMIFS(INPUT_RITASE!$F$5:$F$20000,INPUT_RITASE!$A$5:$A$20000,$A1380,INPUT_RITASE!$B$5:$B$20000,$B1380,INPUT_RITASE!$C$5:$C$20000,$C1380,INPUT_RITASE!$D$5:$D$20000,$D1380))</f>
        <v/>
      </c>
      <c r="S1380" s="158">
        <f>IF($Q1380=0,0,$R1380*$P1380/$Q1380)</f>
        <v/>
      </c>
    </row>
    <row r="1381">
      <c r="A1381" s="155" t="n">
        <v>46108</v>
      </c>
      <c r="B1381" s="156" t="inlineStr">
        <is>
          <t>02-03</t>
        </is>
      </c>
      <c r="C1381" s="156" t="inlineStr">
        <is>
          <t>EX-754</t>
        </is>
      </c>
      <c r="D1381" s="156" t="inlineStr">
        <is>
          <t>DT-508</t>
        </is>
      </c>
      <c r="E1381" s="156" t="inlineStr">
        <is>
          <t>Coal</t>
        </is>
      </c>
      <c r="F1381" s="156" t="n">
        <v>4</v>
      </c>
      <c r="G1381" s="156" t="inlineStr"/>
      <c r="H1381" s="157">
        <f>IF($B1381="","",IF(ISNA(MATCH($B1381,MASTER_JAM!$Q$5:$Q$28,0)),"?",IF(MATCH($B1381,MASTER_JAM!$Q$5:$Q$28,0)&lt;=12,"DS","NS")))</f>
        <v/>
      </c>
      <c r="I1381" s="157">
        <f>IFERROR(INDEX(MASTER_JAM!$B$5:$B$94,MATCH($C1381,MASTER_JAM!$A$5:$A$94,0)),"")</f>
        <v/>
      </c>
      <c r="J1381" s="157">
        <f>IFERROR(INDEX(MASTER_JAM!$E$5:$E$94,MATCH($D1381,MASTER_JAM!$A$5:$A$94,0)),"")</f>
        <v/>
      </c>
      <c r="K1381" s="158">
        <f>IFERROR(INDEX(MASTER_JAM!$J$5:$O$12,MATCH($E1381,MASTER_JAM!$I$5:$I$12,0),MATCH($J1381,MASTER_JAM!$J$4:$O$4,0))+0,0)</f>
        <v/>
      </c>
      <c r="L1381" s="159">
        <f>N($F1381)*$K1381</f>
        <v/>
      </c>
      <c r="M1381" s="157">
        <f>IF($E1381="","",IF(OR($E1381="Coal",$E1381="Dirty Coal"),"MT","BCM"))</f>
        <v/>
      </c>
      <c r="N1381" s="157">
        <f>IF($E1381="","",IF(OR($E1381="Coal",$E1381="Dirty Coal"),"Coal","OB"))</f>
        <v/>
      </c>
      <c r="O1381" s="157">
        <f>IF($F1381="","",IF(COUNTIF(MASTER_JAM!$A$5:$A$94,$C1381)=0,"Digger tidak dikenal",IF($J1381="","Hauler tidak dikenal",IF($H1381="?","Jam salah",IF($K1381=0,"Faktor kosong",IF(SUMIFS(INPUT_DELAY!$E$5:$E$20000,INPUT_DELAY!$A$5:$A$20000,$A1381,INPUT_DELAY!$B$5:$B$20000,$B1381,INPUT_DELAY!$C$5:$C$20000,$C1381)+SUMIFS(INPUT_DELAY!$E$5:$E$20000,INPUT_DELAY!$A$5:$A$20000,$A1381,INPUT_DELAY!$B$5:$B$20000,$B1381,INPUT_DELAY!$C$5:$C$20000,"SEMUA")&gt;=60,"Delay 60 mnt tapi ada ritase","OK"))))))</f>
        <v/>
      </c>
      <c r="P1381" s="158">
        <f>IFERROR(INDEX(MASTER_JAM!$Z$5:$AC$10,MATCH($I1381,MASTER_JAM!$Y$5:$Y$10,0),MATCH($J1381,MASTER_JAM!$Z$4:$AC$4,0))+0,0)</f>
        <v/>
      </c>
      <c r="Q1381" s="158">
        <f>IF($P1381=0,0,$P1381+IFERROR(INDEX(MASTER_JAM!$H$5:$H$94,MATCH($C1381,MASTER_JAM!$A$5:$A$94,0))+0,MASTER_JAM!$AC$15)/1000*(60/MASTER_JAM!$AC$12+60/MASTER_JAM!$AC$13)+MASTER_JAM!$AC$14)</f>
        <v/>
      </c>
      <c r="R1381" s="158">
        <f>IF(N($F1381)=0,0,$F1381/SUMIFS(INPUT_RITASE!$F$5:$F$20000,INPUT_RITASE!$A$5:$A$20000,$A1381,INPUT_RITASE!$B$5:$B$20000,$B1381,INPUT_RITASE!$C$5:$C$20000,$C1381,INPUT_RITASE!$D$5:$D$20000,$D1381))</f>
        <v/>
      </c>
      <c r="S1381" s="158">
        <f>IF($Q1381=0,0,$R1381*$P1381/$Q1381)</f>
        <v/>
      </c>
    </row>
    <row r="1382">
      <c r="A1382" s="155" t="n">
        <v>46108</v>
      </c>
      <c r="B1382" s="156" t="inlineStr">
        <is>
          <t>18-19</t>
        </is>
      </c>
      <c r="C1382" s="156" t="inlineStr">
        <is>
          <t>EX-755</t>
        </is>
      </c>
      <c r="D1382" s="156" t="inlineStr">
        <is>
          <t>DT-506</t>
        </is>
      </c>
      <c r="E1382" s="156" t="inlineStr">
        <is>
          <t>OB</t>
        </is>
      </c>
      <c r="F1382" s="156" t="n">
        <v>4</v>
      </c>
      <c r="G1382" s="156" t="inlineStr"/>
      <c r="H1382" s="157">
        <f>IF($B1382="","",IF(ISNA(MATCH($B1382,MASTER_JAM!$Q$5:$Q$28,0)),"?",IF(MATCH($B1382,MASTER_JAM!$Q$5:$Q$28,0)&lt;=12,"DS","NS")))</f>
        <v/>
      </c>
      <c r="I1382" s="157">
        <f>IFERROR(INDEX(MASTER_JAM!$B$5:$B$94,MATCH($C1382,MASTER_JAM!$A$5:$A$94,0)),"")</f>
        <v/>
      </c>
      <c r="J1382" s="157">
        <f>IFERROR(INDEX(MASTER_JAM!$E$5:$E$94,MATCH($D1382,MASTER_JAM!$A$5:$A$94,0)),"")</f>
        <v/>
      </c>
      <c r="K1382" s="158">
        <f>IFERROR(INDEX(MASTER_JAM!$J$5:$O$12,MATCH($E1382,MASTER_JAM!$I$5:$I$12,0),MATCH($J1382,MASTER_JAM!$J$4:$O$4,0))+0,0)</f>
        <v/>
      </c>
      <c r="L1382" s="159">
        <f>N($F1382)*$K1382</f>
        <v/>
      </c>
      <c r="M1382" s="157">
        <f>IF($E1382="","",IF(OR($E1382="Coal",$E1382="Dirty Coal"),"MT","BCM"))</f>
        <v/>
      </c>
      <c r="N1382" s="157">
        <f>IF($E1382="","",IF(OR($E1382="Coal",$E1382="Dirty Coal"),"Coal","OB"))</f>
        <v/>
      </c>
      <c r="O1382" s="157">
        <f>IF($F1382="","",IF(COUNTIF(MASTER_JAM!$A$5:$A$94,$C1382)=0,"Digger tidak dikenal",IF($J1382="","Hauler tidak dikenal",IF($H1382="?","Jam salah",IF($K1382=0,"Faktor kosong",IF(SUMIFS(INPUT_DELAY!$E$5:$E$20000,INPUT_DELAY!$A$5:$A$20000,$A1382,INPUT_DELAY!$B$5:$B$20000,$B1382,INPUT_DELAY!$C$5:$C$20000,$C1382)+SUMIFS(INPUT_DELAY!$E$5:$E$20000,INPUT_DELAY!$A$5:$A$20000,$A1382,INPUT_DELAY!$B$5:$B$20000,$B1382,INPUT_DELAY!$C$5:$C$20000,"SEMUA")&gt;=60,"Delay 60 mnt tapi ada ritase","OK"))))))</f>
        <v/>
      </c>
      <c r="P1382" s="158">
        <f>IFERROR(INDEX(MASTER_JAM!$Z$5:$AC$10,MATCH($I1382,MASTER_JAM!$Y$5:$Y$10,0),MATCH($J1382,MASTER_JAM!$Z$4:$AC$4,0))+0,0)</f>
        <v/>
      </c>
      <c r="Q1382" s="158">
        <f>IF($P1382=0,0,$P1382+IFERROR(INDEX(MASTER_JAM!$H$5:$H$94,MATCH($C1382,MASTER_JAM!$A$5:$A$94,0))+0,MASTER_JAM!$AC$15)/1000*(60/MASTER_JAM!$AC$12+60/MASTER_JAM!$AC$13)+MASTER_JAM!$AC$14)</f>
        <v/>
      </c>
      <c r="R1382" s="158">
        <f>IF(N($F1382)=0,0,$F1382/SUMIFS(INPUT_RITASE!$F$5:$F$20000,INPUT_RITASE!$A$5:$A$20000,$A1382,INPUT_RITASE!$B$5:$B$20000,$B1382,INPUT_RITASE!$C$5:$C$20000,$C1382,INPUT_RITASE!$D$5:$D$20000,$D1382))</f>
        <v/>
      </c>
      <c r="S1382" s="158">
        <f>IF($Q1382=0,0,$R1382*$P1382/$Q1382)</f>
        <v/>
      </c>
    </row>
    <row r="1383">
      <c r="A1383" s="155" t="n">
        <v>46108</v>
      </c>
      <c r="B1383" s="156" t="inlineStr">
        <is>
          <t>18-19</t>
        </is>
      </c>
      <c r="C1383" s="156" t="inlineStr">
        <is>
          <t>EX-755</t>
        </is>
      </c>
      <c r="D1383" s="156" t="inlineStr">
        <is>
          <t>DT-501</t>
        </is>
      </c>
      <c r="E1383" s="156" t="inlineStr">
        <is>
          <t>OB</t>
        </is>
      </c>
      <c r="F1383" s="156" t="n">
        <v>4</v>
      </c>
      <c r="G1383" s="156" t="inlineStr"/>
      <c r="H1383" s="157">
        <f>IF($B1383="","",IF(ISNA(MATCH($B1383,MASTER_JAM!$Q$5:$Q$28,0)),"?",IF(MATCH($B1383,MASTER_JAM!$Q$5:$Q$28,0)&lt;=12,"DS","NS")))</f>
        <v/>
      </c>
      <c r="I1383" s="157">
        <f>IFERROR(INDEX(MASTER_JAM!$B$5:$B$94,MATCH($C1383,MASTER_JAM!$A$5:$A$94,0)),"")</f>
        <v/>
      </c>
      <c r="J1383" s="157">
        <f>IFERROR(INDEX(MASTER_JAM!$E$5:$E$94,MATCH($D1383,MASTER_JAM!$A$5:$A$94,0)),"")</f>
        <v/>
      </c>
      <c r="K1383" s="158">
        <f>IFERROR(INDEX(MASTER_JAM!$J$5:$O$12,MATCH($E1383,MASTER_JAM!$I$5:$I$12,0),MATCH($J1383,MASTER_JAM!$J$4:$O$4,0))+0,0)</f>
        <v/>
      </c>
      <c r="L1383" s="159">
        <f>N($F1383)*$K1383</f>
        <v/>
      </c>
      <c r="M1383" s="157">
        <f>IF($E1383="","",IF(OR($E1383="Coal",$E1383="Dirty Coal"),"MT","BCM"))</f>
        <v/>
      </c>
      <c r="N1383" s="157">
        <f>IF($E1383="","",IF(OR($E1383="Coal",$E1383="Dirty Coal"),"Coal","OB"))</f>
        <v/>
      </c>
      <c r="O1383" s="157">
        <f>IF($F1383="","",IF(COUNTIF(MASTER_JAM!$A$5:$A$94,$C1383)=0,"Digger tidak dikenal",IF($J1383="","Hauler tidak dikenal",IF($H1383="?","Jam salah",IF($K1383=0,"Faktor kosong",IF(SUMIFS(INPUT_DELAY!$E$5:$E$20000,INPUT_DELAY!$A$5:$A$20000,$A1383,INPUT_DELAY!$B$5:$B$20000,$B1383,INPUT_DELAY!$C$5:$C$20000,$C1383)+SUMIFS(INPUT_DELAY!$E$5:$E$20000,INPUT_DELAY!$A$5:$A$20000,$A1383,INPUT_DELAY!$B$5:$B$20000,$B1383,INPUT_DELAY!$C$5:$C$20000,"SEMUA")&gt;=60,"Delay 60 mnt tapi ada ritase","OK"))))))</f>
        <v/>
      </c>
      <c r="P1383" s="158">
        <f>IFERROR(INDEX(MASTER_JAM!$Z$5:$AC$10,MATCH($I1383,MASTER_JAM!$Y$5:$Y$10,0),MATCH($J1383,MASTER_JAM!$Z$4:$AC$4,0))+0,0)</f>
        <v/>
      </c>
      <c r="Q1383" s="158">
        <f>IF($P1383=0,0,$P1383+IFERROR(INDEX(MASTER_JAM!$H$5:$H$94,MATCH($C1383,MASTER_JAM!$A$5:$A$94,0))+0,MASTER_JAM!$AC$15)/1000*(60/MASTER_JAM!$AC$12+60/MASTER_JAM!$AC$13)+MASTER_JAM!$AC$14)</f>
        <v/>
      </c>
      <c r="R1383" s="158">
        <f>IF(N($F1383)=0,0,$F1383/SUMIFS(INPUT_RITASE!$F$5:$F$20000,INPUT_RITASE!$A$5:$A$20000,$A1383,INPUT_RITASE!$B$5:$B$20000,$B1383,INPUT_RITASE!$C$5:$C$20000,$C1383,INPUT_RITASE!$D$5:$D$20000,$D1383))</f>
        <v/>
      </c>
      <c r="S1383" s="158">
        <f>IF($Q1383=0,0,$R1383*$P1383/$Q1383)</f>
        <v/>
      </c>
    </row>
    <row r="1384">
      <c r="A1384" s="155" t="n">
        <v>46108</v>
      </c>
      <c r="B1384" s="156" t="inlineStr">
        <is>
          <t>18-19</t>
        </is>
      </c>
      <c r="C1384" s="156" t="inlineStr">
        <is>
          <t>EX-755</t>
        </is>
      </c>
      <c r="D1384" s="156" t="inlineStr">
        <is>
          <t>DT-528</t>
        </is>
      </c>
      <c r="E1384" s="156" t="inlineStr">
        <is>
          <t>OB</t>
        </is>
      </c>
      <c r="F1384" s="156" t="n">
        <v>3</v>
      </c>
      <c r="G1384" s="156" t="inlineStr"/>
      <c r="H1384" s="157">
        <f>IF($B1384="","",IF(ISNA(MATCH($B1384,MASTER_JAM!$Q$5:$Q$28,0)),"?",IF(MATCH($B1384,MASTER_JAM!$Q$5:$Q$28,0)&lt;=12,"DS","NS")))</f>
        <v/>
      </c>
      <c r="I1384" s="157">
        <f>IFERROR(INDEX(MASTER_JAM!$B$5:$B$94,MATCH($C1384,MASTER_JAM!$A$5:$A$94,0)),"")</f>
        <v/>
      </c>
      <c r="J1384" s="157">
        <f>IFERROR(INDEX(MASTER_JAM!$E$5:$E$94,MATCH($D1384,MASTER_JAM!$A$5:$A$94,0)),"")</f>
        <v/>
      </c>
      <c r="K1384" s="158">
        <f>IFERROR(INDEX(MASTER_JAM!$J$5:$O$12,MATCH($E1384,MASTER_JAM!$I$5:$I$12,0),MATCH($J1384,MASTER_JAM!$J$4:$O$4,0))+0,0)</f>
        <v/>
      </c>
      <c r="L1384" s="159">
        <f>N($F1384)*$K1384</f>
        <v/>
      </c>
      <c r="M1384" s="157">
        <f>IF($E1384="","",IF(OR($E1384="Coal",$E1384="Dirty Coal"),"MT","BCM"))</f>
        <v/>
      </c>
      <c r="N1384" s="157">
        <f>IF($E1384="","",IF(OR($E1384="Coal",$E1384="Dirty Coal"),"Coal","OB"))</f>
        <v/>
      </c>
      <c r="O1384" s="157">
        <f>IF($F1384="","",IF(COUNTIF(MASTER_JAM!$A$5:$A$94,$C1384)=0,"Digger tidak dikenal",IF($J1384="","Hauler tidak dikenal",IF($H1384="?","Jam salah",IF($K1384=0,"Faktor kosong",IF(SUMIFS(INPUT_DELAY!$E$5:$E$20000,INPUT_DELAY!$A$5:$A$20000,$A1384,INPUT_DELAY!$B$5:$B$20000,$B1384,INPUT_DELAY!$C$5:$C$20000,$C1384)+SUMIFS(INPUT_DELAY!$E$5:$E$20000,INPUT_DELAY!$A$5:$A$20000,$A1384,INPUT_DELAY!$B$5:$B$20000,$B1384,INPUT_DELAY!$C$5:$C$20000,"SEMUA")&gt;=60,"Delay 60 mnt tapi ada ritase","OK"))))))</f>
        <v/>
      </c>
      <c r="P1384" s="158">
        <f>IFERROR(INDEX(MASTER_JAM!$Z$5:$AC$10,MATCH($I1384,MASTER_JAM!$Y$5:$Y$10,0),MATCH($J1384,MASTER_JAM!$Z$4:$AC$4,0))+0,0)</f>
        <v/>
      </c>
      <c r="Q1384" s="158">
        <f>IF($P1384=0,0,$P1384+IFERROR(INDEX(MASTER_JAM!$H$5:$H$94,MATCH($C1384,MASTER_JAM!$A$5:$A$94,0))+0,MASTER_JAM!$AC$15)/1000*(60/MASTER_JAM!$AC$12+60/MASTER_JAM!$AC$13)+MASTER_JAM!$AC$14)</f>
        <v/>
      </c>
      <c r="R1384" s="158">
        <f>IF(N($F1384)=0,0,$F1384/SUMIFS(INPUT_RITASE!$F$5:$F$20000,INPUT_RITASE!$A$5:$A$20000,$A1384,INPUT_RITASE!$B$5:$B$20000,$B1384,INPUT_RITASE!$C$5:$C$20000,$C1384,INPUT_RITASE!$D$5:$D$20000,$D1384))</f>
        <v/>
      </c>
      <c r="S1384" s="158">
        <f>IF($Q1384=0,0,$R1384*$P1384/$Q1384)</f>
        <v/>
      </c>
    </row>
    <row r="1385">
      <c r="A1385" s="155" t="n">
        <v>46108</v>
      </c>
      <c r="B1385" s="156" t="inlineStr">
        <is>
          <t>18-19</t>
        </is>
      </c>
      <c r="C1385" s="156" t="inlineStr">
        <is>
          <t>EX-755</t>
        </is>
      </c>
      <c r="D1385" s="156" t="inlineStr">
        <is>
          <t>DT-518</t>
        </is>
      </c>
      <c r="E1385" s="156" t="inlineStr">
        <is>
          <t>OB</t>
        </is>
      </c>
      <c r="F1385" s="156" t="n">
        <v>3</v>
      </c>
      <c r="G1385" s="156" t="inlineStr"/>
      <c r="H1385" s="157">
        <f>IF($B1385="","",IF(ISNA(MATCH($B1385,MASTER_JAM!$Q$5:$Q$28,0)),"?",IF(MATCH($B1385,MASTER_JAM!$Q$5:$Q$28,0)&lt;=12,"DS","NS")))</f>
        <v/>
      </c>
      <c r="I1385" s="157">
        <f>IFERROR(INDEX(MASTER_JAM!$B$5:$B$94,MATCH($C1385,MASTER_JAM!$A$5:$A$94,0)),"")</f>
        <v/>
      </c>
      <c r="J1385" s="157">
        <f>IFERROR(INDEX(MASTER_JAM!$E$5:$E$94,MATCH($D1385,MASTER_JAM!$A$5:$A$94,0)),"")</f>
        <v/>
      </c>
      <c r="K1385" s="158">
        <f>IFERROR(INDEX(MASTER_JAM!$J$5:$O$12,MATCH($E1385,MASTER_JAM!$I$5:$I$12,0),MATCH($J1385,MASTER_JAM!$J$4:$O$4,0))+0,0)</f>
        <v/>
      </c>
      <c r="L1385" s="159">
        <f>N($F1385)*$K1385</f>
        <v/>
      </c>
      <c r="M1385" s="157">
        <f>IF($E1385="","",IF(OR($E1385="Coal",$E1385="Dirty Coal"),"MT","BCM"))</f>
        <v/>
      </c>
      <c r="N1385" s="157">
        <f>IF($E1385="","",IF(OR($E1385="Coal",$E1385="Dirty Coal"),"Coal","OB"))</f>
        <v/>
      </c>
      <c r="O1385" s="157">
        <f>IF($F1385="","",IF(COUNTIF(MASTER_JAM!$A$5:$A$94,$C1385)=0,"Digger tidak dikenal",IF($J1385="","Hauler tidak dikenal",IF($H1385="?","Jam salah",IF($K1385=0,"Faktor kosong",IF(SUMIFS(INPUT_DELAY!$E$5:$E$20000,INPUT_DELAY!$A$5:$A$20000,$A1385,INPUT_DELAY!$B$5:$B$20000,$B1385,INPUT_DELAY!$C$5:$C$20000,$C1385)+SUMIFS(INPUT_DELAY!$E$5:$E$20000,INPUT_DELAY!$A$5:$A$20000,$A1385,INPUT_DELAY!$B$5:$B$20000,$B1385,INPUT_DELAY!$C$5:$C$20000,"SEMUA")&gt;=60,"Delay 60 mnt tapi ada ritase","OK"))))))</f>
        <v/>
      </c>
      <c r="P1385" s="158">
        <f>IFERROR(INDEX(MASTER_JAM!$Z$5:$AC$10,MATCH($I1385,MASTER_JAM!$Y$5:$Y$10,0),MATCH($J1385,MASTER_JAM!$Z$4:$AC$4,0))+0,0)</f>
        <v/>
      </c>
      <c r="Q1385" s="158">
        <f>IF($P1385=0,0,$P1385+IFERROR(INDEX(MASTER_JAM!$H$5:$H$94,MATCH($C1385,MASTER_JAM!$A$5:$A$94,0))+0,MASTER_JAM!$AC$15)/1000*(60/MASTER_JAM!$AC$12+60/MASTER_JAM!$AC$13)+MASTER_JAM!$AC$14)</f>
        <v/>
      </c>
      <c r="R1385" s="158">
        <f>IF(N($F1385)=0,0,$F1385/SUMIFS(INPUT_RITASE!$F$5:$F$20000,INPUT_RITASE!$A$5:$A$20000,$A1385,INPUT_RITASE!$B$5:$B$20000,$B1385,INPUT_RITASE!$C$5:$C$20000,$C1385,INPUT_RITASE!$D$5:$D$20000,$D1385))</f>
        <v/>
      </c>
      <c r="S1385" s="158">
        <f>IF($Q1385=0,0,$R1385*$P1385/$Q1385)</f>
        <v/>
      </c>
    </row>
    <row r="1386">
      <c r="A1386" s="155" t="n">
        <v>46108</v>
      </c>
      <c r="B1386" s="156" t="inlineStr">
        <is>
          <t>19-20</t>
        </is>
      </c>
      <c r="C1386" s="156" t="inlineStr">
        <is>
          <t>EX-755</t>
        </is>
      </c>
      <c r="D1386" s="156" t="inlineStr">
        <is>
          <t>DT-516</t>
        </is>
      </c>
      <c r="E1386" s="156" t="inlineStr">
        <is>
          <t>OB</t>
        </is>
      </c>
      <c r="F1386" s="156" t="n">
        <v>4</v>
      </c>
      <c r="G1386" s="156" t="inlineStr"/>
      <c r="H1386" s="157">
        <f>IF($B1386="","",IF(ISNA(MATCH($B1386,MASTER_JAM!$Q$5:$Q$28,0)),"?",IF(MATCH($B1386,MASTER_JAM!$Q$5:$Q$28,0)&lt;=12,"DS","NS")))</f>
        <v/>
      </c>
      <c r="I1386" s="157">
        <f>IFERROR(INDEX(MASTER_JAM!$B$5:$B$94,MATCH($C1386,MASTER_JAM!$A$5:$A$94,0)),"")</f>
        <v/>
      </c>
      <c r="J1386" s="157">
        <f>IFERROR(INDEX(MASTER_JAM!$E$5:$E$94,MATCH($D1386,MASTER_JAM!$A$5:$A$94,0)),"")</f>
        <v/>
      </c>
      <c r="K1386" s="158">
        <f>IFERROR(INDEX(MASTER_JAM!$J$5:$O$12,MATCH($E1386,MASTER_JAM!$I$5:$I$12,0),MATCH($J1386,MASTER_JAM!$J$4:$O$4,0))+0,0)</f>
        <v/>
      </c>
      <c r="L1386" s="159">
        <f>N($F1386)*$K1386</f>
        <v/>
      </c>
      <c r="M1386" s="157">
        <f>IF($E1386="","",IF(OR($E1386="Coal",$E1386="Dirty Coal"),"MT","BCM"))</f>
        <v/>
      </c>
      <c r="N1386" s="157">
        <f>IF($E1386="","",IF(OR($E1386="Coal",$E1386="Dirty Coal"),"Coal","OB"))</f>
        <v/>
      </c>
      <c r="O1386" s="157">
        <f>IF($F1386="","",IF(COUNTIF(MASTER_JAM!$A$5:$A$94,$C1386)=0,"Digger tidak dikenal",IF($J1386="","Hauler tidak dikenal",IF($H1386="?","Jam salah",IF($K1386=0,"Faktor kosong",IF(SUMIFS(INPUT_DELAY!$E$5:$E$20000,INPUT_DELAY!$A$5:$A$20000,$A1386,INPUT_DELAY!$B$5:$B$20000,$B1386,INPUT_DELAY!$C$5:$C$20000,$C1386)+SUMIFS(INPUT_DELAY!$E$5:$E$20000,INPUT_DELAY!$A$5:$A$20000,$A1386,INPUT_DELAY!$B$5:$B$20000,$B1386,INPUT_DELAY!$C$5:$C$20000,"SEMUA")&gt;=60,"Delay 60 mnt tapi ada ritase","OK"))))))</f>
        <v/>
      </c>
      <c r="P1386" s="158">
        <f>IFERROR(INDEX(MASTER_JAM!$Z$5:$AC$10,MATCH($I1386,MASTER_JAM!$Y$5:$Y$10,0),MATCH($J1386,MASTER_JAM!$Z$4:$AC$4,0))+0,0)</f>
        <v/>
      </c>
      <c r="Q1386" s="158">
        <f>IF($P1386=0,0,$P1386+IFERROR(INDEX(MASTER_JAM!$H$5:$H$94,MATCH($C1386,MASTER_JAM!$A$5:$A$94,0))+0,MASTER_JAM!$AC$15)/1000*(60/MASTER_JAM!$AC$12+60/MASTER_JAM!$AC$13)+MASTER_JAM!$AC$14)</f>
        <v/>
      </c>
      <c r="R1386" s="158">
        <f>IF(N($F1386)=0,0,$F1386/SUMIFS(INPUT_RITASE!$F$5:$F$20000,INPUT_RITASE!$A$5:$A$20000,$A1386,INPUT_RITASE!$B$5:$B$20000,$B1386,INPUT_RITASE!$C$5:$C$20000,$C1386,INPUT_RITASE!$D$5:$D$20000,$D1386))</f>
        <v/>
      </c>
      <c r="S1386" s="158">
        <f>IF($Q1386=0,0,$R1386*$P1386/$Q1386)</f>
        <v/>
      </c>
    </row>
    <row r="1387">
      <c r="A1387" s="155" t="n">
        <v>46108</v>
      </c>
      <c r="B1387" s="156" t="inlineStr">
        <is>
          <t>19-20</t>
        </is>
      </c>
      <c r="C1387" s="156" t="inlineStr">
        <is>
          <t>EX-755</t>
        </is>
      </c>
      <c r="D1387" s="156" t="inlineStr">
        <is>
          <t>DT-511</t>
        </is>
      </c>
      <c r="E1387" s="156" t="inlineStr">
        <is>
          <t>OB</t>
        </is>
      </c>
      <c r="F1387" s="156" t="n">
        <v>4</v>
      </c>
      <c r="G1387" s="156" t="inlineStr"/>
      <c r="H1387" s="157">
        <f>IF($B1387="","",IF(ISNA(MATCH($B1387,MASTER_JAM!$Q$5:$Q$28,0)),"?",IF(MATCH($B1387,MASTER_JAM!$Q$5:$Q$28,0)&lt;=12,"DS","NS")))</f>
        <v/>
      </c>
      <c r="I1387" s="157">
        <f>IFERROR(INDEX(MASTER_JAM!$B$5:$B$94,MATCH($C1387,MASTER_JAM!$A$5:$A$94,0)),"")</f>
        <v/>
      </c>
      <c r="J1387" s="157">
        <f>IFERROR(INDEX(MASTER_JAM!$E$5:$E$94,MATCH($D1387,MASTER_JAM!$A$5:$A$94,0)),"")</f>
        <v/>
      </c>
      <c r="K1387" s="158">
        <f>IFERROR(INDEX(MASTER_JAM!$J$5:$O$12,MATCH($E1387,MASTER_JAM!$I$5:$I$12,0),MATCH($J1387,MASTER_JAM!$J$4:$O$4,0))+0,0)</f>
        <v/>
      </c>
      <c r="L1387" s="159">
        <f>N($F1387)*$K1387</f>
        <v/>
      </c>
      <c r="M1387" s="157">
        <f>IF($E1387="","",IF(OR($E1387="Coal",$E1387="Dirty Coal"),"MT","BCM"))</f>
        <v/>
      </c>
      <c r="N1387" s="157">
        <f>IF($E1387="","",IF(OR($E1387="Coal",$E1387="Dirty Coal"),"Coal","OB"))</f>
        <v/>
      </c>
      <c r="O1387" s="157">
        <f>IF($F1387="","",IF(COUNTIF(MASTER_JAM!$A$5:$A$94,$C1387)=0,"Digger tidak dikenal",IF($J1387="","Hauler tidak dikenal",IF($H1387="?","Jam salah",IF($K1387=0,"Faktor kosong",IF(SUMIFS(INPUT_DELAY!$E$5:$E$20000,INPUT_DELAY!$A$5:$A$20000,$A1387,INPUT_DELAY!$B$5:$B$20000,$B1387,INPUT_DELAY!$C$5:$C$20000,$C1387)+SUMIFS(INPUT_DELAY!$E$5:$E$20000,INPUT_DELAY!$A$5:$A$20000,$A1387,INPUT_DELAY!$B$5:$B$20000,$B1387,INPUT_DELAY!$C$5:$C$20000,"SEMUA")&gt;=60,"Delay 60 mnt tapi ada ritase","OK"))))))</f>
        <v/>
      </c>
      <c r="P1387" s="158">
        <f>IFERROR(INDEX(MASTER_JAM!$Z$5:$AC$10,MATCH($I1387,MASTER_JAM!$Y$5:$Y$10,0),MATCH($J1387,MASTER_JAM!$Z$4:$AC$4,0))+0,0)</f>
        <v/>
      </c>
      <c r="Q1387" s="158">
        <f>IF($P1387=0,0,$P1387+IFERROR(INDEX(MASTER_JAM!$H$5:$H$94,MATCH($C1387,MASTER_JAM!$A$5:$A$94,0))+0,MASTER_JAM!$AC$15)/1000*(60/MASTER_JAM!$AC$12+60/MASTER_JAM!$AC$13)+MASTER_JAM!$AC$14)</f>
        <v/>
      </c>
      <c r="R1387" s="158">
        <f>IF(N($F1387)=0,0,$F1387/SUMIFS(INPUT_RITASE!$F$5:$F$20000,INPUT_RITASE!$A$5:$A$20000,$A1387,INPUT_RITASE!$B$5:$B$20000,$B1387,INPUT_RITASE!$C$5:$C$20000,$C1387,INPUT_RITASE!$D$5:$D$20000,$D1387))</f>
        <v/>
      </c>
      <c r="S1387" s="158">
        <f>IF($Q1387=0,0,$R1387*$P1387/$Q1387)</f>
        <v/>
      </c>
    </row>
    <row r="1388">
      <c r="A1388" s="155" t="n">
        <v>46108</v>
      </c>
      <c r="B1388" s="156" t="inlineStr">
        <is>
          <t>19-20</t>
        </is>
      </c>
      <c r="C1388" s="156" t="inlineStr">
        <is>
          <t>EX-755</t>
        </is>
      </c>
      <c r="D1388" s="156" t="inlineStr">
        <is>
          <t>DT-512</t>
        </is>
      </c>
      <c r="E1388" s="156" t="inlineStr">
        <is>
          <t>OB</t>
        </is>
      </c>
      <c r="F1388" s="156" t="n">
        <v>4</v>
      </c>
      <c r="G1388" s="156" t="inlineStr"/>
      <c r="H1388" s="157">
        <f>IF($B1388="","",IF(ISNA(MATCH($B1388,MASTER_JAM!$Q$5:$Q$28,0)),"?",IF(MATCH($B1388,MASTER_JAM!$Q$5:$Q$28,0)&lt;=12,"DS","NS")))</f>
        <v/>
      </c>
      <c r="I1388" s="157">
        <f>IFERROR(INDEX(MASTER_JAM!$B$5:$B$94,MATCH($C1388,MASTER_JAM!$A$5:$A$94,0)),"")</f>
        <v/>
      </c>
      <c r="J1388" s="157">
        <f>IFERROR(INDEX(MASTER_JAM!$E$5:$E$94,MATCH($D1388,MASTER_JAM!$A$5:$A$94,0)),"")</f>
        <v/>
      </c>
      <c r="K1388" s="158">
        <f>IFERROR(INDEX(MASTER_JAM!$J$5:$O$12,MATCH($E1388,MASTER_JAM!$I$5:$I$12,0),MATCH($J1388,MASTER_JAM!$J$4:$O$4,0))+0,0)</f>
        <v/>
      </c>
      <c r="L1388" s="159">
        <f>N($F1388)*$K1388</f>
        <v/>
      </c>
      <c r="M1388" s="157">
        <f>IF($E1388="","",IF(OR($E1388="Coal",$E1388="Dirty Coal"),"MT","BCM"))</f>
        <v/>
      </c>
      <c r="N1388" s="157">
        <f>IF($E1388="","",IF(OR($E1388="Coal",$E1388="Dirty Coal"),"Coal","OB"))</f>
        <v/>
      </c>
      <c r="O1388" s="157">
        <f>IF($F1388="","",IF(COUNTIF(MASTER_JAM!$A$5:$A$94,$C1388)=0,"Digger tidak dikenal",IF($J1388="","Hauler tidak dikenal",IF($H1388="?","Jam salah",IF($K1388=0,"Faktor kosong",IF(SUMIFS(INPUT_DELAY!$E$5:$E$20000,INPUT_DELAY!$A$5:$A$20000,$A1388,INPUT_DELAY!$B$5:$B$20000,$B1388,INPUT_DELAY!$C$5:$C$20000,$C1388)+SUMIFS(INPUT_DELAY!$E$5:$E$20000,INPUT_DELAY!$A$5:$A$20000,$A1388,INPUT_DELAY!$B$5:$B$20000,$B1388,INPUT_DELAY!$C$5:$C$20000,"SEMUA")&gt;=60,"Delay 60 mnt tapi ada ritase","OK"))))))</f>
        <v/>
      </c>
      <c r="P1388" s="158">
        <f>IFERROR(INDEX(MASTER_JAM!$Z$5:$AC$10,MATCH($I1388,MASTER_JAM!$Y$5:$Y$10,0),MATCH($J1388,MASTER_JAM!$Z$4:$AC$4,0))+0,0)</f>
        <v/>
      </c>
      <c r="Q1388" s="158">
        <f>IF($P1388=0,0,$P1388+IFERROR(INDEX(MASTER_JAM!$H$5:$H$94,MATCH($C1388,MASTER_JAM!$A$5:$A$94,0))+0,MASTER_JAM!$AC$15)/1000*(60/MASTER_JAM!$AC$12+60/MASTER_JAM!$AC$13)+MASTER_JAM!$AC$14)</f>
        <v/>
      </c>
      <c r="R1388" s="158">
        <f>IF(N($F1388)=0,0,$F1388/SUMIFS(INPUT_RITASE!$F$5:$F$20000,INPUT_RITASE!$A$5:$A$20000,$A1388,INPUT_RITASE!$B$5:$B$20000,$B1388,INPUT_RITASE!$C$5:$C$20000,$C1388,INPUT_RITASE!$D$5:$D$20000,$D1388))</f>
        <v/>
      </c>
      <c r="S1388" s="158">
        <f>IF($Q1388=0,0,$R1388*$P1388/$Q1388)</f>
        <v/>
      </c>
    </row>
    <row r="1389">
      <c r="A1389" s="155" t="n">
        <v>46108</v>
      </c>
      <c r="B1389" s="156" t="inlineStr">
        <is>
          <t>19-20</t>
        </is>
      </c>
      <c r="C1389" s="156" t="inlineStr">
        <is>
          <t>EX-755</t>
        </is>
      </c>
      <c r="D1389" s="156" t="inlineStr">
        <is>
          <t>DT-508</t>
        </is>
      </c>
      <c r="E1389" s="156" t="inlineStr">
        <is>
          <t>OB</t>
        </is>
      </c>
      <c r="F1389" s="156" t="n">
        <v>4</v>
      </c>
      <c r="G1389" s="156" t="inlineStr"/>
      <c r="H1389" s="157">
        <f>IF($B1389="","",IF(ISNA(MATCH($B1389,MASTER_JAM!$Q$5:$Q$28,0)),"?",IF(MATCH($B1389,MASTER_JAM!$Q$5:$Q$28,0)&lt;=12,"DS","NS")))</f>
        <v/>
      </c>
      <c r="I1389" s="157">
        <f>IFERROR(INDEX(MASTER_JAM!$B$5:$B$94,MATCH($C1389,MASTER_JAM!$A$5:$A$94,0)),"")</f>
        <v/>
      </c>
      <c r="J1389" s="157">
        <f>IFERROR(INDEX(MASTER_JAM!$E$5:$E$94,MATCH($D1389,MASTER_JAM!$A$5:$A$94,0)),"")</f>
        <v/>
      </c>
      <c r="K1389" s="158">
        <f>IFERROR(INDEX(MASTER_JAM!$J$5:$O$12,MATCH($E1389,MASTER_JAM!$I$5:$I$12,0),MATCH($J1389,MASTER_JAM!$J$4:$O$4,0))+0,0)</f>
        <v/>
      </c>
      <c r="L1389" s="159">
        <f>N($F1389)*$K1389</f>
        <v/>
      </c>
      <c r="M1389" s="157">
        <f>IF($E1389="","",IF(OR($E1389="Coal",$E1389="Dirty Coal"),"MT","BCM"))</f>
        <v/>
      </c>
      <c r="N1389" s="157">
        <f>IF($E1389="","",IF(OR($E1389="Coal",$E1389="Dirty Coal"),"Coal","OB"))</f>
        <v/>
      </c>
      <c r="O1389" s="157">
        <f>IF($F1389="","",IF(COUNTIF(MASTER_JAM!$A$5:$A$94,$C1389)=0,"Digger tidak dikenal",IF($J1389="","Hauler tidak dikenal",IF($H1389="?","Jam salah",IF($K1389=0,"Faktor kosong",IF(SUMIFS(INPUT_DELAY!$E$5:$E$20000,INPUT_DELAY!$A$5:$A$20000,$A1389,INPUT_DELAY!$B$5:$B$20000,$B1389,INPUT_DELAY!$C$5:$C$20000,$C1389)+SUMIFS(INPUT_DELAY!$E$5:$E$20000,INPUT_DELAY!$A$5:$A$20000,$A1389,INPUT_DELAY!$B$5:$B$20000,$B1389,INPUT_DELAY!$C$5:$C$20000,"SEMUA")&gt;=60,"Delay 60 mnt tapi ada ritase","OK"))))))</f>
        <v/>
      </c>
      <c r="P1389" s="158">
        <f>IFERROR(INDEX(MASTER_JAM!$Z$5:$AC$10,MATCH($I1389,MASTER_JAM!$Y$5:$Y$10,0),MATCH($J1389,MASTER_JAM!$Z$4:$AC$4,0))+0,0)</f>
        <v/>
      </c>
      <c r="Q1389" s="158">
        <f>IF($P1389=0,0,$P1389+IFERROR(INDEX(MASTER_JAM!$H$5:$H$94,MATCH($C1389,MASTER_JAM!$A$5:$A$94,0))+0,MASTER_JAM!$AC$15)/1000*(60/MASTER_JAM!$AC$12+60/MASTER_JAM!$AC$13)+MASTER_JAM!$AC$14)</f>
        <v/>
      </c>
      <c r="R1389" s="158">
        <f>IF(N($F1389)=0,0,$F1389/SUMIFS(INPUT_RITASE!$F$5:$F$20000,INPUT_RITASE!$A$5:$A$20000,$A1389,INPUT_RITASE!$B$5:$B$20000,$B1389,INPUT_RITASE!$C$5:$C$20000,$C1389,INPUT_RITASE!$D$5:$D$20000,$D1389))</f>
        <v/>
      </c>
      <c r="S1389" s="158">
        <f>IF($Q1389=0,0,$R1389*$P1389/$Q1389)</f>
        <v/>
      </c>
    </row>
    <row r="1390">
      <c r="A1390" s="155" t="n">
        <v>46108</v>
      </c>
      <c r="B1390" s="156" t="inlineStr">
        <is>
          <t>20-21</t>
        </is>
      </c>
      <c r="C1390" s="156" t="inlineStr">
        <is>
          <t>EX-755</t>
        </is>
      </c>
      <c r="D1390" s="156" t="inlineStr">
        <is>
          <t>DT-528</t>
        </is>
      </c>
      <c r="E1390" s="156" t="inlineStr">
        <is>
          <t>OB</t>
        </is>
      </c>
      <c r="F1390" s="156" t="n">
        <v>4</v>
      </c>
      <c r="G1390" s="156" t="inlineStr"/>
      <c r="H1390" s="157">
        <f>IF($B1390="","",IF(ISNA(MATCH($B1390,MASTER_JAM!$Q$5:$Q$28,0)),"?",IF(MATCH($B1390,MASTER_JAM!$Q$5:$Q$28,0)&lt;=12,"DS","NS")))</f>
        <v/>
      </c>
      <c r="I1390" s="157">
        <f>IFERROR(INDEX(MASTER_JAM!$B$5:$B$94,MATCH($C1390,MASTER_JAM!$A$5:$A$94,0)),"")</f>
        <v/>
      </c>
      <c r="J1390" s="157">
        <f>IFERROR(INDEX(MASTER_JAM!$E$5:$E$94,MATCH($D1390,MASTER_JAM!$A$5:$A$94,0)),"")</f>
        <v/>
      </c>
      <c r="K1390" s="158">
        <f>IFERROR(INDEX(MASTER_JAM!$J$5:$O$12,MATCH($E1390,MASTER_JAM!$I$5:$I$12,0),MATCH($J1390,MASTER_JAM!$J$4:$O$4,0))+0,0)</f>
        <v/>
      </c>
      <c r="L1390" s="159">
        <f>N($F1390)*$K1390</f>
        <v/>
      </c>
      <c r="M1390" s="157">
        <f>IF($E1390="","",IF(OR($E1390="Coal",$E1390="Dirty Coal"),"MT","BCM"))</f>
        <v/>
      </c>
      <c r="N1390" s="157">
        <f>IF($E1390="","",IF(OR($E1390="Coal",$E1390="Dirty Coal"),"Coal","OB"))</f>
        <v/>
      </c>
      <c r="O1390" s="157">
        <f>IF($F1390="","",IF(COUNTIF(MASTER_JAM!$A$5:$A$94,$C1390)=0,"Digger tidak dikenal",IF($J1390="","Hauler tidak dikenal",IF($H1390="?","Jam salah",IF($K1390=0,"Faktor kosong",IF(SUMIFS(INPUT_DELAY!$E$5:$E$20000,INPUT_DELAY!$A$5:$A$20000,$A1390,INPUT_DELAY!$B$5:$B$20000,$B1390,INPUT_DELAY!$C$5:$C$20000,$C1390)+SUMIFS(INPUT_DELAY!$E$5:$E$20000,INPUT_DELAY!$A$5:$A$20000,$A1390,INPUT_DELAY!$B$5:$B$20000,$B1390,INPUT_DELAY!$C$5:$C$20000,"SEMUA")&gt;=60,"Delay 60 mnt tapi ada ritase","OK"))))))</f>
        <v/>
      </c>
      <c r="P1390" s="158">
        <f>IFERROR(INDEX(MASTER_JAM!$Z$5:$AC$10,MATCH($I1390,MASTER_JAM!$Y$5:$Y$10,0),MATCH($J1390,MASTER_JAM!$Z$4:$AC$4,0))+0,0)</f>
        <v/>
      </c>
      <c r="Q1390" s="158">
        <f>IF($P1390=0,0,$P1390+IFERROR(INDEX(MASTER_JAM!$H$5:$H$94,MATCH($C1390,MASTER_JAM!$A$5:$A$94,0))+0,MASTER_JAM!$AC$15)/1000*(60/MASTER_JAM!$AC$12+60/MASTER_JAM!$AC$13)+MASTER_JAM!$AC$14)</f>
        <v/>
      </c>
      <c r="R1390" s="158">
        <f>IF(N($F1390)=0,0,$F1390/SUMIFS(INPUT_RITASE!$F$5:$F$20000,INPUT_RITASE!$A$5:$A$20000,$A1390,INPUT_RITASE!$B$5:$B$20000,$B1390,INPUT_RITASE!$C$5:$C$20000,$C1390,INPUT_RITASE!$D$5:$D$20000,$D1390))</f>
        <v/>
      </c>
      <c r="S1390" s="158">
        <f>IF($Q1390=0,0,$R1390*$P1390/$Q1390)</f>
        <v/>
      </c>
    </row>
    <row r="1391">
      <c r="A1391" s="155" t="n">
        <v>46108</v>
      </c>
      <c r="B1391" s="156" t="inlineStr">
        <is>
          <t>20-21</t>
        </is>
      </c>
      <c r="C1391" s="156" t="inlineStr">
        <is>
          <t>EX-755</t>
        </is>
      </c>
      <c r="D1391" s="156" t="inlineStr">
        <is>
          <t>DT-520</t>
        </is>
      </c>
      <c r="E1391" s="156" t="inlineStr">
        <is>
          <t>OB</t>
        </is>
      </c>
      <c r="F1391" s="156" t="n">
        <v>4</v>
      </c>
      <c r="G1391" s="156" t="inlineStr"/>
      <c r="H1391" s="157">
        <f>IF($B1391="","",IF(ISNA(MATCH($B1391,MASTER_JAM!$Q$5:$Q$28,0)),"?",IF(MATCH($B1391,MASTER_JAM!$Q$5:$Q$28,0)&lt;=12,"DS","NS")))</f>
        <v/>
      </c>
      <c r="I1391" s="157">
        <f>IFERROR(INDEX(MASTER_JAM!$B$5:$B$94,MATCH($C1391,MASTER_JAM!$A$5:$A$94,0)),"")</f>
        <v/>
      </c>
      <c r="J1391" s="157">
        <f>IFERROR(INDEX(MASTER_JAM!$E$5:$E$94,MATCH($D1391,MASTER_JAM!$A$5:$A$94,0)),"")</f>
        <v/>
      </c>
      <c r="K1391" s="158">
        <f>IFERROR(INDEX(MASTER_JAM!$J$5:$O$12,MATCH($E1391,MASTER_JAM!$I$5:$I$12,0),MATCH($J1391,MASTER_JAM!$J$4:$O$4,0))+0,0)</f>
        <v/>
      </c>
      <c r="L1391" s="159">
        <f>N($F1391)*$K1391</f>
        <v/>
      </c>
      <c r="M1391" s="157">
        <f>IF($E1391="","",IF(OR($E1391="Coal",$E1391="Dirty Coal"),"MT","BCM"))</f>
        <v/>
      </c>
      <c r="N1391" s="157">
        <f>IF($E1391="","",IF(OR($E1391="Coal",$E1391="Dirty Coal"),"Coal","OB"))</f>
        <v/>
      </c>
      <c r="O1391" s="157">
        <f>IF($F1391="","",IF(COUNTIF(MASTER_JAM!$A$5:$A$94,$C1391)=0,"Digger tidak dikenal",IF($J1391="","Hauler tidak dikenal",IF($H1391="?","Jam salah",IF($K1391=0,"Faktor kosong",IF(SUMIFS(INPUT_DELAY!$E$5:$E$20000,INPUT_DELAY!$A$5:$A$20000,$A1391,INPUT_DELAY!$B$5:$B$20000,$B1391,INPUT_DELAY!$C$5:$C$20000,$C1391)+SUMIFS(INPUT_DELAY!$E$5:$E$20000,INPUT_DELAY!$A$5:$A$20000,$A1391,INPUT_DELAY!$B$5:$B$20000,$B1391,INPUT_DELAY!$C$5:$C$20000,"SEMUA")&gt;=60,"Delay 60 mnt tapi ada ritase","OK"))))))</f>
        <v/>
      </c>
      <c r="P1391" s="158">
        <f>IFERROR(INDEX(MASTER_JAM!$Z$5:$AC$10,MATCH($I1391,MASTER_JAM!$Y$5:$Y$10,0),MATCH($J1391,MASTER_JAM!$Z$4:$AC$4,0))+0,0)</f>
        <v/>
      </c>
      <c r="Q1391" s="158">
        <f>IF($P1391=0,0,$P1391+IFERROR(INDEX(MASTER_JAM!$H$5:$H$94,MATCH($C1391,MASTER_JAM!$A$5:$A$94,0))+0,MASTER_JAM!$AC$15)/1000*(60/MASTER_JAM!$AC$12+60/MASTER_JAM!$AC$13)+MASTER_JAM!$AC$14)</f>
        <v/>
      </c>
      <c r="R1391" s="158">
        <f>IF(N($F1391)=0,0,$F1391/SUMIFS(INPUT_RITASE!$F$5:$F$20000,INPUT_RITASE!$A$5:$A$20000,$A1391,INPUT_RITASE!$B$5:$B$20000,$B1391,INPUT_RITASE!$C$5:$C$20000,$C1391,INPUT_RITASE!$D$5:$D$20000,$D1391))</f>
        <v/>
      </c>
      <c r="S1391" s="158">
        <f>IF($Q1391=0,0,$R1391*$P1391/$Q1391)</f>
        <v/>
      </c>
    </row>
    <row r="1392">
      <c r="A1392" s="155" t="n">
        <v>46108</v>
      </c>
      <c r="B1392" s="156" t="inlineStr">
        <is>
          <t>20-21</t>
        </is>
      </c>
      <c r="C1392" s="156" t="inlineStr">
        <is>
          <t>EX-755</t>
        </is>
      </c>
      <c r="D1392" s="156" t="inlineStr">
        <is>
          <t>DT-508</t>
        </is>
      </c>
      <c r="E1392" s="156" t="inlineStr">
        <is>
          <t>OB</t>
        </is>
      </c>
      <c r="F1392" s="156" t="n">
        <v>4</v>
      </c>
      <c r="G1392" s="156" t="inlineStr"/>
      <c r="H1392" s="157">
        <f>IF($B1392="","",IF(ISNA(MATCH($B1392,MASTER_JAM!$Q$5:$Q$28,0)),"?",IF(MATCH($B1392,MASTER_JAM!$Q$5:$Q$28,0)&lt;=12,"DS","NS")))</f>
        <v/>
      </c>
      <c r="I1392" s="157">
        <f>IFERROR(INDEX(MASTER_JAM!$B$5:$B$94,MATCH($C1392,MASTER_JAM!$A$5:$A$94,0)),"")</f>
        <v/>
      </c>
      <c r="J1392" s="157">
        <f>IFERROR(INDEX(MASTER_JAM!$E$5:$E$94,MATCH($D1392,MASTER_JAM!$A$5:$A$94,0)),"")</f>
        <v/>
      </c>
      <c r="K1392" s="158">
        <f>IFERROR(INDEX(MASTER_JAM!$J$5:$O$12,MATCH($E1392,MASTER_JAM!$I$5:$I$12,0),MATCH($J1392,MASTER_JAM!$J$4:$O$4,0))+0,0)</f>
        <v/>
      </c>
      <c r="L1392" s="159">
        <f>N($F1392)*$K1392</f>
        <v/>
      </c>
      <c r="M1392" s="157">
        <f>IF($E1392="","",IF(OR($E1392="Coal",$E1392="Dirty Coal"),"MT","BCM"))</f>
        <v/>
      </c>
      <c r="N1392" s="157">
        <f>IF($E1392="","",IF(OR($E1392="Coal",$E1392="Dirty Coal"),"Coal","OB"))</f>
        <v/>
      </c>
      <c r="O1392" s="157">
        <f>IF($F1392="","",IF(COUNTIF(MASTER_JAM!$A$5:$A$94,$C1392)=0,"Digger tidak dikenal",IF($J1392="","Hauler tidak dikenal",IF($H1392="?","Jam salah",IF($K1392=0,"Faktor kosong",IF(SUMIFS(INPUT_DELAY!$E$5:$E$20000,INPUT_DELAY!$A$5:$A$20000,$A1392,INPUT_DELAY!$B$5:$B$20000,$B1392,INPUT_DELAY!$C$5:$C$20000,$C1392)+SUMIFS(INPUT_DELAY!$E$5:$E$20000,INPUT_DELAY!$A$5:$A$20000,$A1392,INPUT_DELAY!$B$5:$B$20000,$B1392,INPUT_DELAY!$C$5:$C$20000,"SEMUA")&gt;=60,"Delay 60 mnt tapi ada ritase","OK"))))))</f>
        <v/>
      </c>
      <c r="P1392" s="158">
        <f>IFERROR(INDEX(MASTER_JAM!$Z$5:$AC$10,MATCH($I1392,MASTER_JAM!$Y$5:$Y$10,0),MATCH($J1392,MASTER_JAM!$Z$4:$AC$4,0))+0,0)</f>
        <v/>
      </c>
      <c r="Q1392" s="158">
        <f>IF($P1392=0,0,$P1392+IFERROR(INDEX(MASTER_JAM!$H$5:$H$94,MATCH($C1392,MASTER_JAM!$A$5:$A$94,0))+0,MASTER_JAM!$AC$15)/1000*(60/MASTER_JAM!$AC$12+60/MASTER_JAM!$AC$13)+MASTER_JAM!$AC$14)</f>
        <v/>
      </c>
      <c r="R1392" s="158">
        <f>IF(N($F1392)=0,0,$F1392/SUMIFS(INPUT_RITASE!$F$5:$F$20000,INPUT_RITASE!$A$5:$A$20000,$A1392,INPUT_RITASE!$B$5:$B$20000,$B1392,INPUT_RITASE!$C$5:$C$20000,$C1392,INPUT_RITASE!$D$5:$D$20000,$D1392))</f>
        <v/>
      </c>
      <c r="S1392" s="158">
        <f>IF($Q1392=0,0,$R1392*$P1392/$Q1392)</f>
        <v/>
      </c>
    </row>
    <row r="1393">
      <c r="A1393" s="155" t="n">
        <v>46108</v>
      </c>
      <c r="B1393" s="156" t="inlineStr">
        <is>
          <t>21-22</t>
        </is>
      </c>
      <c r="C1393" s="156" t="inlineStr">
        <is>
          <t>EX-755</t>
        </is>
      </c>
      <c r="D1393" s="156" t="inlineStr">
        <is>
          <t>DT-517</t>
        </is>
      </c>
      <c r="E1393" s="156" t="inlineStr">
        <is>
          <t>OB</t>
        </is>
      </c>
      <c r="F1393" s="156" t="n">
        <v>4</v>
      </c>
      <c r="G1393" s="156" t="inlineStr"/>
      <c r="H1393" s="157">
        <f>IF($B1393="","",IF(ISNA(MATCH($B1393,MASTER_JAM!$Q$5:$Q$28,0)),"?",IF(MATCH($B1393,MASTER_JAM!$Q$5:$Q$28,0)&lt;=12,"DS","NS")))</f>
        <v/>
      </c>
      <c r="I1393" s="157">
        <f>IFERROR(INDEX(MASTER_JAM!$B$5:$B$94,MATCH($C1393,MASTER_JAM!$A$5:$A$94,0)),"")</f>
        <v/>
      </c>
      <c r="J1393" s="157">
        <f>IFERROR(INDEX(MASTER_JAM!$E$5:$E$94,MATCH($D1393,MASTER_JAM!$A$5:$A$94,0)),"")</f>
        <v/>
      </c>
      <c r="K1393" s="158">
        <f>IFERROR(INDEX(MASTER_JAM!$J$5:$O$12,MATCH($E1393,MASTER_JAM!$I$5:$I$12,0),MATCH($J1393,MASTER_JAM!$J$4:$O$4,0))+0,0)</f>
        <v/>
      </c>
      <c r="L1393" s="159">
        <f>N($F1393)*$K1393</f>
        <v/>
      </c>
      <c r="M1393" s="157">
        <f>IF($E1393="","",IF(OR($E1393="Coal",$E1393="Dirty Coal"),"MT","BCM"))</f>
        <v/>
      </c>
      <c r="N1393" s="157">
        <f>IF($E1393="","",IF(OR($E1393="Coal",$E1393="Dirty Coal"),"Coal","OB"))</f>
        <v/>
      </c>
      <c r="O1393" s="157">
        <f>IF($F1393="","",IF(COUNTIF(MASTER_JAM!$A$5:$A$94,$C1393)=0,"Digger tidak dikenal",IF($J1393="","Hauler tidak dikenal",IF($H1393="?","Jam salah",IF($K1393=0,"Faktor kosong",IF(SUMIFS(INPUT_DELAY!$E$5:$E$20000,INPUT_DELAY!$A$5:$A$20000,$A1393,INPUT_DELAY!$B$5:$B$20000,$B1393,INPUT_DELAY!$C$5:$C$20000,$C1393)+SUMIFS(INPUT_DELAY!$E$5:$E$20000,INPUT_DELAY!$A$5:$A$20000,$A1393,INPUT_DELAY!$B$5:$B$20000,$B1393,INPUT_DELAY!$C$5:$C$20000,"SEMUA")&gt;=60,"Delay 60 mnt tapi ada ritase","OK"))))))</f>
        <v/>
      </c>
      <c r="P1393" s="158">
        <f>IFERROR(INDEX(MASTER_JAM!$Z$5:$AC$10,MATCH($I1393,MASTER_JAM!$Y$5:$Y$10,0),MATCH($J1393,MASTER_JAM!$Z$4:$AC$4,0))+0,0)</f>
        <v/>
      </c>
      <c r="Q1393" s="158">
        <f>IF($P1393=0,0,$P1393+IFERROR(INDEX(MASTER_JAM!$H$5:$H$94,MATCH($C1393,MASTER_JAM!$A$5:$A$94,0))+0,MASTER_JAM!$AC$15)/1000*(60/MASTER_JAM!$AC$12+60/MASTER_JAM!$AC$13)+MASTER_JAM!$AC$14)</f>
        <v/>
      </c>
      <c r="R1393" s="158">
        <f>IF(N($F1393)=0,0,$F1393/SUMIFS(INPUT_RITASE!$F$5:$F$20000,INPUT_RITASE!$A$5:$A$20000,$A1393,INPUT_RITASE!$B$5:$B$20000,$B1393,INPUT_RITASE!$C$5:$C$20000,$C1393,INPUT_RITASE!$D$5:$D$20000,$D1393))</f>
        <v/>
      </c>
      <c r="S1393" s="158">
        <f>IF($Q1393=0,0,$R1393*$P1393/$Q1393)</f>
        <v/>
      </c>
    </row>
    <row r="1394">
      <c r="A1394" s="155" t="n">
        <v>46108</v>
      </c>
      <c r="B1394" s="156" t="inlineStr">
        <is>
          <t>21-22</t>
        </is>
      </c>
      <c r="C1394" s="156" t="inlineStr">
        <is>
          <t>EX-755</t>
        </is>
      </c>
      <c r="D1394" s="156" t="inlineStr">
        <is>
          <t>DT-528</t>
        </is>
      </c>
      <c r="E1394" s="156" t="inlineStr">
        <is>
          <t>OB</t>
        </is>
      </c>
      <c r="F1394" s="156" t="n">
        <v>4</v>
      </c>
      <c r="G1394" s="156" t="inlineStr"/>
      <c r="H1394" s="157">
        <f>IF($B1394="","",IF(ISNA(MATCH($B1394,MASTER_JAM!$Q$5:$Q$28,0)),"?",IF(MATCH($B1394,MASTER_JAM!$Q$5:$Q$28,0)&lt;=12,"DS","NS")))</f>
        <v/>
      </c>
      <c r="I1394" s="157">
        <f>IFERROR(INDEX(MASTER_JAM!$B$5:$B$94,MATCH($C1394,MASTER_JAM!$A$5:$A$94,0)),"")</f>
        <v/>
      </c>
      <c r="J1394" s="157">
        <f>IFERROR(INDEX(MASTER_JAM!$E$5:$E$94,MATCH($D1394,MASTER_JAM!$A$5:$A$94,0)),"")</f>
        <v/>
      </c>
      <c r="K1394" s="158">
        <f>IFERROR(INDEX(MASTER_JAM!$J$5:$O$12,MATCH($E1394,MASTER_JAM!$I$5:$I$12,0),MATCH($J1394,MASTER_JAM!$J$4:$O$4,0))+0,0)</f>
        <v/>
      </c>
      <c r="L1394" s="159">
        <f>N($F1394)*$K1394</f>
        <v/>
      </c>
      <c r="M1394" s="157">
        <f>IF($E1394="","",IF(OR($E1394="Coal",$E1394="Dirty Coal"),"MT","BCM"))</f>
        <v/>
      </c>
      <c r="N1394" s="157">
        <f>IF($E1394="","",IF(OR($E1394="Coal",$E1394="Dirty Coal"),"Coal","OB"))</f>
        <v/>
      </c>
      <c r="O1394" s="157">
        <f>IF($F1394="","",IF(COUNTIF(MASTER_JAM!$A$5:$A$94,$C1394)=0,"Digger tidak dikenal",IF($J1394="","Hauler tidak dikenal",IF($H1394="?","Jam salah",IF($K1394=0,"Faktor kosong",IF(SUMIFS(INPUT_DELAY!$E$5:$E$20000,INPUT_DELAY!$A$5:$A$20000,$A1394,INPUT_DELAY!$B$5:$B$20000,$B1394,INPUT_DELAY!$C$5:$C$20000,$C1394)+SUMIFS(INPUT_DELAY!$E$5:$E$20000,INPUT_DELAY!$A$5:$A$20000,$A1394,INPUT_DELAY!$B$5:$B$20000,$B1394,INPUT_DELAY!$C$5:$C$20000,"SEMUA")&gt;=60,"Delay 60 mnt tapi ada ritase","OK"))))))</f>
        <v/>
      </c>
      <c r="P1394" s="158">
        <f>IFERROR(INDEX(MASTER_JAM!$Z$5:$AC$10,MATCH($I1394,MASTER_JAM!$Y$5:$Y$10,0),MATCH($J1394,MASTER_JAM!$Z$4:$AC$4,0))+0,0)</f>
        <v/>
      </c>
      <c r="Q1394" s="158">
        <f>IF($P1394=0,0,$P1394+IFERROR(INDEX(MASTER_JAM!$H$5:$H$94,MATCH($C1394,MASTER_JAM!$A$5:$A$94,0))+0,MASTER_JAM!$AC$15)/1000*(60/MASTER_JAM!$AC$12+60/MASTER_JAM!$AC$13)+MASTER_JAM!$AC$14)</f>
        <v/>
      </c>
      <c r="R1394" s="158">
        <f>IF(N($F1394)=0,0,$F1394/SUMIFS(INPUT_RITASE!$F$5:$F$20000,INPUT_RITASE!$A$5:$A$20000,$A1394,INPUT_RITASE!$B$5:$B$20000,$B1394,INPUT_RITASE!$C$5:$C$20000,$C1394,INPUT_RITASE!$D$5:$D$20000,$D1394))</f>
        <v/>
      </c>
      <c r="S1394" s="158">
        <f>IF($Q1394=0,0,$R1394*$P1394/$Q1394)</f>
        <v/>
      </c>
    </row>
    <row r="1395">
      <c r="A1395" s="155" t="n">
        <v>46108</v>
      </c>
      <c r="B1395" s="156" t="inlineStr">
        <is>
          <t>21-22</t>
        </is>
      </c>
      <c r="C1395" s="156" t="inlineStr">
        <is>
          <t>EX-755</t>
        </is>
      </c>
      <c r="D1395" s="156" t="inlineStr">
        <is>
          <t>DT-508</t>
        </is>
      </c>
      <c r="E1395" s="156" t="inlineStr">
        <is>
          <t>OB</t>
        </is>
      </c>
      <c r="F1395" s="156" t="n">
        <v>4</v>
      </c>
      <c r="G1395" s="156" t="inlineStr"/>
      <c r="H1395" s="157">
        <f>IF($B1395="","",IF(ISNA(MATCH($B1395,MASTER_JAM!$Q$5:$Q$28,0)),"?",IF(MATCH($B1395,MASTER_JAM!$Q$5:$Q$28,0)&lt;=12,"DS","NS")))</f>
        <v/>
      </c>
      <c r="I1395" s="157">
        <f>IFERROR(INDEX(MASTER_JAM!$B$5:$B$94,MATCH($C1395,MASTER_JAM!$A$5:$A$94,0)),"")</f>
        <v/>
      </c>
      <c r="J1395" s="157">
        <f>IFERROR(INDEX(MASTER_JAM!$E$5:$E$94,MATCH($D1395,MASTER_JAM!$A$5:$A$94,0)),"")</f>
        <v/>
      </c>
      <c r="K1395" s="158">
        <f>IFERROR(INDEX(MASTER_JAM!$J$5:$O$12,MATCH($E1395,MASTER_JAM!$I$5:$I$12,0),MATCH($J1395,MASTER_JAM!$J$4:$O$4,0))+0,0)</f>
        <v/>
      </c>
      <c r="L1395" s="159">
        <f>N($F1395)*$K1395</f>
        <v/>
      </c>
      <c r="M1395" s="157">
        <f>IF($E1395="","",IF(OR($E1395="Coal",$E1395="Dirty Coal"),"MT","BCM"))</f>
        <v/>
      </c>
      <c r="N1395" s="157">
        <f>IF($E1395="","",IF(OR($E1395="Coal",$E1395="Dirty Coal"),"Coal","OB"))</f>
        <v/>
      </c>
      <c r="O1395" s="157">
        <f>IF($F1395="","",IF(COUNTIF(MASTER_JAM!$A$5:$A$94,$C1395)=0,"Digger tidak dikenal",IF($J1395="","Hauler tidak dikenal",IF($H1395="?","Jam salah",IF($K1395=0,"Faktor kosong",IF(SUMIFS(INPUT_DELAY!$E$5:$E$20000,INPUT_DELAY!$A$5:$A$20000,$A1395,INPUT_DELAY!$B$5:$B$20000,$B1395,INPUT_DELAY!$C$5:$C$20000,$C1395)+SUMIFS(INPUT_DELAY!$E$5:$E$20000,INPUT_DELAY!$A$5:$A$20000,$A1395,INPUT_DELAY!$B$5:$B$20000,$B1395,INPUT_DELAY!$C$5:$C$20000,"SEMUA")&gt;=60,"Delay 60 mnt tapi ada ritase","OK"))))))</f>
        <v/>
      </c>
      <c r="P1395" s="158">
        <f>IFERROR(INDEX(MASTER_JAM!$Z$5:$AC$10,MATCH($I1395,MASTER_JAM!$Y$5:$Y$10,0),MATCH($J1395,MASTER_JAM!$Z$4:$AC$4,0))+0,0)</f>
        <v/>
      </c>
      <c r="Q1395" s="158">
        <f>IF($P1395=0,0,$P1395+IFERROR(INDEX(MASTER_JAM!$H$5:$H$94,MATCH($C1395,MASTER_JAM!$A$5:$A$94,0))+0,MASTER_JAM!$AC$15)/1000*(60/MASTER_JAM!$AC$12+60/MASTER_JAM!$AC$13)+MASTER_JAM!$AC$14)</f>
        <v/>
      </c>
      <c r="R1395" s="158">
        <f>IF(N($F1395)=0,0,$F1395/SUMIFS(INPUT_RITASE!$F$5:$F$20000,INPUT_RITASE!$A$5:$A$20000,$A1395,INPUT_RITASE!$B$5:$B$20000,$B1395,INPUT_RITASE!$C$5:$C$20000,$C1395,INPUT_RITASE!$D$5:$D$20000,$D1395))</f>
        <v/>
      </c>
      <c r="S1395" s="158">
        <f>IF($Q1395=0,0,$R1395*$P1395/$Q1395)</f>
        <v/>
      </c>
    </row>
    <row r="1396">
      <c r="A1396" s="155" t="n">
        <v>46108</v>
      </c>
      <c r="B1396" s="156" t="inlineStr">
        <is>
          <t>21-22</t>
        </is>
      </c>
      <c r="C1396" s="156" t="inlineStr">
        <is>
          <t>EX-755</t>
        </is>
      </c>
      <c r="D1396" s="156" t="inlineStr">
        <is>
          <t>DT-520</t>
        </is>
      </c>
      <c r="E1396" s="156" t="inlineStr">
        <is>
          <t>OB</t>
        </is>
      </c>
      <c r="F1396" s="156" t="n">
        <v>3</v>
      </c>
      <c r="G1396" s="156" t="inlineStr"/>
      <c r="H1396" s="157">
        <f>IF($B1396="","",IF(ISNA(MATCH($B1396,MASTER_JAM!$Q$5:$Q$28,0)),"?",IF(MATCH($B1396,MASTER_JAM!$Q$5:$Q$28,0)&lt;=12,"DS","NS")))</f>
        <v/>
      </c>
      <c r="I1396" s="157">
        <f>IFERROR(INDEX(MASTER_JAM!$B$5:$B$94,MATCH($C1396,MASTER_JAM!$A$5:$A$94,0)),"")</f>
        <v/>
      </c>
      <c r="J1396" s="157">
        <f>IFERROR(INDEX(MASTER_JAM!$E$5:$E$94,MATCH($D1396,MASTER_JAM!$A$5:$A$94,0)),"")</f>
        <v/>
      </c>
      <c r="K1396" s="158">
        <f>IFERROR(INDEX(MASTER_JAM!$J$5:$O$12,MATCH($E1396,MASTER_JAM!$I$5:$I$12,0),MATCH($J1396,MASTER_JAM!$J$4:$O$4,0))+0,0)</f>
        <v/>
      </c>
      <c r="L1396" s="159">
        <f>N($F1396)*$K1396</f>
        <v/>
      </c>
      <c r="M1396" s="157">
        <f>IF($E1396="","",IF(OR($E1396="Coal",$E1396="Dirty Coal"),"MT","BCM"))</f>
        <v/>
      </c>
      <c r="N1396" s="157">
        <f>IF($E1396="","",IF(OR($E1396="Coal",$E1396="Dirty Coal"),"Coal","OB"))</f>
        <v/>
      </c>
      <c r="O1396" s="157">
        <f>IF($F1396="","",IF(COUNTIF(MASTER_JAM!$A$5:$A$94,$C1396)=0,"Digger tidak dikenal",IF($J1396="","Hauler tidak dikenal",IF($H1396="?","Jam salah",IF($K1396=0,"Faktor kosong",IF(SUMIFS(INPUT_DELAY!$E$5:$E$20000,INPUT_DELAY!$A$5:$A$20000,$A1396,INPUT_DELAY!$B$5:$B$20000,$B1396,INPUT_DELAY!$C$5:$C$20000,$C1396)+SUMIFS(INPUT_DELAY!$E$5:$E$20000,INPUT_DELAY!$A$5:$A$20000,$A1396,INPUT_DELAY!$B$5:$B$20000,$B1396,INPUT_DELAY!$C$5:$C$20000,"SEMUA")&gt;=60,"Delay 60 mnt tapi ada ritase","OK"))))))</f>
        <v/>
      </c>
      <c r="P1396" s="158">
        <f>IFERROR(INDEX(MASTER_JAM!$Z$5:$AC$10,MATCH($I1396,MASTER_JAM!$Y$5:$Y$10,0),MATCH($J1396,MASTER_JAM!$Z$4:$AC$4,0))+0,0)</f>
        <v/>
      </c>
      <c r="Q1396" s="158">
        <f>IF($P1396=0,0,$P1396+IFERROR(INDEX(MASTER_JAM!$H$5:$H$94,MATCH($C1396,MASTER_JAM!$A$5:$A$94,0))+0,MASTER_JAM!$AC$15)/1000*(60/MASTER_JAM!$AC$12+60/MASTER_JAM!$AC$13)+MASTER_JAM!$AC$14)</f>
        <v/>
      </c>
      <c r="R1396" s="158">
        <f>IF(N($F1396)=0,0,$F1396/SUMIFS(INPUT_RITASE!$F$5:$F$20000,INPUT_RITASE!$A$5:$A$20000,$A1396,INPUT_RITASE!$B$5:$B$20000,$B1396,INPUT_RITASE!$C$5:$C$20000,$C1396,INPUT_RITASE!$D$5:$D$20000,$D1396))</f>
        <v/>
      </c>
      <c r="S1396" s="158">
        <f>IF($Q1396=0,0,$R1396*$P1396/$Q1396)</f>
        <v/>
      </c>
    </row>
    <row r="1397">
      <c r="A1397" s="155" t="n">
        <v>46108</v>
      </c>
      <c r="B1397" s="156" t="inlineStr">
        <is>
          <t>22-23</t>
        </is>
      </c>
      <c r="C1397" s="156" t="inlineStr">
        <is>
          <t>EX-755</t>
        </is>
      </c>
      <c r="D1397" s="156" t="inlineStr">
        <is>
          <t>DT-518</t>
        </is>
      </c>
      <c r="E1397" s="156" t="inlineStr">
        <is>
          <t>OB</t>
        </is>
      </c>
      <c r="F1397" s="156" t="n">
        <v>4</v>
      </c>
      <c r="G1397" s="156" t="inlineStr"/>
      <c r="H1397" s="157">
        <f>IF($B1397="","",IF(ISNA(MATCH($B1397,MASTER_JAM!$Q$5:$Q$28,0)),"?",IF(MATCH($B1397,MASTER_JAM!$Q$5:$Q$28,0)&lt;=12,"DS","NS")))</f>
        <v/>
      </c>
      <c r="I1397" s="157">
        <f>IFERROR(INDEX(MASTER_JAM!$B$5:$B$94,MATCH($C1397,MASTER_JAM!$A$5:$A$94,0)),"")</f>
        <v/>
      </c>
      <c r="J1397" s="157">
        <f>IFERROR(INDEX(MASTER_JAM!$E$5:$E$94,MATCH($D1397,MASTER_JAM!$A$5:$A$94,0)),"")</f>
        <v/>
      </c>
      <c r="K1397" s="158">
        <f>IFERROR(INDEX(MASTER_JAM!$J$5:$O$12,MATCH($E1397,MASTER_JAM!$I$5:$I$12,0),MATCH($J1397,MASTER_JAM!$J$4:$O$4,0))+0,0)</f>
        <v/>
      </c>
      <c r="L1397" s="159">
        <f>N($F1397)*$K1397</f>
        <v/>
      </c>
      <c r="M1397" s="157">
        <f>IF($E1397="","",IF(OR($E1397="Coal",$E1397="Dirty Coal"),"MT","BCM"))</f>
        <v/>
      </c>
      <c r="N1397" s="157">
        <f>IF($E1397="","",IF(OR($E1397="Coal",$E1397="Dirty Coal"),"Coal","OB"))</f>
        <v/>
      </c>
      <c r="O1397" s="157">
        <f>IF($F1397="","",IF(COUNTIF(MASTER_JAM!$A$5:$A$94,$C1397)=0,"Digger tidak dikenal",IF($J1397="","Hauler tidak dikenal",IF($H1397="?","Jam salah",IF($K1397=0,"Faktor kosong",IF(SUMIFS(INPUT_DELAY!$E$5:$E$20000,INPUT_DELAY!$A$5:$A$20000,$A1397,INPUT_DELAY!$B$5:$B$20000,$B1397,INPUT_DELAY!$C$5:$C$20000,$C1397)+SUMIFS(INPUT_DELAY!$E$5:$E$20000,INPUT_DELAY!$A$5:$A$20000,$A1397,INPUT_DELAY!$B$5:$B$20000,$B1397,INPUT_DELAY!$C$5:$C$20000,"SEMUA")&gt;=60,"Delay 60 mnt tapi ada ritase","OK"))))))</f>
        <v/>
      </c>
      <c r="P1397" s="158">
        <f>IFERROR(INDEX(MASTER_JAM!$Z$5:$AC$10,MATCH($I1397,MASTER_JAM!$Y$5:$Y$10,0),MATCH($J1397,MASTER_JAM!$Z$4:$AC$4,0))+0,0)</f>
        <v/>
      </c>
      <c r="Q1397" s="158">
        <f>IF($P1397=0,0,$P1397+IFERROR(INDEX(MASTER_JAM!$H$5:$H$94,MATCH($C1397,MASTER_JAM!$A$5:$A$94,0))+0,MASTER_JAM!$AC$15)/1000*(60/MASTER_JAM!$AC$12+60/MASTER_JAM!$AC$13)+MASTER_JAM!$AC$14)</f>
        <v/>
      </c>
      <c r="R1397" s="158">
        <f>IF(N($F1397)=0,0,$F1397/SUMIFS(INPUT_RITASE!$F$5:$F$20000,INPUT_RITASE!$A$5:$A$20000,$A1397,INPUT_RITASE!$B$5:$B$20000,$B1397,INPUT_RITASE!$C$5:$C$20000,$C1397,INPUT_RITASE!$D$5:$D$20000,$D1397))</f>
        <v/>
      </c>
      <c r="S1397" s="158">
        <f>IF($Q1397=0,0,$R1397*$P1397/$Q1397)</f>
        <v/>
      </c>
    </row>
    <row r="1398">
      <c r="A1398" s="155" t="n">
        <v>46108</v>
      </c>
      <c r="B1398" s="156" t="inlineStr">
        <is>
          <t>22-23</t>
        </is>
      </c>
      <c r="C1398" s="156" t="inlineStr">
        <is>
          <t>EX-755</t>
        </is>
      </c>
      <c r="D1398" s="156" t="inlineStr">
        <is>
          <t>DT-501</t>
        </is>
      </c>
      <c r="E1398" s="156" t="inlineStr">
        <is>
          <t>OB</t>
        </is>
      </c>
      <c r="F1398" s="156" t="n">
        <v>4</v>
      </c>
      <c r="G1398" s="156" t="inlineStr"/>
      <c r="H1398" s="157">
        <f>IF($B1398="","",IF(ISNA(MATCH($B1398,MASTER_JAM!$Q$5:$Q$28,0)),"?",IF(MATCH($B1398,MASTER_JAM!$Q$5:$Q$28,0)&lt;=12,"DS","NS")))</f>
        <v/>
      </c>
      <c r="I1398" s="157">
        <f>IFERROR(INDEX(MASTER_JAM!$B$5:$B$94,MATCH($C1398,MASTER_JAM!$A$5:$A$94,0)),"")</f>
        <v/>
      </c>
      <c r="J1398" s="157">
        <f>IFERROR(INDEX(MASTER_JAM!$E$5:$E$94,MATCH($D1398,MASTER_JAM!$A$5:$A$94,0)),"")</f>
        <v/>
      </c>
      <c r="K1398" s="158">
        <f>IFERROR(INDEX(MASTER_JAM!$J$5:$O$12,MATCH($E1398,MASTER_JAM!$I$5:$I$12,0),MATCH($J1398,MASTER_JAM!$J$4:$O$4,0))+0,0)</f>
        <v/>
      </c>
      <c r="L1398" s="159">
        <f>N($F1398)*$K1398</f>
        <v/>
      </c>
      <c r="M1398" s="157">
        <f>IF($E1398="","",IF(OR($E1398="Coal",$E1398="Dirty Coal"),"MT","BCM"))</f>
        <v/>
      </c>
      <c r="N1398" s="157">
        <f>IF($E1398="","",IF(OR($E1398="Coal",$E1398="Dirty Coal"),"Coal","OB"))</f>
        <v/>
      </c>
      <c r="O1398" s="157">
        <f>IF($F1398="","",IF(COUNTIF(MASTER_JAM!$A$5:$A$94,$C1398)=0,"Digger tidak dikenal",IF($J1398="","Hauler tidak dikenal",IF($H1398="?","Jam salah",IF($K1398=0,"Faktor kosong",IF(SUMIFS(INPUT_DELAY!$E$5:$E$20000,INPUT_DELAY!$A$5:$A$20000,$A1398,INPUT_DELAY!$B$5:$B$20000,$B1398,INPUT_DELAY!$C$5:$C$20000,$C1398)+SUMIFS(INPUT_DELAY!$E$5:$E$20000,INPUT_DELAY!$A$5:$A$20000,$A1398,INPUT_DELAY!$B$5:$B$20000,$B1398,INPUT_DELAY!$C$5:$C$20000,"SEMUA")&gt;=60,"Delay 60 mnt tapi ada ritase","OK"))))))</f>
        <v/>
      </c>
      <c r="P1398" s="158">
        <f>IFERROR(INDEX(MASTER_JAM!$Z$5:$AC$10,MATCH($I1398,MASTER_JAM!$Y$5:$Y$10,0),MATCH($J1398,MASTER_JAM!$Z$4:$AC$4,0))+0,0)</f>
        <v/>
      </c>
      <c r="Q1398" s="158">
        <f>IF($P1398=0,0,$P1398+IFERROR(INDEX(MASTER_JAM!$H$5:$H$94,MATCH($C1398,MASTER_JAM!$A$5:$A$94,0))+0,MASTER_JAM!$AC$15)/1000*(60/MASTER_JAM!$AC$12+60/MASTER_JAM!$AC$13)+MASTER_JAM!$AC$14)</f>
        <v/>
      </c>
      <c r="R1398" s="158">
        <f>IF(N($F1398)=0,0,$F1398/SUMIFS(INPUT_RITASE!$F$5:$F$20000,INPUT_RITASE!$A$5:$A$20000,$A1398,INPUT_RITASE!$B$5:$B$20000,$B1398,INPUT_RITASE!$C$5:$C$20000,$C1398,INPUT_RITASE!$D$5:$D$20000,$D1398))</f>
        <v/>
      </c>
      <c r="S1398" s="158">
        <f>IF($Q1398=0,0,$R1398*$P1398/$Q1398)</f>
        <v/>
      </c>
    </row>
    <row r="1399">
      <c r="A1399" s="155" t="n">
        <v>46108</v>
      </c>
      <c r="B1399" s="156" t="inlineStr">
        <is>
          <t>22-23</t>
        </is>
      </c>
      <c r="C1399" s="156" t="inlineStr">
        <is>
          <t>EX-755</t>
        </is>
      </c>
      <c r="D1399" s="156" t="inlineStr">
        <is>
          <t>DT-516</t>
        </is>
      </c>
      <c r="E1399" s="156" t="inlineStr">
        <is>
          <t>OB</t>
        </is>
      </c>
      <c r="F1399" s="156" t="n">
        <v>4</v>
      </c>
      <c r="G1399" s="156" t="inlineStr"/>
      <c r="H1399" s="157">
        <f>IF($B1399="","",IF(ISNA(MATCH($B1399,MASTER_JAM!$Q$5:$Q$28,0)),"?",IF(MATCH($B1399,MASTER_JAM!$Q$5:$Q$28,0)&lt;=12,"DS","NS")))</f>
        <v/>
      </c>
      <c r="I1399" s="157">
        <f>IFERROR(INDEX(MASTER_JAM!$B$5:$B$94,MATCH($C1399,MASTER_JAM!$A$5:$A$94,0)),"")</f>
        <v/>
      </c>
      <c r="J1399" s="157">
        <f>IFERROR(INDEX(MASTER_JAM!$E$5:$E$94,MATCH($D1399,MASTER_JAM!$A$5:$A$94,0)),"")</f>
        <v/>
      </c>
      <c r="K1399" s="158">
        <f>IFERROR(INDEX(MASTER_JAM!$J$5:$O$12,MATCH($E1399,MASTER_JAM!$I$5:$I$12,0),MATCH($J1399,MASTER_JAM!$J$4:$O$4,0))+0,0)</f>
        <v/>
      </c>
      <c r="L1399" s="159">
        <f>N($F1399)*$K1399</f>
        <v/>
      </c>
      <c r="M1399" s="157">
        <f>IF($E1399="","",IF(OR($E1399="Coal",$E1399="Dirty Coal"),"MT","BCM"))</f>
        <v/>
      </c>
      <c r="N1399" s="157">
        <f>IF($E1399="","",IF(OR($E1399="Coal",$E1399="Dirty Coal"),"Coal","OB"))</f>
        <v/>
      </c>
      <c r="O1399" s="157">
        <f>IF($F1399="","",IF(COUNTIF(MASTER_JAM!$A$5:$A$94,$C1399)=0,"Digger tidak dikenal",IF($J1399="","Hauler tidak dikenal",IF($H1399="?","Jam salah",IF($K1399=0,"Faktor kosong",IF(SUMIFS(INPUT_DELAY!$E$5:$E$20000,INPUT_DELAY!$A$5:$A$20000,$A1399,INPUT_DELAY!$B$5:$B$20000,$B1399,INPUT_DELAY!$C$5:$C$20000,$C1399)+SUMIFS(INPUT_DELAY!$E$5:$E$20000,INPUT_DELAY!$A$5:$A$20000,$A1399,INPUT_DELAY!$B$5:$B$20000,$B1399,INPUT_DELAY!$C$5:$C$20000,"SEMUA")&gt;=60,"Delay 60 mnt tapi ada ritase","OK"))))))</f>
        <v/>
      </c>
      <c r="P1399" s="158">
        <f>IFERROR(INDEX(MASTER_JAM!$Z$5:$AC$10,MATCH($I1399,MASTER_JAM!$Y$5:$Y$10,0),MATCH($J1399,MASTER_JAM!$Z$4:$AC$4,0))+0,0)</f>
        <v/>
      </c>
      <c r="Q1399" s="158">
        <f>IF($P1399=0,0,$P1399+IFERROR(INDEX(MASTER_JAM!$H$5:$H$94,MATCH($C1399,MASTER_JAM!$A$5:$A$94,0))+0,MASTER_JAM!$AC$15)/1000*(60/MASTER_JAM!$AC$12+60/MASTER_JAM!$AC$13)+MASTER_JAM!$AC$14)</f>
        <v/>
      </c>
      <c r="R1399" s="158">
        <f>IF(N($F1399)=0,0,$F1399/SUMIFS(INPUT_RITASE!$F$5:$F$20000,INPUT_RITASE!$A$5:$A$20000,$A1399,INPUT_RITASE!$B$5:$B$20000,$B1399,INPUT_RITASE!$C$5:$C$20000,$C1399,INPUT_RITASE!$D$5:$D$20000,$D1399))</f>
        <v/>
      </c>
      <c r="S1399" s="158">
        <f>IF($Q1399=0,0,$R1399*$P1399/$Q1399)</f>
        <v/>
      </c>
    </row>
    <row r="1400">
      <c r="A1400" s="155" t="n">
        <v>46108</v>
      </c>
      <c r="B1400" s="156" t="inlineStr">
        <is>
          <t>22-23</t>
        </is>
      </c>
      <c r="C1400" s="156" t="inlineStr">
        <is>
          <t>EX-755</t>
        </is>
      </c>
      <c r="D1400" s="156" t="inlineStr">
        <is>
          <t>DT-502</t>
        </is>
      </c>
      <c r="E1400" s="156" t="inlineStr">
        <is>
          <t>OB</t>
        </is>
      </c>
      <c r="F1400" s="156" t="n">
        <v>3</v>
      </c>
      <c r="G1400" s="156" t="inlineStr"/>
      <c r="H1400" s="157">
        <f>IF($B1400="","",IF(ISNA(MATCH($B1400,MASTER_JAM!$Q$5:$Q$28,0)),"?",IF(MATCH($B1400,MASTER_JAM!$Q$5:$Q$28,0)&lt;=12,"DS","NS")))</f>
        <v/>
      </c>
      <c r="I1400" s="157">
        <f>IFERROR(INDEX(MASTER_JAM!$B$5:$B$94,MATCH($C1400,MASTER_JAM!$A$5:$A$94,0)),"")</f>
        <v/>
      </c>
      <c r="J1400" s="157">
        <f>IFERROR(INDEX(MASTER_JAM!$E$5:$E$94,MATCH($D1400,MASTER_JAM!$A$5:$A$94,0)),"")</f>
        <v/>
      </c>
      <c r="K1400" s="158">
        <f>IFERROR(INDEX(MASTER_JAM!$J$5:$O$12,MATCH($E1400,MASTER_JAM!$I$5:$I$12,0),MATCH($J1400,MASTER_JAM!$J$4:$O$4,0))+0,0)</f>
        <v/>
      </c>
      <c r="L1400" s="159">
        <f>N($F1400)*$K1400</f>
        <v/>
      </c>
      <c r="M1400" s="157">
        <f>IF($E1400="","",IF(OR($E1400="Coal",$E1400="Dirty Coal"),"MT","BCM"))</f>
        <v/>
      </c>
      <c r="N1400" s="157">
        <f>IF($E1400="","",IF(OR($E1400="Coal",$E1400="Dirty Coal"),"Coal","OB"))</f>
        <v/>
      </c>
      <c r="O1400" s="157">
        <f>IF($F1400="","",IF(COUNTIF(MASTER_JAM!$A$5:$A$94,$C1400)=0,"Digger tidak dikenal",IF($J1400="","Hauler tidak dikenal",IF($H1400="?","Jam salah",IF($K1400=0,"Faktor kosong",IF(SUMIFS(INPUT_DELAY!$E$5:$E$20000,INPUT_DELAY!$A$5:$A$20000,$A1400,INPUT_DELAY!$B$5:$B$20000,$B1400,INPUT_DELAY!$C$5:$C$20000,$C1400)+SUMIFS(INPUT_DELAY!$E$5:$E$20000,INPUT_DELAY!$A$5:$A$20000,$A1400,INPUT_DELAY!$B$5:$B$20000,$B1400,INPUT_DELAY!$C$5:$C$20000,"SEMUA")&gt;=60,"Delay 60 mnt tapi ada ritase","OK"))))))</f>
        <v/>
      </c>
      <c r="P1400" s="158">
        <f>IFERROR(INDEX(MASTER_JAM!$Z$5:$AC$10,MATCH($I1400,MASTER_JAM!$Y$5:$Y$10,0),MATCH($J1400,MASTER_JAM!$Z$4:$AC$4,0))+0,0)</f>
        <v/>
      </c>
      <c r="Q1400" s="158">
        <f>IF($P1400=0,0,$P1400+IFERROR(INDEX(MASTER_JAM!$H$5:$H$94,MATCH($C1400,MASTER_JAM!$A$5:$A$94,0))+0,MASTER_JAM!$AC$15)/1000*(60/MASTER_JAM!$AC$12+60/MASTER_JAM!$AC$13)+MASTER_JAM!$AC$14)</f>
        <v/>
      </c>
      <c r="R1400" s="158">
        <f>IF(N($F1400)=0,0,$F1400/SUMIFS(INPUT_RITASE!$F$5:$F$20000,INPUT_RITASE!$A$5:$A$20000,$A1400,INPUT_RITASE!$B$5:$B$20000,$B1400,INPUT_RITASE!$C$5:$C$20000,$C1400,INPUT_RITASE!$D$5:$D$20000,$D1400))</f>
        <v/>
      </c>
      <c r="S1400" s="158">
        <f>IF($Q1400=0,0,$R1400*$P1400/$Q1400)</f>
        <v/>
      </c>
    </row>
    <row r="1401">
      <c r="A1401" s="155" t="n">
        <v>46108</v>
      </c>
      <c r="B1401" s="156" t="inlineStr">
        <is>
          <t>23-24</t>
        </is>
      </c>
      <c r="C1401" s="156" t="inlineStr">
        <is>
          <t>EX-755</t>
        </is>
      </c>
      <c r="D1401" s="156" t="inlineStr">
        <is>
          <t>DT-526</t>
        </is>
      </c>
      <c r="E1401" s="156" t="inlineStr">
        <is>
          <t>OB</t>
        </is>
      </c>
      <c r="F1401" s="156" t="n">
        <v>3</v>
      </c>
      <c r="G1401" s="156" t="inlineStr"/>
      <c r="H1401" s="157">
        <f>IF($B1401="","",IF(ISNA(MATCH($B1401,MASTER_JAM!$Q$5:$Q$28,0)),"?",IF(MATCH($B1401,MASTER_JAM!$Q$5:$Q$28,0)&lt;=12,"DS","NS")))</f>
        <v/>
      </c>
      <c r="I1401" s="157">
        <f>IFERROR(INDEX(MASTER_JAM!$B$5:$B$94,MATCH($C1401,MASTER_JAM!$A$5:$A$94,0)),"")</f>
        <v/>
      </c>
      <c r="J1401" s="157">
        <f>IFERROR(INDEX(MASTER_JAM!$E$5:$E$94,MATCH($D1401,MASTER_JAM!$A$5:$A$94,0)),"")</f>
        <v/>
      </c>
      <c r="K1401" s="158">
        <f>IFERROR(INDEX(MASTER_JAM!$J$5:$O$12,MATCH($E1401,MASTER_JAM!$I$5:$I$12,0),MATCH($J1401,MASTER_JAM!$J$4:$O$4,0))+0,0)</f>
        <v/>
      </c>
      <c r="L1401" s="159">
        <f>N($F1401)*$K1401</f>
        <v/>
      </c>
      <c r="M1401" s="157">
        <f>IF($E1401="","",IF(OR($E1401="Coal",$E1401="Dirty Coal"),"MT","BCM"))</f>
        <v/>
      </c>
      <c r="N1401" s="157">
        <f>IF($E1401="","",IF(OR($E1401="Coal",$E1401="Dirty Coal"),"Coal","OB"))</f>
        <v/>
      </c>
      <c r="O1401" s="157">
        <f>IF($F1401="","",IF(COUNTIF(MASTER_JAM!$A$5:$A$94,$C1401)=0,"Digger tidak dikenal",IF($J1401="","Hauler tidak dikenal",IF($H1401="?","Jam salah",IF($K1401=0,"Faktor kosong",IF(SUMIFS(INPUT_DELAY!$E$5:$E$20000,INPUT_DELAY!$A$5:$A$20000,$A1401,INPUT_DELAY!$B$5:$B$20000,$B1401,INPUT_DELAY!$C$5:$C$20000,$C1401)+SUMIFS(INPUT_DELAY!$E$5:$E$20000,INPUT_DELAY!$A$5:$A$20000,$A1401,INPUT_DELAY!$B$5:$B$20000,$B1401,INPUT_DELAY!$C$5:$C$20000,"SEMUA")&gt;=60,"Delay 60 mnt tapi ada ritase","OK"))))))</f>
        <v/>
      </c>
      <c r="P1401" s="158">
        <f>IFERROR(INDEX(MASTER_JAM!$Z$5:$AC$10,MATCH($I1401,MASTER_JAM!$Y$5:$Y$10,0),MATCH($J1401,MASTER_JAM!$Z$4:$AC$4,0))+0,0)</f>
        <v/>
      </c>
      <c r="Q1401" s="158">
        <f>IF($P1401=0,0,$P1401+IFERROR(INDEX(MASTER_JAM!$H$5:$H$94,MATCH($C1401,MASTER_JAM!$A$5:$A$94,0))+0,MASTER_JAM!$AC$15)/1000*(60/MASTER_JAM!$AC$12+60/MASTER_JAM!$AC$13)+MASTER_JAM!$AC$14)</f>
        <v/>
      </c>
      <c r="R1401" s="158">
        <f>IF(N($F1401)=0,0,$F1401/SUMIFS(INPUT_RITASE!$F$5:$F$20000,INPUT_RITASE!$A$5:$A$20000,$A1401,INPUT_RITASE!$B$5:$B$20000,$B1401,INPUT_RITASE!$C$5:$C$20000,$C1401,INPUT_RITASE!$D$5:$D$20000,$D1401))</f>
        <v/>
      </c>
      <c r="S1401" s="158">
        <f>IF($Q1401=0,0,$R1401*$P1401/$Q1401)</f>
        <v/>
      </c>
    </row>
    <row r="1402">
      <c r="A1402" s="155" t="n">
        <v>46108</v>
      </c>
      <c r="B1402" s="156" t="inlineStr">
        <is>
          <t>23-24</t>
        </is>
      </c>
      <c r="C1402" s="156" t="inlineStr">
        <is>
          <t>EX-755</t>
        </is>
      </c>
      <c r="D1402" s="156" t="inlineStr">
        <is>
          <t>DT-529</t>
        </is>
      </c>
      <c r="E1402" s="156" t="inlineStr">
        <is>
          <t>OB</t>
        </is>
      </c>
      <c r="F1402" s="156" t="n">
        <v>2</v>
      </c>
      <c r="G1402" s="156" t="inlineStr"/>
      <c r="H1402" s="157">
        <f>IF($B1402="","",IF(ISNA(MATCH($B1402,MASTER_JAM!$Q$5:$Q$28,0)),"?",IF(MATCH($B1402,MASTER_JAM!$Q$5:$Q$28,0)&lt;=12,"DS","NS")))</f>
        <v/>
      </c>
      <c r="I1402" s="157">
        <f>IFERROR(INDEX(MASTER_JAM!$B$5:$B$94,MATCH($C1402,MASTER_JAM!$A$5:$A$94,0)),"")</f>
        <v/>
      </c>
      <c r="J1402" s="157">
        <f>IFERROR(INDEX(MASTER_JAM!$E$5:$E$94,MATCH($D1402,MASTER_JAM!$A$5:$A$94,0)),"")</f>
        <v/>
      </c>
      <c r="K1402" s="158">
        <f>IFERROR(INDEX(MASTER_JAM!$J$5:$O$12,MATCH($E1402,MASTER_JAM!$I$5:$I$12,0),MATCH($J1402,MASTER_JAM!$J$4:$O$4,0))+0,0)</f>
        <v/>
      </c>
      <c r="L1402" s="159">
        <f>N($F1402)*$K1402</f>
        <v/>
      </c>
      <c r="M1402" s="157">
        <f>IF($E1402="","",IF(OR($E1402="Coal",$E1402="Dirty Coal"),"MT","BCM"))</f>
        <v/>
      </c>
      <c r="N1402" s="157">
        <f>IF($E1402="","",IF(OR($E1402="Coal",$E1402="Dirty Coal"),"Coal","OB"))</f>
        <v/>
      </c>
      <c r="O1402" s="157">
        <f>IF($F1402="","",IF(COUNTIF(MASTER_JAM!$A$5:$A$94,$C1402)=0,"Digger tidak dikenal",IF($J1402="","Hauler tidak dikenal",IF($H1402="?","Jam salah",IF($K1402=0,"Faktor kosong",IF(SUMIFS(INPUT_DELAY!$E$5:$E$20000,INPUT_DELAY!$A$5:$A$20000,$A1402,INPUT_DELAY!$B$5:$B$20000,$B1402,INPUT_DELAY!$C$5:$C$20000,$C1402)+SUMIFS(INPUT_DELAY!$E$5:$E$20000,INPUT_DELAY!$A$5:$A$20000,$A1402,INPUT_DELAY!$B$5:$B$20000,$B1402,INPUT_DELAY!$C$5:$C$20000,"SEMUA")&gt;=60,"Delay 60 mnt tapi ada ritase","OK"))))))</f>
        <v/>
      </c>
      <c r="P1402" s="158">
        <f>IFERROR(INDEX(MASTER_JAM!$Z$5:$AC$10,MATCH($I1402,MASTER_JAM!$Y$5:$Y$10,0),MATCH($J1402,MASTER_JAM!$Z$4:$AC$4,0))+0,0)</f>
        <v/>
      </c>
      <c r="Q1402" s="158">
        <f>IF($P1402=0,0,$P1402+IFERROR(INDEX(MASTER_JAM!$H$5:$H$94,MATCH($C1402,MASTER_JAM!$A$5:$A$94,0))+0,MASTER_JAM!$AC$15)/1000*(60/MASTER_JAM!$AC$12+60/MASTER_JAM!$AC$13)+MASTER_JAM!$AC$14)</f>
        <v/>
      </c>
      <c r="R1402" s="158">
        <f>IF(N($F1402)=0,0,$F1402/SUMIFS(INPUT_RITASE!$F$5:$F$20000,INPUT_RITASE!$A$5:$A$20000,$A1402,INPUT_RITASE!$B$5:$B$20000,$B1402,INPUT_RITASE!$C$5:$C$20000,$C1402,INPUT_RITASE!$D$5:$D$20000,$D1402))</f>
        <v/>
      </c>
      <c r="S1402" s="158">
        <f>IF($Q1402=0,0,$R1402*$P1402/$Q1402)</f>
        <v/>
      </c>
    </row>
    <row r="1403">
      <c r="A1403" s="155" t="n">
        <v>46108</v>
      </c>
      <c r="B1403" s="156" t="inlineStr">
        <is>
          <t>18-19</t>
        </is>
      </c>
      <c r="C1403" s="156" t="inlineStr">
        <is>
          <t>EX-753</t>
        </is>
      </c>
      <c r="D1403" s="156" t="inlineStr">
        <is>
          <t>DT-528</t>
        </is>
      </c>
      <c r="E1403" s="156" t="inlineStr">
        <is>
          <t>OB</t>
        </is>
      </c>
      <c r="F1403" s="156" t="n">
        <v>4</v>
      </c>
      <c r="G1403" s="156" t="inlineStr"/>
      <c r="H1403" s="157">
        <f>IF($B1403="","",IF(ISNA(MATCH($B1403,MASTER_JAM!$Q$5:$Q$28,0)),"?",IF(MATCH($B1403,MASTER_JAM!$Q$5:$Q$28,0)&lt;=12,"DS","NS")))</f>
        <v/>
      </c>
      <c r="I1403" s="157">
        <f>IFERROR(INDEX(MASTER_JAM!$B$5:$B$94,MATCH($C1403,MASTER_JAM!$A$5:$A$94,0)),"")</f>
        <v/>
      </c>
      <c r="J1403" s="157">
        <f>IFERROR(INDEX(MASTER_JAM!$E$5:$E$94,MATCH($D1403,MASTER_JAM!$A$5:$A$94,0)),"")</f>
        <v/>
      </c>
      <c r="K1403" s="158">
        <f>IFERROR(INDEX(MASTER_JAM!$J$5:$O$12,MATCH($E1403,MASTER_JAM!$I$5:$I$12,0),MATCH($J1403,MASTER_JAM!$J$4:$O$4,0))+0,0)</f>
        <v/>
      </c>
      <c r="L1403" s="159">
        <f>N($F1403)*$K1403</f>
        <v/>
      </c>
      <c r="M1403" s="157">
        <f>IF($E1403="","",IF(OR($E1403="Coal",$E1403="Dirty Coal"),"MT","BCM"))</f>
        <v/>
      </c>
      <c r="N1403" s="157">
        <f>IF($E1403="","",IF(OR($E1403="Coal",$E1403="Dirty Coal"),"Coal","OB"))</f>
        <v/>
      </c>
      <c r="O1403" s="157">
        <f>IF($F1403="","",IF(COUNTIF(MASTER_JAM!$A$5:$A$94,$C1403)=0,"Digger tidak dikenal",IF($J1403="","Hauler tidak dikenal",IF($H1403="?","Jam salah",IF($K1403=0,"Faktor kosong",IF(SUMIFS(INPUT_DELAY!$E$5:$E$20000,INPUT_DELAY!$A$5:$A$20000,$A1403,INPUT_DELAY!$B$5:$B$20000,$B1403,INPUT_DELAY!$C$5:$C$20000,$C1403)+SUMIFS(INPUT_DELAY!$E$5:$E$20000,INPUT_DELAY!$A$5:$A$20000,$A1403,INPUT_DELAY!$B$5:$B$20000,$B1403,INPUT_DELAY!$C$5:$C$20000,"SEMUA")&gt;=60,"Delay 60 mnt tapi ada ritase","OK"))))))</f>
        <v/>
      </c>
      <c r="P1403" s="158">
        <f>IFERROR(INDEX(MASTER_JAM!$Z$5:$AC$10,MATCH($I1403,MASTER_JAM!$Y$5:$Y$10,0),MATCH($J1403,MASTER_JAM!$Z$4:$AC$4,0))+0,0)</f>
        <v/>
      </c>
      <c r="Q1403" s="158">
        <f>IF($P1403=0,0,$P1403+IFERROR(INDEX(MASTER_JAM!$H$5:$H$94,MATCH($C1403,MASTER_JAM!$A$5:$A$94,0))+0,MASTER_JAM!$AC$15)/1000*(60/MASTER_JAM!$AC$12+60/MASTER_JAM!$AC$13)+MASTER_JAM!$AC$14)</f>
        <v/>
      </c>
      <c r="R1403" s="158">
        <f>IF(N($F1403)=0,0,$F1403/SUMIFS(INPUT_RITASE!$F$5:$F$20000,INPUT_RITASE!$A$5:$A$20000,$A1403,INPUT_RITASE!$B$5:$B$20000,$B1403,INPUT_RITASE!$C$5:$C$20000,$C1403,INPUT_RITASE!$D$5:$D$20000,$D1403))</f>
        <v/>
      </c>
      <c r="S1403" s="158">
        <f>IF($Q1403=0,0,$R1403*$P1403/$Q1403)</f>
        <v/>
      </c>
    </row>
    <row r="1404">
      <c r="A1404" s="155" t="n">
        <v>46108</v>
      </c>
      <c r="B1404" s="156" t="inlineStr">
        <is>
          <t>18-19</t>
        </is>
      </c>
      <c r="C1404" s="156" t="inlineStr">
        <is>
          <t>EX-753</t>
        </is>
      </c>
      <c r="D1404" s="156" t="inlineStr">
        <is>
          <t>DT-521</t>
        </is>
      </c>
      <c r="E1404" s="156" t="inlineStr">
        <is>
          <t>OB</t>
        </is>
      </c>
      <c r="F1404" s="156" t="n">
        <v>4</v>
      </c>
      <c r="G1404" s="156" t="inlineStr"/>
      <c r="H1404" s="157">
        <f>IF($B1404="","",IF(ISNA(MATCH($B1404,MASTER_JAM!$Q$5:$Q$28,0)),"?",IF(MATCH($B1404,MASTER_JAM!$Q$5:$Q$28,0)&lt;=12,"DS","NS")))</f>
        <v/>
      </c>
      <c r="I1404" s="157">
        <f>IFERROR(INDEX(MASTER_JAM!$B$5:$B$94,MATCH($C1404,MASTER_JAM!$A$5:$A$94,0)),"")</f>
        <v/>
      </c>
      <c r="J1404" s="157">
        <f>IFERROR(INDEX(MASTER_JAM!$E$5:$E$94,MATCH($D1404,MASTER_JAM!$A$5:$A$94,0)),"")</f>
        <v/>
      </c>
      <c r="K1404" s="158">
        <f>IFERROR(INDEX(MASTER_JAM!$J$5:$O$12,MATCH($E1404,MASTER_JAM!$I$5:$I$12,0),MATCH($J1404,MASTER_JAM!$J$4:$O$4,0))+0,0)</f>
        <v/>
      </c>
      <c r="L1404" s="159">
        <f>N($F1404)*$K1404</f>
        <v/>
      </c>
      <c r="M1404" s="157">
        <f>IF($E1404="","",IF(OR($E1404="Coal",$E1404="Dirty Coal"),"MT","BCM"))</f>
        <v/>
      </c>
      <c r="N1404" s="157">
        <f>IF($E1404="","",IF(OR($E1404="Coal",$E1404="Dirty Coal"),"Coal","OB"))</f>
        <v/>
      </c>
      <c r="O1404" s="157">
        <f>IF($F1404="","",IF(COUNTIF(MASTER_JAM!$A$5:$A$94,$C1404)=0,"Digger tidak dikenal",IF($J1404="","Hauler tidak dikenal",IF($H1404="?","Jam salah",IF($K1404=0,"Faktor kosong",IF(SUMIFS(INPUT_DELAY!$E$5:$E$20000,INPUT_DELAY!$A$5:$A$20000,$A1404,INPUT_DELAY!$B$5:$B$20000,$B1404,INPUT_DELAY!$C$5:$C$20000,$C1404)+SUMIFS(INPUT_DELAY!$E$5:$E$20000,INPUT_DELAY!$A$5:$A$20000,$A1404,INPUT_DELAY!$B$5:$B$20000,$B1404,INPUT_DELAY!$C$5:$C$20000,"SEMUA")&gt;=60,"Delay 60 mnt tapi ada ritase","OK"))))))</f>
        <v/>
      </c>
      <c r="P1404" s="158">
        <f>IFERROR(INDEX(MASTER_JAM!$Z$5:$AC$10,MATCH($I1404,MASTER_JAM!$Y$5:$Y$10,0),MATCH($J1404,MASTER_JAM!$Z$4:$AC$4,0))+0,0)</f>
        <v/>
      </c>
      <c r="Q1404" s="158">
        <f>IF($P1404=0,0,$P1404+IFERROR(INDEX(MASTER_JAM!$H$5:$H$94,MATCH($C1404,MASTER_JAM!$A$5:$A$94,0))+0,MASTER_JAM!$AC$15)/1000*(60/MASTER_JAM!$AC$12+60/MASTER_JAM!$AC$13)+MASTER_JAM!$AC$14)</f>
        <v/>
      </c>
      <c r="R1404" s="158">
        <f>IF(N($F1404)=0,0,$F1404/SUMIFS(INPUT_RITASE!$F$5:$F$20000,INPUT_RITASE!$A$5:$A$20000,$A1404,INPUT_RITASE!$B$5:$B$20000,$B1404,INPUT_RITASE!$C$5:$C$20000,$C1404,INPUT_RITASE!$D$5:$D$20000,$D1404))</f>
        <v/>
      </c>
      <c r="S1404" s="158">
        <f>IF($Q1404=0,0,$R1404*$P1404/$Q1404)</f>
        <v/>
      </c>
    </row>
    <row r="1405">
      <c r="A1405" s="155" t="n">
        <v>46108</v>
      </c>
      <c r="B1405" s="156" t="inlineStr">
        <is>
          <t>18-19</t>
        </is>
      </c>
      <c r="C1405" s="156" t="inlineStr">
        <is>
          <t>EX-753</t>
        </is>
      </c>
      <c r="D1405" s="156" t="inlineStr">
        <is>
          <t>DT-515</t>
        </is>
      </c>
      <c r="E1405" s="156" t="inlineStr">
        <is>
          <t>OB</t>
        </is>
      </c>
      <c r="F1405" s="156" t="n">
        <v>3</v>
      </c>
      <c r="G1405" s="156" t="inlineStr"/>
      <c r="H1405" s="157">
        <f>IF($B1405="","",IF(ISNA(MATCH($B1405,MASTER_JAM!$Q$5:$Q$28,0)),"?",IF(MATCH($B1405,MASTER_JAM!$Q$5:$Q$28,0)&lt;=12,"DS","NS")))</f>
        <v/>
      </c>
      <c r="I1405" s="157">
        <f>IFERROR(INDEX(MASTER_JAM!$B$5:$B$94,MATCH($C1405,MASTER_JAM!$A$5:$A$94,0)),"")</f>
        <v/>
      </c>
      <c r="J1405" s="157">
        <f>IFERROR(INDEX(MASTER_JAM!$E$5:$E$94,MATCH($D1405,MASTER_JAM!$A$5:$A$94,0)),"")</f>
        <v/>
      </c>
      <c r="K1405" s="158">
        <f>IFERROR(INDEX(MASTER_JAM!$J$5:$O$12,MATCH($E1405,MASTER_JAM!$I$5:$I$12,0),MATCH($J1405,MASTER_JAM!$J$4:$O$4,0))+0,0)</f>
        <v/>
      </c>
      <c r="L1405" s="159">
        <f>N($F1405)*$K1405</f>
        <v/>
      </c>
      <c r="M1405" s="157">
        <f>IF($E1405="","",IF(OR($E1405="Coal",$E1405="Dirty Coal"),"MT","BCM"))</f>
        <v/>
      </c>
      <c r="N1405" s="157">
        <f>IF($E1405="","",IF(OR($E1405="Coal",$E1405="Dirty Coal"),"Coal","OB"))</f>
        <v/>
      </c>
      <c r="O1405" s="157">
        <f>IF($F1405="","",IF(COUNTIF(MASTER_JAM!$A$5:$A$94,$C1405)=0,"Digger tidak dikenal",IF($J1405="","Hauler tidak dikenal",IF($H1405="?","Jam salah",IF($K1405=0,"Faktor kosong",IF(SUMIFS(INPUT_DELAY!$E$5:$E$20000,INPUT_DELAY!$A$5:$A$20000,$A1405,INPUT_DELAY!$B$5:$B$20000,$B1405,INPUT_DELAY!$C$5:$C$20000,$C1405)+SUMIFS(INPUT_DELAY!$E$5:$E$20000,INPUT_DELAY!$A$5:$A$20000,$A1405,INPUT_DELAY!$B$5:$B$20000,$B1405,INPUT_DELAY!$C$5:$C$20000,"SEMUA")&gt;=60,"Delay 60 mnt tapi ada ritase","OK"))))))</f>
        <v/>
      </c>
      <c r="P1405" s="158">
        <f>IFERROR(INDEX(MASTER_JAM!$Z$5:$AC$10,MATCH($I1405,MASTER_JAM!$Y$5:$Y$10,0),MATCH($J1405,MASTER_JAM!$Z$4:$AC$4,0))+0,0)</f>
        <v/>
      </c>
      <c r="Q1405" s="158">
        <f>IF($P1405=0,0,$P1405+IFERROR(INDEX(MASTER_JAM!$H$5:$H$94,MATCH($C1405,MASTER_JAM!$A$5:$A$94,0))+0,MASTER_JAM!$AC$15)/1000*(60/MASTER_JAM!$AC$12+60/MASTER_JAM!$AC$13)+MASTER_JAM!$AC$14)</f>
        <v/>
      </c>
      <c r="R1405" s="158">
        <f>IF(N($F1405)=0,0,$F1405/SUMIFS(INPUT_RITASE!$F$5:$F$20000,INPUT_RITASE!$A$5:$A$20000,$A1405,INPUT_RITASE!$B$5:$B$20000,$B1405,INPUT_RITASE!$C$5:$C$20000,$C1405,INPUT_RITASE!$D$5:$D$20000,$D1405))</f>
        <v/>
      </c>
      <c r="S1405" s="158">
        <f>IF($Q1405=0,0,$R1405*$P1405/$Q1405)</f>
        <v/>
      </c>
    </row>
    <row r="1406">
      <c r="A1406" s="155" t="n">
        <v>46108</v>
      </c>
      <c r="B1406" s="156" t="inlineStr">
        <is>
          <t>18-19</t>
        </is>
      </c>
      <c r="C1406" s="156" t="inlineStr">
        <is>
          <t>EX-753</t>
        </is>
      </c>
      <c r="D1406" s="156" t="inlineStr">
        <is>
          <t>DT-523</t>
        </is>
      </c>
      <c r="E1406" s="156" t="inlineStr">
        <is>
          <t>TS (Blending)</t>
        </is>
      </c>
      <c r="F1406" s="156" t="n">
        <v>1</v>
      </c>
      <c r="G1406" s="156" t="inlineStr"/>
      <c r="H1406" s="157">
        <f>IF($B1406="","",IF(ISNA(MATCH($B1406,MASTER_JAM!$Q$5:$Q$28,0)),"?",IF(MATCH($B1406,MASTER_JAM!$Q$5:$Q$28,0)&lt;=12,"DS","NS")))</f>
        <v/>
      </c>
      <c r="I1406" s="157">
        <f>IFERROR(INDEX(MASTER_JAM!$B$5:$B$94,MATCH($C1406,MASTER_JAM!$A$5:$A$94,0)),"")</f>
        <v/>
      </c>
      <c r="J1406" s="157">
        <f>IFERROR(INDEX(MASTER_JAM!$E$5:$E$94,MATCH($D1406,MASTER_JAM!$A$5:$A$94,0)),"")</f>
        <v/>
      </c>
      <c r="K1406" s="158">
        <f>IFERROR(INDEX(MASTER_JAM!$J$5:$O$12,MATCH($E1406,MASTER_JAM!$I$5:$I$12,0),MATCH($J1406,MASTER_JAM!$J$4:$O$4,0))+0,0)</f>
        <v/>
      </c>
      <c r="L1406" s="159">
        <f>N($F1406)*$K1406</f>
        <v/>
      </c>
      <c r="M1406" s="157">
        <f>IF($E1406="","",IF(OR($E1406="Coal",$E1406="Dirty Coal"),"MT","BCM"))</f>
        <v/>
      </c>
      <c r="N1406" s="157">
        <f>IF($E1406="","",IF(OR($E1406="Coal",$E1406="Dirty Coal"),"Coal","OB"))</f>
        <v/>
      </c>
      <c r="O1406" s="157">
        <f>IF($F1406="","",IF(COUNTIF(MASTER_JAM!$A$5:$A$94,$C1406)=0,"Digger tidak dikenal",IF($J1406="","Hauler tidak dikenal",IF($H1406="?","Jam salah",IF($K1406=0,"Faktor kosong",IF(SUMIFS(INPUT_DELAY!$E$5:$E$20000,INPUT_DELAY!$A$5:$A$20000,$A1406,INPUT_DELAY!$B$5:$B$20000,$B1406,INPUT_DELAY!$C$5:$C$20000,$C1406)+SUMIFS(INPUT_DELAY!$E$5:$E$20000,INPUT_DELAY!$A$5:$A$20000,$A1406,INPUT_DELAY!$B$5:$B$20000,$B1406,INPUT_DELAY!$C$5:$C$20000,"SEMUA")&gt;=60,"Delay 60 mnt tapi ada ritase","OK"))))))</f>
        <v/>
      </c>
      <c r="P1406" s="158">
        <f>IFERROR(INDEX(MASTER_JAM!$Z$5:$AC$10,MATCH($I1406,MASTER_JAM!$Y$5:$Y$10,0),MATCH($J1406,MASTER_JAM!$Z$4:$AC$4,0))+0,0)</f>
        <v/>
      </c>
      <c r="Q1406" s="158">
        <f>IF($P1406=0,0,$P1406+IFERROR(INDEX(MASTER_JAM!$H$5:$H$94,MATCH($C1406,MASTER_JAM!$A$5:$A$94,0))+0,MASTER_JAM!$AC$15)/1000*(60/MASTER_JAM!$AC$12+60/MASTER_JAM!$AC$13)+MASTER_JAM!$AC$14)</f>
        <v/>
      </c>
      <c r="R1406" s="158">
        <f>IF(N($F1406)=0,0,$F1406/SUMIFS(INPUT_RITASE!$F$5:$F$20000,INPUT_RITASE!$A$5:$A$20000,$A1406,INPUT_RITASE!$B$5:$B$20000,$B1406,INPUT_RITASE!$C$5:$C$20000,$C1406,INPUT_RITASE!$D$5:$D$20000,$D1406))</f>
        <v/>
      </c>
      <c r="S1406" s="158">
        <f>IF($Q1406=0,0,$R1406*$P1406/$Q1406)</f>
        <v/>
      </c>
    </row>
    <row r="1407">
      <c r="A1407" s="155" t="n">
        <v>46108</v>
      </c>
      <c r="B1407" s="156" t="inlineStr">
        <is>
          <t>19-20</t>
        </is>
      </c>
      <c r="C1407" s="156" t="inlineStr">
        <is>
          <t>EX-753</t>
        </is>
      </c>
      <c r="D1407" s="156" t="inlineStr">
        <is>
          <t>DT-504</t>
        </is>
      </c>
      <c r="E1407" s="156" t="inlineStr">
        <is>
          <t>TS (Blending)</t>
        </is>
      </c>
      <c r="F1407" s="156" t="n">
        <v>1</v>
      </c>
      <c r="G1407" s="156" t="inlineStr"/>
      <c r="H1407" s="157">
        <f>IF($B1407="","",IF(ISNA(MATCH($B1407,MASTER_JAM!$Q$5:$Q$28,0)),"?",IF(MATCH($B1407,MASTER_JAM!$Q$5:$Q$28,0)&lt;=12,"DS","NS")))</f>
        <v/>
      </c>
      <c r="I1407" s="157">
        <f>IFERROR(INDEX(MASTER_JAM!$B$5:$B$94,MATCH($C1407,MASTER_JAM!$A$5:$A$94,0)),"")</f>
        <v/>
      </c>
      <c r="J1407" s="157">
        <f>IFERROR(INDEX(MASTER_JAM!$E$5:$E$94,MATCH($D1407,MASTER_JAM!$A$5:$A$94,0)),"")</f>
        <v/>
      </c>
      <c r="K1407" s="158">
        <f>IFERROR(INDEX(MASTER_JAM!$J$5:$O$12,MATCH($E1407,MASTER_JAM!$I$5:$I$12,0),MATCH($J1407,MASTER_JAM!$J$4:$O$4,0))+0,0)</f>
        <v/>
      </c>
      <c r="L1407" s="159">
        <f>N($F1407)*$K1407</f>
        <v/>
      </c>
      <c r="M1407" s="157">
        <f>IF($E1407="","",IF(OR($E1407="Coal",$E1407="Dirty Coal"),"MT","BCM"))</f>
        <v/>
      </c>
      <c r="N1407" s="157">
        <f>IF($E1407="","",IF(OR($E1407="Coal",$E1407="Dirty Coal"),"Coal","OB"))</f>
        <v/>
      </c>
      <c r="O1407" s="157">
        <f>IF($F1407="","",IF(COUNTIF(MASTER_JAM!$A$5:$A$94,$C1407)=0,"Digger tidak dikenal",IF($J1407="","Hauler tidak dikenal",IF($H1407="?","Jam salah",IF($K1407=0,"Faktor kosong",IF(SUMIFS(INPUT_DELAY!$E$5:$E$20000,INPUT_DELAY!$A$5:$A$20000,$A1407,INPUT_DELAY!$B$5:$B$20000,$B1407,INPUT_DELAY!$C$5:$C$20000,$C1407)+SUMIFS(INPUT_DELAY!$E$5:$E$20000,INPUT_DELAY!$A$5:$A$20000,$A1407,INPUT_DELAY!$B$5:$B$20000,$B1407,INPUT_DELAY!$C$5:$C$20000,"SEMUA")&gt;=60,"Delay 60 mnt tapi ada ritase","OK"))))))</f>
        <v/>
      </c>
      <c r="P1407" s="158">
        <f>IFERROR(INDEX(MASTER_JAM!$Z$5:$AC$10,MATCH($I1407,MASTER_JAM!$Y$5:$Y$10,0),MATCH($J1407,MASTER_JAM!$Z$4:$AC$4,0))+0,0)</f>
        <v/>
      </c>
      <c r="Q1407" s="158">
        <f>IF($P1407=0,0,$P1407+IFERROR(INDEX(MASTER_JAM!$H$5:$H$94,MATCH($C1407,MASTER_JAM!$A$5:$A$94,0))+0,MASTER_JAM!$AC$15)/1000*(60/MASTER_JAM!$AC$12+60/MASTER_JAM!$AC$13)+MASTER_JAM!$AC$14)</f>
        <v/>
      </c>
      <c r="R1407" s="158">
        <f>IF(N($F1407)=0,0,$F1407/SUMIFS(INPUT_RITASE!$F$5:$F$20000,INPUT_RITASE!$A$5:$A$20000,$A1407,INPUT_RITASE!$B$5:$B$20000,$B1407,INPUT_RITASE!$C$5:$C$20000,$C1407,INPUT_RITASE!$D$5:$D$20000,$D1407))</f>
        <v/>
      </c>
      <c r="S1407" s="158">
        <f>IF($Q1407=0,0,$R1407*$P1407/$Q1407)</f>
        <v/>
      </c>
    </row>
    <row r="1408">
      <c r="A1408" s="155" t="n">
        <v>46108</v>
      </c>
      <c r="B1408" s="156" t="inlineStr">
        <is>
          <t>19-20</t>
        </is>
      </c>
      <c r="C1408" s="156" t="inlineStr">
        <is>
          <t>EX-753</t>
        </is>
      </c>
      <c r="D1408" s="156" t="inlineStr">
        <is>
          <t>DT-522</t>
        </is>
      </c>
      <c r="E1408" s="156" t="inlineStr">
        <is>
          <t>OB</t>
        </is>
      </c>
      <c r="F1408" s="156" t="n">
        <v>3</v>
      </c>
      <c r="G1408" s="156" t="inlineStr"/>
      <c r="H1408" s="157">
        <f>IF($B1408="","",IF(ISNA(MATCH($B1408,MASTER_JAM!$Q$5:$Q$28,0)),"?",IF(MATCH($B1408,MASTER_JAM!$Q$5:$Q$28,0)&lt;=12,"DS","NS")))</f>
        <v/>
      </c>
      <c r="I1408" s="157">
        <f>IFERROR(INDEX(MASTER_JAM!$B$5:$B$94,MATCH($C1408,MASTER_JAM!$A$5:$A$94,0)),"")</f>
        <v/>
      </c>
      <c r="J1408" s="157">
        <f>IFERROR(INDEX(MASTER_JAM!$E$5:$E$94,MATCH($D1408,MASTER_JAM!$A$5:$A$94,0)),"")</f>
        <v/>
      </c>
      <c r="K1408" s="158">
        <f>IFERROR(INDEX(MASTER_JAM!$J$5:$O$12,MATCH($E1408,MASTER_JAM!$I$5:$I$12,0),MATCH($J1408,MASTER_JAM!$J$4:$O$4,0))+0,0)</f>
        <v/>
      </c>
      <c r="L1408" s="159">
        <f>N($F1408)*$K1408</f>
        <v/>
      </c>
      <c r="M1408" s="157">
        <f>IF($E1408="","",IF(OR($E1408="Coal",$E1408="Dirty Coal"),"MT","BCM"))</f>
        <v/>
      </c>
      <c r="N1408" s="157">
        <f>IF($E1408="","",IF(OR($E1408="Coal",$E1408="Dirty Coal"),"Coal","OB"))</f>
        <v/>
      </c>
      <c r="O1408" s="157">
        <f>IF($F1408="","",IF(COUNTIF(MASTER_JAM!$A$5:$A$94,$C1408)=0,"Digger tidak dikenal",IF($J1408="","Hauler tidak dikenal",IF($H1408="?","Jam salah",IF($K1408=0,"Faktor kosong",IF(SUMIFS(INPUT_DELAY!$E$5:$E$20000,INPUT_DELAY!$A$5:$A$20000,$A1408,INPUT_DELAY!$B$5:$B$20000,$B1408,INPUT_DELAY!$C$5:$C$20000,$C1408)+SUMIFS(INPUT_DELAY!$E$5:$E$20000,INPUT_DELAY!$A$5:$A$20000,$A1408,INPUT_DELAY!$B$5:$B$20000,$B1408,INPUT_DELAY!$C$5:$C$20000,"SEMUA")&gt;=60,"Delay 60 mnt tapi ada ritase","OK"))))))</f>
        <v/>
      </c>
      <c r="P1408" s="158">
        <f>IFERROR(INDEX(MASTER_JAM!$Z$5:$AC$10,MATCH($I1408,MASTER_JAM!$Y$5:$Y$10,0),MATCH($J1408,MASTER_JAM!$Z$4:$AC$4,0))+0,0)</f>
        <v/>
      </c>
      <c r="Q1408" s="158">
        <f>IF($P1408=0,0,$P1408+IFERROR(INDEX(MASTER_JAM!$H$5:$H$94,MATCH($C1408,MASTER_JAM!$A$5:$A$94,0))+0,MASTER_JAM!$AC$15)/1000*(60/MASTER_JAM!$AC$12+60/MASTER_JAM!$AC$13)+MASTER_JAM!$AC$14)</f>
        <v/>
      </c>
      <c r="R1408" s="158">
        <f>IF(N($F1408)=0,0,$F1408/SUMIFS(INPUT_RITASE!$F$5:$F$20000,INPUT_RITASE!$A$5:$A$20000,$A1408,INPUT_RITASE!$B$5:$B$20000,$B1408,INPUT_RITASE!$C$5:$C$20000,$C1408,INPUT_RITASE!$D$5:$D$20000,$D1408))</f>
        <v/>
      </c>
      <c r="S1408" s="158">
        <f>IF($Q1408=0,0,$R1408*$P1408/$Q1408)</f>
        <v/>
      </c>
    </row>
    <row r="1409">
      <c r="A1409" s="155" t="n">
        <v>46108</v>
      </c>
      <c r="B1409" s="156" t="inlineStr">
        <is>
          <t>19-20</t>
        </is>
      </c>
      <c r="C1409" s="156" t="inlineStr">
        <is>
          <t>EX-753</t>
        </is>
      </c>
      <c r="D1409" s="156" t="inlineStr">
        <is>
          <t>DT-512</t>
        </is>
      </c>
      <c r="E1409" s="156" t="inlineStr">
        <is>
          <t>OB</t>
        </is>
      </c>
      <c r="F1409" s="156" t="n">
        <v>3</v>
      </c>
      <c r="G1409" s="156" t="inlineStr"/>
      <c r="H1409" s="157">
        <f>IF($B1409="","",IF(ISNA(MATCH($B1409,MASTER_JAM!$Q$5:$Q$28,0)),"?",IF(MATCH($B1409,MASTER_JAM!$Q$5:$Q$28,0)&lt;=12,"DS","NS")))</f>
        <v/>
      </c>
      <c r="I1409" s="157">
        <f>IFERROR(INDEX(MASTER_JAM!$B$5:$B$94,MATCH($C1409,MASTER_JAM!$A$5:$A$94,0)),"")</f>
        <v/>
      </c>
      <c r="J1409" s="157">
        <f>IFERROR(INDEX(MASTER_JAM!$E$5:$E$94,MATCH($D1409,MASTER_JAM!$A$5:$A$94,0)),"")</f>
        <v/>
      </c>
      <c r="K1409" s="158">
        <f>IFERROR(INDEX(MASTER_JAM!$J$5:$O$12,MATCH($E1409,MASTER_JAM!$I$5:$I$12,0),MATCH($J1409,MASTER_JAM!$J$4:$O$4,0))+0,0)</f>
        <v/>
      </c>
      <c r="L1409" s="159">
        <f>N($F1409)*$K1409</f>
        <v/>
      </c>
      <c r="M1409" s="157">
        <f>IF($E1409="","",IF(OR($E1409="Coal",$E1409="Dirty Coal"),"MT","BCM"))</f>
        <v/>
      </c>
      <c r="N1409" s="157">
        <f>IF($E1409="","",IF(OR($E1409="Coal",$E1409="Dirty Coal"),"Coal","OB"))</f>
        <v/>
      </c>
      <c r="O1409" s="157">
        <f>IF($F1409="","",IF(COUNTIF(MASTER_JAM!$A$5:$A$94,$C1409)=0,"Digger tidak dikenal",IF($J1409="","Hauler tidak dikenal",IF($H1409="?","Jam salah",IF($K1409=0,"Faktor kosong",IF(SUMIFS(INPUT_DELAY!$E$5:$E$20000,INPUT_DELAY!$A$5:$A$20000,$A1409,INPUT_DELAY!$B$5:$B$20000,$B1409,INPUT_DELAY!$C$5:$C$20000,$C1409)+SUMIFS(INPUT_DELAY!$E$5:$E$20000,INPUT_DELAY!$A$5:$A$20000,$A1409,INPUT_DELAY!$B$5:$B$20000,$B1409,INPUT_DELAY!$C$5:$C$20000,"SEMUA")&gt;=60,"Delay 60 mnt tapi ada ritase","OK"))))))</f>
        <v/>
      </c>
      <c r="P1409" s="158">
        <f>IFERROR(INDEX(MASTER_JAM!$Z$5:$AC$10,MATCH($I1409,MASTER_JAM!$Y$5:$Y$10,0),MATCH($J1409,MASTER_JAM!$Z$4:$AC$4,0))+0,0)</f>
        <v/>
      </c>
      <c r="Q1409" s="158">
        <f>IF($P1409=0,0,$P1409+IFERROR(INDEX(MASTER_JAM!$H$5:$H$94,MATCH($C1409,MASTER_JAM!$A$5:$A$94,0))+0,MASTER_JAM!$AC$15)/1000*(60/MASTER_JAM!$AC$12+60/MASTER_JAM!$AC$13)+MASTER_JAM!$AC$14)</f>
        <v/>
      </c>
      <c r="R1409" s="158">
        <f>IF(N($F1409)=0,0,$F1409/SUMIFS(INPUT_RITASE!$F$5:$F$20000,INPUT_RITASE!$A$5:$A$20000,$A1409,INPUT_RITASE!$B$5:$B$20000,$B1409,INPUT_RITASE!$C$5:$C$20000,$C1409,INPUT_RITASE!$D$5:$D$20000,$D1409))</f>
        <v/>
      </c>
      <c r="S1409" s="158">
        <f>IF($Q1409=0,0,$R1409*$P1409/$Q1409)</f>
        <v/>
      </c>
    </row>
    <row r="1410">
      <c r="A1410" s="155" t="n">
        <v>46108</v>
      </c>
      <c r="B1410" s="156" t="inlineStr">
        <is>
          <t>19-20</t>
        </is>
      </c>
      <c r="C1410" s="156" t="inlineStr">
        <is>
          <t>EX-753</t>
        </is>
      </c>
      <c r="D1410" s="156" t="inlineStr">
        <is>
          <t>DT-521</t>
        </is>
      </c>
      <c r="E1410" s="156" t="inlineStr">
        <is>
          <t>OB</t>
        </is>
      </c>
      <c r="F1410" s="156" t="n">
        <v>3</v>
      </c>
      <c r="G1410" s="156" t="inlineStr"/>
      <c r="H1410" s="157">
        <f>IF($B1410="","",IF(ISNA(MATCH($B1410,MASTER_JAM!$Q$5:$Q$28,0)),"?",IF(MATCH($B1410,MASTER_JAM!$Q$5:$Q$28,0)&lt;=12,"DS","NS")))</f>
        <v/>
      </c>
      <c r="I1410" s="157">
        <f>IFERROR(INDEX(MASTER_JAM!$B$5:$B$94,MATCH($C1410,MASTER_JAM!$A$5:$A$94,0)),"")</f>
        <v/>
      </c>
      <c r="J1410" s="157">
        <f>IFERROR(INDEX(MASTER_JAM!$E$5:$E$94,MATCH($D1410,MASTER_JAM!$A$5:$A$94,0)),"")</f>
        <v/>
      </c>
      <c r="K1410" s="158">
        <f>IFERROR(INDEX(MASTER_JAM!$J$5:$O$12,MATCH($E1410,MASTER_JAM!$I$5:$I$12,0),MATCH($J1410,MASTER_JAM!$J$4:$O$4,0))+0,0)</f>
        <v/>
      </c>
      <c r="L1410" s="159">
        <f>N($F1410)*$K1410</f>
        <v/>
      </c>
      <c r="M1410" s="157">
        <f>IF($E1410="","",IF(OR($E1410="Coal",$E1410="Dirty Coal"),"MT","BCM"))</f>
        <v/>
      </c>
      <c r="N1410" s="157">
        <f>IF($E1410="","",IF(OR($E1410="Coal",$E1410="Dirty Coal"),"Coal","OB"))</f>
        <v/>
      </c>
      <c r="O1410" s="157">
        <f>IF($F1410="","",IF(COUNTIF(MASTER_JAM!$A$5:$A$94,$C1410)=0,"Digger tidak dikenal",IF($J1410="","Hauler tidak dikenal",IF($H1410="?","Jam salah",IF($K1410=0,"Faktor kosong",IF(SUMIFS(INPUT_DELAY!$E$5:$E$20000,INPUT_DELAY!$A$5:$A$20000,$A1410,INPUT_DELAY!$B$5:$B$20000,$B1410,INPUT_DELAY!$C$5:$C$20000,$C1410)+SUMIFS(INPUT_DELAY!$E$5:$E$20000,INPUT_DELAY!$A$5:$A$20000,$A1410,INPUT_DELAY!$B$5:$B$20000,$B1410,INPUT_DELAY!$C$5:$C$20000,"SEMUA")&gt;=60,"Delay 60 mnt tapi ada ritase","OK"))))))</f>
        <v/>
      </c>
      <c r="P1410" s="158">
        <f>IFERROR(INDEX(MASTER_JAM!$Z$5:$AC$10,MATCH($I1410,MASTER_JAM!$Y$5:$Y$10,0),MATCH($J1410,MASTER_JAM!$Z$4:$AC$4,0))+0,0)</f>
        <v/>
      </c>
      <c r="Q1410" s="158">
        <f>IF($P1410=0,0,$P1410+IFERROR(INDEX(MASTER_JAM!$H$5:$H$94,MATCH($C1410,MASTER_JAM!$A$5:$A$94,0))+0,MASTER_JAM!$AC$15)/1000*(60/MASTER_JAM!$AC$12+60/MASTER_JAM!$AC$13)+MASTER_JAM!$AC$14)</f>
        <v/>
      </c>
      <c r="R1410" s="158">
        <f>IF(N($F1410)=0,0,$F1410/SUMIFS(INPUT_RITASE!$F$5:$F$20000,INPUT_RITASE!$A$5:$A$20000,$A1410,INPUT_RITASE!$B$5:$B$20000,$B1410,INPUT_RITASE!$C$5:$C$20000,$C1410,INPUT_RITASE!$D$5:$D$20000,$D1410))</f>
        <v/>
      </c>
      <c r="S1410" s="158">
        <f>IF($Q1410=0,0,$R1410*$P1410/$Q1410)</f>
        <v/>
      </c>
    </row>
    <row r="1411">
      <c r="A1411" s="155" t="n">
        <v>46108</v>
      </c>
      <c r="B1411" s="156" t="inlineStr">
        <is>
          <t>20-21</t>
        </is>
      </c>
      <c r="C1411" s="156" t="inlineStr">
        <is>
          <t>EX-753</t>
        </is>
      </c>
      <c r="D1411" s="156" t="inlineStr">
        <is>
          <t>DT-529</t>
        </is>
      </c>
      <c r="E1411" s="156" t="inlineStr">
        <is>
          <t>OB</t>
        </is>
      </c>
      <c r="F1411" s="156" t="n">
        <v>3</v>
      </c>
      <c r="G1411" s="156" t="inlineStr"/>
      <c r="H1411" s="157">
        <f>IF($B1411="","",IF(ISNA(MATCH($B1411,MASTER_JAM!$Q$5:$Q$28,0)),"?",IF(MATCH($B1411,MASTER_JAM!$Q$5:$Q$28,0)&lt;=12,"DS","NS")))</f>
        <v/>
      </c>
      <c r="I1411" s="157">
        <f>IFERROR(INDEX(MASTER_JAM!$B$5:$B$94,MATCH($C1411,MASTER_JAM!$A$5:$A$94,0)),"")</f>
        <v/>
      </c>
      <c r="J1411" s="157">
        <f>IFERROR(INDEX(MASTER_JAM!$E$5:$E$94,MATCH($D1411,MASTER_JAM!$A$5:$A$94,0)),"")</f>
        <v/>
      </c>
      <c r="K1411" s="158">
        <f>IFERROR(INDEX(MASTER_JAM!$J$5:$O$12,MATCH($E1411,MASTER_JAM!$I$5:$I$12,0),MATCH($J1411,MASTER_JAM!$J$4:$O$4,0))+0,0)</f>
        <v/>
      </c>
      <c r="L1411" s="159">
        <f>N($F1411)*$K1411</f>
        <v/>
      </c>
      <c r="M1411" s="157">
        <f>IF($E1411="","",IF(OR($E1411="Coal",$E1411="Dirty Coal"),"MT","BCM"))</f>
        <v/>
      </c>
      <c r="N1411" s="157">
        <f>IF($E1411="","",IF(OR($E1411="Coal",$E1411="Dirty Coal"),"Coal","OB"))</f>
        <v/>
      </c>
      <c r="O1411" s="157">
        <f>IF($F1411="","",IF(COUNTIF(MASTER_JAM!$A$5:$A$94,$C1411)=0,"Digger tidak dikenal",IF($J1411="","Hauler tidak dikenal",IF($H1411="?","Jam salah",IF($K1411=0,"Faktor kosong",IF(SUMIFS(INPUT_DELAY!$E$5:$E$20000,INPUT_DELAY!$A$5:$A$20000,$A1411,INPUT_DELAY!$B$5:$B$20000,$B1411,INPUT_DELAY!$C$5:$C$20000,$C1411)+SUMIFS(INPUT_DELAY!$E$5:$E$20000,INPUT_DELAY!$A$5:$A$20000,$A1411,INPUT_DELAY!$B$5:$B$20000,$B1411,INPUT_DELAY!$C$5:$C$20000,"SEMUA")&gt;=60,"Delay 60 mnt tapi ada ritase","OK"))))))</f>
        <v/>
      </c>
      <c r="P1411" s="158">
        <f>IFERROR(INDEX(MASTER_JAM!$Z$5:$AC$10,MATCH($I1411,MASTER_JAM!$Y$5:$Y$10,0),MATCH($J1411,MASTER_JAM!$Z$4:$AC$4,0))+0,0)</f>
        <v/>
      </c>
      <c r="Q1411" s="158">
        <f>IF($P1411=0,0,$P1411+IFERROR(INDEX(MASTER_JAM!$H$5:$H$94,MATCH($C1411,MASTER_JAM!$A$5:$A$94,0))+0,MASTER_JAM!$AC$15)/1000*(60/MASTER_JAM!$AC$12+60/MASTER_JAM!$AC$13)+MASTER_JAM!$AC$14)</f>
        <v/>
      </c>
      <c r="R1411" s="158">
        <f>IF(N($F1411)=0,0,$F1411/SUMIFS(INPUT_RITASE!$F$5:$F$20000,INPUT_RITASE!$A$5:$A$20000,$A1411,INPUT_RITASE!$B$5:$B$20000,$B1411,INPUT_RITASE!$C$5:$C$20000,$C1411,INPUT_RITASE!$D$5:$D$20000,$D1411))</f>
        <v/>
      </c>
      <c r="S1411" s="158">
        <f>IF($Q1411=0,0,$R1411*$P1411/$Q1411)</f>
        <v/>
      </c>
    </row>
    <row r="1412">
      <c r="A1412" s="155" t="n">
        <v>46108</v>
      </c>
      <c r="B1412" s="156" t="inlineStr">
        <is>
          <t>20-21</t>
        </is>
      </c>
      <c r="C1412" s="156" t="inlineStr">
        <is>
          <t>EX-753</t>
        </is>
      </c>
      <c r="D1412" s="156" t="inlineStr">
        <is>
          <t>DT-512</t>
        </is>
      </c>
      <c r="E1412" s="156" t="inlineStr">
        <is>
          <t>OB</t>
        </is>
      </c>
      <c r="F1412" s="156" t="n">
        <v>3</v>
      </c>
      <c r="G1412" s="156" t="inlineStr"/>
      <c r="H1412" s="157">
        <f>IF($B1412="","",IF(ISNA(MATCH($B1412,MASTER_JAM!$Q$5:$Q$28,0)),"?",IF(MATCH($B1412,MASTER_JAM!$Q$5:$Q$28,0)&lt;=12,"DS","NS")))</f>
        <v/>
      </c>
      <c r="I1412" s="157">
        <f>IFERROR(INDEX(MASTER_JAM!$B$5:$B$94,MATCH($C1412,MASTER_JAM!$A$5:$A$94,0)),"")</f>
        <v/>
      </c>
      <c r="J1412" s="157">
        <f>IFERROR(INDEX(MASTER_JAM!$E$5:$E$94,MATCH($D1412,MASTER_JAM!$A$5:$A$94,0)),"")</f>
        <v/>
      </c>
      <c r="K1412" s="158">
        <f>IFERROR(INDEX(MASTER_JAM!$J$5:$O$12,MATCH($E1412,MASTER_JAM!$I$5:$I$12,0),MATCH($J1412,MASTER_JAM!$J$4:$O$4,0))+0,0)</f>
        <v/>
      </c>
      <c r="L1412" s="159">
        <f>N($F1412)*$K1412</f>
        <v/>
      </c>
      <c r="M1412" s="157">
        <f>IF($E1412="","",IF(OR($E1412="Coal",$E1412="Dirty Coal"),"MT","BCM"))</f>
        <v/>
      </c>
      <c r="N1412" s="157">
        <f>IF($E1412="","",IF(OR($E1412="Coal",$E1412="Dirty Coal"),"Coal","OB"))</f>
        <v/>
      </c>
      <c r="O1412" s="157">
        <f>IF($F1412="","",IF(COUNTIF(MASTER_JAM!$A$5:$A$94,$C1412)=0,"Digger tidak dikenal",IF($J1412="","Hauler tidak dikenal",IF($H1412="?","Jam salah",IF($K1412=0,"Faktor kosong",IF(SUMIFS(INPUT_DELAY!$E$5:$E$20000,INPUT_DELAY!$A$5:$A$20000,$A1412,INPUT_DELAY!$B$5:$B$20000,$B1412,INPUT_DELAY!$C$5:$C$20000,$C1412)+SUMIFS(INPUT_DELAY!$E$5:$E$20000,INPUT_DELAY!$A$5:$A$20000,$A1412,INPUT_DELAY!$B$5:$B$20000,$B1412,INPUT_DELAY!$C$5:$C$20000,"SEMUA")&gt;=60,"Delay 60 mnt tapi ada ritase","OK"))))))</f>
        <v/>
      </c>
      <c r="P1412" s="158">
        <f>IFERROR(INDEX(MASTER_JAM!$Z$5:$AC$10,MATCH($I1412,MASTER_JAM!$Y$5:$Y$10,0),MATCH($J1412,MASTER_JAM!$Z$4:$AC$4,0))+0,0)</f>
        <v/>
      </c>
      <c r="Q1412" s="158">
        <f>IF($P1412=0,0,$P1412+IFERROR(INDEX(MASTER_JAM!$H$5:$H$94,MATCH($C1412,MASTER_JAM!$A$5:$A$94,0))+0,MASTER_JAM!$AC$15)/1000*(60/MASTER_JAM!$AC$12+60/MASTER_JAM!$AC$13)+MASTER_JAM!$AC$14)</f>
        <v/>
      </c>
      <c r="R1412" s="158">
        <f>IF(N($F1412)=0,0,$F1412/SUMIFS(INPUT_RITASE!$F$5:$F$20000,INPUT_RITASE!$A$5:$A$20000,$A1412,INPUT_RITASE!$B$5:$B$20000,$B1412,INPUT_RITASE!$C$5:$C$20000,$C1412,INPUT_RITASE!$D$5:$D$20000,$D1412))</f>
        <v/>
      </c>
      <c r="S1412" s="158">
        <f>IF($Q1412=0,0,$R1412*$P1412/$Q1412)</f>
        <v/>
      </c>
    </row>
    <row r="1413">
      <c r="A1413" s="155" t="n">
        <v>46108</v>
      </c>
      <c r="B1413" s="156" t="inlineStr">
        <is>
          <t>20-21</t>
        </is>
      </c>
      <c r="C1413" s="156" t="inlineStr">
        <is>
          <t>EX-753</t>
        </is>
      </c>
      <c r="D1413" s="156" t="inlineStr">
        <is>
          <t>DT-501</t>
        </is>
      </c>
      <c r="E1413" s="156" t="inlineStr">
        <is>
          <t>TS (Blending)</t>
        </is>
      </c>
      <c r="F1413" s="156" t="n">
        <v>1</v>
      </c>
      <c r="G1413" s="156" t="inlineStr"/>
      <c r="H1413" s="157">
        <f>IF($B1413="","",IF(ISNA(MATCH($B1413,MASTER_JAM!$Q$5:$Q$28,0)),"?",IF(MATCH($B1413,MASTER_JAM!$Q$5:$Q$28,0)&lt;=12,"DS","NS")))</f>
        <v/>
      </c>
      <c r="I1413" s="157">
        <f>IFERROR(INDEX(MASTER_JAM!$B$5:$B$94,MATCH($C1413,MASTER_JAM!$A$5:$A$94,0)),"")</f>
        <v/>
      </c>
      <c r="J1413" s="157">
        <f>IFERROR(INDEX(MASTER_JAM!$E$5:$E$94,MATCH($D1413,MASTER_JAM!$A$5:$A$94,0)),"")</f>
        <v/>
      </c>
      <c r="K1413" s="158">
        <f>IFERROR(INDEX(MASTER_JAM!$J$5:$O$12,MATCH($E1413,MASTER_JAM!$I$5:$I$12,0),MATCH($J1413,MASTER_JAM!$J$4:$O$4,0))+0,0)</f>
        <v/>
      </c>
      <c r="L1413" s="159">
        <f>N($F1413)*$K1413</f>
        <v/>
      </c>
      <c r="M1413" s="157">
        <f>IF($E1413="","",IF(OR($E1413="Coal",$E1413="Dirty Coal"),"MT","BCM"))</f>
        <v/>
      </c>
      <c r="N1413" s="157">
        <f>IF($E1413="","",IF(OR($E1413="Coal",$E1413="Dirty Coal"),"Coal","OB"))</f>
        <v/>
      </c>
      <c r="O1413" s="157">
        <f>IF($F1413="","",IF(COUNTIF(MASTER_JAM!$A$5:$A$94,$C1413)=0,"Digger tidak dikenal",IF($J1413="","Hauler tidak dikenal",IF($H1413="?","Jam salah",IF($K1413=0,"Faktor kosong",IF(SUMIFS(INPUT_DELAY!$E$5:$E$20000,INPUT_DELAY!$A$5:$A$20000,$A1413,INPUT_DELAY!$B$5:$B$20000,$B1413,INPUT_DELAY!$C$5:$C$20000,$C1413)+SUMIFS(INPUT_DELAY!$E$5:$E$20000,INPUT_DELAY!$A$5:$A$20000,$A1413,INPUT_DELAY!$B$5:$B$20000,$B1413,INPUT_DELAY!$C$5:$C$20000,"SEMUA")&gt;=60,"Delay 60 mnt tapi ada ritase","OK"))))))</f>
        <v/>
      </c>
      <c r="P1413" s="158">
        <f>IFERROR(INDEX(MASTER_JAM!$Z$5:$AC$10,MATCH($I1413,MASTER_JAM!$Y$5:$Y$10,0),MATCH($J1413,MASTER_JAM!$Z$4:$AC$4,0))+0,0)</f>
        <v/>
      </c>
      <c r="Q1413" s="158">
        <f>IF($P1413=0,0,$P1413+IFERROR(INDEX(MASTER_JAM!$H$5:$H$94,MATCH($C1413,MASTER_JAM!$A$5:$A$94,0))+0,MASTER_JAM!$AC$15)/1000*(60/MASTER_JAM!$AC$12+60/MASTER_JAM!$AC$13)+MASTER_JAM!$AC$14)</f>
        <v/>
      </c>
      <c r="R1413" s="158">
        <f>IF(N($F1413)=0,0,$F1413/SUMIFS(INPUT_RITASE!$F$5:$F$20000,INPUT_RITASE!$A$5:$A$20000,$A1413,INPUT_RITASE!$B$5:$B$20000,$B1413,INPUT_RITASE!$C$5:$C$20000,$C1413,INPUT_RITASE!$D$5:$D$20000,$D1413))</f>
        <v/>
      </c>
      <c r="S1413" s="158">
        <f>IF($Q1413=0,0,$R1413*$P1413/$Q1413)</f>
        <v/>
      </c>
    </row>
    <row r="1414">
      <c r="A1414" s="155" t="n">
        <v>46108</v>
      </c>
      <c r="B1414" s="156" t="inlineStr">
        <is>
          <t>21-22</t>
        </is>
      </c>
      <c r="C1414" s="156" t="inlineStr">
        <is>
          <t>EX-753</t>
        </is>
      </c>
      <c r="D1414" s="156" t="inlineStr">
        <is>
          <t>DT-526</t>
        </is>
      </c>
      <c r="E1414" s="156" t="inlineStr">
        <is>
          <t>Coal</t>
        </is>
      </c>
      <c r="F1414" s="156" t="n">
        <v>3</v>
      </c>
      <c r="G1414" s="156" t="inlineStr"/>
      <c r="H1414" s="157">
        <f>IF($B1414="","",IF(ISNA(MATCH($B1414,MASTER_JAM!$Q$5:$Q$28,0)),"?",IF(MATCH($B1414,MASTER_JAM!$Q$5:$Q$28,0)&lt;=12,"DS","NS")))</f>
        <v/>
      </c>
      <c r="I1414" s="157">
        <f>IFERROR(INDEX(MASTER_JAM!$B$5:$B$94,MATCH($C1414,MASTER_JAM!$A$5:$A$94,0)),"")</f>
        <v/>
      </c>
      <c r="J1414" s="157">
        <f>IFERROR(INDEX(MASTER_JAM!$E$5:$E$94,MATCH($D1414,MASTER_JAM!$A$5:$A$94,0)),"")</f>
        <v/>
      </c>
      <c r="K1414" s="158">
        <f>IFERROR(INDEX(MASTER_JAM!$J$5:$O$12,MATCH($E1414,MASTER_JAM!$I$5:$I$12,0),MATCH($J1414,MASTER_JAM!$J$4:$O$4,0))+0,0)</f>
        <v/>
      </c>
      <c r="L1414" s="159">
        <f>N($F1414)*$K1414</f>
        <v/>
      </c>
      <c r="M1414" s="157">
        <f>IF($E1414="","",IF(OR($E1414="Coal",$E1414="Dirty Coal"),"MT","BCM"))</f>
        <v/>
      </c>
      <c r="N1414" s="157">
        <f>IF($E1414="","",IF(OR($E1414="Coal",$E1414="Dirty Coal"),"Coal","OB"))</f>
        <v/>
      </c>
      <c r="O1414" s="157">
        <f>IF($F1414="","",IF(COUNTIF(MASTER_JAM!$A$5:$A$94,$C1414)=0,"Digger tidak dikenal",IF($J1414="","Hauler tidak dikenal",IF($H1414="?","Jam salah",IF($K1414=0,"Faktor kosong",IF(SUMIFS(INPUT_DELAY!$E$5:$E$20000,INPUT_DELAY!$A$5:$A$20000,$A1414,INPUT_DELAY!$B$5:$B$20000,$B1414,INPUT_DELAY!$C$5:$C$20000,$C1414)+SUMIFS(INPUT_DELAY!$E$5:$E$20000,INPUT_DELAY!$A$5:$A$20000,$A1414,INPUT_DELAY!$B$5:$B$20000,$B1414,INPUT_DELAY!$C$5:$C$20000,"SEMUA")&gt;=60,"Delay 60 mnt tapi ada ritase","OK"))))))</f>
        <v/>
      </c>
      <c r="P1414" s="158">
        <f>IFERROR(INDEX(MASTER_JAM!$Z$5:$AC$10,MATCH($I1414,MASTER_JAM!$Y$5:$Y$10,0),MATCH($J1414,MASTER_JAM!$Z$4:$AC$4,0))+0,0)</f>
        <v/>
      </c>
      <c r="Q1414" s="158">
        <f>IF($P1414=0,0,$P1414+IFERROR(INDEX(MASTER_JAM!$H$5:$H$94,MATCH($C1414,MASTER_JAM!$A$5:$A$94,0))+0,MASTER_JAM!$AC$15)/1000*(60/MASTER_JAM!$AC$12+60/MASTER_JAM!$AC$13)+MASTER_JAM!$AC$14)</f>
        <v/>
      </c>
      <c r="R1414" s="158">
        <f>IF(N($F1414)=0,0,$F1414/SUMIFS(INPUT_RITASE!$F$5:$F$20000,INPUT_RITASE!$A$5:$A$20000,$A1414,INPUT_RITASE!$B$5:$B$20000,$B1414,INPUT_RITASE!$C$5:$C$20000,$C1414,INPUT_RITASE!$D$5:$D$20000,$D1414))</f>
        <v/>
      </c>
      <c r="S1414" s="158">
        <f>IF($Q1414=0,0,$R1414*$P1414/$Q1414)</f>
        <v/>
      </c>
    </row>
    <row r="1415">
      <c r="A1415" s="155" t="n">
        <v>46108</v>
      </c>
      <c r="B1415" s="156" t="inlineStr">
        <is>
          <t>21-22</t>
        </is>
      </c>
      <c r="C1415" s="156" t="inlineStr">
        <is>
          <t>EX-753</t>
        </is>
      </c>
      <c r="D1415" s="156" t="inlineStr">
        <is>
          <t>DT-522</t>
        </is>
      </c>
      <c r="E1415" s="156" t="inlineStr">
        <is>
          <t>Coal</t>
        </is>
      </c>
      <c r="F1415" s="156" t="n">
        <v>3</v>
      </c>
      <c r="G1415" s="156" t="inlineStr"/>
      <c r="H1415" s="157">
        <f>IF($B1415="","",IF(ISNA(MATCH($B1415,MASTER_JAM!$Q$5:$Q$28,0)),"?",IF(MATCH($B1415,MASTER_JAM!$Q$5:$Q$28,0)&lt;=12,"DS","NS")))</f>
        <v/>
      </c>
      <c r="I1415" s="157">
        <f>IFERROR(INDEX(MASTER_JAM!$B$5:$B$94,MATCH($C1415,MASTER_JAM!$A$5:$A$94,0)),"")</f>
        <v/>
      </c>
      <c r="J1415" s="157">
        <f>IFERROR(INDEX(MASTER_JAM!$E$5:$E$94,MATCH($D1415,MASTER_JAM!$A$5:$A$94,0)),"")</f>
        <v/>
      </c>
      <c r="K1415" s="158">
        <f>IFERROR(INDEX(MASTER_JAM!$J$5:$O$12,MATCH($E1415,MASTER_JAM!$I$5:$I$12,0),MATCH($J1415,MASTER_JAM!$J$4:$O$4,0))+0,0)</f>
        <v/>
      </c>
      <c r="L1415" s="159">
        <f>N($F1415)*$K1415</f>
        <v/>
      </c>
      <c r="M1415" s="157">
        <f>IF($E1415="","",IF(OR($E1415="Coal",$E1415="Dirty Coal"),"MT","BCM"))</f>
        <v/>
      </c>
      <c r="N1415" s="157">
        <f>IF($E1415="","",IF(OR($E1415="Coal",$E1415="Dirty Coal"),"Coal","OB"))</f>
        <v/>
      </c>
      <c r="O1415" s="157">
        <f>IF($F1415="","",IF(COUNTIF(MASTER_JAM!$A$5:$A$94,$C1415)=0,"Digger tidak dikenal",IF($J1415="","Hauler tidak dikenal",IF($H1415="?","Jam salah",IF($K1415=0,"Faktor kosong",IF(SUMIFS(INPUT_DELAY!$E$5:$E$20000,INPUT_DELAY!$A$5:$A$20000,$A1415,INPUT_DELAY!$B$5:$B$20000,$B1415,INPUT_DELAY!$C$5:$C$20000,$C1415)+SUMIFS(INPUT_DELAY!$E$5:$E$20000,INPUT_DELAY!$A$5:$A$20000,$A1415,INPUT_DELAY!$B$5:$B$20000,$B1415,INPUT_DELAY!$C$5:$C$20000,"SEMUA")&gt;=60,"Delay 60 mnt tapi ada ritase","OK"))))))</f>
        <v/>
      </c>
      <c r="P1415" s="158">
        <f>IFERROR(INDEX(MASTER_JAM!$Z$5:$AC$10,MATCH($I1415,MASTER_JAM!$Y$5:$Y$10,0),MATCH($J1415,MASTER_JAM!$Z$4:$AC$4,0))+0,0)</f>
        <v/>
      </c>
      <c r="Q1415" s="158">
        <f>IF($P1415=0,0,$P1415+IFERROR(INDEX(MASTER_JAM!$H$5:$H$94,MATCH($C1415,MASTER_JAM!$A$5:$A$94,0))+0,MASTER_JAM!$AC$15)/1000*(60/MASTER_JAM!$AC$12+60/MASTER_JAM!$AC$13)+MASTER_JAM!$AC$14)</f>
        <v/>
      </c>
      <c r="R1415" s="158">
        <f>IF(N($F1415)=0,0,$F1415/SUMIFS(INPUT_RITASE!$F$5:$F$20000,INPUT_RITASE!$A$5:$A$20000,$A1415,INPUT_RITASE!$B$5:$B$20000,$B1415,INPUT_RITASE!$C$5:$C$20000,$C1415,INPUT_RITASE!$D$5:$D$20000,$D1415))</f>
        <v/>
      </c>
      <c r="S1415" s="158">
        <f>IF($Q1415=0,0,$R1415*$P1415/$Q1415)</f>
        <v/>
      </c>
    </row>
    <row r="1416">
      <c r="A1416" s="155" t="n">
        <v>46108</v>
      </c>
      <c r="B1416" s="156" t="inlineStr">
        <is>
          <t>22-23</t>
        </is>
      </c>
      <c r="C1416" s="156" t="inlineStr">
        <is>
          <t>EX-753</t>
        </is>
      </c>
      <c r="D1416" s="156" t="inlineStr">
        <is>
          <t>DT-526</t>
        </is>
      </c>
      <c r="E1416" s="156" t="inlineStr">
        <is>
          <t>Coal</t>
        </is>
      </c>
      <c r="F1416" s="156" t="n">
        <v>3</v>
      </c>
      <c r="G1416" s="156" t="inlineStr"/>
      <c r="H1416" s="157">
        <f>IF($B1416="","",IF(ISNA(MATCH($B1416,MASTER_JAM!$Q$5:$Q$28,0)),"?",IF(MATCH($B1416,MASTER_JAM!$Q$5:$Q$28,0)&lt;=12,"DS","NS")))</f>
        <v/>
      </c>
      <c r="I1416" s="157">
        <f>IFERROR(INDEX(MASTER_JAM!$B$5:$B$94,MATCH($C1416,MASTER_JAM!$A$5:$A$94,0)),"")</f>
        <v/>
      </c>
      <c r="J1416" s="157">
        <f>IFERROR(INDEX(MASTER_JAM!$E$5:$E$94,MATCH($D1416,MASTER_JAM!$A$5:$A$94,0)),"")</f>
        <v/>
      </c>
      <c r="K1416" s="158">
        <f>IFERROR(INDEX(MASTER_JAM!$J$5:$O$12,MATCH($E1416,MASTER_JAM!$I$5:$I$12,0),MATCH($J1416,MASTER_JAM!$J$4:$O$4,0))+0,0)</f>
        <v/>
      </c>
      <c r="L1416" s="159">
        <f>N($F1416)*$K1416</f>
        <v/>
      </c>
      <c r="M1416" s="157">
        <f>IF($E1416="","",IF(OR($E1416="Coal",$E1416="Dirty Coal"),"MT","BCM"))</f>
        <v/>
      </c>
      <c r="N1416" s="157">
        <f>IF($E1416="","",IF(OR($E1416="Coal",$E1416="Dirty Coal"),"Coal","OB"))</f>
        <v/>
      </c>
      <c r="O1416" s="157">
        <f>IF($F1416="","",IF(COUNTIF(MASTER_JAM!$A$5:$A$94,$C1416)=0,"Digger tidak dikenal",IF($J1416="","Hauler tidak dikenal",IF($H1416="?","Jam salah",IF($K1416=0,"Faktor kosong",IF(SUMIFS(INPUT_DELAY!$E$5:$E$20000,INPUT_DELAY!$A$5:$A$20000,$A1416,INPUT_DELAY!$B$5:$B$20000,$B1416,INPUT_DELAY!$C$5:$C$20000,$C1416)+SUMIFS(INPUT_DELAY!$E$5:$E$20000,INPUT_DELAY!$A$5:$A$20000,$A1416,INPUT_DELAY!$B$5:$B$20000,$B1416,INPUT_DELAY!$C$5:$C$20000,"SEMUA")&gt;=60,"Delay 60 mnt tapi ada ritase","OK"))))))</f>
        <v/>
      </c>
      <c r="P1416" s="158">
        <f>IFERROR(INDEX(MASTER_JAM!$Z$5:$AC$10,MATCH($I1416,MASTER_JAM!$Y$5:$Y$10,0),MATCH($J1416,MASTER_JAM!$Z$4:$AC$4,0))+0,0)</f>
        <v/>
      </c>
      <c r="Q1416" s="158">
        <f>IF($P1416=0,0,$P1416+IFERROR(INDEX(MASTER_JAM!$H$5:$H$94,MATCH($C1416,MASTER_JAM!$A$5:$A$94,0))+0,MASTER_JAM!$AC$15)/1000*(60/MASTER_JAM!$AC$12+60/MASTER_JAM!$AC$13)+MASTER_JAM!$AC$14)</f>
        <v/>
      </c>
      <c r="R1416" s="158">
        <f>IF(N($F1416)=0,0,$F1416/SUMIFS(INPUT_RITASE!$F$5:$F$20000,INPUT_RITASE!$A$5:$A$20000,$A1416,INPUT_RITASE!$B$5:$B$20000,$B1416,INPUT_RITASE!$C$5:$C$20000,$C1416,INPUT_RITASE!$D$5:$D$20000,$D1416))</f>
        <v/>
      </c>
      <c r="S1416" s="158">
        <f>IF($Q1416=0,0,$R1416*$P1416/$Q1416)</f>
        <v/>
      </c>
    </row>
    <row r="1417">
      <c r="A1417" s="155" t="n">
        <v>46108</v>
      </c>
      <c r="B1417" s="156" t="inlineStr">
        <is>
          <t>22-23</t>
        </is>
      </c>
      <c r="C1417" s="156" t="inlineStr">
        <is>
          <t>EX-753</t>
        </is>
      </c>
      <c r="D1417" s="156" t="inlineStr">
        <is>
          <t>DT-504</t>
        </is>
      </c>
      <c r="E1417" s="156" t="inlineStr">
        <is>
          <t>Coal</t>
        </is>
      </c>
      <c r="F1417" s="156" t="n">
        <v>3</v>
      </c>
      <c r="G1417" s="156" t="inlineStr"/>
      <c r="H1417" s="157">
        <f>IF($B1417="","",IF(ISNA(MATCH($B1417,MASTER_JAM!$Q$5:$Q$28,0)),"?",IF(MATCH($B1417,MASTER_JAM!$Q$5:$Q$28,0)&lt;=12,"DS","NS")))</f>
        <v/>
      </c>
      <c r="I1417" s="157">
        <f>IFERROR(INDEX(MASTER_JAM!$B$5:$B$94,MATCH($C1417,MASTER_JAM!$A$5:$A$94,0)),"")</f>
        <v/>
      </c>
      <c r="J1417" s="157">
        <f>IFERROR(INDEX(MASTER_JAM!$E$5:$E$94,MATCH($D1417,MASTER_JAM!$A$5:$A$94,0)),"")</f>
        <v/>
      </c>
      <c r="K1417" s="158">
        <f>IFERROR(INDEX(MASTER_JAM!$J$5:$O$12,MATCH($E1417,MASTER_JAM!$I$5:$I$12,0),MATCH($J1417,MASTER_JAM!$J$4:$O$4,0))+0,0)</f>
        <v/>
      </c>
      <c r="L1417" s="159">
        <f>N($F1417)*$K1417</f>
        <v/>
      </c>
      <c r="M1417" s="157">
        <f>IF($E1417="","",IF(OR($E1417="Coal",$E1417="Dirty Coal"),"MT","BCM"))</f>
        <v/>
      </c>
      <c r="N1417" s="157">
        <f>IF($E1417="","",IF(OR($E1417="Coal",$E1417="Dirty Coal"),"Coal","OB"))</f>
        <v/>
      </c>
      <c r="O1417" s="157">
        <f>IF($F1417="","",IF(COUNTIF(MASTER_JAM!$A$5:$A$94,$C1417)=0,"Digger tidak dikenal",IF($J1417="","Hauler tidak dikenal",IF($H1417="?","Jam salah",IF($K1417=0,"Faktor kosong",IF(SUMIFS(INPUT_DELAY!$E$5:$E$20000,INPUT_DELAY!$A$5:$A$20000,$A1417,INPUT_DELAY!$B$5:$B$20000,$B1417,INPUT_DELAY!$C$5:$C$20000,$C1417)+SUMIFS(INPUT_DELAY!$E$5:$E$20000,INPUT_DELAY!$A$5:$A$20000,$A1417,INPUT_DELAY!$B$5:$B$20000,$B1417,INPUT_DELAY!$C$5:$C$20000,"SEMUA")&gt;=60,"Delay 60 mnt tapi ada ritase","OK"))))))</f>
        <v/>
      </c>
      <c r="P1417" s="158">
        <f>IFERROR(INDEX(MASTER_JAM!$Z$5:$AC$10,MATCH($I1417,MASTER_JAM!$Y$5:$Y$10,0),MATCH($J1417,MASTER_JAM!$Z$4:$AC$4,0))+0,0)</f>
        <v/>
      </c>
      <c r="Q1417" s="158">
        <f>IF($P1417=0,0,$P1417+IFERROR(INDEX(MASTER_JAM!$H$5:$H$94,MATCH($C1417,MASTER_JAM!$A$5:$A$94,0))+0,MASTER_JAM!$AC$15)/1000*(60/MASTER_JAM!$AC$12+60/MASTER_JAM!$AC$13)+MASTER_JAM!$AC$14)</f>
        <v/>
      </c>
      <c r="R1417" s="158">
        <f>IF(N($F1417)=0,0,$F1417/SUMIFS(INPUT_RITASE!$F$5:$F$20000,INPUT_RITASE!$A$5:$A$20000,$A1417,INPUT_RITASE!$B$5:$B$20000,$B1417,INPUT_RITASE!$C$5:$C$20000,$C1417,INPUT_RITASE!$D$5:$D$20000,$D1417))</f>
        <v/>
      </c>
      <c r="S1417" s="158">
        <f>IF($Q1417=0,0,$R1417*$P1417/$Q1417)</f>
        <v/>
      </c>
    </row>
    <row r="1418">
      <c r="A1418" s="155" t="n">
        <v>46108</v>
      </c>
      <c r="B1418" s="156" t="inlineStr">
        <is>
          <t>22-23</t>
        </is>
      </c>
      <c r="C1418" s="156" t="inlineStr">
        <is>
          <t>EX-753</t>
        </is>
      </c>
      <c r="D1418" s="156" t="inlineStr">
        <is>
          <t>DT-502</t>
        </is>
      </c>
      <c r="E1418" s="156" t="inlineStr">
        <is>
          <t>Coal</t>
        </is>
      </c>
      <c r="F1418" s="156" t="n">
        <v>3</v>
      </c>
      <c r="G1418" s="156" t="inlineStr"/>
      <c r="H1418" s="157">
        <f>IF($B1418="","",IF(ISNA(MATCH($B1418,MASTER_JAM!$Q$5:$Q$28,0)),"?",IF(MATCH($B1418,MASTER_JAM!$Q$5:$Q$28,0)&lt;=12,"DS","NS")))</f>
        <v/>
      </c>
      <c r="I1418" s="157">
        <f>IFERROR(INDEX(MASTER_JAM!$B$5:$B$94,MATCH($C1418,MASTER_JAM!$A$5:$A$94,0)),"")</f>
        <v/>
      </c>
      <c r="J1418" s="157">
        <f>IFERROR(INDEX(MASTER_JAM!$E$5:$E$94,MATCH($D1418,MASTER_JAM!$A$5:$A$94,0)),"")</f>
        <v/>
      </c>
      <c r="K1418" s="158">
        <f>IFERROR(INDEX(MASTER_JAM!$J$5:$O$12,MATCH($E1418,MASTER_JAM!$I$5:$I$12,0),MATCH($J1418,MASTER_JAM!$J$4:$O$4,0))+0,0)</f>
        <v/>
      </c>
      <c r="L1418" s="159">
        <f>N($F1418)*$K1418</f>
        <v/>
      </c>
      <c r="M1418" s="157">
        <f>IF($E1418="","",IF(OR($E1418="Coal",$E1418="Dirty Coal"),"MT","BCM"))</f>
        <v/>
      </c>
      <c r="N1418" s="157">
        <f>IF($E1418="","",IF(OR($E1418="Coal",$E1418="Dirty Coal"),"Coal","OB"))</f>
        <v/>
      </c>
      <c r="O1418" s="157">
        <f>IF($F1418="","",IF(COUNTIF(MASTER_JAM!$A$5:$A$94,$C1418)=0,"Digger tidak dikenal",IF($J1418="","Hauler tidak dikenal",IF($H1418="?","Jam salah",IF($K1418=0,"Faktor kosong",IF(SUMIFS(INPUT_DELAY!$E$5:$E$20000,INPUT_DELAY!$A$5:$A$20000,$A1418,INPUT_DELAY!$B$5:$B$20000,$B1418,INPUT_DELAY!$C$5:$C$20000,$C1418)+SUMIFS(INPUT_DELAY!$E$5:$E$20000,INPUT_DELAY!$A$5:$A$20000,$A1418,INPUT_DELAY!$B$5:$B$20000,$B1418,INPUT_DELAY!$C$5:$C$20000,"SEMUA")&gt;=60,"Delay 60 mnt tapi ada ritase","OK"))))))</f>
        <v/>
      </c>
      <c r="P1418" s="158">
        <f>IFERROR(INDEX(MASTER_JAM!$Z$5:$AC$10,MATCH($I1418,MASTER_JAM!$Y$5:$Y$10,0),MATCH($J1418,MASTER_JAM!$Z$4:$AC$4,0))+0,0)</f>
        <v/>
      </c>
      <c r="Q1418" s="158">
        <f>IF($P1418=0,0,$P1418+IFERROR(INDEX(MASTER_JAM!$H$5:$H$94,MATCH($C1418,MASTER_JAM!$A$5:$A$94,0))+0,MASTER_JAM!$AC$15)/1000*(60/MASTER_JAM!$AC$12+60/MASTER_JAM!$AC$13)+MASTER_JAM!$AC$14)</f>
        <v/>
      </c>
      <c r="R1418" s="158">
        <f>IF(N($F1418)=0,0,$F1418/SUMIFS(INPUT_RITASE!$F$5:$F$20000,INPUT_RITASE!$A$5:$A$20000,$A1418,INPUT_RITASE!$B$5:$B$20000,$B1418,INPUT_RITASE!$C$5:$C$20000,$C1418,INPUT_RITASE!$D$5:$D$20000,$D1418))</f>
        <v/>
      </c>
      <c r="S1418" s="158">
        <f>IF($Q1418=0,0,$R1418*$P1418/$Q1418)</f>
        <v/>
      </c>
    </row>
    <row r="1419">
      <c r="A1419" s="155" t="n">
        <v>46108</v>
      </c>
      <c r="B1419" s="156" t="inlineStr">
        <is>
          <t>23-24</t>
        </is>
      </c>
      <c r="C1419" s="156" t="inlineStr">
        <is>
          <t>EX-753</t>
        </is>
      </c>
      <c r="D1419" s="156" t="inlineStr">
        <is>
          <t>DT-502</t>
        </is>
      </c>
      <c r="E1419" s="156" t="inlineStr">
        <is>
          <t>Coal</t>
        </is>
      </c>
      <c r="F1419" s="156" t="n">
        <v>3</v>
      </c>
      <c r="G1419" s="156" t="inlineStr"/>
      <c r="H1419" s="157">
        <f>IF($B1419="","",IF(ISNA(MATCH($B1419,MASTER_JAM!$Q$5:$Q$28,0)),"?",IF(MATCH($B1419,MASTER_JAM!$Q$5:$Q$28,0)&lt;=12,"DS","NS")))</f>
        <v/>
      </c>
      <c r="I1419" s="157">
        <f>IFERROR(INDEX(MASTER_JAM!$B$5:$B$94,MATCH($C1419,MASTER_JAM!$A$5:$A$94,0)),"")</f>
        <v/>
      </c>
      <c r="J1419" s="157">
        <f>IFERROR(INDEX(MASTER_JAM!$E$5:$E$94,MATCH($D1419,MASTER_JAM!$A$5:$A$94,0)),"")</f>
        <v/>
      </c>
      <c r="K1419" s="158">
        <f>IFERROR(INDEX(MASTER_JAM!$J$5:$O$12,MATCH($E1419,MASTER_JAM!$I$5:$I$12,0),MATCH($J1419,MASTER_JAM!$J$4:$O$4,0))+0,0)</f>
        <v/>
      </c>
      <c r="L1419" s="159">
        <f>N($F1419)*$K1419</f>
        <v/>
      </c>
      <c r="M1419" s="157">
        <f>IF($E1419="","",IF(OR($E1419="Coal",$E1419="Dirty Coal"),"MT","BCM"))</f>
        <v/>
      </c>
      <c r="N1419" s="157">
        <f>IF($E1419="","",IF(OR($E1419="Coal",$E1419="Dirty Coal"),"Coal","OB"))</f>
        <v/>
      </c>
      <c r="O1419" s="157">
        <f>IF($F1419="","",IF(COUNTIF(MASTER_JAM!$A$5:$A$94,$C1419)=0,"Digger tidak dikenal",IF($J1419="","Hauler tidak dikenal",IF($H1419="?","Jam salah",IF($K1419=0,"Faktor kosong",IF(SUMIFS(INPUT_DELAY!$E$5:$E$20000,INPUT_DELAY!$A$5:$A$20000,$A1419,INPUT_DELAY!$B$5:$B$20000,$B1419,INPUT_DELAY!$C$5:$C$20000,$C1419)+SUMIFS(INPUT_DELAY!$E$5:$E$20000,INPUT_DELAY!$A$5:$A$20000,$A1419,INPUT_DELAY!$B$5:$B$20000,$B1419,INPUT_DELAY!$C$5:$C$20000,"SEMUA")&gt;=60,"Delay 60 mnt tapi ada ritase","OK"))))))</f>
        <v/>
      </c>
      <c r="P1419" s="158">
        <f>IFERROR(INDEX(MASTER_JAM!$Z$5:$AC$10,MATCH($I1419,MASTER_JAM!$Y$5:$Y$10,0),MATCH($J1419,MASTER_JAM!$Z$4:$AC$4,0))+0,0)</f>
        <v/>
      </c>
      <c r="Q1419" s="158">
        <f>IF($P1419=0,0,$P1419+IFERROR(INDEX(MASTER_JAM!$H$5:$H$94,MATCH($C1419,MASTER_JAM!$A$5:$A$94,0))+0,MASTER_JAM!$AC$15)/1000*(60/MASTER_JAM!$AC$12+60/MASTER_JAM!$AC$13)+MASTER_JAM!$AC$14)</f>
        <v/>
      </c>
      <c r="R1419" s="158">
        <f>IF(N($F1419)=0,0,$F1419/SUMIFS(INPUT_RITASE!$F$5:$F$20000,INPUT_RITASE!$A$5:$A$20000,$A1419,INPUT_RITASE!$B$5:$B$20000,$B1419,INPUT_RITASE!$C$5:$C$20000,$C1419,INPUT_RITASE!$D$5:$D$20000,$D1419))</f>
        <v/>
      </c>
      <c r="S1419" s="158">
        <f>IF($Q1419=0,0,$R1419*$P1419/$Q1419)</f>
        <v/>
      </c>
    </row>
    <row r="1420">
      <c r="A1420" s="155" t="n">
        <v>46108</v>
      </c>
      <c r="B1420" s="156" t="inlineStr">
        <is>
          <t>23-24</t>
        </is>
      </c>
      <c r="C1420" s="156" t="inlineStr">
        <is>
          <t>EX-753</t>
        </is>
      </c>
      <c r="D1420" s="156" t="inlineStr">
        <is>
          <t>DT-520</t>
        </is>
      </c>
      <c r="E1420" s="156" t="inlineStr">
        <is>
          <t>Coal</t>
        </is>
      </c>
      <c r="F1420" s="156" t="n">
        <v>3</v>
      </c>
      <c r="G1420" s="156" t="inlineStr"/>
      <c r="H1420" s="157">
        <f>IF($B1420="","",IF(ISNA(MATCH($B1420,MASTER_JAM!$Q$5:$Q$28,0)),"?",IF(MATCH($B1420,MASTER_JAM!$Q$5:$Q$28,0)&lt;=12,"DS","NS")))</f>
        <v/>
      </c>
      <c r="I1420" s="157">
        <f>IFERROR(INDEX(MASTER_JAM!$B$5:$B$94,MATCH($C1420,MASTER_JAM!$A$5:$A$94,0)),"")</f>
        <v/>
      </c>
      <c r="J1420" s="157">
        <f>IFERROR(INDEX(MASTER_JAM!$E$5:$E$94,MATCH($D1420,MASTER_JAM!$A$5:$A$94,0)),"")</f>
        <v/>
      </c>
      <c r="K1420" s="158">
        <f>IFERROR(INDEX(MASTER_JAM!$J$5:$O$12,MATCH($E1420,MASTER_JAM!$I$5:$I$12,0),MATCH($J1420,MASTER_JAM!$J$4:$O$4,0))+0,0)</f>
        <v/>
      </c>
      <c r="L1420" s="159">
        <f>N($F1420)*$K1420</f>
        <v/>
      </c>
      <c r="M1420" s="157">
        <f>IF($E1420="","",IF(OR($E1420="Coal",$E1420="Dirty Coal"),"MT","BCM"))</f>
        <v/>
      </c>
      <c r="N1420" s="157">
        <f>IF($E1420="","",IF(OR($E1420="Coal",$E1420="Dirty Coal"),"Coal","OB"))</f>
        <v/>
      </c>
      <c r="O1420" s="157">
        <f>IF($F1420="","",IF(COUNTIF(MASTER_JAM!$A$5:$A$94,$C1420)=0,"Digger tidak dikenal",IF($J1420="","Hauler tidak dikenal",IF($H1420="?","Jam salah",IF($K1420=0,"Faktor kosong",IF(SUMIFS(INPUT_DELAY!$E$5:$E$20000,INPUT_DELAY!$A$5:$A$20000,$A1420,INPUT_DELAY!$B$5:$B$20000,$B1420,INPUT_DELAY!$C$5:$C$20000,$C1420)+SUMIFS(INPUT_DELAY!$E$5:$E$20000,INPUT_DELAY!$A$5:$A$20000,$A1420,INPUT_DELAY!$B$5:$B$20000,$B1420,INPUT_DELAY!$C$5:$C$20000,"SEMUA")&gt;=60,"Delay 60 mnt tapi ada ritase","OK"))))))</f>
        <v/>
      </c>
      <c r="P1420" s="158">
        <f>IFERROR(INDEX(MASTER_JAM!$Z$5:$AC$10,MATCH($I1420,MASTER_JAM!$Y$5:$Y$10,0),MATCH($J1420,MASTER_JAM!$Z$4:$AC$4,0))+0,0)</f>
        <v/>
      </c>
      <c r="Q1420" s="158">
        <f>IF($P1420=0,0,$P1420+IFERROR(INDEX(MASTER_JAM!$H$5:$H$94,MATCH($C1420,MASTER_JAM!$A$5:$A$94,0))+0,MASTER_JAM!$AC$15)/1000*(60/MASTER_JAM!$AC$12+60/MASTER_JAM!$AC$13)+MASTER_JAM!$AC$14)</f>
        <v/>
      </c>
      <c r="R1420" s="158">
        <f>IF(N($F1420)=0,0,$F1420/SUMIFS(INPUT_RITASE!$F$5:$F$20000,INPUT_RITASE!$A$5:$A$20000,$A1420,INPUT_RITASE!$B$5:$B$20000,$B1420,INPUT_RITASE!$C$5:$C$20000,$C1420,INPUT_RITASE!$D$5:$D$20000,$D1420))</f>
        <v/>
      </c>
      <c r="S1420" s="158">
        <f>IF($Q1420=0,0,$R1420*$P1420/$Q1420)</f>
        <v/>
      </c>
    </row>
    <row r="1421">
      <c r="A1421" s="155" t="n">
        <v>46108</v>
      </c>
      <c r="B1421" s="156" t="inlineStr">
        <is>
          <t>01-02</t>
        </is>
      </c>
      <c r="C1421" s="156" t="inlineStr">
        <is>
          <t>EX-753</t>
        </is>
      </c>
      <c r="D1421" s="156" t="inlineStr">
        <is>
          <t>DT-506</t>
        </is>
      </c>
      <c r="E1421" s="156" t="inlineStr">
        <is>
          <t>Coal</t>
        </is>
      </c>
      <c r="F1421" s="156" t="n">
        <v>4</v>
      </c>
      <c r="G1421" s="156" t="inlineStr"/>
      <c r="H1421" s="157">
        <f>IF($B1421="","",IF(ISNA(MATCH($B1421,MASTER_JAM!$Q$5:$Q$28,0)),"?",IF(MATCH($B1421,MASTER_JAM!$Q$5:$Q$28,0)&lt;=12,"DS","NS")))</f>
        <v/>
      </c>
      <c r="I1421" s="157">
        <f>IFERROR(INDEX(MASTER_JAM!$B$5:$B$94,MATCH($C1421,MASTER_JAM!$A$5:$A$94,0)),"")</f>
        <v/>
      </c>
      <c r="J1421" s="157">
        <f>IFERROR(INDEX(MASTER_JAM!$E$5:$E$94,MATCH($D1421,MASTER_JAM!$A$5:$A$94,0)),"")</f>
        <v/>
      </c>
      <c r="K1421" s="158">
        <f>IFERROR(INDEX(MASTER_JAM!$J$5:$O$12,MATCH($E1421,MASTER_JAM!$I$5:$I$12,0),MATCH($J1421,MASTER_JAM!$J$4:$O$4,0))+0,0)</f>
        <v/>
      </c>
      <c r="L1421" s="159">
        <f>N($F1421)*$K1421</f>
        <v/>
      </c>
      <c r="M1421" s="157">
        <f>IF($E1421="","",IF(OR($E1421="Coal",$E1421="Dirty Coal"),"MT","BCM"))</f>
        <v/>
      </c>
      <c r="N1421" s="157">
        <f>IF($E1421="","",IF(OR($E1421="Coal",$E1421="Dirty Coal"),"Coal","OB"))</f>
        <v/>
      </c>
      <c r="O1421" s="157">
        <f>IF($F1421="","",IF(COUNTIF(MASTER_JAM!$A$5:$A$94,$C1421)=0,"Digger tidak dikenal",IF($J1421="","Hauler tidak dikenal",IF($H1421="?","Jam salah",IF($K1421=0,"Faktor kosong",IF(SUMIFS(INPUT_DELAY!$E$5:$E$20000,INPUT_DELAY!$A$5:$A$20000,$A1421,INPUT_DELAY!$B$5:$B$20000,$B1421,INPUT_DELAY!$C$5:$C$20000,$C1421)+SUMIFS(INPUT_DELAY!$E$5:$E$20000,INPUT_DELAY!$A$5:$A$20000,$A1421,INPUT_DELAY!$B$5:$B$20000,$B1421,INPUT_DELAY!$C$5:$C$20000,"SEMUA")&gt;=60,"Delay 60 mnt tapi ada ritase","OK"))))))</f>
        <v/>
      </c>
      <c r="P1421" s="158">
        <f>IFERROR(INDEX(MASTER_JAM!$Z$5:$AC$10,MATCH($I1421,MASTER_JAM!$Y$5:$Y$10,0),MATCH($J1421,MASTER_JAM!$Z$4:$AC$4,0))+0,0)</f>
        <v/>
      </c>
      <c r="Q1421" s="158">
        <f>IF($P1421=0,0,$P1421+IFERROR(INDEX(MASTER_JAM!$H$5:$H$94,MATCH($C1421,MASTER_JAM!$A$5:$A$94,0))+0,MASTER_JAM!$AC$15)/1000*(60/MASTER_JAM!$AC$12+60/MASTER_JAM!$AC$13)+MASTER_JAM!$AC$14)</f>
        <v/>
      </c>
      <c r="R1421" s="158">
        <f>IF(N($F1421)=0,0,$F1421/SUMIFS(INPUT_RITASE!$F$5:$F$20000,INPUT_RITASE!$A$5:$A$20000,$A1421,INPUT_RITASE!$B$5:$B$20000,$B1421,INPUT_RITASE!$C$5:$C$20000,$C1421,INPUT_RITASE!$D$5:$D$20000,$D1421))</f>
        <v/>
      </c>
      <c r="S1421" s="158">
        <f>IF($Q1421=0,0,$R1421*$P1421/$Q1421)</f>
        <v/>
      </c>
    </row>
    <row r="1422">
      <c r="A1422" s="155" t="n">
        <v>46108</v>
      </c>
      <c r="B1422" s="156" t="inlineStr">
        <is>
          <t>01-02</t>
        </is>
      </c>
      <c r="C1422" s="156" t="inlineStr">
        <is>
          <t>EX-753</t>
        </is>
      </c>
      <c r="D1422" s="156" t="inlineStr">
        <is>
          <t>DT-512</t>
        </is>
      </c>
      <c r="E1422" s="156" t="inlineStr">
        <is>
          <t>Coal</t>
        </is>
      </c>
      <c r="F1422" s="156" t="n">
        <v>3</v>
      </c>
      <c r="G1422" s="156" t="inlineStr"/>
      <c r="H1422" s="157">
        <f>IF($B1422="","",IF(ISNA(MATCH($B1422,MASTER_JAM!$Q$5:$Q$28,0)),"?",IF(MATCH($B1422,MASTER_JAM!$Q$5:$Q$28,0)&lt;=12,"DS","NS")))</f>
        <v/>
      </c>
      <c r="I1422" s="157">
        <f>IFERROR(INDEX(MASTER_JAM!$B$5:$B$94,MATCH($C1422,MASTER_JAM!$A$5:$A$94,0)),"")</f>
        <v/>
      </c>
      <c r="J1422" s="157">
        <f>IFERROR(INDEX(MASTER_JAM!$E$5:$E$94,MATCH($D1422,MASTER_JAM!$A$5:$A$94,0)),"")</f>
        <v/>
      </c>
      <c r="K1422" s="158">
        <f>IFERROR(INDEX(MASTER_JAM!$J$5:$O$12,MATCH($E1422,MASTER_JAM!$I$5:$I$12,0),MATCH($J1422,MASTER_JAM!$J$4:$O$4,0))+0,0)</f>
        <v/>
      </c>
      <c r="L1422" s="159">
        <f>N($F1422)*$K1422</f>
        <v/>
      </c>
      <c r="M1422" s="157">
        <f>IF($E1422="","",IF(OR($E1422="Coal",$E1422="Dirty Coal"),"MT","BCM"))</f>
        <v/>
      </c>
      <c r="N1422" s="157">
        <f>IF($E1422="","",IF(OR($E1422="Coal",$E1422="Dirty Coal"),"Coal","OB"))</f>
        <v/>
      </c>
      <c r="O1422" s="157">
        <f>IF($F1422="","",IF(COUNTIF(MASTER_JAM!$A$5:$A$94,$C1422)=0,"Digger tidak dikenal",IF($J1422="","Hauler tidak dikenal",IF($H1422="?","Jam salah",IF($K1422=0,"Faktor kosong",IF(SUMIFS(INPUT_DELAY!$E$5:$E$20000,INPUT_DELAY!$A$5:$A$20000,$A1422,INPUT_DELAY!$B$5:$B$20000,$B1422,INPUT_DELAY!$C$5:$C$20000,$C1422)+SUMIFS(INPUT_DELAY!$E$5:$E$20000,INPUT_DELAY!$A$5:$A$20000,$A1422,INPUT_DELAY!$B$5:$B$20000,$B1422,INPUT_DELAY!$C$5:$C$20000,"SEMUA")&gt;=60,"Delay 60 mnt tapi ada ritase","OK"))))))</f>
        <v/>
      </c>
      <c r="P1422" s="158">
        <f>IFERROR(INDEX(MASTER_JAM!$Z$5:$AC$10,MATCH($I1422,MASTER_JAM!$Y$5:$Y$10,0),MATCH($J1422,MASTER_JAM!$Z$4:$AC$4,0))+0,0)</f>
        <v/>
      </c>
      <c r="Q1422" s="158">
        <f>IF($P1422=0,0,$P1422+IFERROR(INDEX(MASTER_JAM!$H$5:$H$94,MATCH($C1422,MASTER_JAM!$A$5:$A$94,0))+0,MASTER_JAM!$AC$15)/1000*(60/MASTER_JAM!$AC$12+60/MASTER_JAM!$AC$13)+MASTER_JAM!$AC$14)</f>
        <v/>
      </c>
      <c r="R1422" s="158">
        <f>IF(N($F1422)=0,0,$F1422/SUMIFS(INPUT_RITASE!$F$5:$F$20000,INPUT_RITASE!$A$5:$A$20000,$A1422,INPUT_RITASE!$B$5:$B$20000,$B1422,INPUT_RITASE!$C$5:$C$20000,$C1422,INPUT_RITASE!$D$5:$D$20000,$D1422))</f>
        <v/>
      </c>
      <c r="S1422" s="158">
        <f>IF($Q1422=0,0,$R1422*$P1422/$Q1422)</f>
        <v/>
      </c>
    </row>
    <row r="1423">
      <c r="A1423" s="155" t="n">
        <v>46108</v>
      </c>
      <c r="B1423" s="156" t="inlineStr">
        <is>
          <t>02-03</t>
        </is>
      </c>
      <c r="C1423" s="156" t="inlineStr">
        <is>
          <t>EX-753</t>
        </is>
      </c>
      <c r="D1423" s="156" t="inlineStr">
        <is>
          <t>DT-517</t>
        </is>
      </c>
      <c r="E1423" s="156" t="inlineStr">
        <is>
          <t>Coal</t>
        </is>
      </c>
      <c r="F1423" s="156" t="n">
        <v>4</v>
      </c>
      <c r="G1423" s="156" t="inlineStr"/>
      <c r="H1423" s="157">
        <f>IF($B1423="","",IF(ISNA(MATCH($B1423,MASTER_JAM!$Q$5:$Q$28,0)),"?",IF(MATCH($B1423,MASTER_JAM!$Q$5:$Q$28,0)&lt;=12,"DS","NS")))</f>
        <v/>
      </c>
      <c r="I1423" s="157">
        <f>IFERROR(INDEX(MASTER_JAM!$B$5:$B$94,MATCH($C1423,MASTER_JAM!$A$5:$A$94,0)),"")</f>
        <v/>
      </c>
      <c r="J1423" s="157">
        <f>IFERROR(INDEX(MASTER_JAM!$E$5:$E$94,MATCH($D1423,MASTER_JAM!$A$5:$A$94,0)),"")</f>
        <v/>
      </c>
      <c r="K1423" s="158">
        <f>IFERROR(INDEX(MASTER_JAM!$J$5:$O$12,MATCH($E1423,MASTER_JAM!$I$5:$I$12,0),MATCH($J1423,MASTER_JAM!$J$4:$O$4,0))+0,0)</f>
        <v/>
      </c>
      <c r="L1423" s="159">
        <f>N($F1423)*$K1423</f>
        <v/>
      </c>
      <c r="M1423" s="157">
        <f>IF($E1423="","",IF(OR($E1423="Coal",$E1423="Dirty Coal"),"MT","BCM"))</f>
        <v/>
      </c>
      <c r="N1423" s="157">
        <f>IF($E1423="","",IF(OR($E1423="Coal",$E1423="Dirty Coal"),"Coal","OB"))</f>
        <v/>
      </c>
      <c r="O1423" s="157">
        <f>IF($F1423="","",IF(COUNTIF(MASTER_JAM!$A$5:$A$94,$C1423)=0,"Digger tidak dikenal",IF($J1423="","Hauler tidak dikenal",IF($H1423="?","Jam salah",IF($K1423=0,"Faktor kosong",IF(SUMIFS(INPUT_DELAY!$E$5:$E$20000,INPUT_DELAY!$A$5:$A$20000,$A1423,INPUT_DELAY!$B$5:$B$20000,$B1423,INPUT_DELAY!$C$5:$C$20000,$C1423)+SUMIFS(INPUT_DELAY!$E$5:$E$20000,INPUT_DELAY!$A$5:$A$20000,$A1423,INPUT_DELAY!$B$5:$B$20000,$B1423,INPUT_DELAY!$C$5:$C$20000,"SEMUA")&gt;=60,"Delay 60 mnt tapi ada ritase","OK"))))))</f>
        <v/>
      </c>
      <c r="P1423" s="158">
        <f>IFERROR(INDEX(MASTER_JAM!$Z$5:$AC$10,MATCH($I1423,MASTER_JAM!$Y$5:$Y$10,0),MATCH($J1423,MASTER_JAM!$Z$4:$AC$4,0))+0,0)</f>
        <v/>
      </c>
      <c r="Q1423" s="158">
        <f>IF($P1423=0,0,$P1423+IFERROR(INDEX(MASTER_JAM!$H$5:$H$94,MATCH($C1423,MASTER_JAM!$A$5:$A$94,0))+0,MASTER_JAM!$AC$15)/1000*(60/MASTER_JAM!$AC$12+60/MASTER_JAM!$AC$13)+MASTER_JAM!$AC$14)</f>
        <v/>
      </c>
      <c r="R1423" s="158">
        <f>IF(N($F1423)=0,0,$F1423/SUMIFS(INPUT_RITASE!$F$5:$F$20000,INPUT_RITASE!$A$5:$A$20000,$A1423,INPUT_RITASE!$B$5:$B$20000,$B1423,INPUT_RITASE!$C$5:$C$20000,$C1423,INPUT_RITASE!$D$5:$D$20000,$D1423))</f>
        <v/>
      </c>
      <c r="S1423" s="158">
        <f>IF($Q1423=0,0,$R1423*$P1423/$Q1423)</f>
        <v/>
      </c>
    </row>
    <row r="1424">
      <c r="A1424" s="155" t="n">
        <v>46108</v>
      </c>
      <c r="B1424" s="156" t="inlineStr">
        <is>
          <t>02-03</t>
        </is>
      </c>
      <c r="C1424" s="156" t="inlineStr">
        <is>
          <t>EX-753</t>
        </is>
      </c>
      <c r="D1424" s="156" t="inlineStr">
        <is>
          <t>DT-520</t>
        </is>
      </c>
      <c r="E1424" s="156" t="inlineStr">
        <is>
          <t>Coal</t>
        </is>
      </c>
      <c r="F1424" s="156" t="n">
        <v>4</v>
      </c>
      <c r="G1424" s="156" t="inlineStr"/>
      <c r="H1424" s="157">
        <f>IF($B1424="","",IF(ISNA(MATCH($B1424,MASTER_JAM!$Q$5:$Q$28,0)),"?",IF(MATCH($B1424,MASTER_JAM!$Q$5:$Q$28,0)&lt;=12,"DS","NS")))</f>
        <v/>
      </c>
      <c r="I1424" s="157">
        <f>IFERROR(INDEX(MASTER_JAM!$B$5:$B$94,MATCH($C1424,MASTER_JAM!$A$5:$A$94,0)),"")</f>
        <v/>
      </c>
      <c r="J1424" s="157">
        <f>IFERROR(INDEX(MASTER_JAM!$E$5:$E$94,MATCH($D1424,MASTER_JAM!$A$5:$A$94,0)),"")</f>
        <v/>
      </c>
      <c r="K1424" s="158">
        <f>IFERROR(INDEX(MASTER_JAM!$J$5:$O$12,MATCH($E1424,MASTER_JAM!$I$5:$I$12,0),MATCH($J1424,MASTER_JAM!$J$4:$O$4,0))+0,0)</f>
        <v/>
      </c>
      <c r="L1424" s="159">
        <f>N($F1424)*$K1424</f>
        <v/>
      </c>
      <c r="M1424" s="157">
        <f>IF($E1424="","",IF(OR($E1424="Coal",$E1424="Dirty Coal"),"MT","BCM"))</f>
        <v/>
      </c>
      <c r="N1424" s="157">
        <f>IF($E1424="","",IF(OR($E1424="Coal",$E1424="Dirty Coal"),"Coal","OB"))</f>
        <v/>
      </c>
      <c r="O1424" s="157">
        <f>IF($F1424="","",IF(COUNTIF(MASTER_JAM!$A$5:$A$94,$C1424)=0,"Digger tidak dikenal",IF($J1424="","Hauler tidak dikenal",IF($H1424="?","Jam salah",IF($K1424=0,"Faktor kosong",IF(SUMIFS(INPUT_DELAY!$E$5:$E$20000,INPUT_DELAY!$A$5:$A$20000,$A1424,INPUT_DELAY!$B$5:$B$20000,$B1424,INPUT_DELAY!$C$5:$C$20000,$C1424)+SUMIFS(INPUT_DELAY!$E$5:$E$20000,INPUT_DELAY!$A$5:$A$20000,$A1424,INPUT_DELAY!$B$5:$B$20000,$B1424,INPUT_DELAY!$C$5:$C$20000,"SEMUA")&gt;=60,"Delay 60 mnt tapi ada ritase","OK"))))))</f>
        <v/>
      </c>
      <c r="P1424" s="158">
        <f>IFERROR(INDEX(MASTER_JAM!$Z$5:$AC$10,MATCH($I1424,MASTER_JAM!$Y$5:$Y$10,0),MATCH($J1424,MASTER_JAM!$Z$4:$AC$4,0))+0,0)</f>
        <v/>
      </c>
      <c r="Q1424" s="158">
        <f>IF($P1424=0,0,$P1424+IFERROR(INDEX(MASTER_JAM!$H$5:$H$94,MATCH($C1424,MASTER_JAM!$A$5:$A$94,0))+0,MASTER_JAM!$AC$15)/1000*(60/MASTER_JAM!$AC$12+60/MASTER_JAM!$AC$13)+MASTER_JAM!$AC$14)</f>
        <v/>
      </c>
      <c r="R1424" s="158">
        <f>IF(N($F1424)=0,0,$F1424/SUMIFS(INPUT_RITASE!$F$5:$F$20000,INPUT_RITASE!$A$5:$A$20000,$A1424,INPUT_RITASE!$B$5:$B$20000,$B1424,INPUT_RITASE!$C$5:$C$20000,$C1424,INPUT_RITASE!$D$5:$D$20000,$D1424))</f>
        <v/>
      </c>
      <c r="S1424" s="158">
        <f>IF($Q1424=0,0,$R1424*$P1424/$Q1424)</f>
        <v/>
      </c>
    </row>
    <row r="1425">
      <c r="A1425" s="155" t="n">
        <v>46108</v>
      </c>
      <c r="B1425" s="156" t="inlineStr">
        <is>
          <t>03-04</t>
        </is>
      </c>
      <c r="C1425" s="156" t="inlineStr">
        <is>
          <t>EX-753</t>
        </is>
      </c>
      <c r="D1425" s="156" t="inlineStr">
        <is>
          <t>DT-512</t>
        </is>
      </c>
      <c r="E1425" s="156" t="inlineStr">
        <is>
          <t>Coal</t>
        </is>
      </c>
      <c r="F1425" s="156" t="n">
        <v>4</v>
      </c>
      <c r="G1425" s="156" t="inlineStr"/>
      <c r="H1425" s="157">
        <f>IF($B1425="","",IF(ISNA(MATCH($B1425,MASTER_JAM!$Q$5:$Q$28,0)),"?",IF(MATCH($B1425,MASTER_JAM!$Q$5:$Q$28,0)&lt;=12,"DS","NS")))</f>
        <v/>
      </c>
      <c r="I1425" s="157">
        <f>IFERROR(INDEX(MASTER_JAM!$B$5:$B$94,MATCH($C1425,MASTER_JAM!$A$5:$A$94,0)),"")</f>
        <v/>
      </c>
      <c r="J1425" s="157">
        <f>IFERROR(INDEX(MASTER_JAM!$E$5:$E$94,MATCH($D1425,MASTER_JAM!$A$5:$A$94,0)),"")</f>
        <v/>
      </c>
      <c r="K1425" s="158">
        <f>IFERROR(INDEX(MASTER_JAM!$J$5:$O$12,MATCH($E1425,MASTER_JAM!$I$5:$I$12,0),MATCH($J1425,MASTER_JAM!$J$4:$O$4,0))+0,0)</f>
        <v/>
      </c>
      <c r="L1425" s="159">
        <f>N($F1425)*$K1425</f>
        <v/>
      </c>
      <c r="M1425" s="157">
        <f>IF($E1425="","",IF(OR($E1425="Coal",$E1425="Dirty Coal"),"MT","BCM"))</f>
        <v/>
      </c>
      <c r="N1425" s="157">
        <f>IF($E1425="","",IF(OR($E1425="Coal",$E1425="Dirty Coal"),"Coal","OB"))</f>
        <v/>
      </c>
      <c r="O1425" s="157">
        <f>IF($F1425="","",IF(COUNTIF(MASTER_JAM!$A$5:$A$94,$C1425)=0,"Digger tidak dikenal",IF($J1425="","Hauler tidak dikenal",IF($H1425="?","Jam salah",IF($K1425=0,"Faktor kosong",IF(SUMIFS(INPUT_DELAY!$E$5:$E$20000,INPUT_DELAY!$A$5:$A$20000,$A1425,INPUT_DELAY!$B$5:$B$20000,$B1425,INPUT_DELAY!$C$5:$C$20000,$C1425)+SUMIFS(INPUT_DELAY!$E$5:$E$20000,INPUT_DELAY!$A$5:$A$20000,$A1425,INPUT_DELAY!$B$5:$B$20000,$B1425,INPUT_DELAY!$C$5:$C$20000,"SEMUA")&gt;=60,"Delay 60 mnt tapi ada ritase","OK"))))))</f>
        <v/>
      </c>
      <c r="P1425" s="158">
        <f>IFERROR(INDEX(MASTER_JAM!$Z$5:$AC$10,MATCH($I1425,MASTER_JAM!$Y$5:$Y$10,0),MATCH($J1425,MASTER_JAM!$Z$4:$AC$4,0))+0,0)</f>
        <v/>
      </c>
      <c r="Q1425" s="158">
        <f>IF($P1425=0,0,$P1425+IFERROR(INDEX(MASTER_JAM!$H$5:$H$94,MATCH($C1425,MASTER_JAM!$A$5:$A$94,0))+0,MASTER_JAM!$AC$15)/1000*(60/MASTER_JAM!$AC$12+60/MASTER_JAM!$AC$13)+MASTER_JAM!$AC$14)</f>
        <v/>
      </c>
      <c r="R1425" s="158">
        <f>IF(N($F1425)=0,0,$F1425/SUMIFS(INPUT_RITASE!$F$5:$F$20000,INPUT_RITASE!$A$5:$A$20000,$A1425,INPUT_RITASE!$B$5:$B$20000,$B1425,INPUT_RITASE!$C$5:$C$20000,$C1425,INPUT_RITASE!$D$5:$D$20000,$D1425))</f>
        <v/>
      </c>
      <c r="S1425" s="158">
        <f>IF($Q1425=0,0,$R1425*$P1425/$Q1425)</f>
        <v/>
      </c>
    </row>
    <row r="1426">
      <c r="A1426" s="155" t="n">
        <v>46109</v>
      </c>
      <c r="B1426" s="156" t="inlineStr">
        <is>
          <t>06-07</t>
        </is>
      </c>
      <c r="C1426" s="156" t="inlineStr">
        <is>
          <t>EX-1251</t>
        </is>
      </c>
      <c r="D1426" s="156" t="inlineStr">
        <is>
          <t>DT-523</t>
        </is>
      </c>
      <c r="E1426" s="156" t="inlineStr">
        <is>
          <t>OB</t>
        </is>
      </c>
      <c r="F1426" s="156" t="n">
        <v>4</v>
      </c>
      <c r="G1426" s="156" t="inlineStr"/>
      <c r="H1426" s="157">
        <f>IF($B1426="","",IF(ISNA(MATCH($B1426,MASTER_JAM!$Q$5:$Q$28,0)),"?",IF(MATCH($B1426,MASTER_JAM!$Q$5:$Q$28,0)&lt;=12,"DS","NS")))</f>
        <v/>
      </c>
      <c r="I1426" s="157">
        <f>IFERROR(INDEX(MASTER_JAM!$B$5:$B$94,MATCH($C1426,MASTER_JAM!$A$5:$A$94,0)),"")</f>
        <v/>
      </c>
      <c r="J1426" s="157">
        <f>IFERROR(INDEX(MASTER_JAM!$E$5:$E$94,MATCH($D1426,MASTER_JAM!$A$5:$A$94,0)),"")</f>
        <v/>
      </c>
      <c r="K1426" s="158">
        <f>IFERROR(INDEX(MASTER_JAM!$J$5:$O$12,MATCH($E1426,MASTER_JAM!$I$5:$I$12,0),MATCH($J1426,MASTER_JAM!$J$4:$O$4,0))+0,0)</f>
        <v/>
      </c>
      <c r="L1426" s="159">
        <f>N($F1426)*$K1426</f>
        <v/>
      </c>
      <c r="M1426" s="157">
        <f>IF($E1426="","",IF(OR($E1426="Coal",$E1426="Dirty Coal"),"MT","BCM"))</f>
        <v/>
      </c>
      <c r="N1426" s="157">
        <f>IF($E1426="","",IF(OR($E1426="Coal",$E1426="Dirty Coal"),"Coal","OB"))</f>
        <v/>
      </c>
      <c r="O1426" s="157">
        <f>IF($F1426="","",IF(COUNTIF(MASTER_JAM!$A$5:$A$94,$C1426)=0,"Digger tidak dikenal",IF($J1426="","Hauler tidak dikenal",IF($H1426="?","Jam salah",IF($K1426=0,"Faktor kosong",IF(SUMIFS(INPUT_DELAY!$E$5:$E$20000,INPUT_DELAY!$A$5:$A$20000,$A1426,INPUT_DELAY!$B$5:$B$20000,$B1426,INPUT_DELAY!$C$5:$C$20000,$C1426)+SUMIFS(INPUT_DELAY!$E$5:$E$20000,INPUT_DELAY!$A$5:$A$20000,$A1426,INPUT_DELAY!$B$5:$B$20000,$B1426,INPUT_DELAY!$C$5:$C$20000,"SEMUA")&gt;=60,"Delay 60 mnt tapi ada ritase","OK"))))))</f>
        <v/>
      </c>
      <c r="P1426" s="158">
        <f>IFERROR(INDEX(MASTER_JAM!$Z$5:$AC$10,MATCH($I1426,MASTER_JAM!$Y$5:$Y$10,0),MATCH($J1426,MASTER_JAM!$Z$4:$AC$4,0))+0,0)</f>
        <v/>
      </c>
      <c r="Q1426" s="158">
        <f>IF($P1426=0,0,$P1426+IFERROR(INDEX(MASTER_JAM!$H$5:$H$94,MATCH($C1426,MASTER_JAM!$A$5:$A$94,0))+0,MASTER_JAM!$AC$15)/1000*(60/MASTER_JAM!$AC$12+60/MASTER_JAM!$AC$13)+MASTER_JAM!$AC$14)</f>
        <v/>
      </c>
      <c r="R1426" s="158">
        <f>IF(N($F1426)=0,0,$F1426/SUMIFS(INPUT_RITASE!$F$5:$F$20000,INPUT_RITASE!$A$5:$A$20000,$A1426,INPUT_RITASE!$B$5:$B$20000,$B1426,INPUT_RITASE!$C$5:$C$20000,$C1426,INPUT_RITASE!$D$5:$D$20000,$D1426))</f>
        <v/>
      </c>
      <c r="S1426" s="158">
        <f>IF($Q1426=0,0,$R1426*$P1426/$Q1426)</f>
        <v/>
      </c>
    </row>
    <row r="1427">
      <c r="A1427" s="155" t="n">
        <v>46109</v>
      </c>
      <c r="B1427" s="156" t="inlineStr">
        <is>
          <t>06-07</t>
        </is>
      </c>
      <c r="C1427" s="156" t="inlineStr">
        <is>
          <t>EX-1251</t>
        </is>
      </c>
      <c r="D1427" s="156" t="inlineStr">
        <is>
          <t>DT-504</t>
        </is>
      </c>
      <c r="E1427" s="156" t="inlineStr">
        <is>
          <t>OB</t>
        </is>
      </c>
      <c r="F1427" s="156" t="n">
        <v>4</v>
      </c>
      <c r="G1427" s="156" t="inlineStr"/>
      <c r="H1427" s="157">
        <f>IF($B1427="","",IF(ISNA(MATCH($B1427,MASTER_JAM!$Q$5:$Q$28,0)),"?",IF(MATCH($B1427,MASTER_JAM!$Q$5:$Q$28,0)&lt;=12,"DS","NS")))</f>
        <v/>
      </c>
      <c r="I1427" s="157">
        <f>IFERROR(INDEX(MASTER_JAM!$B$5:$B$94,MATCH($C1427,MASTER_JAM!$A$5:$A$94,0)),"")</f>
        <v/>
      </c>
      <c r="J1427" s="157">
        <f>IFERROR(INDEX(MASTER_JAM!$E$5:$E$94,MATCH($D1427,MASTER_JAM!$A$5:$A$94,0)),"")</f>
        <v/>
      </c>
      <c r="K1427" s="158">
        <f>IFERROR(INDEX(MASTER_JAM!$J$5:$O$12,MATCH($E1427,MASTER_JAM!$I$5:$I$12,0),MATCH($J1427,MASTER_JAM!$J$4:$O$4,0))+0,0)</f>
        <v/>
      </c>
      <c r="L1427" s="159">
        <f>N($F1427)*$K1427</f>
        <v/>
      </c>
      <c r="M1427" s="157">
        <f>IF($E1427="","",IF(OR($E1427="Coal",$E1427="Dirty Coal"),"MT","BCM"))</f>
        <v/>
      </c>
      <c r="N1427" s="157">
        <f>IF($E1427="","",IF(OR($E1427="Coal",$E1427="Dirty Coal"),"Coal","OB"))</f>
        <v/>
      </c>
      <c r="O1427" s="157">
        <f>IF($F1427="","",IF(COUNTIF(MASTER_JAM!$A$5:$A$94,$C1427)=0,"Digger tidak dikenal",IF($J1427="","Hauler tidak dikenal",IF($H1427="?","Jam salah",IF($K1427=0,"Faktor kosong",IF(SUMIFS(INPUT_DELAY!$E$5:$E$20000,INPUT_DELAY!$A$5:$A$20000,$A1427,INPUT_DELAY!$B$5:$B$20000,$B1427,INPUT_DELAY!$C$5:$C$20000,$C1427)+SUMIFS(INPUT_DELAY!$E$5:$E$20000,INPUT_DELAY!$A$5:$A$20000,$A1427,INPUT_DELAY!$B$5:$B$20000,$B1427,INPUT_DELAY!$C$5:$C$20000,"SEMUA")&gt;=60,"Delay 60 mnt tapi ada ritase","OK"))))))</f>
        <v/>
      </c>
      <c r="P1427" s="158">
        <f>IFERROR(INDEX(MASTER_JAM!$Z$5:$AC$10,MATCH($I1427,MASTER_JAM!$Y$5:$Y$10,0),MATCH($J1427,MASTER_JAM!$Z$4:$AC$4,0))+0,0)</f>
        <v/>
      </c>
      <c r="Q1427" s="158">
        <f>IF($P1427=0,0,$P1427+IFERROR(INDEX(MASTER_JAM!$H$5:$H$94,MATCH($C1427,MASTER_JAM!$A$5:$A$94,0))+0,MASTER_JAM!$AC$15)/1000*(60/MASTER_JAM!$AC$12+60/MASTER_JAM!$AC$13)+MASTER_JAM!$AC$14)</f>
        <v/>
      </c>
      <c r="R1427" s="158">
        <f>IF(N($F1427)=0,0,$F1427/SUMIFS(INPUT_RITASE!$F$5:$F$20000,INPUT_RITASE!$A$5:$A$20000,$A1427,INPUT_RITASE!$B$5:$B$20000,$B1427,INPUT_RITASE!$C$5:$C$20000,$C1427,INPUT_RITASE!$D$5:$D$20000,$D1427))</f>
        <v/>
      </c>
      <c r="S1427" s="158">
        <f>IF($Q1427=0,0,$R1427*$P1427/$Q1427)</f>
        <v/>
      </c>
    </row>
    <row r="1428">
      <c r="A1428" s="155" t="n">
        <v>46109</v>
      </c>
      <c r="B1428" s="156" t="inlineStr">
        <is>
          <t>06-07</t>
        </is>
      </c>
      <c r="C1428" s="156" t="inlineStr">
        <is>
          <t>EX-1251</t>
        </is>
      </c>
      <c r="D1428" s="156" t="inlineStr">
        <is>
          <t>DT-502</t>
        </is>
      </c>
      <c r="E1428" s="156" t="inlineStr">
        <is>
          <t>OB</t>
        </is>
      </c>
      <c r="F1428" s="156" t="n">
        <v>3</v>
      </c>
      <c r="G1428" s="156" t="inlineStr"/>
      <c r="H1428" s="157">
        <f>IF($B1428="","",IF(ISNA(MATCH($B1428,MASTER_JAM!$Q$5:$Q$28,0)),"?",IF(MATCH($B1428,MASTER_JAM!$Q$5:$Q$28,0)&lt;=12,"DS","NS")))</f>
        <v/>
      </c>
      <c r="I1428" s="157">
        <f>IFERROR(INDEX(MASTER_JAM!$B$5:$B$94,MATCH($C1428,MASTER_JAM!$A$5:$A$94,0)),"")</f>
        <v/>
      </c>
      <c r="J1428" s="157">
        <f>IFERROR(INDEX(MASTER_JAM!$E$5:$E$94,MATCH($D1428,MASTER_JAM!$A$5:$A$94,0)),"")</f>
        <v/>
      </c>
      <c r="K1428" s="158">
        <f>IFERROR(INDEX(MASTER_JAM!$J$5:$O$12,MATCH($E1428,MASTER_JAM!$I$5:$I$12,0),MATCH($J1428,MASTER_JAM!$J$4:$O$4,0))+0,0)</f>
        <v/>
      </c>
      <c r="L1428" s="159">
        <f>N($F1428)*$K1428</f>
        <v/>
      </c>
      <c r="M1428" s="157">
        <f>IF($E1428="","",IF(OR($E1428="Coal",$E1428="Dirty Coal"),"MT","BCM"))</f>
        <v/>
      </c>
      <c r="N1428" s="157">
        <f>IF($E1428="","",IF(OR($E1428="Coal",$E1428="Dirty Coal"),"Coal","OB"))</f>
        <v/>
      </c>
      <c r="O1428" s="157">
        <f>IF($F1428="","",IF(COUNTIF(MASTER_JAM!$A$5:$A$94,$C1428)=0,"Digger tidak dikenal",IF($J1428="","Hauler tidak dikenal",IF($H1428="?","Jam salah",IF($K1428=0,"Faktor kosong",IF(SUMIFS(INPUT_DELAY!$E$5:$E$20000,INPUT_DELAY!$A$5:$A$20000,$A1428,INPUT_DELAY!$B$5:$B$20000,$B1428,INPUT_DELAY!$C$5:$C$20000,$C1428)+SUMIFS(INPUT_DELAY!$E$5:$E$20000,INPUT_DELAY!$A$5:$A$20000,$A1428,INPUT_DELAY!$B$5:$B$20000,$B1428,INPUT_DELAY!$C$5:$C$20000,"SEMUA")&gt;=60,"Delay 60 mnt tapi ada ritase","OK"))))))</f>
        <v/>
      </c>
      <c r="P1428" s="158">
        <f>IFERROR(INDEX(MASTER_JAM!$Z$5:$AC$10,MATCH($I1428,MASTER_JAM!$Y$5:$Y$10,0),MATCH($J1428,MASTER_JAM!$Z$4:$AC$4,0))+0,0)</f>
        <v/>
      </c>
      <c r="Q1428" s="158">
        <f>IF($P1428=0,0,$P1428+IFERROR(INDEX(MASTER_JAM!$H$5:$H$94,MATCH($C1428,MASTER_JAM!$A$5:$A$94,0))+0,MASTER_JAM!$AC$15)/1000*(60/MASTER_JAM!$AC$12+60/MASTER_JAM!$AC$13)+MASTER_JAM!$AC$14)</f>
        <v/>
      </c>
      <c r="R1428" s="158">
        <f>IF(N($F1428)=0,0,$F1428/SUMIFS(INPUT_RITASE!$F$5:$F$20000,INPUT_RITASE!$A$5:$A$20000,$A1428,INPUT_RITASE!$B$5:$B$20000,$B1428,INPUT_RITASE!$C$5:$C$20000,$C1428,INPUT_RITASE!$D$5:$D$20000,$D1428))</f>
        <v/>
      </c>
      <c r="S1428" s="158">
        <f>IF($Q1428=0,0,$R1428*$P1428/$Q1428)</f>
        <v/>
      </c>
    </row>
    <row r="1429">
      <c r="A1429" s="155" t="n">
        <v>46109</v>
      </c>
      <c r="B1429" s="156" t="inlineStr">
        <is>
          <t>06-07</t>
        </is>
      </c>
      <c r="C1429" s="156" t="inlineStr">
        <is>
          <t>EX-2101</t>
        </is>
      </c>
      <c r="D1429" s="156" t="inlineStr">
        <is>
          <t>DT-526</t>
        </is>
      </c>
      <c r="E1429" s="156" t="inlineStr">
        <is>
          <t>OB</t>
        </is>
      </c>
      <c r="F1429" s="156" t="n">
        <v>4</v>
      </c>
      <c r="G1429" s="156" t="inlineStr"/>
      <c r="H1429" s="157">
        <f>IF($B1429="","",IF(ISNA(MATCH($B1429,MASTER_JAM!$Q$5:$Q$28,0)),"?",IF(MATCH($B1429,MASTER_JAM!$Q$5:$Q$28,0)&lt;=12,"DS","NS")))</f>
        <v/>
      </c>
      <c r="I1429" s="157">
        <f>IFERROR(INDEX(MASTER_JAM!$B$5:$B$94,MATCH($C1429,MASTER_JAM!$A$5:$A$94,0)),"")</f>
        <v/>
      </c>
      <c r="J1429" s="157">
        <f>IFERROR(INDEX(MASTER_JAM!$E$5:$E$94,MATCH($D1429,MASTER_JAM!$A$5:$A$94,0)),"")</f>
        <v/>
      </c>
      <c r="K1429" s="158">
        <f>IFERROR(INDEX(MASTER_JAM!$J$5:$O$12,MATCH($E1429,MASTER_JAM!$I$5:$I$12,0),MATCH($J1429,MASTER_JAM!$J$4:$O$4,0))+0,0)</f>
        <v/>
      </c>
      <c r="L1429" s="159">
        <f>N($F1429)*$K1429</f>
        <v/>
      </c>
      <c r="M1429" s="157">
        <f>IF($E1429="","",IF(OR($E1429="Coal",$E1429="Dirty Coal"),"MT","BCM"))</f>
        <v/>
      </c>
      <c r="N1429" s="157">
        <f>IF($E1429="","",IF(OR($E1429="Coal",$E1429="Dirty Coal"),"Coal","OB"))</f>
        <v/>
      </c>
      <c r="O1429" s="157">
        <f>IF($F1429="","",IF(COUNTIF(MASTER_JAM!$A$5:$A$94,$C1429)=0,"Digger tidak dikenal",IF($J1429="","Hauler tidak dikenal",IF($H1429="?","Jam salah",IF($K1429=0,"Faktor kosong",IF(SUMIFS(INPUT_DELAY!$E$5:$E$20000,INPUT_DELAY!$A$5:$A$20000,$A1429,INPUT_DELAY!$B$5:$B$20000,$B1429,INPUT_DELAY!$C$5:$C$20000,$C1429)+SUMIFS(INPUT_DELAY!$E$5:$E$20000,INPUT_DELAY!$A$5:$A$20000,$A1429,INPUT_DELAY!$B$5:$B$20000,$B1429,INPUT_DELAY!$C$5:$C$20000,"SEMUA")&gt;=60,"Delay 60 mnt tapi ada ritase","OK"))))))</f>
        <v/>
      </c>
      <c r="P1429" s="158">
        <f>IFERROR(INDEX(MASTER_JAM!$Z$5:$AC$10,MATCH($I1429,MASTER_JAM!$Y$5:$Y$10,0),MATCH($J1429,MASTER_JAM!$Z$4:$AC$4,0))+0,0)</f>
        <v/>
      </c>
      <c r="Q1429" s="158">
        <f>IF($P1429=0,0,$P1429+IFERROR(INDEX(MASTER_JAM!$H$5:$H$94,MATCH($C1429,MASTER_JAM!$A$5:$A$94,0))+0,MASTER_JAM!$AC$15)/1000*(60/MASTER_JAM!$AC$12+60/MASTER_JAM!$AC$13)+MASTER_JAM!$AC$14)</f>
        <v/>
      </c>
      <c r="R1429" s="158">
        <f>IF(N($F1429)=0,0,$F1429/SUMIFS(INPUT_RITASE!$F$5:$F$20000,INPUT_RITASE!$A$5:$A$20000,$A1429,INPUT_RITASE!$B$5:$B$20000,$B1429,INPUT_RITASE!$C$5:$C$20000,$C1429,INPUT_RITASE!$D$5:$D$20000,$D1429))</f>
        <v/>
      </c>
      <c r="S1429" s="158">
        <f>IF($Q1429=0,0,$R1429*$P1429/$Q1429)</f>
        <v/>
      </c>
    </row>
    <row r="1430">
      <c r="A1430" s="155" t="n">
        <v>46109</v>
      </c>
      <c r="B1430" s="156" t="inlineStr">
        <is>
          <t>06-07</t>
        </is>
      </c>
      <c r="C1430" s="156" t="inlineStr">
        <is>
          <t>EX-2101</t>
        </is>
      </c>
      <c r="D1430" s="156" t="inlineStr">
        <is>
          <t>HD-903</t>
        </is>
      </c>
      <c r="E1430" s="156" t="inlineStr">
        <is>
          <t>OB</t>
        </is>
      </c>
      <c r="F1430" s="156" t="n">
        <v>3</v>
      </c>
      <c r="G1430" s="156" t="inlineStr"/>
      <c r="H1430" s="157">
        <f>IF($B1430="","",IF(ISNA(MATCH($B1430,MASTER_JAM!$Q$5:$Q$28,0)),"?",IF(MATCH($B1430,MASTER_JAM!$Q$5:$Q$28,0)&lt;=12,"DS","NS")))</f>
        <v/>
      </c>
      <c r="I1430" s="157">
        <f>IFERROR(INDEX(MASTER_JAM!$B$5:$B$94,MATCH($C1430,MASTER_JAM!$A$5:$A$94,0)),"")</f>
        <v/>
      </c>
      <c r="J1430" s="157">
        <f>IFERROR(INDEX(MASTER_JAM!$E$5:$E$94,MATCH($D1430,MASTER_JAM!$A$5:$A$94,0)),"")</f>
        <v/>
      </c>
      <c r="K1430" s="158">
        <f>IFERROR(INDEX(MASTER_JAM!$J$5:$O$12,MATCH($E1430,MASTER_JAM!$I$5:$I$12,0),MATCH($J1430,MASTER_JAM!$J$4:$O$4,0))+0,0)</f>
        <v/>
      </c>
      <c r="L1430" s="159">
        <f>N($F1430)*$K1430</f>
        <v/>
      </c>
      <c r="M1430" s="157">
        <f>IF($E1430="","",IF(OR($E1430="Coal",$E1430="Dirty Coal"),"MT","BCM"))</f>
        <v/>
      </c>
      <c r="N1430" s="157">
        <f>IF($E1430="","",IF(OR($E1430="Coal",$E1430="Dirty Coal"),"Coal","OB"))</f>
        <v/>
      </c>
      <c r="O1430" s="157">
        <f>IF($F1430="","",IF(COUNTIF(MASTER_JAM!$A$5:$A$94,$C1430)=0,"Digger tidak dikenal",IF($J1430="","Hauler tidak dikenal",IF($H1430="?","Jam salah",IF($K1430=0,"Faktor kosong",IF(SUMIFS(INPUT_DELAY!$E$5:$E$20000,INPUT_DELAY!$A$5:$A$20000,$A1430,INPUT_DELAY!$B$5:$B$20000,$B1430,INPUT_DELAY!$C$5:$C$20000,$C1430)+SUMIFS(INPUT_DELAY!$E$5:$E$20000,INPUT_DELAY!$A$5:$A$20000,$A1430,INPUT_DELAY!$B$5:$B$20000,$B1430,INPUT_DELAY!$C$5:$C$20000,"SEMUA")&gt;=60,"Delay 60 mnt tapi ada ritase","OK"))))))</f>
        <v/>
      </c>
      <c r="P1430" s="158">
        <f>IFERROR(INDEX(MASTER_JAM!$Z$5:$AC$10,MATCH($I1430,MASTER_JAM!$Y$5:$Y$10,0),MATCH($J1430,MASTER_JAM!$Z$4:$AC$4,0))+0,0)</f>
        <v/>
      </c>
      <c r="Q1430" s="158">
        <f>IF($P1430=0,0,$P1430+IFERROR(INDEX(MASTER_JAM!$H$5:$H$94,MATCH($C1430,MASTER_JAM!$A$5:$A$94,0))+0,MASTER_JAM!$AC$15)/1000*(60/MASTER_JAM!$AC$12+60/MASTER_JAM!$AC$13)+MASTER_JAM!$AC$14)</f>
        <v/>
      </c>
      <c r="R1430" s="158">
        <f>IF(N($F1430)=0,0,$F1430/SUMIFS(INPUT_RITASE!$F$5:$F$20000,INPUT_RITASE!$A$5:$A$20000,$A1430,INPUT_RITASE!$B$5:$B$20000,$B1430,INPUT_RITASE!$C$5:$C$20000,$C1430,INPUT_RITASE!$D$5:$D$20000,$D1430))</f>
        <v/>
      </c>
      <c r="S1430" s="158">
        <f>IF($Q1430=0,0,$R1430*$P1430/$Q1430)</f>
        <v/>
      </c>
    </row>
    <row r="1431">
      <c r="A1431" s="155" t="n">
        <v>46109</v>
      </c>
      <c r="B1431" s="156" t="inlineStr">
        <is>
          <t>06-07</t>
        </is>
      </c>
      <c r="C1431" s="156" t="inlineStr">
        <is>
          <t>EX-2101</t>
        </is>
      </c>
      <c r="D1431" s="156" t="inlineStr">
        <is>
          <t>HD-902</t>
        </is>
      </c>
      <c r="E1431" s="156" t="inlineStr">
        <is>
          <t>OB</t>
        </is>
      </c>
      <c r="F1431" s="156" t="n">
        <v>3</v>
      </c>
      <c r="G1431" s="156" t="inlineStr"/>
      <c r="H1431" s="157">
        <f>IF($B1431="","",IF(ISNA(MATCH($B1431,MASTER_JAM!$Q$5:$Q$28,0)),"?",IF(MATCH($B1431,MASTER_JAM!$Q$5:$Q$28,0)&lt;=12,"DS","NS")))</f>
        <v/>
      </c>
      <c r="I1431" s="157">
        <f>IFERROR(INDEX(MASTER_JAM!$B$5:$B$94,MATCH($C1431,MASTER_JAM!$A$5:$A$94,0)),"")</f>
        <v/>
      </c>
      <c r="J1431" s="157">
        <f>IFERROR(INDEX(MASTER_JAM!$E$5:$E$94,MATCH($D1431,MASTER_JAM!$A$5:$A$94,0)),"")</f>
        <v/>
      </c>
      <c r="K1431" s="158">
        <f>IFERROR(INDEX(MASTER_JAM!$J$5:$O$12,MATCH($E1431,MASTER_JAM!$I$5:$I$12,0),MATCH($J1431,MASTER_JAM!$J$4:$O$4,0))+0,0)</f>
        <v/>
      </c>
      <c r="L1431" s="159">
        <f>N($F1431)*$K1431</f>
        <v/>
      </c>
      <c r="M1431" s="157">
        <f>IF($E1431="","",IF(OR($E1431="Coal",$E1431="Dirty Coal"),"MT","BCM"))</f>
        <v/>
      </c>
      <c r="N1431" s="157">
        <f>IF($E1431="","",IF(OR($E1431="Coal",$E1431="Dirty Coal"),"Coal","OB"))</f>
        <v/>
      </c>
      <c r="O1431" s="157">
        <f>IF($F1431="","",IF(COUNTIF(MASTER_JAM!$A$5:$A$94,$C1431)=0,"Digger tidak dikenal",IF($J1431="","Hauler tidak dikenal",IF($H1431="?","Jam salah",IF($K1431=0,"Faktor kosong",IF(SUMIFS(INPUT_DELAY!$E$5:$E$20000,INPUT_DELAY!$A$5:$A$20000,$A1431,INPUT_DELAY!$B$5:$B$20000,$B1431,INPUT_DELAY!$C$5:$C$20000,$C1431)+SUMIFS(INPUT_DELAY!$E$5:$E$20000,INPUT_DELAY!$A$5:$A$20000,$A1431,INPUT_DELAY!$B$5:$B$20000,$B1431,INPUT_DELAY!$C$5:$C$20000,"SEMUA")&gt;=60,"Delay 60 mnt tapi ada ritase","OK"))))))</f>
        <v/>
      </c>
      <c r="P1431" s="158">
        <f>IFERROR(INDEX(MASTER_JAM!$Z$5:$AC$10,MATCH($I1431,MASTER_JAM!$Y$5:$Y$10,0),MATCH($J1431,MASTER_JAM!$Z$4:$AC$4,0))+0,0)</f>
        <v/>
      </c>
      <c r="Q1431" s="158">
        <f>IF($P1431=0,0,$P1431+IFERROR(INDEX(MASTER_JAM!$H$5:$H$94,MATCH($C1431,MASTER_JAM!$A$5:$A$94,0))+0,MASTER_JAM!$AC$15)/1000*(60/MASTER_JAM!$AC$12+60/MASTER_JAM!$AC$13)+MASTER_JAM!$AC$14)</f>
        <v/>
      </c>
      <c r="R1431" s="158">
        <f>IF(N($F1431)=0,0,$F1431/SUMIFS(INPUT_RITASE!$F$5:$F$20000,INPUT_RITASE!$A$5:$A$20000,$A1431,INPUT_RITASE!$B$5:$B$20000,$B1431,INPUT_RITASE!$C$5:$C$20000,$C1431,INPUT_RITASE!$D$5:$D$20000,$D1431))</f>
        <v/>
      </c>
      <c r="S1431" s="158">
        <f>IF($Q1431=0,0,$R1431*$P1431/$Q1431)</f>
        <v/>
      </c>
    </row>
    <row r="1432">
      <c r="A1432" s="155" t="n">
        <v>46109</v>
      </c>
      <c r="B1432" s="156" t="inlineStr">
        <is>
          <t>06-07</t>
        </is>
      </c>
      <c r="C1432" s="156" t="inlineStr">
        <is>
          <t>EX-2101</t>
        </is>
      </c>
      <c r="D1432" s="156" t="inlineStr">
        <is>
          <t>HD-901</t>
        </is>
      </c>
      <c r="E1432" s="156" t="inlineStr">
        <is>
          <t>OB</t>
        </is>
      </c>
      <c r="F1432" s="156" t="n">
        <v>3</v>
      </c>
      <c r="G1432" s="156" t="inlineStr"/>
      <c r="H1432" s="157">
        <f>IF($B1432="","",IF(ISNA(MATCH($B1432,MASTER_JAM!$Q$5:$Q$28,0)),"?",IF(MATCH($B1432,MASTER_JAM!$Q$5:$Q$28,0)&lt;=12,"DS","NS")))</f>
        <v/>
      </c>
      <c r="I1432" s="157">
        <f>IFERROR(INDEX(MASTER_JAM!$B$5:$B$94,MATCH($C1432,MASTER_JAM!$A$5:$A$94,0)),"")</f>
        <v/>
      </c>
      <c r="J1432" s="157">
        <f>IFERROR(INDEX(MASTER_JAM!$E$5:$E$94,MATCH($D1432,MASTER_JAM!$A$5:$A$94,0)),"")</f>
        <v/>
      </c>
      <c r="K1432" s="158">
        <f>IFERROR(INDEX(MASTER_JAM!$J$5:$O$12,MATCH($E1432,MASTER_JAM!$I$5:$I$12,0),MATCH($J1432,MASTER_JAM!$J$4:$O$4,0))+0,0)</f>
        <v/>
      </c>
      <c r="L1432" s="159">
        <f>N($F1432)*$K1432</f>
        <v/>
      </c>
      <c r="M1432" s="157">
        <f>IF($E1432="","",IF(OR($E1432="Coal",$E1432="Dirty Coal"),"MT","BCM"))</f>
        <v/>
      </c>
      <c r="N1432" s="157">
        <f>IF($E1432="","",IF(OR($E1432="Coal",$E1432="Dirty Coal"),"Coal","OB"))</f>
        <v/>
      </c>
      <c r="O1432" s="157">
        <f>IF($F1432="","",IF(COUNTIF(MASTER_JAM!$A$5:$A$94,$C1432)=0,"Digger tidak dikenal",IF($J1432="","Hauler tidak dikenal",IF($H1432="?","Jam salah",IF($K1432=0,"Faktor kosong",IF(SUMIFS(INPUT_DELAY!$E$5:$E$20000,INPUT_DELAY!$A$5:$A$20000,$A1432,INPUT_DELAY!$B$5:$B$20000,$B1432,INPUT_DELAY!$C$5:$C$20000,$C1432)+SUMIFS(INPUT_DELAY!$E$5:$E$20000,INPUT_DELAY!$A$5:$A$20000,$A1432,INPUT_DELAY!$B$5:$B$20000,$B1432,INPUT_DELAY!$C$5:$C$20000,"SEMUA")&gt;=60,"Delay 60 mnt tapi ada ritase","OK"))))))</f>
        <v/>
      </c>
      <c r="P1432" s="158">
        <f>IFERROR(INDEX(MASTER_JAM!$Z$5:$AC$10,MATCH($I1432,MASTER_JAM!$Y$5:$Y$10,0),MATCH($J1432,MASTER_JAM!$Z$4:$AC$4,0))+0,0)</f>
        <v/>
      </c>
      <c r="Q1432" s="158">
        <f>IF($P1432=0,0,$P1432+IFERROR(INDEX(MASTER_JAM!$H$5:$H$94,MATCH($C1432,MASTER_JAM!$A$5:$A$94,0))+0,MASTER_JAM!$AC$15)/1000*(60/MASTER_JAM!$AC$12+60/MASTER_JAM!$AC$13)+MASTER_JAM!$AC$14)</f>
        <v/>
      </c>
      <c r="R1432" s="158">
        <f>IF(N($F1432)=0,0,$F1432/SUMIFS(INPUT_RITASE!$F$5:$F$20000,INPUT_RITASE!$A$5:$A$20000,$A1432,INPUT_RITASE!$B$5:$B$20000,$B1432,INPUT_RITASE!$C$5:$C$20000,$C1432,INPUT_RITASE!$D$5:$D$20000,$D1432))</f>
        <v/>
      </c>
      <c r="S1432" s="158">
        <f>IF($Q1432=0,0,$R1432*$P1432/$Q1432)</f>
        <v/>
      </c>
    </row>
    <row r="1433">
      <c r="A1433" s="155" t="n">
        <v>46109</v>
      </c>
      <c r="B1433" s="156" t="inlineStr">
        <is>
          <t>07-08</t>
        </is>
      </c>
      <c r="C1433" s="156" t="inlineStr">
        <is>
          <t>EX-2101</t>
        </is>
      </c>
      <c r="D1433" s="156" t="inlineStr">
        <is>
          <t>HD-905</t>
        </is>
      </c>
      <c r="E1433" s="156" t="inlineStr">
        <is>
          <t>OB</t>
        </is>
      </c>
      <c r="F1433" s="156" t="n">
        <v>4</v>
      </c>
      <c r="G1433" s="156" t="inlineStr"/>
      <c r="H1433" s="157">
        <f>IF($B1433="","",IF(ISNA(MATCH($B1433,MASTER_JAM!$Q$5:$Q$28,0)),"?",IF(MATCH($B1433,MASTER_JAM!$Q$5:$Q$28,0)&lt;=12,"DS","NS")))</f>
        <v/>
      </c>
      <c r="I1433" s="157">
        <f>IFERROR(INDEX(MASTER_JAM!$B$5:$B$94,MATCH($C1433,MASTER_JAM!$A$5:$A$94,0)),"")</f>
        <v/>
      </c>
      <c r="J1433" s="157">
        <f>IFERROR(INDEX(MASTER_JAM!$E$5:$E$94,MATCH($D1433,MASTER_JAM!$A$5:$A$94,0)),"")</f>
        <v/>
      </c>
      <c r="K1433" s="158">
        <f>IFERROR(INDEX(MASTER_JAM!$J$5:$O$12,MATCH($E1433,MASTER_JAM!$I$5:$I$12,0),MATCH($J1433,MASTER_JAM!$J$4:$O$4,0))+0,0)</f>
        <v/>
      </c>
      <c r="L1433" s="159">
        <f>N($F1433)*$K1433</f>
        <v/>
      </c>
      <c r="M1433" s="157">
        <f>IF($E1433="","",IF(OR($E1433="Coal",$E1433="Dirty Coal"),"MT","BCM"))</f>
        <v/>
      </c>
      <c r="N1433" s="157">
        <f>IF($E1433="","",IF(OR($E1433="Coal",$E1433="Dirty Coal"),"Coal","OB"))</f>
        <v/>
      </c>
      <c r="O1433" s="157">
        <f>IF($F1433="","",IF(COUNTIF(MASTER_JAM!$A$5:$A$94,$C1433)=0,"Digger tidak dikenal",IF($J1433="","Hauler tidak dikenal",IF($H1433="?","Jam salah",IF($K1433=0,"Faktor kosong",IF(SUMIFS(INPUT_DELAY!$E$5:$E$20000,INPUT_DELAY!$A$5:$A$20000,$A1433,INPUT_DELAY!$B$5:$B$20000,$B1433,INPUT_DELAY!$C$5:$C$20000,$C1433)+SUMIFS(INPUT_DELAY!$E$5:$E$20000,INPUT_DELAY!$A$5:$A$20000,$A1433,INPUT_DELAY!$B$5:$B$20000,$B1433,INPUT_DELAY!$C$5:$C$20000,"SEMUA")&gt;=60,"Delay 60 mnt tapi ada ritase","OK"))))))</f>
        <v/>
      </c>
      <c r="P1433" s="158">
        <f>IFERROR(INDEX(MASTER_JAM!$Z$5:$AC$10,MATCH($I1433,MASTER_JAM!$Y$5:$Y$10,0),MATCH($J1433,MASTER_JAM!$Z$4:$AC$4,0))+0,0)</f>
        <v/>
      </c>
      <c r="Q1433" s="158">
        <f>IF($P1433=0,0,$P1433+IFERROR(INDEX(MASTER_JAM!$H$5:$H$94,MATCH($C1433,MASTER_JAM!$A$5:$A$94,0))+0,MASTER_JAM!$AC$15)/1000*(60/MASTER_JAM!$AC$12+60/MASTER_JAM!$AC$13)+MASTER_JAM!$AC$14)</f>
        <v/>
      </c>
      <c r="R1433" s="158">
        <f>IF(N($F1433)=0,0,$F1433/SUMIFS(INPUT_RITASE!$F$5:$F$20000,INPUT_RITASE!$A$5:$A$20000,$A1433,INPUT_RITASE!$B$5:$B$20000,$B1433,INPUT_RITASE!$C$5:$C$20000,$C1433,INPUT_RITASE!$D$5:$D$20000,$D1433))</f>
        <v/>
      </c>
      <c r="S1433" s="158">
        <f>IF($Q1433=0,0,$R1433*$P1433/$Q1433)</f>
        <v/>
      </c>
    </row>
    <row r="1434">
      <c r="A1434" s="155" t="n">
        <v>46109</v>
      </c>
      <c r="B1434" s="156" t="inlineStr">
        <is>
          <t>07-08</t>
        </is>
      </c>
      <c r="C1434" s="156" t="inlineStr">
        <is>
          <t>EX-2101</t>
        </is>
      </c>
      <c r="D1434" s="156" t="inlineStr">
        <is>
          <t>HD-903</t>
        </is>
      </c>
      <c r="E1434" s="156" t="inlineStr">
        <is>
          <t>OB</t>
        </is>
      </c>
      <c r="F1434" s="156" t="n">
        <v>4</v>
      </c>
      <c r="G1434" s="156" t="inlineStr"/>
      <c r="H1434" s="157">
        <f>IF($B1434="","",IF(ISNA(MATCH($B1434,MASTER_JAM!$Q$5:$Q$28,0)),"?",IF(MATCH($B1434,MASTER_JAM!$Q$5:$Q$28,0)&lt;=12,"DS","NS")))</f>
        <v/>
      </c>
      <c r="I1434" s="157">
        <f>IFERROR(INDEX(MASTER_JAM!$B$5:$B$94,MATCH($C1434,MASTER_JAM!$A$5:$A$94,0)),"")</f>
        <v/>
      </c>
      <c r="J1434" s="157">
        <f>IFERROR(INDEX(MASTER_JAM!$E$5:$E$94,MATCH($D1434,MASTER_JAM!$A$5:$A$94,0)),"")</f>
        <v/>
      </c>
      <c r="K1434" s="158">
        <f>IFERROR(INDEX(MASTER_JAM!$J$5:$O$12,MATCH($E1434,MASTER_JAM!$I$5:$I$12,0),MATCH($J1434,MASTER_JAM!$J$4:$O$4,0))+0,0)</f>
        <v/>
      </c>
      <c r="L1434" s="159">
        <f>N($F1434)*$K1434</f>
        <v/>
      </c>
      <c r="M1434" s="157">
        <f>IF($E1434="","",IF(OR($E1434="Coal",$E1434="Dirty Coal"),"MT","BCM"))</f>
        <v/>
      </c>
      <c r="N1434" s="157">
        <f>IF($E1434="","",IF(OR($E1434="Coal",$E1434="Dirty Coal"),"Coal","OB"))</f>
        <v/>
      </c>
      <c r="O1434" s="157">
        <f>IF($F1434="","",IF(COUNTIF(MASTER_JAM!$A$5:$A$94,$C1434)=0,"Digger tidak dikenal",IF($J1434="","Hauler tidak dikenal",IF($H1434="?","Jam salah",IF($K1434=0,"Faktor kosong",IF(SUMIFS(INPUT_DELAY!$E$5:$E$20000,INPUT_DELAY!$A$5:$A$20000,$A1434,INPUT_DELAY!$B$5:$B$20000,$B1434,INPUT_DELAY!$C$5:$C$20000,$C1434)+SUMIFS(INPUT_DELAY!$E$5:$E$20000,INPUT_DELAY!$A$5:$A$20000,$A1434,INPUT_DELAY!$B$5:$B$20000,$B1434,INPUT_DELAY!$C$5:$C$20000,"SEMUA")&gt;=60,"Delay 60 mnt tapi ada ritase","OK"))))))</f>
        <v/>
      </c>
      <c r="P1434" s="158">
        <f>IFERROR(INDEX(MASTER_JAM!$Z$5:$AC$10,MATCH($I1434,MASTER_JAM!$Y$5:$Y$10,0),MATCH($J1434,MASTER_JAM!$Z$4:$AC$4,0))+0,0)</f>
        <v/>
      </c>
      <c r="Q1434" s="158">
        <f>IF($P1434=0,0,$P1434+IFERROR(INDEX(MASTER_JAM!$H$5:$H$94,MATCH($C1434,MASTER_JAM!$A$5:$A$94,0))+0,MASTER_JAM!$AC$15)/1000*(60/MASTER_JAM!$AC$12+60/MASTER_JAM!$AC$13)+MASTER_JAM!$AC$14)</f>
        <v/>
      </c>
      <c r="R1434" s="158">
        <f>IF(N($F1434)=0,0,$F1434/SUMIFS(INPUT_RITASE!$F$5:$F$20000,INPUT_RITASE!$A$5:$A$20000,$A1434,INPUT_RITASE!$B$5:$B$20000,$B1434,INPUT_RITASE!$C$5:$C$20000,$C1434,INPUT_RITASE!$D$5:$D$20000,$D1434))</f>
        <v/>
      </c>
      <c r="S1434" s="158">
        <f>IF($Q1434=0,0,$R1434*$P1434/$Q1434)</f>
        <v/>
      </c>
    </row>
    <row r="1435">
      <c r="A1435" s="155" t="n">
        <v>46109</v>
      </c>
      <c r="B1435" s="156" t="inlineStr">
        <is>
          <t>07-08</t>
        </is>
      </c>
      <c r="C1435" s="156" t="inlineStr">
        <is>
          <t>EX-2101</t>
        </is>
      </c>
      <c r="D1435" s="156" t="inlineStr">
        <is>
          <t>HD-901</t>
        </is>
      </c>
      <c r="E1435" s="156" t="inlineStr">
        <is>
          <t>OB</t>
        </is>
      </c>
      <c r="F1435" s="156" t="n">
        <v>4</v>
      </c>
      <c r="G1435" s="156" t="inlineStr"/>
      <c r="H1435" s="157">
        <f>IF($B1435="","",IF(ISNA(MATCH($B1435,MASTER_JAM!$Q$5:$Q$28,0)),"?",IF(MATCH($B1435,MASTER_JAM!$Q$5:$Q$28,0)&lt;=12,"DS","NS")))</f>
        <v/>
      </c>
      <c r="I1435" s="157">
        <f>IFERROR(INDEX(MASTER_JAM!$B$5:$B$94,MATCH($C1435,MASTER_JAM!$A$5:$A$94,0)),"")</f>
        <v/>
      </c>
      <c r="J1435" s="157">
        <f>IFERROR(INDEX(MASTER_JAM!$E$5:$E$94,MATCH($D1435,MASTER_JAM!$A$5:$A$94,0)),"")</f>
        <v/>
      </c>
      <c r="K1435" s="158">
        <f>IFERROR(INDEX(MASTER_JAM!$J$5:$O$12,MATCH($E1435,MASTER_JAM!$I$5:$I$12,0),MATCH($J1435,MASTER_JAM!$J$4:$O$4,0))+0,0)</f>
        <v/>
      </c>
      <c r="L1435" s="159">
        <f>N($F1435)*$K1435</f>
        <v/>
      </c>
      <c r="M1435" s="157">
        <f>IF($E1435="","",IF(OR($E1435="Coal",$E1435="Dirty Coal"),"MT","BCM"))</f>
        <v/>
      </c>
      <c r="N1435" s="157">
        <f>IF($E1435="","",IF(OR($E1435="Coal",$E1435="Dirty Coal"),"Coal","OB"))</f>
        <v/>
      </c>
      <c r="O1435" s="157">
        <f>IF($F1435="","",IF(COUNTIF(MASTER_JAM!$A$5:$A$94,$C1435)=0,"Digger tidak dikenal",IF($J1435="","Hauler tidak dikenal",IF($H1435="?","Jam salah",IF($K1435=0,"Faktor kosong",IF(SUMIFS(INPUT_DELAY!$E$5:$E$20000,INPUT_DELAY!$A$5:$A$20000,$A1435,INPUT_DELAY!$B$5:$B$20000,$B1435,INPUT_DELAY!$C$5:$C$20000,$C1435)+SUMIFS(INPUT_DELAY!$E$5:$E$20000,INPUT_DELAY!$A$5:$A$20000,$A1435,INPUT_DELAY!$B$5:$B$20000,$B1435,INPUT_DELAY!$C$5:$C$20000,"SEMUA")&gt;=60,"Delay 60 mnt tapi ada ritase","OK"))))))</f>
        <v/>
      </c>
      <c r="P1435" s="158">
        <f>IFERROR(INDEX(MASTER_JAM!$Z$5:$AC$10,MATCH($I1435,MASTER_JAM!$Y$5:$Y$10,0),MATCH($J1435,MASTER_JAM!$Z$4:$AC$4,0))+0,0)</f>
        <v/>
      </c>
      <c r="Q1435" s="158">
        <f>IF($P1435=0,0,$P1435+IFERROR(INDEX(MASTER_JAM!$H$5:$H$94,MATCH($C1435,MASTER_JAM!$A$5:$A$94,0))+0,MASTER_JAM!$AC$15)/1000*(60/MASTER_JAM!$AC$12+60/MASTER_JAM!$AC$13)+MASTER_JAM!$AC$14)</f>
        <v/>
      </c>
      <c r="R1435" s="158">
        <f>IF(N($F1435)=0,0,$F1435/SUMIFS(INPUT_RITASE!$F$5:$F$20000,INPUT_RITASE!$A$5:$A$20000,$A1435,INPUT_RITASE!$B$5:$B$20000,$B1435,INPUT_RITASE!$C$5:$C$20000,$C1435,INPUT_RITASE!$D$5:$D$20000,$D1435))</f>
        <v/>
      </c>
      <c r="S1435" s="158">
        <f>IF($Q1435=0,0,$R1435*$P1435/$Q1435)</f>
        <v/>
      </c>
    </row>
    <row r="1436">
      <c r="A1436" s="155" t="n">
        <v>46109</v>
      </c>
      <c r="B1436" s="156" t="inlineStr">
        <is>
          <t>07-08</t>
        </is>
      </c>
      <c r="C1436" s="156" t="inlineStr">
        <is>
          <t>EX-2101</t>
        </is>
      </c>
      <c r="D1436" s="156" t="inlineStr">
        <is>
          <t>HD-902</t>
        </is>
      </c>
      <c r="E1436" s="156" t="inlineStr">
        <is>
          <t>OB</t>
        </is>
      </c>
      <c r="F1436" s="156" t="n">
        <v>4</v>
      </c>
      <c r="G1436" s="156" t="inlineStr"/>
      <c r="H1436" s="157">
        <f>IF($B1436="","",IF(ISNA(MATCH($B1436,MASTER_JAM!$Q$5:$Q$28,0)),"?",IF(MATCH($B1436,MASTER_JAM!$Q$5:$Q$28,0)&lt;=12,"DS","NS")))</f>
        <v/>
      </c>
      <c r="I1436" s="157">
        <f>IFERROR(INDEX(MASTER_JAM!$B$5:$B$94,MATCH($C1436,MASTER_JAM!$A$5:$A$94,0)),"")</f>
        <v/>
      </c>
      <c r="J1436" s="157">
        <f>IFERROR(INDEX(MASTER_JAM!$E$5:$E$94,MATCH($D1436,MASTER_JAM!$A$5:$A$94,0)),"")</f>
        <v/>
      </c>
      <c r="K1436" s="158">
        <f>IFERROR(INDEX(MASTER_JAM!$J$5:$O$12,MATCH($E1436,MASTER_JAM!$I$5:$I$12,0),MATCH($J1436,MASTER_JAM!$J$4:$O$4,0))+0,0)</f>
        <v/>
      </c>
      <c r="L1436" s="159">
        <f>N($F1436)*$K1436</f>
        <v/>
      </c>
      <c r="M1436" s="157">
        <f>IF($E1436="","",IF(OR($E1436="Coal",$E1436="Dirty Coal"),"MT","BCM"))</f>
        <v/>
      </c>
      <c r="N1436" s="157">
        <f>IF($E1436="","",IF(OR($E1436="Coal",$E1436="Dirty Coal"),"Coal","OB"))</f>
        <v/>
      </c>
      <c r="O1436" s="157">
        <f>IF($F1436="","",IF(COUNTIF(MASTER_JAM!$A$5:$A$94,$C1436)=0,"Digger tidak dikenal",IF($J1436="","Hauler tidak dikenal",IF($H1436="?","Jam salah",IF($K1436=0,"Faktor kosong",IF(SUMIFS(INPUT_DELAY!$E$5:$E$20000,INPUT_DELAY!$A$5:$A$20000,$A1436,INPUT_DELAY!$B$5:$B$20000,$B1436,INPUT_DELAY!$C$5:$C$20000,$C1436)+SUMIFS(INPUT_DELAY!$E$5:$E$20000,INPUT_DELAY!$A$5:$A$20000,$A1436,INPUT_DELAY!$B$5:$B$20000,$B1436,INPUT_DELAY!$C$5:$C$20000,"SEMUA")&gt;=60,"Delay 60 mnt tapi ada ritase","OK"))))))</f>
        <v/>
      </c>
      <c r="P1436" s="158">
        <f>IFERROR(INDEX(MASTER_JAM!$Z$5:$AC$10,MATCH($I1436,MASTER_JAM!$Y$5:$Y$10,0),MATCH($J1436,MASTER_JAM!$Z$4:$AC$4,0))+0,0)</f>
        <v/>
      </c>
      <c r="Q1436" s="158">
        <f>IF($P1436=0,0,$P1436+IFERROR(INDEX(MASTER_JAM!$H$5:$H$94,MATCH($C1436,MASTER_JAM!$A$5:$A$94,0))+0,MASTER_JAM!$AC$15)/1000*(60/MASTER_JAM!$AC$12+60/MASTER_JAM!$AC$13)+MASTER_JAM!$AC$14)</f>
        <v/>
      </c>
      <c r="R1436" s="158">
        <f>IF(N($F1436)=0,0,$F1436/SUMIFS(INPUT_RITASE!$F$5:$F$20000,INPUT_RITASE!$A$5:$A$20000,$A1436,INPUT_RITASE!$B$5:$B$20000,$B1436,INPUT_RITASE!$C$5:$C$20000,$C1436,INPUT_RITASE!$D$5:$D$20000,$D1436))</f>
        <v/>
      </c>
      <c r="S1436" s="158">
        <f>IF($Q1436=0,0,$R1436*$P1436/$Q1436)</f>
        <v/>
      </c>
    </row>
    <row r="1437">
      <c r="A1437" s="155" t="n">
        <v>46109</v>
      </c>
      <c r="B1437" s="156" t="inlineStr">
        <is>
          <t>07-08</t>
        </is>
      </c>
      <c r="C1437" s="156" t="inlineStr">
        <is>
          <t>EX-2101</t>
        </is>
      </c>
      <c r="D1437" s="156" t="inlineStr">
        <is>
          <t>DT-529</t>
        </is>
      </c>
      <c r="E1437" s="156" t="inlineStr">
        <is>
          <t>OB</t>
        </is>
      </c>
      <c r="F1437" s="156" t="n">
        <v>2</v>
      </c>
      <c r="G1437" s="156" t="inlineStr"/>
      <c r="H1437" s="157">
        <f>IF($B1437="","",IF(ISNA(MATCH($B1437,MASTER_JAM!$Q$5:$Q$28,0)),"?",IF(MATCH($B1437,MASTER_JAM!$Q$5:$Q$28,0)&lt;=12,"DS","NS")))</f>
        <v/>
      </c>
      <c r="I1437" s="157">
        <f>IFERROR(INDEX(MASTER_JAM!$B$5:$B$94,MATCH($C1437,MASTER_JAM!$A$5:$A$94,0)),"")</f>
        <v/>
      </c>
      <c r="J1437" s="157">
        <f>IFERROR(INDEX(MASTER_JAM!$E$5:$E$94,MATCH($D1437,MASTER_JAM!$A$5:$A$94,0)),"")</f>
        <v/>
      </c>
      <c r="K1437" s="158">
        <f>IFERROR(INDEX(MASTER_JAM!$J$5:$O$12,MATCH($E1437,MASTER_JAM!$I$5:$I$12,0),MATCH($J1437,MASTER_JAM!$J$4:$O$4,0))+0,0)</f>
        <v/>
      </c>
      <c r="L1437" s="159">
        <f>N($F1437)*$K1437</f>
        <v/>
      </c>
      <c r="M1437" s="157">
        <f>IF($E1437="","",IF(OR($E1437="Coal",$E1437="Dirty Coal"),"MT","BCM"))</f>
        <v/>
      </c>
      <c r="N1437" s="157">
        <f>IF($E1437="","",IF(OR($E1437="Coal",$E1437="Dirty Coal"),"Coal","OB"))</f>
        <v/>
      </c>
      <c r="O1437" s="157">
        <f>IF($F1437="","",IF(COUNTIF(MASTER_JAM!$A$5:$A$94,$C1437)=0,"Digger tidak dikenal",IF($J1437="","Hauler tidak dikenal",IF($H1437="?","Jam salah",IF($K1437=0,"Faktor kosong",IF(SUMIFS(INPUT_DELAY!$E$5:$E$20000,INPUT_DELAY!$A$5:$A$20000,$A1437,INPUT_DELAY!$B$5:$B$20000,$B1437,INPUT_DELAY!$C$5:$C$20000,$C1437)+SUMIFS(INPUT_DELAY!$E$5:$E$20000,INPUT_DELAY!$A$5:$A$20000,$A1437,INPUT_DELAY!$B$5:$B$20000,$B1437,INPUT_DELAY!$C$5:$C$20000,"SEMUA")&gt;=60,"Delay 60 mnt tapi ada ritase","OK"))))))</f>
        <v/>
      </c>
      <c r="P1437" s="158">
        <f>IFERROR(INDEX(MASTER_JAM!$Z$5:$AC$10,MATCH($I1437,MASTER_JAM!$Y$5:$Y$10,0),MATCH($J1437,MASTER_JAM!$Z$4:$AC$4,0))+0,0)</f>
        <v/>
      </c>
      <c r="Q1437" s="158">
        <f>IF($P1437=0,0,$P1437+IFERROR(INDEX(MASTER_JAM!$H$5:$H$94,MATCH($C1437,MASTER_JAM!$A$5:$A$94,0))+0,MASTER_JAM!$AC$15)/1000*(60/MASTER_JAM!$AC$12+60/MASTER_JAM!$AC$13)+MASTER_JAM!$AC$14)</f>
        <v/>
      </c>
      <c r="R1437" s="158">
        <f>IF(N($F1437)=0,0,$F1437/SUMIFS(INPUT_RITASE!$F$5:$F$20000,INPUT_RITASE!$A$5:$A$20000,$A1437,INPUT_RITASE!$B$5:$B$20000,$B1437,INPUT_RITASE!$C$5:$C$20000,$C1437,INPUT_RITASE!$D$5:$D$20000,$D1437))</f>
        <v/>
      </c>
      <c r="S1437" s="158">
        <f>IF($Q1437=0,0,$R1437*$P1437/$Q1437)</f>
        <v/>
      </c>
    </row>
    <row r="1438">
      <c r="A1438" s="155" t="n">
        <v>46109</v>
      </c>
      <c r="B1438" s="156" t="inlineStr">
        <is>
          <t>08-09</t>
        </is>
      </c>
      <c r="C1438" s="156" t="inlineStr">
        <is>
          <t>EX-2101</t>
        </is>
      </c>
      <c r="D1438" s="156" t="inlineStr">
        <is>
          <t>HD-901</t>
        </is>
      </c>
      <c r="E1438" s="156" t="inlineStr">
        <is>
          <t>OB</t>
        </is>
      </c>
      <c r="F1438" s="156" t="n">
        <v>4</v>
      </c>
      <c r="G1438" s="156" t="inlineStr"/>
      <c r="H1438" s="157">
        <f>IF($B1438="","",IF(ISNA(MATCH($B1438,MASTER_JAM!$Q$5:$Q$28,0)),"?",IF(MATCH($B1438,MASTER_JAM!$Q$5:$Q$28,0)&lt;=12,"DS","NS")))</f>
        <v/>
      </c>
      <c r="I1438" s="157">
        <f>IFERROR(INDEX(MASTER_JAM!$B$5:$B$94,MATCH($C1438,MASTER_JAM!$A$5:$A$94,0)),"")</f>
        <v/>
      </c>
      <c r="J1438" s="157">
        <f>IFERROR(INDEX(MASTER_JAM!$E$5:$E$94,MATCH($D1438,MASTER_JAM!$A$5:$A$94,0)),"")</f>
        <v/>
      </c>
      <c r="K1438" s="158">
        <f>IFERROR(INDEX(MASTER_JAM!$J$5:$O$12,MATCH($E1438,MASTER_JAM!$I$5:$I$12,0),MATCH($J1438,MASTER_JAM!$J$4:$O$4,0))+0,0)</f>
        <v/>
      </c>
      <c r="L1438" s="159">
        <f>N($F1438)*$K1438</f>
        <v/>
      </c>
      <c r="M1438" s="157">
        <f>IF($E1438="","",IF(OR($E1438="Coal",$E1438="Dirty Coal"),"MT","BCM"))</f>
        <v/>
      </c>
      <c r="N1438" s="157">
        <f>IF($E1438="","",IF(OR($E1438="Coal",$E1438="Dirty Coal"),"Coal","OB"))</f>
        <v/>
      </c>
      <c r="O1438" s="157">
        <f>IF($F1438="","",IF(COUNTIF(MASTER_JAM!$A$5:$A$94,$C1438)=0,"Digger tidak dikenal",IF($J1438="","Hauler tidak dikenal",IF($H1438="?","Jam salah",IF($K1438=0,"Faktor kosong",IF(SUMIFS(INPUT_DELAY!$E$5:$E$20000,INPUT_DELAY!$A$5:$A$20000,$A1438,INPUT_DELAY!$B$5:$B$20000,$B1438,INPUT_DELAY!$C$5:$C$20000,$C1438)+SUMIFS(INPUT_DELAY!$E$5:$E$20000,INPUT_DELAY!$A$5:$A$20000,$A1438,INPUT_DELAY!$B$5:$B$20000,$B1438,INPUT_DELAY!$C$5:$C$20000,"SEMUA")&gt;=60,"Delay 60 mnt tapi ada ritase","OK"))))))</f>
        <v/>
      </c>
      <c r="P1438" s="158">
        <f>IFERROR(INDEX(MASTER_JAM!$Z$5:$AC$10,MATCH($I1438,MASTER_JAM!$Y$5:$Y$10,0),MATCH($J1438,MASTER_JAM!$Z$4:$AC$4,0))+0,0)</f>
        <v/>
      </c>
      <c r="Q1438" s="158">
        <f>IF($P1438=0,0,$P1438+IFERROR(INDEX(MASTER_JAM!$H$5:$H$94,MATCH($C1438,MASTER_JAM!$A$5:$A$94,0))+0,MASTER_JAM!$AC$15)/1000*(60/MASTER_JAM!$AC$12+60/MASTER_JAM!$AC$13)+MASTER_JAM!$AC$14)</f>
        <v/>
      </c>
      <c r="R1438" s="158">
        <f>IF(N($F1438)=0,0,$F1438/SUMIFS(INPUT_RITASE!$F$5:$F$20000,INPUT_RITASE!$A$5:$A$20000,$A1438,INPUT_RITASE!$B$5:$B$20000,$B1438,INPUT_RITASE!$C$5:$C$20000,$C1438,INPUT_RITASE!$D$5:$D$20000,$D1438))</f>
        <v/>
      </c>
      <c r="S1438" s="158">
        <f>IF($Q1438=0,0,$R1438*$P1438/$Q1438)</f>
        <v/>
      </c>
    </row>
    <row r="1439">
      <c r="A1439" s="155" t="n">
        <v>46109</v>
      </c>
      <c r="B1439" s="156" t="inlineStr">
        <is>
          <t>08-09</t>
        </is>
      </c>
      <c r="C1439" s="156" t="inlineStr">
        <is>
          <t>EX-2101</t>
        </is>
      </c>
      <c r="D1439" s="156" t="inlineStr">
        <is>
          <t>HD-903</t>
        </is>
      </c>
      <c r="E1439" s="156" t="inlineStr">
        <is>
          <t>OB</t>
        </is>
      </c>
      <c r="F1439" s="156" t="n">
        <v>4</v>
      </c>
      <c r="G1439" s="156" t="inlineStr"/>
      <c r="H1439" s="157">
        <f>IF($B1439="","",IF(ISNA(MATCH($B1439,MASTER_JAM!$Q$5:$Q$28,0)),"?",IF(MATCH($B1439,MASTER_JAM!$Q$5:$Q$28,0)&lt;=12,"DS","NS")))</f>
        <v/>
      </c>
      <c r="I1439" s="157">
        <f>IFERROR(INDEX(MASTER_JAM!$B$5:$B$94,MATCH($C1439,MASTER_JAM!$A$5:$A$94,0)),"")</f>
        <v/>
      </c>
      <c r="J1439" s="157">
        <f>IFERROR(INDEX(MASTER_JAM!$E$5:$E$94,MATCH($D1439,MASTER_JAM!$A$5:$A$94,0)),"")</f>
        <v/>
      </c>
      <c r="K1439" s="158">
        <f>IFERROR(INDEX(MASTER_JAM!$J$5:$O$12,MATCH($E1439,MASTER_JAM!$I$5:$I$12,0),MATCH($J1439,MASTER_JAM!$J$4:$O$4,0))+0,0)</f>
        <v/>
      </c>
      <c r="L1439" s="159">
        <f>N($F1439)*$K1439</f>
        <v/>
      </c>
      <c r="M1439" s="157">
        <f>IF($E1439="","",IF(OR($E1439="Coal",$E1439="Dirty Coal"),"MT","BCM"))</f>
        <v/>
      </c>
      <c r="N1439" s="157">
        <f>IF($E1439="","",IF(OR($E1439="Coal",$E1439="Dirty Coal"),"Coal","OB"))</f>
        <v/>
      </c>
      <c r="O1439" s="157">
        <f>IF($F1439="","",IF(COUNTIF(MASTER_JAM!$A$5:$A$94,$C1439)=0,"Digger tidak dikenal",IF($J1439="","Hauler tidak dikenal",IF($H1439="?","Jam salah",IF($K1439=0,"Faktor kosong",IF(SUMIFS(INPUT_DELAY!$E$5:$E$20000,INPUT_DELAY!$A$5:$A$20000,$A1439,INPUT_DELAY!$B$5:$B$20000,$B1439,INPUT_DELAY!$C$5:$C$20000,$C1439)+SUMIFS(INPUT_DELAY!$E$5:$E$20000,INPUT_DELAY!$A$5:$A$20000,$A1439,INPUT_DELAY!$B$5:$B$20000,$B1439,INPUT_DELAY!$C$5:$C$20000,"SEMUA")&gt;=60,"Delay 60 mnt tapi ada ritase","OK"))))))</f>
        <v/>
      </c>
      <c r="P1439" s="158">
        <f>IFERROR(INDEX(MASTER_JAM!$Z$5:$AC$10,MATCH($I1439,MASTER_JAM!$Y$5:$Y$10,0),MATCH($J1439,MASTER_JAM!$Z$4:$AC$4,0))+0,0)</f>
        <v/>
      </c>
      <c r="Q1439" s="158">
        <f>IF($P1439=0,0,$P1439+IFERROR(INDEX(MASTER_JAM!$H$5:$H$94,MATCH($C1439,MASTER_JAM!$A$5:$A$94,0))+0,MASTER_JAM!$AC$15)/1000*(60/MASTER_JAM!$AC$12+60/MASTER_JAM!$AC$13)+MASTER_JAM!$AC$14)</f>
        <v/>
      </c>
      <c r="R1439" s="158">
        <f>IF(N($F1439)=0,0,$F1439/SUMIFS(INPUT_RITASE!$F$5:$F$20000,INPUT_RITASE!$A$5:$A$20000,$A1439,INPUT_RITASE!$B$5:$B$20000,$B1439,INPUT_RITASE!$C$5:$C$20000,$C1439,INPUT_RITASE!$D$5:$D$20000,$D1439))</f>
        <v/>
      </c>
      <c r="S1439" s="158">
        <f>IF($Q1439=0,0,$R1439*$P1439/$Q1439)</f>
        <v/>
      </c>
    </row>
    <row r="1440">
      <c r="A1440" s="155" t="n">
        <v>46109</v>
      </c>
      <c r="B1440" s="156" t="inlineStr">
        <is>
          <t>08-09</t>
        </is>
      </c>
      <c r="C1440" s="156" t="inlineStr">
        <is>
          <t>EX-2101</t>
        </is>
      </c>
      <c r="D1440" s="156" t="inlineStr">
        <is>
          <t>HD-902</t>
        </is>
      </c>
      <c r="E1440" s="156" t="inlineStr">
        <is>
          <t>OB</t>
        </is>
      </c>
      <c r="F1440" s="156" t="n">
        <v>3</v>
      </c>
      <c r="G1440" s="156" t="inlineStr"/>
      <c r="H1440" s="157">
        <f>IF($B1440="","",IF(ISNA(MATCH($B1440,MASTER_JAM!$Q$5:$Q$28,0)),"?",IF(MATCH($B1440,MASTER_JAM!$Q$5:$Q$28,0)&lt;=12,"DS","NS")))</f>
        <v/>
      </c>
      <c r="I1440" s="157">
        <f>IFERROR(INDEX(MASTER_JAM!$B$5:$B$94,MATCH($C1440,MASTER_JAM!$A$5:$A$94,0)),"")</f>
        <v/>
      </c>
      <c r="J1440" s="157">
        <f>IFERROR(INDEX(MASTER_JAM!$E$5:$E$94,MATCH($D1440,MASTER_JAM!$A$5:$A$94,0)),"")</f>
        <v/>
      </c>
      <c r="K1440" s="158">
        <f>IFERROR(INDEX(MASTER_JAM!$J$5:$O$12,MATCH($E1440,MASTER_JAM!$I$5:$I$12,0),MATCH($J1440,MASTER_JAM!$J$4:$O$4,0))+0,0)</f>
        <v/>
      </c>
      <c r="L1440" s="159">
        <f>N($F1440)*$K1440</f>
        <v/>
      </c>
      <c r="M1440" s="157">
        <f>IF($E1440="","",IF(OR($E1440="Coal",$E1440="Dirty Coal"),"MT","BCM"))</f>
        <v/>
      </c>
      <c r="N1440" s="157">
        <f>IF($E1440="","",IF(OR($E1440="Coal",$E1440="Dirty Coal"),"Coal","OB"))</f>
        <v/>
      </c>
      <c r="O1440" s="157">
        <f>IF($F1440="","",IF(COUNTIF(MASTER_JAM!$A$5:$A$94,$C1440)=0,"Digger tidak dikenal",IF($J1440="","Hauler tidak dikenal",IF($H1440="?","Jam salah",IF($K1440=0,"Faktor kosong",IF(SUMIFS(INPUT_DELAY!$E$5:$E$20000,INPUT_DELAY!$A$5:$A$20000,$A1440,INPUT_DELAY!$B$5:$B$20000,$B1440,INPUT_DELAY!$C$5:$C$20000,$C1440)+SUMIFS(INPUT_DELAY!$E$5:$E$20000,INPUT_DELAY!$A$5:$A$20000,$A1440,INPUT_DELAY!$B$5:$B$20000,$B1440,INPUT_DELAY!$C$5:$C$20000,"SEMUA")&gt;=60,"Delay 60 mnt tapi ada ritase","OK"))))))</f>
        <v/>
      </c>
      <c r="P1440" s="158">
        <f>IFERROR(INDEX(MASTER_JAM!$Z$5:$AC$10,MATCH($I1440,MASTER_JAM!$Y$5:$Y$10,0),MATCH($J1440,MASTER_JAM!$Z$4:$AC$4,0))+0,0)</f>
        <v/>
      </c>
      <c r="Q1440" s="158">
        <f>IF($P1440=0,0,$P1440+IFERROR(INDEX(MASTER_JAM!$H$5:$H$94,MATCH($C1440,MASTER_JAM!$A$5:$A$94,0))+0,MASTER_JAM!$AC$15)/1000*(60/MASTER_JAM!$AC$12+60/MASTER_JAM!$AC$13)+MASTER_JAM!$AC$14)</f>
        <v/>
      </c>
      <c r="R1440" s="158">
        <f>IF(N($F1440)=0,0,$F1440/SUMIFS(INPUT_RITASE!$F$5:$F$20000,INPUT_RITASE!$A$5:$A$20000,$A1440,INPUT_RITASE!$B$5:$B$20000,$B1440,INPUT_RITASE!$C$5:$C$20000,$C1440,INPUT_RITASE!$D$5:$D$20000,$D1440))</f>
        <v/>
      </c>
      <c r="S1440" s="158">
        <f>IF($Q1440=0,0,$R1440*$P1440/$Q1440)</f>
        <v/>
      </c>
    </row>
    <row r="1441">
      <c r="A1441" s="155" t="n">
        <v>46109</v>
      </c>
      <c r="B1441" s="156" t="inlineStr">
        <is>
          <t>08-09</t>
        </is>
      </c>
      <c r="C1441" s="156" t="inlineStr">
        <is>
          <t>EX-2101</t>
        </is>
      </c>
      <c r="D1441" s="156" t="inlineStr">
        <is>
          <t>HD-905</t>
        </is>
      </c>
      <c r="E1441" s="156" t="inlineStr">
        <is>
          <t>OB</t>
        </is>
      </c>
      <c r="F1441" s="156" t="n">
        <v>3</v>
      </c>
      <c r="G1441" s="156" t="inlineStr"/>
      <c r="H1441" s="157">
        <f>IF($B1441="","",IF(ISNA(MATCH($B1441,MASTER_JAM!$Q$5:$Q$28,0)),"?",IF(MATCH($B1441,MASTER_JAM!$Q$5:$Q$28,0)&lt;=12,"DS","NS")))</f>
        <v/>
      </c>
      <c r="I1441" s="157">
        <f>IFERROR(INDEX(MASTER_JAM!$B$5:$B$94,MATCH($C1441,MASTER_JAM!$A$5:$A$94,0)),"")</f>
        <v/>
      </c>
      <c r="J1441" s="157">
        <f>IFERROR(INDEX(MASTER_JAM!$E$5:$E$94,MATCH($D1441,MASTER_JAM!$A$5:$A$94,0)),"")</f>
        <v/>
      </c>
      <c r="K1441" s="158">
        <f>IFERROR(INDEX(MASTER_JAM!$J$5:$O$12,MATCH($E1441,MASTER_JAM!$I$5:$I$12,0),MATCH($J1441,MASTER_JAM!$J$4:$O$4,0))+0,0)</f>
        <v/>
      </c>
      <c r="L1441" s="159">
        <f>N($F1441)*$K1441</f>
        <v/>
      </c>
      <c r="M1441" s="157">
        <f>IF($E1441="","",IF(OR($E1441="Coal",$E1441="Dirty Coal"),"MT","BCM"))</f>
        <v/>
      </c>
      <c r="N1441" s="157">
        <f>IF($E1441="","",IF(OR($E1441="Coal",$E1441="Dirty Coal"),"Coal","OB"))</f>
        <v/>
      </c>
      <c r="O1441" s="157">
        <f>IF($F1441="","",IF(COUNTIF(MASTER_JAM!$A$5:$A$94,$C1441)=0,"Digger tidak dikenal",IF($J1441="","Hauler tidak dikenal",IF($H1441="?","Jam salah",IF($K1441=0,"Faktor kosong",IF(SUMIFS(INPUT_DELAY!$E$5:$E$20000,INPUT_DELAY!$A$5:$A$20000,$A1441,INPUT_DELAY!$B$5:$B$20000,$B1441,INPUT_DELAY!$C$5:$C$20000,$C1441)+SUMIFS(INPUT_DELAY!$E$5:$E$20000,INPUT_DELAY!$A$5:$A$20000,$A1441,INPUT_DELAY!$B$5:$B$20000,$B1441,INPUT_DELAY!$C$5:$C$20000,"SEMUA")&gt;=60,"Delay 60 mnt tapi ada ritase","OK"))))))</f>
        <v/>
      </c>
      <c r="P1441" s="158">
        <f>IFERROR(INDEX(MASTER_JAM!$Z$5:$AC$10,MATCH($I1441,MASTER_JAM!$Y$5:$Y$10,0),MATCH($J1441,MASTER_JAM!$Z$4:$AC$4,0))+0,0)</f>
        <v/>
      </c>
      <c r="Q1441" s="158">
        <f>IF($P1441=0,0,$P1441+IFERROR(INDEX(MASTER_JAM!$H$5:$H$94,MATCH($C1441,MASTER_JAM!$A$5:$A$94,0))+0,MASTER_JAM!$AC$15)/1000*(60/MASTER_JAM!$AC$12+60/MASTER_JAM!$AC$13)+MASTER_JAM!$AC$14)</f>
        <v/>
      </c>
      <c r="R1441" s="158">
        <f>IF(N($F1441)=0,0,$F1441/SUMIFS(INPUT_RITASE!$F$5:$F$20000,INPUT_RITASE!$A$5:$A$20000,$A1441,INPUT_RITASE!$B$5:$B$20000,$B1441,INPUT_RITASE!$C$5:$C$20000,$C1441,INPUT_RITASE!$D$5:$D$20000,$D1441))</f>
        <v/>
      </c>
      <c r="S1441" s="158">
        <f>IF($Q1441=0,0,$R1441*$P1441/$Q1441)</f>
        <v/>
      </c>
    </row>
    <row r="1442">
      <c r="A1442" s="155" t="n">
        <v>46109</v>
      </c>
      <c r="B1442" s="156" t="inlineStr">
        <is>
          <t>08-09</t>
        </is>
      </c>
      <c r="C1442" s="156" t="inlineStr">
        <is>
          <t>EX-2101</t>
        </is>
      </c>
      <c r="D1442" s="156" t="inlineStr">
        <is>
          <t>DT-517</t>
        </is>
      </c>
      <c r="E1442" s="156" t="inlineStr">
        <is>
          <t>OB</t>
        </is>
      </c>
      <c r="F1442" s="156" t="n">
        <v>4</v>
      </c>
      <c r="G1442" s="156" t="inlineStr"/>
      <c r="H1442" s="157">
        <f>IF($B1442="","",IF(ISNA(MATCH($B1442,MASTER_JAM!$Q$5:$Q$28,0)),"?",IF(MATCH($B1442,MASTER_JAM!$Q$5:$Q$28,0)&lt;=12,"DS","NS")))</f>
        <v/>
      </c>
      <c r="I1442" s="157">
        <f>IFERROR(INDEX(MASTER_JAM!$B$5:$B$94,MATCH($C1442,MASTER_JAM!$A$5:$A$94,0)),"")</f>
        <v/>
      </c>
      <c r="J1442" s="157">
        <f>IFERROR(INDEX(MASTER_JAM!$E$5:$E$94,MATCH($D1442,MASTER_JAM!$A$5:$A$94,0)),"")</f>
        <v/>
      </c>
      <c r="K1442" s="158">
        <f>IFERROR(INDEX(MASTER_JAM!$J$5:$O$12,MATCH($E1442,MASTER_JAM!$I$5:$I$12,0),MATCH($J1442,MASTER_JAM!$J$4:$O$4,0))+0,0)</f>
        <v/>
      </c>
      <c r="L1442" s="159">
        <f>N($F1442)*$K1442</f>
        <v/>
      </c>
      <c r="M1442" s="157">
        <f>IF($E1442="","",IF(OR($E1442="Coal",$E1442="Dirty Coal"),"MT","BCM"))</f>
        <v/>
      </c>
      <c r="N1442" s="157">
        <f>IF($E1442="","",IF(OR($E1442="Coal",$E1442="Dirty Coal"),"Coal","OB"))</f>
        <v/>
      </c>
      <c r="O1442" s="157">
        <f>IF($F1442="","",IF(COUNTIF(MASTER_JAM!$A$5:$A$94,$C1442)=0,"Digger tidak dikenal",IF($J1442="","Hauler tidak dikenal",IF($H1442="?","Jam salah",IF($K1442=0,"Faktor kosong",IF(SUMIFS(INPUT_DELAY!$E$5:$E$20000,INPUT_DELAY!$A$5:$A$20000,$A1442,INPUT_DELAY!$B$5:$B$20000,$B1442,INPUT_DELAY!$C$5:$C$20000,$C1442)+SUMIFS(INPUT_DELAY!$E$5:$E$20000,INPUT_DELAY!$A$5:$A$20000,$A1442,INPUT_DELAY!$B$5:$B$20000,$B1442,INPUT_DELAY!$C$5:$C$20000,"SEMUA")&gt;=60,"Delay 60 mnt tapi ada ritase","OK"))))))</f>
        <v/>
      </c>
      <c r="P1442" s="158">
        <f>IFERROR(INDEX(MASTER_JAM!$Z$5:$AC$10,MATCH($I1442,MASTER_JAM!$Y$5:$Y$10,0),MATCH($J1442,MASTER_JAM!$Z$4:$AC$4,0))+0,0)</f>
        <v/>
      </c>
      <c r="Q1442" s="158">
        <f>IF($P1442=0,0,$P1442+IFERROR(INDEX(MASTER_JAM!$H$5:$H$94,MATCH($C1442,MASTER_JAM!$A$5:$A$94,0))+0,MASTER_JAM!$AC$15)/1000*(60/MASTER_JAM!$AC$12+60/MASTER_JAM!$AC$13)+MASTER_JAM!$AC$14)</f>
        <v/>
      </c>
      <c r="R1442" s="158">
        <f>IF(N($F1442)=0,0,$F1442/SUMIFS(INPUT_RITASE!$F$5:$F$20000,INPUT_RITASE!$A$5:$A$20000,$A1442,INPUT_RITASE!$B$5:$B$20000,$B1442,INPUT_RITASE!$C$5:$C$20000,$C1442,INPUT_RITASE!$D$5:$D$20000,$D1442))</f>
        <v/>
      </c>
      <c r="S1442" s="158">
        <f>IF($Q1442=0,0,$R1442*$P1442/$Q1442)</f>
        <v/>
      </c>
    </row>
    <row r="1443">
      <c r="A1443" s="155" t="n">
        <v>46109</v>
      </c>
      <c r="B1443" s="156" t="inlineStr">
        <is>
          <t>08-09</t>
        </is>
      </c>
      <c r="C1443" s="156" t="inlineStr">
        <is>
          <t>EX-2101</t>
        </is>
      </c>
      <c r="D1443" s="156" t="inlineStr">
        <is>
          <t>DT-520</t>
        </is>
      </c>
      <c r="E1443" s="156" t="inlineStr">
        <is>
          <t>OB</t>
        </is>
      </c>
      <c r="F1443" s="156" t="n">
        <v>3</v>
      </c>
      <c r="G1443" s="156" t="inlineStr"/>
      <c r="H1443" s="157">
        <f>IF($B1443="","",IF(ISNA(MATCH($B1443,MASTER_JAM!$Q$5:$Q$28,0)),"?",IF(MATCH($B1443,MASTER_JAM!$Q$5:$Q$28,0)&lt;=12,"DS","NS")))</f>
        <v/>
      </c>
      <c r="I1443" s="157">
        <f>IFERROR(INDEX(MASTER_JAM!$B$5:$B$94,MATCH($C1443,MASTER_JAM!$A$5:$A$94,0)),"")</f>
        <v/>
      </c>
      <c r="J1443" s="157">
        <f>IFERROR(INDEX(MASTER_JAM!$E$5:$E$94,MATCH($D1443,MASTER_JAM!$A$5:$A$94,0)),"")</f>
        <v/>
      </c>
      <c r="K1443" s="158">
        <f>IFERROR(INDEX(MASTER_JAM!$J$5:$O$12,MATCH($E1443,MASTER_JAM!$I$5:$I$12,0),MATCH($J1443,MASTER_JAM!$J$4:$O$4,0))+0,0)</f>
        <v/>
      </c>
      <c r="L1443" s="159">
        <f>N($F1443)*$K1443</f>
        <v/>
      </c>
      <c r="M1443" s="157">
        <f>IF($E1443="","",IF(OR($E1443="Coal",$E1443="Dirty Coal"),"MT","BCM"))</f>
        <v/>
      </c>
      <c r="N1443" s="157">
        <f>IF($E1443="","",IF(OR($E1443="Coal",$E1443="Dirty Coal"),"Coal","OB"))</f>
        <v/>
      </c>
      <c r="O1443" s="157">
        <f>IF($F1443="","",IF(COUNTIF(MASTER_JAM!$A$5:$A$94,$C1443)=0,"Digger tidak dikenal",IF($J1443="","Hauler tidak dikenal",IF($H1443="?","Jam salah",IF($K1443=0,"Faktor kosong",IF(SUMIFS(INPUT_DELAY!$E$5:$E$20000,INPUT_DELAY!$A$5:$A$20000,$A1443,INPUT_DELAY!$B$5:$B$20000,$B1443,INPUT_DELAY!$C$5:$C$20000,$C1443)+SUMIFS(INPUT_DELAY!$E$5:$E$20000,INPUT_DELAY!$A$5:$A$20000,$A1443,INPUT_DELAY!$B$5:$B$20000,$B1443,INPUT_DELAY!$C$5:$C$20000,"SEMUA")&gt;=60,"Delay 60 mnt tapi ada ritase","OK"))))))</f>
        <v/>
      </c>
      <c r="P1443" s="158">
        <f>IFERROR(INDEX(MASTER_JAM!$Z$5:$AC$10,MATCH($I1443,MASTER_JAM!$Y$5:$Y$10,0),MATCH($J1443,MASTER_JAM!$Z$4:$AC$4,0))+0,0)</f>
        <v/>
      </c>
      <c r="Q1443" s="158">
        <f>IF($P1443=0,0,$P1443+IFERROR(INDEX(MASTER_JAM!$H$5:$H$94,MATCH($C1443,MASTER_JAM!$A$5:$A$94,0))+0,MASTER_JAM!$AC$15)/1000*(60/MASTER_JAM!$AC$12+60/MASTER_JAM!$AC$13)+MASTER_JAM!$AC$14)</f>
        <v/>
      </c>
      <c r="R1443" s="158">
        <f>IF(N($F1443)=0,0,$F1443/SUMIFS(INPUT_RITASE!$F$5:$F$20000,INPUT_RITASE!$A$5:$A$20000,$A1443,INPUT_RITASE!$B$5:$B$20000,$B1443,INPUT_RITASE!$C$5:$C$20000,$C1443,INPUT_RITASE!$D$5:$D$20000,$D1443))</f>
        <v/>
      </c>
      <c r="S1443" s="158">
        <f>IF($Q1443=0,0,$R1443*$P1443/$Q1443)</f>
        <v/>
      </c>
    </row>
    <row r="1444">
      <c r="A1444" s="155" t="n">
        <v>46109</v>
      </c>
      <c r="B1444" s="156" t="inlineStr">
        <is>
          <t>14-15</t>
        </is>
      </c>
      <c r="C1444" s="156" t="inlineStr">
        <is>
          <t>EX-2101</t>
        </is>
      </c>
      <c r="D1444" s="156" t="inlineStr">
        <is>
          <t>HD-905</t>
        </is>
      </c>
      <c r="E1444" s="156" t="inlineStr">
        <is>
          <t>OB</t>
        </is>
      </c>
      <c r="F1444" s="156" t="n">
        <v>1</v>
      </c>
      <c r="G1444" s="156" t="inlineStr"/>
      <c r="H1444" s="157">
        <f>IF($B1444="","",IF(ISNA(MATCH($B1444,MASTER_JAM!$Q$5:$Q$28,0)),"?",IF(MATCH($B1444,MASTER_JAM!$Q$5:$Q$28,0)&lt;=12,"DS","NS")))</f>
        <v/>
      </c>
      <c r="I1444" s="157">
        <f>IFERROR(INDEX(MASTER_JAM!$B$5:$B$94,MATCH($C1444,MASTER_JAM!$A$5:$A$94,0)),"")</f>
        <v/>
      </c>
      <c r="J1444" s="157">
        <f>IFERROR(INDEX(MASTER_JAM!$E$5:$E$94,MATCH($D1444,MASTER_JAM!$A$5:$A$94,0)),"")</f>
        <v/>
      </c>
      <c r="K1444" s="158">
        <f>IFERROR(INDEX(MASTER_JAM!$J$5:$O$12,MATCH($E1444,MASTER_JAM!$I$5:$I$12,0),MATCH($J1444,MASTER_JAM!$J$4:$O$4,0))+0,0)</f>
        <v/>
      </c>
      <c r="L1444" s="159">
        <f>N($F1444)*$K1444</f>
        <v/>
      </c>
      <c r="M1444" s="157">
        <f>IF($E1444="","",IF(OR($E1444="Coal",$E1444="Dirty Coal"),"MT","BCM"))</f>
        <v/>
      </c>
      <c r="N1444" s="157">
        <f>IF($E1444="","",IF(OR($E1444="Coal",$E1444="Dirty Coal"),"Coal","OB"))</f>
        <v/>
      </c>
      <c r="O1444" s="157">
        <f>IF($F1444="","",IF(COUNTIF(MASTER_JAM!$A$5:$A$94,$C1444)=0,"Digger tidak dikenal",IF($J1444="","Hauler tidak dikenal",IF($H1444="?","Jam salah",IF($K1444=0,"Faktor kosong",IF(SUMIFS(INPUT_DELAY!$E$5:$E$20000,INPUT_DELAY!$A$5:$A$20000,$A1444,INPUT_DELAY!$B$5:$B$20000,$B1444,INPUT_DELAY!$C$5:$C$20000,$C1444)+SUMIFS(INPUT_DELAY!$E$5:$E$20000,INPUT_DELAY!$A$5:$A$20000,$A1444,INPUT_DELAY!$B$5:$B$20000,$B1444,INPUT_DELAY!$C$5:$C$20000,"SEMUA")&gt;=60,"Delay 60 mnt tapi ada ritase","OK"))))))</f>
        <v/>
      </c>
      <c r="P1444" s="158">
        <f>IFERROR(INDEX(MASTER_JAM!$Z$5:$AC$10,MATCH($I1444,MASTER_JAM!$Y$5:$Y$10,0),MATCH($J1444,MASTER_JAM!$Z$4:$AC$4,0))+0,0)</f>
        <v/>
      </c>
      <c r="Q1444" s="158">
        <f>IF($P1444=0,0,$P1444+IFERROR(INDEX(MASTER_JAM!$H$5:$H$94,MATCH($C1444,MASTER_JAM!$A$5:$A$94,0))+0,MASTER_JAM!$AC$15)/1000*(60/MASTER_JAM!$AC$12+60/MASTER_JAM!$AC$13)+MASTER_JAM!$AC$14)</f>
        <v/>
      </c>
      <c r="R1444" s="158">
        <f>IF(N($F1444)=0,0,$F1444/SUMIFS(INPUT_RITASE!$F$5:$F$20000,INPUT_RITASE!$A$5:$A$20000,$A1444,INPUT_RITASE!$B$5:$B$20000,$B1444,INPUT_RITASE!$C$5:$C$20000,$C1444,INPUT_RITASE!$D$5:$D$20000,$D1444))</f>
        <v/>
      </c>
      <c r="S1444" s="158">
        <f>IF($Q1444=0,0,$R1444*$P1444/$Q1444)</f>
        <v/>
      </c>
    </row>
    <row r="1445">
      <c r="A1445" s="155" t="n">
        <v>46109</v>
      </c>
      <c r="B1445" s="156" t="inlineStr">
        <is>
          <t>06-07</t>
        </is>
      </c>
      <c r="C1445" s="156" t="inlineStr">
        <is>
          <t>EX-333</t>
        </is>
      </c>
      <c r="D1445" s="156" t="inlineStr">
        <is>
          <t>DT-526</t>
        </is>
      </c>
      <c r="E1445" s="156" t="inlineStr">
        <is>
          <t>OB</t>
        </is>
      </c>
      <c r="F1445" s="156" t="n">
        <v>3</v>
      </c>
      <c r="G1445" s="156" t="inlineStr"/>
      <c r="H1445" s="157">
        <f>IF($B1445="","",IF(ISNA(MATCH($B1445,MASTER_JAM!$Q$5:$Q$28,0)),"?",IF(MATCH($B1445,MASTER_JAM!$Q$5:$Q$28,0)&lt;=12,"DS","NS")))</f>
        <v/>
      </c>
      <c r="I1445" s="157">
        <f>IFERROR(INDEX(MASTER_JAM!$B$5:$B$94,MATCH($C1445,MASTER_JAM!$A$5:$A$94,0)),"")</f>
        <v/>
      </c>
      <c r="J1445" s="157">
        <f>IFERROR(INDEX(MASTER_JAM!$E$5:$E$94,MATCH($D1445,MASTER_JAM!$A$5:$A$94,0)),"")</f>
        <v/>
      </c>
      <c r="K1445" s="158">
        <f>IFERROR(INDEX(MASTER_JAM!$J$5:$O$12,MATCH($E1445,MASTER_JAM!$I$5:$I$12,0),MATCH($J1445,MASTER_JAM!$J$4:$O$4,0))+0,0)</f>
        <v/>
      </c>
      <c r="L1445" s="159">
        <f>N($F1445)*$K1445</f>
        <v/>
      </c>
      <c r="M1445" s="157">
        <f>IF($E1445="","",IF(OR($E1445="Coal",$E1445="Dirty Coal"),"MT","BCM"))</f>
        <v/>
      </c>
      <c r="N1445" s="157">
        <f>IF($E1445="","",IF(OR($E1445="Coal",$E1445="Dirty Coal"),"Coal","OB"))</f>
        <v/>
      </c>
      <c r="O1445" s="157">
        <f>IF($F1445="","",IF(COUNTIF(MASTER_JAM!$A$5:$A$94,$C1445)=0,"Digger tidak dikenal",IF($J1445="","Hauler tidak dikenal",IF($H1445="?","Jam salah",IF($K1445=0,"Faktor kosong",IF(SUMIFS(INPUT_DELAY!$E$5:$E$20000,INPUT_DELAY!$A$5:$A$20000,$A1445,INPUT_DELAY!$B$5:$B$20000,$B1445,INPUT_DELAY!$C$5:$C$20000,$C1445)+SUMIFS(INPUT_DELAY!$E$5:$E$20000,INPUT_DELAY!$A$5:$A$20000,$A1445,INPUT_DELAY!$B$5:$B$20000,$B1445,INPUT_DELAY!$C$5:$C$20000,"SEMUA")&gt;=60,"Delay 60 mnt tapi ada ritase","OK"))))))</f>
        <v/>
      </c>
      <c r="P1445" s="158">
        <f>IFERROR(INDEX(MASTER_JAM!$Z$5:$AC$10,MATCH($I1445,MASTER_JAM!$Y$5:$Y$10,0),MATCH($J1445,MASTER_JAM!$Z$4:$AC$4,0))+0,0)</f>
        <v/>
      </c>
      <c r="Q1445" s="158">
        <f>IF($P1445=0,0,$P1445+IFERROR(INDEX(MASTER_JAM!$H$5:$H$94,MATCH($C1445,MASTER_JAM!$A$5:$A$94,0))+0,MASTER_JAM!$AC$15)/1000*(60/MASTER_JAM!$AC$12+60/MASTER_JAM!$AC$13)+MASTER_JAM!$AC$14)</f>
        <v/>
      </c>
      <c r="R1445" s="158">
        <f>IF(N($F1445)=0,0,$F1445/SUMIFS(INPUT_RITASE!$F$5:$F$20000,INPUT_RITASE!$A$5:$A$20000,$A1445,INPUT_RITASE!$B$5:$B$20000,$B1445,INPUT_RITASE!$C$5:$C$20000,$C1445,INPUT_RITASE!$D$5:$D$20000,$D1445))</f>
        <v/>
      </c>
      <c r="S1445" s="158">
        <f>IF($Q1445=0,0,$R1445*$P1445/$Q1445)</f>
        <v/>
      </c>
    </row>
    <row r="1446">
      <c r="A1446" s="155" t="n">
        <v>46109</v>
      </c>
      <c r="B1446" s="156" t="inlineStr">
        <is>
          <t>07-08</t>
        </is>
      </c>
      <c r="C1446" s="156" t="inlineStr">
        <is>
          <t>EX-333</t>
        </is>
      </c>
      <c r="D1446" s="156" t="inlineStr">
        <is>
          <t>DT-812</t>
        </is>
      </c>
      <c r="E1446" s="156" t="inlineStr">
        <is>
          <t>Coal</t>
        </is>
      </c>
      <c r="F1446" s="156" t="n">
        <v>4</v>
      </c>
      <c r="G1446" s="156" t="inlineStr"/>
      <c r="H1446" s="157">
        <f>IF($B1446="","",IF(ISNA(MATCH($B1446,MASTER_JAM!$Q$5:$Q$28,0)),"?",IF(MATCH($B1446,MASTER_JAM!$Q$5:$Q$28,0)&lt;=12,"DS","NS")))</f>
        <v/>
      </c>
      <c r="I1446" s="157">
        <f>IFERROR(INDEX(MASTER_JAM!$B$5:$B$94,MATCH($C1446,MASTER_JAM!$A$5:$A$94,0)),"")</f>
        <v/>
      </c>
      <c r="J1446" s="157">
        <f>IFERROR(INDEX(MASTER_JAM!$E$5:$E$94,MATCH($D1446,MASTER_JAM!$A$5:$A$94,0)),"")</f>
        <v/>
      </c>
      <c r="K1446" s="158">
        <f>IFERROR(INDEX(MASTER_JAM!$J$5:$O$12,MATCH($E1446,MASTER_JAM!$I$5:$I$12,0),MATCH($J1446,MASTER_JAM!$J$4:$O$4,0))+0,0)</f>
        <v/>
      </c>
      <c r="L1446" s="159">
        <f>N($F1446)*$K1446</f>
        <v/>
      </c>
      <c r="M1446" s="157">
        <f>IF($E1446="","",IF(OR($E1446="Coal",$E1446="Dirty Coal"),"MT","BCM"))</f>
        <v/>
      </c>
      <c r="N1446" s="157">
        <f>IF($E1446="","",IF(OR($E1446="Coal",$E1446="Dirty Coal"),"Coal","OB"))</f>
        <v/>
      </c>
      <c r="O1446" s="157">
        <f>IF($F1446="","",IF(COUNTIF(MASTER_JAM!$A$5:$A$94,$C1446)=0,"Digger tidak dikenal",IF($J1446="","Hauler tidak dikenal",IF($H1446="?","Jam salah",IF($K1446=0,"Faktor kosong",IF(SUMIFS(INPUT_DELAY!$E$5:$E$20000,INPUT_DELAY!$A$5:$A$20000,$A1446,INPUT_DELAY!$B$5:$B$20000,$B1446,INPUT_DELAY!$C$5:$C$20000,$C1446)+SUMIFS(INPUT_DELAY!$E$5:$E$20000,INPUT_DELAY!$A$5:$A$20000,$A1446,INPUT_DELAY!$B$5:$B$20000,$B1446,INPUT_DELAY!$C$5:$C$20000,"SEMUA")&gt;=60,"Delay 60 mnt tapi ada ritase","OK"))))))</f>
        <v/>
      </c>
      <c r="P1446" s="158">
        <f>IFERROR(INDEX(MASTER_JAM!$Z$5:$AC$10,MATCH($I1446,MASTER_JAM!$Y$5:$Y$10,0),MATCH($J1446,MASTER_JAM!$Z$4:$AC$4,0))+0,0)</f>
        <v/>
      </c>
      <c r="Q1446" s="158">
        <f>IF($P1446=0,0,$P1446+IFERROR(INDEX(MASTER_JAM!$H$5:$H$94,MATCH($C1446,MASTER_JAM!$A$5:$A$94,0))+0,MASTER_JAM!$AC$15)/1000*(60/MASTER_JAM!$AC$12+60/MASTER_JAM!$AC$13)+MASTER_JAM!$AC$14)</f>
        <v/>
      </c>
      <c r="R1446" s="158">
        <f>IF(N($F1446)=0,0,$F1446/SUMIFS(INPUT_RITASE!$F$5:$F$20000,INPUT_RITASE!$A$5:$A$20000,$A1446,INPUT_RITASE!$B$5:$B$20000,$B1446,INPUT_RITASE!$C$5:$C$20000,$C1446,INPUT_RITASE!$D$5:$D$20000,$D1446))</f>
        <v/>
      </c>
      <c r="S1446" s="158">
        <f>IF($Q1446=0,0,$R1446*$P1446/$Q1446)</f>
        <v/>
      </c>
    </row>
    <row r="1447">
      <c r="A1447" s="155" t="n">
        <v>46109</v>
      </c>
      <c r="B1447" s="156" t="inlineStr">
        <is>
          <t>07-08</t>
        </is>
      </c>
      <c r="C1447" s="156" t="inlineStr">
        <is>
          <t>EX-333</t>
        </is>
      </c>
      <c r="D1447" s="156" t="inlineStr">
        <is>
          <t>DT-810</t>
        </is>
      </c>
      <c r="E1447" s="156" t="inlineStr">
        <is>
          <t>Coal</t>
        </is>
      </c>
      <c r="F1447" s="156" t="n">
        <v>4</v>
      </c>
      <c r="G1447" s="156" t="inlineStr"/>
      <c r="H1447" s="157">
        <f>IF($B1447="","",IF(ISNA(MATCH($B1447,MASTER_JAM!$Q$5:$Q$28,0)),"?",IF(MATCH($B1447,MASTER_JAM!$Q$5:$Q$28,0)&lt;=12,"DS","NS")))</f>
        <v/>
      </c>
      <c r="I1447" s="157">
        <f>IFERROR(INDEX(MASTER_JAM!$B$5:$B$94,MATCH($C1447,MASTER_JAM!$A$5:$A$94,0)),"")</f>
        <v/>
      </c>
      <c r="J1447" s="157">
        <f>IFERROR(INDEX(MASTER_JAM!$E$5:$E$94,MATCH($D1447,MASTER_JAM!$A$5:$A$94,0)),"")</f>
        <v/>
      </c>
      <c r="K1447" s="158">
        <f>IFERROR(INDEX(MASTER_JAM!$J$5:$O$12,MATCH($E1447,MASTER_JAM!$I$5:$I$12,0),MATCH($J1447,MASTER_JAM!$J$4:$O$4,0))+0,0)</f>
        <v/>
      </c>
      <c r="L1447" s="159">
        <f>N($F1447)*$K1447</f>
        <v/>
      </c>
      <c r="M1447" s="157">
        <f>IF($E1447="","",IF(OR($E1447="Coal",$E1447="Dirty Coal"),"MT","BCM"))</f>
        <v/>
      </c>
      <c r="N1447" s="157">
        <f>IF($E1447="","",IF(OR($E1447="Coal",$E1447="Dirty Coal"),"Coal","OB"))</f>
        <v/>
      </c>
      <c r="O1447" s="157">
        <f>IF($F1447="","",IF(COUNTIF(MASTER_JAM!$A$5:$A$94,$C1447)=0,"Digger tidak dikenal",IF($J1447="","Hauler tidak dikenal",IF($H1447="?","Jam salah",IF($K1447=0,"Faktor kosong",IF(SUMIFS(INPUT_DELAY!$E$5:$E$20000,INPUT_DELAY!$A$5:$A$20000,$A1447,INPUT_DELAY!$B$5:$B$20000,$B1447,INPUT_DELAY!$C$5:$C$20000,$C1447)+SUMIFS(INPUT_DELAY!$E$5:$E$20000,INPUT_DELAY!$A$5:$A$20000,$A1447,INPUT_DELAY!$B$5:$B$20000,$B1447,INPUT_DELAY!$C$5:$C$20000,"SEMUA")&gt;=60,"Delay 60 mnt tapi ada ritase","OK"))))))</f>
        <v/>
      </c>
      <c r="P1447" s="158">
        <f>IFERROR(INDEX(MASTER_JAM!$Z$5:$AC$10,MATCH($I1447,MASTER_JAM!$Y$5:$Y$10,0),MATCH($J1447,MASTER_JAM!$Z$4:$AC$4,0))+0,0)</f>
        <v/>
      </c>
      <c r="Q1447" s="158">
        <f>IF($P1447=0,0,$P1447+IFERROR(INDEX(MASTER_JAM!$H$5:$H$94,MATCH($C1447,MASTER_JAM!$A$5:$A$94,0))+0,MASTER_JAM!$AC$15)/1000*(60/MASTER_JAM!$AC$12+60/MASTER_JAM!$AC$13)+MASTER_JAM!$AC$14)</f>
        <v/>
      </c>
      <c r="R1447" s="158">
        <f>IF(N($F1447)=0,0,$F1447/SUMIFS(INPUT_RITASE!$F$5:$F$20000,INPUT_RITASE!$A$5:$A$20000,$A1447,INPUT_RITASE!$B$5:$B$20000,$B1447,INPUT_RITASE!$C$5:$C$20000,$C1447,INPUT_RITASE!$D$5:$D$20000,$D1447))</f>
        <v/>
      </c>
      <c r="S1447" s="158">
        <f>IF($Q1447=0,0,$R1447*$P1447/$Q1447)</f>
        <v/>
      </c>
    </row>
    <row r="1448">
      <c r="A1448" s="155" t="n">
        <v>46109</v>
      </c>
      <c r="B1448" s="156" t="inlineStr">
        <is>
          <t>07-08</t>
        </is>
      </c>
      <c r="C1448" s="156" t="inlineStr">
        <is>
          <t>EX-333</t>
        </is>
      </c>
      <c r="D1448" s="156" t="inlineStr">
        <is>
          <t>DT-528</t>
        </is>
      </c>
      <c r="E1448" s="156" t="inlineStr">
        <is>
          <t>Coal</t>
        </is>
      </c>
      <c r="F1448" s="156" t="n">
        <v>3</v>
      </c>
      <c r="G1448" s="156" t="inlineStr"/>
      <c r="H1448" s="157">
        <f>IF($B1448="","",IF(ISNA(MATCH($B1448,MASTER_JAM!$Q$5:$Q$28,0)),"?",IF(MATCH($B1448,MASTER_JAM!$Q$5:$Q$28,0)&lt;=12,"DS","NS")))</f>
        <v/>
      </c>
      <c r="I1448" s="157">
        <f>IFERROR(INDEX(MASTER_JAM!$B$5:$B$94,MATCH($C1448,MASTER_JAM!$A$5:$A$94,0)),"")</f>
        <v/>
      </c>
      <c r="J1448" s="157">
        <f>IFERROR(INDEX(MASTER_JAM!$E$5:$E$94,MATCH($D1448,MASTER_JAM!$A$5:$A$94,0)),"")</f>
        <v/>
      </c>
      <c r="K1448" s="158">
        <f>IFERROR(INDEX(MASTER_JAM!$J$5:$O$12,MATCH($E1448,MASTER_JAM!$I$5:$I$12,0),MATCH($J1448,MASTER_JAM!$J$4:$O$4,0))+0,0)</f>
        <v/>
      </c>
      <c r="L1448" s="159">
        <f>N($F1448)*$K1448</f>
        <v/>
      </c>
      <c r="M1448" s="157">
        <f>IF($E1448="","",IF(OR($E1448="Coal",$E1448="Dirty Coal"),"MT","BCM"))</f>
        <v/>
      </c>
      <c r="N1448" s="157">
        <f>IF($E1448="","",IF(OR($E1448="Coal",$E1448="Dirty Coal"),"Coal","OB"))</f>
        <v/>
      </c>
      <c r="O1448" s="157">
        <f>IF($F1448="","",IF(COUNTIF(MASTER_JAM!$A$5:$A$94,$C1448)=0,"Digger tidak dikenal",IF($J1448="","Hauler tidak dikenal",IF($H1448="?","Jam salah",IF($K1448=0,"Faktor kosong",IF(SUMIFS(INPUT_DELAY!$E$5:$E$20000,INPUT_DELAY!$A$5:$A$20000,$A1448,INPUT_DELAY!$B$5:$B$20000,$B1448,INPUT_DELAY!$C$5:$C$20000,$C1448)+SUMIFS(INPUT_DELAY!$E$5:$E$20000,INPUT_DELAY!$A$5:$A$20000,$A1448,INPUT_DELAY!$B$5:$B$20000,$B1448,INPUT_DELAY!$C$5:$C$20000,"SEMUA")&gt;=60,"Delay 60 mnt tapi ada ritase","OK"))))))</f>
        <v/>
      </c>
      <c r="P1448" s="158">
        <f>IFERROR(INDEX(MASTER_JAM!$Z$5:$AC$10,MATCH($I1448,MASTER_JAM!$Y$5:$Y$10,0),MATCH($J1448,MASTER_JAM!$Z$4:$AC$4,0))+0,0)</f>
        <v/>
      </c>
      <c r="Q1448" s="158">
        <f>IF($P1448=0,0,$P1448+IFERROR(INDEX(MASTER_JAM!$H$5:$H$94,MATCH($C1448,MASTER_JAM!$A$5:$A$94,0))+0,MASTER_JAM!$AC$15)/1000*(60/MASTER_JAM!$AC$12+60/MASTER_JAM!$AC$13)+MASTER_JAM!$AC$14)</f>
        <v/>
      </c>
      <c r="R1448" s="158">
        <f>IF(N($F1448)=0,0,$F1448/SUMIFS(INPUT_RITASE!$F$5:$F$20000,INPUT_RITASE!$A$5:$A$20000,$A1448,INPUT_RITASE!$B$5:$B$20000,$B1448,INPUT_RITASE!$C$5:$C$20000,$C1448,INPUT_RITASE!$D$5:$D$20000,$D1448))</f>
        <v/>
      </c>
      <c r="S1448" s="158">
        <f>IF($Q1448=0,0,$R1448*$P1448/$Q1448)</f>
        <v/>
      </c>
    </row>
    <row r="1449">
      <c r="A1449" s="155" t="n">
        <v>46109</v>
      </c>
      <c r="B1449" s="156" t="inlineStr">
        <is>
          <t>07-08</t>
        </is>
      </c>
      <c r="C1449" s="156" t="inlineStr">
        <is>
          <t>EX-333</t>
        </is>
      </c>
      <c r="D1449" s="156" t="inlineStr">
        <is>
          <t>DT-517</t>
        </is>
      </c>
      <c r="E1449" s="156" t="inlineStr">
        <is>
          <t>Coal</t>
        </is>
      </c>
      <c r="F1449" s="156" t="n">
        <v>2</v>
      </c>
      <c r="G1449" s="156" t="inlineStr"/>
      <c r="H1449" s="157">
        <f>IF($B1449="","",IF(ISNA(MATCH($B1449,MASTER_JAM!$Q$5:$Q$28,0)),"?",IF(MATCH($B1449,MASTER_JAM!$Q$5:$Q$28,0)&lt;=12,"DS","NS")))</f>
        <v/>
      </c>
      <c r="I1449" s="157">
        <f>IFERROR(INDEX(MASTER_JAM!$B$5:$B$94,MATCH($C1449,MASTER_JAM!$A$5:$A$94,0)),"")</f>
        <v/>
      </c>
      <c r="J1449" s="157">
        <f>IFERROR(INDEX(MASTER_JAM!$E$5:$E$94,MATCH($D1449,MASTER_JAM!$A$5:$A$94,0)),"")</f>
        <v/>
      </c>
      <c r="K1449" s="158">
        <f>IFERROR(INDEX(MASTER_JAM!$J$5:$O$12,MATCH($E1449,MASTER_JAM!$I$5:$I$12,0),MATCH($J1449,MASTER_JAM!$J$4:$O$4,0))+0,0)</f>
        <v/>
      </c>
      <c r="L1449" s="159">
        <f>N($F1449)*$K1449</f>
        <v/>
      </c>
      <c r="M1449" s="157">
        <f>IF($E1449="","",IF(OR($E1449="Coal",$E1449="Dirty Coal"),"MT","BCM"))</f>
        <v/>
      </c>
      <c r="N1449" s="157">
        <f>IF($E1449="","",IF(OR($E1449="Coal",$E1449="Dirty Coal"),"Coal","OB"))</f>
        <v/>
      </c>
      <c r="O1449" s="157">
        <f>IF($F1449="","",IF(COUNTIF(MASTER_JAM!$A$5:$A$94,$C1449)=0,"Digger tidak dikenal",IF($J1449="","Hauler tidak dikenal",IF($H1449="?","Jam salah",IF($K1449=0,"Faktor kosong",IF(SUMIFS(INPUT_DELAY!$E$5:$E$20000,INPUT_DELAY!$A$5:$A$20000,$A1449,INPUT_DELAY!$B$5:$B$20000,$B1449,INPUT_DELAY!$C$5:$C$20000,$C1449)+SUMIFS(INPUT_DELAY!$E$5:$E$20000,INPUT_DELAY!$A$5:$A$20000,$A1449,INPUT_DELAY!$B$5:$B$20000,$B1449,INPUT_DELAY!$C$5:$C$20000,"SEMUA")&gt;=60,"Delay 60 mnt tapi ada ritase","OK"))))))</f>
        <v/>
      </c>
      <c r="P1449" s="158">
        <f>IFERROR(INDEX(MASTER_JAM!$Z$5:$AC$10,MATCH($I1449,MASTER_JAM!$Y$5:$Y$10,0),MATCH($J1449,MASTER_JAM!$Z$4:$AC$4,0))+0,0)</f>
        <v/>
      </c>
      <c r="Q1449" s="158">
        <f>IF($P1449=0,0,$P1449+IFERROR(INDEX(MASTER_JAM!$H$5:$H$94,MATCH($C1449,MASTER_JAM!$A$5:$A$94,0))+0,MASTER_JAM!$AC$15)/1000*(60/MASTER_JAM!$AC$12+60/MASTER_JAM!$AC$13)+MASTER_JAM!$AC$14)</f>
        <v/>
      </c>
      <c r="R1449" s="158">
        <f>IF(N($F1449)=0,0,$F1449/SUMIFS(INPUT_RITASE!$F$5:$F$20000,INPUT_RITASE!$A$5:$A$20000,$A1449,INPUT_RITASE!$B$5:$B$20000,$B1449,INPUT_RITASE!$C$5:$C$20000,$C1449,INPUT_RITASE!$D$5:$D$20000,$D1449))</f>
        <v/>
      </c>
      <c r="S1449" s="158">
        <f>IF($Q1449=0,0,$R1449*$P1449/$Q1449)</f>
        <v/>
      </c>
    </row>
    <row r="1450">
      <c r="A1450" s="155" t="n">
        <v>46109</v>
      </c>
      <c r="B1450" s="156" t="inlineStr">
        <is>
          <t>06-07</t>
        </is>
      </c>
      <c r="C1450" s="156" t="inlineStr">
        <is>
          <t>EX-754</t>
        </is>
      </c>
      <c r="D1450" s="156" t="inlineStr">
        <is>
          <t>DT-503</t>
        </is>
      </c>
      <c r="E1450" s="156" t="inlineStr">
        <is>
          <t>OB</t>
        </is>
      </c>
      <c r="F1450" s="156" t="n">
        <v>4</v>
      </c>
      <c r="G1450" s="156" t="inlineStr"/>
      <c r="H1450" s="157">
        <f>IF($B1450="","",IF(ISNA(MATCH($B1450,MASTER_JAM!$Q$5:$Q$28,0)),"?",IF(MATCH($B1450,MASTER_JAM!$Q$5:$Q$28,0)&lt;=12,"DS","NS")))</f>
        <v/>
      </c>
      <c r="I1450" s="157">
        <f>IFERROR(INDEX(MASTER_JAM!$B$5:$B$94,MATCH($C1450,MASTER_JAM!$A$5:$A$94,0)),"")</f>
        <v/>
      </c>
      <c r="J1450" s="157">
        <f>IFERROR(INDEX(MASTER_JAM!$E$5:$E$94,MATCH($D1450,MASTER_JAM!$A$5:$A$94,0)),"")</f>
        <v/>
      </c>
      <c r="K1450" s="158">
        <f>IFERROR(INDEX(MASTER_JAM!$J$5:$O$12,MATCH($E1450,MASTER_JAM!$I$5:$I$12,0),MATCH($J1450,MASTER_JAM!$J$4:$O$4,0))+0,0)</f>
        <v/>
      </c>
      <c r="L1450" s="159">
        <f>N($F1450)*$K1450</f>
        <v/>
      </c>
      <c r="M1450" s="157">
        <f>IF($E1450="","",IF(OR($E1450="Coal",$E1450="Dirty Coal"),"MT","BCM"))</f>
        <v/>
      </c>
      <c r="N1450" s="157">
        <f>IF($E1450="","",IF(OR($E1450="Coal",$E1450="Dirty Coal"),"Coal","OB"))</f>
        <v/>
      </c>
      <c r="O1450" s="157">
        <f>IF($F1450="","",IF(COUNTIF(MASTER_JAM!$A$5:$A$94,$C1450)=0,"Digger tidak dikenal",IF($J1450="","Hauler tidak dikenal",IF($H1450="?","Jam salah",IF($K1450=0,"Faktor kosong",IF(SUMIFS(INPUT_DELAY!$E$5:$E$20000,INPUT_DELAY!$A$5:$A$20000,$A1450,INPUT_DELAY!$B$5:$B$20000,$B1450,INPUT_DELAY!$C$5:$C$20000,$C1450)+SUMIFS(INPUT_DELAY!$E$5:$E$20000,INPUT_DELAY!$A$5:$A$20000,$A1450,INPUT_DELAY!$B$5:$B$20000,$B1450,INPUT_DELAY!$C$5:$C$20000,"SEMUA")&gt;=60,"Delay 60 mnt tapi ada ritase","OK"))))))</f>
        <v/>
      </c>
      <c r="P1450" s="158">
        <f>IFERROR(INDEX(MASTER_JAM!$Z$5:$AC$10,MATCH($I1450,MASTER_JAM!$Y$5:$Y$10,0),MATCH($J1450,MASTER_JAM!$Z$4:$AC$4,0))+0,0)</f>
        <v/>
      </c>
      <c r="Q1450" s="158">
        <f>IF($P1450=0,0,$P1450+IFERROR(INDEX(MASTER_JAM!$H$5:$H$94,MATCH($C1450,MASTER_JAM!$A$5:$A$94,0))+0,MASTER_JAM!$AC$15)/1000*(60/MASTER_JAM!$AC$12+60/MASTER_JAM!$AC$13)+MASTER_JAM!$AC$14)</f>
        <v/>
      </c>
      <c r="R1450" s="158">
        <f>IF(N($F1450)=0,0,$F1450/SUMIFS(INPUT_RITASE!$F$5:$F$20000,INPUT_RITASE!$A$5:$A$20000,$A1450,INPUT_RITASE!$B$5:$B$20000,$B1450,INPUT_RITASE!$C$5:$C$20000,$C1450,INPUT_RITASE!$D$5:$D$20000,$D1450))</f>
        <v/>
      </c>
      <c r="S1450" s="158">
        <f>IF($Q1450=0,0,$R1450*$P1450/$Q1450)</f>
        <v/>
      </c>
    </row>
    <row r="1451">
      <c r="A1451" s="155" t="n">
        <v>46109</v>
      </c>
      <c r="B1451" s="156" t="inlineStr">
        <is>
          <t>06-07</t>
        </is>
      </c>
      <c r="C1451" s="156" t="inlineStr">
        <is>
          <t>EX-754</t>
        </is>
      </c>
      <c r="D1451" s="156" t="inlineStr">
        <is>
          <t>DT-510</t>
        </is>
      </c>
      <c r="E1451" s="156" t="inlineStr">
        <is>
          <t>OB</t>
        </is>
      </c>
      <c r="F1451" s="156" t="n">
        <v>3</v>
      </c>
      <c r="G1451" s="156" t="inlineStr"/>
      <c r="H1451" s="157">
        <f>IF($B1451="","",IF(ISNA(MATCH($B1451,MASTER_JAM!$Q$5:$Q$28,0)),"?",IF(MATCH($B1451,MASTER_JAM!$Q$5:$Q$28,0)&lt;=12,"DS","NS")))</f>
        <v/>
      </c>
      <c r="I1451" s="157">
        <f>IFERROR(INDEX(MASTER_JAM!$B$5:$B$94,MATCH($C1451,MASTER_JAM!$A$5:$A$94,0)),"")</f>
        <v/>
      </c>
      <c r="J1451" s="157">
        <f>IFERROR(INDEX(MASTER_JAM!$E$5:$E$94,MATCH($D1451,MASTER_JAM!$A$5:$A$94,0)),"")</f>
        <v/>
      </c>
      <c r="K1451" s="158">
        <f>IFERROR(INDEX(MASTER_JAM!$J$5:$O$12,MATCH($E1451,MASTER_JAM!$I$5:$I$12,0),MATCH($J1451,MASTER_JAM!$J$4:$O$4,0))+0,0)</f>
        <v/>
      </c>
      <c r="L1451" s="159">
        <f>N($F1451)*$K1451</f>
        <v/>
      </c>
      <c r="M1451" s="157">
        <f>IF($E1451="","",IF(OR($E1451="Coal",$E1451="Dirty Coal"),"MT","BCM"))</f>
        <v/>
      </c>
      <c r="N1451" s="157">
        <f>IF($E1451="","",IF(OR($E1451="Coal",$E1451="Dirty Coal"),"Coal","OB"))</f>
        <v/>
      </c>
      <c r="O1451" s="157">
        <f>IF($F1451="","",IF(COUNTIF(MASTER_JAM!$A$5:$A$94,$C1451)=0,"Digger tidak dikenal",IF($J1451="","Hauler tidak dikenal",IF($H1451="?","Jam salah",IF($K1451=0,"Faktor kosong",IF(SUMIFS(INPUT_DELAY!$E$5:$E$20000,INPUT_DELAY!$A$5:$A$20000,$A1451,INPUT_DELAY!$B$5:$B$20000,$B1451,INPUT_DELAY!$C$5:$C$20000,$C1451)+SUMIFS(INPUT_DELAY!$E$5:$E$20000,INPUT_DELAY!$A$5:$A$20000,$A1451,INPUT_DELAY!$B$5:$B$20000,$B1451,INPUT_DELAY!$C$5:$C$20000,"SEMUA")&gt;=60,"Delay 60 mnt tapi ada ritase","OK"))))))</f>
        <v/>
      </c>
      <c r="P1451" s="158">
        <f>IFERROR(INDEX(MASTER_JAM!$Z$5:$AC$10,MATCH($I1451,MASTER_JAM!$Y$5:$Y$10,0),MATCH($J1451,MASTER_JAM!$Z$4:$AC$4,0))+0,0)</f>
        <v/>
      </c>
      <c r="Q1451" s="158">
        <f>IF($P1451=0,0,$P1451+IFERROR(INDEX(MASTER_JAM!$H$5:$H$94,MATCH($C1451,MASTER_JAM!$A$5:$A$94,0))+0,MASTER_JAM!$AC$15)/1000*(60/MASTER_JAM!$AC$12+60/MASTER_JAM!$AC$13)+MASTER_JAM!$AC$14)</f>
        <v/>
      </c>
      <c r="R1451" s="158">
        <f>IF(N($F1451)=0,0,$F1451/SUMIFS(INPUT_RITASE!$F$5:$F$20000,INPUT_RITASE!$A$5:$A$20000,$A1451,INPUT_RITASE!$B$5:$B$20000,$B1451,INPUT_RITASE!$C$5:$C$20000,$C1451,INPUT_RITASE!$D$5:$D$20000,$D1451))</f>
        <v/>
      </c>
      <c r="S1451" s="158">
        <f>IF($Q1451=0,0,$R1451*$P1451/$Q1451)</f>
        <v/>
      </c>
    </row>
    <row r="1452">
      <c r="A1452" s="155" t="n">
        <v>46109</v>
      </c>
      <c r="B1452" s="156" t="inlineStr">
        <is>
          <t>06-07</t>
        </is>
      </c>
      <c r="C1452" s="156" t="inlineStr">
        <is>
          <t>EX-754</t>
        </is>
      </c>
      <c r="D1452" s="156" t="inlineStr">
        <is>
          <t>DT-501</t>
        </is>
      </c>
      <c r="E1452" s="156" t="inlineStr">
        <is>
          <t>OB</t>
        </is>
      </c>
      <c r="F1452" s="156" t="n">
        <v>3</v>
      </c>
      <c r="G1452" s="156" t="inlineStr"/>
      <c r="H1452" s="157">
        <f>IF($B1452="","",IF(ISNA(MATCH($B1452,MASTER_JAM!$Q$5:$Q$28,0)),"?",IF(MATCH($B1452,MASTER_JAM!$Q$5:$Q$28,0)&lt;=12,"DS","NS")))</f>
        <v/>
      </c>
      <c r="I1452" s="157">
        <f>IFERROR(INDEX(MASTER_JAM!$B$5:$B$94,MATCH($C1452,MASTER_JAM!$A$5:$A$94,0)),"")</f>
        <v/>
      </c>
      <c r="J1452" s="157">
        <f>IFERROR(INDEX(MASTER_JAM!$E$5:$E$94,MATCH($D1452,MASTER_JAM!$A$5:$A$94,0)),"")</f>
        <v/>
      </c>
      <c r="K1452" s="158">
        <f>IFERROR(INDEX(MASTER_JAM!$J$5:$O$12,MATCH($E1452,MASTER_JAM!$I$5:$I$12,0),MATCH($J1452,MASTER_JAM!$J$4:$O$4,0))+0,0)</f>
        <v/>
      </c>
      <c r="L1452" s="159">
        <f>N($F1452)*$K1452</f>
        <v/>
      </c>
      <c r="M1452" s="157">
        <f>IF($E1452="","",IF(OR($E1452="Coal",$E1452="Dirty Coal"),"MT","BCM"))</f>
        <v/>
      </c>
      <c r="N1452" s="157">
        <f>IF($E1452="","",IF(OR($E1452="Coal",$E1452="Dirty Coal"),"Coal","OB"))</f>
        <v/>
      </c>
      <c r="O1452" s="157">
        <f>IF($F1452="","",IF(COUNTIF(MASTER_JAM!$A$5:$A$94,$C1452)=0,"Digger tidak dikenal",IF($J1452="","Hauler tidak dikenal",IF($H1452="?","Jam salah",IF($K1452=0,"Faktor kosong",IF(SUMIFS(INPUT_DELAY!$E$5:$E$20000,INPUT_DELAY!$A$5:$A$20000,$A1452,INPUT_DELAY!$B$5:$B$20000,$B1452,INPUT_DELAY!$C$5:$C$20000,$C1452)+SUMIFS(INPUT_DELAY!$E$5:$E$20000,INPUT_DELAY!$A$5:$A$20000,$A1452,INPUT_DELAY!$B$5:$B$20000,$B1452,INPUT_DELAY!$C$5:$C$20000,"SEMUA")&gt;=60,"Delay 60 mnt tapi ada ritase","OK"))))))</f>
        <v/>
      </c>
      <c r="P1452" s="158">
        <f>IFERROR(INDEX(MASTER_JAM!$Z$5:$AC$10,MATCH($I1452,MASTER_JAM!$Y$5:$Y$10,0),MATCH($J1452,MASTER_JAM!$Z$4:$AC$4,0))+0,0)</f>
        <v/>
      </c>
      <c r="Q1452" s="158">
        <f>IF($P1452=0,0,$P1452+IFERROR(INDEX(MASTER_JAM!$H$5:$H$94,MATCH($C1452,MASTER_JAM!$A$5:$A$94,0))+0,MASTER_JAM!$AC$15)/1000*(60/MASTER_JAM!$AC$12+60/MASTER_JAM!$AC$13)+MASTER_JAM!$AC$14)</f>
        <v/>
      </c>
      <c r="R1452" s="158">
        <f>IF(N($F1452)=0,0,$F1452/SUMIFS(INPUT_RITASE!$F$5:$F$20000,INPUT_RITASE!$A$5:$A$20000,$A1452,INPUT_RITASE!$B$5:$B$20000,$B1452,INPUT_RITASE!$C$5:$C$20000,$C1452,INPUT_RITASE!$D$5:$D$20000,$D1452))</f>
        <v/>
      </c>
      <c r="S1452" s="158">
        <f>IF($Q1452=0,0,$R1452*$P1452/$Q1452)</f>
        <v/>
      </c>
    </row>
    <row r="1453">
      <c r="A1453" s="155" t="n">
        <v>46109</v>
      </c>
      <c r="B1453" s="156" t="inlineStr">
        <is>
          <t>06-07</t>
        </is>
      </c>
      <c r="C1453" s="156" t="inlineStr">
        <is>
          <t>EX-754</t>
        </is>
      </c>
      <c r="D1453" s="156" t="inlineStr">
        <is>
          <t>DT-527</t>
        </is>
      </c>
      <c r="E1453" s="156" t="inlineStr">
        <is>
          <t>OB</t>
        </is>
      </c>
      <c r="F1453" s="156" t="n">
        <v>3</v>
      </c>
      <c r="G1453" s="156" t="inlineStr"/>
      <c r="H1453" s="157">
        <f>IF($B1453="","",IF(ISNA(MATCH($B1453,MASTER_JAM!$Q$5:$Q$28,0)),"?",IF(MATCH($B1453,MASTER_JAM!$Q$5:$Q$28,0)&lt;=12,"DS","NS")))</f>
        <v/>
      </c>
      <c r="I1453" s="157">
        <f>IFERROR(INDEX(MASTER_JAM!$B$5:$B$94,MATCH($C1453,MASTER_JAM!$A$5:$A$94,0)),"")</f>
        <v/>
      </c>
      <c r="J1453" s="157">
        <f>IFERROR(INDEX(MASTER_JAM!$E$5:$E$94,MATCH($D1453,MASTER_JAM!$A$5:$A$94,0)),"")</f>
        <v/>
      </c>
      <c r="K1453" s="158">
        <f>IFERROR(INDEX(MASTER_JAM!$J$5:$O$12,MATCH($E1453,MASTER_JAM!$I$5:$I$12,0),MATCH($J1453,MASTER_JAM!$J$4:$O$4,0))+0,0)</f>
        <v/>
      </c>
      <c r="L1453" s="159">
        <f>N($F1453)*$K1453</f>
        <v/>
      </c>
      <c r="M1453" s="157">
        <f>IF($E1453="","",IF(OR($E1453="Coal",$E1453="Dirty Coal"),"MT","BCM"))</f>
        <v/>
      </c>
      <c r="N1453" s="157">
        <f>IF($E1453="","",IF(OR($E1453="Coal",$E1453="Dirty Coal"),"Coal","OB"))</f>
        <v/>
      </c>
      <c r="O1453" s="157">
        <f>IF($F1453="","",IF(COUNTIF(MASTER_JAM!$A$5:$A$94,$C1453)=0,"Digger tidak dikenal",IF($J1453="","Hauler tidak dikenal",IF($H1453="?","Jam salah",IF($K1453=0,"Faktor kosong",IF(SUMIFS(INPUT_DELAY!$E$5:$E$20000,INPUT_DELAY!$A$5:$A$20000,$A1453,INPUT_DELAY!$B$5:$B$20000,$B1453,INPUT_DELAY!$C$5:$C$20000,$C1453)+SUMIFS(INPUT_DELAY!$E$5:$E$20000,INPUT_DELAY!$A$5:$A$20000,$A1453,INPUT_DELAY!$B$5:$B$20000,$B1453,INPUT_DELAY!$C$5:$C$20000,"SEMUA")&gt;=60,"Delay 60 mnt tapi ada ritase","OK"))))))</f>
        <v/>
      </c>
      <c r="P1453" s="158">
        <f>IFERROR(INDEX(MASTER_JAM!$Z$5:$AC$10,MATCH($I1453,MASTER_JAM!$Y$5:$Y$10,0),MATCH($J1453,MASTER_JAM!$Z$4:$AC$4,0))+0,0)</f>
        <v/>
      </c>
      <c r="Q1453" s="158">
        <f>IF($P1453=0,0,$P1453+IFERROR(INDEX(MASTER_JAM!$H$5:$H$94,MATCH($C1453,MASTER_JAM!$A$5:$A$94,0))+0,MASTER_JAM!$AC$15)/1000*(60/MASTER_JAM!$AC$12+60/MASTER_JAM!$AC$13)+MASTER_JAM!$AC$14)</f>
        <v/>
      </c>
      <c r="R1453" s="158">
        <f>IF(N($F1453)=0,0,$F1453/SUMIFS(INPUT_RITASE!$F$5:$F$20000,INPUT_RITASE!$A$5:$A$20000,$A1453,INPUT_RITASE!$B$5:$B$20000,$B1453,INPUT_RITASE!$C$5:$C$20000,$C1453,INPUT_RITASE!$D$5:$D$20000,$D1453))</f>
        <v/>
      </c>
      <c r="S1453" s="158">
        <f>IF($Q1453=0,0,$R1453*$P1453/$Q1453)</f>
        <v/>
      </c>
    </row>
    <row r="1454">
      <c r="A1454" s="155" t="n">
        <v>46109</v>
      </c>
      <c r="B1454" s="156" t="inlineStr">
        <is>
          <t>07-08</t>
        </is>
      </c>
      <c r="C1454" s="156" t="inlineStr">
        <is>
          <t>EX-754</t>
        </is>
      </c>
      <c r="D1454" s="156" t="inlineStr">
        <is>
          <t>DT-503</t>
        </is>
      </c>
      <c r="E1454" s="156" t="inlineStr">
        <is>
          <t>OB</t>
        </is>
      </c>
      <c r="F1454" s="156" t="n">
        <v>4</v>
      </c>
      <c r="G1454" s="156" t="inlineStr"/>
      <c r="H1454" s="157">
        <f>IF($B1454="","",IF(ISNA(MATCH($B1454,MASTER_JAM!$Q$5:$Q$28,0)),"?",IF(MATCH($B1454,MASTER_JAM!$Q$5:$Q$28,0)&lt;=12,"DS","NS")))</f>
        <v/>
      </c>
      <c r="I1454" s="157">
        <f>IFERROR(INDEX(MASTER_JAM!$B$5:$B$94,MATCH($C1454,MASTER_JAM!$A$5:$A$94,0)),"")</f>
        <v/>
      </c>
      <c r="J1454" s="157">
        <f>IFERROR(INDEX(MASTER_JAM!$E$5:$E$94,MATCH($D1454,MASTER_JAM!$A$5:$A$94,0)),"")</f>
        <v/>
      </c>
      <c r="K1454" s="158">
        <f>IFERROR(INDEX(MASTER_JAM!$J$5:$O$12,MATCH($E1454,MASTER_JAM!$I$5:$I$12,0),MATCH($J1454,MASTER_JAM!$J$4:$O$4,0))+0,0)</f>
        <v/>
      </c>
      <c r="L1454" s="159">
        <f>N($F1454)*$K1454</f>
        <v/>
      </c>
      <c r="M1454" s="157">
        <f>IF($E1454="","",IF(OR($E1454="Coal",$E1454="Dirty Coal"),"MT","BCM"))</f>
        <v/>
      </c>
      <c r="N1454" s="157">
        <f>IF($E1454="","",IF(OR($E1454="Coal",$E1454="Dirty Coal"),"Coal","OB"))</f>
        <v/>
      </c>
      <c r="O1454" s="157">
        <f>IF($F1454="","",IF(COUNTIF(MASTER_JAM!$A$5:$A$94,$C1454)=0,"Digger tidak dikenal",IF($J1454="","Hauler tidak dikenal",IF($H1454="?","Jam salah",IF($K1454=0,"Faktor kosong",IF(SUMIFS(INPUT_DELAY!$E$5:$E$20000,INPUT_DELAY!$A$5:$A$20000,$A1454,INPUT_DELAY!$B$5:$B$20000,$B1454,INPUT_DELAY!$C$5:$C$20000,$C1454)+SUMIFS(INPUT_DELAY!$E$5:$E$20000,INPUT_DELAY!$A$5:$A$20000,$A1454,INPUT_DELAY!$B$5:$B$20000,$B1454,INPUT_DELAY!$C$5:$C$20000,"SEMUA")&gt;=60,"Delay 60 mnt tapi ada ritase","OK"))))))</f>
        <v/>
      </c>
      <c r="P1454" s="158">
        <f>IFERROR(INDEX(MASTER_JAM!$Z$5:$AC$10,MATCH($I1454,MASTER_JAM!$Y$5:$Y$10,0),MATCH($J1454,MASTER_JAM!$Z$4:$AC$4,0))+0,0)</f>
        <v/>
      </c>
      <c r="Q1454" s="158">
        <f>IF($P1454=0,0,$P1454+IFERROR(INDEX(MASTER_JAM!$H$5:$H$94,MATCH($C1454,MASTER_JAM!$A$5:$A$94,0))+0,MASTER_JAM!$AC$15)/1000*(60/MASTER_JAM!$AC$12+60/MASTER_JAM!$AC$13)+MASTER_JAM!$AC$14)</f>
        <v/>
      </c>
      <c r="R1454" s="158">
        <f>IF(N($F1454)=0,0,$F1454/SUMIFS(INPUT_RITASE!$F$5:$F$20000,INPUT_RITASE!$A$5:$A$20000,$A1454,INPUT_RITASE!$B$5:$B$20000,$B1454,INPUT_RITASE!$C$5:$C$20000,$C1454,INPUT_RITASE!$D$5:$D$20000,$D1454))</f>
        <v/>
      </c>
      <c r="S1454" s="158">
        <f>IF($Q1454=0,0,$R1454*$P1454/$Q1454)</f>
        <v/>
      </c>
    </row>
    <row r="1455">
      <c r="A1455" s="155" t="n">
        <v>46109</v>
      </c>
      <c r="B1455" s="156" t="inlineStr">
        <is>
          <t>07-08</t>
        </is>
      </c>
      <c r="C1455" s="156" t="inlineStr">
        <is>
          <t>EX-754</t>
        </is>
      </c>
      <c r="D1455" s="156" t="inlineStr">
        <is>
          <t>DT-513</t>
        </is>
      </c>
      <c r="E1455" s="156" t="inlineStr">
        <is>
          <t>OB</t>
        </is>
      </c>
      <c r="F1455" s="156" t="n">
        <v>4</v>
      </c>
      <c r="G1455" s="156" t="inlineStr"/>
      <c r="H1455" s="157">
        <f>IF($B1455="","",IF(ISNA(MATCH($B1455,MASTER_JAM!$Q$5:$Q$28,0)),"?",IF(MATCH($B1455,MASTER_JAM!$Q$5:$Q$28,0)&lt;=12,"DS","NS")))</f>
        <v/>
      </c>
      <c r="I1455" s="157">
        <f>IFERROR(INDEX(MASTER_JAM!$B$5:$B$94,MATCH($C1455,MASTER_JAM!$A$5:$A$94,0)),"")</f>
        <v/>
      </c>
      <c r="J1455" s="157">
        <f>IFERROR(INDEX(MASTER_JAM!$E$5:$E$94,MATCH($D1455,MASTER_JAM!$A$5:$A$94,0)),"")</f>
        <v/>
      </c>
      <c r="K1455" s="158">
        <f>IFERROR(INDEX(MASTER_JAM!$J$5:$O$12,MATCH($E1455,MASTER_JAM!$I$5:$I$12,0),MATCH($J1455,MASTER_JAM!$J$4:$O$4,0))+0,0)</f>
        <v/>
      </c>
      <c r="L1455" s="159">
        <f>N($F1455)*$K1455</f>
        <v/>
      </c>
      <c r="M1455" s="157">
        <f>IF($E1455="","",IF(OR($E1455="Coal",$E1455="Dirty Coal"),"MT","BCM"))</f>
        <v/>
      </c>
      <c r="N1455" s="157">
        <f>IF($E1455="","",IF(OR($E1455="Coal",$E1455="Dirty Coal"),"Coal","OB"))</f>
        <v/>
      </c>
      <c r="O1455" s="157">
        <f>IF($F1455="","",IF(COUNTIF(MASTER_JAM!$A$5:$A$94,$C1455)=0,"Digger tidak dikenal",IF($J1455="","Hauler tidak dikenal",IF($H1455="?","Jam salah",IF($K1455=0,"Faktor kosong",IF(SUMIFS(INPUT_DELAY!$E$5:$E$20000,INPUT_DELAY!$A$5:$A$20000,$A1455,INPUT_DELAY!$B$5:$B$20000,$B1455,INPUT_DELAY!$C$5:$C$20000,$C1455)+SUMIFS(INPUT_DELAY!$E$5:$E$20000,INPUT_DELAY!$A$5:$A$20000,$A1455,INPUT_DELAY!$B$5:$B$20000,$B1455,INPUT_DELAY!$C$5:$C$20000,"SEMUA")&gt;=60,"Delay 60 mnt tapi ada ritase","OK"))))))</f>
        <v/>
      </c>
      <c r="P1455" s="158">
        <f>IFERROR(INDEX(MASTER_JAM!$Z$5:$AC$10,MATCH($I1455,MASTER_JAM!$Y$5:$Y$10,0),MATCH($J1455,MASTER_JAM!$Z$4:$AC$4,0))+0,0)</f>
        <v/>
      </c>
      <c r="Q1455" s="158">
        <f>IF($P1455=0,0,$P1455+IFERROR(INDEX(MASTER_JAM!$H$5:$H$94,MATCH($C1455,MASTER_JAM!$A$5:$A$94,0))+0,MASTER_JAM!$AC$15)/1000*(60/MASTER_JAM!$AC$12+60/MASTER_JAM!$AC$13)+MASTER_JAM!$AC$14)</f>
        <v/>
      </c>
      <c r="R1455" s="158">
        <f>IF(N($F1455)=0,0,$F1455/SUMIFS(INPUT_RITASE!$F$5:$F$20000,INPUT_RITASE!$A$5:$A$20000,$A1455,INPUT_RITASE!$B$5:$B$20000,$B1455,INPUT_RITASE!$C$5:$C$20000,$C1455,INPUT_RITASE!$D$5:$D$20000,$D1455))</f>
        <v/>
      </c>
      <c r="S1455" s="158">
        <f>IF($Q1455=0,0,$R1455*$P1455/$Q1455)</f>
        <v/>
      </c>
    </row>
    <row r="1456">
      <c r="A1456" s="155" t="n">
        <v>46109</v>
      </c>
      <c r="B1456" s="156" t="inlineStr">
        <is>
          <t>07-08</t>
        </is>
      </c>
      <c r="C1456" s="156" t="inlineStr">
        <is>
          <t>EX-754</t>
        </is>
      </c>
      <c r="D1456" s="156" t="inlineStr">
        <is>
          <t>DT-528</t>
        </is>
      </c>
      <c r="E1456" s="156" t="inlineStr">
        <is>
          <t>OB</t>
        </is>
      </c>
      <c r="F1456" s="156" t="n">
        <v>4</v>
      </c>
      <c r="G1456" s="156" t="inlineStr"/>
      <c r="H1456" s="157">
        <f>IF($B1456="","",IF(ISNA(MATCH($B1456,MASTER_JAM!$Q$5:$Q$28,0)),"?",IF(MATCH($B1456,MASTER_JAM!$Q$5:$Q$28,0)&lt;=12,"DS","NS")))</f>
        <v/>
      </c>
      <c r="I1456" s="157">
        <f>IFERROR(INDEX(MASTER_JAM!$B$5:$B$94,MATCH($C1456,MASTER_JAM!$A$5:$A$94,0)),"")</f>
        <v/>
      </c>
      <c r="J1456" s="157">
        <f>IFERROR(INDEX(MASTER_JAM!$E$5:$E$94,MATCH($D1456,MASTER_JAM!$A$5:$A$94,0)),"")</f>
        <v/>
      </c>
      <c r="K1456" s="158">
        <f>IFERROR(INDEX(MASTER_JAM!$J$5:$O$12,MATCH($E1456,MASTER_JAM!$I$5:$I$12,0),MATCH($J1456,MASTER_JAM!$J$4:$O$4,0))+0,0)</f>
        <v/>
      </c>
      <c r="L1456" s="159">
        <f>N($F1456)*$K1456</f>
        <v/>
      </c>
      <c r="M1456" s="157">
        <f>IF($E1456="","",IF(OR($E1456="Coal",$E1456="Dirty Coal"),"MT","BCM"))</f>
        <v/>
      </c>
      <c r="N1456" s="157">
        <f>IF($E1456="","",IF(OR($E1456="Coal",$E1456="Dirty Coal"),"Coal","OB"))</f>
        <v/>
      </c>
      <c r="O1456" s="157">
        <f>IF($F1456="","",IF(COUNTIF(MASTER_JAM!$A$5:$A$94,$C1456)=0,"Digger tidak dikenal",IF($J1456="","Hauler tidak dikenal",IF($H1456="?","Jam salah",IF($K1456=0,"Faktor kosong",IF(SUMIFS(INPUT_DELAY!$E$5:$E$20000,INPUT_DELAY!$A$5:$A$20000,$A1456,INPUT_DELAY!$B$5:$B$20000,$B1456,INPUT_DELAY!$C$5:$C$20000,$C1456)+SUMIFS(INPUT_DELAY!$E$5:$E$20000,INPUT_DELAY!$A$5:$A$20000,$A1456,INPUT_DELAY!$B$5:$B$20000,$B1456,INPUT_DELAY!$C$5:$C$20000,"SEMUA")&gt;=60,"Delay 60 mnt tapi ada ritase","OK"))))))</f>
        <v/>
      </c>
      <c r="P1456" s="158">
        <f>IFERROR(INDEX(MASTER_JAM!$Z$5:$AC$10,MATCH($I1456,MASTER_JAM!$Y$5:$Y$10,0),MATCH($J1456,MASTER_JAM!$Z$4:$AC$4,0))+0,0)</f>
        <v/>
      </c>
      <c r="Q1456" s="158">
        <f>IF($P1456=0,0,$P1456+IFERROR(INDEX(MASTER_JAM!$H$5:$H$94,MATCH($C1456,MASTER_JAM!$A$5:$A$94,0))+0,MASTER_JAM!$AC$15)/1000*(60/MASTER_JAM!$AC$12+60/MASTER_JAM!$AC$13)+MASTER_JAM!$AC$14)</f>
        <v/>
      </c>
      <c r="R1456" s="158">
        <f>IF(N($F1456)=0,0,$F1456/SUMIFS(INPUT_RITASE!$F$5:$F$20000,INPUT_RITASE!$A$5:$A$20000,$A1456,INPUT_RITASE!$B$5:$B$20000,$B1456,INPUT_RITASE!$C$5:$C$20000,$C1456,INPUT_RITASE!$D$5:$D$20000,$D1456))</f>
        <v/>
      </c>
      <c r="S1456" s="158">
        <f>IF($Q1456=0,0,$R1456*$P1456/$Q1456)</f>
        <v/>
      </c>
    </row>
    <row r="1457">
      <c r="A1457" s="155" t="n">
        <v>46109</v>
      </c>
      <c r="B1457" s="156" t="inlineStr">
        <is>
          <t>07-08</t>
        </is>
      </c>
      <c r="C1457" s="156" t="inlineStr">
        <is>
          <t>EX-754</t>
        </is>
      </c>
      <c r="D1457" s="156" t="inlineStr">
        <is>
          <t>DT-508</t>
        </is>
      </c>
      <c r="E1457" s="156" t="inlineStr">
        <is>
          <t>OB</t>
        </is>
      </c>
      <c r="F1457" s="156" t="n">
        <v>3</v>
      </c>
      <c r="G1457" s="156" t="inlineStr"/>
      <c r="H1457" s="157">
        <f>IF($B1457="","",IF(ISNA(MATCH($B1457,MASTER_JAM!$Q$5:$Q$28,0)),"?",IF(MATCH($B1457,MASTER_JAM!$Q$5:$Q$28,0)&lt;=12,"DS","NS")))</f>
        <v/>
      </c>
      <c r="I1457" s="157">
        <f>IFERROR(INDEX(MASTER_JAM!$B$5:$B$94,MATCH($C1457,MASTER_JAM!$A$5:$A$94,0)),"")</f>
        <v/>
      </c>
      <c r="J1457" s="157">
        <f>IFERROR(INDEX(MASTER_JAM!$E$5:$E$94,MATCH($D1457,MASTER_JAM!$A$5:$A$94,0)),"")</f>
        <v/>
      </c>
      <c r="K1457" s="158">
        <f>IFERROR(INDEX(MASTER_JAM!$J$5:$O$12,MATCH($E1457,MASTER_JAM!$I$5:$I$12,0),MATCH($J1457,MASTER_JAM!$J$4:$O$4,0))+0,0)</f>
        <v/>
      </c>
      <c r="L1457" s="159">
        <f>N($F1457)*$K1457</f>
        <v/>
      </c>
      <c r="M1457" s="157">
        <f>IF($E1457="","",IF(OR($E1457="Coal",$E1457="Dirty Coal"),"MT","BCM"))</f>
        <v/>
      </c>
      <c r="N1457" s="157">
        <f>IF($E1457="","",IF(OR($E1457="Coal",$E1457="Dirty Coal"),"Coal","OB"))</f>
        <v/>
      </c>
      <c r="O1457" s="157">
        <f>IF($F1457="","",IF(COUNTIF(MASTER_JAM!$A$5:$A$94,$C1457)=0,"Digger tidak dikenal",IF($J1457="","Hauler tidak dikenal",IF($H1457="?","Jam salah",IF($K1457=0,"Faktor kosong",IF(SUMIFS(INPUT_DELAY!$E$5:$E$20000,INPUT_DELAY!$A$5:$A$20000,$A1457,INPUT_DELAY!$B$5:$B$20000,$B1457,INPUT_DELAY!$C$5:$C$20000,$C1457)+SUMIFS(INPUT_DELAY!$E$5:$E$20000,INPUT_DELAY!$A$5:$A$20000,$A1457,INPUT_DELAY!$B$5:$B$20000,$B1457,INPUT_DELAY!$C$5:$C$20000,"SEMUA")&gt;=60,"Delay 60 mnt tapi ada ritase","OK"))))))</f>
        <v/>
      </c>
      <c r="P1457" s="158">
        <f>IFERROR(INDEX(MASTER_JAM!$Z$5:$AC$10,MATCH($I1457,MASTER_JAM!$Y$5:$Y$10,0),MATCH($J1457,MASTER_JAM!$Z$4:$AC$4,0))+0,0)</f>
        <v/>
      </c>
      <c r="Q1457" s="158">
        <f>IF($P1457=0,0,$P1457+IFERROR(INDEX(MASTER_JAM!$H$5:$H$94,MATCH($C1457,MASTER_JAM!$A$5:$A$94,0))+0,MASTER_JAM!$AC$15)/1000*(60/MASTER_JAM!$AC$12+60/MASTER_JAM!$AC$13)+MASTER_JAM!$AC$14)</f>
        <v/>
      </c>
      <c r="R1457" s="158">
        <f>IF(N($F1457)=0,0,$F1457/SUMIFS(INPUT_RITASE!$F$5:$F$20000,INPUT_RITASE!$A$5:$A$20000,$A1457,INPUT_RITASE!$B$5:$B$20000,$B1457,INPUT_RITASE!$C$5:$C$20000,$C1457,INPUT_RITASE!$D$5:$D$20000,$D1457))</f>
        <v/>
      </c>
      <c r="S1457" s="158">
        <f>IF($Q1457=0,0,$R1457*$P1457/$Q1457)</f>
        <v/>
      </c>
    </row>
    <row r="1458">
      <c r="A1458" s="155" t="n">
        <v>46109</v>
      </c>
      <c r="B1458" s="156" t="inlineStr">
        <is>
          <t>08-09</t>
        </is>
      </c>
      <c r="C1458" s="156" t="inlineStr">
        <is>
          <t>EX-754</t>
        </is>
      </c>
      <c r="D1458" s="156" t="inlineStr">
        <is>
          <t>DT-512</t>
        </is>
      </c>
      <c r="E1458" s="156" t="inlineStr">
        <is>
          <t>OB</t>
        </is>
      </c>
      <c r="F1458" s="156" t="n">
        <v>4</v>
      </c>
      <c r="G1458" s="156" t="inlineStr"/>
      <c r="H1458" s="157">
        <f>IF($B1458="","",IF(ISNA(MATCH($B1458,MASTER_JAM!$Q$5:$Q$28,0)),"?",IF(MATCH($B1458,MASTER_JAM!$Q$5:$Q$28,0)&lt;=12,"DS","NS")))</f>
        <v/>
      </c>
      <c r="I1458" s="157">
        <f>IFERROR(INDEX(MASTER_JAM!$B$5:$B$94,MATCH($C1458,MASTER_JAM!$A$5:$A$94,0)),"")</f>
        <v/>
      </c>
      <c r="J1458" s="157">
        <f>IFERROR(INDEX(MASTER_JAM!$E$5:$E$94,MATCH($D1458,MASTER_JAM!$A$5:$A$94,0)),"")</f>
        <v/>
      </c>
      <c r="K1458" s="158">
        <f>IFERROR(INDEX(MASTER_JAM!$J$5:$O$12,MATCH($E1458,MASTER_JAM!$I$5:$I$12,0),MATCH($J1458,MASTER_JAM!$J$4:$O$4,0))+0,0)</f>
        <v/>
      </c>
      <c r="L1458" s="159">
        <f>N($F1458)*$K1458</f>
        <v/>
      </c>
      <c r="M1458" s="157">
        <f>IF($E1458="","",IF(OR($E1458="Coal",$E1458="Dirty Coal"),"MT","BCM"))</f>
        <v/>
      </c>
      <c r="N1458" s="157">
        <f>IF($E1458="","",IF(OR($E1458="Coal",$E1458="Dirty Coal"),"Coal","OB"))</f>
        <v/>
      </c>
      <c r="O1458" s="157">
        <f>IF($F1458="","",IF(COUNTIF(MASTER_JAM!$A$5:$A$94,$C1458)=0,"Digger tidak dikenal",IF($J1458="","Hauler tidak dikenal",IF($H1458="?","Jam salah",IF($K1458=0,"Faktor kosong",IF(SUMIFS(INPUT_DELAY!$E$5:$E$20000,INPUT_DELAY!$A$5:$A$20000,$A1458,INPUT_DELAY!$B$5:$B$20000,$B1458,INPUT_DELAY!$C$5:$C$20000,$C1458)+SUMIFS(INPUT_DELAY!$E$5:$E$20000,INPUT_DELAY!$A$5:$A$20000,$A1458,INPUT_DELAY!$B$5:$B$20000,$B1458,INPUT_DELAY!$C$5:$C$20000,"SEMUA")&gt;=60,"Delay 60 mnt tapi ada ritase","OK"))))))</f>
        <v/>
      </c>
      <c r="P1458" s="158">
        <f>IFERROR(INDEX(MASTER_JAM!$Z$5:$AC$10,MATCH($I1458,MASTER_JAM!$Y$5:$Y$10,0),MATCH($J1458,MASTER_JAM!$Z$4:$AC$4,0))+0,0)</f>
        <v/>
      </c>
      <c r="Q1458" s="158">
        <f>IF($P1458=0,0,$P1458+IFERROR(INDEX(MASTER_JAM!$H$5:$H$94,MATCH($C1458,MASTER_JAM!$A$5:$A$94,0))+0,MASTER_JAM!$AC$15)/1000*(60/MASTER_JAM!$AC$12+60/MASTER_JAM!$AC$13)+MASTER_JAM!$AC$14)</f>
        <v/>
      </c>
      <c r="R1458" s="158">
        <f>IF(N($F1458)=0,0,$F1458/SUMIFS(INPUT_RITASE!$F$5:$F$20000,INPUT_RITASE!$A$5:$A$20000,$A1458,INPUT_RITASE!$B$5:$B$20000,$B1458,INPUT_RITASE!$C$5:$C$20000,$C1458,INPUT_RITASE!$D$5:$D$20000,$D1458))</f>
        <v/>
      </c>
      <c r="S1458" s="158">
        <f>IF($Q1458=0,0,$R1458*$P1458/$Q1458)</f>
        <v/>
      </c>
    </row>
    <row r="1459">
      <c r="A1459" s="155" t="n">
        <v>46109</v>
      </c>
      <c r="B1459" s="156" t="inlineStr">
        <is>
          <t>08-09</t>
        </is>
      </c>
      <c r="C1459" s="156" t="inlineStr">
        <is>
          <t>EX-754</t>
        </is>
      </c>
      <c r="D1459" s="156" t="inlineStr">
        <is>
          <t>DT-517</t>
        </is>
      </c>
      <c r="E1459" s="156" t="inlineStr">
        <is>
          <t>OB</t>
        </is>
      </c>
      <c r="F1459" s="156" t="n">
        <v>4</v>
      </c>
      <c r="G1459" s="156" t="inlineStr"/>
      <c r="H1459" s="157">
        <f>IF($B1459="","",IF(ISNA(MATCH($B1459,MASTER_JAM!$Q$5:$Q$28,0)),"?",IF(MATCH($B1459,MASTER_JAM!$Q$5:$Q$28,0)&lt;=12,"DS","NS")))</f>
        <v/>
      </c>
      <c r="I1459" s="157">
        <f>IFERROR(INDEX(MASTER_JAM!$B$5:$B$94,MATCH($C1459,MASTER_JAM!$A$5:$A$94,0)),"")</f>
        <v/>
      </c>
      <c r="J1459" s="157">
        <f>IFERROR(INDEX(MASTER_JAM!$E$5:$E$94,MATCH($D1459,MASTER_JAM!$A$5:$A$94,0)),"")</f>
        <v/>
      </c>
      <c r="K1459" s="158">
        <f>IFERROR(INDEX(MASTER_JAM!$J$5:$O$12,MATCH($E1459,MASTER_JAM!$I$5:$I$12,0),MATCH($J1459,MASTER_JAM!$J$4:$O$4,0))+0,0)</f>
        <v/>
      </c>
      <c r="L1459" s="159">
        <f>N($F1459)*$K1459</f>
        <v/>
      </c>
      <c r="M1459" s="157">
        <f>IF($E1459="","",IF(OR($E1459="Coal",$E1459="Dirty Coal"),"MT","BCM"))</f>
        <v/>
      </c>
      <c r="N1459" s="157">
        <f>IF($E1459="","",IF(OR($E1459="Coal",$E1459="Dirty Coal"),"Coal","OB"))</f>
        <v/>
      </c>
      <c r="O1459" s="157">
        <f>IF($F1459="","",IF(COUNTIF(MASTER_JAM!$A$5:$A$94,$C1459)=0,"Digger tidak dikenal",IF($J1459="","Hauler tidak dikenal",IF($H1459="?","Jam salah",IF($K1459=0,"Faktor kosong",IF(SUMIFS(INPUT_DELAY!$E$5:$E$20000,INPUT_DELAY!$A$5:$A$20000,$A1459,INPUT_DELAY!$B$5:$B$20000,$B1459,INPUT_DELAY!$C$5:$C$20000,$C1459)+SUMIFS(INPUT_DELAY!$E$5:$E$20000,INPUT_DELAY!$A$5:$A$20000,$A1459,INPUT_DELAY!$B$5:$B$20000,$B1459,INPUT_DELAY!$C$5:$C$20000,"SEMUA")&gt;=60,"Delay 60 mnt tapi ada ritase","OK"))))))</f>
        <v/>
      </c>
      <c r="P1459" s="158">
        <f>IFERROR(INDEX(MASTER_JAM!$Z$5:$AC$10,MATCH($I1459,MASTER_JAM!$Y$5:$Y$10,0),MATCH($J1459,MASTER_JAM!$Z$4:$AC$4,0))+0,0)</f>
        <v/>
      </c>
      <c r="Q1459" s="158">
        <f>IF($P1459=0,0,$P1459+IFERROR(INDEX(MASTER_JAM!$H$5:$H$94,MATCH($C1459,MASTER_JAM!$A$5:$A$94,0))+0,MASTER_JAM!$AC$15)/1000*(60/MASTER_JAM!$AC$12+60/MASTER_JAM!$AC$13)+MASTER_JAM!$AC$14)</f>
        <v/>
      </c>
      <c r="R1459" s="158">
        <f>IF(N($F1459)=0,0,$F1459/SUMIFS(INPUT_RITASE!$F$5:$F$20000,INPUT_RITASE!$A$5:$A$20000,$A1459,INPUT_RITASE!$B$5:$B$20000,$B1459,INPUT_RITASE!$C$5:$C$20000,$C1459,INPUT_RITASE!$D$5:$D$20000,$D1459))</f>
        <v/>
      </c>
      <c r="S1459" s="158">
        <f>IF($Q1459=0,0,$R1459*$P1459/$Q1459)</f>
        <v/>
      </c>
    </row>
    <row r="1460">
      <c r="A1460" s="155" t="n">
        <v>46109</v>
      </c>
      <c r="B1460" s="156" t="inlineStr">
        <is>
          <t>08-09</t>
        </is>
      </c>
      <c r="C1460" s="156" t="inlineStr">
        <is>
          <t>EX-754</t>
        </is>
      </c>
      <c r="D1460" s="156" t="inlineStr">
        <is>
          <t>DT-527</t>
        </is>
      </c>
      <c r="E1460" s="156" t="inlineStr">
        <is>
          <t>OB</t>
        </is>
      </c>
      <c r="F1460" s="156" t="n">
        <v>4</v>
      </c>
      <c r="G1460" s="156" t="inlineStr"/>
      <c r="H1460" s="157">
        <f>IF($B1460="","",IF(ISNA(MATCH($B1460,MASTER_JAM!$Q$5:$Q$28,0)),"?",IF(MATCH($B1460,MASTER_JAM!$Q$5:$Q$28,0)&lt;=12,"DS","NS")))</f>
        <v/>
      </c>
      <c r="I1460" s="157">
        <f>IFERROR(INDEX(MASTER_JAM!$B$5:$B$94,MATCH($C1460,MASTER_JAM!$A$5:$A$94,0)),"")</f>
        <v/>
      </c>
      <c r="J1460" s="157">
        <f>IFERROR(INDEX(MASTER_JAM!$E$5:$E$94,MATCH($D1460,MASTER_JAM!$A$5:$A$94,0)),"")</f>
        <v/>
      </c>
      <c r="K1460" s="158">
        <f>IFERROR(INDEX(MASTER_JAM!$J$5:$O$12,MATCH($E1460,MASTER_JAM!$I$5:$I$12,0),MATCH($J1460,MASTER_JAM!$J$4:$O$4,0))+0,0)</f>
        <v/>
      </c>
      <c r="L1460" s="159">
        <f>N($F1460)*$K1460</f>
        <v/>
      </c>
      <c r="M1460" s="157">
        <f>IF($E1460="","",IF(OR($E1460="Coal",$E1460="Dirty Coal"),"MT","BCM"))</f>
        <v/>
      </c>
      <c r="N1460" s="157">
        <f>IF($E1460="","",IF(OR($E1460="Coal",$E1460="Dirty Coal"),"Coal","OB"))</f>
        <v/>
      </c>
      <c r="O1460" s="157">
        <f>IF($F1460="","",IF(COUNTIF(MASTER_JAM!$A$5:$A$94,$C1460)=0,"Digger tidak dikenal",IF($J1460="","Hauler tidak dikenal",IF($H1460="?","Jam salah",IF($K1460=0,"Faktor kosong",IF(SUMIFS(INPUT_DELAY!$E$5:$E$20000,INPUT_DELAY!$A$5:$A$20000,$A1460,INPUT_DELAY!$B$5:$B$20000,$B1460,INPUT_DELAY!$C$5:$C$20000,$C1460)+SUMIFS(INPUT_DELAY!$E$5:$E$20000,INPUT_DELAY!$A$5:$A$20000,$A1460,INPUT_DELAY!$B$5:$B$20000,$B1460,INPUT_DELAY!$C$5:$C$20000,"SEMUA")&gt;=60,"Delay 60 mnt tapi ada ritase","OK"))))))</f>
        <v/>
      </c>
      <c r="P1460" s="158">
        <f>IFERROR(INDEX(MASTER_JAM!$Z$5:$AC$10,MATCH($I1460,MASTER_JAM!$Y$5:$Y$10,0),MATCH($J1460,MASTER_JAM!$Z$4:$AC$4,0))+0,0)</f>
        <v/>
      </c>
      <c r="Q1460" s="158">
        <f>IF($P1460=0,0,$P1460+IFERROR(INDEX(MASTER_JAM!$H$5:$H$94,MATCH($C1460,MASTER_JAM!$A$5:$A$94,0))+0,MASTER_JAM!$AC$15)/1000*(60/MASTER_JAM!$AC$12+60/MASTER_JAM!$AC$13)+MASTER_JAM!$AC$14)</f>
        <v/>
      </c>
      <c r="R1460" s="158">
        <f>IF(N($F1460)=0,0,$F1460/SUMIFS(INPUT_RITASE!$F$5:$F$20000,INPUT_RITASE!$A$5:$A$20000,$A1460,INPUT_RITASE!$B$5:$B$20000,$B1460,INPUT_RITASE!$C$5:$C$20000,$C1460,INPUT_RITASE!$D$5:$D$20000,$D1460))</f>
        <v/>
      </c>
      <c r="S1460" s="158">
        <f>IF($Q1460=0,0,$R1460*$P1460/$Q1460)</f>
        <v/>
      </c>
    </row>
    <row r="1461">
      <c r="A1461" s="155" t="n">
        <v>46109</v>
      </c>
      <c r="B1461" s="156" t="inlineStr">
        <is>
          <t>08-09</t>
        </is>
      </c>
      <c r="C1461" s="156" t="inlineStr">
        <is>
          <t>EX-754</t>
        </is>
      </c>
      <c r="D1461" s="156" t="inlineStr">
        <is>
          <t>DT-506</t>
        </is>
      </c>
      <c r="E1461" s="156" t="inlineStr">
        <is>
          <t>OB</t>
        </is>
      </c>
      <c r="F1461" s="156" t="n">
        <v>4</v>
      </c>
      <c r="G1461" s="156" t="inlineStr"/>
      <c r="H1461" s="157">
        <f>IF($B1461="","",IF(ISNA(MATCH($B1461,MASTER_JAM!$Q$5:$Q$28,0)),"?",IF(MATCH($B1461,MASTER_JAM!$Q$5:$Q$28,0)&lt;=12,"DS","NS")))</f>
        <v/>
      </c>
      <c r="I1461" s="157">
        <f>IFERROR(INDEX(MASTER_JAM!$B$5:$B$94,MATCH($C1461,MASTER_JAM!$A$5:$A$94,0)),"")</f>
        <v/>
      </c>
      <c r="J1461" s="157">
        <f>IFERROR(INDEX(MASTER_JAM!$E$5:$E$94,MATCH($D1461,MASTER_JAM!$A$5:$A$94,0)),"")</f>
        <v/>
      </c>
      <c r="K1461" s="158">
        <f>IFERROR(INDEX(MASTER_JAM!$J$5:$O$12,MATCH($E1461,MASTER_JAM!$I$5:$I$12,0),MATCH($J1461,MASTER_JAM!$J$4:$O$4,0))+0,0)</f>
        <v/>
      </c>
      <c r="L1461" s="159">
        <f>N($F1461)*$K1461</f>
        <v/>
      </c>
      <c r="M1461" s="157">
        <f>IF($E1461="","",IF(OR($E1461="Coal",$E1461="Dirty Coal"),"MT","BCM"))</f>
        <v/>
      </c>
      <c r="N1461" s="157">
        <f>IF($E1461="","",IF(OR($E1461="Coal",$E1461="Dirty Coal"),"Coal","OB"))</f>
        <v/>
      </c>
      <c r="O1461" s="157">
        <f>IF($F1461="","",IF(COUNTIF(MASTER_JAM!$A$5:$A$94,$C1461)=0,"Digger tidak dikenal",IF($J1461="","Hauler tidak dikenal",IF($H1461="?","Jam salah",IF($K1461=0,"Faktor kosong",IF(SUMIFS(INPUT_DELAY!$E$5:$E$20000,INPUT_DELAY!$A$5:$A$20000,$A1461,INPUT_DELAY!$B$5:$B$20000,$B1461,INPUT_DELAY!$C$5:$C$20000,$C1461)+SUMIFS(INPUT_DELAY!$E$5:$E$20000,INPUT_DELAY!$A$5:$A$20000,$A1461,INPUT_DELAY!$B$5:$B$20000,$B1461,INPUT_DELAY!$C$5:$C$20000,"SEMUA")&gt;=60,"Delay 60 mnt tapi ada ritase","OK"))))))</f>
        <v/>
      </c>
      <c r="P1461" s="158">
        <f>IFERROR(INDEX(MASTER_JAM!$Z$5:$AC$10,MATCH($I1461,MASTER_JAM!$Y$5:$Y$10,0),MATCH($J1461,MASTER_JAM!$Z$4:$AC$4,0))+0,0)</f>
        <v/>
      </c>
      <c r="Q1461" s="158">
        <f>IF($P1461=0,0,$P1461+IFERROR(INDEX(MASTER_JAM!$H$5:$H$94,MATCH($C1461,MASTER_JAM!$A$5:$A$94,0))+0,MASTER_JAM!$AC$15)/1000*(60/MASTER_JAM!$AC$12+60/MASTER_JAM!$AC$13)+MASTER_JAM!$AC$14)</f>
        <v/>
      </c>
      <c r="R1461" s="158">
        <f>IF(N($F1461)=0,0,$F1461/SUMIFS(INPUT_RITASE!$F$5:$F$20000,INPUT_RITASE!$A$5:$A$20000,$A1461,INPUT_RITASE!$B$5:$B$20000,$B1461,INPUT_RITASE!$C$5:$C$20000,$C1461,INPUT_RITASE!$D$5:$D$20000,$D1461))</f>
        <v/>
      </c>
      <c r="S1461" s="158">
        <f>IF($Q1461=0,0,$R1461*$P1461/$Q1461)</f>
        <v/>
      </c>
    </row>
    <row r="1462">
      <c r="A1462" s="155" t="n">
        <v>46109</v>
      </c>
      <c r="B1462" s="156" t="inlineStr">
        <is>
          <t>08-09</t>
        </is>
      </c>
      <c r="C1462" s="156" t="inlineStr">
        <is>
          <t>EX-754</t>
        </is>
      </c>
      <c r="D1462" s="156" t="inlineStr">
        <is>
          <t>DT-529</t>
        </is>
      </c>
      <c r="E1462" s="156" t="inlineStr">
        <is>
          <t>OB</t>
        </is>
      </c>
      <c r="F1462" s="156" t="n">
        <v>4</v>
      </c>
      <c r="G1462" s="156" t="inlineStr"/>
      <c r="H1462" s="157">
        <f>IF($B1462="","",IF(ISNA(MATCH($B1462,MASTER_JAM!$Q$5:$Q$28,0)),"?",IF(MATCH($B1462,MASTER_JAM!$Q$5:$Q$28,0)&lt;=12,"DS","NS")))</f>
        <v/>
      </c>
      <c r="I1462" s="157">
        <f>IFERROR(INDEX(MASTER_JAM!$B$5:$B$94,MATCH($C1462,MASTER_JAM!$A$5:$A$94,0)),"")</f>
        <v/>
      </c>
      <c r="J1462" s="157">
        <f>IFERROR(INDEX(MASTER_JAM!$E$5:$E$94,MATCH($D1462,MASTER_JAM!$A$5:$A$94,0)),"")</f>
        <v/>
      </c>
      <c r="K1462" s="158">
        <f>IFERROR(INDEX(MASTER_JAM!$J$5:$O$12,MATCH($E1462,MASTER_JAM!$I$5:$I$12,0),MATCH($J1462,MASTER_JAM!$J$4:$O$4,0))+0,0)</f>
        <v/>
      </c>
      <c r="L1462" s="159">
        <f>N($F1462)*$K1462</f>
        <v/>
      </c>
      <c r="M1462" s="157">
        <f>IF($E1462="","",IF(OR($E1462="Coal",$E1462="Dirty Coal"),"MT","BCM"))</f>
        <v/>
      </c>
      <c r="N1462" s="157">
        <f>IF($E1462="","",IF(OR($E1462="Coal",$E1462="Dirty Coal"),"Coal","OB"))</f>
        <v/>
      </c>
      <c r="O1462" s="157">
        <f>IF($F1462="","",IF(COUNTIF(MASTER_JAM!$A$5:$A$94,$C1462)=0,"Digger tidak dikenal",IF($J1462="","Hauler tidak dikenal",IF($H1462="?","Jam salah",IF($K1462=0,"Faktor kosong",IF(SUMIFS(INPUT_DELAY!$E$5:$E$20000,INPUT_DELAY!$A$5:$A$20000,$A1462,INPUT_DELAY!$B$5:$B$20000,$B1462,INPUT_DELAY!$C$5:$C$20000,$C1462)+SUMIFS(INPUT_DELAY!$E$5:$E$20000,INPUT_DELAY!$A$5:$A$20000,$A1462,INPUT_DELAY!$B$5:$B$20000,$B1462,INPUT_DELAY!$C$5:$C$20000,"SEMUA")&gt;=60,"Delay 60 mnt tapi ada ritase","OK"))))))</f>
        <v/>
      </c>
      <c r="P1462" s="158">
        <f>IFERROR(INDEX(MASTER_JAM!$Z$5:$AC$10,MATCH($I1462,MASTER_JAM!$Y$5:$Y$10,0),MATCH($J1462,MASTER_JAM!$Z$4:$AC$4,0))+0,0)</f>
        <v/>
      </c>
      <c r="Q1462" s="158">
        <f>IF($P1462=0,0,$P1462+IFERROR(INDEX(MASTER_JAM!$H$5:$H$94,MATCH($C1462,MASTER_JAM!$A$5:$A$94,0))+0,MASTER_JAM!$AC$15)/1000*(60/MASTER_JAM!$AC$12+60/MASTER_JAM!$AC$13)+MASTER_JAM!$AC$14)</f>
        <v/>
      </c>
      <c r="R1462" s="158">
        <f>IF(N($F1462)=0,0,$F1462/SUMIFS(INPUT_RITASE!$F$5:$F$20000,INPUT_RITASE!$A$5:$A$20000,$A1462,INPUT_RITASE!$B$5:$B$20000,$B1462,INPUT_RITASE!$C$5:$C$20000,$C1462,INPUT_RITASE!$D$5:$D$20000,$D1462))</f>
        <v/>
      </c>
      <c r="S1462" s="158">
        <f>IF($Q1462=0,0,$R1462*$P1462/$Q1462)</f>
        <v/>
      </c>
    </row>
    <row r="1463">
      <c r="A1463" s="155" t="n">
        <v>46109</v>
      </c>
      <c r="B1463" s="156" t="inlineStr">
        <is>
          <t>14-15</t>
        </is>
      </c>
      <c r="C1463" s="156" t="inlineStr">
        <is>
          <t>EX-754</t>
        </is>
      </c>
      <c r="D1463" s="156" t="inlineStr">
        <is>
          <t>DT-517</t>
        </is>
      </c>
      <c r="E1463" s="156" t="inlineStr">
        <is>
          <t>OB</t>
        </is>
      </c>
      <c r="F1463" s="156" t="n">
        <v>4</v>
      </c>
      <c r="G1463" s="156" t="inlineStr"/>
      <c r="H1463" s="157">
        <f>IF($B1463="","",IF(ISNA(MATCH($B1463,MASTER_JAM!$Q$5:$Q$28,0)),"?",IF(MATCH($B1463,MASTER_JAM!$Q$5:$Q$28,0)&lt;=12,"DS","NS")))</f>
        <v/>
      </c>
      <c r="I1463" s="157">
        <f>IFERROR(INDEX(MASTER_JAM!$B$5:$B$94,MATCH($C1463,MASTER_JAM!$A$5:$A$94,0)),"")</f>
        <v/>
      </c>
      <c r="J1463" s="157">
        <f>IFERROR(INDEX(MASTER_JAM!$E$5:$E$94,MATCH($D1463,MASTER_JAM!$A$5:$A$94,0)),"")</f>
        <v/>
      </c>
      <c r="K1463" s="158">
        <f>IFERROR(INDEX(MASTER_JAM!$J$5:$O$12,MATCH($E1463,MASTER_JAM!$I$5:$I$12,0),MATCH($J1463,MASTER_JAM!$J$4:$O$4,0))+0,0)</f>
        <v/>
      </c>
      <c r="L1463" s="159">
        <f>N($F1463)*$K1463</f>
        <v/>
      </c>
      <c r="M1463" s="157">
        <f>IF($E1463="","",IF(OR($E1463="Coal",$E1463="Dirty Coal"),"MT","BCM"))</f>
        <v/>
      </c>
      <c r="N1463" s="157">
        <f>IF($E1463="","",IF(OR($E1463="Coal",$E1463="Dirty Coal"),"Coal","OB"))</f>
        <v/>
      </c>
      <c r="O1463" s="157">
        <f>IF($F1463="","",IF(COUNTIF(MASTER_JAM!$A$5:$A$94,$C1463)=0,"Digger tidak dikenal",IF($J1463="","Hauler tidak dikenal",IF($H1463="?","Jam salah",IF($K1463=0,"Faktor kosong",IF(SUMIFS(INPUT_DELAY!$E$5:$E$20000,INPUT_DELAY!$A$5:$A$20000,$A1463,INPUT_DELAY!$B$5:$B$20000,$B1463,INPUT_DELAY!$C$5:$C$20000,$C1463)+SUMIFS(INPUT_DELAY!$E$5:$E$20000,INPUT_DELAY!$A$5:$A$20000,$A1463,INPUT_DELAY!$B$5:$B$20000,$B1463,INPUT_DELAY!$C$5:$C$20000,"SEMUA")&gt;=60,"Delay 60 mnt tapi ada ritase","OK"))))))</f>
        <v/>
      </c>
      <c r="P1463" s="158">
        <f>IFERROR(INDEX(MASTER_JAM!$Z$5:$AC$10,MATCH($I1463,MASTER_JAM!$Y$5:$Y$10,0),MATCH($J1463,MASTER_JAM!$Z$4:$AC$4,0))+0,0)</f>
        <v/>
      </c>
      <c r="Q1463" s="158">
        <f>IF($P1463=0,0,$P1463+IFERROR(INDEX(MASTER_JAM!$H$5:$H$94,MATCH($C1463,MASTER_JAM!$A$5:$A$94,0))+0,MASTER_JAM!$AC$15)/1000*(60/MASTER_JAM!$AC$12+60/MASTER_JAM!$AC$13)+MASTER_JAM!$AC$14)</f>
        <v/>
      </c>
      <c r="R1463" s="158">
        <f>IF(N($F1463)=0,0,$F1463/SUMIFS(INPUT_RITASE!$F$5:$F$20000,INPUT_RITASE!$A$5:$A$20000,$A1463,INPUT_RITASE!$B$5:$B$20000,$B1463,INPUT_RITASE!$C$5:$C$20000,$C1463,INPUT_RITASE!$D$5:$D$20000,$D1463))</f>
        <v/>
      </c>
      <c r="S1463" s="158">
        <f>IF($Q1463=0,0,$R1463*$P1463/$Q1463)</f>
        <v/>
      </c>
    </row>
    <row r="1464">
      <c r="A1464" s="155" t="n">
        <v>46109</v>
      </c>
      <c r="B1464" s="156" t="inlineStr">
        <is>
          <t>14-15</t>
        </is>
      </c>
      <c r="C1464" s="156" t="inlineStr">
        <is>
          <t>EX-754</t>
        </is>
      </c>
      <c r="D1464" s="156" t="inlineStr">
        <is>
          <t>DT-510</t>
        </is>
      </c>
      <c r="E1464" s="156" t="inlineStr">
        <is>
          <t>OB</t>
        </is>
      </c>
      <c r="F1464" s="156" t="n">
        <v>4</v>
      </c>
      <c r="G1464" s="156" t="inlineStr"/>
      <c r="H1464" s="157">
        <f>IF($B1464="","",IF(ISNA(MATCH($B1464,MASTER_JAM!$Q$5:$Q$28,0)),"?",IF(MATCH($B1464,MASTER_JAM!$Q$5:$Q$28,0)&lt;=12,"DS","NS")))</f>
        <v/>
      </c>
      <c r="I1464" s="157">
        <f>IFERROR(INDEX(MASTER_JAM!$B$5:$B$94,MATCH($C1464,MASTER_JAM!$A$5:$A$94,0)),"")</f>
        <v/>
      </c>
      <c r="J1464" s="157">
        <f>IFERROR(INDEX(MASTER_JAM!$E$5:$E$94,MATCH($D1464,MASTER_JAM!$A$5:$A$94,0)),"")</f>
        <v/>
      </c>
      <c r="K1464" s="158">
        <f>IFERROR(INDEX(MASTER_JAM!$J$5:$O$12,MATCH($E1464,MASTER_JAM!$I$5:$I$12,0),MATCH($J1464,MASTER_JAM!$J$4:$O$4,0))+0,0)</f>
        <v/>
      </c>
      <c r="L1464" s="159">
        <f>N($F1464)*$K1464</f>
        <v/>
      </c>
      <c r="M1464" s="157">
        <f>IF($E1464="","",IF(OR($E1464="Coal",$E1464="Dirty Coal"),"MT","BCM"))</f>
        <v/>
      </c>
      <c r="N1464" s="157">
        <f>IF($E1464="","",IF(OR($E1464="Coal",$E1464="Dirty Coal"),"Coal","OB"))</f>
        <v/>
      </c>
      <c r="O1464" s="157">
        <f>IF($F1464="","",IF(COUNTIF(MASTER_JAM!$A$5:$A$94,$C1464)=0,"Digger tidak dikenal",IF($J1464="","Hauler tidak dikenal",IF($H1464="?","Jam salah",IF($K1464=0,"Faktor kosong",IF(SUMIFS(INPUT_DELAY!$E$5:$E$20000,INPUT_DELAY!$A$5:$A$20000,$A1464,INPUT_DELAY!$B$5:$B$20000,$B1464,INPUT_DELAY!$C$5:$C$20000,$C1464)+SUMIFS(INPUT_DELAY!$E$5:$E$20000,INPUT_DELAY!$A$5:$A$20000,$A1464,INPUT_DELAY!$B$5:$B$20000,$B1464,INPUT_DELAY!$C$5:$C$20000,"SEMUA")&gt;=60,"Delay 60 mnt tapi ada ritase","OK"))))))</f>
        <v/>
      </c>
      <c r="P1464" s="158">
        <f>IFERROR(INDEX(MASTER_JAM!$Z$5:$AC$10,MATCH($I1464,MASTER_JAM!$Y$5:$Y$10,0),MATCH($J1464,MASTER_JAM!$Z$4:$AC$4,0))+0,0)</f>
        <v/>
      </c>
      <c r="Q1464" s="158">
        <f>IF($P1464=0,0,$P1464+IFERROR(INDEX(MASTER_JAM!$H$5:$H$94,MATCH($C1464,MASTER_JAM!$A$5:$A$94,0))+0,MASTER_JAM!$AC$15)/1000*(60/MASTER_JAM!$AC$12+60/MASTER_JAM!$AC$13)+MASTER_JAM!$AC$14)</f>
        <v/>
      </c>
      <c r="R1464" s="158">
        <f>IF(N($F1464)=0,0,$F1464/SUMIFS(INPUT_RITASE!$F$5:$F$20000,INPUT_RITASE!$A$5:$A$20000,$A1464,INPUT_RITASE!$B$5:$B$20000,$B1464,INPUT_RITASE!$C$5:$C$20000,$C1464,INPUT_RITASE!$D$5:$D$20000,$D1464))</f>
        <v/>
      </c>
      <c r="S1464" s="158">
        <f>IF($Q1464=0,0,$R1464*$P1464/$Q1464)</f>
        <v/>
      </c>
    </row>
    <row r="1465">
      <c r="A1465" s="155" t="n">
        <v>46109</v>
      </c>
      <c r="B1465" s="156" t="inlineStr">
        <is>
          <t>14-15</t>
        </is>
      </c>
      <c r="C1465" s="156" t="inlineStr">
        <is>
          <t>EX-754</t>
        </is>
      </c>
      <c r="D1465" s="156" t="inlineStr">
        <is>
          <t>DT-512</t>
        </is>
      </c>
      <c r="E1465" s="156" t="inlineStr">
        <is>
          <t>OB</t>
        </is>
      </c>
      <c r="F1465" s="156" t="n">
        <v>3</v>
      </c>
      <c r="G1465" s="156" t="inlineStr"/>
      <c r="H1465" s="157">
        <f>IF($B1465="","",IF(ISNA(MATCH($B1465,MASTER_JAM!$Q$5:$Q$28,0)),"?",IF(MATCH($B1465,MASTER_JAM!$Q$5:$Q$28,0)&lt;=12,"DS","NS")))</f>
        <v/>
      </c>
      <c r="I1465" s="157">
        <f>IFERROR(INDEX(MASTER_JAM!$B$5:$B$94,MATCH($C1465,MASTER_JAM!$A$5:$A$94,0)),"")</f>
        <v/>
      </c>
      <c r="J1465" s="157">
        <f>IFERROR(INDEX(MASTER_JAM!$E$5:$E$94,MATCH($D1465,MASTER_JAM!$A$5:$A$94,0)),"")</f>
        <v/>
      </c>
      <c r="K1465" s="158">
        <f>IFERROR(INDEX(MASTER_JAM!$J$5:$O$12,MATCH($E1465,MASTER_JAM!$I$5:$I$12,0),MATCH($J1465,MASTER_JAM!$J$4:$O$4,0))+0,0)</f>
        <v/>
      </c>
      <c r="L1465" s="159">
        <f>N($F1465)*$K1465</f>
        <v/>
      </c>
      <c r="M1465" s="157">
        <f>IF($E1465="","",IF(OR($E1465="Coal",$E1465="Dirty Coal"),"MT","BCM"))</f>
        <v/>
      </c>
      <c r="N1465" s="157">
        <f>IF($E1465="","",IF(OR($E1465="Coal",$E1465="Dirty Coal"),"Coal","OB"))</f>
        <v/>
      </c>
      <c r="O1465" s="157">
        <f>IF($F1465="","",IF(COUNTIF(MASTER_JAM!$A$5:$A$94,$C1465)=0,"Digger tidak dikenal",IF($J1465="","Hauler tidak dikenal",IF($H1465="?","Jam salah",IF($K1465=0,"Faktor kosong",IF(SUMIFS(INPUT_DELAY!$E$5:$E$20000,INPUT_DELAY!$A$5:$A$20000,$A1465,INPUT_DELAY!$B$5:$B$20000,$B1465,INPUT_DELAY!$C$5:$C$20000,$C1465)+SUMIFS(INPUT_DELAY!$E$5:$E$20000,INPUT_DELAY!$A$5:$A$20000,$A1465,INPUT_DELAY!$B$5:$B$20000,$B1465,INPUT_DELAY!$C$5:$C$20000,"SEMUA")&gt;=60,"Delay 60 mnt tapi ada ritase","OK"))))))</f>
        <v/>
      </c>
      <c r="P1465" s="158">
        <f>IFERROR(INDEX(MASTER_JAM!$Z$5:$AC$10,MATCH($I1465,MASTER_JAM!$Y$5:$Y$10,0),MATCH($J1465,MASTER_JAM!$Z$4:$AC$4,0))+0,0)</f>
        <v/>
      </c>
      <c r="Q1465" s="158">
        <f>IF($P1465=0,0,$P1465+IFERROR(INDEX(MASTER_JAM!$H$5:$H$94,MATCH($C1465,MASTER_JAM!$A$5:$A$94,0))+0,MASTER_JAM!$AC$15)/1000*(60/MASTER_JAM!$AC$12+60/MASTER_JAM!$AC$13)+MASTER_JAM!$AC$14)</f>
        <v/>
      </c>
      <c r="R1465" s="158">
        <f>IF(N($F1465)=0,0,$F1465/SUMIFS(INPUT_RITASE!$F$5:$F$20000,INPUT_RITASE!$A$5:$A$20000,$A1465,INPUT_RITASE!$B$5:$B$20000,$B1465,INPUT_RITASE!$C$5:$C$20000,$C1465,INPUT_RITASE!$D$5:$D$20000,$D1465))</f>
        <v/>
      </c>
      <c r="S1465" s="158">
        <f>IF($Q1465=0,0,$R1465*$P1465/$Q1465)</f>
        <v/>
      </c>
    </row>
    <row r="1466">
      <c r="A1466" s="155" t="n">
        <v>46109</v>
      </c>
      <c r="B1466" s="156" t="inlineStr">
        <is>
          <t>14-15</t>
        </is>
      </c>
      <c r="C1466" s="156" t="inlineStr">
        <is>
          <t>EX-754</t>
        </is>
      </c>
      <c r="D1466" s="156" t="inlineStr">
        <is>
          <t>DT-526</t>
        </is>
      </c>
      <c r="E1466" s="156" t="inlineStr">
        <is>
          <t>OB</t>
        </is>
      </c>
      <c r="F1466" s="156" t="n">
        <v>3</v>
      </c>
      <c r="G1466" s="156" t="inlineStr"/>
      <c r="H1466" s="157">
        <f>IF($B1466="","",IF(ISNA(MATCH($B1466,MASTER_JAM!$Q$5:$Q$28,0)),"?",IF(MATCH($B1466,MASTER_JAM!$Q$5:$Q$28,0)&lt;=12,"DS","NS")))</f>
        <v/>
      </c>
      <c r="I1466" s="157">
        <f>IFERROR(INDEX(MASTER_JAM!$B$5:$B$94,MATCH($C1466,MASTER_JAM!$A$5:$A$94,0)),"")</f>
        <v/>
      </c>
      <c r="J1466" s="157">
        <f>IFERROR(INDEX(MASTER_JAM!$E$5:$E$94,MATCH($D1466,MASTER_JAM!$A$5:$A$94,0)),"")</f>
        <v/>
      </c>
      <c r="K1466" s="158">
        <f>IFERROR(INDEX(MASTER_JAM!$J$5:$O$12,MATCH($E1466,MASTER_JAM!$I$5:$I$12,0),MATCH($J1466,MASTER_JAM!$J$4:$O$4,0))+0,0)</f>
        <v/>
      </c>
      <c r="L1466" s="159">
        <f>N($F1466)*$K1466</f>
        <v/>
      </c>
      <c r="M1466" s="157">
        <f>IF($E1466="","",IF(OR($E1466="Coal",$E1466="Dirty Coal"),"MT","BCM"))</f>
        <v/>
      </c>
      <c r="N1466" s="157">
        <f>IF($E1466="","",IF(OR($E1466="Coal",$E1466="Dirty Coal"),"Coal","OB"))</f>
        <v/>
      </c>
      <c r="O1466" s="157">
        <f>IF($F1466="","",IF(COUNTIF(MASTER_JAM!$A$5:$A$94,$C1466)=0,"Digger tidak dikenal",IF($J1466="","Hauler tidak dikenal",IF($H1466="?","Jam salah",IF($K1466=0,"Faktor kosong",IF(SUMIFS(INPUT_DELAY!$E$5:$E$20000,INPUT_DELAY!$A$5:$A$20000,$A1466,INPUT_DELAY!$B$5:$B$20000,$B1466,INPUT_DELAY!$C$5:$C$20000,$C1466)+SUMIFS(INPUT_DELAY!$E$5:$E$20000,INPUT_DELAY!$A$5:$A$20000,$A1466,INPUT_DELAY!$B$5:$B$20000,$B1466,INPUT_DELAY!$C$5:$C$20000,"SEMUA")&gt;=60,"Delay 60 mnt tapi ada ritase","OK"))))))</f>
        <v/>
      </c>
      <c r="P1466" s="158">
        <f>IFERROR(INDEX(MASTER_JAM!$Z$5:$AC$10,MATCH($I1466,MASTER_JAM!$Y$5:$Y$10,0),MATCH($J1466,MASTER_JAM!$Z$4:$AC$4,0))+0,0)</f>
        <v/>
      </c>
      <c r="Q1466" s="158">
        <f>IF($P1466=0,0,$P1466+IFERROR(INDEX(MASTER_JAM!$H$5:$H$94,MATCH($C1466,MASTER_JAM!$A$5:$A$94,0))+0,MASTER_JAM!$AC$15)/1000*(60/MASTER_JAM!$AC$12+60/MASTER_JAM!$AC$13)+MASTER_JAM!$AC$14)</f>
        <v/>
      </c>
      <c r="R1466" s="158">
        <f>IF(N($F1466)=0,0,$F1466/SUMIFS(INPUT_RITASE!$F$5:$F$20000,INPUT_RITASE!$A$5:$A$20000,$A1466,INPUT_RITASE!$B$5:$B$20000,$B1466,INPUT_RITASE!$C$5:$C$20000,$C1466,INPUT_RITASE!$D$5:$D$20000,$D1466))</f>
        <v/>
      </c>
      <c r="S1466" s="158">
        <f>IF($Q1466=0,0,$R1466*$P1466/$Q1466)</f>
        <v/>
      </c>
    </row>
    <row r="1467">
      <c r="A1467" s="155" t="n">
        <v>46109</v>
      </c>
      <c r="B1467" s="156" t="inlineStr">
        <is>
          <t>15-16</t>
        </is>
      </c>
      <c r="C1467" s="156" t="inlineStr">
        <is>
          <t>EX-754</t>
        </is>
      </c>
      <c r="D1467" s="156" t="inlineStr">
        <is>
          <t>DT-517</t>
        </is>
      </c>
      <c r="E1467" s="156" t="inlineStr">
        <is>
          <t>OB</t>
        </is>
      </c>
      <c r="F1467" s="156" t="n">
        <v>4</v>
      </c>
      <c r="G1467" s="156" t="inlineStr"/>
      <c r="H1467" s="157">
        <f>IF($B1467="","",IF(ISNA(MATCH($B1467,MASTER_JAM!$Q$5:$Q$28,0)),"?",IF(MATCH($B1467,MASTER_JAM!$Q$5:$Q$28,0)&lt;=12,"DS","NS")))</f>
        <v/>
      </c>
      <c r="I1467" s="157">
        <f>IFERROR(INDEX(MASTER_JAM!$B$5:$B$94,MATCH($C1467,MASTER_JAM!$A$5:$A$94,0)),"")</f>
        <v/>
      </c>
      <c r="J1467" s="157">
        <f>IFERROR(INDEX(MASTER_JAM!$E$5:$E$94,MATCH($D1467,MASTER_JAM!$A$5:$A$94,0)),"")</f>
        <v/>
      </c>
      <c r="K1467" s="158">
        <f>IFERROR(INDEX(MASTER_JAM!$J$5:$O$12,MATCH($E1467,MASTER_JAM!$I$5:$I$12,0),MATCH($J1467,MASTER_JAM!$J$4:$O$4,0))+0,0)</f>
        <v/>
      </c>
      <c r="L1467" s="159">
        <f>N($F1467)*$K1467</f>
        <v/>
      </c>
      <c r="M1467" s="157">
        <f>IF($E1467="","",IF(OR($E1467="Coal",$E1467="Dirty Coal"),"MT","BCM"))</f>
        <v/>
      </c>
      <c r="N1467" s="157">
        <f>IF($E1467="","",IF(OR($E1467="Coal",$E1467="Dirty Coal"),"Coal","OB"))</f>
        <v/>
      </c>
      <c r="O1467" s="157">
        <f>IF($F1467="","",IF(COUNTIF(MASTER_JAM!$A$5:$A$94,$C1467)=0,"Digger tidak dikenal",IF($J1467="","Hauler tidak dikenal",IF($H1467="?","Jam salah",IF($K1467=0,"Faktor kosong",IF(SUMIFS(INPUT_DELAY!$E$5:$E$20000,INPUT_DELAY!$A$5:$A$20000,$A1467,INPUT_DELAY!$B$5:$B$20000,$B1467,INPUT_DELAY!$C$5:$C$20000,$C1467)+SUMIFS(INPUT_DELAY!$E$5:$E$20000,INPUT_DELAY!$A$5:$A$20000,$A1467,INPUT_DELAY!$B$5:$B$20000,$B1467,INPUT_DELAY!$C$5:$C$20000,"SEMUA")&gt;=60,"Delay 60 mnt tapi ada ritase","OK"))))))</f>
        <v/>
      </c>
      <c r="P1467" s="158">
        <f>IFERROR(INDEX(MASTER_JAM!$Z$5:$AC$10,MATCH($I1467,MASTER_JAM!$Y$5:$Y$10,0),MATCH($J1467,MASTER_JAM!$Z$4:$AC$4,0))+0,0)</f>
        <v/>
      </c>
      <c r="Q1467" s="158">
        <f>IF($P1467=0,0,$P1467+IFERROR(INDEX(MASTER_JAM!$H$5:$H$94,MATCH($C1467,MASTER_JAM!$A$5:$A$94,0))+0,MASTER_JAM!$AC$15)/1000*(60/MASTER_JAM!$AC$12+60/MASTER_JAM!$AC$13)+MASTER_JAM!$AC$14)</f>
        <v/>
      </c>
      <c r="R1467" s="158">
        <f>IF(N($F1467)=0,0,$F1467/SUMIFS(INPUT_RITASE!$F$5:$F$20000,INPUT_RITASE!$A$5:$A$20000,$A1467,INPUT_RITASE!$B$5:$B$20000,$B1467,INPUT_RITASE!$C$5:$C$20000,$C1467,INPUT_RITASE!$D$5:$D$20000,$D1467))</f>
        <v/>
      </c>
      <c r="S1467" s="158">
        <f>IF($Q1467=0,0,$R1467*$P1467/$Q1467)</f>
        <v/>
      </c>
    </row>
    <row r="1468">
      <c r="A1468" s="155" t="n">
        <v>46109</v>
      </c>
      <c r="B1468" s="156" t="inlineStr">
        <is>
          <t>15-16</t>
        </is>
      </c>
      <c r="C1468" s="156" t="inlineStr">
        <is>
          <t>EX-754</t>
        </is>
      </c>
      <c r="D1468" s="156" t="inlineStr">
        <is>
          <t>DT-527</t>
        </is>
      </c>
      <c r="E1468" s="156" t="inlineStr">
        <is>
          <t>OB</t>
        </is>
      </c>
      <c r="F1468" s="156" t="n">
        <v>3</v>
      </c>
      <c r="G1468" s="156" t="inlineStr"/>
      <c r="H1468" s="157">
        <f>IF($B1468="","",IF(ISNA(MATCH($B1468,MASTER_JAM!$Q$5:$Q$28,0)),"?",IF(MATCH($B1468,MASTER_JAM!$Q$5:$Q$28,0)&lt;=12,"DS","NS")))</f>
        <v/>
      </c>
      <c r="I1468" s="157">
        <f>IFERROR(INDEX(MASTER_JAM!$B$5:$B$94,MATCH($C1468,MASTER_JAM!$A$5:$A$94,0)),"")</f>
        <v/>
      </c>
      <c r="J1468" s="157">
        <f>IFERROR(INDEX(MASTER_JAM!$E$5:$E$94,MATCH($D1468,MASTER_JAM!$A$5:$A$94,0)),"")</f>
        <v/>
      </c>
      <c r="K1468" s="158">
        <f>IFERROR(INDEX(MASTER_JAM!$J$5:$O$12,MATCH($E1468,MASTER_JAM!$I$5:$I$12,0),MATCH($J1468,MASTER_JAM!$J$4:$O$4,0))+0,0)</f>
        <v/>
      </c>
      <c r="L1468" s="159">
        <f>N($F1468)*$K1468</f>
        <v/>
      </c>
      <c r="M1468" s="157">
        <f>IF($E1468="","",IF(OR($E1468="Coal",$E1468="Dirty Coal"),"MT","BCM"))</f>
        <v/>
      </c>
      <c r="N1468" s="157">
        <f>IF($E1468="","",IF(OR($E1468="Coal",$E1468="Dirty Coal"),"Coal","OB"))</f>
        <v/>
      </c>
      <c r="O1468" s="157">
        <f>IF($F1468="","",IF(COUNTIF(MASTER_JAM!$A$5:$A$94,$C1468)=0,"Digger tidak dikenal",IF($J1468="","Hauler tidak dikenal",IF($H1468="?","Jam salah",IF($K1468=0,"Faktor kosong",IF(SUMIFS(INPUT_DELAY!$E$5:$E$20000,INPUT_DELAY!$A$5:$A$20000,$A1468,INPUT_DELAY!$B$5:$B$20000,$B1468,INPUT_DELAY!$C$5:$C$20000,$C1468)+SUMIFS(INPUT_DELAY!$E$5:$E$20000,INPUT_DELAY!$A$5:$A$20000,$A1468,INPUT_DELAY!$B$5:$B$20000,$B1468,INPUT_DELAY!$C$5:$C$20000,"SEMUA")&gt;=60,"Delay 60 mnt tapi ada ritase","OK"))))))</f>
        <v/>
      </c>
      <c r="P1468" s="158">
        <f>IFERROR(INDEX(MASTER_JAM!$Z$5:$AC$10,MATCH($I1468,MASTER_JAM!$Y$5:$Y$10,0),MATCH($J1468,MASTER_JAM!$Z$4:$AC$4,0))+0,0)</f>
        <v/>
      </c>
      <c r="Q1468" s="158">
        <f>IF($P1468=0,0,$P1468+IFERROR(INDEX(MASTER_JAM!$H$5:$H$94,MATCH($C1468,MASTER_JAM!$A$5:$A$94,0))+0,MASTER_JAM!$AC$15)/1000*(60/MASTER_JAM!$AC$12+60/MASTER_JAM!$AC$13)+MASTER_JAM!$AC$14)</f>
        <v/>
      </c>
      <c r="R1468" s="158">
        <f>IF(N($F1468)=0,0,$F1468/SUMIFS(INPUT_RITASE!$F$5:$F$20000,INPUT_RITASE!$A$5:$A$20000,$A1468,INPUT_RITASE!$B$5:$B$20000,$B1468,INPUT_RITASE!$C$5:$C$20000,$C1468,INPUT_RITASE!$D$5:$D$20000,$D1468))</f>
        <v/>
      </c>
      <c r="S1468" s="158">
        <f>IF($Q1468=0,0,$R1468*$P1468/$Q1468)</f>
        <v/>
      </c>
    </row>
    <row r="1469">
      <c r="A1469" s="155" t="n">
        <v>46109</v>
      </c>
      <c r="B1469" s="156" t="inlineStr">
        <is>
          <t>16-17</t>
        </is>
      </c>
      <c r="C1469" s="156" t="inlineStr">
        <is>
          <t>EX-754</t>
        </is>
      </c>
      <c r="D1469" s="156" t="inlineStr">
        <is>
          <t>DT-522</t>
        </is>
      </c>
      <c r="E1469" s="156" t="inlineStr">
        <is>
          <t>OB</t>
        </is>
      </c>
      <c r="F1469" s="156" t="n">
        <v>4</v>
      </c>
      <c r="G1469" s="156" t="inlineStr"/>
      <c r="H1469" s="157">
        <f>IF($B1469="","",IF(ISNA(MATCH($B1469,MASTER_JAM!$Q$5:$Q$28,0)),"?",IF(MATCH($B1469,MASTER_JAM!$Q$5:$Q$28,0)&lt;=12,"DS","NS")))</f>
        <v/>
      </c>
      <c r="I1469" s="157">
        <f>IFERROR(INDEX(MASTER_JAM!$B$5:$B$94,MATCH($C1469,MASTER_JAM!$A$5:$A$94,0)),"")</f>
        <v/>
      </c>
      <c r="J1469" s="157">
        <f>IFERROR(INDEX(MASTER_JAM!$E$5:$E$94,MATCH($D1469,MASTER_JAM!$A$5:$A$94,0)),"")</f>
        <v/>
      </c>
      <c r="K1469" s="158">
        <f>IFERROR(INDEX(MASTER_JAM!$J$5:$O$12,MATCH($E1469,MASTER_JAM!$I$5:$I$12,0),MATCH($J1469,MASTER_JAM!$J$4:$O$4,0))+0,0)</f>
        <v/>
      </c>
      <c r="L1469" s="159">
        <f>N($F1469)*$K1469</f>
        <v/>
      </c>
      <c r="M1469" s="157">
        <f>IF($E1469="","",IF(OR($E1469="Coal",$E1469="Dirty Coal"),"MT","BCM"))</f>
        <v/>
      </c>
      <c r="N1469" s="157">
        <f>IF($E1469="","",IF(OR($E1469="Coal",$E1469="Dirty Coal"),"Coal","OB"))</f>
        <v/>
      </c>
      <c r="O1469" s="157">
        <f>IF($F1469="","",IF(COUNTIF(MASTER_JAM!$A$5:$A$94,$C1469)=0,"Digger tidak dikenal",IF($J1469="","Hauler tidak dikenal",IF($H1469="?","Jam salah",IF($K1469=0,"Faktor kosong",IF(SUMIFS(INPUT_DELAY!$E$5:$E$20000,INPUT_DELAY!$A$5:$A$20000,$A1469,INPUT_DELAY!$B$5:$B$20000,$B1469,INPUT_DELAY!$C$5:$C$20000,$C1469)+SUMIFS(INPUT_DELAY!$E$5:$E$20000,INPUT_DELAY!$A$5:$A$20000,$A1469,INPUT_DELAY!$B$5:$B$20000,$B1469,INPUT_DELAY!$C$5:$C$20000,"SEMUA")&gt;=60,"Delay 60 mnt tapi ada ritase","OK"))))))</f>
        <v/>
      </c>
      <c r="P1469" s="158">
        <f>IFERROR(INDEX(MASTER_JAM!$Z$5:$AC$10,MATCH($I1469,MASTER_JAM!$Y$5:$Y$10,0),MATCH($J1469,MASTER_JAM!$Z$4:$AC$4,0))+0,0)</f>
        <v/>
      </c>
      <c r="Q1469" s="158">
        <f>IF($P1469=0,0,$P1469+IFERROR(INDEX(MASTER_JAM!$H$5:$H$94,MATCH($C1469,MASTER_JAM!$A$5:$A$94,0))+0,MASTER_JAM!$AC$15)/1000*(60/MASTER_JAM!$AC$12+60/MASTER_JAM!$AC$13)+MASTER_JAM!$AC$14)</f>
        <v/>
      </c>
      <c r="R1469" s="158">
        <f>IF(N($F1469)=0,0,$F1469/SUMIFS(INPUT_RITASE!$F$5:$F$20000,INPUT_RITASE!$A$5:$A$20000,$A1469,INPUT_RITASE!$B$5:$B$20000,$B1469,INPUT_RITASE!$C$5:$C$20000,$C1469,INPUT_RITASE!$D$5:$D$20000,$D1469))</f>
        <v/>
      </c>
      <c r="S1469" s="158">
        <f>IF($Q1469=0,0,$R1469*$P1469/$Q1469)</f>
        <v/>
      </c>
    </row>
    <row r="1470">
      <c r="A1470" s="155" t="n">
        <v>46109</v>
      </c>
      <c r="B1470" s="156" t="inlineStr">
        <is>
          <t>16-17</t>
        </is>
      </c>
      <c r="C1470" s="156" t="inlineStr">
        <is>
          <t>EX-754</t>
        </is>
      </c>
      <c r="D1470" s="156" t="inlineStr">
        <is>
          <t>DT-517</t>
        </is>
      </c>
      <c r="E1470" s="156" t="inlineStr">
        <is>
          <t>OB</t>
        </is>
      </c>
      <c r="F1470" s="156" t="n">
        <v>4</v>
      </c>
      <c r="G1470" s="156" t="inlineStr"/>
      <c r="H1470" s="157">
        <f>IF($B1470="","",IF(ISNA(MATCH($B1470,MASTER_JAM!$Q$5:$Q$28,0)),"?",IF(MATCH($B1470,MASTER_JAM!$Q$5:$Q$28,0)&lt;=12,"DS","NS")))</f>
        <v/>
      </c>
      <c r="I1470" s="157">
        <f>IFERROR(INDEX(MASTER_JAM!$B$5:$B$94,MATCH($C1470,MASTER_JAM!$A$5:$A$94,0)),"")</f>
        <v/>
      </c>
      <c r="J1470" s="157">
        <f>IFERROR(INDEX(MASTER_JAM!$E$5:$E$94,MATCH($D1470,MASTER_JAM!$A$5:$A$94,0)),"")</f>
        <v/>
      </c>
      <c r="K1470" s="158">
        <f>IFERROR(INDEX(MASTER_JAM!$J$5:$O$12,MATCH($E1470,MASTER_JAM!$I$5:$I$12,0),MATCH($J1470,MASTER_JAM!$J$4:$O$4,0))+0,0)</f>
        <v/>
      </c>
      <c r="L1470" s="159">
        <f>N($F1470)*$K1470</f>
        <v/>
      </c>
      <c r="M1470" s="157">
        <f>IF($E1470="","",IF(OR($E1470="Coal",$E1470="Dirty Coal"),"MT","BCM"))</f>
        <v/>
      </c>
      <c r="N1470" s="157">
        <f>IF($E1470="","",IF(OR($E1470="Coal",$E1470="Dirty Coal"),"Coal","OB"))</f>
        <v/>
      </c>
      <c r="O1470" s="157">
        <f>IF($F1470="","",IF(COUNTIF(MASTER_JAM!$A$5:$A$94,$C1470)=0,"Digger tidak dikenal",IF($J1470="","Hauler tidak dikenal",IF($H1470="?","Jam salah",IF($K1470=0,"Faktor kosong",IF(SUMIFS(INPUT_DELAY!$E$5:$E$20000,INPUT_DELAY!$A$5:$A$20000,$A1470,INPUT_DELAY!$B$5:$B$20000,$B1470,INPUT_DELAY!$C$5:$C$20000,$C1470)+SUMIFS(INPUT_DELAY!$E$5:$E$20000,INPUT_DELAY!$A$5:$A$20000,$A1470,INPUT_DELAY!$B$5:$B$20000,$B1470,INPUT_DELAY!$C$5:$C$20000,"SEMUA")&gt;=60,"Delay 60 mnt tapi ada ritase","OK"))))))</f>
        <v/>
      </c>
      <c r="P1470" s="158">
        <f>IFERROR(INDEX(MASTER_JAM!$Z$5:$AC$10,MATCH($I1470,MASTER_JAM!$Y$5:$Y$10,0),MATCH($J1470,MASTER_JAM!$Z$4:$AC$4,0))+0,0)</f>
        <v/>
      </c>
      <c r="Q1470" s="158">
        <f>IF($P1470=0,0,$P1470+IFERROR(INDEX(MASTER_JAM!$H$5:$H$94,MATCH($C1470,MASTER_JAM!$A$5:$A$94,0))+0,MASTER_JAM!$AC$15)/1000*(60/MASTER_JAM!$AC$12+60/MASTER_JAM!$AC$13)+MASTER_JAM!$AC$14)</f>
        <v/>
      </c>
      <c r="R1470" s="158">
        <f>IF(N($F1470)=0,0,$F1470/SUMIFS(INPUT_RITASE!$F$5:$F$20000,INPUT_RITASE!$A$5:$A$20000,$A1470,INPUT_RITASE!$B$5:$B$20000,$B1470,INPUT_RITASE!$C$5:$C$20000,$C1470,INPUT_RITASE!$D$5:$D$20000,$D1470))</f>
        <v/>
      </c>
      <c r="S1470" s="158">
        <f>IF($Q1470=0,0,$R1470*$P1470/$Q1470)</f>
        <v/>
      </c>
    </row>
    <row r="1471">
      <c r="A1471" s="155" t="n">
        <v>46109</v>
      </c>
      <c r="B1471" s="156" t="inlineStr">
        <is>
          <t>16-17</t>
        </is>
      </c>
      <c r="C1471" s="156" t="inlineStr">
        <is>
          <t>EX-754</t>
        </is>
      </c>
      <c r="D1471" s="156" t="inlineStr">
        <is>
          <t>DT-512</t>
        </is>
      </c>
      <c r="E1471" s="156" t="inlineStr">
        <is>
          <t>OB</t>
        </is>
      </c>
      <c r="F1471" s="156" t="n">
        <v>3</v>
      </c>
      <c r="G1471" s="156" t="inlineStr"/>
      <c r="H1471" s="157">
        <f>IF($B1471="","",IF(ISNA(MATCH($B1471,MASTER_JAM!$Q$5:$Q$28,0)),"?",IF(MATCH($B1471,MASTER_JAM!$Q$5:$Q$28,0)&lt;=12,"DS","NS")))</f>
        <v/>
      </c>
      <c r="I1471" s="157">
        <f>IFERROR(INDEX(MASTER_JAM!$B$5:$B$94,MATCH($C1471,MASTER_JAM!$A$5:$A$94,0)),"")</f>
        <v/>
      </c>
      <c r="J1471" s="157">
        <f>IFERROR(INDEX(MASTER_JAM!$E$5:$E$94,MATCH($D1471,MASTER_JAM!$A$5:$A$94,0)),"")</f>
        <v/>
      </c>
      <c r="K1471" s="158">
        <f>IFERROR(INDEX(MASTER_JAM!$J$5:$O$12,MATCH($E1471,MASTER_JAM!$I$5:$I$12,0),MATCH($J1471,MASTER_JAM!$J$4:$O$4,0))+0,0)</f>
        <v/>
      </c>
      <c r="L1471" s="159">
        <f>N($F1471)*$K1471</f>
        <v/>
      </c>
      <c r="M1471" s="157">
        <f>IF($E1471="","",IF(OR($E1471="Coal",$E1471="Dirty Coal"),"MT","BCM"))</f>
        <v/>
      </c>
      <c r="N1471" s="157">
        <f>IF($E1471="","",IF(OR($E1471="Coal",$E1471="Dirty Coal"),"Coal","OB"))</f>
        <v/>
      </c>
      <c r="O1471" s="157">
        <f>IF($F1471="","",IF(COUNTIF(MASTER_JAM!$A$5:$A$94,$C1471)=0,"Digger tidak dikenal",IF($J1471="","Hauler tidak dikenal",IF($H1471="?","Jam salah",IF($K1471=0,"Faktor kosong",IF(SUMIFS(INPUT_DELAY!$E$5:$E$20000,INPUT_DELAY!$A$5:$A$20000,$A1471,INPUT_DELAY!$B$5:$B$20000,$B1471,INPUT_DELAY!$C$5:$C$20000,$C1471)+SUMIFS(INPUT_DELAY!$E$5:$E$20000,INPUT_DELAY!$A$5:$A$20000,$A1471,INPUT_DELAY!$B$5:$B$20000,$B1471,INPUT_DELAY!$C$5:$C$20000,"SEMUA")&gt;=60,"Delay 60 mnt tapi ada ritase","OK"))))))</f>
        <v/>
      </c>
      <c r="P1471" s="158">
        <f>IFERROR(INDEX(MASTER_JAM!$Z$5:$AC$10,MATCH($I1471,MASTER_JAM!$Y$5:$Y$10,0),MATCH($J1471,MASTER_JAM!$Z$4:$AC$4,0))+0,0)</f>
        <v/>
      </c>
      <c r="Q1471" s="158">
        <f>IF($P1471=0,0,$P1471+IFERROR(INDEX(MASTER_JAM!$H$5:$H$94,MATCH($C1471,MASTER_JAM!$A$5:$A$94,0))+0,MASTER_JAM!$AC$15)/1000*(60/MASTER_JAM!$AC$12+60/MASTER_JAM!$AC$13)+MASTER_JAM!$AC$14)</f>
        <v/>
      </c>
      <c r="R1471" s="158">
        <f>IF(N($F1471)=0,0,$F1471/SUMIFS(INPUT_RITASE!$F$5:$F$20000,INPUT_RITASE!$A$5:$A$20000,$A1471,INPUT_RITASE!$B$5:$B$20000,$B1471,INPUT_RITASE!$C$5:$C$20000,$C1471,INPUT_RITASE!$D$5:$D$20000,$D1471))</f>
        <v/>
      </c>
      <c r="S1471" s="158">
        <f>IF($Q1471=0,0,$R1471*$P1471/$Q1471)</f>
        <v/>
      </c>
    </row>
    <row r="1472">
      <c r="A1472" s="155" t="n">
        <v>46109</v>
      </c>
      <c r="B1472" s="156" t="inlineStr">
        <is>
          <t>06-07</t>
        </is>
      </c>
      <c r="C1472" s="156" t="inlineStr">
        <is>
          <t>EX-755</t>
        </is>
      </c>
      <c r="D1472" s="156" t="inlineStr">
        <is>
          <t>DT-526</t>
        </is>
      </c>
      <c r="E1472" s="156" t="inlineStr">
        <is>
          <t>OB</t>
        </is>
      </c>
      <c r="F1472" s="156" t="n">
        <v>2</v>
      </c>
      <c r="G1472" s="156" t="inlineStr"/>
      <c r="H1472" s="157">
        <f>IF($B1472="","",IF(ISNA(MATCH($B1472,MASTER_JAM!$Q$5:$Q$28,0)),"?",IF(MATCH($B1472,MASTER_JAM!$Q$5:$Q$28,0)&lt;=12,"DS","NS")))</f>
        <v/>
      </c>
      <c r="I1472" s="157">
        <f>IFERROR(INDEX(MASTER_JAM!$B$5:$B$94,MATCH($C1472,MASTER_JAM!$A$5:$A$94,0)),"")</f>
        <v/>
      </c>
      <c r="J1472" s="157">
        <f>IFERROR(INDEX(MASTER_JAM!$E$5:$E$94,MATCH($D1472,MASTER_JAM!$A$5:$A$94,0)),"")</f>
        <v/>
      </c>
      <c r="K1472" s="158">
        <f>IFERROR(INDEX(MASTER_JAM!$J$5:$O$12,MATCH($E1472,MASTER_JAM!$I$5:$I$12,0),MATCH($J1472,MASTER_JAM!$J$4:$O$4,0))+0,0)</f>
        <v/>
      </c>
      <c r="L1472" s="159">
        <f>N($F1472)*$K1472</f>
        <v/>
      </c>
      <c r="M1472" s="157">
        <f>IF($E1472="","",IF(OR($E1472="Coal",$E1472="Dirty Coal"),"MT","BCM"))</f>
        <v/>
      </c>
      <c r="N1472" s="157">
        <f>IF($E1472="","",IF(OR($E1472="Coal",$E1472="Dirty Coal"),"Coal","OB"))</f>
        <v/>
      </c>
      <c r="O1472" s="157">
        <f>IF($F1472="","",IF(COUNTIF(MASTER_JAM!$A$5:$A$94,$C1472)=0,"Digger tidak dikenal",IF($J1472="","Hauler tidak dikenal",IF($H1472="?","Jam salah",IF($K1472=0,"Faktor kosong",IF(SUMIFS(INPUT_DELAY!$E$5:$E$20000,INPUT_DELAY!$A$5:$A$20000,$A1472,INPUT_DELAY!$B$5:$B$20000,$B1472,INPUT_DELAY!$C$5:$C$20000,$C1472)+SUMIFS(INPUT_DELAY!$E$5:$E$20000,INPUT_DELAY!$A$5:$A$20000,$A1472,INPUT_DELAY!$B$5:$B$20000,$B1472,INPUT_DELAY!$C$5:$C$20000,"SEMUA")&gt;=60,"Delay 60 mnt tapi ada ritase","OK"))))))</f>
        <v/>
      </c>
      <c r="P1472" s="158">
        <f>IFERROR(INDEX(MASTER_JAM!$Z$5:$AC$10,MATCH($I1472,MASTER_JAM!$Y$5:$Y$10,0),MATCH($J1472,MASTER_JAM!$Z$4:$AC$4,0))+0,0)</f>
        <v/>
      </c>
      <c r="Q1472" s="158">
        <f>IF($P1472=0,0,$P1472+IFERROR(INDEX(MASTER_JAM!$H$5:$H$94,MATCH($C1472,MASTER_JAM!$A$5:$A$94,0))+0,MASTER_JAM!$AC$15)/1000*(60/MASTER_JAM!$AC$12+60/MASTER_JAM!$AC$13)+MASTER_JAM!$AC$14)</f>
        <v/>
      </c>
      <c r="R1472" s="158">
        <f>IF(N($F1472)=0,0,$F1472/SUMIFS(INPUT_RITASE!$F$5:$F$20000,INPUT_RITASE!$A$5:$A$20000,$A1472,INPUT_RITASE!$B$5:$B$20000,$B1472,INPUT_RITASE!$C$5:$C$20000,$C1472,INPUT_RITASE!$D$5:$D$20000,$D1472))</f>
        <v/>
      </c>
      <c r="S1472" s="158">
        <f>IF($Q1472=0,0,$R1472*$P1472/$Q1472)</f>
        <v/>
      </c>
    </row>
    <row r="1473">
      <c r="A1473" s="155" t="n">
        <v>46109</v>
      </c>
      <c r="B1473" s="156" t="inlineStr">
        <is>
          <t>07-08</t>
        </is>
      </c>
      <c r="C1473" s="156" t="inlineStr">
        <is>
          <t>EX-755</t>
        </is>
      </c>
      <c r="D1473" s="156" t="inlineStr">
        <is>
          <t>DT-526</t>
        </is>
      </c>
      <c r="E1473" s="156" t="inlineStr">
        <is>
          <t>OB</t>
        </is>
      </c>
      <c r="F1473" s="156" t="n">
        <v>3</v>
      </c>
      <c r="G1473" s="156" t="inlineStr"/>
      <c r="H1473" s="157">
        <f>IF($B1473="","",IF(ISNA(MATCH($B1473,MASTER_JAM!$Q$5:$Q$28,0)),"?",IF(MATCH($B1473,MASTER_JAM!$Q$5:$Q$28,0)&lt;=12,"DS","NS")))</f>
        <v/>
      </c>
      <c r="I1473" s="157">
        <f>IFERROR(INDEX(MASTER_JAM!$B$5:$B$94,MATCH($C1473,MASTER_JAM!$A$5:$A$94,0)),"")</f>
        <v/>
      </c>
      <c r="J1473" s="157">
        <f>IFERROR(INDEX(MASTER_JAM!$E$5:$E$94,MATCH($D1473,MASTER_JAM!$A$5:$A$94,0)),"")</f>
        <v/>
      </c>
      <c r="K1473" s="158">
        <f>IFERROR(INDEX(MASTER_JAM!$J$5:$O$12,MATCH($E1473,MASTER_JAM!$I$5:$I$12,0),MATCH($J1473,MASTER_JAM!$J$4:$O$4,0))+0,0)</f>
        <v/>
      </c>
      <c r="L1473" s="159">
        <f>N($F1473)*$K1473</f>
        <v/>
      </c>
      <c r="M1473" s="157">
        <f>IF($E1473="","",IF(OR($E1473="Coal",$E1473="Dirty Coal"),"MT","BCM"))</f>
        <v/>
      </c>
      <c r="N1473" s="157">
        <f>IF($E1473="","",IF(OR($E1473="Coal",$E1473="Dirty Coal"),"Coal","OB"))</f>
        <v/>
      </c>
      <c r="O1473" s="157">
        <f>IF($F1473="","",IF(COUNTIF(MASTER_JAM!$A$5:$A$94,$C1473)=0,"Digger tidak dikenal",IF($J1473="","Hauler tidak dikenal",IF($H1473="?","Jam salah",IF($K1473=0,"Faktor kosong",IF(SUMIFS(INPUT_DELAY!$E$5:$E$20000,INPUT_DELAY!$A$5:$A$20000,$A1473,INPUT_DELAY!$B$5:$B$20000,$B1473,INPUT_DELAY!$C$5:$C$20000,$C1473)+SUMIFS(INPUT_DELAY!$E$5:$E$20000,INPUT_DELAY!$A$5:$A$20000,$A1473,INPUT_DELAY!$B$5:$B$20000,$B1473,INPUT_DELAY!$C$5:$C$20000,"SEMUA")&gt;=60,"Delay 60 mnt tapi ada ritase","OK"))))))</f>
        <v/>
      </c>
      <c r="P1473" s="158">
        <f>IFERROR(INDEX(MASTER_JAM!$Z$5:$AC$10,MATCH($I1473,MASTER_JAM!$Y$5:$Y$10,0),MATCH($J1473,MASTER_JAM!$Z$4:$AC$4,0))+0,0)</f>
        <v/>
      </c>
      <c r="Q1473" s="158">
        <f>IF($P1473=0,0,$P1473+IFERROR(INDEX(MASTER_JAM!$H$5:$H$94,MATCH($C1473,MASTER_JAM!$A$5:$A$94,0))+0,MASTER_JAM!$AC$15)/1000*(60/MASTER_JAM!$AC$12+60/MASTER_JAM!$AC$13)+MASTER_JAM!$AC$14)</f>
        <v/>
      </c>
      <c r="R1473" s="158">
        <f>IF(N($F1473)=0,0,$F1473/SUMIFS(INPUT_RITASE!$F$5:$F$20000,INPUT_RITASE!$A$5:$A$20000,$A1473,INPUT_RITASE!$B$5:$B$20000,$B1473,INPUT_RITASE!$C$5:$C$20000,$C1473,INPUT_RITASE!$D$5:$D$20000,$D1473))</f>
        <v/>
      </c>
      <c r="S1473" s="158">
        <f>IF($Q1473=0,0,$R1473*$P1473/$Q1473)</f>
        <v/>
      </c>
    </row>
    <row r="1474">
      <c r="A1474" s="155" t="n">
        <v>46109</v>
      </c>
      <c r="B1474" s="156" t="inlineStr">
        <is>
          <t>08-09</t>
        </is>
      </c>
      <c r="C1474" s="156" t="inlineStr">
        <is>
          <t>EX-755</t>
        </is>
      </c>
      <c r="D1474" s="156" t="inlineStr">
        <is>
          <t>DT-523</t>
        </is>
      </c>
      <c r="E1474" s="156" t="inlineStr">
        <is>
          <t>OB</t>
        </is>
      </c>
      <c r="F1474" s="156" t="n">
        <v>3</v>
      </c>
      <c r="G1474" s="156" t="inlineStr"/>
      <c r="H1474" s="157">
        <f>IF($B1474="","",IF(ISNA(MATCH($B1474,MASTER_JAM!$Q$5:$Q$28,0)),"?",IF(MATCH($B1474,MASTER_JAM!$Q$5:$Q$28,0)&lt;=12,"DS","NS")))</f>
        <v/>
      </c>
      <c r="I1474" s="157">
        <f>IFERROR(INDEX(MASTER_JAM!$B$5:$B$94,MATCH($C1474,MASTER_JAM!$A$5:$A$94,0)),"")</f>
        <v/>
      </c>
      <c r="J1474" s="157">
        <f>IFERROR(INDEX(MASTER_JAM!$E$5:$E$94,MATCH($D1474,MASTER_JAM!$A$5:$A$94,0)),"")</f>
        <v/>
      </c>
      <c r="K1474" s="158">
        <f>IFERROR(INDEX(MASTER_JAM!$J$5:$O$12,MATCH($E1474,MASTER_JAM!$I$5:$I$12,0),MATCH($J1474,MASTER_JAM!$J$4:$O$4,0))+0,0)</f>
        <v/>
      </c>
      <c r="L1474" s="159">
        <f>N($F1474)*$K1474</f>
        <v/>
      </c>
      <c r="M1474" s="157">
        <f>IF($E1474="","",IF(OR($E1474="Coal",$E1474="Dirty Coal"),"MT","BCM"))</f>
        <v/>
      </c>
      <c r="N1474" s="157">
        <f>IF($E1474="","",IF(OR($E1474="Coal",$E1474="Dirty Coal"),"Coal","OB"))</f>
        <v/>
      </c>
      <c r="O1474" s="157">
        <f>IF($F1474="","",IF(COUNTIF(MASTER_JAM!$A$5:$A$94,$C1474)=0,"Digger tidak dikenal",IF($J1474="","Hauler tidak dikenal",IF($H1474="?","Jam salah",IF($K1474=0,"Faktor kosong",IF(SUMIFS(INPUT_DELAY!$E$5:$E$20000,INPUT_DELAY!$A$5:$A$20000,$A1474,INPUT_DELAY!$B$5:$B$20000,$B1474,INPUT_DELAY!$C$5:$C$20000,$C1474)+SUMIFS(INPUT_DELAY!$E$5:$E$20000,INPUT_DELAY!$A$5:$A$20000,$A1474,INPUT_DELAY!$B$5:$B$20000,$B1474,INPUT_DELAY!$C$5:$C$20000,"SEMUA")&gt;=60,"Delay 60 mnt tapi ada ritase","OK"))))))</f>
        <v/>
      </c>
      <c r="P1474" s="158">
        <f>IFERROR(INDEX(MASTER_JAM!$Z$5:$AC$10,MATCH($I1474,MASTER_JAM!$Y$5:$Y$10,0),MATCH($J1474,MASTER_JAM!$Z$4:$AC$4,0))+0,0)</f>
        <v/>
      </c>
      <c r="Q1474" s="158">
        <f>IF($P1474=0,0,$P1474+IFERROR(INDEX(MASTER_JAM!$H$5:$H$94,MATCH($C1474,MASTER_JAM!$A$5:$A$94,0))+0,MASTER_JAM!$AC$15)/1000*(60/MASTER_JAM!$AC$12+60/MASTER_JAM!$AC$13)+MASTER_JAM!$AC$14)</f>
        <v/>
      </c>
      <c r="R1474" s="158">
        <f>IF(N($F1474)=0,0,$F1474/SUMIFS(INPUT_RITASE!$F$5:$F$20000,INPUT_RITASE!$A$5:$A$20000,$A1474,INPUT_RITASE!$B$5:$B$20000,$B1474,INPUT_RITASE!$C$5:$C$20000,$C1474,INPUT_RITASE!$D$5:$D$20000,$D1474))</f>
        <v/>
      </c>
      <c r="S1474" s="158">
        <f>IF($Q1474=0,0,$R1474*$P1474/$Q1474)</f>
        <v/>
      </c>
    </row>
    <row r="1475">
      <c r="A1475" s="155" t="n">
        <v>46109</v>
      </c>
      <c r="B1475" s="156" t="inlineStr">
        <is>
          <t>14-15</t>
        </is>
      </c>
      <c r="C1475" s="156" t="inlineStr">
        <is>
          <t>EX-755</t>
        </is>
      </c>
      <c r="D1475" s="156" t="inlineStr">
        <is>
          <t>DT-523</t>
        </is>
      </c>
      <c r="E1475" s="156" t="inlineStr">
        <is>
          <t>OB</t>
        </is>
      </c>
      <c r="F1475" s="156" t="n">
        <v>2</v>
      </c>
      <c r="G1475" s="156" t="inlineStr"/>
      <c r="H1475" s="157">
        <f>IF($B1475="","",IF(ISNA(MATCH($B1475,MASTER_JAM!$Q$5:$Q$28,0)),"?",IF(MATCH($B1475,MASTER_JAM!$Q$5:$Q$28,0)&lt;=12,"DS","NS")))</f>
        <v/>
      </c>
      <c r="I1475" s="157">
        <f>IFERROR(INDEX(MASTER_JAM!$B$5:$B$94,MATCH($C1475,MASTER_JAM!$A$5:$A$94,0)),"")</f>
        <v/>
      </c>
      <c r="J1475" s="157">
        <f>IFERROR(INDEX(MASTER_JAM!$E$5:$E$94,MATCH($D1475,MASTER_JAM!$A$5:$A$94,0)),"")</f>
        <v/>
      </c>
      <c r="K1475" s="158">
        <f>IFERROR(INDEX(MASTER_JAM!$J$5:$O$12,MATCH($E1475,MASTER_JAM!$I$5:$I$12,0),MATCH($J1475,MASTER_JAM!$J$4:$O$4,0))+0,0)</f>
        <v/>
      </c>
      <c r="L1475" s="159">
        <f>N($F1475)*$K1475</f>
        <v/>
      </c>
      <c r="M1475" s="157">
        <f>IF($E1475="","",IF(OR($E1475="Coal",$E1475="Dirty Coal"),"MT","BCM"))</f>
        <v/>
      </c>
      <c r="N1475" s="157">
        <f>IF($E1475="","",IF(OR($E1475="Coal",$E1475="Dirty Coal"),"Coal","OB"))</f>
        <v/>
      </c>
      <c r="O1475" s="157">
        <f>IF($F1475="","",IF(COUNTIF(MASTER_JAM!$A$5:$A$94,$C1475)=0,"Digger tidak dikenal",IF($J1475="","Hauler tidak dikenal",IF($H1475="?","Jam salah",IF($K1475=0,"Faktor kosong",IF(SUMIFS(INPUT_DELAY!$E$5:$E$20000,INPUT_DELAY!$A$5:$A$20000,$A1475,INPUT_DELAY!$B$5:$B$20000,$B1475,INPUT_DELAY!$C$5:$C$20000,$C1475)+SUMIFS(INPUT_DELAY!$E$5:$E$20000,INPUT_DELAY!$A$5:$A$20000,$A1475,INPUT_DELAY!$B$5:$B$20000,$B1475,INPUT_DELAY!$C$5:$C$20000,"SEMUA")&gt;=60,"Delay 60 mnt tapi ada ritase","OK"))))))</f>
        <v/>
      </c>
      <c r="P1475" s="158">
        <f>IFERROR(INDEX(MASTER_JAM!$Z$5:$AC$10,MATCH($I1475,MASTER_JAM!$Y$5:$Y$10,0),MATCH($J1475,MASTER_JAM!$Z$4:$AC$4,0))+0,0)</f>
        <v/>
      </c>
      <c r="Q1475" s="158">
        <f>IF($P1475=0,0,$P1475+IFERROR(INDEX(MASTER_JAM!$H$5:$H$94,MATCH($C1475,MASTER_JAM!$A$5:$A$94,0))+0,MASTER_JAM!$AC$15)/1000*(60/MASTER_JAM!$AC$12+60/MASTER_JAM!$AC$13)+MASTER_JAM!$AC$14)</f>
        <v/>
      </c>
      <c r="R1475" s="158">
        <f>IF(N($F1475)=0,0,$F1475/SUMIFS(INPUT_RITASE!$F$5:$F$20000,INPUT_RITASE!$A$5:$A$20000,$A1475,INPUT_RITASE!$B$5:$B$20000,$B1475,INPUT_RITASE!$C$5:$C$20000,$C1475,INPUT_RITASE!$D$5:$D$20000,$D1475))</f>
        <v/>
      </c>
      <c r="S1475" s="158">
        <f>IF($Q1475=0,0,$R1475*$P1475/$Q1475)</f>
        <v/>
      </c>
    </row>
    <row r="1476">
      <c r="A1476" s="155" t="n">
        <v>46109</v>
      </c>
      <c r="B1476" s="156" t="inlineStr">
        <is>
          <t>15-16</t>
        </is>
      </c>
      <c r="C1476" s="156" t="inlineStr">
        <is>
          <t>EX-755</t>
        </is>
      </c>
      <c r="D1476" s="156" t="inlineStr">
        <is>
          <t>DT-523</t>
        </is>
      </c>
      <c r="E1476" s="156" t="inlineStr">
        <is>
          <t>Coal</t>
        </is>
      </c>
      <c r="F1476" s="156" t="n">
        <v>3</v>
      </c>
      <c r="G1476" s="156" t="inlineStr"/>
      <c r="H1476" s="157">
        <f>IF($B1476="","",IF(ISNA(MATCH($B1476,MASTER_JAM!$Q$5:$Q$28,0)),"?",IF(MATCH($B1476,MASTER_JAM!$Q$5:$Q$28,0)&lt;=12,"DS","NS")))</f>
        <v/>
      </c>
      <c r="I1476" s="157">
        <f>IFERROR(INDEX(MASTER_JAM!$B$5:$B$94,MATCH($C1476,MASTER_JAM!$A$5:$A$94,0)),"")</f>
        <v/>
      </c>
      <c r="J1476" s="157">
        <f>IFERROR(INDEX(MASTER_JAM!$E$5:$E$94,MATCH($D1476,MASTER_JAM!$A$5:$A$94,0)),"")</f>
        <v/>
      </c>
      <c r="K1476" s="158">
        <f>IFERROR(INDEX(MASTER_JAM!$J$5:$O$12,MATCH($E1476,MASTER_JAM!$I$5:$I$12,0),MATCH($J1476,MASTER_JAM!$J$4:$O$4,0))+0,0)</f>
        <v/>
      </c>
      <c r="L1476" s="159">
        <f>N($F1476)*$K1476</f>
        <v/>
      </c>
      <c r="M1476" s="157">
        <f>IF($E1476="","",IF(OR($E1476="Coal",$E1476="Dirty Coal"),"MT","BCM"))</f>
        <v/>
      </c>
      <c r="N1476" s="157">
        <f>IF($E1476="","",IF(OR($E1476="Coal",$E1476="Dirty Coal"),"Coal","OB"))</f>
        <v/>
      </c>
      <c r="O1476" s="157">
        <f>IF($F1476="","",IF(COUNTIF(MASTER_JAM!$A$5:$A$94,$C1476)=0,"Digger tidak dikenal",IF($J1476="","Hauler tidak dikenal",IF($H1476="?","Jam salah",IF($K1476=0,"Faktor kosong",IF(SUMIFS(INPUT_DELAY!$E$5:$E$20000,INPUT_DELAY!$A$5:$A$20000,$A1476,INPUT_DELAY!$B$5:$B$20000,$B1476,INPUT_DELAY!$C$5:$C$20000,$C1476)+SUMIFS(INPUT_DELAY!$E$5:$E$20000,INPUT_DELAY!$A$5:$A$20000,$A1476,INPUT_DELAY!$B$5:$B$20000,$B1476,INPUT_DELAY!$C$5:$C$20000,"SEMUA")&gt;=60,"Delay 60 mnt tapi ada ritase","OK"))))))</f>
        <v/>
      </c>
      <c r="P1476" s="158">
        <f>IFERROR(INDEX(MASTER_JAM!$Z$5:$AC$10,MATCH($I1476,MASTER_JAM!$Y$5:$Y$10,0),MATCH($J1476,MASTER_JAM!$Z$4:$AC$4,0))+0,0)</f>
        <v/>
      </c>
      <c r="Q1476" s="158">
        <f>IF($P1476=0,0,$P1476+IFERROR(INDEX(MASTER_JAM!$H$5:$H$94,MATCH($C1476,MASTER_JAM!$A$5:$A$94,0))+0,MASTER_JAM!$AC$15)/1000*(60/MASTER_JAM!$AC$12+60/MASTER_JAM!$AC$13)+MASTER_JAM!$AC$14)</f>
        <v/>
      </c>
      <c r="R1476" s="158">
        <f>IF(N($F1476)=0,0,$F1476/SUMIFS(INPUT_RITASE!$F$5:$F$20000,INPUT_RITASE!$A$5:$A$20000,$A1476,INPUT_RITASE!$B$5:$B$20000,$B1476,INPUT_RITASE!$C$5:$C$20000,$C1476,INPUT_RITASE!$D$5:$D$20000,$D1476))</f>
        <v/>
      </c>
      <c r="S1476" s="158">
        <f>IF($Q1476=0,0,$R1476*$P1476/$Q1476)</f>
        <v/>
      </c>
    </row>
    <row r="1477">
      <c r="A1477" s="155" t="n">
        <v>46109</v>
      </c>
      <c r="B1477" s="156" t="inlineStr">
        <is>
          <t>16-17</t>
        </is>
      </c>
      <c r="C1477" s="156" t="inlineStr">
        <is>
          <t>EX-755</t>
        </is>
      </c>
      <c r="D1477" s="156" t="inlineStr">
        <is>
          <t>DT-522</t>
        </is>
      </c>
      <c r="E1477" s="156" t="inlineStr">
        <is>
          <t>Coal</t>
        </is>
      </c>
      <c r="F1477" s="156" t="n">
        <v>2</v>
      </c>
      <c r="G1477" s="156" t="inlineStr"/>
      <c r="H1477" s="157">
        <f>IF($B1477="","",IF(ISNA(MATCH($B1477,MASTER_JAM!$Q$5:$Q$28,0)),"?",IF(MATCH($B1477,MASTER_JAM!$Q$5:$Q$28,0)&lt;=12,"DS","NS")))</f>
        <v/>
      </c>
      <c r="I1477" s="157">
        <f>IFERROR(INDEX(MASTER_JAM!$B$5:$B$94,MATCH($C1477,MASTER_JAM!$A$5:$A$94,0)),"")</f>
        <v/>
      </c>
      <c r="J1477" s="157">
        <f>IFERROR(INDEX(MASTER_JAM!$E$5:$E$94,MATCH($D1477,MASTER_JAM!$A$5:$A$94,0)),"")</f>
        <v/>
      </c>
      <c r="K1477" s="158">
        <f>IFERROR(INDEX(MASTER_JAM!$J$5:$O$12,MATCH($E1477,MASTER_JAM!$I$5:$I$12,0),MATCH($J1477,MASTER_JAM!$J$4:$O$4,0))+0,0)</f>
        <v/>
      </c>
      <c r="L1477" s="159">
        <f>N($F1477)*$K1477</f>
        <v/>
      </c>
      <c r="M1477" s="157">
        <f>IF($E1477="","",IF(OR($E1477="Coal",$E1477="Dirty Coal"),"MT","BCM"))</f>
        <v/>
      </c>
      <c r="N1477" s="157">
        <f>IF($E1477="","",IF(OR($E1477="Coal",$E1477="Dirty Coal"),"Coal","OB"))</f>
        <v/>
      </c>
      <c r="O1477" s="157">
        <f>IF($F1477="","",IF(COUNTIF(MASTER_JAM!$A$5:$A$94,$C1477)=0,"Digger tidak dikenal",IF($J1477="","Hauler tidak dikenal",IF($H1477="?","Jam salah",IF($K1477=0,"Faktor kosong",IF(SUMIFS(INPUT_DELAY!$E$5:$E$20000,INPUT_DELAY!$A$5:$A$20000,$A1477,INPUT_DELAY!$B$5:$B$20000,$B1477,INPUT_DELAY!$C$5:$C$20000,$C1477)+SUMIFS(INPUT_DELAY!$E$5:$E$20000,INPUT_DELAY!$A$5:$A$20000,$A1477,INPUT_DELAY!$B$5:$B$20000,$B1477,INPUT_DELAY!$C$5:$C$20000,"SEMUA")&gt;=60,"Delay 60 mnt tapi ada ritase","OK"))))))</f>
        <v/>
      </c>
      <c r="P1477" s="158">
        <f>IFERROR(INDEX(MASTER_JAM!$Z$5:$AC$10,MATCH($I1477,MASTER_JAM!$Y$5:$Y$10,0),MATCH($J1477,MASTER_JAM!$Z$4:$AC$4,0))+0,0)</f>
        <v/>
      </c>
      <c r="Q1477" s="158">
        <f>IF($P1477=0,0,$P1477+IFERROR(INDEX(MASTER_JAM!$H$5:$H$94,MATCH($C1477,MASTER_JAM!$A$5:$A$94,0))+0,MASTER_JAM!$AC$15)/1000*(60/MASTER_JAM!$AC$12+60/MASTER_JAM!$AC$13)+MASTER_JAM!$AC$14)</f>
        <v/>
      </c>
      <c r="R1477" s="158">
        <f>IF(N($F1477)=0,0,$F1477/SUMIFS(INPUT_RITASE!$F$5:$F$20000,INPUT_RITASE!$A$5:$A$20000,$A1477,INPUT_RITASE!$B$5:$B$20000,$B1477,INPUT_RITASE!$C$5:$C$20000,$C1477,INPUT_RITASE!$D$5:$D$20000,$D1477))</f>
        <v/>
      </c>
      <c r="S1477" s="158">
        <f>IF($Q1477=0,0,$R1477*$P1477/$Q1477)</f>
        <v/>
      </c>
    </row>
    <row r="1478">
      <c r="A1478" s="155" t="n">
        <v>46109</v>
      </c>
      <c r="B1478" s="156" t="inlineStr">
        <is>
          <t>06-07</t>
        </is>
      </c>
      <c r="C1478" s="156" t="inlineStr">
        <is>
          <t>EX-753</t>
        </is>
      </c>
      <c r="D1478" s="156" t="inlineStr">
        <is>
          <t>DT-523</t>
        </is>
      </c>
      <c r="E1478" s="156" t="inlineStr">
        <is>
          <t>OB</t>
        </is>
      </c>
      <c r="F1478" s="156" t="n">
        <v>4</v>
      </c>
      <c r="G1478" s="156" t="inlineStr"/>
      <c r="H1478" s="157">
        <f>IF($B1478="","",IF(ISNA(MATCH($B1478,MASTER_JAM!$Q$5:$Q$28,0)),"?",IF(MATCH($B1478,MASTER_JAM!$Q$5:$Q$28,0)&lt;=12,"DS","NS")))</f>
        <v/>
      </c>
      <c r="I1478" s="157">
        <f>IFERROR(INDEX(MASTER_JAM!$B$5:$B$94,MATCH($C1478,MASTER_JAM!$A$5:$A$94,0)),"")</f>
        <v/>
      </c>
      <c r="J1478" s="157">
        <f>IFERROR(INDEX(MASTER_JAM!$E$5:$E$94,MATCH($D1478,MASTER_JAM!$A$5:$A$94,0)),"")</f>
        <v/>
      </c>
      <c r="K1478" s="158">
        <f>IFERROR(INDEX(MASTER_JAM!$J$5:$O$12,MATCH($E1478,MASTER_JAM!$I$5:$I$12,0),MATCH($J1478,MASTER_JAM!$J$4:$O$4,0))+0,0)</f>
        <v/>
      </c>
      <c r="L1478" s="159">
        <f>N($F1478)*$K1478</f>
        <v/>
      </c>
      <c r="M1478" s="157">
        <f>IF($E1478="","",IF(OR($E1478="Coal",$E1478="Dirty Coal"),"MT","BCM"))</f>
        <v/>
      </c>
      <c r="N1478" s="157">
        <f>IF($E1478="","",IF(OR($E1478="Coal",$E1478="Dirty Coal"),"Coal","OB"))</f>
        <v/>
      </c>
      <c r="O1478" s="157">
        <f>IF($F1478="","",IF(COUNTIF(MASTER_JAM!$A$5:$A$94,$C1478)=0,"Digger tidak dikenal",IF($J1478="","Hauler tidak dikenal",IF($H1478="?","Jam salah",IF($K1478=0,"Faktor kosong",IF(SUMIFS(INPUT_DELAY!$E$5:$E$20000,INPUT_DELAY!$A$5:$A$20000,$A1478,INPUT_DELAY!$B$5:$B$20000,$B1478,INPUT_DELAY!$C$5:$C$20000,$C1478)+SUMIFS(INPUT_DELAY!$E$5:$E$20000,INPUT_DELAY!$A$5:$A$20000,$A1478,INPUT_DELAY!$B$5:$B$20000,$B1478,INPUT_DELAY!$C$5:$C$20000,"SEMUA")&gt;=60,"Delay 60 mnt tapi ada ritase","OK"))))))</f>
        <v/>
      </c>
      <c r="P1478" s="158">
        <f>IFERROR(INDEX(MASTER_JAM!$Z$5:$AC$10,MATCH($I1478,MASTER_JAM!$Y$5:$Y$10,0),MATCH($J1478,MASTER_JAM!$Z$4:$AC$4,0))+0,0)</f>
        <v/>
      </c>
      <c r="Q1478" s="158">
        <f>IF($P1478=0,0,$P1478+IFERROR(INDEX(MASTER_JAM!$H$5:$H$94,MATCH($C1478,MASTER_JAM!$A$5:$A$94,0))+0,MASTER_JAM!$AC$15)/1000*(60/MASTER_JAM!$AC$12+60/MASTER_JAM!$AC$13)+MASTER_JAM!$AC$14)</f>
        <v/>
      </c>
      <c r="R1478" s="158">
        <f>IF(N($F1478)=0,0,$F1478/SUMIFS(INPUT_RITASE!$F$5:$F$20000,INPUT_RITASE!$A$5:$A$20000,$A1478,INPUT_RITASE!$B$5:$B$20000,$B1478,INPUT_RITASE!$C$5:$C$20000,$C1478,INPUT_RITASE!$D$5:$D$20000,$D1478))</f>
        <v/>
      </c>
      <c r="S1478" s="158">
        <f>IF($Q1478=0,0,$R1478*$P1478/$Q1478)</f>
        <v/>
      </c>
    </row>
    <row r="1479">
      <c r="A1479" s="155" t="n">
        <v>46109</v>
      </c>
      <c r="B1479" s="156" t="inlineStr">
        <is>
          <t>06-07</t>
        </is>
      </c>
      <c r="C1479" s="156" t="inlineStr">
        <is>
          <t>EX-753</t>
        </is>
      </c>
      <c r="D1479" s="156" t="inlineStr">
        <is>
          <t>DT-512</t>
        </is>
      </c>
      <c r="E1479" s="156" t="inlineStr">
        <is>
          <t>OB</t>
        </is>
      </c>
      <c r="F1479" s="156" t="n">
        <v>4</v>
      </c>
      <c r="G1479" s="156" t="inlineStr"/>
      <c r="H1479" s="157">
        <f>IF($B1479="","",IF(ISNA(MATCH($B1479,MASTER_JAM!$Q$5:$Q$28,0)),"?",IF(MATCH($B1479,MASTER_JAM!$Q$5:$Q$28,0)&lt;=12,"DS","NS")))</f>
        <v/>
      </c>
      <c r="I1479" s="157">
        <f>IFERROR(INDEX(MASTER_JAM!$B$5:$B$94,MATCH($C1479,MASTER_JAM!$A$5:$A$94,0)),"")</f>
        <v/>
      </c>
      <c r="J1479" s="157">
        <f>IFERROR(INDEX(MASTER_JAM!$E$5:$E$94,MATCH($D1479,MASTER_JAM!$A$5:$A$94,0)),"")</f>
        <v/>
      </c>
      <c r="K1479" s="158">
        <f>IFERROR(INDEX(MASTER_JAM!$J$5:$O$12,MATCH($E1479,MASTER_JAM!$I$5:$I$12,0),MATCH($J1479,MASTER_JAM!$J$4:$O$4,0))+0,0)</f>
        <v/>
      </c>
      <c r="L1479" s="159">
        <f>N($F1479)*$K1479</f>
        <v/>
      </c>
      <c r="M1479" s="157">
        <f>IF($E1479="","",IF(OR($E1479="Coal",$E1479="Dirty Coal"),"MT","BCM"))</f>
        <v/>
      </c>
      <c r="N1479" s="157">
        <f>IF($E1479="","",IF(OR($E1479="Coal",$E1479="Dirty Coal"),"Coal","OB"))</f>
        <v/>
      </c>
      <c r="O1479" s="157">
        <f>IF($F1479="","",IF(COUNTIF(MASTER_JAM!$A$5:$A$94,$C1479)=0,"Digger tidak dikenal",IF($J1479="","Hauler tidak dikenal",IF($H1479="?","Jam salah",IF($K1479=0,"Faktor kosong",IF(SUMIFS(INPUT_DELAY!$E$5:$E$20000,INPUT_DELAY!$A$5:$A$20000,$A1479,INPUT_DELAY!$B$5:$B$20000,$B1479,INPUT_DELAY!$C$5:$C$20000,$C1479)+SUMIFS(INPUT_DELAY!$E$5:$E$20000,INPUT_DELAY!$A$5:$A$20000,$A1479,INPUT_DELAY!$B$5:$B$20000,$B1479,INPUT_DELAY!$C$5:$C$20000,"SEMUA")&gt;=60,"Delay 60 mnt tapi ada ritase","OK"))))))</f>
        <v/>
      </c>
      <c r="P1479" s="158">
        <f>IFERROR(INDEX(MASTER_JAM!$Z$5:$AC$10,MATCH($I1479,MASTER_JAM!$Y$5:$Y$10,0),MATCH($J1479,MASTER_JAM!$Z$4:$AC$4,0))+0,0)</f>
        <v/>
      </c>
      <c r="Q1479" s="158">
        <f>IF($P1479=0,0,$P1479+IFERROR(INDEX(MASTER_JAM!$H$5:$H$94,MATCH($C1479,MASTER_JAM!$A$5:$A$94,0))+0,MASTER_JAM!$AC$15)/1000*(60/MASTER_JAM!$AC$12+60/MASTER_JAM!$AC$13)+MASTER_JAM!$AC$14)</f>
        <v/>
      </c>
      <c r="R1479" s="158">
        <f>IF(N($F1479)=0,0,$F1479/SUMIFS(INPUT_RITASE!$F$5:$F$20000,INPUT_RITASE!$A$5:$A$20000,$A1479,INPUT_RITASE!$B$5:$B$20000,$B1479,INPUT_RITASE!$C$5:$C$20000,$C1479,INPUT_RITASE!$D$5:$D$20000,$D1479))</f>
        <v/>
      </c>
      <c r="S1479" s="158">
        <f>IF($Q1479=0,0,$R1479*$P1479/$Q1479)</f>
        <v/>
      </c>
    </row>
    <row r="1480">
      <c r="A1480" s="155" t="n">
        <v>46109</v>
      </c>
      <c r="B1480" s="156" t="inlineStr">
        <is>
          <t>07-08</t>
        </is>
      </c>
      <c r="C1480" s="156" t="inlineStr">
        <is>
          <t>EX-753</t>
        </is>
      </c>
      <c r="D1480" s="156" t="inlineStr">
        <is>
          <t>DT-521</t>
        </is>
      </c>
      <c r="E1480" s="156" t="inlineStr">
        <is>
          <t>OB</t>
        </is>
      </c>
      <c r="F1480" s="156" t="n">
        <v>4</v>
      </c>
      <c r="G1480" s="156" t="inlineStr"/>
      <c r="H1480" s="157">
        <f>IF($B1480="","",IF(ISNA(MATCH($B1480,MASTER_JAM!$Q$5:$Q$28,0)),"?",IF(MATCH($B1480,MASTER_JAM!$Q$5:$Q$28,0)&lt;=12,"DS","NS")))</f>
        <v/>
      </c>
      <c r="I1480" s="157">
        <f>IFERROR(INDEX(MASTER_JAM!$B$5:$B$94,MATCH($C1480,MASTER_JAM!$A$5:$A$94,0)),"")</f>
        <v/>
      </c>
      <c r="J1480" s="157">
        <f>IFERROR(INDEX(MASTER_JAM!$E$5:$E$94,MATCH($D1480,MASTER_JAM!$A$5:$A$94,0)),"")</f>
        <v/>
      </c>
      <c r="K1480" s="158">
        <f>IFERROR(INDEX(MASTER_JAM!$J$5:$O$12,MATCH($E1480,MASTER_JAM!$I$5:$I$12,0),MATCH($J1480,MASTER_JAM!$J$4:$O$4,0))+0,0)</f>
        <v/>
      </c>
      <c r="L1480" s="159">
        <f>N($F1480)*$K1480</f>
        <v/>
      </c>
      <c r="M1480" s="157">
        <f>IF($E1480="","",IF(OR($E1480="Coal",$E1480="Dirty Coal"),"MT","BCM"))</f>
        <v/>
      </c>
      <c r="N1480" s="157">
        <f>IF($E1480="","",IF(OR($E1480="Coal",$E1480="Dirty Coal"),"Coal","OB"))</f>
        <v/>
      </c>
      <c r="O1480" s="157">
        <f>IF($F1480="","",IF(COUNTIF(MASTER_JAM!$A$5:$A$94,$C1480)=0,"Digger tidak dikenal",IF($J1480="","Hauler tidak dikenal",IF($H1480="?","Jam salah",IF($K1480=0,"Faktor kosong",IF(SUMIFS(INPUT_DELAY!$E$5:$E$20000,INPUT_DELAY!$A$5:$A$20000,$A1480,INPUT_DELAY!$B$5:$B$20000,$B1480,INPUT_DELAY!$C$5:$C$20000,$C1480)+SUMIFS(INPUT_DELAY!$E$5:$E$20000,INPUT_DELAY!$A$5:$A$20000,$A1480,INPUT_DELAY!$B$5:$B$20000,$B1480,INPUT_DELAY!$C$5:$C$20000,"SEMUA")&gt;=60,"Delay 60 mnt tapi ada ritase","OK"))))))</f>
        <v/>
      </c>
      <c r="P1480" s="158">
        <f>IFERROR(INDEX(MASTER_JAM!$Z$5:$AC$10,MATCH($I1480,MASTER_JAM!$Y$5:$Y$10,0),MATCH($J1480,MASTER_JAM!$Z$4:$AC$4,0))+0,0)</f>
        <v/>
      </c>
      <c r="Q1480" s="158">
        <f>IF($P1480=0,0,$P1480+IFERROR(INDEX(MASTER_JAM!$H$5:$H$94,MATCH($C1480,MASTER_JAM!$A$5:$A$94,0))+0,MASTER_JAM!$AC$15)/1000*(60/MASTER_JAM!$AC$12+60/MASTER_JAM!$AC$13)+MASTER_JAM!$AC$14)</f>
        <v/>
      </c>
      <c r="R1480" s="158">
        <f>IF(N($F1480)=0,0,$F1480/SUMIFS(INPUT_RITASE!$F$5:$F$20000,INPUT_RITASE!$A$5:$A$20000,$A1480,INPUT_RITASE!$B$5:$B$20000,$B1480,INPUT_RITASE!$C$5:$C$20000,$C1480,INPUT_RITASE!$D$5:$D$20000,$D1480))</f>
        <v/>
      </c>
      <c r="S1480" s="158">
        <f>IF($Q1480=0,0,$R1480*$P1480/$Q1480)</f>
        <v/>
      </c>
    </row>
    <row r="1481">
      <c r="A1481" s="155" t="n">
        <v>46109</v>
      </c>
      <c r="B1481" s="156" t="inlineStr">
        <is>
          <t>07-08</t>
        </is>
      </c>
      <c r="C1481" s="156" t="inlineStr">
        <is>
          <t>EX-753</t>
        </is>
      </c>
      <c r="D1481" s="156" t="inlineStr">
        <is>
          <t>DT-520</t>
        </is>
      </c>
      <c r="E1481" s="156" t="inlineStr">
        <is>
          <t>OB</t>
        </is>
      </c>
      <c r="F1481" s="156" t="n">
        <v>3</v>
      </c>
      <c r="G1481" s="156" t="inlineStr"/>
      <c r="H1481" s="157">
        <f>IF($B1481="","",IF(ISNA(MATCH($B1481,MASTER_JAM!$Q$5:$Q$28,0)),"?",IF(MATCH($B1481,MASTER_JAM!$Q$5:$Q$28,0)&lt;=12,"DS","NS")))</f>
        <v/>
      </c>
      <c r="I1481" s="157">
        <f>IFERROR(INDEX(MASTER_JAM!$B$5:$B$94,MATCH($C1481,MASTER_JAM!$A$5:$A$94,0)),"")</f>
        <v/>
      </c>
      <c r="J1481" s="157">
        <f>IFERROR(INDEX(MASTER_JAM!$E$5:$E$94,MATCH($D1481,MASTER_JAM!$A$5:$A$94,0)),"")</f>
        <v/>
      </c>
      <c r="K1481" s="158">
        <f>IFERROR(INDEX(MASTER_JAM!$J$5:$O$12,MATCH($E1481,MASTER_JAM!$I$5:$I$12,0),MATCH($J1481,MASTER_JAM!$J$4:$O$4,0))+0,0)</f>
        <v/>
      </c>
      <c r="L1481" s="159">
        <f>N($F1481)*$K1481</f>
        <v/>
      </c>
      <c r="M1481" s="157">
        <f>IF($E1481="","",IF(OR($E1481="Coal",$E1481="Dirty Coal"),"MT","BCM"))</f>
        <v/>
      </c>
      <c r="N1481" s="157">
        <f>IF($E1481="","",IF(OR($E1481="Coal",$E1481="Dirty Coal"),"Coal","OB"))</f>
        <v/>
      </c>
      <c r="O1481" s="157">
        <f>IF($F1481="","",IF(COUNTIF(MASTER_JAM!$A$5:$A$94,$C1481)=0,"Digger tidak dikenal",IF($J1481="","Hauler tidak dikenal",IF($H1481="?","Jam salah",IF($K1481=0,"Faktor kosong",IF(SUMIFS(INPUT_DELAY!$E$5:$E$20000,INPUT_DELAY!$A$5:$A$20000,$A1481,INPUT_DELAY!$B$5:$B$20000,$B1481,INPUT_DELAY!$C$5:$C$20000,$C1481)+SUMIFS(INPUT_DELAY!$E$5:$E$20000,INPUT_DELAY!$A$5:$A$20000,$A1481,INPUT_DELAY!$B$5:$B$20000,$B1481,INPUT_DELAY!$C$5:$C$20000,"SEMUA")&gt;=60,"Delay 60 mnt tapi ada ritase","OK"))))))</f>
        <v/>
      </c>
      <c r="P1481" s="158">
        <f>IFERROR(INDEX(MASTER_JAM!$Z$5:$AC$10,MATCH($I1481,MASTER_JAM!$Y$5:$Y$10,0),MATCH($J1481,MASTER_JAM!$Z$4:$AC$4,0))+0,0)</f>
        <v/>
      </c>
      <c r="Q1481" s="158">
        <f>IF($P1481=0,0,$P1481+IFERROR(INDEX(MASTER_JAM!$H$5:$H$94,MATCH($C1481,MASTER_JAM!$A$5:$A$94,0))+0,MASTER_JAM!$AC$15)/1000*(60/MASTER_JAM!$AC$12+60/MASTER_JAM!$AC$13)+MASTER_JAM!$AC$14)</f>
        <v/>
      </c>
      <c r="R1481" s="158">
        <f>IF(N($F1481)=0,0,$F1481/SUMIFS(INPUT_RITASE!$F$5:$F$20000,INPUT_RITASE!$A$5:$A$20000,$A1481,INPUT_RITASE!$B$5:$B$20000,$B1481,INPUT_RITASE!$C$5:$C$20000,$C1481,INPUT_RITASE!$D$5:$D$20000,$D1481))</f>
        <v/>
      </c>
      <c r="S1481" s="158">
        <f>IF($Q1481=0,0,$R1481*$P1481/$Q1481)</f>
        <v/>
      </c>
    </row>
    <row r="1482">
      <c r="A1482" s="155" t="n">
        <v>46109</v>
      </c>
      <c r="B1482" s="156" t="inlineStr">
        <is>
          <t>07-08</t>
        </is>
      </c>
      <c r="C1482" s="156" t="inlineStr">
        <is>
          <t>EX-753</t>
        </is>
      </c>
      <c r="D1482" s="156" t="inlineStr">
        <is>
          <t>DT-515</t>
        </is>
      </c>
      <c r="E1482" s="156" t="inlineStr">
        <is>
          <t>OB</t>
        </is>
      </c>
      <c r="F1482" s="156" t="n">
        <v>3</v>
      </c>
      <c r="G1482" s="156" t="inlineStr"/>
      <c r="H1482" s="157">
        <f>IF($B1482="","",IF(ISNA(MATCH($B1482,MASTER_JAM!$Q$5:$Q$28,0)),"?",IF(MATCH($B1482,MASTER_JAM!$Q$5:$Q$28,0)&lt;=12,"DS","NS")))</f>
        <v/>
      </c>
      <c r="I1482" s="157">
        <f>IFERROR(INDEX(MASTER_JAM!$B$5:$B$94,MATCH($C1482,MASTER_JAM!$A$5:$A$94,0)),"")</f>
        <v/>
      </c>
      <c r="J1482" s="157">
        <f>IFERROR(INDEX(MASTER_JAM!$E$5:$E$94,MATCH($D1482,MASTER_JAM!$A$5:$A$94,0)),"")</f>
        <v/>
      </c>
      <c r="K1482" s="158">
        <f>IFERROR(INDEX(MASTER_JAM!$J$5:$O$12,MATCH($E1482,MASTER_JAM!$I$5:$I$12,0),MATCH($J1482,MASTER_JAM!$J$4:$O$4,0))+0,0)</f>
        <v/>
      </c>
      <c r="L1482" s="159">
        <f>N($F1482)*$K1482</f>
        <v/>
      </c>
      <c r="M1482" s="157">
        <f>IF($E1482="","",IF(OR($E1482="Coal",$E1482="Dirty Coal"),"MT","BCM"))</f>
        <v/>
      </c>
      <c r="N1482" s="157">
        <f>IF($E1482="","",IF(OR($E1482="Coal",$E1482="Dirty Coal"),"Coal","OB"))</f>
        <v/>
      </c>
      <c r="O1482" s="157">
        <f>IF($F1482="","",IF(COUNTIF(MASTER_JAM!$A$5:$A$94,$C1482)=0,"Digger tidak dikenal",IF($J1482="","Hauler tidak dikenal",IF($H1482="?","Jam salah",IF($K1482=0,"Faktor kosong",IF(SUMIFS(INPUT_DELAY!$E$5:$E$20000,INPUT_DELAY!$A$5:$A$20000,$A1482,INPUT_DELAY!$B$5:$B$20000,$B1482,INPUT_DELAY!$C$5:$C$20000,$C1482)+SUMIFS(INPUT_DELAY!$E$5:$E$20000,INPUT_DELAY!$A$5:$A$20000,$A1482,INPUT_DELAY!$B$5:$B$20000,$B1482,INPUT_DELAY!$C$5:$C$20000,"SEMUA")&gt;=60,"Delay 60 mnt tapi ada ritase","OK"))))))</f>
        <v/>
      </c>
      <c r="P1482" s="158">
        <f>IFERROR(INDEX(MASTER_JAM!$Z$5:$AC$10,MATCH($I1482,MASTER_JAM!$Y$5:$Y$10,0),MATCH($J1482,MASTER_JAM!$Z$4:$AC$4,0))+0,0)</f>
        <v/>
      </c>
      <c r="Q1482" s="158">
        <f>IF($P1482=0,0,$P1482+IFERROR(INDEX(MASTER_JAM!$H$5:$H$94,MATCH($C1482,MASTER_JAM!$A$5:$A$94,0))+0,MASTER_JAM!$AC$15)/1000*(60/MASTER_JAM!$AC$12+60/MASTER_JAM!$AC$13)+MASTER_JAM!$AC$14)</f>
        <v/>
      </c>
      <c r="R1482" s="158">
        <f>IF(N($F1482)=0,0,$F1482/SUMIFS(INPUT_RITASE!$F$5:$F$20000,INPUT_RITASE!$A$5:$A$20000,$A1482,INPUT_RITASE!$B$5:$B$20000,$B1482,INPUT_RITASE!$C$5:$C$20000,$C1482,INPUT_RITASE!$D$5:$D$20000,$D1482))</f>
        <v/>
      </c>
      <c r="S1482" s="158">
        <f>IF($Q1482=0,0,$R1482*$P1482/$Q1482)</f>
        <v/>
      </c>
    </row>
    <row r="1483">
      <c r="A1483" s="155" t="n">
        <v>46109</v>
      </c>
      <c r="B1483" s="156" t="inlineStr">
        <is>
          <t>07-08</t>
        </is>
      </c>
      <c r="C1483" s="156" t="inlineStr">
        <is>
          <t>EX-753</t>
        </is>
      </c>
      <c r="D1483" s="156" t="inlineStr">
        <is>
          <t>DT-528</t>
        </is>
      </c>
      <c r="E1483" s="156" t="inlineStr">
        <is>
          <t>OB</t>
        </is>
      </c>
      <c r="F1483" s="156" t="n">
        <v>3</v>
      </c>
      <c r="G1483" s="156" t="inlineStr"/>
      <c r="H1483" s="157">
        <f>IF($B1483="","",IF(ISNA(MATCH($B1483,MASTER_JAM!$Q$5:$Q$28,0)),"?",IF(MATCH($B1483,MASTER_JAM!$Q$5:$Q$28,0)&lt;=12,"DS","NS")))</f>
        <v/>
      </c>
      <c r="I1483" s="157">
        <f>IFERROR(INDEX(MASTER_JAM!$B$5:$B$94,MATCH($C1483,MASTER_JAM!$A$5:$A$94,0)),"")</f>
        <v/>
      </c>
      <c r="J1483" s="157">
        <f>IFERROR(INDEX(MASTER_JAM!$E$5:$E$94,MATCH($D1483,MASTER_JAM!$A$5:$A$94,0)),"")</f>
        <v/>
      </c>
      <c r="K1483" s="158">
        <f>IFERROR(INDEX(MASTER_JAM!$J$5:$O$12,MATCH($E1483,MASTER_JAM!$I$5:$I$12,0),MATCH($J1483,MASTER_JAM!$J$4:$O$4,0))+0,0)</f>
        <v/>
      </c>
      <c r="L1483" s="159">
        <f>N($F1483)*$K1483</f>
        <v/>
      </c>
      <c r="M1483" s="157">
        <f>IF($E1483="","",IF(OR($E1483="Coal",$E1483="Dirty Coal"),"MT","BCM"))</f>
        <v/>
      </c>
      <c r="N1483" s="157">
        <f>IF($E1483="","",IF(OR($E1483="Coal",$E1483="Dirty Coal"),"Coal","OB"))</f>
        <v/>
      </c>
      <c r="O1483" s="157">
        <f>IF($F1483="","",IF(COUNTIF(MASTER_JAM!$A$5:$A$94,$C1483)=0,"Digger tidak dikenal",IF($J1483="","Hauler tidak dikenal",IF($H1483="?","Jam salah",IF($K1483=0,"Faktor kosong",IF(SUMIFS(INPUT_DELAY!$E$5:$E$20000,INPUT_DELAY!$A$5:$A$20000,$A1483,INPUT_DELAY!$B$5:$B$20000,$B1483,INPUT_DELAY!$C$5:$C$20000,$C1483)+SUMIFS(INPUT_DELAY!$E$5:$E$20000,INPUT_DELAY!$A$5:$A$20000,$A1483,INPUT_DELAY!$B$5:$B$20000,$B1483,INPUT_DELAY!$C$5:$C$20000,"SEMUA")&gt;=60,"Delay 60 mnt tapi ada ritase","OK"))))))</f>
        <v/>
      </c>
      <c r="P1483" s="158">
        <f>IFERROR(INDEX(MASTER_JAM!$Z$5:$AC$10,MATCH($I1483,MASTER_JAM!$Y$5:$Y$10,0),MATCH($J1483,MASTER_JAM!$Z$4:$AC$4,0))+0,0)</f>
        <v/>
      </c>
      <c r="Q1483" s="158">
        <f>IF($P1483=0,0,$P1483+IFERROR(INDEX(MASTER_JAM!$H$5:$H$94,MATCH($C1483,MASTER_JAM!$A$5:$A$94,0))+0,MASTER_JAM!$AC$15)/1000*(60/MASTER_JAM!$AC$12+60/MASTER_JAM!$AC$13)+MASTER_JAM!$AC$14)</f>
        <v/>
      </c>
      <c r="R1483" s="158">
        <f>IF(N($F1483)=0,0,$F1483/SUMIFS(INPUT_RITASE!$F$5:$F$20000,INPUT_RITASE!$A$5:$A$20000,$A1483,INPUT_RITASE!$B$5:$B$20000,$B1483,INPUT_RITASE!$C$5:$C$20000,$C1483,INPUT_RITASE!$D$5:$D$20000,$D1483))</f>
        <v/>
      </c>
      <c r="S1483" s="158">
        <f>IF($Q1483=0,0,$R1483*$P1483/$Q1483)</f>
        <v/>
      </c>
    </row>
    <row r="1484">
      <c r="A1484" s="155" t="n">
        <v>46109</v>
      </c>
      <c r="B1484" s="156" t="inlineStr">
        <is>
          <t>08-09</t>
        </is>
      </c>
      <c r="C1484" s="156" t="inlineStr">
        <is>
          <t>EX-753</t>
        </is>
      </c>
      <c r="D1484" s="156" t="inlineStr">
        <is>
          <t>DT-512</t>
        </is>
      </c>
      <c r="E1484" s="156" t="inlineStr">
        <is>
          <t>OB</t>
        </is>
      </c>
      <c r="F1484" s="156" t="n">
        <v>4</v>
      </c>
      <c r="G1484" s="156" t="inlineStr"/>
      <c r="H1484" s="157">
        <f>IF($B1484="","",IF(ISNA(MATCH($B1484,MASTER_JAM!$Q$5:$Q$28,0)),"?",IF(MATCH($B1484,MASTER_JAM!$Q$5:$Q$28,0)&lt;=12,"DS","NS")))</f>
        <v/>
      </c>
      <c r="I1484" s="157">
        <f>IFERROR(INDEX(MASTER_JAM!$B$5:$B$94,MATCH($C1484,MASTER_JAM!$A$5:$A$94,0)),"")</f>
        <v/>
      </c>
      <c r="J1484" s="157">
        <f>IFERROR(INDEX(MASTER_JAM!$E$5:$E$94,MATCH($D1484,MASTER_JAM!$A$5:$A$94,0)),"")</f>
        <v/>
      </c>
      <c r="K1484" s="158">
        <f>IFERROR(INDEX(MASTER_JAM!$J$5:$O$12,MATCH($E1484,MASTER_JAM!$I$5:$I$12,0),MATCH($J1484,MASTER_JAM!$J$4:$O$4,0))+0,0)</f>
        <v/>
      </c>
      <c r="L1484" s="159">
        <f>N($F1484)*$K1484</f>
        <v/>
      </c>
      <c r="M1484" s="157">
        <f>IF($E1484="","",IF(OR($E1484="Coal",$E1484="Dirty Coal"),"MT","BCM"))</f>
        <v/>
      </c>
      <c r="N1484" s="157">
        <f>IF($E1484="","",IF(OR($E1484="Coal",$E1484="Dirty Coal"),"Coal","OB"))</f>
        <v/>
      </c>
      <c r="O1484" s="157">
        <f>IF($F1484="","",IF(COUNTIF(MASTER_JAM!$A$5:$A$94,$C1484)=0,"Digger tidak dikenal",IF($J1484="","Hauler tidak dikenal",IF($H1484="?","Jam salah",IF($K1484=0,"Faktor kosong",IF(SUMIFS(INPUT_DELAY!$E$5:$E$20000,INPUT_DELAY!$A$5:$A$20000,$A1484,INPUT_DELAY!$B$5:$B$20000,$B1484,INPUT_DELAY!$C$5:$C$20000,$C1484)+SUMIFS(INPUT_DELAY!$E$5:$E$20000,INPUT_DELAY!$A$5:$A$20000,$A1484,INPUT_DELAY!$B$5:$B$20000,$B1484,INPUT_DELAY!$C$5:$C$20000,"SEMUA")&gt;=60,"Delay 60 mnt tapi ada ritase","OK"))))))</f>
        <v/>
      </c>
      <c r="P1484" s="158">
        <f>IFERROR(INDEX(MASTER_JAM!$Z$5:$AC$10,MATCH($I1484,MASTER_JAM!$Y$5:$Y$10,0),MATCH($J1484,MASTER_JAM!$Z$4:$AC$4,0))+0,0)</f>
        <v/>
      </c>
      <c r="Q1484" s="158">
        <f>IF($P1484=0,0,$P1484+IFERROR(INDEX(MASTER_JAM!$H$5:$H$94,MATCH($C1484,MASTER_JAM!$A$5:$A$94,0))+0,MASTER_JAM!$AC$15)/1000*(60/MASTER_JAM!$AC$12+60/MASTER_JAM!$AC$13)+MASTER_JAM!$AC$14)</f>
        <v/>
      </c>
      <c r="R1484" s="158">
        <f>IF(N($F1484)=0,0,$F1484/SUMIFS(INPUT_RITASE!$F$5:$F$20000,INPUT_RITASE!$A$5:$A$20000,$A1484,INPUT_RITASE!$B$5:$B$20000,$B1484,INPUT_RITASE!$C$5:$C$20000,$C1484,INPUT_RITASE!$D$5:$D$20000,$D1484))</f>
        <v/>
      </c>
      <c r="S1484" s="158">
        <f>IF($Q1484=0,0,$R1484*$P1484/$Q1484)</f>
        <v/>
      </c>
    </row>
    <row r="1485">
      <c r="A1485" s="155" t="n">
        <v>46109</v>
      </c>
      <c r="B1485" s="156" t="inlineStr">
        <is>
          <t>08-09</t>
        </is>
      </c>
      <c r="C1485" s="156" t="inlineStr">
        <is>
          <t>EX-753</t>
        </is>
      </c>
      <c r="D1485" s="156" t="inlineStr">
        <is>
          <t>DT-517</t>
        </is>
      </c>
      <c r="E1485" s="156" t="inlineStr">
        <is>
          <t>OB</t>
        </is>
      </c>
      <c r="F1485" s="156" t="n">
        <v>3</v>
      </c>
      <c r="G1485" s="156" t="inlineStr"/>
      <c r="H1485" s="157">
        <f>IF($B1485="","",IF(ISNA(MATCH($B1485,MASTER_JAM!$Q$5:$Q$28,0)),"?",IF(MATCH($B1485,MASTER_JAM!$Q$5:$Q$28,0)&lt;=12,"DS","NS")))</f>
        <v/>
      </c>
      <c r="I1485" s="157">
        <f>IFERROR(INDEX(MASTER_JAM!$B$5:$B$94,MATCH($C1485,MASTER_JAM!$A$5:$A$94,0)),"")</f>
        <v/>
      </c>
      <c r="J1485" s="157">
        <f>IFERROR(INDEX(MASTER_JAM!$E$5:$E$94,MATCH($D1485,MASTER_JAM!$A$5:$A$94,0)),"")</f>
        <v/>
      </c>
      <c r="K1485" s="158">
        <f>IFERROR(INDEX(MASTER_JAM!$J$5:$O$12,MATCH($E1485,MASTER_JAM!$I$5:$I$12,0),MATCH($J1485,MASTER_JAM!$J$4:$O$4,0))+0,0)</f>
        <v/>
      </c>
      <c r="L1485" s="159">
        <f>N($F1485)*$K1485</f>
        <v/>
      </c>
      <c r="M1485" s="157">
        <f>IF($E1485="","",IF(OR($E1485="Coal",$E1485="Dirty Coal"),"MT","BCM"))</f>
        <v/>
      </c>
      <c r="N1485" s="157">
        <f>IF($E1485="","",IF(OR($E1485="Coal",$E1485="Dirty Coal"),"Coal","OB"))</f>
        <v/>
      </c>
      <c r="O1485" s="157">
        <f>IF($F1485="","",IF(COUNTIF(MASTER_JAM!$A$5:$A$94,$C1485)=0,"Digger tidak dikenal",IF($J1485="","Hauler tidak dikenal",IF($H1485="?","Jam salah",IF($K1485=0,"Faktor kosong",IF(SUMIFS(INPUT_DELAY!$E$5:$E$20000,INPUT_DELAY!$A$5:$A$20000,$A1485,INPUT_DELAY!$B$5:$B$20000,$B1485,INPUT_DELAY!$C$5:$C$20000,$C1485)+SUMIFS(INPUT_DELAY!$E$5:$E$20000,INPUT_DELAY!$A$5:$A$20000,$A1485,INPUT_DELAY!$B$5:$B$20000,$B1485,INPUT_DELAY!$C$5:$C$20000,"SEMUA")&gt;=60,"Delay 60 mnt tapi ada ritase","OK"))))))</f>
        <v/>
      </c>
      <c r="P1485" s="158">
        <f>IFERROR(INDEX(MASTER_JAM!$Z$5:$AC$10,MATCH($I1485,MASTER_JAM!$Y$5:$Y$10,0),MATCH($J1485,MASTER_JAM!$Z$4:$AC$4,0))+0,0)</f>
        <v/>
      </c>
      <c r="Q1485" s="158">
        <f>IF($P1485=0,0,$P1485+IFERROR(INDEX(MASTER_JAM!$H$5:$H$94,MATCH($C1485,MASTER_JAM!$A$5:$A$94,0))+0,MASTER_JAM!$AC$15)/1000*(60/MASTER_JAM!$AC$12+60/MASTER_JAM!$AC$13)+MASTER_JAM!$AC$14)</f>
        <v/>
      </c>
      <c r="R1485" s="158">
        <f>IF(N($F1485)=0,0,$F1485/SUMIFS(INPUT_RITASE!$F$5:$F$20000,INPUT_RITASE!$A$5:$A$20000,$A1485,INPUT_RITASE!$B$5:$B$20000,$B1485,INPUT_RITASE!$C$5:$C$20000,$C1485,INPUT_RITASE!$D$5:$D$20000,$D1485))</f>
        <v/>
      </c>
      <c r="S1485" s="158">
        <f>IF($Q1485=0,0,$R1485*$P1485/$Q1485)</f>
        <v/>
      </c>
    </row>
    <row r="1486">
      <c r="A1486" s="155" t="n">
        <v>46109</v>
      </c>
      <c r="B1486" s="156" t="inlineStr">
        <is>
          <t>08-09</t>
        </is>
      </c>
      <c r="C1486" s="156" t="inlineStr">
        <is>
          <t>EX-753</t>
        </is>
      </c>
      <c r="D1486" s="156" t="inlineStr">
        <is>
          <t>DT-521</t>
        </is>
      </c>
      <c r="E1486" s="156" t="inlineStr">
        <is>
          <t>OB</t>
        </is>
      </c>
      <c r="F1486" s="156" t="n">
        <v>3</v>
      </c>
      <c r="G1486" s="156" t="inlineStr"/>
      <c r="H1486" s="157">
        <f>IF($B1486="","",IF(ISNA(MATCH($B1486,MASTER_JAM!$Q$5:$Q$28,0)),"?",IF(MATCH($B1486,MASTER_JAM!$Q$5:$Q$28,0)&lt;=12,"DS","NS")))</f>
        <v/>
      </c>
      <c r="I1486" s="157">
        <f>IFERROR(INDEX(MASTER_JAM!$B$5:$B$94,MATCH($C1486,MASTER_JAM!$A$5:$A$94,0)),"")</f>
        <v/>
      </c>
      <c r="J1486" s="157">
        <f>IFERROR(INDEX(MASTER_JAM!$E$5:$E$94,MATCH($D1486,MASTER_JAM!$A$5:$A$94,0)),"")</f>
        <v/>
      </c>
      <c r="K1486" s="158">
        <f>IFERROR(INDEX(MASTER_JAM!$J$5:$O$12,MATCH($E1486,MASTER_JAM!$I$5:$I$12,0),MATCH($J1486,MASTER_JAM!$J$4:$O$4,0))+0,0)</f>
        <v/>
      </c>
      <c r="L1486" s="159">
        <f>N($F1486)*$K1486</f>
        <v/>
      </c>
      <c r="M1486" s="157">
        <f>IF($E1486="","",IF(OR($E1486="Coal",$E1486="Dirty Coal"),"MT","BCM"))</f>
        <v/>
      </c>
      <c r="N1486" s="157">
        <f>IF($E1486="","",IF(OR($E1486="Coal",$E1486="Dirty Coal"),"Coal","OB"))</f>
        <v/>
      </c>
      <c r="O1486" s="157">
        <f>IF($F1486="","",IF(COUNTIF(MASTER_JAM!$A$5:$A$94,$C1486)=0,"Digger tidak dikenal",IF($J1486="","Hauler tidak dikenal",IF($H1486="?","Jam salah",IF($K1486=0,"Faktor kosong",IF(SUMIFS(INPUT_DELAY!$E$5:$E$20000,INPUT_DELAY!$A$5:$A$20000,$A1486,INPUT_DELAY!$B$5:$B$20000,$B1486,INPUT_DELAY!$C$5:$C$20000,$C1486)+SUMIFS(INPUT_DELAY!$E$5:$E$20000,INPUT_DELAY!$A$5:$A$20000,$A1486,INPUT_DELAY!$B$5:$B$20000,$B1486,INPUT_DELAY!$C$5:$C$20000,"SEMUA")&gt;=60,"Delay 60 mnt tapi ada ritase","OK"))))))</f>
        <v/>
      </c>
      <c r="P1486" s="158">
        <f>IFERROR(INDEX(MASTER_JAM!$Z$5:$AC$10,MATCH($I1486,MASTER_JAM!$Y$5:$Y$10,0),MATCH($J1486,MASTER_JAM!$Z$4:$AC$4,0))+0,0)</f>
        <v/>
      </c>
      <c r="Q1486" s="158">
        <f>IF($P1486=0,0,$P1486+IFERROR(INDEX(MASTER_JAM!$H$5:$H$94,MATCH($C1486,MASTER_JAM!$A$5:$A$94,0))+0,MASTER_JAM!$AC$15)/1000*(60/MASTER_JAM!$AC$12+60/MASTER_JAM!$AC$13)+MASTER_JAM!$AC$14)</f>
        <v/>
      </c>
      <c r="R1486" s="158">
        <f>IF(N($F1486)=0,0,$F1486/SUMIFS(INPUT_RITASE!$F$5:$F$20000,INPUT_RITASE!$A$5:$A$20000,$A1486,INPUT_RITASE!$B$5:$B$20000,$B1486,INPUT_RITASE!$C$5:$C$20000,$C1486,INPUT_RITASE!$D$5:$D$20000,$D1486))</f>
        <v/>
      </c>
      <c r="S1486" s="158">
        <f>IF($Q1486=0,0,$R1486*$P1486/$Q1486)</f>
        <v/>
      </c>
    </row>
    <row r="1487">
      <c r="A1487" s="155" t="n">
        <v>46109</v>
      </c>
      <c r="B1487" s="156" t="inlineStr">
        <is>
          <t>08-09</t>
        </is>
      </c>
      <c r="C1487" s="156" t="inlineStr">
        <is>
          <t>EX-753</t>
        </is>
      </c>
      <c r="D1487" s="156" t="inlineStr">
        <is>
          <t>DT-528</t>
        </is>
      </c>
      <c r="E1487" s="156" t="inlineStr">
        <is>
          <t>OB</t>
        </is>
      </c>
      <c r="F1487" s="156" t="n">
        <v>3</v>
      </c>
      <c r="G1487" s="156" t="inlineStr"/>
      <c r="H1487" s="157">
        <f>IF($B1487="","",IF(ISNA(MATCH($B1487,MASTER_JAM!$Q$5:$Q$28,0)),"?",IF(MATCH($B1487,MASTER_JAM!$Q$5:$Q$28,0)&lt;=12,"DS","NS")))</f>
        <v/>
      </c>
      <c r="I1487" s="157">
        <f>IFERROR(INDEX(MASTER_JAM!$B$5:$B$94,MATCH($C1487,MASTER_JAM!$A$5:$A$94,0)),"")</f>
        <v/>
      </c>
      <c r="J1487" s="157">
        <f>IFERROR(INDEX(MASTER_JAM!$E$5:$E$94,MATCH($D1487,MASTER_JAM!$A$5:$A$94,0)),"")</f>
        <v/>
      </c>
      <c r="K1487" s="158">
        <f>IFERROR(INDEX(MASTER_JAM!$J$5:$O$12,MATCH($E1487,MASTER_JAM!$I$5:$I$12,0),MATCH($J1487,MASTER_JAM!$J$4:$O$4,0))+0,0)</f>
        <v/>
      </c>
      <c r="L1487" s="159">
        <f>N($F1487)*$K1487</f>
        <v/>
      </c>
      <c r="M1487" s="157">
        <f>IF($E1487="","",IF(OR($E1487="Coal",$E1487="Dirty Coal"),"MT","BCM"))</f>
        <v/>
      </c>
      <c r="N1487" s="157">
        <f>IF($E1487="","",IF(OR($E1487="Coal",$E1487="Dirty Coal"),"Coal","OB"))</f>
        <v/>
      </c>
      <c r="O1487" s="157">
        <f>IF($F1487="","",IF(COUNTIF(MASTER_JAM!$A$5:$A$94,$C1487)=0,"Digger tidak dikenal",IF($J1487="","Hauler tidak dikenal",IF($H1487="?","Jam salah",IF($K1487=0,"Faktor kosong",IF(SUMIFS(INPUT_DELAY!$E$5:$E$20000,INPUT_DELAY!$A$5:$A$20000,$A1487,INPUT_DELAY!$B$5:$B$20000,$B1487,INPUT_DELAY!$C$5:$C$20000,$C1487)+SUMIFS(INPUT_DELAY!$E$5:$E$20000,INPUT_DELAY!$A$5:$A$20000,$A1487,INPUT_DELAY!$B$5:$B$20000,$B1487,INPUT_DELAY!$C$5:$C$20000,"SEMUA")&gt;=60,"Delay 60 mnt tapi ada ritase","OK"))))))</f>
        <v/>
      </c>
      <c r="P1487" s="158">
        <f>IFERROR(INDEX(MASTER_JAM!$Z$5:$AC$10,MATCH($I1487,MASTER_JAM!$Y$5:$Y$10,0),MATCH($J1487,MASTER_JAM!$Z$4:$AC$4,0))+0,0)</f>
        <v/>
      </c>
      <c r="Q1487" s="158">
        <f>IF($P1487=0,0,$P1487+IFERROR(INDEX(MASTER_JAM!$H$5:$H$94,MATCH($C1487,MASTER_JAM!$A$5:$A$94,0))+0,MASTER_JAM!$AC$15)/1000*(60/MASTER_JAM!$AC$12+60/MASTER_JAM!$AC$13)+MASTER_JAM!$AC$14)</f>
        <v/>
      </c>
      <c r="R1487" s="158">
        <f>IF(N($F1487)=0,0,$F1487/SUMIFS(INPUT_RITASE!$F$5:$F$20000,INPUT_RITASE!$A$5:$A$20000,$A1487,INPUT_RITASE!$B$5:$B$20000,$B1487,INPUT_RITASE!$C$5:$C$20000,$C1487,INPUT_RITASE!$D$5:$D$20000,$D1487))</f>
        <v/>
      </c>
      <c r="S1487" s="158">
        <f>IF($Q1487=0,0,$R1487*$P1487/$Q1487)</f>
        <v/>
      </c>
    </row>
    <row r="1488">
      <c r="A1488" s="155" t="n">
        <v>46109</v>
      </c>
      <c r="B1488" s="156" t="inlineStr">
        <is>
          <t>15-16</t>
        </is>
      </c>
      <c r="C1488" s="156" t="inlineStr">
        <is>
          <t>EX-753</t>
        </is>
      </c>
      <c r="D1488" s="156" t="inlineStr">
        <is>
          <t>DT-513</t>
        </is>
      </c>
      <c r="E1488" s="156" t="inlineStr">
        <is>
          <t>OB</t>
        </is>
      </c>
      <c r="F1488" s="156" t="n">
        <v>3</v>
      </c>
      <c r="G1488" s="156" t="inlineStr"/>
      <c r="H1488" s="157">
        <f>IF($B1488="","",IF(ISNA(MATCH($B1488,MASTER_JAM!$Q$5:$Q$28,0)),"?",IF(MATCH($B1488,MASTER_JAM!$Q$5:$Q$28,0)&lt;=12,"DS","NS")))</f>
        <v/>
      </c>
      <c r="I1488" s="157">
        <f>IFERROR(INDEX(MASTER_JAM!$B$5:$B$94,MATCH($C1488,MASTER_JAM!$A$5:$A$94,0)),"")</f>
        <v/>
      </c>
      <c r="J1488" s="157">
        <f>IFERROR(INDEX(MASTER_JAM!$E$5:$E$94,MATCH($D1488,MASTER_JAM!$A$5:$A$94,0)),"")</f>
        <v/>
      </c>
      <c r="K1488" s="158">
        <f>IFERROR(INDEX(MASTER_JAM!$J$5:$O$12,MATCH($E1488,MASTER_JAM!$I$5:$I$12,0),MATCH($J1488,MASTER_JAM!$J$4:$O$4,0))+0,0)</f>
        <v/>
      </c>
      <c r="L1488" s="159">
        <f>N($F1488)*$K1488</f>
        <v/>
      </c>
      <c r="M1488" s="157">
        <f>IF($E1488="","",IF(OR($E1488="Coal",$E1488="Dirty Coal"),"MT","BCM"))</f>
        <v/>
      </c>
      <c r="N1488" s="157">
        <f>IF($E1488="","",IF(OR($E1488="Coal",$E1488="Dirty Coal"),"Coal","OB"))</f>
        <v/>
      </c>
      <c r="O1488" s="157">
        <f>IF($F1488="","",IF(COUNTIF(MASTER_JAM!$A$5:$A$94,$C1488)=0,"Digger tidak dikenal",IF($J1488="","Hauler tidak dikenal",IF($H1488="?","Jam salah",IF($K1488=0,"Faktor kosong",IF(SUMIFS(INPUT_DELAY!$E$5:$E$20000,INPUT_DELAY!$A$5:$A$20000,$A1488,INPUT_DELAY!$B$5:$B$20000,$B1488,INPUT_DELAY!$C$5:$C$20000,$C1488)+SUMIFS(INPUT_DELAY!$E$5:$E$20000,INPUT_DELAY!$A$5:$A$20000,$A1488,INPUT_DELAY!$B$5:$B$20000,$B1488,INPUT_DELAY!$C$5:$C$20000,"SEMUA")&gt;=60,"Delay 60 mnt tapi ada ritase","OK"))))))</f>
        <v/>
      </c>
      <c r="P1488" s="158">
        <f>IFERROR(INDEX(MASTER_JAM!$Z$5:$AC$10,MATCH($I1488,MASTER_JAM!$Y$5:$Y$10,0),MATCH($J1488,MASTER_JAM!$Z$4:$AC$4,0))+0,0)</f>
        <v/>
      </c>
      <c r="Q1488" s="158">
        <f>IF($P1488=0,0,$P1488+IFERROR(INDEX(MASTER_JAM!$H$5:$H$94,MATCH($C1488,MASTER_JAM!$A$5:$A$94,0))+0,MASTER_JAM!$AC$15)/1000*(60/MASTER_JAM!$AC$12+60/MASTER_JAM!$AC$13)+MASTER_JAM!$AC$14)</f>
        <v/>
      </c>
      <c r="R1488" s="158">
        <f>IF(N($F1488)=0,0,$F1488/SUMIFS(INPUT_RITASE!$F$5:$F$20000,INPUT_RITASE!$A$5:$A$20000,$A1488,INPUT_RITASE!$B$5:$B$20000,$B1488,INPUT_RITASE!$C$5:$C$20000,$C1488,INPUT_RITASE!$D$5:$D$20000,$D1488))</f>
        <v/>
      </c>
      <c r="S1488" s="158">
        <f>IF($Q1488=0,0,$R1488*$P1488/$Q1488)</f>
        <v/>
      </c>
    </row>
    <row r="1489">
      <c r="A1489" s="155" t="n">
        <v>46109</v>
      </c>
      <c r="B1489" s="156" t="inlineStr">
        <is>
          <t>15-16</t>
        </is>
      </c>
      <c r="C1489" s="156" t="inlineStr">
        <is>
          <t>EX-753</t>
        </is>
      </c>
      <c r="D1489" s="156" t="inlineStr">
        <is>
          <t>DT-503</t>
        </is>
      </c>
      <c r="E1489" s="156" t="inlineStr">
        <is>
          <t>OB</t>
        </is>
      </c>
      <c r="F1489" s="156" t="n">
        <v>2</v>
      </c>
      <c r="G1489" s="156" t="inlineStr"/>
      <c r="H1489" s="157">
        <f>IF($B1489="","",IF(ISNA(MATCH($B1489,MASTER_JAM!$Q$5:$Q$28,0)),"?",IF(MATCH($B1489,MASTER_JAM!$Q$5:$Q$28,0)&lt;=12,"DS","NS")))</f>
        <v/>
      </c>
      <c r="I1489" s="157">
        <f>IFERROR(INDEX(MASTER_JAM!$B$5:$B$94,MATCH($C1489,MASTER_JAM!$A$5:$A$94,0)),"")</f>
        <v/>
      </c>
      <c r="J1489" s="157">
        <f>IFERROR(INDEX(MASTER_JAM!$E$5:$E$94,MATCH($D1489,MASTER_JAM!$A$5:$A$94,0)),"")</f>
        <v/>
      </c>
      <c r="K1489" s="158">
        <f>IFERROR(INDEX(MASTER_JAM!$J$5:$O$12,MATCH($E1489,MASTER_JAM!$I$5:$I$12,0),MATCH($J1489,MASTER_JAM!$J$4:$O$4,0))+0,0)</f>
        <v/>
      </c>
      <c r="L1489" s="159">
        <f>N($F1489)*$K1489</f>
        <v/>
      </c>
      <c r="M1489" s="157">
        <f>IF($E1489="","",IF(OR($E1489="Coal",$E1489="Dirty Coal"),"MT","BCM"))</f>
        <v/>
      </c>
      <c r="N1489" s="157">
        <f>IF($E1489="","",IF(OR($E1489="Coal",$E1489="Dirty Coal"),"Coal","OB"))</f>
        <v/>
      </c>
      <c r="O1489" s="157">
        <f>IF($F1489="","",IF(COUNTIF(MASTER_JAM!$A$5:$A$94,$C1489)=0,"Digger tidak dikenal",IF($J1489="","Hauler tidak dikenal",IF($H1489="?","Jam salah",IF($K1489=0,"Faktor kosong",IF(SUMIFS(INPUT_DELAY!$E$5:$E$20000,INPUT_DELAY!$A$5:$A$20000,$A1489,INPUT_DELAY!$B$5:$B$20000,$B1489,INPUT_DELAY!$C$5:$C$20000,$C1489)+SUMIFS(INPUT_DELAY!$E$5:$E$20000,INPUT_DELAY!$A$5:$A$20000,$A1489,INPUT_DELAY!$B$5:$B$20000,$B1489,INPUT_DELAY!$C$5:$C$20000,"SEMUA")&gt;=60,"Delay 60 mnt tapi ada ritase","OK"))))))</f>
        <v/>
      </c>
      <c r="P1489" s="158">
        <f>IFERROR(INDEX(MASTER_JAM!$Z$5:$AC$10,MATCH($I1489,MASTER_JAM!$Y$5:$Y$10,0),MATCH($J1489,MASTER_JAM!$Z$4:$AC$4,0))+0,0)</f>
        <v/>
      </c>
      <c r="Q1489" s="158">
        <f>IF($P1489=0,0,$P1489+IFERROR(INDEX(MASTER_JAM!$H$5:$H$94,MATCH($C1489,MASTER_JAM!$A$5:$A$94,0))+0,MASTER_JAM!$AC$15)/1000*(60/MASTER_JAM!$AC$12+60/MASTER_JAM!$AC$13)+MASTER_JAM!$AC$14)</f>
        <v/>
      </c>
      <c r="R1489" s="158">
        <f>IF(N($F1489)=0,0,$F1489/SUMIFS(INPUT_RITASE!$F$5:$F$20000,INPUT_RITASE!$A$5:$A$20000,$A1489,INPUT_RITASE!$B$5:$B$20000,$B1489,INPUT_RITASE!$C$5:$C$20000,$C1489,INPUT_RITASE!$D$5:$D$20000,$D1489))</f>
        <v/>
      </c>
      <c r="S1489" s="158">
        <f>IF($Q1489=0,0,$R1489*$P1489/$Q1489)</f>
        <v/>
      </c>
    </row>
    <row r="1490">
      <c r="A1490" s="155" t="n">
        <v>46109</v>
      </c>
      <c r="B1490" s="156" t="inlineStr">
        <is>
          <t>16-17</t>
        </is>
      </c>
      <c r="C1490" s="156" t="inlineStr">
        <is>
          <t>EX-753</t>
        </is>
      </c>
      <c r="D1490" s="156" t="inlineStr">
        <is>
          <t>DT-503</t>
        </is>
      </c>
      <c r="E1490" s="156" t="inlineStr">
        <is>
          <t>OB</t>
        </is>
      </c>
      <c r="F1490" s="156" t="n">
        <v>4</v>
      </c>
      <c r="G1490" s="156" t="inlineStr"/>
      <c r="H1490" s="157">
        <f>IF($B1490="","",IF(ISNA(MATCH($B1490,MASTER_JAM!$Q$5:$Q$28,0)),"?",IF(MATCH($B1490,MASTER_JAM!$Q$5:$Q$28,0)&lt;=12,"DS","NS")))</f>
        <v/>
      </c>
      <c r="I1490" s="157">
        <f>IFERROR(INDEX(MASTER_JAM!$B$5:$B$94,MATCH($C1490,MASTER_JAM!$A$5:$A$94,0)),"")</f>
        <v/>
      </c>
      <c r="J1490" s="157">
        <f>IFERROR(INDEX(MASTER_JAM!$E$5:$E$94,MATCH($D1490,MASTER_JAM!$A$5:$A$94,0)),"")</f>
        <v/>
      </c>
      <c r="K1490" s="158">
        <f>IFERROR(INDEX(MASTER_JAM!$J$5:$O$12,MATCH($E1490,MASTER_JAM!$I$5:$I$12,0),MATCH($J1490,MASTER_JAM!$J$4:$O$4,0))+0,0)</f>
        <v/>
      </c>
      <c r="L1490" s="159">
        <f>N($F1490)*$K1490</f>
        <v/>
      </c>
      <c r="M1490" s="157">
        <f>IF($E1490="","",IF(OR($E1490="Coal",$E1490="Dirty Coal"),"MT","BCM"))</f>
        <v/>
      </c>
      <c r="N1490" s="157">
        <f>IF($E1490="","",IF(OR($E1490="Coal",$E1490="Dirty Coal"),"Coal","OB"))</f>
        <v/>
      </c>
      <c r="O1490" s="157">
        <f>IF($F1490="","",IF(COUNTIF(MASTER_JAM!$A$5:$A$94,$C1490)=0,"Digger tidak dikenal",IF($J1490="","Hauler tidak dikenal",IF($H1490="?","Jam salah",IF($K1490=0,"Faktor kosong",IF(SUMIFS(INPUT_DELAY!$E$5:$E$20000,INPUT_DELAY!$A$5:$A$20000,$A1490,INPUT_DELAY!$B$5:$B$20000,$B1490,INPUT_DELAY!$C$5:$C$20000,$C1490)+SUMIFS(INPUT_DELAY!$E$5:$E$20000,INPUT_DELAY!$A$5:$A$20000,$A1490,INPUT_DELAY!$B$5:$B$20000,$B1490,INPUT_DELAY!$C$5:$C$20000,"SEMUA")&gt;=60,"Delay 60 mnt tapi ada ritase","OK"))))))</f>
        <v/>
      </c>
      <c r="P1490" s="158">
        <f>IFERROR(INDEX(MASTER_JAM!$Z$5:$AC$10,MATCH($I1490,MASTER_JAM!$Y$5:$Y$10,0),MATCH($J1490,MASTER_JAM!$Z$4:$AC$4,0))+0,0)</f>
        <v/>
      </c>
      <c r="Q1490" s="158">
        <f>IF($P1490=0,0,$P1490+IFERROR(INDEX(MASTER_JAM!$H$5:$H$94,MATCH($C1490,MASTER_JAM!$A$5:$A$94,0))+0,MASTER_JAM!$AC$15)/1000*(60/MASTER_JAM!$AC$12+60/MASTER_JAM!$AC$13)+MASTER_JAM!$AC$14)</f>
        <v/>
      </c>
      <c r="R1490" s="158">
        <f>IF(N($F1490)=0,0,$F1490/SUMIFS(INPUT_RITASE!$F$5:$F$20000,INPUT_RITASE!$A$5:$A$20000,$A1490,INPUT_RITASE!$B$5:$B$20000,$B1490,INPUT_RITASE!$C$5:$C$20000,$C1490,INPUT_RITASE!$D$5:$D$20000,$D1490))</f>
        <v/>
      </c>
      <c r="S1490" s="158">
        <f>IF($Q1490=0,0,$R1490*$P1490/$Q1490)</f>
        <v/>
      </c>
    </row>
    <row r="1491">
      <c r="A1491" s="155" t="n">
        <v>46109</v>
      </c>
      <c r="B1491" s="156" t="inlineStr">
        <is>
          <t>16-17</t>
        </is>
      </c>
      <c r="C1491" s="156" t="inlineStr">
        <is>
          <t>EX-753</t>
        </is>
      </c>
      <c r="D1491" s="156" t="inlineStr">
        <is>
          <t>DT-528</t>
        </is>
      </c>
      <c r="E1491" s="156" t="inlineStr">
        <is>
          <t>OB</t>
        </is>
      </c>
      <c r="F1491" s="156" t="n">
        <v>3</v>
      </c>
      <c r="G1491" s="156" t="inlineStr"/>
      <c r="H1491" s="157">
        <f>IF($B1491="","",IF(ISNA(MATCH($B1491,MASTER_JAM!$Q$5:$Q$28,0)),"?",IF(MATCH($B1491,MASTER_JAM!$Q$5:$Q$28,0)&lt;=12,"DS","NS")))</f>
        <v/>
      </c>
      <c r="I1491" s="157">
        <f>IFERROR(INDEX(MASTER_JAM!$B$5:$B$94,MATCH($C1491,MASTER_JAM!$A$5:$A$94,0)),"")</f>
        <v/>
      </c>
      <c r="J1491" s="157">
        <f>IFERROR(INDEX(MASTER_JAM!$E$5:$E$94,MATCH($D1491,MASTER_JAM!$A$5:$A$94,0)),"")</f>
        <v/>
      </c>
      <c r="K1491" s="158">
        <f>IFERROR(INDEX(MASTER_JAM!$J$5:$O$12,MATCH($E1491,MASTER_JAM!$I$5:$I$12,0),MATCH($J1491,MASTER_JAM!$J$4:$O$4,0))+0,0)</f>
        <v/>
      </c>
      <c r="L1491" s="159">
        <f>N($F1491)*$K1491</f>
        <v/>
      </c>
      <c r="M1491" s="157">
        <f>IF($E1491="","",IF(OR($E1491="Coal",$E1491="Dirty Coal"),"MT","BCM"))</f>
        <v/>
      </c>
      <c r="N1491" s="157">
        <f>IF($E1491="","",IF(OR($E1491="Coal",$E1491="Dirty Coal"),"Coal","OB"))</f>
        <v/>
      </c>
      <c r="O1491" s="157">
        <f>IF($F1491="","",IF(COUNTIF(MASTER_JAM!$A$5:$A$94,$C1491)=0,"Digger tidak dikenal",IF($J1491="","Hauler tidak dikenal",IF($H1491="?","Jam salah",IF($K1491=0,"Faktor kosong",IF(SUMIFS(INPUT_DELAY!$E$5:$E$20000,INPUT_DELAY!$A$5:$A$20000,$A1491,INPUT_DELAY!$B$5:$B$20000,$B1491,INPUT_DELAY!$C$5:$C$20000,$C1491)+SUMIFS(INPUT_DELAY!$E$5:$E$20000,INPUT_DELAY!$A$5:$A$20000,$A1491,INPUT_DELAY!$B$5:$B$20000,$B1491,INPUT_DELAY!$C$5:$C$20000,"SEMUA")&gt;=60,"Delay 60 mnt tapi ada ritase","OK"))))))</f>
        <v/>
      </c>
      <c r="P1491" s="158">
        <f>IFERROR(INDEX(MASTER_JAM!$Z$5:$AC$10,MATCH($I1491,MASTER_JAM!$Y$5:$Y$10,0),MATCH($J1491,MASTER_JAM!$Z$4:$AC$4,0))+0,0)</f>
        <v/>
      </c>
      <c r="Q1491" s="158">
        <f>IF($P1491=0,0,$P1491+IFERROR(INDEX(MASTER_JAM!$H$5:$H$94,MATCH($C1491,MASTER_JAM!$A$5:$A$94,0))+0,MASTER_JAM!$AC$15)/1000*(60/MASTER_JAM!$AC$12+60/MASTER_JAM!$AC$13)+MASTER_JAM!$AC$14)</f>
        <v/>
      </c>
      <c r="R1491" s="158">
        <f>IF(N($F1491)=0,0,$F1491/SUMIFS(INPUT_RITASE!$F$5:$F$20000,INPUT_RITASE!$A$5:$A$20000,$A1491,INPUT_RITASE!$B$5:$B$20000,$B1491,INPUT_RITASE!$C$5:$C$20000,$C1491,INPUT_RITASE!$D$5:$D$20000,$D1491))</f>
        <v/>
      </c>
      <c r="S1491" s="158">
        <f>IF($Q1491=0,0,$R1491*$P1491/$Q1491)</f>
        <v/>
      </c>
    </row>
    <row r="1492">
      <c r="A1492" s="155" t="n">
        <v>46109</v>
      </c>
      <c r="B1492" s="156" t="inlineStr">
        <is>
          <t>16-17</t>
        </is>
      </c>
      <c r="C1492" s="156" t="inlineStr">
        <is>
          <t>EX-753</t>
        </is>
      </c>
      <c r="D1492" s="156" t="inlineStr">
        <is>
          <t>DT-523</t>
        </is>
      </c>
      <c r="E1492" s="156" t="inlineStr">
        <is>
          <t>OB</t>
        </is>
      </c>
      <c r="F1492" s="156" t="n">
        <v>3</v>
      </c>
      <c r="G1492" s="156" t="inlineStr"/>
      <c r="H1492" s="157">
        <f>IF($B1492="","",IF(ISNA(MATCH($B1492,MASTER_JAM!$Q$5:$Q$28,0)),"?",IF(MATCH($B1492,MASTER_JAM!$Q$5:$Q$28,0)&lt;=12,"DS","NS")))</f>
        <v/>
      </c>
      <c r="I1492" s="157">
        <f>IFERROR(INDEX(MASTER_JAM!$B$5:$B$94,MATCH($C1492,MASTER_JAM!$A$5:$A$94,0)),"")</f>
        <v/>
      </c>
      <c r="J1492" s="157">
        <f>IFERROR(INDEX(MASTER_JAM!$E$5:$E$94,MATCH($D1492,MASTER_JAM!$A$5:$A$94,0)),"")</f>
        <v/>
      </c>
      <c r="K1492" s="158">
        <f>IFERROR(INDEX(MASTER_JAM!$J$5:$O$12,MATCH($E1492,MASTER_JAM!$I$5:$I$12,0),MATCH($J1492,MASTER_JAM!$J$4:$O$4,0))+0,0)</f>
        <v/>
      </c>
      <c r="L1492" s="159">
        <f>N($F1492)*$K1492</f>
        <v/>
      </c>
      <c r="M1492" s="157">
        <f>IF($E1492="","",IF(OR($E1492="Coal",$E1492="Dirty Coal"),"MT","BCM"))</f>
        <v/>
      </c>
      <c r="N1492" s="157">
        <f>IF($E1492="","",IF(OR($E1492="Coal",$E1492="Dirty Coal"),"Coal","OB"))</f>
        <v/>
      </c>
      <c r="O1492" s="157">
        <f>IF($F1492="","",IF(COUNTIF(MASTER_JAM!$A$5:$A$94,$C1492)=0,"Digger tidak dikenal",IF($J1492="","Hauler tidak dikenal",IF($H1492="?","Jam salah",IF($K1492=0,"Faktor kosong",IF(SUMIFS(INPUT_DELAY!$E$5:$E$20000,INPUT_DELAY!$A$5:$A$20000,$A1492,INPUT_DELAY!$B$5:$B$20000,$B1492,INPUT_DELAY!$C$5:$C$20000,$C1492)+SUMIFS(INPUT_DELAY!$E$5:$E$20000,INPUT_DELAY!$A$5:$A$20000,$A1492,INPUT_DELAY!$B$5:$B$20000,$B1492,INPUT_DELAY!$C$5:$C$20000,"SEMUA")&gt;=60,"Delay 60 mnt tapi ada ritase","OK"))))))</f>
        <v/>
      </c>
      <c r="P1492" s="158">
        <f>IFERROR(INDEX(MASTER_JAM!$Z$5:$AC$10,MATCH($I1492,MASTER_JAM!$Y$5:$Y$10,0),MATCH($J1492,MASTER_JAM!$Z$4:$AC$4,0))+0,0)</f>
        <v/>
      </c>
      <c r="Q1492" s="158">
        <f>IF($P1492=0,0,$P1492+IFERROR(INDEX(MASTER_JAM!$H$5:$H$94,MATCH($C1492,MASTER_JAM!$A$5:$A$94,0))+0,MASTER_JAM!$AC$15)/1000*(60/MASTER_JAM!$AC$12+60/MASTER_JAM!$AC$13)+MASTER_JAM!$AC$14)</f>
        <v/>
      </c>
      <c r="R1492" s="158">
        <f>IF(N($F1492)=0,0,$F1492/SUMIFS(INPUT_RITASE!$F$5:$F$20000,INPUT_RITASE!$A$5:$A$20000,$A1492,INPUT_RITASE!$B$5:$B$20000,$B1492,INPUT_RITASE!$C$5:$C$20000,$C1492,INPUT_RITASE!$D$5:$D$20000,$D1492))</f>
        <v/>
      </c>
      <c r="S1492" s="158">
        <f>IF($Q1492=0,0,$R1492*$P1492/$Q1492)</f>
        <v/>
      </c>
    </row>
    <row r="1493">
      <c r="A1493" s="155" t="n">
        <v>46109</v>
      </c>
      <c r="B1493" s="156" t="inlineStr">
        <is>
          <t>16-17</t>
        </is>
      </c>
      <c r="C1493" s="156" t="inlineStr">
        <is>
          <t>EX-753</t>
        </is>
      </c>
      <c r="D1493" s="156" t="inlineStr">
        <is>
          <t>DT-506</t>
        </is>
      </c>
      <c r="E1493" s="156" t="inlineStr">
        <is>
          <t>OB</t>
        </is>
      </c>
      <c r="F1493" s="156" t="n">
        <v>3</v>
      </c>
      <c r="G1493" s="156" t="inlineStr"/>
      <c r="H1493" s="157">
        <f>IF($B1493="","",IF(ISNA(MATCH($B1493,MASTER_JAM!$Q$5:$Q$28,0)),"?",IF(MATCH($B1493,MASTER_JAM!$Q$5:$Q$28,0)&lt;=12,"DS","NS")))</f>
        <v/>
      </c>
      <c r="I1493" s="157">
        <f>IFERROR(INDEX(MASTER_JAM!$B$5:$B$94,MATCH($C1493,MASTER_JAM!$A$5:$A$94,0)),"")</f>
        <v/>
      </c>
      <c r="J1493" s="157">
        <f>IFERROR(INDEX(MASTER_JAM!$E$5:$E$94,MATCH($D1493,MASTER_JAM!$A$5:$A$94,0)),"")</f>
        <v/>
      </c>
      <c r="K1493" s="158">
        <f>IFERROR(INDEX(MASTER_JAM!$J$5:$O$12,MATCH($E1493,MASTER_JAM!$I$5:$I$12,0),MATCH($J1493,MASTER_JAM!$J$4:$O$4,0))+0,0)</f>
        <v/>
      </c>
      <c r="L1493" s="159">
        <f>N($F1493)*$K1493</f>
        <v/>
      </c>
      <c r="M1493" s="157">
        <f>IF($E1493="","",IF(OR($E1493="Coal",$E1493="Dirty Coal"),"MT","BCM"))</f>
        <v/>
      </c>
      <c r="N1493" s="157">
        <f>IF($E1493="","",IF(OR($E1493="Coal",$E1493="Dirty Coal"),"Coal","OB"))</f>
        <v/>
      </c>
      <c r="O1493" s="157">
        <f>IF($F1493="","",IF(COUNTIF(MASTER_JAM!$A$5:$A$94,$C1493)=0,"Digger tidak dikenal",IF($J1493="","Hauler tidak dikenal",IF($H1493="?","Jam salah",IF($K1493=0,"Faktor kosong",IF(SUMIFS(INPUT_DELAY!$E$5:$E$20000,INPUT_DELAY!$A$5:$A$20000,$A1493,INPUT_DELAY!$B$5:$B$20000,$B1493,INPUT_DELAY!$C$5:$C$20000,$C1493)+SUMIFS(INPUT_DELAY!$E$5:$E$20000,INPUT_DELAY!$A$5:$A$20000,$A1493,INPUT_DELAY!$B$5:$B$20000,$B1493,INPUT_DELAY!$C$5:$C$20000,"SEMUA")&gt;=60,"Delay 60 mnt tapi ada ritase","OK"))))))</f>
        <v/>
      </c>
      <c r="P1493" s="158">
        <f>IFERROR(INDEX(MASTER_JAM!$Z$5:$AC$10,MATCH($I1493,MASTER_JAM!$Y$5:$Y$10,0),MATCH($J1493,MASTER_JAM!$Z$4:$AC$4,0))+0,0)</f>
        <v/>
      </c>
      <c r="Q1493" s="158">
        <f>IF($P1493=0,0,$P1493+IFERROR(INDEX(MASTER_JAM!$H$5:$H$94,MATCH($C1493,MASTER_JAM!$A$5:$A$94,0))+0,MASTER_JAM!$AC$15)/1000*(60/MASTER_JAM!$AC$12+60/MASTER_JAM!$AC$13)+MASTER_JAM!$AC$14)</f>
        <v/>
      </c>
      <c r="R1493" s="158">
        <f>IF(N($F1493)=0,0,$F1493/SUMIFS(INPUT_RITASE!$F$5:$F$20000,INPUT_RITASE!$A$5:$A$20000,$A1493,INPUT_RITASE!$B$5:$B$20000,$B1493,INPUT_RITASE!$C$5:$C$20000,$C1493,INPUT_RITASE!$D$5:$D$20000,$D1493))</f>
        <v/>
      </c>
      <c r="S1493" s="158">
        <f>IF($Q1493=0,0,$R1493*$P1493/$Q1493)</f>
        <v/>
      </c>
    </row>
    <row r="1494">
      <c r="A1494" s="155" t="n">
        <v>46109</v>
      </c>
      <c r="B1494" s="156" t="inlineStr">
        <is>
          <t>17-18</t>
        </is>
      </c>
      <c r="C1494" s="156" t="inlineStr">
        <is>
          <t>EX-753</t>
        </is>
      </c>
      <c r="D1494" s="156" t="inlineStr">
        <is>
          <t>DT-522</t>
        </is>
      </c>
      <c r="E1494" s="156" t="inlineStr">
        <is>
          <t>OB</t>
        </is>
      </c>
      <c r="F1494" s="156" t="n">
        <v>3</v>
      </c>
      <c r="G1494" s="156" t="inlineStr"/>
      <c r="H1494" s="157">
        <f>IF($B1494="","",IF(ISNA(MATCH($B1494,MASTER_JAM!$Q$5:$Q$28,0)),"?",IF(MATCH($B1494,MASTER_JAM!$Q$5:$Q$28,0)&lt;=12,"DS","NS")))</f>
        <v/>
      </c>
      <c r="I1494" s="157">
        <f>IFERROR(INDEX(MASTER_JAM!$B$5:$B$94,MATCH($C1494,MASTER_JAM!$A$5:$A$94,0)),"")</f>
        <v/>
      </c>
      <c r="J1494" s="157">
        <f>IFERROR(INDEX(MASTER_JAM!$E$5:$E$94,MATCH($D1494,MASTER_JAM!$A$5:$A$94,0)),"")</f>
        <v/>
      </c>
      <c r="K1494" s="158">
        <f>IFERROR(INDEX(MASTER_JAM!$J$5:$O$12,MATCH($E1494,MASTER_JAM!$I$5:$I$12,0),MATCH($J1494,MASTER_JAM!$J$4:$O$4,0))+0,0)</f>
        <v/>
      </c>
      <c r="L1494" s="159">
        <f>N($F1494)*$K1494</f>
        <v/>
      </c>
      <c r="M1494" s="157">
        <f>IF($E1494="","",IF(OR($E1494="Coal",$E1494="Dirty Coal"),"MT","BCM"))</f>
        <v/>
      </c>
      <c r="N1494" s="157">
        <f>IF($E1494="","",IF(OR($E1494="Coal",$E1494="Dirty Coal"),"Coal","OB"))</f>
        <v/>
      </c>
      <c r="O1494" s="157">
        <f>IF($F1494="","",IF(COUNTIF(MASTER_JAM!$A$5:$A$94,$C1494)=0,"Digger tidak dikenal",IF($J1494="","Hauler tidak dikenal",IF($H1494="?","Jam salah",IF($K1494=0,"Faktor kosong",IF(SUMIFS(INPUT_DELAY!$E$5:$E$20000,INPUT_DELAY!$A$5:$A$20000,$A1494,INPUT_DELAY!$B$5:$B$20000,$B1494,INPUT_DELAY!$C$5:$C$20000,$C1494)+SUMIFS(INPUT_DELAY!$E$5:$E$20000,INPUT_DELAY!$A$5:$A$20000,$A1494,INPUT_DELAY!$B$5:$B$20000,$B1494,INPUT_DELAY!$C$5:$C$20000,"SEMUA")&gt;=60,"Delay 60 mnt tapi ada ritase","OK"))))))</f>
        <v/>
      </c>
      <c r="P1494" s="158">
        <f>IFERROR(INDEX(MASTER_JAM!$Z$5:$AC$10,MATCH($I1494,MASTER_JAM!$Y$5:$Y$10,0),MATCH($J1494,MASTER_JAM!$Z$4:$AC$4,0))+0,0)</f>
        <v/>
      </c>
      <c r="Q1494" s="158">
        <f>IF($P1494=0,0,$P1494+IFERROR(INDEX(MASTER_JAM!$H$5:$H$94,MATCH($C1494,MASTER_JAM!$A$5:$A$94,0))+0,MASTER_JAM!$AC$15)/1000*(60/MASTER_JAM!$AC$12+60/MASTER_JAM!$AC$13)+MASTER_JAM!$AC$14)</f>
        <v/>
      </c>
      <c r="R1494" s="158">
        <f>IF(N($F1494)=0,0,$F1494/SUMIFS(INPUT_RITASE!$F$5:$F$20000,INPUT_RITASE!$A$5:$A$20000,$A1494,INPUT_RITASE!$B$5:$B$20000,$B1494,INPUT_RITASE!$C$5:$C$20000,$C1494,INPUT_RITASE!$D$5:$D$20000,$D1494))</f>
        <v/>
      </c>
      <c r="S1494" s="158">
        <f>IF($Q1494=0,0,$R1494*$P1494/$Q1494)</f>
        <v/>
      </c>
    </row>
    <row r="1495">
      <c r="A1495" s="155" t="n">
        <v>46109</v>
      </c>
      <c r="B1495" s="156" t="inlineStr">
        <is>
          <t>17-18</t>
        </is>
      </c>
      <c r="C1495" s="156" t="inlineStr">
        <is>
          <t>EX-753</t>
        </is>
      </c>
      <c r="D1495" s="156" t="inlineStr">
        <is>
          <t>DT-508</t>
        </is>
      </c>
      <c r="E1495" s="156" t="inlineStr">
        <is>
          <t>OB</t>
        </is>
      </c>
      <c r="F1495" s="156" t="n">
        <v>2</v>
      </c>
      <c r="G1495" s="156" t="inlineStr"/>
      <c r="H1495" s="157">
        <f>IF($B1495="","",IF(ISNA(MATCH($B1495,MASTER_JAM!$Q$5:$Q$28,0)),"?",IF(MATCH($B1495,MASTER_JAM!$Q$5:$Q$28,0)&lt;=12,"DS","NS")))</f>
        <v/>
      </c>
      <c r="I1495" s="157">
        <f>IFERROR(INDEX(MASTER_JAM!$B$5:$B$94,MATCH($C1495,MASTER_JAM!$A$5:$A$94,0)),"")</f>
        <v/>
      </c>
      <c r="J1495" s="157">
        <f>IFERROR(INDEX(MASTER_JAM!$E$5:$E$94,MATCH($D1495,MASTER_JAM!$A$5:$A$94,0)),"")</f>
        <v/>
      </c>
      <c r="K1495" s="158">
        <f>IFERROR(INDEX(MASTER_JAM!$J$5:$O$12,MATCH($E1495,MASTER_JAM!$I$5:$I$12,0),MATCH($J1495,MASTER_JAM!$J$4:$O$4,0))+0,0)</f>
        <v/>
      </c>
      <c r="L1495" s="159">
        <f>N($F1495)*$K1495</f>
        <v/>
      </c>
      <c r="M1495" s="157">
        <f>IF($E1495="","",IF(OR($E1495="Coal",$E1495="Dirty Coal"),"MT","BCM"))</f>
        <v/>
      </c>
      <c r="N1495" s="157">
        <f>IF($E1495="","",IF(OR($E1495="Coal",$E1495="Dirty Coal"),"Coal","OB"))</f>
        <v/>
      </c>
      <c r="O1495" s="157">
        <f>IF($F1495="","",IF(COUNTIF(MASTER_JAM!$A$5:$A$94,$C1495)=0,"Digger tidak dikenal",IF($J1495="","Hauler tidak dikenal",IF($H1495="?","Jam salah",IF($K1495=0,"Faktor kosong",IF(SUMIFS(INPUT_DELAY!$E$5:$E$20000,INPUT_DELAY!$A$5:$A$20000,$A1495,INPUT_DELAY!$B$5:$B$20000,$B1495,INPUT_DELAY!$C$5:$C$20000,$C1495)+SUMIFS(INPUT_DELAY!$E$5:$E$20000,INPUT_DELAY!$A$5:$A$20000,$A1495,INPUT_DELAY!$B$5:$B$20000,$B1495,INPUT_DELAY!$C$5:$C$20000,"SEMUA")&gt;=60,"Delay 60 mnt tapi ada ritase","OK"))))))</f>
        <v/>
      </c>
      <c r="P1495" s="158">
        <f>IFERROR(INDEX(MASTER_JAM!$Z$5:$AC$10,MATCH($I1495,MASTER_JAM!$Y$5:$Y$10,0),MATCH($J1495,MASTER_JAM!$Z$4:$AC$4,0))+0,0)</f>
        <v/>
      </c>
      <c r="Q1495" s="158">
        <f>IF($P1495=0,0,$P1495+IFERROR(INDEX(MASTER_JAM!$H$5:$H$94,MATCH($C1495,MASTER_JAM!$A$5:$A$94,0))+0,MASTER_JAM!$AC$15)/1000*(60/MASTER_JAM!$AC$12+60/MASTER_JAM!$AC$13)+MASTER_JAM!$AC$14)</f>
        <v/>
      </c>
      <c r="R1495" s="158">
        <f>IF(N($F1495)=0,0,$F1495/SUMIFS(INPUT_RITASE!$F$5:$F$20000,INPUT_RITASE!$A$5:$A$20000,$A1495,INPUT_RITASE!$B$5:$B$20000,$B1495,INPUT_RITASE!$C$5:$C$20000,$C1495,INPUT_RITASE!$D$5:$D$20000,$D1495))</f>
        <v/>
      </c>
      <c r="S1495" s="158">
        <f>IF($Q1495=0,0,$R1495*$P1495/$Q1495)</f>
        <v/>
      </c>
    </row>
    <row r="1496">
      <c r="A1496" s="155" t="n">
        <v>46109</v>
      </c>
      <c r="B1496" s="156" t="inlineStr">
        <is>
          <t>18-19</t>
        </is>
      </c>
      <c r="C1496" s="156" t="inlineStr">
        <is>
          <t>EX-2101</t>
        </is>
      </c>
      <c r="D1496" s="156" t="inlineStr">
        <is>
          <t>HD-903</t>
        </is>
      </c>
      <c r="E1496" s="156" t="inlineStr">
        <is>
          <t>OB</t>
        </is>
      </c>
      <c r="F1496" s="156" t="n">
        <v>3</v>
      </c>
      <c r="G1496" s="156" t="inlineStr"/>
      <c r="H1496" s="157">
        <f>IF($B1496="","",IF(ISNA(MATCH($B1496,MASTER_JAM!$Q$5:$Q$28,0)),"?",IF(MATCH($B1496,MASTER_JAM!$Q$5:$Q$28,0)&lt;=12,"DS","NS")))</f>
        <v/>
      </c>
      <c r="I1496" s="157">
        <f>IFERROR(INDEX(MASTER_JAM!$B$5:$B$94,MATCH($C1496,MASTER_JAM!$A$5:$A$94,0)),"")</f>
        <v/>
      </c>
      <c r="J1496" s="157">
        <f>IFERROR(INDEX(MASTER_JAM!$E$5:$E$94,MATCH($D1496,MASTER_JAM!$A$5:$A$94,0)),"")</f>
        <v/>
      </c>
      <c r="K1496" s="158">
        <f>IFERROR(INDEX(MASTER_JAM!$J$5:$O$12,MATCH($E1496,MASTER_JAM!$I$5:$I$12,0),MATCH($J1496,MASTER_JAM!$J$4:$O$4,0))+0,0)</f>
        <v/>
      </c>
      <c r="L1496" s="159">
        <f>N($F1496)*$K1496</f>
        <v/>
      </c>
      <c r="M1496" s="157">
        <f>IF($E1496="","",IF(OR($E1496="Coal",$E1496="Dirty Coal"),"MT","BCM"))</f>
        <v/>
      </c>
      <c r="N1496" s="157">
        <f>IF($E1496="","",IF(OR($E1496="Coal",$E1496="Dirty Coal"),"Coal","OB"))</f>
        <v/>
      </c>
      <c r="O1496" s="157">
        <f>IF($F1496="","",IF(COUNTIF(MASTER_JAM!$A$5:$A$94,$C1496)=0,"Digger tidak dikenal",IF($J1496="","Hauler tidak dikenal",IF($H1496="?","Jam salah",IF($K1496=0,"Faktor kosong",IF(SUMIFS(INPUT_DELAY!$E$5:$E$20000,INPUT_DELAY!$A$5:$A$20000,$A1496,INPUT_DELAY!$B$5:$B$20000,$B1496,INPUT_DELAY!$C$5:$C$20000,$C1496)+SUMIFS(INPUT_DELAY!$E$5:$E$20000,INPUT_DELAY!$A$5:$A$20000,$A1496,INPUT_DELAY!$B$5:$B$20000,$B1496,INPUT_DELAY!$C$5:$C$20000,"SEMUA")&gt;=60,"Delay 60 mnt tapi ada ritase","OK"))))))</f>
        <v/>
      </c>
      <c r="P1496" s="158">
        <f>IFERROR(INDEX(MASTER_JAM!$Z$5:$AC$10,MATCH($I1496,MASTER_JAM!$Y$5:$Y$10,0),MATCH($J1496,MASTER_JAM!$Z$4:$AC$4,0))+0,0)</f>
        <v/>
      </c>
      <c r="Q1496" s="158">
        <f>IF($P1496=0,0,$P1496+IFERROR(INDEX(MASTER_JAM!$H$5:$H$94,MATCH($C1496,MASTER_JAM!$A$5:$A$94,0))+0,MASTER_JAM!$AC$15)/1000*(60/MASTER_JAM!$AC$12+60/MASTER_JAM!$AC$13)+MASTER_JAM!$AC$14)</f>
        <v/>
      </c>
      <c r="R1496" s="158">
        <f>IF(N($F1496)=0,0,$F1496/SUMIFS(INPUT_RITASE!$F$5:$F$20000,INPUT_RITASE!$A$5:$A$20000,$A1496,INPUT_RITASE!$B$5:$B$20000,$B1496,INPUT_RITASE!$C$5:$C$20000,$C1496,INPUT_RITASE!$D$5:$D$20000,$D1496))</f>
        <v/>
      </c>
      <c r="S1496" s="158">
        <f>IF($Q1496=0,0,$R1496*$P1496/$Q1496)</f>
        <v/>
      </c>
    </row>
    <row r="1497">
      <c r="A1497" s="155" t="n">
        <v>46109</v>
      </c>
      <c r="B1497" s="156" t="inlineStr">
        <is>
          <t>18-19</t>
        </is>
      </c>
      <c r="C1497" s="156" t="inlineStr">
        <is>
          <t>EX-2101</t>
        </is>
      </c>
      <c r="D1497" s="156" t="inlineStr">
        <is>
          <t>HD-902</t>
        </is>
      </c>
      <c r="E1497" s="156" t="inlineStr">
        <is>
          <t>OB</t>
        </is>
      </c>
      <c r="F1497" s="156" t="n">
        <v>2</v>
      </c>
      <c r="G1497" s="156" t="inlineStr"/>
      <c r="H1497" s="157">
        <f>IF($B1497="","",IF(ISNA(MATCH($B1497,MASTER_JAM!$Q$5:$Q$28,0)),"?",IF(MATCH($B1497,MASTER_JAM!$Q$5:$Q$28,0)&lt;=12,"DS","NS")))</f>
        <v/>
      </c>
      <c r="I1497" s="157">
        <f>IFERROR(INDEX(MASTER_JAM!$B$5:$B$94,MATCH($C1497,MASTER_JAM!$A$5:$A$94,0)),"")</f>
        <v/>
      </c>
      <c r="J1497" s="157">
        <f>IFERROR(INDEX(MASTER_JAM!$E$5:$E$94,MATCH($D1497,MASTER_JAM!$A$5:$A$94,0)),"")</f>
        <v/>
      </c>
      <c r="K1497" s="158">
        <f>IFERROR(INDEX(MASTER_JAM!$J$5:$O$12,MATCH($E1497,MASTER_JAM!$I$5:$I$12,0),MATCH($J1497,MASTER_JAM!$J$4:$O$4,0))+0,0)</f>
        <v/>
      </c>
      <c r="L1497" s="159">
        <f>N($F1497)*$K1497</f>
        <v/>
      </c>
      <c r="M1497" s="157">
        <f>IF($E1497="","",IF(OR($E1497="Coal",$E1497="Dirty Coal"),"MT","BCM"))</f>
        <v/>
      </c>
      <c r="N1497" s="157">
        <f>IF($E1497="","",IF(OR($E1497="Coal",$E1497="Dirty Coal"),"Coal","OB"))</f>
        <v/>
      </c>
      <c r="O1497" s="157">
        <f>IF($F1497="","",IF(COUNTIF(MASTER_JAM!$A$5:$A$94,$C1497)=0,"Digger tidak dikenal",IF($J1497="","Hauler tidak dikenal",IF($H1497="?","Jam salah",IF($K1497=0,"Faktor kosong",IF(SUMIFS(INPUT_DELAY!$E$5:$E$20000,INPUT_DELAY!$A$5:$A$20000,$A1497,INPUT_DELAY!$B$5:$B$20000,$B1497,INPUT_DELAY!$C$5:$C$20000,$C1497)+SUMIFS(INPUT_DELAY!$E$5:$E$20000,INPUT_DELAY!$A$5:$A$20000,$A1497,INPUT_DELAY!$B$5:$B$20000,$B1497,INPUT_DELAY!$C$5:$C$20000,"SEMUA")&gt;=60,"Delay 60 mnt tapi ada ritase","OK"))))))</f>
        <v/>
      </c>
      <c r="P1497" s="158">
        <f>IFERROR(INDEX(MASTER_JAM!$Z$5:$AC$10,MATCH($I1497,MASTER_JAM!$Y$5:$Y$10,0),MATCH($J1497,MASTER_JAM!$Z$4:$AC$4,0))+0,0)</f>
        <v/>
      </c>
      <c r="Q1497" s="158">
        <f>IF($P1497=0,0,$P1497+IFERROR(INDEX(MASTER_JAM!$H$5:$H$94,MATCH($C1497,MASTER_JAM!$A$5:$A$94,0))+0,MASTER_JAM!$AC$15)/1000*(60/MASTER_JAM!$AC$12+60/MASTER_JAM!$AC$13)+MASTER_JAM!$AC$14)</f>
        <v/>
      </c>
      <c r="R1497" s="158">
        <f>IF(N($F1497)=0,0,$F1497/SUMIFS(INPUT_RITASE!$F$5:$F$20000,INPUT_RITASE!$A$5:$A$20000,$A1497,INPUT_RITASE!$B$5:$B$20000,$B1497,INPUT_RITASE!$C$5:$C$20000,$C1497,INPUT_RITASE!$D$5:$D$20000,$D1497))</f>
        <v/>
      </c>
      <c r="S1497" s="158">
        <f>IF($Q1497=0,0,$R1497*$P1497/$Q1497)</f>
        <v/>
      </c>
    </row>
    <row r="1498">
      <c r="A1498" s="155" t="n">
        <v>46109</v>
      </c>
      <c r="B1498" s="156" t="inlineStr">
        <is>
          <t>18-19</t>
        </is>
      </c>
      <c r="C1498" s="156" t="inlineStr">
        <is>
          <t>EX-335</t>
        </is>
      </c>
      <c r="D1498" s="156" t="inlineStr">
        <is>
          <t>DT-812</t>
        </is>
      </c>
      <c r="E1498" s="156" t="inlineStr">
        <is>
          <t>Coal</t>
        </is>
      </c>
      <c r="F1498" s="156" t="n">
        <v>4</v>
      </c>
      <c r="G1498" s="156" t="inlineStr"/>
      <c r="H1498" s="157">
        <f>IF($B1498="","",IF(ISNA(MATCH($B1498,MASTER_JAM!$Q$5:$Q$28,0)),"?",IF(MATCH($B1498,MASTER_JAM!$Q$5:$Q$28,0)&lt;=12,"DS","NS")))</f>
        <v/>
      </c>
      <c r="I1498" s="157">
        <f>IFERROR(INDEX(MASTER_JAM!$B$5:$B$94,MATCH($C1498,MASTER_JAM!$A$5:$A$94,0)),"")</f>
        <v/>
      </c>
      <c r="J1498" s="157">
        <f>IFERROR(INDEX(MASTER_JAM!$E$5:$E$94,MATCH($D1498,MASTER_JAM!$A$5:$A$94,0)),"")</f>
        <v/>
      </c>
      <c r="K1498" s="158">
        <f>IFERROR(INDEX(MASTER_JAM!$J$5:$O$12,MATCH($E1498,MASTER_JAM!$I$5:$I$12,0),MATCH($J1498,MASTER_JAM!$J$4:$O$4,0))+0,0)</f>
        <v/>
      </c>
      <c r="L1498" s="159">
        <f>N($F1498)*$K1498</f>
        <v/>
      </c>
      <c r="M1498" s="157">
        <f>IF($E1498="","",IF(OR($E1498="Coal",$E1498="Dirty Coal"),"MT","BCM"))</f>
        <v/>
      </c>
      <c r="N1498" s="157">
        <f>IF($E1498="","",IF(OR($E1498="Coal",$E1498="Dirty Coal"),"Coal","OB"))</f>
        <v/>
      </c>
      <c r="O1498" s="157">
        <f>IF($F1498="","",IF(COUNTIF(MASTER_JAM!$A$5:$A$94,$C1498)=0,"Digger tidak dikenal",IF($J1498="","Hauler tidak dikenal",IF($H1498="?","Jam salah",IF($K1498=0,"Faktor kosong",IF(SUMIFS(INPUT_DELAY!$E$5:$E$20000,INPUT_DELAY!$A$5:$A$20000,$A1498,INPUT_DELAY!$B$5:$B$20000,$B1498,INPUT_DELAY!$C$5:$C$20000,$C1498)+SUMIFS(INPUT_DELAY!$E$5:$E$20000,INPUT_DELAY!$A$5:$A$20000,$A1498,INPUT_DELAY!$B$5:$B$20000,$B1498,INPUT_DELAY!$C$5:$C$20000,"SEMUA")&gt;=60,"Delay 60 mnt tapi ada ritase","OK"))))))</f>
        <v/>
      </c>
      <c r="P1498" s="158">
        <f>IFERROR(INDEX(MASTER_JAM!$Z$5:$AC$10,MATCH($I1498,MASTER_JAM!$Y$5:$Y$10,0),MATCH($J1498,MASTER_JAM!$Z$4:$AC$4,0))+0,0)</f>
        <v/>
      </c>
      <c r="Q1498" s="158">
        <f>IF($P1498=0,0,$P1498+IFERROR(INDEX(MASTER_JAM!$H$5:$H$94,MATCH($C1498,MASTER_JAM!$A$5:$A$94,0))+0,MASTER_JAM!$AC$15)/1000*(60/MASTER_JAM!$AC$12+60/MASTER_JAM!$AC$13)+MASTER_JAM!$AC$14)</f>
        <v/>
      </c>
      <c r="R1498" s="158">
        <f>IF(N($F1498)=0,0,$F1498/SUMIFS(INPUT_RITASE!$F$5:$F$20000,INPUT_RITASE!$A$5:$A$20000,$A1498,INPUT_RITASE!$B$5:$B$20000,$B1498,INPUT_RITASE!$C$5:$C$20000,$C1498,INPUT_RITASE!$D$5:$D$20000,$D1498))</f>
        <v/>
      </c>
      <c r="S1498" s="158">
        <f>IF($Q1498=0,0,$R1498*$P1498/$Q1498)</f>
        <v/>
      </c>
    </row>
    <row r="1499">
      <c r="A1499" s="155" t="n">
        <v>46109</v>
      </c>
      <c r="B1499" s="156" t="inlineStr">
        <is>
          <t>18-19</t>
        </is>
      </c>
      <c r="C1499" s="156" t="inlineStr">
        <is>
          <t>EX-335</t>
        </is>
      </c>
      <c r="D1499" s="156" t="inlineStr">
        <is>
          <t>DT-810</t>
        </is>
      </c>
      <c r="E1499" s="156" t="inlineStr">
        <is>
          <t>Coal</t>
        </is>
      </c>
      <c r="F1499" s="156" t="n">
        <v>3</v>
      </c>
      <c r="G1499" s="156" t="inlineStr"/>
      <c r="H1499" s="157">
        <f>IF($B1499="","",IF(ISNA(MATCH($B1499,MASTER_JAM!$Q$5:$Q$28,0)),"?",IF(MATCH($B1499,MASTER_JAM!$Q$5:$Q$28,0)&lt;=12,"DS","NS")))</f>
        <v/>
      </c>
      <c r="I1499" s="157">
        <f>IFERROR(INDEX(MASTER_JAM!$B$5:$B$94,MATCH($C1499,MASTER_JAM!$A$5:$A$94,0)),"")</f>
        <v/>
      </c>
      <c r="J1499" s="157">
        <f>IFERROR(INDEX(MASTER_JAM!$E$5:$E$94,MATCH($D1499,MASTER_JAM!$A$5:$A$94,0)),"")</f>
        <v/>
      </c>
      <c r="K1499" s="158">
        <f>IFERROR(INDEX(MASTER_JAM!$J$5:$O$12,MATCH($E1499,MASTER_JAM!$I$5:$I$12,0),MATCH($J1499,MASTER_JAM!$J$4:$O$4,0))+0,0)</f>
        <v/>
      </c>
      <c r="L1499" s="159">
        <f>N($F1499)*$K1499</f>
        <v/>
      </c>
      <c r="M1499" s="157">
        <f>IF($E1499="","",IF(OR($E1499="Coal",$E1499="Dirty Coal"),"MT","BCM"))</f>
        <v/>
      </c>
      <c r="N1499" s="157">
        <f>IF($E1499="","",IF(OR($E1499="Coal",$E1499="Dirty Coal"),"Coal","OB"))</f>
        <v/>
      </c>
      <c r="O1499" s="157">
        <f>IF($F1499="","",IF(COUNTIF(MASTER_JAM!$A$5:$A$94,$C1499)=0,"Digger tidak dikenal",IF($J1499="","Hauler tidak dikenal",IF($H1499="?","Jam salah",IF($K1499=0,"Faktor kosong",IF(SUMIFS(INPUT_DELAY!$E$5:$E$20000,INPUT_DELAY!$A$5:$A$20000,$A1499,INPUT_DELAY!$B$5:$B$20000,$B1499,INPUT_DELAY!$C$5:$C$20000,$C1499)+SUMIFS(INPUT_DELAY!$E$5:$E$20000,INPUT_DELAY!$A$5:$A$20000,$A1499,INPUT_DELAY!$B$5:$B$20000,$B1499,INPUT_DELAY!$C$5:$C$20000,"SEMUA")&gt;=60,"Delay 60 mnt tapi ada ritase","OK"))))))</f>
        <v/>
      </c>
      <c r="P1499" s="158">
        <f>IFERROR(INDEX(MASTER_JAM!$Z$5:$AC$10,MATCH($I1499,MASTER_JAM!$Y$5:$Y$10,0),MATCH($J1499,MASTER_JAM!$Z$4:$AC$4,0))+0,0)</f>
        <v/>
      </c>
      <c r="Q1499" s="158">
        <f>IF($P1499=0,0,$P1499+IFERROR(INDEX(MASTER_JAM!$H$5:$H$94,MATCH($C1499,MASTER_JAM!$A$5:$A$94,0))+0,MASTER_JAM!$AC$15)/1000*(60/MASTER_JAM!$AC$12+60/MASTER_JAM!$AC$13)+MASTER_JAM!$AC$14)</f>
        <v/>
      </c>
      <c r="R1499" s="158">
        <f>IF(N($F1499)=0,0,$F1499/SUMIFS(INPUT_RITASE!$F$5:$F$20000,INPUT_RITASE!$A$5:$A$20000,$A1499,INPUT_RITASE!$B$5:$B$20000,$B1499,INPUT_RITASE!$C$5:$C$20000,$C1499,INPUT_RITASE!$D$5:$D$20000,$D1499))</f>
        <v/>
      </c>
      <c r="S1499" s="158">
        <f>IF($Q1499=0,0,$R1499*$P1499/$Q1499)</f>
        <v/>
      </c>
    </row>
    <row r="1500">
      <c r="A1500" s="155" t="n">
        <v>46109</v>
      </c>
      <c r="B1500" s="156" t="inlineStr">
        <is>
          <t>18-19</t>
        </is>
      </c>
      <c r="C1500" s="156" t="inlineStr">
        <is>
          <t>EX-335</t>
        </is>
      </c>
      <c r="D1500" s="156" t="inlineStr">
        <is>
          <t>DT-529</t>
        </is>
      </c>
      <c r="E1500" s="156" t="inlineStr">
        <is>
          <t>Coal</t>
        </is>
      </c>
      <c r="F1500" s="156" t="n">
        <v>1</v>
      </c>
      <c r="G1500" s="156" t="inlineStr"/>
      <c r="H1500" s="157">
        <f>IF($B1500="","",IF(ISNA(MATCH($B1500,MASTER_JAM!$Q$5:$Q$28,0)),"?",IF(MATCH($B1500,MASTER_JAM!$Q$5:$Q$28,0)&lt;=12,"DS","NS")))</f>
        <v/>
      </c>
      <c r="I1500" s="157">
        <f>IFERROR(INDEX(MASTER_JAM!$B$5:$B$94,MATCH($C1500,MASTER_JAM!$A$5:$A$94,0)),"")</f>
        <v/>
      </c>
      <c r="J1500" s="157">
        <f>IFERROR(INDEX(MASTER_JAM!$E$5:$E$94,MATCH($D1500,MASTER_JAM!$A$5:$A$94,0)),"")</f>
        <v/>
      </c>
      <c r="K1500" s="158">
        <f>IFERROR(INDEX(MASTER_JAM!$J$5:$O$12,MATCH($E1500,MASTER_JAM!$I$5:$I$12,0),MATCH($J1500,MASTER_JAM!$J$4:$O$4,0))+0,0)</f>
        <v/>
      </c>
      <c r="L1500" s="159">
        <f>N($F1500)*$K1500</f>
        <v/>
      </c>
      <c r="M1500" s="157">
        <f>IF($E1500="","",IF(OR($E1500="Coal",$E1500="Dirty Coal"),"MT","BCM"))</f>
        <v/>
      </c>
      <c r="N1500" s="157">
        <f>IF($E1500="","",IF(OR($E1500="Coal",$E1500="Dirty Coal"),"Coal","OB"))</f>
        <v/>
      </c>
      <c r="O1500" s="157">
        <f>IF($F1500="","",IF(COUNTIF(MASTER_JAM!$A$5:$A$94,$C1500)=0,"Digger tidak dikenal",IF($J1500="","Hauler tidak dikenal",IF($H1500="?","Jam salah",IF($K1500=0,"Faktor kosong",IF(SUMIFS(INPUT_DELAY!$E$5:$E$20000,INPUT_DELAY!$A$5:$A$20000,$A1500,INPUT_DELAY!$B$5:$B$20000,$B1500,INPUT_DELAY!$C$5:$C$20000,$C1500)+SUMIFS(INPUT_DELAY!$E$5:$E$20000,INPUT_DELAY!$A$5:$A$20000,$A1500,INPUT_DELAY!$B$5:$B$20000,$B1500,INPUT_DELAY!$C$5:$C$20000,"SEMUA")&gt;=60,"Delay 60 mnt tapi ada ritase","OK"))))))</f>
        <v/>
      </c>
      <c r="P1500" s="158">
        <f>IFERROR(INDEX(MASTER_JAM!$Z$5:$AC$10,MATCH($I1500,MASTER_JAM!$Y$5:$Y$10,0),MATCH($J1500,MASTER_JAM!$Z$4:$AC$4,0))+0,0)</f>
        <v/>
      </c>
      <c r="Q1500" s="158">
        <f>IF($P1500=0,0,$P1500+IFERROR(INDEX(MASTER_JAM!$H$5:$H$94,MATCH($C1500,MASTER_JAM!$A$5:$A$94,0))+0,MASTER_JAM!$AC$15)/1000*(60/MASTER_JAM!$AC$12+60/MASTER_JAM!$AC$13)+MASTER_JAM!$AC$14)</f>
        <v/>
      </c>
      <c r="R1500" s="158">
        <f>IF(N($F1500)=0,0,$F1500/SUMIFS(INPUT_RITASE!$F$5:$F$20000,INPUT_RITASE!$A$5:$A$20000,$A1500,INPUT_RITASE!$B$5:$B$20000,$B1500,INPUT_RITASE!$C$5:$C$20000,$C1500,INPUT_RITASE!$D$5:$D$20000,$D1500))</f>
        <v/>
      </c>
      <c r="S1500" s="158">
        <f>IF($Q1500=0,0,$R1500*$P1500/$Q1500)</f>
        <v/>
      </c>
    </row>
    <row r="1501">
      <c r="A1501" s="155" t="n">
        <v>46109</v>
      </c>
      <c r="B1501" s="156" t="inlineStr">
        <is>
          <t>22-23</t>
        </is>
      </c>
      <c r="C1501" s="156" t="inlineStr">
        <is>
          <t>EX-335</t>
        </is>
      </c>
      <c r="D1501" s="156" t="inlineStr">
        <is>
          <t>DT-812</t>
        </is>
      </c>
      <c r="E1501" s="156" t="inlineStr">
        <is>
          <t>Coal</t>
        </is>
      </c>
      <c r="F1501" s="156" t="n">
        <v>1</v>
      </c>
      <c r="G1501" s="156" t="inlineStr"/>
      <c r="H1501" s="157">
        <f>IF($B1501="","",IF(ISNA(MATCH($B1501,MASTER_JAM!$Q$5:$Q$28,0)),"?",IF(MATCH($B1501,MASTER_JAM!$Q$5:$Q$28,0)&lt;=12,"DS","NS")))</f>
        <v/>
      </c>
      <c r="I1501" s="157">
        <f>IFERROR(INDEX(MASTER_JAM!$B$5:$B$94,MATCH($C1501,MASTER_JAM!$A$5:$A$94,0)),"")</f>
        <v/>
      </c>
      <c r="J1501" s="157">
        <f>IFERROR(INDEX(MASTER_JAM!$E$5:$E$94,MATCH($D1501,MASTER_JAM!$A$5:$A$94,0)),"")</f>
        <v/>
      </c>
      <c r="K1501" s="158">
        <f>IFERROR(INDEX(MASTER_JAM!$J$5:$O$12,MATCH($E1501,MASTER_JAM!$I$5:$I$12,0),MATCH($J1501,MASTER_JAM!$J$4:$O$4,0))+0,0)</f>
        <v/>
      </c>
      <c r="L1501" s="159">
        <f>N($F1501)*$K1501</f>
        <v/>
      </c>
      <c r="M1501" s="157">
        <f>IF($E1501="","",IF(OR($E1501="Coal",$E1501="Dirty Coal"),"MT","BCM"))</f>
        <v/>
      </c>
      <c r="N1501" s="157">
        <f>IF($E1501="","",IF(OR($E1501="Coal",$E1501="Dirty Coal"),"Coal","OB"))</f>
        <v/>
      </c>
      <c r="O1501" s="157">
        <f>IF($F1501="","",IF(COUNTIF(MASTER_JAM!$A$5:$A$94,$C1501)=0,"Digger tidak dikenal",IF($J1501="","Hauler tidak dikenal",IF($H1501="?","Jam salah",IF($K1501=0,"Faktor kosong",IF(SUMIFS(INPUT_DELAY!$E$5:$E$20000,INPUT_DELAY!$A$5:$A$20000,$A1501,INPUT_DELAY!$B$5:$B$20000,$B1501,INPUT_DELAY!$C$5:$C$20000,$C1501)+SUMIFS(INPUT_DELAY!$E$5:$E$20000,INPUT_DELAY!$A$5:$A$20000,$A1501,INPUT_DELAY!$B$5:$B$20000,$B1501,INPUT_DELAY!$C$5:$C$20000,"SEMUA")&gt;=60,"Delay 60 mnt tapi ada ritase","OK"))))))</f>
        <v/>
      </c>
      <c r="P1501" s="158">
        <f>IFERROR(INDEX(MASTER_JAM!$Z$5:$AC$10,MATCH($I1501,MASTER_JAM!$Y$5:$Y$10,0),MATCH($J1501,MASTER_JAM!$Z$4:$AC$4,0))+0,0)</f>
        <v/>
      </c>
      <c r="Q1501" s="158">
        <f>IF($P1501=0,0,$P1501+IFERROR(INDEX(MASTER_JAM!$H$5:$H$94,MATCH($C1501,MASTER_JAM!$A$5:$A$94,0))+0,MASTER_JAM!$AC$15)/1000*(60/MASTER_JAM!$AC$12+60/MASTER_JAM!$AC$13)+MASTER_JAM!$AC$14)</f>
        <v/>
      </c>
      <c r="R1501" s="158">
        <f>IF(N($F1501)=0,0,$F1501/SUMIFS(INPUT_RITASE!$F$5:$F$20000,INPUT_RITASE!$A$5:$A$20000,$A1501,INPUT_RITASE!$B$5:$B$20000,$B1501,INPUT_RITASE!$C$5:$C$20000,$C1501,INPUT_RITASE!$D$5:$D$20000,$D1501))</f>
        <v/>
      </c>
      <c r="S1501" s="158">
        <f>IF($Q1501=0,0,$R1501*$P1501/$Q1501)</f>
        <v/>
      </c>
    </row>
    <row r="1502">
      <c r="A1502" s="155" t="n">
        <v>46109</v>
      </c>
      <c r="B1502" s="156" t="inlineStr">
        <is>
          <t>22-23</t>
        </is>
      </c>
      <c r="C1502" s="156" t="inlineStr">
        <is>
          <t>EX-335</t>
        </is>
      </c>
      <c r="D1502" s="156" t="inlineStr">
        <is>
          <t>DT-521</t>
        </is>
      </c>
      <c r="E1502" s="156" t="inlineStr">
        <is>
          <t>Coal</t>
        </is>
      </c>
      <c r="F1502" s="156" t="n">
        <v>1</v>
      </c>
      <c r="G1502" s="156" t="inlineStr"/>
      <c r="H1502" s="157">
        <f>IF($B1502="","",IF(ISNA(MATCH($B1502,MASTER_JAM!$Q$5:$Q$28,0)),"?",IF(MATCH($B1502,MASTER_JAM!$Q$5:$Q$28,0)&lt;=12,"DS","NS")))</f>
        <v/>
      </c>
      <c r="I1502" s="157">
        <f>IFERROR(INDEX(MASTER_JAM!$B$5:$B$94,MATCH($C1502,MASTER_JAM!$A$5:$A$94,0)),"")</f>
        <v/>
      </c>
      <c r="J1502" s="157">
        <f>IFERROR(INDEX(MASTER_JAM!$E$5:$E$94,MATCH($D1502,MASTER_JAM!$A$5:$A$94,0)),"")</f>
        <v/>
      </c>
      <c r="K1502" s="158">
        <f>IFERROR(INDEX(MASTER_JAM!$J$5:$O$12,MATCH($E1502,MASTER_JAM!$I$5:$I$12,0),MATCH($J1502,MASTER_JAM!$J$4:$O$4,0))+0,0)</f>
        <v/>
      </c>
      <c r="L1502" s="159">
        <f>N($F1502)*$K1502</f>
        <v/>
      </c>
      <c r="M1502" s="157">
        <f>IF($E1502="","",IF(OR($E1502="Coal",$E1502="Dirty Coal"),"MT","BCM"))</f>
        <v/>
      </c>
      <c r="N1502" s="157">
        <f>IF($E1502="","",IF(OR($E1502="Coal",$E1502="Dirty Coal"),"Coal","OB"))</f>
        <v/>
      </c>
      <c r="O1502" s="157">
        <f>IF($F1502="","",IF(COUNTIF(MASTER_JAM!$A$5:$A$94,$C1502)=0,"Digger tidak dikenal",IF($J1502="","Hauler tidak dikenal",IF($H1502="?","Jam salah",IF($K1502=0,"Faktor kosong",IF(SUMIFS(INPUT_DELAY!$E$5:$E$20000,INPUT_DELAY!$A$5:$A$20000,$A1502,INPUT_DELAY!$B$5:$B$20000,$B1502,INPUT_DELAY!$C$5:$C$20000,$C1502)+SUMIFS(INPUT_DELAY!$E$5:$E$20000,INPUT_DELAY!$A$5:$A$20000,$A1502,INPUT_DELAY!$B$5:$B$20000,$B1502,INPUT_DELAY!$C$5:$C$20000,"SEMUA")&gt;=60,"Delay 60 mnt tapi ada ritase","OK"))))))</f>
        <v/>
      </c>
      <c r="P1502" s="158">
        <f>IFERROR(INDEX(MASTER_JAM!$Z$5:$AC$10,MATCH($I1502,MASTER_JAM!$Y$5:$Y$10,0),MATCH($J1502,MASTER_JAM!$Z$4:$AC$4,0))+0,0)</f>
        <v/>
      </c>
      <c r="Q1502" s="158">
        <f>IF($P1502=0,0,$P1502+IFERROR(INDEX(MASTER_JAM!$H$5:$H$94,MATCH($C1502,MASTER_JAM!$A$5:$A$94,0))+0,MASTER_JAM!$AC$15)/1000*(60/MASTER_JAM!$AC$12+60/MASTER_JAM!$AC$13)+MASTER_JAM!$AC$14)</f>
        <v/>
      </c>
      <c r="R1502" s="158">
        <f>IF(N($F1502)=0,0,$F1502/SUMIFS(INPUT_RITASE!$F$5:$F$20000,INPUT_RITASE!$A$5:$A$20000,$A1502,INPUT_RITASE!$B$5:$B$20000,$B1502,INPUT_RITASE!$C$5:$C$20000,$C1502,INPUT_RITASE!$D$5:$D$20000,$D1502))</f>
        <v/>
      </c>
      <c r="S1502" s="158">
        <f>IF($Q1502=0,0,$R1502*$P1502/$Q1502)</f>
        <v/>
      </c>
    </row>
    <row r="1503">
      <c r="A1503" s="155" t="n">
        <v>46109</v>
      </c>
      <c r="B1503" s="156" t="inlineStr">
        <is>
          <t>01-02</t>
        </is>
      </c>
      <c r="C1503" s="156" t="inlineStr">
        <is>
          <t>EX-335</t>
        </is>
      </c>
      <c r="D1503" s="156" t="inlineStr">
        <is>
          <t>DT-810</t>
        </is>
      </c>
      <c r="E1503" s="156" t="inlineStr">
        <is>
          <t>Coal</t>
        </is>
      </c>
      <c r="F1503" s="156" t="n">
        <v>2</v>
      </c>
      <c r="G1503" s="156" t="inlineStr"/>
      <c r="H1503" s="157">
        <f>IF($B1503="","",IF(ISNA(MATCH($B1503,MASTER_JAM!$Q$5:$Q$28,0)),"?",IF(MATCH($B1503,MASTER_JAM!$Q$5:$Q$28,0)&lt;=12,"DS","NS")))</f>
        <v/>
      </c>
      <c r="I1503" s="157">
        <f>IFERROR(INDEX(MASTER_JAM!$B$5:$B$94,MATCH($C1503,MASTER_JAM!$A$5:$A$94,0)),"")</f>
        <v/>
      </c>
      <c r="J1503" s="157">
        <f>IFERROR(INDEX(MASTER_JAM!$E$5:$E$94,MATCH($D1503,MASTER_JAM!$A$5:$A$94,0)),"")</f>
        <v/>
      </c>
      <c r="K1503" s="158">
        <f>IFERROR(INDEX(MASTER_JAM!$J$5:$O$12,MATCH($E1503,MASTER_JAM!$I$5:$I$12,0),MATCH($J1503,MASTER_JAM!$J$4:$O$4,0))+0,0)</f>
        <v/>
      </c>
      <c r="L1503" s="159">
        <f>N($F1503)*$K1503</f>
        <v/>
      </c>
      <c r="M1503" s="157">
        <f>IF($E1503="","",IF(OR($E1503="Coal",$E1503="Dirty Coal"),"MT","BCM"))</f>
        <v/>
      </c>
      <c r="N1503" s="157">
        <f>IF($E1503="","",IF(OR($E1503="Coal",$E1503="Dirty Coal"),"Coal","OB"))</f>
        <v/>
      </c>
      <c r="O1503" s="157">
        <f>IF($F1503="","",IF(COUNTIF(MASTER_JAM!$A$5:$A$94,$C1503)=0,"Digger tidak dikenal",IF($J1503="","Hauler tidak dikenal",IF($H1503="?","Jam salah",IF($K1503=0,"Faktor kosong",IF(SUMIFS(INPUT_DELAY!$E$5:$E$20000,INPUT_DELAY!$A$5:$A$20000,$A1503,INPUT_DELAY!$B$5:$B$20000,$B1503,INPUT_DELAY!$C$5:$C$20000,$C1503)+SUMIFS(INPUT_DELAY!$E$5:$E$20000,INPUT_DELAY!$A$5:$A$20000,$A1503,INPUT_DELAY!$B$5:$B$20000,$B1503,INPUT_DELAY!$C$5:$C$20000,"SEMUA")&gt;=60,"Delay 60 mnt tapi ada ritase","OK"))))))</f>
        <v/>
      </c>
      <c r="P1503" s="158">
        <f>IFERROR(INDEX(MASTER_JAM!$Z$5:$AC$10,MATCH($I1503,MASTER_JAM!$Y$5:$Y$10,0),MATCH($J1503,MASTER_JAM!$Z$4:$AC$4,0))+0,0)</f>
        <v/>
      </c>
      <c r="Q1503" s="158">
        <f>IF($P1503=0,0,$P1503+IFERROR(INDEX(MASTER_JAM!$H$5:$H$94,MATCH($C1503,MASTER_JAM!$A$5:$A$94,0))+0,MASTER_JAM!$AC$15)/1000*(60/MASTER_JAM!$AC$12+60/MASTER_JAM!$AC$13)+MASTER_JAM!$AC$14)</f>
        <v/>
      </c>
      <c r="R1503" s="158">
        <f>IF(N($F1503)=0,0,$F1503/SUMIFS(INPUT_RITASE!$F$5:$F$20000,INPUT_RITASE!$A$5:$A$20000,$A1503,INPUT_RITASE!$B$5:$B$20000,$B1503,INPUT_RITASE!$C$5:$C$20000,$C1503,INPUT_RITASE!$D$5:$D$20000,$D1503))</f>
        <v/>
      </c>
      <c r="S1503" s="158">
        <f>IF($Q1503=0,0,$R1503*$P1503/$Q1503)</f>
        <v/>
      </c>
    </row>
    <row r="1504">
      <c r="A1504" s="155" t="n">
        <v>46109</v>
      </c>
      <c r="B1504" s="156" t="inlineStr">
        <is>
          <t>01-02</t>
        </is>
      </c>
      <c r="C1504" s="156" t="inlineStr">
        <is>
          <t>EX-335</t>
        </is>
      </c>
      <c r="D1504" s="156" t="inlineStr">
        <is>
          <t>DT-502</t>
        </is>
      </c>
      <c r="E1504" s="156" t="inlineStr">
        <is>
          <t>Coal</t>
        </is>
      </c>
      <c r="F1504" s="156" t="n">
        <v>4</v>
      </c>
      <c r="G1504" s="156" t="inlineStr"/>
      <c r="H1504" s="157">
        <f>IF($B1504="","",IF(ISNA(MATCH($B1504,MASTER_JAM!$Q$5:$Q$28,0)),"?",IF(MATCH($B1504,MASTER_JAM!$Q$5:$Q$28,0)&lt;=12,"DS","NS")))</f>
        <v/>
      </c>
      <c r="I1504" s="157">
        <f>IFERROR(INDEX(MASTER_JAM!$B$5:$B$94,MATCH($C1504,MASTER_JAM!$A$5:$A$94,0)),"")</f>
        <v/>
      </c>
      <c r="J1504" s="157">
        <f>IFERROR(INDEX(MASTER_JAM!$E$5:$E$94,MATCH($D1504,MASTER_JAM!$A$5:$A$94,0)),"")</f>
        <v/>
      </c>
      <c r="K1504" s="158">
        <f>IFERROR(INDEX(MASTER_JAM!$J$5:$O$12,MATCH($E1504,MASTER_JAM!$I$5:$I$12,0),MATCH($J1504,MASTER_JAM!$J$4:$O$4,0))+0,0)</f>
        <v/>
      </c>
      <c r="L1504" s="159">
        <f>N($F1504)*$K1504</f>
        <v/>
      </c>
      <c r="M1504" s="157">
        <f>IF($E1504="","",IF(OR($E1504="Coal",$E1504="Dirty Coal"),"MT","BCM"))</f>
        <v/>
      </c>
      <c r="N1504" s="157">
        <f>IF($E1504="","",IF(OR($E1504="Coal",$E1504="Dirty Coal"),"Coal","OB"))</f>
        <v/>
      </c>
      <c r="O1504" s="157">
        <f>IF($F1504="","",IF(COUNTIF(MASTER_JAM!$A$5:$A$94,$C1504)=0,"Digger tidak dikenal",IF($J1504="","Hauler tidak dikenal",IF($H1504="?","Jam salah",IF($K1504=0,"Faktor kosong",IF(SUMIFS(INPUT_DELAY!$E$5:$E$20000,INPUT_DELAY!$A$5:$A$20000,$A1504,INPUT_DELAY!$B$5:$B$20000,$B1504,INPUT_DELAY!$C$5:$C$20000,$C1504)+SUMIFS(INPUT_DELAY!$E$5:$E$20000,INPUT_DELAY!$A$5:$A$20000,$A1504,INPUT_DELAY!$B$5:$B$20000,$B1504,INPUT_DELAY!$C$5:$C$20000,"SEMUA")&gt;=60,"Delay 60 mnt tapi ada ritase","OK"))))))</f>
        <v/>
      </c>
      <c r="P1504" s="158">
        <f>IFERROR(INDEX(MASTER_JAM!$Z$5:$AC$10,MATCH($I1504,MASTER_JAM!$Y$5:$Y$10,0),MATCH($J1504,MASTER_JAM!$Z$4:$AC$4,0))+0,0)</f>
        <v/>
      </c>
      <c r="Q1504" s="158">
        <f>IF($P1504=0,0,$P1504+IFERROR(INDEX(MASTER_JAM!$H$5:$H$94,MATCH($C1504,MASTER_JAM!$A$5:$A$94,0))+0,MASTER_JAM!$AC$15)/1000*(60/MASTER_JAM!$AC$12+60/MASTER_JAM!$AC$13)+MASTER_JAM!$AC$14)</f>
        <v/>
      </c>
      <c r="R1504" s="158">
        <f>IF(N($F1504)=0,0,$F1504/SUMIFS(INPUT_RITASE!$F$5:$F$20000,INPUT_RITASE!$A$5:$A$20000,$A1504,INPUT_RITASE!$B$5:$B$20000,$B1504,INPUT_RITASE!$C$5:$C$20000,$C1504,INPUT_RITASE!$D$5:$D$20000,$D1504))</f>
        <v/>
      </c>
      <c r="S1504" s="158">
        <f>IF($Q1504=0,0,$R1504*$P1504/$Q1504)</f>
        <v/>
      </c>
    </row>
    <row r="1505">
      <c r="A1505" s="155" t="n">
        <v>46109</v>
      </c>
      <c r="B1505" s="156" t="inlineStr">
        <is>
          <t>02-03</t>
        </is>
      </c>
      <c r="C1505" s="156" t="inlineStr">
        <is>
          <t>EX-335</t>
        </is>
      </c>
      <c r="D1505" s="156" t="inlineStr">
        <is>
          <t>DT-810</t>
        </is>
      </c>
      <c r="E1505" s="156" t="inlineStr">
        <is>
          <t>Coal</t>
        </is>
      </c>
      <c r="F1505" s="156" t="n">
        <v>4</v>
      </c>
      <c r="G1505" s="156" t="inlineStr"/>
      <c r="H1505" s="157">
        <f>IF($B1505="","",IF(ISNA(MATCH($B1505,MASTER_JAM!$Q$5:$Q$28,0)),"?",IF(MATCH($B1505,MASTER_JAM!$Q$5:$Q$28,0)&lt;=12,"DS","NS")))</f>
        <v/>
      </c>
      <c r="I1505" s="157">
        <f>IFERROR(INDEX(MASTER_JAM!$B$5:$B$94,MATCH($C1505,MASTER_JAM!$A$5:$A$94,0)),"")</f>
        <v/>
      </c>
      <c r="J1505" s="157">
        <f>IFERROR(INDEX(MASTER_JAM!$E$5:$E$94,MATCH($D1505,MASTER_JAM!$A$5:$A$94,0)),"")</f>
        <v/>
      </c>
      <c r="K1505" s="158">
        <f>IFERROR(INDEX(MASTER_JAM!$J$5:$O$12,MATCH($E1505,MASTER_JAM!$I$5:$I$12,0),MATCH($J1505,MASTER_JAM!$J$4:$O$4,0))+0,0)</f>
        <v/>
      </c>
      <c r="L1505" s="159">
        <f>N($F1505)*$K1505</f>
        <v/>
      </c>
      <c r="M1505" s="157">
        <f>IF($E1505="","",IF(OR($E1505="Coal",$E1505="Dirty Coal"),"MT","BCM"))</f>
        <v/>
      </c>
      <c r="N1505" s="157">
        <f>IF($E1505="","",IF(OR($E1505="Coal",$E1505="Dirty Coal"),"Coal","OB"))</f>
        <v/>
      </c>
      <c r="O1505" s="157">
        <f>IF($F1505="","",IF(COUNTIF(MASTER_JAM!$A$5:$A$94,$C1505)=0,"Digger tidak dikenal",IF($J1505="","Hauler tidak dikenal",IF($H1505="?","Jam salah",IF($K1505=0,"Faktor kosong",IF(SUMIFS(INPUT_DELAY!$E$5:$E$20000,INPUT_DELAY!$A$5:$A$20000,$A1505,INPUT_DELAY!$B$5:$B$20000,$B1505,INPUT_DELAY!$C$5:$C$20000,$C1505)+SUMIFS(INPUT_DELAY!$E$5:$E$20000,INPUT_DELAY!$A$5:$A$20000,$A1505,INPUT_DELAY!$B$5:$B$20000,$B1505,INPUT_DELAY!$C$5:$C$20000,"SEMUA")&gt;=60,"Delay 60 mnt tapi ada ritase","OK"))))))</f>
        <v/>
      </c>
      <c r="P1505" s="158">
        <f>IFERROR(INDEX(MASTER_JAM!$Z$5:$AC$10,MATCH($I1505,MASTER_JAM!$Y$5:$Y$10,0),MATCH($J1505,MASTER_JAM!$Z$4:$AC$4,0))+0,0)</f>
        <v/>
      </c>
      <c r="Q1505" s="158">
        <f>IF($P1505=0,0,$P1505+IFERROR(INDEX(MASTER_JAM!$H$5:$H$94,MATCH($C1505,MASTER_JAM!$A$5:$A$94,0))+0,MASTER_JAM!$AC$15)/1000*(60/MASTER_JAM!$AC$12+60/MASTER_JAM!$AC$13)+MASTER_JAM!$AC$14)</f>
        <v/>
      </c>
      <c r="R1505" s="158">
        <f>IF(N($F1505)=0,0,$F1505/SUMIFS(INPUT_RITASE!$F$5:$F$20000,INPUT_RITASE!$A$5:$A$20000,$A1505,INPUT_RITASE!$B$5:$B$20000,$B1505,INPUT_RITASE!$C$5:$C$20000,$C1505,INPUT_RITASE!$D$5:$D$20000,$D1505))</f>
        <v/>
      </c>
      <c r="S1505" s="158">
        <f>IF($Q1505=0,0,$R1505*$P1505/$Q1505)</f>
        <v/>
      </c>
    </row>
    <row r="1506">
      <c r="A1506" s="155" t="n">
        <v>46109</v>
      </c>
      <c r="B1506" s="156" t="inlineStr">
        <is>
          <t>02-03</t>
        </is>
      </c>
      <c r="C1506" s="156" t="inlineStr">
        <is>
          <t>EX-335</t>
        </is>
      </c>
      <c r="D1506" s="156" t="inlineStr">
        <is>
          <t>DT-812</t>
        </is>
      </c>
      <c r="E1506" s="156" t="inlineStr">
        <is>
          <t>Coal</t>
        </is>
      </c>
      <c r="F1506" s="156" t="n">
        <v>3</v>
      </c>
      <c r="G1506" s="156" t="inlineStr"/>
      <c r="H1506" s="157">
        <f>IF($B1506="","",IF(ISNA(MATCH($B1506,MASTER_JAM!$Q$5:$Q$28,0)),"?",IF(MATCH($B1506,MASTER_JAM!$Q$5:$Q$28,0)&lt;=12,"DS","NS")))</f>
        <v/>
      </c>
      <c r="I1506" s="157">
        <f>IFERROR(INDEX(MASTER_JAM!$B$5:$B$94,MATCH($C1506,MASTER_JAM!$A$5:$A$94,0)),"")</f>
        <v/>
      </c>
      <c r="J1506" s="157">
        <f>IFERROR(INDEX(MASTER_JAM!$E$5:$E$94,MATCH($D1506,MASTER_JAM!$A$5:$A$94,0)),"")</f>
        <v/>
      </c>
      <c r="K1506" s="158">
        <f>IFERROR(INDEX(MASTER_JAM!$J$5:$O$12,MATCH($E1506,MASTER_JAM!$I$5:$I$12,0),MATCH($J1506,MASTER_JAM!$J$4:$O$4,0))+0,0)</f>
        <v/>
      </c>
      <c r="L1506" s="159">
        <f>N($F1506)*$K1506</f>
        <v/>
      </c>
      <c r="M1506" s="157">
        <f>IF($E1506="","",IF(OR($E1506="Coal",$E1506="Dirty Coal"),"MT","BCM"))</f>
        <v/>
      </c>
      <c r="N1506" s="157">
        <f>IF($E1506="","",IF(OR($E1506="Coal",$E1506="Dirty Coal"),"Coal","OB"))</f>
        <v/>
      </c>
      <c r="O1506" s="157">
        <f>IF($F1506="","",IF(COUNTIF(MASTER_JAM!$A$5:$A$94,$C1506)=0,"Digger tidak dikenal",IF($J1506="","Hauler tidak dikenal",IF($H1506="?","Jam salah",IF($K1506=0,"Faktor kosong",IF(SUMIFS(INPUT_DELAY!$E$5:$E$20000,INPUT_DELAY!$A$5:$A$20000,$A1506,INPUT_DELAY!$B$5:$B$20000,$B1506,INPUT_DELAY!$C$5:$C$20000,$C1506)+SUMIFS(INPUT_DELAY!$E$5:$E$20000,INPUT_DELAY!$A$5:$A$20000,$A1506,INPUT_DELAY!$B$5:$B$20000,$B1506,INPUT_DELAY!$C$5:$C$20000,"SEMUA")&gt;=60,"Delay 60 mnt tapi ada ritase","OK"))))))</f>
        <v/>
      </c>
      <c r="P1506" s="158">
        <f>IFERROR(INDEX(MASTER_JAM!$Z$5:$AC$10,MATCH($I1506,MASTER_JAM!$Y$5:$Y$10,0),MATCH($J1506,MASTER_JAM!$Z$4:$AC$4,0))+0,0)</f>
        <v/>
      </c>
      <c r="Q1506" s="158">
        <f>IF($P1506=0,0,$P1506+IFERROR(INDEX(MASTER_JAM!$H$5:$H$94,MATCH($C1506,MASTER_JAM!$A$5:$A$94,0))+0,MASTER_JAM!$AC$15)/1000*(60/MASTER_JAM!$AC$12+60/MASTER_JAM!$AC$13)+MASTER_JAM!$AC$14)</f>
        <v/>
      </c>
      <c r="R1506" s="158">
        <f>IF(N($F1506)=0,0,$F1506/SUMIFS(INPUT_RITASE!$F$5:$F$20000,INPUT_RITASE!$A$5:$A$20000,$A1506,INPUT_RITASE!$B$5:$B$20000,$B1506,INPUT_RITASE!$C$5:$C$20000,$C1506,INPUT_RITASE!$D$5:$D$20000,$D1506))</f>
        <v/>
      </c>
      <c r="S1506" s="158">
        <f>IF($Q1506=0,0,$R1506*$P1506/$Q1506)</f>
        <v/>
      </c>
    </row>
    <row r="1507">
      <c r="A1507" s="155" t="n">
        <v>46109</v>
      </c>
      <c r="B1507" s="156" t="inlineStr">
        <is>
          <t>02-03</t>
        </is>
      </c>
      <c r="C1507" s="156" t="inlineStr">
        <is>
          <t>EX-335</t>
        </is>
      </c>
      <c r="D1507" s="156" t="inlineStr">
        <is>
          <t>DT-526</t>
        </is>
      </c>
      <c r="E1507" s="156" t="inlineStr">
        <is>
          <t>Coal</t>
        </is>
      </c>
      <c r="F1507" s="156" t="n">
        <v>3</v>
      </c>
      <c r="G1507" s="156" t="inlineStr"/>
      <c r="H1507" s="157">
        <f>IF($B1507="","",IF(ISNA(MATCH($B1507,MASTER_JAM!$Q$5:$Q$28,0)),"?",IF(MATCH($B1507,MASTER_JAM!$Q$5:$Q$28,0)&lt;=12,"DS","NS")))</f>
        <v/>
      </c>
      <c r="I1507" s="157">
        <f>IFERROR(INDEX(MASTER_JAM!$B$5:$B$94,MATCH($C1507,MASTER_JAM!$A$5:$A$94,0)),"")</f>
        <v/>
      </c>
      <c r="J1507" s="157">
        <f>IFERROR(INDEX(MASTER_JAM!$E$5:$E$94,MATCH($D1507,MASTER_JAM!$A$5:$A$94,0)),"")</f>
        <v/>
      </c>
      <c r="K1507" s="158">
        <f>IFERROR(INDEX(MASTER_JAM!$J$5:$O$12,MATCH($E1507,MASTER_JAM!$I$5:$I$12,0),MATCH($J1507,MASTER_JAM!$J$4:$O$4,0))+0,0)</f>
        <v/>
      </c>
      <c r="L1507" s="159">
        <f>N($F1507)*$K1507</f>
        <v/>
      </c>
      <c r="M1507" s="157">
        <f>IF($E1507="","",IF(OR($E1507="Coal",$E1507="Dirty Coal"),"MT","BCM"))</f>
        <v/>
      </c>
      <c r="N1507" s="157">
        <f>IF($E1507="","",IF(OR($E1507="Coal",$E1507="Dirty Coal"),"Coal","OB"))</f>
        <v/>
      </c>
      <c r="O1507" s="157">
        <f>IF($F1507="","",IF(COUNTIF(MASTER_JAM!$A$5:$A$94,$C1507)=0,"Digger tidak dikenal",IF($J1507="","Hauler tidak dikenal",IF($H1507="?","Jam salah",IF($K1507=0,"Faktor kosong",IF(SUMIFS(INPUT_DELAY!$E$5:$E$20000,INPUT_DELAY!$A$5:$A$20000,$A1507,INPUT_DELAY!$B$5:$B$20000,$B1507,INPUT_DELAY!$C$5:$C$20000,$C1507)+SUMIFS(INPUT_DELAY!$E$5:$E$20000,INPUT_DELAY!$A$5:$A$20000,$A1507,INPUT_DELAY!$B$5:$B$20000,$B1507,INPUT_DELAY!$C$5:$C$20000,"SEMUA")&gt;=60,"Delay 60 mnt tapi ada ritase","OK"))))))</f>
        <v/>
      </c>
      <c r="P1507" s="158">
        <f>IFERROR(INDEX(MASTER_JAM!$Z$5:$AC$10,MATCH($I1507,MASTER_JAM!$Y$5:$Y$10,0),MATCH($J1507,MASTER_JAM!$Z$4:$AC$4,0))+0,0)</f>
        <v/>
      </c>
      <c r="Q1507" s="158">
        <f>IF($P1507=0,0,$P1507+IFERROR(INDEX(MASTER_JAM!$H$5:$H$94,MATCH($C1507,MASTER_JAM!$A$5:$A$94,0))+0,MASTER_JAM!$AC$15)/1000*(60/MASTER_JAM!$AC$12+60/MASTER_JAM!$AC$13)+MASTER_JAM!$AC$14)</f>
        <v/>
      </c>
      <c r="R1507" s="158">
        <f>IF(N($F1507)=0,0,$F1507/SUMIFS(INPUT_RITASE!$F$5:$F$20000,INPUT_RITASE!$A$5:$A$20000,$A1507,INPUT_RITASE!$B$5:$B$20000,$B1507,INPUT_RITASE!$C$5:$C$20000,$C1507,INPUT_RITASE!$D$5:$D$20000,$D1507))</f>
        <v/>
      </c>
      <c r="S1507" s="158">
        <f>IF($Q1507=0,0,$R1507*$P1507/$Q1507)</f>
        <v/>
      </c>
    </row>
    <row r="1508">
      <c r="A1508" s="155" t="n">
        <v>46109</v>
      </c>
      <c r="B1508" s="156" t="inlineStr">
        <is>
          <t>03-04</t>
        </is>
      </c>
      <c r="C1508" s="156" t="inlineStr">
        <is>
          <t>EX-335</t>
        </is>
      </c>
      <c r="D1508" s="156" t="inlineStr">
        <is>
          <t>DT-510</t>
        </is>
      </c>
      <c r="E1508" s="156" t="inlineStr">
        <is>
          <t>Coal</t>
        </is>
      </c>
      <c r="F1508" s="156" t="n">
        <v>2</v>
      </c>
      <c r="G1508" s="156" t="inlineStr"/>
      <c r="H1508" s="157">
        <f>IF($B1508="","",IF(ISNA(MATCH($B1508,MASTER_JAM!$Q$5:$Q$28,0)),"?",IF(MATCH($B1508,MASTER_JAM!$Q$5:$Q$28,0)&lt;=12,"DS","NS")))</f>
        <v/>
      </c>
      <c r="I1508" s="157">
        <f>IFERROR(INDEX(MASTER_JAM!$B$5:$B$94,MATCH($C1508,MASTER_JAM!$A$5:$A$94,0)),"")</f>
        <v/>
      </c>
      <c r="J1508" s="157">
        <f>IFERROR(INDEX(MASTER_JAM!$E$5:$E$94,MATCH($D1508,MASTER_JAM!$A$5:$A$94,0)),"")</f>
        <v/>
      </c>
      <c r="K1508" s="158">
        <f>IFERROR(INDEX(MASTER_JAM!$J$5:$O$12,MATCH($E1508,MASTER_JAM!$I$5:$I$12,0),MATCH($J1508,MASTER_JAM!$J$4:$O$4,0))+0,0)</f>
        <v/>
      </c>
      <c r="L1508" s="159">
        <f>N($F1508)*$K1508</f>
        <v/>
      </c>
      <c r="M1508" s="157">
        <f>IF($E1508="","",IF(OR($E1508="Coal",$E1508="Dirty Coal"),"MT","BCM"))</f>
        <v/>
      </c>
      <c r="N1508" s="157">
        <f>IF($E1508="","",IF(OR($E1508="Coal",$E1508="Dirty Coal"),"Coal","OB"))</f>
        <v/>
      </c>
      <c r="O1508" s="157">
        <f>IF($F1508="","",IF(COUNTIF(MASTER_JAM!$A$5:$A$94,$C1508)=0,"Digger tidak dikenal",IF($J1508="","Hauler tidak dikenal",IF($H1508="?","Jam salah",IF($K1508=0,"Faktor kosong",IF(SUMIFS(INPUT_DELAY!$E$5:$E$20000,INPUT_DELAY!$A$5:$A$20000,$A1508,INPUT_DELAY!$B$5:$B$20000,$B1508,INPUT_DELAY!$C$5:$C$20000,$C1508)+SUMIFS(INPUT_DELAY!$E$5:$E$20000,INPUT_DELAY!$A$5:$A$20000,$A1508,INPUT_DELAY!$B$5:$B$20000,$B1508,INPUT_DELAY!$C$5:$C$20000,"SEMUA")&gt;=60,"Delay 60 mnt tapi ada ritase","OK"))))))</f>
        <v/>
      </c>
      <c r="P1508" s="158">
        <f>IFERROR(INDEX(MASTER_JAM!$Z$5:$AC$10,MATCH($I1508,MASTER_JAM!$Y$5:$Y$10,0),MATCH($J1508,MASTER_JAM!$Z$4:$AC$4,0))+0,0)</f>
        <v/>
      </c>
      <c r="Q1508" s="158">
        <f>IF($P1508=0,0,$P1508+IFERROR(INDEX(MASTER_JAM!$H$5:$H$94,MATCH($C1508,MASTER_JAM!$A$5:$A$94,0))+0,MASTER_JAM!$AC$15)/1000*(60/MASTER_JAM!$AC$12+60/MASTER_JAM!$AC$13)+MASTER_JAM!$AC$14)</f>
        <v/>
      </c>
      <c r="R1508" s="158">
        <f>IF(N($F1508)=0,0,$F1508/SUMIFS(INPUT_RITASE!$F$5:$F$20000,INPUT_RITASE!$A$5:$A$20000,$A1508,INPUT_RITASE!$B$5:$B$20000,$B1508,INPUT_RITASE!$C$5:$C$20000,$C1508,INPUT_RITASE!$D$5:$D$20000,$D1508))</f>
        <v/>
      </c>
      <c r="S1508" s="158">
        <f>IF($Q1508=0,0,$R1508*$P1508/$Q1508)</f>
        <v/>
      </c>
    </row>
    <row r="1509">
      <c r="A1509" s="155" t="n">
        <v>46109</v>
      </c>
      <c r="B1509" s="156" t="inlineStr">
        <is>
          <t>03-04</t>
        </is>
      </c>
      <c r="C1509" s="156" t="inlineStr">
        <is>
          <t>EX-335</t>
        </is>
      </c>
      <c r="D1509" s="156" t="inlineStr">
        <is>
          <t>DT-812</t>
        </is>
      </c>
      <c r="E1509" s="156" t="inlineStr">
        <is>
          <t>Coal</t>
        </is>
      </c>
      <c r="F1509" s="156" t="n">
        <v>3</v>
      </c>
      <c r="G1509" s="156" t="inlineStr"/>
      <c r="H1509" s="157">
        <f>IF($B1509="","",IF(ISNA(MATCH($B1509,MASTER_JAM!$Q$5:$Q$28,0)),"?",IF(MATCH($B1509,MASTER_JAM!$Q$5:$Q$28,0)&lt;=12,"DS","NS")))</f>
        <v/>
      </c>
      <c r="I1509" s="157">
        <f>IFERROR(INDEX(MASTER_JAM!$B$5:$B$94,MATCH($C1509,MASTER_JAM!$A$5:$A$94,0)),"")</f>
        <v/>
      </c>
      <c r="J1509" s="157">
        <f>IFERROR(INDEX(MASTER_JAM!$E$5:$E$94,MATCH($D1509,MASTER_JAM!$A$5:$A$94,0)),"")</f>
        <v/>
      </c>
      <c r="K1509" s="158">
        <f>IFERROR(INDEX(MASTER_JAM!$J$5:$O$12,MATCH($E1509,MASTER_JAM!$I$5:$I$12,0),MATCH($J1509,MASTER_JAM!$J$4:$O$4,0))+0,0)</f>
        <v/>
      </c>
      <c r="L1509" s="159">
        <f>N($F1509)*$K1509</f>
        <v/>
      </c>
      <c r="M1509" s="157">
        <f>IF($E1509="","",IF(OR($E1509="Coal",$E1509="Dirty Coal"),"MT","BCM"))</f>
        <v/>
      </c>
      <c r="N1509" s="157">
        <f>IF($E1509="","",IF(OR($E1509="Coal",$E1509="Dirty Coal"),"Coal","OB"))</f>
        <v/>
      </c>
      <c r="O1509" s="157">
        <f>IF($F1509="","",IF(COUNTIF(MASTER_JAM!$A$5:$A$94,$C1509)=0,"Digger tidak dikenal",IF($J1509="","Hauler tidak dikenal",IF($H1509="?","Jam salah",IF($K1509=0,"Faktor kosong",IF(SUMIFS(INPUT_DELAY!$E$5:$E$20000,INPUT_DELAY!$A$5:$A$20000,$A1509,INPUT_DELAY!$B$5:$B$20000,$B1509,INPUT_DELAY!$C$5:$C$20000,$C1509)+SUMIFS(INPUT_DELAY!$E$5:$E$20000,INPUT_DELAY!$A$5:$A$20000,$A1509,INPUT_DELAY!$B$5:$B$20000,$B1509,INPUT_DELAY!$C$5:$C$20000,"SEMUA")&gt;=60,"Delay 60 mnt tapi ada ritase","OK"))))))</f>
        <v/>
      </c>
      <c r="P1509" s="158">
        <f>IFERROR(INDEX(MASTER_JAM!$Z$5:$AC$10,MATCH($I1509,MASTER_JAM!$Y$5:$Y$10,0),MATCH($J1509,MASTER_JAM!$Z$4:$AC$4,0))+0,0)</f>
        <v/>
      </c>
      <c r="Q1509" s="158">
        <f>IF($P1509=0,0,$P1509+IFERROR(INDEX(MASTER_JAM!$H$5:$H$94,MATCH($C1509,MASTER_JAM!$A$5:$A$94,0))+0,MASTER_JAM!$AC$15)/1000*(60/MASTER_JAM!$AC$12+60/MASTER_JAM!$AC$13)+MASTER_JAM!$AC$14)</f>
        <v/>
      </c>
      <c r="R1509" s="158">
        <f>IF(N($F1509)=0,0,$F1509/SUMIFS(INPUT_RITASE!$F$5:$F$20000,INPUT_RITASE!$A$5:$A$20000,$A1509,INPUT_RITASE!$B$5:$B$20000,$B1509,INPUT_RITASE!$C$5:$C$20000,$C1509,INPUT_RITASE!$D$5:$D$20000,$D1509))</f>
        <v/>
      </c>
      <c r="S1509" s="158">
        <f>IF($Q1509=0,0,$R1509*$P1509/$Q1509)</f>
        <v/>
      </c>
    </row>
    <row r="1510">
      <c r="A1510" s="155" t="n">
        <v>46109</v>
      </c>
      <c r="B1510" s="156" t="inlineStr">
        <is>
          <t>03-04</t>
        </is>
      </c>
      <c r="C1510" s="156" t="inlineStr">
        <is>
          <t>EX-335</t>
        </is>
      </c>
      <c r="D1510" s="156" t="inlineStr">
        <is>
          <t>DT-810</t>
        </is>
      </c>
      <c r="E1510" s="156" t="inlineStr">
        <is>
          <t>Coal</t>
        </is>
      </c>
      <c r="F1510" s="156" t="n">
        <v>3</v>
      </c>
      <c r="G1510" s="156" t="inlineStr"/>
      <c r="H1510" s="157">
        <f>IF($B1510="","",IF(ISNA(MATCH($B1510,MASTER_JAM!$Q$5:$Q$28,0)),"?",IF(MATCH($B1510,MASTER_JAM!$Q$5:$Q$28,0)&lt;=12,"DS","NS")))</f>
        <v/>
      </c>
      <c r="I1510" s="157">
        <f>IFERROR(INDEX(MASTER_JAM!$B$5:$B$94,MATCH($C1510,MASTER_JAM!$A$5:$A$94,0)),"")</f>
        <v/>
      </c>
      <c r="J1510" s="157">
        <f>IFERROR(INDEX(MASTER_JAM!$E$5:$E$94,MATCH($D1510,MASTER_JAM!$A$5:$A$94,0)),"")</f>
        <v/>
      </c>
      <c r="K1510" s="158">
        <f>IFERROR(INDEX(MASTER_JAM!$J$5:$O$12,MATCH($E1510,MASTER_JAM!$I$5:$I$12,0),MATCH($J1510,MASTER_JAM!$J$4:$O$4,0))+0,0)</f>
        <v/>
      </c>
      <c r="L1510" s="159">
        <f>N($F1510)*$K1510</f>
        <v/>
      </c>
      <c r="M1510" s="157">
        <f>IF($E1510="","",IF(OR($E1510="Coal",$E1510="Dirty Coal"),"MT","BCM"))</f>
        <v/>
      </c>
      <c r="N1510" s="157">
        <f>IF($E1510="","",IF(OR($E1510="Coal",$E1510="Dirty Coal"),"Coal","OB"))</f>
        <v/>
      </c>
      <c r="O1510" s="157">
        <f>IF($F1510="","",IF(COUNTIF(MASTER_JAM!$A$5:$A$94,$C1510)=0,"Digger tidak dikenal",IF($J1510="","Hauler tidak dikenal",IF($H1510="?","Jam salah",IF($K1510=0,"Faktor kosong",IF(SUMIFS(INPUT_DELAY!$E$5:$E$20000,INPUT_DELAY!$A$5:$A$20000,$A1510,INPUT_DELAY!$B$5:$B$20000,$B1510,INPUT_DELAY!$C$5:$C$20000,$C1510)+SUMIFS(INPUT_DELAY!$E$5:$E$20000,INPUT_DELAY!$A$5:$A$20000,$A1510,INPUT_DELAY!$B$5:$B$20000,$B1510,INPUT_DELAY!$C$5:$C$20000,"SEMUA")&gt;=60,"Delay 60 mnt tapi ada ritase","OK"))))))</f>
        <v/>
      </c>
      <c r="P1510" s="158">
        <f>IFERROR(INDEX(MASTER_JAM!$Z$5:$AC$10,MATCH($I1510,MASTER_JAM!$Y$5:$Y$10,0),MATCH($J1510,MASTER_JAM!$Z$4:$AC$4,0))+0,0)</f>
        <v/>
      </c>
      <c r="Q1510" s="158">
        <f>IF($P1510=0,0,$P1510+IFERROR(INDEX(MASTER_JAM!$H$5:$H$94,MATCH($C1510,MASTER_JAM!$A$5:$A$94,0))+0,MASTER_JAM!$AC$15)/1000*(60/MASTER_JAM!$AC$12+60/MASTER_JAM!$AC$13)+MASTER_JAM!$AC$14)</f>
        <v/>
      </c>
      <c r="R1510" s="158">
        <f>IF(N($F1510)=0,0,$F1510/SUMIFS(INPUT_RITASE!$F$5:$F$20000,INPUT_RITASE!$A$5:$A$20000,$A1510,INPUT_RITASE!$B$5:$B$20000,$B1510,INPUT_RITASE!$C$5:$C$20000,$C1510,INPUT_RITASE!$D$5:$D$20000,$D1510))</f>
        <v/>
      </c>
      <c r="S1510" s="158">
        <f>IF($Q1510=0,0,$R1510*$P1510/$Q1510)</f>
        <v/>
      </c>
    </row>
    <row r="1511">
      <c r="A1511" s="155" t="n">
        <v>46109</v>
      </c>
      <c r="B1511" s="156" t="inlineStr">
        <is>
          <t>04-05</t>
        </is>
      </c>
      <c r="C1511" s="156" t="inlineStr">
        <is>
          <t>EX-335</t>
        </is>
      </c>
      <c r="D1511" s="156" t="inlineStr">
        <is>
          <t>DT-523</t>
        </is>
      </c>
      <c r="E1511" s="156" t="inlineStr">
        <is>
          <t>Coal</t>
        </is>
      </c>
      <c r="F1511" s="156" t="n">
        <v>3</v>
      </c>
      <c r="G1511" s="156" t="inlineStr"/>
      <c r="H1511" s="157">
        <f>IF($B1511="","",IF(ISNA(MATCH($B1511,MASTER_JAM!$Q$5:$Q$28,0)),"?",IF(MATCH($B1511,MASTER_JAM!$Q$5:$Q$28,0)&lt;=12,"DS","NS")))</f>
        <v/>
      </c>
      <c r="I1511" s="157">
        <f>IFERROR(INDEX(MASTER_JAM!$B$5:$B$94,MATCH($C1511,MASTER_JAM!$A$5:$A$94,0)),"")</f>
        <v/>
      </c>
      <c r="J1511" s="157">
        <f>IFERROR(INDEX(MASTER_JAM!$E$5:$E$94,MATCH($D1511,MASTER_JAM!$A$5:$A$94,0)),"")</f>
        <v/>
      </c>
      <c r="K1511" s="158">
        <f>IFERROR(INDEX(MASTER_JAM!$J$5:$O$12,MATCH($E1511,MASTER_JAM!$I$5:$I$12,0),MATCH($J1511,MASTER_JAM!$J$4:$O$4,0))+0,0)</f>
        <v/>
      </c>
      <c r="L1511" s="159">
        <f>N($F1511)*$K1511</f>
        <v/>
      </c>
      <c r="M1511" s="157">
        <f>IF($E1511="","",IF(OR($E1511="Coal",$E1511="Dirty Coal"),"MT","BCM"))</f>
        <v/>
      </c>
      <c r="N1511" s="157">
        <f>IF($E1511="","",IF(OR($E1511="Coal",$E1511="Dirty Coal"),"Coal","OB"))</f>
        <v/>
      </c>
      <c r="O1511" s="157">
        <f>IF($F1511="","",IF(COUNTIF(MASTER_JAM!$A$5:$A$94,$C1511)=0,"Digger tidak dikenal",IF($J1511="","Hauler tidak dikenal",IF($H1511="?","Jam salah",IF($K1511=0,"Faktor kosong",IF(SUMIFS(INPUT_DELAY!$E$5:$E$20000,INPUT_DELAY!$A$5:$A$20000,$A1511,INPUT_DELAY!$B$5:$B$20000,$B1511,INPUT_DELAY!$C$5:$C$20000,$C1511)+SUMIFS(INPUT_DELAY!$E$5:$E$20000,INPUT_DELAY!$A$5:$A$20000,$A1511,INPUT_DELAY!$B$5:$B$20000,$B1511,INPUT_DELAY!$C$5:$C$20000,"SEMUA")&gt;=60,"Delay 60 mnt tapi ada ritase","OK"))))))</f>
        <v/>
      </c>
      <c r="P1511" s="158">
        <f>IFERROR(INDEX(MASTER_JAM!$Z$5:$AC$10,MATCH($I1511,MASTER_JAM!$Y$5:$Y$10,0),MATCH($J1511,MASTER_JAM!$Z$4:$AC$4,0))+0,0)</f>
        <v/>
      </c>
      <c r="Q1511" s="158">
        <f>IF($P1511=0,0,$P1511+IFERROR(INDEX(MASTER_JAM!$H$5:$H$94,MATCH($C1511,MASTER_JAM!$A$5:$A$94,0))+0,MASTER_JAM!$AC$15)/1000*(60/MASTER_JAM!$AC$12+60/MASTER_JAM!$AC$13)+MASTER_JAM!$AC$14)</f>
        <v/>
      </c>
      <c r="R1511" s="158">
        <f>IF(N($F1511)=0,0,$F1511/SUMIFS(INPUT_RITASE!$F$5:$F$20000,INPUT_RITASE!$A$5:$A$20000,$A1511,INPUT_RITASE!$B$5:$B$20000,$B1511,INPUT_RITASE!$C$5:$C$20000,$C1511,INPUT_RITASE!$D$5:$D$20000,$D1511))</f>
        <v/>
      </c>
      <c r="S1511" s="158">
        <f>IF($Q1511=0,0,$R1511*$P1511/$Q1511)</f>
        <v/>
      </c>
    </row>
    <row r="1512">
      <c r="A1512" s="155" t="n">
        <v>46109</v>
      </c>
      <c r="B1512" s="156" t="inlineStr">
        <is>
          <t>04-05</t>
        </is>
      </c>
      <c r="C1512" s="156" t="inlineStr">
        <is>
          <t>EX-335</t>
        </is>
      </c>
      <c r="D1512" s="156" t="inlineStr">
        <is>
          <t>DT-510</t>
        </is>
      </c>
      <c r="E1512" s="156" t="inlineStr">
        <is>
          <t>Coal</t>
        </is>
      </c>
      <c r="F1512" s="156" t="n">
        <v>2</v>
      </c>
      <c r="G1512" s="156" t="inlineStr"/>
      <c r="H1512" s="157">
        <f>IF($B1512="","",IF(ISNA(MATCH($B1512,MASTER_JAM!$Q$5:$Q$28,0)),"?",IF(MATCH($B1512,MASTER_JAM!$Q$5:$Q$28,0)&lt;=12,"DS","NS")))</f>
        <v/>
      </c>
      <c r="I1512" s="157">
        <f>IFERROR(INDEX(MASTER_JAM!$B$5:$B$94,MATCH($C1512,MASTER_JAM!$A$5:$A$94,0)),"")</f>
        <v/>
      </c>
      <c r="J1512" s="157">
        <f>IFERROR(INDEX(MASTER_JAM!$E$5:$E$94,MATCH($D1512,MASTER_JAM!$A$5:$A$94,0)),"")</f>
        <v/>
      </c>
      <c r="K1512" s="158">
        <f>IFERROR(INDEX(MASTER_JAM!$J$5:$O$12,MATCH($E1512,MASTER_JAM!$I$5:$I$12,0),MATCH($J1512,MASTER_JAM!$J$4:$O$4,0))+0,0)</f>
        <v/>
      </c>
      <c r="L1512" s="159">
        <f>N($F1512)*$K1512</f>
        <v/>
      </c>
      <c r="M1512" s="157">
        <f>IF($E1512="","",IF(OR($E1512="Coal",$E1512="Dirty Coal"),"MT","BCM"))</f>
        <v/>
      </c>
      <c r="N1512" s="157">
        <f>IF($E1512="","",IF(OR($E1512="Coal",$E1512="Dirty Coal"),"Coal","OB"))</f>
        <v/>
      </c>
      <c r="O1512" s="157">
        <f>IF($F1512="","",IF(COUNTIF(MASTER_JAM!$A$5:$A$94,$C1512)=0,"Digger tidak dikenal",IF($J1512="","Hauler tidak dikenal",IF($H1512="?","Jam salah",IF($K1512=0,"Faktor kosong",IF(SUMIFS(INPUT_DELAY!$E$5:$E$20000,INPUT_DELAY!$A$5:$A$20000,$A1512,INPUT_DELAY!$B$5:$B$20000,$B1512,INPUT_DELAY!$C$5:$C$20000,$C1512)+SUMIFS(INPUT_DELAY!$E$5:$E$20000,INPUT_DELAY!$A$5:$A$20000,$A1512,INPUT_DELAY!$B$5:$B$20000,$B1512,INPUT_DELAY!$C$5:$C$20000,"SEMUA")&gt;=60,"Delay 60 mnt tapi ada ritase","OK"))))))</f>
        <v/>
      </c>
      <c r="P1512" s="158">
        <f>IFERROR(INDEX(MASTER_JAM!$Z$5:$AC$10,MATCH($I1512,MASTER_JAM!$Y$5:$Y$10,0),MATCH($J1512,MASTER_JAM!$Z$4:$AC$4,0))+0,0)</f>
        <v/>
      </c>
      <c r="Q1512" s="158">
        <f>IF($P1512=0,0,$P1512+IFERROR(INDEX(MASTER_JAM!$H$5:$H$94,MATCH($C1512,MASTER_JAM!$A$5:$A$94,0))+0,MASTER_JAM!$AC$15)/1000*(60/MASTER_JAM!$AC$12+60/MASTER_JAM!$AC$13)+MASTER_JAM!$AC$14)</f>
        <v/>
      </c>
      <c r="R1512" s="158">
        <f>IF(N($F1512)=0,0,$F1512/SUMIFS(INPUT_RITASE!$F$5:$F$20000,INPUT_RITASE!$A$5:$A$20000,$A1512,INPUT_RITASE!$B$5:$B$20000,$B1512,INPUT_RITASE!$C$5:$C$20000,$C1512,INPUT_RITASE!$D$5:$D$20000,$D1512))</f>
        <v/>
      </c>
      <c r="S1512" s="158">
        <f>IF($Q1512=0,0,$R1512*$P1512/$Q1512)</f>
        <v/>
      </c>
    </row>
    <row r="1513">
      <c r="A1513" s="155" t="n">
        <v>46109</v>
      </c>
      <c r="B1513" s="156" t="inlineStr">
        <is>
          <t>04-05</t>
        </is>
      </c>
      <c r="C1513" s="156" t="inlineStr">
        <is>
          <t>EX-335</t>
        </is>
      </c>
      <c r="D1513" s="156" t="inlineStr">
        <is>
          <t>DT-810</t>
        </is>
      </c>
      <c r="E1513" s="156" t="inlineStr">
        <is>
          <t>Coal</t>
        </is>
      </c>
      <c r="F1513" s="156" t="n">
        <v>3</v>
      </c>
      <c r="G1513" s="156" t="inlineStr"/>
      <c r="H1513" s="157">
        <f>IF($B1513="","",IF(ISNA(MATCH($B1513,MASTER_JAM!$Q$5:$Q$28,0)),"?",IF(MATCH($B1513,MASTER_JAM!$Q$5:$Q$28,0)&lt;=12,"DS","NS")))</f>
        <v/>
      </c>
      <c r="I1513" s="157">
        <f>IFERROR(INDEX(MASTER_JAM!$B$5:$B$94,MATCH($C1513,MASTER_JAM!$A$5:$A$94,0)),"")</f>
        <v/>
      </c>
      <c r="J1513" s="157">
        <f>IFERROR(INDEX(MASTER_JAM!$E$5:$E$94,MATCH($D1513,MASTER_JAM!$A$5:$A$94,0)),"")</f>
        <v/>
      </c>
      <c r="K1513" s="158">
        <f>IFERROR(INDEX(MASTER_JAM!$J$5:$O$12,MATCH($E1513,MASTER_JAM!$I$5:$I$12,0),MATCH($J1513,MASTER_JAM!$J$4:$O$4,0))+0,0)</f>
        <v/>
      </c>
      <c r="L1513" s="159">
        <f>N($F1513)*$K1513</f>
        <v/>
      </c>
      <c r="M1513" s="157">
        <f>IF($E1513="","",IF(OR($E1513="Coal",$E1513="Dirty Coal"),"MT","BCM"))</f>
        <v/>
      </c>
      <c r="N1513" s="157">
        <f>IF($E1513="","",IF(OR($E1513="Coal",$E1513="Dirty Coal"),"Coal","OB"))</f>
        <v/>
      </c>
      <c r="O1513" s="157">
        <f>IF($F1513="","",IF(COUNTIF(MASTER_JAM!$A$5:$A$94,$C1513)=0,"Digger tidak dikenal",IF($J1513="","Hauler tidak dikenal",IF($H1513="?","Jam salah",IF($K1513=0,"Faktor kosong",IF(SUMIFS(INPUT_DELAY!$E$5:$E$20000,INPUT_DELAY!$A$5:$A$20000,$A1513,INPUT_DELAY!$B$5:$B$20000,$B1513,INPUT_DELAY!$C$5:$C$20000,$C1513)+SUMIFS(INPUT_DELAY!$E$5:$E$20000,INPUT_DELAY!$A$5:$A$20000,$A1513,INPUT_DELAY!$B$5:$B$20000,$B1513,INPUT_DELAY!$C$5:$C$20000,"SEMUA")&gt;=60,"Delay 60 mnt tapi ada ritase","OK"))))))</f>
        <v/>
      </c>
      <c r="P1513" s="158">
        <f>IFERROR(INDEX(MASTER_JAM!$Z$5:$AC$10,MATCH($I1513,MASTER_JAM!$Y$5:$Y$10,0),MATCH($J1513,MASTER_JAM!$Z$4:$AC$4,0))+0,0)</f>
        <v/>
      </c>
      <c r="Q1513" s="158">
        <f>IF($P1513=0,0,$P1513+IFERROR(INDEX(MASTER_JAM!$H$5:$H$94,MATCH($C1513,MASTER_JAM!$A$5:$A$94,0))+0,MASTER_JAM!$AC$15)/1000*(60/MASTER_JAM!$AC$12+60/MASTER_JAM!$AC$13)+MASTER_JAM!$AC$14)</f>
        <v/>
      </c>
      <c r="R1513" s="158">
        <f>IF(N($F1513)=0,0,$F1513/SUMIFS(INPUT_RITASE!$F$5:$F$20000,INPUT_RITASE!$A$5:$A$20000,$A1513,INPUT_RITASE!$B$5:$B$20000,$B1513,INPUT_RITASE!$C$5:$C$20000,$C1513,INPUT_RITASE!$D$5:$D$20000,$D1513))</f>
        <v/>
      </c>
      <c r="S1513" s="158">
        <f>IF($Q1513=0,0,$R1513*$P1513/$Q1513)</f>
        <v/>
      </c>
    </row>
    <row r="1514">
      <c r="A1514" s="155" t="n">
        <v>46109</v>
      </c>
      <c r="B1514" s="156" t="inlineStr">
        <is>
          <t>04-05</t>
        </is>
      </c>
      <c r="C1514" s="156" t="inlineStr">
        <is>
          <t>EX-335</t>
        </is>
      </c>
      <c r="D1514" s="156" t="inlineStr">
        <is>
          <t>DT-812</t>
        </is>
      </c>
      <c r="E1514" s="156" t="inlineStr">
        <is>
          <t>Coal</t>
        </is>
      </c>
      <c r="F1514" s="156" t="n">
        <v>2</v>
      </c>
      <c r="G1514" s="156" t="inlineStr"/>
      <c r="H1514" s="157">
        <f>IF($B1514="","",IF(ISNA(MATCH($B1514,MASTER_JAM!$Q$5:$Q$28,0)),"?",IF(MATCH($B1514,MASTER_JAM!$Q$5:$Q$28,0)&lt;=12,"DS","NS")))</f>
        <v/>
      </c>
      <c r="I1514" s="157">
        <f>IFERROR(INDEX(MASTER_JAM!$B$5:$B$94,MATCH($C1514,MASTER_JAM!$A$5:$A$94,0)),"")</f>
        <v/>
      </c>
      <c r="J1514" s="157">
        <f>IFERROR(INDEX(MASTER_JAM!$E$5:$E$94,MATCH($D1514,MASTER_JAM!$A$5:$A$94,0)),"")</f>
        <v/>
      </c>
      <c r="K1514" s="158">
        <f>IFERROR(INDEX(MASTER_JAM!$J$5:$O$12,MATCH($E1514,MASTER_JAM!$I$5:$I$12,0),MATCH($J1514,MASTER_JAM!$J$4:$O$4,0))+0,0)</f>
        <v/>
      </c>
      <c r="L1514" s="159">
        <f>N($F1514)*$K1514</f>
        <v/>
      </c>
      <c r="M1514" s="157">
        <f>IF($E1514="","",IF(OR($E1514="Coal",$E1514="Dirty Coal"),"MT","BCM"))</f>
        <v/>
      </c>
      <c r="N1514" s="157">
        <f>IF($E1514="","",IF(OR($E1514="Coal",$E1514="Dirty Coal"),"Coal","OB"))</f>
        <v/>
      </c>
      <c r="O1514" s="157">
        <f>IF($F1514="","",IF(COUNTIF(MASTER_JAM!$A$5:$A$94,$C1514)=0,"Digger tidak dikenal",IF($J1514="","Hauler tidak dikenal",IF($H1514="?","Jam salah",IF($K1514=0,"Faktor kosong",IF(SUMIFS(INPUT_DELAY!$E$5:$E$20000,INPUT_DELAY!$A$5:$A$20000,$A1514,INPUT_DELAY!$B$5:$B$20000,$B1514,INPUT_DELAY!$C$5:$C$20000,$C1514)+SUMIFS(INPUT_DELAY!$E$5:$E$20000,INPUT_DELAY!$A$5:$A$20000,$A1514,INPUT_DELAY!$B$5:$B$20000,$B1514,INPUT_DELAY!$C$5:$C$20000,"SEMUA")&gt;=60,"Delay 60 mnt tapi ada ritase","OK"))))))</f>
        <v/>
      </c>
      <c r="P1514" s="158">
        <f>IFERROR(INDEX(MASTER_JAM!$Z$5:$AC$10,MATCH($I1514,MASTER_JAM!$Y$5:$Y$10,0),MATCH($J1514,MASTER_JAM!$Z$4:$AC$4,0))+0,0)</f>
        <v/>
      </c>
      <c r="Q1514" s="158">
        <f>IF($P1514=0,0,$P1514+IFERROR(INDEX(MASTER_JAM!$H$5:$H$94,MATCH($C1514,MASTER_JAM!$A$5:$A$94,0))+0,MASTER_JAM!$AC$15)/1000*(60/MASTER_JAM!$AC$12+60/MASTER_JAM!$AC$13)+MASTER_JAM!$AC$14)</f>
        <v/>
      </c>
      <c r="R1514" s="158">
        <f>IF(N($F1514)=0,0,$F1514/SUMIFS(INPUT_RITASE!$F$5:$F$20000,INPUT_RITASE!$A$5:$A$20000,$A1514,INPUT_RITASE!$B$5:$B$20000,$B1514,INPUT_RITASE!$C$5:$C$20000,$C1514,INPUT_RITASE!$D$5:$D$20000,$D1514))</f>
        <v/>
      </c>
      <c r="S1514" s="158">
        <f>IF($Q1514=0,0,$R1514*$P1514/$Q1514)</f>
        <v/>
      </c>
    </row>
    <row r="1515">
      <c r="A1515" s="155" t="n">
        <v>46109</v>
      </c>
      <c r="B1515" s="156" t="inlineStr">
        <is>
          <t>05-06</t>
        </is>
      </c>
      <c r="C1515" s="156" t="inlineStr">
        <is>
          <t>EX-335</t>
        </is>
      </c>
      <c r="D1515" s="156" t="inlineStr">
        <is>
          <t>DT-810</t>
        </is>
      </c>
      <c r="E1515" s="156" t="inlineStr">
        <is>
          <t>Coal</t>
        </is>
      </c>
      <c r="F1515" s="156" t="n">
        <v>3</v>
      </c>
      <c r="G1515" s="156" t="inlineStr"/>
      <c r="H1515" s="157">
        <f>IF($B1515="","",IF(ISNA(MATCH($B1515,MASTER_JAM!$Q$5:$Q$28,0)),"?",IF(MATCH($B1515,MASTER_JAM!$Q$5:$Q$28,0)&lt;=12,"DS","NS")))</f>
        <v/>
      </c>
      <c r="I1515" s="157">
        <f>IFERROR(INDEX(MASTER_JAM!$B$5:$B$94,MATCH($C1515,MASTER_JAM!$A$5:$A$94,0)),"")</f>
        <v/>
      </c>
      <c r="J1515" s="157">
        <f>IFERROR(INDEX(MASTER_JAM!$E$5:$E$94,MATCH($D1515,MASTER_JAM!$A$5:$A$94,0)),"")</f>
        <v/>
      </c>
      <c r="K1515" s="158">
        <f>IFERROR(INDEX(MASTER_JAM!$J$5:$O$12,MATCH($E1515,MASTER_JAM!$I$5:$I$12,0),MATCH($J1515,MASTER_JAM!$J$4:$O$4,0))+0,0)</f>
        <v/>
      </c>
      <c r="L1515" s="159">
        <f>N($F1515)*$K1515</f>
        <v/>
      </c>
      <c r="M1515" s="157">
        <f>IF($E1515="","",IF(OR($E1515="Coal",$E1515="Dirty Coal"),"MT","BCM"))</f>
        <v/>
      </c>
      <c r="N1515" s="157">
        <f>IF($E1515="","",IF(OR($E1515="Coal",$E1515="Dirty Coal"),"Coal","OB"))</f>
        <v/>
      </c>
      <c r="O1515" s="157">
        <f>IF($F1515="","",IF(COUNTIF(MASTER_JAM!$A$5:$A$94,$C1515)=0,"Digger tidak dikenal",IF($J1515="","Hauler tidak dikenal",IF($H1515="?","Jam salah",IF($K1515=0,"Faktor kosong",IF(SUMIFS(INPUT_DELAY!$E$5:$E$20000,INPUT_DELAY!$A$5:$A$20000,$A1515,INPUT_DELAY!$B$5:$B$20000,$B1515,INPUT_DELAY!$C$5:$C$20000,$C1515)+SUMIFS(INPUT_DELAY!$E$5:$E$20000,INPUT_DELAY!$A$5:$A$20000,$A1515,INPUT_DELAY!$B$5:$B$20000,$B1515,INPUT_DELAY!$C$5:$C$20000,"SEMUA")&gt;=60,"Delay 60 mnt tapi ada ritase","OK"))))))</f>
        <v/>
      </c>
      <c r="P1515" s="158">
        <f>IFERROR(INDEX(MASTER_JAM!$Z$5:$AC$10,MATCH($I1515,MASTER_JAM!$Y$5:$Y$10,0),MATCH($J1515,MASTER_JAM!$Z$4:$AC$4,0))+0,0)</f>
        <v/>
      </c>
      <c r="Q1515" s="158">
        <f>IF($P1515=0,0,$P1515+IFERROR(INDEX(MASTER_JAM!$H$5:$H$94,MATCH($C1515,MASTER_JAM!$A$5:$A$94,0))+0,MASTER_JAM!$AC$15)/1000*(60/MASTER_JAM!$AC$12+60/MASTER_JAM!$AC$13)+MASTER_JAM!$AC$14)</f>
        <v/>
      </c>
      <c r="R1515" s="158">
        <f>IF(N($F1515)=0,0,$F1515/SUMIFS(INPUT_RITASE!$F$5:$F$20000,INPUT_RITASE!$A$5:$A$20000,$A1515,INPUT_RITASE!$B$5:$B$20000,$B1515,INPUT_RITASE!$C$5:$C$20000,$C1515,INPUT_RITASE!$D$5:$D$20000,$D1515))</f>
        <v/>
      </c>
      <c r="S1515" s="158">
        <f>IF($Q1515=0,0,$R1515*$P1515/$Q1515)</f>
        <v/>
      </c>
    </row>
    <row r="1516">
      <c r="A1516" s="155" t="n">
        <v>46109</v>
      </c>
      <c r="B1516" s="156" t="inlineStr">
        <is>
          <t>05-06</t>
        </is>
      </c>
      <c r="C1516" s="156" t="inlineStr">
        <is>
          <t>EX-335</t>
        </is>
      </c>
      <c r="D1516" s="156" t="inlineStr">
        <is>
          <t>DT-812</t>
        </is>
      </c>
      <c r="E1516" s="156" t="inlineStr">
        <is>
          <t>Coal</t>
        </is>
      </c>
      <c r="F1516" s="156" t="n">
        <v>3</v>
      </c>
      <c r="G1516" s="156" t="inlineStr"/>
      <c r="H1516" s="157">
        <f>IF($B1516="","",IF(ISNA(MATCH($B1516,MASTER_JAM!$Q$5:$Q$28,0)),"?",IF(MATCH($B1516,MASTER_JAM!$Q$5:$Q$28,0)&lt;=12,"DS","NS")))</f>
        <v/>
      </c>
      <c r="I1516" s="157">
        <f>IFERROR(INDEX(MASTER_JAM!$B$5:$B$94,MATCH($C1516,MASTER_JAM!$A$5:$A$94,0)),"")</f>
        <v/>
      </c>
      <c r="J1516" s="157">
        <f>IFERROR(INDEX(MASTER_JAM!$E$5:$E$94,MATCH($D1516,MASTER_JAM!$A$5:$A$94,0)),"")</f>
        <v/>
      </c>
      <c r="K1516" s="158">
        <f>IFERROR(INDEX(MASTER_JAM!$J$5:$O$12,MATCH($E1516,MASTER_JAM!$I$5:$I$12,0),MATCH($J1516,MASTER_JAM!$J$4:$O$4,0))+0,0)</f>
        <v/>
      </c>
      <c r="L1516" s="159">
        <f>N($F1516)*$K1516</f>
        <v/>
      </c>
      <c r="M1516" s="157">
        <f>IF($E1516="","",IF(OR($E1516="Coal",$E1516="Dirty Coal"),"MT","BCM"))</f>
        <v/>
      </c>
      <c r="N1516" s="157">
        <f>IF($E1516="","",IF(OR($E1516="Coal",$E1516="Dirty Coal"),"Coal","OB"))</f>
        <v/>
      </c>
      <c r="O1516" s="157">
        <f>IF($F1516="","",IF(COUNTIF(MASTER_JAM!$A$5:$A$94,$C1516)=0,"Digger tidak dikenal",IF($J1516="","Hauler tidak dikenal",IF($H1516="?","Jam salah",IF($K1516=0,"Faktor kosong",IF(SUMIFS(INPUT_DELAY!$E$5:$E$20000,INPUT_DELAY!$A$5:$A$20000,$A1516,INPUT_DELAY!$B$5:$B$20000,$B1516,INPUT_DELAY!$C$5:$C$20000,$C1516)+SUMIFS(INPUT_DELAY!$E$5:$E$20000,INPUT_DELAY!$A$5:$A$20000,$A1516,INPUT_DELAY!$B$5:$B$20000,$B1516,INPUT_DELAY!$C$5:$C$20000,"SEMUA")&gt;=60,"Delay 60 mnt tapi ada ritase","OK"))))))</f>
        <v/>
      </c>
      <c r="P1516" s="158">
        <f>IFERROR(INDEX(MASTER_JAM!$Z$5:$AC$10,MATCH($I1516,MASTER_JAM!$Y$5:$Y$10,0),MATCH($J1516,MASTER_JAM!$Z$4:$AC$4,0))+0,0)</f>
        <v/>
      </c>
      <c r="Q1516" s="158">
        <f>IF($P1516=0,0,$P1516+IFERROR(INDEX(MASTER_JAM!$H$5:$H$94,MATCH($C1516,MASTER_JAM!$A$5:$A$94,0))+0,MASTER_JAM!$AC$15)/1000*(60/MASTER_JAM!$AC$12+60/MASTER_JAM!$AC$13)+MASTER_JAM!$AC$14)</f>
        <v/>
      </c>
      <c r="R1516" s="158">
        <f>IF(N($F1516)=0,0,$F1516/SUMIFS(INPUT_RITASE!$F$5:$F$20000,INPUT_RITASE!$A$5:$A$20000,$A1516,INPUT_RITASE!$B$5:$B$20000,$B1516,INPUT_RITASE!$C$5:$C$20000,$C1516,INPUT_RITASE!$D$5:$D$20000,$D1516))</f>
        <v/>
      </c>
      <c r="S1516" s="158">
        <f>IF($Q1516=0,0,$R1516*$P1516/$Q1516)</f>
        <v/>
      </c>
    </row>
    <row r="1517">
      <c r="A1517" s="155" t="n">
        <v>46109</v>
      </c>
      <c r="B1517" s="156" t="inlineStr">
        <is>
          <t>05-06</t>
        </is>
      </c>
      <c r="C1517" s="156" t="inlineStr">
        <is>
          <t>EX-335</t>
        </is>
      </c>
      <c r="D1517" s="156" t="inlineStr">
        <is>
          <t>DT-521</t>
        </is>
      </c>
      <c r="E1517" s="156" t="inlineStr">
        <is>
          <t>Coal</t>
        </is>
      </c>
      <c r="F1517" s="156" t="n">
        <v>1</v>
      </c>
      <c r="G1517" s="156" t="inlineStr"/>
      <c r="H1517" s="157">
        <f>IF($B1517="","",IF(ISNA(MATCH($B1517,MASTER_JAM!$Q$5:$Q$28,0)),"?",IF(MATCH($B1517,MASTER_JAM!$Q$5:$Q$28,0)&lt;=12,"DS","NS")))</f>
        <v/>
      </c>
      <c r="I1517" s="157">
        <f>IFERROR(INDEX(MASTER_JAM!$B$5:$B$94,MATCH($C1517,MASTER_JAM!$A$5:$A$94,0)),"")</f>
        <v/>
      </c>
      <c r="J1517" s="157">
        <f>IFERROR(INDEX(MASTER_JAM!$E$5:$E$94,MATCH($D1517,MASTER_JAM!$A$5:$A$94,0)),"")</f>
        <v/>
      </c>
      <c r="K1517" s="158">
        <f>IFERROR(INDEX(MASTER_JAM!$J$5:$O$12,MATCH($E1517,MASTER_JAM!$I$5:$I$12,0),MATCH($J1517,MASTER_JAM!$J$4:$O$4,0))+0,0)</f>
        <v/>
      </c>
      <c r="L1517" s="159">
        <f>N($F1517)*$K1517</f>
        <v/>
      </c>
      <c r="M1517" s="157">
        <f>IF($E1517="","",IF(OR($E1517="Coal",$E1517="Dirty Coal"),"MT","BCM"))</f>
        <v/>
      </c>
      <c r="N1517" s="157">
        <f>IF($E1517="","",IF(OR($E1517="Coal",$E1517="Dirty Coal"),"Coal","OB"))</f>
        <v/>
      </c>
      <c r="O1517" s="157">
        <f>IF($F1517="","",IF(COUNTIF(MASTER_JAM!$A$5:$A$94,$C1517)=0,"Digger tidak dikenal",IF($J1517="","Hauler tidak dikenal",IF($H1517="?","Jam salah",IF($K1517=0,"Faktor kosong",IF(SUMIFS(INPUT_DELAY!$E$5:$E$20000,INPUT_DELAY!$A$5:$A$20000,$A1517,INPUT_DELAY!$B$5:$B$20000,$B1517,INPUT_DELAY!$C$5:$C$20000,$C1517)+SUMIFS(INPUT_DELAY!$E$5:$E$20000,INPUT_DELAY!$A$5:$A$20000,$A1517,INPUT_DELAY!$B$5:$B$20000,$B1517,INPUT_DELAY!$C$5:$C$20000,"SEMUA")&gt;=60,"Delay 60 mnt tapi ada ritase","OK"))))))</f>
        <v/>
      </c>
      <c r="P1517" s="158">
        <f>IFERROR(INDEX(MASTER_JAM!$Z$5:$AC$10,MATCH($I1517,MASTER_JAM!$Y$5:$Y$10,0),MATCH($J1517,MASTER_JAM!$Z$4:$AC$4,0))+0,0)</f>
        <v/>
      </c>
      <c r="Q1517" s="158">
        <f>IF($P1517=0,0,$P1517+IFERROR(INDEX(MASTER_JAM!$H$5:$H$94,MATCH($C1517,MASTER_JAM!$A$5:$A$94,0))+0,MASTER_JAM!$AC$15)/1000*(60/MASTER_JAM!$AC$12+60/MASTER_JAM!$AC$13)+MASTER_JAM!$AC$14)</f>
        <v/>
      </c>
      <c r="R1517" s="158">
        <f>IF(N($F1517)=0,0,$F1517/SUMIFS(INPUT_RITASE!$F$5:$F$20000,INPUT_RITASE!$A$5:$A$20000,$A1517,INPUT_RITASE!$B$5:$B$20000,$B1517,INPUT_RITASE!$C$5:$C$20000,$C1517,INPUT_RITASE!$D$5:$D$20000,$D1517))</f>
        <v/>
      </c>
      <c r="S1517" s="158">
        <f>IF($Q1517=0,0,$R1517*$P1517/$Q1517)</f>
        <v/>
      </c>
    </row>
    <row r="1518">
      <c r="A1518" s="155" t="n">
        <v>46109</v>
      </c>
      <c r="B1518" s="156" t="inlineStr">
        <is>
          <t>18-19</t>
        </is>
      </c>
      <c r="C1518" s="156" t="inlineStr">
        <is>
          <t>EX-754</t>
        </is>
      </c>
      <c r="D1518" s="156" t="inlineStr">
        <is>
          <t>DT-501</t>
        </is>
      </c>
      <c r="E1518" s="156" t="inlineStr">
        <is>
          <t>OB</t>
        </is>
      </c>
      <c r="F1518" s="156" t="n">
        <v>4</v>
      </c>
      <c r="G1518" s="156" t="inlineStr"/>
      <c r="H1518" s="157">
        <f>IF($B1518="","",IF(ISNA(MATCH($B1518,MASTER_JAM!$Q$5:$Q$28,0)),"?",IF(MATCH($B1518,MASTER_JAM!$Q$5:$Q$28,0)&lt;=12,"DS","NS")))</f>
        <v/>
      </c>
      <c r="I1518" s="157">
        <f>IFERROR(INDEX(MASTER_JAM!$B$5:$B$94,MATCH($C1518,MASTER_JAM!$A$5:$A$94,0)),"")</f>
        <v/>
      </c>
      <c r="J1518" s="157">
        <f>IFERROR(INDEX(MASTER_JAM!$E$5:$E$94,MATCH($D1518,MASTER_JAM!$A$5:$A$94,0)),"")</f>
        <v/>
      </c>
      <c r="K1518" s="158">
        <f>IFERROR(INDEX(MASTER_JAM!$J$5:$O$12,MATCH($E1518,MASTER_JAM!$I$5:$I$12,0),MATCH($J1518,MASTER_JAM!$J$4:$O$4,0))+0,0)</f>
        <v/>
      </c>
      <c r="L1518" s="159">
        <f>N($F1518)*$K1518</f>
        <v/>
      </c>
      <c r="M1518" s="157">
        <f>IF($E1518="","",IF(OR($E1518="Coal",$E1518="Dirty Coal"),"MT","BCM"))</f>
        <v/>
      </c>
      <c r="N1518" s="157">
        <f>IF($E1518="","",IF(OR($E1518="Coal",$E1518="Dirty Coal"),"Coal","OB"))</f>
        <v/>
      </c>
      <c r="O1518" s="157">
        <f>IF($F1518="","",IF(COUNTIF(MASTER_JAM!$A$5:$A$94,$C1518)=0,"Digger tidak dikenal",IF($J1518="","Hauler tidak dikenal",IF($H1518="?","Jam salah",IF($K1518=0,"Faktor kosong",IF(SUMIFS(INPUT_DELAY!$E$5:$E$20000,INPUT_DELAY!$A$5:$A$20000,$A1518,INPUT_DELAY!$B$5:$B$20000,$B1518,INPUT_DELAY!$C$5:$C$20000,$C1518)+SUMIFS(INPUT_DELAY!$E$5:$E$20000,INPUT_DELAY!$A$5:$A$20000,$A1518,INPUT_DELAY!$B$5:$B$20000,$B1518,INPUT_DELAY!$C$5:$C$20000,"SEMUA")&gt;=60,"Delay 60 mnt tapi ada ritase","OK"))))))</f>
        <v/>
      </c>
      <c r="P1518" s="158">
        <f>IFERROR(INDEX(MASTER_JAM!$Z$5:$AC$10,MATCH($I1518,MASTER_JAM!$Y$5:$Y$10,0),MATCH($J1518,MASTER_JAM!$Z$4:$AC$4,0))+0,0)</f>
        <v/>
      </c>
      <c r="Q1518" s="158">
        <f>IF($P1518=0,0,$P1518+IFERROR(INDEX(MASTER_JAM!$H$5:$H$94,MATCH($C1518,MASTER_JAM!$A$5:$A$94,0))+0,MASTER_JAM!$AC$15)/1000*(60/MASTER_JAM!$AC$12+60/MASTER_JAM!$AC$13)+MASTER_JAM!$AC$14)</f>
        <v/>
      </c>
      <c r="R1518" s="158">
        <f>IF(N($F1518)=0,0,$F1518/SUMIFS(INPUT_RITASE!$F$5:$F$20000,INPUT_RITASE!$A$5:$A$20000,$A1518,INPUT_RITASE!$B$5:$B$20000,$B1518,INPUT_RITASE!$C$5:$C$20000,$C1518,INPUT_RITASE!$D$5:$D$20000,$D1518))</f>
        <v/>
      </c>
      <c r="S1518" s="158">
        <f>IF($Q1518=0,0,$R1518*$P1518/$Q1518)</f>
        <v/>
      </c>
    </row>
    <row r="1519">
      <c r="A1519" s="155" t="n">
        <v>46109</v>
      </c>
      <c r="B1519" s="156" t="inlineStr">
        <is>
          <t>18-19</t>
        </is>
      </c>
      <c r="C1519" s="156" t="inlineStr">
        <is>
          <t>EX-754</t>
        </is>
      </c>
      <c r="D1519" s="156" t="inlineStr">
        <is>
          <t>DT-506</t>
        </is>
      </c>
      <c r="E1519" s="156" t="inlineStr">
        <is>
          <t>OB</t>
        </is>
      </c>
      <c r="F1519" s="156" t="n">
        <v>4</v>
      </c>
      <c r="G1519" s="156" t="inlineStr"/>
      <c r="H1519" s="157">
        <f>IF($B1519="","",IF(ISNA(MATCH($B1519,MASTER_JAM!$Q$5:$Q$28,0)),"?",IF(MATCH($B1519,MASTER_JAM!$Q$5:$Q$28,0)&lt;=12,"DS","NS")))</f>
        <v/>
      </c>
      <c r="I1519" s="157">
        <f>IFERROR(INDEX(MASTER_JAM!$B$5:$B$94,MATCH($C1519,MASTER_JAM!$A$5:$A$94,0)),"")</f>
        <v/>
      </c>
      <c r="J1519" s="157">
        <f>IFERROR(INDEX(MASTER_JAM!$E$5:$E$94,MATCH($D1519,MASTER_JAM!$A$5:$A$94,0)),"")</f>
        <v/>
      </c>
      <c r="K1519" s="158">
        <f>IFERROR(INDEX(MASTER_JAM!$J$5:$O$12,MATCH($E1519,MASTER_JAM!$I$5:$I$12,0),MATCH($J1519,MASTER_JAM!$J$4:$O$4,0))+0,0)</f>
        <v/>
      </c>
      <c r="L1519" s="159">
        <f>N($F1519)*$K1519</f>
        <v/>
      </c>
      <c r="M1519" s="157">
        <f>IF($E1519="","",IF(OR($E1519="Coal",$E1519="Dirty Coal"),"MT","BCM"))</f>
        <v/>
      </c>
      <c r="N1519" s="157">
        <f>IF($E1519="","",IF(OR($E1519="Coal",$E1519="Dirty Coal"),"Coal","OB"))</f>
        <v/>
      </c>
      <c r="O1519" s="157">
        <f>IF($F1519="","",IF(COUNTIF(MASTER_JAM!$A$5:$A$94,$C1519)=0,"Digger tidak dikenal",IF($J1519="","Hauler tidak dikenal",IF($H1519="?","Jam salah",IF($K1519=0,"Faktor kosong",IF(SUMIFS(INPUT_DELAY!$E$5:$E$20000,INPUT_DELAY!$A$5:$A$20000,$A1519,INPUT_DELAY!$B$5:$B$20000,$B1519,INPUT_DELAY!$C$5:$C$20000,$C1519)+SUMIFS(INPUT_DELAY!$E$5:$E$20000,INPUT_DELAY!$A$5:$A$20000,$A1519,INPUT_DELAY!$B$5:$B$20000,$B1519,INPUT_DELAY!$C$5:$C$20000,"SEMUA")&gt;=60,"Delay 60 mnt tapi ada ritase","OK"))))))</f>
        <v/>
      </c>
      <c r="P1519" s="158">
        <f>IFERROR(INDEX(MASTER_JAM!$Z$5:$AC$10,MATCH($I1519,MASTER_JAM!$Y$5:$Y$10,0),MATCH($J1519,MASTER_JAM!$Z$4:$AC$4,0))+0,0)</f>
        <v/>
      </c>
      <c r="Q1519" s="158">
        <f>IF($P1519=0,0,$P1519+IFERROR(INDEX(MASTER_JAM!$H$5:$H$94,MATCH($C1519,MASTER_JAM!$A$5:$A$94,0))+0,MASTER_JAM!$AC$15)/1000*(60/MASTER_JAM!$AC$12+60/MASTER_JAM!$AC$13)+MASTER_JAM!$AC$14)</f>
        <v/>
      </c>
      <c r="R1519" s="158">
        <f>IF(N($F1519)=0,0,$F1519/SUMIFS(INPUT_RITASE!$F$5:$F$20000,INPUT_RITASE!$A$5:$A$20000,$A1519,INPUT_RITASE!$B$5:$B$20000,$B1519,INPUT_RITASE!$C$5:$C$20000,$C1519,INPUT_RITASE!$D$5:$D$20000,$D1519))</f>
        <v/>
      </c>
      <c r="S1519" s="158">
        <f>IF($Q1519=0,0,$R1519*$P1519/$Q1519)</f>
        <v/>
      </c>
    </row>
    <row r="1520">
      <c r="A1520" s="155" t="n">
        <v>46109</v>
      </c>
      <c r="B1520" s="156" t="inlineStr">
        <is>
          <t>18-19</t>
        </is>
      </c>
      <c r="C1520" s="156" t="inlineStr">
        <is>
          <t>EX-754</t>
        </is>
      </c>
      <c r="D1520" s="156" t="inlineStr">
        <is>
          <t>DT-503</t>
        </is>
      </c>
      <c r="E1520" s="156" t="inlineStr">
        <is>
          <t>OB</t>
        </is>
      </c>
      <c r="F1520" s="156" t="n">
        <v>4</v>
      </c>
      <c r="G1520" s="156" t="inlineStr"/>
      <c r="H1520" s="157">
        <f>IF($B1520="","",IF(ISNA(MATCH($B1520,MASTER_JAM!$Q$5:$Q$28,0)),"?",IF(MATCH($B1520,MASTER_JAM!$Q$5:$Q$28,0)&lt;=12,"DS","NS")))</f>
        <v/>
      </c>
      <c r="I1520" s="157">
        <f>IFERROR(INDEX(MASTER_JAM!$B$5:$B$94,MATCH($C1520,MASTER_JAM!$A$5:$A$94,0)),"")</f>
        <v/>
      </c>
      <c r="J1520" s="157">
        <f>IFERROR(INDEX(MASTER_JAM!$E$5:$E$94,MATCH($D1520,MASTER_JAM!$A$5:$A$94,0)),"")</f>
        <v/>
      </c>
      <c r="K1520" s="158">
        <f>IFERROR(INDEX(MASTER_JAM!$J$5:$O$12,MATCH($E1520,MASTER_JAM!$I$5:$I$12,0),MATCH($J1520,MASTER_JAM!$J$4:$O$4,0))+0,0)</f>
        <v/>
      </c>
      <c r="L1520" s="159">
        <f>N($F1520)*$K1520</f>
        <v/>
      </c>
      <c r="M1520" s="157">
        <f>IF($E1520="","",IF(OR($E1520="Coal",$E1520="Dirty Coal"),"MT","BCM"))</f>
        <v/>
      </c>
      <c r="N1520" s="157">
        <f>IF($E1520="","",IF(OR($E1520="Coal",$E1520="Dirty Coal"),"Coal","OB"))</f>
        <v/>
      </c>
      <c r="O1520" s="157">
        <f>IF($F1520="","",IF(COUNTIF(MASTER_JAM!$A$5:$A$94,$C1520)=0,"Digger tidak dikenal",IF($J1520="","Hauler tidak dikenal",IF($H1520="?","Jam salah",IF($K1520=0,"Faktor kosong",IF(SUMIFS(INPUT_DELAY!$E$5:$E$20000,INPUT_DELAY!$A$5:$A$20000,$A1520,INPUT_DELAY!$B$5:$B$20000,$B1520,INPUT_DELAY!$C$5:$C$20000,$C1520)+SUMIFS(INPUT_DELAY!$E$5:$E$20000,INPUT_DELAY!$A$5:$A$20000,$A1520,INPUT_DELAY!$B$5:$B$20000,$B1520,INPUT_DELAY!$C$5:$C$20000,"SEMUA")&gt;=60,"Delay 60 mnt tapi ada ritase","OK"))))))</f>
        <v/>
      </c>
      <c r="P1520" s="158">
        <f>IFERROR(INDEX(MASTER_JAM!$Z$5:$AC$10,MATCH($I1520,MASTER_JAM!$Y$5:$Y$10,0),MATCH($J1520,MASTER_JAM!$Z$4:$AC$4,0))+0,0)</f>
        <v/>
      </c>
      <c r="Q1520" s="158">
        <f>IF($P1520=0,0,$P1520+IFERROR(INDEX(MASTER_JAM!$H$5:$H$94,MATCH($C1520,MASTER_JAM!$A$5:$A$94,0))+0,MASTER_JAM!$AC$15)/1000*(60/MASTER_JAM!$AC$12+60/MASTER_JAM!$AC$13)+MASTER_JAM!$AC$14)</f>
        <v/>
      </c>
      <c r="R1520" s="158">
        <f>IF(N($F1520)=0,0,$F1520/SUMIFS(INPUT_RITASE!$F$5:$F$20000,INPUT_RITASE!$A$5:$A$20000,$A1520,INPUT_RITASE!$B$5:$B$20000,$B1520,INPUT_RITASE!$C$5:$C$20000,$C1520,INPUT_RITASE!$D$5:$D$20000,$D1520))</f>
        <v/>
      </c>
      <c r="S1520" s="158">
        <f>IF($Q1520=0,0,$R1520*$P1520/$Q1520)</f>
        <v/>
      </c>
    </row>
    <row r="1521">
      <c r="A1521" s="155" t="n">
        <v>46109</v>
      </c>
      <c r="B1521" s="156" t="inlineStr">
        <is>
          <t>18-19</t>
        </is>
      </c>
      <c r="C1521" s="156" t="inlineStr">
        <is>
          <t>EX-754</t>
        </is>
      </c>
      <c r="D1521" s="156" t="inlineStr">
        <is>
          <t>DT-517</t>
        </is>
      </c>
      <c r="E1521" s="156" t="inlineStr">
        <is>
          <t>OB</t>
        </is>
      </c>
      <c r="F1521" s="156" t="n">
        <v>3</v>
      </c>
      <c r="G1521" s="156" t="inlineStr"/>
      <c r="H1521" s="157">
        <f>IF($B1521="","",IF(ISNA(MATCH($B1521,MASTER_JAM!$Q$5:$Q$28,0)),"?",IF(MATCH($B1521,MASTER_JAM!$Q$5:$Q$28,0)&lt;=12,"DS","NS")))</f>
        <v/>
      </c>
      <c r="I1521" s="157">
        <f>IFERROR(INDEX(MASTER_JAM!$B$5:$B$94,MATCH($C1521,MASTER_JAM!$A$5:$A$94,0)),"")</f>
        <v/>
      </c>
      <c r="J1521" s="157">
        <f>IFERROR(INDEX(MASTER_JAM!$E$5:$E$94,MATCH($D1521,MASTER_JAM!$A$5:$A$94,0)),"")</f>
        <v/>
      </c>
      <c r="K1521" s="158">
        <f>IFERROR(INDEX(MASTER_JAM!$J$5:$O$12,MATCH($E1521,MASTER_JAM!$I$5:$I$12,0),MATCH($J1521,MASTER_JAM!$J$4:$O$4,0))+0,0)</f>
        <v/>
      </c>
      <c r="L1521" s="159">
        <f>N($F1521)*$K1521</f>
        <v/>
      </c>
      <c r="M1521" s="157">
        <f>IF($E1521="","",IF(OR($E1521="Coal",$E1521="Dirty Coal"),"MT","BCM"))</f>
        <v/>
      </c>
      <c r="N1521" s="157">
        <f>IF($E1521="","",IF(OR($E1521="Coal",$E1521="Dirty Coal"),"Coal","OB"))</f>
        <v/>
      </c>
      <c r="O1521" s="157">
        <f>IF($F1521="","",IF(COUNTIF(MASTER_JAM!$A$5:$A$94,$C1521)=0,"Digger tidak dikenal",IF($J1521="","Hauler tidak dikenal",IF($H1521="?","Jam salah",IF($K1521=0,"Faktor kosong",IF(SUMIFS(INPUT_DELAY!$E$5:$E$20000,INPUT_DELAY!$A$5:$A$20000,$A1521,INPUT_DELAY!$B$5:$B$20000,$B1521,INPUT_DELAY!$C$5:$C$20000,$C1521)+SUMIFS(INPUT_DELAY!$E$5:$E$20000,INPUT_DELAY!$A$5:$A$20000,$A1521,INPUT_DELAY!$B$5:$B$20000,$B1521,INPUT_DELAY!$C$5:$C$20000,"SEMUA")&gt;=60,"Delay 60 mnt tapi ada ritase","OK"))))))</f>
        <v/>
      </c>
      <c r="P1521" s="158">
        <f>IFERROR(INDEX(MASTER_JAM!$Z$5:$AC$10,MATCH($I1521,MASTER_JAM!$Y$5:$Y$10,0),MATCH($J1521,MASTER_JAM!$Z$4:$AC$4,0))+0,0)</f>
        <v/>
      </c>
      <c r="Q1521" s="158">
        <f>IF($P1521=0,0,$P1521+IFERROR(INDEX(MASTER_JAM!$H$5:$H$94,MATCH($C1521,MASTER_JAM!$A$5:$A$94,0))+0,MASTER_JAM!$AC$15)/1000*(60/MASTER_JAM!$AC$12+60/MASTER_JAM!$AC$13)+MASTER_JAM!$AC$14)</f>
        <v/>
      </c>
      <c r="R1521" s="158">
        <f>IF(N($F1521)=0,0,$F1521/SUMIFS(INPUT_RITASE!$F$5:$F$20000,INPUT_RITASE!$A$5:$A$20000,$A1521,INPUT_RITASE!$B$5:$B$20000,$B1521,INPUT_RITASE!$C$5:$C$20000,$C1521,INPUT_RITASE!$D$5:$D$20000,$D1521))</f>
        <v/>
      </c>
      <c r="S1521" s="158">
        <f>IF($Q1521=0,0,$R1521*$P1521/$Q1521)</f>
        <v/>
      </c>
    </row>
    <row r="1522">
      <c r="A1522" s="155" t="n">
        <v>46109</v>
      </c>
      <c r="B1522" s="156" t="inlineStr">
        <is>
          <t>18-19</t>
        </is>
      </c>
      <c r="C1522" s="156" t="inlineStr">
        <is>
          <t>EX-754</t>
        </is>
      </c>
      <c r="D1522" s="156" t="inlineStr">
        <is>
          <t>DT-521</t>
        </is>
      </c>
      <c r="E1522" s="156" t="inlineStr">
        <is>
          <t>OB</t>
        </is>
      </c>
      <c r="F1522" s="156" t="n">
        <v>3</v>
      </c>
      <c r="G1522" s="156" t="inlineStr"/>
      <c r="H1522" s="157">
        <f>IF($B1522="","",IF(ISNA(MATCH($B1522,MASTER_JAM!$Q$5:$Q$28,0)),"?",IF(MATCH($B1522,MASTER_JAM!$Q$5:$Q$28,0)&lt;=12,"DS","NS")))</f>
        <v/>
      </c>
      <c r="I1522" s="157">
        <f>IFERROR(INDEX(MASTER_JAM!$B$5:$B$94,MATCH($C1522,MASTER_JAM!$A$5:$A$94,0)),"")</f>
        <v/>
      </c>
      <c r="J1522" s="157">
        <f>IFERROR(INDEX(MASTER_JAM!$E$5:$E$94,MATCH($D1522,MASTER_JAM!$A$5:$A$94,0)),"")</f>
        <v/>
      </c>
      <c r="K1522" s="158">
        <f>IFERROR(INDEX(MASTER_JAM!$J$5:$O$12,MATCH($E1522,MASTER_JAM!$I$5:$I$12,0),MATCH($J1522,MASTER_JAM!$J$4:$O$4,0))+0,0)</f>
        <v/>
      </c>
      <c r="L1522" s="159">
        <f>N($F1522)*$K1522</f>
        <v/>
      </c>
      <c r="M1522" s="157">
        <f>IF($E1522="","",IF(OR($E1522="Coal",$E1522="Dirty Coal"),"MT","BCM"))</f>
        <v/>
      </c>
      <c r="N1522" s="157">
        <f>IF($E1522="","",IF(OR($E1522="Coal",$E1522="Dirty Coal"),"Coal","OB"))</f>
        <v/>
      </c>
      <c r="O1522" s="157">
        <f>IF($F1522="","",IF(COUNTIF(MASTER_JAM!$A$5:$A$94,$C1522)=0,"Digger tidak dikenal",IF($J1522="","Hauler tidak dikenal",IF($H1522="?","Jam salah",IF($K1522=0,"Faktor kosong",IF(SUMIFS(INPUT_DELAY!$E$5:$E$20000,INPUT_DELAY!$A$5:$A$20000,$A1522,INPUT_DELAY!$B$5:$B$20000,$B1522,INPUT_DELAY!$C$5:$C$20000,$C1522)+SUMIFS(INPUT_DELAY!$E$5:$E$20000,INPUT_DELAY!$A$5:$A$20000,$A1522,INPUT_DELAY!$B$5:$B$20000,$B1522,INPUT_DELAY!$C$5:$C$20000,"SEMUA")&gt;=60,"Delay 60 mnt tapi ada ritase","OK"))))))</f>
        <v/>
      </c>
      <c r="P1522" s="158">
        <f>IFERROR(INDEX(MASTER_JAM!$Z$5:$AC$10,MATCH($I1522,MASTER_JAM!$Y$5:$Y$10,0),MATCH($J1522,MASTER_JAM!$Z$4:$AC$4,0))+0,0)</f>
        <v/>
      </c>
      <c r="Q1522" s="158">
        <f>IF($P1522=0,0,$P1522+IFERROR(INDEX(MASTER_JAM!$H$5:$H$94,MATCH($C1522,MASTER_JAM!$A$5:$A$94,0))+0,MASTER_JAM!$AC$15)/1000*(60/MASTER_JAM!$AC$12+60/MASTER_JAM!$AC$13)+MASTER_JAM!$AC$14)</f>
        <v/>
      </c>
      <c r="R1522" s="158">
        <f>IF(N($F1522)=0,0,$F1522/SUMIFS(INPUT_RITASE!$F$5:$F$20000,INPUT_RITASE!$A$5:$A$20000,$A1522,INPUT_RITASE!$B$5:$B$20000,$B1522,INPUT_RITASE!$C$5:$C$20000,$C1522,INPUT_RITASE!$D$5:$D$20000,$D1522))</f>
        <v/>
      </c>
      <c r="S1522" s="158">
        <f>IF($Q1522=0,0,$R1522*$P1522/$Q1522)</f>
        <v/>
      </c>
    </row>
    <row r="1523">
      <c r="A1523" s="155" t="n">
        <v>46109</v>
      </c>
      <c r="B1523" s="156" t="inlineStr">
        <is>
          <t>22-23</t>
        </is>
      </c>
      <c r="C1523" s="156" t="inlineStr">
        <is>
          <t>EX-754</t>
        </is>
      </c>
      <c r="D1523" s="156" t="inlineStr">
        <is>
          <t>DT-512</t>
        </is>
      </c>
      <c r="E1523" s="156" t="inlineStr">
        <is>
          <t>OB</t>
        </is>
      </c>
      <c r="F1523" s="156" t="n">
        <v>2</v>
      </c>
      <c r="G1523" s="156" t="inlineStr"/>
      <c r="H1523" s="157">
        <f>IF($B1523="","",IF(ISNA(MATCH($B1523,MASTER_JAM!$Q$5:$Q$28,0)),"?",IF(MATCH($B1523,MASTER_JAM!$Q$5:$Q$28,0)&lt;=12,"DS","NS")))</f>
        <v/>
      </c>
      <c r="I1523" s="157">
        <f>IFERROR(INDEX(MASTER_JAM!$B$5:$B$94,MATCH($C1523,MASTER_JAM!$A$5:$A$94,0)),"")</f>
        <v/>
      </c>
      <c r="J1523" s="157">
        <f>IFERROR(INDEX(MASTER_JAM!$E$5:$E$94,MATCH($D1523,MASTER_JAM!$A$5:$A$94,0)),"")</f>
        <v/>
      </c>
      <c r="K1523" s="158">
        <f>IFERROR(INDEX(MASTER_JAM!$J$5:$O$12,MATCH($E1523,MASTER_JAM!$I$5:$I$12,0),MATCH($J1523,MASTER_JAM!$J$4:$O$4,0))+0,0)</f>
        <v/>
      </c>
      <c r="L1523" s="159">
        <f>N($F1523)*$K1523</f>
        <v/>
      </c>
      <c r="M1523" s="157">
        <f>IF($E1523="","",IF(OR($E1523="Coal",$E1523="Dirty Coal"),"MT","BCM"))</f>
        <v/>
      </c>
      <c r="N1523" s="157">
        <f>IF($E1523="","",IF(OR($E1523="Coal",$E1523="Dirty Coal"),"Coal","OB"))</f>
        <v/>
      </c>
      <c r="O1523" s="157">
        <f>IF($F1523="","",IF(COUNTIF(MASTER_JAM!$A$5:$A$94,$C1523)=0,"Digger tidak dikenal",IF($J1523="","Hauler tidak dikenal",IF($H1523="?","Jam salah",IF($K1523=0,"Faktor kosong",IF(SUMIFS(INPUT_DELAY!$E$5:$E$20000,INPUT_DELAY!$A$5:$A$20000,$A1523,INPUT_DELAY!$B$5:$B$20000,$B1523,INPUT_DELAY!$C$5:$C$20000,$C1523)+SUMIFS(INPUT_DELAY!$E$5:$E$20000,INPUT_DELAY!$A$5:$A$20000,$A1523,INPUT_DELAY!$B$5:$B$20000,$B1523,INPUT_DELAY!$C$5:$C$20000,"SEMUA")&gt;=60,"Delay 60 mnt tapi ada ritase","OK"))))))</f>
        <v/>
      </c>
      <c r="P1523" s="158">
        <f>IFERROR(INDEX(MASTER_JAM!$Z$5:$AC$10,MATCH($I1523,MASTER_JAM!$Y$5:$Y$10,0),MATCH($J1523,MASTER_JAM!$Z$4:$AC$4,0))+0,0)</f>
        <v/>
      </c>
      <c r="Q1523" s="158">
        <f>IF($P1523=0,0,$P1523+IFERROR(INDEX(MASTER_JAM!$H$5:$H$94,MATCH($C1523,MASTER_JAM!$A$5:$A$94,0))+0,MASTER_JAM!$AC$15)/1000*(60/MASTER_JAM!$AC$12+60/MASTER_JAM!$AC$13)+MASTER_JAM!$AC$14)</f>
        <v/>
      </c>
      <c r="R1523" s="158">
        <f>IF(N($F1523)=0,0,$F1523/SUMIFS(INPUT_RITASE!$F$5:$F$20000,INPUT_RITASE!$A$5:$A$20000,$A1523,INPUT_RITASE!$B$5:$B$20000,$B1523,INPUT_RITASE!$C$5:$C$20000,$C1523,INPUT_RITASE!$D$5:$D$20000,$D1523))</f>
        <v/>
      </c>
      <c r="S1523" s="158">
        <f>IF($Q1523=0,0,$R1523*$P1523/$Q1523)</f>
        <v/>
      </c>
    </row>
    <row r="1524">
      <c r="A1524" s="155" t="n">
        <v>46109</v>
      </c>
      <c r="B1524" s="156" t="inlineStr">
        <is>
          <t>01-02</t>
        </is>
      </c>
      <c r="C1524" s="156" t="inlineStr">
        <is>
          <t>EX-754</t>
        </is>
      </c>
      <c r="D1524" s="156" t="inlineStr">
        <is>
          <t>DT-501</t>
        </is>
      </c>
      <c r="E1524" s="156" t="inlineStr">
        <is>
          <t>OB</t>
        </is>
      </c>
      <c r="F1524" s="156" t="n">
        <v>4</v>
      </c>
      <c r="G1524" s="156" t="inlineStr"/>
      <c r="H1524" s="157">
        <f>IF($B1524="","",IF(ISNA(MATCH($B1524,MASTER_JAM!$Q$5:$Q$28,0)),"?",IF(MATCH($B1524,MASTER_JAM!$Q$5:$Q$28,0)&lt;=12,"DS","NS")))</f>
        <v/>
      </c>
      <c r="I1524" s="157">
        <f>IFERROR(INDEX(MASTER_JAM!$B$5:$B$94,MATCH($C1524,MASTER_JAM!$A$5:$A$94,0)),"")</f>
        <v/>
      </c>
      <c r="J1524" s="157">
        <f>IFERROR(INDEX(MASTER_JAM!$E$5:$E$94,MATCH($D1524,MASTER_JAM!$A$5:$A$94,0)),"")</f>
        <v/>
      </c>
      <c r="K1524" s="158">
        <f>IFERROR(INDEX(MASTER_JAM!$J$5:$O$12,MATCH($E1524,MASTER_JAM!$I$5:$I$12,0),MATCH($J1524,MASTER_JAM!$J$4:$O$4,0))+0,0)</f>
        <v/>
      </c>
      <c r="L1524" s="159">
        <f>N($F1524)*$K1524</f>
        <v/>
      </c>
      <c r="M1524" s="157">
        <f>IF($E1524="","",IF(OR($E1524="Coal",$E1524="Dirty Coal"),"MT","BCM"))</f>
        <v/>
      </c>
      <c r="N1524" s="157">
        <f>IF($E1524="","",IF(OR($E1524="Coal",$E1524="Dirty Coal"),"Coal","OB"))</f>
        <v/>
      </c>
      <c r="O1524" s="157">
        <f>IF($F1524="","",IF(COUNTIF(MASTER_JAM!$A$5:$A$94,$C1524)=0,"Digger tidak dikenal",IF($J1524="","Hauler tidak dikenal",IF($H1524="?","Jam salah",IF($K1524=0,"Faktor kosong",IF(SUMIFS(INPUT_DELAY!$E$5:$E$20000,INPUT_DELAY!$A$5:$A$20000,$A1524,INPUT_DELAY!$B$5:$B$20000,$B1524,INPUT_DELAY!$C$5:$C$20000,$C1524)+SUMIFS(INPUT_DELAY!$E$5:$E$20000,INPUT_DELAY!$A$5:$A$20000,$A1524,INPUT_DELAY!$B$5:$B$20000,$B1524,INPUT_DELAY!$C$5:$C$20000,"SEMUA")&gt;=60,"Delay 60 mnt tapi ada ritase","OK"))))))</f>
        <v/>
      </c>
      <c r="P1524" s="158">
        <f>IFERROR(INDEX(MASTER_JAM!$Z$5:$AC$10,MATCH($I1524,MASTER_JAM!$Y$5:$Y$10,0),MATCH($J1524,MASTER_JAM!$Z$4:$AC$4,0))+0,0)</f>
        <v/>
      </c>
      <c r="Q1524" s="158">
        <f>IF($P1524=0,0,$P1524+IFERROR(INDEX(MASTER_JAM!$H$5:$H$94,MATCH($C1524,MASTER_JAM!$A$5:$A$94,0))+0,MASTER_JAM!$AC$15)/1000*(60/MASTER_JAM!$AC$12+60/MASTER_JAM!$AC$13)+MASTER_JAM!$AC$14)</f>
        <v/>
      </c>
      <c r="R1524" s="158">
        <f>IF(N($F1524)=0,0,$F1524/SUMIFS(INPUT_RITASE!$F$5:$F$20000,INPUT_RITASE!$A$5:$A$20000,$A1524,INPUT_RITASE!$B$5:$B$20000,$B1524,INPUT_RITASE!$C$5:$C$20000,$C1524,INPUT_RITASE!$D$5:$D$20000,$D1524))</f>
        <v/>
      </c>
      <c r="S1524" s="158">
        <f>IF($Q1524=0,0,$R1524*$P1524/$Q1524)</f>
        <v/>
      </c>
    </row>
    <row r="1525">
      <c r="A1525" s="155" t="n">
        <v>46109</v>
      </c>
      <c r="B1525" s="156" t="inlineStr">
        <is>
          <t>01-02</t>
        </is>
      </c>
      <c r="C1525" s="156" t="inlineStr">
        <is>
          <t>EX-754</t>
        </is>
      </c>
      <c r="D1525" s="156" t="inlineStr">
        <is>
          <t>DT-512</t>
        </is>
      </c>
      <c r="E1525" s="156" t="inlineStr">
        <is>
          <t>OB</t>
        </is>
      </c>
      <c r="F1525" s="156" t="n">
        <v>4</v>
      </c>
      <c r="G1525" s="156" t="inlineStr"/>
      <c r="H1525" s="157">
        <f>IF($B1525="","",IF(ISNA(MATCH($B1525,MASTER_JAM!$Q$5:$Q$28,0)),"?",IF(MATCH($B1525,MASTER_JAM!$Q$5:$Q$28,0)&lt;=12,"DS","NS")))</f>
        <v/>
      </c>
      <c r="I1525" s="157">
        <f>IFERROR(INDEX(MASTER_JAM!$B$5:$B$94,MATCH($C1525,MASTER_JAM!$A$5:$A$94,0)),"")</f>
        <v/>
      </c>
      <c r="J1525" s="157">
        <f>IFERROR(INDEX(MASTER_JAM!$E$5:$E$94,MATCH($D1525,MASTER_JAM!$A$5:$A$94,0)),"")</f>
        <v/>
      </c>
      <c r="K1525" s="158">
        <f>IFERROR(INDEX(MASTER_JAM!$J$5:$O$12,MATCH($E1525,MASTER_JAM!$I$5:$I$12,0),MATCH($J1525,MASTER_JAM!$J$4:$O$4,0))+0,0)</f>
        <v/>
      </c>
      <c r="L1525" s="159">
        <f>N($F1525)*$K1525</f>
        <v/>
      </c>
      <c r="M1525" s="157">
        <f>IF($E1525="","",IF(OR($E1525="Coal",$E1525="Dirty Coal"),"MT","BCM"))</f>
        <v/>
      </c>
      <c r="N1525" s="157">
        <f>IF($E1525="","",IF(OR($E1525="Coal",$E1525="Dirty Coal"),"Coal","OB"))</f>
        <v/>
      </c>
      <c r="O1525" s="157">
        <f>IF($F1525="","",IF(COUNTIF(MASTER_JAM!$A$5:$A$94,$C1525)=0,"Digger tidak dikenal",IF($J1525="","Hauler tidak dikenal",IF($H1525="?","Jam salah",IF($K1525=0,"Faktor kosong",IF(SUMIFS(INPUT_DELAY!$E$5:$E$20000,INPUT_DELAY!$A$5:$A$20000,$A1525,INPUT_DELAY!$B$5:$B$20000,$B1525,INPUT_DELAY!$C$5:$C$20000,$C1525)+SUMIFS(INPUT_DELAY!$E$5:$E$20000,INPUT_DELAY!$A$5:$A$20000,$A1525,INPUT_DELAY!$B$5:$B$20000,$B1525,INPUT_DELAY!$C$5:$C$20000,"SEMUA")&gt;=60,"Delay 60 mnt tapi ada ritase","OK"))))))</f>
        <v/>
      </c>
      <c r="P1525" s="158">
        <f>IFERROR(INDEX(MASTER_JAM!$Z$5:$AC$10,MATCH($I1525,MASTER_JAM!$Y$5:$Y$10,0),MATCH($J1525,MASTER_JAM!$Z$4:$AC$4,0))+0,0)</f>
        <v/>
      </c>
      <c r="Q1525" s="158">
        <f>IF($P1525=0,0,$P1525+IFERROR(INDEX(MASTER_JAM!$H$5:$H$94,MATCH($C1525,MASTER_JAM!$A$5:$A$94,0))+0,MASTER_JAM!$AC$15)/1000*(60/MASTER_JAM!$AC$12+60/MASTER_JAM!$AC$13)+MASTER_JAM!$AC$14)</f>
        <v/>
      </c>
      <c r="R1525" s="158">
        <f>IF(N($F1525)=0,0,$F1525/SUMIFS(INPUT_RITASE!$F$5:$F$20000,INPUT_RITASE!$A$5:$A$20000,$A1525,INPUT_RITASE!$B$5:$B$20000,$B1525,INPUT_RITASE!$C$5:$C$20000,$C1525,INPUT_RITASE!$D$5:$D$20000,$D1525))</f>
        <v/>
      </c>
      <c r="S1525" s="158">
        <f>IF($Q1525=0,0,$R1525*$P1525/$Q1525)</f>
        <v/>
      </c>
    </row>
    <row r="1526">
      <c r="A1526" s="155" t="n">
        <v>46109</v>
      </c>
      <c r="B1526" s="156" t="inlineStr">
        <is>
          <t>01-02</t>
        </is>
      </c>
      <c r="C1526" s="156" t="inlineStr">
        <is>
          <t>EX-754</t>
        </is>
      </c>
      <c r="D1526" s="156" t="inlineStr">
        <is>
          <t>DT-526</t>
        </is>
      </c>
      <c r="E1526" s="156" t="inlineStr">
        <is>
          <t>OB</t>
        </is>
      </c>
      <c r="F1526" s="156" t="n">
        <v>4</v>
      </c>
      <c r="G1526" s="156" t="inlineStr"/>
      <c r="H1526" s="157">
        <f>IF($B1526="","",IF(ISNA(MATCH($B1526,MASTER_JAM!$Q$5:$Q$28,0)),"?",IF(MATCH($B1526,MASTER_JAM!$Q$5:$Q$28,0)&lt;=12,"DS","NS")))</f>
        <v/>
      </c>
      <c r="I1526" s="157">
        <f>IFERROR(INDEX(MASTER_JAM!$B$5:$B$94,MATCH($C1526,MASTER_JAM!$A$5:$A$94,0)),"")</f>
        <v/>
      </c>
      <c r="J1526" s="157">
        <f>IFERROR(INDEX(MASTER_JAM!$E$5:$E$94,MATCH($D1526,MASTER_JAM!$A$5:$A$94,0)),"")</f>
        <v/>
      </c>
      <c r="K1526" s="158">
        <f>IFERROR(INDEX(MASTER_JAM!$J$5:$O$12,MATCH($E1526,MASTER_JAM!$I$5:$I$12,0),MATCH($J1526,MASTER_JAM!$J$4:$O$4,0))+0,0)</f>
        <v/>
      </c>
      <c r="L1526" s="159">
        <f>N($F1526)*$K1526</f>
        <v/>
      </c>
      <c r="M1526" s="157">
        <f>IF($E1526="","",IF(OR($E1526="Coal",$E1526="Dirty Coal"),"MT","BCM"))</f>
        <v/>
      </c>
      <c r="N1526" s="157">
        <f>IF($E1526="","",IF(OR($E1526="Coal",$E1526="Dirty Coal"),"Coal","OB"))</f>
        <v/>
      </c>
      <c r="O1526" s="157">
        <f>IF($F1526="","",IF(COUNTIF(MASTER_JAM!$A$5:$A$94,$C1526)=0,"Digger tidak dikenal",IF($J1526="","Hauler tidak dikenal",IF($H1526="?","Jam salah",IF($K1526=0,"Faktor kosong",IF(SUMIFS(INPUT_DELAY!$E$5:$E$20000,INPUT_DELAY!$A$5:$A$20000,$A1526,INPUT_DELAY!$B$5:$B$20000,$B1526,INPUT_DELAY!$C$5:$C$20000,$C1526)+SUMIFS(INPUT_DELAY!$E$5:$E$20000,INPUT_DELAY!$A$5:$A$20000,$A1526,INPUT_DELAY!$B$5:$B$20000,$B1526,INPUT_DELAY!$C$5:$C$20000,"SEMUA")&gt;=60,"Delay 60 mnt tapi ada ritase","OK"))))))</f>
        <v/>
      </c>
      <c r="P1526" s="158">
        <f>IFERROR(INDEX(MASTER_JAM!$Z$5:$AC$10,MATCH($I1526,MASTER_JAM!$Y$5:$Y$10,0),MATCH($J1526,MASTER_JAM!$Z$4:$AC$4,0))+0,0)</f>
        <v/>
      </c>
      <c r="Q1526" s="158">
        <f>IF($P1526=0,0,$P1526+IFERROR(INDEX(MASTER_JAM!$H$5:$H$94,MATCH($C1526,MASTER_JAM!$A$5:$A$94,0))+0,MASTER_JAM!$AC$15)/1000*(60/MASTER_JAM!$AC$12+60/MASTER_JAM!$AC$13)+MASTER_JAM!$AC$14)</f>
        <v/>
      </c>
      <c r="R1526" s="158">
        <f>IF(N($F1526)=0,0,$F1526/SUMIFS(INPUT_RITASE!$F$5:$F$20000,INPUT_RITASE!$A$5:$A$20000,$A1526,INPUT_RITASE!$B$5:$B$20000,$B1526,INPUT_RITASE!$C$5:$C$20000,$C1526,INPUT_RITASE!$D$5:$D$20000,$D1526))</f>
        <v/>
      </c>
      <c r="S1526" s="158">
        <f>IF($Q1526=0,0,$R1526*$P1526/$Q1526)</f>
        <v/>
      </c>
    </row>
    <row r="1527">
      <c r="A1527" s="155" t="n">
        <v>46109</v>
      </c>
      <c r="B1527" s="156" t="inlineStr">
        <is>
          <t>02-03</t>
        </is>
      </c>
      <c r="C1527" s="156" t="inlineStr">
        <is>
          <t>EX-754</t>
        </is>
      </c>
      <c r="D1527" s="156" t="inlineStr">
        <is>
          <t>DT-512</t>
        </is>
      </c>
      <c r="E1527" s="156" t="inlineStr">
        <is>
          <t>OB</t>
        </is>
      </c>
      <c r="F1527" s="156" t="n">
        <v>4</v>
      </c>
      <c r="G1527" s="156" t="inlineStr"/>
      <c r="H1527" s="157">
        <f>IF($B1527="","",IF(ISNA(MATCH($B1527,MASTER_JAM!$Q$5:$Q$28,0)),"?",IF(MATCH($B1527,MASTER_JAM!$Q$5:$Q$28,0)&lt;=12,"DS","NS")))</f>
        <v/>
      </c>
      <c r="I1527" s="157">
        <f>IFERROR(INDEX(MASTER_JAM!$B$5:$B$94,MATCH($C1527,MASTER_JAM!$A$5:$A$94,0)),"")</f>
        <v/>
      </c>
      <c r="J1527" s="157">
        <f>IFERROR(INDEX(MASTER_JAM!$E$5:$E$94,MATCH($D1527,MASTER_JAM!$A$5:$A$94,0)),"")</f>
        <v/>
      </c>
      <c r="K1527" s="158">
        <f>IFERROR(INDEX(MASTER_JAM!$J$5:$O$12,MATCH($E1527,MASTER_JAM!$I$5:$I$12,0),MATCH($J1527,MASTER_JAM!$J$4:$O$4,0))+0,0)</f>
        <v/>
      </c>
      <c r="L1527" s="159">
        <f>N($F1527)*$K1527</f>
        <v/>
      </c>
      <c r="M1527" s="157">
        <f>IF($E1527="","",IF(OR($E1527="Coal",$E1527="Dirty Coal"),"MT","BCM"))</f>
        <v/>
      </c>
      <c r="N1527" s="157">
        <f>IF($E1527="","",IF(OR($E1527="Coal",$E1527="Dirty Coal"),"Coal","OB"))</f>
        <v/>
      </c>
      <c r="O1527" s="157">
        <f>IF($F1527="","",IF(COUNTIF(MASTER_JAM!$A$5:$A$94,$C1527)=0,"Digger tidak dikenal",IF($J1527="","Hauler tidak dikenal",IF($H1527="?","Jam salah",IF($K1527=0,"Faktor kosong",IF(SUMIFS(INPUT_DELAY!$E$5:$E$20000,INPUT_DELAY!$A$5:$A$20000,$A1527,INPUT_DELAY!$B$5:$B$20000,$B1527,INPUT_DELAY!$C$5:$C$20000,$C1527)+SUMIFS(INPUT_DELAY!$E$5:$E$20000,INPUT_DELAY!$A$5:$A$20000,$A1527,INPUT_DELAY!$B$5:$B$20000,$B1527,INPUT_DELAY!$C$5:$C$20000,"SEMUA")&gt;=60,"Delay 60 mnt tapi ada ritase","OK"))))))</f>
        <v/>
      </c>
      <c r="P1527" s="158">
        <f>IFERROR(INDEX(MASTER_JAM!$Z$5:$AC$10,MATCH($I1527,MASTER_JAM!$Y$5:$Y$10,0),MATCH($J1527,MASTER_JAM!$Z$4:$AC$4,0))+0,0)</f>
        <v/>
      </c>
      <c r="Q1527" s="158">
        <f>IF($P1527=0,0,$P1527+IFERROR(INDEX(MASTER_JAM!$H$5:$H$94,MATCH($C1527,MASTER_JAM!$A$5:$A$94,0))+0,MASTER_JAM!$AC$15)/1000*(60/MASTER_JAM!$AC$12+60/MASTER_JAM!$AC$13)+MASTER_JAM!$AC$14)</f>
        <v/>
      </c>
      <c r="R1527" s="158">
        <f>IF(N($F1527)=0,0,$F1527/SUMIFS(INPUT_RITASE!$F$5:$F$20000,INPUT_RITASE!$A$5:$A$20000,$A1527,INPUT_RITASE!$B$5:$B$20000,$B1527,INPUT_RITASE!$C$5:$C$20000,$C1527,INPUT_RITASE!$D$5:$D$20000,$D1527))</f>
        <v/>
      </c>
      <c r="S1527" s="158">
        <f>IF($Q1527=0,0,$R1527*$P1527/$Q1527)</f>
        <v/>
      </c>
    </row>
    <row r="1528">
      <c r="A1528" s="155" t="n">
        <v>46109</v>
      </c>
      <c r="B1528" s="156" t="inlineStr">
        <is>
          <t>02-03</t>
        </is>
      </c>
      <c r="C1528" s="156" t="inlineStr">
        <is>
          <t>EX-754</t>
        </is>
      </c>
      <c r="D1528" s="156" t="inlineStr">
        <is>
          <t>DT-502</t>
        </is>
      </c>
      <c r="E1528" s="156" t="inlineStr">
        <is>
          <t>OB</t>
        </is>
      </c>
      <c r="F1528" s="156" t="n">
        <v>4</v>
      </c>
      <c r="G1528" s="156" t="inlineStr"/>
      <c r="H1528" s="157">
        <f>IF($B1528="","",IF(ISNA(MATCH($B1528,MASTER_JAM!$Q$5:$Q$28,0)),"?",IF(MATCH($B1528,MASTER_JAM!$Q$5:$Q$28,0)&lt;=12,"DS","NS")))</f>
        <v/>
      </c>
      <c r="I1528" s="157">
        <f>IFERROR(INDEX(MASTER_JAM!$B$5:$B$94,MATCH($C1528,MASTER_JAM!$A$5:$A$94,0)),"")</f>
        <v/>
      </c>
      <c r="J1528" s="157">
        <f>IFERROR(INDEX(MASTER_JAM!$E$5:$E$94,MATCH($D1528,MASTER_JAM!$A$5:$A$94,0)),"")</f>
        <v/>
      </c>
      <c r="K1528" s="158">
        <f>IFERROR(INDEX(MASTER_JAM!$J$5:$O$12,MATCH($E1528,MASTER_JAM!$I$5:$I$12,0),MATCH($J1528,MASTER_JAM!$J$4:$O$4,0))+0,0)</f>
        <v/>
      </c>
      <c r="L1528" s="159">
        <f>N($F1528)*$K1528</f>
        <v/>
      </c>
      <c r="M1528" s="157">
        <f>IF($E1528="","",IF(OR($E1528="Coal",$E1528="Dirty Coal"),"MT","BCM"))</f>
        <v/>
      </c>
      <c r="N1528" s="157">
        <f>IF($E1528="","",IF(OR($E1528="Coal",$E1528="Dirty Coal"),"Coal","OB"))</f>
        <v/>
      </c>
      <c r="O1528" s="157">
        <f>IF($F1528="","",IF(COUNTIF(MASTER_JAM!$A$5:$A$94,$C1528)=0,"Digger tidak dikenal",IF($J1528="","Hauler tidak dikenal",IF($H1528="?","Jam salah",IF($K1528=0,"Faktor kosong",IF(SUMIFS(INPUT_DELAY!$E$5:$E$20000,INPUT_DELAY!$A$5:$A$20000,$A1528,INPUT_DELAY!$B$5:$B$20000,$B1528,INPUT_DELAY!$C$5:$C$20000,$C1528)+SUMIFS(INPUT_DELAY!$E$5:$E$20000,INPUT_DELAY!$A$5:$A$20000,$A1528,INPUT_DELAY!$B$5:$B$20000,$B1528,INPUT_DELAY!$C$5:$C$20000,"SEMUA")&gt;=60,"Delay 60 mnt tapi ada ritase","OK"))))))</f>
        <v/>
      </c>
      <c r="P1528" s="158">
        <f>IFERROR(INDEX(MASTER_JAM!$Z$5:$AC$10,MATCH($I1528,MASTER_JAM!$Y$5:$Y$10,0),MATCH($J1528,MASTER_JAM!$Z$4:$AC$4,0))+0,0)</f>
        <v/>
      </c>
      <c r="Q1528" s="158">
        <f>IF($P1528=0,0,$P1528+IFERROR(INDEX(MASTER_JAM!$H$5:$H$94,MATCH($C1528,MASTER_JAM!$A$5:$A$94,0))+0,MASTER_JAM!$AC$15)/1000*(60/MASTER_JAM!$AC$12+60/MASTER_JAM!$AC$13)+MASTER_JAM!$AC$14)</f>
        <v/>
      </c>
      <c r="R1528" s="158">
        <f>IF(N($F1528)=0,0,$F1528/SUMIFS(INPUT_RITASE!$F$5:$F$20000,INPUT_RITASE!$A$5:$A$20000,$A1528,INPUT_RITASE!$B$5:$B$20000,$B1528,INPUT_RITASE!$C$5:$C$20000,$C1528,INPUT_RITASE!$D$5:$D$20000,$D1528))</f>
        <v/>
      </c>
      <c r="S1528" s="158">
        <f>IF($Q1528=0,0,$R1528*$P1528/$Q1528)</f>
        <v/>
      </c>
    </row>
    <row r="1529">
      <c r="A1529" s="155" t="n">
        <v>46109</v>
      </c>
      <c r="B1529" s="156" t="inlineStr">
        <is>
          <t>02-03</t>
        </is>
      </c>
      <c r="C1529" s="156" t="inlineStr">
        <is>
          <t>EX-754</t>
        </is>
      </c>
      <c r="D1529" s="156" t="inlineStr">
        <is>
          <t>DT-527</t>
        </is>
      </c>
      <c r="E1529" s="156" t="inlineStr">
        <is>
          <t>OB</t>
        </is>
      </c>
      <c r="F1529" s="156" t="n">
        <v>4</v>
      </c>
      <c r="G1529" s="156" t="inlineStr"/>
      <c r="H1529" s="157">
        <f>IF($B1529="","",IF(ISNA(MATCH($B1529,MASTER_JAM!$Q$5:$Q$28,0)),"?",IF(MATCH($B1529,MASTER_JAM!$Q$5:$Q$28,0)&lt;=12,"DS","NS")))</f>
        <v/>
      </c>
      <c r="I1529" s="157">
        <f>IFERROR(INDEX(MASTER_JAM!$B$5:$B$94,MATCH($C1529,MASTER_JAM!$A$5:$A$94,0)),"")</f>
        <v/>
      </c>
      <c r="J1529" s="157">
        <f>IFERROR(INDEX(MASTER_JAM!$E$5:$E$94,MATCH($D1529,MASTER_JAM!$A$5:$A$94,0)),"")</f>
        <v/>
      </c>
      <c r="K1529" s="158">
        <f>IFERROR(INDEX(MASTER_JAM!$J$5:$O$12,MATCH($E1529,MASTER_JAM!$I$5:$I$12,0),MATCH($J1529,MASTER_JAM!$J$4:$O$4,0))+0,0)</f>
        <v/>
      </c>
      <c r="L1529" s="159">
        <f>N($F1529)*$K1529</f>
        <v/>
      </c>
      <c r="M1529" s="157">
        <f>IF($E1529="","",IF(OR($E1529="Coal",$E1529="Dirty Coal"),"MT","BCM"))</f>
        <v/>
      </c>
      <c r="N1529" s="157">
        <f>IF($E1529="","",IF(OR($E1529="Coal",$E1529="Dirty Coal"),"Coal","OB"))</f>
        <v/>
      </c>
      <c r="O1529" s="157">
        <f>IF($F1529="","",IF(COUNTIF(MASTER_JAM!$A$5:$A$94,$C1529)=0,"Digger tidak dikenal",IF($J1529="","Hauler tidak dikenal",IF($H1529="?","Jam salah",IF($K1529=0,"Faktor kosong",IF(SUMIFS(INPUT_DELAY!$E$5:$E$20000,INPUT_DELAY!$A$5:$A$20000,$A1529,INPUT_DELAY!$B$5:$B$20000,$B1529,INPUT_DELAY!$C$5:$C$20000,$C1529)+SUMIFS(INPUT_DELAY!$E$5:$E$20000,INPUT_DELAY!$A$5:$A$20000,$A1529,INPUT_DELAY!$B$5:$B$20000,$B1529,INPUT_DELAY!$C$5:$C$20000,"SEMUA")&gt;=60,"Delay 60 mnt tapi ada ritase","OK"))))))</f>
        <v/>
      </c>
      <c r="P1529" s="158">
        <f>IFERROR(INDEX(MASTER_JAM!$Z$5:$AC$10,MATCH($I1529,MASTER_JAM!$Y$5:$Y$10,0),MATCH($J1529,MASTER_JAM!$Z$4:$AC$4,0))+0,0)</f>
        <v/>
      </c>
      <c r="Q1529" s="158">
        <f>IF($P1529=0,0,$P1529+IFERROR(INDEX(MASTER_JAM!$H$5:$H$94,MATCH($C1529,MASTER_JAM!$A$5:$A$94,0))+0,MASTER_JAM!$AC$15)/1000*(60/MASTER_JAM!$AC$12+60/MASTER_JAM!$AC$13)+MASTER_JAM!$AC$14)</f>
        <v/>
      </c>
      <c r="R1529" s="158">
        <f>IF(N($F1529)=0,0,$F1529/SUMIFS(INPUT_RITASE!$F$5:$F$20000,INPUT_RITASE!$A$5:$A$20000,$A1529,INPUT_RITASE!$B$5:$B$20000,$B1529,INPUT_RITASE!$C$5:$C$20000,$C1529,INPUT_RITASE!$D$5:$D$20000,$D1529))</f>
        <v/>
      </c>
      <c r="S1529" s="158">
        <f>IF($Q1529=0,0,$R1529*$P1529/$Q1529)</f>
        <v/>
      </c>
    </row>
    <row r="1530">
      <c r="A1530" s="155" t="n">
        <v>46109</v>
      </c>
      <c r="B1530" s="156" t="inlineStr">
        <is>
          <t>02-03</t>
        </is>
      </c>
      <c r="C1530" s="156" t="inlineStr">
        <is>
          <t>EX-754</t>
        </is>
      </c>
      <c r="D1530" s="156" t="inlineStr">
        <is>
          <t>DT-528</t>
        </is>
      </c>
      <c r="E1530" s="156" t="inlineStr">
        <is>
          <t>OB</t>
        </is>
      </c>
      <c r="F1530" s="156" t="n">
        <v>4</v>
      </c>
      <c r="G1530" s="156" t="inlineStr"/>
      <c r="H1530" s="157">
        <f>IF($B1530="","",IF(ISNA(MATCH($B1530,MASTER_JAM!$Q$5:$Q$28,0)),"?",IF(MATCH($B1530,MASTER_JAM!$Q$5:$Q$28,0)&lt;=12,"DS","NS")))</f>
        <v/>
      </c>
      <c r="I1530" s="157">
        <f>IFERROR(INDEX(MASTER_JAM!$B$5:$B$94,MATCH($C1530,MASTER_JAM!$A$5:$A$94,0)),"")</f>
        <v/>
      </c>
      <c r="J1530" s="157">
        <f>IFERROR(INDEX(MASTER_JAM!$E$5:$E$94,MATCH($D1530,MASTER_JAM!$A$5:$A$94,0)),"")</f>
        <v/>
      </c>
      <c r="K1530" s="158">
        <f>IFERROR(INDEX(MASTER_JAM!$J$5:$O$12,MATCH($E1530,MASTER_JAM!$I$5:$I$12,0),MATCH($J1530,MASTER_JAM!$J$4:$O$4,0))+0,0)</f>
        <v/>
      </c>
      <c r="L1530" s="159">
        <f>N($F1530)*$K1530</f>
        <v/>
      </c>
      <c r="M1530" s="157">
        <f>IF($E1530="","",IF(OR($E1530="Coal",$E1530="Dirty Coal"),"MT","BCM"))</f>
        <v/>
      </c>
      <c r="N1530" s="157">
        <f>IF($E1530="","",IF(OR($E1530="Coal",$E1530="Dirty Coal"),"Coal","OB"))</f>
        <v/>
      </c>
      <c r="O1530" s="157">
        <f>IF($F1530="","",IF(COUNTIF(MASTER_JAM!$A$5:$A$94,$C1530)=0,"Digger tidak dikenal",IF($J1530="","Hauler tidak dikenal",IF($H1530="?","Jam salah",IF($K1530=0,"Faktor kosong",IF(SUMIFS(INPUT_DELAY!$E$5:$E$20000,INPUT_DELAY!$A$5:$A$20000,$A1530,INPUT_DELAY!$B$5:$B$20000,$B1530,INPUT_DELAY!$C$5:$C$20000,$C1530)+SUMIFS(INPUT_DELAY!$E$5:$E$20000,INPUT_DELAY!$A$5:$A$20000,$A1530,INPUT_DELAY!$B$5:$B$20000,$B1530,INPUT_DELAY!$C$5:$C$20000,"SEMUA")&gt;=60,"Delay 60 mnt tapi ada ritase","OK"))))))</f>
        <v/>
      </c>
      <c r="P1530" s="158">
        <f>IFERROR(INDEX(MASTER_JAM!$Z$5:$AC$10,MATCH($I1530,MASTER_JAM!$Y$5:$Y$10,0),MATCH($J1530,MASTER_JAM!$Z$4:$AC$4,0))+0,0)</f>
        <v/>
      </c>
      <c r="Q1530" s="158">
        <f>IF($P1530=0,0,$P1530+IFERROR(INDEX(MASTER_JAM!$H$5:$H$94,MATCH($C1530,MASTER_JAM!$A$5:$A$94,0))+0,MASTER_JAM!$AC$15)/1000*(60/MASTER_JAM!$AC$12+60/MASTER_JAM!$AC$13)+MASTER_JAM!$AC$14)</f>
        <v/>
      </c>
      <c r="R1530" s="158">
        <f>IF(N($F1530)=0,0,$F1530/SUMIFS(INPUT_RITASE!$F$5:$F$20000,INPUT_RITASE!$A$5:$A$20000,$A1530,INPUT_RITASE!$B$5:$B$20000,$B1530,INPUT_RITASE!$C$5:$C$20000,$C1530,INPUT_RITASE!$D$5:$D$20000,$D1530))</f>
        <v/>
      </c>
      <c r="S1530" s="158">
        <f>IF($Q1530=0,0,$R1530*$P1530/$Q1530)</f>
        <v/>
      </c>
    </row>
    <row r="1531">
      <c r="A1531" s="155" t="n">
        <v>46109</v>
      </c>
      <c r="B1531" s="156" t="inlineStr">
        <is>
          <t>02-03</t>
        </is>
      </c>
      <c r="C1531" s="156" t="inlineStr">
        <is>
          <t>EX-754</t>
        </is>
      </c>
      <c r="D1531" s="156" t="inlineStr">
        <is>
          <t>DT-503</t>
        </is>
      </c>
      <c r="E1531" s="156" t="inlineStr">
        <is>
          <t>OB</t>
        </is>
      </c>
      <c r="F1531" s="156" t="n">
        <v>4</v>
      </c>
      <c r="G1531" s="156" t="inlineStr"/>
      <c r="H1531" s="157">
        <f>IF($B1531="","",IF(ISNA(MATCH($B1531,MASTER_JAM!$Q$5:$Q$28,0)),"?",IF(MATCH($B1531,MASTER_JAM!$Q$5:$Q$28,0)&lt;=12,"DS","NS")))</f>
        <v/>
      </c>
      <c r="I1531" s="157">
        <f>IFERROR(INDEX(MASTER_JAM!$B$5:$B$94,MATCH($C1531,MASTER_JAM!$A$5:$A$94,0)),"")</f>
        <v/>
      </c>
      <c r="J1531" s="157">
        <f>IFERROR(INDEX(MASTER_JAM!$E$5:$E$94,MATCH($D1531,MASTER_JAM!$A$5:$A$94,0)),"")</f>
        <v/>
      </c>
      <c r="K1531" s="158">
        <f>IFERROR(INDEX(MASTER_JAM!$J$5:$O$12,MATCH($E1531,MASTER_JAM!$I$5:$I$12,0),MATCH($J1531,MASTER_JAM!$J$4:$O$4,0))+0,0)</f>
        <v/>
      </c>
      <c r="L1531" s="159">
        <f>N($F1531)*$K1531</f>
        <v/>
      </c>
      <c r="M1531" s="157">
        <f>IF($E1531="","",IF(OR($E1531="Coal",$E1531="Dirty Coal"),"MT","BCM"))</f>
        <v/>
      </c>
      <c r="N1531" s="157">
        <f>IF($E1531="","",IF(OR($E1531="Coal",$E1531="Dirty Coal"),"Coal","OB"))</f>
        <v/>
      </c>
      <c r="O1531" s="157">
        <f>IF($F1531="","",IF(COUNTIF(MASTER_JAM!$A$5:$A$94,$C1531)=0,"Digger tidak dikenal",IF($J1531="","Hauler tidak dikenal",IF($H1531="?","Jam salah",IF($K1531=0,"Faktor kosong",IF(SUMIFS(INPUT_DELAY!$E$5:$E$20000,INPUT_DELAY!$A$5:$A$20000,$A1531,INPUT_DELAY!$B$5:$B$20000,$B1531,INPUT_DELAY!$C$5:$C$20000,$C1531)+SUMIFS(INPUT_DELAY!$E$5:$E$20000,INPUT_DELAY!$A$5:$A$20000,$A1531,INPUT_DELAY!$B$5:$B$20000,$B1531,INPUT_DELAY!$C$5:$C$20000,"SEMUA")&gt;=60,"Delay 60 mnt tapi ada ritase","OK"))))))</f>
        <v/>
      </c>
      <c r="P1531" s="158">
        <f>IFERROR(INDEX(MASTER_JAM!$Z$5:$AC$10,MATCH($I1531,MASTER_JAM!$Y$5:$Y$10,0),MATCH($J1531,MASTER_JAM!$Z$4:$AC$4,0))+0,0)</f>
        <v/>
      </c>
      <c r="Q1531" s="158">
        <f>IF($P1531=0,0,$P1531+IFERROR(INDEX(MASTER_JAM!$H$5:$H$94,MATCH($C1531,MASTER_JAM!$A$5:$A$94,0))+0,MASTER_JAM!$AC$15)/1000*(60/MASTER_JAM!$AC$12+60/MASTER_JAM!$AC$13)+MASTER_JAM!$AC$14)</f>
        <v/>
      </c>
      <c r="R1531" s="158">
        <f>IF(N($F1531)=0,0,$F1531/SUMIFS(INPUT_RITASE!$F$5:$F$20000,INPUT_RITASE!$A$5:$A$20000,$A1531,INPUT_RITASE!$B$5:$B$20000,$B1531,INPUT_RITASE!$C$5:$C$20000,$C1531,INPUT_RITASE!$D$5:$D$20000,$D1531))</f>
        <v/>
      </c>
      <c r="S1531" s="158">
        <f>IF($Q1531=0,0,$R1531*$P1531/$Q1531)</f>
        <v/>
      </c>
    </row>
    <row r="1532">
      <c r="A1532" s="155" t="n">
        <v>46109</v>
      </c>
      <c r="B1532" s="156" t="inlineStr">
        <is>
          <t>03-04</t>
        </is>
      </c>
      <c r="C1532" s="156" t="inlineStr">
        <is>
          <t>EX-754</t>
        </is>
      </c>
      <c r="D1532" s="156" t="inlineStr">
        <is>
          <t>DT-515</t>
        </is>
      </c>
      <c r="E1532" s="156" t="inlineStr">
        <is>
          <t>OB</t>
        </is>
      </c>
      <c r="F1532" s="156" t="n">
        <v>4</v>
      </c>
      <c r="G1532" s="156" t="inlineStr"/>
      <c r="H1532" s="157">
        <f>IF($B1532="","",IF(ISNA(MATCH($B1532,MASTER_JAM!$Q$5:$Q$28,0)),"?",IF(MATCH($B1532,MASTER_JAM!$Q$5:$Q$28,0)&lt;=12,"DS","NS")))</f>
        <v/>
      </c>
      <c r="I1532" s="157">
        <f>IFERROR(INDEX(MASTER_JAM!$B$5:$B$94,MATCH($C1532,MASTER_JAM!$A$5:$A$94,0)),"")</f>
        <v/>
      </c>
      <c r="J1532" s="157">
        <f>IFERROR(INDEX(MASTER_JAM!$E$5:$E$94,MATCH($D1532,MASTER_JAM!$A$5:$A$94,0)),"")</f>
        <v/>
      </c>
      <c r="K1532" s="158">
        <f>IFERROR(INDEX(MASTER_JAM!$J$5:$O$12,MATCH($E1532,MASTER_JAM!$I$5:$I$12,0),MATCH($J1532,MASTER_JAM!$J$4:$O$4,0))+0,0)</f>
        <v/>
      </c>
      <c r="L1532" s="159">
        <f>N($F1532)*$K1532</f>
        <v/>
      </c>
      <c r="M1532" s="157">
        <f>IF($E1532="","",IF(OR($E1532="Coal",$E1532="Dirty Coal"),"MT","BCM"))</f>
        <v/>
      </c>
      <c r="N1532" s="157">
        <f>IF($E1532="","",IF(OR($E1532="Coal",$E1532="Dirty Coal"),"Coal","OB"))</f>
        <v/>
      </c>
      <c r="O1532" s="157">
        <f>IF($F1532="","",IF(COUNTIF(MASTER_JAM!$A$5:$A$94,$C1532)=0,"Digger tidak dikenal",IF($J1532="","Hauler tidak dikenal",IF($H1532="?","Jam salah",IF($K1532=0,"Faktor kosong",IF(SUMIFS(INPUT_DELAY!$E$5:$E$20000,INPUT_DELAY!$A$5:$A$20000,$A1532,INPUT_DELAY!$B$5:$B$20000,$B1532,INPUT_DELAY!$C$5:$C$20000,$C1532)+SUMIFS(INPUT_DELAY!$E$5:$E$20000,INPUT_DELAY!$A$5:$A$20000,$A1532,INPUT_DELAY!$B$5:$B$20000,$B1532,INPUT_DELAY!$C$5:$C$20000,"SEMUA")&gt;=60,"Delay 60 mnt tapi ada ritase","OK"))))))</f>
        <v/>
      </c>
      <c r="P1532" s="158">
        <f>IFERROR(INDEX(MASTER_JAM!$Z$5:$AC$10,MATCH($I1532,MASTER_JAM!$Y$5:$Y$10,0),MATCH($J1532,MASTER_JAM!$Z$4:$AC$4,0))+0,0)</f>
        <v/>
      </c>
      <c r="Q1532" s="158">
        <f>IF($P1532=0,0,$P1532+IFERROR(INDEX(MASTER_JAM!$H$5:$H$94,MATCH($C1532,MASTER_JAM!$A$5:$A$94,0))+0,MASTER_JAM!$AC$15)/1000*(60/MASTER_JAM!$AC$12+60/MASTER_JAM!$AC$13)+MASTER_JAM!$AC$14)</f>
        <v/>
      </c>
      <c r="R1532" s="158">
        <f>IF(N($F1532)=0,0,$F1532/SUMIFS(INPUT_RITASE!$F$5:$F$20000,INPUT_RITASE!$A$5:$A$20000,$A1532,INPUT_RITASE!$B$5:$B$20000,$B1532,INPUT_RITASE!$C$5:$C$20000,$C1532,INPUT_RITASE!$D$5:$D$20000,$D1532))</f>
        <v/>
      </c>
      <c r="S1532" s="158">
        <f>IF($Q1532=0,0,$R1532*$P1532/$Q1532)</f>
        <v/>
      </c>
    </row>
    <row r="1533">
      <c r="A1533" s="155" t="n">
        <v>46109</v>
      </c>
      <c r="B1533" s="156" t="inlineStr">
        <is>
          <t>03-04</t>
        </is>
      </c>
      <c r="C1533" s="156" t="inlineStr">
        <is>
          <t>EX-754</t>
        </is>
      </c>
      <c r="D1533" s="156" t="inlineStr">
        <is>
          <t>DT-528</t>
        </is>
      </c>
      <c r="E1533" s="156" t="inlineStr">
        <is>
          <t>OB</t>
        </is>
      </c>
      <c r="F1533" s="156" t="n">
        <v>4</v>
      </c>
      <c r="G1533" s="156" t="inlineStr"/>
      <c r="H1533" s="157">
        <f>IF($B1533="","",IF(ISNA(MATCH($B1533,MASTER_JAM!$Q$5:$Q$28,0)),"?",IF(MATCH($B1533,MASTER_JAM!$Q$5:$Q$28,0)&lt;=12,"DS","NS")))</f>
        <v/>
      </c>
      <c r="I1533" s="157">
        <f>IFERROR(INDEX(MASTER_JAM!$B$5:$B$94,MATCH($C1533,MASTER_JAM!$A$5:$A$94,0)),"")</f>
        <v/>
      </c>
      <c r="J1533" s="157">
        <f>IFERROR(INDEX(MASTER_JAM!$E$5:$E$94,MATCH($D1533,MASTER_JAM!$A$5:$A$94,0)),"")</f>
        <v/>
      </c>
      <c r="K1533" s="158">
        <f>IFERROR(INDEX(MASTER_JAM!$J$5:$O$12,MATCH($E1533,MASTER_JAM!$I$5:$I$12,0),MATCH($J1533,MASTER_JAM!$J$4:$O$4,0))+0,0)</f>
        <v/>
      </c>
      <c r="L1533" s="159">
        <f>N($F1533)*$K1533</f>
        <v/>
      </c>
      <c r="M1533" s="157">
        <f>IF($E1533="","",IF(OR($E1533="Coal",$E1533="Dirty Coal"),"MT","BCM"))</f>
        <v/>
      </c>
      <c r="N1533" s="157">
        <f>IF($E1533="","",IF(OR($E1533="Coal",$E1533="Dirty Coal"),"Coal","OB"))</f>
        <v/>
      </c>
      <c r="O1533" s="157">
        <f>IF($F1533="","",IF(COUNTIF(MASTER_JAM!$A$5:$A$94,$C1533)=0,"Digger tidak dikenal",IF($J1533="","Hauler tidak dikenal",IF($H1533="?","Jam salah",IF($K1533=0,"Faktor kosong",IF(SUMIFS(INPUT_DELAY!$E$5:$E$20000,INPUT_DELAY!$A$5:$A$20000,$A1533,INPUT_DELAY!$B$5:$B$20000,$B1533,INPUT_DELAY!$C$5:$C$20000,$C1533)+SUMIFS(INPUT_DELAY!$E$5:$E$20000,INPUT_DELAY!$A$5:$A$20000,$A1533,INPUT_DELAY!$B$5:$B$20000,$B1533,INPUT_DELAY!$C$5:$C$20000,"SEMUA")&gt;=60,"Delay 60 mnt tapi ada ritase","OK"))))))</f>
        <v/>
      </c>
      <c r="P1533" s="158">
        <f>IFERROR(INDEX(MASTER_JAM!$Z$5:$AC$10,MATCH($I1533,MASTER_JAM!$Y$5:$Y$10,0),MATCH($J1533,MASTER_JAM!$Z$4:$AC$4,0))+0,0)</f>
        <v/>
      </c>
      <c r="Q1533" s="158">
        <f>IF($P1533=0,0,$P1533+IFERROR(INDEX(MASTER_JAM!$H$5:$H$94,MATCH($C1533,MASTER_JAM!$A$5:$A$94,0))+0,MASTER_JAM!$AC$15)/1000*(60/MASTER_JAM!$AC$12+60/MASTER_JAM!$AC$13)+MASTER_JAM!$AC$14)</f>
        <v/>
      </c>
      <c r="R1533" s="158">
        <f>IF(N($F1533)=0,0,$F1533/SUMIFS(INPUT_RITASE!$F$5:$F$20000,INPUT_RITASE!$A$5:$A$20000,$A1533,INPUT_RITASE!$B$5:$B$20000,$B1533,INPUT_RITASE!$C$5:$C$20000,$C1533,INPUT_RITASE!$D$5:$D$20000,$D1533))</f>
        <v/>
      </c>
      <c r="S1533" s="158">
        <f>IF($Q1533=0,0,$R1533*$P1533/$Q1533)</f>
        <v/>
      </c>
    </row>
    <row r="1534">
      <c r="A1534" s="155" t="n">
        <v>46109</v>
      </c>
      <c r="B1534" s="156" t="inlineStr">
        <is>
          <t>03-04</t>
        </is>
      </c>
      <c r="C1534" s="156" t="inlineStr">
        <is>
          <t>EX-754</t>
        </is>
      </c>
      <c r="D1534" s="156" t="inlineStr">
        <is>
          <t>DT-527</t>
        </is>
      </c>
      <c r="E1534" s="156" t="inlineStr">
        <is>
          <t>OB</t>
        </is>
      </c>
      <c r="F1534" s="156" t="n">
        <v>4</v>
      </c>
      <c r="G1534" s="156" t="inlineStr"/>
      <c r="H1534" s="157">
        <f>IF($B1534="","",IF(ISNA(MATCH($B1534,MASTER_JAM!$Q$5:$Q$28,0)),"?",IF(MATCH($B1534,MASTER_JAM!$Q$5:$Q$28,0)&lt;=12,"DS","NS")))</f>
        <v/>
      </c>
      <c r="I1534" s="157">
        <f>IFERROR(INDEX(MASTER_JAM!$B$5:$B$94,MATCH($C1534,MASTER_JAM!$A$5:$A$94,0)),"")</f>
        <v/>
      </c>
      <c r="J1534" s="157">
        <f>IFERROR(INDEX(MASTER_JAM!$E$5:$E$94,MATCH($D1534,MASTER_JAM!$A$5:$A$94,0)),"")</f>
        <v/>
      </c>
      <c r="K1534" s="158">
        <f>IFERROR(INDEX(MASTER_JAM!$J$5:$O$12,MATCH($E1534,MASTER_JAM!$I$5:$I$12,0),MATCH($J1534,MASTER_JAM!$J$4:$O$4,0))+0,0)</f>
        <v/>
      </c>
      <c r="L1534" s="159">
        <f>N($F1534)*$K1534</f>
        <v/>
      </c>
      <c r="M1534" s="157">
        <f>IF($E1534="","",IF(OR($E1534="Coal",$E1534="Dirty Coal"),"MT","BCM"))</f>
        <v/>
      </c>
      <c r="N1534" s="157">
        <f>IF($E1534="","",IF(OR($E1534="Coal",$E1534="Dirty Coal"),"Coal","OB"))</f>
        <v/>
      </c>
      <c r="O1534" s="157">
        <f>IF($F1534="","",IF(COUNTIF(MASTER_JAM!$A$5:$A$94,$C1534)=0,"Digger tidak dikenal",IF($J1534="","Hauler tidak dikenal",IF($H1534="?","Jam salah",IF($K1534=0,"Faktor kosong",IF(SUMIFS(INPUT_DELAY!$E$5:$E$20000,INPUT_DELAY!$A$5:$A$20000,$A1534,INPUT_DELAY!$B$5:$B$20000,$B1534,INPUT_DELAY!$C$5:$C$20000,$C1534)+SUMIFS(INPUT_DELAY!$E$5:$E$20000,INPUT_DELAY!$A$5:$A$20000,$A1534,INPUT_DELAY!$B$5:$B$20000,$B1534,INPUT_DELAY!$C$5:$C$20000,"SEMUA")&gt;=60,"Delay 60 mnt tapi ada ritase","OK"))))))</f>
        <v/>
      </c>
      <c r="P1534" s="158">
        <f>IFERROR(INDEX(MASTER_JAM!$Z$5:$AC$10,MATCH($I1534,MASTER_JAM!$Y$5:$Y$10,0),MATCH($J1534,MASTER_JAM!$Z$4:$AC$4,0))+0,0)</f>
        <v/>
      </c>
      <c r="Q1534" s="158">
        <f>IF($P1534=0,0,$P1534+IFERROR(INDEX(MASTER_JAM!$H$5:$H$94,MATCH($C1534,MASTER_JAM!$A$5:$A$94,0))+0,MASTER_JAM!$AC$15)/1000*(60/MASTER_JAM!$AC$12+60/MASTER_JAM!$AC$13)+MASTER_JAM!$AC$14)</f>
        <v/>
      </c>
      <c r="R1534" s="158">
        <f>IF(N($F1534)=0,0,$F1534/SUMIFS(INPUT_RITASE!$F$5:$F$20000,INPUT_RITASE!$A$5:$A$20000,$A1534,INPUT_RITASE!$B$5:$B$20000,$B1534,INPUT_RITASE!$C$5:$C$20000,$C1534,INPUT_RITASE!$D$5:$D$20000,$D1534))</f>
        <v/>
      </c>
      <c r="S1534" s="158">
        <f>IF($Q1534=0,0,$R1534*$P1534/$Q1534)</f>
        <v/>
      </c>
    </row>
    <row r="1535">
      <c r="A1535" s="155" t="n">
        <v>46109</v>
      </c>
      <c r="B1535" s="156" t="inlineStr">
        <is>
          <t>03-04</t>
        </is>
      </c>
      <c r="C1535" s="156" t="inlineStr">
        <is>
          <t>EX-754</t>
        </is>
      </c>
      <c r="D1535" s="156" t="inlineStr">
        <is>
          <t>DT-523</t>
        </is>
      </c>
      <c r="E1535" s="156" t="inlineStr">
        <is>
          <t>OB</t>
        </is>
      </c>
      <c r="F1535" s="156" t="n">
        <v>4</v>
      </c>
      <c r="G1535" s="156" t="inlineStr"/>
      <c r="H1535" s="157">
        <f>IF($B1535="","",IF(ISNA(MATCH($B1535,MASTER_JAM!$Q$5:$Q$28,0)),"?",IF(MATCH($B1535,MASTER_JAM!$Q$5:$Q$28,0)&lt;=12,"DS","NS")))</f>
        <v/>
      </c>
      <c r="I1535" s="157">
        <f>IFERROR(INDEX(MASTER_JAM!$B$5:$B$94,MATCH($C1535,MASTER_JAM!$A$5:$A$94,0)),"")</f>
        <v/>
      </c>
      <c r="J1535" s="157">
        <f>IFERROR(INDEX(MASTER_JAM!$E$5:$E$94,MATCH($D1535,MASTER_JAM!$A$5:$A$94,0)),"")</f>
        <v/>
      </c>
      <c r="K1535" s="158">
        <f>IFERROR(INDEX(MASTER_JAM!$J$5:$O$12,MATCH($E1535,MASTER_JAM!$I$5:$I$12,0),MATCH($J1535,MASTER_JAM!$J$4:$O$4,0))+0,0)</f>
        <v/>
      </c>
      <c r="L1535" s="159">
        <f>N($F1535)*$K1535</f>
        <v/>
      </c>
      <c r="M1535" s="157">
        <f>IF($E1535="","",IF(OR($E1535="Coal",$E1535="Dirty Coal"),"MT","BCM"))</f>
        <v/>
      </c>
      <c r="N1535" s="157">
        <f>IF($E1535="","",IF(OR($E1535="Coal",$E1535="Dirty Coal"),"Coal","OB"))</f>
        <v/>
      </c>
      <c r="O1535" s="157">
        <f>IF($F1535="","",IF(COUNTIF(MASTER_JAM!$A$5:$A$94,$C1535)=0,"Digger tidak dikenal",IF($J1535="","Hauler tidak dikenal",IF($H1535="?","Jam salah",IF($K1535=0,"Faktor kosong",IF(SUMIFS(INPUT_DELAY!$E$5:$E$20000,INPUT_DELAY!$A$5:$A$20000,$A1535,INPUT_DELAY!$B$5:$B$20000,$B1535,INPUT_DELAY!$C$5:$C$20000,$C1535)+SUMIFS(INPUT_DELAY!$E$5:$E$20000,INPUT_DELAY!$A$5:$A$20000,$A1535,INPUT_DELAY!$B$5:$B$20000,$B1535,INPUT_DELAY!$C$5:$C$20000,"SEMUA")&gt;=60,"Delay 60 mnt tapi ada ritase","OK"))))))</f>
        <v/>
      </c>
      <c r="P1535" s="158">
        <f>IFERROR(INDEX(MASTER_JAM!$Z$5:$AC$10,MATCH($I1535,MASTER_JAM!$Y$5:$Y$10,0),MATCH($J1535,MASTER_JAM!$Z$4:$AC$4,0))+0,0)</f>
        <v/>
      </c>
      <c r="Q1535" s="158">
        <f>IF($P1535=0,0,$P1535+IFERROR(INDEX(MASTER_JAM!$H$5:$H$94,MATCH($C1535,MASTER_JAM!$A$5:$A$94,0))+0,MASTER_JAM!$AC$15)/1000*(60/MASTER_JAM!$AC$12+60/MASTER_JAM!$AC$13)+MASTER_JAM!$AC$14)</f>
        <v/>
      </c>
      <c r="R1535" s="158">
        <f>IF(N($F1535)=0,0,$F1535/SUMIFS(INPUT_RITASE!$F$5:$F$20000,INPUT_RITASE!$A$5:$A$20000,$A1535,INPUT_RITASE!$B$5:$B$20000,$B1535,INPUT_RITASE!$C$5:$C$20000,$C1535,INPUT_RITASE!$D$5:$D$20000,$D1535))</f>
        <v/>
      </c>
      <c r="S1535" s="158">
        <f>IF($Q1535=0,0,$R1535*$P1535/$Q1535)</f>
        <v/>
      </c>
    </row>
    <row r="1536">
      <c r="A1536" s="155" t="n">
        <v>46109</v>
      </c>
      <c r="B1536" s="156" t="inlineStr">
        <is>
          <t>03-04</t>
        </is>
      </c>
      <c r="C1536" s="156" t="inlineStr">
        <is>
          <t>EX-754</t>
        </is>
      </c>
      <c r="D1536" s="156" t="inlineStr">
        <is>
          <t>DT-503</t>
        </is>
      </c>
      <c r="E1536" s="156" t="inlineStr">
        <is>
          <t>OB</t>
        </is>
      </c>
      <c r="F1536" s="156" t="n">
        <v>3</v>
      </c>
      <c r="G1536" s="156" t="inlineStr"/>
      <c r="H1536" s="157">
        <f>IF($B1536="","",IF(ISNA(MATCH($B1536,MASTER_JAM!$Q$5:$Q$28,0)),"?",IF(MATCH($B1536,MASTER_JAM!$Q$5:$Q$28,0)&lt;=12,"DS","NS")))</f>
        <v/>
      </c>
      <c r="I1536" s="157">
        <f>IFERROR(INDEX(MASTER_JAM!$B$5:$B$94,MATCH($C1536,MASTER_JAM!$A$5:$A$94,0)),"")</f>
        <v/>
      </c>
      <c r="J1536" s="157">
        <f>IFERROR(INDEX(MASTER_JAM!$E$5:$E$94,MATCH($D1536,MASTER_JAM!$A$5:$A$94,0)),"")</f>
        <v/>
      </c>
      <c r="K1536" s="158">
        <f>IFERROR(INDEX(MASTER_JAM!$J$5:$O$12,MATCH($E1536,MASTER_JAM!$I$5:$I$12,0),MATCH($J1536,MASTER_JAM!$J$4:$O$4,0))+0,0)</f>
        <v/>
      </c>
      <c r="L1536" s="159">
        <f>N($F1536)*$K1536</f>
        <v/>
      </c>
      <c r="M1536" s="157">
        <f>IF($E1536="","",IF(OR($E1536="Coal",$E1536="Dirty Coal"),"MT","BCM"))</f>
        <v/>
      </c>
      <c r="N1536" s="157">
        <f>IF($E1536="","",IF(OR($E1536="Coal",$E1536="Dirty Coal"),"Coal","OB"))</f>
        <v/>
      </c>
      <c r="O1536" s="157">
        <f>IF($F1536="","",IF(COUNTIF(MASTER_JAM!$A$5:$A$94,$C1536)=0,"Digger tidak dikenal",IF($J1536="","Hauler tidak dikenal",IF($H1536="?","Jam salah",IF($K1536=0,"Faktor kosong",IF(SUMIFS(INPUT_DELAY!$E$5:$E$20000,INPUT_DELAY!$A$5:$A$20000,$A1536,INPUT_DELAY!$B$5:$B$20000,$B1536,INPUT_DELAY!$C$5:$C$20000,$C1536)+SUMIFS(INPUT_DELAY!$E$5:$E$20000,INPUT_DELAY!$A$5:$A$20000,$A1536,INPUT_DELAY!$B$5:$B$20000,$B1536,INPUT_DELAY!$C$5:$C$20000,"SEMUA")&gt;=60,"Delay 60 mnt tapi ada ritase","OK"))))))</f>
        <v/>
      </c>
      <c r="P1536" s="158">
        <f>IFERROR(INDEX(MASTER_JAM!$Z$5:$AC$10,MATCH($I1536,MASTER_JAM!$Y$5:$Y$10,0),MATCH($J1536,MASTER_JAM!$Z$4:$AC$4,0))+0,0)</f>
        <v/>
      </c>
      <c r="Q1536" s="158">
        <f>IF($P1536=0,0,$P1536+IFERROR(INDEX(MASTER_JAM!$H$5:$H$94,MATCH($C1536,MASTER_JAM!$A$5:$A$94,0))+0,MASTER_JAM!$AC$15)/1000*(60/MASTER_JAM!$AC$12+60/MASTER_JAM!$AC$13)+MASTER_JAM!$AC$14)</f>
        <v/>
      </c>
      <c r="R1536" s="158">
        <f>IF(N($F1536)=0,0,$F1536/SUMIFS(INPUT_RITASE!$F$5:$F$20000,INPUT_RITASE!$A$5:$A$20000,$A1536,INPUT_RITASE!$B$5:$B$20000,$B1536,INPUT_RITASE!$C$5:$C$20000,$C1536,INPUT_RITASE!$D$5:$D$20000,$D1536))</f>
        <v/>
      </c>
      <c r="S1536" s="158">
        <f>IF($Q1536=0,0,$R1536*$P1536/$Q1536)</f>
        <v/>
      </c>
    </row>
    <row r="1537">
      <c r="A1537" s="155" t="n">
        <v>46109</v>
      </c>
      <c r="B1537" s="156" t="inlineStr">
        <is>
          <t>04-05</t>
        </is>
      </c>
      <c r="C1537" s="156" t="inlineStr">
        <is>
          <t>EX-754</t>
        </is>
      </c>
      <c r="D1537" s="156" t="inlineStr">
        <is>
          <t>DT-526</t>
        </is>
      </c>
      <c r="E1537" s="156" t="inlineStr">
        <is>
          <t>OB</t>
        </is>
      </c>
      <c r="F1537" s="156" t="n">
        <v>4</v>
      </c>
      <c r="G1537" s="156" t="inlineStr"/>
      <c r="H1537" s="157">
        <f>IF($B1537="","",IF(ISNA(MATCH($B1537,MASTER_JAM!$Q$5:$Q$28,0)),"?",IF(MATCH($B1537,MASTER_JAM!$Q$5:$Q$28,0)&lt;=12,"DS","NS")))</f>
        <v/>
      </c>
      <c r="I1537" s="157">
        <f>IFERROR(INDEX(MASTER_JAM!$B$5:$B$94,MATCH($C1537,MASTER_JAM!$A$5:$A$94,0)),"")</f>
        <v/>
      </c>
      <c r="J1537" s="157">
        <f>IFERROR(INDEX(MASTER_JAM!$E$5:$E$94,MATCH($D1537,MASTER_JAM!$A$5:$A$94,0)),"")</f>
        <v/>
      </c>
      <c r="K1537" s="158">
        <f>IFERROR(INDEX(MASTER_JAM!$J$5:$O$12,MATCH($E1537,MASTER_JAM!$I$5:$I$12,0),MATCH($J1537,MASTER_JAM!$J$4:$O$4,0))+0,0)</f>
        <v/>
      </c>
      <c r="L1537" s="159">
        <f>N($F1537)*$K1537</f>
        <v/>
      </c>
      <c r="M1537" s="157">
        <f>IF($E1537="","",IF(OR($E1537="Coal",$E1537="Dirty Coal"),"MT","BCM"))</f>
        <v/>
      </c>
      <c r="N1537" s="157">
        <f>IF($E1537="","",IF(OR($E1537="Coal",$E1537="Dirty Coal"),"Coal","OB"))</f>
        <v/>
      </c>
      <c r="O1537" s="157">
        <f>IF($F1537="","",IF(COUNTIF(MASTER_JAM!$A$5:$A$94,$C1537)=0,"Digger tidak dikenal",IF($J1537="","Hauler tidak dikenal",IF($H1537="?","Jam salah",IF($K1537=0,"Faktor kosong",IF(SUMIFS(INPUT_DELAY!$E$5:$E$20000,INPUT_DELAY!$A$5:$A$20000,$A1537,INPUT_DELAY!$B$5:$B$20000,$B1537,INPUT_DELAY!$C$5:$C$20000,$C1537)+SUMIFS(INPUT_DELAY!$E$5:$E$20000,INPUT_DELAY!$A$5:$A$20000,$A1537,INPUT_DELAY!$B$5:$B$20000,$B1537,INPUT_DELAY!$C$5:$C$20000,"SEMUA")&gt;=60,"Delay 60 mnt tapi ada ritase","OK"))))))</f>
        <v/>
      </c>
      <c r="P1537" s="158">
        <f>IFERROR(INDEX(MASTER_JAM!$Z$5:$AC$10,MATCH($I1537,MASTER_JAM!$Y$5:$Y$10,0),MATCH($J1537,MASTER_JAM!$Z$4:$AC$4,0))+0,0)</f>
        <v/>
      </c>
      <c r="Q1537" s="158">
        <f>IF($P1537=0,0,$P1537+IFERROR(INDEX(MASTER_JAM!$H$5:$H$94,MATCH($C1537,MASTER_JAM!$A$5:$A$94,0))+0,MASTER_JAM!$AC$15)/1000*(60/MASTER_JAM!$AC$12+60/MASTER_JAM!$AC$13)+MASTER_JAM!$AC$14)</f>
        <v/>
      </c>
      <c r="R1537" s="158">
        <f>IF(N($F1537)=0,0,$F1537/SUMIFS(INPUT_RITASE!$F$5:$F$20000,INPUT_RITASE!$A$5:$A$20000,$A1537,INPUT_RITASE!$B$5:$B$20000,$B1537,INPUT_RITASE!$C$5:$C$20000,$C1537,INPUT_RITASE!$D$5:$D$20000,$D1537))</f>
        <v/>
      </c>
      <c r="S1537" s="158">
        <f>IF($Q1537=0,0,$R1537*$P1537/$Q1537)</f>
        <v/>
      </c>
    </row>
    <row r="1538">
      <c r="A1538" s="155" t="n">
        <v>46109</v>
      </c>
      <c r="B1538" s="156" t="inlineStr">
        <is>
          <t>04-05</t>
        </is>
      </c>
      <c r="C1538" s="156" t="inlineStr">
        <is>
          <t>EX-754</t>
        </is>
      </c>
      <c r="D1538" s="156" t="inlineStr">
        <is>
          <t>DT-515</t>
        </is>
      </c>
      <c r="E1538" s="156" t="inlineStr">
        <is>
          <t>OB</t>
        </is>
      </c>
      <c r="F1538" s="156" t="n">
        <v>4</v>
      </c>
      <c r="G1538" s="156" t="inlineStr"/>
      <c r="H1538" s="157">
        <f>IF($B1538="","",IF(ISNA(MATCH($B1538,MASTER_JAM!$Q$5:$Q$28,0)),"?",IF(MATCH($B1538,MASTER_JAM!$Q$5:$Q$28,0)&lt;=12,"DS","NS")))</f>
        <v/>
      </c>
      <c r="I1538" s="157">
        <f>IFERROR(INDEX(MASTER_JAM!$B$5:$B$94,MATCH($C1538,MASTER_JAM!$A$5:$A$94,0)),"")</f>
        <v/>
      </c>
      <c r="J1538" s="157">
        <f>IFERROR(INDEX(MASTER_JAM!$E$5:$E$94,MATCH($D1538,MASTER_JAM!$A$5:$A$94,0)),"")</f>
        <v/>
      </c>
      <c r="K1538" s="158">
        <f>IFERROR(INDEX(MASTER_JAM!$J$5:$O$12,MATCH($E1538,MASTER_JAM!$I$5:$I$12,0),MATCH($J1538,MASTER_JAM!$J$4:$O$4,0))+0,0)</f>
        <v/>
      </c>
      <c r="L1538" s="159">
        <f>N($F1538)*$K1538</f>
        <v/>
      </c>
      <c r="M1538" s="157">
        <f>IF($E1538="","",IF(OR($E1538="Coal",$E1538="Dirty Coal"),"MT","BCM"))</f>
        <v/>
      </c>
      <c r="N1538" s="157">
        <f>IF($E1538="","",IF(OR($E1538="Coal",$E1538="Dirty Coal"),"Coal","OB"))</f>
        <v/>
      </c>
      <c r="O1538" s="157">
        <f>IF($F1538="","",IF(COUNTIF(MASTER_JAM!$A$5:$A$94,$C1538)=0,"Digger tidak dikenal",IF($J1538="","Hauler tidak dikenal",IF($H1538="?","Jam salah",IF($K1538=0,"Faktor kosong",IF(SUMIFS(INPUT_DELAY!$E$5:$E$20000,INPUT_DELAY!$A$5:$A$20000,$A1538,INPUT_DELAY!$B$5:$B$20000,$B1538,INPUT_DELAY!$C$5:$C$20000,$C1538)+SUMIFS(INPUT_DELAY!$E$5:$E$20000,INPUT_DELAY!$A$5:$A$20000,$A1538,INPUT_DELAY!$B$5:$B$20000,$B1538,INPUT_DELAY!$C$5:$C$20000,"SEMUA")&gt;=60,"Delay 60 mnt tapi ada ritase","OK"))))))</f>
        <v/>
      </c>
      <c r="P1538" s="158">
        <f>IFERROR(INDEX(MASTER_JAM!$Z$5:$AC$10,MATCH($I1538,MASTER_JAM!$Y$5:$Y$10,0),MATCH($J1538,MASTER_JAM!$Z$4:$AC$4,0))+0,0)</f>
        <v/>
      </c>
      <c r="Q1538" s="158">
        <f>IF($P1538=0,0,$P1538+IFERROR(INDEX(MASTER_JAM!$H$5:$H$94,MATCH($C1538,MASTER_JAM!$A$5:$A$94,0))+0,MASTER_JAM!$AC$15)/1000*(60/MASTER_JAM!$AC$12+60/MASTER_JAM!$AC$13)+MASTER_JAM!$AC$14)</f>
        <v/>
      </c>
      <c r="R1538" s="158">
        <f>IF(N($F1538)=0,0,$F1538/SUMIFS(INPUT_RITASE!$F$5:$F$20000,INPUT_RITASE!$A$5:$A$20000,$A1538,INPUT_RITASE!$B$5:$B$20000,$B1538,INPUT_RITASE!$C$5:$C$20000,$C1538,INPUT_RITASE!$D$5:$D$20000,$D1538))</f>
        <v/>
      </c>
      <c r="S1538" s="158">
        <f>IF($Q1538=0,0,$R1538*$P1538/$Q1538)</f>
        <v/>
      </c>
    </row>
    <row r="1539">
      <c r="A1539" s="155" t="n">
        <v>46109</v>
      </c>
      <c r="B1539" s="156" t="inlineStr">
        <is>
          <t>04-05</t>
        </is>
      </c>
      <c r="C1539" s="156" t="inlineStr">
        <is>
          <t>EX-754</t>
        </is>
      </c>
      <c r="D1539" s="156" t="inlineStr">
        <is>
          <t>DT-523</t>
        </is>
      </c>
      <c r="E1539" s="156" t="inlineStr">
        <is>
          <t>OB</t>
        </is>
      </c>
      <c r="F1539" s="156" t="n">
        <v>3</v>
      </c>
      <c r="G1539" s="156" t="inlineStr"/>
      <c r="H1539" s="157">
        <f>IF($B1539="","",IF(ISNA(MATCH($B1539,MASTER_JAM!$Q$5:$Q$28,0)),"?",IF(MATCH($B1539,MASTER_JAM!$Q$5:$Q$28,0)&lt;=12,"DS","NS")))</f>
        <v/>
      </c>
      <c r="I1539" s="157">
        <f>IFERROR(INDEX(MASTER_JAM!$B$5:$B$94,MATCH($C1539,MASTER_JAM!$A$5:$A$94,0)),"")</f>
        <v/>
      </c>
      <c r="J1539" s="157">
        <f>IFERROR(INDEX(MASTER_JAM!$E$5:$E$94,MATCH($D1539,MASTER_JAM!$A$5:$A$94,0)),"")</f>
        <v/>
      </c>
      <c r="K1539" s="158">
        <f>IFERROR(INDEX(MASTER_JAM!$J$5:$O$12,MATCH($E1539,MASTER_JAM!$I$5:$I$12,0),MATCH($J1539,MASTER_JAM!$J$4:$O$4,0))+0,0)</f>
        <v/>
      </c>
      <c r="L1539" s="159">
        <f>N($F1539)*$K1539</f>
        <v/>
      </c>
      <c r="M1539" s="157">
        <f>IF($E1539="","",IF(OR($E1539="Coal",$E1539="Dirty Coal"),"MT","BCM"))</f>
        <v/>
      </c>
      <c r="N1539" s="157">
        <f>IF($E1539="","",IF(OR($E1539="Coal",$E1539="Dirty Coal"),"Coal","OB"))</f>
        <v/>
      </c>
      <c r="O1539" s="157">
        <f>IF($F1539="","",IF(COUNTIF(MASTER_JAM!$A$5:$A$94,$C1539)=0,"Digger tidak dikenal",IF($J1539="","Hauler tidak dikenal",IF($H1539="?","Jam salah",IF($K1539=0,"Faktor kosong",IF(SUMIFS(INPUT_DELAY!$E$5:$E$20000,INPUT_DELAY!$A$5:$A$20000,$A1539,INPUT_DELAY!$B$5:$B$20000,$B1539,INPUT_DELAY!$C$5:$C$20000,$C1539)+SUMIFS(INPUT_DELAY!$E$5:$E$20000,INPUT_DELAY!$A$5:$A$20000,$A1539,INPUT_DELAY!$B$5:$B$20000,$B1539,INPUT_DELAY!$C$5:$C$20000,"SEMUA")&gt;=60,"Delay 60 mnt tapi ada ritase","OK"))))))</f>
        <v/>
      </c>
      <c r="P1539" s="158">
        <f>IFERROR(INDEX(MASTER_JAM!$Z$5:$AC$10,MATCH($I1539,MASTER_JAM!$Y$5:$Y$10,0),MATCH($J1539,MASTER_JAM!$Z$4:$AC$4,0))+0,0)</f>
        <v/>
      </c>
      <c r="Q1539" s="158">
        <f>IF($P1539=0,0,$P1539+IFERROR(INDEX(MASTER_JAM!$H$5:$H$94,MATCH($C1539,MASTER_JAM!$A$5:$A$94,0))+0,MASTER_JAM!$AC$15)/1000*(60/MASTER_JAM!$AC$12+60/MASTER_JAM!$AC$13)+MASTER_JAM!$AC$14)</f>
        <v/>
      </c>
      <c r="R1539" s="158">
        <f>IF(N($F1539)=0,0,$F1539/SUMIFS(INPUT_RITASE!$F$5:$F$20000,INPUT_RITASE!$A$5:$A$20000,$A1539,INPUT_RITASE!$B$5:$B$20000,$B1539,INPUT_RITASE!$C$5:$C$20000,$C1539,INPUT_RITASE!$D$5:$D$20000,$D1539))</f>
        <v/>
      </c>
      <c r="S1539" s="158">
        <f>IF($Q1539=0,0,$R1539*$P1539/$Q1539)</f>
        <v/>
      </c>
    </row>
    <row r="1540">
      <c r="A1540" s="155" t="n">
        <v>46109</v>
      </c>
      <c r="B1540" s="156" t="inlineStr">
        <is>
          <t>04-05</t>
        </is>
      </c>
      <c r="C1540" s="156" t="inlineStr">
        <is>
          <t>EX-754</t>
        </is>
      </c>
      <c r="D1540" s="156" t="inlineStr">
        <is>
          <t>DT-510</t>
        </is>
      </c>
      <c r="E1540" s="156" t="inlineStr">
        <is>
          <t>OB</t>
        </is>
      </c>
      <c r="F1540" s="156" t="n">
        <v>3</v>
      </c>
      <c r="G1540" s="156" t="inlineStr"/>
      <c r="H1540" s="157">
        <f>IF($B1540="","",IF(ISNA(MATCH($B1540,MASTER_JAM!$Q$5:$Q$28,0)),"?",IF(MATCH($B1540,MASTER_JAM!$Q$5:$Q$28,0)&lt;=12,"DS","NS")))</f>
        <v/>
      </c>
      <c r="I1540" s="157">
        <f>IFERROR(INDEX(MASTER_JAM!$B$5:$B$94,MATCH($C1540,MASTER_JAM!$A$5:$A$94,0)),"")</f>
        <v/>
      </c>
      <c r="J1540" s="157">
        <f>IFERROR(INDEX(MASTER_JAM!$E$5:$E$94,MATCH($D1540,MASTER_JAM!$A$5:$A$94,0)),"")</f>
        <v/>
      </c>
      <c r="K1540" s="158">
        <f>IFERROR(INDEX(MASTER_JAM!$J$5:$O$12,MATCH($E1540,MASTER_JAM!$I$5:$I$12,0),MATCH($J1540,MASTER_JAM!$J$4:$O$4,0))+0,0)</f>
        <v/>
      </c>
      <c r="L1540" s="159">
        <f>N($F1540)*$K1540</f>
        <v/>
      </c>
      <c r="M1540" s="157">
        <f>IF($E1540="","",IF(OR($E1540="Coal",$E1540="Dirty Coal"),"MT","BCM"))</f>
        <v/>
      </c>
      <c r="N1540" s="157">
        <f>IF($E1540="","",IF(OR($E1540="Coal",$E1540="Dirty Coal"),"Coal","OB"))</f>
        <v/>
      </c>
      <c r="O1540" s="157">
        <f>IF($F1540="","",IF(COUNTIF(MASTER_JAM!$A$5:$A$94,$C1540)=0,"Digger tidak dikenal",IF($J1540="","Hauler tidak dikenal",IF($H1540="?","Jam salah",IF($K1540=0,"Faktor kosong",IF(SUMIFS(INPUT_DELAY!$E$5:$E$20000,INPUT_DELAY!$A$5:$A$20000,$A1540,INPUT_DELAY!$B$5:$B$20000,$B1540,INPUT_DELAY!$C$5:$C$20000,$C1540)+SUMIFS(INPUT_DELAY!$E$5:$E$20000,INPUT_DELAY!$A$5:$A$20000,$A1540,INPUT_DELAY!$B$5:$B$20000,$B1540,INPUT_DELAY!$C$5:$C$20000,"SEMUA")&gt;=60,"Delay 60 mnt tapi ada ritase","OK"))))))</f>
        <v/>
      </c>
      <c r="P1540" s="158">
        <f>IFERROR(INDEX(MASTER_JAM!$Z$5:$AC$10,MATCH($I1540,MASTER_JAM!$Y$5:$Y$10,0),MATCH($J1540,MASTER_JAM!$Z$4:$AC$4,0))+0,0)</f>
        <v/>
      </c>
      <c r="Q1540" s="158">
        <f>IF($P1540=0,0,$P1540+IFERROR(INDEX(MASTER_JAM!$H$5:$H$94,MATCH($C1540,MASTER_JAM!$A$5:$A$94,0))+0,MASTER_JAM!$AC$15)/1000*(60/MASTER_JAM!$AC$12+60/MASTER_JAM!$AC$13)+MASTER_JAM!$AC$14)</f>
        <v/>
      </c>
      <c r="R1540" s="158">
        <f>IF(N($F1540)=0,0,$F1540/SUMIFS(INPUT_RITASE!$F$5:$F$20000,INPUT_RITASE!$A$5:$A$20000,$A1540,INPUT_RITASE!$B$5:$B$20000,$B1540,INPUT_RITASE!$C$5:$C$20000,$C1540,INPUT_RITASE!$D$5:$D$20000,$D1540))</f>
        <v/>
      </c>
      <c r="S1540" s="158">
        <f>IF($Q1540=0,0,$R1540*$P1540/$Q1540)</f>
        <v/>
      </c>
    </row>
    <row r="1541">
      <c r="A1541" s="155" t="n">
        <v>46109</v>
      </c>
      <c r="B1541" s="156" t="inlineStr">
        <is>
          <t>04-05</t>
        </is>
      </c>
      <c r="C1541" s="156" t="inlineStr">
        <is>
          <t>EX-754</t>
        </is>
      </c>
      <c r="D1541" s="156" t="inlineStr">
        <is>
          <t>DT-512</t>
        </is>
      </c>
      <c r="E1541" s="156" t="inlineStr">
        <is>
          <t>OB</t>
        </is>
      </c>
      <c r="F1541" s="156" t="n">
        <v>3</v>
      </c>
      <c r="G1541" s="156" t="inlineStr"/>
      <c r="H1541" s="157">
        <f>IF($B1541="","",IF(ISNA(MATCH($B1541,MASTER_JAM!$Q$5:$Q$28,0)),"?",IF(MATCH($B1541,MASTER_JAM!$Q$5:$Q$28,0)&lt;=12,"DS","NS")))</f>
        <v/>
      </c>
      <c r="I1541" s="157">
        <f>IFERROR(INDEX(MASTER_JAM!$B$5:$B$94,MATCH($C1541,MASTER_JAM!$A$5:$A$94,0)),"")</f>
        <v/>
      </c>
      <c r="J1541" s="157">
        <f>IFERROR(INDEX(MASTER_JAM!$E$5:$E$94,MATCH($D1541,MASTER_JAM!$A$5:$A$94,0)),"")</f>
        <v/>
      </c>
      <c r="K1541" s="158">
        <f>IFERROR(INDEX(MASTER_JAM!$J$5:$O$12,MATCH($E1541,MASTER_JAM!$I$5:$I$12,0),MATCH($J1541,MASTER_JAM!$J$4:$O$4,0))+0,0)</f>
        <v/>
      </c>
      <c r="L1541" s="159">
        <f>N($F1541)*$K1541</f>
        <v/>
      </c>
      <c r="M1541" s="157">
        <f>IF($E1541="","",IF(OR($E1541="Coal",$E1541="Dirty Coal"),"MT","BCM"))</f>
        <v/>
      </c>
      <c r="N1541" s="157">
        <f>IF($E1541="","",IF(OR($E1541="Coal",$E1541="Dirty Coal"),"Coal","OB"))</f>
        <v/>
      </c>
      <c r="O1541" s="157">
        <f>IF($F1541="","",IF(COUNTIF(MASTER_JAM!$A$5:$A$94,$C1541)=0,"Digger tidak dikenal",IF($J1541="","Hauler tidak dikenal",IF($H1541="?","Jam salah",IF($K1541=0,"Faktor kosong",IF(SUMIFS(INPUT_DELAY!$E$5:$E$20000,INPUT_DELAY!$A$5:$A$20000,$A1541,INPUT_DELAY!$B$5:$B$20000,$B1541,INPUT_DELAY!$C$5:$C$20000,$C1541)+SUMIFS(INPUT_DELAY!$E$5:$E$20000,INPUT_DELAY!$A$5:$A$20000,$A1541,INPUT_DELAY!$B$5:$B$20000,$B1541,INPUT_DELAY!$C$5:$C$20000,"SEMUA")&gt;=60,"Delay 60 mnt tapi ada ritase","OK"))))))</f>
        <v/>
      </c>
      <c r="P1541" s="158">
        <f>IFERROR(INDEX(MASTER_JAM!$Z$5:$AC$10,MATCH($I1541,MASTER_JAM!$Y$5:$Y$10,0),MATCH($J1541,MASTER_JAM!$Z$4:$AC$4,0))+0,0)</f>
        <v/>
      </c>
      <c r="Q1541" s="158">
        <f>IF($P1541=0,0,$P1541+IFERROR(INDEX(MASTER_JAM!$H$5:$H$94,MATCH($C1541,MASTER_JAM!$A$5:$A$94,0))+0,MASTER_JAM!$AC$15)/1000*(60/MASTER_JAM!$AC$12+60/MASTER_JAM!$AC$13)+MASTER_JAM!$AC$14)</f>
        <v/>
      </c>
      <c r="R1541" s="158">
        <f>IF(N($F1541)=0,0,$F1541/SUMIFS(INPUT_RITASE!$F$5:$F$20000,INPUT_RITASE!$A$5:$A$20000,$A1541,INPUT_RITASE!$B$5:$B$20000,$B1541,INPUT_RITASE!$C$5:$C$20000,$C1541,INPUT_RITASE!$D$5:$D$20000,$D1541))</f>
        <v/>
      </c>
      <c r="S1541" s="158">
        <f>IF($Q1541=0,0,$R1541*$P1541/$Q1541)</f>
        <v/>
      </c>
    </row>
    <row r="1542">
      <c r="A1542" s="155" t="n">
        <v>46109</v>
      </c>
      <c r="B1542" s="156" t="inlineStr">
        <is>
          <t>05-06</t>
        </is>
      </c>
      <c r="C1542" s="156" t="inlineStr">
        <is>
          <t>EX-754</t>
        </is>
      </c>
      <c r="D1542" s="156" t="inlineStr">
        <is>
          <t>DT-528</t>
        </is>
      </c>
      <c r="E1542" s="156" t="inlineStr">
        <is>
          <t>OB</t>
        </is>
      </c>
      <c r="F1542" s="156" t="n">
        <v>4</v>
      </c>
      <c r="G1542" s="156" t="inlineStr"/>
      <c r="H1542" s="157">
        <f>IF($B1542="","",IF(ISNA(MATCH($B1542,MASTER_JAM!$Q$5:$Q$28,0)),"?",IF(MATCH($B1542,MASTER_JAM!$Q$5:$Q$28,0)&lt;=12,"DS","NS")))</f>
        <v/>
      </c>
      <c r="I1542" s="157">
        <f>IFERROR(INDEX(MASTER_JAM!$B$5:$B$94,MATCH($C1542,MASTER_JAM!$A$5:$A$94,0)),"")</f>
        <v/>
      </c>
      <c r="J1542" s="157">
        <f>IFERROR(INDEX(MASTER_JAM!$E$5:$E$94,MATCH($D1542,MASTER_JAM!$A$5:$A$94,0)),"")</f>
        <v/>
      </c>
      <c r="K1542" s="158">
        <f>IFERROR(INDEX(MASTER_JAM!$J$5:$O$12,MATCH($E1542,MASTER_JAM!$I$5:$I$12,0),MATCH($J1542,MASTER_JAM!$J$4:$O$4,0))+0,0)</f>
        <v/>
      </c>
      <c r="L1542" s="159">
        <f>N($F1542)*$K1542</f>
        <v/>
      </c>
      <c r="M1542" s="157">
        <f>IF($E1542="","",IF(OR($E1542="Coal",$E1542="Dirty Coal"),"MT","BCM"))</f>
        <v/>
      </c>
      <c r="N1542" s="157">
        <f>IF($E1542="","",IF(OR($E1542="Coal",$E1542="Dirty Coal"),"Coal","OB"))</f>
        <v/>
      </c>
      <c r="O1542" s="157">
        <f>IF($F1542="","",IF(COUNTIF(MASTER_JAM!$A$5:$A$94,$C1542)=0,"Digger tidak dikenal",IF($J1542="","Hauler tidak dikenal",IF($H1542="?","Jam salah",IF($K1542=0,"Faktor kosong",IF(SUMIFS(INPUT_DELAY!$E$5:$E$20000,INPUT_DELAY!$A$5:$A$20000,$A1542,INPUT_DELAY!$B$5:$B$20000,$B1542,INPUT_DELAY!$C$5:$C$20000,$C1542)+SUMIFS(INPUT_DELAY!$E$5:$E$20000,INPUT_DELAY!$A$5:$A$20000,$A1542,INPUT_DELAY!$B$5:$B$20000,$B1542,INPUT_DELAY!$C$5:$C$20000,"SEMUA")&gt;=60,"Delay 60 mnt tapi ada ritase","OK"))))))</f>
        <v/>
      </c>
      <c r="P1542" s="158">
        <f>IFERROR(INDEX(MASTER_JAM!$Z$5:$AC$10,MATCH($I1542,MASTER_JAM!$Y$5:$Y$10,0),MATCH($J1542,MASTER_JAM!$Z$4:$AC$4,0))+0,0)</f>
        <v/>
      </c>
      <c r="Q1542" s="158">
        <f>IF($P1542=0,0,$P1542+IFERROR(INDEX(MASTER_JAM!$H$5:$H$94,MATCH($C1542,MASTER_JAM!$A$5:$A$94,0))+0,MASTER_JAM!$AC$15)/1000*(60/MASTER_JAM!$AC$12+60/MASTER_JAM!$AC$13)+MASTER_JAM!$AC$14)</f>
        <v/>
      </c>
      <c r="R1542" s="158">
        <f>IF(N($F1542)=0,0,$F1542/SUMIFS(INPUT_RITASE!$F$5:$F$20000,INPUT_RITASE!$A$5:$A$20000,$A1542,INPUT_RITASE!$B$5:$B$20000,$B1542,INPUT_RITASE!$C$5:$C$20000,$C1542,INPUT_RITASE!$D$5:$D$20000,$D1542))</f>
        <v/>
      </c>
      <c r="S1542" s="158">
        <f>IF($Q1542=0,0,$R1542*$P1542/$Q1542)</f>
        <v/>
      </c>
    </row>
    <row r="1543">
      <c r="A1543" s="155" t="n">
        <v>46109</v>
      </c>
      <c r="B1543" s="156" t="inlineStr">
        <is>
          <t>05-06</t>
        </is>
      </c>
      <c r="C1543" s="156" t="inlineStr">
        <is>
          <t>EX-754</t>
        </is>
      </c>
      <c r="D1543" s="156" t="inlineStr">
        <is>
          <t>DT-517</t>
        </is>
      </c>
      <c r="E1543" s="156" t="inlineStr">
        <is>
          <t>OB</t>
        </is>
      </c>
      <c r="F1543" s="156" t="n">
        <v>4</v>
      </c>
      <c r="G1543" s="156" t="inlineStr"/>
      <c r="H1543" s="157">
        <f>IF($B1543="","",IF(ISNA(MATCH($B1543,MASTER_JAM!$Q$5:$Q$28,0)),"?",IF(MATCH($B1543,MASTER_JAM!$Q$5:$Q$28,0)&lt;=12,"DS","NS")))</f>
        <v/>
      </c>
      <c r="I1543" s="157">
        <f>IFERROR(INDEX(MASTER_JAM!$B$5:$B$94,MATCH($C1543,MASTER_JAM!$A$5:$A$94,0)),"")</f>
        <v/>
      </c>
      <c r="J1543" s="157">
        <f>IFERROR(INDEX(MASTER_JAM!$E$5:$E$94,MATCH($D1543,MASTER_JAM!$A$5:$A$94,0)),"")</f>
        <v/>
      </c>
      <c r="K1543" s="158">
        <f>IFERROR(INDEX(MASTER_JAM!$J$5:$O$12,MATCH($E1543,MASTER_JAM!$I$5:$I$12,0),MATCH($J1543,MASTER_JAM!$J$4:$O$4,0))+0,0)</f>
        <v/>
      </c>
      <c r="L1543" s="159">
        <f>N($F1543)*$K1543</f>
        <v/>
      </c>
      <c r="M1543" s="157">
        <f>IF($E1543="","",IF(OR($E1543="Coal",$E1543="Dirty Coal"),"MT","BCM"))</f>
        <v/>
      </c>
      <c r="N1543" s="157">
        <f>IF($E1543="","",IF(OR($E1543="Coal",$E1543="Dirty Coal"),"Coal","OB"))</f>
        <v/>
      </c>
      <c r="O1543" s="157">
        <f>IF($F1543="","",IF(COUNTIF(MASTER_JAM!$A$5:$A$94,$C1543)=0,"Digger tidak dikenal",IF($J1543="","Hauler tidak dikenal",IF($H1543="?","Jam salah",IF($K1543=0,"Faktor kosong",IF(SUMIFS(INPUT_DELAY!$E$5:$E$20000,INPUT_DELAY!$A$5:$A$20000,$A1543,INPUT_DELAY!$B$5:$B$20000,$B1543,INPUT_DELAY!$C$5:$C$20000,$C1543)+SUMIFS(INPUT_DELAY!$E$5:$E$20000,INPUT_DELAY!$A$5:$A$20000,$A1543,INPUT_DELAY!$B$5:$B$20000,$B1543,INPUT_DELAY!$C$5:$C$20000,"SEMUA")&gt;=60,"Delay 60 mnt tapi ada ritase","OK"))))))</f>
        <v/>
      </c>
      <c r="P1543" s="158">
        <f>IFERROR(INDEX(MASTER_JAM!$Z$5:$AC$10,MATCH($I1543,MASTER_JAM!$Y$5:$Y$10,0),MATCH($J1543,MASTER_JAM!$Z$4:$AC$4,0))+0,0)</f>
        <v/>
      </c>
      <c r="Q1543" s="158">
        <f>IF($P1543=0,0,$P1543+IFERROR(INDEX(MASTER_JAM!$H$5:$H$94,MATCH($C1543,MASTER_JAM!$A$5:$A$94,0))+0,MASTER_JAM!$AC$15)/1000*(60/MASTER_JAM!$AC$12+60/MASTER_JAM!$AC$13)+MASTER_JAM!$AC$14)</f>
        <v/>
      </c>
      <c r="R1543" s="158">
        <f>IF(N($F1543)=0,0,$F1543/SUMIFS(INPUT_RITASE!$F$5:$F$20000,INPUT_RITASE!$A$5:$A$20000,$A1543,INPUT_RITASE!$B$5:$B$20000,$B1543,INPUT_RITASE!$C$5:$C$20000,$C1543,INPUT_RITASE!$D$5:$D$20000,$D1543))</f>
        <v/>
      </c>
      <c r="S1543" s="158">
        <f>IF($Q1543=0,0,$R1543*$P1543/$Q1543)</f>
        <v/>
      </c>
    </row>
    <row r="1544">
      <c r="A1544" s="155" t="n">
        <v>46109</v>
      </c>
      <c r="B1544" s="156" t="inlineStr">
        <is>
          <t>05-06</t>
        </is>
      </c>
      <c r="C1544" s="156" t="inlineStr">
        <is>
          <t>EX-754</t>
        </is>
      </c>
      <c r="D1544" s="156" t="inlineStr">
        <is>
          <t>DT-512</t>
        </is>
      </c>
      <c r="E1544" s="156" t="inlineStr">
        <is>
          <t>OB</t>
        </is>
      </c>
      <c r="F1544" s="156" t="n">
        <v>4</v>
      </c>
      <c r="G1544" s="156" t="inlineStr"/>
      <c r="H1544" s="157">
        <f>IF($B1544="","",IF(ISNA(MATCH($B1544,MASTER_JAM!$Q$5:$Q$28,0)),"?",IF(MATCH($B1544,MASTER_JAM!$Q$5:$Q$28,0)&lt;=12,"DS","NS")))</f>
        <v/>
      </c>
      <c r="I1544" s="157">
        <f>IFERROR(INDEX(MASTER_JAM!$B$5:$B$94,MATCH($C1544,MASTER_JAM!$A$5:$A$94,0)),"")</f>
        <v/>
      </c>
      <c r="J1544" s="157">
        <f>IFERROR(INDEX(MASTER_JAM!$E$5:$E$94,MATCH($D1544,MASTER_JAM!$A$5:$A$94,0)),"")</f>
        <v/>
      </c>
      <c r="K1544" s="158">
        <f>IFERROR(INDEX(MASTER_JAM!$J$5:$O$12,MATCH($E1544,MASTER_JAM!$I$5:$I$12,0),MATCH($J1544,MASTER_JAM!$J$4:$O$4,0))+0,0)</f>
        <v/>
      </c>
      <c r="L1544" s="159">
        <f>N($F1544)*$K1544</f>
        <v/>
      </c>
      <c r="M1544" s="157">
        <f>IF($E1544="","",IF(OR($E1544="Coal",$E1544="Dirty Coal"),"MT","BCM"))</f>
        <v/>
      </c>
      <c r="N1544" s="157">
        <f>IF($E1544="","",IF(OR($E1544="Coal",$E1544="Dirty Coal"),"Coal","OB"))</f>
        <v/>
      </c>
      <c r="O1544" s="157">
        <f>IF($F1544="","",IF(COUNTIF(MASTER_JAM!$A$5:$A$94,$C1544)=0,"Digger tidak dikenal",IF($J1544="","Hauler tidak dikenal",IF($H1544="?","Jam salah",IF($K1544=0,"Faktor kosong",IF(SUMIFS(INPUT_DELAY!$E$5:$E$20000,INPUT_DELAY!$A$5:$A$20000,$A1544,INPUT_DELAY!$B$5:$B$20000,$B1544,INPUT_DELAY!$C$5:$C$20000,$C1544)+SUMIFS(INPUT_DELAY!$E$5:$E$20000,INPUT_DELAY!$A$5:$A$20000,$A1544,INPUT_DELAY!$B$5:$B$20000,$B1544,INPUT_DELAY!$C$5:$C$20000,"SEMUA")&gt;=60,"Delay 60 mnt tapi ada ritase","OK"))))))</f>
        <v/>
      </c>
      <c r="P1544" s="158">
        <f>IFERROR(INDEX(MASTER_JAM!$Z$5:$AC$10,MATCH($I1544,MASTER_JAM!$Y$5:$Y$10,0),MATCH($J1544,MASTER_JAM!$Z$4:$AC$4,0))+0,0)</f>
        <v/>
      </c>
      <c r="Q1544" s="158">
        <f>IF($P1544=0,0,$P1544+IFERROR(INDEX(MASTER_JAM!$H$5:$H$94,MATCH($C1544,MASTER_JAM!$A$5:$A$94,0))+0,MASTER_JAM!$AC$15)/1000*(60/MASTER_JAM!$AC$12+60/MASTER_JAM!$AC$13)+MASTER_JAM!$AC$14)</f>
        <v/>
      </c>
      <c r="R1544" s="158">
        <f>IF(N($F1544)=0,0,$F1544/SUMIFS(INPUT_RITASE!$F$5:$F$20000,INPUT_RITASE!$A$5:$A$20000,$A1544,INPUT_RITASE!$B$5:$B$20000,$B1544,INPUT_RITASE!$C$5:$C$20000,$C1544,INPUT_RITASE!$D$5:$D$20000,$D1544))</f>
        <v/>
      </c>
      <c r="S1544" s="158">
        <f>IF($Q1544=0,0,$R1544*$P1544/$Q1544)</f>
        <v/>
      </c>
    </row>
    <row r="1545">
      <c r="A1545" s="155" t="n">
        <v>46109</v>
      </c>
      <c r="B1545" s="156" t="inlineStr">
        <is>
          <t>05-06</t>
        </is>
      </c>
      <c r="C1545" s="156" t="inlineStr">
        <is>
          <t>EX-754</t>
        </is>
      </c>
      <c r="D1545" s="156" t="inlineStr">
        <is>
          <t>DT-527</t>
        </is>
      </c>
      <c r="E1545" s="156" t="inlineStr">
        <is>
          <t>OB</t>
        </is>
      </c>
      <c r="F1545" s="156" t="n">
        <v>4</v>
      </c>
      <c r="G1545" s="156" t="inlineStr"/>
      <c r="H1545" s="157">
        <f>IF($B1545="","",IF(ISNA(MATCH($B1545,MASTER_JAM!$Q$5:$Q$28,0)),"?",IF(MATCH($B1545,MASTER_JAM!$Q$5:$Q$28,0)&lt;=12,"DS","NS")))</f>
        <v/>
      </c>
      <c r="I1545" s="157">
        <f>IFERROR(INDEX(MASTER_JAM!$B$5:$B$94,MATCH($C1545,MASTER_JAM!$A$5:$A$94,0)),"")</f>
        <v/>
      </c>
      <c r="J1545" s="157">
        <f>IFERROR(INDEX(MASTER_JAM!$E$5:$E$94,MATCH($D1545,MASTER_JAM!$A$5:$A$94,0)),"")</f>
        <v/>
      </c>
      <c r="K1545" s="158">
        <f>IFERROR(INDEX(MASTER_JAM!$J$5:$O$12,MATCH($E1545,MASTER_JAM!$I$5:$I$12,0),MATCH($J1545,MASTER_JAM!$J$4:$O$4,0))+0,0)</f>
        <v/>
      </c>
      <c r="L1545" s="159">
        <f>N($F1545)*$K1545</f>
        <v/>
      </c>
      <c r="M1545" s="157">
        <f>IF($E1545="","",IF(OR($E1545="Coal",$E1545="Dirty Coal"),"MT","BCM"))</f>
        <v/>
      </c>
      <c r="N1545" s="157">
        <f>IF($E1545="","",IF(OR($E1545="Coal",$E1545="Dirty Coal"),"Coal","OB"))</f>
        <v/>
      </c>
      <c r="O1545" s="157">
        <f>IF($F1545="","",IF(COUNTIF(MASTER_JAM!$A$5:$A$94,$C1545)=0,"Digger tidak dikenal",IF($J1545="","Hauler tidak dikenal",IF($H1545="?","Jam salah",IF($K1545=0,"Faktor kosong",IF(SUMIFS(INPUT_DELAY!$E$5:$E$20000,INPUT_DELAY!$A$5:$A$20000,$A1545,INPUT_DELAY!$B$5:$B$20000,$B1545,INPUT_DELAY!$C$5:$C$20000,$C1545)+SUMIFS(INPUT_DELAY!$E$5:$E$20000,INPUT_DELAY!$A$5:$A$20000,$A1545,INPUT_DELAY!$B$5:$B$20000,$B1545,INPUT_DELAY!$C$5:$C$20000,"SEMUA")&gt;=60,"Delay 60 mnt tapi ada ritase","OK"))))))</f>
        <v/>
      </c>
      <c r="P1545" s="158">
        <f>IFERROR(INDEX(MASTER_JAM!$Z$5:$AC$10,MATCH($I1545,MASTER_JAM!$Y$5:$Y$10,0),MATCH($J1545,MASTER_JAM!$Z$4:$AC$4,0))+0,0)</f>
        <v/>
      </c>
      <c r="Q1545" s="158">
        <f>IF($P1545=0,0,$P1545+IFERROR(INDEX(MASTER_JAM!$H$5:$H$94,MATCH($C1545,MASTER_JAM!$A$5:$A$94,0))+0,MASTER_JAM!$AC$15)/1000*(60/MASTER_JAM!$AC$12+60/MASTER_JAM!$AC$13)+MASTER_JAM!$AC$14)</f>
        <v/>
      </c>
      <c r="R1545" s="158">
        <f>IF(N($F1545)=0,0,$F1545/SUMIFS(INPUT_RITASE!$F$5:$F$20000,INPUT_RITASE!$A$5:$A$20000,$A1545,INPUT_RITASE!$B$5:$B$20000,$B1545,INPUT_RITASE!$C$5:$C$20000,$C1545,INPUT_RITASE!$D$5:$D$20000,$D1545))</f>
        <v/>
      </c>
      <c r="S1545" s="158">
        <f>IF($Q1545=0,0,$R1545*$P1545/$Q1545)</f>
        <v/>
      </c>
    </row>
    <row r="1546">
      <c r="A1546" s="155" t="n">
        <v>46109</v>
      </c>
      <c r="B1546" s="156" t="inlineStr">
        <is>
          <t>05-06</t>
        </is>
      </c>
      <c r="C1546" s="156" t="inlineStr">
        <is>
          <t>EX-754</t>
        </is>
      </c>
      <c r="D1546" s="156" t="inlineStr">
        <is>
          <t>DT-506</t>
        </is>
      </c>
      <c r="E1546" s="156" t="inlineStr">
        <is>
          <t>OB</t>
        </is>
      </c>
      <c r="F1546" s="156" t="n">
        <v>4</v>
      </c>
      <c r="G1546" s="156" t="inlineStr"/>
      <c r="H1546" s="157">
        <f>IF($B1546="","",IF(ISNA(MATCH($B1546,MASTER_JAM!$Q$5:$Q$28,0)),"?",IF(MATCH($B1546,MASTER_JAM!$Q$5:$Q$28,0)&lt;=12,"DS","NS")))</f>
        <v/>
      </c>
      <c r="I1546" s="157">
        <f>IFERROR(INDEX(MASTER_JAM!$B$5:$B$94,MATCH($C1546,MASTER_JAM!$A$5:$A$94,0)),"")</f>
        <v/>
      </c>
      <c r="J1546" s="157">
        <f>IFERROR(INDEX(MASTER_JAM!$E$5:$E$94,MATCH($D1546,MASTER_JAM!$A$5:$A$94,0)),"")</f>
        <v/>
      </c>
      <c r="K1546" s="158">
        <f>IFERROR(INDEX(MASTER_JAM!$J$5:$O$12,MATCH($E1546,MASTER_JAM!$I$5:$I$12,0),MATCH($J1546,MASTER_JAM!$J$4:$O$4,0))+0,0)</f>
        <v/>
      </c>
      <c r="L1546" s="159">
        <f>N($F1546)*$K1546</f>
        <v/>
      </c>
      <c r="M1546" s="157">
        <f>IF($E1546="","",IF(OR($E1546="Coal",$E1546="Dirty Coal"),"MT","BCM"))</f>
        <v/>
      </c>
      <c r="N1546" s="157">
        <f>IF($E1546="","",IF(OR($E1546="Coal",$E1546="Dirty Coal"),"Coal","OB"))</f>
        <v/>
      </c>
      <c r="O1546" s="157">
        <f>IF($F1546="","",IF(COUNTIF(MASTER_JAM!$A$5:$A$94,$C1546)=0,"Digger tidak dikenal",IF($J1546="","Hauler tidak dikenal",IF($H1546="?","Jam salah",IF($K1546=0,"Faktor kosong",IF(SUMIFS(INPUT_DELAY!$E$5:$E$20000,INPUT_DELAY!$A$5:$A$20000,$A1546,INPUT_DELAY!$B$5:$B$20000,$B1546,INPUT_DELAY!$C$5:$C$20000,$C1546)+SUMIFS(INPUT_DELAY!$E$5:$E$20000,INPUT_DELAY!$A$5:$A$20000,$A1546,INPUT_DELAY!$B$5:$B$20000,$B1546,INPUT_DELAY!$C$5:$C$20000,"SEMUA")&gt;=60,"Delay 60 mnt tapi ada ritase","OK"))))))</f>
        <v/>
      </c>
      <c r="P1546" s="158">
        <f>IFERROR(INDEX(MASTER_JAM!$Z$5:$AC$10,MATCH($I1546,MASTER_JAM!$Y$5:$Y$10,0),MATCH($J1546,MASTER_JAM!$Z$4:$AC$4,0))+0,0)</f>
        <v/>
      </c>
      <c r="Q1546" s="158">
        <f>IF($P1546=0,0,$P1546+IFERROR(INDEX(MASTER_JAM!$H$5:$H$94,MATCH($C1546,MASTER_JAM!$A$5:$A$94,0))+0,MASTER_JAM!$AC$15)/1000*(60/MASTER_JAM!$AC$12+60/MASTER_JAM!$AC$13)+MASTER_JAM!$AC$14)</f>
        <v/>
      </c>
      <c r="R1546" s="158">
        <f>IF(N($F1546)=0,0,$F1546/SUMIFS(INPUT_RITASE!$F$5:$F$20000,INPUT_RITASE!$A$5:$A$20000,$A1546,INPUT_RITASE!$B$5:$B$20000,$B1546,INPUT_RITASE!$C$5:$C$20000,$C1546,INPUT_RITASE!$D$5:$D$20000,$D1546))</f>
        <v/>
      </c>
      <c r="S1546" s="158">
        <f>IF($Q1546=0,0,$R1546*$P1546/$Q1546)</f>
        <v/>
      </c>
    </row>
    <row r="1547">
      <c r="A1547" s="155" t="n">
        <v>46109</v>
      </c>
      <c r="B1547" s="156" t="inlineStr">
        <is>
          <t>18-19</t>
        </is>
      </c>
      <c r="C1547" s="156" t="inlineStr">
        <is>
          <t>EX-755</t>
        </is>
      </c>
      <c r="D1547" s="156" t="inlineStr">
        <is>
          <t>DT-503</t>
        </is>
      </c>
      <c r="E1547" s="156" t="inlineStr">
        <is>
          <t>OB</t>
        </is>
      </c>
      <c r="F1547" s="156" t="n">
        <v>4</v>
      </c>
      <c r="G1547" s="156" t="inlineStr"/>
      <c r="H1547" s="157">
        <f>IF($B1547="","",IF(ISNA(MATCH($B1547,MASTER_JAM!$Q$5:$Q$28,0)),"?",IF(MATCH($B1547,MASTER_JAM!$Q$5:$Q$28,0)&lt;=12,"DS","NS")))</f>
        <v/>
      </c>
      <c r="I1547" s="157">
        <f>IFERROR(INDEX(MASTER_JAM!$B$5:$B$94,MATCH($C1547,MASTER_JAM!$A$5:$A$94,0)),"")</f>
        <v/>
      </c>
      <c r="J1547" s="157">
        <f>IFERROR(INDEX(MASTER_JAM!$E$5:$E$94,MATCH($D1547,MASTER_JAM!$A$5:$A$94,0)),"")</f>
        <v/>
      </c>
      <c r="K1547" s="158">
        <f>IFERROR(INDEX(MASTER_JAM!$J$5:$O$12,MATCH($E1547,MASTER_JAM!$I$5:$I$12,0),MATCH($J1547,MASTER_JAM!$J$4:$O$4,0))+0,0)</f>
        <v/>
      </c>
      <c r="L1547" s="159">
        <f>N($F1547)*$K1547</f>
        <v/>
      </c>
      <c r="M1547" s="157">
        <f>IF($E1547="","",IF(OR($E1547="Coal",$E1547="Dirty Coal"),"MT","BCM"))</f>
        <v/>
      </c>
      <c r="N1547" s="157">
        <f>IF($E1547="","",IF(OR($E1547="Coal",$E1547="Dirty Coal"),"Coal","OB"))</f>
        <v/>
      </c>
      <c r="O1547" s="157">
        <f>IF($F1547="","",IF(COUNTIF(MASTER_JAM!$A$5:$A$94,$C1547)=0,"Digger tidak dikenal",IF($J1547="","Hauler tidak dikenal",IF($H1547="?","Jam salah",IF($K1547=0,"Faktor kosong",IF(SUMIFS(INPUT_DELAY!$E$5:$E$20000,INPUT_DELAY!$A$5:$A$20000,$A1547,INPUT_DELAY!$B$5:$B$20000,$B1547,INPUT_DELAY!$C$5:$C$20000,$C1547)+SUMIFS(INPUT_DELAY!$E$5:$E$20000,INPUT_DELAY!$A$5:$A$20000,$A1547,INPUT_DELAY!$B$5:$B$20000,$B1547,INPUT_DELAY!$C$5:$C$20000,"SEMUA")&gt;=60,"Delay 60 mnt tapi ada ritase","OK"))))))</f>
        <v/>
      </c>
      <c r="P1547" s="158">
        <f>IFERROR(INDEX(MASTER_JAM!$Z$5:$AC$10,MATCH($I1547,MASTER_JAM!$Y$5:$Y$10,0),MATCH($J1547,MASTER_JAM!$Z$4:$AC$4,0))+0,0)</f>
        <v/>
      </c>
      <c r="Q1547" s="158">
        <f>IF($P1547=0,0,$P1547+IFERROR(INDEX(MASTER_JAM!$H$5:$H$94,MATCH($C1547,MASTER_JAM!$A$5:$A$94,0))+0,MASTER_JAM!$AC$15)/1000*(60/MASTER_JAM!$AC$12+60/MASTER_JAM!$AC$13)+MASTER_JAM!$AC$14)</f>
        <v/>
      </c>
      <c r="R1547" s="158">
        <f>IF(N($F1547)=0,0,$F1547/SUMIFS(INPUT_RITASE!$F$5:$F$20000,INPUT_RITASE!$A$5:$A$20000,$A1547,INPUT_RITASE!$B$5:$B$20000,$B1547,INPUT_RITASE!$C$5:$C$20000,$C1547,INPUT_RITASE!$D$5:$D$20000,$D1547))</f>
        <v/>
      </c>
      <c r="S1547" s="158">
        <f>IF($Q1547=0,0,$R1547*$P1547/$Q1547)</f>
        <v/>
      </c>
    </row>
    <row r="1548">
      <c r="A1548" s="155" t="n">
        <v>46109</v>
      </c>
      <c r="B1548" s="156" t="inlineStr">
        <is>
          <t>18-19</t>
        </is>
      </c>
      <c r="C1548" s="156" t="inlineStr">
        <is>
          <t>EX-755</t>
        </is>
      </c>
      <c r="D1548" s="156" t="inlineStr">
        <is>
          <t>DT-517</t>
        </is>
      </c>
      <c r="E1548" s="156" t="inlineStr">
        <is>
          <t>OB</t>
        </is>
      </c>
      <c r="F1548" s="156" t="n">
        <v>4</v>
      </c>
      <c r="G1548" s="156" t="inlineStr"/>
      <c r="H1548" s="157">
        <f>IF($B1548="","",IF(ISNA(MATCH($B1548,MASTER_JAM!$Q$5:$Q$28,0)),"?",IF(MATCH($B1548,MASTER_JAM!$Q$5:$Q$28,0)&lt;=12,"DS","NS")))</f>
        <v/>
      </c>
      <c r="I1548" s="157">
        <f>IFERROR(INDEX(MASTER_JAM!$B$5:$B$94,MATCH($C1548,MASTER_JAM!$A$5:$A$94,0)),"")</f>
        <v/>
      </c>
      <c r="J1548" s="157">
        <f>IFERROR(INDEX(MASTER_JAM!$E$5:$E$94,MATCH($D1548,MASTER_JAM!$A$5:$A$94,0)),"")</f>
        <v/>
      </c>
      <c r="K1548" s="158">
        <f>IFERROR(INDEX(MASTER_JAM!$J$5:$O$12,MATCH($E1548,MASTER_JAM!$I$5:$I$12,0),MATCH($J1548,MASTER_JAM!$J$4:$O$4,0))+0,0)</f>
        <v/>
      </c>
      <c r="L1548" s="159">
        <f>N($F1548)*$K1548</f>
        <v/>
      </c>
      <c r="M1548" s="157">
        <f>IF($E1548="","",IF(OR($E1548="Coal",$E1548="Dirty Coal"),"MT","BCM"))</f>
        <v/>
      </c>
      <c r="N1548" s="157">
        <f>IF($E1548="","",IF(OR($E1548="Coal",$E1548="Dirty Coal"),"Coal","OB"))</f>
        <v/>
      </c>
      <c r="O1548" s="157">
        <f>IF($F1548="","",IF(COUNTIF(MASTER_JAM!$A$5:$A$94,$C1548)=0,"Digger tidak dikenal",IF($J1548="","Hauler tidak dikenal",IF($H1548="?","Jam salah",IF($K1548=0,"Faktor kosong",IF(SUMIFS(INPUT_DELAY!$E$5:$E$20000,INPUT_DELAY!$A$5:$A$20000,$A1548,INPUT_DELAY!$B$5:$B$20000,$B1548,INPUT_DELAY!$C$5:$C$20000,$C1548)+SUMIFS(INPUT_DELAY!$E$5:$E$20000,INPUT_DELAY!$A$5:$A$20000,$A1548,INPUT_DELAY!$B$5:$B$20000,$B1548,INPUT_DELAY!$C$5:$C$20000,"SEMUA")&gt;=60,"Delay 60 mnt tapi ada ritase","OK"))))))</f>
        <v/>
      </c>
      <c r="P1548" s="158">
        <f>IFERROR(INDEX(MASTER_JAM!$Z$5:$AC$10,MATCH($I1548,MASTER_JAM!$Y$5:$Y$10,0),MATCH($J1548,MASTER_JAM!$Z$4:$AC$4,0))+0,0)</f>
        <v/>
      </c>
      <c r="Q1548" s="158">
        <f>IF($P1548=0,0,$P1548+IFERROR(INDEX(MASTER_JAM!$H$5:$H$94,MATCH($C1548,MASTER_JAM!$A$5:$A$94,0))+0,MASTER_JAM!$AC$15)/1000*(60/MASTER_JAM!$AC$12+60/MASTER_JAM!$AC$13)+MASTER_JAM!$AC$14)</f>
        <v/>
      </c>
      <c r="R1548" s="158">
        <f>IF(N($F1548)=0,0,$F1548/SUMIFS(INPUT_RITASE!$F$5:$F$20000,INPUT_RITASE!$A$5:$A$20000,$A1548,INPUT_RITASE!$B$5:$B$20000,$B1548,INPUT_RITASE!$C$5:$C$20000,$C1548,INPUT_RITASE!$D$5:$D$20000,$D1548))</f>
        <v/>
      </c>
      <c r="S1548" s="158">
        <f>IF($Q1548=0,0,$R1548*$P1548/$Q1548)</f>
        <v/>
      </c>
    </row>
    <row r="1549">
      <c r="A1549" s="155" t="n">
        <v>46109</v>
      </c>
      <c r="B1549" s="156" t="inlineStr">
        <is>
          <t>18-19</t>
        </is>
      </c>
      <c r="C1549" s="156" t="inlineStr">
        <is>
          <t>EX-755</t>
        </is>
      </c>
      <c r="D1549" s="156" t="inlineStr">
        <is>
          <t>DT-506</t>
        </is>
      </c>
      <c r="E1549" s="156" t="inlineStr">
        <is>
          <t>OB</t>
        </is>
      </c>
      <c r="F1549" s="156" t="n">
        <v>4</v>
      </c>
      <c r="G1549" s="156" t="inlineStr"/>
      <c r="H1549" s="157">
        <f>IF($B1549="","",IF(ISNA(MATCH($B1549,MASTER_JAM!$Q$5:$Q$28,0)),"?",IF(MATCH($B1549,MASTER_JAM!$Q$5:$Q$28,0)&lt;=12,"DS","NS")))</f>
        <v/>
      </c>
      <c r="I1549" s="157">
        <f>IFERROR(INDEX(MASTER_JAM!$B$5:$B$94,MATCH($C1549,MASTER_JAM!$A$5:$A$94,0)),"")</f>
        <v/>
      </c>
      <c r="J1549" s="157">
        <f>IFERROR(INDEX(MASTER_JAM!$E$5:$E$94,MATCH($D1549,MASTER_JAM!$A$5:$A$94,0)),"")</f>
        <v/>
      </c>
      <c r="K1549" s="158">
        <f>IFERROR(INDEX(MASTER_JAM!$J$5:$O$12,MATCH($E1549,MASTER_JAM!$I$5:$I$12,0),MATCH($J1549,MASTER_JAM!$J$4:$O$4,0))+0,0)</f>
        <v/>
      </c>
      <c r="L1549" s="159">
        <f>N($F1549)*$K1549</f>
        <v/>
      </c>
      <c r="M1549" s="157">
        <f>IF($E1549="","",IF(OR($E1549="Coal",$E1549="Dirty Coal"),"MT","BCM"))</f>
        <v/>
      </c>
      <c r="N1549" s="157">
        <f>IF($E1549="","",IF(OR($E1549="Coal",$E1549="Dirty Coal"),"Coal","OB"))</f>
        <v/>
      </c>
      <c r="O1549" s="157">
        <f>IF($F1549="","",IF(COUNTIF(MASTER_JAM!$A$5:$A$94,$C1549)=0,"Digger tidak dikenal",IF($J1549="","Hauler tidak dikenal",IF($H1549="?","Jam salah",IF($K1549=0,"Faktor kosong",IF(SUMIFS(INPUT_DELAY!$E$5:$E$20000,INPUT_DELAY!$A$5:$A$20000,$A1549,INPUT_DELAY!$B$5:$B$20000,$B1549,INPUT_DELAY!$C$5:$C$20000,$C1549)+SUMIFS(INPUT_DELAY!$E$5:$E$20000,INPUT_DELAY!$A$5:$A$20000,$A1549,INPUT_DELAY!$B$5:$B$20000,$B1549,INPUT_DELAY!$C$5:$C$20000,"SEMUA")&gt;=60,"Delay 60 mnt tapi ada ritase","OK"))))))</f>
        <v/>
      </c>
      <c r="P1549" s="158">
        <f>IFERROR(INDEX(MASTER_JAM!$Z$5:$AC$10,MATCH($I1549,MASTER_JAM!$Y$5:$Y$10,0),MATCH($J1549,MASTER_JAM!$Z$4:$AC$4,0))+0,0)</f>
        <v/>
      </c>
      <c r="Q1549" s="158">
        <f>IF($P1549=0,0,$P1549+IFERROR(INDEX(MASTER_JAM!$H$5:$H$94,MATCH($C1549,MASTER_JAM!$A$5:$A$94,0))+0,MASTER_JAM!$AC$15)/1000*(60/MASTER_JAM!$AC$12+60/MASTER_JAM!$AC$13)+MASTER_JAM!$AC$14)</f>
        <v/>
      </c>
      <c r="R1549" s="158">
        <f>IF(N($F1549)=0,0,$F1549/SUMIFS(INPUT_RITASE!$F$5:$F$20000,INPUT_RITASE!$A$5:$A$20000,$A1549,INPUT_RITASE!$B$5:$B$20000,$B1549,INPUT_RITASE!$C$5:$C$20000,$C1549,INPUT_RITASE!$D$5:$D$20000,$D1549))</f>
        <v/>
      </c>
      <c r="S1549" s="158">
        <f>IF($Q1549=0,0,$R1549*$P1549/$Q1549)</f>
        <v/>
      </c>
    </row>
    <row r="1550">
      <c r="A1550" s="155" t="n">
        <v>46109</v>
      </c>
      <c r="B1550" s="156" t="inlineStr">
        <is>
          <t>22-23</t>
        </is>
      </c>
      <c r="C1550" s="156" t="inlineStr">
        <is>
          <t>EX-755</t>
        </is>
      </c>
      <c r="D1550" s="156" t="inlineStr">
        <is>
          <t>DT-512</t>
        </is>
      </c>
      <c r="E1550" s="156" t="inlineStr">
        <is>
          <t>OB</t>
        </is>
      </c>
      <c r="F1550" s="156" t="n">
        <v>2</v>
      </c>
      <c r="G1550" s="156" t="inlineStr"/>
      <c r="H1550" s="157">
        <f>IF($B1550="","",IF(ISNA(MATCH($B1550,MASTER_JAM!$Q$5:$Q$28,0)),"?",IF(MATCH($B1550,MASTER_JAM!$Q$5:$Q$28,0)&lt;=12,"DS","NS")))</f>
        <v/>
      </c>
      <c r="I1550" s="157">
        <f>IFERROR(INDEX(MASTER_JAM!$B$5:$B$94,MATCH($C1550,MASTER_JAM!$A$5:$A$94,0)),"")</f>
        <v/>
      </c>
      <c r="J1550" s="157">
        <f>IFERROR(INDEX(MASTER_JAM!$E$5:$E$94,MATCH($D1550,MASTER_JAM!$A$5:$A$94,0)),"")</f>
        <v/>
      </c>
      <c r="K1550" s="158">
        <f>IFERROR(INDEX(MASTER_JAM!$J$5:$O$12,MATCH($E1550,MASTER_JAM!$I$5:$I$12,0),MATCH($J1550,MASTER_JAM!$J$4:$O$4,0))+0,0)</f>
        <v/>
      </c>
      <c r="L1550" s="159">
        <f>N($F1550)*$K1550</f>
        <v/>
      </c>
      <c r="M1550" s="157">
        <f>IF($E1550="","",IF(OR($E1550="Coal",$E1550="Dirty Coal"),"MT","BCM"))</f>
        <v/>
      </c>
      <c r="N1550" s="157">
        <f>IF($E1550="","",IF(OR($E1550="Coal",$E1550="Dirty Coal"),"Coal","OB"))</f>
        <v/>
      </c>
      <c r="O1550" s="157">
        <f>IF($F1550="","",IF(COUNTIF(MASTER_JAM!$A$5:$A$94,$C1550)=0,"Digger tidak dikenal",IF($J1550="","Hauler tidak dikenal",IF($H1550="?","Jam salah",IF($K1550=0,"Faktor kosong",IF(SUMIFS(INPUT_DELAY!$E$5:$E$20000,INPUT_DELAY!$A$5:$A$20000,$A1550,INPUT_DELAY!$B$5:$B$20000,$B1550,INPUT_DELAY!$C$5:$C$20000,$C1550)+SUMIFS(INPUT_DELAY!$E$5:$E$20000,INPUT_DELAY!$A$5:$A$20000,$A1550,INPUT_DELAY!$B$5:$B$20000,$B1550,INPUT_DELAY!$C$5:$C$20000,"SEMUA")&gt;=60,"Delay 60 mnt tapi ada ritase","OK"))))))</f>
        <v/>
      </c>
      <c r="P1550" s="158">
        <f>IFERROR(INDEX(MASTER_JAM!$Z$5:$AC$10,MATCH($I1550,MASTER_JAM!$Y$5:$Y$10,0),MATCH($J1550,MASTER_JAM!$Z$4:$AC$4,0))+0,0)</f>
        <v/>
      </c>
      <c r="Q1550" s="158">
        <f>IF($P1550=0,0,$P1550+IFERROR(INDEX(MASTER_JAM!$H$5:$H$94,MATCH($C1550,MASTER_JAM!$A$5:$A$94,0))+0,MASTER_JAM!$AC$15)/1000*(60/MASTER_JAM!$AC$12+60/MASTER_JAM!$AC$13)+MASTER_JAM!$AC$14)</f>
        <v/>
      </c>
      <c r="R1550" s="158">
        <f>IF(N($F1550)=0,0,$F1550/SUMIFS(INPUT_RITASE!$F$5:$F$20000,INPUT_RITASE!$A$5:$A$20000,$A1550,INPUT_RITASE!$B$5:$B$20000,$B1550,INPUT_RITASE!$C$5:$C$20000,$C1550,INPUT_RITASE!$D$5:$D$20000,$D1550))</f>
        <v/>
      </c>
      <c r="S1550" s="158">
        <f>IF($Q1550=0,0,$R1550*$P1550/$Q1550)</f>
        <v/>
      </c>
    </row>
    <row r="1551">
      <c r="A1551" s="155" t="n">
        <v>46109</v>
      </c>
      <c r="B1551" s="156" t="inlineStr">
        <is>
          <t>01-02</t>
        </is>
      </c>
      <c r="C1551" s="156" t="inlineStr">
        <is>
          <t>EX-755</t>
        </is>
      </c>
      <c r="D1551" s="156" t="inlineStr">
        <is>
          <t>DT-522</t>
        </is>
      </c>
      <c r="E1551" s="156" t="inlineStr">
        <is>
          <t>OB</t>
        </is>
      </c>
      <c r="F1551" s="156" t="n">
        <v>4</v>
      </c>
      <c r="G1551" s="156" t="inlineStr"/>
      <c r="H1551" s="157">
        <f>IF($B1551="","",IF(ISNA(MATCH($B1551,MASTER_JAM!$Q$5:$Q$28,0)),"?",IF(MATCH($B1551,MASTER_JAM!$Q$5:$Q$28,0)&lt;=12,"DS","NS")))</f>
        <v/>
      </c>
      <c r="I1551" s="157">
        <f>IFERROR(INDEX(MASTER_JAM!$B$5:$B$94,MATCH($C1551,MASTER_JAM!$A$5:$A$94,0)),"")</f>
        <v/>
      </c>
      <c r="J1551" s="157">
        <f>IFERROR(INDEX(MASTER_JAM!$E$5:$E$94,MATCH($D1551,MASTER_JAM!$A$5:$A$94,0)),"")</f>
        <v/>
      </c>
      <c r="K1551" s="158">
        <f>IFERROR(INDEX(MASTER_JAM!$J$5:$O$12,MATCH($E1551,MASTER_JAM!$I$5:$I$12,0),MATCH($J1551,MASTER_JAM!$J$4:$O$4,0))+0,0)</f>
        <v/>
      </c>
      <c r="L1551" s="159">
        <f>N($F1551)*$K1551</f>
        <v/>
      </c>
      <c r="M1551" s="157">
        <f>IF($E1551="","",IF(OR($E1551="Coal",$E1551="Dirty Coal"),"MT","BCM"))</f>
        <v/>
      </c>
      <c r="N1551" s="157">
        <f>IF($E1551="","",IF(OR($E1551="Coal",$E1551="Dirty Coal"),"Coal","OB"))</f>
        <v/>
      </c>
      <c r="O1551" s="157">
        <f>IF($F1551="","",IF(COUNTIF(MASTER_JAM!$A$5:$A$94,$C1551)=0,"Digger tidak dikenal",IF($J1551="","Hauler tidak dikenal",IF($H1551="?","Jam salah",IF($K1551=0,"Faktor kosong",IF(SUMIFS(INPUT_DELAY!$E$5:$E$20000,INPUT_DELAY!$A$5:$A$20000,$A1551,INPUT_DELAY!$B$5:$B$20000,$B1551,INPUT_DELAY!$C$5:$C$20000,$C1551)+SUMIFS(INPUT_DELAY!$E$5:$E$20000,INPUT_DELAY!$A$5:$A$20000,$A1551,INPUT_DELAY!$B$5:$B$20000,$B1551,INPUT_DELAY!$C$5:$C$20000,"SEMUA")&gt;=60,"Delay 60 mnt tapi ada ritase","OK"))))))</f>
        <v/>
      </c>
      <c r="P1551" s="158">
        <f>IFERROR(INDEX(MASTER_JAM!$Z$5:$AC$10,MATCH($I1551,MASTER_JAM!$Y$5:$Y$10,0),MATCH($J1551,MASTER_JAM!$Z$4:$AC$4,0))+0,0)</f>
        <v/>
      </c>
      <c r="Q1551" s="158">
        <f>IF($P1551=0,0,$P1551+IFERROR(INDEX(MASTER_JAM!$H$5:$H$94,MATCH($C1551,MASTER_JAM!$A$5:$A$94,0))+0,MASTER_JAM!$AC$15)/1000*(60/MASTER_JAM!$AC$12+60/MASTER_JAM!$AC$13)+MASTER_JAM!$AC$14)</f>
        <v/>
      </c>
      <c r="R1551" s="158">
        <f>IF(N($F1551)=0,0,$F1551/SUMIFS(INPUT_RITASE!$F$5:$F$20000,INPUT_RITASE!$A$5:$A$20000,$A1551,INPUT_RITASE!$B$5:$B$20000,$B1551,INPUT_RITASE!$C$5:$C$20000,$C1551,INPUT_RITASE!$D$5:$D$20000,$D1551))</f>
        <v/>
      </c>
      <c r="S1551" s="158">
        <f>IF($Q1551=0,0,$R1551*$P1551/$Q1551)</f>
        <v/>
      </c>
    </row>
    <row r="1552">
      <c r="A1552" s="155" t="n">
        <v>46109</v>
      </c>
      <c r="B1552" s="156" t="inlineStr">
        <is>
          <t>01-02</t>
        </is>
      </c>
      <c r="C1552" s="156" t="inlineStr">
        <is>
          <t>EX-755</t>
        </is>
      </c>
      <c r="D1552" s="156" t="inlineStr">
        <is>
          <t>DT-512</t>
        </is>
      </c>
      <c r="E1552" s="156" t="inlineStr">
        <is>
          <t>OB</t>
        </is>
      </c>
      <c r="F1552" s="156" t="n">
        <v>3</v>
      </c>
      <c r="G1552" s="156" t="inlineStr"/>
      <c r="H1552" s="157">
        <f>IF($B1552="","",IF(ISNA(MATCH($B1552,MASTER_JAM!$Q$5:$Q$28,0)),"?",IF(MATCH($B1552,MASTER_JAM!$Q$5:$Q$28,0)&lt;=12,"DS","NS")))</f>
        <v/>
      </c>
      <c r="I1552" s="157">
        <f>IFERROR(INDEX(MASTER_JAM!$B$5:$B$94,MATCH($C1552,MASTER_JAM!$A$5:$A$94,0)),"")</f>
        <v/>
      </c>
      <c r="J1552" s="157">
        <f>IFERROR(INDEX(MASTER_JAM!$E$5:$E$94,MATCH($D1552,MASTER_JAM!$A$5:$A$94,0)),"")</f>
        <v/>
      </c>
      <c r="K1552" s="158">
        <f>IFERROR(INDEX(MASTER_JAM!$J$5:$O$12,MATCH($E1552,MASTER_JAM!$I$5:$I$12,0),MATCH($J1552,MASTER_JAM!$J$4:$O$4,0))+0,0)</f>
        <v/>
      </c>
      <c r="L1552" s="159">
        <f>N($F1552)*$K1552</f>
        <v/>
      </c>
      <c r="M1552" s="157">
        <f>IF($E1552="","",IF(OR($E1552="Coal",$E1552="Dirty Coal"),"MT","BCM"))</f>
        <v/>
      </c>
      <c r="N1552" s="157">
        <f>IF($E1552="","",IF(OR($E1552="Coal",$E1552="Dirty Coal"),"Coal","OB"))</f>
        <v/>
      </c>
      <c r="O1552" s="157">
        <f>IF($F1552="","",IF(COUNTIF(MASTER_JAM!$A$5:$A$94,$C1552)=0,"Digger tidak dikenal",IF($J1552="","Hauler tidak dikenal",IF($H1552="?","Jam salah",IF($K1552=0,"Faktor kosong",IF(SUMIFS(INPUT_DELAY!$E$5:$E$20000,INPUT_DELAY!$A$5:$A$20000,$A1552,INPUT_DELAY!$B$5:$B$20000,$B1552,INPUT_DELAY!$C$5:$C$20000,$C1552)+SUMIFS(INPUT_DELAY!$E$5:$E$20000,INPUT_DELAY!$A$5:$A$20000,$A1552,INPUT_DELAY!$B$5:$B$20000,$B1552,INPUT_DELAY!$C$5:$C$20000,"SEMUA")&gt;=60,"Delay 60 mnt tapi ada ritase","OK"))))))</f>
        <v/>
      </c>
      <c r="P1552" s="158">
        <f>IFERROR(INDEX(MASTER_JAM!$Z$5:$AC$10,MATCH($I1552,MASTER_JAM!$Y$5:$Y$10,0),MATCH($J1552,MASTER_JAM!$Z$4:$AC$4,0))+0,0)</f>
        <v/>
      </c>
      <c r="Q1552" s="158">
        <f>IF($P1552=0,0,$P1552+IFERROR(INDEX(MASTER_JAM!$H$5:$H$94,MATCH($C1552,MASTER_JAM!$A$5:$A$94,0))+0,MASTER_JAM!$AC$15)/1000*(60/MASTER_JAM!$AC$12+60/MASTER_JAM!$AC$13)+MASTER_JAM!$AC$14)</f>
        <v/>
      </c>
      <c r="R1552" s="158">
        <f>IF(N($F1552)=0,0,$F1552/SUMIFS(INPUT_RITASE!$F$5:$F$20000,INPUT_RITASE!$A$5:$A$20000,$A1552,INPUT_RITASE!$B$5:$B$20000,$B1552,INPUT_RITASE!$C$5:$C$20000,$C1552,INPUT_RITASE!$D$5:$D$20000,$D1552))</f>
        <v/>
      </c>
      <c r="S1552" s="158">
        <f>IF($Q1552=0,0,$R1552*$P1552/$Q1552)</f>
        <v/>
      </c>
    </row>
    <row r="1553">
      <c r="A1553" s="155" t="n">
        <v>46109</v>
      </c>
      <c r="B1553" s="156" t="inlineStr">
        <is>
          <t>02-03</t>
        </is>
      </c>
      <c r="C1553" s="156" t="inlineStr">
        <is>
          <t>EX-755</t>
        </is>
      </c>
      <c r="D1553" s="156" t="inlineStr">
        <is>
          <t>DT-502</t>
        </is>
      </c>
      <c r="E1553" s="156" t="inlineStr">
        <is>
          <t>OB</t>
        </is>
      </c>
      <c r="F1553" s="156" t="n">
        <v>4</v>
      </c>
      <c r="G1553" s="156" t="inlineStr"/>
      <c r="H1553" s="157">
        <f>IF($B1553="","",IF(ISNA(MATCH($B1553,MASTER_JAM!$Q$5:$Q$28,0)),"?",IF(MATCH($B1553,MASTER_JAM!$Q$5:$Q$28,0)&lt;=12,"DS","NS")))</f>
        <v/>
      </c>
      <c r="I1553" s="157">
        <f>IFERROR(INDEX(MASTER_JAM!$B$5:$B$94,MATCH($C1553,MASTER_JAM!$A$5:$A$94,0)),"")</f>
        <v/>
      </c>
      <c r="J1553" s="157">
        <f>IFERROR(INDEX(MASTER_JAM!$E$5:$E$94,MATCH($D1553,MASTER_JAM!$A$5:$A$94,0)),"")</f>
        <v/>
      </c>
      <c r="K1553" s="158">
        <f>IFERROR(INDEX(MASTER_JAM!$J$5:$O$12,MATCH($E1553,MASTER_JAM!$I$5:$I$12,0),MATCH($J1553,MASTER_JAM!$J$4:$O$4,0))+0,0)</f>
        <v/>
      </c>
      <c r="L1553" s="159">
        <f>N($F1553)*$K1553</f>
        <v/>
      </c>
      <c r="M1553" s="157">
        <f>IF($E1553="","",IF(OR($E1553="Coal",$E1553="Dirty Coal"),"MT","BCM"))</f>
        <v/>
      </c>
      <c r="N1553" s="157">
        <f>IF($E1553="","",IF(OR($E1553="Coal",$E1553="Dirty Coal"),"Coal","OB"))</f>
        <v/>
      </c>
      <c r="O1553" s="157">
        <f>IF($F1553="","",IF(COUNTIF(MASTER_JAM!$A$5:$A$94,$C1553)=0,"Digger tidak dikenal",IF($J1553="","Hauler tidak dikenal",IF($H1553="?","Jam salah",IF($K1553=0,"Faktor kosong",IF(SUMIFS(INPUT_DELAY!$E$5:$E$20000,INPUT_DELAY!$A$5:$A$20000,$A1553,INPUT_DELAY!$B$5:$B$20000,$B1553,INPUT_DELAY!$C$5:$C$20000,$C1553)+SUMIFS(INPUT_DELAY!$E$5:$E$20000,INPUT_DELAY!$A$5:$A$20000,$A1553,INPUT_DELAY!$B$5:$B$20000,$B1553,INPUT_DELAY!$C$5:$C$20000,"SEMUA")&gt;=60,"Delay 60 mnt tapi ada ritase","OK"))))))</f>
        <v/>
      </c>
      <c r="P1553" s="158">
        <f>IFERROR(INDEX(MASTER_JAM!$Z$5:$AC$10,MATCH($I1553,MASTER_JAM!$Y$5:$Y$10,0),MATCH($J1553,MASTER_JAM!$Z$4:$AC$4,0))+0,0)</f>
        <v/>
      </c>
      <c r="Q1553" s="158">
        <f>IF($P1553=0,0,$P1553+IFERROR(INDEX(MASTER_JAM!$H$5:$H$94,MATCH($C1553,MASTER_JAM!$A$5:$A$94,0))+0,MASTER_JAM!$AC$15)/1000*(60/MASTER_JAM!$AC$12+60/MASTER_JAM!$AC$13)+MASTER_JAM!$AC$14)</f>
        <v/>
      </c>
      <c r="R1553" s="158">
        <f>IF(N($F1553)=0,0,$F1553/SUMIFS(INPUT_RITASE!$F$5:$F$20000,INPUT_RITASE!$A$5:$A$20000,$A1553,INPUT_RITASE!$B$5:$B$20000,$B1553,INPUT_RITASE!$C$5:$C$20000,$C1553,INPUT_RITASE!$D$5:$D$20000,$D1553))</f>
        <v/>
      </c>
      <c r="S1553" s="158">
        <f>IF($Q1553=0,0,$R1553*$P1553/$Q1553)</f>
        <v/>
      </c>
    </row>
    <row r="1554">
      <c r="A1554" s="155" t="n">
        <v>46109</v>
      </c>
      <c r="B1554" s="156" t="inlineStr">
        <is>
          <t>02-03</t>
        </is>
      </c>
      <c r="C1554" s="156" t="inlineStr">
        <is>
          <t>EX-755</t>
        </is>
      </c>
      <c r="D1554" s="156" t="inlineStr">
        <is>
          <t>DT-529</t>
        </is>
      </c>
      <c r="E1554" s="156" t="inlineStr">
        <is>
          <t>OB</t>
        </is>
      </c>
      <c r="F1554" s="156" t="n">
        <v>4</v>
      </c>
      <c r="G1554" s="156" t="inlineStr"/>
      <c r="H1554" s="157">
        <f>IF($B1554="","",IF(ISNA(MATCH($B1554,MASTER_JAM!$Q$5:$Q$28,0)),"?",IF(MATCH($B1554,MASTER_JAM!$Q$5:$Q$28,0)&lt;=12,"DS","NS")))</f>
        <v/>
      </c>
      <c r="I1554" s="157">
        <f>IFERROR(INDEX(MASTER_JAM!$B$5:$B$94,MATCH($C1554,MASTER_JAM!$A$5:$A$94,0)),"")</f>
        <v/>
      </c>
      <c r="J1554" s="157">
        <f>IFERROR(INDEX(MASTER_JAM!$E$5:$E$94,MATCH($D1554,MASTER_JAM!$A$5:$A$94,0)),"")</f>
        <v/>
      </c>
      <c r="K1554" s="158">
        <f>IFERROR(INDEX(MASTER_JAM!$J$5:$O$12,MATCH($E1554,MASTER_JAM!$I$5:$I$12,0),MATCH($J1554,MASTER_JAM!$J$4:$O$4,0))+0,0)</f>
        <v/>
      </c>
      <c r="L1554" s="159">
        <f>N($F1554)*$K1554</f>
        <v/>
      </c>
      <c r="M1554" s="157">
        <f>IF($E1554="","",IF(OR($E1554="Coal",$E1554="Dirty Coal"),"MT","BCM"))</f>
        <v/>
      </c>
      <c r="N1554" s="157">
        <f>IF($E1554="","",IF(OR($E1554="Coal",$E1554="Dirty Coal"),"Coal","OB"))</f>
        <v/>
      </c>
      <c r="O1554" s="157">
        <f>IF($F1554="","",IF(COUNTIF(MASTER_JAM!$A$5:$A$94,$C1554)=0,"Digger tidak dikenal",IF($J1554="","Hauler tidak dikenal",IF($H1554="?","Jam salah",IF($K1554=0,"Faktor kosong",IF(SUMIFS(INPUT_DELAY!$E$5:$E$20000,INPUT_DELAY!$A$5:$A$20000,$A1554,INPUT_DELAY!$B$5:$B$20000,$B1554,INPUT_DELAY!$C$5:$C$20000,$C1554)+SUMIFS(INPUT_DELAY!$E$5:$E$20000,INPUT_DELAY!$A$5:$A$20000,$A1554,INPUT_DELAY!$B$5:$B$20000,$B1554,INPUT_DELAY!$C$5:$C$20000,"SEMUA")&gt;=60,"Delay 60 mnt tapi ada ritase","OK"))))))</f>
        <v/>
      </c>
      <c r="P1554" s="158">
        <f>IFERROR(INDEX(MASTER_JAM!$Z$5:$AC$10,MATCH($I1554,MASTER_JAM!$Y$5:$Y$10,0),MATCH($J1554,MASTER_JAM!$Z$4:$AC$4,0))+0,0)</f>
        <v/>
      </c>
      <c r="Q1554" s="158">
        <f>IF($P1554=0,0,$P1554+IFERROR(INDEX(MASTER_JAM!$H$5:$H$94,MATCH($C1554,MASTER_JAM!$A$5:$A$94,0))+0,MASTER_JAM!$AC$15)/1000*(60/MASTER_JAM!$AC$12+60/MASTER_JAM!$AC$13)+MASTER_JAM!$AC$14)</f>
        <v/>
      </c>
      <c r="R1554" s="158">
        <f>IF(N($F1554)=0,0,$F1554/SUMIFS(INPUT_RITASE!$F$5:$F$20000,INPUT_RITASE!$A$5:$A$20000,$A1554,INPUT_RITASE!$B$5:$B$20000,$B1554,INPUT_RITASE!$C$5:$C$20000,$C1554,INPUT_RITASE!$D$5:$D$20000,$D1554))</f>
        <v/>
      </c>
      <c r="S1554" s="158">
        <f>IF($Q1554=0,0,$R1554*$P1554/$Q1554)</f>
        <v/>
      </c>
    </row>
    <row r="1555">
      <c r="A1555" s="155" t="n">
        <v>46109</v>
      </c>
      <c r="B1555" s="156" t="inlineStr">
        <is>
          <t>02-03</t>
        </is>
      </c>
      <c r="C1555" s="156" t="inlineStr">
        <is>
          <t>EX-755</t>
        </is>
      </c>
      <c r="D1555" s="156" t="inlineStr">
        <is>
          <t>DT-521</t>
        </is>
      </c>
      <c r="E1555" s="156" t="inlineStr">
        <is>
          <t>OB</t>
        </is>
      </c>
      <c r="F1555" s="156" t="n">
        <v>4</v>
      </c>
      <c r="G1555" s="156" t="inlineStr"/>
      <c r="H1555" s="157">
        <f>IF($B1555="","",IF(ISNA(MATCH($B1555,MASTER_JAM!$Q$5:$Q$28,0)),"?",IF(MATCH($B1555,MASTER_JAM!$Q$5:$Q$28,0)&lt;=12,"DS","NS")))</f>
        <v/>
      </c>
      <c r="I1555" s="157">
        <f>IFERROR(INDEX(MASTER_JAM!$B$5:$B$94,MATCH($C1555,MASTER_JAM!$A$5:$A$94,0)),"")</f>
        <v/>
      </c>
      <c r="J1555" s="157">
        <f>IFERROR(INDEX(MASTER_JAM!$E$5:$E$94,MATCH($D1555,MASTER_JAM!$A$5:$A$94,0)),"")</f>
        <v/>
      </c>
      <c r="K1555" s="158">
        <f>IFERROR(INDEX(MASTER_JAM!$J$5:$O$12,MATCH($E1555,MASTER_JAM!$I$5:$I$12,0),MATCH($J1555,MASTER_JAM!$J$4:$O$4,0))+0,0)</f>
        <v/>
      </c>
      <c r="L1555" s="159">
        <f>N($F1555)*$K1555</f>
        <v/>
      </c>
      <c r="M1555" s="157">
        <f>IF($E1555="","",IF(OR($E1555="Coal",$E1555="Dirty Coal"),"MT","BCM"))</f>
        <v/>
      </c>
      <c r="N1555" s="157">
        <f>IF($E1555="","",IF(OR($E1555="Coal",$E1555="Dirty Coal"),"Coal","OB"))</f>
        <v/>
      </c>
      <c r="O1555" s="157">
        <f>IF($F1555="","",IF(COUNTIF(MASTER_JAM!$A$5:$A$94,$C1555)=0,"Digger tidak dikenal",IF($J1555="","Hauler tidak dikenal",IF($H1555="?","Jam salah",IF($K1555=0,"Faktor kosong",IF(SUMIFS(INPUT_DELAY!$E$5:$E$20000,INPUT_DELAY!$A$5:$A$20000,$A1555,INPUT_DELAY!$B$5:$B$20000,$B1555,INPUT_DELAY!$C$5:$C$20000,$C1555)+SUMIFS(INPUT_DELAY!$E$5:$E$20000,INPUT_DELAY!$A$5:$A$20000,$A1555,INPUT_DELAY!$B$5:$B$20000,$B1555,INPUT_DELAY!$C$5:$C$20000,"SEMUA")&gt;=60,"Delay 60 mnt tapi ada ritase","OK"))))))</f>
        <v/>
      </c>
      <c r="P1555" s="158">
        <f>IFERROR(INDEX(MASTER_JAM!$Z$5:$AC$10,MATCH($I1555,MASTER_JAM!$Y$5:$Y$10,0),MATCH($J1555,MASTER_JAM!$Z$4:$AC$4,0))+0,0)</f>
        <v/>
      </c>
      <c r="Q1555" s="158">
        <f>IF($P1555=0,0,$P1555+IFERROR(INDEX(MASTER_JAM!$H$5:$H$94,MATCH($C1555,MASTER_JAM!$A$5:$A$94,0))+0,MASTER_JAM!$AC$15)/1000*(60/MASTER_JAM!$AC$12+60/MASTER_JAM!$AC$13)+MASTER_JAM!$AC$14)</f>
        <v/>
      </c>
      <c r="R1555" s="158">
        <f>IF(N($F1555)=0,0,$F1555/SUMIFS(INPUT_RITASE!$F$5:$F$20000,INPUT_RITASE!$A$5:$A$20000,$A1555,INPUT_RITASE!$B$5:$B$20000,$B1555,INPUT_RITASE!$C$5:$C$20000,$C1555,INPUT_RITASE!$D$5:$D$20000,$D1555))</f>
        <v/>
      </c>
      <c r="S1555" s="158">
        <f>IF($Q1555=0,0,$R1555*$P1555/$Q1555)</f>
        <v/>
      </c>
    </row>
    <row r="1556">
      <c r="A1556" s="155" t="n">
        <v>46109</v>
      </c>
      <c r="B1556" s="156" t="inlineStr">
        <is>
          <t>02-03</t>
        </is>
      </c>
      <c r="C1556" s="156" t="inlineStr">
        <is>
          <t>EX-755</t>
        </is>
      </c>
      <c r="D1556" s="156" t="inlineStr">
        <is>
          <t>DT-510</t>
        </is>
      </c>
      <c r="E1556" s="156" t="inlineStr">
        <is>
          <t>OB</t>
        </is>
      </c>
      <c r="F1556" s="156" t="n">
        <v>3</v>
      </c>
      <c r="G1556" s="156" t="inlineStr"/>
      <c r="H1556" s="157">
        <f>IF($B1556="","",IF(ISNA(MATCH($B1556,MASTER_JAM!$Q$5:$Q$28,0)),"?",IF(MATCH($B1556,MASTER_JAM!$Q$5:$Q$28,0)&lt;=12,"DS","NS")))</f>
        <v/>
      </c>
      <c r="I1556" s="157">
        <f>IFERROR(INDEX(MASTER_JAM!$B$5:$B$94,MATCH($C1556,MASTER_JAM!$A$5:$A$94,0)),"")</f>
        <v/>
      </c>
      <c r="J1556" s="157">
        <f>IFERROR(INDEX(MASTER_JAM!$E$5:$E$94,MATCH($D1556,MASTER_JAM!$A$5:$A$94,0)),"")</f>
        <v/>
      </c>
      <c r="K1556" s="158">
        <f>IFERROR(INDEX(MASTER_JAM!$J$5:$O$12,MATCH($E1556,MASTER_JAM!$I$5:$I$12,0),MATCH($J1556,MASTER_JAM!$J$4:$O$4,0))+0,0)</f>
        <v/>
      </c>
      <c r="L1556" s="159">
        <f>N($F1556)*$K1556</f>
        <v/>
      </c>
      <c r="M1556" s="157">
        <f>IF($E1556="","",IF(OR($E1556="Coal",$E1556="Dirty Coal"),"MT","BCM"))</f>
        <v/>
      </c>
      <c r="N1556" s="157">
        <f>IF($E1556="","",IF(OR($E1556="Coal",$E1556="Dirty Coal"),"Coal","OB"))</f>
        <v/>
      </c>
      <c r="O1556" s="157">
        <f>IF($F1556="","",IF(COUNTIF(MASTER_JAM!$A$5:$A$94,$C1556)=0,"Digger tidak dikenal",IF($J1556="","Hauler tidak dikenal",IF($H1556="?","Jam salah",IF($K1556=0,"Faktor kosong",IF(SUMIFS(INPUT_DELAY!$E$5:$E$20000,INPUT_DELAY!$A$5:$A$20000,$A1556,INPUT_DELAY!$B$5:$B$20000,$B1556,INPUT_DELAY!$C$5:$C$20000,$C1556)+SUMIFS(INPUT_DELAY!$E$5:$E$20000,INPUT_DELAY!$A$5:$A$20000,$A1556,INPUT_DELAY!$B$5:$B$20000,$B1556,INPUT_DELAY!$C$5:$C$20000,"SEMUA")&gt;=60,"Delay 60 mnt tapi ada ritase","OK"))))))</f>
        <v/>
      </c>
      <c r="P1556" s="158">
        <f>IFERROR(INDEX(MASTER_JAM!$Z$5:$AC$10,MATCH($I1556,MASTER_JAM!$Y$5:$Y$10,0),MATCH($J1556,MASTER_JAM!$Z$4:$AC$4,0))+0,0)</f>
        <v/>
      </c>
      <c r="Q1556" s="158">
        <f>IF($P1556=0,0,$P1556+IFERROR(INDEX(MASTER_JAM!$H$5:$H$94,MATCH($C1556,MASTER_JAM!$A$5:$A$94,0))+0,MASTER_JAM!$AC$15)/1000*(60/MASTER_JAM!$AC$12+60/MASTER_JAM!$AC$13)+MASTER_JAM!$AC$14)</f>
        <v/>
      </c>
      <c r="R1556" s="158">
        <f>IF(N($F1556)=0,0,$F1556/SUMIFS(INPUT_RITASE!$F$5:$F$20000,INPUT_RITASE!$A$5:$A$20000,$A1556,INPUT_RITASE!$B$5:$B$20000,$B1556,INPUT_RITASE!$C$5:$C$20000,$C1556,INPUT_RITASE!$D$5:$D$20000,$D1556))</f>
        <v/>
      </c>
      <c r="S1556" s="158">
        <f>IF($Q1556=0,0,$R1556*$P1556/$Q1556)</f>
        <v/>
      </c>
    </row>
    <row r="1557">
      <c r="A1557" s="155" t="n">
        <v>46109</v>
      </c>
      <c r="B1557" s="156" t="inlineStr">
        <is>
          <t>03-04</t>
        </is>
      </c>
      <c r="C1557" s="156" t="inlineStr">
        <is>
          <t>EX-755</t>
        </is>
      </c>
      <c r="D1557" s="156" t="inlineStr">
        <is>
          <t>DT-501</t>
        </is>
      </c>
      <c r="E1557" s="156" t="inlineStr">
        <is>
          <t>OB</t>
        </is>
      </c>
      <c r="F1557" s="156" t="n">
        <v>4</v>
      </c>
      <c r="G1557" s="156" t="inlineStr"/>
      <c r="H1557" s="157">
        <f>IF($B1557="","",IF(ISNA(MATCH($B1557,MASTER_JAM!$Q$5:$Q$28,0)),"?",IF(MATCH($B1557,MASTER_JAM!$Q$5:$Q$28,0)&lt;=12,"DS","NS")))</f>
        <v/>
      </c>
      <c r="I1557" s="157">
        <f>IFERROR(INDEX(MASTER_JAM!$B$5:$B$94,MATCH($C1557,MASTER_JAM!$A$5:$A$94,0)),"")</f>
        <v/>
      </c>
      <c r="J1557" s="157">
        <f>IFERROR(INDEX(MASTER_JAM!$E$5:$E$94,MATCH($D1557,MASTER_JAM!$A$5:$A$94,0)),"")</f>
        <v/>
      </c>
      <c r="K1557" s="158">
        <f>IFERROR(INDEX(MASTER_JAM!$J$5:$O$12,MATCH($E1557,MASTER_JAM!$I$5:$I$12,0),MATCH($J1557,MASTER_JAM!$J$4:$O$4,0))+0,0)</f>
        <v/>
      </c>
      <c r="L1557" s="159">
        <f>N($F1557)*$K1557</f>
        <v/>
      </c>
      <c r="M1557" s="157">
        <f>IF($E1557="","",IF(OR($E1557="Coal",$E1557="Dirty Coal"),"MT","BCM"))</f>
        <v/>
      </c>
      <c r="N1557" s="157">
        <f>IF($E1557="","",IF(OR($E1557="Coal",$E1557="Dirty Coal"),"Coal","OB"))</f>
        <v/>
      </c>
      <c r="O1557" s="157">
        <f>IF($F1557="","",IF(COUNTIF(MASTER_JAM!$A$5:$A$94,$C1557)=0,"Digger tidak dikenal",IF($J1557="","Hauler tidak dikenal",IF($H1557="?","Jam salah",IF($K1557=0,"Faktor kosong",IF(SUMIFS(INPUT_DELAY!$E$5:$E$20000,INPUT_DELAY!$A$5:$A$20000,$A1557,INPUT_DELAY!$B$5:$B$20000,$B1557,INPUT_DELAY!$C$5:$C$20000,$C1557)+SUMIFS(INPUT_DELAY!$E$5:$E$20000,INPUT_DELAY!$A$5:$A$20000,$A1557,INPUT_DELAY!$B$5:$B$20000,$B1557,INPUT_DELAY!$C$5:$C$20000,"SEMUA")&gt;=60,"Delay 60 mnt tapi ada ritase","OK"))))))</f>
        <v/>
      </c>
      <c r="P1557" s="158">
        <f>IFERROR(INDEX(MASTER_JAM!$Z$5:$AC$10,MATCH($I1557,MASTER_JAM!$Y$5:$Y$10,0),MATCH($J1557,MASTER_JAM!$Z$4:$AC$4,0))+0,0)</f>
        <v/>
      </c>
      <c r="Q1557" s="158">
        <f>IF($P1557=0,0,$P1557+IFERROR(INDEX(MASTER_JAM!$H$5:$H$94,MATCH($C1557,MASTER_JAM!$A$5:$A$94,0))+0,MASTER_JAM!$AC$15)/1000*(60/MASTER_JAM!$AC$12+60/MASTER_JAM!$AC$13)+MASTER_JAM!$AC$14)</f>
        <v/>
      </c>
      <c r="R1557" s="158">
        <f>IF(N($F1557)=0,0,$F1557/SUMIFS(INPUT_RITASE!$F$5:$F$20000,INPUT_RITASE!$A$5:$A$20000,$A1557,INPUT_RITASE!$B$5:$B$20000,$B1557,INPUT_RITASE!$C$5:$C$20000,$C1557,INPUT_RITASE!$D$5:$D$20000,$D1557))</f>
        <v/>
      </c>
      <c r="S1557" s="158">
        <f>IF($Q1557=0,0,$R1557*$P1557/$Q1557)</f>
        <v/>
      </c>
    </row>
    <row r="1558">
      <c r="A1558" s="155" t="n">
        <v>46109</v>
      </c>
      <c r="B1558" s="156" t="inlineStr">
        <is>
          <t>03-04</t>
        </is>
      </c>
      <c r="C1558" s="156" t="inlineStr">
        <is>
          <t>EX-755</t>
        </is>
      </c>
      <c r="D1558" s="156" t="inlineStr">
        <is>
          <t>DT-522</t>
        </is>
      </c>
      <c r="E1558" s="156" t="inlineStr">
        <is>
          <t>OB</t>
        </is>
      </c>
      <c r="F1558" s="156" t="n">
        <v>3</v>
      </c>
      <c r="G1558" s="156" t="inlineStr"/>
      <c r="H1558" s="157">
        <f>IF($B1558="","",IF(ISNA(MATCH($B1558,MASTER_JAM!$Q$5:$Q$28,0)),"?",IF(MATCH($B1558,MASTER_JAM!$Q$5:$Q$28,0)&lt;=12,"DS","NS")))</f>
        <v/>
      </c>
      <c r="I1558" s="157">
        <f>IFERROR(INDEX(MASTER_JAM!$B$5:$B$94,MATCH($C1558,MASTER_JAM!$A$5:$A$94,0)),"")</f>
        <v/>
      </c>
      <c r="J1558" s="157">
        <f>IFERROR(INDEX(MASTER_JAM!$E$5:$E$94,MATCH($D1558,MASTER_JAM!$A$5:$A$94,0)),"")</f>
        <v/>
      </c>
      <c r="K1558" s="158">
        <f>IFERROR(INDEX(MASTER_JAM!$J$5:$O$12,MATCH($E1558,MASTER_JAM!$I$5:$I$12,0),MATCH($J1558,MASTER_JAM!$J$4:$O$4,0))+0,0)</f>
        <v/>
      </c>
      <c r="L1558" s="159">
        <f>N($F1558)*$K1558</f>
        <v/>
      </c>
      <c r="M1558" s="157">
        <f>IF($E1558="","",IF(OR($E1558="Coal",$E1558="Dirty Coal"),"MT","BCM"))</f>
        <v/>
      </c>
      <c r="N1558" s="157">
        <f>IF($E1558="","",IF(OR($E1558="Coal",$E1558="Dirty Coal"),"Coal","OB"))</f>
        <v/>
      </c>
      <c r="O1558" s="157">
        <f>IF($F1558="","",IF(COUNTIF(MASTER_JAM!$A$5:$A$94,$C1558)=0,"Digger tidak dikenal",IF($J1558="","Hauler tidak dikenal",IF($H1558="?","Jam salah",IF($K1558=0,"Faktor kosong",IF(SUMIFS(INPUT_DELAY!$E$5:$E$20000,INPUT_DELAY!$A$5:$A$20000,$A1558,INPUT_DELAY!$B$5:$B$20000,$B1558,INPUT_DELAY!$C$5:$C$20000,$C1558)+SUMIFS(INPUT_DELAY!$E$5:$E$20000,INPUT_DELAY!$A$5:$A$20000,$A1558,INPUT_DELAY!$B$5:$B$20000,$B1558,INPUT_DELAY!$C$5:$C$20000,"SEMUA")&gt;=60,"Delay 60 mnt tapi ada ritase","OK"))))))</f>
        <v/>
      </c>
      <c r="P1558" s="158">
        <f>IFERROR(INDEX(MASTER_JAM!$Z$5:$AC$10,MATCH($I1558,MASTER_JAM!$Y$5:$Y$10,0),MATCH($J1558,MASTER_JAM!$Z$4:$AC$4,0))+0,0)</f>
        <v/>
      </c>
      <c r="Q1558" s="158">
        <f>IF($P1558=0,0,$P1558+IFERROR(INDEX(MASTER_JAM!$H$5:$H$94,MATCH($C1558,MASTER_JAM!$A$5:$A$94,0))+0,MASTER_JAM!$AC$15)/1000*(60/MASTER_JAM!$AC$12+60/MASTER_JAM!$AC$13)+MASTER_JAM!$AC$14)</f>
        <v/>
      </c>
      <c r="R1558" s="158">
        <f>IF(N($F1558)=0,0,$F1558/SUMIFS(INPUT_RITASE!$F$5:$F$20000,INPUT_RITASE!$A$5:$A$20000,$A1558,INPUT_RITASE!$B$5:$B$20000,$B1558,INPUT_RITASE!$C$5:$C$20000,$C1558,INPUT_RITASE!$D$5:$D$20000,$D1558))</f>
        <v/>
      </c>
      <c r="S1558" s="158">
        <f>IF($Q1558=0,0,$R1558*$P1558/$Q1558)</f>
        <v/>
      </c>
    </row>
    <row r="1559">
      <c r="A1559" s="155" t="n">
        <v>46109</v>
      </c>
      <c r="B1559" s="156" t="inlineStr">
        <is>
          <t>03-04</t>
        </is>
      </c>
      <c r="C1559" s="156" t="inlineStr">
        <is>
          <t>EX-755</t>
        </is>
      </c>
      <c r="D1559" s="156" t="inlineStr">
        <is>
          <t>DT-515</t>
        </is>
      </c>
      <c r="E1559" s="156" t="inlineStr">
        <is>
          <t>OB</t>
        </is>
      </c>
      <c r="F1559" s="156" t="n">
        <v>3</v>
      </c>
      <c r="G1559" s="156" t="inlineStr"/>
      <c r="H1559" s="157">
        <f>IF($B1559="","",IF(ISNA(MATCH($B1559,MASTER_JAM!$Q$5:$Q$28,0)),"?",IF(MATCH($B1559,MASTER_JAM!$Q$5:$Q$28,0)&lt;=12,"DS","NS")))</f>
        <v/>
      </c>
      <c r="I1559" s="157">
        <f>IFERROR(INDEX(MASTER_JAM!$B$5:$B$94,MATCH($C1559,MASTER_JAM!$A$5:$A$94,0)),"")</f>
        <v/>
      </c>
      <c r="J1559" s="157">
        <f>IFERROR(INDEX(MASTER_JAM!$E$5:$E$94,MATCH($D1559,MASTER_JAM!$A$5:$A$94,0)),"")</f>
        <v/>
      </c>
      <c r="K1559" s="158">
        <f>IFERROR(INDEX(MASTER_JAM!$J$5:$O$12,MATCH($E1559,MASTER_JAM!$I$5:$I$12,0),MATCH($J1559,MASTER_JAM!$J$4:$O$4,0))+0,0)</f>
        <v/>
      </c>
      <c r="L1559" s="159">
        <f>N($F1559)*$K1559</f>
        <v/>
      </c>
      <c r="M1559" s="157">
        <f>IF($E1559="","",IF(OR($E1559="Coal",$E1559="Dirty Coal"),"MT","BCM"))</f>
        <v/>
      </c>
      <c r="N1559" s="157">
        <f>IF($E1559="","",IF(OR($E1559="Coal",$E1559="Dirty Coal"),"Coal","OB"))</f>
        <v/>
      </c>
      <c r="O1559" s="157">
        <f>IF($F1559="","",IF(COUNTIF(MASTER_JAM!$A$5:$A$94,$C1559)=0,"Digger tidak dikenal",IF($J1559="","Hauler tidak dikenal",IF($H1559="?","Jam salah",IF($K1559=0,"Faktor kosong",IF(SUMIFS(INPUT_DELAY!$E$5:$E$20000,INPUT_DELAY!$A$5:$A$20000,$A1559,INPUT_DELAY!$B$5:$B$20000,$B1559,INPUT_DELAY!$C$5:$C$20000,$C1559)+SUMIFS(INPUT_DELAY!$E$5:$E$20000,INPUT_DELAY!$A$5:$A$20000,$A1559,INPUT_DELAY!$B$5:$B$20000,$B1559,INPUT_DELAY!$C$5:$C$20000,"SEMUA")&gt;=60,"Delay 60 mnt tapi ada ritase","OK"))))))</f>
        <v/>
      </c>
      <c r="P1559" s="158">
        <f>IFERROR(INDEX(MASTER_JAM!$Z$5:$AC$10,MATCH($I1559,MASTER_JAM!$Y$5:$Y$10,0),MATCH($J1559,MASTER_JAM!$Z$4:$AC$4,0))+0,0)</f>
        <v/>
      </c>
      <c r="Q1559" s="158">
        <f>IF($P1559=0,0,$P1559+IFERROR(INDEX(MASTER_JAM!$H$5:$H$94,MATCH($C1559,MASTER_JAM!$A$5:$A$94,0))+0,MASTER_JAM!$AC$15)/1000*(60/MASTER_JAM!$AC$12+60/MASTER_JAM!$AC$13)+MASTER_JAM!$AC$14)</f>
        <v/>
      </c>
      <c r="R1559" s="158">
        <f>IF(N($F1559)=0,0,$F1559/SUMIFS(INPUT_RITASE!$F$5:$F$20000,INPUT_RITASE!$A$5:$A$20000,$A1559,INPUT_RITASE!$B$5:$B$20000,$B1559,INPUT_RITASE!$C$5:$C$20000,$C1559,INPUT_RITASE!$D$5:$D$20000,$D1559))</f>
        <v/>
      </c>
      <c r="S1559" s="158">
        <f>IF($Q1559=0,0,$R1559*$P1559/$Q1559)</f>
        <v/>
      </c>
    </row>
    <row r="1560">
      <c r="A1560" s="155" t="n">
        <v>46109</v>
      </c>
      <c r="B1560" s="156" t="inlineStr">
        <is>
          <t>03-04</t>
        </is>
      </c>
      <c r="C1560" s="156" t="inlineStr">
        <is>
          <t>EX-755</t>
        </is>
      </c>
      <c r="D1560" s="156" t="inlineStr">
        <is>
          <t>DT-502</t>
        </is>
      </c>
      <c r="E1560" s="156" t="inlineStr">
        <is>
          <t>OB</t>
        </is>
      </c>
      <c r="F1560" s="156" t="n">
        <v>3</v>
      </c>
      <c r="G1560" s="156" t="inlineStr"/>
      <c r="H1560" s="157">
        <f>IF($B1560="","",IF(ISNA(MATCH($B1560,MASTER_JAM!$Q$5:$Q$28,0)),"?",IF(MATCH($B1560,MASTER_JAM!$Q$5:$Q$28,0)&lt;=12,"DS","NS")))</f>
        <v/>
      </c>
      <c r="I1560" s="157">
        <f>IFERROR(INDEX(MASTER_JAM!$B$5:$B$94,MATCH($C1560,MASTER_JAM!$A$5:$A$94,0)),"")</f>
        <v/>
      </c>
      <c r="J1560" s="157">
        <f>IFERROR(INDEX(MASTER_JAM!$E$5:$E$94,MATCH($D1560,MASTER_JAM!$A$5:$A$94,0)),"")</f>
        <v/>
      </c>
      <c r="K1560" s="158">
        <f>IFERROR(INDEX(MASTER_JAM!$J$5:$O$12,MATCH($E1560,MASTER_JAM!$I$5:$I$12,0),MATCH($J1560,MASTER_JAM!$J$4:$O$4,0))+0,0)</f>
        <v/>
      </c>
      <c r="L1560" s="159">
        <f>N($F1560)*$K1560</f>
        <v/>
      </c>
      <c r="M1560" s="157">
        <f>IF($E1560="","",IF(OR($E1560="Coal",$E1560="Dirty Coal"),"MT","BCM"))</f>
        <v/>
      </c>
      <c r="N1560" s="157">
        <f>IF($E1560="","",IF(OR($E1560="Coal",$E1560="Dirty Coal"),"Coal","OB"))</f>
        <v/>
      </c>
      <c r="O1560" s="157">
        <f>IF($F1560="","",IF(COUNTIF(MASTER_JAM!$A$5:$A$94,$C1560)=0,"Digger tidak dikenal",IF($J1560="","Hauler tidak dikenal",IF($H1560="?","Jam salah",IF($K1560=0,"Faktor kosong",IF(SUMIFS(INPUT_DELAY!$E$5:$E$20000,INPUT_DELAY!$A$5:$A$20000,$A1560,INPUT_DELAY!$B$5:$B$20000,$B1560,INPUT_DELAY!$C$5:$C$20000,$C1560)+SUMIFS(INPUT_DELAY!$E$5:$E$20000,INPUT_DELAY!$A$5:$A$20000,$A1560,INPUT_DELAY!$B$5:$B$20000,$B1560,INPUT_DELAY!$C$5:$C$20000,"SEMUA")&gt;=60,"Delay 60 mnt tapi ada ritase","OK"))))))</f>
        <v/>
      </c>
      <c r="P1560" s="158">
        <f>IFERROR(INDEX(MASTER_JAM!$Z$5:$AC$10,MATCH($I1560,MASTER_JAM!$Y$5:$Y$10,0),MATCH($J1560,MASTER_JAM!$Z$4:$AC$4,0))+0,0)</f>
        <v/>
      </c>
      <c r="Q1560" s="158">
        <f>IF($P1560=0,0,$P1560+IFERROR(INDEX(MASTER_JAM!$H$5:$H$94,MATCH($C1560,MASTER_JAM!$A$5:$A$94,0))+0,MASTER_JAM!$AC$15)/1000*(60/MASTER_JAM!$AC$12+60/MASTER_JAM!$AC$13)+MASTER_JAM!$AC$14)</f>
        <v/>
      </c>
      <c r="R1560" s="158">
        <f>IF(N($F1560)=0,0,$F1560/SUMIFS(INPUT_RITASE!$F$5:$F$20000,INPUT_RITASE!$A$5:$A$20000,$A1560,INPUT_RITASE!$B$5:$B$20000,$B1560,INPUT_RITASE!$C$5:$C$20000,$C1560,INPUT_RITASE!$D$5:$D$20000,$D1560))</f>
        <v/>
      </c>
      <c r="S1560" s="158">
        <f>IF($Q1560=0,0,$R1560*$P1560/$Q1560)</f>
        <v/>
      </c>
    </row>
    <row r="1561">
      <c r="A1561" s="155" t="n">
        <v>46109</v>
      </c>
      <c r="B1561" s="156" t="inlineStr">
        <is>
          <t>04-05</t>
        </is>
      </c>
      <c r="C1561" s="156" t="inlineStr">
        <is>
          <t>EX-755</t>
        </is>
      </c>
      <c r="D1561" s="156" t="inlineStr">
        <is>
          <t>DT-508</t>
        </is>
      </c>
      <c r="E1561" s="156" t="inlineStr">
        <is>
          <t>OB</t>
        </is>
      </c>
      <c r="F1561" s="156" t="n">
        <v>4</v>
      </c>
      <c r="G1561" s="156" t="inlineStr"/>
      <c r="H1561" s="157">
        <f>IF($B1561="","",IF(ISNA(MATCH($B1561,MASTER_JAM!$Q$5:$Q$28,0)),"?",IF(MATCH($B1561,MASTER_JAM!$Q$5:$Q$28,0)&lt;=12,"DS","NS")))</f>
        <v/>
      </c>
      <c r="I1561" s="157">
        <f>IFERROR(INDEX(MASTER_JAM!$B$5:$B$94,MATCH($C1561,MASTER_JAM!$A$5:$A$94,0)),"")</f>
        <v/>
      </c>
      <c r="J1561" s="157">
        <f>IFERROR(INDEX(MASTER_JAM!$E$5:$E$94,MATCH($D1561,MASTER_JAM!$A$5:$A$94,0)),"")</f>
        <v/>
      </c>
      <c r="K1561" s="158">
        <f>IFERROR(INDEX(MASTER_JAM!$J$5:$O$12,MATCH($E1561,MASTER_JAM!$I$5:$I$12,0),MATCH($J1561,MASTER_JAM!$J$4:$O$4,0))+0,0)</f>
        <v/>
      </c>
      <c r="L1561" s="159">
        <f>N($F1561)*$K1561</f>
        <v/>
      </c>
      <c r="M1561" s="157">
        <f>IF($E1561="","",IF(OR($E1561="Coal",$E1561="Dirty Coal"),"MT","BCM"))</f>
        <v/>
      </c>
      <c r="N1561" s="157">
        <f>IF($E1561="","",IF(OR($E1561="Coal",$E1561="Dirty Coal"),"Coal","OB"))</f>
        <v/>
      </c>
      <c r="O1561" s="157">
        <f>IF($F1561="","",IF(COUNTIF(MASTER_JAM!$A$5:$A$94,$C1561)=0,"Digger tidak dikenal",IF($J1561="","Hauler tidak dikenal",IF($H1561="?","Jam salah",IF($K1561=0,"Faktor kosong",IF(SUMIFS(INPUT_DELAY!$E$5:$E$20000,INPUT_DELAY!$A$5:$A$20000,$A1561,INPUT_DELAY!$B$5:$B$20000,$B1561,INPUT_DELAY!$C$5:$C$20000,$C1561)+SUMIFS(INPUT_DELAY!$E$5:$E$20000,INPUT_DELAY!$A$5:$A$20000,$A1561,INPUT_DELAY!$B$5:$B$20000,$B1561,INPUT_DELAY!$C$5:$C$20000,"SEMUA")&gt;=60,"Delay 60 mnt tapi ada ritase","OK"))))))</f>
        <v/>
      </c>
      <c r="P1561" s="158">
        <f>IFERROR(INDEX(MASTER_JAM!$Z$5:$AC$10,MATCH($I1561,MASTER_JAM!$Y$5:$Y$10,0),MATCH($J1561,MASTER_JAM!$Z$4:$AC$4,0))+0,0)</f>
        <v/>
      </c>
      <c r="Q1561" s="158">
        <f>IF($P1561=0,0,$P1561+IFERROR(INDEX(MASTER_JAM!$H$5:$H$94,MATCH($C1561,MASTER_JAM!$A$5:$A$94,0))+0,MASTER_JAM!$AC$15)/1000*(60/MASTER_JAM!$AC$12+60/MASTER_JAM!$AC$13)+MASTER_JAM!$AC$14)</f>
        <v/>
      </c>
      <c r="R1561" s="158">
        <f>IF(N($F1561)=0,0,$F1561/SUMIFS(INPUT_RITASE!$F$5:$F$20000,INPUT_RITASE!$A$5:$A$20000,$A1561,INPUT_RITASE!$B$5:$B$20000,$B1561,INPUT_RITASE!$C$5:$C$20000,$C1561,INPUT_RITASE!$D$5:$D$20000,$D1561))</f>
        <v/>
      </c>
      <c r="S1561" s="158">
        <f>IF($Q1561=0,0,$R1561*$P1561/$Q1561)</f>
        <v/>
      </c>
    </row>
    <row r="1562">
      <c r="A1562" s="155" t="n">
        <v>46109</v>
      </c>
      <c r="B1562" s="156" t="inlineStr">
        <is>
          <t>04-05</t>
        </is>
      </c>
      <c r="C1562" s="156" t="inlineStr">
        <is>
          <t>EX-755</t>
        </is>
      </c>
      <c r="D1562" s="156" t="inlineStr">
        <is>
          <t>DT-523</t>
        </is>
      </c>
      <c r="E1562" s="156" t="inlineStr">
        <is>
          <t>OB</t>
        </is>
      </c>
      <c r="F1562" s="156" t="n">
        <v>4</v>
      </c>
      <c r="G1562" s="156" t="inlineStr"/>
      <c r="H1562" s="157">
        <f>IF($B1562="","",IF(ISNA(MATCH($B1562,MASTER_JAM!$Q$5:$Q$28,0)),"?",IF(MATCH($B1562,MASTER_JAM!$Q$5:$Q$28,0)&lt;=12,"DS","NS")))</f>
        <v/>
      </c>
      <c r="I1562" s="157">
        <f>IFERROR(INDEX(MASTER_JAM!$B$5:$B$94,MATCH($C1562,MASTER_JAM!$A$5:$A$94,0)),"")</f>
        <v/>
      </c>
      <c r="J1562" s="157">
        <f>IFERROR(INDEX(MASTER_JAM!$E$5:$E$94,MATCH($D1562,MASTER_JAM!$A$5:$A$94,0)),"")</f>
        <v/>
      </c>
      <c r="K1562" s="158">
        <f>IFERROR(INDEX(MASTER_JAM!$J$5:$O$12,MATCH($E1562,MASTER_JAM!$I$5:$I$12,0),MATCH($J1562,MASTER_JAM!$J$4:$O$4,0))+0,0)</f>
        <v/>
      </c>
      <c r="L1562" s="159">
        <f>N($F1562)*$K1562</f>
        <v/>
      </c>
      <c r="M1562" s="157">
        <f>IF($E1562="","",IF(OR($E1562="Coal",$E1562="Dirty Coal"),"MT","BCM"))</f>
        <v/>
      </c>
      <c r="N1562" s="157">
        <f>IF($E1562="","",IF(OR($E1562="Coal",$E1562="Dirty Coal"),"Coal","OB"))</f>
        <v/>
      </c>
      <c r="O1562" s="157">
        <f>IF($F1562="","",IF(COUNTIF(MASTER_JAM!$A$5:$A$94,$C1562)=0,"Digger tidak dikenal",IF($J1562="","Hauler tidak dikenal",IF($H1562="?","Jam salah",IF($K1562=0,"Faktor kosong",IF(SUMIFS(INPUT_DELAY!$E$5:$E$20000,INPUT_DELAY!$A$5:$A$20000,$A1562,INPUT_DELAY!$B$5:$B$20000,$B1562,INPUT_DELAY!$C$5:$C$20000,$C1562)+SUMIFS(INPUT_DELAY!$E$5:$E$20000,INPUT_DELAY!$A$5:$A$20000,$A1562,INPUT_DELAY!$B$5:$B$20000,$B1562,INPUT_DELAY!$C$5:$C$20000,"SEMUA")&gt;=60,"Delay 60 mnt tapi ada ritase","OK"))))))</f>
        <v/>
      </c>
      <c r="P1562" s="158">
        <f>IFERROR(INDEX(MASTER_JAM!$Z$5:$AC$10,MATCH($I1562,MASTER_JAM!$Y$5:$Y$10,0),MATCH($J1562,MASTER_JAM!$Z$4:$AC$4,0))+0,0)</f>
        <v/>
      </c>
      <c r="Q1562" s="158">
        <f>IF($P1562=0,0,$P1562+IFERROR(INDEX(MASTER_JAM!$H$5:$H$94,MATCH($C1562,MASTER_JAM!$A$5:$A$94,0))+0,MASTER_JAM!$AC$15)/1000*(60/MASTER_JAM!$AC$12+60/MASTER_JAM!$AC$13)+MASTER_JAM!$AC$14)</f>
        <v/>
      </c>
      <c r="R1562" s="158">
        <f>IF(N($F1562)=0,0,$F1562/SUMIFS(INPUT_RITASE!$F$5:$F$20000,INPUT_RITASE!$A$5:$A$20000,$A1562,INPUT_RITASE!$B$5:$B$20000,$B1562,INPUT_RITASE!$C$5:$C$20000,$C1562,INPUT_RITASE!$D$5:$D$20000,$D1562))</f>
        <v/>
      </c>
      <c r="S1562" s="158">
        <f>IF($Q1562=0,0,$R1562*$P1562/$Q1562)</f>
        <v/>
      </c>
    </row>
    <row r="1563">
      <c r="A1563" s="155" t="n">
        <v>46109</v>
      </c>
      <c r="B1563" s="156" t="inlineStr">
        <is>
          <t>04-05</t>
        </is>
      </c>
      <c r="C1563" s="156" t="inlineStr">
        <is>
          <t>EX-755</t>
        </is>
      </c>
      <c r="D1563" s="156" t="inlineStr">
        <is>
          <t>DT-529</t>
        </is>
      </c>
      <c r="E1563" s="156" t="inlineStr">
        <is>
          <t>OB</t>
        </is>
      </c>
      <c r="F1563" s="156" t="n">
        <v>4</v>
      </c>
      <c r="G1563" s="156" t="inlineStr"/>
      <c r="H1563" s="157">
        <f>IF($B1563="","",IF(ISNA(MATCH($B1563,MASTER_JAM!$Q$5:$Q$28,0)),"?",IF(MATCH($B1563,MASTER_JAM!$Q$5:$Q$28,0)&lt;=12,"DS","NS")))</f>
        <v/>
      </c>
      <c r="I1563" s="157">
        <f>IFERROR(INDEX(MASTER_JAM!$B$5:$B$94,MATCH($C1563,MASTER_JAM!$A$5:$A$94,0)),"")</f>
        <v/>
      </c>
      <c r="J1563" s="157">
        <f>IFERROR(INDEX(MASTER_JAM!$E$5:$E$94,MATCH($D1563,MASTER_JAM!$A$5:$A$94,0)),"")</f>
        <v/>
      </c>
      <c r="K1563" s="158">
        <f>IFERROR(INDEX(MASTER_JAM!$J$5:$O$12,MATCH($E1563,MASTER_JAM!$I$5:$I$12,0),MATCH($J1563,MASTER_JAM!$J$4:$O$4,0))+0,0)</f>
        <v/>
      </c>
      <c r="L1563" s="159">
        <f>N($F1563)*$K1563</f>
        <v/>
      </c>
      <c r="M1563" s="157">
        <f>IF($E1563="","",IF(OR($E1563="Coal",$E1563="Dirty Coal"),"MT","BCM"))</f>
        <v/>
      </c>
      <c r="N1563" s="157">
        <f>IF($E1563="","",IF(OR($E1563="Coal",$E1563="Dirty Coal"),"Coal","OB"))</f>
        <v/>
      </c>
      <c r="O1563" s="157">
        <f>IF($F1563="","",IF(COUNTIF(MASTER_JAM!$A$5:$A$94,$C1563)=0,"Digger tidak dikenal",IF($J1563="","Hauler tidak dikenal",IF($H1563="?","Jam salah",IF($K1563=0,"Faktor kosong",IF(SUMIFS(INPUT_DELAY!$E$5:$E$20000,INPUT_DELAY!$A$5:$A$20000,$A1563,INPUT_DELAY!$B$5:$B$20000,$B1563,INPUT_DELAY!$C$5:$C$20000,$C1563)+SUMIFS(INPUT_DELAY!$E$5:$E$20000,INPUT_DELAY!$A$5:$A$20000,$A1563,INPUT_DELAY!$B$5:$B$20000,$B1563,INPUT_DELAY!$C$5:$C$20000,"SEMUA")&gt;=60,"Delay 60 mnt tapi ada ritase","OK"))))))</f>
        <v/>
      </c>
      <c r="P1563" s="158">
        <f>IFERROR(INDEX(MASTER_JAM!$Z$5:$AC$10,MATCH($I1563,MASTER_JAM!$Y$5:$Y$10,0),MATCH($J1563,MASTER_JAM!$Z$4:$AC$4,0))+0,0)</f>
        <v/>
      </c>
      <c r="Q1563" s="158">
        <f>IF($P1563=0,0,$P1563+IFERROR(INDEX(MASTER_JAM!$H$5:$H$94,MATCH($C1563,MASTER_JAM!$A$5:$A$94,0))+0,MASTER_JAM!$AC$15)/1000*(60/MASTER_JAM!$AC$12+60/MASTER_JAM!$AC$13)+MASTER_JAM!$AC$14)</f>
        <v/>
      </c>
      <c r="R1563" s="158">
        <f>IF(N($F1563)=0,0,$F1563/SUMIFS(INPUT_RITASE!$F$5:$F$20000,INPUT_RITASE!$A$5:$A$20000,$A1563,INPUT_RITASE!$B$5:$B$20000,$B1563,INPUT_RITASE!$C$5:$C$20000,$C1563,INPUT_RITASE!$D$5:$D$20000,$D1563))</f>
        <v/>
      </c>
      <c r="S1563" s="158">
        <f>IF($Q1563=0,0,$R1563*$P1563/$Q1563)</f>
        <v/>
      </c>
    </row>
    <row r="1564">
      <c r="A1564" s="155" t="n">
        <v>46109</v>
      </c>
      <c r="B1564" s="156" t="inlineStr">
        <is>
          <t>04-05</t>
        </is>
      </c>
      <c r="C1564" s="156" t="inlineStr">
        <is>
          <t>EX-755</t>
        </is>
      </c>
      <c r="D1564" s="156" t="inlineStr">
        <is>
          <t>DT-522</t>
        </is>
      </c>
      <c r="E1564" s="156" t="inlineStr">
        <is>
          <t>OB</t>
        </is>
      </c>
      <c r="F1564" s="156" t="n">
        <v>3</v>
      </c>
      <c r="G1564" s="156" t="inlineStr"/>
      <c r="H1564" s="157">
        <f>IF($B1564="","",IF(ISNA(MATCH($B1564,MASTER_JAM!$Q$5:$Q$28,0)),"?",IF(MATCH($B1564,MASTER_JAM!$Q$5:$Q$28,0)&lt;=12,"DS","NS")))</f>
        <v/>
      </c>
      <c r="I1564" s="157">
        <f>IFERROR(INDEX(MASTER_JAM!$B$5:$B$94,MATCH($C1564,MASTER_JAM!$A$5:$A$94,0)),"")</f>
        <v/>
      </c>
      <c r="J1564" s="157">
        <f>IFERROR(INDEX(MASTER_JAM!$E$5:$E$94,MATCH($D1564,MASTER_JAM!$A$5:$A$94,0)),"")</f>
        <v/>
      </c>
      <c r="K1564" s="158">
        <f>IFERROR(INDEX(MASTER_JAM!$J$5:$O$12,MATCH($E1564,MASTER_JAM!$I$5:$I$12,0),MATCH($J1564,MASTER_JAM!$J$4:$O$4,0))+0,0)</f>
        <v/>
      </c>
      <c r="L1564" s="159">
        <f>N($F1564)*$K1564</f>
        <v/>
      </c>
      <c r="M1564" s="157">
        <f>IF($E1564="","",IF(OR($E1564="Coal",$E1564="Dirty Coal"),"MT","BCM"))</f>
        <v/>
      </c>
      <c r="N1564" s="157">
        <f>IF($E1564="","",IF(OR($E1564="Coal",$E1564="Dirty Coal"),"Coal","OB"))</f>
        <v/>
      </c>
      <c r="O1564" s="157">
        <f>IF($F1564="","",IF(COUNTIF(MASTER_JAM!$A$5:$A$94,$C1564)=0,"Digger tidak dikenal",IF($J1564="","Hauler tidak dikenal",IF($H1564="?","Jam salah",IF($K1564=0,"Faktor kosong",IF(SUMIFS(INPUT_DELAY!$E$5:$E$20000,INPUT_DELAY!$A$5:$A$20000,$A1564,INPUT_DELAY!$B$5:$B$20000,$B1564,INPUT_DELAY!$C$5:$C$20000,$C1564)+SUMIFS(INPUT_DELAY!$E$5:$E$20000,INPUT_DELAY!$A$5:$A$20000,$A1564,INPUT_DELAY!$B$5:$B$20000,$B1564,INPUT_DELAY!$C$5:$C$20000,"SEMUA")&gt;=60,"Delay 60 mnt tapi ada ritase","OK"))))))</f>
        <v/>
      </c>
      <c r="P1564" s="158">
        <f>IFERROR(INDEX(MASTER_JAM!$Z$5:$AC$10,MATCH($I1564,MASTER_JAM!$Y$5:$Y$10,0),MATCH($J1564,MASTER_JAM!$Z$4:$AC$4,0))+0,0)</f>
        <v/>
      </c>
      <c r="Q1564" s="158">
        <f>IF($P1564=0,0,$P1564+IFERROR(INDEX(MASTER_JAM!$H$5:$H$94,MATCH($C1564,MASTER_JAM!$A$5:$A$94,0))+0,MASTER_JAM!$AC$15)/1000*(60/MASTER_JAM!$AC$12+60/MASTER_JAM!$AC$13)+MASTER_JAM!$AC$14)</f>
        <v/>
      </c>
      <c r="R1564" s="158">
        <f>IF(N($F1564)=0,0,$F1564/SUMIFS(INPUT_RITASE!$F$5:$F$20000,INPUT_RITASE!$A$5:$A$20000,$A1564,INPUT_RITASE!$B$5:$B$20000,$B1564,INPUT_RITASE!$C$5:$C$20000,$C1564,INPUT_RITASE!$D$5:$D$20000,$D1564))</f>
        <v/>
      </c>
      <c r="S1564" s="158">
        <f>IF($Q1564=0,0,$R1564*$P1564/$Q1564)</f>
        <v/>
      </c>
    </row>
    <row r="1565">
      <c r="A1565" s="155" t="n">
        <v>46109</v>
      </c>
      <c r="B1565" s="156" t="inlineStr">
        <is>
          <t>05-06</t>
        </is>
      </c>
      <c r="C1565" s="156" t="inlineStr">
        <is>
          <t>EX-755</t>
        </is>
      </c>
      <c r="D1565" s="156" t="inlineStr">
        <is>
          <t>DT-506</t>
        </is>
      </c>
      <c r="E1565" s="156" t="inlineStr">
        <is>
          <t>OB</t>
        </is>
      </c>
      <c r="F1565" s="156" t="n">
        <v>3</v>
      </c>
      <c r="G1565" s="156" t="inlineStr"/>
      <c r="H1565" s="157">
        <f>IF($B1565="","",IF(ISNA(MATCH($B1565,MASTER_JAM!$Q$5:$Q$28,0)),"?",IF(MATCH($B1565,MASTER_JAM!$Q$5:$Q$28,0)&lt;=12,"DS","NS")))</f>
        <v/>
      </c>
      <c r="I1565" s="157">
        <f>IFERROR(INDEX(MASTER_JAM!$B$5:$B$94,MATCH($C1565,MASTER_JAM!$A$5:$A$94,0)),"")</f>
        <v/>
      </c>
      <c r="J1565" s="157">
        <f>IFERROR(INDEX(MASTER_JAM!$E$5:$E$94,MATCH($D1565,MASTER_JAM!$A$5:$A$94,0)),"")</f>
        <v/>
      </c>
      <c r="K1565" s="158">
        <f>IFERROR(INDEX(MASTER_JAM!$J$5:$O$12,MATCH($E1565,MASTER_JAM!$I$5:$I$12,0),MATCH($J1565,MASTER_JAM!$J$4:$O$4,0))+0,0)</f>
        <v/>
      </c>
      <c r="L1565" s="159">
        <f>N($F1565)*$K1565</f>
        <v/>
      </c>
      <c r="M1565" s="157">
        <f>IF($E1565="","",IF(OR($E1565="Coal",$E1565="Dirty Coal"),"MT","BCM"))</f>
        <v/>
      </c>
      <c r="N1565" s="157">
        <f>IF($E1565="","",IF(OR($E1565="Coal",$E1565="Dirty Coal"),"Coal","OB"))</f>
        <v/>
      </c>
      <c r="O1565" s="157">
        <f>IF($F1565="","",IF(COUNTIF(MASTER_JAM!$A$5:$A$94,$C1565)=0,"Digger tidak dikenal",IF($J1565="","Hauler tidak dikenal",IF($H1565="?","Jam salah",IF($K1565=0,"Faktor kosong",IF(SUMIFS(INPUT_DELAY!$E$5:$E$20000,INPUT_DELAY!$A$5:$A$20000,$A1565,INPUT_DELAY!$B$5:$B$20000,$B1565,INPUT_DELAY!$C$5:$C$20000,$C1565)+SUMIFS(INPUT_DELAY!$E$5:$E$20000,INPUT_DELAY!$A$5:$A$20000,$A1565,INPUT_DELAY!$B$5:$B$20000,$B1565,INPUT_DELAY!$C$5:$C$20000,"SEMUA")&gt;=60,"Delay 60 mnt tapi ada ritase","OK"))))))</f>
        <v/>
      </c>
      <c r="P1565" s="158">
        <f>IFERROR(INDEX(MASTER_JAM!$Z$5:$AC$10,MATCH($I1565,MASTER_JAM!$Y$5:$Y$10,0),MATCH($J1565,MASTER_JAM!$Z$4:$AC$4,0))+0,0)</f>
        <v/>
      </c>
      <c r="Q1565" s="158">
        <f>IF($P1565=0,0,$P1565+IFERROR(INDEX(MASTER_JAM!$H$5:$H$94,MATCH($C1565,MASTER_JAM!$A$5:$A$94,0))+0,MASTER_JAM!$AC$15)/1000*(60/MASTER_JAM!$AC$12+60/MASTER_JAM!$AC$13)+MASTER_JAM!$AC$14)</f>
        <v/>
      </c>
      <c r="R1565" s="158">
        <f>IF(N($F1565)=0,0,$F1565/SUMIFS(INPUT_RITASE!$F$5:$F$20000,INPUT_RITASE!$A$5:$A$20000,$A1565,INPUT_RITASE!$B$5:$B$20000,$B1565,INPUT_RITASE!$C$5:$C$20000,$C1565,INPUT_RITASE!$D$5:$D$20000,$D1565))</f>
        <v/>
      </c>
      <c r="S1565" s="158">
        <f>IF($Q1565=0,0,$R1565*$P1565/$Q1565)</f>
        <v/>
      </c>
    </row>
    <row r="1566">
      <c r="A1566" s="155" t="n">
        <v>46109</v>
      </c>
      <c r="B1566" s="156" t="inlineStr">
        <is>
          <t>05-06</t>
        </is>
      </c>
      <c r="C1566" s="156" t="inlineStr">
        <is>
          <t>EX-755</t>
        </is>
      </c>
      <c r="D1566" s="156" t="inlineStr">
        <is>
          <t>DT-522</t>
        </is>
      </c>
      <c r="E1566" s="156" t="inlineStr">
        <is>
          <t>OB</t>
        </is>
      </c>
      <c r="F1566" s="156" t="n">
        <v>2</v>
      </c>
      <c r="G1566" s="156" t="inlineStr"/>
      <c r="H1566" s="157">
        <f>IF($B1566="","",IF(ISNA(MATCH($B1566,MASTER_JAM!$Q$5:$Q$28,0)),"?",IF(MATCH($B1566,MASTER_JAM!$Q$5:$Q$28,0)&lt;=12,"DS","NS")))</f>
        <v/>
      </c>
      <c r="I1566" s="157">
        <f>IFERROR(INDEX(MASTER_JAM!$B$5:$B$94,MATCH($C1566,MASTER_JAM!$A$5:$A$94,0)),"")</f>
        <v/>
      </c>
      <c r="J1566" s="157">
        <f>IFERROR(INDEX(MASTER_JAM!$E$5:$E$94,MATCH($D1566,MASTER_JAM!$A$5:$A$94,0)),"")</f>
        <v/>
      </c>
      <c r="K1566" s="158">
        <f>IFERROR(INDEX(MASTER_JAM!$J$5:$O$12,MATCH($E1566,MASTER_JAM!$I$5:$I$12,0),MATCH($J1566,MASTER_JAM!$J$4:$O$4,0))+0,0)</f>
        <v/>
      </c>
      <c r="L1566" s="159">
        <f>N($F1566)*$K1566</f>
        <v/>
      </c>
      <c r="M1566" s="157">
        <f>IF($E1566="","",IF(OR($E1566="Coal",$E1566="Dirty Coal"),"MT","BCM"))</f>
        <v/>
      </c>
      <c r="N1566" s="157">
        <f>IF($E1566="","",IF(OR($E1566="Coal",$E1566="Dirty Coal"),"Coal","OB"))</f>
        <v/>
      </c>
      <c r="O1566" s="157">
        <f>IF($F1566="","",IF(COUNTIF(MASTER_JAM!$A$5:$A$94,$C1566)=0,"Digger tidak dikenal",IF($J1566="","Hauler tidak dikenal",IF($H1566="?","Jam salah",IF($K1566=0,"Faktor kosong",IF(SUMIFS(INPUT_DELAY!$E$5:$E$20000,INPUT_DELAY!$A$5:$A$20000,$A1566,INPUT_DELAY!$B$5:$B$20000,$B1566,INPUT_DELAY!$C$5:$C$20000,$C1566)+SUMIFS(INPUT_DELAY!$E$5:$E$20000,INPUT_DELAY!$A$5:$A$20000,$A1566,INPUT_DELAY!$B$5:$B$20000,$B1566,INPUT_DELAY!$C$5:$C$20000,"SEMUA")&gt;=60,"Delay 60 mnt tapi ada ritase","OK"))))))</f>
        <v/>
      </c>
      <c r="P1566" s="158">
        <f>IFERROR(INDEX(MASTER_JAM!$Z$5:$AC$10,MATCH($I1566,MASTER_JAM!$Y$5:$Y$10,0),MATCH($J1566,MASTER_JAM!$Z$4:$AC$4,0))+0,0)</f>
        <v/>
      </c>
      <c r="Q1566" s="158">
        <f>IF($P1566=0,0,$P1566+IFERROR(INDEX(MASTER_JAM!$H$5:$H$94,MATCH($C1566,MASTER_JAM!$A$5:$A$94,0))+0,MASTER_JAM!$AC$15)/1000*(60/MASTER_JAM!$AC$12+60/MASTER_JAM!$AC$13)+MASTER_JAM!$AC$14)</f>
        <v/>
      </c>
      <c r="R1566" s="158">
        <f>IF(N($F1566)=0,0,$F1566/SUMIFS(INPUT_RITASE!$F$5:$F$20000,INPUT_RITASE!$A$5:$A$20000,$A1566,INPUT_RITASE!$B$5:$B$20000,$B1566,INPUT_RITASE!$C$5:$C$20000,$C1566,INPUT_RITASE!$D$5:$D$20000,$D1566))</f>
        <v/>
      </c>
      <c r="S1566" s="158">
        <f>IF($Q1566=0,0,$R1566*$P1566/$Q1566)</f>
        <v/>
      </c>
    </row>
    <row r="1567">
      <c r="A1567" s="155" t="n">
        <v>46109</v>
      </c>
      <c r="B1567" s="156" t="inlineStr">
        <is>
          <t>18-19</t>
        </is>
      </c>
      <c r="C1567" s="156" t="inlineStr">
        <is>
          <t>EX-753</t>
        </is>
      </c>
      <c r="D1567" s="156" t="inlineStr">
        <is>
          <t>DT-526</t>
        </is>
      </c>
      <c r="E1567" s="156" t="inlineStr">
        <is>
          <t>OB</t>
        </is>
      </c>
      <c r="F1567" s="156" t="n">
        <v>4</v>
      </c>
      <c r="G1567" s="156" t="inlineStr"/>
      <c r="H1567" s="157">
        <f>IF($B1567="","",IF(ISNA(MATCH($B1567,MASTER_JAM!$Q$5:$Q$28,0)),"?",IF(MATCH($B1567,MASTER_JAM!$Q$5:$Q$28,0)&lt;=12,"DS","NS")))</f>
        <v/>
      </c>
      <c r="I1567" s="157">
        <f>IFERROR(INDEX(MASTER_JAM!$B$5:$B$94,MATCH($C1567,MASTER_JAM!$A$5:$A$94,0)),"")</f>
        <v/>
      </c>
      <c r="J1567" s="157">
        <f>IFERROR(INDEX(MASTER_JAM!$E$5:$E$94,MATCH($D1567,MASTER_JAM!$A$5:$A$94,0)),"")</f>
        <v/>
      </c>
      <c r="K1567" s="158">
        <f>IFERROR(INDEX(MASTER_JAM!$J$5:$O$12,MATCH($E1567,MASTER_JAM!$I$5:$I$12,0),MATCH($J1567,MASTER_JAM!$J$4:$O$4,0))+0,0)</f>
        <v/>
      </c>
      <c r="L1567" s="159">
        <f>N($F1567)*$K1567</f>
        <v/>
      </c>
      <c r="M1567" s="157">
        <f>IF($E1567="","",IF(OR($E1567="Coal",$E1567="Dirty Coal"),"MT","BCM"))</f>
        <v/>
      </c>
      <c r="N1567" s="157">
        <f>IF($E1567="","",IF(OR($E1567="Coal",$E1567="Dirty Coal"),"Coal","OB"))</f>
        <v/>
      </c>
      <c r="O1567" s="157">
        <f>IF($F1567="","",IF(COUNTIF(MASTER_JAM!$A$5:$A$94,$C1567)=0,"Digger tidak dikenal",IF($J1567="","Hauler tidak dikenal",IF($H1567="?","Jam salah",IF($K1567=0,"Faktor kosong",IF(SUMIFS(INPUT_DELAY!$E$5:$E$20000,INPUT_DELAY!$A$5:$A$20000,$A1567,INPUT_DELAY!$B$5:$B$20000,$B1567,INPUT_DELAY!$C$5:$C$20000,$C1567)+SUMIFS(INPUT_DELAY!$E$5:$E$20000,INPUT_DELAY!$A$5:$A$20000,$A1567,INPUT_DELAY!$B$5:$B$20000,$B1567,INPUT_DELAY!$C$5:$C$20000,"SEMUA")&gt;=60,"Delay 60 mnt tapi ada ritase","OK"))))))</f>
        <v/>
      </c>
      <c r="P1567" s="158">
        <f>IFERROR(INDEX(MASTER_JAM!$Z$5:$AC$10,MATCH($I1567,MASTER_JAM!$Y$5:$Y$10,0),MATCH($J1567,MASTER_JAM!$Z$4:$AC$4,0))+0,0)</f>
        <v/>
      </c>
      <c r="Q1567" s="158">
        <f>IF($P1567=0,0,$P1567+IFERROR(INDEX(MASTER_JAM!$H$5:$H$94,MATCH($C1567,MASTER_JAM!$A$5:$A$94,0))+0,MASTER_JAM!$AC$15)/1000*(60/MASTER_JAM!$AC$12+60/MASTER_JAM!$AC$13)+MASTER_JAM!$AC$14)</f>
        <v/>
      </c>
      <c r="R1567" s="158">
        <f>IF(N($F1567)=0,0,$F1567/SUMIFS(INPUT_RITASE!$F$5:$F$20000,INPUT_RITASE!$A$5:$A$20000,$A1567,INPUT_RITASE!$B$5:$B$20000,$B1567,INPUT_RITASE!$C$5:$C$20000,$C1567,INPUT_RITASE!$D$5:$D$20000,$D1567))</f>
        <v/>
      </c>
      <c r="S1567" s="158">
        <f>IF($Q1567=0,0,$R1567*$P1567/$Q1567)</f>
        <v/>
      </c>
    </row>
    <row r="1568">
      <c r="A1568" s="155" t="n">
        <v>46109</v>
      </c>
      <c r="B1568" s="156" t="inlineStr">
        <is>
          <t>18-19</t>
        </is>
      </c>
      <c r="C1568" s="156" t="inlineStr">
        <is>
          <t>EX-753</t>
        </is>
      </c>
      <c r="D1568" s="156" t="inlineStr">
        <is>
          <t>DT-503</t>
        </is>
      </c>
      <c r="E1568" s="156" t="inlineStr">
        <is>
          <t>OB</t>
        </is>
      </c>
      <c r="F1568" s="156" t="n">
        <v>4</v>
      </c>
      <c r="G1568" s="156" t="inlineStr"/>
      <c r="H1568" s="157">
        <f>IF($B1568="","",IF(ISNA(MATCH($B1568,MASTER_JAM!$Q$5:$Q$28,0)),"?",IF(MATCH($B1568,MASTER_JAM!$Q$5:$Q$28,0)&lt;=12,"DS","NS")))</f>
        <v/>
      </c>
      <c r="I1568" s="157">
        <f>IFERROR(INDEX(MASTER_JAM!$B$5:$B$94,MATCH($C1568,MASTER_JAM!$A$5:$A$94,0)),"")</f>
        <v/>
      </c>
      <c r="J1568" s="157">
        <f>IFERROR(INDEX(MASTER_JAM!$E$5:$E$94,MATCH($D1568,MASTER_JAM!$A$5:$A$94,0)),"")</f>
        <v/>
      </c>
      <c r="K1568" s="158">
        <f>IFERROR(INDEX(MASTER_JAM!$J$5:$O$12,MATCH($E1568,MASTER_JAM!$I$5:$I$12,0),MATCH($J1568,MASTER_JAM!$J$4:$O$4,0))+0,0)</f>
        <v/>
      </c>
      <c r="L1568" s="159">
        <f>N($F1568)*$K1568</f>
        <v/>
      </c>
      <c r="M1568" s="157">
        <f>IF($E1568="","",IF(OR($E1568="Coal",$E1568="Dirty Coal"),"MT","BCM"))</f>
        <v/>
      </c>
      <c r="N1568" s="157">
        <f>IF($E1568="","",IF(OR($E1568="Coal",$E1568="Dirty Coal"),"Coal","OB"))</f>
        <v/>
      </c>
      <c r="O1568" s="157">
        <f>IF($F1568="","",IF(COUNTIF(MASTER_JAM!$A$5:$A$94,$C1568)=0,"Digger tidak dikenal",IF($J1568="","Hauler tidak dikenal",IF($H1568="?","Jam salah",IF($K1568=0,"Faktor kosong",IF(SUMIFS(INPUT_DELAY!$E$5:$E$20000,INPUT_DELAY!$A$5:$A$20000,$A1568,INPUT_DELAY!$B$5:$B$20000,$B1568,INPUT_DELAY!$C$5:$C$20000,$C1568)+SUMIFS(INPUT_DELAY!$E$5:$E$20000,INPUT_DELAY!$A$5:$A$20000,$A1568,INPUT_DELAY!$B$5:$B$20000,$B1568,INPUT_DELAY!$C$5:$C$20000,"SEMUA")&gt;=60,"Delay 60 mnt tapi ada ritase","OK"))))))</f>
        <v/>
      </c>
      <c r="P1568" s="158">
        <f>IFERROR(INDEX(MASTER_JAM!$Z$5:$AC$10,MATCH($I1568,MASTER_JAM!$Y$5:$Y$10,0),MATCH($J1568,MASTER_JAM!$Z$4:$AC$4,0))+0,0)</f>
        <v/>
      </c>
      <c r="Q1568" s="158">
        <f>IF($P1568=0,0,$P1568+IFERROR(INDEX(MASTER_JAM!$H$5:$H$94,MATCH($C1568,MASTER_JAM!$A$5:$A$94,0))+0,MASTER_JAM!$AC$15)/1000*(60/MASTER_JAM!$AC$12+60/MASTER_JAM!$AC$13)+MASTER_JAM!$AC$14)</f>
        <v/>
      </c>
      <c r="R1568" s="158">
        <f>IF(N($F1568)=0,0,$F1568/SUMIFS(INPUT_RITASE!$F$5:$F$20000,INPUT_RITASE!$A$5:$A$20000,$A1568,INPUT_RITASE!$B$5:$B$20000,$B1568,INPUT_RITASE!$C$5:$C$20000,$C1568,INPUT_RITASE!$D$5:$D$20000,$D1568))</f>
        <v/>
      </c>
      <c r="S1568" s="158">
        <f>IF($Q1568=0,0,$R1568*$P1568/$Q1568)</f>
        <v/>
      </c>
    </row>
    <row r="1569">
      <c r="A1569" s="155" t="n">
        <v>46109</v>
      </c>
      <c r="B1569" s="156" t="inlineStr">
        <is>
          <t>18-19</t>
        </is>
      </c>
      <c r="C1569" s="156" t="inlineStr">
        <is>
          <t>EX-753</t>
        </is>
      </c>
      <c r="D1569" s="156" t="inlineStr">
        <is>
          <t>DT-523</t>
        </is>
      </c>
      <c r="E1569" s="156" t="inlineStr">
        <is>
          <t>OB</t>
        </is>
      </c>
      <c r="F1569" s="156" t="n">
        <v>3</v>
      </c>
      <c r="G1569" s="156" t="inlineStr"/>
      <c r="H1569" s="157">
        <f>IF($B1569="","",IF(ISNA(MATCH($B1569,MASTER_JAM!$Q$5:$Q$28,0)),"?",IF(MATCH($B1569,MASTER_JAM!$Q$5:$Q$28,0)&lt;=12,"DS","NS")))</f>
        <v/>
      </c>
      <c r="I1569" s="157">
        <f>IFERROR(INDEX(MASTER_JAM!$B$5:$B$94,MATCH($C1569,MASTER_JAM!$A$5:$A$94,0)),"")</f>
        <v/>
      </c>
      <c r="J1569" s="157">
        <f>IFERROR(INDEX(MASTER_JAM!$E$5:$E$94,MATCH($D1569,MASTER_JAM!$A$5:$A$94,0)),"")</f>
        <v/>
      </c>
      <c r="K1569" s="158">
        <f>IFERROR(INDEX(MASTER_JAM!$J$5:$O$12,MATCH($E1569,MASTER_JAM!$I$5:$I$12,0),MATCH($J1569,MASTER_JAM!$J$4:$O$4,0))+0,0)</f>
        <v/>
      </c>
      <c r="L1569" s="159">
        <f>N($F1569)*$K1569</f>
        <v/>
      </c>
      <c r="M1569" s="157">
        <f>IF($E1569="","",IF(OR($E1569="Coal",$E1569="Dirty Coal"),"MT","BCM"))</f>
        <v/>
      </c>
      <c r="N1569" s="157">
        <f>IF($E1569="","",IF(OR($E1569="Coal",$E1569="Dirty Coal"),"Coal","OB"))</f>
        <v/>
      </c>
      <c r="O1569" s="157">
        <f>IF($F1569="","",IF(COUNTIF(MASTER_JAM!$A$5:$A$94,$C1569)=0,"Digger tidak dikenal",IF($J1569="","Hauler tidak dikenal",IF($H1569="?","Jam salah",IF($K1569=0,"Faktor kosong",IF(SUMIFS(INPUT_DELAY!$E$5:$E$20000,INPUT_DELAY!$A$5:$A$20000,$A1569,INPUT_DELAY!$B$5:$B$20000,$B1569,INPUT_DELAY!$C$5:$C$20000,$C1569)+SUMIFS(INPUT_DELAY!$E$5:$E$20000,INPUT_DELAY!$A$5:$A$20000,$A1569,INPUT_DELAY!$B$5:$B$20000,$B1569,INPUT_DELAY!$C$5:$C$20000,"SEMUA")&gt;=60,"Delay 60 mnt tapi ada ritase","OK"))))))</f>
        <v/>
      </c>
      <c r="P1569" s="158">
        <f>IFERROR(INDEX(MASTER_JAM!$Z$5:$AC$10,MATCH($I1569,MASTER_JAM!$Y$5:$Y$10,0),MATCH($J1569,MASTER_JAM!$Z$4:$AC$4,0))+0,0)</f>
        <v/>
      </c>
      <c r="Q1569" s="158">
        <f>IF($P1569=0,0,$P1569+IFERROR(INDEX(MASTER_JAM!$H$5:$H$94,MATCH($C1569,MASTER_JAM!$A$5:$A$94,0))+0,MASTER_JAM!$AC$15)/1000*(60/MASTER_JAM!$AC$12+60/MASTER_JAM!$AC$13)+MASTER_JAM!$AC$14)</f>
        <v/>
      </c>
      <c r="R1569" s="158">
        <f>IF(N($F1569)=0,0,$F1569/SUMIFS(INPUT_RITASE!$F$5:$F$20000,INPUT_RITASE!$A$5:$A$20000,$A1569,INPUT_RITASE!$B$5:$B$20000,$B1569,INPUT_RITASE!$C$5:$C$20000,$C1569,INPUT_RITASE!$D$5:$D$20000,$D1569))</f>
        <v/>
      </c>
      <c r="S1569" s="158">
        <f>IF($Q1569=0,0,$R1569*$P1569/$Q1569)</f>
        <v/>
      </c>
    </row>
    <row r="1570">
      <c r="A1570" s="155" t="n">
        <v>46109</v>
      </c>
      <c r="B1570" s="156" t="inlineStr">
        <is>
          <t>22-23</t>
        </is>
      </c>
      <c r="C1570" s="156" t="inlineStr">
        <is>
          <t>EX-753</t>
        </is>
      </c>
      <c r="D1570" s="156" t="inlineStr">
        <is>
          <t>DT-508</t>
        </is>
      </c>
      <c r="E1570" s="156" t="inlineStr">
        <is>
          <t>OB</t>
        </is>
      </c>
      <c r="F1570" s="156" t="n">
        <v>2</v>
      </c>
      <c r="G1570" s="156" t="inlineStr"/>
      <c r="H1570" s="157">
        <f>IF($B1570="","",IF(ISNA(MATCH($B1570,MASTER_JAM!$Q$5:$Q$28,0)),"?",IF(MATCH($B1570,MASTER_JAM!$Q$5:$Q$28,0)&lt;=12,"DS","NS")))</f>
        <v/>
      </c>
      <c r="I1570" s="157">
        <f>IFERROR(INDEX(MASTER_JAM!$B$5:$B$94,MATCH($C1570,MASTER_JAM!$A$5:$A$94,0)),"")</f>
        <v/>
      </c>
      <c r="J1570" s="157">
        <f>IFERROR(INDEX(MASTER_JAM!$E$5:$E$94,MATCH($D1570,MASTER_JAM!$A$5:$A$94,0)),"")</f>
        <v/>
      </c>
      <c r="K1570" s="158">
        <f>IFERROR(INDEX(MASTER_JAM!$J$5:$O$12,MATCH($E1570,MASTER_JAM!$I$5:$I$12,0),MATCH($J1570,MASTER_JAM!$J$4:$O$4,0))+0,0)</f>
        <v/>
      </c>
      <c r="L1570" s="159">
        <f>N($F1570)*$K1570</f>
        <v/>
      </c>
      <c r="M1570" s="157">
        <f>IF($E1570="","",IF(OR($E1570="Coal",$E1570="Dirty Coal"),"MT","BCM"))</f>
        <v/>
      </c>
      <c r="N1570" s="157">
        <f>IF($E1570="","",IF(OR($E1570="Coal",$E1570="Dirty Coal"),"Coal","OB"))</f>
        <v/>
      </c>
      <c r="O1570" s="157">
        <f>IF($F1570="","",IF(COUNTIF(MASTER_JAM!$A$5:$A$94,$C1570)=0,"Digger tidak dikenal",IF($J1570="","Hauler tidak dikenal",IF($H1570="?","Jam salah",IF($K1570=0,"Faktor kosong",IF(SUMIFS(INPUT_DELAY!$E$5:$E$20000,INPUT_DELAY!$A$5:$A$20000,$A1570,INPUT_DELAY!$B$5:$B$20000,$B1570,INPUT_DELAY!$C$5:$C$20000,$C1570)+SUMIFS(INPUT_DELAY!$E$5:$E$20000,INPUT_DELAY!$A$5:$A$20000,$A1570,INPUT_DELAY!$B$5:$B$20000,$B1570,INPUT_DELAY!$C$5:$C$20000,"SEMUA")&gt;=60,"Delay 60 mnt tapi ada ritase","OK"))))))</f>
        <v/>
      </c>
      <c r="P1570" s="158">
        <f>IFERROR(INDEX(MASTER_JAM!$Z$5:$AC$10,MATCH($I1570,MASTER_JAM!$Y$5:$Y$10,0),MATCH($J1570,MASTER_JAM!$Z$4:$AC$4,0))+0,0)</f>
        <v/>
      </c>
      <c r="Q1570" s="158">
        <f>IF($P1570=0,0,$P1570+IFERROR(INDEX(MASTER_JAM!$H$5:$H$94,MATCH($C1570,MASTER_JAM!$A$5:$A$94,0))+0,MASTER_JAM!$AC$15)/1000*(60/MASTER_JAM!$AC$12+60/MASTER_JAM!$AC$13)+MASTER_JAM!$AC$14)</f>
        <v/>
      </c>
      <c r="R1570" s="158">
        <f>IF(N($F1570)=0,0,$F1570/SUMIFS(INPUT_RITASE!$F$5:$F$20000,INPUT_RITASE!$A$5:$A$20000,$A1570,INPUT_RITASE!$B$5:$B$20000,$B1570,INPUT_RITASE!$C$5:$C$20000,$C1570,INPUT_RITASE!$D$5:$D$20000,$D1570))</f>
        <v/>
      </c>
      <c r="S1570" s="158">
        <f>IF($Q1570=0,0,$R1570*$P1570/$Q1570)</f>
        <v/>
      </c>
    </row>
    <row r="1571">
      <c r="A1571" s="155" t="n">
        <v>46109</v>
      </c>
      <c r="B1571" s="156" t="inlineStr">
        <is>
          <t>01-02</t>
        </is>
      </c>
      <c r="C1571" s="156" t="inlineStr">
        <is>
          <t>EX-753</t>
        </is>
      </c>
      <c r="D1571" s="156" t="inlineStr">
        <is>
          <t>DT-503</t>
        </is>
      </c>
      <c r="E1571" s="156" t="inlineStr">
        <is>
          <t>OB</t>
        </is>
      </c>
      <c r="F1571" s="156" t="n">
        <v>3</v>
      </c>
      <c r="G1571" s="156" t="inlineStr"/>
      <c r="H1571" s="157">
        <f>IF($B1571="","",IF(ISNA(MATCH($B1571,MASTER_JAM!$Q$5:$Q$28,0)),"?",IF(MATCH($B1571,MASTER_JAM!$Q$5:$Q$28,0)&lt;=12,"DS","NS")))</f>
        <v/>
      </c>
      <c r="I1571" s="157">
        <f>IFERROR(INDEX(MASTER_JAM!$B$5:$B$94,MATCH($C1571,MASTER_JAM!$A$5:$A$94,0)),"")</f>
        <v/>
      </c>
      <c r="J1571" s="157">
        <f>IFERROR(INDEX(MASTER_JAM!$E$5:$E$94,MATCH($D1571,MASTER_JAM!$A$5:$A$94,0)),"")</f>
        <v/>
      </c>
      <c r="K1571" s="158">
        <f>IFERROR(INDEX(MASTER_JAM!$J$5:$O$12,MATCH($E1571,MASTER_JAM!$I$5:$I$12,0),MATCH($J1571,MASTER_JAM!$J$4:$O$4,0))+0,0)</f>
        <v/>
      </c>
      <c r="L1571" s="159">
        <f>N($F1571)*$K1571</f>
        <v/>
      </c>
      <c r="M1571" s="157">
        <f>IF($E1571="","",IF(OR($E1571="Coal",$E1571="Dirty Coal"),"MT","BCM"))</f>
        <v/>
      </c>
      <c r="N1571" s="157">
        <f>IF($E1571="","",IF(OR($E1571="Coal",$E1571="Dirty Coal"),"Coal","OB"))</f>
        <v/>
      </c>
      <c r="O1571" s="157">
        <f>IF($F1571="","",IF(COUNTIF(MASTER_JAM!$A$5:$A$94,$C1571)=0,"Digger tidak dikenal",IF($J1571="","Hauler tidak dikenal",IF($H1571="?","Jam salah",IF($K1571=0,"Faktor kosong",IF(SUMIFS(INPUT_DELAY!$E$5:$E$20000,INPUT_DELAY!$A$5:$A$20000,$A1571,INPUT_DELAY!$B$5:$B$20000,$B1571,INPUT_DELAY!$C$5:$C$20000,$C1571)+SUMIFS(INPUT_DELAY!$E$5:$E$20000,INPUT_DELAY!$A$5:$A$20000,$A1571,INPUT_DELAY!$B$5:$B$20000,$B1571,INPUT_DELAY!$C$5:$C$20000,"SEMUA")&gt;=60,"Delay 60 mnt tapi ada ritase","OK"))))))</f>
        <v/>
      </c>
      <c r="P1571" s="158">
        <f>IFERROR(INDEX(MASTER_JAM!$Z$5:$AC$10,MATCH($I1571,MASTER_JAM!$Y$5:$Y$10,0),MATCH($J1571,MASTER_JAM!$Z$4:$AC$4,0))+0,0)</f>
        <v/>
      </c>
      <c r="Q1571" s="158">
        <f>IF($P1571=0,0,$P1571+IFERROR(INDEX(MASTER_JAM!$H$5:$H$94,MATCH($C1571,MASTER_JAM!$A$5:$A$94,0))+0,MASTER_JAM!$AC$15)/1000*(60/MASTER_JAM!$AC$12+60/MASTER_JAM!$AC$13)+MASTER_JAM!$AC$14)</f>
        <v/>
      </c>
      <c r="R1571" s="158">
        <f>IF(N($F1571)=0,0,$F1571/SUMIFS(INPUT_RITASE!$F$5:$F$20000,INPUT_RITASE!$A$5:$A$20000,$A1571,INPUT_RITASE!$B$5:$B$20000,$B1571,INPUT_RITASE!$C$5:$C$20000,$C1571,INPUT_RITASE!$D$5:$D$20000,$D1571))</f>
        <v/>
      </c>
      <c r="S1571" s="158">
        <f>IF($Q1571=0,0,$R1571*$P1571/$Q1571)</f>
        <v/>
      </c>
    </row>
    <row r="1572">
      <c r="A1572" s="155" t="n">
        <v>46109</v>
      </c>
      <c r="B1572" s="156" t="inlineStr">
        <is>
          <t>01-02</t>
        </is>
      </c>
      <c r="C1572" s="156" t="inlineStr">
        <is>
          <t>EX-753</t>
        </is>
      </c>
      <c r="D1572" s="156" t="inlineStr">
        <is>
          <t>DT-528</t>
        </is>
      </c>
      <c r="E1572" s="156" t="inlineStr">
        <is>
          <t>OB</t>
        </is>
      </c>
      <c r="F1572" s="156" t="n">
        <v>3</v>
      </c>
      <c r="G1572" s="156" t="inlineStr"/>
      <c r="H1572" s="157">
        <f>IF($B1572="","",IF(ISNA(MATCH($B1572,MASTER_JAM!$Q$5:$Q$28,0)),"?",IF(MATCH($B1572,MASTER_JAM!$Q$5:$Q$28,0)&lt;=12,"DS","NS")))</f>
        <v/>
      </c>
      <c r="I1572" s="157">
        <f>IFERROR(INDEX(MASTER_JAM!$B$5:$B$94,MATCH($C1572,MASTER_JAM!$A$5:$A$94,0)),"")</f>
        <v/>
      </c>
      <c r="J1572" s="157">
        <f>IFERROR(INDEX(MASTER_JAM!$E$5:$E$94,MATCH($D1572,MASTER_JAM!$A$5:$A$94,0)),"")</f>
        <v/>
      </c>
      <c r="K1572" s="158">
        <f>IFERROR(INDEX(MASTER_JAM!$J$5:$O$12,MATCH($E1572,MASTER_JAM!$I$5:$I$12,0),MATCH($J1572,MASTER_JAM!$J$4:$O$4,0))+0,0)</f>
        <v/>
      </c>
      <c r="L1572" s="159">
        <f>N($F1572)*$K1572</f>
        <v/>
      </c>
      <c r="M1572" s="157">
        <f>IF($E1572="","",IF(OR($E1572="Coal",$E1572="Dirty Coal"),"MT","BCM"))</f>
        <v/>
      </c>
      <c r="N1572" s="157">
        <f>IF($E1572="","",IF(OR($E1572="Coal",$E1572="Dirty Coal"),"Coal","OB"))</f>
        <v/>
      </c>
      <c r="O1572" s="157">
        <f>IF($F1572="","",IF(COUNTIF(MASTER_JAM!$A$5:$A$94,$C1572)=0,"Digger tidak dikenal",IF($J1572="","Hauler tidak dikenal",IF($H1572="?","Jam salah",IF($K1572=0,"Faktor kosong",IF(SUMIFS(INPUT_DELAY!$E$5:$E$20000,INPUT_DELAY!$A$5:$A$20000,$A1572,INPUT_DELAY!$B$5:$B$20000,$B1572,INPUT_DELAY!$C$5:$C$20000,$C1572)+SUMIFS(INPUT_DELAY!$E$5:$E$20000,INPUT_DELAY!$A$5:$A$20000,$A1572,INPUT_DELAY!$B$5:$B$20000,$B1572,INPUT_DELAY!$C$5:$C$20000,"SEMUA")&gt;=60,"Delay 60 mnt tapi ada ritase","OK"))))))</f>
        <v/>
      </c>
      <c r="P1572" s="158">
        <f>IFERROR(INDEX(MASTER_JAM!$Z$5:$AC$10,MATCH($I1572,MASTER_JAM!$Y$5:$Y$10,0),MATCH($J1572,MASTER_JAM!$Z$4:$AC$4,0))+0,0)</f>
        <v/>
      </c>
      <c r="Q1572" s="158">
        <f>IF($P1572=0,0,$P1572+IFERROR(INDEX(MASTER_JAM!$H$5:$H$94,MATCH($C1572,MASTER_JAM!$A$5:$A$94,0))+0,MASTER_JAM!$AC$15)/1000*(60/MASTER_JAM!$AC$12+60/MASTER_JAM!$AC$13)+MASTER_JAM!$AC$14)</f>
        <v/>
      </c>
      <c r="R1572" s="158">
        <f>IF(N($F1572)=0,0,$F1572/SUMIFS(INPUT_RITASE!$F$5:$F$20000,INPUT_RITASE!$A$5:$A$20000,$A1572,INPUT_RITASE!$B$5:$B$20000,$B1572,INPUT_RITASE!$C$5:$C$20000,$C1572,INPUT_RITASE!$D$5:$D$20000,$D1572))</f>
        <v/>
      </c>
      <c r="S1572" s="158">
        <f>IF($Q1572=0,0,$R1572*$P1572/$Q1572)</f>
        <v/>
      </c>
    </row>
    <row r="1573">
      <c r="A1573" s="155" t="n">
        <v>46109</v>
      </c>
      <c r="B1573" s="156" t="inlineStr">
        <is>
          <t>01-02</t>
        </is>
      </c>
      <c r="C1573" s="156" t="inlineStr">
        <is>
          <t>EX-753</t>
        </is>
      </c>
      <c r="D1573" s="156" t="inlineStr">
        <is>
          <t>DT-523</t>
        </is>
      </c>
      <c r="E1573" s="156" t="inlineStr">
        <is>
          <t>OB</t>
        </is>
      </c>
      <c r="F1573" s="156" t="n">
        <v>3</v>
      </c>
      <c r="G1573" s="156" t="inlineStr"/>
      <c r="H1573" s="157">
        <f>IF($B1573="","",IF(ISNA(MATCH($B1573,MASTER_JAM!$Q$5:$Q$28,0)),"?",IF(MATCH($B1573,MASTER_JAM!$Q$5:$Q$28,0)&lt;=12,"DS","NS")))</f>
        <v/>
      </c>
      <c r="I1573" s="157">
        <f>IFERROR(INDEX(MASTER_JAM!$B$5:$B$94,MATCH($C1573,MASTER_JAM!$A$5:$A$94,0)),"")</f>
        <v/>
      </c>
      <c r="J1573" s="157">
        <f>IFERROR(INDEX(MASTER_JAM!$E$5:$E$94,MATCH($D1573,MASTER_JAM!$A$5:$A$94,0)),"")</f>
        <v/>
      </c>
      <c r="K1573" s="158">
        <f>IFERROR(INDEX(MASTER_JAM!$J$5:$O$12,MATCH($E1573,MASTER_JAM!$I$5:$I$12,0),MATCH($J1573,MASTER_JAM!$J$4:$O$4,0))+0,0)</f>
        <v/>
      </c>
      <c r="L1573" s="159">
        <f>N($F1573)*$K1573</f>
        <v/>
      </c>
      <c r="M1573" s="157">
        <f>IF($E1573="","",IF(OR($E1573="Coal",$E1573="Dirty Coal"),"MT","BCM"))</f>
        <v/>
      </c>
      <c r="N1573" s="157">
        <f>IF($E1573="","",IF(OR($E1573="Coal",$E1573="Dirty Coal"),"Coal","OB"))</f>
        <v/>
      </c>
      <c r="O1573" s="157">
        <f>IF($F1573="","",IF(COUNTIF(MASTER_JAM!$A$5:$A$94,$C1573)=0,"Digger tidak dikenal",IF($J1573="","Hauler tidak dikenal",IF($H1573="?","Jam salah",IF($K1573=0,"Faktor kosong",IF(SUMIFS(INPUT_DELAY!$E$5:$E$20000,INPUT_DELAY!$A$5:$A$20000,$A1573,INPUT_DELAY!$B$5:$B$20000,$B1573,INPUT_DELAY!$C$5:$C$20000,$C1573)+SUMIFS(INPUT_DELAY!$E$5:$E$20000,INPUT_DELAY!$A$5:$A$20000,$A1573,INPUT_DELAY!$B$5:$B$20000,$B1573,INPUT_DELAY!$C$5:$C$20000,"SEMUA")&gt;=60,"Delay 60 mnt tapi ada ritase","OK"))))))</f>
        <v/>
      </c>
      <c r="P1573" s="158">
        <f>IFERROR(INDEX(MASTER_JAM!$Z$5:$AC$10,MATCH($I1573,MASTER_JAM!$Y$5:$Y$10,0),MATCH($J1573,MASTER_JAM!$Z$4:$AC$4,0))+0,0)</f>
        <v/>
      </c>
      <c r="Q1573" s="158">
        <f>IF($P1573=0,0,$P1573+IFERROR(INDEX(MASTER_JAM!$H$5:$H$94,MATCH($C1573,MASTER_JAM!$A$5:$A$94,0))+0,MASTER_JAM!$AC$15)/1000*(60/MASTER_JAM!$AC$12+60/MASTER_JAM!$AC$13)+MASTER_JAM!$AC$14)</f>
        <v/>
      </c>
      <c r="R1573" s="158">
        <f>IF(N($F1573)=0,0,$F1573/SUMIFS(INPUT_RITASE!$F$5:$F$20000,INPUT_RITASE!$A$5:$A$20000,$A1573,INPUT_RITASE!$B$5:$B$20000,$B1573,INPUT_RITASE!$C$5:$C$20000,$C1573,INPUT_RITASE!$D$5:$D$20000,$D1573))</f>
        <v/>
      </c>
      <c r="S1573" s="158">
        <f>IF($Q1573=0,0,$R1573*$P1573/$Q1573)</f>
        <v/>
      </c>
    </row>
    <row r="1574">
      <c r="A1574" s="155" t="n">
        <v>46109</v>
      </c>
      <c r="B1574" s="156" t="inlineStr">
        <is>
          <t>02-03</t>
        </is>
      </c>
      <c r="C1574" s="156" t="inlineStr">
        <is>
          <t>EX-753</t>
        </is>
      </c>
      <c r="D1574" s="156" t="inlineStr">
        <is>
          <t>DT-512</t>
        </is>
      </c>
      <c r="E1574" s="156" t="inlineStr">
        <is>
          <t>OB</t>
        </is>
      </c>
      <c r="F1574" s="156" t="n">
        <v>4</v>
      </c>
      <c r="G1574" s="156" t="inlineStr"/>
      <c r="H1574" s="157">
        <f>IF($B1574="","",IF(ISNA(MATCH($B1574,MASTER_JAM!$Q$5:$Q$28,0)),"?",IF(MATCH($B1574,MASTER_JAM!$Q$5:$Q$28,0)&lt;=12,"DS","NS")))</f>
        <v/>
      </c>
      <c r="I1574" s="157">
        <f>IFERROR(INDEX(MASTER_JAM!$B$5:$B$94,MATCH($C1574,MASTER_JAM!$A$5:$A$94,0)),"")</f>
        <v/>
      </c>
      <c r="J1574" s="157">
        <f>IFERROR(INDEX(MASTER_JAM!$E$5:$E$94,MATCH($D1574,MASTER_JAM!$A$5:$A$94,0)),"")</f>
        <v/>
      </c>
      <c r="K1574" s="158">
        <f>IFERROR(INDEX(MASTER_JAM!$J$5:$O$12,MATCH($E1574,MASTER_JAM!$I$5:$I$12,0),MATCH($J1574,MASTER_JAM!$J$4:$O$4,0))+0,0)</f>
        <v/>
      </c>
      <c r="L1574" s="159">
        <f>N($F1574)*$K1574</f>
        <v/>
      </c>
      <c r="M1574" s="157">
        <f>IF($E1574="","",IF(OR($E1574="Coal",$E1574="Dirty Coal"),"MT","BCM"))</f>
        <v/>
      </c>
      <c r="N1574" s="157">
        <f>IF($E1574="","",IF(OR($E1574="Coal",$E1574="Dirty Coal"),"Coal","OB"))</f>
        <v/>
      </c>
      <c r="O1574" s="157">
        <f>IF($F1574="","",IF(COUNTIF(MASTER_JAM!$A$5:$A$94,$C1574)=0,"Digger tidak dikenal",IF($J1574="","Hauler tidak dikenal",IF($H1574="?","Jam salah",IF($K1574=0,"Faktor kosong",IF(SUMIFS(INPUT_DELAY!$E$5:$E$20000,INPUT_DELAY!$A$5:$A$20000,$A1574,INPUT_DELAY!$B$5:$B$20000,$B1574,INPUT_DELAY!$C$5:$C$20000,$C1574)+SUMIFS(INPUT_DELAY!$E$5:$E$20000,INPUT_DELAY!$A$5:$A$20000,$A1574,INPUT_DELAY!$B$5:$B$20000,$B1574,INPUT_DELAY!$C$5:$C$20000,"SEMUA")&gt;=60,"Delay 60 mnt tapi ada ritase","OK"))))))</f>
        <v/>
      </c>
      <c r="P1574" s="158">
        <f>IFERROR(INDEX(MASTER_JAM!$Z$5:$AC$10,MATCH($I1574,MASTER_JAM!$Y$5:$Y$10,0),MATCH($J1574,MASTER_JAM!$Z$4:$AC$4,0))+0,0)</f>
        <v/>
      </c>
      <c r="Q1574" s="158">
        <f>IF($P1574=0,0,$P1574+IFERROR(INDEX(MASTER_JAM!$H$5:$H$94,MATCH($C1574,MASTER_JAM!$A$5:$A$94,0))+0,MASTER_JAM!$AC$15)/1000*(60/MASTER_JAM!$AC$12+60/MASTER_JAM!$AC$13)+MASTER_JAM!$AC$14)</f>
        <v/>
      </c>
      <c r="R1574" s="158">
        <f>IF(N($F1574)=0,0,$F1574/SUMIFS(INPUT_RITASE!$F$5:$F$20000,INPUT_RITASE!$A$5:$A$20000,$A1574,INPUT_RITASE!$B$5:$B$20000,$B1574,INPUT_RITASE!$C$5:$C$20000,$C1574,INPUT_RITASE!$D$5:$D$20000,$D1574))</f>
        <v/>
      </c>
      <c r="S1574" s="158">
        <f>IF($Q1574=0,0,$R1574*$P1574/$Q1574)</f>
        <v/>
      </c>
    </row>
    <row r="1575">
      <c r="A1575" s="155" t="n">
        <v>46109</v>
      </c>
      <c r="B1575" s="156" t="inlineStr">
        <is>
          <t>02-03</t>
        </is>
      </c>
      <c r="C1575" s="156" t="inlineStr">
        <is>
          <t>EX-753</t>
        </is>
      </c>
      <c r="D1575" s="156" t="inlineStr">
        <is>
          <t>DT-502</t>
        </is>
      </c>
      <c r="E1575" s="156" t="inlineStr">
        <is>
          <t>OB</t>
        </is>
      </c>
      <c r="F1575" s="156" t="n">
        <v>3</v>
      </c>
      <c r="G1575" s="156" t="inlineStr"/>
      <c r="H1575" s="157">
        <f>IF($B1575="","",IF(ISNA(MATCH($B1575,MASTER_JAM!$Q$5:$Q$28,0)),"?",IF(MATCH($B1575,MASTER_JAM!$Q$5:$Q$28,0)&lt;=12,"DS","NS")))</f>
        <v/>
      </c>
      <c r="I1575" s="157">
        <f>IFERROR(INDEX(MASTER_JAM!$B$5:$B$94,MATCH($C1575,MASTER_JAM!$A$5:$A$94,0)),"")</f>
        <v/>
      </c>
      <c r="J1575" s="157">
        <f>IFERROR(INDEX(MASTER_JAM!$E$5:$E$94,MATCH($D1575,MASTER_JAM!$A$5:$A$94,0)),"")</f>
        <v/>
      </c>
      <c r="K1575" s="158">
        <f>IFERROR(INDEX(MASTER_JAM!$J$5:$O$12,MATCH($E1575,MASTER_JAM!$I$5:$I$12,0),MATCH($J1575,MASTER_JAM!$J$4:$O$4,0))+0,0)</f>
        <v/>
      </c>
      <c r="L1575" s="159">
        <f>N($F1575)*$K1575</f>
        <v/>
      </c>
      <c r="M1575" s="157">
        <f>IF($E1575="","",IF(OR($E1575="Coal",$E1575="Dirty Coal"),"MT","BCM"))</f>
        <v/>
      </c>
      <c r="N1575" s="157">
        <f>IF($E1575="","",IF(OR($E1575="Coal",$E1575="Dirty Coal"),"Coal","OB"))</f>
        <v/>
      </c>
      <c r="O1575" s="157">
        <f>IF($F1575="","",IF(COUNTIF(MASTER_JAM!$A$5:$A$94,$C1575)=0,"Digger tidak dikenal",IF($J1575="","Hauler tidak dikenal",IF($H1575="?","Jam salah",IF($K1575=0,"Faktor kosong",IF(SUMIFS(INPUT_DELAY!$E$5:$E$20000,INPUT_DELAY!$A$5:$A$20000,$A1575,INPUT_DELAY!$B$5:$B$20000,$B1575,INPUT_DELAY!$C$5:$C$20000,$C1575)+SUMIFS(INPUT_DELAY!$E$5:$E$20000,INPUT_DELAY!$A$5:$A$20000,$A1575,INPUT_DELAY!$B$5:$B$20000,$B1575,INPUT_DELAY!$C$5:$C$20000,"SEMUA")&gt;=60,"Delay 60 mnt tapi ada ritase","OK"))))))</f>
        <v/>
      </c>
      <c r="P1575" s="158">
        <f>IFERROR(INDEX(MASTER_JAM!$Z$5:$AC$10,MATCH($I1575,MASTER_JAM!$Y$5:$Y$10,0),MATCH($J1575,MASTER_JAM!$Z$4:$AC$4,0))+0,0)</f>
        <v/>
      </c>
      <c r="Q1575" s="158">
        <f>IF($P1575=0,0,$P1575+IFERROR(INDEX(MASTER_JAM!$H$5:$H$94,MATCH($C1575,MASTER_JAM!$A$5:$A$94,0))+0,MASTER_JAM!$AC$15)/1000*(60/MASTER_JAM!$AC$12+60/MASTER_JAM!$AC$13)+MASTER_JAM!$AC$14)</f>
        <v/>
      </c>
      <c r="R1575" s="158">
        <f>IF(N($F1575)=0,0,$F1575/SUMIFS(INPUT_RITASE!$F$5:$F$20000,INPUT_RITASE!$A$5:$A$20000,$A1575,INPUT_RITASE!$B$5:$B$20000,$B1575,INPUT_RITASE!$C$5:$C$20000,$C1575,INPUT_RITASE!$D$5:$D$20000,$D1575))</f>
        <v/>
      </c>
      <c r="S1575" s="158">
        <f>IF($Q1575=0,0,$R1575*$P1575/$Q1575)</f>
        <v/>
      </c>
    </row>
    <row r="1576">
      <c r="A1576" s="155" t="n">
        <v>46109</v>
      </c>
      <c r="B1576" s="156" t="inlineStr">
        <is>
          <t>02-03</t>
        </is>
      </c>
      <c r="C1576" s="156" t="inlineStr">
        <is>
          <t>EX-753</t>
        </is>
      </c>
      <c r="D1576" s="156" t="inlineStr">
        <is>
          <t>DT-523</t>
        </is>
      </c>
      <c r="E1576" s="156" t="inlineStr">
        <is>
          <t>OB</t>
        </is>
      </c>
      <c r="F1576" s="156" t="n">
        <v>3</v>
      </c>
      <c r="G1576" s="156" t="inlineStr"/>
      <c r="H1576" s="157">
        <f>IF($B1576="","",IF(ISNA(MATCH($B1576,MASTER_JAM!$Q$5:$Q$28,0)),"?",IF(MATCH($B1576,MASTER_JAM!$Q$5:$Q$28,0)&lt;=12,"DS","NS")))</f>
        <v/>
      </c>
      <c r="I1576" s="157">
        <f>IFERROR(INDEX(MASTER_JAM!$B$5:$B$94,MATCH($C1576,MASTER_JAM!$A$5:$A$94,0)),"")</f>
        <v/>
      </c>
      <c r="J1576" s="157">
        <f>IFERROR(INDEX(MASTER_JAM!$E$5:$E$94,MATCH($D1576,MASTER_JAM!$A$5:$A$94,0)),"")</f>
        <v/>
      </c>
      <c r="K1576" s="158">
        <f>IFERROR(INDEX(MASTER_JAM!$J$5:$O$12,MATCH($E1576,MASTER_JAM!$I$5:$I$12,0),MATCH($J1576,MASTER_JAM!$J$4:$O$4,0))+0,0)</f>
        <v/>
      </c>
      <c r="L1576" s="159">
        <f>N($F1576)*$K1576</f>
        <v/>
      </c>
      <c r="M1576" s="157">
        <f>IF($E1576="","",IF(OR($E1576="Coal",$E1576="Dirty Coal"),"MT","BCM"))</f>
        <v/>
      </c>
      <c r="N1576" s="157">
        <f>IF($E1576="","",IF(OR($E1576="Coal",$E1576="Dirty Coal"),"Coal","OB"))</f>
        <v/>
      </c>
      <c r="O1576" s="157">
        <f>IF($F1576="","",IF(COUNTIF(MASTER_JAM!$A$5:$A$94,$C1576)=0,"Digger tidak dikenal",IF($J1576="","Hauler tidak dikenal",IF($H1576="?","Jam salah",IF($K1576=0,"Faktor kosong",IF(SUMIFS(INPUT_DELAY!$E$5:$E$20000,INPUT_DELAY!$A$5:$A$20000,$A1576,INPUT_DELAY!$B$5:$B$20000,$B1576,INPUT_DELAY!$C$5:$C$20000,$C1576)+SUMIFS(INPUT_DELAY!$E$5:$E$20000,INPUT_DELAY!$A$5:$A$20000,$A1576,INPUT_DELAY!$B$5:$B$20000,$B1576,INPUT_DELAY!$C$5:$C$20000,"SEMUA")&gt;=60,"Delay 60 mnt tapi ada ritase","OK"))))))</f>
        <v/>
      </c>
      <c r="P1576" s="158">
        <f>IFERROR(INDEX(MASTER_JAM!$Z$5:$AC$10,MATCH($I1576,MASTER_JAM!$Y$5:$Y$10,0),MATCH($J1576,MASTER_JAM!$Z$4:$AC$4,0))+0,0)</f>
        <v/>
      </c>
      <c r="Q1576" s="158">
        <f>IF($P1576=0,0,$P1576+IFERROR(INDEX(MASTER_JAM!$H$5:$H$94,MATCH($C1576,MASTER_JAM!$A$5:$A$94,0))+0,MASTER_JAM!$AC$15)/1000*(60/MASTER_JAM!$AC$12+60/MASTER_JAM!$AC$13)+MASTER_JAM!$AC$14)</f>
        <v/>
      </c>
      <c r="R1576" s="158">
        <f>IF(N($F1576)=0,0,$F1576/SUMIFS(INPUT_RITASE!$F$5:$F$20000,INPUT_RITASE!$A$5:$A$20000,$A1576,INPUT_RITASE!$B$5:$B$20000,$B1576,INPUT_RITASE!$C$5:$C$20000,$C1576,INPUT_RITASE!$D$5:$D$20000,$D1576))</f>
        <v/>
      </c>
      <c r="S1576" s="158">
        <f>IF($Q1576=0,0,$R1576*$P1576/$Q1576)</f>
        <v/>
      </c>
    </row>
    <row r="1577">
      <c r="A1577" s="155" t="n">
        <v>46109</v>
      </c>
      <c r="B1577" s="156" t="inlineStr">
        <is>
          <t>02-03</t>
        </is>
      </c>
      <c r="C1577" s="156" t="inlineStr">
        <is>
          <t>EX-753</t>
        </is>
      </c>
      <c r="D1577" s="156" t="inlineStr">
        <is>
          <t>DT-510</t>
        </is>
      </c>
      <c r="E1577" s="156" t="inlineStr">
        <is>
          <t>OB</t>
        </is>
      </c>
      <c r="F1577" s="156" t="n">
        <v>3</v>
      </c>
      <c r="G1577" s="156" t="inlineStr"/>
      <c r="H1577" s="157">
        <f>IF($B1577="","",IF(ISNA(MATCH($B1577,MASTER_JAM!$Q$5:$Q$28,0)),"?",IF(MATCH($B1577,MASTER_JAM!$Q$5:$Q$28,0)&lt;=12,"DS","NS")))</f>
        <v/>
      </c>
      <c r="I1577" s="157">
        <f>IFERROR(INDEX(MASTER_JAM!$B$5:$B$94,MATCH($C1577,MASTER_JAM!$A$5:$A$94,0)),"")</f>
        <v/>
      </c>
      <c r="J1577" s="157">
        <f>IFERROR(INDEX(MASTER_JAM!$E$5:$E$94,MATCH($D1577,MASTER_JAM!$A$5:$A$94,0)),"")</f>
        <v/>
      </c>
      <c r="K1577" s="158">
        <f>IFERROR(INDEX(MASTER_JAM!$J$5:$O$12,MATCH($E1577,MASTER_JAM!$I$5:$I$12,0),MATCH($J1577,MASTER_JAM!$J$4:$O$4,0))+0,0)</f>
        <v/>
      </c>
      <c r="L1577" s="159">
        <f>N($F1577)*$K1577</f>
        <v/>
      </c>
      <c r="M1577" s="157">
        <f>IF($E1577="","",IF(OR($E1577="Coal",$E1577="Dirty Coal"),"MT","BCM"))</f>
        <v/>
      </c>
      <c r="N1577" s="157">
        <f>IF($E1577="","",IF(OR($E1577="Coal",$E1577="Dirty Coal"),"Coal","OB"))</f>
        <v/>
      </c>
      <c r="O1577" s="157">
        <f>IF($F1577="","",IF(COUNTIF(MASTER_JAM!$A$5:$A$94,$C1577)=0,"Digger tidak dikenal",IF($J1577="","Hauler tidak dikenal",IF($H1577="?","Jam salah",IF($K1577=0,"Faktor kosong",IF(SUMIFS(INPUT_DELAY!$E$5:$E$20000,INPUT_DELAY!$A$5:$A$20000,$A1577,INPUT_DELAY!$B$5:$B$20000,$B1577,INPUT_DELAY!$C$5:$C$20000,$C1577)+SUMIFS(INPUT_DELAY!$E$5:$E$20000,INPUT_DELAY!$A$5:$A$20000,$A1577,INPUT_DELAY!$B$5:$B$20000,$B1577,INPUT_DELAY!$C$5:$C$20000,"SEMUA")&gt;=60,"Delay 60 mnt tapi ada ritase","OK"))))))</f>
        <v/>
      </c>
      <c r="P1577" s="158">
        <f>IFERROR(INDEX(MASTER_JAM!$Z$5:$AC$10,MATCH($I1577,MASTER_JAM!$Y$5:$Y$10,0),MATCH($J1577,MASTER_JAM!$Z$4:$AC$4,0))+0,0)</f>
        <v/>
      </c>
      <c r="Q1577" s="158">
        <f>IF($P1577=0,0,$P1577+IFERROR(INDEX(MASTER_JAM!$H$5:$H$94,MATCH($C1577,MASTER_JAM!$A$5:$A$94,0))+0,MASTER_JAM!$AC$15)/1000*(60/MASTER_JAM!$AC$12+60/MASTER_JAM!$AC$13)+MASTER_JAM!$AC$14)</f>
        <v/>
      </c>
      <c r="R1577" s="158">
        <f>IF(N($F1577)=0,0,$F1577/SUMIFS(INPUT_RITASE!$F$5:$F$20000,INPUT_RITASE!$A$5:$A$20000,$A1577,INPUT_RITASE!$B$5:$B$20000,$B1577,INPUT_RITASE!$C$5:$C$20000,$C1577,INPUT_RITASE!$D$5:$D$20000,$D1577))</f>
        <v/>
      </c>
      <c r="S1577" s="158">
        <f>IF($Q1577=0,0,$R1577*$P1577/$Q1577)</f>
        <v/>
      </c>
    </row>
    <row r="1578">
      <c r="A1578" s="155" t="n">
        <v>46109</v>
      </c>
      <c r="B1578" s="156" t="inlineStr">
        <is>
          <t>03-04</t>
        </is>
      </c>
      <c r="C1578" s="156" t="inlineStr">
        <is>
          <t>EX-753</t>
        </is>
      </c>
      <c r="D1578" s="156" t="inlineStr">
        <is>
          <t>DT-522</t>
        </is>
      </c>
      <c r="E1578" s="156" t="inlineStr">
        <is>
          <t>OB</t>
        </is>
      </c>
      <c r="F1578" s="156" t="n">
        <v>4</v>
      </c>
      <c r="G1578" s="156" t="inlineStr"/>
      <c r="H1578" s="157">
        <f>IF($B1578="","",IF(ISNA(MATCH($B1578,MASTER_JAM!$Q$5:$Q$28,0)),"?",IF(MATCH($B1578,MASTER_JAM!$Q$5:$Q$28,0)&lt;=12,"DS","NS")))</f>
        <v/>
      </c>
      <c r="I1578" s="157">
        <f>IFERROR(INDEX(MASTER_JAM!$B$5:$B$94,MATCH($C1578,MASTER_JAM!$A$5:$A$94,0)),"")</f>
        <v/>
      </c>
      <c r="J1578" s="157">
        <f>IFERROR(INDEX(MASTER_JAM!$E$5:$E$94,MATCH($D1578,MASTER_JAM!$A$5:$A$94,0)),"")</f>
        <v/>
      </c>
      <c r="K1578" s="158">
        <f>IFERROR(INDEX(MASTER_JAM!$J$5:$O$12,MATCH($E1578,MASTER_JAM!$I$5:$I$12,0),MATCH($J1578,MASTER_JAM!$J$4:$O$4,0))+0,0)</f>
        <v/>
      </c>
      <c r="L1578" s="159">
        <f>N($F1578)*$K1578</f>
        <v/>
      </c>
      <c r="M1578" s="157">
        <f>IF($E1578="","",IF(OR($E1578="Coal",$E1578="Dirty Coal"),"MT","BCM"))</f>
        <v/>
      </c>
      <c r="N1578" s="157">
        <f>IF($E1578="","",IF(OR($E1578="Coal",$E1578="Dirty Coal"),"Coal","OB"))</f>
        <v/>
      </c>
      <c r="O1578" s="157">
        <f>IF($F1578="","",IF(COUNTIF(MASTER_JAM!$A$5:$A$94,$C1578)=0,"Digger tidak dikenal",IF($J1578="","Hauler tidak dikenal",IF($H1578="?","Jam salah",IF($K1578=0,"Faktor kosong",IF(SUMIFS(INPUT_DELAY!$E$5:$E$20000,INPUT_DELAY!$A$5:$A$20000,$A1578,INPUT_DELAY!$B$5:$B$20000,$B1578,INPUT_DELAY!$C$5:$C$20000,$C1578)+SUMIFS(INPUT_DELAY!$E$5:$E$20000,INPUT_DELAY!$A$5:$A$20000,$A1578,INPUT_DELAY!$B$5:$B$20000,$B1578,INPUT_DELAY!$C$5:$C$20000,"SEMUA")&gt;=60,"Delay 60 mnt tapi ada ritase","OK"))))))</f>
        <v/>
      </c>
      <c r="P1578" s="158">
        <f>IFERROR(INDEX(MASTER_JAM!$Z$5:$AC$10,MATCH($I1578,MASTER_JAM!$Y$5:$Y$10,0),MATCH($J1578,MASTER_JAM!$Z$4:$AC$4,0))+0,0)</f>
        <v/>
      </c>
      <c r="Q1578" s="158">
        <f>IF($P1578=0,0,$P1578+IFERROR(INDEX(MASTER_JAM!$H$5:$H$94,MATCH($C1578,MASTER_JAM!$A$5:$A$94,0))+0,MASTER_JAM!$AC$15)/1000*(60/MASTER_JAM!$AC$12+60/MASTER_JAM!$AC$13)+MASTER_JAM!$AC$14)</f>
        <v/>
      </c>
      <c r="R1578" s="158">
        <f>IF(N($F1578)=0,0,$F1578/SUMIFS(INPUT_RITASE!$F$5:$F$20000,INPUT_RITASE!$A$5:$A$20000,$A1578,INPUT_RITASE!$B$5:$B$20000,$B1578,INPUT_RITASE!$C$5:$C$20000,$C1578,INPUT_RITASE!$D$5:$D$20000,$D1578))</f>
        <v/>
      </c>
      <c r="S1578" s="158">
        <f>IF($Q1578=0,0,$R1578*$P1578/$Q1578)</f>
        <v/>
      </c>
    </row>
    <row r="1579">
      <c r="A1579" s="155" t="n">
        <v>46109</v>
      </c>
      <c r="B1579" s="156" t="inlineStr">
        <is>
          <t>03-04</t>
        </is>
      </c>
      <c r="C1579" s="156" t="inlineStr">
        <is>
          <t>EX-753</t>
        </is>
      </c>
      <c r="D1579" s="156" t="inlineStr">
        <is>
          <t>DT-506</t>
        </is>
      </c>
      <c r="E1579" s="156" t="inlineStr">
        <is>
          <t>OB</t>
        </is>
      </c>
      <c r="F1579" s="156" t="n">
        <v>4</v>
      </c>
      <c r="G1579" s="156" t="inlineStr"/>
      <c r="H1579" s="157">
        <f>IF($B1579="","",IF(ISNA(MATCH($B1579,MASTER_JAM!$Q$5:$Q$28,0)),"?",IF(MATCH($B1579,MASTER_JAM!$Q$5:$Q$28,0)&lt;=12,"DS","NS")))</f>
        <v/>
      </c>
      <c r="I1579" s="157">
        <f>IFERROR(INDEX(MASTER_JAM!$B$5:$B$94,MATCH($C1579,MASTER_JAM!$A$5:$A$94,0)),"")</f>
        <v/>
      </c>
      <c r="J1579" s="157">
        <f>IFERROR(INDEX(MASTER_JAM!$E$5:$E$94,MATCH($D1579,MASTER_JAM!$A$5:$A$94,0)),"")</f>
        <v/>
      </c>
      <c r="K1579" s="158">
        <f>IFERROR(INDEX(MASTER_JAM!$J$5:$O$12,MATCH($E1579,MASTER_JAM!$I$5:$I$12,0),MATCH($J1579,MASTER_JAM!$J$4:$O$4,0))+0,0)</f>
        <v/>
      </c>
      <c r="L1579" s="159">
        <f>N($F1579)*$K1579</f>
        <v/>
      </c>
      <c r="M1579" s="157">
        <f>IF($E1579="","",IF(OR($E1579="Coal",$E1579="Dirty Coal"),"MT","BCM"))</f>
        <v/>
      </c>
      <c r="N1579" s="157">
        <f>IF($E1579="","",IF(OR($E1579="Coal",$E1579="Dirty Coal"),"Coal","OB"))</f>
        <v/>
      </c>
      <c r="O1579" s="157">
        <f>IF($F1579="","",IF(COUNTIF(MASTER_JAM!$A$5:$A$94,$C1579)=0,"Digger tidak dikenal",IF($J1579="","Hauler tidak dikenal",IF($H1579="?","Jam salah",IF($K1579=0,"Faktor kosong",IF(SUMIFS(INPUT_DELAY!$E$5:$E$20000,INPUT_DELAY!$A$5:$A$20000,$A1579,INPUT_DELAY!$B$5:$B$20000,$B1579,INPUT_DELAY!$C$5:$C$20000,$C1579)+SUMIFS(INPUT_DELAY!$E$5:$E$20000,INPUT_DELAY!$A$5:$A$20000,$A1579,INPUT_DELAY!$B$5:$B$20000,$B1579,INPUT_DELAY!$C$5:$C$20000,"SEMUA")&gt;=60,"Delay 60 mnt tapi ada ritase","OK"))))))</f>
        <v/>
      </c>
      <c r="P1579" s="158">
        <f>IFERROR(INDEX(MASTER_JAM!$Z$5:$AC$10,MATCH($I1579,MASTER_JAM!$Y$5:$Y$10,0),MATCH($J1579,MASTER_JAM!$Z$4:$AC$4,0))+0,0)</f>
        <v/>
      </c>
      <c r="Q1579" s="158">
        <f>IF($P1579=0,0,$P1579+IFERROR(INDEX(MASTER_JAM!$H$5:$H$94,MATCH($C1579,MASTER_JAM!$A$5:$A$94,0))+0,MASTER_JAM!$AC$15)/1000*(60/MASTER_JAM!$AC$12+60/MASTER_JAM!$AC$13)+MASTER_JAM!$AC$14)</f>
        <v/>
      </c>
      <c r="R1579" s="158">
        <f>IF(N($F1579)=0,0,$F1579/SUMIFS(INPUT_RITASE!$F$5:$F$20000,INPUT_RITASE!$A$5:$A$20000,$A1579,INPUT_RITASE!$B$5:$B$20000,$B1579,INPUT_RITASE!$C$5:$C$20000,$C1579,INPUT_RITASE!$D$5:$D$20000,$D1579))</f>
        <v/>
      </c>
      <c r="S1579" s="158">
        <f>IF($Q1579=0,0,$R1579*$P1579/$Q1579)</f>
        <v/>
      </c>
    </row>
    <row r="1580">
      <c r="A1580" s="155" t="n">
        <v>46109</v>
      </c>
      <c r="B1580" s="156" t="inlineStr">
        <is>
          <t>03-04</t>
        </is>
      </c>
      <c r="C1580" s="156" t="inlineStr">
        <is>
          <t>EX-753</t>
        </is>
      </c>
      <c r="D1580" s="156" t="inlineStr">
        <is>
          <t>DT-510</t>
        </is>
      </c>
      <c r="E1580" s="156" t="inlineStr">
        <is>
          <t>OB</t>
        </is>
      </c>
      <c r="F1580" s="156" t="n">
        <v>4</v>
      </c>
      <c r="G1580" s="156" t="inlineStr"/>
      <c r="H1580" s="157">
        <f>IF($B1580="","",IF(ISNA(MATCH($B1580,MASTER_JAM!$Q$5:$Q$28,0)),"?",IF(MATCH($B1580,MASTER_JAM!$Q$5:$Q$28,0)&lt;=12,"DS","NS")))</f>
        <v/>
      </c>
      <c r="I1580" s="157">
        <f>IFERROR(INDEX(MASTER_JAM!$B$5:$B$94,MATCH($C1580,MASTER_JAM!$A$5:$A$94,0)),"")</f>
        <v/>
      </c>
      <c r="J1580" s="157">
        <f>IFERROR(INDEX(MASTER_JAM!$E$5:$E$94,MATCH($D1580,MASTER_JAM!$A$5:$A$94,0)),"")</f>
        <v/>
      </c>
      <c r="K1580" s="158">
        <f>IFERROR(INDEX(MASTER_JAM!$J$5:$O$12,MATCH($E1580,MASTER_JAM!$I$5:$I$12,0),MATCH($J1580,MASTER_JAM!$J$4:$O$4,0))+0,0)</f>
        <v/>
      </c>
      <c r="L1580" s="159">
        <f>N($F1580)*$K1580</f>
        <v/>
      </c>
      <c r="M1580" s="157">
        <f>IF($E1580="","",IF(OR($E1580="Coal",$E1580="Dirty Coal"),"MT","BCM"))</f>
        <v/>
      </c>
      <c r="N1580" s="157">
        <f>IF($E1580="","",IF(OR($E1580="Coal",$E1580="Dirty Coal"),"Coal","OB"))</f>
        <v/>
      </c>
      <c r="O1580" s="157">
        <f>IF($F1580="","",IF(COUNTIF(MASTER_JAM!$A$5:$A$94,$C1580)=0,"Digger tidak dikenal",IF($J1580="","Hauler tidak dikenal",IF($H1580="?","Jam salah",IF($K1580=0,"Faktor kosong",IF(SUMIFS(INPUT_DELAY!$E$5:$E$20000,INPUT_DELAY!$A$5:$A$20000,$A1580,INPUT_DELAY!$B$5:$B$20000,$B1580,INPUT_DELAY!$C$5:$C$20000,$C1580)+SUMIFS(INPUT_DELAY!$E$5:$E$20000,INPUT_DELAY!$A$5:$A$20000,$A1580,INPUT_DELAY!$B$5:$B$20000,$B1580,INPUT_DELAY!$C$5:$C$20000,"SEMUA")&gt;=60,"Delay 60 mnt tapi ada ritase","OK"))))))</f>
        <v/>
      </c>
      <c r="P1580" s="158">
        <f>IFERROR(INDEX(MASTER_JAM!$Z$5:$AC$10,MATCH($I1580,MASTER_JAM!$Y$5:$Y$10,0),MATCH($J1580,MASTER_JAM!$Z$4:$AC$4,0))+0,0)</f>
        <v/>
      </c>
      <c r="Q1580" s="158">
        <f>IF($P1580=0,0,$P1580+IFERROR(INDEX(MASTER_JAM!$H$5:$H$94,MATCH($C1580,MASTER_JAM!$A$5:$A$94,0))+0,MASTER_JAM!$AC$15)/1000*(60/MASTER_JAM!$AC$12+60/MASTER_JAM!$AC$13)+MASTER_JAM!$AC$14)</f>
        <v/>
      </c>
      <c r="R1580" s="158">
        <f>IF(N($F1580)=0,0,$F1580/SUMIFS(INPUT_RITASE!$F$5:$F$20000,INPUT_RITASE!$A$5:$A$20000,$A1580,INPUT_RITASE!$B$5:$B$20000,$B1580,INPUT_RITASE!$C$5:$C$20000,$C1580,INPUT_RITASE!$D$5:$D$20000,$D1580))</f>
        <v/>
      </c>
      <c r="S1580" s="158">
        <f>IF($Q1580=0,0,$R1580*$P1580/$Q1580)</f>
        <v/>
      </c>
    </row>
    <row r="1581">
      <c r="A1581" s="155" t="n">
        <v>46109</v>
      </c>
      <c r="B1581" s="156" t="inlineStr">
        <is>
          <t>03-04</t>
        </is>
      </c>
      <c r="C1581" s="156" t="inlineStr">
        <is>
          <t>EX-753</t>
        </is>
      </c>
      <c r="D1581" s="156" t="inlineStr">
        <is>
          <t>DT-508</t>
        </is>
      </c>
      <c r="E1581" s="156" t="inlineStr">
        <is>
          <t>OB</t>
        </is>
      </c>
      <c r="F1581" s="156" t="n">
        <v>3</v>
      </c>
      <c r="G1581" s="156" t="inlineStr"/>
      <c r="H1581" s="157">
        <f>IF($B1581="","",IF(ISNA(MATCH($B1581,MASTER_JAM!$Q$5:$Q$28,0)),"?",IF(MATCH($B1581,MASTER_JAM!$Q$5:$Q$28,0)&lt;=12,"DS","NS")))</f>
        <v/>
      </c>
      <c r="I1581" s="157">
        <f>IFERROR(INDEX(MASTER_JAM!$B$5:$B$94,MATCH($C1581,MASTER_JAM!$A$5:$A$94,0)),"")</f>
        <v/>
      </c>
      <c r="J1581" s="157">
        <f>IFERROR(INDEX(MASTER_JAM!$E$5:$E$94,MATCH($D1581,MASTER_JAM!$A$5:$A$94,0)),"")</f>
        <v/>
      </c>
      <c r="K1581" s="158">
        <f>IFERROR(INDEX(MASTER_JAM!$J$5:$O$12,MATCH($E1581,MASTER_JAM!$I$5:$I$12,0),MATCH($J1581,MASTER_JAM!$J$4:$O$4,0))+0,0)</f>
        <v/>
      </c>
      <c r="L1581" s="159">
        <f>N($F1581)*$K1581</f>
        <v/>
      </c>
      <c r="M1581" s="157">
        <f>IF($E1581="","",IF(OR($E1581="Coal",$E1581="Dirty Coal"),"MT","BCM"))</f>
        <v/>
      </c>
      <c r="N1581" s="157">
        <f>IF($E1581="","",IF(OR($E1581="Coal",$E1581="Dirty Coal"),"Coal","OB"))</f>
        <v/>
      </c>
      <c r="O1581" s="157">
        <f>IF($F1581="","",IF(COUNTIF(MASTER_JAM!$A$5:$A$94,$C1581)=0,"Digger tidak dikenal",IF($J1581="","Hauler tidak dikenal",IF($H1581="?","Jam salah",IF($K1581=0,"Faktor kosong",IF(SUMIFS(INPUT_DELAY!$E$5:$E$20000,INPUT_DELAY!$A$5:$A$20000,$A1581,INPUT_DELAY!$B$5:$B$20000,$B1581,INPUT_DELAY!$C$5:$C$20000,$C1581)+SUMIFS(INPUT_DELAY!$E$5:$E$20000,INPUT_DELAY!$A$5:$A$20000,$A1581,INPUT_DELAY!$B$5:$B$20000,$B1581,INPUT_DELAY!$C$5:$C$20000,"SEMUA")&gt;=60,"Delay 60 mnt tapi ada ritase","OK"))))))</f>
        <v/>
      </c>
      <c r="P1581" s="158">
        <f>IFERROR(INDEX(MASTER_JAM!$Z$5:$AC$10,MATCH($I1581,MASTER_JAM!$Y$5:$Y$10,0),MATCH($J1581,MASTER_JAM!$Z$4:$AC$4,0))+0,0)</f>
        <v/>
      </c>
      <c r="Q1581" s="158">
        <f>IF($P1581=0,0,$P1581+IFERROR(INDEX(MASTER_JAM!$H$5:$H$94,MATCH($C1581,MASTER_JAM!$A$5:$A$94,0))+0,MASTER_JAM!$AC$15)/1000*(60/MASTER_JAM!$AC$12+60/MASTER_JAM!$AC$13)+MASTER_JAM!$AC$14)</f>
        <v/>
      </c>
      <c r="R1581" s="158">
        <f>IF(N($F1581)=0,0,$F1581/SUMIFS(INPUT_RITASE!$F$5:$F$20000,INPUT_RITASE!$A$5:$A$20000,$A1581,INPUT_RITASE!$B$5:$B$20000,$B1581,INPUT_RITASE!$C$5:$C$20000,$C1581,INPUT_RITASE!$D$5:$D$20000,$D1581))</f>
        <v/>
      </c>
      <c r="S1581" s="158">
        <f>IF($Q1581=0,0,$R1581*$P1581/$Q1581)</f>
        <v/>
      </c>
    </row>
    <row r="1582">
      <c r="A1582" s="155" t="n">
        <v>46109</v>
      </c>
      <c r="B1582" s="156" t="inlineStr">
        <is>
          <t>04-05</t>
        </is>
      </c>
      <c r="C1582" s="156" t="inlineStr">
        <is>
          <t>EX-753</t>
        </is>
      </c>
      <c r="D1582" s="156" t="inlineStr">
        <is>
          <t>DT-503</t>
        </is>
      </c>
      <c r="E1582" s="156" t="inlineStr">
        <is>
          <t>OB</t>
        </is>
      </c>
      <c r="F1582" s="156" t="n">
        <v>4</v>
      </c>
      <c r="G1582" s="156" t="inlineStr"/>
      <c r="H1582" s="157">
        <f>IF($B1582="","",IF(ISNA(MATCH($B1582,MASTER_JAM!$Q$5:$Q$28,0)),"?",IF(MATCH($B1582,MASTER_JAM!$Q$5:$Q$28,0)&lt;=12,"DS","NS")))</f>
        <v/>
      </c>
      <c r="I1582" s="157">
        <f>IFERROR(INDEX(MASTER_JAM!$B$5:$B$94,MATCH($C1582,MASTER_JAM!$A$5:$A$94,0)),"")</f>
        <v/>
      </c>
      <c r="J1582" s="157">
        <f>IFERROR(INDEX(MASTER_JAM!$E$5:$E$94,MATCH($D1582,MASTER_JAM!$A$5:$A$94,0)),"")</f>
        <v/>
      </c>
      <c r="K1582" s="158">
        <f>IFERROR(INDEX(MASTER_JAM!$J$5:$O$12,MATCH($E1582,MASTER_JAM!$I$5:$I$12,0),MATCH($J1582,MASTER_JAM!$J$4:$O$4,0))+0,0)</f>
        <v/>
      </c>
      <c r="L1582" s="159">
        <f>N($F1582)*$K1582</f>
        <v/>
      </c>
      <c r="M1582" s="157">
        <f>IF($E1582="","",IF(OR($E1582="Coal",$E1582="Dirty Coal"),"MT","BCM"))</f>
        <v/>
      </c>
      <c r="N1582" s="157">
        <f>IF($E1582="","",IF(OR($E1582="Coal",$E1582="Dirty Coal"),"Coal","OB"))</f>
        <v/>
      </c>
      <c r="O1582" s="157">
        <f>IF($F1582="","",IF(COUNTIF(MASTER_JAM!$A$5:$A$94,$C1582)=0,"Digger tidak dikenal",IF($J1582="","Hauler tidak dikenal",IF($H1582="?","Jam salah",IF($K1582=0,"Faktor kosong",IF(SUMIFS(INPUT_DELAY!$E$5:$E$20000,INPUT_DELAY!$A$5:$A$20000,$A1582,INPUT_DELAY!$B$5:$B$20000,$B1582,INPUT_DELAY!$C$5:$C$20000,$C1582)+SUMIFS(INPUT_DELAY!$E$5:$E$20000,INPUT_DELAY!$A$5:$A$20000,$A1582,INPUT_DELAY!$B$5:$B$20000,$B1582,INPUT_DELAY!$C$5:$C$20000,"SEMUA")&gt;=60,"Delay 60 mnt tapi ada ritase","OK"))))))</f>
        <v/>
      </c>
      <c r="P1582" s="158">
        <f>IFERROR(INDEX(MASTER_JAM!$Z$5:$AC$10,MATCH($I1582,MASTER_JAM!$Y$5:$Y$10,0),MATCH($J1582,MASTER_JAM!$Z$4:$AC$4,0))+0,0)</f>
        <v/>
      </c>
      <c r="Q1582" s="158">
        <f>IF($P1582=0,0,$P1582+IFERROR(INDEX(MASTER_JAM!$H$5:$H$94,MATCH($C1582,MASTER_JAM!$A$5:$A$94,0))+0,MASTER_JAM!$AC$15)/1000*(60/MASTER_JAM!$AC$12+60/MASTER_JAM!$AC$13)+MASTER_JAM!$AC$14)</f>
        <v/>
      </c>
      <c r="R1582" s="158">
        <f>IF(N($F1582)=0,0,$F1582/SUMIFS(INPUT_RITASE!$F$5:$F$20000,INPUT_RITASE!$A$5:$A$20000,$A1582,INPUT_RITASE!$B$5:$B$20000,$B1582,INPUT_RITASE!$C$5:$C$20000,$C1582,INPUT_RITASE!$D$5:$D$20000,$D1582))</f>
        <v/>
      </c>
      <c r="S1582" s="158">
        <f>IF($Q1582=0,0,$R1582*$P1582/$Q1582)</f>
        <v/>
      </c>
    </row>
    <row r="1583">
      <c r="A1583" s="155" t="n">
        <v>46109</v>
      </c>
      <c r="B1583" s="156" t="inlineStr">
        <is>
          <t>04-05</t>
        </is>
      </c>
      <c r="C1583" s="156" t="inlineStr">
        <is>
          <t>EX-753</t>
        </is>
      </c>
      <c r="D1583" s="156" t="inlineStr">
        <is>
          <t>DT-501</t>
        </is>
      </c>
      <c r="E1583" s="156" t="inlineStr">
        <is>
          <t>OB</t>
        </is>
      </c>
      <c r="F1583" s="156" t="n">
        <v>4</v>
      </c>
      <c r="G1583" s="156" t="inlineStr"/>
      <c r="H1583" s="157">
        <f>IF($B1583="","",IF(ISNA(MATCH($B1583,MASTER_JAM!$Q$5:$Q$28,0)),"?",IF(MATCH($B1583,MASTER_JAM!$Q$5:$Q$28,0)&lt;=12,"DS","NS")))</f>
        <v/>
      </c>
      <c r="I1583" s="157">
        <f>IFERROR(INDEX(MASTER_JAM!$B$5:$B$94,MATCH($C1583,MASTER_JAM!$A$5:$A$94,0)),"")</f>
        <v/>
      </c>
      <c r="J1583" s="157">
        <f>IFERROR(INDEX(MASTER_JAM!$E$5:$E$94,MATCH($D1583,MASTER_JAM!$A$5:$A$94,0)),"")</f>
        <v/>
      </c>
      <c r="K1583" s="158">
        <f>IFERROR(INDEX(MASTER_JAM!$J$5:$O$12,MATCH($E1583,MASTER_JAM!$I$5:$I$12,0),MATCH($J1583,MASTER_JAM!$J$4:$O$4,0))+0,0)</f>
        <v/>
      </c>
      <c r="L1583" s="159">
        <f>N($F1583)*$K1583</f>
        <v/>
      </c>
      <c r="M1583" s="157">
        <f>IF($E1583="","",IF(OR($E1583="Coal",$E1583="Dirty Coal"),"MT","BCM"))</f>
        <v/>
      </c>
      <c r="N1583" s="157">
        <f>IF($E1583="","",IF(OR($E1583="Coal",$E1583="Dirty Coal"),"Coal","OB"))</f>
        <v/>
      </c>
      <c r="O1583" s="157">
        <f>IF($F1583="","",IF(COUNTIF(MASTER_JAM!$A$5:$A$94,$C1583)=0,"Digger tidak dikenal",IF($J1583="","Hauler tidak dikenal",IF($H1583="?","Jam salah",IF($K1583=0,"Faktor kosong",IF(SUMIFS(INPUT_DELAY!$E$5:$E$20000,INPUT_DELAY!$A$5:$A$20000,$A1583,INPUT_DELAY!$B$5:$B$20000,$B1583,INPUT_DELAY!$C$5:$C$20000,$C1583)+SUMIFS(INPUT_DELAY!$E$5:$E$20000,INPUT_DELAY!$A$5:$A$20000,$A1583,INPUT_DELAY!$B$5:$B$20000,$B1583,INPUT_DELAY!$C$5:$C$20000,"SEMUA")&gt;=60,"Delay 60 mnt tapi ada ritase","OK"))))))</f>
        <v/>
      </c>
      <c r="P1583" s="158">
        <f>IFERROR(INDEX(MASTER_JAM!$Z$5:$AC$10,MATCH($I1583,MASTER_JAM!$Y$5:$Y$10,0),MATCH($J1583,MASTER_JAM!$Z$4:$AC$4,0))+0,0)</f>
        <v/>
      </c>
      <c r="Q1583" s="158">
        <f>IF($P1583=0,0,$P1583+IFERROR(INDEX(MASTER_JAM!$H$5:$H$94,MATCH($C1583,MASTER_JAM!$A$5:$A$94,0))+0,MASTER_JAM!$AC$15)/1000*(60/MASTER_JAM!$AC$12+60/MASTER_JAM!$AC$13)+MASTER_JAM!$AC$14)</f>
        <v/>
      </c>
      <c r="R1583" s="158">
        <f>IF(N($F1583)=0,0,$F1583/SUMIFS(INPUT_RITASE!$F$5:$F$20000,INPUT_RITASE!$A$5:$A$20000,$A1583,INPUT_RITASE!$B$5:$B$20000,$B1583,INPUT_RITASE!$C$5:$C$20000,$C1583,INPUT_RITASE!$D$5:$D$20000,$D1583))</f>
        <v/>
      </c>
      <c r="S1583" s="158">
        <f>IF($Q1583=0,0,$R1583*$P1583/$Q1583)</f>
        <v/>
      </c>
    </row>
    <row r="1584">
      <c r="A1584" s="155" t="n">
        <v>46109</v>
      </c>
      <c r="B1584" s="156" t="inlineStr">
        <is>
          <t>04-05</t>
        </is>
      </c>
      <c r="C1584" s="156" t="inlineStr">
        <is>
          <t>EX-753</t>
        </is>
      </c>
      <c r="D1584" s="156" t="inlineStr">
        <is>
          <t>DT-529</t>
        </is>
      </c>
      <c r="E1584" s="156" t="inlineStr">
        <is>
          <t>OB</t>
        </is>
      </c>
      <c r="F1584" s="156" t="n">
        <v>4</v>
      </c>
      <c r="G1584" s="156" t="inlineStr"/>
      <c r="H1584" s="157">
        <f>IF($B1584="","",IF(ISNA(MATCH($B1584,MASTER_JAM!$Q$5:$Q$28,0)),"?",IF(MATCH($B1584,MASTER_JAM!$Q$5:$Q$28,0)&lt;=12,"DS","NS")))</f>
        <v/>
      </c>
      <c r="I1584" s="157">
        <f>IFERROR(INDEX(MASTER_JAM!$B$5:$B$94,MATCH($C1584,MASTER_JAM!$A$5:$A$94,0)),"")</f>
        <v/>
      </c>
      <c r="J1584" s="157">
        <f>IFERROR(INDEX(MASTER_JAM!$E$5:$E$94,MATCH($D1584,MASTER_JAM!$A$5:$A$94,0)),"")</f>
        <v/>
      </c>
      <c r="K1584" s="158">
        <f>IFERROR(INDEX(MASTER_JAM!$J$5:$O$12,MATCH($E1584,MASTER_JAM!$I$5:$I$12,0),MATCH($J1584,MASTER_JAM!$J$4:$O$4,0))+0,0)</f>
        <v/>
      </c>
      <c r="L1584" s="159">
        <f>N($F1584)*$K1584</f>
        <v/>
      </c>
      <c r="M1584" s="157">
        <f>IF($E1584="","",IF(OR($E1584="Coal",$E1584="Dirty Coal"),"MT","BCM"))</f>
        <v/>
      </c>
      <c r="N1584" s="157">
        <f>IF($E1584="","",IF(OR($E1584="Coal",$E1584="Dirty Coal"),"Coal","OB"))</f>
        <v/>
      </c>
      <c r="O1584" s="157">
        <f>IF($F1584="","",IF(COUNTIF(MASTER_JAM!$A$5:$A$94,$C1584)=0,"Digger tidak dikenal",IF($J1584="","Hauler tidak dikenal",IF($H1584="?","Jam salah",IF($K1584=0,"Faktor kosong",IF(SUMIFS(INPUT_DELAY!$E$5:$E$20000,INPUT_DELAY!$A$5:$A$20000,$A1584,INPUT_DELAY!$B$5:$B$20000,$B1584,INPUT_DELAY!$C$5:$C$20000,$C1584)+SUMIFS(INPUT_DELAY!$E$5:$E$20000,INPUT_DELAY!$A$5:$A$20000,$A1584,INPUT_DELAY!$B$5:$B$20000,$B1584,INPUT_DELAY!$C$5:$C$20000,"SEMUA")&gt;=60,"Delay 60 mnt tapi ada ritase","OK"))))))</f>
        <v/>
      </c>
      <c r="P1584" s="158">
        <f>IFERROR(INDEX(MASTER_JAM!$Z$5:$AC$10,MATCH($I1584,MASTER_JAM!$Y$5:$Y$10,0),MATCH($J1584,MASTER_JAM!$Z$4:$AC$4,0))+0,0)</f>
        <v/>
      </c>
      <c r="Q1584" s="158">
        <f>IF($P1584=0,0,$P1584+IFERROR(INDEX(MASTER_JAM!$H$5:$H$94,MATCH($C1584,MASTER_JAM!$A$5:$A$94,0))+0,MASTER_JAM!$AC$15)/1000*(60/MASTER_JAM!$AC$12+60/MASTER_JAM!$AC$13)+MASTER_JAM!$AC$14)</f>
        <v/>
      </c>
      <c r="R1584" s="158">
        <f>IF(N($F1584)=0,0,$F1584/SUMIFS(INPUT_RITASE!$F$5:$F$20000,INPUT_RITASE!$A$5:$A$20000,$A1584,INPUT_RITASE!$B$5:$B$20000,$B1584,INPUT_RITASE!$C$5:$C$20000,$C1584,INPUT_RITASE!$D$5:$D$20000,$D1584))</f>
        <v/>
      </c>
      <c r="S1584" s="158">
        <f>IF($Q1584=0,0,$R1584*$P1584/$Q1584)</f>
        <v/>
      </c>
    </row>
    <row r="1585">
      <c r="A1585" s="155" t="n">
        <v>46109</v>
      </c>
      <c r="B1585" s="156" t="inlineStr">
        <is>
          <t>05-06</t>
        </is>
      </c>
      <c r="C1585" s="156" t="inlineStr">
        <is>
          <t>EX-753</t>
        </is>
      </c>
      <c r="D1585" s="156" t="inlineStr">
        <is>
          <t>DT-502</t>
        </is>
      </c>
      <c r="E1585" s="156" t="inlineStr">
        <is>
          <t>OB</t>
        </is>
      </c>
      <c r="F1585" s="156" t="n">
        <v>3</v>
      </c>
      <c r="G1585" s="156" t="inlineStr"/>
      <c r="H1585" s="157">
        <f>IF($B1585="","",IF(ISNA(MATCH($B1585,MASTER_JAM!$Q$5:$Q$28,0)),"?",IF(MATCH($B1585,MASTER_JAM!$Q$5:$Q$28,0)&lt;=12,"DS","NS")))</f>
        <v/>
      </c>
      <c r="I1585" s="157">
        <f>IFERROR(INDEX(MASTER_JAM!$B$5:$B$94,MATCH($C1585,MASTER_JAM!$A$5:$A$94,0)),"")</f>
        <v/>
      </c>
      <c r="J1585" s="157">
        <f>IFERROR(INDEX(MASTER_JAM!$E$5:$E$94,MATCH($D1585,MASTER_JAM!$A$5:$A$94,0)),"")</f>
        <v/>
      </c>
      <c r="K1585" s="158">
        <f>IFERROR(INDEX(MASTER_JAM!$J$5:$O$12,MATCH($E1585,MASTER_JAM!$I$5:$I$12,0),MATCH($J1585,MASTER_JAM!$J$4:$O$4,0))+0,0)</f>
        <v/>
      </c>
      <c r="L1585" s="159">
        <f>N($F1585)*$K1585</f>
        <v/>
      </c>
      <c r="M1585" s="157">
        <f>IF($E1585="","",IF(OR($E1585="Coal",$E1585="Dirty Coal"),"MT","BCM"))</f>
        <v/>
      </c>
      <c r="N1585" s="157">
        <f>IF($E1585="","",IF(OR($E1585="Coal",$E1585="Dirty Coal"),"Coal","OB"))</f>
        <v/>
      </c>
      <c r="O1585" s="157">
        <f>IF($F1585="","",IF(COUNTIF(MASTER_JAM!$A$5:$A$94,$C1585)=0,"Digger tidak dikenal",IF($J1585="","Hauler tidak dikenal",IF($H1585="?","Jam salah",IF($K1585=0,"Faktor kosong",IF(SUMIFS(INPUT_DELAY!$E$5:$E$20000,INPUT_DELAY!$A$5:$A$20000,$A1585,INPUT_DELAY!$B$5:$B$20000,$B1585,INPUT_DELAY!$C$5:$C$20000,$C1585)+SUMIFS(INPUT_DELAY!$E$5:$E$20000,INPUT_DELAY!$A$5:$A$20000,$A1585,INPUT_DELAY!$B$5:$B$20000,$B1585,INPUT_DELAY!$C$5:$C$20000,"SEMUA")&gt;=60,"Delay 60 mnt tapi ada ritase","OK"))))))</f>
        <v/>
      </c>
      <c r="P1585" s="158">
        <f>IFERROR(INDEX(MASTER_JAM!$Z$5:$AC$10,MATCH($I1585,MASTER_JAM!$Y$5:$Y$10,0),MATCH($J1585,MASTER_JAM!$Z$4:$AC$4,0))+0,0)</f>
        <v/>
      </c>
      <c r="Q1585" s="158">
        <f>IF($P1585=0,0,$P1585+IFERROR(INDEX(MASTER_JAM!$H$5:$H$94,MATCH($C1585,MASTER_JAM!$A$5:$A$94,0))+0,MASTER_JAM!$AC$15)/1000*(60/MASTER_JAM!$AC$12+60/MASTER_JAM!$AC$13)+MASTER_JAM!$AC$14)</f>
        <v/>
      </c>
      <c r="R1585" s="158">
        <f>IF(N($F1585)=0,0,$F1585/SUMIFS(INPUT_RITASE!$F$5:$F$20000,INPUT_RITASE!$A$5:$A$20000,$A1585,INPUT_RITASE!$B$5:$B$20000,$B1585,INPUT_RITASE!$C$5:$C$20000,$C1585,INPUT_RITASE!$D$5:$D$20000,$D1585))</f>
        <v/>
      </c>
      <c r="S1585" s="158">
        <f>IF($Q1585=0,0,$R1585*$P1585/$Q1585)</f>
        <v/>
      </c>
    </row>
    <row r="1586">
      <c r="A1586" s="155" t="n">
        <v>46109</v>
      </c>
      <c r="B1586" s="156" t="inlineStr">
        <is>
          <t>05-06</t>
        </is>
      </c>
      <c r="C1586" s="156" t="inlineStr">
        <is>
          <t>EX-753</t>
        </is>
      </c>
      <c r="D1586" s="156" t="inlineStr">
        <is>
          <t>DT-521</t>
        </is>
      </c>
      <c r="E1586" s="156" t="inlineStr">
        <is>
          <t>OB</t>
        </is>
      </c>
      <c r="F1586" s="156" t="n">
        <v>3</v>
      </c>
      <c r="G1586" s="156" t="inlineStr"/>
      <c r="H1586" s="157">
        <f>IF($B1586="","",IF(ISNA(MATCH($B1586,MASTER_JAM!$Q$5:$Q$28,0)),"?",IF(MATCH($B1586,MASTER_JAM!$Q$5:$Q$28,0)&lt;=12,"DS","NS")))</f>
        <v/>
      </c>
      <c r="I1586" s="157">
        <f>IFERROR(INDEX(MASTER_JAM!$B$5:$B$94,MATCH($C1586,MASTER_JAM!$A$5:$A$94,0)),"")</f>
        <v/>
      </c>
      <c r="J1586" s="157">
        <f>IFERROR(INDEX(MASTER_JAM!$E$5:$E$94,MATCH($D1586,MASTER_JAM!$A$5:$A$94,0)),"")</f>
        <v/>
      </c>
      <c r="K1586" s="158">
        <f>IFERROR(INDEX(MASTER_JAM!$J$5:$O$12,MATCH($E1586,MASTER_JAM!$I$5:$I$12,0),MATCH($J1586,MASTER_JAM!$J$4:$O$4,0))+0,0)</f>
        <v/>
      </c>
      <c r="L1586" s="159">
        <f>N($F1586)*$K1586</f>
        <v/>
      </c>
      <c r="M1586" s="157">
        <f>IF($E1586="","",IF(OR($E1586="Coal",$E1586="Dirty Coal"),"MT","BCM"))</f>
        <v/>
      </c>
      <c r="N1586" s="157">
        <f>IF($E1586="","",IF(OR($E1586="Coal",$E1586="Dirty Coal"),"Coal","OB"))</f>
        <v/>
      </c>
      <c r="O1586" s="157">
        <f>IF($F1586="","",IF(COUNTIF(MASTER_JAM!$A$5:$A$94,$C1586)=0,"Digger tidak dikenal",IF($J1586="","Hauler tidak dikenal",IF($H1586="?","Jam salah",IF($K1586=0,"Faktor kosong",IF(SUMIFS(INPUT_DELAY!$E$5:$E$20000,INPUT_DELAY!$A$5:$A$20000,$A1586,INPUT_DELAY!$B$5:$B$20000,$B1586,INPUT_DELAY!$C$5:$C$20000,$C1586)+SUMIFS(INPUT_DELAY!$E$5:$E$20000,INPUT_DELAY!$A$5:$A$20000,$A1586,INPUT_DELAY!$B$5:$B$20000,$B1586,INPUT_DELAY!$C$5:$C$20000,"SEMUA")&gt;=60,"Delay 60 mnt tapi ada ritase","OK"))))))</f>
        <v/>
      </c>
      <c r="P1586" s="158">
        <f>IFERROR(INDEX(MASTER_JAM!$Z$5:$AC$10,MATCH($I1586,MASTER_JAM!$Y$5:$Y$10,0),MATCH($J1586,MASTER_JAM!$Z$4:$AC$4,0))+0,0)</f>
        <v/>
      </c>
      <c r="Q1586" s="158">
        <f>IF($P1586=0,0,$P1586+IFERROR(INDEX(MASTER_JAM!$H$5:$H$94,MATCH($C1586,MASTER_JAM!$A$5:$A$94,0))+0,MASTER_JAM!$AC$15)/1000*(60/MASTER_JAM!$AC$12+60/MASTER_JAM!$AC$13)+MASTER_JAM!$AC$14)</f>
        <v/>
      </c>
      <c r="R1586" s="158">
        <f>IF(N($F1586)=0,0,$F1586/SUMIFS(INPUT_RITASE!$F$5:$F$20000,INPUT_RITASE!$A$5:$A$20000,$A1586,INPUT_RITASE!$B$5:$B$20000,$B1586,INPUT_RITASE!$C$5:$C$20000,$C1586,INPUT_RITASE!$D$5:$D$20000,$D1586))</f>
        <v/>
      </c>
      <c r="S1586" s="158">
        <f>IF($Q1586=0,0,$R1586*$P1586/$Q1586)</f>
        <v/>
      </c>
    </row>
    <row r="1587">
      <c r="A1587" s="155" t="n">
        <v>46110</v>
      </c>
      <c r="B1587" s="156" t="inlineStr">
        <is>
          <t>06-07</t>
        </is>
      </c>
      <c r="C1587" s="156" t="inlineStr">
        <is>
          <t>EX-1252</t>
        </is>
      </c>
      <c r="D1587" s="156" t="inlineStr">
        <is>
          <t>HD-901</t>
        </is>
      </c>
      <c r="E1587" s="156" t="inlineStr">
        <is>
          <t>OB</t>
        </is>
      </c>
      <c r="F1587" s="156" t="n">
        <v>4</v>
      </c>
      <c r="G1587" s="156" t="inlineStr"/>
      <c r="H1587" s="157">
        <f>IF($B1587="","",IF(ISNA(MATCH($B1587,MASTER_JAM!$Q$5:$Q$28,0)),"?",IF(MATCH($B1587,MASTER_JAM!$Q$5:$Q$28,0)&lt;=12,"DS","NS")))</f>
        <v/>
      </c>
      <c r="I1587" s="157">
        <f>IFERROR(INDEX(MASTER_JAM!$B$5:$B$94,MATCH($C1587,MASTER_JAM!$A$5:$A$94,0)),"")</f>
        <v/>
      </c>
      <c r="J1587" s="157">
        <f>IFERROR(INDEX(MASTER_JAM!$E$5:$E$94,MATCH($D1587,MASTER_JAM!$A$5:$A$94,0)),"")</f>
        <v/>
      </c>
      <c r="K1587" s="158">
        <f>IFERROR(INDEX(MASTER_JAM!$J$5:$O$12,MATCH($E1587,MASTER_JAM!$I$5:$I$12,0),MATCH($J1587,MASTER_JAM!$J$4:$O$4,0))+0,0)</f>
        <v/>
      </c>
      <c r="L1587" s="159">
        <f>N($F1587)*$K1587</f>
        <v/>
      </c>
      <c r="M1587" s="157">
        <f>IF($E1587="","",IF(OR($E1587="Coal",$E1587="Dirty Coal"),"MT","BCM"))</f>
        <v/>
      </c>
      <c r="N1587" s="157">
        <f>IF($E1587="","",IF(OR($E1587="Coal",$E1587="Dirty Coal"),"Coal","OB"))</f>
        <v/>
      </c>
      <c r="O1587" s="157">
        <f>IF($F1587="","",IF(COUNTIF(MASTER_JAM!$A$5:$A$94,$C1587)=0,"Digger tidak dikenal",IF($J1587="","Hauler tidak dikenal",IF($H1587="?","Jam salah",IF($K1587=0,"Faktor kosong",IF(SUMIFS(INPUT_DELAY!$E$5:$E$20000,INPUT_DELAY!$A$5:$A$20000,$A1587,INPUT_DELAY!$B$5:$B$20000,$B1587,INPUT_DELAY!$C$5:$C$20000,$C1587)+SUMIFS(INPUT_DELAY!$E$5:$E$20000,INPUT_DELAY!$A$5:$A$20000,$A1587,INPUT_DELAY!$B$5:$B$20000,$B1587,INPUT_DELAY!$C$5:$C$20000,"SEMUA")&gt;=60,"Delay 60 mnt tapi ada ritase","OK"))))))</f>
        <v/>
      </c>
      <c r="P1587" s="158">
        <f>IFERROR(INDEX(MASTER_JAM!$Z$5:$AC$10,MATCH($I1587,MASTER_JAM!$Y$5:$Y$10,0),MATCH($J1587,MASTER_JAM!$Z$4:$AC$4,0))+0,0)</f>
        <v/>
      </c>
      <c r="Q1587" s="158">
        <f>IF($P1587=0,0,$P1587+IFERROR(INDEX(MASTER_JAM!$H$5:$H$94,MATCH($C1587,MASTER_JAM!$A$5:$A$94,0))+0,MASTER_JAM!$AC$15)/1000*(60/MASTER_JAM!$AC$12+60/MASTER_JAM!$AC$13)+MASTER_JAM!$AC$14)</f>
        <v/>
      </c>
      <c r="R1587" s="158">
        <f>IF(N($F1587)=0,0,$F1587/SUMIFS(INPUT_RITASE!$F$5:$F$20000,INPUT_RITASE!$A$5:$A$20000,$A1587,INPUT_RITASE!$B$5:$B$20000,$B1587,INPUT_RITASE!$C$5:$C$20000,$C1587,INPUT_RITASE!$D$5:$D$20000,$D1587))</f>
        <v/>
      </c>
      <c r="S1587" s="158">
        <f>IF($Q1587=0,0,$R1587*$P1587/$Q1587)</f>
        <v/>
      </c>
    </row>
    <row r="1588">
      <c r="A1588" s="155" t="n">
        <v>46110</v>
      </c>
      <c r="B1588" s="156" t="inlineStr">
        <is>
          <t>06-07</t>
        </is>
      </c>
      <c r="C1588" s="156" t="inlineStr">
        <is>
          <t>EX-1252</t>
        </is>
      </c>
      <c r="D1588" s="156" t="inlineStr">
        <is>
          <t>HD-905</t>
        </is>
      </c>
      <c r="E1588" s="156" t="inlineStr">
        <is>
          <t>OB</t>
        </is>
      </c>
      <c r="F1588" s="156" t="n">
        <v>4</v>
      </c>
      <c r="G1588" s="156" t="inlineStr"/>
      <c r="H1588" s="157">
        <f>IF($B1588="","",IF(ISNA(MATCH($B1588,MASTER_JAM!$Q$5:$Q$28,0)),"?",IF(MATCH($B1588,MASTER_JAM!$Q$5:$Q$28,0)&lt;=12,"DS","NS")))</f>
        <v/>
      </c>
      <c r="I1588" s="157">
        <f>IFERROR(INDEX(MASTER_JAM!$B$5:$B$94,MATCH($C1588,MASTER_JAM!$A$5:$A$94,0)),"")</f>
        <v/>
      </c>
      <c r="J1588" s="157">
        <f>IFERROR(INDEX(MASTER_JAM!$E$5:$E$94,MATCH($D1588,MASTER_JAM!$A$5:$A$94,0)),"")</f>
        <v/>
      </c>
      <c r="K1588" s="158">
        <f>IFERROR(INDEX(MASTER_JAM!$J$5:$O$12,MATCH($E1588,MASTER_JAM!$I$5:$I$12,0),MATCH($J1588,MASTER_JAM!$J$4:$O$4,0))+0,0)</f>
        <v/>
      </c>
      <c r="L1588" s="159">
        <f>N($F1588)*$K1588</f>
        <v/>
      </c>
      <c r="M1588" s="157">
        <f>IF($E1588="","",IF(OR($E1588="Coal",$E1588="Dirty Coal"),"MT","BCM"))</f>
        <v/>
      </c>
      <c r="N1588" s="157">
        <f>IF($E1588="","",IF(OR($E1588="Coal",$E1588="Dirty Coal"),"Coal","OB"))</f>
        <v/>
      </c>
      <c r="O1588" s="157">
        <f>IF($F1588="","",IF(COUNTIF(MASTER_JAM!$A$5:$A$94,$C1588)=0,"Digger tidak dikenal",IF($J1588="","Hauler tidak dikenal",IF($H1588="?","Jam salah",IF($K1588=0,"Faktor kosong",IF(SUMIFS(INPUT_DELAY!$E$5:$E$20000,INPUT_DELAY!$A$5:$A$20000,$A1588,INPUT_DELAY!$B$5:$B$20000,$B1588,INPUT_DELAY!$C$5:$C$20000,$C1588)+SUMIFS(INPUT_DELAY!$E$5:$E$20000,INPUT_DELAY!$A$5:$A$20000,$A1588,INPUT_DELAY!$B$5:$B$20000,$B1588,INPUT_DELAY!$C$5:$C$20000,"SEMUA")&gt;=60,"Delay 60 mnt tapi ada ritase","OK"))))))</f>
        <v/>
      </c>
      <c r="P1588" s="158">
        <f>IFERROR(INDEX(MASTER_JAM!$Z$5:$AC$10,MATCH($I1588,MASTER_JAM!$Y$5:$Y$10,0),MATCH($J1588,MASTER_JAM!$Z$4:$AC$4,0))+0,0)</f>
        <v/>
      </c>
      <c r="Q1588" s="158">
        <f>IF($P1588=0,0,$P1588+IFERROR(INDEX(MASTER_JAM!$H$5:$H$94,MATCH($C1588,MASTER_JAM!$A$5:$A$94,0))+0,MASTER_JAM!$AC$15)/1000*(60/MASTER_JAM!$AC$12+60/MASTER_JAM!$AC$13)+MASTER_JAM!$AC$14)</f>
        <v/>
      </c>
      <c r="R1588" s="158">
        <f>IF(N($F1588)=0,0,$F1588/SUMIFS(INPUT_RITASE!$F$5:$F$20000,INPUT_RITASE!$A$5:$A$20000,$A1588,INPUT_RITASE!$B$5:$B$20000,$B1588,INPUT_RITASE!$C$5:$C$20000,$C1588,INPUT_RITASE!$D$5:$D$20000,$D1588))</f>
        <v/>
      </c>
      <c r="S1588" s="158">
        <f>IF($Q1588=0,0,$R1588*$P1588/$Q1588)</f>
        <v/>
      </c>
    </row>
    <row r="1589">
      <c r="A1589" s="155" t="n">
        <v>46110</v>
      </c>
      <c r="B1589" s="156" t="inlineStr">
        <is>
          <t>06-07</t>
        </is>
      </c>
      <c r="C1589" s="156" t="inlineStr">
        <is>
          <t>EX-1252</t>
        </is>
      </c>
      <c r="D1589" s="156" t="inlineStr">
        <is>
          <t>HD-902</t>
        </is>
      </c>
      <c r="E1589" s="156" t="inlineStr">
        <is>
          <t>OB</t>
        </is>
      </c>
      <c r="F1589" s="156" t="n">
        <v>4</v>
      </c>
      <c r="G1589" s="156" t="inlineStr"/>
      <c r="H1589" s="157">
        <f>IF($B1589="","",IF(ISNA(MATCH($B1589,MASTER_JAM!$Q$5:$Q$28,0)),"?",IF(MATCH($B1589,MASTER_JAM!$Q$5:$Q$28,0)&lt;=12,"DS","NS")))</f>
        <v/>
      </c>
      <c r="I1589" s="157">
        <f>IFERROR(INDEX(MASTER_JAM!$B$5:$B$94,MATCH($C1589,MASTER_JAM!$A$5:$A$94,0)),"")</f>
        <v/>
      </c>
      <c r="J1589" s="157">
        <f>IFERROR(INDEX(MASTER_JAM!$E$5:$E$94,MATCH($D1589,MASTER_JAM!$A$5:$A$94,0)),"")</f>
        <v/>
      </c>
      <c r="K1589" s="158">
        <f>IFERROR(INDEX(MASTER_JAM!$J$5:$O$12,MATCH($E1589,MASTER_JAM!$I$5:$I$12,0),MATCH($J1589,MASTER_JAM!$J$4:$O$4,0))+0,0)</f>
        <v/>
      </c>
      <c r="L1589" s="159">
        <f>N($F1589)*$K1589</f>
        <v/>
      </c>
      <c r="M1589" s="157">
        <f>IF($E1589="","",IF(OR($E1589="Coal",$E1589="Dirty Coal"),"MT","BCM"))</f>
        <v/>
      </c>
      <c r="N1589" s="157">
        <f>IF($E1589="","",IF(OR($E1589="Coal",$E1589="Dirty Coal"),"Coal","OB"))</f>
        <v/>
      </c>
      <c r="O1589" s="157">
        <f>IF($F1589="","",IF(COUNTIF(MASTER_JAM!$A$5:$A$94,$C1589)=0,"Digger tidak dikenal",IF($J1589="","Hauler tidak dikenal",IF($H1589="?","Jam salah",IF($K1589=0,"Faktor kosong",IF(SUMIFS(INPUT_DELAY!$E$5:$E$20000,INPUT_DELAY!$A$5:$A$20000,$A1589,INPUT_DELAY!$B$5:$B$20000,$B1589,INPUT_DELAY!$C$5:$C$20000,$C1589)+SUMIFS(INPUT_DELAY!$E$5:$E$20000,INPUT_DELAY!$A$5:$A$20000,$A1589,INPUT_DELAY!$B$5:$B$20000,$B1589,INPUT_DELAY!$C$5:$C$20000,"SEMUA")&gt;=60,"Delay 60 mnt tapi ada ritase","OK"))))))</f>
        <v/>
      </c>
      <c r="P1589" s="158">
        <f>IFERROR(INDEX(MASTER_JAM!$Z$5:$AC$10,MATCH($I1589,MASTER_JAM!$Y$5:$Y$10,0),MATCH($J1589,MASTER_JAM!$Z$4:$AC$4,0))+0,0)</f>
        <v/>
      </c>
      <c r="Q1589" s="158">
        <f>IF($P1589=0,0,$P1589+IFERROR(INDEX(MASTER_JAM!$H$5:$H$94,MATCH($C1589,MASTER_JAM!$A$5:$A$94,0))+0,MASTER_JAM!$AC$15)/1000*(60/MASTER_JAM!$AC$12+60/MASTER_JAM!$AC$13)+MASTER_JAM!$AC$14)</f>
        <v/>
      </c>
      <c r="R1589" s="158">
        <f>IF(N($F1589)=0,0,$F1589/SUMIFS(INPUT_RITASE!$F$5:$F$20000,INPUT_RITASE!$A$5:$A$20000,$A1589,INPUT_RITASE!$B$5:$B$20000,$B1589,INPUT_RITASE!$C$5:$C$20000,$C1589,INPUT_RITASE!$D$5:$D$20000,$D1589))</f>
        <v/>
      </c>
      <c r="S1589" s="158">
        <f>IF($Q1589=0,0,$R1589*$P1589/$Q1589)</f>
        <v/>
      </c>
    </row>
    <row r="1590">
      <c r="A1590" s="155" t="n">
        <v>46110</v>
      </c>
      <c r="B1590" s="156" t="inlineStr">
        <is>
          <t>06-07</t>
        </is>
      </c>
      <c r="C1590" s="156" t="inlineStr">
        <is>
          <t>EX-1252</t>
        </is>
      </c>
      <c r="D1590" s="156" t="inlineStr">
        <is>
          <t>DT-508</t>
        </is>
      </c>
      <c r="E1590" s="156" t="inlineStr">
        <is>
          <t>OB</t>
        </is>
      </c>
      <c r="F1590" s="156" t="n">
        <v>4</v>
      </c>
      <c r="G1590" s="156" t="inlineStr"/>
      <c r="H1590" s="157">
        <f>IF($B1590="","",IF(ISNA(MATCH($B1590,MASTER_JAM!$Q$5:$Q$28,0)),"?",IF(MATCH($B1590,MASTER_JAM!$Q$5:$Q$28,0)&lt;=12,"DS","NS")))</f>
        <v/>
      </c>
      <c r="I1590" s="157">
        <f>IFERROR(INDEX(MASTER_JAM!$B$5:$B$94,MATCH($C1590,MASTER_JAM!$A$5:$A$94,0)),"")</f>
        <v/>
      </c>
      <c r="J1590" s="157">
        <f>IFERROR(INDEX(MASTER_JAM!$E$5:$E$94,MATCH($D1590,MASTER_JAM!$A$5:$A$94,0)),"")</f>
        <v/>
      </c>
      <c r="K1590" s="158">
        <f>IFERROR(INDEX(MASTER_JAM!$J$5:$O$12,MATCH($E1590,MASTER_JAM!$I$5:$I$12,0),MATCH($J1590,MASTER_JAM!$J$4:$O$4,0))+0,0)</f>
        <v/>
      </c>
      <c r="L1590" s="159">
        <f>N($F1590)*$K1590</f>
        <v/>
      </c>
      <c r="M1590" s="157">
        <f>IF($E1590="","",IF(OR($E1590="Coal",$E1590="Dirty Coal"),"MT","BCM"))</f>
        <v/>
      </c>
      <c r="N1590" s="157">
        <f>IF($E1590="","",IF(OR($E1590="Coal",$E1590="Dirty Coal"),"Coal","OB"))</f>
        <v/>
      </c>
      <c r="O1590" s="157">
        <f>IF($F1590="","",IF(COUNTIF(MASTER_JAM!$A$5:$A$94,$C1590)=0,"Digger tidak dikenal",IF($J1590="","Hauler tidak dikenal",IF($H1590="?","Jam salah",IF($K1590=0,"Faktor kosong",IF(SUMIFS(INPUT_DELAY!$E$5:$E$20000,INPUT_DELAY!$A$5:$A$20000,$A1590,INPUT_DELAY!$B$5:$B$20000,$B1590,INPUT_DELAY!$C$5:$C$20000,$C1590)+SUMIFS(INPUT_DELAY!$E$5:$E$20000,INPUT_DELAY!$A$5:$A$20000,$A1590,INPUT_DELAY!$B$5:$B$20000,$B1590,INPUT_DELAY!$C$5:$C$20000,"SEMUA")&gt;=60,"Delay 60 mnt tapi ada ritase","OK"))))))</f>
        <v/>
      </c>
      <c r="P1590" s="158">
        <f>IFERROR(INDEX(MASTER_JAM!$Z$5:$AC$10,MATCH($I1590,MASTER_JAM!$Y$5:$Y$10,0),MATCH($J1590,MASTER_JAM!$Z$4:$AC$4,0))+0,0)</f>
        <v/>
      </c>
      <c r="Q1590" s="158">
        <f>IF($P1590=0,0,$P1590+IFERROR(INDEX(MASTER_JAM!$H$5:$H$94,MATCH($C1590,MASTER_JAM!$A$5:$A$94,0))+0,MASTER_JAM!$AC$15)/1000*(60/MASTER_JAM!$AC$12+60/MASTER_JAM!$AC$13)+MASTER_JAM!$AC$14)</f>
        <v/>
      </c>
      <c r="R1590" s="158">
        <f>IF(N($F1590)=0,0,$F1590/SUMIFS(INPUT_RITASE!$F$5:$F$20000,INPUT_RITASE!$A$5:$A$20000,$A1590,INPUT_RITASE!$B$5:$B$20000,$B1590,INPUT_RITASE!$C$5:$C$20000,$C1590,INPUT_RITASE!$D$5:$D$20000,$D1590))</f>
        <v/>
      </c>
      <c r="S1590" s="158">
        <f>IF($Q1590=0,0,$R1590*$P1590/$Q1590)</f>
        <v/>
      </c>
    </row>
    <row r="1591">
      <c r="A1591" s="155" t="n">
        <v>46110</v>
      </c>
      <c r="B1591" s="156" t="inlineStr">
        <is>
          <t>07-08</t>
        </is>
      </c>
      <c r="C1591" s="156" t="inlineStr">
        <is>
          <t>EX-1252</t>
        </is>
      </c>
      <c r="D1591" s="156" t="inlineStr">
        <is>
          <t>HD-902</t>
        </is>
      </c>
      <c r="E1591" s="156" t="inlineStr">
        <is>
          <t>OB</t>
        </is>
      </c>
      <c r="F1591" s="156" t="n">
        <v>4</v>
      </c>
      <c r="G1591" s="156" t="inlineStr"/>
      <c r="H1591" s="157">
        <f>IF($B1591="","",IF(ISNA(MATCH($B1591,MASTER_JAM!$Q$5:$Q$28,0)),"?",IF(MATCH($B1591,MASTER_JAM!$Q$5:$Q$28,0)&lt;=12,"DS","NS")))</f>
        <v/>
      </c>
      <c r="I1591" s="157">
        <f>IFERROR(INDEX(MASTER_JAM!$B$5:$B$94,MATCH($C1591,MASTER_JAM!$A$5:$A$94,0)),"")</f>
        <v/>
      </c>
      <c r="J1591" s="157">
        <f>IFERROR(INDEX(MASTER_JAM!$E$5:$E$94,MATCH($D1591,MASTER_JAM!$A$5:$A$94,0)),"")</f>
        <v/>
      </c>
      <c r="K1591" s="158">
        <f>IFERROR(INDEX(MASTER_JAM!$J$5:$O$12,MATCH($E1591,MASTER_JAM!$I$5:$I$12,0),MATCH($J1591,MASTER_JAM!$J$4:$O$4,0))+0,0)</f>
        <v/>
      </c>
      <c r="L1591" s="159">
        <f>N($F1591)*$K1591</f>
        <v/>
      </c>
      <c r="M1591" s="157">
        <f>IF($E1591="","",IF(OR($E1591="Coal",$E1591="Dirty Coal"),"MT","BCM"))</f>
        <v/>
      </c>
      <c r="N1591" s="157">
        <f>IF($E1591="","",IF(OR($E1591="Coal",$E1591="Dirty Coal"),"Coal","OB"))</f>
        <v/>
      </c>
      <c r="O1591" s="157">
        <f>IF($F1591="","",IF(COUNTIF(MASTER_JAM!$A$5:$A$94,$C1591)=0,"Digger tidak dikenal",IF($J1591="","Hauler tidak dikenal",IF($H1591="?","Jam salah",IF($K1591=0,"Faktor kosong",IF(SUMIFS(INPUT_DELAY!$E$5:$E$20000,INPUT_DELAY!$A$5:$A$20000,$A1591,INPUT_DELAY!$B$5:$B$20000,$B1591,INPUT_DELAY!$C$5:$C$20000,$C1591)+SUMIFS(INPUT_DELAY!$E$5:$E$20000,INPUT_DELAY!$A$5:$A$20000,$A1591,INPUT_DELAY!$B$5:$B$20000,$B1591,INPUT_DELAY!$C$5:$C$20000,"SEMUA")&gt;=60,"Delay 60 mnt tapi ada ritase","OK"))))))</f>
        <v/>
      </c>
      <c r="P1591" s="158">
        <f>IFERROR(INDEX(MASTER_JAM!$Z$5:$AC$10,MATCH($I1591,MASTER_JAM!$Y$5:$Y$10,0),MATCH($J1591,MASTER_JAM!$Z$4:$AC$4,0))+0,0)</f>
        <v/>
      </c>
      <c r="Q1591" s="158">
        <f>IF($P1591=0,0,$P1591+IFERROR(INDEX(MASTER_JAM!$H$5:$H$94,MATCH($C1591,MASTER_JAM!$A$5:$A$94,0))+0,MASTER_JAM!$AC$15)/1000*(60/MASTER_JAM!$AC$12+60/MASTER_JAM!$AC$13)+MASTER_JAM!$AC$14)</f>
        <v/>
      </c>
      <c r="R1591" s="158">
        <f>IF(N($F1591)=0,0,$F1591/SUMIFS(INPUT_RITASE!$F$5:$F$20000,INPUT_RITASE!$A$5:$A$20000,$A1591,INPUT_RITASE!$B$5:$B$20000,$B1591,INPUT_RITASE!$C$5:$C$20000,$C1591,INPUT_RITASE!$D$5:$D$20000,$D1591))</f>
        <v/>
      </c>
      <c r="S1591" s="158">
        <f>IF($Q1591=0,0,$R1591*$P1591/$Q1591)</f>
        <v/>
      </c>
    </row>
    <row r="1592">
      <c r="A1592" s="155" t="n">
        <v>46110</v>
      </c>
      <c r="B1592" s="156" t="inlineStr">
        <is>
          <t>07-08</t>
        </is>
      </c>
      <c r="C1592" s="156" t="inlineStr">
        <is>
          <t>EX-1252</t>
        </is>
      </c>
      <c r="D1592" s="156" t="inlineStr">
        <is>
          <t>HD-901</t>
        </is>
      </c>
      <c r="E1592" s="156" t="inlineStr">
        <is>
          <t>OB</t>
        </is>
      </c>
      <c r="F1592" s="156" t="n">
        <v>4</v>
      </c>
      <c r="G1592" s="156" t="inlineStr"/>
      <c r="H1592" s="157">
        <f>IF($B1592="","",IF(ISNA(MATCH($B1592,MASTER_JAM!$Q$5:$Q$28,0)),"?",IF(MATCH($B1592,MASTER_JAM!$Q$5:$Q$28,0)&lt;=12,"DS","NS")))</f>
        <v/>
      </c>
      <c r="I1592" s="157">
        <f>IFERROR(INDEX(MASTER_JAM!$B$5:$B$94,MATCH($C1592,MASTER_JAM!$A$5:$A$94,0)),"")</f>
        <v/>
      </c>
      <c r="J1592" s="157">
        <f>IFERROR(INDEX(MASTER_JAM!$E$5:$E$94,MATCH($D1592,MASTER_JAM!$A$5:$A$94,0)),"")</f>
        <v/>
      </c>
      <c r="K1592" s="158">
        <f>IFERROR(INDEX(MASTER_JAM!$J$5:$O$12,MATCH($E1592,MASTER_JAM!$I$5:$I$12,0),MATCH($J1592,MASTER_JAM!$J$4:$O$4,0))+0,0)</f>
        <v/>
      </c>
      <c r="L1592" s="159">
        <f>N($F1592)*$K1592</f>
        <v/>
      </c>
      <c r="M1592" s="157">
        <f>IF($E1592="","",IF(OR($E1592="Coal",$E1592="Dirty Coal"),"MT","BCM"))</f>
        <v/>
      </c>
      <c r="N1592" s="157">
        <f>IF($E1592="","",IF(OR($E1592="Coal",$E1592="Dirty Coal"),"Coal","OB"))</f>
        <v/>
      </c>
      <c r="O1592" s="157">
        <f>IF($F1592="","",IF(COUNTIF(MASTER_JAM!$A$5:$A$94,$C1592)=0,"Digger tidak dikenal",IF($J1592="","Hauler tidak dikenal",IF($H1592="?","Jam salah",IF($K1592=0,"Faktor kosong",IF(SUMIFS(INPUT_DELAY!$E$5:$E$20000,INPUT_DELAY!$A$5:$A$20000,$A1592,INPUT_DELAY!$B$5:$B$20000,$B1592,INPUT_DELAY!$C$5:$C$20000,$C1592)+SUMIFS(INPUT_DELAY!$E$5:$E$20000,INPUT_DELAY!$A$5:$A$20000,$A1592,INPUT_DELAY!$B$5:$B$20000,$B1592,INPUT_DELAY!$C$5:$C$20000,"SEMUA")&gt;=60,"Delay 60 mnt tapi ada ritase","OK"))))))</f>
        <v/>
      </c>
      <c r="P1592" s="158">
        <f>IFERROR(INDEX(MASTER_JAM!$Z$5:$AC$10,MATCH($I1592,MASTER_JAM!$Y$5:$Y$10,0),MATCH($J1592,MASTER_JAM!$Z$4:$AC$4,0))+0,0)</f>
        <v/>
      </c>
      <c r="Q1592" s="158">
        <f>IF($P1592=0,0,$P1592+IFERROR(INDEX(MASTER_JAM!$H$5:$H$94,MATCH($C1592,MASTER_JAM!$A$5:$A$94,0))+0,MASTER_JAM!$AC$15)/1000*(60/MASTER_JAM!$AC$12+60/MASTER_JAM!$AC$13)+MASTER_JAM!$AC$14)</f>
        <v/>
      </c>
      <c r="R1592" s="158">
        <f>IF(N($F1592)=0,0,$F1592/SUMIFS(INPUT_RITASE!$F$5:$F$20000,INPUT_RITASE!$A$5:$A$20000,$A1592,INPUT_RITASE!$B$5:$B$20000,$B1592,INPUT_RITASE!$C$5:$C$20000,$C1592,INPUT_RITASE!$D$5:$D$20000,$D1592))</f>
        <v/>
      </c>
      <c r="S1592" s="158">
        <f>IF($Q1592=0,0,$R1592*$P1592/$Q1592)</f>
        <v/>
      </c>
    </row>
    <row r="1593">
      <c r="A1593" s="155" t="n">
        <v>46110</v>
      </c>
      <c r="B1593" s="156" t="inlineStr">
        <is>
          <t>07-08</t>
        </is>
      </c>
      <c r="C1593" s="156" t="inlineStr">
        <is>
          <t>EX-1252</t>
        </is>
      </c>
      <c r="D1593" s="156" t="inlineStr">
        <is>
          <t>HD-905</t>
        </is>
      </c>
      <c r="E1593" s="156" t="inlineStr">
        <is>
          <t>OB</t>
        </is>
      </c>
      <c r="F1593" s="156" t="n">
        <v>4</v>
      </c>
      <c r="G1593" s="156" t="inlineStr"/>
      <c r="H1593" s="157">
        <f>IF($B1593="","",IF(ISNA(MATCH($B1593,MASTER_JAM!$Q$5:$Q$28,0)),"?",IF(MATCH($B1593,MASTER_JAM!$Q$5:$Q$28,0)&lt;=12,"DS","NS")))</f>
        <v/>
      </c>
      <c r="I1593" s="157">
        <f>IFERROR(INDEX(MASTER_JAM!$B$5:$B$94,MATCH($C1593,MASTER_JAM!$A$5:$A$94,0)),"")</f>
        <v/>
      </c>
      <c r="J1593" s="157">
        <f>IFERROR(INDEX(MASTER_JAM!$E$5:$E$94,MATCH($D1593,MASTER_JAM!$A$5:$A$94,0)),"")</f>
        <v/>
      </c>
      <c r="K1593" s="158">
        <f>IFERROR(INDEX(MASTER_JAM!$J$5:$O$12,MATCH($E1593,MASTER_JAM!$I$5:$I$12,0),MATCH($J1593,MASTER_JAM!$J$4:$O$4,0))+0,0)</f>
        <v/>
      </c>
      <c r="L1593" s="159">
        <f>N($F1593)*$K1593</f>
        <v/>
      </c>
      <c r="M1593" s="157">
        <f>IF($E1593="","",IF(OR($E1593="Coal",$E1593="Dirty Coal"),"MT","BCM"))</f>
        <v/>
      </c>
      <c r="N1593" s="157">
        <f>IF($E1593="","",IF(OR($E1593="Coal",$E1593="Dirty Coal"),"Coal","OB"))</f>
        <v/>
      </c>
      <c r="O1593" s="157">
        <f>IF($F1593="","",IF(COUNTIF(MASTER_JAM!$A$5:$A$94,$C1593)=0,"Digger tidak dikenal",IF($J1593="","Hauler tidak dikenal",IF($H1593="?","Jam salah",IF($K1593=0,"Faktor kosong",IF(SUMIFS(INPUT_DELAY!$E$5:$E$20000,INPUT_DELAY!$A$5:$A$20000,$A1593,INPUT_DELAY!$B$5:$B$20000,$B1593,INPUT_DELAY!$C$5:$C$20000,$C1593)+SUMIFS(INPUT_DELAY!$E$5:$E$20000,INPUT_DELAY!$A$5:$A$20000,$A1593,INPUT_DELAY!$B$5:$B$20000,$B1593,INPUT_DELAY!$C$5:$C$20000,"SEMUA")&gt;=60,"Delay 60 mnt tapi ada ritase","OK"))))))</f>
        <v/>
      </c>
      <c r="P1593" s="158">
        <f>IFERROR(INDEX(MASTER_JAM!$Z$5:$AC$10,MATCH($I1593,MASTER_JAM!$Y$5:$Y$10,0),MATCH($J1593,MASTER_JAM!$Z$4:$AC$4,0))+0,0)</f>
        <v/>
      </c>
      <c r="Q1593" s="158">
        <f>IF($P1593=0,0,$P1593+IFERROR(INDEX(MASTER_JAM!$H$5:$H$94,MATCH($C1593,MASTER_JAM!$A$5:$A$94,0))+0,MASTER_JAM!$AC$15)/1000*(60/MASTER_JAM!$AC$12+60/MASTER_JAM!$AC$13)+MASTER_JAM!$AC$14)</f>
        <v/>
      </c>
      <c r="R1593" s="158">
        <f>IF(N($F1593)=0,0,$F1593/SUMIFS(INPUT_RITASE!$F$5:$F$20000,INPUT_RITASE!$A$5:$A$20000,$A1593,INPUT_RITASE!$B$5:$B$20000,$B1593,INPUT_RITASE!$C$5:$C$20000,$C1593,INPUT_RITASE!$D$5:$D$20000,$D1593))</f>
        <v/>
      </c>
      <c r="S1593" s="158">
        <f>IF($Q1593=0,0,$R1593*$P1593/$Q1593)</f>
        <v/>
      </c>
    </row>
    <row r="1594">
      <c r="A1594" s="155" t="n">
        <v>46110</v>
      </c>
      <c r="B1594" s="156" t="inlineStr">
        <is>
          <t>07-08</t>
        </is>
      </c>
      <c r="C1594" s="156" t="inlineStr">
        <is>
          <t>EX-1252</t>
        </is>
      </c>
      <c r="D1594" s="156" t="inlineStr">
        <is>
          <t>DT-526</t>
        </is>
      </c>
      <c r="E1594" s="156" t="inlineStr">
        <is>
          <t>OB</t>
        </is>
      </c>
      <c r="F1594" s="156" t="n">
        <v>4</v>
      </c>
      <c r="G1594" s="156" t="inlineStr"/>
      <c r="H1594" s="157">
        <f>IF($B1594="","",IF(ISNA(MATCH($B1594,MASTER_JAM!$Q$5:$Q$28,0)),"?",IF(MATCH($B1594,MASTER_JAM!$Q$5:$Q$28,0)&lt;=12,"DS","NS")))</f>
        <v/>
      </c>
      <c r="I1594" s="157">
        <f>IFERROR(INDEX(MASTER_JAM!$B$5:$B$94,MATCH($C1594,MASTER_JAM!$A$5:$A$94,0)),"")</f>
        <v/>
      </c>
      <c r="J1594" s="157">
        <f>IFERROR(INDEX(MASTER_JAM!$E$5:$E$94,MATCH($D1594,MASTER_JAM!$A$5:$A$94,0)),"")</f>
        <v/>
      </c>
      <c r="K1594" s="158">
        <f>IFERROR(INDEX(MASTER_JAM!$J$5:$O$12,MATCH($E1594,MASTER_JAM!$I$5:$I$12,0),MATCH($J1594,MASTER_JAM!$J$4:$O$4,0))+0,0)</f>
        <v/>
      </c>
      <c r="L1594" s="159">
        <f>N($F1594)*$K1594</f>
        <v/>
      </c>
      <c r="M1594" s="157">
        <f>IF($E1594="","",IF(OR($E1594="Coal",$E1594="Dirty Coal"),"MT","BCM"))</f>
        <v/>
      </c>
      <c r="N1594" s="157">
        <f>IF($E1594="","",IF(OR($E1594="Coal",$E1594="Dirty Coal"),"Coal","OB"))</f>
        <v/>
      </c>
      <c r="O1594" s="157">
        <f>IF($F1594="","",IF(COUNTIF(MASTER_JAM!$A$5:$A$94,$C1594)=0,"Digger tidak dikenal",IF($J1594="","Hauler tidak dikenal",IF($H1594="?","Jam salah",IF($K1594=0,"Faktor kosong",IF(SUMIFS(INPUT_DELAY!$E$5:$E$20000,INPUT_DELAY!$A$5:$A$20000,$A1594,INPUT_DELAY!$B$5:$B$20000,$B1594,INPUT_DELAY!$C$5:$C$20000,$C1594)+SUMIFS(INPUT_DELAY!$E$5:$E$20000,INPUT_DELAY!$A$5:$A$20000,$A1594,INPUT_DELAY!$B$5:$B$20000,$B1594,INPUT_DELAY!$C$5:$C$20000,"SEMUA")&gt;=60,"Delay 60 mnt tapi ada ritase","OK"))))))</f>
        <v/>
      </c>
      <c r="P1594" s="158">
        <f>IFERROR(INDEX(MASTER_JAM!$Z$5:$AC$10,MATCH($I1594,MASTER_JAM!$Y$5:$Y$10,0),MATCH($J1594,MASTER_JAM!$Z$4:$AC$4,0))+0,0)</f>
        <v/>
      </c>
      <c r="Q1594" s="158">
        <f>IF($P1594=0,0,$P1594+IFERROR(INDEX(MASTER_JAM!$H$5:$H$94,MATCH($C1594,MASTER_JAM!$A$5:$A$94,0))+0,MASTER_JAM!$AC$15)/1000*(60/MASTER_JAM!$AC$12+60/MASTER_JAM!$AC$13)+MASTER_JAM!$AC$14)</f>
        <v/>
      </c>
      <c r="R1594" s="158">
        <f>IF(N($F1594)=0,0,$F1594/SUMIFS(INPUT_RITASE!$F$5:$F$20000,INPUT_RITASE!$A$5:$A$20000,$A1594,INPUT_RITASE!$B$5:$B$20000,$B1594,INPUT_RITASE!$C$5:$C$20000,$C1594,INPUT_RITASE!$D$5:$D$20000,$D1594))</f>
        <v/>
      </c>
      <c r="S1594" s="158">
        <f>IF($Q1594=0,0,$R1594*$P1594/$Q1594)</f>
        <v/>
      </c>
    </row>
    <row r="1595">
      <c r="A1595" s="155" t="n">
        <v>46110</v>
      </c>
      <c r="B1595" s="156" t="inlineStr">
        <is>
          <t>07-08</t>
        </is>
      </c>
      <c r="C1595" s="156" t="inlineStr">
        <is>
          <t>EX-1252</t>
        </is>
      </c>
      <c r="D1595" s="156" t="inlineStr">
        <is>
          <t>DT-512</t>
        </is>
      </c>
      <c r="E1595" s="156" t="inlineStr">
        <is>
          <t>OB</t>
        </is>
      </c>
      <c r="F1595" s="156" t="n">
        <v>4</v>
      </c>
      <c r="G1595" s="156" t="inlineStr"/>
      <c r="H1595" s="157">
        <f>IF($B1595="","",IF(ISNA(MATCH($B1595,MASTER_JAM!$Q$5:$Q$28,0)),"?",IF(MATCH($B1595,MASTER_JAM!$Q$5:$Q$28,0)&lt;=12,"DS","NS")))</f>
        <v/>
      </c>
      <c r="I1595" s="157">
        <f>IFERROR(INDEX(MASTER_JAM!$B$5:$B$94,MATCH($C1595,MASTER_JAM!$A$5:$A$94,0)),"")</f>
        <v/>
      </c>
      <c r="J1595" s="157">
        <f>IFERROR(INDEX(MASTER_JAM!$E$5:$E$94,MATCH($D1595,MASTER_JAM!$A$5:$A$94,0)),"")</f>
        <v/>
      </c>
      <c r="K1595" s="158">
        <f>IFERROR(INDEX(MASTER_JAM!$J$5:$O$12,MATCH($E1595,MASTER_JAM!$I$5:$I$12,0),MATCH($J1595,MASTER_JAM!$J$4:$O$4,0))+0,0)</f>
        <v/>
      </c>
      <c r="L1595" s="159">
        <f>N($F1595)*$K1595</f>
        <v/>
      </c>
      <c r="M1595" s="157">
        <f>IF($E1595="","",IF(OR($E1595="Coal",$E1595="Dirty Coal"),"MT","BCM"))</f>
        <v/>
      </c>
      <c r="N1595" s="157">
        <f>IF($E1595="","",IF(OR($E1595="Coal",$E1595="Dirty Coal"),"Coal","OB"))</f>
        <v/>
      </c>
      <c r="O1595" s="157">
        <f>IF($F1595="","",IF(COUNTIF(MASTER_JAM!$A$5:$A$94,$C1595)=0,"Digger tidak dikenal",IF($J1595="","Hauler tidak dikenal",IF($H1595="?","Jam salah",IF($K1595=0,"Faktor kosong",IF(SUMIFS(INPUT_DELAY!$E$5:$E$20000,INPUT_DELAY!$A$5:$A$20000,$A1595,INPUT_DELAY!$B$5:$B$20000,$B1595,INPUT_DELAY!$C$5:$C$20000,$C1595)+SUMIFS(INPUT_DELAY!$E$5:$E$20000,INPUT_DELAY!$A$5:$A$20000,$A1595,INPUT_DELAY!$B$5:$B$20000,$B1595,INPUT_DELAY!$C$5:$C$20000,"SEMUA")&gt;=60,"Delay 60 mnt tapi ada ritase","OK"))))))</f>
        <v/>
      </c>
      <c r="P1595" s="158">
        <f>IFERROR(INDEX(MASTER_JAM!$Z$5:$AC$10,MATCH($I1595,MASTER_JAM!$Y$5:$Y$10,0),MATCH($J1595,MASTER_JAM!$Z$4:$AC$4,0))+0,0)</f>
        <v/>
      </c>
      <c r="Q1595" s="158">
        <f>IF($P1595=0,0,$P1595+IFERROR(INDEX(MASTER_JAM!$H$5:$H$94,MATCH($C1595,MASTER_JAM!$A$5:$A$94,0))+0,MASTER_JAM!$AC$15)/1000*(60/MASTER_JAM!$AC$12+60/MASTER_JAM!$AC$13)+MASTER_JAM!$AC$14)</f>
        <v/>
      </c>
      <c r="R1595" s="158">
        <f>IF(N($F1595)=0,0,$F1595/SUMIFS(INPUT_RITASE!$F$5:$F$20000,INPUT_RITASE!$A$5:$A$20000,$A1595,INPUT_RITASE!$B$5:$B$20000,$B1595,INPUT_RITASE!$C$5:$C$20000,$C1595,INPUT_RITASE!$D$5:$D$20000,$D1595))</f>
        <v/>
      </c>
      <c r="S1595" s="158">
        <f>IF($Q1595=0,0,$R1595*$P1595/$Q1595)</f>
        <v/>
      </c>
    </row>
    <row r="1596">
      <c r="A1596" s="155" t="n">
        <v>46110</v>
      </c>
      <c r="B1596" s="156" t="inlineStr">
        <is>
          <t>08-09</t>
        </is>
      </c>
      <c r="C1596" s="156" t="inlineStr">
        <is>
          <t>EX-1252</t>
        </is>
      </c>
      <c r="D1596" s="156" t="inlineStr">
        <is>
          <t>HD-901</t>
        </is>
      </c>
      <c r="E1596" s="156" t="inlineStr">
        <is>
          <t>OB</t>
        </is>
      </c>
      <c r="F1596" s="156" t="n">
        <v>5</v>
      </c>
      <c r="G1596" s="156" t="inlineStr"/>
      <c r="H1596" s="157">
        <f>IF($B1596="","",IF(ISNA(MATCH($B1596,MASTER_JAM!$Q$5:$Q$28,0)),"?",IF(MATCH($B1596,MASTER_JAM!$Q$5:$Q$28,0)&lt;=12,"DS","NS")))</f>
        <v/>
      </c>
      <c r="I1596" s="157">
        <f>IFERROR(INDEX(MASTER_JAM!$B$5:$B$94,MATCH($C1596,MASTER_JAM!$A$5:$A$94,0)),"")</f>
        <v/>
      </c>
      <c r="J1596" s="157">
        <f>IFERROR(INDEX(MASTER_JAM!$E$5:$E$94,MATCH($D1596,MASTER_JAM!$A$5:$A$94,0)),"")</f>
        <v/>
      </c>
      <c r="K1596" s="158">
        <f>IFERROR(INDEX(MASTER_JAM!$J$5:$O$12,MATCH($E1596,MASTER_JAM!$I$5:$I$12,0),MATCH($J1596,MASTER_JAM!$J$4:$O$4,0))+0,0)</f>
        <v/>
      </c>
      <c r="L1596" s="159">
        <f>N($F1596)*$K1596</f>
        <v/>
      </c>
      <c r="M1596" s="157">
        <f>IF($E1596="","",IF(OR($E1596="Coal",$E1596="Dirty Coal"),"MT","BCM"))</f>
        <v/>
      </c>
      <c r="N1596" s="157">
        <f>IF($E1596="","",IF(OR($E1596="Coal",$E1596="Dirty Coal"),"Coal","OB"))</f>
        <v/>
      </c>
      <c r="O1596" s="157">
        <f>IF($F1596="","",IF(COUNTIF(MASTER_JAM!$A$5:$A$94,$C1596)=0,"Digger tidak dikenal",IF($J1596="","Hauler tidak dikenal",IF($H1596="?","Jam salah",IF($K1596=0,"Faktor kosong",IF(SUMIFS(INPUT_DELAY!$E$5:$E$20000,INPUT_DELAY!$A$5:$A$20000,$A1596,INPUT_DELAY!$B$5:$B$20000,$B1596,INPUT_DELAY!$C$5:$C$20000,$C1596)+SUMIFS(INPUT_DELAY!$E$5:$E$20000,INPUT_DELAY!$A$5:$A$20000,$A1596,INPUT_DELAY!$B$5:$B$20000,$B1596,INPUT_DELAY!$C$5:$C$20000,"SEMUA")&gt;=60,"Delay 60 mnt tapi ada ritase","OK"))))))</f>
        <v/>
      </c>
      <c r="P1596" s="158">
        <f>IFERROR(INDEX(MASTER_JAM!$Z$5:$AC$10,MATCH($I1596,MASTER_JAM!$Y$5:$Y$10,0),MATCH($J1596,MASTER_JAM!$Z$4:$AC$4,0))+0,0)</f>
        <v/>
      </c>
      <c r="Q1596" s="158">
        <f>IF($P1596=0,0,$P1596+IFERROR(INDEX(MASTER_JAM!$H$5:$H$94,MATCH($C1596,MASTER_JAM!$A$5:$A$94,0))+0,MASTER_JAM!$AC$15)/1000*(60/MASTER_JAM!$AC$12+60/MASTER_JAM!$AC$13)+MASTER_JAM!$AC$14)</f>
        <v/>
      </c>
      <c r="R1596" s="158">
        <f>IF(N($F1596)=0,0,$F1596/SUMIFS(INPUT_RITASE!$F$5:$F$20000,INPUT_RITASE!$A$5:$A$20000,$A1596,INPUT_RITASE!$B$5:$B$20000,$B1596,INPUT_RITASE!$C$5:$C$20000,$C1596,INPUT_RITASE!$D$5:$D$20000,$D1596))</f>
        <v/>
      </c>
      <c r="S1596" s="158">
        <f>IF($Q1596=0,0,$R1596*$P1596/$Q1596)</f>
        <v/>
      </c>
    </row>
    <row r="1597">
      <c r="A1597" s="155" t="n">
        <v>46110</v>
      </c>
      <c r="B1597" s="156" t="inlineStr">
        <is>
          <t>08-09</t>
        </is>
      </c>
      <c r="C1597" s="156" t="inlineStr">
        <is>
          <t>EX-1252</t>
        </is>
      </c>
      <c r="D1597" s="156" t="inlineStr">
        <is>
          <t>HD-902</t>
        </is>
      </c>
      <c r="E1597" s="156" t="inlineStr">
        <is>
          <t>OB</t>
        </is>
      </c>
      <c r="F1597" s="156" t="n">
        <v>4</v>
      </c>
      <c r="G1597" s="156" t="inlineStr"/>
      <c r="H1597" s="157">
        <f>IF($B1597="","",IF(ISNA(MATCH($B1597,MASTER_JAM!$Q$5:$Q$28,0)),"?",IF(MATCH($B1597,MASTER_JAM!$Q$5:$Q$28,0)&lt;=12,"DS","NS")))</f>
        <v/>
      </c>
      <c r="I1597" s="157">
        <f>IFERROR(INDEX(MASTER_JAM!$B$5:$B$94,MATCH($C1597,MASTER_JAM!$A$5:$A$94,0)),"")</f>
        <v/>
      </c>
      <c r="J1597" s="157">
        <f>IFERROR(INDEX(MASTER_JAM!$E$5:$E$94,MATCH($D1597,MASTER_JAM!$A$5:$A$94,0)),"")</f>
        <v/>
      </c>
      <c r="K1597" s="158">
        <f>IFERROR(INDEX(MASTER_JAM!$J$5:$O$12,MATCH($E1597,MASTER_JAM!$I$5:$I$12,0),MATCH($J1597,MASTER_JAM!$J$4:$O$4,0))+0,0)</f>
        <v/>
      </c>
      <c r="L1597" s="159">
        <f>N($F1597)*$K1597</f>
        <v/>
      </c>
      <c r="M1597" s="157">
        <f>IF($E1597="","",IF(OR($E1597="Coal",$E1597="Dirty Coal"),"MT","BCM"))</f>
        <v/>
      </c>
      <c r="N1597" s="157">
        <f>IF($E1597="","",IF(OR($E1597="Coal",$E1597="Dirty Coal"),"Coal","OB"))</f>
        <v/>
      </c>
      <c r="O1597" s="157">
        <f>IF($F1597="","",IF(COUNTIF(MASTER_JAM!$A$5:$A$94,$C1597)=0,"Digger tidak dikenal",IF($J1597="","Hauler tidak dikenal",IF($H1597="?","Jam salah",IF($K1597=0,"Faktor kosong",IF(SUMIFS(INPUT_DELAY!$E$5:$E$20000,INPUT_DELAY!$A$5:$A$20000,$A1597,INPUT_DELAY!$B$5:$B$20000,$B1597,INPUT_DELAY!$C$5:$C$20000,$C1597)+SUMIFS(INPUT_DELAY!$E$5:$E$20000,INPUT_DELAY!$A$5:$A$20000,$A1597,INPUT_DELAY!$B$5:$B$20000,$B1597,INPUT_DELAY!$C$5:$C$20000,"SEMUA")&gt;=60,"Delay 60 mnt tapi ada ritase","OK"))))))</f>
        <v/>
      </c>
      <c r="P1597" s="158">
        <f>IFERROR(INDEX(MASTER_JAM!$Z$5:$AC$10,MATCH($I1597,MASTER_JAM!$Y$5:$Y$10,0),MATCH($J1597,MASTER_JAM!$Z$4:$AC$4,0))+0,0)</f>
        <v/>
      </c>
      <c r="Q1597" s="158">
        <f>IF($P1597=0,0,$P1597+IFERROR(INDEX(MASTER_JAM!$H$5:$H$94,MATCH($C1597,MASTER_JAM!$A$5:$A$94,0))+0,MASTER_JAM!$AC$15)/1000*(60/MASTER_JAM!$AC$12+60/MASTER_JAM!$AC$13)+MASTER_JAM!$AC$14)</f>
        <v/>
      </c>
      <c r="R1597" s="158">
        <f>IF(N($F1597)=0,0,$F1597/SUMIFS(INPUT_RITASE!$F$5:$F$20000,INPUT_RITASE!$A$5:$A$20000,$A1597,INPUT_RITASE!$B$5:$B$20000,$B1597,INPUT_RITASE!$C$5:$C$20000,$C1597,INPUT_RITASE!$D$5:$D$20000,$D1597))</f>
        <v/>
      </c>
      <c r="S1597" s="158">
        <f>IF($Q1597=0,0,$R1597*$P1597/$Q1597)</f>
        <v/>
      </c>
    </row>
    <row r="1598">
      <c r="A1598" s="155" t="n">
        <v>46110</v>
      </c>
      <c r="B1598" s="156" t="inlineStr">
        <is>
          <t>08-09</t>
        </is>
      </c>
      <c r="C1598" s="156" t="inlineStr">
        <is>
          <t>EX-1252</t>
        </is>
      </c>
      <c r="D1598" s="156" t="inlineStr">
        <is>
          <t>HD-905</t>
        </is>
      </c>
      <c r="E1598" s="156" t="inlineStr">
        <is>
          <t>OB</t>
        </is>
      </c>
      <c r="F1598" s="156" t="n">
        <v>4</v>
      </c>
      <c r="G1598" s="156" t="inlineStr"/>
      <c r="H1598" s="157">
        <f>IF($B1598="","",IF(ISNA(MATCH($B1598,MASTER_JAM!$Q$5:$Q$28,0)),"?",IF(MATCH($B1598,MASTER_JAM!$Q$5:$Q$28,0)&lt;=12,"DS","NS")))</f>
        <v/>
      </c>
      <c r="I1598" s="157">
        <f>IFERROR(INDEX(MASTER_JAM!$B$5:$B$94,MATCH($C1598,MASTER_JAM!$A$5:$A$94,0)),"")</f>
        <v/>
      </c>
      <c r="J1598" s="157">
        <f>IFERROR(INDEX(MASTER_JAM!$E$5:$E$94,MATCH($D1598,MASTER_JAM!$A$5:$A$94,0)),"")</f>
        <v/>
      </c>
      <c r="K1598" s="158">
        <f>IFERROR(INDEX(MASTER_JAM!$J$5:$O$12,MATCH($E1598,MASTER_JAM!$I$5:$I$12,0),MATCH($J1598,MASTER_JAM!$J$4:$O$4,0))+0,0)</f>
        <v/>
      </c>
      <c r="L1598" s="159">
        <f>N($F1598)*$K1598</f>
        <v/>
      </c>
      <c r="M1598" s="157">
        <f>IF($E1598="","",IF(OR($E1598="Coal",$E1598="Dirty Coal"),"MT","BCM"))</f>
        <v/>
      </c>
      <c r="N1598" s="157">
        <f>IF($E1598="","",IF(OR($E1598="Coal",$E1598="Dirty Coal"),"Coal","OB"))</f>
        <v/>
      </c>
      <c r="O1598" s="157">
        <f>IF($F1598="","",IF(COUNTIF(MASTER_JAM!$A$5:$A$94,$C1598)=0,"Digger tidak dikenal",IF($J1598="","Hauler tidak dikenal",IF($H1598="?","Jam salah",IF($K1598=0,"Faktor kosong",IF(SUMIFS(INPUT_DELAY!$E$5:$E$20000,INPUT_DELAY!$A$5:$A$20000,$A1598,INPUT_DELAY!$B$5:$B$20000,$B1598,INPUT_DELAY!$C$5:$C$20000,$C1598)+SUMIFS(INPUT_DELAY!$E$5:$E$20000,INPUT_DELAY!$A$5:$A$20000,$A1598,INPUT_DELAY!$B$5:$B$20000,$B1598,INPUT_DELAY!$C$5:$C$20000,"SEMUA")&gt;=60,"Delay 60 mnt tapi ada ritase","OK"))))))</f>
        <v/>
      </c>
      <c r="P1598" s="158">
        <f>IFERROR(INDEX(MASTER_JAM!$Z$5:$AC$10,MATCH($I1598,MASTER_JAM!$Y$5:$Y$10,0),MATCH($J1598,MASTER_JAM!$Z$4:$AC$4,0))+0,0)</f>
        <v/>
      </c>
      <c r="Q1598" s="158">
        <f>IF($P1598=0,0,$P1598+IFERROR(INDEX(MASTER_JAM!$H$5:$H$94,MATCH($C1598,MASTER_JAM!$A$5:$A$94,0))+0,MASTER_JAM!$AC$15)/1000*(60/MASTER_JAM!$AC$12+60/MASTER_JAM!$AC$13)+MASTER_JAM!$AC$14)</f>
        <v/>
      </c>
      <c r="R1598" s="158">
        <f>IF(N($F1598)=0,0,$F1598/SUMIFS(INPUT_RITASE!$F$5:$F$20000,INPUT_RITASE!$A$5:$A$20000,$A1598,INPUT_RITASE!$B$5:$B$20000,$B1598,INPUT_RITASE!$C$5:$C$20000,$C1598,INPUT_RITASE!$D$5:$D$20000,$D1598))</f>
        <v/>
      </c>
      <c r="S1598" s="158">
        <f>IF($Q1598=0,0,$R1598*$P1598/$Q1598)</f>
        <v/>
      </c>
    </row>
    <row r="1599">
      <c r="A1599" s="155" t="n">
        <v>46110</v>
      </c>
      <c r="B1599" s="156" t="inlineStr">
        <is>
          <t>08-09</t>
        </is>
      </c>
      <c r="C1599" s="156" t="inlineStr">
        <is>
          <t>EX-1252</t>
        </is>
      </c>
      <c r="D1599" s="156" t="inlineStr">
        <is>
          <t>DT-518</t>
        </is>
      </c>
      <c r="E1599" s="156" t="inlineStr">
        <is>
          <t>OB</t>
        </is>
      </c>
      <c r="F1599" s="156" t="n">
        <v>1</v>
      </c>
      <c r="G1599" s="156" t="inlineStr"/>
      <c r="H1599" s="157">
        <f>IF($B1599="","",IF(ISNA(MATCH($B1599,MASTER_JAM!$Q$5:$Q$28,0)),"?",IF(MATCH($B1599,MASTER_JAM!$Q$5:$Q$28,0)&lt;=12,"DS","NS")))</f>
        <v/>
      </c>
      <c r="I1599" s="157">
        <f>IFERROR(INDEX(MASTER_JAM!$B$5:$B$94,MATCH($C1599,MASTER_JAM!$A$5:$A$94,0)),"")</f>
        <v/>
      </c>
      <c r="J1599" s="157">
        <f>IFERROR(INDEX(MASTER_JAM!$E$5:$E$94,MATCH($D1599,MASTER_JAM!$A$5:$A$94,0)),"")</f>
        <v/>
      </c>
      <c r="K1599" s="158">
        <f>IFERROR(INDEX(MASTER_JAM!$J$5:$O$12,MATCH($E1599,MASTER_JAM!$I$5:$I$12,0),MATCH($J1599,MASTER_JAM!$J$4:$O$4,0))+0,0)</f>
        <v/>
      </c>
      <c r="L1599" s="159">
        <f>N($F1599)*$K1599</f>
        <v/>
      </c>
      <c r="M1599" s="157">
        <f>IF($E1599="","",IF(OR($E1599="Coal",$E1599="Dirty Coal"),"MT","BCM"))</f>
        <v/>
      </c>
      <c r="N1599" s="157">
        <f>IF($E1599="","",IF(OR($E1599="Coal",$E1599="Dirty Coal"),"Coal","OB"))</f>
        <v/>
      </c>
      <c r="O1599" s="157">
        <f>IF($F1599="","",IF(COUNTIF(MASTER_JAM!$A$5:$A$94,$C1599)=0,"Digger tidak dikenal",IF($J1599="","Hauler tidak dikenal",IF($H1599="?","Jam salah",IF($K1599=0,"Faktor kosong",IF(SUMIFS(INPUT_DELAY!$E$5:$E$20000,INPUT_DELAY!$A$5:$A$20000,$A1599,INPUT_DELAY!$B$5:$B$20000,$B1599,INPUT_DELAY!$C$5:$C$20000,$C1599)+SUMIFS(INPUT_DELAY!$E$5:$E$20000,INPUT_DELAY!$A$5:$A$20000,$A1599,INPUT_DELAY!$B$5:$B$20000,$B1599,INPUT_DELAY!$C$5:$C$20000,"SEMUA")&gt;=60,"Delay 60 mnt tapi ada ritase","OK"))))))</f>
        <v/>
      </c>
      <c r="P1599" s="158">
        <f>IFERROR(INDEX(MASTER_JAM!$Z$5:$AC$10,MATCH($I1599,MASTER_JAM!$Y$5:$Y$10,0),MATCH($J1599,MASTER_JAM!$Z$4:$AC$4,0))+0,0)</f>
        <v/>
      </c>
      <c r="Q1599" s="158">
        <f>IF($P1599=0,0,$P1599+IFERROR(INDEX(MASTER_JAM!$H$5:$H$94,MATCH($C1599,MASTER_JAM!$A$5:$A$94,0))+0,MASTER_JAM!$AC$15)/1000*(60/MASTER_JAM!$AC$12+60/MASTER_JAM!$AC$13)+MASTER_JAM!$AC$14)</f>
        <v/>
      </c>
      <c r="R1599" s="158">
        <f>IF(N($F1599)=0,0,$F1599/SUMIFS(INPUT_RITASE!$F$5:$F$20000,INPUT_RITASE!$A$5:$A$20000,$A1599,INPUT_RITASE!$B$5:$B$20000,$B1599,INPUT_RITASE!$C$5:$C$20000,$C1599,INPUT_RITASE!$D$5:$D$20000,$D1599))</f>
        <v/>
      </c>
      <c r="S1599" s="158">
        <f>IF($Q1599=0,0,$R1599*$P1599/$Q1599)</f>
        <v/>
      </c>
    </row>
    <row r="1600">
      <c r="A1600" s="155" t="n">
        <v>46110</v>
      </c>
      <c r="B1600" s="156" t="inlineStr">
        <is>
          <t>09-10</t>
        </is>
      </c>
      <c r="C1600" s="156" t="inlineStr">
        <is>
          <t>EX-1252</t>
        </is>
      </c>
      <c r="D1600" s="156" t="inlineStr">
        <is>
          <t>HD-905</t>
        </is>
      </c>
      <c r="E1600" s="156" t="inlineStr">
        <is>
          <t>OB</t>
        </is>
      </c>
      <c r="F1600" s="156" t="n">
        <v>5</v>
      </c>
      <c r="G1600" s="156" t="inlineStr"/>
      <c r="H1600" s="157">
        <f>IF($B1600="","",IF(ISNA(MATCH($B1600,MASTER_JAM!$Q$5:$Q$28,0)),"?",IF(MATCH($B1600,MASTER_JAM!$Q$5:$Q$28,0)&lt;=12,"DS","NS")))</f>
        <v/>
      </c>
      <c r="I1600" s="157">
        <f>IFERROR(INDEX(MASTER_JAM!$B$5:$B$94,MATCH($C1600,MASTER_JAM!$A$5:$A$94,0)),"")</f>
        <v/>
      </c>
      <c r="J1600" s="157">
        <f>IFERROR(INDEX(MASTER_JAM!$E$5:$E$94,MATCH($D1600,MASTER_JAM!$A$5:$A$94,0)),"")</f>
        <v/>
      </c>
      <c r="K1600" s="158">
        <f>IFERROR(INDEX(MASTER_JAM!$J$5:$O$12,MATCH($E1600,MASTER_JAM!$I$5:$I$12,0),MATCH($J1600,MASTER_JAM!$J$4:$O$4,0))+0,0)</f>
        <v/>
      </c>
      <c r="L1600" s="159">
        <f>N($F1600)*$K1600</f>
        <v/>
      </c>
      <c r="M1600" s="157">
        <f>IF($E1600="","",IF(OR($E1600="Coal",$E1600="Dirty Coal"),"MT","BCM"))</f>
        <v/>
      </c>
      <c r="N1600" s="157">
        <f>IF($E1600="","",IF(OR($E1600="Coal",$E1600="Dirty Coal"),"Coal","OB"))</f>
        <v/>
      </c>
      <c r="O1600" s="157">
        <f>IF($F1600="","",IF(COUNTIF(MASTER_JAM!$A$5:$A$94,$C1600)=0,"Digger tidak dikenal",IF($J1600="","Hauler tidak dikenal",IF($H1600="?","Jam salah",IF($K1600=0,"Faktor kosong",IF(SUMIFS(INPUT_DELAY!$E$5:$E$20000,INPUT_DELAY!$A$5:$A$20000,$A1600,INPUT_DELAY!$B$5:$B$20000,$B1600,INPUT_DELAY!$C$5:$C$20000,$C1600)+SUMIFS(INPUT_DELAY!$E$5:$E$20000,INPUT_DELAY!$A$5:$A$20000,$A1600,INPUT_DELAY!$B$5:$B$20000,$B1600,INPUT_DELAY!$C$5:$C$20000,"SEMUA")&gt;=60,"Delay 60 mnt tapi ada ritase","OK"))))))</f>
        <v/>
      </c>
      <c r="P1600" s="158">
        <f>IFERROR(INDEX(MASTER_JAM!$Z$5:$AC$10,MATCH($I1600,MASTER_JAM!$Y$5:$Y$10,0),MATCH($J1600,MASTER_JAM!$Z$4:$AC$4,0))+0,0)</f>
        <v/>
      </c>
      <c r="Q1600" s="158">
        <f>IF($P1600=0,0,$P1600+IFERROR(INDEX(MASTER_JAM!$H$5:$H$94,MATCH($C1600,MASTER_JAM!$A$5:$A$94,0))+0,MASTER_JAM!$AC$15)/1000*(60/MASTER_JAM!$AC$12+60/MASTER_JAM!$AC$13)+MASTER_JAM!$AC$14)</f>
        <v/>
      </c>
      <c r="R1600" s="158">
        <f>IF(N($F1600)=0,0,$F1600/SUMIFS(INPUT_RITASE!$F$5:$F$20000,INPUT_RITASE!$A$5:$A$20000,$A1600,INPUT_RITASE!$B$5:$B$20000,$B1600,INPUT_RITASE!$C$5:$C$20000,$C1600,INPUT_RITASE!$D$5:$D$20000,$D1600))</f>
        <v/>
      </c>
      <c r="S1600" s="158">
        <f>IF($Q1600=0,0,$R1600*$P1600/$Q1600)</f>
        <v/>
      </c>
    </row>
    <row r="1601">
      <c r="A1601" s="155" t="n">
        <v>46110</v>
      </c>
      <c r="B1601" s="156" t="inlineStr">
        <is>
          <t>09-10</t>
        </is>
      </c>
      <c r="C1601" s="156" t="inlineStr">
        <is>
          <t>EX-1252</t>
        </is>
      </c>
      <c r="D1601" s="156" t="inlineStr">
        <is>
          <t>HD-902</t>
        </is>
      </c>
      <c r="E1601" s="156" t="inlineStr">
        <is>
          <t>OB</t>
        </is>
      </c>
      <c r="F1601" s="156" t="n">
        <v>5</v>
      </c>
      <c r="G1601" s="156" t="inlineStr"/>
      <c r="H1601" s="157">
        <f>IF($B1601="","",IF(ISNA(MATCH($B1601,MASTER_JAM!$Q$5:$Q$28,0)),"?",IF(MATCH($B1601,MASTER_JAM!$Q$5:$Q$28,0)&lt;=12,"DS","NS")))</f>
        <v/>
      </c>
      <c r="I1601" s="157">
        <f>IFERROR(INDEX(MASTER_JAM!$B$5:$B$94,MATCH($C1601,MASTER_JAM!$A$5:$A$94,0)),"")</f>
        <v/>
      </c>
      <c r="J1601" s="157">
        <f>IFERROR(INDEX(MASTER_JAM!$E$5:$E$94,MATCH($D1601,MASTER_JAM!$A$5:$A$94,0)),"")</f>
        <v/>
      </c>
      <c r="K1601" s="158">
        <f>IFERROR(INDEX(MASTER_JAM!$J$5:$O$12,MATCH($E1601,MASTER_JAM!$I$5:$I$12,0),MATCH($J1601,MASTER_JAM!$J$4:$O$4,0))+0,0)</f>
        <v/>
      </c>
      <c r="L1601" s="159">
        <f>N($F1601)*$K1601</f>
        <v/>
      </c>
      <c r="M1601" s="157">
        <f>IF($E1601="","",IF(OR($E1601="Coal",$E1601="Dirty Coal"),"MT","BCM"))</f>
        <v/>
      </c>
      <c r="N1601" s="157">
        <f>IF($E1601="","",IF(OR($E1601="Coal",$E1601="Dirty Coal"),"Coal","OB"))</f>
        <v/>
      </c>
      <c r="O1601" s="157">
        <f>IF($F1601="","",IF(COUNTIF(MASTER_JAM!$A$5:$A$94,$C1601)=0,"Digger tidak dikenal",IF($J1601="","Hauler tidak dikenal",IF($H1601="?","Jam salah",IF($K1601=0,"Faktor kosong",IF(SUMIFS(INPUT_DELAY!$E$5:$E$20000,INPUT_DELAY!$A$5:$A$20000,$A1601,INPUT_DELAY!$B$5:$B$20000,$B1601,INPUT_DELAY!$C$5:$C$20000,$C1601)+SUMIFS(INPUT_DELAY!$E$5:$E$20000,INPUT_DELAY!$A$5:$A$20000,$A1601,INPUT_DELAY!$B$5:$B$20000,$B1601,INPUT_DELAY!$C$5:$C$20000,"SEMUA")&gt;=60,"Delay 60 mnt tapi ada ritase","OK"))))))</f>
        <v/>
      </c>
      <c r="P1601" s="158">
        <f>IFERROR(INDEX(MASTER_JAM!$Z$5:$AC$10,MATCH($I1601,MASTER_JAM!$Y$5:$Y$10,0),MATCH($J1601,MASTER_JAM!$Z$4:$AC$4,0))+0,0)</f>
        <v/>
      </c>
      <c r="Q1601" s="158">
        <f>IF($P1601=0,0,$P1601+IFERROR(INDEX(MASTER_JAM!$H$5:$H$94,MATCH($C1601,MASTER_JAM!$A$5:$A$94,0))+0,MASTER_JAM!$AC$15)/1000*(60/MASTER_JAM!$AC$12+60/MASTER_JAM!$AC$13)+MASTER_JAM!$AC$14)</f>
        <v/>
      </c>
      <c r="R1601" s="158">
        <f>IF(N($F1601)=0,0,$F1601/SUMIFS(INPUT_RITASE!$F$5:$F$20000,INPUT_RITASE!$A$5:$A$20000,$A1601,INPUT_RITASE!$B$5:$B$20000,$B1601,INPUT_RITASE!$C$5:$C$20000,$C1601,INPUT_RITASE!$D$5:$D$20000,$D1601))</f>
        <v/>
      </c>
      <c r="S1601" s="158">
        <f>IF($Q1601=0,0,$R1601*$P1601/$Q1601)</f>
        <v/>
      </c>
    </row>
    <row r="1602">
      <c r="A1602" s="155" t="n">
        <v>46110</v>
      </c>
      <c r="B1602" s="156" t="inlineStr">
        <is>
          <t>09-10</t>
        </is>
      </c>
      <c r="C1602" s="156" t="inlineStr">
        <is>
          <t>EX-1252</t>
        </is>
      </c>
      <c r="D1602" s="156" t="inlineStr">
        <is>
          <t>HD-901</t>
        </is>
      </c>
      <c r="E1602" s="156" t="inlineStr">
        <is>
          <t>OB</t>
        </is>
      </c>
      <c r="F1602" s="156" t="n">
        <v>4</v>
      </c>
      <c r="G1602" s="156" t="inlineStr"/>
      <c r="H1602" s="157">
        <f>IF($B1602="","",IF(ISNA(MATCH($B1602,MASTER_JAM!$Q$5:$Q$28,0)),"?",IF(MATCH($B1602,MASTER_JAM!$Q$5:$Q$28,0)&lt;=12,"DS","NS")))</f>
        <v/>
      </c>
      <c r="I1602" s="157">
        <f>IFERROR(INDEX(MASTER_JAM!$B$5:$B$94,MATCH($C1602,MASTER_JAM!$A$5:$A$94,0)),"")</f>
        <v/>
      </c>
      <c r="J1602" s="157">
        <f>IFERROR(INDEX(MASTER_JAM!$E$5:$E$94,MATCH($D1602,MASTER_JAM!$A$5:$A$94,0)),"")</f>
        <v/>
      </c>
      <c r="K1602" s="158">
        <f>IFERROR(INDEX(MASTER_JAM!$J$5:$O$12,MATCH($E1602,MASTER_JAM!$I$5:$I$12,0),MATCH($J1602,MASTER_JAM!$J$4:$O$4,0))+0,0)</f>
        <v/>
      </c>
      <c r="L1602" s="159">
        <f>N($F1602)*$K1602</f>
        <v/>
      </c>
      <c r="M1602" s="157">
        <f>IF($E1602="","",IF(OR($E1602="Coal",$E1602="Dirty Coal"),"MT","BCM"))</f>
        <v/>
      </c>
      <c r="N1602" s="157">
        <f>IF($E1602="","",IF(OR($E1602="Coal",$E1602="Dirty Coal"),"Coal","OB"))</f>
        <v/>
      </c>
      <c r="O1602" s="157">
        <f>IF($F1602="","",IF(COUNTIF(MASTER_JAM!$A$5:$A$94,$C1602)=0,"Digger tidak dikenal",IF($J1602="","Hauler tidak dikenal",IF($H1602="?","Jam salah",IF($K1602=0,"Faktor kosong",IF(SUMIFS(INPUT_DELAY!$E$5:$E$20000,INPUT_DELAY!$A$5:$A$20000,$A1602,INPUT_DELAY!$B$5:$B$20000,$B1602,INPUT_DELAY!$C$5:$C$20000,$C1602)+SUMIFS(INPUT_DELAY!$E$5:$E$20000,INPUT_DELAY!$A$5:$A$20000,$A1602,INPUT_DELAY!$B$5:$B$20000,$B1602,INPUT_DELAY!$C$5:$C$20000,"SEMUA")&gt;=60,"Delay 60 mnt tapi ada ritase","OK"))))))</f>
        <v/>
      </c>
      <c r="P1602" s="158">
        <f>IFERROR(INDEX(MASTER_JAM!$Z$5:$AC$10,MATCH($I1602,MASTER_JAM!$Y$5:$Y$10,0),MATCH($J1602,MASTER_JAM!$Z$4:$AC$4,0))+0,0)</f>
        <v/>
      </c>
      <c r="Q1602" s="158">
        <f>IF($P1602=0,0,$P1602+IFERROR(INDEX(MASTER_JAM!$H$5:$H$94,MATCH($C1602,MASTER_JAM!$A$5:$A$94,0))+0,MASTER_JAM!$AC$15)/1000*(60/MASTER_JAM!$AC$12+60/MASTER_JAM!$AC$13)+MASTER_JAM!$AC$14)</f>
        <v/>
      </c>
      <c r="R1602" s="158">
        <f>IF(N($F1602)=0,0,$F1602/SUMIFS(INPUT_RITASE!$F$5:$F$20000,INPUT_RITASE!$A$5:$A$20000,$A1602,INPUT_RITASE!$B$5:$B$20000,$B1602,INPUT_RITASE!$C$5:$C$20000,$C1602,INPUT_RITASE!$D$5:$D$20000,$D1602))</f>
        <v/>
      </c>
      <c r="S1602" s="158">
        <f>IF($Q1602=0,0,$R1602*$P1602/$Q1602)</f>
        <v/>
      </c>
    </row>
    <row r="1603">
      <c r="A1603" s="155" t="n">
        <v>46110</v>
      </c>
      <c r="B1603" s="156" t="inlineStr">
        <is>
          <t>09-10</t>
        </is>
      </c>
      <c r="C1603" s="156" t="inlineStr">
        <is>
          <t>EX-1252</t>
        </is>
      </c>
      <c r="D1603" s="156" t="inlineStr">
        <is>
          <t>DT-512</t>
        </is>
      </c>
      <c r="E1603" s="156" t="inlineStr">
        <is>
          <t>OB</t>
        </is>
      </c>
      <c r="F1603" s="156" t="n">
        <v>3</v>
      </c>
      <c r="G1603" s="156" t="inlineStr"/>
      <c r="H1603" s="157">
        <f>IF($B1603="","",IF(ISNA(MATCH($B1603,MASTER_JAM!$Q$5:$Q$28,0)),"?",IF(MATCH($B1603,MASTER_JAM!$Q$5:$Q$28,0)&lt;=12,"DS","NS")))</f>
        <v/>
      </c>
      <c r="I1603" s="157">
        <f>IFERROR(INDEX(MASTER_JAM!$B$5:$B$94,MATCH($C1603,MASTER_JAM!$A$5:$A$94,0)),"")</f>
        <v/>
      </c>
      <c r="J1603" s="157">
        <f>IFERROR(INDEX(MASTER_JAM!$E$5:$E$94,MATCH($D1603,MASTER_JAM!$A$5:$A$94,0)),"")</f>
        <v/>
      </c>
      <c r="K1603" s="158">
        <f>IFERROR(INDEX(MASTER_JAM!$J$5:$O$12,MATCH($E1603,MASTER_JAM!$I$5:$I$12,0),MATCH($J1603,MASTER_JAM!$J$4:$O$4,0))+0,0)</f>
        <v/>
      </c>
      <c r="L1603" s="159">
        <f>N($F1603)*$K1603</f>
        <v/>
      </c>
      <c r="M1603" s="157">
        <f>IF($E1603="","",IF(OR($E1603="Coal",$E1603="Dirty Coal"),"MT","BCM"))</f>
        <v/>
      </c>
      <c r="N1603" s="157">
        <f>IF($E1603="","",IF(OR($E1603="Coal",$E1603="Dirty Coal"),"Coal","OB"))</f>
        <v/>
      </c>
      <c r="O1603" s="157">
        <f>IF($F1603="","",IF(COUNTIF(MASTER_JAM!$A$5:$A$94,$C1603)=0,"Digger tidak dikenal",IF($J1603="","Hauler tidak dikenal",IF($H1603="?","Jam salah",IF($K1603=0,"Faktor kosong",IF(SUMIFS(INPUT_DELAY!$E$5:$E$20000,INPUT_DELAY!$A$5:$A$20000,$A1603,INPUT_DELAY!$B$5:$B$20000,$B1603,INPUT_DELAY!$C$5:$C$20000,$C1603)+SUMIFS(INPUT_DELAY!$E$5:$E$20000,INPUT_DELAY!$A$5:$A$20000,$A1603,INPUT_DELAY!$B$5:$B$20000,$B1603,INPUT_DELAY!$C$5:$C$20000,"SEMUA")&gt;=60,"Delay 60 mnt tapi ada ritase","OK"))))))</f>
        <v/>
      </c>
      <c r="P1603" s="158">
        <f>IFERROR(INDEX(MASTER_JAM!$Z$5:$AC$10,MATCH($I1603,MASTER_JAM!$Y$5:$Y$10,0),MATCH($J1603,MASTER_JAM!$Z$4:$AC$4,0))+0,0)</f>
        <v/>
      </c>
      <c r="Q1603" s="158">
        <f>IF($P1603=0,0,$P1603+IFERROR(INDEX(MASTER_JAM!$H$5:$H$94,MATCH($C1603,MASTER_JAM!$A$5:$A$94,0))+0,MASTER_JAM!$AC$15)/1000*(60/MASTER_JAM!$AC$12+60/MASTER_JAM!$AC$13)+MASTER_JAM!$AC$14)</f>
        <v/>
      </c>
      <c r="R1603" s="158">
        <f>IF(N($F1603)=0,0,$F1603/SUMIFS(INPUT_RITASE!$F$5:$F$20000,INPUT_RITASE!$A$5:$A$20000,$A1603,INPUT_RITASE!$B$5:$B$20000,$B1603,INPUT_RITASE!$C$5:$C$20000,$C1603,INPUT_RITASE!$D$5:$D$20000,$D1603))</f>
        <v/>
      </c>
      <c r="S1603" s="158">
        <f>IF($Q1603=0,0,$R1603*$P1603/$Q1603)</f>
        <v/>
      </c>
    </row>
    <row r="1604">
      <c r="A1604" s="155" t="n">
        <v>46110</v>
      </c>
      <c r="B1604" s="156" t="inlineStr">
        <is>
          <t>10-11</t>
        </is>
      </c>
      <c r="C1604" s="156" t="inlineStr">
        <is>
          <t>EX-1252</t>
        </is>
      </c>
      <c r="D1604" s="156" t="inlineStr">
        <is>
          <t>HD-905</t>
        </is>
      </c>
      <c r="E1604" s="156" t="inlineStr">
        <is>
          <t>OB</t>
        </is>
      </c>
      <c r="F1604" s="156" t="n">
        <v>5</v>
      </c>
      <c r="G1604" s="156" t="inlineStr"/>
      <c r="H1604" s="157">
        <f>IF($B1604="","",IF(ISNA(MATCH($B1604,MASTER_JAM!$Q$5:$Q$28,0)),"?",IF(MATCH($B1604,MASTER_JAM!$Q$5:$Q$28,0)&lt;=12,"DS","NS")))</f>
        <v/>
      </c>
      <c r="I1604" s="157">
        <f>IFERROR(INDEX(MASTER_JAM!$B$5:$B$94,MATCH($C1604,MASTER_JAM!$A$5:$A$94,0)),"")</f>
        <v/>
      </c>
      <c r="J1604" s="157">
        <f>IFERROR(INDEX(MASTER_JAM!$E$5:$E$94,MATCH($D1604,MASTER_JAM!$A$5:$A$94,0)),"")</f>
        <v/>
      </c>
      <c r="K1604" s="158">
        <f>IFERROR(INDEX(MASTER_JAM!$J$5:$O$12,MATCH($E1604,MASTER_JAM!$I$5:$I$12,0),MATCH($J1604,MASTER_JAM!$J$4:$O$4,0))+0,0)</f>
        <v/>
      </c>
      <c r="L1604" s="159">
        <f>N($F1604)*$K1604</f>
        <v/>
      </c>
      <c r="M1604" s="157">
        <f>IF($E1604="","",IF(OR($E1604="Coal",$E1604="Dirty Coal"),"MT","BCM"))</f>
        <v/>
      </c>
      <c r="N1604" s="157">
        <f>IF($E1604="","",IF(OR($E1604="Coal",$E1604="Dirty Coal"),"Coal","OB"))</f>
        <v/>
      </c>
      <c r="O1604" s="157">
        <f>IF($F1604="","",IF(COUNTIF(MASTER_JAM!$A$5:$A$94,$C1604)=0,"Digger tidak dikenal",IF($J1604="","Hauler tidak dikenal",IF($H1604="?","Jam salah",IF($K1604=0,"Faktor kosong",IF(SUMIFS(INPUT_DELAY!$E$5:$E$20000,INPUT_DELAY!$A$5:$A$20000,$A1604,INPUT_DELAY!$B$5:$B$20000,$B1604,INPUT_DELAY!$C$5:$C$20000,$C1604)+SUMIFS(INPUT_DELAY!$E$5:$E$20000,INPUT_DELAY!$A$5:$A$20000,$A1604,INPUT_DELAY!$B$5:$B$20000,$B1604,INPUT_DELAY!$C$5:$C$20000,"SEMUA")&gt;=60,"Delay 60 mnt tapi ada ritase","OK"))))))</f>
        <v/>
      </c>
      <c r="P1604" s="158">
        <f>IFERROR(INDEX(MASTER_JAM!$Z$5:$AC$10,MATCH($I1604,MASTER_JAM!$Y$5:$Y$10,0),MATCH($J1604,MASTER_JAM!$Z$4:$AC$4,0))+0,0)</f>
        <v/>
      </c>
      <c r="Q1604" s="158">
        <f>IF($P1604=0,0,$P1604+IFERROR(INDEX(MASTER_JAM!$H$5:$H$94,MATCH($C1604,MASTER_JAM!$A$5:$A$94,0))+0,MASTER_JAM!$AC$15)/1000*(60/MASTER_JAM!$AC$12+60/MASTER_JAM!$AC$13)+MASTER_JAM!$AC$14)</f>
        <v/>
      </c>
      <c r="R1604" s="158">
        <f>IF(N($F1604)=0,0,$F1604/SUMIFS(INPUT_RITASE!$F$5:$F$20000,INPUT_RITASE!$A$5:$A$20000,$A1604,INPUT_RITASE!$B$5:$B$20000,$B1604,INPUT_RITASE!$C$5:$C$20000,$C1604,INPUT_RITASE!$D$5:$D$20000,$D1604))</f>
        <v/>
      </c>
      <c r="S1604" s="158">
        <f>IF($Q1604=0,0,$R1604*$P1604/$Q1604)</f>
        <v/>
      </c>
    </row>
    <row r="1605">
      <c r="A1605" s="155" t="n">
        <v>46110</v>
      </c>
      <c r="B1605" s="156" t="inlineStr">
        <is>
          <t>10-11</t>
        </is>
      </c>
      <c r="C1605" s="156" t="inlineStr">
        <is>
          <t>EX-1252</t>
        </is>
      </c>
      <c r="D1605" s="156" t="inlineStr">
        <is>
          <t>HD-901</t>
        </is>
      </c>
      <c r="E1605" s="156" t="inlineStr">
        <is>
          <t>OB</t>
        </is>
      </c>
      <c r="F1605" s="156" t="n">
        <v>4</v>
      </c>
      <c r="G1605" s="156" t="inlineStr"/>
      <c r="H1605" s="157">
        <f>IF($B1605="","",IF(ISNA(MATCH($B1605,MASTER_JAM!$Q$5:$Q$28,0)),"?",IF(MATCH($B1605,MASTER_JAM!$Q$5:$Q$28,0)&lt;=12,"DS","NS")))</f>
        <v/>
      </c>
      <c r="I1605" s="157">
        <f>IFERROR(INDEX(MASTER_JAM!$B$5:$B$94,MATCH($C1605,MASTER_JAM!$A$5:$A$94,0)),"")</f>
        <v/>
      </c>
      <c r="J1605" s="157">
        <f>IFERROR(INDEX(MASTER_JAM!$E$5:$E$94,MATCH($D1605,MASTER_JAM!$A$5:$A$94,0)),"")</f>
        <v/>
      </c>
      <c r="K1605" s="158">
        <f>IFERROR(INDEX(MASTER_JAM!$J$5:$O$12,MATCH($E1605,MASTER_JAM!$I$5:$I$12,0),MATCH($J1605,MASTER_JAM!$J$4:$O$4,0))+0,0)</f>
        <v/>
      </c>
      <c r="L1605" s="159">
        <f>N($F1605)*$K1605</f>
        <v/>
      </c>
      <c r="M1605" s="157">
        <f>IF($E1605="","",IF(OR($E1605="Coal",$E1605="Dirty Coal"),"MT","BCM"))</f>
        <v/>
      </c>
      <c r="N1605" s="157">
        <f>IF($E1605="","",IF(OR($E1605="Coal",$E1605="Dirty Coal"),"Coal","OB"))</f>
        <v/>
      </c>
      <c r="O1605" s="157">
        <f>IF($F1605="","",IF(COUNTIF(MASTER_JAM!$A$5:$A$94,$C1605)=0,"Digger tidak dikenal",IF($J1605="","Hauler tidak dikenal",IF($H1605="?","Jam salah",IF($K1605=0,"Faktor kosong",IF(SUMIFS(INPUT_DELAY!$E$5:$E$20000,INPUT_DELAY!$A$5:$A$20000,$A1605,INPUT_DELAY!$B$5:$B$20000,$B1605,INPUT_DELAY!$C$5:$C$20000,$C1605)+SUMIFS(INPUT_DELAY!$E$5:$E$20000,INPUT_DELAY!$A$5:$A$20000,$A1605,INPUT_DELAY!$B$5:$B$20000,$B1605,INPUT_DELAY!$C$5:$C$20000,"SEMUA")&gt;=60,"Delay 60 mnt tapi ada ritase","OK"))))))</f>
        <v/>
      </c>
      <c r="P1605" s="158">
        <f>IFERROR(INDEX(MASTER_JAM!$Z$5:$AC$10,MATCH($I1605,MASTER_JAM!$Y$5:$Y$10,0),MATCH($J1605,MASTER_JAM!$Z$4:$AC$4,0))+0,0)</f>
        <v/>
      </c>
      <c r="Q1605" s="158">
        <f>IF($P1605=0,0,$P1605+IFERROR(INDEX(MASTER_JAM!$H$5:$H$94,MATCH($C1605,MASTER_JAM!$A$5:$A$94,0))+0,MASTER_JAM!$AC$15)/1000*(60/MASTER_JAM!$AC$12+60/MASTER_JAM!$AC$13)+MASTER_JAM!$AC$14)</f>
        <v/>
      </c>
      <c r="R1605" s="158">
        <f>IF(N($F1605)=0,0,$F1605/SUMIFS(INPUT_RITASE!$F$5:$F$20000,INPUT_RITASE!$A$5:$A$20000,$A1605,INPUT_RITASE!$B$5:$B$20000,$B1605,INPUT_RITASE!$C$5:$C$20000,$C1605,INPUT_RITASE!$D$5:$D$20000,$D1605))</f>
        <v/>
      </c>
      <c r="S1605" s="158">
        <f>IF($Q1605=0,0,$R1605*$P1605/$Q1605)</f>
        <v/>
      </c>
    </row>
    <row r="1606">
      <c r="A1606" s="155" t="n">
        <v>46110</v>
      </c>
      <c r="B1606" s="156" t="inlineStr">
        <is>
          <t>10-11</t>
        </is>
      </c>
      <c r="C1606" s="156" t="inlineStr">
        <is>
          <t>EX-1252</t>
        </is>
      </c>
      <c r="D1606" s="156" t="inlineStr">
        <is>
          <t>HD-902</t>
        </is>
      </c>
      <c r="E1606" s="156" t="inlineStr">
        <is>
          <t>OB</t>
        </is>
      </c>
      <c r="F1606" s="156" t="n">
        <v>4</v>
      </c>
      <c r="G1606" s="156" t="inlineStr"/>
      <c r="H1606" s="157">
        <f>IF($B1606="","",IF(ISNA(MATCH($B1606,MASTER_JAM!$Q$5:$Q$28,0)),"?",IF(MATCH($B1606,MASTER_JAM!$Q$5:$Q$28,0)&lt;=12,"DS","NS")))</f>
        <v/>
      </c>
      <c r="I1606" s="157">
        <f>IFERROR(INDEX(MASTER_JAM!$B$5:$B$94,MATCH($C1606,MASTER_JAM!$A$5:$A$94,0)),"")</f>
        <v/>
      </c>
      <c r="J1606" s="157">
        <f>IFERROR(INDEX(MASTER_JAM!$E$5:$E$94,MATCH($D1606,MASTER_JAM!$A$5:$A$94,0)),"")</f>
        <v/>
      </c>
      <c r="K1606" s="158">
        <f>IFERROR(INDEX(MASTER_JAM!$J$5:$O$12,MATCH($E1606,MASTER_JAM!$I$5:$I$12,0),MATCH($J1606,MASTER_JAM!$J$4:$O$4,0))+0,0)</f>
        <v/>
      </c>
      <c r="L1606" s="159">
        <f>N($F1606)*$K1606</f>
        <v/>
      </c>
      <c r="M1606" s="157">
        <f>IF($E1606="","",IF(OR($E1606="Coal",$E1606="Dirty Coal"),"MT","BCM"))</f>
        <v/>
      </c>
      <c r="N1606" s="157">
        <f>IF($E1606="","",IF(OR($E1606="Coal",$E1606="Dirty Coal"),"Coal","OB"))</f>
        <v/>
      </c>
      <c r="O1606" s="157">
        <f>IF($F1606="","",IF(COUNTIF(MASTER_JAM!$A$5:$A$94,$C1606)=0,"Digger tidak dikenal",IF($J1606="","Hauler tidak dikenal",IF($H1606="?","Jam salah",IF($K1606=0,"Faktor kosong",IF(SUMIFS(INPUT_DELAY!$E$5:$E$20000,INPUT_DELAY!$A$5:$A$20000,$A1606,INPUT_DELAY!$B$5:$B$20000,$B1606,INPUT_DELAY!$C$5:$C$20000,$C1606)+SUMIFS(INPUT_DELAY!$E$5:$E$20000,INPUT_DELAY!$A$5:$A$20000,$A1606,INPUT_DELAY!$B$5:$B$20000,$B1606,INPUT_DELAY!$C$5:$C$20000,"SEMUA")&gt;=60,"Delay 60 mnt tapi ada ritase","OK"))))))</f>
        <v/>
      </c>
      <c r="P1606" s="158">
        <f>IFERROR(INDEX(MASTER_JAM!$Z$5:$AC$10,MATCH($I1606,MASTER_JAM!$Y$5:$Y$10,0),MATCH($J1606,MASTER_JAM!$Z$4:$AC$4,0))+0,0)</f>
        <v/>
      </c>
      <c r="Q1606" s="158">
        <f>IF($P1606=0,0,$P1606+IFERROR(INDEX(MASTER_JAM!$H$5:$H$94,MATCH($C1606,MASTER_JAM!$A$5:$A$94,0))+0,MASTER_JAM!$AC$15)/1000*(60/MASTER_JAM!$AC$12+60/MASTER_JAM!$AC$13)+MASTER_JAM!$AC$14)</f>
        <v/>
      </c>
      <c r="R1606" s="158">
        <f>IF(N($F1606)=0,0,$F1606/SUMIFS(INPUT_RITASE!$F$5:$F$20000,INPUT_RITASE!$A$5:$A$20000,$A1606,INPUT_RITASE!$B$5:$B$20000,$B1606,INPUT_RITASE!$C$5:$C$20000,$C1606,INPUT_RITASE!$D$5:$D$20000,$D1606))</f>
        <v/>
      </c>
      <c r="S1606" s="158">
        <f>IF($Q1606=0,0,$R1606*$P1606/$Q1606)</f>
        <v/>
      </c>
    </row>
    <row r="1607">
      <c r="A1607" s="155" t="n">
        <v>46110</v>
      </c>
      <c r="B1607" s="156" t="inlineStr">
        <is>
          <t>10-11</t>
        </is>
      </c>
      <c r="C1607" s="156" t="inlineStr">
        <is>
          <t>EX-1252</t>
        </is>
      </c>
      <c r="D1607" s="156" t="inlineStr">
        <is>
          <t>DT-509</t>
        </is>
      </c>
      <c r="E1607" s="156" t="inlineStr">
        <is>
          <t>OB</t>
        </is>
      </c>
      <c r="F1607" s="156" t="n">
        <v>2</v>
      </c>
      <c r="G1607" s="156" t="inlineStr"/>
      <c r="H1607" s="157">
        <f>IF($B1607="","",IF(ISNA(MATCH($B1607,MASTER_JAM!$Q$5:$Q$28,0)),"?",IF(MATCH($B1607,MASTER_JAM!$Q$5:$Q$28,0)&lt;=12,"DS","NS")))</f>
        <v/>
      </c>
      <c r="I1607" s="157">
        <f>IFERROR(INDEX(MASTER_JAM!$B$5:$B$94,MATCH($C1607,MASTER_JAM!$A$5:$A$94,0)),"")</f>
        <v/>
      </c>
      <c r="J1607" s="157">
        <f>IFERROR(INDEX(MASTER_JAM!$E$5:$E$94,MATCH($D1607,MASTER_JAM!$A$5:$A$94,0)),"")</f>
        <v/>
      </c>
      <c r="K1607" s="158">
        <f>IFERROR(INDEX(MASTER_JAM!$J$5:$O$12,MATCH($E1607,MASTER_JAM!$I$5:$I$12,0),MATCH($J1607,MASTER_JAM!$J$4:$O$4,0))+0,0)</f>
        <v/>
      </c>
      <c r="L1607" s="159">
        <f>N($F1607)*$K1607</f>
        <v/>
      </c>
      <c r="M1607" s="157">
        <f>IF($E1607="","",IF(OR($E1607="Coal",$E1607="Dirty Coal"),"MT","BCM"))</f>
        <v/>
      </c>
      <c r="N1607" s="157">
        <f>IF($E1607="","",IF(OR($E1607="Coal",$E1607="Dirty Coal"),"Coal","OB"))</f>
        <v/>
      </c>
      <c r="O1607" s="157">
        <f>IF($F1607="","",IF(COUNTIF(MASTER_JAM!$A$5:$A$94,$C1607)=0,"Digger tidak dikenal",IF($J1607="","Hauler tidak dikenal",IF($H1607="?","Jam salah",IF($K1607=0,"Faktor kosong",IF(SUMIFS(INPUT_DELAY!$E$5:$E$20000,INPUT_DELAY!$A$5:$A$20000,$A1607,INPUT_DELAY!$B$5:$B$20000,$B1607,INPUT_DELAY!$C$5:$C$20000,$C1607)+SUMIFS(INPUT_DELAY!$E$5:$E$20000,INPUT_DELAY!$A$5:$A$20000,$A1607,INPUT_DELAY!$B$5:$B$20000,$B1607,INPUT_DELAY!$C$5:$C$20000,"SEMUA")&gt;=60,"Delay 60 mnt tapi ada ritase","OK"))))))</f>
        <v/>
      </c>
      <c r="P1607" s="158">
        <f>IFERROR(INDEX(MASTER_JAM!$Z$5:$AC$10,MATCH($I1607,MASTER_JAM!$Y$5:$Y$10,0),MATCH($J1607,MASTER_JAM!$Z$4:$AC$4,0))+0,0)</f>
        <v/>
      </c>
      <c r="Q1607" s="158">
        <f>IF($P1607=0,0,$P1607+IFERROR(INDEX(MASTER_JAM!$H$5:$H$94,MATCH($C1607,MASTER_JAM!$A$5:$A$94,0))+0,MASTER_JAM!$AC$15)/1000*(60/MASTER_JAM!$AC$12+60/MASTER_JAM!$AC$13)+MASTER_JAM!$AC$14)</f>
        <v/>
      </c>
      <c r="R1607" s="158">
        <f>IF(N($F1607)=0,0,$F1607/SUMIFS(INPUT_RITASE!$F$5:$F$20000,INPUT_RITASE!$A$5:$A$20000,$A1607,INPUT_RITASE!$B$5:$B$20000,$B1607,INPUT_RITASE!$C$5:$C$20000,$C1607,INPUT_RITASE!$D$5:$D$20000,$D1607))</f>
        <v/>
      </c>
      <c r="S1607" s="158">
        <f>IF($Q1607=0,0,$R1607*$P1607/$Q1607)</f>
        <v/>
      </c>
    </row>
    <row r="1608">
      <c r="A1608" s="155" t="n">
        <v>46110</v>
      </c>
      <c r="B1608" s="156" t="inlineStr">
        <is>
          <t>11-12</t>
        </is>
      </c>
      <c r="C1608" s="156" t="inlineStr">
        <is>
          <t>EX-1252</t>
        </is>
      </c>
      <c r="D1608" s="156" t="inlineStr">
        <is>
          <t>HD-905</t>
        </is>
      </c>
      <c r="E1608" s="156" t="inlineStr">
        <is>
          <t>OB</t>
        </is>
      </c>
      <c r="F1608" s="156" t="n">
        <v>4</v>
      </c>
      <c r="G1608" s="156" t="inlineStr"/>
      <c r="H1608" s="157">
        <f>IF($B1608="","",IF(ISNA(MATCH($B1608,MASTER_JAM!$Q$5:$Q$28,0)),"?",IF(MATCH($B1608,MASTER_JAM!$Q$5:$Q$28,0)&lt;=12,"DS","NS")))</f>
        <v/>
      </c>
      <c r="I1608" s="157">
        <f>IFERROR(INDEX(MASTER_JAM!$B$5:$B$94,MATCH($C1608,MASTER_JAM!$A$5:$A$94,0)),"")</f>
        <v/>
      </c>
      <c r="J1608" s="157">
        <f>IFERROR(INDEX(MASTER_JAM!$E$5:$E$94,MATCH($D1608,MASTER_JAM!$A$5:$A$94,0)),"")</f>
        <v/>
      </c>
      <c r="K1608" s="158">
        <f>IFERROR(INDEX(MASTER_JAM!$J$5:$O$12,MATCH($E1608,MASTER_JAM!$I$5:$I$12,0),MATCH($J1608,MASTER_JAM!$J$4:$O$4,0))+0,0)</f>
        <v/>
      </c>
      <c r="L1608" s="159">
        <f>N($F1608)*$K1608</f>
        <v/>
      </c>
      <c r="M1608" s="157">
        <f>IF($E1608="","",IF(OR($E1608="Coal",$E1608="Dirty Coal"),"MT","BCM"))</f>
        <v/>
      </c>
      <c r="N1608" s="157">
        <f>IF($E1608="","",IF(OR($E1608="Coal",$E1608="Dirty Coal"),"Coal","OB"))</f>
        <v/>
      </c>
      <c r="O1608" s="157">
        <f>IF($F1608="","",IF(COUNTIF(MASTER_JAM!$A$5:$A$94,$C1608)=0,"Digger tidak dikenal",IF($J1608="","Hauler tidak dikenal",IF($H1608="?","Jam salah",IF($K1608=0,"Faktor kosong",IF(SUMIFS(INPUT_DELAY!$E$5:$E$20000,INPUT_DELAY!$A$5:$A$20000,$A1608,INPUT_DELAY!$B$5:$B$20000,$B1608,INPUT_DELAY!$C$5:$C$20000,$C1608)+SUMIFS(INPUT_DELAY!$E$5:$E$20000,INPUT_DELAY!$A$5:$A$20000,$A1608,INPUT_DELAY!$B$5:$B$20000,$B1608,INPUT_DELAY!$C$5:$C$20000,"SEMUA")&gt;=60,"Delay 60 mnt tapi ada ritase","OK"))))))</f>
        <v/>
      </c>
      <c r="P1608" s="158">
        <f>IFERROR(INDEX(MASTER_JAM!$Z$5:$AC$10,MATCH($I1608,MASTER_JAM!$Y$5:$Y$10,0),MATCH($J1608,MASTER_JAM!$Z$4:$AC$4,0))+0,0)</f>
        <v/>
      </c>
      <c r="Q1608" s="158">
        <f>IF($P1608=0,0,$P1608+IFERROR(INDEX(MASTER_JAM!$H$5:$H$94,MATCH($C1608,MASTER_JAM!$A$5:$A$94,0))+0,MASTER_JAM!$AC$15)/1000*(60/MASTER_JAM!$AC$12+60/MASTER_JAM!$AC$13)+MASTER_JAM!$AC$14)</f>
        <v/>
      </c>
      <c r="R1608" s="158">
        <f>IF(N($F1608)=0,0,$F1608/SUMIFS(INPUT_RITASE!$F$5:$F$20000,INPUT_RITASE!$A$5:$A$20000,$A1608,INPUT_RITASE!$B$5:$B$20000,$B1608,INPUT_RITASE!$C$5:$C$20000,$C1608,INPUT_RITASE!$D$5:$D$20000,$D1608))</f>
        <v/>
      </c>
      <c r="S1608" s="158">
        <f>IF($Q1608=0,0,$R1608*$P1608/$Q1608)</f>
        <v/>
      </c>
    </row>
    <row r="1609">
      <c r="A1609" s="155" t="n">
        <v>46110</v>
      </c>
      <c r="B1609" s="156" t="inlineStr">
        <is>
          <t>11-12</t>
        </is>
      </c>
      <c r="C1609" s="156" t="inlineStr">
        <is>
          <t>EX-1252</t>
        </is>
      </c>
      <c r="D1609" s="156" t="inlineStr">
        <is>
          <t>HD-901</t>
        </is>
      </c>
      <c r="E1609" s="156" t="inlineStr">
        <is>
          <t>OB</t>
        </is>
      </c>
      <c r="F1609" s="156" t="n">
        <v>4</v>
      </c>
      <c r="G1609" s="156" t="inlineStr"/>
      <c r="H1609" s="157">
        <f>IF($B1609="","",IF(ISNA(MATCH($B1609,MASTER_JAM!$Q$5:$Q$28,0)),"?",IF(MATCH($B1609,MASTER_JAM!$Q$5:$Q$28,0)&lt;=12,"DS","NS")))</f>
        <v/>
      </c>
      <c r="I1609" s="157">
        <f>IFERROR(INDEX(MASTER_JAM!$B$5:$B$94,MATCH($C1609,MASTER_JAM!$A$5:$A$94,0)),"")</f>
        <v/>
      </c>
      <c r="J1609" s="157">
        <f>IFERROR(INDEX(MASTER_JAM!$E$5:$E$94,MATCH($D1609,MASTER_JAM!$A$5:$A$94,0)),"")</f>
        <v/>
      </c>
      <c r="K1609" s="158">
        <f>IFERROR(INDEX(MASTER_JAM!$J$5:$O$12,MATCH($E1609,MASTER_JAM!$I$5:$I$12,0),MATCH($J1609,MASTER_JAM!$J$4:$O$4,0))+0,0)</f>
        <v/>
      </c>
      <c r="L1609" s="159">
        <f>N($F1609)*$K1609</f>
        <v/>
      </c>
      <c r="M1609" s="157">
        <f>IF($E1609="","",IF(OR($E1609="Coal",$E1609="Dirty Coal"),"MT","BCM"))</f>
        <v/>
      </c>
      <c r="N1609" s="157">
        <f>IF($E1609="","",IF(OR($E1609="Coal",$E1609="Dirty Coal"),"Coal","OB"))</f>
        <v/>
      </c>
      <c r="O1609" s="157">
        <f>IF($F1609="","",IF(COUNTIF(MASTER_JAM!$A$5:$A$94,$C1609)=0,"Digger tidak dikenal",IF($J1609="","Hauler tidak dikenal",IF($H1609="?","Jam salah",IF($K1609=0,"Faktor kosong",IF(SUMIFS(INPUT_DELAY!$E$5:$E$20000,INPUT_DELAY!$A$5:$A$20000,$A1609,INPUT_DELAY!$B$5:$B$20000,$B1609,INPUT_DELAY!$C$5:$C$20000,$C1609)+SUMIFS(INPUT_DELAY!$E$5:$E$20000,INPUT_DELAY!$A$5:$A$20000,$A1609,INPUT_DELAY!$B$5:$B$20000,$B1609,INPUT_DELAY!$C$5:$C$20000,"SEMUA")&gt;=60,"Delay 60 mnt tapi ada ritase","OK"))))))</f>
        <v/>
      </c>
      <c r="P1609" s="158">
        <f>IFERROR(INDEX(MASTER_JAM!$Z$5:$AC$10,MATCH($I1609,MASTER_JAM!$Y$5:$Y$10,0),MATCH($J1609,MASTER_JAM!$Z$4:$AC$4,0))+0,0)</f>
        <v/>
      </c>
      <c r="Q1609" s="158">
        <f>IF($P1609=0,0,$P1609+IFERROR(INDEX(MASTER_JAM!$H$5:$H$94,MATCH($C1609,MASTER_JAM!$A$5:$A$94,0))+0,MASTER_JAM!$AC$15)/1000*(60/MASTER_JAM!$AC$12+60/MASTER_JAM!$AC$13)+MASTER_JAM!$AC$14)</f>
        <v/>
      </c>
      <c r="R1609" s="158">
        <f>IF(N($F1609)=0,0,$F1609/SUMIFS(INPUT_RITASE!$F$5:$F$20000,INPUT_RITASE!$A$5:$A$20000,$A1609,INPUT_RITASE!$B$5:$B$20000,$B1609,INPUT_RITASE!$C$5:$C$20000,$C1609,INPUT_RITASE!$D$5:$D$20000,$D1609))</f>
        <v/>
      </c>
      <c r="S1609" s="158">
        <f>IF($Q1609=0,0,$R1609*$P1609/$Q1609)</f>
        <v/>
      </c>
    </row>
    <row r="1610">
      <c r="A1610" s="155" t="n">
        <v>46110</v>
      </c>
      <c r="B1610" s="156" t="inlineStr">
        <is>
          <t>11-12</t>
        </is>
      </c>
      <c r="C1610" s="156" t="inlineStr">
        <is>
          <t>EX-1252</t>
        </is>
      </c>
      <c r="D1610" s="156" t="inlineStr">
        <is>
          <t>HD-902</t>
        </is>
      </c>
      <c r="E1610" s="156" t="inlineStr">
        <is>
          <t>OB</t>
        </is>
      </c>
      <c r="F1610" s="156" t="n">
        <v>4</v>
      </c>
      <c r="G1610" s="156" t="inlineStr"/>
      <c r="H1610" s="157">
        <f>IF($B1610="","",IF(ISNA(MATCH($B1610,MASTER_JAM!$Q$5:$Q$28,0)),"?",IF(MATCH($B1610,MASTER_JAM!$Q$5:$Q$28,0)&lt;=12,"DS","NS")))</f>
        <v/>
      </c>
      <c r="I1610" s="157">
        <f>IFERROR(INDEX(MASTER_JAM!$B$5:$B$94,MATCH($C1610,MASTER_JAM!$A$5:$A$94,0)),"")</f>
        <v/>
      </c>
      <c r="J1610" s="157">
        <f>IFERROR(INDEX(MASTER_JAM!$E$5:$E$94,MATCH($D1610,MASTER_JAM!$A$5:$A$94,0)),"")</f>
        <v/>
      </c>
      <c r="K1610" s="158">
        <f>IFERROR(INDEX(MASTER_JAM!$J$5:$O$12,MATCH($E1610,MASTER_JAM!$I$5:$I$12,0),MATCH($J1610,MASTER_JAM!$J$4:$O$4,0))+0,0)</f>
        <v/>
      </c>
      <c r="L1610" s="159">
        <f>N($F1610)*$K1610</f>
        <v/>
      </c>
      <c r="M1610" s="157">
        <f>IF($E1610="","",IF(OR($E1610="Coal",$E1610="Dirty Coal"),"MT","BCM"))</f>
        <v/>
      </c>
      <c r="N1610" s="157">
        <f>IF($E1610="","",IF(OR($E1610="Coal",$E1610="Dirty Coal"),"Coal","OB"))</f>
        <v/>
      </c>
      <c r="O1610" s="157">
        <f>IF($F1610="","",IF(COUNTIF(MASTER_JAM!$A$5:$A$94,$C1610)=0,"Digger tidak dikenal",IF($J1610="","Hauler tidak dikenal",IF($H1610="?","Jam salah",IF($K1610=0,"Faktor kosong",IF(SUMIFS(INPUT_DELAY!$E$5:$E$20000,INPUT_DELAY!$A$5:$A$20000,$A1610,INPUT_DELAY!$B$5:$B$20000,$B1610,INPUT_DELAY!$C$5:$C$20000,$C1610)+SUMIFS(INPUT_DELAY!$E$5:$E$20000,INPUT_DELAY!$A$5:$A$20000,$A1610,INPUT_DELAY!$B$5:$B$20000,$B1610,INPUT_DELAY!$C$5:$C$20000,"SEMUA")&gt;=60,"Delay 60 mnt tapi ada ritase","OK"))))))</f>
        <v/>
      </c>
      <c r="P1610" s="158">
        <f>IFERROR(INDEX(MASTER_JAM!$Z$5:$AC$10,MATCH($I1610,MASTER_JAM!$Y$5:$Y$10,0),MATCH($J1610,MASTER_JAM!$Z$4:$AC$4,0))+0,0)</f>
        <v/>
      </c>
      <c r="Q1610" s="158">
        <f>IF($P1610=0,0,$P1610+IFERROR(INDEX(MASTER_JAM!$H$5:$H$94,MATCH($C1610,MASTER_JAM!$A$5:$A$94,0))+0,MASTER_JAM!$AC$15)/1000*(60/MASTER_JAM!$AC$12+60/MASTER_JAM!$AC$13)+MASTER_JAM!$AC$14)</f>
        <v/>
      </c>
      <c r="R1610" s="158">
        <f>IF(N($F1610)=0,0,$F1610/SUMIFS(INPUT_RITASE!$F$5:$F$20000,INPUT_RITASE!$A$5:$A$20000,$A1610,INPUT_RITASE!$B$5:$B$20000,$B1610,INPUT_RITASE!$C$5:$C$20000,$C1610,INPUT_RITASE!$D$5:$D$20000,$D1610))</f>
        <v/>
      </c>
      <c r="S1610" s="158">
        <f>IF($Q1610=0,0,$R1610*$P1610/$Q1610)</f>
        <v/>
      </c>
    </row>
    <row r="1611">
      <c r="A1611" s="155" t="n">
        <v>46110</v>
      </c>
      <c r="B1611" s="156" t="inlineStr">
        <is>
          <t>11-12</t>
        </is>
      </c>
      <c r="C1611" s="156" t="inlineStr">
        <is>
          <t>EX-1252</t>
        </is>
      </c>
      <c r="D1611" s="156" t="inlineStr">
        <is>
          <t>DT-523</t>
        </is>
      </c>
      <c r="E1611" s="156" t="inlineStr">
        <is>
          <t>OB</t>
        </is>
      </c>
      <c r="F1611" s="156" t="n">
        <v>2</v>
      </c>
      <c r="G1611" s="156" t="inlineStr"/>
      <c r="H1611" s="157">
        <f>IF($B1611="","",IF(ISNA(MATCH($B1611,MASTER_JAM!$Q$5:$Q$28,0)),"?",IF(MATCH($B1611,MASTER_JAM!$Q$5:$Q$28,0)&lt;=12,"DS","NS")))</f>
        <v/>
      </c>
      <c r="I1611" s="157">
        <f>IFERROR(INDEX(MASTER_JAM!$B$5:$B$94,MATCH($C1611,MASTER_JAM!$A$5:$A$94,0)),"")</f>
        <v/>
      </c>
      <c r="J1611" s="157">
        <f>IFERROR(INDEX(MASTER_JAM!$E$5:$E$94,MATCH($D1611,MASTER_JAM!$A$5:$A$94,0)),"")</f>
        <v/>
      </c>
      <c r="K1611" s="158">
        <f>IFERROR(INDEX(MASTER_JAM!$J$5:$O$12,MATCH($E1611,MASTER_JAM!$I$5:$I$12,0),MATCH($J1611,MASTER_JAM!$J$4:$O$4,0))+0,0)</f>
        <v/>
      </c>
      <c r="L1611" s="159">
        <f>N($F1611)*$K1611</f>
        <v/>
      </c>
      <c r="M1611" s="157">
        <f>IF($E1611="","",IF(OR($E1611="Coal",$E1611="Dirty Coal"),"MT","BCM"))</f>
        <v/>
      </c>
      <c r="N1611" s="157">
        <f>IF($E1611="","",IF(OR($E1611="Coal",$E1611="Dirty Coal"),"Coal","OB"))</f>
        <v/>
      </c>
      <c r="O1611" s="157">
        <f>IF($F1611="","",IF(COUNTIF(MASTER_JAM!$A$5:$A$94,$C1611)=0,"Digger tidak dikenal",IF($J1611="","Hauler tidak dikenal",IF($H1611="?","Jam salah",IF($K1611=0,"Faktor kosong",IF(SUMIFS(INPUT_DELAY!$E$5:$E$20000,INPUT_DELAY!$A$5:$A$20000,$A1611,INPUT_DELAY!$B$5:$B$20000,$B1611,INPUT_DELAY!$C$5:$C$20000,$C1611)+SUMIFS(INPUT_DELAY!$E$5:$E$20000,INPUT_DELAY!$A$5:$A$20000,$A1611,INPUT_DELAY!$B$5:$B$20000,$B1611,INPUT_DELAY!$C$5:$C$20000,"SEMUA")&gt;=60,"Delay 60 mnt tapi ada ritase","OK"))))))</f>
        <v/>
      </c>
      <c r="P1611" s="158">
        <f>IFERROR(INDEX(MASTER_JAM!$Z$5:$AC$10,MATCH($I1611,MASTER_JAM!$Y$5:$Y$10,0),MATCH($J1611,MASTER_JAM!$Z$4:$AC$4,0))+0,0)</f>
        <v/>
      </c>
      <c r="Q1611" s="158">
        <f>IF($P1611=0,0,$P1611+IFERROR(INDEX(MASTER_JAM!$H$5:$H$94,MATCH($C1611,MASTER_JAM!$A$5:$A$94,0))+0,MASTER_JAM!$AC$15)/1000*(60/MASTER_JAM!$AC$12+60/MASTER_JAM!$AC$13)+MASTER_JAM!$AC$14)</f>
        <v/>
      </c>
      <c r="R1611" s="158">
        <f>IF(N($F1611)=0,0,$F1611/SUMIFS(INPUT_RITASE!$F$5:$F$20000,INPUT_RITASE!$A$5:$A$20000,$A1611,INPUT_RITASE!$B$5:$B$20000,$B1611,INPUT_RITASE!$C$5:$C$20000,$C1611,INPUT_RITASE!$D$5:$D$20000,$D1611))</f>
        <v/>
      </c>
      <c r="S1611" s="158">
        <f>IF($Q1611=0,0,$R1611*$P1611/$Q1611)</f>
        <v/>
      </c>
    </row>
    <row r="1612">
      <c r="A1612" s="155" t="n">
        <v>46110</v>
      </c>
      <c r="B1612" s="156" t="inlineStr">
        <is>
          <t>13-14</t>
        </is>
      </c>
      <c r="C1612" s="156" t="inlineStr">
        <is>
          <t>EX-1252</t>
        </is>
      </c>
      <c r="D1612" s="156" t="inlineStr">
        <is>
          <t>DT-520</t>
        </is>
      </c>
      <c r="E1612" s="156" t="inlineStr">
        <is>
          <t>OB</t>
        </is>
      </c>
      <c r="F1612" s="156" t="n">
        <v>3</v>
      </c>
      <c r="G1612" s="156" t="inlineStr"/>
      <c r="H1612" s="157">
        <f>IF($B1612="","",IF(ISNA(MATCH($B1612,MASTER_JAM!$Q$5:$Q$28,0)),"?",IF(MATCH($B1612,MASTER_JAM!$Q$5:$Q$28,0)&lt;=12,"DS","NS")))</f>
        <v/>
      </c>
      <c r="I1612" s="157">
        <f>IFERROR(INDEX(MASTER_JAM!$B$5:$B$94,MATCH($C1612,MASTER_JAM!$A$5:$A$94,0)),"")</f>
        <v/>
      </c>
      <c r="J1612" s="157">
        <f>IFERROR(INDEX(MASTER_JAM!$E$5:$E$94,MATCH($D1612,MASTER_JAM!$A$5:$A$94,0)),"")</f>
        <v/>
      </c>
      <c r="K1612" s="158">
        <f>IFERROR(INDEX(MASTER_JAM!$J$5:$O$12,MATCH($E1612,MASTER_JAM!$I$5:$I$12,0),MATCH($J1612,MASTER_JAM!$J$4:$O$4,0))+0,0)</f>
        <v/>
      </c>
      <c r="L1612" s="159">
        <f>N($F1612)*$K1612</f>
        <v/>
      </c>
      <c r="M1612" s="157">
        <f>IF($E1612="","",IF(OR($E1612="Coal",$E1612="Dirty Coal"),"MT","BCM"))</f>
        <v/>
      </c>
      <c r="N1612" s="157">
        <f>IF($E1612="","",IF(OR($E1612="Coal",$E1612="Dirty Coal"),"Coal","OB"))</f>
        <v/>
      </c>
      <c r="O1612" s="157">
        <f>IF($F1612="","",IF(COUNTIF(MASTER_JAM!$A$5:$A$94,$C1612)=0,"Digger tidak dikenal",IF($J1612="","Hauler tidak dikenal",IF($H1612="?","Jam salah",IF($K1612=0,"Faktor kosong",IF(SUMIFS(INPUT_DELAY!$E$5:$E$20000,INPUT_DELAY!$A$5:$A$20000,$A1612,INPUT_DELAY!$B$5:$B$20000,$B1612,INPUT_DELAY!$C$5:$C$20000,$C1612)+SUMIFS(INPUT_DELAY!$E$5:$E$20000,INPUT_DELAY!$A$5:$A$20000,$A1612,INPUT_DELAY!$B$5:$B$20000,$B1612,INPUT_DELAY!$C$5:$C$20000,"SEMUA")&gt;=60,"Delay 60 mnt tapi ada ritase","OK"))))))</f>
        <v/>
      </c>
      <c r="P1612" s="158">
        <f>IFERROR(INDEX(MASTER_JAM!$Z$5:$AC$10,MATCH($I1612,MASTER_JAM!$Y$5:$Y$10,0),MATCH($J1612,MASTER_JAM!$Z$4:$AC$4,0))+0,0)</f>
        <v/>
      </c>
      <c r="Q1612" s="158">
        <f>IF($P1612=0,0,$P1612+IFERROR(INDEX(MASTER_JAM!$H$5:$H$94,MATCH($C1612,MASTER_JAM!$A$5:$A$94,0))+0,MASTER_JAM!$AC$15)/1000*(60/MASTER_JAM!$AC$12+60/MASTER_JAM!$AC$13)+MASTER_JAM!$AC$14)</f>
        <v/>
      </c>
      <c r="R1612" s="158">
        <f>IF(N($F1612)=0,0,$F1612/SUMIFS(INPUT_RITASE!$F$5:$F$20000,INPUT_RITASE!$A$5:$A$20000,$A1612,INPUT_RITASE!$B$5:$B$20000,$B1612,INPUT_RITASE!$C$5:$C$20000,$C1612,INPUT_RITASE!$D$5:$D$20000,$D1612))</f>
        <v/>
      </c>
      <c r="S1612" s="158">
        <f>IF($Q1612=0,0,$R1612*$P1612/$Q1612)</f>
        <v/>
      </c>
    </row>
    <row r="1613">
      <c r="A1613" s="155" t="n">
        <v>46110</v>
      </c>
      <c r="B1613" s="156" t="inlineStr">
        <is>
          <t>13-14</t>
        </is>
      </c>
      <c r="C1613" s="156" t="inlineStr">
        <is>
          <t>EX-1252</t>
        </is>
      </c>
      <c r="D1613" s="156" t="inlineStr">
        <is>
          <t>DT-514</t>
        </is>
      </c>
      <c r="E1613" s="156" t="inlineStr">
        <is>
          <t>OB</t>
        </is>
      </c>
      <c r="F1613" s="156" t="n">
        <v>3</v>
      </c>
      <c r="G1613" s="156" t="inlineStr"/>
      <c r="H1613" s="157">
        <f>IF($B1613="","",IF(ISNA(MATCH($B1613,MASTER_JAM!$Q$5:$Q$28,0)),"?",IF(MATCH($B1613,MASTER_JAM!$Q$5:$Q$28,0)&lt;=12,"DS","NS")))</f>
        <v/>
      </c>
      <c r="I1613" s="157">
        <f>IFERROR(INDEX(MASTER_JAM!$B$5:$B$94,MATCH($C1613,MASTER_JAM!$A$5:$A$94,0)),"")</f>
        <v/>
      </c>
      <c r="J1613" s="157">
        <f>IFERROR(INDEX(MASTER_JAM!$E$5:$E$94,MATCH($D1613,MASTER_JAM!$A$5:$A$94,0)),"")</f>
        <v/>
      </c>
      <c r="K1613" s="158">
        <f>IFERROR(INDEX(MASTER_JAM!$J$5:$O$12,MATCH($E1613,MASTER_JAM!$I$5:$I$12,0),MATCH($J1613,MASTER_JAM!$J$4:$O$4,0))+0,0)</f>
        <v/>
      </c>
      <c r="L1613" s="159">
        <f>N($F1613)*$K1613</f>
        <v/>
      </c>
      <c r="M1613" s="157">
        <f>IF($E1613="","",IF(OR($E1613="Coal",$E1613="Dirty Coal"),"MT","BCM"))</f>
        <v/>
      </c>
      <c r="N1613" s="157">
        <f>IF($E1613="","",IF(OR($E1613="Coal",$E1613="Dirty Coal"),"Coal","OB"))</f>
        <v/>
      </c>
      <c r="O1613" s="157">
        <f>IF($F1613="","",IF(COUNTIF(MASTER_JAM!$A$5:$A$94,$C1613)=0,"Digger tidak dikenal",IF($J1613="","Hauler tidak dikenal",IF($H1613="?","Jam salah",IF($K1613=0,"Faktor kosong",IF(SUMIFS(INPUT_DELAY!$E$5:$E$20000,INPUT_DELAY!$A$5:$A$20000,$A1613,INPUT_DELAY!$B$5:$B$20000,$B1613,INPUT_DELAY!$C$5:$C$20000,$C1613)+SUMIFS(INPUT_DELAY!$E$5:$E$20000,INPUT_DELAY!$A$5:$A$20000,$A1613,INPUT_DELAY!$B$5:$B$20000,$B1613,INPUT_DELAY!$C$5:$C$20000,"SEMUA")&gt;=60,"Delay 60 mnt tapi ada ritase","OK"))))))</f>
        <v/>
      </c>
      <c r="P1613" s="158">
        <f>IFERROR(INDEX(MASTER_JAM!$Z$5:$AC$10,MATCH($I1613,MASTER_JAM!$Y$5:$Y$10,0),MATCH($J1613,MASTER_JAM!$Z$4:$AC$4,0))+0,0)</f>
        <v/>
      </c>
      <c r="Q1613" s="158">
        <f>IF($P1613=0,0,$P1613+IFERROR(INDEX(MASTER_JAM!$H$5:$H$94,MATCH($C1613,MASTER_JAM!$A$5:$A$94,0))+0,MASTER_JAM!$AC$15)/1000*(60/MASTER_JAM!$AC$12+60/MASTER_JAM!$AC$13)+MASTER_JAM!$AC$14)</f>
        <v/>
      </c>
      <c r="R1613" s="158">
        <f>IF(N($F1613)=0,0,$F1613/SUMIFS(INPUT_RITASE!$F$5:$F$20000,INPUT_RITASE!$A$5:$A$20000,$A1613,INPUT_RITASE!$B$5:$B$20000,$B1613,INPUT_RITASE!$C$5:$C$20000,$C1613,INPUT_RITASE!$D$5:$D$20000,$D1613))</f>
        <v/>
      </c>
      <c r="S1613" s="158">
        <f>IF($Q1613=0,0,$R1613*$P1613/$Q1613)</f>
        <v/>
      </c>
    </row>
    <row r="1614">
      <c r="A1614" s="155" t="n">
        <v>46110</v>
      </c>
      <c r="B1614" s="156" t="inlineStr">
        <is>
          <t>13-14</t>
        </is>
      </c>
      <c r="C1614" s="156" t="inlineStr">
        <is>
          <t>EX-1252</t>
        </is>
      </c>
      <c r="D1614" s="156" t="inlineStr">
        <is>
          <t>HD-901</t>
        </is>
      </c>
      <c r="E1614" s="156" t="inlineStr">
        <is>
          <t>OB</t>
        </is>
      </c>
      <c r="F1614" s="156" t="n">
        <v>5</v>
      </c>
      <c r="G1614" s="156" t="inlineStr"/>
      <c r="H1614" s="157">
        <f>IF($B1614="","",IF(ISNA(MATCH($B1614,MASTER_JAM!$Q$5:$Q$28,0)),"?",IF(MATCH($B1614,MASTER_JAM!$Q$5:$Q$28,0)&lt;=12,"DS","NS")))</f>
        <v/>
      </c>
      <c r="I1614" s="157">
        <f>IFERROR(INDEX(MASTER_JAM!$B$5:$B$94,MATCH($C1614,MASTER_JAM!$A$5:$A$94,0)),"")</f>
        <v/>
      </c>
      <c r="J1614" s="157">
        <f>IFERROR(INDEX(MASTER_JAM!$E$5:$E$94,MATCH($D1614,MASTER_JAM!$A$5:$A$94,0)),"")</f>
        <v/>
      </c>
      <c r="K1614" s="158">
        <f>IFERROR(INDEX(MASTER_JAM!$J$5:$O$12,MATCH($E1614,MASTER_JAM!$I$5:$I$12,0),MATCH($J1614,MASTER_JAM!$J$4:$O$4,0))+0,0)</f>
        <v/>
      </c>
      <c r="L1614" s="159">
        <f>N($F1614)*$K1614</f>
        <v/>
      </c>
      <c r="M1614" s="157">
        <f>IF($E1614="","",IF(OR($E1614="Coal",$E1614="Dirty Coal"),"MT","BCM"))</f>
        <v/>
      </c>
      <c r="N1614" s="157">
        <f>IF($E1614="","",IF(OR($E1614="Coal",$E1614="Dirty Coal"),"Coal","OB"))</f>
        <v/>
      </c>
      <c r="O1614" s="157">
        <f>IF($F1614="","",IF(COUNTIF(MASTER_JAM!$A$5:$A$94,$C1614)=0,"Digger tidak dikenal",IF($J1614="","Hauler tidak dikenal",IF($H1614="?","Jam salah",IF($K1614=0,"Faktor kosong",IF(SUMIFS(INPUT_DELAY!$E$5:$E$20000,INPUT_DELAY!$A$5:$A$20000,$A1614,INPUT_DELAY!$B$5:$B$20000,$B1614,INPUT_DELAY!$C$5:$C$20000,$C1614)+SUMIFS(INPUT_DELAY!$E$5:$E$20000,INPUT_DELAY!$A$5:$A$20000,$A1614,INPUT_DELAY!$B$5:$B$20000,$B1614,INPUT_DELAY!$C$5:$C$20000,"SEMUA")&gt;=60,"Delay 60 mnt tapi ada ritase","OK"))))))</f>
        <v/>
      </c>
      <c r="P1614" s="158">
        <f>IFERROR(INDEX(MASTER_JAM!$Z$5:$AC$10,MATCH($I1614,MASTER_JAM!$Y$5:$Y$10,0),MATCH($J1614,MASTER_JAM!$Z$4:$AC$4,0))+0,0)</f>
        <v/>
      </c>
      <c r="Q1614" s="158">
        <f>IF($P1614=0,0,$P1614+IFERROR(INDEX(MASTER_JAM!$H$5:$H$94,MATCH($C1614,MASTER_JAM!$A$5:$A$94,0))+0,MASTER_JAM!$AC$15)/1000*(60/MASTER_JAM!$AC$12+60/MASTER_JAM!$AC$13)+MASTER_JAM!$AC$14)</f>
        <v/>
      </c>
      <c r="R1614" s="158">
        <f>IF(N($F1614)=0,0,$F1614/SUMIFS(INPUT_RITASE!$F$5:$F$20000,INPUT_RITASE!$A$5:$A$20000,$A1614,INPUT_RITASE!$B$5:$B$20000,$B1614,INPUT_RITASE!$C$5:$C$20000,$C1614,INPUT_RITASE!$D$5:$D$20000,$D1614))</f>
        <v/>
      </c>
      <c r="S1614" s="158">
        <f>IF($Q1614=0,0,$R1614*$P1614/$Q1614)</f>
        <v/>
      </c>
    </row>
    <row r="1615">
      <c r="A1615" s="155" t="n">
        <v>46110</v>
      </c>
      <c r="B1615" s="156" t="inlineStr">
        <is>
          <t>13-14</t>
        </is>
      </c>
      <c r="C1615" s="156" t="inlineStr">
        <is>
          <t>EX-1252</t>
        </is>
      </c>
      <c r="D1615" s="156" t="inlineStr">
        <is>
          <t>HD-902</t>
        </is>
      </c>
      <c r="E1615" s="156" t="inlineStr">
        <is>
          <t>OB</t>
        </is>
      </c>
      <c r="F1615" s="156" t="n">
        <v>5</v>
      </c>
      <c r="G1615" s="156" t="inlineStr"/>
      <c r="H1615" s="157">
        <f>IF($B1615="","",IF(ISNA(MATCH($B1615,MASTER_JAM!$Q$5:$Q$28,0)),"?",IF(MATCH($B1615,MASTER_JAM!$Q$5:$Q$28,0)&lt;=12,"DS","NS")))</f>
        <v/>
      </c>
      <c r="I1615" s="157">
        <f>IFERROR(INDEX(MASTER_JAM!$B$5:$B$94,MATCH($C1615,MASTER_JAM!$A$5:$A$94,0)),"")</f>
        <v/>
      </c>
      <c r="J1615" s="157">
        <f>IFERROR(INDEX(MASTER_JAM!$E$5:$E$94,MATCH($D1615,MASTER_JAM!$A$5:$A$94,0)),"")</f>
        <v/>
      </c>
      <c r="K1615" s="158">
        <f>IFERROR(INDEX(MASTER_JAM!$J$5:$O$12,MATCH($E1615,MASTER_JAM!$I$5:$I$12,0),MATCH($J1615,MASTER_JAM!$J$4:$O$4,0))+0,0)</f>
        <v/>
      </c>
      <c r="L1615" s="159">
        <f>N($F1615)*$K1615</f>
        <v/>
      </c>
      <c r="M1615" s="157">
        <f>IF($E1615="","",IF(OR($E1615="Coal",$E1615="Dirty Coal"),"MT","BCM"))</f>
        <v/>
      </c>
      <c r="N1615" s="157">
        <f>IF($E1615="","",IF(OR($E1615="Coal",$E1615="Dirty Coal"),"Coal","OB"))</f>
        <v/>
      </c>
      <c r="O1615" s="157">
        <f>IF($F1615="","",IF(COUNTIF(MASTER_JAM!$A$5:$A$94,$C1615)=0,"Digger tidak dikenal",IF($J1615="","Hauler tidak dikenal",IF($H1615="?","Jam salah",IF($K1615=0,"Faktor kosong",IF(SUMIFS(INPUT_DELAY!$E$5:$E$20000,INPUT_DELAY!$A$5:$A$20000,$A1615,INPUT_DELAY!$B$5:$B$20000,$B1615,INPUT_DELAY!$C$5:$C$20000,$C1615)+SUMIFS(INPUT_DELAY!$E$5:$E$20000,INPUT_DELAY!$A$5:$A$20000,$A1615,INPUT_DELAY!$B$5:$B$20000,$B1615,INPUT_DELAY!$C$5:$C$20000,"SEMUA")&gt;=60,"Delay 60 mnt tapi ada ritase","OK"))))))</f>
        <v/>
      </c>
      <c r="P1615" s="158">
        <f>IFERROR(INDEX(MASTER_JAM!$Z$5:$AC$10,MATCH($I1615,MASTER_JAM!$Y$5:$Y$10,0),MATCH($J1615,MASTER_JAM!$Z$4:$AC$4,0))+0,0)</f>
        <v/>
      </c>
      <c r="Q1615" s="158">
        <f>IF($P1615=0,0,$P1615+IFERROR(INDEX(MASTER_JAM!$H$5:$H$94,MATCH($C1615,MASTER_JAM!$A$5:$A$94,0))+0,MASTER_JAM!$AC$15)/1000*(60/MASTER_JAM!$AC$12+60/MASTER_JAM!$AC$13)+MASTER_JAM!$AC$14)</f>
        <v/>
      </c>
      <c r="R1615" s="158">
        <f>IF(N($F1615)=0,0,$F1615/SUMIFS(INPUT_RITASE!$F$5:$F$20000,INPUT_RITASE!$A$5:$A$20000,$A1615,INPUT_RITASE!$B$5:$B$20000,$B1615,INPUT_RITASE!$C$5:$C$20000,$C1615,INPUT_RITASE!$D$5:$D$20000,$D1615))</f>
        <v/>
      </c>
      <c r="S1615" s="158">
        <f>IF($Q1615=0,0,$R1615*$P1615/$Q1615)</f>
        <v/>
      </c>
    </row>
    <row r="1616">
      <c r="A1616" s="155" t="n">
        <v>46110</v>
      </c>
      <c r="B1616" s="156" t="inlineStr">
        <is>
          <t>13-14</t>
        </is>
      </c>
      <c r="C1616" s="156" t="inlineStr">
        <is>
          <t>EX-1252</t>
        </is>
      </c>
      <c r="D1616" s="156" t="inlineStr">
        <is>
          <t>HD-905</t>
        </is>
      </c>
      <c r="E1616" s="156" t="inlineStr">
        <is>
          <t>OB</t>
        </is>
      </c>
      <c r="F1616" s="156" t="n">
        <v>5</v>
      </c>
      <c r="G1616" s="156" t="inlineStr"/>
      <c r="H1616" s="157">
        <f>IF($B1616="","",IF(ISNA(MATCH($B1616,MASTER_JAM!$Q$5:$Q$28,0)),"?",IF(MATCH($B1616,MASTER_JAM!$Q$5:$Q$28,0)&lt;=12,"DS","NS")))</f>
        <v/>
      </c>
      <c r="I1616" s="157">
        <f>IFERROR(INDEX(MASTER_JAM!$B$5:$B$94,MATCH($C1616,MASTER_JAM!$A$5:$A$94,0)),"")</f>
        <v/>
      </c>
      <c r="J1616" s="157">
        <f>IFERROR(INDEX(MASTER_JAM!$E$5:$E$94,MATCH($D1616,MASTER_JAM!$A$5:$A$94,0)),"")</f>
        <v/>
      </c>
      <c r="K1616" s="158">
        <f>IFERROR(INDEX(MASTER_JAM!$J$5:$O$12,MATCH($E1616,MASTER_JAM!$I$5:$I$12,0),MATCH($J1616,MASTER_JAM!$J$4:$O$4,0))+0,0)</f>
        <v/>
      </c>
      <c r="L1616" s="159">
        <f>N($F1616)*$K1616</f>
        <v/>
      </c>
      <c r="M1616" s="157">
        <f>IF($E1616="","",IF(OR($E1616="Coal",$E1616="Dirty Coal"),"MT","BCM"))</f>
        <v/>
      </c>
      <c r="N1616" s="157">
        <f>IF($E1616="","",IF(OR($E1616="Coal",$E1616="Dirty Coal"),"Coal","OB"))</f>
        <v/>
      </c>
      <c r="O1616" s="157">
        <f>IF($F1616="","",IF(COUNTIF(MASTER_JAM!$A$5:$A$94,$C1616)=0,"Digger tidak dikenal",IF($J1616="","Hauler tidak dikenal",IF($H1616="?","Jam salah",IF($K1616=0,"Faktor kosong",IF(SUMIFS(INPUT_DELAY!$E$5:$E$20000,INPUT_DELAY!$A$5:$A$20000,$A1616,INPUT_DELAY!$B$5:$B$20000,$B1616,INPUT_DELAY!$C$5:$C$20000,$C1616)+SUMIFS(INPUT_DELAY!$E$5:$E$20000,INPUT_DELAY!$A$5:$A$20000,$A1616,INPUT_DELAY!$B$5:$B$20000,$B1616,INPUT_DELAY!$C$5:$C$20000,"SEMUA")&gt;=60,"Delay 60 mnt tapi ada ritase","OK"))))))</f>
        <v/>
      </c>
      <c r="P1616" s="158">
        <f>IFERROR(INDEX(MASTER_JAM!$Z$5:$AC$10,MATCH($I1616,MASTER_JAM!$Y$5:$Y$10,0),MATCH($J1616,MASTER_JAM!$Z$4:$AC$4,0))+0,0)</f>
        <v/>
      </c>
      <c r="Q1616" s="158">
        <f>IF($P1616=0,0,$P1616+IFERROR(INDEX(MASTER_JAM!$H$5:$H$94,MATCH($C1616,MASTER_JAM!$A$5:$A$94,0))+0,MASTER_JAM!$AC$15)/1000*(60/MASTER_JAM!$AC$12+60/MASTER_JAM!$AC$13)+MASTER_JAM!$AC$14)</f>
        <v/>
      </c>
      <c r="R1616" s="158">
        <f>IF(N($F1616)=0,0,$F1616/SUMIFS(INPUT_RITASE!$F$5:$F$20000,INPUT_RITASE!$A$5:$A$20000,$A1616,INPUT_RITASE!$B$5:$B$20000,$B1616,INPUT_RITASE!$C$5:$C$20000,$C1616,INPUT_RITASE!$D$5:$D$20000,$D1616))</f>
        <v/>
      </c>
      <c r="S1616" s="158">
        <f>IF($Q1616=0,0,$R1616*$P1616/$Q1616)</f>
        <v/>
      </c>
    </row>
    <row r="1617">
      <c r="A1617" s="155" t="n">
        <v>46110</v>
      </c>
      <c r="B1617" s="156" t="inlineStr">
        <is>
          <t>14-15</t>
        </is>
      </c>
      <c r="C1617" s="156" t="inlineStr">
        <is>
          <t>EX-1252</t>
        </is>
      </c>
      <c r="D1617" s="156" t="inlineStr">
        <is>
          <t>DT-529</t>
        </is>
      </c>
      <c r="E1617" s="156" t="inlineStr">
        <is>
          <t>OB</t>
        </is>
      </c>
      <c r="F1617" s="156" t="n">
        <v>3</v>
      </c>
      <c r="G1617" s="156" t="inlineStr"/>
      <c r="H1617" s="157">
        <f>IF($B1617="","",IF(ISNA(MATCH($B1617,MASTER_JAM!$Q$5:$Q$28,0)),"?",IF(MATCH($B1617,MASTER_JAM!$Q$5:$Q$28,0)&lt;=12,"DS","NS")))</f>
        <v/>
      </c>
      <c r="I1617" s="157">
        <f>IFERROR(INDEX(MASTER_JAM!$B$5:$B$94,MATCH($C1617,MASTER_JAM!$A$5:$A$94,0)),"")</f>
        <v/>
      </c>
      <c r="J1617" s="157">
        <f>IFERROR(INDEX(MASTER_JAM!$E$5:$E$94,MATCH($D1617,MASTER_JAM!$A$5:$A$94,0)),"")</f>
        <v/>
      </c>
      <c r="K1617" s="158">
        <f>IFERROR(INDEX(MASTER_JAM!$J$5:$O$12,MATCH($E1617,MASTER_JAM!$I$5:$I$12,0),MATCH($J1617,MASTER_JAM!$J$4:$O$4,0))+0,0)</f>
        <v/>
      </c>
      <c r="L1617" s="159">
        <f>N($F1617)*$K1617</f>
        <v/>
      </c>
      <c r="M1617" s="157">
        <f>IF($E1617="","",IF(OR($E1617="Coal",$E1617="Dirty Coal"),"MT","BCM"))</f>
        <v/>
      </c>
      <c r="N1617" s="157">
        <f>IF($E1617="","",IF(OR($E1617="Coal",$E1617="Dirty Coal"),"Coal","OB"))</f>
        <v/>
      </c>
      <c r="O1617" s="157">
        <f>IF($F1617="","",IF(COUNTIF(MASTER_JAM!$A$5:$A$94,$C1617)=0,"Digger tidak dikenal",IF($J1617="","Hauler tidak dikenal",IF($H1617="?","Jam salah",IF($K1617=0,"Faktor kosong",IF(SUMIFS(INPUT_DELAY!$E$5:$E$20000,INPUT_DELAY!$A$5:$A$20000,$A1617,INPUT_DELAY!$B$5:$B$20000,$B1617,INPUT_DELAY!$C$5:$C$20000,$C1617)+SUMIFS(INPUT_DELAY!$E$5:$E$20000,INPUT_DELAY!$A$5:$A$20000,$A1617,INPUT_DELAY!$B$5:$B$20000,$B1617,INPUT_DELAY!$C$5:$C$20000,"SEMUA")&gt;=60,"Delay 60 mnt tapi ada ritase","OK"))))))</f>
        <v/>
      </c>
      <c r="P1617" s="158">
        <f>IFERROR(INDEX(MASTER_JAM!$Z$5:$AC$10,MATCH($I1617,MASTER_JAM!$Y$5:$Y$10,0),MATCH($J1617,MASTER_JAM!$Z$4:$AC$4,0))+0,0)</f>
        <v/>
      </c>
      <c r="Q1617" s="158">
        <f>IF($P1617=0,0,$P1617+IFERROR(INDEX(MASTER_JAM!$H$5:$H$94,MATCH($C1617,MASTER_JAM!$A$5:$A$94,0))+0,MASTER_JAM!$AC$15)/1000*(60/MASTER_JAM!$AC$12+60/MASTER_JAM!$AC$13)+MASTER_JAM!$AC$14)</f>
        <v/>
      </c>
      <c r="R1617" s="158">
        <f>IF(N($F1617)=0,0,$F1617/SUMIFS(INPUT_RITASE!$F$5:$F$20000,INPUT_RITASE!$A$5:$A$20000,$A1617,INPUT_RITASE!$B$5:$B$20000,$B1617,INPUT_RITASE!$C$5:$C$20000,$C1617,INPUT_RITASE!$D$5:$D$20000,$D1617))</f>
        <v/>
      </c>
      <c r="S1617" s="158">
        <f>IF($Q1617=0,0,$R1617*$P1617/$Q1617)</f>
        <v/>
      </c>
    </row>
    <row r="1618">
      <c r="A1618" s="155" t="n">
        <v>46110</v>
      </c>
      <c r="B1618" s="156" t="inlineStr">
        <is>
          <t>14-15</t>
        </is>
      </c>
      <c r="C1618" s="156" t="inlineStr">
        <is>
          <t>EX-1252</t>
        </is>
      </c>
      <c r="D1618" s="156" t="inlineStr">
        <is>
          <t>DT-515</t>
        </is>
      </c>
      <c r="E1618" s="156" t="inlineStr">
        <is>
          <t>OB</t>
        </is>
      </c>
      <c r="F1618" s="156" t="n">
        <v>3</v>
      </c>
      <c r="G1618" s="156" t="inlineStr"/>
      <c r="H1618" s="157">
        <f>IF($B1618="","",IF(ISNA(MATCH($B1618,MASTER_JAM!$Q$5:$Q$28,0)),"?",IF(MATCH($B1618,MASTER_JAM!$Q$5:$Q$28,0)&lt;=12,"DS","NS")))</f>
        <v/>
      </c>
      <c r="I1618" s="157">
        <f>IFERROR(INDEX(MASTER_JAM!$B$5:$B$94,MATCH($C1618,MASTER_JAM!$A$5:$A$94,0)),"")</f>
        <v/>
      </c>
      <c r="J1618" s="157">
        <f>IFERROR(INDEX(MASTER_JAM!$E$5:$E$94,MATCH($D1618,MASTER_JAM!$A$5:$A$94,0)),"")</f>
        <v/>
      </c>
      <c r="K1618" s="158">
        <f>IFERROR(INDEX(MASTER_JAM!$J$5:$O$12,MATCH($E1618,MASTER_JAM!$I$5:$I$12,0),MATCH($J1618,MASTER_JAM!$J$4:$O$4,0))+0,0)</f>
        <v/>
      </c>
      <c r="L1618" s="159">
        <f>N($F1618)*$K1618</f>
        <v/>
      </c>
      <c r="M1618" s="157">
        <f>IF($E1618="","",IF(OR($E1618="Coal",$E1618="Dirty Coal"),"MT","BCM"))</f>
        <v/>
      </c>
      <c r="N1618" s="157">
        <f>IF($E1618="","",IF(OR($E1618="Coal",$E1618="Dirty Coal"),"Coal","OB"))</f>
        <v/>
      </c>
      <c r="O1618" s="157">
        <f>IF($F1618="","",IF(COUNTIF(MASTER_JAM!$A$5:$A$94,$C1618)=0,"Digger tidak dikenal",IF($J1618="","Hauler tidak dikenal",IF($H1618="?","Jam salah",IF($K1618=0,"Faktor kosong",IF(SUMIFS(INPUT_DELAY!$E$5:$E$20000,INPUT_DELAY!$A$5:$A$20000,$A1618,INPUT_DELAY!$B$5:$B$20000,$B1618,INPUT_DELAY!$C$5:$C$20000,$C1618)+SUMIFS(INPUT_DELAY!$E$5:$E$20000,INPUT_DELAY!$A$5:$A$20000,$A1618,INPUT_DELAY!$B$5:$B$20000,$B1618,INPUT_DELAY!$C$5:$C$20000,"SEMUA")&gt;=60,"Delay 60 mnt tapi ada ritase","OK"))))))</f>
        <v/>
      </c>
      <c r="P1618" s="158">
        <f>IFERROR(INDEX(MASTER_JAM!$Z$5:$AC$10,MATCH($I1618,MASTER_JAM!$Y$5:$Y$10,0),MATCH($J1618,MASTER_JAM!$Z$4:$AC$4,0))+0,0)</f>
        <v/>
      </c>
      <c r="Q1618" s="158">
        <f>IF($P1618=0,0,$P1618+IFERROR(INDEX(MASTER_JAM!$H$5:$H$94,MATCH($C1618,MASTER_JAM!$A$5:$A$94,0))+0,MASTER_JAM!$AC$15)/1000*(60/MASTER_JAM!$AC$12+60/MASTER_JAM!$AC$13)+MASTER_JAM!$AC$14)</f>
        <v/>
      </c>
      <c r="R1618" s="158">
        <f>IF(N($F1618)=0,0,$F1618/SUMIFS(INPUT_RITASE!$F$5:$F$20000,INPUT_RITASE!$A$5:$A$20000,$A1618,INPUT_RITASE!$B$5:$B$20000,$B1618,INPUT_RITASE!$C$5:$C$20000,$C1618,INPUT_RITASE!$D$5:$D$20000,$D1618))</f>
        <v/>
      </c>
      <c r="S1618" s="158">
        <f>IF($Q1618=0,0,$R1618*$P1618/$Q1618)</f>
        <v/>
      </c>
    </row>
    <row r="1619">
      <c r="A1619" s="155" t="n">
        <v>46110</v>
      </c>
      <c r="B1619" s="156" t="inlineStr">
        <is>
          <t>14-15</t>
        </is>
      </c>
      <c r="C1619" s="156" t="inlineStr">
        <is>
          <t>EX-1252</t>
        </is>
      </c>
      <c r="D1619" s="156" t="inlineStr">
        <is>
          <t>HD-901</t>
        </is>
      </c>
      <c r="E1619" s="156" t="inlineStr">
        <is>
          <t>OB</t>
        </is>
      </c>
      <c r="F1619" s="156" t="n">
        <v>5</v>
      </c>
      <c r="G1619" s="156" t="inlineStr"/>
      <c r="H1619" s="157">
        <f>IF($B1619="","",IF(ISNA(MATCH($B1619,MASTER_JAM!$Q$5:$Q$28,0)),"?",IF(MATCH($B1619,MASTER_JAM!$Q$5:$Q$28,0)&lt;=12,"DS","NS")))</f>
        <v/>
      </c>
      <c r="I1619" s="157">
        <f>IFERROR(INDEX(MASTER_JAM!$B$5:$B$94,MATCH($C1619,MASTER_JAM!$A$5:$A$94,0)),"")</f>
        <v/>
      </c>
      <c r="J1619" s="157">
        <f>IFERROR(INDEX(MASTER_JAM!$E$5:$E$94,MATCH($D1619,MASTER_JAM!$A$5:$A$94,0)),"")</f>
        <v/>
      </c>
      <c r="K1619" s="158">
        <f>IFERROR(INDEX(MASTER_JAM!$J$5:$O$12,MATCH($E1619,MASTER_JAM!$I$5:$I$12,0),MATCH($J1619,MASTER_JAM!$J$4:$O$4,0))+0,0)</f>
        <v/>
      </c>
      <c r="L1619" s="159">
        <f>N($F1619)*$K1619</f>
        <v/>
      </c>
      <c r="M1619" s="157">
        <f>IF($E1619="","",IF(OR($E1619="Coal",$E1619="Dirty Coal"),"MT","BCM"))</f>
        <v/>
      </c>
      <c r="N1619" s="157">
        <f>IF($E1619="","",IF(OR($E1619="Coal",$E1619="Dirty Coal"),"Coal","OB"))</f>
        <v/>
      </c>
      <c r="O1619" s="157">
        <f>IF($F1619="","",IF(COUNTIF(MASTER_JAM!$A$5:$A$94,$C1619)=0,"Digger tidak dikenal",IF($J1619="","Hauler tidak dikenal",IF($H1619="?","Jam salah",IF($K1619=0,"Faktor kosong",IF(SUMIFS(INPUT_DELAY!$E$5:$E$20000,INPUT_DELAY!$A$5:$A$20000,$A1619,INPUT_DELAY!$B$5:$B$20000,$B1619,INPUT_DELAY!$C$5:$C$20000,$C1619)+SUMIFS(INPUT_DELAY!$E$5:$E$20000,INPUT_DELAY!$A$5:$A$20000,$A1619,INPUT_DELAY!$B$5:$B$20000,$B1619,INPUT_DELAY!$C$5:$C$20000,"SEMUA")&gt;=60,"Delay 60 mnt tapi ada ritase","OK"))))))</f>
        <v/>
      </c>
      <c r="P1619" s="158">
        <f>IFERROR(INDEX(MASTER_JAM!$Z$5:$AC$10,MATCH($I1619,MASTER_JAM!$Y$5:$Y$10,0),MATCH($J1619,MASTER_JAM!$Z$4:$AC$4,0))+0,0)</f>
        <v/>
      </c>
      <c r="Q1619" s="158">
        <f>IF($P1619=0,0,$P1619+IFERROR(INDEX(MASTER_JAM!$H$5:$H$94,MATCH($C1619,MASTER_JAM!$A$5:$A$94,0))+0,MASTER_JAM!$AC$15)/1000*(60/MASTER_JAM!$AC$12+60/MASTER_JAM!$AC$13)+MASTER_JAM!$AC$14)</f>
        <v/>
      </c>
      <c r="R1619" s="158">
        <f>IF(N($F1619)=0,0,$F1619/SUMIFS(INPUT_RITASE!$F$5:$F$20000,INPUT_RITASE!$A$5:$A$20000,$A1619,INPUT_RITASE!$B$5:$B$20000,$B1619,INPUT_RITASE!$C$5:$C$20000,$C1619,INPUT_RITASE!$D$5:$D$20000,$D1619))</f>
        <v/>
      </c>
      <c r="S1619" s="158">
        <f>IF($Q1619=0,0,$R1619*$P1619/$Q1619)</f>
        <v/>
      </c>
    </row>
    <row r="1620">
      <c r="A1620" s="155" t="n">
        <v>46110</v>
      </c>
      <c r="B1620" s="156" t="inlineStr">
        <is>
          <t>14-15</t>
        </is>
      </c>
      <c r="C1620" s="156" t="inlineStr">
        <is>
          <t>EX-1252</t>
        </is>
      </c>
      <c r="D1620" s="156" t="inlineStr">
        <is>
          <t>HD-905</t>
        </is>
      </c>
      <c r="E1620" s="156" t="inlineStr">
        <is>
          <t>OB</t>
        </is>
      </c>
      <c r="F1620" s="156" t="n">
        <v>5</v>
      </c>
      <c r="G1620" s="156" t="inlineStr"/>
      <c r="H1620" s="157">
        <f>IF($B1620="","",IF(ISNA(MATCH($B1620,MASTER_JAM!$Q$5:$Q$28,0)),"?",IF(MATCH($B1620,MASTER_JAM!$Q$5:$Q$28,0)&lt;=12,"DS","NS")))</f>
        <v/>
      </c>
      <c r="I1620" s="157">
        <f>IFERROR(INDEX(MASTER_JAM!$B$5:$B$94,MATCH($C1620,MASTER_JAM!$A$5:$A$94,0)),"")</f>
        <v/>
      </c>
      <c r="J1620" s="157">
        <f>IFERROR(INDEX(MASTER_JAM!$E$5:$E$94,MATCH($D1620,MASTER_JAM!$A$5:$A$94,0)),"")</f>
        <v/>
      </c>
      <c r="K1620" s="158">
        <f>IFERROR(INDEX(MASTER_JAM!$J$5:$O$12,MATCH($E1620,MASTER_JAM!$I$5:$I$12,0),MATCH($J1620,MASTER_JAM!$J$4:$O$4,0))+0,0)</f>
        <v/>
      </c>
      <c r="L1620" s="159">
        <f>N($F1620)*$K1620</f>
        <v/>
      </c>
      <c r="M1620" s="157">
        <f>IF($E1620="","",IF(OR($E1620="Coal",$E1620="Dirty Coal"),"MT","BCM"))</f>
        <v/>
      </c>
      <c r="N1620" s="157">
        <f>IF($E1620="","",IF(OR($E1620="Coal",$E1620="Dirty Coal"),"Coal","OB"))</f>
        <v/>
      </c>
      <c r="O1620" s="157">
        <f>IF($F1620="","",IF(COUNTIF(MASTER_JAM!$A$5:$A$94,$C1620)=0,"Digger tidak dikenal",IF($J1620="","Hauler tidak dikenal",IF($H1620="?","Jam salah",IF($K1620=0,"Faktor kosong",IF(SUMIFS(INPUT_DELAY!$E$5:$E$20000,INPUT_DELAY!$A$5:$A$20000,$A1620,INPUT_DELAY!$B$5:$B$20000,$B1620,INPUT_DELAY!$C$5:$C$20000,$C1620)+SUMIFS(INPUT_DELAY!$E$5:$E$20000,INPUT_DELAY!$A$5:$A$20000,$A1620,INPUT_DELAY!$B$5:$B$20000,$B1620,INPUT_DELAY!$C$5:$C$20000,"SEMUA")&gt;=60,"Delay 60 mnt tapi ada ritase","OK"))))))</f>
        <v/>
      </c>
      <c r="P1620" s="158">
        <f>IFERROR(INDEX(MASTER_JAM!$Z$5:$AC$10,MATCH($I1620,MASTER_JAM!$Y$5:$Y$10,0),MATCH($J1620,MASTER_JAM!$Z$4:$AC$4,0))+0,0)</f>
        <v/>
      </c>
      <c r="Q1620" s="158">
        <f>IF($P1620=0,0,$P1620+IFERROR(INDEX(MASTER_JAM!$H$5:$H$94,MATCH($C1620,MASTER_JAM!$A$5:$A$94,0))+0,MASTER_JAM!$AC$15)/1000*(60/MASTER_JAM!$AC$12+60/MASTER_JAM!$AC$13)+MASTER_JAM!$AC$14)</f>
        <v/>
      </c>
      <c r="R1620" s="158">
        <f>IF(N($F1620)=0,0,$F1620/SUMIFS(INPUT_RITASE!$F$5:$F$20000,INPUT_RITASE!$A$5:$A$20000,$A1620,INPUT_RITASE!$B$5:$B$20000,$B1620,INPUT_RITASE!$C$5:$C$20000,$C1620,INPUT_RITASE!$D$5:$D$20000,$D1620))</f>
        <v/>
      </c>
      <c r="S1620" s="158">
        <f>IF($Q1620=0,0,$R1620*$P1620/$Q1620)</f>
        <v/>
      </c>
    </row>
    <row r="1621">
      <c r="A1621" s="155" t="n">
        <v>46110</v>
      </c>
      <c r="B1621" s="156" t="inlineStr">
        <is>
          <t>14-15</t>
        </is>
      </c>
      <c r="C1621" s="156" t="inlineStr">
        <is>
          <t>EX-1252</t>
        </is>
      </c>
      <c r="D1621" s="156" t="inlineStr">
        <is>
          <t>HD-902</t>
        </is>
      </c>
      <c r="E1621" s="156" t="inlineStr">
        <is>
          <t>OB</t>
        </is>
      </c>
      <c r="F1621" s="156" t="n">
        <v>4</v>
      </c>
      <c r="G1621" s="156" t="inlineStr"/>
      <c r="H1621" s="157">
        <f>IF($B1621="","",IF(ISNA(MATCH($B1621,MASTER_JAM!$Q$5:$Q$28,0)),"?",IF(MATCH($B1621,MASTER_JAM!$Q$5:$Q$28,0)&lt;=12,"DS","NS")))</f>
        <v/>
      </c>
      <c r="I1621" s="157">
        <f>IFERROR(INDEX(MASTER_JAM!$B$5:$B$94,MATCH($C1621,MASTER_JAM!$A$5:$A$94,0)),"")</f>
        <v/>
      </c>
      <c r="J1621" s="157">
        <f>IFERROR(INDEX(MASTER_JAM!$E$5:$E$94,MATCH($D1621,MASTER_JAM!$A$5:$A$94,0)),"")</f>
        <v/>
      </c>
      <c r="K1621" s="158">
        <f>IFERROR(INDEX(MASTER_JAM!$J$5:$O$12,MATCH($E1621,MASTER_JAM!$I$5:$I$12,0),MATCH($J1621,MASTER_JAM!$J$4:$O$4,0))+0,0)</f>
        <v/>
      </c>
      <c r="L1621" s="159">
        <f>N($F1621)*$K1621</f>
        <v/>
      </c>
      <c r="M1621" s="157">
        <f>IF($E1621="","",IF(OR($E1621="Coal",$E1621="Dirty Coal"),"MT","BCM"))</f>
        <v/>
      </c>
      <c r="N1621" s="157">
        <f>IF($E1621="","",IF(OR($E1621="Coal",$E1621="Dirty Coal"),"Coal","OB"))</f>
        <v/>
      </c>
      <c r="O1621" s="157">
        <f>IF($F1621="","",IF(COUNTIF(MASTER_JAM!$A$5:$A$94,$C1621)=0,"Digger tidak dikenal",IF($J1621="","Hauler tidak dikenal",IF($H1621="?","Jam salah",IF($K1621=0,"Faktor kosong",IF(SUMIFS(INPUT_DELAY!$E$5:$E$20000,INPUT_DELAY!$A$5:$A$20000,$A1621,INPUT_DELAY!$B$5:$B$20000,$B1621,INPUT_DELAY!$C$5:$C$20000,$C1621)+SUMIFS(INPUT_DELAY!$E$5:$E$20000,INPUT_DELAY!$A$5:$A$20000,$A1621,INPUT_DELAY!$B$5:$B$20000,$B1621,INPUT_DELAY!$C$5:$C$20000,"SEMUA")&gt;=60,"Delay 60 mnt tapi ada ritase","OK"))))))</f>
        <v/>
      </c>
      <c r="P1621" s="158">
        <f>IFERROR(INDEX(MASTER_JAM!$Z$5:$AC$10,MATCH($I1621,MASTER_JAM!$Y$5:$Y$10,0),MATCH($J1621,MASTER_JAM!$Z$4:$AC$4,0))+0,0)</f>
        <v/>
      </c>
      <c r="Q1621" s="158">
        <f>IF($P1621=0,0,$P1621+IFERROR(INDEX(MASTER_JAM!$H$5:$H$94,MATCH($C1621,MASTER_JAM!$A$5:$A$94,0))+0,MASTER_JAM!$AC$15)/1000*(60/MASTER_JAM!$AC$12+60/MASTER_JAM!$AC$13)+MASTER_JAM!$AC$14)</f>
        <v/>
      </c>
      <c r="R1621" s="158">
        <f>IF(N($F1621)=0,0,$F1621/SUMIFS(INPUT_RITASE!$F$5:$F$20000,INPUT_RITASE!$A$5:$A$20000,$A1621,INPUT_RITASE!$B$5:$B$20000,$B1621,INPUT_RITASE!$C$5:$C$20000,$C1621,INPUT_RITASE!$D$5:$D$20000,$D1621))</f>
        <v/>
      </c>
      <c r="S1621" s="158">
        <f>IF($Q1621=0,0,$R1621*$P1621/$Q1621)</f>
        <v/>
      </c>
    </row>
    <row r="1622">
      <c r="A1622" s="155" t="n">
        <v>46110</v>
      </c>
      <c r="B1622" s="156" t="inlineStr">
        <is>
          <t>15-16</t>
        </is>
      </c>
      <c r="C1622" s="156" t="inlineStr">
        <is>
          <t>EX-1252</t>
        </is>
      </c>
      <c r="D1622" s="156" t="inlineStr">
        <is>
          <t>HD-905</t>
        </is>
      </c>
      <c r="E1622" s="156" t="inlineStr">
        <is>
          <t>OB</t>
        </is>
      </c>
      <c r="F1622" s="156" t="n">
        <v>4</v>
      </c>
      <c r="G1622" s="156" t="inlineStr"/>
      <c r="H1622" s="157">
        <f>IF($B1622="","",IF(ISNA(MATCH($B1622,MASTER_JAM!$Q$5:$Q$28,0)),"?",IF(MATCH($B1622,MASTER_JAM!$Q$5:$Q$28,0)&lt;=12,"DS","NS")))</f>
        <v/>
      </c>
      <c r="I1622" s="157">
        <f>IFERROR(INDEX(MASTER_JAM!$B$5:$B$94,MATCH($C1622,MASTER_JAM!$A$5:$A$94,0)),"")</f>
        <v/>
      </c>
      <c r="J1622" s="157">
        <f>IFERROR(INDEX(MASTER_JAM!$E$5:$E$94,MATCH($D1622,MASTER_JAM!$A$5:$A$94,0)),"")</f>
        <v/>
      </c>
      <c r="K1622" s="158">
        <f>IFERROR(INDEX(MASTER_JAM!$J$5:$O$12,MATCH($E1622,MASTER_JAM!$I$5:$I$12,0),MATCH($J1622,MASTER_JAM!$J$4:$O$4,0))+0,0)</f>
        <v/>
      </c>
      <c r="L1622" s="159">
        <f>N($F1622)*$K1622</f>
        <v/>
      </c>
      <c r="M1622" s="157">
        <f>IF($E1622="","",IF(OR($E1622="Coal",$E1622="Dirty Coal"),"MT","BCM"))</f>
        <v/>
      </c>
      <c r="N1622" s="157">
        <f>IF($E1622="","",IF(OR($E1622="Coal",$E1622="Dirty Coal"),"Coal","OB"))</f>
        <v/>
      </c>
      <c r="O1622" s="157">
        <f>IF($F1622="","",IF(COUNTIF(MASTER_JAM!$A$5:$A$94,$C1622)=0,"Digger tidak dikenal",IF($J1622="","Hauler tidak dikenal",IF($H1622="?","Jam salah",IF($K1622=0,"Faktor kosong",IF(SUMIFS(INPUT_DELAY!$E$5:$E$20000,INPUT_DELAY!$A$5:$A$20000,$A1622,INPUT_DELAY!$B$5:$B$20000,$B1622,INPUT_DELAY!$C$5:$C$20000,$C1622)+SUMIFS(INPUT_DELAY!$E$5:$E$20000,INPUT_DELAY!$A$5:$A$20000,$A1622,INPUT_DELAY!$B$5:$B$20000,$B1622,INPUT_DELAY!$C$5:$C$20000,"SEMUA")&gt;=60,"Delay 60 mnt tapi ada ritase","OK"))))))</f>
        <v/>
      </c>
      <c r="P1622" s="158">
        <f>IFERROR(INDEX(MASTER_JAM!$Z$5:$AC$10,MATCH($I1622,MASTER_JAM!$Y$5:$Y$10,0),MATCH($J1622,MASTER_JAM!$Z$4:$AC$4,0))+0,0)</f>
        <v/>
      </c>
      <c r="Q1622" s="158">
        <f>IF($P1622=0,0,$P1622+IFERROR(INDEX(MASTER_JAM!$H$5:$H$94,MATCH($C1622,MASTER_JAM!$A$5:$A$94,0))+0,MASTER_JAM!$AC$15)/1000*(60/MASTER_JAM!$AC$12+60/MASTER_JAM!$AC$13)+MASTER_JAM!$AC$14)</f>
        <v/>
      </c>
      <c r="R1622" s="158">
        <f>IF(N($F1622)=0,0,$F1622/SUMIFS(INPUT_RITASE!$F$5:$F$20000,INPUT_RITASE!$A$5:$A$20000,$A1622,INPUT_RITASE!$B$5:$B$20000,$B1622,INPUT_RITASE!$C$5:$C$20000,$C1622,INPUT_RITASE!$D$5:$D$20000,$D1622))</f>
        <v/>
      </c>
      <c r="S1622" s="158">
        <f>IF($Q1622=0,0,$R1622*$P1622/$Q1622)</f>
        <v/>
      </c>
    </row>
    <row r="1623">
      <c r="A1623" s="155" t="n">
        <v>46110</v>
      </c>
      <c r="B1623" s="156" t="inlineStr">
        <is>
          <t>15-16</t>
        </is>
      </c>
      <c r="C1623" s="156" t="inlineStr">
        <is>
          <t>EX-1252</t>
        </is>
      </c>
      <c r="D1623" s="156" t="inlineStr">
        <is>
          <t>HD-901</t>
        </is>
      </c>
      <c r="E1623" s="156" t="inlineStr">
        <is>
          <t>OB</t>
        </is>
      </c>
      <c r="F1623" s="156" t="n">
        <v>4</v>
      </c>
      <c r="G1623" s="156" t="inlineStr"/>
      <c r="H1623" s="157">
        <f>IF($B1623="","",IF(ISNA(MATCH($B1623,MASTER_JAM!$Q$5:$Q$28,0)),"?",IF(MATCH($B1623,MASTER_JAM!$Q$5:$Q$28,0)&lt;=12,"DS","NS")))</f>
        <v/>
      </c>
      <c r="I1623" s="157">
        <f>IFERROR(INDEX(MASTER_JAM!$B$5:$B$94,MATCH($C1623,MASTER_JAM!$A$5:$A$94,0)),"")</f>
        <v/>
      </c>
      <c r="J1623" s="157">
        <f>IFERROR(INDEX(MASTER_JAM!$E$5:$E$94,MATCH($D1623,MASTER_JAM!$A$5:$A$94,0)),"")</f>
        <v/>
      </c>
      <c r="K1623" s="158">
        <f>IFERROR(INDEX(MASTER_JAM!$J$5:$O$12,MATCH($E1623,MASTER_JAM!$I$5:$I$12,0),MATCH($J1623,MASTER_JAM!$J$4:$O$4,0))+0,0)</f>
        <v/>
      </c>
      <c r="L1623" s="159">
        <f>N($F1623)*$K1623</f>
        <v/>
      </c>
      <c r="M1623" s="157">
        <f>IF($E1623="","",IF(OR($E1623="Coal",$E1623="Dirty Coal"),"MT","BCM"))</f>
        <v/>
      </c>
      <c r="N1623" s="157">
        <f>IF($E1623="","",IF(OR($E1623="Coal",$E1623="Dirty Coal"),"Coal","OB"))</f>
        <v/>
      </c>
      <c r="O1623" s="157">
        <f>IF($F1623="","",IF(COUNTIF(MASTER_JAM!$A$5:$A$94,$C1623)=0,"Digger tidak dikenal",IF($J1623="","Hauler tidak dikenal",IF($H1623="?","Jam salah",IF($K1623=0,"Faktor kosong",IF(SUMIFS(INPUT_DELAY!$E$5:$E$20000,INPUT_DELAY!$A$5:$A$20000,$A1623,INPUT_DELAY!$B$5:$B$20000,$B1623,INPUT_DELAY!$C$5:$C$20000,$C1623)+SUMIFS(INPUT_DELAY!$E$5:$E$20000,INPUT_DELAY!$A$5:$A$20000,$A1623,INPUT_DELAY!$B$5:$B$20000,$B1623,INPUT_DELAY!$C$5:$C$20000,"SEMUA")&gt;=60,"Delay 60 mnt tapi ada ritase","OK"))))))</f>
        <v/>
      </c>
      <c r="P1623" s="158">
        <f>IFERROR(INDEX(MASTER_JAM!$Z$5:$AC$10,MATCH($I1623,MASTER_JAM!$Y$5:$Y$10,0),MATCH($J1623,MASTER_JAM!$Z$4:$AC$4,0))+0,0)</f>
        <v/>
      </c>
      <c r="Q1623" s="158">
        <f>IF($P1623=0,0,$P1623+IFERROR(INDEX(MASTER_JAM!$H$5:$H$94,MATCH($C1623,MASTER_JAM!$A$5:$A$94,0))+0,MASTER_JAM!$AC$15)/1000*(60/MASTER_JAM!$AC$12+60/MASTER_JAM!$AC$13)+MASTER_JAM!$AC$14)</f>
        <v/>
      </c>
      <c r="R1623" s="158">
        <f>IF(N($F1623)=0,0,$F1623/SUMIFS(INPUT_RITASE!$F$5:$F$20000,INPUT_RITASE!$A$5:$A$20000,$A1623,INPUT_RITASE!$B$5:$B$20000,$B1623,INPUT_RITASE!$C$5:$C$20000,$C1623,INPUT_RITASE!$D$5:$D$20000,$D1623))</f>
        <v/>
      </c>
      <c r="S1623" s="158">
        <f>IF($Q1623=0,0,$R1623*$P1623/$Q1623)</f>
        <v/>
      </c>
    </row>
    <row r="1624">
      <c r="A1624" s="155" t="n">
        <v>46110</v>
      </c>
      <c r="B1624" s="156" t="inlineStr">
        <is>
          <t>15-16</t>
        </is>
      </c>
      <c r="C1624" s="156" t="inlineStr">
        <is>
          <t>EX-1252</t>
        </is>
      </c>
      <c r="D1624" s="156" t="inlineStr">
        <is>
          <t>HD-902</t>
        </is>
      </c>
      <c r="E1624" s="156" t="inlineStr">
        <is>
          <t>OB</t>
        </is>
      </c>
      <c r="F1624" s="156" t="n">
        <v>3</v>
      </c>
      <c r="G1624" s="156" t="inlineStr"/>
      <c r="H1624" s="157">
        <f>IF($B1624="","",IF(ISNA(MATCH($B1624,MASTER_JAM!$Q$5:$Q$28,0)),"?",IF(MATCH($B1624,MASTER_JAM!$Q$5:$Q$28,0)&lt;=12,"DS","NS")))</f>
        <v/>
      </c>
      <c r="I1624" s="157">
        <f>IFERROR(INDEX(MASTER_JAM!$B$5:$B$94,MATCH($C1624,MASTER_JAM!$A$5:$A$94,0)),"")</f>
        <v/>
      </c>
      <c r="J1624" s="157">
        <f>IFERROR(INDEX(MASTER_JAM!$E$5:$E$94,MATCH($D1624,MASTER_JAM!$A$5:$A$94,0)),"")</f>
        <v/>
      </c>
      <c r="K1624" s="158">
        <f>IFERROR(INDEX(MASTER_JAM!$J$5:$O$12,MATCH($E1624,MASTER_JAM!$I$5:$I$12,0),MATCH($J1624,MASTER_JAM!$J$4:$O$4,0))+0,0)</f>
        <v/>
      </c>
      <c r="L1624" s="159">
        <f>N($F1624)*$K1624</f>
        <v/>
      </c>
      <c r="M1624" s="157">
        <f>IF($E1624="","",IF(OR($E1624="Coal",$E1624="Dirty Coal"),"MT","BCM"))</f>
        <v/>
      </c>
      <c r="N1624" s="157">
        <f>IF($E1624="","",IF(OR($E1624="Coal",$E1624="Dirty Coal"),"Coal","OB"))</f>
        <v/>
      </c>
      <c r="O1624" s="157">
        <f>IF($F1624="","",IF(COUNTIF(MASTER_JAM!$A$5:$A$94,$C1624)=0,"Digger tidak dikenal",IF($J1624="","Hauler tidak dikenal",IF($H1624="?","Jam salah",IF($K1624=0,"Faktor kosong",IF(SUMIFS(INPUT_DELAY!$E$5:$E$20000,INPUT_DELAY!$A$5:$A$20000,$A1624,INPUT_DELAY!$B$5:$B$20000,$B1624,INPUT_DELAY!$C$5:$C$20000,$C1624)+SUMIFS(INPUT_DELAY!$E$5:$E$20000,INPUT_DELAY!$A$5:$A$20000,$A1624,INPUT_DELAY!$B$5:$B$20000,$B1624,INPUT_DELAY!$C$5:$C$20000,"SEMUA")&gt;=60,"Delay 60 mnt tapi ada ritase","OK"))))))</f>
        <v/>
      </c>
      <c r="P1624" s="158">
        <f>IFERROR(INDEX(MASTER_JAM!$Z$5:$AC$10,MATCH($I1624,MASTER_JAM!$Y$5:$Y$10,0),MATCH($J1624,MASTER_JAM!$Z$4:$AC$4,0))+0,0)</f>
        <v/>
      </c>
      <c r="Q1624" s="158">
        <f>IF($P1624=0,0,$P1624+IFERROR(INDEX(MASTER_JAM!$H$5:$H$94,MATCH($C1624,MASTER_JAM!$A$5:$A$94,0))+0,MASTER_JAM!$AC$15)/1000*(60/MASTER_JAM!$AC$12+60/MASTER_JAM!$AC$13)+MASTER_JAM!$AC$14)</f>
        <v/>
      </c>
      <c r="R1624" s="158">
        <f>IF(N($F1624)=0,0,$F1624/SUMIFS(INPUT_RITASE!$F$5:$F$20000,INPUT_RITASE!$A$5:$A$20000,$A1624,INPUT_RITASE!$B$5:$B$20000,$B1624,INPUT_RITASE!$C$5:$C$20000,$C1624,INPUT_RITASE!$D$5:$D$20000,$D1624))</f>
        <v/>
      </c>
      <c r="S1624" s="158">
        <f>IF($Q1624=0,0,$R1624*$P1624/$Q1624)</f>
        <v/>
      </c>
    </row>
    <row r="1625">
      <c r="A1625" s="155" t="n">
        <v>46110</v>
      </c>
      <c r="B1625" s="156" t="inlineStr">
        <is>
          <t>15-16</t>
        </is>
      </c>
      <c r="C1625" s="156" t="inlineStr">
        <is>
          <t>EX-1252</t>
        </is>
      </c>
      <c r="D1625" s="156" t="inlineStr">
        <is>
          <t>DT-528</t>
        </is>
      </c>
      <c r="E1625" s="156" t="inlineStr">
        <is>
          <t>OB</t>
        </is>
      </c>
      <c r="F1625" s="156" t="n">
        <v>3</v>
      </c>
      <c r="G1625" s="156" t="inlineStr"/>
      <c r="H1625" s="157">
        <f>IF($B1625="","",IF(ISNA(MATCH($B1625,MASTER_JAM!$Q$5:$Q$28,0)),"?",IF(MATCH($B1625,MASTER_JAM!$Q$5:$Q$28,0)&lt;=12,"DS","NS")))</f>
        <v/>
      </c>
      <c r="I1625" s="157">
        <f>IFERROR(INDEX(MASTER_JAM!$B$5:$B$94,MATCH($C1625,MASTER_JAM!$A$5:$A$94,0)),"")</f>
        <v/>
      </c>
      <c r="J1625" s="157">
        <f>IFERROR(INDEX(MASTER_JAM!$E$5:$E$94,MATCH($D1625,MASTER_JAM!$A$5:$A$94,0)),"")</f>
        <v/>
      </c>
      <c r="K1625" s="158">
        <f>IFERROR(INDEX(MASTER_JAM!$J$5:$O$12,MATCH($E1625,MASTER_JAM!$I$5:$I$12,0),MATCH($J1625,MASTER_JAM!$J$4:$O$4,0))+0,0)</f>
        <v/>
      </c>
      <c r="L1625" s="159">
        <f>N($F1625)*$K1625</f>
        <v/>
      </c>
      <c r="M1625" s="157">
        <f>IF($E1625="","",IF(OR($E1625="Coal",$E1625="Dirty Coal"),"MT","BCM"))</f>
        <v/>
      </c>
      <c r="N1625" s="157">
        <f>IF($E1625="","",IF(OR($E1625="Coal",$E1625="Dirty Coal"),"Coal","OB"))</f>
        <v/>
      </c>
      <c r="O1625" s="157">
        <f>IF($F1625="","",IF(COUNTIF(MASTER_JAM!$A$5:$A$94,$C1625)=0,"Digger tidak dikenal",IF($J1625="","Hauler tidak dikenal",IF($H1625="?","Jam salah",IF($K1625=0,"Faktor kosong",IF(SUMIFS(INPUT_DELAY!$E$5:$E$20000,INPUT_DELAY!$A$5:$A$20000,$A1625,INPUT_DELAY!$B$5:$B$20000,$B1625,INPUT_DELAY!$C$5:$C$20000,$C1625)+SUMIFS(INPUT_DELAY!$E$5:$E$20000,INPUT_DELAY!$A$5:$A$20000,$A1625,INPUT_DELAY!$B$5:$B$20000,$B1625,INPUT_DELAY!$C$5:$C$20000,"SEMUA")&gt;=60,"Delay 60 mnt tapi ada ritase","OK"))))))</f>
        <v/>
      </c>
      <c r="P1625" s="158">
        <f>IFERROR(INDEX(MASTER_JAM!$Z$5:$AC$10,MATCH($I1625,MASTER_JAM!$Y$5:$Y$10,0),MATCH($J1625,MASTER_JAM!$Z$4:$AC$4,0))+0,0)</f>
        <v/>
      </c>
      <c r="Q1625" s="158">
        <f>IF($P1625=0,0,$P1625+IFERROR(INDEX(MASTER_JAM!$H$5:$H$94,MATCH($C1625,MASTER_JAM!$A$5:$A$94,0))+0,MASTER_JAM!$AC$15)/1000*(60/MASTER_JAM!$AC$12+60/MASTER_JAM!$AC$13)+MASTER_JAM!$AC$14)</f>
        <v/>
      </c>
      <c r="R1625" s="158">
        <f>IF(N($F1625)=0,0,$F1625/SUMIFS(INPUT_RITASE!$F$5:$F$20000,INPUT_RITASE!$A$5:$A$20000,$A1625,INPUT_RITASE!$B$5:$B$20000,$B1625,INPUT_RITASE!$C$5:$C$20000,$C1625,INPUT_RITASE!$D$5:$D$20000,$D1625))</f>
        <v/>
      </c>
      <c r="S1625" s="158">
        <f>IF($Q1625=0,0,$R1625*$P1625/$Q1625)</f>
        <v/>
      </c>
    </row>
    <row r="1626">
      <c r="A1626" s="155" t="n">
        <v>46110</v>
      </c>
      <c r="B1626" s="156" t="inlineStr">
        <is>
          <t>06-07</t>
        </is>
      </c>
      <c r="C1626" s="156" t="inlineStr">
        <is>
          <t>EX-334</t>
        </is>
      </c>
      <c r="D1626" s="156" t="inlineStr">
        <is>
          <t>DT-502</t>
        </is>
      </c>
      <c r="E1626" s="156" t="inlineStr">
        <is>
          <t>Coal</t>
        </is>
      </c>
      <c r="F1626" s="156" t="n">
        <v>1</v>
      </c>
      <c r="G1626" s="156" t="inlineStr"/>
      <c r="H1626" s="157">
        <f>IF($B1626="","",IF(ISNA(MATCH($B1626,MASTER_JAM!$Q$5:$Q$28,0)),"?",IF(MATCH($B1626,MASTER_JAM!$Q$5:$Q$28,0)&lt;=12,"DS","NS")))</f>
        <v/>
      </c>
      <c r="I1626" s="157">
        <f>IFERROR(INDEX(MASTER_JAM!$B$5:$B$94,MATCH($C1626,MASTER_JAM!$A$5:$A$94,0)),"")</f>
        <v/>
      </c>
      <c r="J1626" s="157">
        <f>IFERROR(INDEX(MASTER_JAM!$E$5:$E$94,MATCH($D1626,MASTER_JAM!$A$5:$A$94,0)),"")</f>
        <v/>
      </c>
      <c r="K1626" s="158">
        <f>IFERROR(INDEX(MASTER_JAM!$J$5:$O$12,MATCH($E1626,MASTER_JAM!$I$5:$I$12,0),MATCH($J1626,MASTER_JAM!$J$4:$O$4,0))+0,0)</f>
        <v/>
      </c>
      <c r="L1626" s="159">
        <f>N($F1626)*$K1626</f>
        <v/>
      </c>
      <c r="M1626" s="157">
        <f>IF($E1626="","",IF(OR($E1626="Coal",$E1626="Dirty Coal"),"MT","BCM"))</f>
        <v/>
      </c>
      <c r="N1626" s="157">
        <f>IF($E1626="","",IF(OR($E1626="Coal",$E1626="Dirty Coal"),"Coal","OB"))</f>
        <v/>
      </c>
      <c r="O1626" s="157">
        <f>IF($F1626="","",IF(COUNTIF(MASTER_JAM!$A$5:$A$94,$C1626)=0,"Digger tidak dikenal",IF($J1626="","Hauler tidak dikenal",IF($H1626="?","Jam salah",IF($K1626=0,"Faktor kosong",IF(SUMIFS(INPUT_DELAY!$E$5:$E$20000,INPUT_DELAY!$A$5:$A$20000,$A1626,INPUT_DELAY!$B$5:$B$20000,$B1626,INPUT_DELAY!$C$5:$C$20000,$C1626)+SUMIFS(INPUT_DELAY!$E$5:$E$20000,INPUT_DELAY!$A$5:$A$20000,$A1626,INPUT_DELAY!$B$5:$B$20000,$B1626,INPUT_DELAY!$C$5:$C$20000,"SEMUA")&gt;=60,"Delay 60 mnt tapi ada ritase","OK"))))))</f>
        <v/>
      </c>
      <c r="P1626" s="158">
        <f>IFERROR(INDEX(MASTER_JAM!$Z$5:$AC$10,MATCH($I1626,MASTER_JAM!$Y$5:$Y$10,0),MATCH($J1626,MASTER_JAM!$Z$4:$AC$4,0))+0,0)</f>
        <v/>
      </c>
      <c r="Q1626" s="158">
        <f>IF($P1626=0,0,$P1626+IFERROR(INDEX(MASTER_JAM!$H$5:$H$94,MATCH($C1626,MASTER_JAM!$A$5:$A$94,0))+0,MASTER_JAM!$AC$15)/1000*(60/MASTER_JAM!$AC$12+60/MASTER_JAM!$AC$13)+MASTER_JAM!$AC$14)</f>
        <v/>
      </c>
      <c r="R1626" s="158">
        <f>IF(N($F1626)=0,0,$F1626/SUMIFS(INPUT_RITASE!$F$5:$F$20000,INPUT_RITASE!$A$5:$A$20000,$A1626,INPUT_RITASE!$B$5:$B$20000,$B1626,INPUT_RITASE!$C$5:$C$20000,$C1626,INPUT_RITASE!$D$5:$D$20000,$D1626))</f>
        <v/>
      </c>
      <c r="S1626" s="158">
        <f>IF($Q1626=0,0,$R1626*$P1626/$Q1626)</f>
        <v/>
      </c>
    </row>
    <row r="1627">
      <c r="A1627" s="155" t="n">
        <v>46110</v>
      </c>
      <c r="B1627" s="156" t="inlineStr">
        <is>
          <t>06-07</t>
        </is>
      </c>
      <c r="C1627" s="156" t="inlineStr">
        <is>
          <t>EX-332</t>
        </is>
      </c>
      <c r="D1627" s="156" t="inlineStr">
        <is>
          <t>DT-522</t>
        </is>
      </c>
      <c r="E1627" s="156" t="inlineStr">
        <is>
          <t>Coal</t>
        </is>
      </c>
      <c r="F1627" s="156" t="n">
        <v>4</v>
      </c>
      <c r="G1627" s="156" t="inlineStr"/>
      <c r="H1627" s="157">
        <f>IF($B1627="","",IF(ISNA(MATCH($B1627,MASTER_JAM!$Q$5:$Q$28,0)),"?",IF(MATCH($B1627,MASTER_JAM!$Q$5:$Q$28,0)&lt;=12,"DS","NS")))</f>
        <v/>
      </c>
      <c r="I1627" s="157">
        <f>IFERROR(INDEX(MASTER_JAM!$B$5:$B$94,MATCH($C1627,MASTER_JAM!$A$5:$A$94,0)),"")</f>
        <v/>
      </c>
      <c r="J1627" s="157">
        <f>IFERROR(INDEX(MASTER_JAM!$E$5:$E$94,MATCH($D1627,MASTER_JAM!$A$5:$A$94,0)),"")</f>
        <v/>
      </c>
      <c r="K1627" s="158">
        <f>IFERROR(INDEX(MASTER_JAM!$J$5:$O$12,MATCH($E1627,MASTER_JAM!$I$5:$I$12,0),MATCH($J1627,MASTER_JAM!$J$4:$O$4,0))+0,0)</f>
        <v/>
      </c>
      <c r="L1627" s="159">
        <f>N($F1627)*$K1627</f>
        <v/>
      </c>
      <c r="M1627" s="157">
        <f>IF($E1627="","",IF(OR($E1627="Coal",$E1627="Dirty Coal"),"MT","BCM"))</f>
        <v/>
      </c>
      <c r="N1627" s="157">
        <f>IF($E1627="","",IF(OR($E1627="Coal",$E1627="Dirty Coal"),"Coal","OB"))</f>
        <v/>
      </c>
      <c r="O1627" s="157">
        <f>IF($F1627="","",IF(COUNTIF(MASTER_JAM!$A$5:$A$94,$C1627)=0,"Digger tidak dikenal",IF($J1627="","Hauler tidak dikenal",IF($H1627="?","Jam salah",IF($K1627=0,"Faktor kosong",IF(SUMIFS(INPUT_DELAY!$E$5:$E$20000,INPUT_DELAY!$A$5:$A$20000,$A1627,INPUT_DELAY!$B$5:$B$20000,$B1627,INPUT_DELAY!$C$5:$C$20000,$C1627)+SUMIFS(INPUT_DELAY!$E$5:$E$20000,INPUT_DELAY!$A$5:$A$20000,$A1627,INPUT_DELAY!$B$5:$B$20000,$B1627,INPUT_DELAY!$C$5:$C$20000,"SEMUA")&gt;=60,"Delay 60 mnt tapi ada ritase","OK"))))))</f>
        <v/>
      </c>
      <c r="P1627" s="158">
        <f>IFERROR(INDEX(MASTER_JAM!$Z$5:$AC$10,MATCH($I1627,MASTER_JAM!$Y$5:$Y$10,0),MATCH($J1627,MASTER_JAM!$Z$4:$AC$4,0))+0,0)</f>
        <v/>
      </c>
      <c r="Q1627" s="158">
        <f>IF($P1627=0,0,$P1627+IFERROR(INDEX(MASTER_JAM!$H$5:$H$94,MATCH($C1627,MASTER_JAM!$A$5:$A$94,0))+0,MASTER_JAM!$AC$15)/1000*(60/MASTER_JAM!$AC$12+60/MASTER_JAM!$AC$13)+MASTER_JAM!$AC$14)</f>
        <v/>
      </c>
      <c r="R1627" s="158">
        <f>IF(N($F1627)=0,0,$F1627/SUMIFS(INPUT_RITASE!$F$5:$F$20000,INPUT_RITASE!$A$5:$A$20000,$A1627,INPUT_RITASE!$B$5:$B$20000,$B1627,INPUT_RITASE!$C$5:$C$20000,$C1627,INPUT_RITASE!$D$5:$D$20000,$D1627))</f>
        <v/>
      </c>
      <c r="S1627" s="158">
        <f>IF($Q1627=0,0,$R1627*$P1627/$Q1627)</f>
        <v/>
      </c>
    </row>
    <row r="1628">
      <c r="A1628" s="155" t="n">
        <v>46110</v>
      </c>
      <c r="B1628" s="156" t="inlineStr">
        <is>
          <t>06-07</t>
        </is>
      </c>
      <c r="C1628" s="156" t="inlineStr">
        <is>
          <t>EX-332</t>
        </is>
      </c>
      <c r="D1628" s="156" t="inlineStr">
        <is>
          <t>DT-518</t>
        </is>
      </c>
      <c r="E1628" s="156" t="inlineStr">
        <is>
          <t>Coal</t>
        </is>
      </c>
      <c r="F1628" s="156" t="n">
        <v>3</v>
      </c>
      <c r="G1628" s="156" t="inlineStr"/>
      <c r="H1628" s="157">
        <f>IF($B1628="","",IF(ISNA(MATCH($B1628,MASTER_JAM!$Q$5:$Q$28,0)),"?",IF(MATCH($B1628,MASTER_JAM!$Q$5:$Q$28,0)&lt;=12,"DS","NS")))</f>
        <v/>
      </c>
      <c r="I1628" s="157">
        <f>IFERROR(INDEX(MASTER_JAM!$B$5:$B$94,MATCH($C1628,MASTER_JAM!$A$5:$A$94,0)),"")</f>
        <v/>
      </c>
      <c r="J1628" s="157">
        <f>IFERROR(INDEX(MASTER_JAM!$E$5:$E$94,MATCH($D1628,MASTER_JAM!$A$5:$A$94,0)),"")</f>
        <v/>
      </c>
      <c r="K1628" s="158">
        <f>IFERROR(INDEX(MASTER_JAM!$J$5:$O$12,MATCH($E1628,MASTER_JAM!$I$5:$I$12,0),MATCH($J1628,MASTER_JAM!$J$4:$O$4,0))+0,0)</f>
        <v/>
      </c>
      <c r="L1628" s="159">
        <f>N($F1628)*$K1628</f>
        <v/>
      </c>
      <c r="M1628" s="157">
        <f>IF($E1628="","",IF(OR($E1628="Coal",$E1628="Dirty Coal"),"MT","BCM"))</f>
        <v/>
      </c>
      <c r="N1628" s="157">
        <f>IF($E1628="","",IF(OR($E1628="Coal",$E1628="Dirty Coal"),"Coal","OB"))</f>
        <v/>
      </c>
      <c r="O1628" s="157">
        <f>IF($F1628="","",IF(COUNTIF(MASTER_JAM!$A$5:$A$94,$C1628)=0,"Digger tidak dikenal",IF($J1628="","Hauler tidak dikenal",IF($H1628="?","Jam salah",IF($K1628=0,"Faktor kosong",IF(SUMIFS(INPUT_DELAY!$E$5:$E$20000,INPUT_DELAY!$A$5:$A$20000,$A1628,INPUT_DELAY!$B$5:$B$20000,$B1628,INPUT_DELAY!$C$5:$C$20000,$C1628)+SUMIFS(INPUT_DELAY!$E$5:$E$20000,INPUT_DELAY!$A$5:$A$20000,$A1628,INPUT_DELAY!$B$5:$B$20000,$B1628,INPUT_DELAY!$C$5:$C$20000,"SEMUA")&gt;=60,"Delay 60 mnt tapi ada ritase","OK"))))))</f>
        <v/>
      </c>
      <c r="P1628" s="158">
        <f>IFERROR(INDEX(MASTER_JAM!$Z$5:$AC$10,MATCH($I1628,MASTER_JAM!$Y$5:$Y$10,0),MATCH($J1628,MASTER_JAM!$Z$4:$AC$4,0))+0,0)</f>
        <v/>
      </c>
      <c r="Q1628" s="158">
        <f>IF($P1628=0,0,$P1628+IFERROR(INDEX(MASTER_JAM!$H$5:$H$94,MATCH($C1628,MASTER_JAM!$A$5:$A$94,0))+0,MASTER_JAM!$AC$15)/1000*(60/MASTER_JAM!$AC$12+60/MASTER_JAM!$AC$13)+MASTER_JAM!$AC$14)</f>
        <v/>
      </c>
      <c r="R1628" s="158">
        <f>IF(N($F1628)=0,0,$F1628/SUMIFS(INPUT_RITASE!$F$5:$F$20000,INPUT_RITASE!$A$5:$A$20000,$A1628,INPUT_RITASE!$B$5:$B$20000,$B1628,INPUT_RITASE!$C$5:$C$20000,$C1628,INPUT_RITASE!$D$5:$D$20000,$D1628))</f>
        <v/>
      </c>
      <c r="S1628" s="158">
        <f>IF($Q1628=0,0,$R1628*$P1628/$Q1628)</f>
        <v/>
      </c>
    </row>
    <row r="1629">
      <c r="A1629" s="155" t="n">
        <v>46110</v>
      </c>
      <c r="B1629" s="156" t="inlineStr">
        <is>
          <t>07-08</t>
        </is>
      </c>
      <c r="C1629" s="156" t="inlineStr">
        <is>
          <t>EX-332</t>
        </is>
      </c>
      <c r="D1629" s="156" t="inlineStr">
        <is>
          <t>DT-522</t>
        </is>
      </c>
      <c r="E1629" s="156" t="inlineStr">
        <is>
          <t>Coal</t>
        </is>
      </c>
      <c r="F1629" s="156" t="n">
        <v>3</v>
      </c>
      <c r="G1629" s="156" t="inlineStr"/>
      <c r="H1629" s="157">
        <f>IF($B1629="","",IF(ISNA(MATCH($B1629,MASTER_JAM!$Q$5:$Q$28,0)),"?",IF(MATCH($B1629,MASTER_JAM!$Q$5:$Q$28,0)&lt;=12,"DS","NS")))</f>
        <v/>
      </c>
      <c r="I1629" s="157">
        <f>IFERROR(INDEX(MASTER_JAM!$B$5:$B$94,MATCH($C1629,MASTER_JAM!$A$5:$A$94,0)),"")</f>
        <v/>
      </c>
      <c r="J1629" s="157">
        <f>IFERROR(INDEX(MASTER_JAM!$E$5:$E$94,MATCH($D1629,MASTER_JAM!$A$5:$A$94,0)),"")</f>
        <v/>
      </c>
      <c r="K1629" s="158">
        <f>IFERROR(INDEX(MASTER_JAM!$J$5:$O$12,MATCH($E1629,MASTER_JAM!$I$5:$I$12,0),MATCH($J1629,MASTER_JAM!$J$4:$O$4,0))+0,0)</f>
        <v/>
      </c>
      <c r="L1629" s="159">
        <f>N($F1629)*$K1629</f>
        <v/>
      </c>
      <c r="M1629" s="157">
        <f>IF($E1629="","",IF(OR($E1629="Coal",$E1629="Dirty Coal"),"MT","BCM"))</f>
        <v/>
      </c>
      <c r="N1629" s="157">
        <f>IF($E1629="","",IF(OR($E1629="Coal",$E1629="Dirty Coal"),"Coal","OB"))</f>
        <v/>
      </c>
      <c r="O1629" s="157">
        <f>IF($F1629="","",IF(COUNTIF(MASTER_JAM!$A$5:$A$94,$C1629)=0,"Digger tidak dikenal",IF($J1629="","Hauler tidak dikenal",IF($H1629="?","Jam salah",IF($K1629=0,"Faktor kosong",IF(SUMIFS(INPUT_DELAY!$E$5:$E$20000,INPUT_DELAY!$A$5:$A$20000,$A1629,INPUT_DELAY!$B$5:$B$20000,$B1629,INPUT_DELAY!$C$5:$C$20000,$C1629)+SUMIFS(INPUT_DELAY!$E$5:$E$20000,INPUT_DELAY!$A$5:$A$20000,$A1629,INPUT_DELAY!$B$5:$B$20000,$B1629,INPUT_DELAY!$C$5:$C$20000,"SEMUA")&gt;=60,"Delay 60 mnt tapi ada ritase","OK"))))))</f>
        <v/>
      </c>
      <c r="P1629" s="158">
        <f>IFERROR(INDEX(MASTER_JAM!$Z$5:$AC$10,MATCH($I1629,MASTER_JAM!$Y$5:$Y$10,0),MATCH($J1629,MASTER_JAM!$Z$4:$AC$4,0))+0,0)</f>
        <v/>
      </c>
      <c r="Q1629" s="158">
        <f>IF($P1629=0,0,$P1629+IFERROR(INDEX(MASTER_JAM!$H$5:$H$94,MATCH($C1629,MASTER_JAM!$A$5:$A$94,0))+0,MASTER_JAM!$AC$15)/1000*(60/MASTER_JAM!$AC$12+60/MASTER_JAM!$AC$13)+MASTER_JAM!$AC$14)</f>
        <v/>
      </c>
      <c r="R1629" s="158">
        <f>IF(N($F1629)=0,0,$F1629/SUMIFS(INPUT_RITASE!$F$5:$F$20000,INPUT_RITASE!$A$5:$A$20000,$A1629,INPUT_RITASE!$B$5:$B$20000,$B1629,INPUT_RITASE!$C$5:$C$20000,$C1629,INPUT_RITASE!$D$5:$D$20000,$D1629))</f>
        <v/>
      </c>
      <c r="S1629" s="158">
        <f>IF($Q1629=0,0,$R1629*$P1629/$Q1629)</f>
        <v/>
      </c>
    </row>
    <row r="1630">
      <c r="A1630" s="155" t="n">
        <v>46110</v>
      </c>
      <c r="B1630" s="156" t="inlineStr">
        <is>
          <t>07-08</t>
        </is>
      </c>
      <c r="C1630" s="156" t="inlineStr">
        <is>
          <t>EX-332</t>
        </is>
      </c>
      <c r="D1630" s="156" t="inlineStr">
        <is>
          <t>DT-528</t>
        </is>
      </c>
      <c r="E1630" s="156" t="inlineStr">
        <is>
          <t>Coal</t>
        </is>
      </c>
      <c r="F1630" s="156" t="n">
        <v>3</v>
      </c>
      <c r="G1630" s="156" t="inlineStr"/>
      <c r="H1630" s="157">
        <f>IF($B1630="","",IF(ISNA(MATCH($B1630,MASTER_JAM!$Q$5:$Q$28,0)),"?",IF(MATCH($B1630,MASTER_JAM!$Q$5:$Q$28,0)&lt;=12,"DS","NS")))</f>
        <v/>
      </c>
      <c r="I1630" s="157">
        <f>IFERROR(INDEX(MASTER_JAM!$B$5:$B$94,MATCH($C1630,MASTER_JAM!$A$5:$A$94,0)),"")</f>
        <v/>
      </c>
      <c r="J1630" s="157">
        <f>IFERROR(INDEX(MASTER_JAM!$E$5:$E$94,MATCH($D1630,MASTER_JAM!$A$5:$A$94,0)),"")</f>
        <v/>
      </c>
      <c r="K1630" s="158">
        <f>IFERROR(INDEX(MASTER_JAM!$J$5:$O$12,MATCH($E1630,MASTER_JAM!$I$5:$I$12,0),MATCH($J1630,MASTER_JAM!$J$4:$O$4,0))+0,0)</f>
        <v/>
      </c>
      <c r="L1630" s="159">
        <f>N($F1630)*$K1630</f>
        <v/>
      </c>
      <c r="M1630" s="157">
        <f>IF($E1630="","",IF(OR($E1630="Coal",$E1630="Dirty Coal"),"MT","BCM"))</f>
        <v/>
      </c>
      <c r="N1630" s="157">
        <f>IF($E1630="","",IF(OR($E1630="Coal",$E1630="Dirty Coal"),"Coal","OB"))</f>
        <v/>
      </c>
      <c r="O1630" s="157">
        <f>IF($F1630="","",IF(COUNTIF(MASTER_JAM!$A$5:$A$94,$C1630)=0,"Digger tidak dikenal",IF($J1630="","Hauler tidak dikenal",IF($H1630="?","Jam salah",IF($K1630=0,"Faktor kosong",IF(SUMIFS(INPUT_DELAY!$E$5:$E$20000,INPUT_DELAY!$A$5:$A$20000,$A1630,INPUT_DELAY!$B$5:$B$20000,$B1630,INPUT_DELAY!$C$5:$C$20000,$C1630)+SUMIFS(INPUT_DELAY!$E$5:$E$20000,INPUT_DELAY!$A$5:$A$20000,$A1630,INPUT_DELAY!$B$5:$B$20000,$B1630,INPUT_DELAY!$C$5:$C$20000,"SEMUA")&gt;=60,"Delay 60 mnt tapi ada ritase","OK"))))))</f>
        <v/>
      </c>
      <c r="P1630" s="158">
        <f>IFERROR(INDEX(MASTER_JAM!$Z$5:$AC$10,MATCH($I1630,MASTER_JAM!$Y$5:$Y$10,0),MATCH($J1630,MASTER_JAM!$Z$4:$AC$4,0))+0,0)</f>
        <v/>
      </c>
      <c r="Q1630" s="158">
        <f>IF($P1630=0,0,$P1630+IFERROR(INDEX(MASTER_JAM!$H$5:$H$94,MATCH($C1630,MASTER_JAM!$A$5:$A$94,0))+0,MASTER_JAM!$AC$15)/1000*(60/MASTER_JAM!$AC$12+60/MASTER_JAM!$AC$13)+MASTER_JAM!$AC$14)</f>
        <v/>
      </c>
      <c r="R1630" s="158">
        <f>IF(N($F1630)=0,0,$F1630/SUMIFS(INPUT_RITASE!$F$5:$F$20000,INPUT_RITASE!$A$5:$A$20000,$A1630,INPUT_RITASE!$B$5:$B$20000,$B1630,INPUT_RITASE!$C$5:$C$20000,$C1630,INPUT_RITASE!$D$5:$D$20000,$D1630))</f>
        <v/>
      </c>
      <c r="S1630" s="158">
        <f>IF($Q1630=0,0,$R1630*$P1630/$Q1630)</f>
        <v/>
      </c>
    </row>
    <row r="1631">
      <c r="A1631" s="155" t="n">
        <v>46110</v>
      </c>
      <c r="B1631" s="156" t="inlineStr">
        <is>
          <t>07-08</t>
        </is>
      </c>
      <c r="C1631" s="156" t="inlineStr">
        <is>
          <t>EX-332</t>
        </is>
      </c>
      <c r="D1631" s="156" t="inlineStr">
        <is>
          <t>DT-502</t>
        </is>
      </c>
      <c r="E1631" s="156" t="inlineStr">
        <is>
          <t>Coal</t>
        </is>
      </c>
      <c r="F1631" s="156" t="n">
        <v>3</v>
      </c>
      <c r="G1631" s="156" t="inlineStr"/>
      <c r="H1631" s="157">
        <f>IF($B1631="","",IF(ISNA(MATCH($B1631,MASTER_JAM!$Q$5:$Q$28,0)),"?",IF(MATCH($B1631,MASTER_JAM!$Q$5:$Q$28,0)&lt;=12,"DS","NS")))</f>
        <v/>
      </c>
      <c r="I1631" s="157">
        <f>IFERROR(INDEX(MASTER_JAM!$B$5:$B$94,MATCH($C1631,MASTER_JAM!$A$5:$A$94,0)),"")</f>
        <v/>
      </c>
      <c r="J1631" s="157">
        <f>IFERROR(INDEX(MASTER_JAM!$E$5:$E$94,MATCH($D1631,MASTER_JAM!$A$5:$A$94,0)),"")</f>
        <v/>
      </c>
      <c r="K1631" s="158">
        <f>IFERROR(INDEX(MASTER_JAM!$J$5:$O$12,MATCH($E1631,MASTER_JAM!$I$5:$I$12,0),MATCH($J1631,MASTER_JAM!$J$4:$O$4,0))+0,0)</f>
        <v/>
      </c>
      <c r="L1631" s="159">
        <f>N($F1631)*$K1631</f>
        <v/>
      </c>
      <c r="M1631" s="157">
        <f>IF($E1631="","",IF(OR($E1631="Coal",$E1631="Dirty Coal"),"MT","BCM"))</f>
        <v/>
      </c>
      <c r="N1631" s="157">
        <f>IF($E1631="","",IF(OR($E1631="Coal",$E1631="Dirty Coal"),"Coal","OB"))</f>
        <v/>
      </c>
      <c r="O1631" s="157">
        <f>IF($F1631="","",IF(COUNTIF(MASTER_JAM!$A$5:$A$94,$C1631)=0,"Digger tidak dikenal",IF($J1631="","Hauler tidak dikenal",IF($H1631="?","Jam salah",IF($K1631=0,"Faktor kosong",IF(SUMIFS(INPUT_DELAY!$E$5:$E$20000,INPUT_DELAY!$A$5:$A$20000,$A1631,INPUT_DELAY!$B$5:$B$20000,$B1631,INPUT_DELAY!$C$5:$C$20000,$C1631)+SUMIFS(INPUT_DELAY!$E$5:$E$20000,INPUT_DELAY!$A$5:$A$20000,$A1631,INPUT_DELAY!$B$5:$B$20000,$B1631,INPUT_DELAY!$C$5:$C$20000,"SEMUA")&gt;=60,"Delay 60 mnt tapi ada ritase","OK"))))))</f>
        <v/>
      </c>
      <c r="P1631" s="158">
        <f>IFERROR(INDEX(MASTER_JAM!$Z$5:$AC$10,MATCH($I1631,MASTER_JAM!$Y$5:$Y$10,0),MATCH($J1631,MASTER_JAM!$Z$4:$AC$4,0))+0,0)</f>
        <v/>
      </c>
      <c r="Q1631" s="158">
        <f>IF($P1631=0,0,$P1631+IFERROR(INDEX(MASTER_JAM!$H$5:$H$94,MATCH($C1631,MASTER_JAM!$A$5:$A$94,0))+0,MASTER_JAM!$AC$15)/1000*(60/MASTER_JAM!$AC$12+60/MASTER_JAM!$AC$13)+MASTER_JAM!$AC$14)</f>
        <v/>
      </c>
      <c r="R1631" s="158">
        <f>IF(N($F1631)=0,0,$F1631/SUMIFS(INPUT_RITASE!$F$5:$F$20000,INPUT_RITASE!$A$5:$A$20000,$A1631,INPUT_RITASE!$B$5:$B$20000,$B1631,INPUT_RITASE!$C$5:$C$20000,$C1631,INPUT_RITASE!$D$5:$D$20000,$D1631))</f>
        <v/>
      </c>
      <c r="S1631" s="158">
        <f>IF($Q1631=0,0,$R1631*$P1631/$Q1631)</f>
        <v/>
      </c>
    </row>
    <row r="1632">
      <c r="A1632" s="155" t="n">
        <v>46110</v>
      </c>
      <c r="B1632" s="156" t="inlineStr">
        <is>
          <t>08-09</t>
        </is>
      </c>
      <c r="C1632" s="156" t="inlineStr">
        <is>
          <t>EX-332</t>
        </is>
      </c>
      <c r="D1632" s="156" t="inlineStr">
        <is>
          <t>DT-514</t>
        </is>
      </c>
      <c r="E1632" s="156" t="inlineStr">
        <is>
          <t>Coal</t>
        </is>
      </c>
      <c r="F1632" s="156" t="n">
        <v>4</v>
      </c>
      <c r="G1632" s="156" t="inlineStr"/>
      <c r="H1632" s="157">
        <f>IF($B1632="","",IF(ISNA(MATCH($B1632,MASTER_JAM!$Q$5:$Q$28,0)),"?",IF(MATCH($B1632,MASTER_JAM!$Q$5:$Q$28,0)&lt;=12,"DS","NS")))</f>
        <v/>
      </c>
      <c r="I1632" s="157">
        <f>IFERROR(INDEX(MASTER_JAM!$B$5:$B$94,MATCH($C1632,MASTER_JAM!$A$5:$A$94,0)),"")</f>
        <v/>
      </c>
      <c r="J1632" s="157">
        <f>IFERROR(INDEX(MASTER_JAM!$E$5:$E$94,MATCH($D1632,MASTER_JAM!$A$5:$A$94,0)),"")</f>
        <v/>
      </c>
      <c r="K1632" s="158">
        <f>IFERROR(INDEX(MASTER_JAM!$J$5:$O$12,MATCH($E1632,MASTER_JAM!$I$5:$I$12,0),MATCH($J1632,MASTER_JAM!$J$4:$O$4,0))+0,0)</f>
        <v/>
      </c>
      <c r="L1632" s="159">
        <f>N($F1632)*$K1632</f>
        <v/>
      </c>
      <c r="M1632" s="157">
        <f>IF($E1632="","",IF(OR($E1632="Coal",$E1632="Dirty Coal"),"MT","BCM"))</f>
        <v/>
      </c>
      <c r="N1632" s="157">
        <f>IF($E1632="","",IF(OR($E1632="Coal",$E1632="Dirty Coal"),"Coal","OB"))</f>
        <v/>
      </c>
      <c r="O1632" s="157">
        <f>IF($F1632="","",IF(COUNTIF(MASTER_JAM!$A$5:$A$94,$C1632)=0,"Digger tidak dikenal",IF($J1632="","Hauler tidak dikenal",IF($H1632="?","Jam salah",IF($K1632=0,"Faktor kosong",IF(SUMIFS(INPUT_DELAY!$E$5:$E$20000,INPUT_DELAY!$A$5:$A$20000,$A1632,INPUT_DELAY!$B$5:$B$20000,$B1632,INPUT_DELAY!$C$5:$C$20000,$C1632)+SUMIFS(INPUT_DELAY!$E$5:$E$20000,INPUT_DELAY!$A$5:$A$20000,$A1632,INPUT_DELAY!$B$5:$B$20000,$B1632,INPUT_DELAY!$C$5:$C$20000,"SEMUA")&gt;=60,"Delay 60 mnt tapi ada ritase","OK"))))))</f>
        <v/>
      </c>
      <c r="P1632" s="158">
        <f>IFERROR(INDEX(MASTER_JAM!$Z$5:$AC$10,MATCH($I1632,MASTER_JAM!$Y$5:$Y$10,0),MATCH($J1632,MASTER_JAM!$Z$4:$AC$4,0))+0,0)</f>
        <v/>
      </c>
      <c r="Q1632" s="158">
        <f>IF($P1632=0,0,$P1632+IFERROR(INDEX(MASTER_JAM!$H$5:$H$94,MATCH($C1632,MASTER_JAM!$A$5:$A$94,0))+0,MASTER_JAM!$AC$15)/1000*(60/MASTER_JAM!$AC$12+60/MASTER_JAM!$AC$13)+MASTER_JAM!$AC$14)</f>
        <v/>
      </c>
      <c r="R1632" s="158">
        <f>IF(N($F1632)=0,0,$F1632/SUMIFS(INPUT_RITASE!$F$5:$F$20000,INPUT_RITASE!$A$5:$A$20000,$A1632,INPUT_RITASE!$B$5:$B$20000,$B1632,INPUT_RITASE!$C$5:$C$20000,$C1632,INPUT_RITASE!$D$5:$D$20000,$D1632))</f>
        <v/>
      </c>
      <c r="S1632" s="158">
        <f>IF($Q1632=0,0,$R1632*$P1632/$Q1632)</f>
        <v/>
      </c>
    </row>
    <row r="1633">
      <c r="A1633" s="155" t="n">
        <v>46110</v>
      </c>
      <c r="B1633" s="156" t="inlineStr">
        <is>
          <t>08-09</t>
        </is>
      </c>
      <c r="C1633" s="156" t="inlineStr">
        <is>
          <t>EX-332</t>
        </is>
      </c>
      <c r="D1633" s="156" t="inlineStr">
        <is>
          <t>DT-506</t>
        </is>
      </c>
      <c r="E1633" s="156" t="inlineStr">
        <is>
          <t>Coal</t>
        </is>
      </c>
      <c r="F1633" s="156" t="n">
        <v>3</v>
      </c>
      <c r="G1633" s="156" t="inlineStr"/>
      <c r="H1633" s="157">
        <f>IF($B1633="","",IF(ISNA(MATCH($B1633,MASTER_JAM!$Q$5:$Q$28,0)),"?",IF(MATCH($B1633,MASTER_JAM!$Q$5:$Q$28,0)&lt;=12,"DS","NS")))</f>
        <v/>
      </c>
      <c r="I1633" s="157">
        <f>IFERROR(INDEX(MASTER_JAM!$B$5:$B$94,MATCH($C1633,MASTER_JAM!$A$5:$A$94,0)),"")</f>
        <v/>
      </c>
      <c r="J1633" s="157">
        <f>IFERROR(INDEX(MASTER_JAM!$E$5:$E$94,MATCH($D1633,MASTER_JAM!$A$5:$A$94,0)),"")</f>
        <v/>
      </c>
      <c r="K1633" s="158">
        <f>IFERROR(INDEX(MASTER_JAM!$J$5:$O$12,MATCH($E1633,MASTER_JAM!$I$5:$I$12,0),MATCH($J1633,MASTER_JAM!$J$4:$O$4,0))+0,0)</f>
        <v/>
      </c>
      <c r="L1633" s="159">
        <f>N($F1633)*$K1633</f>
        <v/>
      </c>
      <c r="M1633" s="157">
        <f>IF($E1633="","",IF(OR($E1633="Coal",$E1633="Dirty Coal"),"MT","BCM"))</f>
        <v/>
      </c>
      <c r="N1633" s="157">
        <f>IF($E1633="","",IF(OR($E1633="Coal",$E1633="Dirty Coal"),"Coal","OB"))</f>
        <v/>
      </c>
      <c r="O1633" s="157">
        <f>IF($F1633="","",IF(COUNTIF(MASTER_JAM!$A$5:$A$94,$C1633)=0,"Digger tidak dikenal",IF($J1633="","Hauler tidak dikenal",IF($H1633="?","Jam salah",IF($K1633=0,"Faktor kosong",IF(SUMIFS(INPUT_DELAY!$E$5:$E$20000,INPUT_DELAY!$A$5:$A$20000,$A1633,INPUT_DELAY!$B$5:$B$20000,$B1633,INPUT_DELAY!$C$5:$C$20000,$C1633)+SUMIFS(INPUT_DELAY!$E$5:$E$20000,INPUT_DELAY!$A$5:$A$20000,$A1633,INPUT_DELAY!$B$5:$B$20000,$B1633,INPUT_DELAY!$C$5:$C$20000,"SEMUA")&gt;=60,"Delay 60 mnt tapi ada ritase","OK"))))))</f>
        <v/>
      </c>
      <c r="P1633" s="158">
        <f>IFERROR(INDEX(MASTER_JAM!$Z$5:$AC$10,MATCH($I1633,MASTER_JAM!$Y$5:$Y$10,0),MATCH($J1633,MASTER_JAM!$Z$4:$AC$4,0))+0,0)</f>
        <v/>
      </c>
      <c r="Q1633" s="158">
        <f>IF($P1633=0,0,$P1633+IFERROR(INDEX(MASTER_JAM!$H$5:$H$94,MATCH($C1633,MASTER_JAM!$A$5:$A$94,0))+0,MASTER_JAM!$AC$15)/1000*(60/MASTER_JAM!$AC$12+60/MASTER_JAM!$AC$13)+MASTER_JAM!$AC$14)</f>
        <v/>
      </c>
      <c r="R1633" s="158">
        <f>IF(N($F1633)=0,0,$F1633/SUMIFS(INPUT_RITASE!$F$5:$F$20000,INPUT_RITASE!$A$5:$A$20000,$A1633,INPUT_RITASE!$B$5:$B$20000,$B1633,INPUT_RITASE!$C$5:$C$20000,$C1633,INPUT_RITASE!$D$5:$D$20000,$D1633))</f>
        <v/>
      </c>
      <c r="S1633" s="158">
        <f>IF($Q1633=0,0,$R1633*$P1633/$Q1633)</f>
        <v/>
      </c>
    </row>
    <row r="1634">
      <c r="A1634" s="155" t="n">
        <v>46110</v>
      </c>
      <c r="B1634" s="156" t="inlineStr">
        <is>
          <t>08-09</t>
        </is>
      </c>
      <c r="C1634" s="156" t="inlineStr">
        <is>
          <t>EX-332</t>
        </is>
      </c>
      <c r="D1634" s="156" t="inlineStr">
        <is>
          <t>DT-526</t>
        </is>
      </c>
      <c r="E1634" s="156" t="inlineStr">
        <is>
          <t>Coal</t>
        </is>
      </c>
      <c r="F1634" s="156" t="n">
        <v>3</v>
      </c>
      <c r="G1634" s="156" t="inlineStr"/>
      <c r="H1634" s="157">
        <f>IF($B1634="","",IF(ISNA(MATCH($B1634,MASTER_JAM!$Q$5:$Q$28,0)),"?",IF(MATCH($B1634,MASTER_JAM!$Q$5:$Q$28,0)&lt;=12,"DS","NS")))</f>
        <v/>
      </c>
      <c r="I1634" s="157">
        <f>IFERROR(INDEX(MASTER_JAM!$B$5:$B$94,MATCH($C1634,MASTER_JAM!$A$5:$A$94,0)),"")</f>
        <v/>
      </c>
      <c r="J1634" s="157">
        <f>IFERROR(INDEX(MASTER_JAM!$E$5:$E$94,MATCH($D1634,MASTER_JAM!$A$5:$A$94,0)),"")</f>
        <v/>
      </c>
      <c r="K1634" s="158">
        <f>IFERROR(INDEX(MASTER_JAM!$J$5:$O$12,MATCH($E1634,MASTER_JAM!$I$5:$I$12,0),MATCH($J1634,MASTER_JAM!$J$4:$O$4,0))+0,0)</f>
        <v/>
      </c>
      <c r="L1634" s="159">
        <f>N($F1634)*$K1634</f>
        <v/>
      </c>
      <c r="M1634" s="157">
        <f>IF($E1634="","",IF(OR($E1634="Coal",$E1634="Dirty Coal"),"MT","BCM"))</f>
        <v/>
      </c>
      <c r="N1634" s="157">
        <f>IF($E1634="","",IF(OR($E1634="Coal",$E1634="Dirty Coal"),"Coal","OB"))</f>
        <v/>
      </c>
      <c r="O1634" s="157">
        <f>IF($F1634="","",IF(COUNTIF(MASTER_JAM!$A$5:$A$94,$C1634)=0,"Digger tidak dikenal",IF($J1634="","Hauler tidak dikenal",IF($H1634="?","Jam salah",IF($K1634=0,"Faktor kosong",IF(SUMIFS(INPUT_DELAY!$E$5:$E$20000,INPUT_DELAY!$A$5:$A$20000,$A1634,INPUT_DELAY!$B$5:$B$20000,$B1634,INPUT_DELAY!$C$5:$C$20000,$C1634)+SUMIFS(INPUT_DELAY!$E$5:$E$20000,INPUT_DELAY!$A$5:$A$20000,$A1634,INPUT_DELAY!$B$5:$B$20000,$B1634,INPUT_DELAY!$C$5:$C$20000,"SEMUA")&gt;=60,"Delay 60 mnt tapi ada ritase","OK"))))))</f>
        <v/>
      </c>
      <c r="P1634" s="158">
        <f>IFERROR(INDEX(MASTER_JAM!$Z$5:$AC$10,MATCH($I1634,MASTER_JAM!$Y$5:$Y$10,0),MATCH($J1634,MASTER_JAM!$Z$4:$AC$4,0))+0,0)</f>
        <v/>
      </c>
      <c r="Q1634" s="158">
        <f>IF($P1634=0,0,$P1634+IFERROR(INDEX(MASTER_JAM!$H$5:$H$94,MATCH($C1634,MASTER_JAM!$A$5:$A$94,0))+0,MASTER_JAM!$AC$15)/1000*(60/MASTER_JAM!$AC$12+60/MASTER_JAM!$AC$13)+MASTER_JAM!$AC$14)</f>
        <v/>
      </c>
      <c r="R1634" s="158">
        <f>IF(N($F1634)=0,0,$F1634/SUMIFS(INPUT_RITASE!$F$5:$F$20000,INPUT_RITASE!$A$5:$A$20000,$A1634,INPUT_RITASE!$B$5:$B$20000,$B1634,INPUT_RITASE!$C$5:$C$20000,$C1634,INPUT_RITASE!$D$5:$D$20000,$D1634))</f>
        <v/>
      </c>
      <c r="S1634" s="158">
        <f>IF($Q1634=0,0,$R1634*$P1634/$Q1634)</f>
        <v/>
      </c>
    </row>
    <row r="1635">
      <c r="A1635" s="155" t="n">
        <v>46110</v>
      </c>
      <c r="B1635" s="156" t="inlineStr">
        <is>
          <t>09-10</t>
        </is>
      </c>
      <c r="C1635" s="156" t="inlineStr">
        <is>
          <t>EX-332</t>
        </is>
      </c>
      <c r="D1635" s="156" t="inlineStr">
        <is>
          <t>DT-504</t>
        </is>
      </c>
      <c r="E1635" s="156" t="inlineStr">
        <is>
          <t>Coal</t>
        </is>
      </c>
      <c r="F1635" s="156" t="n">
        <v>3</v>
      </c>
      <c r="G1635" s="156" t="inlineStr"/>
      <c r="H1635" s="157">
        <f>IF($B1635="","",IF(ISNA(MATCH($B1635,MASTER_JAM!$Q$5:$Q$28,0)),"?",IF(MATCH($B1635,MASTER_JAM!$Q$5:$Q$28,0)&lt;=12,"DS","NS")))</f>
        <v/>
      </c>
      <c r="I1635" s="157">
        <f>IFERROR(INDEX(MASTER_JAM!$B$5:$B$94,MATCH($C1635,MASTER_JAM!$A$5:$A$94,0)),"")</f>
        <v/>
      </c>
      <c r="J1635" s="157">
        <f>IFERROR(INDEX(MASTER_JAM!$E$5:$E$94,MATCH($D1635,MASTER_JAM!$A$5:$A$94,0)),"")</f>
        <v/>
      </c>
      <c r="K1635" s="158">
        <f>IFERROR(INDEX(MASTER_JAM!$J$5:$O$12,MATCH($E1635,MASTER_JAM!$I$5:$I$12,0),MATCH($J1635,MASTER_JAM!$J$4:$O$4,0))+0,0)</f>
        <v/>
      </c>
      <c r="L1635" s="159">
        <f>N($F1635)*$K1635</f>
        <v/>
      </c>
      <c r="M1635" s="157">
        <f>IF($E1635="","",IF(OR($E1635="Coal",$E1635="Dirty Coal"),"MT","BCM"))</f>
        <v/>
      </c>
      <c r="N1635" s="157">
        <f>IF($E1635="","",IF(OR($E1635="Coal",$E1635="Dirty Coal"),"Coal","OB"))</f>
        <v/>
      </c>
      <c r="O1635" s="157">
        <f>IF($F1635="","",IF(COUNTIF(MASTER_JAM!$A$5:$A$94,$C1635)=0,"Digger tidak dikenal",IF($J1635="","Hauler tidak dikenal",IF($H1635="?","Jam salah",IF($K1635=0,"Faktor kosong",IF(SUMIFS(INPUT_DELAY!$E$5:$E$20000,INPUT_DELAY!$A$5:$A$20000,$A1635,INPUT_DELAY!$B$5:$B$20000,$B1635,INPUT_DELAY!$C$5:$C$20000,$C1635)+SUMIFS(INPUT_DELAY!$E$5:$E$20000,INPUT_DELAY!$A$5:$A$20000,$A1635,INPUT_DELAY!$B$5:$B$20000,$B1635,INPUT_DELAY!$C$5:$C$20000,"SEMUA")&gt;=60,"Delay 60 mnt tapi ada ritase","OK"))))))</f>
        <v/>
      </c>
      <c r="P1635" s="158">
        <f>IFERROR(INDEX(MASTER_JAM!$Z$5:$AC$10,MATCH($I1635,MASTER_JAM!$Y$5:$Y$10,0),MATCH($J1635,MASTER_JAM!$Z$4:$AC$4,0))+0,0)</f>
        <v/>
      </c>
      <c r="Q1635" s="158">
        <f>IF($P1635=0,0,$P1635+IFERROR(INDEX(MASTER_JAM!$H$5:$H$94,MATCH($C1635,MASTER_JAM!$A$5:$A$94,0))+0,MASTER_JAM!$AC$15)/1000*(60/MASTER_JAM!$AC$12+60/MASTER_JAM!$AC$13)+MASTER_JAM!$AC$14)</f>
        <v/>
      </c>
      <c r="R1635" s="158">
        <f>IF(N($F1635)=0,0,$F1635/SUMIFS(INPUT_RITASE!$F$5:$F$20000,INPUT_RITASE!$A$5:$A$20000,$A1635,INPUT_RITASE!$B$5:$B$20000,$B1635,INPUT_RITASE!$C$5:$C$20000,$C1635,INPUT_RITASE!$D$5:$D$20000,$D1635))</f>
        <v/>
      </c>
      <c r="S1635" s="158">
        <f>IF($Q1635=0,0,$R1635*$P1635/$Q1635)</f>
        <v/>
      </c>
    </row>
    <row r="1636">
      <c r="A1636" s="155" t="n">
        <v>46110</v>
      </c>
      <c r="B1636" s="156" t="inlineStr">
        <is>
          <t>09-10</t>
        </is>
      </c>
      <c r="C1636" s="156" t="inlineStr">
        <is>
          <t>EX-332</t>
        </is>
      </c>
      <c r="D1636" s="156" t="inlineStr">
        <is>
          <t>DT-529</t>
        </is>
      </c>
      <c r="E1636" s="156" t="inlineStr">
        <is>
          <t>Coal</t>
        </is>
      </c>
      <c r="F1636" s="156" t="n">
        <v>3</v>
      </c>
      <c r="G1636" s="156" t="inlineStr"/>
      <c r="H1636" s="157">
        <f>IF($B1636="","",IF(ISNA(MATCH($B1636,MASTER_JAM!$Q$5:$Q$28,0)),"?",IF(MATCH($B1636,MASTER_JAM!$Q$5:$Q$28,0)&lt;=12,"DS","NS")))</f>
        <v/>
      </c>
      <c r="I1636" s="157">
        <f>IFERROR(INDEX(MASTER_JAM!$B$5:$B$94,MATCH($C1636,MASTER_JAM!$A$5:$A$94,0)),"")</f>
        <v/>
      </c>
      <c r="J1636" s="157">
        <f>IFERROR(INDEX(MASTER_JAM!$E$5:$E$94,MATCH($D1636,MASTER_JAM!$A$5:$A$94,0)),"")</f>
        <v/>
      </c>
      <c r="K1636" s="158">
        <f>IFERROR(INDEX(MASTER_JAM!$J$5:$O$12,MATCH($E1636,MASTER_JAM!$I$5:$I$12,0),MATCH($J1636,MASTER_JAM!$J$4:$O$4,0))+0,0)</f>
        <v/>
      </c>
      <c r="L1636" s="159">
        <f>N($F1636)*$K1636</f>
        <v/>
      </c>
      <c r="M1636" s="157">
        <f>IF($E1636="","",IF(OR($E1636="Coal",$E1636="Dirty Coal"),"MT","BCM"))</f>
        <v/>
      </c>
      <c r="N1636" s="157">
        <f>IF($E1636="","",IF(OR($E1636="Coal",$E1636="Dirty Coal"),"Coal","OB"))</f>
        <v/>
      </c>
      <c r="O1636" s="157">
        <f>IF($F1636="","",IF(COUNTIF(MASTER_JAM!$A$5:$A$94,$C1636)=0,"Digger tidak dikenal",IF($J1636="","Hauler tidak dikenal",IF($H1636="?","Jam salah",IF($K1636=0,"Faktor kosong",IF(SUMIFS(INPUT_DELAY!$E$5:$E$20000,INPUT_DELAY!$A$5:$A$20000,$A1636,INPUT_DELAY!$B$5:$B$20000,$B1636,INPUT_DELAY!$C$5:$C$20000,$C1636)+SUMIFS(INPUT_DELAY!$E$5:$E$20000,INPUT_DELAY!$A$5:$A$20000,$A1636,INPUT_DELAY!$B$5:$B$20000,$B1636,INPUT_DELAY!$C$5:$C$20000,"SEMUA")&gt;=60,"Delay 60 mnt tapi ada ritase","OK"))))))</f>
        <v/>
      </c>
      <c r="P1636" s="158">
        <f>IFERROR(INDEX(MASTER_JAM!$Z$5:$AC$10,MATCH($I1636,MASTER_JAM!$Y$5:$Y$10,0),MATCH($J1636,MASTER_JAM!$Z$4:$AC$4,0))+0,0)</f>
        <v/>
      </c>
      <c r="Q1636" s="158">
        <f>IF($P1636=0,0,$P1636+IFERROR(INDEX(MASTER_JAM!$H$5:$H$94,MATCH($C1636,MASTER_JAM!$A$5:$A$94,0))+0,MASTER_JAM!$AC$15)/1000*(60/MASTER_JAM!$AC$12+60/MASTER_JAM!$AC$13)+MASTER_JAM!$AC$14)</f>
        <v/>
      </c>
      <c r="R1636" s="158">
        <f>IF(N($F1636)=0,0,$F1636/SUMIFS(INPUT_RITASE!$F$5:$F$20000,INPUT_RITASE!$A$5:$A$20000,$A1636,INPUT_RITASE!$B$5:$B$20000,$B1636,INPUT_RITASE!$C$5:$C$20000,$C1636,INPUT_RITASE!$D$5:$D$20000,$D1636))</f>
        <v/>
      </c>
      <c r="S1636" s="158">
        <f>IF($Q1636=0,0,$R1636*$P1636/$Q1636)</f>
        <v/>
      </c>
    </row>
    <row r="1637">
      <c r="A1637" s="155" t="n">
        <v>46110</v>
      </c>
      <c r="B1637" s="156" t="inlineStr">
        <is>
          <t>10-11</t>
        </is>
      </c>
      <c r="C1637" s="156" t="inlineStr">
        <is>
          <t>EX-332</t>
        </is>
      </c>
      <c r="D1637" s="156" t="inlineStr">
        <is>
          <t>DT-522</t>
        </is>
      </c>
      <c r="E1637" s="156" t="inlineStr">
        <is>
          <t>Coal</t>
        </is>
      </c>
      <c r="F1637" s="156" t="n">
        <v>3</v>
      </c>
      <c r="G1637" s="156" t="inlineStr"/>
      <c r="H1637" s="157">
        <f>IF($B1637="","",IF(ISNA(MATCH($B1637,MASTER_JAM!$Q$5:$Q$28,0)),"?",IF(MATCH($B1637,MASTER_JAM!$Q$5:$Q$28,0)&lt;=12,"DS","NS")))</f>
        <v/>
      </c>
      <c r="I1637" s="157">
        <f>IFERROR(INDEX(MASTER_JAM!$B$5:$B$94,MATCH($C1637,MASTER_JAM!$A$5:$A$94,0)),"")</f>
        <v/>
      </c>
      <c r="J1637" s="157">
        <f>IFERROR(INDEX(MASTER_JAM!$E$5:$E$94,MATCH($D1637,MASTER_JAM!$A$5:$A$94,0)),"")</f>
        <v/>
      </c>
      <c r="K1637" s="158">
        <f>IFERROR(INDEX(MASTER_JAM!$J$5:$O$12,MATCH($E1637,MASTER_JAM!$I$5:$I$12,0),MATCH($J1637,MASTER_JAM!$J$4:$O$4,0))+0,0)</f>
        <v/>
      </c>
      <c r="L1637" s="159">
        <f>N($F1637)*$K1637</f>
        <v/>
      </c>
      <c r="M1637" s="157">
        <f>IF($E1637="","",IF(OR($E1637="Coal",$E1637="Dirty Coal"),"MT","BCM"))</f>
        <v/>
      </c>
      <c r="N1637" s="157">
        <f>IF($E1637="","",IF(OR($E1637="Coal",$E1637="Dirty Coal"),"Coal","OB"))</f>
        <v/>
      </c>
      <c r="O1637" s="157">
        <f>IF($F1637="","",IF(COUNTIF(MASTER_JAM!$A$5:$A$94,$C1637)=0,"Digger tidak dikenal",IF($J1637="","Hauler tidak dikenal",IF($H1637="?","Jam salah",IF($K1637=0,"Faktor kosong",IF(SUMIFS(INPUT_DELAY!$E$5:$E$20000,INPUT_DELAY!$A$5:$A$20000,$A1637,INPUT_DELAY!$B$5:$B$20000,$B1637,INPUT_DELAY!$C$5:$C$20000,$C1637)+SUMIFS(INPUT_DELAY!$E$5:$E$20000,INPUT_DELAY!$A$5:$A$20000,$A1637,INPUT_DELAY!$B$5:$B$20000,$B1637,INPUT_DELAY!$C$5:$C$20000,"SEMUA")&gt;=60,"Delay 60 mnt tapi ada ritase","OK"))))))</f>
        <v/>
      </c>
      <c r="P1637" s="158">
        <f>IFERROR(INDEX(MASTER_JAM!$Z$5:$AC$10,MATCH($I1637,MASTER_JAM!$Y$5:$Y$10,0),MATCH($J1637,MASTER_JAM!$Z$4:$AC$4,0))+0,0)</f>
        <v/>
      </c>
      <c r="Q1637" s="158">
        <f>IF($P1637=0,0,$P1637+IFERROR(INDEX(MASTER_JAM!$H$5:$H$94,MATCH($C1637,MASTER_JAM!$A$5:$A$94,0))+0,MASTER_JAM!$AC$15)/1000*(60/MASTER_JAM!$AC$12+60/MASTER_JAM!$AC$13)+MASTER_JAM!$AC$14)</f>
        <v/>
      </c>
      <c r="R1637" s="158">
        <f>IF(N($F1637)=0,0,$F1637/SUMIFS(INPUT_RITASE!$F$5:$F$20000,INPUT_RITASE!$A$5:$A$20000,$A1637,INPUT_RITASE!$B$5:$B$20000,$B1637,INPUT_RITASE!$C$5:$C$20000,$C1637,INPUT_RITASE!$D$5:$D$20000,$D1637))</f>
        <v/>
      </c>
      <c r="S1637" s="158">
        <f>IF($Q1637=0,0,$R1637*$P1637/$Q1637)</f>
        <v/>
      </c>
    </row>
    <row r="1638">
      <c r="A1638" s="155" t="n">
        <v>46110</v>
      </c>
      <c r="B1638" s="156" t="inlineStr">
        <is>
          <t>10-11</t>
        </is>
      </c>
      <c r="C1638" s="156" t="inlineStr">
        <is>
          <t>EX-332</t>
        </is>
      </c>
      <c r="D1638" s="156" t="inlineStr">
        <is>
          <t>DT-504</t>
        </is>
      </c>
      <c r="E1638" s="156" t="inlineStr">
        <is>
          <t>Coal</t>
        </is>
      </c>
      <c r="F1638" s="156" t="n">
        <v>3</v>
      </c>
      <c r="G1638" s="156" t="inlineStr"/>
      <c r="H1638" s="157">
        <f>IF($B1638="","",IF(ISNA(MATCH($B1638,MASTER_JAM!$Q$5:$Q$28,0)),"?",IF(MATCH($B1638,MASTER_JAM!$Q$5:$Q$28,0)&lt;=12,"DS","NS")))</f>
        <v/>
      </c>
      <c r="I1638" s="157">
        <f>IFERROR(INDEX(MASTER_JAM!$B$5:$B$94,MATCH($C1638,MASTER_JAM!$A$5:$A$94,0)),"")</f>
        <v/>
      </c>
      <c r="J1638" s="157">
        <f>IFERROR(INDEX(MASTER_JAM!$E$5:$E$94,MATCH($D1638,MASTER_JAM!$A$5:$A$94,0)),"")</f>
        <v/>
      </c>
      <c r="K1638" s="158">
        <f>IFERROR(INDEX(MASTER_JAM!$J$5:$O$12,MATCH($E1638,MASTER_JAM!$I$5:$I$12,0),MATCH($J1638,MASTER_JAM!$J$4:$O$4,0))+0,0)</f>
        <v/>
      </c>
      <c r="L1638" s="159">
        <f>N($F1638)*$K1638</f>
        <v/>
      </c>
      <c r="M1638" s="157">
        <f>IF($E1638="","",IF(OR($E1638="Coal",$E1638="Dirty Coal"),"MT","BCM"))</f>
        <v/>
      </c>
      <c r="N1638" s="157">
        <f>IF($E1638="","",IF(OR($E1638="Coal",$E1638="Dirty Coal"),"Coal","OB"))</f>
        <v/>
      </c>
      <c r="O1638" s="157">
        <f>IF($F1638="","",IF(COUNTIF(MASTER_JAM!$A$5:$A$94,$C1638)=0,"Digger tidak dikenal",IF($J1638="","Hauler tidak dikenal",IF($H1638="?","Jam salah",IF($K1638=0,"Faktor kosong",IF(SUMIFS(INPUT_DELAY!$E$5:$E$20000,INPUT_DELAY!$A$5:$A$20000,$A1638,INPUT_DELAY!$B$5:$B$20000,$B1638,INPUT_DELAY!$C$5:$C$20000,$C1638)+SUMIFS(INPUT_DELAY!$E$5:$E$20000,INPUT_DELAY!$A$5:$A$20000,$A1638,INPUT_DELAY!$B$5:$B$20000,$B1638,INPUT_DELAY!$C$5:$C$20000,"SEMUA")&gt;=60,"Delay 60 mnt tapi ada ritase","OK"))))))</f>
        <v/>
      </c>
      <c r="P1638" s="158">
        <f>IFERROR(INDEX(MASTER_JAM!$Z$5:$AC$10,MATCH($I1638,MASTER_JAM!$Y$5:$Y$10,0),MATCH($J1638,MASTER_JAM!$Z$4:$AC$4,0))+0,0)</f>
        <v/>
      </c>
      <c r="Q1638" s="158">
        <f>IF($P1638=0,0,$P1638+IFERROR(INDEX(MASTER_JAM!$H$5:$H$94,MATCH($C1638,MASTER_JAM!$A$5:$A$94,0))+0,MASTER_JAM!$AC$15)/1000*(60/MASTER_JAM!$AC$12+60/MASTER_JAM!$AC$13)+MASTER_JAM!$AC$14)</f>
        <v/>
      </c>
      <c r="R1638" s="158">
        <f>IF(N($F1638)=0,0,$F1638/SUMIFS(INPUT_RITASE!$F$5:$F$20000,INPUT_RITASE!$A$5:$A$20000,$A1638,INPUT_RITASE!$B$5:$B$20000,$B1638,INPUT_RITASE!$C$5:$C$20000,$C1638,INPUT_RITASE!$D$5:$D$20000,$D1638))</f>
        <v/>
      </c>
      <c r="S1638" s="158">
        <f>IF($Q1638=0,0,$R1638*$P1638/$Q1638)</f>
        <v/>
      </c>
    </row>
    <row r="1639">
      <c r="A1639" s="155" t="n">
        <v>46110</v>
      </c>
      <c r="B1639" s="156" t="inlineStr">
        <is>
          <t>06-07</t>
        </is>
      </c>
      <c r="C1639" s="156" t="inlineStr">
        <is>
          <t>EX-754</t>
        </is>
      </c>
      <c r="D1639" s="156" t="inlineStr">
        <is>
          <t>DT-512</t>
        </is>
      </c>
      <c r="E1639" s="156" t="inlineStr">
        <is>
          <t>OB</t>
        </is>
      </c>
      <c r="F1639" s="156" t="n">
        <v>4</v>
      </c>
      <c r="G1639" s="156" t="inlineStr"/>
      <c r="H1639" s="157">
        <f>IF($B1639="","",IF(ISNA(MATCH($B1639,MASTER_JAM!$Q$5:$Q$28,0)),"?",IF(MATCH($B1639,MASTER_JAM!$Q$5:$Q$28,0)&lt;=12,"DS","NS")))</f>
        <v/>
      </c>
      <c r="I1639" s="157">
        <f>IFERROR(INDEX(MASTER_JAM!$B$5:$B$94,MATCH($C1639,MASTER_JAM!$A$5:$A$94,0)),"")</f>
        <v/>
      </c>
      <c r="J1639" s="157">
        <f>IFERROR(INDEX(MASTER_JAM!$E$5:$E$94,MATCH($D1639,MASTER_JAM!$A$5:$A$94,0)),"")</f>
        <v/>
      </c>
      <c r="K1639" s="158">
        <f>IFERROR(INDEX(MASTER_JAM!$J$5:$O$12,MATCH($E1639,MASTER_JAM!$I$5:$I$12,0),MATCH($J1639,MASTER_JAM!$J$4:$O$4,0))+0,0)</f>
        <v/>
      </c>
      <c r="L1639" s="159">
        <f>N($F1639)*$K1639</f>
        <v/>
      </c>
      <c r="M1639" s="157">
        <f>IF($E1639="","",IF(OR($E1639="Coal",$E1639="Dirty Coal"),"MT","BCM"))</f>
        <v/>
      </c>
      <c r="N1639" s="157">
        <f>IF($E1639="","",IF(OR($E1639="Coal",$E1639="Dirty Coal"),"Coal","OB"))</f>
        <v/>
      </c>
      <c r="O1639" s="157">
        <f>IF($F1639="","",IF(COUNTIF(MASTER_JAM!$A$5:$A$94,$C1639)=0,"Digger tidak dikenal",IF($J1639="","Hauler tidak dikenal",IF($H1639="?","Jam salah",IF($K1639=0,"Faktor kosong",IF(SUMIFS(INPUT_DELAY!$E$5:$E$20000,INPUT_DELAY!$A$5:$A$20000,$A1639,INPUT_DELAY!$B$5:$B$20000,$B1639,INPUT_DELAY!$C$5:$C$20000,$C1639)+SUMIFS(INPUT_DELAY!$E$5:$E$20000,INPUT_DELAY!$A$5:$A$20000,$A1639,INPUT_DELAY!$B$5:$B$20000,$B1639,INPUT_DELAY!$C$5:$C$20000,"SEMUA")&gt;=60,"Delay 60 mnt tapi ada ritase","OK"))))))</f>
        <v/>
      </c>
      <c r="P1639" s="158">
        <f>IFERROR(INDEX(MASTER_JAM!$Z$5:$AC$10,MATCH($I1639,MASTER_JAM!$Y$5:$Y$10,0),MATCH($J1639,MASTER_JAM!$Z$4:$AC$4,0))+0,0)</f>
        <v/>
      </c>
      <c r="Q1639" s="158">
        <f>IF($P1639=0,0,$P1639+IFERROR(INDEX(MASTER_JAM!$H$5:$H$94,MATCH($C1639,MASTER_JAM!$A$5:$A$94,0))+0,MASTER_JAM!$AC$15)/1000*(60/MASTER_JAM!$AC$12+60/MASTER_JAM!$AC$13)+MASTER_JAM!$AC$14)</f>
        <v/>
      </c>
      <c r="R1639" s="158">
        <f>IF(N($F1639)=0,0,$F1639/SUMIFS(INPUT_RITASE!$F$5:$F$20000,INPUT_RITASE!$A$5:$A$20000,$A1639,INPUT_RITASE!$B$5:$B$20000,$B1639,INPUT_RITASE!$C$5:$C$20000,$C1639,INPUT_RITASE!$D$5:$D$20000,$D1639))</f>
        <v/>
      </c>
      <c r="S1639" s="158">
        <f>IF($Q1639=0,0,$R1639*$P1639/$Q1639)</f>
        <v/>
      </c>
    </row>
    <row r="1640">
      <c r="A1640" s="155" t="n">
        <v>46110</v>
      </c>
      <c r="B1640" s="156" t="inlineStr">
        <is>
          <t>06-07</t>
        </is>
      </c>
      <c r="C1640" s="156" t="inlineStr">
        <is>
          <t>EX-754</t>
        </is>
      </c>
      <c r="D1640" s="156" t="inlineStr">
        <is>
          <t>DT-506</t>
        </is>
      </c>
      <c r="E1640" s="156" t="inlineStr">
        <is>
          <t>OB</t>
        </is>
      </c>
      <c r="F1640" s="156" t="n">
        <v>4</v>
      </c>
      <c r="G1640" s="156" t="inlineStr"/>
      <c r="H1640" s="157">
        <f>IF($B1640="","",IF(ISNA(MATCH($B1640,MASTER_JAM!$Q$5:$Q$28,0)),"?",IF(MATCH($B1640,MASTER_JAM!$Q$5:$Q$28,0)&lt;=12,"DS","NS")))</f>
        <v/>
      </c>
      <c r="I1640" s="157">
        <f>IFERROR(INDEX(MASTER_JAM!$B$5:$B$94,MATCH($C1640,MASTER_JAM!$A$5:$A$94,0)),"")</f>
        <v/>
      </c>
      <c r="J1640" s="157">
        <f>IFERROR(INDEX(MASTER_JAM!$E$5:$E$94,MATCH($D1640,MASTER_JAM!$A$5:$A$94,0)),"")</f>
        <v/>
      </c>
      <c r="K1640" s="158">
        <f>IFERROR(INDEX(MASTER_JAM!$J$5:$O$12,MATCH($E1640,MASTER_JAM!$I$5:$I$12,0),MATCH($J1640,MASTER_JAM!$J$4:$O$4,0))+0,0)</f>
        <v/>
      </c>
      <c r="L1640" s="159">
        <f>N($F1640)*$K1640</f>
        <v/>
      </c>
      <c r="M1640" s="157">
        <f>IF($E1640="","",IF(OR($E1640="Coal",$E1640="Dirty Coal"),"MT","BCM"))</f>
        <v/>
      </c>
      <c r="N1640" s="157">
        <f>IF($E1640="","",IF(OR($E1640="Coal",$E1640="Dirty Coal"),"Coal","OB"))</f>
        <v/>
      </c>
      <c r="O1640" s="157">
        <f>IF($F1640="","",IF(COUNTIF(MASTER_JAM!$A$5:$A$94,$C1640)=0,"Digger tidak dikenal",IF($J1640="","Hauler tidak dikenal",IF($H1640="?","Jam salah",IF($K1640=0,"Faktor kosong",IF(SUMIFS(INPUT_DELAY!$E$5:$E$20000,INPUT_DELAY!$A$5:$A$20000,$A1640,INPUT_DELAY!$B$5:$B$20000,$B1640,INPUT_DELAY!$C$5:$C$20000,$C1640)+SUMIFS(INPUT_DELAY!$E$5:$E$20000,INPUT_DELAY!$A$5:$A$20000,$A1640,INPUT_DELAY!$B$5:$B$20000,$B1640,INPUT_DELAY!$C$5:$C$20000,"SEMUA")&gt;=60,"Delay 60 mnt tapi ada ritase","OK"))))))</f>
        <v/>
      </c>
      <c r="P1640" s="158">
        <f>IFERROR(INDEX(MASTER_JAM!$Z$5:$AC$10,MATCH($I1640,MASTER_JAM!$Y$5:$Y$10,0),MATCH($J1640,MASTER_JAM!$Z$4:$AC$4,0))+0,0)</f>
        <v/>
      </c>
      <c r="Q1640" s="158">
        <f>IF($P1640=0,0,$P1640+IFERROR(INDEX(MASTER_JAM!$H$5:$H$94,MATCH($C1640,MASTER_JAM!$A$5:$A$94,0))+0,MASTER_JAM!$AC$15)/1000*(60/MASTER_JAM!$AC$12+60/MASTER_JAM!$AC$13)+MASTER_JAM!$AC$14)</f>
        <v/>
      </c>
      <c r="R1640" s="158">
        <f>IF(N($F1640)=0,0,$F1640/SUMIFS(INPUT_RITASE!$F$5:$F$20000,INPUT_RITASE!$A$5:$A$20000,$A1640,INPUT_RITASE!$B$5:$B$20000,$B1640,INPUT_RITASE!$C$5:$C$20000,$C1640,INPUT_RITASE!$D$5:$D$20000,$D1640))</f>
        <v/>
      </c>
      <c r="S1640" s="158">
        <f>IF($Q1640=0,0,$R1640*$P1640/$Q1640)</f>
        <v/>
      </c>
    </row>
    <row r="1641">
      <c r="A1641" s="155" t="n">
        <v>46110</v>
      </c>
      <c r="B1641" s="156" t="inlineStr">
        <is>
          <t>06-07</t>
        </is>
      </c>
      <c r="C1641" s="156" t="inlineStr">
        <is>
          <t>EX-754</t>
        </is>
      </c>
      <c r="D1641" s="156" t="inlineStr">
        <is>
          <t>DT-501</t>
        </is>
      </c>
      <c r="E1641" s="156" t="inlineStr">
        <is>
          <t>OB</t>
        </is>
      </c>
      <c r="F1641" s="156" t="n">
        <v>3</v>
      </c>
      <c r="G1641" s="156" t="inlineStr"/>
      <c r="H1641" s="157">
        <f>IF($B1641="","",IF(ISNA(MATCH($B1641,MASTER_JAM!$Q$5:$Q$28,0)),"?",IF(MATCH($B1641,MASTER_JAM!$Q$5:$Q$28,0)&lt;=12,"DS","NS")))</f>
        <v/>
      </c>
      <c r="I1641" s="157">
        <f>IFERROR(INDEX(MASTER_JAM!$B$5:$B$94,MATCH($C1641,MASTER_JAM!$A$5:$A$94,0)),"")</f>
        <v/>
      </c>
      <c r="J1641" s="157">
        <f>IFERROR(INDEX(MASTER_JAM!$E$5:$E$94,MATCH($D1641,MASTER_JAM!$A$5:$A$94,0)),"")</f>
        <v/>
      </c>
      <c r="K1641" s="158">
        <f>IFERROR(INDEX(MASTER_JAM!$J$5:$O$12,MATCH($E1641,MASTER_JAM!$I$5:$I$12,0),MATCH($J1641,MASTER_JAM!$J$4:$O$4,0))+0,0)</f>
        <v/>
      </c>
      <c r="L1641" s="159">
        <f>N($F1641)*$K1641</f>
        <v/>
      </c>
      <c r="M1641" s="157">
        <f>IF($E1641="","",IF(OR($E1641="Coal",$E1641="Dirty Coal"),"MT","BCM"))</f>
        <v/>
      </c>
      <c r="N1641" s="157">
        <f>IF($E1641="","",IF(OR($E1641="Coal",$E1641="Dirty Coal"),"Coal","OB"))</f>
        <v/>
      </c>
      <c r="O1641" s="157">
        <f>IF($F1641="","",IF(COUNTIF(MASTER_JAM!$A$5:$A$94,$C1641)=0,"Digger tidak dikenal",IF($J1641="","Hauler tidak dikenal",IF($H1641="?","Jam salah",IF($K1641=0,"Faktor kosong",IF(SUMIFS(INPUT_DELAY!$E$5:$E$20000,INPUT_DELAY!$A$5:$A$20000,$A1641,INPUT_DELAY!$B$5:$B$20000,$B1641,INPUT_DELAY!$C$5:$C$20000,$C1641)+SUMIFS(INPUT_DELAY!$E$5:$E$20000,INPUT_DELAY!$A$5:$A$20000,$A1641,INPUT_DELAY!$B$5:$B$20000,$B1641,INPUT_DELAY!$C$5:$C$20000,"SEMUA")&gt;=60,"Delay 60 mnt tapi ada ritase","OK"))))))</f>
        <v/>
      </c>
      <c r="P1641" s="158">
        <f>IFERROR(INDEX(MASTER_JAM!$Z$5:$AC$10,MATCH($I1641,MASTER_JAM!$Y$5:$Y$10,0),MATCH($J1641,MASTER_JAM!$Z$4:$AC$4,0))+0,0)</f>
        <v/>
      </c>
      <c r="Q1641" s="158">
        <f>IF($P1641=0,0,$P1641+IFERROR(INDEX(MASTER_JAM!$H$5:$H$94,MATCH($C1641,MASTER_JAM!$A$5:$A$94,0))+0,MASTER_JAM!$AC$15)/1000*(60/MASTER_JAM!$AC$12+60/MASTER_JAM!$AC$13)+MASTER_JAM!$AC$14)</f>
        <v/>
      </c>
      <c r="R1641" s="158">
        <f>IF(N($F1641)=0,0,$F1641/SUMIFS(INPUT_RITASE!$F$5:$F$20000,INPUT_RITASE!$A$5:$A$20000,$A1641,INPUT_RITASE!$B$5:$B$20000,$B1641,INPUT_RITASE!$C$5:$C$20000,$C1641,INPUT_RITASE!$D$5:$D$20000,$D1641))</f>
        <v/>
      </c>
      <c r="S1641" s="158">
        <f>IF($Q1641=0,0,$R1641*$P1641/$Q1641)</f>
        <v/>
      </c>
    </row>
    <row r="1642">
      <c r="A1642" s="155" t="n">
        <v>46110</v>
      </c>
      <c r="B1642" s="156" t="inlineStr">
        <is>
          <t>07-08</t>
        </is>
      </c>
      <c r="C1642" s="156" t="inlineStr">
        <is>
          <t>EX-754</t>
        </is>
      </c>
      <c r="D1642" s="156" t="inlineStr">
        <is>
          <t>DT-524</t>
        </is>
      </c>
      <c r="E1642" s="156" t="inlineStr">
        <is>
          <t>OB</t>
        </is>
      </c>
      <c r="F1642" s="156" t="n">
        <v>4</v>
      </c>
      <c r="G1642" s="156" t="inlineStr"/>
      <c r="H1642" s="157">
        <f>IF($B1642="","",IF(ISNA(MATCH($B1642,MASTER_JAM!$Q$5:$Q$28,0)),"?",IF(MATCH($B1642,MASTER_JAM!$Q$5:$Q$28,0)&lt;=12,"DS","NS")))</f>
        <v/>
      </c>
      <c r="I1642" s="157">
        <f>IFERROR(INDEX(MASTER_JAM!$B$5:$B$94,MATCH($C1642,MASTER_JAM!$A$5:$A$94,0)),"")</f>
        <v/>
      </c>
      <c r="J1642" s="157">
        <f>IFERROR(INDEX(MASTER_JAM!$E$5:$E$94,MATCH($D1642,MASTER_JAM!$A$5:$A$94,0)),"")</f>
        <v/>
      </c>
      <c r="K1642" s="158">
        <f>IFERROR(INDEX(MASTER_JAM!$J$5:$O$12,MATCH($E1642,MASTER_JAM!$I$5:$I$12,0),MATCH($J1642,MASTER_JAM!$J$4:$O$4,0))+0,0)</f>
        <v/>
      </c>
      <c r="L1642" s="159">
        <f>N($F1642)*$K1642</f>
        <v/>
      </c>
      <c r="M1642" s="157">
        <f>IF($E1642="","",IF(OR($E1642="Coal",$E1642="Dirty Coal"),"MT","BCM"))</f>
        <v/>
      </c>
      <c r="N1642" s="157">
        <f>IF($E1642="","",IF(OR($E1642="Coal",$E1642="Dirty Coal"),"Coal","OB"))</f>
        <v/>
      </c>
      <c r="O1642" s="157">
        <f>IF($F1642="","",IF(COUNTIF(MASTER_JAM!$A$5:$A$94,$C1642)=0,"Digger tidak dikenal",IF($J1642="","Hauler tidak dikenal",IF($H1642="?","Jam salah",IF($K1642=0,"Faktor kosong",IF(SUMIFS(INPUT_DELAY!$E$5:$E$20000,INPUT_DELAY!$A$5:$A$20000,$A1642,INPUT_DELAY!$B$5:$B$20000,$B1642,INPUT_DELAY!$C$5:$C$20000,$C1642)+SUMIFS(INPUT_DELAY!$E$5:$E$20000,INPUT_DELAY!$A$5:$A$20000,$A1642,INPUT_DELAY!$B$5:$B$20000,$B1642,INPUT_DELAY!$C$5:$C$20000,"SEMUA")&gt;=60,"Delay 60 mnt tapi ada ritase","OK"))))))</f>
        <v/>
      </c>
      <c r="P1642" s="158">
        <f>IFERROR(INDEX(MASTER_JAM!$Z$5:$AC$10,MATCH($I1642,MASTER_JAM!$Y$5:$Y$10,0),MATCH($J1642,MASTER_JAM!$Z$4:$AC$4,0))+0,0)</f>
        <v/>
      </c>
      <c r="Q1642" s="158">
        <f>IF($P1642=0,0,$P1642+IFERROR(INDEX(MASTER_JAM!$H$5:$H$94,MATCH($C1642,MASTER_JAM!$A$5:$A$94,0))+0,MASTER_JAM!$AC$15)/1000*(60/MASTER_JAM!$AC$12+60/MASTER_JAM!$AC$13)+MASTER_JAM!$AC$14)</f>
        <v/>
      </c>
      <c r="R1642" s="158">
        <f>IF(N($F1642)=0,0,$F1642/SUMIFS(INPUT_RITASE!$F$5:$F$20000,INPUT_RITASE!$A$5:$A$20000,$A1642,INPUT_RITASE!$B$5:$B$20000,$B1642,INPUT_RITASE!$C$5:$C$20000,$C1642,INPUT_RITASE!$D$5:$D$20000,$D1642))</f>
        <v/>
      </c>
      <c r="S1642" s="158">
        <f>IF($Q1642=0,0,$R1642*$P1642/$Q1642)</f>
        <v/>
      </c>
    </row>
    <row r="1643">
      <c r="A1643" s="155" t="n">
        <v>46110</v>
      </c>
      <c r="B1643" s="156" t="inlineStr">
        <is>
          <t>07-08</t>
        </is>
      </c>
      <c r="C1643" s="156" t="inlineStr">
        <is>
          <t>EX-754</t>
        </is>
      </c>
      <c r="D1643" s="156" t="inlineStr">
        <is>
          <t>DT-528</t>
        </is>
      </c>
      <c r="E1643" s="156" t="inlineStr">
        <is>
          <t>OB</t>
        </is>
      </c>
      <c r="F1643" s="156" t="n">
        <v>3</v>
      </c>
      <c r="G1643" s="156" t="inlineStr"/>
      <c r="H1643" s="157">
        <f>IF($B1643="","",IF(ISNA(MATCH($B1643,MASTER_JAM!$Q$5:$Q$28,0)),"?",IF(MATCH($B1643,MASTER_JAM!$Q$5:$Q$28,0)&lt;=12,"DS","NS")))</f>
        <v/>
      </c>
      <c r="I1643" s="157">
        <f>IFERROR(INDEX(MASTER_JAM!$B$5:$B$94,MATCH($C1643,MASTER_JAM!$A$5:$A$94,0)),"")</f>
        <v/>
      </c>
      <c r="J1643" s="157">
        <f>IFERROR(INDEX(MASTER_JAM!$E$5:$E$94,MATCH($D1643,MASTER_JAM!$A$5:$A$94,0)),"")</f>
        <v/>
      </c>
      <c r="K1643" s="158">
        <f>IFERROR(INDEX(MASTER_JAM!$J$5:$O$12,MATCH($E1643,MASTER_JAM!$I$5:$I$12,0),MATCH($J1643,MASTER_JAM!$J$4:$O$4,0))+0,0)</f>
        <v/>
      </c>
      <c r="L1643" s="159">
        <f>N($F1643)*$K1643</f>
        <v/>
      </c>
      <c r="M1643" s="157">
        <f>IF($E1643="","",IF(OR($E1643="Coal",$E1643="Dirty Coal"),"MT","BCM"))</f>
        <v/>
      </c>
      <c r="N1643" s="157">
        <f>IF($E1643="","",IF(OR($E1643="Coal",$E1643="Dirty Coal"),"Coal","OB"))</f>
        <v/>
      </c>
      <c r="O1643" s="157">
        <f>IF($F1643="","",IF(COUNTIF(MASTER_JAM!$A$5:$A$94,$C1643)=0,"Digger tidak dikenal",IF($J1643="","Hauler tidak dikenal",IF($H1643="?","Jam salah",IF($K1643=0,"Faktor kosong",IF(SUMIFS(INPUT_DELAY!$E$5:$E$20000,INPUT_DELAY!$A$5:$A$20000,$A1643,INPUT_DELAY!$B$5:$B$20000,$B1643,INPUT_DELAY!$C$5:$C$20000,$C1643)+SUMIFS(INPUT_DELAY!$E$5:$E$20000,INPUT_DELAY!$A$5:$A$20000,$A1643,INPUT_DELAY!$B$5:$B$20000,$B1643,INPUT_DELAY!$C$5:$C$20000,"SEMUA")&gt;=60,"Delay 60 mnt tapi ada ritase","OK"))))))</f>
        <v/>
      </c>
      <c r="P1643" s="158">
        <f>IFERROR(INDEX(MASTER_JAM!$Z$5:$AC$10,MATCH($I1643,MASTER_JAM!$Y$5:$Y$10,0),MATCH($J1643,MASTER_JAM!$Z$4:$AC$4,0))+0,0)</f>
        <v/>
      </c>
      <c r="Q1643" s="158">
        <f>IF($P1643=0,0,$P1643+IFERROR(INDEX(MASTER_JAM!$H$5:$H$94,MATCH($C1643,MASTER_JAM!$A$5:$A$94,0))+0,MASTER_JAM!$AC$15)/1000*(60/MASTER_JAM!$AC$12+60/MASTER_JAM!$AC$13)+MASTER_JAM!$AC$14)</f>
        <v/>
      </c>
      <c r="R1643" s="158">
        <f>IF(N($F1643)=0,0,$F1643/SUMIFS(INPUT_RITASE!$F$5:$F$20000,INPUT_RITASE!$A$5:$A$20000,$A1643,INPUT_RITASE!$B$5:$B$20000,$B1643,INPUT_RITASE!$C$5:$C$20000,$C1643,INPUT_RITASE!$D$5:$D$20000,$D1643))</f>
        <v/>
      </c>
      <c r="S1643" s="158">
        <f>IF($Q1643=0,0,$R1643*$P1643/$Q1643)</f>
        <v/>
      </c>
    </row>
    <row r="1644">
      <c r="A1644" s="155" t="n">
        <v>46110</v>
      </c>
      <c r="B1644" s="156" t="inlineStr">
        <is>
          <t>07-08</t>
        </is>
      </c>
      <c r="C1644" s="156" t="inlineStr">
        <is>
          <t>EX-754</t>
        </is>
      </c>
      <c r="D1644" s="156" t="inlineStr">
        <is>
          <t>DT-514</t>
        </is>
      </c>
      <c r="E1644" s="156" t="inlineStr">
        <is>
          <t>OB</t>
        </is>
      </c>
      <c r="F1644" s="156" t="n">
        <v>3</v>
      </c>
      <c r="G1644" s="156" t="inlineStr"/>
      <c r="H1644" s="157">
        <f>IF($B1644="","",IF(ISNA(MATCH($B1644,MASTER_JAM!$Q$5:$Q$28,0)),"?",IF(MATCH($B1644,MASTER_JAM!$Q$5:$Q$28,0)&lt;=12,"DS","NS")))</f>
        <v/>
      </c>
      <c r="I1644" s="157">
        <f>IFERROR(INDEX(MASTER_JAM!$B$5:$B$94,MATCH($C1644,MASTER_JAM!$A$5:$A$94,0)),"")</f>
        <v/>
      </c>
      <c r="J1644" s="157">
        <f>IFERROR(INDEX(MASTER_JAM!$E$5:$E$94,MATCH($D1644,MASTER_JAM!$A$5:$A$94,0)),"")</f>
        <v/>
      </c>
      <c r="K1644" s="158">
        <f>IFERROR(INDEX(MASTER_JAM!$J$5:$O$12,MATCH($E1644,MASTER_JAM!$I$5:$I$12,0),MATCH($J1644,MASTER_JAM!$J$4:$O$4,0))+0,0)</f>
        <v/>
      </c>
      <c r="L1644" s="159">
        <f>N($F1644)*$K1644</f>
        <v/>
      </c>
      <c r="M1644" s="157">
        <f>IF($E1644="","",IF(OR($E1644="Coal",$E1644="Dirty Coal"),"MT","BCM"))</f>
        <v/>
      </c>
      <c r="N1644" s="157">
        <f>IF($E1644="","",IF(OR($E1644="Coal",$E1644="Dirty Coal"),"Coal","OB"))</f>
        <v/>
      </c>
      <c r="O1644" s="157">
        <f>IF($F1644="","",IF(COUNTIF(MASTER_JAM!$A$5:$A$94,$C1644)=0,"Digger tidak dikenal",IF($J1644="","Hauler tidak dikenal",IF($H1644="?","Jam salah",IF($K1644=0,"Faktor kosong",IF(SUMIFS(INPUT_DELAY!$E$5:$E$20000,INPUT_DELAY!$A$5:$A$20000,$A1644,INPUT_DELAY!$B$5:$B$20000,$B1644,INPUT_DELAY!$C$5:$C$20000,$C1644)+SUMIFS(INPUT_DELAY!$E$5:$E$20000,INPUT_DELAY!$A$5:$A$20000,$A1644,INPUT_DELAY!$B$5:$B$20000,$B1644,INPUT_DELAY!$C$5:$C$20000,"SEMUA")&gt;=60,"Delay 60 mnt tapi ada ritase","OK"))))))</f>
        <v/>
      </c>
      <c r="P1644" s="158">
        <f>IFERROR(INDEX(MASTER_JAM!$Z$5:$AC$10,MATCH($I1644,MASTER_JAM!$Y$5:$Y$10,0),MATCH($J1644,MASTER_JAM!$Z$4:$AC$4,0))+0,0)</f>
        <v/>
      </c>
      <c r="Q1644" s="158">
        <f>IF($P1644=0,0,$P1644+IFERROR(INDEX(MASTER_JAM!$H$5:$H$94,MATCH($C1644,MASTER_JAM!$A$5:$A$94,0))+0,MASTER_JAM!$AC$15)/1000*(60/MASTER_JAM!$AC$12+60/MASTER_JAM!$AC$13)+MASTER_JAM!$AC$14)</f>
        <v/>
      </c>
      <c r="R1644" s="158">
        <f>IF(N($F1644)=0,0,$F1644/SUMIFS(INPUT_RITASE!$F$5:$F$20000,INPUT_RITASE!$A$5:$A$20000,$A1644,INPUT_RITASE!$B$5:$B$20000,$B1644,INPUT_RITASE!$C$5:$C$20000,$C1644,INPUT_RITASE!$D$5:$D$20000,$D1644))</f>
        <v/>
      </c>
      <c r="S1644" s="158">
        <f>IF($Q1644=0,0,$R1644*$P1644/$Q1644)</f>
        <v/>
      </c>
    </row>
    <row r="1645">
      <c r="A1645" s="155" t="n">
        <v>46110</v>
      </c>
      <c r="B1645" s="156" t="inlineStr">
        <is>
          <t>07-08</t>
        </is>
      </c>
      <c r="C1645" s="156" t="inlineStr">
        <is>
          <t>EX-754</t>
        </is>
      </c>
      <c r="D1645" s="156" t="inlineStr">
        <is>
          <t>DT-506</t>
        </is>
      </c>
      <c r="E1645" s="156" t="inlineStr">
        <is>
          <t>OB</t>
        </is>
      </c>
      <c r="F1645" s="156" t="n">
        <v>3</v>
      </c>
      <c r="G1645" s="156" t="inlineStr"/>
      <c r="H1645" s="157">
        <f>IF($B1645="","",IF(ISNA(MATCH($B1645,MASTER_JAM!$Q$5:$Q$28,0)),"?",IF(MATCH($B1645,MASTER_JAM!$Q$5:$Q$28,0)&lt;=12,"DS","NS")))</f>
        <v/>
      </c>
      <c r="I1645" s="157">
        <f>IFERROR(INDEX(MASTER_JAM!$B$5:$B$94,MATCH($C1645,MASTER_JAM!$A$5:$A$94,0)),"")</f>
        <v/>
      </c>
      <c r="J1645" s="157">
        <f>IFERROR(INDEX(MASTER_JAM!$E$5:$E$94,MATCH($D1645,MASTER_JAM!$A$5:$A$94,0)),"")</f>
        <v/>
      </c>
      <c r="K1645" s="158">
        <f>IFERROR(INDEX(MASTER_JAM!$J$5:$O$12,MATCH($E1645,MASTER_JAM!$I$5:$I$12,0),MATCH($J1645,MASTER_JAM!$J$4:$O$4,0))+0,0)</f>
        <v/>
      </c>
      <c r="L1645" s="159">
        <f>N($F1645)*$K1645</f>
        <v/>
      </c>
      <c r="M1645" s="157">
        <f>IF($E1645="","",IF(OR($E1645="Coal",$E1645="Dirty Coal"),"MT","BCM"))</f>
        <v/>
      </c>
      <c r="N1645" s="157">
        <f>IF($E1645="","",IF(OR($E1645="Coal",$E1645="Dirty Coal"),"Coal","OB"))</f>
        <v/>
      </c>
      <c r="O1645" s="157">
        <f>IF($F1645="","",IF(COUNTIF(MASTER_JAM!$A$5:$A$94,$C1645)=0,"Digger tidak dikenal",IF($J1645="","Hauler tidak dikenal",IF($H1645="?","Jam salah",IF($K1645=0,"Faktor kosong",IF(SUMIFS(INPUT_DELAY!$E$5:$E$20000,INPUT_DELAY!$A$5:$A$20000,$A1645,INPUT_DELAY!$B$5:$B$20000,$B1645,INPUT_DELAY!$C$5:$C$20000,$C1645)+SUMIFS(INPUT_DELAY!$E$5:$E$20000,INPUT_DELAY!$A$5:$A$20000,$A1645,INPUT_DELAY!$B$5:$B$20000,$B1645,INPUT_DELAY!$C$5:$C$20000,"SEMUA")&gt;=60,"Delay 60 mnt tapi ada ritase","OK"))))))</f>
        <v/>
      </c>
      <c r="P1645" s="158">
        <f>IFERROR(INDEX(MASTER_JAM!$Z$5:$AC$10,MATCH($I1645,MASTER_JAM!$Y$5:$Y$10,0),MATCH($J1645,MASTER_JAM!$Z$4:$AC$4,0))+0,0)</f>
        <v/>
      </c>
      <c r="Q1645" s="158">
        <f>IF($P1645=0,0,$P1645+IFERROR(INDEX(MASTER_JAM!$H$5:$H$94,MATCH($C1645,MASTER_JAM!$A$5:$A$94,0))+0,MASTER_JAM!$AC$15)/1000*(60/MASTER_JAM!$AC$12+60/MASTER_JAM!$AC$13)+MASTER_JAM!$AC$14)</f>
        <v/>
      </c>
      <c r="R1645" s="158">
        <f>IF(N($F1645)=0,0,$F1645/SUMIFS(INPUT_RITASE!$F$5:$F$20000,INPUT_RITASE!$A$5:$A$20000,$A1645,INPUT_RITASE!$B$5:$B$20000,$B1645,INPUT_RITASE!$C$5:$C$20000,$C1645,INPUT_RITASE!$D$5:$D$20000,$D1645))</f>
        <v/>
      </c>
      <c r="S1645" s="158">
        <f>IF($Q1645=0,0,$R1645*$P1645/$Q1645)</f>
        <v/>
      </c>
    </row>
    <row r="1646">
      <c r="A1646" s="155" t="n">
        <v>46110</v>
      </c>
      <c r="B1646" s="156" t="inlineStr">
        <is>
          <t>08-09</t>
        </is>
      </c>
      <c r="C1646" s="156" t="inlineStr">
        <is>
          <t>EX-754</t>
        </is>
      </c>
      <c r="D1646" s="156" t="inlineStr">
        <is>
          <t>DT-515</t>
        </is>
      </c>
      <c r="E1646" s="156" t="inlineStr">
        <is>
          <t>OB</t>
        </is>
      </c>
      <c r="F1646" s="156" t="n">
        <v>4</v>
      </c>
      <c r="G1646" s="156" t="inlineStr"/>
      <c r="H1646" s="157">
        <f>IF($B1646="","",IF(ISNA(MATCH($B1646,MASTER_JAM!$Q$5:$Q$28,0)),"?",IF(MATCH($B1646,MASTER_JAM!$Q$5:$Q$28,0)&lt;=12,"DS","NS")))</f>
        <v/>
      </c>
      <c r="I1646" s="157">
        <f>IFERROR(INDEX(MASTER_JAM!$B$5:$B$94,MATCH($C1646,MASTER_JAM!$A$5:$A$94,0)),"")</f>
        <v/>
      </c>
      <c r="J1646" s="157">
        <f>IFERROR(INDEX(MASTER_JAM!$E$5:$E$94,MATCH($D1646,MASTER_JAM!$A$5:$A$94,0)),"")</f>
        <v/>
      </c>
      <c r="K1646" s="158">
        <f>IFERROR(INDEX(MASTER_JAM!$J$5:$O$12,MATCH($E1646,MASTER_JAM!$I$5:$I$12,0),MATCH($J1646,MASTER_JAM!$J$4:$O$4,0))+0,0)</f>
        <v/>
      </c>
      <c r="L1646" s="159">
        <f>N($F1646)*$K1646</f>
        <v/>
      </c>
      <c r="M1646" s="157">
        <f>IF($E1646="","",IF(OR($E1646="Coal",$E1646="Dirty Coal"),"MT","BCM"))</f>
        <v/>
      </c>
      <c r="N1646" s="157">
        <f>IF($E1646="","",IF(OR($E1646="Coal",$E1646="Dirty Coal"),"Coal","OB"))</f>
        <v/>
      </c>
      <c r="O1646" s="157">
        <f>IF($F1646="","",IF(COUNTIF(MASTER_JAM!$A$5:$A$94,$C1646)=0,"Digger tidak dikenal",IF($J1646="","Hauler tidak dikenal",IF($H1646="?","Jam salah",IF($K1646=0,"Faktor kosong",IF(SUMIFS(INPUT_DELAY!$E$5:$E$20000,INPUT_DELAY!$A$5:$A$20000,$A1646,INPUT_DELAY!$B$5:$B$20000,$B1646,INPUT_DELAY!$C$5:$C$20000,$C1646)+SUMIFS(INPUT_DELAY!$E$5:$E$20000,INPUT_DELAY!$A$5:$A$20000,$A1646,INPUT_DELAY!$B$5:$B$20000,$B1646,INPUT_DELAY!$C$5:$C$20000,"SEMUA")&gt;=60,"Delay 60 mnt tapi ada ritase","OK"))))))</f>
        <v/>
      </c>
      <c r="P1646" s="158">
        <f>IFERROR(INDEX(MASTER_JAM!$Z$5:$AC$10,MATCH($I1646,MASTER_JAM!$Y$5:$Y$10,0),MATCH($J1646,MASTER_JAM!$Z$4:$AC$4,0))+0,0)</f>
        <v/>
      </c>
      <c r="Q1646" s="158">
        <f>IF($P1646=0,0,$P1646+IFERROR(INDEX(MASTER_JAM!$H$5:$H$94,MATCH($C1646,MASTER_JAM!$A$5:$A$94,0))+0,MASTER_JAM!$AC$15)/1000*(60/MASTER_JAM!$AC$12+60/MASTER_JAM!$AC$13)+MASTER_JAM!$AC$14)</f>
        <v/>
      </c>
      <c r="R1646" s="158">
        <f>IF(N($F1646)=0,0,$F1646/SUMIFS(INPUT_RITASE!$F$5:$F$20000,INPUT_RITASE!$A$5:$A$20000,$A1646,INPUT_RITASE!$B$5:$B$20000,$B1646,INPUT_RITASE!$C$5:$C$20000,$C1646,INPUT_RITASE!$D$5:$D$20000,$D1646))</f>
        <v/>
      </c>
      <c r="S1646" s="158">
        <f>IF($Q1646=0,0,$R1646*$P1646/$Q1646)</f>
        <v/>
      </c>
    </row>
    <row r="1647">
      <c r="A1647" s="155" t="n">
        <v>46110</v>
      </c>
      <c r="B1647" s="156" t="inlineStr">
        <is>
          <t>08-09</t>
        </is>
      </c>
      <c r="C1647" s="156" t="inlineStr">
        <is>
          <t>EX-754</t>
        </is>
      </c>
      <c r="D1647" s="156" t="inlineStr">
        <is>
          <t>DT-523</t>
        </is>
      </c>
      <c r="E1647" s="156" t="inlineStr">
        <is>
          <t>OB</t>
        </is>
      </c>
      <c r="F1647" s="156" t="n">
        <v>3</v>
      </c>
      <c r="G1647" s="156" t="inlineStr"/>
      <c r="H1647" s="157">
        <f>IF($B1647="","",IF(ISNA(MATCH($B1647,MASTER_JAM!$Q$5:$Q$28,0)),"?",IF(MATCH($B1647,MASTER_JAM!$Q$5:$Q$28,0)&lt;=12,"DS","NS")))</f>
        <v/>
      </c>
      <c r="I1647" s="157">
        <f>IFERROR(INDEX(MASTER_JAM!$B$5:$B$94,MATCH($C1647,MASTER_JAM!$A$5:$A$94,0)),"")</f>
        <v/>
      </c>
      <c r="J1647" s="157">
        <f>IFERROR(INDEX(MASTER_JAM!$E$5:$E$94,MATCH($D1647,MASTER_JAM!$A$5:$A$94,0)),"")</f>
        <v/>
      </c>
      <c r="K1647" s="158">
        <f>IFERROR(INDEX(MASTER_JAM!$J$5:$O$12,MATCH($E1647,MASTER_JAM!$I$5:$I$12,0),MATCH($J1647,MASTER_JAM!$J$4:$O$4,0))+0,0)</f>
        <v/>
      </c>
      <c r="L1647" s="159">
        <f>N($F1647)*$K1647</f>
        <v/>
      </c>
      <c r="M1647" s="157">
        <f>IF($E1647="","",IF(OR($E1647="Coal",$E1647="Dirty Coal"),"MT","BCM"))</f>
        <v/>
      </c>
      <c r="N1647" s="157">
        <f>IF($E1647="","",IF(OR($E1647="Coal",$E1647="Dirty Coal"),"Coal","OB"))</f>
        <v/>
      </c>
      <c r="O1647" s="157">
        <f>IF($F1647="","",IF(COUNTIF(MASTER_JAM!$A$5:$A$94,$C1647)=0,"Digger tidak dikenal",IF($J1647="","Hauler tidak dikenal",IF($H1647="?","Jam salah",IF($K1647=0,"Faktor kosong",IF(SUMIFS(INPUT_DELAY!$E$5:$E$20000,INPUT_DELAY!$A$5:$A$20000,$A1647,INPUT_DELAY!$B$5:$B$20000,$B1647,INPUT_DELAY!$C$5:$C$20000,$C1647)+SUMIFS(INPUT_DELAY!$E$5:$E$20000,INPUT_DELAY!$A$5:$A$20000,$A1647,INPUT_DELAY!$B$5:$B$20000,$B1647,INPUT_DELAY!$C$5:$C$20000,"SEMUA")&gt;=60,"Delay 60 mnt tapi ada ritase","OK"))))))</f>
        <v/>
      </c>
      <c r="P1647" s="158">
        <f>IFERROR(INDEX(MASTER_JAM!$Z$5:$AC$10,MATCH($I1647,MASTER_JAM!$Y$5:$Y$10,0),MATCH($J1647,MASTER_JAM!$Z$4:$AC$4,0))+0,0)</f>
        <v/>
      </c>
      <c r="Q1647" s="158">
        <f>IF($P1647=0,0,$P1647+IFERROR(INDEX(MASTER_JAM!$H$5:$H$94,MATCH($C1647,MASTER_JAM!$A$5:$A$94,0))+0,MASTER_JAM!$AC$15)/1000*(60/MASTER_JAM!$AC$12+60/MASTER_JAM!$AC$13)+MASTER_JAM!$AC$14)</f>
        <v/>
      </c>
      <c r="R1647" s="158">
        <f>IF(N($F1647)=0,0,$F1647/SUMIFS(INPUT_RITASE!$F$5:$F$20000,INPUT_RITASE!$A$5:$A$20000,$A1647,INPUT_RITASE!$B$5:$B$20000,$B1647,INPUT_RITASE!$C$5:$C$20000,$C1647,INPUT_RITASE!$D$5:$D$20000,$D1647))</f>
        <v/>
      </c>
      <c r="S1647" s="158">
        <f>IF($Q1647=0,0,$R1647*$P1647/$Q1647)</f>
        <v/>
      </c>
    </row>
    <row r="1648">
      <c r="A1648" s="155" t="n">
        <v>46110</v>
      </c>
      <c r="B1648" s="156" t="inlineStr">
        <is>
          <t>08-09</t>
        </is>
      </c>
      <c r="C1648" s="156" t="inlineStr">
        <is>
          <t>EX-754</t>
        </is>
      </c>
      <c r="D1648" s="156" t="inlineStr">
        <is>
          <t>DT-529</t>
        </is>
      </c>
      <c r="E1648" s="156" t="inlineStr">
        <is>
          <t>OB</t>
        </is>
      </c>
      <c r="F1648" s="156" t="n">
        <v>3</v>
      </c>
      <c r="G1648" s="156" t="inlineStr"/>
      <c r="H1648" s="157">
        <f>IF($B1648="","",IF(ISNA(MATCH($B1648,MASTER_JAM!$Q$5:$Q$28,0)),"?",IF(MATCH($B1648,MASTER_JAM!$Q$5:$Q$28,0)&lt;=12,"DS","NS")))</f>
        <v/>
      </c>
      <c r="I1648" s="157">
        <f>IFERROR(INDEX(MASTER_JAM!$B$5:$B$94,MATCH($C1648,MASTER_JAM!$A$5:$A$94,0)),"")</f>
        <v/>
      </c>
      <c r="J1648" s="157">
        <f>IFERROR(INDEX(MASTER_JAM!$E$5:$E$94,MATCH($D1648,MASTER_JAM!$A$5:$A$94,0)),"")</f>
        <v/>
      </c>
      <c r="K1648" s="158">
        <f>IFERROR(INDEX(MASTER_JAM!$J$5:$O$12,MATCH($E1648,MASTER_JAM!$I$5:$I$12,0),MATCH($J1648,MASTER_JAM!$J$4:$O$4,0))+0,0)</f>
        <v/>
      </c>
      <c r="L1648" s="159">
        <f>N($F1648)*$K1648</f>
        <v/>
      </c>
      <c r="M1648" s="157">
        <f>IF($E1648="","",IF(OR($E1648="Coal",$E1648="Dirty Coal"),"MT","BCM"))</f>
        <v/>
      </c>
      <c r="N1648" s="157">
        <f>IF($E1648="","",IF(OR($E1648="Coal",$E1648="Dirty Coal"),"Coal","OB"))</f>
        <v/>
      </c>
      <c r="O1648" s="157">
        <f>IF($F1648="","",IF(COUNTIF(MASTER_JAM!$A$5:$A$94,$C1648)=0,"Digger tidak dikenal",IF($J1648="","Hauler tidak dikenal",IF($H1648="?","Jam salah",IF($K1648=0,"Faktor kosong",IF(SUMIFS(INPUT_DELAY!$E$5:$E$20000,INPUT_DELAY!$A$5:$A$20000,$A1648,INPUT_DELAY!$B$5:$B$20000,$B1648,INPUT_DELAY!$C$5:$C$20000,$C1648)+SUMIFS(INPUT_DELAY!$E$5:$E$20000,INPUT_DELAY!$A$5:$A$20000,$A1648,INPUT_DELAY!$B$5:$B$20000,$B1648,INPUT_DELAY!$C$5:$C$20000,"SEMUA")&gt;=60,"Delay 60 mnt tapi ada ritase","OK"))))))</f>
        <v/>
      </c>
      <c r="P1648" s="158">
        <f>IFERROR(INDEX(MASTER_JAM!$Z$5:$AC$10,MATCH($I1648,MASTER_JAM!$Y$5:$Y$10,0),MATCH($J1648,MASTER_JAM!$Z$4:$AC$4,0))+0,0)</f>
        <v/>
      </c>
      <c r="Q1648" s="158">
        <f>IF($P1648=0,0,$P1648+IFERROR(INDEX(MASTER_JAM!$H$5:$H$94,MATCH($C1648,MASTER_JAM!$A$5:$A$94,0))+0,MASTER_JAM!$AC$15)/1000*(60/MASTER_JAM!$AC$12+60/MASTER_JAM!$AC$13)+MASTER_JAM!$AC$14)</f>
        <v/>
      </c>
      <c r="R1648" s="158">
        <f>IF(N($F1648)=0,0,$F1648/SUMIFS(INPUT_RITASE!$F$5:$F$20000,INPUT_RITASE!$A$5:$A$20000,$A1648,INPUT_RITASE!$B$5:$B$20000,$B1648,INPUT_RITASE!$C$5:$C$20000,$C1648,INPUT_RITASE!$D$5:$D$20000,$D1648))</f>
        <v/>
      </c>
      <c r="S1648" s="158">
        <f>IF($Q1648=0,0,$R1648*$P1648/$Q1648)</f>
        <v/>
      </c>
    </row>
    <row r="1649">
      <c r="A1649" s="155" t="n">
        <v>46110</v>
      </c>
      <c r="B1649" s="156" t="inlineStr">
        <is>
          <t>08-09</t>
        </is>
      </c>
      <c r="C1649" s="156" t="inlineStr">
        <is>
          <t>EX-754</t>
        </is>
      </c>
      <c r="D1649" s="156" t="inlineStr">
        <is>
          <t>DT-526</t>
        </is>
      </c>
      <c r="E1649" s="156" t="inlineStr">
        <is>
          <t>OB</t>
        </is>
      </c>
      <c r="F1649" s="156" t="n">
        <v>3</v>
      </c>
      <c r="G1649" s="156" t="inlineStr"/>
      <c r="H1649" s="157">
        <f>IF($B1649="","",IF(ISNA(MATCH($B1649,MASTER_JAM!$Q$5:$Q$28,0)),"?",IF(MATCH($B1649,MASTER_JAM!$Q$5:$Q$28,0)&lt;=12,"DS","NS")))</f>
        <v/>
      </c>
      <c r="I1649" s="157">
        <f>IFERROR(INDEX(MASTER_JAM!$B$5:$B$94,MATCH($C1649,MASTER_JAM!$A$5:$A$94,0)),"")</f>
        <v/>
      </c>
      <c r="J1649" s="157">
        <f>IFERROR(INDEX(MASTER_JAM!$E$5:$E$94,MATCH($D1649,MASTER_JAM!$A$5:$A$94,0)),"")</f>
        <v/>
      </c>
      <c r="K1649" s="158">
        <f>IFERROR(INDEX(MASTER_JAM!$J$5:$O$12,MATCH($E1649,MASTER_JAM!$I$5:$I$12,0),MATCH($J1649,MASTER_JAM!$J$4:$O$4,0))+0,0)</f>
        <v/>
      </c>
      <c r="L1649" s="159">
        <f>N($F1649)*$K1649</f>
        <v/>
      </c>
      <c r="M1649" s="157">
        <f>IF($E1649="","",IF(OR($E1649="Coal",$E1649="Dirty Coal"),"MT","BCM"))</f>
        <v/>
      </c>
      <c r="N1649" s="157">
        <f>IF($E1649="","",IF(OR($E1649="Coal",$E1649="Dirty Coal"),"Coal","OB"))</f>
        <v/>
      </c>
      <c r="O1649" s="157">
        <f>IF($F1649="","",IF(COUNTIF(MASTER_JAM!$A$5:$A$94,$C1649)=0,"Digger tidak dikenal",IF($J1649="","Hauler tidak dikenal",IF($H1649="?","Jam salah",IF($K1649=0,"Faktor kosong",IF(SUMIFS(INPUT_DELAY!$E$5:$E$20000,INPUT_DELAY!$A$5:$A$20000,$A1649,INPUT_DELAY!$B$5:$B$20000,$B1649,INPUT_DELAY!$C$5:$C$20000,$C1649)+SUMIFS(INPUT_DELAY!$E$5:$E$20000,INPUT_DELAY!$A$5:$A$20000,$A1649,INPUT_DELAY!$B$5:$B$20000,$B1649,INPUT_DELAY!$C$5:$C$20000,"SEMUA")&gt;=60,"Delay 60 mnt tapi ada ritase","OK"))))))</f>
        <v/>
      </c>
      <c r="P1649" s="158">
        <f>IFERROR(INDEX(MASTER_JAM!$Z$5:$AC$10,MATCH($I1649,MASTER_JAM!$Y$5:$Y$10,0),MATCH($J1649,MASTER_JAM!$Z$4:$AC$4,0))+0,0)</f>
        <v/>
      </c>
      <c r="Q1649" s="158">
        <f>IF($P1649=0,0,$P1649+IFERROR(INDEX(MASTER_JAM!$H$5:$H$94,MATCH($C1649,MASTER_JAM!$A$5:$A$94,0))+0,MASTER_JAM!$AC$15)/1000*(60/MASTER_JAM!$AC$12+60/MASTER_JAM!$AC$13)+MASTER_JAM!$AC$14)</f>
        <v/>
      </c>
      <c r="R1649" s="158">
        <f>IF(N($F1649)=0,0,$F1649/SUMIFS(INPUT_RITASE!$F$5:$F$20000,INPUT_RITASE!$A$5:$A$20000,$A1649,INPUT_RITASE!$B$5:$B$20000,$B1649,INPUT_RITASE!$C$5:$C$20000,$C1649,INPUT_RITASE!$D$5:$D$20000,$D1649))</f>
        <v/>
      </c>
      <c r="S1649" s="158">
        <f>IF($Q1649=0,0,$R1649*$P1649/$Q1649)</f>
        <v/>
      </c>
    </row>
    <row r="1650">
      <c r="A1650" s="155" t="n">
        <v>46110</v>
      </c>
      <c r="B1650" s="156" t="inlineStr">
        <is>
          <t>09-10</t>
        </is>
      </c>
      <c r="C1650" s="156" t="inlineStr">
        <is>
          <t>EX-754</t>
        </is>
      </c>
      <c r="D1650" s="156" t="inlineStr">
        <is>
          <t>DT-522</t>
        </is>
      </c>
      <c r="E1650" s="156" t="inlineStr">
        <is>
          <t>OB</t>
        </is>
      </c>
      <c r="F1650" s="156" t="n">
        <v>4</v>
      </c>
      <c r="G1650" s="156" t="inlineStr"/>
      <c r="H1650" s="157">
        <f>IF($B1650="","",IF(ISNA(MATCH($B1650,MASTER_JAM!$Q$5:$Q$28,0)),"?",IF(MATCH($B1650,MASTER_JAM!$Q$5:$Q$28,0)&lt;=12,"DS","NS")))</f>
        <v/>
      </c>
      <c r="I1650" s="157">
        <f>IFERROR(INDEX(MASTER_JAM!$B$5:$B$94,MATCH($C1650,MASTER_JAM!$A$5:$A$94,0)),"")</f>
        <v/>
      </c>
      <c r="J1650" s="157">
        <f>IFERROR(INDEX(MASTER_JAM!$E$5:$E$94,MATCH($D1650,MASTER_JAM!$A$5:$A$94,0)),"")</f>
        <v/>
      </c>
      <c r="K1650" s="158">
        <f>IFERROR(INDEX(MASTER_JAM!$J$5:$O$12,MATCH($E1650,MASTER_JAM!$I$5:$I$12,0),MATCH($J1650,MASTER_JAM!$J$4:$O$4,0))+0,0)</f>
        <v/>
      </c>
      <c r="L1650" s="159">
        <f>N($F1650)*$K1650</f>
        <v/>
      </c>
      <c r="M1650" s="157">
        <f>IF($E1650="","",IF(OR($E1650="Coal",$E1650="Dirty Coal"),"MT","BCM"))</f>
        <v/>
      </c>
      <c r="N1650" s="157">
        <f>IF($E1650="","",IF(OR($E1650="Coal",$E1650="Dirty Coal"),"Coal","OB"))</f>
        <v/>
      </c>
      <c r="O1650" s="157">
        <f>IF($F1650="","",IF(COUNTIF(MASTER_JAM!$A$5:$A$94,$C1650)=0,"Digger tidak dikenal",IF($J1650="","Hauler tidak dikenal",IF($H1650="?","Jam salah",IF($K1650=0,"Faktor kosong",IF(SUMIFS(INPUT_DELAY!$E$5:$E$20000,INPUT_DELAY!$A$5:$A$20000,$A1650,INPUT_DELAY!$B$5:$B$20000,$B1650,INPUT_DELAY!$C$5:$C$20000,$C1650)+SUMIFS(INPUT_DELAY!$E$5:$E$20000,INPUT_DELAY!$A$5:$A$20000,$A1650,INPUT_DELAY!$B$5:$B$20000,$B1650,INPUT_DELAY!$C$5:$C$20000,"SEMUA")&gt;=60,"Delay 60 mnt tapi ada ritase","OK"))))))</f>
        <v/>
      </c>
      <c r="P1650" s="158">
        <f>IFERROR(INDEX(MASTER_JAM!$Z$5:$AC$10,MATCH($I1650,MASTER_JAM!$Y$5:$Y$10,0),MATCH($J1650,MASTER_JAM!$Z$4:$AC$4,0))+0,0)</f>
        <v/>
      </c>
      <c r="Q1650" s="158">
        <f>IF($P1650=0,0,$P1650+IFERROR(INDEX(MASTER_JAM!$H$5:$H$94,MATCH($C1650,MASTER_JAM!$A$5:$A$94,0))+0,MASTER_JAM!$AC$15)/1000*(60/MASTER_JAM!$AC$12+60/MASTER_JAM!$AC$13)+MASTER_JAM!$AC$14)</f>
        <v/>
      </c>
      <c r="R1650" s="158">
        <f>IF(N($F1650)=0,0,$F1650/SUMIFS(INPUT_RITASE!$F$5:$F$20000,INPUT_RITASE!$A$5:$A$20000,$A1650,INPUT_RITASE!$B$5:$B$20000,$B1650,INPUT_RITASE!$C$5:$C$20000,$C1650,INPUT_RITASE!$D$5:$D$20000,$D1650))</f>
        <v/>
      </c>
      <c r="S1650" s="158">
        <f>IF($Q1650=0,0,$R1650*$P1650/$Q1650)</f>
        <v/>
      </c>
    </row>
    <row r="1651">
      <c r="A1651" s="155" t="n">
        <v>46110</v>
      </c>
      <c r="B1651" s="156" t="inlineStr">
        <is>
          <t>09-10</t>
        </is>
      </c>
      <c r="C1651" s="156" t="inlineStr">
        <is>
          <t>EX-754</t>
        </is>
      </c>
      <c r="D1651" s="156" t="inlineStr">
        <is>
          <t>DT-506</t>
        </is>
      </c>
      <c r="E1651" s="156" t="inlineStr">
        <is>
          <t>OB</t>
        </is>
      </c>
      <c r="F1651" s="156" t="n">
        <v>4</v>
      </c>
      <c r="G1651" s="156" t="inlineStr"/>
      <c r="H1651" s="157">
        <f>IF($B1651="","",IF(ISNA(MATCH($B1651,MASTER_JAM!$Q$5:$Q$28,0)),"?",IF(MATCH($B1651,MASTER_JAM!$Q$5:$Q$28,0)&lt;=12,"DS","NS")))</f>
        <v/>
      </c>
      <c r="I1651" s="157">
        <f>IFERROR(INDEX(MASTER_JAM!$B$5:$B$94,MATCH($C1651,MASTER_JAM!$A$5:$A$94,0)),"")</f>
        <v/>
      </c>
      <c r="J1651" s="157">
        <f>IFERROR(INDEX(MASTER_JAM!$E$5:$E$94,MATCH($D1651,MASTER_JAM!$A$5:$A$94,0)),"")</f>
        <v/>
      </c>
      <c r="K1651" s="158">
        <f>IFERROR(INDEX(MASTER_JAM!$J$5:$O$12,MATCH($E1651,MASTER_JAM!$I$5:$I$12,0),MATCH($J1651,MASTER_JAM!$J$4:$O$4,0))+0,0)</f>
        <v/>
      </c>
      <c r="L1651" s="159">
        <f>N($F1651)*$K1651</f>
        <v/>
      </c>
      <c r="M1651" s="157">
        <f>IF($E1651="","",IF(OR($E1651="Coal",$E1651="Dirty Coal"),"MT","BCM"))</f>
        <v/>
      </c>
      <c r="N1651" s="157">
        <f>IF($E1651="","",IF(OR($E1651="Coal",$E1651="Dirty Coal"),"Coal","OB"))</f>
        <v/>
      </c>
      <c r="O1651" s="157">
        <f>IF($F1651="","",IF(COUNTIF(MASTER_JAM!$A$5:$A$94,$C1651)=0,"Digger tidak dikenal",IF($J1651="","Hauler tidak dikenal",IF($H1651="?","Jam salah",IF($K1651=0,"Faktor kosong",IF(SUMIFS(INPUT_DELAY!$E$5:$E$20000,INPUT_DELAY!$A$5:$A$20000,$A1651,INPUT_DELAY!$B$5:$B$20000,$B1651,INPUT_DELAY!$C$5:$C$20000,$C1651)+SUMIFS(INPUT_DELAY!$E$5:$E$20000,INPUT_DELAY!$A$5:$A$20000,$A1651,INPUT_DELAY!$B$5:$B$20000,$B1651,INPUT_DELAY!$C$5:$C$20000,"SEMUA")&gt;=60,"Delay 60 mnt tapi ada ritase","OK"))))))</f>
        <v/>
      </c>
      <c r="P1651" s="158">
        <f>IFERROR(INDEX(MASTER_JAM!$Z$5:$AC$10,MATCH($I1651,MASTER_JAM!$Y$5:$Y$10,0),MATCH($J1651,MASTER_JAM!$Z$4:$AC$4,0))+0,0)</f>
        <v/>
      </c>
      <c r="Q1651" s="158">
        <f>IF($P1651=0,0,$P1651+IFERROR(INDEX(MASTER_JAM!$H$5:$H$94,MATCH($C1651,MASTER_JAM!$A$5:$A$94,0))+0,MASTER_JAM!$AC$15)/1000*(60/MASTER_JAM!$AC$12+60/MASTER_JAM!$AC$13)+MASTER_JAM!$AC$14)</f>
        <v/>
      </c>
      <c r="R1651" s="158">
        <f>IF(N($F1651)=0,0,$F1651/SUMIFS(INPUT_RITASE!$F$5:$F$20000,INPUT_RITASE!$A$5:$A$20000,$A1651,INPUT_RITASE!$B$5:$B$20000,$B1651,INPUT_RITASE!$C$5:$C$20000,$C1651,INPUT_RITASE!$D$5:$D$20000,$D1651))</f>
        <v/>
      </c>
      <c r="S1651" s="158">
        <f>IF($Q1651=0,0,$R1651*$P1651/$Q1651)</f>
        <v/>
      </c>
    </row>
    <row r="1652">
      <c r="A1652" s="155" t="n">
        <v>46110</v>
      </c>
      <c r="B1652" s="156" t="inlineStr">
        <is>
          <t>09-10</t>
        </is>
      </c>
      <c r="C1652" s="156" t="inlineStr">
        <is>
          <t>EX-754</t>
        </is>
      </c>
      <c r="D1652" s="156" t="inlineStr">
        <is>
          <t>DT-526</t>
        </is>
      </c>
      <c r="E1652" s="156" t="inlineStr">
        <is>
          <t>OB</t>
        </is>
      </c>
      <c r="F1652" s="156" t="n">
        <v>4</v>
      </c>
      <c r="G1652" s="156" t="inlineStr"/>
      <c r="H1652" s="157">
        <f>IF($B1652="","",IF(ISNA(MATCH($B1652,MASTER_JAM!$Q$5:$Q$28,0)),"?",IF(MATCH($B1652,MASTER_JAM!$Q$5:$Q$28,0)&lt;=12,"DS","NS")))</f>
        <v/>
      </c>
      <c r="I1652" s="157">
        <f>IFERROR(INDEX(MASTER_JAM!$B$5:$B$94,MATCH($C1652,MASTER_JAM!$A$5:$A$94,0)),"")</f>
        <v/>
      </c>
      <c r="J1652" s="157">
        <f>IFERROR(INDEX(MASTER_JAM!$E$5:$E$94,MATCH($D1652,MASTER_JAM!$A$5:$A$94,0)),"")</f>
        <v/>
      </c>
      <c r="K1652" s="158">
        <f>IFERROR(INDEX(MASTER_JAM!$J$5:$O$12,MATCH($E1652,MASTER_JAM!$I$5:$I$12,0),MATCH($J1652,MASTER_JAM!$J$4:$O$4,0))+0,0)</f>
        <v/>
      </c>
      <c r="L1652" s="159">
        <f>N($F1652)*$K1652</f>
        <v/>
      </c>
      <c r="M1652" s="157">
        <f>IF($E1652="","",IF(OR($E1652="Coal",$E1652="Dirty Coal"),"MT","BCM"))</f>
        <v/>
      </c>
      <c r="N1652" s="157">
        <f>IF($E1652="","",IF(OR($E1652="Coal",$E1652="Dirty Coal"),"Coal","OB"))</f>
        <v/>
      </c>
      <c r="O1652" s="157">
        <f>IF($F1652="","",IF(COUNTIF(MASTER_JAM!$A$5:$A$94,$C1652)=0,"Digger tidak dikenal",IF($J1652="","Hauler tidak dikenal",IF($H1652="?","Jam salah",IF($K1652=0,"Faktor kosong",IF(SUMIFS(INPUT_DELAY!$E$5:$E$20000,INPUT_DELAY!$A$5:$A$20000,$A1652,INPUT_DELAY!$B$5:$B$20000,$B1652,INPUT_DELAY!$C$5:$C$20000,$C1652)+SUMIFS(INPUT_DELAY!$E$5:$E$20000,INPUT_DELAY!$A$5:$A$20000,$A1652,INPUT_DELAY!$B$5:$B$20000,$B1652,INPUT_DELAY!$C$5:$C$20000,"SEMUA")&gt;=60,"Delay 60 mnt tapi ada ritase","OK"))))))</f>
        <v/>
      </c>
      <c r="P1652" s="158">
        <f>IFERROR(INDEX(MASTER_JAM!$Z$5:$AC$10,MATCH($I1652,MASTER_JAM!$Y$5:$Y$10,0),MATCH($J1652,MASTER_JAM!$Z$4:$AC$4,0))+0,0)</f>
        <v/>
      </c>
      <c r="Q1652" s="158">
        <f>IF($P1652=0,0,$P1652+IFERROR(INDEX(MASTER_JAM!$H$5:$H$94,MATCH($C1652,MASTER_JAM!$A$5:$A$94,0))+0,MASTER_JAM!$AC$15)/1000*(60/MASTER_JAM!$AC$12+60/MASTER_JAM!$AC$13)+MASTER_JAM!$AC$14)</f>
        <v/>
      </c>
      <c r="R1652" s="158">
        <f>IF(N($F1652)=0,0,$F1652/SUMIFS(INPUT_RITASE!$F$5:$F$20000,INPUT_RITASE!$A$5:$A$20000,$A1652,INPUT_RITASE!$B$5:$B$20000,$B1652,INPUT_RITASE!$C$5:$C$20000,$C1652,INPUT_RITASE!$D$5:$D$20000,$D1652))</f>
        <v/>
      </c>
      <c r="S1652" s="158">
        <f>IF($Q1652=0,0,$R1652*$P1652/$Q1652)</f>
        <v/>
      </c>
    </row>
    <row r="1653">
      <c r="A1653" s="155" t="n">
        <v>46110</v>
      </c>
      <c r="B1653" s="156" t="inlineStr">
        <is>
          <t>10-11</t>
        </is>
      </c>
      <c r="C1653" s="156" t="inlineStr">
        <is>
          <t>EX-754</t>
        </is>
      </c>
      <c r="D1653" s="156" t="inlineStr">
        <is>
          <t>DT-529</t>
        </is>
      </c>
      <c r="E1653" s="156" t="inlineStr">
        <is>
          <t>OB</t>
        </is>
      </c>
      <c r="F1653" s="156" t="n">
        <v>4</v>
      </c>
      <c r="G1653" s="156" t="inlineStr"/>
      <c r="H1653" s="157">
        <f>IF($B1653="","",IF(ISNA(MATCH($B1653,MASTER_JAM!$Q$5:$Q$28,0)),"?",IF(MATCH($B1653,MASTER_JAM!$Q$5:$Q$28,0)&lt;=12,"DS","NS")))</f>
        <v/>
      </c>
      <c r="I1653" s="157">
        <f>IFERROR(INDEX(MASTER_JAM!$B$5:$B$94,MATCH($C1653,MASTER_JAM!$A$5:$A$94,0)),"")</f>
        <v/>
      </c>
      <c r="J1653" s="157">
        <f>IFERROR(INDEX(MASTER_JAM!$E$5:$E$94,MATCH($D1653,MASTER_JAM!$A$5:$A$94,0)),"")</f>
        <v/>
      </c>
      <c r="K1653" s="158">
        <f>IFERROR(INDEX(MASTER_JAM!$J$5:$O$12,MATCH($E1653,MASTER_JAM!$I$5:$I$12,0),MATCH($J1653,MASTER_JAM!$J$4:$O$4,0))+0,0)</f>
        <v/>
      </c>
      <c r="L1653" s="159">
        <f>N($F1653)*$K1653</f>
        <v/>
      </c>
      <c r="M1653" s="157">
        <f>IF($E1653="","",IF(OR($E1653="Coal",$E1653="Dirty Coal"),"MT","BCM"))</f>
        <v/>
      </c>
      <c r="N1653" s="157">
        <f>IF($E1653="","",IF(OR($E1653="Coal",$E1653="Dirty Coal"),"Coal","OB"))</f>
        <v/>
      </c>
      <c r="O1653" s="157">
        <f>IF($F1653="","",IF(COUNTIF(MASTER_JAM!$A$5:$A$94,$C1653)=0,"Digger tidak dikenal",IF($J1653="","Hauler tidak dikenal",IF($H1653="?","Jam salah",IF($K1653=0,"Faktor kosong",IF(SUMIFS(INPUT_DELAY!$E$5:$E$20000,INPUT_DELAY!$A$5:$A$20000,$A1653,INPUT_DELAY!$B$5:$B$20000,$B1653,INPUT_DELAY!$C$5:$C$20000,$C1653)+SUMIFS(INPUT_DELAY!$E$5:$E$20000,INPUT_DELAY!$A$5:$A$20000,$A1653,INPUT_DELAY!$B$5:$B$20000,$B1653,INPUT_DELAY!$C$5:$C$20000,"SEMUA")&gt;=60,"Delay 60 mnt tapi ada ritase","OK"))))))</f>
        <v/>
      </c>
      <c r="P1653" s="158">
        <f>IFERROR(INDEX(MASTER_JAM!$Z$5:$AC$10,MATCH($I1653,MASTER_JAM!$Y$5:$Y$10,0),MATCH($J1653,MASTER_JAM!$Z$4:$AC$4,0))+0,0)</f>
        <v/>
      </c>
      <c r="Q1653" s="158">
        <f>IF($P1653=0,0,$P1653+IFERROR(INDEX(MASTER_JAM!$H$5:$H$94,MATCH($C1653,MASTER_JAM!$A$5:$A$94,0))+0,MASTER_JAM!$AC$15)/1000*(60/MASTER_JAM!$AC$12+60/MASTER_JAM!$AC$13)+MASTER_JAM!$AC$14)</f>
        <v/>
      </c>
      <c r="R1653" s="158">
        <f>IF(N($F1653)=0,0,$F1653/SUMIFS(INPUT_RITASE!$F$5:$F$20000,INPUT_RITASE!$A$5:$A$20000,$A1653,INPUT_RITASE!$B$5:$B$20000,$B1653,INPUT_RITASE!$C$5:$C$20000,$C1653,INPUT_RITASE!$D$5:$D$20000,$D1653))</f>
        <v/>
      </c>
      <c r="S1653" s="158">
        <f>IF($Q1653=0,0,$R1653*$P1653/$Q1653)</f>
        <v/>
      </c>
    </row>
    <row r="1654">
      <c r="A1654" s="155" t="n">
        <v>46110</v>
      </c>
      <c r="B1654" s="156" t="inlineStr">
        <is>
          <t>10-11</t>
        </is>
      </c>
      <c r="C1654" s="156" t="inlineStr">
        <is>
          <t>EX-754</t>
        </is>
      </c>
      <c r="D1654" s="156" t="inlineStr">
        <is>
          <t>DT-522</t>
        </is>
      </c>
      <c r="E1654" s="156" t="inlineStr">
        <is>
          <t>OB</t>
        </is>
      </c>
      <c r="F1654" s="156" t="n">
        <v>3</v>
      </c>
      <c r="G1654" s="156" t="inlineStr"/>
      <c r="H1654" s="157">
        <f>IF($B1654="","",IF(ISNA(MATCH($B1654,MASTER_JAM!$Q$5:$Q$28,0)),"?",IF(MATCH($B1654,MASTER_JAM!$Q$5:$Q$28,0)&lt;=12,"DS","NS")))</f>
        <v/>
      </c>
      <c r="I1654" s="157">
        <f>IFERROR(INDEX(MASTER_JAM!$B$5:$B$94,MATCH($C1654,MASTER_JAM!$A$5:$A$94,0)),"")</f>
        <v/>
      </c>
      <c r="J1654" s="157">
        <f>IFERROR(INDEX(MASTER_JAM!$E$5:$E$94,MATCH($D1654,MASTER_JAM!$A$5:$A$94,0)),"")</f>
        <v/>
      </c>
      <c r="K1654" s="158">
        <f>IFERROR(INDEX(MASTER_JAM!$J$5:$O$12,MATCH($E1654,MASTER_JAM!$I$5:$I$12,0),MATCH($J1654,MASTER_JAM!$J$4:$O$4,0))+0,0)</f>
        <v/>
      </c>
      <c r="L1654" s="159">
        <f>N($F1654)*$K1654</f>
        <v/>
      </c>
      <c r="M1654" s="157">
        <f>IF($E1654="","",IF(OR($E1654="Coal",$E1654="Dirty Coal"),"MT","BCM"))</f>
        <v/>
      </c>
      <c r="N1654" s="157">
        <f>IF($E1654="","",IF(OR($E1654="Coal",$E1654="Dirty Coal"),"Coal","OB"))</f>
        <v/>
      </c>
      <c r="O1654" s="157">
        <f>IF($F1654="","",IF(COUNTIF(MASTER_JAM!$A$5:$A$94,$C1654)=0,"Digger tidak dikenal",IF($J1654="","Hauler tidak dikenal",IF($H1654="?","Jam salah",IF($K1654=0,"Faktor kosong",IF(SUMIFS(INPUT_DELAY!$E$5:$E$20000,INPUT_DELAY!$A$5:$A$20000,$A1654,INPUT_DELAY!$B$5:$B$20000,$B1654,INPUT_DELAY!$C$5:$C$20000,$C1654)+SUMIFS(INPUT_DELAY!$E$5:$E$20000,INPUT_DELAY!$A$5:$A$20000,$A1654,INPUT_DELAY!$B$5:$B$20000,$B1654,INPUT_DELAY!$C$5:$C$20000,"SEMUA")&gt;=60,"Delay 60 mnt tapi ada ritase","OK"))))))</f>
        <v/>
      </c>
      <c r="P1654" s="158">
        <f>IFERROR(INDEX(MASTER_JAM!$Z$5:$AC$10,MATCH($I1654,MASTER_JAM!$Y$5:$Y$10,0),MATCH($J1654,MASTER_JAM!$Z$4:$AC$4,0))+0,0)</f>
        <v/>
      </c>
      <c r="Q1654" s="158">
        <f>IF($P1654=0,0,$P1654+IFERROR(INDEX(MASTER_JAM!$H$5:$H$94,MATCH($C1654,MASTER_JAM!$A$5:$A$94,0))+0,MASTER_JAM!$AC$15)/1000*(60/MASTER_JAM!$AC$12+60/MASTER_JAM!$AC$13)+MASTER_JAM!$AC$14)</f>
        <v/>
      </c>
      <c r="R1654" s="158">
        <f>IF(N($F1654)=0,0,$F1654/SUMIFS(INPUT_RITASE!$F$5:$F$20000,INPUT_RITASE!$A$5:$A$20000,$A1654,INPUT_RITASE!$B$5:$B$20000,$B1654,INPUT_RITASE!$C$5:$C$20000,$C1654,INPUT_RITASE!$D$5:$D$20000,$D1654))</f>
        <v/>
      </c>
      <c r="S1654" s="158">
        <f>IF($Q1654=0,0,$R1654*$P1654/$Q1654)</f>
        <v/>
      </c>
    </row>
    <row r="1655">
      <c r="A1655" s="155" t="n">
        <v>46110</v>
      </c>
      <c r="B1655" s="156" t="inlineStr">
        <is>
          <t>10-11</t>
        </is>
      </c>
      <c r="C1655" s="156" t="inlineStr">
        <is>
          <t>EX-754</t>
        </is>
      </c>
      <c r="D1655" s="156" t="inlineStr">
        <is>
          <t>DT-523</t>
        </is>
      </c>
      <c r="E1655" s="156" t="inlineStr">
        <is>
          <t>OB</t>
        </is>
      </c>
      <c r="F1655" s="156" t="n">
        <v>3</v>
      </c>
      <c r="G1655" s="156" t="inlineStr"/>
      <c r="H1655" s="157">
        <f>IF($B1655="","",IF(ISNA(MATCH($B1655,MASTER_JAM!$Q$5:$Q$28,0)),"?",IF(MATCH($B1655,MASTER_JAM!$Q$5:$Q$28,0)&lt;=12,"DS","NS")))</f>
        <v/>
      </c>
      <c r="I1655" s="157">
        <f>IFERROR(INDEX(MASTER_JAM!$B$5:$B$94,MATCH($C1655,MASTER_JAM!$A$5:$A$94,0)),"")</f>
        <v/>
      </c>
      <c r="J1655" s="157">
        <f>IFERROR(INDEX(MASTER_JAM!$E$5:$E$94,MATCH($D1655,MASTER_JAM!$A$5:$A$94,0)),"")</f>
        <v/>
      </c>
      <c r="K1655" s="158">
        <f>IFERROR(INDEX(MASTER_JAM!$J$5:$O$12,MATCH($E1655,MASTER_JAM!$I$5:$I$12,0),MATCH($J1655,MASTER_JAM!$J$4:$O$4,0))+0,0)</f>
        <v/>
      </c>
      <c r="L1655" s="159">
        <f>N($F1655)*$K1655</f>
        <v/>
      </c>
      <c r="M1655" s="157">
        <f>IF($E1655="","",IF(OR($E1655="Coal",$E1655="Dirty Coal"),"MT","BCM"))</f>
        <v/>
      </c>
      <c r="N1655" s="157">
        <f>IF($E1655="","",IF(OR($E1655="Coal",$E1655="Dirty Coal"),"Coal","OB"))</f>
        <v/>
      </c>
      <c r="O1655" s="157">
        <f>IF($F1655="","",IF(COUNTIF(MASTER_JAM!$A$5:$A$94,$C1655)=0,"Digger tidak dikenal",IF($J1655="","Hauler tidak dikenal",IF($H1655="?","Jam salah",IF($K1655=0,"Faktor kosong",IF(SUMIFS(INPUT_DELAY!$E$5:$E$20000,INPUT_DELAY!$A$5:$A$20000,$A1655,INPUT_DELAY!$B$5:$B$20000,$B1655,INPUT_DELAY!$C$5:$C$20000,$C1655)+SUMIFS(INPUT_DELAY!$E$5:$E$20000,INPUT_DELAY!$A$5:$A$20000,$A1655,INPUT_DELAY!$B$5:$B$20000,$B1655,INPUT_DELAY!$C$5:$C$20000,"SEMUA")&gt;=60,"Delay 60 mnt tapi ada ritase","OK"))))))</f>
        <v/>
      </c>
      <c r="P1655" s="158">
        <f>IFERROR(INDEX(MASTER_JAM!$Z$5:$AC$10,MATCH($I1655,MASTER_JAM!$Y$5:$Y$10,0),MATCH($J1655,MASTER_JAM!$Z$4:$AC$4,0))+0,0)</f>
        <v/>
      </c>
      <c r="Q1655" s="158">
        <f>IF($P1655=0,0,$P1655+IFERROR(INDEX(MASTER_JAM!$H$5:$H$94,MATCH($C1655,MASTER_JAM!$A$5:$A$94,0))+0,MASTER_JAM!$AC$15)/1000*(60/MASTER_JAM!$AC$12+60/MASTER_JAM!$AC$13)+MASTER_JAM!$AC$14)</f>
        <v/>
      </c>
      <c r="R1655" s="158">
        <f>IF(N($F1655)=0,0,$F1655/SUMIFS(INPUT_RITASE!$F$5:$F$20000,INPUT_RITASE!$A$5:$A$20000,$A1655,INPUT_RITASE!$B$5:$B$20000,$B1655,INPUT_RITASE!$C$5:$C$20000,$C1655,INPUT_RITASE!$D$5:$D$20000,$D1655))</f>
        <v/>
      </c>
      <c r="S1655" s="158">
        <f>IF($Q1655=0,0,$R1655*$P1655/$Q1655)</f>
        <v/>
      </c>
    </row>
    <row r="1656">
      <c r="A1656" s="155" t="n">
        <v>46110</v>
      </c>
      <c r="B1656" s="156" t="inlineStr">
        <is>
          <t>11-12</t>
        </is>
      </c>
      <c r="C1656" s="156" t="inlineStr">
        <is>
          <t>EX-754</t>
        </is>
      </c>
      <c r="D1656" s="156" t="inlineStr">
        <is>
          <t>DT-522</t>
        </is>
      </c>
      <c r="E1656" s="156" t="inlineStr">
        <is>
          <t>OB</t>
        </is>
      </c>
      <c r="F1656" s="156" t="n">
        <v>4</v>
      </c>
      <c r="G1656" s="156" t="inlineStr"/>
      <c r="H1656" s="157">
        <f>IF($B1656="","",IF(ISNA(MATCH($B1656,MASTER_JAM!$Q$5:$Q$28,0)),"?",IF(MATCH($B1656,MASTER_JAM!$Q$5:$Q$28,0)&lt;=12,"DS","NS")))</f>
        <v/>
      </c>
      <c r="I1656" s="157">
        <f>IFERROR(INDEX(MASTER_JAM!$B$5:$B$94,MATCH($C1656,MASTER_JAM!$A$5:$A$94,0)),"")</f>
        <v/>
      </c>
      <c r="J1656" s="157">
        <f>IFERROR(INDEX(MASTER_JAM!$E$5:$E$94,MATCH($D1656,MASTER_JAM!$A$5:$A$94,0)),"")</f>
        <v/>
      </c>
      <c r="K1656" s="158">
        <f>IFERROR(INDEX(MASTER_JAM!$J$5:$O$12,MATCH($E1656,MASTER_JAM!$I$5:$I$12,0),MATCH($J1656,MASTER_JAM!$J$4:$O$4,0))+0,0)</f>
        <v/>
      </c>
      <c r="L1656" s="159">
        <f>N($F1656)*$K1656</f>
        <v/>
      </c>
      <c r="M1656" s="157">
        <f>IF($E1656="","",IF(OR($E1656="Coal",$E1656="Dirty Coal"),"MT","BCM"))</f>
        <v/>
      </c>
      <c r="N1656" s="157">
        <f>IF($E1656="","",IF(OR($E1656="Coal",$E1656="Dirty Coal"),"Coal","OB"))</f>
        <v/>
      </c>
      <c r="O1656" s="157">
        <f>IF($F1656="","",IF(COUNTIF(MASTER_JAM!$A$5:$A$94,$C1656)=0,"Digger tidak dikenal",IF($J1656="","Hauler tidak dikenal",IF($H1656="?","Jam salah",IF($K1656=0,"Faktor kosong",IF(SUMIFS(INPUT_DELAY!$E$5:$E$20000,INPUT_DELAY!$A$5:$A$20000,$A1656,INPUT_DELAY!$B$5:$B$20000,$B1656,INPUT_DELAY!$C$5:$C$20000,$C1656)+SUMIFS(INPUT_DELAY!$E$5:$E$20000,INPUT_DELAY!$A$5:$A$20000,$A1656,INPUT_DELAY!$B$5:$B$20000,$B1656,INPUT_DELAY!$C$5:$C$20000,"SEMUA")&gt;=60,"Delay 60 mnt tapi ada ritase","OK"))))))</f>
        <v/>
      </c>
      <c r="P1656" s="158">
        <f>IFERROR(INDEX(MASTER_JAM!$Z$5:$AC$10,MATCH($I1656,MASTER_JAM!$Y$5:$Y$10,0),MATCH($J1656,MASTER_JAM!$Z$4:$AC$4,0))+0,0)</f>
        <v/>
      </c>
      <c r="Q1656" s="158">
        <f>IF($P1656=0,0,$P1656+IFERROR(INDEX(MASTER_JAM!$H$5:$H$94,MATCH($C1656,MASTER_JAM!$A$5:$A$94,0))+0,MASTER_JAM!$AC$15)/1000*(60/MASTER_JAM!$AC$12+60/MASTER_JAM!$AC$13)+MASTER_JAM!$AC$14)</f>
        <v/>
      </c>
      <c r="R1656" s="158">
        <f>IF(N($F1656)=0,0,$F1656/SUMIFS(INPUT_RITASE!$F$5:$F$20000,INPUT_RITASE!$A$5:$A$20000,$A1656,INPUT_RITASE!$B$5:$B$20000,$B1656,INPUT_RITASE!$C$5:$C$20000,$C1656,INPUT_RITASE!$D$5:$D$20000,$D1656))</f>
        <v/>
      </c>
      <c r="S1656" s="158">
        <f>IF($Q1656=0,0,$R1656*$P1656/$Q1656)</f>
        <v/>
      </c>
    </row>
    <row r="1657">
      <c r="A1657" s="155" t="n">
        <v>46110</v>
      </c>
      <c r="B1657" s="156" t="inlineStr">
        <is>
          <t>11-12</t>
        </is>
      </c>
      <c r="C1657" s="156" t="inlineStr">
        <is>
          <t>EX-754</t>
        </is>
      </c>
      <c r="D1657" s="156" t="inlineStr">
        <is>
          <t>DT-523</t>
        </is>
      </c>
      <c r="E1657" s="156" t="inlineStr">
        <is>
          <t>OB</t>
        </is>
      </c>
      <c r="F1657" s="156" t="n">
        <v>3</v>
      </c>
      <c r="G1657" s="156" t="inlineStr"/>
      <c r="H1657" s="157">
        <f>IF($B1657="","",IF(ISNA(MATCH($B1657,MASTER_JAM!$Q$5:$Q$28,0)),"?",IF(MATCH($B1657,MASTER_JAM!$Q$5:$Q$28,0)&lt;=12,"DS","NS")))</f>
        <v/>
      </c>
      <c r="I1657" s="157">
        <f>IFERROR(INDEX(MASTER_JAM!$B$5:$B$94,MATCH($C1657,MASTER_JAM!$A$5:$A$94,0)),"")</f>
        <v/>
      </c>
      <c r="J1657" s="157">
        <f>IFERROR(INDEX(MASTER_JAM!$E$5:$E$94,MATCH($D1657,MASTER_JAM!$A$5:$A$94,0)),"")</f>
        <v/>
      </c>
      <c r="K1657" s="158">
        <f>IFERROR(INDEX(MASTER_JAM!$J$5:$O$12,MATCH($E1657,MASTER_JAM!$I$5:$I$12,0),MATCH($J1657,MASTER_JAM!$J$4:$O$4,0))+0,0)</f>
        <v/>
      </c>
      <c r="L1657" s="159">
        <f>N($F1657)*$K1657</f>
        <v/>
      </c>
      <c r="M1657" s="157">
        <f>IF($E1657="","",IF(OR($E1657="Coal",$E1657="Dirty Coal"),"MT","BCM"))</f>
        <v/>
      </c>
      <c r="N1657" s="157">
        <f>IF($E1657="","",IF(OR($E1657="Coal",$E1657="Dirty Coal"),"Coal","OB"))</f>
        <v/>
      </c>
      <c r="O1657" s="157">
        <f>IF($F1657="","",IF(COUNTIF(MASTER_JAM!$A$5:$A$94,$C1657)=0,"Digger tidak dikenal",IF($J1657="","Hauler tidak dikenal",IF($H1657="?","Jam salah",IF($K1657=0,"Faktor kosong",IF(SUMIFS(INPUT_DELAY!$E$5:$E$20000,INPUT_DELAY!$A$5:$A$20000,$A1657,INPUT_DELAY!$B$5:$B$20000,$B1657,INPUT_DELAY!$C$5:$C$20000,$C1657)+SUMIFS(INPUT_DELAY!$E$5:$E$20000,INPUT_DELAY!$A$5:$A$20000,$A1657,INPUT_DELAY!$B$5:$B$20000,$B1657,INPUT_DELAY!$C$5:$C$20000,"SEMUA")&gt;=60,"Delay 60 mnt tapi ada ritase","OK"))))))</f>
        <v/>
      </c>
      <c r="P1657" s="158">
        <f>IFERROR(INDEX(MASTER_JAM!$Z$5:$AC$10,MATCH($I1657,MASTER_JAM!$Y$5:$Y$10,0),MATCH($J1657,MASTER_JAM!$Z$4:$AC$4,0))+0,0)</f>
        <v/>
      </c>
      <c r="Q1657" s="158">
        <f>IF($P1657=0,0,$P1657+IFERROR(INDEX(MASTER_JAM!$H$5:$H$94,MATCH($C1657,MASTER_JAM!$A$5:$A$94,0))+0,MASTER_JAM!$AC$15)/1000*(60/MASTER_JAM!$AC$12+60/MASTER_JAM!$AC$13)+MASTER_JAM!$AC$14)</f>
        <v/>
      </c>
      <c r="R1657" s="158">
        <f>IF(N($F1657)=0,0,$F1657/SUMIFS(INPUT_RITASE!$F$5:$F$20000,INPUT_RITASE!$A$5:$A$20000,$A1657,INPUT_RITASE!$B$5:$B$20000,$B1657,INPUT_RITASE!$C$5:$C$20000,$C1657,INPUT_RITASE!$D$5:$D$20000,$D1657))</f>
        <v/>
      </c>
      <c r="S1657" s="158">
        <f>IF($Q1657=0,0,$R1657*$P1657/$Q1657)</f>
        <v/>
      </c>
    </row>
    <row r="1658">
      <c r="A1658" s="155" t="n">
        <v>46110</v>
      </c>
      <c r="B1658" s="156" t="inlineStr">
        <is>
          <t>11-12</t>
        </is>
      </c>
      <c r="C1658" s="156" t="inlineStr">
        <is>
          <t>EX-754</t>
        </is>
      </c>
      <c r="D1658" s="156" t="inlineStr">
        <is>
          <t>DT-514</t>
        </is>
      </c>
      <c r="E1658" s="156" t="inlineStr">
        <is>
          <t>OB</t>
        </is>
      </c>
      <c r="F1658" s="156" t="n">
        <v>3</v>
      </c>
      <c r="G1658" s="156" t="inlineStr"/>
      <c r="H1658" s="157">
        <f>IF($B1658="","",IF(ISNA(MATCH($B1658,MASTER_JAM!$Q$5:$Q$28,0)),"?",IF(MATCH($B1658,MASTER_JAM!$Q$5:$Q$28,0)&lt;=12,"DS","NS")))</f>
        <v/>
      </c>
      <c r="I1658" s="157">
        <f>IFERROR(INDEX(MASTER_JAM!$B$5:$B$94,MATCH($C1658,MASTER_JAM!$A$5:$A$94,0)),"")</f>
        <v/>
      </c>
      <c r="J1658" s="157">
        <f>IFERROR(INDEX(MASTER_JAM!$E$5:$E$94,MATCH($D1658,MASTER_JAM!$A$5:$A$94,0)),"")</f>
        <v/>
      </c>
      <c r="K1658" s="158">
        <f>IFERROR(INDEX(MASTER_JAM!$J$5:$O$12,MATCH($E1658,MASTER_JAM!$I$5:$I$12,0),MATCH($J1658,MASTER_JAM!$J$4:$O$4,0))+0,0)</f>
        <v/>
      </c>
      <c r="L1658" s="159">
        <f>N($F1658)*$K1658</f>
        <v/>
      </c>
      <c r="M1658" s="157">
        <f>IF($E1658="","",IF(OR($E1658="Coal",$E1658="Dirty Coal"),"MT","BCM"))</f>
        <v/>
      </c>
      <c r="N1658" s="157">
        <f>IF($E1658="","",IF(OR($E1658="Coal",$E1658="Dirty Coal"),"Coal","OB"))</f>
        <v/>
      </c>
      <c r="O1658" s="157">
        <f>IF($F1658="","",IF(COUNTIF(MASTER_JAM!$A$5:$A$94,$C1658)=0,"Digger tidak dikenal",IF($J1658="","Hauler tidak dikenal",IF($H1658="?","Jam salah",IF($K1658=0,"Faktor kosong",IF(SUMIFS(INPUT_DELAY!$E$5:$E$20000,INPUT_DELAY!$A$5:$A$20000,$A1658,INPUT_DELAY!$B$5:$B$20000,$B1658,INPUT_DELAY!$C$5:$C$20000,$C1658)+SUMIFS(INPUT_DELAY!$E$5:$E$20000,INPUT_DELAY!$A$5:$A$20000,$A1658,INPUT_DELAY!$B$5:$B$20000,$B1658,INPUT_DELAY!$C$5:$C$20000,"SEMUA")&gt;=60,"Delay 60 mnt tapi ada ritase","OK"))))))</f>
        <v/>
      </c>
      <c r="P1658" s="158">
        <f>IFERROR(INDEX(MASTER_JAM!$Z$5:$AC$10,MATCH($I1658,MASTER_JAM!$Y$5:$Y$10,0),MATCH($J1658,MASTER_JAM!$Z$4:$AC$4,0))+0,0)</f>
        <v/>
      </c>
      <c r="Q1658" s="158">
        <f>IF($P1658=0,0,$P1658+IFERROR(INDEX(MASTER_JAM!$H$5:$H$94,MATCH($C1658,MASTER_JAM!$A$5:$A$94,0))+0,MASTER_JAM!$AC$15)/1000*(60/MASTER_JAM!$AC$12+60/MASTER_JAM!$AC$13)+MASTER_JAM!$AC$14)</f>
        <v/>
      </c>
      <c r="R1658" s="158">
        <f>IF(N($F1658)=0,0,$F1658/SUMIFS(INPUT_RITASE!$F$5:$F$20000,INPUT_RITASE!$A$5:$A$20000,$A1658,INPUT_RITASE!$B$5:$B$20000,$B1658,INPUT_RITASE!$C$5:$C$20000,$C1658,INPUT_RITASE!$D$5:$D$20000,$D1658))</f>
        <v/>
      </c>
      <c r="S1658" s="158">
        <f>IF($Q1658=0,0,$R1658*$P1658/$Q1658)</f>
        <v/>
      </c>
    </row>
    <row r="1659">
      <c r="A1659" s="155" t="n">
        <v>46110</v>
      </c>
      <c r="B1659" s="156" t="inlineStr">
        <is>
          <t>11-12</t>
        </is>
      </c>
      <c r="C1659" s="156" t="inlineStr">
        <is>
          <t>EX-754</t>
        </is>
      </c>
      <c r="D1659" s="156" t="inlineStr">
        <is>
          <t>DT-526</t>
        </is>
      </c>
      <c r="E1659" s="156" t="inlineStr">
        <is>
          <t>OB</t>
        </is>
      </c>
      <c r="F1659" s="156" t="n">
        <v>3</v>
      </c>
      <c r="G1659" s="156" t="inlineStr"/>
      <c r="H1659" s="157">
        <f>IF($B1659="","",IF(ISNA(MATCH($B1659,MASTER_JAM!$Q$5:$Q$28,0)),"?",IF(MATCH($B1659,MASTER_JAM!$Q$5:$Q$28,0)&lt;=12,"DS","NS")))</f>
        <v/>
      </c>
      <c r="I1659" s="157">
        <f>IFERROR(INDEX(MASTER_JAM!$B$5:$B$94,MATCH($C1659,MASTER_JAM!$A$5:$A$94,0)),"")</f>
        <v/>
      </c>
      <c r="J1659" s="157">
        <f>IFERROR(INDEX(MASTER_JAM!$E$5:$E$94,MATCH($D1659,MASTER_JAM!$A$5:$A$94,0)),"")</f>
        <v/>
      </c>
      <c r="K1659" s="158">
        <f>IFERROR(INDEX(MASTER_JAM!$J$5:$O$12,MATCH($E1659,MASTER_JAM!$I$5:$I$12,0),MATCH($J1659,MASTER_JAM!$J$4:$O$4,0))+0,0)</f>
        <v/>
      </c>
      <c r="L1659" s="159">
        <f>N($F1659)*$K1659</f>
        <v/>
      </c>
      <c r="M1659" s="157">
        <f>IF($E1659="","",IF(OR($E1659="Coal",$E1659="Dirty Coal"),"MT","BCM"))</f>
        <v/>
      </c>
      <c r="N1659" s="157">
        <f>IF($E1659="","",IF(OR($E1659="Coal",$E1659="Dirty Coal"),"Coal","OB"))</f>
        <v/>
      </c>
      <c r="O1659" s="157">
        <f>IF($F1659="","",IF(COUNTIF(MASTER_JAM!$A$5:$A$94,$C1659)=0,"Digger tidak dikenal",IF($J1659="","Hauler tidak dikenal",IF($H1659="?","Jam salah",IF($K1659=0,"Faktor kosong",IF(SUMIFS(INPUT_DELAY!$E$5:$E$20000,INPUT_DELAY!$A$5:$A$20000,$A1659,INPUT_DELAY!$B$5:$B$20000,$B1659,INPUT_DELAY!$C$5:$C$20000,$C1659)+SUMIFS(INPUT_DELAY!$E$5:$E$20000,INPUT_DELAY!$A$5:$A$20000,$A1659,INPUT_DELAY!$B$5:$B$20000,$B1659,INPUT_DELAY!$C$5:$C$20000,"SEMUA")&gt;=60,"Delay 60 mnt tapi ada ritase","OK"))))))</f>
        <v/>
      </c>
      <c r="P1659" s="158">
        <f>IFERROR(INDEX(MASTER_JAM!$Z$5:$AC$10,MATCH($I1659,MASTER_JAM!$Y$5:$Y$10,0),MATCH($J1659,MASTER_JAM!$Z$4:$AC$4,0))+0,0)</f>
        <v/>
      </c>
      <c r="Q1659" s="158">
        <f>IF($P1659=0,0,$P1659+IFERROR(INDEX(MASTER_JAM!$H$5:$H$94,MATCH($C1659,MASTER_JAM!$A$5:$A$94,0))+0,MASTER_JAM!$AC$15)/1000*(60/MASTER_JAM!$AC$12+60/MASTER_JAM!$AC$13)+MASTER_JAM!$AC$14)</f>
        <v/>
      </c>
      <c r="R1659" s="158">
        <f>IF(N($F1659)=0,0,$F1659/SUMIFS(INPUT_RITASE!$F$5:$F$20000,INPUT_RITASE!$A$5:$A$20000,$A1659,INPUT_RITASE!$B$5:$B$20000,$B1659,INPUT_RITASE!$C$5:$C$20000,$C1659,INPUT_RITASE!$D$5:$D$20000,$D1659))</f>
        <v/>
      </c>
      <c r="S1659" s="158">
        <f>IF($Q1659=0,0,$R1659*$P1659/$Q1659)</f>
        <v/>
      </c>
    </row>
    <row r="1660">
      <c r="A1660" s="155" t="n">
        <v>46110</v>
      </c>
      <c r="B1660" s="156" t="inlineStr">
        <is>
          <t>13-14</t>
        </is>
      </c>
      <c r="C1660" s="156" t="inlineStr">
        <is>
          <t>EX-754</t>
        </is>
      </c>
      <c r="D1660" s="156" t="inlineStr">
        <is>
          <t>DT-528</t>
        </is>
      </c>
      <c r="E1660" s="156" t="inlineStr">
        <is>
          <t>OB</t>
        </is>
      </c>
      <c r="F1660" s="156" t="n">
        <v>4</v>
      </c>
      <c r="G1660" s="156" t="inlineStr"/>
      <c r="H1660" s="157">
        <f>IF($B1660="","",IF(ISNA(MATCH($B1660,MASTER_JAM!$Q$5:$Q$28,0)),"?",IF(MATCH($B1660,MASTER_JAM!$Q$5:$Q$28,0)&lt;=12,"DS","NS")))</f>
        <v/>
      </c>
      <c r="I1660" s="157">
        <f>IFERROR(INDEX(MASTER_JAM!$B$5:$B$94,MATCH($C1660,MASTER_JAM!$A$5:$A$94,0)),"")</f>
        <v/>
      </c>
      <c r="J1660" s="157">
        <f>IFERROR(INDEX(MASTER_JAM!$E$5:$E$94,MATCH($D1660,MASTER_JAM!$A$5:$A$94,0)),"")</f>
        <v/>
      </c>
      <c r="K1660" s="158">
        <f>IFERROR(INDEX(MASTER_JAM!$J$5:$O$12,MATCH($E1660,MASTER_JAM!$I$5:$I$12,0),MATCH($J1660,MASTER_JAM!$J$4:$O$4,0))+0,0)</f>
        <v/>
      </c>
      <c r="L1660" s="159">
        <f>N($F1660)*$K1660</f>
        <v/>
      </c>
      <c r="M1660" s="157">
        <f>IF($E1660="","",IF(OR($E1660="Coal",$E1660="Dirty Coal"),"MT","BCM"))</f>
        <v/>
      </c>
      <c r="N1660" s="157">
        <f>IF($E1660="","",IF(OR($E1660="Coal",$E1660="Dirty Coal"),"Coal","OB"))</f>
        <v/>
      </c>
      <c r="O1660" s="157">
        <f>IF($F1660="","",IF(COUNTIF(MASTER_JAM!$A$5:$A$94,$C1660)=0,"Digger tidak dikenal",IF($J1660="","Hauler tidak dikenal",IF($H1660="?","Jam salah",IF($K1660=0,"Faktor kosong",IF(SUMIFS(INPUT_DELAY!$E$5:$E$20000,INPUT_DELAY!$A$5:$A$20000,$A1660,INPUT_DELAY!$B$5:$B$20000,$B1660,INPUT_DELAY!$C$5:$C$20000,$C1660)+SUMIFS(INPUT_DELAY!$E$5:$E$20000,INPUT_DELAY!$A$5:$A$20000,$A1660,INPUT_DELAY!$B$5:$B$20000,$B1660,INPUT_DELAY!$C$5:$C$20000,"SEMUA")&gt;=60,"Delay 60 mnt tapi ada ritase","OK"))))))</f>
        <v/>
      </c>
      <c r="P1660" s="158">
        <f>IFERROR(INDEX(MASTER_JAM!$Z$5:$AC$10,MATCH($I1660,MASTER_JAM!$Y$5:$Y$10,0),MATCH($J1660,MASTER_JAM!$Z$4:$AC$4,0))+0,0)</f>
        <v/>
      </c>
      <c r="Q1660" s="158">
        <f>IF($P1660=0,0,$P1660+IFERROR(INDEX(MASTER_JAM!$H$5:$H$94,MATCH($C1660,MASTER_JAM!$A$5:$A$94,0))+0,MASTER_JAM!$AC$15)/1000*(60/MASTER_JAM!$AC$12+60/MASTER_JAM!$AC$13)+MASTER_JAM!$AC$14)</f>
        <v/>
      </c>
      <c r="R1660" s="158">
        <f>IF(N($F1660)=0,0,$F1660/SUMIFS(INPUT_RITASE!$F$5:$F$20000,INPUT_RITASE!$A$5:$A$20000,$A1660,INPUT_RITASE!$B$5:$B$20000,$B1660,INPUT_RITASE!$C$5:$C$20000,$C1660,INPUT_RITASE!$D$5:$D$20000,$D1660))</f>
        <v/>
      </c>
      <c r="S1660" s="158">
        <f>IF($Q1660=0,0,$R1660*$P1660/$Q1660)</f>
        <v/>
      </c>
    </row>
    <row r="1661">
      <c r="A1661" s="155" t="n">
        <v>46110</v>
      </c>
      <c r="B1661" s="156" t="inlineStr">
        <is>
          <t>13-14</t>
        </is>
      </c>
      <c r="C1661" s="156" t="inlineStr">
        <is>
          <t>EX-754</t>
        </is>
      </c>
      <c r="D1661" s="156" t="inlineStr">
        <is>
          <t>DT-519</t>
        </is>
      </c>
      <c r="E1661" s="156" t="inlineStr">
        <is>
          <t>OB</t>
        </is>
      </c>
      <c r="F1661" s="156" t="n">
        <v>4</v>
      </c>
      <c r="G1661" s="156" t="inlineStr"/>
      <c r="H1661" s="157">
        <f>IF($B1661="","",IF(ISNA(MATCH($B1661,MASTER_JAM!$Q$5:$Q$28,0)),"?",IF(MATCH($B1661,MASTER_JAM!$Q$5:$Q$28,0)&lt;=12,"DS","NS")))</f>
        <v/>
      </c>
      <c r="I1661" s="157">
        <f>IFERROR(INDEX(MASTER_JAM!$B$5:$B$94,MATCH($C1661,MASTER_JAM!$A$5:$A$94,0)),"")</f>
        <v/>
      </c>
      <c r="J1661" s="157">
        <f>IFERROR(INDEX(MASTER_JAM!$E$5:$E$94,MATCH($D1661,MASTER_JAM!$A$5:$A$94,0)),"")</f>
        <v/>
      </c>
      <c r="K1661" s="158">
        <f>IFERROR(INDEX(MASTER_JAM!$J$5:$O$12,MATCH($E1661,MASTER_JAM!$I$5:$I$12,0),MATCH($J1661,MASTER_JAM!$J$4:$O$4,0))+0,0)</f>
        <v/>
      </c>
      <c r="L1661" s="159">
        <f>N($F1661)*$K1661</f>
        <v/>
      </c>
      <c r="M1661" s="157">
        <f>IF($E1661="","",IF(OR($E1661="Coal",$E1661="Dirty Coal"),"MT","BCM"))</f>
        <v/>
      </c>
      <c r="N1661" s="157">
        <f>IF($E1661="","",IF(OR($E1661="Coal",$E1661="Dirty Coal"),"Coal","OB"))</f>
        <v/>
      </c>
      <c r="O1661" s="157">
        <f>IF($F1661="","",IF(COUNTIF(MASTER_JAM!$A$5:$A$94,$C1661)=0,"Digger tidak dikenal",IF($J1661="","Hauler tidak dikenal",IF($H1661="?","Jam salah",IF($K1661=0,"Faktor kosong",IF(SUMIFS(INPUT_DELAY!$E$5:$E$20000,INPUT_DELAY!$A$5:$A$20000,$A1661,INPUT_DELAY!$B$5:$B$20000,$B1661,INPUT_DELAY!$C$5:$C$20000,$C1661)+SUMIFS(INPUT_DELAY!$E$5:$E$20000,INPUT_DELAY!$A$5:$A$20000,$A1661,INPUT_DELAY!$B$5:$B$20000,$B1661,INPUT_DELAY!$C$5:$C$20000,"SEMUA")&gt;=60,"Delay 60 mnt tapi ada ritase","OK"))))))</f>
        <v/>
      </c>
      <c r="P1661" s="158">
        <f>IFERROR(INDEX(MASTER_JAM!$Z$5:$AC$10,MATCH($I1661,MASTER_JAM!$Y$5:$Y$10,0),MATCH($J1661,MASTER_JAM!$Z$4:$AC$4,0))+0,0)</f>
        <v/>
      </c>
      <c r="Q1661" s="158">
        <f>IF($P1661=0,0,$P1661+IFERROR(INDEX(MASTER_JAM!$H$5:$H$94,MATCH($C1661,MASTER_JAM!$A$5:$A$94,0))+0,MASTER_JAM!$AC$15)/1000*(60/MASTER_JAM!$AC$12+60/MASTER_JAM!$AC$13)+MASTER_JAM!$AC$14)</f>
        <v/>
      </c>
      <c r="R1661" s="158">
        <f>IF(N($F1661)=0,0,$F1661/SUMIFS(INPUT_RITASE!$F$5:$F$20000,INPUT_RITASE!$A$5:$A$20000,$A1661,INPUT_RITASE!$B$5:$B$20000,$B1661,INPUT_RITASE!$C$5:$C$20000,$C1661,INPUT_RITASE!$D$5:$D$20000,$D1661))</f>
        <v/>
      </c>
      <c r="S1661" s="158">
        <f>IF($Q1661=0,0,$R1661*$P1661/$Q1661)</f>
        <v/>
      </c>
    </row>
    <row r="1662">
      <c r="A1662" s="155" t="n">
        <v>46110</v>
      </c>
      <c r="B1662" s="156" t="inlineStr">
        <is>
          <t>13-14</t>
        </is>
      </c>
      <c r="C1662" s="156" t="inlineStr">
        <is>
          <t>EX-754</t>
        </is>
      </c>
      <c r="D1662" s="156" t="inlineStr">
        <is>
          <t>DT-504</t>
        </is>
      </c>
      <c r="E1662" s="156" t="inlineStr">
        <is>
          <t>OB</t>
        </is>
      </c>
      <c r="F1662" s="156" t="n">
        <v>4</v>
      </c>
      <c r="G1662" s="156" t="inlineStr"/>
      <c r="H1662" s="157">
        <f>IF($B1662="","",IF(ISNA(MATCH($B1662,MASTER_JAM!$Q$5:$Q$28,0)),"?",IF(MATCH($B1662,MASTER_JAM!$Q$5:$Q$28,0)&lt;=12,"DS","NS")))</f>
        <v/>
      </c>
      <c r="I1662" s="157">
        <f>IFERROR(INDEX(MASTER_JAM!$B$5:$B$94,MATCH($C1662,MASTER_JAM!$A$5:$A$94,0)),"")</f>
        <v/>
      </c>
      <c r="J1662" s="157">
        <f>IFERROR(INDEX(MASTER_JAM!$E$5:$E$94,MATCH($D1662,MASTER_JAM!$A$5:$A$94,0)),"")</f>
        <v/>
      </c>
      <c r="K1662" s="158">
        <f>IFERROR(INDEX(MASTER_JAM!$J$5:$O$12,MATCH($E1662,MASTER_JAM!$I$5:$I$12,0),MATCH($J1662,MASTER_JAM!$J$4:$O$4,0))+0,0)</f>
        <v/>
      </c>
      <c r="L1662" s="159">
        <f>N($F1662)*$K1662</f>
        <v/>
      </c>
      <c r="M1662" s="157">
        <f>IF($E1662="","",IF(OR($E1662="Coal",$E1662="Dirty Coal"),"MT","BCM"))</f>
        <v/>
      </c>
      <c r="N1662" s="157">
        <f>IF($E1662="","",IF(OR($E1662="Coal",$E1662="Dirty Coal"),"Coal","OB"))</f>
        <v/>
      </c>
      <c r="O1662" s="157">
        <f>IF($F1662="","",IF(COUNTIF(MASTER_JAM!$A$5:$A$94,$C1662)=0,"Digger tidak dikenal",IF($J1662="","Hauler tidak dikenal",IF($H1662="?","Jam salah",IF($K1662=0,"Faktor kosong",IF(SUMIFS(INPUT_DELAY!$E$5:$E$20000,INPUT_DELAY!$A$5:$A$20000,$A1662,INPUT_DELAY!$B$5:$B$20000,$B1662,INPUT_DELAY!$C$5:$C$20000,$C1662)+SUMIFS(INPUT_DELAY!$E$5:$E$20000,INPUT_DELAY!$A$5:$A$20000,$A1662,INPUT_DELAY!$B$5:$B$20000,$B1662,INPUT_DELAY!$C$5:$C$20000,"SEMUA")&gt;=60,"Delay 60 mnt tapi ada ritase","OK"))))))</f>
        <v/>
      </c>
      <c r="P1662" s="158">
        <f>IFERROR(INDEX(MASTER_JAM!$Z$5:$AC$10,MATCH($I1662,MASTER_JAM!$Y$5:$Y$10,0),MATCH($J1662,MASTER_JAM!$Z$4:$AC$4,0))+0,0)</f>
        <v/>
      </c>
      <c r="Q1662" s="158">
        <f>IF($P1662=0,0,$P1662+IFERROR(INDEX(MASTER_JAM!$H$5:$H$94,MATCH($C1662,MASTER_JAM!$A$5:$A$94,0))+0,MASTER_JAM!$AC$15)/1000*(60/MASTER_JAM!$AC$12+60/MASTER_JAM!$AC$13)+MASTER_JAM!$AC$14)</f>
        <v/>
      </c>
      <c r="R1662" s="158">
        <f>IF(N($F1662)=0,0,$F1662/SUMIFS(INPUT_RITASE!$F$5:$F$20000,INPUT_RITASE!$A$5:$A$20000,$A1662,INPUT_RITASE!$B$5:$B$20000,$B1662,INPUT_RITASE!$C$5:$C$20000,$C1662,INPUT_RITASE!$D$5:$D$20000,$D1662))</f>
        <v/>
      </c>
      <c r="S1662" s="158">
        <f>IF($Q1662=0,0,$R1662*$P1662/$Q1662)</f>
        <v/>
      </c>
    </row>
    <row r="1663">
      <c r="A1663" s="155" t="n">
        <v>46110</v>
      </c>
      <c r="B1663" s="156" t="inlineStr">
        <is>
          <t>14-15</t>
        </is>
      </c>
      <c r="C1663" s="156" t="inlineStr">
        <is>
          <t>EX-754</t>
        </is>
      </c>
      <c r="D1663" s="156" t="inlineStr">
        <is>
          <t>DT-524</t>
        </is>
      </c>
      <c r="E1663" s="156" t="inlineStr">
        <is>
          <t>OB</t>
        </is>
      </c>
      <c r="F1663" s="156" t="n">
        <v>4</v>
      </c>
      <c r="G1663" s="156" t="inlineStr"/>
      <c r="H1663" s="157">
        <f>IF($B1663="","",IF(ISNA(MATCH($B1663,MASTER_JAM!$Q$5:$Q$28,0)),"?",IF(MATCH($B1663,MASTER_JAM!$Q$5:$Q$28,0)&lt;=12,"DS","NS")))</f>
        <v/>
      </c>
      <c r="I1663" s="157">
        <f>IFERROR(INDEX(MASTER_JAM!$B$5:$B$94,MATCH($C1663,MASTER_JAM!$A$5:$A$94,0)),"")</f>
        <v/>
      </c>
      <c r="J1663" s="157">
        <f>IFERROR(INDEX(MASTER_JAM!$E$5:$E$94,MATCH($D1663,MASTER_JAM!$A$5:$A$94,0)),"")</f>
        <v/>
      </c>
      <c r="K1663" s="158">
        <f>IFERROR(INDEX(MASTER_JAM!$J$5:$O$12,MATCH($E1663,MASTER_JAM!$I$5:$I$12,0),MATCH($J1663,MASTER_JAM!$J$4:$O$4,0))+0,0)</f>
        <v/>
      </c>
      <c r="L1663" s="159">
        <f>N($F1663)*$K1663</f>
        <v/>
      </c>
      <c r="M1663" s="157">
        <f>IF($E1663="","",IF(OR($E1663="Coal",$E1663="Dirty Coal"),"MT","BCM"))</f>
        <v/>
      </c>
      <c r="N1663" s="157">
        <f>IF($E1663="","",IF(OR($E1663="Coal",$E1663="Dirty Coal"),"Coal","OB"))</f>
        <v/>
      </c>
      <c r="O1663" s="157">
        <f>IF($F1663="","",IF(COUNTIF(MASTER_JAM!$A$5:$A$94,$C1663)=0,"Digger tidak dikenal",IF($J1663="","Hauler tidak dikenal",IF($H1663="?","Jam salah",IF($K1663=0,"Faktor kosong",IF(SUMIFS(INPUT_DELAY!$E$5:$E$20000,INPUT_DELAY!$A$5:$A$20000,$A1663,INPUT_DELAY!$B$5:$B$20000,$B1663,INPUT_DELAY!$C$5:$C$20000,$C1663)+SUMIFS(INPUT_DELAY!$E$5:$E$20000,INPUT_DELAY!$A$5:$A$20000,$A1663,INPUT_DELAY!$B$5:$B$20000,$B1663,INPUT_DELAY!$C$5:$C$20000,"SEMUA")&gt;=60,"Delay 60 mnt tapi ada ritase","OK"))))))</f>
        <v/>
      </c>
      <c r="P1663" s="158">
        <f>IFERROR(INDEX(MASTER_JAM!$Z$5:$AC$10,MATCH($I1663,MASTER_JAM!$Y$5:$Y$10,0),MATCH($J1663,MASTER_JAM!$Z$4:$AC$4,0))+0,0)</f>
        <v/>
      </c>
      <c r="Q1663" s="158">
        <f>IF($P1663=0,0,$P1663+IFERROR(INDEX(MASTER_JAM!$H$5:$H$94,MATCH($C1663,MASTER_JAM!$A$5:$A$94,0))+0,MASTER_JAM!$AC$15)/1000*(60/MASTER_JAM!$AC$12+60/MASTER_JAM!$AC$13)+MASTER_JAM!$AC$14)</f>
        <v/>
      </c>
      <c r="R1663" s="158">
        <f>IF(N($F1663)=0,0,$F1663/SUMIFS(INPUT_RITASE!$F$5:$F$20000,INPUT_RITASE!$A$5:$A$20000,$A1663,INPUT_RITASE!$B$5:$B$20000,$B1663,INPUT_RITASE!$C$5:$C$20000,$C1663,INPUT_RITASE!$D$5:$D$20000,$D1663))</f>
        <v/>
      </c>
      <c r="S1663" s="158">
        <f>IF($Q1663=0,0,$R1663*$P1663/$Q1663)</f>
        <v/>
      </c>
    </row>
    <row r="1664">
      <c r="A1664" s="155" t="n">
        <v>46110</v>
      </c>
      <c r="B1664" s="156" t="inlineStr">
        <is>
          <t>06-07</t>
        </is>
      </c>
      <c r="C1664" s="156" t="inlineStr">
        <is>
          <t>EX-755</t>
        </is>
      </c>
      <c r="D1664" s="156" t="inlineStr">
        <is>
          <t>DT-509</t>
        </is>
      </c>
      <c r="E1664" s="156" t="inlineStr">
        <is>
          <t>OB</t>
        </is>
      </c>
      <c r="F1664" s="156" t="n">
        <v>4</v>
      </c>
      <c r="G1664" s="156" t="inlineStr"/>
      <c r="H1664" s="157">
        <f>IF($B1664="","",IF(ISNA(MATCH($B1664,MASTER_JAM!$Q$5:$Q$28,0)),"?",IF(MATCH($B1664,MASTER_JAM!$Q$5:$Q$28,0)&lt;=12,"DS","NS")))</f>
        <v/>
      </c>
      <c r="I1664" s="157">
        <f>IFERROR(INDEX(MASTER_JAM!$B$5:$B$94,MATCH($C1664,MASTER_JAM!$A$5:$A$94,0)),"")</f>
        <v/>
      </c>
      <c r="J1664" s="157">
        <f>IFERROR(INDEX(MASTER_JAM!$E$5:$E$94,MATCH($D1664,MASTER_JAM!$A$5:$A$94,0)),"")</f>
        <v/>
      </c>
      <c r="K1664" s="158">
        <f>IFERROR(INDEX(MASTER_JAM!$J$5:$O$12,MATCH($E1664,MASTER_JAM!$I$5:$I$12,0),MATCH($J1664,MASTER_JAM!$J$4:$O$4,0))+0,0)</f>
        <v/>
      </c>
      <c r="L1664" s="159">
        <f>N($F1664)*$K1664</f>
        <v/>
      </c>
      <c r="M1664" s="157">
        <f>IF($E1664="","",IF(OR($E1664="Coal",$E1664="Dirty Coal"),"MT","BCM"))</f>
        <v/>
      </c>
      <c r="N1664" s="157">
        <f>IF($E1664="","",IF(OR($E1664="Coal",$E1664="Dirty Coal"),"Coal","OB"))</f>
        <v/>
      </c>
      <c r="O1664" s="157">
        <f>IF($F1664="","",IF(COUNTIF(MASTER_JAM!$A$5:$A$94,$C1664)=0,"Digger tidak dikenal",IF($J1664="","Hauler tidak dikenal",IF($H1664="?","Jam salah",IF($K1664=0,"Faktor kosong",IF(SUMIFS(INPUT_DELAY!$E$5:$E$20000,INPUT_DELAY!$A$5:$A$20000,$A1664,INPUT_DELAY!$B$5:$B$20000,$B1664,INPUT_DELAY!$C$5:$C$20000,$C1664)+SUMIFS(INPUT_DELAY!$E$5:$E$20000,INPUT_DELAY!$A$5:$A$20000,$A1664,INPUT_DELAY!$B$5:$B$20000,$B1664,INPUT_DELAY!$C$5:$C$20000,"SEMUA")&gt;=60,"Delay 60 mnt tapi ada ritase","OK"))))))</f>
        <v/>
      </c>
      <c r="P1664" s="158">
        <f>IFERROR(INDEX(MASTER_JAM!$Z$5:$AC$10,MATCH($I1664,MASTER_JAM!$Y$5:$Y$10,0),MATCH($J1664,MASTER_JAM!$Z$4:$AC$4,0))+0,0)</f>
        <v/>
      </c>
      <c r="Q1664" s="158">
        <f>IF($P1664=0,0,$P1664+IFERROR(INDEX(MASTER_JAM!$H$5:$H$94,MATCH($C1664,MASTER_JAM!$A$5:$A$94,0))+0,MASTER_JAM!$AC$15)/1000*(60/MASTER_JAM!$AC$12+60/MASTER_JAM!$AC$13)+MASTER_JAM!$AC$14)</f>
        <v/>
      </c>
      <c r="R1664" s="158">
        <f>IF(N($F1664)=0,0,$F1664/SUMIFS(INPUT_RITASE!$F$5:$F$20000,INPUT_RITASE!$A$5:$A$20000,$A1664,INPUT_RITASE!$B$5:$B$20000,$B1664,INPUT_RITASE!$C$5:$C$20000,$C1664,INPUT_RITASE!$D$5:$D$20000,$D1664))</f>
        <v/>
      </c>
      <c r="S1664" s="158">
        <f>IF($Q1664=0,0,$R1664*$P1664/$Q1664)</f>
        <v/>
      </c>
    </row>
    <row r="1665">
      <c r="A1665" s="155" t="n">
        <v>46110</v>
      </c>
      <c r="B1665" s="156" t="inlineStr">
        <is>
          <t>06-07</t>
        </is>
      </c>
      <c r="C1665" s="156" t="inlineStr">
        <is>
          <t>EX-755</t>
        </is>
      </c>
      <c r="D1665" s="156" t="inlineStr">
        <is>
          <t>DT-504</t>
        </is>
      </c>
      <c r="E1665" s="156" t="inlineStr">
        <is>
          <t>OB</t>
        </is>
      </c>
      <c r="F1665" s="156" t="n">
        <v>4</v>
      </c>
      <c r="G1665" s="156" t="inlineStr"/>
      <c r="H1665" s="157">
        <f>IF($B1665="","",IF(ISNA(MATCH($B1665,MASTER_JAM!$Q$5:$Q$28,0)),"?",IF(MATCH($B1665,MASTER_JAM!$Q$5:$Q$28,0)&lt;=12,"DS","NS")))</f>
        <v/>
      </c>
      <c r="I1665" s="157">
        <f>IFERROR(INDEX(MASTER_JAM!$B$5:$B$94,MATCH($C1665,MASTER_JAM!$A$5:$A$94,0)),"")</f>
        <v/>
      </c>
      <c r="J1665" s="157">
        <f>IFERROR(INDEX(MASTER_JAM!$E$5:$E$94,MATCH($D1665,MASTER_JAM!$A$5:$A$94,0)),"")</f>
        <v/>
      </c>
      <c r="K1665" s="158">
        <f>IFERROR(INDEX(MASTER_JAM!$J$5:$O$12,MATCH($E1665,MASTER_JAM!$I$5:$I$12,0),MATCH($J1665,MASTER_JAM!$J$4:$O$4,0))+0,0)</f>
        <v/>
      </c>
      <c r="L1665" s="159">
        <f>N($F1665)*$K1665</f>
        <v/>
      </c>
      <c r="M1665" s="157">
        <f>IF($E1665="","",IF(OR($E1665="Coal",$E1665="Dirty Coal"),"MT","BCM"))</f>
        <v/>
      </c>
      <c r="N1665" s="157">
        <f>IF($E1665="","",IF(OR($E1665="Coal",$E1665="Dirty Coal"),"Coal","OB"))</f>
        <v/>
      </c>
      <c r="O1665" s="157">
        <f>IF($F1665="","",IF(COUNTIF(MASTER_JAM!$A$5:$A$94,$C1665)=0,"Digger tidak dikenal",IF($J1665="","Hauler tidak dikenal",IF($H1665="?","Jam salah",IF($K1665=0,"Faktor kosong",IF(SUMIFS(INPUT_DELAY!$E$5:$E$20000,INPUT_DELAY!$A$5:$A$20000,$A1665,INPUT_DELAY!$B$5:$B$20000,$B1665,INPUT_DELAY!$C$5:$C$20000,$C1665)+SUMIFS(INPUT_DELAY!$E$5:$E$20000,INPUT_DELAY!$A$5:$A$20000,$A1665,INPUT_DELAY!$B$5:$B$20000,$B1665,INPUT_DELAY!$C$5:$C$20000,"SEMUA")&gt;=60,"Delay 60 mnt tapi ada ritase","OK"))))))</f>
        <v/>
      </c>
      <c r="P1665" s="158">
        <f>IFERROR(INDEX(MASTER_JAM!$Z$5:$AC$10,MATCH($I1665,MASTER_JAM!$Y$5:$Y$10,0),MATCH($J1665,MASTER_JAM!$Z$4:$AC$4,0))+0,0)</f>
        <v/>
      </c>
      <c r="Q1665" s="158">
        <f>IF($P1665=0,0,$P1665+IFERROR(INDEX(MASTER_JAM!$H$5:$H$94,MATCH($C1665,MASTER_JAM!$A$5:$A$94,0))+0,MASTER_JAM!$AC$15)/1000*(60/MASTER_JAM!$AC$12+60/MASTER_JAM!$AC$13)+MASTER_JAM!$AC$14)</f>
        <v/>
      </c>
      <c r="R1665" s="158">
        <f>IF(N($F1665)=0,0,$F1665/SUMIFS(INPUT_RITASE!$F$5:$F$20000,INPUT_RITASE!$A$5:$A$20000,$A1665,INPUT_RITASE!$B$5:$B$20000,$B1665,INPUT_RITASE!$C$5:$C$20000,$C1665,INPUT_RITASE!$D$5:$D$20000,$D1665))</f>
        <v/>
      </c>
      <c r="S1665" s="158">
        <f>IF($Q1665=0,0,$R1665*$P1665/$Q1665)</f>
        <v/>
      </c>
    </row>
    <row r="1666">
      <c r="A1666" s="155" t="n">
        <v>46110</v>
      </c>
      <c r="B1666" s="156" t="inlineStr">
        <is>
          <t>07-08</t>
        </is>
      </c>
      <c r="C1666" s="156" t="inlineStr">
        <is>
          <t>EX-755</t>
        </is>
      </c>
      <c r="D1666" s="156" t="inlineStr">
        <is>
          <t>DT-522</t>
        </is>
      </c>
      <c r="E1666" s="156" t="inlineStr">
        <is>
          <t>OB</t>
        </is>
      </c>
      <c r="F1666" s="156" t="n">
        <v>4</v>
      </c>
      <c r="G1666" s="156" t="inlineStr"/>
      <c r="H1666" s="157">
        <f>IF($B1666="","",IF(ISNA(MATCH($B1666,MASTER_JAM!$Q$5:$Q$28,0)),"?",IF(MATCH($B1666,MASTER_JAM!$Q$5:$Q$28,0)&lt;=12,"DS","NS")))</f>
        <v/>
      </c>
      <c r="I1666" s="157">
        <f>IFERROR(INDEX(MASTER_JAM!$B$5:$B$94,MATCH($C1666,MASTER_JAM!$A$5:$A$94,0)),"")</f>
        <v/>
      </c>
      <c r="J1666" s="157">
        <f>IFERROR(INDEX(MASTER_JAM!$E$5:$E$94,MATCH($D1666,MASTER_JAM!$A$5:$A$94,0)),"")</f>
        <v/>
      </c>
      <c r="K1666" s="158">
        <f>IFERROR(INDEX(MASTER_JAM!$J$5:$O$12,MATCH($E1666,MASTER_JAM!$I$5:$I$12,0),MATCH($J1666,MASTER_JAM!$J$4:$O$4,0))+0,0)</f>
        <v/>
      </c>
      <c r="L1666" s="159">
        <f>N($F1666)*$K1666</f>
        <v/>
      </c>
      <c r="M1666" s="157">
        <f>IF($E1666="","",IF(OR($E1666="Coal",$E1666="Dirty Coal"),"MT","BCM"))</f>
        <v/>
      </c>
      <c r="N1666" s="157">
        <f>IF($E1666="","",IF(OR($E1666="Coal",$E1666="Dirty Coal"),"Coal","OB"))</f>
        <v/>
      </c>
      <c r="O1666" s="157">
        <f>IF($F1666="","",IF(COUNTIF(MASTER_JAM!$A$5:$A$94,$C1666)=0,"Digger tidak dikenal",IF($J1666="","Hauler tidak dikenal",IF($H1666="?","Jam salah",IF($K1666=0,"Faktor kosong",IF(SUMIFS(INPUT_DELAY!$E$5:$E$20000,INPUT_DELAY!$A$5:$A$20000,$A1666,INPUT_DELAY!$B$5:$B$20000,$B1666,INPUT_DELAY!$C$5:$C$20000,$C1666)+SUMIFS(INPUT_DELAY!$E$5:$E$20000,INPUT_DELAY!$A$5:$A$20000,$A1666,INPUT_DELAY!$B$5:$B$20000,$B1666,INPUT_DELAY!$C$5:$C$20000,"SEMUA")&gt;=60,"Delay 60 mnt tapi ada ritase","OK"))))))</f>
        <v/>
      </c>
      <c r="P1666" s="158">
        <f>IFERROR(INDEX(MASTER_JAM!$Z$5:$AC$10,MATCH($I1666,MASTER_JAM!$Y$5:$Y$10,0),MATCH($J1666,MASTER_JAM!$Z$4:$AC$4,0))+0,0)</f>
        <v/>
      </c>
      <c r="Q1666" s="158">
        <f>IF($P1666=0,0,$P1666+IFERROR(INDEX(MASTER_JAM!$H$5:$H$94,MATCH($C1666,MASTER_JAM!$A$5:$A$94,0))+0,MASTER_JAM!$AC$15)/1000*(60/MASTER_JAM!$AC$12+60/MASTER_JAM!$AC$13)+MASTER_JAM!$AC$14)</f>
        <v/>
      </c>
      <c r="R1666" s="158">
        <f>IF(N($F1666)=0,0,$F1666/SUMIFS(INPUT_RITASE!$F$5:$F$20000,INPUT_RITASE!$A$5:$A$20000,$A1666,INPUT_RITASE!$B$5:$B$20000,$B1666,INPUT_RITASE!$C$5:$C$20000,$C1666,INPUT_RITASE!$D$5:$D$20000,$D1666))</f>
        <v/>
      </c>
      <c r="S1666" s="158">
        <f>IF($Q1666=0,0,$R1666*$P1666/$Q1666)</f>
        <v/>
      </c>
    </row>
    <row r="1667">
      <c r="A1667" s="155" t="n">
        <v>46110</v>
      </c>
      <c r="B1667" s="156" t="inlineStr">
        <is>
          <t>07-08</t>
        </is>
      </c>
      <c r="C1667" s="156" t="inlineStr">
        <is>
          <t>EX-755</t>
        </is>
      </c>
      <c r="D1667" s="156" t="inlineStr">
        <is>
          <t>DT-524</t>
        </is>
      </c>
      <c r="E1667" s="156" t="inlineStr">
        <is>
          <t>OB</t>
        </is>
      </c>
      <c r="F1667" s="156" t="n">
        <v>3</v>
      </c>
      <c r="G1667" s="156" t="inlineStr"/>
      <c r="H1667" s="157">
        <f>IF($B1667="","",IF(ISNA(MATCH($B1667,MASTER_JAM!$Q$5:$Q$28,0)),"?",IF(MATCH($B1667,MASTER_JAM!$Q$5:$Q$28,0)&lt;=12,"DS","NS")))</f>
        <v/>
      </c>
      <c r="I1667" s="157">
        <f>IFERROR(INDEX(MASTER_JAM!$B$5:$B$94,MATCH($C1667,MASTER_JAM!$A$5:$A$94,0)),"")</f>
        <v/>
      </c>
      <c r="J1667" s="157">
        <f>IFERROR(INDEX(MASTER_JAM!$E$5:$E$94,MATCH($D1667,MASTER_JAM!$A$5:$A$94,0)),"")</f>
        <v/>
      </c>
      <c r="K1667" s="158">
        <f>IFERROR(INDEX(MASTER_JAM!$J$5:$O$12,MATCH($E1667,MASTER_JAM!$I$5:$I$12,0),MATCH($J1667,MASTER_JAM!$J$4:$O$4,0))+0,0)</f>
        <v/>
      </c>
      <c r="L1667" s="159">
        <f>N($F1667)*$K1667</f>
        <v/>
      </c>
      <c r="M1667" s="157">
        <f>IF($E1667="","",IF(OR($E1667="Coal",$E1667="Dirty Coal"),"MT","BCM"))</f>
        <v/>
      </c>
      <c r="N1667" s="157">
        <f>IF($E1667="","",IF(OR($E1667="Coal",$E1667="Dirty Coal"),"Coal","OB"))</f>
        <v/>
      </c>
      <c r="O1667" s="157">
        <f>IF($F1667="","",IF(COUNTIF(MASTER_JAM!$A$5:$A$94,$C1667)=0,"Digger tidak dikenal",IF($J1667="","Hauler tidak dikenal",IF($H1667="?","Jam salah",IF($K1667=0,"Faktor kosong",IF(SUMIFS(INPUT_DELAY!$E$5:$E$20000,INPUT_DELAY!$A$5:$A$20000,$A1667,INPUT_DELAY!$B$5:$B$20000,$B1667,INPUT_DELAY!$C$5:$C$20000,$C1667)+SUMIFS(INPUT_DELAY!$E$5:$E$20000,INPUT_DELAY!$A$5:$A$20000,$A1667,INPUT_DELAY!$B$5:$B$20000,$B1667,INPUT_DELAY!$C$5:$C$20000,"SEMUA")&gt;=60,"Delay 60 mnt tapi ada ritase","OK"))))))</f>
        <v/>
      </c>
      <c r="P1667" s="158">
        <f>IFERROR(INDEX(MASTER_JAM!$Z$5:$AC$10,MATCH($I1667,MASTER_JAM!$Y$5:$Y$10,0),MATCH($J1667,MASTER_JAM!$Z$4:$AC$4,0))+0,0)</f>
        <v/>
      </c>
      <c r="Q1667" s="158">
        <f>IF($P1667=0,0,$P1667+IFERROR(INDEX(MASTER_JAM!$H$5:$H$94,MATCH($C1667,MASTER_JAM!$A$5:$A$94,0))+0,MASTER_JAM!$AC$15)/1000*(60/MASTER_JAM!$AC$12+60/MASTER_JAM!$AC$13)+MASTER_JAM!$AC$14)</f>
        <v/>
      </c>
      <c r="R1667" s="158">
        <f>IF(N($F1667)=0,0,$F1667/SUMIFS(INPUT_RITASE!$F$5:$F$20000,INPUT_RITASE!$A$5:$A$20000,$A1667,INPUT_RITASE!$B$5:$B$20000,$B1667,INPUT_RITASE!$C$5:$C$20000,$C1667,INPUT_RITASE!$D$5:$D$20000,$D1667))</f>
        <v/>
      </c>
      <c r="S1667" s="158">
        <f>IF($Q1667=0,0,$R1667*$P1667/$Q1667)</f>
        <v/>
      </c>
    </row>
    <row r="1668">
      <c r="A1668" s="155" t="n">
        <v>46110</v>
      </c>
      <c r="B1668" s="156" t="inlineStr">
        <is>
          <t>07-08</t>
        </is>
      </c>
      <c r="C1668" s="156" t="inlineStr">
        <is>
          <t>EX-755</t>
        </is>
      </c>
      <c r="D1668" s="156" t="inlineStr">
        <is>
          <t>DT-501</t>
        </is>
      </c>
      <c r="E1668" s="156" t="inlineStr">
        <is>
          <t>OB</t>
        </is>
      </c>
      <c r="F1668" s="156" t="n">
        <v>3</v>
      </c>
      <c r="G1668" s="156" t="inlineStr"/>
      <c r="H1668" s="157">
        <f>IF($B1668="","",IF(ISNA(MATCH($B1668,MASTER_JAM!$Q$5:$Q$28,0)),"?",IF(MATCH($B1668,MASTER_JAM!$Q$5:$Q$28,0)&lt;=12,"DS","NS")))</f>
        <v/>
      </c>
      <c r="I1668" s="157">
        <f>IFERROR(INDEX(MASTER_JAM!$B$5:$B$94,MATCH($C1668,MASTER_JAM!$A$5:$A$94,0)),"")</f>
        <v/>
      </c>
      <c r="J1668" s="157">
        <f>IFERROR(INDEX(MASTER_JAM!$E$5:$E$94,MATCH($D1668,MASTER_JAM!$A$5:$A$94,0)),"")</f>
        <v/>
      </c>
      <c r="K1668" s="158">
        <f>IFERROR(INDEX(MASTER_JAM!$J$5:$O$12,MATCH($E1668,MASTER_JAM!$I$5:$I$12,0),MATCH($J1668,MASTER_JAM!$J$4:$O$4,0))+0,0)</f>
        <v/>
      </c>
      <c r="L1668" s="159">
        <f>N($F1668)*$K1668</f>
        <v/>
      </c>
      <c r="M1668" s="157">
        <f>IF($E1668="","",IF(OR($E1668="Coal",$E1668="Dirty Coal"),"MT","BCM"))</f>
        <v/>
      </c>
      <c r="N1668" s="157">
        <f>IF($E1668="","",IF(OR($E1668="Coal",$E1668="Dirty Coal"),"Coal","OB"))</f>
        <v/>
      </c>
      <c r="O1668" s="157">
        <f>IF($F1668="","",IF(COUNTIF(MASTER_JAM!$A$5:$A$94,$C1668)=0,"Digger tidak dikenal",IF($J1668="","Hauler tidak dikenal",IF($H1668="?","Jam salah",IF($K1668=0,"Faktor kosong",IF(SUMIFS(INPUT_DELAY!$E$5:$E$20000,INPUT_DELAY!$A$5:$A$20000,$A1668,INPUT_DELAY!$B$5:$B$20000,$B1668,INPUT_DELAY!$C$5:$C$20000,$C1668)+SUMIFS(INPUT_DELAY!$E$5:$E$20000,INPUT_DELAY!$A$5:$A$20000,$A1668,INPUT_DELAY!$B$5:$B$20000,$B1668,INPUT_DELAY!$C$5:$C$20000,"SEMUA")&gt;=60,"Delay 60 mnt tapi ada ritase","OK"))))))</f>
        <v/>
      </c>
      <c r="P1668" s="158">
        <f>IFERROR(INDEX(MASTER_JAM!$Z$5:$AC$10,MATCH($I1668,MASTER_JAM!$Y$5:$Y$10,0),MATCH($J1668,MASTER_JAM!$Z$4:$AC$4,0))+0,0)</f>
        <v/>
      </c>
      <c r="Q1668" s="158">
        <f>IF($P1668=0,0,$P1668+IFERROR(INDEX(MASTER_JAM!$H$5:$H$94,MATCH($C1668,MASTER_JAM!$A$5:$A$94,0))+0,MASTER_JAM!$AC$15)/1000*(60/MASTER_JAM!$AC$12+60/MASTER_JAM!$AC$13)+MASTER_JAM!$AC$14)</f>
        <v/>
      </c>
      <c r="R1668" s="158">
        <f>IF(N($F1668)=0,0,$F1668/SUMIFS(INPUT_RITASE!$F$5:$F$20000,INPUT_RITASE!$A$5:$A$20000,$A1668,INPUT_RITASE!$B$5:$B$20000,$B1668,INPUT_RITASE!$C$5:$C$20000,$C1668,INPUT_RITASE!$D$5:$D$20000,$D1668))</f>
        <v/>
      </c>
      <c r="S1668" s="158">
        <f>IF($Q1668=0,0,$R1668*$P1668/$Q1668)</f>
        <v/>
      </c>
    </row>
    <row r="1669">
      <c r="A1669" s="155" t="n">
        <v>46110</v>
      </c>
      <c r="B1669" s="156" t="inlineStr">
        <is>
          <t>08-09</t>
        </is>
      </c>
      <c r="C1669" s="156" t="inlineStr">
        <is>
          <t>EX-755</t>
        </is>
      </c>
      <c r="D1669" s="156" t="inlineStr">
        <is>
          <t>DT-520</t>
        </is>
      </c>
      <c r="E1669" s="156" t="inlineStr">
        <is>
          <t>OB</t>
        </is>
      </c>
      <c r="F1669" s="156" t="n">
        <v>4</v>
      </c>
      <c r="G1669" s="156" t="inlineStr"/>
      <c r="H1669" s="157">
        <f>IF($B1669="","",IF(ISNA(MATCH($B1669,MASTER_JAM!$Q$5:$Q$28,0)),"?",IF(MATCH($B1669,MASTER_JAM!$Q$5:$Q$28,0)&lt;=12,"DS","NS")))</f>
        <v/>
      </c>
      <c r="I1669" s="157">
        <f>IFERROR(INDEX(MASTER_JAM!$B$5:$B$94,MATCH($C1669,MASTER_JAM!$A$5:$A$94,0)),"")</f>
        <v/>
      </c>
      <c r="J1669" s="157">
        <f>IFERROR(INDEX(MASTER_JAM!$E$5:$E$94,MATCH($D1669,MASTER_JAM!$A$5:$A$94,0)),"")</f>
        <v/>
      </c>
      <c r="K1669" s="158">
        <f>IFERROR(INDEX(MASTER_JAM!$J$5:$O$12,MATCH($E1669,MASTER_JAM!$I$5:$I$12,0),MATCH($J1669,MASTER_JAM!$J$4:$O$4,0))+0,0)</f>
        <v/>
      </c>
      <c r="L1669" s="159">
        <f>N($F1669)*$K1669</f>
        <v/>
      </c>
      <c r="M1669" s="157">
        <f>IF($E1669="","",IF(OR($E1669="Coal",$E1669="Dirty Coal"),"MT","BCM"))</f>
        <v/>
      </c>
      <c r="N1669" s="157">
        <f>IF($E1669="","",IF(OR($E1669="Coal",$E1669="Dirty Coal"),"Coal","OB"))</f>
        <v/>
      </c>
      <c r="O1669" s="157">
        <f>IF($F1669="","",IF(COUNTIF(MASTER_JAM!$A$5:$A$94,$C1669)=0,"Digger tidak dikenal",IF($J1669="","Hauler tidak dikenal",IF($H1669="?","Jam salah",IF($K1669=0,"Faktor kosong",IF(SUMIFS(INPUT_DELAY!$E$5:$E$20000,INPUT_DELAY!$A$5:$A$20000,$A1669,INPUT_DELAY!$B$5:$B$20000,$B1669,INPUT_DELAY!$C$5:$C$20000,$C1669)+SUMIFS(INPUT_DELAY!$E$5:$E$20000,INPUT_DELAY!$A$5:$A$20000,$A1669,INPUT_DELAY!$B$5:$B$20000,$B1669,INPUT_DELAY!$C$5:$C$20000,"SEMUA")&gt;=60,"Delay 60 mnt tapi ada ritase","OK"))))))</f>
        <v/>
      </c>
      <c r="P1669" s="158">
        <f>IFERROR(INDEX(MASTER_JAM!$Z$5:$AC$10,MATCH($I1669,MASTER_JAM!$Y$5:$Y$10,0),MATCH($J1669,MASTER_JAM!$Z$4:$AC$4,0))+0,0)</f>
        <v/>
      </c>
      <c r="Q1669" s="158">
        <f>IF($P1669=0,0,$P1669+IFERROR(INDEX(MASTER_JAM!$H$5:$H$94,MATCH($C1669,MASTER_JAM!$A$5:$A$94,0))+0,MASTER_JAM!$AC$15)/1000*(60/MASTER_JAM!$AC$12+60/MASTER_JAM!$AC$13)+MASTER_JAM!$AC$14)</f>
        <v/>
      </c>
      <c r="R1669" s="158">
        <f>IF(N($F1669)=0,0,$F1669/SUMIFS(INPUT_RITASE!$F$5:$F$20000,INPUT_RITASE!$A$5:$A$20000,$A1669,INPUT_RITASE!$B$5:$B$20000,$B1669,INPUT_RITASE!$C$5:$C$20000,$C1669,INPUT_RITASE!$D$5:$D$20000,$D1669))</f>
        <v/>
      </c>
      <c r="S1669" s="158">
        <f>IF($Q1669=0,0,$R1669*$P1669/$Q1669)</f>
        <v/>
      </c>
    </row>
    <row r="1670">
      <c r="A1670" s="155" t="n">
        <v>46110</v>
      </c>
      <c r="B1670" s="156" t="inlineStr">
        <is>
          <t>08-09</t>
        </is>
      </c>
      <c r="C1670" s="156" t="inlineStr">
        <is>
          <t>EX-755</t>
        </is>
      </c>
      <c r="D1670" s="156" t="inlineStr">
        <is>
          <t>DT-515</t>
        </is>
      </c>
      <c r="E1670" s="156" t="inlineStr">
        <is>
          <t>OB</t>
        </is>
      </c>
      <c r="F1670" s="156" t="n">
        <v>4</v>
      </c>
      <c r="G1670" s="156" t="inlineStr"/>
      <c r="H1670" s="157">
        <f>IF($B1670="","",IF(ISNA(MATCH($B1670,MASTER_JAM!$Q$5:$Q$28,0)),"?",IF(MATCH($B1670,MASTER_JAM!$Q$5:$Q$28,0)&lt;=12,"DS","NS")))</f>
        <v/>
      </c>
      <c r="I1670" s="157">
        <f>IFERROR(INDEX(MASTER_JAM!$B$5:$B$94,MATCH($C1670,MASTER_JAM!$A$5:$A$94,0)),"")</f>
        <v/>
      </c>
      <c r="J1670" s="157">
        <f>IFERROR(INDEX(MASTER_JAM!$E$5:$E$94,MATCH($D1670,MASTER_JAM!$A$5:$A$94,0)),"")</f>
        <v/>
      </c>
      <c r="K1670" s="158">
        <f>IFERROR(INDEX(MASTER_JAM!$J$5:$O$12,MATCH($E1670,MASTER_JAM!$I$5:$I$12,0),MATCH($J1670,MASTER_JAM!$J$4:$O$4,0))+0,0)</f>
        <v/>
      </c>
      <c r="L1670" s="159">
        <f>N($F1670)*$K1670</f>
        <v/>
      </c>
      <c r="M1670" s="157">
        <f>IF($E1670="","",IF(OR($E1670="Coal",$E1670="Dirty Coal"),"MT","BCM"))</f>
        <v/>
      </c>
      <c r="N1670" s="157">
        <f>IF($E1670="","",IF(OR($E1670="Coal",$E1670="Dirty Coal"),"Coal","OB"))</f>
        <v/>
      </c>
      <c r="O1670" s="157">
        <f>IF($F1670="","",IF(COUNTIF(MASTER_JAM!$A$5:$A$94,$C1670)=0,"Digger tidak dikenal",IF($J1670="","Hauler tidak dikenal",IF($H1670="?","Jam salah",IF($K1670=0,"Faktor kosong",IF(SUMIFS(INPUT_DELAY!$E$5:$E$20000,INPUT_DELAY!$A$5:$A$20000,$A1670,INPUT_DELAY!$B$5:$B$20000,$B1670,INPUT_DELAY!$C$5:$C$20000,$C1670)+SUMIFS(INPUT_DELAY!$E$5:$E$20000,INPUT_DELAY!$A$5:$A$20000,$A1670,INPUT_DELAY!$B$5:$B$20000,$B1670,INPUT_DELAY!$C$5:$C$20000,"SEMUA")&gt;=60,"Delay 60 mnt tapi ada ritase","OK"))))))</f>
        <v/>
      </c>
      <c r="P1670" s="158">
        <f>IFERROR(INDEX(MASTER_JAM!$Z$5:$AC$10,MATCH($I1670,MASTER_JAM!$Y$5:$Y$10,0),MATCH($J1670,MASTER_JAM!$Z$4:$AC$4,0))+0,0)</f>
        <v/>
      </c>
      <c r="Q1670" s="158">
        <f>IF($P1670=0,0,$P1670+IFERROR(INDEX(MASTER_JAM!$H$5:$H$94,MATCH($C1670,MASTER_JAM!$A$5:$A$94,0))+0,MASTER_JAM!$AC$15)/1000*(60/MASTER_JAM!$AC$12+60/MASTER_JAM!$AC$13)+MASTER_JAM!$AC$14)</f>
        <v/>
      </c>
      <c r="R1670" s="158">
        <f>IF(N($F1670)=0,0,$F1670/SUMIFS(INPUT_RITASE!$F$5:$F$20000,INPUT_RITASE!$A$5:$A$20000,$A1670,INPUT_RITASE!$B$5:$B$20000,$B1670,INPUT_RITASE!$C$5:$C$20000,$C1670,INPUT_RITASE!$D$5:$D$20000,$D1670))</f>
        <v/>
      </c>
      <c r="S1670" s="158">
        <f>IF($Q1670=0,0,$R1670*$P1670/$Q1670)</f>
        <v/>
      </c>
    </row>
    <row r="1671">
      <c r="A1671" s="155" t="n">
        <v>46110</v>
      </c>
      <c r="B1671" s="156" t="inlineStr">
        <is>
          <t>09-10</t>
        </is>
      </c>
      <c r="C1671" s="156" t="inlineStr">
        <is>
          <t>EX-755</t>
        </is>
      </c>
      <c r="D1671" s="156" t="inlineStr">
        <is>
          <t>DT-522</t>
        </is>
      </c>
      <c r="E1671" s="156" t="inlineStr">
        <is>
          <t>Coal</t>
        </is>
      </c>
      <c r="F1671" s="156" t="n">
        <v>4</v>
      </c>
      <c r="G1671" s="156" t="inlineStr"/>
      <c r="H1671" s="157">
        <f>IF($B1671="","",IF(ISNA(MATCH($B1671,MASTER_JAM!$Q$5:$Q$28,0)),"?",IF(MATCH($B1671,MASTER_JAM!$Q$5:$Q$28,0)&lt;=12,"DS","NS")))</f>
        <v/>
      </c>
      <c r="I1671" s="157">
        <f>IFERROR(INDEX(MASTER_JAM!$B$5:$B$94,MATCH($C1671,MASTER_JAM!$A$5:$A$94,0)),"")</f>
        <v/>
      </c>
      <c r="J1671" s="157">
        <f>IFERROR(INDEX(MASTER_JAM!$E$5:$E$94,MATCH($D1671,MASTER_JAM!$A$5:$A$94,0)),"")</f>
        <v/>
      </c>
      <c r="K1671" s="158">
        <f>IFERROR(INDEX(MASTER_JAM!$J$5:$O$12,MATCH($E1671,MASTER_JAM!$I$5:$I$12,0),MATCH($J1671,MASTER_JAM!$J$4:$O$4,0))+0,0)</f>
        <v/>
      </c>
      <c r="L1671" s="159">
        <f>N($F1671)*$K1671</f>
        <v/>
      </c>
      <c r="M1671" s="157">
        <f>IF($E1671="","",IF(OR($E1671="Coal",$E1671="Dirty Coal"),"MT","BCM"))</f>
        <v/>
      </c>
      <c r="N1671" s="157">
        <f>IF($E1671="","",IF(OR($E1671="Coal",$E1671="Dirty Coal"),"Coal","OB"))</f>
        <v/>
      </c>
      <c r="O1671" s="157">
        <f>IF($F1671="","",IF(COUNTIF(MASTER_JAM!$A$5:$A$94,$C1671)=0,"Digger tidak dikenal",IF($J1671="","Hauler tidak dikenal",IF($H1671="?","Jam salah",IF($K1671=0,"Faktor kosong",IF(SUMIFS(INPUT_DELAY!$E$5:$E$20000,INPUT_DELAY!$A$5:$A$20000,$A1671,INPUT_DELAY!$B$5:$B$20000,$B1671,INPUT_DELAY!$C$5:$C$20000,$C1671)+SUMIFS(INPUT_DELAY!$E$5:$E$20000,INPUT_DELAY!$A$5:$A$20000,$A1671,INPUT_DELAY!$B$5:$B$20000,$B1671,INPUT_DELAY!$C$5:$C$20000,"SEMUA")&gt;=60,"Delay 60 mnt tapi ada ritase","OK"))))))</f>
        <v/>
      </c>
      <c r="P1671" s="158">
        <f>IFERROR(INDEX(MASTER_JAM!$Z$5:$AC$10,MATCH($I1671,MASTER_JAM!$Y$5:$Y$10,0),MATCH($J1671,MASTER_JAM!$Z$4:$AC$4,0))+0,0)</f>
        <v/>
      </c>
      <c r="Q1671" s="158">
        <f>IF($P1671=0,0,$P1671+IFERROR(INDEX(MASTER_JAM!$H$5:$H$94,MATCH($C1671,MASTER_JAM!$A$5:$A$94,0))+0,MASTER_JAM!$AC$15)/1000*(60/MASTER_JAM!$AC$12+60/MASTER_JAM!$AC$13)+MASTER_JAM!$AC$14)</f>
        <v/>
      </c>
      <c r="R1671" s="158">
        <f>IF(N($F1671)=0,0,$F1671/SUMIFS(INPUT_RITASE!$F$5:$F$20000,INPUT_RITASE!$A$5:$A$20000,$A1671,INPUT_RITASE!$B$5:$B$20000,$B1671,INPUT_RITASE!$C$5:$C$20000,$C1671,INPUT_RITASE!$D$5:$D$20000,$D1671))</f>
        <v/>
      </c>
      <c r="S1671" s="158">
        <f>IF($Q1671=0,0,$R1671*$P1671/$Q1671)</f>
        <v/>
      </c>
    </row>
    <row r="1672">
      <c r="A1672" s="155" t="n">
        <v>46110</v>
      </c>
      <c r="B1672" s="156" t="inlineStr">
        <is>
          <t>09-10</t>
        </is>
      </c>
      <c r="C1672" s="156" t="inlineStr">
        <is>
          <t>EX-755</t>
        </is>
      </c>
      <c r="D1672" s="156" t="inlineStr">
        <is>
          <t>DT-515</t>
        </is>
      </c>
      <c r="E1672" s="156" t="inlineStr">
        <is>
          <t>Coal</t>
        </is>
      </c>
      <c r="F1672" s="156" t="n">
        <v>4</v>
      </c>
      <c r="G1672" s="156" t="inlineStr"/>
      <c r="H1672" s="157">
        <f>IF($B1672="","",IF(ISNA(MATCH($B1672,MASTER_JAM!$Q$5:$Q$28,0)),"?",IF(MATCH($B1672,MASTER_JAM!$Q$5:$Q$28,0)&lt;=12,"DS","NS")))</f>
        <v/>
      </c>
      <c r="I1672" s="157">
        <f>IFERROR(INDEX(MASTER_JAM!$B$5:$B$94,MATCH($C1672,MASTER_JAM!$A$5:$A$94,0)),"")</f>
        <v/>
      </c>
      <c r="J1672" s="157">
        <f>IFERROR(INDEX(MASTER_JAM!$E$5:$E$94,MATCH($D1672,MASTER_JAM!$A$5:$A$94,0)),"")</f>
        <v/>
      </c>
      <c r="K1672" s="158">
        <f>IFERROR(INDEX(MASTER_JAM!$J$5:$O$12,MATCH($E1672,MASTER_JAM!$I$5:$I$12,0),MATCH($J1672,MASTER_JAM!$J$4:$O$4,0))+0,0)</f>
        <v/>
      </c>
      <c r="L1672" s="159">
        <f>N($F1672)*$K1672</f>
        <v/>
      </c>
      <c r="M1672" s="157">
        <f>IF($E1672="","",IF(OR($E1672="Coal",$E1672="Dirty Coal"),"MT","BCM"))</f>
        <v/>
      </c>
      <c r="N1672" s="157">
        <f>IF($E1672="","",IF(OR($E1672="Coal",$E1672="Dirty Coal"),"Coal","OB"))</f>
        <v/>
      </c>
      <c r="O1672" s="157">
        <f>IF($F1672="","",IF(COUNTIF(MASTER_JAM!$A$5:$A$94,$C1672)=0,"Digger tidak dikenal",IF($J1672="","Hauler tidak dikenal",IF($H1672="?","Jam salah",IF($K1672=0,"Faktor kosong",IF(SUMIFS(INPUT_DELAY!$E$5:$E$20000,INPUT_DELAY!$A$5:$A$20000,$A1672,INPUT_DELAY!$B$5:$B$20000,$B1672,INPUT_DELAY!$C$5:$C$20000,$C1672)+SUMIFS(INPUT_DELAY!$E$5:$E$20000,INPUT_DELAY!$A$5:$A$20000,$A1672,INPUT_DELAY!$B$5:$B$20000,$B1672,INPUT_DELAY!$C$5:$C$20000,"SEMUA")&gt;=60,"Delay 60 mnt tapi ada ritase","OK"))))))</f>
        <v/>
      </c>
      <c r="P1672" s="158">
        <f>IFERROR(INDEX(MASTER_JAM!$Z$5:$AC$10,MATCH($I1672,MASTER_JAM!$Y$5:$Y$10,0),MATCH($J1672,MASTER_JAM!$Z$4:$AC$4,0))+0,0)</f>
        <v/>
      </c>
      <c r="Q1672" s="158">
        <f>IF($P1672=0,0,$P1672+IFERROR(INDEX(MASTER_JAM!$H$5:$H$94,MATCH($C1672,MASTER_JAM!$A$5:$A$94,0))+0,MASTER_JAM!$AC$15)/1000*(60/MASTER_JAM!$AC$12+60/MASTER_JAM!$AC$13)+MASTER_JAM!$AC$14)</f>
        <v/>
      </c>
      <c r="R1672" s="158">
        <f>IF(N($F1672)=0,0,$F1672/SUMIFS(INPUT_RITASE!$F$5:$F$20000,INPUT_RITASE!$A$5:$A$20000,$A1672,INPUT_RITASE!$B$5:$B$20000,$B1672,INPUT_RITASE!$C$5:$C$20000,$C1672,INPUT_RITASE!$D$5:$D$20000,$D1672))</f>
        <v/>
      </c>
      <c r="S1672" s="158">
        <f>IF($Q1672=0,0,$R1672*$P1672/$Q1672)</f>
        <v/>
      </c>
    </row>
    <row r="1673">
      <c r="A1673" s="155" t="n">
        <v>46110</v>
      </c>
      <c r="B1673" s="156" t="inlineStr">
        <is>
          <t>09-10</t>
        </is>
      </c>
      <c r="C1673" s="156" t="inlineStr">
        <is>
          <t>EX-755</t>
        </is>
      </c>
      <c r="D1673" s="156" t="inlineStr">
        <is>
          <t>DT-528</t>
        </is>
      </c>
      <c r="E1673" s="156" t="inlineStr">
        <is>
          <t>Coal</t>
        </is>
      </c>
      <c r="F1673" s="156" t="n">
        <v>4</v>
      </c>
      <c r="G1673" s="156" t="inlineStr"/>
      <c r="H1673" s="157">
        <f>IF($B1673="","",IF(ISNA(MATCH($B1673,MASTER_JAM!$Q$5:$Q$28,0)),"?",IF(MATCH($B1673,MASTER_JAM!$Q$5:$Q$28,0)&lt;=12,"DS","NS")))</f>
        <v/>
      </c>
      <c r="I1673" s="157">
        <f>IFERROR(INDEX(MASTER_JAM!$B$5:$B$94,MATCH($C1673,MASTER_JAM!$A$5:$A$94,0)),"")</f>
        <v/>
      </c>
      <c r="J1673" s="157">
        <f>IFERROR(INDEX(MASTER_JAM!$E$5:$E$94,MATCH($D1673,MASTER_JAM!$A$5:$A$94,0)),"")</f>
        <v/>
      </c>
      <c r="K1673" s="158">
        <f>IFERROR(INDEX(MASTER_JAM!$J$5:$O$12,MATCH($E1673,MASTER_JAM!$I$5:$I$12,0),MATCH($J1673,MASTER_JAM!$J$4:$O$4,0))+0,0)</f>
        <v/>
      </c>
      <c r="L1673" s="159">
        <f>N($F1673)*$K1673</f>
        <v/>
      </c>
      <c r="M1673" s="157">
        <f>IF($E1673="","",IF(OR($E1673="Coal",$E1673="Dirty Coal"),"MT","BCM"))</f>
        <v/>
      </c>
      <c r="N1673" s="157">
        <f>IF($E1673="","",IF(OR($E1673="Coal",$E1673="Dirty Coal"),"Coal","OB"))</f>
        <v/>
      </c>
      <c r="O1673" s="157">
        <f>IF($F1673="","",IF(COUNTIF(MASTER_JAM!$A$5:$A$94,$C1673)=0,"Digger tidak dikenal",IF($J1673="","Hauler tidak dikenal",IF($H1673="?","Jam salah",IF($K1673=0,"Faktor kosong",IF(SUMIFS(INPUT_DELAY!$E$5:$E$20000,INPUT_DELAY!$A$5:$A$20000,$A1673,INPUT_DELAY!$B$5:$B$20000,$B1673,INPUT_DELAY!$C$5:$C$20000,$C1673)+SUMIFS(INPUT_DELAY!$E$5:$E$20000,INPUT_DELAY!$A$5:$A$20000,$A1673,INPUT_DELAY!$B$5:$B$20000,$B1673,INPUT_DELAY!$C$5:$C$20000,"SEMUA")&gt;=60,"Delay 60 mnt tapi ada ritase","OK"))))))</f>
        <v/>
      </c>
      <c r="P1673" s="158">
        <f>IFERROR(INDEX(MASTER_JAM!$Z$5:$AC$10,MATCH($I1673,MASTER_JAM!$Y$5:$Y$10,0),MATCH($J1673,MASTER_JAM!$Z$4:$AC$4,0))+0,0)</f>
        <v/>
      </c>
      <c r="Q1673" s="158">
        <f>IF($P1673=0,0,$P1673+IFERROR(INDEX(MASTER_JAM!$H$5:$H$94,MATCH($C1673,MASTER_JAM!$A$5:$A$94,0))+0,MASTER_JAM!$AC$15)/1000*(60/MASTER_JAM!$AC$12+60/MASTER_JAM!$AC$13)+MASTER_JAM!$AC$14)</f>
        <v/>
      </c>
      <c r="R1673" s="158">
        <f>IF(N($F1673)=0,0,$F1673/SUMIFS(INPUT_RITASE!$F$5:$F$20000,INPUT_RITASE!$A$5:$A$20000,$A1673,INPUT_RITASE!$B$5:$B$20000,$B1673,INPUT_RITASE!$C$5:$C$20000,$C1673,INPUT_RITASE!$D$5:$D$20000,$D1673))</f>
        <v/>
      </c>
      <c r="S1673" s="158">
        <f>IF($Q1673=0,0,$R1673*$P1673/$Q1673)</f>
        <v/>
      </c>
    </row>
    <row r="1674">
      <c r="A1674" s="155" t="n">
        <v>46110</v>
      </c>
      <c r="B1674" s="156" t="inlineStr">
        <is>
          <t>09-10</t>
        </is>
      </c>
      <c r="C1674" s="156" t="inlineStr">
        <is>
          <t>EX-755</t>
        </is>
      </c>
      <c r="D1674" s="156" t="inlineStr">
        <is>
          <t>DT-526</t>
        </is>
      </c>
      <c r="E1674" s="156" t="inlineStr">
        <is>
          <t>Coal</t>
        </is>
      </c>
      <c r="F1674" s="156" t="n">
        <v>4</v>
      </c>
      <c r="G1674" s="156" t="inlineStr"/>
      <c r="H1674" s="157">
        <f>IF($B1674="","",IF(ISNA(MATCH($B1674,MASTER_JAM!$Q$5:$Q$28,0)),"?",IF(MATCH($B1674,MASTER_JAM!$Q$5:$Q$28,0)&lt;=12,"DS","NS")))</f>
        <v/>
      </c>
      <c r="I1674" s="157">
        <f>IFERROR(INDEX(MASTER_JAM!$B$5:$B$94,MATCH($C1674,MASTER_JAM!$A$5:$A$94,0)),"")</f>
        <v/>
      </c>
      <c r="J1674" s="157">
        <f>IFERROR(INDEX(MASTER_JAM!$E$5:$E$94,MATCH($D1674,MASTER_JAM!$A$5:$A$94,0)),"")</f>
        <v/>
      </c>
      <c r="K1674" s="158">
        <f>IFERROR(INDEX(MASTER_JAM!$J$5:$O$12,MATCH($E1674,MASTER_JAM!$I$5:$I$12,0),MATCH($J1674,MASTER_JAM!$J$4:$O$4,0))+0,0)</f>
        <v/>
      </c>
      <c r="L1674" s="159">
        <f>N($F1674)*$K1674</f>
        <v/>
      </c>
      <c r="M1674" s="157">
        <f>IF($E1674="","",IF(OR($E1674="Coal",$E1674="Dirty Coal"),"MT","BCM"))</f>
        <v/>
      </c>
      <c r="N1674" s="157">
        <f>IF($E1674="","",IF(OR($E1674="Coal",$E1674="Dirty Coal"),"Coal","OB"))</f>
        <v/>
      </c>
      <c r="O1674" s="157">
        <f>IF($F1674="","",IF(COUNTIF(MASTER_JAM!$A$5:$A$94,$C1674)=0,"Digger tidak dikenal",IF($J1674="","Hauler tidak dikenal",IF($H1674="?","Jam salah",IF($K1674=0,"Faktor kosong",IF(SUMIFS(INPUT_DELAY!$E$5:$E$20000,INPUT_DELAY!$A$5:$A$20000,$A1674,INPUT_DELAY!$B$5:$B$20000,$B1674,INPUT_DELAY!$C$5:$C$20000,$C1674)+SUMIFS(INPUT_DELAY!$E$5:$E$20000,INPUT_DELAY!$A$5:$A$20000,$A1674,INPUT_DELAY!$B$5:$B$20000,$B1674,INPUT_DELAY!$C$5:$C$20000,"SEMUA")&gt;=60,"Delay 60 mnt tapi ada ritase","OK"))))))</f>
        <v/>
      </c>
      <c r="P1674" s="158">
        <f>IFERROR(INDEX(MASTER_JAM!$Z$5:$AC$10,MATCH($I1674,MASTER_JAM!$Y$5:$Y$10,0),MATCH($J1674,MASTER_JAM!$Z$4:$AC$4,0))+0,0)</f>
        <v/>
      </c>
      <c r="Q1674" s="158">
        <f>IF($P1674=0,0,$P1674+IFERROR(INDEX(MASTER_JAM!$H$5:$H$94,MATCH($C1674,MASTER_JAM!$A$5:$A$94,0))+0,MASTER_JAM!$AC$15)/1000*(60/MASTER_JAM!$AC$12+60/MASTER_JAM!$AC$13)+MASTER_JAM!$AC$14)</f>
        <v/>
      </c>
      <c r="R1674" s="158">
        <f>IF(N($F1674)=0,0,$F1674/SUMIFS(INPUT_RITASE!$F$5:$F$20000,INPUT_RITASE!$A$5:$A$20000,$A1674,INPUT_RITASE!$B$5:$B$20000,$B1674,INPUT_RITASE!$C$5:$C$20000,$C1674,INPUT_RITASE!$D$5:$D$20000,$D1674))</f>
        <v/>
      </c>
      <c r="S1674" s="158">
        <f>IF($Q1674=0,0,$R1674*$P1674/$Q1674)</f>
        <v/>
      </c>
    </row>
    <row r="1675">
      <c r="A1675" s="155" t="n">
        <v>46110</v>
      </c>
      <c r="B1675" s="156" t="inlineStr">
        <is>
          <t>10-11</t>
        </is>
      </c>
      <c r="C1675" s="156" t="inlineStr">
        <is>
          <t>EX-755</t>
        </is>
      </c>
      <c r="D1675" s="156" t="inlineStr">
        <is>
          <t>DT-523</t>
        </is>
      </c>
      <c r="E1675" s="156" t="inlineStr">
        <is>
          <t>Coal</t>
        </is>
      </c>
      <c r="F1675" s="156" t="n">
        <v>4</v>
      </c>
      <c r="G1675" s="156" t="inlineStr"/>
      <c r="H1675" s="157">
        <f>IF($B1675="","",IF(ISNA(MATCH($B1675,MASTER_JAM!$Q$5:$Q$28,0)),"?",IF(MATCH($B1675,MASTER_JAM!$Q$5:$Q$28,0)&lt;=12,"DS","NS")))</f>
        <v/>
      </c>
      <c r="I1675" s="157">
        <f>IFERROR(INDEX(MASTER_JAM!$B$5:$B$94,MATCH($C1675,MASTER_JAM!$A$5:$A$94,0)),"")</f>
        <v/>
      </c>
      <c r="J1675" s="157">
        <f>IFERROR(INDEX(MASTER_JAM!$E$5:$E$94,MATCH($D1675,MASTER_JAM!$A$5:$A$94,0)),"")</f>
        <v/>
      </c>
      <c r="K1675" s="158">
        <f>IFERROR(INDEX(MASTER_JAM!$J$5:$O$12,MATCH($E1675,MASTER_JAM!$I$5:$I$12,0),MATCH($J1675,MASTER_JAM!$J$4:$O$4,0))+0,0)</f>
        <v/>
      </c>
      <c r="L1675" s="159">
        <f>N($F1675)*$K1675</f>
        <v/>
      </c>
      <c r="M1675" s="157">
        <f>IF($E1675="","",IF(OR($E1675="Coal",$E1675="Dirty Coal"),"MT","BCM"))</f>
        <v/>
      </c>
      <c r="N1675" s="157">
        <f>IF($E1675="","",IF(OR($E1675="Coal",$E1675="Dirty Coal"),"Coal","OB"))</f>
        <v/>
      </c>
      <c r="O1675" s="157">
        <f>IF($F1675="","",IF(COUNTIF(MASTER_JAM!$A$5:$A$94,$C1675)=0,"Digger tidak dikenal",IF($J1675="","Hauler tidak dikenal",IF($H1675="?","Jam salah",IF($K1675=0,"Faktor kosong",IF(SUMIFS(INPUT_DELAY!$E$5:$E$20000,INPUT_DELAY!$A$5:$A$20000,$A1675,INPUT_DELAY!$B$5:$B$20000,$B1675,INPUT_DELAY!$C$5:$C$20000,$C1675)+SUMIFS(INPUT_DELAY!$E$5:$E$20000,INPUT_DELAY!$A$5:$A$20000,$A1675,INPUT_DELAY!$B$5:$B$20000,$B1675,INPUT_DELAY!$C$5:$C$20000,"SEMUA")&gt;=60,"Delay 60 mnt tapi ada ritase","OK"))))))</f>
        <v/>
      </c>
      <c r="P1675" s="158">
        <f>IFERROR(INDEX(MASTER_JAM!$Z$5:$AC$10,MATCH($I1675,MASTER_JAM!$Y$5:$Y$10,0),MATCH($J1675,MASTER_JAM!$Z$4:$AC$4,0))+0,0)</f>
        <v/>
      </c>
      <c r="Q1675" s="158">
        <f>IF($P1675=0,0,$P1675+IFERROR(INDEX(MASTER_JAM!$H$5:$H$94,MATCH($C1675,MASTER_JAM!$A$5:$A$94,0))+0,MASTER_JAM!$AC$15)/1000*(60/MASTER_JAM!$AC$12+60/MASTER_JAM!$AC$13)+MASTER_JAM!$AC$14)</f>
        <v/>
      </c>
      <c r="R1675" s="158">
        <f>IF(N($F1675)=0,0,$F1675/SUMIFS(INPUT_RITASE!$F$5:$F$20000,INPUT_RITASE!$A$5:$A$20000,$A1675,INPUT_RITASE!$B$5:$B$20000,$B1675,INPUT_RITASE!$C$5:$C$20000,$C1675,INPUT_RITASE!$D$5:$D$20000,$D1675))</f>
        <v/>
      </c>
      <c r="S1675" s="158">
        <f>IF($Q1675=0,0,$R1675*$P1675/$Q1675)</f>
        <v/>
      </c>
    </row>
    <row r="1676">
      <c r="A1676" s="155" t="n">
        <v>46110</v>
      </c>
      <c r="B1676" s="156" t="inlineStr">
        <is>
          <t>10-11</t>
        </is>
      </c>
      <c r="C1676" s="156" t="inlineStr">
        <is>
          <t>EX-755</t>
        </is>
      </c>
      <c r="D1676" s="156" t="inlineStr">
        <is>
          <t>DT-515</t>
        </is>
      </c>
      <c r="E1676" s="156" t="inlineStr">
        <is>
          <t>Coal</t>
        </is>
      </c>
      <c r="F1676" s="156" t="n">
        <v>4</v>
      </c>
      <c r="G1676" s="156" t="inlineStr"/>
      <c r="H1676" s="157">
        <f>IF($B1676="","",IF(ISNA(MATCH($B1676,MASTER_JAM!$Q$5:$Q$28,0)),"?",IF(MATCH($B1676,MASTER_JAM!$Q$5:$Q$28,0)&lt;=12,"DS","NS")))</f>
        <v/>
      </c>
      <c r="I1676" s="157">
        <f>IFERROR(INDEX(MASTER_JAM!$B$5:$B$94,MATCH($C1676,MASTER_JAM!$A$5:$A$94,0)),"")</f>
        <v/>
      </c>
      <c r="J1676" s="157">
        <f>IFERROR(INDEX(MASTER_JAM!$E$5:$E$94,MATCH($D1676,MASTER_JAM!$A$5:$A$94,0)),"")</f>
        <v/>
      </c>
      <c r="K1676" s="158">
        <f>IFERROR(INDEX(MASTER_JAM!$J$5:$O$12,MATCH($E1676,MASTER_JAM!$I$5:$I$12,0),MATCH($J1676,MASTER_JAM!$J$4:$O$4,0))+0,0)</f>
        <v/>
      </c>
      <c r="L1676" s="159">
        <f>N($F1676)*$K1676</f>
        <v/>
      </c>
      <c r="M1676" s="157">
        <f>IF($E1676="","",IF(OR($E1676="Coal",$E1676="Dirty Coal"),"MT","BCM"))</f>
        <v/>
      </c>
      <c r="N1676" s="157">
        <f>IF($E1676="","",IF(OR($E1676="Coal",$E1676="Dirty Coal"),"Coal","OB"))</f>
        <v/>
      </c>
      <c r="O1676" s="157">
        <f>IF($F1676="","",IF(COUNTIF(MASTER_JAM!$A$5:$A$94,$C1676)=0,"Digger tidak dikenal",IF($J1676="","Hauler tidak dikenal",IF($H1676="?","Jam salah",IF($K1676=0,"Faktor kosong",IF(SUMIFS(INPUT_DELAY!$E$5:$E$20000,INPUT_DELAY!$A$5:$A$20000,$A1676,INPUT_DELAY!$B$5:$B$20000,$B1676,INPUT_DELAY!$C$5:$C$20000,$C1676)+SUMIFS(INPUT_DELAY!$E$5:$E$20000,INPUT_DELAY!$A$5:$A$20000,$A1676,INPUT_DELAY!$B$5:$B$20000,$B1676,INPUT_DELAY!$C$5:$C$20000,"SEMUA")&gt;=60,"Delay 60 mnt tapi ada ritase","OK"))))))</f>
        <v/>
      </c>
      <c r="P1676" s="158">
        <f>IFERROR(INDEX(MASTER_JAM!$Z$5:$AC$10,MATCH($I1676,MASTER_JAM!$Y$5:$Y$10,0),MATCH($J1676,MASTER_JAM!$Z$4:$AC$4,0))+0,0)</f>
        <v/>
      </c>
      <c r="Q1676" s="158">
        <f>IF($P1676=0,0,$P1676+IFERROR(INDEX(MASTER_JAM!$H$5:$H$94,MATCH($C1676,MASTER_JAM!$A$5:$A$94,0))+0,MASTER_JAM!$AC$15)/1000*(60/MASTER_JAM!$AC$12+60/MASTER_JAM!$AC$13)+MASTER_JAM!$AC$14)</f>
        <v/>
      </c>
      <c r="R1676" s="158">
        <f>IF(N($F1676)=0,0,$F1676/SUMIFS(INPUT_RITASE!$F$5:$F$20000,INPUT_RITASE!$A$5:$A$20000,$A1676,INPUT_RITASE!$B$5:$B$20000,$B1676,INPUT_RITASE!$C$5:$C$20000,$C1676,INPUT_RITASE!$D$5:$D$20000,$D1676))</f>
        <v/>
      </c>
      <c r="S1676" s="158">
        <f>IF($Q1676=0,0,$R1676*$P1676/$Q1676)</f>
        <v/>
      </c>
    </row>
    <row r="1677">
      <c r="A1677" s="155" t="n">
        <v>46110</v>
      </c>
      <c r="B1677" s="156" t="inlineStr">
        <is>
          <t>10-11</t>
        </is>
      </c>
      <c r="C1677" s="156" t="inlineStr">
        <is>
          <t>EX-755</t>
        </is>
      </c>
      <c r="D1677" s="156" t="inlineStr">
        <is>
          <t>DT-524</t>
        </is>
      </c>
      <c r="E1677" s="156" t="inlineStr">
        <is>
          <t>Coal</t>
        </is>
      </c>
      <c r="F1677" s="156" t="n">
        <v>3</v>
      </c>
      <c r="G1677" s="156" t="inlineStr"/>
      <c r="H1677" s="157">
        <f>IF($B1677="","",IF(ISNA(MATCH($B1677,MASTER_JAM!$Q$5:$Q$28,0)),"?",IF(MATCH($B1677,MASTER_JAM!$Q$5:$Q$28,0)&lt;=12,"DS","NS")))</f>
        <v/>
      </c>
      <c r="I1677" s="157">
        <f>IFERROR(INDEX(MASTER_JAM!$B$5:$B$94,MATCH($C1677,MASTER_JAM!$A$5:$A$94,0)),"")</f>
        <v/>
      </c>
      <c r="J1677" s="157">
        <f>IFERROR(INDEX(MASTER_JAM!$E$5:$E$94,MATCH($D1677,MASTER_JAM!$A$5:$A$94,0)),"")</f>
        <v/>
      </c>
      <c r="K1677" s="158">
        <f>IFERROR(INDEX(MASTER_JAM!$J$5:$O$12,MATCH($E1677,MASTER_JAM!$I$5:$I$12,0),MATCH($J1677,MASTER_JAM!$J$4:$O$4,0))+0,0)</f>
        <v/>
      </c>
      <c r="L1677" s="159">
        <f>N($F1677)*$K1677</f>
        <v/>
      </c>
      <c r="M1677" s="157">
        <f>IF($E1677="","",IF(OR($E1677="Coal",$E1677="Dirty Coal"),"MT","BCM"))</f>
        <v/>
      </c>
      <c r="N1677" s="157">
        <f>IF($E1677="","",IF(OR($E1677="Coal",$E1677="Dirty Coal"),"Coal","OB"))</f>
        <v/>
      </c>
      <c r="O1677" s="157">
        <f>IF($F1677="","",IF(COUNTIF(MASTER_JAM!$A$5:$A$94,$C1677)=0,"Digger tidak dikenal",IF($J1677="","Hauler tidak dikenal",IF($H1677="?","Jam salah",IF($K1677=0,"Faktor kosong",IF(SUMIFS(INPUT_DELAY!$E$5:$E$20000,INPUT_DELAY!$A$5:$A$20000,$A1677,INPUT_DELAY!$B$5:$B$20000,$B1677,INPUT_DELAY!$C$5:$C$20000,$C1677)+SUMIFS(INPUT_DELAY!$E$5:$E$20000,INPUT_DELAY!$A$5:$A$20000,$A1677,INPUT_DELAY!$B$5:$B$20000,$B1677,INPUT_DELAY!$C$5:$C$20000,"SEMUA")&gt;=60,"Delay 60 mnt tapi ada ritase","OK"))))))</f>
        <v/>
      </c>
      <c r="P1677" s="158">
        <f>IFERROR(INDEX(MASTER_JAM!$Z$5:$AC$10,MATCH($I1677,MASTER_JAM!$Y$5:$Y$10,0),MATCH($J1677,MASTER_JAM!$Z$4:$AC$4,0))+0,0)</f>
        <v/>
      </c>
      <c r="Q1677" s="158">
        <f>IF($P1677=0,0,$P1677+IFERROR(INDEX(MASTER_JAM!$H$5:$H$94,MATCH($C1677,MASTER_JAM!$A$5:$A$94,0))+0,MASTER_JAM!$AC$15)/1000*(60/MASTER_JAM!$AC$12+60/MASTER_JAM!$AC$13)+MASTER_JAM!$AC$14)</f>
        <v/>
      </c>
      <c r="R1677" s="158">
        <f>IF(N($F1677)=0,0,$F1677/SUMIFS(INPUT_RITASE!$F$5:$F$20000,INPUT_RITASE!$A$5:$A$20000,$A1677,INPUT_RITASE!$B$5:$B$20000,$B1677,INPUT_RITASE!$C$5:$C$20000,$C1677,INPUT_RITASE!$D$5:$D$20000,$D1677))</f>
        <v/>
      </c>
      <c r="S1677" s="158">
        <f>IF($Q1677=0,0,$R1677*$P1677/$Q1677)</f>
        <v/>
      </c>
    </row>
    <row r="1678">
      <c r="A1678" s="155" t="n">
        <v>46110</v>
      </c>
      <c r="B1678" s="156" t="inlineStr">
        <is>
          <t>10-11</t>
        </is>
      </c>
      <c r="C1678" s="156" t="inlineStr">
        <is>
          <t>EX-755</t>
        </is>
      </c>
      <c r="D1678" s="156" t="inlineStr">
        <is>
          <t>DT-519</t>
        </is>
      </c>
      <c r="E1678" s="156" t="inlineStr">
        <is>
          <t>Coal</t>
        </is>
      </c>
      <c r="F1678" s="156" t="n">
        <v>3</v>
      </c>
      <c r="G1678" s="156" t="inlineStr"/>
      <c r="H1678" s="157">
        <f>IF($B1678="","",IF(ISNA(MATCH($B1678,MASTER_JAM!$Q$5:$Q$28,0)),"?",IF(MATCH($B1678,MASTER_JAM!$Q$5:$Q$28,0)&lt;=12,"DS","NS")))</f>
        <v/>
      </c>
      <c r="I1678" s="157">
        <f>IFERROR(INDEX(MASTER_JAM!$B$5:$B$94,MATCH($C1678,MASTER_JAM!$A$5:$A$94,0)),"")</f>
        <v/>
      </c>
      <c r="J1678" s="157">
        <f>IFERROR(INDEX(MASTER_JAM!$E$5:$E$94,MATCH($D1678,MASTER_JAM!$A$5:$A$94,0)),"")</f>
        <v/>
      </c>
      <c r="K1678" s="158">
        <f>IFERROR(INDEX(MASTER_JAM!$J$5:$O$12,MATCH($E1678,MASTER_JAM!$I$5:$I$12,0),MATCH($J1678,MASTER_JAM!$J$4:$O$4,0))+0,0)</f>
        <v/>
      </c>
      <c r="L1678" s="159">
        <f>N($F1678)*$K1678</f>
        <v/>
      </c>
      <c r="M1678" s="157">
        <f>IF($E1678="","",IF(OR($E1678="Coal",$E1678="Dirty Coal"),"MT","BCM"))</f>
        <v/>
      </c>
      <c r="N1678" s="157">
        <f>IF($E1678="","",IF(OR($E1678="Coal",$E1678="Dirty Coal"),"Coal","OB"))</f>
        <v/>
      </c>
      <c r="O1678" s="157">
        <f>IF($F1678="","",IF(COUNTIF(MASTER_JAM!$A$5:$A$94,$C1678)=0,"Digger tidak dikenal",IF($J1678="","Hauler tidak dikenal",IF($H1678="?","Jam salah",IF($K1678=0,"Faktor kosong",IF(SUMIFS(INPUT_DELAY!$E$5:$E$20000,INPUT_DELAY!$A$5:$A$20000,$A1678,INPUT_DELAY!$B$5:$B$20000,$B1678,INPUT_DELAY!$C$5:$C$20000,$C1678)+SUMIFS(INPUT_DELAY!$E$5:$E$20000,INPUT_DELAY!$A$5:$A$20000,$A1678,INPUT_DELAY!$B$5:$B$20000,$B1678,INPUT_DELAY!$C$5:$C$20000,"SEMUA")&gt;=60,"Delay 60 mnt tapi ada ritase","OK"))))))</f>
        <v/>
      </c>
      <c r="P1678" s="158">
        <f>IFERROR(INDEX(MASTER_JAM!$Z$5:$AC$10,MATCH($I1678,MASTER_JAM!$Y$5:$Y$10,0),MATCH($J1678,MASTER_JAM!$Z$4:$AC$4,0))+0,0)</f>
        <v/>
      </c>
      <c r="Q1678" s="158">
        <f>IF($P1678=0,0,$P1678+IFERROR(INDEX(MASTER_JAM!$H$5:$H$94,MATCH($C1678,MASTER_JAM!$A$5:$A$94,0))+0,MASTER_JAM!$AC$15)/1000*(60/MASTER_JAM!$AC$12+60/MASTER_JAM!$AC$13)+MASTER_JAM!$AC$14)</f>
        <v/>
      </c>
      <c r="R1678" s="158">
        <f>IF(N($F1678)=0,0,$F1678/SUMIFS(INPUT_RITASE!$F$5:$F$20000,INPUT_RITASE!$A$5:$A$20000,$A1678,INPUT_RITASE!$B$5:$B$20000,$B1678,INPUT_RITASE!$C$5:$C$20000,$C1678,INPUT_RITASE!$D$5:$D$20000,$D1678))</f>
        <v/>
      </c>
      <c r="S1678" s="158">
        <f>IF($Q1678=0,0,$R1678*$P1678/$Q1678)</f>
        <v/>
      </c>
    </row>
    <row r="1679">
      <c r="A1679" s="155" t="n">
        <v>46110</v>
      </c>
      <c r="B1679" s="156" t="inlineStr">
        <is>
          <t>11-12</t>
        </is>
      </c>
      <c r="C1679" s="156" t="inlineStr">
        <is>
          <t>EX-755</t>
        </is>
      </c>
      <c r="D1679" s="156" t="inlineStr">
        <is>
          <t>DT-509</t>
        </is>
      </c>
      <c r="E1679" s="156" t="inlineStr">
        <is>
          <t>Coal</t>
        </is>
      </c>
      <c r="F1679" s="156" t="n">
        <v>4</v>
      </c>
      <c r="G1679" s="156" t="inlineStr"/>
      <c r="H1679" s="157">
        <f>IF($B1679="","",IF(ISNA(MATCH($B1679,MASTER_JAM!$Q$5:$Q$28,0)),"?",IF(MATCH($B1679,MASTER_JAM!$Q$5:$Q$28,0)&lt;=12,"DS","NS")))</f>
        <v/>
      </c>
      <c r="I1679" s="157">
        <f>IFERROR(INDEX(MASTER_JAM!$B$5:$B$94,MATCH($C1679,MASTER_JAM!$A$5:$A$94,0)),"")</f>
        <v/>
      </c>
      <c r="J1679" s="157">
        <f>IFERROR(INDEX(MASTER_JAM!$E$5:$E$94,MATCH($D1679,MASTER_JAM!$A$5:$A$94,0)),"")</f>
        <v/>
      </c>
      <c r="K1679" s="158">
        <f>IFERROR(INDEX(MASTER_JAM!$J$5:$O$12,MATCH($E1679,MASTER_JAM!$I$5:$I$12,0),MATCH($J1679,MASTER_JAM!$J$4:$O$4,0))+0,0)</f>
        <v/>
      </c>
      <c r="L1679" s="159">
        <f>N($F1679)*$K1679</f>
        <v/>
      </c>
      <c r="M1679" s="157">
        <f>IF($E1679="","",IF(OR($E1679="Coal",$E1679="Dirty Coal"),"MT","BCM"))</f>
        <v/>
      </c>
      <c r="N1679" s="157">
        <f>IF($E1679="","",IF(OR($E1679="Coal",$E1679="Dirty Coal"),"Coal","OB"))</f>
        <v/>
      </c>
      <c r="O1679" s="157">
        <f>IF($F1679="","",IF(COUNTIF(MASTER_JAM!$A$5:$A$94,$C1679)=0,"Digger tidak dikenal",IF($J1679="","Hauler tidak dikenal",IF($H1679="?","Jam salah",IF($K1679=0,"Faktor kosong",IF(SUMIFS(INPUT_DELAY!$E$5:$E$20000,INPUT_DELAY!$A$5:$A$20000,$A1679,INPUT_DELAY!$B$5:$B$20000,$B1679,INPUT_DELAY!$C$5:$C$20000,$C1679)+SUMIFS(INPUT_DELAY!$E$5:$E$20000,INPUT_DELAY!$A$5:$A$20000,$A1679,INPUT_DELAY!$B$5:$B$20000,$B1679,INPUT_DELAY!$C$5:$C$20000,"SEMUA")&gt;=60,"Delay 60 mnt tapi ada ritase","OK"))))))</f>
        <v/>
      </c>
      <c r="P1679" s="158">
        <f>IFERROR(INDEX(MASTER_JAM!$Z$5:$AC$10,MATCH($I1679,MASTER_JAM!$Y$5:$Y$10,0),MATCH($J1679,MASTER_JAM!$Z$4:$AC$4,0))+0,0)</f>
        <v/>
      </c>
      <c r="Q1679" s="158">
        <f>IF($P1679=0,0,$P1679+IFERROR(INDEX(MASTER_JAM!$H$5:$H$94,MATCH($C1679,MASTER_JAM!$A$5:$A$94,0))+0,MASTER_JAM!$AC$15)/1000*(60/MASTER_JAM!$AC$12+60/MASTER_JAM!$AC$13)+MASTER_JAM!$AC$14)</f>
        <v/>
      </c>
      <c r="R1679" s="158">
        <f>IF(N($F1679)=0,0,$F1679/SUMIFS(INPUT_RITASE!$F$5:$F$20000,INPUT_RITASE!$A$5:$A$20000,$A1679,INPUT_RITASE!$B$5:$B$20000,$B1679,INPUT_RITASE!$C$5:$C$20000,$C1679,INPUT_RITASE!$D$5:$D$20000,$D1679))</f>
        <v/>
      </c>
      <c r="S1679" s="158">
        <f>IF($Q1679=0,0,$R1679*$P1679/$Q1679)</f>
        <v/>
      </c>
    </row>
    <row r="1680">
      <c r="A1680" s="155" t="n">
        <v>46110</v>
      </c>
      <c r="B1680" s="156" t="inlineStr">
        <is>
          <t>11-12</t>
        </is>
      </c>
      <c r="C1680" s="156" t="inlineStr">
        <is>
          <t>EX-755</t>
        </is>
      </c>
      <c r="D1680" s="156" t="inlineStr">
        <is>
          <t>DT-518</t>
        </is>
      </c>
      <c r="E1680" s="156" t="inlineStr">
        <is>
          <t>Coal</t>
        </is>
      </c>
      <c r="F1680" s="156" t="n">
        <v>4</v>
      </c>
      <c r="G1680" s="156" t="inlineStr"/>
      <c r="H1680" s="157">
        <f>IF($B1680="","",IF(ISNA(MATCH($B1680,MASTER_JAM!$Q$5:$Q$28,0)),"?",IF(MATCH($B1680,MASTER_JAM!$Q$5:$Q$28,0)&lt;=12,"DS","NS")))</f>
        <v/>
      </c>
      <c r="I1680" s="157">
        <f>IFERROR(INDEX(MASTER_JAM!$B$5:$B$94,MATCH($C1680,MASTER_JAM!$A$5:$A$94,0)),"")</f>
        <v/>
      </c>
      <c r="J1680" s="157">
        <f>IFERROR(INDEX(MASTER_JAM!$E$5:$E$94,MATCH($D1680,MASTER_JAM!$A$5:$A$94,0)),"")</f>
        <v/>
      </c>
      <c r="K1680" s="158">
        <f>IFERROR(INDEX(MASTER_JAM!$J$5:$O$12,MATCH($E1680,MASTER_JAM!$I$5:$I$12,0),MATCH($J1680,MASTER_JAM!$J$4:$O$4,0))+0,0)</f>
        <v/>
      </c>
      <c r="L1680" s="159">
        <f>N($F1680)*$K1680</f>
        <v/>
      </c>
      <c r="M1680" s="157">
        <f>IF($E1680="","",IF(OR($E1680="Coal",$E1680="Dirty Coal"),"MT","BCM"))</f>
        <v/>
      </c>
      <c r="N1680" s="157">
        <f>IF($E1680="","",IF(OR($E1680="Coal",$E1680="Dirty Coal"),"Coal","OB"))</f>
        <v/>
      </c>
      <c r="O1680" s="157">
        <f>IF($F1680="","",IF(COUNTIF(MASTER_JAM!$A$5:$A$94,$C1680)=0,"Digger tidak dikenal",IF($J1680="","Hauler tidak dikenal",IF($H1680="?","Jam salah",IF($K1680=0,"Faktor kosong",IF(SUMIFS(INPUT_DELAY!$E$5:$E$20000,INPUT_DELAY!$A$5:$A$20000,$A1680,INPUT_DELAY!$B$5:$B$20000,$B1680,INPUT_DELAY!$C$5:$C$20000,$C1680)+SUMIFS(INPUT_DELAY!$E$5:$E$20000,INPUT_DELAY!$A$5:$A$20000,$A1680,INPUT_DELAY!$B$5:$B$20000,$B1680,INPUT_DELAY!$C$5:$C$20000,"SEMUA")&gt;=60,"Delay 60 mnt tapi ada ritase","OK"))))))</f>
        <v/>
      </c>
      <c r="P1680" s="158">
        <f>IFERROR(INDEX(MASTER_JAM!$Z$5:$AC$10,MATCH($I1680,MASTER_JAM!$Y$5:$Y$10,0),MATCH($J1680,MASTER_JAM!$Z$4:$AC$4,0))+0,0)</f>
        <v/>
      </c>
      <c r="Q1680" s="158">
        <f>IF($P1680=0,0,$P1680+IFERROR(INDEX(MASTER_JAM!$H$5:$H$94,MATCH($C1680,MASTER_JAM!$A$5:$A$94,0))+0,MASTER_JAM!$AC$15)/1000*(60/MASTER_JAM!$AC$12+60/MASTER_JAM!$AC$13)+MASTER_JAM!$AC$14)</f>
        <v/>
      </c>
      <c r="R1680" s="158">
        <f>IF(N($F1680)=0,0,$F1680/SUMIFS(INPUT_RITASE!$F$5:$F$20000,INPUT_RITASE!$A$5:$A$20000,$A1680,INPUT_RITASE!$B$5:$B$20000,$B1680,INPUT_RITASE!$C$5:$C$20000,$C1680,INPUT_RITASE!$D$5:$D$20000,$D1680))</f>
        <v/>
      </c>
      <c r="S1680" s="158">
        <f>IF($Q1680=0,0,$R1680*$P1680/$Q1680)</f>
        <v/>
      </c>
    </row>
    <row r="1681">
      <c r="A1681" s="155" t="n">
        <v>46110</v>
      </c>
      <c r="B1681" s="156" t="inlineStr">
        <is>
          <t>11-12</t>
        </is>
      </c>
      <c r="C1681" s="156" t="inlineStr">
        <is>
          <t>EX-755</t>
        </is>
      </c>
      <c r="D1681" s="156" t="inlineStr">
        <is>
          <t>DT-523</t>
        </is>
      </c>
      <c r="E1681" s="156" t="inlineStr">
        <is>
          <t>Coal</t>
        </is>
      </c>
      <c r="F1681" s="156" t="n">
        <v>4</v>
      </c>
      <c r="G1681" s="156" t="inlineStr"/>
      <c r="H1681" s="157">
        <f>IF($B1681="","",IF(ISNA(MATCH($B1681,MASTER_JAM!$Q$5:$Q$28,0)),"?",IF(MATCH($B1681,MASTER_JAM!$Q$5:$Q$28,0)&lt;=12,"DS","NS")))</f>
        <v/>
      </c>
      <c r="I1681" s="157">
        <f>IFERROR(INDEX(MASTER_JAM!$B$5:$B$94,MATCH($C1681,MASTER_JAM!$A$5:$A$94,0)),"")</f>
        <v/>
      </c>
      <c r="J1681" s="157">
        <f>IFERROR(INDEX(MASTER_JAM!$E$5:$E$94,MATCH($D1681,MASTER_JAM!$A$5:$A$94,0)),"")</f>
        <v/>
      </c>
      <c r="K1681" s="158">
        <f>IFERROR(INDEX(MASTER_JAM!$J$5:$O$12,MATCH($E1681,MASTER_JAM!$I$5:$I$12,0),MATCH($J1681,MASTER_JAM!$J$4:$O$4,0))+0,0)</f>
        <v/>
      </c>
      <c r="L1681" s="159">
        <f>N($F1681)*$K1681</f>
        <v/>
      </c>
      <c r="M1681" s="157">
        <f>IF($E1681="","",IF(OR($E1681="Coal",$E1681="Dirty Coal"),"MT","BCM"))</f>
        <v/>
      </c>
      <c r="N1681" s="157">
        <f>IF($E1681="","",IF(OR($E1681="Coal",$E1681="Dirty Coal"),"Coal","OB"))</f>
        <v/>
      </c>
      <c r="O1681" s="157">
        <f>IF($F1681="","",IF(COUNTIF(MASTER_JAM!$A$5:$A$94,$C1681)=0,"Digger tidak dikenal",IF($J1681="","Hauler tidak dikenal",IF($H1681="?","Jam salah",IF($K1681=0,"Faktor kosong",IF(SUMIFS(INPUT_DELAY!$E$5:$E$20000,INPUT_DELAY!$A$5:$A$20000,$A1681,INPUT_DELAY!$B$5:$B$20000,$B1681,INPUT_DELAY!$C$5:$C$20000,$C1681)+SUMIFS(INPUT_DELAY!$E$5:$E$20000,INPUT_DELAY!$A$5:$A$20000,$A1681,INPUT_DELAY!$B$5:$B$20000,$B1681,INPUT_DELAY!$C$5:$C$20000,"SEMUA")&gt;=60,"Delay 60 mnt tapi ada ritase","OK"))))))</f>
        <v/>
      </c>
      <c r="P1681" s="158">
        <f>IFERROR(INDEX(MASTER_JAM!$Z$5:$AC$10,MATCH($I1681,MASTER_JAM!$Y$5:$Y$10,0),MATCH($J1681,MASTER_JAM!$Z$4:$AC$4,0))+0,0)</f>
        <v/>
      </c>
      <c r="Q1681" s="158">
        <f>IF($P1681=0,0,$P1681+IFERROR(INDEX(MASTER_JAM!$H$5:$H$94,MATCH($C1681,MASTER_JAM!$A$5:$A$94,0))+0,MASTER_JAM!$AC$15)/1000*(60/MASTER_JAM!$AC$12+60/MASTER_JAM!$AC$13)+MASTER_JAM!$AC$14)</f>
        <v/>
      </c>
      <c r="R1681" s="158">
        <f>IF(N($F1681)=0,0,$F1681/SUMIFS(INPUT_RITASE!$F$5:$F$20000,INPUT_RITASE!$A$5:$A$20000,$A1681,INPUT_RITASE!$B$5:$B$20000,$B1681,INPUT_RITASE!$C$5:$C$20000,$C1681,INPUT_RITASE!$D$5:$D$20000,$D1681))</f>
        <v/>
      </c>
      <c r="S1681" s="158">
        <f>IF($Q1681=0,0,$R1681*$P1681/$Q1681)</f>
        <v/>
      </c>
    </row>
    <row r="1682">
      <c r="A1682" s="155" t="n">
        <v>46110</v>
      </c>
      <c r="B1682" s="156" t="inlineStr">
        <is>
          <t>11-12</t>
        </is>
      </c>
      <c r="C1682" s="156" t="inlineStr">
        <is>
          <t>EX-755</t>
        </is>
      </c>
      <c r="D1682" s="156" t="inlineStr">
        <is>
          <t>DT-506</t>
        </is>
      </c>
      <c r="E1682" s="156" t="inlineStr">
        <is>
          <t>Coal</t>
        </is>
      </c>
      <c r="F1682" s="156" t="n">
        <v>3</v>
      </c>
      <c r="G1682" s="156" t="inlineStr"/>
      <c r="H1682" s="157">
        <f>IF($B1682="","",IF(ISNA(MATCH($B1682,MASTER_JAM!$Q$5:$Q$28,0)),"?",IF(MATCH($B1682,MASTER_JAM!$Q$5:$Q$28,0)&lt;=12,"DS","NS")))</f>
        <v/>
      </c>
      <c r="I1682" s="157">
        <f>IFERROR(INDEX(MASTER_JAM!$B$5:$B$94,MATCH($C1682,MASTER_JAM!$A$5:$A$94,0)),"")</f>
        <v/>
      </c>
      <c r="J1682" s="157">
        <f>IFERROR(INDEX(MASTER_JAM!$E$5:$E$94,MATCH($D1682,MASTER_JAM!$A$5:$A$94,0)),"")</f>
        <v/>
      </c>
      <c r="K1682" s="158">
        <f>IFERROR(INDEX(MASTER_JAM!$J$5:$O$12,MATCH($E1682,MASTER_JAM!$I$5:$I$12,0),MATCH($J1682,MASTER_JAM!$J$4:$O$4,0))+0,0)</f>
        <v/>
      </c>
      <c r="L1682" s="159">
        <f>N($F1682)*$K1682</f>
        <v/>
      </c>
      <c r="M1682" s="157">
        <f>IF($E1682="","",IF(OR($E1682="Coal",$E1682="Dirty Coal"),"MT","BCM"))</f>
        <v/>
      </c>
      <c r="N1682" s="157">
        <f>IF($E1682="","",IF(OR($E1682="Coal",$E1682="Dirty Coal"),"Coal","OB"))</f>
        <v/>
      </c>
      <c r="O1682" s="157">
        <f>IF($F1682="","",IF(COUNTIF(MASTER_JAM!$A$5:$A$94,$C1682)=0,"Digger tidak dikenal",IF($J1682="","Hauler tidak dikenal",IF($H1682="?","Jam salah",IF($K1682=0,"Faktor kosong",IF(SUMIFS(INPUT_DELAY!$E$5:$E$20000,INPUT_DELAY!$A$5:$A$20000,$A1682,INPUT_DELAY!$B$5:$B$20000,$B1682,INPUT_DELAY!$C$5:$C$20000,$C1682)+SUMIFS(INPUT_DELAY!$E$5:$E$20000,INPUT_DELAY!$A$5:$A$20000,$A1682,INPUT_DELAY!$B$5:$B$20000,$B1682,INPUT_DELAY!$C$5:$C$20000,"SEMUA")&gt;=60,"Delay 60 mnt tapi ada ritase","OK"))))))</f>
        <v/>
      </c>
      <c r="P1682" s="158">
        <f>IFERROR(INDEX(MASTER_JAM!$Z$5:$AC$10,MATCH($I1682,MASTER_JAM!$Y$5:$Y$10,0),MATCH($J1682,MASTER_JAM!$Z$4:$AC$4,0))+0,0)</f>
        <v/>
      </c>
      <c r="Q1682" s="158">
        <f>IF($P1682=0,0,$P1682+IFERROR(INDEX(MASTER_JAM!$H$5:$H$94,MATCH($C1682,MASTER_JAM!$A$5:$A$94,0))+0,MASTER_JAM!$AC$15)/1000*(60/MASTER_JAM!$AC$12+60/MASTER_JAM!$AC$13)+MASTER_JAM!$AC$14)</f>
        <v/>
      </c>
      <c r="R1682" s="158">
        <f>IF(N($F1682)=0,0,$F1682/SUMIFS(INPUT_RITASE!$F$5:$F$20000,INPUT_RITASE!$A$5:$A$20000,$A1682,INPUT_RITASE!$B$5:$B$20000,$B1682,INPUT_RITASE!$C$5:$C$20000,$C1682,INPUT_RITASE!$D$5:$D$20000,$D1682))</f>
        <v/>
      </c>
      <c r="S1682" s="158">
        <f>IF($Q1682=0,0,$R1682*$P1682/$Q1682)</f>
        <v/>
      </c>
    </row>
    <row r="1683">
      <c r="A1683" s="155" t="n">
        <v>46110</v>
      </c>
      <c r="B1683" s="156" t="inlineStr">
        <is>
          <t>13-14</t>
        </is>
      </c>
      <c r="C1683" s="156" t="inlineStr">
        <is>
          <t>EX-755</t>
        </is>
      </c>
      <c r="D1683" s="156" t="inlineStr">
        <is>
          <t>DT-508</t>
        </is>
      </c>
      <c r="E1683" s="156" t="inlineStr">
        <is>
          <t>Coal</t>
        </is>
      </c>
      <c r="F1683" s="156" t="n">
        <v>4</v>
      </c>
      <c r="G1683" s="156" t="inlineStr"/>
      <c r="H1683" s="157">
        <f>IF($B1683="","",IF(ISNA(MATCH($B1683,MASTER_JAM!$Q$5:$Q$28,0)),"?",IF(MATCH($B1683,MASTER_JAM!$Q$5:$Q$28,0)&lt;=12,"DS","NS")))</f>
        <v/>
      </c>
      <c r="I1683" s="157">
        <f>IFERROR(INDEX(MASTER_JAM!$B$5:$B$94,MATCH($C1683,MASTER_JAM!$A$5:$A$94,0)),"")</f>
        <v/>
      </c>
      <c r="J1683" s="157">
        <f>IFERROR(INDEX(MASTER_JAM!$E$5:$E$94,MATCH($D1683,MASTER_JAM!$A$5:$A$94,0)),"")</f>
        <v/>
      </c>
      <c r="K1683" s="158">
        <f>IFERROR(INDEX(MASTER_JAM!$J$5:$O$12,MATCH($E1683,MASTER_JAM!$I$5:$I$12,0),MATCH($J1683,MASTER_JAM!$J$4:$O$4,0))+0,0)</f>
        <v/>
      </c>
      <c r="L1683" s="159">
        <f>N($F1683)*$K1683</f>
        <v/>
      </c>
      <c r="M1683" s="157">
        <f>IF($E1683="","",IF(OR($E1683="Coal",$E1683="Dirty Coal"),"MT","BCM"))</f>
        <v/>
      </c>
      <c r="N1683" s="157">
        <f>IF($E1683="","",IF(OR($E1683="Coal",$E1683="Dirty Coal"),"Coal","OB"))</f>
        <v/>
      </c>
      <c r="O1683" s="157">
        <f>IF($F1683="","",IF(COUNTIF(MASTER_JAM!$A$5:$A$94,$C1683)=0,"Digger tidak dikenal",IF($J1683="","Hauler tidak dikenal",IF($H1683="?","Jam salah",IF($K1683=0,"Faktor kosong",IF(SUMIFS(INPUT_DELAY!$E$5:$E$20000,INPUT_DELAY!$A$5:$A$20000,$A1683,INPUT_DELAY!$B$5:$B$20000,$B1683,INPUT_DELAY!$C$5:$C$20000,$C1683)+SUMIFS(INPUT_DELAY!$E$5:$E$20000,INPUT_DELAY!$A$5:$A$20000,$A1683,INPUT_DELAY!$B$5:$B$20000,$B1683,INPUT_DELAY!$C$5:$C$20000,"SEMUA")&gt;=60,"Delay 60 mnt tapi ada ritase","OK"))))))</f>
        <v/>
      </c>
      <c r="P1683" s="158">
        <f>IFERROR(INDEX(MASTER_JAM!$Z$5:$AC$10,MATCH($I1683,MASTER_JAM!$Y$5:$Y$10,0),MATCH($J1683,MASTER_JAM!$Z$4:$AC$4,0))+0,0)</f>
        <v/>
      </c>
      <c r="Q1683" s="158">
        <f>IF($P1683=0,0,$P1683+IFERROR(INDEX(MASTER_JAM!$H$5:$H$94,MATCH($C1683,MASTER_JAM!$A$5:$A$94,0))+0,MASTER_JAM!$AC$15)/1000*(60/MASTER_JAM!$AC$12+60/MASTER_JAM!$AC$13)+MASTER_JAM!$AC$14)</f>
        <v/>
      </c>
      <c r="R1683" s="158">
        <f>IF(N($F1683)=0,0,$F1683/SUMIFS(INPUT_RITASE!$F$5:$F$20000,INPUT_RITASE!$A$5:$A$20000,$A1683,INPUT_RITASE!$B$5:$B$20000,$B1683,INPUT_RITASE!$C$5:$C$20000,$C1683,INPUT_RITASE!$D$5:$D$20000,$D1683))</f>
        <v/>
      </c>
      <c r="S1683" s="158">
        <f>IF($Q1683=0,0,$R1683*$P1683/$Q1683)</f>
        <v/>
      </c>
    </row>
    <row r="1684">
      <c r="A1684" s="155" t="n">
        <v>46110</v>
      </c>
      <c r="B1684" s="156" t="inlineStr">
        <is>
          <t>13-14</t>
        </is>
      </c>
      <c r="C1684" s="156" t="inlineStr">
        <is>
          <t>EX-755</t>
        </is>
      </c>
      <c r="D1684" s="156" t="inlineStr">
        <is>
          <t>DT-529</t>
        </is>
      </c>
      <c r="E1684" s="156" t="inlineStr">
        <is>
          <t>Coal</t>
        </is>
      </c>
      <c r="F1684" s="156" t="n">
        <v>4</v>
      </c>
      <c r="G1684" s="156" t="inlineStr"/>
      <c r="H1684" s="157">
        <f>IF($B1684="","",IF(ISNA(MATCH($B1684,MASTER_JAM!$Q$5:$Q$28,0)),"?",IF(MATCH($B1684,MASTER_JAM!$Q$5:$Q$28,0)&lt;=12,"DS","NS")))</f>
        <v/>
      </c>
      <c r="I1684" s="157">
        <f>IFERROR(INDEX(MASTER_JAM!$B$5:$B$94,MATCH($C1684,MASTER_JAM!$A$5:$A$94,0)),"")</f>
        <v/>
      </c>
      <c r="J1684" s="157">
        <f>IFERROR(INDEX(MASTER_JAM!$E$5:$E$94,MATCH($D1684,MASTER_JAM!$A$5:$A$94,0)),"")</f>
        <v/>
      </c>
      <c r="K1684" s="158">
        <f>IFERROR(INDEX(MASTER_JAM!$J$5:$O$12,MATCH($E1684,MASTER_JAM!$I$5:$I$12,0),MATCH($J1684,MASTER_JAM!$J$4:$O$4,0))+0,0)</f>
        <v/>
      </c>
      <c r="L1684" s="159">
        <f>N($F1684)*$K1684</f>
        <v/>
      </c>
      <c r="M1684" s="157">
        <f>IF($E1684="","",IF(OR($E1684="Coal",$E1684="Dirty Coal"),"MT","BCM"))</f>
        <v/>
      </c>
      <c r="N1684" s="157">
        <f>IF($E1684="","",IF(OR($E1684="Coal",$E1684="Dirty Coal"),"Coal","OB"))</f>
        <v/>
      </c>
      <c r="O1684" s="157">
        <f>IF($F1684="","",IF(COUNTIF(MASTER_JAM!$A$5:$A$94,$C1684)=0,"Digger tidak dikenal",IF($J1684="","Hauler tidak dikenal",IF($H1684="?","Jam salah",IF($K1684=0,"Faktor kosong",IF(SUMIFS(INPUT_DELAY!$E$5:$E$20000,INPUT_DELAY!$A$5:$A$20000,$A1684,INPUT_DELAY!$B$5:$B$20000,$B1684,INPUT_DELAY!$C$5:$C$20000,$C1684)+SUMIFS(INPUT_DELAY!$E$5:$E$20000,INPUT_DELAY!$A$5:$A$20000,$A1684,INPUT_DELAY!$B$5:$B$20000,$B1684,INPUT_DELAY!$C$5:$C$20000,"SEMUA")&gt;=60,"Delay 60 mnt tapi ada ritase","OK"))))))</f>
        <v/>
      </c>
      <c r="P1684" s="158">
        <f>IFERROR(INDEX(MASTER_JAM!$Z$5:$AC$10,MATCH($I1684,MASTER_JAM!$Y$5:$Y$10,0),MATCH($J1684,MASTER_JAM!$Z$4:$AC$4,0))+0,0)</f>
        <v/>
      </c>
      <c r="Q1684" s="158">
        <f>IF($P1684=0,0,$P1684+IFERROR(INDEX(MASTER_JAM!$H$5:$H$94,MATCH($C1684,MASTER_JAM!$A$5:$A$94,0))+0,MASTER_JAM!$AC$15)/1000*(60/MASTER_JAM!$AC$12+60/MASTER_JAM!$AC$13)+MASTER_JAM!$AC$14)</f>
        <v/>
      </c>
      <c r="R1684" s="158">
        <f>IF(N($F1684)=0,0,$F1684/SUMIFS(INPUT_RITASE!$F$5:$F$20000,INPUT_RITASE!$A$5:$A$20000,$A1684,INPUT_RITASE!$B$5:$B$20000,$B1684,INPUT_RITASE!$C$5:$C$20000,$C1684,INPUT_RITASE!$D$5:$D$20000,$D1684))</f>
        <v/>
      </c>
      <c r="S1684" s="158">
        <f>IF($Q1684=0,0,$R1684*$P1684/$Q1684)</f>
        <v/>
      </c>
    </row>
    <row r="1685">
      <c r="A1685" s="155" t="n">
        <v>46110</v>
      </c>
      <c r="B1685" s="156" t="inlineStr">
        <is>
          <t>13-14</t>
        </is>
      </c>
      <c r="C1685" s="156" t="inlineStr">
        <is>
          <t>EX-755</t>
        </is>
      </c>
      <c r="D1685" s="156" t="inlineStr">
        <is>
          <t>DT-528</t>
        </is>
      </c>
      <c r="E1685" s="156" t="inlineStr">
        <is>
          <t>Coal</t>
        </is>
      </c>
      <c r="F1685" s="156" t="n">
        <v>4</v>
      </c>
      <c r="G1685" s="156" t="inlineStr"/>
      <c r="H1685" s="157">
        <f>IF($B1685="","",IF(ISNA(MATCH($B1685,MASTER_JAM!$Q$5:$Q$28,0)),"?",IF(MATCH($B1685,MASTER_JAM!$Q$5:$Q$28,0)&lt;=12,"DS","NS")))</f>
        <v/>
      </c>
      <c r="I1685" s="157">
        <f>IFERROR(INDEX(MASTER_JAM!$B$5:$B$94,MATCH($C1685,MASTER_JAM!$A$5:$A$94,0)),"")</f>
        <v/>
      </c>
      <c r="J1685" s="157">
        <f>IFERROR(INDEX(MASTER_JAM!$E$5:$E$94,MATCH($D1685,MASTER_JAM!$A$5:$A$94,0)),"")</f>
        <v/>
      </c>
      <c r="K1685" s="158">
        <f>IFERROR(INDEX(MASTER_JAM!$J$5:$O$12,MATCH($E1685,MASTER_JAM!$I$5:$I$12,0),MATCH($J1685,MASTER_JAM!$J$4:$O$4,0))+0,0)</f>
        <v/>
      </c>
      <c r="L1685" s="159">
        <f>N($F1685)*$K1685</f>
        <v/>
      </c>
      <c r="M1685" s="157">
        <f>IF($E1685="","",IF(OR($E1685="Coal",$E1685="Dirty Coal"),"MT","BCM"))</f>
        <v/>
      </c>
      <c r="N1685" s="157">
        <f>IF($E1685="","",IF(OR($E1685="Coal",$E1685="Dirty Coal"),"Coal","OB"))</f>
        <v/>
      </c>
      <c r="O1685" s="157">
        <f>IF($F1685="","",IF(COUNTIF(MASTER_JAM!$A$5:$A$94,$C1685)=0,"Digger tidak dikenal",IF($J1685="","Hauler tidak dikenal",IF($H1685="?","Jam salah",IF($K1685=0,"Faktor kosong",IF(SUMIFS(INPUT_DELAY!$E$5:$E$20000,INPUT_DELAY!$A$5:$A$20000,$A1685,INPUT_DELAY!$B$5:$B$20000,$B1685,INPUT_DELAY!$C$5:$C$20000,$C1685)+SUMIFS(INPUT_DELAY!$E$5:$E$20000,INPUT_DELAY!$A$5:$A$20000,$A1685,INPUT_DELAY!$B$5:$B$20000,$B1685,INPUT_DELAY!$C$5:$C$20000,"SEMUA")&gt;=60,"Delay 60 mnt tapi ada ritase","OK"))))))</f>
        <v/>
      </c>
      <c r="P1685" s="158">
        <f>IFERROR(INDEX(MASTER_JAM!$Z$5:$AC$10,MATCH($I1685,MASTER_JAM!$Y$5:$Y$10,0),MATCH($J1685,MASTER_JAM!$Z$4:$AC$4,0))+0,0)</f>
        <v/>
      </c>
      <c r="Q1685" s="158">
        <f>IF($P1685=0,0,$P1685+IFERROR(INDEX(MASTER_JAM!$H$5:$H$94,MATCH($C1685,MASTER_JAM!$A$5:$A$94,0))+0,MASTER_JAM!$AC$15)/1000*(60/MASTER_JAM!$AC$12+60/MASTER_JAM!$AC$13)+MASTER_JAM!$AC$14)</f>
        <v/>
      </c>
      <c r="R1685" s="158">
        <f>IF(N($F1685)=0,0,$F1685/SUMIFS(INPUT_RITASE!$F$5:$F$20000,INPUT_RITASE!$A$5:$A$20000,$A1685,INPUT_RITASE!$B$5:$B$20000,$B1685,INPUT_RITASE!$C$5:$C$20000,$C1685,INPUT_RITASE!$D$5:$D$20000,$D1685))</f>
        <v/>
      </c>
      <c r="S1685" s="158">
        <f>IF($Q1685=0,0,$R1685*$P1685/$Q1685)</f>
        <v/>
      </c>
    </row>
    <row r="1686">
      <c r="A1686" s="155" t="n">
        <v>46110</v>
      </c>
      <c r="B1686" s="156" t="inlineStr">
        <is>
          <t>14-15</t>
        </is>
      </c>
      <c r="C1686" s="156" t="inlineStr">
        <is>
          <t>EX-755</t>
        </is>
      </c>
      <c r="D1686" s="156" t="inlineStr">
        <is>
          <t>DT-511</t>
        </is>
      </c>
      <c r="E1686" s="156" t="inlineStr">
        <is>
          <t>Coal</t>
        </is>
      </c>
      <c r="F1686" s="156" t="n">
        <v>4</v>
      </c>
      <c r="G1686" s="156" t="inlineStr"/>
      <c r="H1686" s="157">
        <f>IF($B1686="","",IF(ISNA(MATCH($B1686,MASTER_JAM!$Q$5:$Q$28,0)),"?",IF(MATCH($B1686,MASTER_JAM!$Q$5:$Q$28,0)&lt;=12,"DS","NS")))</f>
        <v/>
      </c>
      <c r="I1686" s="157">
        <f>IFERROR(INDEX(MASTER_JAM!$B$5:$B$94,MATCH($C1686,MASTER_JAM!$A$5:$A$94,0)),"")</f>
        <v/>
      </c>
      <c r="J1686" s="157">
        <f>IFERROR(INDEX(MASTER_JAM!$E$5:$E$94,MATCH($D1686,MASTER_JAM!$A$5:$A$94,0)),"")</f>
        <v/>
      </c>
      <c r="K1686" s="158">
        <f>IFERROR(INDEX(MASTER_JAM!$J$5:$O$12,MATCH($E1686,MASTER_JAM!$I$5:$I$12,0),MATCH($J1686,MASTER_JAM!$J$4:$O$4,0))+0,0)</f>
        <v/>
      </c>
      <c r="L1686" s="159">
        <f>N($F1686)*$K1686</f>
        <v/>
      </c>
      <c r="M1686" s="157">
        <f>IF($E1686="","",IF(OR($E1686="Coal",$E1686="Dirty Coal"),"MT","BCM"))</f>
        <v/>
      </c>
      <c r="N1686" s="157">
        <f>IF($E1686="","",IF(OR($E1686="Coal",$E1686="Dirty Coal"),"Coal","OB"))</f>
        <v/>
      </c>
      <c r="O1686" s="157">
        <f>IF($F1686="","",IF(COUNTIF(MASTER_JAM!$A$5:$A$94,$C1686)=0,"Digger tidak dikenal",IF($J1686="","Hauler tidak dikenal",IF($H1686="?","Jam salah",IF($K1686=0,"Faktor kosong",IF(SUMIFS(INPUT_DELAY!$E$5:$E$20000,INPUT_DELAY!$A$5:$A$20000,$A1686,INPUT_DELAY!$B$5:$B$20000,$B1686,INPUT_DELAY!$C$5:$C$20000,$C1686)+SUMIFS(INPUT_DELAY!$E$5:$E$20000,INPUT_DELAY!$A$5:$A$20000,$A1686,INPUT_DELAY!$B$5:$B$20000,$B1686,INPUT_DELAY!$C$5:$C$20000,"SEMUA")&gt;=60,"Delay 60 mnt tapi ada ritase","OK"))))))</f>
        <v/>
      </c>
      <c r="P1686" s="158">
        <f>IFERROR(INDEX(MASTER_JAM!$Z$5:$AC$10,MATCH($I1686,MASTER_JAM!$Y$5:$Y$10,0),MATCH($J1686,MASTER_JAM!$Z$4:$AC$4,0))+0,0)</f>
        <v/>
      </c>
      <c r="Q1686" s="158">
        <f>IF($P1686=0,0,$P1686+IFERROR(INDEX(MASTER_JAM!$H$5:$H$94,MATCH($C1686,MASTER_JAM!$A$5:$A$94,0))+0,MASTER_JAM!$AC$15)/1000*(60/MASTER_JAM!$AC$12+60/MASTER_JAM!$AC$13)+MASTER_JAM!$AC$14)</f>
        <v/>
      </c>
      <c r="R1686" s="158">
        <f>IF(N($F1686)=0,0,$F1686/SUMIFS(INPUT_RITASE!$F$5:$F$20000,INPUT_RITASE!$A$5:$A$20000,$A1686,INPUT_RITASE!$B$5:$B$20000,$B1686,INPUT_RITASE!$C$5:$C$20000,$C1686,INPUT_RITASE!$D$5:$D$20000,$D1686))</f>
        <v/>
      </c>
      <c r="S1686" s="158">
        <f>IF($Q1686=0,0,$R1686*$P1686/$Q1686)</f>
        <v/>
      </c>
    </row>
    <row r="1687">
      <c r="A1687" s="155" t="n">
        <v>46110</v>
      </c>
      <c r="B1687" s="156" t="inlineStr">
        <is>
          <t>06-07</t>
        </is>
      </c>
      <c r="C1687" s="156" t="inlineStr">
        <is>
          <t>EX-753</t>
        </is>
      </c>
      <c r="D1687" s="156" t="inlineStr">
        <is>
          <t>DT-506</t>
        </is>
      </c>
      <c r="E1687" s="156" t="inlineStr">
        <is>
          <t>OB</t>
        </is>
      </c>
      <c r="F1687" s="156" t="n">
        <v>4</v>
      </c>
      <c r="G1687" s="156" t="inlineStr"/>
      <c r="H1687" s="157">
        <f>IF($B1687="","",IF(ISNA(MATCH($B1687,MASTER_JAM!$Q$5:$Q$28,0)),"?",IF(MATCH($B1687,MASTER_JAM!$Q$5:$Q$28,0)&lt;=12,"DS","NS")))</f>
        <v/>
      </c>
      <c r="I1687" s="157">
        <f>IFERROR(INDEX(MASTER_JAM!$B$5:$B$94,MATCH($C1687,MASTER_JAM!$A$5:$A$94,0)),"")</f>
        <v/>
      </c>
      <c r="J1687" s="157">
        <f>IFERROR(INDEX(MASTER_JAM!$E$5:$E$94,MATCH($D1687,MASTER_JAM!$A$5:$A$94,0)),"")</f>
        <v/>
      </c>
      <c r="K1687" s="158">
        <f>IFERROR(INDEX(MASTER_JAM!$J$5:$O$12,MATCH($E1687,MASTER_JAM!$I$5:$I$12,0),MATCH($J1687,MASTER_JAM!$J$4:$O$4,0))+0,0)</f>
        <v/>
      </c>
      <c r="L1687" s="159">
        <f>N($F1687)*$K1687</f>
        <v/>
      </c>
      <c r="M1687" s="157">
        <f>IF($E1687="","",IF(OR($E1687="Coal",$E1687="Dirty Coal"),"MT","BCM"))</f>
        <v/>
      </c>
      <c r="N1687" s="157">
        <f>IF($E1687="","",IF(OR($E1687="Coal",$E1687="Dirty Coal"),"Coal","OB"))</f>
        <v/>
      </c>
      <c r="O1687" s="157">
        <f>IF($F1687="","",IF(COUNTIF(MASTER_JAM!$A$5:$A$94,$C1687)=0,"Digger tidak dikenal",IF($J1687="","Hauler tidak dikenal",IF($H1687="?","Jam salah",IF($K1687=0,"Faktor kosong",IF(SUMIFS(INPUT_DELAY!$E$5:$E$20000,INPUT_DELAY!$A$5:$A$20000,$A1687,INPUT_DELAY!$B$5:$B$20000,$B1687,INPUT_DELAY!$C$5:$C$20000,$C1687)+SUMIFS(INPUT_DELAY!$E$5:$E$20000,INPUT_DELAY!$A$5:$A$20000,$A1687,INPUT_DELAY!$B$5:$B$20000,$B1687,INPUT_DELAY!$C$5:$C$20000,"SEMUA")&gt;=60,"Delay 60 mnt tapi ada ritase","OK"))))))</f>
        <v/>
      </c>
      <c r="P1687" s="158">
        <f>IFERROR(INDEX(MASTER_JAM!$Z$5:$AC$10,MATCH($I1687,MASTER_JAM!$Y$5:$Y$10,0),MATCH($J1687,MASTER_JAM!$Z$4:$AC$4,0))+0,0)</f>
        <v/>
      </c>
      <c r="Q1687" s="158">
        <f>IF($P1687=0,0,$P1687+IFERROR(INDEX(MASTER_JAM!$H$5:$H$94,MATCH($C1687,MASTER_JAM!$A$5:$A$94,0))+0,MASTER_JAM!$AC$15)/1000*(60/MASTER_JAM!$AC$12+60/MASTER_JAM!$AC$13)+MASTER_JAM!$AC$14)</f>
        <v/>
      </c>
      <c r="R1687" s="158">
        <f>IF(N($F1687)=0,0,$F1687/SUMIFS(INPUT_RITASE!$F$5:$F$20000,INPUT_RITASE!$A$5:$A$20000,$A1687,INPUT_RITASE!$B$5:$B$20000,$B1687,INPUT_RITASE!$C$5:$C$20000,$C1687,INPUT_RITASE!$D$5:$D$20000,$D1687))</f>
        <v/>
      </c>
      <c r="S1687" s="158">
        <f>IF($Q1687=0,0,$R1687*$P1687/$Q1687)</f>
        <v/>
      </c>
    </row>
    <row r="1688">
      <c r="A1688" s="155" t="n">
        <v>46110</v>
      </c>
      <c r="B1688" s="156" t="inlineStr">
        <is>
          <t>06-07</t>
        </is>
      </c>
      <c r="C1688" s="156" t="inlineStr">
        <is>
          <t>EX-753</t>
        </is>
      </c>
      <c r="D1688" s="156" t="inlineStr">
        <is>
          <t>DT-517</t>
        </is>
      </c>
      <c r="E1688" s="156" t="inlineStr">
        <is>
          <t>OB</t>
        </is>
      </c>
      <c r="F1688" s="156" t="n">
        <v>4</v>
      </c>
      <c r="G1688" s="156" t="inlineStr"/>
      <c r="H1688" s="157">
        <f>IF($B1688="","",IF(ISNA(MATCH($B1688,MASTER_JAM!$Q$5:$Q$28,0)),"?",IF(MATCH($B1688,MASTER_JAM!$Q$5:$Q$28,0)&lt;=12,"DS","NS")))</f>
        <v/>
      </c>
      <c r="I1688" s="157">
        <f>IFERROR(INDEX(MASTER_JAM!$B$5:$B$94,MATCH($C1688,MASTER_JAM!$A$5:$A$94,0)),"")</f>
        <v/>
      </c>
      <c r="J1688" s="157">
        <f>IFERROR(INDEX(MASTER_JAM!$E$5:$E$94,MATCH($D1688,MASTER_JAM!$A$5:$A$94,0)),"")</f>
        <v/>
      </c>
      <c r="K1688" s="158">
        <f>IFERROR(INDEX(MASTER_JAM!$J$5:$O$12,MATCH($E1688,MASTER_JAM!$I$5:$I$12,0),MATCH($J1688,MASTER_JAM!$J$4:$O$4,0))+0,0)</f>
        <v/>
      </c>
      <c r="L1688" s="159">
        <f>N($F1688)*$K1688</f>
        <v/>
      </c>
      <c r="M1688" s="157">
        <f>IF($E1688="","",IF(OR($E1688="Coal",$E1688="Dirty Coal"),"MT","BCM"))</f>
        <v/>
      </c>
      <c r="N1688" s="157">
        <f>IF($E1688="","",IF(OR($E1688="Coal",$E1688="Dirty Coal"),"Coal","OB"))</f>
        <v/>
      </c>
      <c r="O1688" s="157">
        <f>IF($F1688="","",IF(COUNTIF(MASTER_JAM!$A$5:$A$94,$C1688)=0,"Digger tidak dikenal",IF($J1688="","Hauler tidak dikenal",IF($H1688="?","Jam salah",IF($K1688=0,"Faktor kosong",IF(SUMIFS(INPUT_DELAY!$E$5:$E$20000,INPUT_DELAY!$A$5:$A$20000,$A1688,INPUT_DELAY!$B$5:$B$20000,$B1688,INPUT_DELAY!$C$5:$C$20000,$C1688)+SUMIFS(INPUT_DELAY!$E$5:$E$20000,INPUT_DELAY!$A$5:$A$20000,$A1688,INPUT_DELAY!$B$5:$B$20000,$B1688,INPUT_DELAY!$C$5:$C$20000,"SEMUA")&gt;=60,"Delay 60 mnt tapi ada ritase","OK"))))))</f>
        <v/>
      </c>
      <c r="P1688" s="158">
        <f>IFERROR(INDEX(MASTER_JAM!$Z$5:$AC$10,MATCH($I1688,MASTER_JAM!$Y$5:$Y$10,0),MATCH($J1688,MASTER_JAM!$Z$4:$AC$4,0))+0,0)</f>
        <v/>
      </c>
      <c r="Q1688" s="158">
        <f>IF($P1688=0,0,$P1688+IFERROR(INDEX(MASTER_JAM!$H$5:$H$94,MATCH($C1688,MASTER_JAM!$A$5:$A$94,0))+0,MASTER_JAM!$AC$15)/1000*(60/MASTER_JAM!$AC$12+60/MASTER_JAM!$AC$13)+MASTER_JAM!$AC$14)</f>
        <v/>
      </c>
      <c r="R1688" s="158">
        <f>IF(N($F1688)=0,0,$F1688/SUMIFS(INPUT_RITASE!$F$5:$F$20000,INPUT_RITASE!$A$5:$A$20000,$A1688,INPUT_RITASE!$B$5:$B$20000,$B1688,INPUT_RITASE!$C$5:$C$20000,$C1688,INPUT_RITASE!$D$5:$D$20000,$D1688))</f>
        <v/>
      </c>
      <c r="S1688" s="158">
        <f>IF($Q1688=0,0,$R1688*$P1688/$Q1688)</f>
        <v/>
      </c>
    </row>
    <row r="1689">
      <c r="A1689" s="155" t="n">
        <v>46110</v>
      </c>
      <c r="B1689" s="156" t="inlineStr">
        <is>
          <t>06-07</t>
        </is>
      </c>
      <c r="C1689" s="156" t="inlineStr">
        <is>
          <t>EX-753</t>
        </is>
      </c>
      <c r="D1689" s="156" t="inlineStr">
        <is>
          <t>DT-502</t>
        </is>
      </c>
      <c r="E1689" s="156" t="inlineStr">
        <is>
          <t>OB</t>
        </is>
      </c>
      <c r="F1689" s="156" t="n">
        <v>4</v>
      </c>
      <c r="G1689" s="156" t="inlineStr"/>
      <c r="H1689" s="157">
        <f>IF($B1689="","",IF(ISNA(MATCH($B1689,MASTER_JAM!$Q$5:$Q$28,0)),"?",IF(MATCH($B1689,MASTER_JAM!$Q$5:$Q$28,0)&lt;=12,"DS","NS")))</f>
        <v/>
      </c>
      <c r="I1689" s="157">
        <f>IFERROR(INDEX(MASTER_JAM!$B$5:$B$94,MATCH($C1689,MASTER_JAM!$A$5:$A$94,0)),"")</f>
        <v/>
      </c>
      <c r="J1689" s="157">
        <f>IFERROR(INDEX(MASTER_JAM!$E$5:$E$94,MATCH($D1689,MASTER_JAM!$A$5:$A$94,0)),"")</f>
        <v/>
      </c>
      <c r="K1689" s="158">
        <f>IFERROR(INDEX(MASTER_JAM!$J$5:$O$12,MATCH($E1689,MASTER_JAM!$I$5:$I$12,0),MATCH($J1689,MASTER_JAM!$J$4:$O$4,0))+0,0)</f>
        <v/>
      </c>
      <c r="L1689" s="159">
        <f>N($F1689)*$K1689</f>
        <v/>
      </c>
      <c r="M1689" s="157">
        <f>IF($E1689="","",IF(OR($E1689="Coal",$E1689="Dirty Coal"),"MT","BCM"))</f>
        <v/>
      </c>
      <c r="N1689" s="157">
        <f>IF($E1689="","",IF(OR($E1689="Coal",$E1689="Dirty Coal"),"Coal","OB"))</f>
        <v/>
      </c>
      <c r="O1689" s="157">
        <f>IF($F1689="","",IF(COUNTIF(MASTER_JAM!$A$5:$A$94,$C1689)=0,"Digger tidak dikenal",IF($J1689="","Hauler tidak dikenal",IF($H1689="?","Jam salah",IF($K1689=0,"Faktor kosong",IF(SUMIFS(INPUT_DELAY!$E$5:$E$20000,INPUT_DELAY!$A$5:$A$20000,$A1689,INPUT_DELAY!$B$5:$B$20000,$B1689,INPUT_DELAY!$C$5:$C$20000,$C1689)+SUMIFS(INPUT_DELAY!$E$5:$E$20000,INPUT_DELAY!$A$5:$A$20000,$A1689,INPUT_DELAY!$B$5:$B$20000,$B1689,INPUT_DELAY!$C$5:$C$20000,"SEMUA")&gt;=60,"Delay 60 mnt tapi ada ritase","OK"))))))</f>
        <v/>
      </c>
      <c r="P1689" s="158">
        <f>IFERROR(INDEX(MASTER_JAM!$Z$5:$AC$10,MATCH($I1689,MASTER_JAM!$Y$5:$Y$10,0),MATCH($J1689,MASTER_JAM!$Z$4:$AC$4,0))+0,0)</f>
        <v/>
      </c>
      <c r="Q1689" s="158">
        <f>IF($P1689=0,0,$P1689+IFERROR(INDEX(MASTER_JAM!$H$5:$H$94,MATCH($C1689,MASTER_JAM!$A$5:$A$94,0))+0,MASTER_JAM!$AC$15)/1000*(60/MASTER_JAM!$AC$12+60/MASTER_JAM!$AC$13)+MASTER_JAM!$AC$14)</f>
        <v/>
      </c>
      <c r="R1689" s="158">
        <f>IF(N($F1689)=0,0,$F1689/SUMIFS(INPUT_RITASE!$F$5:$F$20000,INPUT_RITASE!$A$5:$A$20000,$A1689,INPUT_RITASE!$B$5:$B$20000,$B1689,INPUT_RITASE!$C$5:$C$20000,$C1689,INPUT_RITASE!$D$5:$D$20000,$D1689))</f>
        <v/>
      </c>
      <c r="S1689" s="158">
        <f>IF($Q1689=0,0,$R1689*$P1689/$Q1689)</f>
        <v/>
      </c>
    </row>
    <row r="1690">
      <c r="A1690" s="155" t="n">
        <v>46110</v>
      </c>
      <c r="B1690" s="156" t="inlineStr">
        <is>
          <t>06-07</t>
        </is>
      </c>
      <c r="C1690" s="156" t="inlineStr">
        <is>
          <t>EX-753</t>
        </is>
      </c>
      <c r="D1690" s="156" t="inlineStr">
        <is>
          <t>DT-516</t>
        </is>
      </c>
      <c r="E1690" s="156" t="inlineStr">
        <is>
          <t>OB</t>
        </is>
      </c>
      <c r="F1690" s="156" t="n">
        <v>3</v>
      </c>
      <c r="G1690" s="156" t="inlineStr"/>
      <c r="H1690" s="157">
        <f>IF($B1690="","",IF(ISNA(MATCH($B1690,MASTER_JAM!$Q$5:$Q$28,0)),"?",IF(MATCH($B1690,MASTER_JAM!$Q$5:$Q$28,0)&lt;=12,"DS","NS")))</f>
        <v/>
      </c>
      <c r="I1690" s="157">
        <f>IFERROR(INDEX(MASTER_JAM!$B$5:$B$94,MATCH($C1690,MASTER_JAM!$A$5:$A$94,0)),"")</f>
        <v/>
      </c>
      <c r="J1690" s="157">
        <f>IFERROR(INDEX(MASTER_JAM!$E$5:$E$94,MATCH($D1690,MASTER_JAM!$A$5:$A$94,0)),"")</f>
        <v/>
      </c>
      <c r="K1690" s="158">
        <f>IFERROR(INDEX(MASTER_JAM!$J$5:$O$12,MATCH($E1690,MASTER_JAM!$I$5:$I$12,0),MATCH($J1690,MASTER_JAM!$J$4:$O$4,0))+0,0)</f>
        <v/>
      </c>
      <c r="L1690" s="159">
        <f>N($F1690)*$K1690</f>
        <v/>
      </c>
      <c r="M1690" s="157">
        <f>IF($E1690="","",IF(OR($E1690="Coal",$E1690="Dirty Coal"),"MT","BCM"))</f>
        <v/>
      </c>
      <c r="N1690" s="157">
        <f>IF($E1690="","",IF(OR($E1690="Coal",$E1690="Dirty Coal"),"Coal","OB"))</f>
        <v/>
      </c>
      <c r="O1690" s="157">
        <f>IF($F1690="","",IF(COUNTIF(MASTER_JAM!$A$5:$A$94,$C1690)=0,"Digger tidak dikenal",IF($J1690="","Hauler tidak dikenal",IF($H1690="?","Jam salah",IF($K1690=0,"Faktor kosong",IF(SUMIFS(INPUT_DELAY!$E$5:$E$20000,INPUT_DELAY!$A$5:$A$20000,$A1690,INPUT_DELAY!$B$5:$B$20000,$B1690,INPUT_DELAY!$C$5:$C$20000,$C1690)+SUMIFS(INPUT_DELAY!$E$5:$E$20000,INPUT_DELAY!$A$5:$A$20000,$A1690,INPUT_DELAY!$B$5:$B$20000,$B1690,INPUT_DELAY!$C$5:$C$20000,"SEMUA")&gt;=60,"Delay 60 mnt tapi ada ritase","OK"))))))</f>
        <v/>
      </c>
      <c r="P1690" s="158">
        <f>IFERROR(INDEX(MASTER_JAM!$Z$5:$AC$10,MATCH($I1690,MASTER_JAM!$Y$5:$Y$10,0),MATCH($J1690,MASTER_JAM!$Z$4:$AC$4,0))+0,0)</f>
        <v/>
      </c>
      <c r="Q1690" s="158">
        <f>IF($P1690=0,0,$P1690+IFERROR(INDEX(MASTER_JAM!$H$5:$H$94,MATCH($C1690,MASTER_JAM!$A$5:$A$94,0))+0,MASTER_JAM!$AC$15)/1000*(60/MASTER_JAM!$AC$12+60/MASTER_JAM!$AC$13)+MASTER_JAM!$AC$14)</f>
        <v/>
      </c>
      <c r="R1690" s="158">
        <f>IF(N($F1690)=0,0,$F1690/SUMIFS(INPUT_RITASE!$F$5:$F$20000,INPUT_RITASE!$A$5:$A$20000,$A1690,INPUT_RITASE!$B$5:$B$20000,$B1690,INPUT_RITASE!$C$5:$C$20000,$C1690,INPUT_RITASE!$D$5:$D$20000,$D1690))</f>
        <v/>
      </c>
      <c r="S1690" s="158">
        <f>IF($Q1690=0,0,$R1690*$P1690/$Q1690)</f>
        <v/>
      </c>
    </row>
    <row r="1691">
      <c r="A1691" s="155" t="n">
        <v>46110</v>
      </c>
      <c r="B1691" s="156" t="inlineStr">
        <is>
          <t>07-08</t>
        </is>
      </c>
      <c r="C1691" s="156" t="inlineStr">
        <is>
          <t>EX-753</t>
        </is>
      </c>
      <c r="D1691" s="156" t="inlineStr">
        <is>
          <t>DT-512</t>
        </is>
      </c>
      <c r="E1691" s="156" t="inlineStr">
        <is>
          <t>OB</t>
        </is>
      </c>
      <c r="F1691" s="156" t="n">
        <v>4</v>
      </c>
      <c r="G1691" s="156" t="inlineStr"/>
      <c r="H1691" s="157">
        <f>IF($B1691="","",IF(ISNA(MATCH($B1691,MASTER_JAM!$Q$5:$Q$28,0)),"?",IF(MATCH($B1691,MASTER_JAM!$Q$5:$Q$28,0)&lt;=12,"DS","NS")))</f>
        <v/>
      </c>
      <c r="I1691" s="157">
        <f>IFERROR(INDEX(MASTER_JAM!$B$5:$B$94,MATCH($C1691,MASTER_JAM!$A$5:$A$94,0)),"")</f>
        <v/>
      </c>
      <c r="J1691" s="157">
        <f>IFERROR(INDEX(MASTER_JAM!$E$5:$E$94,MATCH($D1691,MASTER_JAM!$A$5:$A$94,0)),"")</f>
        <v/>
      </c>
      <c r="K1691" s="158">
        <f>IFERROR(INDEX(MASTER_JAM!$J$5:$O$12,MATCH($E1691,MASTER_JAM!$I$5:$I$12,0),MATCH($J1691,MASTER_JAM!$J$4:$O$4,0))+0,0)</f>
        <v/>
      </c>
      <c r="L1691" s="159">
        <f>N($F1691)*$K1691</f>
        <v/>
      </c>
      <c r="M1691" s="157">
        <f>IF($E1691="","",IF(OR($E1691="Coal",$E1691="Dirty Coal"),"MT","BCM"))</f>
        <v/>
      </c>
      <c r="N1691" s="157">
        <f>IF($E1691="","",IF(OR($E1691="Coal",$E1691="Dirty Coal"),"Coal","OB"))</f>
        <v/>
      </c>
      <c r="O1691" s="157">
        <f>IF($F1691="","",IF(COUNTIF(MASTER_JAM!$A$5:$A$94,$C1691)=0,"Digger tidak dikenal",IF($J1691="","Hauler tidak dikenal",IF($H1691="?","Jam salah",IF($K1691=0,"Faktor kosong",IF(SUMIFS(INPUT_DELAY!$E$5:$E$20000,INPUT_DELAY!$A$5:$A$20000,$A1691,INPUT_DELAY!$B$5:$B$20000,$B1691,INPUT_DELAY!$C$5:$C$20000,$C1691)+SUMIFS(INPUT_DELAY!$E$5:$E$20000,INPUT_DELAY!$A$5:$A$20000,$A1691,INPUT_DELAY!$B$5:$B$20000,$B1691,INPUT_DELAY!$C$5:$C$20000,"SEMUA")&gt;=60,"Delay 60 mnt tapi ada ritase","OK"))))))</f>
        <v/>
      </c>
      <c r="P1691" s="158">
        <f>IFERROR(INDEX(MASTER_JAM!$Z$5:$AC$10,MATCH($I1691,MASTER_JAM!$Y$5:$Y$10,0),MATCH($J1691,MASTER_JAM!$Z$4:$AC$4,0))+0,0)</f>
        <v/>
      </c>
      <c r="Q1691" s="158">
        <f>IF($P1691=0,0,$P1691+IFERROR(INDEX(MASTER_JAM!$H$5:$H$94,MATCH($C1691,MASTER_JAM!$A$5:$A$94,0))+0,MASTER_JAM!$AC$15)/1000*(60/MASTER_JAM!$AC$12+60/MASTER_JAM!$AC$13)+MASTER_JAM!$AC$14)</f>
        <v/>
      </c>
      <c r="R1691" s="158">
        <f>IF(N($F1691)=0,0,$F1691/SUMIFS(INPUT_RITASE!$F$5:$F$20000,INPUT_RITASE!$A$5:$A$20000,$A1691,INPUT_RITASE!$B$5:$B$20000,$B1691,INPUT_RITASE!$C$5:$C$20000,$C1691,INPUT_RITASE!$D$5:$D$20000,$D1691))</f>
        <v/>
      </c>
      <c r="S1691" s="158">
        <f>IF($Q1691=0,0,$R1691*$P1691/$Q1691)</f>
        <v/>
      </c>
    </row>
    <row r="1692">
      <c r="A1692" s="155" t="n">
        <v>46110</v>
      </c>
      <c r="B1692" s="156" t="inlineStr">
        <is>
          <t>07-08</t>
        </is>
      </c>
      <c r="C1692" s="156" t="inlineStr">
        <is>
          <t>EX-753</t>
        </is>
      </c>
      <c r="D1692" s="156" t="inlineStr">
        <is>
          <t>DT-508</t>
        </is>
      </c>
      <c r="E1692" s="156" t="inlineStr">
        <is>
          <t>OB</t>
        </is>
      </c>
      <c r="F1692" s="156" t="n">
        <v>3</v>
      </c>
      <c r="G1692" s="156" t="inlineStr"/>
      <c r="H1692" s="157">
        <f>IF($B1692="","",IF(ISNA(MATCH($B1692,MASTER_JAM!$Q$5:$Q$28,0)),"?",IF(MATCH($B1692,MASTER_JAM!$Q$5:$Q$28,0)&lt;=12,"DS","NS")))</f>
        <v/>
      </c>
      <c r="I1692" s="157">
        <f>IFERROR(INDEX(MASTER_JAM!$B$5:$B$94,MATCH($C1692,MASTER_JAM!$A$5:$A$94,0)),"")</f>
        <v/>
      </c>
      <c r="J1692" s="157">
        <f>IFERROR(INDEX(MASTER_JAM!$E$5:$E$94,MATCH($D1692,MASTER_JAM!$A$5:$A$94,0)),"")</f>
        <v/>
      </c>
      <c r="K1692" s="158">
        <f>IFERROR(INDEX(MASTER_JAM!$J$5:$O$12,MATCH($E1692,MASTER_JAM!$I$5:$I$12,0),MATCH($J1692,MASTER_JAM!$J$4:$O$4,0))+0,0)</f>
        <v/>
      </c>
      <c r="L1692" s="159">
        <f>N($F1692)*$K1692</f>
        <v/>
      </c>
      <c r="M1692" s="157">
        <f>IF($E1692="","",IF(OR($E1692="Coal",$E1692="Dirty Coal"),"MT","BCM"))</f>
        <v/>
      </c>
      <c r="N1692" s="157">
        <f>IF($E1692="","",IF(OR($E1692="Coal",$E1692="Dirty Coal"),"Coal","OB"))</f>
        <v/>
      </c>
      <c r="O1692" s="157">
        <f>IF($F1692="","",IF(COUNTIF(MASTER_JAM!$A$5:$A$94,$C1692)=0,"Digger tidak dikenal",IF($J1692="","Hauler tidak dikenal",IF($H1692="?","Jam salah",IF($K1692=0,"Faktor kosong",IF(SUMIFS(INPUT_DELAY!$E$5:$E$20000,INPUT_DELAY!$A$5:$A$20000,$A1692,INPUT_DELAY!$B$5:$B$20000,$B1692,INPUT_DELAY!$C$5:$C$20000,$C1692)+SUMIFS(INPUT_DELAY!$E$5:$E$20000,INPUT_DELAY!$A$5:$A$20000,$A1692,INPUT_DELAY!$B$5:$B$20000,$B1692,INPUT_DELAY!$C$5:$C$20000,"SEMUA")&gt;=60,"Delay 60 mnt tapi ada ritase","OK"))))))</f>
        <v/>
      </c>
      <c r="P1692" s="158">
        <f>IFERROR(INDEX(MASTER_JAM!$Z$5:$AC$10,MATCH($I1692,MASTER_JAM!$Y$5:$Y$10,0),MATCH($J1692,MASTER_JAM!$Z$4:$AC$4,0))+0,0)</f>
        <v/>
      </c>
      <c r="Q1692" s="158">
        <f>IF($P1692=0,0,$P1692+IFERROR(INDEX(MASTER_JAM!$H$5:$H$94,MATCH($C1692,MASTER_JAM!$A$5:$A$94,0))+0,MASTER_JAM!$AC$15)/1000*(60/MASTER_JAM!$AC$12+60/MASTER_JAM!$AC$13)+MASTER_JAM!$AC$14)</f>
        <v/>
      </c>
      <c r="R1692" s="158">
        <f>IF(N($F1692)=0,0,$F1692/SUMIFS(INPUT_RITASE!$F$5:$F$20000,INPUT_RITASE!$A$5:$A$20000,$A1692,INPUT_RITASE!$B$5:$B$20000,$B1692,INPUT_RITASE!$C$5:$C$20000,$C1692,INPUT_RITASE!$D$5:$D$20000,$D1692))</f>
        <v/>
      </c>
      <c r="S1692" s="158">
        <f>IF($Q1692=0,0,$R1692*$P1692/$Q1692)</f>
        <v/>
      </c>
    </row>
    <row r="1693">
      <c r="A1693" s="155" t="n">
        <v>46110</v>
      </c>
      <c r="B1693" s="156" t="inlineStr">
        <is>
          <t>07-08</t>
        </is>
      </c>
      <c r="C1693" s="156" t="inlineStr">
        <is>
          <t>EX-753</t>
        </is>
      </c>
      <c r="D1693" s="156" t="inlineStr">
        <is>
          <t>DT-511</t>
        </is>
      </c>
      <c r="E1693" s="156" t="inlineStr">
        <is>
          <t>OB</t>
        </is>
      </c>
      <c r="F1693" s="156" t="n">
        <v>3</v>
      </c>
      <c r="G1693" s="156" t="inlineStr"/>
      <c r="H1693" s="157">
        <f>IF($B1693="","",IF(ISNA(MATCH($B1693,MASTER_JAM!$Q$5:$Q$28,0)),"?",IF(MATCH($B1693,MASTER_JAM!$Q$5:$Q$28,0)&lt;=12,"DS","NS")))</f>
        <v/>
      </c>
      <c r="I1693" s="157">
        <f>IFERROR(INDEX(MASTER_JAM!$B$5:$B$94,MATCH($C1693,MASTER_JAM!$A$5:$A$94,0)),"")</f>
        <v/>
      </c>
      <c r="J1693" s="157">
        <f>IFERROR(INDEX(MASTER_JAM!$E$5:$E$94,MATCH($D1693,MASTER_JAM!$A$5:$A$94,0)),"")</f>
        <v/>
      </c>
      <c r="K1693" s="158">
        <f>IFERROR(INDEX(MASTER_JAM!$J$5:$O$12,MATCH($E1693,MASTER_JAM!$I$5:$I$12,0),MATCH($J1693,MASTER_JAM!$J$4:$O$4,0))+0,0)</f>
        <v/>
      </c>
      <c r="L1693" s="159">
        <f>N($F1693)*$K1693</f>
        <v/>
      </c>
      <c r="M1693" s="157">
        <f>IF($E1693="","",IF(OR($E1693="Coal",$E1693="Dirty Coal"),"MT","BCM"))</f>
        <v/>
      </c>
      <c r="N1693" s="157">
        <f>IF($E1693="","",IF(OR($E1693="Coal",$E1693="Dirty Coal"),"Coal","OB"))</f>
        <v/>
      </c>
      <c r="O1693" s="157">
        <f>IF($F1693="","",IF(COUNTIF(MASTER_JAM!$A$5:$A$94,$C1693)=0,"Digger tidak dikenal",IF($J1693="","Hauler tidak dikenal",IF($H1693="?","Jam salah",IF($K1693=0,"Faktor kosong",IF(SUMIFS(INPUT_DELAY!$E$5:$E$20000,INPUT_DELAY!$A$5:$A$20000,$A1693,INPUT_DELAY!$B$5:$B$20000,$B1693,INPUT_DELAY!$C$5:$C$20000,$C1693)+SUMIFS(INPUT_DELAY!$E$5:$E$20000,INPUT_DELAY!$A$5:$A$20000,$A1693,INPUT_DELAY!$B$5:$B$20000,$B1693,INPUT_DELAY!$C$5:$C$20000,"SEMUA")&gt;=60,"Delay 60 mnt tapi ada ritase","OK"))))))</f>
        <v/>
      </c>
      <c r="P1693" s="158">
        <f>IFERROR(INDEX(MASTER_JAM!$Z$5:$AC$10,MATCH($I1693,MASTER_JAM!$Y$5:$Y$10,0),MATCH($J1693,MASTER_JAM!$Z$4:$AC$4,0))+0,0)</f>
        <v/>
      </c>
      <c r="Q1693" s="158">
        <f>IF($P1693=0,0,$P1693+IFERROR(INDEX(MASTER_JAM!$H$5:$H$94,MATCH($C1693,MASTER_JAM!$A$5:$A$94,0))+0,MASTER_JAM!$AC$15)/1000*(60/MASTER_JAM!$AC$12+60/MASTER_JAM!$AC$13)+MASTER_JAM!$AC$14)</f>
        <v/>
      </c>
      <c r="R1693" s="158">
        <f>IF(N($F1693)=0,0,$F1693/SUMIFS(INPUT_RITASE!$F$5:$F$20000,INPUT_RITASE!$A$5:$A$20000,$A1693,INPUT_RITASE!$B$5:$B$20000,$B1693,INPUT_RITASE!$C$5:$C$20000,$C1693,INPUT_RITASE!$D$5:$D$20000,$D1693))</f>
        <v/>
      </c>
      <c r="S1693" s="158">
        <f>IF($Q1693=0,0,$R1693*$P1693/$Q1693)</f>
        <v/>
      </c>
    </row>
    <row r="1694">
      <c r="A1694" s="155" t="n">
        <v>46110</v>
      </c>
      <c r="B1694" s="156" t="inlineStr">
        <is>
          <t>07-08</t>
        </is>
      </c>
      <c r="C1694" s="156" t="inlineStr">
        <is>
          <t>EX-753</t>
        </is>
      </c>
      <c r="D1694" s="156" t="inlineStr">
        <is>
          <t>DT-501</t>
        </is>
      </c>
      <c r="E1694" s="156" t="inlineStr">
        <is>
          <t>OB</t>
        </is>
      </c>
      <c r="F1694" s="156" t="n">
        <v>3</v>
      </c>
      <c r="G1694" s="156" t="inlineStr"/>
      <c r="H1694" s="157">
        <f>IF($B1694="","",IF(ISNA(MATCH($B1694,MASTER_JAM!$Q$5:$Q$28,0)),"?",IF(MATCH($B1694,MASTER_JAM!$Q$5:$Q$28,0)&lt;=12,"DS","NS")))</f>
        <v/>
      </c>
      <c r="I1694" s="157">
        <f>IFERROR(INDEX(MASTER_JAM!$B$5:$B$94,MATCH($C1694,MASTER_JAM!$A$5:$A$94,0)),"")</f>
        <v/>
      </c>
      <c r="J1694" s="157">
        <f>IFERROR(INDEX(MASTER_JAM!$E$5:$E$94,MATCH($D1694,MASTER_JAM!$A$5:$A$94,0)),"")</f>
        <v/>
      </c>
      <c r="K1694" s="158">
        <f>IFERROR(INDEX(MASTER_JAM!$J$5:$O$12,MATCH($E1694,MASTER_JAM!$I$5:$I$12,0),MATCH($J1694,MASTER_JAM!$J$4:$O$4,0))+0,0)</f>
        <v/>
      </c>
      <c r="L1694" s="159">
        <f>N($F1694)*$K1694</f>
        <v/>
      </c>
      <c r="M1694" s="157">
        <f>IF($E1694="","",IF(OR($E1694="Coal",$E1694="Dirty Coal"),"MT","BCM"))</f>
        <v/>
      </c>
      <c r="N1694" s="157">
        <f>IF($E1694="","",IF(OR($E1694="Coal",$E1694="Dirty Coal"),"Coal","OB"))</f>
        <v/>
      </c>
      <c r="O1694" s="157">
        <f>IF($F1694="","",IF(COUNTIF(MASTER_JAM!$A$5:$A$94,$C1694)=0,"Digger tidak dikenal",IF($J1694="","Hauler tidak dikenal",IF($H1694="?","Jam salah",IF($K1694=0,"Faktor kosong",IF(SUMIFS(INPUT_DELAY!$E$5:$E$20000,INPUT_DELAY!$A$5:$A$20000,$A1694,INPUT_DELAY!$B$5:$B$20000,$B1694,INPUT_DELAY!$C$5:$C$20000,$C1694)+SUMIFS(INPUT_DELAY!$E$5:$E$20000,INPUT_DELAY!$A$5:$A$20000,$A1694,INPUT_DELAY!$B$5:$B$20000,$B1694,INPUT_DELAY!$C$5:$C$20000,"SEMUA")&gt;=60,"Delay 60 mnt tapi ada ritase","OK"))))))</f>
        <v/>
      </c>
      <c r="P1694" s="158">
        <f>IFERROR(INDEX(MASTER_JAM!$Z$5:$AC$10,MATCH($I1694,MASTER_JAM!$Y$5:$Y$10,0),MATCH($J1694,MASTER_JAM!$Z$4:$AC$4,0))+0,0)</f>
        <v/>
      </c>
      <c r="Q1694" s="158">
        <f>IF($P1694=0,0,$P1694+IFERROR(INDEX(MASTER_JAM!$H$5:$H$94,MATCH($C1694,MASTER_JAM!$A$5:$A$94,0))+0,MASTER_JAM!$AC$15)/1000*(60/MASTER_JAM!$AC$12+60/MASTER_JAM!$AC$13)+MASTER_JAM!$AC$14)</f>
        <v/>
      </c>
      <c r="R1694" s="158">
        <f>IF(N($F1694)=0,0,$F1694/SUMIFS(INPUT_RITASE!$F$5:$F$20000,INPUT_RITASE!$A$5:$A$20000,$A1694,INPUT_RITASE!$B$5:$B$20000,$B1694,INPUT_RITASE!$C$5:$C$20000,$C1694,INPUT_RITASE!$D$5:$D$20000,$D1694))</f>
        <v/>
      </c>
      <c r="S1694" s="158">
        <f>IF($Q1694=0,0,$R1694*$P1694/$Q1694)</f>
        <v/>
      </c>
    </row>
    <row r="1695">
      <c r="A1695" s="155" t="n">
        <v>46110</v>
      </c>
      <c r="B1695" s="156" t="inlineStr">
        <is>
          <t>08-09</t>
        </is>
      </c>
      <c r="C1695" s="156" t="inlineStr">
        <is>
          <t>EX-753</t>
        </is>
      </c>
      <c r="D1695" s="156" t="inlineStr">
        <is>
          <t>DT-516</t>
        </is>
      </c>
      <c r="E1695" s="156" t="inlineStr">
        <is>
          <t>OB</t>
        </is>
      </c>
      <c r="F1695" s="156" t="n">
        <v>4</v>
      </c>
      <c r="G1695" s="156" t="inlineStr"/>
      <c r="H1695" s="157">
        <f>IF($B1695="","",IF(ISNA(MATCH($B1695,MASTER_JAM!$Q$5:$Q$28,0)),"?",IF(MATCH($B1695,MASTER_JAM!$Q$5:$Q$28,0)&lt;=12,"DS","NS")))</f>
        <v/>
      </c>
      <c r="I1695" s="157">
        <f>IFERROR(INDEX(MASTER_JAM!$B$5:$B$94,MATCH($C1695,MASTER_JAM!$A$5:$A$94,0)),"")</f>
        <v/>
      </c>
      <c r="J1695" s="157">
        <f>IFERROR(INDEX(MASTER_JAM!$E$5:$E$94,MATCH($D1695,MASTER_JAM!$A$5:$A$94,0)),"")</f>
        <v/>
      </c>
      <c r="K1695" s="158">
        <f>IFERROR(INDEX(MASTER_JAM!$J$5:$O$12,MATCH($E1695,MASTER_JAM!$I$5:$I$12,0),MATCH($J1695,MASTER_JAM!$J$4:$O$4,0))+0,0)</f>
        <v/>
      </c>
      <c r="L1695" s="159">
        <f>N($F1695)*$K1695</f>
        <v/>
      </c>
      <c r="M1695" s="157">
        <f>IF($E1695="","",IF(OR($E1695="Coal",$E1695="Dirty Coal"),"MT","BCM"))</f>
        <v/>
      </c>
      <c r="N1695" s="157">
        <f>IF($E1695="","",IF(OR($E1695="Coal",$E1695="Dirty Coal"),"Coal","OB"))</f>
        <v/>
      </c>
      <c r="O1695" s="157">
        <f>IF($F1695="","",IF(COUNTIF(MASTER_JAM!$A$5:$A$94,$C1695)=0,"Digger tidak dikenal",IF($J1695="","Hauler tidak dikenal",IF($H1695="?","Jam salah",IF($K1695=0,"Faktor kosong",IF(SUMIFS(INPUT_DELAY!$E$5:$E$20000,INPUT_DELAY!$A$5:$A$20000,$A1695,INPUT_DELAY!$B$5:$B$20000,$B1695,INPUT_DELAY!$C$5:$C$20000,$C1695)+SUMIFS(INPUT_DELAY!$E$5:$E$20000,INPUT_DELAY!$A$5:$A$20000,$A1695,INPUT_DELAY!$B$5:$B$20000,$B1695,INPUT_DELAY!$C$5:$C$20000,"SEMUA")&gt;=60,"Delay 60 mnt tapi ada ritase","OK"))))))</f>
        <v/>
      </c>
      <c r="P1695" s="158">
        <f>IFERROR(INDEX(MASTER_JAM!$Z$5:$AC$10,MATCH($I1695,MASTER_JAM!$Y$5:$Y$10,0),MATCH($J1695,MASTER_JAM!$Z$4:$AC$4,0))+0,0)</f>
        <v/>
      </c>
      <c r="Q1695" s="158">
        <f>IF($P1695=0,0,$P1695+IFERROR(INDEX(MASTER_JAM!$H$5:$H$94,MATCH($C1695,MASTER_JAM!$A$5:$A$94,0))+0,MASTER_JAM!$AC$15)/1000*(60/MASTER_JAM!$AC$12+60/MASTER_JAM!$AC$13)+MASTER_JAM!$AC$14)</f>
        <v/>
      </c>
      <c r="R1695" s="158">
        <f>IF(N($F1695)=0,0,$F1695/SUMIFS(INPUT_RITASE!$F$5:$F$20000,INPUT_RITASE!$A$5:$A$20000,$A1695,INPUT_RITASE!$B$5:$B$20000,$B1695,INPUT_RITASE!$C$5:$C$20000,$C1695,INPUT_RITASE!$D$5:$D$20000,$D1695))</f>
        <v/>
      </c>
      <c r="S1695" s="158">
        <f>IF($Q1695=0,0,$R1695*$P1695/$Q1695)</f>
        <v/>
      </c>
    </row>
    <row r="1696">
      <c r="A1696" s="155" t="n">
        <v>46110</v>
      </c>
      <c r="B1696" s="156" t="inlineStr">
        <is>
          <t>08-09</t>
        </is>
      </c>
      <c r="C1696" s="156" t="inlineStr">
        <is>
          <t>EX-753</t>
        </is>
      </c>
      <c r="D1696" s="156" t="inlineStr">
        <is>
          <t>DT-526</t>
        </is>
      </c>
      <c r="E1696" s="156" t="inlineStr">
        <is>
          <t>OB</t>
        </is>
      </c>
      <c r="F1696" s="156" t="n">
        <v>4</v>
      </c>
      <c r="G1696" s="156" t="inlineStr"/>
      <c r="H1696" s="157">
        <f>IF($B1696="","",IF(ISNA(MATCH($B1696,MASTER_JAM!$Q$5:$Q$28,0)),"?",IF(MATCH($B1696,MASTER_JAM!$Q$5:$Q$28,0)&lt;=12,"DS","NS")))</f>
        <v/>
      </c>
      <c r="I1696" s="157">
        <f>IFERROR(INDEX(MASTER_JAM!$B$5:$B$94,MATCH($C1696,MASTER_JAM!$A$5:$A$94,0)),"")</f>
        <v/>
      </c>
      <c r="J1696" s="157">
        <f>IFERROR(INDEX(MASTER_JAM!$E$5:$E$94,MATCH($D1696,MASTER_JAM!$A$5:$A$94,0)),"")</f>
        <v/>
      </c>
      <c r="K1696" s="158">
        <f>IFERROR(INDEX(MASTER_JAM!$J$5:$O$12,MATCH($E1696,MASTER_JAM!$I$5:$I$12,0),MATCH($J1696,MASTER_JAM!$J$4:$O$4,0))+0,0)</f>
        <v/>
      </c>
      <c r="L1696" s="159">
        <f>N($F1696)*$K1696</f>
        <v/>
      </c>
      <c r="M1696" s="157">
        <f>IF($E1696="","",IF(OR($E1696="Coal",$E1696="Dirty Coal"),"MT","BCM"))</f>
        <v/>
      </c>
      <c r="N1696" s="157">
        <f>IF($E1696="","",IF(OR($E1696="Coal",$E1696="Dirty Coal"),"Coal","OB"))</f>
        <v/>
      </c>
      <c r="O1696" s="157">
        <f>IF($F1696="","",IF(COUNTIF(MASTER_JAM!$A$5:$A$94,$C1696)=0,"Digger tidak dikenal",IF($J1696="","Hauler tidak dikenal",IF($H1696="?","Jam salah",IF($K1696=0,"Faktor kosong",IF(SUMIFS(INPUT_DELAY!$E$5:$E$20000,INPUT_DELAY!$A$5:$A$20000,$A1696,INPUT_DELAY!$B$5:$B$20000,$B1696,INPUT_DELAY!$C$5:$C$20000,$C1696)+SUMIFS(INPUT_DELAY!$E$5:$E$20000,INPUT_DELAY!$A$5:$A$20000,$A1696,INPUT_DELAY!$B$5:$B$20000,$B1696,INPUT_DELAY!$C$5:$C$20000,"SEMUA")&gt;=60,"Delay 60 mnt tapi ada ritase","OK"))))))</f>
        <v/>
      </c>
      <c r="P1696" s="158">
        <f>IFERROR(INDEX(MASTER_JAM!$Z$5:$AC$10,MATCH($I1696,MASTER_JAM!$Y$5:$Y$10,0),MATCH($J1696,MASTER_JAM!$Z$4:$AC$4,0))+0,0)</f>
        <v/>
      </c>
      <c r="Q1696" s="158">
        <f>IF($P1696=0,0,$P1696+IFERROR(INDEX(MASTER_JAM!$H$5:$H$94,MATCH($C1696,MASTER_JAM!$A$5:$A$94,0))+0,MASTER_JAM!$AC$15)/1000*(60/MASTER_JAM!$AC$12+60/MASTER_JAM!$AC$13)+MASTER_JAM!$AC$14)</f>
        <v/>
      </c>
      <c r="R1696" s="158">
        <f>IF(N($F1696)=0,0,$F1696/SUMIFS(INPUT_RITASE!$F$5:$F$20000,INPUT_RITASE!$A$5:$A$20000,$A1696,INPUT_RITASE!$B$5:$B$20000,$B1696,INPUT_RITASE!$C$5:$C$20000,$C1696,INPUT_RITASE!$D$5:$D$20000,$D1696))</f>
        <v/>
      </c>
      <c r="S1696" s="158">
        <f>IF($Q1696=0,0,$R1696*$P1696/$Q1696)</f>
        <v/>
      </c>
    </row>
    <row r="1697">
      <c r="A1697" s="155" t="n">
        <v>46110</v>
      </c>
      <c r="B1697" s="156" t="inlineStr">
        <is>
          <t>08-09</t>
        </is>
      </c>
      <c r="C1697" s="156" t="inlineStr">
        <is>
          <t>EX-753</t>
        </is>
      </c>
      <c r="D1697" s="156" t="inlineStr">
        <is>
          <t>DT-528</t>
        </is>
      </c>
      <c r="E1697" s="156" t="inlineStr">
        <is>
          <t>OB</t>
        </is>
      </c>
      <c r="F1697" s="156" t="n">
        <v>4</v>
      </c>
      <c r="G1697" s="156" t="inlineStr"/>
      <c r="H1697" s="157">
        <f>IF($B1697="","",IF(ISNA(MATCH($B1697,MASTER_JAM!$Q$5:$Q$28,0)),"?",IF(MATCH($B1697,MASTER_JAM!$Q$5:$Q$28,0)&lt;=12,"DS","NS")))</f>
        <v/>
      </c>
      <c r="I1697" s="157">
        <f>IFERROR(INDEX(MASTER_JAM!$B$5:$B$94,MATCH($C1697,MASTER_JAM!$A$5:$A$94,0)),"")</f>
        <v/>
      </c>
      <c r="J1697" s="157">
        <f>IFERROR(INDEX(MASTER_JAM!$E$5:$E$94,MATCH($D1697,MASTER_JAM!$A$5:$A$94,0)),"")</f>
        <v/>
      </c>
      <c r="K1697" s="158">
        <f>IFERROR(INDEX(MASTER_JAM!$J$5:$O$12,MATCH($E1697,MASTER_JAM!$I$5:$I$12,0),MATCH($J1697,MASTER_JAM!$J$4:$O$4,0))+0,0)</f>
        <v/>
      </c>
      <c r="L1697" s="159">
        <f>N($F1697)*$K1697</f>
        <v/>
      </c>
      <c r="M1697" s="157">
        <f>IF($E1697="","",IF(OR($E1697="Coal",$E1697="Dirty Coal"),"MT","BCM"))</f>
        <v/>
      </c>
      <c r="N1697" s="157">
        <f>IF($E1697="","",IF(OR($E1697="Coal",$E1697="Dirty Coal"),"Coal","OB"))</f>
        <v/>
      </c>
      <c r="O1697" s="157">
        <f>IF($F1697="","",IF(COUNTIF(MASTER_JAM!$A$5:$A$94,$C1697)=0,"Digger tidak dikenal",IF($J1697="","Hauler tidak dikenal",IF($H1697="?","Jam salah",IF($K1697=0,"Faktor kosong",IF(SUMIFS(INPUT_DELAY!$E$5:$E$20000,INPUT_DELAY!$A$5:$A$20000,$A1697,INPUT_DELAY!$B$5:$B$20000,$B1697,INPUT_DELAY!$C$5:$C$20000,$C1697)+SUMIFS(INPUT_DELAY!$E$5:$E$20000,INPUT_DELAY!$A$5:$A$20000,$A1697,INPUT_DELAY!$B$5:$B$20000,$B1697,INPUT_DELAY!$C$5:$C$20000,"SEMUA")&gt;=60,"Delay 60 mnt tapi ada ritase","OK"))))))</f>
        <v/>
      </c>
      <c r="P1697" s="158">
        <f>IFERROR(INDEX(MASTER_JAM!$Z$5:$AC$10,MATCH($I1697,MASTER_JAM!$Y$5:$Y$10,0),MATCH($J1697,MASTER_JAM!$Z$4:$AC$4,0))+0,0)</f>
        <v/>
      </c>
      <c r="Q1697" s="158">
        <f>IF($P1697=0,0,$P1697+IFERROR(INDEX(MASTER_JAM!$H$5:$H$94,MATCH($C1697,MASTER_JAM!$A$5:$A$94,0))+0,MASTER_JAM!$AC$15)/1000*(60/MASTER_JAM!$AC$12+60/MASTER_JAM!$AC$13)+MASTER_JAM!$AC$14)</f>
        <v/>
      </c>
      <c r="R1697" s="158">
        <f>IF(N($F1697)=0,0,$F1697/SUMIFS(INPUT_RITASE!$F$5:$F$20000,INPUT_RITASE!$A$5:$A$20000,$A1697,INPUT_RITASE!$B$5:$B$20000,$B1697,INPUT_RITASE!$C$5:$C$20000,$C1697,INPUT_RITASE!$D$5:$D$20000,$D1697))</f>
        <v/>
      </c>
      <c r="S1697" s="158">
        <f>IF($Q1697=0,0,$R1697*$P1697/$Q1697)</f>
        <v/>
      </c>
    </row>
    <row r="1698">
      <c r="A1698" s="155" t="n">
        <v>46110</v>
      </c>
      <c r="B1698" s="156" t="inlineStr">
        <is>
          <t>08-09</t>
        </is>
      </c>
      <c r="C1698" s="156" t="inlineStr">
        <is>
          <t>EX-753</t>
        </is>
      </c>
      <c r="D1698" s="156" t="inlineStr">
        <is>
          <t>DT-511</t>
        </is>
      </c>
      <c r="E1698" s="156" t="inlineStr">
        <is>
          <t>OB</t>
        </is>
      </c>
      <c r="F1698" s="156" t="n">
        <v>4</v>
      </c>
      <c r="G1698" s="156" t="inlineStr"/>
      <c r="H1698" s="157">
        <f>IF($B1698="","",IF(ISNA(MATCH($B1698,MASTER_JAM!$Q$5:$Q$28,0)),"?",IF(MATCH($B1698,MASTER_JAM!$Q$5:$Q$28,0)&lt;=12,"DS","NS")))</f>
        <v/>
      </c>
      <c r="I1698" s="157">
        <f>IFERROR(INDEX(MASTER_JAM!$B$5:$B$94,MATCH($C1698,MASTER_JAM!$A$5:$A$94,0)),"")</f>
        <v/>
      </c>
      <c r="J1698" s="157">
        <f>IFERROR(INDEX(MASTER_JAM!$E$5:$E$94,MATCH($D1698,MASTER_JAM!$A$5:$A$94,0)),"")</f>
        <v/>
      </c>
      <c r="K1698" s="158">
        <f>IFERROR(INDEX(MASTER_JAM!$J$5:$O$12,MATCH($E1698,MASTER_JAM!$I$5:$I$12,0),MATCH($J1698,MASTER_JAM!$J$4:$O$4,0))+0,0)</f>
        <v/>
      </c>
      <c r="L1698" s="159">
        <f>N($F1698)*$K1698</f>
        <v/>
      </c>
      <c r="M1698" s="157">
        <f>IF($E1698="","",IF(OR($E1698="Coal",$E1698="Dirty Coal"),"MT","BCM"))</f>
        <v/>
      </c>
      <c r="N1698" s="157">
        <f>IF($E1698="","",IF(OR($E1698="Coal",$E1698="Dirty Coal"),"Coal","OB"))</f>
        <v/>
      </c>
      <c r="O1698" s="157">
        <f>IF($F1698="","",IF(COUNTIF(MASTER_JAM!$A$5:$A$94,$C1698)=0,"Digger tidak dikenal",IF($J1698="","Hauler tidak dikenal",IF($H1698="?","Jam salah",IF($K1698=0,"Faktor kosong",IF(SUMIFS(INPUT_DELAY!$E$5:$E$20000,INPUT_DELAY!$A$5:$A$20000,$A1698,INPUT_DELAY!$B$5:$B$20000,$B1698,INPUT_DELAY!$C$5:$C$20000,$C1698)+SUMIFS(INPUT_DELAY!$E$5:$E$20000,INPUT_DELAY!$A$5:$A$20000,$A1698,INPUT_DELAY!$B$5:$B$20000,$B1698,INPUT_DELAY!$C$5:$C$20000,"SEMUA")&gt;=60,"Delay 60 mnt tapi ada ritase","OK"))))))</f>
        <v/>
      </c>
      <c r="P1698" s="158">
        <f>IFERROR(INDEX(MASTER_JAM!$Z$5:$AC$10,MATCH($I1698,MASTER_JAM!$Y$5:$Y$10,0),MATCH($J1698,MASTER_JAM!$Z$4:$AC$4,0))+0,0)</f>
        <v/>
      </c>
      <c r="Q1698" s="158">
        <f>IF($P1698=0,0,$P1698+IFERROR(INDEX(MASTER_JAM!$H$5:$H$94,MATCH($C1698,MASTER_JAM!$A$5:$A$94,0))+0,MASTER_JAM!$AC$15)/1000*(60/MASTER_JAM!$AC$12+60/MASTER_JAM!$AC$13)+MASTER_JAM!$AC$14)</f>
        <v/>
      </c>
      <c r="R1698" s="158">
        <f>IF(N($F1698)=0,0,$F1698/SUMIFS(INPUT_RITASE!$F$5:$F$20000,INPUT_RITASE!$A$5:$A$20000,$A1698,INPUT_RITASE!$B$5:$B$20000,$B1698,INPUT_RITASE!$C$5:$C$20000,$C1698,INPUT_RITASE!$D$5:$D$20000,$D1698))</f>
        <v/>
      </c>
      <c r="S1698" s="158">
        <f>IF($Q1698=0,0,$R1698*$P1698/$Q1698)</f>
        <v/>
      </c>
    </row>
    <row r="1699">
      <c r="A1699" s="155" t="n">
        <v>46110</v>
      </c>
      <c r="B1699" s="156" t="inlineStr">
        <is>
          <t>09-10</t>
        </is>
      </c>
      <c r="C1699" s="156" t="inlineStr">
        <is>
          <t>EX-753</t>
        </is>
      </c>
      <c r="D1699" s="156" t="inlineStr">
        <is>
          <t>DT-509</t>
        </is>
      </c>
      <c r="E1699" s="156" t="inlineStr">
        <is>
          <t>OB</t>
        </is>
      </c>
      <c r="F1699" s="156" t="n">
        <v>4</v>
      </c>
      <c r="G1699" s="156" t="inlineStr"/>
      <c r="H1699" s="157">
        <f>IF($B1699="","",IF(ISNA(MATCH($B1699,MASTER_JAM!$Q$5:$Q$28,0)),"?",IF(MATCH($B1699,MASTER_JAM!$Q$5:$Q$28,0)&lt;=12,"DS","NS")))</f>
        <v/>
      </c>
      <c r="I1699" s="157">
        <f>IFERROR(INDEX(MASTER_JAM!$B$5:$B$94,MATCH($C1699,MASTER_JAM!$A$5:$A$94,0)),"")</f>
        <v/>
      </c>
      <c r="J1699" s="157">
        <f>IFERROR(INDEX(MASTER_JAM!$E$5:$E$94,MATCH($D1699,MASTER_JAM!$A$5:$A$94,0)),"")</f>
        <v/>
      </c>
      <c r="K1699" s="158">
        <f>IFERROR(INDEX(MASTER_JAM!$J$5:$O$12,MATCH($E1699,MASTER_JAM!$I$5:$I$12,0),MATCH($J1699,MASTER_JAM!$J$4:$O$4,0))+0,0)</f>
        <v/>
      </c>
      <c r="L1699" s="159">
        <f>N($F1699)*$K1699</f>
        <v/>
      </c>
      <c r="M1699" s="157">
        <f>IF($E1699="","",IF(OR($E1699="Coal",$E1699="Dirty Coal"),"MT","BCM"))</f>
        <v/>
      </c>
      <c r="N1699" s="157">
        <f>IF($E1699="","",IF(OR($E1699="Coal",$E1699="Dirty Coal"),"Coal","OB"))</f>
        <v/>
      </c>
      <c r="O1699" s="157">
        <f>IF($F1699="","",IF(COUNTIF(MASTER_JAM!$A$5:$A$94,$C1699)=0,"Digger tidak dikenal",IF($J1699="","Hauler tidak dikenal",IF($H1699="?","Jam salah",IF($K1699=0,"Faktor kosong",IF(SUMIFS(INPUT_DELAY!$E$5:$E$20000,INPUT_DELAY!$A$5:$A$20000,$A1699,INPUT_DELAY!$B$5:$B$20000,$B1699,INPUT_DELAY!$C$5:$C$20000,$C1699)+SUMIFS(INPUT_DELAY!$E$5:$E$20000,INPUT_DELAY!$A$5:$A$20000,$A1699,INPUT_DELAY!$B$5:$B$20000,$B1699,INPUT_DELAY!$C$5:$C$20000,"SEMUA")&gt;=60,"Delay 60 mnt tapi ada ritase","OK"))))))</f>
        <v/>
      </c>
      <c r="P1699" s="158">
        <f>IFERROR(INDEX(MASTER_JAM!$Z$5:$AC$10,MATCH($I1699,MASTER_JAM!$Y$5:$Y$10,0),MATCH($J1699,MASTER_JAM!$Z$4:$AC$4,0))+0,0)</f>
        <v/>
      </c>
      <c r="Q1699" s="158">
        <f>IF($P1699=0,0,$P1699+IFERROR(INDEX(MASTER_JAM!$H$5:$H$94,MATCH($C1699,MASTER_JAM!$A$5:$A$94,0))+0,MASTER_JAM!$AC$15)/1000*(60/MASTER_JAM!$AC$12+60/MASTER_JAM!$AC$13)+MASTER_JAM!$AC$14)</f>
        <v/>
      </c>
      <c r="R1699" s="158">
        <f>IF(N($F1699)=0,0,$F1699/SUMIFS(INPUT_RITASE!$F$5:$F$20000,INPUT_RITASE!$A$5:$A$20000,$A1699,INPUT_RITASE!$B$5:$B$20000,$B1699,INPUT_RITASE!$C$5:$C$20000,$C1699,INPUT_RITASE!$D$5:$D$20000,$D1699))</f>
        <v/>
      </c>
      <c r="S1699" s="158">
        <f>IF($Q1699=0,0,$R1699*$P1699/$Q1699)</f>
        <v/>
      </c>
    </row>
    <row r="1700">
      <c r="A1700" s="155" t="n">
        <v>46110</v>
      </c>
      <c r="B1700" s="156" t="inlineStr">
        <is>
          <t>09-10</t>
        </is>
      </c>
      <c r="C1700" s="156" t="inlineStr">
        <is>
          <t>EX-753</t>
        </is>
      </c>
      <c r="D1700" s="156" t="inlineStr">
        <is>
          <t>DT-520</t>
        </is>
      </c>
      <c r="E1700" s="156" t="inlineStr">
        <is>
          <t>OB</t>
        </is>
      </c>
      <c r="F1700" s="156" t="n">
        <v>4</v>
      </c>
      <c r="G1700" s="156" t="inlineStr"/>
      <c r="H1700" s="157">
        <f>IF($B1700="","",IF(ISNA(MATCH($B1700,MASTER_JAM!$Q$5:$Q$28,0)),"?",IF(MATCH($B1700,MASTER_JAM!$Q$5:$Q$28,0)&lt;=12,"DS","NS")))</f>
        <v/>
      </c>
      <c r="I1700" s="157">
        <f>IFERROR(INDEX(MASTER_JAM!$B$5:$B$94,MATCH($C1700,MASTER_JAM!$A$5:$A$94,0)),"")</f>
        <v/>
      </c>
      <c r="J1700" s="157">
        <f>IFERROR(INDEX(MASTER_JAM!$E$5:$E$94,MATCH($D1700,MASTER_JAM!$A$5:$A$94,0)),"")</f>
        <v/>
      </c>
      <c r="K1700" s="158">
        <f>IFERROR(INDEX(MASTER_JAM!$J$5:$O$12,MATCH($E1700,MASTER_JAM!$I$5:$I$12,0),MATCH($J1700,MASTER_JAM!$J$4:$O$4,0))+0,0)</f>
        <v/>
      </c>
      <c r="L1700" s="159">
        <f>N($F1700)*$K1700</f>
        <v/>
      </c>
      <c r="M1700" s="157">
        <f>IF($E1700="","",IF(OR($E1700="Coal",$E1700="Dirty Coal"),"MT","BCM"))</f>
        <v/>
      </c>
      <c r="N1700" s="157">
        <f>IF($E1700="","",IF(OR($E1700="Coal",$E1700="Dirty Coal"),"Coal","OB"))</f>
        <v/>
      </c>
      <c r="O1700" s="157">
        <f>IF($F1700="","",IF(COUNTIF(MASTER_JAM!$A$5:$A$94,$C1700)=0,"Digger tidak dikenal",IF($J1700="","Hauler tidak dikenal",IF($H1700="?","Jam salah",IF($K1700=0,"Faktor kosong",IF(SUMIFS(INPUT_DELAY!$E$5:$E$20000,INPUT_DELAY!$A$5:$A$20000,$A1700,INPUT_DELAY!$B$5:$B$20000,$B1700,INPUT_DELAY!$C$5:$C$20000,$C1700)+SUMIFS(INPUT_DELAY!$E$5:$E$20000,INPUT_DELAY!$A$5:$A$20000,$A1700,INPUT_DELAY!$B$5:$B$20000,$B1700,INPUT_DELAY!$C$5:$C$20000,"SEMUA")&gt;=60,"Delay 60 mnt tapi ada ritase","OK"))))))</f>
        <v/>
      </c>
      <c r="P1700" s="158">
        <f>IFERROR(INDEX(MASTER_JAM!$Z$5:$AC$10,MATCH($I1700,MASTER_JAM!$Y$5:$Y$10,0),MATCH($J1700,MASTER_JAM!$Z$4:$AC$4,0))+0,0)</f>
        <v/>
      </c>
      <c r="Q1700" s="158">
        <f>IF($P1700=0,0,$P1700+IFERROR(INDEX(MASTER_JAM!$H$5:$H$94,MATCH($C1700,MASTER_JAM!$A$5:$A$94,0))+0,MASTER_JAM!$AC$15)/1000*(60/MASTER_JAM!$AC$12+60/MASTER_JAM!$AC$13)+MASTER_JAM!$AC$14)</f>
        <v/>
      </c>
      <c r="R1700" s="158">
        <f>IF(N($F1700)=0,0,$F1700/SUMIFS(INPUT_RITASE!$F$5:$F$20000,INPUT_RITASE!$A$5:$A$20000,$A1700,INPUT_RITASE!$B$5:$B$20000,$B1700,INPUT_RITASE!$C$5:$C$20000,$C1700,INPUT_RITASE!$D$5:$D$20000,$D1700))</f>
        <v/>
      </c>
      <c r="S1700" s="158">
        <f>IF($Q1700=0,0,$R1700*$P1700/$Q1700)</f>
        <v/>
      </c>
    </row>
    <row r="1701">
      <c r="A1701" s="155" t="n">
        <v>46110</v>
      </c>
      <c r="B1701" s="156" t="inlineStr">
        <is>
          <t>09-10</t>
        </is>
      </c>
      <c r="C1701" s="156" t="inlineStr">
        <is>
          <t>EX-753</t>
        </is>
      </c>
      <c r="D1701" s="156" t="inlineStr">
        <is>
          <t>DT-502</t>
        </is>
      </c>
      <c r="E1701" s="156" t="inlineStr">
        <is>
          <t>OB</t>
        </is>
      </c>
      <c r="F1701" s="156" t="n">
        <v>4</v>
      </c>
      <c r="G1701" s="156" t="inlineStr"/>
      <c r="H1701" s="157">
        <f>IF($B1701="","",IF(ISNA(MATCH($B1701,MASTER_JAM!$Q$5:$Q$28,0)),"?",IF(MATCH($B1701,MASTER_JAM!$Q$5:$Q$28,0)&lt;=12,"DS","NS")))</f>
        <v/>
      </c>
      <c r="I1701" s="157">
        <f>IFERROR(INDEX(MASTER_JAM!$B$5:$B$94,MATCH($C1701,MASTER_JAM!$A$5:$A$94,0)),"")</f>
        <v/>
      </c>
      <c r="J1701" s="157">
        <f>IFERROR(INDEX(MASTER_JAM!$E$5:$E$94,MATCH($D1701,MASTER_JAM!$A$5:$A$94,0)),"")</f>
        <v/>
      </c>
      <c r="K1701" s="158">
        <f>IFERROR(INDEX(MASTER_JAM!$J$5:$O$12,MATCH($E1701,MASTER_JAM!$I$5:$I$12,0),MATCH($J1701,MASTER_JAM!$J$4:$O$4,0))+0,0)</f>
        <v/>
      </c>
      <c r="L1701" s="159">
        <f>N($F1701)*$K1701</f>
        <v/>
      </c>
      <c r="M1701" s="157">
        <f>IF($E1701="","",IF(OR($E1701="Coal",$E1701="Dirty Coal"),"MT","BCM"))</f>
        <v/>
      </c>
      <c r="N1701" s="157">
        <f>IF($E1701="","",IF(OR($E1701="Coal",$E1701="Dirty Coal"),"Coal","OB"))</f>
        <v/>
      </c>
      <c r="O1701" s="157">
        <f>IF($F1701="","",IF(COUNTIF(MASTER_JAM!$A$5:$A$94,$C1701)=0,"Digger tidak dikenal",IF($J1701="","Hauler tidak dikenal",IF($H1701="?","Jam salah",IF($K1701=0,"Faktor kosong",IF(SUMIFS(INPUT_DELAY!$E$5:$E$20000,INPUT_DELAY!$A$5:$A$20000,$A1701,INPUT_DELAY!$B$5:$B$20000,$B1701,INPUT_DELAY!$C$5:$C$20000,$C1701)+SUMIFS(INPUT_DELAY!$E$5:$E$20000,INPUT_DELAY!$A$5:$A$20000,$A1701,INPUT_DELAY!$B$5:$B$20000,$B1701,INPUT_DELAY!$C$5:$C$20000,"SEMUA")&gt;=60,"Delay 60 mnt tapi ada ritase","OK"))))))</f>
        <v/>
      </c>
      <c r="P1701" s="158">
        <f>IFERROR(INDEX(MASTER_JAM!$Z$5:$AC$10,MATCH($I1701,MASTER_JAM!$Y$5:$Y$10,0),MATCH($J1701,MASTER_JAM!$Z$4:$AC$4,0))+0,0)</f>
        <v/>
      </c>
      <c r="Q1701" s="158">
        <f>IF($P1701=0,0,$P1701+IFERROR(INDEX(MASTER_JAM!$H$5:$H$94,MATCH($C1701,MASTER_JAM!$A$5:$A$94,0))+0,MASTER_JAM!$AC$15)/1000*(60/MASTER_JAM!$AC$12+60/MASTER_JAM!$AC$13)+MASTER_JAM!$AC$14)</f>
        <v/>
      </c>
      <c r="R1701" s="158">
        <f>IF(N($F1701)=0,0,$F1701/SUMIFS(INPUT_RITASE!$F$5:$F$20000,INPUT_RITASE!$A$5:$A$20000,$A1701,INPUT_RITASE!$B$5:$B$20000,$B1701,INPUT_RITASE!$C$5:$C$20000,$C1701,INPUT_RITASE!$D$5:$D$20000,$D1701))</f>
        <v/>
      </c>
      <c r="S1701" s="158">
        <f>IF($Q1701=0,0,$R1701*$P1701/$Q1701)</f>
        <v/>
      </c>
    </row>
    <row r="1702">
      <c r="A1702" s="155" t="n">
        <v>46110</v>
      </c>
      <c r="B1702" s="156" t="inlineStr">
        <is>
          <t>09-10</t>
        </is>
      </c>
      <c r="C1702" s="156" t="inlineStr">
        <is>
          <t>EX-753</t>
        </is>
      </c>
      <c r="D1702" s="156" t="inlineStr">
        <is>
          <t>DT-523</t>
        </is>
      </c>
      <c r="E1702" s="156" t="inlineStr">
        <is>
          <t>OB</t>
        </is>
      </c>
      <c r="F1702" s="156" t="n">
        <v>4</v>
      </c>
      <c r="G1702" s="156" t="inlineStr"/>
      <c r="H1702" s="157">
        <f>IF($B1702="","",IF(ISNA(MATCH($B1702,MASTER_JAM!$Q$5:$Q$28,0)),"?",IF(MATCH($B1702,MASTER_JAM!$Q$5:$Q$28,0)&lt;=12,"DS","NS")))</f>
        <v/>
      </c>
      <c r="I1702" s="157">
        <f>IFERROR(INDEX(MASTER_JAM!$B$5:$B$94,MATCH($C1702,MASTER_JAM!$A$5:$A$94,0)),"")</f>
        <v/>
      </c>
      <c r="J1702" s="157">
        <f>IFERROR(INDEX(MASTER_JAM!$E$5:$E$94,MATCH($D1702,MASTER_JAM!$A$5:$A$94,0)),"")</f>
        <v/>
      </c>
      <c r="K1702" s="158">
        <f>IFERROR(INDEX(MASTER_JAM!$J$5:$O$12,MATCH($E1702,MASTER_JAM!$I$5:$I$12,0),MATCH($J1702,MASTER_JAM!$J$4:$O$4,0))+0,0)</f>
        <v/>
      </c>
      <c r="L1702" s="159">
        <f>N($F1702)*$K1702</f>
        <v/>
      </c>
      <c r="M1702" s="157">
        <f>IF($E1702="","",IF(OR($E1702="Coal",$E1702="Dirty Coal"),"MT","BCM"))</f>
        <v/>
      </c>
      <c r="N1702" s="157">
        <f>IF($E1702="","",IF(OR($E1702="Coal",$E1702="Dirty Coal"),"Coal","OB"))</f>
        <v/>
      </c>
      <c r="O1702" s="157">
        <f>IF($F1702="","",IF(COUNTIF(MASTER_JAM!$A$5:$A$94,$C1702)=0,"Digger tidak dikenal",IF($J1702="","Hauler tidak dikenal",IF($H1702="?","Jam salah",IF($K1702=0,"Faktor kosong",IF(SUMIFS(INPUT_DELAY!$E$5:$E$20000,INPUT_DELAY!$A$5:$A$20000,$A1702,INPUT_DELAY!$B$5:$B$20000,$B1702,INPUT_DELAY!$C$5:$C$20000,$C1702)+SUMIFS(INPUT_DELAY!$E$5:$E$20000,INPUT_DELAY!$A$5:$A$20000,$A1702,INPUT_DELAY!$B$5:$B$20000,$B1702,INPUT_DELAY!$C$5:$C$20000,"SEMUA")&gt;=60,"Delay 60 mnt tapi ada ritase","OK"))))))</f>
        <v/>
      </c>
      <c r="P1702" s="158">
        <f>IFERROR(INDEX(MASTER_JAM!$Z$5:$AC$10,MATCH($I1702,MASTER_JAM!$Y$5:$Y$10,0),MATCH($J1702,MASTER_JAM!$Z$4:$AC$4,0))+0,0)</f>
        <v/>
      </c>
      <c r="Q1702" s="158">
        <f>IF($P1702=0,0,$P1702+IFERROR(INDEX(MASTER_JAM!$H$5:$H$94,MATCH($C1702,MASTER_JAM!$A$5:$A$94,0))+0,MASTER_JAM!$AC$15)/1000*(60/MASTER_JAM!$AC$12+60/MASTER_JAM!$AC$13)+MASTER_JAM!$AC$14)</f>
        <v/>
      </c>
      <c r="R1702" s="158">
        <f>IF(N($F1702)=0,0,$F1702/SUMIFS(INPUT_RITASE!$F$5:$F$20000,INPUT_RITASE!$A$5:$A$20000,$A1702,INPUT_RITASE!$B$5:$B$20000,$B1702,INPUT_RITASE!$C$5:$C$20000,$C1702,INPUT_RITASE!$D$5:$D$20000,$D1702))</f>
        <v/>
      </c>
      <c r="S1702" s="158">
        <f>IF($Q1702=0,0,$R1702*$P1702/$Q1702)</f>
        <v/>
      </c>
    </row>
    <row r="1703">
      <c r="A1703" s="155" t="n">
        <v>46110</v>
      </c>
      <c r="B1703" s="156" t="inlineStr">
        <is>
          <t>09-10</t>
        </is>
      </c>
      <c r="C1703" s="156" t="inlineStr">
        <is>
          <t>EX-753</t>
        </is>
      </c>
      <c r="D1703" s="156" t="inlineStr">
        <is>
          <t>DT-506</t>
        </is>
      </c>
      <c r="E1703" s="156" t="inlineStr">
        <is>
          <t>OB</t>
        </is>
      </c>
      <c r="F1703" s="156" t="n">
        <v>3</v>
      </c>
      <c r="G1703" s="156" t="inlineStr"/>
      <c r="H1703" s="157">
        <f>IF($B1703="","",IF(ISNA(MATCH($B1703,MASTER_JAM!$Q$5:$Q$28,0)),"?",IF(MATCH($B1703,MASTER_JAM!$Q$5:$Q$28,0)&lt;=12,"DS","NS")))</f>
        <v/>
      </c>
      <c r="I1703" s="157">
        <f>IFERROR(INDEX(MASTER_JAM!$B$5:$B$94,MATCH($C1703,MASTER_JAM!$A$5:$A$94,0)),"")</f>
        <v/>
      </c>
      <c r="J1703" s="157">
        <f>IFERROR(INDEX(MASTER_JAM!$E$5:$E$94,MATCH($D1703,MASTER_JAM!$A$5:$A$94,0)),"")</f>
        <v/>
      </c>
      <c r="K1703" s="158">
        <f>IFERROR(INDEX(MASTER_JAM!$J$5:$O$12,MATCH($E1703,MASTER_JAM!$I$5:$I$12,0),MATCH($J1703,MASTER_JAM!$J$4:$O$4,0))+0,0)</f>
        <v/>
      </c>
      <c r="L1703" s="159">
        <f>N($F1703)*$K1703</f>
        <v/>
      </c>
      <c r="M1703" s="157">
        <f>IF($E1703="","",IF(OR($E1703="Coal",$E1703="Dirty Coal"),"MT","BCM"))</f>
        <v/>
      </c>
      <c r="N1703" s="157">
        <f>IF($E1703="","",IF(OR($E1703="Coal",$E1703="Dirty Coal"),"Coal","OB"))</f>
        <v/>
      </c>
      <c r="O1703" s="157">
        <f>IF($F1703="","",IF(COUNTIF(MASTER_JAM!$A$5:$A$94,$C1703)=0,"Digger tidak dikenal",IF($J1703="","Hauler tidak dikenal",IF($H1703="?","Jam salah",IF($K1703=0,"Faktor kosong",IF(SUMIFS(INPUT_DELAY!$E$5:$E$20000,INPUT_DELAY!$A$5:$A$20000,$A1703,INPUT_DELAY!$B$5:$B$20000,$B1703,INPUT_DELAY!$C$5:$C$20000,$C1703)+SUMIFS(INPUT_DELAY!$E$5:$E$20000,INPUT_DELAY!$A$5:$A$20000,$A1703,INPUT_DELAY!$B$5:$B$20000,$B1703,INPUT_DELAY!$C$5:$C$20000,"SEMUA")&gt;=60,"Delay 60 mnt tapi ada ritase","OK"))))))</f>
        <v/>
      </c>
      <c r="P1703" s="158">
        <f>IFERROR(INDEX(MASTER_JAM!$Z$5:$AC$10,MATCH($I1703,MASTER_JAM!$Y$5:$Y$10,0),MATCH($J1703,MASTER_JAM!$Z$4:$AC$4,0))+0,0)</f>
        <v/>
      </c>
      <c r="Q1703" s="158">
        <f>IF($P1703=0,0,$P1703+IFERROR(INDEX(MASTER_JAM!$H$5:$H$94,MATCH($C1703,MASTER_JAM!$A$5:$A$94,0))+0,MASTER_JAM!$AC$15)/1000*(60/MASTER_JAM!$AC$12+60/MASTER_JAM!$AC$13)+MASTER_JAM!$AC$14)</f>
        <v/>
      </c>
      <c r="R1703" s="158">
        <f>IF(N($F1703)=0,0,$F1703/SUMIFS(INPUT_RITASE!$F$5:$F$20000,INPUT_RITASE!$A$5:$A$20000,$A1703,INPUT_RITASE!$B$5:$B$20000,$B1703,INPUT_RITASE!$C$5:$C$20000,$C1703,INPUT_RITASE!$D$5:$D$20000,$D1703))</f>
        <v/>
      </c>
      <c r="S1703" s="158">
        <f>IF($Q1703=0,0,$R1703*$P1703/$Q1703)</f>
        <v/>
      </c>
    </row>
    <row r="1704">
      <c r="A1704" s="155" t="n">
        <v>46110</v>
      </c>
      <c r="B1704" s="156" t="inlineStr">
        <is>
          <t>10-11</t>
        </is>
      </c>
      <c r="C1704" s="156" t="inlineStr">
        <is>
          <t>EX-753</t>
        </is>
      </c>
      <c r="D1704" s="156" t="inlineStr">
        <is>
          <t>DT-509</t>
        </is>
      </c>
      <c r="E1704" s="156" t="inlineStr">
        <is>
          <t>OB</t>
        </is>
      </c>
      <c r="F1704" s="156" t="n">
        <v>4</v>
      </c>
      <c r="G1704" s="156" t="inlineStr"/>
      <c r="H1704" s="157">
        <f>IF($B1704="","",IF(ISNA(MATCH($B1704,MASTER_JAM!$Q$5:$Q$28,0)),"?",IF(MATCH($B1704,MASTER_JAM!$Q$5:$Q$28,0)&lt;=12,"DS","NS")))</f>
        <v/>
      </c>
      <c r="I1704" s="157">
        <f>IFERROR(INDEX(MASTER_JAM!$B$5:$B$94,MATCH($C1704,MASTER_JAM!$A$5:$A$94,0)),"")</f>
        <v/>
      </c>
      <c r="J1704" s="157">
        <f>IFERROR(INDEX(MASTER_JAM!$E$5:$E$94,MATCH($D1704,MASTER_JAM!$A$5:$A$94,0)),"")</f>
        <v/>
      </c>
      <c r="K1704" s="158">
        <f>IFERROR(INDEX(MASTER_JAM!$J$5:$O$12,MATCH($E1704,MASTER_JAM!$I$5:$I$12,0),MATCH($J1704,MASTER_JAM!$J$4:$O$4,0))+0,0)</f>
        <v/>
      </c>
      <c r="L1704" s="159">
        <f>N($F1704)*$K1704</f>
        <v/>
      </c>
      <c r="M1704" s="157">
        <f>IF($E1704="","",IF(OR($E1704="Coal",$E1704="Dirty Coal"),"MT","BCM"))</f>
        <v/>
      </c>
      <c r="N1704" s="157">
        <f>IF($E1704="","",IF(OR($E1704="Coal",$E1704="Dirty Coal"),"Coal","OB"))</f>
        <v/>
      </c>
      <c r="O1704" s="157">
        <f>IF($F1704="","",IF(COUNTIF(MASTER_JAM!$A$5:$A$94,$C1704)=0,"Digger tidak dikenal",IF($J1704="","Hauler tidak dikenal",IF($H1704="?","Jam salah",IF($K1704=0,"Faktor kosong",IF(SUMIFS(INPUT_DELAY!$E$5:$E$20000,INPUT_DELAY!$A$5:$A$20000,$A1704,INPUT_DELAY!$B$5:$B$20000,$B1704,INPUT_DELAY!$C$5:$C$20000,$C1704)+SUMIFS(INPUT_DELAY!$E$5:$E$20000,INPUT_DELAY!$A$5:$A$20000,$A1704,INPUT_DELAY!$B$5:$B$20000,$B1704,INPUT_DELAY!$C$5:$C$20000,"SEMUA")&gt;=60,"Delay 60 mnt tapi ada ritase","OK"))))))</f>
        <v/>
      </c>
      <c r="P1704" s="158">
        <f>IFERROR(INDEX(MASTER_JAM!$Z$5:$AC$10,MATCH($I1704,MASTER_JAM!$Y$5:$Y$10,0),MATCH($J1704,MASTER_JAM!$Z$4:$AC$4,0))+0,0)</f>
        <v/>
      </c>
      <c r="Q1704" s="158">
        <f>IF($P1704=0,0,$P1704+IFERROR(INDEX(MASTER_JAM!$H$5:$H$94,MATCH($C1704,MASTER_JAM!$A$5:$A$94,0))+0,MASTER_JAM!$AC$15)/1000*(60/MASTER_JAM!$AC$12+60/MASTER_JAM!$AC$13)+MASTER_JAM!$AC$14)</f>
        <v/>
      </c>
      <c r="R1704" s="158">
        <f>IF(N($F1704)=0,0,$F1704/SUMIFS(INPUT_RITASE!$F$5:$F$20000,INPUT_RITASE!$A$5:$A$20000,$A1704,INPUT_RITASE!$B$5:$B$20000,$B1704,INPUT_RITASE!$C$5:$C$20000,$C1704,INPUT_RITASE!$D$5:$D$20000,$D1704))</f>
        <v/>
      </c>
      <c r="S1704" s="158">
        <f>IF($Q1704=0,0,$R1704*$P1704/$Q1704)</f>
        <v/>
      </c>
    </row>
    <row r="1705">
      <c r="A1705" s="155" t="n">
        <v>46110</v>
      </c>
      <c r="B1705" s="156" t="inlineStr">
        <is>
          <t>10-11</t>
        </is>
      </c>
      <c r="C1705" s="156" t="inlineStr">
        <is>
          <t>EX-753</t>
        </is>
      </c>
      <c r="D1705" s="156" t="inlineStr">
        <is>
          <t>DT-526</t>
        </is>
      </c>
      <c r="E1705" s="156" t="inlineStr">
        <is>
          <t>OB</t>
        </is>
      </c>
      <c r="F1705" s="156" t="n">
        <v>4</v>
      </c>
      <c r="G1705" s="156" t="inlineStr"/>
      <c r="H1705" s="157">
        <f>IF($B1705="","",IF(ISNA(MATCH($B1705,MASTER_JAM!$Q$5:$Q$28,0)),"?",IF(MATCH($B1705,MASTER_JAM!$Q$5:$Q$28,0)&lt;=12,"DS","NS")))</f>
        <v/>
      </c>
      <c r="I1705" s="157">
        <f>IFERROR(INDEX(MASTER_JAM!$B$5:$B$94,MATCH($C1705,MASTER_JAM!$A$5:$A$94,0)),"")</f>
        <v/>
      </c>
      <c r="J1705" s="157">
        <f>IFERROR(INDEX(MASTER_JAM!$E$5:$E$94,MATCH($D1705,MASTER_JAM!$A$5:$A$94,0)),"")</f>
        <v/>
      </c>
      <c r="K1705" s="158">
        <f>IFERROR(INDEX(MASTER_JAM!$J$5:$O$12,MATCH($E1705,MASTER_JAM!$I$5:$I$12,0),MATCH($J1705,MASTER_JAM!$J$4:$O$4,0))+0,0)</f>
        <v/>
      </c>
      <c r="L1705" s="159">
        <f>N($F1705)*$K1705</f>
        <v/>
      </c>
      <c r="M1705" s="157">
        <f>IF($E1705="","",IF(OR($E1705="Coal",$E1705="Dirty Coal"),"MT","BCM"))</f>
        <v/>
      </c>
      <c r="N1705" s="157">
        <f>IF($E1705="","",IF(OR($E1705="Coal",$E1705="Dirty Coal"),"Coal","OB"))</f>
        <v/>
      </c>
      <c r="O1705" s="157">
        <f>IF($F1705="","",IF(COUNTIF(MASTER_JAM!$A$5:$A$94,$C1705)=0,"Digger tidak dikenal",IF($J1705="","Hauler tidak dikenal",IF($H1705="?","Jam salah",IF($K1705=0,"Faktor kosong",IF(SUMIFS(INPUT_DELAY!$E$5:$E$20000,INPUT_DELAY!$A$5:$A$20000,$A1705,INPUT_DELAY!$B$5:$B$20000,$B1705,INPUT_DELAY!$C$5:$C$20000,$C1705)+SUMIFS(INPUT_DELAY!$E$5:$E$20000,INPUT_DELAY!$A$5:$A$20000,$A1705,INPUT_DELAY!$B$5:$B$20000,$B1705,INPUT_DELAY!$C$5:$C$20000,"SEMUA")&gt;=60,"Delay 60 mnt tapi ada ritase","OK"))))))</f>
        <v/>
      </c>
      <c r="P1705" s="158">
        <f>IFERROR(INDEX(MASTER_JAM!$Z$5:$AC$10,MATCH($I1705,MASTER_JAM!$Y$5:$Y$10,0),MATCH($J1705,MASTER_JAM!$Z$4:$AC$4,0))+0,0)</f>
        <v/>
      </c>
      <c r="Q1705" s="158">
        <f>IF($P1705=0,0,$P1705+IFERROR(INDEX(MASTER_JAM!$H$5:$H$94,MATCH($C1705,MASTER_JAM!$A$5:$A$94,0))+0,MASTER_JAM!$AC$15)/1000*(60/MASTER_JAM!$AC$12+60/MASTER_JAM!$AC$13)+MASTER_JAM!$AC$14)</f>
        <v/>
      </c>
      <c r="R1705" s="158">
        <f>IF(N($F1705)=0,0,$F1705/SUMIFS(INPUT_RITASE!$F$5:$F$20000,INPUT_RITASE!$A$5:$A$20000,$A1705,INPUT_RITASE!$B$5:$B$20000,$B1705,INPUT_RITASE!$C$5:$C$20000,$C1705,INPUT_RITASE!$D$5:$D$20000,$D1705))</f>
        <v/>
      </c>
      <c r="S1705" s="158">
        <f>IF($Q1705=0,0,$R1705*$P1705/$Q1705)</f>
        <v/>
      </c>
    </row>
    <row r="1706">
      <c r="A1706" s="155" t="n">
        <v>46110</v>
      </c>
      <c r="B1706" s="156" t="inlineStr">
        <is>
          <t>10-11</t>
        </is>
      </c>
      <c r="C1706" s="156" t="inlineStr">
        <is>
          <t>EX-753</t>
        </is>
      </c>
      <c r="D1706" s="156" t="inlineStr">
        <is>
          <t>DT-516</t>
        </is>
      </c>
      <c r="E1706" s="156" t="inlineStr">
        <is>
          <t>OB</t>
        </is>
      </c>
      <c r="F1706" s="156" t="n">
        <v>4</v>
      </c>
      <c r="G1706" s="156" t="inlineStr"/>
      <c r="H1706" s="157">
        <f>IF($B1706="","",IF(ISNA(MATCH($B1706,MASTER_JAM!$Q$5:$Q$28,0)),"?",IF(MATCH($B1706,MASTER_JAM!$Q$5:$Q$28,0)&lt;=12,"DS","NS")))</f>
        <v/>
      </c>
      <c r="I1706" s="157">
        <f>IFERROR(INDEX(MASTER_JAM!$B$5:$B$94,MATCH($C1706,MASTER_JAM!$A$5:$A$94,0)),"")</f>
        <v/>
      </c>
      <c r="J1706" s="157">
        <f>IFERROR(INDEX(MASTER_JAM!$E$5:$E$94,MATCH($D1706,MASTER_JAM!$A$5:$A$94,0)),"")</f>
        <v/>
      </c>
      <c r="K1706" s="158">
        <f>IFERROR(INDEX(MASTER_JAM!$J$5:$O$12,MATCH($E1706,MASTER_JAM!$I$5:$I$12,0),MATCH($J1706,MASTER_JAM!$J$4:$O$4,0))+0,0)</f>
        <v/>
      </c>
      <c r="L1706" s="159">
        <f>N($F1706)*$K1706</f>
        <v/>
      </c>
      <c r="M1706" s="157">
        <f>IF($E1706="","",IF(OR($E1706="Coal",$E1706="Dirty Coal"),"MT","BCM"))</f>
        <v/>
      </c>
      <c r="N1706" s="157">
        <f>IF($E1706="","",IF(OR($E1706="Coal",$E1706="Dirty Coal"),"Coal","OB"))</f>
        <v/>
      </c>
      <c r="O1706" s="157">
        <f>IF($F1706="","",IF(COUNTIF(MASTER_JAM!$A$5:$A$94,$C1706)=0,"Digger tidak dikenal",IF($J1706="","Hauler tidak dikenal",IF($H1706="?","Jam salah",IF($K1706=0,"Faktor kosong",IF(SUMIFS(INPUT_DELAY!$E$5:$E$20000,INPUT_DELAY!$A$5:$A$20000,$A1706,INPUT_DELAY!$B$5:$B$20000,$B1706,INPUT_DELAY!$C$5:$C$20000,$C1706)+SUMIFS(INPUT_DELAY!$E$5:$E$20000,INPUT_DELAY!$A$5:$A$20000,$A1706,INPUT_DELAY!$B$5:$B$20000,$B1706,INPUT_DELAY!$C$5:$C$20000,"SEMUA")&gt;=60,"Delay 60 mnt tapi ada ritase","OK"))))))</f>
        <v/>
      </c>
      <c r="P1706" s="158">
        <f>IFERROR(INDEX(MASTER_JAM!$Z$5:$AC$10,MATCH($I1706,MASTER_JAM!$Y$5:$Y$10,0),MATCH($J1706,MASTER_JAM!$Z$4:$AC$4,0))+0,0)</f>
        <v/>
      </c>
      <c r="Q1706" s="158">
        <f>IF($P1706=0,0,$P1706+IFERROR(INDEX(MASTER_JAM!$H$5:$H$94,MATCH($C1706,MASTER_JAM!$A$5:$A$94,0))+0,MASTER_JAM!$AC$15)/1000*(60/MASTER_JAM!$AC$12+60/MASTER_JAM!$AC$13)+MASTER_JAM!$AC$14)</f>
        <v/>
      </c>
      <c r="R1706" s="158">
        <f>IF(N($F1706)=0,0,$F1706/SUMIFS(INPUT_RITASE!$F$5:$F$20000,INPUT_RITASE!$A$5:$A$20000,$A1706,INPUT_RITASE!$B$5:$B$20000,$B1706,INPUT_RITASE!$C$5:$C$20000,$C1706,INPUT_RITASE!$D$5:$D$20000,$D1706))</f>
        <v/>
      </c>
      <c r="S1706" s="158">
        <f>IF($Q1706=0,0,$R1706*$P1706/$Q1706)</f>
        <v/>
      </c>
    </row>
    <row r="1707">
      <c r="A1707" s="155" t="n">
        <v>46110</v>
      </c>
      <c r="B1707" s="156" t="inlineStr">
        <is>
          <t>10-11</t>
        </is>
      </c>
      <c r="C1707" s="156" t="inlineStr">
        <is>
          <t>EX-753</t>
        </is>
      </c>
      <c r="D1707" s="156" t="inlineStr">
        <is>
          <t>DT-520</t>
        </is>
      </c>
      <c r="E1707" s="156" t="inlineStr">
        <is>
          <t>OB</t>
        </is>
      </c>
      <c r="F1707" s="156" t="n">
        <v>4</v>
      </c>
      <c r="G1707" s="156" t="inlineStr"/>
      <c r="H1707" s="157">
        <f>IF($B1707="","",IF(ISNA(MATCH($B1707,MASTER_JAM!$Q$5:$Q$28,0)),"?",IF(MATCH($B1707,MASTER_JAM!$Q$5:$Q$28,0)&lt;=12,"DS","NS")))</f>
        <v/>
      </c>
      <c r="I1707" s="157">
        <f>IFERROR(INDEX(MASTER_JAM!$B$5:$B$94,MATCH($C1707,MASTER_JAM!$A$5:$A$94,0)),"")</f>
        <v/>
      </c>
      <c r="J1707" s="157">
        <f>IFERROR(INDEX(MASTER_JAM!$E$5:$E$94,MATCH($D1707,MASTER_JAM!$A$5:$A$94,0)),"")</f>
        <v/>
      </c>
      <c r="K1707" s="158">
        <f>IFERROR(INDEX(MASTER_JAM!$J$5:$O$12,MATCH($E1707,MASTER_JAM!$I$5:$I$12,0),MATCH($J1707,MASTER_JAM!$J$4:$O$4,0))+0,0)</f>
        <v/>
      </c>
      <c r="L1707" s="159">
        <f>N($F1707)*$K1707</f>
        <v/>
      </c>
      <c r="M1707" s="157">
        <f>IF($E1707="","",IF(OR($E1707="Coal",$E1707="Dirty Coal"),"MT","BCM"))</f>
        <v/>
      </c>
      <c r="N1707" s="157">
        <f>IF($E1707="","",IF(OR($E1707="Coal",$E1707="Dirty Coal"),"Coal","OB"))</f>
        <v/>
      </c>
      <c r="O1707" s="157">
        <f>IF($F1707="","",IF(COUNTIF(MASTER_JAM!$A$5:$A$94,$C1707)=0,"Digger tidak dikenal",IF($J1707="","Hauler tidak dikenal",IF($H1707="?","Jam salah",IF($K1707=0,"Faktor kosong",IF(SUMIFS(INPUT_DELAY!$E$5:$E$20000,INPUT_DELAY!$A$5:$A$20000,$A1707,INPUT_DELAY!$B$5:$B$20000,$B1707,INPUT_DELAY!$C$5:$C$20000,$C1707)+SUMIFS(INPUT_DELAY!$E$5:$E$20000,INPUT_DELAY!$A$5:$A$20000,$A1707,INPUT_DELAY!$B$5:$B$20000,$B1707,INPUT_DELAY!$C$5:$C$20000,"SEMUA")&gt;=60,"Delay 60 mnt tapi ada ritase","OK"))))))</f>
        <v/>
      </c>
      <c r="P1707" s="158">
        <f>IFERROR(INDEX(MASTER_JAM!$Z$5:$AC$10,MATCH($I1707,MASTER_JAM!$Y$5:$Y$10,0),MATCH($J1707,MASTER_JAM!$Z$4:$AC$4,0))+0,0)</f>
        <v/>
      </c>
      <c r="Q1707" s="158">
        <f>IF($P1707=0,0,$P1707+IFERROR(INDEX(MASTER_JAM!$H$5:$H$94,MATCH($C1707,MASTER_JAM!$A$5:$A$94,0))+0,MASTER_JAM!$AC$15)/1000*(60/MASTER_JAM!$AC$12+60/MASTER_JAM!$AC$13)+MASTER_JAM!$AC$14)</f>
        <v/>
      </c>
      <c r="R1707" s="158">
        <f>IF(N($F1707)=0,0,$F1707/SUMIFS(INPUT_RITASE!$F$5:$F$20000,INPUT_RITASE!$A$5:$A$20000,$A1707,INPUT_RITASE!$B$5:$B$20000,$B1707,INPUT_RITASE!$C$5:$C$20000,$C1707,INPUT_RITASE!$D$5:$D$20000,$D1707))</f>
        <v/>
      </c>
      <c r="S1707" s="158">
        <f>IF($Q1707=0,0,$R1707*$P1707/$Q1707)</f>
        <v/>
      </c>
    </row>
    <row r="1708">
      <c r="A1708" s="155" t="n">
        <v>46110</v>
      </c>
      <c r="B1708" s="156" t="inlineStr">
        <is>
          <t>10-11</t>
        </is>
      </c>
      <c r="C1708" s="156" t="inlineStr">
        <is>
          <t>EX-753</t>
        </is>
      </c>
      <c r="D1708" s="156" t="inlineStr">
        <is>
          <t>DT-518</t>
        </is>
      </c>
      <c r="E1708" s="156" t="inlineStr">
        <is>
          <t>OB</t>
        </is>
      </c>
      <c r="F1708" s="156" t="n">
        <v>3</v>
      </c>
      <c r="G1708" s="156" t="inlineStr"/>
      <c r="H1708" s="157">
        <f>IF($B1708="","",IF(ISNA(MATCH($B1708,MASTER_JAM!$Q$5:$Q$28,0)),"?",IF(MATCH($B1708,MASTER_JAM!$Q$5:$Q$28,0)&lt;=12,"DS","NS")))</f>
        <v/>
      </c>
      <c r="I1708" s="157">
        <f>IFERROR(INDEX(MASTER_JAM!$B$5:$B$94,MATCH($C1708,MASTER_JAM!$A$5:$A$94,0)),"")</f>
        <v/>
      </c>
      <c r="J1708" s="157">
        <f>IFERROR(INDEX(MASTER_JAM!$E$5:$E$94,MATCH($D1708,MASTER_JAM!$A$5:$A$94,0)),"")</f>
        <v/>
      </c>
      <c r="K1708" s="158">
        <f>IFERROR(INDEX(MASTER_JAM!$J$5:$O$12,MATCH($E1708,MASTER_JAM!$I$5:$I$12,0),MATCH($J1708,MASTER_JAM!$J$4:$O$4,0))+0,0)</f>
        <v/>
      </c>
      <c r="L1708" s="159">
        <f>N($F1708)*$K1708</f>
        <v/>
      </c>
      <c r="M1708" s="157">
        <f>IF($E1708="","",IF(OR($E1708="Coal",$E1708="Dirty Coal"),"MT","BCM"))</f>
        <v/>
      </c>
      <c r="N1708" s="157">
        <f>IF($E1708="","",IF(OR($E1708="Coal",$E1708="Dirty Coal"),"Coal","OB"))</f>
        <v/>
      </c>
      <c r="O1708" s="157">
        <f>IF($F1708="","",IF(COUNTIF(MASTER_JAM!$A$5:$A$94,$C1708)=0,"Digger tidak dikenal",IF($J1708="","Hauler tidak dikenal",IF($H1708="?","Jam salah",IF($K1708=0,"Faktor kosong",IF(SUMIFS(INPUT_DELAY!$E$5:$E$20000,INPUT_DELAY!$A$5:$A$20000,$A1708,INPUT_DELAY!$B$5:$B$20000,$B1708,INPUT_DELAY!$C$5:$C$20000,$C1708)+SUMIFS(INPUT_DELAY!$E$5:$E$20000,INPUT_DELAY!$A$5:$A$20000,$A1708,INPUT_DELAY!$B$5:$B$20000,$B1708,INPUT_DELAY!$C$5:$C$20000,"SEMUA")&gt;=60,"Delay 60 mnt tapi ada ritase","OK"))))))</f>
        <v/>
      </c>
      <c r="P1708" s="158">
        <f>IFERROR(INDEX(MASTER_JAM!$Z$5:$AC$10,MATCH($I1708,MASTER_JAM!$Y$5:$Y$10,0),MATCH($J1708,MASTER_JAM!$Z$4:$AC$4,0))+0,0)</f>
        <v/>
      </c>
      <c r="Q1708" s="158">
        <f>IF($P1708=0,0,$P1708+IFERROR(INDEX(MASTER_JAM!$H$5:$H$94,MATCH($C1708,MASTER_JAM!$A$5:$A$94,0))+0,MASTER_JAM!$AC$15)/1000*(60/MASTER_JAM!$AC$12+60/MASTER_JAM!$AC$13)+MASTER_JAM!$AC$14)</f>
        <v/>
      </c>
      <c r="R1708" s="158">
        <f>IF(N($F1708)=0,0,$F1708/SUMIFS(INPUT_RITASE!$F$5:$F$20000,INPUT_RITASE!$A$5:$A$20000,$A1708,INPUT_RITASE!$B$5:$B$20000,$B1708,INPUT_RITASE!$C$5:$C$20000,$C1708,INPUT_RITASE!$D$5:$D$20000,$D1708))</f>
        <v/>
      </c>
      <c r="S1708" s="158">
        <f>IF($Q1708=0,0,$R1708*$P1708/$Q1708)</f>
        <v/>
      </c>
    </row>
    <row r="1709">
      <c r="A1709" s="155" t="n">
        <v>46110</v>
      </c>
      <c r="B1709" s="156" t="inlineStr">
        <is>
          <t>11-12</t>
        </is>
      </c>
      <c r="C1709" s="156" t="inlineStr">
        <is>
          <t>EX-753</t>
        </is>
      </c>
      <c r="D1709" s="156" t="inlineStr">
        <is>
          <t>DT-514</t>
        </is>
      </c>
      <c r="E1709" s="156" t="inlineStr">
        <is>
          <t>OB</t>
        </is>
      </c>
      <c r="F1709" s="156" t="n">
        <v>4</v>
      </c>
      <c r="G1709" s="156" t="inlineStr"/>
      <c r="H1709" s="157">
        <f>IF($B1709="","",IF(ISNA(MATCH($B1709,MASTER_JAM!$Q$5:$Q$28,0)),"?",IF(MATCH($B1709,MASTER_JAM!$Q$5:$Q$28,0)&lt;=12,"DS","NS")))</f>
        <v/>
      </c>
      <c r="I1709" s="157">
        <f>IFERROR(INDEX(MASTER_JAM!$B$5:$B$94,MATCH($C1709,MASTER_JAM!$A$5:$A$94,0)),"")</f>
        <v/>
      </c>
      <c r="J1709" s="157">
        <f>IFERROR(INDEX(MASTER_JAM!$E$5:$E$94,MATCH($D1709,MASTER_JAM!$A$5:$A$94,0)),"")</f>
        <v/>
      </c>
      <c r="K1709" s="158">
        <f>IFERROR(INDEX(MASTER_JAM!$J$5:$O$12,MATCH($E1709,MASTER_JAM!$I$5:$I$12,0),MATCH($J1709,MASTER_JAM!$J$4:$O$4,0))+0,0)</f>
        <v/>
      </c>
      <c r="L1709" s="159">
        <f>N($F1709)*$K1709</f>
        <v/>
      </c>
      <c r="M1709" s="157">
        <f>IF($E1709="","",IF(OR($E1709="Coal",$E1709="Dirty Coal"),"MT","BCM"))</f>
        <v/>
      </c>
      <c r="N1709" s="157">
        <f>IF($E1709="","",IF(OR($E1709="Coal",$E1709="Dirty Coal"),"Coal","OB"))</f>
        <v/>
      </c>
      <c r="O1709" s="157">
        <f>IF($F1709="","",IF(COUNTIF(MASTER_JAM!$A$5:$A$94,$C1709)=0,"Digger tidak dikenal",IF($J1709="","Hauler tidak dikenal",IF($H1709="?","Jam salah",IF($K1709=0,"Faktor kosong",IF(SUMIFS(INPUT_DELAY!$E$5:$E$20000,INPUT_DELAY!$A$5:$A$20000,$A1709,INPUT_DELAY!$B$5:$B$20000,$B1709,INPUT_DELAY!$C$5:$C$20000,$C1709)+SUMIFS(INPUT_DELAY!$E$5:$E$20000,INPUT_DELAY!$A$5:$A$20000,$A1709,INPUT_DELAY!$B$5:$B$20000,$B1709,INPUT_DELAY!$C$5:$C$20000,"SEMUA")&gt;=60,"Delay 60 mnt tapi ada ritase","OK"))))))</f>
        <v/>
      </c>
      <c r="P1709" s="158">
        <f>IFERROR(INDEX(MASTER_JAM!$Z$5:$AC$10,MATCH($I1709,MASTER_JAM!$Y$5:$Y$10,0),MATCH($J1709,MASTER_JAM!$Z$4:$AC$4,0))+0,0)</f>
        <v/>
      </c>
      <c r="Q1709" s="158">
        <f>IF($P1709=0,0,$P1709+IFERROR(INDEX(MASTER_JAM!$H$5:$H$94,MATCH($C1709,MASTER_JAM!$A$5:$A$94,0))+0,MASTER_JAM!$AC$15)/1000*(60/MASTER_JAM!$AC$12+60/MASTER_JAM!$AC$13)+MASTER_JAM!$AC$14)</f>
        <v/>
      </c>
      <c r="R1709" s="158">
        <f>IF(N($F1709)=0,0,$F1709/SUMIFS(INPUT_RITASE!$F$5:$F$20000,INPUT_RITASE!$A$5:$A$20000,$A1709,INPUT_RITASE!$B$5:$B$20000,$B1709,INPUT_RITASE!$C$5:$C$20000,$C1709,INPUT_RITASE!$D$5:$D$20000,$D1709))</f>
        <v/>
      </c>
      <c r="S1709" s="158">
        <f>IF($Q1709=0,0,$R1709*$P1709/$Q1709)</f>
        <v/>
      </c>
    </row>
    <row r="1710">
      <c r="A1710" s="155" t="n">
        <v>46110</v>
      </c>
      <c r="B1710" s="156" t="inlineStr">
        <is>
          <t>11-12</t>
        </is>
      </c>
      <c r="C1710" s="156" t="inlineStr">
        <is>
          <t>EX-753</t>
        </is>
      </c>
      <c r="D1710" s="156" t="inlineStr">
        <is>
          <t>DT-526</t>
        </is>
      </c>
      <c r="E1710" s="156" t="inlineStr">
        <is>
          <t>OB</t>
        </is>
      </c>
      <c r="F1710" s="156" t="n">
        <v>4</v>
      </c>
      <c r="G1710" s="156" t="inlineStr"/>
      <c r="H1710" s="157">
        <f>IF($B1710="","",IF(ISNA(MATCH($B1710,MASTER_JAM!$Q$5:$Q$28,0)),"?",IF(MATCH($B1710,MASTER_JAM!$Q$5:$Q$28,0)&lt;=12,"DS","NS")))</f>
        <v/>
      </c>
      <c r="I1710" s="157">
        <f>IFERROR(INDEX(MASTER_JAM!$B$5:$B$94,MATCH($C1710,MASTER_JAM!$A$5:$A$94,0)),"")</f>
        <v/>
      </c>
      <c r="J1710" s="157">
        <f>IFERROR(INDEX(MASTER_JAM!$E$5:$E$94,MATCH($D1710,MASTER_JAM!$A$5:$A$94,0)),"")</f>
        <v/>
      </c>
      <c r="K1710" s="158">
        <f>IFERROR(INDEX(MASTER_JAM!$J$5:$O$12,MATCH($E1710,MASTER_JAM!$I$5:$I$12,0),MATCH($J1710,MASTER_JAM!$J$4:$O$4,0))+0,0)</f>
        <v/>
      </c>
      <c r="L1710" s="159">
        <f>N($F1710)*$K1710</f>
        <v/>
      </c>
      <c r="M1710" s="157">
        <f>IF($E1710="","",IF(OR($E1710="Coal",$E1710="Dirty Coal"),"MT","BCM"))</f>
        <v/>
      </c>
      <c r="N1710" s="157">
        <f>IF($E1710="","",IF(OR($E1710="Coal",$E1710="Dirty Coal"),"Coal","OB"))</f>
        <v/>
      </c>
      <c r="O1710" s="157">
        <f>IF($F1710="","",IF(COUNTIF(MASTER_JAM!$A$5:$A$94,$C1710)=0,"Digger tidak dikenal",IF($J1710="","Hauler tidak dikenal",IF($H1710="?","Jam salah",IF($K1710=0,"Faktor kosong",IF(SUMIFS(INPUT_DELAY!$E$5:$E$20000,INPUT_DELAY!$A$5:$A$20000,$A1710,INPUT_DELAY!$B$5:$B$20000,$B1710,INPUT_DELAY!$C$5:$C$20000,$C1710)+SUMIFS(INPUT_DELAY!$E$5:$E$20000,INPUT_DELAY!$A$5:$A$20000,$A1710,INPUT_DELAY!$B$5:$B$20000,$B1710,INPUT_DELAY!$C$5:$C$20000,"SEMUA")&gt;=60,"Delay 60 mnt tapi ada ritase","OK"))))))</f>
        <v/>
      </c>
      <c r="P1710" s="158">
        <f>IFERROR(INDEX(MASTER_JAM!$Z$5:$AC$10,MATCH($I1710,MASTER_JAM!$Y$5:$Y$10,0),MATCH($J1710,MASTER_JAM!$Z$4:$AC$4,0))+0,0)</f>
        <v/>
      </c>
      <c r="Q1710" s="158">
        <f>IF($P1710=0,0,$P1710+IFERROR(INDEX(MASTER_JAM!$H$5:$H$94,MATCH($C1710,MASTER_JAM!$A$5:$A$94,0))+0,MASTER_JAM!$AC$15)/1000*(60/MASTER_JAM!$AC$12+60/MASTER_JAM!$AC$13)+MASTER_JAM!$AC$14)</f>
        <v/>
      </c>
      <c r="R1710" s="158">
        <f>IF(N($F1710)=0,0,$F1710/SUMIFS(INPUT_RITASE!$F$5:$F$20000,INPUT_RITASE!$A$5:$A$20000,$A1710,INPUT_RITASE!$B$5:$B$20000,$B1710,INPUT_RITASE!$C$5:$C$20000,$C1710,INPUT_RITASE!$D$5:$D$20000,$D1710))</f>
        <v/>
      </c>
      <c r="S1710" s="158">
        <f>IF($Q1710=0,0,$R1710*$P1710/$Q1710)</f>
        <v/>
      </c>
    </row>
    <row r="1711">
      <c r="A1711" s="155" t="n">
        <v>46110</v>
      </c>
      <c r="B1711" s="156" t="inlineStr">
        <is>
          <t>11-12</t>
        </is>
      </c>
      <c r="C1711" s="156" t="inlineStr">
        <is>
          <t>EX-753</t>
        </is>
      </c>
      <c r="D1711" s="156" t="inlineStr">
        <is>
          <t>DT-518</t>
        </is>
      </c>
      <c r="E1711" s="156" t="inlineStr">
        <is>
          <t>OB</t>
        </is>
      </c>
      <c r="F1711" s="156" t="n">
        <v>4</v>
      </c>
      <c r="G1711" s="156" t="inlineStr"/>
      <c r="H1711" s="157">
        <f>IF($B1711="","",IF(ISNA(MATCH($B1711,MASTER_JAM!$Q$5:$Q$28,0)),"?",IF(MATCH($B1711,MASTER_JAM!$Q$5:$Q$28,0)&lt;=12,"DS","NS")))</f>
        <v/>
      </c>
      <c r="I1711" s="157">
        <f>IFERROR(INDEX(MASTER_JAM!$B$5:$B$94,MATCH($C1711,MASTER_JAM!$A$5:$A$94,0)),"")</f>
        <v/>
      </c>
      <c r="J1711" s="157">
        <f>IFERROR(INDEX(MASTER_JAM!$E$5:$E$94,MATCH($D1711,MASTER_JAM!$A$5:$A$94,0)),"")</f>
        <v/>
      </c>
      <c r="K1711" s="158">
        <f>IFERROR(INDEX(MASTER_JAM!$J$5:$O$12,MATCH($E1711,MASTER_JAM!$I$5:$I$12,0),MATCH($J1711,MASTER_JAM!$J$4:$O$4,0))+0,0)</f>
        <v/>
      </c>
      <c r="L1711" s="159">
        <f>N($F1711)*$K1711</f>
        <v/>
      </c>
      <c r="M1711" s="157">
        <f>IF($E1711="","",IF(OR($E1711="Coal",$E1711="Dirty Coal"),"MT","BCM"))</f>
        <v/>
      </c>
      <c r="N1711" s="157">
        <f>IF($E1711="","",IF(OR($E1711="Coal",$E1711="Dirty Coal"),"Coal","OB"))</f>
        <v/>
      </c>
      <c r="O1711" s="157">
        <f>IF($F1711="","",IF(COUNTIF(MASTER_JAM!$A$5:$A$94,$C1711)=0,"Digger tidak dikenal",IF($J1711="","Hauler tidak dikenal",IF($H1711="?","Jam salah",IF($K1711=0,"Faktor kosong",IF(SUMIFS(INPUT_DELAY!$E$5:$E$20000,INPUT_DELAY!$A$5:$A$20000,$A1711,INPUT_DELAY!$B$5:$B$20000,$B1711,INPUT_DELAY!$C$5:$C$20000,$C1711)+SUMIFS(INPUT_DELAY!$E$5:$E$20000,INPUT_DELAY!$A$5:$A$20000,$A1711,INPUT_DELAY!$B$5:$B$20000,$B1711,INPUT_DELAY!$C$5:$C$20000,"SEMUA")&gt;=60,"Delay 60 mnt tapi ada ritase","OK"))))))</f>
        <v/>
      </c>
      <c r="P1711" s="158">
        <f>IFERROR(INDEX(MASTER_JAM!$Z$5:$AC$10,MATCH($I1711,MASTER_JAM!$Y$5:$Y$10,0),MATCH($J1711,MASTER_JAM!$Z$4:$AC$4,0))+0,0)</f>
        <v/>
      </c>
      <c r="Q1711" s="158">
        <f>IF($P1711=0,0,$P1711+IFERROR(INDEX(MASTER_JAM!$H$5:$H$94,MATCH($C1711,MASTER_JAM!$A$5:$A$94,0))+0,MASTER_JAM!$AC$15)/1000*(60/MASTER_JAM!$AC$12+60/MASTER_JAM!$AC$13)+MASTER_JAM!$AC$14)</f>
        <v/>
      </c>
      <c r="R1711" s="158">
        <f>IF(N($F1711)=0,0,$F1711/SUMIFS(INPUT_RITASE!$F$5:$F$20000,INPUT_RITASE!$A$5:$A$20000,$A1711,INPUT_RITASE!$B$5:$B$20000,$B1711,INPUT_RITASE!$C$5:$C$20000,$C1711,INPUT_RITASE!$D$5:$D$20000,$D1711))</f>
        <v/>
      </c>
      <c r="S1711" s="158">
        <f>IF($Q1711=0,0,$R1711*$P1711/$Q1711)</f>
        <v/>
      </c>
    </row>
    <row r="1712">
      <c r="A1712" s="155" t="n">
        <v>46110</v>
      </c>
      <c r="B1712" s="156" t="inlineStr">
        <is>
          <t>11-12</t>
        </is>
      </c>
      <c r="C1712" s="156" t="inlineStr">
        <is>
          <t>EX-753</t>
        </is>
      </c>
      <c r="D1712" s="156" t="inlineStr">
        <is>
          <t>DT-522</t>
        </is>
      </c>
      <c r="E1712" s="156" t="inlineStr">
        <is>
          <t>OB</t>
        </is>
      </c>
      <c r="F1712" s="156" t="n">
        <v>3</v>
      </c>
      <c r="G1712" s="156" t="inlineStr"/>
      <c r="H1712" s="157">
        <f>IF($B1712="","",IF(ISNA(MATCH($B1712,MASTER_JAM!$Q$5:$Q$28,0)),"?",IF(MATCH($B1712,MASTER_JAM!$Q$5:$Q$28,0)&lt;=12,"DS","NS")))</f>
        <v/>
      </c>
      <c r="I1712" s="157">
        <f>IFERROR(INDEX(MASTER_JAM!$B$5:$B$94,MATCH($C1712,MASTER_JAM!$A$5:$A$94,0)),"")</f>
        <v/>
      </c>
      <c r="J1712" s="157">
        <f>IFERROR(INDEX(MASTER_JAM!$E$5:$E$94,MATCH($D1712,MASTER_JAM!$A$5:$A$94,0)),"")</f>
        <v/>
      </c>
      <c r="K1712" s="158">
        <f>IFERROR(INDEX(MASTER_JAM!$J$5:$O$12,MATCH($E1712,MASTER_JAM!$I$5:$I$12,0),MATCH($J1712,MASTER_JAM!$J$4:$O$4,0))+0,0)</f>
        <v/>
      </c>
      <c r="L1712" s="159">
        <f>N($F1712)*$K1712</f>
        <v/>
      </c>
      <c r="M1712" s="157">
        <f>IF($E1712="","",IF(OR($E1712="Coal",$E1712="Dirty Coal"),"MT","BCM"))</f>
        <v/>
      </c>
      <c r="N1712" s="157">
        <f>IF($E1712="","",IF(OR($E1712="Coal",$E1712="Dirty Coal"),"Coal","OB"))</f>
        <v/>
      </c>
      <c r="O1712" s="157">
        <f>IF($F1712="","",IF(COUNTIF(MASTER_JAM!$A$5:$A$94,$C1712)=0,"Digger tidak dikenal",IF($J1712="","Hauler tidak dikenal",IF($H1712="?","Jam salah",IF($K1712=0,"Faktor kosong",IF(SUMIFS(INPUT_DELAY!$E$5:$E$20000,INPUT_DELAY!$A$5:$A$20000,$A1712,INPUT_DELAY!$B$5:$B$20000,$B1712,INPUT_DELAY!$C$5:$C$20000,$C1712)+SUMIFS(INPUT_DELAY!$E$5:$E$20000,INPUT_DELAY!$A$5:$A$20000,$A1712,INPUT_DELAY!$B$5:$B$20000,$B1712,INPUT_DELAY!$C$5:$C$20000,"SEMUA")&gt;=60,"Delay 60 mnt tapi ada ritase","OK"))))))</f>
        <v/>
      </c>
      <c r="P1712" s="158">
        <f>IFERROR(INDEX(MASTER_JAM!$Z$5:$AC$10,MATCH($I1712,MASTER_JAM!$Y$5:$Y$10,0),MATCH($J1712,MASTER_JAM!$Z$4:$AC$4,0))+0,0)</f>
        <v/>
      </c>
      <c r="Q1712" s="158">
        <f>IF($P1712=0,0,$P1712+IFERROR(INDEX(MASTER_JAM!$H$5:$H$94,MATCH($C1712,MASTER_JAM!$A$5:$A$94,0))+0,MASTER_JAM!$AC$15)/1000*(60/MASTER_JAM!$AC$12+60/MASTER_JAM!$AC$13)+MASTER_JAM!$AC$14)</f>
        <v/>
      </c>
      <c r="R1712" s="158">
        <f>IF(N($F1712)=0,0,$F1712/SUMIFS(INPUT_RITASE!$F$5:$F$20000,INPUT_RITASE!$A$5:$A$20000,$A1712,INPUT_RITASE!$B$5:$B$20000,$B1712,INPUT_RITASE!$C$5:$C$20000,$C1712,INPUT_RITASE!$D$5:$D$20000,$D1712))</f>
        <v/>
      </c>
      <c r="S1712" s="158">
        <f>IF($Q1712=0,0,$R1712*$P1712/$Q1712)</f>
        <v/>
      </c>
    </row>
    <row r="1713">
      <c r="A1713" s="155" t="n">
        <v>46110</v>
      </c>
      <c r="B1713" s="156" t="inlineStr">
        <is>
          <t>13-14</t>
        </is>
      </c>
      <c r="C1713" s="156" t="inlineStr">
        <is>
          <t>EX-753</t>
        </is>
      </c>
      <c r="D1713" s="156" t="inlineStr">
        <is>
          <t>DT-517</t>
        </is>
      </c>
      <c r="E1713" s="156" t="inlineStr">
        <is>
          <t>OB</t>
        </is>
      </c>
      <c r="F1713" s="156" t="n">
        <v>4</v>
      </c>
      <c r="G1713" s="156" t="inlineStr"/>
      <c r="H1713" s="157">
        <f>IF($B1713="","",IF(ISNA(MATCH($B1713,MASTER_JAM!$Q$5:$Q$28,0)),"?",IF(MATCH($B1713,MASTER_JAM!$Q$5:$Q$28,0)&lt;=12,"DS","NS")))</f>
        <v/>
      </c>
      <c r="I1713" s="157">
        <f>IFERROR(INDEX(MASTER_JAM!$B$5:$B$94,MATCH($C1713,MASTER_JAM!$A$5:$A$94,0)),"")</f>
        <v/>
      </c>
      <c r="J1713" s="157">
        <f>IFERROR(INDEX(MASTER_JAM!$E$5:$E$94,MATCH($D1713,MASTER_JAM!$A$5:$A$94,0)),"")</f>
        <v/>
      </c>
      <c r="K1713" s="158">
        <f>IFERROR(INDEX(MASTER_JAM!$J$5:$O$12,MATCH($E1713,MASTER_JAM!$I$5:$I$12,0),MATCH($J1713,MASTER_JAM!$J$4:$O$4,0))+0,0)</f>
        <v/>
      </c>
      <c r="L1713" s="159">
        <f>N($F1713)*$K1713</f>
        <v/>
      </c>
      <c r="M1713" s="157">
        <f>IF($E1713="","",IF(OR($E1713="Coal",$E1713="Dirty Coal"),"MT","BCM"))</f>
        <v/>
      </c>
      <c r="N1713" s="157">
        <f>IF($E1713="","",IF(OR($E1713="Coal",$E1713="Dirty Coal"),"Coal","OB"))</f>
        <v/>
      </c>
      <c r="O1713" s="157">
        <f>IF($F1713="","",IF(COUNTIF(MASTER_JAM!$A$5:$A$94,$C1713)=0,"Digger tidak dikenal",IF($J1713="","Hauler tidak dikenal",IF($H1713="?","Jam salah",IF($K1713=0,"Faktor kosong",IF(SUMIFS(INPUT_DELAY!$E$5:$E$20000,INPUT_DELAY!$A$5:$A$20000,$A1713,INPUT_DELAY!$B$5:$B$20000,$B1713,INPUT_DELAY!$C$5:$C$20000,$C1713)+SUMIFS(INPUT_DELAY!$E$5:$E$20000,INPUT_DELAY!$A$5:$A$20000,$A1713,INPUT_DELAY!$B$5:$B$20000,$B1713,INPUT_DELAY!$C$5:$C$20000,"SEMUA")&gt;=60,"Delay 60 mnt tapi ada ritase","OK"))))))</f>
        <v/>
      </c>
      <c r="P1713" s="158">
        <f>IFERROR(INDEX(MASTER_JAM!$Z$5:$AC$10,MATCH($I1713,MASTER_JAM!$Y$5:$Y$10,0),MATCH($J1713,MASTER_JAM!$Z$4:$AC$4,0))+0,0)</f>
        <v/>
      </c>
      <c r="Q1713" s="158">
        <f>IF($P1713=0,0,$P1713+IFERROR(INDEX(MASTER_JAM!$H$5:$H$94,MATCH($C1713,MASTER_JAM!$A$5:$A$94,0))+0,MASTER_JAM!$AC$15)/1000*(60/MASTER_JAM!$AC$12+60/MASTER_JAM!$AC$13)+MASTER_JAM!$AC$14)</f>
        <v/>
      </c>
      <c r="R1713" s="158">
        <f>IF(N($F1713)=0,0,$F1713/SUMIFS(INPUT_RITASE!$F$5:$F$20000,INPUT_RITASE!$A$5:$A$20000,$A1713,INPUT_RITASE!$B$5:$B$20000,$B1713,INPUT_RITASE!$C$5:$C$20000,$C1713,INPUT_RITASE!$D$5:$D$20000,$D1713))</f>
        <v/>
      </c>
      <c r="S1713" s="158">
        <f>IF($Q1713=0,0,$R1713*$P1713/$Q1713)</f>
        <v/>
      </c>
    </row>
    <row r="1714">
      <c r="A1714" s="155" t="n">
        <v>46110</v>
      </c>
      <c r="B1714" s="156" t="inlineStr">
        <is>
          <t>13-14</t>
        </is>
      </c>
      <c r="C1714" s="156" t="inlineStr">
        <is>
          <t>EX-753</t>
        </is>
      </c>
      <c r="D1714" s="156" t="inlineStr">
        <is>
          <t>DT-516</t>
        </is>
      </c>
      <c r="E1714" s="156" t="inlineStr">
        <is>
          <t>OB</t>
        </is>
      </c>
      <c r="F1714" s="156" t="n">
        <v>4</v>
      </c>
      <c r="G1714" s="156" t="inlineStr"/>
      <c r="H1714" s="157">
        <f>IF($B1714="","",IF(ISNA(MATCH($B1714,MASTER_JAM!$Q$5:$Q$28,0)),"?",IF(MATCH($B1714,MASTER_JAM!$Q$5:$Q$28,0)&lt;=12,"DS","NS")))</f>
        <v/>
      </c>
      <c r="I1714" s="157">
        <f>IFERROR(INDEX(MASTER_JAM!$B$5:$B$94,MATCH($C1714,MASTER_JAM!$A$5:$A$94,0)),"")</f>
        <v/>
      </c>
      <c r="J1714" s="157">
        <f>IFERROR(INDEX(MASTER_JAM!$E$5:$E$94,MATCH($D1714,MASTER_JAM!$A$5:$A$94,0)),"")</f>
        <v/>
      </c>
      <c r="K1714" s="158">
        <f>IFERROR(INDEX(MASTER_JAM!$J$5:$O$12,MATCH($E1714,MASTER_JAM!$I$5:$I$12,0),MATCH($J1714,MASTER_JAM!$J$4:$O$4,0))+0,0)</f>
        <v/>
      </c>
      <c r="L1714" s="159">
        <f>N($F1714)*$K1714</f>
        <v/>
      </c>
      <c r="M1714" s="157">
        <f>IF($E1714="","",IF(OR($E1714="Coal",$E1714="Dirty Coal"),"MT","BCM"))</f>
        <v/>
      </c>
      <c r="N1714" s="157">
        <f>IF($E1714="","",IF(OR($E1714="Coal",$E1714="Dirty Coal"),"Coal","OB"))</f>
        <v/>
      </c>
      <c r="O1714" s="157">
        <f>IF($F1714="","",IF(COUNTIF(MASTER_JAM!$A$5:$A$94,$C1714)=0,"Digger tidak dikenal",IF($J1714="","Hauler tidak dikenal",IF($H1714="?","Jam salah",IF($K1714=0,"Faktor kosong",IF(SUMIFS(INPUT_DELAY!$E$5:$E$20000,INPUT_DELAY!$A$5:$A$20000,$A1714,INPUT_DELAY!$B$5:$B$20000,$B1714,INPUT_DELAY!$C$5:$C$20000,$C1714)+SUMIFS(INPUT_DELAY!$E$5:$E$20000,INPUT_DELAY!$A$5:$A$20000,$A1714,INPUT_DELAY!$B$5:$B$20000,$B1714,INPUT_DELAY!$C$5:$C$20000,"SEMUA")&gt;=60,"Delay 60 mnt tapi ada ritase","OK"))))))</f>
        <v/>
      </c>
      <c r="P1714" s="158">
        <f>IFERROR(INDEX(MASTER_JAM!$Z$5:$AC$10,MATCH($I1714,MASTER_JAM!$Y$5:$Y$10,0),MATCH($J1714,MASTER_JAM!$Z$4:$AC$4,0))+0,0)</f>
        <v/>
      </c>
      <c r="Q1714" s="158">
        <f>IF($P1714=0,0,$P1714+IFERROR(INDEX(MASTER_JAM!$H$5:$H$94,MATCH($C1714,MASTER_JAM!$A$5:$A$94,0))+0,MASTER_JAM!$AC$15)/1000*(60/MASTER_JAM!$AC$12+60/MASTER_JAM!$AC$13)+MASTER_JAM!$AC$14)</f>
        <v/>
      </c>
      <c r="R1714" s="158">
        <f>IF(N($F1714)=0,0,$F1714/SUMIFS(INPUT_RITASE!$F$5:$F$20000,INPUT_RITASE!$A$5:$A$20000,$A1714,INPUT_RITASE!$B$5:$B$20000,$B1714,INPUT_RITASE!$C$5:$C$20000,$C1714,INPUT_RITASE!$D$5:$D$20000,$D1714))</f>
        <v/>
      </c>
      <c r="S1714" s="158">
        <f>IF($Q1714=0,0,$R1714*$P1714/$Q1714)</f>
        <v/>
      </c>
    </row>
    <row r="1715">
      <c r="A1715" s="155" t="n">
        <v>46110</v>
      </c>
      <c r="B1715" s="156" t="inlineStr">
        <is>
          <t>13-14</t>
        </is>
      </c>
      <c r="C1715" s="156" t="inlineStr">
        <is>
          <t>EX-753</t>
        </is>
      </c>
      <c r="D1715" s="156" t="inlineStr">
        <is>
          <t>DT-511</t>
        </is>
      </c>
      <c r="E1715" s="156" t="inlineStr">
        <is>
          <t>OB</t>
        </is>
      </c>
      <c r="F1715" s="156" t="n">
        <v>4</v>
      </c>
      <c r="G1715" s="156" t="inlineStr"/>
      <c r="H1715" s="157">
        <f>IF($B1715="","",IF(ISNA(MATCH($B1715,MASTER_JAM!$Q$5:$Q$28,0)),"?",IF(MATCH($B1715,MASTER_JAM!$Q$5:$Q$28,0)&lt;=12,"DS","NS")))</f>
        <v/>
      </c>
      <c r="I1715" s="157">
        <f>IFERROR(INDEX(MASTER_JAM!$B$5:$B$94,MATCH($C1715,MASTER_JAM!$A$5:$A$94,0)),"")</f>
        <v/>
      </c>
      <c r="J1715" s="157">
        <f>IFERROR(INDEX(MASTER_JAM!$E$5:$E$94,MATCH($D1715,MASTER_JAM!$A$5:$A$94,0)),"")</f>
        <v/>
      </c>
      <c r="K1715" s="158">
        <f>IFERROR(INDEX(MASTER_JAM!$J$5:$O$12,MATCH($E1715,MASTER_JAM!$I$5:$I$12,0),MATCH($J1715,MASTER_JAM!$J$4:$O$4,0))+0,0)</f>
        <v/>
      </c>
      <c r="L1715" s="159">
        <f>N($F1715)*$K1715</f>
        <v/>
      </c>
      <c r="M1715" s="157">
        <f>IF($E1715="","",IF(OR($E1715="Coal",$E1715="Dirty Coal"),"MT","BCM"))</f>
        <v/>
      </c>
      <c r="N1715" s="157">
        <f>IF($E1715="","",IF(OR($E1715="Coal",$E1715="Dirty Coal"),"Coal","OB"))</f>
        <v/>
      </c>
      <c r="O1715" s="157">
        <f>IF($F1715="","",IF(COUNTIF(MASTER_JAM!$A$5:$A$94,$C1715)=0,"Digger tidak dikenal",IF($J1715="","Hauler tidak dikenal",IF($H1715="?","Jam salah",IF($K1715=0,"Faktor kosong",IF(SUMIFS(INPUT_DELAY!$E$5:$E$20000,INPUT_DELAY!$A$5:$A$20000,$A1715,INPUT_DELAY!$B$5:$B$20000,$B1715,INPUT_DELAY!$C$5:$C$20000,$C1715)+SUMIFS(INPUT_DELAY!$E$5:$E$20000,INPUT_DELAY!$A$5:$A$20000,$A1715,INPUT_DELAY!$B$5:$B$20000,$B1715,INPUT_DELAY!$C$5:$C$20000,"SEMUA")&gt;=60,"Delay 60 mnt tapi ada ritase","OK"))))))</f>
        <v/>
      </c>
      <c r="P1715" s="158">
        <f>IFERROR(INDEX(MASTER_JAM!$Z$5:$AC$10,MATCH($I1715,MASTER_JAM!$Y$5:$Y$10,0),MATCH($J1715,MASTER_JAM!$Z$4:$AC$4,0))+0,0)</f>
        <v/>
      </c>
      <c r="Q1715" s="158">
        <f>IF($P1715=0,0,$P1715+IFERROR(INDEX(MASTER_JAM!$H$5:$H$94,MATCH($C1715,MASTER_JAM!$A$5:$A$94,0))+0,MASTER_JAM!$AC$15)/1000*(60/MASTER_JAM!$AC$12+60/MASTER_JAM!$AC$13)+MASTER_JAM!$AC$14)</f>
        <v/>
      </c>
      <c r="R1715" s="158">
        <f>IF(N($F1715)=0,0,$F1715/SUMIFS(INPUT_RITASE!$F$5:$F$20000,INPUT_RITASE!$A$5:$A$20000,$A1715,INPUT_RITASE!$B$5:$B$20000,$B1715,INPUT_RITASE!$C$5:$C$20000,$C1715,INPUT_RITASE!$D$5:$D$20000,$D1715))</f>
        <v/>
      </c>
      <c r="S1715" s="158">
        <f>IF($Q1715=0,0,$R1715*$P1715/$Q1715)</f>
        <v/>
      </c>
    </row>
    <row r="1716">
      <c r="A1716" s="155" t="n">
        <v>46110</v>
      </c>
      <c r="B1716" s="156" t="inlineStr">
        <is>
          <t>13-14</t>
        </is>
      </c>
      <c r="C1716" s="156" t="inlineStr">
        <is>
          <t>EX-753</t>
        </is>
      </c>
      <c r="D1716" s="156" t="inlineStr">
        <is>
          <t>DT-514</t>
        </is>
      </c>
      <c r="E1716" s="156" t="inlineStr">
        <is>
          <t>OB</t>
        </is>
      </c>
      <c r="F1716" s="156" t="n">
        <v>3</v>
      </c>
      <c r="G1716" s="156" t="inlineStr"/>
      <c r="H1716" s="157">
        <f>IF($B1716="","",IF(ISNA(MATCH($B1716,MASTER_JAM!$Q$5:$Q$28,0)),"?",IF(MATCH($B1716,MASTER_JAM!$Q$5:$Q$28,0)&lt;=12,"DS","NS")))</f>
        <v/>
      </c>
      <c r="I1716" s="157">
        <f>IFERROR(INDEX(MASTER_JAM!$B$5:$B$94,MATCH($C1716,MASTER_JAM!$A$5:$A$94,0)),"")</f>
        <v/>
      </c>
      <c r="J1716" s="157">
        <f>IFERROR(INDEX(MASTER_JAM!$E$5:$E$94,MATCH($D1716,MASTER_JAM!$A$5:$A$94,0)),"")</f>
        <v/>
      </c>
      <c r="K1716" s="158">
        <f>IFERROR(INDEX(MASTER_JAM!$J$5:$O$12,MATCH($E1716,MASTER_JAM!$I$5:$I$12,0),MATCH($J1716,MASTER_JAM!$J$4:$O$4,0))+0,0)</f>
        <v/>
      </c>
      <c r="L1716" s="159">
        <f>N($F1716)*$K1716</f>
        <v/>
      </c>
      <c r="M1716" s="157">
        <f>IF($E1716="","",IF(OR($E1716="Coal",$E1716="Dirty Coal"),"MT","BCM"))</f>
        <v/>
      </c>
      <c r="N1716" s="157">
        <f>IF($E1716="","",IF(OR($E1716="Coal",$E1716="Dirty Coal"),"Coal","OB"))</f>
        <v/>
      </c>
      <c r="O1716" s="157">
        <f>IF($F1716="","",IF(COUNTIF(MASTER_JAM!$A$5:$A$94,$C1716)=0,"Digger tidak dikenal",IF($J1716="","Hauler tidak dikenal",IF($H1716="?","Jam salah",IF($K1716=0,"Faktor kosong",IF(SUMIFS(INPUT_DELAY!$E$5:$E$20000,INPUT_DELAY!$A$5:$A$20000,$A1716,INPUT_DELAY!$B$5:$B$20000,$B1716,INPUT_DELAY!$C$5:$C$20000,$C1716)+SUMIFS(INPUT_DELAY!$E$5:$E$20000,INPUT_DELAY!$A$5:$A$20000,$A1716,INPUT_DELAY!$B$5:$B$20000,$B1716,INPUT_DELAY!$C$5:$C$20000,"SEMUA")&gt;=60,"Delay 60 mnt tapi ada ritase","OK"))))))</f>
        <v/>
      </c>
      <c r="P1716" s="158">
        <f>IFERROR(INDEX(MASTER_JAM!$Z$5:$AC$10,MATCH($I1716,MASTER_JAM!$Y$5:$Y$10,0),MATCH($J1716,MASTER_JAM!$Z$4:$AC$4,0))+0,0)</f>
        <v/>
      </c>
      <c r="Q1716" s="158">
        <f>IF($P1716=0,0,$P1716+IFERROR(INDEX(MASTER_JAM!$H$5:$H$94,MATCH($C1716,MASTER_JAM!$A$5:$A$94,0))+0,MASTER_JAM!$AC$15)/1000*(60/MASTER_JAM!$AC$12+60/MASTER_JAM!$AC$13)+MASTER_JAM!$AC$14)</f>
        <v/>
      </c>
      <c r="R1716" s="158">
        <f>IF(N($F1716)=0,0,$F1716/SUMIFS(INPUT_RITASE!$F$5:$F$20000,INPUT_RITASE!$A$5:$A$20000,$A1716,INPUT_RITASE!$B$5:$B$20000,$B1716,INPUT_RITASE!$C$5:$C$20000,$C1716,INPUT_RITASE!$D$5:$D$20000,$D1716))</f>
        <v/>
      </c>
      <c r="S1716" s="158">
        <f>IF($Q1716=0,0,$R1716*$P1716/$Q1716)</f>
        <v/>
      </c>
    </row>
    <row r="1717">
      <c r="A1717" s="155" t="n">
        <v>46110</v>
      </c>
      <c r="B1717" s="156" t="inlineStr">
        <is>
          <t>13-14</t>
        </is>
      </c>
      <c r="C1717" s="156" t="inlineStr">
        <is>
          <t>EX-753</t>
        </is>
      </c>
      <c r="D1717" s="156" t="inlineStr">
        <is>
          <t>DT-526</t>
        </is>
      </c>
      <c r="E1717" s="156" t="inlineStr">
        <is>
          <t>OB</t>
        </is>
      </c>
      <c r="F1717" s="156" t="n">
        <v>3</v>
      </c>
      <c r="G1717" s="156" t="inlineStr"/>
      <c r="H1717" s="157">
        <f>IF($B1717="","",IF(ISNA(MATCH($B1717,MASTER_JAM!$Q$5:$Q$28,0)),"?",IF(MATCH($B1717,MASTER_JAM!$Q$5:$Q$28,0)&lt;=12,"DS","NS")))</f>
        <v/>
      </c>
      <c r="I1717" s="157">
        <f>IFERROR(INDEX(MASTER_JAM!$B$5:$B$94,MATCH($C1717,MASTER_JAM!$A$5:$A$94,0)),"")</f>
        <v/>
      </c>
      <c r="J1717" s="157">
        <f>IFERROR(INDEX(MASTER_JAM!$E$5:$E$94,MATCH($D1717,MASTER_JAM!$A$5:$A$94,0)),"")</f>
        <v/>
      </c>
      <c r="K1717" s="158">
        <f>IFERROR(INDEX(MASTER_JAM!$J$5:$O$12,MATCH($E1717,MASTER_JAM!$I$5:$I$12,0),MATCH($J1717,MASTER_JAM!$J$4:$O$4,0))+0,0)</f>
        <v/>
      </c>
      <c r="L1717" s="159">
        <f>N($F1717)*$K1717</f>
        <v/>
      </c>
      <c r="M1717" s="157">
        <f>IF($E1717="","",IF(OR($E1717="Coal",$E1717="Dirty Coal"),"MT","BCM"))</f>
        <v/>
      </c>
      <c r="N1717" s="157">
        <f>IF($E1717="","",IF(OR($E1717="Coal",$E1717="Dirty Coal"),"Coal","OB"))</f>
        <v/>
      </c>
      <c r="O1717" s="157">
        <f>IF($F1717="","",IF(COUNTIF(MASTER_JAM!$A$5:$A$94,$C1717)=0,"Digger tidak dikenal",IF($J1717="","Hauler tidak dikenal",IF($H1717="?","Jam salah",IF($K1717=0,"Faktor kosong",IF(SUMIFS(INPUT_DELAY!$E$5:$E$20000,INPUT_DELAY!$A$5:$A$20000,$A1717,INPUT_DELAY!$B$5:$B$20000,$B1717,INPUT_DELAY!$C$5:$C$20000,$C1717)+SUMIFS(INPUT_DELAY!$E$5:$E$20000,INPUT_DELAY!$A$5:$A$20000,$A1717,INPUT_DELAY!$B$5:$B$20000,$B1717,INPUT_DELAY!$C$5:$C$20000,"SEMUA")&gt;=60,"Delay 60 mnt tapi ada ritase","OK"))))))</f>
        <v/>
      </c>
      <c r="P1717" s="158">
        <f>IFERROR(INDEX(MASTER_JAM!$Z$5:$AC$10,MATCH($I1717,MASTER_JAM!$Y$5:$Y$10,0),MATCH($J1717,MASTER_JAM!$Z$4:$AC$4,0))+0,0)</f>
        <v/>
      </c>
      <c r="Q1717" s="158">
        <f>IF($P1717=0,0,$P1717+IFERROR(INDEX(MASTER_JAM!$H$5:$H$94,MATCH($C1717,MASTER_JAM!$A$5:$A$94,0))+0,MASTER_JAM!$AC$15)/1000*(60/MASTER_JAM!$AC$12+60/MASTER_JAM!$AC$13)+MASTER_JAM!$AC$14)</f>
        <v/>
      </c>
      <c r="R1717" s="158">
        <f>IF(N($F1717)=0,0,$F1717/SUMIFS(INPUT_RITASE!$F$5:$F$20000,INPUT_RITASE!$A$5:$A$20000,$A1717,INPUT_RITASE!$B$5:$B$20000,$B1717,INPUT_RITASE!$C$5:$C$20000,$C1717,INPUT_RITASE!$D$5:$D$20000,$D1717))</f>
        <v/>
      </c>
      <c r="S1717" s="158">
        <f>IF($Q1717=0,0,$R1717*$P1717/$Q1717)</f>
        <v/>
      </c>
    </row>
    <row r="1718">
      <c r="A1718" s="155" t="n">
        <v>46110</v>
      </c>
      <c r="B1718" s="156" t="inlineStr">
        <is>
          <t>14-15</t>
        </is>
      </c>
      <c r="C1718" s="156" t="inlineStr">
        <is>
          <t>EX-753</t>
        </is>
      </c>
      <c r="D1718" s="156" t="inlineStr">
        <is>
          <t>DT-502</t>
        </is>
      </c>
      <c r="E1718" s="156" t="inlineStr">
        <is>
          <t>OB</t>
        </is>
      </c>
      <c r="F1718" s="156" t="n">
        <v>4</v>
      </c>
      <c r="G1718" s="156" t="inlineStr"/>
      <c r="H1718" s="157">
        <f>IF($B1718="","",IF(ISNA(MATCH($B1718,MASTER_JAM!$Q$5:$Q$28,0)),"?",IF(MATCH($B1718,MASTER_JAM!$Q$5:$Q$28,0)&lt;=12,"DS","NS")))</f>
        <v/>
      </c>
      <c r="I1718" s="157">
        <f>IFERROR(INDEX(MASTER_JAM!$B$5:$B$94,MATCH($C1718,MASTER_JAM!$A$5:$A$94,0)),"")</f>
        <v/>
      </c>
      <c r="J1718" s="157">
        <f>IFERROR(INDEX(MASTER_JAM!$E$5:$E$94,MATCH($D1718,MASTER_JAM!$A$5:$A$94,0)),"")</f>
        <v/>
      </c>
      <c r="K1718" s="158">
        <f>IFERROR(INDEX(MASTER_JAM!$J$5:$O$12,MATCH($E1718,MASTER_JAM!$I$5:$I$12,0),MATCH($J1718,MASTER_JAM!$J$4:$O$4,0))+0,0)</f>
        <v/>
      </c>
      <c r="L1718" s="159">
        <f>N($F1718)*$K1718</f>
        <v/>
      </c>
      <c r="M1718" s="157">
        <f>IF($E1718="","",IF(OR($E1718="Coal",$E1718="Dirty Coal"),"MT","BCM"))</f>
        <v/>
      </c>
      <c r="N1718" s="157">
        <f>IF($E1718="","",IF(OR($E1718="Coal",$E1718="Dirty Coal"),"Coal","OB"))</f>
        <v/>
      </c>
      <c r="O1718" s="157">
        <f>IF($F1718="","",IF(COUNTIF(MASTER_JAM!$A$5:$A$94,$C1718)=0,"Digger tidak dikenal",IF($J1718="","Hauler tidak dikenal",IF($H1718="?","Jam salah",IF($K1718=0,"Faktor kosong",IF(SUMIFS(INPUT_DELAY!$E$5:$E$20000,INPUT_DELAY!$A$5:$A$20000,$A1718,INPUT_DELAY!$B$5:$B$20000,$B1718,INPUT_DELAY!$C$5:$C$20000,$C1718)+SUMIFS(INPUT_DELAY!$E$5:$E$20000,INPUT_DELAY!$A$5:$A$20000,$A1718,INPUT_DELAY!$B$5:$B$20000,$B1718,INPUT_DELAY!$C$5:$C$20000,"SEMUA")&gt;=60,"Delay 60 mnt tapi ada ritase","OK"))))))</f>
        <v/>
      </c>
      <c r="P1718" s="158">
        <f>IFERROR(INDEX(MASTER_JAM!$Z$5:$AC$10,MATCH($I1718,MASTER_JAM!$Y$5:$Y$10,0),MATCH($J1718,MASTER_JAM!$Z$4:$AC$4,0))+0,0)</f>
        <v/>
      </c>
      <c r="Q1718" s="158">
        <f>IF($P1718=0,0,$P1718+IFERROR(INDEX(MASTER_JAM!$H$5:$H$94,MATCH($C1718,MASTER_JAM!$A$5:$A$94,0))+0,MASTER_JAM!$AC$15)/1000*(60/MASTER_JAM!$AC$12+60/MASTER_JAM!$AC$13)+MASTER_JAM!$AC$14)</f>
        <v/>
      </c>
      <c r="R1718" s="158">
        <f>IF(N($F1718)=0,0,$F1718/SUMIFS(INPUT_RITASE!$F$5:$F$20000,INPUT_RITASE!$A$5:$A$20000,$A1718,INPUT_RITASE!$B$5:$B$20000,$B1718,INPUT_RITASE!$C$5:$C$20000,$C1718,INPUT_RITASE!$D$5:$D$20000,$D1718))</f>
        <v/>
      </c>
      <c r="S1718" s="158">
        <f>IF($Q1718=0,0,$R1718*$P1718/$Q1718)</f>
        <v/>
      </c>
    </row>
    <row r="1719">
      <c r="A1719" s="155" t="n">
        <v>46110</v>
      </c>
      <c r="B1719" s="156" t="inlineStr">
        <is>
          <t>14-15</t>
        </is>
      </c>
      <c r="C1719" s="156" t="inlineStr">
        <is>
          <t>EX-753</t>
        </is>
      </c>
      <c r="D1719" s="156" t="inlineStr">
        <is>
          <t>DT-515</t>
        </is>
      </c>
      <c r="E1719" s="156" t="inlineStr">
        <is>
          <t>OB</t>
        </is>
      </c>
      <c r="F1719" s="156" t="n">
        <v>3</v>
      </c>
      <c r="G1719" s="156" t="inlineStr"/>
      <c r="H1719" s="157">
        <f>IF($B1719="","",IF(ISNA(MATCH($B1719,MASTER_JAM!$Q$5:$Q$28,0)),"?",IF(MATCH($B1719,MASTER_JAM!$Q$5:$Q$28,0)&lt;=12,"DS","NS")))</f>
        <v/>
      </c>
      <c r="I1719" s="157">
        <f>IFERROR(INDEX(MASTER_JAM!$B$5:$B$94,MATCH($C1719,MASTER_JAM!$A$5:$A$94,0)),"")</f>
        <v/>
      </c>
      <c r="J1719" s="157">
        <f>IFERROR(INDEX(MASTER_JAM!$E$5:$E$94,MATCH($D1719,MASTER_JAM!$A$5:$A$94,0)),"")</f>
        <v/>
      </c>
      <c r="K1719" s="158">
        <f>IFERROR(INDEX(MASTER_JAM!$J$5:$O$12,MATCH($E1719,MASTER_JAM!$I$5:$I$12,0),MATCH($J1719,MASTER_JAM!$J$4:$O$4,0))+0,0)</f>
        <v/>
      </c>
      <c r="L1719" s="159">
        <f>N($F1719)*$K1719</f>
        <v/>
      </c>
      <c r="M1719" s="157">
        <f>IF($E1719="","",IF(OR($E1719="Coal",$E1719="Dirty Coal"),"MT","BCM"))</f>
        <v/>
      </c>
      <c r="N1719" s="157">
        <f>IF($E1719="","",IF(OR($E1719="Coal",$E1719="Dirty Coal"),"Coal","OB"))</f>
        <v/>
      </c>
      <c r="O1719" s="157">
        <f>IF($F1719="","",IF(COUNTIF(MASTER_JAM!$A$5:$A$94,$C1719)=0,"Digger tidak dikenal",IF($J1719="","Hauler tidak dikenal",IF($H1719="?","Jam salah",IF($K1719=0,"Faktor kosong",IF(SUMIFS(INPUT_DELAY!$E$5:$E$20000,INPUT_DELAY!$A$5:$A$20000,$A1719,INPUT_DELAY!$B$5:$B$20000,$B1719,INPUT_DELAY!$C$5:$C$20000,$C1719)+SUMIFS(INPUT_DELAY!$E$5:$E$20000,INPUT_DELAY!$A$5:$A$20000,$A1719,INPUT_DELAY!$B$5:$B$20000,$B1719,INPUT_DELAY!$C$5:$C$20000,"SEMUA")&gt;=60,"Delay 60 mnt tapi ada ritase","OK"))))))</f>
        <v/>
      </c>
      <c r="P1719" s="158">
        <f>IFERROR(INDEX(MASTER_JAM!$Z$5:$AC$10,MATCH($I1719,MASTER_JAM!$Y$5:$Y$10,0),MATCH($J1719,MASTER_JAM!$Z$4:$AC$4,0))+0,0)</f>
        <v/>
      </c>
      <c r="Q1719" s="158">
        <f>IF($P1719=0,0,$P1719+IFERROR(INDEX(MASTER_JAM!$H$5:$H$94,MATCH($C1719,MASTER_JAM!$A$5:$A$94,0))+0,MASTER_JAM!$AC$15)/1000*(60/MASTER_JAM!$AC$12+60/MASTER_JAM!$AC$13)+MASTER_JAM!$AC$14)</f>
        <v/>
      </c>
      <c r="R1719" s="158">
        <f>IF(N($F1719)=0,0,$F1719/SUMIFS(INPUT_RITASE!$F$5:$F$20000,INPUT_RITASE!$A$5:$A$20000,$A1719,INPUT_RITASE!$B$5:$B$20000,$B1719,INPUT_RITASE!$C$5:$C$20000,$C1719,INPUT_RITASE!$D$5:$D$20000,$D1719))</f>
        <v/>
      </c>
      <c r="S1719" s="158">
        <f>IF($Q1719=0,0,$R1719*$P1719/$Q1719)</f>
        <v/>
      </c>
    </row>
    <row r="1720">
      <c r="A1720" s="155" t="n">
        <v>46110</v>
      </c>
      <c r="B1720" s="156" t="inlineStr">
        <is>
          <t>14-15</t>
        </is>
      </c>
      <c r="C1720" s="156" t="inlineStr">
        <is>
          <t>EX-753</t>
        </is>
      </c>
      <c r="D1720" s="156" t="inlineStr">
        <is>
          <t>DT-501</t>
        </is>
      </c>
      <c r="E1720" s="156" t="inlineStr">
        <is>
          <t>OB</t>
        </is>
      </c>
      <c r="F1720" s="156" t="n">
        <v>3</v>
      </c>
      <c r="G1720" s="156" t="inlineStr"/>
      <c r="H1720" s="157">
        <f>IF($B1720="","",IF(ISNA(MATCH($B1720,MASTER_JAM!$Q$5:$Q$28,0)),"?",IF(MATCH($B1720,MASTER_JAM!$Q$5:$Q$28,0)&lt;=12,"DS","NS")))</f>
        <v/>
      </c>
      <c r="I1720" s="157">
        <f>IFERROR(INDEX(MASTER_JAM!$B$5:$B$94,MATCH($C1720,MASTER_JAM!$A$5:$A$94,0)),"")</f>
        <v/>
      </c>
      <c r="J1720" s="157">
        <f>IFERROR(INDEX(MASTER_JAM!$E$5:$E$94,MATCH($D1720,MASTER_JAM!$A$5:$A$94,0)),"")</f>
        <v/>
      </c>
      <c r="K1720" s="158">
        <f>IFERROR(INDEX(MASTER_JAM!$J$5:$O$12,MATCH($E1720,MASTER_JAM!$I$5:$I$12,0),MATCH($J1720,MASTER_JAM!$J$4:$O$4,0))+0,0)</f>
        <v/>
      </c>
      <c r="L1720" s="159">
        <f>N($F1720)*$K1720</f>
        <v/>
      </c>
      <c r="M1720" s="157">
        <f>IF($E1720="","",IF(OR($E1720="Coal",$E1720="Dirty Coal"),"MT","BCM"))</f>
        <v/>
      </c>
      <c r="N1720" s="157">
        <f>IF($E1720="","",IF(OR($E1720="Coal",$E1720="Dirty Coal"),"Coal","OB"))</f>
        <v/>
      </c>
      <c r="O1720" s="157">
        <f>IF($F1720="","",IF(COUNTIF(MASTER_JAM!$A$5:$A$94,$C1720)=0,"Digger tidak dikenal",IF($J1720="","Hauler tidak dikenal",IF($H1720="?","Jam salah",IF($K1720=0,"Faktor kosong",IF(SUMIFS(INPUT_DELAY!$E$5:$E$20000,INPUT_DELAY!$A$5:$A$20000,$A1720,INPUT_DELAY!$B$5:$B$20000,$B1720,INPUT_DELAY!$C$5:$C$20000,$C1720)+SUMIFS(INPUT_DELAY!$E$5:$E$20000,INPUT_DELAY!$A$5:$A$20000,$A1720,INPUT_DELAY!$B$5:$B$20000,$B1720,INPUT_DELAY!$C$5:$C$20000,"SEMUA")&gt;=60,"Delay 60 mnt tapi ada ritase","OK"))))))</f>
        <v/>
      </c>
      <c r="P1720" s="158">
        <f>IFERROR(INDEX(MASTER_JAM!$Z$5:$AC$10,MATCH($I1720,MASTER_JAM!$Y$5:$Y$10,0),MATCH($J1720,MASTER_JAM!$Z$4:$AC$4,0))+0,0)</f>
        <v/>
      </c>
      <c r="Q1720" s="158">
        <f>IF($P1720=0,0,$P1720+IFERROR(INDEX(MASTER_JAM!$H$5:$H$94,MATCH($C1720,MASTER_JAM!$A$5:$A$94,0))+0,MASTER_JAM!$AC$15)/1000*(60/MASTER_JAM!$AC$12+60/MASTER_JAM!$AC$13)+MASTER_JAM!$AC$14)</f>
        <v/>
      </c>
      <c r="R1720" s="158">
        <f>IF(N($F1720)=0,0,$F1720/SUMIFS(INPUT_RITASE!$F$5:$F$20000,INPUT_RITASE!$A$5:$A$20000,$A1720,INPUT_RITASE!$B$5:$B$20000,$B1720,INPUT_RITASE!$C$5:$C$20000,$C1720,INPUT_RITASE!$D$5:$D$20000,$D1720))</f>
        <v/>
      </c>
      <c r="S1720" s="158">
        <f>IF($Q1720=0,0,$R1720*$P1720/$Q1720)</f>
        <v/>
      </c>
    </row>
    <row r="1721">
      <c r="A1721" s="155" t="n">
        <v>46110</v>
      </c>
      <c r="B1721" s="156" t="inlineStr">
        <is>
          <t>14-15</t>
        </is>
      </c>
      <c r="C1721" s="156" t="inlineStr">
        <is>
          <t>EX-753</t>
        </is>
      </c>
      <c r="D1721" s="156" t="inlineStr">
        <is>
          <t>DT-518</t>
        </is>
      </c>
      <c r="E1721" s="156" t="inlineStr">
        <is>
          <t>OB</t>
        </is>
      </c>
      <c r="F1721" s="156" t="n">
        <v>3</v>
      </c>
      <c r="G1721" s="156" t="inlineStr"/>
      <c r="H1721" s="157">
        <f>IF($B1721="","",IF(ISNA(MATCH($B1721,MASTER_JAM!$Q$5:$Q$28,0)),"?",IF(MATCH($B1721,MASTER_JAM!$Q$5:$Q$28,0)&lt;=12,"DS","NS")))</f>
        <v/>
      </c>
      <c r="I1721" s="157">
        <f>IFERROR(INDEX(MASTER_JAM!$B$5:$B$94,MATCH($C1721,MASTER_JAM!$A$5:$A$94,0)),"")</f>
        <v/>
      </c>
      <c r="J1721" s="157">
        <f>IFERROR(INDEX(MASTER_JAM!$E$5:$E$94,MATCH($D1721,MASTER_JAM!$A$5:$A$94,0)),"")</f>
        <v/>
      </c>
      <c r="K1721" s="158">
        <f>IFERROR(INDEX(MASTER_JAM!$J$5:$O$12,MATCH($E1721,MASTER_JAM!$I$5:$I$12,0),MATCH($J1721,MASTER_JAM!$J$4:$O$4,0))+0,0)</f>
        <v/>
      </c>
      <c r="L1721" s="159">
        <f>N($F1721)*$K1721</f>
        <v/>
      </c>
      <c r="M1721" s="157">
        <f>IF($E1721="","",IF(OR($E1721="Coal",$E1721="Dirty Coal"),"MT","BCM"))</f>
        <v/>
      </c>
      <c r="N1721" s="157">
        <f>IF($E1721="","",IF(OR($E1721="Coal",$E1721="Dirty Coal"),"Coal","OB"))</f>
        <v/>
      </c>
      <c r="O1721" s="157">
        <f>IF($F1721="","",IF(COUNTIF(MASTER_JAM!$A$5:$A$94,$C1721)=0,"Digger tidak dikenal",IF($J1721="","Hauler tidak dikenal",IF($H1721="?","Jam salah",IF($K1721=0,"Faktor kosong",IF(SUMIFS(INPUT_DELAY!$E$5:$E$20000,INPUT_DELAY!$A$5:$A$20000,$A1721,INPUT_DELAY!$B$5:$B$20000,$B1721,INPUT_DELAY!$C$5:$C$20000,$C1721)+SUMIFS(INPUT_DELAY!$E$5:$E$20000,INPUT_DELAY!$A$5:$A$20000,$A1721,INPUT_DELAY!$B$5:$B$20000,$B1721,INPUT_DELAY!$C$5:$C$20000,"SEMUA")&gt;=60,"Delay 60 mnt tapi ada ritase","OK"))))))</f>
        <v/>
      </c>
      <c r="P1721" s="158">
        <f>IFERROR(INDEX(MASTER_JAM!$Z$5:$AC$10,MATCH($I1721,MASTER_JAM!$Y$5:$Y$10,0),MATCH($J1721,MASTER_JAM!$Z$4:$AC$4,0))+0,0)</f>
        <v/>
      </c>
      <c r="Q1721" s="158">
        <f>IF($P1721=0,0,$P1721+IFERROR(INDEX(MASTER_JAM!$H$5:$H$94,MATCH($C1721,MASTER_JAM!$A$5:$A$94,0))+0,MASTER_JAM!$AC$15)/1000*(60/MASTER_JAM!$AC$12+60/MASTER_JAM!$AC$13)+MASTER_JAM!$AC$14)</f>
        <v/>
      </c>
      <c r="R1721" s="158">
        <f>IF(N($F1721)=0,0,$F1721/SUMIFS(INPUT_RITASE!$F$5:$F$20000,INPUT_RITASE!$A$5:$A$20000,$A1721,INPUT_RITASE!$B$5:$B$20000,$B1721,INPUT_RITASE!$C$5:$C$20000,$C1721,INPUT_RITASE!$D$5:$D$20000,$D1721))</f>
        <v/>
      </c>
      <c r="S1721" s="158">
        <f>IF($Q1721=0,0,$R1721*$P1721/$Q1721)</f>
        <v/>
      </c>
    </row>
    <row r="1722">
      <c r="A1722" s="155" t="n">
        <v>46110</v>
      </c>
      <c r="B1722" s="156" t="inlineStr">
        <is>
          <t>15-16</t>
        </is>
      </c>
      <c r="C1722" s="156" t="inlineStr">
        <is>
          <t>EX-753</t>
        </is>
      </c>
      <c r="D1722" s="156" t="inlineStr">
        <is>
          <t>DT-519</t>
        </is>
      </c>
      <c r="E1722" s="156" t="inlineStr">
        <is>
          <t>OB</t>
        </is>
      </c>
      <c r="F1722" s="156" t="n">
        <v>4</v>
      </c>
      <c r="G1722" s="156" t="inlineStr"/>
      <c r="H1722" s="157">
        <f>IF($B1722="","",IF(ISNA(MATCH($B1722,MASTER_JAM!$Q$5:$Q$28,0)),"?",IF(MATCH($B1722,MASTER_JAM!$Q$5:$Q$28,0)&lt;=12,"DS","NS")))</f>
        <v/>
      </c>
      <c r="I1722" s="157">
        <f>IFERROR(INDEX(MASTER_JAM!$B$5:$B$94,MATCH($C1722,MASTER_JAM!$A$5:$A$94,0)),"")</f>
        <v/>
      </c>
      <c r="J1722" s="157">
        <f>IFERROR(INDEX(MASTER_JAM!$E$5:$E$94,MATCH($D1722,MASTER_JAM!$A$5:$A$94,0)),"")</f>
        <v/>
      </c>
      <c r="K1722" s="158">
        <f>IFERROR(INDEX(MASTER_JAM!$J$5:$O$12,MATCH($E1722,MASTER_JAM!$I$5:$I$12,0),MATCH($J1722,MASTER_JAM!$J$4:$O$4,0))+0,0)</f>
        <v/>
      </c>
      <c r="L1722" s="159">
        <f>N($F1722)*$K1722</f>
        <v/>
      </c>
      <c r="M1722" s="157">
        <f>IF($E1722="","",IF(OR($E1722="Coal",$E1722="Dirty Coal"),"MT","BCM"))</f>
        <v/>
      </c>
      <c r="N1722" s="157">
        <f>IF($E1722="","",IF(OR($E1722="Coal",$E1722="Dirty Coal"),"Coal","OB"))</f>
        <v/>
      </c>
      <c r="O1722" s="157">
        <f>IF($F1722="","",IF(COUNTIF(MASTER_JAM!$A$5:$A$94,$C1722)=0,"Digger tidak dikenal",IF($J1722="","Hauler tidak dikenal",IF($H1722="?","Jam salah",IF($K1722=0,"Faktor kosong",IF(SUMIFS(INPUT_DELAY!$E$5:$E$20000,INPUT_DELAY!$A$5:$A$20000,$A1722,INPUT_DELAY!$B$5:$B$20000,$B1722,INPUT_DELAY!$C$5:$C$20000,$C1722)+SUMIFS(INPUT_DELAY!$E$5:$E$20000,INPUT_DELAY!$A$5:$A$20000,$A1722,INPUT_DELAY!$B$5:$B$20000,$B1722,INPUT_DELAY!$C$5:$C$20000,"SEMUA")&gt;=60,"Delay 60 mnt tapi ada ritase","OK"))))))</f>
        <v/>
      </c>
      <c r="P1722" s="158">
        <f>IFERROR(INDEX(MASTER_JAM!$Z$5:$AC$10,MATCH($I1722,MASTER_JAM!$Y$5:$Y$10,0),MATCH($J1722,MASTER_JAM!$Z$4:$AC$4,0))+0,0)</f>
        <v/>
      </c>
      <c r="Q1722" s="158">
        <f>IF($P1722=0,0,$P1722+IFERROR(INDEX(MASTER_JAM!$H$5:$H$94,MATCH($C1722,MASTER_JAM!$A$5:$A$94,0))+0,MASTER_JAM!$AC$15)/1000*(60/MASTER_JAM!$AC$12+60/MASTER_JAM!$AC$13)+MASTER_JAM!$AC$14)</f>
        <v/>
      </c>
      <c r="R1722" s="158">
        <f>IF(N($F1722)=0,0,$F1722/SUMIFS(INPUT_RITASE!$F$5:$F$20000,INPUT_RITASE!$A$5:$A$20000,$A1722,INPUT_RITASE!$B$5:$B$20000,$B1722,INPUT_RITASE!$C$5:$C$20000,$C1722,INPUT_RITASE!$D$5:$D$20000,$D1722))</f>
        <v/>
      </c>
      <c r="S1722" s="158">
        <f>IF($Q1722=0,0,$R1722*$P1722/$Q1722)</f>
        <v/>
      </c>
    </row>
    <row r="1723">
      <c r="A1723" s="155" t="n">
        <v>46110</v>
      </c>
      <c r="B1723" s="156" t="inlineStr">
        <is>
          <t>15-16</t>
        </is>
      </c>
      <c r="C1723" s="156" t="inlineStr">
        <is>
          <t>EX-753</t>
        </is>
      </c>
      <c r="D1723" s="156" t="inlineStr">
        <is>
          <t>DT-529</t>
        </is>
      </c>
      <c r="E1723" s="156" t="inlineStr">
        <is>
          <t>OB</t>
        </is>
      </c>
      <c r="F1723" s="156" t="n">
        <v>4</v>
      </c>
      <c r="G1723" s="156" t="inlineStr"/>
      <c r="H1723" s="157">
        <f>IF($B1723="","",IF(ISNA(MATCH($B1723,MASTER_JAM!$Q$5:$Q$28,0)),"?",IF(MATCH($B1723,MASTER_JAM!$Q$5:$Q$28,0)&lt;=12,"DS","NS")))</f>
        <v/>
      </c>
      <c r="I1723" s="157">
        <f>IFERROR(INDEX(MASTER_JAM!$B$5:$B$94,MATCH($C1723,MASTER_JAM!$A$5:$A$94,0)),"")</f>
        <v/>
      </c>
      <c r="J1723" s="157">
        <f>IFERROR(INDEX(MASTER_JAM!$E$5:$E$94,MATCH($D1723,MASTER_JAM!$A$5:$A$94,0)),"")</f>
        <v/>
      </c>
      <c r="K1723" s="158">
        <f>IFERROR(INDEX(MASTER_JAM!$J$5:$O$12,MATCH($E1723,MASTER_JAM!$I$5:$I$12,0),MATCH($J1723,MASTER_JAM!$J$4:$O$4,0))+0,0)</f>
        <v/>
      </c>
      <c r="L1723" s="159">
        <f>N($F1723)*$K1723</f>
        <v/>
      </c>
      <c r="M1723" s="157">
        <f>IF($E1723="","",IF(OR($E1723="Coal",$E1723="Dirty Coal"),"MT","BCM"))</f>
        <v/>
      </c>
      <c r="N1723" s="157">
        <f>IF($E1723="","",IF(OR($E1723="Coal",$E1723="Dirty Coal"),"Coal","OB"))</f>
        <v/>
      </c>
      <c r="O1723" s="157">
        <f>IF($F1723="","",IF(COUNTIF(MASTER_JAM!$A$5:$A$94,$C1723)=0,"Digger tidak dikenal",IF($J1723="","Hauler tidak dikenal",IF($H1723="?","Jam salah",IF($K1723=0,"Faktor kosong",IF(SUMIFS(INPUT_DELAY!$E$5:$E$20000,INPUT_DELAY!$A$5:$A$20000,$A1723,INPUT_DELAY!$B$5:$B$20000,$B1723,INPUT_DELAY!$C$5:$C$20000,$C1723)+SUMIFS(INPUT_DELAY!$E$5:$E$20000,INPUT_DELAY!$A$5:$A$20000,$A1723,INPUT_DELAY!$B$5:$B$20000,$B1723,INPUT_DELAY!$C$5:$C$20000,"SEMUA")&gt;=60,"Delay 60 mnt tapi ada ritase","OK"))))))</f>
        <v/>
      </c>
      <c r="P1723" s="158">
        <f>IFERROR(INDEX(MASTER_JAM!$Z$5:$AC$10,MATCH($I1723,MASTER_JAM!$Y$5:$Y$10,0),MATCH($J1723,MASTER_JAM!$Z$4:$AC$4,0))+0,0)</f>
        <v/>
      </c>
      <c r="Q1723" s="158">
        <f>IF($P1723=0,0,$P1723+IFERROR(INDEX(MASTER_JAM!$H$5:$H$94,MATCH($C1723,MASTER_JAM!$A$5:$A$94,0))+0,MASTER_JAM!$AC$15)/1000*(60/MASTER_JAM!$AC$12+60/MASTER_JAM!$AC$13)+MASTER_JAM!$AC$14)</f>
        <v/>
      </c>
      <c r="R1723" s="158">
        <f>IF(N($F1723)=0,0,$F1723/SUMIFS(INPUT_RITASE!$F$5:$F$20000,INPUT_RITASE!$A$5:$A$20000,$A1723,INPUT_RITASE!$B$5:$B$20000,$B1723,INPUT_RITASE!$C$5:$C$20000,$C1723,INPUT_RITASE!$D$5:$D$20000,$D1723))</f>
        <v/>
      </c>
      <c r="S1723" s="158">
        <f>IF($Q1723=0,0,$R1723*$P1723/$Q1723)</f>
        <v/>
      </c>
    </row>
    <row r="1724">
      <c r="A1724" s="155" t="n">
        <v>46110</v>
      </c>
      <c r="B1724" s="156" t="inlineStr">
        <is>
          <t>15-16</t>
        </is>
      </c>
      <c r="C1724" s="156" t="inlineStr">
        <is>
          <t>EX-753</t>
        </is>
      </c>
      <c r="D1724" s="156" t="inlineStr">
        <is>
          <t>DT-515</t>
        </is>
      </c>
      <c r="E1724" s="156" t="inlineStr">
        <is>
          <t>OB</t>
        </is>
      </c>
      <c r="F1724" s="156" t="n">
        <v>3</v>
      </c>
      <c r="G1724" s="156" t="inlineStr"/>
      <c r="H1724" s="157">
        <f>IF($B1724="","",IF(ISNA(MATCH($B1724,MASTER_JAM!$Q$5:$Q$28,0)),"?",IF(MATCH($B1724,MASTER_JAM!$Q$5:$Q$28,0)&lt;=12,"DS","NS")))</f>
        <v/>
      </c>
      <c r="I1724" s="157">
        <f>IFERROR(INDEX(MASTER_JAM!$B$5:$B$94,MATCH($C1724,MASTER_JAM!$A$5:$A$94,0)),"")</f>
        <v/>
      </c>
      <c r="J1724" s="157">
        <f>IFERROR(INDEX(MASTER_JAM!$E$5:$E$94,MATCH($D1724,MASTER_JAM!$A$5:$A$94,0)),"")</f>
        <v/>
      </c>
      <c r="K1724" s="158">
        <f>IFERROR(INDEX(MASTER_JAM!$J$5:$O$12,MATCH($E1724,MASTER_JAM!$I$5:$I$12,0),MATCH($J1724,MASTER_JAM!$J$4:$O$4,0))+0,0)</f>
        <v/>
      </c>
      <c r="L1724" s="159">
        <f>N($F1724)*$K1724</f>
        <v/>
      </c>
      <c r="M1724" s="157">
        <f>IF($E1724="","",IF(OR($E1724="Coal",$E1724="Dirty Coal"),"MT","BCM"))</f>
        <v/>
      </c>
      <c r="N1724" s="157">
        <f>IF($E1724="","",IF(OR($E1724="Coal",$E1724="Dirty Coal"),"Coal","OB"))</f>
        <v/>
      </c>
      <c r="O1724" s="157">
        <f>IF($F1724="","",IF(COUNTIF(MASTER_JAM!$A$5:$A$94,$C1724)=0,"Digger tidak dikenal",IF($J1724="","Hauler tidak dikenal",IF($H1724="?","Jam salah",IF($K1724=0,"Faktor kosong",IF(SUMIFS(INPUT_DELAY!$E$5:$E$20000,INPUT_DELAY!$A$5:$A$20000,$A1724,INPUT_DELAY!$B$5:$B$20000,$B1724,INPUT_DELAY!$C$5:$C$20000,$C1724)+SUMIFS(INPUT_DELAY!$E$5:$E$20000,INPUT_DELAY!$A$5:$A$20000,$A1724,INPUT_DELAY!$B$5:$B$20000,$B1724,INPUT_DELAY!$C$5:$C$20000,"SEMUA")&gt;=60,"Delay 60 mnt tapi ada ritase","OK"))))))</f>
        <v/>
      </c>
      <c r="P1724" s="158">
        <f>IFERROR(INDEX(MASTER_JAM!$Z$5:$AC$10,MATCH($I1724,MASTER_JAM!$Y$5:$Y$10,0),MATCH($J1724,MASTER_JAM!$Z$4:$AC$4,0))+0,0)</f>
        <v/>
      </c>
      <c r="Q1724" s="158">
        <f>IF($P1724=0,0,$P1724+IFERROR(INDEX(MASTER_JAM!$H$5:$H$94,MATCH($C1724,MASTER_JAM!$A$5:$A$94,0))+0,MASTER_JAM!$AC$15)/1000*(60/MASTER_JAM!$AC$12+60/MASTER_JAM!$AC$13)+MASTER_JAM!$AC$14)</f>
        <v/>
      </c>
      <c r="R1724" s="158">
        <f>IF(N($F1724)=0,0,$F1724/SUMIFS(INPUT_RITASE!$F$5:$F$20000,INPUT_RITASE!$A$5:$A$20000,$A1724,INPUT_RITASE!$B$5:$B$20000,$B1724,INPUT_RITASE!$C$5:$C$20000,$C1724,INPUT_RITASE!$D$5:$D$20000,$D1724))</f>
        <v/>
      </c>
      <c r="S1724" s="158">
        <f>IF($Q1724=0,0,$R1724*$P1724/$Q1724)</f>
        <v/>
      </c>
    </row>
    <row r="1725">
      <c r="A1725" s="155" t="n">
        <v>46110</v>
      </c>
      <c r="B1725" s="156" t="inlineStr">
        <is>
          <t>15-16</t>
        </is>
      </c>
      <c r="C1725" s="156" t="inlineStr">
        <is>
          <t>EX-753</t>
        </is>
      </c>
      <c r="D1725" s="156" t="inlineStr">
        <is>
          <t>DT-522</t>
        </is>
      </c>
      <c r="E1725" s="156" t="inlineStr">
        <is>
          <t>OB</t>
        </is>
      </c>
      <c r="F1725" s="156" t="n">
        <v>3</v>
      </c>
      <c r="G1725" s="156" t="inlineStr"/>
      <c r="H1725" s="157">
        <f>IF($B1725="","",IF(ISNA(MATCH($B1725,MASTER_JAM!$Q$5:$Q$28,0)),"?",IF(MATCH($B1725,MASTER_JAM!$Q$5:$Q$28,0)&lt;=12,"DS","NS")))</f>
        <v/>
      </c>
      <c r="I1725" s="157">
        <f>IFERROR(INDEX(MASTER_JAM!$B$5:$B$94,MATCH($C1725,MASTER_JAM!$A$5:$A$94,0)),"")</f>
        <v/>
      </c>
      <c r="J1725" s="157">
        <f>IFERROR(INDEX(MASTER_JAM!$E$5:$E$94,MATCH($D1725,MASTER_JAM!$A$5:$A$94,0)),"")</f>
        <v/>
      </c>
      <c r="K1725" s="158">
        <f>IFERROR(INDEX(MASTER_JAM!$J$5:$O$12,MATCH($E1725,MASTER_JAM!$I$5:$I$12,0),MATCH($J1725,MASTER_JAM!$J$4:$O$4,0))+0,0)</f>
        <v/>
      </c>
      <c r="L1725" s="159">
        <f>N($F1725)*$K1725</f>
        <v/>
      </c>
      <c r="M1725" s="157">
        <f>IF($E1725="","",IF(OR($E1725="Coal",$E1725="Dirty Coal"),"MT","BCM"))</f>
        <v/>
      </c>
      <c r="N1725" s="157">
        <f>IF($E1725="","",IF(OR($E1725="Coal",$E1725="Dirty Coal"),"Coal","OB"))</f>
        <v/>
      </c>
      <c r="O1725" s="157">
        <f>IF($F1725="","",IF(COUNTIF(MASTER_JAM!$A$5:$A$94,$C1725)=0,"Digger tidak dikenal",IF($J1725="","Hauler tidak dikenal",IF($H1725="?","Jam salah",IF($K1725=0,"Faktor kosong",IF(SUMIFS(INPUT_DELAY!$E$5:$E$20000,INPUT_DELAY!$A$5:$A$20000,$A1725,INPUT_DELAY!$B$5:$B$20000,$B1725,INPUT_DELAY!$C$5:$C$20000,$C1725)+SUMIFS(INPUT_DELAY!$E$5:$E$20000,INPUT_DELAY!$A$5:$A$20000,$A1725,INPUT_DELAY!$B$5:$B$20000,$B1725,INPUT_DELAY!$C$5:$C$20000,"SEMUA")&gt;=60,"Delay 60 mnt tapi ada ritase","OK"))))))</f>
        <v/>
      </c>
      <c r="P1725" s="158">
        <f>IFERROR(INDEX(MASTER_JAM!$Z$5:$AC$10,MATCH($I1725,MASTER_JAM!$Y$5:$Y$10,0),MATCH($J1725,MASTER_JAM!$Z$4:$AC$4,0))+0,0)</f>
        <v/>
      </c>
      <c r="Q1725" s="158">
        <f>IF($P1725=0,0,$P1725+IFERROR(INDEX(MASTER_JAM!$H$5:$H$94,MATCH($C1725,MASTER_JAM!$A$5:$A$94,0))+0,MASTER_JAM!$AC$15)/1000*(60/MASTER_JAM!$AC$12+60/MASTER_JAM!$AC$13)+MASTER_JAM!$AC$14)</f>
        <v/>
      </c>
      <c r="R1725" s="158">
        <f>IF(N($F1725)=0,0,$F1725/SUMIFS(INPUT_RITASE!$F$5:$F$20000,INPUT_RITASE!$A$5:$A$20000,$A1725,INPUT_RITASE!$B$5:$B$20000,$B1725,INPUT_RITASE!$C$5:$C$20000,$C1725,INPUT_RITASE!$D$5:$D$20000,$D1725))</f>
        <v/>
      </c>
      <c r="S1725" s="158">
        <f>IF($Q1725=0,0,$R1725*$P1725/$Q1725)</f>
        <v/>
      </c>
    </row>
    <row r="1726">
      <c r="A1726" s="155" t="n">
        <v>46110</v>
      </c>
      <c r="B1726" s="156" t="inlineStr">
        <is>
          <t>15-16</t>
        </is>
      </c>
      <c r="C1726" s="156" t="inlineStr">
        <is>
          <t>EX-753</t>
        </is>
      </c>
      <c r="D1726" s="156" t="inlineStr">
        <is>
          <t>DT-508</t>
        </is>
      </c>
      <c r="E1726" s="156" t="inlineStr">
        <is>
          <t>OB</t>
        </is>
      </c>
      <c r="F1726" s="156" t="n">
        <v>3</v>
      </c>
      <c r="G1726" s="156" t="inlineStr"/>
      <c r="H1726" s="157">
        <f>IF($B1726="","",IF(ISNA(MATCH($B1726,MASTER_JAM!$Q$5:$Q$28,0)),"?",IF(MATCH($B1726,MASTER_JAM!$Q$5:$Q$28,0)&lt;=12,"DS","NS")))</f>
        <v/>
      </c>
      <c r="I1726" s="157">
        <f>IFERROR(INDEX(MASTER_JAM!$B$5:$B$94,MATCH($C1726,MASTER_JAM!$A$5:$A$94,0)),"")</f>
        <v/>
      </c>
      <c r="J1726" s="157">
        <f>IFERROR(INDEX(MASTER_JAM!$E$5:$E$94,MATCH($D1726,MASTER_JAM!$A$5:$A$94,0)),"")</f>
        <v/>
      </c>
      <c r="K1726" s="158">
        <f>IFERROR(INDEX(MASTER_JAM!$J$5:$O$12,MATCH($E1726,MASTER_JAM!$I$5:$I$12,0),MATCH($J1726,MASTER_JAM!$J$4:$O$4,0))+0,0)</f>
        <v/>
      </c>
      <c r="L1726" s="159">
        <f>N($F1726)*$K1726</f>
        <v/>
      </c>
      <c r="M1726" s="157">
        <f>IF($E1726="","",IF(OR($E1726="Coal",$E1726="Dirty Coal"),"MT","BCM"))</f>
        <v/>
      </c>
      <c r="N1726" s="157">
        <f>IF($E1726="","",IF(OR($E1726="Coal",$E1726="Dirty Coal"),"Coal","OB"))</f>
        <v/>
      </c>
      <c r="O1726" s="157">
        <f>IF($F1726="","",IF(COUNTIF(MASTER_JAM!$A$5:$A$94,$C1726)=0,"Digger tidak dikenal",IF($J1726="","Hauler tidak dikenal",IF($H1726="?","Jam salah",IF($K1726=0,"Faktor kosong",IF(SUMIFS(INPUT_DELAY!$E$5:$E$20000,INPUT_DELAY!$A$5:$A$20000,$A1726,INPUT_DELAY!$B$5:$B$20000,$B1726,INPUT_DELAY!$C$5:$C$20000,$C1726)+SUMIFS(INPUT_DELAY!$E$5:$E$20000,INPUT_DELAY!$A$5:$A$20000,$A1726,INPUT_DELAY!$B$5:$B$20000,$B1726,INPUT_DELAY!$C$5:$C$20000,"SEMUA")&gt;=60,"Delay 60 mnt tapi ada ritase","OK"))))))</f>
        <v/>
      </c>
      <c r="P1726" s="158">
        <f>IFERROR(INDEX(MASTER_JAM!$Z$5:$AC$10,MATCH($I1726,MASTER_JAM!$Y$5:$Y$10,0),MATCH($J1726,MASTER_JAM!$Z$4:$AC$4,0))+0,0)</f>
        <v/>
      </c>
      <c r="Q1726" s="158">
        <f>IF($P1726=0,0,$P1726+IFERROR(INDEX(MASTER_JAM!$H$5:$H$94,MATCH($C1726,MASTER_JAM!$A$5:$A$94,0))+0,MASTER_JAM!$AC$15)/1000*(60/MASTER_JAM!$AC$12+60/MASTER_JAM!$AC$13)+MASTER_JAM!$AC$14)</f>
        <v/>
      </c>
      <c r="R1726" s="158">
        <f>IF(N($F1726)=0,0,$F1726/SUMIFS(INPUT_RITASE!$F$5:$F$20000,INPUT_RITASE!$A$5:$A$20000,$A1726,INPUT_RITASE!$B$5:$B$20000,$B1726,INPUT_RITASE!$C$5:$C$20000,$C1726,INPUT_RITASE!$D$5:$D$20000,$D1726))</f>
        <v/>
      </c>
      <c r="S1726" s="158">
        <f>IF($Q1726=0,0,$R1726*$P1726/$Q1726)</f>
        <v/>
      </c>
    </row>
    <row r="1727">
      <c r="A1727" s="155" t="n">
        <v>46110</v>
      </c>
      <c r="B1727" s="156" t="inlineStr">
        <is>
          <t>16-17</t>
        </is>
      </c>
      <c r="C1727" s="156" t="inlineStr">
        <is>
          <t>EX-753</t>
        </is>
      </c>
      <c r="D1727" s="156" t="inlineStr">
        <is>
          <t>DT-512</t>
        </is>
      </c>
      <c r="E1727" s="156" t="inlineStr">
        <is>
          <t>OB</t>
        </is>
      </c>
      <c r="F1727" s="156" t="n">
        <v>3</v>
      </c>
      <c r="G1727" s="156" t="inlineStr"/>
      <c r="H1727" s="157">
        <f>IF($B1727="","",IF(ISNA(MATCH($B1727,MASTER_JAM!$Q$5:$Q$28,0)),"?",IF(MATCH($B1727,MASTER_JAM!$Q$5:$Q$28,0)&lt;=12,"DS","NS")))</f>
        <v/>
      </c>
      <c r="I1727" s="157">
        <f>IFERROR(INDEX(MASTER_JAM!$B$5:$B$94,MATCH($C1727,MASTER_JAM!$A$5:$A$94,0)),"")</f>
        <v/>
      </c>
      <c r="J1727" s="157">
        <f>IFERROR(INDEX(MASTER_JAM!$E$5:$E$94,MATCH($D1727,MASTER_JAM!$A$5:$A$94,0)),"")</f>
        <v/>
      </c>
      <c r="K1727" s="158">
        <f>IFERROR(INDEX(MASTER_JAM!$J$5:$O$12,MATCH($E1727,MASTER_JAM!$I$5:$I$12,0),MATCH($J1727,MASTER_JAM!$J$4:$O$4,0))+0,0)</f>
        <v/>
      </c>
      <c r="L1727" s="159">
        <f>N($F1727)*$K1727</f>
        <v/>
      </c>
      <c r="M1727" s="157">
        <f>IF($E1727="","",IF(OR($E1727="Coal",$E1727="Dirty Coal"),"MT","BCM"))</f>
        <v/>
      </c>
      <c r="N1727" s="157">
        <f>IF($E1727="","",IF(OR($E1727="Coal",$E1727="Dirty Coal"),"Coal","OB"))</f>
        <v/>
      </c>
      <c r="O1727" s="157">
        <f>IF($F1727="","",IF(COUNTIF(MASTER_JAM!$A$5:$A$94,$C1727)=0,"Digger tidak dikenal",IF($J1727="","Hauler tidak dikenal",IF($H1727="?","Jam salah",IF($K1727=0,"Faktor kosong",IF(SUMIFS(INPUT_DELAY!$E$5:$E$20000,INPUT_DELAY!$A$5:$A$20000,$A1727,INPUT_DELAY!$B$5:$B$20000,$B1727,INPUT_DELAY!$C$5:$C$20000,$C1727)+SUMIFS(INPUT_DELAY!$E$5:$E$20000,INPUT_DELAY!$A$5:$A$20000,$A1727,INPUT_DELAY!$B$5:$B$20000,$B1727,INPUT_DELAY!$C$5:$C$20000,"SEMUA")&gt;=60,"Delay 60 mnt tapi ada ritase","OK"))))))</f>
        <v/>
      </c>
      <c r="P1727" s="158">
        <f>IFERROR(INDEX(MASTER_JAM!$Z$5:$AC$10,MATCH($I1727,MASTER_JAM!$Y$5:$Y$10,0),MATCH($J1727,MASTER_JAM!$Z$4:$AC$4,0))+0,0)</f>
        <v/>
      </c>
      <c r="Q1727" s="158">
        <f>IF($P1727=0,0,$P1727+IFERROR(INDEX(MASTER_JAM!$H$5:$H$94,MATCH($C1727,MASTER_JAM!$A$5:$A$94,0))+0,MASTER_JAM!$AC$15)/1000*(60/MASTER_JAM!$AC$12+60/MASTER_JAM!$AC$13)+MASTER_JAM!$AC$14)</f>
        <v/>
      </c>
      <c r="R1727" s="158">
        <f>IF(N($F1727)=0,0,$F1727/SUMIFS(INPUT_RITASE!$F$5:$F$20000,INPUT_RITASE!$A$5:$A$20000,$A1727,INPUT_RITASE!$B$5:$B$20000,$B1727,INPUT_RITASE!$C$5:$C$20000,$C1727,INPUT_RITASE!$D$5:$D$20000,$D1727))</f>
        <v/>
      </c>
      <c r="S1727" s="158">
        <f>IF($Q1727=0,0,$R1727*$P1727/$Q1727)</f>
        <v/>
      </c>
    </row>
    <row r="1728">
      <c r="A1728" s="155" t="n">
        <v>46110</v>
      </c>
      <c r="B1728" s="156" t="inlineStr">
        <is>
          <t>16-17</t>
        </is>
      </c>
      <c r="C1728" s="156" t="inlineStr">
        <is>
          <t>EX-753</t>
        </is>
      </c>
      <c r="D1728" s="156" t="inlineStr">
        <is>
          <t>DT-501</t>
        </is>
      </c>
      <c r="E1728" s="156" t="inlineStr">
        <is>
          <t>OB</t>
        </is>
      </c>
      <c r="F1728" s="156" t="n">
        <v>3</v>
      </c>
      <c r="G1728" s="156" t="inlineStr"/>
      <c r="H1728" s="157">
        <f>IF($B1728="","",IF(ISNA(MATCH($B1728,MASTER_JAM!$Q$5:$Q$28,0)),"?",IF(MATCH($B1728,MASTER_JAM!$Q$5:$Q$28,0)&lt;=12,"DS","NS")))</f>
        <v/>
      </c>
      <c r="I1728" s="157">
        <f>IFERROR(INDEX(MASTER_JAM!$B$5:$B$94,MATCH($C1728,MASTER_JAM!$A$5:$A$94,0)),"")</f>
        <v/>
      </c>
      <c r="J1728" s="157">
        <f>IFERROR(INDEX(MASTER_JAM!$E$5:$E$94,MATCH($D1728,MASTER_JAM!$A$5:$A$94,0)),"")</f>
        <v/>
      </c>
      <c r="K1728" s="158">
        <f>IFERROR(INDEX(MASTER_JAM!$J$5:$O$12,MATCH($E1728,MASTER_JAM!$I$5:$I$12,0),MATCH($J1728,MASTER_JAM!$J$4:$O$4,0))+0,0)</f>
        <v/>
      </c>
      <c r="L1728" s="159">
        <f>N($F1728)*$K1728</f>
        <v/>
      </c>
      <c r="M1728" s="157">
        <f>IF($E1728="","",IF(OR($E1728="Coal",$E1728="Dirty Coal"),"MT","BCM"))</f>
        <v/>
      </c>
      <c r="N1728" s="157">
        <f>IF($E1728="","",IF(OR($E1728="Coal",$E1728="Dirty Coal"),"Coal","OB"))</f>
        <v/>
      </c>
      <c r="O1728" s="157">
        <f>IF($F1728="","",IF(COUNTIF(MASTER_JAM!$A$5:$A$94,$C1728)=0,"Digger tidak dikenal",IF($J1728="","Hauler tidak dikenal",IF($H1728="?","Jam salah",IF($K1728=0,"Faktor kosong",IF(SUMIFS(INPUT_DELAY!$E$5:$E$20000,INPUT_DELAY!$A$5:$A$20000,$A1728,INPUT_DELAY!$B$5:$B$20000,$B1728,INPUT_DELAY!$C$5:$C$20000,$C1728)+SUMIFS(INPUT_DELAY!$E$5:$E$20000,INPUT_DELAY!$A$5:$A$20000,$A1728,INPUT_DELAY!$B$5:$B$20000,$B1728,INPUT_DELAY!$C$5:$C$20000,"SEMUA")&gt;=60,"Delay 60 mnt tapi ada ritase","OK"))))))</f>
        <v/>
      </c>
      <c r="P1728" s="158">
        <f>IFERROR(INDEX(MASTER_JAM!$Z$5:$AC$10,MATCH($I1728,MASTER_JAM!$Y$5:$Y$10,0),MATCH($J1728,MASTER_JAM!$Z$4:$AC$4,0))+0,0)</f>
        <v/>
      </c>
      <c r="Q1728" s="158">
        <f>IF($P1728=0,0,$P1728+IFERROR(INDEX(MASTER_JAM!$H$5:$H$94,MATCH($C1728,MASTER_JAM!$A$5:$A$94,0))+0,MASTER_JAM!$AC$15)/1000*(60/MASTER_JAM!$AC$12+60/MASTER_JAM!$AC$13)+MASTER_JAM!$AC$14)</f>
        <v/>
      </c>
      <c r="R1728" s="158">
        <f>IF(N($F1728)=0,0,$F1728/SUMIFS(INPUT_RITASE!$F$5:$F$20000,INPUT_RITASE!$A$5:$A$20000,$A1728,INPUT_RITASE!$B$5:$B$20000,$B1728,INPUT_RITASE!$C$5:$C$20000,$C1728,INPUT_RITASE!$D$5:$D$20000,$D1728))</f>
        <v/>
      </c>
      <c r="S1728" s="158">
        <f>IF($Q1728=0,0,$R1728*$P1728/$Q1728)</f>
        <v/>
      </c>
    </row>
    <row r="1729">
      <c r="A1729" s="155" t="n">
        <v>46110</v>
      </c>
      <c r="B1729" s="156" t="inlineStr">
        <is>
          <t>16-17</t>
        </is>
      </c>
      <c r="C1729" s="156" t="inlineStr">
        <is>
          <t>EX-753</t>
        </is>
      </c>
      <c r="D1729" s="156" t="inlineStr">
        <is>
          <t>DT-517</t>
        </is>
      </c>
      <c r="E1729" s="156" t="inlineStr">
        <is>
          <t>OB</t>
        </is>
      </c>
      <c r="F1729" s="156" t="n">
        <v>3</v>
      </c>
      <c r="G1729" s="156" t="inlineStr"/>
      <c r="H1729" s="157">
        <f>IF($B1729="","",IF(ISNA(MATCH($B1729,MASTER_JAM!$Q$5:$Q$28,0)),"?",IF(MATCH($B1729,MASTER_JAM!$Q$5:$Q$28,0)&lt;=12,"DS","NS")))</f>
        <v/>
      </c>
      <c r="I1729" s="157">
        <f>IFERROR(INDEX(MASTER_JAM!$B$5:$B$94,MATCH($C1729,MASTER_JAM!$A$5:$A$94,0)),"")</f>
        <v/>
      </c>
      <c r="J1729" s="157">
        <f>IFERROR(INDEX(MASTER_JAM!$E$5:$E$94,MATCH($D1729,MASTER_JAM!$A$5:$A$94,0)),"")</f>
        <v/>
      </c>
      <c r="K1729" s="158">
        <f>IFERROR(INDEX(MASTER_JAM!$J$5:$O$12,MATCH($E1729,MASTER_JAM!$I$5:$I$12,0),MATCH($J1729,MASTER_JAM!$J$4:$O$4,0))+0,0)</f>
        <v/>
      </c>
      <c r="L1729" s="159">
        <f>N($F1729)*$K1729</f>
        <v/>
      </c>
      <c r="M1729" s="157">
        <f>IF($E1729="","",IF(OR($E1729="Coal",$E1729="Dirty Coal"),"MT","BCM"))</f>
        <v/>
      </c>
      <c r="N1729" s="157">
        <f>IF($E1729="","",IF(OR($E1729="Coal",$E1729="Dirty Coal"),"Coal","OB"))</f>
        <v/>
      </c>
      <c r="O1729" s="157">
        <f>IF($F1729="","",IF(COUNTIF(MASTER_JAM!$A$5:$A$94,$C1729)=0,"Digger tidak dikenal",IF($J1729="","Hauler tidak dikenal",IF($H1729="?","Jam salah",IF($K1729=0,"Faktor kosong",IF(SUMIFS(INPUT_DELAY!$E$5:$E$20000,INPUT_DELAY!$A$5:$A$20000,$A1729,INPUT_DELAY!$B$5:$B$20000,$B1729,INPUT_DELAY!$C$5:$C$20000,$C1729)+SUMIFS(INPUT_DELAY!$E$5:$E$20000,INPUT_DELAY!$A$5:$A$20000,$A1729,INPUT_DELAY!$B$5:$B$20000,$B1729,INPUT_DELAY!$C$5:$C$20000,"SEMUA")&gt;=60,"Delay 60 mnt tapi ada ritase","OK"))))))</f>
        <v/>
      </c>
      <c r="P1729" s="158">
        <f>IFERROR(INDEX(MASTER_JAM!$Z$5:$AC$10,MATCH($I1729,MASTER_JAM!$Y$5:$Y$10,0),MATCH($J1729,MASTER_JAM!$Z$4:$AC$4,0))+0,0)</f>
        <v/>
      </c>
      <c r="Q1729" s="158">
        <f>IF($P1729=0,0,$P1729+IFERROR(INDEX(MASTER_JAM!$H$5:$H$94,MATCH($C1729,MASTER_JAM!$A$5:$A$94,0))+0,MASTER_JAM!$AC$15)/1000*(60/MASTER_JAM!$AC$12+60/MASTER_JAM!$AC$13)+MASTER_JAM!$AC$14)</f>
        <v/>
      </c>
      <c r="R1729" s="158">
        <f>IF(N($F1729)=0,0,$F1729/SUMIFS(INPUT_RITASE!$F$5:$F$20000,INPUT_RITASE!$A$5:$A$20000,$A1729,INPUT_RITASE!$B$5:$B$20000,$B1729,INPUT_RITASE!$C$5:$C$20000,$C1729,INPUT_RITASE!$D$5:$D$20000,$D1729))</f>
        <v/>
      </c>
      <c r="S1729" s="158">
        <f>IF($Q1729=0,0,$R1729*$P1729/$Q1729)</f>
        <v/>
      </c>
    </row>
    <row r="1730">
      <c r="A1730" s="155" t="n">
        <v>46110</v>
      </c>
      <c r="B1730" s="156" t="inlineStr">
        <is>
          <t>18-19</t>
        </is>
      </c>
      <c r="C1730" s="156" t="inlineStr">
        <is>
          <t>EX-1252</t>
        </is>
      </c>
      <c r="D1730" s="156" t="inlineStr">
        <is>
          <t>DT-517</t>
        </is>
      </c>
      <c r="E1730" s="156" t="inlineStr">
        <is>
          <t>OB</t>
        </is>
      </c>
      <c r="F1730" s="156" t="n">
        <v>4</v>
      </c>
      <c r="G1730" s="156" t="inlineStr"/>
      <c r="H1730" s="157">
        <f>IF($B1730="","",IF(ISNA(MATCH($B1730,MASTER_JAM!$Q$5:$Q$28,0)),"?",IF(MATCH($B1730,MASTER_JAM!$Q$5:$Q$28,0)&lt;=12,"DS","NS")))</f>
        <v/>
      </c>
      <c r="I1730" s="157">
        <f>IFERROR(INDEX(MASTER_JAM!$B$5:$B$94,MATCH($C1730,MASTER_JAM!$A$5:$A$94,0)),"")</f>
        <v/>
      </c>
      <c r="J1730" s="157">
        <f>IFERROR(INDEX(MASTER_JAM!$E$5:$E$94,MATCH($D1730,MASTER_JAM!$A$5:$A$94,0)),"")</f>
        <v/>
      </c>
      <c r="K1730" s="158">
        <f>IFERROR(INDEX(MASTER_JAM!$J$5:$O$12,MATCH($E1730,MASTER_JAM!$I$5:$I$12,0),MATCH($J1730,MASTER_JAM!$J$4:$O$4,0))+0,0)</f>
        <v/>
      </c>
      <c r="L1730" s="159">
        <f>N($F1730)*$K1730</f>
        <v/>
      </c>
      <c r="M1730" s="157">
        <f>IF($E1730="","",IF(OR($E1730="Coal",$E1730="Dirty Coal"),"MT","BCM"))</f>
        <v/>
      </c>
      <c r="N1730" s="157">
        <f>IF($E1730="","",IF(OR($E1730="Coal",$E1730="Dirty Coal"),"Coal","OB"))</f>
        <v/>
      </c>
      <c r="O1730" s="157">
        <f>IF($F1730="","",IF(COUNTIF(MASTER_JAM!$A$5:$A$94,$C1730)=0,"Digger tidak dikenal",IF($J1730="","Hauler tidak dikenal",IF($H1730="?","Jam salah",IF($K1730=0,"Faktor kosong",IF(SUMIFS(INPUT_DELAY!$E$5:$E$20000,INPUT_DELAY!$A$5:$A$20000,$A1730,INPUT_DELAY!$B$5:$B$20000,$B1730,INPUT_DELAY!$C$5:$C$20000,$C1730)+SUMIFS(INPUT_DELAY!$E$5:$E$20000,INPUT_DELAY!$A$5:$A$20000,$A1730,INPUT_DELAY!$B$5:$B$20000,$B1730,INPUT_DELAY!$C$5:$C$20000,"SEMUA")&gt;=60,"Delay 60 mnt tapi ada ritase","OK"))))))</f>
        <v/>
      </c>
      <c r="P1730" s="158">
        <f>IFERROR(INDEX(MASTER_JAM!$Z$5:$AC$10,MATCH($I1730,MASTER_JAM!$Y$5:$Y$10,0),MATCH($J1730,MASTER_JAM!$Z$4:$AC$4,0))+0,0)</f>
        <v/>
      </c>
      <c r="Q1730" s="158">
        <f>IF($P1730=0,0,$P1730+IFERROR(INDEX(MASTER_JAM!$H$5:$H$94,MATCH($C1730,MASTER_JAM!$A$5:$A$94,0))+0,MASTER_JAM!$AC$15)/1000*(60/MASTER_JAM!$AC$12+60/MASTER_JAM!$AC$13)+MASTER_JAM!$AC$14)</f>
        <v/>
      </c>
      <c r="R1730" s="158">
        <f>IF(N($F1730)=0,0,$F1730/SUMIFS(INPUT_RITASE!$F$5:$F$20000,INPUT_RITASE!$A$5:$A$20000,$A1730,INPUT_RITASE!$B$5:$B$20000,$B1730,INPUT_RITASE!$C$5:$C$20000,$C1730,INPUT_RITASE!$D$5:$D$20000,$D1730))</f>
        <v/>
      </c>
      <c r="S1730" s="158">
        <f>IF($Q1730=0,0,$R1730*$P1730/$Q1730)</f>
        <v/>
      </c>
    </row>
    <row r="1731">
      <c r="A1731" s="155" t="n">
        <v>46110</v>
      </c>
      <c r="B1731" s="156" t="inlineStr">
        <is>
          <t>18-19</t>
        </is>
      </c>
      <c r="C1731" s="156" t="inlineStr">
        <is>
          <t>EX-1252</t>
        </is>
      </c>
      <c r="D1731" s="156" t="inlineStr">
        <is>
          <t>DT-501</t>
        </is>
      </c>
      <c r="E1731" s="156" t="inlineStr">
        <is>
          <t>OB</t>
        </is>
      </c>
      <c r="F1731" s="156" t="n">
        <v>4</v>
      </c>
      <c r="G1731" s="156" t="inlineStr"/>
      <c r="H1731" s="157">
        <f>IF($B1731="","",IF(ISNA(MATCH($B1731,MASTER_JAM!$Q$5:$Q$28,0)),"?",IF(MATCH($B1731,MASTER_JAM!$Q$5:$Q$28,0)&lt;=12,"DS","NS")))</f>
        <v/>
      </c>
      <c r="I1731" s="157">
        <f>IFERROR(INDEX(MASTER_JAM!$B$5:$B$94,MATCH($C1731,MASTER_JAM!$A$5:$A$94,0)),"")</f>
        <v/>
      </c>
      <c r="J1731" s="157">
        <f>IFERROR(INDEX(MASTER_JAM!$E$5:$E$94,MATCH($D1731,MASTER_JAM!$A$5:$A$94,0)),"")</f>
        <v/>
      </c>
      <c r="K1731" s="158">
        <f>IFERROR(INDEX(MASTER_JAM!$J$5:$O$12,MATCH($E1731,MASTER_JAM!$I$5:$I$12,0),MATCH($J1731,MASTER_JAM!$J$4:$O$4,0))+0,0)</f>
        <v/>
      </c>
      <c r="L1731" s="159">
        <f>N($F1731)*$K1731</f>
        <v/>
      </c>
      <c r="M1731" s="157">
        <f>IF($E1731="","",IF(OR($E1731="Coal",$E1731="Dirty Coal"),"MT","BCM"))</f>
        <v/>
      </c>
      <c r="N1731" s="157">
        <f>IF($E1731="","",IF(OR($E1731="Coal",$E1731="Dirty Coal"),"Coal","OB"))</f>
        <v/>
      </c>
      <c r="O1731" s="157">
        <f>IF($F1731="","",IF(COUNTIF(MASTER_JAM!$A$5:$A$94,$C1731)=0,"Digger tidak dikenal",IF($J1731="","Hauler tidak dikenal",IF($H1731="?","Jam salah",IF($K1731=0,"Faktor kosong",IF(SUMIFS(INPUT_DELAY!$E$5:$E$20000,INPUT_DELAY!$A$5:$A$20000,$A1731,INPUT_DELAY!$B$5:$B$20000,$B1731,INPUT_DELAY!$C$5:$C$20000,$C1731)+SUMIFS(INPUT_DELAY!$E$5:$E$20000,INPUT_DELAY!$A$5:$A$20000,$A1731,INPUT_DELAY!$B$5:$B$20000,$B1731,INPUT_DELAY!$C$5:$C$20000,"SEMUA")&gt;=60,"Delay 60 mnt tapi ada ritase","OK"))))))</f>
        <v/>
      </c>
      <c r="P1731" s="158">
        <f>IFERROR(INDEX(MASTER_JAM!$Z$5:$AC$10,MATCH($I1731,MASTER_JAM!$Y$5:$Y$10,0),MATCH($J1731,MASTER_JAM!$Z$4:$AC$4,0))+0,0)</f>
        <v/>
      </c>
      <c r="Q1731" s="158">
        <f>IF($P1731=0,0,$P1731+IFERROR(INDEX(MASTER_JAM!$H$5:$H$94,MATCH($C1731,MASTER_JAM!$A$5:$A$94,0))+0,MASTER_JAM!$AC$15)/1000*(60/MASTER_JAM!$AC$12+60/MASTER_JAM!$AC$13)+MASTER_JAM!$AC$14)</f>
        <v/>
      </c>
      <c r="R1731" s="158">
        <f>IF(N($F1731)=0,0,$F1731/SUMIFS(INPUT_RITASE!$F$5:$F$20000,INPUT_RITASE!$A$5:$A$20000,$A1731,INPUT_RITASE!$B$5:$B$20000,$B1731,INPUT_RITASE!$C$5:$C$20000,$C1731,INPUT_RITASE!$D$5:$D$20000,$D1731))</f>
        <v/>
      </c>
      <c r="S1731" s="158">
        <f>IF($Q1731=0,0,$R1731*$P1731/$Q1731)</f>
        <v/>
      </c>
    </row>
    <row r="1732">
      <c r="A1732" s="155" t="n">
        <v>46110</v>
      </c>
      <c r="B1732" s="156" t="inlineStr">
        <is>
          <t>18-19</t>
        </is>
      </c>
      <c r="C1732" s="156" t="inlineStr">
        <is>
          <t>EX-1252</t>
        </is>
      </c>
      <c r="D1732" s="156" t="inlineStr">
        <is>
          <t>DT-529</t>
        </is>
      </c>
      <c r="E1732" s="156" t="inlineStr">
        <is>
          <t>OB</t>
        </is>
      </c>
      <c r="F1732" s="156" t="n">
        <v>4</v>
      </c>
      <c r="G1732" s="156" t="inlineStr"/>
      <c r="H1732" s="157">
        <f>IF($B1732="","",IF(ISNA(MATCH($B1732,MASTER_JAM!$Q$5:$Q$28,0)),"?",IF(MATCH($B1732,MASTER_JAM!$Q$5:$Q$28,0)&lt;=12,"DS","NS")))</f>
        <v/>
      </c>
      <c r="I1732" s="157">
        <f>IFERROR(INDEX(MASTER_JAM!$B$5:$B$94,MATCH($C1732,MASTER_JAM!$A$5:$A$94,0)),"")</f>
        <v/>
      </c>
      <c r="J1732" s="157">
        <f>IFERROR(INDEX(MASTER_JAM!$E$5:$E$94,MATCH($D1732,MASTER_JAM!$A$5:$A$94,0)),"")</f>
        <v/>
      </c>
      <c r="K1732" s="158">
        <f>IFERROR(INDEX(MASTER_JAM!$J$5:$O$12,MATCH($E1732,MASTER_JAM!$I$5:$I$12,0),MATCH($J1732,MASTER_JAM!$J$4:$O$4,0))+0,0)</f>
        <v/>
      </c>
      <c r="L1732" s="159">
        <f>N($F1732)*$K1732</f>
        <v/>
      </c>
      <c r="M1732" s="157">
        <f>IF($E1732="","",IF(OR($E1732="Coal",$E1732="Dirty Coal"),"MT","BCM"))</f>
        <v/>
      </c>
      <c r="N1732" s="157">
        <f>IF($E1732="","",IF(OR($E1732="Coal",$E1732="Dirty Coal"),"Coal","OB"))</f>
        <v/>
      </c>
      <c r="O1732" s="157">
        <f>IF($F1732="","",IF(COUNTIF(MASTER_JAM!$A$5:$A$94,$C1732)=0,"Digger tidak dikenal",IF($J1732="","Hauler tidak dikenal",IF($H1732="?","Jam salah",IF($K1732=0,"Faktor kosong",IF(SUMIFS(INPUT_DELAY!$E$5:$E$20000,INPUT_DELAY!$A$5:$A$20000,$A1732,INPUT_DELAY!$B$5:$B$20000,$B1732,INPUT_DELAY!$C$5:$C$20000,$C1732)+SUMIFS(INPUT_DELAY!$E$5:$E$20000,INPUT_DELAY!$A$5:$A$20000,$A1732,INPUT_DELAY!$B$5:$B$20000,$B1732,INPUT_DELAY!$C$5:$C$20000,"SEMUA")&gt;=60,"Delay 60 mnt tapi ada ritase","OK"))))))</f>
        <v/>
      </c>
      <c r="P1732" s="158">
        <f>IFERROR(INDEX(MASTER_JAM!$Z$5:$AC$10,MATCH($I1732,MASTER_JAM!$Y$5:$Y$10,0),MATCH($J1732,MASTER_JAM!$Z$4:$AC$4,0))+0,0)</f>
        <v/>
      </c>
      <c r="Q1732" s="158">
        <f>IF($P1732=0,0,$P1732+IFERROR(INDEX(MASTER_JAM!$H$5:$H$94,MATCH($C1732,MASTER_JAM!$A$5:$A$94,0))+0,MASTER_JAM!$AC$15)/1000*(60/MASTER_JAM!$AC$12+60/MASTER_JAM!$AC$13)+MASTER_JAM!$AC$14)</f>
        <v/>
      </c>
      <c r="R1732" s="158">
        <f>IF(N($F1732)=0,0,$F1732/SUMIFS(INPUT_RITASE!$F$5:$F$20000,INPUT_RITASE!$A$5:$A$20000,$A1732,INPUT_RITASE!$B$5:$B$20000,$B1732,INPUT_RITASE!$C$5:$C$20000,$C1732,INPUT_RITASE!$D$5:$D$20000,$D1732))</f>
        <v/>
      </c>
      <c r="S1732" s="158">
        <f>IF($Q1732=0,0,$R1732*$P1732/$Q1732)</f>
        <v/>
      </c>
    </row>
    <row r="1733">
      <c r="A1733" s="155" t="n">
        <v>46110</v>
      </c>
      <c r="B1733" s="156" t="inlineStr">
        <is>
          <t>18-19</t>
        </is>
      </c>
      <c r="C1733" s="156" t="inlineStr">
        <is>
          <t>EX-1252</t>
        </is>
      </c>
      <c r="D1733" s="156" t="inlineStr">
        <is>
          <t>DT-511</t>
        </is>
      </c>
      <c r="E1733" s="156" t="inlineStr">
        <is>
          <t>OB</t>
        </is>
      </c>
      <c r="F1733" s="156" t="n">
        <v>3</v>
      </c>
      <c r="G1733" s="156" t="inlineStr"/>
      <c r="H1733" s="157">
        <f>IF($B1733="","",IF(ISNA(MATCH($B1733,MASTER_JAM!$Q$5:$Q$28,0)),"?",IF(MATCH($B1733,MASTER_JAM!$Q$5:$Q$28,0)&lt;=12,"DS","NS")))</f>
        <v/>
      </c>
      <c r="I1733" s="157">
        <f>IFERROR(INDEX(MASTER_JAM!$B$5:$B$94,MATCH($C1733,MASTER_JAM!$A$5:$A$94,0)),"")</f>
        <v/>
      </c>
      <c r="J1733" s="157">
        <f>IFERROR(INDEX(MASTER_JAM!$E$5:$E$94,MATCH($D1733,MASTER_JAM!$A$5:$A$94,0)),"")</f>
        <v/>
      </c>
      <c r="K1733" s="158">
        <f>IFERROR(INDEX(MASTER_JAM!$J$5:$O$12,MATCH($E1733,MASTER_JAM!$I$5:$I$12,0),MATCH($J1733,MASTER_JAM!$J$4:$O$4,0))+0,0)</f>
        <v/>
      </c>
      <c r="L1733" s="159">
        <f>N($F1733)*$K1733</f>
        <v/>
      </c>
      <c r="M1733" s="157">
        <f>IF($E1733="","",IF(OR($E1733="Coal",$E1733="Dirty Coal"),"MT","BCM"))</f>
        <v/>
      </c>
      <c r="N1733" s="157">
        <f>IF($E1733="","",IF(OR($E1733="Coal",$E1733="Dirty Coal"),"Coal","OB"))</f>
        <v/>
      </c>
      <c r="O1733" s="157">
        <f>IF($F1733="","",IF(COUNTIF(MASTER_JAM!$A$5:$A$94,$C1733)=0,"Digger tidak dikenal",IF($J1733="","Hauler tidak dikenal",IF($H1733="?","Jam salah",IF($K1733=0,"Faktor kosong",IF(SUMIFS(INPUT_DELAY!$E$5:$E$20000,INPUT_DELAY!$A$5:$A$20000,$A1733,INPUT_DELAY!$B$5:$B$20000,$B1733,INPUT_DELAY!$C$5:$C$20000,$C1733)+SUMIFS(INPUT_DELAY!$E$5:$E$20000,INPUT_DELAY!$A$5:$A$20000,$A1733,INPUT_DELAY!$B$5:$B$20000,$B1733,INPUT_DELAY!$C$5:$C$20000,"SEMUA")&gt;=60,"Delay 60 mnt tapi ada ritase","OK"))))))</f>
        <v/>
      </c>
      <c r="P1733" s="158">
        <f>IFERROR(INDEX(MASTER_JAM!$Z$5:$AC$10,MATCH($I1733,MASTER_JAM!$Y$5:$Y$10,0),MATCH($J1733,MASTER_JAM!$Z$4:$AC$4,0))+0,0)</f>
        <v/>
      </c>
      <c r="Q1733" s="158">
        <f>IF($P1733=0,0,$P1733+IFERROR(INDEX(MASTER_JAM!$H$5:$H$94,MATCH($C1733,MASTER_JAM!$A$5:$A$94,0))+0,MASTER_JAM!$AC$15)/1000*(60/MASTER_JAM!$AC$12+60/MASTER_JAM!$AC$13)+MASTER_JAM!$AC$14)</f>
        <v/>
      </c>
      <c r="R1733" s="158">
        <f>IF(N($F1733)=0,0,$F1733/SUMIFS(INPUT_RITASE!$F$5:$F$20000,INPUT_RITASE!$A$5:$A$20000,$A1733,INPUT_RITASE!$B$5:$B$20000,$B1733,INPUT_RITASE!$C$5:$C$20000,$C1733,INPUT_RITASE!$D$5:$D$20000,$D1733))</f>
        <v/>
      </c>
      <c r="S1733" s="158">
        <f>IF($Q1733=0,0,$R1733*$P1733/$Q1733)</f>
        <v/>
      </c>
    </row>
    <row r="1734">
      <c r="A1734" s="155" t="n">
        <v>46110</v>
      </c>
      <c r="B1734" s="156" t="inlineStr">
        <is>
          <t>18-19</t>
        </is>
      </c>
      <c r="C1734" s="156" t="inlineStr">
        <is>
          <t>EX-1252</t>
        </is>
      </c>
      <c r="D1734" s="156" t="inlineStr">
        <is>
          <t>DT-506</t>
        </is>
      </c>
      <c r="E1734" s="156" t="inlineStr">
        <is>
          <t>OB</t>
        </is>
      </c>
      <c r="F1734" s="156" t="n">
        <v>3</v>
      </c>
      <c r="G1734" s="156" t="inlineStr"/>
      <c r="H1734" s="157">
        <f>IF($B1734="","",IF(ISNA(MATCH($B1734,MASTER_JAM!$Q$5:$Q$28,0)),"?",IF(MATCH($B1734,MASTER_JAM!$Q$5:$Q$28,0)&lt;=12,"DS","NS")))</f>
        <v/>
      </c>
      <c r="I1734" s="157">
        <f>IFERROR(INDEX(MASTER_JAM!$B$5:$B$94,MATCH($C1734,MASTER_JAM!$A$5:$A$94,0)),"")</f>
        <v/>
      </c>
      <c r="J1734" s="157">
        <f>IFERROR(INDEX(MASTER_JAM!$E$5:$E$94,MATCH($D1734,MASTER_JAM!$A$5:$A$94,0)),"")</f>
        <v/>
      </c>
      <c r="K1734" s="158">
        <f>IFERROR(INDEX(MASTER_JAM!$J$5:$O$12,MATCH($E1734,MASTER_JAM!$I$5:$I$12,0),MATCH($J1734,MASTER_JAM!$J$4:$O$4,0))+0,0)</f>
        <v/>
      </c>
      <c r="L1734" s="159">
        <f>N($F1734)*$K1734</f>
        <v/>
      </c>
      <c r="M1734" s="157">
        <f>IF($E1734="","",IF(OR($E1734="Coal",$E1734="Dirty Coal"),"MT","BCM"))</f>
        <v/>
      </c>
      <c r="N1734" s="157">
        <f>IF($E1734="","",IF(OR($E1734="Coal",$E1734="Dirty Coal"),"Coal","OB"))</f>
        <v/>
      </c>
      <c r="O1734" s="157">
        <f>IF($F1734="","",IF(COUNTIF(MASTER_JAM!$A$5:$A$94,$C1734)=0,"Digger tidak dikenal",IF($J1734="","Hauler tidak dikenal",IF($H1734="?","Jam salah",IF($K1734=0,"Faktor kosong",IF(SUMIFS(INPUT_DELAY!$E$5:$E$20000,INPUT_DELAY!$A$5:$A$20000,$A1734,INPUT_DELAY!$B$5:$B$20000,$B1734,INPUT_DELAY!$C$5:$C$20000,$C1734)+SUMIFS(INPUT_DELAY!$E$5:$E$20000,INPUT_DELAY!$A$5:$A$20000,$A1734,INPUT_DELAY!$B$5:$B$20000,$B1734,INPUT_DELAY!$C$5:$C$20000,"SEMUA")&gt;=60,"Delay 60 mnt tapi ada ritase","OK"))))))</f>
        <v/>
      </c>
      <c r="P1734" s="158">
        <f>IFERROR(INDEX(MASTER_JAM!$Z$5:$AC$10,MATCH($I1734,MASTER_JAM!$Y$5:$Y$10,0),MATCH($J1734,MASTER_JAM!$Z$4:$AC$4,0))+0,0)</f>
        <v/>
      </c>
      <c r="Q1734" s="158">
        <f>IF($P1734=0,0,$P1734+IFERROR(INDEX(MASTER_JAM!$H$5:$H$94,MATCH($C1734,MASTER_JAM!$A$5:$A$94,0))+0,MASTER_JAM!$AC$15)/1000*(60/MASTER_JAM!$AC$12+60/MASTER_JAM!$AC$13)+MASTER_JAM!$AC$14)</f>
        <v/>
      </c>
      <c r="R1734" s="158">
        <f>IF(N($F1734)=0,0,$F1734/SUMIFS(INPUT_RITASE!$F$5:$F$20000,INPUT_RITASE!$A$5:$A$20000,$A1734,INPUT_RITASE!$B$5:$B$20000,$B1734,INPUT_RITASE!$C$5:$C$20000,$C1734,INPUT_RITASE!$D$5:$D$20000,$D1734))</f>
        <v/>
      </c>
      <c r="S1734" s="158">
        <f>IF($Q1734=0,0,$R1734*$P1734/$Q1734)</f>
        <v/>
      </c>
    </row>
    <row r="1735">
      <c r="A1735" s="155" t="n">
        <v>46110</v>
      </c>
      <c r="B1735" s="156" t="inlineStr">
        <is>
          <t>18-19</t>
        </is>
      </c>
      <c r="C1735" s="156" t="inlineStr">
        <is>
          <t>EX-1252</t>
        </is>
      </c>
      <c r="D1735" s="156" t="inlineStr">
        <is>
          <t>DT-505</t>
        </is>
      </c>
      <c r="E1735" s="156" t="inlineStr">
        <is>
          <t>OB</t>
        </is>
      </c>
      <c r="F1735" s="156" t="n">
        <v>3</v>
      </c>
      <c r="G1735" s="156" t="inlineStr"/>
      <c r="H1735" s="157">
        <f>IF($B1735="","",IF(ISNA(MATCH($B1735,MASTER_JAM!$Q$5:$Q$28,0)),"?",IF(MATCH($B1735,MASTER_JAM!$Q$5:$Q$28,0)&lt;=12,"DS","NS")))</f>
        <v/>
      </c>
      <c r="I1735" s="157">
        <f>IFERROR(INDEX(MASTER_JAM!$B$5:$B$94,MATCH($C1735,MASTER_JAM!$A$5:$A$94,0)),"")</f>
        <v/>
      </c>
      <c r="J1735" s="157">
        <f>IFERROR(INDEX(MASTER_JAM!$E$5:$E$94,MATCH($D1735,MASTER_JAM!$A$5:$A$94,0)),"")</f>
        <v/>
      </c>
      <c r="K1735" s="158">
        <f>IFERROR(INDEX(MASTER_JAM!$J$5:$O$12,MATCH($E1735,MASTER_JAM!$I$5:$I$12,0),MATCH($J1735,MASTER_JAM!$J$4:$O$4,0))+0,0)</f>
        <v/>
      </c>
      <c r="L1735" s="159">
        <f>N($F1735)*$K1735</f>
        <v/>
      </c>
      <c r="M1735" s="157">
        <f>IF($E1735="","",IF(OR($E1735="Coal",$E1735="Dirty Coal"),"MT","BCM"))</f>
        <v/>
      </c>
      <c r="N1735" s="157">
        <f>IF($E1735="","",IF(OR($E1735="Coal",$E1735="Dirty Coal"),"Coal","OB"))</f>
        <v/>
      </c>
      <c r="O1735" s="157">
        <f>IF($F1735="","",IF(COUNTIF(MASTER_JAM!$A$5:$A$94,$C1735)=0,"Digger tidak dikenal",IF($J1735="","Hauler tidak dikenal",IF($H1735="?","Jam salah",IF($K1735=0,"Faktor kosong",IF(SUMIFS(INPUT_DELAY!$E$5:$E$20000,INPUT_DELAY!$A$5:$A$20000,$A1735,INPUT_DELAY!$B$5:$B$20000,$B1735,INPUT_DELAY!$C$5:$C$20000,$C1735)+SUMIFS(INPUT_DELAY!$E$5:$E$20000,INPUT_DELAY!$A$5:$A$20000,$A1735,INPUT_DELAY!$B$5:$B$20000,$B1735,INPUT_DELAY!$C$5:$C$20000,"SEMUA")&gt;=60,"Delay 60 mnt tapi ada ritase","OK"))))))</f>
        <v/>
      </c>
      <c r="P1735" s="158">
        <f>IFERROR(INDEX(MASTER_JAM!$Z$5:$AC$10,MATCH($I1735,MASTER_JAM!$Y$5:$Y$10,0),MATCH($J1735,MASTER_JAM!$Z$4:$AC$4,0))+0,0)</f>
        <v/>
      </c>
      <c r="Q1735" s="158">
        <f>IF($P1735=0,0,$P1735+IFERROR(INDEX(MASTER_JAM!$H$5:$H$94,MATCH($C1735,MASTER_JAM!$A$5:$A$94,0))+0,MASTER_JAM!$AC$15)/1000*(60/MASTER_JAM!$AC$12+60/MASTER_JAM!$AC$13)+MASTER_JAM!$AC$14)</f>
        <v/>
      </c>
      <c r="R1735" s="158">
        <f>IF(N($F1735)=0,0,$F1735/SUMIFS(INPUT_RITASE!$F$5:$F$20000,INPUT_RITASE!$A$5:$A$20000,$A1735,INPUT_RITASE!$B$5:$B$20000,$B1735,INPUT_RITASE!$C$5:$C$20000,$C1735,INPUT_RITASE!$D$5:$D$20000,$D1735))</f>
        <v/>
      </c>
      <c r="S1735" s="158">
        <f>IF($Q1735=0,0,$R1735*$P1735/$Q1735)</f>
        <v/>
      </c>
    </row>
    <row r="1736">
      <c r="A1736" s="155" t="n">
        <v>46110</v>
      </c>
      <c r="B1736" s="156" t="inlineStr">
        <is>
          <t>19-20</t>
        </is>
      </c>
      <c r="C1736" s="156" t="inlineStr">
        <is>
          <t>EX-1252</t>
        </is>
      </c>
      <c r="D1736" s="156" t="inlineStr">
        <is>
          <t>DT-522</t>
        </is>
      </c>
      <c r="E1736" s="156" t="inlineStr">
        <is>
          <t>OB</t>
        </is>
      </c>
      <c r="F1736" s="156" t="n">
        <v>4</v>
      </c>
      <c r="G1736" s="156" t="inlineStr"/>
      <c r="H1736" s="157">
        <f>IF($B1736="","",IF(ISNA(MATCH($B1736,MASTER_JAM!$Q$5:$Q$28,0)),"?",IF(MATCH($B1736,MASTER_JAM!$Q$5:$Q$28,0)&lt;=12,"DS","NS")))</f>
        <v/>
      </c>
      <c r="I1736" s="157">
        <f>IFERROR(INDEX(MASTER_JAM!$B$5:$B$94,MATCH($C1736,MASTER_JAM!$A$5:$A$94,0)),"")</f>
        <v/>
      </c>
      <c r="J1736" s="157">
        <f>IFERROR(INDEX(MASTER_JAM!$E$5:$E$94,MATCH($D1736,MASTER_JAM!$A$5:$A$94,0)),"")</f>
        <v/>
      </c>
      <c r="K1736" s="158">
        <f>IFERROR(INDEX(MASTER_JAM!$J$5:$O$12,MATCH($E1736,MASTER_JAM!$I$5:$I$12,0),MATCH($J1736,MASTER_JAM!$J$4:$O$4,0))+0,0)</f>
        <v/>
      </c>
      <c r="L1736" s="159">
        <f>N($F1736)*$K1736</f>
        <v/>
      </c>
      <c r="M1736" s="157">
        <f>IF($E1736="","",IF(OR($E1736="Coal",$E1736="Dirty Coal"),"MT","BCM"))</f>
        <v/>
      </c>
      <c r="N1736" s="157">
        <f>IF($E1736="","",IF(OR($E1736="Coal",$E1736="Dirty Coal"),"Coal","OB"))</f>
        <v/>
      </c>
      <c r="O1736" s="157">
        <f>IF($F1736="","",IF(COUNTIF(MASTER_JAM!$A$5:$A$94,$C1736)=0,"Digger tidak dikenal",IF($J1736="","Hauler tidak dikenal",IF($H1736="?","Jam salah",IF($K1736=0,"Faktor kosong",IF(SUMIFS(INPUT_DELAY!$E$5:$E$20000,INPUT_DELAY!$A$5:$A$20000,$A1736,INPUT_DELAY!$B$5:$B$20000,$B1736,INPUT_DELAY!$C$5:$C$20000,$C1736)+SUMIFS(INPUT_DELAY!$E$5:$E$20000,INPUT_DELAY!$A$5:$A$20000,$A1736,INPUT_DELAY!$B$5:$B$20000,$B1736,INPUT_DELAY!$C$5:$C$20000,"SEMUA")&gt;=60,"Delay 60 mnt tapi ada ritase","OK"))))))</f>
        <v/>
      </c>
      <c r="P1736" s="158">
        <f>IFERROR(INDEX(MASTER_JAM!$Z$5:$AC$10,MATCH($I1736,MASTER_JAM!$Y$5:$Y$10,0),MATCH($J1736,MASTER_JAM!$Z$4:$AC$4,0))+0,0)</f>
        <v/>
      </c>
      <c r="Q1736" s="158">
        <f>IF($P1736=0,0,$P1736+IFERROR(INDEX(MASTER_JAM!$H$5:$H$94,MATCH($C1736,MASTER_JAM!$A$5:$A$94,0))+0,MASTER_JAM!$AC$15)/1000*(60/MASTER_JAM!$AC$12+60/MASTER_JAM!$AC$13)+MASTER_JAM!$AC$14)</f>
        <v/>
      </c>
      <c r="R1736" s="158">
        <f>IF(N($F1736)=0,0,$F1736/SUMIFS(INPUT_RITASE!$F$5:$F$20000,INPUT_RITASE!$A$5:$A$20000,$A1736,INPUT_RITASE!$B$5:$B$20000,$B1736,INPUT_RITASE!$C$5:$C$20000,$C1736,INPUT_RITASE!$D$5:$D$20000,$D1736))</f>
        <v/>
      </c>
      <c r="S1736" s="158">
        <f>IF($Q1736=0,0,$R1736*$P1736/$Q1736)</f>
        <v/>
      </c>
    </row>
    <row r="1737">
      <c r="A1737" s="155" t="n">
        <v>46110</v>
      </c>
      <c r="B1737" s="156" t="inlineStr">
        <is>
          <t>19-20</t>
        </is>
      </c>
      <c r="C1737" s="156" t="inlineStr">
        <is>
          <t>EX-1252</t>
        </is>
      </c>
      <c r="D1737" s="156" t="inlineStr">
        <is>
          <t>DT-503</t>
        </is>
      </c>
      <c r="E1737" s="156" t="inlineStr">
        <is>
          <t>OB</t>
        </is>
      </c>
      <c r="F1737" s="156" t="n">
        <v>4</v>
      </c>
      <c r="G1737" s="156" t="inlineStr"/>
      <c r="H1737" s="157">
        <f>IF($B1737="","",IF(ISNA(MATCH($B1737,MASTER_JAM!$Q$5:$Q$28,0)),"?",IF(MATCH($B1737,MASTER_JAM!$Q$5:$Q$28,0)&lt;=12,"DS","NS")))</f>
        <v/>
      </c>
      <c r="I1737" s="157">
        <f>IFERROR(INDEX(MASTER_JAM!$B$5:$B$94,MATCH($C1737,MASTER_JAM!$A$5:$A$94,0)),"")</f>
        <v/>
      </c>
      <c r="J1737" s="157">
        <f>IFERROR(INDEX(MASTER_JAM!$E$5:$E$94,MATCH($D1737,MASTER_JAM!$A$5:$A$94,0)),"")</f>
        <v/>
      </c>
      <c r="K1737" s="158">
        <f>IFERROR(INDEX(MASTER_JAM!$J$5:$O$12,MATCH($E1737,MASTER_JAM!$I$5:$I$12,0),MATCH($J1737,MASTER_JAM!$J$4:$O$4,0))+0,0)</f>
        <v/>
      </c>
      <c r="L1737" s="159">
        <f>N($F1737)*$K1737</f>
        <v/>
      </c>
      <c r="M1737" s="157">
        <f>IF($E1737="","",IF(OR($E1737="Coal",$E1737="Dirty Coal"),"MT","BCM"))</f>
        <v/>
      </c>
      <c r="N1737" s="157">
        <f>IF($E1737="","",IF(OR($E1737="Coal",$E1737="Dirty Coal"),"Coal","OB"))</f>
        <v/>
      </c>
      <c r="O1737" s="157">
        <f>IF($F1737="","",IF(COUNTIF(MASTER_JAM!$A$5:$A$94,$C1737)=0,"Digger tidak dikenal",IF($J1737="","Hauler tidak dikenal",IF($H1737="?","Jam salah",IF($K1737=0,"Faktor kosong",IF(SUMIFS(INPUT_DELAY!$E$5:$E$20000,INPUT_DELAY!$A$5:$A$20000,$A1737,INPUT_DELAY!$B$5:$B$20000,$B1737,INPUT_DELAY!$C$5:$C$20000,$C1737)+SUMIFS(INPUT_DELAY!$E$5:$E$20000,INPUT_DELAY!$A$5:$A$20000,$A1737,INPUT_DELAY!$B$5:$B$20000,$B1737,INPUT_DELAY!$C$5:$C$20000,"SEMUA")&gt;=60,"Delay 60 mnt tapi ada ritase","OK"))))))</f>
        <v/>
      </c>
      <c r="P1737" s="158">
        <f>IFERROR(INDEX(MASTER_JAM!$Z$5:$AC$10,MATCH($I1737,MASTER_JAM!$Y$5:$Y$10,0),MATCH($J1737,MASTER_JAM!$Z$4:$AC$4,0))+0,0)</f>
        <v/>
      </c>
      <c r="Q1737" s="158">
        <f>IF($P1737=0,0,$P1737+IFERROR(INDEX(MASTER_JAM!$H$5:$H$94,MATCH($C1737,MASTER_JAM!$A$5:$A$94,0))+0,MASTER_JAM!$AC$15)/1000*(60/MASTER_JAM!$AC$12+60/MASTER_JAM!$AC$13)+MASTER_JAM!$AC$14)</f>
        <v/>
      </c>
      <c r="R1737" s="158">
        <f>IF(N($F1737)=0,0,$F1737/SUMIFS(INPUT_RITASE!$F$5:$F$20000,INPUT_RITASE!$A$5:$A$20000,$A1737,INPUT_RITASE!$B$5:$B$20000,$B1737,INPUT_RITASE!$C$5:$C$20000,$C1737,INPUT_RITASE!$D$5:$D$20000,$D1737))</f>
        <v/>
      </c>
      <c r="S1737" s="158">
        <f>IF($Q1737=0,0,$R1737*$P1737/$Q1737)</f>
        <v/>
      </c>
    </row>
    <row r="1738">
      <c r="A1738" s="155" t="n">
        <v>46110</v>
      </c>
      <c r="B1738" s="156" t="inlineStr">
        <is>
          <t>19-20</t>
        </is>
      </c>
      <c r="C1738" s="156" t="inlineStr">
        <is>
          <t>EX-1252</t>
        </is>
      </c>
      <c r="D1738" s="156" t="inlineStr">
        <is>
          <t>DT-502</t>
        </is>
      </c>
      <c r="E1738" s="156" t="inlineStr">
        <is>
          <t>OB</t>
        </is>
      </c>
      <c r="F1738" s="156" t="n">
        <v>4</v>
      </c>
      <c r="G1738" s="156" t="inlineStr"/>
      <c r="H1738" s="157">
        <f>IF($B1738="","",IF(ISNA(MATCH($B1738,MASTER_JAM!$Q$5:$Q$28,0)),"?",IF(MATCH($B1738,MASTER_JAM!$Q$5:$Q$28,0)&lt;=12,"DS","NS")))</f>
        <v/>
      </c>
      <c r="I1738" s="157">
        <f>IFERROR(INDEX(MASTER_JAM!$B$5:$B$94,MATCH($C1738,MASTER_JAM!$A$5:$A$94,0)),"")</f>
        <v/>
      </c>
      <c r="J1738" s="157">
        <f>IFERROR(INDEX(MASTER_JAM!$E$5:$E$94,MATCH($D1738,MASTER_JAM!$A$5:$A$94,0)),"")</f>
        <v/>
      </c>
      <c r="K1738" s="158">
        <f>IFERROR(INDEX(MASTER_JAM!$J$5:$O$12,MATCH($E1738,MASTER_JAM!$I$5:$I$12,0),MATCH($J1738,MASTER_JAM!$J$4:$O$4,0))+0,0)</f>
        <v/>
      </c>
      <c r="L1738" s="159">
        <f>N($F1738)*$K1738</f>
        <v/>
      </c>
      <c r="M1738" s="157">
        <f>IF($E1738="","",IF(OR($E1738="Coal",$E1738="Dirty Coal"),"MT","BCM"))</f>
        <v/>
      </c>
      <c r="N1738" s="157">
        <f>IF($E1738="","",IF(OR($E1738="Coal",$E1738="Dirty Coal"),"Coal","OB"))</f>
        <v/>
      </c>
      <c r="O1738" s="157">
        <f>IF($F1738="","",IF(COUNTIF(MASTER_JAM!$A$5:$A$94,$C1738)=0,"Digger tidak dikenal",IF($J1738="","Hauler tidak dikenal",IF($H1738="?","Jam salah",IF($K1738=0,"Faktor kosong",IF(SUMIFS(INPUT_DELAY!$E$5:$E$20000,INPUT_DELAY!$A$5:$A$20000,$A1738,INPUT_DELAY!$B$5:$B$20000,$B1738,INPUT_DELAY!$C$5:$C$20000,$C1738)+SUMIFS(INPUT_DELAY!$E$5:$E$20000,INPUT_DELAY!$A$5:$A$20000,$A1738,INPUT_DELAY!$B$5:$B$20000,$B1738,INPUT_DELAY!$C$5:$C$20000,"SEMUA")&gt;=60,"Delay 60 mnt tapi ada ritase","OK"))))))</f>
        <v/>
      </c>
      <c r="P1738" s="158">
        <f>IFERROR(INDEX(MASTER_JAM!$Z$5:$AC$10,MATCH($I1738,MASTER_JAM!$Y$5:$Y$10,0),MATCH($J1738,MASTER_JAM!$Z$4:$AC$4,0))+0,0)</f>
        <v/>
      </c>
      <c r="Q1738" s="158">
        <f>IF($P1738=0,0,$P1738+IFERROR(INDEX(MASTER_JAM!$H$5:$H$94,MATCH($C1738,MASTER_JAM!$A$5:$A$94,0))+0,MASTER_JAM!$AC$15)/1000*(60/MASTER_JAM!$AC$12+60/MASTER_JAM!$AC$13)+MASTER_JAM!$AC$14)</f>
        <v/>
      </c>
      <c r="R1738" s="158">
        <f>IF(N($F1738)=0,0,$F1738/SUMIFS(INPUT_RITASE!$F$5:$F$20000,INPUT_RITASE!$A$5:$A$20000,$A1738,INPUT_RITASE!$B$5:$B$20000,$B1738,INPUT_RITASE!$C$5:$C$20000,$C1738,INPUT_RITASE!$D$5:$D$20000,$D1738))</f>
        <v/>
      </c>
      <c r="S1738" s="158">
        <f>IF($Q1738=0,0,$R1738*$P1738/$Q1738)</f>
        <v/>
      </c>
    </row>
    <row r="1739">
      <c r="A1739" s="155" t="n">
        <v>46110</v>
      </c>
      <c r="B1739" s="156" t="inlineStr">
        <is>
          <t>19-20</t>
        </is>
      </c>
      <c r="C1739" s="156" t="inlineStr">
        <is>
          <t>EX-1252</t>
        </is>
      </c>
      <c r="D1739" s="156" t="inlineStr">
        <is>
          <t>DT-501</t>
        </is>
      </c>
      <c r="E1739" s="156" t="inlineStr">
        <is>
          <t>OB</t>
        </is>
      </c>
      <c r="F1739" s="156" t="n">
        <v>4</v>
      </c>
      <c r="G1739" s="156" t="inlineStr"/>
      <c r="H1739" s="157">
        <f>IF($B1739="","",IF(ISNA(MATCH($B1739,MASTER_JAM!$Q$5:$Q$28,0)),"?",IF(MATCH($B1739,MASTER_JAM!$Q$5:$Q$28,0)&lt;=12,"DS","NS")))</f>
        <v/>
      </c>
      <c r="I1739" s="157">
        <f>IFERROR(INDEX(MASTER_JAM!$B$5:$B$94,MATCH($C1739,MASTER_JAM!$A$5:$A$94,0)),"")</f>
        <v/>
      </c>
      <c r="J1739" s="157">
        <f>IFERROR(INDEX(MASTER_JAM!$E$5:$E$94,MATCH($D1739,MASTER_JAM!$A$5:$A$94,0)),"")</f>
        <v/>
      </c>
      <c r="K1739" s="158">
        <f>IFERROR(INDEX(MASTER_JAM!$J$5:$O$12,MATCH($E1739,MASTER_JAM!$I$5:$I$12,0),MATCH($J1739,MASTER_JAM!$J$4:$O$4,0))+0,0)</f>
        <v/>
      </c>
      <c r="L1739" s="159">
        <f>N($F1739)*$K1739</f>
        <v/>
      </c>
      <c r="M1739" s="157">
        <f>IF($E1739="","",IF(OR($E1739="Coal",$E1739="Dirty Coal"),"MT","BCM"))</f>
        <v/>
      </c>
      <c r="N1739" s="157">
        <f>IF($E1739="","",IF(OR($E1739="Coal",$E1739="Dirty Coal"),"Coal","OB"))</f>
        <v/>
      </c>
      <c r="O1739" s="157">
        <f>IF($F1739="","",IF(COUNTIF(MASTER_JAM!$A$5:$A$94,$C1739)=0,"Digger tidak dikenal",IF($J1739="","Hauler tidak dikenal",IF($H1739="?","Jam salah",IF($K1739=0,"Faktor kosong",IF(SUMIFS(INPUT_DELAY!$E$5:$E$20000,INPUT_DELAY!$A$5:$A$20000,$A1739,INPUT_DELAY!$B$5:$B$20000,$B1739,INPUT_DELAY!$C$5:$C$20000,$C1739)+SUMIFS(INPUT_DELAY!$E$5:$E$20000,INPUT_DELAY!$A$5:$A$20000,$A1739,INPUT_DELAY!$B$5:$B$20000,$B1739,INPUT_DELAY!$C$5:$C$20000,"SEMUA")&gt;=60,"Delay 60 mnt tapi ada ritase","OK"))))))</f>
        <v/>
      </c>
      <c r="P1739" s="158">
        <f>IFERROR(INDEX(MASTER_JAM!$Z$5:$AC$10,MATCH($I1739,MASTER_JAM!$Y$5:$Y$10,0),MATCH($J1739,MASTER_JAM!$Z$4:$AC$4,0))+0,0)</f>
        <v/>
      </c>
      <c r="Q1739" s="158">
        <f>IF($P1739=0,0,$P1739+IFERROR(INDEX(MASTER_JAM!$H$5:$H$94,MATCH($C1739,MASTER_JAM!$A$5:$A$94,0))+0,MASTER_JAM!$AC$15)/1000*(60/MASTER_JAM!$AC$12+60/MASTER_JAM!$AC$13)+MASTER_JAM!$AC$14)</f>
        <v/>
      </c>
      <c r="R1739" s="158">
        <f>IF(N($F1739)=0,0,$F1739/SUMIFS(INPUT_RITASE!$F$5:$F$20000,INPUT_RITASE!$A$5:$A$20000,$A1739,INPUT_RITASE!$B$5:$B$20000,$B1739,INPUT_RITASE!$C$5:$C$20000,$C1739,INPUT_RITASE!$D$5:$D$20000,$D1739))</f>
        <v/>
      </c>
      <c r="S1739" s="158">
        <f>IF($Q1739=0,0,$R1739*$P1739/$Q1739)</f>
        <v/>
      </c>
    </row>
    <row r="1740">
      <c r="A1740" s="155" t="n">
        <v>46110</v>
      </c>
      <c r="B1740" s="156" t="inlineStr">
        <is>
          <t>19-20</t>
        </is>
      </c>
      <c r="C1740" s="156" t="inlineStr">
        <is>
          <t>EX-1252</t>
        </is>
      </c>
      <c r="D1740" s="156" t="inlineStr">
        <is>
          <t>DT-516</t>
        </is>
      </c>
      <c r="E1740" s="156" t="inlineStr">
        <is>
          <t>OB</t>
        </is>
      </c>
      <c r="F1740" s="156" t="n">
        <v>4</v>
      </c>
      <c r="G1740" s="156" t="inlineStr"/>
      <c r="H1740" s="157">
        <f>IF($B1740="","",IF(ISNA(MATCH($B1740,MASTER_JAM!$Q$5:$Q$28,0)),"?",IF(MATCH($B1740,MASTER_JAM!$Q$5:$Q$28,0)&lt;=12,"DS","NS")))</f>
        <v/>
      </c>
      <c r="I1740" s="157">
        <f>IFERROR(INDEX(MASTER_JAM!$B$5:$B$94,MATCH($C1740,MASTER_JAM!$A$5:$A$94,0)),"")</f>
        <v/>
      </c>
      <c r="J1740" s="157">
        <f>IFERROR(INDEX(MASTER_JAM!$E$5:$E$94,MATCH($D1740,MASTER_JAM!$A$5:$A$94,0)),"")</f>
        <v/>
      </c>
      <c r="K1740" s="158">
        <f>IFERROR(INDEX(MASTER_JAM!$J$5:$O$12,MATCH($E1740,MASTER_JAM!$I$5:$I$12,0),MATCH($J1740,MASTER_JAM!$J$4:$O$4,0))+0,0)</f>
        <v/>
      </c>
      <c r="L1740" s="159">
        <f>N($F1740)*$K1740</f>
        <v/>
      </c>
      <c r="M1740" s="157">
        <f>IF($E1740="","",IF(OR($E1740="Coal",$E1740="Dirty Coal"),"MT","BCM"))</f>
        <v/>
      </c>
      <c r="N1740" s="157">
        <f>IF($E1740="","",IF(OR($E1740="Coal",$E1740="Dirty Coal"),"Coal","OB"))</f>
        <v/>
      </c>
      <c r="O1740" s="157">
        <f>IF($F1740="","",IF(COUNTIF(MASTER_JAM!$A$5:$A$94,$C1740)=0,"Digger tidak dikenal",IF($J1740="","Hauler tidak dikenal",IF($H1740="?","Jam salah",IF($K1740=0,"Faktor kosong",IF(SUMIFS(INPUT_DELAY!$E$5:$E$20000,INPUT_DELAY!$A$5:$A$20000,$A1740,INPUT_DELAY!$B$5:$B$20000,$B1740,INPUT_DELAY!$C$5:$C$20000,$C1740)+SUMIFS(INPUT_DELAY!$E$5:$E$20000,INPUT_DELAY!$A$5:$A$20000,$A1740,INPUT_DELAY!$B$5:$B$20000,$B1740,INPUT_DELAY!$C$5:$C$20000,"SEMUA")&gt;=60,"Delay 60 mnt tapi ada ritase","OK"))))))</f>
        <v/>
      </c>
      <c r="P1740" s="158">
        <f>IFERROR(INDEX(MASTER_JAM!$Z$5:$AC$10,MATCH($I1740,MASTER_JAM!$Y$5:$Y$10,0),MATCH($J1740,MASTER_JAM!$Z$4:$AC$4,0))+0,0)</f>
        <v/>
      </c>
      <c r="Q1740" s="158">
        <f>IF($P1740=0,0,$P1740+IFERROR(INDEX(MASTER_JAM!$H$5:$H$94,MATCH($C1740,MASTER_JAM!$A$5:$A$94,0))+0,MASTER_JAM!$AC$15)/1000*(60/MASTER_JAM!$AC$12+60/MASTER_JAM!$AC$13)+MASTER_JAM!$AC$14)</f>
        <v/>
      </c>
      <c r="R1740" s="158">
        <f>IF(N($F1740)=0,0,$F1740/SUMIFS(INPUT_RITASE!$F$5:$F$20000,INPUT_RITASE!$A$5:$A$20000,$A1740,INPUT_RITASE!$B$5:$B$20000,$B1740,INPUT_RITASE!$C$5:$C$20000,$C1740,INPUT_RITASE!$D$5:$D$20000,$D1740))</f>
        <v/>
      </c>
      <c r="S1740" s="158">
        <f>IF($Q1740=0,0,$R1740*$P1740/$Q1740)</f>
        <v/>
      </c>
    </row>
    <row r="1741">
      <c r="A1741" s="155" t="n">
        <v>46110</v>
      </c>
      <c r="B1741" s="156" t="inlineStr">
        <is>
          <t>19-20</t>
        </is>
      </c>
      <c r="C1741" s="156" t="inlineStr">
        <is>
          <t>EX-1252</t>
        </is>
      </c>
      <c r="D1741" s="156" t="inlineStr">
        <is>
          <t>DT-520</t>
        </is>
      </c>
      <c r="E1741" s="156" t="inlineStr">
        <is>
          <t>OB</t>
        </is>
      </c>
      <c r="F1741" s="156" t="n">
        <v>4</v>
      </c>
      <c r="G1741" s="156" t="inlineStr"/>
      <c r="H1741" s="157">
        <f>IF($B1741="","",IF(ISNA(MATCH($B1741,MASTER_JAM!$Q$5:$Q$28,0)),"?",IF(MATCH($B1741,MASTER_JAM!$Q$5:$Q$28,0)&lt;=12,"DS","NS")))</f>
        <v/>
      </c>
      <c r="I1741" s="157">
        <f>IFERROR(INDEX(MASTER_JAM!$B$5:$B$94,MATCH($C1741,MASTER_JAM!$A$5:$A$94,0)),"")</f>
        <v/>
      </c>
      <c r="J1741" s="157">
        <f>IFERROR(INDEX(MASTER_JAM!$E$5:$E$94,MATCH($D1741,MASTER_JAM!$A$5:$A$94,0)),"")</f>
        <v/>
      </c>
      <c r="K1741" s="158">
        <f>IFERROR(INDEX(MASTER_JAM!$J$5:$O$12,MATCH($E1741,MASTER_JAM!$I$5:$I$12,0),MATCH($J1741,MASTER_JAM!$J$4:$O$4,0))+0,0)</f>
        <v/>
      </c>
      <c r="L1741" s="159">
        <f>N($F1741)*$K1741</f>
        <v/>
      </c>
      <c r="M1741" s="157">
        <f>IF($E1741="","",IF(OR($E1741="Coal",$E1741="Dirty Coal"),"MT","BCM"))</f>
        <v/>
      </c>
      <c r="N1741" s="157">
        <f>IF($E1741="","",IF(OR($E1741="Coal",$E1741="Dirty Coal"),"Coal","OB"))</f>
        <v/>
      </c>
      <c r="O1741" s="157">
        <f>IF($F1741="","",IF(COUNTIF(MASTER_JAM!$A$5:$A$94,$C1741)=0,"Digger tidak dikenal",IF($J1741="","Hauler tidak dikenal",IF($H1741="?","Jam salah",IF($K1741=0,"Faktor kosong",IF(SUMIFS(INPUT_DELAY!$E$5:$E$20000,INPUT_DELAY!$A$5:$A$20000,$A1741,INPUT_DELAY!$B$5:$B$20000,$B1741,INPUT_DELAY!$C$5:$C$20000,$C1741)+SUMIFS(INPUT_DELAY!$E$5:$E$20000,INPUT_DELAY!$A$5:$A$20000,$A1741,INPUT_DELAY!$B$5:$B$20000,$B1741,INPUT_DELAY!$C$5:$C$20000,"SEMUA")&gt;=60,"Delay 60 mnt tapi ada ritase","OK"))))))</f>
        <v/>
      </c>
      <c r="P1741" s="158">
        <f>IFERROR(INDEX(MASTER_JAM!$Z$5:$AC$10,MATCH($I1741,MASTER_JAM!$Y$5:$Y$10,0),MATCH($J1741,MASTER_JAM!$Z$4:$AC$4,0))+0,0)</f>
        <v/>
      </c>
      <c r="Q1741" s="158">
        <f>IF($P1741=0,0,$P1741+IFERROR(INDEX(MASTER_JAM!$H$5:$H$94,MATCH($C1741,MASTER_JAM!$A$5:$A$94,0))+0,MASTER_JAM!$AC$15)/1000*(60/MASTER_JAM!$AC$12+60/MASTER_JAM!$AC$13)+MASTER_JAM!$AC$14)</f>
        <v/>
      </c>
      <c r="R1741" s="158">
        <f>IF(N($F1741)=0,0,$F1741/SUMIFS(INPUT_RITASE!$F$5:$F$20000,INPUT_RITASE!$A$5:$A$20000,$A1741,INPUT_RITASE!$B$5:$B$20000,$B1741,INPUT_RITASE!$C$5:$C$20000,$C1741,INPUT_RITASE!$D$5:$D$20000,$D1741))</f>
        <v/>
      </c>
      <c r="S1741" s="158">
        <f>IF($Q1741=0,0,$R1741*$P1741/$Q1741)</f>
        <v/>
      </c>
    </row>
    <row r="1742">
      <c r="A1742" s="155" t="n">
        <v>46110</v>
      </c>
      <c r="B1742" s="156" t="inlineStr">
        <is>
          <t>19-20</t>
        </is>
      </c>
      <c r="C1742" s="156" t="inlineStr">
        <is>
          <t>EX-1252</t>
        </is>
      </c>
      <c r="D1742" s="156" t="inlineStr">
        <is>
          <t>DT-518</t>
        </is>
      </c>
      <c r="E1742" s="156" t="inlineStr">
        <is>
          <t>OB</t>
        </is>
      </c>
      <c r="F1742" s="156" t="n">
        <v>3</v>
      </c>
      <c r="G1742" s="156" t="inlineStr"/>
      <c r="H1742" s="157">
        <f>IF($B1742="","",IF(ISNA(MATCH($B1742,MASTER_JAM!$Q$5:$Q$28,0)),"?",IF(MATCH($B1742,MASTER_JAM!$Q$5:$Q$28,0)&lt;=12,"DS","NS")))</f>
        <v/>
      </c>
      <c r="I1742" s="157">
        <f>IFERROR(INDEX(MASTER_JAM!$B$5:$B$94,MATCH($C1742,MASTER_JAM!$A$5:$A$94,0)),"")</f>
        <v/>
      </c>
      <c r="J1742" s="157">
        <f>IFERROR(INDEX(MASTER_JAM!$E$5:$E$94,MATCH($D1742,MASTER_JAM!$A$5:$A$94,0)),"")</f>
        <v/>
      </c>
      <c r="K1742" s="158">
        <f>IFERROR(INDEX(MASTER_JAM!$J$5:$O$12,MATCH($E1742,MASTER_JAM!$I$5:$I$12,0),MATCH($J1742,MASTER_JAM!$J$4:$O$4,0))+0,0)</f>
        <v/>
      </c>
      <c r="L1742" s="159">
        <f>N($F1742)*$K1742</f>
        <v/>
      </c>
      <c r="M1742" s="157">
        <f>IF($E1742="","",IF(OR($E1742="Coal",$E1742="Dirty Coal"),"MT","BCM"))</f>
        <v/>
      </c>
      <c r="N1742" s="157">
        <f>IF($E1742="","",IF(OR($E1742="Coal",$E1742="Dirty Coal"),"Coal","OB"))</f>
        <v/>
      </c>
      <c r="O1742" s="157">
        <f>IF($F1742="","",IF(COUNTIF(MASTER_JAM!$A$5:$A$94,$C1742)=0,"Digger tidak dikenal",IF($J1742="","Hauler tidak dikenal",IF($H1742="?","Jam salah",IF($K1742=0,"Faktor kosong",IF(SUMIFS(INPUT_DELAY!$E$5:$E$20000,INPUT_DELAY!$A$5:$A$20000,$A1742,INPUT_DELAY!$B$5:$B$20000,$B1742,INPUT_DELAY!$C$5:$C$20000,$C1742)+SUMIFS(INPUT_DELAY!$E$5:$E$20000,INPUT_DELAY!$A$5:$A$20000,$A1742,INPUT_DELAY!$B$5:$B$20000,$B1742,INPUT_DELAY!$C$5:$C$20000,"SEMUA")&gt;=60,"Delay 60 mnt tapi ada ritase","OK"))))))</f>
        <v/>
      </c>
      <c r="P1742" s="158">
        <f>IFERROR(INDEX(MASTER_JAM!$Z$5:$AC$10,MATCH($I1742,MASTER_JAM!$Y$5:$Y$10,0),MATCH($J1742,MASTER_JAM!$Z$4:$AC$4,0))+0,0)</f>
        <v/>
      </c>
      <c r="Q1742" s="158">
        <f>IF($P1742=0,0,$P1742+IFERROR(INDEX(MASTER_JAM!$H$5:$H$94,MATCH($C1742,MASTER_JAM!$A$5:$A$94,0))+0,MASTER_JAM!$AC$15)/1000*(60/MASTER_JAM!$AC$12+60/MASTER_JAM!$AC$13)+MASTER_JAM!$AC$14)</f>
        <v/>
      </c>
      <c r="R1742" s="158">
        <f>IF(N($F1742)=0,0,$F1742/SUMIFS(INPUT_RITASE!$F$5:$F$20000,INPUT_RITASE!$A$5:$A$20000,$A1742,INPUT_RITASE!$B$5:$B$20000,$B1742,INPUT_RITASE!$C$5:$C$20000,$C1742,INPUT_RITASE!$D$5:$D$20000,$D1742))</f>
        <v/>
      </c>
      <c r="S1742" s="158">
        <f>IF($Q1742=0,0,$R1742*$P1742/$Q1742)</f>
        <v/>
      </c>
    </row>
    <row r="1743">
      <c r="A1743" s="155" t="n">
        <v>46110</v>
      </c>
      <c r="B1743" s="156" t="inlineStr">
        <is>
          <t>20-21</t>
        </is>
      </c>
      <c r="C1743" s="156" t="inlineStr">
        <is>
          <t>EX-1252</t>
        </is>
      </c>
      <c r="D1743" s="156" t="inlineStr">
        <is>
          <t>DT-522</t>
        </is>
      </c>
      <c r="E1743" s="156" t="inlineStr">
        <is>
          <t>OB</t>
        </is>
      </c>
      <c r="F1743" s="156" t="n">
        <v>4</v>
      </c>
      <c r="G1743" s="156" t="inlineStr"/>
      <c r="H1743" s="157">
        <f>IF($B1743="","",IF(ISNA(MATCH($B1743,MASTER_JAM!$Q$5:$Q$28,0)),"?",IF(MATCH($B1743,MASTER_JAM!$Q$5:$Q$28,0)&lt;=12,"DS","NS")))</f>
        <v/>
      </c>
      <c r="I1743" s="157">
        <f>IFERROR(INDEX(MASTER_JAM!$B$5:$B$94,MATCH($C1743,MASTER_JAM!$A$5:$A$94,0)),"")</f>
        <v/>
      </c>
      <c r="J1743" s="157">
        <f>IFERROR(INDEX(MASTER_JAM!$E$5:$E$94,MATCH($D1743,MASTER_JAM!$A$5:$A$94,0)),"")</f>
        <v/>
      </c>
      <c r="K1743" s="158">
        <f>IFERROR(INDEX(MASTER_JAM!$J$5:$O$12,MATCH($E1743,MASTER_JAM!$I$5:$I$12,0),MATCH($J1743,MASTER_JAM!$J$4:$O$4,0))+0,0)</f>
        <v/>
      </c>
      <c r="L1743" s="159">
        <f>N($F1743)*$K1743</f>
        <v/>
      </c>
      <c r="M1743" s="157">
        <f>IF($E1743="","",IF(OR($E1743="Coal",$E1743="Dirty Coal"),"MT","BCM"))</f>
        <v/>
      </c>
      <c r="N1743" s="157">
        <f>IF($E1743="","",IF(OR($E1743="Coal",$E1743="Dirty Coal"),"Coal","OB"))</f>
        <v/>
      </c>
      <c r="O1743" s="157">
        <f>IF($F1743="","",IF(COUNTIF(MASTER_JAM!$A$5:$A$94,$C1743)=0,"Digger tidak dikenal",IF($J1743="","Hauler tidak dikenal",IF($H1743="?","Jam salah",IF($K1743=0,"Faktor kosong",IF(SUMIFS(INPUT_DELAY!$E$5:$E$20000,INPUT_DELAY!$A$5:$A$20000,$A1743,INPUT_DELAY!$B$5:$B$20000,$B1743,INPUT_DELAY!$C$5:$C$20000,$C1743)+SUMIFS(INPUT_DELAY!$E$5:$E$20000,INPUT_DELAY!$A$5:$A$20000,$A1743,INPUT_DELAY!$B$5:$B$20000,$B1743,INPUT_DELAY!$C$5:$C$20000,"SEMUA")&gt;=60,"Delay 60 mnt tapi ada ritase","OK"))))))</f>
        <v/>
      </c>
      <c r="P1743" s="158">
        <f>IFERROR(INDEX(MASTER_JAM!$Z$5:$AC$10,MATCH($I1743,MASTER_JAM!$Y$5:$Y$10,0),MATCH($J1743,MASTER_JAM!$Z$4:$AC$4,0))+0,0)</f>
        <v/>
      </c>
      <c r="Q1743" s="158">
        <f>IF($P1743=0,0,$P1743+IFERROR(INDEX(MASTER_JAM!$H$5:$H$94,MATCH($C1743,MASTER_JAM!$A$5:$A$94,0))+0,MASTER_JAM!$AC$15)/1000*(60/MASTER_JAM!$AC$12+60/MASTER_JAM!$AC$13)+MASTER_JAM!$AC$14)</f>
        <v/>
      </c>
      <c r="R1743" s="158">
        <f>IF(N($F1743)=0,0,$F1743/SUMIFS(INPUT_RITASE!$F$5:$F$20000,INPUT_RITASE!$A$5:$A$20000,$A1743,INPUT_RITASE!$B$5:$B$20000,$B1743,INPUT_RITASE!$C$5:$C$20000,$C1743,INPUT_RITASE!$D$5:$D$20000,$D1743))</f>
        <v/>
      </c>
      <c r="S1743" s="158">
        <f>IF($Q1743=0,0,$R1743*$P1743/$Q1743)</f>
        <v/>
      </c>
    </row>
    <row r="1744">
      <c r="A1744" s="155" t="n">
        <v>46110</v>
      </c>
      <c r="B1744" s="156" t="inlineStr">
        <is>
          <t>20-21</t>
        </is>
      </c>
      <c r="C1744" s="156" t="inlineStr">
        <is>
          <t>EX-1252</t>
        </is>
      </c>
      <c r="D1744" s="156" t="inlineStr">
        <is>
          <t>DT-511</t>
        </is>
      </c>
      <c r="E1744" s="156" t="inlineStr">
        <is>
          <t>OB</t>
        </is>
      </c>
      <c r="F1744" s="156" t="n">
        <v>4</v>
      </c>
      <c r="G1744" s="156" t="inlineStr"/>
      <c r="H1744" s="157">
        <f>IF($B1744="","",IF(ISNA(MATCH($B1744,MASTER_JAM!$Q$5:$Q$28,0)),"?",IF(MATCH($B1744,MASTER_JAM!$Q$5:$Q$28,0)&lt;=12,"DS","NS")))</f>
        <v/>
      </c>
      <c r="I1744" s="157">
        <f>IFERROR(INDEX(MASTER_JAM!$B$5:$B$94,MATCH($C1744,MASTER_JAM!$A$5:$A$94,0)),"")</f>
        <v/>
      </c>
      <c r="J1744" s="157">
        <f>IFERROR(INDEX(MASTER_JAM!$E$5:$E$94,MATCH($D1744,MASTER_JAM!$A$5:$A$94,0)),"")</f>
        <v/>
      </c>
      <c r="K1744" s="158">
        <f>IFERROR(INDEX(MASTER_JAM!$J$5:$O$12,MATCH($E1744,MASTER_JAM!$I$5:$I$12,0),MATCH($J1744,MASTER_JAM!$J$4:$O$4,0))+0,0)</f>
        <v/>
      </c>
      <c r="L1744" s="159">
        <f>N($F1744)*$K1744</f>
        <v/>
      </c>
      <c r="M1744" s="157">
        <f>IF($E1744="","",IF(OR($E1744="Coal",$E1744="Dirty Coal"),"MT","BCM"))</f>
        <v/>
      </c>
      <c r="N1744" s="157">
        <f>IF($E1744="","",IF(OR($E1744="Coal",$E1744="Dirty Coal"),"Coal","OB"))</f>
        <v/>
      </c>
      <c r="O1744" s="157">
        <f>IF($F1744="","",IF(COUNTIF(MASTER_JAM!$A$5:$A$94,$C1744)=0,"Digger tidak dikenal",IF($J1744="","Hauler tidak dikenal",IF($H1744="?","Jam salah",IF($K1744=0,"Faktor kosong",IF(SUMIFS(INPUT_DELAY!$E$5:$E$20000,INPUT_DELAY!$A$5:$A$20000,$A1744,INPUT_DELAY!$B$5:$B$20000,$B1744,INPUT_DELAY!$C$5:$C$20000,$C1744)+SUMIFS(INPUT_DELAY!$E$5:$E$20000,INPUT_DELAY!$A$5:$A$20000,$A1744,INPUT_DELAY!$B$5:$B$20000,$B1744,INPUT_DELAY!$C$5:$C$20000,"SEMUA")&gt;=60,"Delay 60 mnt tapi ada ritase","OK"))))))</f>
        <v/>
      </c>
      <c r="P1744" s="158">
        <f>IFERROR(INDEX(MASTER_JAM!$Z$5:$AC$10,MATCH($I1744,MASTER_JAM!$Y$5:$Y$10,0),MATCH($J1744,MASTER_JAM!$Z$4:$AC$4,0))+0,0)</f>
        <v/>
      </c>
      <c r="Q1744" s="158">
        <f>IF($P1744=0,0,$P1744+IFERROR(INDEX(MASTER_JAM!$H$5:$H$94,MATCH($C1744,MASTER_JAM!$A$5:$A$94,0))+0,MASTER_JAM!$AC$15)/1000*(60/MASTER_JAM!$AC$12+60/MASTER_JAM!$AC$13)+MASTER_JAM!$AC$14)</f>
        <v/>
      </c>
      <c r="R1744" s="158">
        <f>IF(N($F1744)=0,0,$F1744/SUMIFS(INPUT_RITASE!$F$5:$F$20000,INPUT_RITASE!$A$5:$A$20000,$A1744,INPUT_RITASE!$B$5:$B$20000,$B1744,INPUT_RITASE!$C$5:$C$20000,$C1744,INPUT_RITASE!$D$5:$D$20000,$D1744))</f>
        <v/>
      </c>
      <c r="S1744" s="158">
        <f>IF($Q1744=0,0,$R1744*$P1744/$Q1744)</f>
        <v/>
      </c>
    </row>
    <row r="1745">
      <c r="A1745" s="155" t="n">
        <v>46110</v>
      </c>
      <c r="B1745" s="156" t="inlineStr">
        <is>
          <t>20-21</t>
        </is>
      </c>
      <c r="C1745" s="156" t="inlineStr">
        <is>
          <t>EX-1252</t>
        </is>
      </c>
      <c r="D1745" s="156" t="inlineStr">
        <is>
          <t>DT-512</t>
        </is>
      </c>
      <c r="E1745" s="156" t="inlineStr">
        <is>
          <t>OB</t>
        </is>
      </c>
      <c r="F1745" s="156" t="n">
        <v>4</v>
      </c>
      <c r="G1745" s="156" t="inlineStr"/>
      <c r="H1745" s="157">
        <f>IF($B1745="","",IF(ISNA(MATCH($B1745,MASTER_JAM!$Q$5:$Q$28,0)),"?",IF(MATCH($B1745,MASTER_JAM!$Q$5:$Q$28,0)&lt;=12,"DS","NS")))</f>
        <v/>
      </c>
      <c r="I1745" s="157">
        <f>IFERROR(INDEX(MASTER_JAM!$B$5:$B$94,MATCH($C1745,MASTER_JAM!$A$5:$A$94,0)),"")</f>
        <v/>
      </c>
      <c r="J1745" s="157">
        <f>IFERROR(INDEX(MASTER_JAM!$E$5:$E$94,MATCH($D1745,MASTER_JAM!$A$5:$A$94,0)),"")</f>
        <v/>
      </c>
      <c r="K1745" s="158">
        <f>IFERROR(INDEX(MASTER_JAM!$J$5:$O$12,MATCH($E1745,MASTER_JAM!$I$5:$I$12,0),MATCH($J1745,MASTER_JAM!$J$4:$O$4,0))+0,0)</f>
        <v/>
      </c>
      <c r="L1745" s="159">
        <f>N($F1745)*$K1745</f>
        <v/>
      </c>
      <c r="M1745" s="157">
        <f>IF($E1745="","",IF(OR($E1745="Coal",$E1745="Dirty Coal"),"MT","BCM"))</f>
        <v/>
      </c>
      <c r="N1745" s="157">
        <f>IF($E1745="","",IF(OR($E1745="Coal",$E1745="Dirty Coal"),"Coal","OB"))</f>
        <v/>
      </c>
      <c r="O1745" s="157">
        <f>IF($F1745="","",IF(COUNTIF(MASTER_JAM!$A$5:$A$94,$C1745)=0,"Digger tidak dikenal",IF($J1745="","Hauler tidak dikenal",IF($H1745="?","Jam salah",IF($K1745=0,"Faktor kosong",IF(SUMIFS(INPUT_DELAY!$E$5:$E$20000,INPUT_DELAY!$A$5:$A$20000,$A1745,INPUT_DELAY!$B$5:$B$20000,$B1745,INPUT_DELAY!$C$5:$C$20000,$C1745)+SUMIFS(INPUT_DELAY!$E$5:$E$20000,INPUT_DELAY!$A$5:$A$20000,$A1745,INPUT_DELAY!$B$5:$B$20000,$B1745,INPUT_DELAY!$C$5:$C$20000,"SEMUA")&gt;=60,"Delay 60 mnt tapi ada ritase","OK"))))))</f>
        <v/>
      </c>
      <c r="P1745" s="158">
        <f>IFERROR(INDEX(MASTER_JAM!$Z$5:$AC$10,MATCH($I1745,MASTER_JAM!$Y$5:$Y$10,0),MATCH($J1745,MASTER_JAM!$Z$4:$AC$4,0))+0,0)</f>
        <v/>
      </c>
      <c r="Q1745" s="158">
        <f>IF($P1745=0,0,$P1745+IFERROR(INDEX(MASTER_JAM!$H$5:$H$94,MATCH($C1745,MASTER_JAM!$A$5:$A$94,0))+0,MASTER_JAM!$AC$15)/1000*(60/MASTER_JAM!$AC$12+60/MASTER_JAM!$AC$13)+MASTER_JAM!$AC$14)</f>
        <v/>
      </c>
      <c r="R1745" s="158">
        <f>IF(N($F1745)=0,0,$F1745/SUMIFS(INPUT_RITASE!$F$5:$F$20000,INPUT_RITASE!$A$5:$A$20000,$A1745,INPUT_RITASE!$B$5:$B$20000,$B1745,INPUT_RITASE!$C$5:$C$20000,$C1745,INPUT_RITASE!$D$5:$D$20000,$D1745))</f>
        <v/>
      </c>
      <c r="S1745" s="158">
        <f>IF($Q1745=0,0,$R1745*$P1745/$Q1745)</f>
        <v/>
      </c>
    </row>
    <row r="1746">
      <c r="A1746" s="155" t="n">
        <v>46110</v>
      </c>
      <c r="B1746" s="156" t="inlineStr">
        <is>
          <t>20-21</t>
        </is>
      </c>
      <c r="C1746" s="156" t="inlineStr">
        <is>
          <t>EX-1252</t>
        </is>
      </c>
      <c r="D1746" s="156" t="inlineStr">
        <is>
          <t>DT-504</t>
        </is>
      </c>
      <c r="E1746" s="156" t="inlineStr">
        <is>
          <t>OB</t>
        </is>
      </c>
      <c r="F1746" s="156" t="n">
        <v>4</v>
      </c>
      <c r="G1746" s="156" t="inlineStr"/>
      <c r="H1746" s="157">
        <f>IF($B1746="","",IF(ISNA(MATCH($B1746,MASTER_JAM!$Q$5:$Q$28,0)),"?",IF(MATCH($B1746,MASTER_JAM!$Q$5:$Q$28,0)&lt;=12,"DS","NS")))</f>
        <v/>
      </c>
      <c r="I1746" s="157">
        <f>IFERROR(INDEX(MASTER_JAM!$B$5:$B$94,MATCH($C1746,MASTER_JAM!$A$5:$A$94,0)),"")</f>
        <v/>
      </c>
      <c r="J1746" s="157">
        <f>IFERROR(INDEX(MASTER_JAM!$E$5:$E$94,MATCH($D1746,MASTER_JAM!$A$5:$A$94,0)),"")</f>
        <v/>
      </c>
      <c r="K1746" s="158">
        <f>IFERROR(INDEX(MASTER_JAM!$J$5:$O$12,MATCH($E1746,MASTER_JAM!$I$5:$I$12,0),MATCH($J1746,MASTER_JAM!$J$4:$O$4,0))+0,0)</f>
        <v/>
      </c>
      <c r="L1746" s="159">
        <f>N($F1746)*$K1746</f>
        <v/>
      </c>
      <c r="M1746" s="157">
        <f>IF($E1746="","",IF(OR($E1746="Coal",$E1746="Dirty Coal"),"MT","BCM"))</f>
        <v/>
      </c>
      <c r="N1746" s="157">
        <f>IF($E1746="","",IF(OR($E1746="Coal",$E1746="Dirty Coal"),"Coal","OB"))</f>
        <v/>
      </c>
      <c r="O1746" s="157">
        <f>IF($F1746="","",IF(COUNTIF(MASTER_JAM!$A$5:$A$94,$C1746)=0,"Digger tidak dikenal",IF($J1746="","Hauler tidak dikenal",IF($H1746="?","Jam salah",IF($K1746=0,"Faktor kosong",IF(SUMIFS(INPUT_DELAY!$E$5:$E$20000,INPUT_DELAY!$A$5:$A$20000,$A1746,INPUT_DELAY!$B$5:$B$20000,$B1746,INPUT_DELAY!$C$5:$C$20000,$C1746)+SUMIFS(INPUT_DELAY!$E$5:$E$20000,INPUT_DELAY!$A$5:$A$20000,$A1746,INPUT_DELAY!$B$5:$B$20000,$B1746,INPUT_DELAY!$C$5:$C$20000,"SEMUA")&gt;=60,"Delay 60 mnt tapi ada ritase","OK"))))))</f>
        <v/>
      </c>
      <c r="P1746" s="158">
        <f>IFERROR(INDEX(MASTER_JAM!$Z$5:$AC$10,MATCH($I1746,MASTER_JAM!$Y$5:$Y$10,0),MATCH($J1746,MASTER_JAM!$Z$4:$AC$4,0))+0,0)</f>
        <v/>
      </c>
      <c r="Q1746" s="158">
        <f>IF($P1746=0,0,$P1746+IFERROR(INDEX(MASTER_JAM!$H$5:$H$94,MATCH($C1746,MASTER_JAM!$A$5:$A$94,0))+0,MASTER_JAM!$AC$15)/1000*(60/MASTER_JAM!$AC$12+60/MASTER_JAM!$AC$13)+MASTER_JAM!$AC$14)</f>
        <v/>
      </c>
      <c r="R1746" s="158">
        <f>IF(N($F1746)=0,0,$F1746/SUMIFS(INPUT_RITASE!$F$5:$F$20000,INPUT_RITASE!$A$5:$A$20000,$A1746,INPUT_RITASE!$B$5:$B$20000,$B1746,INPUT_RITASE!$C$5:$C$20000,$C1746,INPUT_RITASE!$D$5:$D$20000,$D1746))</f>
        <v/>
      </c>
      <c r="S1746" s="158">
        <f>IF($Q1746=0,0,$R1746*$P1746/$Q1746)</f>
        <v/>
      </c>
    </row>
    <row r="1747">
      <c r="A1747" s="155" t="n">
        <v>46110</v>
      </c>
      <c r="B1747" s="156" t="inlineStr">
        <is>
          <t>20-21</t>
        </is>
      </c>
      <c r="C1747" s="156" t="inlineStr">
        <is>
          <t>EX-1252</t>
        </is>
      </c>
      <c r="D1747" s="156" t="inlineStr">
        <is>
          <t>DT-503</t>
        </is>
      </c>
      <c r="E1747" s="156" t="inlineStr">
        <is>
          <t>OB</t>
        </is>
      </c>
      <c r="F1747" s="156" t="n">
        <v>4</v>
      </c>
      <c r="G1747" s="156" t="inlineStr"/>
      <c r="H1747" s="157">
        <f>IF($B1747="","",IF(ISNA(MATCH($B1747,MASTER_JAM!$Q$5:$Q$28,0)),"?",IF(MATCH($B1747,MASTER_JAM!$Q$5:$Q$28,0)&lt;=12,"DS","NS")))</f>
        <v/>
      </c>
      <c r="I1747" s="157">
        <f>IFERROR(INDEX(MASTER_JAM!$B$5:$B$94,MATCH($C1747,MASTER_JAM!$A$5:$A$94,0)),"")</f>
        <v/>
      </c>
      <c r="J1747" s="157">
        <f>IFERROR(INDEX(MASTER_JAM!$E$5:$E$94,MATCH($D1747,MASTER_JAM!$A$5:$A$94,0)),"")</f>
        <v/>
      </c>
      <c r="K1747" s="158">
        <f>IFERROR(INDEX(MASTER_JAM!$J$5:$O$12,MATCH($E1747,MASTER_JAM!$I$5:$I$12,0),MATCH($J1747,MASTER_JAM!$J$4:$O$4,0))+0,0)</f>
        <v/>
      </c>
      <c r="L1747" s="159">
        <f>N($F1747)*$K1747</f>
        <v/>
      </c>
      <c r="M1747" s="157">
        <f>IF($E1747="","",IF(OR($E1747="Coal",$E1747="Dirty Coal"),"MT","BCM"))</f>
        <v/>
      </c>
      <c r="N1747" s="157">
        <f>IF($E1747="","",IF(OR($E1747="Coal",$E1747="Dirty Coal"),"Coal","OB"))</f>
        <v/>
      </c>
      <c r="O1747" s="157">
        <f>IF($F1747="","",IF(COUNTIF(MASTER_JAM!$A$5:$A$94,$C1747)=0,"Digger tidak dikenal",IF($J1747="","Hauler tidak dikenal",IF($H1747="?","Jam salah",IF($K1747=0,"Faktor kosong",IF(SUMIFS(INPUT_DELAY!$E$5:$E$20000,INPUT_DELAY!$A$5:$A$20000,$A1747,INPUT_DELAY!$B$5:$B$20000,$B1747,INPUT_DELAY!$C$5:$C$20000,$C1747)+SUMIFS(INPUT_DELAY!$E$5:$E$20000,INPUT_DELAY!$A$5:$A$20000,$A1747,INPUT_DELAY!$B$5:$B$20000,$B1747,INPUT_DELAY!$C$5:$C$20000,"SEMUA")&gt;=60,"Delay 60 mnt tapi ada ritase","OK"))))))</f>
        <v/>
      </c>
      <c r="P1747" s="158">
        <f>IFERROR(INDEX(MASTER_JAM!$Z$5:$AC$10,MATCH($I1747,MASTER_JAM!$Y$5:$Y$10,0),MATCH($J1747,MASTER_JAM!$Z$4:$AC$4,0))+0,0)</f>
        <v/>
      </c>
      <c r="Q1747" s="158">
        <f>IF($P1747=0,0,$P1747+IFERROR(INDEX(MASTER_JAM!$H$5:$H$94,MATCH($C1747,MASTER_JAM!$A$5:$A$94,0))+0,MASTER_JAM!$AC$15)/1000*(60/MASTER_JAM!$AC$12+60/MASTER_JAM!$AC$13)+MASTER_JAM!$AC$14)</f>
        <v/>
      </c>
      <c r="R1747" s="158">
        <f>IF(N($F1747)=0,0,$F1747/SUMIFS(INPUT_RITASE!$F$5:$F$20000,INPUT_RITASE!$A$5:$A$20000,$A1747,INPUT_RITASE!$B$5:$B$20000,$B1747,INPUT_RITASE!$C$5:$C$20000,$C1747,INPUT_RITASE!$D$5:$D$20000,$D1747))</f>
        <v/>
      </c>
      <c r="S1747" s="158">
        <f>IF($Q1747=0,0,$R1747*$P1747/$Q1747)</f>
        <v/>
      </c>
    </row>
    <row r="1748">
      <c r="A1748" s="155" t="n">
        <v>46110</v>
      </c>
      <c r="B1748" s="156" t="inlineStr">
        <is>
          <t>20-21</t>
        </is>
      </c>
      <c r="C1748" s="156" t="inlineStr">
        <is>
          <t>EX-1252</t>
        </is>
      </c>
      <c r="D1748" s="156" t="inlineStr">
        <is>
          <t>DT-506</t>
        </is>
      </c>
      <c r="E1748" s="156" t="inlineStr">
        <is>
          <t>OB</t>
        </is>
      </c>
      <c r="F1748" s="156" t="n">
        <v>4</v>
      </c>
      <c r="G1748" s="156" t="inlineStr"/>
      <c r="H1748" s="157">
        <f>IF($B1748="","",IF(ISNA(MATCH($B1748,MASTER_JAM!$Q$5:$Q$28,0)),"?",IF(MATCH($B1748,MASTER_JAM!$Q$5:$Q$28,0)&lt;=12,"DS","NS")))</f>
        <v/>
      </c>
      <c r="I1748" s="157">
        <f>IFERROR(INDEX(MASTER_JAM!$B$5:$B$94,MATCH($C1748,MASTER_JAM!$A$5:$A$94,0)),"")</f>
        <v/>
      </c>
      <c r="J1748" s="157">
        <f>IFERROR(INDEX(MASTER_JAM!$E$5:$E$94,MATCH($D1748,MASTER_JAM!$A$5:$A$94,0)),"")</f>
        <v/>
      </c>
      <c r="K1748" s="158">
        <f>IFERROR(INDEX(MASTER_JAM!$J$5:$O$12,MATCH($E1748,MASTER_JAM!$I$5:$I$12,0),MATCH($J1748,MASTER_JAM!$J$4:$O$4,0))+0,0)</f>
        <v/>
      </c>
      <c r="L1748" s="159">
        <f>N($F1748)*$K1748</f>
        <v/>
      </c>
      <c r="M1748" s="157">
        <f>IF($E1748="","",IF(OR($E1748="Coal",$E1748="Dirty Coal"),"MT","BCM"))</f>
        <v/>
      </c>
      <c r="N1748" s="157">
        <f>IF($E1748="","",IF(OR($E1748="Coal",$E1748="Dirty Coal"),"Coal","OB"))</f>
        <v/>
      </c>
      <c r="O1748" s="157">
        <f>IF($F1748="","",IF(COUNTIF(MASTER_JAM!$A$5:$A$94,$C1748)=0,"Digger tidak dikenal",IF($J1748="","Hauler tidak dikenal",IF($H1748="?","Jam salah",IF($K1748=0,"Faktor kosong",IF(SUMIFS(INPUT_DELAY!$E$5:$E$20000,INPUT_DELAY!$A$5:$A$20000,$A1748,INPUT_DELAY!$B$5:$B$20000,$B1748,INPUT_DELAY!$C$5:$C$20000,$C1748)+SUMIFS(INPUT_DELAY!$E$5:$E$20000,INPUT_DELAY!$A$5:$A$20000,$A1748,INPUT_DELAY!$B$5:$B$20000,$B1748,INPUT_DELAY!$C$5:$C$20000,"SEMUA")&gt;=60,"Delay 60 mnt tapi ada ritase","OK"))))))</f>
        <v/>
      </c>
      <c r="P1748" s="158">
        <f>IFERROR(INDEX(MASTER_JAM!$Z$5:$AC$10,MATCH($I1748,MASTER_JAM!$Y$5:$Y$10,0),MATCH($J1748,MASTER_JAM!$Z$4:$AC$4,0))+0,0)</f>
        <v/>
      </c>
      <c r="Q1748" s="158">
        <f>IF($P1748=0,0,$P1748+IFERROR(INDEX(MASTER_JAM!$H$5:$H$94,MATCH($C1748,MASTER_JAM!$A$5:$A$94,0))+0,MASTER_JAM!$AC$15)/1000*(60/MASTER_JAM!$AC$12+60/MASTER_JAM!$AC$13)+MASTER_JAM!$AC$14)</f>
        <v/>
      </c>
      <c r="R1748" s="158">
        <f>IF(N($F1748)=0,0,$F1748/SUMIFS(INPUT_RITASE!$F$5:$F$20000,INPUT_RITASE!$A$5:$A$20000,$A1748,INPUT_RITASE!$B$5:$B$20000,$B1748,INPUT_RITASE!$C$5:$C$20000,$C1748,INPUT_RITASE!$D$5:$D$20000,$D1748))</f>
        <v/>
      </c>
      <c r="S1748" s="158">
        <f>IF($Q1748=0,0,$R1748*$P1748/$Q1748)</f>
        <v/>
      </c>
    </row>
    <row r="1749">
      <c r="A1749" s="155" t="n">
        <v>46110</v>
      </c>
      <c r="B1749" s="156" t="inlineStr">
        <is>
          <t>21-22</t>
        </is>
      </c>
      <c r="C1749" s="156" t="inlineStr">
        <is>
          <t>EX-1252</t>
        </is>
      </c>
      <c r="D1749" s="156" t="inlineStr">
        <is>
          <t>DT-528</t>
        </is>
      </c>
      <c r="E1749" s="156" t="inlineStr">
        <is>
          <t>OB</t>
        </is>
      </c>
      <c r="F1749" s="156" t="n">
        <v>4</v>
      </c>
      <c r="G1749" s="156" t="inlineStr"/>
      <c r="H1749" s="157">
        <f>IF($B1749="","",IF(ISNA(MATCH($B1749,MASTER_JAM!$Q$5:$Q$28,0)),"?",IF(MATCH($B1749,MASTER_JAM!$Q$5:$Q$28,0)&lt;=12,"DS","NS")))</f>
        <v/>
      </c>
      <c r="I1749" s="157">
        <f>IFERROR(INDEX(MASTER_JAM!$B$5:$B$94,MATCH($C1749,MASTER_JAM!$A$5:$A$94,0)),"")</f>
        <v/>
      </c>
      <c r="J1749" s="157">
        <f>IFERROR(INDEX(MASTER_JAM!$E$5:$E$94,MATCH($D1749,MASTER_JAM!$A$5:$A$94,0)),"")</f>
        <v/>
      </c>
      <c r="K1749" s="158">
        <f>IFERROR(INDEX(MASTER_JAM!$J$5:$O$12,MATCH($E1749,MASTER_JAM!$I$5:$I$12,0),MATCH($J1749,MASTER_JAM!$J$4:$O$4,0))+0,0)</f>
        <v/>
      </c>
      <c r="L1749" s="159">
        <f>N($F1749)*$K1749</f>
        <v/>
      </c>
      <c r="M1749" s="157">
        <f>IF($E1749="","",IF(OR($E1749="Coal",$E1749="Dirty Coal"),"MT","BCM"))</f>
        <v/>
      </c>
      <c r="N1749" s="157">
        <f>IF($E1749="","",IF(OR($E1749="Coal",$E1749="Dirty Coal"),"Coal","OB"))</f>
        <v/>
      </c>
      <c r="O1749" s="157">
        <f>IF($F1749="","",IF(COUNTIF(MASTER_JAM!$A$5:$A$94,$C1749)=0,"Digger tidak dikenal",IF($J1749="","Hauler tidak dikenal",IF($H1749="?","Jam salah",IF($K1749=0,"Faktor kosong",IF(SUMIFS(INPUT_DELAY!$E$5:$E$20000,INPUT_DELAY!$A$5:$A$20000,$A1749,INPUT_DELAY!$B$5:$B$20000,$B1749,INPUT_DELAY!$C$5:$C$20000,$C1749)+SUMIFS(INPUT_DELAY!$E$5:$E$20000,INPUT_DELAY!$A$5:$A$20000,$A1749,INPUT_DELAY!$B$5:$B$20000,$B1749,INPUT_DELAY!$C$5:$C$20000,"SEMUA")&gt;=60,"Delay 60 mnt tapi ada ritase","OK"))))))</f>
        <v/>
      </c>
      <c r="P1749" s="158">
        <f>IFERROR(INDEX(MASTER_JAM!$Z$5:$AC$10,MATCH($I1749,MASTER_JAM!$Y$5:$Y$10,0),MATCH($J1749,MASTER_JAM!$Z$4:$AC$4,0))+0,0)</f>
        <v/>
      </c>
      <c r="Q1749" s="158">
        <f>IF($P1749=0,0,$P1749+IFERROR(INDEX(MASTER_JAM!$H$5:$H$94,MATCH($C1749,MASTER_JAM!$A$5:$A$94,0))+0,MASTER_JAM!$AC$15)/1000*(60/MASTER_JAM!$AC$12+60/MASTER_JAM!$AC$13)+MASTER_JAM!$AC$14)</f>
        <v/>
      </c>
      <c r="R1749" s="158">
        <f>IF(N($F1749)=0,0,$F1749/SUMIFS(INPUT_RITASE!$F$5:$F$20000,INPUT_RITASE!$A$5:$A$20000,$A1749,INPUT_RITASE!$B$5:$B$20000,$B1749,INPUT_RITASE!$C$5:$C$20000,$C1749,INPUT_RITASE!$D$5:$D$20000,$D1749))</f>
        <v/>
      </c>
      <c r="S1749" s="158">
        <f>IF($Q1749=0,0,$R1749*$P1749/$Q1749)</f>
        <v/>
      </c>
    </row>
    <row r="1750">
      <c r="A1750" s="155" t="n">
        <v>46110</v>
      </c>
      <c r="B1750" s="156" t="inlineStr">
        <is>
          <t>21-22</t>
        </is>
      </c>
      <c r="C1750" s="156" t="inlineStr">
        <is>
          <t>EX-1252</t>
        </is>
      </c>
      <c r="D1750" s="156" t="inlineStr">
        <is>
          <t>DT-519</t>
        </is>
      </c>
      <c r="E1750" s="156" t="inlineStr">
        <is>
          <t>OB</t>
        </is>
      </c>
      <c r="F1750" s="156" t="n">
        <v>4</v>
      </c>
      <c r="G1750" s="156" t="inlineStr"/>
      <c r="H1750" s="157">
        <f>IF($B1750="","",IF(ISNA(MATCH($B1750,MASTER_JAM!$Q$5:$Q$28,0)),"?",IF(MATCH($B1750,MASTER_JAM!$Q$5:$Q$28,0)&lt;=12,"DS","NS")))</f>
        <v/>
      </c>
      <c r="I1750" s="157">
        <f>IFERROR(INDEX(MASTER_JAM!$B$5:$B$94,MATCH($C1750,MASTER_JAM!$A$5:$A$94,0)),"")</f>
        <v/>
      </c>
      <c r="J1750" s="157">
        <f>IFERROR(INDEX(MASTER_JAM!$E$5:$E$94,MATCH($D1750,MASTER_JAM!$A$5:$A$94,0)),"")</f>
        <v/>
      </c>
      <c r="K1750" s="158">
        <f>IFERROR(INDEX(MASTER_JAM!$J$5:$O$12,MATCH($E1750,MASTER_JAM!$I$5:$I$12,0),MATCH($J1750,MASTER_JAM!$J$4:$O$4,0))+0,0)</f>
        <v/>
      </c>
      <c r="L1750" s="159">
        <f>N($F1750)*$K1750</f>
        <v/>
      </c>
      <c r="M1750" s="157">
        <f>IF($E1750="","",IF(OR($E1750="Coal",$E1750="Dirty Coal"),"MT","BCM"))</f>
        <v/>
      </c>
      <c r="N1750" s="157">
        <f>IF($E1750="","",IF(OR($E1750="Coal",$E1750="Dirty Coal"),"Coal","OB"))</f>
        <v/>
      </c>
      <c r="O1750" s="157">
        <f>IF($F1750="","",IF(COUNTIF(MASTER_JAM!$A$5:$A$94,$C1750)=0,"Digger tidak dikenal",IF($J1750="","Hauler tidak dikenal",IF($H1750="?","Jam salah",IF($K1750=0,"Faktor kosong",IF(SUMIFS(INPUT_DELAY!$E$5:$E$20000,INPUT_DELAY!$A$5:$A$20000,$A1750,INPUT_DELAY!$B$5:$B$20000,$B1750,INPUT_DELAY!$C$5:$C$20000,$C1750)+SUMIFS(INPUT_DELAY!$E$5:$E$20000,INPUT_DELAY!$A$5:$A$20000,$A1750,INPUT_DELAY!$B$5:$B$20000,$B1750,INPUT_DELAY!$C$5:$C$20000,"SEMUA")&gt;=60,"Delay 60 mnt tapi ada ritase","OK"))))))</f>
        <v/>
      </c>
      <c r="P1750" s="158">
        <f>IFERROR(INDEX(MASTER_JAM!$Z$5:$AC$10,MATCH($I1750,MASTER_JAM!$Y$5:$Y$10,0),MATCH($J1750,MASTER_JAM!$Z$4:$AC$4,0))+0,0)</f>
        <v/>
      </c>
      <c r="Q1750" s="158">
        <f>IF($P1750=0,0,$P1750+IFERROR(INDEX(MASTER_JAM!$H$5:$H$94,MATCH($C1750,MASTER_JAM!$A$5:$A$94,0))+0,MASTER_JAM!$AC$15)/1000*(60/MASTER_JAM!$AC$12+60/MASTER_JAM!$AC$13)+MASTER_JAM!$AC$14)</f>
        <v/>
      </c>
      <c r="R1750" s="158">
        <f>IF(N($F1750)=0,0,$F1750/SUMIFS(INPUT_RITASE!$F$5:$F$20000,INPUT_RITASE!$A$5:$A$20000,$A1750,INPUT_RITASE!$B$5:$B$20000,$B1750,INPUT_RITASE!$C$5:$C$20000,$C1750,INPUT_RITASE!$D$5:$D$20000,$D1750))</f>
        <v/>
      </c>
      <c r="S1750" s="158">
        <f>IF($Q1750=0,0,$R1750*$P1750/$Q1750)</f>
        <v/>
      </c>
    </row>
    <row r="1751">
      <c r="A1751" s="155" t="n">
        <v>46110</v>
      </c>
      <c r="B1751" s="156" t="inlineStr">
        <is>
          <t>21-22</t>
        </is>
      </c>
      <c r="C1751" s="156" t="inlineStr">
        <is>
          <t>EX-1252</t>
        </is>
      </c>
      <c r="D1751" s="156" t="inlineStr">
        <is>
          <t>DT-517</t>
        </is>
      </c>
      <c r="E1751" s="156" t="inlineStr">
        <is>
          <t>OB</t>
        </is>
      </c>
      <c r="F1751" s="156" t="n">
        <v>4</v>
      </c>
      <c r="G1751" s="156" t="inlineStr"/>
      <c r="H1751" s="157">
        <f>IF($B1751="","",IF(ISNA(MATCH($B1751,MASTER_JAM!$Q$5:$Q$28,0)),"?",IF(MATCH($B1751,MASTER_JAM!$Q$5:$Q$28,0)&lt;=12,"DS","NS")))</f>
        <v/>
      </c>
      <c r="I1751" s="157">
        <f>IFERROR(INDEX(MASTER_JAM!$B$5:$B$94,MATCH($C1751,MASTER_JAM!$A$5:$A$94,0)),"")</f>
        <v/>
      </c>
      <c r="J1751" s="157">
        <f>IFERROR(INDEX(MASTER_JAM!$E$5:$E$94,MATCH($D1751,MASTER_JAM!$A$5:$A$94,0)),"")</f>
        <v/>
      </c>
      <c r="K1751" s="158">
        <f>IFERROR(INDEX(MASTER_JAM!$J$5:$O$12,MATCH($E1751,MASTER_JAM!$I$5:$I$12,0),MATCH($J1751,MASTER_JAM!$J$4:$O$4,0))+0,0)</f>
        <v/>
      </c>
      <c r="L1751" s="159">
        <f>N($F1751)*$K1751</f>
        <v/>
      </c>
      <c r="M1751" s="157">
        <f>IF($E1751="","",IF(OR($E1751="Coal",$E1751="Dirty Coal"),"MT","BCM"))</f>
        <v/>
      </c>
      <c r="N1751" s="157">
        <f>IF($E1751="","",IF(OR($E1751="Coal",$E1751="Dirty Coal"),"Coal","OB"))</f>
        <v/>
      </c>
      <c r="O1751" s="157">
        <f>IF($F1751="","",IF(COUNTIF(MASTER_JAM!$A$5:$A$94,$C1751)=0,"Digger tidak dikenal",IF($J1751="","Hauler tidak dikenal",IF($H1751="?","Jam salah",IF($K1751=0,"Faktor kosong",IF(SUMIFS(INPUT_DELAY!$E$5:$E$20000,INPUT_DELAY!$A$5:$A$20000,$A1751,INPUT_DELAY!$B$5:$B$20000,$B1751,INPUT_DELAY!$C$5:$C$20000,$C1751)+SUMIFS(INPUT_DELAY!$E$5:$E$20000,INPUT_DELAY!$A$5:$A$20000,$A1751,INPUT_DELAY!$B$5:$B$20000,$B1751,INPUT_DELAY!$C$5:$C$20000,"SEMUA")&gt;=60,"Delay 60 mnt tapi ada ritase","OK"))))))</f>
        <v/>
      </c>
      <c r="P1751" s="158">
        <f>IFERROR(INDEX(MASTER_JAM!$Z$5:$AC$10,MATCH($I1751,MASTER_JAM!$Y$5:$Y$10,0),MATCH($J1751,MASTER_JAM!$Z$4:$AC$4,0))+0,0)</f>
        <v/>
      </c>
      <c r="Q1751" s="158">
        <f>IF($P1751=0,0,$P1751+IFERROR(INDEX(MASTER_JAM!$H$5:$H$94,MATCH($C1751,MASTER_JAM!$A$5:$A$94,0))+0,MASTER_JAM!$AC$15)/1000*(60/MASTER_JAM!$AC$12+60/MASTER_JAM!$AC$13)+MASTER_JAM!$AC$14)</f>
        <v/>
      </c>
      <c r="R1751" s="158">
        <f>IF(N($F1751)=0,0,$F1751/SUMIFS(INPUT_RITASE!$F$5:$F$20000,INPUT_RITASE!$A$5:$A$20000,$A1751,INPUT_RITASE!$B$5:$B$20000,$B1751,INPUT_RITASE!$C$5:$C$20000,$C1751,INPUT_RITASE!$D$5:$D$20000,$D1751))</f>
        <v/>
      </c>
      <c r="S1751" s="158">
        <f>IF($Q1751=0,0,$R1751*$P1751/$Q1751)</f>
        <v/>
      </c>
    </row>
    <row r="1752">
      <c r="A1752" s="155" t="n">
        <v>46110</v>
      </c>
      <c r="B1752" s="156" t="inlineStr">
        <is>
          <t>21-22</t>
        </is>
      </c>
      <c r="C1752" s="156" t="inlineStr">
        <is>
          <t>EX-1252</t>
        </is>
      </c>
      <c r="D1752" s="156" t="inlineStr">
        <is>
          <t>DT-514</t>
        </is>
      </c>
      <c r="E1752" s="156" t="inlineStr">
        <is>
          <t>OB</t>
        </is>
      </c>
      <c r="F1752" s="156" t="n">
        <v>4</v>
      </c>
      <c r="G1752" s="156" t="inlineStr"/>
      <c r="H1752" s="157">
        <f>IF($B1752="","",IF(ISNA(MATCH($B1752,MASTER_JAM!$Q$5:$Q$28,0)),"?",IF(MATCH($B1752,MASTER_JAM!$Q$5:$Q$28,0)&lt;=12,"DS","NS")))</f>
        <v/>
      </c>
      <c r="I1752" s="157">
        <f>IFERROR(INDEX(MASTER_JAM!$B$5:$B$94,MATCH($C1752,MASTER_JAM!$A$5:$A$94,0)),"")</f>
        <v/>
      </c>
      <c r="J1752" s="157">
        <f>IFERROR(INDEX(MASTER_JAM!$E$5:$E$94,MATCH($D1752,MASTER_JAM!$A$5:$A$94,0)),"")</f>
        <v/>
      </c>
      <c r="K1752" s="158">
        <f>IFERROR(INDEX(MASTER_JAM!$J$5:$O$12,MATCH($E1752,MASTER_JAM!$I$5:$I$12,0),MATCH($J1752,MASTER_JAM!$J$4:$O$4,0))+0,0)</f>
        <v/>
      </c>
      <c r="L1752" s="159">
        <f>N($F1752)*$K1752</f>
        <v/>
      </c>
      <c r="M1752" s="157">
        <f>IF($E1752="","",IF(OR($E1752="Coal",$E1752="Dirty Coal"),"MT","BCM"))</f>
        <v/>
      </c>
      <c r="N1752" s="157">
        <f>IF($E1752="","",IF(OR($E1752="Coal",$E1752="Dirty Coal"),"Coal","OB"))</f>
        <v/>
      </c>
      <c r="O1752" s="157">
        <f>IF($F1752="","",IF(COUNTIF(MASTER_JAM!$A$5:$A$94,$C1752)=0,"Digger tidak dikenal",IF($J1752="","Hauler tidak dikenal",IF($H1752="?","Jam salah",IF($K1752=0,"Faktor kosong",IF(SUMIFS(INPUT_DELAY!$E$5:$E$20000,INPUT_DELAY!$A$5:$A$20000,$A1752,INPUT_DELAY!$B$5:$B$20000,$B1752,INPUT_DELAY!$C$5:$C$20000,$C1752)+SUMIFS(INPUT_DELAY!$E$5:$E$20000,INPUT_DELAY!$A$5:$A$20000,$A1752,INPUT_DELAY!$B$5:$B$20000,$B1752,INPUT_DELAY!$C$5:$C$20000,"SEMUA")&gt;=60,"Delay 60 mnt tapi ada ritase","OK"))))))</f>
        <v/>
      </c>
      <c r="P1752" s="158">
        <f>IFERROR(INDEX(MASTER_JAM!$Z$5:$AC$10,MATCH($I1752,MASTER_JAM!$Y$5:$Y$10,0),MATCH($J1752,MASTER_JAM!$Z$4:$AC$4,0))+0,0)</f>
        <v/>
      </c>
      <c r="Q1752" s="158">
        <f>IF($P1752=0,0,$P1752+IFERROR(INDEX(MASTER_JAM!$H$5:$H$94,MATCH($C1752,MASTER_JAM!$A$5:$A$94,0))+0,MASTER_JAM!$AC$15)/1000*(60/MASTER_JAM!$AC$12+60/MASTER_JAM!$AC$13)+MASTER_JAM!$AC$14)</f>
        <v/>
      </c>
      <c r="R1752" s="158">
        <f>IF(N($F1752)=0,0,$F1752/SUMIFS(INPUT_RITASE!$F$5:$F$20000,INPUT_RITASE!$A$5:$A$20000,$A1752,INPUT_RITASE!$B$5:$B$20000,$B1752,INPUT_RITASE!$C$5:$C$20000,$C1752,INPUT_RITASE!$D$5:$D$20000,$D1752))</f>
        <v/>
      </c>
      <c r="S1752" s="158">
        <f>IF($Q1752=0,0,$R1752*$P1752/$Q1752)</f>
        <v/>
      </c>
    </row>
    <row r="1753">
      <c r="A1753" s="155" t="n">
        <v>46110</v>
      </c>
      <c r="B1753" s="156" t="inlineStr">
        <is>
          <t>21-22</t>
        </is>
      </c>
      <c r="C1753" s="156" t="inlineStr">
        <is>
          <t>EX-1252</t>
        </is>
      </c>
      <c r="D1753" s="156" t="inlineStr">
        <is>
          <t>DT-504</t>
        </is>
      </c>
      <c r="E1753" s="156" t="inlineStr">
        <is>
          <t>OB</t>
        </is>
      </c>
      <c r="F1753" s="156" t="n">
        <v>4</v>
      </c>
      <c r="G1753" s="156" t="inlineStr"/>
      <c r="H1753" s="157">
        <f>IF($B1753="","",IF(ISNA(MATCH($B1753,MASTER_JAM!$Q$5:$Q$28,0)),"?",IF(MATCH($B1753,MASTER_JAM!$Q$5:$Q$28,0)&lt;=12,"DS","NS")))</f>
        <v/>
      </c>
      <c r="I1753" s="157">
        <f>IFERROR(INDEX(MASTER_JAM!$B$5:$B$94,MATCH($C1753,MASTER_JAM!$A$5:$A$94,0)),"")</f>
        <v/>
      </c>
      <c r="J1753" s="157">
        <f>IFERROR(INDEX(MASTER_JAM!$E$5:$E$94,MATCH($D1753,MASTER_JAM!$A$5:$A$94,0)),"")</f>
        <v/>
      </c>
      <c r="K1753" s="158">
        <f>IFERROR(INDEX(MASTER_JAM!$J$5:$O$12,MATCH($E1753,MASTER_JAM!$I$5:$I$12,0),MATCH($J1753,MASTER_JAM!$J$4:$O$4,0))+0,0)</f>
        <v/>
      </c>
      <c r="L1753" s="159">
        <f>N($F1753)*$K1753</f>
        <v/>
      </c>
      <c r="M1753" s="157">
        <f>IF($E1753="","",IF(OR($E1753="Coal",$E1753="Dirty Coal"),"MT","BCM"))</f>
        <v/>
      </c>
      <c r="N1753" s="157">
        <f>IF($E1753="","",IF(OR($E1753="Coal",$E1753="Dirty Coal"),"Coal","OB"))</f>
        <v/>
      </c>
      <c r="O1753" s="157">
        <f>IF($F1753="","",IF(COUNTIF(MASTER_JAM!$A$5:$A$94,$C1753)=0,"Digger tidak dikenal",IF($J1753="","Hauler tidak dikenal",IF($H1753="?","Jam salah",IF($K1753=0,"Faktor kosong",IF(SUMIFS(INPUT_DELAY!$E$5:$E$20000,INPUT_DELAY!$A$5:$A$20000,$A1753,INPUT_DELAY!$B$5:$B$20000,$B1753,INPUT_DELAY!$C$5:$C$20000,$C1753)+SUMIFS(INPUT_DELAY!$E$5:$E$20000,INPUT_DELAY!$A$5:$A$20000,$A1753,INPUT_DELAY!$B$5:$B$20000,$B1753,INPUT_DELAY!$C$5:$C$20000,"SEMUA")&gt;=60,"Delay 60 mnt tapi ada ritase","OK"))))))</f>
        <v/>
      </c>
      <c r="P1753" s="158">
        <f>IFERROR(INDEX(MASTER_JAM!$Z$5:$AC$10,MATCH($I1753,MASTER_JAM!$Y$5:$Y$10,0),MATCH($J1753,MASTER_JAM!$Z$4:$AC$4,0))+0,0)</f>
        <v/>
      </c>
      <c r="Q1753" s="158">
        <f>IF($P1753=0,0,$P1753+IFERROR(INDEX(MASTER_JAM!$H$5:$H$94,MATCH($C1753,MASTER_JAM!$A$5:$A$94,0))+0,MASTER_JAM!$AC$15)/1000*(60/MASTER_JAM!$AC$12+60/MASTER_JAM!$AC$13)+MASTER_JAM!$AC$14)</f>
        <v/>
      </c>
      <c r="R1753" s="158">
        <f>IF(N($F1753)=0,0,$F1753/SUMIFS(INPUT_RITASE!$F$5:$F$20000,INPUT_RITASE!$A$5:$A$20000,$A1753,INPUT_RITASE!$B$5:$B$20000,$B1753,INPUT_RITASE!$C$5:$C$20000,$C1753,INPUT_RITASE!$D$5:$D$20000,$D1753))</f>
        <v/>
      </c>
      <c r="S1753" s="158">
        <f>IF($Q1753=0,0,$R1753*$P1753/$Q1753)</f>
        <v/>
      </c>
    </row>
    <row r="1754">
      <c r="A1754" s="155" t="n">
        <v>46110</v>
      </c>
      <c r="B1754" s="156" t="inlineStr">
        <is>
          <t>22-23</t>
        </is>
      </c>
      <c r="C1754" s="156" t="inlineStr">
        <is>
          <t>EX-1252</t>
        </is>
      </c>
      <c r="D1754" s="156" t="inlineStr">
        <is>
          <t>DT-519</t>
        </is>
      </c>
      <c r="E1754" s="156" t="inlineStr">
        <is>
          <t>OB</t>
        </is>
      </c>
      <c r="F1754" s="156" t="n">
        <v>4</v>
      </c>
      <c r="G1754" s="156" t="inlineStr"/>
      <c r="H1754" s="157">
        <f>IF($B1754="","",IF(ISNA(MATCH($B1754,MASTER_JAM!$Q$5:$Q$28,0)),"?",IF(MATCH($B1754,MASTER_JAM!$Q$5:$Q$28,0)&lt;=12,"DS","NS")))</f>
        <v/>
      </c>
      <c r="I1754" s="157">
        <f>IFERROR(INDEX(MASTER_JAM!$B$5:$B$94,MATCH($C1754,MASTER_JAM!$A$5:$A$94,0)),"")</f>
        <v/>
      </c>
      <c r="J1754" s="157">
        <f>IFERROR(INDEX(MASTER_JAM!$E$5:$E$94,MATCH($D1754,MASTER_JAM!$A$5:$A$94,0)),"")</f>
        <v/>
      </c>
      <c r="K1754" s="158">
        <f>IFERROR(INDEX(MASTER_JAM!$J$5:$O$12,MATCH($E1754,MASTER_JAM!$I$5:$I$12,0),MATCH($J1754,MASTER_JAM!$J$4:$O$4,0))+0,0)</f>
        <v/>
      </c>
      <c r="L1754" s="159">
        <f>N($F1754)*$K1754</f>
        <v/>
      </c>
      <c r="M1754" s="157">
        <f>IF($E1754="","",IF(OR($E1754="Coal",$E1754="Dirty Coal"),"MT","BCM"))</f>
        <v/>
      </c>
      <c r="N1754" s="157">
        <f>IF($E1754="","",IF(OR($E1754="Coal",$E1754="Dirty Coal"),"Coal","OB"))</f>
        <v/>
      </c>
      <c r="O1754" s="157">
        <f>IF($F1754="","",IF(COUNTIF(MASTER_JAM!$A$5:$A$94,$C1754)=0,"Digger tidak dikenal",IF($J1754="","Hauler tidak dikenal",IF($H1754="?","Jam salah",IF($K1754=0,"Faktor kosong",IF(SUMIFS(INPUT_DELAY!$E$5:$E$20000,INPUT_DELAY!$A$5:$A$20000,$A1754,INPUT_DELAY!$B$5:$B$20000,$B1754,INPUT_DELAY!$C$5:$C$20000,$C1754)+SUMIFS(INPUT_DELAY!$E$5:$E$20000,INPUT_DELAY!$A$5:$A$20000,$A1754,INPUT_DELAY!$B$5:$B$20000,$B1754,INPUT_DELAY!$C$5:$C$20000,"SEMUA")&gt;=60,"Delay 60 mnt tapi ada ritase","OK"))))))</f>
        <v/>
      </c>
      <c r="P1754" s="158">
        <f>IFERROR(INDEX(MASTER_JAM!$Z$5:$AC$10,MATCH($I1754,MASTER_JAM!$Y$5:$Y$10,0),MATCH($J1754,MASTER_JAM!$Z$4:$AC$4,0))+0,0)</f>
        <v/>
      </c>
      <c r="Q1754" s="158">
        <f>IF($P1754=0,0,$P1754+IFERROR(INDEX(MASTER_JAM!$H$5:$H$94,MATCH($C1754,MASTER_JAM!$A$5:$A$94,0))+0,MASTER_JAM!$AC$15)/1000*(60/MASTER_JAM!$AC$12+60/MASTER_JAM!$AC$13)+MASTER_JAM!$AC$14)</f>
        <v/>
      </c>
      <c r="R1754" s="158">
        <f>IF(N($F1754)=0,0,$F1754/SUMIFS(INPUT_RITASE!$F$5:$F$20000,INPUT_RITASE!$A$5:$A$20000,$A1754,INPUT_RITASE!$B$5:$B$20000,$B1754,INPUT_RITASE!$C$5:$C$20000,$C1754,INPUT_RITASE!$D$5:$D$20000,$D1754))</f>
        <v/>
      </c>
      <c r="S1754" s="158">
        <f>IF($Q1754=0,0,$R1754*$P1754/$Q1754)</f>
        <v/>
      </c>
    </row>
    <row r="1755">
      <c r="A1755" s="155" t="n">
        <v>46110</v>
      </c>
      <c r="B1755" s="156" t="inlineStr">
        <is>
          <t>22-23</t>
        </is>
      </c>
      <c r="C1755" s="156" t="inlineStr">
        <is>
          <t>EX-1252</t>
        </is>
      </c>
      <c r="D1755" s="156" t="inlineStr">
        <is>
          <t>DT-503</t>
        </is>
      </c>
      <c r="E1755" s="156" t="inlineStr">
        <is>
          <t>OB</t>
        </is>
      </c>
      <c r="F1755" s="156" t="n">
        <v>4</v>
      </c>
      <c r="G1755" s="156" t="inlineStr"/>
      <c r="H1755" s="157">
        <f>IF($B1755="","",IF(ISNA(MATCH($B1755,MASTER_JAM!$Q$5:$Q$28,0)),"?",IF(MATCH($B1755,MASTER_JAM!$Q$5:$Q$28,0)&lt;=12,"DS","NS")))</f>
        <v/>
      </c>
      <c r="I1755" s="157">
        <f>IFERROR(INDEX(MASTER_JAM!$B$5:$B$94,MATCH($C1755,MASTER_JAM!$A$5:$A$94,0)),"")</f>
        <v/>
      </c>
      <c r="J1755" s="157">
        <f>IFERROR(INDEX(MASTER_JAM!$E$5:$E$94,MATCH($D1755,MASTER_JAM!$A$5:$A$94,0)),"")</f>
        <v/>
      </c>
      <c r="K1755" s="158">
        <f>IFERROR(INDEX(MASTER_JAM!$J$5:$O$12,MATCH($E1755,MASTER_JAM!$I$5:$I$12,0),MATCH($J1755,MASTER_JAM!$J$4:$O$4,0))+0,0)</f>
        <v/>
      </c>
      <c r="L1755" s="159">
        <f>N($F1755)*$K1755</f>
        <v/>
      </c>
      <c r="M1755" s="157">
        <f>IF($E1755="","",IF(OR($E1755="Coal",$E1755="Dirty Coal"),"MT","BCM"))</f>
        <v/>
      </c>
      <c r="N1755" s="157">
        <f>IF($E1755="","",IF(OR($E1755="Coal",$E1755="Dirty Coal"),"Coal","OB"))</f>
        <v/>
      </c>
      <c r="O1755" s="157">
        <f>IF($F1755="","",IF(COUNTIF(MASTER_JAM!$A$5:$A$94,$C1755)=0,"Digger tidak dikenal",IF($J1755="","Hauler tidak dikenal",IF($H1755="?","Jam salah",IF($K1755=0,"Faktor kosong",IF(SUMIFS(INPUT_DELAY!$E$5:$E$20000,INPUT_DELAY!$A$5:$A$20000,$A1755,INPUT_DELAY!$B$5:$B$20000,$B1755,INPUT_DELAY!$C$5:$C$20000,$C1755)+SUMIFS(INPUT_DELAY!$E$5:$E$20000,INPUT_DELAY!$A$5:$A$20000,$A1755,INPUT_DELAY!$B$5:$B$20000,$B1755,INPUT_DELAY!$C$5:$C$20000,"SEMUA")&gt;=60,"Delay 60 mnt tapi ada ritase","OK"))))))</f>
        <v/>
      </c>
      <c r="P1755" s="158">
        <f>IFERROR(INDEX(MASTER_JAM!$Z$5:$AC$10,MATCH($I1755,MASTER_JAM!$Y$5:$Y$10,0),MATCH($J1755,MASTER_JAM!$Z$4:$AC$4,0))+0,0)</f>
        <v/>
      </c>
      <c r="Q1755" s="158">
        <f>IF($P1755=0,0,$P1755+IFERROR(INDEX(MASTER_JAM!$H$5:$H$94,MATCH($C1755,MASTER_JAM!$A$5:$A$94,0))+0,MASTER_JAM!$AC$15)/1000*(60/MASTER_JAM!$AC$12+60/MASTER_JAM!$AC$13)+MASTER_JAM!$AC$14)</f>
        <v/>
      </c>
      <c r="R1755" s="158">
        <f>IF(N($F1755)=0,0,$F1755/SUMIFS(INPUT_RITASE!$F$5:$F$20000,INPUT_RITASE!$A$5:$A$20000,$A1755,INPUT_RITASE!$B$5:$B$20000,$B1755,INPUT_RITASE!$C$5:$C$20000,$C1755,INPUT_RITASE!$D$5:$D$20000,$D1755))</f>
        <v/>
      </c>
      <c r="S1755" s="158">
        <f>IF($Q1755=0,0,$R1755*$P1755/$Q1755)</f>
        <v/>
      </c>
    </row>
    <row r="1756">
      <c r="A1756" s="155" t="n">
        <v>46110</v>
      </c>
      <c r="B1756" s="156" t="inlineStr">
        <is>
          <t>22-23</t>
        </is>
      </c>
      <c r="C1756" s="156" t="inlineStr">
        <is>
          <t>EX-1252</t>
        </is>
      </c>
      <c r="D1756" s="156" t="inlineStr">
        <is>
          <t>DT-506</t>
        </is>
      </c>
      <c r="E1756" s="156" t="inlineStr">
        <is>
          <t>OB</t>
        </is>
      </c>
      <c r="F1756" s="156" t="n">
        <v>4</v>
      </c>
      <c r="G1756" s="156" t="inlineStr"/>
      <c r="H1756" s="157">
        <f>IF($B1756="","",IF(ISNA(MATCH($B1756,MASTER_JAM!$Q$5:$Q$28,0)),"?",IF(MATCH($B1756,MASTER_JAM!$Q$5:$Q$28,0)&lt;=12,"DS","NS")))</f>
        <v/>
      </c>
      <c r="I1756" s="157">
        <f>IFERROR(INDEX(MASTER_JAM!$B$5:$B$94,MATCH($C1756,MASTER_JAM!$A$5:$A$94,0)),"")</f>
        <v/>
      </c>
      <c r="J1756" s="157">
        <f>IFERROR(INDEX(MASTER_JAM!$E$5:$E$94,MATCH($D1756,MASTER_JAM!$A$5:$A$94,0)),"")</f>
        <v/>
      </c>
      <c r="K1756" s="158">
        <f>IFERROR(INDEX(MASTER_JAM!$J$5:$O$12,MATCH($E1756,MASTER_JAM!$I$5:$I$12,0),MATCH($J1756,MASTER_JAM!$J$4:$O$4,0))+0,0)</f>
        <v/>
      </c>
      <c r="L1756" s="159">
        <f>N($F1756)*$K1756</f>
        <v/>
      </c>
      <c r="M1756" s="157">
        <f>IF($E1756="","",IF(OR($E1756="Coal",$E1756="Dirty Coal"),"MT","BCM"))</f>
        <v/>
      </c>
      <c r="N1756" s="157">
        <f>IF($E1756="","",IF(OR($E1756="Coal",$E1756="Dirty Coal"),"Coal","OB"))</f>
        <v/>
      </c>
      <c r="O1756" s="157">
        <f>IF($F1756="","",IF(COUNTIF(MASTER_JAM!$A$5:$A$94,$C1756)=0,"Digger tidak dikenal",IF($J1756="","Hauler tidak dikenal",IF($H1756="?","Jam salah",IF($K1756=0,"Faktor kosong",IF(SUMIFS(INPUT_DELAY!$E$5:$E$20000,INPUT_DELAY!$A$5:$A$20000,$A1756,INPUT_DELAY!$B$5:$B$20000,$B1756,INPUT_DELAY!$C$5:$C$20000,$C1756)+SUMIFS(INPUT_DELAY!$E$5:$E$20000,INPUT_DELAY!$A$5:$A$20000,$A1756,INPUT_DELAY!$B$5:$B$20000,$B1756,INPUT_DELAY!$C$5:$C$20000,"SEMUA")&gt;=60,"Delay 60 mnt tapi ada ritase","OK"))))))</f>
        <v/>
      </c>
      <c r="P1756" s="158">
        <f>IFERROR(INDEX(MASTER_JAM!$Z$5:$AC$10,MATCH($I1756,MASTER_JAM!$Y$5:$Y$10,0),MATCH($J1756,MASTER_JAM!$Z$4:$AC$4,0))+0,0)</f>
        <v/>
      </c>
      <c r="Q1756" s="158">
        <f>IF($P1756=0,0,$P1756+IFERROR(INDEX(MASTER_JAM!$H$5:$H$94,MATCH($C1756,MASTER_JAM!$A$5:$A$94,0))+0,MASTER_JAM!$AC$15)/1000*(60/MASTER_JAM!$AC$12+60/MASTER_JAM!$AC$13)+MASTER_JAM!$AC$14)</f>
        <v/>
      </c>
      <c r="R1756" s="158">
        <f>IF(N($F1756)=0,0,$F1756/SUMIFS(INPUT_RITASE!$F$5:$F$20000,INPUT_RITASE!$A$5:$A$20000,$A1756,INPUT_RITASE!$B$5:$B$20000,$B1756,INPUT_RITASE!$C$5:$C$20000,$C1756,INPUT_RITASE!$D$5:$D$20000,$D1756))</f>
        <v/>
      </c>
      <c r="S1756" s="158">
        <f>IF($Q1756=0,0,$R1756*$P1756/$Q1756)</f>
        <v/>
      </c>
    </row>
    <row r="1757">
      <c r="A1757" s="155" t="n">
        <v>46110</v>
      </c>
      <c r="B1757" s="156" t="inlineStr">
        <is>
          <t>22-23</t>
        </is>
      </c>
      <c r="C1757" s="156" t="inlineStr">
        <is>
          <t>EX-1252</t>
        </is>
      </c>
      <c r="D1757" s="156" t="inlineStr">
        <is>
          <t>DT-511</t>
        </is>
      </c>
      <c r="E1757" s="156" t="inlineStr">
        <is>
          <t>OB</t>
        </is>
      </c>
      <c r="F1757" s="156" t="n">
        <v>4</v>
      </c>
      <c r="G1757" s="156" t="inlineStr"/>
      <c r="H1757" s="157">
        <f>IF($B1757="","",IF(ISNA(MATCH($B1757,MASTER_JAM!$Q$5:$Q$28,0)),"?",IF(MATCH($B1757,MASTER_JAM!$Q$5:$Q$28,0)&lt;=12,"DS","NS")))</f>
        <v/>
      </c>
      <c r="I1757" s="157">
        <f>IFERROR(INDEX(MASTER_JAM!$B$5:$B$94,MATCH($C1757,MASTER_JAM!$A$5:$A$94,0)),"")</f>
        <v/>
      </c>
      <c r="J1757" s="157">
        <f>IFERROR(INDEX(MASTER_JAM!$E$5:$E$94,MATCH($D1757,MASTER_JAM!$A$5:$A$94,0)),"")</f>
        <v/>
      </c>
      <c r="K1757" s="158">
        <f>IFERROR(INDEX(MASTER_JAM!$J$5:$O$12,MATCH($E1757,MASTER_JAM!$I$5:$I$12,0),MATCH($J1757,MASTER_JAM!$J$4:$O$4,0))+0,0)</f>
        <v/>
      </c>
      <c r="L1757" s="159">
        <f>N($F1757)*$K1757</f>
        <v/>
      </c>
      <c r="M1757" s="157">
        <f>IF($E1757="","",IF(OR($E1757="Coal",$E1757="Dirty Coal"),"MT","BCM"))</f>
        <v/>
      </c>
      <c r="N1757" s="157">
        <f>IF($E1757="","",IF(OR($E1757="Coal",$E1757="Dirty Coal"),"Coal","OB"))</f>
        <v/>
      </c>
      <c r="O1757" s="157">
        <f>IF($F1757="","",IF(COUNTIF(MASTER_JAM!$A$5:$A$94,$C1757)=0,"Digger tidak dikenal",IF($J1757="","Hauler tidak dikenal",IF($H1757="?","Jam salah",IF($K1757=0,"Faktor kosong",IF(SUMIFS(INPUT_DELAY!$E$5:$E$20000,INPUT_DELAY!$A$5:$A$20000,$A1757,INPUT_DELAY!$B$5:$B$20000,$B1757,INPUT_DELAY!$C$5:$C$20000,$C1757)+SUMIFS(INPUT_DELAY!$E$5:$E$20000,INPUT_DELAY!$A$5:$A$20000,$A1757,INPUT_DELAY!$B$5:$B$20000,$B1757,INPUT_DELAY!$C$5:$C$20000,"SEMUA")&gt;=60,"Delay 60 mnt tapi ada ritase","OK"))))))</f>
        <v/>
      </c>
      <c r="P1757" s="158">
        <f>IFERROR(INDEX(MASTER_JAM!$Z$5:$AC$10,MATCH($I1757,MASTER_JAM!$Y$5:$Y$10,0),MATCH($J1757,MASTER_JAM!$Z$4:$AC$4,0))+0,0)</f>
        <v/>
      </c>
      <c r="Q1757" s="158">
        <f>IF($P1757=0,0,$P1757+IFERROR(INDEX(MASTER_JAM!$H$5:$H$94,MATCH($C1757,MASTER_JAM!$A$5:$A$94,0))+0,MASTER_JAM!$AC$15)/1000*(60/MASTER_JAM!$AC$12+60/MASTER_JAM!$AC$13)+MASTER_JAM!$AC$14)</f>
        <v/>
      </c>
      <c r="R1757" s="158">
        <f>IF(N($F1757)=0,0,$F1757/SUMIFS(INPUT_RITASE!$F$5:$F$20000,INPUT_RITASE!$A$5:$A$20000,$A1757,INPUT_RITASE!$B$5:$B$20000,$B1757,INPUT_RITASE!$C$5:$C$20000,$C1757,INPUT_RITASE!$D$5:$D$20000,$D1757))</f>
        <v/>
      </c>
      <c r="S1757" s="158">
        <f>IF($Q1757=0,0,$R1757*$P1757/$Q1757)</f>
        <v/>
      </c>
    </row>
    <row r="1758">
      <c r="A1758" s="155" t="n">
        <v>46110</v>
      </c>
      <c r="B1758" s="156" t="inlineStr">
        <is>
          <t>22-23</t>
        </is>
      </c>
      <c r="C1758" s="156" t="inlineStr">
        <is>
          <t>EX-1252</t>
        </is>
      </c>
      <c r="D1758" s="156" t="inlineStr">
        <is>
          <t>DT-512</t>
        </is>
      </c>
      <c r="E1758" s="156" t="inlineStr">
        <is>
          <t>OB</t>
        </is>
      </c>
      <c r="F1758" s="156" t="n">
        <v>4</v>
      </c>
      <c r="G1758" s="156" t="inlineStr"/>
      <c r="H1758" s="157">
        <f>IF($B1758="","",IF(ISNA(MATCH($B1758,MASTER_JAM!$Q$5:$Q$28,0)),"?",IF(MATCH($B1758,MASTER_JAM!$Q$5:$Q$28,0)&lt;=12,"DS","NS")))</f>
        <v/>
      </c>
      <c r="I1758" s="157">
        <f>IFERROR(INDEX(MASTER_JAM!$B$5:$B$94,MATCH($C1758,MASTER_JAM!$A$5:$A$94,0)),"")</f>
        <v/>
      </c>
      <c r="J1758" s="157">
        <f>IFERROR(INDEX(MASTER_JAM!$E$5:$E$94,MATCH($D1758,MASTER_JAM!$A$5:$A$94,0)),"")</f>
        <v/>
      </c>
      <c r="K1758" s="158">
        <f>IFERROR(INDEX(MASTER_JAM!$J$5:$O$12,MATCH($E1758,MASTER_JAM!$I$5:$I$12,0),MATCH($J1758,MASTER_JAM!$J$4:$O$4,0))+0,0)</f>
        <v/>
      </c>
      <c r="L1758" s="159">
        <f>N($F1758)*$K1758</f>
        <v/>
      </c>
      <c r="M1758" s="157">
        <f>IF($E1758="","",IF(OR($E1758="Coal",$E1758="Dirty Coal"),"MT","BCM"))</f>
        <v/>
      </c>
      <c r="N1758" s="157">
        <f>IF($E1758="","",IF(OR($E1758="Coal",$E1758="Dirty Coal"),"Coal","OB"))</f>
        <v/>
      </c>
      <c r="O1758" s="157">
        <f>IF($F1758="","",IF(COUNTIF(MASTER_JAM!$A$5:$A$94,$C1758)=0,"Digger tidak dikenal",IF($J1758="","Hauler tidak dikenal",IF($H1758="?","Jam salah",IF($K1758=0,"Faktor kosong",IF(SUMIFS(INPUT_DELAY!$E$5:$E$20000,INPUT_DELAY!$A$5:$A$20000,$A1758,INPUT_DELAY!$B$5:$B$20000,$B1758,INPUT_DELAY!$C$5:$C$20000,$C1758)+SUMIFS(INPUT_DELAY!$E$5:$E$20000,INPUT_DELAY!$A$5:$A$20000,$A1758,INPUT_DELAY!$B$5:$B$20000,$B1758,INPUT_DELAY!$C$5:$C$20000,"SEMUA")&gt;=60,"Delay 60 mnt tapi ada ritase","OK"))))))</f>
        <v/>
      </c>
      <c r="P1758" s="158">
        <f>IFERROR(INDEX(MASTER_JAM!$Z$5:$AC$10,MATCH($I1758,MASTER_JAM!$Y$5:$Y$10,0),MATCH($J1758,MASTER_JAM!$Z$4:$AC$4,0))+0,0)</f>
        <v/>
      </c>
      <c r="Q1758" s="158">
        <f>IF($P1758=0,0,$P1758+IFERROR(INDEX(MASTER_JAM!$H$5:$H$94,MATCH($C1758,MASTER_JAM!$A$5:$A$94,0))+0,MASTER_JAM!$AC$15)/1000*(60/MASTER_JAM!$AC$12+60/MASTER_JAM!$AC$13)+MASTER_JAM!$AC$14)</f>
        <v/>
      </c>
      <c r="R1758" s="158">
        <f>IF(N($F1758)=0,0,$F1758/SUMIFS(INPUT_RITASE!$F$5:$F$20000,INPUT_RITASE!$A$5:$A$20000,$A1758,INPUT_RITASE!$B$5:$B$20000,$B1758,INPUT_RITASE!$C$5:$C$20000,$C1758,INPUT_RITASE!$D$5:$D$20000,$D1758))</f>
        <v/>
      </c>
      <c r="S1758" s="158">
        <f>IF($Q1758=0,0,$R1758*$P1758/$Q1758)</f>
        <v/>
      </c>
    </row>
    <row r="1759">
      <c r="A1759" s="155" t="n">
        <v>46110</v>
      </c>
      <c r="B1759" s="156" t="inlineStr">
        <is>
          <t>23-24</t>
        </is>
      </c>
      <c r="C1759" s="156" t="inlineStr">
        <is>
          <t>EX-1252</t>
        </is>
      </c>
      <c r="D1759" s="156" t="inlineStr">
        <is>
          <t>DT-501</t>
        </is>
      </c>
      <c r="E1759" s="156" t="inlineStr">
        <is>
          <t>OB</t>
        </is>
      </c>
      <c r="F1759" s="156" t="n">
        <v>4</v>
      </c>
      <c r="G1759" s="156" t="inlineStr"/>
      <c r="H1759" s="157">
        <f>IF($B1759="","",IF(ISNA(MATCH($B1759,MASTER_JAM!$Q$5:$Q$28,0)),"?",IF(MATCH($B1759,MASTER_JAM!$Q$5:$Q$28,0)&lt;=12,"DS","NS")))</f>
        <v/>
      </c>
      <c r="I1759" s="157">
        <f>IFERROR(INDEX(MASTER_JAM!$B$5:$B$94,MATCH($C1759,MASTER_JAM!$A$5:$A$94,0)),"")</f>
        <v/>
      </c>
      <c r="J1759" s="157">
        <f>IFERROR(INDEX(MASTER_JAM!$E$5:$E$94,MATCH($D1759,MASTER_JAM!$A$5:$A$94,0)),"")</f>
        <v/>
      </c>
      <c r="K1759" s="158">
        <f>IFERROR(INDEX(MASTER_JAM!$J$5:$O$12,MATCH($E1759,MASTER_JAM!$I$5:$I$12,0),MATCH($J1759,MASTER_JAM!$J$4:$O$4,0))+0,0)</f>
        <v/>
      </c>
      <c r="L1759" s="159">
        <f>N($F1759)*$K1759</f>
        <v/>
      </c>
      <c r="M1759" s="157">
        <f>IF($E1759="","",IF(OR($E1759="Coal",$E1759="Dirty Coal"),"MT","BCM"))</f>
        <v/>
      </c>
      <c r="N1759" s="157">
        <f>IF($E1759="","",IF(OR($E1759="Coal",$E1759="Dirty Coal"),"Coal","OB"))</f>
        <v/>
      </c>
      <c r="O1759" s="157">
        <f>IF($F1759="","",IF(COUNTIF(MASTER_JAM!$A$5:$A$94,$C1759)=0,"Digger tidak dikenal",IF($J1759="","Hauler tidak dikenal",IF($H1759="?","Jam salah",IF($K1759=0,"Faktor kosong",IF(SUMIFS(INPUT_DELAY!$E$5:$E$20000,INPUT_DELAY!$A$5:$A$20000,$A1759,INPUT_DELAY!$B$5:$B$20000,$B1759,INPUT_DELAY!$C$5:$C$20000,$C1759)+SUMIFS(INPUT_DELAY!$E$5:$E$20000,INPUT_DELAY!$A$5:$A$20000,$A1759,INPUT_DELAY!$B$5:$B$20000,$B1759,INPUT_DELAY!$C$5:$C$20000,"SEMUA")&gt;=60,"Delay 60 mnt tapi ada ritase","OK"))))))</f>
        <v/>
      </c>
      <c r="P1759" s="158">
        <f>IFERROR(INDEX(MASTER_JAM!$Z$5:$AC$10,MATCH($I1759,MASTER_JAM!$Y$5:$Y$10,0),MATCH($J1759,MASTER_JAM!$Z$4:$AC$4,0))+0,0)</f>
        <v/>
      </c>
      <c r="Q1759" s="158">
        <f>IF($P1759=0,0,$P1759+IFERROR(INDEX(MASTER_JAM!$H$5:$H$94,MATCH($C1759,MASTER_JAM!$A$5:$A$94,0))+0,MASTER_JAM!$AC$15)/1000*(60/MASTER_JAM!$AC$12+60/MASTER_JAM!$AC$13)+MASTER_JAM!$AC$14)</f>
        <v/>
      </c>
      <c r="R1759" s="158">
        <f>IF(N($F1759)=0,0,$F1759/SUMIFS(INPUT_RITASE!$F$5:$F$20000,INPUT_RITASE!$A$5:$A$20000,$A1759,INPUT_RITASE!$B$5:$B$20000,$B1759,INPUT_RITASE!$C$5:$C$20000,$C1759,INPUT_RITASE!$D$5:$D$20000,$D1759))</f>
        <v/>
      </c>
      <c r="S1759" s="158">
        <f>IF($Q1759=0,0,$R1759*$P1759/$Q1759)</f>
        <v/>
      </c>
    </row>
    <row r="1760">
      <c r="A1760" s="155" t="n">
        <v>46110</v>
      </c>
      <c r="B1760" s="156" t="inlineStr">
        <is>
          <t>23-24</t>
        </is>
      </c>
      <c r="C1760" s="156" t="inlineStr">
        <is>
          <t>EX-1252</t>
        </is>
      </c>
      <c r="D1760" s="156" t="inlineStr">
        <is>
          <t>DT-503</t>
        </is>
      </c>
      <c r="E1760" s="156" t="inlineStr">
        <is>
          <t>OB</t>
        </is>
      </c>
      <c r="F1760" s="156" t="n">
        <v>4</v>
      </c>
      <c r="G1760" s="156" t="inlineStr"/>
      <c r="H1760" s="157">
        <f>IF($B1760="","",IF(ISNA(MATCH($B1760,MASTER_JAM!$Q$5:$Q$28,0)),"?",IF(MATCH($B1760,MASTER_JAM!$Q$5:$Q$28,0)&lt;=12,"DS","NS")))</f>
        <v/>
      </c>
      <c r="I1760" s="157">
        <f>IFERROR(INDEX(MASTER_JAM!$B$5:$B$94,MATCH($C1760,MASTER_JAM!$A$5:$A$94,0)),"")</f>
        <v/>
      </c>
      <c r="J1760" s="157">
        <f>IFERROR(INDEX(MASTER_JAM!$E$5:$E$94,MATCH($D1760,MASTER_JAM!$A$5:$A$94,0)),"")</f>
        <v/>
      </c>
      <c r="K1760" s="158">
        <f>IFERROR(INDEX(MASTER_JAM!$J$5:$O$12,MATCH($E1760,MASTER_JAM!$I$5:$I$12,0),MATCH($J1760,MASTER_JAM!$J$4:$O$4,0))+0,0)</f>
        <v/>
      </c>
      <c r="L1760" s="159">
        <f>N($F1760)*$K1760</f>
        <v/>
      </c>
      <c r="M1760" s="157">
        <f>IF($E1760="","",IF(OR($E1760="Coal",$E1760="Dirty Coal"),"MT","BCM"))</f>
        <v/>
      </c>
      <c r="N1760" s="157">
        <f>IF($E1760="","",IF(OR($E1760="Coal",$E1760="Dirty Coal"),"Coal","OB"))</f>
        <v/>
      </c>
      <c r="O1760" s="157">
        <f>IF($F1760="","",IF(COUNTIF(MASTER_JAM!$A$5:$A$94,$C1760)=0,"Digger tidak dikenal",IF($J1760="","Hauler tidak dikenal",IF($H1760="?","Jam salah",IF($K1760=0,"Faktor kosong",IF(SUMIFS(INPUT_DELAY!$E$5:$E$20000,INPUT_DELAY!$A$5:$A$20000,$A1760,INPUT_DELAY!$B$5:$B$20000,$B1760,INPUT_DELAY!$C$5:$C$20000,$C1760)+SUMIFS(INPUT_DELAY!$E$5:$E$20000,INPUT_DELAY!$A$5:$A$20000,$A1760,INPUT_DELAY!$B$5:$B$20000,$B1760,INPUT_DELAY!$C$5:$C$20000,"SEMUA")&gt;=60,"Delay 60 mnt tapi ada ritase","OK"))))))</f>
        <v/>
      </c>
      <c r="P1760" s="158">
        <f>IFERROR(INDEX(MASTER_JAM!$Z$5:$AC$10,MATCH($I1760,MASTER_JAM!$Y$5:$Y$10,0),MATCH($J1760,MASTER_JAM!$Z$4:$AC$4,0))+0,0)</f>
        <v/>
      </c>
      <c r="Q1760" s="158">
        <f>IF($P1760=0,0,$P1760+IFERROR(INDEX(MASTER_JAM!$H$5:$H$94,MATCH($C1760,MASTER_JAM!$A$5:$A$94,0))+0,MASTER_JAM!$AC$15)/1000*(60/MASTER_JAM!$AC$12+60/MASTER_JAM!$AC$13)+MASTER_JAM!$AC$14)</f>
        <v/>
      </c>
      <c r="R1760" s="158">
        <f>IF(N($F1760)=0,0,$F1760/SUMIFS(INPUT_RITASE!$F$5:$F$20000,INPUT_RITASE!$A$5:$A$20000,$A1760,INPUT_RITASE!$B$5:$B$20000,$B1760,INPUT_RITASE!$C$5:$C$20000,$C1760,INPUT_RITASE!$D$5:$D$20000,$D1760))</f>
        <v/>
      </c>
      <c r="S1760" s="158">
        <f>IF($Q1760=0,0,$R1760*$P1760/$Q1760)</f>
        <v/>
      </c>
    </row>
    <row r="1761">
      <c r="A1761" s="155" t="n">
        <v>46110</v>
      </c>
      <c r="B1761" s="156" t="inlineStr">
        <is>
          <t>23-24</t>
        </is>
      </c>
      <c r="C1761" s="156" t="inlineStr">
        <is>
          <t>EX-1252</t>
        </is>
      </c>
      <c r="D1761" s="156" t="inlineStr">
        <is>
          <t>DT-528</t>
        </is>
      </c>
      <c r="E1761" s="156" t="inlineStr">
        <is>
          <t>OB</t>
        </is>
      </c>
      <c r="F1761" s="156" t="n">
        <v>4</v>
      </c>
      <c r="G1761" s="156" t="inlineStr"/>
      <c r="H1761" s="157">
        <f>IF($B1761="","",IF(ISNA(MATCH($B1761,MASTER_JAM!$Q$5:$Q$28,0)),"?",IF(MATCH($B1761,MASTER_JAM!$Q$5:$Q$28,0)&lt;=12,"DS","NS")))</f>
        <v/>
      </c>
      <c r="I1761" s="157">
        <f>IFERROR(INDEX(MASTER_JAM!$B$5:$B$94,MATCH($C1761,MASTER_JAM!$A$5:$A$94,0)),"")</f>
        <v/>
      </c>
      <c r="J1761" s="157">
        <f>IFERROR(INDEX(MASTER_JAM!$E$5:$E$94,MATCH($D1761,MASTER_JAM!$A$5:$A$94,0)),"")</f>
        <v/>
      </c>
      <c r="K1761" s="158">
        <f>IFERROR(INDEX(MASTER_JAM!$J$5:$O$12,MATCH($E1761,MASTER_JAM!$I$5:$I$12,0),MATCH($J1761,MASTER_JAM!$J$4:$O$4,0))+0,0)</f>
        <v/>
      </c>
      <c r="L1761" s="159">
        <f>N($F1761)*$K1761</f>
        <v/>
      </c>
      <c r="M1761" s="157">
        <f>IF($E1761="","",IF(OR($E1761="Coal",$E1761="Dirty Coal"),"MT","BCM"))</f>
        <v/>
      </c>
      <c r="N1761" s="157">
        <f>IF($E1761="","",IF(OR($E1761="Coal",$E1761="Dirty Coal"),"Coal","OB"))</f>
        <v/>
      </c>
      <c r="O1761" s="157">
        <f>IF($F1761="","",IF(COUNTIF(MASTER_JAM!$A$5:$A$94,$C1761)=0,"Digger tidak dikenal",IF($J1761="","Hauler tidak dikenal",IF($H1761="?","Jam salah",IF($K1761=0,"Faktor kosong",IF(SUMIFS(INPUT_DELAY!$E$5:$E$20000,INPUT_DELAY!$A$5:$A$20000,$A1761,INPUT_DELAY!$B$5:$B$20000,$B1761,INPUT_DELAY!$C$5:$C$20000,$C1761)+SUMIFS(INPUT_DELAY!$E$5:$E$20000,INPUT_DELAY!$A$5:$A$20000,$A1761,INPUT_DELAY!$B$5:$B$20000,$B1761,INPUT_DELAY!$C$5:$C$20000,"SEMUA")&gt;=60,"Delay 60 mnt tapi ada ritase","OK"))))))</f>
        <v/>
      </c>
      <c r="P1761" s="158">
        <f>IFERROR(INDEX(MASTER_JAM!$Z$5:$AC$10,MATCH($I1761,MASTER_JAM!$Y$5:$Y$10,0),MATCH($J1761,MASTER_JAM!$Z$4:$AC$4,0))+0,0)</f>
        <v/>
      </c>
      <c r="Q1761" s="158">
        <f>IF($P1761=0,0,$P1761+IFERROR(INDEX(MASTER_JAM!$H$5:$H$94,MATCH($C1761,MASTER_JAM!$A$5:$A$94,0))+0,MASTER_JAM!$AC$15)/1000*(60/MASTER_JAM!$AC$12+60/MASTER_JAM!$AC$13)+MASTER_JAM!$AC$14)</f>
        <v/>
      </c>
      <c r="R1761" s="158">
        <f>IF(N($F1761)=0,0,$F1761/SUMIFS(INPUT_RITASE!$F$5:$F$20000,INPUT_RITASE!$A$5:$A$20000,$A1761,INPUT_RITASE!$B$5:$B$20000,$B1761,INPUT_RITASE!$C$5:$C$20000,$C1761,INPUT_RITASE!$D$5:$D$20000,$D1761))</f>
        <v/>
      </c>
      <c r="S1761" s="158">
        <f>IF($Q1761=0,0,$R1761*$P1761/$Q1761)</f>
        <v/>
      </c>
    </row>
    <row r="1762">
      <c r="A1762" s="155" t="n">
        <v>46110</v>
      </c>
      <c r="B1762" s="156" t="inlineStr">
        <is>
          <t>23-24</t>
        </is>
      </c>
      <c r="C1762" s="156" t="inlineStr">
        <is>
          <t>EX-1252</t>
        </is>
      </c>
      <c r="D1762" s="156" t="inlineStr">
        <is>
          <t>DT-517</t>
        </is>
      </c>
      <c r="E1762" s="156" t="inlineStr">
        <is>
          <t>OB</t>
        </is>
      </c>
      <c r="F1762" s="156" t="n">
        <v>4</v>
      </c>
      <c r="G1762" s="156" t="inlineStr"/>
      <c r="H1762" s="157">
        <f>IF($B1762="","",IF(ISNA(MATCH($B1762,MASTER_JAM!$Q$5:$Q$28,0)),"?",IF(MATCH($B1762,MASTER_JAM!$Q$5:$Q$28,0)&lt;=12,"DS","NS")))</f>
        <v/>
      </c>
      <c r="I1762" s="157">
        <f>IFERROR(INDEX(MASTER_JAM!$B$5:$B$94,MATCH($C1762,MASTER_JAM!$A$5:$A$94,0)),"")</f>
        <v/>
      </c>
      <c r="J1762" s="157">
        <f>IFERROR(INDEX(MASTER_JAM!$E$5:$E$94,MATCH($D1762,MASTER_JAM!$A$5:$A$94,0)),"")</f>
        <v/>
      </c>
      <c r="K1762" s="158">
        <f>IFERROR(INDEX(MASTER_JAM!$J$5:$O$12,MATCH($E1762,MASTER_JAM!$I$5:$I$12,0),MATCH($J1762,MASTER_JAM!$J$4:$O$4,0))+0,0)</f>
        <v/>
      </c>
      <c r="L1762" s="159">
        <f>N($F1762)*$K1762</f>
        <v/>
      </c>
      <c r="M1762" s="157">
        <f>IF($E1762="","",IF(OR($E1762="Coal",$E1762="Dirty Coal"),"MT","BCM"))</f>
        <v/>
      </c>
      <c r="N1762" s="157">
        <f>IF($E1762="","",IF(OR($E1762="Coal",$E1762="Dirty Coal"),"Coal","OB"))</f>
        <v/>
      </c>
      <c r="O1762" s="157">
        <f>IF($F1762="","",IF(COUNTIF(MASTER_JAM!$A$5:$A$94,$C1762)=0,"Digger tidak dikenal",IF($J1762="","Hauler tidak dikenal",IF($H1762="?","Jam salah",IF($K1762=0,"Faktor kosong",IF(SUMIFS(INPUT_DELAY!$E$5:$E$20000,INPUT_DELAY!$A$5:$A$20000,$A1762,INPUT_DELAY!$B$5:$B$20000,$B1762,INPUT_DELAY!$C$5:$C$20000,$C1762)+SUMIFS(INPUT_DELAY!$E$5:$E$20000,INPUT_DELAY!$A$5:$A$20000,$A1762,INPUT_DELAY!$B$5:$B$20000,$B1762,INPUT_DELAY!$C$5:$C$20000,"SEMUA")&gt;=60,"Delay 60 mnt tapi ada ritase","OK"))))))</f>
        <v/>
      </c>
      <c r="P1762" s="158">
        <f>IFERROR(INDEX(MASTER_JAM!$Z$5:$AC$10,MATCH($I1762,MASTER_JAM!$Y$5:$Y$10,0),MATCH($J1762,MASTER_JAM!$Z$4:$AC$4,0))+0,0)</f>
        <v/>
      </c>
      <c r="Q1762" s="158">
        <f>IF($P1762=0,0,$P1762+IFERROR(INDEX(MASTER_JAM!$H$5:$H$94,MATCH($C1762,MASTER_JAM!$A$5:$A$94,0))+0,MASTER_JAM!$AC$15)/1000*(60/MASTER_JAM!$AC$12+60/MASTER_JAM!$AC$13)+MASTER_JAM!$AC$14)</f>
        <v/>
      </c>
      <c r="R1762" s="158">
        <f>IF(N($F1762)=0,0,$F1762/SUMIFS(INPUT_RITASE!$F$5:$F$20000,INPUT_RITASE!$A$5:$A$20000,$A1762,INPUT_RITASE!$B$5:$B$20000,$B1762,INPUT_RITASE!$C$5:$C$20000,$C1762,INPUT_RITASE!$D$5:$D$20000,$D1762))</f>
        <v/>
      </c>
      <c r="S1762" s="158">
        <f>IF($Q1762=0,0,$R1762*$P1762/$Q1762)</f>
        <v/>
      </c>
    </row>
    <row r="1763">
      <c r="A1763" s="155" t="n">
        <v>46110</v>
      </c>
      <c r="B1763" s="156" t="inlineStr">
        <is>
          <t>23-24</t>
        </is>
      </c>
      <c r="C1763" s="156" t="inlineStr">
        <is>
          <t>EX-1252</t>
        </is>
      </c>
      <c r="D1763" s="156" t="inlineStr">
        <is>
          <t>DT-516</t>
        </is>
      </c>
      <c r="E1763" s="156" t="inlineStr">
        <is>
          <t>OB</t>
        </is>
      </c>
      <c r="F1763" s="156" t="n">
        <v>4</v>
      </c>
      <c r="G1763" s="156" t="inlineStr"/>
      <c r="H1763" s="157">
        <f>IF($B1763="","",IF(ISNA(MATCH($B1763,MASTER_JAM!$Q$5:$Q$28,0)),"?",IF(MATCH($B1763,MASTER_JAM!$Q$5:$Q$28,0)&lt;=12,"DS","NS")))</f>
        <v/>
      </c>
      <c r="I1763" s="157">
        <f>IFERROR(INDEX(MASTER_JAM!$B$5:$B$94,MATCH($C1763,MASTER_JAM!$A$5:$A$94,0)),"")</f>
        <v/>
      </c>
      <c r="J1763" s="157">
        <f>IFERROR(INDEX(MASTER_JAM!$E$5:$E$94,MATCH($D1763,MASTER_JAM!$A$5:$A$94,0)),"")</f>
        <v/>
      </c>
      <c r="K1763" s="158">
        <f>IFERROR(INDEX(MASTER_JAM!$J$5:$O$12,MATCH($E1763,MASTER_JAM!$I$5:$I$12,0),MATCH($J1763,MASTER_JAM!$J$4:$O$4,0))+0,0)</f>
        <v/>
      </c>
      <c r="L1763" s="159">
        <f>N($F1763)*$K1763</f>
        <v/>
      </c>
      <c r="M1763" s="157">
        <f>IF($E1763="","",IF(OR($E1763="Coal",$E1763="Dirty Coal"),"MT","BCM"))</f>
        <v/>
      </c>
      <c r="N1763" s="157">
        <f>IF($E1763="","",IF(OR($E1763="Coal",$E1763="Dirty Coal"),"Coal","OB"))</f>
        <v/>
      </c>
      <c r="O1763" s="157">
        <f>IF($F1763="","",IF(COUNTIF(MASTER_JAM!$A$5:$A$94,$C1763)=0,"Digger tidak dikenal",IF($J1763="","Hauler tidak dikenal",IF($H1763="?","Jam salah",IF($K1763=0,"Faktor kosong",IF(SUMIFS(INPUT_DELAY!$E$5:$E$20000,INPUT_DELAY!$A$5:$A$20000,$A1763,INPUT_DELAY!$B$5:$B$20000,$B1763,INPUT_DELAY!$C$5:$C$20000,$C1763)+SUMIFS(INPUT_DELAY!$E$5:$E$20000,INPUT_DELAY!$A$5:$A$20000,$A1763,INPUT_DELAY!$B$5:$B$20000,$B1763,INPUT_DELAY!$C$5:$C$20000,"SEMUA")&gt;=60,"Delay 60 mnt tapi ada ritase","OK"))))))</f>
        <v/>
      </c>
      <c r="P1763" s="158">
        <f>IFERROR(INDEX(MASTER_JAM!$Z$5:$AC$10,MATCH($I1763,MASTER_JAM!$Y$5:$Y$10,0),MATCH($J1763,MASTER_JAM!$Z$4:$AC$4,0))+0,0)</f>
        <v/>
      </c>
      <c r="Q1763" s="158">
        <f>IF($P1763=0,0,$P1763+IFERROR(INDEX(MASTER_JAM!$H$5:$H$94,MATCH($C1763,MASTER_JAM!$A$5:$A$94,0))+0,MASTER_JAM!$AC$15)/1000*(60/MASTER_JAM!$AC$12+60/MASTER_JAM!$AC$13)+MASTER_JAM!$AC$14)</f>
        <v/>
      </c>
      <c r="R1763" s="158">
        <f>IF(N($F1763)=0,0,$F1763/SUMIFS(INPUT_RITASE!$F$5:$F$20000,INPUT_RITASE!$A$5:$A$20000,$A1763,INPUT_RITASE!$B$5:$B$20000,$B1763,INPUT_RITASE!$C$5:$C$20000,$C1763,INPUT_RITASE!$D$5:$D$20000,$D1763))</f>
        <v/>
      </c>
      <c r="S1763" s="158">
        <f>IF($Q1763=0,0,$R1763*$P1763/$Q1763)</f>
        <v/>
      </c>
    </row>
    <row r="1764">
      <c r="A1764" s="155" t="n">
        <v>46110</v>
      </c>
      <c r="B1764" s="156" t="inlineStr">
        <is>
          <t>23-24</t>
        </is>
      </c>
      <c r="C1764" s="156" t="inlineStr">
        <is>
          <t>EX-1252</t>
        </is>
      </c>
      <c r="D1764" s="156" t="inlineStr">
        <is>
          <t>DT-505</t>
        </is>
      </c>
      <c r="E1764" s="156" t="inlineStr">
        <is>
          <t>OB</t>
        </is>
      </c>
      <c r="F1764" s="156" t="n">
        <v>4</v>
      </c>
      <c r="G1764" s="156" t="inlineStr"/>
      <c r="H1764" s="157">
        <f>IF($B1764="","",IF(ISNA(MATCH($B1764,MASTER_JAM!$Q$5:$Q$28,0)),"?",IF(MATCH($B1764,MASTER_JAM!$Q$5:$Q$28,0)&lt;=12,"DS","NS")))</f>
        <v/>
      </c>
      <c r="I1764" s="157">
        <f>IFERROR(INDEX(MASTER_JAM!$B$5:$B$94,MATCH($C1764,MASTER_JAM!$A$5:$A$94,0)),"")</f>
        <v/>
      </c>
      <c r="J1764" s="157">
        <f>IFERROR(INDEX(MASTER_JAM!$E$5:$E$94,MATCH($D1764,MASTER_JAM!$A$5:$A$94,0)),"")</f>
        <v/>
      </c>
      <c r="K1764" s="158">
        <f>IFERROR(INDEX(MASTER_JAM!$J$5:$O$12,MATCH($E1764,MASTER_JAM!$I$5:$I$12,0),MATCH($J1764,MASTER_JAM!$J$4:$O$4,0))+0,0)</f>
        <v/>
      </c>
      <c r="L1764" s="159">
        <f>N($F1764)*$K1764</f>
        <v/>
      </c>
      <c r="M1764" s="157">
        <f>IF($E1764="","",IF(OR($E1764="Coal",$E1764="Dirty Coal"),"MT","BCM"))</f>
        <v/>
      </c>
      <c r="N1764" s="157">
        <f>IF($E1764="","",IF(OR($E1764="Coal",$E1764="Dirty Coal"),"Coal","OB"))</f>
        <v/>
      </c>
      <c r="O1764" s="157">
        <f>IF($F1764="","",IF(COUNTIF(MASTER_JAM!$A$5:$A$94,$C1764)=0,"Digger tidak dikenal",IF($J1764="","Hauler tidak dikenal",IF($H1764="?","Jam salah",IF($K1764=0,"Faktor kosong",IF(SUMIFS(INPUT_DELAY!$E$5:$E$20000,INPUT_DELAY!$A$5:$A$20000,$A1764,INPUT_DELAY!$B$5:$B$20000,$B1764,INPUT_DELAY!$C$5:$C$20000,$C1764)+SUMIFS(INPUT_DELAY!$E$5:$E$20000,INPUT_DELAY!$A$5:$A$20000,$A1764,INPUT_DELAY!$B$5:$B$20000,$B1764,INPUT_DELAY!$C$5:$C$20000,"SEMUA")&gt;=60,"Delay 60 mnt tapi ada ritase","OK"))))))</f>
        <v/>
      </c>
      <c r="P1764" s="158">
        <f>IFERROR(INDEX(MASTER_JAM!$Z$5:$AC$10,MATCH($I1764,MASTER_JAM!$Y$5:$Y$10,0),MATCH($J1764,MASTER_JAM!$Z$4:$AC$4,0))+0,0)</f>
        <v/>
      </c>
      <c r="Q1764" s="158">
        <f>IF($P1764=0,0,$P1764+IFERROR(INDEX(MASTER_JAM!$H$5:$H$94,MATCH($C1764,MASTER_JAM!$A$5:$A$94,0))+0,MASTER_JAM!$AC$15)/1000*(60/MASTER_JAM!$AC$12+60/MASTER_JAM!$AC$13)+MASTER_JAM!$AC$14)</f>
        <v/>
      </c>
      <c r="R1764" s="158">
        <f>IF(N($F1764)=0,0,$F1764/SUMIFS(INPUT_RITASE!$F$5:$F$20000,INPUT_RITASE!$A$5:$A$20000,$A1764,INPUT_RITASE!$B$5:$B$20000,$B1764,INPUT_RITASE!$C$5:$C$20000,$C1764,INPUT_RITASE!$D$5:$D$20000,$D1764))</f>
        <v/>
      </c>
      <c r="S1764" s="158">
        <f>IF($Q1764=0,0,$R1764*$P1764/$Q1764)</f>
        <v/>
      </c>
    </row>
    <row r="1765">
      <c r="A1765" s="155" t="n">
        <v>46110</v>
      </c>
      <c r="B1765" s="156" t="inlineStr">
        <is>
          <t>23-24</t>
        </is>
      </c>
      <c r="C1765" s="156" t="inlineStr">
        <is>
          <t>EX-1252</t>
        </is>
      </c>
      <c r="D1765" s="156" t="inlineStr">
        <is>
          <t>DT-522</t>
        </is>
      </c>
      <c r="E1765" s="156" t="inlineStr">
        <is>
          <t>OB</t>
        </is>
      </c>
      <c r="F1765" s="156" t="n">
        <v>4</v>
      </c>
      <c r="G1765" s="156" t="inlineStr"/>
      <c r="H1765" s="157">
        <f>IF($B1765="","",IF(ISNA(MATCH($B1765,MASTER_JAM!$Q$5:$Q$28,0)),"?",IF(MATCH($B1765,MASTER_JAM!$Q$5:$Q$28,0)&lt;=12,"DS","NS")))</f>
        <v/>
      </c>
      <c r="I1765" s="157">
        <f>IFERROR(INDEX(MASTER_JAM!$B$5:$B$94,MATCH($C1765,MASTER_JAM!$A$5:$A$94,0)),"")</f>
        <v/>
      </c>
      <c r="J1765" s="157">
        <f>IFERROR(INDEX(MASTER_JAM!$E$5:$E$94,MATCH($D1765,MASTER_JAM!$A$5:$A$94,0)),"")</f>
        <v/>
      </c>
      <c r="K1765" s="158">
        <f>IFERROR(INDEX(MASTER_JAM!$J$5:$O$12,MATCH($E1765,MASTER_JAM!$I$5:$I$12,0),MATCH($J1765,MASTER_JAM!$J$4:$O$4,0))+0,0)</f>
        <v/>
      </c>
      <c r="L1765" s="159">
        <f>N($F1765)*$K1765</f>
        <v/>
      </c>
      <c r="M1765" s="157">
        <f>IF($E1765="","",IF(OR($E1765="Coal",$E1765="Dirty Coal"),"MT","BCM"))</f>
        <v/>
      </c>
      <c r="N1765" s="157">
        <f>IF($E1765="","",IF(OR($E1765="Coal",$E1765="Dirty Coal"),"Coal","OB"))</f>
        <v/>
      </c>
      <c r="O1765" s="157">
        <f>IF($F1765="","",IF(COUNTIF(MASTER_JAM!$A$5:$A$94,$C1765)=0,"Digger tidak dikenal",IF($J1765="","Hauler tidak dikenal",IF($H1765="?","Jam salah",IF($K1765=0,"Faktor kosong",IF(SUMIFS(INPUT_DELAY!$E$5:$E$20000,INPUT_DELAY!$A$5:$A$20000,$A1765,INPUT_DELAY!$B$5:$B$20000,$B1765,INPUT_DELAY!$C$5:$C$20000,$C1765)+SUMIFS(INPUT_DELAY!$E$5:$E$20000,INPUT_DELAY!$A$5:$A$20000,$A1765,INPUT_DELAY!$B$5:$B$20000,$B1765,INPUT_DELAY!$C$5:$C$20000,"SEMUA")&gt;=60,"Delay 60 mnt tapi ada ritase","OK"))))))</f>
        <v/>
      </c>
      <c r="P1765" s="158">
        <f>IFERROR(INDEX(MASTER_JAM!$Z$5:$AC$10,MATCH($I1765,MASTER_JAM!$Y$5:$Y$10,0),MATCH($J1765,MASTER_JAM!$Z$4:$AC$4,0))+0,0)</f>
        <v/>
      </c>
      <c r="Q1765" s="158">
        <f>IF($P1765=0,0,$P1765+IFERROR(INDEX(MASTER_JAM!$H$5:$H$94,MATCH($C1765,MASTER_JAM!$A$5:$A$94,0))+0,MASTER_JAM!$AC$15)/1000*(60/MASTER_JAM!$AC$12+60/MASTER_JAM!$AC$13)+MASTER_JAM!$AC$14)</f>
        <v/>
      </c>
      <c r="R1765" s="158">
        <f>IF(N($F1765)=0,0,$F1765/SUMIFS(INPUT_RITASE!$F$5:$F$20000,INPUT_RITASE!$A$5:$A$20000,$A1765,INPUT_RITASE!$B$5:$B$20000,$B1765,INPUT_RITASE!$C$5:$C$20000,$C1765,INPUT_RITASE!$D$5:$D$20000,$D1765))</f>
        <v/>
      </c>
      <c r="S1765" s="158">
        <f>IF($Q1765=0,0,$R1765*$P1765/$Q1765)</f>
        <v/>
      </c>
    </row>
    <row r="1766">
      <c r="A1766" s="155" t="n">
        <v>46110</v>
      </c>
      <c r="B1766" s="156" t="inlineStr">
        <is>
          <t>01-02</t>
        </is>
      </c>
      <c r="C1766" s="156" t="inlineStr">
        <is>
          <t>EX-1252</t>
        </is>
      </c>
      <c r="D1766" s="156" t="inlineStr">
        <is>
          <t>DT-514</t>
        </is>
      </c>
      <c r="E1766" s="156" t="inlineStr">
        <is>
          <t>OB</t>
        </is>
      </c>
      <c r="F1766" s="156" t="n">
        <v>4</v>
      </c>
      <c r="G1766" s="156" t="inlineStr"/>
      <c r="H1766" s="157">
        <f>IF($B1766="","",IF(ISNA(MATCH($B1766,MASTER_JAM!$Q$5:$Q$28,0)),"?",IF(MATCH($B1766,MASTER_JAM!$Q$5:$Q$28,0)&lt;=12,"DS","NS")))</f>
        <v/>
      </c>
      <c r="I1766" s="157">
        <f>IFERROR(INDEX(MASTER_JAM!$B$5:$B$94,MATCH($C1766,MASTER_JAM!$A$5:$A$94,0)),"")</f>
        <v/>
      </c>
      <c r="J1766" s="157">
        <f>IFERROR(INDEX(MASTER_JAM!$E$5:$E$94,MATCH($D1766,MASTER_JAM!$A$5:$A$94,0)),"")</f>
        <v/>
      </c>
      <c r="K1766" s="158">
        <f>IFERROR(INDEX(MASTER_JAM!$J$5:$O$12,MATCH($E1766,MASTER_JAM!$I$5:$I$12,0),MATCH($J1766,MASTER_JAM!$J$4:$O$4,0))+0,0)</f>
        <v/>
      </c>
      <c r="L1766" s="159">
        <f>N($F1766)*$K1766</f>
        <v/>
      </c>
      <c r="M1766" s="157">
        <f>IF($E1766="","",IF(OR($E1766="Coal",$E1766="Dirty Coal"),"MT","BCM"))</f>
        <v/>
      </c>
      <c r="N1766" s="157">
        <f>IF($E1766="","",IF(OR($E1766="Coal",$E1766="Dirty Coal"),"Coal","OB"))</f>
        <v/>
      </c>
      <c r="O1766" s="157">
        <f>IF($F1766="","",IF(COUNTIF(MASTER_JAM!$A$5:$A$94,$C1766)=0,"Digger tidak dikenal",IF($J1766="","Hauler tidak dikenal",IF($H1766="?","Jam salah",IF($K1766=0,"Faktor kosong",IF(SUMIFS(INPUT_DELAY!$E$5:$E$20000,INPUT_DELAY!$A$5:$A$20000,$A1766,INPUT_DELAY!$B$5:$B$20000,$B1766,INPUT_DELAY!$C$5:$C$20000,$C1766)+SUMIFS(INPUT_DELAY!$E$5:$E$20000,INPUT_DELAY!$A$5:$A$20000,$A1766,INPUT_DELAY!$B$5:$B$20000,$B1766,INPUT_DELAY!$C$5:$C$20000,"SEMUA")&gt;=60,"Delay 60 mnt tapi ada ritase","OK"))))))</f>
        <v/>
      </c>
      <c r="P1766" s="158">
        <f>IFERROR(INDEX(MASTER_JAM!$Z$5:$AC$10,MATCH($I1766,MASTER_JAM!$Y$5:$Y$10,0),MATCH($J1766,MASTER_JAM!$Z$4:$AC$4,0))+0,0)</f>
        <v/>
      </c>
      <c r="Q1766" s="158">
        <f>IF($P1766=0,0,$P1766+IFERROR(INDEX(MASTER_JAM!$H$5:$H$94,MATCH($C1766,MASTER_JAM!$A$5:$A$94,0))+0,MASTER_JAM!$AC$15)/1000*(60/MASTER_JAM!$AC$12+60/MASTER_JAM!$AC$13)+MASTER_JAM!$AC$14)</f>
        <v/>
      </c>
      <c r="R1766" s="158">
        <f>IF(N($F1766)=0,0,$F1766/SUMIFS(INPUT_RITASE!$F$5:$F$20000,INPUT_RITASE!$A$5:$A$20000,$A1766,INPUT_RITASE!$B$5:$B$20000,$B1766,INPUT_RITASE!$C$5:$C$20000,$C1766,INPUT_RITASE!$D$5:$D$20000,$D1766))</f>
        <v/>
      </c>
      <c r="S1766" s="158">
        <f>IF($Q1766=0,0,$R1766*$P1766/$Q1766)</f>
        <v/>
      </c>
    </row>
    <row r="1767">
      <c r="A1767" s="155" t="n">
        <v>46110</v>
      </c>
      <c r="B1767" s="156" t="inlineStr">
        <is>
          <t>01-02</t>
        </is>
      </c>
      <c r="C1767" s="156" t="inlineStr">
        <is>
          <t>EX-1252</t>
        </is>
      </c>
      <c r="D1767" s="156" t="inlineStr">
        <is>
          <t>DT-502</t>
        </is>
      </c>
      <c r="E1767" s="156" t="inlineStr">
        <is>
          <t>OB</t>
        </is>
      </c>
      <c r="F1767" s="156" t="n">
        <v>4</v>
      </c>
      <c r="G1767" s="156" t="inlineStr"/>
      <c r="H1767" s="157">
        <f>IF($B1767="","",IF(ISNA(MATCH($B1767,MASTER_JAM!$Q$5:$Q$28,0)),"?",IF(MATCH($B1767,MASTER_JAM!$Q$5:$Q$28,0)&lt;=12,"DS","NS")))</f>
        <v/>
      </c>
      <c r="I1767" s="157">
        <f>IFERROR(INDEX(MASTER_JAM!$B$5:$B$94,MATCH($C1767,MASTER_JAM!$A$5:$A$94,0)),"")</f>
        <v/>
      </c>
      <c r="J1767" s="157">
        <f>IFERROR(INDEX(MASTER_JAM!$E$5:$E$94,MATCH($D1767,MASTER_JAM!$A$5:$A$94,0)),"")</f>
        <v/>
      </c>
      <c r="K1767" s="158">
        <f>IFERROR(INDEX(MASTER_JAM!$J$5:$O$12,MATCH($E1767,MASTER_JAM!$I$5:$I$12,0),MATCH($J1767,MASTER_JAM!$J$4:$O$4,0))+0,0)</f>
        <v/>
      </c>
      <c r="L1767" s="159">
        <f>N($F1767)*$K1767</f>
        <v/>
      </c>
      <c r="M1767" s="157">
        <f>IF($E1767="","",IF(OR($E1767="Coal",$E1767="Dirty Coal"),"MT","BCM"))</f>
        <v/>
      </c>
      <c r="N1767" s="157">
        <f>IF($E1767="","",IF(OR($E1767="Coal",$E1767="Dirty Coal"),"Coal","OB"))</f>
        <v/>
      </c>
      <c r="O1767" s="157">
        <f>IF($F1767="","",IF(COUNTIF(MASTER_JAM!$A$5:$A$94,$C1767)=0,"Digger tidak dikenal",IF($J1767="","Hauler tidak dikenal",IF($H1767="?","Jam salah",IF($K1767=0,"Faktor kosong",IF(SUMIFS(INPUT_DELAY!$E$5:$E$20000,INPUT_DELAY!$A$5:$A$20000,$A1767,INPUT_DELAY!$B$5:$B$20000,$B1767,INPUT_DELAY!$C$5:$C$20000,$C1767)+SUMIFS(INPUT_DELAY!$E$5:$E$20000,INPUT_DELAY!$A$5:$A$20000,$A1767,INPUT_DELAY!$B$5:$B$20000,$B1767,INPUT_DELAY!$C$5:$C$20000,"SEMUA")&gt;=60,"Delay 60 mnt tapi ada ritase","OK"))))))</f>
        <v/>
      </c>
      <c r="P1767" s="158">
        <f>IFERROR(INDEX(MASTER_JAM!$Z$5:$AC$10,MATCH($I1767,MASTER_JAM!$Y$5:$Y$10,0),MATCH($J1767,MASTER_JAM!$Z$4:$AC$4,0))+0,0)</f>
        <v/>
      </c>
      <c r="Q1767" s="158">
        <f>IF($P1767=0,0,$P1767+IFERROR(INDEX(MASTER_JAM!$H$5:$H$94,MATCH($C1767,MASTER_JAM!$A$5:$A$94,0))+0,MASTER_JAM!$AC$15)/1000*(60/MASTER_JAM!$AC$12+60/MASTER_JAM!$AC$13)+MASTER_JAM!$AC$14)</f>
        <v/>
      </c>
      <c r="R1767" s="158">
        <f>IF(N($F1767)=0,0,$F1767/SUMIFS(INPUT_RITASE!$F$5:$F$20000,INPUT_RITASE!$A$5:$A$20000,$A1767,INPUT_RITASE!$B$5:$B$20000,$B1767,INPUT_RITASE!$C$5:$C$20000,$C1767,INPUT_RITASE!$D$5:$D$20000,$D1767))</f>
        <v/>
      </c>
      <c r="S1767" s="158">
        <f>IF($Q1767=0,0,$R1767*$P1767/$Q1767)</f>
        <v/>
      </c>
    </row>
    <row r="1768">
      <c r="A1768" s="155" t="n">
        <v>46110</v>
      </c>
      <c r="B1768" s="156" t="inlineStr">
        <is>
          <t>01-02</t>
        </is>
      </c>
      <c r="C1768" s="156" t="inlineStr">
        <is>
          <t>EX-1252</t>
        </is>
      </c>
      <c r="D1768" s="156" t="inlineStr">
        <is>
          <t>DT-529</t>
        </is>
      </c>
      <c r="E1768" s="156" t="inlineStr">
        <is>
          <t>OB</t>
        </is>
      </c>
      <c r="F1768" s="156" t="n">
        <v>4</v>
      </c>
      <c r="G1768" s="156" t="inlineStr"/>
      <c r="H1768" s="157">
        <f>IF($B1768="","",IF(ISNA(MATCH($B1768,MASTER_JAM!$Q$5:$Q$28,0)),"?",IF(MATCH($B1768,MASTER_JAM!$Q$5:$Q$28,0)&lt;=12,"DS","NS")))</f>
        <v/>
      </c>
      <c r="I1768" s="157">
        <f>IFERROR(INDEX(MASTER_JAM!$B$5:$B$94,MATCH($C1768,MASTER_JAM!$A$5:$A$94,0)),"")</f>
        <v/>
      </c>
      <c r="J1768" s="157">
        <f>IFERROR(INDEX(MASTER_JAM!$E$5:$E$94,MATCH($D1768,MASTER_JAM!$A$5:$A$94,0)),"")</f>
        <v/>
      </c>
      <c r="K1768" s="158">
        <f>IFERROR(INDEX(MASTER_JAM!$J$5:$O$12,MATCH($E1768,MASTER_JAM!$I$5:$I$12,0),MATCH($J1768,MASTER_JAM!$J$4:$O$4,0))+0,0)</f>
        <v/>
      </c>
      <c r="L1768" s="159">
        <f>N($F1768)*$K1768</f>
        <v/>
      </c>
      <c r="M1768" s="157">
        <f>IF($E1768="","",IF(OR($E1768="Coal",$E1768="Dirty Coal"),"MT","BCM"))</f>
        <v/>
      </c>
      <c r="N1768" s="157">
        <f>IF($E1768="","",IF(OR($E1768="Coal",$E1768="Dirty Coal"),"Coal","OB"))</f>
        <v/>
      </c>
      <c r="O1768" s="157">
        <f>IF($F1768="","",IF(COUNTIF(MASTER_JAM!$A$5:$A$94,$C1768)=0,"Digger tidak dikenal",IF($J1768="","Hauler tidak dikenal",IF($H1768="?","Jam salah",IF($K1768=0,"Faktor kosong",IF(SUMIFS(INPUT_DELAY!$E$5:$E$20000,INPUT_DELAY!$A$5:$A$20000,$A1768,INPUT_DELAY!$B$5:$B$20000,$B1768,INPUT_DELAY!$C$5:$C$20000,$C1768)+SUMIFS(INPUT_DELAY!$E$5:$E$20000,INPUT_DELAY!$A$5:$A$20000,$A1768,INPUT_DELAY!$B$5:$B$20000,$B1768,INPUT_DELAY!$C$5:$C$20000,"SEMUA")&gt;=60,"Delay 60 mnt tapi ada ritase","OK"))))))</f>
        <v/>
      </c>
      <c r="P1768" s="158">
        <f>IFERROR(INDEX(MASTER_JAM!$Z$5:$AC$10,MATCH($I1768,MASTER_JAM!$Y$5:$Y$10,0),MATCH($J1768,MASTER_JAM!$Z$4:$AC$4,0))+0,0)</f>
        <v/>
      </c>
      <c r="Q1768" s="158">
        <f>IF($P1768=0,0,$P1768+IFERROR(INDEX(MASTER_JAM!$H$5:$H$94,MATCH($C1768,MASTER_JAM!$A$5:$A$94,0))+0,MASTER_JAM!$AC$15)/1000*(60/MASTER_JAM!$AC$12+60/MASTER_JAM!$AC$13)+MASTER_JAM!$AC$14)</f>
        <v/>
      </c>
      <c r="R1768" s="158">
        <f>IF(N($F1768)=0,0,$F1768/SUMIFS(INPUT_RITASE!$F$5:$F$20000,INPUT_RITASE!$A$5:$A$20000,$A1768,INPUT_RITASE!$B$5:$B$20000,$B1768,INPUT_RITASE!$C$5:$C$20000,$C1768,INPUT_RITASE!$D$5:$D$20000,$D1768))</f>
        <v/>
      </c>
      <c r="S1768" s="158">
        <f>IF($Q1768=0,0,$R1768*$P1768/$Q1768)</f>
        <v/>
      </c>
    </row>
    <row r="1769">
      <c r="A1769" s="155" t="n">
        <v>46110</v>
      </c>
      <c r="B1769" s="156" t="inlineStr">
        <is>
          <t>01-02</t>
        </is>
      </c>
      <c r="C1769" s="156" t="inlineStr">
        <is>
          <t>EX-1252</t>
        </is>
      </c>
      <c r="D1769" s="156" t="inlineStr">
        <is>
          <t>DT-524</t>
        </is>
      </c>
      <c r="E1769" s="156" t="inlineStr">
        <is>
          <t>OB</t>
        </is>
      </c>
      <c r="F1769" s="156" t="n">
        <v>3</v>
      </c>
      <c r="G1769" s="156" t="inlineStr"/>
      <c r="H1769" s="157">
        <f>IF($B1769="","",IF(ISNA(MATCH($B1769,MASTER_JAM!$Q$5:$Q$28,0)),"?",IF(MATCH($B1769,MASTER_JAM!$Q$5:$Q$28,0)&lt;=12,"DS","NS")))</f>
        <v/>
      </c>
      <c r="I1769" s="157">
        <f>IFERROR(INDEX(MASTER_JAM!$B$5:$B$94,MATCH($C1769,MASTER_JAM!$A$5:$A$94,0)),"")</f>
        <v/>
      </c>
      <c r="J1769" s="157">
        <f>IFERROR(INDEX(MASTER_JAM!$E$5:$E$94,MATCH($D1769,MASTER_JAM!$A$5:$A$94,0)),"")</f>
        <v/>
      </c>
      <c r="K1769" s="158">
        <f>IFERROR(INDEX(MASTER_JAM!$J$5:$O$12,MATCH($E1769,MASTER_JAM!$I$5:$I$12,0),MATCH($J1769,MASTER_JAM!$J$4:$O$4,0))+0,0)</f>
        <v/>
      </c>
      <c r="L1769" s="159">
        <f>N($F1769)*$K1769</f>
        <v/>
      </c>
      <c r="M1769" s="157">
        <f>IF($E1769="","",IF(OR($E1769="Coal",$E1769="Dirty Coal"),"MT","BCM"))</f>
        <v/>
      </c>
      <c r="N1769" s="157">
        <f>IF($E1769="","",IF(OR($E1769="Coal",$E1769="Dirty Coal"),"Coal","OB"))</f>
        <v/>
      </c>
      <c r="O1769" s="157">
        <f>IF($F1769="","",IF(COUNTIF(MASTER_JAM!$A$5:$A$94,$C1769)=0,"Digger tidak dikenal",IF($J1769="","Hauler tidak dikenal",IF($H1769="?","Jam salah",IF($K1769=0,"Faktor kosong",IF(SUMIFS(INPUT_DELAY!$E$5:$E$20000,INPUT_DELAY!$A$5:$A$20000,$A1769,INPUT_DELAY!$B$5:$B$20000,$B1769,INPUT_DELAY!$C$5:$C$20000,$C1769)+SUMIFS(INPUT_DELAY!$E$5:$E$20000,INPUT_DELAY!$A$5:$A$20000,$A1769,INPUT_DELAY!$B$5:$B$20000,$B1769,INPUT_DELAY!$C$5:$C$20000,"SEMUA")&gt;=60,"Delay 60 mnt tapi ada ritase","OK"))))))</f>
        <v/>
      </c>
      <c r="P1769" s="158">
        <f>IFERROR(INDEX(MASTER_JAM!$Z$5:$AC$10,MATCH($I1769,MASTER_JAM!$Y$5:$Y$10,0),MATCH($J1769,MASTER_JAM!$Z$4:$AC$4,0))+0,0)</f>
        <v/>
      </c>
      <c r="Q1769" s="158">
        <f>IF($P1769=0,0,$P1769+IFERROR(INDEX(MASTER_JAM!$H$5:$H$94,MATCH($C1769,MASTER_JAM!$A$5:$A$94,0))+0,MASTER_JAM!$AC$15)/1000*(60/MASTER_JAM!$AC$12+60/MASTER_JAM!$AC$13)+MASTER_JAM!$AC$14)</f>
        <v/>
      </c>
      <c r="R1769" s="158">
        <f>IF(N($F1769)=0,0,$F1769/SUMIFS(INPUT_RITASE!$F$5:$F$20000,INPUT_RITASE!$A$5:$A$20000,$A1769,INPUT_RITASE!$B$5:$B$20000,$B1769,INPUT_RITASE!$C$5:$C$20000,$C1769,INPUT_RITASE!$D$5:$D$20000,$D1769))</f>
        <v/>
      </c>
      <c r="S1769" s="158">
        <f>IF($Q1769=0,0,$R1769*$P1769/$Q1769)</f>
        <v/>
      </c>
    </row>
    <row r="1770">
      <c r="A1770" s="155" t="n">
        <v>46110</v>
      </c>
      <c r="B1770" s="156" t="inlineStr">
        <is>
          <t>01-02</t>
        </is>
      </c>
      <c r="C1770" s="156" t="inlineStr">
        <is>
          <t>EX-1252</t>
        </is>
      </c>
      <c r="D1770" s="156" t="inlineStr">
        <is>
          <t>DT-506</t>
        </is>
      </c>
      <c r="E1770" s="156" t="inlineStr">
        <is>
          <t>OB</t>
        </is>
      </c>
      <c r="F1770" s="156" t="n">
        <v>3</v>
      </c>
      <c r="G1770" s="156" t="inlineStr"/>
      <c r="H1770" s="157">
        <f>IF($B1770="","",IF(ISNA(MATCH($B1770,MASTER_JAM!$Q$5:$Q$28,0)),"?",IF(MATCH($B1770,MASTER_JAM!$Q$5:$Q$28,0)&lt;=12,"DS","NS")))</f>
        <v/>
      </c>
      <c r="I1770" s="157">
        <f>IFERROR(INDEX(MASTER_JAM!$B$5:$B$94,MATCH($C1770,MASTER_JAM!$A$5:$A$94,0)),"")</f>
        <v/>
      </c>
      <c r="J1770" s="157">
        <f>IFERROR(INDEX(MASTER_JAM!$E$5:$E$94,MATCH($D1770,MASTER_JAM!$A$5:$A$94,0)),"")</f>
        <v/>
      </c>
      <c r="K1770" s="158">
        <f>IFERROR(INDEX(MASTER_JAM!$J$5:$O$12,MATCH($E1770,MASTER_JAM!$I$5:$I$12,0),MATCH($J1770,MASTER_JAM!$J$4:$O$4,0))+0,0)</f>
        <v/>
      </c>
      <c r="L1770" s="159">
        <f>N($F1770)*$K1770</f>
        <v/>
      </c>
      <c r="M1770" s="157">
        <f>IF($E1770="","",IF(OR($E1770="Coal",$E1770="Dirty Coal"),"MT","BCM"))</f>
        <v/>
      </c>
      <c r="N1770" s="157">
        <f>IF($E1770="","",IF(OR($E1770="Coal",$E1770="Dirty Coal"),"Coal","OB"))</f>
        <v/>
      </c>
      <c r="O1770" s="157">
        <f>IF($F1770="","",IF(COUNTIF(MASTER_JAM!$A$5:$A$94,$C1770)=0,"Digger tidak dikenal",IF($J1770="","Hauler tidak dikenal",IF($H1770="?","Jam salah",IF($K1770=0,"Faktor kosong",IF(SUMIFS(INPUT_DELAY!$E$5:$E$20000,INPUT_DELAY!$A$5:$A$20000,$A1770,INPUT_DELAY!$B$5:$B$20000,$B1770,INPUT_DELAY!$C$5:$C$20000,$C1770)+SUMIFS(INPUT_DELAY!$E$5:$E$20000,INPUT_DELAY!$A$5:$A$20000,$A1770,INPUT_DELAY!$B$5:$B$20000,$B1770,INPUT_DELAY!$C$5:$C$20000,"SEMUA")&gt;=60,"Delay 60 mnt tapi ada ritase","OK"))))))</f>
        <v/>
      </c>
      <c r="P1770" s="158">
        <f>IFERROR(INDEX(MASTER_JAM!$Z$5:$AC$10,MATCH($I1770,MASTER_JAM!$Y$5:$Y$10,0),MATCH($J1770,MASTER_JAM!$Z$4:$AC$4,0))+0,0)</f>
        <v/>
      </c>
      <c r="Q1770" s="158">
        <f>IF($P1770=0,0,$P1770+IFERROR(INDEX(MASTER_JAM!$H$5:$H$94,MATCH($C1770,MASTER_JAM!$A$5:$A$94,0))+0,MASTER_JAM!$AC$15)/1000*(60/MASTER_JAM!$AC$12+60/MASTER_JAM!$AC$13)+MASTER_JAM!$AC$14)</f>
        <v/>
      </c>
      <c r="R1770" s="158">
        <f>IF(N($F1770)=0,0,$F1770/SUMIFS(INPUT_RITASE!$F$5:$F$20000,INPUT_RITASE!$A$5:$A$20000,$A1770,INPUT_RITASE!$B$5:$B$20000,$B1770,INPUT_RITASE!$C$5:$C$20000,$C1770,INPUT_RITASE!$D$5:$D$20000,$D1770))</f>
        <v/>
      </c>
      <c r="S1770" s="158">
        <f>IF($Q1770=0,0,$R1770*$P1770/$Q1770)</f>
        <v/>
      </c>
    </row>
    <row r="1771">
      <c r="A1771" s="155" t="n">
        <v>46110</v>
      </c>
      <c r="B1771" s="156" t="inlineStr">
        <is>
          <t>01-02</t>
        </is>
      </c>
      <c r="C1771" s="156" t="inlineStr">
        <is>
          <t>EX-1252</t>
        </is>
      </c>
      <c r="D1771" s="156" t="inlineStr">
        <is>
          <t>DT-507</t>
        </is>
      </c>
      <c r="E1771" s="156" t="inlineStr">
        <is>
          <t>OB</t>
        </is>
      </c>
      <c r="F1771" s="156" t="n">
        <v>3</v>
      </c>
      <c r="G1771" s="156" t="inlineStr"/>
      <c r="H1771" s="157">
        <f>IF($B1771="","",IF(ISNA(MATCH($B1771,MASTER_JAM!$Q$5:$Q$28,0)),"?",IF(MATCH($B1771,MASTER_JAM!$Q$5:$Q$28,0)&lt;=12,"DS","NS")))</f>
        <v/>
      </c>
      <c r="I1771" s="157">
        <f>IFERROR(INDEX(MASTER_JAM!$B$5:$B$94,MATCH($C1771,MASTER_JAM!$A$5:$A$94,0)),"")</f>
        <v/>
      </c>
      <c r="J1771" s="157">
        <f>IFERROR(INDEX(MASTER_JAM!$E$5:$E$94,MATCH($D1771,MASTER_JAM!$A$5:$A$94,0)),"")</f>
        <v/>
      </c>
      <c r="K1771" s="158">
        <f>IFERROR(INDEX(MASTER_JAM!$J$5:$O$12,MATCH($E1771,MASTER_JAM!$I$5:$I$12,0),MATCH($J1771,MASTER_JAM!$J$4:$O$4,0))+0,0)</f>
        <v/>
      </c>
      <c r="L1771" s="159">
        <f>N($F1771)*$K1771</f>
        <v/>
      </c>
      <c r="M1771" s="157">
        <f>IF($E1771="","",IF(OR($E1771="Coal",$E1771="Dirty Coal"),"MT","BCM"))</f>
        <v/>
      </c>
      <c r="N1771" s="157">
        <f>IF($E1771="","",IF(OR($E1771="Coal",$E1771="Dirty Coal"),"Coal","OB"))</f>
        <v/>
      </c>
      <c r="O1771" s="157">
        <f>IF($F1771="","",IF(COUNTIF(MASTER_JAM!$A$5:$A$94,$C1771)=0,"Digger tidak dikenal",IF($J1771="","Hauler tidak dikenal",IF($H1771="?","Jam salah",IF($K1771=0,"Faktor kosong",IF(SUMIFS(INPUT_DELAY!$E$5:$E$20000,INPUT_DELAY!$A$5:$A$20000,$A1771,INPUT_DELAY!$B$5:$B$20000,$B1771,INPUT_DELAY!$C$5:$C$20000,$C1771)+SUMIFS(INPUT_DELAY!$E$5:$E$20000,INPUT_DELAY!$A$5:$A$20000,$A1771,INPUT_DELAY!$B$5:$B$20000,$B1771,INPUT_DELAY!$C$5:$C$20000,"SEMUA")&gt;=60,"Delay 60 mnt tapi ada ritase","OK"))))))</f>
        <v/>
      </c>
      <c r="P1771" s="158">
        <f>IFERROR(INDEX(MASTER_JAM!$Z$5:$AC$10,MATCH($I1771,MASTER_JAM!$Y$5:$Y$10,0),MATCH($J1771,MASTER_JAM!$Z$4:$AC$4,0))+0,0)</f>
        <v/>
      </c>
      <c r="Q1771" s="158">
        <f>IF($P1771=0,0,$P1771+IFERROR(INDEX(MASTER_JAM!$H$5:$H$94,MATCH($C1771,MASTER_JAM!$A$5:$A$94,0))+0,MASTER_JAM!$AC$15)/1000*(60/MASTER_JAM!$AC$12+60/MASTER_JAM!$AC$13)+MASTER_JAM!$AC$14)</f>
        <v/>
      </c>
      <c r="R1771" s="158">
        <f>IF(N($F1771)=0,0,$F1771/SUMIFS(INPUT_RITASE!$F$5:$F$20000,INPUT_RITASE!$A$5:$A$20000,$A1771,INPUT_RITASE!$B$5:$B$20000,$B1771,INPUT_RITASE!$C$5:$C$20000,$C1771,INPUT_RITASE!$D$5:$D$20000,$D1771))</f>
        <v/>
      </c>
      <c r="S1771" s="158">
        <f>IF($Q1771=0,0,$R1771*$P1771/$Q1771)</f>
        <v/>
      </c>
    </row>
    <row r="1772">
      <c r="A1772" s="155" t="n">
        <v>46110</v>
      </c>
      <c r="B1772" s="156" t="inlineStr">
        <is>
          <t>02-03</t>
        </is>
      </c>
      <c r="C1772" s="156" t="inlineStr">
        <is>
          <t>EX-1252</t>
        </is>
      </c>
      <c r="D1772" s="156" t="inlineStr">
        <is>
          <t>DT-512</t>
        </is>
      </c>
      <c r="E1772" s="156" t="inlineStr">
        <is>
          <t>OB</t>
        </is>
      </c>
      <c r="F1772" s="156" t="n">
        <v>4</v>
      </c>
      <c r="G1772" s="156" t="inlineStr"/>
      <c r="H1772" s="157">
        <f>IF($B1772="","",IF(ISNA(MATCH($B1772,MASTER_JAM!$Q$5:$Q$28,0)),"?",IF(MATCH($B1772,MASTER_JAM!$Q$5:$Q$28,0)&lt;=12,"DS","NS")))</f>
        <v/>
      </c>
      <c r="I1772" s="157">
        <f>IFERROR(INDEX(MASTER_JAM!$B$5:$B$94,MATCH($C1772,MASTER_JAM!$A$5:$A$94,0)),"")</f>
        <v/>
      </c>
      <c r="J1772" s="157">
        <f>IFERROR(INDEX(MASTER_JAM!$E$5:$E$94,MATCH($D1772,MASTER_JAM!$A$5:$A$94,0)),"")</f>
        <v/>
      </c>
      <c r="K1772" s="158">
        <f>IFERROR(INDEX(MASTER_JAM!$J$5:$O$12,MATCH($E1772,MASTER_JAM!$I$5:$I$12,0),MATCH($J1772,MASTER_JAM!$J$4:$O$4,0))+0,0)</f>
        <v/>
      </c>
      <c r="L1772" s="159">
        <f>N($F1772)*$K1772</f>
        <v/>
      </c>
      <c r="M1772" s="157">
        <f>IF($E1772="","",IF(OR($E1772="Coal",$E1772="Dirty Coal"),"MT","BCM"))</f>
        <v/>
      </c>
      <c r="N1772" s="157">
        <f>IF($E1772="","",IF(OR($E1772="Coal",$E1772="Dirty Coal"),"Coal","OB"))</f>
        <v/>
      </c>
      <c r="O1772" s="157">
        <f>IF($F1772="","",IF(COUNTIF(MASTER_JAM!$A$5:$A$94,$C1772)=0,"Digger tidak dikenal",IF($J1772="","Hauler tidak dikenal",IF($H1772="?","Jam salah",IF($K1772=0,"Faktor kosong",IF(SUMIFS(INPUT_DELAY!$E$5:$E$20000,INPUT_DELAY!$A$5:$A$20000,$A1772,INPUT_DELAY!$B$5:$B$20000,$B1772,INPUT_DELAY!$C$5:$C$20000,$C1772)+SUMIFS(INPUT_DELAY!$E$5:$E$20000,INPUT_DELAY!$A$5:$A$20000,$A1772,INPUT_DELAY!$B$5:$B$20000,$B1772,INPUT_DELAY!$C$5:$C$20000,"SEMUA")&gt;=60,"Delay 60 mnt tapi ada ritase","OK"))))))</f>
        <v/>
      </c>
      <c r="P1772" s="158">
        <f>IFERROR(INDEX(MASTER_JAM!$Z$5:$AC$10,MATCH($I1772,MASTER_JAM!$Y$5:$Y$10,0),MATCH($J1772,MASTER_JAM!$Z$4:$AC$4,0))+0,0)</f>
        <v/>
      </c>
      <c r="Q1772" s="158">
        <f>IF($P1772=0,0,$P1772+IFERROR(INDEX(MASTER_JAM!$H$5:$H$94,MATCH($C1772,MASTER_JAM!$A$5:$A$94,0))+0,MASTER_JAM!$AC$15)/1000*(60/MASTER_JAM!$AC$12+60/MASTER_JAM!$AC$13)+MASTER_JAM!$AC$14)</f>
        <v/>
      </c>
      <c r="R1772" s="158">
        <f>IF(N($F1772)=0,0,$F1772/SUMIFS(INPUT_RITASE!$F$5:$F$20000,INPUT_RITASE!$A$5:$A$20000,$A1772,INPUT_RITASE!$B$5:$B$20000,$B1772,INPUT_RITASE!$C$5:$C$20000,$C1772,INPUT_RITASE!$D$5:$D$20000,$D1772))</f>
        <v/>
      </c>
      <c r="S1772" s="158">
        <f>IF($Q1772=0,0,$R1772*$P1772/$Q1772)</f>
        <v/>
      </c>
    </row>
    <row r="1773">
      <c r="A1773" s="155" t="n">
        <v>46110</v>
      </c>
      <c r="B1773" s="156" t="inlineStr">
        <is>
          <t>02-03</t>
        </is>
      </c>
      <c r="C1773" s="156" t="inlineStr">
        <is>
          <t>EX-1252</t>
        </is>
      </c>
      <c r="D1773" s="156" t="inlineStr">
        <is>
          <t>DT-529</t>
        </is>
      </c>
      <c r="E1773" s="156" t="inlineStr">
        <is>
          <t>OB</t>
        </is>
      </c>
      <c r="F1773" s="156" t="n">
        <v>4</v>
      </c>
      <c r="G1773" s="156" t="inlineStr"/>
      <c r="H1773" s="157">
        <f>IF($B1773="","",IF(ISNA(MATCH($B1773,MASTER_JAM!$Q$5:$Q$28,0)),"?",IF(MATCH($B1773,MASTER_JAM!$Q$5:$Q$28,0)&lt;=12,"DS","NS")))</f>
        <v/>
      </c>
      <c r="I1773" s="157">
        <f>IFERROR(INDEX(MASTER_JAM!$B$5:$B$94,MATCH($C1773,MASTER_JAM!$A$5:$A$94,0)),"")</f>
        <v/>
      </c>
      <c r="J1773" s="157">
        <f>IFERROR(INDEX(MASTER_JAM!$E$5:$E$94,MATCH($D1773,MASTER_JAM!$A$5:$A$94,0)),"")</f>
        <v/>
      </c>
      <c r="K1773" s="158">
        <f>IFERROR(INDEX(MASTER_JAM!$J$5:$O$12,MATCH($E1773,MASTER_JAM!$I$5:$I$12,0),MATCH($J1773,MASTER_JAM!$J$4:$O$4,0))+0,0)</f>
        <v/>
      </c>
      <c r="L1773" s="159">
        <f>N($F1773)*$K1773</f>
        <v/>
      </c>
      <c r="M1773" s="157">
        <f>IF($E1773="","",IF(OR($E1773="Coal",$E1773="Dirty Coal"),"MT","BCM"))</f>
        <v/>
      </c>
      <c r="N1773" s="157">
        <f>IF($E1773="","",IF(OR($E1773="Coal",$E1773="Dirty Coal"),"Coal","OB"))</f>
        <v/>
      </c>
      <c r="O1773" s="157">
        <f>IF($F1773="","",IF(COUNTIF(MASTER_JAM!$A$5:$A$94,$C1773)=0,"Digger tidak dikenal",IF($J1773="","Hauler tidak dikenal",IF($H1773="?","Jam salah",IF($K1773=0,"Faktor kosong",IF(SUMIFS(INPUT_DELAY!$E$5:$E$20000,INPUT_DELAY!$A$5:$A$20000,$A1773,INPUT_DELAY!$B$5:$B$20000,$B1773,INPUT_DELAY!$C$5:$C$20000,$C1773)+SUMIFS(INPUT_DELAY!$E$5:$E$20000,INPUT_DELAY!$A$5:$A$20000,$A1773,INPUT_DELAY!$B$5:$B$20000,$B1773,INPUT_DELAY!$C$5:$C$20000,"SEMUA")&gt;=60,"Delay 60 mnt tapi ada ritase","OK"))))))</f>
        <v/>
      </c>
      <c r="P1773" s="158">
        <f>IFERROR(INDEX(MASTER_JAM!$Z$5:$AC$10,MATCH($I1773,MASTER_JAM!$Y$5:$Y$10,0),MATCH($J1773,MASTER_JAM!$Z$4:$AC$4,0))+0,0)</f>
        <v/>
      </c>
      <c r="Q1773" s="158">
        <f>IF($P1773=0,0,$P1773+IFERROR(INDEX(MASTER_JAM!$H$5:$H$94,MATCH($C1773,MASTER_JAM!$A$5:$A$94,0))+0,MASTER_JAM!$AC$15)/1000*(60/MASTER_JAM!$AC$12+60/MASTER_JAM!$AC$13)+MASTER_JAM!$AC$14)</f>
        <v/>
      </c>
      <c r="R1773" s="158">
        <f>IF(N($F1773)=0,0,$F1773/SUMIFS(INPUT_RITASE!$F$5:$F$20000,INPUT_RITASE!$A$5:$A$20000,$A1773,INPUT_RITASE!$B$5:$B$20000,$B1773,INPUT_RITASE!$C$5:$C$20000,$C1773,INPUT_RITASE!$D$5:$D$20000,$D1773))</f>
        <v/>
      </c>
      <c r="S1773" s="158">
        <f>IF($Q1773=0,0,$R1773*$P1773/$Q1773)</f>
        <v/>
      </c>
    </row>
    <row r="1774">
      <c r="A1774" s="155" t="n">
        <v>46110</v>
      </c>
      <c r="B1774" s="156" t="inlineStr">
        <is>
          <t>02-03</t>
        </is>
      </c>
      <c r="C1774" s="156" t="inlineStr">
        <is>
          <t>EX-1252</t>
        </is>
      </c>
      <c r="D1774" s="156" t="inlineStr">
        <is>
          <t>DT-519</t>
        </is>
      </c>
      <c r="E1774" s="156" t="inlineStr">
        <is>
          <t>OB</t>
        </is>
      </c>
      <c r="F1774" s="156" t="n">
        <v>4</v>
      </c>
      <c r="G1774" s="156" t="inlineStr"/>
      <c r="H1774" s="157">
        <f>IF($B1774="","",IF(ISNA(MATCH($B1774,MASTER_JAM!$Q$5:$Q$28,0)),"?",IF(MATCH($B1774,MASTER_JAM!$Q$5:$Q$28,0)&lt;=12,"DS","NS")))</f>
        <v/>
      </c>
      <c r="I1774" s="157">
        <f>IFERROR(INDEX(MASTER_JAM!$B$5:$B$94,MATCH($C1774,MASTER_JAM!$A$5:$A$94,0)),"")</f>
        <v/>
      </c>
      <c r="J1774" s="157">
        <f>IFERROR(INDEX(MASTER_JAM!$E$5:$E$94,MATCH($D1774,MASTER_JAM!$A$5:$A$94,0)),"")</f>
        <v/>
      </c>
      <c r="K1774" s="158">
        <f>IFERROR(INDEX(MASTER_JAM!$J$5:$O$12,MATCH($E1774,MASTER_JAM!$I$5:$I$12,0),MATCH($J1774,MASTER_JAM!$J$4:$O$4,0))+0,0)</f>
        <v/>
      </c>
      <c r="L1774" s="159">
        <f>N($F1774)*$K1774</f>
        <v/>
      </c>
      <c r="M1774" s="157">
        <f>IF($E1774="","",IF(OR($E1774="Coal",$E1774="Dirty Coal"),"MT","BCM"))</f>
        <v/>
      </c>
      <c r="N1774" s="157">
        <f>IF($E1774="","",IF(OR($E1774="Coal",$E1774="Dirty Coal"),"Coal","OB"))</f>
        <v/>
      </c>
      <c r="O1774" s="157">
        <f>IF($F1774="","",IF(COUNTIF(MASTER_JAM!$A$5:$A$94,$C1774)=0,"Digger tidak dikenal",IF($J1774="","Hauler tidak dikenal",IF($H1774="?","Jam salah",IF($K1774=0,"Faktor kosong",IF(SUMIFS(INPUT_DELAY!$E$5:$E$20000,INPUT_DELAY!$A$5:$A$20000,$A1774,INPUT_DELAY!$B$5:$B$20000,$B1774,INPUT_DELAY!$C$5:$C$20000,$C1774)+SUMIFS(INPUT_DELAY!$E$5:$E$20000,INPUT_DELAY!$A$5:$A$20000,$A1774,INPUT_DELAY!$B$5:$B$20000,$B1774,INPUT_DELAY!$C$5:$C$20000,"SEMUA")&gt;=60,"Delay 60 mnt tapi ada ritase","OK"))))))</f>
        <v/>
      </c>
      <c r="P1774" s="158">
        <f>IFERROR(INDEX(MASTER_JAM!$Z$5:$AC$10,MATCH($I1774,MASTER_JAM!$Y$5:$Y$10,0),MATCH($J1774,MASTER_JAM!$Z$4:$AC$4,0))+0,0)</f>
        <v/>
      </c>
      <c r="Q1774" s="158">
        <f>IF($P1774=0,0,$P1774+IFERROR(INDEX(MASTER_JAM!$H$5:$H$94,MATCH($C1774,MASTER_JAM!$A$5:$A$94,0))+0,MASTER_JAM!$AC$15)/1000*(60/MASTER_JAM!$AC$12+60/MASTER_JAM!$AC$13)+MASTER_JAM!$AC$14)</f>
        <v/>
      </c>
      <c r="R1774" s="158">
        <f>IF(N($F1774)=0,0,$F1774/SUMIFS(INPUT_RITASE!$F$5:$F$20000,INPUT_RITASE!$A$5:$A$20000,$A1774,INPUT_RITASE!$B$5:$B$20000,$B1774,INPUT_RITASE!$C$5:$C$20000,$C1774,INPUT_RITASE!$D$5:$D$20000,$D1774))</f>
        <v/>
      </c>
      <c r="S1774" s="158">
        <f>IF($Q1774=0,0,$R1774*$P1774/$Q1774)</f>
        <v/>
      </c>
    </row>
    <row r="1775">
      <c r="A1775" s="155" t="n">
        <v>46110</v>
      </c>
      <c r="B1775" s="156" t="inlineStr">
        <is>
          <t>02-03</t>
        </is>
      </c>
      <c r="C1775" s="156" t="inlineStr">
        <is>
          <t>EX-1252</t>
        </is>
      </c>
      <c r="D1775" s="156" t="inlineStr">
        <is>
          <t>DT-520</t>
        </is>
      </c>
      <c r="E1775" s="156" t="inlineStr">
        <is>
          <t>OB</t>
        </is>
      </c>
      <c r="F1775" s="156" t="n">
        <v>4</v>
      </c>
      <c r="G1775" s="156" t="inlineStr"/>
      <c r="H1775" s="157">
        <f>IF($B1775="","",IF(ISNA(MATCH($B1775,MASTER_JAM!$Q$5:$Q$28,0)),"?",IF(MATCH($B1775,MASTER_JAM!$Q$5:$Q$28,0)&lt;=12,"DS","NS")))</f>
        <v/>
      </c>
      <c r="I1775" s="157">
        <f>IFERROR(INDEX(MASTER_JAM!$B$5:$B$94,MATCH($C1775,MASTER_JAM!$A$5:$A$94,0)),"")</f>
        <v/>
      </c>
      <c r="J1775" s="157">
        <f>IFERROR(INDEX(MASTER_JAM!$E$5:$E$94,MATCH($D1775,MASTER_JAM!$A$5:$A$94,0)),"")</f>
        <v/>
      </c>
      <c r="K1775" s="158">
        <f>IFERROR(INDEX(MASTER_JAM!$J$5:$O$12,MATCH($E1775,MASTER_JAM!$I$5:$I$12,0),MATCH($J1775,MASTER_JAM!$J$4:$O$4,0))+0,0)</f>
        <v/>
      </c>
      <c r="L1775" s="159">
        <f>N($F1775)*$K1775</f>
        <v/>
      </c>
      <c r="M1775" s="157">
        <f>IF($E1775="","",IF(OR($E1775="Coal",$E1775="Dirty Coal"),"MT","BCM"))</f>
        <v/>
      </c>
      <c r="N1775" s="157">
        <f>IF($E1775="","",IF(OR($E1775="Coal",$E1775="Dirty Coal"),"Coal","OB"))</f>
        <v/>
      </c>
      <c r="O1775" s="157">
        <f>IF($F1775="","",IF(COUNTIF(MASTER_JAM!$A$5:$A$94,$C1775)=0,"Digger tidak dikenal",IF($J1775="","Hauler tidak dikenal",IF($H1775="?","Jam salah",IF($K1775=0,"Faktor kosong",IF(SUMIFS(INPUT_DELAY!$E$5:$E$20000,INPUT_DELAY!$A$5:$A$20000,$A1775,INPUT_DELAY!$B$5:$B$20000,$B1775,INPUT_DELAY!$C$5:$C$20000,$C1775)+SUMIFS(INPUT_DELAY!$E$5:$E$20000,INPUT_DELAY!$A$5:$A$20000,$A1775,INPUT_DELAY!$B$5:$B$20000,$B1775,INPUT_DELAY!$C$5:$C$20000,"SEMUA")&gt;=60,"Delay 60 mnt tapi ada ritase","OK"))))))</f>
        <v/>
      </c>
      <c r="P1775" s="158">
        <f>IFERROR(INDEX(MASTER_JAM!$Z$5:$AC$10,MATCH($I1775,MASTER_JAM!$Y$5:$Y$10,0),MATCH($J1775,MASTER_JAM!$Z$4:$AC$4,0))+0,0)</f>
        <v/>
      </c>
      <c r="Q1775" s="158">
        <f>IF($P1775=0,0,$P1775+IFERROR(INDEX(MASTER_JAM!$H$5:$H$94,MATCH($C1775,MASTER_JAM!$A$5:$A$94,0))+0,MASTER_JAM!$AC$15)/1000*(60/MASTER_JAM!$AC$12+60/MASTER_JAM!$AC$13)+MASTER_JAM!$AC$14)</f>
        <v/>
      </c>
      <c r="R1775" s="158">
        <f>IF(N($F1775)=0,0,$F1775/SUMIFS(INPUT_RITASE!$F$5:$F$20000,INPUT_RITASE!$A$5:$A$20000,$A1775,INPUT_RITASE!$B$5:$B$20000,$B1775,INPUT_RITASE!$C$5:$C$20000,$C1775,INPUT_RITASE!$D$5:$D$20000,$D1775))</f>
        <v/>
      </c>
      <c r="S1775" s="158">
        <f>IF($Q1775=0,0,$R1775*$P1775/$Q1775)</f>
        <v/>
      </c>
    </row>
    <row r="1776">
      <c r="A1776" s="155" t="n">
        <v>46110</v>
      </c>
      <c r="B1776" s="156" t="inlineStr">
        <is>
          <t>02-03</t>
        </is>
      </c>
      <c r="C1776" s="156" t="inlineStr">
        <is>
          <t>EX-1252</t>
        </is>
      </c>
      <c r="D1776" s="156" t="inlineStr">
        <is>
          <t>DT-507</t>
        </is>
      </c>
      <c r="E1776" s="156" t="inlineStr">
        <is>
          <t>OB</t>
        </is>
      </c>
      <c r="F1776" s="156" t="n">
        <v>3</v>
      </c>
      <c r="G1776" s="156" t="inlineStr"/>
      <c r="H1776" s="157">
        <f>IF($B1776="","",IF(ISNA(MATCH($B1776,MASTER_JAM!$Q$5:$Q$28,0)),"?",IF(MATCH($B1776,MASTER_JAM!$Q$5:$Q$28,0)&lt;=12,"DS","NS")))</f>
        <v/>
      </c>
      <c r="I1776" s="157">
        <f>IFERROR(INDEX(MASTER_JAM!$B$5:$B$94,MATCH($C1776,MASTER_JAM!$A$5:$A$94,0)),"")</f>
        <v/>
      </c>
      <c r="J1776" s="157">
        <f>IFERROR(INDEX(MASTER_JAM!$E$5:$E$94,MATCH($D1776,MASTER_JAM!$A$5:$A$94,0)),"")</f>
        <v/>
      </c>
      <c r="K1776" s="158">
        <f>IFERROR(INDEX(MASTER_JAM!$J$5:$O$12,MATCH($E1776,MASTER_JAM!$I$5:$I$12,0),MATCH($J1776,MASTER_JAM!$J$4:$O$4,0))+0,0)</f>
        <v/>
      </c>
      <c r="L1776" s="159">
        <f>N($F1776)*$K1776</f>
        <v/>
      </c>
      <c r="M1776" s="157">
        <f>IF($E1776="","",IF(OR($E1776="Coal",$E1776="Dirty Coal"),"MT","BCM"))</f>
        <v/>
      </c>
      <c r="N1776" s="157">
        <f>IF($E1776="","",IF(OR($E1776="Coal",$E1776="Dirty Coal"),"Coal","OB"))</f>
        <v/>
      </c>
      <c r="O1776" s="157">
        <f>IF($F1776="","",IF(COUNTIF(MASTER_JAM!$A$5:$A$94,$C1776)=0,"Digger tidak dikenal",IF($J1776="","Hauler tidak dikenal",IF($H1776="?","Jam salah",IF($K1776=0,"Faktor kosong",IF(SUMIFS(INPUT_DELAY!$E$5:$E$20000,INPUT_DELAY!$A$5:$A$20000,$A1776,INPUT_DELAY!$B$5:$B$20000,$B1776,INPUT_DELAY!$C$5:$C$20000,$C1776)+SUMIFS(INPUT_DELAY!$E$5:$E$20000,INPUT_DELAY!$A$5:$A$20000,$A1776,INPUT_DELAY!$B$5:$B$20000,$B1776,INPUT_DELAY!$C$5:$C$20000,"SEMUA")&gt;=60,"Delay 60 mnt tapi ada ritase","OK"))))))</f>
        <v/>
      </c>
      <c r="P1776" s="158">
        <f>IFERROR(INDEX(MASTER_JAM!$Z$5:$AC$10,MATCH($I1776,MASTER_JAM!$Y$5:$Y$10,0),MATCH($J1776,MASTER_JAM!$Z$4:$AC$4,0))+0,0)</f>
        <v/>
      </c>
      <c r="Q1776" s="158">
        <f>IF($P1776=0,0,$P1776+IFERROR(INDEX(MASTER_JAM!$H$5:$H$94,MATCH($C1776,MASTER_JAM!$A$5:$A$94,0))+0,MASTER_JAM!$AC$15)/1000*(60/MASTER_JAM!$AC$12+60/MASTER_JAM!$AC$13)+MASTER_JAM!$AC$14)</f>
        <v/>
      </c>
      <c r="R1776" s="158">
        <f>IF(N($F1776)=0,0,$F1776/SUMIFS(INPUT_RITASE!$F$5:$F$20000,INPUT_RITASE!$A$5:$A$20000,$A1776,INPUT_RITASE!$B$5:$B$20000,$B1776,INPUT_RITASE!$C$5:$C$20000,$C1776,INPUT_RITASE!$D$5:$D$20000,$D1776))</f>
        <v/>
      </c>
      <c r="S1776" s="158">
        <f>IF($Q1776=0,0,$R1776*$P1776/$Q1776)</f>
        <v/>
      </c>
    </row>
    <row r="1777">
      <c r="A1777" s="155" t="n">
        <v>46110</v>
      </c>
      <c r="B1777" s="156" t="inlineStr">
        <is>
          <t>02-03</t>
        </is>
      </c>
      <c r="C1777" s="156" t="inlineStr">
        <is>
          <t>EX-1252</t>
        </is>
      </c>
      <c r="D1777" s="156" t="inlineStr">
        <is>
          <t>DT-524</t>
        </is>
      </c>
      <c r="E1777" s="156" t="inlineStr">
        <is>
          <t>OB</t>
        </is>
      </c>
      <c r="F1777" s="156" t="n">
        <v>3</v>
      </c>
      <c r="G1777" s="156" t="inlineStr"/>
      <c r="H1777" s="157">
        <f>IF($B1777="","",IF(ISNA(MATCH($B1777,MASTER_JAM!$Q$5:$Q$28,0)),"?",IF(MATCH($B1777,MASTER_JAM!$Q$5:$Q$28,0)&lt;=12,"DS","NS")))</f>
        <v/>
      </c>
      <c r="I1777" s="157">
        <f>IFERROR(INDEX(MASTER_JAM!$B$5:$B$94,MATCH($C1777,MASTER_JAM!$A$5:$A$94,0)),"")</f>
        <v/>
      </c>
      <c r="J1777" s="157">
        <f>IFERROR(INDEX(MASTER_JAM!$E$5:$E$94,MATCH($D1777,MASTER_JAM!$A$5:$A$94,0)),"")</f>
        <v/>
      </c>
      <c r="K1777" s="158">
        <f>IFERROR(INDEX(MASTER_JAM!$J$5:$O$12,MATCH($E1777,MASTER_JAM!$I$5:$I$12,0),MATCH($J1777,MASTER_JAM!$J$4:$O$4,0))+0,0)</f>
        <v/>
      </c>
      <c r="L1777" s="159">
        <f>N($F1777)*$K1777</f>
        <v/>
      </c>
      <c r="M1777" s="157">
        <f>IF($E1777="","",IF(OR($E1777="Coal",$E1777="Dirty Coal"),"MT","BCM"))</f>
        <v/>
      </c>
      <c r="N1777" s="157">
        <f>IF($E1777="","",IF(OR($E1777="Coal",$E1777="Dirty Coal"),"Coal","OB"))</f>
        <v/>
      </c>
      <c r="O1777" s="157">
        <f>IF($F1777="","",IF(COUNTIF(MASTER_JAM!$A$5:$A$94,$C1777)=0,"Digger tidak dikenal",IF($J1777="","Hauler tidak dikenal",IF($H1777="?","Jam salah",IF($K1777=0,"Faktor kosong",IF(SUMIFS(INPUT_DELAY!$E$5:$E$20000,INPUT_DELAY!$A$5:$A$20000,$A1777,INPUT_DELAY!$B$5:$B$20000,$B1777,INPUT_DELAY!$C$5:$C$20000,$C1777)+SUMIFS(INPUT_DELAY!$E$5:$E$20000,INPUT_DELAY!$A$5:$A$20000,$A1777,INPUT_DELAY!$B$5:$B$20000,$B1777,INPUT_DELAY!$C$5:$C$20000,"SEMUA")&gt;=60,"Delay 60 mnt tapi ada ritase","OK"))))))</f>
        <v/>
      </c>
      <c r="P1777" s="158">
        <f>IFERROR(INDEX(MASTER_JAM!$Z$5:$AC$10,MATCH($I1777,MASTER_JAM!$Y$5:$Y$10,0),MATCH($J1777,MASTER_JAM!$Z$4:$AC$4,0))+0,0)</f>
        <v/>
      </c>
      <c r="Q1777" s="158">
        <f>IF($P1777=0,0,$P1777+IFERROR(INDEX(MASTER_JAM!$H$5:$H$94,MATCH($C1777,MASTER_JAM!$A$5:$A$94,0))+0,MASTER_JAM!$AC$15)/1000*(60/MASTER_JAM!$AC$12+60/MASTER_JAM!$AC$13)+MASTER_JAM!$AC$14)</f>
        <v/>
      </c>
      <c r="R1777" s="158">
        <f>IF(N($F1777)=0,0,$F1777/SUMIFS(INPUT_RITASE!$F$5:$F$20000,INPUT_RITASE!$A$5:$A$20000,$A1777,INPUT_RITASE!$B$5:$B$20000,$B1777,INPUT_RITASE!$C$5:$C$20000,$C1777,INPUT_RITASE!$D$5:$D$20000,$D1777))</f>
        <v/>
      </c>
      <c r="S1777" s="158">
        <f>IF($Q1777=0,0,$R1777*$P1777/$Q1777)</f>
        <v/>
      </c>
    </row>
    <row r="1778">
      <c r="A1778" s="155" t="n">
        <v>46110</v>
      </c>
      <c r="B1778" s="156" t="inlineStr">
        <is>
          <t>02-03</t>
        </is>
      </c>
      <c r="C1778" s="156" t="inlineStr">
        <is>
          <t>EX-1252</t>
        </is>
      </c>
      <c r="D1778" s="156" t="inlineStr">
        <is>
          <t>DT-518</t>
        </is>
      </c>
      <c r="E1778" s="156" t="inlineStr">
        <is>
          <t>OB</t>
        </is>
      </c>
      <c r="F1778" s="156" t="n">
        <v>3</v>
      </c>
      <c r="G1778" s="156" t="inlineStr"/>
      <c r="H1778" s="157">
        <f>IF($B1778="","",IF(ISNA(MATCH($B1778,MASTER_JAM!$Q$5:$Q$28,0)),"?",IF(MATCH($B1778,MASTER_JAM!$Q$5:$Q$28,0)&lt;=12,"DS","NS")))</f>
        <v/>
      </c>
      <c r="I1778" s="157">
        <f>IFERROR(INDEX(MASTER_JAM!$B$5:$B$94,MATCH($C1778,MASTER_JAM!$A$5:$A$94,0)),"")</f>
        <v/>
      </c>
      <c r="J1778" s="157">
        <f>IFERROR(INDEX(MASTER_JAM!$E$5:$E$94,MATCH($D1778,MASTER_JAM!$A$5:$A$94,0)),"")</f>
        <v/>
      </c>
      <c r="K1778" s="158">
        <f>IFERROR(INDEX(MASTER_JAM!$J$5:$O$12,MATCH($E1778,MASTER_JAM!$I$5:$I$12,0),MATCH($J1778,MASTER_JAM!$J$4:$O$4,0))+0,0)</f>
        <v/>
      </c>
      <c r="L1778" s="159">
        <f>N($F1778)*$K1778</f>
        <v/>
      </c>
      <c r="M1778" s="157">
        <f>IF($E1778="","",IF(OR($E1778="Coal",$E1778="Dirty Coal"),"MT","BCM"))</f>
        <v/>
      </c>
      <c r="N1778" s="157">
        <f>IF($E1778="","",IF(OR($E1778="Coal",$E1778="Dirty Coal"),"Coal","OB"))</f>
        <v/>
      </c>
      <c r="O1778" s="157">
        <f>IF($F1778="","",IF(COUNTIF(MASTER_JAM!$A$5:$A$94,$C1778)=0,"Digger tidak dikenal",IF($J1778="","Hauler tidak dikenal",IF($H1778="?","Jam salah",IF($K1778=0,"Faktor kosong",IF(SUMIFS(INPUT_DELAY!$E$5:$E$20000,INPUT_DELAY!$A$5:$A$20000,$A1778,INPUT_DELAY!$B$5:$B$20000,$B1778,INPUT_DELAY!$C$5:$C$20000,$C1778)+SUMIFS(INPUT_DELAY!$E$5:$E$20000,INPUT_DELAY!$A$5:$A$20000,$A1778,INPUT_DELAY!$B$5:$B$20000,$B1778,INPUT_DELAY!$C$5:$C$20000,"SEMUA")&gt;=60,"Delay 60 mnt tapi ada ritase","OK"))))))</f>
        <v/>
      </c>
      <c r="P1778" s="158">
        <f>IFERROR(INDEX(MASTER_JAM!$Z$5:$AC$10,MATCH($I1778,MASTER_JAM!$Y$5:$Y$10,0),MATCH($J1778,MASTER_JAM!$Z$4:$AC$4,0))+0,0)</f>
        <v/>
      </c>
      <c r="Q1778" s="158">
        <f>IF($P1778=0,0,$P1778+IFERROR(INDEX(MASTER_JAM!$H$5:$H$94,MATCH($C1778,MASTER_JAM!$A$5:$A$94,0))+0,MASTER_JAM!$AC$15)/1000*(60/MASTER_JAM!$AC$12+60/MASTER_JAM!$AC$13)+MASTER_JAM!$AC$14)</f>
        <v/>
      </c>
      <c r="R1778" s="158">
        <f>IF(N($F1778)=0,0,$F1778/SUMIFS(INPUT_RITASE!$F$5:$F$20000,INPUT_RITASE!$A$5:$A$20000,$A1778,INPUT_RITASE!$B$5:$B$20000,$B1778,INPUT_RITASE!$C$5:$C$20000,$C1778,INPUT_RITASE!$D$5:$D$20000,$D1778))</f>
        <v/>
      </c>
      <c r="S1778" s="158">
        <f>IF($Q1778=0,0,$R1778*$P1778/$Q1778)</f>
        <v/>
      </c>
    </row>
    <row r="1779">
      <c r="A1779" s="155" t="n">
        <v>46110</v>
      </c>
      <c r="B1779" s="156" t="inlineStr">
        <is>
          <t>03-04</t>
        </is>
      </c>
      <c r="C1779" s="156" t="inlineStr">
        <is>
          <t>EX-1252</t>
        </is>
      </c>
      <c r="D1779" s="156" t="inlineStr">
        <is>
          <t>DT-502</t>
        </is>
      </c>
      <c r="E1779" s="156" t="inlineStr">
        <is>
          <t>OB</t>
        </is>
      </c>
      <c r="F1779" s="156" t="n">
        <v>4</v>
      </c>
      <c r="G1779" s="156" t="inlineStr"/>
      <c r="H1779" s="157">
        <f>IF($B1779="","",IF(ISNA(MATCH($B1779,MASTER_JAM!$Q$5:$Q$28,0)),"?",IF(MATCH($B1779,MASTER_JAM!$Q$5:$Q$28,0)&lt;=12,"DS","NS")))</f>
        <v/>
      </c>
      <c r="I1779" s="157">
        <f>IFERROR(INDEX(MASTER_JAM!$B$5:$B$94,MATCH($C1779,MASTER_JAM!$A$5:$A$94,0)),"")</f>
        <v/>
      </c>
      <c r="J1779" s="157">
        <f>IFERROR(INDEX(MASTER_JAM!$E$5:$E$94,MATCH($D1779,MASTER_JAM!$A$5:$A$94,0)),"")</f>
        <v/>
      </c>
      <c r="K1779" s="158">
        <f>IFERROR(INDEX(MASTER_JAM!$J$5:$O$12,MATCH($E1779,MASTER_JAM!$I$5:$I$12,0),MATCH($J1779,MASTER_JAM!$J$4:$O$4,0))+0,0)</f>
        <v/>
      </c>
      <c r="L1779" s="159">
        <f>N($F1779)*$K1779</f>
        <v/>
      </c>
      <c r="M1779" s="157">
        <f>IF($E1779="","",IF(OR($E1779="Coal",$E1779="Dirty Coal"),"MT","BCM"))</f>
        <v/>
      </c>
      <c r="N1779" s="157">
        <f>IF($E1779="","",IF(OR($E1779="Coal",$E1779="Dirty Coal"),"Coal","OB"))</f>
        <v/>
      </c>
      <c r="O1779" s="157">
        <f>IF($F1779="","",IF(COUNTIF(MASTER_JAM!$A$5:$A$94,$C1779)=0,"Digger tidak dikenal",IF($J1779="","Hauler tidak dikenal",IF($H1779="?","Jam salah",IF($K1779=0,"Faktor kosong",IF(SUMIFS(INPUT_DELAY!$E$5:$E$20000,INPUT_DELAY!$A$5:$A$20000,$A1779,INPUT_DELAY!$B$5:$B$20000,$B1779,INPUT_DELAY!$C$5:$C$20000,$C1779)+SUMIFS(INPUT_DELAY!$E$5:$E$20000,INPUT_DELAY!$A$5:$A$20000,$A1779,INPUT_DELAY!$B$5:$B$20000,$B1779,INPUT_DELAY!$C$5:$C$20000,"SEMUA")&gt;=60,"Delay 60 mnt tapi ada ritase","OK"))))))</f>
        <v/>
      </c>
      <c r="P1779" s="158">
        <f>IFERROR(INDEX(MASTER_JAM!$Z$5:$AC$10,MATCH($I1779,MASTER_JAM!$Y$5:$Y$10,0),MATCH($J1779,MASTER_JAM!$Z$4:$AC$4,0))+0,0)</f>
        <v/>
      </c>
      <c r="Q1779" s="158">
        <f>IF($P1779=0,0,$P1779+IFERROR(INDEX(MASTER_JAM!$H$5:$H$94,MATCH($C1779,MASTER_JAM!$A$5:$A$94,0))+0,MASTER_JAM!$AC$15)/1000*(60/MASTER_JAM!$AC$12+60/MASTER_JAM!$AC$13)+MASTER_JAM!$AC$14)</f>
        <v/>
      </c>
      <c r="R1779" s="158">
        <f>IF(N($F1779)=0,0,$F1779/SUMIFS(INPUT_RITASE!$F$5:$F$20000,INPUT_RITASE!$A$5:$A$20000,$A1779,INPUT_RITASE!$B$5:$B$20000,$B1779,INPUT_RITASE!$C$5:$C$20000,$C1779,INPUT_RITASE!$D$5:$D$20000,$D1779))</f>
        <v/>
      </c>
      <c r="S1779" s="158">
        <f>IF($Q1779=0,0,$R1779*$P1779/$Q1779)</f>
        <v/>
      </c>
    </row>
    <row r="1780">
      <c r="A1780" s="155" t="n">
        <v>46110</v>
      </c>
      <c r="B1780" s="156" t="inlineStr">
        <is>
          <t>03-04</t>
        </is>
      </c>
      <c r="C1780" s="156" t="inlineStr">
        <is>
          <t>EX-1252</t>
        </is>
      </c>
      <c r="D1780" s="156" t="inlineStr">
        <is>
          <t>DT-507</t>
        </is>
      </c>
      <c r="E1780" s="156" t="inlineStr">
        <is>
          <t>OB</t>
        </is>
      </c>
      <c r="F1780" s="156" t="n">
        <v>4</v>
      </c>
      <c r="G1780" s="156" t="inlineStr"/>
      <c r="H1780" s="157">
        <f>IF($B1780="","",IF(ISNA(MATCH($B1780,MASTER_JAM!$Q$5:$Q$28,0)),"?",IF(MATCH($B1780,MASTER_JAM!$Q$5:$Q$28,0)&lt;=12,"DS","NS")))</f>
        <v/>
      </c>
      <c r="I1780" s="157">
        <f>IFERROR(INDEX(MASTER_JAM!$B$5:$B$94,MATCH($C1780,MASTER_JAM!$A$5:$A$94,0)),"")</f>
        <v/>
      </c>
      <c r="J1780" s="157">
        <f>IFERROR(INDEX(MASTER_JAM!$E$5:$E$94,MATCH($D1780,MASTER_JAM!$A$5:$A$94,0)),"")</f>
        <v/>
      </c>
      <c r="K1780" s="158">
        <f>IFERROR(INDEX(MASTER_JAM!$J$5:$O$12,MATCH($E1780,MASTER_JAM!$I$5:$I$12,0),MATCH($J1780,MASTER_JAM!$J$4:$O$4,0))+0,0)</f>
        <v/>
      </c>
      <c r="L1780" s="159">
        <f>N($F1780)*$K1780</f>
        <v/>
      </c>
      <c r="M1780" s="157">
        <f>IF($E1780="","",IF(OR($E1780="Coal",$E1780="Dirty Coal"),"MT","BCM"))</f>
        <v/>
      </c>
      <c r="N1780" s="157">
        <f>IF($E1780="","",IF(OR($E1780="Coal",$E1780="Dirty Coal"),"Coal","OB"))</f>
        <v/>
      </c>
      <c r="O1780" s="157">
        <f>IF($F1780="","",IF(COUNTIF(MASTER_JAM!$A$5:$A$94,$C1780)=0,"Digger tidak dikenal",IF($J1780="","Hauler tidak dikenal",IF($H1780="?","Jam salah",IF($K1780=0,"Faktor kosong",IF(SUMIFS(INPUT_DELAY!$E$5:$E$20000,INPUT_DELAY!$A$5:$A$20000,$A1780,INPUT_DELAY!$B$5:$B$20000,$B1780,INPUT_DELAY!$C$5:$C$20000,$C1780)+SUMIFS(INPUT_DELAY!$E$5:$E$20000,INPUT_DELAY!$A$5:$A$20000,$A1780,INPUT_DELAY!$B$5:$B$20000,$B1780,INPUT_DELAY!$C$5:$C$20000,"SEMUA")&gt;=60,"Delay 60 mnt tapi ada ritase","OK"))))))</f>
        <v/>
      </c>
      <c r="P1780" s="158">
        <f>IFERROR(INDEX(MASTER_JAM!$Z$5:$AC$10,MATCH($I1780,MASTER_JAM!$Y$5:$Y$10,0),MATCH($J1780,MASTER_JAM!$Z$4:$AC$4,0))+0,0)</f>
        <v/>
      </c>
      <c r="Q1780" s="158">
        <f>IF($P1780=0,0,$P1780+IFERROR(INDEX(MASTER_JAM!$H$5:$H$94,MATCH($C1780,MASTER_JAM!$A$5:$A$94,0))+0,MASTER_JAM!$AC$15)/1000*(60/MASTER_JAM!$AC$12+60/MASTER_JAM!$AC$13)+MASTER_JAM!$AC$14)</f>
        <v/>
      </c>
      <c r="R1780" s="158">
        <f>IF(N($F1780)=0,0,$F1780/SUMIFS(INPUT_RITASE!$F$5:$F$20000,INPUT_RITASE!$A$5:$A$20000,$A1780,INPUT_RITASE!$B$5:$B$20000,$B1780,INPUT_RITASE!$C$5:$C$20000,$C1780,INPUT_RITASE!$D$5:$D$20000,$D1780))</f>
        <v/>
      </c>
      <c r="S1780" s="158">
        <f>IF($Q1780=0,0,$R1780*$P1780/$Q1780)</f>
        <v/>
      </c>
    </row>
    <row r="1781">
      <c r="A1781" s="155" t="n">
        <v>46110</v>
      </c>
      <c r="B1781" s="156" t="inlineStr">
        <is>
          <t>03-04</t>
        </is>
      </c>
      <c r="C1781" s="156" t="inlineStr">
        <is>
          <t>EX-1252</t>
        </is>
      </c>
      <c r="D1781" s="156" t="inlineStr">
        <is>
          <t>DT-505</t>
        </is>
      </c>
      <c r="E1781" s="156" t="inlineStr">
        <is>
          <t>OB</t>
        </is>
      </c>
      <c r="F1781" s="156" t="n">
        <v>4</v>
      </c>
      <c r="G1781" s="156" t="inlineStr"/>
      <c r="H1781" s="157">
        <f>IF($B1781="","",IF(ISNA(MATCH($B1781,MASTER_JAM!$Q$5:$Q$28,0)),"?",IF(MATCH($B1781,MASTER_JAM!$Q$5:$Q$28,0)&lt;=12,"DS","NS")))</f>
        <v/>
      </c>
      <c r="I1781" s="157">
        <f>IFERROR(INDEX(MASTER_JAM!$B$5:$B$94,MATCH($C1781,MASTER_JAM!$A$5:$A$94,0)),"")</f>
        <v/>
      </c>
      <c r="J1781" s="157">
        <f>IFERROR(INDEX(MASTER_JAM!$E$5:$E$94,MATCH($D1781,MASTER_JAM!$A$5:$A$94,0)),"")</f>
        <v/>
      </c>
      <c r="K1781" s="158">
        <f>IFERROR(INDEX(MASTER_JAM!$J$5:$O$12,MATCH($E1781,MASTER_JAM!$I$5:$I$12,0),MATCH($J1781,MASTER_JAM!$J$4:$O$4,0))+0,0)</f>
        <v/>
      </c>
      <c r="L1781" s="159">
        <f>N($F1781)*$K1781</f>
        <v/>
      </c>
      <c r="M1781" s="157">
        <f>IF($E1781="","",IF(OR($E1781="Coal",$E1781="Dirty Coal"),"MT","BCM"))</f>
        <v/>
      </c>
      <c r="N1781" s="157">
        <f>IF($E1781="","",IF(OR($E1781="Coal",$E1781="Dirty Coal"),"Coal","OB"))</f>
        <v/>
      </c>
      <c r="O1781" s="157">
        <f>IF($F1781="","",IF(COUNTIF(MASTER_JAM!$A$5:$A$94,$C1781)=0,"Digger tidak dikenal",IF($J1781="","Hauler tidak dikenal",IF($H1781="?","Jam salah",IF($K1781=0,"Faktor kosong",IF(SUMIFS(INPUT_DELAY!$E$5:$E$20000,INPUT_DELAY!$A$5:$A$20000,$A1781,INPUT_DELAY!$B$5:$B$20000,$B1781,INPUT_DELAY!$C$5:$C$20000,$C1781)+SUMIFS(INPUT_DELAY!$E$5:$E$20000,INPUT_DELAY!$A$5:$A$20000,$A1781,INPUT_DELAY!$B$5:$B$20000,$B1781,INPUT_DELAY!$C$5:$C$20000,"SEMUA")&gt;=60,"Delay 60 mnt tapi ada ritase","OK"))))))</f>
        <v/>
      </c>
      <c r="P1781" s="158">
        <f>IFERROR(INDEX(MASTER_JAM!$Z$5:$AC$10,MATCH($I1781,MASTER_JAM!$Y$5:$Y$10,0),MATCH($J1781,MASTER_JAM!$Z$4:$AC$4,0))+0,0)</f>
        <v/>
      </c>
      <c r="Q1781" s="158">
        <f>IF($P1781=0,0,$P1781+IFERROR(INDEX(MASTER_JAM!$H$5:$H$94,MATCH($C1781,MASTER_JAM!$A$5:$A$94,0))+0,MASTER_JAM!$AC$15)/1000*(60/MASTER_JAM!$AC$12+60/MASTER_JAM!$AC$13)+MASTER_JAM!$AC$14)</f>
        <v/>
      </c>
      <c r="R1781" s="158">
        <f>IF(N($F1781)=0,0,$F1781/SUMIFS(INPUT_RITASE!$F$5:$F$20000,INPUT_RITASE!$A$5:$A$20000,$A1781,INPUT_RITASE!$B$5:$B$20000,$B1781,INPUT_RITASE!$C$5:$C$20000,$C1781,INPUT_RITASE!$D$5:$D$20000,$D1781))</f>
        <v/>
      </c>
      <c r="S1781" s="158">
        <f>IF($Q1781=0,0,$R1781*$P1781/$Q1781)</f>
        <v/>
      </c>
    </row>
    <row r="1782">
      <c r="A1782" s="155" t="n">
        <v>46110</v>
      </c>
      <c r="B1782" s="156" t="inlineStr">
        <is>
          <t>03-04</t>
        </is>
      </c>
      <c r="C1782" s="156" t="inlineStr">
        <is>
          <t>EX-1252</t>
        </is>
      </c>
      <c r="D1782" s="156" t="inlineStr">
        <is>
          <t>DT-511</t>
        </is>
      </c>
      <c r="E1782" s="156" t="inlineStr">
        <is>
          <t>OB</t>
        </is>
      </c>
      <c r="F1782" s="156" t="n">
        <v>3</v>
      </c>
      <c r="G1782" s="156" t="inlineStr"/>
      <c r="H1782" s="157">
        <f>IF($B1782="","",IF(ISNA(MATCH($B1782,MASTER_JAM!$Q$5:$Q$28,0)),"?",IF(MATCH($B1782,MASTER_JAM!$Q$5:$Q$28,0)&lt;=12,"DS","NS")))</f>
        <v/>
      </c>
      <c r="I1782" s="157">
        <f>IFERROR(INDEX(MASTER_JAM!$B$5:$B$94,MATCH($C1782,MASTER_JAM!$A$5:$A$94,0)),"")</f>
        <v/>
      </c>
      <c r="J1782" s="157">
        <f>IFERROR(INDEX(MASTER_JAM!$E$5:$E$94,MATCH($D1782,MASTER_JAM!$A$5:$A$94,0)),"")</f>
        <v/>
      </c>
      <c r="K1782" s="158">
        <f>IFERROR(INDEX(MASTER_JAM!$J$5:$O$12,MATCH($E1782,MASTER_JAM!$I$5:$I$12,0),MATCH($J1782,MASTER_JAM!$J$4:$O$4,0))+0,0)</f>
        <v/>
      </c>
      <c r="L1782" s="159">
        <f>N($F1782)*$K1782</f>
        <v/>
      </c>
      <c r="M1782" s="157">
        <f>IF($E1782="","",IF(OR($E1782="Coal",$E1782="Dirty Coal"),"MT","BCM"))</f>
        <v/>
      </c>
      <c r="N1782" s="157">
        <f>IF($E1782="","",IF(OR($E1782="Coal",$E1782="Dirty Coal"),"Coal","OB"))</f>
        <v/>
      </c>
      <c r="O1782" s="157">
        <f>IF($F1782="","",IF(COUNTIF(MASTER_JAM!$A$5:$A$94,$C1782)=0,"Digger tidak dikenal",IF($J1782="","Hauler tidak dikenal",IF($H1782="?","Jam salah",IF($K1782=0,"Faktor kosong",IF(SUMIFS(INPUT_DELAY!$E$5:$E$20000,INPUT_DELAY!$A$5:$A$20000,$A1782,INPUT_DELAY!$B$5:$B$20000,$B1782,INPUT_DELAY!$C$5:$C$20000,$C1782)+SUMIFS(INPUT_DELAY!$E$5:$E$20000,INPUT_DELAY!$A$5:$A$20000,$A1782,INPUT_DELAY!$B$5:$B$20000,$B1782,INPUT_DELAY!$C$5:$C$20000,"SEMUA")&gt;=60,"Delay 60 mnt tapi ada ritase","OK"))))))</f>
        <v/>
      </c>
      <c r="P1782" s="158">
        <f>IFERROR(INDEX(MASTER_JAM!$Z$5:$AC$10,MATCH($I1782,MASTER_JAM!$Y$5:$Y$10,0),MATCH($J1782,MASTER_JAM!$Z$4:$AC$4,0))+0,0)</f>
        <v/>
      </c>
      <c r="Q1782" s="158">
        <f>IF($P1782=0,0,$P1782+IFERROR(INDEX(MASTER_JAM!$H$5:$H$94,MATCH($C1782,MASTER_JAM!$A$5:$A$94,0))+0,MASTER_JAM!$AC$15)/1000*(60/MASTER_JAM!$AC$12+60/MASTER_JAM!$AC$13)+MASTER_JAM!$AC$14)</f>
        <v/>
      </c>
      <c r="R1782" s="158">
        <f>IF(N($F1782)=0,0,$F1782/SUMIFS(INPUT_RITASE!$F$5:$F$20000,INPUT_RITASE!$A$5:$A$20000,$A1782,INPUT_RITASE!$B$5:$B$20000,$B1782,INPUT_RITASE!$C$5:$C$20000,$C1782,INPUT_RITASE!$D$5:$D$20000,$D1782))</f>
        <v/>
      </c>
      <c r="S1782" s="158">
        <f>IF($Q1782=0,0,$R1782*$P1782/$Q1782)</f>
        <v/>
      </c>
    </row>
    <row r="1783">
      <c r="A1783" s="155" t="n">
        <v>46110</v>
      </c>
      <c r="B1783" s="156" t="inlineStr">
        <is>
          <t>03-04</t>
        </is>
      </c>
      <c r="C1783" s="156" t="inlineStr">
        <is>
          <t>EX-1252</t>
        </is>
      </c>
      <c r="D1783" s="156" t="inlineStr">
        <is>
          <t>DT-518</t>
        </is>
      </c>
      <c r="E1783" s="156" t="inlineStr">
        <is>
          <t>OB</t>
        </is>
      </c>
      <c r="F1783" s="156" t="n">
        <v>3</v>
      </c>
      <c r="G1783" s="156" t="inlineStr"/>
      <c r="H1783" s="157">
        <f>IF($B1783="","",IF(ISNA(MATCH($B1783,MASTER_JAM!$Q$5:$Q$28,0)),"?",IF(MATCH($B1783,MASTER_JAM!$Q$5:$Q$28,0)&lt;=12,"DS","NS")))</f>
        <v/>
      </c>
      <c r="I1783" s="157">
        <f>IFERROR(INDEX(MASTER_JAM!$B$5:$B$94,MATCH($C1783,MASTER_JAM!$A$5:$A$94,0)),"")</f>
        <v/>
      </c>
      <c r="J1783" s="157">
        <f>IFERROR(INDEX(MASTER_JAM!$E$5:$E$94,MATCH($D1783,MASTER_JAM!$A$5:$A$94,0)),"")</f>
        <v/>
      </c>
      <c r="K1783" s="158">
        <f>IFERROR(INDEX(MASTER_JAM!$J$5:$O$12,MATCH($E1783,MASTER_JAM!$I$5:$I$12,0),MATCH($J1783,MASTER_JAM!$J$4:$O$4,0))+0,0)</f>
        <v/>
      </c>
      <c r="L1783" s="159">
        <f>N($F1783)*$K1783</f>
        <v/>
      </c>
      <c r="M1783" s="157">
        <f>IF($E1783="","",IF(OR($E1783="Coal",$E1783="Dirty Coal"),"MT","BCM"))</f>
        <v/>
      </c>
      <c r="N1783" s="157">
        <f>IF($E1783="","",IF(OR($E1783="Coal",$E1783="Dirty Coal"),"Coal","OB"))</f>
        <v/>
      </c>
      <c r="O1783" s="157">
        <f>IF($F1783="","",IF(COUNTIF(MASTER_JAM!$A$5:$A$94,$C1783)=0,"Digger tidak dikenal",IF($J1783="","Hauler tidak dikenal",IF($H1783="?","Jam salah",IF($K1783=0,"Faktor kosong",IF(SUMIFS(INPUT_DELAY!$E$5:$E$20000,INPUT_DELAY!$A$5:$A$20000,$A1783,INPUT_DELAY!$B$5:$B$20000,$B1783,INPUT_DELAY!$C$5:$C$20000,$C1783)+SUMIFS(INPUT_DELAY!$E$5:$E$20000,INPUT_DELAY!$A$5:$A$20000,$A1783,INPUT_DELAY!$B$5:$B$20000,$B1783,INPUT_DELAY!$C$5:$C$20000,"SEMUA")&gt;=60,"Delay 60 mnt tapi ada ritase","OK"))))))</f>
        <v/>
      </c>
      <c r="P1783" s="158">
        <f>IFERROR(INDEX(MASTER_JAM!$Z$5:$AC$10,MATCH($I1783,MASTER_JAM!$Y$5:$Y$10,0),MATCH($J1783,MASTER_JAM!$Z$4:$AC$4,0))+0,0)</f>
        <v/>
      </c>
      <c r="Q1783" s="158">
        <f>IF($P1783=0,0,$P1783+IFERROR(INDEX(MASTER_JAM!$H$5:$H$94,MATCH($C1783,MASTER_JAM!$A$5:$A$94,0))+0,MASTER_JAM!$AC$15)/1000*(60/MASTER_JAM!$AC$12+60/MASTER_JAM!$AC$13)+MASTER_JAM!$AC$14)</f>
        <v/>
      </c>
      <c r="R1783" s="158">
        <f>IF(N($F1783)=0,0,$F1783/SUMIFS(INPUT_RITASE!$F$5:$F$20000,INPUT_RITASE!$A$5:$A$20000,$A1783,INPUT_RITASE!$B$5:$B$20000,$B1783,INPUT_RITASE!$C$5:$C$20000,$C1783,INPUT_RITASE!$D$5:$D$20000,$D1783))</f>
        <v/>
      </c>
      <c r="S1783" s="158">
        <f>IF($Q1783=0,0,$R1783*$P1783/$Q1783)</f>
        <v/>
      </c>
    </row>
    <row r="1784">
      <c r="A1784" s="155" t="n">
        <v>46110</v>
      </c>
      <c r="B1784" s="156" t="inlineStr">
        <is>
          <t>03-04</t>
        </is>
      </c>
      <c r="C1784" s="156" t="inlineStr">
        <is>
          <t>EX-1252</t>
        </is>
      </c>
      <c r="D1784" s="156" t="inlineStr">
        <is>
          <t>DT-506</t>
        </is>
      </c>
      <c r="E1784" s="156" t="inlineStr">
        <is>
          <t>OB</t>
        </is>
      </c>
      <c r="F1784" s="156" t="n">
        <v>3</v>
      </c>
      <c r="G1784" s="156" t="inlineStr"/>
      <c r="H1784" s="157">
        <f>IF($B1784="","",IF(ISNA(MATCH($B1784,MASTER_JAM!$Q$5:$Q$28,0)),"?",IF(MATCH($B1784,MASTER_JAM!$Q$5:$Q$28,0)&lt;=12,"DS","NS")))</f>
        <v/>
      </c>
      <c r="I1784" s="157">
        <f>IFERROR(INDEX(MASTER_JAM!$B$5:$B$94,MATCH($C1784,MASTER_JAM!$A$5:$A$94,0)),"")</f>
        <v/>
      </c>
      <c r="J1784" s="157">
        <f>IFERROR(INDEX(MASTER_JAM!$E$5:$E$94,MATCH($D1784,MASTER_JAM!$A$5:$A$94,0)),"")</f>
        <v/>
      </c>
      <c r="K1784" s="158">
        <f>IFERROR(INDEX(MASTER_JAM!$J$5:$O$12,MATCH($E1784,MASTER_JAM!$I$5:$I$12,0),MATCH($J1784,MASTER_JAM!$J$4:$O$4,0))+0,0)</f>
        <v/>
      </c>
      <c r="L1784" s="159">
        <f>N($F1784)*$K1784</f>
        <v/>
      </c>
      <c r="M1784" s="157">
        <f>IF($E1784="","",IF(OR($E1784="Coal",$E1784="Dirty Coal"),"MT","BCM"))</f>
        <v/>
      </c>
      <c r="N1784" s="157">
        <f>IF($E1784="","",IF(OR($E1784="Coal",$E1784="Dirty Coal"),"Coal","OB"))</f>
        <v/>
      </c>
      <c r="O1784" s="157">
        <f>IF($F1784="","",IF(COUNTIF(MASTER_JAM!$A$5:$A$94,$C1784)=0,"Digger tidak dikenal",IF($J1784="","Hauler tidak dikenal",IF($H1784="?","Jam salah",IF($K1784=0,"Faktor kosong",IF(SUMIFS(INPUT_DELAY!$E$5:$E$20000,INPUT_DELAY!$A$5:$A$20000,$A1784,INPUT_DELAY!$B$5:$B$20000,$B1784,INPUT_DELAY!$C$5:$C$20000,$C1784)+SUMIFS(INPUT_DELAY!$E$5:$E$20000,INPUT_DELAY!$A$5:$A$20000,$A1784,INPUT_DELAY!$B$5:$B$20000,$B1784,INPUT_DELAY!$C$5:$C$20000,"SEMUA")&gt;=60,"Delay 60 mnt tapi ada ritase","OK"))))))</f>
        <v/>
      </c>
      <c r="P1784" s="158">
        <f>IFERROR(INDEX(MASTER_JAM!$Z$5:$AC$10,MATCH($I1784,MASTER_JAM!$Y$5:$Y$10,0),MATCH($J1784,MASTER_JAM!$Z$4:$AC$4,0))+0,0)</f>
        <v/>
      </c>
      <c r="Q1784" s="158">
        <f>IF($P1784=0,0,$P1784+IFERROR(INDEX(MASTER_JAM!$H$5:$H$94,MATCH($C1784,MASTER_JAM!$A$5:$A$94,0))+0,MASTER_JAM!$AC$15)/1000*(60/MASTER_JAM!$AC$12+60/MASTER_JAM!$AC$13)+MASTER_JAM!$AC$14)</f>
        <v/>
      </c>
      <c r="R1784" s="158">
        <f>IF(N($F1784)=0,0,$F1784/SUMIFS(INPUT_RITASE!$F$5:$F$20000,INPUT_RITASE!$A$5:$A$20000,$A1784,INPUT_RITASE!$B$5:$B$20000,$B1784,INPUT_RITASE!$C$5:$C$20000,$C1784,INPUT_RITASE!$D$5:$D$20000,$D1784))</f>
        <v/>
      </c>
      <c r="S1784" s="158">
        <f>IF($Q1784=0,0,$R1784*$P1784/$Q1784)</f>
        <v/>
      </c>
    </row>
    <row r="1785">
      <c r="A1785" s="155" t="n">
        <v>46110</v>
      </c>
      <c r="B1785" s="156" t="inlineStr">
        <is>
          <t>04-05</t>
        </is>
      </c>
      <c r="C1785" s="156" t="inlineStr">
        <is>
          <t>EX-1252</t>
        </is>
      </c>
      <c r="D1785" s="156" t="inlineStr">
        <is>
          <t>DT-506</t>
        </is>
      </c>
      <c r="E1785" s="156" t="inlineStr">
        <is>
          <t>OB</t>
        </is>
      </c>
      <c r="F1785" s="156" t="n">
        <v>4</v>
      </c>
      <c r="G1785" s="156" t="inlineStr"/>
      <c r="H1785" s="157">
        <f>IF($B1785="","",IF(ISNA(MATCH($B1785,MASTER_JAM!$Q$5:$Q$28,0)),"?",IF(MATCH($B1785,MASTER_JAM!$Q$5:$Q$28,0)&lt;=12,"DS","NS")))</f>
        <v/>
      </c>
      <c r="I1785" s="157">
        <f>IFERROR(INDEX(MASTER_JAM!$B$5:$B$94,MATCH($C1785,MASTER_JAM!$A$5:$A$94,0)),"")</f>
        <v/>
      </c>
      <c r="J1785" s="157">
        <f>IFERROR(INDEX(MASTER_JAM!$E$5:$E$94,MATCH($D1785,MASTER_JAM!$A$5:$A$94,0)),"")</f>
        <v/>
      </c>
      <c r="K1785" s="158">
        <f>IFERROR(INDEX(MASTER_JAM!$J$5:$O$12,MATCH($E1785,MASTER_JAM!$I$5:$I$12,0),MATCH($J1785,MASTER_JAM!$J$4:$O$4,0))+0,0)</f>
        <v/>
      </c>
      <c r="L1785" s="159">
        <f>N($F1785)*$K1785</f>
        <v/>
      </c>
      <c r="M1785" s="157">
        <f>IF($E1785="","",IF(OR($E1785="Coal",$E1785="Dirty Coal"),"MT","BCM"))</f>
        <v/>
      </c>
      <c r="N1785" s="157">
        <f>IF($E1785="","",IF(OR($E1785="Coal",$E1785="Dirty Coal"),"Coal","OB"))</f>
        <v/>
      </c>
      <c r="O1785" s="157">
        <f>IF($F1785="","",IF(COUNTIF(MASTER_JAM!$A$5:$A$94,$C1785)=0,"Digger tidak dikenal",IF($J1785="","Hauler tidak dikenal",IF($H1785="?","Jam salah",IF($K1785=0,"Faktor kosong",IF(SUMIFS(INPUT_DELAY!$E$5:$E$20000,INPUT_DELAY!$A$5:$A$20000,$A1785,INPUT_DELAY!$B$5:$B$20000,$B1785,INPUT_DELAY!$C$5:$C$20000,$C1785)+SUMIFS(INPUT_DELAY!$E$5:$E$20000,INPUT_DELAY!$A$5:$A$20000,$A1785,INPUT_DELAY!$B$5:$B$20000,$B1785,INPUT_DELAY!$C$5:$C$20000,"SEMUA")&gt;=60,"Delay 60 mnt tapi ada ritase","OK"))))))</f>
        <v/>
      </c>
      <c r="P1785" s="158">
        <f>IFERROR(INDEX(MASTER_JAM!$Z$5:$AC$10,MATCH($I1785,MASTER_JAM!$Y$5:$Y$10,0),MATCH($J1785,MASTER_JAM!$Z$4:$AC$4,0))+0,0)</f>
        <v/>
      </c>
      <c r="Q1785" s="158">
        <f>IF($P1785=0,0,$P1785+IFERROR(INDEX(MASTER_JAM!$H$5:$H$94,MATCH($C1785,MASTER_JAM!$A$5:$A$94,0))+0,MASTER_JAM!$AC$15)/1000*(60/MASTER_JAM!$AC$12+60/MASTER_JAM!$AC$13)+MASTER_JAM!$AC$14)</f>
        <v/>
      </c>
      <c r="R1785" s="158">
        <f>IF(N($F1785)=0,0,$F1785/SUMIFS(INPUT_RITASE!$F$5:$F$20000,INPUT_RITASE!$A$5:$A$20000,$A1785,INPUT_RITASE!$B$5:$B$20000,$B1785,INPUT_RITASE!$C$5:$C$20000,$C1785,INPUT_RITASE!$D$5:$D$20000,$D1785))</f>
        <v/>
      </c>
      <c r="S1785" s="158">
        <f>IF($Q1785=0,0,$R1785*$P1785/$Q1785)</f>
        <v/>
      </c>
    </row>
    <row r="1786">
      <c r="A1786" s="155" t="n">
        <v>46110</v>
      </c>
      <c r="B1786" s="156" t="inlineStr">
        <is>
          <t>04-05</t>
        </is>
      </c>
      <c r="C1786" s="156" t="inlineStr">
        <is>
          <t>EX-1252</t>
        </is>
      </c>
      <c r="D1786" s="156" t="inlineStr">
        <is>
          <t>DT-502</t>
        </is>
      </c>
      <c r="E1786" s="156" t="inlineStr">
        <is>
          <t>OB</t>
        </is>
      </c>
      <c r="F1786" s="156" t="n">
        <v>4</v>
      </c>
      <c r="G1786" s="156" t="inlineStr"/>
      <c r="H1786" s="157">
        <f>IF($B1786="","",IF(ISNA(MATCH($B1786,MASTER_JAM!$Q$5:$Q$28,0)),"?",IF(MATCH($B1786,MASTER_JAM!$Q$5:$Q$28,0)&lt;=12,"DS","NS")))</f>
        <v/>
      </c>
      <c r="I1786" s="157">
        <f>IFERROR(INDEX(MASTER_JAM!$B$5:$B$94,MATCH($C1786,MASTER_JAM!$A$5:$A$94,0)),"")</f>
        <v/>
      </c>
      <c r="J1786" s="157">
        <f>IFERROR(INDEX(MASTER_JAM!$E$5:$E$94,MATCH($D1786,MASTER_JAM!$A$5:$A$94,0)),"")</f>
        <v/>
      </c>
      <c r="K1786" s="158">
        <f>IFERROR(INDEX(MASTER_JAM!$J$5:$O$12,MATCH($E1786,MASTER_JAM!$I$5:$I$12,0),MATCH($J1786,MASTER_JAM!$J$4:$O$4,0))+0,0)</f>
        <v/>
      </c>
      <c r="L1786" s="159">
        <f>N($F1786)*$K1786</f>
        <v/>
      </c>
      <c r="M1786" s="157">
        <f>IF($E1786="","",IF(OR($E1786="Coal",$E1786="Dirty Coal"),"MT","BCM"))</f>
        <v/>
      </c>
      <c r="N1786" s="157">
        <f>IF($E1786="","",IF(OR($E1786="Coal",$E1786="Dirty Coal"),"Coal","OB"))</f>
        <v/>
      </c>
      <c r="O1786" s="157">
        <f>IF($F1786="","",IF(COUNTIF(MASTER_JAM!$A$5:$A$94,$C1786)=0,"Digger tidak dikenal",IF($J1786="","Hauler tidak dikenal",IF($H1786="?","Jam salah",IF($K1786=0,"Faktor kosong",IF(SUMIFS(INPUT_DELAY!$E$5:$E$20000,INPUT_DELAY!$A$5:$A$20000,$A1786,INPUT_DELAY!$B$5:$B$20000,$B1786,INPUT_DELAY!$C$5:$C$20000,$C1786)+SUMIFS(INPUT_DELAY!$E$5:$E$20000,INPUT_DELAY!$A$5:$A$20000,$A1786,INPUT_DELAY!$B$5:$B$20000,$B1786,INPUT_DELAY!$C$5:$C$20000,"SEMUA")&gt;=60,"Delay 60 mnt tapi ada ritase","OK"))))))</f>
        <v/>
      </c>
      <c r="P1786" s="158">
        <f>IFERROR(INDEX(MASTER_JAM!$Z$5:$AC$10,MATCH($I1786,MASTER_JAM!$Y$5:$Y$10,0),MATCH($J1786,MASTER_JAM!$Z$4:$AC$4,0))+0,0)</f>
        <v/>
      </c>
      <c r="Q1786" s="158">
        <f>IF($P1786=0,0,$P1786+IFERROR(INDEX(MASTER_JAM!$H$5:$H$94,MATCH($C1786,MASTER_JAM!$A$5:$A$94,0))+0,MASTER_JAM!$AC$15)/1000*(60/MASTER_JAM!$AC$12+60/MASTER_JAM!$AC$13)+MASTER_JAM!$AC$14)</f>
        <v/>
      </c>
      <c r="R1786" s="158">
        <f>IF(N($F1786)=0,0,$F1786/SUMIFS(INPUT_RITASE!$F$5:$F$20000,INPUT_RITASE!$A$5:$A$20000,$A1786,INPUT_RITASE!$B$5:$B$20000,$B1786,INPUT_RITASE!$C$5:$C$20000,$C1786,INPUT_RITASE!$D$5:$D$20000,$D1786))</f>
        <v/>
      </c>
      <c r="S1786" s="158">
        <f>IF($Q1786=0,0,$R1786*$P1786/$Q1786)</f>
        <v/>
      </c>
    </row>
    <row r="1787">
      <c r="A1787" s="155" t="n">
        <v>46110</v>
      </c>
      <c r="B1787" s="156" t="inlineStr">
        <is>
          <t>04-05</t>
        </is>
      </c>
      <c r="C1787" s="156" t="inlineStr">
        <is>
          <t>EX-1252</t>
        </is>
      </c>
      <c r="D1787" s="156" t="inlineStr">
        <is>
          <t>DT-504</t>
        </is>
      </c>
      <c r="E1787" s="156" t="inlineStr">
        <is>
          <t>OB</t>
        </is>
      </c>
      <c r="F1787" s="156" t="n">
        <v>4</v>
      </c>
      <c r="G1787" s="156" t="inlineStr"/>
      <c r="H1787" s="157">
        <f>IF($B1787="","",IF(ISNA(MATCH($B1787,MASTER_JAM!$Q$5:$Q$28,0)),"?",IF(MATCH($B1787,MASTER_JAM!$Q$5:$Q$28,0)&lt;=12,"DS","NS")))</f>
        <v/>
      </c>
      <c r="I1787" s="157">
        <f>IFERROR(INDEX(MASTER_JAM!$B$5:$B$94,MATCH($C1787,MASTER_JAM!$A$5:$A$94,0)),"")</f>
        <v/>
      </c>
      <c r="J1787" s="157">
        <f>IFERROR(INDEX(MASTER_JAM!$E$5:$E$94,MATCH($D1787,MASTER_JAM!$A$5:$A$94,0)),"")</f>
        <v/>
      </c>
      <c r="K1787" s="158">
        <f>IFERROR(INDEX(MASTER_JAM!$J$5:$O$12,MATCH($E1787,MASTER_JAM!$I$5:$I$12,0),MATCH($J1787,MASTER_JAM!$J$4:$O$4,0))+0,0)</f>
        <v/>
      </c>
      <c r="L1787" s="159">
        <f>N($F1787)*$K1787</f>
        <v/>
      </c>
      <c r="M1787" s="157">
        <f>IF($E1787="","",IF(OR($E1787="Coal",$E1787="Dirty Coal"),"MT","BCM"))</f>
        <v/>
      </c>
      <c r="N1787" s="157">
        <f>IF($E1787="","",IF(OR($E1787="Coal",$E1787="Dirty Coal"),"Coal","OB"))</f>
        <v/>
      </c>
      <c r="O1787" s="157">
        <f>IF($F1787="","",IF(COUNTIF(MASTER_JAM!$A$5:$A$94,$C1787)=0,"Digger tidak dikenal",IF($J1787="","Hauler tidak dikenal",IF($H1787="?","Jam salah",IF($K1787=0,"Faktor kosong",IF(SUMIFS(INPUT_DELAY!$E$5:$E$20000,INPUT_DELAY!$A$5:$A$20000,$A1787,INPUT_DELAY!$B$5:$B$20000,$B1787,INPUT_DELAY!$C$5:$C$20000,$C1787)+SUMIFS(INPUT_DELAY!$E$5:$E$20000,INPUT_DELAY!$A$5:$A$20000,$A1787,INPUT_DELAY!$B$5:$B$20000,$B1787,INPUT_DELAY!$C$5:$C$20000,"SEMUA")&gt;=60,"Delay 60 mnt tapi ada ritase","OK"))))))</f>
        <v/>
      </c>
      <c r="P1787" s="158">
        <f>IFERROR(INDEX(MASTER_JAM!$Z$5:$AC$10,MATCH($I1787,MASTER_JAM!$Y$5:$Y$10,0),MATCH($J1787,MASTER_JAM!$Z$4:$AC$4,0))+0,0)</f>
        <v/>
      </c>
      <c r="Q1787" s="158">
        <f>IF($P1787=0,0,$P1787+IFERROR(INDEX(MASTER_JAM!$H$5:$H$94,MATCH($C1787,MASTER_JAM!$A$5:$A$94,0))+0,MASTER_JAM!$AC$15)/1000*(60/MASTER_JAM!$AC$12+60/MASTER_JAM!$AC$13)+MASTER_JAM!$AC$14)</f>
        <v/>
      </c>
      <c r="R1787" s="158">
        <f>IF(N($F1787)=0,0,$F1787/SUMIFS(INPUT_RITASE!$F$5:$F$20000,INPUT_RITASE!$A$5:$A$20000,$A1787,INPUT_RITASE!$B$5:$B$20000,$B1787,INPUT_RITASE!$C$5:$C$20000,$C1787,INPUT_RITASE!$D$5:$D$20000,$D1787))</f>
        <v/>
      </c>
      <c r="S1787" s="158">
        <f>IF($Q1787=0,0,$R1787*$P1787/$Q1787)</f>
        <v/>
      </c>
    </row>
    <row r="1788">
      <c r="A1788" s="155" t="n">
        <v>46110</v>
      </c>
      <c r="B1788" s="156" t="inlineStr">
        <is>
          <t>04-05</t>
        </is>
      </c>
      <c r="C1788" s="156" t="inlineStr">
        <is>
          <t>EX-1252</t>
        </is>
      </c>
      <c r="D1788" s="156" t="inlineStr">
        <is>
          <t>DT-503</t>
        </is>
      </c>
      <c r="E1788" s="156" t="inlineStr">
        <is>
          <t>OB</t>
        </is>
      </c>
      <c r="F1788" s="156" t="n">
        <v>4</v>
      </c>
      <c r="G1788" s="156" t="inlineStr"/>
      <c r="H1788" s="157">
        <f>IF($B1788="","",IF(ISNA(MATCH($B1788,MASTER_JAM!$Q$5:$Q$28,0)),"?",IF(MATCH($B1788,MASTER_JAM!$Q$5:$Q$28,0)&lt;=12,"DS","NS")))</f>
        <v/>
      </c>
      <c r="I1788" s="157">
        <f>IFERROR(INDEX(MASTER_JAM!$B$5:$B$94,MATCH($C1788,MASTER_JAM!$A$5:$A$94,0)),"")</f>
        <v/>
      </c>
      <c r="J1788" s="157">
        <f>IFERROR(INDEX(MASTER_JAM!$E$5:$E$94,MATCH($D1788,MASTER_JAM!$A$5:$A$94,0)),"")</f>
        <v/>
      </c>
      <c r="K1788" s="158">
        <f>IFERROR(INDEX(MASTER_JAM!$J$5:$O$12,MATCH($E1788,MASTER_JAM!$I$5:$I$12,0),MATCH($J1788,MASTER_JAM!$J$4:$O$4,0))+0,0)</f>
        <v/>
      </c>
      <c r="L1788" s="159">
        <f>N($F1788)*$K1788</f>
        <v/>
      </c>
      <c r="M1788" s="157">
        <f>IF($E1788="","",IF(OR($E1788="Coal",$E1788="Dirty Coal"),"MT","BCM"))</f>
        <v/>
      </c>
      <c r="N1788" s="157">
        <f>IF($E1788="","",IF(OR($E1788="Coal",$E1788="Dirty Coal"),"Coal","OB"))</f>
        <v/>
      </c>
      <c r="O1788" s="157">
        <f>IF($F1788="","",IF(COUNTIF(MASTER_JAM!$A$5:$A$94,$C1788)=0,"Digger tidak dikenal",IF($J1788="","Hauler tidak dikenal",IF($H1788="?","Jam salah",IF($K1788=0,"Faktor kosong",IF(SUMIFS(INPUT_DELAY!$E$5:$E$20000,INPUT_DELAY!$A$5:$A$20000,$A1788,INPUT_DELAY!$B$5:$B$20000,$B1788,INPUT_DELAY!$C$5:$C$20000,$C1788)+SUMIFS(INPUT_DELAY!$E$5:$E$20000,INPUT_DELAY!$A$5:$A$20000,$A1788,INPUT_DELAY!$B$5:$B$20000,$B1788,INPUT_DELAY!$C$5:$C$20000,"SEMUA")&gt;=60,"Delay 60 mnt tapi ada ritase","OK"))))))</f>
        <v/>
      </c>
      <c r="P1788" s="158">
        <f>IFERROR(INDEX(MASTER_JAM!$Z$5:$AC$10,MATCH($I1788,MASTER_JAM!$Y$5:$Y$10,0),MATCH($J1788,MASTER_JAM!$Z$4:$AC$4,0))+0,0)</f>
        <v/>
      </c>
      <c r="Q1788" s="158">
        <f>IF($P1788=0,0,$P1788+IFERROR(INDEX(MASTER_JAM!$H$5:$H$94,MATCH($C1788,MASTER_JAM!$A$5:$A$94,0))+0,MASTER_JAM!$AC$15)/1000*(60/MASTER_JAM!$AC$12+60/MASTER_JAM!$AC$13)+MASTER_JAM!$AC$14)</f>
        <v/>
      </c>
      <c r="R1788" s="158">
        <f>IF(N($F1788)=0,0,$F1788/SUMIFS(INPUT_RITASE!$F$5:$F$20000,INPUT_RITASE!$A$5:$A$20000,$A1788,INPUT_RITASE!$B$5:$B$20000,$B1788,INPUT_RITASE!$C$5:$C$20000,$C1788,INPUT_RITASE!$D$5:$D$20000,$D1788))</f>
        <v/>
      </c>
      <c r="S1788" s="158">
        <f>IF($Q1788=0,0,$R1788*$P1788/$Q1788)</f>
        <v/>
      </c>
    </row>
    <row r="1789">
      <c r="A1789" s="155" t="n">
        <v>46110</v>
      </c>
      <c r="B1789" s="156" t="inlineStr">
        <is>
          <t>04-05</t>
        </is>
      </c>
      <c r="C1789" s="156" t="inlineStr">
        <is>
          <t>EX-1252</t>
        </is>
      </c>
      <c r="D1789" s="156" t="inlineStr">
        <is>
          <t>DT-505</t>
        </is>
      </c>
      <c r="E1789" s="156" t="inlineStr">
        <is>
          <t>OB</t>
        </is>
      </c>
      <c r="F1789" s="156" t="n">
        <v>3</v>
      </c>
      <c r="G1789" s="156" t="inlineStr"/>
      <c r="H1789" s="157">
        <f>IF($B1789="","",IF(ISNA(MATCH($B1789,MASTER_JAM!$Q$5:$Q$28,0)),"?",IF(MATCH($B1789,MASTER_JAM!$Q$5:$Q$28,0)&lt;=12,"DS","NS")))</f>
        <v/>
      </c>
      <c r="I1789" s="157">
        <f>IFERROR(INDEX(MASTER_JAM!$B$5:$B$94,MATCH($C1789,MASTER_JAM!$A$5:$A$94,0)),"")</f>
        <v/>
      </c>
      <c r="J1789" s="157">
        <f>IFERROR(INDEX(MASTER_JAM!$E$5:$E$94,MATCH($D1789,MASTER_JAM!$A$5:$A$94,0)),"")</f>
        <v/>
      </c>
      <c r="K1789" s="158">
        <f>IFERROR(INDEX(MASTER_JAM!$J$5:$O$12,MATCH($E1789,MASTER_JAM!$I$5:$I$12,0),MATCH($J1789,MASTER_JAM!$J$4:$O$4,0))+0,0)</f>
        <v/>
      </c>
      <c r="L1789" s="159">
        <f>N($F1789)*$K1789</f>
        <v/>
      </c>
      <c r="M1789" s="157">
        <f>IF($E1789="","",IF(OR($E1789="Coal",$E1789="Dirty Coal"),"MT","BCM"))</f>
        <v/>
      </c>
      <c r="N1789" s="157">
        <f>IF($E1789="","",IF(OR($E1789="Coal",$E1789="Dirty Coal"),"Coal","OB"))</f>
        <v/>
      </c>
      <c r="O1789" s="157">
        <f>IF($F1789="","",IF(COUNTIF(MASTER_JAM!$A$5:$A$94,$C1789)=0,"Digger tidak dikenal",IF($J1789="","Hauler tidak dikenal",IF($H1789="?","Jam salah",IF($K1789=0,"Faktor kosong",IF(SUMIFS(INPUT_DELAY!$E$5:$E$20000,INPUT_DELAY!$A$5:$A$20000,$A1789,INPUT_DELAY!$B$5:$B$20000,$B1789,INPUT_DELAY!$C$5:$C$20000,$C1789)+SUMIFS(INPUT_DELAY!$E$5:$E$20000,INPUT_DELAY!$A$5:$A$20000,$A1789,INPUT_DELAY!$B$5:$B$20000,$B1789,INPUT_DELAY!$C$5:$C$20000,"SEMUA")&gt;=60,"Delay 60 mnt tapi ada ritase","OK"))))))</f>
        <v/>
      </c>
      <c r="P1789" s="158">
        <f>IFERROR(INDEX(MASTER_JAM!$Z$5:$AC$10,MATCH($I1789,MASTER_JAM!$Y$5:$Y$10,0),MATCH($J1789,MASTER_JAM!$Z$4:$AC$4,0))+0,0)</f>
        <v/>
      </c>
      <c r="Q1789" s="158">
        <f>IF($P1789=0,0,$P1789+IFERROR(INDEX(MASTER_JAM!$H$5:$H$94,MATCH($C1789,MASTER_JAM!$A$5:$A$94,0))+0,MASTER_JAM!$AC$15)/1000*(60/MASTER_JAM!$AC$12+60/MASTER_JAM!$AC$13)+MASTER_JAM!$AC$14)</f>
        <v/>
      </c>
      <c r="R1789" s="158">
        <f>IF(N($F1789)=0,0,$F1789/SUMIFS(INPUT_RITASE!$F$5:$F$20000,INPUT_RITASE!$A$5:$A$20000,$A1789,INPUT_RITASE!$B$5:$B$20000,$B1789,INPUT_RITASE!$C$5:$C$20000,$C1789,INPUT_RITASE!$D$5:$D$20000,$D1789))</f>
        <v/>
      </c>
      <c r="S1789" s="158">
        <f>IF($Q1789=0,0,$R1789*$P1789/$Q1789)</f>
        <v/>
      </c>
    </row>
    <row r="1790">
      <c r="A1790" s="155" t="n">
        <v>46110</v>
      </c>
      <c r="B1790" s="156" t="inlineStr">
        <is>
          <t>04-05</t>
        </is>
      </c>
      <c r="C1790" s="156" t="inlineStr">
        <is>
          <t>EX-1252</t>
        </is>
      </c>
      <c r="D1790" s="156" t="inlineStr">
        <is>
          <t>DT-518</t>
        </is>
      </c>
      <c r="E1790" s="156" t="inlineStr">
        <is>
          <t>OB</t>
        </is>
      </c>
      <c r="F1790" s="156" t="n">
        <v>3</v>
      </c>
      <c r="G1790" s="156" t="inlineStr"/>
      <c r="H1790" s="157">
        <f>IF($B1790="","",IF(ISNA(MATCH($B1790,MASTER_JAM!$Q$5:$Q$28,0)),"?",IF(MATCH($B1790,MASTER_JAM!$Q$5:$Q$28,0)&lt;=12,"DS","NS")))</f>
        <v/>
      </c>
      <c r="I1790" s="157">
        <f>IFERROR(INDEX(MASTER_JAM!$B$5:$B$94,MATCH($C1790,MASTER_JAM!$A$5:$A$94,0)),"")</f>
        <v/>
      </c>
      <c r="J1790" s="157">
        <f>IFERROR(INDEX(MASTER_JAM!$E$5:$E$94,MATCH($D1790,MASTER_JAM!$A$5:$A$94,0)),"")</f>
        <v/>
      </c>
      <c r="K1790" s="158">
        <f>IFERROR(INDEX(MASTER_JAM!$J$5:$O$12,MATCH($E1790,MASTER_JAM!$I$5:$I$12,0),MATCH($J1790,MASTER_JAM!$J$4:$O$4,0))+0,0)</f>
        <v/>
      </c>
      <c r="L1790" s="159">
        <f>N($F1790)*$K1790</f>
        <v/>
      </c>
      <c r="M1790" s="157">
        <f>IF($E1790="","",IF(OR($E1790="Coal",$E1790="Dirty Coal"),"MT","BCM"))</f>
        <v/>
      </c>
      <c r="N1790" s="157">
        <f>IF($E1790="","",IF(OR($E1790="Coal",$E1790="Dirty Coal"),"Coal","OB"))</f>
        <v/>
      </c>
      <c r="O1790" s="157">
        <f>IF($F1790="","",IF(COUNTIF(MASTER_JAM!$A$5:$A$94,$C1790)=0,"Digger tidak dikenal",IF($J1790="","Hauler tidak dikenal",IF($H1790="?","Jam salah",IF($K1790=0,"Faktor kosong",IF(SUMIFS(INPUT_DELAY!$E$5:$E$20000,INPUT_DELAY!$A$5:$A$20000,$A1790,INPUT_DELAY!$B$5:$B$20000,$B1790,INPUT_DELAY!$C$5:$C$20000,$C1790)+SUMIFS(INPUT_DELAY!$E$5:$E$20000,INPUT_DELAY!$A$5:$A$20000,$A1790,INPUT_DELAY!$B$5:$B$20000,$B1790,INPUT_DELAY!$C$5:$C$20000,"SEMUA")&gt;=60,"Delay 60 mnt tapi ada ritase","OK"))))))</f>
        <v/>
      </c>
      <c r="P1790" s="158">
        <f>IFERROR(INDEX(MASTER_JAM!$Z$5:$AC$10,MATCH($I1790,MASTER_JAM!$Y$5:$Y$10,0),MATCH($J1790,MASTER_JAM!$Z$4:$AC$4,0))+0,0)</f>
        <v/>
      </c>
      <c r="Q1790" s="158">
        <f>IF($P1790=0,0,$P1790+IFERROR(INDEX(MASTER_JAM!$H$5:$H$94,MATCH($C1790,MASTER_JAM!$A$5:$A$94,0))+0,MASTER_JAM!$AC$15)/1000*(60/MASTER_JAM!$AC$12+60/MASTER_JAM!$AC$13)+MASTER_JAM!$AC$14)</f>
        <v/>
      </c>
      <c r="R1790" s="158">
        <f>IF(N($F1790)=0,0,$F1790/SUMIFS(INPUT_RITASE!$F$5:$F$20000,INPUT_RITASE!$A$5:$A$20000,$A1790,INPUT_RITASE!$B$5:$B$20000,$B1790,INPUT_RITASE!$C$5:$C$20000,$C1790,INPUT_RITASE!$D$5:$D$20000,$D1790))</f>
        <v/>
      </c>
      <c r="S1790" s="158">
        <f>IF($Q1790=0,0,$R1790*$P1790/$Q1790)</f>
        <v/>
      </c>
    </row>
    <row r="1791">
      <c r="A1791" s="155" t="n">
        <v>46110</v>
      </c>
      <c r="B1791" s="156" t="inlineStr">
        <is>
          <t>05-06</t>
        </is>
      </c>
      <c r="C1791" s="156" t="inlineStr">
        <is>
          <t>EX-1252</t>
        </is>
      </c>
      <c r="D1791" s="156" t="inlineStr">
        <is>
          <t>DT-529</t>
        </is>
      </c>
      <c r="E1791" s="156" t="inlineStr">
        <is>
          <t>OB</t>
        </is>
      </c>
      <c r="F1791" s="156" t="n">
        <v>4</v>
      </c>
      <c r="G1791" s="156" t="inlineStr"/>
      <c r="H1791" s="157">
        <f>IF($B1791="","",IF(ISNA(MATCH($B1791,MASTER_JAM!$Q$5:$Q$28,0)),"?",IF(MATCH($B1791,MASTER_JAM!$Q$5:$Q$28,0)&lt;=12,"DS","NS")))</f>
        <v/>
      </c>
      <c r="I1791" s="157">
        <f>IFERROR(INDEX(MASTER_JAM!$B$5:$B$94,MATCH($C1791,MASTER_JAM!$A$5:$A$94,0)),"")</f>
        <v/>
      </c>
      <c r="J1791" s="157">
        <f>IFERROR(INDEX(MASTER_JAM!$E$5:$E$94,MATCH($D1791,MASTER_JAM!$A$5:$A$94,0)),"")</f>
        <v/>
      </c>
      <c r="K1791" s="158">
        <f>IFERROR(INDEX(MASTER_JAM!$J$5:$O$12,MATCH($E1791,MASTER_JAM!$I$5:$I$12,0),MATCH($J1791,MASTER_JAM!$J$4:$O$4,0))+0,0)</f>
        <v/>
      </c>
      <c r="L1791" s="159">
        <f>N($F1791)*$K1791</f>
        <v/>
      </c>
      <c r="M1791" s="157">
        <f>IF($E1791="","",IF(OR($E1791="Coal",$E1791="Dirty Coal"),"MT","BCM"))</f>
        <v/>
      </c>
      <c r="N1791" s="157">
        <f>IF($E1791="","",IF(OR($E1791="Coal",$E1791="Dirty Coal"),"Coal","OB"))</f>
        <v/>
      </c>
      <c r="O1791" s="157">
        <f>IF($F1791="","",IF(COUNTIF(MASTER_JAM!$A$5:$A$94,$C1791)=0,"Digger tidak dikenal",IF($J1791="","Hauler tidak dikenal",IF($H1791="?","Jam salah",IF($K1791=0,"Faktor kosong",IF(SUMIFS(INPUT_DELAY!$E$5:$E$20000,INPUT_DELAY!$A$5:$A$20000,$A1791,INPUT_DELAY!$B$5:$B$20000,$B1791,INPUT_DELAY!$C$5:$C$20000,$C1791)+SUMIFS(INPUT_DELAY!$E$5:$E$20000,INPUT_DELAY!$A$5:$A$20000,$A1791,INPUT_DELAY!$B$5:$B$20000,$B1791,INPUT_DELAY!$C$5:$C$20000,"SEMUA")&gt;=60,"Delay 60 mnt tapi ada ritase","OK"))))))</f>
        <v/>
      </c>
      <c r="P1791" s="158">
        <f>IFERROR(INDEX(MASTER_JAM!$Z$5:$AC$10,MATCH($I1791,MASTER_JAM!$Y$5:$Y$10,0),MATCH($J1791,MASTER_JAM!$Z$4:$AC$4,0))+0,0)</f>
        <v/>
      </c>
      <c r="Q1791" s="158">
        <f>IF($P1791=0,0,$P1791+IFERROR(INDEX(MASTER_JAM!$H$5:$H$94,MATCH($C1791,MASTER_JAM!$A$5:$A$94,0))+0,MASTER_JAM!$AC$15)/1000*(60/MASTER_JAM!$AC$12+60/MASTER_JAM!$AC$13)+MASTER_JAM!$AC$14)</f>
        <v/>
      </c>
      <c r="R1791" s="158">
        <f>IF(N($F1791)=0,0,$F1791/SUMIFS(INPUT_RITASE!$F$5:$F$20000,INPUT_RITASE!$A$5:$A$20000,$A1791,INPUT_RITASE!$B$5:$B$20000,$B1791,INPUT_RITASE!$C$5:$C$20000,$C1791,INPUT_RITASE!$D$5:$D$20000,$D1791))</f>
        <v/>
      </c>
      <c r="S1791" s="158">
        <f>IF($Q1791=0,0,$R1791*$P1791/$Q1791)</f>
        <v/>
      </c>
    </row>
    <row r="1792">
      <c r="A1792" s="155" t="n">
        <v>46110</v>
      </c>
      <c r="B1792" s="156" t="inlineStr">
        <is>
          <t>05-06</t>
        </is>
      </c>
      <c r="C1792" s="156" t="inlineStr">
        <is>
          <t>EX-1252</t>
        </is>
      </c>
      <c r="D1792" s="156" t="inlineStr">
        <is>
          <t>DT-511</t>
        </is>
      </c>
      <c r="E1792" s="156" t="inlineStr">
        <is>
          <t>OB</t>
        </is>
      </c>
      <c r="F1792" s="156" t="n">
        <v>3</v>
      </c>
      <c r="G1792" s="156" t="inlineStr"/>
      <c r="H1792" s="157">
        <f>IF($B1792="","",IF(ISNA(MATCH($B1792,MASTER_JAM!$Q$5:$Q$28,0)),"?",IF(MATCH($B1792,MASTER_JAM!$Q$5:$Q$28,0)&lt;=12,"DS","NS")))</f>
        <v/>
      </c>
      <c r="I1792" s="157">
        <f>IFERROR(INDEX(MASTER_JAM!$B$5:$B$94,MATCH($C1792,MASTER_JAM!$A$5:$A$94,0)),"")</f>
        <v/>
      </c>
      <c r="J1792" s="157">
        <f>IFERROR(INDEX(MASTER_JAM!$E$5:$E$94,MATCH($D1792,MASTER_JAM!$A$5:$A$94,0)),"")</f>
        <v/>
      </c>
      <c r="K1792" s="158">
        <f>IFERROR(INDEX(MASTER_JAM!$J$5:$O$12,MATCH($E1792,MASTER_JAM!$I$5:$I$12,0),MATCH($J1792,MASTER_JAM!$J$4:$O$4,0))+0,0)</f>
        <v/>
      </c>
      <c r="L1792" s="159">
        <f>N($F1792)*$K1792</f>
        <v/>
      </c>
      <c r="M1792" s="157">
        <f>IF($E1792="","",IF(OR($E1792="Coal",$E1792="Dirty Coal"),"MT","BCM"))</f>
        <v/>
      </c>
      <c r="N1792" s="157">
        <f>IF($E1792="","",IF(OR($E1792="Coal",$E1792="Dirty Coal"),"Coal","OB"))</f>
        <v/>
      </c>
      <c r="O1792" s="157">
        <f>IF($F1792="","",IF(COUNTIF(MASTER_JAM!$A$5:$A$94,$C1792)=0,"Digger tidak dikenal",IF($J1792="","Hauler tidak dikenal",IF($H1792="?","Jam salah",IF($K1792=0,"Faktor kosong",IF(SUMIFS(INPUT_DELAY!$E$5:$E$20000,INPUT_DELAY!$A$5:$A$20000,$A1792,INPUT_DELAY!$B$5:$B$20000,$B1792,INPUT_DELAY!$C$5:$C$20000,$C1792)+SUMIFS(INPUT_DELAY!$E$5:$E$20000,INPUT_DELAY!$A$5:$A$20000,$A1792,INPUT_DELAY!$B$5:$B$20000,$B1792,INPUT_DELAY!$C$5:$C$20000,"SEMUA")&gt;=60,"Delay 60 mnt tapi ada ritase","OK"))))))</f>
        <v/>
      </c>
      <c r="P1792" s="158">
        <f>IFERROR(INDEX(MASTER_JAM!$Z$5:$AC$10,MATCH($I1792,MASTER_JAM!$Y$5:$Y$10,0),MATCH($J1792,MASTER_JAM!$Z$4:$AC$4,0))+0,0)</f>
        <v/>
      </c>
      <c r="Q1792" s="158">
        <f>IF($P1792=0,0,$P1792+IFERROR(INDEX(MASTER_JAM!$H$5:$H$94,MATCH($C1792,MASTER_JAM!$A$5:$A$94,0))+0,MASTER_JAM!$AC$15)/1000*(60/MASTER_JAM!$AC$12+60/MASTER_JAM!$AC$13)+MASTER_JAM!$AC$14)</f>
        <v/>
      </c>
      <c r="R1792" s="158">
        <f>IF(N($F1792)=0,0,$F1792/SUMIFS(INPUT_RITASE!$F$5:$F$20000,INPUT_RITASE!$A$5:$A$20000,$A1792,INPUT_RITASE!$B$5:$B$20000,$B1792,INPUT_RITASE!$C$5:$C$20000,$C1792,INPUT_RITASE!$D$5:$D$20000,$D1792))</f>
        <v/>
      </c>
      <c r="S1792" s="158">
        <f>IF($Q1792=0,0,$R1792*$P1792/$Q1792)</f>
        <v/>
      </c>
    </row>
    <row r="1793">
      <c r="A1793" s="155" t="n">
        <v>46110</v>
      </c>
      <c r="B1793" s="156" t="inlineStr">
        <is>
          <t>05-06</t>
        </is>
      </c>
      <c r="C1793" s="156" t="inlineStr">
        <is>
          <t>EX-1252</t>
        </is>
      </c>
      <c r="D1793" s="156" t="inlineStr">
        <is>
          <t>DT-519</t>
        </is>
      </c>
      <c r="E1793" s="156" t="inlineStr">
        <is>
          <t>OB</t>
        </is>
      </c>
      <c r="F1793" s="156" t="n">
        <v>3</v>
      </c>
      <c r="G1793" s="156" t="inlineStr"/>
      <c r="H1793" s="157">
        <f>IF($B1793="","",IF(ISNA(MATCH($B1793,MASTER_JAM!$Q$5:$Q$28,0)),"?",IF(MATCH($B1793,MASTER_JAM!$Q$5:$Q$28,0)&lt;=12,"DS","NS")))</f>
        <v/>
      </c>
      <c r="I1793" s="157">
        <f>IFERROR(INDEX(MASTER_JAM!$B$5:$B$94,MATCH($C1793,MASTER_JAM!$A$5:$A$94,0)),"")</f>
        <v/>
      </c>
      <c r="J1793" s="157">
        <f>IFERROR(INDEX(MASTER_JAM!$E$5:$E$94,MATCH($D1793,MASTER_JAM!$A$5:$A$94,0)),"")</f>
        <v/>
      </c>
      <c r="K1793" s="158">
        <f>IFERROR(INDEX(MASTER_JAM!$J$5:$O$12,MATCH($E1793,MASTER_JAM!$I$5:$I$12,0),MATCH($J1793,MASTER_JAM!$J$4:$O$4,0))+0,0)</f>
        <v/>
      </c>
      <c r="L1793" s="159">
        <f>N($F1793)*$K1793</f>
        <v/>
      </c>
      <c r="M1793" s="157">
        <f>IF($E1793="","",IF(OR($E1793="Coal",$E1793="Dirty Coal"),"MT","BCM"))</f>
        <v/>
      </c>
      <c r="N1793" s="157">
        <f>IF($E1793="","",IF(OR($E1793="Coal",$E1793="Dirty Coal"),"Coal","OB"))</f>
        <v/>
      </c>
      <c r="O1793" s="157">
        <f>IF($F1793="","",IF(COUNTIF(MASTER_JAM!$A$5:$A$94,$C1793)=0,"Digger tidak dikenal",IF($J1793="","Hauler tidak dikenal",IF($H1793="?","Jam salah",IF($K1793=0,"Faktor kosong",IF(SUMIFS(INPUT_DELAY!$E$5:$E$20000,INPUT_DELAY!$A$5:$A$20000,$A1793,INPUT_DELAY!$B$5:$B$20000,$B1793,INPUT_DELAY!$C$5:$C$20000,$C1793)+SUMIFS(INPUT_DELAY!$E$5:$E$20000,INPUT_DELAY!$A$5:$A$20000,$A1793,INPUT_DELAY!$B$5:$B$20000,$B1793,INPUT_DELAY!$C$5:$C$20000,"SEMUA")&gt;=60,"Delay 60 mnt tapi ada ritase","OK"))))))</f>
        <v/>
      </c>
      <c r="P1793" s="158">
        <f>IFERROR(INDEX(MASTER_JAM!$Z$5:$AC$10,MATCH($I1793,MASTER_JAM!$Y$5:$Y$10,0),MATCH($J1793,MASTER_JAM!$Z$4:$AC$4,0))+0,0)</f>
        <v/>
      </c>
      <c r="Q1793" s="158">
        <f>IF($P1793=0,0,$P1793+IFERROR(INDEX(MASTER_JAM!$H$5:$H$94,MATCH($C1793,MASTER_JAM!$A$5:$A$94,0))+0,MASTER_JAM!$AC$15)/1000*(60/MASTER_JAM!$AC$12+60/MASTER_JAM!$AC$13)+MASTER_JAM!$AC$14)</f>
        <v/>
      </c>
      <c r="R1793" s="158">
        <f>IF(N($F1793)=0,0,$F1793/SUMIFS(INPUT_RITASE!$F$5:$F$20000,INPUT_RITASE!$A$5:$A$20000,$A1793,INPUT_RITASE!$B$5:$B$20000,$B1793,INPUT_RITASE!$C$5:$C$20000,$C1793,INPUT_RITASE!$D$5:$D$20000,$D1793))</f>
        <v/>
      </c>
      <c r="S1793" s="158">
        <f>IF($Q1793=0,0,$R1793*$P1793/$Q1793)</f>
        <v/>
      </c>
    </row>
    <row r="1794">
      <c r="A1794" s="155" t="n">
        <v>46110</v>
      </c>
      <c r="B1794" s="156" t="inlineStr">
        <is>
          <t>05-06</t>
        </is>
      </c>
      <c r="C1794" s="156" t="inlineStr">
        <is>
          <t>EX-1252</t>
        </is>
      </c>
      <c r="D1794" s="156" t="inlineStr">
        <is>
          <t>DT-520</t>
        </is>
      </c>
      <c r="E1794" s="156" t="inlineStr">
        <is>
          <t>OB</t>
        </is>
      </c>
      <c r="F1794" s="156" t="n">
        <v>3</v>
      </c>
      <c r="G1794" s="156" t="inlineStr"/>
      <c r="H1794" s="157">
        <f>IF($B1794="","",IF(ISNA(MATCH($B1794,MASTER_JAM!$Q$5:$Q$28,0)),"?",IF(MATCH($B1794,MASTER_JAM!$Q$5:$Q$28,0)&lt;=12,"DS","NS")))</f>
        <v/>
      </c>
      <c r="I1794" s="157">
        <f>IFERROR(INDEX(MASTER_JAM!$B$5:$B$94,MATCH($C1794,MASTER_JAM!$A$5:$A$94,0)),"")</f>
        <v/>
      </c>
      <c r="J1794" s="157">
        <f>IFERROR(INDEX(MASTER_JAM!$E$5:$E$94,MATCH($D1794,MASTER_JAM!$A$5:$A$94,0)),"")</f>
        <v/>
      </c>
      <c r="K1794" s="158">
        <f>IFERROR(INDEX(MASTER_JAM!$J$5:$O$12,MATCH($E1794,MASTER_JAM!$I$5:$I$12,0),MATCH($J1794,MASTER_JAM!$J$4:$O$4,0))+0,0)</f>
        <v/>
      </c>
      <c r="L1794" s="159">
        <f>N($F1794)*$K1794</f>
        <v/>
      </c>
      <c r="M1794" s="157">
        <f>IF($E1794="","",IF(OR($E1794="Coal",$E1794="Dirty Coal"),"MT","BCM"))</f>
        <v/>
      </c>
      <c r="N1794" s="157">
        <f>IF($E1794="","",IF(OR($E1794="Coal",$E1794="Dirty Coal"),"Coal","OB"))</f>
        <v/>
      </c>
      <c r="O1794" s="157">
        <f>IF($F1794="","",IF(COUNTIF(MASTER_JAM!$A$5:$A$94,$C1794)=0,"Digger tidak dikenal",IF($J1794="","Hauler tidak dikenal",IF($H1794="?","Jam salah",IF($K1794=0,"Faktor kosong",IF(SUMIFS(INPUT_DELAY!$E$5:$E$20000,INPUT_DELAY!$A$5:$A$20000,$A1794,INPUT_DELAY!$B$5:$B$20000,$B1794,INPUT_DELAY!$C$5:$C$20000,$C1794)+SUMIFS(INPUT_DELAY!$E$5:$E$20000,INPUT_DELAY!$A$5:$A$20000,$A1794,INPUT_DELAY!$B$5:$B$20000,$B1794,INPUT_DELAY!$C$5:$C$20000,"SEMUA")&gt;=60,"Delay 60 mnt tapi ada ritase","OK"))))))</f>
        <v/>
      </c>
      <c r="P1794" s="158">
        <f>IFERROR(INDEX(MASTER_JAM!$Z$5:$AC$10,MATCH($I1794,MASTER_JAM!$Y$5:$Y$10,0),MATCH($J1794,MASTER_JAM!$Z$4:$AC$4,0))+0,0)</f>
        <v/>
      </c>
      <c r="Q1794" s="158">
        <f>IF($P1794=0,0,$P1794+IFERROR(INDEX(MASTER_JAM!$H$5:$H$94,MATCH($C1794,MASTER_JAM!$A$5:$A$94,0))+0,MASTER_JAM!$AC$15)/1000*(60/MASTER_JAM!$AC$12+60/MASTER_JAM!$AC$13)+MASTER_JAM!$AC$14)</f>
        <v/>
      </c>
      <c r="R1794" s="158">
        <f>IF(N($F1794)=0,0,$F1794/SUMIFS(INPUT_RITASE!$F$5:$F$20000,INPUT_RITASE!$A$5:$A$20000,$A1794,INPUT_RITASE!$B$5:$B$20000,$B1794,INPUT_RITASE!$C$5:$C$20000,$C1794,INPUT_RITASE!$D$5:$D$20000,$D1794))</f>
        <v/>
      </c>
      <c r="S1794" s="158">
        <f>IF($Q1794=0,0,$R1794*$P1794/$Q1794)</f>
        <v/>
      </c>
    </row>
    <row r="1795">
      <c r="A1795" s="155" t="n">
        <v>46110</v>
      </c>
      <c r="B1795" s="156" t="inlineStr">
        <is>
          <t>18-19</t>
        </is>
      </c>
      <c r="C1795" s="156" t="inlineStr">
        <is>
          <t>EX-334</t>
        </is>
      </c>
      <c r="D1795" s="156" t="inlineStr">
        <is>
          <t>DT-507</t>
        </is>
      </c>
      <c r="E1795" s="156" t="inlineStr">
        <is>
          <t>Coal</t>
        </is>
      </c>
      <c r="F1795" s="156" t="n">
        <v>1</v>
      </c>
      <c r="G1795" s="156" t="inlineStr"/>
      <c r="H1795" s="157">
        <f>IF($B1795="","",IF(ISNA(MATCH($B1795,MASTER_JAM!$Q$5:$Q$28,0)),"?",IF(MATCH($B1795,MASTER_JAM!$Q$5:$Q$28,0)&lt;=12,"DS","NS")))</f>
        <v/>
      </c>
      <c r="I1795" s="157">
        <f>IFERROR(INDEX(MASTER_JAM!$B$5:$B$94,MATCH($C1795,MASTER_JAM!$A$5:$A$94,0)),"")</f>
        <v/>
      </c>
      <c r="J1795" s="157">
        <f>IFERROR(INDEX(MASTER_JAM!$E$5:$E$94,MATCH($D1795,MASTER_JAM!$A$5:$A$94,0)),"")</f>
        <v/>
      </c>
      <c r="K1795" s="158">
        <f>IFERROR(INDEX(MASTER_JAM!$J$5:$O$12,MATCH($E1795,MASTER_JAM!$I$5:$I$12,0),MATCH($J1795,MASTER_JAM!$J$4:$O$4,0))+0,0)</f>
        <v/>
      </c>
      <c r="L1795" s="159">
        <f>N($F1795)*$K1795</f>
        <v/>
      </c>
      <c r="M1795" s="157">
        <f>IF($E1795="","",IF(OR($E1795="Coal",$E1795="Dirty Coal"),"MT","BCM"))</f>
        <v/>
      </c>
      <c r="N1795" s="157">
        <f>IF($E1795="","",IF(OR($E1795="Coal",$E1795="Dirty Coal"),"Coal","OB"))</f>
        <v/>
      </c>
      <c r="O1795" s="157">
        <f>IF($F1795="","",IF(COUNTIF(MASTER_JAM!$A$5:$A$94,$C1795)=0,"Digger tidak dikenal",IF($J1795="","Hauler tidak dikenal",IF($H1795="?","Jam salah",IF($K1795=0,"Faktor kosong",IF(SUMIFS(INPUT_DELAY!$E$5:$E$20000,INPUT_DELAY!$A$5:$A$20000,$A1795,INPUT_DELAY!$B$5:$B$20000,$B1795,INPUT_DELAY!$C$5:$C$20000,$C1795)+SUMIFS(INPUT_DELAY!$E$5:$E$20000,INPUT_DELAY!$A$5:$A$20000,$A1795,INPUT_DELAY!$B$5:$B$20000,$B1795,INPUT_DELAY!$C$5:$C$20000,"SEMUA")&gt;=60,"Delay 60 mnt tapi ada ritase","OK"))))))</f>
        <v/>
      </c>
      <c r="P1795" s="158">
        <f>IFERROR(INDEX(MASTER_JAM!$Z$5:$AC$10,MATCH($I1795,MASTER_JAM!$Y$5:$Y$10,0),MATCH($J1795,MASTER_JAM!$Z$4:$AC$4,0))+0,0)</f>
        <v/>
      </c>
      <c r="Q1795" s="158">
        <f>IF($P1795=0,0,$P1795+IFERROR(INDEX(MASTER_JAM!$H$5:$H$94,MATCH($C1795,MASTER_JAM!$A$5:$A$94,0))+0,MASTER_JAM!$AC$15)/1000*(60/MASTER_JAM!$AC$12+60/MASTER_JAM!$AC$13)+MASTER_JAM!$AC$14)</f>
        <v/>
      </c>
      <c r="R1795" s="158">
        <f>IF(N($F1795)=0,0,$F1795/SUMIFS(INPUT_RITASE!$F$5:$F$20000,INPUT_RITASE!$A$5:$A$20000,$A1795,INPUT_RITASE!$B$5:$B$20000,$B1795,INPUT_RITASE!$C$5:$C$20000,$C1795,INPUT_RITASE!$D$5:$D$20000,$D1795))</f>
        <v/>
      </c>
      <c r="S1795" s="158">
        <f>IF($Q1795=0,0,$R1795*$P1795/$Q1795)</f>
        <v/>
      </c>
    </row>
    <row r="1796">
      <c r="A1796" s="155" t="n">
        <v>46110</v>
      </c>
      <c r="B1796" s="156" t="inlineStr">
        <is>
          <t>18-19</t>
        </is>
      </c>
      <c r="C1796" s="156" t="inlineStr">
        <is>
          <t>EX-332</t>
        </is>
      </c>
      <c r="D1796" s="156" t="inlineStr">
        <is>
          <t>DT-514</t>
        </is>
      </c>
      <c r="E1796" s="156" t="inlineStr">
        <is>
          <t>OB</t>
        </is>
      </c>
      <c r="F1796" s="156" t="n">
        <v>4</v>
      </c>
      <c r="G1796" s="156" t="inlineStr"/>
      <c r="H1796" s="157">
        <f>IF($B1796="","",IF(ISNA(MATCH($B1796,MASTER_JAM!$Q$5:$Q$28,0)),"?",IF(MATCH($B1796,MASTER_JAM!$Q$5:$Q$28,0)&lt;=12,"DS","NS")))</f>
        <v/>
      </c>
      <c r="I1796" s="157">
        <f>IFERROR(INDEX(MASTER_JAM!$B$5:$B$94,MATCH($C1796,MASTER_JAM!$A$5:$A$94,0)),"")</f>
        <v/>
      </c>
      <c r="J1796" s="157">
        <f>IFERROR(INDEX(MASTER_JAM!$E$5:$E$94,MATCH($D1796,MASTER_JAM!$A$5:$A$94,0)),"")</f>
        <v/>
      </c>
      <c r="K1796" s="158">
        <f>IFERROR(INDEX(MASTER_JAM!$J$5:$O$12,MATCH($E1796,MASTER_JAM!$I$5:$I$12,0),MATCH($J1796,MASTER_JAM!$J$4:$O$4,0))+0,0)</f>
        <v/>
      </c>
      <c r="L1796" s="159">
        <f>N($F1796)*$K1796</f>
        <v/>
      </c>
      <c r="M1796" s="157">
        <f>IF($E1796="","",IF(OR($E1796="Coal",$E1796="Dirty Coal"),"MT","BCM"))</f>
        <v/>
      </c>
      <c r="N1796" s="157">
        <f>IF($E1796="","",IF(OR($E1796="Coal",$E1796="Dirty Coal"),"Coal","OB"))</f>
        <v/>
      </c>
      <c r="O1796" s="157">
        <f>IF($F1796="","",IF(COUNTIF(MASTER_JAM!$A$5:$A$94,$C1796)=0,"Digger tidak dikenal",IF($J1796="","Hauler tidak dikenal",IF($H1796="?","Jam salah",IF($K1796=0,"Faktor kosong",IF(SUMIFS(INPUT_DELAY!$E$5:$E$20000,INPUT_DELAY!$A$5:$A$20000,$A1796,INPUT_DELAY!$B$5:$B$20000,$B1796,INPUT_DELAY!$C$5:$C$20000,$C1796)+SUMIFS(INPUT_DELAY!$E$5:$E$20000,INPUT_DELAY!$A$5:$A$20000,$A1796,INPUT_DELAY!$B$5:$B$20000,$B1796,INPUT_DELAY!$C$5:$C$20000,"SEMUA")&gt;=60,"Delay 60 mnt tapi ada ritase","OK"))))))</f>
        <v/>
      </c>
      <c r="P1796" s="158">
        <f>IFERROR(INDEX(MASTER_JAM!$Z$5:$AC$10,MATCH($I1796,MASTER_JAM!$Y$5:$Y$10,0),MATCH($J1796,MASTER_JAM!$Z$4:$AC$4,0))+0,0)</f>
        <v/>
      </c>
      <c r="Q1796" s="158">
        <f>IF($P1796=0,0,$P1796+IFERROR(INDEX(MASTER_JAM!$H$5:$H$94,MATCH($C1796,MASTER_JAM!$A$5:$A$94,0))+0,MASTER_JAM!$AC$15)/1000*(60/MASTER_JAM!$AC$12+60/MASTER_JAM!$AC$13)+MASTER_JAM!$AC$14)</f>
        <v/>
      </c>
      <c r="R1796" s="158">
        <f>IF(N($F1796)=0,0,$F1796/SUMIFS(INPUT_RITASE!$F$5:$F$20000,INPUT_RITASE!$A$5:$A$20000,$A1796,INPUT_RITASE!$B$5:$B$20000,$B1796,INPUT_RITASE!$C$5:$C$20000,$C1796,INPUT_RITASE!$D$5:$D$20000,$D1796))</f>
        <v/>
      </c>
      <c r="S1796" s="158">
        <f>IF($Q1796=0,0,$R1796*$P1796/$Q1796)</f>
        <v/>
      </c>
    </row>
    <row r="1797">
      <c r="A1797" s="155" t="n">
        <v>46110</v>
      </c>
      <c r="B1797" s="156" t="inlineStr">
        <is>
          <t>18-19</t>
        </is>
      </c>
      <c r="C1797" s="156" t="inlineStr">
        <is>
          <t>EX-332</t>
        </is>
      </c>
      <c r="D1797" s="156" t="inlineStr">
        <is>
          <t>DT-520</t>
        </is>
      </c>
      <c r="E1797" s="156" t="inlineStr">
        <is>
          <t>OB</t>
        </is>
      </c>
      <c r="F1797" s="156" t="n">
        <v>4</v>
      </c>
      <c r="G1797" s="156" t="inlineStr"/>
      <c r="H1797" s="157">
        <f>IF($B1797="","",IF(ISNA(MATCH($B1797,MASTER_JAM!$Q$5:$Q$28,0)),"?",IF(MATCH($B1797,MASTER_JAM!$Q$5:$Q$28,0)&lt;=12,"DS","NS")))</f>
        <v/>
      </c>
      <c r="I1797" s="157">
        <f>IFERROR(INDEX(MASTER_JAM!$B$5:$B$94,MATCH($C1797,MASTER_JAM!$A$5:$A$94,0)),"")</f>
        <v/>
      </c>
      <c r="J1797" s="157">
        <f>IFERROR(INDEX(MASTER_JAM!$E$5:$E$94,MATCH($D1797,MASTER_JAM!$A$5:$A$94,0)),"")</f>
        <v/>
      </c>
      <c r="K1797" s="158">
        <f>IFERROR(INDEX(MASTER_JAM!$J$5:$O$12,MATCH($E1797,MASTER_JAM!$I$5:$I$12,0),MATCH($J1797,MASTER_JAM!$J$4:$O$4,0))+0,0)</f>
        <v/>
      </c>
      <c r="L1797" s="159">
        <f>N($F1797)*$K1797</f>
        <v/>
      </c>
      <c r="M1797" s="157">
        <f>IF($E1797="","",IF(OR($E1797="Coal",$E1797="Dirty Coal"),"MT","BCM"))</f>
        <v/>
      </c>
      <c r="N1797" s="157">
        <f>IF($E1797="","",IF(OR($E1797="Coal",$E1797="Dirty Coal"),"Coal","OB"))</f>
        <v/>
      </c>
      <c r="O1797" s="157">
        <f>IF($F1797="","",IF(COUNTIF(MASTER_JAM!$A$5:$A$94,$C1797)=0,"Digger tidak dikenal",IF($J1797="","Hauler tidak dikenal",IF($H1797="?","Jam salah",IF($K1797=0,"Faktor kosong",IF(SUMIFS(INPUT_DELAY!$E$5:$E$20000,INPUT_DELAY!$A$5:$A$20000,$A1797,INPUT_DELAY!$B$5:$B$20000,$B1797,INPUT_DELAY!$C$5:$C$20000,$C1797)+SUMIFS(INPUT_DELAY!$E$5:$E$20000,INPUT_DELAY!$A$5:$A$20000,$A1797,INPUT_DELAY!$B$5:$B$20000,$B1797,INPUT_DELAY!$C$5:$C$20000,"SEMUA")&gt;=60,"Delay 60 mnt tapi ada ritase","OK"))))))</f>
        <v/>
      </c>
      <c r="P1797" s="158">
        <f>IFERROR(INDEX(MASTER_JAM!$Z$5:$AC$10,MATCH($I1797,MASTER_JAM!$Y$5:$Y$10,0),MATCH($J1797,MASTER_JAM!$Z$4:$AC$4,0))+0,0)</f>
        <v/>
      </c>
      <c r="Q1797" s="158">
        <f>IF($P1797=0,0,$P1797+IFERROR(INDEX(MASTER_JAM!$H$5:$H$94,MATCH($C1797,MASTER_JAM!$A$5:$A$94,0))+0,MASTER_JAM!$AC$15)/1000*(60/MASTER_JAM!$AC$12+60/MASTER_JAM!$AC$13)+MASTER_JAM!$AC$14)</f>
        <v/>
      </c>
      <c r="R1797" s="158">
        <f>IF(N($F1797)=0,0,$F1797/SUMIFS(INPUT_RITASE!$F$5:$F$20000,INPUT_RITASE!$A$5:$A$20000,$A1797,INPUT_RITASE!$B$5:$B$20000,$B1797,INPUT_RITASE!$C$5:$C$20000,$C1797,INPUT_RITASE!$D$5:$D$20000,$D1797))</f>
        <v/>
      </c>
      <c r="S1797" s="158">
        <f>IF($Q1797=0,0,$R1797*$P1797/$Q1797)</f>
        <v/>
      </c>
    </row>
    <row r="1798">
      <c r="A1798" s="155" t="n">
        <v>46110</v>
      </c>
      <c r="B1798" s="156" t="inlineStr">
        <is>
          <t>19-20</t>
        </is>
      </c>
      <c r="C1798" s="156" t="inlineStr">
        <is>
          <t>EX-332</t>
        </is>
      </c>
      <c r="D1798" s="156" t="inlineStr">
        <is>
          <t>DT-516</t>
        </is>
      </c>
      <c r="E1798" s="156" t="inlineStr">
        <is>
          <t>OB</t>
        </is>
      </c>
      <c r="F1798" s="156" t="n">
        <v>2</v>
      </c>
      <c r="G1798" s="156" t="inlineStr"/>
      <c r="H1798" s="157">
        <f>IF($B1798="","",IF(ISNA(MATCH($B1798,MASTER_JAM!$Q$5:$Q$28,0)),"?",IF(MATCH($B1798,MASTER_JAM!$Q$5:$Q$28,0)&lt;=12,"DS","NS")))</f>
        <v/>
      </c>
      <c r="I1798" s="157">
        <f>IFERROR(INDEX(MASTER_JAM!$B$5:$B$94,MATCH($C1798,MASTER_JAM!$A$5:$A$94,0)),"")</f>
        <v/>
      </c>
      <c r="J1798" s="157">
        <f>IFERROR(INDEX(MASTER_JAM!$E$5:$E$94,MATCH($D1798,MASTER_JAM!$A$5:$A$94,0)),"")</f>
        <v/>
      </c>
      <c r="K1798" s="158">
        <f>IFERROR(INDEX(MASTER_JAM!$J$5:$O$12,MATCH($E1798,MASTER_JAM!$I$5:$I$12,0),MATCH($J1798,MASTER_JAM!$J$4:$O$4,0))+0,0)</f>
        <v/>
      </c>
      <c r="L1798" s="159">
        <f>N($F1798)*$K1798</f>
        <v/>
      </c>
      <c r="M1798" s="157">
        <f>IF($E1798="","",IF(OR($E1798="Coal",$E1798="Dirty Coal"),"MT","BCM"))</f>
        <v/>
      </c>
      <c r="N1798" s="157">
        <f>IF($E1798="","",IF(OR($E1798="Coal",$E1798="Dirty Coal"),"Coal","OB"))</f>
        <v/>
      </c>
      <c r="O1798" s="157">
        <f>IF($F1798="","",IF(COUNTIF(MASTER_JAM!$A$5:$A$94,$C1798)=0,"Digger tidak dikenal",IF($J1798="","Hauler tidak dikenal",IF($H1798="?","Jam salah",IF($K1798=0,"Faktor kosong",IF(SUMIFS(INPUT_DELAY!$E$5:$E$20000,INPUT_DELAY!$A$5:$A$20000,$A1798,INPUT_DELAY!$B$5:$B$20000,$B1798,INPUT_DELAY!$C$5:$C$20000,$C1798)+SUMIFS(INPUT_DELAY!$E$5:$E$20000,INPUT_DELAY!$A$5:$A$20000,$A1798,INPUT_DELAY!$B$5:$B$20000,$B1798,INPUT_DELAY!$C$5:$C$20000,"SEMUA")&gt;=60,"Delay 60 mnt tapi ada ritase","OK"))))))</f>
        <v/>
      </c>
      <c r="P1798" s="158">
        <f>IFERROR(INDEX(MASTER_JAM!$Z$5:$AC$10,MATCH($I1798,MASTER_JAM!$Y$5:$Y$10,0),MATCH($J1798,MASTER_JAM!$Z$4:$AC$4,0))+0,0)</f>
        <v/>
      </c>
      <c r="Q1798" s="158">
        <f>IF($P1798=0,0,$P1798+IFERROR(INDEX(MASTER_JAM!$H$5:$H$94,MATCH($C1798,MASTER_JAM!$A$5:$A$94,0))+0,MASTER_JAM!$AC$15)/1000*(60/MASTER_JAM!$AC$12+60/MASTER_JAM!$AC$13)+MASTER_JAM!$AC$14)</f>
        <v/>
      </c>
      <c r="R1798" s="158">
        <f>IF(N($F1798)=0,0,$F1798/SUMIFS(INPUT_RITASE!$F$5:$F$20000,INPUT_RITASE!$A$5:$A$20000,$A1798,INPUT_RITASE!$B$5:$B$20000,$B1798,INPUT_RITASE!$C$5:$C$20000,$C1798,INPUT_RITASE!$D$5:$D$20000,$D1798))</f>
        <v/>
      </c>
      <c r="S1798" s="158">
        <f>IF($Q1798=0,0,$R1798*$P1798/$Q1798)</f>
        <v/>
      </c>
    </row>
    <row r="1799">
      <c r="A1799" s="155" t="n">
        <v>46110</v>
      </c>
      <c r="B1799" s="156" t="inlineStr">
        <is>
          <t>20-21</t>
        </is>
      </c>
      <c r="C1799" s="156" t="inlineStr">
        <is>
          <t>EX-332</t>
        </is>
      </c>
      <c r="D1799" s="156" t="inlineStr">
        <is>
          <t>DT-519</t>
        </is>
      </c>
      <c r="E1799" s="156" t="inlineStr">
        <is>
          <t>Coal</t>
        </is>
      </c>
      <c r="F1799" s="156" t="n">
        <v>3</v>
      </c>
      <c r="G1799" s="156" t="inlineStr"/>
      <c r="H1799" s="157">
        <f>IF($B1799="","",IF(ISNA(MATCH($B1799,MASTER_JAM!$Q$5:$Q$28,0)),"?",IF(MATCH($B1799,MASTER_JAM!$Q$5:$Q$28,0)&lt;=12,"DS","NS")))</f>
        <v/>
      </c>
      <c r="I1799" s="157">
        <f>IFERROR(INDEX(MASTER_JAM!$B$5:$B$94,MATCH($C1799,MASTER_JAM!$A$5:$A$94,0)),"")</f>
        <v/>
      </c>
      <c r="J1799" s="157">
        <f>IFERROR(INDEX(MASTER_JAM!$E$5:$E$94,MATCH($D1799,MASTER_JAM!$A$5:$A$94,0)),"")</f>
        <v/>
      </c>
      <c r="K1799" s="158">
        <f>IFERROR(INDEX(MASTER_JAM!$J$5:$O$12,MATCH($E1799,MASTER_JAM!$I$5:$I$12,0),MATCH($J1799,MASTER_JAM!$J$4:$O$4,0))+0,0)</f>
        <v/>
      </c>
      <c r="L1799" s="159">
        <f>N($F1799)*$K1799</f>
        <v/>
      </c>
      <c r="M1799" s="157">
        <f>IF($E1799="","",IF(OR($E1799="Coal",$E1799="Dirty Coal"),"MT","BCM"))</f>
        <v/>
      </c>
      <c r="N1799" s="157">
        <f>IF($E1799="","",IF(OR($E1799="Coal",$E1799="Dirty Coal"),"Coal","OB"))</f>
        <v/>
      </c>
      <c r="O1799" s="157">
        <f>IF($F1799="","",IF(COUNTIF(MASTER_JAM!$A$5:$A$94,$C1799)=0,"Digger tidak dikenal",IF($J1799="","Hauler tidak dikenal",IF($H1799="?","Jam salah",IF($K1799=0,"Faktor kosong",IF(SUMIFS(INPUT_DELAY!$E$5:$E$20000,INPUT_DELAY!$A$5:$A$20000,$A1799,INPUT_DELAY!$B$5:$B$20000,$B1799,INPUT_DELAY!$C$5:$C$20000,$C1799)+SUMIFS(INPUT_DELAY!$E$5:$E$20000,INPUT_DELAY!$A$5:$A$20000,$A1799,INPUT_DELAY!$B$5:$B$20000,$B1799,INPUT_DELAY!$C$5:$C$20000,"SEMUA")&gt;=60,"Delay 60 mnt tapi ada ritase","OK"))))))</f>
        <v/>
      </c>
      <c r="P1799" s="158">
        <f>IFERROR(INDEX(MASTER_JAM!$Z$5:$AC$10,MATCH($I1799,MASTER_JAM!$Y$5:$Y$10,0),MATCH($J1799,MASTER_JAM!$Z$4:$AC$4,0))+0,0)</f>
        <v/>
      </c>
      <c r="Q1799" s="158">
        <f>IF($P1799=0,0,$P1799+IFERROR(INDEX(MASTER_JAM!$H$5:$H$94,MATCH($C1799,MASTER_JAM!$A$5:$A$94,0))+0,MASTER_JAM!$AC$15)/1000*(60/MASTER_JAM!$AC$12+60/MASTER_JAM!$AC$13)+MASTER_JAM!$AC$14)</f>
        <v/>
      </c>
      <c r="R1799" s="158">
        <f>IF(N($F1799)=0,0,$F1799/SUMIFS(INPUT_RITASE!$F$5:$F$20000,INPUT_RITASE!$A$5:$A$20000,$A1799,INPUT_RITASE!$B$5:$B$20000,$B1799,INPUT_RITASE!$C$5:$C$20000,$C1799,INPUT_RITASE!$D$5:$D$20000,$D1799))</f>
        <v/>
      </c>
      <c r="S1799" s="158">
        <f>IF($Q1799=0,0,$R1799*$P1799/$Q1799)</f>
        <v/>
      </c>
    </row>
    <row r="1800">
      <c r="A1800" s="155" t="n">
        <v>46110</v>
      </c>
      <c r="B1800" s="156" t="inlineStr">
        <is>
          <t>20-21</t>
        </is>
      </c>
      <c r="C1800" s="156" t="inlineStr">
        <is>
          <t>EX-332</t>
        </is>
      </c>
      <c r="D1800" s="156" t="inlineStr">
        <is>
          <t>DT-502</t>
        </is>
      </c>
      <c r="E1800" s="156" t="inlineStr">
        <is>
          <t>Coal</t>
        </is>
      </c>
      <c r="F1800" s="156" t="n">
        <v>3</v>
      </c>
      <c r="G1800" s="156" t="inlineStr"/>
      <c r="H1800" s="157">
        <f>IF($B1800="","",IF(ISNA(MATCH($B1800,MASTER_JAM!$Q$5:$Q$28,0)),"?",IF(MATCH($B1800,MASTER_JAM!$Q$5:$Q$28,0)&lt;=12,"DS","NS")))</f>
        <v/>
      </c>
      <c r="I1800" s="157">
        <f>IFERROR(INDEX(MASTER_JAM!$B$5:$B$94,MATCH($C1800,MASTER_JAM!$A$5:$A$94,0)),"")</f>
        <v/>
      </c>
      <c r="J1800" s="157">
        <f>IFERROR(INDEX(MASTER_JAM!$E$5:$E$94,MATCH($D1800,MASTER_JAM!$A$5:$A$94,0)),"")</f>
        <v/>
      </c>
      <c r="K1800" s="158">
        <f>IFERROR(INDEX(MASTER_JAM!$J$5:$O$12,MATCH($E1800,MASTER_JAM!$I$5:$I$12,0),MATCH($J1800,MASTER_JAM!$J$4:$O$4,0))+0,0)</f>
        <v/>
      </c>
      <c r="L1800" s="159">
        <f>N($F1800)*$K1800</f>
        <v/>
      </c>
      <c r="M1800" s="157">
        <f>IF($E1800="","",IF(OR($E1800="Coal",$E1800="Dirty Coal"),"MT","BCM"))</f>
        <v/>
      </c>
      <c r="N1800" s="157">
        <f>IF($E1800="","",IF(OR($E1800="Coal",$E1800="Dirty Coal"),"Coal","OB"))</f>
        <v/>
      </c>
      <c r="O1800" s="157">
        <f>IF($F1800="","",IF(COUNTIF(MASTER_JAM!$A$5:$A$94,$C1800)=0,"Digger tidak dikenal",IF($J1800="","Hauler tidak dikenal",IF($H1800="?","Jam salah",IF($K1800=0,"Faktor kosong",IF(SUMIFS(INPUT_DELAY!$E$5:$E$20000,INPUT_DELAY!$A$5:$A$20000,$A1800,INPUT_DELAY!$B$5:$B$20000,$B1800,INPUT_DELAY!$C$5:$C$20000,$C1800)+SUMIFS(INPUT_DELAY!$E$5:$E$20000,INPUT_DELAY!$A$5:$A$20000,$A1800,INPUT_DELAY!$B$5:$B$20000,$B1800,INPUT_DELAY!$C$5:$C$20000,"SEMUA")&gt;=60,"Delay 60 mnt tapi ada ritase","OK"))))))</f>
        <v/>
      </c>
      <c r="P1800" s="158">
        <f>IFERROR(INDEX(MASTER_JAM!$Z$5:$AC$10,MATCH($I1800,MASTER_JAM!$Y$5:$Y$10,0),MATCH($J1800,MASTER_JAM!$Z$4:$AC$4,0))+0,0)</f>
        <v/>
      </c>
      <c r="Q1800" s="158">
        <f>IF($P1800=0,0,$P1800+IFERROR(INDEX(MASTER_JAM!$H$5:$H$94,MATCH($C1800,MASTER_JAM!$A$5:$A$94,0))+0,MASTER_JAM!$AC$15)/1000*(60/MASTER_JAM!$AC$12+60/MASTER_JAM!$AC$13)+MASTER_JAM!$AC$14)</f>
        <v/>
      </c>
      <c r="R1800" s="158">
        <f>IF(N($F1800)=0,0,$F1800/SUMIFS(INPUT_RITASE!$F$5:$F$20000,INPUT_RITASE!$A$5:$A$20000,$A1800,INPUT_RITASE!$B$5:$B$20000,$B1800,INPUT_RITASE!$C$5:$C$20000,$C1800,INPUT_RITASE!$D$5:$D$20000,$D1800))</f>
        <v/>
      </c>
      <c r="S1800" s="158">
        <f>IF($Q1800=0,0,$R1800*$P1800/$Q1800)</f>
        <v/>
      </c>
    </row>
    <row r="1801">
      <c r="A1801" s="155" t="n">
        <v>46110</v>
      </c>
      <c r="B1801" s="156" t="inlineStr">
        <is>
          <t>21-22</t>
        </is>
      </c>
      <c r="C1801" s="156" t="inlineStr">
        <is>
          <t>EX-332</t>
        </is>
      </c>
      <c r="D1801" s="156" t="inlineStr">
        <is>
          <t>DT-526</t>
        </is>
      </c>
      <c r="E1801" s="156" t="inlineStr">
        <is>
          <t>Coal</t>
        </is>
      </c>
      <c r="F1801" s="156" t="n">
        <v>4</v>
      </c>
      <c r="G1801" s="156" t="inlineStr"/>
      <c r="H1801" s="157">
        <f>IF($B1801="","",IF(ISNA(MATCH($B1801,MASTER_JAM!$Q$5:$Q$28,0)),"?",IF(MATCH($B1801,MASTER_JAM!$Q$5:$Q$28,0)&lt;=12,"DS","NS")))</f>
        <v/>
      </c>
      <c r="I1801" s="157">
        <f>IFERROR(INDEX(MASTER_JAM!$B$5:$B$94,MATCH($C1801,MASTER_JAM!$A$5:$A$94,0)),"")</f>
        <v/>
      </c>
      <c r="J1801" s="157">
        <f>IFERROR(INDEX(MASTER_JAM!$E$5:$E$94,MATCH($D1801,MASTER_JAM!$A$5:$A$94,0)),"")</f>
        <v/>
      </c>
      <c r="K1801" s="158">
        <f>IFERROR(INDEX(MASTER_JAM!$J$5:$O$12,MATCH($E1801,MASTER_JAM!$I$5:$I$12,0),MATCH($J1801,MASTER_JAM!$J$4:$O$4,0))+0,0)</f>
        <v/>
      </c>
      <c r="L1801" s="159">
        <f>N($F1801)*$K1801</f>
        <v/>
      </c>
      <c r="M1801" s="157">
        <f>IF($E1801="","",IF(OR($E1801="Coal",$E1801="Dirty Coal"),"MT","BCM"))</f>
        <v/>
      </c>
      <c r="N1801" s="157">
        <f>IF($E1801="","",IF(OR($E1801="Coal",$E1801="Dirty Coal"),"Coal","OB"))</f>
        <v/>
      </c>
      <c r="O1801" s="157">
        <f>IF($F1801="","",IF(COUNTIF(MASTER_JAM!$A$5:$A$94,$C1801)=0,"Digger tidak dikenal",IF($J1801="","Hauler tidak dikenal",IF($H1801="?","Jam salah",IF($K1801=0,"Faktor kosong",IF(SUMIFS(INPUT_DELAY!$E$5:$E$20000,INPUT_DELAY!$A$5:$A$20000,$A1801,INPUT_DELAY!$B$5:$B$20000,$B1801,INPUT_DELAY!$C$5:$C$20000,$C1801)+SUMIFS(INPUT_DELAY!$E$5:$E$20000,INPUT_DELAY!$A$5:$A$20000,$A1801,INPUT_DELAY!$B$5:$B$20000,$B1801,INPUT_DELAY!$C$5:$C$20000,"SEMUA")&gt;=60,"Delay 60 mnt tapi ada ritase","OK"))))))</f>
        <v/>
      </c>
      <c r="P1801" s="158">
        <f>IFERROR(INDEX(MASTER_JAM!$Z$5:$AC$10,MATCH($I1801,MASTER_JAM!$Y$5:$Y$10,0),MATCH($J1801,MASTER_JAM!$Z$4:$AC$4,0))+0,0)</f>
        <v/>
      </c>
      <c r="Q1801" s="158">
        <f>IF($P1801=0,0,$P1801+IFERROR(INDEX(MASTER_JAM!$H$5:$H$94,MATCH($C1801,MASTER_JAM!$A$5:$A$94,0))+0,MASTER_JAM!$AC$15)/1000*(60/MASTER_JAM!$AC$12+60/MASTER_JAM!$AC$13)+MASTER_JAM!$AC$14)</f>
        <v/>
      </c>
      <c r="R1801" s="158">
        <f>IF(N($F1801)=0,0,$F1801/SUMIFS(INPUT_RITASE!$F$5:$F$20000,INPUT_RITASE!$A$5:$A$20000,$A1801,INPUT_RITASE!$B$5:$B$20000,$B1801,INPUT_RITASE!$C$5:$C$20000,$C1801,INPUT_RITASE!$D$5:$D$20000,$D1801))</f>
        <v/>
      </c>
      <c r="S1801" s="158">
        <f>IF($Q1801=0,0,$R1801*$P1801/$Q1801)</f>
        <v/>
      </c>
    </row>
    <row r="1802">
      <c r="A1802" s="155" t="n">
        <v>46110</v>
      </c>
      <c r="B1802" s="156" t="inlineStr">
        <is>
          <t>21-22</t>
        </is>
      </c>
      <c r="C1802" s="156" t="inlineStr">
        <is>
          <t>EX-332</t>
        </is>
      </c>
      <c r="D1802" s="156" t="inlineStr">
        <is>
          <t>DT-524</t>
        </is>
      </c>
      <c r="E1802" s="156" t="inlineStr">
        <is>
          <t>Coal</t>
        </is>
      </c>
      <c r="F1802" s="156" t="n">
        <v>3</v>
      </c>
      <c r="G1802" s="156" t="inlineStr"/>
      <c r="H1802" s="157">
        <f>IF($B1802="","",IF(ISNA(MATCH($B1802,MASTER_JAM!$Q$5:$Q$28,0)),"?",IF(MATCH($B1802,MASTER_JAM!$Q$5:$Q$28,0)&lt;=12,"DS","NS")))</f>
        <v/>
      </c>
      <c r="I1802" s="157">
        <f>IFERROR(INDEX(MASTER_JAM!$B$5:$B$94,MATCH($C1802,MASTER_JAM!$A$5:$A$94,0)),"")</f>
        <v/>
      </c>
      <c r="J1802" s="157">
        <f>IFERROR(INDEX(MASTER_JAM!$E$5:$E$94,MATCH($D1802,MASTER_JAM!$A$5:$A$94,0)),"")</f>
        <v/>
      </c>
      <c r="K1802" s="158">
        <f>IFERROR(INDEX(MASTER_JAM!$J$5:$O$12,MATCH($E1802,MASTER_JAM!$I$5:$I$12,0),MATCH($J1802,MASTER_JAM!$J$4:$O$4,0))+0,0)</f>
        <v/>
      </c>
      <c r="L1802" s="159">
        <f>N($F1802)*$K1802</f>
        <v/>
      </c>
      <c r="M1802" s="157">
        <f>IF($E1802="","",IF(OR($E1802="Coal",$E1802="Dirty Coal"),"MT","BCM"))</f>
        <v/>
      </c>
      <c r="N1802" s="157">
        <f>IF($E1802="","",IF(OR($E1802="Coal",$E1802="Dirty Coal"),"Coal","OB"))</f>
        <v/>
      </c>
      <c r="O1802" s="157">
        <f>IF($F1802="","",IF(COUNTIF(MASTER_JAM!$A$5:$A$94,$C1802)=0,"Digger tidak dikenal",IF($J1802="","Hauler tidak dikenal",IF($H1802="?","Jam salah",IF($K1802=0,"Faktor kosong",IF(SUMIFS(INPUT_DELAY!$E$5:$E$20000,INPUT_DELAY!$A$5:$A$20000,$A1802,INPUT_DELAY!$B$5:$B$20000,$B1802,INPUT_DELAY!$C$5:$C$20000,$C1802)+SUMIFS(INPUT_DELAY!$E$5:$E$20000,INPUT_DELAY!$A$5:$A$20000,$A1802,INPUT_DELAY!$B$5:$B$20000,$B1802,INPUT_DELAY!$C$5:$C$20000,"SEMUA")&gt;=60,"Delay 60 mnt tapi ada ritase","OK"))))))</f>
        <v/>
      </c>
      <c r="P1802" s="158">
        <f>IFERROR(INDEX(MASTER_JAM!$Z$5:$AC$10,MATCH($I1802,MASTER_JAM!$Y$5:$Y$10,0),MATCH($J1802,MASTER_JAM!$Z$4:$AC$4,0))+0,0)</f>
        <v/>
      </c>
      <c r="Q1802" s="158">
        <f>IF($P1802=0,0,$P1802+IFERROR(INDEX(MASTER_JAM!$H$5:$H$94,MATCH($C1802,MASTER_JAM!$A$5:$A$94,0))+0,MASTER_JAM!$AC$15)/1000*(60/MASTER_JAM!$AC$12+60/MASTER_JAM!$AC$13)+MASTER_JAM!$AC$14)</f>
        <v/>
      </c>
      <c r="R1802" s="158">
        <f>IF(N($F1802)=0,0,$F1802/SUMIFS(INPUT_RITASE!$F$5:$F$20000,INPUT_RITASE!$A$5:$A$20000,$A1802,INPUT_RITASE!$B$5:$B$20000,$B1802,INPUT_RITASE!$C$5:$C$20000,$C1802,INPUT_RITASE!$D$5:$D$20000,$D1802))</f>
        <v/>
      </c>
      <c r="S1802" s="158">
        <f>IF($Q1802=0,0,$R1802*$P1802/$Q1802)</f>
        <v/>
      </c>
    </row>
    <row r="1803">
      <c r="A1803" s="155" t="n">
        <v>46110</v>
      </c>
      <c r="B1803" s="156" t="inlineStr">
        <is>
          <t>22-23</t>
        </is>
      </c>
      <c r="C1803" s="156" t="inlineStr">
        <is>
          <t>EX-332</t>
        </is>
      </c>
      <c r="D1803" s="156" t="inlineStr">
        <is>
          <t>DT-505</t>
        </is>
      </c>
      <c r="E1803" s="156" t="inlineStr">
        <is>
          <t>Coal</t>
        </is>
      </c>
      <c r="F1803" s="156" t="n">
        <v>3</v>
      </c>
      <c r="G1803" s="156" t="inlineStr"/>
      <c r="H1803" s="157">
        <f>IF($B1803="","",IF(ISNA(MATCH($B1803,MASTER_JAM!$Q$5:$Q$28,0)),"?",IF(MATCH($B1803,MASTER_JAM!$Q$5:$Q$28,0)&lt;=12,"DS","NS")))</f>
        <v/>
      </c>
      <c r="I1803" s="157">
        <f>IFERROR(INDEX(MASTER_JAM!$B$5:$B$94,MATCH($C1803,MASTER_JAM!$A$5:$A$94,0)),"")</f>
        <v/>
      </c>
      <c r="J1803" s="157">
        <f>IFERROR(INDEX(MASTER_JAM!$E$5:$E$94,MATCH($D1803,MASTER_JAM!$A$5:$A$94,0)),"")</f>
        <v/>
      </c>
      <c r="K1803" s="158">
        <f>IFERROR(INDEX(MASTER_JAM!$J$5:$O$12,MATCH($E1803,MASTER_JAM!$I$5:$I$12,0),MATCH($J1803,MASTER_JAM!$J$4:$O$4,0))+0,0)</f>
        <v/>
      </c>
      <c r="L1803" s="159">
        <f>N($F1803)*$K1803</f>
        <v/>
      </c>
      <c r="M1803" s="157">
        <f>IF($E1803="","",IF(OR($E1803="Coal",$E1803="Dirty Coal"),"MT","BCM"))</f>
        <v/>
      </c>
      <c r="N1803" s="157">
        <f>IF($E1803="","",IF(OR($E1803="Coal",$E1803="Dirty Coal"),"Coal","OB"))</f>
        <v/>
      </c>
      <c r="O1803" s="157">
        <f>IF($F1803="","",IF(COUNTIF(MASTER_JAM!$A$5:$A$94,$C1803)=0,"Digger tidak dikenal",IF($J1803="","Hauler tidak dikenal",IF($H1803="?","Jam salah",IF($K1803=0,"Faktor kosong",IF(SUMIFS(INPUT_DELAY!$E$5:$E$20000,INPUT_DELAY!$A$5:$A$20000,$A1803,INPUT_DELAY!$B$5:$B$20000,$B1803,INPUT_DELAY!$C$5:$C$20000,$C1803)+SUMIFS(INPUT_DELAY!$E$5:$E$20000,INPUT_DELAY!$A$5:$A$20000,$A1803,INPUT_DELAY!$B$5:$B$20000,$B1803,INPUT_DELAY!$C$5:$C$20000,"SEMUA")&gt;=60,"Delay 60 mnt tapi ada ritase","OK"))))))</f>
        <v/>
      </c>
      <c r="P1803" s="158">
        <f>IFERROR(INDEX(MASTER_JAM!$Z$5:$AC$10,MATCH($I1803,MASTER_JAM!$Y$5:$Y$10,0),MATCH($J1803,MASTER_JAM!$Z$4:$AC$4,0))+0,0)</f>
        <v/>
      </c>
      <c r="Q1803" s="158">
        <f>IF($P1803=0,0,$P1803+IFERROR(INDEX(MASTER_JAM!$H$5:$H$94,MATCH($C1803,MASTER_JAM!$A$5:$A$94,0))+0,MASTER_JAM!$AC$15)/1000*(60/MASTER_JAM!$AC$12+60/MASTER_JAM!$AC$13)+MASTER_JAM!$AC$14)</f>
        <v/>
      </c>
      <c r="R1803" s="158">
        <f>IF(N($F1803)=0,0,$F1803/SUMIFS(INPUT_RITASE!$F$5:$F$20000,INPUT_RITASE!$A$5:$A$20000,$A1803,INPUT_RITASE!$B$5:$B$20000,$B1803,INPUT_RITASE!$C$5:$C$20000,$C1803,INPUT_RITASE!$D$5:$D$20000,$D1803))</f>
        <v/>
      </c>
      <c r="S1803" s="158">
        <f>IF($Q1803=0,0,$R1803*$P1803/$Q1803)</f>
        <v/>
      </c>
    </row>
    <row r="1804">
      <c r="A1804" s="155" t="n">
        <v>46110</v>
      </c>
      <c r="B1804" s="156" t="inlineStr">
        <is>
          <t>22-23</t>
        </is>
      </c>
      <c r="C1804" s="156" t="inlineStr">
        <is>
          <t>EX-332</t>
        </is>
      </c>
      <c r="D1804" s="156" t="inlineStr">
        <is>
          <t>DT-503</t>
        </is>
      </c>
      <c r="E1804" s="156" t="inlineStr">
        <is>
          <t>Coal</t>
        </is>
      </c>
      <c r="F1804" s="156" t="n">
        <v>3</v>
      </c>
      <c r="G1804" s="156" t="inlineStr"/>
      <c r="H1804" s="157">
        <f>IF($B1804="","",IF(ISNA(MATCH($B1804,MASTER_JAM!$Q$5:$Q$28,0)),"?",IF(MATCH($B1804,MASTER_JAM!$Q$5:$Q$28,0)&lt;=12,"DS","NS")))</f>
        <v/>
      </c>
      <c r="I1804" s="157">
        <f>IFERROR(INDEX(MASTER_JAM!$B$5:$B$94,MATCH($C1804,MASTER_JAM!$A$5:$A$94,0)),"")</f>
        <v/>
      </c>
      <c r="J1804" s="157">
        <f>IFERROR(INDEX(MASTER_JAM!$E$5:$E$94,MATCH($D1804,MASTER_JAM!$A$5:$A$94,0)),"")</f>
        <v/>
      </c>
      <c r="K1804" s="158">
        <f>IFERROR(INDEX(MASTER_JAM!$J$5:$O$12,MATCH($E1804,MASTER_JAM!$I$5:$I$12,0),MATCH($J1804,MASTER_JAM!$J$4:$O$4,0))+0,0)</f>
        <v/>
      </c>
      <c r="L1804" s="159">
        <f>N($F1804)*$K1804</f>
        <v/>
      </c>
      <c r="M1804" s="157">
        <f>IF($E1804="","",IF(OR($E1804="Coal",$E1804="Dirty Coal"),"MT","BCM"))</f>
        <v/>
      </c>
      <c r="N1804" s="157">
        <f>IF($E1804="","",IF(OR($E1804="Coal",$E1804="Dirty Coal"),"Coal","OB"))</f>
        <v/>
      </c>
      <c r="O1804" s="157">
        <f>IF($F1804="","",IF(COUNTIF(MASTER_JAM!$A$5:$A$94,$C1804)=0,"Digger tidak dikenal",IF($J1804="","Hauler tidak dikenal",IF($H1804="?","Jam salah",IF($K1804=0,"Faktor kosong",IF(SUMIFS(INPUT_DELAY!$E$5:$E$20000,INPUT_DELAY!$A$5:$A$20000,$A1804,INPUT_DELAY!$B$5:$B$20000,$B1804,INPUT_DELAY!$C$5:$C$20000,$C1804)+SUMIFS(INPUT_DELAY!$E$5:$E$20000,INPUT_DELAY!$A$5:$A$20000,$A1804,INPUT_DELAY!$B$5:$B$20000,$B1804,INPUT_DELAY!$C$5:$C$20000,"SEMUA")&gt;=60,"Delay 60 mnt tapi ada ritase","OK"))))))</f>
        <v/>
      </c>
      <c r="P1804" s="158">
        <f>IFERROR(INDEX(MASTER_JAM!$Z$5:$AC$10,MATCH($I1804,MASTER_JAM!$Y$5:$Y$10,0),MATCH($J1804,MASTER_JAM!$Z$4:$AC$4,0))+0,0)</f>
        <v/>
      </c>
      <c r="Q1804" s="158">
        <f>IF($P1804=0,0,$P1804+IFERROR(INDEX(MASTER_JAM!$H$5:$H$94,MATCH($C1804,MASTER_JAM!$A$5:$A$94,0))+0,MASTER_JAM!$AC$15)/1000*(60/MASTER_JAM!$AC$12+60/MASTER_JAM!$AC$13)+MASTER_JAM!$AC$14)</f>
        <v/>
      </c>
      <c r="R1804" s="158">
        <f>IF(N($F1804)=0,0,$F1804/SUMIFS(INPUT_RITASE!$F$5:$F$20000,INPUT_RITASE!$A$5:$A$20000,$A1804,INPUT_RITASE!$B$5:$B$20000,$B1804,INPUT_RITASE!$C$5:$C$20000,$C1804,INPUT_RITASE!$D$5:$D$20000,$D1804))</f>
        <v/>
      </c>
      <c r="S1804" s="158">
        <f>IF($Q1804=0,0,$R1804*$P1804/$Q1804)</f>
        <v/>
      </c>
    </row>
    <row r="1805">
      <c r="A1805" s="155" t="n">
        <v>46110</v>
      </c>
      <c r="B1805" s="156" t="inlineStr">
        <is>
          <t>23-24</t>
        </is>
      </c>
      <c r="C1805" s="156" t="inlineStr">
        <is>
          <t>EX-332</t>
        </is>
      </c>
      <c r="D1805" s="156" t="inlineStr">
        <is>
          <t>DT-520</t>
        </is>
      </c>
      <c r="E1805" s="156" t="inlineStr">
        <is>
          <t>Coal</t>
        </is>
      </c>
      <c r="F1805" s="156" t="n">
        <v>3</v>
      </c>
      <c r="G1805" s="156" t="inlineStr"/>
      <c r="H1805" s="157">
        <f>IF($B1805="","",IF(ISNA(MATCH($B1805,MASTER_JAM!$Q$5:$Q$28,0)),"?",IF(MATCH($B1805,MASTER_JAM!$Q$5:$Q$28,0)&lt;=12,"DS","NS")))</f>
        <v/>
      </c>
      <c r="I1805" s="157">
        <f>IFERROR(INDEX(MASTER_JAM!$B$5:$B$94,MATCH($C1805,MASTER_JAM!$A$5:$A$94,0)),"")</f>
        <v/>
      </c>
      <c r="J1805" s="157">
        <f>IFERROR(INDEX(MASTER_JAM!$E$5:$E$94,MATCH($D1805,MASTER_JAM!$A$5:$A$94,0)),"")</f>
        <v/>
      </c>
      <c r="K1805" s="158">
        <f>IFERROR(INDEX(MASTER_JAM!$J$5:$O$12,MATCH($E1805,MASTER_JAM!$I$5:$I$12,0),MATCH($J1805,MASTER_JAM!$J$4:$O$4,0))+0,0)</f>
        <v/>
      </c>
      <c r="L1805" s="159">
        <f>N($F1805)*$K1805</f>
        <v/>
      </c>
      <c r="M1805" s="157">
        <f>IF($E1805="","",IF(OR($E1805="Coal",$E1805="Dirty Coal"),"MT","BCM"))</f>
        <v/>
      </c>
      <c r="N1805" s="157">
        <f>IF($E1805="","",IF(OR($E1805="Coal",$E1805="Dirty Coal"),"Coal","OB"))</f>
        <v/>
      </c>
      <c r="O1805" s="157">
        <f>IF($F1805="","",IF(COUNTIF(MASTER_JAM!$A$5:$A$94,$C1805)=0,"Digger tidak dikenal",IF($J1805="","Hauler tidak dikenal",IF($H1805="?","Jam salah",IF($K1805=0,"Faktor kosong",IF(SUMIFS(INPUT_DELAY!$E$5:$E$20000,INPUT_DELAY!$A$5:$A$20000,$A1805,INPUT_DELAY!$B$5:$B$20000,$B1805,INPUT_DELAY!$C$5:$C$20000,$C1805)+SUMIFS(INPUT_DELAY!$E$5:$E$20000,INPUT_DELAY!$A$5:$A$20000,$A1805,INPUT_DELAY!$B$5:$B$20000,$B1805,INPUT_DELAY!$C$5:$C$20000,"SEMUA")&gt;=60,"Delay 60 mnt tapi ada ritase","OK"))))))</f>
        <v/>
      </c>
      <c r="P1805" s="158">
        <f>IFERROR(INDEX(MASTER_JAM!$Z$5:$AC$10,MATCH($I1805,MASTER_JAM!$Y$5:$Y$10,0),MATCH($J1805,MASTER_JAM!$Z$4:$AC$4,0))+0,0)</f>
        <v/>
      </c>
      <c r="Q1805" s="158">
        <f>IF($P1805=0,0,$P1805+IFERROR(INDEX(MASTER_JAM!$H$5:$H$94,MATCH($C1805,MASTER_JAM!$A$5:$A$94,0))+0,MASTER_JAM!$AC$15)/1000*(60/MASTER_JAM!$AC$12+60/MASTER_JAM!$AC$13)+MASTER_JAM!$AC$14)</f>
        <v/>
      </c>
      <c r="R1805" s="158">
        <f>IF(N($F1805)=0,0,$F1805/SUMIFS(INPUT_RITASE!$F$5:$F$20000,INPUT_RITASE!$A$5:$A$20000,$A1805,INPUT_RITASE!$B$5:$B$20000,$B1805,INPUT_RITASE!$C$5:$C$20000,$C1805,INPUT_RITASE!$D$5:$D$20000,$D1805))</f>
        <v/>
      </c>
      <c r="S1805" s="158">
        <f>IF($Q1805=0,0,$R1805*$P1805/$Q1805)</f>
        <v/>
      </c>
    </row>
    <row r="1806">
      <c r="A1806" s="155" t="n">
        <v>46110</v>
      </c>
      <c r="B1806" s="156" t="inlineStr">
        <is>
          <t>23-24</t>
        </is>
      </c>
      <c r="C1806" s="156" t="inlineStr">
        <is>
          <t>EX-332</t>
        </is>
      </c>
      <c r="D1806" s="156" t="inlineStr">
        <is>
          <t>DT-528</t>
        </is>
      </c>
      <c r="E1806" s="156" t="inlineStr">
        <is>
          <t>Coal</t>
        </is>
      </c>
      <c r="F1806" s="156" t="n">
        <v>3</v>
      </c>
      <c r="G1806" s="156" t="inlineStr"/>
      <c r="H1806" s="157">
        <f>IF($B1806="","",IF(ISNA(MATCH($B1806,MASTER_JAM!$Q$5:$Q$28,0)),"?",IF(MATCH($B1806,MASTER_JAM!$Q$5:$Q$28,0)&lt;=12,"DS","NS")))</f>
        <v/>
      </c>
      <c r="I1806" s="157">
        <f>IFERROR(INDEX(MASTER_JAM!$B$5:$B$94,MATCH($C1806,MASTER_JAM!$A$5:$A$94,0)),"")</f>
        <v/>
      </c>
      <c r="J1806" s="157">
        <f>IFERROR(INDEX(MASTER_JAM!$E$5:$E$94,MATCH($D1806,MASTER_JAM!$A$5:$A$94,0)),"")</f>
        <v/>
      </c>
      <c r="K1806" s="158">
        <f>IFERROR(INDEX(MASTER_JAM!$J$5:$O$12,MATCH($E1806,MASTER_JAM!$I$5:$I$12,0),MATCH($J1806,MASTER_JAM!$J$4:$O$4,0))+0,0)</f>
        <v/>
      </c>
      <c r="L1806" s="159">
        <f>N($F1806)*$K1806</f>
        <v/>
      </c>
      <c r="M1806" s="157">
        <f>IF($E1806="","",IF(OR($E1806="Coal",$E1806="Dirty Coal"),"MT","BCM"))</f>
        <v/>
      </c>
      <c r="N1806" s="157">
        <f>IF($E1806="","",IF(OR($E1806="Coal",$E1806="Dirty Coal"),"Coal","OB"))</f>
        <v/>
      </c>
      <c r="O1806" s="157">
        <f>IF($F1806="","",IF(COUNTIF(MASTER_JAM!$A$5:$A$94,$C1806)=0,"Digger tidak dikenal",IF($J1806="","Hauler tidak dikenal",IF($H1806="?","Jam salah",IF($K1806=0,"Faktor kosong",IF(SUMIFS(INPUT_DELAY!$E$5:$E$20000,INPUT_DELAY!$A$5:$A$20000,$A1806,INPUT_DELAY!$B$5:$B$20000,$B1806,INPUT_DELAY!$C$5:$C$20000,$C1806)+SUMIFS(INPUT_DELAY!$E$5:$E$20000,INPUT_DELAY!$A$5:$A$20000,$A1806,INPUT_DELAY!$B$5:$B$20000,$B1806,INPUT_DELAY!$C$5:$C$20000,"SEMUA")&gt;=60,"Delay 60 mnt tapi ada ritase","OK"))))))</f>
        <v/>
      </c>
      <c r="P1806" s="158">
        <f>IFERROR(INDEX(MASTER_JAM!$Z$5:$AC$10,MATCH($I1806,MASTER_JAM!$Y$5:$Y$10,0),MATCH($J1806,MASTER_JAM!$Z$4:$AC$4,0))+0,0)</f>
        <v/>
      </c>
      <c r="Q1806" s="158">
        <f>IF($P1806=0,0,$P1806+IFERROR(INDEX(MASTER_JAM!$H$5:$H$94,MATCH($C1806,MASTER_JAM!$A$5:$A$94,0))+0,MASTER_JAM!$AC$15)/1000*(60/MASTER_JAM!$AC$12+60/MASTER_JAM!$AC$13)+MASTER_JAM!$AC$14)</f>
        <v/>
      </c>
      <c r="R1806" s="158">
        <f>IF(N($F1806)=0,0,$F1806/SUMIFS(INPUT_RITASE!$F$5:$F$20000,INPUT_RITASE!$A$5:$A$20000,$A1806,INPUT_RITASE!$B$5:$B$20000,$B1806,INPUT_RITASE!$C$5:$C$20000,$C1806,INPUT_RITASE!$D$5:$D$20000,$D1806))</f>
        <v/>
      </c>
      <c r="S1806" s="158">
        <f>IF($Q1806=0,0,$R1806*$P1806/$Q1806)</f>
        <v/>
      </c>
    </row>
    <row r="1807">
      <c r="A1807" s="155" t="n">
        <v>46110</v>
      </c>
      <c r="B1807" s="156" t="inlineStr">
        <is>
          <t>01-02</t>
        </is>
      </c>
      <c r="C1807" s="156" t="inlineStr">
        <is>
          <t>EX-332</t>
        </is>
      </c>
      <c r="D1807" s="156" t="inlineStr">
        <is>
          <t>DT-519</t>
        </is>
      </c>
      <c r="E1807" s="156" t="inlineStr">
        <is>
          <t>Coal</t>
        </is>
      </c>
      <c r="F1807" s="156" t="n">
        <v>3</v>
      </c>
      <c r="G1807" s="156" t="inlineStr"/>
      <c r="H1807" s="157">
        <f>IF($B1807="","",IF(ISNA(MATCH($B1807,MASTER_JAM!$Q$5:$Q$28,0)),"?",IF(MATCH($B1807,MASTER_JAM!$Q$5:$Q$28,0)&lt;=12,"DS","NS")))</f>
        <v/>
      </c>
      <c r="I1807" s="157">
        <f>IFERROR(INDEX(MASTER_JAM!$B$5:$B$94,MATCH($C1807,MASTER_JAM!$A$5:$A$94,0)),"")</f>
        <v/>
      </c>
      <c r="J1807" s="157">
        <f>IFERROR(INDEX(MASTER_JAM!$E$5:$E$94,MATCH($D1807,MASTER_JAM!$A$5:$A$94,0)),"")</f>
        <v/>
      </c>
      <c r="K1807" s="158">
        <f>IFERROR(INDEX(MASTER_JAM!$J$5:$O$12,MATCH($E1807,MASTER_JAM!$I$5:$I$12,0),MATCH($J1807,MASTER_JAM!$J$4:$O$4,0))+0,0)</f>
        <v/>
      </c>
      <c r="L1807" s="159">
        <f>N($F1807)*$K1807</f>
        <v/>
      </c>
      <c r="M1807" s="157">
        <f>IF($E1807="","",IF(OR($E1807="Coal",$E1807="Dirty Coal"),"MT","BCM"))</f>
        <v/>
      </c>
      <c r="N1807" s="157">
        <f>IF($E1807="","",IF(OR($E1807="Coal",$E1807="Dirty Coal"),"Coal","OB"))</f>
        <v/>
      </c>
      <c r="O1807" s="157">
        <f>IF($F1807="","",IF(COUNTIF(MASTER_JAM!$A$5:$A$94,$C1807)=0,"Digger tidak dikenal",IF($J1807="","Hauler tidak dikenal",IF($H1807="?","Jam salah",IF($K1807=0,"Faktor kosong",IF(SUMIFS(INPUT_DELAY!$E$5:$E$20000,INPUT_DELAY!$A$5:$A$20000,$A1807,INPUT_DELAY!$B$5:$B$20000,$B1807,INPUT_DELAY!$C$5:$C$20000,$C1807)+SUMIFS(INPUT_DELAY!$E$5:$E$20000,INPUT_DELAY!$A$5:$A$20000,$A1807,INPUT_DELAY!$B$5:$B$20000,$B1807,INPUT_DELAY!$C$5:$C$20000,"SEMUA")&gt;=60,"Delay 60 mnt tapi ada ritase","OK"))))))</f>
        <v/>
      </c>
      <c r="P1807" s="158">
        <f>IFERROR(INDEX(MASTER_JAM!$Z$5:$AC$10,MATCH($I1807,MASTER_JAM!$Y$5:$Y$10,0),MATCH($J1807,MASTER_JAM!$Z$4:$AC$4,0))+0,0)</f>
        <v/>
      </c>
      <c r="Q1807" s="158">
        <f>IF($P1807=0,0,$P1807+IFERROR(INDEX(MASTER_JAM!$H$5:$H$94,MATCH($C1807,MASTER_JAM!$A$5:$A$94,0))+0,MASTER_JAM!$AC$15)/1000*(60/MASTER_JAM!$AC$12+60/MASTER_JAM!$AC$13)+MASTER_JAM!$AC$14)</f>
        <v/>
      </c>
      <c r="R1807" s="158">
        <f>IF(N($F1807)=0,0,$F1807/SUMIFS(INPUT_RITASE!$F$5:$F$20000,INPUT_RITASE!$A$5:$A$20000,$A1807,INPUT_RITASE!$B$5:$B$20000,$B1807,INPUT_RITASE!$C$5:$C$20000,$C1807,INPUT_RITASE!$D$5:$D$20000,$D1807))</f>
        <v/>
      </c>
      <c r="S1807" s="158">
        <f>IF($Q1807=0,0,$R1807*$P1807/$Q1807)</f>
        <v/>
      </c>
    </row>
    <row r="1808">
      <c r="A1808" s="155" t="n">
        <v>46110</v>
      </c>
      <c r="B1808" s="156" t="inlineStr">
        <is>
          <t>01-02</t>
        </is>
      </c>
      <c r="C1808" s="156" t="inlineStr">
        <is>
          <t>EX-332</t>
        </is>
      </c>
      <c r="D1808" s="156" t="inlineStr">
        <is>
          <t>DT-512</t>
        </is>
      </c>
      <c r="E1808" s="156" t="inlineStr">
        <is>
          <t>Coal</t>
        </is>
      </c>
      <c r="F1808" s="156" t="n">
        <v>3</v>
      </c>
      <c r="G1808" s="156" t="inlineStr"/>
      <c r="H1808" s="157">
        <f>IF($B1808="","",IF(ISNA(MATCH($B1808,MASTER_JAM!$Q$5:$Q$28,0)),"?",IF(MATCH($B1808,MASTER_JAM!$Q$5:$Q$28,0)&lt;=12,"DS","NS")))</f>
        <v/>
      </c>
      <c r="I1808" s="157">
        <f>IFERROR(INDEX(MASTER_JAM!$B$5:$B$94,MATCH($C1808,MASTER_JAM!$A$5:$A$94,0)),"")</f>
        <v/>
      </c>
      <c r="J1808" s="157">
        <f>IFERROR(INDEX(MASTER_JAM!$E$5:$E$94,MATCH($D1808,MASTER_JAM!$A$5:$A$94,0)),"")</f>
        <v/>
      </c>
      <c r="K1808" s="158">
        <f>IFERROR(INDEX(MASTER_JAM!$J$5:$O$12,MATCH($E1808,MASTER_JAM!$I$5:$I$12,0),MATCH($J1808,MASTER_JAM!$J$4:$O$4,0))+0,0)</f>
        <v/>
      </c>
      <c r="L1808" s="159">
        <f>N($F1808)*$K1808</f>
        <v/>
      </c>
      <c r="M1808" s="157">
        <f>IF($E1808="","",IF(OR($E1808="Coal",$E1808="Dirty Coal"),"MT","BCM"))</f>
        <v/>
      </c>
      <c r="N1808" s="157">
        <f>IF($E1808="","",IF(OR($E1808="Coal",$E1808="Dirty Coal"),"Coal","OB"))</f>
        <v/>
      </c>
      <c r="O1808" s="157">
        <f>IF($F1808="","",IF(COUNTIF(MASTER_JAM!$A$5:$A$94,$C1808)=0,"Digger tidak dikenal",IF($J1808="","Hauler tidak dikenal",IF($H1808="?","Jam salah",IF($K1808=0,"Faktor kosong",IF(SUMIFS(INPUT_DELAY!$E$5:$E$20000,INPUT_DELAY!$A$5:$A$20000,$A1808,INPUT_DELAY!$B$5:$B$20000,$B1808,INPUT_DELAY!$C$5:$C$20000,$C1808)+SUMIFS(INPUT_DELAY!$E$5:$E$20000,INPUT_DELAY!$A$5:$A$20000,$A1808,INPUT_DELAY!$B$5:$B$20000,$B1808,INPUT_DELAY!$C$5:$C$20000,"SEMUA")&gt;=60,"Delay 60 mnt tapi ada ritase","OK"))))))</f>
        <v/>
      </c>
      <c r="P1808" s="158">
        <f>IFERROR(INDEX(MASTER_JAM!$Z$5:$AC$10,MATCH($I1808,MASTER_JAM!$Y$5:$Y$10,0),MATCH($J1808,MASTER_JAM!$Z$4:$AC$4,0))+0,0)</f>
        <v/>
      </c>
      <c r="Q1808" s="158">
        <f>IF($P1808=0,0,$P1808+IFERROR(INDEX(MASTER_JAM!$H$5:$H$94,MATCH($C1808,MASTER_JAM!$A$5:$A$94,0))+0,MASTER_JAM!$AC$15)/1000*(60/MASTER_JAM!$AC$12+60/MASTER_JAM!$AC$13)+MASTER_JAM!$AC$14)</f>
        <v/>
      </c>
      <c r="R1808" s="158">
        <f>IF(N($F1808)=0,0,$F1808/SUMIFS(INPUT_RITASE!$F$5:$F$20000,INPUT_RITASE!$A$5:$A$20000,$A1808,INPUT_RITASE!$B$5:$B$20000,$B1808,INPUT_RITASE!$C$5:$C$20000,$C1808,INPUT_RITASE!$D$5:$D$20000,$D1808))</f>
        <v/>
      </c>
      <c r="S1808" s="158">
        <f>IF($Q1808=0,0,$R1808*$P1808/$Q1808)</f>
        <v/>
      </c>
    </row>
    <row r="1809">
      <c r="A1809" s="155" t="n">
        <v>46110</v>
      </c>
      <c r="B1809" s="156" t="inlineStr">
        <is>
          <t>18-19</t>
        </is>
      </c>
      <c r="C1809" s="156" t="inlineStr">
        <is>
          <t>EX-335</t>
        </is>
      </c>
      <c r="D1809" s="156" t="inlineStr">
        <is>
          <t>DT-519</t>
        </is>
      </c>
      <c r="E1809" s="156" t="inlineStr">
        <is>
          <t>Coal</t>
        </is>
      </c>
      <c r="F1809" s="156" t="n">
        <v>3</v>
      </c>
      <c r="G1809" s="156" t="inlineStr"/>
      <c r="H1809" s="157">
        <f>IF($B1809="","",IF(ISNA(MATCH($B1809,MASTER_JAM!$Q$5:$Q$28,0)),"?",IF(MATCH($B1809,MASTER_JAM!$Q$5:$Q$28,0)&lt;=12,"DS","NS")))</f>
        <v/>
      </c>
      <c r="I1809" s="157">
        <f>IFERROR(INDEX(MASTER_JAM!$B$5:$B$94,MATCH($C1809,MASTER_JAM!$A$5:$A$94,0)),"")</f>
        <v/>
      </c>
      <c r="J1809" s="157">
        <f>IFERROR(INDEX(MASTER_JAM!$E$5:$E$94,MATCH($D1809,MASTER_JAM!$A$5:$A$94,0)),"")</f>
        <v/>
      </c>
      <c r="K1809" s="158">
        <f>IFERROR(INDEX(MASTER_JAM!$J$5:$O$12,MATCH($E1809,MASTER_JAM!$I$5:$I$12,0),MATCH($J1809,MASTER_JAM!$J$4:$O$4,0))+0,0)</f>
        <v/>
      </c>
      <c r="L1809" s="159">
        <f>N($F1809)*$K1809</f>
        <v/>
      </c>
      <c r="M1809" s="157">
        <f>IF($E1809="","",IF(OR($E1809="Coal",$E1809="Dirty Coal"),"MT","BCM"))</f>
        <v/>
      </c>
      <c r="N1809" s="157">
        <f>IF($E1809="","",IF(OR($E1809="Coal",$E1809="Dirty Coal"),"Coal","OB"))</f>
        <v/>
      </c>
      <c r="O1809" s="157">
        <f>IF($F1809="","",IF(COUNTIF(MASTER_JAM!$A$5:$A$94,$C1809)=0,"Digger tidak dikenal",IF($J1809="","Hauler tidak dikenal",IF($H1809="?","Jam salah",IF($K1809=0,"Faktor kosong",IF(SUMIFS(INPUT_DELAY!$E$5:$E$20000,INPUT_DELAY!$A$5:$A$20000,$A1809,INPUT_DELAY!$B$5:$B$20000,$B1809,INPUT_DELAY!$C$5:$C$20000,$C1809)+SUMIFS(INPUT_DELAY!$E$5:$E$20000,INPUT_DELAY!$A$5:$A$20000,$A1809,INPUT_DELAY!$B$5:$B$20000,$B1809,INPUT_DELAY!$C$5:$C$20000,"SEMUA")&gt;=60,"Delay 60 mnt tapi ada ritase","OK"))))))</f>
        <v/>
      </c>
      <c r="P1809" s="158">
        <f>IFERROR(INDEX(MASTER_JAM!$Z$5:$AC$10,MATCH($I1809,MASTER_JAM!$Y$5:$Y$10,0),MATCH($J1809,MASTER_JAM!$Z$4:$AC$4,0))+0,0)</f>
        <v/>
      </c>
      <c r="Q1809" s="158">
        <f>IF($P1809=0,0,$P1809+IFERROR(INDEX(MASTER_JAM!$H$5:$H$94,MATCH($C1809,MASTER_JAM!$A$5:$A$94,0))+0,MASTER_JAM!$AC$15)/1000*(60/MASTER_JAM!$AC$12+60/MASTER_JAM!$AC$13)+MASTER_JAM!$AC$14)</f>
        <v/>
      </c>
      <c r="R1809" s="158">
        <f>IF(N($F1809)=0,0,$F1809/SUMIFS(INPUT_RITASE!$F$5:$F$20000,INPUT_RITASE!$A$5:$A$20000,$A1809,INPUT_RITASE!$B$5:$B$20000,$B1809,INPUT_RITASE!$C$5:$C$20000,$C1809,INPUT_RITASE!$D$5:$D$20000,$D1809))</f>
        <v/>
      </c>
      <c r="S1809" s="158">
        <f>IF($Q1809=0,0,$R1809*$P1809/$Q1809)</f>
        <v/>
      </c>
    </row>
    <row r="1810">
      <c r="A1810" s="155" t="n">
        <v>46110</v>
      </c>
      <c r="B1810" s="156" t="inlineStr">
        <is>
          <t>18-19</t>
        </is>
      </c>
      <c r="C1810" s="156" t="inlineStr">
        <is>
          <t>EX-335</t>
        </is>
      </c>
      <c r="D1810" s="156" t="inlineStr">
        <is>
          <t>DT-524</t>
        </is>
      </c>
      <c r="E1810" s="156" t="inlineStr">
        <is>
          <t>Coal</t>
        </is>
      </c>
      <c r="F1810" s="156" t="n">
        <v>2</v>
      </c>
      <c r="G1810" s="156" t="inlineStr"/>
      <c r="H1810" s="157">
        <f>IF($B1810="","",IF(ISNA(MATCH($B1810,MASTER_JAM!$Q$5:$Q$28,0)),"?",IF(MATCH($B1810,MASTER_JAM!$Q$5:$Q$28,0)&lt;=12,"DS","NS")))</f>
        <v/>
      </c>
      <c r="I1810" s="157">
        <f>IFERROR(INDEX(MASTER_JAM!$B$5:$B$94,MATCH($C1810,MASTER_JAM!$A$5:$A$94,0)),"")</f>
        <v/>
      </c>
      <c r="J1810" s="157">
        <f>IFERROR(INDEX(MASTER_JAM!$E$5:$E$94,MATCH($D1810,MASTER_JAM!$A$5:$A$94,0)),"")</f>
        <v/>
      </c>
      <c r="K1810" s="158">
        <f>IFERROR(INDEX(MASTER_JAM!$J$5:$O$12,MATCH($E1810,MASTER_JAM!$I$5:$I$12,0),MATCH($J1810,MASTER_JAM!$J$4:$O$4,0))+0,0)</f>
        <v/>
      </c>
      <c r="L1810" s="159">
        <f>N($F1810)*$K1810</f>
        <v/>
      </c>
      <c r="M1810" s="157">
        <f>IF($E1810="","",IF(OR($E1810="Coal",$E1810="Dirty Coal"),"MT","BCM"))</f>
        <v/>
      </c>
      <c r="N1810" s="157">
        <f>IF($E1810="","",IF(OR($E1810="Coal",$E1810="Dirty Coal"),"Coal","OB"))</f>
        <v/>
      </c>
      <c r="O1810" s="157">
        <f>IF($F1810="","",IF(COUNTIF(MASTER_JAM!$A$5:$A$94,$C1810)=0,"Digger tidak dikenal",IF($J1810="","Hauler tidak dikenal",IF($H1810="?","Jam salah",IF($K1810=0,"Faktor kosong",IF(SUMIFS(INPUT_DELAY!$E$5:$E$20000,INPUT_DELAY!$A$5:$A$20000,$A1810,INPUT_DELAY!$B$5:$B$20000,$B1810,INPUT_DELAY!$C$5:$C$20000,$C1810)+SUMIFS(INPUT_DELAY!$E$5:$E$20000,INPUT_DELAY!$A$5:$A$20000,$A1810,INPUT_DELAY!$B$5:$B$20000,$B1810,INPUT_DELAY!$C$5:$C$20000,"SEMUA")&gt;=60,"Delay 60 mnt tapi ada ritase","OK"))))))</f>
        <v/>
      </c>
      <c r="P1810" s="158">
        <f>IFERROR(INDEX(MASTER_JAM!$Z$5:$AC$10,MATCH($I1810,MASTER_JAM!$Y$5:$Y$10,0),MATCH($J1810,MASTER_JAM!$Z$4:$AC$4,0))+0,0)</f>
        <v/>
      </c>
      <c r="Q1810" s="158">
        <f>IF($P1810=0,0,$P1810+IFERROR(INDEX(MASTER_JAM!$H$5:$H$94,MATCH($C1810,MASTER_JAM!$A$5:$A$94,0))+0,MASTER_JAM!$AC$15)/1000*(60/MASTER_JAM!$AC$12+60/MASTER_JAM!$AC$13)+MASTER_JAM!$AC$14)</f>
        <v/>
      </c>
      <c r="R1810" s="158">
        <f>IF(N($F1810)=0,0,$F1810/SUMIFS(INPUT_RITASE!$F$5:$F$20000,INPUT_RITASE!$A$5:$A$20000,$A1810,INPUT_RITASE!$B$5:$B$20000,$B1810,INPUT_RITASE!$C$5:$C$20000,$C1810,INPUT_RITASE!$D$5:$D$20000,$D1810))</f>
        <v/>
      </c>
      <c r="S1810" s="158">
        <f>IF($Q1810=0,0,$R1810*$P1810/$Q1810)</f>
        <v/>
      </c>
    </row>
    <row r="1811">
      <c r="A1811" s="155" t="n">
        <v>46110</v>
      </c>
      <c r="B1811" s="156" t="inlineStr">
        <is>
          <t>19-20</t>
        </is>
      </c>
      <c r="C1811" s="156" t="inlineStr">
        <is>
          <t>EX-335</t>
        </is>
      </c>
      <c r="D1811" s="156" t="inlineStr">
        <is>
          <t>DT-502</t>
        </is>
      </c>
      <c r="E1811" s="156" t="inlineStr">
        <is>
          <t>Coal</t>
        </is>
      </c>
      <c r="F1811" s="156" t="n">
        <v>4</v>
      </c>
      <c r="G1811" s="156" t="inlineStr"/>
      <c r="H1811" s="157">
        <f>IF($B1811="","",IF(ISNA(MATCH($B1811,MASTER_JAM!$Q$5:$Q$28,0)),"?",IF(MATCH($B1811,MASTER_JAM!$Q$5:$Q$28,0)&lt;=12,"DS","NS")))</f>
        <v/>
      </c>
      <c r="I1811" s="157">
        <f>IFERROR(INDEX(MASTER_JAM!$B$5:$B$94,MATCH($C1811,MASTER_JAM!$A$5:$A$94,0)),"")</f>
        <v/>
      </c>
      <c r="J1811" s="157">
        <f>IFERROR(INDEX(MASTER_JAM!$E$5:$E$94,MATCH($D1811,MASTER_JAM!$A$5:$A$94,0)),"")</f>
        <v/>
      </c>
      <c r="K1811" s="158">
        <f>IFERROR(INDEX(MASTER_JAM!$J$5:$O$12,MATCH($E1811,MASTER_JAM!$I$5:$I$12,0),MATCH($J1811,MASTER_JAM!$J$4:$O$4,0))+0,0)</f>
        <v/>
      </c>
      <c r="L1811" s="159">
        <f>N($F1811)*$K1811</f>
        <v/>
      </c>
      <c r="M1811" s="157">
        <f>IF($E1811="","",IF(OR($E1811="Coal",$E1811="Dirty Coal"),"MT","BCM"))</f>
        <v/>
      </c>
      <c r="N1811" s="157">
        <f>IF($E1811="","",IF(OR($E1811="Coal",$E1811="Dirty Coal"),"Coal","OB"))</f>
        <v/>
      </c>
      <c r="O1811" s="157">
        <f>IF($F1811="","",IF(COUNTIF(MASTER_JAM!$A$5:$A$94,$C1811)=0,"Digger tidak dikenal",IF($J1811="","Hauler tidak dikenal",IF($H1811="?","Jam salah",IF($K1811=0,"Faktor kosong",IF(SUMIFS(INPUT_DELAY!$E$5:$E$20000,INPUT_DELAY!$A$5:$A$20000,$A1811,INPUT_DELAY!$B$5:$B$20000,$B1811,INPUT_DELAY!$C$5:$C$20000,$C1811)+SUMIFS(INPUT_DELAY!$E$5:$E$20000,INPUT_DELAY!$A$5:$A$20000,$A1811,INPUT_DELAY!$B$5:$B$20000,$B1811,INPUT_DELAY!$C$5:$C$20000,"SEMUA")&gt;=60,"Delay 60 mnt tapi ada ritase","OK"))))))</f>
        <v/>
      </c>
      <c r="P1811" s="158">
        <f>IFERROR(INDEX(MASTER_JAM!$Z$5:$AC$10,MATCH($I1811,MASTER_JAM!$Y$5:$Y$10,0),MATCH($J1811,MASTER_JAM!$Z$4:$AC$4,0))+0,0)</f>
        <v/>
      </c>
      <c r="Q1811" s="158">
        <f>IF($P1811=0,0,$P1811+IFERROR(INDEX(MASTER_JAM!$H$5:$H$94,MATCH($C1811,MASTER_JAM!$A$5:$A$94,0))+0,MASTER_JAM!$AC$15)/1000*(60/MASTER_JAM!$AC$12+60/MASTER_JAM!$AC$13)+MASTER_JAM!$AC$14)</f>
        <v/>
      </c>
      <c r="R1811" s="158">
        <f>IF(N($F1811)=0,0,$F1811/SUMIFS(INPUT_RITASE!$F$5:$F$20000,INPUT_RITASE!$A$5:$A$20000,$A1811,INPUT_RITASE!$B$5:$B$20000,$B1811,INPUT_RITASE!$C$5:$C$20000,$C1811,INPUT_RITASE!$D$5:$D$20000,$D1811))</f>
        <v/>
      </c>
      <c r="S1811" s="158">
        <f>IF($Q1811=0,0,$R1811*$P1811/$Q1811)</f>
        <v/>
      </c>
    </row>
    <row r="1812">
      <c r="A1812" s="155" t="n">
        <v>46110</v>
      </c>
      <c r="B1812" s="156" t="inlineStr">
        <is>
          <t>20-21</t>
        </is>
      </c>
      <c r="C1812" s="156" t="inlineStr">
        <is>
          <t>EX-335</t>
        </is>
      </c>
      <c r="D1812" s="156" t="inlineStr">
        <is>
          <t>DT-519</t>
        </is>
      </c>
      <c r="E1812" s="156" t="inlineStr">
        <is>
          <t>Coal</t>
        </is>
      </c>
      <c r="F1812" s="156" t="n">
        <v>3</v>
      </c>
      <c r="G1812" s="156" t="inlineStr"/>
      <c r="H1812" s="157">
        <f>IF($B1812="","",IF(ISNA(MATCH($B1812,MASTER_JAM!$Q$5:$Q$28,0)),"?",IF(MATCH($B1812,MASTER_JAM!$Q$5:$Q$28,0)&lt;=12,"DS","NS")))</f>
        <v/>
      </c>
      <c r="I1812" s="157">
        <f>IFERROR(INDEX(MASTER_JAM!$B$5:$B$94,MATCH($C1812,MASTER_JAM!$A$5:$A$94,0)),"")</f>
        <v/>
      </c>
      <c r="J1812" s="157">
        <f>IFERROR(INDEX(MASTER_JAM!$E$5:$E$94,MATCH($D1812,MASTER_JAM!$A$5:$A$94,0)),"")</f>
        <v/>
      </c>
      <c r="K1812" s="158">
        <f>IFERROR(INDEX(MASTER_JAM!$J$5:$O$12,MATCH($E1812,MASTER_JAM!$I$5:$I$12,0),MATCH($J1812,MASTER_JAM!$J$4:$O$4,0))+0,0)</f>
        <v/>
      </c>
      <c r="L1812" s="159">
        <f>N($F1812)*$K1812</f>
        <v/>
      </c>
      <c r="M1812" s="157">
        <f>IF($E1812="","",IF(OR($E1812="Coal",$E1812="Dirty Coal"),"MT","BCM"))</f>
        <v/>
      </c>
      <c r="N1812" s="157">
        <f>IF($E1812="","",IF(OR($E1812="Coal",$E1812="Dirty Coal"),"Coal","OB"))</f>
        <v/>
      </c>
      <c r="O1812" s="157">
        <f>IF($F1812="","",IF(COUNTIF(MASTER_JAM!$A$5:$A$94,$C1812)=0,"Digger tidak dikenal",IF($J1812="","Hauler tidak dikenal",IF($H1812="?","Jam salah",IF($K1812=0,"Faktor kosong",IF(SUMIFS(INPUT_DELAY!$E$5:$E$20000,INPUT_DELAY!$A$5:$A$20000,$A1812,INPUT_DELAY!$B$5:$B$20000,$B1812,INPUT_DELAY!$C$5:$C$20000,$C1812)+SUMIFS(INPUT_DELAY!$E$5:$E$20000,INPUT_DELAY!$A$5:$A$20000,$A1812,INPUT_DELAY!$B$5:$B$20000,$B1812,INPUT_DELAY!$C$5:$C$20000,"SEMUA")&gt;=60,"Delay 60 mnt tapi ada ritase","OK"))))))</f>
        <v/>
      </c>
      <c r="P1812" s="158">
        <f>IFERROR(INDEX(MASTER_JAM!$Z$5:$AC$10,MATCH($I1812,MASTER_JAM!$Y$5:$Y$10,0),MATCH($J1812,MASTER_JAM!$Z$4:$AC$4,0))+0,0)</f>
        <v/>
      </c>
      <c r="Q1812" s="158">
        <f>IF($P1812=0,0,$P1812+IFERROR(INDEX(MASTER_JAM!$H$5:$H$94,MATCH($C1812,MASTER_JAM!$A$5:$A$94,0))+0,MASTER_JAM!$AC$15)/1000*(60/MASTER_JAM!$AC$12+60/MASTER_JAM!$AC$13)+MASTER_JAM!$AC$14)</f>
        <v/>
      </c>
      <c r="R1812" s="158">
        <f>IF(N($F1812)=0,0,$F1812/SUMIFS(INPUT_RITASE!$F$5:$F$20000,INPUT_RITASE!$A$5:$A$20000,$A1812,INPUT_RITASE!$B$5:$B$20000,$B1812,INPUT_RITASE!$C$5:$C$20000,$C1812,INPUT_RITASE!$D$5:$D$20000,$D1812))</f>
        <v/>
      </c>
      <c r="S1812" s="158">
        <f>IF($Q1812=0,0,$R1812*$P1812/$Q1812)</f>
        <v/>
      </c>
    </row>
    <row r="1813">
      <c r="A1813" s="155" t="n">
        <v>46110</v>
      </c>
      <c r="B1813" s="156" t="inlineStr">
        <is>
          <t>20-21</t>
        </is>
      </c>
      <c r="C1813" s="156" t="inlineStr">
        <is>
          <t>EX-335</t>
        </is>
      </c>
      <c r="D1813" s="156" t="inlineStr">
        <is>
          <t>DT-507</t>
        </is>
      </c>
      <c r="E1813" s="156" t="inlineStr">
        <is>
          <t>Coal</t>
        </is>
      </c>
      <c r="F1813" s="156" t="n">
        <v>2</v>
      </c>
      <c r="G1813" s="156" t="inlineStr"/>
      <c r="H1813" s="157">
        <f>IF($B1813="","",IF(ISNA(MATCH($B1813,MASTER_JAM!$Q$5:$Q$28,0)),"?",IF(MATCH($B1813,MASTER_JAM!$Q$5:$Q$28,0)&lt;=12,"DS","NS")))</f>
        <v/>
      </c>
      <c r="I1813" s="157">
        <f>IFERROR(INDEX(MASTER_JAM!$B$5:$B$94,MATCH($C1813,MASTER_JAM!$A$5:$A$94,0)),"")</f>
        <v/>
      </c>
      <c r="J1813" s="157">
        <f>IFERROR(INDEX(MASTER_JAM!$E$5:$E$94,MATCH($D1813,MASTER_JAM!$A$5:$A$94,0)),"")</f>
        <v/>
      </c>
      <c r="K1813" s="158">
        <f>IFERROR(INDEX(MASTER_JAM!$J$5:$O$12,MATCH($E1813,MASTER_JAM!$I$5:$I$12,0),MATCH($J1813,MASTER_JAM!$J$4:$O$4,0))+0,0)</f>
        <v/>
      </c>
      <c r="L1813" s="159">
        <f>N($F1813)*$K1813</f>
        <v/>
      </c>
      <c r="M1813" s="157">
        <f>IF($E1813="","",IF(OR($E1813="Coal",$E1813="Dirty Coal"),"MT","BCM"))</f>
        <v/>
      </c>
      <c r="N1813" s="157">
        <f>IF($E1813="","",IF(OR($E1813="Coal",$E1813="Dirty Coal"),"Coal","OB"))</f>
        <v/>
      </c>
      <c r="O1813" s="157">
        <f>IF($F1813="","",IF(COUNTIF(MASTER_JAM!$A$5:$A$94,$C1813)=0,"Digger tidak dikenal",IF($J1813="","Hauler tidak dikenal",IF($H1813="?","Jam salah",IF($K1813=0,"Faktor kosong",IF(SUMIFS(INPUT_DELAY!$E$5:$E$20000,INPUT_DELAY!$A$5:$A$20000,$A1813,INPUT_DELAY!$B$5:$B$20000,$B1813,INPUT_DELAY!$C$5:$C$20000,$C1813)+SUMIFS(INPUT_DELAY!$E$5:$E$20000,INPUT_DELAY!$A$5:$A$20000,$A1813,INPUT_DELAY!$B$5:$B$20000,$B1813,INPUT_DELAY!$C$5:$C$20000,"SEMUA")&gt;=60,"Delay 60 mnt tapi ada ritase","OK"))))))</f>
        <v/>
      </c>
      <c r="P1813" s="158">
        <f>IFERROR(INDEX(MASTER_JAM!$Z$5:$AC$10,MATCH($I1813,MASTER_JAM!$Y$5:$Y$10,0),MATCH($J1813,MASTER_JAM!$Z$4:$AC$4,0))+0,0)</f>
        <v/>
      </c>
      <c r="Q1813" s="158">
        <f>IF($P1813=0,0,$P1813+IFERROR(INDEX(MASTER_JAM!$H$5:$H$94,MATCH($C1813,MASTER_JAM!$A$5:$A$94,0))+0,MASTER_JAM!$AC$15)/1000*(60/MASTER_JAM!$AC$12+60/MASTER_JAM!$AC$13)+MASTER_JAM!$AC$14)</f>
        <v/>
      </c>
      <c r="R1813" s="158">
        <f>IF(N($F1813)=0,0,$F1813/SUMIFS(INPUT_RITASE!$F$5:$F$20000,INPUT_RITASE!$A$5:$A$20000,$A1813,INPUT_RITASE!$B$5:$B$20000,$B1813,INPUT_RITASE!$C$5:$C$20000,$C1813,INPUT_RITASE!$D$5:$D$20000,$D1813))</f>
        <v/>
      </c>
      <c r="S1813" s="158">
        <f>IF($Q1813=0,0,$R1813*$P1813/$Q1813)</f>
        <v/>
      </c>
    </row>
    <row r="1814">
      <c r="A1814" s="155" t="n">
        <v>46110</v>
      </c>
      <c r="B1814" s="156" t="inlineStr">
        <is>
          <t>21-22</t>
        </is>
      </c>
      <c r="C1814" s="156" t="inlineStr">
        <is>
          <t>EX-335</t>
        </is>
      </c>
      <c r="D1814" s="156" t="inlineStr">
        <is>
          <t>DT-516</t>
        </is>
      </c>
      <c r="E1814" s="156" t="inlineStr">
        <is>
          <t>Coal</t>
        </is>
      </c>
      <c r="F1814" s="156" t="n">
        <v>1</v>
      </c>
      <c r="G1814" s="156" t="inlineStr"/>
      <c r="H1814" s="157">
        <f>IF($B1814="","",IF(ISNA(MATCH($B1814,MASTER_JAM!$Q$5:$Q$28,0)),"?",IF(MATCH($B1814,MASTER_JAM!$Q$5:$Q$28,0)&lt;=12,"DS","NS")))</f>
        <v/>
      </c>
      <c r="I1814" s="157">
        <f>IFERROR(INDEX(MASTER_JAM!$B$5:$B$94,MATCH($C1814,MASTER_JAM!$A$5:$A$94,0)),"")</f>
        <v/>
      </c>
      <c r="J1814" s="157">
        <f>IFERROR(INDEX(MASTER_JAM!$E$5:$E$94,MATCH($D1814,MASTER_JAM!$A$5:$A$94,0)),"")</f>
        <v/>
      </c>
      <c r="K1814" s="158">
        <f>IFERROR(INDEX(MASTER_JAM!$J$5:$O$12,MATCH($E1814,MASTER_JAM!$I$5:$I$12,0),MATCH($J1814,MASTER_JAM!$J$4:$O$4,0))+0,0)</f>
        <v/>
      </c>
      <c r="L1814" s="159">
        <f>N($F1814)*$K1814</f>
        <v/>
      </c>
      <c r="M1814" s="157">
        <f>IF($E1814="","",IF(OR($E1814="Coal",$E1814="Dirty Coal"),"MT","BCM"))</f>
        <v/>
      </c>
      <c r="N1814" s="157">
        <f>IF($E1814="","",IF(OR($E1814="Coal",$E1814="Dirty Coal"),"Coal","OB"))</f>
        <v/>
      </c>
      <c r="O1814" s="157">
        <f>IF($F1814="","",IF(COUNTIF(MASTER_JAM!$A$5:$A$94,$C1814)=0,"Digger tidak dikenal",IF($J1814="","Hauler tidak dikenal",IF($H1814="?","Jam salah",IF($K1814=0,"Faktor kosong",IF(SUMIFS(INPUT_DELAY!$E$5:$E$20000,INPUT_DELAY!$A$5:$A$20000,$A1814,INPUT_DELAY!$B$5:$B$20000,$B1814,INPUT_DELAY!$C$5:$C$20000,$C1814)+SUMIFS(INPUT_DELAY!$E$5:$E$20000,INPUT_DELAY!$A$5:$A$20000,$A1814,INPUT_DELAY!$B$5:$B$20000,$B1814,INPUT_DELAY!$C$5:$C$20000,"SEMUA")&gt;=60,"Delay 60 mnt tapi ada ritase","OK"))))))</f>
        <v/>
      </c>
      <c r="P1814" s="158">
        <f>IFERROR(INDEX(MASTER_JAM!$Z$5:$AC$10,MATCH($I1814,MASTER_JAM!$Y$5:$Y$10,0),MATCH($J1814,MASTER_JAM!$Z$4:$AC$4,0))+0,0)</f>
        <v/>
      </c>
      <c r="Q1814" s="158">
        <f>IF($P1814=0,0,$P1814+IFERROR(INDEX(MASTER_JAM!$H$5:$H$94,MATCH($C1814,MASTER_JAM!$A$5:$A$94,0))+0,MASTER_JAM!$AC$15)/1000*(60/MASTER_JAM!$AC$12+60/MASTER_JAM!$AC$13)+MASTER_JAM!$AC$14)</f>
        <v/>
      </c>
      <c r="R1814" s="158">
        <f>IF(N($F1814)=0,0,$F1814/SUMIFS(INPUT_RITASE!$F$5:$F$20000,INPUT_RITASE!$A$5:$A$20000,$A1814,INPUT_RITASE!$B$5:$B$20000,$B1814,INPUT_RITASE!$C$5:$C$20000,$C1814,INPUT_RITASE!$D$5:$D$20000,$D1814))</f>
        <v/>
      </c>
      <c r="S1814" s="158">
        <f>IF($Q1814=0,0,$R1814*$P1814/$Q1814)</f>
        <v/>
      </c>
    </row>
    <row r="1815">
      <c r="A1815" s="155" t="n">
        <v>46110</v>
      </c>
      <c r="B1815" s="156" t="inlineStr">
        <is>
          <t>18-19</t>
        </is>
      </c>
      <c r="C1815" s="156" t="inlineStr">
        <is>
          <t>EX-754</t>
        </is>
      </c>
      <c r="D1815" s="156" t="inlineStr">
        <is>
          <t>DT-502</t>
        </is>
      </c>
      <c r="E1815" s="156" t="inlineStr">
        <is>
          <t>OB</t>
        </is>
      </c>
      <c r="F1815" s="156" t="n">
        <v>4</v>
      </c>
      <c r="G1815" s="156" t="inlineStr"/>
      <c r="H1815" s="157">
        <f>IF($B1815="","",IF(ISNA(MATCH($B1815,MASTER_JAM!$Q$5:$Q$28,0)),"?",IF(MATCH($B1815,MASTER_JAM!$Q$5:$Q$28,0)&lt;=12,"DS","NS")))</f>
        <v/>
      </c>
      <c r="I1815" s="157">
        <f>IFERROR(INDEX(MASTER_JAM!$B$5:$B$94,MATCH($C1815,MASTER_JAM!$A$5:$A$94,0)),"")</f>
        <v/>
      </c>
      <c r="J1815" s="157">
        <f>IFERROR(INDEX(MASTER_JAM!$E$5:$E$94,MATCH($D1815,MASTER_JAM!$A$5:$A$94,0)),"")</f>
        <v/>
      </c>
      <c r="K1815" s="158">
        <f>IFERROR(INDEX(MASTER_JAM!$J$5:$O$12,MATCH($E1815,MASTER_JAM!$I$5:$I$12,0),MATCH($J1815,MASTER_JAM!$J$4:$O$4,0))+0,0)</f>
        <v/>
      </c>
      <c r="L1815" s="159">
        <f>N($F1815)*$K1815</f>
        <v/>
      </c>
      <c r="M1815" s="157">
        <f>IF($E1815="","",IF(OR($E1815="Coal",$E1815="Dirty Coal"),"MT","BCM"))</f>
        <v/>
      </c>
      <c r="N1815" s="157">
        <f>IF($E1815="","",IF(OR($E1815="Coal",$E1815="Dirty Coal"),"Coal","OB"))</f>
        <v/>
      </c>
      <c r="O1815" s="157">
        <f>IF($F1815="","",IF(COUNTIF(MASTER_JAM!$A$5:$A$94,$C1815)=0,"Digger tidak dikenal",IF($J1815="","Hauler tidak dikenal",IF($H1815="?","Jam salah",IF($K1815=0,"Faktor kosong",IF(SUMIFS(INPUT_DELAY!$E$5:$E$20000,INPUT_DELAY!$A$5:$A$20000,$A1815,INPUT_DELAY!$B$5:$B$20000,$B1815,INPUT_DELAY!$C$5:$C$20000,$C1815)+SUMIFS(INPUT_DELAY!$E$5:$E$20000,INPUT_DELAY!$A$5:$A$20000,$A1815,INPUT_DELAY!$B$5:$B$20000,$B1815,INPUT_DELAY!$C$5:$C$20000,"SEMUA")&gt;=60,"Delay 60 mnt tapi ada ritase","OK"))))))</f>
        <v/>
      </c>
      <c r="P1815" s="158">
        <f>IFERROR(INDEX(MASTER_JAM!$Z$5:$AC$10,MATCH($I1815,MASTER_JAM!$Y$5:$Y$10,0),MATCH($J1815,MASTER_JAM!$Z$4:$AC$4,0))+0,0)</f>
        <v/>
      </c>
      <c r="Q1815" s="158">
        <f>IF($P1815=0,0,$P1815+IFERROR(INDEX(MASTER_JAM!$H$5:$H$94,MATCH($C1815,MASTER_JAM!$A$5:$A$94,0))+0,MASTER_JAM!$AC$15)/1000*(60/MASTER_JAM!$AC$12+60/MASTER_JAM!$AC$13)+MASTER_JAM!$AC$14)</f>
        <v/>
      </c>
      <c r="R1815" s="158">
        <f>IF(N($F1815)=0,0,$F1815/SUMIFS(INPUT_RITASE!$F$5:$F$20000,INPUT_RITASE!$A$5:$A$20000,$A1815,INPUT_RITASE!$B$5:$B$20000,$B1815,INPUT_RITASE!$C$5:$C$20000,$C1815,INPUT_RITASE!$D$5:$D$20000,$D1815))</f>
        <v/>
      </c>
      <c r="S1815" s="158">
        <f>IF($Q1815=0,0,$R1815*$P1815/$Q1815)</f>
        <v/>
      </c>
    </row>
    <row r="1816">
      <c r="A1816" s="155" t="n">
        <v>46110</v>
      </c>
      <c r="B1816" s="156" t="inlineStr">
        <is>
          <t>18-19</t>
        </is>
      </c>
      <c r="C1816" s="156" t="inlineStr">
        <is>
          <t>EX-754</t>
        </is>
      </c>
      <c r="D1816" s="156" t="inlineStr">
        <is>
          <t>DT-520</t>
        </is>
      </c>
      <c r="E1816" s="156" t="inlineStr">
        <is>
          <t>OB</t>
        </is>
      </c>
      <c r="F1816" s="156" t="n">
        <v>4</v>
      </c>
      <c r="G1816" s="156" t="inlineStr"/>
      <c r="H1816" s="157">
        <f>IF($B1816="","",IF(ISNA(MATCH($B1816,MASTER_JAM!$Q$5:$Q$28,0)),"?",IF(MATCH($B1816,MASTER_JAM!$Q$5:$Q$28,0)&lt;=12,"DS","NS")))</f>
        <v/>
      </c>
      <c r="I1816" s="157">
        <f>IFERROR(INDEX(MASTER_JAM!$B$5:$B$94,MATCH($C1816,MASTER_JAM!$A$5:$A$94,0)),"")</f>
        <v/>
      </c>
      <c r="J1816" s="157">
        <f>IFERROR(INDEX(MASTER_JAM!$E$5:$E$94,MATCH($D1816,MASTER_JAM!$A$5:$A$94,0)),"")</f>
        <v/>
      </c>
      <c r="K1816" s="158">
        <f>IFERROR(INDEX(MASTER_JAM!$J$5:$O$12,MATCH($E1816,MASTER_JAM!$I$5:$I$12,0),MATCH($J1816,MASTER_JAM!$J$4:$O$4,0))+0,0)</f>
        <v/>
      </c>
      <c r="L1816" s="159">
        <f>N($F1816)*$K1816</f>
        <v/>
      </c>
      <c r="M1816" s="157">
        <f>IF($E1816="","",IF(OR($E1816="Coal",$E1816="Dirty Coal"),"MT","BCM"))</f>
        <v/>
      </c>
      <c r="N1816" s="157">
        <f>IF($E1816="","",IF(OR($E1816="Coal",$E1816="Dirty Coal"),"Coal","OB"))</f>
        <v/>
      </c>
      <c r="O1816" s="157">
        <f>IF($F1816="","",IF(COUNTIF(MASTER_JAM!$A$5:$A$94,$C1816)=0,"Digger tidak dikenal",IF($J1816="","Hauler tidak dikenal",IF($H1816="?","Jam salah",IF($K1816=0,"Faktor kosong",IF(SUMIFS(INPUT_DELAY!$E$5:$E$20000,INPUT_DELAY!$A$5:$A$20000,$A1816,INPUT_DELAY!$B$5:$B$20000,$B1816,INPUT_DELAY!$C$5:$C$20000,$C1816)+SUMIFS(INPUT_DELAY!$E$5:$E$20000,INPUT_DELAY!$A$5:$A$20000,$A1816,INPUT_DELAY!$B$5:$B$20000,$B1816,INPUT_DELAY!$C$5:$C$20000,"SEMUA")&gt;=60,"Delay 60 mnt tapi ada ritase","OK"))))))</f>
        <v/>
      </c>
      <c r="P1816" s="158">
        <f>IFERROR(INDEX(MASTER_JAM!$Z$5:$AC$10,MATCH($I1816,MASTER_JAM!$Y$5:$Y$10,0),MATCH($J1816,MASTER_JAM!$Z$4:$AC$4,0))+0,0)</f>
        <v/>
      </c>
      <c r="Q1816" s="158">
        <f>IF($P1816=0,0,$P1816+IFERROR(INDEX(MASTER_JAM!$H$5:$H$94,MATCH($C1816,MASTER_JAM!$A$5:$A$94,0))+0,MASTER_JAM!$AC$15)/1000*(60/MASTER_JAM!$AC$12+60/MASTER_JAM!$AC$13)+MASTER_JAM!$AC$14)</f>
        <v/>
      </c>
      <c r="R1816" s="158">
        <f>IF(N($F1816)=0,0,$F1816/SUMIFS(INPUT_RITASE!$F$5:$F$20000,INPUT_RITASE!$A$5:$A$20000,$A1816,INPUT_RITASE!$B$5:$B$20000,$B1816,INPUT_RITASE!$C$5:$C$20000,$C1816,INPUT_RITASE!$D$5:$D$20000,$D1816))</f>
        <v/>
      </c>
      <c r="S1816" s="158">
        <f>IF($Q1816=0,0,$R1816*$P1816/$Q1816)</f>
        <v/>
      </c>
    </row>
    <row r="1817">
      <c r="A1817" s="155" t="n">
        <v>46110</v>
      </c>
      <c r="B1817" s="156" t="inlineStr">
        <is>
          <t>18-19</t>
        </is>
      </c>
      <c r="C1817" s="156" t="inlineStr">
        <is>
          <t>EX-754</t>
        </is>
      </c>
      <c r="D1817" s="156" t="inlineStr">
        <is>
          <t>DT-524</t>
        </is>
      </c>
      <c r="E1817" s="156" t="inlineStr">
        <is>
          <t>OB</t>
        </is>
      </c>
      <c r="F1817" s="156" t="n">
        <v>4</v>
      </c>
      <c r="G1817" s="156" t="inlineStr"/>
      <c r="H1817" s="157">
        <f>IF($B1817="","",IF(ISNA(MATCH($B1817,MASTER_JAM!$Q$5:$Q$28,0)),"?",IF(MATCH($B1817,MASTER_JAM!$Q$5:$Q$28,0)&lt;=12,"DS","NS")))</f>
        <v/>
      </c>
      <c r="I1817" s="157">
        <f>IFERROR(INDEX(MASTER_JAM!$B$5:$B$94,MATCH($C1817,MASTER_JAM!$A$5:$A$94,0)),"")</f>
        <v/>
      </c>
      <c r="J1817" s="157">
        <f>IFERROR(INDEX(MASTER_JAM!$E$5:$E$94,MATCH($D1817,MASTER_JAM!$A$5:$A$94,0)),"")</f>
        <v/>
      </c>
      <c r="K1817" s="158">
        <f>IFERROR(INDEX(MASTER_JAM!$J$5:$O$12,MATCH($E1817,MASTER_JAM!$I$5:$I$12,0),MATCH($J1817,MASTER_JAM!$J$4:$O$4,0))+0,0)</f>
        <v/>
      </c>
      <c r="L1817" s="159">
        <f>N($F1817)*$K1817</f>
        <v/>
      </c>
      <c r="M1817" s="157">
        <f>IF($E1817="","",IF(OR($E1817="Coal",$E1817="Dirty Coal"),"MT","BCM"))</f>
        <v/>
      </c>
      <c r="N1817" s="157">
        <f>IF($E1817="","",IF(OR($E1817="Coal",$E1817="Dirty Coal"),"Coal","OB"))</f>
        <v/>
      </c>
      <c r="O1817" s="157">
        <f>IF($F1817="","",IF(COUNTIF(MASTER_JAM!$A$5:$A$94,$C1817)=0,"Digger tidak dikenal",IF($J1817="","Hauler tidak dikenal",IF($H1817="?","Jam salah",IF($K1817=0,"Faktor kosong",IF(SUMIFS(INPUT_DELAY!$E$5:$E$20000,INPUT_DELAY!$A$5:$A$20000,$A1817,INPUT_DELAY!$B$5:$B$20000,$B1817,INPUT_DELAY!$C$5:$C$20000,$C1817)+SUMIFS(INPUT_DELAY!$E$5:$E$20000,INPUT_DELAY!$A$5:$A$20000,$A1817,INPUT_DELAY!$B$5:$B$20000,$B1817,INPUT_DELAY!$C$5:$C$20000,"SEMUA")&gt;=60,"Delay 60 mnt tapi ada ritase","OK"))))))</f>
        <v/>
      </c>
      <c r="P1817" s="158">
        <f>IFERROR(INDEX(MASTER_JAM!$Z$5:$AC$10,MATCH($I1817,MASTER_JAM!$Y$5:$Y$10,0),MATCH($J1817,MASTER_JAM!$Z$4:$AC$4,0))+0,0)</f>
        <v/>
      </c>
      <c r="Q1817" s="158">
        <f>IF($P1817=0,0,$P1817+IFERROR(INDEX(MASTER_JAM!$H$5:$H$94,MATCH($C1817,MASTER_JAM!$A$5:$A$94,0))+0,MASTER_JAM!$AC$15)/1000*(60/MASTER_JAM!$AC$12+60/MASTER_JAM!$AC$13)+MASTER_JAM!$AC$14)</f>
        <v/>
      </c>
      <c r="R1817" s="158">
        <f>IF(N($F1817)=0,0,$F1817/SUMIFS(INPUT_RITASE!$F$5:$F$20000,INPUT_RITASE!$A$5:$A$20000,$A1817,INPUT_RITASE!$B$5:$B$20000,$B1817,INPUT_RITASE!$C$5:$C$20000,$C1817,INPUT_RITASE!$D$5:$D$20000,$D1817))</f>
        <v/>
      </c>
      <c r="S1817" s="158">
        <f>IF($Q1817=0,0,$R1817*$P1817/$Q1817)</f>
        <v/>
      </c>
    </row>
    <row r="1818">
      <c r="A1818" s="155" t="n">
        <v>46110</v>
      </c>
      <c r="B1818" s="156" t="inlineStr">
        <is>
          <t>19-20</t>
        </is>
      </c>
      <c r="C1818" s="156" t="inlineStr">
        <is>
          <t>EX-754</t>
        </is>
      </c>
      <c r="D1818" s="156" t="inlineStr">
        <is>
          <t>DT-528</t>
        </is>
      </c>
      <c r="E1818" s="156" t="inlineStr">
        <is>
          <t>OB</t>
        </is>
      </c>
      <c r="F1818" s="156" t="n">
        <v>4</v>
      </c>
      <c r="G1818" s="156" t="inlineStr"/>
      <c r="H1818" s="157">
        <f>IF($B1818="","",IF(ISNA(MATCH($B1818,MASTER_JAM!$Q$5:$Q$28,0)),"?",IF(MATCH($B1818,MASTER_JAM!$Q$5:$Q$28,0)&lt;=12,"DS","NS")))</f>
        <v/>
      </c>
      <c r="I1818" s="157">
        <f>IFERROR(INDEX(MASTER_JAM!$B$5:$B$94,MATCH($C1818,MASTER_JAM!$A$5:$A$94,0)),"")</f>
        <v/>
      </c>
      <c r="J1818" s="157">
        <f>IFERROR(INDEX(MASTER_JAM!$E$5:$E$94,MATCH($D1818,MASTER_JAM!$A$5:$A$94,0)),"")</f>
        <v/>
      </c>
      <c r="K1818" s="158">
        <f>IFERROR(INDEX(MASTER_JAM!$J$5:$O$12,MATCH($E1818,MASTER_JAM!$I$5:$I$12,0),MATCH($J1818,MASTER_JAM!$J$4:$O$4,0))+0,0)</f>
        <v/>
      </c>
      <c r="L1818" s="159">
        <f>N($F1818)*$K1818</f>
        <v/>
      </c>
      <c r="M1818" s="157">
        <f>IF($E1818="","",IF(OR($E1818="Coal",$E1818="Dirty Coal"),"MT","BCM"))</f>
        <v/>
      </c>
      <c r="N1818" s="157">
        <f>IF($E1818="","",IF(OR($E1818="Coal",$E1818="Dirty Coal"),"Coal","OB"))</f>
        <v/>
      </c>
      <c r="O1818" s="157">
        <f>IF($F1818="","",IF(COUNTIF(MASTER_JAM!$A$5:$A$94,$C1818)=0,"Digger tidak dikenal",IF($J1818="","Hauler tidak dikenal",IF($H1818="?","Jam salah",IF($K1818=0,"Faktor kosong",IF(SUMIFS(INPUT_DELAY!$E$5:$E$20000,INPUT_DELAY!$A$5:$A$20000,$A1818,INPUT_DELAY!$B$5:$B$20000,$B1818,INPUT_DELAY!$C$5:$C$20000,$C1818)+SUMIFS(INPUT_DELAY!$E$5:$E$20000,INPUT_DELAY!$A$5:$A$20000,$A1818,INPUT_DELAY!$B$5:$B$20000,$B1818,INPUT_DELAY!$C$5:$C$20000,"SEMUA")&gt;=60,"Delay 60 mnt tapi ada ritase","OK"))))))</f>
        <v/>
      </c>
      <c r="P1818" s="158">
        <f>IFERROR(INDEX(MASTER_JAM!$Z$5:$AC$10,MATCH($I1818,MASTER_JAM!$Y$5:$Y$10,0),MATCH($J1818,MASTER_JAM!$Z$4:$AC$4,0))+0,0)</f>
        <v/>
      </c>
      <c r="Q1818" s="158">
        <f>IF($P1818=0,0,$P1818+IFERROR(INDEX(MASTER_JAM!$H$5:$H$94,MATCH($C1818,MASTER_JAM!$A$5:$A$94,0))+0,MASTER_JAM!$AC$15)/1000*(60/MASTER_JAM!$AC$12+60/MASTER_JAM!$AC$13)+MASTER_JAM!$AC$14)</f>
        <v/>
      </c>
      <c r="R1818" s="158">
        <f>IF(N($F1818)=0,0,$F1818/SUMIFS(INPUT_RITASE!$F$5:$F$20000,INPUT_RITASE!$A$5:$A$20000,$A1818,INPUT_RITASE!$B$5:$B$20000,$B1818,INPUT_RITASE!$C$5:$C$20000,$C1818,INPUT_RITASE!$D$5:$D$20000,$D1818))</f>
        <v/>
      </c>
      <c r="S1818" s="158">
        <f>IF($Q1818=0,0,$R1818*$P1818/$Q1818)</f>
        <v/>
      </c>
    </row>
    <row r="1819">
      <c r="A1819" s="155" t="n">
        <v>46110</v>
      </c>
      <c r="B1819" s="156" t="inlineStr">
        <is>
          <t>19-20</t>
        </is>
      </c>
      <c r="C1819" s="156" t="inlineStr">
        <is>
          <t>EX-754</t>
        </is>
      </c>
      <c r="D1819" s="156" t="inlineStr">
        <is>
          <t>DT-514</t>
        </is>
      </c>
      <c r="E1819" s="156" t="inlineStr">
        <is>
          <t>OB</t>
        </is>
      </c>
      <c r="F1819" s="156" t="n">
        <v>4</v>
      </c>
      <c r="G1819" s="156" t="inlineStr"/>
      <c r="H1819" s="157">
        <f>IF($B1819="","",IF(ISNA(MATCH($B1819,MASTER_JAM!$Q$5:$Q$28,0)),"?",IF(MATCH($B1819,MASTER_JAM!$Q$5:$Q$28,0)&lt;=12,"DS","NS")))</f>
        <v/>
      </c>
      <c r="I1819" s="157">
        <f>IFERROR(INDEX(MASTER_JAM!$B$5:$B$94,MATCH($C1819,MASTER_JAM!$A$5:$A$94,0)),"")</f>
        <v/>
      </c>
      <c r="J1819" s="157">
        <f>IFERROR(INDEX(MASTER_JAM!$E$5:$E$94,MATCH($D1819,MASTER_JAM!$A$5:$A$94,0)),"")</f>
        <v/>
      </c>
      <c r="K1819" s="158">
        <f>IFERROR(INDEX(MASTER_JAM!$J$5:$O$12,MATCH($E1819,MASTER_JAM!$I$5:$I$12,0),MATCH($J1819,MASTER_JAM!$J$4:$O$4,0))+0,0)</f>
        <v/>
      </c>
      <c r="L1819" s="159">
        <f>N($F1819)*$K1819</f>
        <v/>
      </c>
      <c r="M1819" s="157">
        <f>IF($E1819="","",IF(OR($E1819="Coal",$E1819="Dirty Coal"),"MT","BCM"))</f>
        <v/>
      </c>
      <c r="N1819" s="157">
        <f>IF($E1819="","",IF(OR($E1819="Coal",$E1819="Dirty Coal"),"Coal","OB"))</f>
        <v/>
      </c>
      <c r="O1819" s="157">
        <f>IF($F1819="","",IF(COUNTIF(MASTER_JAM!$A$5:$A$94,$C1819)=0,"Digger tidak dikenal",IF($J1819="","Hauler tidak dikenal",IF($H1819="?","Jam salah",IF($K1819=0,"Faktor kosong",IF(SUMIFS(INPUT_DELAY!$E$5:$E$20000,INPUT_DELAY!$A$5:$A$20000,$A1819,INPUT_DELAY!$B$5:$B$20000,$B1819,INPUT_DELAY!$C$5:$C$20000,$C1819)+SUMIFS(INPUT_DELAY!$E$5:$E$20000,INPUT_DELAY!$A$5:$A$20000,$A1819,INPUT_DELAY!$B$5:$B$20000,$B1819,INPUT_DELAY!$C$5:$C$20000,"SEMUA")&gt;=60,"Delay 60 mnt tapi ada ritase","OK"))))))</f>
        <v/>
      </c>
      <c r="P1819" s="158">
        <f>IFERROR(INDEX(MASTER_JAM!$Z$5:$AC$10,MATCH($I1819,MASTER_JAM!$Y$5:$Y$10,0),MATCH($J1819,MASTER_JAM!$Z$4:$AC$4,0))+0,0)</f>
        <v/>
      </c>
      <c r="Q1819" s="158">
        <f>IF($P1819=0,0,$P1819+IFERROR(INDEX(MASTER_JAM!$H$5:$H$94,MATCH($C1819,MASTER_JAM!$A$5:$A$94,0))+0,MASTER_JAM!$AC$15)/1000*(60/MASTER_JAM!$AC$12+60/MASTER_JAM!$AC$13)+MASTER_JAM!$AC$14)</f>
        <v/>
      </c>
      <c r="R1819" s="158">
        <f>IF(N($F1819)=0,0,$F1819/SUMIFS(INPUT_RITASE!$F$5:$F$20000,INPUT_RITASE!$A$5:$A$20000,$A1819,INPUT_RITASE!$B$5:$B$20000,$B1819,INPUT_RITASE!$C$5:$C$20000,$C1819,INPUT_RITASE!$D$5:$D$20000,$D1819))</f>
        <v/>
      </c>
      <c r="S1819" s="158">
        <f>IF($Q1819=0,0,$R1819*$P1819/$Q1819)</f>
        <v/>
      </c>
    </row>
    <row r="1820">
      <c r="A1820" s="155" t="n">
        <v>46110</v>
      </c>
      <c r="B1820" s="156" t="inlineStr">
        <is>
          <t>19-20</t>
        </is>
      </c>
      <c r="C1820" s="156" t="inlineStr">
        <is>
          <t>EX-754</t>
        </is>
      </c>
      <c r="D1820" s="156" t="inlineStr">
        <is>
          <t>DT-507</t>
        </is>
      </c>
      <c r="E1820" s="156" t="inlineStr">
        <is>
          <t>OB</t>
        </is>
      </c>
      <c r="F1820" s="156" t="n">
        <v>4</v>
      </c>
      <c r="G1820" s="156" t="inlineStr"/>
      <c r="H1820" s="157">
        <f>IF($B1820="","",IF(ISNA(MATCH($B1820,MASTER_JAM!$Q$5:$Q$28,0)),"?",IF(MATCH($B1820,MASTER_JAM!$Q$5:$Q$28,0)&lt;=12,"DS","NS")))</f>
        <v/>
      </c>
      <c r="I1820" s="157">
        <f>IFERROR(INDEX(MASTER_JAM!$B$5:$B$94,MATCH($C1820,MASTER_JAM!$A$5:$A$94,0)),"")</f>
        <v/>
      </c>
      <c r="J1820" s="157">
        <f>IFERROR(INDEX(MASTER_JAM!$E$5:$E$94,MATCH($D1820,MASTER_JAM!$A$5:$A$94,0)),"")</f>
        <v/>
      </c>
      <c r="K1820" s="158">
        <f>IFERROR(INDEX(MASTER_JAM!$J$5:$O$12,MATCH($E1820,MASTER_JAM!$I$5:$I$12,0),MATCH($J1820,MASTER_JAM!$J$4:$O$4,0))+0,0)</f>
        <v/>
      </c>
      <c r="L1820" s="159">
        <f>N($F1820)*$K1820</f>
        <v/>
      </c>
      <c r="M1820" s="157">
        <f>IF($E1820="","",IF(OR($E1820="Coal",$E1820="Dirty Coal"),"MT","BCM"))</f>
        <v/>
      </c>
      <c r="N1820" s="157">
        <f>IF($E1820="","",IF(OR($E1820="Coal",$E1820="Dirty Coal"),"Coal","OB"))</f>
        <v/>
      </c>
      <c r="O1820" s="157">
        <f>IF($F1820="","",IF(COUNTIF(MASTER_JAM!$A$5:$A$94,$C1820)=0,"Digger tidak dikenal",IF($J1820="","Hauler tidak dikenal",IF($H1820="?","Jam salah",IF($K1820=0,"Faktor kosong",IF(SUMIFS(INPUT_DELAY!$E$5:$E$20000,INPUT_DELAY!$A$5:$A$20000,$A1820,INPUT_DELAY!$B$5:$B$20000,$B1820,INPUT_DELAY!$C$5:$C$20000,$C1820)+SUMIFS(INPUT_DELAY!$E$5:$E$20000,INPUT_DELAY!$A$5:$A$20000,$A1820,INPUT_DELAY!$B$5:$B$20000,$B1820,INPUT_DELAY!$C$5:$C$20000,"SEMUA")&gt;=60,"Delay 60 mnt tapi ada ritase","OK"))))))</f>
        <v/>
      </c>
      <c r="P1820" s="158">
        <f>IFERROR(INDEX(MASTER_JAM!$Z$5:$AC$10,MATCH($I1820,MASTER_JAM!$Y$5:$Y$10,0),MATCH($J1820,MASTER_JAM!$Z$4:$AC$4,0))+0,0)</f>
        <v/>
      </c>
      <c r="Q1820" s="158">
        <f>IF($P1820=0,0,$P1820+IFERROR(INDEX(MASTER_JAM!$H$5:$H$94,MATCH($C1820,MASTER_JAM!$A$5:$A$94,0))+0,MASTER_JAM!$AC$15)/1000*(60/MASTER_JAM!$AC$12+60/MASTER_JAM!$AC$13)+MASTER_JAM!$AC$14)</f>
        <v/>
      </c>
      <c r="R1820" s="158">
        <f>IF(N($F1820)=0,0,$F1820/SUMIFS(INPUT_RITASE!$F$5:$F$20000,INPUT_RITASE!$A$5:$A$20000,$A1820,INPUT_RITASE!$B$5:$B$20000,$B1820,INPUT_RITASE!$C$5:$C$20000,$C1820,INPUT_RITASE!$D$5:$D$20000,$D1820))</f>
        <v/>
      </c>
      <c r="S1820" s="158">
        <f>IF($Q1820=0,0,$R1820*$P1820/$Q1820)</f>
        <v/>
      </c>
    </row>
    <row r="1821">
      <c r="A1821" s="155" t="n">
        <v>46110</v>
      </c>
      <c r="B1821" s="156" t="inlineStr">
        <is>
          <t>19-20</t>
        </is>
      </c>
      <c r="C1821" s="156" t="inlineStr">
        <is>
          <t>EX-754</t>
        </is>
      </c>
      <c r="D1821" s="156" t="inlineStr">
        <is>
          <t>DT-505</t>
        </is>
      </c>
      <c r="E1821" s="156" t="inlineStr">
        <is>
          <t>OB</t>
        </is>
      </c>
      <c r="F1821" s="156" t="n">
        <v>4</v>
      </c>
      <c r="G1821" s="156" t="inlineStr"/>
      <c r="H1821" s="157">
        <f>IF($B1821="","",IF(ISNA(MATCH($B1821,MASTER_JAM!$Q$5:$Q$28,0)),"?",IF(MATCH($B1821,MASTER_JAM!$Q$5:$Q$28,0)&lt;=12,"DS","NS")))</f>
        <v/>
      </c>
      <c r="I1821" s="157">
        <f>IFERROR(INDEX(MASTER_JAM!$B$5:$B$94,MATCH($C1821,MASTER_JAM!$A$5:$A$94,0)),"")</f>
        <v/>
      </c>
      <c r="J1821" s="157">
        <f>IFERROR(INDEX(MASTER_JAM!$E$5:$E$94,MATCH($D1821,MASTER_JAM!$A$5:$A$94,0)),"")</f>
        <v/>
      </c>
      <c r="K1821" s="158">
        <f>IFERROR(INDEX(MASTER_JAM!$J$5:$O$12,MATCH($E1821,MASTER_JAM!$I$5:$I$12,0),MATCH($J1821,MASTER_JAM!$J$4:$O$4,0))+0,0)</f>
        <v/>
      </c>
      <c r="L1821" s="159">
        <f>N($F1821)*$K1821</f>
        <v/>
      </c>
      <c r="M1821" s="157">
        <f>IF($E1821="","",IF(OR($E1821="Coal",$E1821="Dirty Coal"),"MT","BCM"))</f>
        <v/>
      </c>
      <c r="N1821" s="157">
        <f>IF($E1821="","",IF(OR($E1821="Coal",$E1821="Dirty Coal"),"Coal","OB"))</f>
        <v/>
      </c>
      <c r="O1821" s="157">
        <f>IF($F1821="","",IF(COUNTIF(MASTER_JAM!$A$5:$A$94,$C1821)=0,"Digger tidak dikenal",IF($J1821="","Hauler tidak dikenal",IF($H1821="?","Jam salah",IF($K1821=0,"Faktor kosong",IF(SUMIFS(INPUT_DELAY!$E$5:$E$20000,INPUT_DELAY!$A$5:$A$20000,$A1821,INPUT_DELAY!$B$5:$B$20000,$B1821,INPUT_DELAY!$C$5:$C$20000,$C1821)+SUMIFS(INPUT_DELAY!$E$5:$E$20000,INPUT_DELAY!$A$5:$A$20000,$A1821,INPUT_DELAY!$B$5:$B$20000,$B1821,INPUT_DELAY!$C$5:$C$20000,"SEMUA")&gt;=60,"Delay 60 mnt tapi ada ritase","OK"))))))</f>
        <v/>
      </c>
      <c r="P1821" s="158">
        <f>IFERROR(INDEX(MASTER_JAM!$Z$5:$AC$10,MATCH($I1821,MASTER_JAM!$Y$5:$Y$10,0),MATCH($J1821,MASTER_JAM!$Z$4:$AC$4,0))+0,0)</f>
        <v/>
      </c>
      <c r="Q1821" s="158">
        <f>IF($P1821=0,0,$P1821+IFERROR(INDEX(MASTER_JAM!$H$5:$H$94,MATCH($C1821,MASTER_JAM!$A$5:$A$94,0))+0,MASTER_JAM!$AC$15)/1000*(60/MASTER_JAM!$AC$12+60/MASTER_JAM!$AC$13)+MASTER_JAM!$AC$14)</f>
        <v/>
      </c>
      <c r="R1821" s="158">
        <f>IF(N($F1821)=0,0,$F1821/SUMIFS(INPUT_RITASE!$F$5:$F$20000,INPUT_RITASE!$A$5:$A$20000,$A1821,INPUT_RITASE!$B$5:$B$20000,$B1821,INPUT_RITASE!$C$5:$C$20000,$C1821,INPUT_RITASE!$D$5:$D$20000,$D1821))</f>
        <v/>
      </c>
      <c r="S1821" s="158">
        <f>IF($Q1821=0,0,$R1821*$P1821/$Q1821)</f>
        <v/>
      </c>
    </row>
    <row r="1822">
      <c r="A1822" s="155" t="n">
        <v>46110</v>
      </c>
      <c r="B1822" s="156" t="inlineStr">
        <is>
          <t>19-20</t>
        </is>
      </c>
      <c r="C1822" s="156" t="inlineStr">
        <is>
          <t>EX-754</t>
        </is>
      </c>
      <c r="D1822" s="156" t="inlineStr">
        <is>
          <t>DT-526</t>
        </is>
      </c>
      <c r="E1822" s="156" t="inlineStr">
        <is>
          <t>OB</t>
        </is>
      </c>
      <c r="F1822" s="156" t="n">
        <v>3</v>
      </c>
      <c r="G1822" s="156" t="inlineStr"/>
      <c r="H1822" s="157">
        <f>IF($B1822="","",IF(ISNA(MATCH($B1822,MASTER_JAM!$Q$5:$Q$28,0)),"?",IF(MATCH($B1822,MASTER_JAM!$Q$5:$Q$28,0)&lt;=12,"DS","NS")))</f>
        <v/>
      </c>
      <c r="I1822" s="157">
        <f>IFERROR(INDEX(MASTER_JAM!$B$5:$B$94,MATCH($C1822,MASTER_JAM!$A$5:$A$94,0)),"")</f>
        <v/>
      </c>
      <c r="J1822" s="157">
        <f>IFERROR(INDEX(MASTER_JAM!$E$5:$E$94,MATCH($D1822,MASTER_JAM!$A$5:$A$94,0)),"")</f>
        <v/>
      </c>
      <c r="K1822" s="158">
        <f>IFERROR(INDEX(MASTER_JAM!$J$5:$O$12,MATCH($E1822,MASTER_JAM!$I$5:$I$12,0),MATCH($J1822,MASTER_JAM!$J$4:$O$4,0))+0,0)</f>
        <v/>
      </c>
      <c r="L1822" s="159">
        <f>N($F1822)*$K1822</f>
        <v/>
      </c>
      <c r="M1822" s="157">
        <f>IF($E1822="","",IF(OR($E1822="Coal",$E1822="Dirty Coal"),"MT","BCM"))</f>
        <v/>
      </c>
      <c r="N1822" s="157">
        <f>IF($E1822="","",IF(OR($E1822="Coal",$E1822="Dirty Coal"),"Coal","OB"))</f>
        <v/>
      </c>
      <c r="O1822" s="157">
        <f>IF($F1822="","",IF(COUNTIF(MASTER_JAM!$A$5:$A$94,$C1822)=0,"Digger tidak dikenal",IF($J1822="","Hauler tidak dikenal",IF($H1822="?","Jam salah",IF($K1822=0,"Faktor kosong",IF(SUMIFS(INPUT_DELAY!$E$5:$E$20000,INPUT_DELAY!$A$5:$A$20000,$A1822,INPUT_DELAY!$B$5:$B$20000,$B1822,INPUT_DELAY!$C$5:$C$20000,$C1822)+SUMIFS(INPUT_DELAY!$E$5:$E$20000,INPUT_DELAY!$A$5:$A$20000,$A1822,INPUT_DELAY!$B$5:$B$20000,$B1822,INPUT_DELAY!$C$5:$C$20000,"SEMUA")&gt;=60,"Delay 60 mnt tapi ada ritase","OK"))))))</f>
        <v/>
      </c>
      <c r="P1822" s="158">
        <f>IFERROR(INDEX(MASTER_JAM!$Z$5:$AC$10,MATCH($I1822,MASTER_JAM!$Y$5:$Y$10,0),MATCH($J1822,MASTER_JAM!$Z$4:$AC$4,0))+0,0)</f>
        <v/>
      </c>
      <c r="Q1822" s="158">
        <f>IF($P1822=0,0,$P1822+IFERROR(INDEX(MASTER_JAM!$H$5:$H$94,MATCH($C1822,MASTER_JAM!$A$5:$A$94,0))+0,MASTER_JAM!$AC$15)/1000*(60/MASTER_JAM!$AC$12+60/MASTER_JAM!$AC$13)+MASTER_JAM!$AC$14)</f>
        <v/>
      </c>
      <c r="R1822" s="158">
        <f>IF(N($F1822)=0,0,$F1822/SUMIFS(INPUT_RITASE!$F$5:$F$20000,INPUT_RITASE!$A$5:$A$20000,$A1822,INPUT_RITASE!$B$5:$B$20000,$B1822,INPUT_RITASE!$C$5:$C$20000,$C1822,INPUT_RITASE!$D$5:$D$20000,$D1822))</f>
        <v/>
      </c>
      <c r="S1822" s="158">
        <f>IF($Q1822=0,0,$R1822*$P1822/$Q1822)</f>
        <v/>
      </c>
    </row>
    <row r="1823">
      <c r="A1823" s="155" t="n">
        <v>46110</v>
      </c>
      <c r="B1823" s="156" t="inlineStr">
        <is>
          <t>20-21</t>
        </is>
      </c>
      <c r="C1823" s="156" t="inlineStr">
        <is>
          <t>EX-754</t>
        </is>
      </c>
      <c r="D1823" s="156" t="inlineStr">
        <is>
          <t>DT-511</t>
        </is>
      </c>
      <c r="E1823" s="156" t="inlineStr">
        <is>
          <t>OB</t>
        </is>
      </c>
      <c r="F1823" s="156" t="n">
        <v>4</v>
      </c>
      <c r="G1823" s="156" t="inlineStr"/>
      <c r="H1823" s="157">
        <f>IF($B1823="","",IF(ISNA(MATCH($B1823,MASTER_JAM!$Q$5:$Q$28,0)),"?",IF(MATCH($B1823,MASTER_JAM!$Q$5:$Q$28,0)&lt;=12,"DS","NS")))</f>
        <v/>
      </c>
      <c r="I1823" s="157">
        <f>IFERROR(INDEX(MASTER_JAM!$B$5:$B$94,MATCH($C1823,MASTER_JAM!$A$5:$A$94,0)),"")</f>
        <v/>
      </c>
      <c r="J1823" s="157">
        <f>IFERROR(INDEX(MASTER_JAM!$E$5:$E$94,MATCH($D1823,MASTER_JAM!$A$5:$A$94,0)),"")</f>
        <v/>
      </c>
      <c r="K1823" s="158">
        <f>IFERROR(INDEX(MASTER_JAM!$J$5:$O$12,MATCH($E1823,MASTER_JAM!$I$5:$I$12,0),MATCH($J1823,MASTER_JAM!$J$4:$O$4,0))+0,0)</f>
        <v/>
      </c>
      <c r="L1823" s="159">
        <f>N($F1823)*$K1823</f>
        <v/>
      </c>
      <c r="M1823" s="157">
        <f>IF($E1823="","",IF(OR($E1823="Coal",$E1823="Dirty Coal"),"MT","BCM"))</f>
        <v/>
      </c>
      <c r="N1823" s="157">
        <f>IF($E1823="","",IF(OR($E1823="Coal",$E1823="Dirty Coal"),"Coal","OB"))</f>
        <v/>
      </c>
      <c r="O1823" s="157">
        <f>IF($F1823="","",IF(COUNTIF(MASTER_JAM!$A$5:$A$94,$C1823)=0,"Digger tidak dikenal",IF($J1823="","Hauler tidak dikenal",IF($H1823="?","Jam salah",IF($K1823=0,"Faktor kosong",IF(SUMIFS(INPUT_DELAY!$E$5:$E$20000,INPUT_DELAY!$A$5:$A$20000,$A1823,INPUT_DELAY!$B$5:$B$20000,$B1823,INPUT_DELAY!$C$5:$C$20000,$C1823)+SUMIFS(INPUT_DELAY!$E$5:$E$20000,INPUT_DELAY!$A$5:$A$20000,$A1823,INPUT_DELAY!$B$5:$B$20000,$B1823,INPUT_DELAY!$C$5:$C$20000,"SEMUA")&gt;=60,"Delay 60 mnt tapi ada ritase","OK"))))))</f>
        <v/>
      </c>
      <c r="P1823" s="158">
        <f>IFERROR(INDEX(MASTER_JAM!$Z$5:$AC$10,MATCH($I1823,MASTER_JAM!$Y$5:$Y$10,0),MATCH($J1823,MASTER_JAM!$Z$4:$AC$4,0))+0,0)</f>
        <v/>
      </c>
      <c r="Q1823" s="158">
        <f>IF($P1823=0,0,$P1823+IFERROR(INDEX(MASTER_JAM!$H$5:$H$94,MATCH($C1823,MASTER_JAM!$A$5:$A$94,0))+0,MASTER_JAM!$AC$15)/1000*(60/MASTER_JAM!$AC$12+60/MASTER_JAM!$AC$13)+MASTER_JAM!$AC$14)</f>
        <v/>
      </c>
      <c r="R1823" s="158">
        <f>IF(N($F1823)=0,0,$F1823/SUMIFS(INPUT_RITASE!$F$5:$F$20000,INPUT_RITASE!$A$5:$A$20000,$A1823,INPUT_RITASE!$B$5:$B$20000,$B1823,INPUT_RITASE!$C$5:$C$20000,$C1823,INPUT_RITASE!$D$5:$D$20000,$D1823))</f>
        <v/>
      </c>
      <c r="S1823" s="158">
        <f>IF($Q1823=0,0,$R1823*$P1823/$Q1823)</f>
        <v/>
      </c>
    </row>
    <row r="1824">
      <c r="A1824" s="155" t="n">
        <v>46110</v>
      </c>
      <c r="B1824" s="156" t="inlineStr">
        <is>
          <t>20-21</t>
        </is>
      </c>
      <c r="C1824" s="156" t="inlineStr">
        <is>
          <t>EX-754</t>
        </is>
      </c>
      <c r="D1824" s="156" t="inlineStr">
        <is>
          <t>DT-504</t>
        </is>
      </c>
      <c r="E1824" s="156" t="inlineStr">
        <is>
          <t>OB</t>
        </is>
      </c>
      <c r="F1824" s="156" t="n">
        <v>3</v>
      </c>
      <c r="G1824" s="156" t="inlineStr"/>
      <c r="H1824" s="157">
        <f>IF($B1824="","",IF(ISNA(MATCH($B1824,MASTER_JAM!$Q$5:$Q$28,0)),"?",IF(MATCH($B1824,MASTER_JAM!$Q$5:$Q$28,0)&lt;=12,"DS","NS")))</f>
        <v/>
      </c>
      <c r="I1824" s="157">
        <f>IFERROR(INDEX(MASTER_JAM!$B$5:$B$94,MATCH($C1824,MASTER_JAM!$A$5:$A$94,0)),"")</f>
        <v/>
      </c>
      <c r="J1824" s="157">
        <f>IFERROR(INDEX(MASTER_JAM!$E$5:$E$94,MATCH($D1824,MASTER_JAM!$A$5:$A$94,0)),"")</f>
        <v/>
      </c>
      <c r="K1824" s="158">
        <f>IFERROR(INDEX(MASTER_JAM!$J$5:$O$12,MATCH($E1824,MASTER_JAM!$I$5:$I$12,0),MATCH($J1824,MASTER_JAM!$J$4:$O$4,0))+0,0)</f>
        <v/>
      </c>
      <c r="L1824" s="159">
        <f>N($F1824)*$K1824</f>
        <v/>
      </c>
      <c r="M1824" s="157">
        <f>IF($E1824="","",IF(OR($E1824="Coal",$E1824="Dirty Coal"),"MT","BCM"))</f>
        <v/>
      </c>
      <c r="N1824" s="157">
        <f>IF($E1824="","",IF(OR($E1824="Coal",$E1824="Dirty Coal"),"Coal","OB"))</f>
        <v/>
      </c>
      <c r="O1824" s="157">
        <f>IF($F1824="","",IF(COUNTIF(MASTER_JAM!$A$5:$A$94,$C1824)=0,"Digger tidak dikenal",IF($J1824="","Hauler tidak dikenal",IF($H1824="?","Jam salah",IF($K1824=0,"Faktor kosong",IF(SUMIFS(INPUT_DELAY!$E$5:$E$20000,INPUT_DELAY!$A$5:$A$20000,$A1824,INPUT_DELAY!$B$5:$B$20000,$B1824,INPUT_DELAY!$C$5:$C$20000,$C1824)+SUMIFS(INPUT_DELAY!$E$5:$E$20000,INPUT_DELAY!$A$5:$A$20000,$A1824,INPUT_DELAY!$B$5:$B$20000,$B1824,INPUT_DELAY!$C$5:$C$20000,"SEMUA")&gt;=60,"Delay 60 mnt tapi ada ritase","OK"))))))</f>
        <v/>
      </c>
      <c r="P1824" s="158">
        <f>IFERROR(INDEX(MASTER_JAM!$Z$5:$AC$10,MATCH($I1824,MASTER_JAM!$Y$5:$Y$10,0),MATCH($J1824,MASTER_JAM!$Z$4:$AC$4,0))+0,0)</f>
        <v/>
      </c>
      <c r="Q1824" s="158">
        <f>IF($P1824=0,0,$P1824+IFERROR(INDEX(MASTER_JAM!$H$5:$H$94,MATCH($C1824,MASTER_JAM!$A$5:$A$94,0))+0,MASTER_JAM!$AC$15)/1000*(60/MASTER_JAM!$AC$12+60/MASTER_JAM!$AC$13)+MASTER_JAM!$AC$14)</f>
        <v/>
      </c>
      <c r="R1824" s="158">
        <f>IF(N($F1824)=0,0,$F1824/SUMIFS(INPUT_RITASE!$F$5:$F$20000,INPUT_RITASE!$A$5:$A$20000,$A1824,INPUT_RITASE!$B$5:$B$20000,$B1824,INPUT_RITASE!$C$5:$C$20000,$C1824,INPUT_RITASE!$D$5:$D$20000,$D1824))</f>
        <v/>
      </c>
      <c r="S1824" s="158">
        <f>IF($Q1824=0,0,$R1824*$P1824/$Q1824)</f>
        <v/>
      </c>
    </row>
    <row r="1825">
      <c r="A1825" s="155" t="n">
        <v>46110</v>
      </c>
      <c r="B1825" s="156" t="inlineStr">
        <is>
          <t>20-21</t>
        </is>
      </c>
      <c r="C1825" s="156" t="inlineStr">
        <is>
          <t>EX-754</t>
        </is>
      </c>
      <c r="D1825" s="156" t="inlineStr">
        <is>
          <t>DT-507</t>
        </is>
      </c>
      <c r="E1825" s="156" t="inlineStr">
        <is>
          <t>OB</t>
        </is>
      </c>
      <c r="F1825" s="156" t="n">
        <v>3</v>
      </c>
      <c r="G1825" s="156" t="inlineStr"/>
      <c r="H1825" s="157">
        <f>IF($B1825="","",IF(ISNA(MATCH($B1825,MASTER_JAM!$Q$5:$Q$28,0)),"?",IF(MATCH($B1825,MASTER_JAM!$Q$5:$Q$28,0)&lt;=12,"DS","NS")))</f>
        <v/>
      </c>
      <c r="I1825" s="157">
        <f>IFERROR(INDEX(MASTER_JAM!$B$5:$B$94,MATCH($C1825,MASTER_JAM!$A$5:$A$94,0)),"")</f>
        <v/>
      </c>
      <c r="J1825" s="157">
        <f>IFERROR(INDEX(MASTER_JAM!$E$5:$E$94,MATCH($D1825,MASTER_JAM!$A$5:$A$94,0)),"")</f>
        <v/>
      </c>
      <c r="K1825" s="158">
        <f>IFERROR(INDEX(MASTER_JAM!$J$5:$O$12,MATCH($E1825,MASTER_JAM!$I$5:$I$12,0),MATCH($J1825,MASTER_JAM!$J$4:$O$4,0))+0,0)</f>
        <v/>
      </c>
      <c r="L1825" s="159">
        <f>N($F1825)*$K1825</f>
        <v/>
      </c>
      <c r="M1825" s="157">
        <f>IF($E1825="","",IF(OR($E1825="Coal",$E1825="Dirty Coal"),"MT","BCM"))</f>
        <v/>
      </c>
      <c r="N1825" s="157">
        <f>IF($E1825="","",IF(OR($E1825="Coal",$E1825="Dirty Coal"),"Coal","OB"))</f>
        <v/>
      </c>
      <c r="O1825" s="157">
        <f>IF($F1825="","",IF(COUNTIF(MASTER_JAM!$A$5:$A$94,$C1825)=0,"Digger tidak dikenal",IF($J1825="","Hauler tidak dikenal",IF($H1825="?","Jam salah",IF($K1825=0,"Faktor kosong",IF(SUMIFS(INPUT_DELAY!$E$5:$E$20000,INPUT_DELAY!$A$5:$A$20000,$A1825,INPUT_DELAY!$B$5:$B$20000,$B1825,INPUT_DELAY!$C$5:$C$20000,$C1825)+SUMIFS(INPUT_DELAY!$E$5:$E$20000,INPUT_DELAY!$A$5:$A$20000,$A1825,INPUT_DELAY!$B$5:$B$20000,$B1825,INPUT_DELAY!$C$5:$C$20000,"SEMUA")&gt;=60,"Delay 60 mnt tapi ada ritase","OK"))))))</f>
        <v/>
      </c>
      <c r="P1825" s="158">
        <f>IFERROR(INDEX(MASTER_JAM!$Z$5:$AC$10,MATCH($I1825,MASTER_JAM!$Y$5:$Y$10,0),MATCH($J1825,MASTER_JAM!$Z$4:$AC$4,0))+0,0)</f>
        <v/>
      </c>
      <c r="Q1825" s="158">
        <f>IF($P1825=0,0,$P1825+IFERROR(INDEX(MASTER_JAM!$H$5:$H$94,MATCH($C1825,MASTER_JAM!$A$5:$A$94,0))+0,MASTER_JAM!$AC$15)/1000*(60/MASTER_JAM!$AC$12+60/MASTER_JAM!$AC$13)+MASTER_JAM!$AC$14)</f>
        <v/>
      </c>
      <c r="R1825" s="158">
        <f>IF(N($F1825)=0,0,$F1825/SUMIFS(INPUT_RITASE!$F$5:$F$20000,INPUT_RITASE!$A$5:$A$20000,$A1825,INPUT_RITASE!$B$5:$B$20000,$B1825,INPUT_RITASE!$C$5:$C$20000,$C1825,INPUT_RITASE!$D$5:$D$20000,$D1825))</f>
        <v/>
      </c>
      <c r="S1825" s="158">
        <f>IF($Q1825=0,0,$R1825*$P1825/$Q1825)</f>
        <v/>
      </c>
    </row>
    <row r="1826">
      <c r="A1826" s="155" t="n">
        <v>46110</v>
      </c>
      <c r="B1826" s="156" t="inlineStr">
        <is>
          <t>20-21</t>
        </is>
      </c>
      <c r="C1826" s="156" t="inlineStr">
        <is>
          <t>EX-754</t>
        </is>
      </c>
      <c r="D1826" s="156" t="inlineStr">
        <is>
          <t>DT-501</t>
        </is>
      </c>
      <c r="E1826" s="156" t="inlineStr">
        <is>
          <t>OB</t>
        </is>
      </c>
      <c r="F1826" s="156" t="n">
        <v>3</v>
      </c>
      <c r="G1826" s="156" t="inlineStr"/>
      <c r="H1826" s="157">
        <f>IF($B1826="","",IF(ISNA(MATCH($B1826,MASTER_JAM!$Q$5:$Q$28,0)),"?",IF(MATCH($B1826,MASTER_JAM!$Q$5:$Q$28,0)&lt;=12,"DS","NS")))</f>
        <v/>
      </c>
      <c r="I1826" s="157">
        <f>IFERROR(INDEX(MASTER_JAM!$B$5:$B$94,MATCH($C1826,MASTER_JAM!$A$5:$A$94,0)),"")</f>
        <v/>
      </c>
      <c r="J1826" s="157">
        <f>IFERROR(INDEX(MASTER_JAM!$E$5:$E$94,MATCH($D1826,MASTER_JAM!$A$5:$A$94,0)),"")</f>
        <v/>
      </c>
      <c r="K1826" s="158">
        <f>IFERROR(INDEX(MASTER_JAM!$J$5:$O$12,MATCH($E1826,MASTER_JAM!$I$5:$I$12,0),MATCH($J1826,MASTER_JAM!$J$4:$O$4,0))+0,0)</f>
        <v/>
      </c>
      <c r="L1826" s="159">
        <f>N($F1826)*$K1826</f>
        <v/>
      </c>
      <c r="M1826" s="157">
        <f>IF($E1826="","",IF(OR($E1826="Coal",$E1826="Dirty Coal"),"MT","BCM"))</f>
        <v/>
      </c>
      <c r="N1826" s="157">
        <f>IF($E1826="","",IF(OR($E1826="Coal",$E1826="Dirty Coal"),"Coal","OB"))</f>
        <v/>
      </c>
      <c r="O1826" s="157">
        <f>IF($F1826="","",IF(COUNTIF(MASTER_JAM!$A$5:$A$94,$C1826)=0,"Digger tidak dikenal",IF($J1826="","Hauler tidak dikenal",IF($H1826="?","Jam salah",IF($K1826=0,"Faktor kosong",IF(SUMIFS(INPUT_DELAY!$E$5:$E$20000,INPUT_DELAY!$A$5:$A$20000,$A1826,INPUT_DELAY!$B$5:$B$20000,$B1826,INPUT_DELAY!$C$5:$C$20000,$C1826)+SUMIFS(INPUT_DELAY!$E$5:$E$20000,INPUT_DELAY!$A$5:$A$20000,$A1826,INPUT_DELAY!$B$5:$B$20000,$B1826,INPUT_DELAY!$C$5:$C$20000,"SEMUA")&gt;=60,"Delay 60 mnt tapi ada ritase","OK"))))))</f>
        <v/>
      </c>
      <c r="P1826" s="158">
        <f>IFERROR(INDEX(MASTER_JAM!$Z$5:$AC$10,MATCH($I1826,MASTER_JAM!$Y$5:$Y$10,0),MATCH($J1826,MASTER_JAM!$Z$4:$AC$4,0))+0,0)</f>
        <v/>
      </c>
      <c r="Q1826" s="158">
        <f>IF($P1826=0,0,$P1826+IFERROR(INDEX(MASTER_JAM!$H$5:$H$94,MATCH($C1826,MASTER_JAM!$A$5:$A$94,0))+0,MASTER_JAM!$AC$15)/1000*(60/MASTER_JAM!$AC$12+60/MASTER_JAM!$AC$13)+MASTER_JAM!$AC$14)</f>
        <v/>
      </c>
      <c r="R1826" s="158">
        <f>IF(N($F1826)=0,0,$F1826/SUMIFS(INPUT_RITASE!$F$5:$F$20000,INPUT_RITASE!$A$5:$A$20000,$A1826,INPUT_RITASE!$B$5:$B$20000,$B1826,INPUT_RITASE!$C$5:$C$20000,$C1826,INPUT_RITASE!$D$5:$D$20000,$D1826))</f>
        <v/>
      </c>
      <c r="S1826" s="158">
        <f>IF($Q1826=0,0,$R1826*$P1826/$Q1826)</f>
        <v/>
      </c>
    </row>
    <row r="1827">
      <c r="A1827" s="155" t="n">
        <v>46110</v>
      </c>
      <c r="B1827" s="156" t="inlineStr">
        <is>
          <t>21-22</t>
        </is>
      </c>
      <c r="C1827" s="156" t="inlineStr">
        <is>
          <t>EX-754</t>
        </is>
      </c>
      <c r="D1827" s="156" t="inlineStr">
        <is>
          <t>DT-501</t>
        </is>
      </c>
      <c r="E1827" s="156" t="inlineStr">
        <is>
          <t>OB</t>
        </is>
      </c>
      <c r="F1827" s="156" t="n">
        <v>4</v>
      </c>
      <c r="G1827" s="156" t="inlineStr"/>
      <c r="H1827" s="157">
        <f>IF($B1827="","",IF(ISNA(MATCH($B1827,MASTER_JAM!$Q$5:$Q$28,0)),"?",IF(MATCH($B1827,MASTER_JAM!$Q$5:$Q$28,0)&lt;=12,"DS","NS")))</f>
        <v/>
      </c>
      <c r="I1827" s="157">
        <f>IFERROR(INDEX(MASTER_JAM!$B$5:$B$94,MATCH($C1827,MASTER_JAM!$A$5:$A$94,0)),"")</f>
        <v/>
      </c>
      <c r="J1827" s="157">
        <f>IFERROR(INDEX(MASTER_JAM!$E$5:$E$94,MATCH($D1827,MASTER_JAM!$A$5:$A$94,0)),"")</f>
        <v/>
      </c>
      <c r="K1827" s="158">
        <f>IFERROR(INDEX(MASTER_JAM!$J$5:$O$12,MATCH($E1827,MASTER_JAM!$I$5:$I$12,0),MATCH($J1827,MASTER_JAM!$J$4:$O$4,0))+0,0)</f>
        <v/>
      </c>
      <c r="L1827" s="159">
        <f>N($F1827)*$K1827</f>
        <v/>
      </c>
      <c r="M1827" s="157">
        <f>IF($E1827="","",IF(OR($E1827="Coal",$E1827="Dirty Coal"),"MT","BCM"))</f>
        <v/>
      </c>
      <c r="N1827" s="157">
        <f>IF($E1827="","",IF(OR($E1827="Coal",$E1827="Dirty Coal"),"Coal","OB"))</f>
        <v/>
      </c>
      <c r="O1827" s="157">
        <f>IF($F1827="","",IF(COUNTIF(MASTER_JAM!$A$5:$A$94,$C1827)=0,"Digger tidak dikenal",IF($J1827="","Hauler tidak dikenal",IF($H1827="?","Jam salah",IF($K1827=0,"Faktor kosong",IF(SUMIFS(INPUT_DELAY!$E$5:$E$20000,INPUT_DELAY!$A$5:$A$20000,$A1827,INPUT_DELAY!$B$5:$B$20000,$B1827,INPUT_DELAY!$C$5:$C$20000,$C1827)+SUMIFS(INPUT_DELAY!$E$5:$E$20000,INPUT_DELAY!$A$5:$A$20000,$A1827,INPUT_DELAY!$B$5:$B$20000,$B1827,INPUT_DELAY!$C$5:$C$20000,"SEMUA")&gt;=60,"Delay 60 mnt tapi ada ritase","OK"))))))</f>
        <v/>
      </c>
      <c r="P1827" s="158">
        <f>IFERROR(INDEX(MASTER_JAM!$Z$5:$AC$10,MATCH($I1827,MASTER_JAM!$Y$5:$Y$10,0),MATCH($J1827,MASTER_JAM!$Z$4:$AC$4,0))+0,0)</f>
        <v/>
      </c>
      <c r="Q1827" s="158">
        <f>IF($P1827=0,0,$P1827+IFERROR(INDEX(MASTER_JAM!$H$5:$H$94,MATCH($C1827,MASTER_JAM!$A$5:$A$94,0))+0,MASTER_JAM!$AC$15)/1000*(60/MASTER_JAM!$AC$12+60/MASTER_JAM!$AC$13)+MASTER_JAM!$AC$14)</f>
        <v/>
      </c>
      <c r="R1827" s="158">
        <f>IF(N($F1827)=0,0,$F1827/SUMIFS(INPUT_RITASE!$F$5:$F$20000,INPUT_RITASE!$A$5:$A$20000,$A1827,INPUT_RITASE!$B$5:$B$20000,$B1827,INPUT_RITASE!$C$5:$C$20000,$C1827,INPUT_RITASE!$D$5:$D$20000,$D1827))</f>
        <v/>
      </c>
      <c r="S1827" s="158">
        <f>IF($Q1827=0,0,$R1827*$P1827/$Q1827)</f>
        <v/>
      </c>
    </row>
    <row r="1828">
      <c r="A1828" s="155" t="n">
        <v>46110</v>
      </c>
      <c r="B1828" s="156" t="inlineStr">
        <is>
          <t>21-22</t>
        </is>
      </c>
      <c r="C1828" s="156" t="inlineStr">
        <is>
          <t>EX-754</t>
        </is>
      </c>
      <c r="D1828" s="156" t="inlineStr">
        <is>
          <t>DT-511</t>
        </is>
      </c>
      <c r="E1828" s="156" t="inlineStr">
        <is>
          <t>OB</t>
        </is>
      </c>
      <c r="F1828" s="156" t="n">
        <v>4</v>
      </c>
      <c r="G1828" s="156" t="inlineStr"/>
      <c r="H1828" s="157">
        <f>IF($B1828="","",IF(ISNA(MATCH($B1828,MASTER_JAM!$Q$5:$Q$28,0)),"?",IF(MATCH($B1828,MASTER_JAM!$Q$5:$Q$28,0)&lt;=12,"DS","NS")))</f>
        <v/>
      </c>
      <c r="I1828" s="157">
        <f>IFERROR(INDEX(MASTER_JAM!$B$5:$B$94,MATCH($C1828,MASTER_JAM!$A$5:$A$94,0)),"")</f>
        <v/>
      </c>
      <c r="J1828" s="157">
        <f>IFERROR(INDEX(MASTER_JAM!$E$5:$E$94,MATCH($D1828,MASTER_JAM!$A$5:$A$94,0)),"")</f>
        <v/>
      </c>
      <c r="K1828" s="158">
        <f>IFERROR(INDEX(MASTER_JAM!$J$5:$O$12,MATCH($E1828,MASTER_JAM!$I$5:$I$12,0),MATCH($J1828,MASTER_JAM!$J$4:$O$4,0))+0,0)</f>
        <v/>
      </c>
      <c r="L1828" s="159">
        <f>N($F1828)*$K1828</f>
        <v/>
      </c>
      <c r="M1828" s="157">
        <f>IF($E1828="","",IF(OR($E1828="Coal",$E1828="Dirty Coal"),"MT","BCM"))</f>
        <v/>
      </c>
      <c r="N1828" s="157">
        <f>IF($E1828="","",IF(OR($E1828="Coal",$E1828="Dirty Coal"),"Coal","OB"))</f>
        <v/>
      </c>
      <c r="O1828" s="157">
        <f>IF($F1828="","",IF(COUNTIF(MASTER_JAM!$A$5:$A$94,$C1828)=0,"Digger tidak dikenal",IF($J1828="","Hauler tidak dikenal",IF($H1828="?","Jam salah",IF($K1828=0,"Faktor kosong",IF(SUMIFS(INPUT_DELAY!$E$5:$E$20000,INPUT_DELAY!$A$5:$A$20000,$A1828,INPUT_DELAY!$B$5:$B$20000,$B1828,INPUT_DELAY!$C$5:$C$20000,$C1828)+SUMIFS(INPUT_DELAY!$E$5:$E$20000,INPUT_DELAY!$A$5:$A$20000,$A1828,INPUT_DELAY!$B$5:$B$20000,$B1828,INPUT_DELAY!$C$5:$C$20000,"SEMUA")&gt;=60,"Delay 60 mnt tapi ada ritase","OK"))))))</f>
        <v/>
      </c>
      <c r="P1828" s="158">
        <f>IFERROR(INDEX(MASTER_JAM!$Z$5:$AC$10,MATCH($I1828,MASTER_JAM!$Y$5:$Y$10,0),MATCH($J1828,MASTER_JAM!$Z$4:$AC$4,0))+0,0)</f>
        <v/>
      </c>
      <c r="Q1828" s="158">
        <f>IF($P1828=0,0,$P1828+IFERROR(INDEX(MASTER_JAM!$H$5:$H$94,MATCH($C1828,MASTER_JAM!$A$5:$A$94,0))+0,MASTER_JAM!$AC$15)/1000*(60/MASTER_JAM!$AC$12+60/MASTER_JAM!$AC$13)+MASTER_JAM!$AC$14)</f>
        <v/>
      </c>
      <c r="R1828" s="158">
        <f>IF(N($F1828)=0,0,$F1828/SUMIFS(INPUT_RITASE!$F$5:$F$20000,INPUT_RITASE!$A$5:$A$20000,$A1828,INPUT_RITASE!$B$5:$B$20000,$B1828,INPUT_RITASE!$C$5:$C$20000,$C1828,INPUT_RITASE!$D$5:$D$20000,$D1828))</f>
        <v/>
      </c>
      <c r="S1828" s="158">
        <f>IF($Q1828=0,0,$R1828*$P1828/$Q1828)</f>
        <v/>
      </c>
    </row>
    <row r="1829">
      <c r="A1829" s="155" t="n">
        <v>46110</v>
      </c>
      <c r="B1829" s="156" t="inlineStr">
        <is>
          <t>21-22</t>
        </is>
      </c>
      <c r="C1829" s="156" t="inlineStr">
        <is>
          <t>EX-754</t>
        </is>
      </c>
      <c r="D1829" s="156" t="inlineStr">
        <is>
          <t>DT-503</t>
        </is>
      </c>
      <c r="E1829" s="156" t="inlineStr">
        <is>
          <t>OB</t>
        </is>
      </c>
      <c r="F1829" s="156" t="n">
        <v>4</v>
      </c>
      <c r="G1829" s="156" t="inlineStr"/>
      <c r="H1829" s="157">
        <f>IF($B1829="","",IF(ISNA(MATCH($B1829,MASTER_JAM!$Q$5:$Q$28,0)),"?",IF(MATCH($B1829,MASTER_JAM!$Q$5:$Q$28,0)&lt;=12,"DS","NS")))</f>
        <v/>
      </c>
      <c r="I1829" s="157">
        <f>IFERROR(INDEX(MASTER_JAM!$B$5:$B$94,MATCH($C1829,MASTER_JAM!$A$5:$A$94,0)),"")</f>
        <v/>
      </c>
      <c r="J1829" s="157">
        <f>IFERROR(INDEX(MASTER_JAM!$E$5:$E$94,MATCH($D1829,MASTER_JAM!$A$5:$A$94,0)),"")</f>
        <v/>
      </c>
      <c r="K1829" s="158">
        <f>IFERROR(INDEX(MASTER_JAM!$J$5:$O$12,MATCH($E1829,MASTER_JAM!$I$5:$I$12,0),MATCH($J1829,MASTER_JAM!$J$4:$O$4,0))+0,0)</f>
        <v/>
      </c>
      <c r="L1829" s="159">
        <f>N($F1829)*$K1829</f>
        <v/>
      </c>
      <c r="M1829" s="157">
        <f>IF($E1829="","",IF(OR($E1829="Coal",$E1829="Dirty Coal"),"MT","BCM"))</f>
        <v/>
      </c>
      <c r="N1829" s="157">
        <f>IF($E1829="","",IF(OR($E1829="Coal",$E1829="Dirty Coal"),"Coal","OB"))</f>
        <v/>
      </c>
      <c r="O1829" s="157">
        <f>IF($F1829="","",IF(COUNTIF(MASTER_JAM!$A$5:$A$94,$C1829)=0,"Digger tidak dikenal",IF($J1829="","Hauler tidak dikenal",IF($H1829="?","Jam salah",IF($K1829=0,"Faktor kosong",IF(SUMIFS(INPUT_DELAY!$E$5:$E$20000,INPUT_DELAY!$A$5:$A$20000,$A1829,INPUT_DELAY!$B$5:$B$20000,$B1829,INPUT_DELAY!$C$5:$C$20000,$C1829)+SUMIFS(INPUT_DELAY!$E$5:$E$20000,INPUT_DELAY!$A$5:$A$20000,$A1829,INPUT_DELAY!$B$5:$B$20000,$B1829,INPUT_DELAY!$C$5:$C$20000,"SEMUA")&gt;=60,"Delay 60 mnt tapi ada ritase","OK"))))))</f>
        <v/>
      </c>
      <c r="P1829" s="158">
        <f>IFERROR(INDEX(MASTER_JAM!$Z$5:$AC$10,MATCH($I1829,MASTER_JAM!$Y$5:$Y$10,0),MATCH($J1829,MASTER_JAM!$Z$4:$AC$4,0))+0,0)</f>
        <v/>
      </c>
      <c r="Q1829" s="158">
        <f>IF($P1829=0,0,$P1829+IFERROR(INDEX(MASTER_JAM!$H$5:$H$94,MATCH($C1829,MASTER_JAM!$A$5:$A$94,0))+0,MASTER_JAM!$AC$15)/1000*(60/MASTER_JAM!$AC$12+60/MASTER_JAM!$AC$13)+MASTER_JAM!$AC$14)</f>
        <v/>
      </c>
      <c r="R1829" s="158">
        <f>IF(N($F1829)=0,0,$F1829/SUMIFS(INPUT_RITASE!$F$5:$F$20000,INPUT_RITASE!$A$5:$A$20000,$A1829,INPUT_RITASE!$B$5:$B$20000,$B1829,INPUT_RITASE!$C$5:$C$20000,$C1829,INPUT_RITASE!$D$5:$D$20000,$D1829))</f>
        <v/>
      </c>
      <c r="S1829" s="158">
        <f>IF($Q1829=0,0,$R1829*$P1829/$Q1829)</f>
        <v/>
      </c>
    </row>
    <row r="1830">
      <c r="A1830" s="155" t="n">
        <v>46110</v>
      </c>
      <c r="B1830" s="156" t="inlineStr">
        <is>
          <t>21-22</t>
        </is>
      </c>
      <c r="C1830" s="156" t="inlineStr">
        <is>
          <t>EX-754</t>
        </is>
      </c>
      <c r="D1830" s="156" t="inlineStr">
        <is>
          <t>DT-524</t>
        </is>
      </c>
      <c r="E1830" s="156" t="inlineStr">
        <is>
          <t>OB</t>
        </is>
      </c>
      <c r="F1830" s="156" t="n">
        <v>4</v>
      </c>
      <c r="G1830" s="156" t="inlineStr"/>
      <c r="H1830" s="157">
        <f>IF($B1830="","",IF(ISNA(MATCH($B1830,MASTER_JAM!$Q$5:$Q$28,0)),"?",IF(MATCH($B1830,MASTER_JAM!$Q$5:$Q$28,0)&lt;=12,"DS","NS")))</f>
        <v/>
      </c>
      <c r="I1830" s="157">
        <f>IFERROR(INDEX(MASTER_JAM!$B$5:$B$94,MATCH($C1830,MASTER_JAM!$A$5:$A$94,0)),"")</f>
        <v/>
      </c>
      <c r="J1830" s="157">
        <f>IFERROR(INDEX(MASTER_JAM!$E$5:$E$94,MATCH($D1830,MASTER_JAM!$A$5:$A$94,0)),"")</f>
        <v/>
      </c>
      <c r="K1830" s="158">
        <f>IFERROR(INDEX(MASTER_JAM!$J$5:$O$12,MATCH($E1830,MASTER_JAM!$I$5:$I$12,0),MATCH($J1830,MASTER_JAM!$J$4:$O$4,0))+0,0)</f>
        <v/>
      </c>
      <c r="L1830" s="159">
        <f>N($F1830)*$K1830</f>
        <v/>
      </c>
      <c r="M1830" s="157">
        <f>IF($E1830="","",IF(OR($E1830="Coal",$E1830="Dirty Coal"),"MT","BCM"))</f>
        <v/>
      </c>
      <c r="N1830" s="157">
        <f>IF($E1830="","",IF(OR($E1830="Coal",$E1830="Dirty Coal"),"Coal","OB"))</f>
        <v/>
      </c>
      <c r="O1830" s="157">
        <f>IF($F1830="","",IF(COUNTIF(MASTER_JAM!$A$5:$A$94,$C1830)=0,"Digger tidak dikenal",IF($J1830="","Hauler tidak dikenal",IF($H1830="?","Jam salah",IF($K1830=0,"Faktor kosong",IF(SUMIFS(INPUT_DELAY!$E$5:$E$20000,INPUT_DELAY!$A$5:$A$20000,$A1830,INPUT_DELAY!$B$5:$B$20000,$B1830,INPUT_DELAY!$C$5:$C$20000,$C1830)+SUMIFS(INPUT_DELAY!$E$5:$E$20000,INPUT_DELAY!$A$5:$A$20000,$A1830,INPUT_DELAY!$B$5:$B$20000,$B1830,INPUT_DELAY!$C$5:$C$20000,"SEMUA")&gt;=60,"Delay 60 mnt tapi ada ritase","OK"))))))</f>
        <v/>
      </c>
      <c r="P1830" s="158">
        <f>IFERROR(INDEX(MASTER_JAM!$Z$5:$AC$10,MATCH($I1830,MASTER_JAM!$Y$5:$Y$10,0),MATCH($J1830,MASTER_JAM!$Z$4:$AC$4,0))+0,0)</f>
        <v/>
      </c>
      <c r="Q1830" s="158">
        <f>IF($P1830=0,0,$P1830+IFERROR(INDEX(MASTER_JAM!$H$5:$H$94,MATCH($C1830,MASTER_JAM!$A$5:$A$94,0))+0,MASTER_JAM!$AC$15)/1000*(60/MASTER_JAM!$AC$12+60/MASTER_JAM!$AC$13)+MASTER_JAM!$AC$14)</f>
        <v/>
      </c>
      <c r="R1830" s="158">
        <f>IF(N($F1830)=0,0,$F1830/SUMIFS(INPUT_RITASE!$F$5:$F$20000,INPUT_RITASE!$A$5:$A$20000,$A1830,INPUT_RITASE!$B$5:$B$20000,$B1830,INPUT_RITASE!$C$5:$C$20000,$C1830,INPUT_RITASE!$D$5:$D$20000,$D1830))</f>
        <v/>
      </c>
      <c r="S1830" s="158">
        <f>IF($Q1830=0,0,$R1830*$P1830/$Q1830)</f>
        <v/>
      </c>
    </row>
    <row r="1831">
      <c r="A1831" s="155" t="n">
        <v>46110</v>
      </c>
      <c r="B1831" s="156" t="inlineStr">
        <is>
          <t>21-22</t>
        </is>
      </c>
      <c r="C1831" s="156" t="inlineStr">
        <is>
          <t>EX-754</t>
        </is>
      </c>
      <c r="D1831" s="156" t="inlineStr">
        <is>
          <t>DT-515</t>
        </is>
      </c>
      <c r="E1831" s="156" t="inlineStr">
        <is>
          <t>OB</t>
        </is>
      </c>
      <c r="F1831" s="156" t="n">
        <v>4</v>
      </c>
      <c r="G1831" s="156" t="inlineStr"/>
      <c r="H1831" s="157">
        <f>IF($B1831="","",IF(ISNA(MATCH($B1831,MASTER_JAM!$Q$5:$Q$28,0)),"?",IF(MATCH($B1831,MASTER_JAM!$Q$5:$Q$28,0)&lt;=12,"DS","NS")))</f>
        <v/>
      </c>
      <c r="I1831" s="157">
        <f>IFERROR(INDEX(MASTER_JAM!$B$5:$B$94,MATCH($C1831,MASTER_JAM!$A$5:$A$94,0)),"")</f>
        <v/>
      </c>
      <c r="J1831" s="157">
        <f>IFERROR(INDEX(MASTER_JAM!$E$5:$E$94,MATCH($D1831,MASTER_JAM!$A$5:$A$94,0)),"")</f>
        <v/>
      </c>
      <c r="K1831" s="158">
        <f>IFERROR(INDEX(MASTER_JAM!$J$5:$O$12,MATCH($E1831,MASTER_JAM!$I$5:$I$12,0),MATCH($J1831,MASTER_JAM!$J$4:$O$4,0))+0,0)</f>
        <v/>
      </c>
      <c r="L1831" s="159">
        <f>N($F1831)*$K1831</f>
        <v/>
      </c>
      <c r="M1831" s="157">
        <f>IF($E1831="","",IF(OR($E1831="Coal",$E1831="Dirty Coal"),"MT","BCM"))</f>
        <v/>
      </c>
      <c r="N1831" s="157">
        <f>IF($E1831="","",IF(OR($E1831="Coal",$E1831="Dirty Coal"),"Coal","OB"))</f>
        <v/>
      </c>
      <c r="O1831" s="157">
        <f>IF($F1831="","",IF(COUNTIF(MASTER_JAM!$A$5:$A$94,$C1831)=0,"Digger tidak dikenal",IF($J1831="","Hauler tidak dikenal",IF($H1831="?","Jam salah",IF($K1831=0,"Faktor kosong",IF(SUMIFS(INPUT_DELAY!$E$5:$E$20000,INPUT_DELAY!$A$5:$A$20000,$A1831,INPUT_DELAY!$B$5:$B$20000,$B1831,INPUT_DELAY!$C$5:$C$20000,$C1831)+SUMIFS(INPUT_DELAY!$E$5:$E$20000,INPUT_DELAY!$A$5:$A$20000,$A1831,INPUT_DELAY!$B$5:$B$20000,$B1831,INPUT_DELAY!$C$5:$C$20000,"SEMUA")&gt;=60,"Delay 60 mnt tapi ada ritase","OK"))))))</f>
        <v/>
      </c>
      <c r="P1831" s="158">
        <f>IFERROR(INDEX(MASTER_JAM!$Z$5:$AC$10,MATCH($I1831,MASTER_JAM!$Y$5:$Y$10,0),MATCH($J1831,MASTER_JAM!$Z$4:$AC$4,0))+0,0)</f>
        <v/>
      </c>
      <c r="Q1831" s="158">
        <f>IF($P1831=0,0,$P1831+IFERROR(INDEX(MASTER_JAM!$H$5:$H$94,MATCH($C1831,MASTER_JAM!$A$5:$A$94,0))+0,MASTER_JAM!$AC$15)/1000*(60/MASTER_JAM!$AC$12+60/MASTER_JAM!$AC$13)+MASTER_JAM!$AC$14)</f>
        <v/>
      </c>
      <c r="R1831" s="158">
        <f>IF(N($F1831)=0,0,$F1831/SUMIFS(INPUT_RITASE!$F$5:$F$20000,INPUT_RITASE!$A$5:$A$20000,$A1831,INPUT_RITASE!$B$5:$B$20000,$B1831,INPUT_RITASE!$C$5:$C$20000,$C1831,INPUT_RITASE!$D$5:$D$20000,$D1831))</f>
        <v/>
      </c>
      <c r="S1831" s="158">
        <f>IF($Q1831=0,0,$R1831*$P1831/$Q1831)</f>
        <v/>
      </c>
    </row>
    <row r="1832">
      <c r="A1832" s="155" t="n">
        <v>46110</v>
      </c>
      <c r="B1832" s="156" t="inlineStr">
        <is>
          <t>22-23</t>
        </is>
      </c>
      <c r="C1832" s="156" t="inlineStr">
        <is>
          <t>EX-754</t>
        </is>
      </c>
      <c r="D1832" s="156" t="inlineStr">
        <is>
          <t>DT-505</t>
        </is>
      </c>
      <c r="E1832" s="156" t="inlineStr">
        <is>
          <t>OB</t>
        </is>
      </c>
      <c r="F1832" s="156" t="n">
        <v>4</v>
      </c>
      <c r="G1832" s="156" t="inlineStr"/>
      <c r="H1832" s="157">
        <f>IF($B1832="","",IF(ISNA(MATCH($B1832,MASTER_JAM!$Q$5:$Q$28,0)),"?",IF(MATCH($B1832,MASTER_JAM!$Q$5:$Q$28,0)&lt;=12,"DS","NS")))</f>
        <v/>
      </c>
      <c r="I1832" s="157">
        <f>IFERROR(INDEX(MASTER_JAM!$B$5:$B$94,MATCH($C1832,MASTER_JAM!$A$5:$A$94,0)),"")</f>
        <v/>
      </c>
      <c r="J1832" s="157">
        <f>IFERROR(INDEX(MASTER_JAM!$E$5:$E$94,MATCH($D1832,MASTER_JAM!$A$5:$A$94,0)),"")</f>
        <v/>
      </c>
      <c r="K1832" s="158">
        <f>IFERROR(INDEX(MASTER_JAM!$J$5:$O$12,MATCH($E1832,MASTER_JAM!$I$5:$I$12,0),MATCH($J1832,MASTER_JAM!$J$4:$O$4,0))+0,0)</f>
        <v/>
      </c>
      <c r="L1832" s="159">
        <f>N($F1832)*$K1832</f>
        <v/>
      </c>
      <c r="M1832" s="157">
        <f>IF($E1832="","",IF(OR($E1832="Coal",$E1832="Dirty Coal"),"MT","BCM"))</f>
        <v/>
      </c>
      <c r="N1832" s="157">
        <f>IF($E1832="","",IF(OR($E1832="Coal",$E1832="Dirty Coal"),"Coal","OB"))</f>
        <v/>
      </c>
      <c r="O1832" s="157">
        <f>IF($F1832="","",IF(COUNTIF(MASTER_JAM!$A$5:$A$94,$C1832)=0,"Digger tidak dikenal",IF($J1832="","Hauler tidak dikenal",IF($H1832="?","Jam salah",IF($K1832=0,"Faktor kosong",IF(SUMIFS(INPUT_DELAY!$E$5:$E$20000,INPUT_DELAY!$A$5:$A$20000,$A1832,INPUT_DELAY!$B$5:$B$20000,$B1832,INPUT_DELAY!$C$5:$C$20000,$C1832)+SUMIFS(INPUT_DELAY!$E$5:$E$20000,INPUT_DELAY!$A$5:$A$20000,$A1832,INPUT_DELAY!$B$5:$B$20000,$B1832,INPUT_DELAY!$C$5:$C$20000,"SEMUA")&gt;=60,"Delay 60 mnt tapi ada ritase","OK"))))))</f>
        <v/>
      </c>
      <c r="P1832" s="158">
        <f>IFERROR(INDEX(MASTER_JAM!$Z$5:$AC$10,MATCH($I1832,MASTER_JAM!$Y$5:$Y$10,0),MATCH($J1832,MASTER_JAM!$Z$4:$AC$4,0))+0,0)</f>
        <v/>
      </c>
      <c r="Q1832" s="158">
        <f>IF($P1832=0,0,$P1832+IFERROR(INDEX(MASTER_JAM!$H$5:$H$94,MATCH($C1832,MASTER_JAM!$A$5:$A$94,0))+0,MASTER_JAM!$AC$15)/1000*(60/MASTER_JAM!$AC$12+60/MASTER_JAM!$AC$13)+MASTER_JAM!$AC$14)</f>
        <v/>
      </c>
      <c r="R1832" s="158">
        <f>IF(N($F1832)=0,0,$F1832/SUMIFS(INPUT_RITASE!$F$5:$F$20000,INPUT_RITASE!$A$5:$A$20000,$A1832,INPUT_RITASE!$B$5:$B$20000,$B1832,INPUT_RITASE!$C$5:$C$20000,$C1832,INPUT_RITASE!$D$5:$D$20000,$D1832))</f>
        <v/>
      </c>
      <c r="S1832" s="158">
        <f>IF($Q1832=0,0,$R1832*$P1832/$Q1832)</f>
        <v/>
      </c>
    </row>
    <row r="1833">
      <c r="A1833" s="155" t="n">
        <v>46110</v>
      </c>
      <c r="B1833" s="156" t="inlineStr">
        <is>
          <t>22-23</t>
        </is>
      </c>
      <c r="C1833" s="156" t="inlineStr">
        <is>
          <t>EX-754</t>
        </is>
      </c>
      <c r="D1833" s="156" t="inlineStr">
        <is>
          <t>DT-520</t>
        </is>
      </c>
      <c r="E1833" s="156" t="inlineStr">
        <is>
          <t>OB</t>
        </is>
      </c>
      <c r="F1833" s="156" t="n">
        <v>4</v>
      </c>
      <c r="G1833" s="156" t="inlineStr"/>
      <c r="H1833" s="157">
        <f>IF($B1833="","",IF(ISNA(MATCH($B1833,MASTER_JAM!$Q$5:$Q$28,0)),"?",IF(MATCH($B1833,MASTER_JAM!$Q$5:$Q$28,0)&lt;=12,"DS","NS")))</f>
        <v/>
      </c>
      <c r="I1833" s="157">
        <f>IFERROR(INDEX(MASTER_JAM!$B$5:$B$94,MATCH($C1833,MASTER_JAM!$A$5:$A$94,0)),"")</f>
        <v/>
      </c>
      <c r="J1833" s="157">
        <f>IFERROR(INDEX(MASTER_JAM!$E$5:$E$94,MATCH($D1833,MASTER_JAM!$A$5:$A$94,0)),"")</f>
        <v/>
      </c>
      <c r="K1833" s="158">
        <f>IFERROR(INDEX(MASTER_JAM!$J$5:$O$12,MATCH($E1833,MASTER_JAM!$I$5:$I$12,0),MATCH($J1833,MASTER_JAM!$J$4:$O$4,0))+0,0)</f>
        <v/>
      </c>
      <c r="L1833" s="159">
        <f>N($F1833)*$K1833</f>
        <v/>
      </c>
      <c r="M1833" s="157">
        <f>IF($E1833="","",IF(OR($E1833="Coal",$E1833="Dirty Coal"),"MT","BCM"))</f>
        <v/>
      </c>
      <c r="N1833" s="157">
        <f>IF($E1833="","",IF(OR($E1833="Coal",$E1833="Dirty Coal"),"Coal","OB"))</f>
        <v/>
      </c>
      <c r="O1833" s="157">
        <f>IF($F1833="","",IF(COUNTIF(MASTER_JAM!$A$5:$A$94,$C1833)=0,"Digger tidak dikenal",IF($J1833="","Hauler tidak dikenal",IF($H1833="?","Jam salah",IF($K1833=0,"Faktor kosong",IF(SUMIFS(INPUT_DELAY!$E$5:$E$20000,INPUT_DELAY!$A$5:$A$20000,$A1833,INPUT_DELAY!$B$5:$B$20000,$B1833,INPUT_DELAY!$C$5:$C$20000,$C1833)+SUMIFS(INPUT_DELAY!$E$5:$E$20000,INPUT_DELAY!$A$5:$A$20000,$A1833,INPUT_DELAY!$B$5:$B$20000,$B1833,INPUT_DELAY!$C$5:$C$20000,"SEMUA")&gt;=60,"Delay 60 mnt tapi ada ritase","OK"))))))</f>
        <v/>
      </c>
      <c r="P1833" s="158">
        <f>IFERROR(INDEX(MASTER_JAM!$Z$5:$AC$10,MATCH($I1833,MASTER_JAM!$Y$5:$Y$10,0),MATCH($J1833,MASTER_JAM!$Z$4:$AC$4,0))+0,0)</f>
        <v/>
      </c>
      <c r="Q1833" s="158">
        <f>IF($P1833=0,0,$P1833+IFERROR(INDEX(MASTER_JAM!$H$5:$H$94,MATCH($C1833,MASTER_JAM!$A$5:$A$94,0))+0,MASTER_JAM!$AC$15)/1000*(60/MASTER_JAM!$AC$12+60/MASTER_JAM!$AC$13)+MASTER_JAM!$AC$14)</f>
        <v/>
      </c>
      <c r="R1833" s="158">
        <f>IF(N($F1833)=0,0,$F1833/SUMIFS(INPUT_RITASE!$F$5:$F$20000,INPUT_RITASE!$A$5:$A$20000,$A1833,INPUT_RITASE!$B$5:$B$20000,$B1833,INPUT_RITASE!$C$5:$C$20000,$C1833,INPUT_RITASE!$D$5:$D$20000,$D1833))</f>
        <v/>
      </c>
      <c r="S1833" s="158">
        <f>IF($Q1833=0,0,$R1833*$P1833/$Q1833)</f>
        <v/>
      </c>
    </row>
    <row r="1834">
      <c r="A1834" s="155" t="n">
        <v>46110</v>
      </c>
      <c r="B1834" s="156" t="inlineStr">
        <is>
          <t>22-23</t>
        </is>
      </c>
      <c r="C1834" s="156" t="inlineStr">
        <is>
          <t>EX-754</t>
        </is>
      </c>
      <c r="D1834" s="156" t="inlineStr">
        <is>
          <t>DT-517</t>
        </is>
      </c>
      <c r="E1834" s="156" t="inlineStr">
        <is>
          <t>OB</t>
        </is>
      </c>
      <c r="F1834" s="156" t="n">
        <v>3</v>
      </c>
      <c r="G1834" s="156" t="inlineStr"/>
      <c r="H1834" s="157">
        <f>IF($B1834="","",IF(ISNA(MATCH($B1834,MASTER_JAM!$Q$5:$Q$28,0)),"?",IF(MATCH($B1834,MASTER_JAM!$Q$5:$Q$28,0)&lt;=12,"DS","NS")))</f>
        <v/>
      </c>
      <c r="I1834" s="157">
        <f>IFERROR(INDEX(MASTER_JAM!$B$5:$B$94,MATCH($C1834,MASTER_JAM!$A$5:$A$94,0)),"")</f>
        <v/>
      </c>
      <c r="J1834" s="157">
        <f>IFERROR(INDEX(MASTER_JAM!$E$5:$E$94,MATCH($D1834,MASTER_JAM!$A$5:$A$94,0)),"")</f>
        <v/>
      </c>
      <c r="K1834" s="158">
        <f>IFERROR(INDEX(MASTER_JAM!$J$5:$O$12,MATCH($E1834,MASTER_JAM!$I$5:$I$12,0),MATCH($J1834,MASTER_JAM!$J$4:$O$4,0))+0,0)</f>
        <v/>
      </c>
      <c r="L1834" s="159">
        <f>N($F1834)*$K1834</f>
        <v/>
      </c>
      <c r="M1834" s="157">
        <f>IF($E1834="","",IF(OR($E1834="Coal",$E1834="Dirty Coal"),"MT","BCM"))</f>
        <v/>
      </c>
      <c r="N1834" s="157">
        <f>IF($E1834="","",IF(OR($E1834="Coal",$E1834="Dirty Coal"),"Coal","OB"))</f>
        <v/>
      </c>
      <c r="O1834" s="157">
        <f>IF($F1834="","",IF(COUNTIF(MASTER_JAM!$A$5:$A$94,$C1834)=0,"Digger tidak dikenal",IF($J1834="","Hauler tidak dikenal",IF($H1834="?","Jam salah",IF($K1834=0,"Faktor kosong",IF(SUMIFS(INPUT_DELAY!$E$5:$E$20000,INPUT_DELAY!$A$5:$A$20000,$A1834,INPUT_DELAY!$B$5:$B$20000,$B1834,INPUT_DELAY!$C$5:$C$20000,$C1834)+SUMIFS(INPUT_DELAY!$E$5:$E$20000,INPUT_DELAY!$A$5:$A$20000,$A1834,INPUT_DELAY!$B$5:$B$20000,$B1834,INPUT_DELAY!$C$5:$C$20000,"SEMUA")&gt;=60,"Delay 60 mnt tapi ada ritase","OK"))))))</f>
        <v/>
      </c>
      <c r="P1834" s="158">
        <f>IFERROR(INDEX(MASTER_JAM!$Z$5:$AC$10,MATCH($I1834,MASTER_JAM!$Y$5:$Y$10,0),MATCH($J1834,MASTER_JAM!$Z$4:$AC$4,0))+0,0)</f>
        <v/>
      </c>
      <c r="Q1834" s="158">
        <f>IF($P1834=0,0,$P1834+IFERROR(INDEX(MASTER_JAM!$H$5:$H$94,MATCH($C1834,MASTER_JAM!$A$5:$A$94,0))+0,MASTER_JAM!$AC$15)/1000*(60/MASTER_JAM!$AC$12+60/MASTER_JAM!$AC$13)+MASTER_JAM!$AC$14)</f>
        <v/>
      </c>
      <c r="R1834" s="158">
        <f>IF(N($F1834)=0,0,$F1834/SUMIFS(INPUT_RITASE!$F$5:$F$20000,INPUT_RITASE!$A$5:$A$20000,$A1834,INPUT_RITASE!$B$5:$B$20000,$B1834,INPUT_RITASE!$C$5:$C$20000,$C1834,INPUT_RITASE!$D$5:$D$20000,$D1834))</f>
        <v/>
      </c>
      <c r="S1834" s="158">
        <f>IF($Q1834=0,0,$R1834*$P1834/$Q1834)</f>
        <v/>
      </c>
    </row>
    <row r="1835">
      <c r="A1835" s="155" t="n">
        <v>46110</v>
      </c>
      <c r="B1835" s="156" t="inlineStr">
        <is>
          <t>22-23</t>
        </is>
      </c>
      <c r="C1835" s="156" t="inlineStr">
        <is>
          <t>EX-754</t>
        </is>
      </c>
      <c r="D1835" s="156" t="inlineStr">
        <is>
          <t>DT-511</t>
        </is>
      </c>
      <c r="E1835" s="156" t="inlineStr">
        <is>
          <t>OB</t>
        </is>
      </c>
      <c r="F1835" s="156" t="n">
        <v>3</v>
      </c>
      <c r="G1835" s="156" t="inlineStr"/>
      <c r="H1835" s="157">
        <f>IF($B1835="","",IF(ISNA(MATCH($B1835,MASTER_JAM!$Q$5:$Q$28,0)),"?",IF(MATCH($B1835,MASTER_JAM!$Q$5:$Q$28,0)&lt;=12,"DS","NS")))</f>
        <v/>
      </c>
      <c r="I1835" s="157">
        <f>IFERROR(INDEX(MASTER_JAM!$B$5:$B$94,MATCH($C1835,MASTER_JAM!$A$5:$A$94,0)),"")</f>
        <v/>
      </c>
      <c r="J1835" s="157">
        <f>IFERROR(INDEX(MASTER_JAM!$E$5:$E$94,MATCH($D1835,MASTER_JAM!$A$5:$A$94,0)),"")</f>
        <v/>
      </c>
      <c r="K1835" s="158">
        <f>IFERROR(INDEX(MASTER_JAM!$J$5:$O$12,MATCH($E1835,MASTER_JAM!$I$5:$I$12,0),MATCH($J1835,MASTER_JAM!$J$4:$O$4,0))+0,0)</f>
        <v/>
      </c>
      <c r="L1835" s="159">
        <f>N($F1835)*$K1835</f>
        <v/>
      </c>
      <c r="M1835" s="157">
        <f>IF($E1835="","",IF(OR($E1835="Coal",$E1835="Dirty Coal"),"MT","BCM"))</f>
        <v/>
      </c>
      <c r="N1835" s="157">
        <f>IF($E1835="","",IF(OR($E1835="Coal",$E1835="Dirty Coal"),"Coal","OB"))</f>
        <v/>
      </c>
      <c r="O1835" s="157">
        <f>IF($F1835="","",IF(COUNTIF(MASTER_JAM!$A$5:$A$94,$C1835)=0,"Digger tidak dikenal",IF($J1835="","Hauler tidak dikenal",IF($H1835="?","Jam salah",IF($K1835=0,"Faktor kosong",IF(SUMIFS(INPUT_DELAY!$E$5:$E$20000,INPUT_DELAY!$A$5:$A$20000,$A1835,INPUT_DELAY!$B$5:$B$20000,$B1835,INPUT_DELAY!$C$5:$C$20000,$C1835)+SUMIFS(INPUT_DELAY!$E$5:$E$20000,INPUT_DELAY!$A$5:$A$20000,$A1835,INPUT_DELAY!$B$5:$B$20000,$B1835,INPUT_DELAY!$C$5:$C$20000,"SEMUA")&gt;=60,"Delay 60 mnt tapi ada ritase","OK"))))))</f>
        <v/>
      </c>
      <c r="P1835" s="158">
        <f>IFERROR(INDEX(MASTER_JAM!$Z$5:$AC$10,MATCH($I1835,MASTER_JAM!$Y$5:$Y$10,0),MATCH($J1835,MASTER_JAM!$Z$4:$AC$4,0))+0,0)</f>
        <v/>
      </c>
      <c r="Q1835" s="158">
        <f>IF($P1835=0,0,$P1835+IFERROR(INDEX(MASTER_JAM!$H$5:$H$94,MATCH($C1835,MASTER_JAM!$A$5:$A$94,0))+0,MASTER_JAM!$AC$15)/1000*(60/MASTER_JAM!$AC$12+60/MASTER_JAM!$AC$13)+MASTER_JAM!$AC$14)</f>
        <v/>
      </c>
      <c r="R1835" s="158">
        <f>IF(N($F1835)=0,0,$F1835/SUMIFS(INPUT_RITASE!$F$5:$F$20000,INPUT_RITASE!$A$5:$A$20000,$A1835,INPUT_RITASE!$B$5:$B$20000,$B1835,INPUT_RITASE!$C$5:$C$20000,$C1835,INPUT_RITASE!$D$5:$D$20000,$D1835))</f>
        <v/>
      </c>
      <c r="S1835" s="158">
        <f>IF($Q1835=0,0,$R1835*$P1835/$Q1835)</f>
        <v/>
      </c>
    </row>
    <row r="1836">
      <c r="A1836" s="155" t="n">
        <v>46110</v>
      </c>
      <c r="B1836" s="156" t="inlineStr">
        <is>
          <t>23-24</t>
        </is>
      </c>
      <c r="C1836" s="156" t="inlineStr">
        <is>
          <t>EX-754</t>
        </is>
      </c>
      <c r="D1836" s="156" t="inlineStr">
        <is>
          <t>DT-507</t>
        </is>
      </c>
      <c r="E1836" s="156" t="inlineStr">
        <is>
          <t>OB</t>
        </is>
      </c>
      <c r="F1836" s="156" t="n">
        <v>4</v>
      </c>
      <c r="G1836" s="156" t="inlineStr"/>
      <c r="H1836" s="157">
        <f>IF($B1836="","",IF(ISNA(MATCH($B1836,MASTER_JAM!$Q$5:$Q$28,0)),"?",IF(MATCH($B1836,MASTER_JAM!$Q$5:$Q$28,0)&lt;=12,"DS","NS")))</f>
        <v/>
      </c>
      <c r="I1836" s="157">
        <f>IFERROR(INDEX(MASTER_JAM!$B$5:$B$94,MATCH($C1836,MASTER_JAM!$A$5:$A$94,0)),"")</f>
        <v/>
      </c>
      <c r="J1836" s="157">
        <f>IFERROR(INDEX(MASTER_JAM!$E$5:$E$94,MATCH($D1836,MASTER_JAM!$A$5:$A$94,0)),"")</f>
        <v/>
      </c>
      <c r="K1836" s="158">
        <f>IFERROR(INDEX(MASTER_JAM!$J$5:$O$12,MATCH($E1836,MASTER_JAM!$I$5:$I$12,0),MATCH($J1836,MASTER_JAM!$J$4:$O$4,0))+0,0)</f>
        <v/>
      </c>
      <c r="L1836" s="159">
        <f>N($F1836)*$K1836</f>
        <v/>
      </c>
      <c r="M1836" s="157">
        <f>IF($E1836="","",IF(OR($E1836="Coal",$E1836="Dirty Coal"),"MT","BCM"))</f>
        <v/>
      </c>
      <c r="N1836" s="157">
        <f>IF($E1836="","",IF(OR($E1836="Coal",$E1836="Dirty Coal"),"Coal","OB"))</f>
        <v/>
      </c>
      <c r="O1836" s="157">
        <f>IF($F1836="","",IF(COUNTIF(MASTER_JAM!$A$5:$A$94,$C1836)=0,"Digger tidak dikenal",IF($J1836="","Hauler tidak dikenal",IF($H1836="?","Jam salah",IF($K1836=0,"Faktor kosong",IF(SUMIFS(INPUT_DELAY!$E$5:$E$20000,INPUT_DELAY!$A$5:$A$20000,$A1836,INPUT_DELAY!$B$5:$B$20000,$B1836,INPUT_DELAY!$C$5:$C$20000,$C1836)+SUMIFS(INPUT_DELAY!$E$5:$E$20000,INPUT_DELAY!$A$5:$A$20000,$A1836,INPUT_DELAY!$B$5:$B$20000,$B1836,INPUT_DELAY!$C$5:$C$20000,"SEMUA")&gt;=60,"Delay 60 mnt tapi ada ritase","OK"))))))</f>
        <v/>
      </c>
      <c r="P1836" s="158">
        <f>IFERROR(INDEX(MASTER_JAM!$Z$5:$AC$10,MATCH($I1836,MASTER_JAM!$Y$5:$Y$10,0),MATCH($J1836,MASTER_JAM!$Z$4:$AC$4,0))+0,0)</f>
        <v/>
      </c>
      <c r="Q1836" s="158">
        <f>IF($P1836=0,0,$P1836+IFERROR(INDEX(MASTER_JAM!$H$5:$H$94,MATCH($C1836,MASTER_JAM!$A$5:$A$94,0))+0,MASTER_JAM!$AC$15)/1000*(60/MASTER_JAM!$AC$12+60/MASTER_JAM!$AC$13)+MASTER_JAM!$AC$14)</f>
        <v/>
      </c>
      <c r="R1836" s="158">
        <f>IF(N($F1836)=0,0,$F1836/SUMIFS(INPUT_RITASE!$F$5:$F$20000,INPUT_RITASE!$A$5:$A$20000,$A1836,INPUT_RITASE!$B$5:$B$20000,$B1836,INPUT_RITASE!$C$5:$C$20000,$C1836,INPUT_RITASE!$D$5:$D$20000,$D1836))</f>
        <v/>
      </c>
      <c r="S1836" s="158">
        <f>IF($Q1836=0,0,$R1836*$P1836/$Q1836)</f>
        <v/>
      </c>
    </row>
    <row r="1837">
      <c r="A1837" s="155" t="n">
        <v>46110</v>
      </c>
      <c r="B1837" s="156" t="inlineStr">
        <is>
          <t>23-24</t>
        </is>
      </c>
      <c r="C1837" s="156" t="inlineStr">
        <is>
          <t>EX-754</t>
        </is>
      </c>
      <c r="D1837" s="156" t="inlineStr">
        <is>
          <t>DT-505</t>
        </is>
      </c>
      <c r="E1837" s="156" t="inlineStr">
        <is>
          <t>OB</t>
        </is>
      </c>
      <c r="F1837" s="156" t="n">
        <v>4</v>
      </c>
      <c r="G1837" s="156" t="inlineStr"/>
      <c r="H1837" s="157">
        <f>IF($B1837="","",IF(ISNA(MATCH($B1837,MASTER_JAM!$Q$5:$Q$28,0)),"?",IF(MATCH($B1837,MASTER_JAM!$Q$5:$Q$28,0)&lt;=12,"DS","NS")))</f>
        <v/>
      </c>
      <c r="I1837" s="157">
        <f>IFERROR(INDEX(MASTER_JAM!$B$5:$B$94,MATCH($C1837,MASTER_JAM!$A$5:$A$94,0)),"")</f>
        <v/>
      </c>
      <c r="J1837" s="157">
        <f>IFERROR(INDEX(MASTER_JAM!$E$5:$E$94,MATCH($D1837,MASTER_JAM!$A$5:$A$94,0)),"")</f>
        <v/>
      </c>
      <c r="K1837" s="158">
        <f>IFERROR(INDEX(MASTER_JAM!$J$5:$O$12,MATCH($E1837,MASTER_JAM!$I$5:$I$12,0),MATCH($J1837,MASTER_JAM!$J$4:$O$4,0))+0,0)</f>
        <v/>
      </c>
      <c r="L1837" s="159">
        <f>N($F1837)*$K1837</f>
        <v/>
      </c>
      <c r="M1837" s="157">
        <f>IF($E1837="","",IF(OR($E1837="Coal",$E1837="Dirty Coal"),"MT","BCM"))</f>
        <v/>
      </c>
      <c r="N1837" s="157">
        <f>IF($E1837="","",IF(OR($E1837="Coal",$E1837="Dirty Coal"),"Coal","OB"))</f>
        <v/>
      </c>
      <c r="O1837" s="157">
        <f>IF($F1837="","",IF(COUNTIF(MASTER_JAM!$A$5:$A$94,$C1837)=0,"Digger tidak dikenal",IF($J1837="","Hauler tidak dikenal",IF($H1837="?","Jam salah",IF($K1837=0,"Faktor kosong",IF(SUMIFS(INPUT_DELAY!$E$5:$E$20000,INPUT_DELAY!$A$5:$A$20000,$A1837,INPUT_DELAY!$B$5:$B$20000,$B1837,INPUT_DELAY!$C$5:$C$20000,$C1837)+SUMIFS(INPUT_DELAY!$E$5:$E$20000,INPUT_DELAY!$A$5:$A$20000,$A1837,INPUT_DELAY!$B$5:$B$20000,$B1837,INPUT_DELAY!$C$5:$C$20000,"SEMUA")&gt;=60,"Delay 60 mnt tapi ada ritase","OK"))))))</f>
        <v/>
      </c>
      <c r="P1837" s="158">
        <f>IFERROR(INDEX(MASTER_JAM!$Z$5:$AC$10,MATCH($I1837,MASTER_JAM!$Y$5:$Y$10,0),MATCH($J1837,MASTER_JAM!$Z$4:$AC$4,0))+0,0)</f>
        <v/>
      </c>
      <c r="Q1837" s="158">
        <f>IF($P1837=0,0,$P1837+IFERROR(INDEX(MASTER_JAM!$H$5:$H$94,MATCH($C1837,MASTER_JAM!$A$5:$A$94,0))+0,MASTER_JAM!$AC$15)/1000*(60/MASTER_JAM!$AC$12+60/MASTER_JAM!$AC$13)+MASTER_JAM!$AC$14)</f>
        <v/>
      </c>
      <c r="R1837" s="158">
        <f>IF(N($F1837)=0,0,$F1837/SUMIFS(INPUT_RITASE!$F$5:$F$20000,INPUT_RITASE!$A$5:$A$20000,$A1837,INPUT_RITASE!$B$5:$B$20000,$B1837,INPUT_RITASE!$C$5:$C$20000,$C1837,INPUT_RITASE!$D$5:$D$20000,$D1837))</f>
        <v/>
      </c>
      <c r="S1837" s="158">
        <f>IF($Q1837=0,0,$R1837*$P1837/$Q1837)</f>
        <v/>
      </c>
    </row>
    <row r="1838">
      <c r="A1838" s="155" t="n">
        <v>46110</v>
      </c>
      <c r="B1838" s="156" t="inlineStr">
        <is>
          <t>23-24</t>
        </is>
      </c>
      <c r="C1838" s="156" t="inlineStr">
        <is>
          <t>EX-754</t>
        </is>
      </c>
      <c r="D1838" s="156" t="inlineStr">
        <is>
          <t>DT-502</t>
        </is>
      </c>
      <c r="E1838" s="156" t="inlineStr">
        <is>
          <t>OB</t>
        </is>
      </c>
      <c r="F1838" s="156" t="n">
        <v>3</v>
      </c>
      <c r="G1838" s="156" t="inlineStr"/>
      <c r="H1838" s="157">
        <f>IF($B1838="","",IF(ISNA(MATCH($B1838,MASTER_JAM!$Q$5:$Q$28,0)),"?",IF(MATCH($B1838,MASTER_JAM!$Q$5:$Q$28,0)&lt;=12,"DS","NS")))</f>
        <v/>
      </c>
      <c r="I1838" s="157">
        <f>IFERROR(INDEX(MASTER_JAM!$B$5:$B$94,MATCH($C1838,MASTER_JAM!$A$5:$A$94,0)),"")</f>
        <v/>
      </c>
      <c r="J1838" s="157">
        <f>IFERROR(INDEX(MASTER_JAM!$E$5:$E$94,MATCH($D1838,MASTER_JAM!$A$5:$A$94,0)),"")</f>
        <v/>
      </c>
      <c r="K1838" s="158">
        <f>IFERROR(INDEX(MASTER_JAM!$J$5:$O$12,MATCH($E1838,MASTER_JAM!$I$5:$I$12,0),MATCH($J1838,MASTER_JAM!$J$4:$O$4,0))+0,0)</f>
        <v/>
      </c>
      <c r="L1838" s="159">
        <f>N($F1838)*$K1838</f>
        <v/>
      </c>
      <c r="M1838" s="157">
        <f>IF($E1838="","",IF(OR($E1838="Coal",$E1838="Dirty Coal"),"MT","BCM"))</f>
        <v/>
      </c>
      <c r="N1838" s="157">
        <f>IF($E1838="","",IF(OR($E1838="Coal",$E1838="Dirty Coal"),"Coal","OB"))</f>
        <v/>
      </c>
      <c r="O1838" s="157">
        <f>IF($F1838="","",IF(COUNTIF(MASTER_JAM!$A$5:$A$94,$C1838)=0,"Digger tidak dikenal",IF($J1838="","Hauler tidak dikenal",IF($H1838="?","Jam salah",IF($K1838=0,"Faktor kosong",IF(SUMIFS(INPUT_DELAY!$E$5:$E$20000,INPUT_DELAY!$A$5:$A$20000,$A1838,INPUT_DELAY!$B$5:$B$20000,$B1838,INPUT_DELAY!$C$5:$C$20000,$C1838)+SUMIFS(INPUT_DELAY!$E$5:$E$20000,INPUT_DELAY!$A$5:$A$20000,$A1838,INPUT_DELAY!$B$5:$B$20000,$B1838,INPUT_DELAY!$C$5:$C$20000,"SEMUA")&gt;=60,"Delay 60 mnt tapi ada ritase","OK"))))))</f>
        <v/>
      </c>
      <c r="P1838" s="158">
        <f>IFERROR(INDEX(MASTER_JAM!$Z$5:$AC$10,MATCH($I1838,MASTER_JAM!$Y$5:$Y$10,0),MATCH($J1838,MASTER_JAM!$Z$4:$AC$4,0))+0,0)</f>
        <v/>
      </c>
      <c r="Q1838" s="158">
        <f>IF($P1838=0,0,$P1838+IFERROR(INDEX(MASTER_JAM!$H$5:$H$94,MATCH($C1838,MASTER_JAM!$A$5:$A$94,0))+0,MASTER_JAM!$AC$15)/1000*(60/MASTER_JAM!$AC$12+60/MASTER_JAM!$AC$13)+MASTER_JAM!$AC$14)</f>
        <v/>
      </c>
      <c r="R1838" s="158">
        <f>IF(N($F1838)=0,0,$F1838/SUMIFS(INPUT_RITASE!$F$5:$F$20000,INPUT_RITASE!$A$5:$A$20000,$A1838,INPUT_RITASE!$B$5:$B$20000,$B1838,INPUT_RITASE!$C$5:$C$20000,$C1838,INPUT_RITASE!$D$5:$D$20000,$D1838))</f>
        <v/>
      </c>
      <c r="S1838" s="158">
        <f>IF($Q1838=0,0,$R1838*$P1838/$Q1838)</f>
        <v/>
      </c>
    </row>
    <row r="1839">
      <c r="A1839" s="155" t="n">
        <v>46110</v>
      </c>
      <c r="B1839" s="156" t="inlineStr">
        <is>
          <t>23-24</t>
        </is>
      </c>
      <c r="C1839" s="156" t="inlineStr">
        <is>
          <t>EX-754</t>
        </is>
      </c>
      <c r="D1839" s="156" t="inlineStr">
        <is>
          <t>DT-529</t>
        </is>
      </c>
      <c r="E1839" s="156" t="inlineStr">
        <is>
          <t>OB</t>
        </is>
      </c>
      <c r="F1839" s="156" t="n">
        <v>3</v>
      </c>
      <c r="G1839" s="156" t="inlineStr"/>
      <c r="H1839" s="157">
        <f>IF($B1839="","",IF(ISNA(MATCH($B1839,MASTER_JAM!$Q$5:$Q$28,0)),"?",IF(MATCH($B1839,MASTER_JAM!$Q$5:$Q$28,0)&lt;=12,"DS","NS")))</f>
        <v/>
      </c>
      <c r="I1839" s="157">
        <f>IFERROR(INDEX(MASTER_JAM!$B$5:$B$94,MATCH($C1839,MASTER_JAM!$A$5:$A$94,0)),"")</f>
        <v/>
      </c>
      <c r="J1839" s="157">
        <f>IFERROR(INDEX(MASTER_JAM!$E$5:$E$94,MATCH($D1839,MASTER_JAM!$A$5:$A$94,0)),"")</f>
        <v/>
      </c>
      <c r="K1839" s="158">
        <f>IFERROR(INDEX(MASTER_JAM!$J$5:$O$12,MATCH($E1839,MASTER_JAM!$I$5:$I$12,0),MATCH($J1839,MASTER_JAM!$J$4:$O$4,0))+0,0)</f>
        <v/>
      </c>
      <c r="L1839" s="159">
        <f>N($F1839)*$K1839</f>
        <v/>
      </c>
      <c r="M1839" s="157">
        <f>IF($E1839="","",IF(OR($E1839="Coal",$E1839="Dirty Coal"),"MT","BCM"))</f>
        <v/>
      </c>
      <c r="N1839" s="157">
        <f>IF($E1839="","",IF(OR($E1839="Coal",$E1839="Dirty Coal"),"Coal","OB"))</f>
        <v/>
      </c>
      <c r="O1839" s="157">
        <f>IF($F1839="","",IF(COUNTIF(MASTER_JAM!$A$5:$A$94,$C1839)=0,"Digger tidak dikenal",IF($J1839="","Hauler tidak dikenal",IF($H1839="?","Jam salah",IF($K1839=0,"Faktor kosong",IF(SUMIFS(INPUT_DELAY!$E$5:$E$20000,INPUT_DELAY!$A$5:$A$20000,$A1839,INPUT_DELAY!$B$5:$B$20000,$B1839,INPUT_DELAY!$C$5:$C$20000,$C1839)+SUMIFS(INPUT_DELAY!$E$5:$E$20000,INPUT_DELAY!$A$5:$A$20000,$A1839,INPUT_DELAY!$B$5:$B$20000,$B1839,INPUT_DELAY!$C$5:$C$20000,"SEMUA")&gt;=60,"Delay 60 mnt tapi ada ritase","OK"))))))</f>
        <v/>
      </c>
      <c r="P1839" s="158">
        <f>IFERROR(INDEX(MASTER_JAM!$Z$5:$AC$10,MATCH($I1839,MASTER_JAM!$Y$5:$Y$10,0),MATCH($J1839,MASTER_JAM!$Z$4:$AC$4,0))+0,0)</f>
        <v/>
      </c>
      <c r="Q1839" s="158">
        <f>IF($P1839=0,0,$P1839+IFERROR(INDEX(MASTER_JAM!$H$5:$H$94,MATCH($C1839,MASTER_JAM!$A$5:$A$94,0))+0,MASTER_JAM!$AC$15)/1000*(60/MASTER_JAM!$AC$12+60/MASTER_JAM!$AC$13)+MASTER_JAM!$AC$14)</f>
        <v/>
      </c>
      <c r="R1839" s="158">
        <f>IF(N($F1839)=0,0,$F1839/SUMIFS(INPUT_RITASE!$F$5:$F$20000,INPUT_RITASE!$A$5:$A$20000,$A1839,INPUT_RITASE!$B$5:$B$20000,$B1839,INPUT_RITASE!$C$5:$C$20000,$C1839,INPUT_RITASE!$D$5:$D$20000,$D1839))</f>
        <v/>
      </c>
      <c r="S1839" s="158">
        <f>IF($Q1839=0,0,$R1839*$P1839/$Q1839)</f>
        <v/>
      </c>
    </row>
    <row r="1840">
      <c r="A1840" s="155" t="n">
        <v>46110</v>
      </c>
      <c r="B1840" s="156" t="inlineStr">
        <is>
          <t>01-02</t>
        </is>
      </c>
      <c r="C1840" s="156" t="inlineStr">
        <is>
          <t>EX-754</t>
        </is>
      </c>
      <c r="D1840" s="156" t="inlineStr">
        <is>
          <t>DT-514</t>
        </is>
      </c>
      <c r="E1840" s="156" t="inlineStr">
        <is>
          <t>OB</t>
        </is>
      </c>
      <c r="F1840" s="156" t="n">
        <v>4</v>
      </c>
      <c r="G1840" s="156" t="inlineStr"/>
      <c r="H1840" s="157">
        <f>IF($B1840="","",IF(ISNA(MATCH($B1840,MASTER_JAM!$Q$5:$Q$28,0)),"?",IF(MATCH($B1840,MASTER_JAM!$Q$5:$Q$28,0)&lt;=12,"DS","NS")))</f>
        <v/>
      </c>
      <c r="I1840" s="157">
        <f>IFERROR(INDEX(MASTER_JAM!$B$5:$B$94,MATCH($C1840,MASTER_JAM!$A$5:$A$94,0)),"")</f>
        <v/>
      </c>
      <c r="J1840" s="157">
        <f>IFERROR(INDEX(MASTER_JAM!$E$5:$E$94,MATCH($D1840,MASTER_JAM!$A$5:$A$94,0)),"")</f>
        <v/>
      </c>
      <c r="K1840" s="158">
        <f>IFERROR(INDEX(MASTER_JAM!$J$5:$O$12,MATCH($E1840,MASTER_JAM!$I$5:$I$12,0),MATCH($J1840,MASTER_JAM!$J$4:$O$4,0))+0,0)</f>
        <v/>
      </c>
      <c r="L1840" s="159">
        <f>N($F1840)*$K1840</f>
        <v/>
      </c>
      <c r="M1840" s="157">
        <f>IF($E1840="","",IF(OR($E1840="Coal",$E1840="Dirty Coal"),"MT","BCM"))</f>
        <v/>
      </c>
      <c r="N1840" s="157">
        <f>IF($E1840="","",IF(OR($E1840="Coal",$E1840="Dirty Coal"),"Coal","OB"))</f>
        <v/>
      </c>
      <c r="O1840" s="157">
        <f>IF($F1840="","",IF(COUNTIF(MASTER_JAM!$A$5:$A$94,$C1840)=0,"Digger tidak dikenal",IF($J1840="","Hauler tidak dikenal",IF($H1840="?","Jam salah",IF($K1840=0,"Faktor kosong",IF(SUMIFS(INPUT_DELAY!$E$5:$E$20000,INPUT_DELAY!$A$5:$A$20000,$A1840,INPUT_DELAY!$B$5:$B$20000,$B1840,INPUT_DELAY!$C$5:$C$20000,$C1840)+SUMIFS(INPUT_DELAY!$E$5:$E$20000,INPUT_DELAY!$A$5:$A$20000,$A1840,INPUT_DELAY!$B$5:$B$20000,$B1840,INPUT_DELAY!$C$5:$C$20000,"SEMUA")&gt;=60,"Delay 60 mnt tapi ada ritase","OK"))))))</f>
        <v/>
      </c>
      <c r="P1840" s="158">
        <f>IFERROR(INDEX(MASTER_JAM!$Z$5:$AC$10,MATCH($I1840,MASTER_JAM!$Y$5:$Y$10,0),MATCH($J1840,MASTER_JAM!$Z$4:$AC$4,0))+0,0)</f>
        <v/>
      </c>
      <c r="Q1840" s="158">
        <f>IF($P1840=0,0,$P1840+IFERROR(INDEX(MASTER_JAM!$H$5:$H$94,MATCH($C1840,MASTER_JAM!$A$5:$A$94,0))+0,MASTER_JAM!$AC$15)/1000*(60/MASTER_JAM!$AC$12+60/MASTER_JAM!$AC$13)+MASTER_JAM!$AC$14)</f>
        <v/>
      </c>
      <c r="R1840" s="158">
        <f>IF(N($F1840)=0,0,$F1840/SUMIFS(INPUT_RITASE!$F$5:$F$20000,INPUT_RITASE!$A$5:$A$20000,$A1840,INPUT_RITASE!$B$5:$B$20000,$B1840,INPUT_RITASE!$C$5:$C$20000,$C1840,INPUT_RITASE!$D$5:$D$20000,$D1840))</f>
        <v/>
      </c>
      <c r="S1840" s="158">
        <f>IF($Q1840=0,0,$R1840*$P1840/$Q1840)</f>
        <v/>
      </c>
    </row>
    <row r="1841">
      <c r="A1841" s="155" t="n">
        <v>46110</v>
      </c>
      <c r="B1841" s="156" t="inlineStr">
        <is>
          <t>01-02</t>
        </is>
      </c>
      <c r="C1841" s="156" t="inlineStr">
        <is>
          <t>EX-754</t>
        </is>
      </c>
      <c r="D1841" s="156" t="inlineStr">
        <is>
          <t>DT-507</t>
        </is>
      </c>
      <c r="E1841" s="156" t="inlineStr">
        <is>
          <t>OB</t>
        </is>
      </c>
      <c r="F1841" s="156" t="n">
        <v>3</v>
      </c>
      <c r="G1841" s="156" t="inlineStr"/>
      <c r="H1841" s="157">
        <f>IF($B1841="","",IF(ISNA(MATCH($B1841,MASTER_JAM!$Q$5:$Q$28,0)),"?",IF(MATCH($B1841,MASTER_JAM!$Q$5:$Q$28,0)&lt;=12,"DS","NS")))</f>
        <v/>
      </c>
      <c r="I1841" s="157">
        <f>IFERROR(INDEX(MASTER_JAM!$B$5:$B$94,MATCH($C1841,MASTER_JAM!$A$5:$A$94,0)),"")</f>
        <v/>
      </c>
      <c r="J1841" s="157">
        <f>IFERROR(INDEX(MASTER_JAM!$E$5:$E$94,MATCH($D1841,MASTER_JAM!$A$5:$A$94,0)),"")</f>
        <v/>
      </c>
      <c r="K1841" s="158">
        <f>IFERROR(INDEX(MASTER_JAM!$J$5:$O$12,MATCH($E1841,MASTER_JAM!$I$5:$I$12,0),MATCH($J1841,MASTER_JAM!$J$4:$O$4,0))+0,0)</f>
        <v/>
      </c>
      <c r="L1841" s="159">
        <f>N($F1841)*$K1841</f>
        <v/>
      </c>
      <c r="M1841" s="157">
        <f>IF($E1841="","",IF(OR($E1841="Coal",$E1841="Dirty Coal"),"MT","BCM"))</f>
        <v/>
      </c>
      <c r="N1841" s="157">
        <f>IF($E1841="","",IF(OR($E1841="Coal",$E1841="Dirty Coal"),"Coal","OB"))</f>
        <v/>
      </c>
      <c r="O1841" s="157">
        <f>IF($F1841="","",IF(COUNTIF(MASTER_JAM!$A$5:$A$94,$C1841)=0,"Digger tidak dikenal",IF($J1841="","Hauler tidak dikenal",IF($H1841="?","Jam salah",IF($K1841=0,"Faktor kosong",IF(SUMIFS(INPUT_DELAY!$E$5:$E$20000,INPUT_DELAY!$A$5:$A$20000,$A1841,INPUT_DELAY!$B$5:$B$20000,$B1841,INPUT_DELAY!$C$5:$C$20000,$C1841)+SUMIFS(INPUT_DELAY!$E$5:$E$20000,INPUT_DELAY!$A$5:$A$20000,$A1841,INPUT_DELAY!$B$5:$B$20000,$B1841,INPUT_DELAY!$C$5:$C$20000,"SEMUA")&gt;=60,"Delay 60 mnt tapi ada ritase","OK"))))))</f>
        <v/>
      </c>
      <c r="P1841" s="158">
        <f>IFERROR(INDEX(MASTER_JAM!$Z$5:$AC$10,MATCH($I1841,MASTER_JAM!$Y$5:$Y$10,0),MATCH($J1841,MASTER_JAM!$Z$4:$AC$4,0))+0,0)</f>
        <v/>
      </c>
      <c r="Q1841" s="158">
        <f>IF($P1841=0,0,$P1841+IFERROR(INDEX(MASTER_JAM!$H$5:$H$94,MATCH($C1841,MASTER_JAM!$A$5:$A$94,0))+0,MASTER_JAM!$AC$15)/1000*(60/MASTER_JAM!$AC$12+60/MASTER_JAM!$AC$13)+MASTER_JAM!$AC$14)</f>
        <v/>
      </c>
      <c r="R1841" s="158">
        <f>IF(N($F1841)=0,0,$F1841/SUMIFS(INPUT_RITASE!$F$5:$F$20000,INPUT_RITASE!$A$5:$A$20000,$A1841,INPUT_RITASE!$B$5:$B$20000,$B1841,INPUT_RITASE!$C$5:$C$20000,$C1841,INPUT_RITASE!$D$5:$D$20000,$D1841))</f>
        <v/>
      </c>
      <c r="S1841" s="158">
        <f>IF($Q1841=0,0,$R1841*$P1841/$Q1841)</f>
        <v/>
      </c>
    </row>
    <row r="1842">
      <c r="A1842" s="155" t="n">
        <v>46110</v>
      </c>
      <c r="B1842" s="156" t="inlineStr">
        <is>
          <t>02-03</t>
        </is>
      </c>
      <c r="C1842" s="156" t="inlineStr">
        <is>
          <t>EX-754</t>
        </is>
      </c>
      <c r="D1842" s="156" t="inlineStr">
        <is>
          <t>DT-518</t>
        </is>
      </c>
      <c r="E1842" s="156" t="inlineStr">
        <is>
          <t>Coal</t>
        </is>
      </c>
      <c r="F1842" s="156" t="n">
        <v>4</v>
      </c>
      <c r="G1842" s="156" t="inlineStr"/>
      <c r="H1842" s="157">
        <f>IF($B1842="","",IF(ISNA(MATCH($B1842,MASTER_JAM!$Q$5:$Q$28,0)),"?",IF(MATCH($B1842,MASTER_JAM!$Q$5:$Q$28,0)&lt;=12,"DS","NS")))</f>
        <v/>
      </c>
      <c r="I1842" s="157">
        <f>IFERROR(INDEX(MASTER_JAM!$B$5:$B$94,MATCH($C1842,MASTER_JAM!$A$5:$A$94,0)),"")</f>
        <v/>
      </c>
      <c r="J1842" s="157">
        <f>IFERROR(INDEX(MASTER_JAM!$E$5:$E$94,MATCH($D1842,MASTER_JAM!$A$5:$A$94,0)),"")</f>
        <v/>
      </c>
      <c r="K1842" s="158">
        <f>IFERROR(INDEX(MASTER_JAM!$J$5:$O$12,MATCH($E1842,MASTER_JAM!$I$5:$I$12,0),MATCH($J1842,MASTER_JAM!$J$4:$O$4,0))+0,0)</f>
        <v/>
      </c>
      <c r="L1842" s="159">
        <f>N($F1842)*$K1842</f>
        <v/>
      </c>
      <c r="M1842" s="157">
        <f>IF($E1842="","",IF(OR($E1842="Coal",$E1842="Dirty Coal"),"MT","BCM"))</f>
        <v/>
      </c>
      <c r="N1842" s="157">
        <f>IF($E1842="","",IF(OR($E1842="Coal",$E1842="Dirty Coal"),"Coal","OB"))</f>
        <v/>
      </c>
      <c r="O1842" s="157">
        <f>IF($F1842="","",IF(COUNTIF(MASTER_JAM!$A$5:$A$94,$C1842)=0,"Digger tidak dikenal",IF($J1842="","Hauler tidak dikenal",IF($H1842="?","Jam salah",IF($K1842=0,"Faktor kosong",IF(SUMIFS(INPUT_DELAY!$E$5:$E$20000,INPUT_DELAY!$A$5:$A$20000,$A1842,INPUT_DELAY!$B$5:$B$20000,$B1842,INPUT_DELAY!$C$5:$C$20000,$C1842)+SUMIFS(INPUT_DELAY!$E$5:$E$20000,INPUT_DELAY!$A$5:$A$20000,$A1842,INPUT_DELAY!$B$5:$B$20000,$B1842,INPUT_DELAY!$C$5:$C$20000,"SEMUA")&gt;=60,"Delay 60 mnt tapi ada ritase","OK"))))))</f>
        <v/>
      </c>
      <c r="P1842" s="158">
        <f>IFERROR(INDEX(MASTER_JAM!$Z$5:$AC$10,MATCH($I1842,MASTER_JAM!$Y$5:$Y$10,0),MATCH($J1842,MASTER_JAM!$Z$4:$AC$4,0))+0,0)</f>
        <v/>
      </c>
      <c r="Q1842" s="158">
        <f>IF($P1842=0,0,$P1842+IFERROR(INDEX(MASTER_JAM!$H$5:$H$94,MATCH($C1842,MASTER_JAM!$A$5:$A$94,0))+0,MASTER_JAM!$AC$15)/1000*(60/MASTER_JAM!$AC$12+60/MASTER_JAM!$AC$13)+MASTER_JAM!$AC$14)</f>
        <v/>
      </c>
      <c r="R1842" s="158">
        <f>IF(N($F1842)=0,0,$F1842/SUMIFS(INPUT_RITASE!$F$5:$F$20000,INPUT_RITASE!$A$5:$A$20000,$A1842,INPUT_RITASE!$B$5:$B$20000,$B1842,INPUT_RITASE!$C$5:$C$20000,$C1842,INPUT_RITASE!$D$5:$D$20000,$D1842))</f>
        <v/>
      </c>
      <c r="S1842" s="158">
        <f>IF($Q1842=0,0,$R1842*$P1842/$Q1842)</f>
        <v/>
      </c>
    </row>
    <row r="1843">
      <c r="A1843" s="155" t="n">
        <v>46110</v>
      </c>
      <c r="B1843" s="156" t="inlineStr">
        <is>
          <t>02-03</t>
        </is>
      </c>
      <c r="C1843" s="156" t="inlineStr">
        <is>
          <t>EX-754</t>
        </is>
      </c>
      <c r="D1843" s="156" t="inlineStr">
        <is>
          <t>DT-516</t>
        </is>
      </c>
      <c r="E1843" s="156" t="inlineStr">
        <is>
          <t>Coal</t>
        </is>
      </c>
      <c r="F1843" s="156" t="n">
        <v>3</v>
      </c>
      <c r="G1843" s="156" t="inlineStr"/>
      <c r="H1843" s="157">
        <f>IF($B1843="","",IF(ISNA(MATCH($B1843,MASTER_JAM!$Q$5:$Q$28,0)),"?",IF(MATCH($B1843,MASTER_JAM!$Q$5:$Q$28,0)&lt;=12,"DS","NS")))</f>
        <v/>
      </c>
      <c r="I1843" s="157">
        <f>IFERROR(INDEX(MASTER_JAM!$B$5:$B$94,MATCH($C1843,MASTER_JAM!$A$5:$A$94,0)),"")</f>
        <v/>
      </c>
      <c r="J1843" s="157">
        <f>IFERROR(INDEX(MASTER_JAM!$E$5:$E$94,MATCH($D1843,MASTER_JAM!$A$5:$A$94,0)),"")</f>
        <v/>
      </c>
      <c r="K1843" s="158">
        <f>IFERROR(INDEX(MASTER_JAM!$J$5:$O$12,MATCH($E1843,MASTER_JAM!$I$5:$I$12,0),MATCH($J1843,MASTER_JAM!$J$4:$O$4,0))+0,0)</f>
        <v/>
      </c>
      <c r="L1843" s="159">
        <f>N($F1843)*$K1843</f>
        <v/>
      </c>
      <c r="M1843" s="157">
        <f>IF($E1843="","",IF(OR($E1843="Coal",$E1843="Dirty Coal"),"MT","BCM"))</f>
        <v/>
      </c>
      <c r="N1843" s="157">
        <f>IF($E1843="","",IF(OR($E1843="Coal",$E1843="Dirty Coal"),"Coal","OB"))</f>
        <v/>
      </c>
      <c r="O1843" s="157">
        <f>IF($F1843="","",IF(COUNTIF(MASTER_JAM!$A$5:$A$94,$C1843)=0,"Digger tidak dikenal",IF($J1843="","Hauler tidak dikenal",IF($H1843="?","Jam salah",IF($K1843=0,"Faktor kosong",IF(SUMIFS(INPUT_DELAY!$E$5:$E$20000,INPUT_DELAY!$A$5:$A$20000,$A1843,INPUT_DELAY!$B$5:$B$20000,$B1843,INPUT_DELAY!$C$5:$C$20000,$C1843)+SUMIFS(INPUT_DELAY!$E$5:$E$20000,INPUT_DELAY!$A$5:$A$20000,$A1843,INPUT_DELAY!$B$5:$B$20000,$B1843,INPUT_DELAY!$C$5:$C$20000,"SEMUA")&gt;=60,"Delay 60 mnt tapi ada ritase","OK"))))))</f>
        <v/>
      </c>
      <c r="P1843" s="158">
        <f>IFERROR(INDEX(MASTER_JAM!$Z$5:$AC$10,MATCH($I1843,MASTER_JAM!$Y$5:$Y$10,0),MATCH($J1843,MASTER_JAM!$Z$4:$AC$4,0))+0,0)</f>
        <v/>
      </c>
      <c r="Q1843" s="158">
        <f>IF($P1843=0,0,$P1843+IFERROR(INDEX(MASTER_JAM!$H$5:$H$94,MATCH($C1843,MASTER_JAM!$A$5:$A$94,0))+0,MASTER_JAM!$AC$15)/1000*(60/MASTER_JAM!$AC$12+60/MASTER_JAM!$AC$13)+MASTER_JAM!$AC$14)</f>
        <v/>
      </c>
      <c r="R1843" s="158">
        <f>IF(N($F1843)=0,0,$F1843/SUMIFS(INPUT_RITASE!$F$5:$F$20000,INPUT_RITASE!$A$5:$A$20000,$A1843,INPUT_RITASE!$B$5:$B$20000,$B1843,INPUT_RITASE!$C$5:$C$20000,$C1843,INPUT_RITASE!$D$5:$D$20000,$D1843))</f>
        <v/>
      </c>
      <c r="S1843" s="158">
        <f>IF($Q1843=0,0,$R1843*$P1843/$Q1843)</f>
        <v/>
      </c>
    </row>
    <row r="1844">
      <c r="A1844" s="155" t="n">
        <v>46110</v>
      </c>
      <c r="B1844" s="156" t="inlineStr">
        <is>
          <t>02-03</t>
        </is>
      </c>
      <c r="C1844" s="156" t="inlineStr">
        <is>
          <t>EX-754</t>
        </is>
      </c>
      <c r="D1844" s="156" t="inlineStr">
        <is>
          <t>DT-522</t>
        </is>
      </c>
      <c r="E1844" s="156" t="inlineStr">
        <is>
          <t>Coal</t>
        </is>
      </c>
      <c r="F1844" s="156" t="n">
        <v>3</v>
      </c>
      <c r="G1844" s="156" t="inlineStr"/>
      <c r="H1844" s="157">
        <f>IF($B1844="","",IF(ISNA(MATCH($B1844,MASTER_JAM!$Q$5:$Q$28,0)),"?",IF(MATCH($B1844,MASTER_JAM!$Q$5:$Q$28,0)&lt;=12,"DS","NS")))</f>
        <v/>
      </c>
      <c r="I1844" s="157">
        <f>IFERROR(INDEX(MASTER_JAM!$B$5:$B$94,MATCH($C1844,MASTER_JAM!$A$5:$A$94,0)),"")</f>
        <v/>
      </c>
      <c r="J1844" s="157">
        <f>IFERROR(INDEX(MASTER_JAM!$E$5:$E$94,MATCH($D1844,MASTER_JAM!$A$5:$A$94,0)),"")</f>
        <v/>
      </c>
      <c r="K1844" s="158">
        <f>IFERROR(INDEX(MASTER_JAM!$J$5:$O$12,MATCH($E1844,MASTER_JAM!$I$5:$I$12,0),MATCH($J1844,MASTER_JAM!$J$4:$O$4,0))+0,0)</f>
        <v/>
      </c>
      <c r="L1844" s="159">
        <f>N($F1844)*$K1844</f>
        <v/>
      </c>
      <c r="M1844" s="157">
        <f>IF($E1844="","",IF(OR($E1844="Coal",$E1844="Dirty Coal"),"MT","BCM"))</f>
        <v/>
      </c>
      <c r="N1844" s="157">
        <f>IF($E1844="","",IF(OR($E1844="Coal",$E1844="Dirty Coal"),"Coal","OB"))</f>
        <v/>
      </c>
      <c r="O1844" s="157">
        <f>IF($F1844="","",IF(COUNTIF(MASTER_JAM!$A$5:$A$94,$C1844)=0,"Digger tidak dikenal",IF($J1844="","Hauler tidak dikenal",IF($H1844="?","Jam salah",IF($K1844=0,"Faktor kosong",IF(SUMIFS(INPUT_DELAY!$E$5:$E$20000,INPUT_DELAY!$A$5:$A$20000,$A1844,INPUT_DELAY!$B$5:$B$20000,$B1844,INPUT_DELAY!$C$5:$C$20000,$C1844)+SUMIFS(INPUT_DELAY!$E$5:$E$20000,INPUT_DELAY!$A$5:$A$20000,$A1844,INPUT_DELAY!$B$5:$B$20000,$B1844,INPUT_DELAY!$C$5:$C$20000,"SEMUA")&gt;=60,"Delay 60 mnt tapi ada ritase","OK"))))))</f>
        <v/>
      </c>
      <c r="P1844" s="158">
        <f>IFERROR(INDEX(MASTER_JAM!$Z$5:$AC$10,MATCH($I1844,MASTER_JAM!$Y$5:$Y$10,0),MATCH($J1844,MASTER_JAM!$Z$4:$AC$4,0))+0,0)</f>
        <v/>
      </c>
      <c r="Q1844" s="158">
        <f>IF($P1844=0,0,$P1844+IFERROR(INDEX(MASTER_JAM!$H$5:$H$94,MATCH($C1844,MASTER_JAM!$A$5:$A$94,0))+0,MASTER_JAM!$AC$15)/1000*(60/MASTER_JAM!$AC$12+60/MASTER_JAM!$AC$13)+MASTER_JAM!$AC$14)</f>
        <v/>
      </c>
      <c r="R1844" s="158">
        <f>IF(N($F1844)=0,0,$F1844/SUMIFS(INPUT_RITASE!$F$5:$F$20000,INPUT_RITASE!$A$5:$A$20000,$A1844,INPUT_RITASE!$B$5:$B$20000,$B1844,INPUT_RITASE!$C$5:$C$20000,$C1844,INPUT_RITASE!$D$5:$D$20000,$D1844))</f>
        <v/>
      </c>
      <c r="S1844" s="158">
        <f>IF($Q1844=0,0,$R1844*$P1844/$Q1844)</f>
        <v/>
      </c>
    </row>
    <row r="1845">
      <c r="A1845" s="155" t="n">
        <v>46110</v>
      </c>
      <c r="B1845" s="156" t="inlineStr">
        <is>
          <t>02-03</t>
        </is>
      </c>
      <c r="C1845" s="156" t="inlineStr">
        <is>
          <t>EX-754</t>
        </is>
      </c>
      <c r="D1845" s="156" t="inlineStr">
        <is>
          <t>DT-526</t>
        </is>
      </c>
      <c r="E1845" s="156" t="inlineStr">
        <is>
          <t>Coal</t>
        </is>
      </c>
      <c r="F1845" s="156" t="n">
        <v>3</v>
      </c>
      <c r="G1845" s="156" t="inlineStr"/>
      <c r="H1845" s="157">
        <f>IF($B1845="","",IF(ISNA(MATCH($B1845,MASTER_JAM!$Q$5:$Q$28,0)),"?",IF(MATCH($B1845,MASTER_JAM!$Q$5:$Q$28,0)&lt;=12,"DS","NS")))</f>
        <v/>
      </c>
      <c r="I1845" s="157">
        <f>IFERROR(INDEX(MASTER_JAM!$B$5:$B$94,MATCH($C1845,MASTER_JAM!$A$5:$A$94,0)),"")</f>
        <v/>
      </c>
      <c r="J1845" s="157">
        <f>IFERROR(INDEX(MASTER_JAM!$E$5:$E$94,MATCH($D1845,MASTER_JAM!$A$5:$A$94,0)),"")</f>
        <v/>
      </c>
      <c r="K1845" s="158">
        <f>IFERROR(INDEX(MASTER_JAM!$J$5:$O$12,MATCH($E1845,MASTER_JAM!$I$5:$I$12,0),MATCH($J1845,MASTER_JAM!$J$4:$O$4,0))+0,0)</f>
        <v/>
      </c>
      <c r="L1845" s="159">
        <f>N($F1845)*$K1845</f>
        <v/>
      </c>
      <c r="M1845" s="157">
        <f>IF($E1845="","",IF(OR($E1845="Coal",$E1845="Dirty Coal"),"MT","BCM"))</f>
        <v/>
      </c>
      <c r="N1845" s="157">
        <f>IF($E1845="","",IF(OR($E1845="Coal",$E1845="Dirty Coal"),"Coal","OB"))</f>
        <v/>
      </c>
      <c r="O1845" s="157">
        <f>IF($F1845="","",IF(COUNTIF(MASTER_JAM!$A$5:$A$94,$C1845)=0,"Digger tidak dikenal",IF($J1845="","Hauler tidak dikenal",IF($H1845="?","Jam salah",IF($K1845=0,"Faktor kosong",IF(SUMIFS(INPUT_DELAY!$E$5:$E$20000,INPUT_DELAY!$A$5:$A$20000,$A1845,INPUT_DELAY!$B$5:$B$20000,$B1845,INPUT_DELAY!$C$5:$C$20000,$C1845)+SUMIFS(INPUT_DELAY!$E$5:$E$20000,INPUT_DELAY!$A$5:$A$20000,$A1845,INPUT_DELAY!$B$5:$B$20000,$B1845,INPUT_DELAY!$C$5:$C$20000,"SEMUA")&gt;=60,"Delay 60 mnt tapi ada ritase","OK"))))))</f>
        <v/>
      </c>
      <c r="P1845" s="158">
        <f>IFERROR(INDEX(MASTER_JAM!$Z$5:$AC$10,MATCH($I1845,MASTER_JAM!$Y$5:$Y$10,0),MATCH($J1845,MASTER_JAM!$Z$4:$AC$4,0))+0,0)</f>
        <v/>
      </c>
      <c r="Q1845" s="158">
        <f>IF($P1845=0,0,$P1845+IFERROR(INDEX(MASTER_JAM!$H$5:$H$94,MATCH($C1845,MASTER_JAM!$A$5:$A$94,0))+0,MASTER_JAM!$AC$15)/1000*(60/MASTER_JAM!$AC$12+60/MASTER_JAM!$AC$13)+MASTER_JAM!$AC$14)</f>
        <v/>
      </c>
      <c r="R1845" s="158">
        <f>IF(N($F1845)=0,0,$F1845/SUMIFS(INPUT_RITASE!$F$5:$F$20000,INPUT_RITASE!$A$5:$A$20000,$A1845,INPUT_RITASE!$B$5:$B$20000,$B1845,INPUT_RITASE!$C$5:$C$20000,$C1845,INPUT_RITASE!$D$5:$D$20000,$D1845))</f>
        <v/>
      </c>
      <c r="S1845" s="158">
        <f>IF($Q1845=0,0,$R1845*$P1845/$Q1845)</f>
        <v/>
      </c>
    </row>
    <row r="1846">
      <c r="A1846" s="155" t="n">
        <v>46110</v>
      </c>
      <c r="B1846" s="156" t="inlineStr">
        <is>
          <t>03-04</t>
        </is>
      </c>
      <c r="C1846" s="156" t="inlineStr">
        <is>
          <t>EX-754</t>
        </is>
      </c>
      <c r="D1846" s="156" t="inlineStr">
        <is>
          <t>DT-515</t>
        </is>
      </c>
      <c r="E1846" s="156" t="inlineStr">
        <is>
          <t>Coal</t>
        </is>
      </c>
      <c r="F1846" s="156" t="n">
        <v>4</v>
      </c>
      <c r="G1846" s="156" t="inlineStr"/>
      <c r="H1846" s="157">
        <f>IF($B1846="","",IF(ISNA(MATCH($B1846,MASTER_JAM!$Q$5:$Q$28,0)),"?",IF(MATCH($B1846,MASTER_JAM!$Q$5:$Q$28,0)&lt;=12,"DS","NS")))</f>
        <v/>
      </c>
      <c r="I1846" s="157">
        <f>IFERROR(INDEX(MASTER_JAM!$B$5:$B$94,MATCH($C1846,MASTER_JAM!$A$5:$A$94,0)),"")</f>
        <v/>
      </c>
      <c r="J1846" s="157">
        <f>IFERROR(INDEX(MASTER_JAM!$E$5:$E$94,MATCH($D1846,MASTER_JAM!$A$5:$A$94,0)),"")</f>
        <v/>
      </c>
      <c r="K1846" s="158">
        <f>IFERROR(INDEX(MASTER_JAM!$J$5:$O$12,MATCH($E1846,MASTER_JAM!$I$5:$I$12,0),MATCH($J1846,MASTER_JAM!$J$4:$O$4,0))+0,0)</f>
        <v/>
      </c>
      <c r="L1846" s="159">
        <f>N($F1846)*$K1846</f>
        <v/>
      </c>
      <c r="M1846" s="157">
        <f>IF($E1846="","",IF(OR($E1846="Coal",$E1846="Dirty Coal"),"MT","BCM"))</f>
        <v/>
      </c>
      <c r="N1846" s="157">
        <f>IF($E1846="","",IF(OR($E1846="Coal",$E1846="Dirty Coal"),"Coal","OB"))</f>
        <v/>
      </c>
      <c r="O1846" s="157">
        <f>IF($F1846="","",IF(COUNTIF(MASTER_JAM!$A$5:$A$94,$C1846)=0,"Digger tidak dikenal",IF($J1846="","Hauler tidak dikenal",IF($H1846="?","Jam salah",IF($K1846=0,"Faktor kosong",IF(SUMIFS(INPUT_DELAY!$E$5:$E$20000,INPUT_DELAY!$A$5:$A$20000,$A1846,INPUT_DELAY!$B$5:$B$20000,$B1846,INPUT_DELAY!$C$5:$C$20000,$C1846)+SUMIFS(INPUT_DELAY!$E$5:$E$20000,INPUT_DELAY!$A$5:$A$20000,$A1846,INPUT_DELAY!$B$5:$B$20000,$B1846,INPUT_DELAY!$C$5:$C$20000,"SEMUA")&gt;=60,"Delay 60 mnt tapi ada ritase","OK"))))))</f>
        <v/>
      </c>
      <c r="P1846" s="158">
        <f>IFERROR(INDEX(MASTER_JAM!$Z$5:$AC$10,MATCH($I1846,MASTER_JAM!$Y$5:$Y$10,0),MATCH($J1846,MASTER_JAM!$Z$4:$AC$4,0))+0,0)</f>
        <v/>
      </c>
      <c r="Q1846" s="158">
        <f>IF($P1846=0,0,$P1846+IFERROR(INDEX(MASTER_JAM!$H$5:$H$94,MATCH($C1846,MASTER_JAM!$A$5:$A$94,0))+0,MASTER_JAM!$AC$15)/1000*(60/MASTER_JAM!$AC$12+60/MASTER_JAM!$AC$13)+MASTER_JAM!$AC$14)</f>
        <v/>
      </c>
      <c r="R1846" s="158">
        <f>IF(N($F1846)=0,0,$F1846/SUMIFS(INPUT_RITASE!$F$5:$F$20000,INPUT_RITASE!$A$5:$A$20000,$A1846,INPUT_RITASE!$B$5:$B$20000,$B1846,INPUT_RITASE!$C$5:$C$20000,$C1846,INPUT_RITASE!$D$5:$D$20000,$D1846))</f>
        <v/>
      </c>
      <c r="S1846" s="158">
        <f>IF($Q1846=0,0,$R1846*$P1846/$Q1846)</f>
        <v/>
      </c>
    </row>
    <row r="1847">
      <c r="A1847" s="155" t="n">
        <v>46110</v>
      </c>
      <c r="B1847" s="156" t="inlineStr">
        <is>
          <t>03-04</t>
        </is>
      </c>
      <c r="C1847" s="156" t="inlineStr">
        <is>
          <t>EX-754</t>
        </is>
      </c>
      <c r="D1847" s="156" t="inlineStr">
        <is>
          <t>DT-502</t>
        </is>
      </c>
      <c r="E1847" s="156" t="inlineStr">
        <is>
          <t>Coal</t>
        </is>
      </c>
      <c r="F1847" s="156" t="n">
        <v>3</v>
      </c>
      <c r="G1847" s="156" t="inlineStr"/>
      <c r="H1847" s="157">
        <f>IF($B1847="","",IF(ISNA(MATCH($B1847,MASTER_JAM!$Q$5:$Q$28,0)),"?",IF(MATCH($B1847,MASTER_JAM!$Q$5:$Q$28,0)&lt;=12,"DS","NS")))</f>
        <v/>
      </c>
      <c r="I1847" s="157">
        <f>IFERROR(INDEX(MASTER_JAM!$B$5:$B$94,MATCH($C1847,MASTER_JAM!$A$5:$A$94,0)),"")</f>
        <v/>
      </c>
      <c r="J1847" s="157">
        <f>IFERROR(INDEX(MASTER_JAM!$E$5:$E$94,MATCH($D1847,MASTER_JAM!$A$5:$A$94,0)),"")</f>
        <v/>
      </c>
      <c r="K1847" s="158">
        <f>IFERROR(INDEX(MASTER_JAM!$J$5:$O$12,MATCH($E1847,MASTER_JAM!$I$5:$I$12,0),MATCH($J1847,MASTER_JAM!$J$4:$O$4,0))+0,0)</f>
        <v/>
      </c>
      <c r="L1847" s="159">
        <f>N($F1847)*$K1847</f>
        <v/>
      </c>
      <c r="M1847" s="157">
        <f>IF($E1847="","",IF(OR($E1847="Coal",$E1847="Dirty Coal"),"MT","BCM"))</f>
        <v/>
      </c>
      <c r="N1847" s="157">
        <f>IF($E1847="","",IF(OR($E1847="Coal",$E1847="Dirty Coal"),"Coal","OB"))</f>
        <v/>
      </c>
      <c r="O1847" s="157">
        <f>IF($F1847="","",IF(COUNTIF(MASTER_JAM!$A$5:$A$94,$C1847)=0,"Digger tidak dikenal",IF($J1847="","Hauler tidak dikenal",IF($H1847="?","Jam salah",IF($K1847=0,"Faktor kosong",IF(SUMIFS(INPUT_DELAY!$E$5:$E$20000,INPUT_DELAY!$A$5:$A$20000,$A1847,INPUT_DELAY!$B$5:$B$20000,$B1847,INPUT_DELAY!$C$5:$C$20000,$C1847)+SUMIFS(INPUT_DELAY!$E$5:$E$20000,INPUT_DELAY!$A$5:$A$20000,$A1847,INPUT_DELAY!$B$5:$B$20000,$B1847,INPUT_DELAY!$C$5:$C$20000,"SEMUA")&gt;=60,"Delay 60 mnt tapi ada ritase","OK"))))))</f>
        <v/>
      </c>
      <c r="P1847" s="158">
        <f>IFERROR(INDEX(MASTER_JAM!$Z$5:$AC$10,MATCH($I1847,MASTER_JAM!$Y$5:$Y$10,0),MATCH($J1847,MASTER_JAM!$Z$4:$AC$4,0))+0,0)</f>
        <v/>
      </c>
      <c r="Q1847" s="158">
        <f>IF($P1847=0,0,$P1847+IFERROR(INDEX(MASTER_JAM!$H$5:$H$94,MATCH($C1847,MASTER_JAM!$A$5:$A$94,0))+0,MASTER_JAM!$AC$15)/1000*(60/MASTER_JAM!$AC$12+60/MASTER_JAM!$AC$13)+MASTER_JAM!$AC$14)</f>
        <v/>
      </c>
      <c r="R1847" s="158">
        <f>IF(N($F1847)=0,0,$F1847/SUMIFS(INPUT_RITASE!$F$5:$F$20000,INPUT_RITASE!$A$5:$A$20000,$A1847,INPUT_RITASE!$B$5:$B$20000,$B1847,INPUT_RITASE!$C$5:$C$20000,$C1847,INPUT_RITASE!$D$5:$D$20000,$D1847))</f>
        <v/>
      </c>
      <c r="S1847" s="158">
        <f>IF($Q1847=0,0,$R1847*$P1847/$Q1847)</f>
        <v/>
      </c>
    </row>
    <row r="1848">
      <c r="A1848" s="155" t="n">
        <v>46110</v>
      </c>
      <c r="B1848" s="156" t="inlineStr">
        <is>
          <t>03-04</t>
        </is>
      </c>
      <c r="C1848" s="156" t="inlineStr">
        <is>
          <t>EX-754</t>
        </is>
      </c>
      <c r="D1848" s="156" t="inlineStr">
        <is>
          <t>DT-512</t>
        </is>
      </c>
      <c r="E1848" s="156" t="inlineStr">
        <is>
          <t>Coal</t>
        </is>
      </c>
      <c r="F1848" s="156" t="n">
        <v>3</v>
      </c>
      <c r="G1848" s="156" t="inlineStr"/>
      <c r="H1848" s="157">
        <f>IF($B1848="","",IF(ISNA(MATCH($B1848,MASTER_JAM!$Q$5:$Q$28,0)),"?",IF(MATCH($B1848,MASTER_JAM!$Q$5:$Q$28,0)&lt;=12,"DS","NS")))</f>
        <v/>
      </c>
      <c r="I1848" s="157">
        <f>IFERROR(INDEX(MASTER_JAM!$B$5:$B$94,MATCH($C1848,MASTER_JAM!$A$5:$A$94,0)),"")</f>
        <v/>
      </c>
      <c r="J1848" s="157">
        <f>IFERROR(INDEX(MASTER_JAM!$E$5:$E$94,MATCH($D1848,MASTER_JAM!$A$5:$A$94,0)),"")</f>
        <v/>
      </c>
      <c r="K1848" s="158">
        <f>IFERROR(INDEX(MASTER_JAM!$J$5:$O$12,MATCH($E1848,MASTER_JAM!$I$5:$I$12,0),MATCH($J1848,MASTER_JAM!$J$4:$O$4,0))+0,0)</f>
        <v/>
      </c>
      <c r="L1848" s="159">
        <f>N($F1848)*$K1848</f>
        <v/>
      </c>
      <c r="M1848" s="157">
        <f>IF($E1848="","",IF(OR($E1848="Coal",$E1848="Dirty Coal"),"MT","BCM"))</f>
        <v/>
      </c>
      <c r="N1848" s="157">
        <f>IF($E1848="","",IF(OR($E1848="Coal",$E1848="Dirty Coal"),"Coal","OB"))</f>
        <v/>
      </c>
      <c r="O1848" s="157">
        <f>IF($F1848="","",IF(COUNTIF(MASTER_JAM!$A$5:$A$94,$C1848)=0,"Digger tidak dikenal",IF($J1848="","Hauler tidak dikenal",IF($H1848="?","Jam salah",IF($K1848=0,"Faktor kosong",IF(SUMIFS(INPUT_DELAY!$E$5:$E$20000,INPUT_DELAY!$A$5:$A$20000,$A1848,INPUT_DELAY!$B$5:$B$20000,$B1848,INPUT_DELAY!$C$5:$C$20000,$C1848)+SUMIFS(INPUT_DELAY!$E$5:$E$20000,INPUT_DELAY!$A$5:$A$20000,$A1848,INPUT_DELAY!$B$5:$B$20000,$B1848,INPUT_DELAY!$C$5:$C$20000,"SEMUA")&gt;=60,"Delay 60 mnt tapi ada ritase","OK"))))))</f>
        <v/>
      </c>
      <c r="P1848" s="158">
        <f>IFERROR(INDEX(MASTER_JAM!$Z$5:$AC$10,MATCH($I1848,MASTER_JAM!$Y$5:$Y$10,0),MATCH($J1848,MASTER_JAM!$Z$4:$AC$4,0))+0,0)</f>
        <v/>
      </c>
      <c r="Q1848" s="158">
        <f>IF($P1848=0,0,$P1848+IFERROR(INDEX(MASTER_JAM!$H$5:$H$94,MATCH($C1848,MASTER_JAM!$A$5:$A$94,0))+0,MASTER_JAM!$AC$15)/1000*(60/MASTER_JAM!$AC$12+60/MASTER_JAM!$AC$13)+MASTER_JAM!$AC$14)</f>
        <v/>
      </c>
      <c r="R1848" s="158">
        <f>IF(N($F1848)=0,0,$F1848/SUMIFS(INPUT_RITASE!$F$5:$F$20000,INPUT_RITASE!$A$5:$A$20000,$A1848,INPUT_RITASE!$B$5:$B$20000,$B1848,INPUT_RITASE!$C$5:$C$20000,$C1848,INPUT_RITASE!$D$5:$D$20000,$D1848))</f>
        <v/>
      </c>
      <c r="S1848" s="158">
        <f>IF($Q1848=0,0,$R1848*$P1848/$Q1848)</f>
        <v/>
      </c>
    </row>
    <row r="1849">
      <c r="A1849" s="155" t="n">
        <v>46110</v>
      </c>
      <c r="B1849" s="156" t="inlineStr">
        <is>
          <t>03-04</t>
        </is>
      </c>
      <c r="C1849" s="156" t="inlineStr">
        <is>
          <t>EX-754</t>
        </is>
      </c>
      <c r="D1849" s="156" t="inlineStr">
        <is>
          <t>DT-529</t>
        </is>
      </c>
      <c r="E1849" s="156" t="inlineStr">
        <is>
          <t>Coal</t>
        </is>
      </c>
      <c r="F1849" s="156" t="n">
        <v>3</v>
      </c>
      <c r="G1849" s="156" t="inlineStr"/>
      <c r="H1849" s="157">
        <f>IF($B1849="","",IF(ISNA(MATCH($B1849,MASTER_JAM!$Q$5:$Q$28,0)),"?",IF(MATCH($B1849,MASTER_JAM!$Q$5:$Q$28,0)&lt;=12,"DS","NS")))</f>
        <v/>
      </c>
      <c r="I1849" s="157">
        <f>IFERROR(INDEX(MASTER_JAM!$B$5:$B$94,MATCH($C1849,MASTER_JAM!$A$5:$A$94,0)),"")</f>
        <v/>
      </c>
      <c r="J1849" s="157">
        <f>IFERROR(INDEX(MASTER_JAM!$E$5:$E$94,MATCH($D1849,MASTER_JAM!$A$5:$A$94,0)),"")</f>
        <v/>
      </c>
      <c r="K1849" s="158">
        <f>IFERROR(INDEX(MASTER_JAM!$J$5:$O$12,MATCH($E1849,MASTER_JAM!$I$5:$I$12,0),MATCH($J1849,MASTER_JAM!$J$4:$O$4,0))+0,0)</f>
        <v/>
      </c>
      <c r="L1849" s="159">
        <f>N($F1849)*$K1849</f>
        <v/>
      </c>
      <c r="M1849" s="157">
        <f>IF($E1849="","",IF(OR($E1849="Coal",$E1849="Dirty Coal"),"MT","BCM"))</f>
        <v/>
      </c>
      <c r="N1849" s="157">
        <f>IF($E1849="","",IF(OR($E1849="Coal",$E1849="Dirty Coal"),"Coal","OB"))</f>
        <v/>
      </c>
      <c r="O1849" s="157">
        <f>IF($F1849="","",IF(COUNTIF(MASTER_JAM!$A$5:$A$94,$C1849)=0,"Digger tidak dikenal",IF($J1849="","Hauler tidak dikenal",IF($H1849="?","Jam salah",IF($K1849=0,"Faktor kosong",IF(SUMIFS(INPUT_DELAY!$E$5:$E$20000,INPUT_DELAY!$A$5:$A$20000,$A1849,INPUT_DELAY!$B$5:$B$20000,$B1849,INPUT_DELAY!$C$5:$C$20000,$C1849)+SUMIFS(INPUT_DELAY!$E$5:$E$20000,INPUT_DELAY!$A$5:$A$20000,$A1849,INPUT_DELAY!$B$5:$B$20000,$B1849,INPUT_DELAY!$C$5:$C$20000,"SEMUA")&gt;=60,"Delay 60 mnt tapi ada ritase","OK"))))))</f>
        <v/>
      </c>
      <c r="P1849" s="158">
        <f>IFERROR(INDEX(MASTER_JAM!$Z$5:$AC$10,MATCH($I1849,MASTER_JAM!$Y$5:$Y$10,0),MATCH($J1849,MASTER_JAM!$Z$4:$AC$4,0))+0,0)</f>
        <v/>
      </c>
      <c r="Q1849" s="158">
        <f>IF($P1849=0,0,$P1849+IFERROR(INDEX(MASTER_JAM!$H$5:$H$94,MATCH($C1849,MASTER_JAM!$A$5:$A$94,0))+0,MASTER_JAM!$AC$15)/1000*(60/MASTER_JAM!$AC$12+60/MASTER_JAM!$AC$13)+MASTER_JAM!$AC$14)</f>
        <v/>
      </c>
      <c r="R1849" s="158">
        <f>IF(N($F1849)=0,0,$F1849/SUMIFS(INPUT_RITASE!$F$5:$F$20000,INPUT_RITASE!$A$5:$A$20000,$A1849,INPUT_RITASE!$B$5:$B$20000,$B1849,INPUT_RITASE!$C$5:$C$20000,$C1849,INPUT_RITASE!$D$5:$D$20000,$D1849))</f>
        <v/>
      </c>
      <c r="S1849" s="158">
        <f>IF($Q1849=0,0,$R1849*$P1849/$Q1849)</f>
        <v/>
      </c>
    </row>
    <row r="1850">
      <c r="A1850" s="155" t="n">
        <v>46110</v>
      </c>
      <c r="B1850" s="156" t="inlineStr">
        <is>
          <t>04-05</t>
        </is>
      </c>
      <c r="C1850" s="156" t="inlineStr">
        <is>
          <t>EX-754</t>
        </is>
      </c>
      <c r="D1850" s="156" t="inlineStr">
        <is>
          <t>DT-502</t>
        </is>
      </c>
      <c r="E1850" s="156" t="inlineStr">
        <is>
          <t>Coal</t>
        </is>
      </c>
      <c r="F1850" s="156" t="n">
        <v>4</v>
      </c>
      <c r="G1850" s="156" t="inlineStr"/>
      <c r="H1850" s="157">
        <f>IF($B1850="","",IF(ISNA(MATCH($B1850,MASTER_JAM!$Q$5:$Q$28,0)),"?",IF(MATCH($B1850,MASTER_JAM!$Q$5:$Q$28,0)&lt;=12,"DS","NS")))</f>
        <v/>
      </c>
      <c r="I1850" s="157">
        <f>IFERROR(INDEX(MASTER_JAM!$B$5:$B$94,MATCH($C1850,MASTER_JAM!$A$5:$A$94,0)),"")</f>
        <v/>
      </c>
      <c r="J1850" s="157">
        <f>IFERROR(INDEX(MASTER_JAM!$E$5:$E$94,MATCH($D1850,MASTER_JAM!$A$5:$A$94,0)),"")</f>
        <v/>
      </c>
      <c r="K1850" s="158">
        <f>IFERROR(INDEX(MASTER_JAM!$J$5:$O$12,MATCH($E1850,MASTER_JAM!$I$5:$I$12,0),MATCH($J1850,MASTER_JAM!$J$4:$O$4,0))+0,0)</f>
        <v/>
      </c>
      <c r="L1850" s="159">
        <f>N($F1850)*$K1850</f>
        <v/>
      </c>
      <c r="M1850" s="157">
        <f>IF($E1850="","",IF(OR($E1850="Coal",$E1850="Dirty Coal"),"MT","BCM"))</f>
        <v/>
      </c>
      <c r="N1850" s="157">
        <f>IF($E1850="","",IF(OR($E1850="Coal",$E1850="Dirty Coal"),"Coal","OB"))</f>
        <v/>
      </c>
      <c r="O1850" s="157">
        <f>IF($F1850="","",IF(COUNTIF(MASTER_JAM!$A$5:$A$94,$C1850)=0,"Digger tidak dikenal",IF($J1850="","Hauler tidak dikenal",IF($H1850="?","Jam salah",IF($K1850=0,"Faktor kosong",IF(SUMIFS(INPUT_DELAY!$E$5:$E$20000,INPUT_DELAY!$A$5:$A$20000,$A1850,INPUT_DELAY!$B$5:$B$20000,$B1850,INPUT_DELAY!$C$5:$C$20000,$C1850)+SUMIFS(INPUT_DELAY!$E$5:$E$20000,INPUT_DELAY!$A$5:$A$20000,$A1850,INPUT_DELAY!$B$5:$B$20000,$B1850,INPUT_DELAY!$C$5:$C$20000,"SEMUA")&gt;=60,"Delay 60 mnt tapi ada ritase","OK"))))))</f>
        <v/>
      </c>
      <c r="P1850" s="158">
        <f>IFERROR(INDEX(MASTER_JAM!$Z$5:$AC$10,MATCH($I1850,MASTER_JAM!$Y$5:$Y$10,0),MATCH($J1850,MASTER_JAM!$Z$4:$AC$4,0))+0,0)</f>
        <v/>
      </c>
      <c r="Q1850" s="158">
        <f>IF($P1850=0,0,$P1850+IFERROR(INDEX(MASTER_JAM!$H$5:$H$94,MATCH($C1850,MASTER_JAM!$A$5:$A$94,0))+0,MASTER_JAM!$AC$15)/1000*(60/MASTER_JAM!$AC$12+60/MASTER_JAM!$AC$13)+MASTER_JAM!$AC$14)</f>
        <v/>
      </c>
      <c r="R1850" s="158">
        <f>IF(N($F1850)=0,0,$F1850/SUMIFS(INPUT_RITASE!$F$5:$F$20000,INPUT_RITASE!$A$5:$A$20000,$A1850,INPUT_RITASE!$B$5:$B$20000,$B1850,INPUT_RITASE!$C$5:$C$20000,$C1850,INPUT_RITASE!$D$5:$D$20000,$D1850))</f>
        <v/>
      </c>
      <c r="S1850" s="158">
        <f>IF($Q1850=0,0,$R1850*$P1850/$Q1850)</f>
        <v/>
      </c>
    </row>
    <row r="1851">
      <c r="A1851" s="155" t="n">
        <v>46110</v>
      </c>
      <c r="B1851" s="156" t="inlineStr">
        <is>
          <t>04-05</t>
        </is>
      </c>
      <c r="C1851" s="156" t="inlineStr">
        <is>
          <t>EX-754</t>
        </is>
      </c>
      <c r="D1851" s="156" t="inlineStr">
        <is>
          <t>DT-517</t>
        </is>
      </c>
      <c r="E1851" s="156" t="inlineStr">
        <is>
          <t>Coal</t>
        </is>
      </c>
      <c r="F1851" s="156" t="n">
        <v>3</v>
      </c>
      <c r="G1851" s="156" t="inlineStr"/>
      <c r="H1851" s="157">
        <f>IF($B1851="","",IF(ISNA(MATCH($B1851,MASTER_JAM!$Q$5:$Q$28,0)),"?",IF(MATCH($B1851,MASTER_JAM!$Q$5:$Q$28,0)&lt;=12,"DS","NS")))</f>
        <v/>
      </c>
      <c r="I1851" s="157">
        <f>IFERROR(INDEX(MASTER_JAM!$B$5:$B$94,MATCH($C1851,MASTER_JAM!$A$5:$A$94,0)),"")</f>
        <v/>
      </c>
      <c r="J1851" s="157">
        <f>IFERROR(INDEX(MASTER_JAM!$E$5:$E$94,MATCH($D1851,MASTER_JAM!$A$5:$A$94,0)),"")</f>
        <v/>
      </c>
      <c r="K1851" s="158">
        <f>IFERROR(INDEX(MASTER_JAM!$J$5:$O$12,MATCH($E1851,MASTER_JAM!$I$5:$I$12,0),MATCH($J1851,MASTER_JAM!$J$4:$O$4,0))+0,0)</f>
        <v/>
      </c>
      <c r="L1851" s="159">
        <f>N($F1851)*$K1851</f>
        <v/>
      </c>
      <c r="M1851" s="157">
        <f>IF($E1851="","",IF(OR($E1851="Coal",$E1851="Dirty Coal"),"MT","BCM"))</f>
        <v/>
      </c>
      <c r="N1851" s="157">
        <f>IF($E1851="","",IF(OR($E1851="Coal",$E1851="Dirty Coal"),"Coal","OB"))</f>
        <v/>
      </c>
      <c r="O1851" s="157">
        <f>IF($F1851="","",IF(COUNTIF(MASTER_JAM!$A$5:$A$94,$C1851)=0,"Digger tidak dikenal",IF($J1851="","Hauler tidak dikenal",IF($H1851="?","Jam salah",IF($K1851=0,"Faktor kosong",IF(SUMIFS(INPUT_DELAY!$E$5:$E$20000,INPUT_DELAY!$A$5:$A$20000,$A1851,INPUT_DELAY!$B$5:$B$20000,$B1851,INPUT_DELAY!$C$5:$C$20000,$C1851)+SUMIFS(INPUT_DELAY!$E$5:$E$20000,INPUT_DELAY!$A$5:$A$20000,$A1851,INPUT_DELAY!$B$5:$B$20000,$B1851,INPUT_DELAY!$C$5:$C$20000,"SEMUA")&gt;=60,"Delay 60 mnt tapi ada ritase","OK"))))))</f>
        <v/>
      </c>
      <c r="P1851" s="158">
        <f>IFERROR(INDEX(MASTER_JAM!$Z$5:$AC$10,MATCH($I1851,MASTER_JAM!$Y$5:$Y$10,0),MATCH($J1851,MASTER_JAM!$Z$4:$AC$4,0))+0,0)</f>
        <v/>
      </c>
      <c r="Q1851" s="158">
        <f>IF($P1851=0,0,$P1851+IFERROR(INDEX(MASTER_JAM!$H$5:$H$94,MATCH($C1851,MASTER_JAM!$A$5:$A$94,0))+0,MASTER_JAM!$AC$15)/1000*(60/MASTER_JAM!$AC$12+60/MASTER_JAM!$AC$13)+MASTER_JAM!$AC$14)</f>
        <v/>
      </c>
      <c r="R1851" s="158">
        <f>IF(N($F1851)=0,0,$F1851/SUMIFS(INPUT_RITASE!$F$5:$F$20000,INPUT_RITASE!$A$5:$A$20000,$A1851,INPUT_RITASE!$B$5:$B$20000,$B1851,INPUT_RITASE!$C$5:$C$20000,$C1851,INPUT_RITASE!$D$5:$D$20000,$D1851))</f>
        <v/>
      </c>
      <c r="S1851" s="158">
        <f>IF($Q1851=0,0,$R1851*$P1851/$Q1851)</f>
        <v/>
      </c>
    </row>
    <row r="1852">
      <c r="A1852" s="155" t="n">
        <v>46110</v>
      </c>
      <c r="B1852" s="156" t="inlineStr">
        <is>
          <t>04-05</t>
        </is>
      </c>
      <c r="C1852" s="156" t="inlineStr">
        <is>
          <t>EX-754</t>
        </is>
      </c>
      <c r="D1852" s="156" t="inlineStr">
        <is>
          <t>DT-506</t>
        </is>
      </c>
      <c r="E1852" s="156" t="inlineStr">
        <is>
          <t>Coal</t>
        </is>
      </c>
      <c r="F1852" s="156" t="n">
        <v>3</v>
      </c>
      <c r="G1852" s="156" t="inlineStr"/>
      <c r="H1852" s="157">
        <f>IF($B1852="","",IF(ISNA(MATCH($B1852,MASTER_JAM!$Q$5:$Q$28,0)),"?",IF(MATCH($B1852,MASTER_JAM!$Q$5:$Q$28,0)&lt;=12,"DS","NS")))</f>
        <v/>
      </c>
      <c r="I1852" s="157">
        <f>IFERROR(INDEX(MASTER_JAM!$B$5:$B$94,MATCH($C1852,MASTER_JAM!$A$5:$A$94,0)),"")</f>
        <v/>
      </c>
      <c r="J1852" s="157">
        <f>IFERROR(INDEX(MASTER_JAM!$E$5:$E$94,MATCH($D1852,MASTER_JAM!$A$5:$A$94,0)),"")</f>
        <v/>
      </c>
      <c r="K1852" s="158">
        <f>IFERROR(INDEX(MASTER_JAM!$J$5:$O$12,MATCH($E1852,MASTER_JAM!$I$5:$I$12,0),MATCH($J1852,MASTER_JAM!$J$4:$O$4,0))+0,0)</f>
        <v/>
      </c>
      <c r="L1852" s="159">
        <f>N($F1852)*$K1852</f>
        <v/>
      </c>
      <c r="M1852" s="157">
        <f>IF($E1852="","",IF(OR($E1852="Coal",$E1852="Dirty Coal"),"MT","BCM"))</f>
        <v/>
      </c>
      <c r="N1852" s="157">
        <f>IF($E1852="","",IF(OR($E1852="Coal",$E1852="Dirty Coal"),"Coal","OB"))</f>
        <v/>
      </c>
      <c r="O1852" s="157">
        <f>IF($F1852="","",IF(COUNTIF(MASTER_JAM!$A$5:$A$94,$C1852)=0,"Digger tidak dikenal",IF($J1852="","Hauler tidak dikenal",IF($H1852="?","Jam salah",IF($K1852=0,"Faktor kosong",IF(SUMIFS(INPUT_DELAY!$E$5:$E$20000,INPUT_DELAY!$A$5:$A$20000,$A1852,INPUT_DELAY!$B$5:$B$20000,$B1852,INPUT_DELAY!$C$5:$C$20000,$C1852)+SUMIFS(INPUT_DELAY!$E$5:$E$20000,INPUT_DELAY!$A$5:$A$20000,$A1852,INPUT_DELAY!$B$5:$B$20000,$B1852,INPUT_DELAY!$C$5:$C$20000,"SEMUA")&gt;=60,"Delay 60 mnt tapi ada ritase","OK"))))))</f>
        <v/>
      </c>
      <c r="P1852" s="158">
        <f>IFERROR(INDEX(MASTER_JAM!$Z$5:$AC$10,MATCH($I1852,MASTER_JAM!$Y$5:$Y$10,0),MATCH($J1852,MASTER_JAM!$Z$4:$AC$4,0))+0,0)</f>
        <v/>
      </c>
      <c r="Q1852" s="158">
        <f>IF($P1852=0,0,$P1852+IFERROR(INDEX(MASTER_JAM!$H$5:$H$94,MATCH($C1852,MASTER_JAM!$A$5:$A$94,0))+0,MASTER_JAM!$AC$15)/1000*(60/MASTER_JAM!$AC$12+60/MASTER_JAM!$AC$13)+MASTER_JAM!$AC$14)</f>
        <v/>
      </c>
      <c r="R1852" s="158">
        <f>IF(N($F1852)=0,0,$F1852/SUMIFS(INPUT_RITASE!$F$5:$F$20000,INPUT_RITASE!$A$5:$A$20000,$A1852,INPUT_RITASE!$B$5:$B$20000,$B1852,INPUT_RITASE!$C$5:$C$20000,$C1852,INPUT_RITASE!$D$5:$D$20000,$D1852))</f>
        <v/>
      </c>
      <c r="S1852" s="158">
        <f>IF($Q1852=0,0,$R1852*$P1852/$Q1852)</f>
        <v/>
      </c>
    </row>
    <row r="1853">
      <c r="A1853" s="155" t="n">
        <v>46110</v>
      </c>
      <c r="B1853" s="156" t="inlineStr">
        <is>
          <t>04-05</t>
        </is>
      </c>
      <c r="C1853" s="156" t="inlineStr">
        <is>
          <t>EX-754</t>
        </is>
      </c>
      <c r="D1853" s="156" t="inlineStr">
        <is>
          <t>DT-522</t>
        </is>
      </c>
      <c r="E1853" s="156" t="inlineStr">
        <is>
          <t>Coal</t>
        </is>
      </c>
      <c r="F1853" s="156" t="n">
        <v>3</v>
      </c>
      <c r="G1853" s="156" t="inlineStr"/>
      <c r="H1853" s="157">
        <f>IF($B1853="","",IF(ISNA(MATCH($B1853,MASTER_JAM!$Q$5:$Q$28,0)),"?",IF(MATCH($B1853,MASTER_JAM!$Q$5:$Q$28,0)&lt;=12,"DS","NS")))</f>
        <v/>
      </c>
      <c r="I1853" s="157">
        <f>IFERROR(INDEX(MASTER_JAM!$B$5:$B$94,MATCH($C1853,MASTER_JAM!$A$5:$A$94,0)),"")</f>
        <v/>
      </c>
      <c r="J1853" s="157">
        <f>IFERROR(INDEX(MASTER_JAM!$E$5:$E$94,MATCH($D1853,MASTER_JAM!$A$5:$A$94,0)),"")</f>
        <v/>
      </c>
      <c r="K1853" s="158">
        <f>IFERROR(INDEX(MASTER_JAM!$J$5:$O$12,MATCH($E1853,MASTER_JAM!$I$5:$I$12,0),MATCH($J1853,MASTER_JAM!$J$4:$O$4,0))+0,0)</f>
        <v/>
      </c>
      <c r="L1853" s="159">
        <f>N($F1853)*$K1853</f>
        <v/>
      </c>
      <c r="M1853" s="157">
        <f>IF($E1853="","",IF(OR($E1853="Coal",$E1853="Dirty Coal"),"MT","BCM"))</f>
        <v/>
      </c>
      <c r="N1853" s="157">
        <f>IF($E1853="","",IF(OR($E1853="Coal",$E1853="Dirty Coal"),"Coal","OB"))</f>
        <v/>
      </c>
      <c r="O1853" s="157">
        <f>IF($F1853="","",IF(COUNTIF(MASTER_JAM!$A$5:$A$94,$C1853)=0,"Digger tidak dikenal",IF($J1853="","Hauler tidak dikenal",IF($H1853="?","Jam salah",IF($K1853=0,"Faktor kosong",IF(SUMIFS(INPUT_DELAY!$E$5:$E$20000,INPUT_DELAY!$A$5:$A$20000,$A1853,INPUT_DELAY!$B$5:$B$20000,$B1853,INPUT_DELAY!$C$5:$C$20000,$C1853)+SUMIFS(INPUT_DELAY!$E$5:$E$20000,INPUT_DELAY!$A$5:$A$20000,$A1853,INPUT_DELAY!$B$5:$B$20000,$B1853,INPUT_DELAY!$C$5:$C$20000,"SEMUA")&gt;=60,"Delay 60 mnt tapi ada ritase","OK"))))))</f>
        <v/>
      </c>
      <c r="P1853" s="158">
        <f>IFERROR(INDEX(MASTER_JAM!$Z$5:$AC$10,MATCH($I1853,MASTER_JAM!$Y$5:$Y$10,0),MATCH($J1853,MASTER_JAM!$Z$4:$AC$4,0))+0,0)</f>
        <v/>
      </c>
      <c r="Q1853" s="158">
        <f>IF($P1853=0,0,$P1853+IFERROR(INDEX(MASTER_JAM!$H$5:$H$94,MATCH($C1853,MASTER_JAM!$A$5:$A$94,0))+0,MASTER_JAM!$AC$15)/1000*(60/MASTER_JAM!$AC$12+60/MASTER_JAM!$AC$13)+MASTER_JAM!$AC$14)</f>
        <v/>
      </c>
      <c r="R1853" s="158">
        <f>IF(N($F1853)=0,0,$F1853/SUMIFS(INPUT_RITASE!$F$5:$F$20000,INPUT_RITASE!$A$5:$A$20000,$A1853,INPUT_RITASE!$B$5:$B$20000,$B1853,INPUT_RITASE!$C$5:$C$20000,$C1853,INPUT_RITASE!$D$5:$D$20000,$D1853))</f>
        <v/>
      </c>
      <c r="S1853" s="158">
        <f>IF($Q1853=0,0,$R1853*$P1853/$Q1853)</f>
        <v/>
      </c>
    </row>
    <row r="1854">
      <c r="A1854" s="155" t="n">
        <v>46110</v>
      </c>
      <c r="B1854" s="156" t="inlineStr">
        <is>
          <t>05-06</t>
        </is>
      </c>
      <c r="C1854" s="156" t="inlineStr">
        <is>
          <t>EX-754</t>
        </is>
      </c>
      <c r="D1854" s="156" t="inlineStr">
        <is>
          <t>DT-503</t>
        </is>
      </c>
      <c r="E1854" s="156" t="inlineStr">
        <is>
          <t>Coal</t>
        </is>
      </c>
      <c r="F1854" s="156" t="n">
        <v>4</v>
      </c>
      <c r="G1854" s="156" t="inlineStr"/>
      <c r="H1854" s="157">
        <f>IF($B1854="","",IF(ISNA(MATCH($B1854,MASTER_JAM!$Q$5:$Q$28,0)),"?",IF(MATCH($B1854,MASTER_JAM!$Q$5:$Q$28,0)&lt;=12,"DS","NS")))</f>
        <v/>
      </c>
      <c r="I1854" s="157">
        <f>IFERROR(INDEX(MASTER_JAM!$B$5:$B$94,MATCH($C1854,MASTER_JAM!$A$5:$A$94,0)),"")</f>
        <v/>
      </c>
      <c r="J1854" s="157">
        <f>IFERROR(INDEX(MASTER_JAM!$E$5:$E$94,MATCH($D1854,MASTER_JAM!$A$5:$A$94,0)),"")</f>
        <v/>
      </c>
      <c r="K1854" s="158">
        <f>IFERROR(INDEX(MASTER_JAM!$J$5:$O$12,MATCH($E1854,MASTER_JAM!$I$5:$I$12,0),MATCH($J1854,MASTER_JAM!$J$4:$O$4,0))+0,0)</f>
        <v/>
      </c>
      <c r="L1854" s="159">
        <f>N($F1854)*$K1854</f>
        <v/>
      </c>
      <c r="M1854" s="157">
        <f>IF($E1854="","",IF(OR($E1854="Coal",$E1854="Dirty Coal"),"MT","BCM"))</f>
        <v/>
      </c>
      <c r="N1854" s="157">
        <f>IF($E1854="","",IF(OR($E1854="Coal",$E1854="Dirty Coal"),"Coal","OB"))</f>
        <v/>
      </c>
      <c r="O1854" s="157">
        <f>IF($F1854="","",IF(COUNTIF(MASTER_JAM!$A$5:$A$94,$C1854)=0,"Digger tidak dikenal",IF($J1854="","Hauler tidak dikenal",IF($H1854="?","Jam salah",IF($K1854=0,"Faktor kosong",IF(SUMIFS(INPUT_DELAY!$E$5:$E$20000,INPUT_DELAY!$A$5:$A$20000,$A1854,INPUT_DELAY!$B$5:$B$20000,$B1854,INPUT_DELAY!$C$5:$C$20000,$C1854)+SUMIFS(INPUT_DELAY!$E$5:$E$20000,INPUT_DELAY!$A$5:$A$20000,$A1854,INPUT_DELAY!$B$5:$B$20000,$B1854,INPUT_DELAY!$C$5:$C$20000,"SEMUA")&gt;=60,"Delay 60 mnt tapi ada ritase","OK"))))))</f>
        <v/>
      </c>
      <c r="P1854" s="158">
        <f>IFERROR(INDEX(MASTER_JAM!$Z$5:$AC$10,MATCH($I1854,MASTER_JAM!$Y$5:$Y$10,0),MATCH($J1854,MASTER_JAM!$Z$4:$AC$4,0))+0,0)</f>
        <v/>
      </c>
      <c r="Q1854" s="158">
        <f>IF($P1854=0,0,$P1854+IFERROR(INDEX(MASTER_JAM!$H$5:$H$94,MATCH($C1854,MASTER_JAM!$A$5:$A$94,0))+0,MASTER_JAM!$AC$15)/1000*(60/MASTER_JAM!$AC$12+60/MASTER_JAM!$AC$13)+MASTER_JAM!$AC$14)</f>
        <v/>
      </c>
      <c r="R1854" s="158">
        <f>IF(N($F1854)=0,0,$F1854/SUMIFS(INPUT_RITASE!$F$5:$F$20000,INPUT_RITASE!$A$5:$A$20000,$A1854,INPUT_RITASE!$B$5:$B$20000,$B1854,INPUT_RITASE!$C$5:$C$20000,$C1854,INPUT_RITASE!$D$5:$D$20000,$D1854))</f>
        <v/>
      </c>
      <c r="S1854" s="158">
        <f>IF($Q1854=0,0,$R1854*$P1854/$Q1854)</f>
        <v/>
      </c>
    </row>
    <row r="1855">
      <c r="A1855" s="155" t="n">
        <v>46110</v>
      </c>
      <c r="B1855" s="156" t="inlineStr">
        <is>
          <t>05-06</t>
        </is>
      </c>
      <c r="C1855" s="156" t="inlineStr">
        <is>
          <t>EX-754</t>
        </is>
      </c>
      <c r="D1855" s="156" t="inlineStr">
        <is>
          <t>DT-505</t>
        </is>
      </c>
      <c r="E1855" s="156" t="inlineStr">
        <is>
          <t>Coal</t>
        </is>
      </c>
      <c r="F1855" s="156" t="n">
        <v>3</v>
      </c>
      <c r="G1855" s="156" t="inlineStr"/>
      <c r="H1855" s="157">
        <f>IF($B1855="","",IF(ISNA(MATCH($B1855,MASTER_JAM!$Q$5:$Q$28,0)),"?",IF(MATCH($B1855,MASTER_JAM!$Q$5:$Q$28,0)&lt;=12,"DS","NS")))</f>
        <v/>
      </c>
      <c r="I1855" s="157">
        <f>IFERROR(INDEX(MASTER_JAM!$B$5:$B$94,MATCH($C1855,MASTER_JAM!$A$5:$A$94,0)),"")</f>
        <v/>
      </c>
      <c r="J1855" s="157">
        <f>IFERROR(INDEX(MASTER_JAM!$E$5:$E$94,MATCH($D1855,MASTER_JAM!$A$5:$A$94,0)),"")</f>
        <v/>
      </c>
      <c r="K1855" s="158">
        <f>IFERROR(INDEX(MASTER_JAM!$J$5:$O$12,MATCH($E1855,MASTER_JAM!$I$5:$I$12,0),MATCH($J1855,MASTER_JAM!$J$4:$O$4,0))+0,0)</f>
        <v/>
      </c>
      <c r="L1855" s="159">
        <f>N($F1855)*$K1855</f>
        <v/>
      </c>
      <c r="M1855" s="157">
        <f>IF($E1855="","",IF(OR($E1855="Coal",$E1855="Dirty Coal"),"MT","BCM"))</f>
        <v/>
      </c>
      <c r="N1855" s="157">
        <f>IF($E1855="","",IF(OR($E1855="Coal",$E1855="Dirty Coal"),"Coal","OB"))</f>
        <v/>
      </c>
      <c r="O1855" s="157">
        <f>IF($F1855="","",IF(COUNTIF(MASTER_JAM!$A$5:$A$94,$C1855)=0,"Digger tidak dikenal",IF($J1855="","Hauler tidak dikenal",IF($H1855="?","Jam salah",IF($K1855=0,"Faktor kosong",IF(SUMIFS(INPUT_DELAY!$E$5:$E$20000,INPUT_DELAY!$A$5:$A$20000,$A1855,INPUT_DELAY!$B$5:$B$20000,$B1855,INPUT_DELAY!$C$5:$C$20000,$C1855)+SUMIFS(INPUT_DELAY!$E$5:$E$20000,INPUT_DELAY!$A$5:$A$20000,$A1855,INPUT_DELAY!$B$5:$B$20000,$B1855,INPUT_DELAY!$C$5:$C$20000,"SEMUA")&gt;=60,"Delay 60 mnt tapi ada ritase","OK"))))))</f>
        <v/>
      </c>
      <c r="P1855" s="158">
        <f>IFERROR(INDEX(MASTER_JAM!$Z$5:$AC$10,MATCH($I1855,MASTER_JAM!$Y$5:$Y$10,0),MATCH($J1855,MASTER_JAM!$Z$4:$AC$4,0))+0,0)</f>
        <v/>
      </c>
      <c r="Q1855" s="158">
        <f>IF($P1855=0,0,$P1855+IFERROR(INDEX(MASTER_JAM!$H$5:$H$94,MATCH($C1855,MASTER_JAM!$A$5:$A$94,0))+0,MASTER_JAM!$AC$15)/1000*(60/MASTER_JAM!$AC$12+60/MASTER_JAM!$AC$13)+MASTER_JAM!$AC$14)</f>
        <v/>
      </c>
      <c r="R1855" s="158">
        <f>IF(N($F1855)=0,0,$F1855/SUMIFS(INPUT_RITASE!$F$5:$F$20000,INPUT_RITASE!$A$5:$A$20000,$A1855,INPUT_RITASE!$B$5:$B$20000,$B1855,INPUT_RITASE!$C$5:$C$20000,$C1855,INPUT_RITASE!$D$5:$D$20000,$D1855))</f>
        <v/>
      </c>
      <c r="S1855" s="158">
        <f>IF($Q1855=0,0,$R1855*$P1855/$Q1855)</f>
        <v/>
      </c>
    </row>
    <row r="1856">
      <c r="A1856" s="155" t="n">
        <v>46110</v>
      </c>
      <c r="B1856" s="156" t="inlineStr">
        <is>
          <t>05-06</t>
        </is>
      </c>
      <c r="C1856" s="156" t="inlineStr">
        <is>
          <t>EX-754</t>
        </is>
      </c>
      <c r="D1856" s="156" t="inlineStr">
        <is>
          <t>DT-520</t>
        </is>
      </c>
      <c r="E1856" s="156" t="inlineStr">
        <is>
          <t>Coal</t>
        </is>
      </c>
      <c r="F1856" s="156" t="n">
        <v>3</v>
      </c>
      <c r="G1856" s="156" t="inlineStr"/>
      <c r="H1856" s="157">
        <f>IF($B1856="","",IF(ISNA(MATCH($B1856,MASTER_JAM!$Q$5:$Q$28,0)),"?",IF(MATCH($B1856,MASTER_JAM!$Q$5:$Q$28,0)&lt;=12,"DS","NS")))</f>
        <v/>
      </c>
      <c r="I1856" s="157">
        <f>IFERROR(INDEX(MASTER_JAM!$B$5:$B$94,MATCH($C1856,MASTER_JAM!$A$5:$A$94,0)),"")</f>
        <v/>
      </c>
      <c r="J1856" s="157">
        <f>IFERROR(INDEX(MASTER_JAM!$E$5:$E$94,MATCH($D1856,MASTER_JAM!$A$5:$A$94,0)),"")</f>
        <v/>
      </c>
      <c r="K1856" s="158">
        <f>IFERROR(INDEX(MASTER_JAM!$J$5:$O$12,MATCH($E1856,MASTER_JAM!$I$5:$I$12,0),MATCH($J1856,MASTER_JAM!$J$4:$O$4,0))+0,0)</f>
        <v/>
      </c>
      <c r="L1856" s="159">
        <f>N($F1856)*$K1856</f>
        <v/>
      </c>
      <c r="M1856" s="157">
        <f>IF($E1856="","",IF(OR($E1856="Coal",$E1856="Dirty Coal"),"MT","BCM"))</f>
        <v/>
      </c>
      <c r="N1856" s="157">
        <f>IF($E1856="","",IF(OR($E1856="Coal",$E1856="Dirty Coal"),"Coal","OB"))</f>
        <v/>
      </c>
      <c r="O1856" s="157">
        <f>IF($F1856="","",IF(COUNTIF(MASTER_JAM!$A$5:$A$94,$C1856)=0,"Digger tidak dikenal",IF($J1856="","Hauler tidak dikenal",IF($H1856="?","Jam salah",IF($K1856=0,"Faktor kosong",IF(SUMIFS(INPUT_DELAY!$E$5:$E$20000,INPUT_DELAY!$A$5:$A$20000,$A1856,INPUT_DELAY!$B$5:$B$20000,$B1856,INPUT_DELAY!$C$5:$C$20000,$C1856)+SUMIFS(INPUT_DELAY!$E$5:$E$20000,INPUT_DELAY!$A$5:$A$20000,$A1856,INPUT_DELAY!$B$5:$B$20000,$B1856,INPUT_DELAY!$C$5:$C$20000,"SEMUA")&gt;=60,"Delay 60 mnt tapi ada ritase","OK"))))))</f>
        <v/>
      </c>
      <c r="P1856" s="158">
        <f>IFERROR(INDEX(MASTER_JAM!$Z$5:$AC$10,MATCH($I1856,MASTER_JAM!$Y$5:$Y$10,0),MATCH($J1856,MASTER_JAM!$Z$4:$AC$4,0))+0,0)</f>
        <v/>
      </c>
      <c r="Q1856" s="158">
        <f>IF($P1856=0,0,$P1856+IFERROR(INDEX(MASTER_JAM!$H$5:$H$94,MATCH($C1856,MASTER_JAM!$A$5:$A$94,0))+0,MASTER_JAM!$AC$15)/1000*(60/MASTER_JAM!$AC$12+60/MASTER_JAM!$AC$13)+MASTER_JAM!$AC$14)</f>
        <v/>
      </c>
      <c r="R1856" s="158">
        <f>IF(N($F1856)=0,0,$F1856/SUMIFS(INPUT_RITASE!$F$5:$F$20000,INPUT_RITASE!$A$5:$A$20000,$A1856,INPUT_RITASE!$B$5:$B$20000,$B1856,INPUT_RITASE!$C$5:$C$20000,$C1856,INPUT_RITASE!$D$5:$D$20000,$D1856))</f>
        <v/>
      </c>
      <c r="S1856" s="158">
        <f>IF($Q1856=0,0,$R1856*$P1856/$Q1856)</f>
        <v/>
      </c>
    </row>
    <row r="1857">
      <c r="A1857" s="155" t="n">
        <v>46110</v>
      </c>
      <c r="B1857" s="156" t="inlineStr">
        <is>
          <t>05-06</t>
        </is>
      </c>
      <c r="C1857" s="156" t="inlineStr">
        <is>
          <t>EX-754</t>
        </is>
      </c>
      <c r="D1857" s="156" t="inlineStr">
        <is>
          <t>DT-512</t>
        </is>
      </c>
      <c r="E1857" s="156" t="inlineStr">
        <is>
          <t>Coal</t>
        </is>
      </c>
      <c r="F1857" s="156" t="n">
        <v>3</v>
      </c>
      <c r="G1857" s="156" t="inlineStr"/>
      <c r="H1857" s="157">
        <f>IF($B1857="","",IF(ISNA(MATCH($B1857,MASTER_JAM!$Q$5:$Q$28,0)),"?",IF(MATCH($B1857,MASTER_JAM!$Q$5:$Q$28,0)&lt;=12,"DS","NS")))</f>
        <v/>
      </c>
      <c r="I1857" s="157">
        <f>IFERROR(INDEX(MASTER_JAM!$B$5:$B$94,MATCH($C1857,MASTER_JAM!$A$5:$A$94,0)),"")</f>
        <v/>
      </c>
      <c r="J1857" s="157">
        <f>IFERROR(INDEX(MASTER_JAM!$E$5:$E$94,MATCH($D1857,MASTER_JAM!$A$5:$A$94,0)),"")</f>
        <v/>
      </c>
      <c r="K1857" s="158">
        <f>IFERROR(INDEX(MASTER_JAM!$J$5:$O$12,MATCH($E1857,MASTER_JAM!$I$5:$I$12,0),MATCH($J1857,MASTER_JAM!$J$4:$O$4,0))+0,0)</f>
        <v/>
      </c>
      <c r="L1857" s="159">
        <f>N($F1857)*$K1857</f>
        <v/>
      </c>
      <c r="M1857" s="157">
        <f>IF($E1857="","",IF(OR($E1857="Coal",$E1857="Dirty Coal"),"MT","BCM"))</f>
        <v/>
      </c>
      <c r="N1857" s="157">
        <f>IF($E1857="","",IF(OR($E1857="Coal",$E1857="Dirty Coal"),"Coal","OB"))</f>
        <v/>
      </c>
      <c r="O1857" s="157">
        <f>IF($F1857="","",IF(COUNTIF(MASTER_JAM!$A$5:$A$94,$C1857)=0,"Digger tidak dikenal",IF($J1857="","Hauler tidak dikenal",IF($H1857="?","Jam salah",IF($K1857=0,"Faktor kosong",IF(SUMIFS(INPUT_DELAY!$E$5:$E$20000,INPUT_DELAY!$A$5:$A$20000,$A1857,INPUT_DELAY!$B$5:$B$20000,$B1857,INPUT_DELAY!$C$5:$C$20000,$C1857)+SUMIFS(INPUT_DELAY!$E$5:$E$20000,INPUT_DELAY!$A$5:$A$20000,$A1857,INPUT_DELAY!$B$5:$B$20000,$B1857,INPUT_DELAY!$C$5:$C$20000,"SEMUA")&gt;=60,"Delay 60 mnt tapi ada ritase","OK"))))))</f>
        <v/>
      </c>
      <c r="P1857" s="158">
        <f>IFERROR(INDEX(MASTER_JAM!$Z$5:$AC$10,MATCH($I1857,MASTER_JAM!$Y$5:$Y$10,0),MATCH($J1857,MASTER_JAM!$Z$4:$AC$4,0))+0,0)</f>
        <v/>
      </c>
      <c r="Q1857" s="158">
        <f>IF($P1857=0,0,$P1857+IFERROR(INDEX(MASTER_JAM!$H$5:$H$94,MATCH($C1857,MASTER_JAM!$A$5:$A$94,0))+0,MASTER_JAM!$AC$15)/1000*(60/MASTER_JAM!$AC$12+60/MASTER_JAM!$AC$13)+MASTER_JAM!$AC$14)</f>
        <v/>
      </c>
      <c r="R1857" s="158">
        <f>IF(N($F1857)=0,0,$F1857/SUMIFS(INPUT_RITASE!$F$5:$F$20000,INPUT_RITASE!$A$5:$A$20000,$A1857,INPUT_RITASE!$B$5:$B$20000,$B1857,INPUT_RITASE!$C$5:$C$20000,$C1857,INPUT_RITASE!$D$5:$D$20000,$D1857))</f>
        <v/>
      </c>
      <c r="S1857" s="158">
        <f>IF($Q1857=0,0,$R1857*$P1857/$Q1857)</f>
        <v/>
      </c>
    </row>
    <row r="1858">
      <c r="A1858" s="155" t="n">
        <v>46110</v>
      </c>
      <c r="B1858" s="156" t="inlineStr">
        <is>
          <t>18-19</t>
        </is>
      </c>
      <c r="C1858" s="156" t="inlineStr">
        <is>
          <t>EX-755</t>
        </is>
      </c>
      <c r="D1858" s="156" t="inlineStr">
        <is>
          <t>DT-511</t>
        </is>
      </c>
      <c r="E1858" s="156" t="inlineStr">
        <is>
          <t>Mud</t>
        </is>
      </c>
      <c r="F1858" s="156" t="n">
        <v>4</v>
      </c>
      <c r="G1858" s="156" t="inlineStr"/>
      <c r="H1858" s="157">
        <f>IF($B1858="","",IF(ISNA(MATCH($B1858,MASTER_JAM!$Q$5:$Q$28,0)),"?",IF(MATCH($B1858,MASTER_JAM!$Q$5:$Q$28,0)&lt;=12,"DS","NS")))</f>
        <v/>
      </c>
      <c r="I1858" s="157">
        <f>IFERROR(INDEX(MASTER_JAM!$B$5:$B$94,MATCH($C1858,MASTER_JAM!$A$5:$A$94,0)),"")</f>
        <v/>
      </c>
      <c r="J1858" s="157">
        <f>IFERROR(INDEX(MASTER_JAM!$E$5:$E$94,MATCH($D1858,MASTER_JAM!$A$5:$A$94,0)),"")</f>
        <v/>
      </c>
      <c r="K1858" s="158">
        <f>IFERROR(INDEX(MASTER_JAM!$J$5:$O$12,MATCH($E1858,MASTER_JAM!$I$5:$I$12,0),MATCH($J1858,MASTER_JAM!$J$4:$O$4,0))+0,0)</f>
        <v/>
      </c>
      <c r="L1858" s="159">
        <f>N($F1858)*$K1858</f>
        <v/>
      </c>
      <c r="M1858" s="157">
        <f>IF($E1858="","",IF(OR($E1858="Coal",$E1858="Dirty Coal"),"MT","BCM"))</f>
        <v/>
      </c>
      <c r="N1858" s="157">
        <f>IF($E1858="","",IF(OR($E1858="Coal",$E1858="Dirty Coal"),"Coal","OB"))</f>
        <v/>
      </c>
      <c r="O1858" s="157">
        <f>IF($F1858="","",IF(COUNTIF(MASTER_JAM!$A$5:$A$94,$C1858)=0,"Digger tidak dikenal",IF($J1858="","Hauler tidak dikenal",IF($H1858="?","Jam salah",IF($K1858=0,"Faktor kosong",IF(SUMIFS(INPUT_DELAY!$E$5:$E$20000,INPUT_DELAY!$A$5:$A$20000,$A1858,INPUT_DELAY!$B$5:$B$20000,$B1858,INPUT_DELAY!$C$5:$C$20000,$C1858)+SUMIFS(INPUT_DELAY!$E$5:$E$20000,INPUT_DELAY!$A$5:$A$20000,$A1858,INPUT_DELAY!$B$5:$B$20000,$B1858,INPUT_DELAY!$C$5:$C$20000,"SEMUA")&gt;=60,"Delay 60 mnt tapi ada ritase","OK"))))))</f>
        <v/>
      </c>
      <c r="P1858" s="158">
        <f>IFERROR(INDEX(MASTER_JAM!$Z$5:$AC$10,MATCH($I1858,MASTER_JAM!$Y$5:$Y$10,0),MATCH($J1858,MASTER_JAM!$Z$4:$AC$4,0))+0,0)</f>
        <v/>
      </c>
      <c r="Q1858" s="158">
        <f>IF($P1858=0,0,$P1858+IFERROR(INDEX(MASTER_JAM!$H$5:$H$94,MATCH($C1858,MASTER_JAM!$A$5:$A$94,0))+0,MASTER_JAM!$AC$15)/1000*(60/MASTER_JAM!$AC$12+60/MASTER_JAM!$AC$13)+MASTER_JAM!$AC$14)</f>
        <v/>
      </c>
      <c r="R1858" s="158">
        <f>IF(N($F1858)=0,0,$F1858/SUMIFS(INPUT_RITASE!$F$5:$F$20000,INPUT_RITASE!$A$5:$A$20000,$A1858,INPUT_RITASE!$B$5:$B$20000,$B1858,INPUT_RITASE!$C$5:$C$20000,$C1858,INPUT_RITASE!$D$5:$D$20000,$D1858))</f>
        <v/>
      </c>
      <c r="S1858" s="158">
        <f>IF($Q1858=0,0,$R1858*$P1858/$Q1858)</f>
        <v/>
      </c>
    </row>
    <row r="1859">
      <c r="A1859" s="155" t="n">
        <v>46110</v>
      </c>
      <c r="B1859" s="156" t="inlineStr">
        <is>
          <t>18-19</t>
        </is>
      </c>
      <c r="C1859" s="156" t="inlineStr">
        <is>
          <t>EX-755</t>
        </is>
      </c>
      <c r="D1859" s="156" t="inlineStr">
        <is>
          <t>DT-529</t>
        </is>
      </c>
      <c r="E1859" s="156" t="inlineStr">
        <is>
          <t>Mud</t>
        </is>
      </c>
      <c r="F1859" s="156" t="n">
        <v>4</v>
      </c>
      <c r="G1859" s="156" t="inlineStr"/>
      <c r="H1859" s="157">
        <f>IF($B1859="","",IF(ISNA(MATCH($B1859,MASTER_JAM!$Q$5:$Q$28,0)),"?",IF(MATCH($B1859,MASTER_JAM!$Q$5:$Q$28,0)&lt;=12,"DS","NS")))</f>
        <v/>
      </c>
      <c r="I1859" s="157">
        <f>IFERROR(INDEX(MASTER_JAM!$B$5:$B$94,MATCH($C1859,MASTER_JAM!$A$5:$A$94,0)),"")</f>
        <v/>
      </c>
      <c r="J1859" s="157">
        <f>IFERROR(INDEX(MASTER_JAM!$E$5:$E$94,MATCH($D1859,MASTER_JAM!$A$5:$A$94,0)),"")</f>
        <v/>
      </c>
      <c r="K1859" s="158">
        <f>IFERROR(INDEX(MASTER_JAM!$J$5:$O$12,MATCH($E1859,MASTER_JAM!$I$5:$I$12,0),MATCH($J1859,MASTER_JAM!$J$4:$O$4,0))+0,0)</f>
        <v/>
      </c>
      <c r="L1859" s="159">
        <f>N($F1859)*$K1859</f>
        <v/>
      </c>
      <c r="M1859" s="157">
        <f>IF($E1859="","",IF(OR($E1859="Coal",$E1859="Dirty Coal"),"MT","BCM"))</f>
        <v/>
      </c>
      <c r="N1859" s="157">
        <f>IF($E1859="","",IF(OR($E1859="Coal",$E1859="Dirty Coal"),"Coal","OB"))</f>
        <v/>
      </c>
      <c r="O1859" s="157">
        <f>IF($F1859="","",IF(COUNTIF(MASTER_JAM!$A$5:$A$94,$C1859)=0,"Digger tidak dikenal",IF($J1859="","Hauler tidak dikenal",IF($H1859="?","Jam salah",IF($K1859=0,"Faktor kosong",IF(SUMIFS(INPUT_DELAY!$E$5:$E$20000,INPUT_DELAY!$A$5:$A$20000,$A1859,INPUT_DELAY!$B$5:$B$20000,$B1859,INPUT_DELAY!$C$5:$C$20000,$C1859)+SUMIFS(INPUT_DELAY!$E$5:$E$20000,INPUT_DELAY!$A$5:$A$20000,$A1859,INPUT_DELAY!$B$5:$B$20000,$B1859,INPUT_DELAY!$C$5:$C$20000,"SEMUA")&gt;=60,"Delay 60 mnt tapi ada ritase","OK"))))))</f>
        <v/>
      </c>
      <c r="P1859" s="158">
        <f>IFERROR(INDEX(MASTER_JAM!$Z$5:$AC$10,MATCH($I1859,MASTER_JAM!$Y$5:$Y$10,0),MATCH($J1859,MASTER_JAM!$Z$4:$AC$4,0))+0,0)</f>
        <v/>
      </c>
      <c r="Q1859" s="158">
        <f>IF($P1859=0,0,$P1859+IFERROR(INDEX(MASTER_JAM!$H$5:$H$94,MATCH($C1859,MASTER_JAM!$A$5:$A$94,0))+0,MASTER_JAM!$AC$15)/1000*(60/MASTER_JAM!$AC$12+60/MASTER_JAM!$AC$13)+MASTER_JAM!$AC$14)</f>
        <v/>
      </c>
      <c r="R1859" s="158">
        <f>IF(N($F1859)=0,0,$F1859/SUMIFS(INPUT_RITASE!$F$5:$F$20000,INPUT_RITASE!$A$5:$A$20000,$A1859,INPUT_RITASE!$B$5:$B$20000,$B1859,INPUT_RITASE!$C$5:$C$20000,$C1859,INPUT_RITASE!$D$5:$D$20000,$D1859))</f>
        <v/>
      </c>
      <c r="S1859" s="158">
        <f>IF($Q1859=0,0,$R1859*$P1859/$Q1859)</f>
        <v/>
      </c>
    </row>
    <row r="1860">
      <c r="A1860" s="155" t="n">
        <v>46110</v>
      </c>
      <c r="B1860" s="156" t="inlineStr">
        <is>
          <t>19-20</t>
        </is>
      </c>
      <c r="C1860" s="156" t="inlineStr">
        <is>
          <t>EX-755</t>
        </is>
      </c>
      <c r="D1860" s="156" t="inlineStr">
        <is>
          <t>DT-529</t>
        </is>
      </c>
      <c r="E1860" s="156" t="inlineStr">
        <is>
          <t>Mud</t>
        </is>
      </c>
      <c r="F1860" s="156" t="n">
        <v>4</v>
      </c>
      <c r="G1860" s="156" t="inlineStr"/>
      <c r="H1860" s="157">
        <f>IF($B1860="","",IF(ISNA(MATCH($B1860,MASTER_JAM!$Q$5:$Q$28,0)),"?",IF(MATCH($B1860,MASTER_JAM!$Q$5:$Q$28,0)&lt;=12,"DS","NS")))</f>
        <v/>
      </c>
      <c r="I1860" s="157">
        <f>IFERROR(INDEX(MASTER_JAM!$B$5:$B$94,MATCH($C1860,MASTER_JAM!$A$5:$A$94,0)),"")</f>
        <v/>
      </c>
      <c r="J1860" s="157">
        <f>IFERROR(INDEX(MASTER_JAM!$E$5:$E$94,MATCH($D1860,MASTER_JAM!$A$5:$A$94,0)),"")</f>
        <v/>
      </c>
      <c r="K1860" s="158">
        <f>IFERROR(INDEX(MASTER_JAM!$J$5:$O$12,MATCH($E1860,MASTER_JAM!$I$5:$I$12,0),MATCH($J1860,MASTER_JAM!$J$4:$O$4,0))+0,0)</f>
        <v/>
      </c>
      <c r="L1860" s="159">
        <f>N($F1860)*$K1860</f>
        <v/>
      </c>
      <c r="M1860" s="157">
        <f>IF($E1860="","",IF(OR($E1860="Coal",$E1860="Dirty Coal"),"MT","BCM"))</f>
        <v/>
      </c>
      <c r="N1860" s="157">
        <f>IF($E1860="","",IF(OR($E1860="Coal",$E1860="Dirty Coal"),"Coal","OB"))</f>
        <v/>
      </c>
      <c r="O1860" s="157">
        <f>IF($F1860="","",IF(COUNTIF(MASTER_JAM!$A$5:$A$94,$C1860)=0,"Digger tidak dikenal",IF($J1860="","Hauler tidak dikenal",IF($H1860="?","Jam salah",IF($K1860=0,"Faktor kosong",IF(SUMIFS(INPUT_DELAY!$E$5:$E$20000,INPUT_DELAY!$A$5:$A$20000,$A1860,INPUT_DELAY!$B$5:$B$20000,$B1860,INPUT_DELAY!$C$5:$C$20000,$C1860)+SUMIFS(INPUT_DELAY!$E$5:$E$20000,INPUT_DELAY!$A$5:$A$20000,$A1860,INPUT_DELAY!$B$5:$B$20000,$B1860,INPUT_DELAY!$C$5:$C$20000,"SEMUA")&gt;=60,"Delay 60 mnt tapi ada ritase","OK"))))))</f>
        <v/>
      </c>
      <c r="P1860" s="158">
        <f>IFERROR(INDEX(MASTER_JAM!$Z$5:$AC$10,MATCH($I1860,MASTER_JAM!$Y$5:$Y$10,0),MATCH($J1860,MASTER_JAM!$Z$4:$AC$4,0))+0,0)</f>
        <v/>
      </c>
      <c r="Q1860" s="158">
        <f>IF($P1860=0,0,$P1860+IFERROR(INDEX(MASTER_JAM!$H$5:$H$94,MATCH($C1860,MASTER_JAM!$A$5:$A$94,0))+0,MASTER_JAM!$AC$15)/1000*(60/MASTER_JAM!$AC$12+60/MASTER_JAM!$AC$13)+MASTER_JAM!$AC$14)</f>
        <v/>
      </c>
      <c r="R1860" s="158">
        <f>IF(N($F1860)=0,0,$F1860/SUMIFS(INPUT_RITASE!$F$5:$F$20000,INPUT_RITASE!$A$5:$A$20000,$A1860,INPUT_RITASE!$B$5:$B$20000,$B1860,INPUT_RITASE!$C$5:$C$20000,$C1860,INPUT_RITASE!$D$5:$D$20000,$D1860))</f>
        <v/>
      </c>
      <c r="S1860" s="158">
        <f>IF($Q1860=0,0,$R1860*$P1860/$Q1860)</f>
        <v/>
      </c>
    </row>
    <row r="1861">
      <c r="A1861" s="155" t="n">
        <v>46110</v>
      </c>
      <c r="B1861" s="156" t="inlineStr">
        <is>
          <t>19-20</t>
        </is>
      </c>
      <c r="C1861" s="156" t="inlineStr">
        <is>
          <t>EX-755</t>
        </is>
      </c>
      <c r="D1861" s="156" t="inlineStr">
        <is>
          <t>DT-504</t>
        </is>
      </c>
      <c r="E1861" s="156" t="inlineStr">
        <is>
          <t>Mud</t>
        </is>
      </c>
      <c r="F1861" s="156" t="n">
        <v>4</v>
      </c>
      <c r="G1861" s="156" t="inlineStr"/>
      <c r="H1861" s="157">
        <f>IF($B1861="","",IF(ISNA(MATCH($B1861,MASTER_JAM!$Q$5:$Q$28,0)),"?",IF(MATCH($B1861,MASTER_JAM!$Q$5:$Q$28,0)&lt;=12,"DS","NS")))</f>
        <v/>
      </c>
      <c r="I1861" s="157">
        <f>IFERROR(INDEX(MASTER_JAM!$B$5:$B$94,MATCH($C1861,MASTER_JAM!$A$5:$A$94,0)),"")</f>
        <v/>
      </c>
      <c r="J1861" s="157">
        <f>IFERROR(INDEX(MASTER_JAM!$E$5:$E$94,MATCH($D1861,MASTER_JAM!$A$5:$A$94,0)),"")</f>
        <v/>
      </c>
      <c r="K1861" s="158">
        <f>IFERROR(INDEX(MASTER_JAM!$J$5:$O$12,MATCH($E1861,MASTER_JAM!$I$5:$I$12,0),MATCH($J1861,MASTER_JAM!$J$4:$O$4,0))+0,0)</f>
        <v/>
      </c>
      <c r="L1861" s="159">
        <f>N($F1861)*$K1861</f>
        <v/>
      </c>
      <c r="M1861" s="157">
        <f>IF($E1861="","",IF(OR($E1861="Coal",$E1861="Dirty Coal"),"MT","BCM"))</f>
        <v/>
      </c>
      <c r="N1861" s="157">
        <f>IF($E1861="","",IF(OR($E1861="Coal",$E1861="Dirty Coal"),"Coal","OB"))</f>
        <v/>
      </c>
      <c r="O1861" s="157">
        <f>IF($F1861="","",IF(COUNTIF(MASTER_JAM!$A$5:$A$94,$C1861)=0,"Digger tidak dikenal",IF($J1861="","Hauler tidak dikenal",IF($H1861="?","Jam salah",IF($K1861=0,"Faktor kosong",IF(SUMIFS(INPUT_DELAY!$E$5:$E$20000,INPUT_DELAY!$A$5:$A$20000,$A1861,INPUT_DELAY!$B$5:$B$20000,$B1861,INPUT_DELAY!$C$5:$C$20000,$C1861)+SUMIFS(INPUT_DELAY!$E$5:$E$20000,INPUT_DELAY!$A$5:$A$20000,$A1861,INPUT_DELAY!$B$5:$B$20000,$B1861,INPUT_DELAY!$C$5:$C$20000,"SEMUA")&gt;=60,"Delay 60 mnt tapi ada ritase","OK"))))))</f>
        <v/>
      </c>
      <c r="P1861" s="158">
        <f>IFERROR(INDEX(MASTER_JAM!$Z$5:$AC$10,MATCH($I1861,MASTER_JAM!$Y$5:$Y$10,0),MATCH($J1861,MASTER_JAM!$Z$4:$AC$4,0))+0,0)</f>
        <v/>
      </c>
      <c r="Q1861" s="158">
        <f>IF($P1861=0,0,$P1861+IFERROR(INDEX(MASTER_JAM!$H$5:$H$94,MATCH($C1861,MASTER_JAM!$A$5:$A$94,0))+0,MASTER_JAM!$AC$15)/1000*(60/MASTER_JAM!$AC$12+60/MASTER_JAM!$AC$13)+MASTER_JAM!$AC$14)</f>
        <v/>
      </c>
      <c r="R1861" s="158">
        <f>IF(N($F1861)=0,0,$F1861/SUMIFS(INPUT_RITASE!$F$5:$F$20000,INPUT_RITASE!$A$5:$A$20000,$A1861,INPUT_RITASE!$B$5:$B$20000,$B1861,INPUT_RITASE!$C$5:$C$20000,$C1861,INPUT_RITASE!$D$5:$D$20000,$D1861))</f>
        <v/>
      </c>
      <c r="S1861" s="158">
        <f>IF($Q1861=0,0,$R1861*$P1861/$Q1861)</f>
        <v/>
      </c>
    </row>
    <row r="1862">
      <c r="A1862" s="155" t="n">
        <v>46110</v>
      </c>
      <c r="B1862" s="156" t="inlineStr">
        <is>
          <t>19-20</t>
        </is>
      </c>
      <c r="C1862" s="156" t="inlineStr">
        <is>
          <t>EX-755</t>
        </is>
      </c>
      <c r="D1862" s="156" t="inlineStr">
        <is>
          <t>DT-519</t>
        </is>
      </c>
      <c r="E1862" s="156" t="inlineStr">
        <is>
          <t>Mud</t>
        </is>
      </c>
      <c r="F1862" s="156" t="n">
        <v>3</v>
      </c>
      <c r="G1862" s="156" t="inlineStr"/>
      <c r="H1862" s="157">
        <f>IF($B1862="","",IF(ISNA(MATCH($B1862,MASTER_JAM!$Q$5:$Q$28,0)),"?",IF(MATCH($B1862,MASTER_JAM!$Q$5:$Q$28,0)&lt;=12,"DS","NS")))</f>
        <v/>
      </c>
      <c r="I1862" s="157">
        <f>IFERROR(INDEX(MASTER_JAM!$B$5:$B$94,MATCH($C1862,MASTER_JAM!$A$5:$A$94,0)),"")</f>
        <v/>
      </c>
      <c r="J1862" s="157">
        <f>IFERROR(INDEX(MASTER_JAM!$E$5:$E$94,MATCH($D1862,MASTER_JAM!$A$5:$A$94,0)),"")</f>
        <v/>
      </c>
      <c r="K1862" s="158">
        <f>IFERROR(INDEX(MASTER_JAM!$J$5:$O$12,MATCH($E1862,MASTER_JAM!$I$5:$I$12,0),MATCH($J1862,MASTER_JAM!$J$4:$O$4,0))+0,0)</f>
        <v/>
      </c>
      <c r="L1862" s="159">
        <f>N($F1862)*$K1862</f>
        <v/>
      </c>
      <c r="M1862" s="157">
        <f>IF($E1862="","",IF(OR($E1862="Coal",$E1862="Dirty Coal"),"MT","BCM"))</f>
        <v/>
      </c>
      <c r="N1862" s="157">
        <f>IF($E1862="","",IF(OR($E1862="Coal",$E1862="Dirty Coal"),"Coal","OB"))</f>
        <v/>
      </c>
      <c r="O1862" s="157">
        <f>IF($F1862="","",IF(COUNTIF(MASTER_JAM!$A$5:$A$94,$C1862)=0,"Digger tidak dikenal",IF($J1862="","Hauler tidak dikenal",IF($H1862="?","Jam salah",IF($K1862=0,"Faktor kosong",IF(SUMIFS(INPUT_DELAY!$E$5:$E$20000,INPUT_DELAY!$A$5:$A$20000,$A1862,INPUT_DELAY!$B$5:$B$20000,$B1862,INPUT_DELAY!$C$5:$C$20000,$C1862)+SUMIFS(INPUT_DELAY!$E$5:$E$20000,INPUT_DELAY!$A$5:$A$20000,$A1862,INPUT_DELAY!$B$5:$B$20000,$B1862,INPUT_DELAY!$C$5:$C$20000,"SEMUA")&gt;=60,"Delay 60 mnt tapi ada ritase","OK"))))))</f>
        <v/>
      </c>
      <c r="P1862" s="158">
        <f>IFERROR(INDEX(MASTER_JAM!$Z$5:$AC$10,MATCH($I1862,MASTER_JAM!$Y$5:$Y$10,0),MATCH($J1862,MASTER_JAM!$Z$4:$AC$4,0))+0,0)</f>
        <v/>
      </c>
      <c r="Q1862" s="158">
        <f>IF($P1862=0,0,$P1862+IFERROR(INDEX(MASTER_JAM!$H$5:$H$94,MATCH($C1862,MASTER_JAM!$A$5:$A$94,0))+0,MASTER_JAM!$AC$15)/1000*(60/MASTER_JAM!$AC$12+60/MASTER_JAM!$AC$13)+MASTER_JAM!$AC$14)</f>
        <v/>
      </c>
      <c r="R1862" s="158">
        <f>IF(N($F1862)=0,0,$F1862/SUMIFS(INPUT_RITASE!$F$5:$F$20000,INPUT_RITASE!$A$5:$A$20000,$A1862,INPUT_RITASE!$B$5:$B$20000,$B1862,INPUT_RITASE!$C$5:$C$20000,$C1862,INPUT_RITASE!$D$5:$D$20000,$D1862))</f>
        <v/>
      </c>
      <c r="S1862" s="158">
        <f>IF($Q1862=0,0,$R1862*$P1862/$Q1862)</f>
        <v/>
      </c>
    </row>
    <row r="1863">
      <c r="A1863" s="155" t="n">
        <v>46110</v>
      </c>
      <c r="B1863" s="156" t="inlineStr">
        <is>
          <t>20-21</t>
        </is>
      </c>
      <c r="C1863" s="156" t="inlineStr">
        <is>
          <t>EX-755</t>
        </is>
      </c>
      <c r="D1863" s="156" t="inlineStr">
        <is>
          <t>DT-520</t>
        </is>
      </c>
      <c r="E1863" s="156" t="inlineStr">
        <is>
          <t>Mud</t>
        </is>
      </c>
      <c r="F1863" s="156" t="n">
        <v>4</v>
      </c>
      <c r="G1863" s="156" t="inlineStr"/>
      <c r="H1863" s="157">
        <f>IF($B1863="","",IF(ISNA(MATCH($B1863,MASTER_JAM!$Q$5:$Q$28,0)),"?",IF(MATCH($B1863,MASTER_JAM!$Q$5:$Q$28,0)&lt;=12,"DS","NS")))</f>
        <v/>
      </c>
      <c r="I1863" s="157">
        <f>IFERROR(INDEX(MASTER_JAM!$B$5:$B$94,MATCH($C1863,MASTER_JAM!$A$5:$A$94,0)),"")</f>
        <v/>
      </c>
      <c r="J1863" s="157">
        <f>IFERROR(INDEX(MASTER_JAM!$E$5:$E$94,MATCH($D1863,MASTER_JAM!$A$5:$A$94,0)),"")</f>
        <v/>
      </c>
      <c r="K1863" s="158">
        <f>IFERROR(INDEX(MASTER_JAM!$J$5:$O$12,MATCH($E1863,MASTER_JAM!$I$5:$I$12,0),MATCH($J1863,MASTER_JAM!$J$4:$O$4,0))+0,0)</f>
        <v/>
      </c>
      <c r="L1863" s="159">
        <f>N($F1863)*$K1863</f>
        <v/>
      </c>
      <c r="M1863" s="157">
        <f>IF($E1863="","",IF(OR($E1863="Coal",$E1863="Dirty Coal"),"MT","BCM"))</f>
        <v/>
      </c>
      <c r="N1863" s="157">
        <f>IF($E1863="","",IF(OR($E1863="Coal",$E1863="Dirty Coal"),"Coal","OB"))</f>
        <v/>
      </c>
      <c r="O1863" s="157">
        <f>IF($F1863="","",IF(COUNTIF(MASTER_JAM!$A$5:$A$94,$C1863)=0,"Digger tidak dikenal",IF($J1863="","Hauler tidak dikenal",IF($H1863="?","Jam salah",IF($K1863=0,"Faktor kosong",IF(SUMIFS(INPUT_DELAY!$E$5:$E$20000,INPUT_DELAY!$A$5:$A$20000,$A1863,INPUT_DELAY!$B$5:$B$20000,$B1863,INPUT_DELAY!$C$5:$C$20000,$C1863)+SUMIFS(INPUT_DELAY!$E$5:$E$20000,INPUT_DELAY!$A$5:$A$20000,$A1863,INPUT_DELAY!$B$5:$B$20000,$B1863,INPUT_DELAY!$C$5:$C$20000,"SEMUA")&gt;=60,"Delay 60 mnt tapi ada ritase","OK"))))))</f>
        <v/>
      </c>
      <c r="P1863" s="158">
        <f>IFERROR(INDEX(MASTER_JAM!$Z$5:$AC$10,MATCH($I1863,MASTER_JAM!$Y$5:$Y$10,0),MATCH($J1863,MASTER_JAM!$Z$4:$AC$4,0))+0,0)</f>
        <v/>
      </c>
      <c r="Q1863" s="158">
        <f>IF($P1863=0,0,$P1863+IFERROR(INDEX(MASTER_JAM!$H$5:$H$94,MATCH($C1863,MASTER_JAM!$A$5:$A$94,0))+0,MASTER_JAM!$AC$15)/1000*(60/MASTER_JAM!$AC$12+60/MASTER_JAM!$AC$13)+MASTER_JAM!$AC$14)</f>
        <v/>
      </c>
      <c r="R1863" s="158">
        <f>IF(N($F1863)=0,0,$F1863/SUMIFS(INPUT_RITASE!$F$5:$F$20000,INPUT_RITASE!$A$5:$A$20000,$A1863,INPUT_RITASE!$B$5:$B$20000,$B1863,INPUT_RITASE!$C$5:$C$20000,$C1863,INPUT_RITASE!$D$5:$D$20000,$D1863))</f>
        <v/>
      </c>
      <c r="S1863" s="158">
        <f>IF($Q1863=0,0,$R1863*$P1863/$Q1863)</f>
        <v/>
      </c>
    </row>
    <row r="1864">
      <c r="A1864" s="155" t="n">
        <v>46110</v>
      </c>
      <c r="B1864" s="156" t="inlineStr">
        <is>
          <t>20-21</t>
        </is>
      </c>
      <c r="C1864" s="156" t="inlineStr">
        <is>
          <t>EX-755</t>
        </is>
      </c>
      <c r="D1864" s="156" t="inlineStr">
        <is>
          <t>DT-502</t>
        </is>
      </c>
      <c r="E1864" s="156" t="inlineStr">
        <is>
          <t>Mud</t>
        </is>
      </c>
      <c r="F1864" s="156" t="n">
        <v>4</v>
      </c>
      <c r="G1864" s="156" t="inlineStr"/>
      <c r="H1864" s="157">
        <f>IF($B1864="","",IF(ISNA(MATCH($B1864,MASTER_JAM!$Q$5:$Q$28,0)),"?",IF(MATCH($B1864,MASTER_JAM!$Q$5:$Q$28,0)&lt;=12,"DS","NS")))</f>
        <v/>
      </c>
      <c r="I1864" s="157">
        <f>IFERROR(INDEX(MASTER_JAM!$B$5:$B$94,MATCH($C1864,MASTER_JAM!$A$5:$A$94,0)),"")</f>
        <v/>
      </c>
      <c r="J1864" s="157">
        <f>IFERROR(INDEX(MASTER_JAM!$E$5:$E$94,MATCH($D1864,MASTER_JAM!$A$5:$A$94,0)),"")</f>
        <v/>
      </c>
      <c r="K1864" s="158">
        <f>IFERROR(INDEX(MASTER_JAM!$J$5:$O$12,MATCH($E1864,MASTER_JAM!$I$5:$I$12,0),MATCH($J1864,MASTER_JAM!$J$4:$O$4,0))+0,0)</f>
        <v/>
      </c>
      <c r="L1864" s="159">
        <f>N($F1864)*$K1864</f>
        <v/>
      </c>
      <c r="M1864" s="157">
        <f>IF($E1864="","",IF(OR($E1864="Coal",$E1864="Dirty Coal"),"MT","BCM"))</f>
        <v/>
      </c>
      <c r="N1864" s="157">
        <f>IF($E1864="","",IF(OR($E1864="Coal",$E1864="Dirty Coal"),"Coal","OB"))</f>
        <v/>
      </c>
      <c r="O1864" s="157">
        <f>IF($F1864="","",IF(COUNTIF(MASTER_JAM!$A$5:$A$94,$C1864)=0,"Digger tidak dikenal",IF($J1864="","Hauler tidak dikenal",IF($H1864="?","Jam salah",IF($K1864=0,"Faktor kosong",IF(SUMIFS(INPUT_DELAY!$E$5:$E$20000,INPUT_DELAY!$A$5:$A$20000,$A1864,INPUT_DELAY!$B$5:$B$20000,$B1864,INPUT_DELAY!$C$5:$C$20000,$C1864)+SUMIFS(INPUT_DELAY!$E$5:$E$20000,INPUT_DELAY!$A$5:$A$20000,$A1864,INPUT_DELAY!$B$5:$B$20000,$B1864,INPUT_DELAY!$C$5:$C$20000,"SEMUA")&gt;=60,"Delay 60 mnt tapi ada ritase","OK"))))))</f>
        <v/>
      </c>
      <c r="P1864" s="158">
        <f>IFERROR(INDEX(MASTER_JAM!$Z$5:$AC$10,MATCH($I1864,MASTER_JAM!$Y$5:$Y$10,0),MATCH($J1864,MASTER_JAM!$Z$4:$AC$4,0))+0,0)</f>
        <v/>
      </c>
      <c r="Q1864" s="158">
        <f>IF($P1864=0,0,$P1864+IFERROR(INDEX(MASTER_JAM!$H$5:$H$94,MATCH($C1864,MASTER_JAM!$A$5:$A$94,0))+0,MASTER_JAM!$AC$15)/1000*(60/MASTER_JAM!$AC$12+60/MASTER_JAM!$AC$13)+MASTER_JAM!$AC$14)</f>
        <v/>
      </c>
      <c r="R1864" s="158">
        <f>IF(N($F1864)=0,0,$F1864/SUMIFS(INPUT_RITASE!$F$5:$F$20000,INPUT_RITASE!$A$5:$A$20000,$A1864,INPUT_RITASE!$B$5:$B$20000,$B1864,INPUT_RITASE!$C$5:$C$20000,$C1864,INPUT_RITASE!$D$5:$D$20000,$D1864))</f>
        <v/>
      </c>
      <c r="S1864" s="158">
        <f>IF($Q1864=0,0,$R1864*$P1864/$Q1864)</f>
        <v/>
      </c>
    </row>
    <row r="1865">
      <c r="A1865" s="155" t="n">
        <v>46110</v>
      </c>
      <c r="B1865" s="156" t="inlineStr">
        <is>
          <t>20-21</t>
        </is>
      </c>
      <c r="C1865" s="156" t="inlineStr">
        <is>
          <t>EX-755</t>
        </is>
      </c>
      <c r="D1865" s="156" t="inlineStr">
        <is>
          <t>DT-514</t>
        </is>
      </c>
      <c r="E1865" s="156" t="inlineStr">
        <is>
          <t>Mud</t>
        </is>
      </c>
      <c r="F1865" s="156" t="n">
        <v>3</v>
      </c>
      <c r="G1865" s="156" t="inlineStr"/>
      <c r="H1865" s="157">
        <f>IF($B1865="","",IF(ISNA(MATCH($B1865,MASTER_JAM!$Q$5:$Q$28,0)),"?",IF(MATCH($B1865,MASTER_JAM!$Q$5:$Q$28,0)&lt;=12,"DS","NS")))</f>
        <v/>
      </c>
      <c r="I1865" s="157">
        <f>IFERROR(INDEX(MASTER_JAM!$B$5:$B$94,MATCH($C1865,MASTER_JAM!$A$5:$A$94,0)),"")</f>
        <v/>
      </c>
      <c r="J1865" s="157">
        <f>IFERROR(INDEX(MASTER_JAM!$E$5:$E$94,MATCH($D1865,MASTER_JAM!$A$5:$A$94,0)),"")</f>
        <v/>
      </c>
      <c r="K1865" s="158">
        <f>IFERROR(INDEX(MASTER_JAM!$J$5:$O$12,MATCH($E1865,MASTER_JAM!$I$5:$I$12,0),MATCH($J1865,MASTER_JAM!$J$4:$O$4,0))+0,0)</f>
        <v/>
      </c>
      <c r="L1865" s="159">
        <f>N($F1865)*$K1865</f>
        <v/>
      </c>
      <c r="M1865" s="157">
        <f>IF($E1865="","",IF(OR($E1865="Coal",$E1865="Dirty Coal"),"MT","BCM"))</f>
        <v/>
      </c>
      <c r="N1865" s="157">
        <f>IF($E1865="","",IF(OR($E1865="Coal",$E1865="Dirty Coal"),"Coal","OB"))</f>
        <v/>
      </c>
      <c r="O1865" s="157">
        <f>IF($F1865="","",IF(COUNTIF(MASTER_JAM!$A$5:$A$94,$C1865)=0,"Digger tidak dikenal",IF($J1865="","Hauler tidak dikenal",IF($H1865="?","Jam salah",IF($K1865=0,"Faktor kosong",IF(SUMIFS(INPUT_DELAY!$E$5:$E$20000,INPUT_DELAY!$A$5:$A$20000,$A1865,INPUT_DELAY!$B$5:$B$20000,$B1865,INPUT_DELAY!$C$5:$C$20000,$C1865)+SUMIFS(INPUT_DELAY!$E$5:$E$20000,INPUT_DELAY!$A$5:$A$20000,$A1865,INPUT_DELAY!$B$5:$B$20000,$B1865,INPUT_DELAY!$C$5:$C$20000,"SEMUA")&gt;=60,"Delay 60 mnt tapi ada ritase","OK"))))))</f>
        <v/>
      </c>
      <c r="P1865" s="158">
        <f>IFERROR(INDEX(MASTER_JAM!$Z$5:$AC$10,MATCH($I1865,MASTER_JAM!$Y$5:$Y$10,0),MATCH($J1865,MASTER_JAM!$Z$4:$AC$4,0))+0,0)</f>
        <v/>
      </c>
      <c r="Q1865" s="158">
        <f>IF($P1865=0,0,$P1865+IFERROR(INDEX(MASTER_JAM!$H$5:$H$94,MATCH($C1865,MASTER_JAM!$A$5:$A$94,0))+0,MASTER_JAM!$AC$15)/1000*(60/MASTER_JAM!$AC$12+60/MASTER_JAM!$AC$13)+MASTER_JAM!$AC$14)</f>
        <v/>
      </c>
      <c r="R1865" s="158">
        <f>IF(N($F1865)=0,0,$F1865/SUMIFS(INPUT_RITASE!$F$5:$F$20000,INPUT_RITASE!$A$5:$A$20000,$A1865,INPUT_RITASE!$B$5:$B$20000,$B1865,INPUT_RITASE!$C$5:$C$20000,$C1865,INPUT_RITASE!$D$5:$D$20000,$D1865))</f>
        <v/>
      </c>
      <c r="S1865" s="158">
        <f>IF($Q1865=0,0,$R1865*$P1865/$Q1865)</f>
        <v/>
      </c>
    </row>
    <row r="1866">
      <c r="A1866" s="155" t="n">
        <v>46110</v>
      </c>
      <c r="B1866" s="156" t="inlineStr">
        <is>
          <t>21-22</t>
        </is>
      </c>
      <c r="C1866" s="156" t="inlineStr">
        <is>
          <t>EX-755</t>
        </is>
      </c>
      <c r="D1866" s="156" t="inlineStr">
        <is>
          <t>DT-522</t>
        </is>
      </c>
      <c r="E1866" s="156" t="inlineStr">
        <is>
          <t>Mud</t>
        </is>
      </c>
      <c r="F1866" s="156" t="n">
        <v>4</v>
      </c>
      <c r="G1866" s="156" t="inlineStr"/>
      <c r="H1866" s="157">
        <f>IF($B1866="","",IF(ISNA(MATCH($B1866,MASTER_JAM!$Q$5:$Q$28,0)),"?",IF(MATCH($B1866,MASTER_JAM!$Q$5:$Q$28,0)&lt;=12,"DS","NS")))</f>
        <v/>
      </c>
      <c r="I1866" s="157">
        <f>IFERROR(INDEX(MASTER_JAM!$B$5:$B$94,MATCH($C1866,MASTER_JAM!$A$5:$A$94,0)),"")</f>
        <v/>
      </c>
      <c r="J1866" s="157">
        <f>IFERROR(INDEX(MASTER_JAM!$E$5:$E$94,MATCH($D1866,MASTER_JAM!$A$5:$A$94,0)),"")</f>
        <v/>
      </c>
      <c r="K1866" s="158">
        <f>IFERROR(INDEX(MASTER_JAM!$J$5:$O$12,MATCH($E1866,MASTER_JAM!$I$5:$I$12,0),MATCH($J1866,MASTER_JAM!$J$4:$O$4,0))+0,0)</f>
        <v/>
      </c>
      <c r="L1866" s="159">
        <f>N($F1866)*$K1866</f>
        <v/>
      </c>
      <c r="M1866" s="157">
        <f>IF($E1866="","",IF(OR($E1866="Coal",$E1866="Dirty Coal"),"MT","BCM"))</f>
        <v/>
      </c>
      <c r="N1866" s="157">
        <f>IF($E1866="","",IF(OR($E1866="Coal",$E1866="Dirty Coal"),"Coal","OB"))</f>
        <v/>
      </c>
      <c r="O1866" s="157">
        <f>IF($F1866="","",IF(COUNTIF(MASTER_JAM!$A$5:$A$94,$C1866)=0,"Digger tidak dikenal",IF($J1866="","Hauler tidak dikenal",IF($H1866="?","Jam salah",IF($K1866=0,"Faktor kosong",IF(SUMIFS(INPUT_DELAY!$E$5:$E$20000,INPUT_DELAY!$A$5:$A$20000,$A1866,INPUT_DELAY!$B$5:$B$20000,$B1866,INPUT_DELAY!$C$5:$C$20000,$C1866)+SUMIFS(INPUT_DELAY!$E$5:$E$20000,INPUT_DELAY!$A$5:$A$20000,$A1866,INPUT_DELAY!$B$5:$B$20000,$B1866,INPUT_DELAY!$C$5:$C$20000,"SEMUA")&gt;=60,"Delay 60 mnt tapi ada ritase","OK"))))))</f>
        <v/>
      </c>
      <c r="P1866" s="158">
        <f>IFERROR(INDEX(MASTER_JAM!$Z$5:$AC$10,MATCH($I1866,MASTER_JAM!$Y$5:$Y$10,0),MATCH($J1866,MASTER_JAM!$Z$4:$AC$4,0))+0,0)</f>
        <v/>
      </c>
      <c r="Q1866" s="158">
        <f>IF($P1866=0,0,$P1866+IFERROR(INDEX(MASTER_JAM!$H$5:$H$94,MATCH($C1866,MASTER_JAM!$A$5:$A$94,0))+0,MASTER_JAM!$AC$15)/1000*(60/MASTER_JAM!$AC$12+60/MASTER_JAM!$AC$13)+MASTER_JAM!$AC$14)</f>
        <v/>
      </c>
      <c r="R1866" s="158">
        <f>IF(N($F1866)=0,0,$F1866/SUMIFS(INPUT_RITASE!$F$5:$F$20000,INPUT_RITASE!$A$5:$A$20000,$A1866,INPUT_RITASE!$B$5:$B$20000,$B1866,INPUT_RITASE!$C$5:$C$20000,$C1866,INPUT_RITASE!$D$5:$D$20000,$D1866))</f>
        <v/>
      </c>
      <c r="S1866" s="158">
        <f>IF($Q1866=0,0,$R1866*$P1866/$Q1866)</f>
        <v/>
      </c>
    </row>
    <row r="1867">
      <c r="A1867" s="155" t="n">
        <v>46110</v>
      </c>
      <c r="B1867" s="156" t="inlineStr">
        <is>
          <t>18-19</t>
        </is>
      </c>
      <c r="C1867" s="156" t="inlineStr">
        <is>
          <t>EX-753</t>
        </is>
      </c>
      <c r="D1867" s="156" t="inlineStr">
        <is>
          <t>DT-528</t>
        </is>
      </c>
      <c r="E1867" s="156" t="inlineStr">
        <is>
          <t>OB</t>
        </is>
      </c>
      <c r="F1867" s="156" t="n">
        <v>4</v>
      </c>
      <c r="G1867" s="156" t="inlineStr"/>
      <c r="H1867" s="157">
        <f>IF($B1867="","",IF(ISNA(MATCH($B1867,MASTER_JAM!$Q$5:$Q$28,0)),"?",IF(MATCH($B1867,MASTER_JAM!$Q$5:$Q$28,0)&lt;=12,"DS","NS")))</f>
        <v/>
      </c>
      <c r="I1867" s="157">
        <f>IFERROR(INDEX(MASTER_JAM!$B$5:$B$94,MATCH($C1867,MASTER_JAM!$A$5:$A$94,0)),"")</f>
        <v/>
      </c>
      <c r="J1867" s="157">
        <f>IFERROR(INDEX(MASTER_JAM!$E$5:$E$94,MATCH($D1867,MASTER_JAM!$A$5:$A$94,0)),"")</f>
        <v/>
      </c>
      <c r="K1867" s="158">
        <f>IFERROR(INDEX(MASTER_JAM!$J$5:$O$12,MATCH($E1867,MASTER_JAM!$I$5:$I$12,0),MATCH($J1867,MASTER_JAM!$J$4:$O$4,0))+0,0)</f>
        <v/>
      </c>
      <c r="L1867" s="159">
        <f>N($F1867)*$K1867</f>
        <v/>
      </c>
      <c r="M1867" s="157">
        <f>IF($E1867="","",IF(OR($E1867="Coal",$E1867="Dirty Coal"),"MT","BCM"))</f>
        <v/>
      </c>
      <c r="N1867" s="157">
        <f>IF($E1867="","",IF(OR($E1867="Coal",$E1867="Dirty Coal"),"Coal","OB"))</f>
        <v/>
      </c>
      <c r="O1867" s="157">
        <f>IF($F1867="","",IF(COUNTIF(MASTER_JAM!$A$5:$A$94,$C1867)=0,"Digger tidak dikenal",IF($J1867="","Hauler tidak dikenal",IF($H1867="?","Jam salah",IF($K1867=0,"Faktor kosong",IF(SUMIFS(INPUT_DELAY!$E$5:$E$20000,INPUT_DELAY!$A$5:$A$20000,$A1867,INPUT_DELAY!$B$5:$B$20000,$B1867,INPUT_DELAY!$C$5:$C$20000,$C1867)+SUMIFS(INPUT_DELAY!$E$5:$E$20000,INPUT_DELAY!$A$5:$A$20000,$A1867,INPUT_DELAY!$B$5:$B$20000,$B1867,INPUT_DELAY!$C$5:$C$20000,"SEMUA")&gt;=60,"Delay 60 mnt tapi ada ritase","OK"))))))</f>
        <v/>
      </c>
      <c r="P1867" s="158">
        <f>IFERROR(INDEX(MASTER_JAM!$Z$5:$AC$10,MATCH($I1867,MASTER_JAM!$Y$5:$Y$10,0),MATCH($J1867,MASTER_JAM!$Z$4:$AC$4,0))+0,0)</f>
        <v/>
      </c>
      <c r="Q1867" s="158">
        <f>IF($P1867=0,0,$P1867+IFERROR(INDEX(MASTER_JAM!$H$5:$H$94,MATCH($C1867,MASTER_JAM!$A$5:$A$94,0))+0,MASTER_JAM!$AC$15)/1000*(60/MASTER_JAM!$AC$12+60/MASTER_JAM!$AC$13)+MASTER_JAM!$AC$14)</f>
        <v/>
      </c>
      <c r="R1867" s="158">
        <f>IF(N($F1867)=0,0,$F1867/SUMIFS(INPUT_RITASE!$F$5:$F$20000,INPUT_RITASE!$A$5:$A$20000,$A1867,INPUT_RITASE!$B$5:$B$20000,$B1867,INPUT_RITASE!$C$5:$C$20000,$C1867,INPUT_RITASE!$D$5:$D$20000,$D1867))</f>
        <v/>
      </c>
      <c r="S1867" s="158">
        <f>IF($Q1867=0,0,$R1867*$P1867/$Q1867)</f>
        <v/>
      </c>
    </row>
    <row r="1868">
      <c r="A1868" s="155" t="n">
        <v>46110</v>
      </c>
      <c r="B1868" s="156" t="inlineStr">
        <is>
          <t>18-19</t>
        </is>
      </c>
      <c r="C1868" s="156" t="inlineStr">
        <is>
          <t>EX-753</t>
        </is>
      </c>
      <c r="D1868" s="156" t="inlineStr">
        <is>
          <t>DT-517</t>
        </is>
      </c>
      <c r="E1868" s="156" t="inlineStr">
        <is>
          <t>OB</t>
        </is>
      </c>
      <c r="F1868" s="156" t="n">
        <v>4</v>
      </c>
      <c r="G1868" s="156" t="inlineStr"/>
      <c r="H1868" s="157">
        <f>IF($B1868="","",IF(ISNA(MATCH($B1868,MASTER_JAM!$Q$5:$Q$28,0)),"?",IF(MATCH($B1868,MASTER_JAM!$Q$5:$Q$28,0)&lt;=12,"DS","NS")))</f>
        <v/>
      </c>
      <c r="I1868" s="157">
        <f>IFERROR(INDEX(MASTER_JAM!$B$5:$B$94,MATCH($C1868,MASTER_JAM!$A$5:$A$94,0)),"")</f>
        <v/>
      </c>
      <c r="J1868" s="157">
        <f>IFERROR(INDEX(MASTER_JAM!$E$5:$E$94,MATCH($D1868,MASTER_JAM!$A$5:$A$94,0)),"")</f>
        <v/>
      </c>
      <c r="K1868" s="158">
        <f>IFERROR(INDEX(MASTER_JAM!$J$5:$O$12,MATCH($E1868,MASTER_JAM!$I$5:$I$12,0),MATCH($J1868,MASTER_JAM!$J$4:$O$4,0))+0,0)</f>
        <v/>
      </c>
      <c r="L1868" s="159">
        <f>N($F1868)*$K1868</f>
        <v/>
      </c>
      <c r="M1868" s="157">
        <f>IF($E1868="","",IF(OR($E1868="Coal",$E1868="Dirty Coal"),"MT","BCM"))</f>
        <v/>
      </c>
      <c r="N1868" s="157">
        <f>IF($E1868="","",IF(OR($E1868="Coal",$E1868="Dirty Coal"),"Coal","OB"))</f>
        <v/>
      </c>
      <c r="O1868" s="157">
        <f>IF($F1868="","",IF(COUNTIF(MASTER_JAM!$A$5:$A$94,$C1868)=0,"Digger tidak dikenal",IF($J1868="","Hauler tidak dikenal",IF($H1868="?","Jam salah",IF($K1868=0,"Faktor kosong",IF(SUMIFS(INPUT_DELAY!$E$5:$E$20000,INPUT_DELAY!$A$5:$A$20000,$A1868,INPUT_DELAY!$B$5:$B$20000,$B1868,INPUT_DELAY!$C$5:$C$20000,$C1868)+SUMIFS(INPUT_DELAY!$E$5:$E$20000,INPUT_DELAY!$A$5:$A$20000,$A1868,INPUT_DELAY!$B$5:$B$20000,$B1868,INPUT_DELAY!$C$5:$C$20000,"SEMUA")&gt;=60,"Delay 60 mnt tapi ada ritase","OK"))))))</f>
        <v/>
      </c>
      <c r="P1868" s="158">
        <f>IFERROR(INDEX(MASTER_JAM!$Z$5:$AC$10,MATCH($I1868,MASTER_JAM!$Y$5:$Y$10,0),MATCH($J1868,MASTER_JAM!$Z$4:$AC$4,0))+0,0)</f>
        <v/>
      </c>
      <c r="Q1868" s="158">
        <f>IF($P1868=0,0,$P1868+IFERROR(INDEX(MASTER_JAM!$H$5:$H$94,MATCH($C1868,MASTER_JAM!$A$5:$A$94,0))+0,MASTER_JAM!$AC$15)/1000*(60/MASTER_JAM!$AC$12+60/MASTER_JAM!$AC$13)+MASTER_JAM!$AC$14)</f>
        <v/>
      </c>
      <c r="R1868" s="158">
        <f>IF(N($F1868)=0,0,$F1868/SUMIFS(INPUT_RITASE!$F$5:$F$20000,INPUT_RITASE!$A$5:$A$20000,$A1868,INPUT_RITASE!$B$5:$B$20000,$B1868,INPUT_RITASE!$C$5:$C$20000,$C1868,INPUT_RITASE!$D$5:$D$20000,$D1868))</f>
        <v/>
      </c>
      <c r="S1868" s="158">
        <f>IF($Q1868=0,0,$R1868*$P1868/$Q1868)</f>
        <v/>
      </c>
    </row>
    <row r="1869">
      <c r="A1869" s="155" t="n">
        <v>46110</v>
      </c>
      <c r="B1869" s="156" t="inlineStr">
        <is>
          <t>18-19</t>
        </is>
      </c>
      <c r="C1869" s="156" t="inlineStr">
        <is>
          <t>EX-753</t>
        </is>
      </c>
      <c r="D1869" s="156" t="inlineStr">
        <is>
          <t>DT-529</t>
        </is>
      </c>
      <c r="E1869" s="156" t="inlineStr">
        <is>
          <t>OB</t>
        </is>
      </c>
      <c r="F1869" s="156" t="n">
        <v>4</v>
      </c>
      <c r="G1869" s="156" t="inlineStr"/>
      <c r="H1869" s="157">
        <f>IF($B1869="","",IF(ISNA(MATCH($B1869,MASTER_JAM!$Q$5:$Q$28,0)),"?",IF(MATCH($B1869,MASTER_JAM!$Q$5:$Q$28,0)&lt;=12,"DS","NS")))</f>
        <v/>
      </c>
      <c r="I1869" s="157">
        <f>IFERROR(INDEX(MASTER_JAM!$B$5:$B$94,MATCH($C1869,MASTER_JAM!$A$5:$A$94,0)),"")</f>
        <v/>
      </c>
      <c r="J1869" s="157">
        <f>IFERROR(INDEX(MASTER_JAM!$E$5:$E$94,MATCH($D1869,MASTER_JAM!$A$5:$A$94,0)),"")</f>
        <v/>
      </c>
      <c r="K1869" s="158">
        <f>IFERROR(INDEX(MASTER_JAM!$J$5:$O$12,MATCH($E1869,MASTER_JAM!$I$5:$I$12,0),MATCH($J1869,MASTER_JAM!$J$4:$O$4,0))+0,0)</f>
        <v/>
      </c>
      <c r="L1869" s="159">
        <f>N($F1869)*$K1869</f>
        <v/>
      </c>
      <c r="M1869" s="157">
        <f>IF($E1869="","",IF(OR($E1869="Coal",$E1869="Dirty Coal"),"MT","BCM"))</f>
        <v/>
      </c>
      <c r="N1869" s="157">
        <f>IF($E1869="","",IF(OR($E1869="Coal",$E1869="Dirty Coal"),"Coal","OB"))</f>
        <v/>
      </c>
      <c r="O1869" s="157">
        <f>IF($F1869="","",IF(COUNTIF(MASTER_JAM!$A$5:$A$94,$C1869)=0,"Digger tidak dikenal",IF($J1869="","Hauler tidak dikenal",IF($H1869="?","Jam salah",IF($K1869=0,"Faktor kosong",IF(SUMIFS(INPUT_DELAY!$E$5:$E$20000,INPUT_DELAY!$A$5:$A$20000,$A1869,INPUT_DELAY!$B$5:$B$20000,$B1869,INPUT_DELAY!$C$5:$C$20000,$C1869)+SUMIFS(INPUT_DELAY!$E$5:$E$20000,INPUT_DELAY!$A$5:$A$20000,$A1869,INPUT_DELAY!$B$5:$B$20000,$B1869,INPUT_DELAY!$C$5:$C$20000,"SEMUA")&gt;=60,"Delay 60 mnt tapi ada ritase","OK"))))))</f>
        <v/>
      </c>
      <c r="P1869" s="158">
        <f>IFERROR(INDEX(MASTER_JAM!$Z$5:$AC$10,MATCH($I1869,MASTER_JAM!$Y$5:$Y$10,0),MATCH($J1869,MASTER_JAM!$Z$4:$AC$4,0))+0,0)</f>
        <v/>
      </c>
      <c r="Q1869" s="158">
        <f>IF($P1869=0,0,$P1869+IFERROR(INDEX(MASTER_JAM!$H$5:$H$94,MATCH($C1869,MASTER_JAM!$A$5:$A$94,0))+0,MASTER_JAM!$AC$15)/1000*(60/MASTER_JAM!$AC$12+60/MASTER_JAM!$AC$13)+MASTER_JAM!$AC$14)</f>
        <v/>
      </c>
      <c r="R1869" s="158">
        <f>IF(N($F1869)=0,0,$F1869/SUMIFS(INPUT_RITASE!$F$5:$F$20000,INPUT_RITASE!$A$5:$A$20000,$A1869,INPUT_RITASE!$B$5:$B$20000,$B1869,INPUT_RITASE!$C$5:$C$20000,$C1869,INPUT_RITASE!$D$5:$D$20000,$D1869))</f>
        <v/>
      </c>
      <c r="S1869" s="158">
        <f>IF($Q1869=0,0,$R1869*$P1869/$Q1869)</f>
        <v/>
      </c>
    </row>
    <row r="1870">
      <c r="A1870" s="155" t="n">
        <v>46110</v>
      </c>
      <c r="B1870" s="156" t="inlineStr">
        <is>
          <t>18-19</t>
        </is>
      </c>
      <c r="C1870" s="156" t="inlineStr">
        <is>
          <t>EX-753</t>
        </is>
      </c>
      <c r="D1870" s="156" t="inlineStr">
        <is>
          <t>DT-512</t>
        </is>
      </c>
      <c r="E1870" s="156" t="inlineStr">
        <is>
          <t>OB</t>
        </is>
      </c>
      <c r="F1870" s="156" t="n">
        <v>4</v>
      </c>
      <c r="G1870" s="156" t="inlineStr"/>
      <c r="H1870" s="157">
        <f>IF($B1870="","",IF(ISNA(MATCH($B1870,MASTER_JAM!$Q$5:$Q$28,0)),"?",IF(MATCH($B1870,MASTER_JAM!$Q$5:$Q$28,0)&lt;=12,"DS","NS")))</f>
        <v/>
      </c>
      <c r="I1870" s="157">
        <f>IFERROR(INDEX(MASTER_JAM!$B$5:$B$94,MATCH($C1870,MASTER_JAM!$A$5:$A$94,0)),"")</f>
        <v/>
      </c>
      <c r="J1870" s="157">
        <f>IFERROR(INDEX(MASTER_JAM!$E$5:$E$94,MATCH($D1870,MASTER_JAM!$A$5:$A$94,0)),"")</f>
        <v/>
      </c>
      <c r="K1870" s="158">
        <f>IFERROR(INDEX(MASTER_JAM!$J$5:$O$12,MATCH($E1870,MASTER_JAM!$I$5:$I$12,0),MATCH($J1870,MASTER_JAM!$J$4:$O$4,0))+0,0)</f>
        <v/>
      </c>
      <c r="L1870" s="159">
        <f>N($F1870)*$K1870</f>
        <v/>
      </c>
      <c r="M1870" s="157">
        <f>IF($E1870="","",IF(OR($E1870="Coal",$E1870="Dirty Coal"),"MT","BCM"))</f>
        <v/>
      </c>
      <c r="N1870" s="157">
        <f>IF($E1870="","",IF(OR($E1870="Coal",$E1870="Dirty Coal"),"Coal","OB"))</f>
        <v/>
      </c>
      <c r="O1870" s="157">
        <f>IF($F1870="","",IF(COUNTIF(MASTER_JAM!$A$5:$A$94,$C1870)=0,"Digger tidak dikenal",IF($J1870="","Hauler tidak dikenal",IF($H1870="?","Jam salah",IF($K1870=0,"Faktor kosong",IF(SUMIFS(INPUT_DELAY!$E$5:$E$20000,INPUT_DELAY!$A$5:$A$20000,$A1870,INPUT_DELAY!$B$5:$B$20000,$B1870,INPUT_DELAY!$C$5:$C$20000,$C1870)+SUMIFS(INPUT_DELAY!$E$5:$E$20000,INPUT_DELAY!$A$5:$A$20000,$A1870,INPUT_DELAY!$B$5:$B$20000,$B1870,INPUT_DELAY!$C$5:$C$20000,"SEMUA")&gt;=60,"Delay 60 mnt tapi ada ritase","OK"))))))</f>
        <v/>
      </c>
      <c r="P1870" s="158">
        <f>IFERROR(INDEX(MASTER_JAM!$Z$5:$AC$10,MATCH($I1870,MASTER_JAM!$Y$5:$Y$10,0),MATCH($J1870,MASTER_JAM!$Z$4:$AC$4,0))+0,0)</f>
        <v/>
      </c>
      <c r="Q1870" s="158">
        <f>IF($P1870=0,0,$P1870+IFERROR(INDEX(MASTER_JAM!$H$5:$H$94,MATCH($C1870,MASTER_JAM!$A$5:$A$94,0))+0,MASTER_JAM!$AC$15)/1000*(60/MASTER_JAM!$AC$12+60/MASTER_JAM!$AC$13)+MASTER_JAM!$AC$14)</f>
        <v/>
      </c>
      <c r="R1870" s="158">
        <f>IF(N($F1870)=0,0,$F1870/SUMIFS(INPUT_RITASE!$F$5:$F$20000,INPUT_RITASE!$A$5:$A$20000,$A1870,INPUT_RITASE!$B$5:$B$20000,$B1870,INPUT_RITASE!$C$5:$C$20000,$C1870,INPUT_RITASE!$D$5:$D$20000,$D1870))</f>
        <v/>
      </c>
      <c r="S1870" s="158">
        <f>IF($Q1870=0,0,$R1870*$P1870/$Q1870)</f>
        <v/>
      </c>
    </row>
    <row r="1871">
      <c r="A1871" s="155" t="n">
        <v>46110</v>
      </c>
      <c r="B1871" s="156" t="inlineStr">
        <is>
          <t>19-20</t>
        </is>
      </c>
      <c r="C1871" s="156" t="inlineStr">
        <is>
          <t>EX-753</t>
        </is>
      </c>
      <c r="D1871" s="156" t="inlineStr">
        <is>
          <t>DT-519</t>
        </is>
      </c>
      <c r="E1871" s="156" t="inlineStr">
        <is>
          <t>OB</t>
        </is>
      </c>
      <c r="F1871" s="156" t="n">
        <v>4</v>
      </c>
      <c r="G1871" s="156" t="inlineStr"/>
      <c r="H1871" s="157">
        <f>IF($B1871="","",IF(ISNA(MATCH($B1871,MASTER_JAM!$Q$5:$Q$28,0)),"?",IF(MATCH($B1871,MASTER_JAM!$Q$5:$Q$28,0)&lt;=12,"DS","NS")))</f>
        <v/>
      </c>
      <c r="I1871" s="157">
        <f>IFERROR(INDEX(MASTER_JAM!$B$5:$B$94,MATCH($C1871,MASTER_JAM!$A$5:$A$94,0)),"")</f>
        <v/>
      </c>
      <c r="J1871" s="157">
        <f>IFERROR(INDEX(MASTER_JAM!$E$5:$E$94,MATCH($D1871,MASTER_JAM!$A$5:$A$94,0)),"")</f>
        <v/>
      </c>
      <c r="K1871" s="158">
        <f>IFERROR(INDEX(MASTER_JAM!$J$5:$O$12,MATCH($E1871,MASTER_JAM!$I$5:$I$12,0),MATCH($J1871,MASTER_JAM!$J$4:$O$4,0))+0,0)</f>
        <v/>
      </c>
      <c r="L1871" s="159">
        <f>N($F1871)*$K1871</f>
        <v/>
      </c>
      <c r="M1871" s="157">
        <f>IF($E1871="","",IF(OR($E1871="Coal",$E1871="Dirty Coal"),"MT","BCM"))</f>
        <v/>
      </c>
      <c r="N1871" s="157">
        <f>IF($E1871="","",IF(OR($E1871="Coal",$E1871="Dirty Coal"),"Coal","OB"))</f>
        <v/>
      </c>
      <c r="O1871" s="157">
        <f>IF($F1871="","",IF(COUNTIF(MASTER_JAM!$A$5:$A$94,$C1871)=0,"Digger tidak dikenal",IF($J1871="","Hauler tidak dikenal",IF($H1871="?","Jam salah",IF($K1871=0,"Faktor kosong",IF(SUMIFS(INPUT_DELAY!$E$5:$E$20000,INPUT_DELAY!$A$5:$A$20000,$A1871,INPUT_DELAY!$B$5:$B$20000,$B1871,INPUT_DELAY!$C$5:$C$20000,$C1871)+SUMIFS(INPUT_DELAY!$E$5:$E$20000,INPUT_DELAY!$A$5:$A$20000,$A1871,INPUT_DELAY!$B$5:$B$20000,$B1871,INPUT_DELAY!$C$5:$C$20000,"SEMUA")&gt;=60,"Delay 60 mnt tapi ada ritase","OK"))))))</f>
        <v/>
      </c>
      <c r="P1871" s="158">
        <f>IFERROR(INDEX(MASTER_JAM!$Z$5:$AC$10,MATCH($I1871,MASTER_JAM!$Y$5:$Y$10,0),MATCH($J1871,MASTER_JAM!$Z$4:$AC$4,0))+0,0)</f>
        <v/>
      </c>
      <c r="Q1871" s="158">
        <f>IF($P1871=0,0,$P1871+IFERROR(INDEX(MASTER_JAM!$H$5:$H$94,MATCH($C1871,MASTER_JAM!$A$5:$A$94,0))+0,MASTER_JAM!$AC$15)/1000*(60/MASTER_JAM!$AC$12+60/MASTER_JAM!$AC$13)+MASTER_JAM!$AC$14)</f>
        <v/>
      </c>
      <c r="R1871" s="158">
        <f>IF(N($F1871)=0,0,$F1871/SUMIFS(INPUT_RITASE!$F$5:$F$20000,INPUT_RITASE!$A$5:$A$20000,$A1871,INPUT_RITASE!$B$5:$B$20000,$B1871,INPUT_RITASE!$C$5:$C$20000,$C1871,INPUT_RITASE!$D$5:$D$20000,$D1871))</f>
        <v/>
      </c>
      <c r="S1871" s="158">
        <f>IF($Q1871=0,0,$R1871*$P1871/$Q1871)</f>
        <v/>
      </c>
    </row>
    <row r="1872">
      <c r="A1872" s="155" t="n">
        <v>46110</v>
      </c>
      <c r="B1872" s="156" t="inlineStr">
        <is>
          <t>19-20</t>
        </is>
      </c>
      <c r="C1872" s="156" t="inlineStr">
        <is>
          <t>EX-753</t>
        </is>
      </c>
      <c r="D1872" s="156" t="inlineStr">
        <is>
          <t>DT-506</t>
        </is>
      </c>
      <c r="E1872" s="156" t="inlineStr">
        <is>
          <t>OB</t>
        </is>
      </c>
      <c r="F1872" s="156" t="n">
        <v>4</v>
      </c>
      <c r="G1872" s="156" t="inlineStr"/>
      <c r="H1872" s="157">
        <f>IF($B1872="","",IF(ISNA(MATCH($B1872,MASTER_JAM!$Q$5:$Q$28,0)),"?",IF(MATCH($B1872,MASTER_JAM!$Q$5:$Q$28,0)&lt;=12,"DS","NS")))</f>
        <v/>
      </c>
      <c r="I1872" s="157">
        <f>IFERROR(INDEX(MASTER_JAM!$B$5:$B$94,MATCH($C1872,MASTER_JAM!$A$5:$A$94,0)),"")</f>
        <v/>
      </c>
      <c r="J1872" s="157">
        <f>IFERROR(INDEX(MASTER_JAM!$E$5:$E$94,MATCH($D1872,MASTER_JAM!$A$5:$A$94,0)),"")</f>
        <v/>
      </c>
      <c r="K1872" s="158">
        <f>IFERROR(INDEX(MASTER_JAM!$J$5:$O$12,MATCH($E1872,MASTER_JAM!$I$5:$I$12,0),MATCH($J1872,MASTER_JAM!$J$4:$O$4,0))+0,0)</f>
        <v/>
      </c>
      <c r="L1872" s="159">
        <f>N($F1872)*$K1872</f>
        <v/>
      </c>
      <c r="M1872" s="157">
        <f>IF($E1872="","",IF(OR($E1872="Coal",$E1872="Dirty Coal"),"MT","BCM"))</f>
        <v/>
      </c>
      <c r="N1872" s="157">
        <f>IF($E1872="","",IF(OR($E1872="Coal",$E1872="Dirty Coal"),"Coal","OB"))</f>
        <v/>
      </c>
      <c r="O1872" s="157">
        <f>IF($F1872="","",IF(COUNTIF(MASTER_JAM!$A$5:$A$94,$C1872)=0,"Digger tidak dikenal",IF($J1872="","Hauler tidak dikenal",IF($H1872="?","Jam salah",IF($K1872=0,"Faktor kosong",IF(SUMIFS(INPUT_DELAY!$E$5:$E$20000,INPUT_DELAY!$A$5:$A$20000,$A1872,INPUT_DELAY!$B$5:$B$20000,$B1872,INPUT_DELAY!$C$5:$C$20000,$C1872)+SUMIFS(INPUT_DELAY!$E$5:$E$20000,INPUT_DELAY!$A$5:$A$20000,$A1872,INPUT_DELAY!$B$5:$B$20000,$B1872,INPUT_DELAY!$C$5:$C$20000,"SEMUA")&gt;=60,"Delay 60 mnt tapi ada ritase","OK"))))))</f>
        <v/>
      </c>
      <c r="P1872" s="158">
        <f>IFERROR(INDEX(MASTER_JAM!$Z$5:$AC$10,MATCH($I1872,MASTER_JAM!$Y$5:$Y$10,0),MATCH($J1872,MASTER_JAM!$Z$4:$AC$4,0))+0,0)</f>
        <v/>
      </c>
      <c r="Q1872" s="158">
        <f>IF($P1872=0,0,$P1872+IFERROR(INDEX(MASTER_JAM!$H$5:$H$94,MATCH($C1872,MASTER_JAM!$A$5:$A$94,0))+0,MASTER_JAM!$AC$15)/1000*(60/MASTER_JAM!$AC$12+60/MASTER_JAM!$AC$13)+MASTER_JAM!$AC$14)</f>
        <v/>
      </c>
      <c r="R1872" s="158">
        <f>IF(N($F1872)=0,0,$F1872/SUMIFS(INPUT_RITASE!$F$5:$F$20000,INPUT_RITASE!$A$5:$A$20000,$A1872,INPUT_RITASE!$B$5:$B$20000,$B1872,INPUT_RITASE!$C$5:$C$20000,$C1872,INPUT_RITASE!$D$5:$D$20000,$D1872))</f>
        <v/>
      </c>
      <c r="S1872" s="158">
        <f>IF($Q1872=0,0,$R1872*$P1872/$Q1872)</f>
        <v/>
      </c>
    </row>
    <row r="1873">
      <c r="A1873" s="155" t="n">
        <v>46110</v>
      </c>
      <c r="B1873" s="156" t="inlineStr">
        <is>
          <t>19-20</t>
        </is>
      </c>
      <c r="C1873" s="156" t="inlineStr">
        <is>
          <t>EX-753</t>
        </is>
      </c>
      <c r="D1873" s="156" t="inlineStr">
        <is>
          <t>DT-501</t>
        </is>
      </c>
      <c r="E1873" s="156" t="inlineStr">
        <is>
          <t>OB</t>
        </is>
      </c>
      <c r="F1873" s="156" t="n">
        <v>4</v>
      </c>
      <c r="G1873" s="156" t="inlineStr"/>
      <c r="H1873" s="157">
        <f>IF($B1873="","",IF(ISNA(MATCH($B1873,MASTER_JAM!$Q$5:$Q$28,0)),"?",IF(MATCH($B1873,MASTER_JAM!$Q$5:$Q$28,0)&lt;=12,"DS","NS")))</f>
        <v/>
      </c>
      <c r="I1873" s="157">
        <f>IFERROR(INDEX(MASTER_JAM!$B$5:$B$94,MATCH($C1873,MASTER_JAM!$A$5:$A$94,0)),"")</f>
        <v/>
      </c>
      <c r="J1873" s="157">
        <f>IFERROR(INDEX(MASTER_JAM!$E$5:$E$94,MATCH($D1873,MASTER_JAM!$A$5:$A$94,0)),"")</f>
        <v/>
      </c>
      <c r="K1873" s="158">
        <f>IFERROR(INDEX(MASTER_JAM!$J$5:$O$12,MATCH($E1873,MASTER_JAM!$I$5:$I$12,0),MATCH($J1873,MASTER_JAM!$J$4:$O$4,0))+0,0)</f>
        <v/>
      </c>
      <c r="L1873" s="159">
        <f>N($F1873)*$K1873</f>
        <v/>
      </c>
      <c r="M1873" s="157">
        <f>IF($E1873="","",IF(OR($E1873="Coal",$E1873="Dirty Coal"),"MT","BCM"))</f>
        <v/>
      </c>
      <c r="N1873" s="157">
        <f>IF($E1873="","",IF(OR($E1873="Coal",$E1873="Dirty Coal"),"Coal","OB"))</f>
        <v/>
      </c>
      <c r="O1873" s="157">
        <f>IF($F1873="","",IF(COUNTIF(MASTER_JAM!$A$5:$A$94,$C1873)=0,"Digger tidak dikenal",IF($J1873="","Hauler tidak dikenal",IF($H1873="?","Jam salah",IF($K1873=0,"Faktor kosong",IF(SUMIFS(INPUT_DELAY!$E$5:$E$20000,INPUT_DELAY!$A$5:$A$20000,$A1873,INPUT_DELAY!$B$5:$B$20000,$B1873,INPUT_DELAY!$C$5:$C$20000,$C1873)+SUMIFS(INPUT_DELAY!$E$5:$E$20000,INPUT_DELAY!$A$5:$A$20000,$A1873,INPUT_DELAY!$B$5:$B$20000,$B1873,INPUT_DELAY!$C$5:$C$20000,"SEMUA")&gt;=60,"Delay 60 mnt tapi ada ritase","OK"))))))</f>
        <v/>
      </c>
      <c r="P1873" s="158">
        <f>IFERROR(INDEX(MASTER_JAM!$Z$5:$AC$10,MATCH($I1873,MASTER_JAM!$Y$5:$Y$10,0),MATCH($J1873,MASTER_JAM!$Z$4:$AC$4,0))+0,0)</f>
        <v/>
      </c>
      <c r="Q1873" s="158">
        <f>IF($P1873=0,0,$P1873+IFERROR(INDEX(MASTER_JAM!$H$5:$H$94,MATCH($C1873,MASTER_JAM!$A$5:$A$94,0))+0,MASTER_JAM!$AC$15)/1000*(60/MASTER_JAM!$AC$12+60/MASTER_JAM!$AC$13)+MASTER_JAM!$AC$14)</f>
        <v/>
      </c>
      <c r="R1873" s="158">
        <f>IF(N($F1873)=0,0,$F1873/SUMIFS(INPUT_RITASE!$F$5:$F$20000,INPUT_RITASE!$A$5:$A$20000,$A1873,INPUT_RITASE!$B$5:$B$20000,$B1873,INPUT_RITASE!$C$5:$C$20000,$C1873,INPUT_RITASE!$D$5:$D$20000,$D1873))</f>
        <v/>
      </c>
      <c r="S1873" s="158">
        <f>IF($Q1873=0,0,$R1873*$P1873/$Q1873)</f>
        <v/>
      </c>
    </row>
    <row r="1874">
      <c r="A1874" s="155" t="n">
        <v>46110</v>
      </c>
      <c r="B1874" s="156" t="inlineStr">
        <is>
          <t>20-21</t>
        </is>
      </c>
      <c r="C1874" s="156" t="inlineStr">
        <is>
          <t>EX-753</t>
        </is>
      </c>
      <c r="D1874" s="156" t="inlineStr">
        <is>
          <t>DT-501</t>
        </is>
      </c>
      <c r="E1874" s="156" t="inlineStr">
        <is>
          <t>OB</t>
        </is>
      </c>
      <c r="F1874" s="156" t="n">
        <v>4</v>
      </c>
      <c r="G1874" s="156" t="inlineStr"/>
      <c r="H1874" s="157">
        <f>IF($B1874="","",IF(ISNA(MATCH($B1874,MASTER_JAM!$Q$5:$Q$28,0)),"?",IF(MATCH($B1874,MASTER_JAM!$Q$5:$Q$28,0)&lt;=12,"DS","NS")))</f>
        <v/>
      </c>
      <c r="I1874" s="157">
        <f>IFERROR(INDEX(MASTER_JAM!$B$5:$B$94,MATCH($C1874,MASTER_JAM!$A$5:$A$94,0)),"")</f>
        <v/>
      </c>
      <c r="J1874" s="157">
        <f>IFERROR(INDEX(MASTER_JAM!$E$5:$E$94,MATCH($D1874,MASTER_JAM!$A$5:$A$94,0)),"")</f>
        <v/>
      </c>
      <c r="K1874" s="158">
        <f>IFERROR(INDEX(MASTER_JAM!$J$5:$O$12,MATCH($E1874,MASTER_JAM!$I$5:$I$12,0),MATCH($J1874,MASTER_JAM!$J$4:$O$4,0))+0,0)</f>
        <v/>
      </c>
      <c r="L1874" s="159">
        <f>N($F1874)*$K1874</f>
        <v/>
      </c>
      <c r="M1874" s="157">
        <f>IF($E1874="","",IF(OR($E1874="Coal",$E1874="Dirty Coal"),"MT","BCM"))</f>
        <v/>
      </c>
      <c r="N1874" s="157">
        <f>IF($E1874="","",IF(OR($E1874="Coal",$E1874="Dirty Coal"),"Coal","OB"))</f>
        <v/>
      </c>
      <c r="O1874" s="157">
        <f>IF($F1874="","",IF(COUNTIF(MASTER_JAM!$A$5:$A$94,$C1874)=0,"Digger tidak dikenal",IF($J1874="","Hauler tidak dikenal",IF($H1874="?","Jam salah",IF($K1874=0,"Faktor kosong",IF(SUMIFS(INPUT_DELAY!$E$5:$E$20000,INPUT_DELAY!$A$5:$A$20000,$A1874,INPUT_DELAY!$B$5:$B$20000,$B1874,INPUT_DELAY!$C$5:$C$20000,$C1874)+SUMIFS(INPUT_DELAY!$E$5:$E$20000,INPUT_DELAY!$A$5:$A$20000,$A1874,INPUT_DELAY!$B$5:$B$20000,$B1874,INPUT_DELAY!$C$5:$C$20000,"SEMUA")&gt;=60,"Delay 60 mnt tapi ada ritase","OK"))))))</f>
        <v/>
      </c>
      <c r="P1874" s="158">
        <f>IFERROR(INDEX(MASTER_JAM!$Z$5:$AC$10,MATCH($I1874,MASTER_JAM!$Y$5:$Y$10,0),MATCH($J1874,MASTER_JAM!$Z$4:$AC$4,0))+0,0)</f>
        <v/>
      </c>
      <c r="Q1874" s="158">
        <f>IF($P1874=0,0,$P1874+IFERROR(INDEX(MASTER_JAM!$H$5:$H$94,MATCH($C1874,MASTER_JAM!$A$5:$A$94,0))+0,MASTER_JAM!$AC$15)/1000*(60/MASTER_JAM!$AC$12+60/MASTER_JAM!$AC$13)+MASTER_JAM!$AC$14)</f>
        <v/>
      </c>
      <c r="R1874" s="158">
        <f>IF(N($F1874)=0,0,$F1874/SUMIFS(INPUT_RITASE!$F$5:$F$20000,INPUT_RITASE!$A$5:$A$20000,$A1874,INPUT_RITASE!$B$5:$B$20000,$B1874,INPUT_RITASE!$C$5:$C$20000,$C1874,INPUT_RITASE!$D$5:$D$20000,$D1874))</f>
        <v/>
      </c>
      <c r="S1874" s="158">
        <f>IF($Q1874=0,0,$R1874*$P1874/$Q1874)</f>
        <v/>
      </c>
    </row>
    <row r="1875">
      <c r="A1875" s="155" t="n">
        <v>46110</v>
      </c>
      <c r="B1875" s="156" t="inlineStr">
        <is>
          <t>20-21</t>
        </is>
      </c>
      <c r="C1875" s="156" t="inlineStr">
        <is>
          <t>EX-753</t>
        </is>
      </c>
      <c r="D1875" s="156" t="inlineStr">
        <is>
          <t>DT-503</t>
        </is>
      </c>
      <c r="E1875" s="156" t="inlineStr">
        <is>
          <t>OB</t>
        </is>
      </c>
      <c r="F1875" s="156" t="n">
        <v>4</v>
      </c>
      <c r="G1875" s="156" t="inlineStr"/>
      <c r="H1875" s="157">
        <f>IF($B1875="","",IF(ISNA(MATCH($B1875,MASTER_JAM!$Q$5:$Q$28,0)),"?",IF(MATCH($B1875,MASTER_JAM!$Q$5:$Q$28,0)&lt;=12,"DS","NS")))</f>
        <v/>
      </c>
      <c r="I1875" s="157">
        <f>IFERROR(INDEX(MASTER_JAM!$B$5:$B$94,MATCH($C1875,MASTER_JAM!$A$5:$A$94,0)),"")</f>
        <v/>
      </c>
      <c r="J1875" s="157">
        <f>IFERROR(INDEX(MASTER_JAM!$E$5:$E$94,MATCH($D1875,MASTER_JAM!$A$5:$A$94,0)),"")</f>
        <v/>
      </c>
      <c r="K1875" s="158">
        <f>IFERROR(INDEX(MASTER_JAM!$J$5:$O$12,MATCH($E1875,MASTER_JAM!$I$5:$I$12,0),MATCH($J1875,MASTER_JAM!$J$4:$O$4,0))+0,0)</f>
        <v/>
      </c>
      <c r="L1875" s="159">
        <f>N($F1875)*$K1875</f>
        <v/>
      </c>
      <c r="M1875" s="157">
        <f>IF($E1875="","",IF(OR($E1875="Coal",$E1875="Dirty Coal"),"MT","BCM"))</f>
        <v/>
      </c>
      <c r="N1875" s="157">
        <f>IF($E1875="","",IF(OR($E1875="Coal",$E1875="Dirty Coal"),"Coal","OB"))</f>
        <v/>
      </c>
      <c r="O1875" s="157">
        <f>IF($F1875="","",IF(COUNTIF(MASTER_JAM!$A$5:$A$94,$C1875)=0,"Digger tidak dikenal",IF($J1875="","Hauler tidak dikenal",IF($H1875="?","Jam salah",IF($K1875=0,"Faktor kosong",IF(SUMIFS(INPUT_DELAY!$E$5:$E$20000,INPUT_DELAY!$A$5:$A$20000,$A1875,INPUT_DELAY!$B$5:$B$20000,$B1875,INPUT_DELAY!$C$5:$C$20000,$C1875)+SUMIFS(INPUT_DELAY!$E$5:$E$20000,INPUT_DELAY!$A$5:$A$20000,$A1875,INPUT_DELAY!$B$5:$B$20000,$B1875,INPUT_DELAY!$C$5:$C$20000,"SEMUA")&gt;=60,"Delay 60 mnt tapi ada ritase","OK"))))))</f>
        <v/>
      </c>
      <c r="P1875" s="158">
        <f>IFERROR(INDEX(MASTER_JAM!$Z$5:$AC$10,MATCH($I1875,MASTER_JAM!$Y$5:$Y$10,0),MATCH($J1875,MASTER_JAM!$Z$4:$AC$4,0))+0,0)</f>
        <v/>
      </c>
      <c r="Q1875" s="158">
        <f>IF($P1875=0,0,$P1875+IFERROR(INDEX(MASTER_JAM!$H$5:$H$94,MATCH($C1875,MASTER_JAM!$A$5:$A$94,0))+0,MASTER_JAM!$AC$15)/1000*(60/MASTER_JAM!$AC$12+60/MASTER_JAM!$AC$13)+MASTER_JAM!$AC$14)</f>
        <v/>
      </c>
      <c r="R1875" s="158">
        <f>IF(N($F1875)=0,0,$F1875/SUMIFS(INPUT_RITASE!$F$5:$F$20000,INPUT_RITASE!$A$5:$A$20000,$A1875,INPUT_RITASE!$B$5:$B$20000,$B1875,INPUT_RITASE!$C$5:$C$20000,$C1875,INPUT_RITASE!$D$5:$D$20000,$D1875))</f>
        <v/>
      </c>
      <c r="S1875" s="158">
        <f>IF($Q1875=0,0,$R1875*$P1875/$Q1875)</f>
        <v/>
      </c>
    </row>
    <row r="1876">
      <c r="A1876" s="155" t="n">
        <v>46110</v>
      </c>
      <c r="B1876" s="156" t="inlineStr">
        <is>
          <t>20-21</t>
        </is>
      </c>
      <c r="C1876" s="156" t="inlineStr">
        <is>
          <t>EX-753</t>
        </is>
      </c>
      <c r="D1876" s="156" t="inlineStr">
        <is>
          <t>DT-504</t>
        </is>
      </c>
      <c r="E1876" s="156" t="inlineStr">
        <is>
          <t>OB</t>
        </is>
      </c>
      <c r="F1876" s="156" t="n">
        <v>3</v>
      </c>
      <c r="G1876" s="156" t="inlineStr"/>
      <c r="H1876" s="157">
        <f>IF($B1876="","",IF(ISNA(MATCH($B1876,MASTER_JAM!$Q$5:$Q$28,0)),"?",IF(MATCH($B1876,MASTER_JAM!$Q$5:$Q$28,0)&lt;=12,"DS","NS")))</f>
        <v/>
      </c>
      <c r="I1876" s="157">
        <f>IFERROR(INDEX(MASTER_JAM!$B$5:$B$94,MATCH($C1876,MASTER_JAM!$A$5:$A$94,0)),"")</f>
        <v/>
      </c>
      <c r="J1876" s="157">
        <f>IFERROR(INDEX(MASTER_JAM!$E$5:$E$94,MATCH($D1876,MASTER_JAM!$A$5:$A$94,0)),"")</f>
        <v/>
      </c>
      <c r="K1876" s="158">
        <f>IFERROR(INDEX(MASTER_JAM!$J$5:$O$12,MATCH($E1876,MASTER_JAM!$I$5:$I$12,0),MATCH($J1876,MASTER_JAM!$J$4:$O$4,0))+0,0)</f>
        <v/>
      </c>
      <c r="L1876" s="159">
        <f>N($F1876)*$K1876</f>
        <v/>
      </c>
      <c r="M1876" s="157">
        <f>IF($E1876="","",IF(OR($E1876="Coal",$E1876="Dirty Coal"),"MT","BCM"))</f>
        <v/>
      </c>
      <c r="N1876" s="157">
        <f>IF($E1876="","",IF(OR($E1876="Coal",$E1876="Dirty Coal"),"Coal","OB"))</f>
        <v/>
      </c>
      <c r="O1876" s="157">
        <f>IF($F1876="","",IF(COUNTIF(MASTER_JAM!$A$5:$A$94,$C1876)=0,"Digger tidak dikenal",IF($J1876="","Hauler tidak dikenal",IF($H1876="?","Jam salah",IF($K1876=0,"Faktor kosong",IF(SUMIFS(INPUT_DELAY!$E$5:$E$20000,INPUT_DELAY!$A$5:$A$20000,$A1876,INPUT_DELAY!$B$5:$B$20000,$B1876,INPUT_DELAY!$C$5:$C$20000,$C1876)+SUMIFS(INPUT_DELAY!$E$5:$E$20000,INPUT_DELAY!$A$5:$A$20000,$A1876,INPUT_DELAY!$B$5:$B$20000,$B1876,INPUT_DELAY!$C$5:$C$20000,"SEMUA")&gt;=60,"Delay 60 mnt tapi ada ritase","OK"))))))</f>
        <v/>
      </c>
      <c r="P1876" s="158">
        <f>IFERROR(INDEX(MASTER_JAM!$Z$5:$AC$10,MATCH($I1876,MASTER_JAM!$Y$5:$Y$10,0),MATCH($J1876,MASTER_JAM!$Z$4:$AC$4,0))+0,0)</f>
        <v/>
      </c>
      <c r="Q1876" s="158">
        <f>IF($P1876=0,0,$P1876+IFERROR(INDEX(MASTER_JAM!$H$5:$H$94,MATCH($C1876,MASTER_JAM!$A$5:$A$94,0))+0,MASTER_JAM!$AC$15)/1000*(60/MASTER_JAM!$AC$12+60/MASTER_JAM!$AC$13)+MASTER_JAM!$AC$14)</f>
        <v/>
      </c>
      <c r="R1876" s="158">
        <f>IF(N($F1876)=0,0,$F1876/SUMIFS(INPUT_RITASE!$F$5:$F$20000,INPUT_RITASE!$A$5:$A$20000,$A1876,INPUT_RITASE!$B$5:$B$20000,$B1876,INPUT_RITASE!$C$5:$C$20000,$C1876,INPUT_RITASE!$D$5:$D$20000,$D1876))</f>
        <v/>
      </c>
      <c r="S1876" s="158">
        <f>IF($Q1876=0,0,$R1876*$P1876/$Q1876)</f>
        <v/>
      </c>
    </row>
    <row r="1877">
      <c r="A1877" s="155" t="n">
        <v>46110</v>
      </c>
      <c r="B1877" s="156" t="inlineStr">
        <is>
          <t>20-21</t>
        </is>
      </c>
      <c r="C1877" s="156" t="inlineStr">
        <is>
          <t>EX-753</t>
        </is>
      </c>
      <c r="D1877" s="156" t="inlineStr">
        <is>
          <t>DT-514</t>
        </is>
      </c>
      <c r="E1877" s="156" t="inlineStr">
        <is>
          <t>OB</t>
        </is>
      </c>
      <c r="F1877" s="156" t="n">
        <v>3</v>
      </c>
      <c r="G1877" s="156" t="inlineStr"/>
      <c r="H1877" s="157">
        <f>IF($B1877="","",IF(ISNA(MATCH($B1877,MASTER_JAM!$Q$5:$Q$28,0)),"?",IF(MATCH($B1877,MASTER_JAM!$Q$5:$Q$28,0)&lt;=12,"DS","NS")))</f>
        <v/>
      </c>
      <c r="I1877" s="157">
        <f>IFERROR(INDEX(MASTER_JAM!$B$5:$B$94,MATCH($C1877,MASTER_JAM!$A$5:$A$94,0)),"")</f>
        <v/>
      </c>
      <c r="J1877" s="157">
        <f>IFERROR(INDEX(MASTER_JAM!$E$5:$E$94,MATCH($D1877,MASTER_JAM!$A$5:$A$94,0)),"")</f>
        <v/>
      </c>
      <c r="K1877" s="158">
        <f>IFERROR(INDEX(MASTER_JAM!$J$5:$O$12,MATCH($E1877,MASTER_JAM!$I$5:$I$12,0),MATCH($J1877,MASTER_JAM!$J$4:$O$4,0))+0,0)</f>
        <v/>
      </c>
      <c r="L1877" s="159">
        <f>N($F1877)*$K1877</f>
        <v/>
      </c>
      <c r="M1877" s="157">
        <f>IF($E1877="","",IF(OR($E1877="Coal",$E1877="Dirty Coal"),"MT","BCM"))</f>
        <v/>
      </c>
      <c r="N1877" s="157">
        <f>IF($E1877="","",IF(OR($E1877="Coal",$E1877="Dirty Coal"),"Coal","OB"))</f>
        <v/>
      </c>
      <c r="O1877" s="157">
        <f>IF($F1877="","",IF(COUNTIF(MASTER_JAM!$A$5:$A$94,$C1877)=0,"Digger tidak dikenal",IF($J1877="","Hauler tidak dikenal",IF($H1877="?","Jam salah",IF($K1877=0,"Faktor kosong",IF(SUMIFS(INPUT_DELAY!$E$5:$E$20000,INPUT_DELAY!$A$5:$A$20000,$A1877,INPUT_DELAY!$B$5:$B$20000,$B1877,INPUT_DELAY!$C$5:$C$20000,$C1877)+SUMIFS(INPUT_DELAY!$E$5:$E$20000,INPUT_DELAY!$A$5:$A$20000,$A1877,INPUT_DELAY!$B$5:$B$20000,$B1877,INPUT_DELAY!$C$5:$C$20000,"SEMUA")&gt;=60,"Delay 60 mnt tapi ada ritase","OK"))))))</f>
        <v/>
      </c>
      <c r="P1877" s="158">
        <f>IFERROR(INDEX(MASTER_JAM!$Z$5:$AC$10,MATCH($I1877,MASTER_JAM!$Y$5:$Y$10,0),MATCH($J1877,MASTER_JAM!$Z$4:$AC$4,0))+0,0)</f>
        <v/>
      </c>
      <c r="Q1877" s="158">
        <f>IF($P1877=0,0,$P1877+IFERROR(INDEX(MASTER_JAM!$H$5:$H$94,MATCH($C1877,MASTER_JAM!$A$5:$A$94,0))+0,MASTER_JAM!$AC$15)/1000*(60/MASTER_JAM!$AC$12+60/MASTER_JAM!$AC$13)+MASTER_JAM!$AC$14)</f>
        <v/>
      </c>
      <c r="R1877" s="158">
        <f>IF(N($F1877)=0,0,$F1877/SUMIFS(INPUT_RITASE!$F$5:$F$20000,INPUT_RITASE!$A$5:$A$20000,$A1877,INPUT_RITASE!$B$5:$B$20000,$B1877,INPUT_RITASE!$C$5:$C$20000,$C1877,INPUT_RITASE!$D$5:$D$20000,$D1877))</f>
        <v/>
      </c>
      <c r="S1877" s="158">
        <f>IF($Q1877=0,0,$R1877*$P1877/$Q1877)</f>
        <v/>
      </c>
    </row>
    <row r="1878">
      <c r="A1878" s="155" t="n">
        <v>46110</v>
      </c>
      <c r="B1878" s="156" t="inlineStr">
        <is>
          <t>21-22</t>
        </is>
      </c>
      <c r="C1878" s="156" t="inlineStr">
        <is>
          <t>EX-753</t>
        </is>
      </c>
      <c r="D1878" s="156" t="inlineStr">
        <is>
          <t>DT-514</t>
        </is>
      </c>
      <c r="E1878" s="156" t="inlineStr">
        <is>
          <t>OB</t>
        </is>
      </c>
      <c r="F1878" s="156" t="n">
        <v>4</v>
      </c>
      <c r="G1878" s="156" t="inlineStr"/>
      <c r="H1878" s="157">
        <f>IF($B1878="","",IF(ISNA(MATCH($B1878,MASTER_JAM!$Q$5:$Q$28,0)),"?",IF(MATCH($B1878,MASTER_JAM!$Q$5:$Q$28,0)&lt;=12,"DS","NS")))</f>
        <v/>
      </c>
      <c r="I1878" s="157">
        <f>IFERROR(INDEX(MASTER_JAM!$B$5:$B$94,MATCH($C1878,MASTER_JAM!$A$5:$A$94,0)),"")</f>
        <v/>
      </c>
      <c r="J1878" s="157">
        <f>IFERROR(INDEX(MASTER_JAM!$E$5:$E$94,MATCH($D1878,MASTER_JAM!$A$5:$A$94,0)),"")</f>
        <v/>
      </c>
      <c r="K1878" s="158">
        <f>IFERROR(INDEX(MASTER_JAM!$J$5:$O$12,MATCH($E1878,MASTER_JAM!$I$5:$I$12,0),MATCH($J1878,MASTER_JAM!$J$4:$O$4,0))+0,0)</f>
        <v/>
      </c>
      <c r="L1878" s="159">
        <f>N($F1878)*$K1878</f>
        <v/>
      </c>
      <c r="M1878" s="157">
        <f>IF($E1878="","",IF(OR($E1878="Coal",$E1878="Dirty Coal"),"MT","BCM"))</f>
        <v/>
      </c>
      <c r="N1878" s="157">
        <f>IF($E1878="","",IF(OR($E1878="Coal",$E1878="Dirty Coal"),"Coal","OB"))</f>
        <v/>
      </c>
      <c r="O1878" s="157">
        <f>IF($F1878="","",IF(COUNTIF(MASTER_JAM!$A$5:$A$94,$C1878)=0,"Digger tidak dikenal",IF($J1878="","Hauler tidak dikenal",IF($H1878="?","Jam salah",IF($K1878=0,"Faktor kosong",IF(SUMIFS(INPUT_DELAY!$E$5:$E$20000,INPUT_DELAY!$A$5:$A$20000,$A1878,INPUT_DELAY!$B$5:$B$20000,$B1878,INPUT_DELAY!$C$5:$C$20000,$C1878)+SUMIFS(INPUT_DELAY!$E$5:$E$20000,INPUT_DELAY!$A$5:$A$20000,$A1878,INPUT_DELAY!$B$5:$B$20000,$B1878,INPUT_DELAY!$C$5:$C$20000,"SEMUA")&gt;=60,"Delay 60 mnt tapi ada ritase","OK"))))))</f>
        <v/>
      </c>
      <c r="P1878" s="158">
        <f>IFERROR(INDEX(MASTER_JAM!$Z$5:$AC$10,MATCH($I1878,MASTER_JAM!$Y$5:$Y$10,0),MATCH($J1878,MASTER_JAM!$Z$4:$AC$4,0))+0,0)</f>
        <v/>
      </c>
      <c r="Q1878" s="158">
        <f>IF($P1878=0,0,$P1878+IFERROR(INDEX(MASTER_JAM!$H$5:$H$94,MATCH($C1878,MASTER_JAM!$A$5:$A$94,0))+0,MASTER_JAM!$AC$15)/1000*(60/MASTER_JAM!$AC$12+60/MASTER_JAM!$AC$13)+MASTER_JAM!$AC$14)</f>
        <v/>
      </c>
      <c r="R1878" s="158">
        <f>IF(N($F1878)=0,0,$F1878/SUMIFS(INPUT_RITASE!$F$5:$F$20000,INPUT_RITASE!$A$5:$A$20000,$A1878,INPUT_RITASE!$B$5:$B$20000,$B1878,INPUT_RITASE!$C$5:$C$20000,$C1878,INPUT_RITASE!$D$5:$D$20000,$D1878))</f>
        <v/>
      </c>
      <c r="S1878" s="158">
        <f>IF($Q1878=0,0,$R1878*$P1878/$Q1878)</f>
        <v/>
      </c>
    </row>
    <row r="1879">
      <c r="A1879" s="155" t="n">
        <v>46110</v>
      </c>
      <c r="B1879" s="156" t="inlineStr">
        <is>
          <t>21-22</t>
        </is>
      </c>
      <c r="C1879" s="156" t="inlineStr">
        <is>
          <t>EX-753</t>
        </is>
      </c>
      <c r="D1879" s="156" t="inlineStr">
        <is>
          <t>DT-526</t>
        </is>
      </c>
      <c r="E1879" s="156" t="inlineStr">
        <is>
          <t>OB</t>
        </is>
      </c>
      <c r="F1879" s="156" t="n">
        <v>4</v>
      </c>
      <c r="G1879" s="156" t="inlineStr"/>
      <c r="H1879" s="157">
        <f>IF($B1879="","",IF(ISNA(MATCH($B1879,MASTER_JAM!$Q$5:$Q$28,0)),"?",IF(MATCH($B1879,MASTER_JAM!$Q$5:$Q$28,0)&lt;=12,"DS","NS")))</f>
        <v/>
      </c>
      <c r="I1879" s="157">
        <f>IFERROR(INDEX(MASTER_JAM!$B$5:$B$94,MATCH($C1879,MASTER_JAM!$A$5:$A$94,0)),"")</f>
        <v/>
      </c>
      <c r="J1879" s="157">
        <f>IFERROR(INDEX(MASTER_JAM!$E$5:$E$94,MATCH($D1879,MASTER_JAM!$A$5:$A$94,0)),"")</f>
        <v/>
      </c>
      <c r="K1879" s="158">
        <f>IFERROR(INDEX(MASTER_JAM!$J$5:$O$12,MATCH($E1879,MASTER_JAM!$I$5:$I$12,0),MATCH($J1879,MASTER_JAM!$J$4:$O$4,0))+0,0)</f>
        <v/>
      </c>
      <c r="L1879" s="159">
        <f>N($F1879)*$K1879</f>
        <v/>
      </c>
      <c r="M1879" s="157">
        <f>IF($E1879="","",IF(OR($E1879="Coal",$E1879="Dirty Coal"),"MT","BCM"))</f>
        <v/>
      </c>
      <c r="N1879" s="157">
        <f>IF($E1879="","",IF(OR($E1879="Coal",$E1879="Dirty Coal"),"Coal","OB"))</f>
        <v/>
      </c>
      <c r="O1879" s="157">
        <f>IF($F1879="","",IF(COUNTIF(MASTER_JAM!$A$5:$A$94,$C1879)=0,"Digger tidak dikenal",IF($J1879="","Hauler tidak dikenal",IF($H1879="?","Jam salah",IF($K1879=0,"Faktor kosong",IF(SUMIFS(INPUT_DELAY!$E$5:$E$20000,INPUT_DELAY!$A$5:$A$20000,$A1879,INPUT_DELAY!$B$5:$B$20000,$B1879,INPUT_DELAY!$C$5:$C$20000,$C1879)+SUMIFS(INPUT_DELAY!$E$5:$E$20000,INPUT_DELAY!$A$5:$A$20000,$A1879,INPUT_DELAY!$B$5:$B$20000,$B1879,INPUT_DELAY!$C$5:$C$20000,"SEMUA")&gt;=60,"Delay 60 mnt tapi ada ritase","OK"))))))</f>
        <v/>
      </c>
      <c r="P1879" s="158">
        <f>IFERROR(INDEX(MASTER_JAM!$Z$5:$AC$10,MATCH($I1879,MASTER_JAM!$Y$5:$Y$10,0),MATCH($J1879,MASTER_JAM!$Z$4:$AC$4,0))+0,0)</f>
        <v/>
      </c>
      <c r="Q1879" s="158">
        <f>IF($P1879=0,0,$P1879+IFERROR(INDEX(MASTER_JAM!$H$5:$H$94,MATCH($C1879,MASTER_JAM!$A$5:$A$94,0))+0,MASTER_JAM!$AC$15)/1000*(60/MASTER_JAM!$AC$12+60/MASTER_JAM!$AC$13)+MASTER_JAM!$AC$14)</f>
        <v/>
      </c>
      <c r="R1879" s="158">
        <f>IF(N($F1879)=0,0,$F1879/SUMIFS(INPUT_RITASE!$F$5:$F$20000,INPUT_RITASE!$A$5:$A$20000,$A1879,INPUT_RITASE!$B$5:$B$20000,$B1879,INPUT_RITASE!$C$5:$C$20000,$C1879,INPUT_RITASE!$D$5:$D$20000,$D1879))</f>
        <v/>
      </c>
      <c r="S1879" s="158">
        <f>IF($Q1879=0,0,$R1879*$P1879/$Q1879)</f>
        <v/>
      </c>
    </row>
    <row r="1880">
      <c r="A1880" s="155" t="n">
        <v>46110</v>
      </c>
      <c r="B1880" s="156" t="inlineStr">
        <is>
          <t>21-22</t>
        </is>
      </c>
      <c r="C1880" s="156" t="inlineStr">
        <is>
          <t>EX-753</t>
        </is>
      </c>
      <c r="D1880" s="156" t="inlineStr">
        <is>
          <t>DT-529</t>
        </is>
      </c>
      <c r="E1880" s="156" t="inlineStr">
        <is>
          <t>OB</t>
        </is>
      </c>
      <c r="F1880" s="156" t="n">
        <v>3</v>
      </c>
      <c r="G1880" s="156" t="inlineStr"/>
      <c r="H1880" s="157">
        <f>IF($B1880="","",IF(ISNA(MATCH($B1880,MASTER_JAM!$Q$5:$Q$28,0)),"?",IF(MATCH($B1880,MASTER_JAM!$Q$5:$Q$28,0)&lt;=12,"DS","NS")))</f>
        <v/>
      </c>
      <c r="I1880" s="157">
        <f>IFERROR(INDEX(MASTER_JAM!$B$5:$B$94,MATCH($C1880,MASTER_JAM!$A$5:$A$94,0)),"")</f>
        <v/>
      </c>
      <c r="J1880" s="157">
        <f>IFERROR(INDEX(MASTER_JAM!$E$5:$E$94,MATCH($D1880,MASTER_JAM!$A$5:$A$94,0)),"")</f>
        <v/>
      </c>
      <c r="K1880" s="158">
        <f>IFERROR(INDEX(MASTER_JAM!$J$5:$O$12,MATCH($E1880,MASTER_JAM!$I$5:$I$12,0),MATCH($J1880,MASTER_JAM!$J$4:$O$4,0))+0,0)</f>
        <v/>
      </c>
      <c r="L1880" s="159">
        <f>N($F1880)*$K1880</f>
        <v/>
      </c>
      <c r="M1880" s="157">
        <f>IF($E1880="","",IF(OR($E1880="Coal",$E1880="Dirty Coal"),"MT","BCM"))</f>
        <v/>
      </c>
      <c r="N1880" s="157">
        <f>IF($E1880="","",IF(OR($E1880="Coal",$E1880="Dirty Coal"),"Coal","OB"))</f>
        <v/>
      </c>
      <c r="O1880" s="157">
        <f>IF($F1880="","",IF(COUNTIF(MASTER_JAM!$A$5:$A$94,$C1880)=0,"Digger tidak dikenal",IF($J1880="","Hauler tidak dikenal",IF($H1880="?","Jam salah",IF($K1880=0,"Faktor kosong",IF(SUMIFS(INPUT_DELAY!$E$5:$E$20000,INPUT_DELAY!$A$5:$A$20000,$A1880,INPUT_DELAY!$B$5:$B$20000,$B1880,INPUT_DELAY!$C$5:$C$20000,$C1880)+SUMIFS(INPUT_DELAY!$E$5:$E$20000,INPUT_DELAY!$A$5:$A$20000,$A1880,INPUT_DELAY!$B$5:$B$20000,$B1880,INPUT_DELAY!$C$5:$C$20000,"SEMUA")&gt;=60,"Delay 60 mnt tapi ada ritase","OK"))))))</f>
        <v/>
      </c>
      <c r="P1880" s="158">
        <f>IFERROR(INDEX(MASTER_JAM!$Z$5:$AC$10,MATCH($I1880,MASTER_JAM!$Y$5:$Y$10,0),MATCH($J1880,MASTER_JAM!$Z$4:$AC$4,0))+0,0)</f>
        <v/>
      </c>
      <c r="Q1880" s="158">
        <f>IF($P1880=0,0,$P1880+IFERROR(INDEX(MASTER_JAM!$H$5:$H$94,MATCH($C1880,MASTER_JAM!$A$5:$A$94,0))+0,MASTER_JAM!$AC$15)/1000*(60/MASTER_JAM!$AC$12+60/MASTER_JAM!$AC$13)+MASTER_JAM!$AC$14)</f>
        <v/>
      </c>
      <c r="R1880" s="158">
        <f>IF(N($F1880)=0,0,$F1880/SUMIFS(INPUT_RITASE!$F$5:$F$20000,INPUT_RITASE!$A$5:$A$20000,$A1880,INPUT_RITASE!$B$5:$B$20000,$B1880,INPUT_RITASE!$C$5:$C$20000,$C1880,INPUT_RITASE!$D$5:$D$20000,$D1880))</f>
        <v/>
      </c>
      <c r="S1880" s="158">
        <f>IF($Q1880=0,0,$R1880*$P1880/$Q1880)</f>
        <v/>
      </c>
    </row>
    <row r="1881">
      <c r="A1881" s="155" t="n">
        <v>46110</v>
      </c>
      <c r="B1881" s="156" t="inlineStr">
        <is>
          <t>21-22</t>
        </is>
      </c>
      <c r="C1881" s="156" t="inlineStr">
        <is>
          <t>EX-753</t>
        </is>
      </c>
      <c r="D1881" s="156" t="inlineStr">
        <is>
          <t>DT-505</t>
        </is>
      </c>
      <c r="E1881" s="156" t="inlineStr">
        <is>
          <t>OB</t>
        </is>
      </c>
      <c r="F1881" s="156" t="n">
        <v>3</v>
      </c>
      <c r="G1881" s="156" t="inlineStr"/>
      <c r="H1881" s="157">
        <f>IF($B1881="","",IF(ISNA(MATCH($B1881,MASTER_JAM!$Q$5:$Q$28,0)),"?",IF(MATCH($B1881,MASTER_JAM!$Q$5:$Q$28,0)&lt;=12,"DS","NS")))</f>
        <v/>
      </c>
      <c r="I1881" s="157">
        <f>IFERROR(INDEX(MASTER_JAM!$B$5:$B$94,MATCH($C1881,MASTER_JAM!$A$5:$A$94,0)),"")</f>
        <v/>
      </c>
      <c r="J1881" s="157">
        <f>IFERROR(INDEX(MASTER_JAM!$E$5:$E$94,MATCH($D1881,MASTER_JAM!$A$5:$A$94,0)),"")</f>
        <v/>
      </c>
      <c r="K1881" s="158">
        <f>IFERROR(INDEX(MASTER_JAM!$J$5:$O$12,MATCH($E1881,MASTER_JAM!$I$5:$I$12,0),MATCH($J1881,MASTER_JAM!$J$4:$O$4,0))+0,0)</f>
        <v/>
      </c>
      <c r="L1881" s="159">
        <f>N($F1881)*$K1881</f>
        <v/>
      </c>
      <c r="M1881" s="157">
        <f>IF($E1881="","",IF(OR($E1881="Coal",$E1881="Dirty Coal"),"MT","BCM"))</f>
        <v/>
      </c>
      <c r="N1881" s="157">
        <f>IF($E1881="","",IF(OR($E1881="Coal",$E1881="Dirty Coal"),"Coal","OB"))</f>
        <v/>
      </c>
      <c r="O1881" s="157">
        <f>IF($F1881="","",IF(COUNTIF(MASTER_JAM!$A$5:$A$94,$C1881)=0,"Digger tidak dikenal",IF($J1881="","Hauler tidak dikenal",IF($H1881="?","Jam salah",IF($K1881=0,"Faktor kosong",IF(SUMIFS(INPUT_DELAY!$E$5:$E$20000,INPUT_DELAY!$A$5:$A$20000,$A1881,INPUT_DELAY!$B$5:$B$20000,$B1881,INPUT_DELAY!$C$5:$C$20000,$C1881)+SUMIFS(INPUT_DELAY!$E$5:$E$20000,INPUT_DELAY!$A$5:$A$20000,$A1881,INPUT_DELAY!$B$5:$B$20000,$B1881,INPUT_DELAY!$C$5:$C$20000,"SEMUA")&gt;=60,"Delay 60 mnt tapi ada ritase","OK"))))))</f>
        <v/>
      </c>
      <c r="P1881" s="158">
        <f>IFERROR(INDEX(MASTER_JAM!$Z$5:$AC$10,MATCH($I1881,MASTER_JAM!$Y$5:$Y$10,0),MATCH($J1881,MASTER_JAM!$Z$4:$AC$4,0))+0,0)</f>
        <v/>
      </c>
      <c r="Q1881" s="158">
        <f>IF($P1881=0,0,$P1881+IFERROR(INDEX(MASTER_JAM!$H$5:$H$94,MATCH($C1881,MASTER_JAM!$A$5:$A$94,0))+0,MASTER_JAM!$AC$15)/1000*(60/MASTER_JAM!$AC$12+60/MASTER_JAM!$AC$13)+MASTER_JAM!$AC$14)</f>
        <v/>
      </c>
      <c r="R1881" s="158">
        <f>IF(N($F1881)=0,0,$F1881/SUMIFS(INPUT_RITASE!$F$5:$F$20000,INPUT_RITASE!$A$5:$A$20000,$A1881,INPUT_RITASE!$B$5:$B$20000,$B1881,INPUT_RITASE!$C$5:$C$20000,$C1881,INPUT_RITASE!$D$5:$D$20000,$D1881))</f>
        <v/>
      </c>
      <c r="S1881" s="158">
        <f>IF($Q1881=0,0,$R1881*$P1881/$Q1881)</f>
        <v/>
      </c>
    </row>
    <row r="1882">
      <c r="A1882" s="155" t="n">
        <v>46110</v>
      </c>
      <c r="B1882" s="156" t="inlineStr">
        <is>
          <t>22-23</t>
        </is>
      </c>
      <c r="C1882" s="156" t="inlineStr">
        <is>
          <t>EX-753</t>
        </is>
      </c>
      <c r="D1882" s="156" t="inlineStr">
        <is>
          <t>DT-528</t>
        </is>
      </c>
      <c r="E1882" s="156" t="inlineStr">
        <is>
          <t>OB</t>
        </is>
      </c>
      <c r="F1882" s="156" t="n">
        <v>4</v>
      </c>
      <c r="G1882" s="156" t="inlineStr"/>
      <c r="H1882" s="157">
        <f>IF($B1882="","",IF(ISNA(MATCH($B1882,MASTER_JAM!$Q$5:$Q$28,0)),"?",IF(MATCH($B1882,MASTER_JAM!$Q$5:$Q$28,0)&lt;=12,"DS","NS")))</f>
        <v/>
      </c>
      <c r="I1882" s="157">
        <f>IFERROR(INDEX(MASTER_JAM!$B$5:$B$94,MATCH($C1882,MASTER_JAM!$A$5:$A$94,0)),"")</f>
        <v/>
      </c>
      <c r="J1882" s="157">
        <f>IFERROR(INDEX(MASTER_JAM!$E$5:$E$94,MATCH($D1882,MASTER_JAM!$A$5:$A$94,0)),"")</f>
        <v/>
      </c>
      <c r="K1882" s="158">
        <f>IFERROR(INDEX(MASTER_JAM!$J$5:$O$12,MATCH($E1882,MASTER_JAM!$I$5:$I$12,0),MATCH($J1882,MASTER_JAM!$J$4:$O$4,0))+0,0)</f>
        <v/>
      </c>
      <c r="L1882" s="159">
        <f>N($F1882)*$K1882</f>
        <v/>
      </c>
      <c r="M1882" s="157">
        <f>IF($E1882="","",IF(OR($E1882="Coal",$E1882="Dirty Coal"),"MT","BCM"))</f>
        <v/>
      </c>
      <c r="N1882" s="157">
        <f>IF($E1882="","",IF(OR($E1882="Coal",$E1882="Dirty Coal"),"Coal","OB"))</f>
        <v/>
      </c>
      <c r="O1882" s="157">
        <f>IF($F1882="","",IF(COUNTIF(MASTER_JAM!$A$5:$A$94,$C1882)=0,"Digger tidak dikenal",IF($J1882="","Hauler tidak dikenal",IF($H1882="?","Jam salah",IF($K1882=0,"Faktor kosong",IF(SUMIFS(INPUT_DELAY!$E$5:$E$20000,INPUT_DELAY!$A$5:$A$20000,$A1882,INPUT_DELAY!$B$5:$B$20000,$B1882,INPUT_DELAY!$C$5:$C$20000,$C1882)+SUMIFS(INPUT_DELAY!$E$5:$E$20000,INPUT_DELAY!$A$5:$A$20000,$A1882,INPUT_DELAY!$B$5:$B$20000,$B1882,INPUT_DELAY!$C$5:$C$20000,"SEMUA")&gt;=60,"Delay 60 mnt tapi ada ritase","OK"))))))</f>
        <v/>
      </c>
      <c r="P1882" s="158">
        <f>IFERROR(INDEX(MASTER_JAM!$Z$5:$AC$10,MATCH($I1882,MASTER_JAM!$Y$5:$Y$10,0),MATCH($J1882,MASTER_JAM!$Z$4:$AC$4,0))+0,0)</f>
        <v/>
      </c>
      <c r="Q1882" s="158">
        <f>IF($P1882=0,0,$P1882+IFERROR(INDEX(MASTER_JAM!$H$5:$H$94,MATCH($C1882,MASTER_JAM!$A$5:$A$94,0))+0,MASTER_JAM!$AC$15)/1000*(60/MASTER_JAM!$AC$12+60/MASTER_JAM!$AC$13)+MASTER_JAM!$AC$14)</f>
        <v/>
      </c>
      <c r="R1882" s="158">
        <f>IF(N($F1882)=0,0,$F1882/SUMIFS(INPUT_RITASE!$F$5:$F$20000,INPUT_RITASE!$A$5:$A$20000,$A1882,INPUT_RITASE!$B$5:$B$20000,$B1882,INPUT_RITASE!$C$5:$C$20000,$C1882,INPUT_RITASE!$D$5:$D$20000,$D1882))</f>
        <v/>
      </c>
      <c r="S1882" s="158">
        <f>IF($Q1882=0,0,$R1882*$P1882/$Q1882)</f>
        <v/>
      </c>
    </row>
    <row r="1883">
      <c r="A1883" s="155" t="n">
        <v>46110</v>
      </c>
      <c r="B1883" s="156" t="inlineStr">
        <is>
          <t>22-23</t>
        </is>
      </c>
      <c r="C1883" s="156" t="inlineStr">
        <is>
          <t>EX-753</t>
        </is>
      </c>
      <c r="D1883" s="156" t="inlineStr">
        <is>
          <t>DT-511</t>
        </is>
      </c>
      <c r="E1883" s="156" t="inlineStr">
        <is>
          <t>OB</t>
        </is>
      </c>
      <c r="F1883" s="156" t="n">
        <v>4</v>
      </c>
      <c r="G1883" s="156" t="inlineStr"/>
      <c r="H1883" s="157">
        <f>IF($B1883="","",IF(ISNA(MATCH($B1883,MASTER_JAM!$Q$5:$Q$28,0)),"?",IF(MATCH($B1883,MASTER_JAM!$Q$5:$Q$28,0)&lt;=12,"DS","NS")))</f>
        <v/>
      </c>
      <c r="I1883" s="157">
        <f>IFERROR(INDEX(MASTER_JAM!$B$5:$B$94,MATCH($C1883,MASTER_JAM!$A$5:$A$94,0)),"")</f>
        <v/>
      </c>
      <c r="J1883" s="157">
        <f>IFERROR(INDEX(MASTER_JAM!$E$5:$E$94,MATCH($D1883,MASTER_JAM!$A$5:$A$94,0)),"")</f>
        <v/>
      </c>
      <c r="K1883" s="158">
        <f>IFERROR(INDEX(MASTER_JAM!$J$5:$O$12,MATCH($E1883,MASTER_JAM!$I$5:$I$12,0),MATCH($J1883,MASTER_JAM!$J$4:$O$4,0))+0,0)</f>
        <v/>
      </c>
      <c r="L1883" s="159">
        <f>N($F1883)*$K1883</f>
        <v/>
      </c>
      <c r="M1883" s="157">
        <f>IF($E1883="","",IF(OR($E1883="Coal",$E1883="Dirty Coal"),"MT","BCM"))</f>
        <v/>
      </c>
      <c r="N1883" s="157">
        <f>IF($E1883="","",IF(OR($E1883="Coal",$E1883="Dirty Coal"),"Coal","OB"))</f>
        <v/>
      </c>
      <c r="O1883" s="157">
        <f>IF($F1883="","",IF(COUNTIF(MASTER_JAM!$A$5:$A$94,$C1883)=0,"Digger tidak dikenal",IF($J1883="","Hauler tidak dikenal",IF($H1883="?","Jam salah",IF($K1883=0,"Faktor kosong",IF(SUMIFS(INPUT_DELAY!$E$5:$E$20000,INPUT_DELAY!$A$5:$A$20000,$A1883,INPUT_DELAY!$B$5:$B$20000,$B1883,INPUT_DELAY!$C$5:$C$20000,$C1883)+SUMIFS(INPUT_DELAY!$E$5:$E$20000,INPUT_DELAY!$A$5:$A$20000,$A1883,INPUT_DELAY!$B$5:$B$20000,$B1883,INPUT_DELAY!$C$5:$C$20000,"SEMUA")&gt;=60,"Delay 60 mnt tapi ada ritase","OK"))))))</f>
        <v/>
      </c>
      <c r="P1883" s="158">
        <f>IFERROR(INDEX(MASTER_JAM!$Z$5:$AC$10,MATCH($I1883,MASTER_JAM!$Y$5:$Y$10,0),MATCH($J1883,MASTER_JAM!$Z$4:$AC$4,0))+0,0)</f>
        <v/>
      </c>
      <c r="Q1883" s="158">
        <f>IF($P1883=0,0,$P1883+IFERROR(INDEX(MASTER_JAM!$H$5:$H$94,MATCH($C1883,MASTER_JAM!$A$5:$A$94,0))+0,MASTER_JAM!$AC$15)/1000*(60/MASTER_JAM!$AC$12+60/MASTER_JAM!$AC$13)+MASTER_JAM!$AC$14)</f>
        <v/>
      </c>
      <c r="R1883" s="158">
        <f>IF(N($F1883)=0,0,$F1883/SUMIFS(INPUT_RITASE!$F$5:$F$20000,INPUT_RITASE!$A$5:$A$20000,$A1883,INPUT_RITASE!$B$5:$B$20000,$B1883,INPUT_RITASE!$C$5:$C$20000,$C1883,INPUT_RITASE!$D$5:$D$20000,$D1883))</f>
        <v/>
      </c>
      <c r="S1883" s="158">
        <f>IF($Q1883=0,0,$R1883*$P1883/$Q1883)</f>
        <v/>
      </c>
    </row>
    <row r="1884">
      <c r="A1884" s="155" t="n">
        <v>46110</v>
      </c>
      <c r="B1884" s="156" t="inlineStr">
        <is>
          <t>22-23</t>
        </is>
      </c>
      <c r="C1884" s="156" t="inlineStr">
        <is>
          <t>EX-753</t>
        </is>
      </c>
      <c r="D1884" s="156" t="inlineStr">
        <is>
          <t>DT-517</t>
        </is>
      </c>
      <c r="E1884" s="156" t="inlineStr">
        <is>
          <t>OB</t>
        </is>
      </c>
      <c r="F1884" s="156" t="n">
        <v>4</v>
      </c>
      <c r="G1884" s="156" t="inlineStr"/>
      <c r="H1884" s="157">
        <f>IF($B1884="","",IF(ISNA(MATCH($B1884,MASTER_JAM!$Q$5:$Q$28,0)),"?",IF(MATCH($B1884,MASTER_JAM!$Q$5:$Q$28,0)&lt;=12,"DS","NS")))</f>
        <v/>
      </c>
      <c r="I1884" s="157">
        <f>IFERROR(INDEX(MASTER_JAM!$B$5:$B$94,MATCH($C1884,MASTER_JAM!$A$5:$A$94,0)),"")</f>
        <v/>
      </c>
      <c r="J1884" s="157">
        <f>IFERROR(INDEX(MASTER_JAM!$E$5:$E$94,MATCH($D1884,MASTER_JAM!$A$5:$A$94,0)),"")</f>
        <v/>
      </c>
      <c r="K1884" s="158">
        <f>IFERROR(INDEX(MASTER_JAM!$J$5:$O$12,MATCH($E1884,MASTER_JAM!$I$5:$I$12,0),MATCH($J1884,MASTER_JAM!$J$4:$O$4,0))+0,0)</f>
        <v/>
      </c>
      <c r="L1884" s="159">
        <f>N($F1884)*$K1884</f>
        <v/>
      </c>
      <c r="M1884" s="157">
        <f>IF($E1884="","",IF(OR($E1884="Coal",$E1884="Dirty Coal"),"MT","BCM"))</f>
        <v/>
      </c>
      <c r="N1884" s="157">
        <f>IF($E1884="","",IF(OR($E1884="Coal",$E1884="Dirty Coal"),"Coal","OB"))</f>
        <v/>
      </c>
      <c r="O1884" s="157">
        <f>IF($F1884="","",IF(COUNTIF(MASTER_JAM!$A$5:$A$94,$C1884)=0,"Digger tidak dikenal",IF($J1884="","Hauler tidak dikenal",IF($H1884="?","Jam salah",IF($K1884=0,"Faktor kosong",IF(SUMIFS(INPUT_DELAY!$E$5:$E$20000,INPUT_DELAY!$A$5:$A$20000,$A1884,INPUT_DELAY!$B$5:$B$20000,$B1884,INPUT_DELAY!$C$5:$C$20000,$C1884)+SUMIFS(INPUT_DELAY!$E$5:$E$20000,INPUT_DELAY!$A$5:$A$20000,$A1884,INPUT_DELAY!$B$5:$B$20000,$B1884,INPUT_DELAY!$C$5:$C$20000,"SEMUA")&gt;=60,"Delay 60 mnt tapi ada ritase","OK"))))))</f>
        <v/>
      </c>
      <c r="P1884" s="158">
        <f>IFERROR(INDEX(MASTER_JAM!$Z$5:$AC$10,MATCH($I1884,MASTER_JAM!$Y$5:$Y$10,0),MATCH($J1884,MASTER_JAM!$Z$4:$AC$4,0))+0,0)</f>
        <v/>
      </c>
      <c r="Q1884" s="158">
        <f>IF($P1884=0,0,$P1884+IFERROR(INDEX(MASTER_JAM!$H$5:$H$94,MATCH($C1884,MASTER_JAM!$A$5:$A$94,0))+0,MASTER_JAM!$AC$15)/1000*(60/MASTER_JAM!$AC$12+60/MASTER_JAM!$AC$13)+MASTER_JAM!$AC$14)</f>
        <v/>
      </c>
      <c r="R1884" s="158">
        <f>IF(N($F1884)=0,0,$F1884/SUMIFS(INPUT_RITASE!$F$5:$F$20000,INPUT_RITASE!$A$5:$A$20000,$A1884,INPUT_RITASE!$B$5:$B$20000,$B1884,INPUT_RITASE!$C$5:$C$20000,$C1884,INPUT_RITASE!$D$5:$D$20000,$D1884))</f>
        <v/>
      </c>
      <c r="S1884" s="158">
        <f>IF($Q1884=0,0,$R1884*$P1884/$Q1884)</f>
        <v/>
      </c>
    </row>
    <row r="1885">
      <c r="A1885" s="155" t="n">
        <v>46110</v>
      </c>
      <c r="B1885" s="156" t="inlineStr">
        <is>
          <t>22-23</t>
        </is>
      </c>
      <c r="C1885" s="156" t="inlineStr">
        <is>
          <t>EX-753</t>
        </is>
      </c>
      <c r="D1885" s="156" t="inlineStr">
        <is>
          <t>DT-507</t>
        </is>
      </c>
      <c r="E1885" s="156" t="inlineStr">
        <is>
          <t>OB</t>
        </is>
      </c>
      <c r="F1885" s="156" t="n">
        <v>3</v>
      </c>
      <c r="G1885" s="156" t="inlineStr"/>
      <c r="H1885" s="157">
        <f>IF($B1885="","",IF(ISNA(MATCH($B1885,MASTER_JAM!$Q$5:$Q$28,0)),"?",IF(MATCH($B1885,MASTER_JAM!$Q$5:$Q$28,0)&lt;=12,"DS","NS")))</f>
        <v/>
      </c>
      <c r="I1885" s="157">
        <f>IFERROR(INDEX(MASTER_JAM!$B$5:$B$94,MATCH($C1885,MASTER_JAM!$A$5:$A$94,0)),"")</f>
        <v/>
      </c>
      <c r="J1885" s="157">
        <f>IFERROR(INDEX(MASTER_JAM!$E$5:$E$94,MATCH($D1885,MASTER_JAM!$A$5:$A$94,0)),"")</f>
        <v/>
      </c>
      <c r="K1885" s="158">
        <f>IFERROR(INDEX(MASTER_JAM!$J$5:$O$12,MATCH($E1885,MASTER_JAM!$I$5:$I$12,0),MATCH($J1885,MASTER_JAM!$J$4:$O$4,0))+0,0)</f>
        <v/>
      </c>
      <c r="L1885" s="159">
        <f>N($F1885)*$K1885</f>
        <v/>
      </c>
      <c r="M1885" s="157">
        <f>IF($E1885="","",IF(OR($E1885="Coal",$E1885="Dirty Coal"),"MT","BCM"))</f>
        <v/>
      </c>
      <c r="N1885" s="157">
        <f>IF($E1885="","",IF(OR($E1885="Coal",$E1885="Dirty Coal"),"Coal","OB"))</f>
        <v/>
      </c>
      <c r="O1885" s="157">
        <f>IF($F1885="","",IF(COUNTIF(MASTER_JAM!$A$5:$A$94,$C1885)=0,"Digger tidak dikenal",IF($J1885="","Hauler tidak dikenal",IF($H1885="?","Jam salah",IF($K1885=0,"Faktor kosong",IF(SUMIFS(INPUT_DELAY!$E$5:$E$20000,INPUT_DELAY!$A$5:$A$20000,$A1885,INPUT_DELAY!$B$5:$B$20000,$B1885,INPUT_DELAY!$C$5:$C$20000,$C1885)+SUMIFS(INPUT_DELAY!$E$5:$E$20000,INPUT_DELAY!$A$5:$A$20000,$A1885,INPUT_DELAY!$B$5:$B$20000,$B1885,INPUT_DELAY!$C$5:$C$20000,"SEMUA")&gt;=60,"Delay 60 mnt tapi ada ritase","OK"))))))</f>
        <v/>
      </c>
      <c r="P1885" s="158">
        <f>IFERROR(INDEX(MASTER_JAM!$Z$5:$AC$10,MATCH($I1885,MASTER_JAM!$Y$5:$Y$10,0),MATCH($J1885,MASTER_JAM!$Z$4:$AC$4,0))+0,0)</f>
        <v/>
      </c>
      <c r="Q1885" s="158">
        <f>IF($P1885=0,0,$P1885+IFERROR(INDEX(MASTER_JAM!$H$5:$H$94,MATCH($C1885,MASTER_JAM!$A$5:$A$94,0))+0,MASTER_JAM!$AC$15)/1000*(60/MASTER_JAM!$AC$12+60/MASTER_JAM!$AC$13)+MASTER_JAM!$AC$14)</f>
        <v/>
      </c>
      <c r="R1885" s="158">
        <f>IF(N($F1885)=0,0,$F1885/SUMIFS(INPUT_RITASE!$F$5:$F$20000,INPUT_RITASE!$A$5:$A$20000,$A1885,INPUT_RITASE!$B$5:$B$20000,$B1885,INPUT_RITASE!$C$5:$C$20000,$C1885,INPUT_RITASE!$D$5:$D$20000,$D1885))</f>
        <v/>
      </c>
      <c r="S1885" s="158">
        <f>IF($Q1885=0,0,$R1885*$P1885/$Q1885)</f>
        <v/>
      </c>
    </row>
    <row r="1886">
      <c r="A1886" s="155" t="n">
        <v>46110</v>
      </c>
      <c r="B1886" s="156" t="inlineStr">
        <is>
          <t>23-24</t>
        </is>
      </c>
      <c r="C1886" s="156" t="inlineStr">
        <is>
          <t>EX-753</t>
        </is>
      </c>
      <c r="D1886" s="156" t="inlineStr">
        <is>
          <t>DT-518</t>
        </is>
      </c>
      <c r="E1886" s="156" t="inlineStr">
        <is>
          <t>OB</t>
        </is>
      </c>
      <c r="F1886" s="156" t="n">
        <v>4</v>
      </c>
      <c r="G1886" s="156" t="inlineStr"/>
      <c r="H1886" s="157">
        <f>IF($B1886="","",IF(ISNA(MATCH($B1886,MASTER_JAM!$Q$5:$Q$28,0)),"?",IF(MATCH($B1886,MASTER_JAM!$Q$5:$Q$28,0)&lt;=12,"DS","NS")))</f>
        <v/>
      </c>
      <c r="I1886" s="157">
        <f>IFERROR(INDEX(MASTER_JAM!$B$5:$B$94,MATCH($C1886,MASTER_JAM!$A$5:$A$94,0)),"")</f>
        <v/>
      </c>
      <c r="J1886" s="157">
        <f>IFERROR(INDEX(MASTER_JAM!$E$5:$E$94,MATCH($D1886,MASTER_JAM!$A$5:$A$94,0)),"")</f>
        <v/>
      </c>
      <c r="K1886" s="158">
        <f>IFERROR(INDEX(MASTER_JAM!$J$5:$O$12,MATCH($E1886,MASTER_JAM!$I$5:$I$12,0),MATCH($J1886,MASTER_JAM!$J$4:$O$4,0))+0,0)</f>
        <v/>
      </c>
      <c r="L1886" s="159">
        <f>N($F1886)*$K1886</f>
        <v/>
      </c>
      <c r="M1886" s="157">
        <f>IF($E1886="","",IF(OR($E1886="Coal",$E1886="Dirty Coal"),"MT","BCM"))</f>
        <v/>
      </c>
      <c r="N1886" s="157">
        <f>IF($E1886="","",IF(OR($E1886="Coal",$E1886="Dirty Coal"),"Coal","OB"))</f>
        <v/>
      </c>
      <c r="O1886" s="157">
        <f>IF($F1886="","",IF(COUNTIF(MASTER_JAM!$A$5:$A$94,$C1886)=0,"Digger tidak dikenal",IF($J1886="","Hauler tidak dikenal",IF($H1886="?","Jam salah",IF($K1886=0,"Faktor kosong",IF(SUMIFS(INPUT_DELAY!$E$5:$E$20000,INPUT_DELAY!$A$5:$A$20000,$A1886,INPUT_DELAY!$B$5:$B$20000,$B1886,INPUT_DELAY!$C$5:$C$20000,$C1886)+SUMIFS(INPUT_DELAY!$E$5:$E$20000,INPUT_DELAY!$A$5:$A$20000,$A1886,INPUT_DELAY!$B$5:$B$20000,$B1886,INPUT_DELAY!$C$5:$C$20000,"SEMUA")&gt;=60,"Delay 60 mnt tapi ada ritase","OK"))))))</f>
        <v/>
      </c>
      <c r="P1886" s="158">
        <f>IFERROR(INDEX(MASTER_JAM!$Z$5:$AC$10,MATCH($I1886,MASTER_JAM!$Y$5:$Y$10,0),MATCH($J1886,MASTER_JAM!$Z$4:$AC$4,0))+0,0)</f>
        <v/>
      </c>
      <c r="Q1886" s="158">
        <f>IF($P1886=0,0,$P1886+IFERROR(INDEX(MASTER_JAM!$H$5:$H$94,MATCH($C1886,MASTER_JAM!$A$5:$A$94,0))+0,MASTER_JAM!$AC$15)/1000*(60/MASTER_JAM!$AC$12+60/MASTER_JAM!$AC$13)+MASTER_JAM!$AC$14)</f>
        <v/>
      </c>
      <c r="R1886" s="158">
        <f>IF(N($F1886)=0,0,$F1886/SUMIFS(INPUT_RITASE!$F$5:$F$20000,INPUT_RITASE!$A$5:$A$20000,$A1886,INPUT_RITASE!$B$5:$B$20000,$B1886,INPUT_RITASE!$C$5:$C$20000,$C1886,INPUT_RITASE!$D$5:$D$20000,$D1886))</f>
        <v/>
      </c>
      <c r="S1886" s="158">
        <f>IF($Q1886=0,0,$R1886*$P1886/$Q1886)</f>
        <v/>
      </c>
    </row>
    <row r="1887">
      <c r="A1887" s="155" t="n">
        <v>46110</v>
      </c>
      <c r="B1887" s="156" t="inlineStr">
        <is>
          <t>23-24</t>
        </is>
      </c>
      <c r="C1887" s="156" t="inlineStr">
        <is>
          <t>EX-753</t>
        </is>
      </c>
      <c r="D1887" s="156" t="inlineStr">
        <is>
          <t>DT-511</t>
        </is>
      </c>
      <c r="E1887" s="156" t="inlineStr">
        <is>
          <t>OB</t>
        </is>
      </c>
      <c r="F1887" s="156" t="n">
        <v>4</v>
      </c>
      <c r="G1887" s="156" t="inlineStr"/>
      <c r="H1887" s="157">
        <f>IF($B1887="","",IF(ISNA(MATCH($B1887,MASTER_JAM!$Q$5:$Q$28,0)),"?",IF(MATCH($B1887,MASTER_JAM!$Q$5:$Q$28,0)&lt;=12,"DS","NS")))</f>
        <v/>
      </c>
      <c r="I1887" s="157">
        <f>IFERROR(INDEX(MASTER_JAM!$B$5:$B$94,MATCH($C1887,MASTER_JAM!$A$5:$A$94,0)),"")</f>
        <v/>
      </c>
      <c r="J1887" s="157">
        <f>IFERROR(INDEX(MASTER_JAM!$E$5:$E$94,MATCH($D1887,MASTER_JAM!$A$5:$A$94,0)),"")</f>
        <v/>
      </c>
      <c r="K1887" s="158">
        <f>IFERROR(INDEX(MASTER_JAM!$J$5:$O$12,MATCH($E1887,MASTER_JAM!$I$5:$I$12,0),MATCH($J1887,MASTER_JAM!$J$4:$O$4,0))+0,0)</f>
        <v/>
      </c>
      <c r="L1887" s="159">
        <f>N($F1887)*$K1887</f>
        <v/>
      </c>
      <c r="M1887" s="157">
        <f>IF($E1887="","",IF(OR($E1887="Coal",$E1887="Dirty Coal"),"MT","BCM"))</f>
        <v/>
      </c>
      <c r="N1887" s="157">
        <f>IF($E1887="","",IF(OR($E1887="Coal",$E1887="Dirty Coal"),"Coal","OB"))</f>
        <v/>
      </c>
      <c r="O1887" s="157">
        <f>IF($F1887="","",IF(COUNTIF(MASTER_JAM!$A$5:$A$94,$C1887)=0,"Digger tidak dikenal",IF($J1887="","Hauler tidak dikenal",IF($H1887="?","Jam salah",IF($K1887=0,"Faktor kosong",IF(SUMIFS(INPUT_DELAY!$E$5:$E$20000,INPUT_DELAY!$A$5:$A$20000,$A1887,INPUT_DELAY!$B$5:$B$20000,$B1887,INPUT_DELAY!$C$5:$C$20000,$C1887)+SUMIFS(INPUT_DELAY!$E$5:$E$20000,INPUT_DELAY!$A$5:$A$20000,$A1887,INPUT_DELAY!$B$5:$B$20000,$B1887,INPUT_DELAY!$C$5:$C$20000,"SEMUA")&gt;=60,"Delay 60 mnt tapi ada ritase","OK"))))))</f>
        <v/>
      </c>
      <c r="P1887" s="158">
        <f>IFERROR(INDEX(MASTER_JAM!$Z$5:$AC$10,MATCH($I1887,MASTER_JAM!$Y$5:$Y$10,0),MATCH($J1887,MASTER_JAM!$Z$4:$AC$4,0))+0,0)</f>
        <v/>
      </c>
      <c r="Q1887" s="158">
        <f>IF($P1887=0,0,$P1887+IFERROR(INDEX(MASTER_JAM!$H$5:$H$94,MATCH($C1887,MASTER_JAM!$A$5:$A$94,0))+0,MASTER_JAM!$AC$15)/1000*(60/MASTER_JAM!$AC$12+60/MASTER_JAM!$AC$13)+MASTER_JAM!$AC$14)</f>
        <v/>
      </c>
      <c r="R1887" s="158">
        <f>IF(N($F1887)=0,0,$F1887/SUMIFS(INPUT_RITASE!$F$5:$F$20000,INPUT_RITASE!$A$5:$A$20000,$A1887,INPUT_RITASE!$B$5:$B$20000,$B1887,INPUT_RITASE!$C$5:$C$20000,$C1887,INPUT_RITASE!$D$5:$D$20000,$D1887))</f>
        <v/>
      </c>
      <c r="S1887" s="158">
        <f>IF($Q1887=0,0,$R1887*$P1887/$Q1887)</f>
        <v/>
      </c>
    </row>
    <row r="1888">
      <c r="A1888" s="155" t="n">
        <v>46110</v>
      </c>
      <c r="B1888" s="156" t="inlineStr">
        <is>
          <t>23-24</t>
        </is>
      </c>
      <c r="C1888" s="156" t="inlineStr">
        <is>
          <t>EX-753</t>
        </is>
      </c>
      <c r="D1888" s="156" t="inlineStr">
        <is>
          <t>DT-526</t>
        </is>
      </c>
      <c r="E1888" s="156" t="inlineStr">
        <is>
          <t>OB</t>
        </is>
      </c>
      <c r="F1888" s="156" t="n">
        <v>4</v>
      </c>
      <c r="G1888" s="156" t="inlineStr"/>
      <c r="H1888" s="157">
        <f>IF($B1888="","",IF(ISNA(MATCH($B1888,MASTER_JAM!$Q$5:$Q$28,0)),"?",IF(MATCH($B1888,MASTER_JAM!$Q$5:$Q$28,0)&lt;=12,"DS","NS")))</f>
        <v/>
      </c>
      <c r="I1888" s="157">
        <f>IFERROR(INDEX(MASTER_JAM!$B$5:$B$94,MATCH($C1888,MASTER_JAM!$A$5:$A$94,0)),"")</f>
        <v/>
      </c>
      <c r="J1888" s="157">
        <f>IFERROR(INDEX(MASTER_JAM!$E$5:$E$94,MATCH($D1888,MASTER_JAM!$A$5:$A$94,0)),"")</f>
        <v/>
      </c>
      <c r="K1888" s="158">
        <f>IFERROR(INDEX(MASTER_JAM!$J$5:$O$12,MATCH($E1888,MASTER_JAM!$I$5:$I$12,0),MATCH($J1888,MASTER_JAM!$J$4:$O$4,0))+0,0)</f>
        <v/>
      </c>
      <c r="L1888" s="159">
        <f>N($F1888)*$K1888</f>
        <v/>
      </c>
      <c r="M1888" s="157">
        <f>IF($E1888="","",IF(OR($E1888="Coal",$E1888="Dirty Coal"),"MT","BCM"))</f>
        <v/>
      </c>
      <c r="N1888" s="157">
        <f>IF($E1888="","",IF(OR($E1888="Coal",$E1888="Dirty Coal"),"Coal","OB"))</f>
        <v/>
      </c>
      <c r="O1888" s="157">
        <f>IF($F1888="","",IF(COUNTIF(MASTER_JAM!$A$5:$A$94,$C1888)=0,"Digger tidak dikenal",IF($J1888="","Hauler tidak dikenal",IF($H1888="?","Jam salah",IF($K1888=0,"Faktor kosong",IF(SUMIFS(INPUT_DELAY!$E$5:$E$20000,INPUT_DELAY!$A$5:$A$20000,$A1888,INPUT_DELAY!$B$5:$B$20000,$B1888,INPUT_DELAY!$C$5:$C$20000,$C1888)+SUMIFS(INPUT_DELAY!$E$5:$E$20000,INPUT_DELAY!$A$5:$A$20000,$A1888,INPUT_DELAY!$B$5:$B$20000,$B1888,INPUT_DELAY!$C$5:$C$20000,"SEMUA")&gt;=60,"Delay 60 mnt tapi ada ritase","OK"))))))</f>
        <v/>
      </c>
      <c r="P1888" s="158">
        <f>IFERROR(INDEX(MASTER_JAM!$Z$5:$AC$10,MATCH($I1888,MASTER_JAM!$Y$5:$Y$10,0),MATCH($J1888,MASTER_JAM!$Z$4:$AC$4,0))+0,0)</f>
        <v/>
      </c>
      <c r="Q1888" s="158">
        <f>IF($P1888=0,0,$P1888+IFERROR(INDEX(MASTER_JAM!$H$5:$H$94,MATCH($C1888,MASTER_JAM!$A$5:$A$94,0))+0,MASTER_JAM!$AC$15)/1000*(60/MASTER_JAM!$AC$12+60/MASTER_JAM!$AC$13)+MASTER_JAM!$AC$14)</f>
        <v/>
      </c>
      <c r="R1888" s="158">
        <f>IF(N($F1888)=0,0,$F1888/SUMIFS(INPUT_RITASE!$F$5:$F$20000,INPUT_RITASE!$A$5:$A$20000,$A1888,INPUT_RITASE!$B$5:$B$20000,$B1888,INPUT_RITASE!$C$5:$C$20000,$C1888,INPUT_RITASE!$D$5:$D$20000,$D1888))</f>
        <v/>
      </c>
      <c r="S1888" s="158">
        <f>IF($Q1888=0,0,$R1888*$P1888/$Q1888)</f>
        <v/>
      </c>
    </row>
    <row r="1889">
      <c r="A1889" s="155" t="n">
        <v>46110</v>
      </c>
      <c r="B1889" s="156" t="inlineStr">
        <is>
          <t>01-02</t>
        </is>
      </c>
      <c r="C1889" s="156" t="inlineStr">
        <is>
          <t>EX-753</t>
        </is>
      </c>
      <c r="D1889" s="156" t="inlineStr">
        <is>
          <t>DT-512</t>
        </is>
      </c>
      <c r="E1889" s="156" t="inlineStr">
        <is>
          <t>OB</t>
        </is>
      </c>
      <c r="F1889" s="156" t="n">
        <v>4</v>
      </c>
      <c r="G1889" s="156" t="inlineStr"/>
      <c r="H1889" s="157">
        <f>IF($B1889="","",IF(ISNA(MATCH($B1889,MASTER_JAM!$Q$5:$Q$28,0)),"?",IF(MATCH($B1889,MASTER_JAM!$Q$5:$Q$28,0)&lt;=12,"DS","NS")))</f>
        <v/>
      </c>
      <c r="I1889" s="157">
        <f>IFERROR(INDEX(MASTER_JAM!$B$5:$B$94,MATCH($C1889,MASTER_JAM!$A$5:$A$94,0)),"")</f>
        <v/>
      </c>
      <c r="J1889" s="157">
        <f>IFERROR(INDEX(MASTER_JAM!$E$5:$E$94,MATCH($D1889,MASTER_JAM!$A$5:$A$94,0)),"")</f>
        <v/>
      </c>
      <c r="K1889" s="158">
        <f>IFERROR(INDEX(MASTER_JAM!$J$5:$O$12,MATCH($E1889,MASTER_JAM!$I$5:$I$12,0),MATCH($J1889,MASTER_JAM!$J$4:$O$4,0))+0,0)</f>
        <v/>
      </c>
      <c r="L1889" s="159">
        <f>N($F1889)*$K1889</f>
        <v/>
      </c>
      <c r="M1889" s="157">
        <f>IF($E1889="","",IF(OR($E1889="Coal",$E1889="Dirty Coal"),"MT","BCM"))</f>
        <v/>
      </c>
      <c r="N1889" s="157">
        <f>IF($E1889="","",IF(OR($E1889="Coal",$E1889="Dirty Coal"),"Coal","OB"))</f>
        <v/>
      </c>
      <c r="O1889" s="157">
        <f>IF($F1889="","",IF(COUNTIF(MASTER_JAM!$A$5:$A$94,$C1889)=0,"Digger tidak dikenal",IF($J1889="","Hauler tidak dikenal",IF($H1889="?","Jam salah",IF($K1889=0,"Faktor kosong",IF(SUMIFS(INPUT_DELAY!$E$5:$E$20000,INPUT_DELAY!$A$5:$A$20000,$A1889,INPUT_DELAY!$B$5:$B$20000,$B1889,INPUT_DELAY!$C$5:$C$20000,$C1889)+SUMIFS(INPUT_DELAY!$E$5:$E$20000,INPUT_DELAY!$A$5:$A$20000,$A1889,INPUT_DELAY!$B$5:$B$20000,$B1889,INPUT_DELAY!$C$5:$C$20000,"SEMUA")&gt;=60,"Delay 60 mnt tapi ada ritase","OK"))))))</f>
        <v/>
      </c>
      <c r="P1889" s="158">
        <f>IFERROR(INDEX(MASTER_JAM!$Z$5:$AC$10,MATCH($I1889,MASTER_JAM!$Y$5:$Y$10,0),MATCH($J1889,MASTER_JAM!$Z$4:$AC$4,0))+0,0)</f>
        <v/>
      </c>
      <c r="Q1889" s="158">
        <f>IF($P1889=0,0,$P1889+IFERROR(INDEX(MASTER_JAM!$H$5:$H$94,MATCH($C1889,MASTER_JAM!$A$5:$A$94,0))+0,MASTER_JAM!$AC$15)/1000*(60/MASTER_JAM!$AC$12+60/MASTER_JAM!$AC$13)+MASTER_JAM!$AC$14)</f>
        <v/>
      </c>
      <c r="R1889" s="158">
        <f>IF(N($F1889)=0,0,$F1889/SUMIFS(INPUT_RITASE!$F$5:$F$20000,INPUT_RITASE!$A$5:$A$20000,$A1889,INPUT_RITASE!$B$5:$B$20000,$B1889,INPUT_RITASE!$C$5:$C$20000,$C1889,INPUT_RITASE!$D$5:$D$20000,$D1889))</f>
        <v/>
      </c>
      <c r="S1889" s="158">
        <f>IF($Q1889=0,0,$R1889*$P1889/$Q1889)</f>
        <v/>
      </c>
    </row>
    <row r="1890">
      <c r="A1890" s="155" t="n">
        <v>46110</v>
      </c>
      <c r="B1890" s="156" t="inlineStr">
        <is>
          <t>01-02</t>
        </is>
      </c>
      <c r="C1890" s="156" t="inlineStr">
        <is>
          <t>EX-753</t>
        </is>
      </c>
      <c r="D1890" s="156" t="inlineStr">
        <is>
          <t>DT-501</t>
        </is>
      </c>
      <c r="E1890" s="156" t="inlineStr">
        <is>
          <t>OB</t>
        </is>
      </c>
      <c r="F1890" s="156" t="n">
        <v>4</v>
      </c>
      <c r="G1890" s="156" t="inlineStr"/>
      <c r="H1890" s="157">
        <f>IF($B1890="","",IF(ISNA(MATCH($B1890,MASTER_JAM!$Q$5:$Q$28,0)),"?",IF(MATCH($B1890,MASTER_JAM!$Q$5:$Q$28,0)&lt;=12,"DS","NS")))</f>
        <v/>
      </c>
      <c r="I1890" s="157">
        <f>IFERROR(INDEX(MASTER_JAM!$B$5:$B$94,MATCH($C1890,MASTER_JAM!$A$5:$A$94,0)),"")</f>
        <v/>
      </c>
      <c r="J1890" s="157">
        <f>IFERROR(INDEX(MASTER_JAM!$E$5:$E$94,MATCH($D1890,MASTER_JAM!$A$5:$A$94,0)),"")</f>
        <v/>
      </c>
      <c r="K1890" s="158">
        <f>IFERROR(INDEX(MASTER_JAM!$J$5:$O$12,MATCH($E1890,MASTER_JAM!$I$5:$I$12,0),MATCH($J1890,MASTER_JAM!$J$4:$O$4,0))+0,0)</f>
        <v/>
      </c>
      <c r="L1890" s="159">
        <f>N($F1890)*$K1890</f>
        <v/>
      </c>
      <c r="M1890" s="157">
        <f>IF($E1890="","",IF(OR($E1890="Coal",$E1890="Dirty Coal"),"MT","BCM"))</f>
        <v/>
      </c>
      <c r="N1890" s="157">
        <f>IF($E1890="","",IF(OR($E1890="Coal",$E1890="Dirty Coal"),"Coal","OB"))</f>
        <v/>
      </c>
      <c r="O1890" s="157">
        <f>IF($F1890="","",IF(COUNTIF(MASTER_JAM!$A$5:$A$94,$C1890)=0,"Digger tidak dikenal",IF($J1890="","Hauler tidak dikenal",IF($H1890="?","Jam salah",IF($K1890=0,"Faktor kosong",IF(SUMIFS(INPUT_DELAY!$E$5:$E$20000,INPUT_DELAY!$A$5:$A$20000,$A1890,INPUT_DELAY!$B$5:$B$20000,$B1890,INPUT_DELAY!$C$5:$C$20000,$C1890)+SUMIFS(INPUT_DELAY!$E$5:$E$20000,INPUT_DELAY!$A$5:$A$20000,$A1890,INPUT_DELAY!$B$5:$B$20000,$B1890,INPUT_DELAY!$C$5:$C$20000,"SEMUA")&gt;=60,"Delay 60 mnt tapi ada ritase","OK"))))))</f>
        <v/>
      </c>
      <c r="P1890" s="158">
        <f>IFERROR(INDEX(MASTER_JAM!$Z$5:$AC$10,MATCH($I1890,MASTER_JAM!$Y$5:$Y$10,0),MATCH($J1890,MASTER_JAM!$Z$4:$AC$4,0))+0,0)</f>
        <v/>
      </c>
      <c r="Q1890" s="158">
        <f>IF($P1890=0,0,$P1890+IFERROR(INDEX(MASTER_JAM!$H$5:$H$94,MATCH($C1890,MASTER_JAM!$A$5:$A$94,0))+0,MASTER_JAM!$AC$15)/1000*(60/MASTER_JAM!$AC$12+60/MASTER_JAM!$AC$13)+MASTER_JAM!$AC$14)</f>
        <v/>
      </c>
      <c r="R1890" s="158">
        <f>IF(N($F1890)=0,0,$F1890/SUMIFS(INPUT_RITASE!$F$5:$F$20000,INPUT_RITASE!$A$5:$A$20000,$A1890,INPUT_RITASE!$B$5:$B$20000,$B1890,INPUT_RITASE!$C$5:$C$20000,$C1890,INPUT_RITASE!$D$5:$D$20000,$D1890))</f>
        <v/>
      </c>
      <c r="S1890" s="158">
        <f>IF($Q1890=0,0,$R1890*$P1890/$Q1890)</f>
        <v/>
      </c>
    </row>
    <row r="1891">
      <c r="A1891" s="155" t="n">
        <v>46110</v>
      </c>
      <c r="B1891" s="156" t="inlineStr">
        <is>
          <t>01-02</t>
        </is>
      </c>
      <c r="C1891" s="156" t="inlineStr">
        <is>
          <t>EX-753</t>
        </is>
      </c>
      <c r="D1891" s="156" t="inlineStr">
        <is>
          <t>DT-517</t>
        </is>
      </c>
      <c r="E1891" s="156" t="inlineStr">
        <is>
          <t>OB</t>
        </is>
      </c>
      <c r="F1891" s="156" t="n">
        <v>4</v>
      </c>
      <c r="G1891" s="156" t="inlineStr"/>
      <c r="H1891" s="157">
        <f>IF($B1891="","",IF(ISNA(MATCH($B1891,MASTER_JAM!$Q$5:$Q$28,0)),"?",IF(MATCH($B1891,MASTER_JAM!$Q$5:$Q$28,0)&lt;=12,"DS","NS")))</f>
        <v/>
      </c>
      <c r="I1891" s="157">
        <f>IFERROR(INDEX(MASTER_JAM!$B$5:$B$94,MATCH($C1891,MASTER_JAM!$A$5:$A$94,0)),"")</f>
        <v/>
      </c>
      <c r="J1891" s="157">
        <f>IFERROR(INDEX(MASTER_JAM!$E$5:$E$94,MATCH($D1891,MASTER_JAM!$A$5:$A$94,0)),"")</f>
        <v/>
      </c>
      <c r="K1891" s="158">
        <f>IFERROR(INDEX(MASTER_JAM!$J$5:$O$12,MATCH($E1891,MASTER_JAM!$I$5:$I$12,0),MATCH($J1891,MASTER_JAM!$J$4:$O$4,0))+0,0)</f>
        <v/>
      </c>
      <c r="L1891" s="159">
        <f>N($F1891)*$K1891</f>
        <v/>
      </c>
      <c r="M1891" s="157">
        <f>IF($E1891="","",IF(OR($E1891="Coal",$E1891="Dirty Coal"),"MT","BCM"))</f>
        <v/>
      </c>
      <c r="N1891" s="157">
        <f>IF($E1891="","",IF(OR($E1891="Coal",$E1891="Dirty Coal"),"Coal","OB"))</f>
        <v/>
      </c>
      <c r="O1891" s="157">
        <f>IF($F1891="","",IF(COUNTIF(MASTER_JAM!$A$5:$A$94,$C1891)=0,"Digger tidak dikenal",IF($J1891="","Hauler tidak dikenal",IF($H1891="?","Jam salah",IF($K1891=0,"Faktor kosong",IF(SUMIFS(INPUT_DELAY!$E$5:$E$20000,INPUT_DELAY!$A$5:$A$20000,$A1891,INPUT_DELAY!$B$5:$B$20000,$B1891,INPUT_DELAY!$C$5:$C$20000,$C1891)+SUMIFS(INPUT_DELAY!$E$5:$E$20000,INPUT_DELAY!$A$5:$A$20000,$A1891,INPUT_DELAY!$B$5:$B$20000,$B1891,INPUT_DELAY!$C$5:$C$20000,"SEMUA")&gt;=60,"Delay 60 mnt tapi ada ritase","OK"))))))</f>
        <v/>
      </c>
      <c r="P1891" s="158">
        <f>IFERROR(INDEX(MASTER_JAM!$Z$5:$AC$10,MATCH($I1891,MASTER_JAM!$Y$5:$Y$10,0),MATCH($J1891,MASTER_JAM!$Z$4:$AC$4,0))+0,0)</f>
        <v/>
      </c>
      <c r="Q1891" s="158">
        <f>IF($P1891=0,0,$P1891+IFERROR(INDEX(MASTER_JAM!$H$5:$H$94,MATCH($C1891,MASTER_JAM!$A$5:$A$94,0))+0,MASTER_JAM!$AC$15)/1000*(60/MASTER_JAM!$AC$12+60/MASTER_JAM!$AC$13)+MASTER_JAM!$AC$14)</f>
        <v/>
      </c>
      <c r="R1891" s="158">
        <f>IF(N($F1891)=0,0,$F1891/SUMIFS(INPUT_RITASE!$F$5:$F$20000,INPUT_RITASE!$A$5:$A$20000,$A1891,INPUT_RITASE!$B$5:$B$20000,$B1891,INPUT_RITASE!$C$5:$C$20000,$C1891,INPUT_RITASE!$D$5:$D$20000,$D1891))</f>
        <v/>
      </c>
      <c r="S1891" s="158">
        <f>IF($Q1891=0,0,$R1891*$P1891/$Q1891)</f>
        <v/>
      </c>
    </row>
    <row r="1892">
      <c r="A1892" s="155" t="n">
        <v>46110</v>
      </c>
      <c r="B1892" s="156" t="inlineStr">
        <is>
          <t>01-02</t>
        </is>
      </c>
      <c r="C1892" s="156" t="inlineStr">
        <is>
          <t>EX-753</t>
        </is>
      </c>
      <c r="D1892" s="156" t="inlineStr">
        <is>
          <t>DT-520</t>
        </is>
      </c>
      <c r="E1892" s="156" t="inlineStr">
        <is>
          <t>OB</t>
        </is>
      </c>
      <c r="F1892" s="156" t="n">
        <v>3</v>
      </c>
      <c r="G1892" s="156" t="inlineStr"/>
      <c r="H1892" s="157">
        <f>IF($B1892="","",IF(ISNA(MATCH($B1892,MASTER_JAM!$Q$5:$Q$28,0)),"?",IF(MATCH($B1892,MASTER_JAM!$Q$5:$Q$28,0)&lt;=12,"DS","NS")))</f>
        <v/>
      </c>
      <c r="I1892" s="157">
        <f>IFERROR(INDEX(MASTER_JAM!$B$5:$B$94,MATCH($C1892,MASTER_JAM!$A$5:$A$94,0)),"")</f>
        <v/>
      </c>
      <c r="J1892" s="157">
        <f>IFERROR(INDEX(MASTER_JAM!$E$5:$E$94,MATCH($D1892,MASTER_JAM!$A$5:$A$94,0)),"")</f>
        <v/>
      </c>
      <c r="K1892" s="158">
        <f>IFERROR(INDEX(MASTER_JAM!$J$5:$O$12,MATCH($E1892,MASTER_JAM!$I$5:$I$12,0),MATCH($J1892,MASTER_JAM!$J$4:$O$4,0))+0,0)</f>
        <v/>
      </c>
      <c r="L1892" s="159">
        <f>N($F1892)*$K1892</f>
        <v/>
      </c>
      <c r="M1892" s="157">
        <f>IF($E1892="","",IF(OR($E1892="Coal",$E1892="Dirty Coal"),"MT","BCM"))</f>
        <v/>
      </c>
      <c r="N1892" s="157">
        <f>IF($E1892="","",IF(OR($E1892="Coal",$E1892="Dirty Coal"),"Coal","OB"))</f>
        <v/>
      </c>
      <c r="O1892" s="157">
        <f>IF($F1892="","",IF(COUNTIF(MASTER_JAM!$A$5:$A$94,$C1892)=0,"Digger tidak dikenal",IF($J1892="","Hauler tidak dikenal",IF($H1892="?","Jam salah",IF($K1892=0,"Faktor kosong",IF(SUMIFS(INPUT_DELAY!$E$5:$E$20000,INPUT_DELAY!$A$5:$A$20000,$A1892,INPUT_DELAY!$B$5:$B$20000,$B1892,INPUT_DELAY!$C$5:$C$20000,$C1892)+SUMIFS(INPUT_DELAY!$E$5:$E$20000,INPUT_DELAY!$A$5:$A$20000,$A1892,INPUT_DELAY!$B$5:$B$20000,$B1892,INPUT_DELAY!$C$5:$C$20000,"SEMUA")&gt;=60,"Delay 60 mnt tapi ada ritase","OK"))))))</f>
        <v/>
      </c>
      <c r="P1892" s="158">
        <f>IFERROR(INDEX(MASTER_JAM!$Z$5:$AC$10,MATCH($I1892,MASTER_JAM!$Y$5:$Y$10,0),MATCH($J1892,MASTER_JAM!$Z$4:$AC$4,0))+0,0)</f>
        <v/>
      </c>
      <c r="Q1892" s="158">
        <f>IF($P1892=0,0,$P1892+IFERROR(INDEX(MASTER_JAM!$H$5:$H$94,MATCH($C1892,MASTER_JAM!$A$5:$A$94,0))+0,MASTER_JAM!$AC$15)/1000*(60/MASTER_JAM!$AC$12+60/MASTER_JAM!$AC$13)+MASTER_JAM!$AC$14)</f>
        <v/>
      </c>
      <c r="R1892" s="158">
        <f>IF(N($F1892)=0,0,$F1892/SUMIFS(INPUT_RITASE!$F$5:$F$20000,INPUT_RITASE!$A$5:$A$20000,$A1892,INPUT_RITASE!$B$5:$B$20000,$B1892,INPUT_RITASE!$C$5:$C$20000,$C1892,INPUT_RITASE!$D$5:$D$20000,$D1892))</f>
        <v/>
      </c>
      <c r="S1892" s="158">
        <f>IF($Q1892=0,0,$R1892*$P1892/$Q1892)</f>
        <v/>
      </c>
    </row>
    <row r="1893">
      <c r="A1893" s="155" t="n">
        <v>46110</v>
      </c>
      <c r="B1893" s="156" t="inlineStr">
        <is>
          <t>02-03</t>
        </is>
      </c>
      <c r="C1893" s="156" t="inlineStr">
        <is>
          <t>EX-753</t>
        </is>
      </c>
      <c r="D1893" s="156" t="inlineStr">
        <is>
          <t>DT-528</t>
        </is>
      </c>
      <c r="E1893" s="156" t="inlineStr">
        <is>
          <t>OB</t>
        </is>
      </c>
      <c r="F1893" s="156" t="n">
        <v>4</v>
      </c>
      <c r="G1893" s="156" t="inlineStr"/>
      <c r="H1893" s="157">
        <f>IF($B1893="","",IF(ISNA(MATCH($B1893,MASTER_JAM!$Q$5:$Q$28,0)),"?",IF(MATCH($B1893,MASTER_JAM!$Q$5:$Q$28,0)&lt;=12,"DS","NS")))</f>
        <v/>
      </c>
      <c r="I1893" s="157">
        <f>IFERROR(INDEX(MASTER_JAM!$B$5:$B$94,MATCH($C1893,MASTER_JAM!$A$5:$A$94,0)),"")</f>
        <v/>
      </c>
      <c r="J1893" s="157">
        <f>IFERROR(INDEX(MASTER_JAM!$E$5:$E$94,MATCH($D1893,MASTER_JAM!$A$5:$A$94,0)),"")</f>
        <v/>
      </c>
      <c r="K1893" s="158">
        <f>IFERROR(INDEX(MASTER_JAM!$J$5:$O$12,MATCH($E1893,MASTER_JAM!$I$5:$I$12,0),MATCH($J1893,MASTER_JAM!$J$4:$O$4,0))+0,0)</f>
        <v/>
      </c>
      <c r="L1893" s="159">
        <f>N($F1893)*$K1893</f>
        <v/>
      </c>
      <c r="M1893" s="157">
        <f>IF($E1893="","",IF(OR($E1893="Coal",$E1893="Dirty Coal"),"MT","BCM"))</f>
        <v/>
      </c>
      <c r="N1893" s="157">
        <f>IF($E1893="","",IF(OR($E1893="Coal",$E1893="Dirty Coal"),"Coal","OB"))</f>
        <v/>
      </c>
      <c r="O1893" s="157">
        <f>IF($F1893="","",IF(COUNTIF(MASTER_JAM!$A$5:$A$94,$C1893)=0,"Digger tidak dikenal",IF($J1893="","Hauler tidak dikenal",IF($H1893="?","Jam salah",IF($K1893=0,"Faktor kosong",IF(SUMIFS(INPUT_DELAY!$E$5:$E$20000,INPUT_DELAY!$A$5:$A$20000,$A1893,INPUT_DELAY!$B$5:$B$20000,$B1893,INPUT_DELAY!$C$5:$C$20000,$C1893)+SUMIFS(INPUT_DELAY!$E$5:$E$20000,INPUT_DELAY!$A$5:$A$20000,$A1893,INPUT_DELAY!$B$5:$B$20000,$B1893,INPUT_DELAY!$C$5:$C$20000,"SEMUA")&gt;=60,"Delay 60 mnt tapi ada ritase","OK"))))))</f>
        <v/>
      </c>
      <c r="P1893" s="158">
        <f>IFERROR(INDEX(MASTER_JAM!$Z$5:$AC$10,MATCH($I1893,MASTER_JAM!$Y$5:$Y$10,0),MATCH($J1893,MASTER_JAM!$Z$4:$AC$4,0))+0,0)</f>
        <v/>
      </c>
      <c r="Q1893" s="158">
        <f>IF($P1893=0,0,$P1893+IFERROR(INDEX(MASTER_JAM!$H$5:$H$94,MATCH($C1893,MASTER_JAM!$A$5:$A$94,0))+0,MASTER_JAM!$AC$15)/1000*(60/MASTER_JAM!$AC$12+60/MASTER_JAM!$AC$13)+MASTER_JAM!$AC$14)</f>
        <v/>
      </c>
      <c r="R1893" s="158">
        <f>IF(N($F1893)=0,0,$F1893/SUMIFS(INPUT_RITASE!$F$5:$F$20000,INPUT_RITASE!$A$5:$A$20000,$A1893,INPUT_RITASE!$B$5:$B$20000,$B1893,INPUT_RITASE!$C$5:$C$20000,$C1893,INPUT_RITASE!$D$5:$D$20000,$D1893))</f>
        <v/>
      </c>
      <c r="S1893" s="158">
        <f>IF($Q1893=0,0,$R1893*$P1893/$Q1893)</f>
        <v/>
      </c>
    </row>
    <row r="1894">
      <c r="A1894" s="155" t="n">
        <v>46110</v>
      </c>
      <c r="B1894" s="156" t="inlineStr">
        <is>
          <t>02-03</t>
        </is>
      </c>
      <c r="C1894" s="156" t="inlineStr">
        <is>
          <t>EX-753</t>
        </is>
      </c>
      <c r="D1894" s="156" t="inlineStr">
        <is>
          <t>DT-519</t>
        </is>
      </c>
      <c r="E1894" s="156" t="inlineStr">
        <is>
          <t>OB</t>
        </is>
      </c>
      <c r="F1894" s="156" t="n">
        <v>4</v>
      </c>
      <c r="G1894" s="156" t="inlineStr"/>
      <c r="H1894" s="157">
        <f>IF($B1894="","",IF(ISNA(MATCH($B1894,MASTER_JAM!$Q$5:$Q$28,0)),"?",IF(MATCH($B1894,MASTER_JAM!$Q$5:$Q$28,0)&lt;=12,"DS","NS")))</f>
        <v/>
      </c>
      <c r="I1894" s="157">
        <f>IFERROR(INDEX(MASTER_JAM!$B$5:$B$94,MATCH($C1894,MASTER_JAM!$A$5:$A$94,0)),"")</f>
        <v/>
      </c>
      <c r="J1894" s="157">
        <f>IFERROR(INDEX(MASTER_JAM!$E$5:$E$94,MATCH($D1894,MASTER_JAM!$A$5:$A$94,0)),"")</f>
        <v/>
      </c>
      <c r="K1894" s="158">
        <f>IFERROR(INDEX(MASTER_JAM!$J$5:$O$12,MATCH($E1894,MASTER_JAM!$I$5:$I$12,0),MATCH($J1894,MASTER_JAM!$J$4:$O$4,0))+0,0)</f>
        <v/>
      </c>
      <c r="L1894" s="159">
        <f>N($F1894)*$K1894</f>
        <v/>
      </c>
      <c r="M1894" s="157">
        <f>IF($E1894="","",IF(OR($E1894="Coal",$E1894="Dirty Coal"),"MT","BCM"))</f>
        <v/>
      </c>
      <c r="N1894" s="157">
        <f>IF($E1894="","",IF(OR($E1894="Coal",$E1894="Dirty Coal"),"Coal","OB"))</f>
        <v/>
      </c>
      <c r="O1894" s="157">
        <f>IF($F1894="","",IF(COUNTIF(MASTER_JAM!$A$5:$A$94,$C1894)=0,"Digger tidak dikenal",IF($J1894="","Hauler tidak dikenal",IF($H1894="?","Jam salah",IF($K1894=0,"Faktor kosong",IF(SUMIFS(INPUT_DELAY!$E$5:$E$20000,INPUT_DELAY!$A$5:$A$20000,$A1894,INPUT_DELAY!$B$5:$B$20000,$B1894,INPUT_DELAY!$C$5:$C$20000,$C1894)+SUMIFS(INPUT_DELAY!$E$5:$E$20000,INPUT_DELAY!$A$5:$A$20000,$A1894,INPUT_DELAY!$B$5:$B$20000,$B1894,INPUT_DELAY!$C$5:$C$20000,"SEMUA")&gt;=60,"Delay 60 mnt tapi ada ritase","OK"))))))</f>
        <v/>
      </c>
      <c r="P1894" s="158">
        <f>IFERROR(INDEX(MASTER_JAM!$Z$5:$AC$10,MATCH($I1894,MASTER_JAM!$Y$5:$Y$10,0),MATCH($J1894,MASTER_JAM!$Z$4:$AC$4,0))+0,0)</f>
        <v/>
      </c>
      <c r="Q1894" s="158">
        <f>IF($P1894=0,0,$P1894+IFERROR(INDEX(MASTER_JAM!$H$5:$H$94,MATCH($C1894,MASTER_JAM!$A$5:$A$94,0))+0,MASTER_JAM!$AC$15)/1000*(60/MASTER_JAM!$AC$12+60/MASTER_JAM!$AC$13)+MASTER_JAM!$AC$14)</f>
        <v/>
      </c>
      <c r="R1894" s="158">
        <f>IF(N($F1894)=0,0,$F1894/SUMIFS(INPUT_RITASE!$F$5:$F$20000,INPUT_RITASE!$A$5:$A$20000,$A1894,INPUT_RITASE!$B$5:$B$20000,$B1894,INPUT_RITASE!$C$5:$C$20000,$C1894,INPUT_RITASE!$D$5:$D$20000,$D1894))</f>
        <v/>
      </c>
      <c r="S1894" s="158">
        <f>IF($Q1894=0,0,$R1894*$P1894/$Q1894)</f>
        <v/>
      </c>
    </row>
    <row r="1895">
      <c r="A1895" s="155" t="n">
        <v>46110</v>
      </c>
      <c r="B1895" s="156" t="inlineStr">
        <is>
          <t>02-03</t>
        </is>
      </c>
      <c r="C1895" s="156" t="inlineStr">
        <is>
          <t>EX-753</t>
        </is>
      </c>
      <c r="D1895" s="156" t="inlineStr">
        <is>
          <t>DT-524</t>
        </is>
      </c>
      <c r="E1895" s="156" t="inlineStr">
        <is>
          <t>OB</t>
        </is>
      </c>
      <c r="F1895" s="156" t="n">
        <v>3</v>
      </c>
      <c r="G1895" s="156" t="inlineStr"/>
      <c r="H1895" s="157">
        <f>IF($B1895="","",IF(ISNA(MATCH($B1895,MASTER_JAM!$Q$5:$Q$28,0)),"?",IF(MATCH($B1895,MASTER_JAM!$Q$5:$Q$28,0)&lt;=12,"DS","NS")))</f>
        <v/>
      </c>
      <c r="I1895" s="157">
        <f>IFERROR(INDEX(MASTER_JAM!$B$5:$B$94,MATCH($C1895,MASTER_JAM!$A$5:$A$94,0)),"")</f>
        <v/>
      </c>
      <c r="J1895" s="157">
        <f>IFERROR(INDEX(MASTER_JAM!$E$5:$E$94,MATCH($D1895,MASTER_JAM!$A$5:$A$94,0)),"")</f>
        <v/>
      </c>
      <c r="K1895" s="158">
        <f>IFERROR(INDEX(MASTER_JAM!$J$5:$O$12,MATCH($E1895,MASTER_JAM!$I$5:$I$12,0),MATCH($J1895,MASTER_JAM!$J$4:$O$4,0))+0,0)</f>
        <v/>
      </c>
      <c r="L1895" s="159">
        <f>N($F1895)*$K1895</f>
        <v/>
      </c>
      <c r="M1895" s="157">
        <f>IF($E1895="","",IF(OR($E1895="Coal",$E1895="Dirty Coal"),"MT","BCM"))</f>
        <v/>
      </c>
      <c r="N1895" s="157">
        <f>IF($E1895="","",IF(OR($E1895="Coal",$E1895="Dirty Coal"),"Coal","OB"))</f>
        <v/>
      </c>
      <c r="O1895" s="157">
        <f>IF($F1895="","",IF(COUNTIF(MASTER_JAM!$A$5:$A$94,$C1895)=0,"Digger tidak dikenal",IF($J1895="","Hauler tidak dikenal",IF($H1895="?","Jam salah",IF($K1895=0,"Faktor kosong",IF(SUMIFS(INPUT_DELAY!$E$5:$E$20000,INPUT_DELAY!$A$5:$A$20000,$A1895,INPUT_DELAY!$B$5:$B$20000,$B1895,INPUT_DELAY!$C$5:$C$20000,$C1895)+SUMIFS(INPUT_DELAY!$E$5:$E$20000,INPUT_DELAY!$A$5:$A$20000,$A1895,INPUT_DELAY!$B$5:$B$20000,$B1895,INPUT_DELAY!$C$5:$C$20000,"SEMUA")&gt;=60,"Delay 60 mnt tapi ada ritase","OK"))))))</f>
        <v/>
      </c>
      <c r="P1895" s="158">
        <f>IFERROR(INDEX(MASTER_JAM!$Z$5:$AC$10,MATCH($I1895,MASTER_JAM!$Y$5:$Y$10,0),MATCH($J1895,MASTER_JAM!$Z$4:$AC$4,0))+0,0)</f>
        <v/>
      </c>
      <c r="Q1895" s="158">
        <f>IF($P1895=0,0,$P1895+IFERROR(INDEX(MASTER_JAM!$H$5:$H$94,MATCH($C1895,MASTER_JAM!$A$5:$A$94,0))+0,MASTER_JAM!$AC$15)/1000*(60/MASTER_JAM!$AC$12+60/MASTER_JAM!$AC$13)+MASTER_JAM!$AC$14)</f>
        <v/>
      </c>
      <c r="R1895" s="158">
        <f>IF(N($F1895)=0,0,$F1895/SUMIFS(INPUT_RITASE!$F$5:$F$20000,INPUT_RITASE!$A$5:$A$20000,$A1895,INPUT_RITASE!$B$5:$B$20000,$B1895,INPUT_RITASE!$C$5:$C$20000,$C1895,INPUT_RITASE!$D$5:$D$20000,$D1895))</f>
        <v/>
      </c>
      <c r="S1895" s="158">
        <f>IF($Q1895=0,0,$R1895*$P1895/$Q1895)</f>
        <v/>
      </c>
    </row>
    <row r="1896">
      <c r="A1896" s="155" t="n">
        <v>46110</v>
      </c>
      <c r="B1896" s="156" t="inlineStr">
        <is>
          <t>02-03</t>
        </is>
      </c>
      <c r="C1896" s="156" t="inlineStr">
        <is>
          <t>EX-753</t>
        </is>
      </c>
      <c r="D1896" s="156" t="inlineStr">
        <is>
          <t>DT-506</t>
        </is>
      </c>
      <c r="E1896" s="156" t="inlineStr">
        <is>
          <t>OB</t>
        </is>
      </c>
      <c r="F1896" s="156" t="n">
        <v>3</v>
      </c>
      <c r="G1896" s="156" t="inlineStr"/>
      <c r="H1896" s="157">
        <f>IF($B1896="","",IF(ISNA(MATCH($B1896,MASTER_JAM!$Q$5:$Q$28,0)),"?",IF(MATCH($B1896,MASTER_JAM!$Q$5:$Q$28,0)&lt;=12,"DS","NS")))</f>
        <v/>
      </c>
      <c r="I1896" s="157">
        <f>IFERROR(INDEX(MASTER_JAM!$B$5:$B$94,MATCH($C1896,MASTER_JAM!$A$5:$A$94,0)),"")</f>
        <v/>
      </c>
      <c r="J1896" s="157">
        <f>IFERROR(INDEX(MASTER_JAM!$E$5:$E$94,MATCH($D1896,MASTER_JAM!$A$5:$A$94,0)),"")</f>
        <v/>
      </c>
      <c r="K1896" s="158">
        <f>IFERROR(INDEX(MASTER_JAM!$J$5:$O$12,MATCH($E1896,MASTER_JAM!$I$5:$I$12,0),MATCH($J1896,MASTER_JAM!$J$4:$O$4,0))+0,0)</f>
        <v/>
      </c>
      <c r="L1896" s="159">
        <f>N($F1896)*$K1896</f>
        <v/>
      </c>
      <c r="M1896" s="157">
        <f>IF($E1896="","",IF(OR($E1896="Coal",$E1896="Dirty Coal"),"MT","BCM"))</f>
        <v/>
      </c>
      <c r="N1896" s="157">
        <f>IF($E1896="","",IF(OR($E1896="Coal",$E1896="Dirty Coal"),"Coal","OB"))</f>
        <v/>
      </c>
      <c r="O1896" s="157">
        <f>IF($F1896="","",IF(COUNTIF(MASTER_JAM!$A$5:$A$94,$C1896)=0,"Digger tidak dikenal",IF($J1896="","Hauler tidak dikenal",IF($H1896="?","Jam salah",IF($K1896=0,"Faktor kosong",IF(SUMIFS(INPUT_DELAY!$E$5:$E$20000,INPUT_DELAY!$A$5:$A$20000,$A1896,INPUT_DELAY!$B$5:$B$20000,$B1896,INPUT_DELAY!$C$5:$C$20000,$C1896)+SUMIFS(INPUT_DELAY!$E$5:$E$20000,INPUT_DELAY!$A$5:$A$20000,$A1896,INPUT_DELAY!$B$5:$B$20000,$B1896,INPUT_DELAY!$C$5:$C$20000,"SEMUA")&gt;=60,"Delay 60 mnt tapi ada ritase","OK"))))))</f>
        <v/>
      </c>
      <c r="P1896" s="158">
        <f>IFERROR(INDEX(MASTER_JAM!$Z$5:$AC$10,MATCH($I1896,MASTER_JAM!$Y$5:$Y$10,0),MATCH($J1896,MASTER_JAM!$Z$4:$AC$4,0))+0,0)</f>
        <v/>
      </c>
      <c r="Q1896" s="158">
        <f>IF($P1896=0,0,$P1896+IFERROR(INDEX(MASTER_JAM!$H$5:$H$94,MATCH($C1896,MASTER_JAM!$A$5:$A$94,0))+0,MASTER_JAM!$AC$15)/1000*(60/MASTER_JAM!$AC$12+60/MASTER_JAM!$AC$13)+MASTER_JAM!$AC$14)</f>
        <v/>
      </c>
      <c r="R1896" s="158">
        <f>IF(N($F1896)=0,0,$F1896/SUMIFS(INPUT_RITASE!$F$5:$F$20000,INPUT_RITASE!$A$5:$A$20000,$A1896,INPUT_RITASE!$B$5:$B$20000,$B1896,INPUT_RITASE!$C$5:$C$20000,$C1896,INPUT_RITASE!$D$5:$D$20000,$D1896))</f>
        <v/>
      </c>
      <c r="S1896" s="158">
        <f>IF($Q1896=0,0,$R1896*$P1896/$Q1896)</f>
        <v/>
      </c>
    </row>
    <row r="1897">
      <c r="A1897" s="155" t="n">
        <v>46110</v>
      </c>
      <c r="B1897" s="156" t="inlineStr">
        <is>
          <t>03-04</t>
        </is>
      </c>
      <c r="C1897" s="156" t="inlineStr">
        <is>
          <t>EX-753</t>
        </is>
      </c>
      <c r="D1897" s="156" t="inlineStr">
        <is>
          <t>DT-502</t>
        </is>
      </c>
      <c r="E1897" s="156" t="inlineStr">
        <is>
          <t>OB</t>
        </is>
      </c>
      <c r="F1897" s="156" t="n">
        <v>4</v>
      </c>
      <c r="G1897" s="156" t="inlineStr"/>
      <c r="H1897" s="157">
        <f>IF($B1897="","",IF(ISNA(MATCH($B1897,MASTER_JAM!$Q$5:$Q$28,0)),"?",IF(MATCH($B1897,MASTER_JAM!$Q$5:$Q$28,0)&lt;=12,"DS","NS")))</f>
        <v/>
      </c>
      <c r="I1897" s="157">
        <f>IFERROR(INDEX(MASTER_JAM!$B$5:$B$94,MATCH($C1897,MASTER_JAM!$A$5:$A$94,0)),"")</f>
        <v/>
      </c>
      <c r="J1897" s="157">
        <f>IFERROR(INDEX(MASTER_JAM!$E$5:$E$94,MATCH($D1897,MASTER_JAM!$A$5:$A$94,0)),"")</f>
        <v/>
      </c>
      <c r="K1897" s="158">
        <f>IFERROR(INDEX(MASTER_JAM!$J$5:$O$12,MATCH($E1897,MASTER_JAM!$I$5:$I$12,0),MATCH($J1897,MASTER_JAM!$J$4:$O$4,0))+0,0)</f>
        <v/>
      </c>
      <c r="L1897" s="159">
        <f>N($F1897)*$K1897</f>
        <v/>
      </c>
      <c r="M1897" s="157">
        <f>IF($E1897="","",IF(OR($E1897="Coal",$E1897="Dirty Coal"),"MT","BCM"))</f>
        <v/>
      </c>
      <c r="N1897" s="157">
        <f>IF($E1897="","",IF(OR($E1897="Coal",$E1897="Dirty Coal"),"Coal","OB"))</f>
        <v/>
      </c>
      <c r="O1897" s="157">
        <f>IF($F1897="","",IF(COUNTIF(MASTER_JAM!$A$5:$A$94,$C1897)=0,"Digger tidak dikenal",IF($J1897="","Hauler tidak dikenal",IF($H1897="?","Jam salah",IF($K1897=0,"Faktor kosong",IF(SUMIFS(INPUT_DELAY!$E$5:$E$20000,INPUT_DELAY!$A$5:$A$20000,$A1897,INPUT_DELAY!$B$5:$B$20000,$B1897,INPUT_DELAY!$C$5:$C$20000,$C1897)+SUMIFS(INPUT_DELAY!$E$5:$E$20000,INPUT_DELAY!$A$5:$A$20000,$A1897,INPUT_DELAY!$B$5:$B$20000,$B1897,INPUT_DELAY!$C$5:$C$20000,"SEMUA")&gt;=60,"Delay 60 mnt tapi ada ritase","OK"))))))</f>
        <v/>
      </c>
      <c r="P1897" s="158">
        <f>IFERROR(INDEX(MASTER_JAM!$Z$5:$AC$10,MATCH($I1897,MASTER_JAM!$Y$5:$Y$10,0),MATCH($J1897,MASTER_JAM!$Z$4:$AC$4,0))+0,0)</f>
        <v/>
      </c>
      <c r="Q1897" s="158">
        <f>IF($P1897=0,0,$P1897+IFERROR(INDEX(MASTER_JAM!$H$5:$H$94,MATCH($C1897,MASTER_JAM!$A$5:$A$94,0))+0,MASTER_JAM!$AC$15)/1000*(60/MASTER_JAM!$AC$12+60/MASTER_JAM!$AC$13)+MASTER_JAM!$AC$14)</f>
        <v/>
      </c>
      <c r="R1897" s="158">
        <f>IF(N($F1897)=0,0,$F1897/SUMIFS(INPUT_RITASE!$F$5:$F$20000,INPUT_RITASE!$A$5:$A$20000,$A1897,INPUT_RITASE!$B$5:$B$20000,$B1897,INPUT_RITASE!$C$5:$C$20000,$C1897,INPUT_RITASE!$D$5:$D$20000,$D1897))</f>
        <v/>
      </c>
      <c r="S1897" s="158">
        <f>IF($Q1897=0,0,$R1897*$P1897/$Q1897)</f>
        <v/>
      </c>
    </row>
    <row r="1898">
      <c r="A1898" s="155" t="n">
        <v>46110</v>
      </c>
      <c r="B1898" s="156" t="inlineStr">
        <is>
          <t>03-04</t>
        </is>
      </c>
      <c r="C1898" s="156" t="inlineStr">
        <is>
          <t>EX-753</t>
        </is>
      </c>
      <c r="D1898" s="156" t="inlineStr">
        <is>
          <t>DT-519</t>
        </is>
      </c>
      <c r="E1898" s="156" t="inlineStr">
        <is>
          <t>OB</t>
        </is>
      </c>
      <c r="F1898" s="156" t="n">
        <v>4</v>
      </c>
      <c r="G1898" s="156" t="inlineStr"/>
      <c r="H1898" s="157">
        <f>IF($B1898="","",IF(ISNA(MATCH($B1898,MASTER_JAM!$Q$5:$Q$28,0)),"?",IF(MATCH($B1898,MASTER_JAM!$Q$5:$Q$28,0)&lt;=12,"DS","NS")))</f>
        <v/>
      </c>
      <c r="I1898" s="157">
        <f>IFERROR(INDEX(MASTER_JAM!$B$5:$B$94,MATCH($C1898,MASTER_JAM!$A$5:$A$94,0)),"")</f>
        <v/>
      </c>
      <c r="J1898" s="157">
        <f>IFERROR(INDEX(MASTER_JAM!$E$5:$E$94,MATCH($D1898,MASTER_JAM!$A$5:$A$94,0)),"")</f>
        <v/>
      </c>
      <c r="K1898" s="158">
        <f>IFERROR(INDEX(MASTER_JAM!$J$5:$O$12,MATCH($E1898,MASTER_JAM!$I$5:$I$12,0),MATCH($J1898,MASTER_JAM!$J$4:$O$4,0))+0,0)</f>
        <v/>
      </c>
      <c r="L1898" s="159">
        <f>N($F1898)*$K1898</f>
        <v/>
      </c>
      <c r="M1898" s="157">
        <f>IF($E1898="","",IF(OR($E1898="Coal",$E1898="Dirty Coal"),"MT","BCM"))</f>
        <v/>
      </c>
      <c r="N1898" s="157">
        <f>IF($E1898="","",IF(OR($E1898="Coal",$E1898="Dirty Coal"),"Coal","OB"))</f>
        <v/>
      </c>
      <c r="O1898" s="157">
        <f>IF($F1898="","",IF(COUNTIF(MASTER_JAM!$A$5:$A$94,$C1898)=0,"Digger tidak dikenal",IF($J1898="","Hauler tidak dikenal",IF($H1898="?","Jam salah",IF($K1898=0,"Faktor kosong",IF(SUMIFS(INPUT_DELAY!$E$5:$E$20000,INPUT_DELAY!$A$5:$A$20000,$A1898,INPUT_DELAY!$B$5:$B$20000,$B1898,INPUT_DELAY!$C$5:$C$20000,$C1898)+SUMIFS(INPUT_DELAY!$E$5:$E$20000,INPUT_DELAY!$A$5:$A$20000,$A1898,INPUT_DELAY!$B$5:$B$20000,$B1898,INPUT_DELAY!$C$5:$C$20000,"SEMUA")&gt;=60,"Delay 60 mnt tapi ada ritase","OK"))))))</f>
        <v/>
      </c>
      <c r="P1898" s="158">
        <f>IFERROR(INDEX(MASTER_JAM!$Z$5:$AC$10,MATCH($I1898,MASTER_JAM!$Y$5:$Y$10,0),MATCH($J1898,MASTER_JAM!$Z$4:$AC$4,0))+0,0)</f>
        <v/>
      </c>
      <c r="Q1898" s="158">
        <f>IF($P1898=0,0,$P1898+IFERROR(INDEX(MASTER_JAM!$H$5:$H$94,MATCH($C1898,MASTER_JAM!$A$5:$A$94,0))+0,MASTER_JAM!$AC$15)/1000*(60/MASTER_JAM!$AC$12+60/MASTER_JAM!$AC$13)+MASTER_JAM!$AC$14)</f>
        <v/>
      </c>
      <c r="R1898" s="158">
        <f>IF(N($F1898)=0,0,$F1898/SUMIFS(INPUT_RITASE!$F$5:$F$20000,INPUT_RITASE!$A$5:$A$20000,$A1898,INPUT_RITASE!$B$5:$B$20000,$B1898,INPUT_RITASE!$C$5:$C$20000,$C1898,INPUT_RITASE!$D$5:$D$20000,$D1898))</f>
        <v/>
      </c>
      <c r="S1898" s="158">
        <f>IF($Q1898=0,0,$R1898*$P1898/$Q1898)</f>
        <v/>
      </c>
    </row>
    <row r="1899">
      <c r="A1899" s="155" t="n">
        <v>46110</v>
      </c>
      <c r="B1899" s="156" t="inlineStr">
        <is>
          <t>03-04</t>
        </is>
      </c>
      <c r="C1899" s="156" t="inlineStr">
        <is>
          <t>EX-753</t>
        </is>
      </c>
      <c r="D1899" s="156" t="inlineStr">
        <is>
          <t>DT-504</t>
        </is>
      </c>
      <c r="E1899" s="156" t="inlineStr">
        <is>
          <t>OB</t>
        </is>
      </c>
      <c r="F1899" s="156" t="n">
        <v>4</v>
      </c>
      <c r="G1899" s="156" t="inlineStr"/>
      <c r="H1899" s="157">
        <f>IF($B1899="","",IF(ISNA(MATCH($B1899,MASTER_JAM!$Q$5:$Q$28,0)),"?",IF(MATCH($B1899,MASTER_JAM!$Q$5:$Q$28,0)&lt;=12,"DS","NS")))</f>
        <v/>
      </c>
      <c r="I1899" s="157">
        <f>IFERROR(INDEX(MASTER_JAM!$B$5:$B$94,MATCH($C1899,MASTER_JAM!$A$5:$A$94,0)),"")</f>
        <v/>
      </c>
      <c r="J1899" s="157">
        <f>IFERROR(INDEX(MASTER_JAM!$E$5:$E$94,MATCH($D1899,MASTER_JAM!$A$5:$A$94,0)),"")</f>
        <v/>
      </c>
      <c r="K1899" s="158">
        <f>IFERROR(INDEX(MASTER_JAM!$J$5:$O$12,MATCH($E1899,MASTER_JAM!$I$5:$I$12,0),MATCH($J1899,MASTER_JAM!$J$4:$O$4,0))+0,0)</f>
        <v/>
      </c>
      <c r="L1899" s="159">
        <f>N($F1899)*$K1899</f>
        <v/>
      </c>
      <c r="M1899" s="157">
        <f>IF($E1899="","",IF(OR($E1899="Coal",$E1899="Dirty Coal"),"MT","BCM"))</f>
        <v/>
      </c>
      <c r="N1899" s="157">
        <f>IF($E1899="","",IF(OR($E1899="Coal",$E1899="Dirty Coal"),"Coal","OB"))</f>
        <v/>
      </c>
      <c r="O1899" s="157">
        <f>IF($F1899="","",IF(COUNTIF(MASTER_JAM!$A$5:$A$94,$C1899)=0,"Digger tidak dikenal",IF($J1899="","Hauler tidak dikenal",IF($H1899="?","Jam salah",IF($K1899=0,"Faktor kosong",IF(SUMIFS(INPUT_DELAY!$E$5:$E$20000,INPUT_DELAY!$A$5:$A$20000,$A1899,INPUT_DELAY!$B$5:$B$20000,$B1899,INPUT_DELAY!$C$5:$C$20000,$C1899)+SUMIFS(INPUT_DELAY!$E$5:$E$20000,INPUT_DELAY!$A$5:$A$20000,$A1899,INPUT_DELAY!$B$5:$B$20000,$B1899,INPUT_DELAY!$C$5:$C$20000,"SEMUA")&gt;=60,"Delay 60 mnt tapi ada ritase","OK"))))))</f>
        <v/>
      </c>
      <c r="P1899" s="158">
        <f>IFERROR(INDEX(MASTER_JAM!$Z$5:$AC$10,MATCH($I1899,MASTER_JAM!$Y$5:$Y$10,0),MATCH($J1899,MASTER_JAM!$Z$4:$AC$4,0))+0,0)</f>
        <v/>
      </c>
      <c r="Q1899" s="158">
        <f>IF($P1899=0,0,$P1899+IFERROR(INDEX(MASTER_JAM!$H$5:$H$94,MATCH($C1899,MASTER_JAM!$A$5:$A$94,0))+0,MASTER_JAM!$AC$15)/1000*(60/MASTER_JAM!$AC$12+60/MASTER_JAM!$AC$13)+MASTER_JAM!$AC$14)</f>
        <v/>
      </c>
      <c r="R1899" s="158">
        <f>IF(N($F1899)=0,0,$F1899/SUMIFS(INPUT_RITASE!$F$5:$F$20000,INPUT_RITASE!$A$5:$A$20000,$A1899,INPUT_RITASE!$B$5:$B$20000,$B1899,INPUT_RITASE!$C$5:$C$20000,$C1899,INPUT_RITASE!$D$5:$D$20000,$D1899))</f>
        <v/>
      </c>
      <c r="S1899" s="158">
        <f>IF($Q1899=0,0,$R1899*$P1899/$Q1899)</f>
        <v/>
      </c>
    </row>
    <row r="1900">
      <c r="A1900" s="155" t="n">
        <v>46110</v>
      </c>
      <c r="B1900" s="156" t="inlineStr">
        <is>
          <t>04-05</t>
        </is>
      </c>
      <c r="C1900" s="156" t="inlineStr">
        <is>
          <t>EX-753</t>
        </is>
      </c>
      <c r="D1900" s="156" t="inlineStr">
        <is>
          <t>DT-520</t>
        </is>
      </c>
      <c r="E1900" s="156" t="inlineStr">
        <is>
          <t>OB</t>
        </is>
      </c>
      <c r="F1900" s="156" t="n">
        <v>4</v>
      </c>
      <c r="G1900" s="156" t="inlineStr"/>
      <c r="H1900" s="157">
        <f>IF($B1900="","",IF(ISNA(MATCH($B1900,MASTER_JAM!$Q$5:$Q$28,0)),"?",IF(MATCH($B1900,MASTER_JAM!$Q$5:$Q$28,0)&lt;=12,"DS","NS")))</f>
        <v/>
      </c>
      <c r="I1900" s="157">
        <f>IFERROR(INDEX(MASTER_JAM!$B$5:$B$94,MATCH($C1900,MASTER_JAM!$A$5:$A$94,0)),"")</f>
        <v/>
      </c>
      <c r="J1900" s="157">
        <f>IFERROR(INDEX(MASTER_JAM!$E$5:$E$94,MATCH($D1900,MASTER_JAM!$A$5:$A$94,0)),"")</f>
        <v/>
      </c>
      <c r="K1900" s="158">
        <f>IFERROR(INDEX(MASTER_JAM!$J$5:$O$12,MATCH($E1900,MASTER_JAM!$I$5:$I$12,0),MATCH($J1900,MASTER_JAM!$J$4:$O$4,0))+0,0)</f>
        <v/>
      </c>
      <c r="L1900" s="159">
        <f>N($F1900)*$K1900</f>
        <v/>
      </c>
      <c r="M1900" s="157">
        <f>IF($E1900="","",IF(OR($E1900="Coal",$E1900="Dirty Coal"),"MT","BCM"))</f>
        <v/>
      </c>
      <c r="N1900" s="157">
        <f>IF($E1900="","",IF(OR($E1900="Coal",$E1900="Dirty Coal"),"Coal","OB"))</f>
        <v/>
      </c>
      <c r="O1900" s="157">
        <f>IF($F1900="","",IF(COUNTIF(MASTER_JAM!$A$5:$A$94,$C1900)=0,"Digger tidak dikenal",IF($J1900="","Hauler tidak dikenal",IF($H1900="?","Jam salah",IF($K1900=0,"Faktor kosong",IF(SUMIFS(INPUT_DELAY!$E$5:$E$20000,INPUT_DELAY!$A$5:$A$20000,$A1900,INPUT_DELAY!$B$5:$B$20000,$B1900,INPUT_DELAY!$C$5:$C$20000,$C1900)+SUMIFS(INPUT_DELAY!$E$5:$E$20000,INPUT_DELAY!$A$5:$A$20000,$A1900,INPUT_DELAY!$B$5:$B$20000,$B1900,INPUT_DELAY!$C$5:$C$20000,"SEMUA")&gt;=60,"Delay 60 mnt tapi ada ritase","OK"))))))</f>
        <v/>
      </c>
      <c r="P1900" s="158">
        <f>IFERROR(INDEX(MASTER_JAM!$Z$5:$AC$10,MATCH($I1900,MASTER_JAM!$Y$5:$Y$10,0),MATCH($J1900,MASTER_JAM!$Z$4:$AC$4,0))+0,0)</f>
        <v/>
      </c>
      <c r="Q1900" s="158">
        <f>IF($P1900=0,0,$P1900+IFERROR(INDEX(MASTER_JAM!$H$5:$H$94,MATCH($C1900,MASTER_JAM!$A$5:$A$94,0))+0,MASTER_JAM!$AC$15)/1000*(60/MASTER_JAM!$AC$12+60/MASTER_JAM!$AC$13)+MASTER_JAM!$AC$14)</f>
        <v/>
      </c>
      <c r="R1900" s="158">
        <f>IF(N($F1900)=0,0,$F1900/SUMIFS(INPUT_RITASE!$F$5:$F$20000,INPUT_RITASE!$A$5:$A$20000,$A1900,INPUT_RITASE!$B$5:$B$20000,$B1900,INPUT_RITASE!$C$5:$C$20000,$C1900,INPUT_RITASE!$D$5:$D$20000,$D1900))</f>
        <v/>
      </c>
      <c r="S1900" s="158">
        <f>IF($Q1900=0,0,$R1900*$P1900/$Q1900)</f>
        <v/>
      </c>
    </row>
    <row r="1901">
      <c r="A1901" s="155" t="n">
        <v>46110</v>
      </c>
      <c r="B1901" s="156" t="inlineStr">
        <is>
          <t>04-05</t>
        </is>
      </c>
      <c r="C1901" s="156" t="inlineStr">
        <is>
          <t>EX-753</t>
        </is>
      </c>
      <c r="D1901" s="156" t="inlineStr">
        <is>
          <t>DT-514</t>
        </is>
      </c>
      <c r="E1901" s="156" t="inlineStr">
        <is>
          <t>OB</t>
        </is>
      </c>
      <c r="F1901" s="156" t="n">
        <v>4</v>
      </c>
      <c r="G1901" s="156" t="inlineStr"/>
      <c r="H1901" s="157">
        <f>IF($B1901="","",IF(ISNA(MATCH($B1901,MASTER_JAM!$Q$5:$Q$28,0)),"?",IF(MATCH($B1901,MASTER_JAM!$Q$5:$Q$28,0)&lt;=12,"DS","NS")))</f>
        <v/>
      </c>
      <c r="I1901" s="157">
        <f>IFERROR(INDEX(MASTER_JAM!$B$5:$B$94,MATCH($C1901,MASTER_JAM!$A$5:$A$94,0)),"")</f>
        <v/>
      </c>
      <c r="J1901" s="157">
        <f>IFERROR(INDEX(MASTER_JAM!$E$5:$E$94,MATCH($D1901,MASTER_JAM!$A$5:$A$94,0)),"")</f>
        <v/>
      </c>
      <c r="K1901" s="158">
        <f>IFERROR(INDEX(MASTER_JAM!$J$5:$O$12,MATCH($E1901,MASTER_JAM!$I$5:$I$12,0),MATCH($J1901,MASTER_JAM!$J$4:$O$4,0))+0,0)</f>
        <v/>
      </c>
      <c r="L1901" s="159">
        <f>N($F1901)*$K1901</f>
        <v/>
      </c>
      <c r="M1901" s="157">
        <f>IF($E1901="","",IF(OR($E1901="Coal",$E1901="Dirty Coal"),"MT","BCM"))</f>
        <v/>
      </c>
      <c r="N1901" s="157">
        <f>IF($E1901="","",IF(OR($E1901="Coal",$E1901="Dirty Coal"),"Coal","OB"))</f>
        <v/>
      </c>
      <c r="O1901" s="157">
        <f>IF($F1901="","",IF(COUNTIF(MASTER_JAM!$A$5:$A$94,$C1901)=0,"Digger tidak dikenal",IF($J1901="","Hauler tidak dikenal",IF($H1901="?","Jam salah",IF($K1901=0,"Faktor kosong",IF(SUMIFS(INPUT_DELAY!$E$5:$E$20000,INPUT_DELAY!$A$5:$A$20000,$A1901,INPUT_DELAY!$B$5:$B$20000,$B1901,INPUT_DELAY!$C$5:$C$20000,$C1901)+SUMIFS(INPUT_DELAY!$E$5:$E$20000,INPUT_DELAY!$A$5:$A$20000,$A1901,INPUT_DELAY!$B$5:$B$20000,$B1901,INPUT_DELAY!$C$5:$C$20000,"SEMUA")&gt;=60,"Delay 60 mnt tapi ada ritase","OK"))))))</f>
        <v/>
      </c>
      <c r="P1901" s="158">
        <f>IFERROR(INDEX(MASTER_JAM!$Z$5:$AC$10,MATCH($I1901,MASTER_JAM!$Y$5:$Y$10,0),MATCH($J1901,MASTER_JAM!$Z$4:$AC$4,0))+0,0)</f>
        <v/>
      </c>
      <c r="Q1901" s="158">
        <f>IF($P1901=0,0,$P1901+IFERROR(INDEX(MASTER_JAM!$H$5:$H$94,MATCH($C1901,MASTER_JAM!$A$5:$A$94,0))+0,MASTER_JAM!$AC$15)/1000*(60/MASTER_JAM!$AC$12+60/MASTER_JAM!$AC$13)+MASTER_JAM!$AC$14)</f>
        <v/>
      </c>
      <c r="R1901" s="158">
        <f>IF(N($F1901)=0,0,$F1901/SUMIFS(INPUT_RITASE!$F$5:$F$20000,INPUT_RITASE!$A$5:$A$20000,$A1901,INPUT_RITASE!$B$5:$B$20000,$B1901,INPUT_RITASE!$C$5:$C$20000,$C1901,INPUT_RITASE!$D$5:$D$20000,$D1901))</f>
        <v/>
      </c>
      <c r="S1901" s="158">
        <f>IF($Q1901=0,0,$R1901*$P1901/$Q1901)</f>
        <v/>
      </c>
    </row>
    <row r="1902">
      <c r="A1902" s="155" t="n">
        <v>46110</v>
      </c>
      <c r="B1902" s="156" t="inlineStr">
        <is>
          <t>04-05</t>
        </is>
      </c>
      <c r="C1902" s="156" t="inlineStr">
        <is>
          <t>EX-753</t>
        </is>
      </c>
      <c r="D1902" s="156" t="inlineStr">
        <is>
          <t>DT-502</t>
        </is>
      </c>
      <c r="E1902" s="156" t="inlineStr">
        <is>
          <t>OB</t>
        </is>
      </c>
      <c r="F1902" s="156" t="n">
        <v>4</v>
      </c>
      <c r="G1902" s="156" t="inlineStr"/>
      <c r="H1902" s="157">
        <f>IF($B1902="","",IF(ISNA(MATCH($B1902,MASTER_JAM!$Q$5:$Q$28,0)),"?",IF(MATCH($B1902,MASTER_JAM!$Q$5:$Q$28,0)&lt;=12,"DS","NS")))</f>
        <v/>
      </c>
      <c r="I1902" s="157">
        <f>IFERROR(INDEX(MASTER_JAM!$B$5:$B$94,MATCH($C1902,MASTER_JAM!$A$5:$A$94,0)),"")</f>
        <v/>
      </c>
      <c r="J1902" s="157">
        <f>IFERROR(INDEX(MASTER_JAM!$E$5:$E$94,MATCH($D1902,MASTER_JAM!$A$5:$A$94,0)),"")</f>
        <v/>
      </c>
      <c r="K1902" s="158">
        <f>IFERROR(INDEX(MASTER_JAM!$J$5:$O$12,MATCH($E1902,MASTER_JAM!$I$5:$I$12,0),MATCH($J1902,MASTER_JAM!$J$4:$O$4,0))+0,0)</f>
        <v/>
      </c>
      <c r="L1902" s="159">
        <f>N($F1902)*$K1902</f>
        <v/>
      </c>
      <c r="M1902" s="157">
        <f>IF($E1902="","",IF(OR($E1902="Coal",$E1902="Dirty Coal"),"MT","BCM"))</f>
        <v/>
      </c>
      <c r="N1902" s="157">
        <f>IF($E1902="","",IF(OR($E1902="Coal",$E1902="Dirty Coal"),"Coal","OB"))</f>
        <v/>
      </c>
      <c r="O1902" s="157">
        <f>IF($F1902="","",IF(COUNTIF(MASTER_JAM!$A$5:$A$94,$C1902)=0,"Digger tidak dikenal",IF($J1902="","Hauler tidak dikenal",IF($H1902="?","Jam salah",IF($K1902=0,"Faktor kosong",IF(SUMIFS(INPUT_DELAY!$E$5:$E$20000,INPUT_DELAY!$A$5:$A$20000,$A1902,INPUT_DELAY!$B$5:$B$20000,$B1902,INPUT_DELAY!$C$5:$C$20000,$C1902)+SUMIFS(INPUT_DELAY!$E$5:$E$20000,INPUT_DELAY!$A$5:$A$20000,$A1902,INPUT_DELAY!$B$5:$B$20000,$B1902,INPUT_DELAY!$C$5:$C$20000,"SEMUA")&gt;=60,"Delay 60 mnt tapi ada ritase","OK"))))))</f>
        <v/>
      </c>
      <c r="P1902" s="158">
        <f>IFERROR(INDEX(MASTER_JAM!$Z$5:$AC$10,MATCH($I1902,MASTER_JAM!$Y$5:$Y$10,0),MATCH($J1902,MASTER_JAM!$Z$4:$AC$4,0))+0,0)</f>
        <v/>
      </c>
      <c r="Q1902" s="158">
        <f>IF($P1902=0,0,$P1902+IFERROR(INDEX(MASTER_JAM!$H$5:$H$94,MATCH($C1902,MASTER_JAM!$A$5:$A$94,0))+0,MASTER_JAM!$AC$15)/1000*(60/MASTER_JAM!$AC$12+60/MASTER_JAM!$AC$13)+MASTER_JAM!$AC$14)</f>
        <v/>
      </c>
      <c r="R1902" s="158">
        <f>IF(N($F1902)=0,0,$F1902/SUMIFS(INPUT_RITASE!$F$5:$F$20000,INPUT_RITASE!$A$5:$A$20000,$A1902,INPUT_RITASE!$B$5:$B$20000,$B1902,INPUT_RITASE!$C$5:$C$20000,$C1902,INPUT_RITASE!$D$5:$D$20000,$D1902))</f>
        <v/>
      </c>
      <c r="S1902" s="158">
        <f>IF($Q1902=0,0,$R1902*$P1902/$Q1902)</f>
        <v/>
      </c>
    </row>
    <row r="1903">
      <c r="A1903" s="155" t="n">
        <v>46110</v>
      </c>
      <c r="B1903" s="156" t="inlineStr">
        <is>
          <t>05-06</t>
        </is>
      </c>
      <c r="C1903" s="156" t="inlineStr">
        <is>
          <t>EX-753</t>
        </is>
      </c>
      <c r="D1903" s="156" t="inlineStr">
        <is>
          <t>DT-526</t>
        </is>
      </c>
      <c r="E1903" s="156" t="inlineStr">
        <is>
          <t>OB</t>
        </is>
      </c>
      <c r="F1903" s="156" t="n">
        <v>4</v>
      </c>
      <c r="G1903" s="156" t="inlineStr"/>
      <c r="H1903" s="157">
        <f>IF($B1903="","",IF(ISNA(MATCH($B1903,MASTER_JAM!$Q$5:$Q$28,0)),"?",IF(MATCH($B1903,MASTER_JAM!$Q$5:$Q$28,0)&lt;=12,"DS","NS")))</f>
        <v/>
      </c>
      <c r="I1903" s="157">
        <f>IFERROR(INDEX(MASTER_JAM!$B$5:$B$94,MATCH($C1903,MASTER_JAM!$A$5:$A$94,0)),"")</f>
        <v/>
      </c>
      <c r="J1903" s="157">
        <f>IFERROR(INDEX(MASTER_JAM!$E$5:$E$94,MATCH($D1903,MASTER_JAM!$A$5:$A$94,0)),"")</f>
        <v/>
      </c>
      <c r="K1903" s="158">
        <f>IFERROR(INDEX(MASTER_JAM!$J$5:$O$12,MATCH($E1903,MASTER_JAM!$I$5:$I$12,0),MATCH($J1903,MASTER_JAM!$J$4:$O$4,0))+0,0)</f>
        <v/>
      </c>
      <c r="L1903" s="159">
        <f>N($F1903)*$K1903</f>
        <v/>
      </c>
      <c r="M1903" s="157">
        <f>IF($E1903="","",IF(OR($E1903="Coal",$E1903="Dirty Coal"),"MT","BCM"))</f>
        <v/>
      </c>
      <c r="N1903" s="157">
        <f>IF($E1903="","",IF(OR($E1903="Coal",$E1903="Dirty Coal"),"Coal","OB"))</f>
        <v/>
      </c>
      <c r="O1903" s="157">
        <f>IF($F1903="","",IF(COUNTIF(MASTER_JAM!$A$5:$A$94,$C1903)=0,"Digger tidak dikenal",IF($J1903="","Hauler tidak dikenal",IF($H1903="?","Jam salah",IF($K1903=0,"Faktor kosong",IF(SUMIFS(INPUT_DELAY!$E$5:$E$20000,INPUT_DELAY!$A$5:$A$20000,$A1903,INPUT_DELAY!$B$5:$B$20000,$B1903,INPUT_DELAY!$C$5:$C$20000,$C1903)+SUMIFS(INPUT_DELAY!$E$5:$E$20000,INPUT_DELAY!$A$5:$A$20000,$A1903,INPUT_DELAY!$B$5:$B$20000,$B1903,INPUT_DELAY!$C$5:$C$20000,"SEMUA")&gt;=60,"Delay 60 mnt tapi ada ritase","OK"))))))</f>
        <v/>
      </c>
      <c r="P1903" s="158">
        <f>IFERROR(INDEX(MASTER_JAM!$Z$5:$AC$10,MATCH($I1903,MASTER_JAM!$Y$5:$Y$10,0),MATCH($J1903,MASTER_JAM!$Z$4:$AC$4,0))+0,0)</f>
        <v/>
      </c>
      <c r="Q1903" s="158">
        <f>IF($P1903=0,0,$P1903+IFERROR(INDEX(MASTER_JAM!$H$5:$H$94,MATCH($C1903,MASTER_JAM!$A$5:$A$94,0))+0,MASTER_JAM!$AC$15)/1000*(60/MASTER_JAM!$AC$12+60/MASTER_JAM!$AC$13)+MASTER_JAM!$AC$14)</f>
        <v/>
      </c>
      <c r="R1903" s="158">
        <f>IF(N($F1903)=0,0,$F1903/SUMIFS(INPUT_RITASE!$F$5:$F$20000,INPUT_RITASE!$A$5:$A$20000,$A1903,INPUT_RITASE!$B$5:$B$20000,$B1903,INPUT_RITASE!$C$5:$C$20000,$C1903,INPUT_RITASE!$D$5:$D$20000,$D1903))</f>
        <v/>
      </c>
      <c r="S1903" s="158">
        <f>IF($Q1903=0,0,$R1903*$P1903/$Q1903)</f>
        <v/>
      </c>
    </row>
    <row r="1904">
      <c r="A1904" s="155" t="n">
        <v>46110</v>
      </c>
      <c r="B1904" s="156" t="inlineStr">
        <is>
          <t>05-06</t>
        </is>
      </c>
      <c r="C1904" s="156" t="inlineStr">
        <is>
          <t>EX-753</t>
        </is>
      </c>
      <c r="D1904" s="156" t="inlineStr">
        <is>
          <t>DT-518</t>
        </is>
      </c>
      <c r="E1904" s="156" t="inlineStr">
        <is>
          <t>OB</t>
        </is>
      </c>
      <c r="F1904" s="156" t="n">
        <v>3</v>
      </c>
      <c r="G1904" s="156" t="inlineStr"/>
      <c r="H1904" s="157">
        <f>IF($B1904="","",IF(ISNA(MATCH($B1904,MASTER_JAM!$Q$5:$Q$28,0)),"?",IF(MATCH($B1904,MASTER_JAM!$Q$5:$Q$28,0)&lt;=12,"DS","NS")))</f>
        <v/>
      </c>
      <c r="I1904" s="157">
        <f>IFERROR(INDEX(MASTER_JAM!$B$5:$B$94,MATCH($C1904,MASTER_JAM!$A$5:$A$94,0)),"")</f>
        <v/>
      </c>
      <c r="J1904" s="157">
        <f>IFERROR(INDEX(MASTER_JAM!$E$5:$E$94,MATCH($D1904,MASTER_JAM!$A$5:$A$94,0)),"")</f>
        <v/>
      </c>
      <c r="K1904" s="158">
        <f>IFERROR(INDEX(MASTER_JAM!$J$5:$O$12,MATCH($E1904,MASTER_JAM!$I$5:$I$12,0),MATCH($J1904,MASTER_JAM!$J$4:$O$4,0))+0,0)</f>
        <v/>
      </c>
      <c r="L1904" s="159">
        <f>N($F1904)*$K1904</f>
        <v/>
      </c>
      <c r="M1904" s="157">
        <f>IF($E1904="","",IF(OR($E1904="Coal",$E1904="Dirty Coal"),"MT","BCM"))</f>
        <v/>
      </c>
      <c r="N1904" s="157">
        <f>IF($E1904="","",IF(OR($E1904="Coal",$E1904="Dirty Coal"),"Coal","OB"))</f>
        <v/>
      </c>
      <c r="O1904" s="157">
        <f>IF($F1904="","",IF(COUNTIF(MASTER_JAM!$A$5:$A$94,$C1904)=0,"Digger tidak dikenal",IF($J1904="","Hauler tidak dikenal",IF($H1904="?","Jam salah",IF($K1904=0,"Faktor kosong",IF(SUMIFS(INPUT_DELAY!$E$5:$E$20000,INPUT_DELAY!$A$5:$A$20000,$A1904,INPUT_DELAY!$B$5:$B$20000,$B1904,INPUT_DELAY!$C$5:$C$20000,$C1904)+SUMIFS(INPUT_DELAY!$E$5:$E$20000,INPUT_DELAY!$A$5:$A$20000,$A1904,INPUT_DELAY!$B$5:$B$20000,$B1904,INPUT_DELAY!$C$5:$C$20000,"SEMUA")&gt;=60,"Delay 60 mnt tapi ada ritase","OK"))))))</f>
        <v/>
      </c>
      <c r="P1904" s="158">
        <f>IFERROR(INDEX(MASTER_JAM!$Z$5:$AC$10,MATCH($I1904,MASTER_JAM!$Y$5:$Y$10,0),MATCH($J1904,MASTER_JAM!$Z$4:$AC$4,0))+0,0)</f>
        <v/>
      </c>
      <c r="Q1904" s="158">
        <f>IF($P1904=0,0,$P1904+IFERROR(INDEX(MASTER_JAM!$H$5:$H$94,MATCH($C1904,MASTER_JAM!$A$5:$A$94,0))+0,MASTER_JAM!$AC$15)/1000*(60/MASTER_JAM!$AC$12+60/MASTER_JAM!$AC$13)+MASTER_JAM!$AC$14)</f>
        <v/>
      </c>
      <c r="R1904" s="158">
        <f>IF(N($F1904)=0,0,$F1904/SUMIFS(INPUT_RITASE!$F$5:$F$20000,INPUT_RITASE!$A$5:$A$20000,$A1904,INPUT_RITASE!$B$5:$B$20000,$B1904,INPUT_RITASE!$C$5:$C$20000,$C1904,INPUT_RITASE!$D$5:$D$20000,$D1904))</f>
        <v/>
      </c>
      <c r="S1904" s="158">
        <f>IF($Q1904=0,0,$R1904*$P1904/$Q1904)</f>
        <v/>
      </c>
    </row>
    <row r="1905">
      <c r="A1905" s="155" t="n">
        <v>46110</v>
      </c>
      <c r="B1905" s="156" t="inlineStr">
        <is>
          <t>05-06</t>
        </is>
      </c>
      <c r="C1905" s="156" t="inlineStr">
        <is>
          <t>EX-753</t>
        </is>
      </c>
      <c r="D1905" s="156" t="inlineStr">
        <is>
          <t>DT-502</t>
        </is>
      </c>
      <c r="E1905" s="156" t="inlineStr">
        <is>
          <t>OB</t>
        </is>
      </c>
      <c r="F1905" s="156" t="n">
        <v>3</v>
      </c>
      <c r="G1905" s="156" t="inlineStr"/>
      <c r="H1905" s="157">
        <f>IF($B1905="","",IF(ISNA(MATCH($B1905,MASTER_JAM!$Q$5:$Q$28,0)),"?",IF(MATCH($B1905,MASTER_JAM!$Q$5:$Q$28,0)&lt;=12,"DS","NS")))</f>
        <v/>
      </c>
      <c r="I1905" s="157">
        <f>IFERROR(INDEX(MASTER_JAM!$B$5:$B$94,MATCH($C1905,MASTER_JAM!$A$5:$A$94,0)),"")</f>
        <v/>
      </c>
      <c r="J1905" s="157">
        <f>IFERROR(INDEX(MASTER_JAM!$E$5:$E$94,MATCH($D1905,MASTER_JAM!$A$5:$A$94,0)),"")</f>
        <v/>
      </c>
      <c r="K1905" s="158">
        <f>IFERROR(INDEX(MASTER_JAM!$J$5:$O$12,MATCH($E1905,MASTER_JAM!$I$5:$I$12,0),MATCH($J1905,MASTER_JAM!$J$4:$O$4,0))+0,0)</f>
        <v/>
      </c>
      <c r="L1905" s="159">
        <f>N($F1905)*$K1905</f>
        <v/>
      </c>
      <c r="M1905" s="157">
        <f>IF($E1905="","",IF(OR($E1905="Coal",$E1905="Dirty Coal"),"MT","BCM"))</f>
        <v/>
      </c>
      <c r="N1905" s="157">
        <f>IF($E1905="","",IF(OR($E1905="Coal",$E1905="Dirty Coal"),"Coal","OB"))</f>
        <v/>
      </c>
      <c r="O1905" s="157">
        <f>IF($F1905="","",IF(COUNTIF(MASTER_JAM!$A$5:$A$94,$C1905)=0,"Digger tidak dikenal",IF($J1905="","Hauler tidak dikenal",IF($H1905="?","Jam salah",IF($K1905=0,"Faktor kosong",IF(SUMIFS(INPUT_DELAY!$E$5:$E$20000,INPUT_DELAY!$A$5:$A$20000,$A1905,INPUT_DELAY!$B$5:$B$20000,$B1905,INPUT_DELAY!$C$5:$C$20000,$C1905)+SUMIFS(INPUT_DELAY!$E$5:$E$20000,INPUT_DELAY!$A$5:$A$20000,$A1905,INPUT_DELAY!$B$5:$B$20000,$B1905,INPUT_DELAY!$C$5:$C$20000,"SEMUA")&gt;=60,"Delay 60 mnt tapi ada ritase","OK"))))))</f>
        <v/>
      </c>
      <c r="P1905" s="158">
        <f>IFERROR(INDEX(MASTER_JAM!$Z$5:$AC$10,MATCH($I1905,MASTER_JAM!$Y$5:$Y$10,0),MATCH($J1905,MASTER_JAM!$Z$4:$AC$4,0))+0,0)</f>
        <v/>
      </c>
      <c r="Q1905" s="158">
        <f>IF($P1905=0,0,$P1905+IFERROR(INDEX(MASTER_JAM!$H$5:$H$94,MATCH($C1905,MASTER_JAM!$A$5:$A$94,0))+0,MASTER_JAM!$AC$15)/1000*(60/MASTER_JAM!$AC$12+60/MASTER_JAM!$AC$13)+MASTER_JAM!$AC$14)</f>
        <v/>
      </c>
      <c r="R1905" s="158">
        <f>IF(N($F1905)=0,0,$F1905/SUMIFS(INPUT_RITASE!$F$5:$F$20000,INPUT_RITASE!$A$5:$A$20000,$A1905,INPUT_RITASE!$B$5:$B$20000,$B1905,INPUT_RITASE!$C$5:$C$20000,$C1905,INPUT_RITASE!$D$5:$D$20000,$D1905))</f>
        <v/>
      </c>
      <c r="S1905" s="158">
        <f>IF($Q1905=0,0,$R1905*$P1905/$Q1905)</f>
        <v/>
      </c>
    </row>
    <row r="1906">
      <c r="A1906" s="155" t="n">
        <v>46110</v>
      </c>
      <c r="B1906" s="156" t="inlineStr">
        <is>
          <t>05-06</t>
        </is>
      </c>
      <c r="C1906" s="156" t="inlineStr">
        <is>
          <t>EX-753</t>
        </is>
      </c>
      <c r="D1906" s="156" t="inlineStr">
        <is>
          <t>DT-504</t>
        </is>
      </c>
      <c r="E1906" s="156" t="inlineStr">
        <is>
          <t>OB</t>
        </is>
      </c>
      <c r="F1906" s="156" t="n">
        <v>3</v>
      </c>
      <c r="G1906" s="156" t="inlineStr"/>
      <c r="H1906" s="157">
        <f>IF($B1906="","",IF(ISNA(MATCH($B1906,MASTER_JAM!$Q$5:$Q$28,0)),"?",IF(MATCH($B1906,MASTER_JAM!$Q$5:$Q$28,0)&lt;=12,"DS","NS")))</f>
        <v/>
      </c>
      <c r="I1906" s="157">
        <f>IFERROR(INDEX(MASTER_JAM!$B$5:$B$94,MATCH($C1906,MASTER_JAM!$A$5:$A$94,0)),"")</f>
        <v/>
      </c>
      <c r="J1906" s="157">
        <f>IFERROR(INDEX(MASTER_JAM!$E$5:$E$94,MATCH($D1906,MASTER_JAM!$A$5:$A$94,0)),"")</f>
        <v/>
      </c>
      <c r="K1906" s="158">
        <f>IFERROR(INDEX(MASTER_JAM!$J$5:$O$12,MATCH($E1906,MASTER_JAM!$I$5:$I$12,0),MATCH($J1906,MASTER_JAM!$J$4:$O$4,0))+0,0)</f>
        <v/>
      </c>
      <c r="L1906" s="159">
        <f>N($F1906)*$K1906</f>
        <v/>
      </c>
      <c r="M1906" s="157">
        <f>IF($E1906="","",IF(OR($E1906="Coal",$E1906="Dirty Coal"),"MT","BCM"))</f>
        <v/>
      </c>
      <c r="N1906" s="157">
        <f>IF($E1906="","",IF(OR($E1906="Coal",$E1906="Dirty Coal"),"Coal","OB"))</f>
        <v/>
      </c>
      <c r="O1906" s="157">
        <f>IF($F1906="","",IF(COUNTIF(MASTER_JAM!$A$5:$A$94,$C1906)=0,"Digger tidak dikenal",IF($J1906="","Hauler tidak dikenal",IF($H1906="?","Jam salah",IF($K1906=0,"Faktor kosong",IF(SUMIFS(INPUT_DELAY!$E$5:$E$20000,INPUT_DELAY!$A$5:$A$20000,$A1906,INPUT_DELAY!$B$5:$B$20000,$B1906,INPUT_DELAY!$C$5:$C$20000,$C1906)+SUMIFS(INPUT_DELAY!$E$5:$E$20000,INPUT_DELAY!$A$5:$A$20000,$A1906,INPUT_DELAY!$B$5:$B$20000,$B1906,INPUT_DELAY!$C$5:$C$20000,"SEMUA")&gt;=60,"Delay 60 mnt tapi ada ritase","OK"))))))</f>
        <v/>
      </c>
      <c r="P1906" s="158">
        <f>IFERROR(INDEX(MASTER_JAM!$Z$5:$AC$10,MATCH($I1906,MASTER_JAM!$Y$5:$Y$10,0),MATCH($J1906,MASTER_JAM!$Z$4:$AC$4,0))+0,0)</f>
        <v/>
      </c>
      <c r="Q1906" s="158">
        <f>IF($P1906=0,0,$P1906+IFERROR(INDEX(MASTER_JAM!$H$5:$H$94,MATCH($C1906,MASTER_JAM!$A$5:$A$94,0))+0,MASTER_JAM!$AC$15)/1000*(60/MASTER_JAM!$AC$12+60/MASTER_JAM!$AC$13)+MASTER_JAM!$AC$14)</f>
        <v/>
      </c>
      <c r="R1906" s="158">
        <f>IF(N($F1906)=0,0,$F1906/SUMIFS(INPUT_RITASE!$F$5:$F$20000,INPUT_RITASE!$A$5:$A$20000,$A1906,INPUT_RITASE!$B$5:$B$20000,$B1906,INPUT_RITASE!$C$5:$C$20000,$C1906,INPUT_RITASE!$D$5:$D$20000,$D1906))</f>
        <v/>
      </c>
      <c r="S1906" s="158">
        <f>IF($Q1906=0,0,$R1906*$P1906/$Q1906)</f>
        <v/>
      </c>
    </row>
  </sheetData>
  <conditionalFormatting sqref="O5:O20000">
    <cfRule type="expression" priority="1" dxfId="28">
      <formula>AND($O5&lt;&gt;"",$O5&lt;&gt;"OK")</formula>
    </cfRule>
    <cfRule type="expression" priority="2" dxfId="29">
      <formula>$O5="OK"</formula>
    </cfRule>
  </conditionalFormatting>
  <dataValidations count="6">
    <dataValidation sqref="A5:A20000" showDropDown="0" showInputMessage="1" showErrorMessage="1" allowBlank="1" error="Isi tanggal yang valid" prompt="Tanggal produksi (dd-mm-yy)" type="date" operator="between">
      <formula1>DATE(2020,1,1)</formula1>
      <formula2>DATE(2035,12,31)</formula2>
    </dataValidation>
    <dataValidation sqref="B5:B20000" showDropDown="0" showInputMessage="1" showErrorMessage="1" allowBlank="1" errorTitle="Tidak ada di daftar" error="Pilih dari dropdown. Nama harus sama persis dengan MASTER_JAM." promptTitle="Pilih dari daftar" prompt="06-07 s/d 05-06" type="list">
      <formula1>=MASTER_JAM!$Q$5:$Q$28</formula1>
    </dataValidation>
    <dataValidation sqref="C5:C20000" showDropDown="0" showInputMessage="1" showErrorMessage="1" allowBlank="1" errorTitle="Tidak ada di daftar" error="Pilih dari dropdown. Nama harus sama persis dengan MASTER_JAM." promptTitle="Pilih dari daftar" prompt="Excavator yang memuat" type="list">
      <formula1>=MASTER_JAM!$T$5:$T$22</formula1>
    </dataValidation>
    <dataValidation sqref="D5:D20000" showDropDown="0" showInputMessage="1" showErrorMessage="1" allowBlank="1" errorTitle="Tidak ada di daftar" error="Pilih dari dropdown. Nama harus sama persis dengan MASTER_JAM." promptTitle="Pilih dari daftar" prompt="Nomor hauler" type="list">
      <formula1>=MASTER_JAM!$U$5:$U$76</formula1>
    </dataValidation>
    <dataValidation sqref="E5:E20000" showDropDown="0" showInputMessage="1" showErrorMessage="1" allowBlank="1" errorTitle="Tidak ada di daftar" error="Pilih dari dropdown. Nama harus sama persis dengan MASTER_JAM." promptTitle="Pilih dari daftar" prompt="Material yang diangkut" type="list">
      <formula1>=MASTER_JAM!$R$5:$R$12</formula1>
    </dataValidation>
    <dataValidation sqref="F5:F20000" showDropDown="0" showInputMessage="1" showErrorMessage="1" allowBlank="1" errorTitle="Ritase tidak wajar" error="Ritase per hauler per jam harus bilangan bulat 0–20." prompt="Ritase hauler ini di jam ini (0–20)" type="whole" operator="between">
      <formula1>0</formula1>
      <formula2>20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D98A1E"/>
    <outlinePr summaryBelow="1" summaryRight="1"/>
    <pageSetUpPr/>
  </sheetPr>
  <dimension ref="A1:J18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17" customWidth="1" min="4" max="4"/>
    <col width="8" customWidth="1" min="5" max="5"/>
    <col width="22" customWidth="1" min="6" max="6"/>
    <col width="7" customWidth="1" min="7" max="7"/>
    <col width="22" customWidth="1" min="8" max="8"/>
  </cols>
  <sheetData>
    <row r="1">
      <c r="A1" s="150" t="inlineStr">
        <is>
          <t>INPUT DELAY PER JAM — isi hanya jam yang ada gangguan</t>
        </is>
      </c>
    </row>
    <row r="2">
      <c r="A2" s="151" t="inlineStr">
        <is>
          <t>Unit = SEMUA untuk kejadian semua digger (hujan, slippery, istirahat, P2H). Menit 1–60 per baris. EWH digger per jam = (60 − menit delay unit itu − menit delay SEMUA) ÷ 60. Total satu jam tidak boleh lebih dari 60 menit.</t>
        </is>
      </c>
    </row>
    <row r="4" ht="30" customHeight="1">
      <c r="A4" s="161" t="inlineStr">
        <is>
          <t>Tanggal</t>
        </is>
      </c>
      <c r="B4" s="161" t="inlineStr">
        <is>
          <t>Jam</t>
        </is>
      </c>
      <c r="C4" s="161" t="inlineStr">
        <is>
          <t>Unit</t>
        </is>
      </c>
      <c r="D4" s="161" t="inlineStr">
        <is>
          <t>Kategori</t>
        </is>
      </c>
      <c r="E4" s="161" t="inlineStr">
        <is>
          <t>Menit</t>
        </is>
      </c>
      <c r="F4" s="161" t="inlineStr">
        <is>
          <t>Keterangan</t>
        </is>
      </c>
      <c r="G4" s="162" t="inlineStr">
        <is>
          <t>Shift</t>
        </is>
      </c>
      <c r="H4" s="162" t="inlineStr">
        <is>
          <t>Cek</t>
        </is>
      </c>
      <c r="J4" s="160">
        <f>HYPERLINK("#'PTY per Jam'!A1","← ke PTY per Jam")</f>
        <v/>
      </c>
    </row>
    <row r="5">
      <c r="A5" s="155" t="n">
        <v>46104</v>
      </c>
      <c r="B5" s="156" t="inlineStr">
        <is>
          <t>06-07</t>
        </is>
      </c>
      <c r="C5" s="156" t="inlineStr">
        <is>
          <t>SEMUA</t>
        </is>
      </c>
      <c r="D5" s="156" t="inlineStr">
        <is>
          <t>P2H / Ganti shift</t>
        </is>
      </c>
      <c r="E5" s="156" t="n">
        <v>5</v>
      </c>
      <c r="F5" s="156" t="inlineStr"/>
      <c r="G5" s="157">
        <f>IF($B5="","",IF(ISNA(MATCH($B5,MASTER_JAM!$Q$5:$Q$28,0)),"?",IF(MATCH($B5,MASTER_JAM!$Q$5:$Q$28,0)&lt;=12,"DS","NS")))</f>
        <v/>
      </c>
      <c r="H5" s="157">
        <f>IF($E5="","",IF($G5="?","Jam salah",IF(COUNTIF(MASTER_JAM!$V$5:$V$23,$C5)=0,"Unit tidak dikenal",IF(SUMIFS(INPUT_DELAY!$E$5:$E$20000,INPUT_DELAY!$A$5:$A$20000,$A5,INPUT_DELAY!$B$5:$B$20000,$B5,INPUT_DELAY!$C$5:$C$20000,$C5)+IF($C5="SEMUA",0,SUMIFS(INPUT_DELAY!$E$5:$E$20000,INPUT_DELAY!$A$5:$A$20000,$A5,INPUT_DELAY!$B$5:$B$20000,$B5,INPUT_DELAY!$C$5:$C$20000,"SEMUA"))&gt;60,"Total jam ini &gt; 60 menit","OK"))))</f>
        <v/>
      </c>
    </row>
    <row r="6">
      <c r="A6" s="155" t="n">
        <v>46104</v>
      </c>
      <c r="B6" s="156" t="inlineStr">
        <is>
          <t>07-08</t>
        </is>
      </c>
      <c r="C6" s="156" t="inlineStr">
        <is>
          <t>SEMUA</t>
        </is>
      </c>
      <c r="D6" s="156" t="inlineStr">
        <is>
          <t>Rain</t>
        </is>
      </c>
      <c r="E6" s="156" t="n">
        <v>34</v>
      </c>
      <c r="F6" s="156" t="inlineStr">
        <is>
          <t>Hujan</t>
        </is>
      </c>
      <c r="G6" s="157">
        <f>IF($B6="","",IF(ISNA(MATCH($B6,MASTER_JAM!$Q$5:$Q$28,0)),"?",IF(MATCH($B6,MASTER_JAM!$Q$5:$Q$28,0)&lt;=12,"DS","NS")))</f>
        <v/>
      </c>
      <c r="H6" s="157">
        <f>IF($E6="","",IF($G6="?","Jam salah",IF(COUNTIF(MASTER_JAM!$V$5:$V$23,$C6)=0,"Unit tidak dikenal",IF(SUMIFS(INPUT_DELAY!$E$5:$E$20000,INPUT_DELAY!$A$5:$A$20000,$A6,INPUT_DELAY!$B$5:$B$20000,$B6,INPUT_DELAY!$C$5:$C$20000,$C6)+IF($C6="SEMUA",0,SUMIFS(INPUT_DELAY!$E$5:$E$20000,INPUT_DELAY!$A$5:$A$20000,$A6,INPUT_DELAY!$B$5:$B$20000,$B6,INPUT_DELAY!$C$5:$C$20000,"SEMUA"))&gt;60,"Total jam ini &gt; 60 menit","OK"))))</f>
        <v/>
      </c>
    </row>
    <row r="7">
      <c r="A7" s="155" t="n">
        <v>46104</v>
      </c>
      <c r="B7" s="156" t="inlineStr">
        <is>
          <t>12-13</t>
        </is>
      </c>
      <c r="C7" s="156" t="inlineStr">
        <is>
          <t>SEMUA</t>
        </is>
      </c>
      <c r="D7" s="156" t="inlineStr">
        <is>
          <t>Istirahat</t>
        </is>
      </c>
      <c r="E7" s="156" t="n">
        <v>60</v>
      </c>
      <c r="F7" s="156" t="inlineStr"/>
      <c r="G7" s="157">
        <f>IF($B7="","",IF(ISNA(MATCH($B7,MASTER_JAM!$Q$5:$Q$28,0)),"?",IF(MATCH($B7,MASTER_JAM!$Q$5:$Q$28,0)&lt;=12,"DS","NS")))</f>
        <v/>
      </c>
      <c r="H7" s="157">
        <f>IF($E7="","",IF($G7="?","Jam salah",IF(COUNTIF(MASTER_JAM!$V$5:$V$23,$C7)=0,"Unit tidak dikenal",IF(SUMIFS(INPUT_DELAY!$E$5:$E$20000,INPUT_DELAY!$A$5:$A$20000,$A7,INPUT_DELAY!$B$5:$B$20000,$B7,INPUT_DELAY!$C$5:$C$20000,$C7)+IF($C7="SEMUA",0,SUMIFS(INPUT_DELAY!$E$5:$E$20000,INPUT_DELAY!$A$5:$A$20000,$A7,INPUT_DELAY!$B$5:$B$20000,$B7,INPUT_DELAY!$C$5:$C$20000,"SEMUA"))&gt;60,"Total jam ini &gt; 60 menit","OK"))))</f>
        <v/>
      </c>
    </row>
    <row r="8">
      <c r="A8" s="155" t="n">
        <v>46104</v>
      </c>
      <c r="B8" s="156" t="inlineStr">
        <is>
          <t>16-17</t>
        </is>
      </c>
      <c r="C8" s="156" t="inlineStr">
        <is>
          <t>EX-1252</t>
        </is>
      </c>
      <c r="D8" s="156" t="inlineStr">
        <is>
          <t>Standby</t>
        </is>
      </c>
      <c r="E8" s="156" t="n">
        <v>10</v>
      </c>
      <c r="F8" s="156" t="inlineStr">
        <is>
          <t>Tunggu hauler</t>
        </is>
      </c>
      <c r="G8" s="157">
        <f>IF($B8="","",IF(ISNA(MATCH($B8,MASTER_JAM!$Q$5:$Q$28,0)),"?",IF(MATCH($B8,MASTER_JAM!$Q$5:$Q$28,0)&lt;=12,"DS","NS")))</f>
        <v/>
      </c>
      <c r="H8" s="157">
        <f>IF($E8="","",IF($G8="?","Jam salah",IF(COUNTIF(MASTER_JAM!$V$5:$V$23,$C8)=0,"Unit tidak dikenal",IF(SUMIFS(INPUT_DELAY!$E$5:$E$20000,INPUT_DELAY!$A$5:$A$20000,$A8,INPUT_DELAY!$B$5:$B$20000,$B8,INPUT_DELAY!$C$5:$C$20000,$C8)+IF($C8="SEMUA",0,SUMIFS(INPUT_DELAY!$E$5:$E$20000,INPUT_DELAY!$A$5:$A$20000,$A8,INPUT_DELAY!$B$5:$B$20000,$B8,INPUT_DELAY!$C$5:$C$20000,"SEMUA"))&gt;60,"Total jam ini &gt; 60 menit","OK"))))</f>
        <v/>
      </c>
    </row>
    <row r="9">
      <c r="A9" s="155" t="n">
        <v>46104</v>
      </c>
      <c r="B9" s="156" t="inlineStr">
        <is>
          <t>16-17</t>
        </is>
      </c>
      <c r="C9" s="156" t="inlineStr">
        <is>
          <t>EX-2101</t>
        </is>
      </c>
      <c r="D9" s="156" t="inlineStr">
        <is>
          <t>Standby</t>
        </is>
      </c>
      <c r="E9" s="156" t="n">
        <v>1</v>
      </c>
      <c r="F9" s="156" t="inlineStr">
        <is>
          <t>Tunggu hauler</t>
        </is>
      </c>
      <c r="G9" s="157">
        <f>IF($B9="","",IF(ISNA(MATCH($B9,MASTER_JAM!$Q$5:$Q$28,0)),"?",IF(MATCH($B9,MASTER_JAM!$Q$5:$Q$28,0)&lt;=12,"DS","NS")))</f>
        <v/>
      </c>
      <c r="H9" s="157">
        <f>IF($E9="","",IF($G9="?","Jam salah",IF(COUNTIF(MASTER_JAM!$V$5:$V$23,$C9)=0,"Unit tidak dikenal",IF(SUMIFS(INPUT_DELAY!$E$5:$E$20000,INPUT_DELAY!$A$5:$A$20000,$A9,INPUT_DELAY!$B$5:$B$20000,$B9,INPUT_DELAY!$C$5:$C$20000,$C9)+IF($C9="SEMUA",0,SUMIFS(INPUT_DELAY!$E$5:$E$20000,INPUT_DELAY!$A$5:$A$20000,$A9,INPUT_DELAY!$B$5:$B$20000,$B9,INPUT_DELAY!$C$5:$C$20000,"SEMUA"))&gt;60,"Total jam ini &gt; 60 menit","OK"))))</f>
        <v/>
      </c>
    </row>
    <row r="10">
      <c r="A10" s="155" t="n">
        <v>46104</v>
      </c>
      <c r="B10" s="156" t="inlineStr">
        <is>
          <t>15-16</t>
        </is>
      </c>
      <c r="C10" s="156" t="inlineStr">
        <is>
          <t>EX-336</t>
        </is>
      </c>
      <c r="D10" s="156" t="inlineStr">
        <is>
          <t>Breakdown</t>
        </is>
      </c>
      <c r="E10" s="156" t="n">
        <v>60</v>
      </c>
      <c r="F10" s="156" t="inlineStr">
        <is>
          <t>Track adjust</t>
        </is>
      </c>
      <c r="G10" s="157">
        <f>IF($B10="","",IF(ISNA(MATCH($B10,MASTER_JAM!$Q$5:$Q$28,0)),"?",IF(MATCH($B10,MASTER_JAM!$Q$5:$Q$28,0)&lt;=12,"DS","NS")))</f>
        <v/>
      </c>
      <c r="H10" s="157">
        <f>IF($E10="","",IF($G10="?","Jam salah",IF(COUNTIF(MASTER_JAM!$V$5:$V$23,$C10)=0,"Unit tidak dikenal",IF(SUMIFS(INPUT_DELAY!$E$5:$E$20000,INPUT_DELAY!$A$5:$A$20000,$A10,INPUT_DELAY!$B$5:$B$20000,$B10,INPUT_DELAY!$C$5:$C$20000,$C10)+IF($C10="SEMUA",0,SUMIFS(INPUT_DELAY!$E$5:$E$20000,INPUT_DELAY!$A$5:$A$20000,$A10,INPUT_DELAY!$B$5:$B$20000,$B10,INPUT_DELAY!$C$5:$C$20000,"SEMUA"))&gt;60,"Total jam ini &gt; 60 menit","OK"))))</f>
        <v/>
      </c>
    </row>
    <row r="11">
      <c r="A11" s="155" t="n">
        <v>46104</v>
      </c>
      <c r="B11" s="156" t="inlineStr">
        <is>
          <t>10-11</t>
        </is>
      </c>
      <c r="C11" s="156" t="inlineStr">
        <is>
          <t>EX-336</t>
        </is>
      </c>
      <c r="D11" s="156" t="inlineStr">
        <is>
          <t>Standby</t>
        </is>
      </c>
      <c r="E11" s="156" t="n">
        <v>22</v>
      </c>
      <c r="F11" s="156" t="inlineStr">
        <is>
          <t>Tunggu dozer</t>
        </is>
      </c>
      <c r="G11" s="157">
        <f>IF($B11="","",IF(ISNA(MATCH($B11,MASTER_JAM!$Q$5:$Q$28,0)),"?",IF(MATCH($B11,MASTER_JAM!$Q$5:$Q$28,0)&lt;=12,"DS","NS")))</f>
        <v/>
      </c>
      <c r="H11" s="157">
        <f>IF($E11="","",IF($G11="?","Jam salah",IF(COUNTIF(MASTER_JAM!$V$5:$V$23,$C11)=0,"Unit tidak dikenal",IF(SUMIFS(INPUT_DELAY!$E$5:$E$20000,INPUT_DELAY!$A$5:$A$20000,$A11,INPUT_DELAY!$B$5:$B$20000,$B11,INPUT_DELAY!$C$5:$C$20000,$C11)+IF($C11="SEMUA",0,SUMIFS(INPUT_DELAY!$E$5:$E$20000,INPUT_DELAY!$A$5:$A$20000,$A11,INPUT_DELAY!$B$5:$B$20000,$B11,INPUT_DELAY!$C$5:$C$20000,"SEMUA"))&gt;60,"Total jam ini &gt; 60 menit","OK"))))</f>
        <v/>
      </c>
    </row>
    <row r="12">
      <c r="A12" s="155" t="n">
        <v>46104</v>
      </c>
      <c r="B12" s="156" t="inlineStr">
        <is>
          <t>17-18</t>
        </is>
      </c>
      <c r="C12" s="156" t="inlineStr">
        <is>
          <t>EX-755</t>
        </is>
      </c>
      <c r="D12" s="156" t="inlineStr">
        <is>
          <t>Lainnya</t>
        </is>
      </c>
      <c r="E12" s="156" t="n">
        <v>48</v>
      </c>
      <c r="F12" s="156" t="inlineStr">
        <is>
          <t>Tunggu dozer</t>
        </is>
      </c>
      <c r="G12" s="157">
        <f>IF($B12="","",IF(ISNA(MATCH($B12,MASTER_JAM!$Q$5:$Q$28,0)),"?",IF(MATCH($B12,MASTER_JAM!$Q$5:$Q$28,0)&lt;=12,"DS","NS")))</f>
        <v/>
      </c>
      <c r="H12" s="157">
        <f>IF($E12="","",IF($G12="?","Jam salah",IF(COUNTIF(MASTER_JAM!$V$5:$V$23,$C12)=0,"Unit tidak dikenal",IF(SUMIFS(INPUT_DELAY!$E$5:$E$20000,INPUT_DELAY!$A$5:$A$20000,$A12,INPUT_DELAY!$B$5:$B$20000,$B12,INPUT_DELAY!$C$5:$C$20000,$C12)+IF($C12="SEMUA",0,SUMIFS(INPUT_DELAY!$E$5:$E$20000,INPUT_DELAY!$A$5:$A$20000,$A12,INPUT_DELAY!$B$5:$B$20000,$B12,INPUT_DELAY!$C$5:$C$20000,"SEMUA"))&gt;60,"Total jam ini &gt; 60 menit","OK"))))</f>
        <v/>
      </c>
    </row>
    <row r="13">
      <c r="A13" s="155" t="n">
        <v>46104</v>
      </c>
      <c r="B13" s="156" t="inlineStr">
        <is>
          <t>18-19</t>
        </is>
      </c>
      <c r="C13" s="156" t="inlineStr">
        <is>
          <t>SEMUA</t>
        </is>
      </c>
      <c r="D13" s="156" t="inlineStr">
        <is>
          <t>P2H / Ganti shift</t>
        </is>
      </c>
      <c r="E13" s="156" t="n">
        <v>5</v>
      </c>
      <c r="F13" s="156" t="inlineStr"/>
      <c r="G13" s="157">
        <f>IF($B13="","",IF(ISNA(MATCH($B13,MASTER_JAM!$Q$5:$Q$28,0)),"?",IF(MATCH($B13,MASTER_JAM!$Q$5:$Q$28,0)&lt;=12,"DS","NS")))</f>
        <v/>
      </c>
      <c r="H13" s="157">
        <f>IF($E13="","",IF($G13="?","Jam salah",IF(COUNTIF(MASTER_JAM!$V$5:$V$23,$C13)=0,"Unit tidak dikenal",IF(SUMIFS(INPUT_DELAY!$E$5:$E$20000,INPUT_DELAY!$A$5:$A$20000,$A13,INPUT_DELAY!$B$5:$B$20000,$B13,INPUT_DELAY!$C$5:$C$20000,$C13)+IF($C13="SEMUA",0,SUMIFS(INPUT_DELAY!$E$5:$E$20000,INPUT_DELAY!$A$5:$A$20000,$A13,INPUT_DELAY!$B$5:$B$20000,$B13,INPUT_DELAY!$C$5:$C$20000,"SEMUA"))&gt;60,"Total jam ini &gt; 60 menit","OK"))))</f>
        <v/>
      </c>
    </row>
    <row r="14">
      <c r="A14" s="155" t="n">
        <v>46104</v>
      </c>
      <c r="B14" s="156" t="inlineStr">
        <is>
          <t>19-20</t>
        </is>
      </c>
      <c r="C14" s="156" t="inlineStr">
        <is>
          <t>SEMUA</t>
        </is>
      </c>
      <c r="D14" s="156" t="inlineStr">
        <is>
          <t>Rain</t>
        </is>
      </c>
      <c r="E14" s="156" t="n">
        <v>60</v>
      </c>
      <c r="F14" s="156" t="inlineStr">
        <is>
          <t>Hujan</t>
        </is>
      </c>
      <c r="G14" s="157">
        <f>IF($B14="","",IF(ISNA(MATCH($B14,MASTER_JAM!$Q$5:$Q$28,0)),"?",IF(MATCH($B14,MASTER_JAM!$Q$5:$Q$28,0)&lt;=12,"DS","NS")))</f>
        <v/>
      </c>
      <c r="H14" s="157">
        <f>IF($E14="","",IF($G14="?","Jam salah",IF(COUNTIF(MASTER_JAM!$V$5:$V$23,$C14)=0,"Unit tidak dikenal",IF(SUMIFS(INPUT_DELAY!$E$5:$E$20000,INPUT_DELAY!$A$5:$A$20000,$A14,INPUT_DELAY!$B$5:$B$20000,$B14,INPUT_DELAY!$C$5:$C$20000,$C14)+IF($C14="SEMUA",0,SUMIFS(INPUT_DELAY!$E$5:$E$20000,INPUT_DELAY!$A$5:$A$20000,$A14,INPUT_DELAY!$B$5:$B$20000,$B14,INPUT_DELAY!$C$5:$C$20000,"SEMUA"))&gt;60,"Total jam ini &gt; 60 menit","OK"))))</f>
        <v/>
      </c>
    </row>
    <row r="15">
      <c r="A15" s="155" t="n">
        <v>46104</v>
      </c>
      <c r="B15" s="156" t="inlineStr">
        <is>
          <t>20-21</t>
        </is>
      </c>
      <c r="C15" s="156" t="inlineStr">
        <is>
          <t>SEMUA</t>
        </is>
      </c>
      <c r="D15" s="156" t="inlineStr">
        <is>
          <t>Rain</t>
        </is>
      </c>
      <c r="E15" s="156" t="n">
        <v>60</v>
      </c>
      <c r="F15" s="156" t="inlineStr">
        <is>
          <t>Hujan</t>
        </is>
      </c>
      <c r="G15" s="157">
        <f>IF($B15="","",IF(ISNA(MATCH($B15,MASTER_JAM!$Q$5:$Q$28,0)),"?",IF(MATCH($B15,MASTER_JAM!$Q$5:$Q$28,0)&lt;=12,"DS","NS")))</f>
        <v/>
      </c>
      <c r="H15" s="157">
        <f>IF($E15="","",IF($G15="?","Jam salah",IF(COUNTIF(MASTER_JAM!$V$5:$V$23,$C15)=0,"Unit tidak dikenal",IF(SUMIFS(INPUT_DELAY!$E$5:$E$20000,INPUT_DELAY!$A$5:$A$20000,$A15,INPUT_DELAY!$B$5:$B$20000,$B15,INPUT_DELAY!$C$5:$C$20000,$C15)+IF($C15="SEMUA",0,SUMIFS(INPUT_DELAY!$E$5:$E$20000,INPUT_DELAY!$A$5:$A$20000,$A15,INPUT_DELAY!$B$5:$B$20000,$B15,INPUT_DELAY!$C$5:$C$20000,"SEMUA"))&gt;60,"Total jam ini &gt; 60 menit","OK"))))</f>
        <v/>
      </c>
    </row>
    <row r="16">
      <c r="A16" s="155" t="n">
        <v>46104</v>
      </c>
      <c r="B16" s="156" t="inlineStr">
        <is>
          <t>21-22</t>
        </is>
      </c>
      <c r="C16" s="156" t="inlineStr">
        <is>
          <t>SEMUA</t>
        </is>
      </c>
      <c r="D16" s="156" t="inlineStr">
        <is>
          <t>Rain</t>
        </is>
      </c>
      <c r="E16" s="156" t="n">
        <v>60</v>
      </c>
      <c r="F16" s="156" t="inlineStr">
        <is>
          <t>Hujan</t>
        </is>
      </c>
      <c r="G16" s="157">
        <f>IF($B16="","",IF(ISNA(MATCH($B16,MASTER_JAM!$Q$5:$Q$28,0)),"?",IF(MATCH($B16,MASTER_JAM!$Q$5:$Q$28,0)&lt;=12,"DS","NS")))</f>
        <v/>
      </c>
      <c r="H16" s="157">
        <f>IF($E16="","",IF($G16="?","Jam salah",IF(COUNTIF(MASTER_JAM!$V$5:$V$23,$C16)=0,"Unit tidak dikenal",IF(SUMIFS(INPUT_DELAY!$E$5:$E$20000,INPUT_DELAY!$A$5:$A$20000,$A16,INPUT_DELAY!$B$5:$B$20000,$B16,INPUT_DELAY!$C$5:$C$20000,$C16)+IF($C16="SEMUA",0,SUMIFS(INPUT_DELAY!$E$5:$E$20000,INPUT_DELAY!$A$5:$A$20000,$A16,INPUT_DELAY!$B$5:$B$20000,$B16,INPUT_DELAY!$C$5:$C$20000,"SEMUA"))&gt;60,"Total jam ini &gt; 60 menit","OK"))))</f>
        <v/>
      </c>
    </row>
    <row r="17">
      <c r="A17" s="155" t="n">
        <v>46104</v>
      </c>
      <c r="B17" s="156" t="inlineStr">
        <is>
          <t>22-23</t>
        </is>
      </c>
      <c r="C17" s="156" t="inlineStr">
        <is>
          <t>SEMUA</t>
        </is>
      </c>
      <c r="D17" s="156" t="inlineStr">
        <is>
          <t>Rain</t>
        </is>
      </c>
      <c r="E17" s="156" t="n">
        <v>60</v>
      </c>
      <c r="F17" s="156" t="inlineStr">
        <is>
          <t>Hujan</t>
        </is>
      </c>
      <c r="G17" s="157">
        <f>IF($B17="","",IF(ISNA(MATCH($B17,MASTER_JAM!$Q$5:$Q$28,0)),"?",IF(MATCH($B17,MASTER_JAM!$Q$5:$Q$28,0)&lt;=12,"DS","NS")))</f>
        <v/>
      </c>
      <c r="H17" s="157">
        <f>IF($E17="","",IF($G17="?","Jam salah",IF(COUNTIF(MASTER_JAM!$V$5:$V$23,$C17)=0,"Unit tidak dikenal",IF(SUMIFS(INPUT_DELAY!$E$5:$E$20000,INPUT_DELAY!$A$5:$A$20000,$A17,INPUT_DELAY!$B$5:$B$20000,$B17,INPUT_DELAY!$C$5:$C$20000,$C17)+IF($C17="SEMUA",0,SUMIFS(INPUT_DELAY!$E$5:$E$20000,INPUT_DELAY!$A$5:$A$20000,$A17,INPUT_DELAY!$B$5:$B$20000,$B17,INPUT_DELAY!$C$5:$C$20000,"SEMUA"))&gt;60,"Total jam ini &gt; 60 menit","OK"))))</f>
        <v/>
      </c>
    </row>
    <row r="18">
      <c r="A18" s="155" t="n">
        <v>46104</v>
      </c>
      <c r="B18" s="156" t="inlineStr">
        <is>
          <t>23-24</t>
        </is>
      </c>
      <c r="C18" s="156" t="inlineStr">
        <is>
          <t>SEMUA</t>
        </is>
      </c>
      <c r="D18" s="156" t="inlineStr">
        <is>
          <t>Rain</t>
        </is>
      </c>
      <c r="E18" s="156" t="n">
        <v>60</v>
      </c>
      <c r="F18" s="156" t="inlineStr">
        <is>
          <t>Hujan</t>
        </is>
      </c>
      <c r="G18" s="157">
        <f>IF($B18="","",IF(ISNA(MATCH($B18,MASTER_JAM!$Q$5:$Q$28,0)),"?",IF(MATCH($B18,MASTER_JAM!$Q$5:$Q$28,0)&lt;=12,"DS","NS")))</f>
        <v/>
      </c>
      <c r="H18" s="157">
        <f>IF($E18="","",IF($G18="?","Jam salah",IF(COUNTIF(MASTER_JAM!$V$5:$V$23,$C18)=0,"Unit tidak dikenal",IF(SUMIFS(INPUT_DELAY!$E$5:$E$20000,INPUT_DELAY!$A$5:$A$20000,$A18,INPUT_DELAY!$B$5:$B$20000,$B18,INPUT_DELAY!$C$5:$C$20000,$C18)+IF($C18="SEMUA",0,SUMIFS(INPUT_DELAY!$E$5:$E$20000,INPUT_DELAY!$A$5:$A$20000,$A18,INPUT_DELAY!$B$5:$B$20000,$B18,INPUT_DELAY!$C$5:$C$20000,"SEMUA"))&gt;60,"Total jam ini &gt; 60 menit","OK"))))</f>
        <v/>
      </c>
    </row>
    <row r="19">
      <c r="A19" s="155" t="n">
        <v>46104</v>
      </c>
      <c r="B19" s="156" t="inlineStr">
        <is>
          <t>00-01</t>
        </is>
      </c>
      <c r="C19" s="156" t="inlineStr">
        <is>
          <t>SEMUA</t>
        </is>
      </c>
      <c r="D19" s="156" t="inlineStr">
        <is>
          <t>Istirahat</t>
        </is>
      </c>
      <c r="E19" s="156" t="n">
        <v>60</v>
      </c>
      <c r="F19" s="156" t="inlineStr"/>
      <c r="G19" s="157">
        <f>IF($B19="","",IF(ISNA(MATCH($B19,MASTER_JAM!$Q$5:$Q$28,0)),"?",IF(MATCH($B19,MASTER_JAM!$Q$5:$Q$28,0)&lt;=12,"DS","NS")))</f>
        <v/>
      </c>
      <c r="H19" s="157">
        <f>IF($E19="","",IF($G19="?","Jam salah",IF(COUNTIF(MASTER_JAM!$V$5:$V$23,$C19)=0,"Unit tidak dikenal",IF(SUMIFS(INPUT_DELAY!$E$5:$E$20000,INPUT_DELAY!$A$5:$A$20000,$A19,INPUT_DELAY!$B$5:$B$20000,$B19,INPUT_DELAY!$C$5:$C$20000,$C19)+IF($C19="SEMUA",0,SUMIFS(INPUT_DELAY!$E$5:$E$20000,INPUT_DELAY!$A$5:$A$20000,$A19,INPUT_DELAY!$B$5:$B$20000,$B19,INPUT_DELAY!$C$5:$C$20000,"SEMUA"))&gt;60,"Total jam ini &gt; 60 menit","OK"))))</f>
        <v/>
      </c>
    </row>
    <row r="20">
      <c r="A20" s="155" t="n">
        <v>46104</v>
      </c>
      <c r="B20" s="156" t="inlineStr">
        <is>
          <t>01-02</t>
        </is>
      </c>
      <c r="C20" s="156" t="inlineStr">
        <is>
          <t>SEMUA</t>
        </is>
      </c>
      <c r="D20" s="156" t="inlineStr">
        <is>
          <t>Rain</t>
        </is>
      </c>
      <c r="E20" s="156" t="n">
        <v>60</v>
      </c>
      <c r="F20" s="156" t="inlineStr">
        <is>
          <t>Hujan</t>
        </is>
      </c>
      <c r="G20" s="157">
        <f>IF($B20="","",IF(ISNA(MATCH($B20,MASTER_JAM!$Q$5:$Q$28,0)),"?",IF(MATCH($B20,MASTER_JAM!$Q$5:$Q$28,0)&lt;=12,"DS","NS")))</f>
        <v/>
      </c>
      <c r="H20" s="157">
        <f>IF($E20="","",IF($G20="?","Jam salah",IF(COUNTIF(MASTER_JAM!$V$5:$V$23,$C20)=0,"Unit tidak dikenal",IF(SUMIFS(INPUT_DELAY!$E$5:$E$20000,INPUT_DELAY!$A$5:$A$20000,$A20,INPUT_DELAY!$B$5:$B$20000,$B20,INPUT_DELAY!$C$5:$C$20000,$C20)+IF($C20="SEMUA",0,SUMIFS(INPUT_DELAY!$E$5:$E$20000,INPUT_DELAY!$A$5:$A$20000,$A20,INPUT_DELAY!$B$5:$B$20000,$B20,INPUT_DELAY!$C$5:$C$20000,"SEMUA"))&gt;60,"Total jam ini &gt; 60 menit","OK"))))</f>
        <v/>
      </c>
    </row>
    <row r="21">
      <c r="A21" s="155" t="n">
        <v>46104</v>
      </c>
      <c r="B21" s="156" t="inlineStr">
        <is>
          <t>02-03</t>
        </is>
      </c>
      <c r="C21" s="156" t="inlineStr">
        <is>
          <t>SEMUA</t>
        </is>
      </c>
      <c r="D21" s="156" t="inlineStr">
        <is>
          <t>Rain</t>
        </is>
      </c>
      <c r="E21" s="156" t="n">
        <v>60</v>
      </c>
      <c r="F21" s="156" t="inlineStr">
        <is>
          <t>Hujan</t>
        </is>
      </c>
      <c r="G21" s="157">
        <f>IF($B21="","",IF(ISNA(MATCH($B21,MASTER_JAM!$Q$5:$Q$28,0)),"?",IF(MATCH($B21,MASTER_JAM!$Q$5:$Q$28,0)&lt;=12,"DS","NS")))</f>
        <v/>
      </c>
      <c r="H21" s="157">
        <f>IF($E21="","",IF($G21="?","Jam salah",IF(COUNTIF(MASTER_JAM!$V$5:$V$23,$C21)=0,"Unit tidak dikenal",IF(SUMIFS(INPUT_DELAY!$E$5:$E$20000,INPUT_DELAY!$A$5:$A$20000,$A21,INPUT_DELAY!$B$5:$B$20000,$B21,INPUT_DELAY!$C$5:$C$20000,$C21)+IF($C21="SEMUA",0,SUMIFS(INPUT_DELAY!$E$5:$E$20000,INPUT_DELAY!$A$5:$A$20000,$A21,INPUT_DELAY!$B$5:$B$20000,$B21,INPUT_DELAY!$C$5:$C$20000,"SEMUA"))&gt;60,"Total jam ini &gt; 60 menit","OK"))))</f>
        <v/>
      </c>
    </row>
    <row r="22">
      <c r="A22" s="155" t="n">
        <v>46104</v>
      </c>
      <c r="B22" s="156" t="inlineStr">
        <is>
          <t>03-04</t>
        </is>
      </c>
      <c r="C22" s="156" t="inlineStr">
        <is>
          <t>SEMUA</t>
        </is>
      </c>
      <c r="D22" s="156" t="inlineStr">
        <is>
          <t>Rain</t>
        </is>
      </c>
      <c r="E22" s="156" t="n">
        <v>21</v>
      </c>
      <c r="F22" s="156" t="inlineStr">
        <is>
          <t>Hujan</t>
        </is>
      </c>
      <c r="G22" s="157">
        <f>IF($B22="","",IF(ISNA(MATCH($B22,MASTER_JAM!$Q$5:$Q$28,0)),"?",IF(MATCH($B22,MASTER_JAM!$Q$5:$Q$28,0)&lt;=12,"DS","NS")))</f>
        <v/>
      </c>
      <c r="H22" s="157">
        <f>IF($E22="","",IF($G22="?","Jam salah",IF(COUNTIF(MASTER_JAM!$V$5:$V$23,$C22)=0,"Unit tidak dikenal",IF(SUMIFS(INPUT_DELAY!$E$5:$E$20000,INPUT_DELAY!$A$5:$A$20000,$A22,INPUT_DELAY!$B$5:$B$20000,$B22,INPUT_DELAY!$C$5:$C$20000,$C22)+IF($C22="SEMUA",0,SUMIFS(INPUT_DELAY!$E$5:$E$20000,INPUT_DELAY!$A$5:$A$20000,$A22,INPUT_DELAY!$B$5:$B$20000,$B22,INPUT_DELAY!$C$5:$C$20000,"SEMUA"))&gt;60,"Total jam ini &gt; 60 menit","OK"))))</f>
        <v/>
      </c>
    </row>
    <row r="23">
      <c r="A23" s="155" t="n">
        <v>46104</v>
      </c>
      <c r="B23" s="156" t="inlineStr">
        <is>
          <t>04-05</t>
        </is>
      </c>
      <c r="C23" s="156" t="inlineStr">
        <is>
          <t>SEMUA</t>
        </is>
      </c>
      <c r="D23" s="156" t="inlineStr">
        <is>
          <t>Slippery</t>
        </is>
      </c>
      <c r="E23" s="156" t="n">
        <v>60</v>
      </c>
      <c r="F23" s="156" t="inlineStr"/>
      <c r="G23" s="157">
        <f>IF($B23="","",IF(ISNA(MATCH($B23,MASTER_JAM!$Q$5:$Q$28,0)),"?",IF(MATCH($B23,MASTER_JAM!$Q$5:$Q$28,0)&lt;=12,"DS","NS")))</f>
        <v/>
      </c>
      <c r="H23" s="157">
        <f>IF($E23="","",IF($G23="?","Jam salah",IF(COUNTIF(MASTER_JAM!$V$5:$V$23,$C23)=0,"Unit tidak dikenal",IF(SUMIFS(INPUT_DELAY!$E$5:$E$20000,INPUT_DELAY!$A$5:$A$20000,$A23,INPUT_DELAY!$B$5:$B$20000,$B23,INPUT_DELAY!$C$5:$C$20000,$C23)+IF($C23="SEMUA",0,SUMIFS(INPUT_DELAY!$E$5:$E$20000,INPUT_DELAY!$A$5:$A$20000,$A23,INPUT_DELAY!$B$5:$B$20000,$B23,INPUT_DELAY!$C$5:$C$20000,"SEMUA"))&gt;60,"Total jam ini &gt; 60 menit","OK"))))</f>
        <v/>
      </c>
    </row>
    <row r="24">
      <c r="A24" s="155" t="n">
        <v>46104</v>
      </c>
      <c r="B24" s="156" t="inlineStr">
        <is>
          <t>05-06</t>
        </is>
      </c>
      <c r="C24" s="156" t="inlineStr">
        <is>
          <t>EX-336</t>
        </is>
      </c>
      <c r="D24" s="156" t="inlineStr">
        <is>
          <t>Standby</t>
        </is>
      </c>
      <c r="E24" s="156" t="n">
        <v>31</v>
      </c>
      <c r="F24" s="156" t="inlineStr">
        <is>
          <t>Pindah front</t>
        </is>
      </c>
      <c r="G24" s="157">
        <f>IF($B24="","",IF(ISNA(MATCH($B24,MASTER_JAM!$Q$5:$Q$28,0)),"?",IF(MATCH($B24,MASTER_JAM!$Q$5:$Q$28,0)&lt;=12,"DS","NS")))</f>
        <v/>
      </c>
      <c r="H24" s="157">
        <f>IF($E24="","",IF($G24="?","Jam salah",IF(COUNTIF(MASTER_JAM!$V$5:$V$23,$C24)=0,"Unit tidak dikenal",IF(SUMIFS(INPUT_DELAY!$E$5:$E$20000,INPUT_DELAY!$A$5:$A$20000,$A24,INPUT_DELAY!$B$5:$B$20000,$B24,INPUT_DELAY!$C$5:$C$20000,$C24)+IF($C24="SEMUA",0,SUMIFS(INPUT_DELAY!$E$5:$E$20000,INPUT_DELAY!$A$5:$A$20000,$A24,INPUT_DELAY!$B$5:$B$20000,$B24,INPUT_DELAY!$C$5:$C$20000,"SEMUA"))&gt;60,"Total jam ini &gt; 60 menit","OK"))))</f>
        <v/>
      </c>
    </row>
    <row r="25">
      <c r="A25" s="155" t="n">
        <v>46105</v>
      </c>
      <c r="B25" s="156" t="inlineStr">
        <is>
          <t>06-07</t>
        </is>
      </c>
      <c r="C25" s="156" t="inlineStr">
        <is>
          <t>SEMUA</t>
        </is>
      </c>
      <c r="D25" s="156" t="inlineStr">
        <is>
          <t>P2H / Ganti shift</t>
        </is>
      </c>
      <c r="E25" s="156" t="n">
        <v>5</v>
      </c>
      <c r="F25" s="156" t="inlineStr"/>
      <c r="G25" s="157">
        <f>IF($B25="","",IF(ISNA(MATCH($B25,MASTER_JAM!$Q$5:$Q$28,0)),"?",IF(MATCH($B25,MASTER_JAM!$Q$5:$Q$28,0)&lt;=12,"DS","NS")))</f>
        <v/>
      </c>
      <c r="H25" s="157">
        <f>IF($E25="","",IF($G25="?","Jam salah",IF(COUNTIF(MASTER_JAM!$V$5:$V$23,$C25)=0,"Unit tidak dikenal",IF(SUMIFS(INPUT_DELAY!$E$5:$E$20000,INPUT_DELAY!$A$5:$A$20000,$A25,INPUT_DELAY!$B$5:$B$20000,$B25,INPUT_DELAY!$C$5:$C$20000,$C25)+IF($C25="SEMUA",0,SUMIFS(INPUT_DELAY!$E$5:$E$20000,INPUT_DELAY!$A$5:$A$20000,$A25,INPUT_DELAY!$B$5:$B$20000,$B25,INPUT_DELAY!$C$5:$C$20000,"SEMUA"))&gt;60,"Total jam ini &gt; 60 menit","OK"))))</f>
        <v/>
      </c>
    </row>
    <row r="26">
      <c r="A26" s="155" t="n">
        <v>46105</v>
      </c>
      <c r="B26" s="156" t="inlineStr">
        <is>
          <t>08-09</t>
        </is>
      </c>
      <c r="C26" s="156" t="inlineStr">
        <is>
          <t>SEMUA</t>
        </is>
      </c>
      <c r="D26" s="156" t="inlineStr">
        <is>
          <t>Rain</t>
        </is>
      </c>
      <c r="E26" s="156" t="n">
        <v>10</v>
      </c>
      <c r="F26" s="156" t="inlineStr">
        <is>
          <t>Hujan</t>
        </is>
      </c>
      <c r="G26" s="157">
        <f>IF($B26="","",IF(ISNA(MATCH($B26,MASTER_JAM!$Q$5:$Q$28,0)),"?",IF(MATCH($B26,MASTER_JAM!$Q$5:$Q$28,0)&lt;=12,"DS","NS")))</f>
        <v/>
      </c>
      <c r="H26" s="157">
        <f>IF($E26="","",IF($G26="?","Jam salah",IF(COUNTIF(MASTER_JAM!$V$5:$V$23,$C26)=0,"Unit tidak dikenal",IF(SUMIFS(INPUT_DELAY!$E$5:$E$20000,INPUT_DELAY!$A$5:$A$20000,$A26,INPUT_DELAY!$B$5:$B$20000,$B26,INPUT_DELAY!$C$5:$C$20000,$C26)+IF($C26="SEMUA",0,SUMIFS(INPUT_DELAY!$E$5:$E$20000,INPUT_DELAY!$A$5:$A$20000,$A26,INPUT_DELAY!$B$5:$B$20000,$B26,INPUT_DELAY!$C$5:$C$20000,"SEMUA"))&gt;60,"Total jam ini &gt; 60 menit","OK"))))</f>
        <v/>
      </c>
    </row>
    <row r="27">
      <c r="A27" s="155" t="n">
        <v>46105</v>
      </c>
      <c r="B27" s="156" t="inlineStr">
        <is>
          <t>12-13</t>
        </is>
      </c>
      <c r="C27" s="156" t="inlineStr">
        <is>
          <t>SEMUA</t>
        </is>
      </c>
      <c r="D27" s="156" t="inlineStr">
        <is>
          <t>Istirahat</t>
        </is>
      </c>
      <c r="E27" s="156" t="n">
        <v>60</v>
      </c>
      <c r="F27" s="156" t="inlineStr"/>
      <c r="G27" s="157">
        <f>IF($B27="","",IF(ISNA(MATCH($B27,MASTER_JAM!$Q$5:$Q$28,0)),"?",IF(MATCH($B27,MASTER_JAM!$Q$5:$Q$28,0)&lt;=12,"DS","NS")))</f>
        <v/>
      </c>
      <c r="H27" s="157">
        <f>IF($E27="","",IF($G27="?","Jam salah",IF(COUNTIF(MASTER_JAM!$V$5:$V$23,$C27)=0,"Unit tidak dikenal",IF(SUMIFS(INPUT_DELAY!$E$5:$E$20000,INPUT_DELAY!$A$5:$A$20000,$A27,INPUT_DELAY!$B$5:$B$20000,$B27,INPUT_DELAY!$C$5:$C$20000,$C27)+IF($C27="SEMUA",0,SUMIFS(INPUT_DELAY!$E$5:$E$20000,INPUT_DELAY!$A$5:$A$20000,$A27,INPUT_DELAY!$B$5:$B$20000,$B27,INPUT_DELAY!$C$5:$C$20000,"SEMUA"))&gt;60,"Total jam ini &gt; 60 menit","OK"))))</f>
        <v/>
      </c>
    </row>
    <row r="28">
      <c r="A28" s="155" t="n">
        <v>46105</v>
      </c>
      <c r="B28" s="156" t="inlineStr">
        <is>
          <t>14-15</t>
        </is>
      </c>
      <c r="C28" s="156" t="inlineStr">
        <is>
          <t>EX-2101</t>
        </is>
      </c>
      <c r="D28" s="156" t="inlineStr">
        <is>
          <t>Breakdown</t>
        </is>
      </c>
      <c r="E28" s="156" t="n">
        <v>60</v>
      </c>
      <c r="F28" s="156" t="inlineStr">
        <is>
          <t>Hose bocor</t>
        </is>
      </c>
      <c r="G28" s="157">
        <f>IF($B28="","",IF(ISNA(MATCH($B28,MASTER_JAM!$Q$5:$Q$28,0)),"?",IF(MATCH($B28,MASTER_JAM!$Q$5:$Q$28,0)&lt;=12,"DS","NS")))</f>
        <v/>
      </c>
      <c r="H28" s="157">
        <f>IF($E28="","",IF($G28="?","Jam salah",IF(COUNTIF(MASTER_JAM!$V$5:$V$23,$C28)=0,"Unit tidak dikenal",IF(SUMIFS(INPUT_DELAY!$E$5:$E$20000,INPUT_DELAY!$A$5:$A$20000,$A28,INPUT_DELAY!$B$5:$B$20000,$B28,INPUT_DELAY!$C$5:$C$20000,$C28)+IF($C28="SEMUA",0,SUMIFS(INPUT_DELAY!$E$5:$E$20000,INPUT_DELAY!$A$5:$A$20000,$A28,INPUT_DELAY!$B$5:$B$20000,$B28,INPUT_DELAY!$C$5:$C$20000,"SEMUA"))&gt;60,"Total jam ini &gt; 60 menit","OK"))))</f>
        <v/>
      </c>
    </row>
    <row r="29">
      <c r="A29" s="155" t="n">
        <v>46105</v>
      </c>
      <c r="B29" s="156" t="inlineStr">
        <is>
          <t>17-18</t>
        </is>
      </c>
      <c r="C29" s="156" t="inlineStr">
        <is>
          <t>EX-2101</t>
        </is>
      </c>
      <c r="D29" s="156" t="inlineStr">
        <is>
          <t>Standby</t>
        </is>
      </c>
      <c r="E29" s="156" t="n">
        <v>54</v>
      </c>
      <c r="F29" s="156" t="inlineStr">
        <is>
          <t>Perbaikan jalan</t>
        </is>
      </c>
      <c r="G29" s="157">
        <f>IF($B29="","",IF(ISNA(MATCH($B29,MASTER_JAM!$Q$5:$Q$28,0)),"?",IF(MATCH($B29,MASTER_JAM!$Q$5:$Q$28,0)&lt;=12,"DS","NS")))</f>
        <v/>
      </c>
      <c r="H29" s="157">
        <f>IF($E29="","",IF($G29="?","Jam salah",IF(COUNTIF(MASTER_JAM!$V$5:$V$23,$C29)=0,"Unit tidak dikenal",IF(SUMIFS(INPUT_DELAY!$E$5:$E$20000,INPUT_DELAY!$A$5:$A$20000,$A29,INPUT_DELAY!$B$5:$B$20000,$B29,INPUT_DELAY!$C$5:$C$20000,$C29)+IF($C29="SEMUA",0,SUMIFS(INPUT_DELAY!$E$5:$E$20000,INPUT_DELAY!$A$5:$A$20000,$A29,INPUT_DELAY!$B$5:$B$20000,$B29,INPUT_DELAY!$C$5:$C$20000,"SEMUA"))&gt;60,"Total jam ini &gt; 60 menit","OK"))))</f>
        <v/>
      </c>
    </row>
    <row r="30">
      <c r="A30" s="155" t="n">
        <v>46105</v>
      </c>
      <c r="B30" s="156" t="inlineStr">
        <is>
          <t>11-12</t>
        </is>
      </c>
      <c r="C30" s="156" t="inlineStr">
        <is>
          <t>EX-333</t>
        </is>
      </c>
      <c r="D30" s="156" t="inlineStr">
        <is>
          <t>Lainnya</t>
        </is>
      </c>
      <c r="E30" s="156" t="n">
        <v>39</v>
      </c>
      <c r="F30" s="156" t="inlineStr">
        <is>
          <t>Tunggu dozer</t>
        </is>
      </c>
      <c r="G30" s="157">
        <f>IF($B30="","",IF(ISNA(MATCH($B30,MASTER_JAM!$Q$5:$Q$28,0)),"?",IF(MATCH($B30,MASTER_JAM!$Q$5:$Q$28,0)&lt;=12,"DS","NS")))</f>
        <v/>
      </c>
      <c r="H30" s="157">
        <f>IF($E30="","",IF($G30="?","Jam salah",IF(COUNTIF(MASTER_JAM!$V$5:$V$23,$C30)=0,"Unit tidak dikenal",IF(SUMIFS(INPUT_DELAY!$E$5:$E$20000,INPUT_DELAY!$A$5:$A$20000,$A30,INPUT_DELAY!$B$5:$B$20000,$B30,INPUT_DELAY!$C$5:$C$20000,$C30)+IF($C30="SEMUA",0,SUMIFS(INPUT_DELAY!$E$5:$E$20000,INPUT_DELAY!$A$5:$A$20000,$A30,INPUT_DELAY!$B$5:$B$20000,$B30,INPUT_DELAY!$C$5:$C$20000,"SEMUA"))&gt;60,"Total jam ini &gt; 60 menit","OK"))))</f>
        <v/>
      </c>
    </row>
    <row r="31">
      <c r="A31" s="155" t="n">
        <v>46105</v>
      </c>
      <c r="B31" s="156" t="inlineStr">
        <is>
          <t>17-18</t>
        </is>
      </c>
      <c r="C31" s="156" t="inlineStr">
        <is>
          <t>EX-754</t>
        </is>
      </c>
      <c r="D31" s="156" t="inlineStr">
        <is>
          <t>Lainnya</t>
        </is>
      </c>
      <c r="E31" s="156" t="n">
        <v>10</v>
      </c>
      <c r="F31" s="156" t="inlineStr">
        <is>
          <t>Tunggu dozer</t>
        </is>
      </c>
      <c r="G31" s="157">
        <f>IF($B31="","",IF(ISNA(MATCH($B31,MASTER_JAM!$Q$5:$Q$28,0)),"?",IF(MATCH($B31,MASTER_JAM!$Q$5:$Q$28,0)&lt;=12,"DS","NS")))</f>
        <v/>
      </c>
      <c r="H31" s="157">
        <f>IF($E31="","",IF($G31="?","Jam salah",IF(COUNTIF(MASTER_JAM!$V$5:$V$23,$C31)=0,"Unit tidak dikenal",IF(SUMIFS(INPUT_DELAY!$E$5:$E$20000,INPUT_DELAY!$A$5:$A$20000,$A31,INPUT_DELAY!$B$5:$B$20000,$B31,INPUT_DELAY!$C$5:$C$20000,$C31)+IF($C31="SEMUA",0,SUMIFS(INPUT_DELAY!$E$5:$E$20000,INPUT_DELAY!$A$5:$A$20000,$A31,INPUT_DELAY!$B$5:$B$20000,$B31,INPUT_DELAY!$C$5:$C$20000,"SEMUA"))&gt;60,"Total jam ini &gt; 60 menit","OK"))))</f>
        <v/>
      </c>
    </row>
    <row r="32">
      <c r="A32" s="155" t="n">
        <v>46105</v>
      </c>
      <c r="B32" s="156" t="inlineStr">
        <is>
          <t>17-18</t>
        </is>
      </c>
      <c r="C32" s="156" t="inlineStr">
        <is>
          <t>EX-755</t>
        </is>
      </c>
      <c r="D32" s="156" t="inlineStr">
        <is>
          <t>Standby</t>
        </is>
      </c>
      <c r="E32" s="156" t="n">
        <v>39</v>
      </c>
      <c r="F32" s="156" t="inlineStr">
        <is>
          <t>Tunggu dozer</t>
        </is>
      </c>
      <c r="G32" s="157">
        <f>IF($B32="","",IF(ISNA(MATCH($B32,MASTER_JAM!$Q$5:$Q$28,0)),"?",IF(MATCH($B32,MASTER_JAM!$Q$5:$Q$28,0)&lt;=12,"DS","NS")))</f>
        <v/>
      </c>
      <c r="H32" s="157">
        <f>IF($E32="","",IF($G32="?","Jam salah",IF(COUNTIF(MASTER_JAM!$V$5:$V$23,$C32)=0,"Unit tidak dikenal",IF(SUMIFS(INPUT_DELAY!$E$5:$E$20000,INPUT_DELAY!$A$5:$A$20000,$A32,INPUT_DELAY!$B$5:$B$20000,$B32,INPUT_DELAY!$C$5:$C$20000,$C32)+IF($C32="SEMUA",0,SUMIFS(INPUT_DELAY!$E$5:$E$20000,INPUT_DELAY!$A$5:$A$20000,$A32,INPUT_DELAY!$B$5:$B$20000,$B32,INPUT_DELAY!$C$5:$C$20000,"SEMUA"))&gt;60,"Total jam ini &gt; 60 menit","OK"))))</f>
        <v/>
      </c>
    </row>
    <row r="33">
      <c r="A33" s="155" t="n">
        <v>46105</v>
      </c>
      <c r="B33" s="156" t="inlineStr">
        <is>
          <t>14-15</t>
        </is>
      </c>
      <c r="C33" s="156" t="inlineStr">
        <is>
          <t>EX-753</t>
        </is>
      </c>
      <c r="D33" s="156" t="inlineStr">
        <is>
          <t>Standby</t>
        </is>
      </c>
      <c r="E33" s="156" t="n">
        <v>47</v>
      </c>
      <c r="F33" s="156" t="inlineStr">
        <is>
          <t>Tunggu dozer</t>
        </is>
      </c>
      <c r="G33" s="157">
        <f>IF($B33="","",IF(ISNA(MATCH($B33,MASTER_JAM!$Q$5:$Q$28,0)),"?",IF(MATCH($B33,MASTER_JAM!$Q$5:$Q$28,0)&lt;=12,"DS","NS")))</f>
        <v/>
      </c>
      <c r="H33" s="157">
        <f>IF($E33="","",IF($G33="?","Jam salah",IF(COUNTIF(MASTER_JAM!$V$5:$V$23,$C33)=0,"Unit tidak dikenal",IF(SUMIFS(INPUT_DELAY!$E$5:$E$20000,INPUT_DELAY!$A$5:$A$20000,$A33,INPUT_DELAY!$B$5:$B$20000,$B33,INPUT_DELAY!$C$5:$C$20000,$C33)+IF($C33="SEMUA",0,SUMIFS(INPUT_DELAY!$E$5:$E$20000,INPUT_DELAY!$A$5:$A$20000,$A33,INPUT_DELAY!$B$5:$B$20000,$B33,INPUT_DELAY!$C$5:$C$20000,"SEMUA"))&gt;60,"Total jam ini &gt; 60 menit","OK"))))</f>
        <v/>
      </c>
    </row>
    <row r="34">
      <c r="A34" s="155" t="n">
        <v>46105</v>
      </c>
      <c r="B34" s="156" t="inlineStr">
        <is>
          <t>18-19</t>
        </is>
      </c>
      <c r="C34" s="156" t="inlineStr">
        <is>
          <t>SEMUA</t>
        </is>
      </c>
      <c r="D34" s="156" t="inlineStr">
        <is>
          <t>P2H / Ganti shift</t>
        </is>
      </c>
      <c r="E34" s="156" t="n">
        <v>5</v>
      </c>
      <c r="F34" s="156" t="inlineStr"/>
      <c r="G34" s="157">
        <f>IF($B34="","",IF(ISNA(MATCH($B34,MASTER_JAM!$Q$5:$Q$28,0)),"?",IF(MATCH($B34,MASTER_JAM!$Q$5:$Q$28,0)&lt;=12,"DS","NS")))</f>
        <v/>
      </c>
      <c r="H34" s="157">
        <f>IF($E34="","",IF($G34="?","Jam salah",IF(COUNTIF(MASTER_JAM!$V$5:$V$23,$C34)=0,"Unit tidak dikenal",IF(SUMIFS(INPUT_DELAY!$E$5:$E$20000,INPUT_DELAY!$A$5:$A$20000,$A34,INPUT_DELAY!$B$5:$B$20000,$B34,INPUT_DELAY!$C$5:$C$20000,$C34)+IF($C34="SEMUA",0,SUMIFS(INPUT_DELAY!$E$5:$E$20000,INPUT_DELAY!$A$5:$A$20000,$A34,INPUT_DELAY!$B$5:$B$20000,$B34,INPUT_DELAY!$C$5:$C$20000,"SEMUA"))&gt;60,"Total jam ini &gt; 60 menit","OK"))))</f>
        <v/>
      </c>
    </row>
    <row r="35">
      <c r="A35" s="155" t="n">
        <v>46105</v>
      </c>
      <c r="B35" s="156" t="inlineStr">
        <is>
          <t>00-01</t>
        </is>
      </c>
      <c r="C35" s="156" t="inlineStr">
        <is>
          <t>SEMUA</t>
        </is>
      </c>
      <c r="D35" s="156" t="inlineStr">
        <is>
          <t>Istirahat</t>
        </is>
      </c>
      <c r="E35" s="156" t="n">
        <v>60</v>
      </c>
      <c r="F35" s="156" t="inlineStr"/>
      <c r="G35" s="157">
        <f>IF($B35="","",IF(ISNA(MATCH($B35,MASTER_JAM!$Q$5:$Q$28,0)),"?",IF(MATCH($B35,MASTER_JAM!$Q$5:$Q$28,0)&lt;=12,"DS","NS")))</f>
        <v/>
      </c>
      <c r="H35" s="157">
        <f>IF($E35="","",IF($G35="?","Jam salah",IF(COUNTIF(MASTER_JAM!$V$5:$V$23,$C35)=0,"Unit tidak dikenal",IF(SUMIFS(INPUT_DELAY!$E$5:$E$20000,INPUT_DELAY!$A$5:$A$20000,$A35,INPUT_DELAY!$B$5:$B$20000,$B35,INPUT_DELAY!$C$5:$C$20000,$C35)+IF($C35="SEMUA",0,SUMIFS(INPUT_DELAY!$E$5:$E$20000,INPUT_DELAY!$A$5:$A$20000,$A35,INPUT_DELAY!$B$5:$B$20000,$B35,INPUT_DELAY!$C$5:$C$20000,"SEMUA"))&gt;60,"Total jam ini &gt; 60 menit","OK"))))</f>
        <v/>
      </c>
    </row>
    <row r="36">
      <c r="A36" s="155" t="n">
        <v>46105</v>
      </c>
      <c r="B36" s="156" t="inlineStr">
        <is>
          <t>04-05</t>
        </is>
      </c>
      <c r="C36" s="156" t="inlineStr">
        <is>
          <t>EX-2101</t>
        </is>
      </c>
      <c r="D36" s="156" t="inlineStr">
        <is>
          <t>Breakdown</t>
        </is>
      </c>
      <c r="E36" s="156" t="n">
        <v>60</v>
      </c>
      <c r="F36" s="156" t="inlineStr">
        <is>
          <t>Hose bocor</t>
        </is>
      </c>
      <c r="G36" s="157">
        <f>IF($B36="","",IF(ISNA(MATCH($B36,MASTER_JAM!$Q$5:$Q$28,0)),"?",IF(MATCH($B36,MASTER_JAM!$Q$5:$Q$28,0)&lt;=12,"DS","NS")))</f>
        <v/>
      </c>
      <c r="H36" s="157">
        <f>IF($E36="","",IF($G36="?","Jam salah",IF(COUNTIF(MASTER_JAM!$V$5:$V$23,$C36)=0,"Unit tidak dikenal",IF(SUMIFS(INPUT_DELAY!$E$5:$E$20000,INPUT_DELAY!$A$5:$A$20000,$A36,INPUT_DELAY!$B$5:$B$20000,$B36,INPUT_DELAY!$C$5:$C$20000,$C36)+IF($C36="SEMUA",0,SUMIFS(INPUT_DELAY!$E$5:$E$20000,INPUT_DELAY!$A$5:$A$20000,$A36,INPUT_DELAY!$B$5:$B$20000,$B36,INPUT_DELAY!$C$5:$C$20000,"SEMUA"))&gt;60,"Total jam ini &gt; 60 menit","OK"))))</f>
        <v/>
      </c>
    </row>
    <row r="37">
      <c r="A37" s="155" t="n">
        <v>46105</v>
      </c>
      <c r="B37" s="156" t="inlineStr">
        <is>
          <t>03-04</t>
        </is>
      </c>
      <c r="C37" s="156" t="inlineStr">
        <is>
          <t>EX-2101</t>
        </is>
      </c>
      <c r="D37" s="156" t="inlineStr">
        <is>
          <t>Breakdown</t>
        </is>
      </c>
      <c r="E37" s="156" t="n">
        <v>60</v>
      </c>
      <c r="F37" s="156" t="inlineStr">
        <is>
          <t>Cek hidrolik</t>
        </is>
      </c>
      <c r="G37" s="157">
        <f>IF($B37="","",IF(ISNA(MATCH($B37,MASTER_JAM!$Q$5:$Q$28,0)),"?",IF(MATCH($B37,MASTER_JAM!$Q$5:$Q$28,0)&lt;=12,"DS","NS")))</f>
        <v/>
      </c>
      <c r="H37" s="157">
        <f>IF($E37="","",IF($G37="?","Jam salah",IF(COUNTIF(MASTER_JAM!$V$5:$V$23,$C37)=0,"Unit tidak dikenal",IF(SUMIFS(INPUT_DELAY!$E$5:$E$20000,INPUT_DELAY!$A$5:$A$20000,$A37,INPUT_DELAY!$B$5:$B$20000,$B37,INPUT_DELAY!$C$5:$C$20000,$C37)+IF($C37="SEMUA",0,SUMIFS(INPUT_DELAY!$E$5:$E$20000,INPUT_DELAY!$A$5:$A$20000,$A37,INPUT_DELAY!$B$5:$B$20000,$B37,INPUT_DELAY!$C$5:$C$20000,"SEMUA"))&gt;60,"Total jam ini &gt; 60 menit","OK"))))</f>
        <v/>
      </c>
    </row>
    <row r="38">
      <c r="A38" s="155" t="n">
        <v>46105</v>
      </c>
      <c r="B38" s="156" t="inlineStr">
        <is>
          <t>02-03</t>
        </is>
      </c>
      <c r="C38" s="156" t="inlineStr">
        <is>
          <t>EX-2101</t>
        </is>
      </c>
      <c r="D38" s="156" t="inlineStr">
        <is>
          <t>Breakdown</t>
        </is>
      </c>
      <c r="E38" s="156" t="n">
        <v>60</v>
      </c>
      <c r="F38" s="156" t="inlineStr">
        <is>
          <t>Track adjust</t>
        </is>
      </c>
      <c r="G38" s="157">
        <f>IF($B38="","",IF(ISNA(MATCH($B38,MASTER_JAM!$Q$5:$Q$28,0)),"?",IF(MATCH($B38,MASTER_JAM!$Q$5:$Q$28,0)&lt;=12,"DS","NS")))</f>
        <v/>
      </c>
      <c r="H38" s="157">
        <f>IF($E38="","",IF($G38="?","Jam salah",IF(COUNTIF(MASTER_JAM!$V$5:$V$23,$C38)=0,"Unit tidak dikenal",IF(SUMIFS(INPUT_DELAY!$E$5:$E$20000,INPUT_DELAY!$A$5:$A$20000,$A38,INPUT_DELAY!$B$5:$B$20000,$B38,INPUT_DELAY!$C$5:$C$20000,$C38)+IF($C38="SEMUA",0,SUMIFS(INPUT_DELAY!$E$5:$E$20000,INPUT_DELAY!$A$5:$A$20000,$A38,INPUT_DELAY!$B$5:$B$20000,$B38,INPUT_DELAY!$C$5:$C$20000,"SEMUA"))&gt;60,"Total jam ini &gt; 60 menit","OK"))))</f>
        <v/>
      </c>
    </row>
    <row r="39">
      <c r="A39" s="155" t="n">
        <v>46105</v>
      </c>
      <c r="B39" s="156" t="inlineStr">
        <is>
          <t>01-02</t>
        </is>
      </c>
      <c r="C39" s="156" t="inlineStr">
        <is>
          <t>EX-2101</t>
        </is>
      </c>
      <c r="D39" s="156" t="inlineStr">
        <is>
          <t>Breakdown</t>
        </is>
      </c>
      <c r="E39" s="156" t="n">
        <v>60</v>
      </c>
      <c r="F39" s="156" t="inlineStr">
        <is>
          <t>Hose bocor</t>
        </is>
      </c>
      <c r="G39" s="157">
        <f>IF($B39="","",IF(ISNA(MATCH($B39,MASTER_JAM!$Q$5:$Q$28,0)),"?",IF(MATCH($B39,MASTER_JAM!$Q$5:$Q$28,0)&lt;=12,"DS","NS")))</f>
        <v/>
      </c>
      <c r="H39" s="157">
        <f>IF($E39="","",IF($G39="?","Jam salah",IF(COUNTIF(MASTER_JAM!$V$5:$V$23,$C39)=0,"Unit tidak dikenal",IF(SUMIFS(INPUT_DELAY!$E$5:$E$20000,INPUT_DELAY!$A$5:$A$20000,$A39,INPUT_DELAY!$B$5:$B$20000,$B39,INPUT_DELAY!$C$5:$C$20000,$C39)+IF($C39="SEMUA",0,SUMIFS(INPUT_DELAY!$E$5:$E$20000,INPUT_DELAY!$A$5:$A$20000,$A39,INPUT_DELAY!$B$5:$B$20000,$B39,INPUT_DELAY!$C$5:$C$20000,"SEMUA"))&gt;60,"Total jam ini &gt; 60 menit","OK"))))</f>
        <v/>
      </c>
    </row>
    <row r="40">
      <c r="A40" s="155" t="n">
        <v>46105</v>
      </c>
      <c r="B40" s="156" t="inlineStr">
        <is>
          <t>21-22</t>
        </is>
      </c>
      <c r="C40" s="156" t="inlineStr">
        <is>
          <t>EX-2101</t>
        </is>
      </c>
      <c r="D40" s="156" t="inlineStr">
        <is>
          <t>Standby</t>
        </is>
      </c>
      <c r="E40" s="156" t="n">
        <v>47</v>
      </c>
      <c r="F40" s="156" t="inlineStr">
        <is>
          <t>Tunggu dozer</t>
        </is>
      </c>
      <c r="G40" s="157">
        <f>IF($B40="","",IF(ISNA(MATCH($B40,MASTER_JAM!$Q$5:$Q$28,0)),"?",IF(MATCH($B40,MASTER_JAM!$Q$5:$Q$28,0)&lt;=12,"DS","NS")))</f>
        <v/>
      </c>
      <c r="H40" s="157">
        <f>IF($E40="","",IF($G40="?","Jam salah",IF(COUNTIF(MASTER_JAM!$V$5:$V$23,$C40)=0,"Unit tidak dikenal",IF(SUMIFS(INPUT_DELAY!$E$5:$E$20000,INPUT_DELAY!$A$5:$A$20000,$A40,INPUT_DELAY!$B$5:$B$20000,$B40,INPUT_DELAY!$C$5:$C$20000,$C40)+IF($C40="SEMUA",0,SUMIFS(INPUT_DELAY!$E$5:$E$20000,INPUT_DELAY!$A$5:$A$20000,$A40,INPUT_DELAY!$B$5:$B$20000,$B40,INPUT_DELAY!$C$5:$C$20000,"SEMUA"))&gt;60,"Total jam ini &gt; 60 menit","OK"))))</f>
        <v/>
      </c>
    </row>
    <row r="41">
      <c r="A41" s="155" t="n">
        <v>46105</v>
      </c>
      <c r="B41" s="156" t="inlineStr">
        <is>
          <t>22-23</t>
        </is>
      </c>
      <c r="C41" s="156" t="inlineStr">
        <is>
          <t>EX-336</t>
        </is>
      </c>
      <c r="D41" s="156" t="inlineStr">
        <is>
          <t>Standby</t>
        </is>
      </c>
      <c r="E41" s="156" t="n">
        <v>19</v>
      </c>
      <c r="F41" s="156" t="inlineStr">
        <is>
          <t>Tunggu hauler</t>
        </is>
      </c>
      <c r="G41" s="157">
        <f>IF($B41="","",IF(ISNA(MATCH($B41,MASTER_JAM!$Q$5:$Q$28,0)),"?",IF(MATCH($B41,MASTER_JAM!$Q$5:$Q$28,0)&lt;=12,"DS","NS")))</f>
        <v/>
      </c>
      <c r="H41" s="157">
        <f>IF($E41="","",IF($G41="?","Jam salah",IF(COUNTIF(MASTER_JAM!$V$5:$V$23,$C41)=0,"Unit tidak dikenal",IF(SUMIFS(INPUT_DELAY!$E$5:$E$20000,INPUT_DELAY!$A$5:$A$20000,$A41,INPUT_DELAY!$B$5:$B$20000,$B41,INPUT_DELAY!$C$5:$C$20000,$C41)+IF($C41="SEMUA",0,SUMIFS(INPUT_DELAY!$E$5:$E$20000,INPUT_DELAY!$A$5:$A$20000,$A41,INPUT_DELAY!$B$5:$B$20000,$B41,INPUT_DELAY!$C$5:$C$20000,"SEMUA"))&gt;60,"Total jam ini &gt; 60 menit","OK"))))</f>
        <v/>
      </c>
    </row>
    <row r="42">
      <c r="A42" s="155" t="n">
        <v>46105</v>
      </c>
      <c r="B42" s="156" t="inlineStr">
        <is>
          <t>04-05</t>
        </is>
      </c>
      <c r="C42" s="156" t="inlineStr">
        <is>
          <t>EX-336</t>
        </is>
      </c>
      <c r="D42" s="156" t="inlineStr">
        <is>
          <t>Standby</t>
        </is>
      </c>
      <c r="E42" s="156" t="n">
        <v>24</v>
      </c>
      <c r="F42" s="156" t="inlineStr">
        <is>
          <t>Pindah front</t>
        </is>
      </c>
      <c r="G42" s="157">
        <f>IF($B42="","",IF(ISNA(MATCH($B42,MASTER_JAM!$Q$5:$Q$28,0)),"?",IF(MATCH($B42,MASTER_JAM!$Q$5:$Q$28,0)&lt;=12,"DS","NS")))</f>
        <v/>
      </c>
      <c r="H42" s="157">
        <f>IF($E42="","",IF($G42="?","Jam salah",IF(COUNTIF(MASTER_JAM!$V$5:$V$23,$C42)=0,"Unit tidak dikenal",IF(SUMIFS(INPUT_DELAY!$E$5:$E$20000,INPUT_DELAY!$A$5:$A$20000,$A42,INPUT_DELAY!$B$5:$B$20000,$B42,INPUT_DELAY!$C$5:$C$20000,$C42)+IF($C42="SEMUA",0,SUMIFS(INPUT_DELAY!$E$5:$E$20000,INPUT_DELAY!$A$5:$A$20000,$A42,INPUT_DELAY!$B$5:$B$20000,$B42,INPUT_DELAY!$C$5:$C$20000,"SEMUA"))&gt;60,"Total jam ini &gt; 60 menit","OK"))))</f>
        <v/>
      </c>
    </row>
    <row r="43">
      <c r="A43" s="155" t="n">
        <v>46105</v>
      </c>
      <c r="B43" s="156" t="inlineStr">
        <is>
          <t>18-19</t>
        </is>
      </c>
      <c r="C43" s="156" t="inlineStr">
        <is>
          <t>EX-335</t>
        </is>
      </c>
      <c r="D43" s="156" t="inlineStr">
        <is>
          <t>Lainnya</t>
        </is>
      </c>
      <c r="E43" s="156" t="n">
        <v>14</v>
      </c>
      <c r="F43" s="156" t="inlineStr">
        <is>
          <t>Perbaikan jalan</t>
        </is>
      </c>
      <c r="G43" s="157">
        <f>IF($B43="","",IF(ISNA(MATCH($B43,MASTER_JAM!$Q$5:$Q$28,0)),"?",IF(MATCH($B43,MASTER_JAM!$Q$5:$Q$28,0)&lt;=12,"DS","NS")))</f>
        <v/>
      </c>
      <c r="H43" s="157">
        <f>IF($E43="","",IF($G43="?","Jam salah",IF(COUNTIF(MASTER_JAM!$V$5:$V$23,$C43)=0,"Unit tidak dikenal",IF(SUMIFS(INPUT_DELAY!$E$5:$E$20000,INPUT_DELAY!$A$5:$A$20000,$A43,INPUT_DELAY!$B$5:$B$20000,$B43,INPUT_DELAY!$C$5:$C$20000,$C43)+IF($C43="SEMUA",0,SUMIFS(INPUT_DELAY!$E$5:$E$20000,INPUT_DELAY!$A$5:$A$20000,$A43,INPUT_DELAY!$B$5:$B$20000,$B43,INPUT_DELAY!$C$5:$C$20000,"SEMUA"))&gt;60,"Total jam ini &gt; 60 menit","OK"))))</f>
        <v/>
      </c>
    </row>
    <row r="44">
      <c r="A44" s="155" t="n">
        <v>46105</v>
      </c>
      <c r="B44" s="156" t="inlineStr">
        <is>
          <t>04-05</t>
        </is>
      </c>
      <c r="C44" s="156" t="inlineStr">
        <is>
          <t>EX-754</t>
        </is>
      </c>
      <c r="D44" s="156" t="inlineStr">
        <is>
          <t>Standby</t>
        </is>
      </c>
      <c r="E44" s="156" t="n">
        <v>6</v>
      </c>
      <c r="F44" s="156" t="inlineStr">
        <is>
          <t>Perbaikan jalan</t>
        </is>
      </c>
      <c r="G44" s="157">
        <f>IF($B44="","",IF(ISNA(MATCH($B44,MASTER_JAM!$Q$5:$Q$28,0)),"?",IF(MATCH($B44,MASTER_JAM!$Q$5:$Q$28,0)&lt;=12,"DS","NS")))</f>
        <v/>
      </c>
      <c r="H44" s="157">
        <f>IF($E44="","",IF($G44="?","Jam salah",IF(COUNTIF(MASTER_JAM!$V$5:$V$23,$C44)=0,"Unit tidak dikenal",IF(SUMIFS(INPUT_DELAY!$E$5:$E$20000,INPUT_DELAY!$A$5:$A$20000,$A44,INPUT_DELAY!$B$5:$B$20000,$B44,INPUT_DELAY!$C$5:$C$20000,$C44)+IF($C44="SEMUA",0,SUMIFS(INPUT_DELAY!$E$5:$E$20000,INPUT_DELAY!$A$5:$A$20000,$A44,INPUT_DELAY!$B$5:$B$20000,$B44,INPUT_DELAY!$C$5:$C$20000,"SEMUA"))&gt;60,"Total jam ini &gt; 60 menit","OK"))))</f>
        <v/>
      </c>
    </row>
    <row r="45">
      <c r="A45" s="155" t="n">
        <v>46105</v>
      </c>
      <c r="B45" s="156" t="inlineStr">
        <is>
          <t>04-05</t>
        </is>
      </c>
      <c r="C45" s="156" t="inlineStr">
        <is>
          <t>EX-755</t>
        </is>
      </c>
      <c r="D45" s="156" t="inlineStr">
        <is>
          <t>Standby</t>
        </is>
      </c>
      <c r="E45" s="156" t="n">
        <v>16</v>
      </c>
      <c r="F45" s="156" t="inlineStr">
        <is>
          <t>Tunggu dozer</t>
        </is>
      </c>
      <c r="G45" s="157">
        <f>IF($B45="","",IF(ISNA(MATCH($B45,MASTER_JAM!$Q$5:$Q$28,0)),"?",IF(MATCH($B45,MASTER_JAM!$Q$5:$Q$28,0)&lt;=12,"DS","NS")))</f>
        <v/>
      </c>
      <c r="H45" s="157">
        <f>IF($E45="","",IF($G45="?","Jam salah",IF(COUNTIF(MASTER_JAM!$V$5:$V$23,$C45)=0,"Unit tidak dikenal",IF(SUMIFS(INPUT_DELAY!$E$5:$E$20000,INPUT_DELAY!$A$5:$A$20000,$A45,INPUT_DELAY!$B$5:$B$20000,$B45,INPUT_DELAY!$C$5:$C$20000,$C45)+IF($C45="SEMUA",0,SUMIFS(INPUT_DELAY!$E$5:$E$20000,INPUT_DELAY!$A$5:$A$20000,$A45,INPUT_DELAY!$B$5:$B$20000,$B45,INPUT_DELAY!$C$5:$C$20000,"SEMUA"))&gt;60,"Total jam ini &gt; 60 menit","OK"))))</f>
        <v/>
      </c>
    </row>
    <row r="46">
      <c r="A46" s="155" t="n">
        <v>46105</v>
      </c>
      <c r="B46" s="156" t="inlineStr">
        <is>
          <t>03-04</t>
        </is>
      </c>
      <c r="C46" s="156" t="inlineStr">
        <is>
          <t>EX-753</t>
        </is>
      </c>
      <c r="D46" s="156" t="inlineStr">
        <is>
          <t>Standby</t>
        </is>
      </c>
      <c r="E46" s="156" t="n">
        <v>30</v>
      </c>
      <c r="F46" s="156" t="inlineStr">
        <is>
          <t>Tunggu hauler</t>
        </is>
      </c>
      <c r="G46" s="157">
        <f>IF($B46="","",IF(ISNA(MATCH($B46,MASTER_JAM!$Q$5:$Q$28,0)),"?",IF(MATCH($B46,MASTER_JAM!$Q$5:$Q$28,0)&lt;=12,"DS","NS")))</f>
        <v/>
      </c>
      <c r="H46" s="157">
        <f>IF($E46="","",IF($G46="?","Jam salah",IF(COUNTIF(MASTER_JAM!$V$5:$V$23,$C46)=0,"Unit tidak dikenal",IF(SUMIFS(INPUT_DELAY!$E$5:$E$20000,INPUT_DELAY!$A$5:$A$20000,$A46,INPUT_DELAY!$B$5:$B$20000,$B46,INPUT_DELAY!$C$5:$C$20000,$C46)+IF($C46="SEMUA",0,SUMIFS(INPUT_DELAY!$E$5:$E$20000,INPUT_DELAY!$A$5:$A$20000,$A46,INPUT_DELAY!$B$5:$B$20000,$B46,INPUT_DELAY!$C$5:$C$20000,"SEMUA"))&gt;60,"Total jam ini &gt; 60 menit","OK"))))</f>
        <v/>
      </c>
    </row>
    <row r="47">
      <c r="A47" s="155" t="n">
        <v>46105</v>
      </c>
      <c r="B47" s="156" t="inlineStr">
        <is>
          <t>05-06</t>
        </is>
      </c>
      <c r="C47" s="156" t="inlineStr">
        <is>
          <t>EX-753</t>
        </is>
      </c>
      <c r="D47" s="156" t="inlineStr">
        <is>
          <t>Standby</t>
        </is>
      </c>
      <c r="E47" s="156" t="n">
        <v>32</v>
      </c>
      <c r="F47" s="156" t="inlineStr">
        <is>
          <t>Perbaikan jalan</t>
        </is>
      </c>
      <c r="G47" s="157">
        <f>IF($B47="","",IF(ISNA(MATCH($B47,MASTER_JAM!$Q$5:$Q$28,0)),"?",IF(MATCH($B47,MASTER_JAM!$Q$5:$Q$28,0)&lt;=12,"DS","NS")))</f>
        <v/>
      </c>
      <c r="H47" s="157">
        <f>IF($E47="","",IF($G47="?","Jam salah",IF(COUNTIF(MASTER_JAM!$V$5:$V$23,$C47)=0,"Unit tidak dikenal",IF(SUMIFS(INPUT_DELAY!$E$5:$E$20000,INPUT_DELAY!$A$5:$A$20000,$A47,INPUT_DELAY!$B$5:$B$20000,$B47,INPUT_DELAY!$C$5:$C$20000,$C47)+IF($C47="SEMUA",0,SUMIFS(INPUT_DELAY!$E$5:$E$20000,INPUT_DELAY!$A$5:$A$20000,$A47,INPUT_DELAY!$B$5:$B$20000,$B47,INPUT_DELAY!$C$5:$C$20000,"SEMUA"))&gt;60,"Total jam ini &gt; 60 menit","OK"))))</f>
        <v/>
      </c>
    </row>
    <row r="48">
      <c r="A48" s="155" t="n">
        <v>46106</v>
      </c>
      <c r="B48" s="156" t="inlineStr">
        <is>
          <t>06-07</t>
        </is>
      </c>
      <c r="C48" s="156" t="inlineStr">
        <is>
          <t>SEMUA</t>
        </is>
      </c>
      <c r="D48" s="156" t="inlineStr">
        <is>
          <t>P2H / Ganti shift</t>
        </is>
      </c>
      <c r="E48" s="156" t="n">
        <v>5</v>
      </c>
      <c r="F48" s="156" t="inlineStr"/>
      <c r="G48" s="157">
        <f>IF($B48="","",IF(ISNA(MATCH($B48,MASTER_JAM!$Q$5:$Q$28,0)),"?",IF(MATCH($B48,MASTER_JAM!$Q$5:$Q$28,0)&lt;=12,"DS","NS")))</f>
        <v/>
      </c>
      <c r="H48" s="157">
        <f>IF($E48="","",IF($G48="?","Jam salah",IF(COUNTIF(MASTER_JAM!$V$5:$V$23,$C48)=0,"Unit tidak dikenal",IF(SUMIFS(INPUT_DELAY!$E$5:$E$20000,INPUT_DELAY!$A$5:$A$20000,$A48,INPUT_DELAY!$B$5:$B$20000,$B48,INPUT_DELAY!$C$5:$C$20000,$C48)+IF($C48="SEMUA",0,SUMIFS(INPUT_DELAY!$E$5:$E$20000,INPUT_DELAY!$A$5:$A$20000,$A48,INPUT_DELAY!$B$5:$B$20000,$B48,INPUT_DELAY!$C$5:$C$20000,"SEMUA"))&gt;60,"Total jam ini &gt; 60 menit","OK"))))</f>
        <v/>
      </c>
    </row>
    <row r="49">
      <c r="A49" s="155" t="n">
        <v>46106</v>
      </c>
      <c r="B49" s="156" t="inlineStr">
        <is>
          <t>09-10</t>
        </is>
      </c>
      <c r="C49" s="156" t="inlineStr">
        <is>
          <t>SEMUA</t>
        </is>
      </c>
      <c r="D49" s="156" t="inlineStr">
        <is>
          <t>Rain</t>
        </is>
      </c>
      <c r="E49" s="156" t="n">
        <v>10</v>
      </c>
      <c r="F49" s="156" t="inlineStr">
        <is>
          <t>Hujan</t>
        </is>
      </c>
      <c r="G49" s="157">
        <f>IF($B49="","",IF(ISNA(MATCH($B49,MASTER_JAM!$Q$5:$Q$28,0)),"?",IF(MATCH($B49,MASTER_JAM!$Q$5:$Q$28,0)&lt;=12,"DS","NS")))</f>
        <v/>
      </c>
      <c r="H49" s="157">
        <f>IF($E49="","",IF($G49="?","Jam salah",IF(COUNTIF(MASTER_JAM!$V$5:$V$23,$C49)=0,"Unit tidak dikenal",IF(SUMIFS(INPUT_DELAY!$E$5:$E$20000,INPUT_DELAY!$A$5:$A$20000,$A49,INPUT_DELAY!$B$5:$B$20000,$B49,INPUT_DELAY!$C$5:$C$20000,$C49)+IF($C49="SEMUA",0,SUMIFS(INPUT_DELAY!$E$5:$E$20000,INPUT_DELAY!$A$5:$A$20000,$A49,INPUT_DELAY!$B$5:$B$20000,$B49,INPUT_DELAY!$C$5:$C$20000,"SEMUA"))&gt;60,"Total jam ini &gt; 60 menit","OK"))))</f>
        <v/>
      </c>
    </row>
    <row r="50">
      <c r="A50" s="155" t="n">
        <v>46106</v>
      </c>
      <c r="B50" s="156" t="inlineStr">
        <is>
          <t>12-13</t>
        </is>
      </c>
      <c r="C50" s="156" t="inlineStr">
        <is>
          <t>SEMUA</t>
        </is>
      </c>
      <c r="D50" s="156" t="inlineStr">
        <is>
          <t>Istirahat</t>
        </is>
      </c>
      <c r="E50" s="156" t="n">
        <v>60</v>
      </c>
      <c r="F50" s="156" t="inlineStr"/>
      <c r="G50" s="157">
        <f>IF($B50="","",IF(ISNA(MATCH($B50,MASTER_JAM!$Q$5:$Q$28,0)),"?",IF(MATCH($B50,MASTER_JAM!$Q$5:$Q$28,0)&lt;=12,"DS","NS")))</f>
        <v/>
      </c>
      <c r="H50" s="157">
        <f>IF($E50="","",IF($G50="?","Jam salah",IF(COUNTIF(MASTER_JAM!$V$5:$V$23,$C50)=0,"Unit tidak dikenal",IF(SUMIFS(INPUT_DELAY!$E$5:$E$20000,INPUT_DELAY!$A$5:$A$20000,$A50,INPUT_DELAY!$B$5:$B$20000,$B50,INPUT_DELAY!$C$5:$C$20000,$C50)+IF($C50="SEMUA",0,SUMIFS(INPUT_DELAY!$E$5:$E$20000,INPUT_DELAY!$A$5:$A$20000,$A50,INPUT_DELAY!$B$5:$B$20000,$B50,INPUT_DELAY!$C$5:$C$20000,"SEMUA"))&gt;60,"Total jam ini &gt; 60 menit","OK"))))</f>
        <v/>
      </c>
    </row>
    <row r="51">
      <c r="A51" s="155" t="n">
        <v>46106</v>
      </c>
      <c r="B51" s="156" t="inlineStr">
        <is>
          <t>10-11</t>
        </is>
      </c>
      <c r="C51" s="156" t="inlineStr">
        <is>
          <t>EX-1251</t>
        </is>
      </c>
      <c r="D51" s="156" t="inlineStr">
        <is>
          <t>Breakdown</t>
        </is>
      </c>
      <c r="E51" s="156" t="n">
        <v>60</v>
      </c>
      <c r="F51" s="156" t="inlineStr">
        <is>
          <t>Hose bocor</t>
        </is>
      </c>
      <c r="G51" s="157">
        <f>IF($B51="","",IF(ISNA(MATCH($B51,MASTER_JAM!$Q$5:$Q$28,0)),"?",IF(MATCH($B51,MASTER_JAM!$Q$5:$Q$28,0)&lt;=12,"DS","NS")))</f>
        <v/>
      </c>
      <c r="H51" s="157">
        <f>IF($E51="","",IF($G51="?","Jam salah",IF(COUNTIF(MASTER_JAM!$V$5:$V$23,$C51)=0,"Unit tidak dikenal",IF(SUMIFS(INPUT_DELAY!$E$5:$E$20000,INPUT_DELAY!$A$5:$A$20000,$A51,INPUT_DELAY!$B$5:$B$20000,$B51,INPUT_DELAY!$C$5:$C$20000,$C51)+IF($C51="SEMUA",0,SUMIFS(INPUT_DELAY!$E$5:$E$20000,INPUT_DELAY!$A$5:$A$20000,$A51,INPUT_DELAY!$B$5:$B$20000,$B51,INPUT_DELAY!$C$5:$C$20000,"SEMUA"))&gt;60,"Total jam ini &gt; 60 menit","OK"))))</f>
        <v/>
      </c>
    </row>
    <row r="52">
      <c r="A52" s="155" t="n">
        <v>46106</v>
      </c>
      <c r="B52" s="156" t="inlineStr">
        <is>
          <t>09-10</t>
        </is>
      </c>
      <c r="C52" s="156" t="inlineStr">
        <is>
          <t>EX-1251</t>
        </is>
      </c>
      <c r="D52" s="156" t="inlineStr">
        <is>
          <t>Breakdown</t>
        </is>
      </c>
      <c r="E52" s="156" t="n">
        <v>50</v>
      </c>
      <c r="F52" s="156" t="inlineStr">
        <is>
          <t>Track adjust</t>
        </is>
      </c>
      <c r="G52" s="157">
        <f>IF($B52="","",IF(ISNA(MATCH($B52,MASTER_JAM!$Q$5:$Q$28,0)),"?",IF(MATCH($B52,MASTER_JAM!$Q$5:$Q$28,0)&lt;=12,"DS","NS")))</f>
        <v/>
      </c>
      <c r="H52" s="157">
        <f>IF($E52="","",IF($G52="?","Jam salah",IF(COUNTIF(MASTER_JAM!$V$5:$V$23,$C52)=0,"Unit tidak dikenal",IF(SUMIFS(INPUT_DELAY!$E$5:$E$20000,INPUT_DELAY!$A$5:$A$20000,$A52,INPUT_DELAY!$B$5:$B$20000,$B52,INPUT_DELAY!$C$5:$C$20000,$C52)+IF($C52="SEMUA",0,SUMIFS(INPUT_DELAY!$E$5:$E$20000,INPUT_DELAY!$A$5:$A$20000,$A52,INPUT_DELAY!$B$5:$B$20000,$B52,INPUT_DELAY!$C$5:$C$20000,"SEMUA"))&gt;60,"Total jam ini &gt; 60 menit","OK"))))</f>
        <v/>
      </c>
    </row>
    <row r="53">
      <c r="A53" s="155" t="n">
        <v>46106</v>
      </c>
      <c r="B53" s="156" t="inlineStr">
        <is>
          <t>15-16</t>
        </is>
      </c>
      <c r="C53" s="156" t="inlineStr">
        <is>
          <t>EX-1251</t>
        </is>
      </c>
      <c r="D53" s="156" t="inlineStr">
        <is>
          <t>Breakdown</t>
        </is>
      </c>
      <c r="E53" s="156" t="n">
        <v>60</v>
      </c>
      <c r="F53" s="156" t="inlineStr">
        <is>
          <t>Track adjust</t>
        </is>
      </c>
      <c r="G53" s="157">
        <f>IF($B53="","",IF(ISNA(MATCH($B53,MASTER_JAM!$Q$5:$Q$28,0)),"?",IF(MATCH($B53,MASTER_JAM!$Q$5:$Q$28,0)&lt;=12,"DS","NS")))</f>
        <v/>
      </c>
      <c r="H53" s="157">
        <f>IF($E53="","",IF($G53="?","Jam salah",IF(COUNTIF(MASTER_JAM!$V$5:$V$23,$C53)=0,"Unit tidak dikenal",IF(SUMIFS(INPUT_DELAY!$E$5:$E$20000,INPUT_DELAY!$A$5:$A$20000,$A53,INPUT_DELAY!$B$5:$B$20000,$B53,INPUT_DELAY!$C$5:$C$20000,$C53)+IF($C53="SEMUA",0,SUMIFS(INPUT_DELAY!$E$5:$E$20000,INPUT_DELAY!$A$5:$A$20000,$A53,INPUT_DELAY!$B$5:$B$20000,$B53,INPUT_DELAY!$C$5:$C$20000,"SEMUA"))&gt;60,"Total jam ini &gt; 60 menit","OK"))))</f>
        <v/>
      </c>
    </row>
    <row r="54">
      <c r="A54" s="155" t="n">
        <v>46106</v>
      </c>
      <c r="B54" s="156" t="inlineStr">
        <is>
          <t>13-14</t>
        </is>
      </c>
      <c r="C54" s="156" t="inlineStr">
        <is>
          <t>EX-1251</t>
        </is>
      </c>
      <c r="D54" s="156" t="inlineStr">
        <is>
          <t>Breakdown</t>
        </is>
      </c>
      <c r="E54" s="156" t="n">
        <v>60</v>
      </c>
      <c r="F54" s="156" t="inlineStr">
        <is>
          <t>Cek hidrolik</t>
        </is>
      </c>
      <c r="G54" s="157">
        <f>IF($B54="","",IF(ISNA(MATCH($B54,MASTER_JAM!$Q$5:$Q$28,0)),"?",IF(MATCH($B54,MASTER_JAM!$Q$5:$Q$28,0)&lt;=12,"DS","NS")))</f>
        <v/>
      </c>
      <c r="H54" s="157">
        <f>IF($E54="","",IF($G54="?","Jam salah",IF(COUNTIF(MASTER_JAM!$V$5:$V$23,$C54)=0,"Unit tidak dikenal",IF(SUMIFS(INPUT_DELAY!$E$5:$E$20000,INPUT_DELAY!$A$5:$A$20000,$A54,INPUT_DELAY!$B$5:$B$20000,$B54,INPUT_DELAY!$C$5:$C$20000,$C54)+IF($C54="SEMUA",0,SUMIFS(INPUT_DELAY!$E$5:$E$20000,INPUT_DELAY!$A$5:$A$20000,$A54,INPUT_DELAY!$B$5:$B$20000,$B54,INPUT_DELAY!$C$5:$C$20000,"SEMUA"))&gt;60,"Total jam ini &gt; 60 menit","OK"))))</f>
        <v/>
      </c>
    </row>
    <row r="55">
      <c r="A55" s="155" t="n">
        <v>46106</v>
      </c>
      <c r="B55" s="156" t="inlineStr">
        <is>
          <t>08-09</t>
        </is>
      </c>
      <c r="C55" s="156" t="inlineStr">
        <is>
          <t>EX-1251</t>
        </is>
      </c>
      <c r="D55" s="156" t="inlineStr">
        <is>
          <t>Breakdown</t>
        </is>
      </c>
      <c r="E55" s="156" t="n">
        <v>60</v>
      </c>
      <c r="F55" s="156" t="inlineStr">
        <is>
          <t>Track adjust</t>
        </is>
      </c>
      <c r="G55" s="157">
        <f>IF($B55="","",IF(ISNA(MATCH($B55,MASTER_JAM!$Q$5:$Q$28,0)),"?",IF(MATCH($B55,MASTER_JAM!$Q$5:$Q$28,0)&lt;=12,"DS","NS")))</f>
        <v/>
      </c>
      <c r="H55" s="157">
        <f>IF($E55="","",IF($G55="?","Jam salah",IF(COUNTIF(MASTER_JAM!$V$5:$V$23,$C55)=0,"Unit tidak dikenal",IF(SUMIFS(INPUT_DELAY!$E$5:$E$20000,INPUT_DELAY!$A$5:$A$20000,$A55,INPUT_DELAY!$B$5:$B$20000,$B55,INPUT_DELAY!$C$5:$C$20000,$C55)+IF($C55="SEMUA",0,SUMIFS(INPUT_DELAY!$E$5:$E$20000,INPUT_DELAY!$A$5:$A$20000,$A55,INPUT_DELAY!$B$5:$B$20000,$B55,INPUT_DELAY!$C$5:$C$20000,"SEMUA"))&gt;60,"Total jam ini &gt; 60 menit","OK"))))</f>
        <v/>
      </c>
    </row>
    <row r="56">
      <c r="A56" s="155" t="n">
        <v>46106</v>
      </c>
      <c r="B56" s="156" t="inlineStr">
        <is>
          <t>11-12</t>
        </is>
      </c>
      <c r="C56" s="156" t="inlineStr">
        <is>
          <t>EX-1251</t>
        </is>
      </c>
      <c r="D56" s="156" t="inlineStr">
        <is>
          <t>Breakdown</t>
        </is>
      </c>
      <c r="E56" s="156" t="n">
        <v>60</v>
      </c>
      <c r="F56" s="156" t="inlineStr">
        <is>
          <t>Engine overheat</t>
        </is>
      </c>
      <c r="G56" s="157">
        <f>IF($B56="","",IF(ISNA(MATCH($B56,MASTER_JAM!$Q$5:$Q$28,0)),"?",IF(MATCH($B56,MASTER_JAM!$Q$5:$Q$28,0)&lt;=12,"DS","NS")))</f>
        <v/>
      </c>
      <c r="H56" s="157">
        <f>IF($E56="","",IF($G56="?","Jam salah",IF(COUNTIF(MASTER_JAM!$V$5:$V$23,$C56)=0,"Unit tidak dikenal",IF(SUMIFS(INPUT_DELAY!$E$5:$E$20000,INPUT_DELAY!$A$5:$A$20000,$A56,INPUT_DELAY!$B$5:$B$20000,$B56,INPUT_DELAY!$C$5:$C$20000,$C56)+IF($C56="SEMUA",0,SUMIFS(INPUT_DELAY!$E$5:$E$20000,INPUT_DELAY!$A$5:$A$20000,$A56,INPUT_DELAY!$B$5:$B$20000,$B56,INPUT_DELAY!$C$5:$C$20000,"SEMUA"))&gt;60,"Total jam ini &gt; 60 menit","OK"))))</f>
        <v/>
      </c>
    </row>
    <row r="57">
      <c r="A57" s="155" t="n">
        <v>46106</v>
      </c>
      <c r="B57" s="156" t="inlineStr">
        <is>
          <t>12-13</t>
        </is>
      </c>
      <c r="C57" s="156" t="inlineStr">
        <is>
          <t>EX-1251</t>
        </is>
      </c>
      <c r="D57" s="156" t="inlineStr">
        <is>
          <t>Breakdown</t>
        </is>
      </c>
      <c r="E57" s="156" t="n">
        <v>0</v>
      </c>
      <c r="F57" s="156" t="inlineStr">
        <is>
          <t>Engine overheat</t>
        </is>
      </c>
      <c r="G57" s="157">
        <f>IF($B57="","",IF(ISNA(MATCH($B57,MASTER_JAM!$Q$5:$Q$28,0)),"?",IF(MATCH($B57,MASTER_JAM!$Q$5:$Q$28,0)&lt;=12,"DS","NS")))</f>
        <v/>
      </c>
      <c r="H57" s="157">
        <f>IF($E57="","",IF($G57="?","Jam salah",IF(COUNTIF(MASTER_JAM!$V$5:$V$23,$C57)=0,"Unit tidak dikenal",IF(SUMIFS(INPUT_DELAY!$E$5:$E$20000,INPUT_DELAY!$A$5:$A$20000,$A57,INPUT_DELAY!$B$5:$B$20000,$B57,INPUT_DELAY!$C$5:$C$20000,$C57)+IF($C57="SEMUA",0,SUMIFS(INPUT_DELAY!$E$5:$E$20000,INPUT_DELAY!$A$5:$A$20000,$A57,INPUT_DELAY!$B$5:$B$20000,$B57,INPUT_DELAY!$C$5:$C$20000,"SEMUA"))&gt;60,"Total jam ini &gt; 60 menit","OK"))))</f>
        <v/>
      </c>
    </row>
    <row r="58">
      <c r="A58" s="155" t="n">
        <v>46106</v>
      </c>
      <c r="B58" s="156" t="inlineStr">
        <is>
          <t>14-15</t>
        </is>
      </c>
      <c r="C58" s="156" t="inlineStr">
        <is>
          <t>EX-1251</t>
        </is>
      </c>
      <c r="D58" s="156" t="inlineStr">
        <is>
          <t>Breakdown</t>
        </is>
      </c>
      <c r="E58" s="156" t="n">
        <v>60</v>
      </c>
      <c r="F58" s="156" t="inlineStr">
        <is>
          <t>Engine overheat</t>
        </is>
      </c>
      <c r="G58" s="157">
        <f>IF($B58="","",IF(ISNA(MATCH($B58,MASTER_JAM!$Q$5:$Q$28,0)),"?",IF(MATCH($B58,MASTER_JAM!$Q$5:$Q$28,0)&lt;=12,"DS","NS")))</f>
        <v/>
      </c>
      <c r="H58" s="157">
        <f>IF($E58="","",IF($G58="?","Jam salah",IF(COUNTIF(MASTER_JAM!$V$5:$V$23,$C58)=0,"Unit tidak dikenal",IF(SUMIFS(INPUT_DELAY!$E$5:$E$20000,INPUT_DELAY!$A$5:$A$20000,$A58,INPUT_DELAY!$B$5:$B$20000,$B58,INPUT_DELAY!$C$5:$C$20000,$C58)+IF($C58="SEMUA",0,SUMIFS(INPUT_DELAY!$E$5:$E$20000,INPUT_DELAY!$A$5:$A$20000,$A58,INPUT_DELAY!$B$5:$B$20000,$B58,INPUT_DELAY!$C$5:$C$20000,"SEMUA"))&gt;60,"Total jam ini &gt; 60 menit","OK"))))</f>
        <v/>
      </c>
    </row>
    <row r="59">
      <c r="A59" s="155" t="n">
        <v>46106</v>
      </c>
      <c r="B59" s="156" t="inlineStr">
        <is>
          <t>16-17</t>
        </is>
      </c>
      <c r="C59" s="156" t="inlineStr">
        <is>
          <t>EX-1251</t>
        </is>
      </c>
      <c r="D59" s="156" t="inlineStr">
        <is>
          <t>Lainnya</t>
        </is>
      </c>
      <c r="E59" s="156" t="n">
        <v>2</v>
      </c>
      <c r="F59" s="156" t="inlineStr">
        <is>
          <t>Tunggu hauler</t>
        </is>
      </c>
      <c r="G59" s="157">
        <f>IF($B59="","",IF(ISNA(MATCH($B59,MASTER_JAM!$Q$5:$Q$28,0)),"?",IF(MATCH($B59,MASTER_JAM!$Q$5:$Q$28,0)&lt;=12,"DS","NS")))</f>
        <v/>
      </c>
      <c r="H59" s="157">
        <f>IF($E59="","",IF($G59="?","Jam salah",IF(COUNTIF(MASTER_JAM!$V$5:$V$23,$C59)=0,"Unit tidak dikenal",IF(SUMIFS(INPUT_DELAY!$E$5:$E$20000,INPUT_DELAY!$A$5:$A$20000,$A59,INPUT_DELAY!$B$5:$B$20000,$B59,INPUT_DELAY!$C$5:$C$20000,$C59)+IF($C59="SEMUA",0,SUMIFS(INPUT_DELAY!$E$5:$E$20000,INPUT_DELAY!$A$5:$A$20000,$A59,INPUT_DELAY!$B$5:$B$20000,$B59,INPUT_DELAY!$C$5:$C$20000,"SEMUA"))&gt;60,"Total jam ini &gt; 60 menit","OK"))))</f>
        <v/>
      </c>
    </row>
    <row r="60">
      <c r="A60" s="155" t="n">
        <v>46106</v>
      </c>
      <c r="B60" s="156" t="inlineStr">
        <is>
          <t>14-15</t>
        </is>
      </c>
      <c r="C60" s="156" t="inlineStr">
        <is>
          <t>EX-2101</t>
        </is>
      </c>
      <c r="D60" s="156" t="inlineStr">
        <is>
          <t>Breakdown</t>
        </is>
      </c>
      <c r="E60" s="156" t="n">
        <v>60</v>
      </c>
      <c r="F60" s="156" t="inlineStr">
        <is>
          <t>Cek hidrolik</t>
        </is>
      </c>
      <c r="G60" s="157">
        <f>IF($B60="","",IF(ISNA(MATCH($B60,MASTER_JAM!$Q$5:$Q$28,0)),"?",IF(MATCH($B60,MASTER_JAM!$Q$5:$Q$28,0)&lt;=12,"DS","NS")))</f>
        <v/>
      </c>
      <c r="H60" s="157">
        <f>IF($E60="","",IF($G60="?","Jam salah",IF(COUNTIF(MASTER_JAM!$V$5:$V$23,$C60)=0,"Unit tidak dikenal",IF(SUMIFS(INPUT_DELAY!$E$5:$E$20000,INPUT_DELAY!$A$5:$A$20000,$A60,INPUT_DELAY!$B$5:$B$20000,$B60,INPUT_DELAY!$C$5:$C$20000,$C60)+IF($C60="SEMUA",0,SUMIFS(INPUT_DELAY!$E$5:$E$20000,INPUT_DELAY!$A$5:$A$20000,$A60,INPUT_DELAY!$B$5:$B$20000,$B60,INPUT_DELAY!$C$5:$C$20000,"SEMUA"))&gt;60,"Total jam ini &gt; 60 menit","OK"))))</f>
        <v/>
      </c>
    </row>
    <row r="61">
      <c r="A61" s="155" t="n">
        <v>46106</v>
      </c>
      <c r="B61" s="156" t="inlineStr">
        <is>
          <t>12-13</t>
        </is>
      </c>
      <c r="C61" s="156" t="inlineStr">
        <is>
          <t>EX-336</t>
        </is>
      </c>
      <c r="D61" s="156" t="inlineStr">
        <is>
          <t>Breakdown</t>
        </is>
      </c>
      <c r="E61" s="156" t="n">
        <v>0</v>
      </c>
      <c r="F61" s="156" t="inlineStr">
        <is>
          <t>Engine overheat</t>
        </is>
      </c>
      <c r="G61" s="157">
        <f>IF($B61="","",IF(ISNA(MATCH($B61,MASTER_JAM!$Q$5:$Q$28,0)),"?",IF(MATCH($B61,MASTER_JAM!$Q$5:$Q$28,0)&lt;=12,"DS","NS")))</f>
        <v/>
      </c>
      <c r="H61" s="157">
        <f>IF($E61="","",IF($G61="?","Jam salah",IF(COUNTIF(MASTER_JAM!$V$5:$V$23,$C61)=0,"Unit tidak dikenal",IF(SUMIFS(INPUT_DELAY!$E$5:$E$20000,INPUT_DELAY!$A$5:$A$20000,$A61,INPUT_DELAY!$B$5:$B$20000,$B61,INPUT_DELAY!$C$5:$C$20000,$C61)+IF($C61="SEMUA",0,SUMIFS(INPUT_DELAY!$E$5:$E$20000,INPUT_DELAY!$A$5:$A$20000,$A61,INPUT_DELAY!$B$5:$B$20000,$B61,INPUT_DELAY!$C$5:$C$20000,"SEMUA"))&gt;60,"Total jam ini &gt; 60 menit","OK"))))</f>
        <v/>
      </c>
    </row>
    <row r="62">
      <c r="A62" s="155" t="n">
        <v>46106</v>
      </c>
      <c r="B62" s="156" t="inlineStr">
        <is>
          <t>08-09</t>
        </is>
      </c>
      <c r="C62" s="156" t="inlineStr">
        <is>
          <t>EX-336</t>
        </is>
      </c>
      <c r="D62" s="156" t="inlineStr">
        <is>
          <t>Standby</t>
        </is>
      </c>
      <c r="E62" s="156" t="n">
        <v>57</v>
      </c>
      <c r="F62" s="156" t="inlineStr">
        <is>
          <t>Tunggu dozer</t>
        </is>
      </c>
      <c r="G62" s="157">
        <f>IF($B62="","",IF(ISNA(MATCH($B62,MASTER_JAM!$Q$5:$Q$28,0)),"?",IF(MATCH($B62,MASTER_JAM!$Q$5:$Q$28,0)&lt;=12,"DS","NS")))</f>
        <v/>
      </c>
      <c r="H62" s="157">
        <f>IF($E62="","",IF($G62="?","Jam salah",IF(COUNTIF(MASTER_JAM!$V$5:$V$23,$C62)=0,"Unit tidak dikenal",IF(SUMIFS(INPUT_DELAY!$E$5:$E$20000,INPUT_DELAY!$A$5:$A$20000,$A62,INPUT_DELAY!$B$5:$B$20000,$B62,INPUT_DELAY!$C$5:$C$20000,$C62)+IF($C62="SEMUA",0,SUMIFS(INPUT_DELAY!$E$5:$E$20000,INPUT_DELAY!$A$5:$A$20000,$A62,INPUT_DELAY!$B$5:$B$20000,$B62,INPUT_DELAY!$C$5:$C$20000,"SEMUA"))&gt;60,"Total jam ini &gt; 60 menit","OK"))))</f>
        <v/>
      </c>
    </row>
    <row r="63">
      <c r="A63" s="155" t="n">
        <v>46106</v>
      </c>
      <c r="B63" s="156" t="inlineStr">
        <is>
          <t>10-11</t>
        </is>
      </c>
      <c r="C63" s="156" t="inlineStr">
        <is>
          <t>EX-754</t>
        </is>
      </c>
      <c r="D63" s="156" t="inlineStr">
        <is>
          <t>Standby</t>
        </is>
      </c>
      <c r="E63" s="156" t="n">
        <v>9</v>
      </c>
      <c r="F63" s="156" t="inlineStr">
        <is>
          <t>Tunggu dozer</t>
        </is>
      </c>
      <c r="G63" s="157">
        <f>IF($B63="","",IF(ISNA(MATCH($B63,MASTER_JAM!$Q$5:$Q$28,0)),"?",IF(MATCH($B63,MASTER_JAM!$Q$5:$Q$28,0)&lt;=12,"DS","NS")))</f>
        <v/>
      </c>
      <c r="H63" s="157">
        <f>IF($E63="","",IF($G63="?","Jam salah",IF(COUNTIF(MASTER_JAM!$V$5:$V$23,$C63)=0,"Unit tidak dikenal",IF(SUMIFS(INPUT_DELAY!$E$5:$E$20000,INPUT_DELAY!$A$5:$A$20000,$A63,INPUT_DELAY!$B$5:$B$20000,$B63,INPUT_DELAY!$C$5:$C$20000,$C63)+IF($C63="SEMUA",0,SUMIFS(INPUT_DELAY!$E$5:$E$20000,INPUT_DELAY!$A$5:$A$20000,$A63,INPUT_DELAY!$B$5:$B$20000,$B63,INPUT_DELAY!$C$5:$C$20000,"SEMUA"))&gt;60,"Total jam ini &gt; 60 menit","OK"))))</f>
        <v/>
      </c>
    </row>
    <row r="64">
      <c r="A64" s="155" t="n">
        <v>46106</v>
      </c>
      <c r="B64" s="156" t="inlineStr">
        <is>
          <t>09-10</t>
        </is>
      </c>
      <c r="C64" s="156" t="inlineStr">
        <is>
          <t>EX-755</t>
        </is>
      </c>
      <c r="D64" s="156" t="inlineStr">
        <is>
          <t>Lainnya</t>
        </is>
      </c>
      <c r="E64" s="156" t="n">
        <v>23</v>
      </c>
      <c r="F64" s="156" t="inlineStr">
        <is>
          <t>Perbaikan jalan</t>
        </is>
      </c>
      <c r="G64" s="157">
        <f>IF($B64="","",IF(ISNA(MATCH($B64,MASTER_JAM!$Q$5:$Q$28,0)),"?",IF(MATCH($B64,MASTER_JAM!$Q$5:$Q$28,0)&lt;=12,"DS","NS")))</f>
        <v/>
      </c>
      <c r="H64" s="157">
        <f>IF($E64="","",IF($G64="?","Jam salah",IF(COUNTIF(MASTER_JAM!$V$5:$V$23,$C64)=0,"Unit tidak dikenal",IF(SUMIFS(INPUT_DELAY!$E$5:$E$20000,INPUT_DELAY!$A$5:$A$20000,$A64,INPUT_DELAY!$B$5:$B$20000,$B64,INPUT_DELAY!$C$5:$C$20000,$C64)+IF($C64="SEMUA",0,SUMIFS(INPUT_DELAY!$E$5:$E$20000,INPUT_DELAY!$A$5:$A$20000,$A64,INPUT_DELAY!$B$5:$B$20000,$B64,INPUT_DELAY!$C$5:$C$20000,"SEMUA"))&gt;60,"Total jam ini &gt; 60 menit","OK"))))</f>
        <v/>
      </c>
    </row>
    <row r="65">
      <c r="A65" s="155" t="n">
        <v>46106</v>
      </c>
      <c r="B65" s="156" t="inlineStr">
        <is>
          <t>18-19</t>
        </is>
      </c>
      <c r="C65" s="156" t="inlineStr">
        <is>
          <t>SEMUA</t>
        </is>
      </c>
      <c r="D65" s="156" t="inlineStr">
        <is>
          <t>P2H / Ganti shift</t>
        </is>
      </c>
      <c r="E65" s="156" t="n">
        <v>5</v>
      </c>
      <c r="F65" s="156" t="inlineStr"/>
      <c r="G65" s="157">
        <f>IF($B65="","",IF(ISNA(MATCH($B65,MASTER_JAM!$Q$5:$Q$28,0)),"?",IF(MATCH($B65,MASTER_JAM!$Q$5:$Q$28,0)&lt;=12,"DS","NS")))</f>
        <v/>
      </c>
      <c r="H65" s="157">
        <f>IF($E65="","",IF($G65="?","Jam salah",IF(COUNTIF(MASTER_JAM!$V$5:$V$23,$C65)=0,"Unit tidak dikenal",IF(SUMIFS(INPUT_DELAY!$E$5:$E$20000,INPUT_DELAY!$A$5:$A$20000,$A65,INPUT_DELAY!$B$5:$B$20000,$B65,INPUT_DELAY!$C$5:$C$20000,$C65)+IF($C65="SEMUA",0,SUMIFS(INPUT_DELAY!$E$5:$E$20000,INPUT_DELAY!$A$5:$A$20000,$A65,INPUT_DELAY!$B$5:$B$20000,$B65,INPUT_DELAY!$C$5:$C$20000,"SEMUA"))&gt;60,"Total jam ini &gt; 60 menit","OK"))))</f>
        <v/>
      </c>
    </row>
    <row r="66">
      <c r="A66" s="155" t="n">
        <v>46106</v>
      </c>
      <c r="B66" s="156" t="inlineStr">
        <is>
          <t>20-21</t>
        </is>
      </c>
      <c r="C66" s="156" t="inlineStr">
        <is>
          <t>SEMUA</t>
        </is>
      </c>
      <c r="D66" s="156" t="inlineStr">
        <is>
          <t>Rain</t>
        </is>
      </c>
      <c r="E66" s="156" t="n">
        <v>60</v>
      </c>
      <c r="F66" s="156" t="inlineStr">
        <is>
          <t>Hujan</t>
        </is>
      </c>
      <c r="G66" s="157">
        <f>IF($B66="","",IF(ISNA(MATCH($B66,MASTER_JAM!$Q$5:$Q$28,0)),"?",IF(MATCH($B66,MASTER_JAM!$Q$5:$Q$28,0)&lt;=12,"DS","NS")))</f>
        <v/>
      </c>
      <c r="H66" s="157">
        <f>IF($E66="","",IF($G66="?","Jam salah",IF(COUNTIF(MASTER_JAM!$V$5:$V$23,$C66)=0,"Unit tidak dikenal",IF(SUMIFS(INPUT_DELAY!$E$5:$E$20000,INPUT_DELAY!$A$5:$A$20000,$A66,INPUT_DELAY!$B$5:$B$20000,$B66,INPUT_DELAY!$C$5:$C$20000,$C66)+IF($C66="SEMUA",0,SUMIFS(INPUT_DELAY!$E$5:$E$20000,INPUT_DELAY!$A$5:$A$20000,$A66,INPUT_DELAY!$B$5:$B$20000,$B66,INPUT_DELAY!$C$5:$C$20000,"SEMUA"))&gt;60,"Total jam ini &gt; 60 menit","OK"))))</f>
        <v/>
      </c>
    </row>
    <row r="67">
      <c r="A67" s="155" t="n">
        <v>46106</v>
      </c>
      <c r="B67" s="156" t="inlineStr">
        <is>
          <t>21-22</t>
        </is>
      </c>
      <c r="C67" s="156" t="inlineStr">
        <is>
          <t>SEMUA</t>
        </is>
      </c>
      <c r="D67" s="156" t="inlineStr">
        <is>
          <t>Rain</t>
        </is>
      </c>
      <c r="E67" s="156" t="n">
        <v>30</v>
      </c>
      <c r="F67" s="156" t="inlineStr">
        <is>
          <t>Hujan</t>
        </is>
      </c>
      <c r="G67" s="157">
        <f>IF($B67="","",IF(ISNA(MATCH($B67,MASTER_JAM!$Q$5:$Q$28,0)),"?",IF(MATCH($B67,MASTER_JAM!$Q$5:$Q$28,0)&lt;=12,"DS","NS")))</f>
        <v/>
      </c>
      <c r="H67" s="157">
        <f>IF($E67="","",IF($G67="?","Jam salah",IF(COUNTIF(MASTER_JAM!$V$5:$V$23,$C67)=0,"Unit tidak dikenal",IF(SUMIFS(INPUT_DELAY!$E$5:$E$20000,INPUT_DELAY!$A$5:$A$20000,$A67,INPUT_DELAY!$B$5:$B$20000,$B67,INPUT_DELAY!$C$5:$C$20000,$C67)+IF($C67="SEMUA",0,SUMIFS(INPUT_DELAY!$E$5:$E$20000,INPUT_DELAY!$A$5:$A$20000,$A67,INPUT_DELAY!$B$5:$B$20000,$B67,INPUT_DELAY!$C$5:$C$20000,"SEMUA"))&gt;60,"Total jam ini &gt; 60 menit","OK"))))</f>
        <v/>
      </c>
    </row>
    <row r="68">
      <c r="A68" s="155" t="n">
        <v>46106</v>
      </c>
      <c r="B68" s="156" t="inlineStr">
        <is>
          <t>00-01</t>
        </is>
      </c>
      <c r="C68" s="156" t="inlineStr">
        <is>
          <t>SEMUA</t>
        </is>
      </c>
      <c r="D68" s="156" t="inlineStr">
        <is>
          <t>Istirahat</t>
        </is>
      </c>
      <c r="E68" s="156" t="n">
        <v>60</v>
      </c>
      <c r="F68" s="156" t="inlineStr"/>
      <c r="G68" s="157">
        <f>IF($B68="","",IF(ISNA(MATCH($B68,MASTER_JAM!$Q$5:$Q$28,0)),"?",IF(MATCH($B68,MASTER_JAM!$Q$5:$Q$28,0)&lt;=12,"DS","NS")))</f>
        <v/>
      </c>
      <c r="H68" s="157">
        <f>IF($E68="","",IF($G68="?","Jam salah",IF(COUNTIF(MASTER_JAM!$V$5:$V$23,$C68)=0,"Unit tidak dikenal",IF(SUMIFS(INPUT_DELAY!$E$5:$E$20000,INPUT_DELAY!$A$5:$A$20000,$A68,INPUT_DELAY!$B$5:$B$20000,$B68,INPUT_DELAY!$C$5:$C$20000,$C68)+IF($C68="SEMUA",0,SUMIFS(INPUT_DELAY!$E$5:$E$20000,INPUT_DELAY!$A$5:$A$20000,$A68,INPUT_DELAY!$B$5:$B$20000,$B68,INPUT_DELAY!$C$5:$C$20000,"SEMUA"))&gt;60,"Total jam ini &gt; 60 menit","OK"))))</f>
        <v/>
      </c>
    </row>
    <row r="69">
      <c r="A69" s="155" t="n">
        <v>46106</v>
      </c>
      <c r="B69" s="156" t="inlineStr">
        <is>
          <t>22-23</t>
        </is>
      </c>
      <c r="C69" s="156" t="inlineStr">
        <is>
          <t>EX-336</t>
        </is>
      </c>
      <c r="D69" s="156" t="inlineStr">
        <is>
          <t>Lainnya</t>
        </is>
      </c>
      <c r="E69" s="156" t="n">
        <v>50</v>
      </c>
      <c r="F69" s="156" t="inlineStr">
        <is>
          <t>Pindah front</t>
        </is>
      </c>
      <c r="G69" s="157">
        <f>IF($B69="","",IF(ISNA(MATCH($B69,MASTER_JAM!$Q$5:$Q$28,0)),"?",IF(MATCH($B69,MASTER_JAM!$Q$5:$Q$28,0)&lt;=12,"DS","NS")))</f>
        <v/>
      </c>
      <c r="H69" s="157">
        <f>IF($E69="","",IF($G69="?","Jam salah",IF(COUNTIF(MASTER_JAM!$V$5:$V$23,$C69)=0,"Unit tidak dikenal",IF(SUMIFS(INPUT_DELAY!$E$5:$E$20000,INPUT_DELAY!$A$5:$A$20000,$A69,INPUT_DELAY!$B$5:$B$20000,$B69,INPUT_DELAY!$C$5:$C$20000,$C69)+IF($C69="SEMUA",0,SUMIFS(INPUT_DELAY!$E$5:$E$20000,INPUT_DELAY!$A$5:$A$20000,$A69,INPUT_DELAY!$B$5:$B$20000,$B69,INPUT_DELAY!$C$5:$C$20000,"SEMUA"))&gt;60,"Total jam ini &gt; 60 menit","OK"))))</f>
        <v/>
      </c>
    </row>
    <row r="70">
      <c r="A70" s="155" t="n">
        <v>46106</v>
      </c>
      <c r="B70" s="156" t="inlineStr">
        <is>
          <t>00-01</t>
        </is>
      </c>
      <c r="C70" s="156" t="inlineStr">
        <is>
          <t>EX-754</t>
        </is>
      </c>
      <c r="D70" s="156" t="inlineStr">
        <is>
          <t>Breakdown</t>
        </is>
      </c>
      <c r="E70" s="156" t="n">
        <v>0</v>
      </c>
      <c r="F70" s="156" t="inlineStr">
        <is>
          <t>Cek hidrolik</t>
        </is>
      </c>
      <c r="G70" s="157">
        <f>IF($B70="","",IF(ISNA(MATCH($B70,MASTER_JAM!$Q$5:$Q$28,0)),"?",IF(MATCH($B70,MASTER_JAM!$Q$5:$Q$28,0)&lt;=12,"DS","NS")))</f>
        <v/>
      </c>
      <c r="H70" s="157">
        <f>IF($E70="","",IF($G70="?","Jam salah",IF(COUNTIF(MASTER_JAM!$V$5:$V$23,$C70)=0,"Unit tidak dikenal",IF(SUMIFS(INPUT_DELAY!$E$5:$E$20000,INPUT_DELAY!$A$5:$A$20000,$A70,INPUT_DELAY!$B$5:$B$20000,$B70,INPUT_DELAY!$C$5:$C$20000,$C70)+IF($C70="SEMUA",0,SUMIFS(INPUT_DELAY!$E$5:$E$20000,INPUT_DELAY!$A$5:$A$20000,$A70,INPUT_DELAY!$B$5:$B$20000,$B70,INPUT_DELAY!$C$5:$C$20000,"SEMUA"))&gt;60,"Total jam ini &gt; 60 menit","OK"))))</f>
        <v/>
      </c>
    </row>
    <row r="71">
      <c r="A71" s="155" t="n">
        <v>46106</v>
      </c>
      <c r="B71" s="156" t="inlineStr">
        <is>
          <t>01-02</t>
        </is>
      </c>
      <c r="C71" s="156" t="inlineStr">
        <is>
          <t>EX-754</t>
        </is>
      </c>
      <c r="D71" s="156" t="inlineStr">
        <is>
          <t>Breakdown</t>
        </is>
      </c>
      <c r="E71" s="156" t="n">
        <v>60</v>
      </c>
      <c r="F71" s="156" t="inlineStr">
        <is>
          <t>Cek hidrolik</t>
        </is>
      </c>
      <c r="G71" s="157">
        <f>IF($B71="","",IF(ISNA(MATCH($B71,MASTER_JAM!$Q$5:$Q$28,0)),"?",IF(MATCH($B71,MASTER_JAM!$Q$5:$Q$28,0)&lt;=12,"DS","NS")))</f>
        <v/>
      </c>
      <c r="H71" s="157">
        <f>IF($E71="","",IF($G71="?","Jam salah",IF(COUNTIF(MASTER_JAM!$V$5:$V$23,$C71)=0,"Unit tidak dikenal",IF(SUMIFS(INPUT_DELAY!$E$5:$E$20000,INPUT_DELAY!$A$5:$A$20000,$A71,INPUT_DELAY!$B$5:$B$20000,$B71,INPUT_DELAY!$C$5:$C$20000,$C71)+IF($C71="SEMUA",0,SUMIFS(INPUT_DELAY!$E$5:$E$20000,INPUT_DELAY!$A$5:$A$20000,$A71,INPUT_DELAY!$B$5:$B$20000,$B71,INPUT_DELAY!$C$5:$C$20000,"SEMUA"))&gt;60,"Total jam ini &gt; 60 menit","OK"))))</f>
        <v/>
      </c>
    </row>
    <row r="72">
      <c r="A72" s="155" t="n">
        <v>46106</v>
      </c>
      <c r="B72" s="156" t="inlineStr">
        <is>
          <t>03-04</t>
        </is>
      </c>
      <c r="C72" s="156" t="inlineStr">
        <is>
          <t>EX-754</t>
        </is>
      </c>
      <c r="D72" s="156" t="inlineStr">
        <is>
          <t>Breakdown</t>
        </is>
      </c>
      <c r="E72" s="156" t="n">
        <v>60</v>
      </c>
      <c r="F72" s="156" t="inlineStr">
        <is>
          <t>Engine overheat</t>
        </is>
      </c>
      <c r="G72" s="157">
        <f>IF($B72="","",IF(ISNA(MATCH($B72,MASTER_JAM!$Q$5:$Q$28,0)),"?",IF(MATCH($B72,MASTER_JAM!$Q$5:$Q$28,0)&lt;=12,"DS","NS")))</f>
        <v/>
      </c>
      <c r="H72" s="157">
        <f>IF($E72="","",IF($G72="?","Jam salah",IF(COUNTIF(MASTER_JAM!$V$5:$V$23,$C72)=0,"Unit tidak dikenal",IF(SUMIFS(INPUT_DELAY!$E$5:$E$20000,INPUT_DELAY!$A$5:$A$20000,$A72,INPUT_DELAY!$B$5:$B$20000,$B72,INPUT_DELAY!$C$5:$C$20000,$C72)+IF($C72="SEMUA",0,SUMIFS(INPUT_DELAY!$E$5:$E$20000,INPUT_DELAY!$A$5:$A$20000,$A72,INPUT_DELAY!$B$5:$B$20000,$B72,INPUT_DELAY!$C$5:$C$20000,"SEMUA"))&gt;60,"Total jam ini &gt; 60 menit","OK"))))</f>
        <v/>
      </c>
    </row>
    <row r="73">
      <c r="A73" s="155" t="n">
        <v>46106</v>
      </c>
      <c r="B73" s="156" t="inlineStr">
        <is>
          <t>02-03</t>
        </is>
      </c>
      <c r="C73" s="156" t="inlineStr">
        <is>
          <t>EX-754</t>
        </is>
      </c>
      <c r="D73" s="156" t="inlineStr">
        <is>
          <t>Breakdown</t>
        </is>
      </c>
      <c r="E73" s="156" t="n">
        <v>60</v>
      </c>
      <c r="F73" s="156" t="inlineStr">
        <is>
          <t>Cek hidrolik</t>
        </is>
      </c>
      <c r="G73" s="157">
        <f>IF($B73="","",IF(ISNA(MATCH($B73,MASTER_JAM!$Q$5:$Q$28,0)),"?",IF(MATCH($B73,MASTER_JAM!$Q$5:$Q$28,0)&lt;=12,"DS","NS")))</f>
        <v/>
      </c>
      <c r="H73" s="157">
        <f>IF($E73="","",IF($G73="?","Jam salah",IF(COUNTIF(MASTER_JAM!$V$5:$V$23,$C73)=0,"Unit tidak dikenal",IF(SUMIFS(INPUT_DELAY!$E$5:$E$20000,INPUT_DELAY!$A$5:$A$20000,$A73,INPUT_DELAY!$B$5:$B$20000,$B73,INPUT_DELAY!$C$5:$C$20000,$C73)+IF($C73="SEMUA",0,SUMIFS(INPUT_DELAY!$E$5:$E$20000,INPUT_DELAY!$A$5:$A$20000,$A73,INPUT_DELAY!$B$5:$B$20000,$B73,INPUT_DELAY!$C$5:$C$20000,"SEMUA"))&gt;60,"Total jam ini &gt; 60 menit","OK"))))</f>
        <v/>
      </c>
    </row>
    <row r="74">
      <c r="A74" s="155" t="n">
        <v>46106</v>
      </c>
      <c r="B74" s="156" t="inlineStr">
        <is>
          <t>23-24</t>
        </is>
      </c>
      <c r="C74" s="156" t="inlineStr">
        <is>
          <t>EX-754</t>
        </is>
      </c>
      <c r="D74" s="156" t="inlineStr">
        <is>
          <t>Breakdown</t>
        </is>
      </c>
      <c r="E74" s="156" t="n">
        <v>60</v>
      </c>
      <c r="F74" s="156" t="inlineStr">
        <is>
          <t>Engine overheat</t>
        </is>
      </c>
      <c r="G74" s="157">
        <f>IF($B74="","",IF(ISNA(MATCH($B74,MASTER_JAM!$Q$5:$Q$28,0)),"?",IF(MATCH($B74,MASTER_JAM!$Q$5:$Q$28,0)&lt;=12,"DS","NS")))</f>
        <v/>
      </c>
      <c r="H74" s="157">
        <f>IF($E74="","",IF($G74="?","Jam salah",IF(COUNTIF(MASTER_JAM!$V$5:$V$23,$C74)=0,"Unit tidak dikenal",IF(SUMIFS(INPUT_DELAY!$E$5:$E$20000,INPUT_DELAY!$A$5:$A$20000,$A74,INPUT_DELAY!$B$5:$B$20000,$B74,INPUT_DELAY!$C$5:$C$20000,$C74)+IF($C74="SEMUA",0,SUMIFS(INPUT_DELAY!$E$5:$E$20000,INPUT_DELAY!$A$5:$A$20000,$A74,INPUT_DELAY!$B$5:$B$20000,$B74,INPUT_DELAY!$C$5:$C$20000,"SEMUA"))&gt;60,"Total jam ini &gt; 60 menit","OK"))))</f>
        <v/>
      </c>
    </row>
    <row r="75">
      <c r="A75" s="155" t="n">
        <v>46106</v>
      </c>
      <c r="B75" s="156" t="inlineStr">
        <is>
          <t>05-06</t>
        </is>
      </c>
      <c r="C75" s="156" t="inlineStr">
        <is>
          <t>EX-754</t>
        </is>
      </c>
      <c r="D75" s="156" t="inlineStr">
        <is>
          <t>Standby</t>
        </is>
      </c>
      <c r="E75" s="156" t="n">
        <v>54</v>
      </c>
      <c r="F75" s="156" t="inlineStr">
        <is>
          <t>Pindah front</t>
        </is>
      </c>
      <c r="G75" s="157">
        <f>IF($B75="","",IF(ISNA(MATCH($B75,MASTER_JAM!$Q$5:$Q$28,0)),"?",IF(MATCH($B75,MASTER_JAM!$Q$5:$Q$28,0)&lt;=12,"DS","NS")))</f>
        <v/>
      </c>
      <c r="H75" s="157">
        <f>IF($E75="","",IF($G75="?","Jam salah",IF(COUNTIF(MASTER_JAM!$V$5:$V$23,$C75)=0,"Unit tidak dikenal",IF(SUMIFS(INPUT_DELAY!$E$5:$E$20000,INPUT_DELAY!$A$5:$A$20000,$A75,INPUT_DELAY!$B$5:$B$20000,$B75,INPUT_DELAY!$C$5:$C$20000,$C75)+IF($C75="SEMUA",0,SUMIFS(INPUT_DELAY!$E$5:$E$20000,INPUT_DELAY!$A$5:$A$20000,$A75,INPUT_DELAY!$B$5:$B$20000,$B75,INPUT_DELAY!$C$5:$C$20000,"SEMUA"))&gt;60,"Total jam ini &gt; 60 menit","OK"))))</f>
        <v/>
      </c>
    </row>
    <row r="76">
      <c r="A76" s="155" t="n">
        <v>46106</v>
      </c>
      <c r="B76" s="156" t="inlineStr">
        <is>
          <t>05-06</t>
        </is>
      </c>
      <c r="C76" s="156" t="inlineStr">
        <is>
          <t>EX-755</t>
        </is>
      </c>
      <c r="D76" s="156" t="inlineStr">
        <is>
          <t>Lainnya</t>
        </is>
      </c>
      <c r="E76" s="156" t="n">
        <v>26</v>
      </c>
      <c r="F76" s="156" t="inlineStr">
        <is>
          <t>Perbaikan jalan</t>
        </is>
      </c>
      <c r="G76" s="157">
        <f>IF($B76="","",IF(ISNA(MATCH($B76,MASTER_JAM!$Q$5:$Q$28,0)),"?",IF(MATCH($B76,MASTER_JAM!$Q$5:$Q$28,0)&lt;=12,"DS","NS")))</f>
        <v/>
      </c>
      <c r="H76" s="157">
        <f>IF($E76="","",IF($G76="?","Jam salah",IF(COUNTIF(MASTER_JAM!$V$5:$V$23,$C76)=0,"Unit tidak dikenal",IF(SUMIFS(INPUT_DELAY!$E$5:$E$20000,INPUT_DELAY!$A$5:$A$20000,$A76,INPUT_DELAY!$B$5:$B$20000,$B76,INPUT_DELAY!$C$5:$C$20000,$C76)+IF($C76="SEMUA",0,SUMIFS(INPUT_DELAY!$E$5:$E$20000,INPUT_DELAY!$A$5:$A$20000,$A76,INPUT_DELAY!$B$5:$B$20000,$B76,INPUT_DELAY!$C$5:$C$20000,"SEMUA"))&gt;60,"Total jam ini &gt; 60 menit","OK"))))</f>
        <v/>
      </c>
    </row>
    <row r="77">
      <c r="A77" s="155" t="n">
        <v>46106</v>
      </c>
      <c r="B77" s="156" t="inlineStr">
        <is>
          <t>02-03</t>
        </is>
      </c>
      <c r="C77" s="156" t="inlineStr">
        <is>
          <t>EX-753</t>
        </is>
      </c>
      <c r="D77" s="156" t="inlineStr">
        <is>
          <t>Standby</t>
        </is>
      </c>
      <c r="E77" s="156" t="n">
        <v>8</v>
      </c>
      <c r="F77" s="156" t="inlineStr">
        <is>
          <t>Pindah front</t>
        </is>
      </c>
      <c r="G77" s="157">
        <f>IF($B77="","",IF(ISNA(MATCH($B77,MASTER_JAM!$Q$5:$Q$28,0)),"?",IF(MATCH($B77,MASTER_JAM!$Q$5:$Q$28,0)&lt;=12,"DS","NS")))</f>
        <v/>
      </c>
      <c r="H77" s="157">
        <f>IF($E77="","",IF($G77="?","Jam salah",IF(COUNTIF(MASTER_JAM!$V$5:$V$23,$C77)=0,"Unit tidak dikenal",IF(SUMIFS(INPUT_DELAY!$E$5:$E$20000,INPUT_DELAY!$A$5:$A$20000,$A77,INPUT_DELAY!$B$5:$B$20000,$B77,INPUT_DELAY!$C$5:$C$20000,$C77)+IF($C77="SEMUA",0,SUMIFS(INPUT_DELAY!$E$5:$E$20000,INPUT_DELAY!$A$5:$A$20000,$A77,INPUT_DELAY!$B$5:$B$20000,$B77,INPUT_DELAY!$C$5:$C$20000,"SEMUA"))&gt;60,"Total jam ini &gt; 60 menit","OK"))))</f>
        <v/>
      </c>
    </row>
    <row r="78">
      <c r="A78" s="155" t="n">
        <v>46107</v>
      </c>
      <c r="B78" s="156" t="inlineStr">
        <is>
          <t>06-07</t>
        </is>
      </c>
      <c r="C78" s="156" t="inlineStr">
        <is>
          <t>SEMUA</t>
        </is>
      </c>
      <c r="D78" s="156" t="inlineStr">
        <is>
          <t>P2H / Ganti shift</t>
        </is>
      </c>
      <c r="E78" s="156" t="n">
        <v>5</v>
      </c>
      <c r="F78" s="156" t="inlineStr"/>
      <c r="G78" s="157">
        <f>IF($B78="","",IF(ISNA(MATCH($B78,MASTER_JAM!$Q$5:$Q$28,0)),"?",IF(MATCH($B78,MASTER_JAM!$Q$5:$Q$28,0)&lt;=12,"DS","NS")))</f>
        <v/>
      </c>
      <c r="H78" s="157">
        <f>IF($E78="","",IF($G78="?","Jam salah",IF(COUNTIF(MASTER_JAM!$V$5:$V$23,$C78)=0,"Unit tidak dikenal",IF(SUMIFS(INPUT_DELAY!$E$5:$E$20000,INPUT_DELAY!$A$5:$A$20000,$A78,INPUT_DELAY!$B$5:$B$20000,$B78,INPUT_DELAY!$C$5:$C$20000,$C78)+IF($C78="SEMUA",0,SUMIFS(INPUT_DELAY!$E$5:$E$20000,INPUT_DELAY!$A$5:$A$20000,$A78,INPUT_DELAY!$B$5:$B$20000,$B78,INPUT_DELAY!$C$5:$C$20000,"SEMUA"))&gt;60,"Total jam ini &gt; 60 menit","OK"))))</f>
        <v/>
      </c>
    </row>
    <row r="79">
      <c r="A79" s="155" t="n">
        <v>46107</v>
      </c>
      <c r="B79" s="156" t="inlineStr">
        <is>
          <t>12-13</t>
        </is>
      </c>
      <c r="C79" s="156" t="inlineStr">
        <is>
          <t>SEMUA</t>
        </is>
      </c>
      <c r="D79" s="156" t="inlineStr">
        <is>
          <t>Istirahat</t>
        </is>
      </c>
      <c r="E79" s="156" t="n">
        <v>60</v>
      </c>
      <c r="F79" s="156" t="inlineStr"/>
      <c r="G79" s="157">
        <f>IF($B79="","",IF(ISNA(MATCH($B79,MASTER_JAM!$Q$5:$Q$28,0)),"?",IF(MATCH($B79,MASTER_JAM!$Q$5:$Q$28,0)&lt;=12,"DS","NS")))</f>
        <v/>
      </c>
      <c r="H79" s="157">
        <f>IF($E79="","",IF($G79="?","Jam salah",IF(COUNTIF(MASTER_JAM!$V$5:$V$23,$C79)=0,"Unit tidak dikenal",IF(SUMIFS(INPUT_DELAY!$E$5:$E$20000,INPUT_DELAY!$A$5:$A$20000,$A79,INPUT_DELAY!$B$5:$B$20000,$B79,INPUT_DELAY!$C$5:$C$20000,$C79)+IF($C79="SEMUA",0,SUMIFS(INPUT_DELAY!$E$5:$E$20000,INPUT_DELAY!$A$5:$A$20000,$A79,INPUT_DELAY!$B$5:$B$20000,$B79,INPUT_DELAY!$C$5:$C$20000,"SEMUA"))&gt;60,"Total jam ini &gt; 60 menit","OK"))))</f>
        <v/>
      </c>
    </row>
    <row r="80">
      <c r="A80" s="155" t="n">
        <v>46107</v>
      </c>
      <c r="B80" s="156" t="inlineStr">
        <is>
          <t>16-17</t>
        </is>
      </c>
      <c r="C80" s="156" t="inlineStr">
        <is>
          <t>EX-1251</t>
        </is>
      </c>
      <c r="D80" s="156" t="inlineStr">
        <is>
          <t>Lainnya</t>
        </is>
      </c>
      <c r="E80" s="156" t="n">
        <v>21</v>
      </c>
      <c r="F80" s="156" t="inlineStr">
        <is>
          <t>Pindah front</t>
        </is>
      </c>
      <c r="G80" s="157">
        <f>IF($B80="","",IF(ISNA(MATCH($B80,MASTER_JAM!$Q$5:$Q$28,0)),"?",IF(MATCH($B80,MASTER_JAM!$Q$5:$Q$28,0)&lt;=12,"DS","NS")))</f>
        <v/>
      </c>
      <c r="H80" s="157">
        <f>IF($E80="","",IF($G80="?","Jam salah",IF(COUNTIF(MASTER_JAM!$V$5:$V$23,$C80)=0,"Unit tidak dikenal",IF(SUMIFS(INPUT_DELAY!$E$5:$E$20000,INPUT_DELAY!$A$5:$A$20000,$A80,INPUT_DELAY!$B$5:$B$20000,$B80,INPUT_DELAY!$C$5:$C$20000,$C80)+IF($C80="SEMUA",0,SUMIFS(INPUT_DELAY!$E$5:$E$20000,INPUT_DELAY!$A$5:$A$20000,$A80,INPUT_DELAY!$B$5:$B$20000,$B80,INPUT_DELAY!$C$5:$C$20000,"SEMUA"))&gt;60,"Total jam ini &gt; 60 menit","OK"))))</f>
        <v/>
      </c>
    </row>
    <row r="81">
      <c r="A81" s="155" t="n">
        <v>46107</v>
      </c>
      <c r="B81" s="156" t="inlineStr">
        <is>
          <t>10-11</t>
        </is>
      </c>
      <c r="C81" s="156" t="inlineStr">
        <is>
          <t>EX-1252</t>
        </is>
      </c>
      <c r="D81" s="156" t="inlineStr">
        <is>
          <t>Breakdown</t>
        </is>
      </c>
      <c r="E81" s="156" t="n">
        <v>60</v>
      </c>
      <c r="F81" s="156" t="inlineStr">
        <is>
          <t>Cek hidrolik</t>
        </is>
      </c>
      <c r="G81" s="157">
        <f>IF($B81="","",IF(ISNA(MATCH($B81,MASTER_JAM!$Q$5:$Q$28,0)),"?",IF(MATCH($B81,MASTER_JAM!$Q$5:$Q$28,0)&lt;=12,"DS","NS")))</f>
        <v/>
      </c>
      <c r="H81" s="157">
        <f>IF($E81="","",IF($G81="?","Jam salah",IF(COUNTIF(MASTER_JAM!$V$5:$V$23,$C81)=0,"Unit tidak dikenal",IF(SUMIFS(INPUT_DELAY!$E$5:$E$20000,INPUT_DELAY!$A$5:$A$20000,$A81,INPUT_DELAY!$B$5:$B$20000,$B81,INPUT_DELAY!$C$5:$C$20000,$C81)+IF($C81="SEMUA",0,SUMIFS(INPUT_DELAY!$E$5:$E$20000,INPUT_DELAY!$A$5:$A$20000,$A81,INPUT_DELAY!$B$5:$B$20000,$B81,INPUT_DELAY!$C$5:$C$20000,"SEMUA"))&gt;60,"Total jam ini &gt; 60 menit","OK"))))</f>
        <v/>
      </c>
    </row>
    <row r="82">
      <c r="A82" s="155" t="n">
        <v>46107</v>
      </c>
      <c r="B82" s="156" t="inlineStr">
        <is>
          <t>11-12</t>
        </is>
      </c>
      <c r="C82" s="156" t="inlineStr">
        <is>
          <t>EX-1252</t>
        </is>
      </c>
      <c r="D82" s="156" t="inlineStr">
        <is>
          <t>Breakdown</t>
        </is>
      </c>
      <c r="E82" s="156" t="n">
        <v>60</v>
      </c>
      <c r="F82" s="156" t="inlineStr">
        <is>
          <t>Track adjust</t>
        </is>
      </c>
      <c r="G82" s="157">
        <f>IF($B82="","",IF(ISNA(MATCH($B82,MASTER_JAM!$Q$5:$Q$28,0)),"?",IF(MATCH($B82,MASTER_JAM!$Q$5:$Q$28,0)&lt;=12,"DS","NS")))</f>
        <v/>
      </c>
      <c r="H82" s="157">
        <f>IF($E82="","",IF($G82="?","Jam salah",IF(COUNTIF(MASTER_JAM!$V$5:$V$23,$C82)=0,"Unit tidak dikenal",IF(SUMIFS(INPUT_DELAY!$E$5:$E$20000,INPUT_DELAY!$A$5:$A$20000,$A82,INPUT_DELAY!$B$5:$B$20000,$B82,INPUT_DELAY!$C$5:$C$20000,$C82)+IF($C82="SEMUA",0,SUMIFS(INPUT_DELAY!$E$5:$E$20000,INPUT_DELAY!$A$5:$A$20000,$A82,INPUT_DELAY!$B$5:$B$20000,$B82,INPUT_DELAY!$C$5:$C$20000,"SEMUA"))&gt;60,"Total jam ini &gt; 60 menit","OK"))))</f>
        <v/>
      </c>
    </row>
    <row r="83">
      <c r="A83" s="155" t="n">
        <v>46107</v>
      </c>
      <c r="B83" s="156" t="inlineStr">
        <is>
          <t>17-18</t>
        </is>
      </c>
      <c r="C83" s="156" t="inlineStr">
        <is>
          <t>EX-1252</t>
        </is>
      </c>
      <c r="D83" s="156" t="inlineStr">
        <is>
          <t>Standby</t>
        </is>
      </c>
      <c r="E83" s="156" t="n">
        <v>50</v>
      </c>
      <c r="F83" s="156" t="inlineStr">
        <is>
          <t>Tunggu hauler</t>
        </is>
      </c>
      <c r="G83" s="157">
        <f>IF($B83="","",IF(ISNA(MATCH($B83,MASTER_JAM!$Q$5:$Q$28,0)),"?",IF(MATCH($B83,MASTER_JAM!$Q$5:$Q$28,0)&lt;=12,"DS","NS")))</f>
        <v/>
      </c>
      <c r="H83" s="157">
        <f>IF($E83="","",IF($G83="?","Jam salah",IF(COUNTIF(MASTER_JAM!$V$5:$V$23,$C83)=0,"Unit tidak dikenal",IF(SUMIFS(INPUT_DELAY!$E$5:$E$20000,INPUT_DELAY!$A$5:$A$20000,$A83,INPUT_DELAY!$B$5:$B$20000,$B83,INPUT_DELAY!$C$5:$C$20000,$C83)+IF($C83="SEMUA",0,SUMIFS(INPUT_DELAY!$E$5:$E$20000,INPUT_DELAY!$A$5:$A$20000,$A83,INPUT_DELAY!$B$5:$B$20000,$B83,INPUT_DELAY!$C$5:$C$20000,"SEMUA"))&gt;60,"Total jam ini &gt; 60 menit","OK"))))</f>
        <v/>
      </c>
    </row>
    <row r="84">
      <c r="A84" s="155" t="n">
        <v>46107</v>
      </c>
      <c r="B84" s="156" t="inlineStr">
        <is>
          <t>17-18</t>
        </is>
      </c>
      <c r="C84" s="156" t="inlineStr">
        <is>
          <t>EX-2101</t>
        </is>
      </c>
      <c r="D84" s="156" t="inlineStr">
        <is>
          <t>Lainnya</t>
        </is>
      </c>
      <c r="E84" s="156" t="n">
        <v>9</v>
      </c>
      <c r="F84" s="156" t="inlineStr">
        <is>
          <t>Tunggu dozer</t>
        </is>
      </c>
      <c r="G84" s="157">
        <f>IF($B84="","",IF(ISNA(MATCH($B84,MASTER_JAM!$Q$5:$Q$28,0)),"?",IF(MATCH($B84,MASTER_JAM!$Q$5:$Q$28,0)&lt;=12,"DS","NS")))</f>
        <v/>
      </c>
      <c r="H84" s="157">
        <f>IF($E84="","",IF($G84="?","Jam salah",IF(COUNTIF(MASTER_JAM!$V$5:$V$23,$C84)=0,"Unit tidak dikenal",IF(SUMIFS(INPUT_DELAY!$E$5:$E$20000,INPUT_DELAY!$A$5:$A$20000,$A84,INPUT_DELAY!$B$5:$B$20000,$B84,INPUT_DELAY!$C$5:$C$20000,$C84)+IF($C84="SEMUA",0,SUMIFS(INPUT_DELAY!$E$5:$E$20000,INPUT_DELAY!$A$5:$A$20000,$A84,INPUT_DELAY!$B$5:$B$20000,$B84,INPUT_DELAY!$C$5:$C$20000,"SEMUA"))&gt;60,"Total jam ini &gt; 60 menit","OK"))))</f>
        <v/>
      </c>
    </row>
    <row r="85">
      <c r="A85" s="155" t="n">
        <v>46107</v>
      </c>
      <c r="B85" s="156" t="inlineStr">
        <is>
          <t>13-14</t>
        </is>
      </c>
      <c r="C85" s="156" t="inlineStr">
        <is>
          <t>EX-334</t>
        </is>
      </c>
      <c r="D85" s="156" t="inlineStr">
        <is>
          <t>Breakdown</t>
        </is>
      </c>
      <c r="E85" s="156" t="n">
        <v>60</v>
      </c>
      <c r="F85" s="156" t="inlineStr">
        <is>
          <t>Hose bocor</t>
        </is>
      </c>
      <c r="G85" s="157">
        <f>IF($B85="","",IF(ISNA(MATCH($B85,MASTER_JAM!$Q$5:$Q$28,0)),"?",IF(MATCH($B85,MASTER_JAM!$Q$5:$Q$28,0)&lt;=12,"DS","NS")))</f>
        <v/>
      </c>
      <c r="H85" s="157">
        <f>IF($E85="","",IF($G85="?","Jam salah",IF(COUNTIF(MASTER_JAM!$V$5:$V$23,$C85)=0,"Unit tidak dikenal",IF(SUMIFS(INPUT_DELAY!$E$5:$E$20000,INPUT_DELAY!$A$5:$A$20000,$A85,INPUT_DELAY!$B$5:$B$20000,$B85,INPUT_DELAY!$C$5:$C$20000,$C85)+IF($C85="SEMUA",0,SUMIFS(INPUT_DELAY!$E$5:$E$20000,INPUT_DELAY!$A$5:$A$20000,$A85,INPUT_DELAY!$B$5:$B$20000,$B85,INPUT_DELAY!$C$5:$C$20000,"SEMUA"))&gt;60,"Total jam ini &gt; 60 menit","OK"))))</f>
        <v/>
      </c>
    </row>
    <row r="86">
      <c r="A86" s="155" t="n">
        <v>46107</v>
      </c>
      <c r="B86" s="156" t="inlineStr">
        <is>
          <t>11-12</t>
        </is>
      </c>
      <c r="C86" s="156" t="inlineStr">
        <is>
          <t>EX-334</t>
        </is>
      </c>
      <c r="D86" s="156" t="inlineStr">
        <is>
          <t>Breakdown</t>
        </is>
      </c>
      <c r="E86" s="156" t="n">
        <v>60</v>
      </c>
      <c r="F86" s="156" t="inlineStr">
        <is>
          <t>Track adjust</t>
        </is>
      </c>
      <c r="G86" s="157">
        <f>IF($B86="","",IF(ISNA(MATCH($B86,MASTER_JAM!$Q$5:$Q$28,0)),"?",IF(MATCH($B86,MASTER_JAM!$Q$5:$Q$28,0)&lt;=12,"DS","NS")))</f>
        <v/>
      </c>
      <c r="H86" s="157">
        <f>IF($E86="","",IF($G86="?","Jam salah",IF(COUNTIF(MASTER_JAM!$V$5:$V$23,$C86)=0,"Unit tidak dikenal",IF(SUMIFS(INPUT_DELAY!$E$5:$E$20000,INPUT_DELAY!$A$5:$A$20000,$A86,INPUT_DELAY!$B$5:$B$20000,$B86,INPUT_DELAY!$C$5:$C$20000,$C86)+IF($C86="SEMUA",0,SUMIFS(INPUT_DELAY!$E$5:$E$20000,INPUT_DELAY!$A$5:$A$20000,$A86,INPUT_DELAY!$B$5:$B$20000,$B86,INPUT_DELAY!$C$5:$C$20000,"SEMUA"))&gt;60,"Total jam ini &gt; 60 menit","OK"))))</f>
        <v/>
      </c>
    </row>
    <row r="87">
      <c r="A87" s="155" t="n">
        <v>46107</v>
      </c>
      <c r="B87" s="156" t="inlineStr">
        <is>
          <t>12-13</t>
        </is>
      </c>
      <c r="C87" s="156" t="inlineStr">
        <is>
          <t>EX-334</t>
        </is>
      </c>
      <c r="D87" s="156" t="inlineStr">
        <is>
          <t>Breakdown</t>
        </is>
      </c>
      <c r="E87" s="156" t="n">
        <v>0</v>
      </c>
      <c r="F87" s="156" t="inlineStr">
        <is>
          <t>Engine overheat</t>
        </is>
      </c>
      <c r="G87" s="157">
        <f>IF($B87="","",IF(ISNA(MATCH($B87,MASTER_JAM!$Q$5:$Q$28,0)),"?",IF(MATCH($B87,MASTER_JAM!$Q$5:$Q$28,0)&lt;=12,"DS","NS")))</f>
        <v/>
      </c>
      <c r="H87" s="157">
        <f>IF($E87="","",IF($G87="?","Jam salah",IF(COUNTIF(MASTER_JAM!$V$5:$V$23,$C87)=0,"Unit tidak dikenal",IF(SUMIFS(INPUT_DELAY!$E$5:$E$20000,INPUT_DELAY!$A$5:$A$20000,$A87,INPUT_DELAY!$B$5:$B$20000,$B87,INPUT_DELAY!$C$5:$C$20000,$C87)+IF($C87="SEMUA",0,SUMIFS(INPUT_DELAY!$E$5:$E$20000,INPUT_DELAY!$A$5:$A$20000,$A87,INPUT_DELAY!$B$5:$B$20000,$B87,INPUT_DELAY!$C$5:$C$20000,"SEMUA"))&gt;60,"Total jam ini &gt; 60 menit","OK"))))</f>
        <v/>
      </c>
    </row>
    <row r="88">
      <c r="A88" s="155" t="n">
        <v>46107</v>
      </c>
      <c r="B88" s="156" t="inlineStr">
        <is>
          <t>07-08</t>
        </is>
      </c>
      <c r="C88" s="156" t="inlineStr">
        <is>
          <t>EX-334</t>
        </is>
      </c>
      <c r="D88" s="156" t="inlineStr">
        <is>
          <t>Standby</t>
        </is>
      </c>
      <c r="E88" s="156" t="n">
        <v>2</v>
      </c>
      <c r="F88" s="156" t="inlineStr">
        <is>
          <t>Tunggu dozer</t>
        </is>
      </c>
      <c r="G88" s="157">
        <f>IF($B88="","",IF(ISNA(MATCH($B88,MASTER_JAM!$Q$5:$Q$28,0)),"?",IF(MATCH($B88,MASTER_JAM!$Q$5:$Q$28,0)&lt;=12,"DS","NS")))</f>
        <v/>
      </c>
      <c r="H88" s="157">
        <f>IF($E88="","",IF($G88="?","Jam salah",IF(COUNTIF(MASTER_JAM!$V$5:$V$23,$C88)=0,"Unit tidak dikenal",IF(SUMIFS(INPUT_DELAY!$E$5:$E$20000,INPUT_DELAY!$A$5:$A$20000,$A88,INPUT_DELAY!$B$5:$B$20000,$B88,INPUT_DELAY!$C$5:$C$20000,$C88)+IF($C88="SEMUA",0,SUMIFS(INPUT_DELAY!$E$5:$E$20000,INPUT_DELAY!$A$5:$A$20000,$A88,INPUT_DELAY!$B$5:$B$20000,$B88,INPUT_DELAY!$C$5:$C$20000,"SEMUA"))&gt;60,"Total jam ini &gt; 60 menit","OK"))))</f>
        <v/>
      </c>
    </row>
    <row r="89">
      <c r="A89" s="155" t="n">
        <v>46107</v>
      </c>
      <c r="B89" s="156" t="inlineStr">
        <is>
          <t>09-10</t>
        </is>
      </c>
      <c r="C89" s="156" t="inlineStr">
        <is>
          <t>EX-755</t>
        </is>
      </c>
      <c r="D89" s="156" t="inlineStr">
        <is>
          <t>Lainnya</t>
        </is>
      </c>
      <c r="E89" s="156" t="n">
        <v>12</v>
      </c>
      <c r="F89" s="156" t="inlineStr">
        <is>
          <t>Tunggu dozer</t>
        </is>
      </c>
      <c r="G89" s="157">
        <f>IF($B89="","",IF(ISNA(MATCH($B89,MASTER_JAM!$Q$5:$Q$28,0)),"?",IF(MATCH($B89,MASTER_JAM!$Q$5:$Q$28,0)&lt;=12,"DS","NS")))</f>
        <v/>
      </c>
      <c r="H89" s="157">
        <f>IF($E89="","",IF($G89="?","Jam salah",IF(COUNTIF(MASTER_JAM!$V$5:$V$23,$C89)=0,"Unit tidak dikenal",IF(SUMIFS(INPUT_DELAY!$E$5:$E$20000,INPUT_DELAY!$A$5:$A$20000,$A89,INPUT_DELAY!$B$5:$B$20000,$B89,INPUT_DELAY!$C$5:$C$20000,$C89)+IF($C89="SEMUA",0,SUMIFS(INPUT_DELAY!$E$5:$E$20000,INPUT_DELAY!$A$5:$A$20000,$A89,INPUT_DELAY!$B$5:$B$20000,$B89,INPUT_DELAY!$C$5:$C$20000,"SEMUA"))&gt;60,"Total jam ini &gt; 60 menit","OK"))))</f>
        <v/>
      </c>
    </row>
    <row r="90">
      <c r="A90" s="155" t="n">
        <v>46107</v>
      </c>
      <c r="B90" s="156" t="inlineStr">
        <is>
          <t>14-15</t>
        </is>
      </c>
      <c r="C90" s="156" t="inlineStr">
        <is>
          <t>EX-755</t>
        </is>
      </c>
      <c r="D90" s="156" t="inlineStr">
        <is>
          <t>Standby</t>
        </is>
      </c>
      <c r="E90" s="156" t="n">
        <v>2</v>
      </c>
      <c r="F90" s="156" t="inlineStr">
        <is>
          <t>Tunggu dozer</t>
        </is>
      </c>
      <c r="G90" s="157">
        <f>IF($B90="","",IF(ISNA(MATCH($B90,MASTER_JAM!$Q$5:$Q$28,0)),"?",IF(MATCH($B90,MASTER_JAM!$Q$5:$Q$28,0)&lt;=12,"DS","NS")))</f>
        <v/>
      </c>
      <c r="H90" s="157">
        <f>IF($E90="","",IF($G90="?","Jam salah",IF(COUNTIF(MASTER_JAM!$V$5:$V$23,$C90)=0,"Unit tidak dikenal",IF(SUMIFS(INPUT_DELAY!$E$5:$E$20000,INPUT_DELAY!$A$5:$A$20000,$A90,INPUT_DELAY!$B$5:$B$20000,$B90,INPUT_DELAY!$C$5:$C$20000,$C90)+IF($C90="SEMUA",0,SUMIFS(INPUT_DELAY!$E$5:$E$20000,INPUT_DELAY!$A$5:$A$20000,$A90,INPUT_DELAY!$B$5:$B$20000,$B90,INPUT_DELAY!$C$5:$C$20000,"SEMUA"))&gt;60,"Total jam ini &gt; 60 menit","OK"))))</f>
        <v/>
      </c>
    </row>
    <row r="91">
      <c r="A91" s="155" t="n">
        <v>46107</v>
      </c>
      <c r="B91" s="156" t="inlineStr">
        <is>
          <t>18-19</t>
        </is>
      </c>
      <c r="C91" s="156" t="inlineStr">
        <is>
          <t>SEMUA</t>
        </is>
      </c>
      <c r="D91" s="156" t="inlineStr">
        <is>
          <t>P2H / Ganti shift</t>
        </is>
      </c>
      <c r="E91" s="156" t="n">
        <v>5</v>
      </c>
      <c r="F91" s="156" t="inlineStr"/>
      <c r="G91" s="157">
        <f>IF($B91="","",IF(ISNA(MATCH($B91,MASTER_JAM!$Q$5:$Q$28,0)),"?",IF(MATCH($B91,MASTER_JAM!$Q$5:$Q$28,0)&lt;=12,"DS","NS")))</f>
        <v/>
      </c>
      <c r="H91" s="157">
        <f>IF($E91="","",IF($G91="?","Jam salah",IF(COUNTIF(MASTER_JAM!$V$5:$V$23,$C91)=0,"Unit tidak dikenal",IF(SUMIFS(INPUT_DELAY!$E$5:$E$20000,INPUT_DELAY!$A$5:$A$20000,$A91,INPUT_DELAY!$B$5:$B$20000,$B91,INPUT_DELAY!$C$5:$C$20000,$C91)+IF($C91="SEMUA",0,SUMIFS(INPUT_DELAY!$E$5:$E$20000,INPUT_DELAY!$A$5:$A$20000,$A91,INPUT_DELAY!$B$5:$B$20000,$B91,INPUT_DELAY!$C$5:$C$20000,"SEMUA"))&gt;60,"Total jam ini &gt; 60 menit","OK"))))</f>
        <v/>
      </c>
    </row>
    <row r="92">
      <c r="A92" s="155" t="n">
        <v>46107</v>
      </c>
      <c r="B92" s="156" t="inlineStr">
        <is>
          <t>20-21</t>
        </is>
      </c>
      <c r="C92" s="156" t="inlineStr">
        <is>
          <t>SEMUA</t>
        </is>
      </c>
      <c r="D92" s="156" t="inlineStr">
        <is>
          <t>Rain</t>
        </is>
      </c>
      <c r="E92" s="156" t="n">
        <v>60</v>
      </c>
      <c r="F92" s="156" t="inlineStr">
        <is>
          <t>Hujan</t>
        </is>
      </c>
      <c r="G92" s="157">
        <f>IF($B92="","",IF(ISNA(MATCH($B92,MASTER_JAM!$Q$5:$Q$28,0)),"?",IF(MATCH($B92,MASTER_JAM!$Q$5:$Q$28,0)&lt;=12,"DS","NS")))</f>
        <v/>
      </c>
      <c r="H92" s="157">
        <f>IF($E92="","",IF($G92="?","Jam salah",IF(COUNTIF(MASTER_JAM!$V$5:$V$23,$C92)=0,"Unit tidak dikenal",IF(SUMIFS(INPUT_DELAY!$E$5:$E$20000,INPUT_DELAY!$A$5:$A$20000,$A92,INPUT_DELAY!$B$5:$B$20000,$B92,INPUT_DELAY!$C$5:$C$20000,$C92)+IF($C92="SEMUA",0,SUMIFS(INPUT_DELAY!$E$5:$E$20000,INPUT_DELAY!$A$5:$A$20000,$A92,INPUT_DELAY!$B$5:$B$20000,$B92,INPUT_DELAY!$C$5:$C$20000,"SEMUA"))&gt;60,"Total jam ini &gt; 60 menit","OK"))))</f>
        <v/>
      </c>
    </row>
    <row r="93">
      <c r="A93" s="155" t="n">
        <v>46107</v>
      </c>
      <c r="B93" s="156" t="inlineStr">
        <is>
          <t>21-22</t>
        </is>
      </c>
      <c r="C93" s="156" t="inlineStr">
        <is>
          <t>SEMUA</t>
        </is>
      </c>
      <c r="D93" s="156" t="inlineStr">
        <is>
          <t>Rain</t>
        </is>
      </c>
      <c r="E93" s="156" t="n">
        <v>60</v>
      </c>
      <c r="F93" s="156" t="inlineStr">
        <is>
          <t>Hujan</t>
        </is>
      </c>
      <c r="G93" s="157">
        <f>IF($B93="","",IF(ISNA(MATCH($B93,MASTER_JAM!$Q$5:$Q$28,0)),"?",IF(MATCH($B93,MASTER_JAM!$Q$5:$Q$28,0)&lt;=12,"DS","NS")))</f>
        <v/>
      </c>
      <c r="H93" s="157">
        <f>IF($E93="","",IF($G93="?","Jam salah",IF(COUNTIF(MASTER_JAM!$V$5:$V$23,$C93)=0,"Unit tidak dikenal",IF(SUMIFS(INPUT_DELAY!$E$5:$E$20000,INPUT_DELAY!$A$5:$A$20000,$A93,INPUT_DELAY!$B$5:$B$20000,$B93,INPUT_DELAY!$C$5:$C$20000,$C93)+IF($C93="SEMUA",0,SUMIFS(INPUT_DELAY!$E$5:$E$20000,INPUT_DELAY!$A$5:$A$20000,$A93,INPUT_DELAY!$B$5:$B$20000,$B93,INPUT_DELAY!$C$5:$C$20000,"SEMUA"))&gt;60,"Total jam ini &gt; 60 menit","OK"))))</f>
        <v/>
      </c>
    </row>
    <row r="94">
      <c r="A94" s="155" t="n">
        <v>46107</v>
      </c>
      <c r="B94" s="156" t="inlineStr">
        <is>
          <t>22-23</t>
        </is>
      </c>
      <c r="C94" s="156" t="inlineStr">
        <is>
          <t>SEMUA</t>
        </is>
      </c>
      <c r="D94" s="156" t="inlineStr">
        <is>
          <t>Rain</t>
        </is>
      </c>
      <c r="E94" s="156" t="n">
        <v>60</v>
      </c>
      <c r="F94" s="156" t="inlineStr">
        <is>
          <t>Hujan</t>
        </is>
      </c>
      <c r="G94" s="157">
        <f>IF($B94="","",IF(ISNA(MATCH($B94,MASTER_JAM!$Q$5:$Q$28,0)),"?",IF(MATCH($B94,MASTER_JAM!$Q$5:$Q$28,0)&lt;=12,"DS","NS")))</f>
        <v/>
      </c>
      <c r="H94" s="157">
        <f>IF($E94="","",IF($G94="?","Jam salah",IF(COUNTIF(MASTER_JAM!$V$5:$V$23,$C94)=0,"Unit tidak dikenal",IF(SUMIFS(INPUT_DELAY!$E$5:$E$20000,INPUT_DELAY!$A$5:$A$20000,$A94,INPUT_DELAY!$B$5:$B$20000,$B94,INPUT_DELAY!$C$5:$C$20000,$C94)+IF($C94="SEMUA",0,SUMIFS(INPUT_DELAY!$E$5:$E$20000,INPUT_DELAY!$A$5:$A$20000,$A94,INPUT_DELAY!$B$5:$B$20000,$B94,INPUT_DELAY!$C$5:$C$20000,"SEMUA"))&gt;60,"Total jam ini &gt; 60 menit","OK"))))</f>
        <v/>
      </c>
    </row>
    <row r="95">
      <c r="A95" s="155" t="n">
        <v>46107</v>
      </c>
      <c r="B95" s="156" t="inlineStr">
        <is>
          <t>23-24</t>
        </is>
      </c>
      <c r="C95" s="156" t="inlineStr">
        <is>
          <t>SEMUA</t>
        </is>
      </c>
      <c r="D95" s="156" t="inlineStr">
        <is>
          <t>Rain</t>
        </is>
      </c>
      <c r="E95" s="156" t="n">
        <v>60</v>
      </c>
      <c r="F95" s="156" t="inlineStr">
        <is>
          <t>Hujan</t>
        </is>
      </c>
      <c r="G95" s="157">
        <f>IF($B95="","",IF(ISNA(MATCH($B95,MASTER_JAM!$Q$5:$Q$28,0)),"?",IF(MATCH($B95,MASTER_JAM!$Q$5:$Q$28,0)&lt;=12,"DS","NS")))</f>
        <v/>
      </c>
      <c r="H95" s="157">
        <f>IF($E95="","",IF($G95="?","Jam salah",IF(COUNTIF(MASTER_JAM!$V$5:$V$23,$C95)=0,"Unit tidak dikenal",IF(SUMIFS(INPUT_DELAY!$E$5:$E$20000,INPUT_DELAY!$A$5:$A$20000,$A95,INPUT_DELAY!$B$5:$B$20000,$B95,INPUT_DELAY!$C$5:$C$20000,$C95)+IF($C95="SEMUA",0,SUMIFS(INPUT_DELAY!$E$5:$E$20000,INPUT_DELAY!$A$5:$A$20000,$A95,INPUT_DELAY!$B$5:$B$20000,$B95,INPUT_DELAY!$C$5:$C$20000,"SEMUA"))&gt;60,"Total jam ini &gt; 60 menit","OK"))))</f>
        <v/>
      </c>
    </row>
    <row r="96">
      <c r="A96" s="155" t="n">
        <v>46107</v>
      </c>
      <c r="B96" s="156" t="inlineStr">
        <is>
          <t>00-01</t>
        </is>
      </c>
      <c r="C96" s="156" t="inlineStr">
        <is>
          <t>SEMUA</t>
        </is>
      </c>
      <c r="D96" s="156" t="inlineStr">
        <is>
          <t>Istirahat</t>
        </is>
      </c>
      <c r="E96" s="156" t="n">
        <v>60</v>
      </c>
      <c r="F96" s="156" t="inlineStr"/>
      <c r="G96" s="157">
        <f>IF($B96="","",IF(ISNA(MATCH($B96,MASTER_JAM!$Q$5:$Q$28,0)),"?",IF(MATCH($B96,MASTER_JAM!$Q$5:$Q$28,0)&lt;=12,"DS","NS")))</f>
        <v/>
      </c>
      <c r="H96" s="157">
        <f>IF($E96="","",IF($G96="?","Jam salah",IF(COUNTIF(MASTER_JAM!$V$5:$V$23,$C96)=0,"Unit tidak dikenal",IF(SUMIFS(INPUT_DELAY!$E$5:$E$20000,INPUT_DELAY!$A$5:$A$20000,$A96,INPUT_DELAY!$B$5:$B$20000,$B96,INPUT_DELAY!$C$5:$C$20000,$C96)+IF($C96="SEMUA",0,SUMIFS(INPUT_DELAY!$E$5:$E$20000,INPUT_DELAY!$A$5:$A$20000,$A96,INPUT_DELAY!$B$5:$B$20000,$B96,INPUT_DELAY!$C$5:$C$20000,"SEMUA"))&gt;60,"Total jam ini &gt; 60 menit","OK"))))</f>
        <v/>
      </c>
    </row>
    <row r="97">
      <c r="A97" s="155" t="n">
        <v>46107</v>
      </c>
      <c r="B97" s="156" t="inlineStr">
        <is>
          <t>01-02</t>
        </is>
      </c>
      <c r="C97" s="156" t="inlineStr">
        <is>
          <t>SEMUA</t>
        </is>
      </c>
      <c r="D97" s="156" t="inlineStr">
        <is>
          <t>Rain</t>
        </is>
      </c>
      <c r="E97" s="156" t="n">
        <v>5</v>
      </c>
      <c r="F97" s="156" t="inlineStr">
        <is>
          <t>Hujan</t>
        </is>
      </c>
      <c r="G97" s="157">
        <f>IF($B97="","",IF(ISNA(MATCH($B97,MASTER_JAM!$Q$5:$Q$28,0)),"?",IF(MATCH($B97,MASTER_JAM!$Q$5:$Q$28,0)&lt;=12,"DS","NS")))</f>
        <v/>
      </c>
      <c r="H97" s="157">
        <f>IF($E97="","",IF($G97="?","Jam salah",IF(COUNTIF(MASTER_JAM!$V$5:$V$23,$C97)=0,"Unit tidak dikenal",IF(SUMIFS(INPUT_DELAY!$E$5:$E$20000,INPUT_DELAY!$A$5:$A$20000,$A97,INPUT_DELAY!$B$5:$B$20000,$B97,INPUT_DELAY!$C$5:$C$20000,$C97)+IF($C97="SEMUA",0,SUMIFS(INPUT_DELAY!$E$5:$E$20000,INPUT_DELAY!$A$5:$A$20000,$A97,INPUT_DELAY!$B$5:$B$20000,$B97,INPUT_DELAY!$C$5:$C$20000,"SEMUA"))&gt;60,"Total jam ini &gt; 60 menit","OK"))))</f>
        <v/>
      </c>
    </row>
    <row r="98">
      <c r="A98" s="155" t="n">
        <v>46107</v>
      </c>
      <c r="B98" s="156" t="inlineStr">
        <is>
          <t>02-03</t>
        </is>
      </c>
      <c r="C98" s="156" t="inlineStr">
        <is>
          <t>SEMUA</t>
        </is>
      </c>
      <c r="D98" s="156" t="inlineStr">
        <is>
          <t>Slippery</t>
        </is>
      </c>
      <c r="E98" s="156" t="n">
        <v>60</v>
      </c>
      <c r="F98" s="156" t="inlineStr"/>
      <c r="G98" s="157">
        <f>IF($B98="","",IF(ISNA(MATCH($B98,MASTER_JAM!$Q$5:$Q$28,0)),"?",IF(MATCH($B98,MASTER_JAM!$Q$5:$Q$28,0)&lt;=12,"DS","NS")))</f>
        <v/>
      </c>
      <c r="H98" s="157">
        <f>IF($E98="","",IF($G98="?","Jam salah",IF(COUNTIF(MASTER_JAM!$V$5:$V$23,$C98)=0,"Unit tidak dikenal",IF(SUMIFS(INPUT_DELAY!$E$5:$E$20000,INPUT_DELAY!$A$5:$A$20000,$A98,INPUT_DELAY!$B$5:$B$20000,$B98,INPUT_DELAY!$C$5:$C$20000,$C98)+IF($C98="SEMUA",0,SUMIFS(INPUT_DELAY!$E$5:$E$20000,INPUT_DELAY!$A$5:$A$20000,$A98,INPUT_DELAY!$B$5:$B$20000,$B98,INPUT_DELAY!$C$5:$C$20000,"SEMUA"))&gt;60,"Total jam ini &gt; 60 menit","OK"))))</f>
        <v/>
      </c>
    </row>
    <row r="99">
      <c r="A99" s="155" t="n">
        <v>46107</v>
      </c>
      <c r="B99" s="156" t="inlineStr">
        <is>
          <t>03-04</t>
        </is>
      </c>
      <c r="C99" s="156" t="inlineStr">
        <is>
          <t>SEMUA</t>
        </is>
      </c>
      <c r="D99" s="156" t="inlineStr">
        <is>
          <t>Slippery</t>
        </is>
      </c>
      <c r="E99" s="156" t="n">
        <v>60</v>
      </c>
      <c r="F99" s="156" t="inlineStr"/>
      <c r="G99" s="157">
        <f>IF($B99="","",IF(ISNA(MATCH($B99,MASTER_JAM!$Q$5:$Q$28,0)),"?",IF(MATCH($B99,MASTER_JAM!$Q$5:$Q$28,0)&lt;=12,"DS","NS")))</f>
        <v/>
      </c>
      <c r="H99" s="157">
        <f>IF($E99="","",IF($G99="?","Jam salah",IF(COUNTIF(MASTER_JAM!$V$5:$V$23,$C99)=0,"Unit tidak dikenal",IF(SUMIFS(INPUT_DELAY!$E$5:$E$20000,INPUT_DELAY!$A$5:$A$20000,$A99,INPUT_DELAY!$B$5:$B$20000,$B99,INPUT_DELAY!$C$5:$C$20000,$C99)+IF($C99="SEMUA",0,SUMIFS(INPUT_DELAY!$E$5:$E$20000,INPUT_DELAY!$A$5:$A$20000,$A99,INPUT_DELAY!$B$5:$B$20000,$B99,INPUT_DELAY!$C$5:$C$20000,"SEMUA"))&gt;60,"Total jam ini &gt; 60 menit","OK"))))</f>
        <v/>
      </c>
    </row>
    <row r="100">
      <c r="A100" s="155" t="n">
        <v>46108</v>
      </c>
      <c r="B100" s="156" t="inlineStr">
        <is>
          <t>06-07</t>
        </is>
      </c>
      <c r="C100" s="156" t="inlineStr">
        <is>
          <t>SEMUA</t>
        </is>
      </c>
      <c r="D100" s="156" t="inlineStr">
        <is>
          <t>P2H / Ganti shift</t>
        </is>
      </c>
      <c r="E100" s="156" t="n">
        <v>5</v>
      </c>
      <c r="F100" s="156" t="inlineStr"/>
      <c r="G100" s="157">
        <f>IF($B100="","",IF(ISNA(MATCH($B100,MASTER_JAM!$Q$5:$Q$28,0)),"?",IF(MATCH($B100,MASTER_JAM!$Q$5:$Q$28,0)&lt;=12,"DS","NS")))</f>
        <v/>
      </c>
      <c r="H100" s="157">
        <f>IF($E100="","",IF($G100="?","Jam salah",IF(COUNTIF(MASTER_JAM!$V$5:$V$23,$C100)=0,"Unit tidak dikenal",IF(SUMIFS(INPUT_DELAY!$E$5:$E$20000,INPUT_DELAY!$A$5:$A$20000,$A100,INPUT_DELAY!$B$5:$B$20000,$B100,INPUT_DELAY!$C$5:$C$20000,$C100)+IF($C100="SEMUA",0,SUMIFS(INPUT_DELAY!$E$5:$E$20000,INPUT_DELAY!$A$5:$A$20000,$A100,INPUT_DELAY!$B$5:$B$20000,$B100,INPUT_DELAY!$C$5:$C$20000,"SEMUA"))&gt;60,"Total jam ini &gt; 60 menit","OK"))))</f>
        <v/>
      </c>
    </row>
    <row r="101">
      <c r="A101" s="155" t="n">
        <v>46108</v>
      </c>
      <c r="B101" s="156" t="inlineStr">
        <is>
          <t>12-13</t>
        </is>
      </c>
      <c r="C101" s="156" t="inlineStr">
        <is>
          <t>SEMUA</t>
        </is>
      </c>
      <c r="D101" s="156" t="inlineStr">
        <is>
          <t>Istirahat</t>
        </is>
      </c>
      <c r="E101" s="156" t="n">
        <v>60</v>
      </c>
      <c r="F101" s="156" t="inlineStr"/>
      <c r="G101" s="157">
        <f>IF($B101="","",IF(ISNA(MATCH($B101,MASTER_JAM!$Q$5:$Q$28,0)),"?",IF(MATCH($B101,MASTER_JAM!$Q$5:$Q$28,0)&lt;=12,"DS","NS")))</f>
        <v/>
      </c>
      <c r="H101" s="157">
        <f>IF($E101="","",IF($G101="?","Jam salah",IF(COUNTIF(MASTER_JAM!$V$5:$V$23,$C101)=0,"Unit tidak dikenal",IF(SUMIFS(INPUT_DELAY!$E$5:$E$20000,INPUT_DELAY!$A$5:$A$20000,$A101,INPUT_DELAY!$B$5:$B$20000,$B101,INPUT_DELAY!$C$5:$C$20000,$C101)+IF($C101="SEMUA",0,SUMIFS(INPUT_DELAY!$E$5:$E$20000,INPUT_DELAY!$A$5:$A$20000,$A101,INPUT_DELAY!$B$5:$B$20000,$B101,INPUT_DELAY!$C$5:$C$20000,"SEMUA"))&gt;60,"Total jam ini &gt; 60 menit","OK"))))</f>
        <v/>
      </c>
    </row>
    <row r="102">
      <c r="A102" s="155" t="n">
        <v>46108</v>
      </c>
      <c r="B102" s="156" t="inlineStr">
        <is>
          <t>13-14</t>
        </is>
      </c>
      <c r="C102" s="156" t="inlineStr">
        <is>
          <t>EX-1252</t>
        </is>
      </c>
      <c r="D102" s="156" t="inlineStr">
        <is>
          <t>Breakdown</t>
        </is>
      </c>
      <c r="E102" s="156" t="n">
        <v>60</v>
      </c>
      <c r="F102" s="156" t="inlineStr">
        <is>
          <t>Cek hidrolik</t>
        </is>
      </c>
      <c r="G102" s="157">
        <f>IF($B102="","",IF(ISNA(MATCH($B102,MASTER_JAM!$Q$5:$Q$28,0)),"?",IF(MATCH($B102,MASTER_JAM!$Q$5:$Q$28,0)&lt;=12,"DS","NS")))</f>
        <v/>
      </c>
      <c r="H102" s="157">
        <f>IF($E102="","",IF($G102="?","Jam salah",IF(COUNTIF(MASTER_JAM!$V$5:$V$23,$C102)=0,"Unit tidak dikenal",IF(SUMIFS(INPUT_DELAY!$E$5:$E$20000,INPUT_DELAY!$A$5:$A$20000,$A102,INPUT_DELAY!$B$5:$B$20000,$B102,INPUT_DELAY!$C$5:$C$20000,$C102)+IF($C102="SEMUA",0,SUMIFS(INPUT_DELAY!$E$5:$E$20000,INPUT_DELAY!$A$5:$A$20000,$A102,INPUT_DELAY!$B$5:$B$20000,$B102,INPUT_DELAY!$C$5:$C$20000,"SEMUA"))&gt;60,"Total jam ini &gt; 60 menit","OK"))))</f>
        <v/>
      </c>
    </row>
    <row r="103">
      <c r="A103" s="155" t="n">
        <v>46108</v>
      </c>
      <c r="B103" s="156" t="inlineStr">
        <is>
          <t>14-15</t>
        </is>
      </c>
      <c r="C103" s="156" t="inlineStr">
        <is>
          <t>EX-1252</t>
        </is>
      </c>
      <c r="D103" s="156" t="inlineStr">
        <is>
          <t>Breakdown</t>
        </is>
      </c>
      <c r="E103" s="156" t="n">
        <v>60</v>
      </c>
      <c r="F103" s="156" t="inlineStr">
        <is>
          <t>Cek hidrolik</t>
        </is>
      </c>
      <c r="G103" s="157">
        <f>IF($B103="","",IF(ISNA(MATCH($B103,MASTER_JAM!$Q$5:$Q$28,0)),"?",IF(MATCH($B103,MASTER_JAM!$Q$5:$Q$28,0)&lt;=12,"DS","NS")))</f>
        <v/>
      </c>
      <c r="H103" s="157">
        <f>IF($E103="","",IF($G103="?","Jam salah",IF(COUNTIF(MASTER_JAM!$V$5:$V$23,$C103)=0,"Unit tidak dikenal",IF(SUMIFS(INPUT_DELAY!$E$5:$E$20000,INPUT_DELAY!$A$5:$A$20000,$A103,INPUT_DELAY!$B$5:$B$20000,$B103,INPUT_DELAY!$C$5:$C$20000,$C103)+IF($C103="SEMUA",0,SUMIFS(INPUT_DELAY!$E$5:$E$20000,INPUT_DELAY!$A$5:$A$20000,$A103,INPUT_DELAY!$B$5:$B$20000,$B103,INPUT_DELAY!$C$5:$C$20000,"SEMUA"))&gt;60,"Total jam ini &gt; 60 menit","OK"))))</f>
        <v/>
      </c>
    </row>
    <row r="104">
      <c r="A104" s="155" t="n">
        <v>46108</v>
      </c>
      <c r="B104" s="156" t="inlineStr">
        <is>
          <t>11-12</t>
        </is>
      </c>
      <c r="C104" s="156" t="inlineStr">
        <is>
          <t>EX-1252</t>
        </is>
      </c>
      <c r="D104" s="156" t="inlineStr">
        <is>
          <t>Breakdown</t>
        </is>
      </c>
      <c r="E104" s="156" t="n">
        <v>60</v>
      </c>
      <c r="F104" s="156" t="inlineStr">
        <is>
          <t>Hose bocor</t>
        </is>
      </c>
      <c r="G104" s="157">
        <f>IF($B104="","",IF(ISNA(MATCH($B104,MASTER_JAM!$Q$5:$Q$28,0)),"?",IF(MATCH($B104,MASTER_JAM!$Q$5:$Q$28,0)&lt;=12,"DS","NS")))</f>
        <v/>
      </c>
      <c r="H104" s="157">
        <f>IF($E104="","",IF($G104="?","Jam salah",IF(COUNTIF(MASTER_JAM!$V$5:$V$23,$C104)=0,"Unit tidak dikenal",IF(SUMIFS(INPUT_DELAY!$E$5:$E$20000,INPUT_DELAY!$A$5:$A$20000,$A104,INPUT_DELAY!$B$5:$B$20000,$B104,INPUT_DELAY!$C$5:$C$20000,$C104)+IF($C104="SEMUA",0,SUMIFS(INPUT_DELAY!$E$5:$E$20000,INPUT_DELAY!$A$5:$A$20000,$A104,INPUT_DELAY!$B$5:$B$20000,$B104,INPUT_DELAY!$C$5:$C$20000,"SEMUA"))&gt;60,"Total jam ini &gt; 60 menit","OK"))))</f>
        <v/>
      </c>
    </row>
    <row r="105">
      <c r="A105" s="155" t="n">
        <v>46108</v>
      </c>
      <c r="B105" s="156" t="inlineStr">
        <is>
          <t>12-13</t>
        </is>
      </c>
      <c r="C105" s="156" t="inlineStr">
        <is>
          <t>EX-1252</t>
        </is>
      </c>
      <c r="D105" s="156" t="inlineStr">
        <is>
          <t>Breakdown</t>
        </is>
      </c>
      <c r="E105" s="156" t="n">
        <v>0</v>
      </c>
      <c r="F105" s="156" t="inlineStr">
        <is>
          <t>Cek hidrolik</t>
        </is>
      </c>
      <c r="G105" s="157">
        <f>IF($B105="","",IF(ISNA(MATCH($B105,MASTER_JAM!$Q$5:$Q$28,0)),"?",IF(MATCH($B105,MASTER_JAM!$Q$5:$Q$28,0)&lt;=12,"DS","NS")))</f>
        <v/>
      </c>
      <c r="H105" s="157">
        <f>IF($E105="","",IF($G105="?","Jam salah",IF(COUNTIF(MASTER_JAM!$V$5:$V$23,$C105)=0,"Unit tidak dikenal",IF(SUMIFS(INPUT_DELAY!$E$5:$E$20000,INPUT_DELAY!$A$5:$A$20000,$A105,INPUT_DELAY!$B$5:$B$20000,$B105,INPUT_DELAY!$C$5:$C$20000,$C105)+IF($C105="SEMUA",0,SUMIFS(INPUT_DELAY!$E$5:$E$20000,INPUT_DELAY!$A$5:$A$20000,$A105,INPUT_DELAY!$B$5:$B$20000,$B105,INPUT_DELAY!$C$5:$C$20000,"SEMUA"))&gt;60,"Total jam ini &gt; 60 menit","OK"))))</f>
        <v/>
      </c>
    </row>
    <row r="106">
      <c r="A106" s="155" t="n">
        <v>46108</v>
      </c>
      <c r="B106" s="156" t="inlineStr">
        <is>
          <t>15-16</t>
        </is>
      </c>
      <c r="C106" s="156" t="inlineStr">
        <is>
          <t>EX-1252</t>
        </is>
      </c>
      <c r="D106" s="156" t="inlineStr">
        <is>
          <t>Standby</t>
        </is>
      </c>
      <c r="E106" s="156" t="n">
        <v>12</v>
      </c>
      <c r="F106" s="156" t="inlineStr">
        <is>
          <t>Tunggu dozer</t>
        </is>
      </c>
      <c r="G106" s="157">
        <f>IF($B106="","",IF(ISNA(MATCH($B106,MASTER_JAM!$Q$5:$Q$28,0)),"?",IF(MATCH($B106,MASTER_JAM!$Q$5:$Q$28,0)&lt;=12,"DS","NS")))</f>
        <v/>
      </c>
      <c r="H106" s="157">
        <f>IF($E106="","",IF($G106="?","Jam salah",IF(COUNTIF(MASTER_JAM!$V$5:$V$23,$C106)=0,"Unit tidak dikenal",IF(SUMIFS(INPUT_DELAY!$E$5:$E$20000,INPUT_DELAY!$A$5:$A$20000,$A106,INPUT_DELAY!$B$5:$B$20000,$B106,INPUT_DELAY!$C$5:$C$20000,$C106)+IF($C106="SEMUA",0,SUMIFS(INPUT_DELAY!$E$5:$E$20000,INPUT_DELAY!$A$5:$A$20000,$A106,INPUT_DELAY!$B$5:$B$20000,$B106,INPUT_DELAY!$C$5:$C$20000,"SEMUA"))&gt;60,"Total jam ini &gt; 60 menit","OK"))))</f>
        <v/>
      </c>
    </row>
    <row r="107">
      <c r="A107" s="155" t="n">
        <v>46108</v>
      </c>
      <c r="B107" s="156" t="inlineStr">
        <is>
          <t>13-14</t>
        </is>
      </c>
      <c r="C107" s="156" t="inlineStr">
        <is>
          <t>EX-754</t>
        </is>
      </c>
      <c r="D107" s="156" t="inlineStr">
        <is>
          <t>Breakdown</t>
        </is>
      </c>
      <c r="E107" s="156" t="n">
        <v>60</v>
      </c>
      <c r="F107" s="156" t="inlineStr">
        <is>
          <t>Hose bocor</t>
        </is>
      </c>
      <c r="G107" s="157">
        <f>IF($B107="","",IF(ISNA(MATCH($B107,MASTER_JAM!$Q$5:$Q$28,0)),"?",IF(MATCH($B107,MASTER_JAM!$Q$5:$Q$28,0)&lt;=12,"DS","NS")))</f>
        <v/>
      </c>
      <c r="H107" s="157">
        <f>IF($E107="","",IF($G107="?","Jam salah",IF(COUNTIF(MASTER_JAM!$V$5:$V$23,$C107)=0,"Unit tidak dikenal",IF(SUMIFS(INPUT_DELAY!$E$5:$E$20000,INPUT_DELAY!$A$5:$A$20000,$A107,INPUT_DELAY!$B$5:$B$20000,$B107,INPUT_DELAY!$C$5:$C$20000,$C107)+IF($C107="SEMUA",0,SUMIFS(INPUT_DELAY!$E$5:$E$20000,INPUT_DELAY!$A$5:$A$20000,$A107,INPUT_DELAY!$B$5:$B$20000,$B107,INPUT_DELAY!$C$5:$C$20000,"SEMUA"))&gt;60,"Total jam ini &gt; 60 menit","OK"))))</f>
        <v/>
      </c>
    </row>
    <row r="108">
      <c r="A108" s="155" t="n">
        <v>46108</v>
      </c>
      <c r="B108" s="156" t="inlineStr">
        <is>
          <t>14-15</t>
        </is>
      </c>
      <c r="C108" s="156" t="inlineStr">
        <is>
          <t>EX-754</t>
        </is>
      </c>
      <c r="D108" s="156" t="inlineStr">
        <is>
          <t>Breakdown</t>
        </is>
      </c>
      <c r="E108" s="156" t="n">
        <v>60</v>
      </c>
      <c r="F108" s="156" t="inlineStr">
        <is>
          <t>Track adjust</t>
        </is>
      </c>
      <c r="G108" s="157">
        <f>IF($B108="","",IF(ISNA(MATCH($B108,MASTER_JAM!$Q$5:$Q$28,0)),"?",IF(MATCH($B108,MASTER_JAM!$Q$5:$Q$28,0)&lt;=12,"DS","NS")))</f>
        <v/>
      </c>
      <c r="H108" s="157">
        <f>IF($E108="","",IF($G108="?","Jam salah",IF(COUNTIF(MASTER_JAM!$V$5:$V$23,$C108)=0,"Unit tidak dikenal",IF(SUMIFS(INPUT_DELAY!$E$5:$E$20000,INPUT_DELAY!$A$5:$A$20000,$A108,INPUT_DELAY!$B$5:$B$20000,$B108,INPUT_DELAY!$C$5:$C$20000,$C108)+IF($C108="SEMUA",0,SUMIFS(INPUT_DELAY!$E$5:$E$20000,INPUT_DELAY!$A$5:$A$20000,$A108,INPUT_DELAY!$B$5:$B$20000,$B108,INPUT_DELAY!$C$5:$C$20000,"SEMUA"))&gt;60,"Total jam ini &gt; 60 menit","OK"))))</f>
        <v/>
      </c>
    </row>
    <row r="109">
      <c r="A109" s="155" t="n">
        <v>46108</v>
      </c>
      <c r="B109" s="156" t="inlineStr">
        <is>
          <t>15-16</t>
        </is>
      </c>
      <c r="C109" s="156" t="inlineStr">
        <is>
          <t>EX-754</t>
        </is>
      </c>
      <c r="D109" s="156" t="inlineStr">
        <is>
          <t>Breakdown</t>
        </is>
      </c>
      <c r="E109" s="156" t="n">
        <v>60</v>
      </c>
      <c r="F109" s="156" t="inlineStr">
        <is>
          <t>Engine overheat</t>
        </is>
      </c>
      <c r="G109" s="157">
        <f>IF($B109="","",IF(ISNA(MATCH($B109,MASTER_JAM!$Q$5:$Q$28,0)),"?",IF(MATCH($B109,MASTER_JAM!$Q$5:$Q$28,0)&lt;=12,"DS","NS")))</f>
        <v/>
      </c>
      <c r="H109" s="157">
        <f>IF($E109="","",IF($G109="?","Jam salah",IF(COUNTIF(MASTER_JAM!$V$5:$V$23,$C109)=0,"Unit tidak dikenal",IF(SUMIFS(INPUT_DELAY!$E$5:$E$20000,INPUT_DELAY!$A$5:$A$20000,$A109,INPUT_DELAY!$B$5:$B$20000,$B109,INPUT_DELAY!$C$5:$C$20000,$C109)+IF($C109="SEMUA",0,SUMIFS(INPUT_DELAY!$E$5:$E$20000,INPUT_DELAY!$A$5:$A$20000,$A109,INPUT_DELAY!$B$5:$B$20000,$B109,INPUT_DELAY!$C$5:$C$20000,"SEMUA"))&gt;60,"Total jam ini &gt; 60 menit","OK"))))</f>
        <v/>
      </c>
    </row>
    <row r="110">
      <c r="A110" s="155" t="n">
        <v>46108</v>
      </c>
      <c r="B110" s="156" t="inlineStr">
        <is>
          <t>07-08</t>
        </is>
      </c>
      <c r="C110" s="156" t="inlineStr">
        <is>
          <t>EX-754</t>
        </is>
      </c>
      <c r="D110" s="156" t="inlineStr">
        <is>
          <t>Lainnya</t>
        </is>
      </c>
      <c r="E110" s="156" t="n">
        <v>16</v>
      </c>
      <c r="F110" s="156" t="inlineStr">
        <is>
          <t>Tunggu hauler</t>
        </is>
      </c>
      <c r="G110" s="157">
        <f>IF($B110="","",IF(ISNA(MATCH($B110,MASTER_JAM!$Q$5:$Q$28,0)),"?",IF(MATCH($B110,MASTER_JAM!$Q$5:$Q$28,0)&lt;=12,"DS","NS")))</f>
        <v/>
      </c>
      <c r="H110" s="157">
        <f>IF($E110="","",IF($G110="?","Jam salah",IF(COUNTIF(MASTER_JAM!$V$5:$V$23,$C110)=0,"Unit tidak dikenal",IF(SUMIFS(INPUT_DELAY!$E$5:$E$20000,INPUT_DELAY!$A$5:$A$20000,$A110,INPUT_DELAY!$B$5:$B$20000,$B110,INPUT_DELAY!$C$5:$C$20000,$C110)+IF($C110="SEMUA",0,SUMIFS(INPUT_DELAY!$E$5:$E$20000,INPUT_DELAY!$A$5:$A$20000,$A110,INPUT_DELAY!$B$5:$B$20000,$B110,INPUT_DELAY!$C$5:$C$20000,"SEMUA"))&gt;60,"Total jam ini &gt; 60 menit","OK"))))</f>
        <v/>
      </c>
    </row>
    <row r="111">
      <c r="A111" s="155" t="n">
        <v>46108</v>
      </c>
      <c r="B111" s="156" t="inlineStr">
        <is>
          <t>16-17</t>
        </is>
      </c>
      <c r="C111" s="156" t="inlineStr">
        <is>
          <t>EX-754</t>
        </is>
      </c>
      <c r="D111" s="156" t="inlineStr">
        <is>
          <t>Standby</t>
        </is>
      </c>
      <c r="E111" s="156" t="n">
        <v>56</v>
      </c>
      <c r="F111" s="156" t="inlineStr">
        <is>
          <t>Tunggu hauler</t>
        </is>
      </c>
      <c r="G111" s="157">
        <f>IF($B111="","",IF(ISNA(MATCH($B111,MASTER_JAM!$Q$5:$Q$28,0)),"?",IF(MATCH($B111,MASTER_JAM!$Q$5:$Q$28,0)&lt;=12,"DS","NS")))</f>
        <v/>
      </c>
      <c r="H111" s="157">
        <f>IF($E111="","",IF($G111="?","Jam salah",IF(COUNTIF(MASTER_JAM!$V$5:$V$23,$C111)=0,"Unit tidak dikenal",IF(SUMIFS(INPUT_DELAY!$E$5:$E$20000,INPUT_DELAY!$A$5:$A$20000,$A111,INPUT_DELAY!$B$5:$B$20000,$B111,INPUT_DELAY!$C$5:$C$20000,$C111)+IF($C111="SEMUA",0,SUMIFS(INPUT_DELAY!$E$5:$E$20000,INPUT_DELAY!$A$5:$A$20000,$A111,INPUT_DELAY!$B$5:$B$20000,$B111,INPUT_DELAY!$C$5:$C$20000,"SEMUA"))&gt;60,"Total jam ini &gt; 60 menit","OK"))))</f>
        <v/>
      </c>
    </row>
    <row r="112">
      <c r="A112" s="155" t="n">
        <v>46108</v>
      </c>
      <c r="B112" s="156" t="inlineStr">
        <is>
          <t>16-17</t>
        </is>
      </c>
      <c r="C112" s="156" t="inlineStr">
        <is>
          <t>EX-755</t>
        </is>
      </c>
      <c r="D112" s="156" t="inlineStr">
        <is>
          <t>Standby</t>
        </is>
      </c>
      <c r="E112" s="156" t="n">
        <v>14</v>
      </c>
      <c r="F112" s="156" t="inlineStr">
        <is>
          <t>Pindah front</t>
        </is>
      </c>
      <c r="G112" s="157">
        <f>IF($B112="","",IF(ISNA(MATCH($B112,MASTER_JAM!$Q$5:$Q$28,0)),"?",IF(MATCH($B112,MASTER_JAM!$Q$5:$Q$28,0)&lt;=12,"DS","NS")))</f>
        <v/>
      </c>
      <c r="H112" s="157">
        <f>IF($E112="","",IF($G112="?","Jam salah",IF(COUNTIF(MASTER_JAM!$V$5:$V$23,$C112)=0,"Unit tidak dikenal",IF(SUMIFS(INPUT_DELAY!$E$5:$E$20000,INPUT_DELAY!$A$5:$A$20000,$A112,INPUT_DELAY!$B$5:$B$20000,$B112,INPUT_DELAY!$C$5:$C$20000,$C112)+IF($C112="SEMUA",0,SUMIFS(INPUT_DELAY!$E$5:$E$20000,INPUT_DELAY!$A$5:$A$20000,$A112,INPUT_DELAY!$B$5:$B$20000,$B112,INPUT_DELAY!$C$5:$C$20000,"SEMUA"))&gt;60,"Total jam ini &gt; 60 menit","OK"))))</f>
        <v/>
      </c>
    </row>
    <row r="113">
      <c r="A113" s="155" t="n">
        <v>46108</v>
      </c>
      <c r="B113" s="156" t="inlineStr">
        <is>
          <t>10-11</t>
        </is>
      </c>
      <c r="C113" s="156" t="inlineStr">
        <is>
          <t>EX-753</t>
        </is>
      </c>
      <c r="D113" s="156" t="inlineStr">
        <is>
          <t>Breakdown</t>
        </is>
      </c>
      <c r="E113" s="156" t="n">
        <v>60</v>
      </c>
      <c r="F113" s="156" t="inlineStr">
        <is>
          <t>Track adjust</t>
        </is>
      </c>
      <c r="G113" s="157">
        <f>IF($B113="","",IF(ISNA(MATCH($B113,MASTER_JAM!$Q$5:$Q$28,0)),"?",IF(MATCH($B113,MASTER_JAM!$Q$5:$Q$28,0)&lt;=12,"DS","NS")))</f>
        <v/>
      </c>
      <c r="H113" s="157">
        <f>IF($E113="","",IF($G113="?","Jam salah",IF(COUNTIF(MASTER_JAM!$V$5:$V$23,$C113)=0,"Unit tidak dikenal",IF(SUMIFS(INPUT_DELAY!$E$5:$E$20000,INPUT_DELAY!$A$5:$A$20000,$A113,INPUT_DELAY!$B$5:$B$20000,$B113,INPUT_DELAY!$C$5:$C$20000,$C113)+IF($C113="SEMUA",0,SUMIFS(INPUT_DELAY!$E$5:$E$20000,INPUT_DELAY!$A$5:$A$20000,$A113,INPUT_DELAY!$B$5:$B$20000,$B113,INPUT_DELAY!$C$5:$C$20000,"SEMUA"))&gt;60,"Total jam ini &gt; 60 menit","OK"))))</f>
        <v/>
      </c>
    </row>
    <row r="114">
      <c r="A114" s="155" t="n">
        <v>46108</v>
      </c>
      <c r="B114" s="156" t="inlineStr">
        <is>
          <t>17-18</t>
        </is>
      </c>
      <c r="C114" s="156" t="inlineStr">
        <is>
          <t>EX-753</t>
        </is>
      </c>
      <c r="D114" s="156" t="inlineStr">
        <is>
          <t>Standby</t>
        </is>
      </c>
      <c r="E114" s="156" t="n">
        <v>21</v>
      </c>
      <c r="F114" s="156" t="inlineStr">
        <is>
          <t>Tunggu dozer</t>
        </is>
      </c>
      <c r="G114" s="157">
        <f>IF($B114="","",IF(ISNA(MATCH($B114,MASTER_JAM!$Q$5:$Q$28,0)),"?",IF(MATCH($B114,MASTER_JAM!$Q$5:$Q$28,0)&lt;=12,"DS","NS")))</f>
        <v/>
      </c>
      <c r="H114" s="157">
        <f>IF($E114="","",IF($G114="?","Jam salah",IF(COUNTIF(MASTER_JAM!$V$5:$V$23,$C114)=0,"Unit tidak dikenal",IF(SUMIFS(INPUT_DELAY!$E$5:$E$20000,INPUT_DELAY!$A$5:$A$20000,$A114,INPUT_DELAY!$B$5:$B$20000,$B114,INPUT_DELAY!$C$5:$C$20000,$C114)+IF($C114="SEMUA",0,SUMIFS(INPUT_DELAY!$E$5:$E$20000,INPUT_DELAY!$A$5:$A$20000,$A114,INPUT_DELAY!$B$5:$B$20000,$B114,INPUT_DELAY!$C$5:$C$20000,"SEMUA"))&gt;60,"Total jam ini &gt; 60 menit","OK"))))</f>
        <v/>
      </c>
    </row>
    <row r="115">
      <c r="A115" s="155" t="n">
        <v>46108</v>
      </c>
      <c r="B115" s="156" t="inlineStr">
        <is>
          <t>18-19</t>
        </is>
      </c>
      <c r="C115" s="156" t="inlineStr">
        <is>
          <t>SEMUA</t>
        </is>
      </c>
      <c r="D115" s="156" t="inlineStr">
        <is>
          <t>P2H / Ganti shift</t>
        </is>
      </c>
      <c r="E115" s="156" t="n">
        <v>5</v>
      </c>
      <c r="F115" s="156" t="inlineStr"/>
      <c r="G115" s="157">
        <f>IF($B115="","",IF(ISNA(MATCH($B115,MASTER_JAM!$Q$5:$Q$28,0)),"?",IF(MATCH($B115,MASTER_JAM!$Q$5:$Q$28,0)&lt;=12,"DS","NS")))</f>
        <v/>
      </c>
      <c r="H115" s="157">
        <f>IF($E115="","",IF($G115="?","Jam salah",IF(COUNTIF(MASTER_JAM!$V$5:$V$23,$C115)=0,"Unit tidak dikenal",IF(SUMIFS(INPUT_DELAY!$E$5:$E$20000,INPUT_DELAY!$A$5:$A$20000,$A115,INPUT_DELAY!$B$5:$B$20000,$B115,INPUT_DELAY!$C$5:$C$20000,$C115)+IF($C115="SEMUA",0,SUMIFS(INPUT_DELAY!$E$5:$E$20000,INPUT_DELAY!$A$5:$A$20000,$A115,INPUT_DELAY!$B$5:$B$20000,$B115,INPUT_DELAY!$C$5:$C$20000,"SEMUA"))&gt;60,"Total jam ini &gt; 60 menit","OK"))))</f>
        <v/>
      </c>
    </row>
    <row r="116">
      <c r="A116" s="155" t="n">
        <v>46108</v>
      </c>
      <c r="B116" s="156" t="inlineStr">
        <is>
          <t>00-01</t>
        </is>
      </c>
      <c r="C116" s="156" t="inlineStr">
        <is>
          <t>SEMUA</t>
        </is>
      </c>
      <c r="D116" s="156" t="inlineStr">
        <is>
          <t>Istirahat</t>
        </is>
      </c>
      <c r="E116" s="156" t="n">
        <v>60</v>
      </c>
      <c r="F116" s="156" t="inlineStr"/>
      <c r="G116" s="157">
        <f>IF($B116="","",IF(ISNA(MATCH($B116,MASTER_JAM!$Q$5:$Q$28,0)),"?",IF(MATCH($B116,MASTER_JAM!$Q$5:$Q$28,0)&lt;=12,"DS","NS")))</f>
        <v/>
      </c>
      <c r="H116" s="157">
        <f>IF($E116="","",IF($G116="?","Jam salah",IF(COUNTIF(MASTER_JAM!$V$5:$V$23,$C116)=0,"Unit tidak dikenal",IF(SUMIFS(INPUT_DELAY!$E$5:$E$20000,INPUT_DELAY!$A$5:$A$20000,$A116,INPUT_DELAY!$B$5:$B$20000,$B116,INPUT_DELAY!$C$5:$C$20000,$C116)+IF($C116="SEMUA",0,SUMIFS(INPUT_DELAY!$E$5:$E$20000,INPUT_DELAY!$A$5:$A$20000,$A116,INPUT_DELAY!$B$5:$B$20000,$B116,INPUT_DELAY!$C$5:$C$20000,"SEMUA"))&gt;60,"Total jam ini &gt; 60 menit","OK"))))</f>
        <v/>
      </c>
    </row>
    <row r="117">
      <c r="A117" s="155" t="n">
        <v>46108</v>
      </c>
      <c r="B117" s="156" t="inlineStr">
        <is>
          <t>02-03</t>
        </is>
      </c>
      <c r="C117" s="156" t="inlineStr">
        <is>
          <t>EX-1251</t>
        </is>
      </c>
      <c r="D117" s="156" t="inlineStr">
        <is>
          <t>Standby</t>
        </is>
      </c>
      <c r="E117" s="156" t="n">
        <v>53</v>
      </c>
      <c r="F117" s="156" t="inlineStr">
        <is>
          <t>Pindah front</t>
        </is>
      </c>
      <c r="G117" s="157">
        <f>IF($B117="","",IF(ISNA(MATCH($B117,MASTER_JAM!$Q$5:$Q$28,0)),"?",IF(MATCH($B117,MASTER_JAM!$Q$5:$Q$28,0)&lt;=12,"DS","NS")))</f>
        <v/>
      </c>
      <c r="H117" s="157">
        <f>IF($E117="","",IF($G117="?","Jam salah",IF(COUNTIF(MASTER_JAM!$V$5:$V$23,$C117)=0,"Unit tidak dikenal",IF(SUMIFS(INPUT_DELAY!$E$5:$E$20000,INPUT_DELAY!$A$5:$A$20000,$A117,INPUT_DELAY!$B$5:$B$20000,$B117,INPUT_DELAY!$C$5:$C$20000,$C117)+IF($C117="SEMUA",0,SUMIFS(INPUT_DELAY!$E$5:$E$20000,INPUT_DELAY!$A$5:$A$20000,$A117,INPUT_DELAY!$B$5:$B$20000,$B117,INPUT_DELAY!$C$5:$C$20000,"SEMUA"))&gt;60,"Total jam ini &gt; 60 menit","OK"))))</f>
        <v/>
      </c>
    </row>
    <row r="118">
      <c r="A118" s="155" t="n">
        <v>46108</v>
      </c>
      <c r="B118" s="156" t="inlineStr">
        <is>
          <t>19-20</t>
        </is>
      </c>
      <c r="C118" s="156" t="inlineStr">
        <is>
          <t>EX-1252</t>
        </is>
      </c>
      <c r="D118" s="156" t="inlineStr">
        <is>
          <t>Lainnya</t>
        </is>
      </c>
      <c r="E118" s="156" t="n">
        <v>32</v>
      </c>
      <c r="F118" s="156" t="inlineStr">
        <is>
          <t>Pindah front</t>
        </is>
      </c>
      <c r="G118" s="157">
        <f>IF($B118="","",IF(ISNA(MATCH($B118,MASTER_JAM!$Q$5:$Q$28,0)),"?",IF(MATCH($B118,MASTER_JAM!$Q$5:$Q$28,0)&lt;=12,"DS","NS")))</f>
        <v/>
      </c>
      <c r="H118" s="157">
        <f>IF($E118="","",IF($G118="?","Jam salah",IF(COUNTIF(MASTER_JAM!$V$5:$V$23,$C118)=0,"Unit tidak dikenal",IF(SUMIFS(INPUT_DELAY!$E$5:$E$20000,INPUT_DELAY!$A$5:$A$20000,$A118,INPUT_DELAY!$B$5:$B$20000,$B118,INPUT_DELAY!$C$5:$C$20000,$C118)+IF($C118="SEMUA",0,SUMIFS(INPUT_DELAY!$E$5:$E$20000,INPUT_DELAY!$A$5:$A$20000,$A118,INPUT_DELAY!$B$5:$B$20000,$B118,INPUT_DELAY!$C$5:$C$20000,"SEMUA"))&gt;60,"Total jam ini &gt; 60 menit","OK"))))</f>
        <v/>
      </c>
    </row>
    <row r="119">
      <c r="A119" s="155" t="n">
        <v>46108</v>
      </c>
      <c r="B119" s="156" t="inlineStr">
        <is>
          <t>19-20</t>
        </is>
      </c>
      <c r="C119" s="156" t="inlineStr">
        <is>
          <t>EX-334</t>
        </is>
      </c>
      <c r="D119" s="156" t="inlineStr">
        <is>
          <t>Standby</t>
        </is>
      </c>
      <c r="E119" s="156" t="n">
        <v>59</v>
      </c>
      <c r="F119" s="156" t="inlineStr">
        <is>
          <t>Tunggu hauler</t>
        </is>
      </c>
      <c r="G119" s="157">
        <f>IF($B119="","",IF(ISNA(MATCH($B119,MASTER_JAM!$Q$5:$Q$28,0)),"?",IF(MATCH($B119,MASTER_JAM!$Q$5:$Q$28,0)&lt;=12,"DS","NS")))</f>
        <v/>
      </c>
      <c r="H119" s="157">
        <f>IF($E119="","",IF($G119="?","Jam salah",IF(COUNTIF(MASTER_JAM!$V$5:$V$23,$C119)=0,"Unit tidak dikenal",IF(SUMIFS(INPUT_DELAY!$E$5:$E$20000,INPUT_DELAY!$A$5:$A$20000,$A119,INPUT_DELAY!$B$5:$B$20000,$B119,INPUT_DELAY!$C$5:$C$20000,$C119)+IF($C119="SEMUA",0,SUMIFS(INPUT_DELAY!$E$5:$E$20000,INPUT_DELAY!$A$5:$A$20000,$A119,INPUT_DELAY!$B$5:$B$20000,$B119,INPUT_DELAY!$C$5:$C$20000,"SEMUA"))&gt;60,"Total jam ini &gt; 60 menit","OK"))))</f>
        <v/>
      </c>
    </row>
    <row r="120">
      <c r="A120" s="155" t="n">
        <v>46108</v>
      </c>
      <c r="B120" s="156" t="inlineStr">
        <is>
          <t>18-19</t>
        </is>
      </c>
      <c r="C120" s="156" t="inlineStr">
        <is>
          <t>EX-332</t>
        </is>
      </c>
      <c r="D120" s="156" t="inlineStr">
        <is>
          <t>Lainnya</t>
        </is>
      </c>
      <c r="E120" s="156" t="n">
        <v>16</v>
      </c>
      <c r="F120" s="156" t="inlineStr">
        <is>
          <t>Pindah front</t>
        </is>
      </c>
      <c r="G120" s="157">
        <f>IF($B120="","",IF(ISNA(MATCH($B120,MASTER_JAM!$Q$5:$Q$28,0)),"?",IF(MATCH($B120,MASTER_JAM!$Q$5:$Q$28,0)&lt;=12,"DS","NS")))</f>
        <v/>
      </c>
      <c r="H120" s="157">
        <f>IF($E120="","",IF($G120="?","Jam salah",IF(COUNTIF(MASTER_JAM!$V$5:$V$23,$C120)=0,"Unit tidak dikenal",IF(SUMIFS(INPUT_DELAY!$E$5:$E$20000,INPUT_DELAY!$A$5:$A$20000,$A120,INPUT_DELAY!$B$5:$B$20000,$B120,INPUT_DELAY!$C$5:$C$20000,$C120)+IF($C120="SEMUA",0,SUMIFS(INPUT_DELAY!$E$5:$E$20000,INPUT_DELAY!$A$5:$A$20000,$A120,INPUT_DELAY!$B$5:$B$20000,$B120,INPUT_DELAY!$C$5:$C$20000,"SEMUA"))&gt;60,"Total jam ini &gt; 60 menit","OK"))))</f>
        <v/>
      </c>
    </row>
    <row r="121">
      <c r="A121" s="155" t="n">
        <v>46108</v>
      </c>
      <c r="B121" s="156" t="inlineStr">
        <is>
          <t>20-21</t>
        </is>
      </c>
      <c r="C121" s="156" t="inlineStr">
        <is>
          <t>EX-754</t>
        </is>
      </c>
      <c r="D121" s="156" t="inlineStr">
        <is>
          <t>Standby</t>
        </is>
      </c>
      <c r="E121" s="156" t="n">
        <v>3</v>
      </c>
      <c r="F121" s="156" t="inlineStr">
        <is>
          <t>Tunggu hauler</t>
        </is>
      </c>
      <c r="G121" s="157">
        <f>IF($B121="","",IF(ISNA(MATCH($B121,MASTER_JAM!$Q$5:$Q$28,0)),"?",IF(MATCH($B121,MASTER_JAM!$Q$5:$Q$28,0)&lt;=12,"DS","NS")))</f>
        <v/>
      </c>
      <c r="H121" s="157">
        <f>IF($E121="","",IF($G121="?","Jam salah",IF(COUNTIF(MASTER_JAM!$V$5:$V$23,$C121)=0,"Unit tidak dikenal",IF(SUMIFS(INPUT_DELAY!$E$5:$E$20000,INPUT_DELAY!$A$5:$A$20000,$A121,INPUT_DELAY!$B$5:$B$20000,$B121,INPUT_DELAY!$C$5:$C$20000,$C121)+IF($C121="SEMUA",0,SUMIFS(INPUT_DELAY!$E$5:$E$20000,INPUT_DELAY!$A$5:$A$20000,$A121,INPUT_DELAY!$B$5:$B$20000,$B121,INPUT_DELAY!$C$5:$C$20000,"SEMUA"))&gt;60,"Total jam ini &gt; 60 menit","OK"))))</f>
        <v/>
      </c>
    </row>
    <row r="122">
      <c r="A122" s="155" t="n">
        <v>46108</v>
      </c>
      <c r="B122" s="156" t="inlineStr">
        <is>
          <t>02-03</t>
        </is>
      </c>
      <c r="C122" s="156" t="inlineStr">
        <is>
          <t>EX-754</t>
        </is>
      </c>
      <c r="D122" s="156" t="inlineStr">
        <is>
          <t>Standby</t>
        </is>
      </c>
      <c r="E122" s="156" t="n">
        <v>15</v>
      </c>
      <c r="F122" s="156" t="inlineStr">
        <is>
          <t>Tunggu hauler</t>
        </is>
      </c>
      <c r="G122" s="157">
        <f>IF($B122="","",IF(ISNA(MATCH($B122,MASTER_JAM!$Q$5:$Q$28,0)),"?",IF(MATCH($B122,MASTER_JAM!$Q$5:$Q$28,0)&lt;=12,"DS","NS")))</f>
        <v/>
      </c>
      <c r="H122" s="157">
        <f>IF($E122="","",IF($G122="?","Jam salah",IF(COUNTIF(MASTER_JAM!$V$5:$V$23,$C122)=0,"Unit tidak dikenal",IF(SUMIFS(INPUT_DELAY!$E$5:$E$20000,INPUT_DELAY!$A$5:$A$20000,$A122,INPUT_DELAY!$B$5:$B$20000,$B122,INPUT_DELAY!$C$5:$C$20000,$C122)+IF($C122="SEMUA",0,SUMIFS(INPUT_DELAY!$E$5:$E$20000,INPUT_DELAY!$A$5:$A$20000,$A122,INPUT_DELAY!$B$5:$B$20000,$B122,INPUT_DELAY!$C$5:$C$20000,"SEMUA"))&gt;60,"Total jam ini &gt; 60 menit","OK"))))</f>
        <v/>
      </c>
    </row>
    <row r="123">
      <c r="A123" s="155" t="n">
        <v>46108</v>
      </c>
      <c r="B123" s="156" t="inlineStr">
        <is>
          <t>23-24</t>
        </is>
      </c>
      <c r="C123" s="156" t="inlineStr">
        <is>
          <t>EX-755</t>
        </is>
      </c>
      <c r="D123" s="156" t="inlineStr">
        <is>
          <t>Standby</t>
        </is>
      </c>
      <c r="E123" s="156" t="n">
        <v>42</v>
      </c>
      <c r="F123" s="156" t="inlineStr">
        <is>
          <t>Tunggu dozer</t>
        </is>
      </c>
      <c r="G123" s="157">
        <f>IF($B123="","",IF(ISNA(MATCH($B123,MASTER_JAM!$Q$5:$Q$28,0)),"?",IF(MATCH($B123,MASTER_JAM!$Q$5:$Q$28,0)&lt;=12,"DS","NS")))</f>
        <v/>
      </c>
      <c r="H123" s="157">
        <f>IF($E123="","",IF($G123="?","Jam salah",IF(COUNTIF(MASTER_JAM!$V$5:$V$23,$C123)=0,"Unit tidak dikenal",IF(SUMIFS(INPUT_DELAY!$E$5:$E$20000,INPUT_DELAY!$A$5:$A$20000,$A123,INPUT_DELAY!$B$5:$B$20000,$B123,INPUT_DELAY!$C$5:$C$20000,$C123)+IF($C123="SEMUA",0,SUMIFS(INPUT_DELAY!$E$5:$E$20000,INPUT_DELAY!$A$5:$A$20000,$A123,INPUT_DELAY!$B$5:$B$20000,$B123,INPUT_DELAY!$C$5:$C$20000,"SEMUA"))&gt;60,"Total jam ini &gt; 60 menit","OK"))))</f>
        <v/>
      </c>
    </row>
    <row r="124">
      <c r="A124" s="155" t="n">
        <v>46108</v>
      </c>
      <c r="B124" s="156" t="inlineStr">
        <is>
          <t>20-21</t>
        </is>
      </c>
      <c r="C124" s="156" t="inlineStr">
        <is>
          <t>EX-753</t>
        </is>
      </c>
      <c r="D124" s="156" t="inlineStr">
        <is>
          <t>Lainnya</t>
        </is>
      </c>
      <c r="E124" s="156" t="n">
        <v>24</v>
      </c>
      <c r="F124" s="156" t="inlineStr">
        <is>
          <t>Pindah front</t>
        </is>
      </c>
      <c r="G124" s="157">
        <f>IF($B124="","",IF(ISNA(MATCH($B124,MASTER_JAM!$Q$5:$Q$28,0)),"?",IF(MATCH($B124,MASTER_JAM!$Q$5:$Q$28,0)&lt;=12,"DS","NS")))</f>
        <v/>
      </c>
      <c r="H124" s="157">
        <f>IF($E124="","",IF($G124="?","Jam salah",IF(COUNTIF(MASTER_JAM!$V$5:$V$23,$C124)=0,"Unit tidak dikenal",IF(SUMIFS(INPUT_DELAY!$E$5:$E$20000,INPUT_DELAY!$A$5:$A$20000,$A124,INPUT_DELAY!$B$5:$B$20000,$B124,INPUT_DELAY!$C$5:$C$20000,$C124)+IF($C124="SEMUA",0,SUMIFS(INPUT_DELAY!$E$5:$E$20000,INPUT_DELAY!$A$5:$A$20000,$A124,INPUT_DELAY!$B$5:$B$20000,$B124,INPUT_DELAY!$C$5:$C$20000,"SEMUA"))&gt;60,"Total jam ini &gt; 60 menit","OK"))))</f>
        <v/>
      </c>
    </row>
    <row r="125">
      <c r="A125" s="155" t="n">
        <v>46108</v>
      </c>
      <c r="B125" s="156" t="inlineStr">
        <is>
          <t>03-04</t>
        </is>
      </c>
      <c r="C125" s="156" t="inlineStr">
        <is>
          <t>EX-753</t>
        </is>
      </c>
      <c r="D125" s="156" t="inlineStr">
        <is>
          <t>Standby</t>
        </is>
      </c>
      <c r="E125" s="156" t="n">
        <v>26</v>
      </c>
      <c r="F125" s="156" t="inlineStr">
        <is>
          <t>Pindah front</t>
        </is>
      </c>
      <c r="G125" s="157">
        <f>IF($B125="","",IF(ISNA(MATCH($B125,MASTER_JAM!$Q$5:$Q$28,0)),"?",IF(MATCH($B125,MASTER_JAM!$Q$5:$Q$28,0)&lt;=12,"DS","NS")))</f>
        <v/>
      </c>
      <c r="H125" s="157">
        <f>IF($E125="","",IF($G125="?","Jam salah",IF(COUNTIF(MASTER_JAM!$V$5:$V$23,$C125)=0,"Unit tidak dikenal",IF(SUMIFS(INPUT_DELAY!$E$5:$E$20000,INPUT_DELAY!$A$5:$A$20000,$A125,INPUT_DELAY!$B$5:$B$20000,$B125,INPUT_DELAY!$C$5:$C$20000,$C125)+IF($C125="SEMUA",0,SUMIFS(INPUT_DELAY!$E$5:$E$20000,INPUT_DELAY!$A$5:$A$20000,$A125,INPUT_DELAY!$B$5:$B$20000,$B125,INPUT_DELAY!$C$5:$C$20000,"SEMUA"))&gt;60,"Total jam ini &gt; 60 menit","OK"))))</f>
        <v/>
      </c>
    </row>
    <row r="126">
      <c r="A126" s="155" t="n">
        <v>46109</v>
      </c>
      <c r="B126" s="156" t="inlineStr">
        <is>
          <t>06-07</t>
        </is>
      </c>
      <c r="C126" s="156" t="inlineStr">
        <is>
          <t>SEMUA</t>
        </is>
      </c>
      <c r="D126" s="156" t="inlineStr">
        <is>
          <t>P2H / Ganti shift</t>
        </is>
      </c>
      <c r="E126" s="156" t="n">
        <v>5</v>
      </c>
      <c r="F126" s="156" t="inlineStr"/>
      <c r="G126" s="157">
        <f>IF($B126="","",IF(ISNA(MATCH($B126,MASTER_JAM!$Q$5:$Q$28,0)),"?",IF(MATCH($B126,MASTER_JAM!$Q$5:$Q$28,0)&lt;=12,"DS","NS")))</f>
        <v/>
      </c>
      <c r="H126" s="157">
        <f>IF($E126="","",IF($G126="?","Jam salah",IF(COUNTIF(MASTER_JAM!$V$5:$V$23,$C126)=0,"Unit tidak dikenal",IF(SUMIFS(INPUT_DELAY!$E$5:$E$20000,INPUT_DELAY!$A$5:$A$20000,$A126,INPUT_DELAY!$B$5:$B$20000,$B126,INPUT_DELAY!$C$5:$C$20000,$C126)+IF($C126="SEMUA",0,SUMIFS(INPUT_DELAY!$E$5:$E$20000,INPUT_DELAY!$A$5:$A$20000,$A126,INPUT_DELAY!$B$5:$B$20000,$B126,INPUT_DELAY!$C$5:$C$20000,"SEMUA"))&gt;60,"Total jam ini &gt; 60 menit","OK"))))</f>
        <v/>
      </c>
    </row>
    <row r="127">
      <c r="A127" s="155" t="n">
        <v>46109</v>
      </c>
      <c r="B127" s="156" t="inlineStr">
        <is>
          <t>09-10</t>
        </is>
      </c>
      <c r="C127" s="156" t="inlineStr">
        <is>
          <t>SEMUA</t>
        </is>
      </c>
      <c r="D127" s="156" t="inlineStr">
        <is>
          <t>Rain</t>
        </is>
      </c>
      <c r="E127" s="156" t="n">
        <v>60</v>
      </c>
      <c r="F127" s="156" t="inlineStr">
        <is>
          <t>Hujan</t>
        </is>
      </c>
      <c r="G127" s="157">
        <f>IF($B127="","",IF(ISNA(MATCH($B127,MASTER_JAM!$Q$5:$Q$28,0)),"?",IF(MATCH($B127,MASTER_JAM!$Q$5:$Q$28,0)&lt;=12,"DS","NS")))</f>
        <v/>
      </c>
      <c r="H127" s="157">
        <f>IF($E127="","",IF($G127="?","Jam salah",IF(COUNTIF(MASTER_JAM!$V$5:$V$23,$C127)=0,"Unit tidak dikenal",IF(SUMIFS(INPUT_DELAY!$E$5:$E$20000,INPUT_DELAY!$A$5:$A$20000,$A127,INPUT_DELAY!$B$5:$B$20000,$B127,INPUT_DELAY!$C$5:$C$20000,$C127)+IF($C127="SEMUA",0,SUMIFS(INPUT_DELAY!$E$5:$E$20000,INPUT_DELAY!$A$5:$A$20000,$A127,INPUT_DELAY!$B$5:$B$20000,$B127,INPUT_DELAY!$C$5:$C$20000,"SEMUA"))&gt;60,"Total jam ini &gt; 60 menit","OK"))))</f>
        <v/>
      </c>
    </row>
    <row r="128">
      <c r="A128" s="155" t="n">
        <v>46109</v>
      </c>
      <c r="B128" s="156" t="inlineStr">
        <is>
          <t>10-11</t>
        </is>
      </c>
      <c r="C128" s="156" t="inlineStr">
        <is>
          <t>SEMUA</t>
        </is>
      </c>
      <c r="D128" s="156" t="inlineStr">
        <is>
          <t>Rain</t>
        </is>
      </c>
      <c r="E128" s="156" t="n">
        <v>60</v>
      </c>
      <c r="F128" s="156" t="inlineStr">
        <is>
          <t>Hujan</t>
        </is>
      </c>
      <c r="G128" s="157">
        <f>IF($B128="","",IF(ISNA(MATCH($B128,MASTER_JAM!$Q$5:$Q$28,0)),"?",IF(MATCH($B128,MASTER_JAM!$Q$5:$Q$28,0)&lt;=12,"DS","NS")))</f>
        <v/>
      </c>
      <c r="H128" s="157">
        <f>IF($E128="","",IF($G128="?","Jam salah",IF(COUNTIF(MASTER_JAM!$V$5:$V$23,$C128)=0,"Unit tidak dikenal",IF(SUMIFS(INPUT_DELAY!$E$5:$E$20000,INPUT_DELAY!$A$5:$A$20000,$A128,INPUT_DELAY!$B$5:$B$20000,$B128,INPUT_DELAY!$C$5:$C$20000,$C128)+IF($C128="SEMUA",0,SUMIFS(INPUT_DELAY!$E$5:$E$20000,INPUT_DELAY!$A$5:$A$20000,$A128,INPUT_DELAY!$B$5:$B$20000,$B128,INPUT_DELAY!$C$5:$C$20000,"SEMUA"))&gt;60,"Total jam ini &gt; 60 menit","OK"))))</f>
        <v/>
      </c>
    </row>
    <row r="129">
      <c r="A129" s="155" t="n">
        <v>46109</v>
      </c>
      <c r="B129" s="156" t="inlineStr">
        <is>
          <t>11-12</t>
        </is>
      </c>
      <c r="C129" s="156" t="inlineStr">
        <is>
          <t>SEMUA</t>
        </is>
      </c>
      <c r="D129" s="156" t="inlineStr">
        <is>
          <t>Rain</t>
        </is>
      </c>
      <c r="E129" s="156" t="n">
        <v>60</v>
      </c>
      <c r="F129" s="156" t="inlineStr">
        <is>
          <t>Hujan</t>
        </is>
      </c>
      <c r="G129" s="157">
        <f>IF($B129="","",IF(ISNA(MATCH($B129,MASTER_JAM!$Q$5:$Q$28,0)),"?",IF(MATCH($B129,MASTER_JAM!$Q$5:$Q$28,0)&lt;=12,"DS","NS")))</f>
        <v/>
      </c>
      <c r="H129" s="157">
        <f>IF($E129="","",IF($G129="?","Jam salah",IF(COUNTIF(MASTER_JAM!$V$5:$V$23,$C129)=0,"Unit tidak dikenal",IF(SUMIFS(INPUT_DELAY!$E$5:$E$20000,INPUT_DELAY!$A$5:$A$20000,$A129,INPUT_DELAY!$B$5:$B$20000,$B129,INPUT_DELAY!$C$5:$C$20000,$C129)+IF($C129="SEMUA",0,SUMIFS(INPUT_DELAY!$E$5:$E$20000,INPUT_DELAY!$A$5:$A$20000,$A129,INPUT_DELAY!$B$5:$B$20000,$B129,INPUT_DELAY!$C$5:$C$20000,"SEMUA"))&gt;60,"Total jam ini &gt; 60 menit","OK"))))</f>
        <v/>
      </c>
    </row>
    <row r="130">
      <c r="A130" s="155" t="n">
        <v>46109</v>
      </c>
      <c r="B130" s="156" t="inlineStr">
        <is>
          <t>12-13</t>
        </is>
      </c>
      <c r="C130" s="156" t="inlineStr">
        <is>
          <t>SEMUA</t>
        </is>
      </c>
      <c r="D130" s="156" t="inlineStr">
        <is>
          <t>Istirahat</t>
        </is>
      </c>
      <c r="E130" s="156" t="n">
        <v>60</v>
      </c>
      <c r="F130" s="156" t="inlineStr"/>
      <c r="G130" s="157">
        <f>IF($B130="","",IF(ISNA(MATCH($B130,MASTER_JAM!$Q$5:$Q$28,0)),"?",IF(MATCH($B130,MASTER_JAM!$Q$5:$Q$28,0)&lt;=12,"DS","NS")))</f>
        <v/>
      </c>
      <c r="H130" s="157">
        <f>IF($E130="","",IF($G130="?","Jam salah",IF(COUNTIF(MASTER_JAM!$V$5:$V$23,$C130)=0,"Unit tidak dikenal",IF(SUMIFS(INPUT_DELAY!$E$5:$E$20000,INPUT_DELAY!$A$5:$A$20000,$A130,INPUT_DELAY!$B$5:$B$20000,$B130,INPUT_DELAY!$C$5:$C$20000,$C130)+IF($C130="SEMUA",0,SUMIFS(INPUT_DELAY!$E$5:$E$20000,INPUT_DELAY!$A$5:$A$20000,$A130,INPUT_DELAY!$B$5:$B$20000,$B130,INPUT_DELAY!$C$5:$C$20000,"SEMUA"))&gt;60,"Total jam ini &gt; 60 menit","OK"))))</f>
        <v/>
      </c>
    </row>
    <row r="131">
      <c r="A131" s="155" t="n">
        <v>46109</v>
      </c>
      <c r="B131" s="156" t="inlineStr">
        <is>
          <t>13-14</t>
        </is>
      </c>
      <c r="C131" s="156" t="inlineStr">
        <is>
          <t>SEMUA</t>
        </is>
      </c>
      <c r="D131" s="156" t="inlineStr">
        <is>
          <t>Rain</t>
        </is>
      </c>
      <c r="E131" s="156" t="n">
        <v>60</v>
      </c>
      <c r="F131" s="156" t="inlineStr">
        <is>
          <t>Hujan</t>
        </is>
      </c>
      <c r="G131" s="157">
        <f>IF($B131="","",IF(ISNA(MATCH($B131,MASTER_JAM!$Q$5:$Q$28,0)),"?",IF(MATCH($B131,MASTER_JAM!$Q$5:$Q$28,0)&lt;=12,"DS","NS")))</f>
        <v/>
      </c>
      <c r="H131" s="157">
        <f>IF($E131="","",IF($G131="?","Jam salah",IF(COUNTIF(MASTER_JAM!$V$5:$V$23,$C131)=0,"Unit tidak dikenal",IF(SUMIFS(INPUT_DELAY!$E$5:$E$20000,INPUT_DELAY!$A$5:$A$20000,$A131,INPUT_DELAY!$B$5:$B$20000,$B131,INPUT_DELAY!$C$5:$C$20000,$C131)+IF($C131="SEMUA",0,SUMIFS(INPUT_DELAY!$E$5:$E$20000,INPUT_DELAY!$A$5:$A$20000,$A131,INPUT_DELAY!$B$5:$B$20000,$B131,INPUT_DELAY!$C$5:$C$20000,"SEMUA"))&gt;60,"Total jam ini &gt; 60 menit","OK"))))</f>
        <v/>
      </c>
    </row>
    <row r="132">
      <c r="A132" s="155" t="n">
        <v>46109</v>
      </c>
      <c r="B132" s="156" t="inlineStr">
        <is>
          <t>14-15</t>
        </is>
      </c>
      <c r="C132" s="156" t="inlineStr">
        <is>
          <t>SEMUA</t>
        </is>
      </c>
      <c r="D132" s="156" t="inlineStr">
        <is>
          <t>Rain</t>
        </is>
      </c>
      <c r="E132" s="156" t="n">
        <v>17</v>
      </c>
      <c r="F132" s="156" t="inlineStr">
        <is>
          <t>Hujan</t>
        </is>
      </c>
      <c r="G132" s="157">
        <f>IF($B132="","",IF(ISNA(MATCH($B132,MASTER_JAM!$Q$5:$Q$28,0)),"?",IF(MATCH($B132,MASTER_JAM!$Q$5:$Q$28,0)&lt;=12,"DS","NS")))</f>
        <v/>
      </c>
      <c r="H132" s="157">
        <f>IF($E132="","",IF($G132="?","Jam salah",IF(COUNTIF(MASTER_JAM!$V$5:$V$23,$C132)=0,"Unit tidak dikenal",IF(SUMIFS(INPUT_DELAY!$E$5:$E$20000,INPUT_DELAY!$A$5:$A$20000,$A132,INPUT_DELAY!$B$5:$B$20000,$B132,INPUT_DELAY!$C$5:$C$20000,$C132)+IF($C132="SEMUA",0,SUMIFS(INPUT_DELAY!$E$5:$E$20000,INPUT_DELAY!$A$5:$A$20000,$A132,INPUT_DELAY!$B$5:$B$20000,$B132,INPUT_DELAY!$C$5:$C$20000,"SEMUA"))&gt;60,"Total jam ini &gt; 60 menit","OK"))))</f>
        <v/>
      </c>
    </row>
    <row r="133">
      <c r="A133" s="155" t="n">
        <v>46109</v>
      </c>
      <c r="B133" s="156" t="inlineStr">
        <is>
          <t>15-16</t>
        </is>
      </c>
      <c r="C133" s="156" t="inlineStr">
        <is>
          <t>SEMUA</t>
        </is>
      </c>
      <c r="D133" s="156" t="inlineStr">
        <is>
          <t>Slippery</t>
        </is>
      </c>
      <c r="E133" s="156" t="n">
        <v>42</v>
      </c>
      <c r="F133" s="156" t="inlineStr"/>
      <c r="G133" s="157">
        <f>IF($B133="","",IF(ISNA(MATCH($B133,MASTER_JAM!$Q$5:$Q$28,0)),"?",IF(MATCH($B133,MASTER_JAM!$Q$5:$Q$28,0)&lt;=12,"DS","NS")))</f>
        <v/>
      </c>
      <c r="H133" s="157">
        <f>IF($E133="","",IF($G133="?","Jam salah",IF(COUNTIF(MASTER_JAM!$V$5:$V$23,$C133)=0,"Unit tidak dikenal",IF(SUMIFS(INPUT_DELAY!$E$5:$E$20000,INPUT_DELAY!$A$5:$A$20000,$A133,INPUT_DELAY!$B$5:$B$20000,$B133,INPUT_DELAY!$C$5:$C$20000,$C133)+IF($C133="SEMUA",0,SUMIFS(INPUT_DELAY!$E$5:$E$20000,INPUT_DELAY!$A$5:$A$20000,$A133,INPUT_DELAY!$B$5:$B$20000,$B133,INPUT_DELAY!$C$5:$C$20000,"SEMUA"))&gt;60,"Total jam ini &gt; 60 menit","OK"))))</f>
        <v/>
      </c>
    </row>
    <row r="134">
      <c r="A134" s="155" t="n">
        <v>46109</v>
      </c>
      <c r="B134" s="156" t="inlineStr">
        <is>
          <t>10-11</t>
        </is>
      </c>
      <c r="C134" s="156" t="inlineStr">
        <is>
          <t>EX-1251</t>
        </is>
      </c>
      <c r="D134" s="156" t="inlineStr">
        <is>
          <t>Breakdown</t>
        </is>
      </c>
      <c r="E134" s="156" t="n">
        <v>0</v>
      </c>
      <c r="F134" s="156" t="inlineStr">
        <is>
          <t>Hose bocor</t>
        </is>
      </c>
      <c r="G134" s="157">
        <f>IF($B134="","",IF(ISNA(MATCH($B134,MASTER_JAM!$Q$5:$Q$28,0)),"?",IF(MATCH($B134,MASTER_JAM!$Q$5:$Q$28,0)&lt;=12,"DS","NS")))</f>
        <v/>
      </c>
      <c r="H134" s="157">
        <f>IF($E134="","",IF($G134="?","Jam salah",IF(COUNTIF(MASTER_JAM!$V$5:$V$23,$C134)=0,"Unit tidak dikenal",IF(SUMIFS(INPUT_DELAY!$E$5:$E$20000,INPUT_DELAY!$A$5:$A$20000,$A134,INPUT_DELAY!$B$5:$B$20000,$B134,INPUT_DELAY!$C$5:$C$20000,$C134)+IF($C134="SEMUA",0,SUMIFS(INPUT_DELAY!$E$5:$E$20000,INPUT_DELAY!$A$5:$A$20000,$A134,INPUT_DELAY!$B$5:$B$20000,$B134,INPUT_DELAY!$C$5:$C$20000,"SEMUA"))&gt;60,"Total jam ini &gt; 60 menit","OK"))))</f>
        <v/>
      </c>
    </row>
    <row r="135">
      <c r="A135" s="155" t="n">
        <v>46109</v>
      </c>
      <c r="B135" s="156" t="inlineStr">
        <is>
          <t>09-10</t>
        </is>
      </c>
      <c r="C135" s="156" t="inlineStr">
        <is>
          <t>EX-1251</t>
        </is>
      </c>
      <c r="D135" s="156" t="inlineStr">
        <is>
          <t>Breakdown</t>
        </is>
      </c>
      <c r="E135" s="156" t="n">
        <v>0</v>
      </c>
      <c r="F135" s="156" t="inlineStr">
        <is>
          <t>Engine overheat</t>
        </is>
      </c>
      <c r="G135" s="157">
        <f>IF($B135="","",IF(ISNA(MATCH($B135,MASTER_JAM!$Q$5:$Q$28,0)),"?",IF(MATCH($B135,MASTER_JAM!$Q$5:$Q$28,0)&lt;=12,"DS","NS")))</f>
        <v/>
      </c>
      <c r="H135" s="157">
        <f>IF($E135="","",IF($G135="?","Jam salah",IF(COUNTIF(MASTER_JAM!$V$5:$V$23,$C135)=0,"Unit tidak dikenal",IF(SUMIFS(INPUT_DELAY!$E$5:$E$20000,INPUT_DELAY!$A$5:$A$20000,$A135,INPUT_DELAY!$B$5:$B$20000,$B135,INPUT_DELAY!$C$5:$C$20000,$C135)+IF($C135="SEMUA",0,SUMIFS(INPUT_DELAY!$E$5:$E$20000,INPUT_DELAY!$A$5:$A$20000,$A135,INPUT_DELAY!$B$5:$B$20000,$B135,INPUT_DELAY!$C$5:$C$20000,"SEMUA"))&gt;60,"Total jam ini &gt; 60 menit","OK"))))</f>
        <v/>
      </c>
    </row>
    <row r="136">
      <c r="A136" s="155" t="n">
        <v>46109</v>
      </c>
      <c r="B136" s="156" t="inlineStr">
        <is>
          <t>13-14</t>
        </is>
      </c>
      <c r="C136" s="156" t="inlineStr">
        <is>
          <t>EX-1251</t>
        </is>
      </c>
      <c r="D136" s="156" t="inlineStr">
        <is>
          <t>Breakdown</t>
        </is>
      </c>
      <c r="E136" s="156" t="n">
        <v>0</v>
      </c>
      <c r="F136" s="156" t="inlineStr">
        <is>
          <t>Cek hidrolik</t>
        </is>
      </c>
      <c r="G136" s="157">
        <f>IF($B136="","",IF(ISNA(MATCH($B136,MASTER_JAM!$Q$5:$Q$28,0)),"?",IF(MATCH($B136,MASTER_JAM!$Q$5:$Q$28,0)&lt;=12,"DS","NS")))</f>
        <v/>
      </c>
      <c r="H136" s="157">
        <f>IF($E136="","",IF($G136="?","Jam salah",IF(COUNTIF(MASTER_JAM!$V$5:$V$23,$C136)=0,"Unit tidak dikenal",IF(SUMIFS(INPUT_DELAY!$E$5:$E$20000,INPUT_DELAY!$A$5:$A$20000,$A136,INPUT_DELAY!$B$5:$B$20000,$B136,INPUT_DELAY!$C$5:$C$20000,$C136)+IF($C136="SEMUA",0,SUMIFS(INPUT_DELAY!$E$5:$E$20000,INPUT_DELAY!$A$5:$A$20000,$A136,INPUT_DELAY!$B$5:$B$20000,$B136,INPUT_DELAY!$C$5:$C$20000,"SEMUA"))&gt;60,"Total jam ini &gt; 60 menit","OK"))))</f>
        <v/>
      </c>
    </row>
    <row r="137">
      <c r="A137" s="155" t="n">
        <v>46109</v>
      </c>
      <c r="B137" s="156" t="inlineStr">
        <is>
          <t>11-12</t>
        </is>
      </c>
      <c r="C137" s="156" t="inlineStr">
        <is>
          <t>EX-1251</t>
        </is>
      </c>
      <c r="D137" s="156" t="inlineStr">
        <is>
          <t>Breakdown</t>
        </is>
      </c>
      <c r="E137" s="156" t="n">
        <v>0</v>
      </c>
      <c r="F137" s="156" t="inlineStr">
        <is>
          <t>Cek hidrolik</t>
        </is>
      </c>
      <c r="G137" s="157">
        <f>IF($B137="","",IF(ISNA(MATCH($B137,MASTER_JAM!$Q$5:$Q$28,0)),"?",IF(MATCH($B137,MASTER_JAM!$Q$5:$Q$28,0)&lt;=12,"DS","NS")))</f>
        <v/>
      </c>
      <c r="H137" s="157">
        <f>IF($E137="","",IF($G137="?","Jam salah",IF(COUNTIF(MASTER_JAM!$V$5:$V$23,$C137)=0,"Unit tidak dikenal",IF(SUMIFS(INPUT_DELAY!$E$5:$E$20000,INPUT_DELAY!$A$5:$A$20000,$A137,INPUT_DELAY!$B$5:$B$20000,$B137,INPUT_DELAY!$C$5:$C$20000,$C137)+IF($C137="SEMUA",0,SUMIFS(INPUT_DELAY!$E$5:$E$20000,INPUT_DELAY!$A$5:$A$20000,$A137,INPUT_DELAY!$B$5:$B$20000,$B137,INPUT_DELAY!$C$5:$C$20000,"SEMUA"))&gt;60,"Total jam ini &gt; 60 menit","OK"))))</f>
        <v/>
      </c>
    </row>
    <row r="138">
      <c r="A138" s="155" t="n">
        <v>46109</v>
      </c>
      <c r="B138" s="156" t="inlineStr">
        <is>
          <t>12-13</t>
        </is>
      </c>
      <c r="C138" s="156" t="inlineStr">
        <is>
          <t>EX-1251</t>
        </is>
      </c>
      <c r="D138" s="156" t="inlineStr">
        <is>
          <t>Breakdown</t>
        </is>
      </c>
      <c r="E138" s="156" t="n">
        <v>0</v>
      </c>
      <c r="F138" s="156" t="inlineStr">
        <is>
          <t>Track adjust</t>
        </is>
      </c>
      <c r="G138" s="157">
        <f>IF($B138="","",IF(ISNA(MATCH($B138,MASTER_JAM!$Q$5:$Q$28,0)),"?",IF(MATCH($B138,MASTER_JAM!$Q$5:$Q$28,0)&lt;=12,"DS","NS")))</f>
        <v/>
      </c>
      <c r="H138" s="157">
        <f>IF($E138="","",IF($G138="?","Jam salah",IF(COUNTIF(MASTER_JAM!$V$5:$V$23,$C138)=0,"Unit tidak dikenal",IF(SUMIFS(INPUT_DELAY!$E$5:$E$20000,INPUT_DELAY!$A$5:$A$20000,$A138,INPUT_DELAY!$B$5:$B$20000,$B138,INPUT_DELAY!$C$5:$C$20000,$C138)+IF($C138="SEMUA",0,SUMIFS(INPUT_DELAY!$E$5:$E$20000,INPUT_DELAY!$A$5:$A$20000,$A138,INPUT_DELAY!$B$5:$B$20000,$B138,INPUT_DELAY!$C$5:$C$20000,"SEMUA"))&gt;60,"Total jam ini &gt; 60 menit","OK"))))</f>
        <v/>
      </c>
    </row>
    <row r="139">
      <c r="A139" s="155" t="n">
        <v>46109</v>
      </c>
      <c r="B139" s="156" t="inlineStr">
        <is>
          <t>14-15</t>
        </is>
      </c>
      <c r="C139" s="156" t="inlineStr">
        <is>
          <t>EX-1251</t>
        </is>
      </c>
      <c r="D139" s="156" t="inlineStr">
        <is>
          <t>Breakdown</t>
        </is>
      </c>
      <c r="E139" s="156" t="n">
        <v>43</v>
      </c>
      <c r="F139" s="156" t="inlineStr">
        <is>
          <t>Hose bocor</t>
        </is>
      </c>
      <c r="G139" s="157">
        <f>IF($B139="","",IF(ISNA(MATCH($B139,MASTER_JAM!$Q$5:$Q$28,0)),"?",IF(MATCH($B139,MASTER_JAM!$Q$5:$Q$28,0)&lt;=12,"DS","NS")))</f>
        <v/>
      </c>
      <c r="H139" s="157">
        <f>IF($E139="","",IF($G139="?","Jam salah",IF(COUNTIF(MASTER_JAM!$V$5:$V$23,$C139)=0,"Unit tidak dikenal",IF(SUMIFS(INPUT_DELAY!$E$5:$E$20000,INPUT_DELAY!$A$5:$A$20000,$A139,INPUT_DELAY!$B$5:$B$20000,$B139,INPUT_DELAY!$C$5:$C$20000,$C139)+IF($C139="SEMUA",0,SUMIFS(INPUT_DELAY!$E$5:$E$20000,INPUT_DELAY!$A$5:$A$20000,$A139,INPUT_DELAY!$B$5:$B$20000,$B139,INPUT_DELAY!$C$5:$C$20000,"SEMUA"))&gt;60,"Total jam ini &gt; 60 menit","OK"))))</f>
        <v/>
      </c>
    </row>
    <row r="140">
      <c r="A140" s="155" t="n">
        <v>46109</v>
      </c>
      <c r="B140" s="156" t="inlineStr">
        <is>
          <t>06-07</t>
        </is>
      </c>
      <c r="C140" s="156" t="inlineStr">
        <is>
          <t>EX-1251</t>
        </is>
      </c>
      <c r="D140" s="156" t="inlineStr">
        <is>
          <t>Lainnya</t>
        </is>
      </c>
      <c r="E140" s="156" t="n">
        <v>30</v>
      </c>
      <c r="F140" s="156" t="inlineStr">
        <is>
          <t>Pindah front</t>
        </is>
      </c>
      <c r="G140" s="157">
        <f>IF($B140="","",IF(ISNA(MATCH($B140,MASTER_JAM!$Q$5:$Q$28,0)),"?",IF(MATCH($B140,MASTER_JAM!$Q$5:$Q$28,0)&lt;=12,"DS","NS")))</f>
        <v/>
      </c>
      <c r="H140" s="157">
        <f>IF($E140="","",IF($G140="?","Jam salah",IF(COUNTIF(MASTER_JAM!$V$5:$V$23,$C140)=0,"Unit tidak dikenal",IF(SUMIFS(INPUT_DELAY!$E$5:$E$20000,INPUT_DELAY!$A$5:$A$20000,$A140,INPUT_DELAY!$B$5:$B$20000,$B140,INPUT_DELAY!$C$5:$C$20000,$C140)+IF($C140="SEMUA",0,SUMIFS(INPUT_DELAY!$E$5:$E$20000,INPUT_DELAY!$A$5:$A$20000,$A140,INPUT_DELAY!$B$5:$B$20000,$B140,INPUT_DELAY!$C$5:$C$20000,"SEMUA"))&gt;60,"Total jam ini &gt; 60 menit","OK"))))</f>
        <v/>
      </c>
    </row>
    <row r="141">
      <c r="A141" s="155" t="n">
        <v>46109</v>
      </c>
      <c r="B141" s="156" t="inlineStr">
        <is>
          <t>14-15</t>
        </is>
      </c>
      <c r="C141" s="156" t="inlineStr">
        <is>
          <t>EX-2101</t>
        </is>
      </c>
      <c r="D141" s="156" t="inlineStr">
        <is>
          <t>Standby</t>
        </is>
      </c>
      <c r="E141" s="156" t="n">
        <v>42</v>
      </c>
      <c r="F141" s="156" t="inlineStr">
        <is>
          <t>Tunggu dozer</t>
        </is>
      </c>
      <c r="G141" s="157">
        <f>IF($B141="","",IF(ISNA(MATCH($B141,MASTER_JAM!$Q$5:$Q$28,0)),"?",IF(MATCH($B141,MASTER_JAM!$Q$5:$Q$28,0)&lt;=12,"DS","NS")))</f>
        <v/>
      </c>
      <c r="H141" s="157">
        <f>IF($E141="","",IF($G141="?","Jam salah",IF(COUNTIF(MASTER_JAM!$V$5:$V$23,$C141)=0,"Unit tidak dikenal",IF(SUMIFS(INPUT_DELAY!$E$5:$E$20000,INPUT_DELAY!$A$5:$A$20000,$A141,INPUT_DELAY!$B$5:$B$20000,$B141,INPUT_DELAY!$C$5:$C$20000,$C141)+IF($C141="SEMUA",0,SUMIFS(INPUT_DELAY!$E$5:$E$20000,INPUT_DELAY!$A$5:$A$20000,$A141,INPUT_DELAY!$B$5:$B$20000,$B141,INPUT_DELAY!$C$5:$C$20000,"SEMUA"))&gt;60,"Total jam ini &gt; 60 menit","OK"))))</f>
        <v/>
      </c>
    </row>
    <row r="142">
      <c r="A142" s="155" t="n">
        <v>46109</v>
      </c>
      <c r="B142" s="156" t="inlineStr">
        <is>
          <t>06-07</t>
        </is>
      </c>
      <c r="C142" s="156" t="inlineStr">
        <is>
          <t>EX-333</t>
        </is>
      </c>
      <c r="D142" s="156" t="inlineStr">
        <is>
          <t>Lainnya</t>
        </is>
      </c>
      <c r="E142" s="156" t="n">
        <v>31</v>
      </c>
      <c r="F142" s="156" t="inlineStr">
        <is>
          <t>Tunggu dozer</t>
        </is>
      </c>
      <c r="G142" s="157">
        <f>IF($B142="","",IF(ISNA(MATCH($B142,MASTER_JAM!$Q$5:$Q$28,0)),"?",IF(MATCH($B142,MASTER_JAM!$Q$5:$Q$28,0)&lt;=12,"DS","NS")))</f>
        <v/>
      </c>
      <c r="H142" s="157">
        <f>IF($E142="","",IF($G142="?","Jam salah",IF(COUNTIF(MASTER_JAM!$V$5:$V$23,$C142)=0,"Unit tidak dikenal",IF(SUMIFS(INPUT_DELAY!$E$5:$E$20000,INPUT_DELAY!$A$5:$A$20000,$A142,INPUT_DELAY!$B$5:$B$20000,$B142,INPUT_DELAY!$C$5:$C$20000,$C142)+IF($C142="SEMUA",0,SUMIFS(INPUT_DELAY!$E$5:$E$20000,INPUT_DELAY!$A$5:$A$20000,$A142,INPUT_DELAY!$B$5:$B$20000,$B142,INPUT_DELAY!$C$5:$C$20000,"SEMUA"))&gt;60,"Total jam ini &gt; 60 menit","OK"))))</f>
        <v/>
      </c>
    </row>
    <row r="143">
      <c r="A143" s="155" t="n">
        <v>46109</v>
      </c>
      <c r="B143" s="156" t="inlineStr">
        <is>
          <t>07-08</t>
        </is>
      </c>
      <c r="C143" s="156" t="inlineStr">
        <is>
          <t>EX-333</t>
        </is>
      </c>
      <c r="D143" s="156" t="inlineStr">
        <is>
          <t>Standby</t>
        </is>
      </c>
      <c r="E143" s="156" t="n">
        <v>1</v>
      </c>
      <c r="F143" s="156" t="inlineStr">
        <is>
          <t>Perbaikan jalan</t>
        </is>
      </c>
      <c r="G143" s="157">
        <f>IF($B143="","",IF(ISNA(MATCH($B143,MASTER_JAM!$Q$5:$Q$28,0)),"?",IF(MATCH($B143,MASTER_JAM!$Q$5:$Q$28,0)&lt;=12,"DS","NS")))</f>
        <v/>
      </c>
      <c r="H143" s="157">
        <f>IF($E143="","",IF($G143="?","Jam salah",IF(COUNTIF(MASTER_JAM!$V$5:$V$23,$C143)=0,"Unit tidak dikenal",IF(SUMIFS(INPUT_DELAY!$E$5:$E$20000,INPUT_DELAY!$A$5:$A$20000,$A143,INPUT_DELAY!$B$5:$B$20000,$B143,INPUT_DELAY!$C$5:$C$20000,$C143)+IF($C143="SEMUA",0,SUMIFS(INPUT_DELAY!$E$5:$E$20000,INPUT_DELAY!$A$5:$A$20000,$A143,INPUT_DELAY!$B$5:$B$20000,$B143,INPUT_DELAY!$C$5:$C$20000,"SEMUA"))&gt;60,"Total jam ini &gt; 60 menit","OK"))))</f>
        <v/>
      </c>
    </row>
    <row r="144">
      <c r="A144" s="155" t="n">
        <v>46109</v>
      </c>
      <c r="B144" s="156" t="inlineStr">
        <is>
          <t>16-17</t>
        </is>
      </c>
      <c r="C144" s="156" t="inlineStr">
        <is>
          <t>EX-754</t>
        </is>
      </c>
      <c r="D144" s="156" t="inlineStr">
        <is>
          <t>Standby</t>
        </is>
      </c>
      <c r="E144" s="156" t="n">
        <v>16</v>
      </c>
      <c r="F144" s="156" t="inlineStr">
        <is>
          <t>Tunggu hauler</t>
        </is>
      </c>
      <c r="G144" s="157">
        <f>IF($B144="","",IF(ISNA(MATCH($B144,MASTER_JAM!$Q$5:$Q$28,0)),"?",IF(MATCH($B144,MASTER_JAM!$Q$5:$Q$28,0)&lt;=12,"DS","NS")))</f>
        <v/>
      </c>
      <c r="H144" s="157">
        <f>IF($E144="","",IF($G144="?","Jam salah",IF(COUNTIF(MASTER_JAM!$V$5:$V$23,$C144)=0,"Unit tidak dikenal",IF(SUMIFS(INPUT_DELAY!$E$5:$E$20000,INPUT_DELAY!$A$5:$A$20000,$A144,INPUT_DELAY!$B$5:$B$20000,$B144,INPUT_DELAY!$C$5:$C$20000,$C144)+IF($C144="SEMUA",0,SUMIFS(INPUT_DELAY!$E$5:$E$20000,INPUT_DELAY!$A$5:$A$20000,$A144,INPUT_DELAY!$B$5:$B$20000,$B144,INPUT_DELAY!$C$5:$C$20000,"SEMUA"))&gt;60,"Total jam ini &gt; 60 menit","OK"))))</f>
        <v/>
      </c>
    </row>
    <row r="145">
      <c r="A145" s="155" t="n">
        <v>46109</v>
      </c>
      <c r="B145" s="156" t="inlineStr">
        <is>
          <t>11-12</t>
        </is>
      </c>
      <c r="C145" s="156" t="inlineStr">
        <is>
          <t>EX-755</t>
        </is>
      </c>
      <c r="D145" s="156" t="inlineStr">
        <is>
          <t>Breakdown</t>
        </is>
      </c>
      <c r="E145" s="156" t="n">
        <v>0</v>
      </c>
      <c r="F145" s="156" t="inlineStr">
        <is>
          <t>Hose bocor</t>
        </is>
      </c>
      <c r="G145" s="157">
        <f>IF($B145="","",IF(ISNA(MATCH($B145,MASTER_JAM!$Q$5:$Q$28,0)),"?",IF(MATCH($B145,MASTER_JAM!$Q$5:$Q$28,0)&lt;=12,"DS","NS")))</f>
        <v/>
      </c>
      <c r="H145" s="157">
        <f>IF($E145="","",IF($G145="?","Jam salah",IF(COUNTIF(MASTER_JAM!$V$5:$V$23,$C145)=0,"Unit tidak dikenal",IF(SUMIFS(INPUT_DELAY!$E$5:$E$20000,INPUT_DELAY!$A$5:$A$20000,$A145,INPUT_DELAY!$B$5:$B$20000,$B145,INPUT_DELAY!$C$5:$C$20000,$C145)+IF($C145="SEMUA",0,SUMIFS(INPUT_DELAY!$E$5:$E$20000,INPUT_DELAY!$A$5:$A$20000,$A145,INPUT_DELAY!$B$5:$B$20000,$B145,INPUT_DELAY!$C$5:$C$20000,"SEMUA"))&gt;60,"Total jam ini &gt; 60 menit","OK"))))</f>
        <v/>
      </c>
    </row>
    <row r="146">
      <c r="A146" s="155" t="n">
        <v>46109</v>
      </c>
      <c r="B146" s="156" t="inlineStr">
        <is>
          <t>14-15</t>
        </is>
      </c>
      <c r="C146" s="156" t="inlineStr">
        <is>
          <t>EX-755</t>
        </is>
      </c>
      <c r="D146" s="156" t="inlineStr">
        <is>
          <t>Lainnya</t>
        </is>
      </c>
      <c r="E146" s="156" t="n">
        <v>4</v>
      </c>
      <c r="F146" s="156" t="inlineStr">
        <is>
          <t>Pindah front</t>
        </is>
      </c>
      <c r="G146" s="157">
        <f>IF($B146="","",IF(ISNA(MATCH($B146,MASTER_JAM!$Q$5:$Q$28,0)),"?",IF(MATCH($B146,MASTER_JAM!$Q$5:$Q$28,0)&lt;=12,"DS","NS")))</f>
        <v/>
      </c>
      <c r="H146" s="157">
        <f>IF($E146="","",IF($G146="?","Jam salah",IF(COUNTIF(MASTER_JAM!$V$5:$V$23,$C146)=0,"Unit tidak dikenal",IF(SUMIFS(INPUT_DELAY!$E$5:$E$20000,INPUT_DELAY!$A$5:$A$20000,$A146,INPUT_DELAY!$B$5:$B$20000,$B146,INPUT_DELAY!$C$5:$C$20000,$C146)+IF($C146="SEMUA",0,SUMIFS(INPUT_DELAY!$E$5:$E$20000,INPUT_DELAY!$A$5:$A$20000,$A146,INPUT_DELAY!$B$5:$B$20000,$B146,INPUT_DELAY!$C$5:$C$20000,"SEMUA"))&gt;60,"Total jam ini &gt; 60 menit","OK"))))</f>
        <v/>
      </c>
    </row>
    <row r="147">
      <c r="A147" s="155" t="n">
        <v>46109</v>
      </c>
      <c r="B147" s="156" t="inlineStr">
        <is>
          <t>16-17</t>
        </is>
      </c>
      <c r="C147" s="156" t="inlineStr">
        <is>
          <t>EX-755</t>
        </is>
      </c>
      <c r="D147" s="156" t="inlineStr">
        <is>
          <t>Standby</t>
        </is>
      </c>
      <c r="E147" s="156" t="n">
        <v>46</v>
      </c>
      <c r="F147" s="156" t="inlineStr">
        <is>
          <t>Pindah front</t>
        </is>
      </c>
      <c r="G147" s="157">
        <f>IF($B147="","",IF(ISNA(MATCH($B147,MASTER_JAM!$Q$5:$Q$28,0)),"?",IF(MATCH($B147,MASTER_JAM!$Q$5:$Q$28,0)&lt;=12,"DS","NS")))</f>
        <v/>
      </c>
      <c r="H147" s="157">
        <f>IF($E147="","",IF($G147="?","Jam salah",IF(COUNTIF(MASTER_JAM!$V$5:$V$23,$C147)=0,"Unit tidak dikenal",IF(SUMIFS(INPUT_DELAY!$E$5:$E$20000,INPUT_DELAY!$A$5:$A$20000,$A147,INPUT_DELAY!$B$5:$B$20000,$B147,INPUT_DELAY!$C$5:$C$20000,$C147)+IF($C147="SEMUA",0,SUMIFS(INPUT_DELAY!$E$5:$E$20000,INPUT_DELAY!$A$5:$A$20000,$A147,INPUT_DELAY!$B$5:$B$20000,$B147,INPUT_DELAY!$C$5:$C$20000,"SEMUA"))&gt;60,"Total jam ini &gt; 60 menit","OK"))))</f>
        <v/>
      </c>
    </row>
    <row r="148">
      <c r="A148" s="155" t="n">
        <v>46109</v>
      </c>
      <c r="B148" s="156" t="inlineStr">
        <is>
          <t>13-14</t>
        </is>
      </c>
      <c r="C148" s="156" t="inlineStr">
        <is>
          <t>EX-753</t>
        </is>
      </c>
      <c r="D148" s="156" t="inlineStr">
        <is>
          <t>Breakdown</t>
        </is>
      </c>
      <c r="E148" s="156" t="n">
        <v>0</v>
      </c>
      <c r="F148" s="156" t="inlineStr">
        <is>
          <t>Track adjust</t>
        </is>
      </c>
      <c r="G148" s="157">
        <f>IF($B148="","",IF(ISNA(MATCH($B148,MASTER_JAM!$Q$5:$Q$28,0)),"?",IF(MATCH($B148,MASTER_JAM!$Q$5:$Q$28,0)&lt;=12,"DS","NS")))</f>
        <v/>
      </c>
      <c r="H148" s="157">
        <f>IF($E148="","",IF($G148="?","Jam salah",IF(COUNTIF(MASTER_JAM!$V$5:$V$23,$C148)=0,"Unit tidak dikenal",IF(SUMIFS(INPUT_DELAY!$E$5:$E$20000,INPUT_DELAY!$A$5:$A$20000,$A148,INPUT_DELAY!$B$5:$B$20000,$B148,INPUT_DELAY!$C$5:$C$20000,$C148)+IF($C148="SEMUA",0,SUMIFS(INPUT_DELAY!$E$5:$E$20000,INPUT_DELAY!$A$5:$A$20000,$A148,INPUT_DELAY!$B$5:$B$20000,$B148,INPUT_DELAY!$C$5:$C$20000,"SEMUA"))&gt;60,"Total jam ini &gt; 60 menit","OK"))))</f>
        <v/>
      </c>
    </row>
    <row r="149">
      <c r="A149" s="155" t="n">
        <v>46109</v>
      </c>
      <c r="B149" s="156" t="inlineStr">
        <is>
          <t>14-15</t>
        </is>
      </c>
      <c r="C149" s="156" t="inlineStr">
        <is>
          <t>EX-753</t>
        </is>
      </c>
      <c r="D149" s="156" t="inlineStr">
        <is>
          <t>Breakdown</t>
        </is>
      </c>
      <c r="E149" s="156" t="n">
        <v>43</v>
      </c>
      <c r="F149" s="156" t="inlineStr">
        <is>
          <t>Cek hidrolik</t>
        </is>
      </c>
      <c r="G149" s="157">
        <f>IF($B149="","",IF(ISNA(MATCH($B149,MASTER_JAM!$Q$5:$Q$28,0)),"?",IF(MATCH($B149,MASTER_JAM!$Q$5:$Q$28,0)&lt;=12,"DS","NS")))</f>
        <v/>
      </c>
      <c r="H149" s="157">
        <f>IF($E149="","",IF($G149="?","Jam salah",IF(COUNTIF(MASTER_JAM!$V$5:$V$23,$C149)=0,"Unit tidak dikenal",IF(SUMIFS(INPUT_DELAY!$E$5:$E$20000,INPUT_DELAY!$A$5:$A$20000,$A149,INPUT_DELAY!$B$5:$B$20000,$B149,INPUT_DELAY!$C$5:$C$20000,$C149)+IF($C149="SEMUA",0,SUMIFS(INPUT_DELAY!$E$5:$E$20000,INPUT_DELAY!$A$5:$A$20000,$A149,INPUT_DELAY!$B$5:$B$20000,$B149,INPUT_DELAY!$C$5:$C$20000,"SEMUA"))&gt;60,"Total jam ini &gt; 60 menit","OK"))))</f>
        <v/>
      </c>
    </row>
    <row r="150">
      <c r="A150" s="155" t="n">
        <v>46109</v>
      </c>
      <c r="B150" s="156" t="inlineStr">
        <is>
          <t>17-18</t>
        </is>
      </c>
      <c r="C150" s="156" t="inlineStr">
        <is>
          <t>EX-753</t>
        </is>
      </c>
      <c r="D150" s="156" t="inlineStr">
        <is>
          <t>Lainnya</t>
        </is>
      </c>
      <c r="E150" s="156" t="n">
        <v>36</v>
      </c>
      <c r="F150" s="156" t="inlineStr">
        <is>
          <t>Tunggu dozer</t>
        </is>
      </c>
      <c r="G150" s="157">
        <f>IF($B150="","",IF(ISNA(MATCH($B150,MASTER_JAM!$Q$5:$Q$28,0)),"?",IF(MATCH($B150,MASTER_JAM!$Q$5:$Q$28,0)&lt;=12,"DS","NS")))</f>
        <v/>
      </c>
      <c r="H150" s="157">
        <f>IF($E150="","",IF($G150="?","Jam salah",IF(COUNTIF(MASTER_JAM!$V$5:$V$23,$C150)=0,"Unit tidak dikenal",IF(SUMIFS(INPUT_DELAY!$E$5:$E$20000,INPUT_DELAY!$A$5:$A$20000,$A150,INPUT_DELAY!$B$5:$B$20000,$B150,INPUT_DELAY!$C$5:$C$20000,$C150)+IF($C150="SEMUA",0,SUMIFS(INPUT_DELAY!$E$5:$E$20000,INPUT_DELAY!$A$5:$A$20000,$A150,INPUT_DELAY!$B$5:$B$20000,$B150,INPUT_DELAY!$C$5:$C$20000,"SEMUA"))&gt;60,"Total jam ini &gt; 60 menit","OK"))))</f>
        <v/>
      </c>
    </row>
    <row r="151">
      <c r="A151" s="155" t="n">
        <v>46109</v>
      </c>
      <c r="B151" s="156" t="inlineStr">
        <is>
          <t>18-19</t>
        </is>
      </c>
      <c r="C151" s="156" t="inlineStr">
        <is>
          <t>SEMUA</t>
        </is>
      </c>
      <c r="D151" s="156" t="inlineStr">
        <is>
          <t>P2H / Ganti shift</t>
        </is>
      </c>
      <c r="E151" s="156" t="n">
        <v>5</v>
      </c>
      <c r="F151" s="156" t="inlineStr"/>
      <c r="G151" s="157">
        <f>IF($B151="","",IF(ISNA(MATCH($B151,MASTER_JAM!$Q$5:$Q$28,0)),"?",IF(MATCH($B151,MASTER_JAM!$Q$5:$Q$28,0)&lt;=12,"DS","NS")))</f>
        <v/>
      </c>
      <c r="H151" s="157">
        <f>IF($E151="","",IF($G151="?","Jam salah",IF(COUNTIF(MASTER_JAM!$V$5:$V$23,$C151)=0,"Unit tidak dikenal",IF(SUMIFS(INPUT_DELAY!$E$5:$E$20000,INPUT_DELAY!$A$5:$A$20000,$A151,INPUT_DELAY!$B$5:$B$20000,$B151,INPUT_DELAY!$C$5:$C$20000,$C151)+IF($C151="SEMUA",0,SUMIFS(INPUT_DELAY!$E$5:$E$20000,INPUT_DELAY!$A$5:$A$20000,$A151,INPUT_DELAY!$B$5:$B$20000,$B151,INPUT_DELAY!$C$5:$C$20000,"SEMUA"))&gt;60,"Total jam ini &gt; 60 menit","OK"))))</f>
        <v/>
      </c>
    </row>
    <row r="152">
      <c r="A152" s="155" t="n">
        <v>46109</v>
      </c>
      <c r="B152" s="156" t="inlineStr">
        <is>
          <t>19-20</t>
        </is>
      </c>
      <c r="C152" s="156" t="inlineStr">
        <is>
          <t>SEMUA</t>
        </is>
      </c>
      <c r="D152" s="156" t="inlineStr">
        <is>
          <t>Rain</t>
        </is>
      </c>
      <c r="E152" s="156" t="n">
        <v>60</v>
      </c>
      <c r="F152" s="156" t="inlineStr">
        <is>
          <t>Hujan</t>
        </is>
      </c>
      <c r="G152" s="157">
        <f>IF($B152="","",IF(ISNA(MATCH($B152,MASTER_JAM!$Q$5:$Q$28,0)),"?",IF(MATCH($B152,MASTER_JAM!$Q$5:$Q$28,0)&lt;=12,"DS","NS")))</f>
        <v/>
      </c>
      <c r="H152" s="157">
        <f>IF($E152="","",IF($G152="?","Jam salah",IF(COUNTIF(MASTER_JAM!$V$5:$V$23,$C152)=0,"Unit tidak dikenal",IF(SUMIFS(INPUT_DELAY!$E$5:$E$20000,INPUT_DELAY!$A$5:$A$20000,$A152,INPUT_DELAY!$B$5:$B$20000,$B152,INPUT_DELAY!$C$5:$C$20000,$C152)+IF($C152="SEMUA",0,SUMIFS(INPUT_DELAY!$E$5:$E$20000,INPUT_DELAY!$A$5:$A$20000,$A152,INPUT_DELAY!$B$5:$B$20000,$B152,INPUT_DELAY!$C$5:$C$20000,"SEMUA"))&gt;60,"Total jam ini &gt; 60 menit","OK"))))</f>
        <v/>
      </c>
    </row>
    <row r="153">
      <c r="A153" s="155" t="n">
        <v>46109</v>
      </c>
      <c r="B153" s="156" t="inlineStr">
        <is>
          <t>20-21</t>
        </is>
      </c>
      <c r="C153" s="156" t="inlineStr">
        <is>
          <t>SEMUA</t>
        </is>
      </c>
      <c r="D153" s="156" t="inlineStr">
        <is>
          <t>Rain</t>
        </is>
      </c>
      <c r="E153" s="156" t="n">
        <v>60</v>
      </c>
      <c r="F153" s="156" t="inlineStr">
        <is>
          <t>Hujan</t>
        </is>
      </c>
      <c r="G153" s="157">
        <f>IF($B153="","",IF(ISNA(MATCH($B153,MASTER_JAM!$Q$5:$Q$28,0)),"?",IF(MATCH($B153,MASTER_JAM!$Q$5:$Q$28,0)&lt;=12,"DS","NS")))</f>
        <v/>
      </c>
      <c r="H153" s="157">
        <f>IF($E153="","",IF($G153="?","Jam salah",IF(COUNTIF(MASTER_JAM!$V$5:$V$23,$C153)=0,"Unit tidak dikenal",IF(SUMIFS(INPUT_DELAY!$E$5:$E$20000,INPUT_DELAY!$A$5:$A$20000,$A153,INPUT_DELAY!$B$5:$B$20000,$B153,INPUT_DELAY!$C$5:$C$20000,$C153)+IF($C153="SEMUA",0,SUMIFS(INPUT_DELAY!$E$5:$E$20000,INPUT_DELAY!$A$5:$A$20000,$A153,INPUT_DELAY!$B$5:$B$20000,$B153,INPUT_DELAY!$C$5:$C$20000,"SEMUA"))&gt;60,"Total jam ini &gt; 60 menit","OK"))))</f>
        <v/>
      </c>
    </row>
    <row r="154">
      <c r="A154" s="155" t="n">
        <v>46109</v>
      </c>
      <c r="B154" s="156" t="inlineStr">
        <is>
          <t>21-22</t>
        </is>
      </c>
      <c r="C154" s="156" t="inlineStr">
        <is>
          <t>SEMUA</t>
        </is>
      </c>
      <c r="D154" s="156" t="inlineStr">
        <is>
          <t>Rain</t>
        </is>
      </c>
      <c r="E154" s="156" t="n">
        <v>60</v>
      </c>
      <c r="F154" s="156" t="inlineStr">
        <is>
          <t>Hujan</t>
        </is>
      </c>
      <c r="G154" s="157">
        <f>IF($B154="","",IF(ISNA(MATCH($B154,MASTER_JAM!$Q$5:$Q$28,0)),"?",IF(MATCH($B154,MASTER_JAM!$Q$5:$Q$28,0)&lt;=12,"DS","NS")))</f>
        <v/>
      </c>
      <c r="H154" s="157">
        <f>IF($E154="","",IF($G154="?","Jam salah",IF(COUNTIF(MASTER_JAM!$V$5:$V$23,$C154)=0,"Unit tidak dikenal",IF(SUMIFS(INPUT_DELAY!$E$5:$E$20000,INPUT_DELAY!$A$5:$A$20000,$A154,INPUT_DELAY!$B$5:$B$20000,$B154,INPUT_DELAY!$C$5:$C$20000,$C154)+IF($C154="SEMUA",0,SUMIFS(INPUT_DELAY!$E$5:$E$20000,INPUT_DELAY!$A$5:$A$20000,$A154,INPUT_DELAY!$B$5:$B$20000,$B154,INPUT_DELAY!$C$5:$C$20000,"SEMUA"))&gt;60,"Total jam ini &gt; 60 menit","OK"))))</f>
        <v/>
      </c>
    </row>
    <row r="155">
      <c r="A155" s="155" t="n">
        <v>46109</v>
      </c>
      <c r="B155" s="156" t="inlineStr">
        <is>
          <t>22-23</t>
        </is>
      </c>
      <c r="C155" s="156" t="inlineStr">
        <is>
          <t>SEMUA</t>
        </is>
      </c>
      <c r="D155" s="156" t="inlineStr">
        <is>
          <t>Rain</t>
        </is>
      </c>
      <c r="E155" s="156" t="n">
        <v>55</v>
      </c>
      <c r="F155" s="156" t="inlineStr">
        <is>
          <t>Hujan</t>
        </is>
      </c>
      <c r="G155" s="157">
        <f>IF($B155="","",IF(ISNA(MATCH($B155,MASTER_JAM!$Q$5:$Q$28,0)),"?",IF(MATCH($B155,MASTER_JAM!$Q$5:$Q$28,0)&lt;=12,"DS","NS")))</f>
        <v/>
      </c>
      <c r="H155" s="157">
        <f>IF($E155="","",IF($G155="?","Jam salah",IF(COUNTIF(MASTER_JAM!$V$5:$V$23,$C155)=0,"Unit tidak dikenal",IF(SUMIFS(INPUT_DELAY!$E$5:$E$20000,INPUT_DELAY!$A$5:$A$20000,$A155,INPUT_DELAY!$B$5:$B$20000,$B155,INPUT_DELAY!$C$5:$C$20000,$C155)+IF($C155="SEMUA",0,SUMIFS(INPUT_DELAY!$E$5:$E$20000,INPUT_DELAY!$A$5:$A$20000,$A155,INPUT_DELAY!$B$5:$B$20000,$B155,INPUT_DELAY!$C$5:$C$20000,"SEMUA"))&gt;60,"Total jam ini &gt; 60 menit","OK"))))</f>
        <v/>
      </c>
    </row>
    <row r="156">
      <c r="A156" s="155" t="n">
        <v>46109</v>
      </c>
      <c r="B156" s="156" t="inlineStr">
        <is>
          <t>23-24</t>
        </is>
      </c>
      <c r="C156" s="156" t="inlineStr">
        <is>
          <t>SEMUA</t>
        </is>
      </c>
      <c r="D156" s="156" t="inlineStr">
        <is>
          <t>Slippery</t>
        </is>
      </c>
      <c r="E156" s="156" t="n">
        <v>60</v>
      </c>
      <c r="F156" s="156" t="inlineStr"/>
      <c r="G156" s="157">
        <f>IF($B156="","",IF(ISNA(MATCH($B156,MASTER_JAM!$Q$5:$Q$28,0)),"?",IF(MATCH($B156,MASTER_JAM!$Q$5:$Q$28,0)&lt;=12,"DS","NS")))</f>
        <v/>
      </c>
      <c r="H156" s="157">
        <f>IF($E156="","",IF($G156="?","Jam salah",IF(COUNTIF(MASTER_JAM!$V$5:$V$23,$C156)=0,"Unit tidak dikenal",IF(SUMIFS(INPUT_DELAY!$E$5:$E$20000,INPUT_DELAY!$A$5:$A$20000,$A156,INPUT_DELAY!$B$5:$B$20000,$B156,INPUT_DELAY!$C$5:$C$20000,$C156)+IF($C156="SEMUA",0,SUMIFS(INPUT_DELAY!$E$5:$E$20000,INPUT_DELAY!$A$5:$A$20000,$A156,INPUT_DELAY!$B$5:$B$20000,$B156,INPUT_DELAY!$C$5:$C$20000,"SEMUA"))&gt;60,"Total jam ini &gt; 60 menit","OK"))))</f>
        <v/>
      </c>
    </row>
    <row r="157">
      <c r="A157" s="155" t="n">
        <v>46109</v>
      </c>
      <c r="B157" s="156" t="inlineStr">
        <is>
          <t>00-01</t>
        </is>
      </c>
      <c r="C157" s="156" t="inlineStr">
        <is>
          <t>SEMUA</t>
        </is>
      </c>
      <c r="D157" s="156" t="inlineStr">
        <is>
          <t>Istirahat</t>
        </is>
      </c>
      <c r="E157" s="156" t="n">
        <v>60</v>
      </c>
      <c r="F157" s="156" t="inlineStr"/>
      <c r="G157" s="157">
        <f>IF($B157="","",IF(ISNA(MATCH($B157,MASTER_JAM!$Q$5:$Q$28,0)),"?",IF(MATCH($B157,MASTER_JAM!$Q$5:$Q$28,0)&lt;=12,"DS","NS")))</f>
        <v/>
      </c>
      <c r="H157" s="157">
        <f>IF($E157="","",IF($G157="?","Jam salah",IF(COUNTIF(MASTER_JAM!$V$5:$V$23,$C157)=0,"Unit tidak dikenal",IF(SUMIFS(INPUT_DELAY!$E$5:$E$20000,INPUT_DELAY!$A$5:$A$20000,$A157,INPUT_DELAY!$B$5:$B$20000,$B157,INPUT_DELAY!$C$5:$C$20000,$C157)+IF($C157="SEMUA",0,SUMIFS(INPUT_DELAY!$E$5:$E$20000,INPUT_DELAY!$A$5:$A$20000,$A157,INPUT_DELAY!$B$5:$B$20000,$B157,INPUT_DELAY!$C$5:$C$20000,"SEMUA"))&gt;60,"Total jam ini &gt; 60 menit","OK"))))</f>
        <v/>
      </c>
    </row>
    <row r="158">
      <c r="A158" s="155" t="n">
        <v>46109</v>
      </c>
      <c r="B158" s="156" t="inlineStr">
        <is>
          <t>01-02</t>
        </is>
      </c>
      <c r="C158" s="156" t="inlineStr">
        <is>
          <t>SEMUA</t>
        </is>
      </c>
      <c r="D158" s="156" t="inlineStr">
        <is>
          <t>Slippery</t>
        </is>
      </c>
      <c r="E158" s="156" t="n">
        <v>25</v>
      </c>
      <c r="F158" s="156" t="inlineStr"/>
      <c r="G158" s="157">
        <f>IF($B158="","",IF(ISNA(MATCH($B158,MASTER_JAM!$Q$5:$Q$28,0)),"?",IF(MATCH($B158,MASTER_JAM!$Q$5:$Q$28,0)&lt;=12,"DS","NS")))</f>
        <v/>
      </c>
      <c r="H158" s="157">
        <f>IF($E158="","",IF($G158="?","Jam salah",IF(COUNTIF(MASTER_JAM!$V$5:$V$23,$C158)=0,"Unit tidak dikenal",IF(SUMIFS(INPUT_DELAY!$E$5:$E$20000,INPUT_DELAY!$A$5:$A$20000,$A158,INPUT_DELAY!$B$5:$B$20000,$B158,INPUT_DELAY!$C$5:$C$20000,$C158)+IF($C158="SEMUA",0,SUMIFS(INPUT_DELAY!$E$5:$E$20000,INPUT_DELAY!$A$5:$A$20000,$A158,INPUT_DELAY!$B$5:$B$20000,$B158,INPUT_DELAY!$C$5:$C$20000,"SEMUA"))&gt;60,"Total jam ini &gt; 60 menit","OK"))))</f>
        <v/>
      </c>
    </row>
    <row r="159">
      <c r="A159" s="155" t="n">
        <v>46109</v>
      </c>
      <c r="B159" s="156" t="inlineStr">
        <is>
          <t>18-19</t>
        </is>
      </c>
      <c r="C159" s="156" t="inlineStr">
        <is>
          <t>EX-2101</t>
        </is>
      </c>
      <c r="D159" s="156" t="inlineStr">
        <is>
          <t>Standby</t>
        </is>
      </c>
      <c r="E159" s="156" t="n">
        <v>35</v>
      </c>
      <c r="F159" s="156" t="inlineStr">
        <is>
          <t>Perbaikan jalan</t>
        </is>
      </c>
      <c r="G159" s="157">
        <f>IF($B159="","",IF(ISNA(MATCH($B159,MASTER_JAM!$Q$5:$Q$28,0)),"?",IF(MATCH($B159,MASTER_JAM!$Q$5:$Q$28,0)&lt;=12,"DS","NS")))</f>
        <v/>
      </c>
      <c r="H159" s="157">
        <f>IF($E159="","",IF($G159="?","Jam salah",IF(COUNTIF(MASTER_JAM!$V$5:$V$23,$C159)=0,"Unit tidak dikenal",IF(SUMIFS(INPUT_DELAY!$E$5:$E$20000,INPUT_DELAY!$A$5:$A$20000,$A159,INPUT_DELAY!$B$5:$B$20000,$B159,INPUT_DELAY!$C$5:$C$20000,$C159)+IF($C159="SEMUA",0,SUMIFS(INPUT_DELAY!$E$5:$E$20000,INPUT_DELAY!$A$5:$A$20000,$A159,INPUT_DELAY!$B$5:$B$20000,$B159,INPUT_DELAY!$C$5:$C$20000,"SEMUA"))&gt;60,"Total jam ini &gt; 60 menit","OK"))))</f>
        <v/>
      </c>
    </row>
    <row r="160">
      <c r="A160" s="155" t="n">
        <v>46109</v>
      </c>
      <c r="B160" s="156" t="inlineStr">
        <is>
          <t>21-22</t>
        </is>
      </c>
      <c r="C160" s="156" t="inlineStr">
        <is>
          <t>EX-335</t>
        </is>
      </c>
      <c r="D160" s="156" t="inlineStr">
        <is>
          <t>Breakdown</t>
        </is>
      </c>
      <c r="E160" s="156" t="n">
        <v>0</v>
      </c>
      <c r="F160" s="156" t="inlineStr">
        <is>
          <t>Hose bocor</t>
        </is>
      </c>
      <c r="G160" s="157">
        <f>IF($B160="","",IF(ISNA(MATCH($B160,MASTER_JAM!$Q$5:$Q$28,0)),"?",IF(MATCH($B160,MASTER_JAM!$Q$5:$Q$28,0)&lt;=12,"DS","NS")))</f>
        <v/>
      </c>
      <c r="H160" s="157">
        <f>IF($E160="","",IF($G160="?","Jam salah",IF(COUNTIF(MASTER_JAM!$V$5:$V$23,$C160)=0,"Unit tidak dikenal",IF(SUMIFS(INPUT_DELAY!$E$5:$E$20000,INPUT_DELAY!$A$5:$A$20000,$A160,INPUT_DELAY!$B$5:$B$20000,$B160,INPUT_DELAY!$C$5:$C$20000,$C160)+IF($C160="SEMUA",0,SUMIFS(INPUT_DELAY!$E$5:$E$20000,INPUT_DELAY!$A$5:$A$20000,$A160,INPUT_DELAY!$B$5:$B$20000,$B160,INPUT_DELAY!$C$5:$C$20000,"SEMUA"))&gt;60,"Total jam ini &gt; 60 menit","OK"))))</f>
        <v/>
      </c>
    </row>
    <row r="161">
      <c r="A161" s="155" t="n">
        <v>46109</v>
      </c>
      <c r="B161" s="156" t="inlineStr">
        <is>
          <t>05-06</t>
        </is>
      </c>
      <c r="C161" s="156" t="inlineStr">
        <is>
          <t>EX-335</t>
        </is>
      </c>
      <c r="D161" s="156" t="inlineStr">
        <is>
          <t>Standby</t>
        </is>
      </c>
      <c r="E161" s="156" t="n">
        <v>25</v>
      </c>
      <c r="F161" s="156" t="inlineStr">
        <is>
          <t>Perbaikan jalan</t>
        </is>
      </c>
      <c r="G161" s="157">
        <f>IF($B161="","",IF(ISNA(MATCH($B161,MASTER_JAM!$Q$5:$Q$28,0)),"?",IF(MATCH($B161,MASTER_JAM!$Q$5:$Q$28,0)&lt;=12,"DS","NS")))</f>
        <v/>
      </c>
      <c r="H161" s="157">
        <f>IF($E161="","",IF($G161="?","Jam salah",IF(COUNTIF(MASTER_JAM!$V$5:$V$23,$C161)=0,"Unit tidak dikenal",IF(SUMIFS(INPUT_DELAY!$E$5:$E$20000,INPUT_DELAY!$A$5:$A$20000,$A161,INPUT_DELAY!$B$5:$B$20000,$B161,INPUT_DELAY!$C$5:$C$20000,$C161)+IF($C161="SEMUA",0,SUMIFS(INPUT_DELAY!$E$5:$E$20000,INPUT_DELAY!$A$5:$A$20000,$A161,INPUT_DELAY!$B$5:$B$20000,$B161,INPUT_DELAY!$C$5:$C$20000,"SEMUA"))&gt;60,"Total jam ini &gt; 60 menit","OK"))))</f>
        <v/>
      </c>
    </row>
    <row r="162">
      <c r="A162" s="155" t="n">
        <v>46109</v>
      </c>
      <c r="B162" s="156" t="inlineStr">
        <is>
          <t>05-06</t>
        </is>
      </c>
      <c r="C162" s="156" t="inlineStr">
        <is>
          <t>EX-755</t>
        </is>
      </c>
      <c r="D162" s="156" t="inlineStr">
        <is>
          <t>Standby</t>
        </is>
      </c>
      <c r="E162" s="156" t="n">
        <v>40</v>
      </c>
      <c r="F162" s="156" t="inlineStr">
        <is>
          <t>Pindah front</t>
        </is>
      </c>
      <c r="G162" s="157">
        <f>IF($B162="","",IF(ISNA(MATCH($B162,MASTER_JAM!$Q$5:$Q$28,0)),"?",IF(MATCH($B162,MASTER_JAM!$Q$5:$Q$28,0)&lt;=12,"DS","NS")))</f>
        <v/>
      </c>
      <c r="H162" s="157">
        <f>IF($E162="","",IF($G162="?","Jam salah",IF(COUNTIF(MASTER_JAM!$V$5:$V$23,$C162)=0,"Unit tidak dikenal",IF(SUMIFS(INPUT_DELAY!$E$5:$E$20000,INPUT_DELAY!$A$5:$A$20000,$A162,INPUT_DELAY!$B$5:$B$20000,$B162,INPUT_DELAY!$C$5:$C$20000,$C162)+IF($C162="SEMUA",0,SUMIFS(INPUT_DELAY!$E$5:$E$20000,INPUT_DELAY!$A$5:$A$20000,$A162,INPUT_DELAY!$B$5:$B$20000,$B162,INPUT_DELAY!$C$5:$C$20000,"SEMUA"))&gt;60,"Total jam ini &gt; 60 menit","OK"))))</f>
        <v/>
      </c>
    </row>
    <row r="163">
      <c r="A163" s="155" t="n">
        <v>46109</v>
      </c>
      <c r="B163" s="156" t="inlineStr">
        <is>
          <t>05-06</t>
        </is>
      </c>
      <c r="C163" s="156" t="inlineStr">
        <is>
          <t>EX-753</t>
        </is>
      </c>
      <c r="D163" s="156" t="inlineStr">
        <is>
          <t>Lainnya</t>
        </is>
      </c>
      <c r="E163" s="156" t="n">
        <v>28</v>
      </c>
      <c r="F163" s="156" t="inlineStr">
        <is>
          <t>Tunggu dozer</t>
        </is>
      </c>
      <c r="G163" s="157">
        <f>IF($B163="","",IF(ISNA(MATCH($B163,MASTER_JAM!$Q$5:$Q$28,0)),"?",IF(MATCH($B163,MASTER_JAM!$Q$5:$Q$28,0)&lt;=12,"DS","NS")))</f>
        <v/>
      </c>
      <c r="H163" s="157">
        <f>IF($E163="","",IF($G163="?","Jam salah",IF(COUNTIF(MASTER_JAM!$V$5:$V$23,$C163)=0,"Unit tidak dikenal",IF(SUMIFS(INPUT_DELAY!$E$5:$E$20000,INPUT_DELAY!$A$5:$A$20000,$A163,INPUT_DELAY!$B$5:$B$20000,$B163,INPUT_DELAY!$C$5:$C$20000,$C163)+IF($C163="SEMUA",0,SUMIFS(INPUT_DELAY!$E$5:$E$20000,INPUT_DELAY!$A$5:$A$20000,$A163,INPUT_DELAY!$B$5:$B$20000,$B163,INPUT_DELAY!$C$5:$C$20000,"SEMUA"))&gt;60,"Total jam ini &gt; 60 menit","OK"))))</f>
        <v/>
      </c>
    </row>
    <row r="164">
      <c r="A164" s="155" t="n">
        <v>46110</v>
      </c>
      <c r="B164" s="156" t="inlineStr">
        <is>
          <t>06-07</t>
        </is>
      </c>
      <c r="C164" s="156" t="inlineStr">
        <is>
          <t>SEMUA</t>
        </is>
      </c>
      <c r="D164" s="156" t="inlineStr">
        <is>
          <t>P2H / Ganti shift</t>
        </is>
      </c>
      <c r="E164" s="156" t="n">
        <v>5</v>
      </c>
      <c r="F164" s="156" t="inlineStr"/>
      <c r="G164" s="157">
        <f>IF($B164="","",IF(ISNA(MATCH($B164,MASTER_JAM!$Q$5:$Q$28,0)),"?",IF(MATCH($B164,MASTER_JAM!$Q$5:$Q$28,0)&lt;=12,"DS","NS")))</f>
        <v/>
      </c>
      <c r="H164" s="157">
        <f>IF($E164="","",IF($G164="?","Jam salah",IF(COUNTIF(MASTER_JAM!$V$5:$V$23,$C164)=0,"Unit tidak dikenal",IF(SUMIFS(INPUT_DELAY!$E$5:$E$20000,INPUT_DELAY!$A$5:$A$20000,$A164,INPUT_DELAY!$B$5:$B$20000,$B164,INPUT_DELAY!$C$5:$C$20000,$C164)+IF($C164="SEMUA",0,SUMIFS(INPUT_DELAY!$E$5:$E$20000,INPUT_DELAY!$A$5:$A$20000,$A164,INPUT_DELAY!$B$5:$B$20000,$B164,INPUT_DELAY!$C$5:$C$20000,"SEMUA"))&gt;60,"Total jam ini &gt; 60 menit","OK"))))</f>
        <v/>
      </c>
    </row>
    <row r="165">
      <c r="A165" s="155" t="n">
        <v>46110</v>
      </c>
      <c r="B165" s="156" t="inlineStr">
        <is>
          <t>12-13</t>
        </is>
      </c>
      <c r="C165" s="156" t="inlineStr">
        <is>
          <t>SEMUA</t>
        </is>
      </c>
      <c r="D165" s="156" t="inlineStr">
        <is>
          <t>Istirahat</t>
        </is>
      </c>
      <c r="E165" s="156" t="n">
        <v>60</v>
      </c>
      <c r="F165" s="156" t="inlineStr"/>
      <c r="G165" s="157">
        <f>IF($B165="","",IF(ISNA(MATCH($B165,MASTER_JAM!$Q$5:$Q$28,0)),"?",IF(MATCH($B165,MASTER_JAM!$Q$5:$Q$28,0)&lt;=12,"DS","NS")))</f>
        <v/>
      </c>
      <c r="H165" s="157">
        <f>IF($E165="","",IF($G165="?","Jam salah",IF(COUNTIF(MASTER_JAM!$V$5:$V$23,$C165)=0,"Unit tidak dikenal",IF(SUMIFS(INPUT_DELAY!$E$5:$E$20000,INPUT_DELAY!$A$5:$A$20000,$A165,INPUT_DELAY!$B$5:$B$20000,$B165,INPUT_DELAY!$C$5:$C$20000,$C165)+IF($C165="SEMUA",0,SUMIFS(INPUT_DELAY!$E$5:$E$20000,INPUT_DELAY!$A$5:$A$20000,$A165,INPUT_DELAY!$B$5:$B$20000,$B165,INPUT_DELAY!$C$5:$C$20000,"SEMUA"))&gt;60,"Total jam ini &gt; 60 menit","OK"))))</f>
        <v/>
      </c>
    </row>
    <row r="166">
      <c r="A166" s="155" t="n">
        <v>46110</v>
      </c>
      <c r="B166" s="156" t="inlineStr">
        <is>
          <t>15-16</t>
        </is>
      </c>
      <c r="C166" s="156" t="inlineStr">
        <is>
          <t>EX-1252</t>
        </is>
      </c>
      <c r="D166" s="156" t="inlineStr">
        <is>
          <t>Lainnya</t>
        </is>
      </c>
      <c r="E166" s="156" t="n">
        <v>9</v>
      </c>
      <c r="F166" s="156" t="inlineStr">
        <is>
          <t>Tunggu dozer</t>
        </is>
      </c>
      <c r="G166" s="157">
        <f>IF($B166="","",IF(ISNA(MATCH($B166,MASTER_JAM!$Q$5:$Q$28,0)),"?",IF(MATCH($B166,MASTER_JAM!$Q$5:$Q$28,0)&lt;=12,"DS","NS")))</f>
        <v/>
      </c>
      <c r="H166" s="157">
        <f>IF($E166="","",IF($G166="?","Jam salah",IF(COUNTIF(MASTER_JAM!$V$5:$V$23,$C166)=0,"Unit tidak dikenal",IF(SUMIFS(INPUT_DELAY!$E$5:$E$20000,INPUT_DELAY!$A$5:$A$20000,$A166,INPUT_DELAY!$B$5:$B$20000,$B166,INPUT_DELAY!$C$5:$C$20000,$C166)+IF($C166="SEMUA",0,SUMIFS(INPUT_DELAY!$E$5:$E$20000,INPUT_DELAY!$A$5:$A$20000,$A166,INPUT_DELAY!$B$5:$B$20000,$B166,INPUT_DELAY!$C$5:$C$20000,"SEMUA"))&gt;60,"Total jam ini &gt; 60 menit","OK"))))</f>
        <v/>
      </c>
    </row>
    <row r="167">
      <c r="A167" s="155" t="n">
        <v>46110</v>
      </c>
      <c r="B167" s="156" t="inlineStr">
        <is>
          <t>06-07</t>
        </is>
      </c>
      <c r="C167" s="156" t="inlineStr">
        <is>
          <t>EX-334</t>
        </is>
      </c>
      <c r="D167" s="156" t="inlineStr">
        <is>
          <t>Lainnya</t>
        </is>
      </c>
      <c r="E167" s="156" t="n">
        <v>44</v>
      </c>
      <c r="F167" s="156" t="inlineStr">
        <is>
          <t>Tunggu hauler</t>
        </is>
      </c>
      <c r="G167" s="157">
        <f>IF($B167="","",IF(ISNA(MATCH($B167,MASTER_JAM!$Q$5:$Q$28,0)),"?",IF(MATCH($B167,MASTER_JAM!$Q$5:$Q$28,0)&lt;=12,"DS","NS")))</f>
        <v/>
      </c>
      <c r="H167" s="157">
        <f>IF($E167="","",IF($G167="?","Jam salah",IF(COUNTIF(MASTER_JAM!$V$5:$V$23,$C167)=0,"Unit tidak dikenal",IF(SUMIFS(INPUT_DELAY!$E$5:$E$20000,INPUT_DELAY!$A$5:$A$20000,$A167,INPUT_DELAY!$B$5:$B$20000,$B167,INPUT_DELAY!$C$5:$C$20000,$C167)+IF($C167="SEMUA",0,SUMIFS(INPUT_DELAY!$E$5:$E$20000,INPUT_DELAY!$A$5:$A$20000,$A167,INPUT_DELAY!$B$5:$B$20000,$B167,INPUT_DELAY!$C$5:$C$20000,"SEMUA"))&gt;60,"Total jam ini &gt; 60 menit","OK"))))</f>
        <v/>
      </c>
    </row>
    <row r="168">
      <c r="A168" s="155" t="n">
        <v>46110</v>
      </c>
      <c r="B168" s="156" t="inlineStr">
        <is>
          <t>10-11</t>
        </is>
      </c>
      <c r="C168" s="156" t="inlineStr">
        <is>
          <t>EX-332</t>
        </is>
      </c>
      <c r="D168" s="156" t="inlineStr">
        <is>
          <t>Standby</t>
        </is>
      </c>
      <c r="E168" s="156" t="n">
        <v>9</v>
      </c>
      <c r="F168" s="156" t="inlineStr">
        <is>
          <t>Tunggu dozer</t>
        </is>
      </c>
      <c r="G168" s="157">
        <f>IF($B168="","",IF(ISNA(MATCH($B168,MASTER_JAM!$Q$5:$Q$28,0)),"?",IF(MATCH($B168,MASTER_JAM!$Q$5:$Q$28,0)&lt;=12,"DS","NS")))</f>
        <v/>
      </c>
      <c r="H168" s="157">
        <f>IF($E168="","",IF($G168="?","Jam salah",IF(COUNTIF(MASTER_JAM!$V$5:$V$23,$C168)=0,"Unit tidak dikenal",IF(SUMIFS(INPUT_DELAY!$E$5:$E$20000,INPUT_DELAY!$A$5:$A$20000,$A168,INPUT_DELAY!$B$5:$B$20000,$B168,INPUT_DELAY!$C$5:$C$20000,$C168)+IF($C168="SEMUA",0,SUMIFS(INPUT_DELAY!$E$5:$E$20000,INPUT_DELAY!$A$5:$A$20000,$A168,INPUT_DELAY!$B$5:$B$20000,$B168,INPUT_DELAY!$C$5:$C$20000,"SEMUA"))&gt;60,"Total jam ini &gt; 60 menit","OK"))))</f>
        <v/>
      </c>
    </row>
    <row r="169">
      <c r="A169" s="155" t="n">
        <v>46110</v>
      </c>
      <c r="B169" s="156" t="inlineStr">
        <is>
          <t>14-15</t>
        </is>
      </c>
      <c r="C169" s="156" t="inlineStr">
        <is>
          <t>EX-754</t>
        </is>
      </c>
      <c r="D169" s="156" t="inlineStr">
        <is>
          <t>Lainnya</t>
        </is>
      </c>
      <c r="E169" s="156" t="n">
        <v>46</v>
      </c>
      <c r="F169" s="156" t="inlineStr">
        <is>
          <t>Tunggu dozer</t>
        </is>
      </c>
      <c r="G169" s="157">
        <f>IF($B169="","",IF(ISNA(MATCH($B169,MASTER_JAM!$Q$5:$Q$28,0)),"?",IF(MATCH($B169,MASTER_JAM!$Q$5:$Q$28,0)&lt;=12,"DS","NS")))</f>
        <v/>
      </c>
      <c r="H169" s="157">
        <f>IF($E169="","",IF($G169="?","Jam salah",IF(COUNTIF(MASTER_JAM!$V$5:$V$23,$C169)=0,"Unit tidak dikenal",IF(SUMIFS(INPUT_DELAY!$E$5:$E$20000,INPUT_DELAY!$A$5:$A$20000,$A169,INPUT_DELAY!$B$5:$B$20000,$B169,INPUT_DELAY!$C$5:$C$20000,$C169)+IF($C169="SEMUA",0,SUMIFS(INPUT_DELAY!$E$5:$E$20000,INPUT_DELAY!$A$5:$A$20000,$A169,INPUT_DELAY!$B$5:$B$20000,$B169,INPUT_DELAY!$C$5:$C$20000,"SEMUA"))&gt;60,"Total jam ini &gt; 60 menit","OK"))))</f>
        <v/>
      </c>
    </row>
    <row r="170">
      <c r="A170" s="155" t="n">
        <v>46110</v>
      </c>
      <c r="B170" s="156" t="inlineStr">
        <is>
          <t>08-09</t>
        </is>
      </c>
      <c r="C170" s="156" t="inlineStr">
        <is>
          <t>EX-755</t>
        </is>
      </c>
      <c r="D170" s="156" t="inlineStr">
        <is>
          <t>Standby</t>
        </is>
      </c>
      <c r="E170" s="156" t="n">
        <v>6</v>
      </c>
      <c r="F170" s="156" t="inlineStr">
        <is>
          <t>Pindah front</t>
        </is>
      </c>
      <c r="G170" s="157">
        <f>IF($B170="","",IF(ISNA(MATCH($B170,MASTER_JAM!$Q$5:$Q$28,0)),"?",IF(MATCH($B170,MASTER_JAM!$Q$5:$Q$28,0)&lt;=12,"DS","NS")))</f>
        <v/>
      </c>
      <c r="H170" s="157">
        <f>IF($E170="","",IF($G170="?","Jam salah",IF(COUNTIF(MASTER_JAM!$V$5:$V$23,$C170)=0,"Unit tidak dikenal",IF(SUMIFS(INPUT_DELAY!$E$5:$E$20000,INPUT_DELAY!$A$5:$A$20000,$A170,INPUT_DELAY!$B$5:$B$20000,$B170,INPUT_DELAY!$C$5:$C$20000,$C170)+IF($C170="SEMUA",0,SUMIFS(INPUT_DELAY!$E$5:$E$20000,INPUT_DELAY!$A$5:$A$20000,$A170,INPUT_DELAY!$B$5:$B$20000,$B170,INPUT_DELAY!$C$5:$C$20000,"SEMUA"))&gt;60,"Total jam ini &gt; 60 menit","OK"))))</f>
        <v/>
      </c>
    </row>
    <row r="171">
      <c r="A171" s="155" t="n">
        <v>46110</v>
      </c>
      <c r="B171" s="156" t="inlineStr">
        <is>
          <t>14-15</t>
        </is>
      </c>
      <c r="C171" s="156" t="inlineStr">
        <is>
          <t>EX-755</t>
        </is>
      </c>
      <c r="D171" s="156" t="inlineStr">
        <is>
          <t>Standby</t>
        </is>
      </c>
      <c r="E171" s="156" t="n">
        <v>47</v>
      </c>
      <c r="F171" s="156" t="inlineStr">
        <is>
          <t>Pindah front</t>
        </is>
      </c>
      <c r="G171" s="157">
        <f>IF($B171="","",IF(ISNA(MATCH($B171,MASTER_JAM!$Q$5:$Q$28,0)),"?",IF(MATCH($B171,MASTER_JAM!$Q$5:$Q$28,0)&lt;=12,"DS","NS")))</f>
        <v/>
      </c>
      <c r="H171" s="157">
        <f>IF($E171="","",IF($G171="?","Jam salah",IF(COUNTIF(MASTER_JAM!$V$5:$V$23,$C171)=0,"Unit tidak dikenal",IF(SUMIFS(INPUT_DELAY!$E$5:$E$20000,INPUT_DELAY!$A$5:$A$20000,$A171,INPUT_DELAY!$B$5:$B$20000,$B171,INPUT_DELAY!$C$5:$C$20000,$C171)+IF($C171="SEMUA",0,SUMIFS(INPUT_DELAY!$E$5:$E$20000,INPUT_DELAY!$A$5:$A$20000,$A171,INPUT_DELAY!$B$5:$B$20000,$B171,INPUT_DELAY!$C$5:$C$20000,"SEMUA"))&gt;60,"Total jam ini &gt; 60 menit","OK"))))</f>
        <v/>
      </c>
    </row>
    <row r="172">
      <c r="A172" s="155" t="n">
        <v>46110</v>
      </c>
      <c r="B172" s="156" t="inlineStr">
        <is>
          <t>16-17</t>
        </is>
      </c>
      <c r="C172" s="156" t="inlineStr">
        <is>
          <t>EX-753</t>
        </is>
      </c>
      <c r="D172" s="156" t="inlineStr">
        <is>
          <t>Standby</t>
        </is>
      </c>
      <c r="E172" s="156" t="n">
        <v>24</v>
      </c>
      <c r="F172" s="156" t="inlineStr">
        <is>
          <t>Pindah front</t>
        </is>
      </c>
      <c r="G172" s="157">
        <f>IF($B172="","",IF(ISNA(MATCH($B172,MASTER_JAM!$Q$5:$Q$28,0)),"?",IF(MATCH($B172,MASTER_JAM!$Q$5:$Q$28,0)&lt;=12,"DS","NS")))</f>
        <v/>
      </c>
      <c r="H172" s="157">
        <f>IF($E172="","",IF($G172="?","Jam salah",IF(COUNTIF(MASTER_JAM!$V$5:$V$23,$C172)=0,"Unit tidak dikenal",IF(SUMIFS(INPUT_DELAY!$E$5:$E$20000,INPUT_DELAY!$A$5:$A$20000,$A172,INPUT_DELAY!$B$5:$B$20000,$B172,INPUT_DELAY!$C$5:$C$20000,$C172)+IF($C172="SEMUA",0,SUMIFS(INPUT_DELAY!$E$5:$E$20000,INPUT_DELAY!$A$5:$A$20000,$A172,INPUT_DELAY!$B$5:$B$20000,$B172,INPUT_DELAY!$C$5:$C$20000,"SEMUA"))&gt;60,"Total jam ini &gt; 60 menit","OK"))))</f>
        <v/>
      </c>
    </row>
    <row r="173">
      <c r="A173" s="155" t="n">
        <v>46110</v>
      </c>
      <c r="B173" s="156" t="inlineStr">
        <is>
          <t>18-19</t>
        </is>
      </c>
      <c r="C173" s="156" t="inlineStr">
        <is>
          <t>SEMUA</t>
        </is>
      </c>
      <c r="D173" s="156" t="inlineStr">
        <is>
          <t>P2H / Ganti shift</t>
        </is>
      </c>
      <c r="E173" s="156" t="n">
        <v>5</v>
      </c>
      <c r="F173" s="156" t="inlineStr"/>
      <c r="G173" s="157">
        <f>IF($B173="","",IF(ISNA(MATCH($B173,MASTER_JAM!$Q$5:$Q$28,0)),"?",IF(MATCH($B173,MASTER_JAM!$Q$5:$Q$28,0)&lt;=12,"DS","NS")))</f>
        <v/>
      </c>
      <c r="H173" s="157">
        <f>IF($E173="","",IF($G173="?","Jam salah",IF(COUNTIF(MASTER_JAM!$V$5:$V$23,$C173)=0,"Unit tidak dikenal",IF(SUMIFS(INPUT_DELAY!$E$5:$E$20000,INPUT_DELAY!$A$5:$A$20000,$A173,INPUT_DELAY!$B$5:$B$20000,$B173,INPUT_DELAY!$C$5:$C$20000,$C173)+IF($C173="SEMUA",0,SUMIFS(INPUT_DELAY!$E$5:$E$20000,INPUT_DELAY!$A$5:$A$20000,$A173,INPUT_DELAY!$B$5:$B$20000,$B173,INPUT_DELAY!$C$5:$C$20000,"SEMUA"))&gt;60,"Total jam ini &gt; 60 menit","OK"))))</f>
        <v/>
      </c>
    </row>
    <row r="174">
      <c r="A174" s="155" t="n">
        <v>46110</v>
      </c>
      <c r="B174" s="156" t="inlineStr">
        <is>
          <t>00-01</t>
        </is>
      </c>
      <c r="C174" s="156" t="inlineStr">
        <is>
          <t>SEMUA</t>
        </is>
      </c>
      <c r="D174" s="156" t="inlineStr">
        <is>
          <t>Istirahat</t>
        </is>
      </c>
      <c r="E174" s="156" t="n">
        <v>60</v>
      </c>
      <c r="F174" s="156" t="inlineStr"/>
      <c r="G174" s="157">
        <f>IF($B174="","",IF(ISNA(MATCH($B174,MASTER_JAM!$Q$5:$Q$28,0)),"?",IF(MATCH($B174,MASTER_JAM!$Q$5:$Q$28,0)&lt;=12,"DS","NS")))</f>
        <v/>
      </c>
      <c r="H174" s="157">
        <f>IF($E174="","",IF($G174="?","Jam salah",IF(COUNTIF(MASTER_JAM!$V$5:$V$23,$C174)=0,"Unit tidak dikenal",IF(SUMIFS(INPUT_DELAY!$E$5:$E$20000,INPUT_DELAY!$A$5:$A$20000,$A174,INPUT_DELAY!$B$5:$B$20000,$B174,INPUT_DELAY!$C$5:$C$20000,$C174)+IF($C174="SEMUA",0,SUMIFS(INPUT_DELAY!$E$5:$E$20000,INPUT_DELAY!$A$5:$A$20000,$A174,INPUT_DELAY!$B$5:$B$20000,$B174,INPUT_DELAY!$C$5:$C$20000,"SEMUA"))&gt;60,"Total jam ini &gt; 60 menit","OK"))))</f>
        <v/>
      </c>
    </row>
    <row r="175">
      <c r="A175" s="155" t="n">
        <v>46110</v>
      </c>
      <c r="B175" s="156" t="inlineStr">
        <is>
          <t>05-06</t>
        </is>
      </c>
      <c r="C175" s="156" t="inlineStr">
        <is>
          <t>EX-1252</t>
        </is>
      </c>
      <c r="D175" s="156" t="inlineStr">
        <is>
          <t>Lainnya</t>
        </is>
      </c>
      <c r="E175" s="156" t="n">
        <v>26</v>
      </c>
      <c r="F175" s="156" t="inlineStr">
        <is>
          <t>Pindah front</t>
        </is>
      </c>
      <c r="G175" s="157">
        <f>IF($B175="","",IF(ISNA(MATCH($B175,MASTER_JAM!$Q$5:$Q$28,0)),"?",IF(MATCH($B175,MASTER_JAM!$Q$5:$Q$28,0)&lt;=12,"DS","NS")))</f>
        <v/>
      </c>
      <c r="H175" s="157">
        <f>IF($E175="","",IF($G175="?","Jam salah",IF(COUNTIF(MASTER_JAM!$V$5:$V$23,$C175)=0,"Unit tidak dikenal",IF(SUMIFS(INPUT_DELAY!$E$5:$E$20000,INPUT_DELAY!$A$5:$A$20000,$A175,INPUT_DELAY!$B$5:$B$20000,$B175,INPUT_DELAY!$C$5:$C$20000,$C175)+IF($C175="SEMUA",0,SUMIFS(INPUT_DELAY!$E$5:$E$20000,INPUT_DELAY!$A$5:$A$20000,$A175,INPUT_DELAY!$B$5:$B$20000,$B175,INPUT_DELAY!$C$5:$C$20000,"SEMUA"))&gt;60,"Total jam ini &gt; 60 menit","OK"))))</f>
        <v/>
      </c>
    </row>
    <row r="176">
      <c r="A176" s="155" t="n">
        <v>46110</v>
      </c>
      <c r="B176" s="156" t="inlineStr">
        <is>
          <t>18-19</t>
        </is>
      </c>
      <c r="C176" s="156" t="inlineStr">
        <is>
          <t>EX-334</t>
        </is>
      </c>
      <c r="D176" s="156" t="inlineStr">
        <is>
          <t>Lainnya</t>
        </is>
      </c>
      <c r="E176" s="156" t="n">
        <v>42</v>
      </c>
      <c r="F176" s="156" t="inlineStr">
        <is>
          <t>Tunggu dozer</t>
        </is>
      </c>
      <c r="G176" s="157">
        <f>IF($B176="","",IF(ISNA(MATCH($B176,MASTER_JAM!$Q$5:$Q$28,0)),"?",IF(MATCH($B176,MASTER_JAM!$Q$5:$Q$28,0)&lt;=12,"DS","NS")))</f>
        <v/>
      </c>
      <c r="H176" s="157">
        <f>IF($E176="","",IF($G176="?","Jam salah",IF(COUNTIF(MASTER_JAM!$V$5:$V$23,$C176)=0,"Unit tidak dikenal",IF(SUMIFS(INPUT_DELAY!$E$5:$E$20000,INPUT_DELAY!$A$5:$A$20000,$A176,INPUT_DELAY!$B$5:$B$20000,$B176,INPUT_DELAY!$C$5:$C$20000,$C176)+IF($C176="SEMUA",0,SUMIFS(INPUT_DELAY!$E$5:$E$20000,INPUT_DELAY!$A$5:$A$20000,$A176,INPUT_DELAY!$B$5:$B$20000,$B176,INPUT_DELAY!$C$5:$C$20000,"SEMUA"))&gt;60,"Total jam ini &gt; 60 menit","OK"))))</f>
        <v/>
      </c>
    </row>
    <row r="177">
      <c r="A177" s="155" t="n">
        <v>46110</v>
      </c>
      <c r="B177" s="156" t="inlineStr">
        <is>
          <t>19-20</t>
        </is>
      </c>
      <c r="C177" s="156" t="inlineStr">
        <is>
          <t>EX-332</t>
        </is>
      </c>
      <c r="D177" s="156" t="inlineStr">
        <is>
          <t>Standby</t>
        </is>
      </c>
      <c r="E177" s="156" t="n">
        <v>56</v>
      </c>
      <c r="F177" s="156" t="inlineStr">
        <is>
          <t>Pindah front</t>
        </is>
      </c>
      <c r="G177" s="157">
        <f>IF($B177="","",IF(ISNA(MATCH($B177,MASTER_JAM!$Q$5:$Q$28,0)),"?",IF(MATCH($B177,MASTER_JAM!$Q$5:$Q$28,0)&lt;=12,"DS","NS")))</f>
        <v/>
      </c>
      <c r="H177" s="157">
        <f>IF($E177="","",IF($G177="?","Jam salah",IF(COUNTIF(MASTER_JAM!$V$5:$V$23,$C177)=0,"Unit tidak dikenal",IF(SUMIFS(INPUT_DELAY!$E$5:$E$20000,INPUT_DELAY!$A$5:$A$20000,$A177,INPUT_DELAY!$B$5:$B$20000,$B177,INPUT_DELAY!$C$5:$C$20000,$C177)+IF($C177="SEMUA",0,SUMIFS(INPUT_DELAY!$E$5:$E$20000,INPUT_DELAY!$A$5:$A$20000,$A177,INPUT_DELAY!$B$5:$B$20000,$B177,INPUT_DELAY!$C$5:$C$20000,"SEMUA"))&gt;60,"Total jam ini &gt; 60 menit","OK"))))</f>
        <v/>
      </c>
    </row>
    <row r="178">
      <c r="A178" s="155" t="n">
        <v>46110</v>
      </c>
      <c r="B178" s="156" t="inlineStr">
        <is>
          <t>01-02</t>
        </is>
      </c>
      <c r="C178" s="156" t="inlineStr">
        <is>
          <t>EX-332</t>
        </is>
      </c>
      <c r="D178" s="156" t="inlineStr">
        <is>
          <t>Standby</t>
        </is>
      </c>
      <c r="E178" s="156" t="n">
        <v>4</v>
      </c>
      <c r="F178" s="156" t="inlineStr">
        <is>
          <t>Tunggu dozer</t>
        </is>
      </c>
      <c r="G178" s="157">
        <f>IF($B178="","",IF(ISNA(MATCH($B178,MASTER_JAM!$Q$5:$Q$28,0)),"?",IF(MATCH($B178,MASTER_JAM!$Q$5:$Q$28,0)&lt;=12,"DS","NS")))</f>
        <v/>
      </c>
      <c r="H178" s="157">
        <f>IF($E178="","",IF($G178="?","Jam salah",IF(COUNTIF(MASTER_JAM!$V$5:$V$23,$C178)=0,"Unit tidak dikenal",IF(SUMIFS(INPUT_DELAY!$E$5:$E$20000,INPUT_DELAY!$A$5:$A$20000,$A178,INPUT_DELAY!$B$5:$B$20000,$B178,INPUT_DELAY!$C$5:$C$20000,$C178)+IF($C178="SEMUA",0,SUMIFS(INPUT_DELAY!$E$5:$E$20000,INPUT_DELAY!$A$5:$A$20000,$A178,INPUT_DELAY!$B$5:$B$20000,$B178,INPUT_DELAY!$C$5:$C$20000,"SEMUA"))&gt;60,"Total jam ini &gt; 60 menit","OK"))))</f>
        <v/>
      </c>
    </row>
    <row r="179">
      <c r="A179" s="155" t="n">
        <v>46110</v>
      </c>
      <c r="B179" s="156" t="inlineStr">
        <is>
          <t>21-22</t>
        </is>
      </c>
      <c r="C179" s="156" t="inlineStr">
        <is>
          <t>EX-335</t>
        </is>
      </c>
      <c r="D179" s="156" t="inlineStr">
        <is>
          <t>Standby</t>
        </is>
      </c>
      <c r="E179" s="156" t="n">
        <v>56</v>
      </c>
      <c r="F179" s="156" t="inlineStr">
        <is>
          <t>Tunggu dozer</t>
        </is>
      </c>
      <c r="G179" s="157">
        <f>IF($B179="","",IF(ISNA(MATCH($B179,MASTER_JAM!$Q$5:$Q$28,0)),"?",IF(MATCH($B179,MASTER_JAM!$Q$5:$Q$28,0)&lt;=12,"DS","NS")))</f>
        <v/>
      </c>
      <c r="H179" s="157">
        <f>IF($E179="","",IF($G179="?","Jam salah",IF(COUNTIF(MASTER_JAM!$V$5:$V$23,$C179)=0,"Unit tidak dikenal",IF(SUMIFS(INPUT_DELAY!$E$5:$E$20000,INPUT_DELAY!$A$5:$A$20000,$A179,INPUT_DELAY!$B$5:$B$20000,$B179,INPUT_DELAY!$C$5:$C$20000,$C179)+IF($C179="SEMUA",0,SUMIFS(INPUT_DELAY!$E$5:$E$20000,INPUT_DELAY!$A$5:$A$20000,$A179,INPUT_DELAY!$B$5:$B$20000,$B179,INPUT_DELAY!$C$5:$C$20000,"SEMUA"))&gt;60,"Total jam ini &gt; 60 menit","OK"))))</f>
        <v/>
      </c>
    </row>
    <row r="180">
      <c r="A180" s="155" t="n">
        <v>46110</v>
      </c>
      <c r="B180" s="156" t="inlineStr">
        <is>
          <t>01-02</t>
        </is>
      </c>
      <c r="C180" s="156" t="inlineStr">
        <is>
          <t>EX-754</t>
        </is>
      </c>
      <c r="D180" s="156" t="inlineStr">
        <is>
          <t>Lainnya</t>
        </is>
      </c>
      <c r="E180" s="156" t="n">
        <v>35</v>
      </c>
      <c r="F180" s="156" t="inlineStr">
        <is>
          <t>Tunggu dozer</t>
        </is>
      </c>
      <c r="G180" s="157">
        <f>IF($B180="","",IF(ISNA(MATCH($B180,MASTER_JAM!$Q$5:$Q$28,0)),"?",IF(MATCH($B180,MASTER_JAM!$Q$5:$Q$28,0)&lt;=12,"DS","NS")))</f>
        <v/>
      </c>
      <c r="H180" s="157">
        <f>IF($E180="","",IF($G180="?","Jam salah",IF(COUNTIF(MASTER_JAM!$V$5:$V$23,$C180)=0,"Unit tidak dikenal",IF(SUMIFS(INPUT_DELAY!$E$5:$E$20000,INPUT_DELAY!$A$5:$A$20000,$A180,INPUT_DELAY!$B$5:$B$20000,$B180,INPUT_DELAY!$C$5:$C$20000,$C180)+IF($C180="SEMUA",0,SUMIFS(INPUT_DELAY!$E$5:$E$20000,INPUT_DELAY!$A$5:$A$20000,$A180,INPUT_DELAY!$B$5:$B$20000,$B180,INPUT_DELAY!$C$5:$C$20000,"SEMUA"))&gt;60,"Total jam ini &gt; 60 menit","OK"))))</f>
        <v/>
      </c>
    </row>
    <row r="181">
      <c r="A181" s="155" t="n">
        <v>46110</v>
      </c>
      <c r="B181" s="156" t="inlineStr">
        <is>
          <t>21-22</t>
        </is>
      </c>
      <c r="C181" s="156" t="inlineStr">
        <is>
          <t>EX-755</t>
        </is>
      </c>
      <c r="D181" s="156" t="inlineStr">
        <is>
          <t>Lainnya</t>
        </is>
      </c>
      <c r="E181" s="156" t="n">
        <v>48</v>
      </c>
      <c r="F181" s="156" t="inlineStr">
        <is>
          <t>Perbaikan jalan</t>
        </is>
      </c>
      <c r="G181" s="157">
        <f>IF($B181="","",IF(ISNA(MATCH($B181,MASTER_JAM!$Q$5:$Q$28,0)),"?",IF(MATCH($B181,MASTER_JAM!$Q$5:$Q$28,0)&lt;=12,"DS","NS")))</f>
        <v/>
      </c>
      <c r="H181" s="157">
        <f>IF($E181="","",IF($G181="?","Jam salah",IF(COUNTIF(MASTER_JAM!$V$5:$V$23,$C181)=0,"Unit tidak dikenal",IF(SUMIFS(INPUT_DELAY!$E$5:$E$20000,INPUT_DELAY!$A$5:$A$20000,$A181,INPUT_DELAY!$B$5:$B$20000,$B181,INPUT_DELAY!$C$5:$C$20000,$C181)+IF($C181="SEMUA",0,SUMIFS(INPUT_DELAY!$E$5:$E$20000,INPUT_DELAY!$A$5:$A$20000,$A181,INPUT_DELAY!$B$5:$B$20000,$B181,INPUT_DELAY!$C$5:$C$20000,"SEMUA"))&gt;60,"Total jam ini &gt; 60 menit","OK"))))</f>
        <v/>
      </c>
    </row>
    <row r="182">
      <c r="A182" s="155" t="n">
        <v>46110</v>
      </c>
      <c r="B182" s="156" t="inlineStr">
        <is>
          <t>05-06</t>
        </is>
      </c>
      <c r="C182" s="156" t="inlineStr">
        <is>
          <t>EX-753</t>
        </is>
      </c>
      <c r="D182" s="156" t="inlineStr">
        <is>
          <t>Lainnya</t>
        </is>
      </c>
      <c r="E182" s="156" t="n">
        <v>17</v>
      </c>
      <c r="F182" s="156" t="inlineStr">
        <is>
          <t>Pindah front</t>
        </is>
      </c>
      <c r="G182" s="157">
        <f>IF($B182="","",IF(ISNA(MATCH($B182,MASTER_JAM!$Q$5:$Q$28,0)),"?",IF(MATCH($B182,MASTER_JAM!$Q$5:$Q$28,0)&lt;=12,"DS","NS")))</f>
        <v/>
      </c>
      <c r="H182" s="157">
        <f>IF($E182="","",IF($G182="?","Jam salah",IF(COUNTIF(MASTER_JAM!$V$5:$V$23,$C182)=0,"Unit tidak dikenal",IF(SUMIFS(INPUT_DELAY!$E$5:$E$20000,INPUT_DELAY!$A$5:$A$20000,$A182,INPUT_DELAY!$B$5:$B$20000,$B182,INPUT_DELAY!$C$5:$C$20000,$C182)+IF($C182="SEMUA",0,SUMIFS(INPUT_DELAY!$E$5:$E$20000,INPUT_DELAY!$A$5:$A$20000,$A182,INPUT_DELAY!$B$5:$B$20000,$B182,INPUT_DELAY!$C$5:$C$20000,"SEMUA"))&gt;60,"Total jam ini &gt; 60 menit","OK"))))</f>
        <v/>
      </c>
    </row>
  </sheetData>
  <conditionalFormatting sqref="H5:H20000">
    <cfRule type="expression" priority="1" dxfId="28">
      <formula>AND($H5&lt;&gt;"",$H5&lt;&gt;"OK")</formula>
    </cfRule>
    <cfRule type="expression" priority="2" dxfId="29">
      <formula>$H5="OK"</formula>
    </cfRule>
  </conditionalFormatting>
  <dataValidations count="5">
    <dataValidation sqref="A5:A20000" showDropDown="0" showInputMessage="1" showErrorMessage="1" allowBlank="1" prompt="Tanggal produksi" type="date" operator="between">
      <formula1>DATE(2020,1,1)</formula1>
      <formula2>DATE(2035,12,31)</formula2>
    </dataValidation>
    <dataValidation sqref="B5:B20000" showDropDown="0" showInputMessage="1" showErrorMessage="1" allowBlank="1" errorTitle="Tidak ada di daftar" error="Pilih dari dropdown. Nama harus sama persis dengan MASTER_JAM." promptTitle="Pilih dari daftar" prompt="06-07 s/d 05-06" type="list">
      <formula1>=MASTER_JAM!$Q$5:$Q$28</formula1>
    </dataValidation>
    <dataValidation sqref="C5:C20000" showDropDown="0" showInputMessage="1" showErrorMessage="1" allowBlank="1" errorTitle="Tidak ada di daftar" error="Pilih dari dropdown. Nama harus sama persis dengan MASTER_JAM." promptTitle="Pilih dari daftar" prompt="SEMUA atau nomor digger" type="list">
      <formula1>=MASTER_JAM!$V$5:$V$23</formula1>
    </dataValidation>
    <dataValidation sqref="D5:D20000" showDropDown="0" showInputMessage="1" showErrorMessage="1" allowBlank="1" errorTitle="Tidak ada di daftar" error="Pilih dari dropdown. Nama harus sama persis dengan MASTER_JAM." promptTitle="Pilih dari daftar" prompt="Kategori delay" type="list">
      <formula1>=MASTER_JAM!$S$5:$S$11</formula1>
    </dataValidation>
    <dataValidation sqref="E5:E20000" showDropDown="0" showInputMessage="1" showErrorMessage="1" allowBlank="1" errorTitle="Menit tidak valid" error="Isi bilangan bulat 1–60. Delay lebih dari 1 jam: isi satu baris per jam." prompt="Menit 1–60 (satu baris = satu jam)" type="whole" operator="between">
      <formula1>1</formula1>
      <formula2>60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8FAADC"/>
    <outlinePr summaryBelow="1" summaryRight="1"/>
    <pageSetUpPr/>
  </sheetPr>
  <dimension ref="B2:C4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00" customWidth="1" min="3" max="3"/>
  </cols>
  <sheetData>
    <row r="2">
      <c r="B2" s="163" t="inlineStr">
        <is>
          <t>PANDUAN PIT CONTROL BOARD (EXCEL)</t>
        </is>
      </c>
    </row>
    <row r="3">
      <c r="B3" s="164" t="inlineStr">
        <is>
          <t>Disusun oleh Muhammad Rifqi Rizqullah, S.T.</t>
        </is>
      </c>
    </row>
    <row r="6">
      <c r="B6" s="150" t="inlineStr">
        <is>
          <t>Navigasi</t>
        </is>
      </c>
    </row>
    <row r="7">
      <c r="B7" s="165" t="inlineStr">
        <is>
          <t>Sidebar</t>
        </is>
      </c>
      <c r="C7" s="166" t="inlineStr">
        <is>
          <t>Klik nama halaman di panel gelap kiri untuk berpindah board. 'Buka versi web' membuka dashboard web yang sama di browser.</t>
        </is>
      </c>
    </row>
    <row r="8">
      <c r="B8" s="165" t="inlineStr">
        <is>
          <t>Filter</t>
        </is>
      </c>
      <c r="C8" s="166" t="inlineStr">
        <is>
          <t>Klik sel kuning di bagian atas tiap board. Setiap board punya filter sendiri (tanggal, shift, dan digger/class/unit).</t>
        </is>
      </c>
    </row>
    <row r="10">
      <c r="B10" s="150" t="inlineStr">
        <is>
          <t>Board</t>
        </is>
      </c>
    </row>
    <row r="11">
      <c r="B11" s="165" t="inlineStr">
        <is>
          <t>Produksi</t>
        </is>
      </c>
      <c r="C11" s="166" t="inlineStr">
        <is>
          <t>OB &amp; coal actual vs plan, achievement kumulatif, kontribusi OB per digger, ringkasan periode.</t>
        </is>
      </c>
    </row>
    <row r="12">
      <c r="B12" s="165" t="inlineStr">
        <is>
          <t>Digger</t>
        </is>
      </c>
      <c r="C12" s="166" t="inlineStr">
        <is>
          <t>PTY excavator (BCM/jam EWH), ritase, coal, PA/UA per excavator, dan tren harian digger terpilih.</t>
        </is>
      </c>
    </row>
    <row r="13">
      <c r="B13" s="165" t="inlineStr">
        <is>
          <t>Availability</t>
        </is>
      </c>
      <c r="C13" s="166" t="inlineStr">
        <is>
          <t>PA, UA, MA, EU; PA &amp; UA per class; porsi breakdown; tren harian; Top 10 unit breakdown.</t>
        </is>
      </c>
    </row>
    <row r="14">
      <c r="B14" s="165" t="inlineStr">
        <is>
          <t>Delay &amp; Hujan</t>
        </is>
      </c>
      <c r="C14" s="166" t="inlineStr">
        <is>
          <t>Pareto idle, semua kategori idle, dan jam hujan vs achievement OB harian.</t>
        </is>
      </c>
    </row>
    <row r="15">
      <c r="B15" s="165" t="inlineStr">
        <is>
          <t>Fuel</t>
        </is>
      </c>
      <c r="C15" s="166" t="inlineStr">
        <is>
          <t>FR Mining &amp; FR All vs plan, fuel per kelompok (Mining/Aux/Vendor), per kategori, L/jam per tipe, dan unit terbesar.</t>
        </is>
      </c>
    </row>
    <row r="16">
      <c r="B16" s="165" t="inlineStr">
        <is>
          <t>PTY per Jam</t>
        </is>
      </c>
      <c r="C16" s="166" t="inlineStr">
        <is>
          <t>Heatmap PTY digger per jam, produksi &amp; PTY fleet per jam vs plan, kumulatif shift, PTY per digger vs target, dan teks laporan WA per jam.</t>
        </is>
      </c>
    </row>
    <row r="17">
      <c r="B17" s="165" t="inlineStr">
        <is>
          <t>Master Data</t>
        </is>
      </c>
      <c r="C17" s="166" t="inlineStr">
        <is>
          <t>Ringkasan dataset dan cara menambah data.</t>
        </is>
      </c>
    </row>
    <row r="18">
      <c r="B18" s="165" t="inlineStr">
        <is>
          <t>Tren PTY</t>
        </is>
      </c>
      <c r="C18" s="166" t="inlineStr">
        <is>
          <t>Heatmap PTY harian per digger (dari DATA_TS), ranking digger, persentase shift on target, hari terbaik &amp; terendah.</t>
        </is>
      </c>
    </row>
    <row r="19">
      <c r="B19" s="165" t="inlineStr">
        <is>
          <t>Fleet &amp; Delay</t>
        </is>
      </c>
      <c r="C19" s="166" t="inlineStr">
        <is>
          <t>Match factor digger–DT per jam dengan saran tambah/kurang DT, menit hilang per kategori delay per jam &amp; per digger, dan hujan vs PTY.</t>
        </is>
      </c>
    </row>
    <row r="20">
      <c r="B20" s="165" t="inlineStr">
        <is>
          <t>Daily Report</t>
        </is>
      </c>
      <c r="C20" s="166" t="inlineStr">
        <is>
          <t>Laporan harian otomatis dari input per jam: produksi DS/NS/harian/MTD vs plan, produksi &amp; delay per jam (24 jam), PTY per digger, ritase per hauler.</t>
        </is>
      </c>
    </row>
    <row r="21">
      <c r="B21" s="165" t="inlineStr">
        <is>
          <t>Match factor</t>
        </is>
      </c>
      <c r="C21" s="166" t="inlineStr">
        <is>
          <t>MF = Σ (waktu muat 1 DT ÷ CT teori DT). CT teori = waktu muat + jarak÷kecepatan isi + jarak÷kecepatan kosong + waktu tetap (tanpa antrian). MF &lt; 0,8 digger menunggu DT; &gt; 1,1 DT antri. Waktu muat, jarak per digger, dan kecepatan diatur di MASTER_JAM.</t>
        </is>
      </c>
    </row>
    <row r="23">
      <c r="B23" s="150" t="inlineStr">
        <is>
          <t>Input per jam (PTY per Jam)</t>
        </is>
      </c>
    </row>
    <row r="24">
      <c r="B24" s="165" t="inlineStr">
        <is>
          <t>1. Ritase tiap jam</t>
        </is>
      </c>
      <c r="C24" s="166" t="inlineStr">
        <is>
          <t>Di INPUT_RITASE isi Tanggal, Jam, Digger, Hauler, Material, Ritase (kolom oranye). Shift, faktor, produksi, dan Cek terisi otomatis.</t>
        </is>
      </c>
    </row>
    <row r="25">
      <c r="B25" s="165" t="inlineStr">
        <is>
          <t>2. Delay</t>
        </is>
      </c>
      <c r="C25" s="166" t="inlineStr">
        <is>
          <t>Di INPUT_DELAY isi jam yang ada gangguan saja. Unit SEMUA = berlaku ke semua digger (hujan, slippery, istirahat, P2H). Menit 1–60 per baris.</t>
        </is>
      </c>
    </row>
    <row r="26">
      <c r="B26" s="165" t="inlineStr">
        <is>
          <t>3. Cek</t>
        </is>
      </c>
      <c r="C26" s="166" t="inlineStr">
        <is>
          <t>Kolom Cek merah = baris salah (unit tidak dikenal, faktor kosong, total delay jam itu &gt; 60 menit, atau ada ritase di jam yang delay-nya 60 menit). Jumlahnya tampil di bawah filter PTY per Jam.</t>
        </is>
      </c>
    </row>
    <row r="27">
      <c r="B27" s="165" t="inlineStr">
        <is>
          <t>4. Masuk ke DATA_TS</t>
        </is>
      </c>
      <c r="C27" s="166" t="inlineStr">
        <is>
          <t>Kolom Ritase OB/Coal &amp; Prod OB/Coal baris excavator di DATA_TS (sel oranye muda) berupa rumus dari INPUT_RITASE, sehingga board Digger ikut berubah. Untuk tanggal baru: salin rumus sel oranye dari tanggal sebelumnya ke baris excavator tanggal baru.</t>
        </is>
      </c>
    </row>
    <row r="28">
      <c r="B28" s="165" t="inlineStr">
        <is>
          <t>EWH per jam</t>
        </is>
      </c>
      <c r="C28" s="166" t="inlineStr">
        <is>
          <t>Untuk jam yang ada ritase: (60 − menit delay unit − menit delay SEMUA) ÷ 60. PTY = produksi ÷ EWH.</t>
        </is>
      </c>
    </row>
    <row r="29">
      <c r="B29" s="165" t="inlineStr">
        <is>
          <t>Faktor &amp; target</t>
        </is>
      </c>
      <c r="C29" s="166" t="inlineStr">
        <is>
          <t>Sheet MASTER_JAM: faktor BCM/rit per material × tipe DT dan target PTY per digger. Faktor di file ini = faktor standar × 0,85 agar konsisten dengan DATA_TS (data dummy).</t>
        </is>
      </c>
    </row>
    <row r="31">
      <c r="B31" s="150" t="inlineStr">
        <is>
          <t>Definisi</t>
        </is>
      </c>
    </row>
    <row r="32">
      <c r="B32" s="165" t="inlineStr">
        <is>
          <t>PA</t>
        </is>
      </c>
      <c r="C32" s="166" t="inlineStr">
        <is>
          <t>(HM + Idle) ÷ (HM + Idle + BD)</t>
        </is>
      </c>
    </row>
    <row r="33">
      <c r="B33" s="165" t="inlineStr">
        <is>
          <t>UA</t>
        </is>
      </c>
      <c r="C33" s="166" t="inlineStr">
        <is>
          <t>HM ÷ (HM + Idle)</t>
        </is>
      </c>
    </row>
    <row r="34">
      <c r="B34" s="165" t="inlineStr">
        <is>
          <t>MA</t>
        </is>
      </c>
      <c r="C34" s="166" t="inlineStr">
        <is>
          <t>HM ÷ (HM + BD)</t>
        </is>
      </c>
    </row>
    <row r="35">
      <c r="B35" s="165" t="inlineStr">
        <is>
          <t>EU</t>
        </is>
      </c>
      <c r="C35" s="166" t="inlineStr">
        <is>
          <t>HM ÷ (HM + BD + Idle)</t>
        </is>
      </c>
    </row>
    <row r="36">
      <c r="B36" s="165" t="inlineStr">
        <is>
          <t>PTY digger</t>
        </is>
      </c>
      <c r="C36" s="166" t="inlineStr">
        <is>
          <t>Produksi ÷ EWH excavator.</t>
        </is>
      </c>
    </row>
    <row r="37">
      <c r="B37" s="165" t="inlineStr">
        <is>
          <t>Produksi</t>
        </is>
      </c>
      <c r="C37" s="166" t="inlineStr">
        <is>
          <t>Ritase hauler × faktor BCM/rit per tipe DT (dari timesheet).</t>
        </is>
      </c>
    </row>
    <row r="38">
      <c r="B38" s="165" t="inlineStr">
        <is>
          <t>Fuel ratio (FR)</t>
        </is>
      </c>
      <c r="C38" s="166" t="inlineStr">
        <is>
          <t>Fuel (L) ÷ (OB BCM + coal MT ÷ 1,3). FR Mining memakai fuel alat di pit; FR All memakai seluruh fuel.</t>
        </is>
      </c>
    </row>
    <row r="39">
      <c r="B39" s="165" t="inlineStr">
        <is>
          <t>Kelompok fuel</t>
        </is>
      </c>
      <c r="C39" s="166" t="inlineStr">
        <is>
          <t>Mining = alat di pit. Aux = alat di luar pit (DT hauling ROM–jetty, loader, washing plant, LV, genset, pompa, dll). Vendor = alat milik vendor.</t>
        </is>
      </c>
    </row>
    <row r="41">
      <c r="B41" s="150" t="inlineStr">
        <is>
          <t>Catatan data</t>
        </is>
      </c>
    </row>
    <row r="42" ht="30" customHeight="1">
      <c r="B42" s="166" t="inlineStr">
        <is>
          <t>Data dummy hasil simulasi (Maret 2026) untuk portofolio. Nomor unit, tanggal, dan semua angka fiktif; bukan data perusahaan mana pun. Logika perhitungan (PA/UA/MA/EU, PTY, EWH, fuel ratio) sama dengan yang dipakai di operasional.</t>
        </is>
      </c>
    </row>
    <row r="44">
      <c r="B44" s="160">
        <f>HYPERLINK("#Produksi!A1","← Kembali ke board Produksi")</f>
        <v/>
      </c>
    </row>
  </sheetData>
  <mergeCells count="1">
    <mergeCell ref="B42:C4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FFC000"/>
    <outlinePr summaryBelow="1" summaryRight="1"/>
    <pageSetUpPr/>
  </sheetPr>
  <dimension ref="B2:C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0" customWidth="1" min="3" max="3"/>
  </cols>
  <sheetData>
    <row r="2">
      <c r="B2" s="167" t="inlineStr">
        <is>
          <t>PARAMETER &amp; TARGET</t>
        </is>
      </c>
    </row>
    <row r="3">
      <c r="B3" s="151" t="inlineStr">
        <is>
          <t>Sel kuning boleh diubah; warna status di semua board ikut menyesuaikan.</t>
        </is>
      </c>
    </row>
    <row r="5">
      <c r="B5" s="168" t="inlineStr">
        <is>
          <t>Target Physical Availability (PA)</t>
        </is>
      </c>
      <c r="C5" s="169" t="n">
        <v>0.85</v>
      </c>
    </row>
    <row r="6">
      <c r="B6" s="168" t="inlineStr">
        <is>
          <t>Target Use of Availability (UA)</t>
        </is>
      </c>
      <c r="C6" s="169" t="n">
        <v>0.75</v>
      </c>
    </row>
    <row r="7">
      <c r="B7" s="168" t="inlineStr">
        <is>
          <t>Batas hijau Achievement (≥)</t>
        </is>
      </c>
      <c r="C7" s="169" t="n">
        <v>1</v>
      </c>
    </row>
    <row r="8">
      <c r="B8" s="168" t="inlineStr">
        <is>
          <t>Batas kuning Achievement (≥)</t>
        </is>
      </c>
      <c r="C8" s="169" t="n">
        <v>0.9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FFC000"/>
    <outlinePr summaryBelow="1" summaryRight="1"/>
    <pageSetUpPr/>
  </sheetPr>
  <dimension ref="A1:AC9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2" customWidth="1" min="3" max="3"/>
    <col width="9" customWidth="1" min="4" max="4"/>
    <col width="10" customWidth="1" min="5" max="5"/>
    <col width="12" customWidth="1" min="6" max="6"/>
    <col width="12" customWidth="1" min="7" max="7"/>
    <col width="11" customWidth="1" min="8" max="8"/>
    <col width="18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22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170" t="inlineStr">
        <is>
          <t>MASTER PER JAM — UNIT, FAKTOR BCM/RIT &amp; TARGET PTY</t>
        </is>
      </c>
    </row>
    <row r="2">
      <c r="A2" s="151" t="inlineStr">
        <is>
          <t>Sel kuning boleh diubah. File ini memakai data dummy (simulasi); faktor = faktor standar × 0,85 agar konsisten dengan DATA_TS. Untuk dipakai di site, ganti dengan faktor asli.</t>
        </is>
      </c>
    </row>
    <row r="3">
      <c r="Y3" s="171" t="inlineStr">
        <is>
          <t>Waktu muat 1 DT (menit) — match factor</t>
        </is>
      </c>
    </row>
    <row r="4" ht="30" customHeight="1">
      <c r="A4" s="153" t="inlineStr">
        <is>
          <t>Unit</t>
        </is>
      </c>
      <c r="B4" s="153" t="inlineStr">
        <is>
          <t>Tipe</t>
        </is>
      </c>
      <c r="C4" s="153" t="inlineStr">
        <is>
          <t>Class</t>
        </is>
      </c>
      <c r="D4" s="153" t="inlineStr">
        <is>
          <t>Peran</t>
        </is>
      </c>
      <c r="E4" s="153" t="inlineStr">
        <is>
          <t>Grup DT</t>
        </is>
      </c>
      <c r="F4" s="153" t="inlineStr">
        <is>
          <t>Target PTY OB</t>
        </is>
      </c>
      <c r="G4" s="153" t="inlineStr">
        <is>
          <t>Target PTY Coal</t>
        </is>
      </c>
      <c r="H4" s="153" t="inlineStr">
        <is>
          <t>Jarak angkut (m)</t>
        </is>
      </c>
      <c r="I4" s="172" t="inlineStr">
        <is>
          <t>Material \ Grup DT</t>
        </is>
      </c>
      <c r="J4" s="173" t="inlineStr">
        <is>
          <t>SKT 80S</t>
        </is>
      </c>
      <c r="K4" s="173" t="inlineStr">
        <is>
          <t>SKT 105S</t>
        </is>
      </c>
      <c r="L4" s="173" t="inlineStr">
        <is>
          <t>SRT 95C</t>
        </is>
      </c>
      <c r="M4" s="173" t="inlineStr">
        <is>
          <t>Hino</t>
        </is>
      </c>
      <c r="N4" s="173" t="inlineStr">
        <is>
          <t>SY430</t>
        </is>
      </c>
      <c r="O4" s="173" t="inlineStr">
        <is>
          <t>SY324</t>
        </is>
      </c>
      <c r="Q4" s="172" t="inlineStr">
        <is>
          <t>Jam</t>
        </is>
      </c>
      <c r="R4" s="172" t="inlineStr">
        <is>
          <t>Material</t>
        </is>
      </c>
      <c r="S4" s="172" t="inlineStr">
        <is>
          <t>Kategori delay</t>
        </is>
      </c>
      <c r="T4" s="172" t="inlineStr">
        <is>
          <t>Digger</t>
        </is>
      </c>
      <c r="U4" s="172" t="inlineStr">
        <is>
          <t>Hauler</t>
        </is>
      </c>
      <c r="V4" s="172" t="inlineStr">
        <is>
          <t>Unit delay</t>
        </is>
      </c>
      <c r="Y4" s="172" t="inlineStr">
        <is>
          <t>Tipe digger \ Grup DT</t>
        </is>
      </c>
      <c r="Z4" s="173" t="inlineStr">
        <is>
          <t>SKT 80S</t>
        </is>
      </c>
      <c r="AA4" s="173" t="inlineStr">
        <is>
          <t>SKT 105S</t>
        </is>
      </c>
      <c r="AB4" s="173" t="inlineStr">
        <is>
          <t>SRT 95C</t>
        </is>
      </c>
      <c r="AC4" s="173" t="inlineStr">
        <is>
          <t>Hino</t>
        </is>
      </c>
    </row>
    <row r="5">
      <c r="A5" s="156" t="inlineStr">
        <is>
          <t>EX-1251</t>
        </is>
      </c>
      <c r="B5" s="156" t="inlineStr">
        <is>
          <t>SY1250</t>
        </is>
      </c>
      <c r="C5" s="156" t="inlineStr">
        <is>
          <t>Excavator</t>
        </is>
      </c>
      <c r="D5" s="156" t="inlineStr">
        <is>
          <t>Digger</t>
        </is>
      </c>
      <c r="E5" s="156" t="inlineStr"/>
      <c r="F5" s="174" t="n">
        <v>400</v>
      </c>
      <c r="G5" s="174" t="n"/>
      <c r="H5" s="175" t="n">
        <v>2000</v>
      </c>
      <c r="I5" s="176" t="inlineStr">
        <is>
          <t>OB</t>
        </is>
      </c>
      <c r="J5" s="177" t="n">
        <v>17</v>
      </c>
      <c r="K5" s="177" t="n">
        <v>20.4</v>
      </c>
      <c r="L5" s="177" t="n">
        <v>35.7</v>
      </c>
      <c r="M5" s="177" t="n">
        <v>7.65</v>
      </c>
      <c r="N5" s="177" t="n">
        <v>15.3</v>
      </c>
      <c r="O5" s="177" t="n"/>
      <c r="Q5" s="156" t="inlineStr">
        <is>
          <t>06-07</t>
        </is>
      </c>
      <c r="R5" s="156" t="inlineStr">
        <is>
          <t>OB</t>
        </is>
      </c>
      <c r="S5" s="156" t="inlineStr">
        <is>
          <t>Rain</t>
        </is>
      </c>
      <c r="T5" s="156" t="inlineStr">
        <is>
          <t>EX-1251</t>
        </is>
      </c>
      <c r="U5" s="156" t="inlineStr">
        <is>
          <t>DH-101</t>
        </is>
      </c>
      <c r="V5" s="156" t="inlineStr">
        <is>
          <t>SEMUA</t>
        </is>
      </c>
      <c r="Y5" s="176" t="inlineStr">
        <is>
          <t>SY2000</t>
        </is>
      </c>
      <c r="Z5" s="178" t="n">
        <v>1.6</v>
      </c>
      <c r="AA5" s="178" t="n">
        <v>2</v>
      </c>
      <c r="AB5" s="178" t="n">
        <v>3.4</v>
      </c>
      <c r="AC5" s="178" t="n">
        <v>0.7</v>
      </c>
    </row>
    <row r="6">
      <c r="A6" s="156" t="inlineStr">
        <is>
          <t>EX-755</t>
        </is>
      </c>
      <c r="B6" s="156" t="inlineStr">
        <is>
          <t>SY750H-PRO</t>
        </is>
      </c>
      <c r="C6" s="156" t="inlineStr">
        <is>
          <t>Excavator</t>
        </is>
      </c>
      <c r="D6" s="156" t="inlineStr">
        <is>
          <t>Digger</t>
        </is>
      </c>
      <c r="E6" s="156" t="inlineStr"/>
      <c r="F6" s="174" t="n">
        <v>270</v>
      </c>
      <c r="G6" s="174" t="n">
        <v>185</v>
      </c>
      <c r="H6" s="175" t="n">
        <v>2500</v>
      </c>
      <c r="I6" s="176" t="inlineStr">
        <is>
          <t>TS (Blending)</t>
        </is>
      </c>
      <c r="J6" s="177" t="n">
        <v>13.6</v>
      </c>
      <c r="K6" s="177" t="n">
        <v>16.32</v>
      </c>
      <c r="L6" s="177" t="n">
        <v>28.56</v>
      </c>
      <c r="M6" s="177" t="n">
        <v>6.12</v>
      </c>
      <c r="N6" s="177" t="n">
        <v>12.24</v>
      </c>
      <c r="O6" s="177" t="n"/>
      <c r="Q6" s="156" t="inlineStr">
        <is>
          <t>07-08</t>
        </is>
      </c>
      <c r="R6" s="156" t="inlineStr">
        <is>
          <t>TS (Blending)</t>
        </is>
      </c>
      <c r="S6" s="156" t="inlineStr">
        <is>
          <t>Slippery</t>
        </is>
      </c>
      <c r="T6" s="156" t="inlineStr">
        <is>
          <t>EX-755</t>
        </is>
      </c>
      <c r="U6" s="156" t="inlineStr">
        <is>
          <t>DH-102</t>
        </is>
      </c>
      <c r="V6" s="156" t="inlineStr">
        <is>
          <t>EX-1251</t>
        </is>
      </c>
      <c r="Y6" s="176" t="inlineStr">
        <is>
          <t>SY1250</t>
        </is>
      </c>
      <c r="Z6" s="178" t="n">
        <v>2.3</v>
      </c>
      <c r="AA6" s="178" t="n">
        <v>2.8</v>
      </c>
      <c r="AB6" s="178" t="n">
        <v>4.8</v>
      </c>
      <c r="AC6" s="178" t="n">
        <v>1</v>
      </c>
    </row>
    <row r="7">
      <c r="A7" s="156" t="inlineStr">
        <is>
          <t>EX-2101</t>
        </is>
      </c>
      <c r="B7" s="156" t="inlineStr">
        <is>
          <t>SY2000</t>
        </is>
      </c>
      <c r="C7" s="156" t="inlineStr">
        <is>
          <t>Excavator</t>
        </is>
      </c>
      <c r="D7" s="156" t="inlineStr">
        <is>
          <t>Digger</t>
        </is>
      </c>
      <c r="E7" s="156" t="inlineStr"/>
      <c r="F7" s="174" t="n">
        <v>560</v>
      </c>
      <c r="G7" s="174" t="n"/>
      <c r="H7" s="175" t="n">
        <v>1900</v>
      </c>
      <c r="I7" s="176" t="inlineStr">
        <is>
          <t>Mud</t>
        </is>
      </c>
      <c r="J7" s="177" t="n">
        <v>8.5</v>
      </c>
      <c r="K7" s="177" t="n">
        <v>10.2</v>
      </c>
      <c r="L7" s="177" t="n">
        <v>17.85</v>
      </c>
      <c r="M7" s="177" t="n">
        <v>3.825</v>
      </c>
      <c r="N7" s="177" t="n">
        <v>7.65</v>
      </c>
      <c r="O7" s="177" t="n"/>
      <c r="Q7" s="156" t="inlineStr">
        <is>
          <t>08-09</t>
        </is>
      </c>
      <c r="R7" s="156" t="inlineStr">
        <is>
          <t>Mud</t>
        </is>
      </c>
      <c r="S7" s="156" t="inlineStr">
        <is>
          <t>Istirahat</t>
        </is>
      </c>
      <c r="T7" s="156" t="inlineStr">
        <is>
          <t>EX-2101</t>
        </is>
      </c>
      <c r="U7" s="156" t="inlineStr">
        <is>
          <t>DH-103</t>
        </is>
      </c>
      <c r="V7" s="156" t="inlineStr">
        <is>
          <t>EX-755</t>
        </is>
      </c>
      <c r="Y7" s="176" t="inlineStr">
        <is>
          <t>SY750H-PRO</t>
        </is>
      </c>
      <c r="Z7" s="178" t="n">
        <v>3.4</v>
      </c>
      <c r="AA7" s="178" t="n">
        <v>4.1</v>
      </c>
      <c r="AB7" s="178" t="n">
        <v>7.1</v>
      </c>
      <c r="AC7" s="178" t="n">
        <v>1.5</v>
      </c>
    </row>
    <row r="8">
      <c r="A8" s="156" t="inlineStr">
        <is>
          <t>EX-754</t>
        </is>
      </c>
      <c r="B8" s="156" t="inlineStr">
        <is>
          <t>SY750H-PRO</t>
        </is>
      </c>
      <c r="C8" s="156" t="inlineStr">
        <is>
          <t>Excavator</t>
        </is>
      </c>
      <c r="D8" s="156" t="inlineStr">
        <is>
          <t>Digger</t>
        </is>
      </c>
      <c r="E8" s="156" t="inlineStr"/>
      <c r="F8" s="174" t="n">
        <v>270</v>
      </c>
      <c r="G8" s="174" t="n">
        <v>185</v>
      </c>
      <c r="H8" s="175" t="n">
        <v>1300</v>
      </c>
      <c r="I8" s="176" t="inlineStr">
        <is>
          <t>Boulder</t>
        </is>
      </c>
      <c r="J8" s="177" t="n"/>
      <c r="K8" s="177" t="n">
        <v>16.32</v>
      </c>
      <c r="L8" s="177" t="n">
        <v>28.56</v>
      </c>
      <c r="M8" s="177" t="n"/>
      <c r="N8" s="177" t="n"/>
      <c r="O8" s="177" t="n"/>
      <c r="Q8" s="156" t="inlineStr">
        <is>
          <t>09-10</t>
        </is>
      </c>
      <c r="R8" s="156" t="inlineStr">
        <is>
          <t>Boulder</t>
        </is>
      </c>
      <c r="S8" s="156" t="inlineStr">
        <is>
          <t>P2H / Ganti shift</t>
        </is>
      </c>
      <c r="T8" s="156" t="inlineStr">
        <is>
          <t>EX-754</t>
        </is>
      </c>
      <c r="U8" s="156" t="inlineStr">
        <is>
          <t>DT-501</t>
        </is>
      </c>
      <c r="V8" s="156" t="inlineStr">
        <is>
          <t>EX-2101</t>
        </is>
      </c>
      <c r="Y8" s="176" t="inlineStr">
        <is>
          <t>PC 300-8MO</t>
        </is>
      </c>
      <c r="Z8" s="178" t="n">
        <v>6.1</v>
      </c>
      <c r="AA8" s="178" t="n">
        <v>7.3</v>
      </c>
      <c r="AB8" s="178" t="n">
        <v>12.9</v>
      </c>
      <c r="AC8" s="178" t="n">
        <v>2.8</v>
      </c>
    </row>
    <row r="9">
      <c r="A9" s="156" t="inlineStr">
        <is>
          <t>EX-753</t>
        </is>
      </c>
      <c r="B9" s="156" t="inlineStr">
        <is>
          <t>SY750H-PRO</t>
        </is>
      </c>
      <c r="C9" s="156" t="inlineStr">
        <is>
          <t>Excavator</t>
        </is>
      </c>
      <c r="D9" s="156" t="inlineStr">
        <is>
          <t>Digger</t>
        </is>
      </c>
      <c r="E9" s="156" t="inlineStr"/>
      <c r="F9" s="174" t="n">
        <v>270</v>
      </c>
      <c r="G9" s="174" t="n">
        <v>185</v>
      </c>
      <c r="H9" s="175" t="n">
        <v>2000</v>
      </c>
      <c r="I9" s="176" t="inlineStr">
        <is>
          <t>Pasiran</t>
        </is>
      </c>
      <c r="J9" s="177" t="n"/>
      <c r="K9" s="177" t="n"/>
      <c r="L9" s="177" t="n"/>
      <c r="M9" s="177" t="n"/>
      <c r="N9" s="177" t="n"/>
      <c r="O9" s="177" t="n"/>
      <c r="Q9" s="156" t="inlineStr">
        <is>
          <t>10-11</t>
        </is>
      </c>
      <c r="R9" s="156" t="inlineStr">
        <is>
          <t>Pasiran</t>
        </is>
      </c>
      <c r="S9" s="156" t="inlineStr">
        <is>
          <t>Standby</t>
        </is>
      </c>
      <c r="T9" s="156" t="inlineStr">
        <is>
          <t>EX-753</t>
        </is>
      </c>
      <c r="U9" s="156" t="inlineStr">
        <is>
          <t>DT-502</t>
        </is>
      </c>
      <c r="V9" s="156" t="inlineStr">
        <is>
          <t>EX-754</t>
        </is>
      </c>
      <c r="Y9" s="176" t="inlineStr">
        <is>
          <t>PC 200-8MI</t>
        </is>
      </c>
      <c r="Z9" s="178" t="n">
        <v>7.7</v>
      </c>
      <c r="AA9" s="178" t="n">
        <v>9.199999999999999</v>
      </c>
      <c r="AB9" s="178" t="n"/>
      <c r="AC9" s="178" t="n">
        <v>3.4</v>
      </c>
    </row>
    <row r="10">
      <c r="A10" s="156" t="inlineStr">
        <is>
          <t>EX-1252</t>
        </is>
      </c>
      <c r="B10" s="156" t="inlineStr">
        <is>
          <t>SY1250</t>
        </is>
      </c>
      <c r="C10" s="156" t="inlineStr">
        <is>
          <t>Excavator</t>
        </is>
      </c>
      <c r="D10" s="156" t="inlineStr">
        <is>
          <t>Digger</t>
        </is>
      </c>
      <c r="E10" s="156" t="inlineStr"/>
      <c r="F10" s="174" t="n">
        <v>400</v>
      </c>
      <c r="G10" s="174" t="n"/>
      <c r="H10" s="175" t="n">
        <v>2200</v>
      </c>
      <c r="I10" s="176" t="inlineStr">
        <is>
          <t>In Pit</t>
        </is>
      </c>
      <c r="J10" s="177" t="n">
        <v>17</v>
      </c>
      <c r="K10" s="177" t="n">
        <v>20.4</v>
      </c>
      <c r="L10" s="177" t="n">
        <v>35.7</v>
      </c>
      <c r="M10" s="177" t="n">
        <v>7.65</v>
      </c>
      <c r="N10" s="177" t="n">
        <v>15.3</v>
      </c>
      <c r="O10" s="177" t="n"/>
      <c r="Q10" s="156" t="inlineStr">
        <is>
          <t>11-12</t>
        </is>
      </c>
      <c r="R10" s="156" t="inlineStr">
        <is>
          <t>In Pit</t>
        </is>
      </c>
      <c r="S10" s="156" t="inlineStr">
        <is>
          <t>Breakdown</t>
        </is>
      </c>
      <c r="T10" s="156" t="inlineStr">
        <is>
          <t>EX-1252</t>
        </is>
      </c>
      <c r="U10" s="156" t="inlineStr">
        <is>
          <t>DT-503</t>
        </is>
      </c>
      <c r="V10" s="156" t="inlineStr">
        <is>
          <t>EX-753</t>
        </is>
      </c>
      <c r="Y10" s="176" t="inlineStr">
        <is>
          <t>PC 200-8</t>
        </is>
      </c>
      <c r="Z10" s="178" t="n">
        <v>7.7</v>
      </c>
      <c r="AA10" s="178" t="n">
        <v>9.199999999999999</v>
      </c>
      <c r="AB10" s="178" t="n"/>
      <c r="AC10" s="178" t="n">
        <v>3.4</v>
      </c>
    </row>
    <row r="11">
      <c r="A11" s="156" t="inlineStr">
        <is>
          <t>EX-334</t>
        </is>
      </c>
      <c r="B11" s="156" t="inlineStr">
        <is>
          <t>PC 300-8MO</t>
        </is>
      </c>
      <c r="C11" s="156" t="inlineStr">
        <is>
          <t>Excavator</t>
        </is>
      </c>
      <c r="D11" s="156" t="inlineStr">
        <is>
          <t>Digger</t>
        </is>
      </c>
      <c r="E11" s="156" t="inlineStr"/>
      <c r="F11" s="174" t="n">
        <v>150</v>
      </c>
      <c r="G11" s="174" t="n">
        <v>95</v>
      </c>
      <c r="H11" s="175" t="n">
        <v>1300</v>
      </c>
      <c r="I11" s="176" t="inlineStr">
        <is>
          <t>Coal</t>
        </is>
      </c>
      <c r="J11" s="177" t="n">
        <v>15.3</v>
      </c>
      <c r="K11" s="177" t="n">
        <v>18.7</v>
      </c>
      <c r="L11" s="177" t="n"/>
      <c r="M11" s="177" t="n">
        <v>12.495</v>
      </c>
      <c r="N11" s="177" t="n">
        <v>17</v>
      </c>
      <c r="O11" s="177" t="n">
        <v>17.8075</v>
      </c>
      <c r="Q11" s="156" t="inlineStr">
        <is>
          <t>12-13</t>
        </is>
      </c>
      <c r="R11" s="156" t="inlineStr">
        <is>
          <t>Coal</t>
        </is>
      </c>
      <c r="S11" s="156" t="inlineStr">
        <is>
          <t>Lainnya</t>
        </is>
      </c>
      <c r="T11" s="156" t="inlineStr">
        <is>
          <t>EX-334</t>
        </is>
      </c>
      <c r="U11" s="156" t="inlineStr">
        <is>
          <t>DT-504</t>
        </is>
      </c>
      <c r="V11" s="156" t="inlineStr">
        <is>
          <t>EX-1252</t>
        </is>
      </c>
    </row>
    <row r="12">
      <c r="A12" s="156" t="inlineStr">
        <is>
          <t>EX-336</t>
        </is>
      </c>
      <c r="B12" s="156" t="inlineStr">
        <is>
          <t>PC 300-8MO</t>
        </is>
      </c>
      <c r="C12" s="156" t="inlineStr">
        <is>
          <t>Excavator</t>
        </is>
      </c>
      <c r="D12" s="156" t="inlineStr">
        <is>
          <t>Digger</t>
        </is>
      </c>
      <c r="E12" s="156" t="inlineStr"/>
      <c r="F12" s="174" t="n">
        <v>150</v>
      </c>
      <c r="G12" s="174" t="n">
        <v>95</v>
      </c>
      <c r="H12" s="175" t="n">
        <v>1900</v>
      </c>
      <c r="I12" s="176" t="inlineStr">
        <is>
          <t>Dirty Coal</t>
        </is>
      </c>
      <c r="J12" s="177" t="n">
        <v>15.3</v>
      </c>
      <c r="K12" s="177" t="n">
        <v>18.7</v>
      </c>
      <c r="L12" s="177" t="n"/>
      <c r="M12" s="177" t="n">
        <v>12.495</v>
      </c>
      <c r="N12" s="177" t="n">
        <v>17</v>
      </c>
      <c r="O12" s="177" t="n">
        <v>17.8075</v>
      </c>
      <c r="Q12" s="156" t="inlineStr">
        <is>
          <t>13-14</t>
        </is>
      </c>
      <c r="R12" s="156" t="inlineStr">
        <is>
          <t>Dirty Coal</t>
        </is>
      </c>
      <c r="T12" s="156" t="inlineStr">
        <is>
          <t>EX-336</t>
        </is>
      </c>
      <c r="U12" s="156" t="inlineStr">
        <is>
          <t>DT-505</t>
        </is>
      </c>
      <c r="V12" s="156" t="inlineStr">
        <is>
          <t>EX-334</t>
        </is>
      </c>
      <c r="Y12" s="156" t="inlineStr">
        <is>
          <t>Kecepatan DT isi (km/jam)</t>
        </is>
      </c>
      <c r="AC12" s="179" t="n">
        <v>20</v>
      </c>
    </row>
    <row r="13">
      <c r="A13" s="156" t="inlineStr">
        <is>
          <t>EX-333</t>
        </is>
      </c>
      <c r="B13" s="156" t="inlineStr">
        <is>
          <t>PC 300-8MO</t>
        </is>
      </c>
      <c r="C13" s="156" t="inlineStr">
        <is>
          <t>Excavator</t>
        </is>
      </c>
      <c r="D13" s="156" t="inlineStr">
        <is>
          <t>Digger</t>
        </is>
      </c>
      <c r="E13" s="156" t="inlineStr"/>
      <c r="F13" s="174" t="n">
        <v>150</v>
      </c>
      <c r="G13" s="174" t="n">
        <v>95</v>
      </c>
      <c r="H13" s="175" t="n">
        <v>1700</v>
      </c>
      <c r="I13" s="180" t="inlineStr">
        <is>
          <t>OB = OB + TS (Blending) + Mud + Boulder + Pasiran · In Pit ikut PTY digger · Coal + Dirty = coal</t>
        </is>
      </c>
      <c r="Q13" s="156" t="inlineStr">
        <is>
          <t>14-15</t>
        </is>
      </c>
      <c r="T13" s="156" t="inlineStr">
        <is>
          <t>EX-333</t>
        </is>
      </c>
      <c r="U13" s="156" t="inlineStr">
        <is>
          <t>DT-506</t>
        </is>
      </c>
      <c r="V13" s="156" t="inlineStr">
        <is>
          <t>EX-336</t>
        </is>
      </c>
      <c r="Y13" s="156" t="inlineStr">
        <is>
          <t>Kecepatan DT kosong (km/jam)</t>
        </is>
      </c>
      <c r="AC13" s="179" t="n">
        <v>30</v>
      </c>
    </row>
    <row r="14">
      <c r="A14" s="156" t="inlineStr">
        <is>
          <t>EX-335</t>
        </is>
      </c>
      <c r="B14" s="156" t="inlineStr">
        <is>
          <t>PC 300-8MO</t>
        </is>
      </c>
      <c r="C14" s="156" t="inlineStr">
        <is>
          <t>Excavator</t>
        </is>
      </c>
      <c r="D14" s="156" t="inlineStr">
        <is>
          <t>Digger</t>
        </is>
      </c>
      <c r="E14" s="156" t="inlineStr"/>
      <c r="F14" s="174" t="n">
        <v>150</v>
      </c>
      <c r="G14" s="174" t="n">
        <v>95</v>
      </c>
      <c r="H14" s="175" t="n">
        <v>2200</v>
      </c>
      <c r="Q14" s="156" t="inlineStr">
        <is>
          <t>15-16</t>
        </is>
      </c>
      <c r="T14" s="156" t="inlineStr">
        <is>
          <t>EX-335</t>
        </is>
      </c>
      <c r="U14" s="156" t="inlineStr">
        <is>
          <t>DT-507</t>
        </is>
      </c>
      <c r="V14" s="156" t="inlineStr">
        <is>
          <t>EX-333</t>
        </is>
      </c>
      <c r="Y14" s="156" t="inlineStr">
        <is>
          <t>Waktu tetap: spot + dumping + manuver (menit)</t>
        </is>
      </c>
      <c r="AC14" s="181" t="n">
        <v>2.5</v>
      </c>
    </row>
    <row r="15">
      <c r="A15" s="156" t="inlineStr">
        <is>
          <t>EX-332</t>
        </is>
      </c>
      <c r="B15" s="156" t="inlineStr">
        <is>
          <t>PC 300-8MO</t>
        </is>
      </c>
      <c r="C15" s="156" t="inlineStr">
        <is>
          <t>Excavator</t>
        </is>
      </c>
      <c r="D15" s="156" t="inlineStr">
        <is>
          <t>Digger</t>
        </is>
      </c>
      <c r="E15" s="156" t="inlineStr"/>
      <c r="F15" s="174" t="n">
        <v>150</v>
      </c>
      <c r="G15" s="174" t="n">
        <v>95</v>
      </c>
      <c r="H15" s="175" t="n">
        <v>2200</v>
      </c>
      <c r="Q15" s="156" t="inlineStr">
        <is>
          <t>16-17</t>
        </is>
      </c>
      <c r="T15" s="156" t="inlineStr">
        <is>
          <t>EX-332</t>
        </is>
      </c>
      <c r="U15" s="156" t="inlineStr">
        <is>
          <t>DT-508</t>
        </is>
      </c>
      <c r="V15" s="156" t="inlineStr">
        <is>
          <t>EX-335</t>
        </is>
      </c>
      <c r="Y15" s="156" t="inlineStr">
        <is>
          <t>Jarak default bila kosong (m)</t>
        </is>
      </c>
      <c r="AC15" s="175" t="n">
        <v>1800</v>
      </c>
    </row>
    <row r="16">
      <c r="A16" s="156" t="inlineStr">
        <is>
          <t>EX-222</t>
        </is>
      </c>
      <c r="B16" s="156" t="inlineStr">
        <is>
          <t>PC 200-8MI</t>
        </is>
      </c>
      <c r="C16" s="156" t="inlineStr">
        <is>
          <t>Excavator</t>
        </is>
      </c>
      <c r="D16" s="156" t="inlineStr">
        <is>
          <t>Digger</t>
        </is>
      </c>
      <c r="E16" s="156" t="inlineStr"/>
      <c r="F16" s="174" t="n"/>
      <c r="G16" s="174" t="n"/>
      <c r="H16" s="175" t="n">
        <v>1200</v>
      </c>
      <c r="Q16" s="156" t="inlineStr">
        <is>
          <t>17-18</t>
        </is>
      </c>
      <c r="T16" s="156" t="inlineStr">
        <is>
          <t>EX-222</t>
        </is>
      </c>
      <c r="U16" s="156" t="inlineStr">
        <is>
          <t>DT-509</t>
        </is>
      </c>
      <c r="V16" s="156" t="inlineStr">
        <is>
          <t>EX-332</t>
        </is>
      </c>
    </row>
    <row r="17">
      <c r="A17" s="156" t="inlineStr">
        <is>
          <t>EX-223</t>
        </is>
      </c>
      <c r="B17" s="156" t="inlineStr">
        <is>
          <t>PC 200-8MI</t>
        </is>
      </c>
      <c r="C17" s="156" t="inlineStr">
        <is>
          <t>Excavator</t>
        </is>
      </c>
      <c r="D17" s="156" t="inlineStr">
        <is>
          <t>Digger</t>
        </is>
      </c>
      <c r="E17" s="156" t="inlineStr"/>
      <c r="F17" s="174" t="n"/>
      <c r="G17" s="174" t="n"/>
      <c r="H17" s="175" t="n">
        <v>1400</v>
      </c>
      <c r="Q17" s="156" t="inlineStr">
        <is>
          <t>18-19</t>
        </is>
      </c>
      <c r="T17" s="156" t="inlineStr">
        <is>
          <t>EX-223</t>
        </is>
      </c>
      <c r="U17" s="156" t="inlineStr">
        <is>
          <t>DT-510</t>
        </is>
      </c>
      <c r="V17" s="156" t="inlineStr">
        <is>
          <t>EX-222</t>
        </is>
      </c>
      <c r="Y17" s="180" t="inlineStr">
        <is>
          <t>CT teori DT = waktu muat + jarak÷kec. isi + jarak÷kec. kosong + waktu tetap (tanpa antrian). MF = Σ (waktu muat ÷ CT teori) semua DT yang dimuat digger itu di jam tsb.</t>
        </is>
      </c>
    </row>
    <row r="18">
      <c r="A18" s="156" t="inlineStr">
        <is>
          <t>EX-221</t>
        </is>
      </c>
      <c r="B18" s="156" t="inlineStr">
        <is>
          <t>PC 200-8MI</t>
        </is>
      </c>
      <c r="C18" s="156" t="inlineStr">
        <is>
          <t>Excavator</t>
        </is>
      </c>
      <c r="D18" s="156" t="inlineStr">
        <is>
          <t>Digger</t>
        </is>
      </c>
      <c r="E18" s="156" t="inlineStr"/>
      <c r="F18" s="174" t="n"/>
      <c r="G18" s="174" t="n"/>
      <c r="H18" s="175" t="n">
        <v>1200</v>
      </c>
      <c r="Q18" s="156" t="inlineStr">
        <is>
          <t>19-20</t>
        </is>
      </c>
      <c r="T18" s="156" t="inlineStr">
        <is>
          <t>EX-221</t>
        </is>
      </c>
      <c r="U18" s="156" t="inlineStr">
        <is>
          <t>DT-511</t>
        </is>
      </c>
      <c r="V18" s="156" t="inlineStr">
        <is>
          <t>EX-223</t>
        </is>
      </c>
    </row>
    <row r="19">
      <c r="A19" s="156" t="inlineStr">
        <is>
          <t>EX-225</t>
        </is>
      </c>
      <c r="B19" s="156" t="inlineStr">
        <is>
          <t>PC 200-8</t>
        </is>
      </c>
      <c r="C19" s="156" t="inlineStr">
        <is>
          <t>Excavator</t>
        </is>
      </c>
      <c r="D19" s="156" t="inlineStr">
        <is>
          <t>Digger</t>
        </is>
      </c>
      <c r="E19" s="156" t="inlineStr"/>
      <c r="F19" s="174" t="n"/>
      <c r="G19" s="174" t="n"/>
      <c r="H19" s="175" t="n">
        <v>2300</v>
      </c>
      <c r="Q19" s="156" t="inlineStr">
        <is>
          <t>20-21</t>
        </is>
      </c>
      <c r="T19" s="156" t="inlineStr">
        <is>
          <t>EX-225</t>
        </is>
      </c>
      <c r="U19" s="156" t="inlineStr">
        <is>
          <t>DT-512</t>
        </is>
      </c>
      <c r="V19" s="156" t="inlineStr">
        <is>
          <t>EX-221</t>
        </is>
      </c>
    </row>
    <row r="20">
      <c r="A20" s="156" t="inlineStr">
        <is>
          <t>EX-331</t>
        </is>
      </c>
      <c r="B20" s="156" t="inlineStr">
        <is>
          <t>PC 300-8MO</t>
        </is>
      </c>
      <c r="C20" s="156" t="inlineStr">
        <is>
          <t>Excavator</t>
        </is>
      </c>
      <c r="D20" s="156" t="inlineStr">
        <is>
          <t>Digger</t>
        </is>
      </c>
      <c r="E20" s="156" t="inlineStr"/>
      <c r="F20" s="174" t="n">
        <v>150</v>
      </c>
      <c r="G20" s="174" t="n">
        <v>95</v>
      </c>
      <c r="H20" s="175" t="n">
        <v>1400</v>
      </c>
      <c r="Q20" s="156" t="inlineStr">
        <is>
          <t>21-22</t>
        </is>
      </c>
      <c r="T20" s="156" t="inlineStr">
        <is>
          <t>EX-331</t>
        </is>
      </c>
      <c r="U20" s="156" t="inlineStr">
        <is>
          <t>DT-513</t>
        </is>
      </c>
      <c r="V20" s="156" t="inlineStr">
        <is>
          <t>EX-225</t>
        </is>
      </c>
    </row>
    <row r="21">
      <c r="A21" s="156" t="inlineStr">
        <is>
          <t>EX-751</t>
        </is>
      </c>
      <c r="B21" s="156" t="inlineStr">
        <is>
          <t>SY750H-PRO</t>
        </is>
      </c>
      <c r="C21" s="156" t="inlineStr">
        <is>
          <t>Excavator</t>
        </is>
      </c>
      <c r="D21" s="156" t="inlineStr">
        <is>
          <t>Digger</t>
        </is>
      </c>
      <c r="E21" s="156" t="inlineStr"/>
      <c r="F21" s="174" t="n">
        <v>270</v>
      </c>
      <c r="G21" s="174" t="n">
        <v>185</v>
      </c>
      <c r="H21" s="175" t="n">
        <v>2500</v>
      </c>
      <c r="Q21" s="156" t="inlineStr">
        <is>
          <t>22-23</t>
        </is>
      </c>
      <c r="T21" s="156" t="inlineStr">
        <is>
          <t>EX-751</t>
        </is>
      </c>
      <c r="U21" s="156" t="inlineStr">
        <is>
          <t>DT-514</t>
        </is>
      </c>
      <c r="V21" s="156" t="inlineStr">
        <is>
          <t>EX-331</t>
        </is>
      </c>
    </row>
    <row r="22">
      <c r="A22" s="156" t="inlineStr">
        <is>
          <t>EX-752</t>
        </is>
      </c>
      <c r="B22" s="156" t="inlineStr">
        <is>
          <t>SY750H-PRO</t>
        </is>
      </c>
      <c r="C22" s="156" t="inlineStr">
        <is>
          <t>Excavator</t>
        </is>
      </c>
      <c r="D22" s="156" t="inlineStr">
        <is>
          <t>Digger</t>
        </is>
      </c>
      <c r="E22" s="156" t="inlineStr"/>
      <c r="F22" s="174" t="n">
        <v>270</v>
      </c>
      <c r="G22" s="174" t="n">
        <v>185</v>
      </c>
      <c r="H22" s="175" t="n">
        <v>2600</v>
      </c>
      <c r="Q22" s="156" t="inlineStr">
        <is>
          <t>23-24</t>
        </is>
      </c>
      <c r="T22" s="156" t="inlineStr">
        <is>
          <t>EX-752</t>
        </is>
      </c>
      <c r="U22" s="156" t="inlineStr">
        <is>
          <t>DT-515</t>
        </is>
      </c>
      <c r="V22" s="156" t="inlineStr">
        <is>
          <t>EX-751</t>
        </is>
      </c>
    </row>
    <row r="23">
      <c r="A23" s="156" t="inlineStr">
        <is>
          <t>DH-101</t>
        </is>
      </c>
      <c r="B23" s="156" t="inlineStr">
        <is>
          <t>HINO FM260</t>
        </is>
      </c>
      <c r="C23" s="156" t="inlineStr">
        <is>
          <t>DT Hino</t>
        </is>
      </c>
      <c r="D23" s="156" t="inlineStr">
        <is>
          <t>Hauler</t>
        </is>
      </c>
      <c r="E23" s="156" t="inlineStr">
        <is>
          <t>Hino</t>
        </is>
      </c>
      <c r="F23" s="156" t="n"/>
      <c r="G23" s="156" t="n"/>
      <c r="Q23" s="156" t="inlineStr">
        <is>
          <t>00-01</t>
        </is>
      </c>
      <c r="U23" s="156" t="inlineStr">
        <is>
          <t>DT-516</t>
        </is>
      </c>
      <c r="V23" s="156" t="inlineStr">
        <is>
          <t>EX-752</t>
        </is>
      </c>
    </row>
    <row r="24">
      <c r="A24" s="156" t="inlineStr">
        <is>
          <t>DH-102</t>
        </is>
      </c>
      <c r="B24" s="156" t="inlineStr">
        <is>
          <t>HINO FM260</t>
        </is>
      </c>
      <c r="C24" s="156" t="inlineStr">
        <is>
          <t>DT Hino</t>
        </is>
      </c>
      <c r="D24" s="156" t="inlineStr">
        <is>
          <t>Hauler</t>
        </is>
      </c>
      <c r="E24" s="156" t="inlineStr">
        <is>
          <t>Hino</t>
        </is>
      </c>
      <c r="F24" s="156" t="n"/>
      <c r="G24" s="156" t="n"/>
      <c r="Q24" s="156" t="inlineStr">
        <is>
          <t>01-02</t>
        </is>
      </c>
      <c r="U24" s="156" t="inlineStr">
        <is>
          <t>DT-517</t>
        </is>
      </c>
    </row>
    <row r="25">
      <c r="A25" s="156" t="inlineStr">
        <is>
          <t>DH-103</t>
        </is>
      </c>
      <c r="B25" s="156" t="inlineStr">
        <is>
          <t>HINO FM260</t>
        </is>
      </c>
      <c r="C25" s="156" t="inlineStr">
        <is>
          <t>DT Hino</t>
        </is>
      </c>
      <c r="D25" s="156" t="inlineStr">
        <is>
          <t>Hauler</t>
        </is>
      </c>
      <c r="E25" s="156" t="inlineStr">
        <is>
          <t>Hino</t>
        </is>
      </c>
      <c r="F25" s="156" t="n"/>
      <c r="G25" s="156" t="n"/>
      <c r="Q25" s="156" t="inlineStr">
        <is>
          <t>02-03</t>
        </is>
      </c>
      <c r="U25" s="156" t="inlineStr">
        <is>
          <t>DT-518</t>
        </is>
      </c>
    </row>
    <row r="26">
      <c r="A26" s="156" t="inlineStr">
        <is>
          <t>DT-501</t>
        </is>
      </c>
      <c r="B26" s="156" t="inlineStr">
        <is>
          <t>SKT 105S</t>
        </is>
      </c>
      <c r="C26" s="156" t="inlineStr">
        <is>
          <t>Hauler</t>
        </is>
      </c>
      <c r="D26" s="156" t="inlineStr">
        <is>
          <t>Hauler</t>
        </is>
      </c>
      <c r="E26" s="156" t="inlineStr">
        <is>
          <t>SKT 105S</t>
        </is>
      </c>
      <c r="F26" s="156" t="n"/>
      <c r="G26" s="156" t="n"/>
      <c r="Q26" s="156" t="inlineStr">
        <is>
          <t>03-04</t>
        </is>
      </c>
      <c r="U26" s="156" t="inlineStr">
        <is>
          <t>DT-519</t>
        </is>
      </c>
    </row>
    <row r="27">
      <c r="A27" s="156" t="inlineStr">
        <is>
          <t>DT-502</t>
        </is>
      </c>
      <c r="B27" s="156" t="inlineStr">
        <is>
          <t>SKT 105S</t>
        </is>
      </c>
      <c r="C27" s="156" t="inlineStr">
        <is>
          <t>Hauler</t>
        </is>
      </c>
      <c r="D27" s="156" t="inlineStr">
        <is>
          <t>Hauler</t>
        </is>
      </c>
      <c r="E27" s="156" t="inlineStr">
        <is>
          <t>SKT 105S</t>
        </is>
      </c>
      <c r="F27" s="156" t="n"/>
      <c r="G27" s="156" t="n"/>
      <c r="Q27" s="156" t="inlineStr">
        <is>
          <t>04-05</t>
        </is>
      </c>
      <c r="U27" s="156" t="inlineStr">
        <is>
          <t>DT-520</t>
        </is>
      </c>
    </row>
    <row r="28">
      <c r="A28" s="156" t="inlineStr">
        <is>
          <t>DT-503</t>
        </is>
      </c>
      <c r="B28" s="156" t="inlineStr">
        <is>
          <t>SKT 105S</t>
        </is>
      </c>
      <c r="C28" s="156" t="inlineStr">
        <is>
          <t>Hauler</t>
        </is>
      </c>
      <c r="D28" s="156" t="inlineStr">
        <is>
          <t>Hauler</t>
        </is>
      </c>
      <c r="E28" s="156" t="inlineStr">
        <is>
          <t>SKT 105S</t>
        </is>
      </c>
      <c r="F28" s="156" t="n"/>
      <c r="G28" s="156" t="n"/>
      <c r="Q28" s="156" t="inlineStr">
        <is>
          <t>05-06</t>
        </is>
      </c>
      <c r="U28" s="156" t="inlineStr">
        <is>
          <t>DT-521</t>
        </is>
      </c>
    </row>
    <row r="29">
      <c r="A29" s="156" t="inlineStr">
        <is>
          <t>DT-504</t>
        </is>
      </c>
      <c r="B29" s="156" t="inlineStr">
        <is>
          <t>SKT 105S</t>
        </is>
      </c>
      <c r="C29" s="156" t="inlineStr">
        <is>
          <t>Hauler</t>
        </is>
      </c>
      <c r="D29" s="156" t="inlineStr">
        <is>
          <t>Hauler</t>
        </is>
      </c>
      <c r="E29" s="156" t="inlineStr">
        <is>
          <t>SKT 105S</t>
        </is>
      </c>
      <c r="F29" s="156" t="n"/>
      <c r="G29" s="156" t="n"/>
      <c r="U29" s="156" t="inlineStr">
        <is>
          <t>DT-522</t>
        </is>
      </c>
    </row>
    <row r="30">
      <c r="A30" s="156" t="inlineStr">
        <is>
          <t>DT-505</t>
        </is>
      </c>
      <c r="B30" s="156" t="inlineStr">
        <is>
          <t>SKT 105S</t>
        </is>
      </c>
      <c r="C30" s="156" t="inlineStr">
        <is>
          <t>Hauler</t>
        </is>
      </c>
      <c r="D30" s="156" t="inlineStr">
        <is>
          <t>Hauler</t>
        </is>
      </c>
      <c r="E30" s="156" t="inlineStr">
        <is>
          <t>SKT 105S</t>
        </is>
      </c>
      <c r="F30" s="156" t="n"/>
      <c r="G30" s="156" t="n"/>
      <c r="U30" s="156" t="inlineStr">
        <is>
          <t>DT-523</t>
        </is>
      </c>
    </row>
    <row r="31">
      <c r="A31" s="156" t="inlineStr">
        <is>
          <t>DT-506</t>
        </is>
      </c>
      <c r="B31" s="156" t="inlineStr">
        <is>
          <t>SKT 105S</t>
        </is>
      </c>
      <c r="C31" s="156" t="inlineStr">
        <is>
          <t>Hauler</t>
        </is>
      </c>
      <c r="D31" s="156" t="inlineStr">
        <is>
          <t>Hauler</t>
        </is>
      </c>
      <c r="E31" s="156" t="inlineStr">
        <is>
          <t>SKT 105S</t>
        </is>
      </c>
      <c r="F31" s="156" t="n"/>
      <c r="G31" s="156" t="n"/>
      <c r="U31" s="156" t="inlineStr">
        <is>
          <t>DT-524</t>
        </is>
      </c>
    </row>
    <row r="32">
      <c r="A32" s="156" t="inlineStr">
        <is>
          <t>DT-507</t>
        </is>
      </c>
      <c r="B32" s="156" t="inlineStr">
        <is>
          <t>SKT 105S</t>
        </is>
      </c>
      <c r="C32" s="156" t="inlineStr">
        <is>
          <t>Hauler</t>
        </is>
      </c>
      <c r="D32" s="156" t="inlineStr">
        <is>
          <t>Hauler</t>
        </is>
      </c>
      <c r="E32" s="156" t="inlineStr">
        <is>
          <t>SKT 105S</t>
        </is>
      </c>
      <c r="F32" s="156" t="n"/>
      <c r="G32" s="156" t="n"/>
      <c r="U32" s="156" t="inlineStr">
        <is>
          <t>DT-525</t>
        </is>
      </c>
    </row>
    <row r="33">
      <c r="A33" s="156" t="inlineStr">
        <is>
          <t>DT-508</t>
        </is>
      </c>
      <c r="B33" s="156" t="inlineStr">
        <is>
          <t>SKT 105S</t>
        </is>
      </c>
      <c r="C33" s="156" t="inlineStr">
        <is>
          <t>Hauler</t>
        </is>
      </c>
      <c r="D33" s="156" t="inlineStr">
        <is>
          <t>Hauler</t>
        </is>
      </c>
      <c r="E33" s="156" t="inlineStr">
        <is>
          <t>SKT 105S</t>
        </is>
      </c>
      <c r="F33" s="156" t="n"/>
      <c r="G33" s="156" t="n"/>
      <c r="U33" s="156" t="inlineStr">
        <is>
          <t>DT-526</t>
        </is>
      </c>
    </row>
    <row r="34">
      <c r="A34" s="156" t="inlineStr">
        <is>
          <t>DT-509</t>
        </is>
      </c>
      <c r="B34" s="156" t="inlineStr">
        <is>
          <t>SKT 105S</t>
        </is>
      </c>
      <c r="C34" s="156" t="inlineStr">
        <is>
          <t>Hauler</t>
        </is>
      </c>
      <c r="D34" s="156" t="inlineStr">
        <is>
          <t>Hauler</t>
        </is>
      </c>
      <c r="E34" s="156" t="inlineStr">
        <is>
          <t>SKT 105S</t>
        </is>
      </c>
      <c r="F34" s="156" t="n"/>
      <c r="G34" s="156" t="n"/>
      <c r="U34" s="156" t="inlineStr">
        <is>
          <t>DT-527</t>
        </is>
      </c>
    </row>
    <row r="35">
      <c r="A35" s="156" t="inlineStr">
        <is>
          <t>DT-510</t>
        </is>
      </c>
      <c r="B35" s="156" t="inlineStr">
        <is>
          <t>SKT 105S</t>
        </is>
      </c>
      <c r="C35" s="156" t="inlineStr">
        <is>
          <t>Hauler</t>
        </is>
      </c>
      <c r="D35" s="156" t="inlineStr">
        <is>
          <t>Hauler</t>
        </is>
      </c>
      <c r="E35" s="156" t="inlineStr">
        <is>
          <t>SKT 105S</t>
        </is>
      </c>
      <c r="F35" s="156" t="n"/>
      <c r="G35" s="156" t="n"/>
      <c r="U35" s="156" t="inlineStr">
        <is>
          <t>DT-528</t>
        </is>
      </c>
    </row>
    <row r="36">
      <c r="A36" s="156" t="inlineStr">
        <is>
          <t>DT-511</t>
        </is>
      </c>
      <c r="B36" s="156" t="inlineStr">
        <is>
          <t>SKT 105S</t>
        </is>
      </c>
      <c r="C36" s="156" t="inlineStr">
        <is>
          <t>Hauler</t>
        </is>
      </c>
      <c r="D36" s="156" t="inlineStr">
        <is>
          <t>Hauler</t>
        </is>
      </c>
      <c r="E36" s="156" t="inlineStr">
        <is>
          <t>SKT 105S</t>
        </is>
      </c>
      <c r="F36" s="156" t="n"/>
      <c r="G36" s="156" t="n"/>
      <c r="U36" s="156" t="inlineStr">
        <is>
          <t>DT-529</t>
        </is>
      </c>
    </row>
    <row r="37">
      <c r="A37" s="156" t="inlineStr">
        <is>
          <t>DT-512</t>
        </is>
      </c>
      <c r="B37" s="156" t="inlineStr">
        <is>
          <t>SKT 105S</t>
        </is>
      </c>
      <c r="C37" s="156" t="inlineStr">
        <is>
          <t>Hauler</t>
        </is>
      </c>
      <c r="D37" s="156" t="inlineStr">
        <is>
          <t>Hauler</t>
        </is>
      </c>
      <c r="E37" s="156" t="inlineStr">
        <is>
          <t>SKT 105S</t>
        </is>
      </c>
      <c r="F37" s="156" t="n"/>
      <c r="G37" s="156" t="n"/>
      <c r="U37" s="156" t="inlineStr">
        <is>
          <t>DT-530</t>
        </is>
      </c>
    </row>
    <row r="38">
      <c r="A38" s="156" t="inlineStr">
        <is>
          <t>DT-513</t>
        </is>
      </c>
      <c r="B38" s="156" t="inlineStr">
        <is>
          <t>SKT 105S</t>
        </is>
      </c>
      <c r="C38" s="156" t="inlineStr">
        <is>
          <t>Hauler</t>
        </is>
      </c>
      <c r="D38" s="156" t="inlineStr">
        <is>
          <t>Hauler</t>
        </is>
      </c>
      <c r="E38" s="156" t="inlineStr">
        <is>
          <t>SKT 105S</t>
        </is>
      </c>
      <c r="F38" s="156" t="n"/>
      <c r="G38" s="156" t="n"/>
      <c r="U38" s="156" t="inlineStr">
        <is>
          <t>DT-801</t>
        </is>
      </c>
    </row>
    <row r="39">
      <c r="A39" s="156" t="inlineStr">
        <is>
          <t>DT-514</t>
        </is>
      </c>
      <c r="B39" s="156" t="inlineStr">
        <is>
          <t>SKT 105S</t>
        </is>
      </c>
      <c r="C39" s="156" t="inlineStr">
        <is>
          <t>Hauler</t>
        </is>
      </c>
      <c r="D39" s="156" t="inlineStr">
        <is>
          <t>Hauler</t>
        </is>
      </c>
      <c r="E39" s="156" t="inlineStr">
        <is>
          <t>SKT 105S</t>
        </is>
      </c>
      <c r="F39" s="156" t="n"/>
      <c r="G39" s="156" t="n"/>
      <c r="U39" s="156" t="inlineStr">
        <is>
          <t>DT-802</t>
        </is>
      </c>
    </row>
    <row r="40">
      <c r="A40" s="156" t="inlineStr">
        <is>
          <t>DT-515</t>
        </is>
      </c>
      <c r="B40" s="156" t="inlineStr">
        <is>
          <t>SKT 105S</t>
        </is>
      </c>
      <c r="C40" s="156" t="inlineStr">
        <is>
          <t>Hauler</t>
        </is>
      </c>
      <c r="D40" s="156" t="inlineStr">
        <is>
          <t>Hauler</t>
        </is>
      </c>
      <c r="E40" s="156" t="inlineStr">
        <is>
          <t>SKT 105S</t>
        </is>
      </c>
      <c r="F40" s="156" t="n"/>
      <c r="G40" s="156" t="n"/>
      <c r="U40" s="156" t="inlineStr">
        <is>
          <t>DT-803</t>
        </is>
      </c>
    </row>
    <row r="41">
      <c r="A41" s="156" t="inlineStr">
        <is>
          <t>DT-516</t>
        </is>
      </c>
      <c r="B41" s="156" t="inlineStr">
        <is>
          <t>SKT 105S</t>
        </is>
      </c>
      <c r="C41" s="156" t="inlineStr">
        <is>
          <t>Hauler</t>
        </is>
      </c>
      <c r="D41" s="156" t="inlineStr">
        <is>
          <t>Hauler</t>
        </is>
      </c>
      <c r="E41" s="156" t="inlineStr">
        <is>
          <t>SKT 105S</t>
        </is>
      </c>
      <c r="F41" s="156" t="n"/>
      <c r="G41" s="156" t="n"/>
      <c r="U41" s="156" t="inlineStr">
        <is>
          <t>DT-804</t>
        </is>
      </c>
    </row>
    <row r="42">
      <c r="A42" s="156" t="inlineStr">
        <is>
          <t>DT-517</t>
        </is>
      </c>
      <c r="B42" s="156" t="inlineStr">
        <is>
          <t>SKT 105S</t>
        </is>
      </c>
      <c r="C42" s="156" t="inlineStr">
        <is>
          <t>Hauler</t>
        </is>
      </c>
      <c r="D42" s="156" t="inlineStr">
        <is>
          <t>Hauler</t>
        </is>
      </c>
      <c r="E42" s="156" t="inlineStr">
        <is>
          <t>SKT 105S</t>
        </is>
      </c>
      <c r="F42" s="156" t="n"/>
      <c r="G42" s="156" t="n"/>
      <c r="U42" s="156" t="inlineStr">
        <is>
          <t>DT-805</t>
        </is>
      </c>
    </row>
    <row r="43">
      <c r="A43" s="156" t="inlineStr">
        <is>
          <t>DT-518</t>
        </is>
      </c>
      <c r="B43" s="156" t="inlineStr">
        <is>
          <t>SKT 105S</t>
        </is>
      </c>
      <c r="C43" s="156" t="inlineStr">
        <is>
          <t>Hauler</t>
        </is>
      </c>
      <c r="D43" s="156" t="inlineStr">
        <is>
          <t>Hauler</t>
        </is>
      </c>
      <c r="E43" s="156" t="inlineStr">
        <is>
          <t>SKT 105S</t>
        </is>
      </c>
      <c r="F43" s="156" t="n"/>
      <c r="G43" s="156" t="n"/>
      <c r="U43" s="156" t="inlineStr">
        <is>
          <t>DT-806</t>
        </is>
      </c>
    </row>
    <row r="44">
      <c r="A44" s="156" t="inlineStr">
        <is>
          <t>DT-519</t>
        </is>
      </c>
      <c r="B44" s="156" t="inlineStr">
        <is>
          <t>SKT 105S</t>
        </is>
      </c>
      <c r="C44" s="156" t="inlineStr">
        <is>
          <t>Hauler</t>
        </is>
      </c>
      <c r="D44" s="156" t="inlineStr">
        <is>
          <t>Hauler</t>
        </is>
      </c>
      <c r="E44" s="156" t="inlineStr">
        <is>
          <t>SKT 105S</t>
        </is>
      </c>
      <c r="F44" s="156" t="n"/>
      <c r="G44" s="156" t="n"/>
      <c r="U44" s="156" t="inlineStr">
        <is>
          <t>DT-807</t>
        </is>
      </c>
    </row>
    <row r="45">
      <c r="A45" s="156" t="inlineStr">
        <is>
          <t>DT-520</t>
        </is>
      </c>
      <c r="B45" s="156" t="inlineStr">
        <is>
          <t>SKT 105S</t>
        </is>
      </c>
      <c r="C45" s="156" t="inlineStr">
        <is>
          <t>Hauler</t>
        </is>
      </c>
      <c r="D45" s="156" t="inlineStr">
        <is>
          <t>Hauler</t>
        </is>
      </c>
      <c r="E45" s="156" t="inlineStr">
        <is>
          <t>SKT 105S</t>
        </is>
      </c>
      <c r="F45" s="156" t="n"/>
      <c r="G45" s="156" t="n"/>
      <c r="U45" s="156" t="inlineStr">
        <is>
          <t>DT-808</t>
        </is>
      </c>
    </row>
    <row r="46">
      <c r="A46" s="156" t="inlineStr">
        <is>
          <t>DT-521</t>
        </is>
      </c>
      <c r="B46" s="156" t="inlineStr">
        <is>
          <t>SKT 105S</t>
        </is>
      </c>
      <c r="C46" s="156" t="inlineStr">
        <is>
          <t>Hauler</t>
        </is>
      </c>
      <c r="D46" s="156" t="inlineStr">
        <is>
          <t>Hauler</t>
        </is>
      </c>
      <c r="E46" s="156" t="inlineStr">
        <is>
          <t>SKT 105S</t>
        </is>
      </c>
      <c r="F46" s="156" t="n"/>
      <c r="G46" s="156" t="n"/>
      <c r="U46" s="156" t="inlineStr">
        <is>
          <t>DT-809</t>
        </is>
      </c>
    </row>
    <row r="47">
      <c r="A47" s="156" t="inlineStr">
        <is>
          <t>DT-522</t>
        </is>
      </c>
      <c r="B47" s="156" t="inlineStr">
        <is>
          <t>SKT 105S</t>
        </is>
      </c>
      <c r="C47" s="156" t="inlineStr">
        <is>
          <t>Hauler</t>
        </is>
      </c>
      <c r="D47" s="156" t="inlineStr">
        <is>
          <t>Hauler</t>
        </is>
      </c>
      <c r="E47" s="156" t="inlineStr">
        <is>
          <t>SKT 105S</t>
        </is>
      </c>
      <c r="F47" s="156" t="n"/>
      <c r="G47" s="156" t="n"/>
      <c r="U47" s="156" t="inlineStr">
        <is>
          <t>DT-810</t>
        </is>
      </c>
    </row>
    <row r="48">
      <c r="A48" s="156" t="inlineStr">
        <is>
          <t>DT-523</t>
        </is>
      </c>
      <c r="B48" s="156" t="inlineStr">
        <is>
          <t>SKT 105S</t>
        </is>
      </c>
      <c r="C48" s="156" t="inlineStr">
        <is>
          <t>Hauler</t>
        </is>
      </c>
      <c r="D48" s="156" t="inlineStr">
        <is>
          <t>Hauler</t>
        </is>
      </c>
      <c r="E48" s="156" t="inlineStr">
        <is>
          <t>SKT 105S</t>
        </is>
      </c>
      <c r="F48" s="156" t="n"/>
      <c r="G48" s="156" t="n"/>
      <c r="U48" s="156" t="inlineStr">
        <is>
          <t>DT-811</t>
        </is>
      </c>
    </row>
    <row r="49">
      <c r="A49" s="156" t="inlineStr">
        <is>
          <t>DT-524</t>
        </is>
      </c>
      <c r="B49" s="156" t="inlineStr">
        <is>
          <t>SKT 105S</t>
        </is>
      </c>
      <c r="C49" s="156" t="inlineStr">
        <is>
          <t>Hauler</t>
        </is>
      </c>
      <c r="D49" s="156" t="inlineStr">
        <is>
          <t>Hauler</t>
        </is>
      </c>
      <c r="E49" s="156" t="inlineStr">
        <is>
          <t>SKT 105S</t>
        </is>
      </c>
      <c r="F49" s="156" t="n"/>
      <c r="G49" s="156" t="n"/>
      <c r="U49" s="156" t="inlineStr">
        <is>
          <t>DT-812</t>
        </is>
      </c>
    </row>
    <row r="50">
      <c r="A50" s="156" t="inlineStr">
        <is>
          <t>DT-525</t>
        </is>
      </c>
      <c r="B50" s="156" t="inlineStr">
        <is>
          <t>SKT 105S</t>
        </is>
      </c>
      <c r="C50" s="156" t="inlineStr">
        <is>
          <t>Hauler</t>
        </is>
      </c>
      <c r="D50" s="156" t="inlineStr">
        <is>
          <t>Hauler</t>
        </is>
      </c>
      <c r="E50" s="156" t="inlineStr">
        <is>
          <t>SKT 105S</t>
        </is>
      </c>
      <c r="F50" s="156" t="n"/>
      <c r="G50" s="156" t="n"/>
      <c r="U50" s="156" t="inlineStr">
        <is>
          <t>HD-901</t>
        </is>
      </c>
    </row>
    <row r="51">
      <c r="A51" s="156" t="inlineStr">
        <is>
          <t>DT-526</t>
        </is>
      </c>
      <c r="B51" s="156" t="inlineStr">
        <is>
          <t>SKT 105S</t>
        </is>
      </c>
      <c r="C51" s="156" t="inlineStr">
        <is>
          <t>Hauler</t>
        </is>
      </c>
      <c r="D51" s="156" t="inlineStr">
        <is>
          <t>Hauler</t>
        </is>
      </c>
      <c r="E51" s="156" t="inlineStr">
        <is>
          <t>SKT 105S</t>
        </is>
      </c>
      <c r="F51" s="156" t="n"/>
      <c r="G51" s="156" t="n"/>
      <c r="U51" s="156" t="inlineStr">
        <is>
          <t>HD-902</t>
        </is>
      </c>
    </row>
    <row r="52">
      <c r="A52" s="156" t="inlineStr">
        <is>
          <t>DT-527</t>
        </is>
      </c>
      <c r="B52" s="156" t="inlineStr">
        <is>
          <t>SKT 105S</t>
        </is>
      </c>
      <c r="C52" s="156" t="inlineStr">
        <is>
          <t>Hauler</t>
        </is>
      </c>
      <c r="D52" s="156" t="inlineStr">
        <is>
          <t>Hauler</t>
        </is>
      </c>
      <c r="E52" s="156" t="inlineStr">
        <is>
          <t>SKT 105S</t>
        </is>
      </c>
      <c r="F52" s="156" t="n"/>
      <c r="G52" s="156" t="n"/>
      <c r="U52" s="156" t="inlineStr">
        <is>
          <t>HD-903</t>
        </is>
      </c>
    </row>
    <row r="53">
      <c r="A53" s="156" t="inlineStr">
        <is>
          <t>DT-528</t>
        </is>
      </c>
      <c r="B53" s="156" t="inlineStr">
        <is>
          <t>SKT 105S</t>
        </is>
      </c>
      <c r="C53" s="156" t="inlineStr">
        <is>
          <t>Hauler</t>
        </is>
      </c>
      <c r="D53" s="156" t="inlineStr">
        <is>
          <t>Hauler</t>
        </is>
      </c>
      <c r="E53" s="156" t="inlineStr">
        <is>
          <t>SKT 105S</t>
        </is>
      </c>
      <c r="F53" s="156" t="n"/>
      <c r="G53" s="156" t="n"/>
      <c r="U53" s="156" t="inlineStr">
        <is>
          <t>HD-904</t>
        </is>
      </c>
    </row>
    <row r="54">
      <c r="A54" s="156" t="inlineStr">
        <is>
          <t>DT-529</t>
        </is>
      </c>
      <c r="B54" s="156" t="inlineStr">
        <is>
          <t>SKT 105S</t>
        </is>
      </c>
      <c r="C54" s="156" t="inlineStr">
        <is>
          <t>Hauler</t>
        </is>
      </c>
      <c r="D54" s="156" t="inlineStr">
        <is>
          <t>Hauler</t>
        </is>
      </c>
      <c r="E54" s="156" t="inlineStr">
        <is>
          <t>SKT 105S</t>
        </is>
      </c>
      <c r="F54" s="156" t="n"/>
      <c r="G54" s="156" t="n"/>
      <c r="U54" s="156" t="inlineStr">
        <is>
          <t>HD-905</t>
        </is>
      </c>
    </row>
    <row r="55">
      <c r="A55" s="156" t="inlineStr">
        <is>
          <t>DT-530</t>
        </is>
      </c>
      <c r="B55" s="156" t="inlineStr">
        <is>
          <t>SKT 105S</t>
        </is>
      </c>
      <c r="C55" s="156" t="inlineStr">
        <is>
          <t>Hauler</t>
        </is>
      </c>
      <c r="D55" s="156" t="inlineStr">
        <is>
          <t>Hauler</t>
        </is>
      </c>
      <c r="E55" s="156" t="inlineStr">
        <is>
          <t>SKT 105S</t>
        </is>
      </c>
      <c r="F55" s="156" t="n"/>
      <c r="G55" s="156" t="n"/>
      <c r="U55" s="156" t="inlineStr">
        <is>
          <t>HT-401</t>
        </is>
      </c>
    </row>
    <row r="56">
      <c r="A56" s="156" t="inlineStr">
        <is>
          <t>DT-801</t>
        </is>
      </c>
      <c r="B56" s="156" t="inlineStr">
        <is>
          <t>SKT 80S</t>
        </is>
      </c>
      <c r="C56" s="156" t="inlineStr">
        <is>
          <t>Hauler</t>
        </is>
      </c>
      <c r="D56" s="156" t="inlineStr">
        <is>
          <t>Hauler</t>
        </is>
      </c>
      <c r="E56" s="156" t="inlineStr">
        <is>
          <t>SKT 80S</t>
        </is>
      </c>
      <c r="F56" s="156" t="n"/>
      <c r="G56" s="156" t="n"/>
      <c r="U56" s="156" t="inlineStr">
        <is>
          <t>HT-402</t>
        </is>
      </c>
    </row>
    <row r="57">
      <c r="A57" s="156" t="inlineStr">
        <is>
          <t>DT-802</t>
        </is>
      </c>
      <c r="B57" s="156" t="inlineStr">
        <is>
          <t>SKT 80S</t>
        </is>
      </c>
      <c r="C57" s="156" t="inlineStr">
        <is>
          <t>Hauler</t>
        </is>
      </c>
      <c r="D57" s="156" t="inlineStr">
        <is>
          <t>Hauler</t>
        </is>
      </c>
      <c r="E57" s="156" t="inlineStr">
        <is>
          <t>SKT 80S</t>
        </is>
      </c>
      <c r="F57" s="156" t="n"/>
      <c r="G57" s="156" t="n"/>
      <c r="U57" s="156" t="inlineStr">
        <is>
          <t>HT-403</t>
        </is>
      </c>
    </row>
    <row r="58">
      <c r="A58" s="156" t="inlineStr">
        <is>
          <t>DT-803</t>
        </is>
      </c>
      <c r="B58" s="156" t="inlineStr">
        <is>
          <t>SKT 80S</t>
        </is>
      </c>
      <c r="C58" s="156" t="inlineStr">
        <is>
          <t>Hauler</t>
        </is>
      </c>
      <c r="D58" s="156" t="inlineStr">
        <is>
          <t>Hauler</t>
        </is>
      </c>
      <c r="E58" s="156" t="inlineStr">
        <is>
          <t>SKT 80S</t>
        </is>
      </c>
      <c r="F58" s="156" t="n"/>
      <c r="G58" s="156" t="n"/>
      <c r="U58" s="156" t="inlineStr">
        <is>
          <t>HT-404</t>
        </is>
      </c>
    </row>
    <row r="59">
      <c r="A59" s="156" t="inlineStr">
        <is>
          <t>DT-804</t>
        </is>
      </c>
      <c r="B59" s="156" t="inlineStr">
        <is>
          <t>SKT 80S</t>
        </is>
      </c>
      <c r="C59" s="156" t="inlineStr">
        <is>
          <t>Hauler</t>
        </is>
      </c>
      <c r="D59" s="156" t="inlineStr">
        <is>
          <t>Hauler</t>
        </is>
      </c>
      <c r="E59" s="156" t="inlineStr">
        <is>
          <t>SKT 80S</t>
        </is>
      </c>
      <c r="F59" s="156" t="n"/>
      <c r="G59" s="156" t="n"/>
      <c r="U59" s="156" t="inlineStr">
        <is>
          <t>HT-405</t>
        </is>
      </c>
    </row>
    <row r="60">
      <c r="A60" s="156" t="inlineStr">
        <is>
          <t>DT-805</t>
        </is>
      </c>
      <c r="B60" s="156" t="inlineStr">
        <is>
          <t>SKT 80S</t>
        </is>
      </c>
      <c r="C60" s="156" t="inlineStr">
        <is>
          <t>Hauler</t>
        </is>
      </c>
      <c r="D60" s="156" t="inlineStr">
        <is>
          <t>Hauler</t>
        </is>
      </c>
      <c r="E60" s="156" t="inlineStr">
        <is>
          <t>SKT 80S</t>
        </is>
      </c>
      <c r="F60" s="156" t="n"/>
      <c r="G60" s="156" t="n"/>
      <c r="U60" s="156" t="inlineStr">
        <is>
          <t>HT-406</t>
        </is>
      </c>
    </row>
    <row r="61">
      <c r="A61" s="156" t="inlineStr">
        <is>
          <t>DT-806</t>
        </is>
      </c>
      <c r="B61" s="156" t="inlineStr">
        <is>
          <t>SKT 80S</t>
        </is>
      </c>
      <c r="C61" s="156" t="inlineStr">
        <is>
          <t>Hauler</t>
        </is>
      </c>
      <c r="D61" s="156" t="inlineStr">
        <is>
          <t>Hauler</t>
        </is>
      </c>
      <c r="E61" s="156" t="inlineStr">
        <is>
          <t>SKT 80S</t>
        </is>
      </c>
      <c r="F61" s="156" t="n"/>
      <c r="G61" s="156" t="n"/>
      <c r="U61" s="156" t="inlineStr">
        <is>
          <t>HT-407</t>
        </is>
      </c>
    </row>
    <row r="62">
      <c r="A62" s="156" t="inlineStr">
        <is>
          <t>DT-807</t>
        </is>
      </c>
      <c r="B62" s="156" t="inlineStr">
        <is>
          <t>SKT 80S</t>
        </is>
      </c>
      <c r="C62" s="156" t="inlineStr">
        <is>
          <t>Hauler</t>
        </is>
      </c>
      <c r="D62" s="156" t="inlineStr">
        <is>
          <t>Hauler</t>
        </is>
      </c>
      <c r="E62" s="156" t="inlineStr">
        <is>
          <t>SKT 80S</t>
        </is>
      </c>
      <c r="F62" s="156" t="n"/>
      <c r="G62" s="156" t="n"/>
      <c r="U62" s="156" t="inlineStr">
        <is>
          <t>HT-408</t>
        </is>
      </c>
    </row>
    <row r="63">
      <c r="A63" s="156" t="inlineStr">
        <is>
          <t>DT-808</t>
        </is>
      </c>
      <c r="B63" s="156" t="inlineStr">
        <is>
          <t>SKT 80S</t>
        </is>
      </c>
      <c r="C63" s="156" t="inlineStr">
        <is>
          <t>Hauler</t>
        </is>
      </c>
      <c r="D63" s="156" t="inlineStr">
        <is>
          <t>Hauler</t>
        </is>
      </c>
      <c r="E63" s="156" t="inlineStr">
        <is>
          <t>SKT 80S</t>
        </is>
      </c>
      <c r="F63" s="156" t="n"/>
      <c r="G63" s="156" t="n"/>
      <c r="U63" s="156" t="inlineStr">
        <is>
          <t>HT-409</t>
        </is>
      </c>
    </row>
    <row r="64">
      <c r="A64" s="156" t="inlineStr">
        <is>
          <t>DT-809</t>
        </is>
      </c>
      <c r="B64" s="156" t="inlineStr">
        <is>
          <t>SKT 80S</t>
        </is>
      </c>
      <c r="C64" s="156" t="inlineStr">
        <is>
          <t>Hauler</t>
        </is>
      </c>
      <c r="D64" s="156" t="inlineStr">
        <is>
          <t>Hauler</t>
        </is>
      </c>
      <c r="E64" s="156" t="inlineStr">
        <is>
          <t>SKT 80S</t>
        </is>
      </c>
      <c r="F64" s="156" t="n"/>
      <c r="G64" s="156" t="n"/>
      <c r="U64" s="156" t="inlineStr">
        <is>
          <t>HT-410</t>
        </is>
      </c>
    </row>
    <row r="65">
      <c r="A65" s="156" t="inlineStr">
        <is>
          <t>DT-810</t>
        </is>
      </c>
      <c r="B65" s="156" t="inlineStr">
        <is>
          <t>SKT 80S</t>
        </is>
      </c>
      <c r="C65" s="156" t="inlineStr">
        <is>
          <t>Hauler</t>
        </is>
      </c>
      <c r="D65" s="156" t="inlineStr">
        <is>
          <t>Hauler</t>
        </is>
      </c>
      <c r="E65" s="156" t="inlineStr">
        <is>
          <t>SKT 80S</t>
        </is>
      </c>
      <c r="F65" s="156" t="n"/>
      <c r="G65" s="156" t="n"/>
      <c r="U65" s="156" t="inlineStr">
        <is>
          <t>HT-411</t>
        </is>
      </c>
    </row>
    <row r="66">
      <c r="A66" s="156" t="inlineStr">
        <is>
          <t>DT-811</t>
        </is>
      </c>
      <c r="B66" s="156" t="inlineStr">
        <is>
          <t>SKT 80S</t>
        </is>
      </c>
      <c r="C66" s="156" t="inlineStr">
        <is>
          <t>Hauler</t>
        </is>
      </c>
      <c r="D66" s="156" t="inlineStr">
        <is>
          <t>Hauler</t>
        </is>
      </c>
      <c r="E66" s="156" t="inlineStr">
        <is>
          <t>SKT 80S</t>
        </is>
      </c>
      <c r="F66" s="156" t="n"/>
      <c r="G66" s="156" t="n"/>
      <c r="U66" s="156" t="inlineStr">
        <is>
          <t>HT-412</t>
        </is>
      </c>
    </row>
    <row r="67">
      <c r="A67" s="156" t="inlineStr">
        <is>
          <t>DT-812</t>
        </is>
      </c>
      <c r="B67" s="156" t="inlineStr">
        <is>
          <t>SKT 80S</t>
        </is>
      </c>
      <c r="C67" s="156" t="inlineStr">
        <is>
          <t>Hauler</t>
        </is>
      </c>
      <c r="D67" s="156" t="inlineStr">
        <is>
          <t>Hauler</t>
        </is>
      </c>
      <c r="E67" s="156" t="inlineStr">
        <is>
          <t>SKT 80S</t>
        </is>
      </c>
      <c r="F67" s="156" t="n"/>
      <c r="G67" s="156" t="n"/>
      <c r="U67" s="156" t="inlineStr">
        <is>
          <t>HT-413</t>
        </is>
      </c>
    </row>
    <row r="68">
      <c r="A68" s="156" t="inlineStr">
        <is>
          <t>HD-901</t>
        </is>
      </c>
      <c r="B68" s="156" t="inlineStr">
        <is>
          <t>SRT 95C</t>
        </is>
      </c>
      <c r="C68" s="156" t="inlineStr">
        <is>
          <t>Hauler</t>
        </is>
      </c>
      <c r="D68" s="156" t="inlineStr">
        <is>
          <t>Hauler</t>
        </is>
      </c>
      <c r="E68" s="156" t="inlineStr">
        <is>
          <t>SRT 95C</t>
        </is>
      </c>
      <c r="F68" s="156" t="n"/>
      <c r="G68" s="156" t="n"/>
      <c r="U68" s="156" t="inlineStr">
        <is>
          <t>HT-414</t>
        </is>
      </c>
    </row>
    <row r="69">
      <c r="A69" s="156" t="inlineStr">
        <is>
          <t>HD-902</t>
        </is>
      </c>
      <c r="B69" s="156" t="inlineStr">
        <is>
          <t>SRT 95C</t>
        </is>
      </c>
      <c r="C69" s="156" t="inlineStr">
        <is>
          <t>Hauler</t>
        </is>
      </c>
      <c r="D69" s="156" t="inlineStr">
        <is>
          <t>Hauler</t>
        </is>
      </c>
      <c r="E69" s="156" t="inlineStr">
        <is>
          <t>SRT 95C</t>
        </is>
      </c>
      <c r="F69" s="156" t="n"/>
      <c r="G69" s="156" t="n"/>
      <c r="U69" s="156" t="inlineStr">
        <is>
          <t>HT-415</t>
        </is>
      </c>
    </row>
    <row r="70">
      <c r="A70" s="156" t="inlineStr">
        <is>
          <t>HD-903</t>
        </is>
      </c>
      <c r="B70" s="156" t="inlineStr">
        <is>
          <t>SRT 95C</t>
        </is>
      </c>
      <c r="C70" s="156" t="inlineStr">
        <is>
          <t>Hauler</t>
        </is>
      </c>
      <c r="D70" s="156" t="inlineStr">
        <is>
          <t>Hauler</t>
        </is>
      </c>
      <c r="E70" s="156" t="inlineStr">
        <is>
          <t>SRT 95C</t>
        </is>
      </c>
      <c r="F70" s="156" t="n"/>
      <c r="G70" s="156" t="n"/>
      <c r="U70" s="156" t="inlineStr">
        <is>
          <t>HT-416</t>
        </is>
      </c>
    </row>
    <row r="71">
      <c r="A71" s="156" t="inlineStr">
        <is>
          <t>HD-904</t>
        </is>
      </c>
      <c r="B71" s="156" t="inlineStr">
        <is>
          <t>SRT 95C</t>
        </is>
      </c>
      <c r="C71" s="156" t="inlineStr">
        <is>
          <t>Hauler</t>
        </is>
      </c>
      <c r="D71" s="156" t="inlineStr">
        <is>
          <t>Hauler</t>
        </is>
      </c>
      <c r="E71" s="156" t="inlineStr">
        <is>
          <t>SRT 95C</t>
        </is>
      </c>
      <c r="F71" s="156" t="n"/>
      <c r="G71" s="156" t="n"/>
      <c r="U71" s="156" t="inlineStr">
        <is>
          <t>HT-417</t>
        </is>
      </c>
    </row>
    <row r="72">
      <c r="A72" s="156" t="inlineStr">
        <is>
          <t>HD-905</t>
        </is>
      </c>
      <c r="B72" s="156" t="inlineStr">
        <is>
          <t>SRT 95C</t>
        </is>
      </c>
      <c r="C72" s="156" t="inlineStr">
        <is>
          <t>Hauler</t>
        </is>
      </c>
      <c r="D72" s="156" t="inlineStr">
        <is>
          <t>Hauler</t>
        </is>
      </c>
      <c r="E72" s="156" t="inlineStr">
        <is>
          <t>SRT 95C</t>
        </is>
      </c>
      <c r="F72" s="156" t="n"/>
      <c r="G72" s="156" t="n"/>
      <c r="U72" s="156" t="inlineStr">
        <is>
          <t>HT-418</t>
        </is>
      </c>
    </row>
    <row r="73">
      <c r="A73" s="156" t="inlineStr">
        <is>
          <t>HT-401</t>
        </is>
      </c>
      <c r="B73" s="156" t="inlineStr">
        <is>
          <t>SY430</t>
        </is>
      </c>
      <c r="C73" s="156" t="inlineStr">
        <is>
          <t>DT Hauling</t>
        </is>
      </c>
      <c r="D73" s="156" t="inlineStr">
        <is>
          <t>Hauler</t>
        </is>
      </c>
      <c r="E73" s="156" t="inlineStr">
        <is>
          <t>SY430</t>
        </is>
      </c>
      <c r="F73" s="156" t="n"/>
      <c r="G73" s="156" t="n"/>
      <c r="U73" s="156" t="inlineStr">
        <is>
          <t>HT-419</t>
        </is>
      </c>
    </row>
    <row r="74">
      <c r="A74" s="156" t="inlineStr">
        <is>
          <t>HT-402</t>
        </is>
      </c>
      <c r="B74" s="156" t="inlineStr">
        <is>
          <t>SY430</t>
        </is>
      </c>
      <c r="C74" s="156" t="inlineStr">
        <is>
          <t>DT Hauling</t>
        </is>
      </c>
      <c r="D74" s="156" t="inlineStr">
        <is>
          <t>Hauler</t>
        </is>
      </c>
      <c r="E74" s="156" t="inlineStr">
        <is>
          <t>SY430</t>
        </is>
      </c>
      <c r="F74" s="156" t="n"/>
      <c r="G74" s="156" t="n"/>
      <c r="U74" s="156" t="inlineStr">
        <is>
          <t>HT-420</t>
        </is>
      </c>
    </row>
    <row r="75">
      <c r="A75" s="156" t="inlineStr">
        <is>
          <t>HT-403</t>
        </is>
      </c>
      <c r="B75" s="156" t="inlineStr">
        <is>
          <t>SY430</t>
        </is>
      </c>
      <c r="C75" s="156" t="inlineStr">
        <is>
          <t>DT Hauling</t>
        </is>
      </c>
      <c r="D75" s="156" t="inlineStr">
        <is>
          <t>Hauler</t>
        </is>
      </c>
      <c r="E75" s="156" t="inlineStr">
        <is>
          <t>SY430</t>
        </is>
      </c>
      <c r="F75" s="156" t="n"/>
      <c r="G75" s="156" t="n"/>
      <c r="U75" s="156" t="inlineStr">
        <is>
          <t>DT-341</t>
        </is>
      </c>
    </row>
    <row r="76">
      <c r="A76" s="156" t="inlineStr">
        <is>
          <t>HT-404</t>
        </is>
      </c>
      <c r="B76" s="156" t="inlineStr">
        <is>
          <t>SY430</t>
        </is>
      </c>
      <c r="C76" s="156" t="inlineStr">
        <is>
          <t>DT Hauling</t>
        </is>
      </c>
      <c r="D76" s="156" t="inlineStr">
        <is>
          <t>Hauler</t>
        </is>
      </c>
      <c r="E76" s="156" t="inlineStr">
        <is>
          <t>SY430</t>
        </is>
      </c>
      <c r="F76" s="156" t="n"/>
      <c r="G76" s="156" t="n"/>
      <c r="U76" s="156" t="inlineStr">
        <is>
          <t>DT-342</t>
        </is>
      </c>
    </row>
    <row r="77">
      <c r="A77" s="156" t="inlineStr">
        <is>
          <t>HT-405</t>
        </is>
      </c>
      <c r="B77" s="156" t="inlineStr">
        <is>
          <t>SY430</t>
        </is>
      </c>
      <c r="C77" s="156" t="inlineStr">
        <is>
          <t>DT Hauling</t>
        </is>
      </c>
      <c r="D77" s="156" t="inlineStr">
        <is>
          <t>Hauler</t>
        </is>
      </c>
      <c r="E77" s="156" t="inlineStr">
        <is>
          <t>SY430</t>
        </is>
      </c>
      <c r="F77" s="156" t="n"/>
      <c r="G77" s="156" t="n"/>
    </row>
    <row r="78">
      <c r="A78" s="156" t="inlineStr">
        <is>
          <t>HT-406</t>
        </is>
      </c>
      <c r="B78" s="156" t="inlineStr">
        <is>
          <t>SY430</t>
        </is>
      </c>
      <c r="C78" s="156" t="inlineStr">
        <is>
          <t>DT Hauling</t>
        </is>
      </c>
      <c r="D78" s="156" t="inlineStr">
        <is>
          <t>Hauler</t>
        </is>
      </c>
      <c r="E78" s="156" t="inlineStr">
        <is>
          <t>SY430</t>
        </is>
      </c>
      <c r="F78" s="156" t="n"/>
      <c r="G78" s="156" t="n"/>
    </row>
    <row r="79">
      <c r="A79" s="156" t="inlineStr">
        <is>
          <t>HT-407</t>
        </is>
      </c>
      <c r="B79" s="156" t="inlineStr">
        <is>
          <t>SY430</t>
        </is>
      </c>
      <c r="C79" s="156" t="inlineStr">
        <is>
          <t>DT Hauling</t>
        </is>
      </c>
      <c r="D79" s="156" t="inlineStr">
        <is>
          <t>Hauler</t>
        </is>
      </c>
      <c r="E79" s="156" t="inlineStr">
        <is>
          <t>SY430</t>
        </is>
      </c>
      <c r="F79" s="156" t="n"/>
      <c r="G79" s="156" t="n"/>
    </row>
    <row r="80">
      <c r="A80" s="156" t="inlineStr">
        <is>
          <t>HT-408</t>
        </is>
      </c>
      <c r="B80" s="156" t="inlineStr">
        <is>
          <t>SY430</t>
        </is>
      </c>
      <c r="C80" s="156" t="inlineStr">
        <is>
          <t>DT Hauling</t>
        </is>
      </c>
      <c r="D80" s="156" t="inlineStr">
        <is>
          <t>Hauler</t>
        </is>
      </c>
      <c r="E80" s="156" t="inlineStr">
        <is>
          <t>SY430</t>
        </is>
      </c>
      <c r="F80" s="156" t="n"/>
      <c r="G80" s="156" t="n"/>
    </row>
    <row r="81">
      <c r="A81" s="156" t="inlineStr">
        <is>
          <t>HT-409</t>
        </is>
      </c>
      <c r="B81" s="156" t="inlineStr">
        <is>
          <t>SY430</t>
        </is>
      </c>
      <c r="C81" s="156" t="inlineStr">
        <is>
          <t>DT Hauling</t>
        </is>
      </c>
      <c r="D81" s="156" t="inlineStr">
        <is>
          <t>Hauler</t>
        </is>
      </c>
      <c r="E81" s="156" t="inlineStr">
        <is>
          <t>SY430</t>
        </is>
      </c>
      <c r="F81" s="156" t="n"/>
      <c r="G81" s="156" t="n"/>
    </row>
    <row r="82">
      <c r="A82" s="156" t="inlineStr">
        <is>
          <t>HT-410</t>
        </is>
      </c>
      <c r="B82" s="156" t="inlineStr">
        <is>
          <t>SY430</t>
        </is>
      </c>
      <c r="C82" s="156" t="inlineStr">
        <is>
          <t>DT Hauling</t>
        </is>
      </c>
      <c r="D82" s="156" t="inlineStr">
        <is>
          <t>Hauler</t>
        </is>
      </c>
      <c r="E82" s="156" t="inlineStr">
        <is>
          <t>SY430</t>
        </is>
      </c>
      <c r="F82" s="156" t="n"/>
      <c r="G82" s="156" t="n"/>
    </row>
    <row r="83">
      <c r="A83" s="156" t="inlineStr">
        <is>
          <t>HT-411</t>
        </is>
      </c>
      <c r="B83" s="156" t="inlineStr">
        <is>
          <t>SY430</t>
        </is>
      </c>
      <c r="C83" s="156" t="inlineStr">
        <is>
          <t>DT Hauling</t>
        </is>
      </c>
      <c r="D83" s="156" t="inlineStr">
        <is>
          <t>Hauler</t>
        </is>
      </c>
      <c r="E83" s="156" t="inlineStr">
        <is>
          <t>SY430</t>
        </is>
      </c>
      <c r="F83" s="156" t="n"/>
      <c r="G83" s="156" t="n"/>
    </row>
    <row r="84">
      <c r="A84" s="156" t="inlineStr">
        <is>
          <t>HT-412</t>
        </is>
      </c>
      <c r="B84" s="156" t="inlineStr">
        <is>
          <t>SY430</t>
        </is>
      </c>
      <c r="C84" s="156" t="inlineStr">
        <is>
          <t>DT Hauling</t>
        </is>
      </c>
      <c r="D84" s="156" t="inlineStr">
        <is>
          <t>Hauler</t>
        </is>
      </c>
      <c r="E84" s="156" t="inlineStr">
        <is>
          <t>SY430</t>
        </is>
      </c>
      <c r="F84" s="156" t="n"/>
      <c r="G84" s="156" t="n"/>
    </row>
    <row r="85">
      <c r="A85" s="156" t="inlineStr">
        <is>
          <t>HT-413</t>
        </is>
      </c>
      <c r="B85" s="156" t="inlineStr">
        <is>
          <t>SY430</t>
        </is>
      </c>
      <c r="C85" s="156" t="inlineStr">
        <is>
          <t>DT Hauling</t>
        </is>
      </c>
      <c r="D85" s="156" t="inlineStr">
        <is>
          <t>Hauler</t>
        </is>
      </c>
      <c r="E85" s="156" t="inlineStr">
        <is>
          <t>SY430</t>
        </is>
      </c>
      <c r="F85" s="156" t="n"/>
      <c r="G85" s="156" t="n"/>
    </row>
    <row r="86">
      <c r="A86" s="156" t="inlineStr">
        <is>
          <t>HT-414</t>
        </is>
      </c>
      <c r="B86" s="156" t="inlineStr">
        <is>
          <t>SY430</t>
        </is>
      </c>
      <c r="C86" s="156" t="inlineStr">
        <is>
          <t>DT Hauling</t>
        </is>
      </c>
      <c r="D86" s="156" t="inlineStr">
        <is>
          <t>Hauler</t>
        </is>
      </c>
      <c r="E86" s="156" t="inlineStr">
        <is>
          <t>SY430</t>
        </is>
      </c>
      <c r="F86" s="156" t="n"/>
      <c r="G86" s="156" t="n"/>
    </row>
    <row r="87">
      <c r="A87" s="156" t="inlineStr">
        <is>
          <t>HT-415</t>
        </is>
      </c>
      <c r="B87" s="156" t="inlineStr">
        <is>
          <t>SY430</t>
        </is>
      </c>
      <c r="C87" s="156" t="inlineStr">
        <is>
          <t>DT Hauling</t>
        </is>
      </c>
      <c r="D87" s="156" t="inlineStr">
        <is>
          <t>Hauler</t>
        </is>
      </c>
      <c r="E87" s="156" t="inlineStr">
        <is>
          <t>SY430</t>
        </is>
      </c>
      <c r="F87" s="156" t="n"/>
      <c r="G87" s="156" t="n"/>
    </row>
    <row r="88">
      <c r="A88" s="156" t="inlineStr">
        <is>
          <t>HT-416</t>
        </is>
      </c>
      <c r="B88" s="156" t="inlineStr">
        <is>
          <t>SY430</t>
        </is>
      </c>
      <c r="C88" s="156" t="inlineStr">
        <is>
          <t>DT Hauling</t>
        </is>
      </c>
      <c r="D88" s="156" t="inlineStr">
        <is>
          <t>Hauler</t>
        </is>
      </c>
      <c r="E88" s="156" t="inlineStr">
        <is>
          <t>SY430</t>
        </is>
      </c>
      <c r="F88" s="156" t="n"/>
      <c r="G88" s="156" t="n"/>
    </row>
    <row r="89">
      <c r="A89" s="156" t="inlineStr">
        <is>
          <t>HT-417</t>
        </is>
      </c>
      <c r="B89" s="156" t="inlineStr">
        <is>
          <t>SY430</t>
        </is>
      </c>
      <c r="C89" s="156" t="inlineStr">
        <is>
          <t>DT Hauling</t>
        </is>
      </c>
      <c r="D89" s="156" t="inlineStr">
        <is>
          <t>Hauler</t>
        </is>
      </c>
      <c r="E89" s="156" t="inlineStr">
        <is>
          <t>SY430</t>
        </is>
      </c>
      <c r="F89" s="156" t="n"/>
      <c r="G89" s="156" t="n"/>
    </row>
    <row r="90">
      <c r="A90" s="156" t="inlineStr">
        <is>
          <t>HT-418</t>
        </is>
      </c>
      <c r="B90" s="156" t="inlineStr">
        <is>
          <t>SY430</t>
        </is>
      </c>
      <c r="C90" s="156" t="inlineStr">
        <is>
          <t>DT Hauling</t>
        </is>
      </c>
      <c r="D90" s="156" t="inlineStr">
        <is>
          <t>Hauler</t>
        </is>
      </c>
      <c r="E90" s="156" t="inlineStr">
        <is>
          <t>SY430</t>
        </is>
      </c>
      <c r="F90" s="156" t="n"/>
      <c r="G90" s="156" t="n"/>
    </row>
    <row r="91">
      <c r="A91" s="156" t="inlineStr">
        <is>
          <t>HT-419</t>
        </is>
      </c>
      <c r="B91" s="156" t="inlineStr">
        <is>
          <t>SY430</t>
        </is>
      </c>
      <c r="C91" s="156" t="inlineStr">
        <is>
          <t>DT Hauling</t>
        </is>
      </c>
      <c r="D91" s="156" t="inlineStr">
        <is>
          <t>Hauler</t>
        </is>
      </c>
      <c r="E91" s="156" t="inlineStr">
        <is>
          <t>SY430</t>
        </is>
      </c>
      <c r="F91" s="156" t="n"/>
      <c r="G91" s="156" t="n"/>
    </row>
    <row r="92">
      <c r="A92" s="156" t="inlineStr">
        <is>
          <t>HT-420</t>
        </is>
      </c>
      <c r="B92" s="156" t="inlineStr">
        <is>
          <t>SY430</t>
        </is>
      </c>
      <c r="C92" s="156" t="inlineStr">
        <is>
          <t>DT Hauling</t>
        </is>
      </c>
      <c r="D92" s="156" t="inlineStr">
        <is>
          <t>Hauler</t>
        </is>
      </c>
      <c r="E92" s="156" t="inlineStr">
        <is>
          <t>SY430</t>
        </is>
      </c>
      <c r="F92" s="156" t="n"/>
      <c r="G92" s="156" t="n"/>
    </row>
    <row r="93">
      <c r="A93" s="156" t="inlineStr">
        <is>
          <t>DT-341</t>
        </is>
      </c>
      <c r="B93" s="156" t="inlineStr">
        <is>
          <t>SYZ324C-8W</t>
        </is>
      </c>
      <c r="C93" s="156" t="inlineStr">
        <is>
          <t>Hauler</t>
        </is>
      </c>
      <c r="D93" s="156" t="inlineStr">
        <is>
          <t>Hauler</t>
        </is>
      </c>
      <c r="E93" s="156" t="inlineStr">
        <is>
          <t>SY324</t>
        </is>
      </c>
      <c r="F93" s="156" t="n"/>
      <c r="G93" s="156" t="n"/>
    </row>
    <row r="94">
      <c r="A94" s="156" t="inlineStr">
        <is>
          <t>DT-342</t>
        </is>
      </c>
      <c r="B94" s="156" t="inlineStr">
        <is>
          <t>SYZ324C-8W</t>
        </is>
      </c>
      <c r="C94" s="156" t="inlineStr">
        <is>
          <t>Hauler</t>
        </is>
      </c>
      <c r="D94" s="156" t="inlineStr">
        <is>
          <t>Hauler</t>
        </is>
      </c>
      <c r="E94" s="156" t="inlineStr">
        <is>
          <t>SY324</t>
        </is>
      </c>
      <c r="F94" s="156" t="n"/>
      <c r="G94" s="156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A6A6A6"/>
    <outlinePr summaryBelow="1" summaryRight="1"/>
    <pageSetUpPr/>
  </sheetPr>
  <dimension ref="A1:AN6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9" customWidth="1" min="3" max="3"/>
    <col width="14" customWidth="1" min="4" max="4"/>
    <col width="11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</cols>
  <sheetData>
    <row r="1" ht="32" customHeight="1">
      <c r="A1" s="153" t="inlineStr">
        <is>
          <t>Tanggal</t>
        </is>
      </c>
      <c r="B1" s="153" t="inlineStr">
        <is>
          <t>Shift</t>
        </is>
      </c>
      <c r="C1" s="153" t="inlineStr">
        <is>
          <t>Unit</t>
        </is>
      </c>
      <c r="D1" s="153" t="inlineStr">
        <is>
          <t>Tipe</t>
        </is>
      </c>
      <c r="E1" s="153" t="inlineStr">
        <is>
          <t>Class</t>
        </is>
      </c>
      <c r="F1" s="153" t="inlineStr">
        <is>
          <t>Kegiatan</t>
        </is>
      </c>
      <c r="G1" s="153" t="inlineStr">
        <is>
          <t>HM (jam)</t>
        </is>
      </c>
      <c r="H1" s="153" t="inlineStr">
        <is>
          <t>BD Terjadwal</t>
        </is>
      </c>
      <c r="I1" s="153" t="inlineStr">
        <is>
          <t>BD Tak Terjadwal</t>
        </is>
      </c>
      <c r="J1" s="153" t="inlineStr">
        <is>
          <t>Total BD</t>
        </is>
      </c>
      <c r="K1" s="153" t="inlineStr">
        <is>
          <t>Total Idle</t>
        </is>
      </c>
      <c r="L1" s="153" t="inlineStr">
        <is>
          <t>Jam Kalender</t>
        </is>
      </c>
      <c r="M1" s="153" t="inlineStr">
        <is>
          <t>EWH OB</t>
        </is>
      </c>
      <c r="N1" s="153" t="inlineStr">
        <is>
          <t>EWH Coal</t>
        </is>
      </c>
      <c r="O1" s="152" t="inlineStr">
        <is>
          <t>Ritase OB</t>
        </is>
      </c>
      <c r="P1" s="152" t="inlineStr">
        <is>
          <t>Ritase Coal</t>
        </is>
      </c>
      <c r="Q1" s="152" t="inlineStr">
        <is>
          <t>Prod OB (BCM)</t>
        </is>
      </c>
      <c r="R1" s="152" t="inlineStr">
        <is>
          <t>Prod Coal (MT)</t>
        </is>
      </c>
      <c r="S1" s="153" t="inlineStr">
        <is>
          <t>Jarak OB (m)</t>
        </is>
      </c>
      <c r="T1" s="153" t="inlineStr">
        <is>
          <t>Jarak Coal (m)</t>
        </is>
      </c>
      <c r="U1" s="153" t="inlineStr">
        <is>
          <t>Rain Delay</t>
        </is>
      </c>
      <c r="V1" s="153" t="inlineStr">
        <is>
          <t>Slippery</t>
        </is>
      </c>
      <c r="W1" s="153" t="inlineStr">
        <is>
          <t>Waiting Prepare Front</t>
        </is>
      </c>
      <c r="X1" s="153" t="inlineStr">
        <is>
          <t>Rest &amp; Meal</t>
        </is>
      </c>
      <c r="Y1" s="153" t="inlineStr">
        <is>
          <t>Safety Talk</t>
        </is>
      </c>
      <c r="Z1" s="153" t="inlineStr">
        <is>
          <t>Refueling</t>
        </is>
      </c>
      <c r="AA1" s="153" t="inlineStr">
        <is>
          <t>Rest Fuel</t>
        </is>
      </c>
      <c r="AB1" s="153" t="inlineStr">
        <is>
          <t>Friday Praying</t>
        </is>
      </c>
      <c r="AC1" s="153" t="inlineStr">
        <is>
          <t>Blasting</t>
        </is>
      </c>
      <c r="AD1" s="153" t="inlineStr">
        <is>
          <t>No Support</t>
        </is>
      </c>
      <c r="AE1" s="153" t="inlineStr">
        <is>
          <t>No Operator</t>
        </is>
      </c>
      <c r="AF1" s="153" t="inlineStr">
        <is>
          <t>Greasing</t>
        </is>
      </c>
      <c r="AG1" s="153" t="inlineStr">
        <is>
          <t>Lately Start</t>
        </is>
      </c>
      <c r="AH1" s="153" t="inlineStr">
        <is>
          <t>Early Finish</t>
        </is>
      </c>
      <c r="AI1" s="153" t="inlineStr">
        <is>
          <t>No Digger</t>
        </is>
      </c>
      <c r="AJ1" s="153" t="inlineStr">
        <is>
          <t>No Truck</t>
        </is>
      </c>
      <c r="AK1" s="153" t="inlineStr">
        <is>
          <t>No Job</t>
        </is>
      </c>
      <c r="AL1" s="153" t="inlineStr">
        <is>
          <t>Fog</t>
        </is>
      </c>
      <c r="AM1" s="153" t="inlineStr">
        <is>
          <t>P2H</t>
        </is>
      </c>
      <c r="AN1" s="153" t="inlineStr">
        <is>
          <t>Others</t>
        </is>
      </c>
    </row>
    <row r="2">
      <c r="A2" s="155" t="n">
        <v>46082</v>
      </c>
      <c r="B2" s="156" t="inlineStr">
        <is>
          <t>DS</t>
        </is>
      </c>
      <c r="C2" s="156" t="inlineStr">
        <is>
          <t>DZ-034</t>
        </is>
      </c>
      <c r="D2" s="156" t="inlineStr">
        <is>
          <t>D 68ESS-12EO</t>
        </is>
      </c>
      <c r="E2" s="156" t="inlineStr">
        <is>
          <t>Bulldozer</t>
        </is>
      </c>
      <c r="F2" s="156" t="inlineStr"/>
      <c r="G2" s="182" t="n">
        <v>0</v>
      </c>
      <c r="H2" s="182" t="n">
        <v>0</v>
      </c>
      <c r="I2" s="182" t="n">
        <v>12</v>
      </c>
      <c r="J2" s="182" t="n">
        <v>12</v>
      </c>
      <c r="K2" s="182" t="n">
        <v>0</v>
      </c>
      <c r="L2" s="182" t="n">
        <v>12</v>
      </c>
      <c r="M2" s="182" t="n">
        <v>0</v>
      </c>
      <c r="N2" s="182" t="n">
        <v>0</v>
      </c>
      <c r="O2" s="183" t="n">
        <v>0</v>
      </c>
      <c r="P2" s="183" t="n">
        <v>0</v>
      </c>
      <c r="Q2" s="184" t="n">
        <v>0</v>
      </c>
      <c r="R2" s="184" t="n">
        <v>0</v>
      </c>
      <c r="S2" s="183" t="n">
        <v>0</v>
      </c>
      <c r="T2" s="183" t="n">
        <v>0</v>
      </c>
      <c r="U2" s="182" t="n">
        <v>0</v>
      </c>
      <c r="V2" s="182" t="n">
        <v>0</v>
      </c>
      <c r="W2" s="182" t="n">
        <v>0</v>
      </c>
      <c r="X2" s="182" t="n">
        <v>0</v>
      </c>
      <c r="Y2" s="182" t="n">
        <v>0</v>
      </c>
      <c r="Z2" s="182" t="n">
        <v>0</v>
      </c>
      <c r="AA2" s="182" t="n">
        <v>0</v>
      </c>
      <c r="AB2" s="182" t="n">
        <v>0</v>
      </c>
      <c r="AC2" s="182" t="n">
        <v>0</v>
      </c>
      <c r="AD2" s="182" t="n">
        <v>0</v>
      </c>
      <c r="AE2" s="182" t="n">
        <v>0</v>
      </c>
      <c r="AF2" s="182" t="n">
        <v>0</v>
      </c>
      <c r="AG2" s="182" t="n">
        <v>0</v>
      </c>
      <c r="AH2" s="182" t="n">
        <v>0</v>
      </c>
      <c r="AI2" s="182" t="n">
        <v>0</v>
      </c>
      <c r="AJ2" s="182" t="n">
        <v>0</v>
      </c>
      <c r="AK2" s="182" t="n">
        <v>0</v>
      </c>
      <c r="AL2" s="182" t="n">
        <v>0</v>
      </c>
      <c r="AM2" s="182" t="n">
        <v>0</v>
      </c>
      <c r="AN2" s="182" t="n">
        <v>0</v>
      </c>
    </row>
    <row r="3">
      <c r="A3" s="155" t="n">
        <v>46082</v>
      </c>
      <c r="B3" s="156" t="inlineStr">
        <is>
          <t>DS</t>
        </is>
      </c>
      <c r="C3" s="156" t="inlineStr">
        <is>
          <t>DZ-033</t>
        </is>
      </c>
      <c r="D3" s="156" t="inlineStr">
        <is>
          <t>D 375A-6R</t>
        </is>
      </c>
      <c r="E3" s="156" t="inlineStr">
        <is>
          <t>Bulldozer</t>
        </is>
      </c>
      <c r="F3" s="156" t="inlineStr">
        <is>
          <t>Support Disposal</t>
        </is>
      </c>
      <c r="G3" s="182" t="n">
        <v>10.13</v>
      </c>
      <c r="H3" s="182" t="n">
        <v>0</v>
      </c>
      <c r="I3" s="182" t="n">
        <v>0.57</v>
      </c>
      <c r="J3" s="182" t="n">
        <v>0.57</v>
      </c>
      <c r="K3" s="182" t="n">
        <v>1.3</v>
      </c>
      <c r="L3" s="182" t="n">
        <v>12</v>
      </c>
      <c r="M3" s="182" t="n">
        <v>0</v>
      </c>
      <c r="N3" s="182" t="n">
        <v>0</v>
      </c>
      <c r="O3" s="183" t="n">
        <v>0</v>
      </c>
      <c r="P3" s="183" t="n">
        <v>0</v>
      </c>
      <c r="Q3" s="184" t="n">
        <v>0</v>
      </c>
      <c r="R3" s="184" t="n">
        <v>0</v>
      </c>
      <c r="S3" s="183" t="n">
        <v>0</v>
      </c>
      <c r="T3" s="183" t="n">
        <v>0</v>
      </c>
      <c r="U3" s="182" t="n">
        <v>0</v>
      </c>
      <c r="V3" s="182" t="n">
        <v>0</v>
      </c>
      <c r="W3" s="182" t="n">
        <v>0</v>
      </c>
      <c r="X3" s="182" t="n">
        <v>0.91</v>
      </c>
      <c r="Y3" s="182" t="n">
        <v>0</v>
      </c>
      <c r="Z3" s="182" t="n">
        <v>0</v>
      </c>
      <c r="AA3" s="182" t="n">
        <v>0</v>
      </c>
      <c r="AB3" s="182" t="n">
        <v>0</v>
      </c>
      <c r="AC3" s="182" t="n">
        <v>0</v>
      </c>
      <c r="AD3" s="182" t="n">
        <v>0</v>
      </c>
      <c r="AE3" s="182" t="n">
        <v>0</v>
      </c>
      <c r="AF3" s="182" t="n">
        <v>0</v>
      </c>
      <c r="AG3" s="182" t="n">
        <v>0</v>
      </c>
      <c r="AH3" s="182" t="n">
        <v>0.32</v>
      </c>
      <c r="AI3" s="182" t="n">
        <v>0</v>
      </c>
      <c r="AJ3" s="182" t="n">
        <v>0</v>
      </c>
      <c r="AK3" s="182" t="n">
        <v>0</v>
      </c>
      <c r="AL3" s="182" t="n">
        <v>0</v>
      </c>
      <c r="AM3" s="182" t="n">
        <v>0.07000000000000001</v>
      </c>
      <c r="AN3" s="182" t="n">
        <v>0</v>
      </c>
    </row>
    <row r="4">
      <c r="A4" s="155" t="n">
        <v>46082</v>
      </c>
      <c r="B4" s="156" t="inlineStr">
        <is>
          <t>DS</t>
        </is>
      </c>
      <c r="C4" s="156" t="inlineStr">
        <is>
          <t>DZ-038</t>
        </is>
      </c>
      <c r="D4" s="156" t="inlineStr">
        <is>
          <t>D 85 ESS-2</t>
        </is>
      </c>
      <c r="E4" s="156" t="inlineStr">
        <is>
          <t>Bulldozer</t>
        </is>
      </c>
      <c r="F4" s="156" t="inlineStr"/>
      <c r="G4" s="182" t="n">
        <v>0</v>
      </c>
      <c r="H4" s="182" t="n">
        <v>0</v>
      </c>
      <c r="I4" s="182" t="n">
        <v>12</v>
      </c>
      <c r="J4" s="182" t="n">
        <v>12</v>
      </c>
      <c r="K4" s="182" t="n">
        <v>0</v>
      </c>
      <c r="L4" s="182" t="n">
        <v>12</v>
      </c>
      <c r="M4" s="182" t="n">
        <v>0</v>
      </c>
      <c r="N4" s="182" t="n">
        <v>0</v>
      </c>
      <c r="O4" s="183" t="n">
        <v>0</v>
      </c>
      <c r="P4" s="183" t="n">
        <v>0</v>
      </c>
      <c r="Q4" s="184" t="n">
        <v>0</v>
      </c>
      <c r="R4" s="184" t="n">
        <v>0</v>
      </c>
      <c r="S4" s="183" t="n">
        <v>0</v>
      </c>
      <c r="T4" s="183" t="n">
        <v>0</v>
      </c>
      <c r="U4" s="182" t="n">
        <v>0</v>
      </c>
      <c r="V4" s="182" t="n">
        <v>0</v>
      </c>
      <c r="W4" s="182" t="n">
        <v>0</v>
      </c>
      <c r="X4" s="182" t="n">
        <v>0</v>
      </c>
      <c r="Y4" s="182" t="n">
        <v>0</v>
      </c>
      <c r="Z4" s="182" t="n">
        <v>0</v>
      </c>
      <c r="AA4" s="182" t="n">
        <v>0</v>
      </c>
      <c r="AB4" s="182" t="n">
        <v>0</v>
      </c>
      <c r="AC4" s="182" t="n">
        <v>0</v>
      </c>
      <c r="AD4" s="182" t="n">
        <v>0</v>
      </c>
      <c r="AE4" s="182" t="n">
        <v>0</v>
      </c>
      <c r="AF4" s="182" t="n">
        <v>0</v>
      </c>
      <c r="AG4" s="182" t="n">
        <v>0</v>
      </c>
      <c r="AH4" s="182" t="n">
        <v>0</v>
      </c>
      <c r="AI4" s="182" t="n">
        <v>0</v>
      </c>
      <c r="AJ4" s="182" t="n">
        <v>0</v>
      </c>
      <c r="AK4" s="182" t="n">
        <v>0</v>
      </c>
      <c r="AL4" s="182" t="n">
        <v>0</v>
      </c>
      <c r="AM4" s="182" t="n">
        <v>0</v>
      </c>
      <c r="AN4" s="182" t="n">
        <v>0</v>
      </c>
    </row>
    <row r="5">
      <c r="A5" s="155" t="n">
        <v>46082</v>
      </c>
      <c r="B5" s="156" t="inlineStr">
        <is>
          <t>DS</t>
        </is>
      </c>
      <c r="C5" s="156" t="inlineStr">
        <is>
          <t>DZ-039</t>
        </is>
      </c>
      <c r="D5" s="156" t="inlineStr">
        <is>
          <t>D 85 ESS-2</t>
        </is>
      </c>
      <c r="E5" s="156" t="inlineStr">
        <is>
          <t>Bulldozer</t>
        </is>
      </c>
      <c r="F5" s="156" t="inlineStr">
        <is>
          <t>Support Front Loading</t>
        </is>
      </c>
      <c r="G5" s="182" t="n">
        <v>11.02</v>
      </c>
      <c r="H5" s="182" t="n">
        <v>0</v>
      </c>
      <c r="I5" s="182" t="n">
        <v>0</v>
      </c>
      <c r="J5" s="182" t="n">
        <v>0</v>
      </c>
      <c r="K5" s="182" t="n">
        <v>0.98</v>
      </c>
      <c r="L5" s="182" t="n">
        <v>12</v>
      </c>
      <c r="M5" s="182" t="n">
        <v>0</v>
      </c>
      <c r="N5" s="182" t="n">
        <v>0</v>
      </c>
      <c r="O5" s="183" t="n">
        <v>0</v>
      </c>
      <c r="P5" s="183" t="n">
        <v>0</v>
      </c>
      <c r="Q5" s="184" t="n">
        <v>0</v>
      </c>
      <c r="R5" s="184" t="n">
        <v>0</v>
      </c>
      <c r="S5" s="183" t="n">
        <v>0</v>
      </c>
      <c r="T5" s="183" t="n">
        <v>0</v>
      </c>
      <c r="U5" s="182" t="n">
        <v>0</v>
      </c>
      <c r="V5" s="182" t="n">
        <v>0</v>
      </c>
      <c r="W5" s="182" t="n">
        <v>0</v>
      </c>
      <c r="X5" s="182" t="n">
        <v>0.87</v>
      </c>
      <c r="Y5" s="182" t="n">
        <v>0</v>
      </c>
      <c r="Z5" s="182" t="n">
        <v>0</v>
      </c>
      <c r="AA5" s="182" t="n">
        <v>0</v>
      </c>
      <c r="AB5" s="182" t="n">
        <v>0</v>
      </c>
      <c r="AC5" s="182" t="n">
        <v>0</v>
      </c>
      <c r="AD5" s="182" t="n">
        <v>0</v>
      </c>
      <c r="AE5" s="182" t="n">
        <v>0</v>
      </c>
      <c r="AF5" s="182" t="n">
        <v>0</v>
      </c>
      <c r="AG5" s="182" t="n">
        <v>0</v>
      </c>
      <c r="AH5" s="182" t="n">
        <v>0</v>
      </c>
      <c r="AI5" s="182" t="n">
        <v>0</v>
      </c>
      <c r="AJ5" s="182" t="n">
        <v>0</v>
      </c>
      <c r="AK5" s="182" t="n">
        <v>0</v>
      </c>
      <c r="AL5" s="182" t="n">
        <v>0</v>
      </c>
      <c r="AM5" s="182" t="n">
        <v>0.11</v>
      </c>
      <c r="AN5" s="182" t="n">
        <v>0</v>
      </c>
    </row>
    <row r="6">
      <c r="A6" s="155" t="n">
        <v>46082</v>
      </c>
      <c r="B6" s="156" t="inlineStr">
        <is>
          <t>DS</t>
        </is>
      </c>
      <c r="C6" s="156" t="inlineStr">
        <is>
          <t>DZ-032</t>
        </is>
      </c>
      <c r="D6" s="156" t="inlineStr">
        <is>
          <t>CAT</t>
        </is>
      </c>
      <c r="E6" s="156" t="inlineStr">
        <is>
          <t>Bulldozer</t>
        </is>
      </c>
      <c r="F6" s="156" t="inlineStr"/>
      <c r="G6" s="182" t="n">
        <v>0</v>
      </c>
      <c r="H6" s="182" t="n">
        <v>0</v>
      </c>
      <c r="I6" s="182" t="n">
        <v>12</v>
      </c>
      <c r="J6" s="182" t="n">
        <v>12</v>
      </c>
      <c r="K6" s="182" t="n">
        <v>0</v>
      </c>
      <c r="L6" s="182" t="n">
        <v>12</v>
      </c>
      <c r="M6" s="182" t="n">
        <v>0</v>
      </c>
      <c r="N6" s="182" t="n">
        <v>0</v>
      </c>
      <c r="O6" s="183" t="n">
        <v>0</v>
      </c>
      <c r="P6" s="183" t="n">
        <v>0</v>
      </c>
      <c r="Q6" s="184" t="n">
        <v>0</v>
      </c>
      <c r="R6" s="184" t="n">
        <v>0</v>
      </c>
      <c r="S6" s="183" t="n">
        <v>0</v>
      </c>
      <c r="T6" s="183" t="n">
        <v>0</v>
      </c>
      <c r="U6" s="182" t="n">
        <v>0</v>
      </c>
      <c r="V6" s="182" t="n">
        <v>0</v>
      </c>
      <c r="W6" s="182" t="n">
        <v>0</v>
      </c>
      <c r="X6" s="182" t="n">
        <v>0</v>
      </c>
      <c r="Y6" s="182" t="n">
        <v>0</v>
      </c>
      <c r="Z6" s="182" t="n">
        <v>0</v>
      </c>
      <c r="AA6" s="182" t="n">
        <v>0</v>
      </c>
      <c r="AB6" s="182" t="n">
        <v>0</v>
      </c>
      <c r="AC6" s="182" t="n">
        <v>0</v>
      </c>
      <c r="AD6" s="182" t="n">
        <v>0</v>
      </c>
      <c r="AE6" s="182" t="n">
        <v>0</v>
      </c>
      <c r="AF6" s="182" t="n">
        <v>0</v>
      </c>
      <c r="AG6" s="182" t="n">
        <v>0</v>
      </c>
      <c r="AH6" s="182" t="n">
        <v>0</v>
      </c>
      <c r="AI6" s="182" t="n">
        <v>0</v>
      </c>
      <c r="AJ6" s="182" t="n">
        <v>0</v>
      </c>
      <c r="AK6" s="182" t="n">
        <v>0</v>
      </c>
      <c r="AL6" s="182" t="n">
        <v>0</v>
      </c>
      <c r="AM6" s="182" t="n">
        <v>0</v>
      </c>
      <c r="AN6" s="182" t="n">
        <v>0</v>
      </c>
    </row>
    <row r="7">
      <c r="A7" s="155" t="n">
        <v>46082</v>
      </c>
      <c r="B7" s="156" t="inlineStr">
        <is>
          <t>DS</t>
        </is>
      </c>
      <c r="C7" s="156" t="inlineStr">
        <is>
          <t>DZ-031</t>
        </is>
      </c>
      <c r="D7" s="156" t="inlineStr">
        <is>
          <t>CAT</t>
        </is>
      </c>
      <c r="E7" s="156" t="inlineStr">
        <is>
          <t>Bulldozer</t>
        </is>
      </c>
      <c r="F7" s="156" t="inlineStr">
        <is>
          <t>Support Front Loading</t>
        </is>
      </c>
      <c r="G7" s="182" t="n">
        <v>10.81</v>
      </c>
      <c r="H7" s="182" t="n">
        <v>0</v>
      </c>
      <c r="I7" s="182" t="n">
        <v>0</v>
      </c>
      <c r="J7" s="182" t="n">
        <v>0</v>
      </c>
      <c r="K7" s="182" t="n">
        <v>1.19</v>
      </c>
      <c r="L7" s="182" t="n">
        <v>12</v>
      </c>
      <c r="M7" s="182" t="n">
        <v>0</v>
      </c>
      <c r="N7" s="182" t="n">
        <v>0</v>
      </c>
      <c r="O7" s="183" t="n">
        <v>0</v>
      </c>
      <c r="P7" s="183" t="n">
        <v>0</v>
      </c>
      <c r="Q7" s="184" t="n">
        <v>0</v>
      </c>
      <c r="R7" s="184" t="n">
        <v>0</v>
      </c>
      <c r="S7" s="183" t="n">
        <v>0</v>
      </c>
      <c r="T7" s="183" t="n">
        <v>0</v>
      </c>
      <c r="U7" s="182" t="n">
        <v>0</v>
      </c>
      <c r="V7" s="182" t="n">
        <v>0</v>
      </c>
      <c r="W7" s="182" t="n">
        <v>0</v>
      </c>
      <c r="X7" s="182" t="n">
        <v>1.09</v>
      </c>
      <c r="Y7" s="182" t="n">
        <v>0</v>
      </c>
      <c r="Z7" s="182" t="n">
        <v>0</v>
      </c>
      <c r="AA7" s="182" t="n">
        <v>0</v>
      </c>
      <c r="AB7" s="182" t="n">
        <v>0</v>
      </c>
      <c r="AC7" s="182" t="n">
        <v>0</v>
      </c>
      <c r="AD7" s="182" t="n">
        <v>0</v>
      </c>
      <c r="AE7" s="182" t="n">
        <v>0</v>
      </c>
      <c r="AF7" s="182" t="n">
        <v>0</v>
      </c>
      <c r="AG7" s="182" t="n">
        <v>0</v>
      </c>
      <c r="AH7" s="182" t="n">
        <v>0</v>
      </c>
      <c r="AI7" s="182" t="n">
        <v>0</v>
      </c>
      <c r="AJ7" s="182" t="n">
        <v>0</v>
      </c>
      <c r="AK7" s="182" t="n">
        <v>0</v>
      </c>
      <c r="AL7" s="182" t="n">
        <v>0</v>
      </c>
      <c r="AM7" s="182" t="n">
        <v>0.1</v>
      </c>
      <c r="AN7" s="182" t="n">
        <v>0</v>
      </c>
    </row>
    <row r="8">
      <c r="A8" s="155" t="n">
        <v>46082</v>
      </c>
      <c r="B8" s="156" t="inlineStr">
        <is>
          <t>DS</t>
        </is>
      </c>
      <c r="C8" s="156" t="inlineStr">
        <is>
          <t>DZ-037</t>
        </is>
      </c>
      <c r="D8" s="156" t="inlineStr">
        <is>
          <t>D 85 ESS-2</t>
        </is>
      </c>
      <c r="E8" s="156" t="inlineStr">
        <is>
          <t>Bulldozer</t>
        </is>
      </c>
      <c r="F8" s="156" t="inlineStr"/>
      <c r="G8" s="182" t="n">
        <v>0</v>
      </c>
      <c r="H8" s="182" t="n">
        <v>0</v>
      </c>
      <c r="I8" s="182" t="n">
        <v>12</v>
      </c>
      <c r="J8" s="182" t="n">
        <v>12</v>
      </c>
      <c r="K8" s="182" t="n">
        <v>0</v>
      </c>
      <c r="L8" s="182" t="n">
        <v>12</v>
      </c>
      <c r="M8" s="182" t="n">
        <v>0</v>
      </c>
      <c r="N8" s="182" t="n">
        <v>0</v>
      </c>
      <c r="O8" s="183" t="n">
        <v>0</v>
      </c>
      <c r="P8" s="183" t="n">
        <v>0</v>
      </c>
      <c r="Q8" s="184" t="n">
        <v>0</v>
      </c>
      <c r="R8" s="184" t="n">
        <v>0</v>
      </c>
      <c r="S8" s="183" t="n">
        <v>0</v>
      </c>
      <c r="T8" s="183" t="n">
        <v>0</v>
      </c>
      <c r="U8" s="182" t="n">
        <v>0</v>
      </c>
      <c r="V8" s="182" t="n">
        <v>0</v>
      </c>
      <c r="W8" s="182" t="n">
        <v>0</v>
      </c>
      <c r="X8" s="182" t="n">
        <v>0</v>
      </c>
      <c r="Y8" s="182" t="n">
        <v>0</v>
      </c>
      <c r="Z8" s="182" t="n">
        <v>0</v>
      </c>
      <c r="AA8" s="182" t="n">
        <v>0</v>
      </c>
      <c r="AB8" s="182" t="n">
        <v>0</v>
      </c>
      <c r="AC8" s="182" t="n">
        <v>0</v>
      </c>
      <c r="AD8" s="182" t="n">
        <v>0</v>
      </c>
      <c r="AE8" s="182" t="n">
        <v>0</v>
      </c>
      <c r="AF8" s="182" t="n">
        <v>0</v>
      </c>
      <c r="AG8" s="182" t="n">
        <v>0</v>
      </c>
      <c r="AH8" s="182" t="n">
        <v>0</v>
      </c>
      <c r="AI8" s="182" t="n">
        <v>0</v>
      </c>
      <c r="AJ8" s="182" t="n">
        <v>0</v>
      </c>
      <c r="AK8" s="182" t="n">
        <v>0</v>
      </c>
      <c r="AL8" s="182" t="n">
        <v>0</v>
      </c>
      <c r="AM8" s="182" t="n">
        <v>0</v>
      </c>
      <c r="AN8" s="182" t="n">
        <v>0</v>
      </c>
    </row>
    <row r="9">
      <c r="A9" s="155" t="n">
        <v>46082</v>
      </c>
      <c r="B9" s="156" t="inlineStr">
        <is>
          <t>DS</t>
        </is>
      </c>
      <c r="C9" s="156" t="inlineStr">
        <is>
          <t>DZ-036</t>
        </is>
      </c>
      <c r="D9" s="156" t="inlineStr">
        <is>
          <t>D 85 ESS-2</t>
        </is>
      </c>
      <c r="E9" s="156" t="inlineStr">
        <is>
          <t>Bulldozer</t>
        </is>
      </c>
      <c r="F9" s="156" t="inlineStr"/>
      <c r="G9" s="182" t="n">
        <v>0</v>
      </c>
      <c r="H9" s="182" t="n">
        <v>0</v>
      </c>
      <c r="I9" s="182" t="n">
        <v>0</v>
      </c>
      <c r="J9" s="182" t="n">
        <v>0</v>
      </c>
      <c r="K9" s="182" t="n">
        <v>12</v>
      </c>
      <c r="L9" s="182" t="n">
        <v>12</v>
      </c>
      <c r="M9" s="182" t="n">
        <v>0</v>
      </c>
      <c r="N9" s="182" t="n">
        <v>0</v>
      </c>
      <c r="O9" s="183" t="n">
        <v>0</v>
      </c>
      <c r="P9" s="183" t="n">
        <v>0</v>
      </c>
      <c r="Q9" s="184" t="n">
        <v>0</v>
      </c>
      <c r="R9" s="184" t="n">
        <v>0</v>
      </c>
      <c r="S9" s="183" t="n">
        <v>0</v>
      </c>
      <c r="T9" s="183" t="n">
        <v>0</v>
      </c>
      <c r="U9" s="182" t="n">
        <v>0</v>
      </c>
      <c r="V9" s="182" t="n">
        <v>0</v>
      </c>
      <c r="W9" s="182" t="n">
        <v>0</v>
      </c>
      <c r="X9" s="182" t="n">
        <v>1</v>
      </c>
      <c r="Y9" s="182" t="n">
        <v>0</v>
      </c>
      <c r="Z9" s="182" t="n">
        <v>0</v>
      </c>
      <c r="AA9" s="182" t="n">
        <v>0</v>
      </c>
      <c r="AB9" s="182" t="n">
        <v>0</v>
      </c>
      <c r="AC9" s="182" t="n">
        <v>0</v>
      </c>
      <c r="AD9" s="182" t="n">
        <v>0</v>
      </c>
      <c r="AE9" s="182" t="n">
        <v>0</v>
      </c>
      <c r="AF9" s="182" t="n">
        <v>0</v>
      </c>
      <c r="AG9" s="182" t="n">
        <v>0</v>
      </c>
      <c r="AH9" s="182" t="n">
        <v>0</v>
      </c>
      <c r="AI9" s="182" t="n">
        <v>0</v>
      </c>
      <c r="AJ9" s="182" t="n">
        <v>0</v>
      </c>
      <c r="AK9" s="182" t="n">
        <v>10.92</v>
      </c>
      <c r="AL9" s="182" t="n">
        <v>0</v>
      </c>
      <c r="AM9" s="182" t="n">
        <v>0.08</v>
      </c>
      <c r="AN9" s="182" t="n">
        <v>0</v>
      </c>
    </row>
    <row r="10">
      <c r="A10" s="155" t="n">
        <v>46082</v>
      </c>
      <c r="B10" s="156" t="inlineStr">
        <is>
          <t>DS</t>
        </is>
      </c>
      <c r="C10" s="156" t="inlineStr">
        <is>
          <t>DZ-035</t>
        </is>
      </c>
      <c r="D10" s="156" t="inlineStr">
        <is>
          <t>D 85 ESS-2</t>
        </is>
      </c>
      <c r="E10" s="156" t="inlineStr">
        <is>
          <t>Bulldozer</t>
        </is>
      </c>
      <c r="F10" s="156" t="inlineStr">
        <is>
          <t>Support Disposal</t>
        </is>
      </c>
      <c r="G10" s="182" t="n">
        <v>7.9</v>
      </c>
      <c r="H10" s="182" t="n">
        <v>0</v>
      </c>
      <c r="I10" s="182" t="n">
        <v>4.02</v>
      </c>
      <c r="J10" s="182" t="n">
        <v>4.02</v>
      </c>
      <c r="K10" s="182" t="n">
        <v>0.08</v>
      </c>
      <c r="L10" s="182" t="n">
        <v>12</v>
      </c>
      <c r="M10" s="182" t="n">
        <v>0</v>
      </c>
      <c r="N10" s="182" t="n">
        <v>0</v>
      </c>
      <c r="O10" s="183" t="n">
        <v>0</v>
      </c>
      <c r="P10" s="183" t="n">
        <v>0</v>
      </c>
      <c r="Q10" s="184" t="n">
        <v>0</v>
      </c>
      <c r="R10" s="184" t="n">
        <v>0</v>
      </c>
      <c r="S10" s="183" t="n">
        <v>0</v>
      </c>
      <c r="T10" s="183" t="n">
        <v>0</v>
      </c>
      <c r="U10" s="182" t="n">
        <v>0</v>
      </c>
      <c r="V10" s="182" t="n">
        <v>0</v>
      </c>
      <c r="W10" s="182" t="n">
        <v>0</v>
      </c>
      <c r="X10" s="182" t="n">
        <v>0</v>
      </c>
      <c r="Y10" s="182" t="n">
        <v>0</v>
      </c>
      <c r="Z10" s="182" t="n">
        <v>0</v>
      </c>
      <c r="AA10" s="182" t="n">
        <v>0</v>
      </c>
      <c r="AB10" s="182" t="n">
        <v>0</v>
      </c>
      <c r="AC10" s="182" t="n">
        <v>0</v>
      </c>
      <c r="AD10" s="182" t="n">
        <v>0</v>
      </c>
      <c r="AE10" s="182" t="n">
        <v>0</v>
      </c>
      <c r="AF10" s="182" t="n">
        <v>0</v>
      </c>
      <c r="AG10" s="182" t="n">
        <v>0</v>
      </c>
      <c r="AH10" s="182" t="n">
        <v>0</v>
      </c>
      <c r="AI10" s="182" t="n">
        <v>0</v>
      </c>
      <c r="AJ10" s="182" t="n">
        <v>0</v>
      </c>
      <c r="AK10" s="182" t="n">
        <v>0</v>
      </c>
      <c r="AL10" s="182" t="n">
        <v>0</v>
      </c>
      <c r="AM10" s="182" t="n">
        <v>0.08</v>
      </c>
      <c r="AN10" s="182" t="n">
        <v>0</v>
      </c>
    </row>
    <row r="11">
      <c r="A11" s="155" t="n">
        <v>46082</v>
      </c>
      <c r="B11" s="156" t="inlineStr">
        <is>
          <t>DS</t>
        </is>
      </c>
      <c r="C11" s="156" t="inlineStr">
        <is>
          <t>CP-042</t>
        </is>
      </c>
      <c r="D11" s="156" t="inlineStr">
        <is>
          <t>SANY - Compactor</t>
        </is>
      </c>
      <c r="E11" s="156" t="inlineStr">
        <is>
          <t>Compactor</t>
        </is>
      </c>
      <c r="F11" s="156" t="inlineStr"/>
      <c r="G11" s="182" t="n">
        <v>0</v>
      </c>
      <c r="H11" s="182" t="n">
        <v>0</v>
      </c>
      <c r="I11" s="182" t="n">
        <v>0</v>
      </c>
      <c r="J11" s="182" t="n">
        <v>0</v>
      </c>
      <c r="K11" s="182" t="n">
        <v>12</v>
      </c>
      <c r="L11" s="182" t="n">
        <v>12</v>
      </c>
      <c r="M11" s="182" t="n">
        <v>0</v>
      </c>
      <c r="N11" s="182" t="n">
        <v>0</v>
      </c>
      <c r="O11" s="183" t="n">
        <v>0</v>
      </c>
      <c r="P11" s="183" t="n">
        <v>0</v>
      </c>
      <c r="Q11" s="184" t="n">
        <v>0</v>
      </c>
      <c r="R11" s="184" t="n">
        <v>0</v>
      </c>
      <c r="S11" s="183" t="n">
        <v>0</v>
      </c>
      <c r="T11" s="183" t="n">
        <v>0</v>
      </c>
      <c r="U11" s="182" t="n">
        <v>0</v>
      </c>
      <c r="V11" s="182" t="n">
        <v>0</v>
      </c>
      <c r="W11" s="182" t="n">
        <v>0</v>
      </c>
      <c r="X11" s="182" t="n">
        <v>1</v>
      </c>
      <c r="Y11" s="182" t="n">
        <v>0</v>
      </c>
      <c r="Z11" s="182" t="n">
        <v>0</v>
      </c>
      <c r="AA11" s="182" t="n">
        <v>0</v>
      </c>
      <c r="AB11" s="182" t="n">
        <v>0</v>
      </c>
      <c r="AC11" s="182" t="n">
        <v>0</v>
      </c>
      <c r="AD11" s="182" t="n">
        <v>0</v>
      </c>
      <c r="AE11" s="182" t="n">
        <v>0</v>
      </c>
      <c r="AF11" s="182" t="n">
        <v>0</v>
      </c>
      <c r="AG11" s="182" t="n">
        <v>0</v>
      </c>
      <c r="AH11" s="182" t="n">
        <v>0</v>
      </c>
      <c r="AI11" s="182" t="n">
        <v>0</v>
      </c>
      <c r="AJ11" s="182" t="n">
        <v>0</v>
      </c>
      <c r="AK11" s="182" t="n">
        <v>10.92</v>
      </c>
      <c r="AL11" s="182" t="n">
        <v>0</v>
      </c>
      <c r="AM11" s="182" t="n">
        <v>0.08</v>
      </c>
      <c r="AN11" s="182" t="n">
        <v>0</v>
      </c>
    </row>
    <row r="12">
      <c r="A12" s="155" t="n">
        <v>46082</v>
      </c>
      <c r="B12" s="156" t="inlineStr">
        <is>
          <t>DS</t>
        </is>
      </c>
      <c r="C12" s="156" t="inlineStr">
        <is>
          <t>CP-041</t>
        </is>
      </c>
      <c r="D12" s="156" t="inlineStr">
        <is>
          <t>SANY - Compactor</t>
        </is>
      </c>
      <c r="E12" s="156" t="inlineStr">
        <is>
          <t>Compactor</t>
        </is>
      </c>
      <c r="F12" s="156" t="inlineStr">
        <is>
          <t>General Road</t>
        </is>
      </c>
      <c r="G12" s="182" t="n">
        <v>1.51</v>
      </c>
      <c r="H12" s="182" t="n">
        <v>0</v>
      </c>
      <c r="I12" s="182" t="n">
        <v>0.25</v>
      </c>
      <c r="J12" s="182" t="n">
        <v>0.25</v>
      </c>
      <c r="K12" s="182" t="n">
        <v>10.24</v>
      </c>
      <c r="L12" s="182" t="n">
        <v>12</v>
      </c>
      <c r="M12" s="182" t="n">
        <v>0</v>
      </c>
      <c r="N12" s="182" t="n">
        <v>0</v>
      </c>
      <c r="O12" s="183" t="n">
        <v>0</v>
      </c>
      <c r="P12" s="183" t="n">
        <v>0</v>
      </c>
      <c r="Q12" s="184" t="n">
        <v>0</v>
      </c>
      <c r="R12" s="184" t="n">
        <v>0</v>
      </c>
      <c r="S12" s="183" t="n">
        <v>0</v>
      </c>
      <c r="T12" s="183" t="n">
        <v>0</v>
      </c>
      <c r="U12" s="182" t="n">
        <v>0</v>
      </c>
      <c r="V12" s="182" t="n">
        <v>0</v>
      </c>
      <c r="W12" s="182" t="n">
        <v>0</v>
      </c>
      <c r="X12" s="182" t="n">
        <v>0.99</v>
      </c>
      <c r="Y12" s="182" t="n">
        <v>0</v>
      </c>
      <c r="Z12" s="182" t="n">
        <v>0</v>
      </c>
      <c r="AA12" s="182" t="n">
        <v>0</v>
      </c>
      <c r="AB12" s="182" t="n">
        <v>0</v>
      </c>
      <c r="AC12" s="182" t="n">
        <v>0</v>
      </c>
      <c r="AD12" s="182" t="n">
        <v>0</v>
      </c>
      <c r="AE12" s="182" t="n">
        <v>0</v>
      </c>
      <c r="AF12" s="182" t="n">
        <v>0</v>
      </c>
      <c r="AG12" s="182" t="n">
        <v>0</v>
      </c>
      <c r="AH12" s="182" t="n">
        <v>0</v>
      </c>
      <c r="AI12" s="182" t="n">
        <v>0</v>
      </c>
      <c r="AJ12" s="182" t="n">
        <v>0</v>
      </c>
      <c r="AK12" s="182" t="n">
        <v>9.17</v>
      </c>
      <c r="AL12" s="182" t="n">
        <v>0</v>
      </c>
      <c r="AM12" s="182" t="n">
        <v>0.08</v>
      </c>
      <c r="AN12" s="182" t="n">
        <v>0</v>
      </c>
    </row>
    <row r="13">
      <c r="A13" s="155" t="n">
        <v>46082</v>
      </c>
      <c r="B13" s="156" t="inlineStr">
        <is>
          <t>DS</t>
        </is>
      </c>
      <c r="C13" s="156" t="inlineStr">
        <is>
          <t>HT-418</t>
        </is>
      </c>
      <c r="D13" s="156" t="inlineStr">
        <is>
          <t>SY430</t>
        </is>
      </c>
      <c r="E13" s="156" t="inlineStr">
        <is>
          <t>DT Hauling</t>
        </is>
      </c>
      <c r="F13" s="156" t="inlineStr"/>
      <c r="G13" s="182" t="n">
        <v>0</v>
      </c>
      <c r="H13" s="182" t="n">
        <v>0</v>
      </c>
      <c r="I13" s="182" t="n">
        <v>0</v>
      </c>
      <c r="J13" s="182" t="n">
        <v>0</v>
      </c>
      <c r="K13" s="182" t="n">
        <v>12</v>
      </c>
      <c r="L13" s="182" t="n">
        <v>12</v>
      </c>
      <c r="M13" s="182" t="n">
        <v>0</v>
      </c>
      <c r="N13" s="182" t="n">
        <v>0</v>
      </c>
      <c r="O13" s="183" t="n">
        <v>0</v>
      </c>
      <c r="P13" s="183" t="n">
        <v>0</v>
      </c>
      <c r="Q13" s="184" t="n">
        <v>0</v>
      </c>
      <c r="R13" s="184" t="n">
        <v>0</v>
      </c>
      <c r="S13" s="183" t="n">
        <v>0</v>
      </c>
      <c r="T13" s="183" t="n">
        <v>0</v>
      </c>
      <c r="U13" s="182" t="n">
        <v>0</v>
      </c>
      <c r="V13" s="182" t="n">
        <v>0</v>
      </c>
      <c r="W13" s="182" t="n">
        <v>0</v>
      </c>
      <c r="X13" s="182" t="n">
        <v>1</v>
      </c>
      <c r="Y13" s="182" t="n">
        <v>0</v>
      </c>
      <c r="Z13" s="182" t="n">
        <v>0</v>
      </c>
      <c r="AA13" s="182" t="n">
        <v>0</v>
      </c>
      <c r="AB13" s="182" t="n">
        <v>0</v>
      </c>
      <c r="AC13" s="182" t="n">
        <v>0</v>
      </c>
      <c r="AD13" s="182" t="n">
        <v>0</v>
      </c>
      <c r="AE13" s="182" t="n">
        <v>0</v>
      </c>
      <c r="AF13" s="182" t="n">
        <v>0</v>
      </c>
      <c r="AG13" s="182" t="n">
        <v>0</v>
      </c>
      <c r="AH13" s="182" t="n">
        <v>0</v>
      </c>
      <c r="AI13" s="182" t="n">
        <v>0</v>
      </c>
      <c r="AJ13" s="182" t="n">
        <v>0</v>
      </c>
      <c r="AK13" s="182" t="n">
        <v>10.92</v>
      </c>
      <c r="AL13" s="182" t="n">
        <v>0</v>
      </c>
      <c r="AM13" s="182" t="n">
        <v>0.08</v>
      </c>
      <c r="AN13" s="182" t="n">
        <v>0</v>
      </c>
    </row>
    <row r="14">
      <c r="A14" s="155" t="n">
        <v>46082</v>
      </c>
      <c r="B14" s="156" t="inlineStr">
        <is>
          <t>DS</t>
        </is>
      </c>
      <c r="C14" s="156" t="inlineStr">
        <is>
          <t>HT-404</t>
        </is>
      </c>
      <c r="D14" s="156" t="inlineStr">
        <is>
          <t>SY430</t>
        </is>
      </c>
      <c r="E14" s="156" t="inlineStr">
        <is>
          <t>DT Hauling</t>
        </is>
      </c>
      <c r="F14" s="156" t="inlineStr"/>
      <c r="G14" s="182" t="n">
        <v>0</v>
      </c>
      <c r="H14" s="182" t="n">
        <v>0</v>
      </c>
      <c r="I14" s="182" t="n">
        <v>0</v>
      </c>
      <c r="J14" s="182" t="n">
        <v>0</v>
      </c>
      <c r="K14" s="182" t="n">
        <v>12</v>
      </c>
      <c r="L14" s="182" t="n">
        <v>12</v>
      </c>
      <c r="M14" s="182" t="n">
        <v>0</v>
      </c>
      <c r="N14" s="182" t="n">
        <v>0</v>
      </c>
      <c r="O14" s="183" t="n">
        <v>0</v>
      </c>
      <c r="P14" s="183" t="n">
        <v>0</v>
      </c>
      <c r="Q14" s="184" t="n">
        <v>0</v>
      </c>
      <c r="R14" s="184" t="n">
        <v>0</v>
      </c>
      <c r="S14" s="183" t="n">
        <v>0</v>
      </c>
      <c r="T14" s="183" t="n">
        <v>0</v>
      </c>
      <c r="U14" s="182" t="n">
        <v>0</v>
      </c>
      <c r="V14" s="182" t="n">
        <v>0</v>
      </c>
      <c r="W14" s="182" t="n">
        <v>0</v>
      </c>
      <c r="X14" s="182" t="n">
        <v>1</v>
      </c>
      <c r="Y14" s="182" t="n">
        <v>0</v>
      </c>
      <c r="Z14" s="182" t="n">
        <v>0</v>
      </c>
      <c r="AA14" s="182" t="n">
        <v>0</v>
      </c>
      <c r="AB14" s="182" t="n">
        <v>0</v>
      </c>
      <c r="AC14" s="182" t="n">
        <v>0</v>
      </c>
      <c r="AD14" s="182" t="n">
        <v>0</v>
      </c>
      <c r="AE14" s="182" t="n">
        <v>0</v>
      </c>
      <c r="AF14" s="182" t="n">
        <v>0</v>
      </c>
      <c r="AG14" s="182" t="n">
        <v>0</v>
      </c>
      <c r="AH14" s="182" t="n">
        <v>0</v>
      </c>
      <c r="AI14" s="182" t="n">
        <v>0</v>
      </c>
      <c r="AJ14" s="182" t="n">
        <v>0</v>
      </c>
      <c r="AK14" s="182" t="n">
        <v>10.92</v>
      </c>
      <c r="AL14" s="182" t="n">
        <v>0</v>
      </c>
      <c r="AM14" s="182" t="n">
        <v>0.08</v>
      </c>
      <c r="AN14" s="182" t="n">
        <v>0</v>
      </c>
    </row>
    <row r="15">
      <c r="A15" s="155" t="n">
        <v>46082</v>
      </c>
      <c r="B15" s="156" t="inlineStr">
        <is>
          <t>DS</t>
        </is>
      </c>
      <c r="C15" s="156" t="inlineStr">
        <is>
          <t>HT-415</t>
        </is>
      </c>
      <c r="D15" s="156" t="inlineStr">
        <is>
          <t>SY430</t>
        </is>
      </c>
      <c r="E15" s="156" t="inlineStr">
        <is>
          <t>DT Hauling</t>
        </is>
      </c>
      <c r="F15" s="156" t="inlineStr"/>
      <c r="G15" s="182" t="n">
        <v>0</v>
      </c>
      <c r="H15" s="182" t="n">
        <v>0</v>
      </c>
      <c r="I15" s="182" t="n">
        <v>12</v>
      </c>
      <c r="J15" s="182" t="n">
        <v>12</v>
      </c>
      <c r="K15" s="182" t="n">
        <v>0</v>
      </c>
      <c r="L15" s="182" t="n">
        <v>12</v>
      </c>
      <c r="M15" s="182" t="n">
        <v>0</v>
      </c>
      <c r="N15" s="182" t="n">
        <v>0</v>
      </c>
      <c r="O15" s="183" t="n">
        <v>0</v>
      </c>
      <c r="P15" s="183" t="n">
        <v>0</v>
      </c>
      <c r="Q15" s="184" t="n">
        <v>0</v>
      </c>
      <c r="R15" s="184" t="n">
        <v>0</v>
      </c>
      <c r="S15" s="183" t="n">
        <v>0</v>
      </c>
      <c r="T15" s="183" t="n">
        <v>0</v>
      </c>
      <c r="U15" s="182" t="n">
        <v>0</v>
      </c>
      <c r="V15" s="182" t="n">
        <v>0</v>
      </c>
      <c r="W15" s="182" t="n">
        <v>0</v>
      </c>
      <c r="X15" s="182" t="n">
        <v>0</v>
      </c>
      <c r="Y15" s="182" t="n">
        <v>0</v>
      </c>
      <c r="Z15" s="182" t="n">
        <v>0</v>
      </c>
      <c r="AA15" s="182" t="n">
        <v>0</v>
      </c>
      <c r="AB15" s="182" t="n">
        <v>0</v>
      </c>
      <c r="AC15" s="182" t="n">
        <v>0</v>
      </c>
      <c r="AD15" s="182" t="n">
        <v>0</v>
      </c>
      <c r="AE15" s="182" t="n">
        <v>0</v>
      </c>
      <c r="AF15" s="182" t="n">
        <v>0</v>
      </c>
      <c r="AG15" s="182" t="n">
        <v>0</v>
      </c>
      <c r="AH15" s="182" t="n">
        <v>0</v>
      </c>
      <c r="AI15" s="182" t="n">
        <v>0</v>
      </c>
      <c r="AJ15" s="182" t="n">
        <v>0</v>
      </c>
      <c r="AK15" s="182" t="n">
        <v>0</v>
      </c>
      <c r="AL15" s="182" t="n">
        <v>0</v>
      </c>
      <c r="AM15" s="182" t="n">
        <v>0</v>
      </c>
      <c r="AN15" s="182" t="n">
        <v>0</v>
      </c>
    </row>
    <row r="16">
      <c r="A16" s="155" t="n">
        <v>46082</v>
      </c>
      <c r="B16" s="156" t="inlineStr">
        <is>
          <t>DS</t>
        </is>
      </c>
      <c r="C16" s="156" t="inlineStr">
        <is>
          <t>HT-406</t>
        </is>
      </c>
      <c r="D16" s="156" t="inlineStr">
        <is>
          <t>SY430</t>
        </is>
      </c>
      <c r="E16" s="156" t="inlineStr">
        <is>
          <t>DT Hauling</t>
        </is>
      </c>
      <c r="F16" s="156" t="inlineStr"/>
      <c r="G16" s="182" t="n">
        <v>0</v>
      </c>
      <c r="H16" s="182" t="n">
        <v>0</v>
      </c>
      <c r="I16" s="182" t="n">
        <v>0</v>
      </c>
      <c r="J16" s="182" t="n">
        <v>0</v>
      </c>
      <c r="K16" s="182" t="n">
        <v>12</v>
      </c>
      <c r="L16" s="182" t="n">
        <v>12</v>
      </c>
      <c r="M16" s="182" t="n">
        <v>0</v>
      </c>
      <c r="N16" s="182" t="n">
        <v>0</v>
      </c>
      <c r="O16" s="183" t="n">
        <v>0</v>
      </c>
      <c r="P16" s="183" t="n">
        <v>0</v>
      </c>
      <c r="Q16" s="184" t="n">
        <v>0</v>
      </c>
      <c r="R16" s="184" t="n">
        <v>0</v>
      </c>
      <c r="S16" s="183" t="n">
        <v>0</v>
      </c>
      <c r="T16" s="183" t="n">
        <v>0</v>
      </c>
      <c r="U16" s="182" t="n">
        <v>0</v>
      </c>
      <c r="V16" s="182" t="n">
        <v>0</v>
      </c>
      <c r="W16" s="182" t="n">
        <v>0</v>
      </c>
      <c r="X16" s="182" t="n">
        <v>1</v>
      </c>
      <c r="Y16" s="182" t="n">
        <v>0</v>
      </c>
      <c r="Z16" s="182" t="n">
        <v>0</v>
      </c>
      <c r="AA16" s="182" t="n">
        <v>0</v>
      </c>
      <c r="AB16" s="182" t="n">
        <v>0</v>
      </c>
      <c r="AC16" s="182" t="n">
        <v>0</v>
      </c>
      <c r="AD16" s="182" t="n">
        <v>0</v>
      </c>
      <c r="AE16" s="182" t="n">
        <v>0</v>
      </c>
      <c r="AF16" s="182" t="n">
        <v>0</v>
      </c>
      <c r="AG16" s="182" t="n">
        <v>0</v>
      </c>
      <c r="AH16" s="182" t="n">
        <v>0</v>
      </c>
      <c r="AI16" s="182" t="n">
        <v>0</v>
      </c>
      <c r="AJ16" s="182" t="n">
        <v>0</v>
      </c>
      <c r="AK16" s="182" t="n">
        <v>10.92</v>
      </c>
      <c r="AL16" s="182" t="n">
        <v>0</v>
      </c>
      <c r="AM16" s="182" t="n">
        <v>0.08</v>
      </c>
      <c r="AN16" s="182" t="n">
        <v>0</v>
      </c>
    </row>
    <row r="17">
      <c r="A17" s="155" t="n">
        <v>46082</v>
      </c>
      <c r="B17" s="156" t="inlineStr">
        <is>
          <t>DS</t>
        </is>
      </c>
      <c r="C17" s="156" t="inlineStr">
        <is>
          <t>HT-405</t>
        </is>
      </c>
      <c r="D17" s="156" t="inlineStr">
        <is>
          <t>SY430</t>
        </is>
      </c>
      <c r="E17" s="156" t="inlineStr">
        <is>
          <t>DT Hauling</t>
        </is>
      </c>
      <c r="F17" s="156" t="inlineStr"/>
      <c r="G17" s="182" t="n">
        <v>0</v>
      </c>
      <c r="H17" s="182" t="n">
        <v>0</v>
      </c>
      <c r="I17" s="182" t="n">
        <v>0</v>
      </c>
      <c r="J17" s="182" t="n">
        <v>0</v>
      </c>
      <c r="K17" s="182" t="n">
        <v>12</v>
      </c>
      <c r="L17" s="182" t="n">
        <v>12</v>
      </c>
      <c r="M17" s="182" t="n">
        <v>0</v>
      </c>
      <c r="N17" s="182" t="n">
        <v>0</v>
      </c>
      <c r="O17" s="183" t="n">
        <v>0</v>
      </c>
      <c r="P17" s="183" t="n">
        <v>0</v>
      </c>
      <c r="Q17" s="184" t="n">
        <v>0</v>
      </c>
      <c r="R17" s="184" t="n">
        <v>0</v>
      </c>
      <c r="S17" s="183" t="n">
        <v>0</v>
      </c>
      <c r="T17" s="183" t="n">
        <v>0</v>
      </c>
      <c r="U17" s="182" t="n">
        <v>0</v>
      </c>
      <c r="V17" s="182" t="n">
        <v>0</v>
      </c>
      <c r="W17" s="182" t="n">
        <v>0</v>
      </c>
      <c r="X17" s="182" t="n">
        <v>1</v>
      </c>
      <c r="Y17" s="182" t="n">
        <v>0</v>
      </c>
      <c r="Z17" s="182" t="n">
        <v>0</v>
      </c>
      <c r="AA17" s="182" t="n">
        <v>0</v>
      </c>
      <c r="AB17" s="182" t="n">
        <v>0</v>
      </c>
      <c r="AC17" s="182" t="n">
        <v>0</v>
      </c>
      <c r="AD17" s="182" t="n">
        <v>0</v>
      </c>
      <c r="AE17" s="182" t="n">
        <v>0</v>
      </c>
      <c r="AF17" s="182" t="n">
        <v>0</v>
      </c>
      <c r="AG17" s="182" t="n">
        <v>0</v>
      </c>
      <c r="AH17" s="182" t="n">
        <v>0</v>
      </c>
      <c r="AI17" s="182" t="n">
        <v>0</v>
      </c>
      <c r="AJ17" s="182" t="n">
        <v>0</v>
      </c>
      <c r="AK17" s="182" t="n">
        <v>10.92</v>
      </c>
      <c r="AL17" s="182" t="n">
        <v>0</v>
      </c>
      <c r="AM17" s="182" t="n">
        <v>0.08</v>
      </c>
      <c r="AN17" s="182" t="n">
        <v>0</v>
      </c>
    </row>
    <row r="18">
      <c r="A18" s="155" t="n">
        <v>46082</v>
      </c>
      <c r="B18" s="156" t="inlineStr">
        <is>
          <t>DS</t>
        </is>
      </c>
      <c r="C18" s="156" t="inlineStr">
        <is>
          <t>HT-417</t>
        </is>
      </c>
      <c r="D18" s="156" t="inlineStr">
        <is>
          <t>SY430</t>
        </is>
      </c>
      <c r="E18" s="156" t="inlineStr">
        <is>
          <t>DT Hauling</t>
        </is>
      </c>
      <c r="F18" s="156" t="inlineStr"/>
      <c r="G18" s="182" t="n">
        <v>0</v>
      </c>
      <c r="H18" s="182" t="n">
        <v>0</v>
      </c>
      <c r="I18" s="182" t="n">
        <v>0</v>
      </c>
      <c r="J18" s="182" t="n">
        <v>0</v>
      </c>
      <c r="K18" s="182" t="n">
        <v>12</v>
      </c>
      <c r="L18" s="182" t="n">
        <v>12</v>
      </c>
      <c r="M18" s="182" t="n">
        <v>0</v>
      </c>
      <c r="N18" s="182" t="n">
        <v>0</v>
      </c>
      <c r="O18" s="183" t="n">
        <v>0</v>
      </c>
      <c r="P18" s="183" t="n">
        <v>0</v>
      </c>
      <c r="Q18" s="184" t="n">
        <v>0</v>
      </c>
      <c r="R18" s="184" t="n">
        <v>0</v>
      </c>
      <c r="S18" s="183" t="n">
        <v>0</v>
      </c>
      <c r="T18" s="183" t="n">
        <v>0</v>
      </c>
      <c r="U18" s="182" t="n">
        <v>0</v>
      </c>
      <c r="V18" s="182" t="n">
        <v>0</v>
      </c>
      <c r="W18" s="182" t="n">
        <v>0</v>
      </c>
      <c r="X18" s="182" t="n">
        <v>1</v>
      </c>
      <c r="Y18" s="182" t="n">
        <v>0</v>
      </c>
      <c r="Z18" s="182" t="n">
        <v>0</v>
      </c>
      <c r="AA18" s="182" t="n">
        <v>0</v>
      </c>
      <c r="AB18" s="182" t="n">
        <v>0</v>
      </c>
      <c r="AC18" s="182" t="n">
        <v>0</v>
      </c>
      <c r="AD18" s="182" t="n">
        <v>0</v>
      </c>
      <c r="AE18" s="182" t="n">
        <v>0</v>
      </c>
      <c r="AF18" s="182" t="n">
        <v>0</v>
      </c>
      <c r="AG18" s="182" t="n">
        <v>0</v>
      </c>
      <c r="AH18" s="182" t="n">
        <v>0</v>
      </c>
      <c r="AI18" s="182" t="n">
        <v>0</v>
      </c>
      <c r="AJ18" s="182" t="n">
        <v>0</v>
      </c>
      <c r="AK18" s="182" t="n">
        <v>10.92</v>
      </c>
      <c r="AL18" s="182" t="n">
        <v>0</v>
      </c>
      <c r="AM18" s="182" t="n">
        <v>0.08</v>
      </c>
      <c r="AN18" s="182" t="n">
        <v>0</v>
      </c>
    </row>
    <row r="19">
      <c r="A19" s="155" t="n">
        <v>46082</v>
      </c>
      <c r="B19" s="156" t="inlineStr">
        <is>
          <t>DS</t>
        </is>
      </c>
      <c r="C19" s="156" t="inlineStr">
        <is>
          <t>HT-401</t>
        </is>
      </c>
      <c r="D19" s="156" t="inlineStr">
        <is>
          <t>SY430</t>
        </is>
      </c>
      <c r="E19" s="156" t="inlineStr">
        <is>
          <t>DT Hauling</t>
        </is>
      </c>
      <c r="F19" s="156" t="inlineStr"/>
      <c r="G19" s="182" t="n">
        <v>0</v>
      </c>
      <c r="H19" s="182" t="n">
        <v>0</v>
      </c>
      <c r="I19" s="182" t="n">
        <v>0</v>
      </c>
      <c r="J19" s="182" t="n">
        <v>0</v>
      </c>
      <c r="K19" s="182" t="n">
        <v>12</v>
      </c>
      <c r="L19" s="182" t="n">
        <v>12</v>
      </c>
      <c r="M19" s="182" t="n">
        <v>0</v>
      </c>
      <c r="N19" s="182" t="n">
        <v>0</v>
      </c>
      <c r="O19" s="183" t="n">
        <v>0</v>
      </c>
      <c r="P19" s="183" t="n">
        <v>0</v>
      </c>
      <c r="Q19" s="184" t="n">
        <v>0</v>
      </c>
      <c r="R19" s="184" t="n">
        <v>0</v>
      </c>
      <c r="S19" s="183" t="n">
        <v>0</v>
      </c>
      <c r="T19" s="183" t="n">
        <v>0</v>
      </c>
      <c r="U19" s="182" t="n">
        <v>0</v>
      </c>
      <c r="V19" s="182" t="n">
        <v>0</v>
      </c>
      <c r="W19" s="182" t="n">
        <v>0</v>
      </c>
      <c r="X19" s="182" t="n">
        <v>1</v>
      </c>
      <c r="Y19" s="182" t="n">
        <v>0</v>
      </c>
      <c r="Z19" s="182" t="n">
        <v>0</v>
      </c>
      <c r="AA19" s="182" t="n">
        <v>0</v>
      </c>
      <c r="AB19" s="182" t="n">
        <v>0</v>
      </c>
      <c r="AC19" s="182" t="n">
        <v>0</v>
      </c>
      <c r="AD19" s="182" t="n">
        <v>0</v>
      </c>
      <c r="AE19" s="182" t="n">
        <v>0</v>
      </c>
      <c r="AF19" s="182" t="n">
        <v>0</v>
      </c>
      <c r="AG19" s="182" t="n">
        <v>0</v>
      </c>
      <c r="AH19" s="182" t="n">
        <v>0</v>
      </c>
      <c r="AI19" s="182" t="n">
        <v>0</v>
      </c>
      <c r="AJ19" s="182" t="n">
        <v>0</v>
      </c>
      <c r="AK19" s="182" t="n">
        <v>10.92</v>
      </c>
      <c r="AL19" s="182" t="n">
        <v>0</v>
      </c>
      <c r="AM19" s="182" t="n">
        <v>0.08</v>
      </c>
      <c r="AN19" s="182" t="n">
        <v>0</v>
      </c>
    </row>
    <row r="20">
      <c r="A20" s="155" t="n">
        <v>46082</v>
      </c>
      <c r="B20" s="156" t="inlineStr">
        <is>
          <t>DS</t>
        </is>
      </c>
      <c r="C20" s="156" t="inlineStr">
        <is>
          <t>HT-410</t>
        </is>
      </c>
      <c r="D20" s="156" t="inlineStr">
        <is>
          <t>SY430</t>
        </is>
      </c>
      <c r="E20" s="156" t="inlineStr">
        <is>
          <t>DT Hauling</t>
        </is>
      </c>
      <c r="F20" s="156" t="inlineStr"/>
      <c r="G20" s="182" t="n">
        <v>0</v>
      </c>
      <c r="H20" s="182" t="n">
        <v>0</v>
      </c>
      <c r="I20" s="182" t="n">
        <v>0</v>
      </c>
      <c r="J20" s="182" t="n">
        <v>0</v>
      </c>
      <c r="K20" s="182" t="n">
        <v>12</v>
      </c>
      <c r="L20" s="182" t="n">
        <v>12</v>
      </c>
      <c r="M20" s="182" t="n">
        <v>0</v>
      </c>
      <c r="N20" s="182" t="n">
        <v>0</v>
      </c>
      <c r="O20" s="183" t="n">
        <v>0</v>
      </c>
      <c r="P20" s="183" t="n">
        <v>0</v>
      </c>
      <c r="Q20" s="184" t="n">
        <v>0</v>
      </c>
      <c r="R20" s="184" t="n">
        <v>0</v>
      </c>
      <c r="S20" s="183" t="n">
        <v>0</v>
      </c>
      <c r="T20" s="183" t="n">
        <v>0</v>
      </c>
      <c r="U20" s="182" t="n">
        <v>0</v>
      </c>
      <c r="V20" s="182" t="n">
        <v>0</v>
      </c>
      <c r="W20" s="182" t="n">
        <v>0</v>
      </c>
      <c r="X20" s="182" t="n">
        <v>1</v>
      </c>
      <c r="Y20" s="182" t="n">
        <v>0</v>
      </c>
      <c r="Z20" s="182" t="n">
        <v>0</v>
      </c>
      <c r="AA20" s="182" t="n">
        <v>0</v>
      </c>
      <c r="AB20" s="182" t="n">
        <v>0</v>
      </c>
      <c r="AC20" s="182" t="n">
        <v>0</v>
      </c>
      <c r="AD20" s="182" t="n">
        <v>0</v>
      </c>
      <c r="AE20" s="182" t="n">
        <v>0</v>
      </c>
      <c r="AF20" s="182" t="n">
        <v>0</v>
      </c>
      <c r="AG20" s="182" t="n">
        <v>0</v>
      </c>
      <c r="AH20" s="182" t="n">
        <v>0</v>
      </c>
      <c r="AI20" s="182" t="n">
        <v>0</v>
      </c>
      <c r="AJ20" s="182" t="n">
        <v>0</v>
      </c>
      <c r="AK20" s="182" t="n">
        <v>10.92</v>
      </c>
      <c r="AL20" s="182" t="n">
        <v>0</v>
      </c>
      <c r="AM20" s="182" t="n">
        <v>0.08</v>
      </c>
      <c r="AN20" s="182" t="n">
        <v>0</v>
      </c>
    </row>
    <row r="21">
      <c r="A21" s="155" t="n">
        <v>46082</v>
      </c>
      <c r="B21" s="156" t="inlineStr">
        <is>
          <t>DS</t>
        </is>
      </c>
      <c r="C21" s="156" t="inlineStr">
        <is>
          <t>HT-402</t>
        </is>
      </c>
      <c r="D21" s="156" t="inlineStr">
        <is>
          <t>SY430</t>
        </is>
      </c>
      <c r="E21" s="156" t="inlineStr">
        <is>
          <t>DT Hauling</t>
        </is>
      </c>
      <c r="F21" s="156" t="inlineStr"/>
      <c r="G21" s="182" t="n">
        <v>0</v>
      </c>
      <c r="H21" s="182" t="n">
        <v>0</v>
      </c>
      <c r="I21" s="182" t="n">
        <v>0</v>
      </c>
      <c r="J21" s="182" t="n">
        <v>0</v>
      </c>
      <c r="K21" s="182" t="n">
        <v>12</v>
      </c>
      <c r="L21" s="182" t="n">
        <v>12</v>
      </c>
      <c r="M21" s="182" t="n">
        <v>0</v>
      </c>
      <c r="N21" s="182" t="n">
        <v>0</v>
      </c>
      <c r="O21" s="183" t="n">
        <v>0</v>
      </c>
      <c r="P21" s="183" t="n">
        <v>0</v>
      </c>
      <c r="Q21" s="184" t="n">
        <v>0</v>
      </c>
      <c r="R21" s="184" t="n">
        <v>0</v>
      </c>
      <c r="S21" s="183" t="n">
        <v>0</v>
      </c>
      <c r="T21" s="183" t="n">
        <v>0</v>
      </c>
      <c r="U21" s="182" t="n">
        <v>0</v>
      </c>
      <c r="V21" s="182" t="n">
        <v>0</v>
      </c>
      <c r="W21" s="182" t="n">
        <v>0</v>
      </c>
      <c r="X21" s="182" t="n">
        <v>1</v>
      </c>
      <c r="Y21" s="182" t="n">
        <v>0</v>
      </c>
      <c r="Z21" s="182" t="n">
        <v>0</v>
      </c>
      <c r="AA21" s="182" t="n">
        <v>0</v>
      </c>
      <c r="AB21" s="182" t="n">
        <v>0</v>
      </c>
      <c r="AC21" s="182" t="n">
        <v>0</v>
      </c>
      <c r="AD21" s="182" t="n">
        <v>0</v>
      </c>
      <c r="AE21" s="182" t="n">
        <v>0</v>
      </c>
      <c r="AF21" s="182" t="n">
        <v>0</v>
      </c>
      <c r="AG21" s="182" t="n">
        <v>0</v>
      </c>
      <c r="AH21" s="182" t="n">
        <v>0</v>
      </c>
      <c r="AI21" s="182" t="n">
        <v>0</v>
      </c>
      <c r="AJ21" s="182" t="n">
        <v>0</v>
      </c>
      <c r="AK21" s="182" t="n">
        <v>10.92</v>
      </c>
      <c r="AL21" s="182" t="n">
        <v>0</v>
      </c>
      <c r="AM21" s="182" t="n">
        <v>0.08</v>
      </c>
      <c r="AN21" s="182" t="n">
        <v>0</v>
      </c>
    </row>
    <row r="22">
      <c r="A22" s="155" t="n">
        <v>46082</v>
      </c>
      <c r="B22" s="156" t="inlineStr">
        <is>
          <t>DS</t>
        </is>
      </c>
      <c r="C22" s="156" t="inlineStr">
        <is>
          <t>HT-419</t>
        </is>
      </c>
      <c r="D22" s="156" t="inlineStr">
        <is>
          <t>SY430</t>
        </is>
      </c>
      <c r="E22" s="156" t="inlineStr">
        <is>
          <t>DT Hauling</t>
        </is>
      </c>
      <c r="F22" s="156" t="inlineStr"/>
      <c r="G22" s="182" t="n">
        <v>0</v>
      </c>
      <c r="H22" s="182" t="n">
        <v>0</v>
      </c>
      <c r="I22" s="182" t="n">
        <v>12</v>
      </c>
      <c r="J22" s="182" t="n">
        <v>12</v>
      </c>
      <c r="K22" s="182" t="n">
        <v>0</v>
      </c>
      <c r="L22" s="182" t="n">
        <v>12</v>
      </c>
      <c r="M22" s="182" t="n">
        <v>0</v>
      </c>
      <c r="N22" s="182" t="n">
        <v>0</v>
      </c>
      <c r="O22" s="183" t="n">
        <v>0</v>
      </c>
      <c r="P22" s="183" t="n">
        <v>0</v>
      </c>
      <c r="Q22" s="184" t="n">
        <v>0</v>
      </c>
      <c r="R22" s="184" t="n">
        <v>0</v>
      </c>
      <c r="S22" s="183" t="n">
        <v>0</v>
      </c>
      <c r="T22" s="183" t="n">
        <v>0</v>
      </c>
      <c r="U22" s="182" t="n">
        <v>0</v>
      </c>
      <c r="V22" s="182" t="n">
        <v>0</v>
      </c>
      <c r="W22" s="182" t="n">
        <v>0</v>
      </c>
      <c r="X22" s="182" t="n">
        <v>0</v>
      </c>
      <c r="Y22" s="182" t="n">
        <v>0</v>
      </c>
      <c r="Z22" s="182" t="n">
        <v>0</v>
      </c>
      <c r="AA22" s="182" t="n">
        <v>0</v>
      </c>
      <c r="AB22" s="182" t="n">
        <v>0</v>
      </c>
      <c r="AC22" s="182" t="n">
        <v>0</v>
      </c>
      <c r="AD22" s="182" t="n">
        <v>0</v>
      </c>
      <c r="AE22" s="182" t="n">
        <v>0</v>
      </c>
      <c r="AF22" s="182" t="n">
        <v>0</v>
      </c>
      <c r="AG22" s="182" t="n">
        <v>0</v>
      </c>
      <c r="AH22" s="182" t="n">
        <v>0</v>
      </c>
      <c r="AI22" s="182" t="n">
        <v>0</v>
      </c>
      <c r="AJ22" s="182" t="n">
        <v>0</v>
      </c>
      <c r="AK22" s="182" t="n">
        <v>0</v>
      </c>
      <c r="AL22" s="182" t="n">
        <v>0</v>
      </c>
      <c r="AM22" s="182" t="n">
        <v>0</v>
      </c>
      <c r="AN22" s="182" t="n">
        <v>0</v>
      </c>
    </row>
    <row r="23">
      <c r="A23" s="155" t="n">
        <v>46082</v>
      </c>
      <c r="B23" s="156" t="inlineStr">
        <is>
          <t>DS</t>
        </is>
      </c>
      <c r="C23" s="156" t="inlineStr">
        <is>
          <t>HT-416</t>
        </is>
      </c>
      <c r="D23" s="156" t="inlineStr">
        <is>
          <t>SY430</t>
        </is>
      </c>
      <c r="E23" s="156" t="inlineStr">
        <is>
          <t>DT Hauling</t>
        </is>
      </c>
      <c r="F23" s="156" t="inlineStr"/>
      <c r="G23" s="182" t="n">
        <v>0</v>
      </c>
      <c r="H23" s="182" t="n">
        <v>0</v>
      </c>
      <c r="I23" s="182" t="n">
        <v>0</v>
      </c>
      <c r="J23" s="182" t="n">
        <v>0</v>
      </c>
      <c r="K23" s="182" t="n">
        <v>12</v>
      </c>
      <c r="L23" s="182" t="n">
        <v>12</v>
      </c>
      <c r="M23" s="182" t="n">
        <v>0</v>
      </c>
      <c r="N23" s="182" t="n">
        <v>0</v>
      </c>
      <c r="O23" s="183" t="n">
        <v>0</v>
      </c>
      <c r="P23" s="183" t="n">
        <v>0</v>
      </c>
      <c r="Q23" s="184" t="n">
        <v>0</v>
      </c>
      <c r="R23" s="184" t="n">
        <v>0</v>
      </c>
      <c r="S23" s="183" t="n">
        <v>0</v>
      </c>
      <c r="T23" s="183" t="n">
        <v>0</v>
      </c>
      <c r="U23" s="182" t="n">
        <v>0</v>
      </c>
      <c r="V23" s="182" t="n">
        <v>0</v>
      </c>
      <c r="W23" s="182" t="n">
        <v>0</v>
      </c>
      <c r="X23" s="182" t="n">
        <v>1</v>
      </c>
      <c r="Y23" s="182" t="n">
        <v>0</v>
      </c>
      <c r="Z23" s="182" t="n">
        <v>0</v>
      </c>
      <c r="AA23" s="182" t="n">
        <v>0</v>
      </c>
      <c r="AB23" s="182" t="n">
        <v>0</v>
      </c>
      <c r="AC23" s="182" t="n">
        <v>0</v>
      </c>
      <c r="AD23" s="182" t="n">
        <v>0</v>
      </c>
      <c r="AE23" s="182" t="n">
        <v>0</v>
      </c>
      <c r="AF23" s="182" t="n">
        <v>0</v>
      </c>
      <c r="AG23" s="182" t="n">
        <v>0</v>
      </c>
      <c r="AH23" s="182" t="n">
        <v>0</v>
      </c>
      <c r="AI23" s="182" t="n">
        <v>0</v>
      </c>
      <c r="AJ23" s="182" t="n">
        <v>0</v>
      </c>
      <c r="AK23" s="182" t="n">
        <v>10.92</v>
      </c>
      <c r="AL23" s="182" t="n">
        <v>0</v>
      </c>
      <c r="AM23" s="182" t="n">
        <v>0.08</v>
      </c>
      <c r="AN23" s="182" t="n">
        <v>0</v>
      </c>
    </row>
    <row r="24">
      <c r="A24" s="155" t="n">
        <v>46082</v>
      </c>
      <c r="B24" s="156" t="inlineStr">
        <is>
          <t>DS</t>
        </is>
      </c>
      <c r="C24" s="156" t="inlineStr">
        <is>
          <t>HT-420</t>
        </is>
      </c>
      <c r="D24" s="156" t="inlineStr">
        <is>
          <t>SY430</t>
        </is>
      </c>
      <c r="E24" s="156" t="inlineStr">
        <is>
          <t>DT Hauling</t>
        </is>
      </c>
      <c r="F24" s="156" t="inlineStr"/>
      <c r="G24" s="182" t="n">
        <v>0</v>
      </c>
      <c r="H24" s="182" t="n">
        <v>0</v>
      </c>
      <c r="I24" s="182" t="n">
        <v>0</v>
      </c>
      <c r="J24" s="182" t="n">
        <v>0</v>
      </c>
      <c r="K24" s="182" t="n">
        <v>12</v>
      </c>
      <c r="L24" s="182" t="n">
        <v>12</v>
      </c>
      <c r="M24" s="182" t="n">
        <v>0</v>
      </c>
      <c r="N24" s="182" t="n">
        <v>0</v>
      </c>
      <c r="O24" s="183" t="n">
        <v>0</v>
      </c>
      <c r="P24" s="183" t="n">
        <v>0</v>
      </c>
      <c r="Q24" s="184" t="n">
        <v>0</v>
      </c>
      <c r="R24" s="184" t="n">
        <v>0</v>
      </c>
      <c r="S24" s="183" t="n">
        <v>0</v>
      </c>
      <c r="T24" s="183" t="n">
        <v>0</v>
      </c>
      <c r="U24" s="182" t="n">
        <v>0</v>
      </c>
      <c r="V24" s="182" t="n">
        <v>0</v>
      </c>
      <c r="W24" s="182" t="n">
        <v>0</v>
      </c>
      <c r="X24" s="182" t="n">
        <v>1</v>
      </c>
      <c r="Y24" s="182" t="n">
        <v>0</v>
      </c>
      <c r="Z24" s="182" t="n">
        <v>0</v>
      </c>
      <c r="AA24" s="182" t="n">
        <v>0</v>
      </c>
      <c r="AB24" s="182" t="n">
        <v>0</v>
      </c>
      <c r="AC24" s="182" t="n">
        <v>0</v>
      </c>
      <c r="AD24" s="182" t="n">
        <v>0</v>
      </c>
      <c r="AE24" s="182" t="n">
        <v>0</v>
      </c>
      <c r="AF24" s="182" t="n">
        <v>0</v>
      </c>
      <c r="AG24" s="182" t="n">
        <v>0</v>
      </c>
      <c r="AH24" s="182" t="n">
        <v>0</v>
      </c>
      <c r="AI24" s="182" t="n">
        <v>0</v>
      </c>
      <c r="AJ24" s="182" t="n">
        <v>0</v>
      </c>
      <c r="AK24" s="182" t="n">
        <v>10.92</v>
      </c>
      <c r="AL24" s="182" t="n">
        <v>0</v>
      </c>
      <c r="AM24" s="182" t="n">
        <v>0.08</v>
      </c>
      <c r="AN24" s="182" t="n">
        <v>0</v>
      </c>
    </row>
    <row r="25">
      <c r="A25" s="155" t="n">
        <v>46082</v>
      </c>
      <c r="B25" s="156" t="inlineStr">
        <is>
          <t>DS</t>
        </is>
      </c>
      <c r="C25" s="156" t="inlineStr">
        <is>
          <t>HT-403</t>
        </is>
      </c>
      <c r="D25" s="156" t="inlineStr">
        <is>
          <t>SY430</t>
        </is>
      </c>
      <c r="E25" s="156" t="inlineStr">
        <is>
          <t>DT Hauling</t>
        </is>
      </c>
      <c r="F25" s="156" t="inlineStr"/>
      <c r="G25" s="182" t="n">
        <v>0</v>
      </c>
      <c r="H25" s="182" t="n">
        <v>0</v>
      </c>
      <c r="I25" s="182" t="n">
        <v>9.4</v>
      </c>
      <c r="J25" s="182" t="n">
        <v>9.4</v>
      </c>
      <c r="K25" s="182" t="n">
        <v>2.6</v>
      </c>
      <c r="L25" s="182" t="n">
        <v>12</v>
      </c>
      <c r="M25" s="182" t="n">
        <v>0</v>
      </c>
      <c r="N25" s="182" t="n">
        <v>0</v>
      </c>
      <c r="O25" s="183" t="n">
        <v>0</v>
      </c>
      <c r="P25" s="183" t="n">
        <v>0</v>
      </c>
      <c r="Q25" s="184" t="n">
        <v>0</v>
      </c>
      <c r="R25" s="184" t="n">
        <v>0</v>
      </c>
      <c r="S25" s="183" t="n">
        <v>0</v>
      </c>
      <c r="T25" s="183" t="n">
        <v>0</v>
      </c>
      <c r="U25" s="182" t="n">
        <v>0</v>
      </c>
      <c r="V25" s="182" t="n">
        <v>0</v>
      </c>
      <c r="W25" s="182" t="n">
        <v>0</v>
      </c>
      <c r="X25" s="182" t="n">
        <v>1</v>
      </c>
      <c r="Y25" s="182" t="n">
        <v>0</v>
      </c>
      <c r="Z25" s="182" t="n">
        <v>0</v>
      </c>
      <c r="AA25" s="182" t="n">
        <v>0</v>
      </c>
      <c r="AB25" s="182" t="n">
        <v>0</v>
      </c>
      <c r="AC25" s="182" t="n">
        <v>0</v>
      </c>
      <c r="AD25" s="182" t="n">
        <v>0</v>
      </c>
      <c r="AE25" s="182" t="n">
        <v>0</v>
      </c>
      <c r="AF25" s="182" t="n">
        <v>0</v>
      </c>
      <c r="AG25" s="182" t="n">
        <v>0</v>
      </c>
      <c r="AH25" s="182" t="n">
        <v>0</v>
      </c>
      <c r="AI25" s="182" t="n">
        <v>0</v>
      </c>
      <c r="AJ25" s="182" t="n">
        <v>0</v>
      </c>
      <c r="AK25" s="182" t="n">
        <v>1.52</v>
      </c>
      <c r="AL25" s="182" t="n">
        <v>0</v>
      </c>
      <c r="AM25" s="182" t="n">
        <v>0.08</v>
      </c>
      <c r="AN25" s="182" t="n">
        <v>0</v>
      </c>
    </row>
    <row r="26">
      <c r="A26" s="155" t="n">
        <v>46082</v>
      </c>
      <c r="B26" s="156" t="inlineStr">
        <is>
          <t>DS</t>
        </is>
      </c>
      <c r="C26" s="156" t="inlineStr">
        <is>
          <t>HT-408</t>
        </is>
      </c>
      <c r="D26" s="156" t="inlineStr">
        <is>
          <t>SY430</t>
        </is>
      </c>
      <c r="E26" s="156" t="inlineStr">
        <is>
          <t>DT Hauling</t>
        </is>
      </c>
      <c r="F26" s="156" t="inlineStr"/>
      <c r="G26" s="182" t="n">
        <v>0</v>
      </c>
      <c r="H26" s="182" t="n">
        <v>0</v>
      </c>
      <c r="I26" s="182" t="n">
        <v>0.28</v>
      </c>
      <c r="J26" s="182" t="n">
        <v>0.28</v>
      </c>
      <c r="K26" s="182" t="n">
        <v>11.72</v>
      </c>
      <c r="L26" s="182" t="n">
        <v>12</v>
      </c>
      <c r="M26" s="182" t="n">
        <v>0</v>
      </c>
      <c r="N26" s="182" t="n">
        <v>0</v>
      </c>
      <c r="O26" s="183" t="n">
        <v>0</v>
      </c>
      <c r="P26" s="183" t="n">
        <v>0</v>
      </c>
      <c r="Q26" s="184" t="n">
        <v>0</v>
      </c>
      <c r="R26" s="184" t="n">
        <v>0</v>
      </c>
      <c r="S26" s="183" t="n">
        <v>0</v>
      </c>
      <c r="T26" s="183" t="n">
        <v>0</v>
      </c>
      <c r="U26" s="182" t="n">
        <v>0</v>
      </c>
      <c r="V26" s="182" t="n">
        <v>0</v>
      </c>
      <c r="W26" s="182" t="n">
        <v>0</v>
      </c>
      <c r="X26" s="182" t="n">
        <v>1</v>
      </c>
      <c r="Y26" s="182" t="n">
        <v>0</v>
      </c>
      <c r="Z26" s="182" t="n">
        <v>0</v>
      </c>
      <c r="AA26" s="182" t="n">
        <v>0</v>
      </c>
      <c r="AB26" s="182" t="n">
        <v>0</v>
      </c>
      <c r="AC26" s="182" t="n">
        <v>0</v>
      </c>
      <c r="AD26" s="182" t="n">
        <v>0</v>
      </c>
      <c r="AE26" s="182" t="n">
        <v>0</v>
      </c>
      <c r="AF26" s="182" t="n">
        <v>0</v>
      </c>
      <c r="AG26" s="182" t="n">
        <v>0</v>
      </c>
      <c r="AH26" s="182" t="n">
        <v>0</v>
      </c>
      <c r="AI26" s="182" t="n">
        <v>0</v>
      </c>
      <c r="AJ26" s="182" t="n">
        <v>0</v>
      </c>
      <c r="AK26" s="182" t="n">
        <v>10.63</v>
      </c>
      <c r="AL26" s="182" t="n">
        <v>0</v>
      </c>
      <c r="AM26" s="182" t="n">
        <v>0.08</v>
      </c>
      <c r="AN26" s="182" t="n">
        <v>0</v>
      </c>
    </row>
    <row r="27">
      <c r="A27" s="155" t="n">
        <v>46082</v>
      </c>
      <c r="B27" s="156" t="inlineStr">
        <is>
          <t>DS</t>
        </is>
      </c>
      <c r="C27" s="156" t="inlineStr">
        <is>
          <t>HT-412</t>
        </is>
      </c>
      <c r="D27" s="156" t="inlineStr">
        <is>
          <t>SY430</t>
        </is>
      </c>
      <c r="E27" s="156" t="inlineStr">
        <is>
          <t>DT Hauling</t>
        </is>
      </c>
      <c r="F27" s="156" t="inlineStr"/>
      <c r="G27" s="182" t="n">
        <v>0</v>
      </c>
      <c r="H27" s="182" t="n">
        <v>0</v>
      </c>
      <c r="I27" s="182" t="n">
        <v>0</v>
      </c>
      <c r="J27" s="182" t="n">
        <v>0</v>
      </c>
      <c r="K27" s="182" t="n">
        <v>12</v>
      </c>
      <c r="L27" s="182" t="n">
        <v>12</v>
      </c>
      <c r="M27" s="182" t="n">
        <v>0</v>
      </c>
      <c r="N27" s="182" t="n">
        <v>0</v>
      </c>
      <c r="O27" s="183" t="n">
        <v>0</v>
      </c>
      <c r="P27" s="183" t="n">
        <v>0</v>
      </c>
      <c r="Q27" s="184" t="n">
        <v>0</v>
      </c>
      <c r="R27" s="184" t="n">
        <v>0</v>
      </c>
      <c r="S27" s="183" t="n">
        <v>0</v>
      </c>
      <c r="T27" s="183" t="n">
        <v>0</v>
      </c>
      <c r="U27" s="182" t="n">
        <v>0</v>
      </c>
      <c r="V27" s="182" t="n">
        <v>0</v>
      </c>
      <c r="W27" s="182" t="n">
        <v>0</v>
      </c>
      <c r="X27" s="182" t="n">
        <v>1</v>
      </c>
      <c r="Y27" s="182" t="n">
        <v>0</v>
      </c>
      <c r="Z27" s="182" t="n">
        <v>0</v>
      </c>
      <c r="AA27" s="182" t="n">
        <v>0</v>
      </c>
      <c r="AB27" s="182" t="n">
        <v>0</v>
      </c>
      <c r="AC27" s="182" t="n">
        <v>0</v>
      </c>
      <c r="AD27" s="182" t="n">
        <v>0</v>
      </c>
      <c r="AE27" s="182" t="n">
        <v>0</v>
      </c>
      <c r="AF27" s="182" t="n">
        <v>0</v>
      </c>
      <c r="AG27" s="182" t="n">
        <v>0</v>
      </c>
      <c r="AH27" s="182" t="n">
        <v>0</v>
      </c>
      <c r="AI27" s="182" t="n">
        <v>0</v>
      </c>
      <c r="AJ27" s="182" t="n">
        <v>0</v>
      </c>
      <c r="AK27" s="182" t="n">
        <v>10.92</v>
      </c>
      <c r="AL27" s="182" t="n">
        <v>0</v>
      </c>
      <c r="AM27" s="182" t="n">
        <v>0.08</v>
      </c>
      <c r="AN27" s="182" t="n">
        <v>0</v>
      </c>
    </row>
    <row r="28">
      <c r="A28" s="155" t="n">
        <v>46082</v>
      </c>
      <c r="B28" s="156" t="inlineStr">
        <is>
          <t>DS</t>
        </is>
      </c>
      <c r="C28" s="156" t="inlineStr">
        <is>
          <t>HT-413</t>
        </is>
      </c>
      <c r="D28" s="156" t="inlineStr">
        <is>
          <t>SY430</t>
        </is>
      </c>
      <c r="E28" s="156" t="inlineStr">
        <is>
          <t>DT Hauling</t>
        </is>
      </c>
      <c r="F28" s="156" t="inlineStr"/>
      <c r="G28" s="182" t="n">
        <v>0</v>
      </c>
      <c r="H28" s="182" t="n">
        <v>0</v>
      </c>
      <c r="I28" s="182" t="n">
        <v>12</v>
      </c>
      <c r="J28" s="182" t="n">
        <v>12</v>
      </c>
      <c r="K28" s="182" t="n">
        <v>0</v>
      </c>
      <c r="L28" s="182" t="n">
        <v>12</v>
      </c>
      <c r="M28" s="182" t="n">
        <v>0</v>
      </c>
      <c r="N28" s="182" t="n">
        <v>0</v>
      </c>
      <c r="O28" s="183" t="n">
        <v>0</v>
      </c>
      <c r="P28" s="183" t="n">
        <v>0</v>
      </c>
      <c r="Q28" s="184" t="n">
        <v>0</v>
      </c>
      <c r="R28" s="184" t="n">
        <v>0</v>
      </c>
      <c r="S28" s="183" t="n">
        <v>0</v>
      </c>
      <c r="T28" s="183" t="n">
        <v>0</v>
      </c>
      <c r="U28" s="182" t="n">
        <v>0</v>
      </c>
      <c r="V28" s="182" t="n">
        <v>0</v>
      </c>
      <c r="W28" s="182" t="n">
        <v>0</v>
      </c>
      <c r="X28" s="182" t="n">
        <v>0</v>
      </c>
      <c r="Y28" s="182" t="n">
        <v>0</v>
      </c>
      <c r="Z28" s="182" t="n">
        <v>0</v>
      </c>
      <c r="AA28" s="182" t="n">
        <v>0</v>
      </c>
      <c r="AB28" s="182" t="n">
        <v>0</v>
      </c>
      <c r="AC28" s="182" t="n">
        <v>0</v>
      </c>
      <c r="AD28" s="182" t="n">
        <v>0</v>
      </c>
      <c r="AE28" s="182" t="n">
        <v>0</v>
      </c>
      <c r="AF28" s="182" t="n">
        <v>0</v>
      </c>
      <c r="AG28" s="182" t="n">
        <v>0</v>
      </c>
      <c r="AH28" s="182" t="n">
        <v>0</v>
      </c>
      <c r="AI28" s="182" t="n">
        <v>0</v>
      </c>
      <c r="AJ28" s="182" t="n">
        <v>0</v>
      </c>
      <c r="AK28" s="182" t="n">
        <v>0</v>
      </c>
      <c r="AL28" s="182" t="n">
        <v>0</v>
      </c>
      <c r="AM28" s="182" t="n">
        <v>0</v>
      </c>
      <c r="AN28" s="182" t="n">
        <v>0</v>
      </c>
    </row>
    <row r="29">
      <c r="A29" s="155" t="n">
        <v>46082</v>
      </c>
      <c r="B29" s="156" t="inlineStr">
        <is>
          <t>DS</t>
        </is>
      </c>
      <c r="C29" s="156" t="inlineStr">
        <is>
          <t>HT-407</t>
        </is>
      </c>
      <c r="D29" s="156" t="inlineStr">
        <is>
          <t>SY430</t>
        </is>
      </c>
      <c r="E29" s="156" t="inlineStr">
        <is>
          <t>DT Hauling</t>
        </is>
      </c>
      <c r="F29" s="156" t="inlineStr"/>
      <c r="G29" s="182" t="n">
        <v>0</v>
      </c>
      <c r="H29" s="182" t="n">
        <v>0</v>
      </c>
      <c r="I29" s="182" t="n">
        <v>0</v>
      </c>
      <c r="J29" s="182" t="n">
        <v>0</v>
      </c>
      <c r="K29" s="182" t="n">
        <v>12</v>
      </c>
      <c r="L29" s="182" t="n">
        <v>12</v>
      </c>
      <c r="M29" s="182" t="n">
        <v>0</v>
      </c>
      <c r="N29" s="182" t="n">
        <v>0</v>
      </c>
      <c r="O29" s="183" t="n">
        <v>0</v>
      </c>
      <c r="P29" s="183" t="n">
        <v>0</v>
      </c>
      <c r="Q29" s="184" t="n">
        <v>0</v>
      </c>
      <c r="R29" s="184" t="n">
        <v>0</v>
      </c>
      <c r="S29" s="183" t="n">
        <v>0</v>
      </c>
      <c r="T29" s="183" t="n">
        <v>0</v>
      </c>
      <c r="U29" s="182" t="n">
        <v>0</v>
      </c>
      <c r="V29" s="182" t="n">
        <v>0</v>
      </c>
      <c r="W29" s="182" t="n">
        <v>0</v>
      </c>
      <c r="X29" s="182" t="n">
        <v>1</v>
      </c>
      <c r="Y29" s="182" t="n">
        <v>0</v>
      </c>
      <c r="Z29" s="182" t="n">
        <v>0</v>
      </c>
      <c r="AA29" s="182" t="n">
        <v>0</v>
      </c>
      <c r="AB29" s="182" t="n">
        <v>0</v>
      </c>
      <c r="AC29" s="182" t="n">
        <v>0</v>
      </c>
      <c r="AD29" s="182" t="n">
        <v>0</v>
      </c>
      <c r="AE29" s="182" t="n">
        <v>0</v>
      </c>
      <c r="AF29" s="182" t="n">
        <v>0</v>
      </c>
      <c r="AG29" s="182" t="n">
        <v>0</v>
      </c>
      <c r="AH29" s="182" t="n">
        <v>0</v>
      </c>
      <c r="AI29" s="182" t="n">
        <v>0</v>
      </c>
      <c r="AJ29" s="182" t="n">
        <v>0</v>
      </c>
      <c r="AK29" s="182" t="n">
        <v>10.92</v>
      </c>
      <c r="AL29" s="182" t="n">
        <v>0</v>
      </c>
      <c r="AM29" s="182" t="n">
        <v>0.08</v>
      </c>
      <c r="AN29" s="182" t="n">
        <v>0</v>
      </c>
    </row>
    <row r="30">
      <c r="A30" s="155" t="n">
        <v>46082</v>
      </c>
      <c r="B30" s="156" t="inlineStr">
        <is>
          <t>DS</t>
        </is>
      </c>
      <c r="C30" s="156" t="inlineStr">
        <is>
          <t>HT-414</t>
        </is>
      </c>
      <c r="D30" s="156" t="inlineStr">
        <is>
          <t>SY430</t>
        </is>
      </c>
      <c r="E30" s="156" t="inlineStr">
        <is>
          <t>DT Hauling</t>
        </is>
      </c>
      <c r="F30" s="156" t="inlineStr"/>
      <c r="G30" s="182" t="n">
        <v>0</v>
      </c>
      <c r="H30" s="182" t="n">
        <v>0</v>
      </c>
      <c r="I30" s="182" t="n">
        <v>12</v>
      </c>
      <c r="J30" s="182" t="n">
        <v>12</v>
      </c>
      <c r="K30" s="182" t="n">
        <v>0</v>
      </c>
      <c r="L30" s="182" t="n">
        <v>12</v>
      </c>
      <c r="M30" s="182" t="n">
        <v>0</v>
      </c>
      <c r="N30" s="182" t="n">
        <v>0</v>
      </c>
      <c r="O30" s="183" t="n">
        <v>0</v>
      </c>
      <c r="P30" s="183" t="n">
        <v>0</v>
      </c>
      <c r="Q30" s="184" t="n">
        <v>0</v>
      </c>
      <c r="R30" s="184" t="n">
        <v>0</v>
      </c>
      <c r="S30" s="183" t="n">
        <v>0</v>
      </c>
      <c r="T30" s="183" t="n">
        <v>0</v>
      </c>
      <c r="U30" s="182" t="n">
        <v>0</v>
      </c>
      <c r="V30" s="182" t="n">
        <v>0</v>
      </c>
      <c r="W30" s="182" t="n">
        <v>0</v>
      </c>
      <c r="X30" s="182" t="n">
        <v>0</v>
      </c>
      <c r="Y30" s="182" t="n">
        <v>0</v>
      </c>
      <c r="Z30" s="182" t="n">
        <v>0</v>
      </c>
      <c r="AA30" s="182" t="n">
        <v>0</v>
      </c>
      <c r="AB30" s="182" t="n">
        <v>0</v>
      </c>
      <c r="AC30" s="182" t="n">
        <v>0</v>
      </c>
      <c r="AD30" s="182" t="n">
        <v>0</v>
      </c>
      <c r="AE30" s="182" t="n">
        <v>0</v>
      </c>
      <c r="AF30" s="182" t="n">
        <v>0</v>
      </c>
      <c r="AG30" s="182" t="n">
        <v>0</v>
      </c>
      <c r="AH30" s="182" t="n">
        <v>0</v>
      </c>
      <c r="AI30" s="182" t="n">
        <v>0</v>
      </c>
      <c r="AJ30" s="182" t="n">
        <v>0</v>
      </c>
      <c r="AK30" s="182" t="n">
        <v>0</v>
      </c>
      <c r="AL30" s="182" t="n">
        <v>0</v>
      </c>
      <c r="AM30" s="182" t="n">
        <v>0</v>
      </c>
      <c r="AN30" s="182" t="n">
        <v>0</v>
      </c>
    </row>
    <row r="31">
      <c r="A31" s="155" t="n">
        <v>46082</v>
      </c>
      <c r="B31" s="156" t="inlineStr">
        <is>
          <t>DS</t>
        </is>
      </c>
      <c r="C31" s="156" t="inlineStr">
        <is>
          <t>HT-411</t>
        </is>
      </c>
      <c r="D31" s="156" t="inlineStr">
        <is>
          <t>SY430</t>
        </is>
      </c>
      <c r="E31" s="156" t="inlineStr">
        <is>
          <t>DT Hauling</t>
        </is>
      </c>
      <c r="F31" s="156" t="inlineStr"/>
      <c r="G31" s="182" t="n">
        <v>0</v>
      </c>
      <c r="H31" s="182" t="n">
        <v>0</v>
      </c>
      <c r="I31" s="182" t="n">
        <v>0</v>
      </c>
      <c r="J31" s="182" t="n">
        <v>0</v>
      </c>
      <c r="K31" s="182" t="n">
        <v>12</v>
      </c>
      <c r="L31" s="182" t="n">
        <v>12</v>
      </c>
      <c r="M31" s="182" t="n">
        <v>0</v>
      </c>
      <c r="N31" s="182" t="n">
        <v>0</v>
      </c>
      <c r="O31" s="183" t="n">
        <v>0</v>
      </c>
      <c r="P31" s="183" t="n">
        <v>0</v>
      </c>
      <c r="Q31" s="184" t="n">
        <v>0</v>
      </c>
      <c r="R31" s="184" t="n">
        <v>0</v>
      </c>
      <c r="S31" s="183" t="n">
        <v>0</v>
      </c>
      <c r="T31" s="183" t="n">
        <v>0</v>
      </c>
      <c r="U31" s="182" t="n">
        <v>0</v>
      </c>
      <c r="V31" s="182" t="n">
        <v>0</v>
      </c>
      <c r="W31" s="182" t="n">
        <v>0</v>
      </c>
      <c r="X31" s="182" t="n">
        <v>1</v>
      </c>
      <c r="Y31" s="182" t="n">
        <v>0</v>
      </c>
      <c r="Z31" s="182" t="n">
        <v>0</v>
      </c>
      <c r="AA31" s="182" t="n">
        <v>0</v>
      </c>
      <c r="AB31" s="182" t="n">
        <v>0</v>
      </c>
      <c r="AC31" s="182" t="n">
        <v>0</v>
      </c>
      <c r="AD31" s="182" t="n">
        <v>0</v>
      </c>
      <c r="AE31" s="182" t="n">
        <v>0</v>
      </c>
      <c r="AF31" s="182" t="n">
        <v>0</v>
      </c>
      <c r="AG31" s="182" t="n">
        <v>0</v>
      </c>
      <c r="AH31" s="182" t="n">
        <v>0</v>
      </c>
      <c r="AI31" s="182" t="n">
        <v>0</v>
      </c>
      <c r="AJ31" s="182" t="n">
        <v>0</v>
      </c>
      <c r="AK31" s="182" t="n">
        <v>10.92</v>
      </c>
      <c r="AL31" s="182" t="n">
        <v>0</v>
      </c>
      <c r="AM31" s="182" t="n">
        <v>0.08</v>
      </c>
      <c r="AN31" s="182" t="n">
        <v>0</v>
      </c>
    </row>
    <row r="32">
      <c r="A32" s="155" t="n">
        <v>46082</v>
      </c>
      <c r="B32" s="156" t="inlineStr">
        <is>
          <t>DS</t>
        </is>
      </c>
      <c r="C32" s="156" t="inlineStr">
        <is>
          <t>HT-409</t>
        </is>
      </c>
      <c r="D32" s="156" t="inlineStr">
        <is>
          <t>SY430</t>
        </is>
      </c>
      <c r="E32" s="156" t="inlineStr">
        <is>
          <t>DT Hauling</t>
        </is>
      </c>
      <c r="F32" s="156" t="inlineStr"/>
      <c r="G32" s="182" t="n">
        <v>0</v>
      </c>
      <c r="H32" s="182" t="n">
        <v>0</v>
      </c>
      <c r="I32" s="182" t="n">
        <v>0</v>
      </c>
      <c r="J32" s="182" t="n">
        <v>0</v>
      </c>
      <c r="K32" s="182" t="n">
        <v>12</v>
      </c>
      <c r="L32" s="182" t="n">
        <v>12</v>
      </c>
      <c r="M32" s="182" t="n">
        <v>0</v>
      </c>
      <c r="N32" s="182" t="n">
        <v>0</v>
      </c>
      <c r="O32" s="183" t="n">
        <v>0</v>
      </c>
      <c r="P32" s="183" t="n">
        <v>0</v>
      </c>
      <c r="Q32" s="184" t="n">
        <v>0</v>
      </c>
      <c r="R32" s="184" t="n">
        <v>0</v>
      </c>
      <c r="S32" s="183" t="n">
        <v>0</v>
      </c>
      <c r="T32" s="183" t="n">
        <v>0</v>
      </c>
      <c r="U32" s="182" t="n">
        <v>0</v>
      </c>
      <c r="V32" s="182" t="n">
        <v>0</v>
      </c>
      <c r="W32" s="182" t="n">
        <v>0</v>
      </c>
      <c r="X32" s="182" t="n">
        <v>1</v>
      </c>
      <c r="Y32" s="182" t="n">
        <v>0</v>
      </c>
      <c r="Z32" s="182" t="n">
        <v>0</v>
      </c>
      <c r="AA32" s="182" t="n">
        <v>0</v>
      </c>
      <c r="AB32" s="182" t="n">
        <v>0</v>
      </c>
      <c r="AC32" s="182" t="n">
        <v>0</v>
      </c>
      <c r="AD32" s="182" t="n">
        <v>0</v>
      </c>
      <c r="AE32" s="182" t="n">
        <v>0</v>
      </c>
      <c r="AF32" s="182" t="n">
        <v>0</v>
      </c>
      <c r="AG32" s="182" t="n">
        <v>0</v>
      </c>
      <c r="AH32" s="182" t="n">
        <v>0</v>
      </c>
      <c r="AI32" s="182" t="n">
        <v>0</v>
      </c>
      <c r="AJ32" s="182" t="n">
        <v>0</v>
      </c>
      <c r="AK32" s="182" t="n">
        <v>10.92</v>
      </c>
      <c r="AL32" s="182" t="n">
        <v>0</v>
      </c>
      <c r="AM32" s="182" t="n">
        <v>0.08</v>
      </c>
      <c r="AN32" s="182" t="n">
        <v>0</v>
      </c>
    </row>
    <row r="33">
      <c r="A33" s="155" t="n">
        <v>46082</v>
      </c>
      <c r="B33" s="156" t="inlineStr">
        <is>
          <t>DS</t>
        </is>
      </c>
      <c r="C33" s="156" t="inlineStr">
        <is>
          <t>DH-103</t>
        </is>
      </c>
      <c r="D33" s="156" t="inlineStr">
        <is>
          <t>HINO FM260</t>
        </is>
      </c>
      <c r="E33" s="156" t="inlineStr">
        <is>
          <t>DT Hino</t>
        </is>
      </c>
      <c r="F33" s="156" t="inlineStr"/>
      <c r="G33" s="182" t="n">
        <v>0</v>
      </c>
      <c r="H33" s="182" t="n">
        <v>0</v>
      </c>
      <c r="I33" s="182" t="n">
        <v>0</v>
      </c>
      <c r="J33" s="182" t="n">
        <v>0</v>
      </c>
      <c r="K33" s="182" t="n">
        <v>12</v>
      </c>
      <c r="L33" s="182" t="n">
        <v>12</v>
      </c>
      <c r="M33" s="182" t="n">
        <v>0</v>
      </c>
      <c r="N33" s="182" t="n">
        <v>0</v>
      </c>
      <c r="O33" s="183" t="n">
        <v>0</v>
      </c>
      <c r="P33" s="183" t="n">
        <v>0</v>
      </c>
      <c r="Q33" s="184" t="n">
        <v>0</v>
      </c>
      <c r="R33" s="184" t="n">
        <v>0</v>
      </c>
      <c r="S33" s="183" t="n">
        <v>0</v>
      </c>
      <c r="T33" s="183" t="n">
        <v>0</v>
      </c>
      <c r="U33" s="182" t="n">
        <v>0</v>
      </c>
      <c r="V33" s="182" t="n">
        <v>0</v>
      </c>
      <c r="W33" s="182" t="n">
        <v>0</v>
      </c>
      <c r="X33" s="182" t="n">
        <v>1</v>
      </c>
      <c r="Y33" s="182" t="n">
        <v>0</v>
      </c>
      <c r="Z33" s="182" t="n">
        <v>0</v>
      </c>
      <c r="AA33" s="182" t="n">
        <v>0</v>
      </c>
      <c r="AB33" s="182" t="n">
        <v>0</v>
      </c>
      <c r="AC33" s="182" t="n">
        <v>0</v>
      </c>
      <c r="AD33" s="182" t="n">
        <v>0</v>
      </c>
      <c r="AE33" s="182" t="n">
        <v>0</v>
      </c>
      <c r="AF33" s="182" t="n">
        <v>0</v>
      </c>
      <c r="AG33" s="182" t="n">
        <v>0</v>
      </c>
      <c r="AH33" s="182" t="n">
        <v>0</v>
      </c>
      <c r="AI33" s="182" t="n">
        <v>0</v>
      </c>
      <c r="AJ33" s="182" t="n">
        <v>0</v>
      </c>
      <c r="AK33" s="182" t="n">
        <v>10.92</v>
      </c>
      <c r="AL33" s="182" t="n">
        <v>0</v>
      </c>
      <c r="AM33" s="182" t="n">
        <v>0.08</v>
      </c>
      <c r="AN33" s="182" t="n">
        <v>0</v>
      </c>
    </row>
    <row r="34">
      <c r="A34" s="155" t="n">
        <v>46082</v>
      </c>
      <c r="B34" s="156" t="inlineStr">
        <is>
          <t>DS</t>
        </is>
      </c>
      <c r="C34" s="156" t="inlineStr">
        <is>
          <t>DH-102</t>
        </is>
      </c>
      <c r="D34" s="156" t="inlineStr">
        <is>
          <t>HINO FM260</t>
        </is>
      </c>
      <c r="E34" s="156" t="inlineStr">
        <is>
          <t>DT Hino</t>
        </is>
      </c>
      <c r="F34" s="156" t="inlineStr"/>
      <c r="G34" s="182" t="n">
        <v>0</v>
      </c>
      <c r="H34" s="182" t="n">
        <v>0</v>
      </c>
      <c r="I34" s="182" t="n">
        <v>0</v>
      </c>
      <c r="J34" s="182" t="n">
        <v>0</v>
      </c>
      <c r="K34" s="182" t="n">
        <v>12</v>
      </c>
      <c r="L34" s="182" t="n">
        <v>12</v>
      </c>
      <c r="M34" s="182" t="n">
        <v>0</v>
      </c>
      <c r="N34" s="182" t="n">
        <v>0</v>
      </c>
      <c r="O34" s="183" t="n">
        <v>0</v>
      </c>
      <c r="P34" s="183" t="n">
        <v>0</v>
      </c>
      <c r="Q34" s="184" t="n">
        <v>0</v>
      </c>
      <c r="R34" s="184" t="n">
        <v>0</v>
      </c>
      <c r="S34" s="183" t="n">
        <v>0</v>
      </c>
      <c r="T34" s="183" t="n">
        <v>0</v>
      </c>
      <c r="U34" s="182" t="n">
        <v>0</v>
      </c>
      <c r="V34" s="182" t="n">
        <v>0</v>
      </c>
      <c r="W34" s="182" t="n">
        <v>0</v>
      </c>
      <c r="X34" s="182" t="n">
        <v>1</v>
      </c>
      <c r="Y34" s="182" t="n">
        <v>0</v>
      </c>
      <c r="Z34" s="182" t="n">
        <v>0</v>
      </c>
      <c r="AA34" s="182" t="n">
        <v>0</v>
      </c>
      <c r="AB34" s="182" t="n">
        <v>0</v>
      </c>
      <c r="AC34" s="182" t="n">
        <v>0</v>
      </c>
      <c r="AD34" s="182" t="n">
        <v>0</v>
      </c>
      <c r="AE34" s="182" t="n">
        <v>0</v>
      </c>
      <c r="AF34" s="182" t="n">
        <v>0</v>
      </c>
      <c r="AG34" s="182" t="n">
        <v>0</v>
      </c>
      <c r="AH34" s="182" t="n">
        <v>0</v>
      </c>
      <c r="AI34" s="182" t="n">
        <v>0</v>
      </c>
      <c r="AJ34" s="182" t="n">
        <v>0</v>
      </c>
      <c r="AK34" s="182" t="n">
        <v>10.92</v>
      </c>
      <c r="AL34" s="182" t="n">
        <v>0</v>
      </c>
      <c r="AM34" s="182" t="n">
        <v>0.08</v>
      </c>
      <c r="AN34" s="182" t="n">
        <v>0</v>
      </c>
    </row>
    <row r="35">
      <c r="A35" s="155" t="n">
        <v>46082</v>
      </c>
      <c r="B35" s="156" t="inlineStr">
        <is>
          <t>DS</t>
        </is>
      </c>
      <c r="C35" s="156" t="inlineStr">
        <is>
          <t>DH-101</t>
        </is>
      </c>
      <c r="D35" s="156" t="inlineStr">
        <is>
          <t>HINO FM260</t>
        </is>
      </c>
      <c r="E35" s="156" t="inlineStr">
        <is>
          <t>DT Hino</t>
        </is>
      </c>
      <c r="F35" s="156" t="inlineStr"/>
      <c r="G35" s="182" t="n">
        <v>0</v>
      </c>
      <c r="H35" s="182" t="n">
        <v>0</v>
      </c>
      <c r="I35" s="182" t="n">
        <v>0</v>
      </c>
      <c r="J35" s="182" t="n">
        <v>0</v>
      </c>
      <c r="K35" s="182" t="n">
        <v>12</v>
      </c>
      <c r="L35" s="182" t="n">
        <v>12</v>
      </c>
      <c r="M35" s="182" t="n">
        <v>0</v>
      </c>
      <c r="N35" s="182" t="n">
        <v>0</v>
      </c>
      <c r="O35" s="183" t="n">
        <v>0</v>
      </c>
      <c r="P35" s="183" t="n">
        <v>0</v>
      </c>
      <c r="Q35" s="184" t="n">
        <v>0</v>
      </c>
      <c r="R35" s="184" t="n">
        <v>0</v>
      </c>
      <c r="S35" s="183" t="n">
        <v>0</v>
      </c>
      <c r="T35" s="183" t="n">
        <v>0</v>
      </c>
      <c r="U35" s="182" t="n">
        <v>0</v>
      </c>
      <c r="V35" s="182" t="n">
        <v>0</v>
      </c>
      <c r="W35" s="182" t="n">
        <v>0</v>
      </c>
      <c r="X35" s="182" t="n">
        <v>1</v>
      </c>
      <c r="Y35" s="182" t="n">
        <v>0</v>
      </c>
      <c r="Z35" s="182" t="n">
        <v>0</v>
      </c>
      <c r="AA35" s="182" t="n">
        <v>0</v>
      </c>
      <c r="AB35" s="182" t="n">
        <v>0</v>
      </c>
      <c r="AC35" s="182" t="n">
        <v>0</v>
      </c>
      <c r="AD35" s="182" t="n">
        <v>0</v>
      </c>
      <c r="AE35" s="182" t="n">
        <v>0</v>
      </c>
      <c r="AF35" s="182" t="n">
        <v>0</v>
      </c>
      <c r="AG35" s="182" t="n">
        <v>0</v>
      </c>
      <c r="AH35" s="182" t="n">
        <v>0</v>
      </c>
      <c r="AI35" s="182" t="n">
        <v>0</v>
      </c>
      <c r="AJ35" s="182" t="n">
        <v>0</v>
      </c>
      <c r="AK35" s="182" t="n">
        <v>10.92</v>
      </c>
      <c r="AL35" s="182" t="n">
        <v>0</v>
      </c>
      <c r="AM35" s="182" t="n">
        <v>0.08</v>
      </c>
      <c r="AN35" s="182" t="n">
        <v>0</v>
      </c>
    </row>
    <row r="36">
      <c r="A36" s="155" t="n">
        <v>46082</v>
      </c>
      <c r="B36" s="156" t="inlineStr">
        <is>
          <t>DS</t>
        </is>
      </c>
      <c r="C36" s="156" t="inlineStr">
        <is>
          <t>EX-1251</t>
        </is>
      </c>
      <c r="D36" s="156" t="inlineStr">
        <is>
          <t>SY1250</t>
        </is>
      </c>
      <c r="E36" s="156" t="inlineStr">
        <is>
          <t>Excavator</t>
        </is>
      </c>
      <c r="F36" s="156" t="inlineStr">
        <is>
          <t>Loading OB</t>
        </is>
      </c>
      <c r="G36" s="182" t="n">
        <v>2.6</v>
      </c>
      <c r="H36" s="182" t="n">
        <v>0</v>
      </c>
      <c r="I36" s="182" t="n">
        <v>9.199999999999999</v>
      </c>
      <c r="J36" s="182" t="n">
        <v>9.199999999999999</v>
      </c>
      <c r="K36" s="182" t="n">
        <v>0.2</v>
      </c>
      <c r="L36" s="182" t="n">
        <v>12</v>
      </c>
      <c r="M36" s="182" t="n">
        <v>1.98</v>
      </c>
      <c r="N36" s="182" t="n">
        <v>0</v>
      </c>
      <c r="O36" s="183" t="n">
        <v>41</v>
      </c>
      <c r="P36" s="183" t="n">
        <v>0</v>
      </c>
      <c r="Q36" s="184" t="n">
        <v>836.4</v>
      </c>
      <c r="R36" s="184" t="n">
        <v>0</v>
      </c>
      <c r="S36" s="183" t="n">
        <v>0</v>
      </c>
      <c r="T36" s="183" t="n">
        <v>0</v>
      </c>
      <c r="U36" s="182" t="n">
        <v>0</v>
      </c>
      <c r="V36" s="182" t="n">
        <v>0</v>
      </c>
      <c r="W36" s="182" t="n">
        <v>0</v>
      </c>
      <c r="X36" s="182" t="n">
        <v>0</v>
      </c>
      <c r="Y36" s="182" t="n">
        <v>0</v>
      </c>
      <c r="Z36" s="182" t="n">
        <v>0</v>
      </c>
      <c r="AA36" s="182" t="n">
        <v>0</v>
      </c>
      <c r="AB36" s="182" t="n">
        <v>0</v>
      </c>
      <c r="AC36" s="182" t="n">
        <v>0</v>
      </c>
      <c r="AD36" s="182" t="n">
        <v>0</v>
      </c>
      <c r="AE36" s="182" t="n">
        <v>0</v>
      </c>
      <c r="AF36" s="182" t="n">
        <v>0</v>
      </c>
      <c r="AG36" s="182" t="n">
        <v>0</v>
      </c>
      <c r="AH36" s="182" t="n">
        <v>0</v>
      </c>
      <c r="AI36" s="182" t="n">
        <v>0</v>
      </c>
      <c r="AJ36" s="182" t="n">
        <v>0</v>
      </c>
      <c r="AK36" s="182" t="n">
        <v>0</v>
      </c>
      <c r="AL36" s="182" t="n">
        <v>0</v>
      </c>
      <c r="AM36" s="182" t="n">
        <v>0</v>
      </c>
      <c r="AN36" s="182" t="n">
        <v>0</v>
      </c>
    </row>
    <row r="37">
      <c r="A37" s="155" t="n">
        <v>46082</v>
      </c>
      <c r="B37" s="156" t="inlineStr">
        <is>
          <t>DS</t>
        </is>
      </c>
      <c r="C37" s="156" t="inlineStr">
        <is>
          <t>EX-1252</t>
        </is>
      </c>
      <c r="D37" s="156" t="inlineStr">
        <is>
          <t>SY1250</t>
        </is>
      </c>
      <c r="E37" s="156" t="inlineStr">
        <is>
          <t>Excavator</t>
        </is>
      </c>
      <c r="F37" s="156" t="inlineStr"/>
      <c r="G37" s="182" t="n">
        <v>0</v>
      </c>
      <c r="H37" s="182" t="n">
        <v>0</v>
      </c>
      <c r="I37" s="182" t="n">
        <v>12</v>
      </c>
      <c r="J37" s="182" t="n">
        <v>12</v>
      </c>
      <c r="K37" s="182" t="n">
        <v>0</v>
      </c>
      <c r="L37" s="182" t="n">
        <v>12</v>
      </c>
      <c r="M37" s="182" t="n">
        <v>0</v>
      </c>
      <c r="N37" s="182" t="n">
        <v>0</v>
      </c>
      <c r="O37" s="183" t="n">
        <v>0</v>
      </c>
      <c r="P37" s="183" t="n">
        <v>0</v>
      </c>
      <c r="Q37" s="184" t="n">
        <v>0</v>
      </c>
      <c r="R37" s="184" t="n">
        <v>0</v>
      </c>
      <c r="S37" s="183" t="n">
        <v>0</v>
      </c>
      <c r="T37" s="183" t="n">
        <v>0</v>
      </c>
      <c r="U37" s="182" t="n">
        <v>0</v>
      </c>
      <c r="V37" s="182" t="n">
        <v>0</v>
      </c>
      <c r="W37" s="182" t="n">
        <v>0</v>
      </c>
      <c r="X37" s="182" t="n">
        <v>0</v>
      </c>
      <c r="Y37" s="182" t="n">
        <v>0</v>
      </c>
      <c r="Z37" s="182" t="n">
        <v>0</v>
      </c>
      <c r="AA37" s="182" t="n">
        <v>0</v>
      </c>
      <c r="AB37" s="182" t="n">
        <v>0</v>
      </c>
      <c r="AC37" s="182" t="n">
        <v>0</v>
      </c>
      <c r="AD37" s="182" t="n">
        <v>0</v>
      </c>
      <c r="AE37" s="182" t="n">
        <v>0</v>
      </c>
      <c r="AF37" s="182" t="n">
        <v>0</v>
      </c>
      <c r="AG37" s="182" t="n">
        <v>0</v>
      </c>
      <c r="AH37" s="182" t="n">
        <v>0</v>
      </c>
      <c r="AI37" s="182" t="n">
        <v>0</v>
      </c>
      <c r="AJ37" s="182" t="n">
        <v>0</v>
      </c>
      <c r="AK37" s="182" t="n">
        <v>0</v>
      </c>
      <c r="AL37" s="182" t="n">
        <v>0</v>
      </c>
      <c r="AM37" s="182" t="n">
        <v>0</v>
      </c>
      <c r="AN37" s="182" t="n">
        <v>0</v>
      </c>
    </row>
    <row r="38">
      <c r="A38" s="155" t="n">
        <v>46082</v>
      </c>
      <c r="B38" s="156" t="inlineStr">
        <is>
          <t>DS</t>
        </is>
      </c>
      <c r="C38" s="156" t="inlineStr">
        <is>
          <t>EX-2101</t>
        </is>
      </c>
      <c r="D38" s="156" t="inlineStr">
        <is>
          <t>SY2000</t>
        </is>
      </c>
      <c r="E38" s="156" t="inlineStr">
        <is>
          <t>Excavator</t>
        </is>
      </c>
      <c r="F38" s="156" t="inlineStr"/>
      <c r="G38" s="182" t="n">
        <v>0</v>
      </c>
      <c r="H38" s="182" t="n">
        <v>0</v>
      </c>
      <c r="I38" s="182" t="n">
        <v>12</v>
      </c>
      <c r="J38" s="182" t="n">
        <v>12</v>
      </c>
      <c r="K38" s="182" t="n">
        <v>0</v>
      </c>
      <c r="L38" s="182" t="n">
        <v>12</v>
      </c>
      <c r="M38" s="182" t="n">
        <v>0</v>
      </c>
      <c r="N38" s="182" t="n">
        <v>0</v>
      </c>
      <c r="O38" s="183" t="n">
        <v>0</v>
      </c>
      <c r="P38" s="183" t="n">
        <v>0</v>
      </c>
      <c r="Q38" s="184" t="n">
        <v>0</v>
      </c>
      <c r="R38" s="184" t="n">
        <v>0</v>
      </c>
      <c r="S38" s="183" t="n">
        <v>0</v>
      </c>
      <c r="T38" s="183" t="n">
        <v>0</v>
      </c>
      <c r="U38" s="182" t="n">
        <v>0</v>
      </c>
      <c r="V38" s="182" t="n">
        <v>0</v>
      </c>
      <c r="W38" s="182" t="n">
        <v>0</v>
      </c>
      <c r="X38" s="182" t="n">
        <v>0</v>
      </c>
      <c r="Y38" s="182" t="n">
        <v>0</v>
      </c>
      <c r="Z38" s="182" t="n">
        <v>0</v>
      </c>
      <c r="AA38" s="182" t="n">
        <v>0</v>
      </c>
      <c r="AB38" s="182" t="n">
        <v>0</v>
      </c>
      <c r="AC38" s="182" t="n">
        <v>0</v>
      </c>
      <c r="AD38" s="182" t="n">
        <v>0</v>
      </c>
      <c r="AE38" s="182" t="n">
        <v>0</v>
      </c>
      <c r="AF38" s="182" t="n">
        <v>0</v>
      </c>
      <c r="AG38" s="182" t="n">
        <v>0</v>
      </c>
      <c r="AH38" s="182" t="n">
        <v>0</v>
      </c>
      <c r="AI38" s="182" t="n">
        <v>0</v>
      </c>
      <c r="AJ38" s="182" t="n">
        <v>0</v>
      </c>
      <c r="AK38" s="182" t="n">
        <v>0</v>
      </c>
      <c r="AL38" s="182" t="n">
        <v>0</v>
      </c>
      <c r="AM38" s="182" t="n">
        <v>0</v>
      </c>
      <c r="AN38" s="182" t="n">
        <v>0</v>
      </c>
    </row>
    <row r="39">
      <c r="A39" s="155" t="n">
        <v>46082</v>
      </c>
      <c r="B39" s="156" t="inlineStr">
        <is>
          <t>DS</t>
        </is>
      </c>
      <c r="C39" s="156" t="inlineStr">
        <is>
          <t>EX-222</t>
        </is>
      </c>
      <c r="D39" s="156" t="inlineStr">
        <is>
          <t>PC 200-8MI</t>
        </is>
      </c>
      <c r="E39" s="156" t="inlineStr">
        <is>
          <t>Excavator</t>
        </is>
      </c>
      <c r="F39" s="156" t="inlineStr">
        <is>
          <t>Trimming Coal di Stock ROM</t>
        </is>
      </c>
      <c r="G39" s="182" t="n">
        <v>10.71</v>
      </c>
      <c r="H39" s="182" t="n">
        <v>0</v>
      </c>
      <c r="I39" s="182" t="n">
        <v>0</v>
      </c>
      <c r="J39" s="182" t="n">
        <v>0</v>
      </c>
      <c r="K39" s="182" t="n">
        <v>1.29</v>
      </c>
      <c r="L39" s="182" t="n">
        <v>12</v>
      </c>
      <c r="M39" s="182" t="n">
        <v>0</v>
      </c>
      <c r="N39" s="182" t="n">
        <v>0</v>
      </c>
      <c r="O39" s="183" t="n">
        <v>0</v>
      </c>
      <c r="P39" s="183" t="n">
        <v>0</v>
      </c>
      <c r="Q39" s="184" t="n">
        <v>0</v>
      </c>
      <c r="R39" s="184" t="n">
        <v>0</v>
      </c>
      <c r="S39" s="183" t="n">
        <v>0</v>
      </c>
      <c r="T39" s="183" t="n">
        <v>0</v>
      </c>
      <c r="U39" s="182" t="n">
        <v>0</v>
      </c>
      <c r="V39" s="182" t="n">
        <v>0</v>
      </c>
      <c r="W39" s="182" t="n">
        <v>0</v>
      </c>
      <c r="X39" s="182" t="n">
        <v>0.99</v>
      </c>
      <c r="Y39" s="182" t="n">
        <v>0</v>
      </c>
      <c r="Z39" s="182" t="n">
        <v>0</v>
      </c>
      <c r="AA39" s="182" t="n">
        <v>0</v>
      </c>
      <c r="AB39" s="182" t="n">
        <v>0</v>
      </c>
      <c r="AC39" s="182" t="n">
        <v>0</v>
      </c>
      <c r="AD39" s="182" t="n">
        <v>0</v>
      </c>
      <c r="AE39" s="182" t="n">
        <v>0</v>
      </c>
      <c r="AF39" s="182" t="n">
        <v>0</v>
      </c>
      <c r="AG39" s="182" t="n">
        <v>0</v>
      </c>
      <c r="AH39" s="182" t="n">
        <v>0.22</v>
      </c>
      <c r="AI39" s="182" t="n">
        <v>0</v>
      </c>
      <c r="AJ39" s="182" t="n">
        <v>0</v>
      </c>
      <c r="AK39" s="182" t="n">
        <v>0</v>
      </c>
      <c r="AL39" s="182" t="n">
        <v>0</v>
      </c>
      <c r="AM39" s="182" t="n">
        <v>0.08</v>
      </c>
      <c r="AN39" s="182" t="n">
        <v>0</v>
      </c>
    </row>
    <row r="40">
      <c r="A40" s="155" t="n">
        <v>46082</v>
      </c>
      <c r="B40" s="156" t="inlineStr">
        <is>
          <t>DS</t>
        </is>
      </c>
      <c r="C40" s="156" t="inlineStr">
        <is>
          <t>EX-225</t>
        </is>
      </c>
      <c r="D40" s="156" t="inlineStr">
        <is>
          <t>PC 200-8</t>
        </is>
      </c>
      <c r="E40" s="156" t="inlineStr">
        <is>
          <t>Excavator</t>
        </is>
      </c>
      <c r="F40" s="156" t="inlineStr"/>
      <c r="G40" s="182" t="n">
        <v>0</v>
      </c>
      <c r="H40" s="182" t="n">
        <v>0</v>
      </c>
      <c r="I40" s="182" t="n">
        <v>12</v>
      </c>
      <c r="J40" s="182" t="n">
        <v>12</v>
      </c>
      <c r="K40" s="182" t="n">
        <v>0</v>
      </c>
      <c r="L40" s="182" t="n">
        <v>12</v>
      </c>
      <c r="M40" s="182" t="n">
        <v>0</v>
      </c>
      <c r="N40" s="182" t="n">
        <v>0</v>
      </c>
      <c r="O40" s="183" t="n">
        <v>0</v>
      </c>
      <c r="P40" s="183" t="n">
        <v>0</v>
      </c>
      <c r="Q40" s="184" t="n">
        <v>0</v>
      </c>
      <c r="R40" s="184" t="n">
        <v>0</v>
      </c>
      <c r="S40" s="183" t="n">
        <v>0</v>
      </c>
      <c r="T40" s="183" t="n">
        <v>0</v>
      </c>
      <c r="U40" s="182" t="n">
        <v>0</v>
      </c>
      <c r="V40" s="182" t="n">
        <v>0</v>
      </c>
      <c r="W40" s="182" t="n">
        <v>0</v>
      </c>
      <c r="X40" s="182" t="n">
        <v>0</v>
      </c>
      <c r="Y40" s="182" t="n">
        <v>0</v>
      </c>
      <c r="Z40" s="182" t="n">
        <v>0</v>
      </c>
      <c r="AA40" s="182" t="n">
        <v>0</v>
      </c>
      <c r="AB40" s="182" t="n">
        <v>0</v>
      </c>
      <c r="AC40" s="182" t="n">
        <v>0</v>
      </c>
      <c r="AD40" s="182" t="n">
        <v>0</v>
      </c>
      <c r="AE40" s="182" t="n">
        <v>0</v>
      </c>
      <c r="AF40" s="182" t="n">
        <v>0</v>
      </c>
      <c r="AG40" s="182" t="n">
        <v>0</v>
      </c>
      <c r="AH40" s="182" t="n">
        <v>0</v>
      </c>
      <c r="AI40" s="182" t="n">
        <v>0</v>
      </c>
      <c r="AJ40" s="182" t="n">
        <v>0</v>
      </c>
      <c r="AK40" s="182" t="n">
        <v>0</v>
      </c>
      <c r="AL40" s="182" t="n">
        <v>0</v>
      </c>
      <c r="AM40" s="182" t="n">
        <v>0</v>
      </c>
      <c r="AN40" s="182" t="n">
        <v>0</v>
      </c>
    </row>
    <row r="41">
      <c r="A41" s="155" t="n">
        <v>46082</v>
      </c>
      <c r="B41" s="156" t="inlineStr">
        <is>
          <t>DS</t>
        </is>
      </c>
      <c r="C41" s="156" t="inlineStr">
        <is>
          <t>EX-223</t>
        </is>
      </c>
      <c r="D41" s="156" t="inlineStr">
        <is>
          <t>PC 200-8MI</t>
        </is>
      </c>
      <c r="E41" s="156" t="inlineStr">
        <is>
          <t>Excavator</t>
        </is>
      </c>
      <c r="F41" s="156" t="inlineStr">
        <is>
          <t>General Estapet Soil</t>
        </is>
      </c>
      <c r="G41" s="182" t="n">
        <v>9.460000000000001</v>
      </c>
      <c r="H41" s="182" t="n">
        <v>0</v>
      </c>
      <c r="I41" s="182" t="n">
        <v>0</v>
      </c>
      <c r="J41" s="182" t="n">
        <v>0</v>
      </c>
      <c r="K41" s="182" t="n">
        <v>2.54</v>
      </c>
      <c r="L41" s="182" t="n">
        <v>12</v>
      </c>
      <c r="M41" s="182" t="n">
        <v>0</v>
      </c>
      <c r="N41" s="182" t="n">
        <v>0</v>
      </c>
      <c r="O41" s="183" t="n">
        <v>0</v>
      </c>
      <c r="P41" s="183" t="n">
        <v>0</v>
      </c>
      <c r="Q41" s="184" t="n">
        <v>0</v>
      </c>
      <c r="R41" s="184" t="n">
        <v>0</v>
      </c>
      <c r="S41" s="183" t="n">
        <v>0</v>
      </c>
      <c r="T41" s="183" t="n">
        <v>0</v>
      </c>
      <c r="U41" s="182" t="n">
        <v>0</v>
      </c>
      <c r="V41" s="182" t="n">
        <v>0</v>
      </c>
      <c r="W41" s="182" t="n">
        <v>0</v>
      </c>
      <c r="X41" s="182" t="n">
        <v>0.98</v>
      </c>
      <c r="Y41" s="182" t="n">
        <v>0</v>
      </c>
      <c r="Z41" s="182" t="n">
        <v>0</v>
      </c>
      <c r="AA41" s="182" t="n">
        <v>0</v>
      </c>
      <c r="AB41" s="182" t="n">
        <v>0</v>
      </c>
      <c r="AC41" s="182" t="n">
        <v>0</v>
      </c>
      <c r="AD41" s="182" t="n">
        <v>1.48</v>
      </c>
      <c r="AE41" s="182" t="n">
        <v>0</v>
      </c>
      <c r="AF41" s="182" t="n">
        <v>0</v>
      </c>
      <c r="AG41" s="182" t="n">
        <v>0</v>
      </c>
      <c r="AH41" s="182" t="n">
        <v>0</v>
      </c>
      <c r="AI41" s="182" t="n">
        <v>0</v>
      </c>
      <c r="AJ41" s="182" t="n">
        <v>0</v>
      </c>
      <c r="AK41" s="182" t="n">
        <v>0</v>
      </c>
      <c r="AL41" s="182" t="n">
        <v>0</v>
      </c>
      <c r="AM41" s="182" t="n">
        <v>0.08</v>
      </c>
      <c r="AN41" s="182" t="n">
        <v>0</v>
      </c>
    </row>
    <row r="42">
      <c r="A42" s="155" t="n">
        <v>46082</v>
      </c>
      <c r="B42" s="156" t="inlineStr">
        <is>
          <t>DS</t>
        </is>
      </c>
      <c r="C42" s="156" t="inlineStr">
        <is>
          <t>EX-221</t>
        </is>
      </c>
      <c r="D42" s="156" t="inlineStr">
        <is>
          <t>PC 200-8MI</t>
        </is>
      </c>
      <c r="E42" s="156" t="inlineStr">
        <is>
          <t>Excavator</t>
        </is>
      </c>
      <c r="F42" s="156" t="inlineStr">
        <is>
          <t>Support Jetty</t>
        </is>
      </c>
      <c r="G42" s="182" t="n">
        <v>1.55</v>
      </c>
      <c r="H42" s="182" t="n">
        <v>0</v>
      </c>
      <c r="I42" s="182" t="n">
        <v>0</v>
      </c>
      <c r="J42" s="182" t="n">
        <v>0</v>
      </c>
      <c r="K42" s="182" t="n">
        <v>10.45</v>
      </c>
      <c r="L42" s="182" t="n">
        <v>12</v>
      </c>
      <c r="M42" s="182" t="n">
        <v>0</v>
      </c>
      <c r="N42" s="182" t="n">
        <v>0</v>
      </c>
      <c r="O42" s="183" t="n">
        <v>0</v>
      </c>
      <c r="P42" s="183" t="n">
        <v>0</v>
      </c>
      <c r="Q42" s="184" t="n">
        <v>0</v>
      </c>
      <c r="R42" s="184" t="n">
        <v>0</v>
      </c>
      <c r="S42" s="183" t="n">
        <v>0</v>
      </c>
      <c r="T42" s="183" t="n">
        <v>0</v>
      </c>
      <c r="U42" s="182" t="n">
        <v>0</v>
      </c>
      <c r="V42" s="182" t="n">
        <v>0</v>
      </c>
      <c r="W42" s="182" t="n">
        <v>0</v>
      </c>
      <c r="X42" s="182" t="n">
        <v>1.02</v>
      </c>
      <c r="Y42" s="182" t="n">
        <v>0</v>
      </c>
      <c r="Z42" s="182" t="n">
        <v>0</v>
      </c>
      <c r="AA42" s="182" t="n">
        <v>0</v>
      </c>
      <c r="AB42" s="182" t="n">
        <v>0</v>
      </c>
      <c r="AC42" s="182" t="n">
        <v>0</v>
      </c>
      <c r="AD42" s="182" t="n">
        <v>0</v>
      </c>
      <c r="AE42" s="182" t="n">
        <v>0</v>
      </c>
      <c r="AF42" s="182" t="n">
        <v>0</v>
      </c>
      <c r="AG42" s="182" t="n">
        <v>0</v>
      </c>
      <c r="AH42" s="182" t="n">
        <v>0</v>
      </c>
      <c r="AI42" s="182" t="n">
        <v>0</v>
      </c>
      <c r="AJ42" s="182" t="n">
        <v>0</v>
      </c>
      <c r="AK42" s="182" t="n">
        <v>9.34</v>
      </c>
      <c r="AL42" s="182" t="n">
        <v>0</v>
      </c>
      <c r="AM42" s="182" t="n">
        <v>0.08</v>
      </c>
      <c r="AN42" s="182" t="n">
        <v>0</v>
      </c>
    </row>
    <row r="43">
      <c r="A43" s="155" t="n">
        <v>46082</v>
      </c>
      <c r="B43" s="156" t="inlineStr">
        <is>
          <t>DS</t>
        </is>
      </c>
      <c r="C43" s="156" t="inlineStr">
        <is>
          <t>EX-331</t>
        </is>
      </c>
      <c r="D43" s="156" t="inlineStr">
        <is>
          <t>PC 300-8MO</t>
        </is>
      </c>
      <c r="E43" s="156" t="inlineStr">
        <is>
          <t>Excavator</t>
        </is>
      </c>
      <c r="F43" s="156" t="inlineStr"/>
      <c r="G43" s="182" t="n">
        <v>0</v>
      </c>
      <c r="H43" s="182" t="n">
        <v>0</v>
      </c>
      <c r="I43" s="182" t="n">
        <v>12</v>
      </c>
      <c r="J43" s="182" t="n">
        <v>12</v>
      </c>
      <c r="K43" s="182" t="n">
        <v>0</v>
      </c>
      <c r="L43" s="182" t="n">
        <v>12</v>
      </c>
      <c r="M43" s="182" t="n">
        <v>0</v>
      </c>
      <c r="N43" s="182" t="n">
        <v>0</v>
      </c>
      <c r="O43" s="183" t="n">
        <v>0</v>
      </c>
      <c r="P43" s="183" t="n">
        <v>0</v>
      </c>
      <c r="Q43" s="184" t="n">
        <v>0</v>
      </c>
      <c r="R43" s="184" t="n">
        <v>0</v>
      </c>
      <c r="S43" s="183" t="n">
        <v>0</v>
      </c>
      <c r="T43" s="183" t="n">
        <v>0</v>
      </c>
      <c r="U43" s="182" t="n">
        <v>0</v>
      </c>
      <c r="V43" s="182" t="n">
        <v>0</v>
      </c>
      <c r="W43" s="182" t="n">
        <v>0</v>
      </c>
      <c r="X43" s="182" t="n">
        <v>0</v>
      </c>
      <c r="Y43" s="182" t="n">
        <v>0</v>
      </c>
      <c r="Z43" s="182" t="n">
        <v>0</v>
      </c>
      <c r="AA43" s="182" t="n">
        <v>0</v>
      </c>
      <c r="AB43" s="182" t="n">
        <v>0</v>
      </c>
      <c r="AC43" s="182" t="n">
        <v>0</v>
      </c>
      <c r="AD43" s="182" t="n">
        <v>0</v>
      </c>
      <c r="AE43" s="182" t="n">
        <v>0</v>
      </c>
      <c r="AF43" s="182" t="n">
        <v>0</v>
      </c>
      <c r="AG43" s="182" t="n">
        <v>0</v>
      </c>
      <c r="AH43" s="182" t="n">
        <v>0</v>
      </c>
      <c r="AI43" s="182" t="n">
        <v>0</v>
      </c>
      <c r="AJ43" s="182" t="n">
        <v>0</v>
      </c>
      <c r="AK43" s="182" t="n">
        <v>0</v>
      </c>
      <c r="AL43" s="182" t="n">
        <v>0</v>
      </c>
      <c r="AM43" s="182" t="n">
        <v>0</v>
      </c>
      <c r="AN43" s="182" t="n">
        <v>0</v>
      </c>
    </row>
    <row r="44">
      <c r="A44" s="155" t="n">
        <v>46082</v>
      </c>
      <c r="B44" s="156" t="inlineStr">
        <is>
          <t>DS</t>
        </is>
      </c>
      <c r="C44" s="156" t="inlineStr">
        <is>
          <t>EX-334</t>
        </is>
      </c>
      <c r="D44" s="156" t="inlineStr">
        <is>
          <t>PC 300-8MO</t>
        </is>
      </c>
      <c r="E44" s="156" t="inlineStr">
        <is>
          <t>Excavator</t>
        </is>
      </c>
      <c r="F44" s="156" t="inlineStr">
        <is>
          <t>Support Washing Plant</t>
        </is>
      </c>
      <c r="G44" s="182" t="n">
        <v>8.890000000000001</v>
      </c>
      <c r="H44" s="182" t="n">
        <v>0</v>
      </c>
      <c r="I44" s="182" t="n">
        <v>0</v>
      </c>
      <c r="J44" s="182" t="n">
        <v>0</v>
      </c>
      <c r="K44" s="182" t="n">
        <v>3.11</v>
      </c>
      <c r="L44" s="182" t="n">
        <v>12</v>
      </c>
      <c r="M44" s="182" t="n">
        <v>0</v>
      </c>
      <c r="N44" s="182" t="n">
        <v>0</v>
      </c>
      <c r="O44" s="183" t="n">
        <v>0</v>
      </c>
      <c r="P44" s="183" t="n">
        <v>0</v>
      </c>
      <c r="Q44" s="184" t="n">
        <v>0</v>
      </c>
      <c r="R44" s="184" t="n">
        <v>0</v>
      </c>
      <c r="S44" s="183" t="n">
        <v>0</v>
      </c>
      <c r="T44" s="183" t="n">
        <v>0</v>
      </c>
      <c r="U44" s="182" t="n">
        <v>0</v>
      </c>
      <c r="V44" s="182" t="n">
        <v>0</v>
      </c>
      <c r="W44" s="182" t="n">
        <v>0</v>
      </c>
      <c r="X44" s="182" t="n">
        <v>1.04</v>
      </c>
      <c r="Y44" s="182" t="n">
        <v>0</v>
      </c>
      <c r="Z44" s="182" t="n">
        <v>0</v>
      </c>
      <c r="AA44" s="182" t="n">
        <v>0</v>
      </c>
      <c r="AB44" s="182" t="n">
        <v>0</v>
      </c>
      <c r="AC44" s="182" t="n">
        <v>0</v>
      </c>
      <c r="AD44" s="182" t="n">
        <v>1.99</v>
      </c>
      <c r="AE44" s="182" t="n">
        <v>0</v>
      </c>
      <c r="AF44" s="182" t="n">
        <v>0</v>
      </c>
      <c r="AG44" s="182" t="n">
        <v>0</v>
      </c>
      <c r="AH44" s="182" t="n">
        <v>0</v>
      </c>
      <c r="AI44" s="182" t="n">
        <v>0</v>
      </c>
      <c r="AJ44" s="182" t="n">
        <v>0</v>
      </c>
      <c r="AK44" s="182" t="n">
        <v>0</v>
      </c>
      <c r="AL44" s="182" t="n">
        <v>0</v>
      </c>
      <c r="AM44" s="182" t="n">
        <v>0.08</v>
      </c>
      <c r="AN44" s="182" t="n">
        <v>0</v>
      </c>
    </row>
    <row r="45">
      <c r="A45" s="155" t="n">
        <v>46082</v>
      </c>
      <c r="B45" s="156" t="inlineStr">
        <is>
          <t>DS</t>
        </is>
      </c>
      <c r="C45" s="156" t="inlineStr">
        <is>
          <t>EX-332</t>
        </is>
      </c>
      <c r="D45" s="156" t="inlineStr">
        <is>
          <t>PC 300-8MO</t>
        </is>
      </c>
      <c r="E45" s="156" t="inlineStr">
        <is>
          <t>Excavator</t>
        </is>
      </c>
      <c r="F45" s="156" t="inlineStr"/>
      <c r="G45" s="182" t="n">
        <v>0</v>
      </c>
      <c r="H45" s="182" t="n">
        <v>0</v>
      </c>
      <c r="I45" s="182" t="n">
        <v>12</v>
      </c>
      <c r="J45" s="182" t="n">
        <v>12</v>
      </c>
      <c r="K45" s="182" t="n">
        <v>0</v>
      </c>
      <c r="L45" s="182" t="n">
        <v>12</v>
      </c>
      <c r="M45" s="182" t="n">
        <v>0</v>
      </c>
      <c r="N45" s="182" t="n">
        <v>0</v>
      </c>
      <c r="O45" s="183" t="n">
        <v>0</v>
      </c>
      <c r="P45" s="183" t="n">
        <v>0</v>
      </c>
      <c r="Q45" s="184" t="n">
        <v>0</v>
      </c>
      <c r="R45" s="184" t="n">
        <v>0</v>
      </c>
      <c r="S45" s="183" t="n">
        <v>0</v>
      </c>
      <c r="T45" s="183" t="n">
        <v>0</v>
      </c>
      <c r="U45" s="182" t="n">
        <v>0</v>
      </c>
      <c r="V45" s="182" t="n">
        <v>0</v>
      </c>
      <c r="W45" s="182" t="n">
        <v>0</v>
      </c>
      <c r="X45" s="182" t="n">
        <v>0</v>
      </c>
      <c r="Y45" s="182" t="n">
        <v>0</v>
      </c>
      <c r="Z45" s="182" t="n">
        <v>0</v>
      </c>
      <c r="AA45" s="182" t="n">
        <v>0</v>
      </c>
      <c r="AB45" s="182" t="n">
        <v>0</v>
      </c>
      <c r="AC45" s="182" t="n">
        <v>0</v>
      </c>
      <c r="AD45" s="182" t="n">
        <v>0</v>
      </c>
      <c r="AE45" s="182" t="n">
        <v>0</v>
      </c>
      <c r="AF45" s="182" t="n">
        <v>0</v>
      </c>
      <c r="AG45" s="182" t="n">
        <v>0</v>
      </c>
      <c r="AH45" s="182" t="n">
        <v>0</v>
      </c>
      <c r="AI45" s="182" t="n">
        <v>0</v>
      </c>
      <c r="AJ45" s="182" t="n">
        <v>0</v>
      </c>
      <c r="AK45" s="182" t="n">
        <v>0</v>
      </c>
      <c r="AL45" s="182" t="n">
        <v>0</v>
      </c>
      <c r="AM45" s="182" t="n">
        <v>0</v>
      </c>
      <c r="AN45" s="182" t="n">
        <v>0</v>
      </c>
    </row>
    <row r="46">
      <c r="A46" s="155" t="n">
        <v>46082</v>
      </c>
      <c r="B46" s="156" t="inlineStr">
        <is>
          <t>DS</t>
        </is>
      </c>
      <c r="C46" s="156" t="inlineStr">
        <is>
          <t>EX-333</t>
        </is>
      </c>
      <c r="D46" s="156" t="inlineStr">
        <is>
          <t>PC 300-8MO</t>
        </is>
      </c>
      <c r="E46" s="156" t="inlineStr">
        <is>
          <t>Excavator</t>
        </is>
      </c>
      <c r="F46" s="156" t="inlineStr">
        <is>
          <t>Loading Coal, Soil &amp; Cleaning Coal</t>
        </is>
      </c>
      <c r="G46" s="182" t="n">
        <v>9.93</v>
      </c>
      <c r="H46" s="182" t="n">
        <v>0</v>
      </c>
      <c r="I46" s="182" t="n">
        <v>0</v>
      </c>
      <c r="J46" s="182" t="n">
        <v>0</v>
      </c>
      <c r="K46" s="182" t="n">
        <v>2.07</v>
      </c>
      <c r="L46" s="182" t="n">
        <v>12</v>
      </c>
      <c r="M46" s="182" t="n">
        <v>0</v>
      </c>
      <c r="N46" s="182" t="n">
        <v>3.01</v>
      </c>
      <c r="O46" s="183" t="n">
        <v>0</v>
      </c>
      <c r="P46" s="183" t="n">
        <v>22</v>
      </c>
      <c r="Q46" s="184" t="n">
        <v>0</v>
      </c>
      <c r="R46" s="184" t="n">
        <v>350.2</v>
      </c>
      <c r="S46" s="183" t="n">
        <v>0</v>
      </c>
      <c r="T46" s="183" t="n">
        <v>0</v>
      </c>
      <c r="U46" s="182" t="n">
        <v>0</v>
      </c>
      <c r="V46" s="182" t="n">
        <v>0</v>
      </c>
      <c r="W46" s="182" t="n">
        <v>0</v>
      </c>
      <c r="X46" s="182" t="n">
        <v>0.99</v>
      </c>
      <c r="Y46" s="182" t="n">
        <v>0</v>
      </c>
      <c r="Z46" s="182" t="n">
        <v>0</v>
      </c>
      <c r="AA46" s="182" t="n">
        <v>0</v>
      </c>
      <c r="AB46" s="182" t="n">
        <v>0</v>
      </c>
      <c r="AC46" s="182" t="n">
        <v>0</v>
      </c>
      <c r="AD46" s="182" t="n">
        <v>1.01</v>
      </c>
      <c r="AE46" s="182" t="n">
        <v>0</v>
      </c>
      <c r="AF46" s="182" t="n">
        <v>0</v>
      </c>
      <c r="AG46" s="182" t="n">
        <v>0</v>
      </c>
      <c r="AH46" s="182" t="n">
        <v>0</v>
      </c>
      <c r="AI46" s="182" t="n">
        <v>0</v>
      </c>
      <c r="AJ46" s="182" t="n">
        <v>0</v>
      </c>
      <c r="AK46" s="182" t="n">
        <v>0</v>
      </c>
      <c r="AL46" s="182" t="n">
        <v>0</v>
      </c>
      <c r="AM46" s="182" t="n">
        <v>0.08</v>
      </c>
      <c r="AN46" s="182" t="n">
        <v>0</v>
      </c>
    </row>
    <row r="47">
      <c r="A47" s="155" t="n">
        <v>46082</v>
      </c>
      <c r="B47" s="156" t="inlineStr">
        <is>
          <t>DS</t>
        </is>
      </c>
      <c r="C47" s="156" t="inlineStr">
        <is>
          <t>EX-336</t>
        </is>
      </c>
      <c r="D47" s="156" t="inlineStr">
        <is>
          <t>PC 300-8MO</t>
        </is>
      </c>
      <c r="E47" s="156" t="inlineStr">
        <is>
          <t>Excavator</t>
        </is>
      </c>
      <c r="F47" s="156" t="inlineStr">
        <is>
          <t>Cleaning Coal</t>
        </is>
      </c>
      <c r="G47" s="182" t="n">
        <v>4.34</v>
      </c>
      <c r="H47" s="182" t="n">
        <v>0</v>
      </c>
      <c r="I47" s="182" t="n">
        <v>7.2</v>
      </c>
      <c r="J47" s="182" t="n">
        <v>7.2</v>
      </c>
      <c r="K47" s="182" t="n">
        <v>0.46</v>
      </c>
      <c r="L47" s="182" t="n">
        <v>12</v>
      </c>
      <c r="M47" s="182" t="n">
        <v>0</v>
      </c>
      <c r="N47" s="182" t="n">
        <v>0</v>
      </c>
      <c r="O47" s="183" t="n">
        <v>0</v>
      </c>
      <c r="P47" s="183" t="n">
        <v>0</v>
      </c>
      <c r="Q47" s="184" t="n">
        <v>0</v>
      </c>
      <c r="R47" s="184" t="n">
        <v>0</v>
      </c>
      <c r="S47" s="183" t="n">
        <v>0</v>
      </c>
      <c r="T47" s="183" t="n">
        <v>0</v>
      </c>
      <c r="U47" s="182" t="n">
        <v>0</v>
      </c>
      <c r="V47" s="182" t="n">
        <v>0</v>
      </c>
      <c r="W47" s="182" t="n">
        <v>0</v>
      </c>
      <c r="X47" s="182" t="n">
        <v>0.41</v>
      </c>
      <c r="Y47" s="182" t="n">
        <v>0</v>
      </c>
      <c r="Z47" s="182" t="n">
        <v>0</v>
      </c>
      <c r="AA47" s="182" t="n">
        <v>0</v>
      </c>
      <c r="AB47" s="182" t="n">
        <v>0</v>
      </c>
      <c r="AC47" s="182" t="n">
        <v>0</v>
      </c>
      <c r="AD47" s="182" t="n">
        <v>0</v>
      </c>
      <c r="AE47" s="182" t="n">
        <v>0</v>
      </c>
      <c r="AF47" s="182" t="n">
        <v>0</v>
      </c>
      <c r="AG47" s="182" t="n">
        <v>0</v>
      </c>
      <c r="AH47" s="182" t="n">
        <v>0</v>
      </c>
      <c r="AI47" s="182" t="n">
        <v>0</v>
      </c>
      <c r="AJ47" s="182" t="n">
        <v>0</v>
      </c>
      <c r="AK47" s="182" t="n">
        <v>0</v>
      </c>
      <c r="AL47" s="182" t="n">
        <v>0</v>
      </c>
      <c r="AM47" s="182" t="n">
        <v>0.05</v>
      </c>
      <c r="AN47" s="182" t="n">
        <v>0</v>
      </c>
    </row>
    <row r="48">
      <c r="A48" s="155" t="n">
        <v>46082</v>
      </c>
      <c r="B48" s="156" t="inlineStr">
        <is>
          <t>DS</t>
        </is>
      </c>
      <c r="C48" s="156" t="inlineStr">
        <is>
          <t>EX-335</t>
        </is>
      </c>
      <c r="D48" s="156" t="inlineStr">
        <is>
          <t>PC 300-8MO</t>
        </is>
      </c>
      <c r="E48" s="156" t="inlineStr">
        <is>
          <t>Excavator</t>
        </is>
      </c>
      <c r="F48" s="156" t="inlineStr">
        <is>
          <t>Cleaning Coal</t>
        </is>
      </c>
      <c r="G48" s="182" t="n">
        <v>10.58</v>
      </c>
      <c r="H48" s="182" t="n">
        <v>0</v>
      </c>
      <c r="I48" s="182" t="n">
        <v>1.42</v>
      </c>
      <c r="J48" s="182" t="n">
        <v>1.42</v>
      </c>
      <c r="K48" s="182" t="n">
        <v>0</v>
      </c>
      <c r="L48" s="182" t="n">
        <v>12</v>
      </c>
      <c r="M48" s="182" t="n">
        <v>0</v>
      </c>
      <c r="N48" s="182" t="n">
        <v>0</v>
      </c>
      <c r="O48" s="183" t="n">
        <v>0</v>
      </c>
      <c r="P48" s="183" t="n">
        <v>0</v>
      </c>
      <c r="Q48" s="184" t="n">
        <v>0</v>
      </c>
      <c r="R48" s="184" t="n">
        <v>0</v>
      </c>
      <c r="S48" s="183" t="n">
        <v>0</v>
      </c>
      <c r="T48" s="183" t="n">
        <v>0</v>
      </c>
      <c r="U48" s="182" t="n">
        <v>0</v>
      </c>
      <c r="V48" s="182" t="n">
        <v>0</v>
      </c>
      <c r="W48" s="182" t="n">
        <v>0</v>
      </c>
      <c r="X48" s="182" t="n">
        <v>0</v>
      </c>
      <c r="Y48" s="182" t="n">
        <v>0</v>
      </c>
      <c r="Z48" s="182" t="n">
        <v>0</v>
      </c>
      <c r="AA48" s="182" t="n">
        <v>0</v>
      </c>
      <c r="AB48" s="182" t="n">
        <v>0</v>
      </c>
      <c r="AC48" s="182" t="n">
        <v>0</v>
      </c>
      <c r="AD48" s="182" t="n">
        <v>0</v>
      </c>
      <c r="AE48" s="182" t="n">
        <v>0</v>
      </c>
      <c r="AF48" s="182" t="n">
        <v>0</v>
      </c>
      <c r="AG48" s="182" t="n">
        <v>0</v>
      </c>
      <c r="AH48" s="182" t="n">
        <v>0</v>
      </c>
      <c r="AI48" s="182" t="n">
        <v>0</v>
      </c>
      <c r="AJ48" s="182" t="n">
        <v>0</v>
      </c>
      <c r="AK48" s="182" t="n">
        <v>0</v>
      </c>
      <c r="AL48" s="182" t="n">
        <v>0</v>
      </c>
      <c r="AM48" s="182" t="n">
        <v>0</v>
      </c>
      <c r="AN48" s="182" t="n">
        <v>0</v>
      </c>
    </row>
    <row r="49">
      <c r="A49" s="155" t="n">
        <v>46082</v>
      </c>
      <c r="B49" s="156" t="inlineStr">
        <is>
          <t>DS</t>
        </is>
      </c>
      <c r="C49" s="156" t="inlineStr">
        <is>
          <t>EX-754</t>
        </is>
      </c>
      <c r="D49" s="156" t="inlineStr">
        <is>
          <t>SY750H-PRO</t>
        </is>
      </c>
      <c r="E49" s="156" t="inlineStr">
        <is>
          <t>Excavator</t>
        </is>
      </c>
      <c r="F49" s="156" t="inlineStr">
        <is>
          <t>Loading OB</t>
        </is>
      </c>
      <c r="G49" s="182" t="n">
        <v>10.01</v>
      </c>
      <c r="H49" s="182" t="n">
        <v>0</v>
      </c>
      <c r="I49" s="182" t="n">
        <v>0</v>
      </c>
      <c r="J49" s="182" t="n">
        <v>0</v>
      </c>
      <c r="K49" s="182" t="n">
        <v>1.99</v>
      </c>
      <c r="L49" s="182" t="n">
        <v>12</v>
      </c>
      <c r="M49" s="182" t="n">
        <v>9.94</v>
      </c>
      <c r="N49" s="182" t="n">
        <v>0</v>
      </c>
      <c r="O49" s="183" t="n">
        <v>204</v>
      </c>
      <c r="P49" s="183" t="n">
        <v>0</v>
      </c>
      <c r="Q49" s="184" t="n">
        <v>4161.6</v>
      </c>
      <c r="R49" s="184" t="n">
        <v>0</v>
      </c>
      <c r="S49" s="183" t="n">
        <v>0</v>
      </c>
      <c r="T49" s="183" t="n">
        <v>0</v>
      </c>
      <c r="U49" s="182" t="n">
        <v>0</v>
      </c>
      <c r="V49" s="182" t="n">
        <v>0</v>
      </c>
      <c r="W49" s="182" t="n">
        <v>0</v>
      </c>
      <c r="X49" s="182" t="n">
        <v>1.28</v>
      </c>
      <c r="Y49" s="182" t="n">
        <v>0</v>
      </c>
      <c r="Z49" s="182" t="n">
        <v>0</v>
      </c>
      <c r="AA49" s="182" t="n">
        <v>0</v>
      </c>
      <c r="AB49" s="182" t="n">
        <v>0</v>
      </c>
      <c r="AC49" s="182" t="n">
        <v>0</v>
      </c>
      <c r="AD49" s="182" t="n">
        <v>0.61</v>
      </c>
      <c r="AE49" s="182" t="n">
        <v>0</v>
      </c>
      <c r="AF49" s="182" t="n">
        <v>0</v>
      </c>
      <c r="AG49" s="182" t="n">
        <v>0</v>
      </c>
      <c r="AH49" s="182" t="n">
        <v>0</v>
      </c>
      <c r="AI49" s="182" t="n">
        <v>0</v>
      </c>
      <c r="AJ49" s="182" t="n">
        <v>0</v>
      </c>
      <c r="AK49" s="182" t="n">
        <v>0</v>
      </c>
      <c r="AL49" s="182" t="n">
        <v>0</v>
      </c>
      <c r="AM49" s="182" t="n">
        <v>0.1</v>
      </c>
      <c r="AN49" s="182" t="n">
        <v>0</v>
      </c>
    </row>
    <row r="50">
      <c r="A50" s="155" t="n">
        <v>46082</v>
      </c>
      <c r="B50" s="156" t="inlineStr">
        <is>
          <t>DS</t>
        </is>
      </c>
      <c r="C50" s="156" t="inlineStr">
        <is>
          <t>EX-755</t>
        </is>
      </c>
      <c r="D50" s="156" t="inlineStr">
        <is>
          <t>SY750H-PRO</t>
        </is>
      </c>
      <c r="E50" s="156" t="inlineStr">
        <is>
          <t>Excavator</t>
        </is>
      </c>
      <c r="F50" s="156" t="inlineStr">
        <is>
          <t>Loading OB</t>
        </is>
      </c>
      <c r="G50" s="182" t="n">
        <v>10.5</v>
      </c>
      <c r="H50" s="182" t="n">
        <v>0</v>
      </c>
      <c r="I50" s="182" t="n">
        <v>0.25</v>
      </c>
      <c r="J50" s="182" t="n">
        <v>0.25</v>
      </c>
      <c r="K50" s="182" t="n">
        <v>1.25</v>
      </c>
      <c r="L50" s="182" t="n">
        <v>12</v>
      </c>
      <c r="M50" s="182" t="n">
        <v>9.59</v>
      </c>
      <c r="N50" s="182" t="n">
        <v>0</v>
      </c>
      <c r="O50" s="183" t="n">
        <v>153</v>
      </c>
      <c r="P50" s="183" t="n">
        <v>0</v>
      </c>
      <c r="Q50" s="184" t="n">
        <v>3121.2</v>
      </c>
      <c r="R50" s="184" t="n">
        <v>0</v>
      </c>
      <c r="S50" s="183" t="n">
        <v>0</v>
      </c>
      <c r="T50" s="183" t="n">
        <v>0</v>
      </c>
      <c r="U50" s="182" t="n">
        <v>0</v>
      </c>
      <c r="V50" s="182" t="n">
        <v>0</v>
      </c>
      <c r="W50" s="182" t="n">
        <v>0</v>
      </c>
      <c r="X50" s="182" t="n">
        <v>1.09</v>
      </c>
      <c r="Y50" s="182" t="n">
        <v>0</v>
      </c>
      <c r="Z50" s="182" t="n">
        <v>0</v>
      </c>
      <c r="AA50" s="182" t="n">
        <v>0</v>
      </c>
      <c r="AB50" s="182" t="n">
        <v>0</v>
      </c>
      <c r="AC50" s="182" t="n">
        <v>0</v>
      </c>
      <c r="AD50" s="182" t="n">
        <v>0</v>
      </c>
      <c r="AE50" s="182" t="n">
        <v>0</v>
      </c>
      <c r="AF50" s="182" t="n">
        <v>0</v>
      </c>
      <c r="AG50" s="182" t="n">
        <v>0</v>
      </c>
      <c r="AH50" s="182" t="n">
        <v>0.08</v>
      </c>
      <c r="AI50" s="182" t="n">
        <v>0</v>
      </c>
      <c r="AJ50" s="182" t="n">
        <v>0</v>
      </c>
      <c r="AK50" s="182" t="n">
        <v>0</v>
      </c>
      <c r="AL50" s="182" t="n">
        <v>0</v>
      </c>
      <c r="AM50" s="182" t="n">
        <v>0.09</v>
      </c>
      <c r="AN50" s="182" t="n">
        <v>0</v>
      </c>
    </row>
    <row r="51">
      <c r="A51" s="155" t="n">
        <v>46082</v>
      </c>
      <c r="B51" s="156" t="inlineStr">
        <is>
          <t>DS</t>
        </is>
      </c>
      <c r="C51" s="156" t="inlineStr">
        <is>
          <t>EX-752</t>
        </is>
      </c>
      <c r="D51" s="156" t="inlineStr">
        <is>
          <t>SY750H-PRO</t>
        </is>
      </c>
      <c r="E51" s="156" t="inlineStr">
        <is>
          <t>Excavator</t>
        </is>
      </c>
      <c r="F51" s="156" t="inlineStr"/>
      <c r="G51" s="182" t="n">
        <v>0</v>
      </c>
      <c r="H51" s="182" t="n">
        <v>0</v>
      </c>
      <c r="I51" s="182" t="n">
        <v>12</v>
      </c>
      <c r="J51" s="182" t="n">
        <v>12</v>
      </c>
      <c r="K51" s="182" t="n">
        <v>0</v>
      </c>
      <c r="L51" s="182" t="n">
        <v>12</v>
      </c>
      <c r="M51" s="182" t="n">
        <v>0</v>
      </c>
      <c r="N51" s="182" t="n">
        <v>0</v>
      </c>
      <c r="O51" s="183" t="n">
        <v>0</v>
      </c>
      <c r="P51" s="183" t="n">
        <v>0</v>
      </c>
      <c r="Q51" s="184" t="n">
        <v>0</v>
      </c>
      <c r="R51" s="184" t="n">
        <v>0</v>
      </c>
      <c r="S51" s="183" t="n">
        <v>0</v>
      </c>
      <c r="T51" s="183" t="n">
        <v>0</v>
      </c>
      <c r="U51" s="182" t="n">
        <v>0</v>
      </c>
      <c r="V51" s="182" t="n">
        <v>0</v>
      </c>
      <c r="W51" s="182" t="n">
        <v>0</v>
      </c>
      <c r="X51" s="182" t="n">
        <v>0</v>
      </c>
      <c r="Y51" s="182" t="n">
        <v>0</v>
      </c>
      <c r="Z51" s="182" t="n">
        <v>0</v>
      </c>
      <c r="AA51" s="182" t="n">
        <v>0</v>
      </c>
      <c r="AB51" s="182" t="n">
        <v>0</v>
      </c>
      <c r="AC51" s="182" t="n">
        <v>0</v>
      </c>
      <c r="AD51" s="182" t="n">
        <v>0</v>
      </c>
      <c r="AE51" s="182" t="n">
        <v>0</v>
      </c>
      <c r="AF51" s="182" t="n">
        <v>0</v>
      </c>
      <c r="AG51" s="182" t="n">
        <v>0</v>
      </c>
      <c r="AH51" s="182" t="n">
        <v>0</v>
      </c>
      <c r="AI51" s="182" t="n">
        <v>0</v>
      </c>
      <c r="AJ51" s="182" t="n">
        <v>0</v>
      </c>
      <c r="AK51" s="182" t="n">
        <v>0</v>
      </c>
      <c r="AL51" s="182" t="n">
        <v>0</v>
      </c>
      <c r="AM51" s="182" t="n">
        <v>0</v>
      </c>
      <c r="AN51" s="182" t="n">
        <v>0</v>
      </c>
    </row>
    <row r="52">
      <c r="A52" s="155" t="n">
        <v>46082</v>
      </c>
      <c r="B52" s="156" t="inlineStr">
        <is>
          <t>DS</t>
        </is>
      </c>
      <c r="C52" s="156" t="inlineStr">
        <is>
          <t>EX-751</t>
        </is>
      </c>
      <c r="D52" s="156" t="inlineStr">
        <is>
          <t>SY750H-PRO</t>
        </is>
      </c>
      <c r="E52" s="156" t="inlineStr">
        <is>
          <t>Excavator</t>
        </is>
      </c>
      <c r="F52" s="156" t="inlineStr"/>
      <c r="G52" s="182" t="n">
        <v>0</v>
      </c>
      <c r="H52" s="182" t="n">
        <v>0</v>
      </c>
      <c r="I52" s="182" t="n">
        <v>12</v>
      </c>
      <c r="J52" s="182" t="n">
        <v>12</v>
      </c>
      <c r="K52" s="182" t="n">
        <v>0</v>
      </c>
      <c r="L52" s="182" t="n">
        <v>12</v>
      </c>
      <c r="M52" s="182" t="n">
        <v>0</v>
      </c>
      <c r="N52" s="182" t="n">
        <v>0</v>
      </c>
      <c r="O52" s="183" t="n">
        <v>0</v>
      </c>
      <c r="P52" s="183" t="n">
        <v>0</v>
      </c>
      <c r="Q52" s="184" t="n">
        <v>0</v>
      </c>
      <c r="R52" s="184" t="n">
        <v>0</v>
      </c>
      <c r="S52" s="183" t="n">
        <v>0</v>
      </c>
      <c r="T52" s="183" t="n">
        <v>0</v>
      </c>
      <c r="U52" s="182" t="n">
        <v>0</v>
      </c>
      <c r="V52" s="182" t="n">
        <v>0</v>
      </c>
      <c r="W52" s="182" t="n">
        <v>0</v>
      </c>
      <c r="X52" s="182" t="n">
        <v>0</v>
      </c>
      <c r="Y52" s="182" t="n">
        <v>0</v>
      </c>
      <c r="Z52" s="182" t="n">
        <v>0</v>
      </c>
      <c r="AA52" s="182" t="n">
        <v>0</v>
      </c>
      <c r="AB52" s="182" t="n">
        <v>0</v>
      </c>
      <c r="AC52" s="182" t="n">
        <v>0</v>
      </c>
      <c r="AD52" s="182" t="n">
        <v>0</v>
      </c>
      <c r="AE52" s="182" t="n">
        <v>0</v>
      </c>
      <c r="AF52" s="182" t="n">
        <v>0</v>
      </c>
      <c r="AG52" s="182" t="n">
        <v>0</v>
      </c>
      <c r="AH52" s="182" t="n">
        <v>0</v>
      </c>
      <c r="AI52" s="182" t="n">
        <v>0</v>
      </c>
      <c r="AJ52" s="182" t="n">
        <v>0</v>
      </c>
      <c r="AK52" s="182" t="n">
        <v>0</v>
      </c>
      <c r="AL52" s="182" t="n">
        <v>0</v>
      </c>
      <c r="AM52" s="182" t="n">
        <v>0</v>
      </c>
      <c r="AN52" s="182" t="n">
        <v>0</v>
      </c>
    </row>
    <row r="53">
      <c r="A53" s="155" t="n">
        <v>46082</v>
      </c>
      <c r="B53" s="156" t="inlineStr">
        <is>
          <t>DS</t>
        </is>
      </c>
      <c r="C53" s="156" t="inlineStr">
        <is>
          <t>EX-753</t>
        </is>
      </c>
      <c r="D53" s="156" t="inlineStr">
        <is>
          <t>SY750H-PRO</t>
        </is>
      </c>
      <c r="E53" s="156" t="inlineStr">
        <is>
          <t>Excavator</t>
        </is>
      </c>
      <c r="F53" s="156" t="inlineStr">
        <is>
          <t>Loading OB</t>
        </is>
      </c>
      <c r="G53" s="182" t="n">
        <v>9.609999999999999</v>
      </c>
      <c r="H53" s="182" t="n">
        <v>0</v>
      </c>
      <c r="I53" s="182" t="n">
        <v>0.17</v>
      </c>
      <c r="J53" s="182" t="n">
        <v>0.17</v>
      </c>
      <c r="K53" s="182" t="n">
        <v>2.22</v>
      </c>
      <c r="L53" s="182" t="n">
        <v>12</v>
      </c>
      <c r="M53" s="182" t="n">
        <v>9.01</v>
      </c>
      <c r="N53" s="182" t="n">
        <v>0</v>
      </c>
      <c r="O53" s="183" t="n">
        <v>116</v>
      </c>
      <c r="P53" s="183" t="n">
        <v>0</v>
      </c>
      <c r="Q53" s="184" t="n">
        <v>2366.4</v>
      </c>
      <c r="R53" s="184" t="n">
        <v>0</v>
      </c>
      <c r="S53" s="183" t="n">
        <v>0</v>
      </c>
      <c r="T53" s="183" t="n">
        <v>0</v>
      </c>
      <c r="U53" s="182" t="n">
        <v>0</v>
      </c>
      <c r="V53" s="182" t="n">
        <v>0</v>
      </c>
      <c r="W53" s="182" t="n">
        <v>0</v>
      </c>
      <c r="X53" s="182" t="n">
        <v>0.9</v>
      </c>
      <c r="Y53" s="182" t="n">
        <v>0</v>
      </c>
      <c r="Z53" s="182" t="n">
        <v>0</v>
      </c>
      <c r="AA53" s="182" t="n">
        <v>0</v>
      </c>
      <c r="AB53" s="182" t="n">
        <v>0</v>
      </c>
      <c r="AC53" s="182" t="n">
        <v>0</v>
      </c>
      <c r="AD53" s="182" t="n">
        <v>1.25</v>
      </c>
      <c r="AE53" s="182" t="n">
        <v>0</v>
      </c>
      <c r="AF53" s="182" t="n">
        <v>0</v>
      </c>
      <c r="AG53" s="182" t="n">
        <v>0</v>
      </c>
      <c r="AH53" s="182" t="n">
        <v>0</v>
      </c>
      <c r="AI53" s="182" t="n">
        <v>0</v>
      </c>
      <c r="AJ53" s="182" t="n">
        <v>0</v>
      </c>
      <c r="AK53" s="182" t="n">
        <v>0</v>
      </c>
      <c r="AL53" s="182" t="n">
        <v>0</v>
      </c>
      <c r="AM53" s="182" t="n">
        <v>0.07000000000000001</v>
      </c>
      <c r="AN53" s="182" t="n">
        <v>0</v>
      </c>
    </row>
    <row r="54">
      <c r="A54" s="155" t="n">
        <v>46082</v>
      </c>
      <c r="B54" s="156" t="inlineStr">
        <is>
          <t>DS</t>
        </is>
      </c>
      <c r="C54" s="156" t="inlineStr">
        <is>
          <t>GD-012</t>
        </is>
      </c>
      <c r="D54" s="156" t="inlineStr">
        <is>
          <t>STG 230C - 8S</t>
        </is>
      </c>
      <c r="E54" s="156" t="inlineStr">
        <is>
          <t>Grader</t>
        </is>
      </c>
      <c r="F54" s="156" t="inlineStr"/>
      <c r="G54" s="182" t="n">
        <v>0</v>
      </c>
      <c r="H54" s="182" t="n">
        <v>0</v>
      </c>
      <c r="I54" s="182" t="n">
        <v>0</v>
      </c>
      <c r="J54" s="182" t="n">
        <v>0</v>
      </c>
      <c r="K54" s="182" t="n">
        <v>12</v>
      </c>
      <c r="L54" s="182" t="n">
        <v>12</v>
      </c>
      <c r="M54" s="182" t="n">
        <v>0</v>
      </c>
      <c r="N54" s="182" t="n">
        <v>0</v>
      </c>
      <c r="O54" s="183" t="n">
        <v>0</v>
      </c>
      <c r="P54" s="183" t="n">
        <v>0</v>
      </c>
      <c r="Q54" s="184" t="n">
        <v>0</v>
      </c>
      <c r="R54" s="184" t="n">
        <v>0</v>
      </c>
      <c r="S54" s="183" t="n">
        <v>0</v>
      </c>
      <c r="T54" s="183" t="n">
        <v>0</v>
      </c>
      <c r="U54" s="182" t="n">
        <v>0</v>
      </c>
      <c r="V54" s="182" t="n">
        <v>0</v>
      </c>
      <c r="W54" s="182" t="n">
        <v>0</v>
      </c>
      <c r="X54" s="182" t="n">
        <v>1</v>
      </c>
      <c r="Y54" s="182" t="n">
        <v>0</v>
      </c>
      <c r="Z54" s="182" t="n">
        <v>0</v>
      </c>
      <c r="AA54" s="182" t="n">
        <v>0</v>
      </c>
      <c r="AB54" s="182" t="n">
        <v>0</v>
      </c>
      <c r="AC54" s="182" t="n">
        <v>0</v>
      </c>
      <c r="AD54" s="182" t="n">
        <v>0</v>
      </c>
      <c r="AE54" s="182" t="n">
        <v>0</v>
      </c>
      <c r="AF54" s="182" t="n">
        <v>0</v>
      </c>
      <c r="AG54" s="182" t="n">
        <v>0</v>
      </c>
      <c r="AH54" s="182" t="n">
        <v>0</v>
      </c>
      <c r="AI54" s="182" t="n">
        <v>0</v>
      </c>
      <c r="AJ54" s="182" t="n">
        <v>0</v>
      </c>
      <c r="AK54" s="182" t="n">
        <v>10.92</v>
      </c>
      <c r="AL54" s="182" t="n">
        <v>0</v>
      </c>
      <c r="AM54" s="182" t="n">
        <v>0.08</v>
      </c>
      <c r="AN54" s="182" t="n">
        <v>0</v>
      </c>
    </row>
    <row r="55">
      <c r="A55" s="155" t="n">
        <v>46082</v>
      </c>
      <c r="B55" s="156" t="inlineStr">
        <is>
          <t>DS</t>
        </is>
      </c>
      <c r="C55" s="156" t="inlineStr">
        <is>
          <t>GD-011</t>
        </is>
      </c>
      <c r="D55" s="156" t="inlineStr">
        <is>
          <t>STG 230C - 8S</t>
        </is>
      </c>
      <c r="E55" s="156" t="inlineStr">
        <is>
          <t>Grader</t>
        </is>
      </c>
      <c r="F55" s="156" t="inlineStr"/>
      <c r="G55" s="182" t="n">
        <v>0</v>
      </c>
      <c r="H55" s="182" t="n">
        <v>0</v>
      </c>
      <c r="I55" s="182" t="n">
        <v>12</v>
      </c>
      <c r="J55" s="182" t="n">
        <v>12</v>
      </c>
      <c r="K55" s="182" t="n">
        <v>0</v>
      </c>
      <c r="L55" s="182" t="n">
        <v>12</v>
      </c>
      <c r="M55" s="182" t="n">
        <v>0</v>
      </c>
      <c r="N55" s="182" t="n">
        <v>0</v>
      </c>
      <c r="O55" s="183" t="n">
        <v>0</v>
      </c>
      <c r="P55" s="183" t="n">
        <v>0</v>
      </c>
      <c r="Q55" s="184" t="n">
        <v>0</v>
      </c>
      <c r="R55" s="184" t="n">
        <v>0</v>
      </c>
      <c r="S55" s="183" t="n">
        <v>0</v>
      </c>
      <c r="T55" s="183" t="n">
        <v>0</v>
      </c>
      <c r="U55" s="182" t="n">
        <v>0</v>
      </c>
      <c r="V55" s="182" t="n">
        <v>0</v>
      </c>
      <c r="W55" s="182" t="n">
        <v>0</v>
      </c>
      <c r="X55" s="182" t="n">
        <v>0</v>
      </c>
      <c r="Y55" s="182" t="n">
        <v>0</v>
      </c>
      <c r="Z55" s="182" t="n">
        <v>0</v>
      </c>
      <c r="AA55" s="182" t="n">
        <v>0</v>
      </c>
      <c r="AB55" s="182" t="n">
        <v>0</v>
      </c>
      <c r="AC55" s="182" t="n">
        <v>0</v>
      </c>
      <c r="AD55" s="182" t="n">
        <v>0</v>
      </c>
      <c r="AE55" s="182" t="n">
        <v>0</v>
      </c>
      <c r="AF55" s="182" t="n">
        <v>0</v>
      </c>
      <c r="AG55" s="182" t="n">
        <v>0</v>
      </c>
      <c r="AH55" s="182" t="n">
        <v>0</v>
      </c>
      <c r="AI55" s="182" t="n">
        <v>0</v>
      </c>
      <c r="AJ55" s="182" t="n">
        <v>0</v>
      </c>
      <c r="AK55" s="182" t="n">
        <v>0</v>
      </c>
      <c r="AL55" s="182" t="n">
        <v>0</v>
      </c>
      <c r="AM55" s="182" t="n">
        <v>0</v>
      </c>
      <c r="AN55" s="182" t="n">
        <v>0</v>
      </c>
    </row>
    <row r="56">
      <c r="A56" s="155" t="n">
        <v>46082</v>
      </c>
      <c r="B56" s="156" t="inlineStr">
        <is>
          <t>DS</t>
        </is>
      </c>
      <c r="C56" s="156" t="inlineStr">
        <is>
          <t>GD-013</t>
        </is>
      </c>
      <c r="D56" s="156" t="inlineStr">
        <is>
          <t>STG 265C - 10</t>
        </is>
      </c>
      <c r="E56" s="156" t="inlineStr">
        <is>
          <t>Grader</t>
        </is>
      </c>
      <c r="F56" s="156" t="inlineStr">
        <is>
          <t>Road Maintenance</t>
        </is>
      </c>
      <c r="G56" s="182" t="n">
        <v>8.699999999999999</v>
      </c>
      <c r="H56" s="182" t="n">
        <v>0</v>
      </c>
      <c r="I56" s="182" t="n">
        <v>0</v>
      </c>
      <c r="J56" s="182" t="n">
        <v>0</v>
      </c>
      <c r="K56" s="182" t="n">
        <v>3.3</v>
      </c>
      <c r="L56" s="182" t="n">
        <v>12</v>
      </c>
      <c r="M56" s="182" t="n">
        <v>0</v>
      </c>
      <c r="N56" s="182" t="n">
        <v>0</v>
      </c>
      <c r="O56" s="183" t="n">
        <v>0</v>
      </c>
      <c r="P56" s="183" t="n">
        <v>0</v>
      </c>
      <c r="Q56" s="184" t="n">
        <v>0</v>
      </c>
      <c r="R56" s="184" t="n">
        <v>0</v>
      </c>
      <c r="S56" s="183" t="n">
        <v>0</v>
      </c>
      <c r="T56" s="183" t="n">
        <v>0</v>
      </c>
      <c r="U56" s="182" t="n">
        <v>0</v>
      </c>
      <c r="V56" s="182" t="n">
        <v>0</v>
      </c>
      <c r="W56" s="182" t="n">
        <v>0</v>
      </c>
      <c r="X56" s="182" t="n">
        <v>1.06</v>
      </c>
      <c r="Y56" s="182" t="n">
        <v>0</v>
      </c>
      <c r="Z56" s="182" t="n">
        <v>0</v>
      </c>
      <c r="AA56" s="182" t="n">
        <v>0</v>
      </c>
      <c r="AB56" s="182" t="n">
        <v>0</v>
      </c>
      <c r="AC56" s="182" t="n">
        <v>0</v>
      </c>
      <c r="AD56" s="182" t="n">
        <v>2.15</v>
      </c>
      <c r="AE56" s="182" t="n">
        <v>0</v>
      </c>
      <c r="AF56" s="182" t="n">
        <v>0</v>
      </c>
      <c r="AG56" s="182" t="n">
        <v>0</v>
      </c>
      <c r="AH56" s="182" t="n">
        <v>0</v>
      </c>
      <c r="AI56" s="182" t="n">
        <v>0</v>
      </c>
      <c r="AJ56" s="182" t="n">
        <v>0</v>
      </c>
      <c r="AK56" s="182" t="n">
        <v>0</v>
      </c>
      <c r="AL56" s="182" t="n">
        <v>0</v>
      </c>
      <c r="AM56" s="182" t="n">
        <v>0.09</v>
      </c>
      <c r="AN56" s="182" t="n">
        <v>0</v>
      </c>
    </row>
    <row r="57">
      <c r="A57" s="155" t="n">
        <v>46082</v>
      </c>
      <c r="B57" s="156" t="inlineStr">
        <is>
          <t>DS</t>
        </is>
      </c>
      <c r="C57" s="156" t="inlineStr">
        <is>
          <t>GD-014</t>
        </is>
      </c>
      <c r="D57" s="156" t="inlineStr">
        <is>
          <t>STG 335C - 10</t>
        </is>
      </c>
      <c r="E57" s="156" t="inlineStr">
        <is>
          <t>Grader</t>
        </is>
      </c>
      <c r="F57" s="156" t="inlineStr">
        <is>
          <t>Road Maintenance</t>
        </is>
      </c>
      <c r="G57" s="182" t="n">
        <v>10.96</v>
      </c>
      <c r="H57" s="182" t="n">
        <v>0</v>
      </c>
      <c r="I57" s="182" t="n">
        <v>0</v>
      </c>
      <c r="J57" s="182" t="n">
        <v>0</v>
      </c>
      <c r="K57" s="182" t="n">
        <v>1.04</v>
      </c>
      <c r="L57" s="182" t="n">
        <v>12</v>
      </c>
      <c r="M57" s="182" t="n">
        <v>0</v>
      </c>
      <c r="N57" s="182" t="n">
        <v>0</v>
      </c>
      <c r="O57" s="183" t="n">
        <v>0</v>
      </c>
      <c r="P57" s="183" t="n">
        <v>0</v>
      </c>
      <c r="Q57" s="184" t="n">
        <v>0</v>
      </c>
      <c r="R57" s="184" t="n">
        <v>0</v>
      </c>
      <c r="S57" s="183" t="n">
        <v>0</v>
      </c>
      <c r="T57" s="183" t="n">
        <v>0</v>
      </c>
      <c r="U57" s="182" t="n">
        <v>0</v>
      </c>
      <c r="V57" s="182" t="n">
        <v>0</v>
      </c>
      <c r="W57" s="182" t="n">
        <v>0</v>
      </c>
      <c r="X57" s="182" t="n">
        <v>0.92</v>
      </c>
      <c r="Y57" s="182" t="n">
        <v>0</v>
      </c>
      <c r="Z57" s="182" t="n">
        <v>0</v>
      </c>
      <c r="AA57" s="182" t="n">
        <v>0</v>
      </c>
      <c r="AB57" s="182" t="n">
        <v>0</v>
      </c>
      <c r="AC57" s="182" t="n">
        <v>0</v>
      </c>
      <c r="AD57" s="182" t="n">
        <v>0</v>
      </c>
      <c r="AE57" s="182" t="n">
        <v>0</v>
      </c>
      <c r="AF57" s="182" t="n">
        <v>0</v>
      </c>
      <c r="AG57" s="182" t="n">
        <v>0</v>
      </c>
      <c r="AH57" s="182" t="n">
        <v>0</v>
      </c>
      <c r="AI57" s="182" t="n">
        <v>0</v>
      </c>
      <c r="AJ57" s="182" t="n">
        <v>0</v>
      </c>
      <c r="AK57" s="182" t="n">
        <v>0</v>
      </c>
      <c r="AL57" s="182" t="n">
        <v>0</v>
      </c>
      <c r="AM57" s="182" t="n">
        <v>0.12</v>
      </c>
      <c r="AN57" s="182" t="n">
        <v>0</v>
      </c>
    </row>
    <row r="58">
      <c r="A58" s="155" t="n">
        <v>46082</v>
      </c>
      <c r="B58" s="156" t="inlineStr">
        <is>
          <t>DS</t>
        </is>
      </c>
      <c r="C58" s="156" t="inlineStr">
        <is>
          <t>DT-809</t>
        </is>
      </c>
      <c r="D58" s="156" t="inlineStr">
        <is>
          <t>SKT 80S</t>
        </is>
      </c>
      <c r="E58" s="156" t="inlineStr">
        <is>
          <t>Hauler</t>
        </is>
      </c>
      <c r="F58" s="156" t="inlineStr"/>
      <c r="G58" s="182" t="n">
        <v>0</v>
      </c>
      <c r="H58" s="182" t="n">
        <v>0</v>
      </c>
      <c r="I58" s="182" t="n">
        <v>12</v>
      </c>
      <c r="J58" s="182" t="n">
        <v>12</v>
      </c>
      <c r="K58" s="182" t="n">
        <v>0</v>
      </c>
      <c r="L58" s="182" t="n">
        <v>12</v>
      </c>
      <c r="M58" s="182" t="n">
        <v>0</v>
      </c>
      <c r="N58" s="182" t="n">
        <v>0</v>
      </c>
      <c r="O58" s="183" t="n">
        <v>0</v>
      </c>
      <c r="P58" s="183" t="n">
        <v>0</v>
      </c>
      <c r="Q58" s="184" t="n">
        <v>0</v>
      </c>
      <c r="R58" s="184" t="n">
        <v>0</v>
      </c>
      <c r="S58" s="183" t="n">
        <v>0</v>
      </c>
      <c r="T58" s="183" t="n">
        <v>0</v>
      </c>
      <c r="U58" s="182" t="n">
        <v>0</v>
      </c>
      <c r="V58" s="182" t="n">
        <v>0</v>
      </c>
      <c r="W58" s="182" t="n">
        <v>0</v>
      </c>
      <c r="X58" s="182" t="n">
        <v>0</v>
      </c>
      <c r="Y58" s="182" t="n">
        <v>0</v>
      </c>
      <c r="Z58" s="182" t="n">
        <v>0</v>
      </c>
      <c r="AA58" s="182" t="n">
        <v>0</v>
      </c>
      <c r="AB58" s="182" t="n">
        <v>0</v>
      </c>
      <c r="AC58" s="182" t="n">
        <v>0</v>
      </c>
      <c r="AD58" s="182" t="n">
        <v>0</v>
      </c>
      <c r="AE58" s="182" t="n">
        <v>0</v>
      </c>
      <c r="AF58" s="182" t="n">
        <v>0</v>
      </c>
      <c r="AG58" s="182" t="n">
        <v>0</v>
      </c>
      <c r="AH58" s="182" t="n">
        <v>0</v>
      </c>
      <c r="AI58" s="182" t="n">
        <v>0</v>
      </c>
      <c r="AJ58" s="182" t="n">
        <v>0</v>
      </c>
      <c r="AK58" s="182" t="n">
        <v>0</v>
      </c>
      <c r="AL58" s="182" t="n">
        <v>0</v>
      </c>
      <c r="AM58" s="182" t="n">
        <v>0</v>
      </c>
      <c r="AN58" s="182" t="n">
        <v>0</v>
      </c>
    </row>
    <row r="59">
      <c r="A59" s="155" t="n">
        <v>46082</v>
      </c>
      <c r="B59" s="156" t="inlineStr">
        <is>
          <t>DS</t>
        </is>
      </c>
      <c r="C59" s="156" t="inlineStr">
        <is>
          <t>DT-806</t>
        </is>
      </c>
      <c r="D59" s="156" t="inlineStr">
        <is>
          <t>SKT 80S</t>
        </is>
      </c>
      <c r="E59" s="156" t="inlineStr">
        <is>
          <t>Hauler</t>
        </is>
      </c>
      <c r="F59" s="156" t="inlineStr"/>
      <c r="G59" s="182" t="n">
        <v>0</v>
      </c>
      <c r="H59" s="182" t="n">
        <v>0</v>
      </c>
      <c r="I59" s="182" t="n">
        <v>12</v>
      </c>
      <c r="J59" s="182" t="n">
        <v>12</v>
      </c>
      <c r="K59" s="182" t="n">
        <v>0</v>
      </c>
      <c r="L59" s="182" t="n">
        <v>12</v>
      </c>
      <c r="M59" s="182" t="n">
        <v>0</v>
      </c>
      <c r="N59" s="182" t="n">
        <v>0</v>
      </c>
      <c r="O59" s="183" t="n">
        <v>0</v>
      </c>
      <c r="P59" s="183" t="n">
        <v>0</v>
      </c>
      <c r="Q59" s="184" t="n">
        <v>0</v>
      </c>
      <c r="R59" s="184" t="n">
        <v>0</v>
      </c>
      <c r="S59" s="183" t="n">
        <v>0</v>
      </c>
      <c r="T59" s="183" t="n">
        <v>0</v>
      </c>
      <c r="U59" s="182" t="n">
        <v>0</v>
      </c>
      <c r="V59" s="182" t="n">
        <v>0</v>
      </c>
      <c r="W59" s="182" t="n">
        <v>0</v>
      </c>
      <c r="X59" s="182" t="n">
        <v>0</v>
      </c>
      <c r="Y59" s="182" t="n">
        <v>0</v>
      </c>
      <c r="Z59" s="182" t="n">
        <v>0</v>
      </c>
      <c r="AA59" s="182" t="n">
        <v>0</v>
      </c>
      <c r="AB59" s="182" t="n">
        <v>0</v>
      </c>
      <c r="AC59" s="182" t="n">
        <v>0</v>
      </c>
      <c r="AD59" s="182" t="n">
        <v>0</v>
      </c>
      <c r="AE59" s="182" t="n">
        <v>0</v>
      </c>
      <c r="AF59" s="182" t="n">
        <v>0</v>
      </c>
      <c r="AG59" s="182" t="n">
        <v>0</v>
      </c>
      <c r="AH59" s="182" t="n">
        <v>0</v>
      </c>
      <c r="AI59" s="182" t="n">
        <v>0</v>
      </c>
      <c r="AJ59" s="182" t="n">
        <v>0</v>
      </c>
      <c r="AK59" s="182" t="n">
        <v>0</v>
      </c>
      <c r="AL59" s="182" t="n">
        <v>0</v>
      </c>
      <c r="AM59" s="182" t="n">
        <v>0</v>
      </c>
      <c r="AN59" s="182" t="n">
        <v>0</v>
      </c>
    </row>
    <row r="60">
      <c r="A60" s="155" t="n">
        <v>46082</v>
      </c>
      <c r="B60" s="156" t="inlineStr">
        <is>
          <t>DS</t>
        </is>
      </c>
      <c r="C60" s="156" t="inlineStr">
        <is>
          <t>DT-805</t>
        </is>
      </c>
      <c r="D60" s="156" t="inlineStr">
        <is>
          <t>SKT 80S</t>
        </is>
      </c>
      <c r="E60" s="156" t="inlineStr">
        <is>
          <t>Hauler</t>
        </is>
      </c>
      <c r="F60" s="156" t="inlineStr"/>
      <c r="G60" s="182" t="n">
        <v>0</v>
      </c>
      <c r="H60" s="182" t="n">
        <v>0</v>
      </c>
      <c r="I60" s="182" t="n">
        <v>12</v>
      </c>
      <c r="J60" s="182" t="n">
        <v>12</v>
      </c>
      <c r="K60" s="182" t="n">
        <v>0</v>
      </c>
      <c r="L60" s="182" t="n">
        <v>12</v>
      </c>
      <c r="M60" s="182" t="n">
        <v>0</v>
      </c>
      <c r="N60" s="182" t="n">
        <v>0</v>
      </c>
      <c r="O60" s="183" t="n">
        <v>0</v>
      </c>
      <c r="P60" s="183" t="n">
        <v>0</v>
      </c>
      <c r="Q60" s="184" t="n">
        <v>0</v>
      </c>
      <c r="R60" s="184" t="n">
        <v>0</v>
      </c>
      <c r="S60" s="183" t="n">
        <v>0</v>
      </c>
      <c r="T60" s="183" t="n">
        <v>0</v>
      </c>
      <c r="U60" s="182" t="n">
        <v>0</v>
      </c>
      <c r="V60" s="182" t="n">
        <v>0</v>
      </c>
      <c r="W60" s="182" t="n">
        <v>0</v>
      </c>
      <c r="X60" s="182" t="n">
        <v>0</v>
      </c>
      <c r="Y60" s="182" t="n">
        <v>0</v>
      </c>
      <c r="Z60" s="182" t="n">
        <v>0</v>
      </c>
      <c r="AA60" s="182" t="n">
        <v>0</v>
      </c>
      <c r="AB60" s="182" t="n">
        <v>0</v>
      </c>
      <c r="AC60" s="182" t="n">
        <v>0</v>
      </c>
      <c r="AD60" s="182" t="n">
        <v>0</v>
      </c>
      <c r="AE60" s="182" t="n">
        <v>0</v>
      </c>
      <c r="AF60" s="182" t="n">
        <v>0</v>
      </c>
      <c r="AG60" s="182" t="n">
        <v>0</v>
      </c>
      <c r="AH60" s="182" t="n">
        <v>0</v>
      </c>
      <c r="AI60" s="182" t="n">
        <v>0</v>
      </c>
      <c r="AJ60" s="182" t="n">
        <v>0</v>
      </c>
      <c r="AK60" s="182" t="n">
        <v>0</v>
      </c>
      <c r="AL60" s="182" t="n">
        <v>0</v>
      </c>
      <c r="AM60" s="182" t="n">
        <v>0</v>
      </c>
      <c r="AN60" s="182" t="n">
        <v>0</v>
      </c>
    </row>
    <row r="61">
      <c r="A61" s="155" t="n">
        <v>46082</v>
      </c>
      <c r="B61" s="156" t="inlineStr">
        <is>
          <t>DS</t>
        </is>
      </c>
      <c r="C61" s="156" t="inlineStr">
        <is>
          <t>DT-801</t>
        </is>
      </c>
      <c r="D61" s="156" t="inlineStr">
        <is>
          <t>SKT 80S</t>
        </is>
      </c>
      <c r="E61" s="156" t="inlineStr">
        <is>
          <t>Hauler</t>
        </is>
      </c>
      <c r="F61" s="156" t="inlineStr"/>
      <c r="G61" s="182" t="n">
        <v>0</v>
      </c>
      <c r="H61" s="182" t="n">
        <v>0</v>
      </c>
      <c r="I61" s="182" t="n">
        <v>12</v>
      </c>
      <c r="J61" s="182" t="n">
        <v>12</v>
      </c>
      <c r="K61" s="182" t="n">
        <v>0</v>
      </c>
      <c r="L61" s="182" t="n">
        <v>12</v>
      </c>
      <c r="M61" s="182" t="n">
        <v>0</v>
      </c>
      <c r="N61" s="182" t="n">
        <v>0</v>
      </c>
      <c r="O61" s="183" t="n">
        <v>0</v>
      </c>
      <c r="P61" s="183" t="n">
        <v>0</v>
      </c>
      <c r="Q61" s="184" t="n">
        <v>0</v>
      </c>
      <c r="R61" s="184" t="n">
        <v>0</v>
      </c>
      <c r="S61" s="183" t="n">
        <v>0</v>
      </c>
      <c r="T61" s="183" t="n">
        <v>0</v>
      </c>
      <c r="U61" s="182" t="n">
        <v>0</v>
      </c>
      <c r="V61" s="182" t="n">
        <v>0</v>
      </c>
      <c r="W61" s="182" t="n">
        <v>0</v>
      </c>
      <c r="X61" s="182" t="n">
        <v>0</v>
      </c>
      <c r="Y61" s="182" t="n">
        <v>0</v>
      </c>
      <c r="Z61" s="182" t="n">
        <v>0</v>
      </c>
      <c r="AA61" s="182" t="n">
        <v>0</v>
      </c>
      <c r="AB61" s="182" t="n">
        <v>0</v>
      </c>
      <c r="AC61" s="182" t="n">
        <v>0</v>
      </c>
      <c r="AD61" s="182" t="n">
        <v>0</v>
      </c>
      <c r="AE61" s="182" t="n">
        <v>0</v>
      </c>
      <c r="AF61" s="182" t="n">
        <v>0</v>
      </c>
      <c r="AG61" s="182" t="n">
        <v>0</v>
      </c>
      <c r="AH61" s="182" t="n">
        <v>0</v>
      </c>
      <c r="AI61" s="182" t="n">
        <v>0</v>
      </c>
      <c r="AJ61" s="182" t="n">
        <v>0</v>
      </c>
      <c r="AK61" s="182" t="n">
        <v>0</v>
      </c>
      <c r="AL61" s="182" t="n">
        <v>0</v>
      </c>
      <c r="AM61" s="182" t="n">
        <v>0</v>
      </c>
      <c r="AN61" s="182" t="n">
        <v>0</v>
      </c>
    </row>
    <row r="62">
      <c r="A62" s="155" t="n">
        <v>46082</v>
      </c>
      <c r="B62" s="156" t="inlineStr">
        <is>
          <t>DS</t>
        </is>
      </c>
      <c r="C62" s="156" t="inlineStr">
        <is>
          <t>DT-808</t>
        </is>
      </c>
      <c r="D62" s="156" t="inlineStr">
        <is>
          <t>SKT 80S</t>
        </is>
      </c>
      <c r="E62" s="156" t="inlineStr">
        <is>
          <t>Hauler</t>
        </is>
      </c>
      <c r="F62" s="156" t="inlineStr">
        <is>
          <t>Support Washing Plant</t>
        </is>
      </c>
      <c r="G62" s="182" t="n">
        <v>4.25</v>
      </c>
      <c r="H62" s="182" t="n">
        <v>0</v>
      </c>
      <c r="I62" s="182" t="n">
        <v>0</v>
      </c>
      <c r="J62" s="182" t="n">
        <v>0</v>
      </c>
      <c r="K62" s="182" t="n">
        <v>7.75</v>
      </c>
      <c r="L62" s="182" t="n">
        <v>12</v>
      </c>
      <c r="M62" s="182" t="n">
        <v>0</v>
      </c>
      <c r="N62" s="182" t="n">
        <v>0</v>
      </c>
      <c r="O62" s="183" t="n">
        <v>0</v>
      </c>
      <c r="P62" s="183" t="n">
        <v>0</v>
      </c>
      <c r="Q62" s="184" t="n">
        <v>0</v>
      </c>
      <c r="R62" s="184" t="n">
        <v>0</v>
      </c>
      <c r="S62" s="183" t="n">
        <v>0</v>
      </c>
      <c r="T62" s="183" t="n">
        <v>0</v>
      </c>
      <c r="U62" s="182" t="n">
        <v>0</v>
      </c>
      <c r="V62" s="182" t="n">
        <v>0</v>
      </c>
      <c r="W62" s="182" t="n">
        <v>0</v>
      </c>
      <c r="X62" s="182" t="n">
        <v>1.02</v>
      </c>
      <c r="Y62" s="182" t="n">
        <v>0</v>
      </c>
      <c r="Z62" s="182" t="n">
        <v>0</v>
      </c>
      <c r="AA62" s="182" t="n">
        <v>0</v>
      </c>
      <c r="AB62" s="182" t="n">
        <v>0</v>
      </c>
      <c r="AC62" s="182" t="n">
        <v>0</v>
      </c>
      <c r="AD62" s="182" t="n">
        <v>0</v>
      </c>
      <c r="AE62" s="182" t="n">
        <v>0</v>
      </c>
      <c r="AF62" s="182" t="n">
        <v>0</v>
      </c>
      <c r="AG62" s="182" t="n">
        <v>0</v>
      </c>
      <c r="AH62" s="182" t="n">
        <v>0</v>
      </c>
      <c r="AI62" s="182" t="n">
        <v>0</v>
      </c>
      <c r="AJ62" s="182" t="n">
        <v>0</v>
      </c>
      <c r="AK62" s="182" t="n">
        <v>6.65</v>
      </c>
      <c r="AL62" s="182" t="n">
        <v>0</v>
      </c>
      <c r="AM62" s="182" t="n">
        <v>0.08</v>
      </c>
      <c r="AN62" s="182" t="n">
        <v>0</v>
      </c>
    </row>
    <row r="63">
      <c r="A63" s="155" t="n">
        <v>46082</v>
      </c>
      <c r="B63" s="156" t="inlineStr">
        <is>
          <t>DS</t>
        </is>
      </c>
      <c r="C63" s="156" t="inlineStr">
        <is>
          <t>DT-811</t>
        </is>
      </c>
      <c r="D63" s="156" t="inlineStr">
        <is>
          <t>SKT 80S</t>
        </is>
      </c>
      <c r="E63" s="156" t="inlineStr">
        <is>
          <t>Hauler</t>
        </is>
      </c>
      <c r="F63" s="156" t="inlineStr">
        <is>
          <t>Hauling Coal &amp; Spoil</t>
        </is>
      </c>
      <c r="G63" s="182" t="n">
        <v>5.68</v>
      </c>
      <c r="H63" s="182" t="n">
        <v>0</v>
      </c>
      <c r="I63" s="182" t="n">
        <v>1</v>
      </c>
      <c r="J63" s="182" t="n">
        <v>1</v>
      </c>
      <c r="K63" s="182" t="n">
        <v>5.32</v>
      </c>
      <c r="L63" s="182" t="n">
        <v>12</v>
      </c>
      <c r="M63" s="182" t="n">
        <v>0</v>
      </c>
      <c r="N63" s="182" t="n">
        <v>5.21</v>
      </c>
      <c r="O63" s="183" t="n">
        <v>0</v>
      </c>
      <c r="P63" s="183" t="n">
        <v>9</v>
      </c>
      <c r="Q63" s="184" t="n">
        <v>0</v>
      </c>
      <c r="R63" s="184" t="n">
        <v>137.7</v>
      </c>
      <c r="S63" s="183" t="n">
        <v>2</v>
      </c>
      <c r="T63" s="183" t="n">
        <v>0</v>
      </c>
      <c r="U63" s="182" t="n">
        <v>0</v>
      </c>
      <c r="V63" s="182" t="n">
        <v>0</v>
      </c>
      <c r="W63" s="182" t="n">
        <v>0</v>
      </c>
      <c r="X63" s="182" t="n">
        <v>1.06</v>
      </c>
      <c r="Y63" s="182" t="n">
        <v>0</v>
      </c>
      <c r="Z63" s="182" t="n">
        <v>0</v>
      </c>
      <c r="AA63" s="182" t="n">
        <v>0</v>
      </c>
      <c r="AB63" s="182" t="n">
        <v>0</v>
      </c>
      <c r="AC63" s="182" t="n">
        <v>0</v>
      </c>
      <c r="AD63" s="182" t="n">
        <v>0</v>
      </c>
      <c r="AE63" s="182" t="n">
        <v>0</v>
      </c>
      <c r="AF63" s="182" t="n">
        <v>0</v>
      </c>
      <c r="AG63" s="182" t="n">
        <v>0</v>
      </c>
      <c r="AH63" s="182" t="n">
        <v>0</v>
      </c>
      <c r="AI63" s="182" t="n">
        <v>0</v>
      </c>
      <c r="AJ63" s="182" t="n">
        <v>0</v>
      </c>
      <c r="AK63" s="182" t="n">
        <v>4.17</v>
      </c>
      <c r="AL63" s="182" t="n">
        <v>0</v>
      </c>
      <c r="AM63" s="182" t="n">
        <v>0.09</v>
      </c>
      <c r="AN63" s="182" t="n">
        <v>0</v>
      </c>
    </row>
    <row r="64">
      <c r="A64" s="155" t="n">
        <v>46082</v>
      </c>
      <c r="B64" s="156" t="inlineStr">
        <is>
          <t>DS</t>
        </is>
      </c>
      <c r="C64" s="156" t="inlineStr">
        <is>
          <t>DT-802</t>
        </is>
      </c>
      <c r="D64" s="156" t="inlineStr">
        <is>
          <t>SKT 80S</t>
        </is>
      </c>
      <c r="E64" s="156" t="inlineStr">
        <is>
          <t>Hauler</t>
        </is>
      </c>
      <c r="F64" s="156" t="inlineStr"/>
      <c r="G64" s="182" t="n">
        <v>0</v>
      </c>
      <c r="H64" s="182" t="n">
        <v>0</v>
      </c>
      <c r="I64" s="182" t="n">
        <v>0</v>
      </c>
      <c r="J64" s="182" t="n">
        <v>0</v>
      </c>
      <c r="K64" s="182" t="n">
        <v>12</v>
      </c>
      <c r="L64" s="182" t="n">
        <v>12</v>
      </c>
      <c r="M64" s="182" t="n">
        <v>0</v>
      </c>
      <c r="N64" s="182" t="n">
        <v>0</v>
      </c>
      <c r="O64" s="183" t="n">
        <v>0</v>
      </c>
      <c r="P64" s="183" t="n">
        <v>0</v>
      </c>
      <c r="Q64" s="184" t="n">
        <v>0</v>
      </c>
      <c r="R64" s="184" t="n">
        <v>0</v>
      </c>
      <c r="S64" s="183" t="n">
        <v>0</v>
      </c>
      <c r="T64" s="183" t="n">
        <v>0</v>
      </c>
      <c r="U64" s="182" t="n">
        <v>0</v>
      </c>
      <c r="V64" s="182" t="n">
        <v>0</v>
      </c>
      <c r="W64" s="182" t="n">
        <v>0</v>
      </c>
      <c r="X64" s="182" t="n">
        <v>1</v>
      </c>
      <c r="Y64" s="182" t="n">
        <v>0</v>
      </c>
      <c r="Z64" s="182" t="n">
        <v>0</v>
      </c>
      <c r="AA64" s="182" t="n">
        <v>0</v>
      </c>
      <c r="AB64" s="182" t="n">
        <v>0</v>
      </c>
      <c r="AC64" s="182" t="n">
        <v>0</v>
      </c>
      <c r="AD64" s="182" t="n">
        <v>0</v>
      </c>
      <c r="AE64" s="182" t="n">
        <v>0</v>
      </c>
      <c r="AF64" s="182" t="n">
        <v>0</v>
      </c>
      <c r="AG64" s="182" t="n">
        <v>0</v>
      </c>
      <c r="AH64" s="182" t="n">
        <v>0</v>
      </c>
      <c r="AI64" s="182" t="n">
        <v>0</v>
      </c>
      <c r="AJ64" s="182" t="n">
        <v>0</v>
      </c>
      <c r="AK64" s="182" t="n">
        <v>10.92</v>
      </c>
      <c r="AL64" s="182" t="n">
        <v>0</v>
      </c>
      <c r="AM64" s="182" t="n">
        <v>0.08</v>
      </c>
      <c r="AN64" s="182" t="n">
        <v>0</v>
      </c>
    </row>
    <row r="65">
      <c r="A65" s="155" t="n">
        <v>46082</v>
      </c>
      <c r="B65" s="156" t="inlineStr">
        <is>
          <t>DS</t>
        </is>
      </c>
      <c r="C65" s="156" t="inlineStr">
        <is>
          <t>DT-807</t>
        </is>
      </c>
      <c r="D65" s="156" t="inlineStr">
        <is>
          <t>SKT 80S</t>
        </is>
      </c>
      <c r="E65" s="156" t="inlineStr">
        <is>
          <t>Hauler</t>
        </is>
      </c>
      <c r="F65" s="156" t="inlineStr"/>
      <c r="G65" s="182" t="n">
        <v>0</v>
      </c>
      <c r="H65" s="182" t="n">
        <v>0</v>
      </c>
      <c r="I65" s="182" t="n">
        <v>10.12</v>
      </c>
      <c r="J65" s="182" t="n">
        <v>10.12</v>
      </c>
      <c r="K65" s="182" t="n">
        <v>1.88</v>
      </c>
      <c r="L65" s="182" t="n">
        <v>12</v>
      </c>
      <c r="M65" s="182" t="n">
        <v>0</v>
      </c>
      <c r="N65" s="182" t="n">
        <v>0</v>
      </c>
      <c r="O65" s="183" t="n">
        <v>0</v>
      </c>
      <c r="P65" s="183" t="n">
        <v>0</v>
      </c>
      <c r="Q65" s="184" t="n">
        <v>0</v>
      </c>
      <c r="R65" s="184" t="n">
        <v>0</v>
      </c>
      <c r="S65" s="183" t="n">
        <v>0</v>
      </c>
      <c r="T65" s="183" t="n">
        <v>0</v>
      </c>
      <c r="U65" s="182" t="n">
        <v>0</v>
      </c>
      <c r="V65" s="182" t="n">
        <v>0</v>
      </c>
      <c r="W65" s="182" t="n">
        <v>0</v>
      </c>
      <c r="X65" s="182" t="n">
        <v>1</v>
      </c>
      <c r="Y65" s="182" t="n">
        <v>0</v>
      </c>
      <c r="Z65" s="182" t="n">
        <v>0</v>
      </c>
      <c r="AA65" s="182" t="n">
        <v>0</v>
      </c>
      <c r="AB65" s="182" t="n">
        <v>0</v>
      </c>
      <c r="AC65" s="182" t="n">
        <v>0</v>
      </c>
      <c r="AD65" s="182" t="n">
        <v>0</v>
      </c>
      <c r="AE65" s="182" t="n">
        <v>0</v>
      </c>
      <c r="AF65" s="182" t="n">
        <v>0</v>
      </c>
      <c r="AG65" s="182" t="n">
        <v>0</v>
      </c>
      <c r="AH65" s="182" t="n">
        <v>0.8</v>
      </c>
      <c r="AI65" s="182" t="n">
        <v>0</v>
      </c>
      <c r="AJ65" s="182" t="n">
        <v>0</v>
      </c>
      <c r="AK65" s="182" t="n">
        <v>0</v>
      </c>
      <c r="AL65" s="182" t="n">
        <v>0</v>
      </c>
      <c r="AM65" s="182" t="n">
        <v>0.08</v>
      </c>
      <c r="AN65" s="182" t="n">
        <v>0</v>
      </c>
    </row>
    <row r="66">
      <c r="A66" s="155" t="n">
        <v>46082</v>
      </c>
      <c r="B66" s="156" t="inlineStr">
        <is>
          <t>DS</t>
        </is>
      </c>
      <c r="C66" s="156" t="inlineStr">
        <is>
          <t>DT-812</t>
        </is>
      </c>
      <c r="D66" s="156" t="inlineStr">
        <is>
          <t>SKT 80S</t>
        </is>
      </c>
      <c r="E66" s="156" t="inlineStr">
        <is>
          <t>Hauler</t>
        </is>
      </c>
      <c r="F66" s="156" t="inlineStr">
        <is>
          <t>Hauling Coal &amp; Spoil</t>
        </is>
      </c>
      <c r="G66" s="182" t="n">
        <v>5.95</v>
      </c>
      <c r="H66" s="182" t="n">
        <v>0</v>
      </c>
      <c r="I66" s="182" t="n">
        <v>0.23</v>
      </c>
      <c r="J66" s="182" t="n">
        <v>0.23</v>
      </c>
      <c r="K66" s="182" t="n">
        <v>5.82</v>
      </c>
      <c r="L66" s="182" t="n">
        <v>12</v>
      </c>
      <c r="M66" s="182" t="n">
        <v>0</v>
      </c>
      <c r="N66" s="182" t="n">
        <v>5.49</v>
      </c>
      <c r="O66" s="183" t="n">
        <v>0</v>
      </c>
      <c r="P66" s="183" t="n">
        <v>9</v>
      </c>
      <c r="Q66" s="184" t="n">
        <v>0</v>
      </c>
      <c r="R66" s="184" t="n">
        <v>137.7</v>
      </c>
      <c r="S66" s="183" t="n">
        <v>2</v>
      </c>
      <c r="T66" s="183" t="n">
        <v>0</v>
      </c>
      <c r="U66" s="182" t="n">
        <v>0</v>
      </c>
      <c r="V66" s="182" t="n">
        <v>0</v>
      </c>
      <c r="W66" s="182" t="n">
        <v>0</v>
      </c>
      <c r="X66" s="182" t="n">
        <v>1.1</v>
      </c>
      <c r="Y66" s="182" t="n">
        <v>0</v>
      </c>
      <c r="Z66" s="182" t="n">
        <v>0</v>
      </c>
      <c r="AA66" s="182" t="n">
        <v>0</v>
      </c>
      <c r="AB66" s="182" t="n">
        <v>0</v>
      </c>
      <c r="AC66" s="182" t="n">
        <v>0</v>
      </c>
      <c r="AD66" s="182" t="n">
        <v>0</v>
      </c>
      <c r="AE66" s="182" t="n">
        <v>0</v>
      </c>
      <c r="AF66" s="182" t="n">
        <v>0</v>
      </c>
      <c r="AG66" s="182" t="n">
        <v>0</v>
      </c>
      <c r="AH66" s="182" t="n">
        <v>0</v>
      </c>
      <c r="AI66" s="182" t="n">
        <v>0</v>
      </c>
      <c r="AJ66" s="182" t="n">
        <v>0</v>
      </c>
      <c r="AK66" s="182" t="n">
        <v>4.62</v>
      </c>
      <c r="AL66" s="182" t="n">
        <v>0</v>
      </c>
      <c r="AM66" s="182" t="n">
        <v>0.09</v>
      </c>
      <c r="AN66" s="182" t="n">
        <v>0</v>
      </c>
    </row>
    <row r="67">
      <c r="A67" s="155" t="n">
        <v>46082</v>
      </c>
      <c r="B67" s="156" t="inlineStr">
        <is>
          <t>DS</t>
        </is>
      </c>
      <c r="C67" s="156" t="inlineStr">
        <is>
          <t>DT-803</t>
        </is>
      </c>
      <c r="D67" s="156" t="inlineStr">
        <is>
          <t>SKT 80S</t>
        </is>
      </c>
      <c r="E67" s="156" t="inlineStr">
        <is>
          <t>Hauler</t>
        </is>
      </c>
      <c r="F67" s="156" t="inlineStr"/>
      <c r="G67" s="182" t="n">
        <v>0</v>
      </c>
      <c r="H67" s="182" t="n">
        <v>0</v>
      </c>
      <c r="I67" s="182" t="n">
        <v>0</v>
      </c>
      <c r="J67" s="182" t="n">
        <v>0</v>
      </c>
      <c r="K67" s="182" t="n">
        <v>12</v>
      </c>
      <c r="L67" s="182" t="n">
        <v>12</v>
      </c>
      <c r="M67" s="182" t="n">
        <v>0</v>
      </c>
      <c r="N67" s="182" t="n">
        <v>0</v>
      </c>
      <c r="O67" s="183" t="n">
        <v>0</v>
      </c>
      <c r="P67" s="183" t="n">
        <v>0</v>
      </c>
      <c r="Q67" s="184" t="n">
        <v>0</v>
      </c>
      <c r="R67" s="184" t="n">
        <v>0</v>
      </c>
      <c r="S67" s="183" t="n">
        <v>0</v>
      </c>
      <c r="T67" s="183" t="n">
        <v>0</v>
      </c>
      <c r="U67" s="182" t="n">
        <v>0</v>
      </c>
      <c r="V67" s="182" t="n">
        <v>0</v>
      </c>
      <c r="W67" s="182" t="n">
        <v>0</v>
      </c>
      <c r="X67" s="182" t="n">
        <v>1</v>
      </c>
      <c r="Y67" s="182" t="n">
        <v>0</v>
      </c>
      <c r="Z67" s="182" t="n">
        <v>0</v>
      </c>
      <c r="AA67" s="182" t="n">
        <v>0</v>
      </c>
      <c r="AB67" s="182" t="n">
        <v>0</v>
      </c>
      <c r="AC67" s="182" t="n">
        <v>0</v>
      </c>
      <c r="AD67" s="182" t="n">
        <v>0</v>
      </c>
      <c r="AE67" s="182" t="n">
        <v>0</v>
      </c>
      <c r="AF67" s="182" t="n">
        <v>0</v>
      </c>
      <c r="AG67" s="182" t="n">
        <v>0</v>
      </c>
      <c r="AH67" s="182" t="n">
        <v>0</v>
      </c>
      <c r="AI67" s="182" t="n">
        <v>0</v>
      </c>
      <c r="AJ67" s="182" t="n">
        <v>0</v>
      </c>
      <c r="AK67" s="182" t="n">
        <v>10.92</v>
      </c>
      <c r="AL67" s="182" t="n">
        <v>0</v>
      </c>
      <c r="AM67" s="182" t="n">
        <v>0.08</v>
      </c>
      <c r="AN67" s="182" t="n">
        <v>0</v>
      </c>
    </row>
    <row r="68">
      <c r="A68" s="155" t="n">
        <v>46082</v>
      </c>
      <c r="B68" s="156" t="inlineStr">
        <is>
          <t>DS</t>
        </is>
      </c>
      <c r="C68" s="156" t="inlineStr">
        <is>
          <t>DT-810</t>
        </is>
      </c>
      <c r="D68" s="156" t="inlineStr">
        <is>
          <t>SKT 80S</t>
        </is>
      </c>
      <c r="E68" s="156" t="inlineStr">
        <is>
          <t>Hauler</t>
        </is>
      </c>
      <c r="F68" s="156" t="inlineStr"/>
      <c r="G68" s="182" t="n">
        <v>0</v>
      </c>
      <c r="H68" s="182" t="n">
        <v>0</v>
      </c>
      <c r="I68" s="182" t="n">
        <v>0</v>
      </c>
      <c r="J68" s="182" t="n">
        <v>0</v>
      </c>
      <c r="K68" s="182" t="n">
        <v>12</v>
      </c>
      <c r="L68" s="182" t="n">
        <v>12</v>
      </c>
      <c r="M68" s="182" t="n">
        <v>0</v>
      </c>
      <c r="N68" s="182" t="n">
        <v>0</v>
      </c>
      <c r="O68" s="183" t="n">
        <v>0</v>
      </c>
      <c r="P68" s="183" t="n">
        <v>0</v>
      </c>
      <c r="Q68" s="184" t="n">
        <v>0</v>
      </c>
      <c r="R68" s="184" t="n">
        <v>0</v>
      </c>
      <c r="S68" s="183" t="n">
        <v>0</v>
      </c>
      <c r="T68" s="183" t="n">
        <v>0</v>
      </c>
      <c r="U68" s="182" t="n">
        <v>0</v>
      </c>
      <c r="V68" s="182" t="n">
        <v>0</v>
      </c>
      <c r="W68" s="182" t="n">
        <v>0</v>
      </c>
      <c r="X68" s="182" t="n">
        <v>1</v>
      </c>
      <c r="Y68" s="182" t="n">
        <v>0</v>
      </c>
      <c r="Z68" s="182" t="n">
        <v>0</v>
      </c>
      <c r="AA68" s="182" t="n">
        <v>0</v>
      </c>
      <c r="AB68" s="182" t="n">
        <v>0</v>
      </c>
      <c r="AC68" s="182" t="n">
        <v>0</v>
      </c>
      <c r="AD68" s="182" t="n">
        <v>0</v>
      </c>
      <c r="AE68" s="182" t="n">
        <v>0</v>
      </c>
      <c r="AF68" s="182" t="n">
        <v>0</v>
      </c>
      <c r="AG68" s="182" t="n">
        <v>0</v>
      </c>
      <c r="AH68" s="182" t="n">
        <v>0</v>
      </c>
      <c r="AI68" s="182" t="n">
        <v>0</v>
      </c>
      <c r="AJ68" s="182" t="n">
        <v>0</v>
      </c>
      <c r="AK68" s="182" t="n">
        <v>10.92</v>
      </c>
      <c r="AL68" s="182" t="n">
        <v>0</v>
      </c>
      <c r="AM68" s="182" t="n">
        <v>0.08</v>
      </c>
      <c r="AN68" s="182" t="n">
        <v>0</v>
      </c>
    </row>
    <row r="69">
      <c r="A69" s="155" t="n">
        <v>46082</v>
      </c>
      <c r="B69" s="156" t="inlineStr">
        <is>
          <t>DS</t>
        </is>
      </c>
      <c r="C69" s="156" t="inlineStr">
        <is>
          <t>DT-804</t>
        </is>
      </c>
      <c r="D69" s="156" t="inlineStr">
        <is>
          <t>SKT 80S</t>
        </is>
      </c>
      <c r="E69" s="156" t="inlineStr">
        <is>
          <t>Hauler</t>
        </is>
      </c>
      <c r="F69" s="156" t="inlineStr">
        <is>
          <t>Support Washing Plant</t>
        </is>
      </c>
      <c r="G69" s="182" t="n">
        <v>5.3</v>
      </c>
      <c r="H69" s="182" t="n">
        <v>0</v>
      </c>
      <c r="I69" s="182" t="n">
        <v>0</v>
      </c>
      <c r="J69" s="182" t="n">
        <v>0</v>
      </c>
      <c r="K69" s="182" t="n">
        <v>6.7</v>
      </c>
      <c r="L69" s="182" t="n">
        <v>12</v>
      </c>
      <c r="M69" s="182" t="n">
        <v>0</v>
      </c>
      <c r="N69" s="182" t="n">
        <v>0</v>
      </c>
      <c r="O69" s="183" t="n">
        <v>0</v>
      </c>
      <c r="P69" s="183" t="n">
        <v>0</v>
      </c>
      <c r="Q69" s="184" t="n">
        <v>0</v>
      </c>
      <c r="R69" s="184" t="n">
        <v>0</v>
      </c>
      <c r="S69" s="183" t="n">
        <v>0</v>
      </c>
      <c r="T69" s="183" t="n">
        <v>0</v>
      </c>
      <c r="U69" s="182" t="n">
        <v>0</v>
      </c>
      <c r="V69" s="182" t="n">
        <v>0</v>
      </c>
      <c r="W69" s="182" t="n">
        <v>0</v>
      </c>
      <c r="X69" s="182" t="n">
        <v>0.96</v>
      </c>
      <c r="Y69" s="182" t="n">
        <v>0</v>
      </c>
      <c r="Z69" s="182" t="n">
        <v>0</v>
      </c>
      <c r="AA69" s="182" t="n">
        <v>0</v>
      </c>
      <c r="AB69" s="182" t="n">
        <v>0</v>
      </c>
      <c r="AC69" s="182" t="n">
        <v>0</v>
      </c>
      <c r="AD69" s="182" t="n">
        <v>0</v>
      </c>
      <c r="AE69" s="182" t="n">
        <v>0</v>
      </c>
      <c r="AF69" s="182" t="n">
        <v>0</v>
      </c>
      <c r="AG69" s="182" t="n">
        <v>0</v>
      </c>
      <c r="AH69" s="182" t="n">
        <v>0</v>
      </c>
      <c r="AI69" s="182" t="n">
        <v>0</v>
      </c>
      <c r="AJ69" s="182" t="n">
        <v>0</v>
      </c>
      <c r="AK69" s="182" t="n">
        <v>5.67</v>
      </c>
      <c r="AL69" s="182" t="n">
        <v>0</v>
      </c>
      <c r="AM69" s="182" t="n">
        <v>0.08</v>
      </c>
      <c r="AN69" s="182" t="n">
        <v>0</v>
      </c>
    </row>
    <row r="70">
      <c r="A70" s="155" t="n">
        <v>46082</v>
      </c>
      <c r="B70" s="156" t="inlineStr">
        <is>
          <t>DS</t>
        </is>
      </c>
      <c r="C70" s="156" t="inlineStr">
        <is>
          <t>DT-505</t>
        </is>
      </c>
      <c r="D70" s="156" t="inlineStr">
        <is>
          <t>SKT 105S</t>
        </is>
      </c>
      <c r="E70" s="156" t="inlineStr">
        <is>
          <t>Hauler</t>
        </is>
      </c>
      <c r="F70" s="156" t="inlineStr"/>
      <c r="G70" s="182" t="n">
        <v>0</v>
      </c>
      <c r="H70" s="182" t="n">
        <v>12</v>
      </c>
      <c r="I70" s="182" t="n">
        <v>0</v>
      </c>
      <c r="J70" s="182" t="n">
        <v>12</v>
      </c>
      <c r="K70" s="182" t="n">
        <v>0</v>
      </c>
      <c r="L70" s="182" t="n">
        <v>12</v>
      </c>
      <c r="M70" s="182" t="n">
        <v>0</v>
      </c>
      <c r="N70" s="182" t="n">
        <v>0</v>
      </c>
      <c r="O70" s="183" t="n">
        <v>0</v>
      </c>
      <c r="P70" s="183" t="n">
        <v>0</v>
      </c>
      <c r="Q70" s="184" t="n">
        <v>0</v>
      </c>
      <c r="R70" s="184" t="n">
        <v>0</v>
      </c>
      <c r="S70" s="183" t="n">
        <v>0</v>
      </c>
      <c r="T70" s="183" t="n">
        <v>0</v>
      </c>
      <c r="U70" s="182" t="n">
        <v>0</v>
      </c>
      <c r="V70" s="182" t="n">
        <v>0</v>
      </c>
      <c r="W70" s="182" t="n">
        <v>0</v>
      </c>
      <c r="X70" s="182" t="n">
        <v>0</v>
      </c>
      <c r="Y70" s="182" t="n">
        <v>0</v>
      </c>
      <c r="Z70" s="182" t="n">
        <v>0</v>
      </c>
      <c r="AA70" s="182" t="n">
        <v>0</v>
      </c>
      <c r="AB70" s="182" t="n">
        <v>0</v>
      </c>
      <c r="AC70" s="182" t="n">
        <v>0</v>
      </c>
      <c r="AD70" s="182" t="n">
        <v>0</v>
      </c>
      <c r="AE70" s="182" t="n">
        <v>0</v>
      </c>
      <c r="AF70" s="182" t="n">
        <v>0</v>
      </c>
      <c r="AG70" s="182" t="n">
        <v>0</v>
      </c>
      <c r="AH70" s="182" t="n">
        <v>0</v>
      </c>
      <c r="AI70" s="182" t="n">
        <v>0</v>
      </c>
      <c r="AJ70" s="182" t="n">
        <v>0</v>
      </c>
      <c r="AK70" s="182" t="n">
        <v>0</v>
      </c>
      <c r="AL70" s="182" t="n">
        <v>0</v>
      </c>
      <c r="AM70" s="182" t="n">
        <v>0</v>
      </c>
      <c r="AN70" s="182" t="n">
        <v>0</v>
      </c>
    </row>
    <row r="71">
      <c r="A71" s="155" t="n">
        <v>46082</v>
      </c>
      <c r="B71" s="156" t="inlineStr">
        <is>
          <t>DS</t>
        </is>
      </c>
      <c r="C71" s="156" t="inlineStr">
        <is>
          <t>DT-530</t>
        </is>
      </c>
      <c r="D71" s="156" t="inlineStr">
        <is>
          <t>SKT 105S</t>
        </is>
      </c>
      <c r="E71" s="156" t="inlineStr">
        <is>
          <t>Hauler</t>
        </is>
      </c>
      <c r="F71" s="156" t="inlineStr"/>
      <c r="G71" s="182" t="n">
        <v>0</v>
      </c>
      <c r="H71" s="182" t="n">
        <v>0</v>
      </c>
      <c r="I71" s="182" t="n">
        <v>12</v>
      </c>
      <c r="J71" s="182" t="n">
        <v>12</v>
      </c>
      <c r="K71" s="182" t="n">
        <v>0</v>
      </c>
      <c r="L71" s="182" t="n">
        <v>12</v>
      </c>
      <c r="M71" s="182" t="n">
        <v>0</v>
      </c>
      <c r="N71" s="182" t="n">
        <v>0</v>
      </c>
      <c r="O71" s="183" t="n">
        <v>0</v>
      </c>
      <c r="P71" s="183" t="n">
        <v>0</v>
      </c>
      <c r="Q71" s="184" t="n">
        <v>0</v>
      </c>
      <c r="R71" s="184" t="n">
        <v>0</v>
      </c>
      <c r="S71" s="183" t="n">
        <v>0</v>
      </c>
      <c r="T71" s="183" t="n">
        <v>0</v>
      </c>
      <c r="U71" s="182" t="n">
        <v>0</v>
      </c>
      <c r="V71" s="182" t="n">
        <v>0</v>
      </c>
      <c r="W71" s="182" t="n">
        <v>0</v>
      </c>
      <c r="X71" s="182" t="n">
        <v>0</v>
      </c>
      <c r="Y71" s="182" t="n">
        <v>0</v>
      </c>
      <c r="Z71" s="182" t="n">
        <v>0</v>
      </c>
      <c r="AA71" s="182" t="n">
        <v>0</v>
      </c>
      <c r="AB71" s="182" t="n">
        <v>0</v>
      </c>
      <c r="AC71" s="182" t="n">
        <v>0</v>
      </c>
      <c r="AD71" s="182" t="n">
        <v>0</v>
      </c>
      <c r="AE71" s="182" t="n">
        <v>0</v>
      </c>
      <c r="AF71" s="182" t="n">
        <v>0</v>
      </c>
      <c r="AG71" s="182" t="n">
        <v>0</v>
      </c>
      <c r="AH71" s="182" t="n">
        <v>0</v>
      </c>
      <c r="AI71" s="182" t="n">
        <v>0</v>
      </c>
      <c r="AJ71" s="182" t="n">
        <v>0</v>
      </c>
      <c r="AK71" s="182" t="n">
        <v>0</v>
      </c>
      <c r="AL71" s="182" t="n">
        <v>0</v>
      </c>
      <c r="AM71" s="182" t="n">
        <v>0</v>
      </c>
      <c r="AN71" s="182" t="n">
        <v>0</v>
      </c>
    </row>
    <row r="72">
      <c r="A72" s="155" t="n">
        <v>46082</v>
      </c>
      <c r="B72" s="156" t="inlineStr">
        <is>
          <t>DS</t>
        </is>
      </c>
      <c r="C72" s="156" t="inlineStr">
        <is>
          <t>DT-525</t>
        </is>
      </c>
      <c r="D72" s="156" t="inlineStr">
        <is>
          <t>SKT 105S</t>
        </is>
      </c>
      <c r="E72" s="156" t="inlineStr">
        <is>
          <t>Hauler</t>
        </is>
      </c>
      <c r="F72" s="156" t="inlineStr"/>
      <c r="G72" s="182" t="n">
        <v>0</v>
      </c>
      <c r="H72" s="182" t="n">
        <v>0</v>
      </c>
      <c r="I72" s="182" t="n">
        <v>12</v>
      </c>
      <c r="J72" s="182" t="n">
        <v>12</v>
      </c>
      <c r="K72" s="182" t="n">
        <v>0</v>
      </c>
      <c r="L72" s="182" t="n">
        <v>12</v>
      </c>
      <c r="M72" s="182" t="n">
        <v>0</v>
      </c>
      <c r="N72" s="182" t="n">
        <v>0</v>
      </c>
      <c r="O72" s="183" t="n">
        <v>0</v>
      </c>
      <c r="P72" s="183" t="n">
        <v>0</v>
      </c>
      <c r="Q72" s="184" t="n">
        <v>0</v>
      </c>
      <c r="R72" s="184" t="n">
        <v>0</v>
      </c>
      <c r="S72" s="183" t="n">
        <v>0</v>
      </c>
      <c r="T72" s="183" t="n">
        <v>0</v>
      </c>
      <c r="U72" s="182" t="n">
        <v>0</v>
      </c>
      <c r="V72" s="182" t="n">
        <v>0</v>
      </c>
      <c r="W72" s="182" t="n">
        <v>0</v>
      </c>
      <c r="X72" s="182" t="n">
        <v>0</v>
      </c>
      <c r="Y72" s="182" t="n">
        <v>0</v>
      </c>
      <c r="Z72" s="182" t="n">
        <v>0</v>
      </c>
      <c r="AA72" s="182" t="n">
        <v>0</v>
      </c>
      <c r="AB72" s="182" t="n">
        <v>0</v>
      </c>
      <c r="AC72" s="182" t="n">
        <v>0</v>
      </c>
      <c r="AD72" s="182" t="n">
        <v>0</v>
      </c>
      <c r="AE72" s="182" t="n">
        <v>0</v>
      </c>
      <c r="AF72" s="182" t="n">
        <v>0</v>
      </c>
      <c r="AG72" s="182" t="n">
        <v>0</v>
      </c>
      <c r="AH72" s="182" t="n">
        <v>0</v>
      </c>
      <c r="AI72" s="182" t="n">
        <v>0</v>
      </c>
      <c r="AJ72" s="182" t="n">
        <v>0</v>
      </c>
      <c r="AK72" s="182" t="n">
        <v>0</v>
      </c>
      <c r="AL72" s="182" t="n">
        <v>0</v>
      </c>
      <c r="AM72" s="182" t="n">
        <v>0</v>
      </c>
      <c r="AN72" s="182" t="n">
        <v>0</v>
      </c>
    </row>
    <row r="73">
      <c r="A73" s="155" t="n">
        <v>46082</v>
      </c>
      <c r="B73" s="156" t="inlineStr">
        <is>
          <t>DS</t>
        </is>
      </c>
      <c r="C73" s="156" t="inlineStr">
        <is>
          <t>DT-503</t>
        </is>
      </c>
      <c r="D73" s="156" t="inlineStr">
        <is>
          <t>SKT 105S</t>
        </is>
      </c>
      <c r="E73" s="156" t="inlineStr">
        <is>
          <t>Hauler</t>
        </is>
      </c>
      <c r="F73" s="156" t="inlineStr">
        <is>
          <t>Hauling OB &amp; Coal</t>
        </is>
      </c>
      <c r="G73" s="182" t="n">
        <v>9.130000000000001</v>
      </c>
      <c r="H73" s="182" t="n">
        <v>0</v>
      </c>
      <c r="I73" s="182" t="n">
        <v>0</v>
      </c>
      <c r="J73" s="182" t="n">
        <v>0</v>
      </c>
      <c r="K73" s="182" t="n">
        <v>2.87</v>
      </c>
      <c r="L73" s="182" t="n">
        <v>12</v>
      </c>
      <c r="M73" s="182" t="n">
        <v>7.98</v>
      </c>
      <c r="N73" s="182" t="n">
        <v>0.98</v>
      </c>
      <c r="O73" s="183" t="n">
        <v>27</v>
      </c>
      <c r="P73" s="183" t="n">
        <v>2</v>
      </c>
      <c r="Q73" s="184" t="n">
        <v>550.8</v>
      </c>
      <c r="R73" s="184" t="n">
        <v>37.4</v>
      </c>
      <c r="S73" s="183" t="n">
        <v>0</v>
      </c>
      <c r="T73" s="183" t="n">
        <v>0</v>
      </c>
      <c r="U73" s="182" t="n">
        <v>0</v>
      </c>
      <c r="V73" s="182" t="n">
        <v>0</v>
      </c>
      <c r="W73" s="182" t="n">
        <v>0</v>
      </c>
      <c r="X73" s="182" t="n">
        <v>1.06</v>
      </c>
      <c r="Y73" s="182" t="n">
        <v>0</v>
      </c>
      <c r="Z73" s="182" t="n">
        <v>0</v>
      </c>
      <c r="AA73" s="182" t="n">
        <v>0</v>
      </c>
      <c r="AB73" s="182" t="n">
        <v>0</v>
      </c>
      <c r="AC73" s="182" t="n">
        <v>0</v>
      </c>
      <c r="AD73" s="182" t="n">
        <v>1.72</v>
      </c>
      <c r="AE73" s="182" t="n">
        <v>0</v>
      </c>
      <c r="AF73" s="182" t="n">
        <v>0</v>
      </c>
      <c r="AG73" s="182" t="n">
        <v>0</v>
      </c>
      <c r="AH73" s="182" t="n">
        <v>0</v>
      </c>
      <c r="AI73" s="182" t="n">
        <v>0</v>
      </c>
      <c r="AJ73" s="182" t="n">
        <v>0</v>
      </c>
      <c r="AK73" s="182" t="n">
        <v>0</v>
      </c>
      <c r="AL73" s="182" t="n">
        <v>0</v>
      </c>
      <c r="AM73" s="182" t="n">
        <v>0.09</v>
      </c>
      <c r="AN73" s="182" t="n">
        <v>0</v>
      </c>
    </row>
    <row r="74">
      <c r="A74" s="155" t="n">
        <v>46082</v>
      </c>
      <c r="B74" s="156" t="inlineStr">
        <is>
          <t>DS</t>
        </is>
      </c>
      <c r="C74" s="156" t="inlineStr">
        <is>
          <t>DT-504</t>
        </is>
      </c>
      <c r="D74" s="156" t="inlineStr">
        <is>
          <t>SKT 105S</t>
        </is>
      </c>
      <c r="E74" s="156" t="inlineStr">
        <is>
          <t>Hauler</t>
        </is>
      </c>
      <c r="F74" s="156" t="inlineStr">
        <is>
          <t>Hauling OB</t>
        </is>
      </c>
      <c r="G74" s="182" t="n">
        <v>5.95</v>
      </c>
      <c r="H74" s="182" t="n">
        <v>0</v>
      </c>
      <c r="I74" s="182" t="n">
        <v>0</v>
      </c>
      <c r="J74" s="182" t="n">
        <v>0</v>
      </c>
      <c r="K74" s="182" t="n">
        <v>6.05</v>
      </c>
      <c r="L74" s="182" t="n">
        <v>12</v>
      </c>
      <c r="M74" s="182" t="n">
        <v>5.95</v>
      </c>
      <c r="N74" s="182" t="n">
        <v>0</v>
      </c>
      <c r="O74" s="183" t="n">
        <v>22</v>
      </c>
      <c r="P74" s="183" t="n">
        <v>0</v>
      </c>
      <c r="Q74" s="184" t="n">
        <v>448.8</v>
      </c>
      <c r="R74" s="184" t="n">
        <v>0</v>
      </c>
      <c r="S74" s="183" t="n">
        <v>0</v>
      </c>
      <c r="T74" s="183" t="n">
        <v>0</v>
      </c>
      <c r="U74" s="182" t="n">
        <v>0</v>
      </c>
      <c r="V74" s="182" t="n">
        <v>0</v>
      </c>
      <c r="W74" s="182" t="n">
        <v>0</v>
      </c>
      <c r="X74" s="182" t="n">
        <v>0.99</v>
      </c>
      <c r="Y74" s="182" t="n">
        <v>0</v>
      </c>
      <c r="Z74" s="182" t="n">
        <v>0</v>
      </c>
      <c r="AA74" s="182" t="n">
        <v>0</v>
      </c>
      <c r="AB74" s="182" t="n">
        <v>0</v>
      </c>
      <c r="AC74" s="182" t="n">
        <v>0</v>
      </c>
      <c r="AD74" s="182" t="n">
        <v>2.48</v>
      </c>
      <c r="AE74" s="182" t="n">
        <v>0</v>
      </c>
      <c r="AF74" s="182" t="n">
        <v>0</v>
      </c>
      <c r="AG74" s="182" t="n">
        <v>0</v>
      </c>
      <c r="AH74" s="182" t="n">
        <v>0</v>
      </c>
      <c r="AI74" s="182" t="n">
        <v>2.5</v>
      </c>
      <c r="AJ74" s="182" t="n">
        <v>0</v>
      </c>
      <c r="AK74" s="182" t="n">
        <v>0</v>
      </c>
      <c r="AL74" s="182" t="n">
        <v>0</v>
      </c>
      <c r="AM74" s="182" t="n">
        <v>0.08</v>
      </c>
      <c r="AN74" s="182" t="n">
        <v>0</v>
      </c>
    </row>
    <row r="75">
      <c r="A75" s="155" t="n">
        <v>46082</v>
      </c>
      <c r="B75" s="156" t="inlineStr">
        <is>
          <t>DS</t>
        </is>
      </c>
      <c r="C75" s="156" t="inlineStr">
        <is>
          <t>DT-507</t>
        </is>
      </c>
      <c r="D75" s="156" t="inlineStr">
        <is>
          <t>SKT 105S</t>
        </is>
      </c>
      <c r="E75" s="156" t="inlineStr">
        <is>
          <t>Hauler</t>
        </is>
      </c>
      <c r="F75" s="156" t="inlineStr">
        <is>
          <t>Hauling OB</t>
        </is>
      </c>
      <c r="G75" s="182" t="n">
        <v>7.73</v>
      </c>
      <c r="H75" s="182" t="n">
        <v>0</v>
      </c>
      <c r="I75" s="182" t="n">
        <v>0</v>
      </c>
      <c r="J75" s="182" t="n">
        <v>0</v>
      </c>
      <c r="K75" s="182" t="n">
        <v>4.27</v>
      </c>
      <c r="L75" s="182" t="n">
        <v>12</v>
      </c>
      <c r="M75" s="182" t="n">
        <v>7.73</v>
      </c>
      <c r="N75" s="182" t="n">
        <v>0</v>
      </c>
      <c r="O75" s="183" t="n">
        <v>28</v>
      </c>
      <c r="P75" s="183" t="n">
        <v>0</v>
      </c>
      <c r="Q75" s="184" t="n">
        <v>571.2</v>
      </c>
      <c r="R75" s="184" t="n">
        <v>0</v>
      </c>
      <c r="S75" s="183" t="n">
        <v>0</v>
      </c>
      <c r="T75" s="183" t="n">
        <v>0</v>
      </c>
      <c r="U75" s="182" t="n">
        <v>0</v>
      </c>
      <c r="V75" s="182" t="n">
        <v>0</v>
      </c>
      <c r="W75" s="182" t="n">
        <v>0</v>
      </c>
      <c r="X75" s="182" t="n">
        <v>0.95</v>
      </c>
      <c r="Y75" s="182" t="n">
        <v>0</v>
      </c>
      <c r="Z75" s="182" t="n">
        <v>0</v>
      </c>
      <c r="AA75" s="182" t="n">
        <v>0</v>
      </c>
      <c r="AB75" s="182" t="n">
        <v>0</v>
      </c>
      <c r="AC75" s="182" t="n">
        <v>0</v>
      </c>
      <c r="AD75" s="182" t="n">
        <v>0</v>
      </c>
      <c r="AE75" s="182" t="n">
        <v>0</v>
      </c>
      <c r="AF75" s="182" t="n">
        <v>0</v>
      </c>
      <c r="AG75" s="182" t="n">
        <v>0</v>
      </c>
      <c r="AH75" s="182" t="n">
        <v>0</v>
      </c>
      <c r="AI75" s="182" t="n">
        <v>3.25</v>
      </c>
      <c r="AJ75" s="182" t="n">
        <v>0</v>
      </c>
      <c r="AK75" s="182" t="n">
        <v>0</v>
      </c>
      <c r="AL75" s="182" t="n">
        <v>0</v>
      </c>
      <c r="AM75" s="182" t="n">
        <v>0.08</v>
      </c>
      <c r="AN75" s="182" t="n">
        <v>0</v>
      </c>
    </row>
    <row r="76">
      <c r="A76" s="155" t="n">
        <v>46082</v>
      </c>
      <c r="B76" s="156" t="inlineStr">
        <is>
          <t>DS</t>
        </is>
      </c>
      <c r="C76" s="156" t="inlineStr">
        <is>
          <t>DT-501</t>
        </is>
      </c>
      <c r="D76" s="156" t="inlineStr">
        <is>
          <t>SKT 105S</t>
        </is>
      </c>
      <c r="E76" s="156" t="inlineStr">
        <is>
          <t>Hauler</t>
        </is>
      </c>
      <c r="F76" s="156" t="inlineStr"/>
      <c r="G76" s="182" t="n">
        <v>0</v>
      </c>
      <c r="H76" s="182" t="n">
        <v>0</v>
      </c>
      <c r="I76" s="182" t="n">
        <v>1.13</v>
      </c>
      <c r="J76" s="182" t="n">
        <v>1.13</v>
      </c>
      <c r="K76" s="182" t="n">
        <v>10.87</v>
      </c>
      <c r="L76" s="182" t="n">
        <v>12</v>
      </c>
      <c r="M76" s="182" t="n">
        <v>0</v>
      </c>
      <c r="N76" s="182" t="n">
        <v>0</v>
      </c>
      <c r="O76" s="183" t="n">
        <v>0</v>
      </c>
      <c r="P76" s="183" t="n">
        <v>0</v>
      </c>
      <c r="Q76" s="184" t="n">
        <v>0</v>
      </c>
      <c r="R76" s="184" t="n">
        <v>0</v>
      </c>
      <c r="S76" s="183" t="n">
        <v>0</v>
      </c>
      <c r="T76" s="183" t="n">
        <v>0</v>
      </c>
      <c r="U76" s="182" t="n">
        <v>0</v>
      </c>
      <c r="V76" s="182" t="n">
        <v>0</v>
      </c>
      <c r="W76" s="182" t="n">
        <v>0</v>
      </c>
      <c r="X76" s="182" t="n">
        <v>1</v>
      </c>
      <c r="Y76" s="182" t="n">
        <v>0</v>
      </c>
      <c r="Z76" s="182" t="n">
        <v>0</v>
      </c>
      <c r="AA76" s="182" t="n">
        <v>0</v>
      </c>
      <c r="AB76" s="182" t="n">
        <v>0</v>
      </c>
      <c r="AC76" s="182" t="n">
        <v>0</v>
      </c>
      <c r="AD76" s="182" t="n">
        <v>0</v>
      </c>
      <c r="AE76" s="182" t="n">
        <v>0</v>
      </c>
      <c r="AF76" s="182" t="n">
        <v>0</v>
      </c>
      <c r="AG76" s="182" t="n">
        <v>0</v>
      </c>
      <c r="AH76" s="182" t="n">
        <v>0</v>
      </c>
      <c r="AI76" s="182" t="n">
        <v>0</v>
      </c>
      <c r="AJ76" s="182" t="n">
        <v>0</v>
      </c>
      <c r="AK76" s="182" t="n">
        <v>9.779999999999999</v>
      </c>
      <c r="AL76" s="182" t="n">
        <v>0</v>
      </c>
      <c r="AM76" s="182" t="n">
        <v>0.08</v>
      </c>
      <c r="AN76" s="182" t="n">
        <v>0</v>
      </c>
    </row>
    <row r="77">
      <c r="A77" s="155" t="n">
        <v>46082</v>
      </c>
      <c r="B77" s="156" t="inlineStr">
        <is>
          <t>DS</t>
        </is>
      </c>
      <c r="C77" s="156" t="inlineStr">
        <is>
          <t>DT-518</t>
        </is>
      </c>
      <c r="D77" s="156" t="inlineStr">
        <is>
          <t>SKT 105S</t>
        </is>
      </c>
      <c r="E77" s="156" t="inlineStr">
        <is>
          <t>Hauler</t>
        </is>
      </c>
      <c r="F77" s="156" t="inlineStr"/>
      <c r="G77" s="182" t="n">
        <v>0</v>
      </c>
      <c r="H77" s="182" t="n">
        <v>0</v>
      </c>
      <c r="I77" s="182" t="n">
        <v>0</v>
      </c>
      <c r="J77" s="182" t="n">
        <v>0</v>
      </c>
      <c r="K77" s="182" t="n">
        <v>12</v>
      </c>
      <c r="L77" s="182" t="n">
        <v>12</v>
      </c>
      <c r="M77" s="182" t="n">
        <v>0</v>
      </c>
      <c r="N77" s="182" t="n">
        <v>0</v>
      </c>
      <c r="O77" s="183" t="n">
        <v>0</v>
      </c>
      <c r="P77" s="183" t="n">
        <v>0</v>
      </c>
      <c r="Q77" s="184" t="n">
        <v>0</v>
      </c>
      <c r="R77" s="184" t="n">
        <v>0</v>
      </c>
      <c r="S77" s="183" t="n">
        <v>0</v>
      </c>
      <c r="T77" s="183" t="n">
        <v>0</v>
      </c>
      <c r="U77" s="182" t="n">
        <v>0</v>
      </c>
      <c r="V77" s="182" t="n">
        <v>0</v>
      </c>
      <c r="W77" s="182" t="n">
        <v>0</v>
      </c>
      <c r="X77" s="182" t="n">
        <v>1</v>
      </c>
      <c r="Y77" s="182" t="n">
        <v>0</v>
      </c>
      <c r="Z77" s="182" t="n">
        <v>0</v>
      </c>
      <c r="AA77" s="182" t="n">
        <v>0</v>
      </c>
      <c r="AB77" s="182" t="n">
        <v>0</v>
      </c>
      <c r="AC77" s="182" t="n">
        <v>0</v>
      </c>
      <c r="AD77" s="182" t="n">
        <v>0</v>
      </c>
      <c r="AE77" s="182" t="n">
        <v>0</v>
      </c>
      <c r="AF77" s="182" t="n">
        <v>0</v>
      </c>
      <c r="AG77" s="182" t="n">
        <v>0</v>
      </c>
      <c r="AH77" s="182" t="n">
        <v>0</v>
      </c>
      <c r="AI77" s="182" t="n">
        <v>10.92</v>
      </c>
      <c r="AJ77" s="182" t="n">
        <v>0</v>
      </c>
      <c r="AK77" s="182" t="n">
        <v>0</v>
      </c>
      <c r="AL77" s="182" t="n">
        <v>0</v>
      </c>
      <c r="AM77" s="182" t="n">
        <v>0.08</v>
      </c>
      <c r="AN77" s="182" t="n">
        <v>0</v>
      </c>
    </row>
    <row r="78">
      <c r="A78" s="155" t="n">
        <v>46082</v>
      </c>
      <c r="B78" s="156" t="inlineStr">
        <is>
          <t>DS</t>
        </is>
      </c>
      <c r="C78" s="156" t="inlineStr">
        <is>
          <t>DT-514</t>
        </is>
      </c>
      <c r="D78" s="156" t="inlineStr">
        <is>
          <t>SKT 105S</t>
        </is>
      </c>
      <c r="E78" s="156" t="inlineStr">
        <is>
          <t>Hauler</t>
        </is>
      </c>
      <c r="F78" s="156" t="inlineStr"/>
      <c r="G78" s="182" t="n">
        <v>0</v>
      </c>
      <c r="H78" s="182" t="n">
        <v>0</v>
      </c>
      <c r="I78" s="182" t="n">
        <v>12</v>
      </c>
      <c r="J78" s="182" t="n">
        <v>12</v>
      </c>
      <c r="K78" s="182" t="n">
        <v>0</v>
      </c>
      <c r="L78" s="182" t="n">
        <v>12</v>
      </c>
      <c r="M78" s="182" t="n">
        <v>0</v>
      </c>
      <c r="N78" s="182" t="n">
        <v>0</v>
      </c>
      <c r="O78" s="183" t="n">
        <v>0</v>
      </c>
      <c r="P78" s="183" t="n">
        <v>0</v>
      </c>
      <c r="Q78" s="184" t="n">
        <v>0</v>
      </c>
      <c r="R78" s="184" t="n">
        <v>0</v>
      </c>
      <c r="S78" s="183" t="n">
        <v>0</v>
      </c>
      <c r="T78" s="183" t="n">
        <v>0</v>
      </c>
      <c r="U78" s="182" t="n">
        <v>0</v>
      </c>
      <c r="V78" s="182" t="n">
        <v>0</v>
      </c>
      <c r="W78" s="182" t="n">
        <v>0</v>
      </c>
      <c r="X78" s="182" t="n">
        <v>0</v>
      </c>
      <c r="Y78" s="182" t="n">
        <v>0</v>
      </c>
      <c r="Z78" s="182" t="n">
        <v>0</v>
      </c>
      <c r="AA78" s="182" t="n">
        <v>0</v>
      </c>
      <c r="AB78" s="182" t="n">
        <v>0</v>
      </c>
      <c r="AC78" s="182" t="n">
        <v>0</v>
      </c>
      <c r="AD78" s="182" t="n">
        <v>0</v>
      </c>
      <c r="AE78" s="182" t="n">
        <v>0</v>
      </c>
      <c r="AF78" s="182" t="n">
        <v>0</v>
      </c>
      <c r="AG78" s="182" t="n">
        <v>0</v>
      </c>
      <c r="AH78" s="182" t="n">
        <v>0</v>
      </c>
      <c r="AI78" s="182" t="n">
        <v>0</v>
      </c>
      <c r="AJ78" s="182" t="n">
        <v>0</v>
      </c>
      <c r="AK78" s="182" t="n">
        <v>0</v>
      </c>
      <c r="AL78" s="182" t="n">
        <v>0</v>
      </c>
      <c r="AM78" s="182" t="n">
        <v>0</v>
      </c>
      <c r="AN78" s="182" t="n">
        <v>0</v>
      </c>
    </row>
    <row r="79">
      <c r="A79" s="155" t="n">
        <v>46082</v>
      </c>
      <c r="B79" s="156" t="inlineStr">
        <is>
          <t>DS</t>
        </is>
      </c>
      <c r="C79" s="156" t="inlineStr">
        <is>
          <t>DT-523</t>
        </is>
      </c>
      <c r="D79" s="156" t="inlineStr">
        <is>
          <t>SKT 105S</t>
        </is>
      </c>
      <c r="E79" s="156" t="inlineStr">
        <is>
          <t>Hauler</t>
        </is>
      </c>
      <c r="F79" s="156" t="inlineStr"/>
      <c r="G79" s="182" t="n">
        <v>0</v>
      </c>
      <c r="H79" s="182" t="n">
        <v>0</v>
      </c>
      <c r="I79" s="182" t="n">
        <v>12</v>
      </c>
      <c r="J79" s="182" t="n">
        <v>12</v>
      </c>
      <c r="K79" s="182" t="n">
        <v>0</v>
      </c>
      <c r="L79" s="182" t="n">
        <v>12</v>
      </c>
      <c r="M79" s="182" t="n">
        <v>0</v>
      </c>
      <c r="N79" s="182" t="n">
        <v>0</v>
      </c>
      <c r="O79" s="183" t="n">
        <v>0</v>
      </c>
      <c r="P79" s="183" t="n">
        <v>0</v>
      </c>
      <c r="Q79" s="184" t="n">
        <v>0</v>
      </c>
      <c r="R79" s="184" t="n">
        <v>0</v>
      </c>
      <c r="S79" s="183" t="n">
        <v>0</v>
      </c>
      <c r="T79" s="183" t="n">
        <v>0</v>
      </c>
      <c r="U79" s="182" t="n">
        <v>0</v>
      </c>
      <c r="V79" s="182" t="n">
        <v>0</v>
      </c>
      <c r="W79" s="182" t="n">
        <v>0</v>
      </c>
      <c r="X79" s="182" t="n">
        <v>0</v>
      </c>
      <c r="Y79" s="182" t="n">
        <v>0</v>
      </c>
      <c r="Z79" s="182" t="n">
        <v>0</v>
      </c>
      <c r="AA79" s="182" t="n">
        <v>0</v>
      </c>
      <c r="AB79" s="182" t="n">
        <v>0</v>
      </c>
      <c r="AC79" s="182" t="n">
        <v>0</v>
      </c>
      <c r="AD79" s="182" t="n">
        <v>0</v>
      </c>
      <c r="AE79" s="182" t="n">
        <v>0</v>
      </c>
      <c r="AF79" s="182" t="n">
        <v>0</v>
      </c>
      <c r="AG79" s="182" t="n">
        <v>0</v>
      </c>
      <c r="AH79" s="182" t="n">
        <v>0</v>
      </c>
      <c r="AI79" s="182" t="n">
        <v>0</v>
      </c>
      <c r="AJ79" s="182" t="n">
        <v>0</v>
      </c>
      <c r="AK79" s="182" t="n">
        <v>0</v>
      </c>
      <c r="AL79" s="182" t="n">
        <v>0</v>
      </c>
      <c r="AM79" s="182" t="n">
        <v>0</v>
      </c>
      <c r="AN79" s="182" t="n">
        <v>0</v>
      </c>
    </row>
    <row r="80">
      <c r="A80" s="155" t="n">
        <v>46082</v>
      </c>
      <c r="B80" s="156" t="inlineStr">
        <is>
          <t>DS</t>
        </is>
      </c>
      <c r="C80" s="156" t="inlineStr">
        <is>
          <t>DT-519</t>
        </is>
      </c>
      <c r="D80" s="156" t="inlineStr">
        <is>
          <t>SKT 105S</t>
        </is>
      </c>
      <c r="E80" s="156" t="inlineStr">
        <is>
          <t>Hauler</t>
        </is>
      </c>
      <c r="F80" s="156" t="inlineStr"/>
      <c r="G80" s="182" t="n">
        <v>0</v>
      </c>
      <c r="H80" s="182" t="n">
        <v>0</v>
      </c>
      <c r="I80" s="182" t="n">
        <v>12</v>
      </c>
      <c r="J80" s="182" t="n">
        <v>12</v>
      </c>
      <c r="K80" s="182" t="n">
        <v>0</v>
      </c>
      <c r="L80" s="182" t="n">
        <v>12</v>
      </c>
      <c r="M80" s="182" t="n">
        <v>0</v>
      </c>
      <c r="N80" s="182" t="n">
        <v>0</v>
      </c>
      <c r="O80" s="183" t="n">
        <v>0</v>
      </c>
      <c r="P80" s="183" t="n">
        <v>0</v>
      </c>
      <c r="Q80" s="184" t="n">
        <v>0</v>
      </c>
      <c r="R80" s="184" t="n">
        <v>0</v>
      </c>
      <c r="S80" s="183" t="n">
        <v>0</v>
      </c>
      <c r="T80" s="183" t="n">
        <v>0</v>
      </c>
      <c r="U80" s="182" t="n">
        <v>0</v>
      </c>
      <c r="V80" s="182" t="n">
        <v>0</v>
      </c>
      <c r="W80" s="182" t="n">
        <v>0</v>
      </c>
      <c r="X80" s="182" t="n">
        <v>0</v>
      </c>
      <c r="Y80" s="182" t="n">
        <v>0</v>
      </c>
      <c r="Z80" s="182" t="n">
        <v>0</v>
      </c>
      <c r="AA80" s="182" t="n">
        <v>0</v>
      </c>
      <c r="AB80" s="182" t="n">
        <v>0</v>
      </c>
      <c r="AC80" s="182" t="n">
        <v>0</v>
      </c>
      <c r="AD80" s="182" t="n">
        <v>0</v>
      </c>
      <c r="AE80" s="182" t="n">
        <v>0</v>
      </c>
      <c r="AF80" s="182" t="n">
        <v>0</v>
      </c>
      <c r="AG80" s="182" t="n">
        <v>0</v>
      </c>
      <c r="AH80" s="182" t="n">
        <v>0</v>
      </c>
      <c r="AI80" s="182" t="n">
        <v>0</v>
      </c>
      <c r="AJ80" s="182" t="n">
        <v>0</v>
      </c>
      <c r="AK80" s="182" t="n">
        <v>0</v>
      </c>
      <c r="AL80" s="182" t="n">
        <v>0</v>
      </c>
      <c r="AM80" s="182" t="n">
        <v>0</v>
      </c>
      <c r="AN80" s="182" t="n">
        <v>0</v>
      </c>
    </row>
    <row r="81">
      <c r="A81" s="155" t="n">
        <v>46082</v>
      </c>
      <c r="B81" s="156" t="inlineStr">
        <is>
          <t>DS</t>
        </is>
      </c>
      <c r="C81" s="156" t="inlineStr">
        <is>
          <t>DT-527</t>
        </is>
      </c>
      <c r="D81" s="156" t="inlineStr">
        <is>
          <t>SKT 105S</t>
        </is>
      </c>
      <c r="E81" s="156" t="inlineStr">
        <is>
          <t>Hauler</t>
        </is>
      </c>
      <c r="F81" s="156" t="inlineStr">
        <is>
          <t>Hauling OB</t>
        </is>
      </c>
      <c r="G81" s="182" t="n">
        <v>10.15</v>
      </c>
      <c r="H81" s="182" t="n">
        <v>0</v>
      </c>
      <c r="I81" s="182" t="n">
        <v>0</v>
      </c>
      <c r="J81" s="182" t="n">
        <v>0</v>
      </c>
      <c r="K81" s="182" t="n">
        <v>1.85</v>
      </c>
      <c r="L81" s="182" t="n">
        <v>12</v>
      </c>
      <c r="M81" s="182" t="n">
        <v>10.15</v>
      </c>
      <c r="N81" s="182" t="n">
        <v>0</v>
      </c>
      <c r="O81" s="183" t="n">
        <v>44</v>
      </c>
      <c r="P81" s="183" t="n">
        <v>0</v>
      </c>
      <c r="Q81" s="184" t="n">
        <v>897.6</v>
      </c>
      <c r="R81" s="184" t="n">
        <v>0</v>
      </c>
      <c r="S81" s="183" t="n">
        <v>0</v>
      </c>
      <c r="T81" s="183" t="n">
        <v>0</v>
      </c>
      <c r="U81" s="182" t="n">
        <v>0</v>
      </c>
      <c r="V81" s="182" t="n">
        <v>0</v>
      </c>
      <c r="W81" s="182" t="n">
        <v>0</v>
      </c>
      <c r="X81" s="182" t="n">
        <v>0.93</v>
      </c>
      <c r="Y81" s="182" t="n">
        <v>0</v>
      </c>
      <c r="Z81" s="182" t="n">
        <v>0</v>
      </c>
      <c r="AA81" s="182" t="n">
        <v>0</v>
      </c>
      <c r="AB81" s="182" t="n">
        <v>0</v>
      </c>
      <c r="AC81" s="182" t="n">
        <v>0</v>
      </c>
      <c r="AD81" s="182" t="n">
        <v>0.85</v>
      </c>
      <c r="AE81" s="182" t="n">
        <v>0</v>
      </c>
      <c r="AF81" s="182" t="n">
        <v>0</v>
      </c>
      <c r="AG81" s="182" t="n">
        <v>0</v>
      </c>
      <c r="AH81" s="182" t="n">
        <v>0</v>
      </c>
      <c r="AI81" s="182" t="n">
        <v>0</v>
      </c>
      <c r="AJ81" s="182" t="n">
        <v>0</v>
      </c>
      <c r="AK81" s="182" t="n">
        <v>0</v>
      </c>
      <c r="AL81" s="182" t="n">
        <v>0</v>
      </c>
      <c r="AM81" s="182" t="n">
        <v>0.07000000000000001</v>
      </c>
      <c r="AN81" s="182" t="n">
        <v>0</v>
      </c>
    </row>
    <row r="82">
      <c r="A82" s="155" t="n">
        <v>46082</v>
      </c>
      <c r="B82" s="156" t="inlineStr">
        <is>
          <t>DS</t>
        </is>
      </c>
      <c r="C82" s="156" t="inlineStr">
        <is>
          <t>DT-513</t>
        </is>
      </c>
      <c r="D82" s="156" t="inlineStr">
        <is>
          <t>SKT 105S</t>
        </is>
      </c>
      <c r="E82" s="156" t="inlineStr">
        <is>
          <t>Hauler</t>
        </is>
      </c>
      <c r="F82" s="156" t="inlineStr">
        <is>
          <t>Hauling OB</t>
        </is>
      </c>
      <c r="G82" s="182" t="n">
        <v>5.02</v>
      </c>
      <c r="H82" s="182" t="n">
        <v>0</v>
      </c>
      <c r="I82" s="182" t="n">
        <v>6</v>
      </c>
      <c r="J82" s="182" t="n">
        <v>6</v>
      </c>
      <c r="K82" s="182" t="n">
        <v>0.98</v>
      </c>
      <c r="L82" s="182" t="n">
        <v>12</v>
      </c>
      <c r="M82" s="182" t="n">
        <v>5.02</v>
      </c>
      <c r="N82" s="182" t="n">
        <v>0</v>
      </c>
      <c r="O82" s="183" t="n">
        <v>11</v>
      </c>
      <c r="P82" s="183" t="n">
        <v>0</v>
      </c>
      <c r="Q82" s="184" t="n">
        <v>224.4</v>
      </c>
      <c r="R82" s="184" t="n">
        <v>0</v>
      </c>
      <c r="S82" s="183" t="n">
        <v>0</v>
      </c>
      <c r="T82" s="183" t="n">
        <v>0</v>
      </c>
      <c r="U82" s="182" t="n">
        <v>0</v>
      </c>
      <c r="V82" s="182" t="n">
        <v>0</v>
      </c>
      <c r="W82" s="182" t="n">
        <v>0</v>
      </c>
      <c r="X82" s="182" t="n">
        <v>0.75</v>
      </c>
      <c r="Y82" s="182" t="n">
        <v>0</v>
      </c>
      <c r="Z82" s="182" t="n">
        <v>0</v>
      </c>
      <c r="AA82" s="182" t="n">
        <v>0</v>
      </c>
      <c r="AB82" s="182" t="n">
        <v>0</v>
      </c>
      <c r="AC82" s="182" t="n">
        <v>0</v>
      </c>
      <c r="AD82" s="182" t="n">
        <v>0</v>
      </c>
      <c r="AE82" s="182" t="n">
        <v>0</v>
      </c>
      <c r="AF82" s="182" t="n">
        <v>0</v>
      </c>
      <c r="AG82" s="182" t="n">
        <v>0</v>
      </c>
      <c r="AH82" s="182" t="n">
        <v>0.17</v>
      </c>
      <c r="AI82" s="182" t="n">
        <v>0</v>
      </c>
      <c r="AJ82" s="182" t="n">
        <v>0</v>
      </c>
      <c r="AK82" s="182" t="n">
        <v>0</v>
      </c>
      <c r="AL82" s="182" t="n">
        <v>0</v>
      </c>
      <c r="AM82" s="182" t="n">
        <v>0.06</v>
      </c>
      <c r="AN82" s="182" t="n">
        <v>0</v>
      </c>
    </row>
    <row r="83">
      <c r="A83" s="155" t="n">
        <v>46082</v>
      </c>
      <c r="B83" s="156" t="inlineStr">
        <is>
          <t>DS</t>
        </is>
      </c>
      <c r="C83" s="156" t="inlineStr">
        <is>
          <t>DT-512</t>
        </is>
      </c>
      <c r="D83" s="156" t="inlineStr">
        <is>
          <t>SKT 105S</t>
        </is>
      </c>
      <c r="E83" s="156" t="inlineStr">
        <is>
          <t>Hauler</t>
        </is>
      </c>
      <c r="F83" s="156" t="inlineStr">
        <is>
          <t>Hauling OB</t>
        </is>
      </c>
      <c r="G83" s="182" t="n">
        <v>5.93</v>
      </c>
      <c r="H83" s="182" t="n">
        <v>0</v>
      </c>
      <c r="I83" s="182" t="n">
        <v>0.87</v>
      </c>
      <c r="J83" s="182" t="n">
        <v>0.87</v>
      </c>
      <c r="K83" s="182" t="n">
        <v>5.2</v>
      </c>
      <c r="L83" s="182" t="n">
        <v>12</v>
      </c>
      <c r="M83" s="182" t="n">
        <v>5.93</v>
      </c>
      <c r="N83" s="182" t="n">
        <v>0</v>
      </c>
      <c r="O83" s="183" t="n">
        <v>22</v>
      </c>
      <c r="P83" s="183" t="n">
        <v>0</v>
      </c>
      <c r="Q83" s="184" t="n">
        <v>448.8</v>
      </c>
      <c r="R83" s="184" t="n">
        <v>0</v>
      </c>
      <c r="S83" s="183" t="n">
        <v>0</v>
      </c>
      <c r="T83" s="183" t="n">
        <v>0</v>
      </c>
      <c r="U83" s="182" t="n">
        <v>0</v>
      </c>
      <c r="V83" s="182" t="n">
        <v>0</v>
      </c>
      <c r="W83" s="182" t="n">
        <v>0</v>
      </c>
      <c r="X83" s="182" t="n">
        <v>1.03</v>
      </c>
      <c r="Y83" s="182" t="n">
        <v>0</v>
      </c>
      <c r="Z83" s="182" t="n">
        <v>0</v>
      </c>
      <c r="AA83" s="182" t="n">
        <v>0</v>
      </c>
      <c r="AB83" s="182" t="n">
        <v>0</v>
      </c>
      <c r="AC83" s="182" t="n">
        <v>0</v>
      </c>
      <c r="AD83" s="182" t="n">
        <v>0</v>
      </c>
      <c r="AE83" s="182" t="n">
        <v>0</v>
      </c>
      <c r="AF83" s="182" t="n">
        <v>0</v>
      </c>
      <c r="AG83" s="182" t="n">
        <v>0</v>
      </c>
      <c r="AH83" s="182" t="n">
        <v>0</v>
      </c>
      <c r="AI83" s="182" t="n">
        <v>4.08</v>
      </c>
      <c r="AJ83" s="182" t="n">
        <v>0</v>
      </c>
      <c r="AK83" s="182" t="n">
        <v>0</v>
      </c>
      <c r="AL83" s="182" t="n">
        <v>0</v>
      </c>
      <c r="AM83" s="182" t="n">
        <v>0.08</v>
      </c>
      <c r="AN83" s="182" t="n">
        <v>0</v>
      </c>
    </row>
    <row r="84">
      <c r="A84" s="155" t="n">
        <v>46082</v>
      </c>
      <c r="B84" s="156" t="inlineStr">
        <is>
          <t>DS</t>
        </is>
      </c>
      <c r="C84" s="156" t="inlineStr">
        <is>
          <t>DT-522</t>
        </is>
      </c>
      <c r="D84" s="156" t="inlineStr">
        <is>
          <t>SKT 105S</t>
        </is>
      </c>
      <c r="E84" s="156" t="inlineStr">
        <is>
          <t>Hauler</t>
        </is>
      </c>
      <c r="F84" s="156" t="inlineStr">
        <is>
          <t>Hauling OB</t>
        </is>
      </c>
      <c r="G84" s="182" t="n">
        <v>10.52</v>
      </c>
      <c r="H84" s="182" t="n">
        <v>0</v>
      </c>
      <c r="I84" s="182" t="n">
        <v>0</v>
      </c>
      <c r="J84" s="182" t="n">
        <v>0</v>
      </c>
      <c r="K84" s="182" t="n">
        <v>1.48</v>
      </c>
      <c r="L84" s="182" t="n">
        <v>12</v>
      </c>
      <c r="M84" s="182" t="n">
        <v>10.52</v>
      </c>
      <c r="N84" s="182" t="n">
        <v>0</v>
      </c>
      <c r="O84" s="183" t="n">
        <v>48</v>
      </c>
      <c r="P84" s="183" t="n">
        <v>0</v>
      </c>
      <c r="Q84" s="184" t="n">
        <v>979.2</v>
      </c>
      <c r="R84" s="184" t="n">
        <v>0</v>
      </c>
      <c r="S84" s="183" t="n">
        <v>0</v>
      </c>
      <c r="T84" s="183" t="n">
        <v>0</v>
      </c>
      <c r="U84" s="182" t="n">
        <v>0</v>
      </c>
      <c r="V84" s="182" t="n">
        <v>0</v>
      </c>
      <c r="W84" s="182" t="n">
        <v>0</v>
      </c>
      <c r="X84" s="182" t="n">
        <v>0.82</v>
      </c>
      <c r="Y84" s="182" t="n">
        <v>0</v>
      </c>
      <c r="Z84" s="182" t="n">
        <v>0</v>
      </c>
      <c r="AA84" s="182" t="n">
        <v>0</v>
      </c>
      <c r="AB84" s="182" t="n">
        <v>0</v>
      </c>
      <c r="AC84" s="182" t="n">
        <v>0</v>
      </c>
      <c r="AD84" s="182" t="n">
        <v>0.59</v>
      </c>
      <c r="AE84" s="182" t="n">
        <v>0</v>
      </c>
      <c r="AF84" s="182" t="n">
        <v>0</v>
      </c>
      <c r="AG84" s="182" t="n">
        <v>0</v>
      </c>
      <c r="AH84" s="182" t="n">
        <v>0</v>
      </c>
      <c r="AI84" s="182" t="n">
        <v>0</v>
      </c>
      <c r="AJ84" s="182" t="n">
        <v>0</v>
      </c>
      <c r="AK84" s="182" t="n">
        <v>0</v>
      </c>
      <c r="AL84" s="182" t="n">
        <v>0</v>
      </c>
      <c r="AM84" s="182" t="n">
        <v>0.07000000000000001</v>
      </c>
      <c r="AN84" s="182" t="n">
        <v>0</v>
      </c>
    </row>
    <row r="85">
      <c r="A85" s="155" t="n">
        <v>46082</v>
      </c>
      <c r="B85" s="156" t="inlineStr">
        <is>
          <t>DS</t>
        </is>
      </c>
      <c r="C85" s="156" t="inlineStr">
        <is>
          <t>DT-517</t>
        </is>
      </c>
      <c r="D85" s="156" t="inlineStr">
        <is>
          <t>SKT 105S</t>
        </is>
      </c>
      <c r="E85" s="156" t="inlineStr">
        <is>
          <t>Hauler</t>
        </is>
      </c>
      <c r="F85" s="156" t="inlineStr">
        <is>
          <t>Hauling OB</t>
        </is>
      </c>
      <c r="G85" s="182" t="n">
        <v>6.41</v>
      </c>
      <c r="H85" s="182" t="n">
        <v>0</v>
      </c>
      <c r="I85" s="182" t="n">
        <v>0.28</v>
      </c>
      <c r="J85" s="182" t="n">
        <v>0.28</v>
      </c>
      <c r="K85" s="182" t="n">
        <v>5.31</v>
      </c>
      <c r="L85" s="182" t="n">
        <v>12</v>
      </c>
      <c r="M85" s="182" t="n">
        <v>6.41</v>
      </c>
      <c r="N85" s="182" t="n">
        <v>0</v>
      </c>
      <c r="O85" s="183" t="n">
        <v>20</v>
      </c>
      <c r="P85" s="183" t="n">
        <v>0</v>
      </c>
      <c r="Q85" s="184" t="n">
        <v>408</v>
      </c>
      <c r="R85" s="184" t="n">
        <v>0</v>
      </c>
      <c r="S85" s="183" t="n">
        <v>0</v>
      </c>
      <c r="T85" s="183" t="n">
        <v>0</v>
      </c>
      <c r="U85" s="182" t="n">
        <v>0</v>
      </c>
      <c r="V85" s="182" t="n">
        <v>0</v>
      </c>
      <c r="W85" s="182" t="n">
        <v>0</v>
      </c>
      <c r="X85" s="182" t="n">
        <v>1.06</v>
      </c>
      <c r="Y85" s="182" t="n">
        <v>0</v>
      </c>
      <c r="Z85" s="182" t="n">
        <v>0</v>
      </c>
      <c r="AA85" s="182" t="n">
        <v>0</v>
      </c>
      <c r="AB85" s="182" t="n">
        <v>0</v>
      </c>
      <c r="AC85" s="182" t="n">
        <v>0</v>
      </c>
      <c r="AD85" s="182" t="n">
        <v>2.64</v>
      </c>
      <c r="AE85" s="182" t="n">
        <v>0</v>
      </c>
      <c r="AF85" s="182" t="n">
        <v>0</v>
      </c>
      <c r="AG85" s="182" t="n">
        <v>0</v>
      </c>
      <c r="AH85" s="182" t="n">
        <v>0</v>
      </c>
      <c r="AI85" s="182" t="n">
        <v>1.51</v>
      </c>
      <c r="AJ85" s="182" t="n">
        <v>0</v>
      </c>
      <c r="AK85" s="182" t="n">
        <v>0</v>
      </c>
      <c r="AL85" s="182" t="n">
        <v>0</v>
      </c>
      <c r="AM85" s="182" t="n">
        <v>0.08</v>
      </c>
      <c r="AN85" s="182" t="n">
        <v>0</v>
      </c>
    </row>
    <row r="86">
      <c r="A86" s="155" t="n">
        <v>46082</v>
      </c>
      <c r="B86" s="156" t="inlineStr">
        <is>
          <t>DS</t>
        </is>
      </c>
      <c r="C86" s="156" t="inlineStr">
        <is>
          <t>DT-510</t>
        </is>
      </c>
      <c r="D86" s="156" t="inlineStr">
        <is>
          <t>SKT 105S</t>
        </is>
      </c>
      <c r="E86" s="156" t="inlineStr">
        <is>
          <t>Hauler</t>
        </is>
      </c>
      <c r="F86" s="156" t="inlineStr">
        <is>
          <t>Hauling OB</t>
        </is>
      </c>
      <c r="G86" s="182" t="n">
        <v>10.18</v>
      </c>
      <c r="H86" s="182" t="n">
        <v>0</v>
      </c>
      <c r="I86" s="182" t="n">
        <v>0</v>
      </c>
      <c r="J86" s="182" t="n">
        <v>0</v>
      </c>
      <c r="K86" s="182" t="n">
        <v>1.82</v>
      </c>
      <c r="L86" s="182" t="n">
        <v>12</v>
      </c>
      <c r="M86" s="182" t="n">
        <v>10.01</v>
      </c>
      <c r="N86" s="182" t="n">
        <v>0</v>
      </c>
      <c r="O86" s="183" t="n">
        <v>53</v>
      </c>
      <c r="P86" s="183" t="n">
        <v>0</v>
      </c>
      <c r="Q86" s="184" t="n">
        <v>1081.2</v>
      </c>
      <c r="R86" s="184" t="n">
        <v>0</v>
      </c>
      <c r="S86" s="183" t="n">
        <v>0</v>
      </c>
      <c r="T86" s="183" t="n">
        <v>0</v>
      </c>
      <c r="U86" s="182" t="n">
        <v>0</v>
      </c>
      <c r="V86" s="182" t="n">
        <v>0</v>
      </c>
      <c r="W86" s="182" t="n">
        <v>0</v>
      </c>
      <c r="X86" s="182" t="n">
        <v>1.01</v>
      </c>
      <c r="Y86" s="182" t="n">
        <v>0</v>
      </c>
      <c r="Z86" s="182" t="n">
        <v>0</v>
      </c>
      <c r="AA86" s="182" t="n">
        <v>0</v>
      </c>
      <c r="AB86" s="182" t="n">
        <v>0</v>
      </c>
      <c r="AC86" s="182" t="n">
        <v>0</v>
      </c>
      <c r="AD86" s="182" t="n">
        <v>0.73</v>
      </c>
      <c r="AE86" s="182" t="n">
        <v>0</v>
      </c>
      <c r="AF86" s="182" t="n">
        <v>0</v>
      </c>
      <c r="AG86" s="182" t="n">
        <v>0</v>
      </c>
      <c r="AH86" s="182" t="n">
        <v>0</v>
      </c>
      <c r="AI86" s="182" t="n">
        <v>0</v>
      </c>
      <c r="AJ86" s="182" t="n">
        <v>0</v>
      </c>
      <c r="AK86" s="182" t="n">
        <v>0</v>
      </c>
      <c r="AL86" s="182" t="n">
        <v>0</v>
      </c>
      <c r="AM86" s="182" t="n">
        <v>0.08</v>
      </c>
      <c r="AN86" s="182" t="n">
        <v>0</v>
      </c>
    </row>
    <row r="87">
      <c r="A87" s="155" t="n">
        <v>46082</v>
      </c>
      <c r="B87" s="156" t="inlineStr">
        <is>
          <t>DS</t>
        </is>
      </c>
      <c r="C87" s="156" t="inlineStr">
        <is>
          <t>DT-521</t>
        </is>
      </c>
      <c r="D87" s="156" t="inlineStr">
        <is>
          <t>SKT 105S</t>
        </is>
      </c>
      <c r="E87" s="156" t="inlineStr">
        <is>
          <t>Hauler</t>
        </is>
      </c>
      <c r="F87" s="156" t="inlineStr">
        <is>
          <t>Hauling OB</t>
        </is>
      </c>
      <c r="G87" s="182" t="n">
        <v>2.32</v>
      </c>
      <c r="H87" s="182" t="n">
        <v>0</v>
      </c>
      <c r="I87" s="182" t="n">
        <v>0</v>
      </c>
      <c r="J87" s="182" t="n">
        <v>0</v>
      </c>
      <c r="K87" s="182" t="n">
        <v>9.68</v>
      </c>
      <c r="L87" s="182" t="n">
        <v>12</v>
      </c>
      <c r="M87" s="182" t="n">
        <v>2.32</v>
      </c>
      <c r="N87" s="182" t="n">
        <v>0</v>
      </c>
      <c r="O87" s="183" t="n">
        <v>15</v>
      </c>
      <c r="P87" s="183" t="n">
        <v>0</v>
      </c>
      <c r="Q87" s="184" t="n">
        <v>306</v>
      </c>
      <c r="R87" s="184" t="n">
        <v>0</v>
      </c>
      <c r="S87" s="183" t="n">
        <v>0</v>
      </c>
      <c r="T87" s="183" t="n">
        <v>0</v>
      </c>
      <c r="U87" s="182" t="n">
        <v>0</v>
      </c>
      <c r="V87" s="182" t="n">
        <v>0</v>
      </c>
      <c r="W87" s="182" t="n">
        <v>0</v>
      </c>
      <c r="X87" s="182" t="n">
        <v>0.99</v>
      </c>
      <c r="Y87" s="182" t="n">
        <v>0</v>
      </c>
      <c r="Z87" s="182" t="n">
        <v>0</v>
      </c>
      <c r="AA87" s="182" t="n">
        <v>0</v>
      </c>
      <c r="AB87" s="182" t="n">
        <v>0</v>
      </c>
      <c r="AC87" s="182" t="n">
        <v>0</v>
      </c>
      <c r="AD87" s="182" t="n">
        <v>0</v>
      </c>
      <c r="AE87" s="182" t="n">
        <v>0</v>
      </c>
      <c r="AF87" s="182" t="n">
        <v>0</v>
      </c>
      <c r="AG87" s="182" t="n">
        <v>0</v>
      </c>
      <c r="AH87" s="182" t="n">
        <v>0</v>
      </c>
      <c r="AI87" s="182" t="n">
        <v>8.609999999999999</v>
      </c>
      <c r="AJ87" s="182" t="n">
        <v>0</v>
      </c>
      <c r="AK87" s="182" t="n">
        <v>0</v>
      </c>
      <c r="AL87" s="182" t="n">
        <v>0</v>
      </c>
      <c r="AM87" s="182" t="n">
        <v>0.08</v>
      </c>
      <c r="AN87" s="182" t="n">
        <v>0</v>
      </c>
    </row>
    <row r="88">
      <c r="A88" s="155" t="n">
        <v>46082</v>
      </c>
      <c r="B88" s="156" t="inlineStr">
        <is>
          <t>DS</t>
        </is>
      </c>
      <c r="C88" s="156" t="inlineStr">
        <is>
          <t>DT-516</t>
        </is>
      </c>
      <c r="D88" s="156" t="inlineStr">
        <is>
          <t>SKT 105S</t>
        </is>
      </c>
      <c r="E88" s="156" t="inlineStr">
        <is>
          <t>Hauler</t>
        </is>
      </c>
      <c r="F88" s="156" t="inlineStr">
        <is>
          <t>Hauling OB</t>
        </is>
      </c>
      <c r="G88" s="182" t="n">
        <v>7.04</v>
      </c>
      <c r="H88" s="182" t="n">
        <v>0</v>
      </c>
      <c r="I88" s="182" t="n">
        <v>0</v>
      </c>
      <c r="J88" s="182" t="n">
        <v>0</v>
      </c>
      <c r="K88" s="182" t="n">
        <v>4.96</v>
      </c>
      <c r="L88" s="182" t="n">
        <v>12</v>
      </c>
      <c r="M88" s="182" t="n">
        <v>7.04</v>
      </c>
      <c r="N88" s="182" t="n">
        <v>0</v>
      </c>
      <c r="O88" s="183" t="n">
        <v>27</v>
      </c>
      <c r="P88" s="183" t="n">
        <v>0</v>
      </c>
      <c r="Q88" s="184" t="n">
        <v>550.8</v>
      </c>
      <c r="R88" s="184" t="n">
        <v>0</v>
      </c>
      <c r="S88" s="183" t="n">
        <v>0</v>
      </c>
      <c r="T88" s="183" t="n">
        <v>0</v>
      </c>
      <c r="U88" s="182" t="n">
        <v>0</v>
      </c>
      <c r="V88" s="182" t="n">
        <v>0</v>
      </c>
      <c r="W88" s="182" t="n">
        <v>0</v>
      </c>
      <c r="X88" s="182" t="n">
        <v>0.97</v>
      </c>
      <c r="Y88" s="182" t="n">
        <v>0</v>
      </c>
      <c r="Z88" s="182" t="n">
        <v>0</v>
      </c>
      <c r="AA88" s="182" t="n">
        <v>0</v>
      </c>
      <c r="AB88" s="182" t="n">
        <v>0</v>
      </c>
      <c r="AC88" s="182" t="n">
        <v>0</v>
      </c>
      <c r="AD88" s="182" t="n">
        <v>0</v>
      </c>
      <c r="AE88" s="182" t="n">
        <v>0</v>
      </c>
      <c r="AF88" s="182" t="n">
        <v>0</v>
      </c>
      <c r="AG88" s="182" t="n">
        <v>0</v>
      </c>
      <c r="AH88" s="182" t="n">
        <v>0</v>
      </c>
      <c r="AI88" s="182" t="n">
        <v>3.91</v>
      </c>
      <c r="AJ88" s="182" t="n">
        <v>0</v>
      </c>
      <c r="AK88" s="182" t="n">
        <v>0</v>
      </c>
      <c r="AL88" s="182" t="n">
        <v>0</v>
      </c>
      <c r="AM88" s="182" t="n">
        <v>0.08</v>
      </c>
      <c r="AN88" s="182" t="n">
        <v>0</v>
      </c>
    </row>
    <row r="89">
      <c r="A89" s="155" t="n">
        <v>46082</v>
      </c>
      <c r="B89" s="156" t="inlineStr">
        <is>
          <t>DS</t>
        </is>
      </c>
      <c r="C89" s="156" t="inlineStr">
        <is>
          <t>DT-506</t>
        </is>
      </c>
      <c r="D89" s="156" t="inlineStr">
        <is>
          <t>SKT 105S</t>
        </is>
      </c>
      <c r="E89" s="156" t="inlineStr">
        <is>
          <t>Hauler</t>
        </is>
      </c>
      <c r="F89" s="156" t="inlineStr"/>
      <c r="G89" s="182" t="n">
        <v>0</v>
      </c>
      <c r="H89" s="182" t="n">
        <v>10</v>
      </c>
      <c r="I89" s="182" t="n">
        <v>0</v>
      </c>
      <c r="J89" s="182" t="n">
        <v>10</v>
      </c>
      <c r="K89" s="182" t="n">
        <v>2</v>
      </c>
      <c r="L89" s="182" t="n">
        <v>12</v>
      </c>
      <c r="M89" s="182" t="n">
        <v>0</v>
      </c>
      <c r="N89" s="182" t="n">
        <v>0</v>
      </c>
      <c r="O89" s="183" t="n">
        <v>0</v>
      </c>
      <c r="P89" s="183" t="n">
        <v>0</v>
      </c>
      <c r="Q89" s="184" t="n">
        <v>0</v>
      </c>
      <c r="R89" s="184" t="n">
        <v>0</v>
      </c>
      <c r="S89" s="183" t="n">
        <v>0</v>
      </c>
      <c r="T89" s="183" t="n">
        <v>0</v>
      </c>
      <c r="U89" s="182" t="n">
        <v>0</v>
      </c>
      <c r="V89" s="182" t="n">
        <v>0</v>
      </c>
      <c r="W89" s="182" t="n">
        <v>0</v>
      </c>
      <c r="X89" s="182" t="n">
        <v>1</v>
      </c>
      <c r="Y89" s="182" t="n">
        <v>0</v>
      </c>
      <c r="Z89" s="182" t="n">
        <v>0</v>
      </c>
      <c r="AA89" s="182" t="n">
        <v>0</v>
      </c>
      <c r="AB89" s="182" t="n">
        <v>0</v>
      </c>
      <c r="AC89" s="182" t="n">
        <v>0</v>
      </c>
      <c r="AD89" s="182" t="n">
        <v>0.92</v>
      </c>
      <c r="AE89" s="182" t="n">
        <v>0</v>
      </c>
      <c r="AF89" s="182" t="n">
        <v>0</v>
      </c>
      <c r="AG89" s="182" t="n">
        <v>0</v>
      </c>
      <c r="AH89" s="182" t="n">
        <v>0</v>
      </c>
      <c r="AI89" s="182" t="n">
        <v>0</v>
      </c>
      <c r="AJ89" s="182" t="n">
        <v>0</v>
      </c>
      <c r="AK89" s="182" t="n">
        <v>0</v>
      </c>
      <c r="AL89" s="182" t="n">
        <v>0</v>
      </c>
      <c r="AM89" s="182" t="n">
        <v>0.08</v>
      </c>
      <c r="AN89" s="182" t="n">
        <v>0</v>
      </c>
    </row>
    <row r="90">
      <c r="A90" s="155" t="n">
        <v>46082</v>
      </c>
      <c r="B90" s="156" t="inlineStr">
        <is>
          <t>DS</t>
        </is>
      </c>
      <c r="C90" s="156" t="inlineStr">
        <is>
          <t>DT-502</t>
        </is>
      </c>
      <c r="D90" s="156" t="inlineStr">
        <is>
          <t>SKT 105S</t>
        </is>
      </c>
      <c r="E90" s="156" t="inlineStr">
        <is>
          <t>Hauler</t>
        </is>
      </c>
      <c r="F90" s="156" t="inlineStr">
        <is>
          <t>Hauling OB</t>
        </is>
      </c>
      <c r="G90" s="182" t="n">
        <v>7.82</v>
      </c>
      <c r="H90" s="182" t="n">
        <v>0</v>
      </c>
      <c r="I90" s="182" t="n">
        <v>0</v>
      </c>
      <c r="J90" s="182" t="n">
        <v>0</v>
      </c>
      <c r="K90" s="182" t="n">
        <v>4.18</v>
      </c>
      <c r="L90" s="182" t="n">
        <v>12</v>
      </c>
      <c r="M90" s="182" t="n">
        <v>7.31</v>
      </c>
      <c r="N90" s="182" t="n">
        <v>0</v>
      </c>
      <c r="O90" s="183" t="n">
        <v>23</v>
      </c>
      <c r="P90" s="183" t="n">
        <v>0</v>
      </c>
      <c r="Q90" s="184" t="n">
        <v>469.2</v>
      </c>
      <c r="R90" s="184" t="n">
        <v>0</v>
      </c>
      <c r="S90" s="183" t="n">
        <v>0</v>
      </c>
      <c r="T90" s="183" t="n">
        <v>0</v>
      </c>
      <c r="U90" s="182" t="n">
        <v>0</v>
      </c>
      <c r="V90" s="182" t="n">
        <v>0</v>
      </c>
      <c r="W90" s="182" t="n">
        <v>0</v>
      </c>
      <c r="X90" s="182" t="n">
        <v>0.97</v>
      </c>
      <c r="Y90" s="182" t="n">
        <v>0</v>
      </c>
      <c r="Z90" s="182" t="n">
        <v>0</v>
      </c>
      <c r="AA90" s="182" t="n">
        <v>0</v>
      </c>
      <c r="AB90" s="182" t="n">
        <v>0</v>
      </c>
      <c r="AC90" s="182" t="n">
        <v>0</v>
      </c>
      <c r="AD90" s="182" t="n">
        <v>0</v>
      </c>
      <c r="AE90" s="182" t="n">
        <v>0</v>
      </c>
      <c r="AF90" s="182" t="n">
        <v>0</v>
      </c>
      <c r="AG90" s="182" t="n">
        <v>0</v>
      </c>
      <c r="AH90" s="182" t="n">
        <v>0</v>
      </c>
      <c r="AI90" s="182" t="n">
        <v>3.13</v>
      </c>
      <c r="AJ90" s="182" t="n">
        <v>0</v>
      </c>
      <c r="AK90" s="182" t="n">
        <v>0</v>
      </c>
      <c r="AL90" s="182" t="n">
        <v>0</v>
      </c>
      <c r="AM90" s="182" t="n">
        <v>0.08</v>
      </c>
      <c r="AN90" s="182" t="n">
        <v>0</v>
      </c>
    </row>
    <row r="91">
      <c r="A91" s="155" t="n">
        <v>46082</v>
      </c>
      <c r="B91" s="156" t="inlineStr">
        <is>
          <t>DS</t>
        </is>
      </c>
      <c r="C91" s="156" t="inlineStr">
        <is>
          <t>DT-528</t>
        </is>
      </c>
      <c r="D91" s="156" t="inlineStr">
        <is>
          <t>SKT 105S</t>
        </is>
      </c>
      <c r="E91" s="156" t="inlineStr">
        <is>
          <t>Hauler</t>
        </is>
      </c>
      <c r="F91" s="156" t="inlineStr">
        <is>
          <t>Hauling OB</t>
        </is>
      </c>
      <c r="G91" s="182" t="n">
        <v>6.78</v>
      </c>
      <c r="H91" s="182" t="n">
        <v>0</v>
      </c>
      <c r="I91" s="182" t="n">
        <v>0</v>
      </c>
      <c r="J91" s="182" t="n">
        <v>0</v>
      </c>
      <c r="K91" s="182" t="n">
        <v>5.22</v>
      </c>
      <c r="L91" s="182" t="n">
        <v>12</v>
      </c>
      <c r="M91" s="182" t="n">
        <v>6.78</v>
      </c>
      <c r="N91" s="182" t="n">
        <v>0</v>
      </c>
      <c r="O91" s="183" t="n">
        <v>21</v>
      </c>
      <c r="P91" s="183" t="n">
        <v>0</v>
      </c>
      <c r="Q91" s="184" t="n">
        <v>428.4</v>
      </c>
      <c r="R91" s="184" t="n">
        <v>0</v>
      </c>
      <c r="S91" s="183" t="n">
        <v>0</v>
      </c>
      <c r="T91" s="183" t="n">
        <v>0</v>
      </c>
      <c r="U91" s="182" t="n">
        <v>0</v>
      </c>
      <c r="V91" s="182" t="n">
        <v>0</v>
      </c>
      <c r="W91" s="182" t="n">
        <v>0</v>
      </c>
      <c r="X91" s="182" t="n">
        <v>0.95</v>
      </c>
      <c r="Y91" s="182" t="n">
        <v>0</v>
      </c>
      <c r="Z91" s="182" t="n">
        <v>0</v>
      </c>
      <c r="AA91" s="182" t="n">
        <v>0</v>
      </c>
      <c r="AB91" s="182" t="n">
        <v>0</v>
      </c>
      <c r="AC91" s="182" t="n">
        <v>0</v>
      </c>
      <c r="AD91" s="182" t="n">
        <v>2.37</v>
      </c>
      <c r="AE91" s="182" t="n">
        <v>0</v>
      </c>
      <c r="AF91" s="182" t="n">
        <v>0</v>
      </c>
      <c r="AG91" s="182" t="n">
        <v>0</v>
      </c>
      <c r="AH91" s="182" t="n">
        <v>0</v>
      </c>
      <c r="AI91" s="182" t="n">
        <v>1.82</v>
      </c>
      <c r="AJ91" s="182" t="n">
        <v>0</v>
      </c>
      <c r="AK91" s="182" t="n">
        <v>0</v>
      </c>
      <c r="AL91" s="182" t="n">
        <v>0</v>
      </c>
      <c r="AM91" s="182" t="n">
        <v>0.08</v>
      </c>
      <c r="AN91" s="182" t="n">
        <v>0</v>
      </c>
    </row>
    <row r="92">
      <c r="A92" s="155" t="n">
        <v>46082</v>
      </c>
      <c r="B92" s="156" t="inlineStr">
        <is>
          <t>DS</t>
        </is>
      </c>
      <c r="C92" s="156" t="inlineStr">
        <is>
          <t>DT-529</t>
        </is>
      </c>
      <c r="D92" s="156" t="inlineStr">
        <is>
          <t>SKT 105S</t>
        </is>
      </c>
      <c r="E92" s="156" t="inlineStr">
        <is>
          <t>Hauler</t>
        </is>
      </c>
      <c r="F92" s="156" t="inlineStr">
        <is>
          <t>Hauling OB</t>
        </is>
      </c>
      <c r="G92" s="182" t="n">
        <v>6.26</v>
      </c>
      <c r="H92" s="182" t="n">
        <v>0</v>
      </c>
      <c r="I92" s="182" t="n">
        <v>0.8</v>
      </c>
      <c r="J92" s="182" t="n">
        <v>0.8</v>
      </c>
      <c r="K92" s="182" t="n">
        <v>4.94</v>
      </c>
      <c r="L92" s="182" t="n">
        <v>12</v>
      </c>
      <c r="M92" s="182" t="n">
        <v>6.26</v>
      </c>
      <c r="N92" s="182" t="n">
        <v>0</v>
      </c>
      <c r="O92" s="183" t="n">
        <v>19</v>
      </c>
      <c r="P92" s="183" t="n">
        <v>0</v>
      </c>
      <c r="Q92" s="184" t="n">
        <v>387.6</v>
      </c>
      <c r="R92" s="184" t="n">
        <v>0</v>
      </c>
      <c r="S92" s="183" t="n">
        <v>0</v>
      </c>
      <c r="T92" s="183" t="n">
        <v>0</v>
      </c>
      <c r="U92" s="182" t="n">
        <v>0</v>
      </c>
      <c r="V92" s="182" t="n">
        <v>0</v>
      </c>
      <c r="W92" s="182" t="n">
        <v>0</v>
      </c>
      <c r="X92" s="182" t="n">
        <v>0.99</v>
      </c>
      <c r="Y92" s="182" t="n">
        <v>0</v>
      </c>
      <c r="Z92" s="182" t="n">
        <v>0</v>
      </c>
      <c r="AA92" s="182" t="n">
        <v>0</v>
      </c>
      <c r="AB92" s="182" t="n">
        <v>0</v>
      </c>
      <c r="AC92" s="182" t="n">
        <v>0</v>
      </c>
      <c r="AD92" s="182" t="n">
        <v>0</v>
      </c>
      <c r="AE92" s="182" t="n">
        <v>0</v>
      </c>
      <c r="AF92" s="182" t="n">
        <v>0</v>
      </c>
      <c r="AG92" s="182" t="n">
        <v>0</v>
      </c>
      <c r="AH92" s="182" t="n">
        <v>0</v>
      </c>
      <c r="AI92" s="182" t="n">
        <v>3.87</v>
      </c>
      <c r="AJ92" s="182" t="n">
        <v>0</v>
      </c>
      <c r="AK92" s="182" t="n">
        <v>0</v>
      </c>
      <c r="AL92" s="182" t="n">
        <v>0</v>
      </c>
      <c r="AM92" s="182" t="n">
        <v>0.08</v>
      </c>
      <c r="AN92" s="182" t="n">
        <v>0</v>
      </c>
    </row>
    <row r="93">
      <c r="A93" s="155" t="n">
        <v>46082</v>
      </c>
      <c r="B93" s="156" t="inlineStr">
        <is>
          <t>DS</t>
        </is>
      </c>
      <c r="C93" s="156" t="inlineStr">
        <is>
          <t>DT-520</t>
        </is>
      </c>
      <c r="D93" s="156" t="inlineStr">
        <is>
          <t>SKT 105S</t>
        </is>
      </c>
      <c r="E93" s="156" t="inlineStr">
        <is>
          <t>Hauler</t>
        </is>
      </c>
      <c r="F93" s="156" t="inlineStr">
        <is>
          <t>Hauling OB</t>
        </is>
      </c>
      <c r="G93" s="182" t="n">
        <v>10.52</v>
      </c>
      <c r="H93" s="182" t="n">
        <v>0</v>
      </c>
      <c r="I93" s="182" t="n">
        <v>0</v>
      </c>
      <c r="J93" s="182" t="n">
        <v>0</v>
      </c>
      <c r="K93" s="182" t="n">
        <v>1.48</v>
      </c>
      <c r="L93" s="182" t="n">
        <v>12</v>
      </c>
      <c r="M93" s="182" t="n">
        <v>10.51</v>
      </c>
      <c r="N93" s="182" t="n">
        <v>0</v>
      </c>
      <c r="O93" s="183" t="n">
        <v>52</v>
      </c>
      <c r="P93" s="183" t="n">
        <v>0</v>
      </c>
      <c r="Q93" s="184" t="n">
        <v>1060.8</v>
      </c>
      <c r="R93" s="184" t="n">
        <v>0</v>
      </c>
      <c r="S93" s="183" t="n">
        <v>0</v>
      </c>
      <c r="T93" s="183" t="n">
        <v>0</v>
      </c>
      <c r="U93" s="182" t="n">
        <v>0</v>
      </c>
      <c r="V93" s="182" t="n">
        <v>0</v>
      </c>
      <c r="W93" s="182" t="n">
        <v>0</v>
      </c>
      <c r="X93" s="182" t="n">
        <v>0.78</v>
      </c>
      <c r="Y93" s="182" t="n">
        <v>0</v>
      </c>
      <c r="Z93" s="182" t="n">
        <v>0</v>
      </c>
      <c r="AA93" s="182" t="n">
        <v>0</v>
      </c>
      <c r="AB93" s="182" t="n">
        <v>0</v>
      </c>
      <c r="AC93" s="182" t="n">
        <v>0</v>
      </c>
      <c r="AD93" s="182" t="n">
        <v>0.64</v>
      </c>
      <c r="AE93" s="182" t="n">
        <v>0</v>
      </c>
      <c r="AF93" s="182" t="n">
        <v>0</v>
      </c>
      <c r="AG93" s="182" t="n">
        <v>0</v>
      </c>
      <c r="AH93" s="182" t="n">
        <v>0</v>
      </c>
      <c r="AI93" s="182" t="n">
        <v>0</v>
      </c>
      <c r="AJ93" s="182" t="n">
        <v>0</v>
      </c>
      <c r="AK93" s="182" t="n">
        <v>0</v>
      </c>
      <c r="AL93" s="182" t="n">
        <v>0</v>
      </c>
      <c r="AM93" s="182" t="n">
        <v>0.06</v>
      </c>
      <c r="AN93" s="182" t="n">
        <v>0</v>
      </c>
    </row>
    <row r="94">
      <c r="A94" s="155" t="n">
        <v>46082</v>
      </c>
      <c r="B94" s="156" t="inlineStr">
        <is>
          <t>DS</t>
        </is>
      </c>
      <c r="C94" s="156" t="inlineStr">
        <is>
          <t>DT-511</t>
        </is>
      </c>
      <c r="D94" s="156" t="inlineStr">
        <is>
          <t>SKT 105S</t>
        </is>
      </c>
      <c r="E94" s="156" t="inlineStr">
        <is>
          <t>Hauler</t>
        </is>
      </c>
      <c r="F94" s="156" t="inlineStr"/>
      <c r="G94" s="182" t="n">
        <v>0</v>
      </c>
      <c r="H94" s="182" t="n">
        <v>0</v>
      </c>
      <c r="I94" s="182" t="n">
        <v>12</v>
      </c>
      <c r="J94" s="182" t="n">
        <v>12</v>
      </c>
      <c r="K94" s="182" t="n">
        <v>0</v>
      </c>
      <c r="L94" s="182" t="n">
        <v>12</v>
      </c>
      <c r="M94" s="182" t="n">
        <v>0</v>
      </c>
      <c r="N94" s="182" t="n">
        <v>0</v>
      </c>
      <c r="O94" s="183" t="n">
        <v>0</v>
      </c>
      <c r="P94" s="183" t="n">
        <v>0</v>
      </c>
      <c r="Q94" s="184" t="n">
        <v>0</v>
      </c>
      <c r="R94" s="184" t="n">
        <v>0</v>
      </c>
      <c r="S94" s="183" t="n">
        <v>0</v>
      </c>
      <c r="T94" s="183" t="n">
        <v>0</v>
      </c>
      <c r="U94" s="182" t="n">
        <v>0</v>
      </c>
      <c r="V94" s="182" t="n">
        <v>0</v>
      </c>
      <c r="W94" s="182" t="n">
        <v>0</v>
      </c>
      <c r="X94" s="182" t="n">
        <v>0</v>
      </c>
      <c r="Y94" s="182" t="n">
        <v>0</v>
      </c>
      <c r="Z94" s="182" t="n">
        <v>0</v>
      </c>
      <c r="AA94" s="182" t="n">
        <v>0</v>
      </c>
      <c r="AB94" s="182" t="n">
        <v>0</v>
      </c>
      <c r="AC94" s="182" t="n">
        <v>0</v>
      </c>
      <c r="AD94" s="182" t="n">
        <v>0</v>
      </c>
      <c r="AE94" s="182" t="n">
        <v>0</v>
      </c>
      <c r="AF94" s="182" t="n">
        <v>0</v>
      </c>
      <c r="AG94" s="182" t="n">
        <v>0</v>
      </c>
      <c r="AH94" s="182" t="n">
        <v>0</v>
      </c>
      <c r="AI94" s="182" t="n">
        <v>0</v>
      </c>
      <c r="AJ94" s="182" t="n">
        <v>0</v>
      </c>
      <c r="AK94" s="182" t="n">
        <v>0</v>
      </c>
      <c r="AL94" s="182" t="n">
        <v>0</v>
      </c>
      <c r="AM94" s="182" t="n">
        <v>0</v>
      </c>
      <c r="AN94" s="182" t="n">
        <v>0</v>
      </c>
    </row>
    <row r="95">
      <c r="A95" s="155" t="n">
        <v>46082</v>
      </c>
      <c r="B95" s="156" t="inlineStr">
        <is>
          <t>DS</t>
        </is>
      </c>
      <c r="C95" s="156" t="inlineStr">
        <is>
          <t>DT-509</t>
        </is>
      </c>
      <c r="D95" s="156" t="inlineStr">
        <is>
          <t>SKT 105S</t>
        </is>
      </c>
      <c r="E95" s="156" t="inlineStr">
        <is>
          <t>Hauler</t>
        </is>
      </c>
      <c r="F95" s="156" t="inlineStr"/>
      <c r="G95" s="182" t="n">
        <v>0</v>
      </c>
      <c r="H95" s="182" t="n">
        <v>0</v>
      </c>
      <c r="I95" s="182" t="n">
        <v>12</v>
      </c>
      <c r="J95" s="182" t="n">
        <v>12</v>
      </c>
      <c r="K95" s="182" t="n">
        <v>0</v>
      </c>
      <c r="L95" s="182" t="n">
        <v>12</v>
      </c>
      <c r="M95" s="182" t="n">
        <v>0</v>
      </c>
      <c r="N95" s="182" t="n">
        <v>0</v>
      </c>
      <c r="O95" s="183" t="n">
        <v>0</v>
      </c>
      <c r="P95" s="183" t="n">
        <v>0</v>
      </c>
      <c r="Q95" s="184" t="n">
        <v>0</v>
      </c>
      <c r="R95" s="184" t="n">
        <v>0</v>
      </c>
      <c r="S95" s="183" t="n">
        <v>0</v>
      </c>
      <c r="T95" s="183" t="n">
        <v>0</v>
      </c>
      <c r="U95" s="182" t="n">
        <v>0</v>
      </c>
      <c r="V95" s="182" t="n">
        <v>0</v>
      </c>
      <c r="W95" s="182" t="n">
        <v>0</v>
      </c>
      <c r="X95" s="182" t="n">
        <v>0</v>
      </c>
      <c r="Y95" s="182" t="n">
        <v>0</v>
      </c>
      <c r="Z95" s="182" t="n">
        <v>0</v>
      </c>
      <c r="AA95" s="182" t="n">
        <v>0</v>
      </c>
      <c r="AB95" s="182" t="n">
        <v>0</v>
      </c>
      <c r="AC95" s="182" t="n">
        <v>0</v>
      </c>
      <c r="AD95" s="182" t="n">
        <v>0</v>
      </c>
      <c r="AE95" s="182" t="n">
        <v>0</v>
      </c>
      <c r="AF95" s="182" t="n">
        <v>0</v>
      </c>
      <c r="AG95" s="182" t="n">
        <v>0</v>
      </c>
      <c r="AH95" s="182" t="n">
        <v>0</v>
      </c>
      <c r="AI95" s="182" t="n">
        <v>0</v>
      </c>
      <c r="AJ95" s="182" t="n">
        <v>0</v>
      </c>
      <c r="AK95" s="182" t="n">
        <v>0</v>
      </c>
      <c r="AL95" s="182" t="n">
        <v>0</v>
      </c>
      <c r="AM95" s="182" t="n">
        <v>0</v>
      </c>
      <c r="AN95" s="182" t="n">
        <v>0</v>
      </c>
    </row>
    <row r="96">
      <c r="A96" s="155" t="n">
        <v>46082</v>
      </c>
      <c r="B96" s="156" t="inlineStr">
        <is>
          <t>DS</t>
        </is>
      </c>
      <c r="C96" s="156" t="inlineStr">
        <is>
          <t>DT-526</t>
        </is>
      </c>
      <c r="D96" s="156" t="inlineStr">
        <is>
          <t>SKT 105S</t>
        </is>
      </c>
      <c r="E96" s="156" t="inlineStr">
        <is>
          <t>Hauler</t>
        </is>
      </c>
      <c r="F96" s="156" t="inlineStr">
        <is>
          <t>Hauling Coal &amp; OB</t>
        </is>
      </c>
      <c r="G96" s="182" t="n">
        <v>5.86</v>
      </c>
      <c r="H96" s="182" t="n">
        <v>0</v>
      </c>
      <c r="I96" s="182" t="n">
        <v>0.25</v>
      </c>
      <c r="J96" s="182" t="n">
        <v>0.25</v>
      </c>
      <c r="K96" s="182" t="n">
        <v>5.89</v>
      </c>
      <c r="L96" s="182" t="n">
        <v>12</v>
      </c>
      <c r="M96" s="182" t="n">
        <v>0</v>
      </c>
      <c r="N96" s="182" t="n">
        <v>5.86</v>
      </c>
      <c r="O96" s="183" t="n">
        <v>18</v>
      </c>
      <c r="P96" s="183" t="n">
        <v>2</v>
      </c>
      <c r="Q96" s="184" t="n">
        <v>367.2</v>
      </c>
      <c r="R96" s="184" t="n">
        <v>37.4</v>
      </c>
      <c r="S96" s="183" t="n">
        <v>0</v>
      </c>
      <c r="T96" s="183" t="n">
        <v>0</v>
      </c>
      <c r="U96" s="182" t="n">
        <v>0</v>
      </c>
      <c r="V96" s="182" t="n">
        <v>0</v>
      </c>
      <c r="W96" s="182" t="n">
        <v>0</v>
      </c>
      <c r="X96" s="182" t="n">
        <v>1.06</v>
      </c>
      <c r="Y96" s="182" t="n">
        <v>0</v>
      </c>
      <c r="Z96" s="182" t="n">
        <v>0</v>
      </c>
      <c r="AA96" s="182" t="n">
        <v>0</v>
      </c>
      <c r="AB96" s="182" t="n">
        <v>0</v>
      </c>
      <c r="AC96" s="182" t="n">
        <v>0</v>
      </c>
      <c r="AD96" s="182" t="n">
        <v>0</v>
      </c>
      <c r="AE96" s="182" t="n">
        <v>0</v>
      </c>
      <c r="AF96" s="182" t="n">
        <v>0</v>
      </c>
      <c r="AG96" s="182" t="n">
        <v>0</v>
      </c>
      <c r="AH96" s="182" t="n">
        <v>0</v>
      </c>
      <c r="AI96" s="182" t="n">
        <v>4.74</v>
      </c>
      <c r="AJ96" s="182" t="n">
        <v>0</v>
      </c>
      <c r="AK96" s="182" t="n">
        <v>0</v>
      </c>
      <c r="AL96" s="182" t="n">
        <v>0</v>
      </c>
      <c r="AM96" s="182" t="n">
        <v>0.08</v>
      </c>
      <c r="AN96" s="182" t="n">
        <v>0</v>
      </c>
    </row>
    <row r="97">
      <c r="A97" s="155" t="n">
        <v>46082</v>
      </c>
      <c r="B97" s="156" t="inlineStr">
        <is>
          <t>DS</t>
        </is>
      </c>
      <c r="C97" s="156" t="inlineStr">
        <is>
          <t>DT-508</t>
        </is>
      </c>
      <c r="D97" s="156" t="inlineStr">
        <is>
          <t>SKT 105S</t>
        </is>
      </c>
      <c r="E97" s="156" t="inlineStr">
        <is>
          <t>Hauler</t>
        </is>
      </c>
      <c r="F97" s="156" t="inlineStr">
        <is>
          <t>Hauling OB</t>
        </is>
      </c>
      <c r="G97" s="182" t="n">
        <v>6.5</v>
      </c>
      <c r="H97" s="182" t="n">
        <v>0</v>
      </c>
      <c r="I97" s="182" t="n">
        <v>0.17</v>
      </c>
      <c r="J97" s="182" t="n">
        <v>0.17</v>
      </c>
      <c r="K97" s="182" t="n">
        <v>5.33</v>
      </c>
      <c r="L97" s="182" t="n">
        <v>12</v>
      </c>
      <c r="M97" s="182" t="n">
        <v>6.5</v>
      </c>
      <c r="N97" s="182" t="n">
        <v>0</v>
      </c>
      <c r="O97" s="183" t="n">
        <v>21</v>
      </c>
      <c r="P97" s="183" t="n">
        <v>0</v>
      </c>
      <c r="Q97" s="184" t="n">
        <v>428.4</v>
      </c>
      <c r="R97" s="184" t="n">
        <v>0</v>
      </c>
      <c r="S97" s="183" t="n">
        <v>0</v>
      </c>
      <c r="T97" s="183" t="n">
        <v>0</v>
      </c>
      <c r="U97" s="182" t="n">
        <v>0</v>
      </c>
      <c r="V97" s="182" t="n">
        <v>0</v>
      </c>
      <c r="W97" s="182" t="n">
        <v>0</v>
      </c>
      <c r="X97" s="182" t="n">
        <v>0.98</v>
      </c>
      <c r="Y97" s="182" t="n">
        <v>0</v>
      </c>
      <c r="Z97" s="182" t="n">
        <v>0</v>
      </c>
      <c r="AA97" s="182" t="n">
        <v>0</v>
      </c>
      <c r="AB97" s="182" t="n">
        <v>0</v>
      </c>
      <c r="AC97" s="182" t="n">
        <v>0</v>
      </c>
      <c r="AD97" s="182" t="n">
        <v>0</v>
      </c>
      <c r="AE97" s="182" t="n">
        <v>0</v>
      </c>
      <c r="AF97" s="182" t="n">
        <v>0</v>
      </c>
      <c r="AG97" s="182" t="n">
        <v>0</v>
      </c>
      <c r="AH97" s="182" t="n">
        <v>0</v>
      </c>
      <c r="AI97" s="182" t="n">
        <v>4.27</v>
      </c>
      <c r="AJ97" s="182" t="n">
        <v>0</v>
      </c>
      <c r="AK97" s="182" t="n">
        <v>0</v>
      </c>
      <c r="AL97" s="182" t="n">
        <v>0</v>
      </c>
      <c r="AM97" s="182" t="n">
        <v>0.08</v>
      </c>
      <c r="AN97" s="182" t="n">
        <v>0</v>
      </c>
    </row>
    <row r="98">
      <c r="A98" s="155" t="n">
        <v>46082</v>
      </c>
      <c r="B98" s="156" t="inlineStr">
        <is>
          <t>DS</t>
        </is>
      </c>
      <c r="C98" s="156" t="inlineStr">
        <is>
          <t>DT-515</t>
        </is>
      </c>
      <c r="D98" s="156" t="inlineStr">
        <is>
          <t>SKT 105S</t>
        </is>
      </c>
      <c r="E98" s="156" t="inlineStr">
        <is>
          <t>Hauler</t>
        </is>
      </c>
      <c r="F98" s="156" t="inlineStr">
        <is>
          <t>Hauling OB</t>
        </is>
      </c>
      <c r="G98" s="182" t="n">
        <v>10.47</v>
      </c>
      <c r="H98" s="182" t="n">
        <v>0</v>
      </c>
      <c r="I98" s="182" t="n">
        <v>0</v>
      </c>
      <c r="J98" s="182" t="n">
        <v>0</v>
      </c>
      <c r="K98" s="182" t="n">
        <v>1.53</v>
      </c>
      <c r="L98" s="182" t="n">
        <v>12</v>
      </c>
      <c r="M98" s="182" t="n">
        <v>10.47</v>
      </c>
      <c r="N98" s="182" t="n">
        <v>0</v>
      </c>
      <c r="O98" s="183" t="n">
        <v>41</v>
      </c>
      <c r="P98" s="183" t="n">
        <v>0</v>
      </c>
      <c r="Q98" s="184" t="n">
        <v>836.4</v>
      </c>
      <c r="R98" s="184" t="n">
        <v>0</v>
      </c>
      <c r="S98" s="183" t="n">
        <v>0</v>
      </c>
      <c r="T98" s="183" t="n">
        <v>0</v>
      </c>
      <c r="U98" s="182" t="n">
        <v>0</v>
      </c>
      <c r="V98" s="182" t="n">
        <v>0</v>
      </c>
      <c r="W98" s="182" t="n">
        <v>0</v>
      </c>
      <c r="X98" s="182" t="n">
        <v>0.9</v>
      </c>
      <c r="Y98" s="182" t="n">
        <v>0</v>
      </c>
      <c r="Z98" s="182" t="n">
        <v>0</v>
      </c>
      <c r="AA98" s="182" t="n">
        <v>0</v>
      </c>
      <c r="AB98" s="182" t="n">
        <v>0</v>
      </c>
      <c r="AC98" s="182" t="n">
        <v>0</v>
      </c>
      <c r="AD98" s="182" t="n">
        <v>0</v>
      </c>
      <c r="AE98" s="182" t="n">
        <v>0</v>
      </c>
      <c r="AF98" s="182" t="n">
        <v>0</v>
      </c>
      <c r="AG98" s="182" t="n">
        <v>0</v>
      </c>
      <c r="AH98" s="182" t="n">
        <v>0.5600000000000001</v>
      </c>
      <c r="AI98" s="182" t="n">
        <v>0</v>
      </c>
      <c r="AJ98" s="182" t="n">
        <v>0</v>
      </c>
      <c r="AK98" s="182" t="n">
        <v>0</v>
      </c>
      <c r="AL98" s="182" t="n">
        <v>0</v>
      </c>
      <c r="AM98" s="182" t="n">
        <v>0.07000000000000001</v>
      </c>
      <c r="AN98" s="182" t="n">
        <v>0</v>
      </c>
    </row>
    <row r="99">
      <c r="A99" s="155" t="n">
        <v>46082</v>
      </c>
      <c r="B99" s="156" t="inlineStr">
        <is>
          <t>DS</t>
        </is>
      </c>
      <c r="C99" s="156" t="inlineStr">
        <is>
          <t>DT-524</t>
        </is>
      </c>
      <c r="D99" s="156" t="inlineStr">
        <is>
          <t>SKT 105S</t>
        </is>
      </c>
      <c r="E99" s="156" t="inlineStr">
        <is>
          <t>Hauler</t>
        </is>
      </c>
      <c r="F99" s="156" t="inlineStr"/>
      <c r="G99" s="182" t="n">
        <v>0</v>
      </c>
      <c r="H99" s="182" t="n">
        <v>0</v>
      </c>
      <c r="I99" s="182" t="n">
        <v>11.5</v>
      </c>
      <c r="J99" s="182" t="n">
        <v>11.5</v>
      </c>
      <c r="K99" s="182" t="n">
        <v>0.5</v>
      </c>
      <c r="L99" s="182" t="n">
        <v>12</v>
      </c>
      <c r="M99" s="182" t="n">
        <v>0</v>
      </c>
      <c r="N99" s="182" t="n">
        <v>0</v>
      </c>
      <c r="O99" s="183" t="n">
        <v>0</v>
      </c>
      <c r="P99" s="183" t="n">
        <v>0</v>
      </c>
      <c r="Q99" s="184" t="n">
        <v>0</v>
      </c>
      <c r="R99" s="184" t="n">
        <v>0</v>
      </c>
      <c r="S99" s="183" t="n">
        <v>0</v>
      </c>
      <c r="T99" s="183" t="n">
        <v>0</v>
      </c>
      <c r="U99" s="182" t="n">
        <v>0</v>
      </c>
      <c r="V99" s="182" t="n">
        <v>0</v>
      </c>
      <c r="W99" s="182" t="n">
        <v>0</v>
      </c>
      <c r="X99" s="182" t="n">
        <v>0.42</v>
      </c>
      <c r="Y99" s="182" t="n">
        <v>0</v>
      </c>
      <c r="Z99" s="182" t="n">
        <v>0</v>
      </c>
      <c r="AA99" s="182" t="n">
        <v>0</v>
      </c>
      <c r="AB99" s="182" t="n">
        <v>0</v>
      </c>
      <c r="AC99" s="182" t="n">
        <v>0</v>
      </c>
      <c r="AD99" s="182" t="n">
        <v>0</v>
      </c>
      <c r="AE99" s="182" t="n">
        <v>0</v>
      </c>
      <c r="AF99" s="182" t="n">
        <v>0</v>
      </c>
      <c r="AG99" s="182" t="n">
        <v>0</v>
      </c>
      <c r="AH99" s="182" t="n">
        <v>0</v>
      </c>
      <c r="AI99" s="182" t="n">
        <v>0</v>
      </c>
      <c r="AJ99" s="182" t="n">
        <v>0</v>
      </c>
      <c r="AK99" s="182" t="n">
        <v>0</v>
      </c>
      <c r="AL99" s="182" t="n">
        <v>0</v>
      </c>
      <c r="AM99" s="182" t="n">
        <v>0.08</v>
      </c>
      <c r="AN99" s="182" t="n">
        <v>0</v>
      </c>
    </row>
    <row r="100">
      <c r="A100" s="155" t="n">
        <v>46082</v>
      </c>
      <c r="B100" s="156" t="inlineStr">
        <is>
          <t>DS</t>
        </is>
      </c>
      <c r="C100" s="156" t="inlineStr">
        <is>
          <t>DT-341</t>
        </is>
      </c>
      <c r="D100" s="156" t="inlineStr">
        <is>
          <t>SYZ324C-8W</t>
        </is>
      </c>
      <c r="E100" s="156" t="inlineStr">
        <is>
          <t>Hauler</t>
        </is>
      </c>
      <c r="F100" s="156" t="inlineStr"/>
      <c r="G100" s="182" t="n">
        <v>0</v>
      </c>
      <c r="H100" s="182" t="n">
        <v>0</v>
      </c>
      <c r="I100" s="182" t="n">
        <v>0</v>
      </c>
      <c r="J100" s="182" t="n">
        <v>0</v>
      </c>
      <c r="K100" s="182" t="n">
        <v>12</v>
      </c>
      <c r="L100" s="182" t="n">
        <v>12</v>
      </c>
      <c r="M100" s="182" t="n">
        <v>0</v>
      </c>
      <c r="N100" s="182" t="n">
        <v>0</v>
      </c>
      <c r="O100" s="183" t="n">
        <v>0</v>
      </c>
      <c r="P100" s="183" t="n">
        <v>0</v>
      </c>
      <c r="Q100" s="184" t="n">
        <v>0</v>
      </c>
      <c r="R100" s="184" t="n">
        <v>0</v>
      </c>
      <c r="S100" s="183" t="n">
        <v>0</v>
      </c>
      <c r="T100" s="183" t="n">
        <v>0</v>
      </c>
      <c r="U100" s="182" t="n">
        <v>0</v>
      </c>
      <c r="V100" s="182" t="n">
        <v>0</v>
      </c>
      <c r="W100" s="182" t="n">
        <v>0</v>
      </c>
      <c r="X100" s="182" t="n">
        <v>1</v>
      </c>
      <c r="Y100" s="182" t="n">
        <v>0</v>
      </c>
      <c r="Z100" s="182" t="n">
        <v>0</v>
      </c>
      <c r="AA100" s="182" t="n">
        <v>0</v>
      </c>
      <c r="AB100" s="182" t="n">
        <v>0</v>
      </c>
      <c r="AC100" s="182" t="n">
        <v>0</v>
      </c>
      <c r="AD100" s="182" t="n">
        <v>0</v>
      </c>
      <c r="AE100" s="182" t="n">
        <v>0</v>
      </c>
      <c r="AF100" s="182" t="n">
        <v>0</v>
      </c>
      <c r="AG100" s="182" t="n">
        <v>0</v>
      </c>
      <c r="AH100" s="182" t="n">
        <v>0</v>
      </c>
      <c r="AI100" s="182" t="n">
        <v>0</v>
      </c>
      <c r="AJ100" s="182" t="n">
        <v>0</v>
      </c>
      <c r="AK100" s="182" t="n">
        <v>10.92</v>
      </c>
      <c r="AL100" s="182" t="n">
        <v>0</v>
      </c>
      <c r="AM100" s="182" t="n">
        <v>0.08</v>
      </c>
      <c r="AN100" s="182" t="n">
        <v>0</v>
      </c>
    </row>
    <row r="101">
      <c r="A101" s="155" t="n">
        <v>46082</v>
      </c>
      <c r="B101" s="156" t="inlineStr">
        <is>
          <t>DS</t>
        </is>
      </c>
      <c r="C101" s="156" t="inlineStr">
        <is>
          <t>DT-342</t>
        </is>
      </c>
      <c r="D101" s="156" t="inlineStr">
        <is>
          <t>SYZ324C-8W</t>
        </is>
      </c>
      <c r="E101" s="156" t="inlineStr">
        <is>
          <t>Hauler</t>
        </is>
      </c>
      <c r="F101" s="156" t="inlineStr">
        <is>
          <t>Support Washing Plant</t>
        </is>
      </c>
      <c r="G101" s="182" t="n">
        <v>2.24</v>
      </c>
      <c r="H101" s="182" t="n">
        <v>0</v>
      </c>
      <c r="I101" s="182" t="n">
        <v>0</v>
      </c>
      <c r="J101" s="182" t="n">
        <v>0</v>
      </c>
      <c r="K101" s="182" t="n">
        <v>9.76</v>
      </c>
      <c r="L101" s="182" t="n">
        <v>12</v>
      </c>
      <c r="M101" s="182" t="n">
        <v>0</v>
      </c>
      <c r="N101" s="182" t="n">
        <v>0</v>
      </c>
      <c r="O101" s="183" t="n">
        <v>0</v>
      </c>
      <c r="P101" s="183" t="n">
        <v>0</v>
      </c>
      <c r="Q101" s="184" t="n">
        <v>0</v>
      </c>
      <c r="R101" s="184" t="n">
        <v>0</v>
      </c>
      <c r="S101" s="183" t="n">
        <v>0</v>
      </c>
      <c r="T101" s="183" t="n">
        <v>0</v>
      </c>
      <c r="U101" s="182" t="n">
        <v>0</v>
      </c>
      <c r="V101" s="182" t="n">
        <v>0</v>
      </c>
      <c r="W101" s="182" t="n">
        <v>0</v>
      </c>
      <c r="X101" s="182" t="n">
        <v>1</v>
      </c>
      <c r="Y101" s="182" t="n">
        <v>0</v>
      </c>
      <c r="Z101" s="182" t="n">
        <v>0</v>
      </c>
      <c r="AA101" s="182" t="n">
        <v>0</v>
      </c>
      <c r="AB101" s="182" t="n">
        <v>0</v>
      </c>
      <c r="AC101" s="182" t="n">
        <v>0</v>
      </c>
      <c r="AD101" s="182" t="n">
        <v>0</v>
      </c>
      <c r="AE101" s="182" t="n">
        <v>0</v>
      </c>
      <c r="AF101" s="182" t="n">
        <v>0</v>
      </c>
      <c r="AG101" s="182" t="n">
        <v>0</v>
      </c>
      <c r="AH101" s="182" t="n">
        <v>0</v>
      </c>
      <c r="AI101" s="182" t="n">
        <v>0</v>
      </c>
      <c r="AJ101" s="182" t="n">
        <v>0</v>
      </c>
      <c r="AK101" s="182" t="n">
        <v>8.68</v>
      </c>
      <c r="AL101" s="182" t="n">
        <v>0</v>
      </c>
      <c r="AM101" s="182" t="n">
        <v>0.08</v>
      </c>
      <c r="AN101" s="182" t="n">
        <v>0</v>
      </c>
    </row>
    <row r="102">
      <c r="A102" s="155" t="n">
        <v>46082</v>
      </c>
      <c r="B102" s="156" t="inlineStr">
        <is>
          <t>DS</t>
        </is>
      </c>
      <c r="C102" s="156" t="inlineStr">
        <is>
          <t>HD-903</t>
        </is>
      </c>
      <c r="D102" s="156" t="inlineStr">
        <is>
          <t>SRT 95C</t>
        </is>
      </c>
      <c r="E102" s="156" t="inlineStr">
        <is>
          <t>Hauler</t>
        </is>
      </c>
      <c r="F102" s="156" t="inlineStr"/>
      <c r="G102" s="182" t="n">
        <v>0</v>
      </c>
      <c r="H102" s="182" t="n">
        <v>0</v>
      </c>
      <c r="I102" s="182" t="n">
        <v>0</v>
      </c>
      <c r="J102" s="182" t="n">
        <v>0</v>
      </c>
      <c r="K102" s="182" t="n">
        <v>12</v>
      </c>
      <c r="L102" s="182" t="n">
        <v>12</v>
      </c>
      <c r="M102" s="182" t="n">
        <v>0</v>
      </c>
      <c r="N102" s="182" t="n">
        <v>0</v>
      </c>
      <c r="O102" s="183" t="n">
        <v>0</v>
      </c>
      <c r="P102" s="183" t="n">
        <v>0</v>
      </c>
      <c r="Q102" s="184" t="n">
        <v>0</v>
      </c>
      <c r="R102" s="184" t="n">
        <v>0</v>
      </c>
      <c r="S102" s="183" t="n">
        <v>0</v>
      </c>
      <c r="T102" s="183" t="n">
        <v>0</v>
      </c>
      <c r="U102" s="182" t="n">
        <v>0</v>
      </c>
      <c r="V102" s="182" t="n">
        <v>0</v>
      </c>
      <c r="W102" s="182" t="n">
        <v>0</v>
      </c>
      <c r="X102" s="182" t="n">
        <v>1</v>
      </c>
      <c r="Y102" s="182" t="n">
        <v>0</v>
      </c>
      <c r="Z102" s="182" t="n">
        <v>0</v>
      </c>
      <c r="AA102" s="182" t="n">
        <v>0</v>
      </c>
      <c r="AB102" s="182" t="n">
        <v>0</v>
      </c>
      <c r="AC102" s="182" t="n">
        <v>0</v>
      </c>
      <c r="AD102" s="182" t="n">
        <v>0</v>
      </c>
      <c r="AE102" s="182" t="n">
        <v>0</v>
      </c>
      <c r="AF102" s="182" t="n">
        <v>0</v>
      </c>
      <c r="AG102" s="182" t="n">
        <v>0</v>
      </c>
      <c r="AH102" s="182" t="n">
        <v>0</v>
      </c>
      <c r="AI102" s="182" t="n">
        <v>10.92</v>
      </c>
      <c r="AJ102" s="182" t="n">
        <v>0</v>
      </c>
      <c r="AK102" s="182" t="n">
        <v>0</v>
      </c>
      <c r="AL102" s="182" t="n">
        <v>0</v>
      </c>
      <c r="AM102" s="182" t="n">
        <v>0.08</v>
      </c>
      <c r="AN102" s="182" t="n">
        <v>0</v>
      </c>
    </row>
    <row r="103">
      <c r="A103" s="155" t="n">
        <v>46082</v>
      </c>
      <c r="B103" s="156" t="inlineStr">
        <is>
          <t>DS</t>
        </is>
      </c>
      <c r="C103" s="156" t="inlineStr">
        <is>
          <t>HD-905</t>
        </is>
      </c>
      <c r="D103" s="156" t="inlineStr">
        <is>
          <t>SRT 95C</t>
        </is>
      </c>
      <c r="E103" s="156" t="inlineStr">
        <is>
          <t>Hauler</t>
        </is>
      </c>
      <c r="F103" s="156" t="inlineStr"/>
      <c r="G103" s="182" t="n">
        <v>0</v>
      </c>
      <c r="H103" s="182" t="n">
        <v>0</v>
      </c>
      <c r="I103" s="182" t="n">
        <v>12</v>
      </c>
      <c r="J103" s="182" t="n">
        <v>12</v>
      </c>
      <c r="K103" s="182" t="n">
        <v>0</v>
      </c>
      <c r="L103" s="182" t="n">
        <v>12</v>
      </c>
      <c r="M103" s="182" t="n">
        <v>0</v>
      </c>
      <c r="N103" s="182" t="n">
        <v>0</v>
      </c>
      <c r="O103" s="183" t="n">
        <v>0</v>
      </c>
      <c r="P103" s="183" t="n">
        <v>0</v>
      </c>
      <c r="Q103" s="184" t="n">
        <v>0</v>
      </c>
      <c r="R103" s="184" t="n">
        <v>0</v>
      </c>
      <c r="S103" s="183" t="n">
        <v>0</v>
      </c>
      <c r="T103" s="183" t="n">
        <v>0</v>
      </c>
      <c r="U103" s="182" t="n">
        <v>0</v>
      </c>
      <c r="V103" s="182" t="n">
        <v>0</v>
      </c>
      <c r="W103" s="182" t="n">
        <v>0</v>
      </c>
      <c r="X103" s="182" t="n">
        <v>0</v>
      </c>
      <c r="Y103" s="182" t="n">
        <v>0</v>
      </c>
      <c r="Z103" s="182" t="n">
        <v>0</v>
      </c>
      <c r="AA103" s="182" t="n">
        <v>0</v>
      </c>
      <c r="AB103" s="182" t="n">
        <v>0</v>
      </c>
      <c r="AC103" s="182" t="n">
        <v>0</v>
      </c>
      <c r="AD103" s="182" t="n">
        <v>0</v>
      </c>
      <c r="AE103" s="182" t="n">
        <v>0</v>
      </c>
      <c r="AF103" s="182" t="n">
        <v>0</v>
      </c>
      <c r="AG103" s="182" t="n">
        <v>0</v>
      </c>
      <c r="AH103" s="182" t="n">
        <v>0</v>
      </c>
      <c r="AI103" s="182" t="n">
        <v>0</v>
      </c>
      <c r="AJ103" s="182" t="n">
        <v>0</v>
      </c>
      <c r="AK103" s="182" t="n">
        <v>0</v>
      </c>
      <c r="AL103" s="182" t="n">
        <v>0</v>
      </c>
      <c r="AM103" s="182" t="n">
        <v>0</v>
      </c>
      <c r="AN103" s="182" t="n">
        <v>0</v>
      </c>
    </row>
    <row r="104">
      <c r="A104" s="155" t="n">
        <v>46082</v>
      </c>
      <c r="B104" s="156" t="inlineStr">
        <is>
          <t>DS</t>
        </is>
      </c>
      <c r="C104" s="156" t="inlineStr">
        <is>
          <t>HD-901</t>
        </is>
      </c>
      <c r="D104" s="156" t="inlineStr">
        <is>
          <t>SRT 95C</t>
        </is>
      </c>
      <c r="E104" s="156" t="inlineStr">
        <is>
          <t>Hauler</t>
        </is>
      </c>
      <c r="F104" s="156" t="inlineStr"/>
      <c r="G104" s="182" t="n">
        <v>0</v>
      </c>
      <c r="H104" s="182" t="n">
        <v>0</v>
      </c>
      <c r="I104" s="182" t="n">
        <v>0.17</v>
      </c>
      <c r="J104" s="182" t="n">
        <v>0.17</v>
      </c>
      <c r="K104" s="182" t="n">
        <v>11.83</v>
      </c>
      <c r="L104" s="182" t="n">
        <v>12</v>
      </c>
      <c r="M104" s="182" t="n">
        <v>0</v>
      </c>
      <c r="N104" s="182" t="n">
        <v>0</v>
      </c>
      <c r="O104" s="183" t="n">
        <v>0</v>
      </c>
      <c r="P104" s="183" t="n">
        <v>0</v>
      </c>
      <c r="Q104" s="184" t="n">
        <v>0</v>
      </c>
      <c r="R104" s="184" t="n">
        <v>0</v>
      </c>
      <c r="S104" s="183" t="n">
        <v>0</v>
      </c>
      <c r="T104" s="183" t="n">
        <v>0</v>
      </c>
      <c r="U104" s="182" t="n">
        <v>0</v>
      </c>
      <c r="V104" s="182" t="n">
        <v>0</v>
      </c>
      <c r="W104" s="182" t="n">
        <v>0</v>
      </c>
      <c r="X104" s="182" t="n">
        <v>1</v>
      </c>
      <c r="Y104" s="182" t="n">
        <v>0</v>
      </c>
      <c r="Z104" s="182" t="n">
        <v>0</v>
      </c>
      <c r="AA104" s="182" t="n">
        <v>0</v>
      </c>
      <c r="AB104" s="182" t="n">
        <v>0</v>
      </c>
      <c r="AC104" s="182" t="n">
        <v>0</v>
      </c>
      <c r="AD104" s="182" t="n">
        <v>0</v>
      </c>
      <c r="AE104" s="182" t="n">
        <v>0</v>
      </c>
      <c r="AF104" s="182" t="n">
        <v>0</v>
      </c>
      <c r="AG104" s="182" t="n">
        <v>0</v>
      </c>
      <c r="AH104" s="182" t="n">
        <v>0</v>
      </c>
      <c r="AI104" s="182" t="n">
        <v>10.75</v>
      </c>
      <c r="AJ104" s="182" t="n">
        <v>0</v>
      </c>
      <c r="AK104" s="182" t="n">
        <v>0</v>
      </c>
      <c r="AL104" s="182" t="n">
        <v>0</v>
      </c>
      <c r="AM104" s="182" t="n">
        <v>0.08</v>
      </c>
      <c r="AN104" s="182" t="n">
        <v>0</v>
      </c>
    </row>
    <row r="105">
      <c r="A105" s="155" t="n">
        <v>46082</v>
      </c>
      <c r="B105" s="156" t="inlineStr">
        <is>
          <t>DS</t>
        </is>
      </c>
      <c r="C105" s="156" t="inlineStr">
        <is>
          <t>HD-904</t>
        </is>
      </c>
      <c r="D105" s="156" t="inlineStr">
        <is>
          <t>SRT 95C</t>
        </is>
      </c>
      <c r="E105" s="156" t="inlineStr">
        <is>
          <t>Hauler</t>
        </is>
      </c>
      <c r="F105" s="156" t="inlineStr"/>
      <c r="G105" s="182" t="n">
        <v>0</v>
      </c>
      <c r="H105" s="182" t="n">
        <v>0</v>
      </c>
      <c r="I105" s="182" t="n">
        <v>12</v>
      </c>
      <c r="J105" s="182" t="n">
        <v>12</v>
      </c>
      <c r="K105" s="182" t="n">
        <v>0</v>
      </c>
      <c r="L105" s="182" t="n">
        <v>12</v>
      </c>
      <c r="M105" s="182" t="n">
        <v>0</v>
      </c>
      <c r="N105" s="182" t="n">
        <v>0</v>
      </c>
      <c r="O105" s="183" t="n">
        <v>0</v>
      </c>
      <c r="P105" s="183" t="n">
        <v>0</v>
      </c>
      <c r="Q105" s="184" t="n">
        <v>0</v>
      </c>
      <c r="R105" s="184" t="n">
        <v>0</v>
      </c>
      <c r="S105" s="183" t="n">
        <v>0</v>
      </c>
      <c r="T105" s="183" t="n">
        <v>0</v>
      </c>
      <c r="U105" s="182" t="n">
        <v>0</v>
      </c>
      <c r="V105" s="182" t="n">
        <v>0</v>
      </c>
      <c r="W105" s="182" t="n">
        <v>0</v>
      </c>
      <c r="X105" s="182" t="n">
        <v>0</v>
      </c>
      <c r="Y105" s="182" t="n">
        <v>0</v>
      </c>
      <c r="Z105" s="182" t="n">
        <v>0</v>
      </c>
      <c r="AA105" s="182" t="n">
        <v>0</v>
      </c>
      <c r="AB105" s="182" t="n">
        <v>0</v>
      </c>
      <c r="AC105" s="182" t="n">
        <v>0</v>
      </c>
      <c r="AD105" s="182" t="n">
        <v>0</v>
      </c>
      <c r="AE105" s="182" t="n">
        <v>0</v>
      </c>
      <c r="AF105" s="182" t="n">
        <v>0</v>
      </c>
      <c r="AG105" s="182" t="n">
        <v>0</v>
      </c>
      <c r="AH105" s="182" t="n">
        <v>0</v>
      </c>
      <c r="AI105" s="182" t="n">
        <v>0</v>
      </c>
      <c r="AJ105" s="182" t="n">
        <v>0</v>
      </c>
      <c r="AK105" s="182" t="n">
        <v>0</v>
      </c>
      <c r="AL105" s="182" t="n">
        <v>0</v>
      </c>
      <c r="AM105" s="182" t="n">
        <v>0</v>
      </c>
      <c r="AN105" s="182" t="n">
        <v>0</v>
      </c>
    </row>
    <row r="106">
      <c r="A106" s="155" t="n">
        <v>46082</v>
      </c>
      <c r="B106" s="156" t="inlineStr">
        <is>
          <t>DS</t>
        </is>
      </c>
      <c r="C106" s="156" t="inlineStr">
        <is>
          <t>HD-902</t>
        </is>
      </c>
      <c r="D106" s="156" t="inlineStr">
        <is>
          <t>SRT 95C</t>
        </is>
      </c>
      <c r="E106" s="156" t="inlineStr">
        <is>
          <t>Hauler</t>
        </is>
      </c>
      <c r="F106" s="156" t="inlineStr"/>
      <c r="G106" s="182" t="n">
        <v>0</v>
      </c>
      <c r="H106" s="182" t="n">
        <v>0</v>
      </c>
      <c r="I106" s="182" t="n">
        <v>0</v>
      </c>
      <c r="J106" s="182" t="n">
        <v>0</v>
      </c>
      <c r="K106" s="182" t="n">
        <v>12</v>
      </c>
      <c r="L106" s="182" t="n">
        <v>12</v>
      </c>
      <c r="M106" s="182" t="n">
        <v>0</v>
      </c>
      <c r="N106" s="182" t="n">
        <v>0</v>
      </c>
      <c r="O106" s="183" t="n">
        <v>0</v>
      </c>
      <c r="P106" s="183" t="n">
        <v>0</v>
      </c>
      <c r="Q106" s="184" t="n">
        <v>0</v>
      </c>
      <c r="R106" s="184" t="n">
        <v>0</v>
      </c>
      <c r="S106" s="183" t="n">
        <v>0</v>
      </c>
      <c r="T106" s="183" t="n">
        <v>0</v>
      </c>
      <c r="U106" s="182" t="n">
        <v>0</v>
      </c>
      <c r="V106" s="182" t="n">
        <v>0</v>
      </c>
      <c r="W106" s="182" t="n">
        <v>0</v>
      </c>
      <c r="X106" s="182" t="n">
        <v>1</v>
      </c>
      <c r="Y106" s="182" t="n">
        <v>0</v>
      </c>
      <c r="Z106" s="182" t="n">
        <v>0</v>
      </c>
      <c r="AA106" s="182" t="n">
        <v>0</v>
      </c>
      <c r="AB106" s="182" t="n">
        <v>0</v>
      </c>
      <c r="AC106" s="182" t="n">
        <v>0</v>
      </c>
      <c r="AD106" s="182" t="n">
        <v>0</v>
      </c>
      <c r="AE106" s="182" t="n">
        <v>0</v>
      </c>
      <c r="AF106" s="182" t="n">
        <v>0</v>
      </c>
      <c r="AG106" s="182" t="n">
        <v>0</v>
      </c>
      <c r="AH106" s="182" t="n">
        <v>0</v>
      </c>
      <c r="AI106" s="182" t="n">
        <v>10.92</v>
      </c>
      <c r="AJ106" s="182" t="n">
        <v>0</v>
      </c>
      <c r="AK106" s="182" t="n">
        <v>0</v>
      </c>
      <c r="AL106" s="182" t="n">
        <v>0</v>
      </c>
      <c r="AM106" s="182" t="n">
        <v>0.08</v>
      </c>
      <c r="AN106" s="182" t="n">
        <v>0</v>
      </c>
    </row>
    <row r="107">
      <c r="A107" s="155" t="n">
        <v>46082</v>
      </c>
      <c r="B107" s="156" t="inlineStr">
        <is>
          <t>DS</t>
        </is>
      </c>
      <c r="C107" s="156" t="inlineStr">
        <is>
          <t>WL-025</t>
        </is>
      </c>
      <c r="D107" s="156" t="inlineStr">
        <is>
          <t>SANY - Loader</t>
        </is>
      </c>
      <c r="E107" s="156" t="inlineStr">
        <is>
          <t>Loader</t>
        </is>
      </c>
      <c r="F107" s="156" t="inlineStr"/>
      <c r="G107" s="182" t="n">
        <v>0</v>
      </c>
      <c r="H107" s="182" t="n">
        <v>0</v>
      </c>
      <c r="I107" s="182" t="n">
        <v>12</v>
      </c>
      <c r="J107" s="182" t="n">
        <v>12</v>
      </c>
      <c r="K107" s="182" t="n">
        <v>0</v>
      </c>
      <c r="L107" s="182" t="n">
        <v>12</v>
      </c>
      <c r="M107" s="182" t="n">
        <v>0</v>
      </c>
      <c r="N107" s="182" t="n">
        <v>0</v>
      </c>
      <c r="O107" s="183" t="n">
        <v>0</v>
      </c>
      <c r="P107" s="183" t="n">
        <v>0</v>
      </c>
      <c r="Q107" s="184" t="n">
        <v>0</v>
      </c>
      <c r="R107" s="184" t="n">
        <v>0</v>
      </c>
      <c r="S107" s="183" t="n">
        <v>0</v>
      </c>
      <c r="T107" s="183" t="n">
        <v>0</v>
      </c>
      <c r="U107" s="182" t="n">
        <v>0</v>
      </c>
      <c r="V107" s="182" t="n">
        <v>0</v>
      </c>
      <c r="W107" s="182" t="n">
        <v>0</v>
      </c>
      <c r="X107" s="182" t="n">
        <v>0</v>
      </c>
      <c r="Y107" s="182" t="n">
        <v>0</v>
      </c>
      <c r="Z107" s="182" t="n">
        <v>0</v>
      </c>
      <c r="AA107" s="182" t="n">
        <v>0</v>
      </c>
      <c r="AB107" s="182" t="n">
        <v>0</v>
      </c>
      <c r="AC107" s="182" t="n">
        <v>0</v>
      </c>
      <c r="AD107" s="182" t="n">
        <v>0</v>
      </c>
      <c r="AE107" s="182" t="n">
        <v>0</v>
      </c>
      <c r="AF107" s="182" t="n">
        <v>0</v>
      </c>
      <c r="AG107" s="182" t="n">
        <v>0</v>
      </c>
      <c r="AH107" s="182" t="n">
        <v>0</v>
      </c>
      <c r="AI107" s="182" t="n">
        <v>0</v>
      </c>
      <c r="AJ107" s="182" t="n">
        <v>0</v>
      </c>
      <c r="AK107" s="182" t="n">
        <v>0</v>
      </c>
      <c r="AL107" s="182" t="n">
        <v>0</v>
      </c>
      <c r="AM107" s="182" t="n">
        <v>0</v>
      </c>
      <c r="AN107" s="182" t="n">
        <v>0</v>
      </c>
    </row>
    <row r="108">
      <c r="A108" s="155" t="n">
        <v>46082</v>
      </c>
      <c r="B108" s="156" t="inlineStr">
        <is>
          <t>DS</t>
        </is>
      </c>
      <c r="C108" s="156" t="inlineStr">
        <is>
          <t>WL-023</t>
        </is>
      </c>
      <c r="D108" s="156" t="inlineStr">
        <is>
          <t>SANY - Loader</t>
        </is>
      </c>
      <c r="E108" s="156" t="inlineStr">
        <is>
          <t>Loader</t>
        </is>
      </c>
      <c r="F108" s="156" t="inlineStr"/>
      <c r="G108" s="182" t="n">
        <v>0</v>
      </c>
      <c r="H108" s="182" t="n">
        <v>0</v>
      </c>
      <c r="I108" s="182" t="n">
        <v>0</v>
      </c>
      <c r="J108" s="182" t="n">
        <v>0</v>
      </c>
      <c r="K108" s="182" t="n">
        <v>12</v>
      </c>
      <c r="L108" s="182" t="n">
        <v>12</v>
      </c>
      <c r="M108" s="182" t="n">
        <v>0</v>
      </c>
      <c r="N108" s="182" t="n">
        <v>0</v>
      </c>
      <c r="O108" s="183" t="n">
        <v>0</v>
      </c>
      <c r="P108" s="183" t="n">
        <v>0</v>
      </c>
      <c r="Q108" s="184" t="n">
        <v>0</v>
      </c>
      <c r="R108" s="184" t="n">
        <v>0</v>
      </c>
      <c r="S108" s="183" t="n">
        <v>0</v>
      </c>
      <c r="T108" s="183" t="n">
        <v>0</v>
      </c>
      <c r="U108" s="182" t="n">
        <v>0</v>
      </c>
      <c r="V108" s="182" t="n">
        <v>0</v>
      </c>
      <c r="W108" s="182" t="n">
        <v>0</v>
      </c>
      <c r="X108" s="182" t="n">
        <v>1</v>
      </c>
      <c r="Y108" s="182" t="n">
        <v>0</v>
      </c>
      <c r="Z108" s="182" t="n">
        <v>0</v>
      </c>
      <c r="AA108" s="182" t="n">
        <v>0</v>
      </c>
      <c r="AB108" s="182" t="n">
        <v>0</v>
      </c>
      <c r="AC108" s="182" t="n">
        <v>0</v>
      </c>
      <c r="AD108" s="182" t="n">
        <v>0</v>
      </c>
      <c r="AE108" s="182" t="n">
        <v>0</v>
      </c>
      <c r="AF108" s="182" t="n">
        <v>0</v>
      </c>
      <c r="AG108" s="182" t="n">
        <v>0</v>
      </c>
      <c r="AH108" s="182" t="n">
        <v>0</v>
      </c>
      <c r="AI108" s="182" t="n">
        <v>0</v>
      </c>
      <c r="AJ108" s="182" t="n">
        <v>0</v>
      </c>
      <c r="AK108" s="182" t="n">
        <v>10.92</v>
      </c>
      <c r="AL108" s="182" t="n">
        <v>0</v>
      </c>
      <c r="AM108" s="182" t="n">
        <v>0.08</v>
      </c>
      <c r="AN108" s="182" t="n">
        <v>0</v>
      </c>
    </row>
    <row r="109">
      <c r="A109" s="155" t="n">
        <v>46082</v>
      </c>
      <c r="B109" s="156" t="inlineStr">
        <is>
          <t>DS</t>
        </is>
      </c>
      <c r="C109" s="156" t="inlineStr">
        <is>
          <t>WL-021</t>
        </is>
      </c>
      <c r="D109" s="156" t="inlineStr">
        <is>
          <t>SANY - Loader</t>
        </is>
      </c>
      <c r="E109" s="156" t="inlineStr">
        <is>
          <t>Loader</t>
        </is>
      </c>
      <c r="F109" s="156" t="inlineStr"/>
      <c r="G109" s="182" t="n">
        <v>0</v>
      </c>
      <c r="H109" s="182" t="n">
        <v>0</v>
      </c>
      <c r="I109" s="182" t="n">
        <v>12</v>
      </c>
      <c r="J109" s="182" t="n">
        <v>12</v>
      </c>
      <c r="K109" s="182" t="n">
        <v>0</v>
      </c>
      <c r="L109" s="182" t="n">
        <v>12</v>
      </c>
      <c r="M109" s="182" t="n">
        <v>0</v>
      </c>
      <c r="N109" s="182" t="n">
        <v>0</v>
      </c>
      <c r="O109" s="183" t="n">
        <v>0</v>
      </c>
      <c r="P109" s="183" t="n">
        <v>0</v>
      </c>
      <c r="Q109" s="184" t="n">
        <v>0</v>
      </c>
      <c r="R109" s="184" t="n">
        <v>0</v>
      </c>
      <c r="S109" s="183" t="n">
        <v>0</v>
      </c>
      <c r="T109" s="183" t="n">
        <v>0</v>
      </c>
      <c r="U109" s="182" t="n">
        <v>0</v>
      </c>
      <c r="V109" s="182" t="n">
        <v>0</v>
      </c>
      <c r="W109" s="182" t="n">
        <v>0</v>
      </c>
      <c r="X109" s="182" t="n">
        <v>0</v>
      </c>
      <c r="Y109" s="182" t="n">
        <v>0</v>
      </c>
      <c r="Z109" s="182" t="n">
        <v>0</v>
      </c>
      <c r="AA109" s="182" t="n">
        <v>0</v>
      </c>
      <c r="AB109" s="182" t="n">
        <v>0</v>
      </c>
      <c r="AC109" s="182" t="n">
        <v>0</v>
      </c>
      <c r="AD109" s="182" t="n">
        <v>0</v>
      </c>
      <c r="AE109" s="182" t="n">
        <v>0</v>
      </c>
      <c r="AF109" s="182" t="n">
        <v>0</v>
      </c>
      <c r="AG109" s="182" t="n">
        <v>0</v>
      </c>
      <c r="AH109" s="182" t="n">
        <v>0</v>
      </c>
      <c r="AI109" s="182" t="n">
        <v>0</v>
      </c>
      <c r="AJ109" s="182" t="n">
        <v>0</v>
      </c>
      <c r="AK109" s="182" t="n">
        <v>0</v>
      </c>
      <c r="AL109" s="182" t="n">
        <v>0</v>
      </c>
      <c r="AM109" s="182" t="n">
        <v>0</v>
      </c>
      <c r="AN109" s="182" t="n">
        <v>0</v>
      </c>
    </row>
    <row r="110">
      <c r="A110" s="155" t="n">
        <v>46082</v>
      </c>
      <c r="B110" s="156" t="inlineStr">
        <is>
          <t>DS</t>
        </is>
      </c>
      <c r="C110" s="156" t="inlineStr">
        <is>
          <t>WL-022</t>
        </is>
      </c>
      <c r="D110" s="156" t="inlineStr">
        <is>
          <t>SANY - Loader</t>
        </is>
      </c>
      <c r="E110" s="156" t="inlineStr">
        <is>
          <t>Loader</t>
        </is>
      </c>
      <c r="F110" s="156" t="inlineStr">
        <is>
          <t>Support Washing Plant</t>
        </is>
      </c>
      <c r="G110" s="182" t="n">
        <v>8.449999999999999</v>
      </c>
      <c r="H110" s="182" t="n">
        <v>0</v>
      </c>
      <c r="I110" s="182" t="n">
        <v>0</v>
      </c>
      <c r="J110" s="182" t="n">
        <v>0</v>
      </c>
      <c r="K110" s="182" t="n">
        <v>3.55</v>
      </c>
      <c r="L110" s="182" t="n">
        <v>12</v>
      </c>
      <c r="M110" s="182" t="n">
        <v>0</v>
      </c>
      <c r="N110" s="182" t="n">
        <v>0</v>
      </c>
      <c r="O110" s="183" t="n">
        <v>0</v>
      </c>
      <c r="P110" s="183" t="n">
        <v>0</v>
      </c>
      <c r="Q110" s="184" t="n">
        <v>0</v>
      </c>
      <c r="R110" s="184" t="n">
        <v>0</v>
      </c>
      <c r="S110" s="183" t="n">
        <v>0</v>
      </c>
      <c r="T110" s="183" t="n">
        <v>0</v>
      </c>
      <c r="U110" s="182" t="n">
        <v>0</v>
      </c>
      <c r="V110" s="182" t="n">
        <v>0</v>
      </c>
      <c r="W110" s="182" t="n">
        <v>0</v>
      </c>
      <c r="X110" s="182" t="n">
        <v>0.99</v>
      </c>
      <c r="Y110" s="182" t="n">
        <v>0</v>
      </c>
      <c r="Z110" s="182" t="n">
        <v>0</v>
      </c>
      <c r="AA110" s="182" t="n">
        <v>0</v>
      </c>
      <c r="AB110" s="182" t="n">
        <v>0</v>
      </c>
      <c r="AC110" s="182" t="n">
        <v>0</v>
      </c>
      <c r="AD110" s="182" t="n">
        <v>0</v>
      </c>
      <c r="AE110" s="182" t="n">
        <v>0</v>
      </c>
      <c r="AF110" s="182" t="n">
        <v>0</v>
      </c>
      <c r="AG110" s="182" t="n">
        <v>0</v>
      </c>
      <c r="AH110" s="182" t="n">
        <v>0</v>
      </c>
      <c r="AI110" s="182" t="n">
        <v>0</v>
      </c>
      <c r="AJ110" s="182" t="n">
        <v>0</v>
      </c>
      <c r="AK110" s="182" t="n">
        <v>2.48</v>
      </c>
      <c r="AL110" s="182" t="n">
        <v>0</v>
      </c>
      <c r="AM110" s="182" t="n">
        <v>0.08</v>
      </c>
      <c r="AN110" s="182" t="n">
        <v>0</v>
      </c>
    </row>
    <row r="111">
      <c r="A111" s="155" t="n">
        <v>46082</v>
      </c>
      <c r="B111" s="156" t="inlineStr">
        <is>
          <t>DS</t>
        </is>
      </c>
      <c r="C111" s="156" t="inlineStr">
        <is>
          <t>WL-024</t>
        </is>
      </c>
      <c r="D111" s="156" t="inlineStr">
        <is>
          <t>SANY - Loader</t>
        </is>
      </c>
      <c r="E111" s="156" t="inlineStr">
        <is>
          <t>Loader</t>
        </is>
      </c>
      <c r="F111" s="156" t="inlineStr">
        <is>
          <t>Support Washing Plant</t>
        </is>
      </c>
      <c r="G111" s="182" t="n">
        <v>10.42</v>
      </c>
      <c r="H111" s="182" t="n">
        <v>0</v>
      </c>
      <c r="I111" s="182" t="n">
        <v>0</v>
      </c>
      <c r="J111" s="182" t="n">
        <v>0</v>
      </c>
      <c r="K111" s="182" t="n">
        <v>1.58</v>
      </c>
      <c r="L111" s="182" t="n">
        <v>12</v>
      </c>
      <c r="M111" s="182" t="n">
        <v>0</v>
      </c>
      <c r="N111" s="182" t="n">
        <v>0</v>
      </c>
      <c r="O111" s="183" t="n">
        <v>0</v>
      </c>
      <c r="P111" s="183" t="n">
        <v>0</v>
      </c>
      <c r="Q111" s="184" t="n">
        <v>0</v>
      </c>
      <c r="R111" s="184" t="n">
        <v>0</v>
      </c>
      <c r="S111" s="183" t="n">
        <v>0</v>
      </c>
      <c r="T111" s="183" t="n">
        <v>0</v>
      </c>
      <c r="U111" s="182" t="n">
        <v>0</v>
      </c>
      <c r="V111" s="182" t="n">
        <v>0</v>
      </c>
      <c r="W111" s="182" t="n">
        <v>0</v>
      </c>
      <c r="X111" s="182" t="n">
        <v>0.99</v>
      </c>
      <c r="Y111" s="182" t="n">
        <v>0</v>
      </c>
      <c r="Z111" s="182" t="n">
        <v>0</v>
      </c>
      <c r="AA111" s="182" t="n">
        <v>0</v>
      </c>
      <c r="AB111" s="182" t="n">
        <v>0</v>
      </c>
      <c r="AC111" s="182" t="n">
        <v>0</v>
      </c>
      <c r="AD111" s="182" t="n">
        <v>0</v>
      </c>
      <c r="AE111" s="182" t="n">
        <v>0</v>
      </c>
      <c r="AF111" s="182" t="n">
        <v>0</v>
      </c>
      <c r="AG111" s="182" t="n">
        <v>0</v>
      </c>
      <c r="AH111" s="182" t="n">
        <v>0.51</v>
      </c>
      <c r="AI111" s="182" t="n">
        <v>0</v>
      </c>
      <c r="AJ111" s="182" t="n">
        <v>0</v>
      </c>
      <c r="AK111" s="182" t="n">
        <v>0</v>
      </c>
      <c r="AL111" s="182" t="n">
        <v>0</v>
      </c>
      <c r="AM111" s="182" t="n">
        <v>0.08</v>
      </c>
      <c r="AN111" s="182" t="n">
        <v>0</v>
      </c>
    </row>
    <row r="112">
      <c r="A112" s="155" t="n">
        <v>46082</v>
      </c>
      <c r="B112" s="156" t="inlineStr">
        <is>
          <t>NS</t>
        </is>
      </c>
      <c r="C112" s="156" t="inlineStr">
        <is>
          <t>DZ-034</t>
        </is>
      </c>
      <c r="D112" s="156" t="inlineStr">
        <is>
          <t>D 68ESS-12EO</t>
        </is>
      </c>
      <c r="E112" s="156" t="inlineStr">
        <is>
          <t>Bulldozer</t>
        </is>
      </c>
      <c r="F112" s="156" t="inlineStr"/>
      <c r="G112" s="182" t="n">
        <v>0</v>
      </c>
      <c r="H112" s="182" t="n">
        <v>0</v>
      </c>
      <c r="I112" s="182" t="n">
        <v>12</v>
      </c>
      <c r="J112" s="182" t="n">
        <v>12</v>
      </c>
      <c r="K112" s="182" t="n">
        <v>0</v>
      </c>
      <c r="L112" s="182" t="n">
        <v>12</v>
      </c>
      <c r="M112" s="182" t="n">
        <v>0</v>
      </c>
      <c r="N112" s="182" t="n">
        <v>0</v>
      </c>
      <c r="O112" s="183" t="n">
        <v>0</v>
      </c>
      <c r="P112" s="183" t="n">
        <v>0</v>
      </c>
      <c r="Q112" s="184" t="n">
        <v>0</v>
      </c>
      <c r="R112" s="184" t="n">
        <v>0</v>
      </c>
      <c r="S112" s="183" t="n">
        <v>0</v>
      </c>
      <c r="T112" s="183" t="n">
        <v>0</v>
      </c>
      <c r="U112" s="182" t="n">
        <v>0</v>
      </c>
      <c r="V112" s="182" t="n">
        <v>0</v>
      </c>
      <c r="W112" s="182" t="n">
        <v>0</v>
      </c>
      <c r="X112" s="182" t="n">
        <v>0</v>
      </c>
      <c r="Y112" s="182" t="n">
        <v>0</v>
      </c>
      <c r="Z112" s="182" t="n">
        <v>0</v>
      </c>
      <c r="AA112" s="182" t="n">
        <v>0</v>
      </c>
      <c r="AB112" s="182" t="n">
        <v>0</v>
      </c>
      <c r="AC112" s="182" t="n">
        <v>0</v>
      </c>
      <c r="AD112" s="182" t="n">
        <v>0</v>
      </c>
      <c r="AE112" s="182" t="n">
        <v>0</v>
      </c>
      <c r="AF112" s="182" t="n">
        <v>0</v>
      </c>
      <c r="AG112" s="182" t="n">
        <v>0</v>
      </c>
      <c r="AH112" s="182" t="n">
        <v>0</v>
      </c>
      <c r="AI112" s="182" t="n">
        <v>0</v>
      </c>
      <c r="AJ112" s="182" t="n">
        <v>0</v>
      </c>
      <c r="AK112" s="182" t="n">
        <v>0</v>
      </c>
      <c r="AL112" s="182" t="n">
        <v>0</v>
      </c>
      <c r="AM112" s="182" t="n">
        <v>0</v>
      </c>
      <c r="AN112" s="182" t="n">
        <v>0</v>
      </c>
    </row>
    <row r="113">
      <c r="A113" s="155" t="n">
        <v>46082</v>
      </c>
      <c r="B113" s="156" t="inlineStr">
        <is>
          <t>NS</t>
        </is>
      </c>
      <c r="C113" s="156" t="inlineStr">
        <is>
          <t>DZ-033</t>
        </is>
      </c>
      <c r="D113" s="156" t="inlineStr">
        <is>
          <t>D 375A-6R</t>
        </is>
      </c>
      <c r="E113" s="156" t="inlineStr">
        <is>
          <t>Bulldozer</t>
        </is>
      </c>
      <c r="F113" s="156" t="inlineStr">
        <is>
          <t>Support Disposal</t>
        </is>
      </c>
      <c r="G113" s="182" t="n">
        <v>11.07</v>
      </c>
      <c r="H113" s="182" t="n">
        <v>0</v>
      </c>
      <c r="I113" s="182" t="n">
        <v>0.17</v>
      </c>
      <c r="J113" s="182" t="n">
        <v>0.17</v>
      </c>
      <c r="K113" s="182" t="n">
        <v>0.76</v>
      </c>
      <c r="L113" s="182" t="n">
        <v>12</v>
      </c>
      <c r="M113" s="182" t="n">
        <v>0</v>
      </c>
      <c r="N113" s="182" t="n">
        <v>0</v>
      </c>
      <c r="O113" s="183" t="n">
        <v>0</v>
      </c>
      <c r="P113" s="183" t="n">
        <v>0</v>
      </c>
      <c r="Q113" s="184" t="n">
        <v>0</v>
      </c>
      <c r="R113" s="184" t="n">
        <v>0</v>
      </c>
      <c r="S113" s="183" t="n">
        <v>0</v>
      </c>
      <c r="T113" s="183" t="n">
        <v>0</v>
      </c>
      <c r="U113" s="182" t="n">
        <v>0</v>
      </c>
      <c r="V113" s="182" t="n">
        <v>0</v>
      </c>
      <c r="W113" s="182" t="n">
        <v>0</v>
      </c>
      <c r="X113" s="182" t="n">
        <v>0.6899999999999999</v>
      </c>
      <c r="Y113" s="182" t="n">
        <v>0</v>
      </c>
      <c r="Z113" s="182" t="n">
        <v>0</v>
      </c>
      <c r="AA113" s="182" t="n">
        <v>0</v>
      </c>
      <c r="AB113" s="182" t="n">
        <v>0</v>
      </c>
      <c r="AC113" s="182" t="n">
        <v>0</v>
      </c>
      <c r="AD113" s="182" t="n">
        <v>0</v>
      </c>
      <c r="AE113" s="182" t="n">
        <v>0</v>
      </c>
      <c r="AF113" s="182" t="n">
        <v>0</v>
      </c>
      <c r="AG113" s="182" t="n">
        <v>0</v>
      </c>
      <c r="AH113" s="182" t="n">
        <v>0</v>
      </c>
      <c r="AI113" s="182" t="n">
        <v>0</v>
      </c>
      <c r="AJ113" s="182" t="n">
        <v>0</v>
      </c>
      <c r="AK113" s="182" t="n">
        <v>0</v>
      </c>
      <c r="AL113" s="182" t="n">
        <v>0</v>
      </c>
      <c r="AM113" s="182" t="n">
        <v>0.07000000000000001</v>
      </c>
      <c r="AN113" s="182" t="n">
        <v>0</v>
      </c>
    </row>
    <row r="114">
      <c r="A114" s="155" t="n">
        <v>46082</v>
      </c>
      <c r="B114" s="156" t="inlineStr">
        <is>
          <t>NS</t>
        </is>
      </c>
      <c r="C114" s="156" t="inlineStr">
        <is>
          <t>DZ-038</t>
        </is>
      </c>
      <c r="D114" s="156" t="inlineStr">
        <is>
          <t>D 85 ESS-2</t>
        </is>
      </c>
      <c r="E114" s="156" t="inlineStr">
        <is>
          <t>Bulldozer</t>
        </is>
      </c>
      <c r="F114" s="156" t="inlineStr"/>
      <c r="G114" s="182" t="n">
        <v>0</v>
      </c>
      <c r="H114" s="182" t="n">
        <v>0</v>
      </c>
      <c r="I114" s="182" t="n">
        <v>12</v>
      </c>
      <c r="J114" s="182" t="n">
        <v>12</v>
      </c>
      <c r="K114" s="182" t="n">
        <v>0</v>
      </c>
      <c r="L114" s="182" t="n">
        <v>12</v>
      </c>
      <c r="M114" s="182" t="n">
        <v>0</v>
      </c>
      <c r="N114" s="182" t="n">
        <v>0</v>
      </c>
      <c r="O114" s="183" t="n">
        <v>0</v>
      </c>
      <c r="P114" s="183" t="n">
        <v>0</v>
      </c>
      <c r="Q114" s="184" t="n">
        <v>0</v>
      </c>
      <c r="R114" s="184" t="n">
        <v>0</v>
      </c>
      <c r="S114" s="183" t="n">
        <v>0</v>
      </c>
      <c r="T114" s="183" t="n">
        <v>0</v>
      </c>
      <c r="U114" s="182" t="n">
        <v>0</v>
      </c>
      <c r="V114" s="182" t="n">
        <v>0</v>
      </c>
      <c r="W114" s="182" t="n">
        <v>0</v>
      </c>
      <c r="X114" s="182" t="n">
        <v>0</v>
      </c>
      <c r="Y114" s="182" t="n">
        <v>0</v>
      </c>
      <c r="Z114" s="182" t="n">
        <v>0</v>
      </c>
      <c r="AA114" s="182" t="n">
        <v>0</v>
      </c>
      <c r="AB114" s="182" t="n">
        <v>0</v>
      </c>
      <c r="AC114" s="182" t="n">
        <v>0</v>
      </c>
      <c r="AD114" s="182" t="n">
        <v>0</v>
      </c>
      <c r="AE114" s="182" t="n">
        <v>0</v>
      </c>
      <c r="AF114" s="182" t="n">
        <v>0</v>
      </c>
      <c r="AG114" s="182" t="n">
        <v>0</v>
      </c>
      <c r="AH114" s="182" t="n">
        <v>0</v>
      </c>
      <c r="AI114" s="182" t="n">
        <v>0</v>
      </c>
      <c r="AJ114" s="182" t="n">
        <v>0</v>
      </c>
      <c r="AK114" s="182" t="n">
        <v>0</v>
      </c>
      <c r="AL114" s="182" t="n">
        <v>0</v>
      </c>
      <c r="AM114" s="182" t="n">
        <v>0</v>
      </c>
      <c r="AN114" s="182" t="n">
        <v>0</v>
      </c>
    </row>
    <row r="115">
      <c r="A115" s="155" t="n">
        <v>46082</v>
      </c>
      <c r="B115" s="156" t="inlineStr">
        <is>
          <t>NS</t>
        </is>
      </c>
      <c r="C115" s="156" t="inlineStr">
        <is>
          <t>DZ-039</t>
        </is>
      </c>
      <c r="D115" s="156" t="inlineStr">
        <is>
          <t>D 85 ESS-2</t>
        </is>
      </c>
      <c r="E115" s="156" t="inlineStr">
        <is>
          <t>Bulldozer</t>
        </is>
      </c>
      <c r="F115" s="156" t="inlineStr"/>
      <c r="G115" s="182" t="n">
        <v>0</v>
      </c>
      <c r="H115" s="182" t="n">
        <v>0.17</v>
      </c>
      <c r="I115" s="182" t="n">
        <v>0</v>
      </c>
      <c r="J115" s="182" t="n">
        <v>0.17</v>
      </c>
      <c r="K115" s="182" t="n">
        <v>11.83</v>
      </c>
      <c r="L115" s="182" t="n">
        <v>12</v>
      </c>
      <c r="M115" s="182" t="n">
        <v>0</v>
      </c>
      <c r="N115" s="182" t="n">
        <v>0</v>
      </c>
      <c r="O115" s="183" t="n">
        <v>0</v>
      </c>
      <c r="P115" s="183" t="n">
        <v>0</v>
      </c>
      <c r="Q115" s="184" t="n">
        <v>0</v>
      </c>
      <c r="R115" s="184" t="n">
        <v>0</v>
      </c>
      <c r="S115" s="183" t="n">
        <v>0</v>
      </c>
      <c r="T115" s="183" t="n">
        <v>0</v>
      </c>
      <c r="U115" s="182" t="n">
        <v>0</v>
      </c>
      <c r="V115" s="182" t="n">
        <v>0</v>
      </c>
      <c r="W115" s="182" t="n">
        <v>0</v>
      </c>
      <c r="X115" s="182" t="n">
        <v>1</v>
      </c>
      <c r="Y115" s="182" t="n">
        <v>0</v>
      </c>
      <c r="Z115" s="182" t="n">
        <v>0</v>
      </c>
      <c r="AA115" s="182" t="n">
        <v>0</v>
      </c>
      <c r="AB115" s="182" t="n">
        <v>0</v>
      </c>
      <c r="AC115" s="182" t="n">
        <v>0</v>
      </c>
      <c r="AD115" s="182" t="n">
        <v>0</v>
      </c>
      <c r="AE115" s="182" t="n">
        <v>0</v>
      </c>
      <c r="AF115" s="182" t="n">
        <v>0</v>
      </c>
      <c r="AG115" s="182" t="n">
        <v>0</v>
      </c>
      <c r="AH115" s="182" t="n">
        <v>0</v>
      </c>
      <c r="AI115" s="182" t="n">
        <v>0</v>
      </c>
      <c r="AJ115" s="182" t="n">
        <v>0</v>
      </c>
      <c r="AK115" s="182" t="n">
        <v>10.75</v>
      </c>
      <c r="AL115" s="182" t="n">
        <v>0</v>
      </c>
      <c r="AM115" s="182" t="n">
        <v>0.08</v>
      </c>
      <c r="AN115" s="182" t="n">
        <v>0</v>
      </c>
    </row>
    <row r="116">
      <c r="A116" s="155" t="n">
        <v>46082</v>
      </c>
      <c r="B116" s="156" t="inlineStr">
        <is>
          <t>NS</t>
        </is>
      </c>
      <c r="C116" s="156" t="inlineStr">
        <is>
          <t>DZ-032</t>
        </is>
      </c>
      <c r="D116" s="156" t="inlineStr">
        <is>
          <t>CAT</t>
        </is>
      </c>
      <c r="E116" s="156" t="inlineStr">
        <is>
          <t>Bulldozer</t>
        </is>
      </c>
      <c r="F116" s="156" t="inlineStr"/>
      <c r="G116" s="182" t="n">
        <v>0</v>
      </c>
      <c r="H116" s="182" t="n">
        <v>0</v>
      </c>
      <c r="I116" s="182" t="n">
        <v>12</v>
      </c>
      <c r="J116" s="182" t="n">
        <v>12</v>
      </c>
      <c r="K116" s="182" t="n">
        <v>0</v>
      </c>
      <c r="L116" s="182" t="n">
        <v>12</v>
      </c>
      <c r="M116" s="182" t="n">
        <v>0</v>
      </c>
      <c r="N116" s="182" t="n">
        <v>0</v>
      </c>
      <c r="O116" s="183" t="n">
        <v>0</v>
      </c>
      <c r="P116" s="183" t="n">
        <v>0</v>
      </c>
      <c r="Q116" s="184" t="n">
        <v>0</v>
      </c>
      <c r="R116" s="184" t="n">
        <v>0</v>
      </c>
      <c r="S116" s="183" t="n">
        <v>0</v>
      </c>
      <c r="T116" s="183" t="n">
        <v>0</v>
      </c>
      <c r="U116" s="182" t="n">
        <v>0</v>
      </c>
      <c r="V116" s="182" t="n">
        <v>0</v>
      </c>
      <c r="W116" s="182" t="n">
        <v>0</v>
      </c>
      <c r="X116" s="182" t="n">
        <v>0</v>
      </c>
      <c r="Y116" s="182" t="n">
        <v>0</v>
      </c>
      <c r="Z116" s="182" t="n">
        <v>0</v>
      </c>
      <c r="AA116" s="182" t="n">
        <v>0</v>
      </c>
      <c r="AB116" s="182" t="n">
        <v>0</v>
      </c>
      <c r="AC116" s="182" t="n">
        <v>0</v>
      </c>
      <c r="AD116" s="182" t="n">
        <v>0</v>
      </c>
      <c r="AE116" s="182" t="n">
        <v>0</v>
      </c>
      <c r="AF116" s="182" t="n">
        <v>0</v>
      </c>
      <c r="AG116" s="182" t="n">
        <v>0</v>
      </c>
      <c r="AH116" s="182" t="n">
        <v>0</v>
      </c>
      <c r="AI116" s="182" t="n">
        <v>0</v>
      </c>
      <c r="AJ116" s="182" t="n">
        <v>0</v>
      </c>
      <c r="AK116" s="182" t="n">
        <v>0</v>
      </c>
      <c r="AL116" s="182" t="n">
        <v>0</v>
      </c>
      <c r="AM116" s="182" t="n">
        <v>0</v>
      </c>
      <c r="AN116" s="182" t="n">
        <v>0</v>
      </c>
    </row>
    <row r="117">
      <c r="A117" s="155" t="n">
        <v>46082</v>
      </c>
      <c r="B117" s="156" t="inlineStr">
        <is>
          <t>NS</t>
        </is>
      </c>
      <c r="C117" s="156" t="inlineStr">
        <is>
          <t>DZ-031</t>
        </is>
      </c>
      <c r="D117" s="156" t="inlineStr">
        <is>
          <t>CAT</t>
        </is>
      </c>
      <c r="E117" s="156" t="inlineStr">
        <is>
          <t>Bulldozer</t>
        </is>
      </c>
      <c r="F117" s="156" t="inlineStr">
        <is>
          <t>Support Front Loading</t>
        </is>
      </c>
      <c r="G117" s="182" t="n">
        <v>9.02</v>
      </c>
      <c r="H117" s="182" t="n">
        <v>0</v>
      </c>
      <c r="I117" s="182" t="n">
        <v>0</v>
      </c>
      <c r="J117" s="182" t="n">
        <v>0</v>
      </c>
      <c r="K117" s="182" t="n">
        <v>2.98</v>
      </c>
      <c r="L117" s="182" t="n">
        <v>12</v>
      </c>
      <c r="M117" s="182" t="n">
        <v>0</v>
      </c>
      <c r="N117" s="182" t="n">
        <v>0</v>
      </c>
      <c r="O117" s="183" t="n">
        <v>0</v>
      </c>
      <c r="P117" s="183" t="n">
        <v>0</v>
      </c>
      <c r="Q117" s="184" t="n">
        <v>0</v>
      </c>
      <c r="R117" s="184" t="n">
        <v>0</v>
      </c>
      <c r="S117" s="183" t="n">
        <v>0</v>
      </c>
      <c r="T117" s="183" t="n">
        <v>0</v>
      </c>
      <c r="U117" s="182" t="n">
        <v>0</v>
      </c>
      <c r="V117" s="182" t="n">
        <v>0</v>
      </c>
      <c r="W117" s="182" t="n">
        <v>0</v>
      </c>
      <c r="X117" s="182" t="n">
        <v>1.15</v>
      </c>
      <c r="Y117" s="182" t="n">
        <v>0</v>
      </c>
      <c r="Z117" s="182" t="n">
        <v>0</v>
      </c>
      <c r="AA117" s="182" t="n">
        <v>0</v>
      </c>
      <c r="AB117" s="182" t="n">
        <v>0</v>
      </c>
      <c r="AC117" s="182" t="n">
        <v>0</v>
      </c>
      <c r="AD117" s="182" t="n">
        <v>0</v>
      </c>
      <c r="AE117" s="182" t="n">
        <v>0</v>
      </c>
      <c r="AF117" s="182" t="n">
        <v>0</v>
      </c>
      <c r="AG117" s="182" t="n">
        <v>0</v>
      </c>
      <c r="AH117" s="182" t="n">
        <v>0</v>
      </c>
      <c r="AI117" s="182" t="n">
        <v>0</v>
      </c>
      <c r="AJ117" s="182" t="n">
        <v>0</v>
      </c>
      <c r="AK117" s="182" t="n">
        <v>1.74</v>
      </c>
      <c r="AL117" s="182" t="n">
        <v>0</v>
      </c>
      <c r="AM117" s="182" t="n">
        <v>0.09</v>
      </c>
      <c r="AN117" s="182" t="n">
        <v>0</v>
      </c>
    </row>
    <row r="118">
      <c r="A118" s="155" t="n">
        <v>46082</v>
      </c>
      <c r="B118" s="156" t="inlineStr">
        <is>
          <t>NS</t>
        </is>
      </c>
      <c r="C118" s="156" t="inlineStr">
        <is>
          <t>DZ-037</t>
        </is>
      </c>
      <c r="D118" s="156" t="inlineStr">
        <is>
          <t>D 85 ESS-2</t>
        </is>
      </c>
      <c r="E118" s="156" t="inlineStr">
        <is>
          <t>Bulldozer</t>
        </is>
      </c>
      <c r="F118" s="156" t="inlineStr"/>
      <c r="G118" s="182" t="n">
        <v>0</v>
      </c>
      <c r="H118" s="182" t="n">
        <v>0</v>
      </c>
      <c r="I118" s="182" t="n">
        <v>12</v>
      </c>
      <c r="J118" s="182" t="n">
        <v>12</v>
      </c>
      <c r="K118" s="182" t="n">
        <v>0</v>
      </c>
      <c r="L118" s="182" t="n">
        <v>12</v>
      </c>
      <c r="M118" s="182" t="n">
        <v>0</v>
      </c>
      <c r="N118" s="182" t="n">
        <v>0</v>
      </c>
      <c r="O118" s="183" t="n">
        <v>0</v>
      </c>
      <c r="P118" s="183" t="n">
        <v>0</v>
      </c>
      <c r="Q118" s="184" t="n">
        <v>0</v>
      </c>
      <c r="R118" s="184" t="n">
        <v>0</v>
      </c>
      <c r="S118" s="183" t="n">
        <v>0</v>
      </c>
      <c r="T118" s="183" t="n">
        <v>0</v>
      </c>
      <c r="U118" s="182" t="n">
        <v>0</v>
      </c>
      <c r="V118" s="182" t="n">
        <v>0</v>
      </c>
      <c r="W118" s="182" t="n">
        <v>0</v>
      </c>
      <c r="X118" s="182" t="n">
        <v>0</v>
      </c>
      <c r="Y118" s="182" t="n">
        <v>0</v>
      </c>
      <c r="Z118" s="182" t="n">
        <v>0</v>
      </c>
      <c r="AA118" s="182" t="n">
        <v>0</v>
      </c>
      <c r="AB118" s="182" t="n">
        <v>0</v>
      </c>
      <c r="AC118" s="182" t="n">
        <v>0</v>
      </c>
      <c r="AD118" s="182" t="n">
        <v>0</v>
      </c>
      <c r="AE118" s="182" t="n">
        <v>0</v>
      </c>
      <c r="AF118" s="182" t="n">
        <v>0</v>
      </c>
      <c r="AG118" s="182" t="n">
        <v>0</v>
      </c>
      <c r="AH118" s="182" t="n">
        <v>0</v>
      </c>
      <c r="AI118" s="182" t="n">
        <v>0</v>
      </c>
      <c r="AJ118" s="182" t="n">
        <v>0</v>
      </c>
      <c r="AK118" s="182" t="n">
        <v>0</v>
      </c>
      <c r="AL118" s="182" t="n">
        <v>0</v>
      </c>
      <c r="AM118" s="182" t="n">
        <v>0</v>
      </c>
      <c r="AN118" s="182" t="n">
        <v>0</v>
      </c>
    </row>
    <row r="119">
      <c r="A119" s="155" t="n">
        <v>46082</v>
      </c>
      <c r="B119" s="156" t="inlineStr">
        <is>
          <t>NS</t>
        </is>
      </c>
      <c r="C119" s="156" t="inlineStr">
        <is>
          <t>DZ-036</t>
        </is>
      </c>
      <c r="D119" s="156" t="inlineStr">
        <is>
          <t>D 85 ESS-2</t>
        </is>
      </c>
      <c r="E119" s="156" t="inlineStr">
        <is>
          <t>Bulldozer</t>
        </is>
      </c>
      <c r="F119" s="156" t="inlineStr"/>
      <c r="G119" s="182" t="n">
        <v>0</v>
      </c>
      <c r="H119" s="182" t="n">
        <v>0</v>
      </c>
      <c r="I119" s="182" t="n">
        <v>0</v>
      </c>
      <c r="J119" s="182" t="n">
        <v>0</v>
      </c>
      <c r="K119" s="182" t="n">
        <v>12</v>
      </c>
      <c r="L119" s="182" t="n">
        <v>12</v>
      </c>
      <c r="M119" s="182" t="n">
        <v>0</v>
      </c>
      <c r="N119" s="182" t="n">
        <v>0</v>
      </c>
      <c r="O119" s="183" t="n">
        <v>0</v>
      </c>
      <c r="P119" s="183" t="n">
        <v>0</v>
      </c>
      <c r="Q119" s="184" t="n">
        <v>0</v>
      </c>
      <c r="R119" s="184" t="n">
        <v>0</v>
      </c>
      <c r="S119" s="183" t="n">
        <v>0</v>
      </c>
      <c r="T119" s="183" t="n">
        <v>0</v>
      </c>
      <c r="U119" s="182" t="n">
        <v>0</v>
      </c>
      <c r="V119" s="182" t="n">
        <v>0</v>
      </c>
      <c r="W119" s="182" t="n">
        <v>0</v>
      </c>
      <c r="X119" s="182" t="n">
        <v>1</v>
      </c>
      <c r="Y119" s="182" t="n">
        <v>0</v>
      </c>
      <c r="Z119" s="182" t="n">
        <v>0</v>
      </c>
      <c r="AA119" s="182" t="n">
        <v>0</v>
      </c>
      <c r="AB119" s="182" t="n">
        <v>0</v>
      </c>
      <c r="AC119" s="182" t="n">
        <v>0</v>
      </c>
      <c r="AD119" s="182" t="n">
        <v>0</v>
      </c>
      <c r="AE119" s="182" t="n">
        <v>0</v>
      </c>
      <c r="AF119" s="182" t="n">
        <v>0</v>
      </c>
      <c r="AG119" s="182" t="n">
        <v>0</v>
      </c>
      <c r="AH119" s="182" t="n">
        <v>0</v>
      </c>
      <c r="AI119" s="182" t="n">
        <v>0</v>
      </c>
      <c r="AJ119" s="182" t="n">
        <v>0</v>
      </c>
      <c r="AK119" s="182" t="n">
        <v>10.92</v>
      </c>
      <c r="AL119" s="182" t="n">
        <v>0</v>
      </c>
      <c r="AM119" s="182" t="n">
        <v>0.08</v>
      </c>
      <c r="AN119" s="182" t="n">
        <v>0</v>
      </c>
    </row>
    <row r="120">
      <c r="A120" s="155" t="n">
        <v>46082</v>
      </c>
      <c r="B120" s="156" t="inlineStr">
        <is>
          <t>NS</t>
        </is>
      </c>
      <c r="C120" s="156" t="inlineStr">
        <is>
          <t>DZ-035</t>
        </is>
      </c>
      <c r="D120" s="156" t="inlineStr">
        <is>
          <t>D 85 ESS-2</t>
        </is>
      </c>
      <c r="E120" s="156" t="inlineStr">
        <is>
          <t>Bulldozer</t>
        </is>
      </c>
      <c r="F120" s="156" t="inlineStr">
        <is>
          <t>Support Disposal</t>
        </is>
      </c>
      <c r="G120" s="182" t="n">
        <v>9.57</v>
      </c>
      <c r="H120" s="182" t="n">
        <v>0</v>
      </c>
      <c r="I120" s="182" t="n">
        <v>0</v>
      </c>
      <c r="J120" s="182" t="n">
        <v>0</v>
      </c>
      <c r="K120" s="182" t="n">
        <v>2.43</v>
      </c>
      <c r="L120" s="182" t="n">
        <v>12</v>
      </c>
      <c r="M120" s="182" t="n">
        <v>0</v>
      </c>
      <c r="N120" s="182" t="n">
        <v>0</v>
      </c>
      <c r="O120" s="183" t="n">
        <v>0</v>
      </c>
      <c r="P120" s="183" t="n">
        <v>0</v>
      </c>
      <c r="Q120" s="184" t="n">
        <v>0</v>
      </c>
      <c r="R120" s="184" t="n">
        <v>0</v>
      </c>
      <c r="S120" s="183" t="n">
        <v>0</v>
      </c>
      <c r="T120" s="183" t="n">
        <v>0</v>
      </c>
      <c r="U120" s="182" t="n">
        <v>0</v>
      </c>
      <c r="V120" s="182" t="n">
        <v>0</v>
      </c>
      <c r="W120" s="182" t="n">
        <v>0</v>
      </c>
      <c r="X120" s="182" t="n">
        <v>0.97</v>
      </c>
      <c r="Y120" s="182" t="n">
        <v>0</v>
      </c>
      <c r="Z120" s="182" t="n">
        <v>0</v>
      </c>
      <c r="AA120" s="182" t="n">
        <v>0</v>
      </c>
      <c r="AB120" s="182" t="n">
        <v>0</v>
      </c>
      <c r="AC120" s="182" t="n">
        <v>0</v>
      </c>
      <c r="AD120" s="182" t="n">
        <v>0</v>
      </c>
      <c r="AE120" s="182" t="n">
        <v>0</v>
      </c>
      <c r="AF120" s="182" t="n">
        <v>0</v>
      </c>
      <c r="AG120" s="182" t="n">
        <v>0</v>
      </c>
      <c r="AH120" s="182" t="n">
        <v>0</v>
      </c>
      <c r="AI120" s="182" t="n">
        <v>0</v>
      </c>
      <c r="AJ120" s="182" t="n">
        <v>0</v>
      </c>
      <c r="AK120" s="182" t="n">
        <v>1.38</v>
      </c>
      <c r="AL120" s="182" t="n">
        <v>0</v>
      </c>
      <c r="AM120" s="182" t="n">
        <v>0.08</v>
      </c>
      <c r="AN120" s="182" t="n">
        <v>0</v>
      </c>
    </row>
    <row r="121">
      <c r="A121" s="155" t="n">
        <v>46082</v>
      </c>
      <c r="B121" s="156" t="inlineStr">
        <is>
          <t>NS</t>
        </is>
      </c>
      <c r="C121" s="156" t="inlineStr">
        <is>
          <t>CP-042</t>
        </is>
      </c>
      <c r="D121" s="156" t="inlineStr">
        <is>
          <t>SANY - Compactor</t>
        </is>
      </c>
      <c r="E121" s="156" t="inlineStr">
        <is>
          <t>Compactor</t>
        </is>
      </c>
      <c r="F121" s="156" t="inlineStr"/>
      <c r="G121" s="182" t="n">
        <v>0</v>
      </c>
      <c r="H121" s="182" t="n">
        <v>0</v>
      </c>
      <c r="I121" s="182" t="n">
        <v>0</v>
      </c>
      <c r="J121" s="182" t="n">
        <v>0</v>
      </c>
      <c r="K121" s="182" t="n">
        <v>12</v>
      </c>
      <c r="L121" s="182" t="n">
        <v>12</v>
      </c>
      <c r="M121" s="182" t="n">
        <v>0</v>
      </c>
      <c r="N121" s="182" t="n">
        <v>0</v>
      </c>
      <c r="O121" s="183" t="n">
        <v>0</v>
      </c>
      <c r="P121" s="183" t="n">
        <v>0</v>
      </c>
      <c r="Q121" s="184" t="n">
        <v>0</v>
      </c>
      <c r="R121" s="184" t="n">
        <v>0</v>
      </c>
      <c r="S121" s="183" t="n">
        <v>0</v>
      </c>
      <c r="T121" s="183" t="n">
        <v>0</v>
      </c>
      <c r="U121" s="182" t="n">
        <v>0</v>
      </c>
      <c r="V121" s="182" t="n">
        <v>0</v>
      </c>
      <c r="W121" s="182" t="n">
        <v>0</v>
      </c>
      <c r="X121" s="182" t="n">
        <v>1</v>
      </c>
      <c r="Y121" s="182" t="n">
        <v>0</v>
      </c>
      <c r="Z121" s="182" t="n">
        <v>0</v>
      </c>
      <c r="AA121" s="182" t="n">
        <v>0</v>
      </c>
      <c r="AB121" s="182" t="n">
        <v>0</v>
      </c>
      <c r="AC121" s="182" t="n">
        <v>0</v>
      </c>
      <c r="AD121" s="182" t="n">
        <v>0</v>
      </c>
      <c r="AE121" s="182" t="n">
        <v>0</v>
      </c>
      <c r="AF121" s="182" t="n">
        <v>0</v>
      </c>
      <c r="AG121" s="182" t="n">
        <v>0</v>
      </c>
      <c r="AH121" s="182" t="n">
        <v>0</v>
      </c>
      <c r="AI121" s="182" t="n">
        <v>0</v>
      </c>
      <c r="AJ121" s="182" t="n">
        <v>0</v>
      </c>
      <c r="AK121" s="182" t="n">
        <v>10.92</v>
      </c>
      <c r="AL121" s="182" t="n">
        <v>0</v>
      </c>
      <c r="AM121" s="182" t="n">
        <v>0.08</v>
      </c>
      <c r="AN121" s="182" t="n">
        <v>0</v>
      </c>
    </row>
    <row r="122">
      <c r="A122" s="155" t="n">
        <v>46082</v>
      </c>
      <c r="B122" s="156" t="inlineStr">
        <is>
          <t>NS</t>
        </is>
      </c>
      <c r="C122" s="156" t="inlineStr">
        <is>
          <t>CP-041</t>
        </is>
      </c>
      <c r="D122" s="156" t="inlineStr">
        <is>
          <t>SANY - Compactor</t>
        </is>
      </c>
      <c r="E122" s="156" t="inlineStr">
        <is>
          <t>Compactor</t>
        </is>
      </c>
      <c r="F122" s="156" t="inlineStr">
        <is>
          <t>General Road</t>
        </is>
      </c>
      <c r="G122" s="182" t="n">
        <v>5.02</v>
      </c>
      <c r="H122" s="182" t="n">
        <v>0</v>
      </c>
      <c r="I122" s="182" t="n">
        <v>0.17</v>
      </c>
      <c r="J122" s="182" t="n">
        <v>0.17</v>
      </c>
      <c r="K122" s="182" t="n">
        <v>6.81</v>
      </c>
      <c r="L122" s="182" t="n">
        <v>12</v>
      </c>
      <c r="M122" s="182" t="n">
        <v>0</v>
      </c>
      <c r="N122" s="182" t="n">
        <v>0</v>
      </c>
      <c r="O122" s="183" t="n">
        <v>0</v>
      </c>
      <c r="P122" s="183" t="n">
        <v>0</v>
      </c>
      <c r="Q122" s="184" t="n">
        <v>0</v>
      </c>
      <c r="R122" s="184" t="n">
        <v>0</v>
      </c>
      <c r="S122" s="183" t="n">
        <v>0</v>
      </c>
      <c r="T122" s="183" t="n">
        <v>0</v>
      </c>
      <c r="U122" s="182" t="n">
        <v>0</v>
      </c>
      <c r="V122" s="182" t="n">
        <v>0</v>
      </c>
      <c r="W122" s="182" t="n">
        <v>0</v>
      </c>
      <c r="X122" s="182" t="n">
        <v>1.01</v>
      </c>
      <c r="Y122" s="182" t="n">
        <v>0</v>
      </c>
      <c r="Z122" s="182" t="n">
        <v>0</v>
      </c>
      <c r="AA122" s="182" t="n">
        <v>0</v>
      </c>
      <c r="AB122" s="182" t="n">
        <v>0</v>
      </c>
      <c r="AC122" s="182" t="n">
        <v>0</v>
      </c>
      <c r="AD122" s="182" t="n">
        <v>0</v>
      </c>
      <c r="AE122" s="182" t="n">
        <v>0</v>
      </c>
      <c r="AF122" s="182" t="n">
        <v>0</v>
      </c>
      <c r="AG122" s="182" t="n">
        <v>0</v>
      </c>
      <c r="AH122" s="182" t="n">
        <v>0</v>
      </c>
      <c r="AI122" s="182" t="n">
        <v>0</v>
      </c>
      <c r="AJ122" s="182" t="n">
        <v>0</v>
      </c>
      <c r="AK122" s="182" t="n">
        <v>5.72</v>
      </c>
      <c r="AL122" s="182" t="n">
        <v>0</v>
      </c>
      <c r="AM122" s="182" t="n">
        <v>0.08</v>
      </c>
      <c r="AN122" s="182" t="n">
        <v>0</v>
      </c>
    </row>
    <row r="123">
      <c r="A123" s="155" t="n">
        <v>46082</v>
      </c>
      <c r="B123" s="156" t="inlineStr">
        <is>
          <t>NS</t>
        </is>
      </c>
      <c r="C123" s="156" t="inlineStr">
        <is>
          <t>HT-418</t>
        </is>
      </c>
      <c r="D123" s="156" t="inlineStr">
        <is>
          <t>SY430</t>
        </is>
      </c>
      <c r="E123" s="156" t="inlineStr">
        <is>
          <t>DT Hauling</t>
        </is>
      </c>
      <c r="F123" s="156" t="inlineStr"/>
      <c r="G123" s="182" t="n">
        <v>0</v>
      </c>
      <c r="H123" s="182" t="n">
        <v>0</v>
      </c>
      <c r="I123" s="182" t="n">
        <v>0</v>
      </c>
      <c r="J123" s="182" t="n">
        <v>0</v>
      </c>
      <c r="K123" s="182" t="n">
        <v>12</v>
      </c>
      <c r="L123" s="182" t="n">
        <v>12</v>
      </c>
      <c r="M123" s="182" t="n">
        <v>0</v>
      </c>
      <c r="N123" s="182" t="n">
        <v>0</v>
      </c>
      <c r="O123" s="183" t="n">
        <v>0</v>
      </c>
      <c r="P123" s="183" t="n">
        <v>0</v>
      </c>
      <c r="Q123" s="184" t="n">
        <v>0</v>
      </c>
      <c r="R123" s="184" t="n">
        <v>0</v>
      </c>
      <c r="S123" s="183" t="n">
        <v>0</v>
      </c>
      <c r="T123" s="183" t="n">
        <v>0</v>
      </c>
      <c r="U123" s="182" t="n">
        <v>0</v>
      </c>
      <c r="V123" s="182" t="n">
        <v>0</v>
      </c>
      <c r="W123" s="182" t="n">
        <v>0</v>
      </c>
      <c r="X123" s="182" t="n">
        <v>1</v>
      </c>
      <c r="Y123" s="182" t="n">
        <v>0</v>
      </c>
      <c r="Z123" s="182" t="n">
        <v>0</v>
      </c>
      <c r="AA123" s="182" t="n">
        <v>0</v>
      </c>
      <c r="AB123" s="182" t="n">
        <v>0</v>
      </c>
      <c r="AC123" s="182" t="n">
        <v>0</v>
      </c>
      <c r="AD123" s="182" t="n">
        <v>0</v>
      </c>
      <c r="AE123" s="182" t="n">
        <v>0</v>
      </c>
      <c r="AF123" s="182" t="n">
        <v>0</v>
      </c>
      <c r="AG123" s="182" t="n">
        <v>0</v>
      </c>
      <c r="AH123" s="182" t="n">
        <v>0</v>
      </c>
      <c r="AI123" s="182" t="n">
        <v>0</v>
      </c>
      <c r="AJ123" s="182" t="n">
        <v>0</v>
      </c>
      <c r="AK123" s="182" t="n">
        <v>10.92</v>
      </c>
      <c r="AL123" s="182" t="n">
        <v>0</v>
      </c>
      <c r="AM123" s="182" t="n">
        <v>0.08</v>
      </c>
      <c r="AN123" s="182" t="n">
        <v>0</v>
      </c>
    </row>
    <row r="124">
      <c r="A124" s="155" t="n">
        <v>46082</v>
      </c>
      <c r="B124" s="156" t="inlineStr">
        <is>
          <t>NS</t>
        </is>
      </c>
      <c r="C124" s="156" t="inlineStr">
        <is>
          <t>HT-404</t>
        </is>
      </c>
      <c r="D124" s="156" t="inlineStr">
        <is>
          <t>SY430</t>
        </is>
      </c>
      <c r="E124" s="156" t="inlineStr">
        <is>
          <t>DT Hauling</t>
        </is>
      </c>
      <c r="F124" s="156" t="inlineStr"/>
      <c r="G124" s="182" t="n">
        <v>0</v>
      </c>
      <c r="H124" s="182" t="n">
        <v>0</v>
      </c>
      <c r="I124" s="182" t="n">
        <v>0</v>
      </c>
      <c r="J124" s="182" t="n">
        <v>0</v>
      </c>
      <c r="K124" s="182" t="n">
        <v>12</v>
      </c>
      <c r="L124" s="182" t="n">
        <v>12</v>
      </c>
      <c r="M124" s="182" t="n">
        <v>0</v>
      </c>
      <c r="N124" s="182" t="n">
        <v>0</v>
      </c>
      <c r="O124" s="183" t="n">
        <v>0</v>
      </c>
      <c r="P124" s="183" t="n">
        <v>0</v>
      </c>
      <c r="Q124" s="184" t="n">
        <v>0</v>
      </c>
      <c r="R124" s="184" t="n">
        <v>0</v>
      </c>
      <c r="S124" s="183" t="n">
        <v>0</v>
      </c>
      <c r="T124" s="183" t="n">
        <v>0</v>
      </c>
      <c r="U124" s="182" t="n">
        <v>0</v>
      </c>
      <c r="V124" s="182" t="n">
        <v>0</v>
      </c>
      <c r="W124" s="182" t="n">
        <v>0</v>
      </c>
      <c r="X124" s="182" t="n">
        <v>1</v>
      </c>
      <c r="Y124" s="182" t="n">
        <v>0</v>
      </c>
      <c r="Z124" s="182" t="n">
        <v>0</v>
      </c>
      <c r="AA124" s="182" t="n">
        <v>0</v>
      </c>
      <c r="AB124" s="182" t="n">
        <v>0</v>
      </c>
      <c r="AC124" s="182" t="n">
        <v>0</v>
      </c>
      <c r="AD124" s="182" t="n">
        <v>0</v>
      </c>
      <c r="AE124" s="182" t="n">
        <v>0</v>
      </c>
      <c r="AF124" s="182" t="n">
        <v>0</v>
      </c>
      <c r="AG124" s="182" t="n">
        <v>0</v>
      </c>
      <c r="AH124" s="182" t="n">
        <v>0</v>
      </c>
      <c r="AI124" s="182" t="n">
        <v>0</v>
      </c>
      <c r="AJ124" s="182" t="n">
        <v>0</v>
      </c>
      <c r="AK124" s="182" t="n">
        <v>10.92</v>
      </c>
      <c r="AL124" s="182" t="n">
        <v>0</v>
      </c>
      <c r="AM124" s="182" t="n">
        <v>0.08</v>
      </c>
      <c r="AN124" s="182" t="n">
        <v>0</v>
      </c>
    </row>
    <row r="125">
      <c r="A125" s="155" t="n">
        <v>46082</v>
      </c>
      <c r="B125" s="156" t="inlineStr">
        <is>
          <t>NS</t>
        </is>
      </c>
      <c r="C125" s="156" t="inlineStr">
        <is>
          <t>HT-415</t>
        </is>
      </c>
      <c r="D125" s="156" t="inlineStr">
        <is>
          <t>SY430</t>
        </is>
      </c>
      <c r="E125" s="156" t="inlineStr">
        <is>
          <t>DT Hauling</t>
        </is>
      </c>
      <c r="F125" s="156" t="inlineStr"/>
      <c r="G125" s="182" t="n">
        <v>0</v>
      </c>
      <c r="H125" s="182" t="n">
        <v>0</v>
      </c>
      <c r="I125" s="182" t="n">
        <v>12</v>
      </c>
      <c r="J125" s="182" t="n">
        <v>12</v>
      </c>
      <c r="K125" s="182" t="n">
        <v>0</v>
      </c>
      <c r="L125" s="182" t="n">
        <v>12</v>
      </c>
      <c r="M125" s="182" t="n">
        <v>0</v>
      </c>
      <c r="N125" s="182" t="n">
        <v>0</v>
      </c>
      <c r="O125" s="183" t="n">
        <v>0</v>
      </c>
      <c r="P125" s="183" t="n">
        <v>0</v>
      </c>
      <c r="Q125" s="184" t="n">
        <v>0</v>
      </c>
      <c r="R125" s="184" t="n">
        <v>0</v>
      </c>
      <c r="S125" s="183" t="n">
        <v>0</v>
      </c>
      <c r="T125" s="183" t="n">
        <v>0</v>
      </c>
      <c r="U125" s="182" t="n">
        <v>0</v>
      </c>
      <c r="V125" s="182" t="n">
        <v>0</v>
      </c>
      <c r="W125" s="182" t="n">
        <v>0</v>
      </c>
      <c r="X125" s="182" t="n">
        <v>0</v>
      </c>
      <c r="Y125" s="182" t="n">
        <v>0</v>
      </c>
      <c r="Z125" s="182" t="n">
        <v>0</v>
      </c>
      <c r="AA125" s="182" t="n">
        <v>0</v>
      </c>
      <c r="AB125" s="182" t="n">
        <v>0</v>
      </c>
      <c r="AC125" s="182" t="n">
        <v>0</v>
      </c>
      <c r="AD125" s="182" t="n">
        <v>0</v>
      </c>
      <c r="AE125" s="182" t="n">
        <v>0</v>
      </c>
      <c r="AF125" s="182" t="n">
        <v>0</v>
      </c>
      <c r="AG125" s="182" t="n">
        <v>0</v>
      </c>
      <c r="AH125" s="182" t="n">
        <v>0</v>
      </c>
      <c r="AI125" s="182" t="n">
        <v>0</v>
      </c>
      <c r="AJ125" s="182" t="n">
        <v>0</v>
      </c>
      <c r="AK125" s="182" t="n">
        <v>0</v>
      </c>
      <c r="AL125" s="182" t="n">
        <v>0</v>
      </c>
      <c r="AM125" s="182" t="n">
        <v>0</v>
      </c>
      <c r="AN125" s="182" t="n">
        <v>0</v>
      </c>
    </row>
    <row r="126">
      <c r="A126" s="155" t="n">
        <v>46082</v>
      </c>
      <c r="B126" s="156" t="inlineStr">
        <is>
          <t>NS</t>
        </is>
      </c>
      <c r="C126" s="156" t="inlineStr">
        <is>
          <t>HT-406</t>
        </is>
      </c>
      <c r="D126" s="156" t="inlineStr">
        <is>
          <t>SY430</t>
        </is>
      </c>
      <c r="E126" s="156" t="inlineStr">
        <is>
          <t>DT Hauling</t>
        </is>
      </c>
      <c r="F126" s="156" t="inlineStr"/>
      <c r="G126" s="182" t="n">
        <v>0</v>
      </c>
      <c r="H126" s="182" t="n">
        <v>0</v>
      </c>
      <c r="I126" s="182" t="n">
        <v>0</v>
      </c>
      <c r="J126" s="182" t="n">
        <v>0</v>
      </c>
      <c r="K126" s="182" t="n">
        <v>12</v>
      </c>
      <c r="L126" s="182" t="n">
        <v>12</v>
      </c>
      <c r="M126" s="182" t="n">
        <v>0</v>
      </c>
      <c r="N126" s="182" t="n">
        <v>0</v>
      </c>
      <c r="O126" s="183" t="n">
        <v>0</v>
      </c>
      <c r="P126" s="183" t="n">
        <v>0</v>
      </c>
      <c r="Q126" s="184" t="n">
        <v>0</v>
      </c>
      <c r="R126" s="184" t="n">
        <v>0</v>
      </c>
      <c r="S126" s="183" t="n">
        <v>0</v>
      </c>
      <c r="T126" s="183" t="n">
        <v>0</v>
      </c>
      <c r="U126" s="182" t="n">
        <v>0</v>
      </c>
      <c r="V126" s="182" t="n">
        <v>0</v>
      </c>
      <c r="W126" s="182" t="n">
        <v>0</v>
      </c>
      <c r="X126" s="182" t="n">
        <v>1</v>
      </c>
      <c r="Y126" s="182" t="n">
        <v>0</v>
      </c>
      <c r="Z126" s="182" t="n">
        <v>0</v>
      </c>
      <c r="AA126" s="182" t="n">
        <v>0</v>
      </c>
      <c r="AB126" s="182" t="n">
        <v>0</v>
      </c>
      <c r="AC126" s="182" t="n">
        <v>0</v>
      </c>
      <c r="AD126" s="182" t="n">
        <v>0</v>
      </c>
      <c r="AE126" s="182" t="n">
        <v>0</v>
      </c>
      <c r="AF126" s="182" t="n">
        <v>0</v>
      </c>
      <c r="AG126" s="182" t="n">
        <v>0</v>
      </c>
      <c r="AH126" s="182" t="n">
        <v>0</v>
      </c>
      <c r="AI126" s="182" t="n">
        <v>0</v>
      </c>
      <c r="AJ126" s="182" t="n">
        <v>0</v>
      </c>
      <c r="AK126" s="182" t="n">
        <v>10.92</v>
      </c>
      <c r="AL126" s="182" t="n">
        <v>0</v>
      </c>
      <c r="AM126" s="182" t="n">
        <v>0.08</v>
      </c>
      <c r="AN126" s="182" t="n">
        <v>0</v>
      </c>
    </row>
    <row r="127">
      <c r="A127" s="155" t="n">
        <v>46082</v>
      </c>
      <c r="B127" s="156" t="inlineStr">
        <is>
          <t>NS</t>
        </is>
      </c>
      <c r="C127" s="156" t="inlineStr">
        <is>
          <t>HT-405</t>
        </is>
      </c>
      <c r="D127" s="156" t="inlineStr">
        <is>
          <t>SY430</t>
        </is>
      </c>
      <c r="E127" s="156" t="inlineStr">
        <is>
          <t>DT Hauling</t>
        </is>
      </c>
      <c r="F127" s="156" t="inlineStr"/>
      <c r="G127" s="182" t="n">
        <v>0</v>
      </c>
      <c r="H127" s="182" t="n">
        <v>0</v>
      </c>
      <c r="I127" s="182" t="n">
        <v>12</v>
      </c>
      <c r="J127" s="182" t="n">
        <v>12</v>
      </c>
      <c r="K127" s="182" t="n">
        <v>0</v>
      </c>
      <c r="L127" s="182" t="n">
        <v>12</v>
      </c>
      <c r="M127" s="182" t="n">
        <v>0</v>
      </c>
      <c r="N127" s="182" t="n">
        <v>0</v>
      </c>
      <c r="O127" s="183" t="n">
        <v>0</v>
      </c>
      <c r="P127" s="183" t="n">
        <v>0</v>
      </c>
      <c r="Q127" s="184" t="n">
        <v>0</v>
      </c>
      <c r="R127" s="184" t="n">
        <v>0</v>
      </c>
      <c r="S127" s="183" t="n">
        <v>0</v>
      </c>
      <c r="T127" s="183" t="n">
        <v>0</v>
      </c>
      <c r="U127" s="182" t="n">
        <v>0</v>
      </c>
      <c r="V127" s="182" t="n">
        <v>0</v>
      </c>
      <c r="W127" s="182" t="n">
        <v>0</v>
      </c>
      <c r="X127" s="182" t="n">
        <v>0</v>
      </c>
      <c r="Y127" s="182" t="n">
        <v>0</v>
      </c>
      <c r="Z127" s="182" t="n">
        <v>0</v>
      </c>
      <c r="AA127" s="182" t="n">
        <v>0</v>
      </c>
      <c r="AB127" s="182" t="n">
        <v>0</v>
      </c>
      <c r="AC127" s="182" t="n">
        <v>0</v>
      </c>
      <c r="AD127" s="182" t="n">
        <v>0</v>
      </c>
      <c r="AE127" s="182" t="n">
        <v>0</v>
      </c>
      <c r="AF127" s="182" t="n">
        <v>0</v>
      </c>
      <c r="AG127" s="182" t="n">
        <v>0</v>
      </c>
      <c r="AH127" s="182" t="n">
        <v>0</v>
      </c>
      <c r="AI127" s="182" t="n">
        <v>0</v>
      </c>
      <c r="AJ127" s="182" t="n">
        <v>0</v>
      </c>
      <c r="AK127" s="182" t="n">
        <v>0</v>
      </c>
      <c r="AL127" s="182" t="n">
        <v>0</v>
      </c>
      <c r="AM127" s="182" t="n">
        <v>0</v>
      </c>
      <c r="AN127" s="182" t="n">
        <v>0</v>
      </c>
    </row>
    <row r="128">
      <c r="A128" s="155" t="n">
        <v>46082</v>
      </c>
      <c r="B128" s="156" t="inlineStr">
        <is>
          <t>NS</t>
        </is>
      </c>
      <c r="C128" s="156" t="inlineStr">
        <is>
          <t>HT-417</t>
        </is>
      </c>
      <c r="D128" s="156" t="inlineStr">
        <is>
          <t>SY430</t>
        </is>
      </c>
      <c r="E128" s="156" t="inlineStr">
        <is>
          <t>DT Hauling</t>
        </is>
      </c>
      <c r="F128" s="156" t="inlineStr"/>
      <c r="G128" s="182" t="n">
        <v>0</v>
      </c>
      <c r="H128" s="182" t="n">
        <v>0</v>
      </c>
      <c r="I128" s="182" t="n">
        <v>0</v>
      </c>
      <c r="J128" s="182" t="n">
        <v>0</v>
      </c>
      <c r="K128" s="182" t="n">
        <v>12</v>
      </c>
      <c r="L128" s="182" t="n">
        <v>12</v>
      </c>
      <c r="M128" s="182" t="n">
        <v>0</v>
      </c>
      <c r="N128" s="182" t="n">
        <v>0</v>
      </c>
      <c r="O128" s="183" t="n">
        <v>0</v>
      </c>
      <c r="P128" s="183" t="n">
        <v>0</v>
      </c>
      <c r="Q128" s="184" t="n">
        <v>0</v>
      </c>
      <c r="R128" s="184" t="n">
        <v>0</v>
      </c>
      <c r="S128" s="183" t="n">
        <v>0</v>
      </c>
      <c r="T128" s="183" t="n">
        <v>0</v>
      </c>
      <c r="U128" s="182" t="n">
        <v>0</v>
      </c>
      <c r="V128" s="182" t="n">
        <v>0</v>
      </c>
      <c r="W128" s="182" t="n">
        <v>0</v>
      </c>
      <c r="X128" s="182" t="n">
        <v>1</v>
      </c>
      <c r="Y128" s="182" t="n">
        <v>0</v>
      </c>
      <c r="Z128" s="182" t="n">
        <v>0</v>
      </c>
      <c r="AA128" s="182" t="n">
        <v>0</v>
      </c>
      <c r="AB128" s="182" t="n">
        <v>0</v>
      </c>
      <c r="AC128" s="182" t="n">
        <v>0</v>
      </c>
      <c r="AD128" s="182" t="n">
        <v>0</v>
      </c>
      <c r="AE128" s="182" t="n">
        <v>0</v>
      </c>
      <c r="AF128" s="182" t="n">
        <v>0</v>
      </c>
      <c r="AG128" s="182" t="n">
        <v>0</v>
      </c>
      <c r="AH128" s="182" t="n">
        <v>0</v>
      </c>
      <c r="AI128" s="182" t="n">
        <v>0</v>
      </c>
      <c r="AJ128" s="182" t="n">
        <v>0</v>
      </c>
      <c r="AK128" s="182" t="n">
        <v>10.92</v>
      </c>
      <c r="AL128" s="182" t="n">
        <v>0</v>
      </c>
      <c r="AM128" s="182" t="n">
        <v>0.08</v>
      </c>
      <c r="AN128" s="182" t="n">
        <v>0</v>
      </c>
    </row>
    <row r="129">
      <c r="A129" s="155" t="n">
        <v>46082</v>
      </c>
      <c r="B129" s="156" t="inlineStr">
        <is>
          <t>NS</t>
        </is>
      </c>
      <c r="C129" s="156" t="inlineStr">
        <is>
          <t>HT-401</t>
        </is>
      </c>
      <c r="D129" s="156" t="inlineStr">
        <is>
          <t>SY430</t>
        </is>
      </c>
      <c r="E129" s="156" t="inlineStr">
        <is>
          <t>DT Hauling</t>
        </is>
      </c>
      <c r="F129" s="156" t="inlineStr"/>
      <c r="G129" s="182" t="n">
        <v>0</v>
      </c>
      <c r="H129" s="182" t="n">
        <v>0</v>
      </c>
      <c r="I129" s="182" t="n">
        <v>0</v>
      </c>
      <c r="J129" s="182" t="n">
        <v>0</v>
      </c>
      <c r="K129" s="182" t="n">
        <v>12</v>
      </c>
      <c r="L129" s="182" t="n">
        <v>12</v>
      </c>
      <c r="M129" s="182" t="n">
        <v>0</v>
      </c>
      <c r="N129" s="182" t="n">
        <v>0</v>
      </c>
      <c r="O129" s="183" t="n">
        <v>0</v>
      </c>
      <c r="P129" s="183" t="n">
        <v>0</v>
      </c>
      <c r="Q129" s="184" t="n">
        <v>0</v>
      </c>
      <c r="R129" s="184" t="n">
        <v>0</v>
      </c>
      <c r="S129" s="183" t="n">
        <v>0</v>
      </c>
      <c r="T129" s="183" t="n">
        <v>0</v>
      </c>
      <c r="U129" s="182" t="n">
        <v>0</v>
      </c>
      <c r="V129" s="182" t="n">
        <v>0</v>
      </c>
      <c r="W129" s="182" t="n">
        <v>0</v>
      </c>
      <c r="X129" s="182" t="n">
        <v>1</v>
      </c>
      <c r="Y129" s="182" t="n">
        <v>0</v>
      </c>
      <c r="Z129" s="182" t="n">
        <v>0</v>
      </c>
      <c r="AA129" s="182" t="n">
        <v>0</v>
      </c>
      <c r="AB129" s="182" t="n">
        <v>0</v>
      </c>
      <c r="AC129" s="182" t="n">
        <v>0</v>
      </c>
      <c r="AD129" s="182" t="n">
        <v>0</v>
      </c>
      <c r="AE129" s="182" t="n">
        <v>0</v>
      </c>
      <c r="AF129" s="182" t="n">
        <v>0</v>
      </c>
      <c r="AG129" s="182" t="n">
        <v>0</v>
      </c>
      <c r="AH129" s="182" t="n">
        <v>0</v>
      </c>
      <c r="AI129" s="182" t="n">
        <v>0</v>
      </c>
      <c r="AJ129" s="182" t="n">
        <v>0</v>
      </c>
      <c r="AK129" s="182" t="n">
        <v>10.92</v>
      </c>
      <c r="AL129" s="182" t="n">
        <v>0</v>
      </c>
      <c r="AM129" s="182" t="n">
        <v>0.08</v>
      </c>
      <c r="AN129" s="182" t="n">
        <v>0</v>
      </c>
    </row>
    <row r="130">
      <c r="A130" s="155" t="n">
        <v>46082</v>
      </c>
      <c r="B130" s="156" t="inlineStr">
        <is>
          <t>NS</t>
        </is>
      </c>
      <c r="C130" s="156" t="inlineStr">
        <is>
          <t>HT-410</t>
        </is>
      </c>
      <c r="D130" s="156" t="inlineStr">
        <is>
          <t>SY430</t>
        </is>
      </c>
      <c r="E130" s="156" t="inlineStr">
        <is>
          <t>DT Hauling</t>
        </is>
      </c>
      <c r="F130" s="156" t="inlineStr"/>
      <c r="G130" s="182" t="n">
        <v>0</v>
      </c>
      <c r="H130" s="182" t="n">
        <v>0</v>
      </c>
      <c r="I130" s="182" t="n">
        <v>0</v>
      </c>
      <c r="J130" s="182" t="n">
        <v>0</v>
      </c>
      <c r="K130" s="182" t="n">
        <v>12</v>
      </c>
      <c r="L130" s="182" t="n">
        <v>12</v>
      </c>
      <c r="M130" s="182" t="n">
        <v>0</v>
      </c>
      <c r="N130" s="182" t="n">
        <v>0</v>
      </c>
      <c r="O130" s="183" t="n">
        <v>0</v>
      </c>
      <c r="P130" s="183" t="n">
        <v>0</v>
      </c>
      <c r="Q130" s="184" t="n">
        <v>0</v>
      </c>
      <c r="R130" s="184" t="n">
        <v>0</v>
      </c>
      <c r="S130" s="183" t="n">
        <v>0</v>
      </c>
      <c r="T130" s="183" t="n">
        <v>0</v>
      </c>
      <c r="U130" s="182" t="n">
        <v>0</v>
      </c>
      <c r="V130" s="182" t="n">
        <v>0</v>
      </c>
      <c r="W130" s="182" t="n">
        <v>0</v>
      </c>
      <c r="X130" s="182" t="n">
        <v>1</v>
      </c>
      <c r="Y130" s="182" t="n">
        <v>0</v>
      </c>
      <c r="Z130" s="182" t="n">
        <v>0</v>
      </c>
      <c r="AA130" s="182" t="n">
        <v>0</v>
      </c>
      <c r="AB130" s="182" t="n">
        <v>0</v>
      </c>
      <c r="AC130" s="182" t="n">
        <v>0</v>
      </c>
      <c r="AD130" s="182" t="n">
        <v>0</v>
      </c>
      <c r="AE130" s="182" t="n">
        <v>0</v>
      </c>
      <c r="AF130" s="182" t="n">
        <v>0</v>
      </c>
      <c r="AG130" s="182" t="n">
        <v>0</v>
      </c>
      <c r="AH130" s="182" t="n">
        <v>0</v>
      </c>
      <c r="AI130" s="182" t="n">
        <v>0</v>
      </c>
      <c r="AJ130" s="182" t="n">
        <v>0</v>
      </c>
      <c r="AK130" s="182" t="n">
        <v>10.92</v>
      </c>
      <c r="AL130" s="182" t="n">
        <v>0</v>
      </c>
      <c r="AM130" s="182" t="n">
        <v>0.08</v>
      </c>
      <c r="AN130" s="182" t="n">
        <v>0</v>
      </c>
    </row>
    <row r="131">
      <c r="A131" s="155" t="n">
        <v>46082</v>
      </c>
      <c r="B131" s="156" t="inlineStr">
        <is>
          <t>NS</t>
        </is>
      </c>
      <c r="C131" s="156" t="inlineStr">
        <is>
          <t>HT-402</t>
        </is>
      </c>
      <c r="D131" s="156" t="inlineStr">
        <is>
          <t>SY430</t>
        </is>
      </c>
      <c r="E131" s="156" t="inlineStr">
        <is>
          <t>DT Hauling</t>
        </is>
      </c>
      <c r="F131" s="156" t="inlineStr"/>
      <c r="G131" s="182" t="n">
        <v>0</v>
      </c>
      <c r="H131" s="182" t="n">
        <v>0</v>
      </c>
      <c r="I131" s="182" t="n">
        <v>0</v>
      </c>
      <c r="J131" s="182" t="n">
        <v>0</v>
      </c>
      <c r="K131" s="182" t="n">
        <v>12</v>
      </c>
      <c r="L131" s="182" t="n">
        <v>12</v>
      </c>
      <c r="M131" s="182" t="n">
        <v>0</v>
      </c>
      <c r="N131" s="182" t="n">
        <v>0</v>
      </c>
      <c r="O131" s="183" t="n">
        <v>0</v>
      </c>
      <c r="P131" s="183" t="n">
        <v>0</v>
      </c>
      <c r="Q131" s="184" t="n">
        <v>0</v>
      </c>
      <c r="R131" s="184" t="n">
        <v>0</v>
      </c>
      <c r="S131" s="183" t="n">
        <v>0</v>
      </c>
      <c r="T131" s="183" t="n">
        <v>0</v>
      </c>
      <c r="U131" s="182" t="n">
        <v>0</v>
      </c>
      <c r="V131" s="182" t="n">
        <v>0</v>
      </c>
      <c r="W131" s="182" t="n">
        <v>0</v>
      </c>
      <c r="X131" s="182" t="n">
        <v>1</v>
      </c>
      <c r="Y131" s="182" t="n">
        <v>0</v>
      </c>
      <c r="Z131" s="182" t="n">
        <v>0</v>
      </c>
      <c r="AA131" s="182" t="n">
        <v>0</v>
      </c>
      <c r="AB131" s="182" t="n">
        <v>0</v>
      </c>
      <c r="AC131" s="182" t="n">
        <v>0</v>
      </c>
      <c r="AD131" s="182" t="n">
        <v>0</v>
      </c>
      <c r="AE131" s="182" t="n">
        <v>0</v>
      </c>
      <c r="AF131" s="182" t="n">
        <v>0</v>
      </c>
      <c r="AG131" s="182" t="n">
        <v>0</v>
      </c>
      <c r="AH131" s="182" t="n">
        <v>0</v>
      </c>
      <c r="AI131" s="182" t="n">
        <v>0</v>
      </c>
      <c r="AJ131" s="182" t="n">
        <v>0</v>
      </c>
      <c r="AK131" s="182" t="n">
        <v>10.92</v>
      </c>
      <c r="AL131" s="182" t="n">
        <v>0</v>
      </c>
      <c r="AM131" s="182" t="n">
        <v>0.08</v>
      </c>
      <c r="AN131" s="182" t="n">
        <v>0</v>
      </c>
    </row>
    <row r="132">
      <c r="A132" s="155" t="n">
        <v>46082</v>
      </c>
      <c r="B132" s="156" t="inlineStr">
        <is>
          <t>NS</t>
        </is>
      </c>
      <c r="C132" s="156" t="inlineStr">
        <is>
          <t>HT-419</t>
        </is>
      </c>
      <c r="D132" s="156" t="inlineStr">
        <is>
          <t>SY430</t>
        </is>
      </c>
      <c r="E132" s="156" t="inlineStr">
        <is>
          <t>DT Hauling</t>
        </is>
      </c>
      <c r="F132" s="156" t="inlineStr"/>
      <c r="G132" s="182" t="n">
        <v>0</v>
      </c>
      <c r="H132" s="182" t="n">
        <v>0</v>
      </c>
      <c r="I132" s="182" t="n">
        <v>12</v>
      </c>
      <c r="J132" s="182" t="n">
        <v>12</v>
      </c>
      <c r="K132" s="182" t="n">
        <v>0</v>
      </c>
      <c r="L132" s="182" t="n">
        <v>12</v>
      </c>
      <c r="M132" s="182" t="n">
        <v>0</v>
      </c>
      <c r="N132" s="182" t="n">
        <v>0</v>
      </c>
      <c r="O132" s="183" t="n">
        <v>0</v>
      </c>
      <c r="P132" s="183" t="n">
        <v>0</v>
      </c>
      <c r="Q132" s="184" t="n">
        <v>0</v>
      </c>
      <c r="R132" s="184" t="n">
        <v>0</v>
      </c>
      <c r="S132" s="183" t="n">
        <v>0</v>
      </c>
      <c r="T132" s="183" t="n">
        <v>0</v>
      </c>
      <c r="U132" s="182" t="n">
        <v>0</v>
      </c>
      <c r="V132" s="182" t="n">
        <v>0</v>
      </c>
      <c r="W132" s="182" t="n">
        <v>0</v>
      </c>
      <c r="X132" s="182" t="n">
        <v>0</v>
      </c>
      <c r="Y132" s="182" t="n">
        <v>0</v>
      </c>
      <c r="Z132" s="182" t="n">
        <v>0</v>
      </c>
      <c r="AA132" s="182" t="n">
        <v>0</v>
      </c>
      <c r="AB132" s="182" t="n">
        <v>0</v>
      </c>
      <c r="AC132" s="182" t="n">
        <v>0</v>
      </c>
      <c r="AD132" s="182" t="n">
        <v>0</v>
      </c>
      <c r="AE132" s="182" t="n">
        <v>0</v>
      </c>
      <c r="AF132" s="182" t="n">
        <v>0</v>
      </c>
      <c r="AG132" s="182" t="n">
        <v>0</v>
      </c>
      <c r="AH132" s="182" t="n">
        <v>0</v>
      </c>
      <c r="AI132" s="182" t="n">
        <v>0</v>
      </c>
      <c r="AJ132" s="182" t="n">
        <v>0</v>
      </c>
      <c r="AK132" s="182" t="n">
        <v>0</v>
      </c>
      <c r="AL132" s="182" t="n">
        <v>0</v>
      </c>
      <c r="AM132" s="182" t="n">
        <v>0</v>
      </c>
      <c r="AN132" s="182" t="n">
        <v>0</v>
      </c>
    </row>
    <row r="133">
      <c r="A133" s="155" t="n">
        <v>46082</v>
      </c>
      <c r="B133" s="156" t="inlineStr">
        <is>
          <t>NS</t>
        </is>
      </c>
      <c r="C133" s="156" t="inlineStr">
        <is>
          <t>HT-416</t>
        </is>
      </c>
      <c r="D133" s="156" t="inlineStr">
        <is>
          <t>SY430</t>
        </is>
      </c>
      <c r="E133" s="156" t="inlineStr">
        <is>
          <t>DT Hauling</t>
        </is>
      </c>
      <c r="F133" s="156" t="inlineStr"/>
      <c r="G133" s="182" t="n">
        <v>0</v>
      </c>
      <c r="H133" s="182" t="n">
        <v>0</v>
      </c>
      <c r="I133" s="182" t="n">
        <v>0</v>
      </c>
      <c r="J133" s="182" t="n">
        <v>0</v>
      </c>
      <c r="K133" s="182" t="n">
        <v>12</v>
      </c>
      <c r="L133" s="182" t="n">
        <v>12</v>
      </c>
      <c r="M133" s="182" t="n">
        <v>0</v>
      </c>
      <c r="N133" s="182" t="n">
        <v>0</v>
      </c>
      <c r="O133" s="183" t="n">
        <v>0</v>
      </c>
      <c r="P133" s="183" t="n">
        <v>0</v>
      </c>
      <c r="Q133" s="184" t="n">
        <v>0</v>
      </c>
      <c r="R133" s="184" t="n">
        <v>0</v>
      </c>
      <c r="S133" s="183" t="n">
        <v>0</v>
      </c>
      <c r="T133" s="183" t="n">
        <v>0</v>
      </c>
      <c r="U133" s="182" t="n">
        <v>0</v>
      </c>
      <c r="V133" s="182" t="n">
        <v>0</v>
      </c>
      <c r="W133" s="182" t="n">
        <v>0</v>
      </c>
      <c r="X133" s="182" t="n">
        <v>1</v>
      </c>
      <c r="Y133" s="182" t="n">
        <v>0</v>
      </c>
      <c r="Z133" s="182" t="n">
        <v>0</v>
      </c>
      <c r="AA133" s="182" t="n">
        <v>0</v>
      </c>
      <c r="AB133" s="182" t="n">
        <v>0</v>
      </c>
      <c r="AC133" s="182" t="n">
        <v>0</v>
      </c>
      <c r="AD133" s="182" t="n">
        <v>0</v>
      </c>
      <c r="AE133" s="182" t="n">
        <v>0</v>
      </c>
      <c r="AF133" s="182" t="n">
        <v>0</v>
      </c>
      <c r="AG133" s="182" t="n">
        <v>0</v>
      </c>
      <c r="AH133" s="182" t="n">
        <v>0</v>
      </c>
      <c r="AI133" s="182" t="n">
        <v>0</v>
      </c>
      <c r="AJ133" s="182" t="n">
        <v>0</v>
      </c>
      <c r="AK133" s="182" t="n">
        <v>10.92</v>
      </c>
      <c r="AL133" s="182" t="n">
        <v>0</v>
      </c>
      <c r="AM133" s="182" t="n">
        <v>0.08</v>
      </c>
      <c r="AN133" s="182" t="n">
        <v>0</v>
      </c>
    </row>
    <row r="134">
      <c r="A134" s="155" t="n">
        <v>46082</v>
      </c>
      <c r="B134" s="156" t="inlineStr">
        <is>
          <t>NS</t>
        </is>
      </c>
      <c r="C134" s="156" t="inlineStr">
        <is>
          <t>HT-420</t>
        </is>
      </c>
      <c r="D134" s="156" t="inlineStr">
        <is>
          <t>SY430</t>
        </is>
      </c>
      <c r="E134" s="156" t="inlineStr">
        <is>
          <t>DT Hauling</t>
        </is>
      </c>
      <c r="F134" s="156" t="inlineStr"/>
      <c r="G134" s="182" t="n">
        <v>0</v>
      </c>
      <c r="H134" s="182" t="n">
        <v>0</v>
      </c>
      <c r="I134" s="182" t="n">
        <v>0</v>
      </c>
      <c r="J134" s="182" t="n">
        <v>0</v>
      </c>
      <c r="K134" s="182" t="n">
        <v>12</v>
      </c>
      <c r="L134" s="182" t="n">
        <v>12</v>
      </c>
      <c r="M134" s="182" t="n">
        <v>0</v>
      </c>
      <c r="N134" s="182" t="n">
        <v>0</v>
      </c>
      <c r="O134" s="183" t="n">
        <v>0</v>
      </c>
      <c r="P134" s="183" t="n">
        <v>0</v>
      </c>
      <c r="Q134" s="184" t="n">
        <v>0</v>
      </c>
      <c r="R134" s="184" t="n">
        <v>0</v>
      </c>
      <c r="S134" s="183" t="n">
        <v>0</v>
      </c>
      <c r="T134" s="183" t="n">
        <v>0</v>
      </c>
      <c r="U134" s="182" t="n">
        <v>0</v>
      </c>
      <c r="V134" s="182" t="n">
        <v>0</v>
      </c>
      <c r="W134" s="182" t="n">
        <v>0</v>
      </c>
      <c r="X134" s="182" t="n">
        <v>1</v>
      </c>
      <c r="Y134" s="182" t="n">
        <v>0</v>
      </c>
      <c r="Z134" s="182" t="n">
        <v>0</v>
      </c>
      <c r="AA134" s="182" t="n">
        <v>0</v>
      </c>
      <c r="AB134" s="182" t="n">
        <v>0</v>
      </c>
      <c r="AC134" s="182" t="n">
        <v>0</v>
      </c>
      <c r="AD134" s="182" t="n">
        <v>0</v>
      </c>
      <c r="AE134" s="182" t="n">
        <v>0</v>
      </c>
      <c r="AF134" s="182" t="n">
        <v>0</v>
      </c>
      <c r="AG134" s="182" t="n">
        <v>0</v>
      </c>
      <c r="AH134" s="182" t="n">
        <v>0</v>
      </c>
      <c r="AI134" s="182" t="n">
        <v>0</v>
      </c>
      <c r="AJ134" s="182" t="n">
        <v>0</v>
      </c>
      <c r="AK134" s="182" t="n">
        <v>10.92</v>
      </c>
      <c r="AL134" s="182" t="n">
        <v>0</v>
      </c>
      <c r="AM134" s="182" t="n">
        <v>0.08</v>
      </c>
      <c r="AN134" s="182" t="n">
        <v>0</v>
      </c>
    </row>
    <row r="135">
      <c r="A135" s="155" t="n">
        <v>46082</v>
      </c>
      <c r="B135" s="156" t="inlineStr">
        <is>
          <t>NS</t>
        </is>
      </c>
      <c r="C135" s="156" t="inlineStr">
        <is>
          <t>HT-403</t>
        </is>
      </c>
      <c r="D135" s="156" t="inlineStr">
        <is>
          <t>SY430</t>
        </is>
      </c>
      <c r="E135" s="156" t="inlineStr">
        <is>
          <t>DT Hauling</t>
        </is>
      </c>
      <c r="F135" s="156" t="inlineStr"/>
      <c r="G135" s="182" t="n">
        <v>0</v>
      </c>
      <c r="H135" s="182" t="n">
        <v>0</v>
      </c>
      <c r="I135" s="182" t="n">
        <v>0</v>
      </c>
      <c r="J135" s="182" t="n">
        <v>0</v>
      </c>
      <c r="K135" s="182" t="n">
        <v>12</v>
      </c>
      <c r="L135" s="182" t="n">
        <v>12</v>
      </c>
      <c r="M135" s="182" t="n">
        <v>0</v>
      </c>
      <c r="N135" s="182" t="n">
        <v>0</v>
      </c>
      <c r="O135" s="183" t="n">
        <v>0</v>
      </c>
      <c r="P135" s="183" t="n">
        <v>0</v>
      </c>
      <c r="Q135" s="184" t="n">
        <v>0</v>
      </c>
      <c r="R135" s="184" t="n">
        <v>0</v>
      </c>
      <c r="S135" s="183" t="n">
        <v>0</v>
      </c>
      <c r="T135" s="183" t="n">
        <v>0</v>
      </c>
      <c r="U135" s="182" t="n">
        <v>0</v>
      </c>
      <c r="V135" s="182" t="n">
        <v>0</v>
      </c>
      <c r="W135" s="182" t="n">
        <v>0</v>
      </c>
      <c r="X135" s="182" t="n">
        <v>1</v>
      </c>
      <c r="Y135" s="182" t="n">
        <v>0</v>
      </c>
      <c r="Z135" s="182" t="n">
        <v>0</v>
      </c>
      <c r="AA135" s="182" t="n">
        <v>0</v>
      </c>
      <c r="AB135" s="182" t="n">
        <v>0</v>
      </c>
      <c r="AC135" s="182" t="n">
        <v>0</v>
      </c>
      <c r="AD135" s="182" t="n">
        <v>0</v>
      </c>
      <c r="AE135" s="182" t="n">
        <v>0</v>
      </c>
      <c r="AF135" s="182" t="n">
        <v>0</v>
      </c>
      <c r="AG135" s="182" t="n">
        <v>0</v>
      </c>
      <c r="AH135" s="182" t="n">
        <v>0</v>
      </c>
      <c r="AI135" s="182" t="n">
        <v>0</v>
      </c>
      <c r="AJ135" s="182" t="n">
        <v>0</v>
      </c>
      <c r="AK135" s="182" t="n">
        <v>10.92</v>
      </c>
      <c r="AL135" s="182" t="n">
        <v>0</v>
      </c>
      <c r="AM135" s="182" t="n">
        <v>0.08</v>
      </c>
      <c r="AN135" s="182" t="n">
        <v>0</v>
      </c>
    </row>
    <row r="136">
      <c r="A136" s="155" t="n">
        <v>46082</v>
      </c>
      <c r="B136" s="156" t="inlineStr">
        <is>
          <t>NS</t>
        </is>
      </c>
      <c r="C136" s="156" t="inlineStr">
        <is>
          <t>HT-408</t>
        </is>
      </c>
      <c r="D136" s="156" t="inlineStr">
        <is>
          <t>SY430</t>
        </is>
      </c>
      <c r="E136" s="156" t="inlineStr">
        <is>
          <t>DT Hauling</t>
        </is>
      </c>
      <c r="F136" s="156" t="inlineStr"/>
      <c r="G136" s="182" t="n">
        <v>0</v>
      </c>
      <c r="H136" s="182" t="n">
        <v>0</v>
      </c>
      <c r="I136" s="182" t="n">
        <v>0</v>
      </c>
      <c r="J136" s="182" t="n">
        <v>0</v>
      </c>
      <c r="K136" s="182" t="n">
        <v>12</v>
      </c>
      <c r="L136" s="182" t="n">
        <v>12</v>
      </c>
      <c r="M136" s="182" t="n">
        <v>0</v>
      </c>
      <c r="N136" s="182" t="n">
        <v>0</v>
      </c>
      <c r="O136" s="183" t="n">
        <v>0</v>
      </c>
      <c r="P136" s="183" t="n">
        <v>0</v>
      </c>
      <c r="Q136" s="184" t="n">
        <v>0</v>
      </c>
      <c r="R136" s="184" t="n">
        <v>0</v>
      </c>
      <c r="S136" s="183" t="n">
        <v>0</v>
      </c>
      <c r="T136" s="183" t="n">
        <v>0</v>
      </c>
      <c r="U136" s="182" t="n">
        <v>0</v>
      </c>
      <c r="V136" s="182" t="n">
        <v>0</v>
      </c>
      <c r="W136" s="182" t="n">
        <v>0</v>
      </c>
      <c r="X136" s="182" t="n">
        <v>1</v>
      </c>
      <c r="Y136" s="182" t="n">
        <v>0</v>
      </c>
      <c r="Z136" s="182" t="n">
        <v>0</v>
      </c>
      <c r="AA136" s="182" t="n">
        <v>0</v>
      </c>
      <c r="AB136" s="182" t="n">
        <v>0</v>
      </c>
      <c r="AC136" s="182" t="n">
        <v>0</v>
      </c>
      <c r="AD136" s="182" t="n">
        <v>0</v>
      </c>
      <c r="AE136" s="182" t="n">
        <v>0</v>
      </c>
      <c r="AF136" s="182" t="n">
        <v>0</v>
      </c>
      <c r="AG136" s="182" t="n">
        <v>0</v>
      </c>
      <c r="AH136" s="182" t="n">
        <v>0</v>
      </c>
      <c r="AI136" s="182" t="n">
        <v>0</v>
      </c>
      <c r="AJ136" s="182" t="n">
        <v>0</v>
      </c>
      <c r="AK136" s="182" t="n">
        <v>10.92</v>
      </c>
      <c r="AL136" s="182" t="n">
        <v>0</v>
      </c>
      <c r="AM136" s="182" t="n">
        <v>0.08</v>
      </c>
      <c r="AN136" s="182" t="n">
        <v>0</v>
      </c>
    </row>
    <row r="137">
      <c r="A137" s="155" t="n">
        <v>46082</v>
      </c>
      <c r="B137" s="156" t="inlineStr">
        <is>
          <t>NS</t>
        </is>
      </c>
      <c r="C137" s="156" t="inlineStr">
        <is>
          <t>HT-412</t>
        </is>
      </c>
      <c r="D137" s="156" t="inlineStr">
        <is>
          <t>SY430</t>
        </is>
      </c>
      <c r="E137" s="156" t="inlineStr">
        <is>
          <t>DT Hauling</t>
        </is>
      </c>
      <c r="F137" s="156" t="inlineStr"/>
      <c r="G137" s="182" t="n">
        <v>0</v>
      </c>
      <c r="H137" s="182" t="n">
        <v>0</v>
      </c>
      <c r="I137" s="182" t="n">
        <v>0</v>
      </c>
      <c r="J137" s="182" t="n">
        <v>0</v>
      </c>
      <c r="K137" s="182" t="n">
        <v>12</v>
      </c>
      <c r="L137" s="182" t="n">
        <v>12</v>
      </c>
      <c r="M137" s="182" t="n">
        <v>0</v>
      </c>
      <c r="N137" s="182" t="n">
        <v>0</v>
      </c>
      <c r="O137" s="183" t="n">
        <v>0</v>
      </c>
      <c r="P137" s="183" t="n">
        <v>0</v>
      </c>
      <c r="Q137" s="184" t="n">
        <v>0</v>
      </c>
      <c r="R137" s="184" t="n">
        <v>0</v>
      </c>
      <c r="S137" s="183" t="n">
        <v>0</v>
      </c>
      <c r="T137" s="183" t="n">
        <v>0</v>
      </c>
      <c r="U137" s="182" t="n">
        <v>0</v>
      </c>
      <c r="V137" s="182" t="n">
        <v>0</v>
      </c>
      <c r="W137" s="182" t="n">
        <v>0</v>
      </c>
      <c r="X137" s="182" t="n">
        <v>1</v>
      </c>
      <c r="Y137" s="182" t="n">
        <v>0</v>
      </c>
      <c r="Z137" s="182" t="n">
        <v>0</v>
      </c>
      <c r="AA137" s="182" t="n">
        <v>0</v>
      </c>
      <c r="AB137" s="182" t="n">
        <v>0</v>
      </c>
      <c r="AC137" s="182" t="n">
        <v>0</v>
      </c>
      <c r="AD137" s="182" t="n">
        <v>0</v>
      </c>
      <c r="AE137" s="182" t="n">
        <v>0</v>
      </c>
      <c r="AF137" s="182" t="n">
        <v>0</v>
      </c>
      <c r="AG137" s="182" t="n">
        <v>0</v>
      </c>
      <c r="AH137" s="182" t="n">
        <v>0</v>
      </c>
      <c r="AI137" s="182" t="n">
        <v>0</v>
      </c>
      <c r="AJ137" s="182" t="n">
        <v>0</v>
      </c>
      <c r="AK137" s="182" t="n">
        <v>10.92</v>
      </c>
      <c r="AL137" s="182" t="n">
        <v>0</v>
      </c>
      <c r="AM137" s="182" t="n">
        <v>0.08</v>
      </c>
      <c r="AN137" s="182" t="n">
        <v>0</v>
      </c>
    </row>
    <row r="138">
      <c r="A138" s="155" t="n">
        <v>46082</v>
      </c>
      <c r="B138" s="156" t="inlineStr">
        <is>
          <t>NS</t>
        </is>
      </c>
      <c r="C138" s="156" t="inlineStr">
        <is>
          <t>HT-413</t>
        </is>
      </c>
      <c r="D138" s="156" t="inlineStr">
        <is>
          <t>SY430</t>
        </is>
      </c>
      <c r="E138" s="156" t="inlineStr">
        <is>
          <t>DT Hauling</t>
        </is>
      </c>
      <c r="F138" s="156" t="inlineStr"/>
      <c r="G138" s="182" t="n">
        <v>0</v>
      </c>
      <c r="H138" s="182" t="n">
        <v>0</v>
      </c>
      <c r="I138" s="182" t="n">
        <v>12</v>
      </c>
      <c r="J138" s="182" t="n">
        <v>12</v>
      </c>
      <c r="K138" s="182" t="n">
        <v>0</v>
      </c>
      <c r="L138" s="182" t="n">
        <v>12</v>
      </c>
      <c r="M138" s="182" t="n">
        <v>0</v>
      </c>
      <c r="N138" s="182" t="n">
        <v>0</v>
      </c>
      <c r="O138" s="183" t="n">
        <v>0</v>
      </c>
      <c r="P138" s="183" t="n">
        <v>0</v>
      </c>
      <c r="Q138" s="184" t="n">
        <v>0</v>
      </c>
      <c r="R138" s="184" t="n">
        <v>0</v>
      </c>
      <c r="S138" s="183" t="n">
        <v>0</v>
      </c>
      <c r="T138" s="183" t="n">
        <v>0</v>
      </c>
      <c r="U138" s="182" t="n">
        <v>0</v>
      </c>
      <c r="V138" s="182" t="n">
        <v>0</v>
      </c>
      <c r="W138" s="182" t="n">
        <v>0</v>
      </c>
      <c r="X138" s="182" t="n">
        <v>0</v>
      </c>
      <c r="Y138" s="182" t="n">
        <v>0</v>
      </c>
      <c r="Z138" s="182" t="n">
        <v>0</v>
      </c>
      <c r="AA138" s="182" t="n">
        <v>0</v>
      </c>
      <c r="AB138" s="182" t="n">
        <v>0</v>
      </c>
      <c r="AC138" s="182" t="n">
        <v>0</v>
      </c>
      <c r="AD138" s="182" t="n">
        <v>0</v>
      </c>
      <c r="AE138" s="182" t="n">
        <v>0</v>
      </c>
      <c r="AF138" s="182" t="n">
        <v>0</v>
      </c>
      <c r="AG138" s="182" t="n">
        <v>0</v>
      </c>
      <c r="AH138" s="182" t="n">
        <v>0</v>
      </c>
      <c r="AI138" s="182" t="n">
        <v>0</v>
      </c>
      <c r="AJ138" s="182" t="n">
        <v>0</v>
      </c>
      <c r="AK138" s="182" t="n">
        <v>0</v>
      </c>
      <c r="AL138" s="182" t="n">
        <v>0</v>
      </c>
      <c r="AM138" s="182" t="n">
        <v>0</v>
      </c>
      <c r="AN138" s="182" t="n">
        <v>0</v>
      </c>
    </row>
    <row r="139">
      <c r="A139" s="155" t="n">
        <v>46082</v>
      </c>
      <c r="B139" s="156" t="inlineStr">
        <is>
          <t>NS</t>
        </is>
      </c>
      <c r="C139" s="156" t="inlineStr">
        <is>
          <t>HT-407</t>
        </is>
      </c>
      <c r="D139" s="156" t="inlineStr">
        <is>
          <t>SY430</t>
        </is>
      </c>
      <c r="E139" s="156" t="inlineStr">
        <is>
          <t>DT Hauling</t>
        </is>
      </c>
      <c r="F139" s="156" t="inlineStr"/>
      <c r="G139" s="182" t="n">
        <v>0</v>
      </c>
      <c r="H139" s="182" t="n">
        <v>0</v>
      </c>
      <c r="I139" s="182" t="n">
        <v>0</v>
      </c>
      <c r="J139" s="182" t="n">
        <v>0</v>
      </c>
      <c r="K139" s="182" t="n">
        <v>12</v>
      </c>
      <c r="L139" s="182" t="n">
        <v>12</v>
      </c>
      <c r="M139" s="182" t="n">
        <v>0</v>
      </c>
      <c r="N139" s="182" t="n">
        <v>0</v>
      </c>
      <c r="O139" s="183" t="n">
        <v>0</v>
      </c>
      <c r="P139" s="183" t="n">
        <v>0</v>
      </c>
      <c r="Q139" s="184" t="n">
        <v>0</v>
      </c>
      <c r="R139" s="184" t="n">
        <v>0</v>
      </c>
      <c r="S139" s="183" t="n">
        <v>0</v>
      </c>
      <c r="T139" s="183" t="n">
        <v>0</v>
      </c>
      <c r="U139" s="182" t="n">
        <v>0</v>
      </c>
      <c r="V139" s="182" t="n">
        <v>0</v>
      </c>
      <c r="W139" s="182" t="n">
        <v>0</v>
      </c>
      <c r="X139" s="182" t="n">
        <v>1</v>
      </c>
      <c r="Y139" s="182" t="n">
        <v>0</v>
      </c>
      <c r="Z139" s="182" t="n">
        <v>0</v>
      </c>
      <c r="AA139" s="182" t="n">
        <v>0</v>
      </c>
      <c r="AB139" s="182" t="n">
        <v>0</v>
      </c>
      <c r="AC139" s="182" t="n">
        <v>0</v>
      </c>
      <c r="AD139" s="182" t="n">
        <v>0</v>
      </c>
      <c r="AE139" s="182" t="n">
        <v>0</v>
      </c>
      <c r="AF139" s="182" t="n">
        <v>0</v>
      </c>
      <c r="AG139" s="182" t="n">
        <v>0</v>
      </c>
      <c r="AH139" s="182" t="n">
        <v>0</v>
      </c>
      <c r="AI139" s="182" t="n">
        <v>0</v>
      </c>
      <c r="AJ139" s="182" t="n">
        <v>0</v>
      </c>
      <c r="AK139" s="182" t="n">
        <v>10.92</v>
      </c>
      <c r="AL139" s="182" t="n">
        <v>0</v>
      </c>
      <c r="AM139" s="182" t="n">
        <v>0.08</v>
      </c>
      <c r="AN139" s="182" t="n">
        <v>0</v>
      </c>
    </row>
    <row r="140">
      <c r="A140" s="155" t="n">
        <v>46082</v>
      </c>
      <c r="B140" s="156" t="inlineStr">
        <is>
          <t>NS</t>
        </is>
      </c>
      <c r="C140" s="156" t="inlineStr">
        <is>
          <t>HT-414</t>
        </is>
      </c>
      <c r="D140" s="156" t="inlineStr">
        <is>
          <t>SY430</t>
        </is>
      </c>
      <c r="E140" s="156" t="inlineStr">
        <is>
          <t>DT Hauling</t>
        </is>
      </c>
      <c r="F140" s="156" t="inlineStr"/>
      <c r="G140" s="182" t="n">
        <v>0</v>
      </c>
      <c r="H140" s="182" t="n">
        <v>0</v>
      </c>
      <c r="I140" s="182" t="n">
        <v>3</v>
      </c>
      <c r="J140" s="182" t="n">
        <v>3</v>
      </c>
      <c r="K140" s="182" t="n">
        <v>9</v>
      </c>
      <c r="L140" s="182" t="n">
        <v>12</v>
      </c>
      <c r="M140" s="182" t="n">
        <v>0</v>
      </c>
      <c r="N140" s="182" t="n">
        <v>0</v>
      </c>
      <c r="O140" s="183" t="n">
        <v>0</v>
      </c>
      <c r="P140" s="183" t="n">
        <v>0</v>
      </c>
      <c r="Q140" s="184" t="n">
        <v>0</v>
      </c>
      <c r="R140" s="184" t="n">
        <v>0</v>
      </c>
      <c r="S140" s="183" t="n">
        <v>0</v>
      </c>
      <c r="T140" s="183" t="n">
        <v>0</v>
      </c>
      <c r="U140" s="182" t="n">
        <v>0</v>
      </c>
      <c r="V140" s="182" t="n">
        <v>0</v>
      </c>
      <c r="W140" s="182" t="n">
        <v>0</v>
      </c>
      <c r="X140" s="182" t="n">
        <v>1</v>
      </c>
      <c r="Y140" s="182" t="n">
        <v>0</v>
      </c>
      <c r="Z140" s="182" t="n">
        <v>0</v>
      </c>
      <c r="AA140" s="182" t="n">
        <v>0</v>
      </c>
      <c r="AB140" s="182" t="n">
        <v>0</v>
      </c>
      <c r="AC140" s="182" t="n">
        <v>0</v>
      </c>
      <c r="AD140" s="182" t="n">
        <v>0</v>
      </c>
      <c r="AE140" s="182" t="n">
        <v>0</v>
      </c>
      <c r="AF140" s="182" t="n">
        <v>0</v>
      </c>
      <c r="AG140" s="182" t="n">
        <v>0</v>
      </c>
      <c r="AH140" s="182" t="n">
        <v>0</v>
      </c>
      <c r="AI140" s="182" t="n">
        <v>0</v>
      </c>
      <c r="AJ140" s="182" t="n">
        <v>0</v>
      </c>
      <c r="AK140" s="182" t="n">
        <v>7.92</v>
      </c>
      <c r="AL140" s="182" t="n">
        <v>0</v>
      </c>
      <c r="AM140" s="182" t="n">
        <v>0.08</v>
      </c>
      <c r="AN140" s="182" t="n">
        <v>0</v>
      </c>
    </row>
    <row r="141">
      <c r="A141" s="155" t="n">
        <v>46082</v>
      </c>
      <c r="B141" s="156" t="inlineStr">
        <is>
          <t>NS</t>
        </is>
      </c>
      <c r="C141" s="156" t="inlineStr">
        <is>
          <t>HT-411</t>
        </is>
      </c>
      <c r="D141" s="156" t="inlineStr">
        <is>
          <t>SY430</t>
        </is>
      </c>
      <c r="E141" s="156" t="inlineStr">
        <is>
          <t>DT Hauling</t>
        </is>
      </c>
      <c r="F141" s="156" t="inlineStr"/>
      <c r="G141" s="182" t="n">
        <v>0</v>
      </c>
      <c r="H141" s="182" t="n">
        <v>0</v>
      </c>
      <c r="I141" s="182" t="n">
        <v>0</v>
      </c>
      <c r="J141" s="182" t="n">
        <v>0</v>
      </c>
      <c r="K141" s="182" t="n">
        <v>12</v>
      </c>
      <c r="L141" s="182" t="n">
        <v>12</v>
      </c>
      <c r="M141" s="182" t="n">
        <v>0</v>
      </c>
      <c r="N141" s="182" t="n">
        <v>0</v>
      </c>
      <c r="O141" s="183" t="n">
        <v>0</v>
      </c>
      <c r="P141" s="183" t="n">
        <v>0</v>
      </c>
      <c r="Q141" s="184" t="n">
        <v>0</v>
      </c>
      <c r="R141" s="184" t="n">
        <v>0</v>
      </c>
      <c r="S141" s="183" t="n">
        <v>0</v>
      </c>
      <c r="T141" s="183" t="n">
        <v>0</v>
      </c>
      <c r="U141" s="182" t="n">
        <v>0</v>
      </c>
      <c r="V141" s="182" t="n">
        <v>0</v>
      </c>
      <c r="W141" s="182" t="n">
        <v>0</v>
      </c>
      <c r="X141" s="182" t="n">
        <v>1</v>
      </c>
      <c r="Y141" s="182" t="n">
        <v>0</v>
      </c>
      <c r="Z141" s="182" t="n">
        <v>0</v>
      </c>
      <c r="AA141" s="182" t="n">
        <v>0</v>
      </c>
      <c r="AB141" s="182" t="n">
        <v>0</v>
      </c>
      <c r="AC141" s="182" t="n">
        <v>0</v>
      </c>
      <c r="AD141" s="182" t="n">
        <v>0</v>
      </c>
      <c r="AE141" s="182" t="n">
        <v>0</v>
      </c>
      <c r="AF141" s="182" t="n">
        <v>0</v>
      </c>
      <c r="AG141" s="182" t="n">
        <v>0</v>
      </c>
      <c r="AH141" s="182" t="n">
        <v>0</v>
      </c>
      <c r="AI141" s="182" t="n">
        <v>0</v>
      </c>
      <c r="AJ141" s="182" t="n">
        <v>0</v>
      </c>
      <c r="AK141" s="182" t="n">
        <v>10.92</v>
      </c>
      <c r="AL141" s="182" t="n">
        <v>0</v>
      </c>
      <c r="AM141" s="182" t="n">
        <v>0.08</v>
      </c>
      <c r="AN141" s="182" t="n">
        <v>0</v>
      </c>
    </row>
    <row r="142">
      <c r="A142" s="155" t="n">
        <v>46082</v>
      </c>
      <c r="B142" s="156" t="inlineStr">
        <is>
          <t>NS</t>
        </is>
      </c>
      <c r="C142" s="156" t="inlineStr">
        <is>
          <t>HT-409</t>
        </is>
      </c>
      <c r="D142" s="156" t="inlineStr">
        <is>
          <t>SY430</t>
        </is>
      </c>
      <c r="E142" s="156" t="inlineStr">
        <is>
          <t>DT Hauling</t>
        </is>
      </c>
      <c r="F142" s="156" t="inlineStr"/>
      <c r="G142" s="182" t="n">
        <v>0</v>
      </c>
      <c r="H142" s="182" t="n">
        <v>0</v>
      </c>
      <c r="I142" s="182" t="n">
        <v>0</v>
      </c>
      <c r="J142" s="182" t="n">
        <v>0</v>
      </c>
      <c r="K142" s="182" t="n">
        <v>12</v>
      </c>
      <c r="L142" s="182" t="n">
        <v>12</v>
      </c>
      <c r="M142" s="182" t="n">
        <v>0</v>
      </c>
      <c r="N142" s="182" t="n">
        <v>0</v>
      </c>
      <c r="O142" s="183" t="n">
        <v>0</v>
      </c>
      <c r="P142" s="183" t="n">
        <v>0</v>
      </c>
      <c r="Q142" s="184" t="n">
        <v>0</v>
      </c>
      <c r="R142" s="184" t="n">
        <v>0</v>
      </c>
      <c r="S142" s="183" t="n">
        <v>0</v>
      </c>
      <c r="T142" s="183" t="n">
        <v>0</v>
      </c>
      <c r="U142" s="182" t="n">
        <v>0</v>
      </c>
      <c r="V142" s="182" t="n">
        <v>0</v>
      </c>
      <c r="W142" s="182" t="n">
        <v>0</v>
      </c>
      <c r="X142" s="182" t="n">
        <v>1</v>
      </c>
      <c r="Y142" s="182" t="n">
        <v>0</v>
      </c>
      <c r="Z142" s="182" t="n">
        <v>0</v>
      </c>
      <c r="AA142" s="182" t="n">
        <v>0</v>
      </c>
      <c r="AB142" s="182" t="n">
        <v>0</v>
      </c>
      <c r="AC142" s="182" t="n">
        <v>0</v>
      </c>
      <c r="AD142" s="182" t="n">
        <v>0</v>
      </c>
      <c r="AE142" s="182" t="n">
        <v>0</v>
      </c>
      <c r="AF142" s="182" t="n">
        <v>0</v>
      </c>
      <c r="AG142" s="182" t="n">
        <v>0</v>
      </c>
      <c r="AH142" s="182" t="n">
        <v>0</v>
      </c>
      <c r="AI142" s="182" t="n">
        <v>0</v>
      </c>
      <c r="AJ142" s="182" t="n">
        <v>0</v>
      </c>
      <c r="AK142" s="182" t="n">
        <v>10.92</v>
      </c>
      <c r="AL142" s="182" t="n">
        <v>0</v>
      </c>
      <c r="AM142" s="182" t="n">
        <v>0.08</v>
      </c>
      <c r="AN142" s="182" t="n">
        <v>0</v>
      </c>
    </row>
    <row r="143">
      <c r="A143" s="155" t="n">
        <v>46082</v>
      </c>
      <c r="B143" s="156" t="inlineStr">
        <is>
          <t>NS</t>
        </is>
      </c>
      <c r="C143" s="156" t="inlineStr">
        <is>
          <t>DH-103</t>
        </is>
      </c>
      <c r="D143" s="156" t="inlineStr">
        <is>
          <t>HINO FM260</t>
        </is>
      </c>
      <c r="E143" s="156" t="inlineStr">
        <is>
          <t>DT Hino</t>
        </is>
      </c>
      <c r="F143" s="156" t="inlineStr"/>
      <c r="G143" s="182" t="n">
        <v>0</v>
      </c>
      <c r="H143" s="182" t="n">
        <v>0</v>
      </c>
      <c r="I143" s="182" t="n">
        <v>0</v>
      </c>
      <c r="J143" s="182" t="n">
        <v>0</v>
      </c>
      <c r="K143" s="182" t="n">
        <v>12</v>
      </c>
      <c r="L143" s="182" t="n">
        <v>12</v>
      </c>
      <c r="M143" s="182" t="n">
        <v>0</v>
      </c>
      <c r="N143" s="182" t="n">
        <v>0</v>
      </c>
      <c r="O143" s="183" t="n">
        <v>0</v>
      </c>
      <c r="P143" s="183" t="n">
        <v>0</v>
      </c>
      <c r="Q143" s="184" t="n">
        <v>0</v>
      </c>
      <c r="R143" s="184" t="n">
        <v>0</v>
      </c>
      <c r="S143" s="183" t="n">
        <v>0</v>
      </c>
      <c r="T143" s="183" t="n">
        <v>0</v>
      </c>
      <c r="U143" s="182" t="n">
        <v>0</v>
      </c>
      <c r="V143" s="182" t="n">
        <v>0</v>
      </c>
      <c r="W143" s="182" t="n">
        <v>0</v>
      </c>
      <c r="X143" s="182" t="n">
        <v>1</v>
      </c>
      <c r="Y143" s="182" t="n">
        <v>0</v>
      </c>
      <c r="Z143" s="182" t="n">
        <v>0</v>
      </c>
      <c r="AA143" s="182" t="n">
        <v>0</v>
      </c>
      <c r="AB143" s="182" t="n">
        <v>0</v>
      </c>
      <c r="AC143" s="182" t="n">
        <v>0</v>
      </c>
      <c r="AD143" s="182" t="n">
        <v>0</v>
      </c>
      <c r="AE143" s="182" t="n">
        <v>0</v>
      </c>
      <c r="AF143" s="182" t="n">
        <v>0</v>
      </c>
      <c r="AG143" s="182" t="n">
        <v>0</v>
      </c>
      <c r="AH143" s="182" t="n">
        <v>0</v>
      </c>
      <c r="AI143" s="182" t="n">
        <v>0</v>
      </c>
      <c r="AJ143" s="182" t="n">
        <v>0</v>
      </c>
      <c r="AK143" s="182" t="n">
        <v>10.92</v>
      </c>
      <c r="AL143" s="182" t="n">
        <v>0</v>
      </c>
      <c r="AM143" s="182" t="n">
        <v>0.08</v>
      </c>
      <c r="AN143" s="182" t="n">
        <v>0</v>
      </c>
    </row>
    <row r="144">
      <c r="A144" s="155" t="n">
        <v>46082</v>
      </c>
      <c r="B144" s="156" t="inlineStr">
        <is>
          <t>NS</t>
        </is>
      </c>
      <c r="C144" s="156" t="inlineStr">
        <is>
          <t>DH-102</t>
        </is>
      </c>
      <c r="D144" s="156" t="inlineStr">
        <is>
          <t>HINO FM260</t>
        </is>
      </c>
      <c r="E144" s="156" t="inlineStr">
        <is>
          <t>DT Hino</t>
        </is>
      </c>
      <c r="F144" s="156" t="inlineStr"/>
      <c r="G144" s="182" t="n">
        <v>0</v>
      </c>
      <c r="H144" s="182" t="n">
        <v>0</v>
      </c>
      <c r="I144" s="182" t="n">
        <v>0</v>
      </c>
      <c r="J144" s="182" t="n">
        <v>0</v>
      </c>
      <c r="K144" s="182" t="n">
        <v>12</v>
      </c>
      <c r="L144" s="182" t="n">
        <v>12</v>
      </c>
      <c r="M144" s="182" t="n">
        <v>0</v>
      </c>
      <c r="N144" s="182" t="n">
        <v>0</v>
      </c>
      <c r="O144" s="183" t="n">
        <v>0</v>
      </c>
      <c r="P144" s="183" t="n">
        <v>0</v>
      </c>
      <c r="Q144" s="184" t="n">
        <v>0</v>
      </c>
      <c r="R144" s="184" t="n">
        <v>0</v>
      </c>
      <c r="S144" s="183" t="n">
        <v>0</v>
      </c>
      <c r="T144" s="183" t="n">
        <v>0</v>
      </c>
      <c r="U144" s="182" t="n">
        <v>0</v>
      </c>
      <c r="V144" s="182" t="n">
        <v>0</v>
      </c>
      <c r="W144" s="182" t="n">
        <v>0</v>
      </c>
      <c r="X144" s="182" t="n">
        <v>1</v>
      </c>
      <c r="Y144" s="182" t="n">
        <v>0</v>
      </c>
      <c r="Z144" s="182" t="n">
        <v>0</v>
      </c>
      <c r="AA144" s="182" t="n">
        <v>0</v>
      </c>
      <c r="AB144" s="182" t="n">
        <v>0</v>
      </c>
      <c r="AC144" s="182" t="n">
        <v>0</v>
      </c>
      <c r="AD144" s="182" t="n">
        <v>0</v>
      </c>
      <c r="AE144" s="182" t="n">
        <v>0</v>
      </c>
      <c r="AF144" s="182" t="n">
        <v>0</v>
      </c>
      <c r="AG144" s="182" t="n">
        <v>0</v>
      </c>
      <c r="AH144" s="182" t="n">
        <v>0</v>
      </c>
      <c r="AI144" s="182" t="n">
        <v>0</v>
      </c>
      <c r="AJ144" s="182" t="n">
        <v>0</v>
      </c>
      <c r="AK144" s="182" t="n">
        <v>10.92</v>
      </c>
      <c r="AL144" s="182" t="n">
        <v>0</v>
      </c>
      <c r="AM144" s="182" t="n">
        <v>0.08</v>
      </c>
      <c r="AN144" s="182" t="n">
        <v>0</v>
      </c>
    </row>
    <row r="145">
      <c r="A145" s="155" t="n">
        <v>46082</v>
      </c>
      <c r="B145" s="156" t="inlineStr">
        <is>
          <t>NS</t>
        </is>
      </c>
      <c r="C145" s="156" t="inlineStr">
        <is>
          <t>DH-101</t>
        </is>
      </c>
      <c r="D145" s="156" t="inlineStr">
        <is>
          <t>HINO FM260</t>
        </is>
      </c>
      <c r="E145" s="156" t="inlineStr">
        <is>
          <t>DT Hino</t>
        </is>
      </c>
      <c r="F145" s="156" t="inlineStr"/>
      <c r="G145" s="182" t="n">
        <v>0</v>
      </c>
      <c r="H145" s="182" t="n">
        <v>0</v>
      </c>
      <c r="I145" s="182" t="n">
        <v>0</v>
      </c>
      <c r="J145" s="182" t="n">
        <v>0</v>
      </c>
      <c r="K145" s="182" t="n">
        <v>12</v>
      </c>
      <c r="L145" s="182" t="n">
        <v>12</v>
      </c>
      <c r="M145" s="182" t="n">
        <v>0</v>
      </c>
      <c r="N145" s="182" t="n">
        <v>0</v>
      </c>
      <c r="O145" s="183" t="n">
        <v>0</v>
      </c>
      <c r="P145" s="183" t="n">
        <v>0</v>
      </c>
      <c r="Q145" s="184" t="n">
        <v>0</v>
      </c>
      <c r="R145" s="184" t="n">
        <v>0</v>
      </c>
      <c r="S145" s="183" t="n">
        <v>0</v>
      </c>
      <c r="T145" s="183" t="n">
        <v>0</v>
      </c>
      <c r="U145" s="182" t="n">
        <v>0</v>
      </c>
      <c r="V145" s="182" t="n">
        <v>0</v>
      </c>
      <c r="W145" s="182" t="n">
        <v>0</v>
      </c>
      <c r="X145" s="182" t="n">
        <v>1</v>
      </c>
      <c r="Y145" s="182" t="n">
        <v>0</v>
      </c>
      <c r="Z145" s="182" t="n">
        <v>0</v>
      </c>
      <c r="AA145" s="182" t="n">
        <v>0</v>
      </c>
      <c r="AB145" s="182" t="n">
        <v>0</v>
      </c>
      <c r="AC145" s="182" t="n">
        <v>0</v>
      </c>
      <c r="AD145" s="182" t="n">
        <v>0</v>
      </c>
      <c r="AE145" s="182" t="n">
        <v>0</v>
      </c>
      <c r="AF145" s="182" t="n">
        <v>0</v>
      </c>
      <c r="AG145" s="182" t="n">
        <v>0</v>
      </c>
      <c r="AH145" s="182" t="n">
        <v>0</v>
      </c>
      <c r="AI145" s="182" t="n">
        <v>0</v>
      </c>
      <c r="AJ145" s="182" t="n">
        <v>0</v>
      </c>
      <c r="AK145" s="182" t="n">
        <v>10.92</v>
      </c>
      <c r="AL145" s="182" t="n">
        <v>0</v>
      </c>
      <c r="AM145" s="182" t="n">
        <v>0.08</v>
      </c>
      <c r="AN145" s="182" t="n">
        <v>0</v>
      </c>
    </row>
    <row r="146">
      <c r="A146" s="155" t="n">
        <v>46082</v>
      </c>
      <c r="B146" s="156" t="inlineStr">
        <is>
          <t>NS</t>
        </is>
      </c>
      <c r="C146" s="156" t="inlineStr">
        <is>
          <t>EX-1251</t>
        </is>
      </c>
      <c r="D146" s="156" t="inlineStr">
        <is>
          <t>SY1250</t>
        </is>
      </c>
      <c r="E146" s="156" t="inlineStr">
        <is>
          <t>Excavator</t>
        </is>
      </c>
      <c r="F146" s="156" t="inlineStr">
        <is>
          <t>Loading OB</t>
        </is>
      </c>
      <c r="G146" s="182" t="n">
        <v>10.09</v>
      </c>
      <c r="H146" s="182" t="n">
        <v>0</v>
      </c>
      <c r="I146" s="182" t="n">
        <v>0</v>
      </c>
      <c r="J146" s="182" t="n">
        <v>0</v>
      </c>
      <c r="K146" s="182" t="n">
        <v>1.91</v>
      </c>
      <c r="L146" s="182" t="n">
        <v>12</v>
      </c>
      <c r="M146" s="182" t="n">
        <v>9.52</v>
      </c>
      <c r="N146" s="182" t="n">
        <v>0</v>
      </c>
      <c r="O146" s="183" t="n">
        <v>171</v>
      </c>
      <c r="P146" s="183" t="n">
        <v>0</v>
      </c>
      <c r="Q146" s="184" t="n">
        <v>3488.4</v>
      </c>
      <c r="R146" s="184" t="n">
        <v>0</v>
      </c>
      <c r="S146" s="183" t="n">
        <v>0</v>
      </c>
      <c r="T146" s="183" t="n">
        <v>0</v>
      </c>
      <c r="U146" s="182" t="n">
        <v>0</v>
      </c>
      <c r="V146" s="182" t="n">
        <v>0</v>
      </c>
      <c r="W146" s="182" t="n">
        <v>0</v>
      </c>
      <c r="X146" s="182" t="n">
        <v>1.12</v>
      </c>
      <c r="Y146" s="182" t="n">
        <v>0</v>
      </c>
      <c r="Z146" s="182" t="n">
        <v>0</v>
      </c>
      <c r="AA146" s="182" t="n">
        <v>0</v>
      </c>
      <c r="AB146" s="182" t="n">
        <v>0</v>
      </c>
      <c r="AC146" s="182" t="n">
        <v>0</v>
      </c>
      <c r="AD146" s="182" t="n">
        <v>0.26</v>
      </c>
      <c r="AE146" s="182" t="n">
        <v>0</v>
      </c>
      <c r="AF146" s="182" t="n">
        <v>0</v>
      </c>
      <c r="AG146" s="182" t="n">
        <v>0</v>
      </c>
      <c r="AH146" s="182" t="n">
        <v>0.43</v>
      </c>
      <c r="AI146" s="182" t="n">
        <v>0</v>
      </c>
      <c r="AJ146" s="182" t="n">
        <v>0</v>
      </c>
      <c r="AK146" s="182" t="n">
        <v>0</v>
      </c>
      <c r="AL146" s="182" t="n">
        <v>0</v>
      </c>
      <c r="AM146" s="182" t="n">
        <v>0.09</v>
      </c>
      <c r="AN146" s="182" t="n">
        <v>0</v>
      </c>
    </row>
    <row r="147">
      <c r="A147" s="155" t="n">
        <v>46082</v>
      </c>
      <c r="B147" s="156" t="inlineStr">
        <is>
          <t>NS</t>
        </is>
      </c>
      <c r="C147" s="156" t="inlineStr">
        <is>
          <t>EX-1252</t>
        </is>
      </c>
      <c r="D147" s="156" t="inlineStr">
        <is>
          <t>SY1250</t>
        </is>
      </c>
      <c r="E147" s="156" t="inlineStr">
        <is>
          <t>Excavator</t>
        </is>
      </c>
      <c r="F147" s="156" t="inlineStr"/>
      <c r="G147" s="182" t="n">
        <v>0</v>
      </c>
      <c r="H147" s="182" t="n">
        <v>0</v>
      </c>
      <c r="I147" s="182" t="n">
        <v>12</v>
      </c>
      <c r="J147" s="182" t="n">
        <v>12</v>
      </c>
      <c r="K147" s="182" t="n">
        <v>0</v>
      </c>
      <c r="L147" s="182" t="n">
        <v>12</v>
      </c>
      <c r="M147" s="182" t="n">
        <v>0</v>
      </c>
      <c r="N147" s="182" t="n">
        <v>0</v>
      </c>
      <c r="O147" s="183" t="n">
        <v>0</v>
      </c>
      <c r="P147" s="183" t="n">
        <v>0</v>
      </c>
      <c r="Q147" s="184" t="n">
        <v>0</v>
      </c>
      <c r="R147" s="184" t="n">
        <v>0</v>
      </c>
      <c r="S147" s="183" t="n">
        <v>0</v>
      </c>
      <c r="T147" s="183" t="n">
        <v>0</v>
      </c>
      <c r="U147" s="182" t="n">
        <v>0</v>
      </c>
      <c r="V147" s="182" t="n">
        <v>0</v>
      </c>
      <c r="W147" s="182" t="n">
        <v>0</v>
      </c>
      <c r="X147" s="182" t="n">
        <v>0</v>
      </c>
      <c r="Y147" s="182" t="n">
        <v>0</v>
      </c>
      <c r="Z147" s="182" t="n">
        <v>0</v>
      </c>
      <c r="AA147" s="182" t="n">
        <v>0</v>
      </c>
      <c r="AB147" s="182" t="n">
        <v>0</v>
      </c>
      <c r="AC147" s="182" t="n">
        <v>0</v>
      </c>
      <c r="AD147" s="182" t="n">
        <v>0</v>
      </c>
      <c r="AE147" s="182" t="n">
        <v>0</v>
      </c>
      <c r="AF147" s="182" t="n">
        <v>0</v>
      </c>
      <c r="AG147" s="182" t="n">
        <v>0</v>
      </c>
      <c r="AH147" s="182" t="n">
        <v>0</v>
      </c>
      <c r="AI147" s="182" t="n">
        <v>0</v>
      </c>
      <c r="AJ147" s="182" t="n">
        <v>0</v>
      </c>
      <c r="AK147" s="182" t="n">
        <v>0</v>
      </c>
      <c r="AL147" s="182" t="n">
        <v>0</v>
      </c>
      <c r="AM147" s="182" t="n">
        <v>0</v>
      </c>
      <c r="AN147" s="182" t="n">
        <v>0</v>
      </c>
    </row>
    <row r="148">
      <c r="A148" s="155" t="n">
        <v>46082</v>
      </c>
      <c r="B148" s="156" t="inlineStr">
        <is>
          <t>NS</t>
        </is>
      </c>
      <c r="C148" s="156" t="inlineStr">
        <is>
          <t>EX-2101</t>
        </is>
      </c>
      <c r="D148" s="156" t="inlineStr">
        <is>
          <t>SY2000</t>
        </is>
      </c>
      <c r="E148" s="156" t="inlineStr">
        <is>
          <t>Excavator</t>
        </is>
      </c>
      <c r="F148" s="156" t="inlineStr"/>
      <c r="G148" s="182" t="n">
        <v>0</v>
      </c>
      <c r="H148" s="182" t="n">
        <v>0</v>
      </c>
      <c r="I148" s="182" t="n">
        <v>12</v>
      </c>
      <c r="J148" s="182" t="n">
        <v>12</v>
      </c>
      <c r="K148" s="182" t="n">
        <v>0</v>
      </c>
      <c r="L148" s="182" t="n">
        <v>12</v>
      </c>
      <c r="M148" s="182" t="n">
        <v>0</v>
      </c>
      <c r="N148" s="182" t="n">
        <v>0</v>
      </c>
      <c r="O148" s="183" t="n">
        <v>0</v>
      </c>
      <c r="P148" s="183" t="n">
        <v>0</v>
      </c>
      <c r="Q148" s="184" t="n">
        <v>0</v>
      </c>
      <c r="R148" s="184" t="n">
        <v>0</v>
      </c>
      <c r="S148" s="183" t="n">
        <v>0</v>
      </c>
      <c r="T148" s="183" t="n">
        <v>0</v>
      </c>
      <c r="U148" s="182" t="n">
        <v>0</v>
      </c>
      <c r="V148" s="182" t="n">
        <v>0</v>
      </c>
      <c r="W148" s="182" t="n">
        <v>0</v>
      </c>
      <c r="X148" s="182" t="n">
        <v>0</v>
      </c>
      <c r="Y148" s="182" t="n">
        <v>0</v>
      </c>
      <c r="Z148" s="182" t="n">
        <v>0</v>
      </c>
      <c r="AA148" s="182" t="n">
        <v>0</v>
      </c>
      <c r="AB148" s="182" t="n">
        <v>0</v>
      </c>
      <c r="AC148" s="182" t="n">
        <v>0</v>
      </c>
      <c r="AD148" s="182" t="n">
        <v>0</v>
      </c>
      <c r="AE148" s="182" t="n">
        <v>0</v>
      </c>
      <c r="AF148" s="182" t="n">
        <v>0</v>
      </c>
      <c r="AG148" s="182" t="n">
        <v>0</v>
      </c>
      <c r="AH148" s="182" t="n">
        <v>0</v>
      </c>
      <c r="AI148" s="182" t="n">
        <v>0</v>
      </c>
      <c r="AJ148" s="182" t="n">
        <v>0</v>
      </c>
      <c r="AK148" s="182" t="n">
        <v>0</v>
      </c>
      <c r="AL148" s="182" t="n">
        <v>0</v>
      </c>
      <c r="AM148" s="182" t="n">
        <v>0</v>
      </c>
      <c r="AN148" s="182" t="n">
        <v>0</v>
      </c>
    </row>
    <row r="149">
      <c r="A149" s="155" t="n">
        <v>46082</v>
      </c>
      <c r="B149" s="156" t="inlineStr">
        <is>
          <t>NS</t>
        </is>
      </c>
      <c r="C149" s="156" t="inlineStr">
        <is>
          <t>EX-222</t>
        </is>
      </c>
      <c r="D149" s="156" t="inlineStr">
        <is>
          <t>PC 200-8MI</t>
        </is>
      </c>
      <c r="E149" s="156" t="inlineStr">
        <is>
          <t>Excavator</t>
        </is>
      </c>
      <c r="F149" s="156" t="inlineStr">
        <is>
          <t>Trimming Coal di Stock ROM</t>
        </is>
      </c>
      <c r="G149" s="182" t="n">
        <v>11.88</v>
      </c>
      <c r="H149" s="182" t="n">
        <v>0</v>
      </c>
      <c r="I149" s="182" t="n">
        <v>0</v>
      </c>
      <c r="J149" s="182" t="n">
        <v>0</v>
      </c>
      <c r="K149" s="182" t="n">
        <v>0.12</v>
      </c>
      <c r="L149" s="182" t="n">
        <v>12</v>
      </c>
      <c r="M149" s="182" t="n">
        <v>0</v>
      </c>
      <c r="N149" s="182" t="n">
        <v>0</v>
      </c>
      <c r="O149" s="183" t="n">
        <v>0</v>
      </c>
      <c r="P149" s="183" t="n">
        <v>0</v>
      </c>
      <c r="Q149" s="184" t="n">
        <v>0</v>
      </c>
      <c r="R149" s="184" t="n">
        <v>0</v>
      </c>
      <c r="S149" s="183" t="n">
        <v>0</v>
      </c>
      <c r="T149" s="183" t="n">
        <v>0</v>
      </c>
      <c r="U149" s="182" t="n">
        <v>0</v>
      </c>
      <c r="V149" s="182" t="n">
        <v>0</v>
      </c>
      <c r="W149" s="182" t="n">
        <v>0</v>
      </c>
      <c r="X149" s="182" t="n">
        <v>0.11</v>
      </c>
      <c r="Y149" s="182" t="n">
        <v>0</v>
      </c>
      <c r="Z149" s="182" t="n">
        <v>0</v>
      </c>
      <c r="AA149" s="182" t="n">
        <v>0</v>
      </c>
      <c r="AB149" s="182" t="n">
        <v>0</v>
      </c>
      <c r="AC149" s="182" t="n">
        <v>0</v>
      </c>
      <c r="AD149" s="182" t="n">
        <v>0</v>
      </c>
      <c r="AE149" s="182" t="n">
        <v>0</v>
      </c>
      <c r="AF149" s="182" t="n">
        <v>0</v>
      </c>
      <c r="AG149" s="182" t="n">
        <v>0</v>
      </c>
      <c r="AH149" s="182" t="n">
        <v>0</v>
      </c>
      <c r="AI149" s="182" t="n">
        <v>0</v>
      </c>
      <c r="AJ149" s="182" t="n">
        <v>0</v>
      </c>
      <c r="AK149" s="182" t="n">
        <v>0</v>
      </c>
      <c r="AL149" s="182" t="n">
        <v>0</v>
      </c>
      <c r="AM149" s="182" t="n">
        <v>0.01</v>
      </c>
      <c r="AN149" s="182" t="n">
        <v>0</v>
      </c>
    </row>
    <row r="150">
      <c r="A150" s="155" t="n">
        <v>46082</v>
      </c>
      <c r="B150" s="156" t="inlineStr">
        <is>
          <t>NS</t>
        </is>
      </c>
      <c r="C150" s="156" t="inlineStr">
        <is>
          <t>EX-225</t>
        </is>
      </c>
      <c r="D150" s="156" t="inlineStr">
        <is>
          <t>PC 200-8</t>
        </is>
      </c>
      <c r="E150" s="156" t="inlineStr">
        <is>
          <t>Excavator</t>
        </is>
      </c>
      <c r="F150" s="156" t="inlineStr"/>
      <c r="G150" s="182" t="n">
        <v>0</v>
      </c>
      <c r="H150" s="182" t="n">
        <v>0</v>
      </c>
      <c r="I150" s="182" t="n">
        <v>12</v>
      </c>
      <c r="J150" s="182" t="n">
        <v>12</v>
      </c>
      <c r="K150" s="182" t="n">
        <v>0</v>
      </c>
      <c r="L150" s="182" t="n">
        <v>12</v>
      </c>
      <c r="M150" s="182" t="n">
        <v>0</v>
      </c>
      <c r="N150" s="182" t="n">
        <v>0</v>
      </c>
      <c r="O150" s="183" t="n">
        <v>0</v>
      </c>
      <c r="P150" s="183" t="n">
        <v>0</v>
      </c>
      <c r="Q150" s="184" t="n">
        <v>0</v>
      </c>
      <c r="R150" s="184" t="n">
        <v>0</v>
      </c>
      <c r="S150" s="183" t="n">
        <v>0</v>
      </c>
      <c r="T150" s="183" t="n">
        <v>0</v>
      </c>
      <c r="U150" s="182" t="n">
        <v>0</v>
      </c>
      <c r="V150" s="182" t="n">
        <v>0</v>
      </c>
      <c r="W150" s="182" t="n">
        <v>0</v>
      </c>
      <c r="X150" s="182" t="n">
        <v>0</v>
      </c>
      <c r="Y150" s="182" t="n">
        <v>0</v>
      </c>
      <c r="Z150" s="182" t="n">
        <v>0</v>
      </c>
      <c r="AA150" s="182" t="n">
        <v>0</v>
      </c>
      <c r="AB150" s="182" t="n">
        <v>0</v>
      </c>
      <c r="AC150" s="182" t="n">
        <v>0</v>
      </c>
      <c r="AD150" s="182" t="n">
        <v>0</v>
      </c>
      <c r="AE150" s="182" t="n">
        <v>0</v>
      </c>
      <c r="AF150" s="182" t="n">
        <v>0</v>
      </c>
      <c r="AG150" s="182" t="n">
        <v>0</v>
      </c>
      <c r="AH150" s="182" t="n">
        <v>0</v>
      </c>
      <c r="AI150" s="182" t="n">
        <v>0</v>
      </c>
      <c r="AJ150" s="182" t="n">
        <v>0</v>
      </c>
      <c r="AK150" s="182" t="n">
        <v>0</v>
      </c>
      <c r="AL150" s="182" t="n">
        <v>0</v>
      </c>
      <c r="AM150" s="182" t="n">
        <v>0</v>
      </c>
      <c r="AN150" s="182" t="n">
        <v>0</v>
      </c>
    </row>
    <row r="151">
      <c r="A151" s="155" t="n">
        <v>46082</v>
      </c>
      <c r="B151" s="156" t="inlineStr">
        <is>
          <t>NS</t>
        </is>
      </c>
      <c r="C151" s="156" t="inlineStr">
        <is>
          <t>EX-223</t>
        </is>
      </c>
      <c r="D151" s="156" t="inlineStr">
        <is>
          <t>PC 200-8MI</t>
        </is>
      </c>
      <c r="E151" s="156" t="inlineStr">
        <is>
          <t>Excavator</t>
        </is>
      </c>
      <c r="F151" s="156" t="inlineStr">
        <is>
          <t>General Tanggul Pit</t>
        </is>
      </c>
      <c r="G151" s="182" t="n">
        <v>10.13</v>
      </c>
      <c r="H151" s="182" t="n">
        <v>0</v>
      </c>
      <c r="I151" s="182" t="n">
        <v>0</v>
      </c>
      <c r="J151" s="182" t="n">
        <v>0</v>
      </c>
      <c r="K151" s="182" t="n">
        <v>1.87</v>
      </c>
      <c r="L151" s="182" t="n">
        <v>12</v>
      </c>
      <c r="M151" s="182" t="n">
        <v>0</v>
      </c>
      <c r="N151" s="182" t="n">
        <v>0</v>
      </c>
      <c r="O151" s="183" t="n">
        <v>0</v>
      </c>
      <c r="P151" s="183" t="n">
        <v>0</v>
      </c>
      <c r="Q151" s="184" t="n">
        <v>0</v>
      </c>
      <c r="R151" s="184" t="n">
        <v>0</v>
      </c>
      <c r="S151" s="183" t="n">
        <v>0</v>
      </c>
      <c r="T151" s="183" t="n">
        <v>0</v>
      </c>
      <c r="U151" s="182" t="n">
        <v>0</v>
      </c>
      <c r="V151" s="182" t="n">
        <v>0</v>
      </c>
      <c r="W151" s="182" t="n">
        <v>0</v>
      </c>
      <c r="X151" s="182" t="n">
        <v>0.98</v>
      </c>
      <c r="Y151" s="182" t="n">
        <v>0</v>
      </c>
      <c r="Z151" s="182" t="n">
        <v>0</v>
      </c>
      <c r="AA151" s="182" t="n">
        <v>0</v>
      </c>
      <c r="AB151" s="182" t="n">
        <v>0</v>
      </c>
      <c r="AC151" s="182" t="n">
        <v>0</v>
      </c>
      <c r="AD151" s="182" t="n">
        <v>0</v>
      </c>
      <c r="AE151" s="182" t="n">
        <v>0</v>
      </c>
      <c r="AF151" s="182" t="n">
        <v>0</v>
      </c>
      <c r="AG151" s="182" t="n">
        <v>0</v>
      </c>
      <c r="AH151" s="182" t="n">
        <v>0.8100000000000001</v>
      </c>
      <c r="AI151" s="182" t="n">
        <v>0</v>
      </c>
      <c r="AJ151" s="182" t="n">
        <v>0</v>
      </c>
      <c r="AK151" s="182" t="n">
        <v>0</v>
      </c>
      <c r="AL151" s="182" t="n">
        <v>0</v>
      </c>
      <c r="AM151" s="182" t="n">
        <v>0.08</v>
      </c>
      <c r="AN151" s="182" t="n">
        <v>0</v>
      </c>
    </row>
    <row r="152">
      <c r="A152" s="155" t="n">
        <v>46082</v>
      </c>
      <c r="B152" s="156" t="inlineStr">
        <is>
          <t>NS</t>
        </is>
      </c>
      <c r="C152" s="156" t="inlineStr">
        <is>
          <t>EX-221</t>
        </is>
      </c>
      <c r="D152" s="156" t="inlineStr">
        <is>
          <t>PC 200-8MI</t>
        </is>
      </c>
      <c r="E152" s="156" t="inlineStr">
        <is>
          <t>Excavator</t>
        </is>
      </c>
      <c r="F152" s="156" t="inlineStr"/>
      <c r="G152" s="182" t="n">
        <v>0</v>
      </c>
      <c r="H152" s="182" t="n">
        <v>0</v>
      </c>
      <c r="I152" s="182" t="n">
        <v>0</v>
      </c>
      <c r="J152" s="182" t="n">
        <v>0</v>
      </c>
      <c r="K152" s="182" t="n">
        <v>12</v>
      </c>
      <c r="L152" s="182" t="n">
        <v>12</v>
      </c>
      <c r="M152" s="182" t="n">
        <v>0</v>
      </c>
      <c r="N152" s="182" t="n">
        <v>0</v>
      </c>
      <c r="O152" s="183" t="n">
        <v>0</v>
      </c>
      <c r="P152" s="183" t="n">
        <v>0</v>
      </c>
      <c r="Q152" s="184" t="n">
        <v>0</v>
      </c>
      <c r="R152" s="184" t="n">
        <v>0</v>
      </c>
      <c r="S152" s="183" t="n">
        <v>0</v>
      </c>
      <c r="T152" s="183" t="n">
        <v>0</v>
      </c>
      <c r="U152" s="182" t="n">
        <v>0</v>
      </c>
      <c r="V152" s="182" t="n">
        <v>0</v>
      </c>
      <c r="W152" s="182" t="n">
        <v>0</v>
      </c>
      <c r="X152" s="182" t="n">
        <v>1</v>
      </c>
      <c r="Y152" s="182" t="n">
        <v>0</v>
      </c>
      <c r="Z152" s="182" t="n">
        <v>0</v>
      </c>
      <c r="AA152" s="182" t="n">
        <v>0</v>
      </c>
      <c r="AB152" s="182" t="n">
        <v>0</v>
      </c>
      <c r="AC152" s="182" t="n">
        <v>0</v>
      </c>
      <c r="AD152" s="182" t="n">
        <v>0</v>
      </c>
      <c r="AE152" s="182" t="n">
        <v>0</v>
      </c>
      <c r="AF152" s="182" t="n">
        <v>0</v>
      </c>
      <c r="AG152" s="182" t="n">
        <v>0</v>
      </c>
      <c r="AH152" s="182" t="n">
        <v>0</v>
      </c>
      <c r="AI152" s="182" t="n">
        <v>0</v>
      </c>
      <c r="AJ152" s="182" t="n">
        <v>0</v>
      </c>
      <c r="AK152" s="182" t="n">
        <v>10.92</v>
      </c>
      <c r="AL152" s="182" t="n">
        <v>0</v>
      </c>
      <c r="AM152" s="182" t="n">
        <v>0.08</v>
      </c>
      <c r="AN152" s="182" t="n">
        <v>0</v>
      </c>
    </row>
    <row r="153">
      <c r="A153" s="155" t="n">
        <v>46082</v>
      </c>
      <c r="B153" s="156" t="inlineStr">
        <is>
          <t>NS</t>
        </is>
      </c>
      <c r="C153" s="156" t="inlineStr">
        <is>
          <t>EX-331</t>
        </is>
      </c>
      <c r="D153" s="156" t="inlineStr">
        <is>
          <t>PC 300-8MO</t>
        </is>
      </c>
      <c r="E153" s="156" t="inlineStr">
        <is>
          <t>Excavator</t>
        </is>
      </c>
      <c r="F153" s="156" t="inlineStr"/>
      <c r="G153" s="182" t="n">
        <v>0</v>
      </c>
      <c r="H153" s="182" t="n">
        <v>0</v>
      </c>
      <c r="I153" s="182" t="n">
        <v>12</v>
      </c>
      <c r="J153" s="182" t="n">
        <v>12</v>
      </c>
      <c r="K153" s="182" t="n">
        <v>0</v>
      </c>
      <c r="L153" s="182" t="n">
        <v>12</v>
      </c>
      <c r="M153" s="182" t="n">
        <v>0</v>
      </c>
      <c r="N153" s="182" t="n">
        <v>0</v>
      </c>
      <c r="O153" s="183" t="n">
        <v>0</v>
      </c>
      <c r="P153" s="183" t="n">
        <v>0</v>
      </c>
      <c r="Q153" s="184" t="n">
        <v>0</v>
      </c>
      <c r="R153" s="184" t="n">
        <v>0</v>
      </c>
      <c r="S153" s="183" t="n">
        <v>0</v>
      </c>
      <c r="T153" s="183" t="n">
        <v>0</v>
      </c>
      <c r="U153" s="182" t="n">
        <v>0</v>
      </c>
      <c r="V153" s="182" t="n">
        <v>0</v>
      </c>
      <c r="W153" s="182" t="n">
        <v>0</v>
      </c>
      <c r="X153" s="182" t="n">
        <v>0</v>
      </c>
      <c r="Y153" s="182" t="n">
        <v>0</v>
      </c>
      <c r="Z153" s="182" t="n">
        <v>0</v>
      </c>
      <c r="AA153" s="182" t="n">
        <v>0</v>
      </c>
      <c r="AB153" s="182" t="n">
        <v>0</v>
      </c>
      <c r="AC153" s="182" t="n">
        <v>0</v>
      </c>
      <c r="AD153" s="182" t="n">
        <v>0</v>
      </c>
      <c r="AE153" s="182" t="n">
        <v>0</v>
      </c>
      <c r="AF153" s="182" t="n">
        <v>0</v>
      </c>
      <c r="AG153" s="182" t="n">
        <v>0</v>
      </c>
      <c r="AH153" s="182" t="n">
        <v>0</v>
      </c>
      <c r="AI153" s="182" t="n">
        <v>0</v>
      </c>
      <c r="AJ153" s="182" t="n">
        <v>0</v>
      </c>
      <c r="AK153" s="182" t="n">
        <v>0</v>
      </c>
      <c r="AL153" s="182" t="n">
        <v>0</v>
      </c>
      <c r="AM153" s="182" t="n">
        <v>0</v>
      </c>
      <c r="AN153" s="182" t="n">
        <v>0</v>
      </c>
    </row>
    <row r="154">
      <c r="A154" s="155" t="n">
        <v>46082</v>
      </c>
      <c r="B154" s="156" t="inlineStr">
        <is>
          <t>NS</t>
        </is>
      </c>
      <c r="C154" s="156" t="inlineStr">
        <is>
          <t>EX-334</t>
        </is>
      </c>
      <c r="D154" s="156" t="inlineStr">
        <is>
          <t>PC 300-8MO</t>
        </is>
      </c>
      <c r="E154" s="156" t="inlineStr">
        <is>
          <t>Excavator</t>
        </is>
      </c>
      <c r="F154" s="156" t="inlineStr">
        <is>
          <t>Cleaning Coal</t>
        </is>
      </c>
      <c r="G154" s="182" t="n">
        <v>10.24</v>
      </c>
      <c r="H154" s="182" t="n">
        <v>0</v>
      </c>
      <c r="I154" s="182" t="n">
        <v>0.83</v>
      </c>
      <c r="J154" s="182" t="n">
        <v>0.83</v>
      </c>
      <c r="K154" s="182" t="n">
        <v>0.93</v>
      </c>
      <c r="L154" s="182" t="n">
        <v>12</v>
      </c>
      <c r="M154" s="182" t="n">
        <v>0</v>
      </c>
      <c r="N154" s="182" t="n">
        <v>0</v>
      </c>
      <c r="O154" s="183" t="n">
        <v>0</v>
      </c>
      <c r="P154" s="183" t="n">
        <v>0</v>
      </c>
      <c r="Q154" s="184" t="n">
        <v>0</v>
      </c>
      <c r="R154" s="184" t="n">
        <v>0</v>
      </c>
      <c r="S154" s="183" t="n">
        <v>0</v>
      </c>
      <c r="T154" s="183" t="n">
        <v>0</v>
      </c>
      <c r="U154" s="182" t="n">
        <v>0</v>
      </c>
      <c r="V154" s="182" t="n">
        <v>0</v>
      </c>
      <c r="W154" s="182" t="n">
        <v>0</v>
      </c>
      <c r="X154" s="182" t="n">
        <v>0.79</v>
      </c>
      <c r="Y154" s="182" t="n">
        <v>0</v>
      </c>
      <c r="Z154" s="182" t="n">
        <v>0</v>
      </c>
      <c r="AA154" s="182" t="n">
        <v>0</v>
      </c>
      <c r="AB154" s="182" t="n">
        <v>0</v>
      </c>
      <c r="AC154" s="182" t="n">
        <v>0</v>
      </c>
      <c r="AD154" s="182" t="n">
        <v>0</v>
      </c>
      <c r="AE154" s="182" t="n">
        <v>0</v>
      </c>
      <c r="AF154" s="182" t="n">
        <v>0</v>
      </c>
      <c r="AG154" s="182" t="n">
        <v>0</v>
      </c>
      <c r="AH154" s="182" t="n">
        <v>0.06</v>
      </c>
      <c r="AI154" s="182" t="n">
        <v>0</v>
      </c>
      <c r="AJ154" s="182" t="n">
        <v>0</v>
      </c>
      <c r="AK154" s="182" t="n">
        <v>0</v>
      </c>
      <c r="AL154" s="182" t="n">
        <v>0</v>
      </c>
      <c r="AM154" s="182" t="n">
        <v>0.06</v>
      </c>
      <c r="AN154" s="182" t="n">
        <v>0</v>
      </c>
    </row>
    <row r="155">
      <c r="A155" s="155" t="n">
        <v>46082</v>
      </c>
      <c r="B155" s="156" t="inlineStr">
        <is>
          <t>NS</t>
        </is>
      </c>
      <c r="C155" s="156" t="inlineStr">
        <is>
          <t>EX-332</t>
        </is>
      </c>
      <c r="D155" s="156" t="inlineStr">
        <is>
          <t>PC 300-8MO</t>
        </is>
      </c>
      <c r="E155" s="156" t="inlineStr">
        <is>
          <t>Excavator</t>
        </is>
      </c>
      <c r="F155" s="156" t="inlineStr"/>
      <c r="G155" s="182" t="n">
        <v>0</v>
      </c>
      <c r="H155" s="182" t="n">
        <v>0</v>
      </c>
      <c r="I155" s="182" t="n">
        <v>12</v>
      </c>
      <c r="J155" s="182" t="n">
        <v>12</v>
      </c>
      <c r="K155" s="182" t="n">
        <v>0</v>
      </c>
      <c r="L155" s="182" t="n">
        <v>12</v>
      </c>
      <c r="M155" s="182" t="n">
        <v>0</v>
      </c>
      <c r="N155" s="182" t="n">
        <v>0</v>
      </c>
      <c r="O155" s="183" t="n">
        <v>0</v>
      </c>
      <c r="P155" s="183" t="n">
        <v>0</v>
      </c>
      <c r="Q155" s="184" t="n">
        <v>0</v>
      </c>
      <c r="R155" s="184" t="n">
        <v>0</v>
      </c>
      <c r="S155" s="183" t="n">
        <v>0</v>
      </c>
      <c r="T155" s="183" t="n">
        <v>0</v>
      </c>
      <c r="U155" s="182" t="n">
        <v>0</v>
      </c>
      <c r="V155" s="182" t="n">
        <v>0</v>
      </c>
      <c r="W155" s="182" t="n">
        <v>0</v>
      </c>
      <c r="X155" s="182" t="n">
        <v>0</v>
      </c>
      <c r="Y155" s="182" t="n">
        <v>0</v>
      </c>
      <c r="Z155" s="182" t="n">
        <v>0</v>
      </c>
      <c r="AA155" s="182" t="n">
        <v>0</v>
      </c>
      <c r="AB155" s="182" t="n">
        <v>0</v>
      </c>
      <c r="AC155" s="182" t="n">
        <v>0</v>
      </c>
      <c r="AD155" s="182" t="n">
        <v>0</v>
      </c>
      <c r="AE155" s="182" t="n">
        <v>0</v>
      </c>
      <c r="AF155" s="182" t="n">
        <v>0</v>
      </c>
      <c r="AG155" s="182" t="n">
        <v>0</v>
      </c>
      <c r="AH155" s="182" t="n">
        <v>0</v>
      </c>
      <c r="AI155" s="182" t="n">
        <v>0</v>
      </c>
      <c r="AJ155" s="182" t="n">
        <v>0</v>
      </c>
      <c r="AK155" s="182" t="n">
        <v>0</v>
      </c>
      <c r="AL155" s="182" t="n">
        <v>0</v>
      </c>
      <c r="AM155" s="182" t="n">
        <v>0</v>
      </c>
      <c r="AN155" s="182" t="n">
        <v>0</v>
      </c>
    </row>
    <row r="156">
      <c r="A156" s="155" t="n">
        <v>46082</v>
      </c>
      <c r="B156" s="156" t="inlineStr">
        <is>
          <t>NS</t>
        </is>
      </c>
      <c r="C156" s="156" t="inlineStr">
        <is>
          <t>EX-333</t>
        </is>
      </c>
      <c r="D156" s="156" t="inlineStr">
        <is>
          <t>PC 300-8MO</t>
        </is>
      </c>
      <c r="E156" s="156" t="inlineStr">
        <is>
          <t>Excavator</t>
        </is>
      </c>
      <c r="F156" s="156" t="inlineStr">
        <is>
          <t>Cleaning Coal</t>
        </is>
      </c>
      <c r="G156" s="182" t="n">
        <v>10.39</v>
      </c>
      <c r="H156" s="182" t="n">
        <v>0.08</v>
      </c>
      <c r="I156" s="182" t="n">
        <v>0</v>
      </c>
      <c r="J156" s="182" t="n">
        <v>0.08</v>
      </c>
      <c r="K156" s="182" t="n">
        <v>1.53</v>
      </c>
      <c r="L156" s="182" t="n">
        <v>12</v>
      </c>
      <c r="M156" s="182" t="n">
        <v>0</v>
      </c>
      <c r="N156" s="182" t="n">
        <v>0</v>
      </c>
      <c r="O156" s="183" t="n">
        <v>0</v>
      </c>
      <c r="P156" s="183" t="n">
        <v>0</v>
      </c>
      <c r="Q156" s="184" t="n">
        <v>0</v>
      </c>
      <c r="R156" s="184" t="n">
        <v>0</v>
      </c>
      <c r="S156" s="183" t="n">
        <v>0</v>
      </c>
      <c r="T156" s="183" t="n">
        <v>0</v>
      </c>
      <c r="U156" s="182" t="n">
        <v>0</v>
      </c>
      <c r="V156" s="182" t="n">
        <v>0</v>
      </c>
      <c r="W156" s="182" t="n">
        <v>0</v>
      </c>
      <c r="X156" s="182" t="n">
        <v>0.9399999999999999</v>
      </c>
      <c r="Y156" s="182" t="n">
        <v>0</v>
      </c>
      <c r="Z156" s="182" t="n">
        <v>0</v>
      </c>
      <c r="AA156" s="182" t="n">
        <v>0</v>
      </c>
      <c r="AB156" s="182" t="n">
        <v>0</v>
      </c>
      <c r="AC156" s="182" t="n">
        <v>0</v>
      </c>
      <c r="AD156" s="182" t="n">
        <v>0</v>
      </c>
      <c r="AE156" s="182" t="n">
        <v>0</v>
      </c>
      <c r="AF156" s="182" t="n">
        <v>0</v>
      </c>
      <c r="AG156" s="182" t="n">
        <v>0</v>
      </c>
      <c r="AH156" s="182" t="n">
        <v>0.5</v>
      </c>
      <c r="AI156" s="182" t="n">
        <v>0</v>
      </c>
      <c r="AJ156" s="182" t="n">
        <v>0</v>
      </c>
      <c r="AK156" s="182" t="n">
        <v>0</v>
      </c>
      <c r="AL156" s="182" t="n">
        <v>0</v>
      </c>
      <c r="AM156" s="182" t="n">
        <v>0.08</v>
      </c>
      <c r="AN156" s="182" t="n">
        <v>0</v>
      </c>
    </row>
    <row r="157">
      <c r="A157" s="155" t="n">
        <v>46082</v>
      </c>
      <c r="B157" s="156" t="inlineStr">
        <is>
          <t>NS</t>
        </is>
      </c>
      <c r="C157" s="156" t="inlineStr">
        <is>
          <t>EX-336</t>
        </is>
      </c>
      <c r="D157" s="156" t="inlineStr">
        <is>
          <t>PC 300-8MO</t>
        </is>
      </c>
      <c r="E157" s="156" t="inlineStr">
        <is>
          <t>Excavator</t>
        </is>
      </c>
      <c r="F157" s="156" t="inlineStr">
        <is>
          <t>Loading Coal &amp; Cleaning Coal</t>
        </is>
      </c>
      <c r="G157" s="182" t="n">
        <v>11.12</v>
      </c>
      <c r="H157" s="182" t="n">
        <v>0</v>
      </c>
      <c r="I157" s="182" t="n">
        <v>0</v>
      </c>
      <c r="J157" s="182" t="n">
        <v>0</v>
      </c>
      <c r="K157" s="182" t="n">
        <v>0.88</v>
      </c>
      <c r="L157" s="182" t="n">
        <v>12</v>
      </c>
      <c r="M157" s="182" t="n">
        <v>0</v>
      </c>
      <c r="N157" s="182" t="n">
        <v>2.02</v>
      </c>
      <c r="O157" s="183" t="n">
        <v>0</v>
      </c>
      <c r="P157" s="183" t="n">
        <v>16</v>
      </c>
      <c r="Q157" s="184" t="n">
        <v>0</v>
      </c>
      <c r="R157" s="184" t="n">
        <v>299.2</v>
      </c>
      <c r="S157" s="183" t="n">
        <v>0</v>
      </c>
      <c r="T157" s="183" t="n">
        <v>0</v>
      </c>
      <c r="U157" s="182" t="n">
        <v>0</v>
      </c>
      <c r="V157" s="182" t="n">
        <v>0</v>
      </c>
      <c r="W157" s="182" t="n">
        <v>0</v>
      </c>
      <c r="X157" s="182" t="n">
        <v>0.8100000000000001</v>
      </c>
      <c r="Y157" s="182" t="n">
        <v>0</v>
      </c>
      <c r="Z157" s="182" t="n">
        <v>0</v>
      </c>
      <c r="AA157" s="182" t="n">
        <v>0</v>
      </c>
      <c r="AB157" s="182" t="n">
        <v>0</v>
      </c>
      <c r="AC157" s="182" t="n">
        <v>0</v>
      </c>
      <c r="AD157" s="182" t="n">
        <v>0</v>
      </c>
      <c r="AE157" s="182" t="n">
        <v>0</v>
      </c>
      <c r="AF157" s="182" t="n">
        <v>0</v>
      </c>
      <c r="AG157" s="182" t="n">
        <v>0</v>
      </c>
      <c r="AH157" s="182" t="n">
        <v>0</v>
      </c>
      <c r="AI157" s="182" t="n">
        <v>0</v>
      </c>
      <c r="AJ157" s="182" t="n">
        <v>0</v>
      </c>
      <c r="AK157" s="182" t="n">
        <v>0</v>
      </c>
      <c r="AL157" s="182" t="n">
        <v>0</v>
      </c>
      <c r="AM157" s="182" t="n">
        <v>0.07000000000000001</v>
      </c>
      <c r="AN157" s="182" t="n">
        <v>0</v>
      </c>
    </row>
    <row r="158">
      <c r="A158" s="155" t="n">
        <v>46082</v>
      </c>
      <c r="B158" s="156" t="inlineStr">
        <is>
          <t>NS</t>
        </is>
      </c>
      <c r="C158" s="156" t="inlineStr">
        <is>
          <t>EX-335</t>
        </is>
      </c>
      <c r="D158" s="156" t="inlineStr">
        <is>
          <t>PC 300-8MO</t>
        </is>
      </c>
      <c r="E158" s="156" t="inlineStr">
        <is>
          <t>Excavator</t>
        </is>
      </c>
      <c r="F158" s="156" t="inlineStr">
        <is>
          <t>Cleaning Coal</t>
        </is>
      </c>
      <c r="G158" s="182" t="n">
        <v>10.35</v>
      </c>
      <c r="H158" s="182" t="n">
        <v>0.17</v>
      </c>
      <c r="I158" s="182" t="n">
        <v>0</v>
      </c>
      <c r="J158" s="182" t="n">
        <v>0.17</v>
      </c>
      <c r="K158" s="182" t="n">
        <v>1.48</v>
      </c>
      <c r="L158" s="182" t="n">
        <v>12</v>
      </c>
      <c r="M158" s="182" t="n">
        <v>0</v>
      </c>
      <c r="N158" s="182" t="n">
        <v>0</v>
      </c>
      <c r="O158" s="183" t="n">
        <v>0</v>
      </c>
      <c r="P158" s="183" t="n">
        <v>0</v>
      </c>
      <c r="Q158" s="184" t="n">
        <v>0</v>
      </c>
      <c r="R158" s="184" t="n">
        <v>0</v>
      </c>
      <c r="S158" s="183" t="n">
        <v>0</v>
      </c>
      <c r="T158" s="183" t="n">
        <v>0</v>
      </c>
      <c r="U158" s="182" t="n">
        <v>0</v>
      </c>
      <c r="V158" s="182" t="n">
        <v>0</v>
      </c>
      <c r="W158" s="182" t="n">
        <v>0</v>
      </c>
      <c r="X158" s="182" t="n">
        <v>1.03</v>
      </c>
      <c r="Y158" s="182" t="n">
        <v>0</v>
      </c>
      <c r="Z158" s="182" t="n">
        <v>0</v>
      </c>
      <c r="AA158" s="182" t="n">
        <v>0</v>
      </c>
      <c r="AB158" s="182" t="n">
        <v>0</v>
      </c>
      <c r="AC158" s="182" t="n">
        <v>0</v>
      </c>
      <c r="AD158" s="182" t="n">
        <v>0</v>
      </c>
      <c r="AE158" s="182" t="n">
        <v>0</v>
      </c>
      <c r="AF158" s="182" t="n">
        <v>0</v>
      </c>
      <c r="AG158" s="182" t="n">
        <v>0</v>
      </c>
      <c r="AH158" s="182" t="n">
        <v>0.36</v>
      </c>
      <c r="AI158" s="182" t="n">
        <v>0</v>
      </c>
      <c r="AJ158" s="182" t="n">
        <v>0</v>
      </c>
      <c r="AK158" s="182" t="n">
        <v>0</v>
      </c>
      <c r="AL158" s="182" t="n">
        <v>0</v>
      </c>
      <c r="AM158" s="182" t="n">
        <v>0.08</v>
      </c>
      <c r="AN158" s="182" t="n">
        <v>0</v>
      </c>
    </row>
    <row r="159">
      <c r="A159" s="155" t="n">
        <v>46082</v>
      </c>
      <c r="B159" s="156" t="inlineStr">
        <is>
          <t>NS</t>
        </is>
      </c>
      <c r="C159" s="156" t="inlineStr">
        <is>
          <t>EX-754</t>
        </is>
      </c>
      <c r="D159" s="156" t="inlineStr">
        <is>
          <t>SY750H-PRO</t>
        </is>
      </c>
      <c r="E159" s="156" t="inlineStr">
        <is>
          <t>Excavator</t>
        </is>
      </c>
      <c r="F159" s="156" t="inlineStr">
        <is>
          <t>Loading OB</t>
        </is>
      </c>
      <c r="G159" s="182" t="n">
        <v>10.92</v>
      </c>
      <c r="H159" s="182" t="n">
        <v>0.17</v>
      </c>
      <c r="I159" s="182" t="n">
        <v>0</v>
      </c>
      <c r="J159" s="182" t="n">
        <v>0.17</v>
      </c>
      <c r="K159" s="182" t="n">
        <v>0.91</v>
      </c>
      <c r="L159" s="182" t="n">
        <v>12</v>
      </c>
      <c r="M159" s="182" t="n">
        <v>10.92</v>
      </c>
      <c r="N159" s="182" t="n">
        <v>0</v>
      </c>
      <c r="O159" s="183" t="n">
        <v>161</v>
      </c>
      <c r="P159" s="183" t="n">
        <v>0</v>
      </c>
      <c r="Q159" s="184" t="n">
        <v>3284.4</v>
      </c>
      <c r="R159" s="184" t="n">
        <v>0</v>
      </c>
      <c r="S159" s="183" t="n">
        <v>0</v>
      </c>
      <c r="T159" s="183" t="n">
        <v>0</v>
      </c>
      <c r="U159" s="182" t="n">
        <v>0</v>
      </c>
      <c r="V159" s="182" t="n">
        <v>0</v>
      </c>
      <c r="W159" s="182" t="n">
        <v>0</v>
      </c>
      <c r="X159" s="182" t="n">
        <v>0.84</v>
      </c>
      <c r="Y159" s="182" t="n">
        <v>0</v>
      </c>
      <c r="Z159" s="182" t="n">
        <v>0</v>
      </c>
      <c r="AA159" s="182" t="n">
        <v>0</v>
      </c>
      <c r="AB159" s="182" t="n">
        <v>0</v>
      </c>
      <c r="AC159" s="182" t="n">
        <v>0</v>
      </c>
      <c r="AD159" s="182" t="n">
        <v>0</v>
      </c>
      <c r="AE159" s="182" t="n">
        <v>0</v>
      </c>
      <c r="AF159" s="182" t="n">
        <v>0</v>
      </c>
      <c r="AG159" s="182" t="n">
        <v>0</v>
      </c>
      <c r="AH159" s="182" t="n">
        <v>0</v>
      </c>
      <c r="AI159" s="182" t="n">
        <v>0</v>
      </c>
      <c r="AJ159" s="182" t="n">
        <v>0</v>
      </c>
      <c r="AK159" s="182" t="n">
        <v>0</v>
      </c>
      <c r="AL159" s="182" t="n">
        <v>0</v>
      </c>
      <c r="AM159" s="182" t="n">
        <v>0.07000000000000001</v>
      </c>
      <c r="AN159" s="182" t="n">
        <v>0</v>
      </c>
    </row>
    <row r="160">
      <c r="A160" s="155" t="n">
        <v>46082</v>
      </c>
      <c r="B160" s="156" t="inlineStr">
        <is>
          <t>NS</t>
        </is>
      </c>
      <c r="C160" s="156" t="inlineStr">
        <is>
          <t>EX-755</t>
        </is>
      </c>
      <c r="D160" s="156" t="inlineStr">
        <is>
          <t>SY750H-PRO</t>
        </is>
      </c>
      <c r="E160" s="156" t="inlineStr">
        <is>
          <t>Excavator</t>
        </is>
      </c>
      <c r="F160" s="156" t="inlineStr">
        <is>
          <t>Loading OB &amp; Coal</t>
        </is>
      </c>
      <c r="G160" s="182" t="n">
        <v>9.84</v>
      </c>
      <c r="H160" s="182" t="n">
        <v>0</v>
      </c>
      <c r="I160" s="182" t="n">
        <v>0</v>
      </c>
      <c r="J160" s="182" t="n">
        <v>0</v>
      </c>
      <c r="K160" s="182" t="n">
        <v>2.16</v>
      </c>
      <c r="L160" s="182" t="n">
        <v>12</v>
      </c>
      <c r="M160" s="182" t="n">
        <v>4.05</v>
      </c>
      <c r="N160" s="182" t="n">
        <v>5.62</v>
      </c>
      <c r="O160" s="183" t="n">
        <v>64</v>
      </c>
      <c r="P160" s="183" t="n">
        <v>70</v>
      </c>
      <c r="Q160" s="184" t="n">
        <v>1305.6</v>
      </c>
      <c r="R160" s="184" t="n">
        <v>1309</v>
      </c>
      <c r="S160" s="183" t="n">
        <v>0</v>
      </c>
      <c r="T160" s="183" t="n">
        <v>0</v>
      </c>
      <c r="U160" s="182" t="n">
        <v>0</v>
      </c>
      <c r="V160" s="182" t="n">
        <v>0</v>
      </c>
      <c r="W160" s="182" t="n">
        <v>0</v>
      </c>
      <c r="X160" s="182" t="n">
        <v>1.17</v>
      </c>
      <c r="Y160" s="182" t="n">
        <v>0</v>
      </c>
      <c r="Z160" s="182" t="n">
        <v>0</v>
      </c>
      <c r="AA160" s="182" t="n">
        <v>0</v>
      </c>
      <c r="AB160" s="182" t="n">
        <v>0</v>
      </c>
      <c r="AC160" s="182" t="n">
        <v>0</v>
      </c>
      <c r="AD160" s="182" t="n">
        <v>0</v>
      </c>
      <c r="AE160" s="182" t="n">
        <v>0</v>
      </c>
      <c r="AF160" s="182" t="n">
        <v>0</v>
      </c>
      <c r="AG160" s="182" t="n">
        <v>0</v>
      </c>
      <c r="AH160" s="182" t="n">
        <v>0.9</v>
      </c>
      <c r="AI160" s="182" t="n">
        <v>0</v>
      </c>
      <c r="AJ160" s="182" t="n">
        <v>0</v>
      </c>
      <c r="AK160" s="182" t="n">
        <v>0</v>
      </c>
      <c r="AL160" s="182" t="n">
        <v>0</v>
      </c>
      <c r="AM160" s="182" t="n">
        <v>0.09</v>
      </c>
      <c r="AN160" s="182" t="n">
        <v>0</v>
      </c>
    </row>
    <row r="161">
      <c r="A161" s="155" t="n">
        <v>46082</v>
      </c>
      <c r="B161" s="156" t="inlineStr">
        <is>
          <t>NS</t>
        </is>
      </c>
      <c r="C161" s="156" t="inlineStr">
        <is>
          <t>EX-752</t>
        </is>
      </c>
      <c r="D161" s="156" t="inlineStr">
        <is>
          <t>SY750H-PRO</t>
        </is>
      </c>
      <c r="E161" s="156" t="inlineStr">
        <is>
          <t>Excavator</t>
        </is>
      </c>
      <c r="F161" s="156" t="inlineStr"/>
      <c r="G161" s="182" t="n">
        <v>0</v>
      </c>
      <c r="H161" s="182" t="n">
        <v>0</v>
      </c>
      <c r="I161" s="182" t="n">
        <v>12</v>
      </c>
      <c r="J161" s="182" t="n">
        <v>12</v>
      </c>
      <c r="K161" s="182" t="n">
        <v>0</v>
      </c>
      <c r="L161" s="182" t="n">
        <v>12</v>
      </c>
      <c r="M161" s="182" t="n">
        <v>0</v>
      </c>
      <c r="N161" s="182" t="n">
        <v>0</v>
      </c>
      <c r="O161" s="183" t="n">
        <v>0</v>
      </c>
      <c r="P161" s="183" t="n">
        <v>0</v>
      </c>
      <c r="Q161" s="184" t="n">
        <v>0</v>
      </c>
      <c r="R161" s="184" t="n">
        <v>0</v>
      </c>
      <c r="S161" s="183" t="n">
        <v>0</v>
      </c>
      <c r="T161" s="183" t="n">
        <v>0</v>
      </c>
      <c r="U161" s="182" t="n">
        <v>0</v>
      </c>
      <c r="V161" s="182" t="n">
        <v>0</v>
      </c>
      <c r="W161" s="182" t="n">
        <v>0</v>
      </c>
      <c r="X161" s="182" t="n">
        <v>0</v>
      </c>
      <c r="Y161" s="182" t="n">
        <v>0</v>
      </c>
      <c r="Z161" s="182" t="n">
        <v>0</v>
      </c>
      <c r="AA161" s="182" t="n">
        <v>0</v>
      </c>
      <c r="AB161" s="182" t="n">
        <v>0</v>
      </c>
      <c r="AC161" s="182" t="n">
        <v>0</v>
      </c>
      <c r="AD161" s="182" t="n">
        <v>0</v>
      </c>
      <c r="AE161" s="182" t="n">
        <v>0</v>
      </c>
      <c r="AF161" s="182" t="n">
        <v>0</v>
      </c>
      <c r="AG161" s="182" t="n">
        <v>0</v>
      </c>
      <c r="AH161" s="182" t="n">
        <v>0</v>
      </c>
      <c r="AI161" s="182" t="n">
        <v>0</v>
      </c>
      <c r="AJ161" s="182" t="n">
        <v>0</v>
      </c>
      <c r="AK161" s="182" t="n">
        <v>0</v>
      </c>
      <c r="AL161" s="182" t="n">
        <v>0</v>
      </c>
      <c r="AM161" s="182" t="n">
        <v>0</v>
      </c>
      <c r="AN161" s="182" t="n">
        <v>0</v>
      </c>
    </row>
    <row r="162">
      <c r="A162" s="155" t="n">
        <v>46082</v>
      </c>
      <c r="B162" s="156" t="inlineStr">
        <is>
          <t>NS</t>
        </is>
      </c>
      <c r="C162" s="156" t="inlineStr">
        <is>
          <t>EX-751</t>
        </is>
      </c>
      <c r="D162" s="156" t="inlineStr">
        <is>
          <t>SY750H-PRO</t>
        </is>
      </c>
      <c r="E162" s="156" t="inlineStr">
        <is>
          <t>Excavator</t>
        </is>
      </c>
      <c r="F162" s="156" t="inlineStr"/>
      <c r="G162" s="182" t="n">
        <v>0</v>
      </c>
      <c r="H162" s="182" t="n">
        <v>0</v>
      </c>
      <c r="I162" s="182" t="n">
        <v>12</v>
      </c>
      <c r="J162" s="182" t="n">
        <v>12</v>
      </c>
      <c r="K162" s="182" t="n">
        <v>0</v>
      </c>
      <c r="L162" s="182" t="n">
        <v>12</v>
      </c>
      <c r="M162" s="182" t="n">
        <v>0</v>
      </c>
      <c r="N162" s="182" t="n">
        <v>0</v>
      </c>
      <c r="O162" s="183" t="n">
        <v>0</v>
      </c>
      <c r="P162" s="183" t="n">
        <v>0</v>
      </c>
      <c r="Q162" s="184" t="n">
        <v>0</v>
      </c>
      <c r="R162" s="184" t="n">
        <v>0</v>
      </c>
      <c r="S162" s="183" t="n">
        <v>0</v>
      </c>
      <c r="T162" s="183" t="n">
        <v>0</v>
      </c>
      <c r="U162" s="182" t="n">
        <v>0</v>
      </c>
      <c r="V162" s="182" t="n">
        <v>0</v>
      </c>
      <c r="W162" s="182" t="n">
        <v>0</v>
      </c>
      <c r="X162" s="182" t="n">
        <v>0</v>
      </c>
      <c r="Y162" s="182" t="n">
        <v>0</v>
      </c>
      <c r="Z162" s="182" t="n">
        <v>0</v>
      </c>
      <c r="AA162" s="182" t="n">
        <v>0</v>
      </c>
      <c r="AB162" s="182" t="n">
        <v>0</v>
      </c>
      <c r="AC162" s="182" t="n">
        <v>0</v>
      </c>
      <c r="AD162" s="182" t="n">
        <v>0</v>
      </c>
      <c r="AE162" s="182" t="n">
        <v>0</v>
      </c>
      <c r="AF162" s="182" t="n">
        <v>0</v>
      </c>
      <c r="AG162" s="182" t="n">
        <v>0</v>
      </c>
      <c r="AH162" s="182" t="n">
        <v>0</v>
      </c>
      <c r="AI162" s="182" t="n">
        <v>0</v>
      </c>
      <c r="AJ162" s="182" t="n">
        <v>0</v>
      </c>
      <c r="AK162" s="182" t="n">
        <v>0</v>
      </c>
      <c r="AL162" s="182" t="n">
        <v>0</v>
      </c>
      <c r="AM162" s="182" t="n">
        <v>0</v>
      </c>
      <c r="AN162" s="182" t="n">
        <v>0</v>
      </c>
    </row>
    <row r="163">
      <c r="A163" s="155" t="n">
        <v>46082</v>
      </c>
      <c r="B163" s="156" t="inlineStr">
        <is>
          <t>NS</t>
        </is>
      </c>
      <c r="C163" s="156" t="inlineStr">
        <is>
          <t>EX-753</t>
        </is>
      </c>
      <c r="D163" s="156" t="inlineStr">
        <is>
          <t>SY750H-PRO</t>
        </is>
      </c>
      <c r="E163" s="156" t="inlineStr">
        <is>
          <t>Excavator</t>
        </is>
      </c>
      <c r="F163" s="156" t="inlineStr">
        <is>
          <t>Loading OB</t>
        </is>
      </c>
      <c r="G163" s="182" t="n">
        <v>6.33</v>
      </c>
      <c r="H163" s="182" t="n">
        <v>0.25</v>
      </c>
      <c r="I163" s="182" t="n">
        <v>0</v>
      </c>
      <c r="J163" s="182" t="n">
        <v>0.25</v>
      </c>
      <c r="K163" s="182" t="n">
        <v>5.42</v>
      </c>
      <c r="L163" s="182" t="n">
        <v>12</v>
      </c>
      <c r="M163" s="182" t="n">
        <v>6.33</v>
      </c>
      <c r="N163" s="182" t="n">
        <v>0</v>
      </c>
      <c r="O163" s="183" t="n">
        <v>83</v>
      </c>
      <c r="P163" s="183" t="n">
        <v>0</v>
      </c>
      <c r="Q163" s="184" t="n">
        <v>1693.2</v>
      </c>
      <c r="R163" s="184" t="n">
        <v>0</v>
      </c>
      <c r="S163" s="183" t="n">
        <v>0</v>
      </c>
      <c r="T163" s="183" t="n">
        <v>0</v>
      </c>
      <c r="U163" s="182" t="n">
        <v>0</v>
      </c>
      <c r="V163" s="182" t="n">
        <v>0</v>
      </c>
      <c r="W163" s="182" t="n">
        <v>0</v>
      </c>
      <c r="X163" s="182" t="n">
        <v>0.97</v>
      </c>
      <c r="Y163" s="182" t="n">
        <v>0</v>
      </c>
      <c r="Z163" s="182" t="n">
        <v>0</v>
      </c>
      <c r="AA163" s="182" t="n">
        <v>0</v>
      </c>
      <c r="AB163" s="182" t="n">
        <v>0</v>
      </c>
      <c r="AC163" s="182" t="n">
        <v>0</v>
      </c>
      <c r="AD163" s="182" t="n">
        <v>0</v>
      </c>
      <c r="AE163" s="182" t="n">
        <v>0</v>
      </c>
      <c r="AF163" s="182" t="n">
        <v>0</v>
      </c>
      <c r="AG163" s="182" t="n">
        <v>0</v>
      </c>
      <c r="AH163" s="182" t="n">
        <v>0</v>
      </c>
      <c r="AI163" s="182" t="n">
        <v>0</v>
      </c>
      <c r="AJ163" s="182" t="n">
        <v>4.38</v>
      </c>
      <c r="AK163" s="182" t="n">
        <v>0</v>
      </c>
      <c r="AL163" s="182" t="n">
        <v>0</v>
      </c>
      <c r="AM163" s="182" t="n">
        <v>0.08</v>
      </c>
      <c r="AN163" s="182" t="n">
        <v>0</v>
      </c>
    </row>
    <row r="164">
      <c r="A164" s="155" t="n">
        <v>46082</v>
      </c>
      <c r="B164" s="156" t="inlineStr">
        <is>
          <t>NS</t>
        </is>
      </c>
      <c r="C164" s="156" t="inlineStr">
        <is>
          <t>GD-012</t>
        </is>
      </c>
      <c r="D164" s="156" t="inlineStr">
        <is>
          <t>STG 230C - 8S</t>
        </is>
      </c>
      <c r="E164" s="156" t="inlineStr">
        <is>
          <t>Grader</t>
        </is>
      </c>
      <c r="F164" s="156" t="inlineStr"/>
      <c r="G164" s="182" t="n">
        <v>0</v>
      </c>
      <c r="H164" s="182" t="n">
        <v>0</v>
      </c>
      <c r="I164" s="182" t="n">
        <v>0</v>
      </c>
      <c r="J164" s="182" t="n">
        <v>0</v>
      </c>
      <c r="K164" s="182" t="n">
        <v>12</v>
      </c>
      <c r="L164" s="182" t="n">
        <v>12</v>
      </c>
      <c r="M164" s="182" t="n">
        <v>0</v>
      </c>
      <c r="N164" s="182" t="n">
        <v>0</v>
      </c>
      <c r="O164" s="183" t="n">
        <v>0</v>
      </c>
      <c r="P164" s="183" t="n">
        <v>0</v>
      </c>
      <c r="Q164" s="184" t="n">
        <v>0</v>
      </c>
      <c r="R164" s="184" t="n">
        <v>0</v>
      </c>
      <c r="S164" s="183" t="n">
        <v>0</v>
      </c>
      <c r="T164" s="183" t="n">
        <v>0</v>
      </c>
      <c r="U164" s="182" t="n">
        <v>0</v>
      </c>
      <c r="V164" s="182" t="n">
        <v>0</v>
      </c>
      <c r="W164" s="182" t="n">
        <v>0</v>
      </c>
      <c r="X164" s="182" t="n">
        <v>1</v>
      </c>
      <c r="Y164" s="182" t="n">
        <v>0</v>
      </c>
      <c r="Z164" s="182" t="n">
        <v>0</v>
      </c>
      <c r="AA164" s="182" t="n">
        <v>0</v>
      </c>
      <c r="AB164" s="182" t="n">
        <v>0</v>
      </c>
      <c r="AC164" s="182" t="n">
        <v>0</v>
      </c>
      <c r="AD164" s="182" t="n">
        <v>0</v>
      </c>
      <c r="AE164" s="182" t="n">
        <v>0</v>
      </c>
      <c r="AF164" s="182" t="n">
        <v>0</v>
      </c>
      <c r="AG164" s="182" t="n">
        <v>0</v>
      </c>
      <c r="AH164" s="182" t="n">
        <v>0</v>
      </c>
      <c r="AI164" s="182" t="n">
        <v>0</v>
      </c>
      <c r="AJ164" s="182" t="n">
        <v>0</v>
      </c>
      <c r="AK164" s="182" t="n">
        <v>10.92</v>
      </c>
      <c r="AL164" s="182" t="n">
        <v>0</v>
      </c>
      <c r="AM164" s="182" t="n">
        <v>0.08</v>
      </c>
      <c r="AN164" s="182" t="n">
        <v>0</v>
      </c>
    </row>
    <row r="165">
      <c r="A165" s="155" t="n">
        <v>46082</v>
      </c>
      <c r="B165" s="156" t="inlineStr">
        <is>
          <t>NS</t>
        </is>
      </c>
      <c r="C165" s="156" t="inlineStr">
        <is>
          <t>GD-011</t>
        </is>
      </c>
      <c r="D165" s="156" t="inlineStr">
        <is>
          <t>STG 230C - 8S</t>
        </is>
      </c>
      <c r="E165" s="156" t="inlineStr">
        <is>
          <t>Grader</t>
        </is>
      </c>
      <c r="F165" s="156" t="inlineStr"/>
      <c r="G165" s="182" t="n">
        <v>0</v>
      </c>
      <c r="H165" s="182" t="n">
        <v>0</v>
      </c>
      <c r="I165" s="182" t="n">
        <v>12</v>
      </c>
      <c r="J165" s="182" t="n">
        <v>12</v>
      </c>
      <c r="K165" s="182" t="n">
        <v>0</v>
      </c>
      <c r="L165" s="182" t="n">
        <v>12</v>
      </c>
      <c r="M165" s="182" t="n">
        <v>0</v>
      </c>
      <c r="N165" s="182" t="n">
        <v>0</v>
      </c>
      <c r="O165" s="183" t="n">
        <v>0</v>
      </c>
      <c r="P165" s="183" t="n">
        <v>0</v>
      </c>
      <c r="Q165" s="184" t="n">
        <v>0</v>
      </c>
      <c r="R165" s="184" t="n">
        <v>0</v>
      </c>
      <c r="S165" s="183" t="n">
        <v>0</v>
      </c>
      <c r="T165" s="183" t="n">
        <v>0</v>
      </c>
      <c r="U165" s="182" t="n">
        <v>0</v>
      </c>
      <c r="V165" s="182" t="n">
        <v>0</v>
      </c>
      <c r="W165" s="182" t="n">
        <v>0</v>
      </c>
      <c r="X165" s="182" t="n">
        <v>0</v>
      </c>
      <c r="Y165" s="182" t="n">
        <v>0</v>
      </c>
      <c r="Z165" s="182" t="n">
        <v>0</v>
      </c>
      <c r="AA165" s="182" t="n">
        <v>0</v>
      </c>
      <c r="AB165" s="182" t="n">
        <v>0</v>
      </c>
      <c r="AC165" s="182" t="n">
        <v>0</v>
      </c>
      <c r="AD165" s="182" t="n">
        <v>0</v>
      </c>
      <c r="AE165" s="182" t="n">
        <v>0</v>
      </c>
      <c r="AF165" s="182" t="n">
        <v>0</v>
      </c>
      <c r="AG165" s="182" t="n">
        <v>0</v>
      </c>
      <c r="AH165" s="182" t="n">
        <v>0</v>
      </c>
      <c r="AI165" s="182" t="n">
        <v>0</v>
      </c>
      <c r="AJ165" s="182" t="n">
        <v>0</v>
      </c>
      <c r="AK165" s="182" t="n">
        <v>0</v>
      </c>
      <c r="AL165" s="182" t="n">
        <v>0</v>
      </c>
      <c r="AM165" s="182" t="n">
        <v>0</v>
      </c>
      <c r="AN165" s="182" t="n">
        <v>0</v>
      </c>
    </row>
    <row r="166">
      <c r="A166" s="155" t="n">
        <v>46082</v>
      </c>
      <c r="B166" s="156" t="inlineStr">
        <is>
          <t>NS</t>
        </is>
      </c>
      <c r="C166" s="156" t="inlineStr">
        <is>
          <t>GD-013</t>
        </is>
      </c>
      <c r="D166" s="156" t="inlineStr">
        <is>
          <t>STG 265C - 10</t>
        </is>
      </c>
      <c r="E166" s="156" t="inlineStr">
        <is>
          <t>Grader</t>
        </is>
      </c>
      <c r="F166" s="156" t="inlineStr">
        <is>
          <t>Road Maintenance</t>
        </is>
      </c>
      <c r="G166" s="182" t="n">
        <v>10.42</v>
      </c>
      <c r="H166" s="182" t="n">
        <v>0</v>
      </c>
      <c r="I166" s="182" t="n">
        <v>0</v>
      </c>
      <c r="J166" s="182" t="n">
        <v>0</v>
      </c>
      <c r="K166" s="182" t="n">
        <v>1.58</v>
      </c>
      <c r="L166" s="182" t="n">
        <v>12</v>
      </c>
      <c r="M166" s="182" t="n">
        <v>0</v>
      </c>
      <c r="N166" s="182" t="n">
        <v>0</v>
      </c>
      <c r="O166" s="183" t="n">
        <v>0</v>
      </c>
      <c r="P166" s="183" t="n">
        <v>0</v>
      </c>
      <c r="Q166" s="184" t="n">
        <v>0</v>
      </c>
      <c r="R166" s="184" t="n">
        <v>0</v>
      </c>
      <c r="S166" s="183" t="n">
        <v>0</v>
      </c>
      <c r="T166" s="183" t="n">
        <v>0</v>
      </c>
      <c r="U166" s="182" t="n">
        <v>0</v>
      </c>
      <c r="V166" s="182" t="n">
        <v>0</v>
      </c>
      <c r="W166" s="182" t="n">
        <v>0</v>
      </c>
      <c r="X166" s="182" t="n">
        <v>0.99</v>
      </c>
      <c r="Y166" s="182" t="n">
        <v>0</v>
      </c>
      <c r="Z166" s="182" t="n">
        <v>0</v>
      </c>
      <c r="AA166" s="182" t="n">
        <v>0</v>
      </c>
      <c r="AB166" s="182" t="n">
        <v>0</v>
      </c>
      <c r="AC166" s="182" t="n">
        <v>0</v>
      </c>
      <c r="AD166" s="182" t="n">
        <v>0</v>
      </c>
      <c r="AE166" s="182" t="n">
        <v>0</v>
      </c>
      <c r="AF166" s="182" t="n">
        <v>0</v>
      </c>
      <c r="AG166" s="182" t="n">
        <v>0</v>
      </c>
      <c r="AH166" s="182" t="n">
        <v>0.51</v>
      </c>
      <c r="AI166" s="182" t="n">
        <v>0</v>
      </c>
      <c r="AJ166" s="182" t="n">
        <v>0</v>
      </c>
      <c r="AK166" s="182" t="n">
        <v>0</v>
      </c>
      <c r="AL166" s="182" t="n">
        <v>0</v>
      </c>
      <c r="AM166" s="182" t="n">
        <v>0.08</v>
      </c>
      <c r="AN166" s="182" t="n">
        <v>0</v>
      </c>
    </row>
    <row r="167">
      <c r="A167" s="155" t="n">
        <v>46082</v>
      </c>
      <c r="B167" s="156" t="inlineStr">
        <is>
          <t>NS</t>
        </is>
      </c>
      <c r="C167" s="156" t="inlineStr">
        <is>
          <t>GD-014</t>
        </is>
      </c>
      <c r="D167" s="156" t="inlineStr">
        <is>
          <t>STG 335C - 10</t>
        </is>
      </c>
      <c r="E167" s="156" t="inlineStr">
        <is>
          <t>Grader</t>
        </is>
      </c>
      <c r="F167" s="156" t="inlineStr">
        <is>
          <t>Road Maintenance</t>
        </is>
      </c>
      <c r="G167" s="182" t="n">
        <v>10.75</v>
      </c>
      <c r="H167" s="182" t="n">
        <v>0</v>
      </c>
      <c r="I167" s="182" t="n">
        <v>0</v>
      </c>
      <c r="J167" s="182" t="n">
        <v>0</v>
      </c>
      <c r="K167" s="182" t="n">
        <v>1.25</v>
      </c>
      <c r="L167" s="182" t="n">
        <v>12</v>
      </c>
      <c r="M167" s="182" t="n">
        <v>0</v>
      </c>
      <c r="N167" s="182" t="n">
        <v>0</v>
      </c>
      <c r="O167" s="183" t="n">
        <v>0</v>
      </c>
      <c r="P167" s="183" t="n">
        <v>0</v>
      </c>
      <c r="Q167" s="184" t="n">
        <v>0</v>
      </c>
      <c r="R167" s="184" t="n">
        <v>0</v>
      </c>
      <c r="S167" s="183" t="n">
        <v>0</v>
      </c>
      <c r="T167" s="183" t="n">
        <v>0</v>
      </c>
      <c r="U167" s="182" t="n">
        <v>0</v>
      </c>
      <c r="V167" s="182" t="n">
        <v>0</v>
      </c>
      <c r="W167" s="182" t="n">
        <v>0</v>
      </c>
      <c r="X167" s="182" t="n">
        <v>0.78</v>
      </c>
      <c r="Y167" s="182" t="n">
        <v>0</v>
      </c>
      <c r="Z167" s="182" t="n">
        <v>0</v>
      </c>
      <c r="AA167" s="182" t="n">
        <v>0</v>
      </c>
      <c r="AB167" s="182" t="n">
        <v>0</v>
      </c>
      <c r="AC167" s="182" t="n">
        <v>0</v>
      </c>
      <c r="AD167" s="182" t="n">
        <v>0</v>
      </c>
      <c r="AE167" s="182" t="n">
        <v>0</v>
      </c>
      <c r="AF167" s="182" t="n">
        <v>0</v>
      </c>
      <c r="AG167" s="182" t="n">
        <v>0</v>
      </c>
      <c r="AH167" s="182" t="n">
        <v>0.41</v>
      </c>
      <c r="AI167" s="182" t="n">
        <v>0</v>
      </c>
      <c r="AJ167" s="182" t="n">
        <v>0</v>
      </c>
      <c r="AK167" s="182" t="n">
        <v>0</v>
      </c>
      <c r="AL167" s="182" t="n">
        <v>0</v>
      </c>
      <c r="AM167" s="182" t="n">
        <v>0.06</v>
      </c>
      <c r="AN167" s="182" t="n">
        <v>0</v>
      </c>
    </row>
    <row r="168">
      <c r="A168" s="155" t="n">
        <v>46082</v>
      </c>
      <c r="B168" s="156" t="inlineStr">
        <is>
          <t>NS</t>
        </is>
      </c>
      <c r="C168" s="156" t="inlineStr">
        <is>
          <t>DT-809</t>
        </is>
      </c>
      <c r="D168" s="156" t="inlineStr">
        <is>
          <t>SKT 80S</t>
        </is>
      </c>
      <c r="E168" s="156" t="inlineStr">
        <is>
          <t>Hauler</t>
        </is>
      </c>
      <c r="F168" s="156" t="inlineStr"/>
      <c r="G168" s="182" t="n">
        <v>0</v>
      </c>
      <c r="H168" s="182" t="n">
        <v>0</v>
      </c>
      <c r="I168" s="182" t="n">
        <v>12</v>
      </c>
      <c r="J168" s="182" t="n">
        <v>12</v>
      </c>
      <c r="K168" s="182" t="n">
        <v>0</v>
      </c>
      <c r="L168" s="182" t="n">
        <v>12</v>
      </c>
      <c r="M168" s="182" t="n">
        <v>0</v>
      </c>
      <c r="N168" s="182" t="n">
        <v>0</v>
      </c>
      <c r="O168" s="183" t="n">
        <v>0</v>
      </c>
      <c r="P168" s="183" t="n">
        <v>0</v>
      </c>
      <c r="Q168" s="184" t="n">
        <v>0</v>
      </c>
      <c r="R168" s="184" t="n">
        <v>0</v>
      </c>
      <c r="S168" s="183" t="n">
        <v>0</v>
      </c>
      <c r="T168" s="183" t="n">
        <v>0</v>
      </c>
      <c r="U168" s="182" t="n">
        <v>0</v>
      </c>
      <c r="V168" s="182" t="n">
        <v>0</v>
      </c>
      <c r="W168" s="182" t="n">
        <v>0</v>
      </c>
      <c r="X168" s="182" t="n">
        <v>0</v>
      </c>
      <c r="Y168" s="182" t="n">
        <v>0</v>
      </c>
      <c r="Z168" s="182" t="n">
        <v>0</v>
      </c>
      <c r="AA168" s="182" t="n">
        <v>0</v>
      </c>
      <c r="AB168" s="182" t="n">
        <v>0</v>
      </c>
      <c r="AC168" s="182" t="n">
        <v>0</v>
      </c>
      <c r="AD168" s="182" t="n">
        <v>0</v>
      </c>
      <c r="AE168" s="182" t="n">
        <v>0</v>
      </c>
      <c r="AF168" s="182" t="n">
        <v>0</v>
      </c>
      <c r="AG168" s="182" t="n">
        <v>0</v>
      </c>
      <c r="AH168" s="182" t="n">
        <v>0</v>
      </c>
      <c r="AI168" s="182" t="n">
        <v>0</v>
      </c>
      <c r="AJ168" s="182" t="n">
        <v>0</v>
      </c>
      <c r="AK168" s="182" t="n">
        <v>0</v>
      </c>
      <c r="AL168" s="182" t="n">
        <v>0</v>
      </c>
      <c r="AM168" s="182" t="n">
        <v>0</v>
      </c>
      <c r="AN168" s="182" t="n">
        <v>0</v>
      </c>
    </row>
    <row r="169">
      <c r="A169" s="155" t="n">
        <v>46082</v>
      </c>
      <c r="B169" s="156" t="inlineStr">
        <is>
          <t>NS</t>
        </is>
      </c>
      <c r="C169" s="156" t="inlineStr">
        <is>
          <t>DT-806</t>
        </is>
      </c>
      <c r="D169" s="156" t="inlineStr">
        <is>
          <t>SKT 80S</t>
        </is>
      </c>
      <c r="E169" s="156" t="inlineStr">
        <is>
          <t>Hauler</t>
        </is>
      </c>
      <c r="F169" s="156" t="inlineStr"/>
      <c r="G169" s="182" t="n">
        <v>0</v>
      </c>
      <c r="H169" s="182" t="n">
        <v>0</v>
      </c>
      <c r="I169" s="182" t="n">
        <v>12</v>
      </c>
      <c r="J169" s="182" t="n">
        <v>12</v>
      </c>
      <c r="K169" s="182" t="n">
        <v>0</v>
      </c>
      <c r="L169" s="182" t="n">
        <v>12</v>
      </c>
      <c r="M169" s="182" t="n">
        <v>0</v>
      </c>
      <c r="N169" s="182" t="n">
        <v>0</v>
      </c>
      <c r="O169" s="183" t="n">
        <v>0</v>
      </c>
      <c r="P169" s="183" t="n">
        <v>0</v>
      </c>
      <c r="Q169" s="184" t="n">
        <v>0</v>
      </c>
      <c r="R169" s="184" t="n">
        <v>0</v>
      </c>
      <c r="S169" s="183" t="n">
        <v>0</v>
      </c>
      <c r="T169" s="183" t="n">
        <v>0</v>
      </c>
      <c r="U169" s="182" t="n">
        <v>0</v>
      </c>
      <c r="V169" s="182" t="n">
        <v>0</v>
      </c>
      <c r="W169" s="182" t="n">
        <v>0</v>
      </c>
      <c r="X169" s="182" t="n">
        <v>0</v>
      </c>
      <c r="Y169" s="182" t="n">
        <v>0</v>
      </c>
      <c r="Z169" s="182" t="n">
        <v>0</v>
      </c>
      <c r="AA169" s="182" t="n">
        <v>0</v>
      </c>
      <c r="AB169" s="182" t="n">
        <v>0</v>
      </c>
      <c r="AC169" s="182" t="n">
        <v>0</v>
      </c>
      <c r="AD169" s="182" t="n">
        <v>0</v>
      </c>
      <c r="AE169" s="182" t="n">
        <v>0</v>
      </c>
      <c r="AF169" s="182" t="n">
        <v>0</v>
      </c>
      <c r="AG169" s="182" t="n">
        <v>0</v>
      </c>
      <c r="AH169" s="182" t="n">
        <v>0</v>
      </c>
      <c r="AI169" s="182" t="n">
        <v>0</v>
      </c>
      <c r="AJ169" s="182" t="n">
        <v>0</v>
      </c>
      <c r="AK169" s="182" t="n">
        <v>0</v>
      </c>
      <c r="AL169" s="182" t="n">
        <v>0</v>
      </c>
      <c r="AM169" s="182" t="n">
        <v>0</v>
      </c>
      <c r="AN169" s="182" t="n">
        <v>0</v>
      </c>
    </row>
    <row r="170">
      <c r="A170" s="155" t="n">
        <v>46082</v>
      </c>
      <c r="B170" s="156" t="inlineStr">
        <is>
          <t>NS</t>
        </is>
      </c>
      <c r="C170" s="156" t="inlineStr">
        <is>
          <t>DT-805</t>
        </is>
      </c>
      <c r="D170" s="156" t="inlineStr">
        <is>
          <t>SKT 80S</t>
        </is>
      </c>
      <c r="E170" s="156" t="inlineStr">
        <is>
          <t>Hauler</t>
        </is>
      </c>
      <c r="F170" s="156" t="inlineStr"/>
      <c r="G170" s="182" t="n">
        <v>0</v>
      </c>
      <c r="H170" s="182" t="n">
        <v>0</v>
      </c>
      <c r="I170" s="182" t="n">
        <v>12</v>
      </c>
      <c r="J170" s="182" t="n">
        <v>12</v>
      </c>
      <c r="K170" s="182" t="n">
        <v>0</v>
      </c>
      <c r="L170" s="182" t="n">
        <v>12</v>
      </c>
      <c r="M170" s="182" t="n">
        <v>0</v>
      </c>
      <c r="N170" s="182" t="n">
        <v>0</v>
      </c>
      <c r="O170" s="183" t="n">
        <v>0</v>
      </c>
      <c r="P170" s="183" t="n">
        <v>0</v>
      </c>
      <c r="Q170" s="184" t="n">
        <v>0</v>
      </c>
      <c r="R170" s="184" t="n">
        <v>0</v>
      </c>
      <c r="S170" s="183" t="n">
        <v>0</v>
      </c>
      <c r="T170" s="183" t="n">
        <v>0</v>
      </c>
      <c r="U170" s="182" t="n">
        <v>0</v>
      </c>
      <c r="V170" s="182" t="n">
        <v>0</v>
      </c>
      <c r="W170" s="182" t="n">
        <v>0</v>
      </c>
      <c r="X170" s="182" t="n">
        <v>0</v>
      </c>
      <c r="Y170" s="182" t="n">
        <v>0</v>
      </c>
      <c r="Z170" s="182" t="n">
        <v>0</v>
      </c>
      <c r="AA170" s="182" t="n">
        <v>0</v>
      </c>
      <c r="AB170" s="182" t="n">
        <v>0</v>
      </c>
      <c r="AC170" s="182" t="n">
        <v>0</v>
      </c>
      <c r="AD170" s="182" t="n">
        <v>0</v>
      </c>
      <c r="AE170" s="182" t="n">
        <v>0</v>
      </c>
      <c r="AF170" s="182" t="n">
        <v>0</v>
      </c>
      <c r="AG170" s="182" t="n">
        <v>0</v>
      </c>
      <c r="AH170" s="182" t="n">
        <v>0</v>
      </c>
      <c r="AI170" s="182" t="n">
        <v>0</v>
      </c>
      <c r="AJ170" s="182" t="n">
        <v>0</v>
      </c>
      <c r="AK170" s="182" t="n">
        <v>0</v>
      </c>
      <c r="AL170" s="182" t="n">
        <v>0</v>
      </c>
      <c r="AM170" s="182" t="n">
        <v>0</v>
      </c>
      <c r="AN170" s="182" t="n">
        <v>0</v>
      </c>
    </row>
    <row r="171">
      <c r="A171" s="155" t="n">
        <v>46082</v>
      </c>
      <c r="B171" s="156" t="inlineStr">
        <is>
          <t>NS</t>
        </is>
      </c>
      <c r="C171" s="156" t="inlineStr">
        <is>
          <t>DT-801</t>
        </is>
      </c>
      <c r="D171" s="156" t="inlineStr">
        <is>
          <t>SKT 80S</t>
        </is>
      </c>
      <c r="E171" s="156" t="inlineStr">
        <is>
          <t>Hauler</t>
        </is>
      </c>
      <c r="F171" s="156" t="inlineStr"/>
      <c r="G171" s="182" t="n">
        <v>0</v>
      </c>
      <c r="H171" s="182" t="n">
        <v>0</v>
      </c>
      <c r="I171" s="182" t="n">
        <v>12</v>
      </c>
      <c r="J171" s="182" t="n">
        <v>12</v>
      </c>
      <c r="K171" s="182" t="n">
        <v>0</v>
      </c>
      <c r="L171" s="182" t="n">
        <v>12</v>
      </c>
      <c r="M171" s="182" t="n">
        <v>0</v>
      </c>
      <c r="N171" s="182" t="n">
        <v>0</v>
      </c>
      <c r="O171" s="183" t="n">
        <v>0</v>
      </c>
      <c r="P171" s="183" t="n">
        <v>0</v>
      </c>
      <c r="Q171" s="184" t="n">
        <v>0</v>
      </c>
      <c r="R171" s="184" t="n">
        <v>0</v>
      </c>
      <c r="S171" s="183" t="n">
        <v>0</v>
      </c>
      <c r="T171" s="183" t="n">
        <v>0</v>
      </c>
      <c r="U171" s="182" t="n">
        <v>0</v>
      </c>
      <c r="V171" s="182" t="n">
        <v>0</v>
      </c>
      <c r="W171" s="182" t="n">
        <v>0</v>
      </c>
      <c r="X171" s="182" t="n">
        <v>0</v>
      </c>
      <c r="Y171" s="182" t="n">
        <v>0</v>
      </c>
      <c r="Z171" s="182" t="n">
        <v>0</v>
      </c>
      <c r="AA171" s="182" t="n">
        <v>0</v>
      </c>
      <c r="AB171" s="182" t="n">
        <v>0</v>
      </c>
      <c r="AC171" s="182" t="n">
        <v>0</v>
      </c>
      <c r="AD171" s="182" t="n">
        <v>0</v>
      </c>
      <c r="AE171" s="182" t="n">
        <v>0</v>
      </c>
      <c r="AF171" s="182" t="n">
        <v>0</v>
      </c>
      <c r="AG171" s="182" t="n">
        <v>0</v>
      </c>
      <c r="AH171" s="182" t="n">
        <v>0</v>
      </c>
      <c r="AI171" s="182" t="n">
        <v>0</v>
      </c>
      <c r="AJ171" s="182" t="n">
        <v>0</v>
      </c>
      <c r="AK171" s="182" t="n">
        <v>0</v>
      </c>
      <c r="AL171" s="182" t="n">
        <v>0</v>
      </c>
      <c r="AM171" s="182" t="n">
        <v>0</v>
      </c>
      <c r="AN171" s="182" t="n">
        <v>0</v>
      </c>
    </row>
    <row r="172">
      <c r="A172" s="155" t="n">
        <v>46082</v>
      </c>
      <c r="B172" s="156" t="inlineStr">
        <is>
          <t>NS</t>
        </is>
      </c>
      <c r="C172" s="156" t="inlineStr">
        <is>
          <t>DT-808</t>
        </is>
      </c>
      <c r="D172" s="156" t="inlineStr">
        <is>
          <t>SKT 80S</t>
        </is>
      </c>
      <c r="E172" s="156" t="inlineStr">
        <is>
          <t>Hauler</t>
        </is>
      </c>
      <c r="F172" s="156" t="inlineStr">
        <is>
          <t>Support Washing Plant</t>
        </is>
      </c>
      <c r="G172" s="182" t="n">
        <v>7.21</v>
      </c>
      <c r="H172" s="182" t="n">
        <v>0</v>
      </c>
      <c r="I172" s="182" t="n">
        <v>0.08</v>
      </c>
      <c r="J172" s="182" t="n">
        <v>0.08</v>
      </c>
      <c r="K172" s="182" t="n">
        <v>4.71</v>
      </c>
      <c r="L172" s="182" t="n">
        <v>12</v>
      </c>
      <c r="M172" s="182" t="n">
        <v>0</v>
      </c>
      <c r="N172" s="182" t="n">
        <v>0</v>
      </c>
      <c r="O172" s="183" t="n">
        <v>0</v>
      </c>
      <c r="P172" s="183" t="n">
        <v>0</v>
      </c>
      <c r="Q172" s="184" t="n">
        <v>0</v>
      </c>
      <c r="R172" s="184" t="n">
        <v>0</v>
      </c>
      <c r="S172" s="183" t="n">
        <v>0</v>
      </c>
      <c r="T172" s="183" t="n">
        <v>0</v>
      </c>
      <c r="U172" s="182" t="n">
        <v>0</v>
      </c>
      <c r="V172" s="182" t="n">
        <v>0</v>
      </c>
      <c r="W172" s="182" t="n">
        <v>0</v>
      </c>
      <c r="X172" s="182" t="n">
        <v>1.04</v>
      </c>
      <c r="Y172" s="182" t="n">
        <v>0</v>
      </c>
      <c r="Z172" s="182" t="n">
        <v>0</v>
      </c>
      <c r="AA172" s="182" t="n">
        <v>0</v>
      </c>
      <c r="AB172" s="182" t="n">
        <v>0</v>
      </c>
      <c r="AC172" s="182" t="n">
        <v>0</v>
      </c>
      <c r="AD172" s="182" t="n">
        <v>0</v>
      </c>
      <c r="AE172" s="182" t="n">
        <v>0</v>
      </c>
      <c r="AF172" s="182" t="n">
        <v>0</v>
      </c>
      <c r="AG172" s="182" t="n">
        <v>0</v>
      </c>
      <c r="AH172" s="182" t="n">
        <v>0</v>
      </c>
      <c r="AI172" s="182" t="n">
        <v>0</v>
      </c>
      <c r="AJ172" s="182" t="n">
        <v>0</v>
      </c>
      <c r="AK172" s="182" t="n">
        <v>3.57</v>
      </c>
      <c r="AL172" s="182" t="n">
        <v>0</v>
      </c>
      <c r="AM172" s="182" t="n">
        <v>0.08</v>
      </c>
      <c r="AN172" s="182" t="n">
        <v>0</v>
      </c>
    </row>
    <row r="173">
      <c r="A173" s="155" t="n">
        <v>46082</v>
      </c>
      <c r="B173" s="156" t="inlineStr">
        <is>
          <t>NS</t>
        </is>
      </c>
      <c r="C173" s="156" t="inlineStr">
        <is>
          <t>DT-811</t>
        </is>
      </c>
      <c r="D173" s="156" t="inlineStr">
        <is>
          <t>SKT 80S</t>
        </is>
      </c>
      <c r="E173" s="156" t="inlineStr">
        <is>
          <t>Hauler</t>
        </is>
      </c>
      <c r="F173" s="156" t="inlineStr"/>
      <c r="G173" s="182" t="n">
        <v>0</v>
      </c>
      <c r="H173" s="182" t="n">
        <v>0</v>
      </c>
      <c r="I173" s="182" t="n">
        <v>2</v>
      </c>
      <c r="J173" s="182" t="n">
        <v>2</v>
      </c>
      <c r="K173" s="182" t="n">
        <v>10</v>
      </c>
      <c r="L173" s="182" t="n">
        <v>12</v>
      </c>
      <c r="M173" s="182" t="n">
        <v>0</v>
      </c>
      <c r="N173" s="182" t="n">
        <v>0</v>
      </c>
      <c r="O173" s="183" t="n">
        <v>0</v>
      </c>
      <c r="P173" s="183" t="n">
        <v>0</v>
      </c>
      <c r="Q173" s="184" t="n">
        <v>0</v>
      </c>
      <c r="R173" s="184" t="n">
        <v>0</v>
      </c>
      <c r="S173" s="183" t="n">
        <v>0</v>
      </c>
      <c r="T173" s="183" t="n">
        <v>0</v>
      </c>
      <c r="U173" s="182" t="n">
        <v>0</v>
      </c>
      <c r="V173" s="182" t="n">
        <v>0</v>
      </c>
      <c r="W173" s="182" t="n">
        <v>0</v>
      </c>
      <c r="X173" s="182" t="n">
        <v>1</v>
      </c>
      <c r="Y173" s="182" t="n">
        <v>0</v>
      </c>
      <c r="Z173" s="182" t="n">
        <v>0</v>
      </c>
      <c r="AA173" s="182" t="n">
        <v>0</v>
      </c>
      <c r="AB173" s="182" t="n">
        <v>0</v>
      </c>
      <c r="AC173" s="182" t="n">
        <v>0</v>
      </c>
      <c r="AD173" s="182" t="n">
        <v>0</v>
      </c>
      <c r="AE173" s="182" t="n">
        <v>0</v>
      </c>
      <c r="AF173" s="182" t="n">
        <v>0</v>
      </c>
      <c r="AG173" s="182" t="n">
        <v>0</v>
      </c>
      <c r="AH173" s="182" t="n">
        <v>0</v>
      </c>
      <c r="AI173" s="182" t="n">
        <v>0</v>
      </c>
      <c r="AJ173" s="182" t="n">
        <v>0</v>
      </c>
      <c r="AK173" s="182" t="n">
        <v>8.92</v>
      </c>
      <c r="AL173" s="182" t="n">
        <v>0</v>
      </c>
      <c r="AM173" s="182" t="n">
        <v>0.08</v>
      </c>
      <c r="AN173" s="182" t="n">
        <v>0</v>
      </c>
    </row>
    <row r="174">
      <c r="A174" s="155" t="n">
        <v>46082</v>
      </c>
      <c r="B174" s="156" t="inlineStr">
        <is>
          <t>NS</t>
        </is>
      </c>
      <c r="C174" s="156" t="inlineStr">
        <is>
          <t>DT-802</t>
        </is>
      </c>
      <c r="D174" s="156" t="inlineStr">
        <is>
          <t>SKT 80S</t>
        </is>
      </c>
      <c r="E174" s="156" t="inlineStr">
        <is>
          <t>Hauler</t>
        </is>
      </c>
      <c r="F174" s="156" t="inlineStr"/>
      <c r="G174" s="182" t="n">
        <v>0</v>
      </c>
      <c r="H174" s="182" t="n">
        <v>0</v>
      </c>
      <c r="I174" s="182" t="n">
        <v>0</v>
      </c>
      <c r="J174" s="182" t="n">
        <v>0</v>
      </c>
      <c r="K174" s="182" t="n">
        <v>12</v>
      </c>
      <c r="L174" s="182" t="n">
        <v>12</v>
      </c>
      <c r="M174" s="182" t="n">
        <v>0</v>
      </c>
      <c r="N174" s="182" t="n">
        <v>0</v>
      </c>
      <c r="O174" s="183" t="n">
        <v>0</v>
      </c>
      <c r="P174" s="183" t="n">
        <v>0</v>
      </c>
      <c r="Q174" s="184" t="n">
        <v>0</v>
      </c>
      <c r="R174" s="184" t="n">
        <v>0</v>
      </c>
      <c r="S174" s="183" t="n">
        <v>0</v>
      </c>
      <c r="T174" s="183" t="n">
        <v>0</v>
      </c>
      <c r="U174" s="182" t="n">
        <v>0</v>
      </c>
      <c r="V174" s="182" t="n">
        <v>0</v>
      </c>
      <c r="W174" s="182" t="n">
        <v>0</v>
      </c>
      <c r="X174" s="182" t="n">
        <v>1</v>
      </c>
      <c r="Y174" s="182" t="n">
        <v>0</v>
      </c>
      <c r="Z174" s="182" t="n">
        <v>0</v>
      </c>
      <c r="AA174" s="182" t="n">
        <v>0</v>
      </c>
      <c r="AB174" s="182" t="n">
        <v>0</v>
      </c>
      <c r="AC174" s="182" t="n">
        <v>0</v>
      </c>
      <c r="AD174" s="182" t="n">
        <v>0</v>
      </c>
      <c r="AE174" s="182" t="n">
        <v>0</v>
      </c>
      <c r="AF174" s="182" t="n">
        <v>0</v>
      </c>
      <c r="AG174" s="182" t="n">
        <v>0</v>
      </c>
      <c r="AH174" s="182" t="n">
        <v>0</v>
      </c>
      <c r="AI174" s="182" t="n">
        <v>0</v>
      </c>
      <c r="AJ174" s="182" t="n">
        <v>0</v>
      </c>
      <c r="AK174" s="182" t="n">
        <v>10.92</v>
      </c>
      <c r="AL174" s="182" t="n">
        <v>0</v>
      </c>
      <c r="AM174" s="182" t="n">
        <v>0.08</v>
      </c>
      <c r="AN174" s="182" t="n">
        <v>0</v>
      </c>
    </row>
    <row r="175">
      <c r="A175" s="155" t="n">
        <v>46082</v>
      </c>
      <c r="B175" s="156" t="inlineStr">
        <is>
          <t>NS</t>
        </is>
      </c>
      <c r="C175" s="156" t="inlineStr">
        <is>
          <t>DT-807</t>
        </is>
      </c>
      <c r="D175" s="156" t="inlineStr">
        <is>
          <t>SKT 80S</t>
        </is>
      </c>
      <c r="E175" s="156" t="inlineStr">
        <is>
          <t>Hauler</t>
        </is>
      </c>
      <c r="F175" s="156" t="inlineStr"/>
      <c r="G175" s="182" t="n">
        <v>0</v>
      </c>
      <c r="H175" s="182" t="n">
        <v>0</v>
      </c>
      <c r="I175" s="182" t="n">
        <v>0</v>
      </c>
      <c r="J175" s="182" t="n">
        <v>0</v>
      </c>
      <c r="K175" s="182" t="n">
        <v>12</v>
      </c>
      <c r="L175" s="182" t="n">
        <v>12</v>
      </c>
      <c r="M175" s="182" t="n">
        <v>0</v>
      </c>
      <c r="N175" s="182" t="n">
        <v>0</v>
      </c>
      <c r="O175" s="183" t="n">
        <v>0</v>
      </c>
      <c r="P175" s="183" t="n">
        <v>0</v>
      </c>
      <c r="Q175" s="184" t="n">
        <v>0</v>
      </c>
      <c r="R175" s="184" t="n">
        <v>0</v>
      </c>
      <c r="S175" s="183" t="n">
        <v>0</v>
      </c>
      <c r="T175" s="183" t="n">
        <v>0</v>
      </c>
      <c r="U175" s="182" t="n">
        <v>0</v>
      </c>
      <c r="V175" s="182" t="n">
        <v>0</v>
      </c>
      <c r="W175" s="182" t="n">
        <v>0</v>
      </c>
      <c r="X175" s="182" t="n">
        <v>1</v>
      </c>
      <c r="Y175" s="182" t="n">
        <v>0</v>
      </c>
      <c r="Z175" s="182" t="n">
        <v>0</v>
      </c>
      <c r="AA175" s="182" t="n">
        <v>0</v>
      </c>
      <c r="AB175" s="182" t="n">
        <v>0</v>
      </c>
      <c r="AC175" s="182" t="n">
        <v>0</v>
      </c>
      <c r="AD175" s="182" t="n">
        <v>0</v>
      </c>
      <c r="AE175" s="182" t="n">
        <v>0</v>
      </c>
      <c r="AF175" s="182" t="n">
        <v>0</v>
      </c>
      <c r="AG175" s="182" t="n">
        <v>0</v>
      </c>
      <c r="AH175" s="182" t="n">
        <v>0</v>
      </c>
      <c r="AI175" s="182" t="n">
        <v>0</v>
      </c>
      <c r="AJ175" s="182" t="n">
        <v>0</v>
      </c>
      <c r="AK175" s="182" t="n">
        <v>10.92</v>
      </c>
      <c r="AL175" s="182" t="n">
        <v>0</v>
      </c>
      <c r="AM175" s="182" t="n">
        <v>0.08</v>
      </c>
      <c r="AN175" s="182" t="n">
        <v>0</v>
      </c>
    </row>
    <row r="176">
      <c r="A176" s="155" t="n">
        <v>46082</v>
      </c>
      <c r="B176" s="156" t="inlineStr">
        <is>
          <t>NS</t>
        </is>
      </c>
      <c r="C176" s="156" t="inlineStr">
        <is>
          <t>DT-812</t>
        </is>
      </c>
      <c r="D176" s="156" t="inlineStr">
        <is>
          <t>SKT 80S</t>
        </is>
      </c>
      <c r="E176" s="156" t="inlineStr">
        <is>
          <t>Hauler</t>
        </is>
      </c>
      <c r="F176" s="156" t="inlineStr">
        <is>
          <t>Support Washing Plant</t>
        </is>
      </c>
      <c r="G176" s="182" t="n">
        <v>8.24</v>
      </c>
      <c r="H176" s="182" t="n">
        <v>0</v>
      </c>
      <c r="I176" s="182" t="n">
        <v>0</v>
      </c>
      <c r="J176" s="182" t="n">
        <v>0</v>
      </c>
      <c r="K176" s="182" t="n">
        <v>3.76</v>
      </c>
      <c r="L176" s="182" t="n">
        <v>12</v>
      </c>
      <c r="M176" s="182" t="n">
        <v>0</v>
      </c>
      <c r="N176" s="182" t="n">
        <v>0</v>
      </c>
      <c r="O176" s="183" t="n">
        <v>0</v>
      </c>
      <c r="P176" s="183" t="n">
        <v>0</v>
      </c>
      <c r="Q176" s="184" t="n">
        <v>0</v>
      </c>
      <c r="R176" s="184" t="n">
        <v>0</v>
      </c>
      <c r="S176" s="183" t="n">
        <v>26</v>
      </c>
      <c r="T176" s="183" t="n">
        <v>0</v>
      </c>
      <c r="U176" s="182" t="n">
        <v>0</v>
      </c>
      <c r="V176" s="182" t="n">
        <v>0</v>
      </c>
      <c r="W176" s="182" t="n">
        <v>0</v>
      </c>
      <c r="X176" s="182" t="n">
        <v>1.11</v>
      </c>
      <c r="Y176" s="182" t="n">
        <v>0</v>
      </c>
      <c r="Z176" s="182" t="n">
        <v>0</v>
      </c>
      <c r="AA176" s="182" t="n">
        <v>0</v>
      </c>
      <c r="AB176" s="182" t="n">
        <v>0</v>
      </c>
      <c r="AC176" s="182" t="n">
        <v>0</v>
      </c>
      <c r="AD176" s="182" t="n">
        <v>0</v>
      </c>
      <c r="AE176" s="182" t="n">
        <v>0</v>
      </c>
      <c r="AF176" s="182" t="n">
        <v>0</v>
      </c>
      <c r="AG176" s="182" t="n">
        <v>0</v>
      </c>
      <c r="AH176" s="182" t="n">
        <v>0</v>
      </c>
      <c r="AI176" s="182" t="n">
        <v>0</v>
      </c>
      <c r="AJ176" s="182" t="n">
        <v>0</v>
      </c>
      <c r="AK176" s="182" t="n">
        <v>2.57</v>
      </c>
      <c r="AL176" s="182" t="n">
        <v>0</v>
      </c>
      <c r="AM176" s="182" t="n">
        <v>0.09</v>
      </c>
      <c r="AN176" s="182" t="n">
        <v>0</v>
      </c>
    </row>
    <row r="177">
      <c r="A177" s="155" t="n">
        <v>46082</v>
      </c>
      <c r="B177" s="156" t="inlineStr">
        <is>
          <t>NS</t>
        </is>
      </c>
      <c r="C177" s="156" t="inlineStr">
        <is>
          <t>DT-803</t>
        </is>
      </c>
      <c r="D177" s="156" t="inlineStr">
        <is>
          <t>SKT 80S</t>
        </is>
      </c>
      <c r="E177" s="156" t="inlineStr">
        <is>
          <t>Hauler</t>
        </is>
      </c>
      <c r="F177" s="156" t="inlineStr"/>
      <c r="G177" s="182" t="n">
        <v>0</v>
      </c>
      <c r="H177" s="182" t="n">
        <v>0</v>
      </c>
      <c r="I177" s="182" t="n">
        <v>0</v>
      </c>
      <c r="J177" s="182" t="n">
        <v>0</v>
      </c>
      <c r="K177" s="182" t="n">
        <v>12</v>
      </c>
      <c r="L177" s="182" t="n">
        <v>12</v>
      </c>
      <c r="M177" s="182" t="n">
        <v>0</v>
      </c>
      <c r="N177" s="182" t="n">
        <v>0</v>
      </c>
      <c r="O177" s="183" t="n">
        <v>0</v>
      </c>
      <c r="P177" s="183" t="n">
        <v>0</v>
      </c>
      <c r="Q177" s="184" t="n">
        <v>0</v>
      </c>
      <c r="R177" s="184" t="n">
        <v>0</v>
      </c>
      <c r="S177" s="183" t="n">
        <v>0</v>
      </c>
      <c r="T177" s="183" t="n">
        <v>0</v>
      </c>
      <c r="U177" s="182" t="n">
        <v>0</v>
      </c>
      <c r="V177" s="182" t="n">
        <v>0</v>
      </c>
      <c r="W177" s="182" t="n">
        <v>0</v>
      </c>
      <c r="X177" s="182" t="n">
        <v>1</v>
      </c>
      <c r="Y177" s="182" t="n">
        <v>0</v>
      </c>
      <c r="Z177" s="182" t="n">
        <v>0</v>
      </c>
      <c r="AA177" s="182" t="n">
        <v>0</v>
      </c>
      <c r="AB177" s="182" t="n">
        <v>0</v>
      </c>
      <c r="AC177" s="182" t="n">
        <v>0</v>
      </c>
      <c r="AD177" s="182" t="n">
        <v>0</v>
      </c>
      <c r="AE177" s="182" t="n">
        <v>0</v>
      </c>
      <c r="AF177" s="182" t="n">
        <v>0</v>
      </c>
      <c r="AG177" s="182" t="n">
        <v>0</v>
      </c>
      <c r="AH177" s="182" t="n">
        <v>0</v>
      </c>
      <c r="AI177" s="182" t="n">
        <v>0</v>
      </c>
      <c r="AJ177" s="182" t="n">
        <v>0</v>
      </c>
      <c r="AK177" s="182" t="n">
        <v>10.92</v>
      </c>
      <c r="AL177" s="182" t="n">
        <v>0</v>
      </c>
      <c r="AM177" s="182" t="n">
        <v>0.08</v>
      </c>
      <c r="AN177" s="182" t="n">
        <v>0</v>
      </c>
    </row>
    <row r="178">
      <c r="A178" s="155" t="n">
        <v>46082</v>
      </c>
      <c r="B178" s="156" t="inlineStr">
        <is>
          <t>NS</t>
        </is>
      </c>
      <c r="C178" s="156" t="inlineStr">
        <is>
          <t>DT-810</t>
        </is>
      </c>
      <c r="D178" s="156" t="inlineStr">
        <is>
          <t>SKT 80S</t>
        </is>
      </c>
      <c r="E178" s="156" t="inlineStr">
        <is>
          <t>Hauler</t>
        </is>
      </c>
      <c r="F178" s="156" t="inlineStr">
        <is>
          <t>Support Washing Plant</t>
        </is>
      </c>
      <c r="G178" s="182" t="n">
        <v>8.93</v>
      </c>
      <c r="H178" s="182" t="n">
        <v>0</v>
      </c>
      <c r="I178" s="182" t="n">
        <v>0</v>
      </c>
      <c r="J178" s="182" t="n">
        <v>0</v>
      </c>
      <c r="K178" s="182" t="n">
        <v>3.07</v>
      </c>
      <c r="L178" s="182" t="n">
        <v>12</v>
      </c>
      <c r="M178" s="182" t="n">
        <v>0</v>
      </c>
      <c r="N178" s="182" t="n">
        <v>0</v>
      </c>
      <c r="O178" s="183" t="n">
        <v>0</v>
      </c>
      <c r="P178" s="183" t="n">
        <v>0</v>
      </c>
      <c r="Q178" s="184" t="n">
        <v>0</v>
      </c>
      <c r="R178" s="184" t="n">
        <v>0</v>
      </c>
      <c r="S178" s="183" t="n">
        <v>24</v>
      </c>
      <c r="T178" s="183" t="n">
        <v>0</v>
      </c>
      <c r="U178" s="182" t="n">
        <v>0</v>
      </c>
      <c r="V178" s="182" t="n">
        <v>0</v>
      </c>
      <c r="W178" s="182" t="n">
        <v>0</v>
      </c>
      <c r="X178" s="182" t="n">
        <v>1.1</v>
      </c>
      <c r="Y178" s="182" t="n">
        <v>0</v>
      </c>
      <c r="Z178" s="182" t="n">
        <v>0</v>
      </c>
      <c r="AA178" s="182" t="n">
        <v>0</v>
      </c>
      <c r="AB178" s="182" t="n">
        <v>0</v>
      </c>
      <c r="AC178" s="182" t="n">
        <v>0</v>
      </c>
      <c r="AD178" s="182" t="n">
        <v>0</v>
      </c>
      <c r="AE178" s="182" t="n">
        <v>0</v>
      </c>
      <c r="AF178" s="182" t="n">
        <v>0</v>
      </c>
      <c r="AG178" s="182" t="n">
        <v>0</v>
      </c>
      <c r="AH178" s="182" t="n">
        <v>0</v>
      </c>
      <c r="AI178" s="182" t="n">
        <v>0</v>
      </c>
      <c r="AJ178" s="182" t="n">
        <v>0</v>
      </c>
      <c r="AK178" s="182" t="n">
        <v>1.89</v>
      </c>
      <c r="AL178" s="182" t="n">
        <v>0</v>
      </c>
      <c r="AM178" s="182" t="n">
        <v>0.09</v>
      </c>
      <c r="AN178" s="182" t="n">
        <v>0</v>
      </c>
    </row>
    <row r="179">
      <c r="A179" s="155" t="n">
        <v>46082</v>
      </c>
      <c r="B179" s="156" t="inlineStr">
        <is>
          <t>NS</t>
        </is>
      </c>
      <c r="C179" s="156" t="inlineStr">
        <is>
          <t>DT-804</t>
        </is>
      </c>
      <c r="D179" s="156" t="inlineStr">
        <is>
          <t>SKT 80S</t>
        </is>
      </c>
      <c r="E179" s="156" t="inlineStr">
        <is>
          <t>Hauler</t>
        </is>
      </c>
      <c r="F179" s="156" t="inlineStr">
        <is>
          <t>Support Washing Plant</t>
        </is>
      </c>
      <c r="G179" s="182" t="n">
        <v>6.92</v>
      </c>
      <c r="H179" s="182" t="n">
        <v>0</v>
      </c>
      <c r="I179" s="182" t="n">
        <v>0</v>
      </c>
      <c r="J179" s="182" t="n">
        <v>0</v>
      </c>
      <c r="K179" s="182" t="n">
        <v>5.08</v>
      </c>
      <c r="L179" s="182" t="n">
        <v>12</v>
      </c>
      <c r="M179" s="182" t="n">
        <v>0</v>
      </c>
      <c r="N179" s="182" t="n">
        <v>0</v>
      </c>
      <c r="O179" s="183" t="n">
        <v>0</v>
      </c>
      <c r="P179" s="183" t="n">
        <v>0</v>
      </c>
      <c r="Q179" s="184" t="n">
        <v>0</v>
      </c>
      <c r="R179" s="184" t="n">
        <v>0</v>
      </c>
      <c r="S179" s="183" t="n">
        <v>0</v>
      </c>
      <c r="T179" s="183" t="n">
        <v>0</v>
      </c>
      <c r="U179" s="182" t="n">
        <v>0</v>
      </c>
      <c r="V179" s="182" t="n">
        <v>0</v>
      </c>
      <c r="W179" s="182" t="n">
        <v>0</v>
      </c>
      <c r="X179" s="182" t="n">
        <v>0.9399999999999999</v>
      </c>
      <c r="Y179" s="182" t="n">
        <v>0</v>
      </c>
      <c r="Z179" s="182" t="n">
        <v>0</v>
      </c>
      <c r="AA179" s="182" t="n">
        <v>0</v>
      </c>
      <c r="AB179" s="182" t="n">
        <v>0</v>
      </c>
      <c r="AC179" s="182" t="n">
        <v>0</v>
      </c>
      <c r="AD179" s="182" t="n">
        <v>0</v>
      </c>
      <c r="AE179" s="182" t="n">
        <v>0</v>
      </c>
      <c r="AF179" s="182" t="n">
        <v>0</v>
      </c>
      <c r="AG179" s="182" t="n">
        <v>0</v>
      </c>
      <c r="AH179" s="182" t="n">
        <v>0</v>
      </c>
      <c r="AI179" s="182" t="n">
        <v>0</v>
      </c>
      <c r="AJ179" s="182" t="n">
        <v>0</v>
      </c>
      <c r="AK179" s="182" t="n">
        <v>4.06</v>
      </c>
      <c r="AL179" s="182" t="n">
        <v>0</v>
      </c>
      <c r="AM179" s="182" t="n">
        <v>0.08</v>
      </c>
      <c r="AN179" s="182" t="n">
        <v>0</v>
      </c>
    </row>
    <row r="180">
      <c r="A180" s="155" t="n">
        <v>46082</v>
      </c>
      <c r="B180" s="156" t="inlineStr">
        <is>
          <t>NS</t>
        </is>
      </c>
      <c r="C180" s="156" t="inlineStr">
        <is>
          <t>DT-505</t>
        </is>
      </c>
      <c r="D180" s="156" t="inlineStr">
        <is>
          <t>SKT 105S</t>
        </is>
      </c>
      <c r="E180" s="156" t="inlineStr">
        <is>
          <t>Hauler</t>
        </is>
      </c>
      <c r="F180" s="156" t="inlineStr"/>
      <c r="G180" s="182" t="n">
        <v>0</v>
      </c>
      <c r="H180" s="182" t="n">
        <v>12</v>
      </c>
      <c r="I180" s="182" t="n">
        <v>0</v>
      </c>
      <c r="J180" s="182" t="n">
        <v>12</v>
      </c>
      <c r="K180" s="182" t="n">
        <v>0</v>
      </c>
      <c r="L180" s="182" t="n">
        <v>12</v>
      </c>
      <c r="M180" s="182" t="n">
        <v>0</v>
      </c>
      <c r="N180" s="182" t="n">
        <v>0</v>
      </c>
      <c r="O180" s="183" t="n">
        <v>0</v>
      </c>
      <c r="P180" s="183" t="n">
        <v>0</v>
      </c>
      <c r="Q180" s="184" t="n">
        <v>0</v>
      </c>
      <c r="R180" s="184" t="n">
        <v>0</v>
      </c>
      <c r="S180" s="183" t="n">
        <v>0</v>
      </c>
      <c r="T180" s="183" t="n">
        <v>0</v>
      </c>
      <c r="U180" s="182" t="n">
        <v>0</v>
      </c>
      <c r="V180" s="182" t="n">
        <v>0</v>
      </c>
      <c r="W180" s="182" t="n">
        <v>0</v>
      </c>
      <c r="X180" s="182" t="n">
        <v>0</v>
      </c>
      <c r="Y180" s="182" t="n">
        <v>0</v>
      </c>
      <c r="Z180" s="182" t="n">
        <v>0</v>
      </c>
      <c r="AA180" s="182" t="n">
        <v>0</v>
      </c>
      <c r="AB180" s="182" t="n">
        <v>0</v>
      </c>
      <c r="AC180" s="182" t="n">
        <v>0</v>
      </c>
      <c r="AD180" s="182" t="n">
        <v>0</v>
      </c>
      <c r="AE180" s="182" t="n">
        <v>0</v>
      </c>
      <c r="AF180" s="182" t="n">
        <v>0</v>
      </c>
      <c r="AG180" s="182" t="n">
        <v>0</v>
      </c>
      <c r="AH180" s="182" t="n">
        <v>0</v>
      </c>
      <c r="AI180" s="182" t="n">
        <v>0</v>
      </c>
      <c r="AJ180" s="182" t="n">
        <v>0</v>
      </c>
      <c r="AK180" s="182" t="n">
        <v>0</v>
      </c>
      <c r="AL180" s="182" t="n">
        <v>0</v>
      </c>
      <c r="AM180" s="182" t="n">
        <v>0</v>
      </c>
      <c r="AN180" s="182" t="n">
        <v>0</v>
      </c>
    </row>
    <row r="181">
      <c r="A181" s="155" t="n">
        <v>46082</v>
      </c>
      <c r="B181" s="156" t="inlineStr">
        <is>
          <t>NS</t>
        </is>
      </c>
      <c r="C181" s="156" t="inlineStr">
        <is>
          <t>DT-530</t>
        </is>
      </c>
      <c r="D181" s="156" t="inlineStr">
        <is>
          <t>SKT 105S</t>
        </is>
      </c>
      <c r="E181" s="156" t="inlineStr">
        <is>
          <t>Hauler</t>
        </is>
      </c>
      <c r="F181" s="156" t="inlineStr"/>
      <c r="G181" s="182" t="n">
        <v>0</v>
      </c>
      <c r="H181" s="182" t="n">
        <v>0</v>
      </c>
      <c r="I181" s="182" t="n">
        <v>12</v>
      </c>
      <c r="J181" s="182" t="n">
        <v>12</v>
      </c>
      <c r="K181" s="182" t="n">
        <v>0</v>
      </c>
      <c r="L181" s="182" t="n">
        <v>12</v>
      </c>
      <c r="M181" s="182" t="n">
        <v>0</v>
      </c>
      <c r="N181" s="182" t="n">
        <v>0</v>
      </c>
      <c r="O181" s="183" t="n">
        <v>0</v>
      </c>
      <c r="P181" s="183" t="n">
        <v>0</v>
      </c>
      <c r="Q181" s="184" t="n">
        <v>0</v>
      </c>
      <c r="R181" s="184" t="n">
        <v>0</v>
      </c>
      <c r="S181" s="183" t="n">
        <v>0</v>
      </c>
      <c r="T181" s="183" t="n">
        <v>0</v>
      </c>
      <c r="U181" s="182" t="n">
        <v>0</v>
      </c>
      <c r="V181" s="182" t="n">
        <v>0</v>
      </c>
      <c r="W181" s="182" t="n">
        <v>0</v>
      </c>
      <c r="X181" s="182" t="n">
        <v>0</v>
      </c>
      <c r="Y181" s="182" t="n">
        <v>0</v>
      </c>
      <c r="Z181" s="182" t="n">
        <v>0</v>
      </c>
      <c r="AA181" s="182" t="n">
        <v>0</v>
      </c>
      <c r="AB181" s="182" t="n">
        <v>0</v>
      </c>
      <c r="AC181" s="182" t="n">
        <v>0</v>
      </c>
      <c r="AD181" s="182" t="n">
        <v>0</v>
      </c>
      <c r="AE181" s="182" t="n">
        <v>0</v>
      </c>
      <c r="AF181" s="182" t="n">
        <v>0</v>
      </c>
      <c r="AG181" s="182" t="n">
        <v>0</v>
      </c>
      <c r="AH181" s="182" t="n">
        <v>0</v>
      </c>
      <c r="AI181" s="182" t="n">
        <v>0</v>
      </c>
      <c r="AJ181" s="182" t="n">
        <v>0</v>
      </c>
      <c r="AK181" s="182" t="n">
        <v>0</v>
      </c>
      <c r="AL181" s="182" t="n">
        <v>0</v>
      </c>
      <c r="AM181" s="182" t="n">
        <v>0</v>
      </c>
      <c r="AN181" s="182" t="n">
        <v>0</v>
      </c>
    </row>
    <row r="182">
      <c r="A182" s="155" t="n">
        <v>46082</v>
      </c>
      <c r="B182" s="156" t="inlineStr">
        <is>
          <t>NS</t>
        </is>
      </c>
      <c r="C182" s="156" t="inlineStr">
        <is>
          <t>DT-525</t>
        </is>
      </c>
      <c r="D182" s="156" t="inlineStr">
        <is>
          <t>SKT 105S</t>
        </is>
      </c>
      <c r="E182" s="156" t="inlineStr">
        <is>
          <t>Hauler</t>
        </is>
      </c>
      <c r="F182" s="156" t="inlineStr"/>
      <c r="G182" s="182" t="n">
        <v>0</v>
      </c>
      <c r="H182" s="182" t="n">
        <v>0</v>
      </c>
      <c r="I182" s="182" t="n">
        <v>12</v>
      </c>
      <c r="J182" s="182" t="n">
        <v>12</v>
      </c>
      <c r="K182" s="182" t="n">
        <v>0</v>
      </c>
      <c r="L182" s="182" t="n">
        <v>12</v>
      </c>
      <c r="M182" s="182" t="n">
        <v>0</v>
      </c>
      <c r="N182" s="182" t="n">
        <v>0</v>
      </c>
      <c r="O182" s="183" t="n">
        <v>0</v>
      </c>
      <c r="P182" s="183" t="n">
        <v>0</v>
      </c>
      <c r="Q182" s="184" t="n">
        <v>0</v>
      </c>
      <c r="R182" s="184" t="n">
        <v>0</v>
      </c>
      <c r="S182" s="183" t="n">
        <v>0</v>
      </c>
      <c r="T182" s="183" t="n">
        <v>0</v>
      </c>
      <c r="U182" s="182" t="n">
        <v>0</v>
      </c>
      <c r="V182" s="182" t="n">
        <v>0</v>
      </c>
      <c r="W182" s="182" t="n">
        <v>0</v>
      </c>
      <c r="X182" s="182" t="n">
        <v>0</v>
      </c>
      <c r="Y182" s="182" t="n">
        <v>0</v>
      </c>
      <c r="Z182" s="182" t="n">
        <v>0</v>
      </c>
      <c r="AA182" s="182" t="n">
        <v>0</v>
      </c>
      <c r="AB182" s="182" t="n">
        <v>0</v>
      </c>
      <c r="AC182" s="182" t="n">
        <v>0</v>
      </c>
      <c r="AD182" s="182" t="n">
        <v>0</v>
      </c>
      <c r="AE182" s="182" t="n">
        <v>0</v>
      </c>
      <c r="AF182" s="182" t="n">
        <v>0</v>
      </c>
      <c r="AG182" s="182" t="n">
        <v>0</v>
      </c>
      <c r="AH182" s="182" t="n">
        <v>0</v>
      </c>
      <c r="AI182" s="182" t="n">
        <v>0</v>
      </c>
      <c r="AJ182" s="182" t="n">
        <v>0</v>
      </c>
      <c r="AK182" s="182" t="n">
        <v>0</v>
      </c>
      <c r="AL182" s="182" t="n">
        <v>0</v>
      </c>
      <c r="AM182" s="182" t="n">
        <v>0</v>
      </c>
      <c r="AN182" s="182" t="n">
        <v>0</v>
      </c>
    </row>
    <row r="183">
      <c r="A183" s="155" t="n">
        <v>46082</v>
      </c>
      <c r="B183" s="156" t="inlineStr">
        <is>
          <t>NS</t>
        </is>
      </c>
      <c r="C183" s="156" t="inlineStr">
        <is>
          <t>DT-503</t>
        </is>
      </c>
      <c r="D183" s="156" t="inlineStr">
        <is>
          <t>SKT 105S</t>
        </is>
      </c>
      <c r="E183" s="156" t="inlineStr">
        <is>
          <t>Hauler</t>
        </is>
      </c>
      <c r="F183" s="156" t="inlineStr">
        <is>
          <t>Hauling OB</t>
        </is>
      </c>
      <c r="G183" s="182" t="n">
        <v>1.91</v>
      </c>
      <c r="H183" s="182" t="n">
        <v>0</v>
      </c>
      <c r="I183" s="182" t="n">
        <v>0</v>
      </c>
      <c r="J183" s="182" t="n">
        <v>0</v>
      </c>
      <c r="K183" s="182" t="n">
        <v>10.09</v>
      </c>
      <c r="L183" s="182" t="n">
        <v>12</v>
      </c>
      <c r="M183" s="182" t="n">
        <v>1.91</v>
      </c>
      <c r="N183" s="182" t="n">
        <v>0</v>
      </c>
      <c r="O183" s="183" t="n">
        <v>8</v>
      </c>
      <c r="P183" s="183" t="n">
        <v>0</v>
      </c>
      <c r="Q183" s="184" t="n">
        <v>163.2</v>
      </c>
      <c r="R183" s="184" t="n">
        <v>0</v>
      </c>
      <c r="S183" s="183" t="n">
        <v>0</v>
      </c>
      <c r="T183" s="183" t="n">
        <v>0</v>
      </c>
      <c r="U183" s="182" t="n">
        <v>0</v>
      </c>
      <c r="V183" s="182" t="n">
        <v>0</v>
      </c>
      <c r="W183" s="182" t="n">
        <v>0</v>
      </c>
      <c r="X183" s="182" t="n">
        <v>0.98</v>
      </c>
      <c r="Y183" s="182" t="n">
        <v>0</v>
      </c>
      <c r="Z183" s="182" t="n">
        <v>0</v>
      </c>
      <c r="AA183" s="182" t="n">
        <v>0</v>
      </c>
      <c r="AB183" s="182" t="n">
        <v>0</v>
      </c>
      <c r="AC183" s="182" t="n">
        <v>0</v>
      </c>
      <c r="AD183" s="182" t="n">
        <v>0.52</v>
      </c>
      <c r="AE183" s="182" t="n">
        <v>0</v>
      </c>
      <c r="AF183" s="182" t="n">
        <v>0</v>
      </c>
      <c r="AG183" s="182" t="n">
        <v>0</v>
      </c>
      <c r="AH183" s="182" t="n">
        <v>0</v>
      </c>
      <c r="AI183" s="182" t="n">
        <v>8.5</v>
      </c>
      <c r="AJ183" s="182" t="n">
        <v>0</v>
      </c>
      <c r="AK183" s="182" t="n">
        <v>0</v>
      </c>
      <c r="AL183" s="182" t="n">
        <v>0</v>
      </c>
      <c r="AM183" s="182" t="n">
        <v>0.08</v>
      </c>
      <c r="AN183" s="182" t="n">
        <v>0</v>
      </c>
    </row>
    <row r="184">
      <c r="A184" s="155" t="n">
        <v>46082</v>
      </c>
      <c r="B184" s="156" t="inlineStr">
        <is>
          <t>NS</t>
        </is>
      </c>
      <c r="C184" s="156" t="inlineStr">
        <is>
          <t>DT-504</t>
        </is>
      </c>
      <c r="D184" s="156" t="inlineStr">
        <is>
          <t>SKT 105S</t>
        </is>
      </c>
      <c r="E184" s="156" t="inlineStr">
        <is>
          <t>Hauler</t>
        </is>
      </c>
      <c r="F184" s="156" t="inlineStr">
        <is>
          <t>Hauling OB &amp; Coal</t>
        </is>
      </c>
      <c r="G184" s="182" t="n">
        <v>9.460000000000001</v>
      </c>
      <c r="H184" s="182" t="n">
        <v>0</v>
      </c>
      <c r="I184" s="182" t="n">
        <v>0.17</v>
      </c>
      <c r="J184" s="182" t="n">
        <v>0.17</v>
      </c>
      <c r="K184" s="182" t="n">
        <v>2.37</v>
      </c>
      <c r="L184" s="182" t="n">
        <v>12</v>
      </c>
      <c r="M184" s="182" t="n">
        <v>3.67</v>
      </c>
      <c r="N184" s="182" t="n">
        <v>5.79</v>
      </c>
      <c r="O184" s="183" t="n">
        <v>15</v>
      </c>
      <c r="P184" s="183" t="n">
        <v>17</v>
      </c>
      <c r="Q184" s="184" t="n">
        <v>306</v>
      </c>
      <c r="R184" s="184" t="n">
        <v>317.9</v>
      </c>
      <c r="S184" s="183" t="n">
        <v>0</v>
      </c>
      <c r="T184" s="183" t="n">
        <v>0</v>
      </c>
      <c r="U184" s="182" t="n">
        <v>0</v>
      </c>
      <c r="V184" s="182" t="n">
        <v>0</v>
      </c>
      <c r="W184" s="182" t="n">
        <v>0</v>
      </c>
      <c r="X184" s="182" t="n">
        <v>1.17</v>
      </c>
      <c r="Y184" s="182" t="n">
        <v>0</v>
      </c>
      <c r="Z184" s="182" t="n">
        <v>0</v>
      </c>
      <c r="AA184" s="182" t="n">
        <v>0</v>
      </c>
      <c r="AB184" s="182" t="n">
        <v>0</v>
      </c>
      <c r="AC184" s="182" t="n">
        <v>0</v>
      </c>
      <c r="AD184" s="182" t="n">
        <v>0</v>
      </c>
      <c r="AE184" s="182" t="n">
        <v>0</v>
      </c>
      <c r="AF184" s="182" t="n">
        <v>0</v>
      </c>
      <c r="AG184" s="182" t="n">
        <v>0</v>
      </c>
      <c r="AH184" s="182" t="n">
        <v>1.11</v>
      </c>
      <c r="AI184" s="182" t="n">
        <v>0</v>
      </c>
      <c r="AJ184" s="182" t="n">
        <v>0</v>
      </c>
      <c r="AK184" s="182" t="n">
        <v>0</v>
      </c>
      <c r="AL184" s="182" t="n">
        <v>0</v>
      </c>
      <c r="AM184" s="182" t="n">
        <v>0.09</v>
      </c>
      <c r="AN184" s="182" t="n">
        <v>0</v>
      </c>
    </row>
    <row r="185">
      <c r="A185" s="155" t="n">
        <v>46082</v>
      </c>
      <c r="B185" s="156" t="inlineStr">
        <is>
          <t>NS</t>
        </is>
      </c>
      <c r="C185" s="156" t="inlineStr">
        <is>
          <t>DT-507</t>
        </is>
      </c>
      <c r="D185" s="156" t="inlineStr">
        <is>
          <t>SKT 105S</t>
        </is>
      </c>
      <c r="E185" s="156" t="inlineStr">
        <is>
          <t>Hauler</t>
        </is>
      </c>
      <c r="F185" s="156" t="inlineStr">
        <is>
          <t>Hauling OB &amp; Coal</t>
        </is>
      </c>
      <c r="G185" s="182" t="n">
        <v>8.109999999999999</v>
      </c>
      <c r="H185" s="182" t="n">
        <v>0</v>
      </c>
      <c r="I185" s="182" t="n">
        <v>0</v>
      </c>
      <c r="J185" s="182" t="n">
        <v>0</v>
      </c>
      <c r="K185" s="182" t="n">
        <v>3.89</v>
      </c>
      <c r="L185" s="182" t="n">
        <v>12</v>
      </c>
      <c r="M185" s="182" t="n">
        <v>5.72</v>
      </c>
      <c r="N185" s="182" t="n">
        <v>2.38</v>
      </c>
      <c r="O185" s="183" t="n">
        <v>23</v>
      </c>
      <c r="P185" s="183" t="n">
        <v>5</v>
      </c>
      <c r="Q185" s="184" t="n">
        <v>469.2</v>
      </c>
      <c r="R185" s="184" t="n">
        <v>93.5</v>
      </c>
      <c r="S185" s="183" t="n">
        <v>0</v>
      </c>
      <c r="T185" s="183" t="n">
        <v>0</v>
      </c>
      <c r="U185" s="182" t="n">
        <v>0</v>
      </c>
      <c r="V185" s="182" t="n">
        <v>0</v>
      </c>
      <c r="W185" s="182" t="n">
        <v>0</v>
      </c>
      <c r="X185" s="182" t="n">
        <v>1.11</v>
      </c>
      <c r="Y185" s="182" t="n">
        <v>0</v>
      </c>
      <c r="Z185" s="182" t="n">
        <v>0</v>
      </c>
      <c r="AA185" s="182" t="n">
        <v>0</v>
      </c>
      <c r="AB185" s="182" t="n">
        <v>0</v>
      </c>
      <c r="AC185" s="182" t="n">
        <v>0</v>
      </c>
      <c r="AD185" s="182" t="n">
        <v>0</v>
      </c>
      <c r="AE185" s="182" t="n">
        <v>0</v>
      </c>
      <c r="AF185" s="182" t="n">
        <v>0</v>
      </c>
      <c r="AG185" s="182" t="n">
        <v>0</v>
      </c>
      <c r="AH185" s="182" t="n">
        <v>0</v>
      </c>
      <c r="AI185" s="182" t="n">
        <v>0</v>
      </c>
      <c r="AJ185" s="182" t="n">
        <v>0</v>
      </c>
      <c r="AK185" s="182" t="n">
        <v>2.69</v>
      </c>
      <c r="AL185" s="182" t="n">
        <v>0</v>
      </c>
      <c r="AM185" s="182" t="n">
        <v>0.09</v>
      </c>
      <c r="AN185" s="182" t="n">
        <v>0</v>
      </c>
    </row>
    <row r="186">
      <c r="A186" s="155" t="n">
        <v>46082</v>
      </c>
      <c r="B186" s="156" t="inlineStr">
        <is>
          <t>NS</t>
        </is>
      </c>
      <c r="C186" s="156" t="inlineStr">
        <is>
          <t>DT-501</t>
        </is>
      </c>
      <c r="D186" s="156" t="inlineStr">
        <is>
          <t>SKT 105S</t>
        </is>
      </c>
      <c r="E186" s="156" t="inlineStr">
        <is>
          <t>Hauler</t>
        </is>
      </c>
      <c r="F186" s="156" t="inlineStr">
        <is>
          <t>Hauling OB &amp; Coal</t>
        </is>
      </c>
      <c r="G186" s="182" t="n">
        <v>4.92</v>
      </c>
      <c r="H186" s="182" t="n">
        <v>0</v>
      </c>
      <c r="I186" s="182" t="n">
        <v>0.53</v>
      </c>
      <c r="J186" s="182" t="n">
        <v>0.53</v>
      </c>
      <c r="K186" s="182" t="n">
        <v>6.55</v>
      </c>
      <c r="L186" s="182" t="n">
        <v>12</v>
      </c>
      <c r="M186" s="182" t="n">
        <v>2.36</v>
      </c>
      <c r="N186" s="182" t="n">
        <v>2.56</v>
      </c>
      <c r="O186" s="183" t="n">
        <v>3</v>
      </c>
      <c r="P186" s="183" t="n">
        <v>5</v>
      </c>
      <c r="Q186" s="184" t="n">
        <v>61.2</v>
      </c>
      <c r="R186" s="184" t="n">
        <v>93.5</v>
      </c>
      <c r="S186" s="183" t="n">
        <v>0</v>
      </c>
      <c r="T186" s="183" t="n">
        <v>0</v>
      </c>
      <c r="U186" s="182" t="n">
        <v>0</v>
      </c>
      <c r="V186" s="182" t="n">
        <v>0</v>
      </c>
      <c r="W186" s="182" t="n">
        <v>0</v>
      </c>
      <c r="X186" s="182" t="n">
        <v>0.98</v>
      </c>
      <c r="Y186" s="182" t="n">
        <v>0</v>
      </c>
      <c r="Z186" s="182" t="n">
        <v>0</v>
      </c>
      <c r="AA186" s="182" t="n">
        <v>0</v>
      </c>
      <c r="AB186" s="182" t="n">
        <v>0</v>
      </c>
      <c r="AC186" s="182" t="n">
        <v>0</v>
      </c>
      <c r="AD186" s="182" t="n">
        <v>0</v>
      </c>
      <c r="AE186" s="182" t="n">
        <v>0</v>
      </c>
      <c r="AF186" s="182" t="n">
        <v>0</v>
      </c>
      <c r="AG186" s="182" t="n">
        <v>0</v>
      </c>
      <c r="AH186" s="182" t="n">
        <v>0</v>
      </c>
      <c r="AI186" s="182" t="n">
        <v>0</v>
      </c>
      <c r="AJ186" s="182" t="n">
        <v>0</v>
      </c>
      <c r="AK186" s="182" t="n">
        <v>5.48</v>
      </c>
      <c r="AL186" s="182" t="n">
        <v>0</v>
      </c>
      <c r="AM186" s="182" t="n">
        <v>0.08</v>
      </c>
      <c r="AN186" s="182" t="n">
        <v>0</v>
      </c>
    </row>
    <row r="187">
      <c r="A187" s="155" t="n">
        <v>46082</v>
      </c>
      <c r="B187" s="156" t="inlineStr">
        <is>
          <t>NS</t>
        </is>
      </c>
      <c r="C187" s="156" t="inlineStr">
        <is>
          <t>DT-518</t>
        </is>
      </c>
      <c r="D187" s="156" t="inlineStr">
        <is>
          <t>SKT 105S</t>
        </is>
      </c>
      <c r="E187" s="156" t="inlineStr">
        <is>
          <t>Hauler</t>
        </is>
      </c>
      <c r="F187" s="156" t="inlineStr">
        <is>
          <t>Hauling OB</t>
        </is>
      </c>
      <c r="G187" s="182" t="n">
        <v>8.67</v>
      </c>
      <c r="H187" s="182" t="n">
        <v>0</v>
      </c>
      <c r="I187" s="182" t="n">
        <v>2.05</v>
      </c>
      <c r="J187" s="182" t="n">
        <v>2.05</v>
      </c>
      <c r="K187" s="182" t="n">
        <v>1.28</v>
      </c>
      <c r="L187" s="182" t="n">
        <v>12</v>
      </c>
      <c r="M187" s="182" t="n">
        <v>8.67</v>
      </c>
      <c r="N187" s="182" t="n">
        <v>0</v>
      </c>
      <c r="O187" s="183" t="n">
        <v>44</v>
      </c>
      <c r="P187" s="183" t="n">
        <v>0</v>
      </c>
      <c r="Q187" s="184" t="n">
        <v>897.6</v>
      </c>
      <c r="R187" s="184" t="n">
        <v>0</v>
      </c>
      <c r="S187" s="183" t="n">
        <v>0</v>
      </c>
      <c r="T187" s="183" t="n">
        <v>0</v>
      </c>
      <c r="U187" s="182" t="n">
        <v>0</v>
      </c>
      <c r="V187" s="182" t="n">
        <v>0</v>
      </c>
      <c r="W187" s="182" t="n">
        <v>0</v>
      </c>
      <c r="X187" s="182" t="n">
        <v>1.02</v>
      </c>
      <c r="Y187" s="182" t="n">
        <v>0</v>
      </c>
      <c r="Z187" s="182" t="n">
        <v>0</v>
      </c>
      <c r="AA187" s="182" t="n">
        <v>0</v>
      </c>
      <c r="AB187" s="182" t="n">
        <v>0</v>
      </c>
      <c r="AC187" s="182" t="n">
        <v>0</v>
      </c>
      <c r="AD187" s="182" t="n">
        <v>0.17</v>
      </c>
      <c r="AE187" s="182" t="n">
        <v>0</v>
      </c>
      <c r="AF187" s="182" t="n">
        <v>0</v>
      </c>
      <c r="AG187" s="182" t="n">
        <v>0</v>
      </c>
      <c r="AH187" s="182" t="n">
        <v>0</v>
      </c>
      <c r="AI187" s="182" t="n">
        <v>0</v>
      </c>
      <c r="AJ187" s="182" t="n">
        <v>0</v>
      </c>
      <c r="AK187" s="182" t="n">
        <v>0</v>
      </c>
      <c r="AL187" s="182" t="n">
        <v>0</v>
      </c>
      <c r="AM187" s="182" t="n">
        <v>0.08</v>
      </c>
      <c r="AN187" s="182" t="n">
        <v>0</v>
      </c>
    </row>
    <row r="188">
      <c r="A188" s="155" t="n">
        <v>46082</v>
      </c>
      <c r="B188" s="156" t="inlineStr">
        <is>
          <t>NS</t>
        </is>
      </c>
      <c r="C188" s="156" t="inlineStr">
        <is>
          <t>DT-514</t>
        </is>
      </c>
      <c r="D188" s="156" t="inlineStr">
        <is>
          <t>SKT 105S</t>
        </is>
      </c>
      <c r="E188" s="156" t="inlineStr">
        <is>
          <t>Hauler</t>
        </is>
      </c>
      <c r="F188" s="156" t="inlineStr"/>
      <c r="G188" s="182" t="n">
        <v>0</v>
      </c>
      <c r="H188" s="182" t="n">
        <v>0</v>
      </c>
      <c r="I188" s="182" t="n">
        <v>12</v>
      </c>
      <c r="J188" s="182" t="n">
        <v>12</v>
      </c>
      <c r="K188" s="182" t="n">
        <v>0</v>
      </c>
      <c r="L188" s="182" t="n">
        <v>12</v>
      </c>
      <c r="M188" s="182" t="n">
        <v>0</v>
      </c>
      <c r="N188" s="182" t="n">
        <v>0</v>
      </c>
      <c r="O188" s="183" t="n">
        <v>0</v>
      </c>
      <c r="P188" s="183" t="n">
        <v>0</v>
      </c>
      <c r="Q188" s="184" t="n">
        <v>0</v>
      </c>
      <c r="R188" s="184" t="n">
        <v>0</v>
      </c>
      <c r="S188" s="183" t="n">
        <v>0</v>
      </c>
      <c r="T188" s="183" t="n">
        <v>0</v>
      </c>
      <c r="U188" s="182" t="n">
        <v>0</v>
      </c>
      <c r="V188" s="182" t="n">
        <v>0</v>
      </c>
      <c r="W188" s="182" t="n">
        <v>0</v>
      </c>
      <c r="X188" s="182" t="n">
        <v>0</v>
      </c>
      <c r="Y188" s="182" t="n">
        <v>0</v>
      </c>
      <c r="Z188" s="182" t="n">
        <v>0</v>
      </c>
      <c r="AA188" s="182" t="n">
        <v>0</v>
      </c>
      <c r="AB188" s="182" t="n">
        <v>0</v>
      </c>
      <c r="AC188" s="182" t="n">
        <v>0</v>
      </c>
      <c r="AD188" s="182" t="n">
        <v>0</v>
      </c>
      <c r="AE188" s="182" t="n">
        <v>0</v>
      </c>
      <c r="AF188" s="182" t="n">
        <v>0</v>
      </c>
      <c r="AG188" s="182" t="n">
        <v>0</v>
      </c>
      <c r="AH188" s="182" t="n">
        <v>0</v>
      </c>
      <c r="AI188" s="182" t="n">
        <v>0</v>
      </c>
      <c r="AJ188" s="182" t="n">
        <v>0</v>
      </c>
      <c r="AK188" s="182" t="n">
        <v>0</v>
      </c>
      <c r="AL188" s="182" t="n">
        <v>0</v>
      </c>
      <c r="AM188" s="182" t="n">
        <v>0</v>
      </c>
      <c r="AN188" s="182" t="n">
        <v>0</v>
      </c>
    </row>
    <row r="189">
      <c r="A189" s="155" t="n">
        <v>46082</v>
      </c>
      <c r="B189" s="156" t="inlineStr">
        <is>
          <t>NS</t>
        </is>
      </c>
      <c r="C189" s="156" t="inlineStr">
        <is>
          <t>DT-523</t>
        </is>
      </c>
      <c r="D189" s="156" t="inlineStr">
        <is>
          <t>SKT 105S</t>
        </is>
      </c>
      <c r="E189" s="156" t="inlineStr">
        <is>
          <t>Hauler</t>
        </is>
      </c>
      <c r="F189" s="156" t="inlineStr"/>
      <c r="G189" s="182" t="n">
        <v>0</v>
      </c>
      <c r="H189" s="182" t="n">
        <v>0</v>
      </c>
      <c r="I189" s="182" t="n">
        <v>12</v>
      </c>
      <c r="J189" s="182" t="n">
        <v>12</v>
      </c>
      <c r="K189" s="182" t="n">
        <v>0</v>
      </c>
      <c r="L189" s="182" t="n">
        <v>12</v>
      </c>
      <c r="M189" s="182" t="n">
        <v>0</v>
      </c>
      <c r="N189" s="182" t="n">
        <v>0</v>
      </c>
      <c r="O189" s="183" t="n">
        <v>0</v>
      </c>
      <c r="P189" s="183" t="n">
        <v>0</v>
      </c>
      <c r="Q189" s="184" t="n">
        <v>0</v>
      </c>
      <c r="R189" s="184" t="n">
        <v>0</v>
      </c>
      <c r="S189" s="183" t="n">
        <v>0</v>
      </c>
      <c r="T189" s="183" t="n">
        <v>0</v>
      </c>
      <c r="U189" s="182" t="n">
        <v>0</v>
      </c>
      <c r="V189" s="182" t="n">
        <v>0</v>
      </c>
      <c r="W189" s="182" t="n">
        <v>0</v>
      </c>
      <c r="X189" s="182" t="n">
        <v>0</v>
      </c>
      <c r="Y189" s="182" t="n">
        <v>0</v>
      </c>
      <c r="Z189" s="182" t="n">
        <v>0</v>
      </c>
      <c r="AA189" s="182" t="n">
        <v>0</v>
      </c>
      <c r="AB189" s="182" t="n">
        <v>0</v>
      </c>
      <c r="AC189" s="182" t="n">
        <v>0</v>
      </c>
      <c r="AD189" s="182" t="n">
        <v>0</v>
      </c>
      <c r="AE189" s="182" t="n">
        <v>0</v>
      </c>
      <c r="AF189" s="182" t="n">
        <v>0</v>
      </c>
      <c r="AG189" s="182" t="n">
        <v>0</v>
      </c>
      <c r="AH189" s="182" t="n">
        <v>0</v>
      </c>
      <c r="AI189" s="182" t="n">
        <v>0</v>
      </c>
      <c r="AJ189" s="182" t="n">
        <v>0</v>
      </c>
      <c r="AK189" s="182" t="n">
        <v>0</v>
      </c>
      <c r="AL189" s="182" t="n">
        <v>0</v>
      </c>
      <c r="AM189" s="182" t="n">
        <v>0</v>
      </c>
      <c r="AN189" s="182" t="n">
        <v>0</v>
      </c>
    </row>
    <row r="190">
      <c r="A190" s="155" t="n">
        <v>46082</v>
      </c>
      <c r="B190" s="156" t="inlineStr">
        <is>
          <t>NS</t>
        </is>
      </c>
      <c r="C190" s="156" t="inlineStr">
        <is>
          <t>DT-519</t>
        </is>
      </c>
      <c r="D190" s="156" t="inlineStr">
        <is>
          <t>SKT 105S</t>
        </is>
      </c>
      <c r="E190" s="156" t="inlineStr">
        <is>
          <t>Hauler</t>
        </is>
      </c>
      <c r="F190" s="156" t="inlineStr"/>
      <c r="G190" s="182" t="n">
        <v>0</v>
      </c>
      <c r="H190" s="182" t="n">
        <v>0</v>
      </c>
      <c r="I190" s="182" t="n">
        <v>12</v>
      </c>
      <c r="J190" s="182" t="n">
        <v>12</v>
      </c>
      <c r="K190" s="182" t="n">
        <v>0</v>
      </c>
      <c r="L190" s="182" t="n">
        <v>12</v>
      </c>
      <c r="M190" s="182" t="n">
        <v>0</v>
      </c>
      <c r="N190" s="182" t="n">
        <v>0</v>
      </c>
      <c r="O190" s="183" t="n">
        <v>0</v>
      </c>
      <c r="P190" s="183" t="n">
        <v>0</v>
      </c>
      <c r="Q190" s="184" t="n">
        <v>0</v>
      </c>
      <c r="R190" s="184" t="n">
        <v>0</v>
      </c>
      <c r="S190" s="183" t="n">
        <v>0</v>
      </c>
      <c r="T190" s="183" t="n">
        <v>0</v>
      </c>
      <c r="U190" s="182" t="n">
        <v>0</v>
      </c>
      <c r="V190" s="182" t="n">
        <v>0</v>
      </c>
      <c r="W190" s="182" t="n">
        <v>0</v>
      </c>
      <c r="X190" s="182" t="n">
        <v>0</v>
      </c>
      <c r="Y190" s="182" t="n">
        <v>0</v>
      </c>
      <c r="Z190" s="182" t="n">
        <v>0</v>
      </c>
      <c r="AA190" s="182" t="n">
        <v>0</v>
      </c>
      <c r="AB190" s="182" t="n">
        <v>0</v>
      </c>
      <c r="AC190" s="182" t="n">
        <v>0</v>
      </c>
      <c r="AD190" s="182" t="n">
        <v>0</v>
      </c>
      <c r="AE190" s="182" t="n">
        <v>0</v>
      </c>
      <c r="AF190" s="182" t="n">
        <v>0</v>
      </c>
      <c r="AG190" s="182" t="n">
        <v>0</v>
      </c>
      <c r="AH190" s="182" t="n">
        <v>0</v>
      </c>
      <c r="AI190" s="182" t="n">
        <v>0</v>
      </c>
      <c r="AJ190" s="182" t="n">
        <v>0</v>
      </c>
      <c r="AK190" s="182" t="n">
        <v>0</v>
      </c>
      <c r="AL190" s="182" t="n">
        <v>0</v>
      </c>
      <c r="AM190" s="182" t="n">
        <v>0</v>
      </c>
      <c r="AN190" s="182" t="n">
        <v>0</v>
      </c>
    </row>
    <row r="191">
      <c r="A191" s="155" t="n">
        <v>46082</v>
      </c>
      <c r="B191" s="156" t="inlineStr">
        <is>
          <t>NS</t>
        </is>
      </c>
      <c r="C191" s="156" t="inlineStr">
        <is>
          <t>DT-527</t>
        </is>
      </c>
      <c r="D191" s="156" t="inlineStr">
        <is>
          <t>SKT 105S</t>
        </is>
      </c>
      <c r="E191" s="156" t="inlineStr">
        <is>
          <t>Hauler</t>
        </is>
      </c>
      <c r="F191" s="156" t="inlineStr"/>
      <c r="G191" s="182" t="n">
        <v>0</v>
      </c>
      <c r="H191" s="182" t="n">
        <v>0</v>
      </c>
      <c r="I191" s="182" t="n">
        <v>0</v>
      </c>
      <c r="J191" s="182" t="n">
        <v>0</v>
      </c>
      <c r="K191" s="182" t="n">
        <v>12</v>
      </c>
      <c r="L191" s="182" t="n">
        <v>12</v>
      </c>
      <c r="M191" s="182" t="n">
        <v>0</v>
      </c>
      <c r="N191" s="182" t="n">
        <v>0</v>
      </c>
      <c r="O191" s="183" t="n">
        <v>0</v>
      </c>
      <c r="P191" s="183" t="n">
        <v>0</v>
      </c>
      <c r="Q191" s="184" t="n">
        <v>0</v>
      </c>
      <c r="R191" s="184" t="n">
        <v>0</v>
      </c>
      <c r="S191" s="183" t="n">
        <v>0</v>
      </c>
      <c r="T191" s="183" t="n">
        <v>0</v>
      </c>
      <c r="U191" s="182" t="n">
        <v>0</v>
      </c>
      <c r="V191" s="182" t="n">
        <v>0</v>
      </c>
      <c r="W191" s="182" t="n">
        <v>0</v>
      </c>
      <c r="X191" s="182" t="n">
        <v>1</v>
      </c>
      <c r="Y191" s="182" t="n">
        <v>0</v>
      </c>
      <c r="Z191" s="182" t="n">
        <v>0</v>
      </c>
      <c r="AA191" s="182" t="n">
        <v>0</v>
      </c>
      <c r="AB191" s="182" t="n">
        <v>0</v>
      </c>
      <c r="AC191" s="182" t="n">
        <v>0</v>
      </c>
      <c r="AD191" s="182" t="n">
        <v>0</v>
      </c>
      <c r="AE191" s="182" t="n">
        <v>0</v>
      </c>
      <c r="AF191" s="182" t="n">
        <v>0</v>
      </c>
      <c r="AG191" s="182" t="n">
        <v>0</v>
      </c>
      <c r="AH191" s="182" t="n">
        <v>0</v>
      </c>
      <c r="AI191" s="182" t="n">
        <v>0</v>
      </c>
      <c r="AJ191" s="182" t="n">
        <v>0</v>
      </c>
      <c r="AK191" s="182" t="n">
        <v>10.92</v>
      </c>
      <c r="AL191" s="182" t="n">
        <v>0</v>
      </c>
      <c r="AM191" s="182" t="n">
        <v>0.08</v>
      </c>
      <c r="AN191" s="182" t="n">
        <v>0</v>
      </c>
    </row>
    <row r="192">
      <c r="A192" s="155" t="n">
        <v>46082</v>
      </c>
      <c r="B192" s="156" t="inlineStr">
        <is>
          <t>NS</t>
        </is>
      </c>
      <c r="C192" s="156" t="inlineStr">
        <is>
          <t>DT-513</t>
        </is>
      </c>
      <c r="D192" s="156" t="inlineStr">
        <is>
          <t>SKT 105S</t>
        </is>
      </c>
      <c r="E192" s="156" t="inlineStr">
        <is>
          <t>Hauler</t>
        </is>
      </c>
      <c r="F192" s="156" t="inlineStr">
        <is>
          <t>Hauling OB</t>
        </is>
      </c>
      <c r="G192" s="182" t="n">
        <v>9.82</v>
      </c>
      <c r="H192" s="182" t="n">
        <v>0</v>
      </c>
      <c r="I192" s="182" t="n">
        <v>0</v>
      </c>
      <c r="J192" s="182" t="n">
        <v>0</v>
      </c>
      <c r="K192" s="182" t="n">
        <v>2.18</v>
      </c>
      <c r="L192" s="182" t="n">
        <v>12</v>
      </c>
      <c r="M192" s="182" t="n">
        <v>9.82</v>
      </c>
      <c r="N192" s="182" t="n">
        <v>0</v>
      </c>
      <c r="O192" s="183" t="n">
        <v>52</v>
      </c>
      <c r="P192" s="183" t="n">
        <v>0</v>
      </c>
      <c r="Q192" s="184" t="n">
        <v>1060.8</v>
      </c>
      <c r="R192" s="184" t="n">
        <v>0</v>
      </c>
      <c r="S192" s="183" t="n">
        <v>0</v>
      </c>
      <c r="T192" s="183" t="n">
        <v>0</v>
      </c>
      <c r="U192" s="182" t="n">
        <v>0</v>
      </c>
      <c r="V192" s="182" t="n">
        <v>0</v>
      </c>
      <c r="W192" s="182" t="n">
        <v>0</v>
      </c>
      <c r="X192" s="182" t="n">
        <v>1.09</v>
      </c>
      <c r="Y192" s="182" t="n">
        <v>0</v>
      </c>
      <c r="Z192" s="182" t="n">
        <v>0</v>
      </c>
      <c r="AA192" s="182" t="n">
        <v>0</v>
      </c>
      <c r="AB192" s="182" t="n">
        <v>0</v>
      </c>
      <c r="AC192" s="182" t="n">
        <v>0</v>
      </c>
      <c r="AD192" s="182" t="n">
        <v>0.58</v>
      </c>
      <c r="AE192" s="182" t="n">
        <v>0</v>
      </c>
      <c r="AF192" s="182" t="n">
        <v>0</v>
      </c>
      <c r="AG192" s="182" t="n">
        <v>0</v>
      </c>
      <c r="AH192" s="182" t="n">
        <v>0.41</v>
      </c>
      <c r="AI192" s="182" t="n">
        <v>0</v>
      </c>
      <c r="AJ192" s="182" t="n">
        <v>0</v>
      </c>
      <c r="AK192" s="182" t="n">
        <v>0</v>
      </c>
      <c r="AL192" s="182" t="n">
        <v>0</v>
      </c>
      <c r="AM192" s="182" t="n">
        <v>0.09</v>
      </c>
      <c r="AN192" s="182" t="n">
        <v>0</v>
      </c>
    </row>
    <row r="193">
      <c r="A193" s="155" t="n">
        <v>46082</v>
      </c>
      <c r="B193" s="156" t="inlineStr">
        <is>
          <t>NS</t>
        </is>
      </c>
      <c r="C193" s="156" t="inlineStr">
        <is>
          <t>DT-512</t>
        </is>
      </c>
      <c r="D193" s="156" t="inlineStr">
        <is>
          <t>SKT 105S</t>
        </is>
      </c>
      <c r="E193" s="156" t="inlineStr">
        <is>
          <t>Hauler</t>
        </is>
      </c>
      <c r="F193" s="156" t="inlineStr">
        <is>
          <t>Hauling OB</t>
        </is>
      </c>
      <c r="G193" s="182" t="n">
        <v>6.51</v>
      </c>
      <c r="H193" s="182" t="n">
        <v>0</v>
      </c>
      <c r="I193" s="182" t="n">
        <v>1</v>
      </c>
      <c r="J193" s="182" t="n">
        <v>1</v>
      </c>
      <c r="K193" s="182" t="n">
        <v>4.49</v>
      </c>
      <c r="L193" s="182" t="n">
        <v>12</v>
      </c>
      <c r="M193" s="182" t="n">
        <v>6.51</v>
      </c>
      <c r="N193" s="182" t="n">
        <v>0</v>
      </c>
      <c r="O193" s="183" t="n">
        <v>23</v>
      </c>
      <c r="P193" s="183" t="n">
        <v>0</v>
      </c>
      <c r="Q193" s="184" t="n">
        <v>469.2</v>
      </c>
      <c r="R193" s="184" t="n">
        <v>0</v>
      </c>
      <c r="S193" s="183" t="n">
        <v>0</v>
      </c>
      <c r="T193" s="183" t="n">
        <v>0</v>
      </c>
      <c r="U193" s="182" t="n">
        <v>0</v>
      </c>
      <c r="V193" s="182" t="n">
        <v>0</v>
      </c>
      <c r="W193" s="182" t="n">
        <v>0</v>
      </c>
      <c r="X193" s="182" t="n">
        <v>0.24</v>
      </c>
      <c r="Y193" s="182" t="n">
        <v>0</v>
      </c>
      <c r="Z193" s="182" t="n">
        <v>0</v>
      </c>
      <c r="AA193" s="182" t="n">
        <v>0</v>
      </c>
      <c r="AB193" s="182" t="n">
        <v>0</v>
      </c>
      <c r="AC193" s="182" t="n">
        <v>0</v>
      </c>
      <c r="AD193" s="182" t="n">
        <v>0</v>
      </c>
      <c r="AE193" s="182" t="n">
        <v>0</v>
      </c>
      <c r="AF193" s="182" t="n">
        <v>0</v>
      </c>
      <c r="AG193" s="182" t="n">
        <v>0</v>
      </c>
      <c r="AH193" s="182" t="n">
        <v>0</v>
      </c>
      <c r="AI193" s="182" t="n">
        <v>4.17</v>
      </c>
      <c r="AJ193" s="182" t="n">
        <v>0</v>
      </c>
      <c r="AK193" s="182" t="n">
        <v>0</v>
      </c>
      <c r="AL193" s="182" t="n">
        <v>0</v>
      </c>
      <c r="AM193" s="182" t="n">
        <v>0.09</v>
      </c>
      <c r="AN193" s="182" t="n">
        <v>0</v>
      </c>
    </row>
    <row r="194">
      <c r="A194" s="155" t="n">
        <v>46082</v>
      </c>
      <c r="B194" s="156" t="inlineStr">
        <is>
          <t>NS</t>
        </is>
      </c>
      <c r="C194" s="156" t="inlineStr">
        <is>
          <t>DT-522</t>
        </is>
      </c>
      <c r="D194" s="156" t="inlineStr">
        <is>
          <t>SKT 105S</t>
        </is>
      </c>
      <c r="E194" s="156" t="inlineStr">
        <is>
          <t>Hauler</t>
        </is>
      </c>
      <c r="F194" s="156" t="inlineStr">
        <is>
          <t>Hauling OB</t>
        </is>
      </c>
      <c r="G194" s="182" t="n">
        <v>9.699999999999999</v>
      </c>
      <c r="H194" s="182" t="n">
        <v>0</v>
      </c>
      <c r="I194" s="182" t="n">
        <v>0</v>
      </c>
      <c r="J194" s="182" t="n">
        <v>0</v>
      </c>
      <c r="K194" s="182" t="n">
        <v>2.3</v>
      </c>
      <c r="L194" s="182" t="n">
        <v>12</v>
      </c>
      <c r="M194" s="182" t="n">
        <v>9.699999999999999</v>
      </c>
      <c r="N194" s="182" t="n">
        <v>0</v>
      </c>
      <c r="O194" s="183" t="n">
        <v>43</v>
      </c>
      <c r="P194" s="183" t="n">
        <v>0</v>
      </c>
      <c r="Q194" s="184" t="n">
        <v>877.2</v>
      </c>
      <c r="R194" s="184" t="n">
        <v>0</v>
      </c>
      <c r="S194" s="183" t="n">
        <v>0</v>
      </c>
      <c r="T194" s="183" t="n">
        <v>0</v>
      </c>
      <c r="U194" s="182" t="n">
        <v>0</v>
      </c>
      <c r="V194" s="182" t="n">
        <v>0</v>
      </c>
      <c r="W194" s="182" t="n">
        <v>0</v>
      </c>
      <c r="X194" s="182" t="n">
        <v>1.28</v>
      </c>
      <c r="Y194" s="182" t="n">
        <v>0</v>
      </c>
      <c r="Z194" s="182" t="n">
        <v>0</v>
      </c>
      <c r="AA194" s="182" t="n">
        <v>0</v>
      </c>
      <c r="AB194" s="182" t="n">
        <v>0</v>
      </c>
      <c r="AC194" s="182" t="n">
        <v>0</v>
      </c>
      <c r="AD194" s="182" t="n">
        <v>0.68</v>
      </c>
      <c r="AE194" s="182" t="n">
        <v>0</v>
      </c>
      <c r="AF194" s="182" t="n">
        <v>0</v>
      </c>
      <c r="AG194" s="182" t="n">
        <v>0</v>
      </c>
      <c r="AH194" s="182" t="n">
        <v>0.23</v>
      </c>
      <c r="AI194" s="182" t="n">
        <v>0</v>
      </c>
      <c r="AJ194" s="182" t="n">
        <v>0</v>
      </c>
      <c r="AK194" s="182" t="n">
        <v>0</v>
      </c>
      <c r="AL194" s="182" t="n">
        <v>0</v>
      </c>
      <c r="AM194" s="182" t="n">
        <v>0.1</v>
      </c>
      <c r="AN194" s="182" t="n">
        <v>0</v>
      </c>
    </row>
    <row r="195">
      <c r="A195" s="155" t="n">
        <v>46082</v>
      </c>
      <c r="B195" s="156" t="inlineStr">
        <is>
          <t>NS</t>
        </is>
      </c>
      <c r="C195" s="156" t="inlineStr">
        <is>
          <t>DT-517</t>
        </is>
      </c>
      <c r="D195" s="156" t="inlineStr">
        <is>
          <t>SKT 105S</t>
        </is>
      </c>
      <c r="E195" s="156" t="inlineStr">
        <is>
          <t>Hauler</t>
        </is>
      </c>
      <c r="F195" s="156" t="inlineStr">
        <is>
          <t>Hauling OB &amp; Coal</t>
        </is>
      </c>
      <c r="G195" s="182" t="n">
        <v>8.65</v>
      </c>
      <c r="H195" s="182" t="n">
        <v>0</v>
      </c>
      <c r="I195" s="182" t="n">
        <v>0</v>
      </c>
      <c r="J195" s="182" t="n">
        <v>0</v>
      </c>
      <c r="K195" s="182" t="n">
        <v>3.35</v>
      </c>
      <c r="L195" s="182" t="n">
        <v>12</v>
      </c>
      <c r="M195" s="182" t="n">
        <v>5.56</v>
      </c>
      <c r="N195" s="182" t="n">
        <v>3.09</v>
      </c>
      <c r="O195" s="183" t="n">
        <v>25</v>
      </c>
      <c r="P195" s="183" t="n">
        <v>6</v>
      </c>
      <c r="Q195" s="184" t="n">
        <v>510</v>
      </c>
      <c r="R195" s="184" t="n">
        <v>112.2</v>
      </c>
      <c r="S195" s="183" t="n">
        <v>0</v>
      </c>
      <c r="T195" s="183" t="n">
        <v>0</v>
      </c>
      <c r="U195" s="182" t="n">
        <v>0</v>
      </c>
      <c r="V195" s="182" t="n">
        <v>0</v>
      </c>
      <c r="W195" s="182" t="n">
        <v>0</v>
      </c>
      <c r="X195" s="182" t="n">
        <v>0.93</v>
      </c>
      <c r="Y195" s="182" t="n">
        <v>0</v>
      </c>
      <c r="Z195" s="182" t="n">
        <v>0</v>
      </c>
      <c r="AA195" s="182" t="n">
        <v>0</v>
      </c>
      <c r="AB195" s="182" t="n">
        <v>0</v>
      </c>
      <c r="AC195" s="182" t="n">
        <v>0</v>
      </c>
      <c r="AD195" s="182" t="n">
        <v>0</v>
      </c>
      <c r="AE195" s="182" t="n">
        <v>0</v>
      </c>
      <c r="AF195" s="182" t="n">
        <v>0</v>
      </c>
      <c r="AG195" s="182" t="n">
        <v>0</v>
      </c>
      <c r="AH195" s="182" t="n">
        <v>0</v>
      </c>
      <c r="AI195" s="182" t="n">
        <v>0</v>
      </c>
      <c r="AJ195" s="182" t="n">
        <v>0</v>
      </c>
      <c r="AK195" s="182" t="n">
        <v>2.35</v>
      </c>
      <c r="AL195" s="182" t="n">
        <v>0</v>
      </c>
      <c r="AM195" s="182" t="n">
        <v>0.07000000000000001</v>
      </c>
      <c r="AN195" s="182" t="n">
        <v>0</v>
      </c>
    </row>
    <row r="196">
      <c r="A196" s="155" t="n">
        <v>46082</v>
      </c>
      <c r="B196" s="156" t="inlineStr">
        <is>
          <t>NS</t>
        </is>
      </c>
      <c r="C196" s="156" t="inlineStr">
        <is>
          <t>DT-510</t>
        </is>
      </c>
      <c r="D196" s="156" t="inlineStr">
        <is>
          <t>SKT 105S</t>
        </is>
      </c>
      <c r="E196" s="156" t="inlineStr">
        <is>
          <t>Hauler</t>
        </is>
      </c>
      <c r="F196" s="156" t="inlineStr">
        <is>
          <t>Hauling OB</t>
        </is>
      </c>
      <c r="G196" s="182" t="n">
        <v>10.2</v>
      </c>
      <c r="H196" s="182" t="n">
        <v>0</v>
      </c>
      <c r="I196" s="182" t="n">
        <v>0</v>
      </c>
      <c r="J196" s="182" t="n">
        <v>0</v>
      </c>
      <c r="K196" s="182" t="n">
        <v>1.8</v>
      </c>
      <c r="L196" s="182" t="n">
        <v>12</v>
      </c>
      <c r="M196" s="182" t="n">
        <v>10.2</v>
      </c>
      <c r="N196" s="182" t="n">
        <v>0</v>
      </c>
      <c r="O196" s="183" t="n">
        <v>33</v>
      </c>
      <c r="P196" s="183" t="n">
        <v>0</v>
      </c>
      <c r="Q196" s="184" t="n">
        <v>673.2</v>
      </c>
      <c r="R196" s="184" t="n">
        <v>0</v>
      </c>
      <c r="S196" s="183" t="n">
        <v>0</v>
      </c>
      <c r="T196" s="183" t="n">
        <v>0</v>
      </c>
      <c r="U196" s="182" t="n">
        <v>0</v>
      </c>
      <c r="V196" s="182" t="n">
        <v>0</v>
      </c>
      <c r="W196" s="182" t="n">
        <v>0</v>
      </c>
      <c r="X196" s="182" t="n">
        <v>0.86</v>
      </c>
      <c r="Y196" s="182" t="n">
        <v>0</v>
      </c>
      <c r="Z196" s="182" t="n">
        <v>0</v>
      </c>
      <c r="AA196" s="182" t="n">
        <v>0</v>
      </c>
      <c r="AB196" s="182" t="n">
        <v>0</v>
      </c>
      <c r="AC196" s="182" t="n">
        <v>0</v>
      </c>
      <c r="AD196" s="182" t="n">
        <v>0.2</v>
      </c>
      <c r="AE196" s="182" t="n">
        <v>0</v>
      </c>
      <c r="AF196" s="182" t="n">
        <v>0</v>
      </c>
      <c r="AG196" s="182" t="n">
        <v>0</v>
      </c>
      <c r="AH196" s="182" t="n">
        <v>0.67</v>
      </c>
      <c r="AI196" s="182" t="n">
        <v>0</v>
      </c>
      <c r="AJ196" s="182" t="n">
        <v>0</v>
      </c>
      <c r="AK196" s="182" t="n">
        <v>0</v>
      </c>
      <c r="AL196" s="182" t="n">
        <v>0</v>
      </c>
      <c r="AM196" s="182" t="n">
        <v>0.07000000000000001</v>
      </c>
      <c r="AN196" s="182" t="n">
        <v>0</v>
      </c>
    </row>
    <row r="197">
      <c r="A197" s="155" t="n">
        <v>46082</v>
      </c>
      <c r="B197" s="156" t="inlineStr">
        <is>
          <t>NS</t>
        </is>
      </c>
      <c r="C197" s="156" t="inlineStr">
        <is>
          <t>DT-521</t>
        </is>
      </c>
      <c r="D197" s="156" t="inlineStr">
        <is>
          <t>SKT 105S</t>
        </is>
      </c>
      <c r="E197" s="156" t="inlineStr">
        <is>
          <t>Hauler</t>
        </is>
      </c>
      <c r="F197" s="156" t="inlineStr">
        <is>
          <t>Hauling OB</t>
        </is>
      </c>
      <c r="G197" s="182" t="n">
        <v>10.56</v>
      </c>
      <c r="H197" s="182" t="n">
        <v>0</v>
      </c>
      <c r="I197" s="182" t="n">
        <v>0</v>
      </c>
      <c r="J197" s="182" t="n">
        <v>0</v>
      </c>
      <c r="K197" s="182" t="n">
        <v>1.44</v>
      </c>
      <c r="L197" s="182" t="n">
        <v>12</v>
      </c>
      <c r="M197" s="182" t="n">
        <v>10.56</v>
      </c>
      <c r="N197" s="182" t="n">
        <v>0</v>
      </c>
      <c r="O197" s="183" t="n">
        <v>44</v>
      </c>
      <c r="P197" s="183" t="n">
        <v>0</v>
      </c>
      <c r="Q197" s="184" t="n">
        <v>897.6</v>
      </c>
      <c r="R197" s="184" t="n">
        <v>0</v>
      </c>
      <c r="S197" s="183" t="n">
        <v>0</v>
      </c>
      <c r="T197" s="183" t="n">
        <v>0</v>
      </c>
      <c r="U197" s="182" t="n">
        <v>0</v>
      </c>
      <c r="V197" s="182" t="n">
        <v>0</v>
      </c>
      <c r="W197" s="182" t="n">
        <v>0</v>
      </c>
      <c r="X197" s="182" t="n">
        <v>0.85</v>
      </c>
      <c r="Y197" s="182" t="n">
        <v>0</v>
      </c>
      <c r="Z197" s="182" t="n">
        <v>0</v>
      </c>
      <c r="AA197" s="182" t="n">
        <v>0</v>
      </c>
      <c r="AB197" s="182" t="n">
        <v>0</v>
      </c>
      <c r="AC197" s="182" t="n">
        <v>0</v>
      </c>
      <c r="AD197" s="182" t="n">
        <v>0.19</v>
      </c>
      <c r="AE197" s="182" t="n">
        <v>0</v>
      </c>
      <c r="AF197" s="182" t="n">
        <v>0</v>
      </c>
      <c r="AG197" s="182" t="n">
        <v>0</v>
      </c>
      <c r="AH197" s="182" t="n">
        <v>0.32</v>
      </c>
      <c r="AI197" s="182" t="n">
        <v>0</v>
      </c>
      <c r="AJ197" s="182" t="n">
        <v>0</v>
      </c>
      <c r="AK197" s="182" t="n">
        <v>0</v>
      </c>
      <c r="AL197" s="182" t="n">
        <v>0</v>
      </c>
      <c r="AM197" s="182" t="n">
        <v>0.07000000000000001</v>
      </c>
      <c r="AN197" s="182" t="n">
        <v>0</v>
      </c>
    </row>
    <row r="198">
      <c r="A198" s="155" t="n">
        <v>46082</v>
      </c>
      <c r="B198" s="156" t="inlineStr">
        <is>
          <t>NS</t>
        </is>
      </c>
      <c r="C198" s="156" t="inlineStr">
        <is>
          <t>DT-516</t>
        </is>
      </c>
      <c r="D198" s="156" t="inlineStr">
        <is>
          <t>SKT 105S</t>
        </is>
      </c>
      <c r="E198" s="156" t="inlineStr">
        <is>
          <t>Hauler</t>
        </is>
      </c>
      <c r="F198" s="156" t="inlineStr">
        <is>
          <t>Hauling OB</t>
        </is>
      </c>
      <c r="G198" s="182" t="n">
        <v>10.31</v>
      </c>
      <c r="H198" s="182" t="n">
        <v>0</v>
      </c>
      <c r="I198" s="182" t="n">
        <v>0</v>
      </c>
      <c r="J198" s="182" t="n">
        <v>0</v>
      </c>
      <c r="K198" s="182" t="n">
        <v>1.69</v>
      </c>
      <c r="L198" s="182" t="n">
        <v>12</v>
      </c>
      <c r="M198" s="182" t="n">
        <v>10.31</v>
      </c>
      <c r="N198" s="182" t="n">
        <v>0</v>
      </c>
      <c r="O198" s="183" t="n">
        <v>45</v>
      </c>
      <c r="P198" s="183" t="n">
        <v>0</v>
      </c>
      <c r="Q198" s="184" t="n">
        <v>918</v>
      </c>
      <c r="R198" s="184" t="n">
        <v>0</v>
      </c>
      <c r="S198" s="183" t="n">
        <v>0</v>
      </c>
      <c r="T198" s="183" t="n">
        <v>0</v>
      </c>
      <c r="U198" s="182" t="n">
        <v>0</v>
      </c>
      <c r="V198" s="182" t="n">
        <v>0</v>
      </c>
      <c r="W198" s="182" t="n">
        <v>0</v>
      </c>
      <c r="X198" s="182" t="n">
        <v>0.89</v>
      </c>
      <c r="Y198" s="182" t="n">
        <v>0</v>
      </c>
      <c r="Z198" s="182" t="n">
        <v>0</v>
      </c>
      <c r="AA198" s="182" t="n">
        <v>0</v>
      </c>
      <c r="AB198" s="182" t="n">
        <v>0</v>
      </c>
      <c r="AC198" s="182" t="n">
        <v>0</v>
      </c>
      <c r="AD198" s="182" t="n">
        <v>0.47</v>
      </c>
      <c r="AE198" s="182" t="n">
        <v>0</v>
      </c>
      <c r="AF198" s="182" t="n">
        <v>0</v>
      </c>
      <c r="AG198" s="182" t="n">
        <v>0</v>
      </c>
      <c r="AH198" s="182" t="n">
        <v>0.25</v>
      </c>
      <c r="AI198" s="182" t="n">
        <v>0</v>
      </c>
      <c r="AJ198" s="182" t="n">
        <v>0</v>
      </c>
      <c r="AK198" s="182" t="n">
        <v>0</v>
      </c>
      <c r="AL198" s="182" t="n">
        <v>0</v>
      </c>
      <c r="AM198" s="182" t="n">
        <v>0.07000000000000001</v>
      </c>
      <c r="AN198" s="182" t="n">
        <v>0</v>
      </c>
    </row>
    <row r="199">
      <c r="A199" s="155" t="n">
        <v>46082</v>
      </c>
      <c r="B199" s="156" t="inlineStr">
        <is>
          <t>NS</t>
        </is>
      </c>
      <c r="C199" s="156" t="inlineStr">
        <is>
          <t>DT-506</t>
        </is>
      </c>
      <c r="D199" s="156" t="inlineStr">
        <is>
          <t>SKT 105S</t>
        </is>
      </c>
      <c r="E199" s="156" t="inlineStr">
        <is>
          <t>Hauler</t>
        </is>
      </c>
      <c r="F199" s="156" t="inlineStr"/>
      <c r="G199" s="182" t="n">
        <v>0</v>
      </c>
      <c r="H199" s="182" t="n">
        <v>12</v>
      </c>
      <c r="I199" s="182" t="n">
        <v>0</v>
      </c>
      <c r="J199" s="182" t="n">
        <v>12</v>
      </c>
      <c r="K199" s="182" t="n">
        <v>0</v>
      </c>
      <c r="L199" s="182" t="n">
        <v>12</v>
      </c>
      <c r="M199" s="182" t="n">
        <v>0</v>
      </c>
      <c r="N199" s="182" t="n">
        <v>0</v>
      </c>
      <c r="O199" s="183" t="n">
        <v>0</v>
      </c>
      <c r="P199" s="183" t="n">
        <v>0</v>
      </c>
      <c r="Q199" s="184" t="n">
        <v>0</v>
      </c>
      <c r="R199" s="184" t="n">
        <v>0</v>
      </c>
      <c r="S199" s="183" t="n">
        <v>0</v>
      </c>
      <c r="T199" s="183" t="n">
        <v>0</v>
      </c>
      <c r="U199" s="182" t="n">
        <v>0</v>
      </c>
      <c r="V199" s="182" t="n">
        <v>0</v>
      </c>
      <c r="W199" s="182" t="n">
        <v>0</v>
      </c>
      <c r="X199" s="182" t="n">
        <v>0</v>
      </c>
      <c r="Y199" s="182" t="n">
        <v>0</v>
      </c>
      <c r="Z199" s="182" t="n">
        <v>0</v>
      </c>
      <c r="AA199" s="182" t="n">
        <v>0</v>
      </c>
      <c r="AB199" s="182" t="n">
        <v>0</v>
      </c>
      <c r="AC199" s="182" t="n">
        <v>0</v>
      </c>
      <c r="AD199" s="182" t="n">
        <v>0</v>
      </c>
      <c r="AE199" s="182" t="n">
        <v>0</v>
      </c>
      <c r="AF199" s="182" t="n">
        <v>0</v>
      </c>
      <c r="AG199" s="182" t="n">
        <v>0</v>
      </c>
      <c r="AH199" s="182" t="n">
        <v>0</v>
      </c>
      <c r="AI199" s="182" t="n">
        <v>0</v>
      </c>
      <c r="AJ199" s="182" t="n">
        <v>0</v>
      </c>
      <c r="AK199" s="182" t="n">
        <v>0</v>
      </c>
      <c r="AL199" s="182" t="n">
        <v>0</v>
      </c>
      <c r="AM199" s="182" t="n">
        <v>0</v>
      </c>
      <c r="AN199" s="182" t="n">
        <v>0</v>
      </c>
    </row>
    <row r="200">
      <c r="A200" s="155" t="n">
        <v>46082</v>
      </c>
      <c r="B200" s="156" t="inlineStr">
        <is>
          <t>NS</t>
        </is>
      </c>
      <c r="C200" s="156" t="inlineStr">
        <is>
          <t>DT-502</t>
        </is>
      </c>
      <c r="D200" s="156" t="inlineStr">
        <is>
          <t>SKT 105S</t>
        </is>
      </c>
      <c r="E200" s="156" t="inlineStr">
        <is>
          <t>Hauler</t>
        </is>
      </c>
      <c r="F200" s="156" t="inlineStr">
        <is>
          <t>Hauling OB</t>
        </is>
      </c>
      <c r="G200" s="182" t="n">
        <v>9.85</v>
      </c>
      <c r="H200" s="182" t="n">
        <v>0</v>
      </c>
      <c r="I200" s="182" t="n">
        <v>0</v>
      </c>
      <c r="J200" s="182" t="n">
        <v>0</v>
      </c>
      <c r="K200" s="182" t="n">
        <v>2.15</v>
      </c>
      <c r="L200" s="182" t="n">
        <v>12</v>
      </c>
      <c r="M200" s="182" t="n">
        <v>9.85</v>
      </c>
      <c r="N200" s="182" t="n">
        <v>0</v>
      </c>
      <c r="O200" s="183" t="n">
        <v>36</v>
      </c>
      <c r="P200" s="183" t="n">
        <v>0</v>
      </c>
      <c r="Q200" s="184" t="n">
        <v>734.4</v>
      </c>
      <c r="R200" s="184" t="n">
        <v>0</v>
      </c>
      <c r="S200" s="183" t="n">
        <v>0</v>
      </c>
      <c r="T200" s="183" t="n">
        <v>0</v>
      </c>
      <c r="U200" s="182" t="n">
        <v>0</v>
      </c>
      <c r="V200" s="182" t="n">
        <v>0</v>
      </c>
      <c r="W200" s="182" t="n">
        <v>0</v>
      </c>
      <c r="X200" s="182" t="n">
        <v>1.19</v>
      </c>
      <c r="Y200" s="182" t="n">
        <v>0</v>
      </c>
      <c r="Z200" s="182" t="n">
        <v>0</v>
      </c>
      <c r="AA200" s="182" t="n">
        <v>0</v>
      </c>
      <c r="AB200" s="182" t="n">
        <v>0</v>
      </c>
      <c r="AC200" s="182" t="n">
        <v>0</v>
      </c>
      <c r="AD200" s="182" t="n">
        <v>0.27</v>
      </c>
      <c r="AE200" s="182" t="n">
        <v>0</v>
      </c>
      <c r="AF200" s="182" t="n">
        <v>0</v>
      </c>
      <c r="AG200" s="182" t="n">
        <v>0</v>
      </c>
      <c r="AH200" s="182" t="n">
        <v>0.57</v>
      </c>
      <c r="AI200" s="182" t="n">
        <v>0</v>
      </c>
      <c r="AJ200" s="182" t="n">
        <v>0</v>
      </c>
      <c r="AK200" s="182" t="n">
        <v>0</v>
      </c>
      <c r="AL200" s="182" t="n">
        <v>0</v>
      </c>
      <c r="AM200" s="182" t="n">
        <v>0.1</v>
      </c>
      <c r="AN200" s="182" t="n">
        <v>0</v>
      </c>
    </row>
    <row r="201">
      <c r="A201" s="155" t="n">
        <v>46082</v>
      </c>
      <c r="B201" s="156" t="inlineStr">
        <is>
          <t>NS</t>
        </is>
      </c>
      <c r="C201" s="156" t="inlineStr">
        <is>
          <t>DT-528</t>
        </is>
      </c>
      <c r="D201" s="156" t="inlineStr">
        <is>
          <t>SKT 105S</t>
        </is>
      </c>
      <c r="E201" s="156" t="inlineStr">
        <is>
          <t>Hauler</t>
        </is>
      </c>
      <c r="F201" s="156" t="inlineStr">
        <is>
          <t>Hauling OB</t>
        </is>
      </c>
      <c r="G201" s="182" t="n">
        <v>9.77</v>
      </c>
      <c r="H201" s="182" t="n">
        <v>0</v>
      </c>
      <c r="I201" s="182" t="n">
        <v>0</v>
      </c>
      <c r="J201" s="182" t="n">
        <v>0</v>
      </c>
      <c r="K201" s="182" t="n">
        <v>2.23</v>
      </c>
      <c r="L201" s="182" t="n">
        <v>12</v>
      </c>
      <c r="M201" s="182" t="n">
        <v>9.77</v>
      </c>
      <c r="N201" s="182" t="n">
        <v>0</v>
      </c>
      <c r="O201" s="183" t="n">
        <v>32</v>
      </c>
      <c r="P201" s="183" t="n">
        <v>0</v>
      </c>
      <c r="Q201" s="184" t="n">
        <v>652.8</v>
      </c>
      <c r="R201" s="184" t="n">
        <v>0</v>
      </c>
      <c r="S201" s="183" t="n">
        <v>0</v>
      </c>
      <c r="T201" s="183" t="n">
        <v>0</v>
      </c>
      <c r="U201" s="182" t="n">
        <v>0</v>
      </c>
      <c r="V201" s="182" t="n">
        <v>0</v>
      </c>
      <c r="W201" s="182" t="n">
        <v>0</v>
      </c>
      <c r="X201" s="182" t="n">
        <v>1.11</v>
      </c>
      <c r="Y201" s="182" t="n">
        <v>0</v>
      </c>
      <c r="Z201" s="182" t="n">
        <v>0</v>
      </c>
      <c r="AA201" s="182" t="n">
        <v>0</v>
      </c>
      <c r="AB201" s="182" t="n">
        <v>0</v>
      </c>
      <c r="AC201" s="182" t="n">
        <v>0</v>
      </c>
      <c r="AD201" s="182" t="n">
        <v>0.26</v>
      </c>
      <c r="AE201" s="182" t="n">
        <v>0</v>
      </c>
      <c r="AF201" s="182" t="n">
        <v>0</v>
      </c>
      <c r="AG201" s="182" t="n">
        <v>0</v>
      </c>
      <c r="AH201" s="182" t="n">
        <v>0.76</v>
      </c>
      <c r="AI201" s="182" t="n">
        <v>0</v>
      </c>
      <c r="AJ201" s="182" t="n">
        <v>0</v>
      </c>
      <c r="AK201" s="182" t="n">
        <v>0</v>
      </c>
      <c r="AL201" s="182" t="n">
        <v>0</v>
      </c>
      <c r="AM201" s="182" t="n">
        <v>0.09</v>
      </c>
      <c r="AN201" s="182" t="n">
        <v>0</v>
      </c>
    </row>
    <row r="202">
      <c r="A202" s="155" t="n">
        <v>46082</v>
      </c>
      <c r="B202" s="156" t="inlineStr">
        <is>
          <t>NS</t>
        </is>
      </c>
      <c r="C202" s="156" t="inlineStr">
        <is>
          <t>DT-529</t>
        </is>
      </c>
      <c r="D202" s="156" t="inlineStr">
        <is>
          <t>SKT 105S</t>
        </is>
      </c>
      <c r="E202" s="156" t="inlineStr">
        <is>
          <t>Hauler</t>
        </is>
      </c>
      <c r="F202" s="156" t="inlineStr">
        <is>
          <t>Hauling OB &amp; Coal</t>
        </is>
      </c>
      <c r="G202" s="182" t="n">
        <v>11.01</v>
      </c>
      <c r="H202" s="182" t="n">
        <v>0</v>
      </c>
      <c r="I202" s="182" t="n">
        <v>0.5</v>
      </c>
      <c r="J202" s="182" t="n">
        <v>0.5</v>
      </c>
      <c r="K202" s="182" t="n">
        <v>0.49</v>
      </c>
      <c r="L202" s="182" t="n">
        <v>12</v>
      </c>
      <c r="M202" s="182" t="n">
        <v>5.06</v>
      </c>
      <c r="N202" s="182" t="n">
        <v>5.95</v>
      </c>
      <c r="O202" s="183" t="n">
        <v>17</v>
      </c>
      <c r="P202" s="183" t="n">
        <v>19</v>
      </c>
      <c r="Q202" s="184" t="n">
        <v>346.8</v>
      </c>
      <c r="R202" s="184" t="n">
        <v>355.3</v>
      </c>
      <c r="S202" s="183" t="n">
        <v>0</v>
      </c>
      <c r="T202" s="183" t="n">
        <v>0</v>
      </c>
      <c r="U202" s="182" t="n">
        <v>0</v>
      </c>
      <c r="V202" s="182" t="n">
        <v>0</v>
      </c>
      <c r="W202" s="182" t="n">
        <v>0</v>
      </c>
      <c r="X202" s="182" t="n">
        <v>0.39</v>
      </c>
      <c r="Y202" s="182" t="n">
        <v>0</v>
      </c>
      <c r="Z202" s="182" t="n">
        <v>0</v>
      </c>
      <c r="AA202" s="182" t="n">
        <v>0</v>
      </c>
      <c r="AB202" s="182" t="n">
        <v>0</v>
      </c>
      <c r="AC202" s="182" t="n">
        <v>0</v>
      </c>
      <c r="AD202" s="182" t="n">
        <v>0</v>
      </c>
      <c r="AE202" s="182" t="n">
        <v>0</v>
      </c>
      <c r="AF202" s="182" t="n">
        <v>0</v>
      </c>
      <c r="AG202" s="182" t="n">
        <v>0</v>
      </c>
      <c r="AH202" s="182" t="n">
        <v>0</v>
      </c>
      <c r="AI202" s="182" t="n">
        <v>0</v>
      </c>
      <c r="AJ202" s="182" t="n">
        <v>0</v>
      </c>
      <c r="AK202" s="182" t="n">
        <v>0</v>
      </c>
      <c r="AL202" s="182" t="n">
        <v>0</v>
      </c>
      <c r="AM202" s="182" t="n">
        <v>0.1</v>
      </c>
      <c r="AN202" s="182" t="n">
        <v>0</v>
      </c>
    </row>
    <row r="203">
      <c r="A203" s="155" t="n">
        <v>46082</v>
      </c>
      <c r="B203" s="156" t="inlineStr">
        <is>
          <t>NS</t>
        </is>
      </c>
      <c r="C203" s="156" t="inlineStr">
        <is>
          <t>DT-520</t>
        </is>
      </c>
      <c r="D203" s="156" t="inlineStr">
        <is>
          <t>SKT 105S</t>
        </is>
      </c>
      <c r="E203" s="156" t="inlineStr">
        <is>
          <t>Hauler</t>
        </is>
      </c>
      <c r="F203" s="156" t="inlineStr">
        <is>
          <t>Hauling OB</t>
        </is>
      </c>
      <c r="G203" s="182" t="n">
        <v>9.960000000000001</v>
      </c>
      <c r="H203" s="182" t="n">
        <v>0</v>
      </c>
      <c r="I203" s="182" t="n">
        <v>0</v>
      </c>
      <c r="J203" s="182" t="n">
        <v>0</v>
      </c>
      <c r="K203" s="182" t="n">
        <v>2.04</v>
      </c>
      <c r="L203" s="182" t="n">
        <v>12</v>
      </c>
      <c r="M203" s="182" t="n">
        <v>9.960000000000001</v>
      </c>
      <c r="N203" s="182" t="n">
        <v>0</v>
      </c>
      <c r="O203" s="183" t="n">
        <v>39</v>
      </c>
      <c r="P203" s="183" t="n">
        <v>0</v>
      </c>
      <c r="Q203" s="184" t="n">
        <v>795.6</v>
      </c>
      <c r="R203" s="184" t="n">
        <v>0</v>
      </c>
      <c r="S203" s="183" t="n">
        <v>0</v>
      </c>
      <c r="T203" s="183" t="n">
        <v>0</v>
      </c>
      <c r="U203" s="182" t="n">
        <v>0</v>
      </c>
      <c r="V203" s="182" t="n">
        <v>0</v>
      </c>
      <c r="W203" s="182" t="n">
        <v>0</v>
      </c>
      <c r="X203" s="182" t="n">
        <v>0.93</v>
      </c>
      <c r="Y203" s="182" t="n">
        <v>0</v>
      </c>
      <c r="Z203" s="182" t="n">
        <v>0</v>
      </c>
      <c r="AA203" s="182" t="n">
        <v>0</v>
      </c>
      <c r="AB203" s="182" t="n">
        <v>0</v>
      </c>
      <c r="AC203" s="182" t="n">
        <v>0</v>
      </c>
      <c r="AD203" s="182" t="n">
        <v>0.21</v>
      </c>
      <c r="AE203" s="182" t="n">
        <v>0</v>
      </c>
      <c r="AF203" s="182" t="n">
        <v>0</v>
      </c>
      <c r="AG203" s="182" t="n">
        <v>0</v>
      </c>
      <c r="AH203" s="182" t="n">
        <v>0.82</v>
      </c>
      <c r="AI203" s="182" t="n">
        <v>0</v>
      </c>
      <c r="AJ203" s="182" t="n">
        <v>0</v>
      </c>
      <c r="AK203" s="182" t="n">
        <v>0</v>
      </c>
      <c r="AL203" s="182" t="n">
        <v>0</v>
      </c>
      <c r="AM203" s="182" t="n">
        <v>0.07000000000000001</v>
      </c>
      <c r="AN203" s="182" t="n">
        <v>0</v>
      </c>
    </row>
    <row r="204">
      <c r="A204" s="155" t="n">
        <v>46082</v>
      </c>
      <c r="B204" s="156" t="inlineStr">
        <is>
          <t>NS</t>
        </is>
      </c>
      <c r="C204" s="156" t="inlineStr">
        <is>
          <t>DT-511</t>
        </is>
      </c>
      <c r="D204" s="156" t="inlineStr">
        <is>
          <t>SKT 105S</t>
        </is>
      </c>
      <c r="E204" s="156" t="inlineStr">
        <is>
          <t>Hauler</t>
        </is>
      </c>
      <c r="F204" s="156" t="inlineStr"/>
      <c r="G204" s="182" t="n">
        <v>0</v>
      </c>
      <c r="H204" s="182" t="n">
        <v>0</v>
      </c>
      <c r="I204" s="182" t="n">
        <v>12</v>
      </c>
      <c r="J204" s="182" t="n">
        <v>12</v>
      </c>
      <c r="K204" s="182" t="n">
        <v>0</v>
      </c>
      <c r="L204" s="182" t="n">
        <v>12</v>
      </c>
      <c r="M204" s="182" t="n">
        <v>0</v>
      </c>
      <c r="N204" s="182" t="n">
        <v>0</v>
      </c>
      <c r="O204" s="183" t="n">
        <v>0</v>
      </c>
      <c r="P204" s="183" t="n">
        <v>0</v>
      </c>
      <c r="Q204" s="184" t="n">
        <v>0</v>
      </c>
      <c r="R204" s="184" t="n">
        <v>0</v>
      </c>
      <c r="S204" s="183" t="n">
        <v>0</v>
      </c>
      <c r="T204" s="183" t="n">
        <v>0</v>
      </c>
      <c r="U204" s="182" t="n">
        <v>0</v>
      </c>
      <c r="V204" s="182" t="n">
        <v>0</v>
      </c>
      <c r="W204" s="182" t="n">
        <v>0</v>
      </c>
      <c r="X204" s="182" t="n">
        <v>0</v>
      </c>
      <c r="Y204" s="182" t="n">
        <v>0</v>
      </c>
      <c r="Z204" s="182" t="n">
        <v>0</v>
      </c>
      <c r="AA204" s="182" t="n">
        <v>0</v>
      </c>
      <c r="AB204" s="182" t="n">
        <v>0</v>
      </c>
      <c r="AC204" s="182" t="n">
        <v>0</v>
      </c>
      <c r="AD204" s="182" t="n">
        <v>0</v>
      </c>
      <c r="AE204" s="182" t="n">
        <v>0</v>
      </c>
      <c r="AF204" s="182" t="n">
        <v>0</v>
      </c>
      <c r="AG204" s="182" t="n">
        <v>0</v>
      </c>
      <c r="AH204" s="182" t="n">
        <v>0</v>
      </c>
      <c r="AI204" s="182" t="n">
        <v>0</v>
      </c>
      <c r="AJ204" s="182" t="n">
        <v>0</v>
      </c>
      <c r="AK204" s="182" t="n">
        <v>0</v>
      </c>
      <c r="AL204" s="182" t="n">
        <v>0</v>
      </c>
      <c r="AM204" s="182" t="n">
        <v>0</v>
      </c>
      <c r="AN204" s="182" t="n">
        <v>0</v>
      </c>
    </row>
    <row r="205">
      <c r="A205" s="155" t="n">
        <v>46082</v>
      </c>
      <c r="B205" s="156" t="inlineStr">
        <is>
          <t>NS</t>
        </is>
      </c>
      <c r="C205" s="156" t="inlineStr">
        <is>
          <t>DT-509</t>
        </is>
      </c>
      <c r="D205" s="156" t="inlineStr">
        <is>
          <t>SKT 105S</t>
        </is>
      </c>
      <c r="E205" s="156" t="inlineStr">
        <is>
          <t>Hauler</t>
        </is>
      </c>
      <c r="F205" s="156" t="inlineStr"/>
      <c r="G205" s="182" t="n">
        <v>0</v>
      </c>
      <c r="H205" s="182" t="n">
        <v>0</v>
      </c>
      <c r="I205" s="182" t="n">
        <v>12</v>
      </c>
      <c r="J205" s="182" t="n">
        <v>12</v>
      </c>
      <c r="K205" s="182" t="n">
        <v>0</v>
      </c>
      <c r="L205" s="182" t="n">
        <v>12</v>
      </c>
      <c r="M205" s="182" t="n">
        <v>0</v>
      </c>
      <c r="N205" s="182" t="n">
        <v>0</v>
      </c>
      <c r="O205" s="183" t="n">
        <v>0</v>
      </c>
      <c r="P205" s="183" t="n">
        <v>0</v>
      </c>
      <c r="Q205" s="184" t="n">
        <v>0</v>
      </c>
      <c r="R205" s="184" t="n">
        <v>0</v>
      </c>
      <c r="S205" s="183" t="n">
        <v>0</v>
      </c>
      <c r="T205" s="183" t="n">
        <v>0</v>
      </c>
      <c r="U205" s="182" t="n">
        <v>0</v>
      </c>
      <c r="V205" s="182" t="n">
        <v>0</v>
      </c>
      <c r="W205" s="182" t="n">
        <v>0</v>
      </c>
      <c r="X205" s="182" t="n">
        <v>0</v>
      </c>
      <c r="Y205" s="182" t="n">
        <v>0</v>
      </c>
      <c r="Z205" s="182" t="n">
        <v>0</v>
      </c>
      <c r="AA205" s="182" t="n">
        <v>0</v>
      </c>
      <c r="AB205" s="182" t="n">
        <v>0</v>
      </c>
      <c r="AC205" s="182" t="n">
        <v>0</v>
      </c>
      <c r="AD205" s="182" t="n">
        <v>0</v>
      </c>
      <c r="AE205" s="182" t="n">
        <v>0</v>
      </c>
      <c r="AF205" s="182" t="n">
        <v>0</v>
      </c>
      <c r="AG205" s="182" t="n">
        <v>0</v>
      </c>
      <c r="AH205" s="182" t="n">
        <v>0</v>
      </c>
      <c r="AI205" s="182" t="n">
        <v>0</v>
      </c>
      <c r="AJ205" s="182" t="n">
        <v>0</v>
      </c>
      <c r="AK205" s="182" t="n">
        <v>0</v>
      </c>
      <c r="AL205" s="182" t="n">
        <v>0</v>
      </c>
      <c r="AM205" s="182" t="n">
        <v>0</v>
      </c>
      <c r="AN205" s="182" t="n">
        <v>0</v>
      </c>
    </row>
    <row r="206">
      <c r="A206" s="155" t="n">
        <v>46082</v>
      </c>
      <c r="B206" s="156" t="inlineStr">
        <is>
          <t>NS</t>
        </is>
      </c>
      <c r="C206" s="156" t="inlineStr">
        <is>
          <t>DT-526</t>
        </is>
      </c>
      <c r="D206" s="156" t="inlineStr">
        <is>
          <t>SKT 105S</t>
        </is>
      </c>
      <c r="E206" s="156" t="inlineStr">
        <is>
          <t>Hauler</t>
        </is>
      </c>
      <c r="F206" s="156" t="inlineStr">
        <is>
          <t>Hauling OB</t>
        </is>
      </c>
      <c r="G206" s="182" t="n">
        <v>2.58</v>
      </c>
      <c r="H206" s="182" t="n">
        <v>0</v>
      </c>
      <c r="I206" s="182" t="n">
        <v>9.42</v>
      </c>
      <c r="J206" s="182" t="n">
        <v>9.42</v>
      </c>
      <c r="K206" s="182" t="n">
        <v>0</v>
      </c>
      <c r="L206" s="182" t="n">
        <v>12</v>
      </c>
      <c r="M206" s="182" t="n">
        <v>2.58</v>
      </c>
      <c r="N206" s="182" t="n">
        <v>0</v>
      </c>
      <c r="O206" s="183" t="n">
        <v>10</v>
      </c>
      <c r="P206" s="183" t="n">
        <v>0</v>
      </c>
      <c r="Q206" s="184" t="n">
        <v>204</v>
      </c>
      <c r="R206" s="184" t="n">
        <v>0</v>
      </c>
      <c r="S206" s="183" t="n">
        <v>0</v>
      </c>
      <c r="T206" s="183" t="n">
        <v>0</v>
      </c>
      <c r="U206" s="182" t="n">
        <v>0</v>
      </c>
      <c r="V206" s="182" t="n">
        <v>0</v>
      </c>
      <c r="W206" s="182" t="n">
        <v>0</v>
      </c>
      <c r="X206" s="182" t="n">
        <v>0</v>
      </c>
      <c r="Y206" s="182" t="n">
        <v>0</v>
      </c>
      <c r="Z206" s="182" t="n">
        <v>0</v>
      </c>
      <c r="AA206" s="182" t="n">
        <v>0</v>
      </c>
      <c r="AB206" s="182" t="n">
        <v>0</v>
      </c>
      <c r="AC206" s="182" t="n">
        <v>0</v>
      </c>
      <c r="AD206" s="182" t="n">
        <v>0</v>
      </c>
      <c r="AE206" s="182" t="n">
        <v>0</v>
      </c>
      <c r="AF206" s="182" t="n">
        <v>0</v>
      </c>
      <c r="AG206" s="182" t="n">
        <v>0</v>
      </c>
      <c r="AH206" s="182" t="n">
        <v>0</v>
      </c>
      <c r="AI206" s="182" t="n">
        <v>0</v>
      </c>
      <c r="AJ206" s="182" t="n">
        <v>0</v>
      </c>
      <c r="AK206" s="182" t="n">
        <v>0</v>
      </c>
      <c r="AL206" s="182" t="n">
        <v>0</v>
      </c>
      <c r="AM206" s="182" t="n">
        <v>0</v>
      </c>
      <c r="AN206" s="182" t="n">
        <v>0</v>
      </c>
    </row>
    <row r="207">
      <c r="A207" s="155" t="n">
        <v>46082</v>
      </c>
      <c r="B207" s="156" t="inlineStr">
        <is>
          <t>NS</t>
        </is>
      </c>
      <c r="C207" s="156" t="inlineStr">
        <is>
          <t>DT-508</t>
        </is>
      </c>
      <c r="D207" s="156" t="inlineStr">
        <is>
          <t>SKT 105S</t>
        </is>
      </c>
      <c r="E207" s="156" t="inlineStr">
        <is>
          <t>Hauler</t>
        </is>
      </c>
      <c r="F207" s="156" t="inlineStr">
        <is>
          <t>Hauling OB &amp; Coal</t>
        </is>
      </c>
      <c r="G207" s="182" t="n">
        <v>9.98</v>
      </c>
      <c r="H207" s="182" t="n">
        <v>0</v>
      </c>
      <c r="I207" s="182" t="n">
        <v>0</v>
      </c>
      <c r="J207" s="182" t="n">
        <v>0</v>
      </c>
      <c r="K207" s="182" t="n">
        <v>2.02</v>
      </c>
      <c r="L207" s="182" t="n">
        <v>12</v>
      </c>
      <c r="M207" s="182" t="n">
        <v>4.17</v>
      </c>
      <c r="N207" s="182" t="n">
        <v>5.81</v>
      </c>
      <c r="O207" s="183" t="n">
        <v>17</v>
      </c>
      <c r="P207" s="183" t="n">
        <v>17</v>
      </c>
      <c r="Q207" s="184" t="n">
        <v>346.8</v>
      </c>
      <c r="R207" s="184" t="n">
        <v>317.9</v>
      </c>
      <c r="S207" s="183" t="n">
        <v>0</v>
      </c>
      <c r="T207" s="183" t="n">
        <v>0</v>
      </c>
      <c r="U207" s="182" t="n">
        <v>0</v>
      </c>
      <c r="V207" s="182" t="n">
        <v>0</v>
      </c>
      <c r="W207" s="182" t="n">
        <v>0</v>
      </c>
      <c r="X207" s="182" t="n">
        <v>1.19</v>
      </c>
      <c r="Y207" s="182" t="n">
        <v>0</v>
      </c>
      <c r="Z207" s="182" t="n">
        <v>0</v>
      </c>
      <c r="AA207" s="182" t="n">
        <v>0</v>
      </c>
      <c r="AB207" s="182" t="n">
        <v>0</v>
      </c>
      <c r="AC207" s="182" t="n">
        <v>0</v>
      </c>
      <c r="AD207" s="182" t="n">
        <v>0</v>
      </c>
      <c r="AE207" s="182" t="n">
        <v>0</v>
      </c>
      <c r="AF207" s="182" t="n">
        <v>0</v>
      </c>
      <c r="AG207" s="182" t="n">
        <v>0</v>
      </c>
      <c r="AH207" s="182" t="n">
        <v>0.74</v>
      </c>
      <c r="AI207" s="182" t="n">
        <v>0</v>
      </c>
      <c r="AJ207" s="182" t="n">
        <v>0</v>
      </c>
      <c r="AK207" s="182" t="n">
        <v>0</v>
      </c>
      <c r="AL207" s="182" t="n">
        <v>0</v>
      </c>
      <c r="AM207" s="182" t="n">
        <v>0.1</v>
      </c>
      <c r="AN207" s="182" t="n">
        <v>0</v>
      </c>
    </row>
    <row r="208">
      <c r="A208" s="155" t="n">
        <v>46082</v>
      </c>
      <c r="B208" s="156" t="inlineStr">
        <is>
          <t>NS</t>
        </is>
      </c>
      <c r="C208" s="156" t="inlineStr">
        <is>
          <t>DT-515</t>
        </is>
      </c>
      <c r="D208" s="156" t="inlineStr">
        <is>
          <t>SKT 105S</t>
        </is>
      </c>
      <c r="E208" s="156" t="inlineStr">
        <is>
          <t>Hauler</t>
        </is>
      </c>
      <c r="F208" s="156" t="inlineStr">
        <is>
          <t>Hauling OB &amp; Coal</t>
        </is>
      </c>
      <c r="G208" s="182" t="n">
        <v>10.34</v>
      </c>
      <c r="H208" s="182" t="n">
        <v>0</v>
      </c>
      <c r="I208" s="182" t="n">
        <v>0</v>
      </c>
      <c r="J208" s="182" t="n">
        <v>0</v>
      </c>
      <c r="K208" s="182" t="n">
        <v>1.66</v>
      </c>
      <c r="L208" s="182" t="n">
        <v>12</v>
      </c>
      <c r="M208" s="182" t="n">
        <v>4.2</v>
      </c>
      <c r="N208" s="182" t="n">
        <v>6.14</v>
      </c>
      <c r="O208" s="183" t="n">
        <v>16</v>
      </c>
      <c r="P208" s="183" t="n">
        <v>18</v>
      </c>
      <c r="Q208" s="184" t="n">
        <v>326.4</v>
      </c>
      <c r="R208" s="184" t="n">
        <v>336.6</v>
      </c>
      <c r="S208" s="183" t="n">
        <v>0</v>
      </c>
      <c r="T208" s="183" t="n">
        <v>0</v>
      </c>
      <c r="U208" s="182" t="n">
        <v>0</v>
      </c>
      <c r="V208" s="182" t="n">
        <v>0</v>
      </c>
      <c r="W208" s="182" t="n">
        <v>0</v>
      </c>
      <c r="X208" s="182" t="n">
        <v>0.87</v>
      </c>
      <c r="Y208" s="182" t="n">
        <v>0</v>
      </c>
      <c r="Z208" s="182" t="n">
        <v>0</v>
      </c>
      <c r="AA208" s="182" t="n">
        <v>0</v>
      </c>
      <c r="AB208" s="182" t="n">
        <v>0</v>
      </c>
      <c r="AC208" s="182" t="n">
        <v>0</v>
      </c>
      <c r="AD208" s="182" t="n">
        <v>0</v>
      </c>
      <c r="AE208" s="182" t="n">
        <v>0</v>
      </c>
      <c r="AF208" s="182" t="n">
        <v>0</v>
      </c>
      <c r="AG208" s="182" t="n">
        <v>0</v>
      </c>
      <c r="AH208" s="182" t="n">
        <v>0.72</v>
      </c>
      <c r="AI208" s="182" t="n">
        <v>0</v>
      </c>
      <c r="AJ208" s="182" t="n">
        <v>0</v>
      </c>
      <c r="AK208" s="182" t="n">
        <v>0</v>
      </c>
      <c r="AL208" s="182" t="n">
        <v>0</v>
      </c>
      <c r="AM208" s="182" t="n">
        <v>0.07000000000000001</v>
      </c>
      <c r="AN208" s="182" t="n">
        <v>0</v>
      </c>
    </row>
    <row r="209">
      <c r="A209" s="155" t="n">
        <v>46082</v>
      </c>
      <c r="B209" s="156" t="inlineStr">
        <is>
          <t>NS</t>
        </is>
      </c>
      <c r="C209" s="156" t="inlineStr">
        <is>
          <t>DT-524</t>
        </is>
      </c>
      <c r="D209" s="156" t="inlineStr">
        <is>
          <t>SKT 105S</t>
        </is>
      </c>
      <c r="E209" s="156" t="inlineStr">
        <is>
          <t>Hauler</t>
        </is>
      </c>
      <c r="F209" s="156" t="inlineStr"/>
      <c r="G209" s="182" t="n">
        <v>0</v>
      </c>
      <c r="H209" s="182" t="n">
        <v>0</v>
      </c>
      <c r="I209" s="182" t="n">
        <v>12</v>
      </c>
      <c r="J209" s="182" t="n">
        <v>12</v>
      </c>
      <c r="K209" s="182" t="n">
        <v>0</v>
      </c>
      <c r="L209" s="182" t="n">
        <v>12</v>
      </c>
      <c r="M209" s="182" t="n">
        <v>0</v>
      </c>
      <c r="N209" s="182" t="n">
        <v>0</v>
      </c>
      <c r="O209" s="183" t="n">
        <v>0</v>
      </c>
      <c r="P209" s="183" t="n">
        <v>0</v>
      </c>
      <c r="Q209" s="184" t="n">
        <v>0</v>
      </c>
      <c r="R209" s="184" t="n">
        <v>0</v>
      </c>
      <c r="S209" s="183" t="n">
        <v>0</v>
      </c>
      <c r="T209" s="183" t="n">
        <v>0</v>
      </c>
      <c r="U209" s="182" t="n">
        <v>0</v>
      </c>
      <c r="V209" s="182" t="n">
        <v>0</v>
      </c>
      <c r="W209" s="182" t="n">
        <v>0</v>
      </c>
      <c r="X209" s="182" t="n">
        <v>0</v>
      </c>
      <c r="Y209" s="182" t="n">
        <v>0</v>
      </c>
      <c r="Z209" s="182" t="n">
        <v>0</v>
      </c>
      <c r="AA209" s="182" t="n">
        <v>0</v>
      </c>
      <c r="AB209" s="182" t="n">
        <v>0</v>
      </c>
      <c r="AC209" s="182" t="n">
        <v>0</v>
      </c>
      <c r="AD209" s="182" t="n">
        <v>0</v>
      </c>
      <c r="AE209" s="182" t="n">
        <v>0</v>
      </c>
      <c r="AF209" s="182" t="n">
        <v>0</v>
      </c>
      <c r="AG209" s="182" t="n">
        <v>0</v>
      </c>
      <c r="AH209" s="182" t="n">
        <v>0</v>
      </c>
      <c r="AI209" s="182" t="n">
        <v>0</v>
      </c>
      <c r="AJ209" s="182" t="n">
        <v>0</v>
      </c>
      <c r="AK209" s="182" t="n">
        <v>0</v>
      </c>
      <c r="AL209" s="182" t="n">
        <v>0</v>
      </c>
      <c r="AM209" s="182" t="n">
        <v>0</v>
      </c>
      <c r="AN209" s="182" t="n">
        <v>0</v>
      </c>
    </row>
    <row r="210">
      <c r="A210" s="155" t="n">
        <v>46082</v>
      </c>
      <c r="B210" s="156" t="inlineStr">
        <is>
          <t>NS</t>
        </is>
      </c>
      <c r="C210" s="156" t="inlineStr">
        <is>
          <t>DT-341</t>
        </is>
      </c>
      <c r="D210" s="156" t="inlineStr">
        <is>
          <t>SYZ324C-8W</t>
        </is>
      </c>
      <c r="E210" s="156" t="inlineStr">
        <is>
          <t>Hauler</t>
        </is>
      </c>
      <c r="F210" s="156" t="inlineStr">
        <is>
          <t>Support Washing Plant</t>
        </is>
      </c>
      <c r="G210" s="182" t="n">
        <v>3.42</v>
      </c>
      <c r="H210" s="182" t="n">
        <v>0</v>
      </c>
      <c r="I210" s="182" t="n">
        <v>0</v>
      </c>
      <c r="J210" s="182" t="n">
        <v>0</v>
      </c>
      <c r="K210" s="182" t="n">
        <v>8.58</v>
      </c>
      <c r="L210" s="182" t="n">
        <v>12</v>
      </c>
      <c r="M210" s="182" t="n">
        <v>0</v>
      </c>
      <c r="N210" s="182" t="n">
        <v>0</v>
      </c>
      <c r="O210" s="183" t="n">
        <v>0</v>
      </c>
      <c r="P210" s="183" t="n">
        <v>0</v>
      </c>
      <c r="Q210" s="184" t="n">
        <v>0</v>
      </c>
      <c r="R210" s="184" t="n">
        <v>0</v>
      </c>
      <c r="S210" s="183" t="n">
        <v>0</v>
      </c>
      <c r="T210" s="183" t="n">
        <v>0</v>
      </c>
      <c r="U210" s="182" t="n">
        <v>0</v>
      </c>
      <c r="V210" s="182" t="n">
        <v>0</v>
      </c>
      <c r="W210" s="182" t="n">
        <v>0</v>
      </c>
      <c r="X210" s="182" t="n">
        <v>1</v>
      </c>
      <c r="Y210" s="182" t="n">
        <v>0</v>
      </c>
      <c r="Z210" s="182" t="n">
        <v>0</v>
      </c>
      <c r="AA210" s="182" t="n">
        <v>0</v>
      </c>
      <c r="AB210" s="182" t="n">
        <v>0</v>
      </c>
      <c r="AC210" s="182" t="n">
        <v>0</v>
      </c>
      <c r="AD210" s="182" t="n">
        <v>0</v>
      </c>
      <c r="AE210" s="182" t="n">
        <v>0</v>
      </c>
      <c r="AF210" s="182" t="n">
        <v>0</v>
      </c>
      <c r="AG210" s="182" t="n">
        <v>0</v>
      </c>
      <c r="AH210" s="182" t="n">
        <v>0</v>
      </c>
      <c r="AI210" s="182" t="n">
        <v>0</v>
      </c>
      <c r="AJ210" s="182" t="n">
        <v>0</v>
      </c>
      <c r="AK210" s="182" t="n">
        <v>7.5</v>
      </c>
      <c r="AL210" s="182" t="n">
        <v>0</v>
      </c>
      <c r="AM210" s="182" t="n">
        <v>0.08</v>
      </c>
      <c r="AN210" s="182" t="n">
        <v>0</v>
      </c>
    </row>
    <row r="211">
      <c r="A211" s="155" t="n">
        <v>46082</v>
      </c>
      <c r="B211" s="156" t="inlineStr">
        <is>
          <t>NS</t>
        </is>
      </c>
      <c r="C211" s="156" t="inlineStr">
        <is>
          <t>DT-342</t>
        </is>
      </c>
      <c r="D211" s="156" t="inlineStr">
        <is>
          <t>SYZ324C-8W</t>
        </is>
      </c>
      <c r="E211" s="156" t="inlineStr">
        <is>
          <t>Hauler</t>
        </is>
      </c>
      <c r="F211" s="156" t="inlineStr"/>
      <c r="G211" s="182" t="n">
        <v>0</v>
      </c>
      <c r="H211" s="182" t="n">
        <v>0</v>
      </c>
      <c r="I211" s="182" t="n">
        <v>9.5</v>
      </c>
      <c r="J211" s="182" t="n">
        <v>9.5</v>
      </c>
      <c r="K211" s="182" t="n">
        <v>2.5</v>
      </c>
      <c r="L211" s="182" t="n">
        <v>12</v>
      </c>
      <c r="M211" s="182" t="n">
        <v>0</v>
      </c>
      <c r="N211" s="182" t="n">
        <v>0</v>
      </c>
      <c r="O211" s="183" t="n">
        <v>0</v>
      </c>
      <c r="P211" s="183" t="n">
        <v>0</v>
      </c>
      <c r="Q211" s="184" t="n">
        <v>0</v>
      </c>
      <c r="R211" s="184" t="n">
        <v>0</v>
      </c>
      <c r="S211" s="183" t="n">
        <v>0</v>
      </c>
      <c r="T211" s="183" t="n">
        <v>0</v>
      </c>
      <c r="U211" s="182" t="n">
        <v>0</v>
      </c>
      <c r="V211" s="182" t="n">
        <v>0</v>
      </c>
      <c r="W211" s="182" t="n">
        <v>0</v>
      </c>
      <c r="X211" s="182" t="n">
        <v>1</v>
      </c>
      <c r="Y211" s="182" t="n">
        <v>0</v>
      </c>
      <c r="Z211" s="182" t="n">
        <v>0</v>
      </c>
      <c r="AA211" s="182" t="n">
        <v>0</v>
      </c>
      <c r="AB211" s="182" t="n">
        <v>0</v>
      </c>
      <c r="AC211" s="182" t="n">
        <v>0</v>
      </c>
      <c r="AD211" s="182" t="n">
        <v>0</v>
      </c>
      <c r="AE211" s="182" t="n">
        <v>0</v>
      </c>
      <c r="AF211" s="182" t="n">
        <v>0</v>
      </c>
      <c r="AG211" s="182" t="n">
        <v>0</v>
      </c>
      <c r="AH211" s="182" t="n">
        <v>0</v>
      </c>
      <c r="AI211" s="182" t="n">
        <v>0</v>
      </c>
      <c r="AJ211" s="182" t="n">
        <v>0</v>
      </c>
      <c r="AK211" s="182" t="n">
        <v>1.42</v>
      </c>
      <c r="AL211" s="182" t="n">
        <v>0</v>
      </c>
      <c r="AM211" s="182" t="n">
        <v>0.08</v>
      </c>
      <c r="AN211" s="182" t="n">
        <v>0</v>
      </c>
    </row>
    <row r="212">
      <c r="A212" s="155" t="n">
        <v>46082</v>
      </c>
      <c r="B212" s="156" t="inlineStr">
        <is>
          <t>NS</t>
        </is>
      </c>
      <c r="C212" s="156" t="inlineStr">
        <is>
          <t>HD-903</t>
        </is>
      </c>
      <c r="D212" s="156" t="inlineStr">
        <is>
          <t>SRT 95C</t>
        </is>
      </c>
      <c r="E212" s="156" t="inlineStr">
        <is>
          <t>Hauler</t>
        </is>
      </c>
      <c r="F212" s="156" t="inlineStr"/>
      <c r="G212" s="182" t="n">
        <v>0</v>
      </c>
      <c r="H212" s="182" t="n">
        <v>0</v>
      </c>
      <c r="I212" s="182" t="n">
        <v>0</v>
      </c>
      <c r="J212" s="182" t="n">
        <v>0</v>
      </c>
      <c r="K212" s="182" t="n">
        <v>12</v>
      </c>
      <c r="L212" s="182" t="n">
        <v>12</v>
      </c>
      <c r="M212" s="182" t="n">
        <v>0</v>
      </c>
      <c r="N212" s="182" t="n">
        <v>0</v>
      </c>
      <c r="O212" s="183" t="n">
        <v>0</v>
      </c>
      <c r="P212" s="183" t="n">
        <v>0</v>
      </c>
      <c r="Q212" s="184" t="n">
        <v>0</v>
      </c>
      <c r="R212" s="184" t="n">
        <v>0</v>
      </c>
      <c r="S212" s="183" t="n">
        <v>0</v>
      </c>
      <c r="T212" s="183" t="n">
        <v>0</v>
      </c>
      <c r="U212" s="182" t="n">
        <v>0</v>
      </c>
      <c r="V212" s="182" t="n">
        <v>0</v>
      </c>
      <c r="W212" s="182" t="n">
        <v>0</v>
      </c>
      <c r="X212" s="182" t="n">
        <v>1</v>
      </c>
      <c r="Y212" s="182" t="n">
        <v>0</v>
      </c>
      <c r="Z212" s="182" t="n">
        <v>0</v>
      </c>
      <c r="AA212" s="182" t="n">
        <v>0</v>
      </c>
      <c r="AB212" s="182" t="n">
        <v>0</v>
      </c>
      <c r="AC212" s="182" t="n">
        <v>0</v>
      </c>
      <c r="AD212" s="182" t="n">
        <v>0</v>
      </c>
      <c r="AE212" s="182" t="n">
        <v>0</v>
      </c>
      <c r="AF212" s="182" t="n">
        <v>0</v>
      </c>
      <c r="AG212" s="182" t="n">
        <v>0</v>
      </c>
      <c r="AH212" s="182" t="n">
        <v>0</v>
      </c>
      <c r="AI212" s="182" t="n">
        <v>0</v>
      </c>
      <c r="AJ212" s="182" t="n">
        <v>0</v>
      </c>
      <c r="AK212" s="182" t="n">
        <v>10.92</v>
      </c>
      <c r="AL212" s="182" t="n">
        <v>0</v>
      </c>
      <c r="AM212" s="182" t="n">
        <v>0.08</v>
      </c>
      <c r="AN212" s="182" t="n">
        <v>0</v>
      </c>
    </row>
    <row r="213">
      <c r="A213" s="155" t="n">
        <v>46082</v>
      </c>
      <c r="B213" s="156" t="inlineStr">
        <is>
          <t>NS</t>
        </is>
      </c>
      <c r="C213" s="156" t="inlineStr">
        <is>
          <t>HD-905</t>
        </is>
      </c>
      <c r="D213" s="156" t="inlineStr">
        <is>
          <t>SRT 95C</t>
        </is>
      </c>
      <c r="E213" s="156" t="inlineStr">
        <is>
          <t>Hauler</t>
        </is>
      </c>
      <c r="F213" s="156" t="inlineStr"/>
      <c r="G213" s="182" t="n">
        <v>0</v>
      </c>
      <c r="H213" s="182" t="n">
        <v>0</v>
      </c>
      <c r="I213" s="182" t="n">
        <v>12</v>
      </c>
      <c r="J213" s="182" t="n">
        <v>12</v>
      </c>
      <c r="K213" s="182" t="n">
        <v>0</v>
      </c>
      <c r="L213" s="182" t="n">
        <v>12</v>
      </c>
      <c r="M213" s="182" t="n">
        <v>0</v>
      </c>
      <c r="N213" s="182" t="n">
        <v>0</v>
      </c>
      <c r="O213" s="183" t="n">
        <v>0</v>
      </c>
      <c r="P213" s="183" t="n">
        <v>0</v>
      </c>
      <c r="Q213" s="184" t="n">
        <v>0</v>
      </c>
      <c r="R213" s="184" t="n">
        <v>0</v>
      </c>
      <c r="S213" s="183" t="n">
        <v>0</v>
      </c>
      <c r="T213" s="183" t="n">
        <v>0</v>
      </c>
      <c r="U213" s="182" t="n">
        <v>0</v>
      </c>
      <c r="V213" s="182" t="n">
        <v>0</v>
      </c>
      <c r="W213" s="182" t="n">
        <v>0</v>
      </c>
      <c r="X213" s="182" t="n">
        <v>0</v>
      </c>
      <c r="Y213" s="182" t="n">
        <v>0</v>
      </c>
      <c r="Z213" s="182" t="n">
        <v>0</v>
      </c>
      <c r="AA213" s="182" t="n">
        <v>0</v>
      </c>
      <c r="AB213" s="182" t="n">
        <v>0</v>
      </c>
      <c r="AC213" s="182" t="n">
        <v>0</v>
      </c>
      <c r="AD213" s="182" t="n">
        <v>0</v>
      </c>
      <c r="AE213" s="182" t="n">
        <v>0</v>
      </c>
      <c r="AF213" s="182" t="n">
        <v>0</v>
      </c>
      <c r="AG213" s="182" t="n">
        <v>0</v>
      </c>
      <c r="AH213" s="182" t="n">
        <v>0</v>
      </c>
      <c r="AI213" s="182" t="n">
        <v>0</v>
      </c>
      <c r="AJ213" s="182" t="n">
        <v>0</v>
      </c>
      <c r="AK213" s="182" t="n">
        <v>0</v>
      </c>
      <c r="AL213" s="182" t="n">
        <v>0</v>
      </c>
      <c r="AM213" s="182" t="n">
        <v>0</v>
      </c>
      <c r="AN213" s="182" t="n">
        <v>0</v>
      </c>
    </row>
    <row r="214">
      <c r="A214" s="155" t="n">
        <v>46082</v>
      </c>
      <c r="B214" s="156" t="inlineStr">
        <is>
          <t>NS</t>
        </is>
      </c>
      <c r="C214" s="156" t="inlineStr">
        <is>
          <t>HD-901</t>
        </is>
      </c>
      <c r="D214" s="156" t="inlineStr">
        <is>
          <t>SRT 95C</t>
        </is>
      </c>
      <c r="E214" s="156" t="inlineStr">
        <is>
          <t>Hauler</t>
        </is>
      </c>
      <c r="F214" s="156" t="inlineStr"/>
      <c r="G214" s="182" t="n">
        <v>0</v>
      </c>
      <c r="H214" s="182" t="n">
        <v>0</v>
      </c>
      <c r="I214" s="182" t="n">
        <v>0</v>
      </c>
      <c r="J214" s="182" t="n">
        <v>0</v>
      </c>
      <c r="K214" s="182" t="n">
        <v>12</v>
      </c>
      <c r="L214" s="182" t="n">
        <v>12</v>
      </c>
      <c r="M214" s="182" t="n">
        <v>0</v>
      </c>
      <c r="N214" s="182" t="n">
        <v>0</v>
      </c>
      <c r="O214" s="183" t="n">
        <v>0</v>
      </c>
      <c r="P214" s="183" t="n">
        <v>0</v>
      </c>
      <c r="Q214" s="184" t="n">
        <v>0</v>
      </c>
      <c r="R214" s="184" t="n">
        <v>0</v>
      </c>
      <c r="S214" s="183" t="n">
        <v>0</v>
      </c>
      <c r="T214" s="183" t="n">
        <v>0</v>
      </c>
      <c r="U214" s="182" t="n">
        <v>0</v>
      </c>
      <c r="V214" s="182" t="n">
        <v>0</v>
      </c>
      <c r="W214" s="182" t="n">
        <v>0</v>
      </c>
      <c r="X214" s="182" t="n">
        <v>1</v>
      </c>
      <c r="Y214" s="182" t="n">
        <v>0</v>
      </c>
      <c r="Z214" s="182" t="n">
        <v>0</v>
      </c>
      <c r="AA214" s="182" t="n">
        <v>0</v>
      </c>
      <c r="AB214" s="182" t="n">
        <v>0</v>
      </c>
      <c r="AC214" s="182" t="n">
        <v>0</v>
      </c>
      <c r="AD214" s="182" t="n">
        <v>0</v>
      </c>
      <c r="AE214" s="182" t="n">
        <v>0</v>
      </c>
      <c r="AF214" s="182" t="n">
        <v>0</v>
      </c>
      <c r="AG214" s="182" t="n">
        <v>0</v>
      </c>
      <c r="AH214" s="182" t="n">
        <v>0</v>
      </c>
      <c r="AI214" s="182" t="n">
        <v>0</v>
      </c>
      <c r="AJ214" s="182" t="n">
        <v>0</v>
      </c>
      <c r="AK214" s="182" t="n">
        <v>10.92</v>
      </c>
      <c r="AL214" s="182" t="n">
        <v>0</v>
      </c>
      <c r="AM214" s="182" t="n">
        <v>0.08</v>
      </c>
      <c r="AN214" s="182" t="n">
        <v>0</v>
      </c>
    </row>
    <row r="215">
      <c r="A215" s="155" t="n">
        <v>46082</v>
      </c>
      <c r="B215" s="156" t="inlineStr">
        <is>
          <t>NS</t>
        </is>
      </c>
      <c r="C215" s="156" t="inlineStr">
        <is>
          <t>HD-904</t>
        </is>
      </c>
      <c r="D215" s="156" t="inlineStr">
        <is>
          <t>SRT 95C</t>
        </is>
      </c>
      <c r="E215" s="156" t="inlineStr">
        <is>
          <t>Hauler</t>
        </is>
      </c>
      <c r="F215" s="156" t="inlineStr"/>
      <c r="G215" s="182" t="n">
        <v>0</v>
      </c>
      <c r="H215" s="182" t="n">
        <v>0</v>
      </c>
      <c r="I215" s="182" t="n">
        <v>12</v>
      </c>
      <c r="J215" s="182" t="n">
        <v>12</v>
      </c>
      <c r="K215" s="182" t="n">
        <v>0</v>
      </c>
      <c r="L215" s="182" t="n">
        <v>12</v>
      </c>
      <c r="M215" s="182" t="n">
        <v>0</v>
      </c>
      <c r="N215" s="182" t="n">
        <v>0</v>
      </c>
      <c r="O215" s="183" t="n">
        <v>0</v>
      </c>
      <c r="P215" s="183" t="n">
        <v>0</v>
      </c>
      <c r="Q215" s="184" t="n">
        <v>0</v>
      </c>
      <c r="R215" s="184" t="n">
        <v>0</v>
      </c>
      <c r="S215" s="183" t="n">
        <v>0</v>
      </c>
      <c r="T215" s="183" t="n">
        <v>0</v>
      </c>
      <c r="U215" s="182" t="n">
        <v>0</v>
      </c>
      <c r="V215" s="182" t="n">
        <v>0</v>
      </c>
      <c r="W215" s="182" t="n">
        <v>0</v>
      </c>
      <c r="X215" s="182" t="n">
        <v>0</v>
      </c>
      <c r="Y215" s="182" t="n">
        <v>0</v>
      </c>
      <c r="Z215" s="182" t="n">
        <v>0</v>
      </c>
      <c r="AA215" s="182" t="n">
        <v>0</v>
      </c>
      <c r="AB215" s="182" t="n">
        <v>0</v>
      </c>
      <c r="AC215" s="182" t="n">
        <v>0</v>
      </c>
      <c r="AD215" s="182" t="n">
        <v>0</v>
      </c>
      <c r="AE215" s="182" t="n">
        <v>0</v>
      </c>
      <c r="AF215" s="182" t="n">
        <v>0</v>
      </c>
      <c r="AG215" s="182" t="n">
        <v>0</v>
      </c>
      <c r="AH215" s="182" t="n">
        <v>0</v>
      </c>
      <c r="AI215" s="182" t="n">
        <v>0</v>
      </c>
      <c r="AJ215" s="182" t="n">
        <v>0</v>
      </c>
      <c r="AK215" s="182" t="n">
        <v>0</v>
      </c>
      <c r="AL215" s="182" t="n">
        <v>0</v>
      </c>
      <c r="AM215" s="182" t="n">
        <v>0</v>
      </c>
      <c r="AN215" s="182" t="n">
        <v>0</v>
      </c>
    </row>
    <row r="216">
      <c r="A216" s="155" t="n">
        <v>46082</v>
      </c>
      <c r="B216" s="156" t="inlineStr">
        <is>
          <t>NS</t>
        </is>
      </c>
      <c r="C216" s="156" t="inlineStr">
        <is>
          <t>HD-902</t>
        </is>
      </c>
      <c r="D216" s="156" t="inlineStr">
        <is>
          <t>SRT 95C</t>
        </is>
      </c>
      <c r="E216" s="156" t="inlineStr">
        <is>
          <t>Hauler</t>
        </is>
      </c>
      <c r="F216" s="156" t="inlineStr"/>
      <c r="G216" s="182" t="n">
        <v>0</v>
      </c>
      <c r="H216" s="182" t="n">
        <v>0</v>
      </c>
      <c r="I216" s="182" t="n">
        <v>0</v>
      </c>
      <c r="J216" s="182" t="n">
        <v>0</v>
      </c>
      <c r="K216" s="182" t="n">
        <v>12</v>
      </c>
      <c r="L216" s="182" t="n">
        <v>12</v>
      </c>
      <c r="M216" s="182" t="n">
        <v>0</v>
      </c>
      <c r="N216" s="182" t="n">
        <v>0</v>
      </c>
      <c r="O216" s="183" t="n">
        <v>0</v>
      </c>
      <c r="P216" s="183" t="n">
        <v>0</v>
      </c>
      <c r="Q216" s="184" t="n">
        <v>0</v>
      </c>
      <c r="R216" s="184" t="n">
        <v>0</v>
      </c>
      <c r="S216" s="183" t="n">
        <v>0</v>
      </c>
      <c r="T216" s="183" t="n">
        <v>0</v>
      </c>
      <c r="U216" s="182" t="n">
        <v>0</v>
      </c>
      <c r="V216" s="182" t="n">
        <v>0</v>
      </c>
      <c r="W216" s="182" t="n">
        <v>0</v>
      </c>
      <c r="X216" s="182" t="n">
        <v>1</v>
      </c>
      <c r="Y216" s="182" t="n">
        <v>0</v>
      </c>
      <c r="Z216" s="182" t="n">
        <v>0</v>
      </c>
      <c r="AA216" s="182" t="n">
        <v>0</v>
      </c>
      <c r="AB216" s="182" t="n">
        <v>0</v>
      </c>
      <c r="AC216" s="182" t="n">
        <v>0</v>
      </c>
      <c r="AD216" s="182" t="n">
        <v>0</v>
      </c>
      <c r="AE216" s="182" t="n">
        <v>0</v>
      </c>
      <c r="AF216" s="182" t="n">
        <v>0</v>
      </c>
      <c r="AG216" s="182" t="n">
        <v>0</v>
      </c>
      <c r="AH216" s="182" t="n">
        <v>0</v>
      </c>
      <c r="AI216" s="182" t="n">
        <v>0</v>
      </c>
      <c r="AJ216" s="182" t="n">
        <v>0</v>
      </c>
      <c r="AK216" s="182" t="n">
        <v>10.92</v>
      </c>
      <c r="AL216" s="182" t="n">
        <v>0</v>
      </c>
      <c r="AM216" s="182" t="n">
        <v>0.08</v>
      </c>
      <c r="AN216" s="182" t="n">
        <v>0</v>
      </c>
    </row>
    <row r="217">
      <c r="A217" s="155" t="n">
        <v>46082</v>
      </c>
      <c r="B217" s="156" t="inlineStr">
        <is>
          <t>NS</t>
        </is>
      </c>
      <c r="C217" s="156" t="inlineStr">
        <is>
          <t>WL-025</t>
        </is>
      </c>
      <c r="D217" s="156" t="inlineStr">
        <is>
          <t>SANY - Loader</t>
        </is>
      </c>
      <c r="E217" s="156" t="inlineStr">
        <is>
          <t>Loader</t>
        </is>
      </c>
      <c r="F217" s="156" t="inlineStr"/>
      <c r="G217" s="182" t="n">
        <v>0</v>
      </c>
      <c r="H217" s="182" t="n">
        <v>0</v>
      </c>
      <c r="I217" s="182" t="n">
        <v>12</v>
      </c>
      <c r="J217" s="182" t="n">
        <v>12</v>
      </c>
      <c r="K217" s="182" t="n">
        <v>0</v>
      </c>
      <c r="L217" s="182" t="n">
        <v>12</v>
      </c>
      <c r="M217" s="182" t="n">
        <v>0</v>
      </c>
      <c r="N217" s="182" t="n">
        <v>0</v>
      </c>
      <c r="O217" s="183" t="n">
        <v>0</v>
      </c>
      <c r="P217" s="183" t="n">
        <v>0</v>
      </c>
      <c r="Q217" s="184" t="n">
        <v>0</v>
      </c>
      <c r="R217" s="184" t="n">
        <v>0</v>
      </c>
      <c r="S217" s="183" t="n">
        <v>0</v>
      </c>
      <c r="T217" s="183" t="n">
        <v>0</v>
      </c>
      <c r="U217" s="182" t="n">
        <v>0</v>
      </c>
      <c r="V217" s="182" t="n">
        <v>0</v>
      </c>
      <c r="W217" s="182" t="n">
        <v>0</v>
      </c>
      <c r="X217" s="182" t="n">
        <v>0</v>
      </c>
      <c r="Y217" s="182" t="n">
        <v>0</v>
      </c>
      <c r="Z217" s="182" t="n">
        <v>0</v>
      </c>
      <c r="AA217" s="182" t="n">
        <v>0</v>
      </c>
      <c r="AB217" s="182" t="n">
        <v>0</v>
      </c>
      <c r="AC217" s="182" t="n">
        <v>0</v>
      </c>
      <c r="AD217" s="182" t="n">
        <v>0</v>
      </c>
      <c r="AE217" s="182" t="n">
        <v>0</v>
      </c>
      <c r="AF217" s="182" t="n">
        <v>0</v>
      </c>
      <c r="AG217" s="182" t="n">
        <v>0</v>
      </c>
      <c r="AH217" s="182" t="n">
        <v>0</v>
      </c>
      <c r="AI217" s="182" t="n">
        <v>0</v>
      </c>
      <c r="AJ217" s="182" t="n">
        <v>0</v>
      </c>
      <c r="AK217" s="182" t="n">
        <v>0</v>
      </c>
      <c r="AL217" s="182" t="n">
        <v>0</v>
      </c>
      <c r="AM217" s="182" t="n">
        <v>0</v>
      </c>
      <c r="AN217" s="182" t="n">
        <v>0</v>
      </c>
    </row>
    <row r="218">
      <c r="A218" s="155" t="n">
        <v>46082</v>
      </c>
      <c r="B218" s="156" t="inlineStr">
        <is>
          <t>NS</t>
        </is>
      </c>
      <c r="C218" s="156" t="inlineStr">
        <is>
          <t>WL-023</t>
        </is>
      </c>
      <c r="D218" s="156" t="inlineStr">
        <is>
          <t>SANY - Loader</t>
        </is>
      </c>
      <c r="E218" s="156" t="inlineStr">
        <is>
          <t>Loader</t>
        </is>
      </c>
      <c r="F218" s="156" t="inlineStr"/>
      <c r="G218" s="182" t="n">
        <v>0</v>
      </c>
      <c r="H218" s="182" t="n">
        <v>0</v>
      </c>
      <c r="I218" s="182" t="n">
        <v>0</v>
      </c>
      <c r="J218" s="182" t="n">
        <v>0</v>
      </c>
      <c r="K218" s="182" t="n">
        <v>12</v>
      </c>
      <c r="L218" s="182" t="n">
        <v>12</v>
      </c>
      <c r="M218" s="182" t="n">
        <v>0</v>
      </c>
      <c r="N218" s="182" t="n">
        <v>0</v>
      </c>
      <c r="O218" s="183" t="n">
        <v>0</v>
      </c>
      <c r="P218" s="183" t="n">
        <v>0</v>
      </c>
      <c r="Q218" s="184" t="n">
        <v>0</v>
      </c>
      <c r="R218" s="184" t="n">
        <v>0</v>
      </c>
      <c r="S218" s="183" t="n">
        <v>0</v>
      </c>
      <c r="T218" s="183" t="n">
        <v>0</v>
      </c>
      <c r="U218" s="182" t="n">
        <v>0</v>
      </c>
      <c r="V218" s="182" t="n">
        <v>0</v>
      </c>
      <c r="W218" s="182" t="n">
        <v>0</v>
      </c>
      <c r="X218" s="182" t="n">
        <v>1</v>
      </c>
      <c r="Y218" s="182" t="n">
        <v>0</v>
      </c>
      <c r="Z218" s="182" t="n">
        <v>0</v>
      </c>
      <c r="AA218" s="182" t="n">
        <v>0</v>
      </c>
      <c r="AB218" s="182" t="n">
        <v>0</v>
      </c>
      <c r="AC218" s="182" t="n">
        <v>0</v>
      </c>
      <c r="AD218" s="182" t="n">
        <v>0</v>
      </c>
      <c r="AE218" s="182" t="n">
        <v>0</v>
      </c>
      <c r="AF218" s="182" t="n">
        <v>0</v>
      </c>
      <c r="AG218" s="182" t="n">
        <v>0</v>
      </c>
      <c r="AH218" s="182" t="n">
        <v>0</v>
      </c>
      <c r="AI218" s="182" t="n">
        <v>0</v>
      </c>
      <c r="AJ218" s="182" t="n">
        <v>0</v>
      </c>
      <c r="AK218" s="182" t="n">
        <v>10.92</v>
      </c>
      <c r="AL218" s="182" t="n">
        <v>0</v>
      </c>
      <c r="AM218" s="182" t="n">
        <v>0.08</v>
      </c>
      <c r="AN218" s="182" t="n">
        <v>0</v>
      </c>
    </row>
    <row r="219">
      <c r="A219" s="155" t="n">
        <v>46082</v>
      </c>
      <c r="B219" s="156" t="inlineStr">
        <is>
          <t>NS</t>
        </is>
      </c>
      <c r="C219" s="156" t="inlineStr">
        <is>
          <t>WL-021</t>
        </is>
      </c>
      <c r="D219" s="156" t="inlineStr">
        <is>
          <t>SANY - Loader</t>
        </is>
      </c>
      <c r="E219" s="156" t="inlineStr">
        <is>
          <t>Loader</t>
        </is>
      </c>
      <c r="F219" s="156" t="inlineStr"/>
      <c r="G219" s="182" t="n">
        <v>0</v>
      </c>
      <c r="H219" s="182" t="n">
        <v>0</v>
      </c>
      <c r="I219" s="182" t="n">
        <v>12</v>
      </c>
      <c r="J219" s="182" t="n">
        <v>12</v>
      </c>
      <c r="K219" s="182" t="n">
        <v>0</v>
      </c>
      <c r="L219" s="182" t="n">
        <v>12</v>
      </c>
      <c r="M219" s="182" t="n">
        <v>0</v>
      </c>
      <c r="N219" s="182" t="n">
        <v>0</v>
      </c>
      <c r="O219" s="183" t="n">
        <v>0</v>
      </c>
      <c r="P219" s="183" t="n">
        <v>0</v>
      </c>
      <c r="Q219" s="184" t="n">
        <v>0</v>
      </c>
      <c r="R219" s="184" t="n">
        <v>0</v>
      </c>
      <c r="S219" s="183" t="n">
        <v>0</v>
      </c>
      <c r="T219" s="183" t="n">
        <v>0</v>
      </c>
      <c r="U219" s="182" t="n">
        <v>0</v>
      </c>
      <c r="V219" s="182" t="n">
        <v>0</v>
      </c>
      <c r="W219" s="182" t="n">
        <v>0</v>
      </c>
      <c r="X219" s="182" t="n">
        <v>0</v>
      </c>
      <c r="Y219" s="182" t="n">
        <v>0</v>
      </c>
      <c r="Z219" s="182" t="n">
        <v>0</v>
      </c>
      <c r="AA219" s="182" t="n">
        <v>0</v>
      </c>
      <c r="AB219" s="182" t="n">
        <v>0</v>
      </c>
      <c r="AC219" s="182" t="n">
        <v>0</v>
      </c>
      <c r="AD219" s="182" t="n">
        <v>0</v>
      </c>
      <c r="AE219" s="182" t="n">
        <v>0</v>
      </c>
      <c r="AF219" s="182" t="n">
        <v>0</v>
      </c>
      <c r="AG219" s="182" t="n">
        <v>0</v>
      </c>
      <c r="AH219" s="182" t="n">
        <v>0</v>
      </c>
      <c r="AI219" s="182" t="n">
        <v>0</v>
      </c>
      <c r="AJ219" s="182" t="n">
        <v>0</v>
      </c>
      <c r="AK219" s="182" t="n">
        <v>0</v>
      </c>
      <c r="AL219" s="182" t="n">
        <v>0</v>
      </c>
      <c r="AM219" s="182" t="n">
        <v>0</v>
      </c>
      <c r="AN219" s="182" t="n">
        <v>0</v>
      </c>
    </row>
    <row r="220">
      <c r="A220" s="155" t="n">
        <v>46082</v>
      </c>
      <c r="B220" s="156" t="inlineStr">
        <is>
          <t>NS</t>
        </is>
      </c>
      <c r="C220" s="156" t="inlineStr">
        <is>
          <t>WL-022</t>
        </is>
      </c>
      <c r="D220" s="156" t="inlineStr">
        <is>
          <t>SANY - Loader</t>
        </is>
      </c>
      <c r="E220" s="156" t="inlineStr">
        <is>
          <t>Loader</t>
        </is>
      </c>
      <c r="F220" s="156" t="inlineStr">
        <is>
          <t>Support Washing Plant</t>
        </is>
      </c>
      <c r="G220" s="182" t="n">
        <v>10.09</v>
      </c>
      <c r="H220" s="182" t="n">
        <v>0</v>
      </c>
      <c r="I220" s="182" t="n">
        <v>0</v>
      </c>
      <c r="J220" s="182" t="n">
        <v>0</v>
      </c>
      <c r="K220" s="182" t="n">
        <v>1.91</v>
      </c>
      <c r="L220" s="182" t="n">
        <v>12</v>
      </c>
      <c r="M220" s="182" t="n">
        <v>0</v>
      </c>
      <c r="N220" s="182" t="n">
        <v>0</v>
      </c>
      <c r="O220" s="183" t="n">
        <v>0</v>
      </c>
      <c r="P220" s="183" t="n">
        <v>0</v>
      </c>
      <c r="Q220" s="184" t="n">
        <v>0</v>
      </c>
      <c r="R220" s="184" t="n">
        <v>0</v>
      </c>
      <c r="S220" s="183" t="n">
        <v>0</v>
      </c>
      <c r="T220" s="183" t="n">
        <v>0</v>
      </c>
      <c r="U220" s="182" t="n">
        <v>0</v>
      </c>
      <c r="V220" s="182" t="n">
        <v>0</v>
      </c>
      <c r="W220" s="182" t="n">
        <v>0</v>
      </c>
      <c r="X220" s="182" t="n">
        <v>1.12</v>
      </c>
      <c r="Y220" s="182" t="n">
        <v>0</v>
      </c>
      <c r="Z220" s="182" t="n">
        <v>0</v>
      </c>
      <c r="AA220" s="182" t="n">
        <v>0</v>
      </c>
      <c r="AB220" s="182" t="n">
        <v>0</v>
      </c>
      <c r="AC220" s="182" t="n">
        <v>0</v>
      </c>
      <c r="AD220" s="182" t="n">
        <v>0</v>
      </c>
      <c r="AE220" s="182" t="n">
        <v>0</v>
      </c>
      <c r="AF220" s="182" t="n">
        <v>0</v>
      </c>
      <c r="AG220" s="182" t="n">
        <v>0</v>
      </c>
      <c r="AH220" s="182" t="n">
        <v>0.7</v>
      </c>
      <c r="AI220" s="182" t="n">
        <v>0</v>
      </c>
      <c r="AJ220" s="182" t="n">
        <v>0</v>
      </c>
      <c r="AK220" s="182" t="n">
        <v>0</v>
      </c>
      <c r="AL220" s="182" t="n">
        <v>0</v>
      </c>
      <c r="AM220" s="182" t="n">
        <v>0.09</v>
      </c>
      <c r="AN220" s="182" t="n">
        <v>0</v>
      </c>
    </row>
    <row r="221">
      <c r="A221" s="155" t="n">
        <v>46082</v>
      </c>
      <c r="B221" s="156" t="inlineStr">
        <is>
          <t>NS</t>
        </is>
      </c>
      <c r="C221" s="156" t="inlineStr">
        <is>
          <t>WL-024</t>
        </is>
      </c>
      <c r="D221" s="156" t="inlineStr">
        <is>
          <t>SANY - Loader</t>
        </is>
      </c>
      <c r="E221" s="156" t="inlineStr">
        <is>
          <t>Loader</t>
        </is>
      </c>
      <c r="F221" s="156" t="inlineStr">
        <is>
          <t>Support Washing Plant</t>
        </is>
      </c>
      <c r="G221" s="182" t="n">
        <v>10.33</v>
      </c>
      <c r="H221" s="182" t="n">
        <v>0</v>
      </c>
      <c r="I221" s="182" t="n">
        <v>0</v>
      </c>
      <c r="J221" s="182" t="n">
        <v>0</v>
      </c>
      <c r="K221" s="182" t="n">
        <v>1.67</v>
      </c>
      <c r="L221" s="182" t="n">
        <v>12</v>
      </c>
      <c r="M221" s="182" t="n">
        <v>0</v>
      </c>
      <c r="N221" s="182" t="n">
        <v>0</v>
      </c>
      <c r="O221" s="183" t="n">
        <v>0</v>
      </c>
      <c r="P221" s="183" t="n">
        <v>0</v>
      </c>
      <c r="Q221" s="184" t="n">
        <v>0</v>
      </c>
      <c r="R221" s="184" t="n">
        <v>0</v>
      </c>
      <c r="S221" s="183" t="n">
        <v>0</v>
      </c>
      <c r="T221" s="183" t="n">
        <v>0</v>
      </c>
      <c r="U221" s="182" t="n">
        <v>0</v>
      </c>
      <c r="V221" s="182" t="n">
        <v>0</v>
      </c>
      <c r="W221" s="182" t="n">
        <v>0</v>
      </c>
      <c r="X221" s="182" t="n">
        <v>0.8</v>
      </c>
      <c r="Y221" s="182" t="n">
        <v>0</v>
      </c>
      <c r="Z221" s="182" t="n">
        <v>0</v>
      </c>
      <c r="AA221" s="182" t="n">
        <v>0</v>
      </c>
      <c r="AB221" s="182" t="n">
        <v>0</v>
      </c>
      <c r="AC221" s="182" t="n">
        <v>0</v>
      </c>
      <c r="AD221" s="182" t="n">
        <v>0</v>
      </c>
      <c r="AE221" s="182" t="n">
        <v>0</v>
      </c>
      <c r="AF221" s="182" t="n">
        <v>0</v>
      </c>
      <c r="AG221" s="182" t="n">
        <v>0</v>
      </c>
      <c r="AH221" s="182" t="n">
        <v>0</v>
      </c>
      <c r="AI221" s="182" t="n">
        <v>0</v>
      </c>
      <c r="AJ221" s="182" t="n">
        <v>0</v>
      </c>
      <c r="AK221" s="182" t="n">
        <v>0.8100000000000001</v>
      </c>
      <c r="AL221" s="182" t="n">
        <v>0</v>
      </c>
      <c r="AM221" s="182" t="n">
        <v>0.06</v>
      </c>
      <c r="AN221" s="182" t="n">
        <v>0</v>
      </c>
    </row>
    <row r="222">
      <c r="A222" s="155" t="n">
        <v>46083</v>
      </c>
      <c r="B222" s="156" t="inlineStr">
        <is>
          <t>DS</t>
        </is>
      </c>
      <c r="C222" s="156" t="inlineStr">
        <is>
          <t>DZ-034</t>
        </is>
      </c>
      <c r="D222" s="156" t="inlineStr">
        <is>
          <t>D 68ESS-12EO</t>
        </is>
      </c>
      <c r="E222" s="156" t="inlineStr">
        <is>
          <t>Bulldozer</t>
        </is>
      </c>
      <c r="F222" s="156" t="inlineStr"/>
      <c r="G222" s="182" t="n">
        <v>0</v>
      </c>
      <c r="H222" s="182" t="n">
        <v>0</v>
      </c>
      <c r="I222" s="182" t="n">
        <v>12</v>
      </c>
      <c r="J222" s="182" t="n">
        <v>12</v>
      </c>
      <c r="K222" s="182" t="n">
        <v>0</v>
      </c>
      <c r="L222" s="182" t="n">
        <v>12</v>
      </c>
      <c r="M222" s="182" t="n">
        <v>0</v>
      </c>
      <c r="N222" s="182" t="n">
        <v>0</v>
      </c>
      <c r="O222" s="183" t="n">
        <v>0</v>
      </c>
      <c r="P222" s="183" t="n">
        <v>0</v>
      </c>
      <c r="Q222" s="184" t="n">
        <v>0</v>
      </c>
      <c r="R222" s="184" t="n">
        <v>0</v>
      </c>
      <c r="S222" s="183" t="n">
        <v>0</v>
      </c>
      <c r="T222" s="183" t="n">
        <v>0</v>
      </c>
      <c r="U222" s="182" t="n">
        <v>0</v>
      </c>
      <c r="V222" s="182" t="n">
        <v>0</v>
      </c>
      <c r="W222" s="182" t="n">
        <v>0</v>
      </c>
      <c r="X222" s="182" t="n">
        <v>0</v>
      </c>
      <c r="Y222" s="182" t="n">
        <v>0</v>
      </c>
      <c r="Z222" s="182" t="n">
        <v>0</v>
      </c>
      <c r="AA222" s="182" t="n">
        <v>0</v>
      </c>
      <c r="AB222" s="182" t="n">
        <v>0</v>
      </c>
      <c r="AC222" s="182" t="n">
        <v>0</v>
      </c>
      <c r="AD222" s="182" t="n">
        <v>0</v>
      </c>
      <c r="AE222" s="182" t="n">
        <v>0</v>
      </c>
      <c r="AF222" s="182" t="n">
        <v>0</v>
      </c>
      <c r="AG222" s="182" t="n">
        <v>0</v>
      </c>
      <c r="AH222" s="182" t="n">
        <v>0</v>
      </c>
      <c r="AI222" s="182" t="n">
        <v>0</v>
      </c>
      <c r="AJ222" s="182" t="n">
        <v>0</v>
      </c>
      <c r="AK222" s="182" t="n">
        <v>0</v>
      </c>
      <c r="AL222" s="182" t="n">
        <v>0</v>
      </c>
      <c r="AM222" s="182" t="n">
        <v>0</v>
      </c>
      <c r="AN222" s="182" t="n">
        <v>0</v>
      </c>
    </row>
    <row r="223">
      <c r="A223" s="155" t="n">
        <v>46083</v>
      </c>
      <c r="B223" s="156" t="inlineStr">
        <is>
          <t>DS</t>
        </is>
      </c>
      <c r="C223" s="156" t="inlineStr">
        <is>
          <t>DZ-033</t>
        </is>
      </c>
      <c r="D223" s="156" t="inlineStr">
        <is>
          <t>D 375A-6R</t>
        </is>
      </c>
      <c r="E223" s="156" t="inlineStr">
        <is>
          <t>Bulldozer</t>
        </is>
      </c>
      <c r="F223" s="156" t="inlineStr"/>
      <c r="G223" s="182" t="n">
        <v>0</v>
      </c>
      <c r="H223" s="182" t="n">
        <v>0</v>
      </c>
      <c r="I223" s="182" t="n">
        <v>12</v>
      </c>
      <c r="J223" s="182" t="n">
        <v>12</v>
      </c>
      <c r="K223" s="182" t="n">
        <v>0</v>
      </c>
      <c r="L223" s="182" t="n">
        <v>12</v>
      </c>
      <c r="M223" s="182" t="n">
        <v>0</v>
      </c>
      <c r="N223" s="182" t="n">
        <v>0</v>
      </c>
      <c r="O223" s="183" t="n">
        <v>0</v>
      </c>
      <c r="P223" s="183" t="n">
        <v>0</v>
      </c>
      <c r="Q223" s="184" t="n">
        <v>0</v>
      </c>
      <c r="R223" s="184" t="n">
        <v>0</v>
      </c>
      <c r="S223" s="183" t="n">
        <v>0</v>
      </c>
      <c r="T223" s="183" t="n">
        <v>0</v>
      </c>
      <c r="U223" s="182" t="n">
        <v>0</v>
      </c>
      <c r="V223" s="182" t="n">
        <v>0</v>
      </c>
      <c r="W223" s="182" t="n">
        <v>0</v>
      </c>
      <c r="X223" s="182" t="n">
        <v>0</v>
      </c>
      <c r="Y223" s="182" t="n">
        <v>0</v>
      </c>
      <c r="Z223" s="182" t="n">
        <v>0</v>
      </c>
      <c r="AA223" s="182" t="n">
        <v>0</v>
      </c>
      <c r="AB223" s="182" t="n">
        <v>0</v>
      </c>
      <c r="AC223" s="182" t="n">
        <v>0</v>
      </c>
      <c r="AD223" s="182" t="n">
        <v>0</v>
      </c>
      <c r="AE223" s="182" t="n">
        <v>0</v>
      </c>
      <c r="AF223" s="182" t="n">
        <v>0</v>
      </c>
      <c r="AG223" s="182" t="n">
        <v>0</v>
      </c>
      <c r="AH223" s="182" t="n">
        <v>0</v>
      </c>
      <c r="AI223" s="182" t="n">
        <v>0</v>
      </c>
      <c r="AJ223" s="182" t="n">
        <v>0</v>
      </c>
      <c r="AK223" s="182" t="n">
        <v>0</v>
      </c>
      <c r="AL223" s="182" t="n">
        <v>0</v>
      </c>
      <c r="AM223" s="182" t="n">
        <v>0</v>
      </c>
      <c r="AN223" s="182" t="n">
        <v>0</v>
      </c>
    </row>
    <row r="224">
      <c r="A224" s="155" t="n">
        <v>46083</v>
      </c>
      <c r="B224" s="156" t="inlineStr">
        <is>
          <t>DS</t>
        </is>
      </c>
      <c r="C224" s="156" t="inlineStr">
        <is>
          <t>DZ-038</t>
        </is>
      </c>
      <c r="D224" s="156" t="inlineStr">
        <is>
          <t>D 85 ESS-2</t>
        </is>
      </c>
      <c r="E224" s="156" t="inlineStr">
        <is>
          <t>Bulldozer</t>
        </is>
      </c>
      <c r="F224" s="156" t="inlineStr">
        <is>
          <t>Support Disposal</t>
        </is>
      </c>
      <c r="G224" s="182" t="n">
        <v>9.449999999999999</v>
      </c>
      <c r="H224" s="182" t="n">
        <v>0</v>
      </c>
      <c r="I224" s="182" t="n">
        <v>0.58</v>
      </c>
      <c r="J224" s="182" t="n">
        <v>0.58</v>
      </c>
      <c r="K224" s="182" t="n">
        <v>1.97</v>
      </c>
      <c r="L224" s="182" t="n">
        <v>12</v>
      </c>
      <c r="M224" s="182" t="n">
        <v>0</v>
      </c>
      <c r="N224" s="182" t="n">
        <v>0</v>
      </c>
      <c r="O224" s="183" t="n">
        <v>0</v>
      </c>
      <c r="P224" s="183" t="n">
        <v>0</v>
      </c>
      <c r="Q224" s="184" t="n">
        <v>0</v>
      </c>
      <c r="R224" s="184" t="n">
        <v>0</v>
      </c>
      <c r="S224" s="183" t="n">
        <v>0</v>
      </c>
      <c r="T224" s="183" t="n">
        <v>0</v>
      </c>
      <c r="U224" s="182" t="n">
        <v>0.91</v>
      </c>
      <c r="V224" s="182" t="n">
        <v>0</v>
      </c>
      <c r="W224" s="182" t="n">
        <v>0</v>
      </c>
      <c r="X224" s="182" t="n">
        <v>0.98</v>
      </c>
      <c r="Y224" s="182" t="n">
        <v>0</v>
      </c>
      <c r="Z224" s="182" t="n">
        <v>0</v>
      </c>
      <c r="AA224" s="182" t="n">
        <v>0</v>
      </c>
      <c r="AB224" s="182" t="n">
        <v>0</v>
      </c>
      <c r="AC224" s="182" t="n">
        <v>0</v>
      </c>
      <c r="AD224" s="182" t="n">
        <v>0</v>
      </c>
      <c r="AE224" s="182" t="n">
        <v>0</v>
      </c>
      <c r="AF224" s="182" t="n">
        <v>0</v>
      </c>
      <c r="AG224" s="182" t="n">
        <v>0</v>
      </c>
      <c r="AH224" s="182" t="n">
        <v>0</v>
      </c>
      <c r="AI224" s="182" t="n">
        <v>0</v>
      </c>
      <c r="AJ224" s="182" t="n">
        <v>0</v>
      </c>
      <c r="AK224" s="182" t="n">
        <v>0</v>
      </c>
      <c r="AL224" s="182" t="n">
        <v>0</v>
      </c>
      <c r="AM224" s="182" t="n">
        <v>0.08</v>
      </c>
      <c r="AN224" s="182" t="n">
        <v>0</v>
      </c>
    </row>
    <row r="225">
      <c r="A225" s="155" t="n">
        <v>46083</v>
      </c>
      <c r="B225" s="156" t="inlineStr">
        <is>
          <t>DS</t>
        </is>
      </c>
      <c r="C225" s="156" t="inlineStr">
        <is>
          <t>DZ-039</t>
        </is>
      </c>
      <c r="D225" s="156" t="inlineStr">
        <is>
          <t>D 85 ESS-2</t>
        </is>
      </c>
      <c r="E225" s="156" t="inlineStr">
        <is>
          <t>Bulldozer</t>
        </is>
      </c>
      <c r="F225" s="156" t="inlineStr">
        <is>
          <t>Support Disposal</t>
        </is>
      </c>
      <c r="G225" s="182" t="n">
        <v>7.17</v>
      </c>
      <c r="H225" s="182" t="n">
        <v>0</v>
      </c>
      <c r="I225" s="182" t="n">
        <v>4.62</v>
      </c>
      <c r="J225" s="182" t="n">
        <v>4.62</v>
      </c>
      <c r="K225" s="182" t="n">
        <v>0.21</v>
      </c>
      <c r="L225" s="182" t="n">
        <v>12</v>
      </c>
      <c r="M225" s="182" t="n">
        <v>0</v>
      </c>
      <c r="N225" s="182" t="n">
        <v>0</v>
      </c>
      <c r="O225" s="183" t="n">
        <v>0</v>
      </c>
      <c r="P225" s="183" t="n">
        <v>0</v>
      </c>
      <c r="Q225" s="184" t="n">
        <v>0</v>
      </c>
      <c r="R225" s="184" t="n">
        <v>0</v>
      </c>
      <c r="S225" s="183" t="n">
        <v>0</v>
      </c>
      <c r="T225" s="183" t="n">
        <v>0</v>
      </c>
      <c r="U225" s="182" t="n">
        <v>0</v>
      </c>
      <c r="V225" s="182" t="n">
        <v>0</v>
      </c>
      <c r="W225" s="182" t="n">
        <v>0</v>
      </c>
      <c r="X225" s="182" t="n">
        <v>0</v>
      </c>
      <c r="Y225" s="182" t="n">
        <v>0</v>
      </c>
      <c r="Z225" s="182" t="n">
        <v>0</v>
      </c>
      <c r="AA225" s="182" t="n">
        <v>0</v>
      </c>
      <c r="AB225" s="182" t="n">
        <v>0</v>
      </c>
      <c r="AC225" s="182" t="n">
        <v>0</v>
      </c>
      <c r="AD225" s="182" t="n">
        <v>0</v>
      </c>
      <c r="AE225" s="182" t="n">
        <v>0</v>
      </c>
      <c r="AF225" s="182" t="n">
        <v>0</v>
      </c>
      <c r="AG225" s="182" t="n">
        <v>0</v>
      </c>
      <c r="AH225" s="182" t="n">
        <v>0</v>
      </c>
      <c r="AI225" s="182" t="n">
        <v>0</v>
      </c>
      <c r="AJ225" s="182" t="n">
        <v>0</v>
      </c>
      <c r="AK225" s="182" t="n">
        <v>0</v>
      </c>
      <c r="AL225" s="182" t="n">
        <v>0</v>
      </c>
      <c r="AM225" s="182" t="n">
        <v>0.21</v>
      </c>
      <c r="AN225" s="182" t="n">
        <v>0</v>
      </c>
    </row>
    <row r="226">
      <c r="A226" s="155" t="n">
        <v>46083</v>
      </c>
      <c r="B226" s="156" t="inlineStr">
        <is>
          <t>DS</t>
        </is>
      </c>
      <c r="C226" s="156" t="inlineStr">
        <is>
          <t>DZ-032</t>
        </is>
      </c>
      <c r="D226" s="156" t="inlineStr">
        <is>
          <t>CAT</t>
        </is>
      </c>
      <c r="E226" s="156" t="inlineStr">
        <is>
          <t>Bulldozer</t>
        </is>
      </c>
      <c r="F226" s="156" t="inlineStr"/>
      <c r="G226" s="182" t="n">
        <v>0</v>
      </c>
      <c r="H226" s="182" t="n">
        <v>0</v>
      </c>
      <c r="I226" s="182" t="n">
        <v>12</v>
      </c>
      <c r="J226" s="182" t="n">
        <v>12</v>
      </c>
      <c r="K226" s="182" t="n">
        <v>0</v>
      </c>
      <c r="L226" s="182" t="n">
        <v>12</v>
      </c>
      <c r="M226" s="182" t="n">
        <v>0</v>
      </c>
      <c r="N226" s="182" t="n">
        <v>0</v>
      </c>
      <c r="O226" s="183" t="n">
        <v>0</v>
      </c>
      <c r="P226" s="183" t="n">
        <v>0</v>
      </c>
      <c r="Q226" s="184" t="n">
        <v>0</v>
      </c>
      <c r="R226" s="184" t="n">
        <v>0</v>
      </c>
      <c r="S226" s="183" t="n">
        <v>0</v>
      </c>
      <c r="T226" s="183" t="n">
        <v>0</v>
      </c>
      <c r="U226" s="182" t="n">
        <v>0</v>
      </c>
      <c r="V226" s="182" t="n">
        <v>0</v>
      </c>
      <c r="W226" s="182" t="n">
        <v>0</v>
      </c>
      <c r="X226" s="182" t="n">
        <v>0</v>
      </c>
      <c r="Y226" s="182" t="n">
        <v>0</v>
      </c>
      <c r="Z226" s="182" t="n">
        <v>0</v>
      </c>
      <c r="AA226" s="182" t="n">
        <v>0</v>
      </c>
      <c r="AB226" s="182" t="n">
        <v>0</v>
      </c>
      <c r="AC226" s="182" t="n">
        <v>0</v>
      </c>
      <c r="AD226" s="182" t="n">
        <v>0</v>
      </c>
      <c r="AE226" s="182" t="n">
        <v>0</v>
      </c>
      <c r="AF226" s="182" t="n">
        <v>0</v>
      </c>
      <c r="AG226" s="182" t="n">
        <v>0</v>
      </c>
      <c r="AH226" s="182" t="n">
        <v>0</v>
      </c>
      <c r="AI226" s="182" t="n">
        <v>0</v>
      </c>
      <c r="AJ226" s="182" t="n">
        <v>0</v>
      </c>
      <c r="AK226" s="182" t="n">
        <v>0</v>
      </c>
      <c r="AL226" s="182" t="n">
        <v>0</v>
      </c>
      <c r="AM226" s="182" t="n">
        <v>0</v>
      </c>
      <c r="AN226" s="182" t="n">
        <v>0</v>
      </c>
    </row>
    <row r="227">
      <c r="A227" s="155" t="n">
        <v>46083</v>
      </c>
      <c r="B227" s="156" t="inlineStr">
        <is>
          <t>DS</t>
        </is>
      </c>
      <c r="C227" s="156" t="inlineStr">
        <is>
          <t>DZ-031</t>
        </is>
      </c>
      <c r="D227" s="156" t="inlineStr">
        <is>
          <t>CAT</t>
        </is>
      </c>
      <c r="E227" s="156" t="inlineStr">
        <is>
          <t>Bulldozer</t>
        </is>
      </c>
      <c r="F227" s="156" t="inlineStr">
        <is>
          <t>Support Front Loading</t>
        </is>
      </c>
      <c r="G227" s="182" t="n">
        <v>11.1</v>
      </c>
      <c r="H227" s="182" t="n">
        <v>0</v>
      </c>
      <c r="I227" s="182" t="n">
        <v>0</v>
      </c>
      <c r="J227" s="182" t="n">
        <v>0</v>
      </c>
      <c r="K227" s="182" t="n">
        <v>0.9</v>
      </c>
      <c r="L227" s="182" t="n">
        <v>12</v>
      </c>
      <c r="M227" s="182" t="n">
        <v>0</v>
      </c>
      <c r="N227" s="182" t="n">
        <v>0</v>
      </c>
      <c r="O227" s="183" t="n">
        <v>0</v>
      </c>
      <c r="P227" s="183" t="n">
        <v>0</v>
      </c>
      <c r="Q227" s="184" t="n">
        <v>0</v>
      </c>
      <c r="R227" s="184" t="n">
        <v>0</v>
      </c>
      <c r="S227" s="183" t="n">
        <v>0</v>
      </c>
      <c r="T227" s="183" t="n">
        <v>0</v>
      </c>
      <c r="U227" s="182" t="n">
        <v>0.82</v>
      </c>
      <c r="V227" s="182" t="n">
        <v>0</v>
      </c>
      <c r="W227" s="182" t="n">
        <v>0</v>
      </c>
      <c r="X227" s="182" t="n">
        <v>0</v>
      </c>
      <c r="Y227" s="182" t="n">
        <v>0</v>
      </c>
      <c r="Z227" s="182" t="n">
        <v>0</v>
      </c>
      <c r="AA227" s="182" t="n">
        <v>0</v>
      </c>
      <c r="AB227" s="182" t="n">
        <v>0</v>
      </c>
      <c r="AC227" s="182" t="n">
        <v>0</v>
      </c>
      <c r="AD227" s="182" t="n">
        <v>0</v>
      </c>
      <c r="AE227" s="182" t="n">
        <v>0</v>
      </c>
      <c r="AF227" s="182" t="n">
        <v>0</v>
      </c>
      <c r="AG227" s="182" t="n">
        <v>0</v>
      </c>
      <c r="AH227" s="182" t="n">
        <v>0</v>
      </c>
      <c r="AI227" s="182" t="n">
        <v>0</v>
      </c>
      <c r="AJ227" s="182" t="n">
        <v>0</v>
      </c>
      <c r="AK227" s="182" t="n">
        <v>0</v>
      </c>
      <c r="AL227" s="182" t="n">
        <v>0</v>
      </c>
      <c r="AM227" s="182" t="n">
        <v>0.08</v>
      </c>
      <c r="AN227" s="182" t="n">
        <v>0</v>
      </c>
    </row>
    <row r="228">
      <c r="A228" s="155" t="n">
        <v>46083</v>
      </c>
      <c r="B228" s="156" t="inlineStr">
        <is>
          <t>DS</t>
        </is>
      </c>
      <c r="C228" s="156" t="inlineStr">
        <is>
          <t>DZ-037</t>
        </is>
      </c>
      <c r="D228" s="156" t="inlineStr">
        <is>
          <t>D 85 ESS-2</t>
        </is>
      </c>
      <c r="E228" s="156" t="inlineStr">
        <is>
          <t>Bulldozer</t>
        </is>
      </c>
      <c r="F228" s="156" t="inlineStr"/>
      <c r="G228" s="182" t="n">
        <v>0</v>
      </c>
      <c r="H228" s="182" t="n">
        <v>0</v>
      </c>
      <c r="I228" s="182" t="n">
        <v>12</v>
      </c>
      <c r="J228" s="182" t="n">
        <v>12</v>
      </c>
      <c r="K228" s="182" t="n">
        <v>0</v>
      </c>
      <c r="L228" s="182" t="n">
        <v>12</v>
      </c>
      <c r="M228" s="182" t="n">
        <v>0</v>
      </c>
      <c r="N228" s="182" t="n">
        <v>0</v>
      </c>
      <c r="O228" s="183" t="n">
        <v>0</v>
      </c>
      <c r="P228" s="183" t="n">
        <v>0</v>
      </c>
      <c r="Q228" s="184" t="n">
        <v>0</v>
      </c>
      <c r="R228" s="184" t="n">
        <v>0</v>
      </c>
      <c r="S228" s="183" t="n">
        <v>0</v>
      </c>
      <c r="T228" s="183" t="n">
        <v>0</v>
      </c>
      <c r="U228" s="182" t="n">
        <v>0</v>
      </c>
      <c r="V228" s="182" t="n">
        <v>0</v>
      </c>
      <c r="W228" s="182" t="n">
        <v>0</v>
      </c>
      <c r="X228" s="182" t="n">
        <v>0</v>
      </c>
      <c r="Y228" s="182" t="n">
        <v>0</v>
      </c>
      <c r="Z228" s="182" t="n">
        <v>0</v>
      </c>
      <c r="AA228" s="182" t="n">
        <v>0</v>
      </c>
      <c r="AB228" s="182" t="n">
        <v>0</v>
      </c>
      <c r="AC228" s="182" t="n">
        <v>0</v>
      </c>
      <c r="AD228" s="182" t="n">
        <v>0</v>
      </c>
      <c r="AE228" s="182" t="n">
        <v>0</v>
      </c>
      <c r="AF228" s="182" t="n">
        <v>0</v>
      </c>
      <c r="AG228" s="182" t="n">
        <v>0</v>
      </c>
      <c r="AH228" s="182" t="n">
        <v>0</v>
      </c>
      <c r="AI228" s="182" t="n">
        <v>0</v>
      </c>
      <c r="AJ228" s="182" t="n">
        <v>0</v>
      </c>
      <c r="AK228" s="182" t="n">
        <v>0</v>
      </c>
      <c r="AL228" s="182" t="n">
        <v>0</v>
      </c>
      <c r="AM228" s="182" t="n">
        <v>0</v>
      </c>
      <c r="AN228" s="182" t="n">
        <v>0</v>
      </c>
    </row>
    <row r="229">
      <c r="A229" s="155" t="n">
        <v>46083</v>
      </c>
      <c r="B229" s="156" t="inlineStr">
        <is>
          <t>DS</t>
        </is>
      </c>
      <c r="C229" s="156" t="inlineStr">
        <is>
          <t>DZ-036</t>
        </is>
      </c>
      <c r="D229" s="156" t="inlineStr">
        <is>
          <t>D 85 ESS-2</t>
        </is>
      </c>
      <c r="E229" s="156" t="inlineStr">
        <is>
          <t>Bulldozer</t>
        </is>
      </c>
      <c r="F229" s="156" t="inlineStr"/>
      <c r="G229" s="182" t="n">
        <v>0</v>
      </c>
      <c r="H229" s="182" t="n">
        <v>0</v>
      </c>
      <c r="I229" s="182" t="n">
        <v>0</v>
      </c>
      <c r="J229" s="182" t="n">
        <v>0</v>
      </c>
      <c r="K229" s="182" t="n">
        <v>12</v>
      </c>
      <c r="L229" s="182" t="n">
        <v>12</v>
      </c>
      <c r="M229" s="182" t="n">
        <v>0</v>
      </c>
      <c r="N229" s="182" t="n">
        <v>0</v>
      </c>
      <c r="O229" s="183" t="n">
        <v>0</v>
      </c>
      <c r="P229" s="183" t="n">
        <v>0</v>
      </c>
      <c r="Q229" s="184" t="n">
        <v>0</v>
      </c>
      <c r="R229" s="184" t="n">
        <v>0</v>
      </c>
      <c r="S229" s="183" t="n">
        <v>0</v>
      </c>
      <c r="T229" s="183" t="n">
        <v>0</v>
      </c>
      <c r="U229" s="182" t="n">
        <v>0</v>
      </c>
      <c r="V229" s="182" t="n">
        <v>0</v>
      </c>
      <c r="W229" s="182" t="n">
        <v>0</v>
      </c>
      <c r="X229" s="182" t="n">
        <v>1</v>
      </c>
      <c r="Y229" s="182" t="n">
        <v>0</v>
      </c>
      <c r="Z229" s="182" t="n">
        <v>0</v>
      </c>
      <c r="AA229" s="182" t="n">
        <v>0</v>
      </c>
      <c r="AB229" s="182" t="n">
        <v>0</v>
      </c>
      <c r="AC229" s="182" t="n">
        <v>0</v>
      </c>
      <c r="AD229" s="182" t="n">
        <v>0</v>
      </c>
      <c r="AE229" s="182" t="n">
        <v>0</v>
      </c>
      <c r="AF229" s="182" t="n">
        <v>0</v>
      </c>
      <c r="AG229" s="182" t="n">
        <v>0</v>
      </c>
      <c r="AH229" s="182" t="n">
        <v>0</v>
      </c>
      <c r="AI229" s="182" t="n">
        <v>0</v>
      </c>
      <c r="AJ229" s="182" t="n">
        <v>0</v>
      </c>
      <c r="AK229" s="182" t="n">
        <v>10.92</v>
      </c>
      <c r="AL229" s="182" t="n">
        <v>0</v>
      </c>
      <c r="AM229" s="182" t="n">
        <v>0.08</v>
      </c>
      <c r="AN229" s="182" t="n">
        <v>0</v>
      </c>
    </row>
    <row r="230">
      <c r="A230" s="155" t="n">
        <v>46083</v>
      </c>
      <c r="B230" s="156" t="inlineStr">
        <is>
          <t>DS</t>
        </is>
      </c>
      <c r="C230" s="156" t="inlineStr">
        <is>
          <t>DZ-035</t>
        </is>
      </c>
      <c r="D230" s="156" t="inlineStr">
        <is>
          <t>D 85 ESS-2</t>
        </is>
      </c>
      <c r="E230" s="156" t="inlineStr">
        <is>
          <t>Bulldozer</t>
        </is>
      </c>
      <c r="F230" s="156" t="inlineStr">
        <is>
          <t>Support Disposal</t>
        </is>
      </c>
      <c r="G230" s="182" t="n">
        <v>10.97</v>
      </c>
      <c r="H230" s="182" t="n">
        <v>0</v>
      </c>
      <c r="I230" s="182" t="n">
        <v>0</v>
      </c>
      <c r="J230" s="182" t="n">
        <v>0</v>
      </c>
      <c r="K230" s="182" t="n">
        <v>1.03</v>
      </c>
      <c r="L230" s="182" t="n">
        <v>12</v>
      </c>
      <c r="M230" s="182" t="n">
        <v>0</v>
      </c>
      <c r="N230" s="182" t="n">
        <v>0</v>
      </c>
      <c r="O230" s="183" t="n">
        <v>0</v>
      </c>
      <c r="P230" s="183" t="n">
        <v>0</v>
      </c>
      <c r="Q230" s="184" t="n">
        <v>0</v>
      </c>
      <c r="R230" s="184" t="n">
        <v>0</v>
      </c>
      <c r="S230" s="183" t="n">
        <v>0</v>
      </c>
      <c r="T230" s="183" t="n">
        <v>0</v>
      </c>
      <c r="U230" s="182" t="n">
        <v>0.9399999999999999</v>
      </c>
      <c r="V230" s="182" t="n">
        <v>0</v>
      </c>
      <c r="W230" s="182" t="n">
        <v>0</v>
      </c>
      <c r="X230" s="182" t="n">
        <v>0</v>
      </c>
      <c r="Y230" s="182" t="n">
        <v>0</v>
      </c>
      <c r="Z230" s="182" t="n">
        <v>0</v>
      </c>
      <c r="AA230" s="182" t="n">
        <v>0</v>
      </c>
      <c r="AB230" s="182" t="n">
        <v>0</v>
      </c>
      <c r="AC230" s="182" t="n">
        <v>0</v>
      </c>
      <c r="AD230" s="182" t="n">
        <v>0</v>
      </c>
      <c r="AE230" s="182" t="n">
        <v>0</v>
      </c>
      <c r="AF230" s="182" t="n">
        <v>0</v>
      </c>
      <c r="AG230" s="182" t="n">
        <v>0</v>
      </c>
      <c r="AH230" s="182" t="n">
        <v>0</v>
      </c>
      <c r="AI230" s="182" t="n">
        <v>0</v>
      </c>
      <c r="AJ230" s="182" t="n">
        <v>0</v>
      </c>
      <c r="AK230" s="182" t="n">
        <v>0</v>
      </c>
      <c r="AL230" s="182" t="n">
        <v>0</v>
      </c>
      <c r="AM230" s="182" t="n">
        <v>0.09</v>
      </c>
      <c r="AN230" s="182" t="n">
        <v>0</v>
      </c>
    </row>
    <row r="231">
      <c r="A231" s="155" t="n">
        <v>46083</v>
      </c>
      <c r="B231" s="156" t="inlineStr">
        <is>
          <t>DS</t>
        </is>
      </c>
      <c r="C231" s="156" t="inlineStr">
        <is>
          <t>CP-042</t>
        </is>
      </c>
      <c r="D231" s="156" t="inlineStr">
        <is>
          <t>SANY - Compactor</t>
        </is>
      </c>
      <c r="E231" s="156" t="inlineStr">
        <is>
          <t>Compactor</t>
        </is>
      </c>
      <c r="F231" s="156" t="inlineStr"/>
      <c r="G231" s="182" t="n">
        <v>0</v>
      </c>
      <c r="H231" s="182" t="n">
        <v>0</v>
      </c>
      <c r="I231" s="182" t="n">
        <v>0</v>
      </c>
      <c r="J231" s="182" t="n">
        <v>0</v>
      </c>
      <c r="K231" s="182" t="n">
        <v>12</v>
      </c>
      <c r="L231" s="182" t="n">
        <v>12</v>
      </c>
      <c r="M231" s="182" t="n">
        <v>0</v>
      </c>
      <c r="N231" s="182" t="n">
        <v>0</v>
      </c>
      <c r="O231" s="183" t="n">
        <v>0</v>
      </c>
      <c r="P231" s="183" t="n">
        <v>0</v>
      </c>
      <c r="Q231" s="184" t="n">
        <v>0</v>
      </c>
      <c r="R231" s="184" t="n">
        <v>0</v>
      </c>
      <c r="S231" s="183" t="n">
        <v>0</v>
      </c>
      <c r="T231" s="183" t="n">
        <v>0</v>
      </c>
      <c r="U231" s="182" t="n">
        <v>0</v>
      </c>
      <c r="V231" s="182" t="n">
        <v>0</v>
      </c>
      <c r="W231" s="182" t="n">
        <v>0</v>
      </c>
      <c r="X231" s="182" t="n">
        <v>1</v>
      </c>
      <c r="Y231" s="182" t="n">
        <v>0</v>
      </c>
      <c r="Z231" s="182" t="n">
        <v>0</v>
      </c>
      <c r="AA231" s="182" t="n">
        <v>0</v>
      </c>
      <c r="AB231" s="182" t="n">
        <v>0</v>
      </c>
      <c r="AC231" s="182" t="n">
        <v>0</v>
      </c>
      <c r="AD231" s="182" t="n">
        <v>0</v>
      </c>
      <c r="AE231" s="182" t="n">
        <v>0</v>
      </c>
      <c r="AF231" s="182" t="n">
        <v>0</v>
      </c>
      <c r="AG231" s="182" t="n">
        <v>0</v>
      </c>
      <c r="AH231" s="182" t="n">
        <v>0</v>
      </c>
      <c r="AI231" s="182" t="n">
        <v>0</v>
      </c>
      <c r="AJ231" s="182" t="n">
        <v>0</v>
      </c>
      <c r="AK231" s="182" t="n">
        <v>10.92</v>
      </c>
      <c r="AL231" s="182" t="n">
        <v>0</v>
      </c>
      <c r="AM231" s="182" t="n">
        <v>0.08</v>
      </c>
      <c r="AN231" s="182" t="n">
        <v>0</v>
      </c>
    </row>
    <row r="232">
      <c r="A232" s="155" t="n">
        <v>46083</v>
      </c>
      <c r="B232" s="156" t="inlineStr">
        <is>
          <t>DS</t>
        </is>
      </c>
      <c r="C232" s="156" t="inlineStr">
        <is>
          <t>CP-041</t>
        </is>
      </c>
      <c r="D232" s="156" t="inlineStr">
        <is>
          <t>SANY - Compactor</t>
        </is>
      </c>
      <c r="E232" s="156" t="inlineStr">
        <is>
          <t>Compactor</t>
        </is>
      </c>
      <c r="F232" s="156" t="inlineStr"/>
      <c r="G232" s="182" t="n">
        <v>0</v>
      </c>
      <c r="H232" s="182" t="n">
        <v>0</v>
      </c>
      <c r="I232" s="182" t="n">
        <v>0</v>
      </c>
      <c r="J232" s="182" t="n">
        <v>0</v>
      </c>
      <c r="K232" s="182" t="n">
        <v>12</v>
      </c>
      <c r="L232" s="182" t="n">
        <v>12</v>
      </c>
      <c r="M232" s="182" t="n">
        <v>0</v>
      </c>
      <c r="N232" s="182" t="n">
        <v>0</v>
      </c>
      <c r="O232" s="183" t="n">
        <v>0</v>
      </c>
      <c r="P232" s="183" t="n">
        <v>0</v>
      </c>
      <c r="Q232" s="184" t="n">
        <v>0</v>
      </c>
      <c r="R232" s="184" t="n">
        <v>0</v>
      </c>
      <c r="S232" s="183" t="n">
        <v>0</v>
      </c>
      <c r="T232" s="183" t="n">
        <v>0</v>
      </c>
      <c r="U232" s="182" t="n">
        <v>0</v>
      </c>
      <c r="V232" s="182" t="n">
        <v>0</v>
      </c>
      <c r="W232" s="182" t="n">
        <v>0</v>
      </c>
      <c r="X232" s="182" t="n">
        <v>1</v>
      </c>
      <c r="Y232" s="182" t="n">
        <v>0</v>
      </c>
      <c r="Z232" s="182" t="n">
        <v>0</v>
      </c>
      <c r="AA232" s="182" t="n">
        <v>0</v>
      </c>
      <c r="AB232" s="182" t="n">
        <v>0</v>
      </c>
      <c r="AC232" s="182" t="n">
        <v>0</v>
      </c>
      <c r="AD232" s="182" t="n">
        <v>0</v>
      </c>
      <c r="AE232" s="182" t="n">
        <v>0</v>
      </c>
      <c r="AF232" s="182" t="n">
        <v>0</v>
      </c>
      <c r="AG232" s="182" t="n">
        <v>0</v>
      </c>
      <c r="AH232" s="182" t="n">
        <v>0</v>
      </c>
      <c r="AI232" s="182" t="n">
        <v>0</v>
      </c>
      <c r="AJ232" s="182" t="n">
        <v>0</v>
      </c>
      <c r="AK232" s="182" t="n">
        <v>10.92</v>
      </c>
      <c r="AL232" s="182" t="n">
        <v>0</v>
      </c>
      <c r="AM232" s="182" t="n">
        <v>0.08</v>
      </c>
      <c r="AN232" s="182" t="n">
        <v>0</v>
      </c>
    </row>
    <row r="233">
      <c r="A233" s="155" t="n">
        <v>46083</v>
      </c>
      <c r="B233" s="156" t="inlineStr">
        <is>
          <t>DS</t>
        </is>
      </c>
      <c r="C233" s="156" t="inlineStr">
        <is>
          <t>HT-418</t>
        </is>
      </c>
      <c r="D233" s="156" t="inlineStr">
        <is>
          <t>SY430</t>
        </is>
      </c>
      <c r="E233" s="156" t="inlineStr">
        <is>
          <t>DT Hauling</t>
        </is>
      </c>
      <c r="F233" s="156" t="inlineStr"/>
      <c r="G233" s="182" t="n">
        <v>0</v>
      </c>
      <c r="H233" s="182" t="n">
        <v>0</v>
      </c>
      <c r="I233" s="182" t="n">
        <v>0</v>
      </c>
      <c r="J233" s="182" t="n">
        <v>0</v>
      </c>
      <c r="K233" s="182" t="n">
        <v>12</v>
      </c>
      <c r="L233" s="182" t="n">
        <v>12</v>
      </c>
      <c r="M233" s="182" t="n">
        <v>0</v>
      </c>
      <c r="N233" s="182" t="n">
        <v>0</v>
      </c>
      <c r="O233" s="183" t="n">
        <v>0</v>
      </c>
      <c r="P233" s="183" t="n">
        <v>0</v>
      </c>
      <c r="Q233" s="184" t="n">
        <v>0</v>
      </c>
      <c r="R233" s="184" t="n">
        <v>0</v>
      </c>
      <c r="S233" s="183" t="n">
        <v>0</v>
      </c>
      <c r="T233" s="183" t="n">
        <v>0</v>
      </c>
      <c r="U233" s="182" t="n">
        <v>0</v>
      </c>
      <c r="V233" s="182" t="n">
        <v>0</v>
      </c>
      <c r="W233" s="182" t="n">
        <v>0</v>
      </c>
      <c r="X233" s="182" t="n">
        <v>1</v>
      </c>
      <c r="Y233" s="182" t="n">
        <v>0</v>
      </c>
      <c r="Z233" s="182" t="n">
        <v>0</v>
      </c>
      <c r="AA233" s="182" t="n">
        <v>0</v>
      </c>
      <c r="AB233" s="182" t="n">
        <v>0</v>
      </c>
      <c r="AC233" s="182" t="n">
        <v>0</v>
      </c>
      <c r="AD233" s="182" t="n">
        <v>0</v>
      </c>
      <c r="AE233" s="182" t="n">
        <v>0</v>
      </c>
      <c r="AF233" s="182" t="n">
        <v>0</v>
      </c>
      <c r="AG233" s="182" t="n">
        <v>0</v>
      </c>
      <c r="AH233" s="182" t="n">
        <v>0</v>
      </c>
      <c r="AI233" s="182" t="n">
        <v>0</v>
      </c>
      <c r="AJ233" s="182" t="n">
        <v>0</v>
      </c>
      <c r="AK233" s="182" t="n">
        <v>10.92</v>
      </c>
      <c r="AL233" s="182" t="n">
        <v>0</v>
      </c>
      <c r="AM233" s="182" t="n">
        <v>0.08</v>
      </c>
      <c r="AN233" s="182" t="n">
        <v>0</v>
      </c>
    </row>
    <row r="234">
      <c r="A234" s="155" t="n">
        <v>46083</v>
      </c>
      <c r="B234" s="156" t="inlineStr">
        <is>
          <t>DS</t>
        </is>
      </c>
      <c r="C234" s="156" t="inlineStr">
        <is>
          <t>HT-404</t>
        </is>
      </c>
      <c r="D234" s="156" t="inlineStr">
        <is>
          <t>SY430</t>
        </is>
      </c>
      <c r="E234" s="156" t="inlineStr">
        <is>
          <t>DT Hauling</t>
        </is>
      </c>
      <c r="F234" s="156" t="inlineStr"/>
      <c r="G234" s="182" t="n">
        <v>0</v>
      </c>
      <c r="H234" s="182" t="n">
        <v>0</v>
      </c>
      <c r="I234" s="182" t="n">
        <v>0</v>
      </c>
      <c r="J234" s="182" t="n">
        <v>0</v>
      </c>
      <c r="K234" s="182" t="n">
        <v>12</v>
      </c>
      <c r="L234" s="182" t="n">
        <v>12</v>
      </c>
      <c r="M234" s="182" t="n">
        <v>0</v>
      </c>
      <c r="N234" s="182" t="n">
        <v>0</v>
      </c>
      <c r="O234" s="183" t="n">
        <v>0</v>
      </c>
      <c r="P234" s="183" t="n">
        <v>0</v>
      </c>
      <c r="Q234" s="184" t="n">
        <v>0</v>
      </c>
      <c r="R234" s="184" t="n">
        <v>0</v>
      </c>
      <c r="S234" s="183" t="n">
        <v>0</v>
      </c>
      <c r="T234" s="183" t="n">
        <v>0</v>
      </c>
      <c r="U234" s="182" t="n">
        <v>0</v>
      </c>
      <c r="V234" s="182" t="n">
        <v>0</v>
      </c>
      <c r="W234" s="182" t="n">
        <v>0</v>
      </c>
      <c r="X234" s="182" t="n">
        <v>1</v>
      </c>
      <c r="Y234" s="182" t="n">
        <v>0</v>
      </c>
      <c r="Z234" s="182" t="n">
        <v>0</v>
      </c>
      <c r="AA234" s="182" t="n">
        <v>0</v>
      </c>
      <c r="AB234" s="182" t="n">
        <v>0</v>
      </c>
      <c r="AC234" s="182" t="n">
        <v>0</v>
      </c>
      <c r="AD234" s="182" t="n">
        <v>0</v>
      </c>
      <c r="AE234" s="182" t="n">
        <v>0</v>
      </c>
      <c r="AF234" s="182" t="n">
        <v>0</v>
      </c>
      <c r="AG234" s="182" t="n">
        <v>0</v>
      </c>
      <c r="AH234" s="182" t="n">
        <v>0</v>
      </c>
      <c r="AI234" s="182" t="n">
        <v>0</v>
      </c>
      <c r="AJ234" s="182" t="n">
        <v>0</v>
      </c>
      <c r="AK234" s="182" t="n">
        <v>10.92</v>
      </c>
      <c r="AL234" s="182" t="n">
        <v>0</v>
      </c>
      <c r="AM234" s="182" t="n">
        <v>0.08</v>
      </c>
      <c r="AN234" s="182" t="n">
        <v>0</v>
      </c>
    </row>
    <row r="235">
      <c r="A235" s="155" t="n">
        <v>46083</v>
      </c>
      <c r="B235" s="156" t="inlineStr">
        <is>
          <t>DS</t>
        </is>
      </c>
      <c r="C235" s="156" t="inlineStr">
        <is>
          <t>HT-415</t>
        </is>
      </c>
      <c r="D235" s="156" t="inlineStr">
        <is>
          <t>SY430</t>
        </is>
      </c>
      <c r="E235" s="156" t="inlineStr">
        <is>
          <t>DT Hauling</t>
        </is>
      </c>
      <c r="F235" s="156" t="inlineStr"/>
      <c r="G235" s="182" t="n">
        <v>0</v>
      </c>
      <c r="H235" s="182" t="n">
        <v>0</v>
      </c>
      <c r="I235" s="182" t="n">
        <v>12</v>
      </c>
      <c r="J235" s="182" t="n">
        <v>12</v>
      </c>
      <c r="K235" s="182" t="n">
        <v>0</v>
      </c>
      <c r="L235" s="182" t="n">
        <v>12</v>
      </c>
      <c r="M235" s="182" t="n">
        <v>0</v>
      </c>
      <c r="N235" s="182" t="n">
        <v>0</v>
      </c>
      <c r="O235" s="183" t="n">
        <v>0</v>
      </c>
      <c r="P235" s="183" t="n">
        <v>0</v>
      </c>
      <c r="Q235" s="184" t="n">
        <v>0</v>
      </c>
      <c r="R235" s="184" t="n">
        <v>0</v>
      </c>
      <c r="S235" s="183" t="n">
        <v>0</v>
      </c>
      <c r="T235" s="183" t="n">
        <v>0</v>
      </c>
      <c r="U235" s="182" t="n">
        <v>0</v>
      </c>
      <c r="V235" s="182" t="n">
        <v>0</v>
      </c>
      <c r="W235" s="182" t="n">
        <v>0</v>
      </c>
      <c r="X235" s="182" t="n">
        <v>0</v>
      </c>
      <c r="Y235" s="182" t="n">
        <v>0</v>
      </c>
      <c r="Z235" s="182" t="n">
        <v>0</v>
      </c>
      <c r="AA235" s="182" t="n">
        <v>0</v>
      </c>
      <c r="AB235" s="182" t="n">
        <v>0</v>
      </c>
      <c r="AC235" s="182" t="n">
        <v>0</v>
      </c>
      <c r="AD235" s="182" t="n">
        <v>0</v>
      </c>
      <c r="AE235" s="182" t="n">
        <v>0</v>
      </c>
      <c r="AF235" s="182" t="n">
        <v>0</v>
      </c>
      <c r="AG235" s="182" t="n">
        <v>0</v>
      </c>
      <c r="AH235" s="182" t="n">
        <v>0</v>
      </c>
      <c r="AI235" s="182" t="n">
        <v>0</v>
      </c>
      <c r="AJ235" s="182" t="n">
        <v>0</v>
      </c>
      <c r="AK235" s="182" t="n">
        <v>0</v>
      </c>
      <c r="AL235" s="182" t="n">
        <v>0</v>
      </c>
      <c r="AM235" s="182" t="n">
        <v>0</v>
      </c>
      <c r="AN235" s="182" t="n">
        <v>0</v>
      </c>
    </row>
    <row r="236">
      <c r="A236" s="155" t="n">
        <v>46083</v>
      </c>
      <c r="B236" s="156" t="inlineStr">
        <is>
          <t>DS</t>
        </is>
      </c>
      <c r="C236" s="156" t="inlineStr">
        <is>
          <t>HT-406</t>
        </is>
      </c>
      <c r="D236" s="156" t="inlineStr">
        <is>
          <t>SY430</t>
        </is>
      </c>
      <c r="E236" s="156" t="inlineStr">
        <is>
          <t>DT Hauling</t>
        </is>
      </c>
      <c r="F236" s="156" t="inlineStr"/>
      <c r="G236" s="182" t="n">
        <v>0</v>
      </c>
      <c r="H236" s="182" t="n">
        <v>0</v>
      </c>
      <c r="I236" s="182" t="n">
        <v>12</v>
      </c>
      <c r="J236" s="182" t="n">
        <v>12</v>
      </c>
      <c r="K236" s="182" t="n">
        <v>0</v>
      </c>
      <c r="L236" s="182" t="n">
        <v>12</v>
      </c>
      <c r="M236" s="182" t="n">
        <v>0</v>
      </c>
      <c r="N236" s="182" t="n">
        <v>0</v>
      </c>
      <c r="O236" s="183" t="n">
        <v>0</v>
      </c>
      <c r="P236" s="183" t="n">
        <v>0</v>
      </c>
      <c r="Q236" s="184" t="n">
        <v>0</v>
      </c>
      <c r="R236" s="184" t="n">
        <v>0</v>
      </c>
      <c r="S236" s="183" t="n">
        <v>0</v>
      </c>
      <c r="T236" s="183" t="n">
        <v>0</v>
      </c>
      <c r="U236" s="182" t="n">
        <v>0</v>
      </c>
      <c r="V236" s="182" t="n">
        <v>0</v>
      </c>
      <c r="W236" s="182" t="n">
        <v>0</v>
      </c>
      <c r="X236" s="182" t="n">
        <v>0</v>
      </c>
      <c r="Y236" s="182" t="n">
        <v>0</v>
      </c>
      <c r="Z236" s="182" t="n">
        <v>0</v>
      </c>
      <c r="AA236" s="182" t="n">
        <v>0</v>
      </c>
      <c r="AB236" s="182" t="n">
        <v>0</v>
      </c>
      <c r="AC236" s="182" t="n">
        <v>0</v>
      </c>
      <c r="AD236" s="182" t="n">
        <v>0</v>
      </c>
      <c r="AE236" s="182" t="n">
        <v>0</v>
      </c>
      <c r="AF236" s="182" t="n">
        <v>0</v>
      </c>
      <c r="AG236" s="182" t="n">
        <v>0</v>
      </c>
      <c r="AH236" s="182" t="n">
        <v>0</v>
      </c>
      <c r="AI236" s="182" t="n">
        <v>0</v>
      </c>
      <c r="AJ236" s="182" t="n">
        <v>0</v>
      </c>
      <c r="AK236" s="182" t="n">
        <v>0</v>
      </c>
      <c r="AL236" s="182" t="n">
        <v>0</v>
      </c>
      <c r="AM236" s="182" t="n">
        <v>0</v>
      </c>
      <c r="AN236" s="182" t="n">
        <v>0</v>
      </c>
    </row>
    <row r="237">
      <c r="A237" s="155" t="n">
        <v>46083</v>
      </c>
      <c r="B237" s="156" t="inlineStr">
        <is>
          <t>DS</t>
        </is>
      </c>
      <c r="C237" s="156" t="inlineStr">
        <is>
          <t>HT-405</t>
        </is>
      </c>
      <c r="D237" s="156" t="inlineStr">
        <is>
          <t>SY430</t>
        </is>
      </c>
      <c r="E237" s="156" t="inlineStr">
        <is>
          <t>DT Hauling</t>
        </is>
      </c>
      <c r="F237" s="156" t="inlineStr"/>
      <c r="G237" s="182" t="n">
        <v>0</v>
      </c>
      <c r="H237" s="182" t="n">
        <v>0</v>
      </c>
      <c r="I237" s="182" t="n">
        <v>0</v>
      </c>
      <c r="J237" s="182" t="n">
        <v>0</v>
      </c>
      <c r="K237" s="182" t="n">
        <v>12</v>
      </c>
      <c r="L237" s="182" t="n">
        <v>12</v>
      </c>
      <c r="M237" s="182" t="n">
        <v>0</v>
      </c>
      <c r="N237" s="182" t="n">
        <v>0</v>
      </c>
      <c r="O237" s="183" t="n">
        <v>0</v>
      </c>
      <c r="P237" s="183" t="n">
        <v>0</v>
      </c>
      <c r="Q237" s="184" t="n">
        <v>0</v>
      </c>
      <c r="R237" s="184" t="n">
        <v>0</v>
      </c>
      <c r="S237" s="183" t="n">
        <v>0</v>
      </c>
      <c r="T237" s="183" t="n">
        <v>0</v>
      </c>
      <c r="U237" s="182" t="n">
        <v>0</v>
      </c>
      <c r="V237" s="182" t="n">
        <v>0</v>
      </c>
      <c r="W237" s="182" t="n">
        <v>0</v>
      </c>
      <c r="X237" s="182" t="n">
        <v>1</v>
      </c>
      <c r="Y237" s="182" t="n">
        <v>0</v>
      </c>
      <c r="Z237" s="182" t="n">
        <v>0</v>
      </c>
      <c r="AA237" s="182" t="n">
        <v>0</v>
      </c>
      <c r="AB237" s="182" t="n">
        <v>0</v>
      </c>
      <c r="AC237" s="182" t="n">
        <v>0</v>
      </c>
      <c r="AD237" s="182" t="n">
        <v>0</v>
      </c>
      <c r="AE237" s="182" t="n">
        <v>0</v>
      </c>
      <c r="AF237" s="182" t="n">
        <v>0</v>
      </c>
      <c r="AG237" s="182" t="n">
        <v>0</v>
      </c>
      <c r="AH237" s="182" t="n">
        <v>0</v>
      </c>
      <c r="AI237" s="182" t="n">
        <v>0</v>
      </c>
      <c r="AJ237" s="182" t="n">
        <v>0</v>
      </c>
      <c r="AK237" s="182" t="n">
        <v>10.92</v>
      </c>
      <c r="AL237" s="182" t="n">
        <v>0</v>
      </c>
      <c r="AM237" s="182" t="n">
        <v>0.08</v>
      </c>
      <c r="AN237" s="182" t="n">
        <v>0</v>
      </c>
    </row>
    <row r="238">
      <c r="A238" s="155" t="n">
        <v>46083</v>
      </c>
      <c r="B238" s="156" t="inlineStr">
        <is>
          <t>DS</t>
        </is>
      </c>
      <c r="C238" s="156" t="inlineStr">
        <is>
          <t>HT-417</t>
        </is>
      </c>
      <c r="D238" s="156" t="inlineStr">
        <is>
          <t>SY430</t>
        </is>
      </c>
      <c r="E238" s="156" t="inlineStr">
        <is>
          <t>DT Hauling</t>
        </is>
      </c>
      <c r="F238" s="156" t="inlineStr"/>
      <c r="G238" s="182" t="n">
        <v>0</v>
      </c>
      <c r="H238" s="182" t="n">
        <v>0</v>
      </c>
      <c r="I238" s="182" t="n">
        <v>12</v>
      </c>
      <c r="J238" s="182" t="n">
        <v>12</v>
      </c>
      <c r="K238" s="182" t="n">
        <v>0</v>
      </c>
      <c r="L238" s="182" t="n">
        <v>12</v>
      </c>
      <c r="M238" s="182" t="n">
        <v>0</v>
      </c>
      <c r="N238" s="182" t="n">
        <v>0</v>
      </c>
      <c r="O238" s="183" t="n">
        <v>0</v>
      </c>
      <c r="P238" s="183" t="n">
        <v>0</v>
      </c>
      <c r="Q238" s="184" t="n">
        <v>0</v>
      </c>
      <c r="R238" s="184" t="n">
        <v>0</v>
      </c>
      <c r="S238" s="183" t="n">
        <v>0</v>
      </c>
      <c r="T238" s="183" t="n">
        <v>0</v>
      </c>
      <c r="U238" s="182" t="n">
        <v>0</v>
      </c>
      <c r="V238" s="182" t="n">
        <v>0</v>
      </c>
      <c r="W238" s="182" t="n">
        <v>0</v>
      </c>
      <c r="X238" s="182" t="n">
        <v>0</v>
      </c>
      <c r="Y238" s="182" t="n">
        <v>0</v>
      </c>
      <c r="Z238" s="182" t="n">
        <v>0</v>
      </c>
      <c r="AA238" s="182" t="n">
        <v>0</v>
      </c>
      <c r="AB238" s="182" t="n">
        <v>0</v>
      </c>
      <c r="AC238" s="182" t="n">
        <v>0</v>
      </c>
      <c r="AD238" s="182" t="n">
        <v>0</v>
      </c>
      <c r="AE238" s="182" t="n">
        <v>0</v>
      </c>
      <c r="AF238" s="182" t="n">
        <v>0</v>
      </c>
      <c r="AG238" s="182" t="n">
        <v>0</v>
      </c>
      <c r="AH238" s="182" t="n">
        <v>0</v>
      </c>
      <c r="AI238" s="182" t="n">
        <v>0</v>
      </c>
      <c r="AJ238" s="182" t="n">
        <v>0</v>
      </c>
      <c r="AK238" s="182" t="n">
        <v>0</v>
      </c>
      <c r="AL238" s="182" t="n">
        <v>0</v>
      </c>
      <c r="AM238" s="182" t="n">
        <v>0</v>
      </c>
      <c r="AN238" s="182" t="n">
        <v>0</v>
      </c>
    </row>
    <row r="239">
      <c r="A239" s="155" t="n">
        <v>46083</v>
      </c>
      <c r="B239" s="156" t="inlineStr">
        <is>
          <t>DS</t>
        </is>
      </c>
      <c r="C239" s="156" t="inlineStr">
        <is>
          <t>HT-401</t>
        </is>
      </c>
      <c r="D239" s="156" t="inlineStr">
        <is>
          <t>SY430</t>
        </is>
      </c>
      <c r="E239" s="156" t="inlineStr">
        <is>
          <t>DT Hauling</t>
        </is>
      </c>
      <c r="F239" s="156" t="inlineStr"/>
      <c r="G239" s="182" t="n">
        <v>0</v>
      </c>
      <c r="H239" s="182" t="n">
        <v>0</v>
      </c>
      <c r="I239" s="182" t="n">
        <v>0</v>
      </c>
      <c r="J239" s="182" t="n">
        <v>0</v>
      </c>
      <c r="K239" s="182" t="n">
        <v>12</v>
      </c>
      <c r="L239" s="182" t="n">
        <v>12</v>
      </c>
      <c r="M239" s="182" t="n">
        <v>0</v>
      </c>
      <c r="N239" s="182" t="n">
        <v>0</v>
      </c>
      <c r="O239" s="183" t="n">
        <v>0</v>
      </c>
      <c r="P239" s="183" t="n">
        <v>0</v>
      </c>
      <c r="Q239" s="184" t="n">
        <v>0</v>
      </c>
      <c r="R239" s="184" t="n">
        <v>0</v>
      </c>
      <c r="S239" s="183" t="n">
        <v>0</v>
      </c>
      <c r="T239" s="183" t="n">
        <v>0</v>
      </c>
      <c r="U239" s="182" t="n">
        <v>0</v>
      </c>
      <c r="V239" s="182" t="n">
        <v>0</v>
      </c>
      <c r="W239" s="182" t="n">
        <v>0</v>
      </c>
      <c r="X239" s="182" t="n">
        <v>1</v>
      </c>
      <c r="Y239" s="182" t="n">
        <v>0</v>
      </c>
      <c r="Z239" s="182" t="n">
        <v>0</v>
      </c>
      <c r="AA239" s="182" t="n">
        <v>0</v>
      </c>
      <c r="AB239" s="182" t="n">
        <v>0</v>
      </c>
      <c r="AC239" s="182" t="n">
        <v>0</v>
      </c>
      <c r="AD239" s="182" t="n">
        <v>0</v>
      </c>
      <c r="AE239" s="182" t="n">
        <v>0</v>
      </c>
      <c r="AF239" s="182" t="n">
        <v>0</v>
      </c>
      <c r="AG239" s="182" t="n">
        <v>0</v>
      </c>
      <c r="AH239" s="182" t="n">
        <v>0</v>
      </c>
      <c r="AI239" s="182" t="n">
        <v>0</v>
      </c>
      <c r="AJ239" s="182" t="n">
        <v>0</v>
      </c>
      <c r="AK239" s="182" t="n">
        <v>10.92</v>
      </c>
      <c r="AL239" s="182" t="n">
        <v>0</v>
      </c>
      <c r="AM239" s="182" t="n">
        <v>0.08</v>
      </c>
      <c r="AN239" s="182" t="n">
        <v>0</v>
      </c>
    </row>
    <row r="240">
      <c r="A240" s="155" t="n">
        <v>46083</v>
      </c>
      <c r="B240" s="156" t="inlineStr">
        <is>
          <t>DS</t>
        </is>
      </c>
      <c r="C240" s="156" t="inlineStr">
        <is>
          <t>HT-410</t>
        </is>
      </c>
      <c r="D240" s="156" t="inlineStr">
        <is>
          <t>SY430</t>
        </is>
      </c>
      <c r="E240" s="156" t="inlineStr">
        <is>
          <t>DT Hauling</t>
        </is>
      </c>
      <c r="F240" s="156" t="inlineStr"/>
      <c r="G240" s="182" t="n">
        <v>0</v>
      </c>
      <c r="H240" s="182" t="n">
        <v>0</v>
      </c>
      <c r="I240" s="182" t="n">
        <v>0</v>
      </c>
      <c r="J240" s="182" t="n">
        <v>0</v>
      </c>
      <c r="K240" s="182" t="n">
        <v>12</v>
      </c>
      <c r="L240" s="182" t="n">
        <v>12</v>
      </c>
      <c r="M240" s="182" t="n">
        <v>0</v>
      </c>
      <c r="N240" s="182" t="n">
        <v>0</v>
      </c>
      <c r="O240" s="183" t="n">
        <v>0</v>
      </c>
      <c r="P240" s="183" t="n">
        <v>0</v>
      </c>
      <c r="Q240" s="184" t="n">
        <v>0</v>
      </c>
      <c r="R240" s="184" t="n">
        <v>0</v>
      </c>
      <c r="S240" s="183" t="n">
        <v>0</v>
      </c>
      <c r="T240" s="183" t="n">
        <v>0</v>
      </c>
      <c r="U240" s="182" t="n">
        <v>0</v>
      </c>
      <c r="V240" s="182" t="n">
        <v>0</v>
      </c>
      <c r="W240" s="182" t="n">
        <v>0</v>
      </c>
      <c r="X240" s="182" t="n">
        <v>1</v>
      </c>
      <c r="Y240" s="182" t="n">
        <v>0</v>
      </c>
      <c r="Z240" s="182" t="n">
        <v>0</v>
      </c>
      <c r="AA240" s="182" t="n">
        <v>0</v>
      </c>
      <c r="AB240" s="182" t="n">
        <v>0</v>
      </c>
      <c r="AC240" s="182" t="n">
        <v>0</v>
      </c>
      <c r="AD240" s="182" t="n">
        <v>0</v>
      </c>
      <c r="AE240" s="182" t="n">
        <v>0</v>
      </c>
      <c r="AF240" s="182" t="n">
        <v>0</v>
      </c>
      <c r="AG240" s="182" t="n">
        <v>0</v>
      </c>
      <c r="AH240" s="182" t="n">
        <v>0</v>
      </c>
      <c r="AI240" s="182" t="n">
        <v>0</v>
      </c>
      <c r="AJ240" s="182" t="n">
        <v>0</v>
      </c>
      <c r="AK240" s="182" t="n">
        <v>10.92</v>
      </c>
      <c r="AL240" s="182" t="n">
        <v>0</v>
      </c>
      <c r="AM240" s="182" t="n">
        <v>0.08</v>
      </c>
      <c r="AN240" s="182" t="n">
        <v>0</v>
      </c>
    </row>
    <row r="241">
      <c r="A241" s="155" t="n">
        <v>46083</v>
      </c>
      <c r="B241" s="156" t="inlineStr">
        <is>
          <t>DS</t>
        </is>
      </c>
      <c r="C241" s="156" t="inlineStr">
        <is>
          <t>HT-402</t>
        </is>
      </c>
      <c r="D241" s="156" t="inlineStr">
        <is>
          <t>SY430</t>
        </is>
      </c>
      <c r="E241" s="156" t="inlineStr">
        <is>
          <t>DT Hauling</t>
        </is>
      </c>
      <c r="F241" s="156" t="inlineStr"/>
      <c r="G241" s="182" t="n">
        <v>0</v>
      </c>
      <c r="H241" s="182" t="n">
        <v>0</v>
      </c>
      <c r="I241" s="182" t="n">
        <v>0</v>
      </c>
      <c r="J241" s="182" t="n">
        <v>0</v>
      </c>
      <c r="K241" s="182" t="n">
        <v>12</v>
      </c>
      <c r="L241" s="182" t="n">
        <v>12</v>
      </c>
      <c r="M241" s="182" t="n">
        <v>0</v>
      </c>
      <c r="N241" s="182" t="n">
        <v>0</v>
      </c>
      <c r="O241" s="183" t="n">
        <v>0</v>
      </c>
      <c r="P241" s="183" t="n">
        <v>0</v>
      </c>
      <c r="Q241" s="184" t="n">
        <v>0</v>
      </c>
      <c r="R241" s="184" t="n">
        <v>0</v>
      </c>
      <c r="S241" s="183" t="n">
        <v>0</v>
      </c>
      <c r="T241" s="183" t="n">
        <v>0</v>
      </c>
      <c r="U241" s="182" t="n">
        <v>0</v>
      </c>
      <c r="V241" s="182" t="n">
        <v>0</v>
      </c>
      <c r="W241" s="182" t="n">
        <v>0</v>
      </c>
      <c r="X241" s="182" t="n">
        <v>1</v>
      </c>
      <c r="Y241" s="182" t="n">
        <v>0</v>
      </c>
      <c r="Z241" s="182" t="n">
        <v>0</v>
      </c>
      <c r="AA241" s="182" t="n">
        <v>0</v>
      </c>
      <c r="AB241" s="182" t="n">
        <v>0</v>
      </c>
      <c r="AC241" s="182" t="n">
        <v>0</v>
      </c>
      <c r="AD241" s="182" t="n">
        <v>0</v>
      </c>
      <c r="AE241" s="182" t="n">
        <v>0</v>
      </c>
      <c r="AF241" s="182" t="n">
        <v>0</v>
      </c>
      <c r="AG241" s="182" t="n">
        <v>0</v>
      </c>
      <c r="AH241" s="182" t="n">
        <v>0</v>
      </c>
      <c r="AI241" s="182" t="n">
        <v>0</v>
      </c>
      <c r="AJ241" s="182" t="n">
        <v>0</v>
      </c>
      <c r="AK241" s="182" t="n">
        <v>10.92</v>
      </c>
      <c r="AL241" s="182" t="n">
        <v>0</v>
      </c>
      <c r="AM241" s="182" t="n">
        <v>0.08</v>
      </c>
      <c r="AN241" s="182" t="n">
        <v>0</v>
      </c>
    </row>
    <row r="242">
      <c r="A242" s="155" t="n">
        <v>46083</v>
      </c>
      <c r="B242" s="156" t="inlineStr">
        <is>
          <t>DS</t>
        </is>
      </c>
      <c r="C242" s="156" t="inlineStr">
        <is>
          <t>HT-419</t>
        </is>
      </c>
      <c r="D242" s="156" t="inlineStr">
        <is>
          <t>SY430</t>
        </is>
      </c>
      <c r="E242" s="156" t="inlineStr">
        <is>
          <t>DT Hauling</t>
        </is>
      </c>
      <c r="F242" s="156" t="inlineStr"/>
      <c r="G242" s="182" t="n">
        <v>0</v>
      </c>
      <c r="H242" s="182" t="n">
        <v>0</v>
      </c>
      <c r="I242" s="182" t="n">
        <v>0</v>
      </c>
      <c r="J242" s="182" t="n">
        <v>0</v>
      </c>
      <c r="K242" s="182" t="n">
        <v>12</v>
      </c>
      <c r="L242" s="182" t="n">
        <v>12</v>
      </c>
      <c r="M242" s="182" t="n">
        <v>0</v>
      </c>
      <c r="N242" s="182" t="n">
        <v>0</v>
      </c>
      <c r="O242" s="183" t="n">
        <v>0</v>
      </c>
      <c r="P242" s="183" t="n">
        <v>0</v>
      </c>
      <c r="Q242" s="184" t="n">
        <v>0</v>
      </c>
      <c r="R242" s="184" t="n">
        <v>0</v>
      </c>
      <c r="S242" s="183" t="n">
        <v>0</v>
      </c>
      <c r="T242" s="183" t="n">
        <v>0</v>
      </c>
      <c r="U242" s="182" t="n">
        <v>0</v>
      </c>
      <c r="V242" s="182" t="n">
        <v>0</v>
      </c>
      <c r="W242" s="182" t="n">
        <v>0</v>
      </c>
      <c r="X242" s="182" t="n">
        <v>1</v>
      </c>
      <c r="Y242" s="182" t="n">
        <v>0</v>
      </c>
      <c r="Z242" s="182" t="n">
        <v>0</v>
      </c>
      <c r="AA242" s="182" t="n">
        <v>0</v>
      </c>
      <c r="AB242" s="182" t="n">
        <v>0</v>
      </c>
      <c r="AC242" s="182" t="n">
        <v>0</v>
      </c>
      <c r="AD242" s="182" t="n">
        <v>0</v>
      </c>
      <c r="AE242" s="182" t="n">
        <v>0</v>
      </c>
      <c r="AF242" s="182" t="n">
        <v>0</v>
      </c>
      <c r="AG242" s="182" t="n">
        <v>0</v>
      </c>
      <c r="AH242" s="182" t="n">
        <v>0</v>
      </c>
      <c r="AI242" s="182" t="n">
        <v>0</v>
      </c>
      <c r="AJ242" s="182" t="n">
        <v>0</v>
      </c>
      <c r="AK242" s="182" t="n">
        <v>10.92</v>
      </c>
      <c r="AL242" s="182" t="n">
        <v>0</v>
      </c>
      <c r="AM242" s="182" t="n">
        <v>0.08</v>
      </c>
      <c r="AN242" s="182" t="n">
        <v>0</v>
      </c>
    </row>
    <row r="243">
      <c r="A243" s="155" t="n">
        <v>46083</v>
      </c>
      <c r="B243" s="156" t="inlineStr">
        <is>
          <t>DS</t>
        </is>
      </c>
      <c r="C243" s="156" t="inlineStr">
        <is>
          <t>HT-416</t>
        </is>
      </c>
      <c r="D243" s="156" t="inlineStr">
        <is>
          <t>SY430</t>
        </is>
      </c>
      <c r="E243" s="156" t="inlineStr">
        <is>
          <t>DT Hauling</t>
        </is>
      </c>
      <c r="F243" s="156" t="inlineStr"/>
      <c r="G243" s="182" t="n">
        <v>0</v>
      </c>
      <c r="H243" s="182" t="n">
        <v>0</v>
      </c>
      <c r="I243" s="182" t="n">
        <v>0</v>
      </c>
      <c r="J243" s="182" t="n">
        <v>0</v>
      </c>
      <c r="K243" s="182" t="n">
        <v>12</v>
      </c>
      <c r="L243" s="182" t="n">
        <v>12</v>
      </c>
      <c r="M243" s="182" t="n">
        <v>0</v>
      </c>
      <c r="N243" s="182" t="n">
        <v>0</v>
      </c>
      <c r="O243" s="183" t="n">
        <v>0</v>
      </c>
      <c r="P243" s="183" t="n">
        <v>0</v>
      </c>
      <c r="Q243" s="184" t="n">
        <v>0</v>
      </c>
      <c r="R243" s="184" t="n">
        <v>0</v>
      </c>
      <c r="S243" s="183" t="n">
        <v>0</v>
      </c>
      <c r="T243" s="183" t="n">
        <v>0</v>
      </c>
      <c r="U243" s="182" t="n">
        <v>0</v>
      </c>
      <c r="V243" s="182" t="n">
        <v>0</v>
      </c>
      <c r="W243" s="182" t="n">
        <v>0</v>
      </c>
      <c r="X243" s="182" t="n">
        <v>1</v>
      </c>
      <c r="Y243" s="182" t="n">
        <v>0</v>
      </c>
      <c r="Z243" s="182" t="n">
        <v>0</v>
      </c>
      <c r="AA243" s="182" t="n">
        <v>0</v>
      </c>
      <c r="AB243" s="182" t="n">
        <v>0</v>
      </c>
      <c r="AC243" s="182" t="n">
        <v>0</v>
      </c>
      <c r="AD243" s="182" t="n">
        <v>0</v>
      </c>
      <c r="AE243" s="182" t="n">
        <v>0</v>
      </c>
      <c r="AF243" s="182" t="n">
        <v>0</v>
      </c>
      <c r="AG243" s="182" t="n">
        <v>0</v>
      </c>
      <c r="AH243" s="182" t="n">
        <v>0</v>
      </c>
      <c r="AI243" s="182" t="n">
        <v>0</v>
      </c>
      <c r="AJ243" s="182" t="n">
        <v>0</v>
      </c>
      <c r="AK243" s="182" t="n">
        <v>10.92</v>
      </c>
      <c r="AL243" s="182" t="n">
        <v>0</v>
      </c>
      <c r="AM243" s="182" t="n">
        <v>0.08</v>
      </c>
      <c r="AN243" s="182" t="n">
        <v>0</v>
      </c>
    </row>
    <row r="244">
      <c r="A244" s="155" t="n">
        <v>46083</v>
      </c>
      <c r="B244" s="156" t="inlineStr">
        <is>
          <t>DS</t>
        </is>
      </c>
      <c r="C244" s="156" t="inlineStr">
        <is>
          <t>HT-420</t>
        </is>
      </c>
      <c r="D244" s="156" t="inlineStr">
        <is>
          <t>SY430</t>
        </is>
      </c>
      <c r="E244" s="156" t="inlineStr">
        <is>
          <t>DT Hauling</t>
        </is>
      </c>
      <c r="F244" s="156" t="inlineStr"/>
      <c r="G244" s="182" t="n">
        <v>0</v>
      </c>
      <c r="H244" s="182" t="n">
        <v>0</v>
      </c>
      <c r="I244" s="182" t="n">
        <v>0</v>
      </c>
      <c r="J244" s="182" t="n">
        <v>0</v>
      </c>
      <c r="K244" s="182" t="n">
        <v>12</v>
      </c>
      <c r="L244" s="182" t="n">
        <v>12</v>
      </c>
      <c r="M244" s="182" t="n">
        <v>0</v>
      </c>
      <c r="N244" s="182" t="n">
        <v>0</v>
      </c>
      <c r="O244" s="183" t="n">
        <v>0</v>
      </c>
      <c r="P244" s="183" t="n">
        <v>0</v>
      </c>
      <c r="Q244" s="184" t="n">
        <v>0</v>
      </c>
      <c r="R244" s="184" t="n">
        <v>0</v>
      </c>
      <c r="S244" s="183" t="n">
        <v>0</v>
      </c>
      <c r="T244" s="183" t="n">
        <v>0</v>
      </c>
      <c r="U244" s="182" t="n">
        <v>0</v>
      </c>
      <c r="V244" s="182" t="n">
        <v>0</v>
      </c>
      <c r="W244" s="182" t="n">
        <v>0</v>
      </c>
      <c r="X244" s="182" t="n">
        <v>1</v>
      </c>
      <c r="Y244" s="182" t="n">
        <v>0</v>
      </c>
      <c r="Z244" s="182" t="n">
        <v>0</v>
      </c>
      <c r="AA244" s="182" t="n">
        <v>0</v>
      </c>
      <c r="AB244" s="182" t="n">
        <v>0</v>
      </c>
      <c r="AC244" s="182" t="n">
        <v>0</v>
      </c>
      <c r="AD244" s="182" t="n">
        <v>0</v>
      </c>
      <c r="AE244" s="182" t="n">
        <v>0</v>
      </c>
      <c r="AF244" s="182" t="n">
        <v>0</v>
      </c>
      <c r="AG244" s="182" t="n">
        <v>0</v>
      </c>
      <c r="AH244" s="182" t="n">
        <v>0</v>
      </c>
      <c r="AI244" s="182" t="n">
        <v>0</v>
      </c>
      <c r="AJ244" s="182" t="n">
        <v>0</v>
      </c>
      <c r="AK244" s="182" t="n">
        <v>10.92</v>
      </c>
      <c r="AL244" s="182" t="n">
        <v>0</v>
      </c>
      <c r="AM244" s="182" t="n">
        <v>0.08</v>
      </c>
      <c r="AN244" s="182" t="n">
        <v>0</v>
      </c>
    </row>
    <row r="245">
      <c r="A245" s="155" t="n">
        <v>46083</v>
      </c>
      <c r="B245" s="156" t="inlineStr">
        <is>
          <t>DS</t>
        </is>
      </c>
      <c r="C245" s="156" t="inlineStr">
        <is>
          <t>HT-403</t>
        </is>
      </c>
      <c r="D245" s="156" t="inlineStr">
        <is>
          <t>SY430</t>
        </is>
      </c>
      <c r="E245" s="156" t="inlineStr">
        <is>
          <t>DT Hauling</t>
        </is>
      </c>
      <c r="F245" s="156" t="inlineStr"/>
      <c r="G245" s="182" t="n">
        <v>0</v>
      </c>
      <c r="H245" s="182" t="n">
        <v>0</v>
      </c>
      <c r="I245" s="182" t="n">
        <v>0</v>
      </c>
      <c r="J245" s="182" t="n">
        <v>0</v>
      </c>
      <c r="K245" s="182" t="n">
        <v>12</v>
      </c>
      <c r="L245" s="182" t="n">
        <v>12</v>
      </c>
      <c r="M245" s="182" t="n">
        <v>0</v>
      </c>
      <c r="N245" s="182" t="n">
        <v>0</v>
      </c>
      <c r="O245" s="183" t="n">
        <v>0</v>
      </c>
      <c r="P245" s="183" t="n">
        <v>0</v>
      </c>
      <c r="Q245" s="184" t="n">
        <v>0</v>
      </c>
      <c r="R245" s="184" t="n">
        <v>0</v>
      </c>
      <c r="S245" s="183" t="n">
        <v>0</v>
      </c>
      <c r="T245" s="183" t="n">
        <v>0</v>
      </c>
      <c r="U245" s="182" t="n">
        <v>0</v>
      </c>
      <c r="V245" s="182" t="n">
        <v>0</v>
      </c>
      <c r="W245" s="182" t="n">
        <v>0</v>
      </c>
      <c r="X245" s="182" t="n">
        <v>1</v>
      </c>
      <c r="Y245" s="182" t="n">
        <v>0</v>
      </c>
      <c r="Z245" s="182" t="n">
        <v>0</v>
      </c>
      <c r="AA245" s="182" t="n">
        <v>0</v>
      </c>
      <c r="AB245" s="182" t="n">
        <v>0</v>
      </c>
      <c r="AC245" s="182" t="n">
        <v>0</v>
      </c>
      <c r="AD245" s="182" t="n">
        <v>0</v>
      </c>
      <c r="AE245" s="182" t="n">
        <v>0</v>
      </c>
      <c r="AF245" s="182" t="n">
        <v>0</v>
      </c>
      <c r="AG245" s="182" t="n">
        <v>0</v>
      </c>
      <c r="AH245" s="182" t="n">
        <v>0</v>
      </c>
      <c r="AI245" s="182" t="n">
        <v>0</v>
      </c>
      <c r="AJ245" s="182" t="n">
        <v>0</v>
      </c>
      <c r="AK245" s="182" t="n">
        <v>10.92</v>
      </c>
      <c r="AL245" s="182" t="n">
        <v>0</v>
      </c>
      <c r="AM245" s="182" t="n">
        <v>0.08</v>
      </c>
      <c r="AN245" s="182" t="n">
        <v>0</v>
      </c>
    </row>
    <row r="246">
      <c r="A246" s="155" t="n">
        <v>46083</v>
      </c>
      <c r="B246" s="156" t="inlineStr">
        <is>
          <t>DS</t>
        </is>
      </c>
      <c r="C246" s="156" t="inlineStr">
        <is>
          <t>HT-408</t>
        </is>
      </c>
      <c r="D246" s="156" t="inlineStr">
        <is>
          <t>SY430</t>
        </is>
      </c>
      <c r="E246" s="156" t="inlineStr">
        <is>
          <t>DT Hauling</t>
        </is>
      </c>
      <c r="F246" s="156" t="inlineStr"/>
      <c r="G246" s="182" t="n">
        <v>0</v>
      </c>
      <c r="H246" s="182" t="n">
        <v>0</v>
      </c>
      <c r="I246" s="182" t="n">
        <v>0</v>
      </c>
      <c r="J246" s="182" t="n">
        <v>0</v>
      </c>
      <c r="K246" s="182" t="n">
        <v>12</v>
      </c>
      <c r="L246" s="182" t="n">
        <v>12</v>
      </c>
      <c r="M246" s="182" t="n">
        <v>0</v>
      </c>
      <c r="N246" s="182" t="n">
        <v>0</v>
      </c>
      <c r="O246" s="183" t="n">
        <v>0</v>
      </c>
      <c r="P246" s="183" t="n">
        <v>0</v>
      </c>
      <c r="Q246" s="184" t="n">
        <v>0</v>
      </c>
      <c r="R246" s="184" t="n">
        <v>0</v>
      </c>
      <c r="S246" s="183" t="n">
        <v>0</v>
      </c>
      <c r="T246" s="183" t="n">
        <v>0</v>
      </c>
      <c r="U246" s="182" t="n">
        <v>0</v>
      </c>
      <c r="V246" s="182" t="n">
        <v>0</v>
      </c>
      <c r="W246" s="182" t="n">
        <v>0</v>
      </c>
      <c r="X246" s="182" t="n">
        <v>1</v>
      </c>
      <c r="Y246" s="182" t="n">
        <v>0</v>
      </c>
      <c r="Z246" s="182" t="n">
        <v>0</v>
      </c>
      <c r="AA246" s="182" t="n">
        <v>0</v>
      </c>
      <c r="AB246" s="182" t="n">
        <v>0</v>
      </c>
      <c r="AC246" s="182" t="n">
        <v>0</v>
      </c>
      <c r="AD246" s="182" t="n">
        <v>0</v>
      </c>
      <c r="AE246" s="182" t="n">
        <v>0</v>
      </c>
      <c r="AF246" s="182" t="n">
        <v>0</v>
      </c>
      <c r="AG246" s="182" t="n">
        <v>0</v>
      </c>
      <c r="AH246" s="182" t="n">
        <v>0</v>
      </c>
      <c r="AI246" s="182" t="n">
        <v>0</v>
      </c>
      <c r="AJ246" s="182" t="n">
        <v>0</v>
      </c>
      <c r="AK246" s="182" t="n">
        <v>10.92</v>
      </c>
      <c r="AL246" s="182" t="n">
        <v>0</v>
      </c>
      <c r="AM246" s="182" t="n">
        <v>0.08</v>
      </c>
      <c r="AN246" s="182" t="n">
        <v>0</v>
      </c>
    </row>
    <row r="247">
      <c r="A247" s="155" t="n">
        <v>46083</v>
      </c>
      <c r="B247" s="156" t="inlineStr">
        <is>
          <t>DS</t>
        </is>
      </c>
      <c r="C247" s="156" t="inlineStr">
        <is>
          <t>HT-412</t>
        </is>
      </c>
      <c r="D247" s="156" t="inlineStr">
        <is>
          <t>SY430</t>
        </is>
      </c>
      <c r="E247" s="156" t="inlineStr">
        <is>
          <t>DT Hauling</t>
        </is>
      </c>
      <c r="F247" s="156" t="inlineStr"/>
      <c r="G247" s="182" t="n">
        <v>0</v>
      </c>
      <c r="H247" s="182" t="n">
        <v>0</v>
      </c>
      <c r="I247" s="182" t="n">
        <v>0</v>
      </c>
      <c r="J247" s="182" t="n">
        <v>0</v>
      </c>
      <c r="K247" s="182" t="n">
        <v>12</v>
      </c>
      <c r="L247" s="182" t="n">
        <v>12</v>
      </c>
      <c r="M247" s="182" t="n">
        <v>0</v>
      </c>
      <c r="N247" s="182" t="n">
        <v>0</v>
      </c>
      <c r="O247" s="183" t="n">
        <v>0</v>
      </c>
      <c r="P247" s="183" t="n">
        <v>0</v>
      </c>
      <c r="Q247" s="184" t="n">
        <v>0</v>
      </c>
      <c r="R247" s="184" t="n">
        <v>0</v>
      </c>
      <c r="S247" s="183" t="n">
        <v>0</v>
      </c>
      <c r="T247" s="183" t="n">
        <v>0</v>
      </c>
      <c r="U247" s="182" t="n">
        <v>0</v>
      </c>
      <c r="V247" s="182" t="n">
        <v>0</v>
      </c>
      <c r="W247" s="182" t="n">
        <v>0</v>
      </c>
      <c r="X247" s="182" t="n">
        <v>1</v>
      </c>
      <c r="Y247" s="182" t="n">
        <v>0</v>
      </c>
      <c r="Z247" s="182" t="n">
        <v>0</v>
      </c>
      <c r="AA247" s="182" t="n">
        <v>0</v>
      </c>
      <c r="AB247" s="182" t="n">
        <v>0</v>
      </c>
      <c r="AC247" s="182" t="n">
        <v>0</v>
      </c>
      <c r="AD247" s="182" t="n">
        <v>0</v>
      </c>
      <c r="AE247" s="182" t="n">
        <v>0</v>
      </c>
      <c r="AF247" s="182" t="n">
        <v>0</v>
      </c>
      <c r="AG247" s="182" t="n">
        <v>0</v>
      </c>
      <c r="AH247" s="182" t="n">
        <v>0</v>
      </c>
      <c r="AI247" s="182" t="n">
        <v>0</v>
      </c>
      <c r="AJ247" s="182" t="n">
        <v>0</v>
      </c>
      <c r="AK247" s="182" t="n">
        <v>10.92</v>
      </c>
      <c r="AL247" s="182" t="n">
        <v>0</v>
      </c>
      <c r="AM247" s="182" t="n">
        <v>0.08</v>
      </c>
      <c r="AN247" s="182" t="n">
        <v>0</v>
      </c>
    </row>
    <row r="248">
      <c r="A248" s="155" t="n">
        <v>46083</v>
      </c>
      <c r="B248" s="156" t="inlineStr">
        <is>
          <t>DS</t>
        </is>
      </c>
      <c r="C248" s="156" t="inlineStr">
        <is>
          <t>HT-413</t>
        </is>
      </c>
      <c r="D248" s="156" t="inlineStr">
        <is>
          <t>SY430</t>
        </is>
      </c>
      <c r="E248" s="156" t="inlineStr">
        <is>
          <t>DT Hauling</t>
        </is>
      </c>
      <c r="F248" s="156" t="inlineStr"/>
      <c r="G248" s="182" t="n">
        <v>0</v>
      </c>
      <c r="H248" s="182" t="n">
        <v>0</v>
      </c>
      <c r="I248" s="182" t="n">
        <v>12</v>
      </c>
      <c r="J248" s="182" t="n">
        <v>12</v>
      </c>
      <c r="K248" s="182" t="n">
        <v>0</v>
      </c>
      <c r="L248" s="182" t="n">
        <v>12</v>
      </c>
      <c r="M248" s="182" t="n">
        <v>0</v>
      </c>
      <c r="N248" s="182" t="n">
        <v>0</v>
      </c>
      <c r="O248" s="183" t="n">
        <v>0</v>
      </c>
      <c r="P248" s="183" t="n">
        <v>0</v>
      </c>
      <c r="Q248" s="184" t="n">
        <v>0</v>
      </c>
      <c r="R248" s="184" t="n">
        <v>0</v>
      </c>
      <c r="S248" s="183" t="n">
        <v>0</v>
      </c>
      <c r="T248" s="183" t="n">
        <v>0</v>
      </c>
      <c r="U248" s="182" t="n">
        <v>0</v>
      </c>
      <c r="V248" s="182" t="n">
        <v>0</v>
      </c>
      <c r="W248" s="182" t="n">
        <v>0</v>
      </c>
      <c r="X248" s="182" t="n">
        <v>0</v>
      </c>
      <c r="Y248" s="182" t="n">
        <v>0</v>
      </c>
      <c r="Z248" s="182" t="n">
        <v>0</v>
      </c>
      <c r="AA248" s="182" t="n">
        <v>0</v>
      </c>
      <c r="AB248" s="182" t="n">
        <v>0</v>
      </c>
      <c r="AC248" s="182" t="n">
        <v>0</v>
      </c>
      <c r="AD248" s="182" t="n">
        <v>0</v>
      </c>
      <c r="AE248" s="182" t="n">
        <v>0</v>
      </c>
      <c r="AF248" s="182" t="n">
        <v>0</v>
      </c>
      <c r="AG248" s="182" t="n">
        <v>0</v>
      </c>
      <c r="AH248" s="182" t="n">
        <v>0</v>
      </c>
      <c r="AI248" s="182" t="n">
        <v>0</v>
      </c>
      <c r="AJ248" s="182" t="n">
        <v>0</v>
      </c>
      <c r="AK248" s="182" t="n">
        <v>0</v>
      </c>
      <c r="AL248" s="182" t="n">
        <v>0</v>
      </c>
      <c r="AM248" s="182" t="n">
        <v>0</v>
      </c>
      <c r="AN248" s="182" t="n">
        <v>0</v>
      </c>
    </row>
    <row r="249">
      <c r="A249" s="155" t="n">
        <v>46083</v>
      </c>
      <c r="B249" s="156" t="inlineStr">
        <is>
          <t>DS</t>
        </is>
      </c>
      <c r="C249" s="156" t="inlineStr">
        <is>
          <t>HT-407</t>
        </is>
      </c>
      <c r="D249" s="156" t="inlineStr">
        <is>
          <t>SY430</t>
        </is>
      </c>
      <c r="E249" s="156" t="inlineStr">
        <is>
          <t>DT Hauling</t>
        </is>
      </c>
      <c r="F249" s="156" t="inlineStr"/>
      <c r="G249" s="182" t="n">
        <v>0</v>
      </c>
      <c r="H249" s="182" t="n">
        <v>0</v>
      </c>
      <c r="I249" s="182" t="n">
        <v>0</v>
      </c>
      <c r="J249" s="182" t="n">
        <v>0</v>
      </c>
      <c r="K249" s="182" t="n">
        <v>12</v>
      </c>
      <c r="L249" s="182" t="n">
        <v>12</v>
      </c>
      <c r="M249" s="182" t="n">
        <v>0</v>
      </c>
      <c r="N249" s="182" t="n">
        <v>0</v>
      </c>
      <c r="O249" s="183" t="n">
        <v>0</v>
      </c>
      <c r="P249" s="183" t="n">
        <v>0</v>
      </c>
      <c r="Q249" s="184" t="n">
        <v>0</v>
      </c>
      <c r="R249" s="184" t="n">
        <v>0</v>
      </c>
      <c r="S249" s="183" t="n">
        <v>0</v>
      </c>
      <c r="T249" s="183" t="n">
        <v>0</v>
      </c>
      <c r="U249" s="182" t="n">
        <v>0</v>
      </c>
      <c r="V249" s="182" t="n">
        <v>0</v>
      </c>
      <c r="W249" s="182" t="n">
        <v>0</v>
      </c>
      <c r="X249" s="182" t="n">
        <v>1</v>
      </c>
      <c r="Y249" s="182" t="n">
        <v>0</v>
      </c>
      <c r="Z249" s="182" t="n">
        <v>0</v>
      </c>
      <c r="AA249" s="182" t="n">
        <v>0</v>
      </c>
      <c r="AB249" s="182" t="n">
        <v>0</v>
      </c>
      <c r="AC249" s="182" t="n">
        <v>0</v>
      </c>
      <c r="AD249" s="182" t="n">
        <v>0</v>
      </c>
      <c r="AE249" s="182" t="n">
        <v>0</v>
      </c>
      <c r="AF249" s="182" t="n">
        <v>0</v>
      </c>
      <c r="AG249" s="182" t="n">
        <v>0</v>
      </c>
      <c r="AH249" s="182" t="n">
        <v>0</v>
      </c>
      <c r="AI249" s="182" t="n">
        <v>0</v>
      </c>
      <c r="AJ249" s="182" t="n">
        <v>0</v>
      </c>
      <c r="AK249" s="182" t="n">
        <v>10.92</v>
      </c>
      <c r="AL249" s="182" t="n">
        <v>0</v>
      </c>
      <c r="AM249" s="182" t="n">
        <v>0.08</v>
      </c>
      <c r="AN249" s="182" t="n">
        <v>0</v>
      </c>
    </row>
    <row r="250">
      <c r="A250" s="155" t="n">
        <v>46083</v>
      </c>
      <c r="B250" s="156" t="inlineStr">
        <is>
          <t>DS</t>
        </is>
      </c>
      <c r="C250" s="156" t="inlineStr">
        <is>
          <t>HT-414</t>
        </is>
      </c>
      <c r="D250" s="156" t="inlineStr">
        <is>
          <t>SY430</t>
        </is>
      </c>
      <c r="E250" s="156" t="inlineStr">
        <is>
          <t>DT Hauling</t>
        </is>
      </c>
      <c r="F250" s="156" t="inlineStr"/>
      <c r="G250" s="182" t="n">
        <v>0</v>
      </c>
      <c r="H250" s="182" t="n">
        <v>0</v>
      </c>
      <c r="I250" s="182" t="n">
        <v>0</v>
      </c>
      <c r="J250" s="182" t="n">
        <v>0</v>
      </c>
      <c r="K250" s="182" t="n">
        <v>12</v>
      </c>
      <c r="L250" s="182" t="n">
        <v>12</v>
      </c>
      <c r="M250" s="182" t="n">
        <v>0</v>
      </c>
      <c r="N250" s="182" t="n">
        <v>0</v>
      </c>
      <c r="O250" s="183" t="n">
        <v>0</v>
      </c>
      <c r="P250" s="183" t="n">
        <v>0</v>
      </c>
      <c r="Q250" s="184" t="n">
        <v>0</v>
      </c>
      <c r="R250" s="184" t="n">
        <v>0</v>
      </c>
      <c r="S250" s="183" t="n">
        <v>0</v>
      </c>
      <c r="T250" s="183" t="n">
        <v>0</v>
      </c>
      <c r="U250" s="182" t="n">
        <v>0</v>
      </c>
      <c r="V250" s="182" t="n">
        <v>0</v>
      </c>
      <c r="W250" s="182" t="n">
        <v>0</v>
      </c>
      <c r="X250" s="182" t="n">
        <v>1</v>
      </c>
      <c r="Y250" s="182" t="n">
        <v>0</v>
      </c>
      <c r="Z250" s="182" t="n">
        <v>0</v>
      </c>
      <c r="AA250" s="182" t="n">
        <v>0</v>
      </c>
      <c r="AB250" s="182" t="n">
        <v>0</v>
      </c>
      <c r="AC250" s="182" t="n">
        <v>0</v>
      </c>
      <c r="AD250" s="182" t="n">
        <v>0</v>
      </c>
      <c r="AE250" s="182" t="n">
        <v>0</v>
      </c>
      <c r="AF250" s="182" t="n">
        <v>0</v>
      </c>
      <c r="AG250" s="182" t="n">
        <v>0</v>
      </c>
      <c r="AH250" s="182" t="n">
        <v>0</v>
      </c>
      <c r="AI250" s="182" t="n">
        <v>0</v>
      </c>
      <c r="AJ250" s="182" t="n">
        <v>0</v>
      </c>
      <c r="AK250" s="182" t="n">
        <v>10.92</v>
      </c>
      <c r="AL250" s="182" t="n">
        <v>0</v>
      </c>
      <c r="AM250" s="182" t="n">
        <v>0.08</v>
      </c>
      <c r="AN250" s="182" t="n">
        <v>0</v>
      </c>
    </row>
    <row r="251">
      <c r="A251" s="155" t="n">
        <v>46083</v>
      </c>
      <c r="B251" s="156" t="inlineStr">
        <is>
          <t>DS</t>
        </is>
      </c>
      <c r="C251" s="156" t="inlineStr">
        <is>
          <t>HT-411</t>
        </is>
      </c>
      <c r="D251" s="156" t="inlineStr">
        <is>
          <t>SY430</t>
        </is>
      </c>
      <c r="E251" s="156" t="inlineStr">
        <is>
          <t>DT Hauling</t>
        </is>
      </c>
      <c r="F251" s="156" t="inlineStr"/>
      <c r="G251" s="182" t="n">
        <v>0</v>
      </c>
      <c r="H251" s="182" t="n">
        <v>0</v>
      </c>
      <c r="I251" s="182" t="n">
        <v>0</v>
      </c>
      <c r="J251" s="182" t="n">
        <v>0</v>
      </c>
      <c r="K251" s="182" t="n">
        <v>12</v>
      </c>
      <c r="L251" s="182" t="n">
        <v>12</v>
      </c>
      <c r="M251" s="182" t="n">
        <v>0</v>
      </c>
      <c r="N251" s="182" t="n">
        <v>0</v>
      </c>
      <c r="O251" s="183" t="n">
        <v>0</v>
      </c>
      <c r="P251" s="183" t="n">
        <v>0</v>
      </c>
      <c r="Q251" s="184" t="n">
        <v>0</v>
      </c>
      <c r="R251" s="184" t="n">
        <v>0</v>
      </c>
      <c r="S251" s="183" t="n">
        <v>0</v>
      </c>
      <c r="T251" s="183" t="n">
        <v>0</v>
      </c>
      <c r="U251" s="182" t="n">
        <v>0</v>
      </c>
      <c r="V251" s="182" t="n">
        <v>0</v>
      </c>
      <c r="W251" s="182" t="n">
        <v>0</v>
      </c>
      <c r="X251" s="182" t="n">
        <v>1</v>
      </c>
      <c r="Y251" s="182" t="n">
        <v>0</v>
      </c>
      <c r="Z251" s="182" t="n">
        <v>0</v>
      </c>
      <c r="AA251" s="182" t="n">
        <v>0</v>
      </c>
      <c r="AB251" s="182" t="n">
        <v>0</v>
      </c>
      <c r="AC251" s="182" t="n">
        <v>0</v>
      </c>
      <c r="AD251" s="182" t="n">
        <v>0</v>
      </c>
      <c r="AE251" s="182" t="n">
        <v>0</v>
      </c>
      <c r="AF251" s="182" t="n">
        <v>0</v>
      </c>
      <c r="AG251" s="182" t="n">
        <v>0</v>
      </c>
      <c r="AH251" s="182" t="n">
        <v>0</v>
      </c>
      <c r="AI251" s="182" t="n">
        <v>0</v>
      </c>
      <c r="AJ251" s="182" t="n">
        <v>0</v>
      </c>
      <c r="AK251" s="182" t="n">
        <v>10.92</v>
      </c>
      <c r="AL251" s="182" t="n">
        <v>0</v>
      </c>
      <c r="AM251" s="182" t="n">
        <v>0.08</v>
      </c>
      <c r="AN251" s="182" t="n">
        <v>0</v>
      </c>
    </row>
    <row r="252">
      <c r="A252" s="155" t="n">
        <v>46083</v>
      </c>
      <c r="B252" s="156" t="inlineStr">
        <is>
          <t>DS</t>
        </is>
      </c>
      <c r="C252" s="156" t="inlineStr">
        <is>
          <t>HT-409</t>
        </is>
      </c>
      <c r="D252" s="156" t="inlineStr">
        <is>
          <t>SY430</t>
        </is>
      </c>
      <c r="E252" s="156" t="inlineStr">
        <is>
          <t>DT Hauling</t>
        </is>
      </c>
      <c r="F252" s="156" t="inlineStr"/>
      <c r="G252" s="182" t="n">
        <v>0</v>
      </c>
      <c r="H252" s="182" t="n">
        <v>0</v>
      </c>
      <c r="I252" s="182" t="n">
        <v>1</v>
      </c>
      <c r="J252" s="182" t="n">
        <v>1</v>
      </c>
      <c r="K252" s="182" t="n">
        <v>11</v>
      </c>
      <c r="L252" s="182" t="n">
        <v>12</v>
      </c>
      <c r="M252" s="182" t="n">
        <v>0</v>
      </c>
      <c r="N252" s="182" t="n">
        <v>0</v>
      </c>
      <c r="O252" s="183" t="n">
        <v>0</v>
      </c>
      <c r="P252" s="183" t="n">
        <v>0</v>
      </c>
      <c r="Q252" s="184" t="n">
        <v>0</v>
      </c>
      <c r="R252" s="184" t="n">
        <v>0</v>
      </c>
      <c r="S252" s="183" t="n">
        <v>0</v>
      </c>
      <c r="T252" s="183" t="n">
        <v>0</v>
      </c>
      <c r="U252" s="182" t="n">
        <v>0</v>
      </c>
      <c r="V252" s="182" t="n">
        <v>0</v>
      </c>
      <c r="W252" s="182" t="n">
        <v>0</v>
      </c>
      <c r="X252" s="182" t="n">
        <v>1</v>
      </c>
      <c r="Y252" s="182" t="n">
        <v>0</v>
      </c>
      <c r="Z252" s="182" t="n">
        <v>0</v>
      </c>
      <c r="AA252" s="182" t="n">
        <v>0</v>
      </c>
      <c r="AB252" s="182" t="n">
        <v>0</v>
      </c>
      <c r="AC252" s="182" t="n">
        <v>0</v>
      </c>
      <c r="AD252" s="182" t="n">
        <v>0</v>
      </c>
      <c r="AE252" s="182" t="n">
        <v>0</v>
      </c>
      <c r="AF252" s="182" t="n">
        <v>0</v>
      </c>
      <c r="AG252" s="182" t="n">
        <v>0</v>
      </c>
      <c r="AH252" s="182" t="n">
        <v>0</v>
      </c>
      <c r="AI252" s="182" t="n">
        <v>0</v>
      </c>
      <c r="AJ252" s="182" t="n">
        <v>0</v>
      </c>
      <c r="AK252" s="182" t="n">
        <v>9.92</v>
      </c>
      <c r="AL252" s="182" t="n">
        <v>0</v>
      </c>
      <c r="AM252" s="182" t="n">
        <v>0.08</v>
      </c>
      <c r="AN252" s="182" t="n">
        <v>0</v>
      </c>
    </row>
    <row r="253">
      <c r="A253" s="155" t="n">
        <v>46083</v>
      </c>
      <c r="B253" s="156" t="inlineStr">
        <is>
          <t>DS</t>
        </is>
      </c>
      <c r="C253" s="156" t="inlineStr">
        <is>
          <t>DH-103</t>
        </is>
      </c>
      <c r="D253" s="156" t="inlineStr">
        <is>
          <t>HINO FM260</t>
        </is>
      </c>
      <c r="E253" s="156" t="inlineStr">
        <is>
          <t>DT Hino</t>
        </is>
      </c>
      <c r="F253" s="156" t="inlineStr"/>
      <c r="G253" s="182" t="n">
        <v>0</v>
      </c>
      <c r="H253" s="182" t="n">
        <v>0</v>
      </c>
      <c r="I253" s="182" t="n">
        <v>12</v>
      </c>
      <c r="J253" s="182" t="n">
        <v>12</v>
      </c>
      <c r="K253" s="182" t="n">
        <v>0</v>
      </c>
      <c r="L253" s="182" t="n">
        <v>12</v>
      </c>
      <c r="M253" s="182" t="n">
        <v>0</v>
      </c>
      <c r="N253" s="182" t="n">
        <v>0</v>
      </c>
      <c r="O253" s="183" t="n">
        <v>0</v>
      </c>
      <c r="P253" s="183" t="n">
        <v>0</v>
      </c>
      <c r="Q253" s="184" t="n">
        <v>0</v>
      </c>
      <c r="R253" s="184" t="n">
        <v>0</v>
      </c>
      <c r="S253" s="183" t="n">
        <v>0</v>
      </c>
      <c r="T253" s="183" t="n">
        <v>0</v>
      </c>
      <c r="U253" s="182" t="n">
        <v>0</v>
      </c>
      <c r="V253" s="182" t="n">
        <v>0</v>
      </c>
      <c r="W253" s="182" t="n">
        <v>0</v>
      </c>
      <c r="X253" s="182" t="n">
        <v>0</v>
      </c>
      <c r="Y253" s="182" t="n">
        <v>0</v>
      </c>
      <c r="Z253" s="182" t="n">
        <v>0</v>
      </c>
      <c r="AA253" s="182" t="n">
        <v>0</v>
      </c>
      <c r="AB253" s="182" t="n">
        <v>0</v>
      </c>
      <c r="AC253" s="182" t="n">
        <v>0</v>
      </c>
      <c r="AD253" s="182" t="n">
        <v>0</v>
      </c>
      <c r="AE253" s="182" t="n">
        <v>0</v>
      </c>
      <c r="AF253" s="182" t="n">
        <v>0</v>
      </c>
      <c r="AG253" s="182" t="n">
        <v>0</v>
      </c>
      <c r="AH253" s="182" t="n">
        <v>0</v>
      </c>
      <c r="AI253" s="182" t="n">
        <v>0</v>
      </c>
      <c r="AJ253" s="182" t="n">
        <v>0</v>
      </c>
      <c r="AK253" s="182" t="n">
        <v>0</v>
      </c>
      <c r="AL253" s="182" t="n">
        <v>0</v>
      </c>
      <c r="AM253" s="182" t="n">
        <v>0</v>
      </c>
      <c r="AN253" s="182" t="n">
        <v>0</v>
      </c>
    </row>
    <row r="254">
      <c r="A254" s="155" t="n">
        <v>46083</v>
      </c>
      <c r="B254" s="156" t="inlineStr">
        <is>
          <t>DS</t>
        </is>
      </c>
      <c r="C254" s="156" t="inlineStr">
        <is>
          <t>DH-102</t>
        </is>
      </c>
      <c r="D254" s="156" t="inlineStr">
        <is>
          <t>HINO FM260</t>
        </is>
      </c>
      <c r="E254" s="156" t="inlineStr">
        <is>
          <t>DT Hino</t>
        </is>
      </c>
      <c r="F254" s="156" t="inlineStr"/>
      <c r="G254" s="182" t="n">
        <v>0</v>
      </c>
      <c r="H254" s="182" t="n">
        <v>0</v>
      </c>
      <c r="I254" s="182" t="n">
        <v>0</v>
      </c>
      <c r="J254" s="182" t="n">
        <v>0</v>
      </c>
      <c r="K254" s="182" t="n">
        <v>12</v>
      </c>
      <c r="L254" s="182" t="n">
        <v>12</v>
      </c>
      <c r="M254" s="182" t="n">
        <v>0</v>
      </c>
      <c r="N254" s="182" t="n">
        <v>0</v>
      </c>
      <c r="O254" s="183" t="n">
        <v>0</v>
      </c>
      <c r="P254" s="183" t="n">
        <v>0</v>
      </c>
      <c r="Q254" s="184" t="n">
        <v>0</v>
      </c>
      <c r="R254" s="184" t="n">
        <v>0</v>
      </c>
      <c r="S254" s="183" t="n">
        <v>0</v>
      </c>
      <c r="T254" s="183" t="n">
        <v>0</v>
      </c>
      <c r="U254" s="182" t="n">
        <v>0</v>
      </c>
      <c r="V254" s="182" t="n">
        <v>0</v>
      </c>
      <c r="W254" s="182" t="n">
        <v>0</v>
      </c>
      <c r="X254" s="182" t="n">
        <v>1</v>
      </c>
      <c r="Y254" s="182" t="n">
        <v>0</v>
      </c>
      <c r="Z254" s="182" t="n">
        <v>0</v>
      </c>
      <c r="AA254" s="182" t="n">
        <v>0</v>
      </c>
      <c r="AB254" s="182" t="n">
        <v>0</v>
      </c>
      <c r="AC254" s="182" t="n">
        <v>0</v>
      </c>
      <c r="AD254" s="182" t="n">
        <v>0</v>
      </c>
      <c r="AE254" s="182" t="n">
        <v>0</v>
      </c>
      <c r="AF254" s="182" t="n">
        <v>0</v>
      </c>
      <c r="AG254" s="182" t="n">
        <v>0</v>
      </c>
      <c r="AH254" s="182" t="n">
        <v>0</v>
      </c>
      <c r="AI254" s="182" t="n">
        <v>0</v>
      </c>
      <c r="AJ254" s="182" t="n">
        <v>0</v>
      </c>
      <c r="AK254" s="182" t="n">
        <v>10.92</v>
      </c>
      <c r="AL254" s="182" t="n">
        <v>0</v>
      </c>
      <c r="AM254" s="182" t="n">
        <v>0.08</v>
      </c>
      <c r="AN254" s="182" t="n">
        <v>0</v>
      </c>
    </row>
    <row r="255">
      <c r="A255" s="155" t="n">
        <v>46083</v>
      </c>
      <c r="B255" s="156" t="inlineStr">
        <is>
          <t>DS</t>
        </is>
      </c>
      <c r="C255" s="156" t="inlineStr">
        <is>
          <t>DH-101</t>
        </is>
      </c>
      <c r="D255" s="156" t="inlineStr">
        <is>
          <t>HINO FM260</t>
        </is>
      </c>
      <c r="E255" s="156" t="inlineStr">
        <is>
          <t>DT Hino</t>
        </is>
      </c>
      <c r="F255" s="156" t="inlineStr"/>
      <c r="G255" s="182" t="n">
        <v>0</v>
      </c>
      <c r="H255" s="182" t="n">
        <v>0</v>
      </c>
      <c r="I255" s="182" t="n">
        <v>0</v>
      </c>
      <c r="J255" s="182" t="n">
        <v>0</v>
      </c>
      <c r="K255" s="182" t="n">
        <v>12</v>
      </c>
      <c r="L255" s="182" t="n">
        <v>12</v>
      </c>
      <c r="M255" s="182" t="n">
        <v>0</v>
      </c>
      <c r="N255" s="182" t="n">
        <v>0</v>
      </c>
      <c r="O255" s="183" t="n">
        <v>0</v>
      </c>
      <c r="P255" s="183" t="n">
        <v>0</v>
      </c>
      <c r="Q255" s="184" t="n">
        <v>0</v>
      </c>
      <c r="R255" s="184" t="n">
        <v>0</v>
      </c>
      <c r="S255" s="183" t="n">
        <v>0</v>
      </c>
      <c r="T255" s="183" t="n">
        <v>0</v>
      </c>
      <c r="U255" s="182" t="n">
        <v>0</v>
      </c>
      <c r="V255" s="182" t="n">
        <v>0</v>
      </c>
      <c r="W255" s="182" t="n">
        <v>0</v>
      </c>
      <c r="X255" s="182" t="n">
        <v>1</v>
      </c>
      <c r="Y255" s="182" t="n">
        <v>0</v>
      </c>
      <c r="Z255" s="182" t="n">
        <v>0</v>
      </c>
      <c r="AA255" s="182" t="n">
        <v>0</v>
      </c>
      <c r="AB255" s="182" t="n">
        <v>0</v>
      </c>
      <c r="AC255" s="182" t="n">
        <v>0</v>
      </c>
      <c r="AD255" s="182" t="n">
        <v>0</v>
      </c>
      <c r="AE255" s="182" t="n">
        <v>0</v>
      </c>
      <c r="AF255" s="182" t="n">
        <v>0</v>
      </c>
      <c r="AG255" s="182" t="n">
        <v>0</v>
      </c>
      <c r="AH255" s="182" t="n">
        <v>0</v>
      </c>
      <c r="AI255" s="182" t="n">
        <v>0</v>
      </c>
      <c r="AJ255" s="182" t="n">
        <v>0</v>
      </c>
      <c r="AK255" s="182" t="n">
        <v>10.92</v>
      </c>
      <c r="AL255" s="182" t="n">
        <v>0</v>
      </c>
      <c r="AM255" s="182" t="n">
        <v>0.08</v>
      </c>
      <c r="AN255" s="182" t="n">
        <v>0</v>
      </c>
    </row>
    <row r="256">
      <c r="A256" s="155" t="n">
        <v>46083</v>
      </c>
      <c r="B256" s="156" t="inlineStr">
        <is>
          <t>DS</t>
        </is>
      </c>
      <c r="C256" s="156" t="inlineStr">
        <is>
          <t>EX-1251</t>
        </is>
      </c>
      <c r="D256" s="156" t="inlineStr">
        <is>
          <t>SY1250</t>
        </is>
      </c>
      <c r="E256" s="156" t="inlineStr">
        <is>
          <t>Excavator</t>
        </is>
      </c>
      <c r="F256" s="156" t="inlineStr">
        <is>
          <t>Loading OB</t>
        </is>
      </c>
      <c r="G256" s="182" t="n">
        <v>9.93</v>
      </c>
      <c r="H256" s="182" t="n">
        <v>0</v>
      </c>
      <c r="I256" s="182" t="n">
        <v>0</v>
      </c>
      <c r="J256" s="182" t="n">
        <v>0</v>
      </c>
      <c r="K256" s="182" t="n">
        <v>2.07</v>
      </c>
      <c r="L256" s="182" t="n">
        <v>12</v>
      </c>
      <c r="M256" s="182" t="n">
        <v>8.630000000000001</v>
      </c>
      <c r="N256" s="182" t="n">
        <v>0</v>
      </c>
      <c r="O256" s="183" t="n">
        <v>183</v>
      </c>
      <c r="P256" s="183" t="n">
        <v>0</v>
      </c>
      <c r="Q256" s="184" t="n">
        <v>3733.2</v>
      </c>
      <c r="R256" s="184" t="n">
        <v>0</v>
      </c>
      <c r="S256" s="183" t="n">
        <v>0</v>
      </c>
      <c r="T256" s="183" t="n">
        <v>0</v>
      </c>
      <c r="U256" s="182" t="n">
        <v>0.63</v>
      </c>
      <c r="V256" s="182" t="n">
        <v>0</v>
      </c>
      <c r="W256" s="182" t="n">
        <v>0</v>
      </c>
      <c r="X256" s="182" t="n">
        <v>0.9</v>
      </c>
      <c r="Y256" s="182" t="n">
        <v>0</v>
      </c>
      <c r="Z256" s="182" t="n">
        <v>0</v>
      </c>
      <c r="AA256" s="182" t="n">
        <v>0</v>
      </c>
      <c r="AB256" s="182" t="n">
        <v>0</v>
      </c>
      <c r="AC256" s="182" t="n">
        <v>0.3</v>
      </c>
      <c r="AD256" s="182" t="n">
        <v>0</v>
      </c>
      <c r="AE256" s="182" t="n">
        <v>0</v>
      </c>
      <c r="AF256" s="182" t="n">
        <v>0</v>
      </c>
      <c r="AG256" s="182" t="n">
        <v>0</v>
      </c>
      <c r="AH256" s="182" t="n">
        <v>0.17</v>
      </c>
      <c r="AI256" s="182" t="n">
        <v>0</v>
      </c>
      <c r="AJ256" s="182" t="n">
        <v>0</v>
      </c>
      <c r="AK256" s="182" t="n">
        <v>0</v>
      </c>
      <c r="AL256" s="182" t="n">
        <v>0</v>
      </c>
      <c r="AM256" s="182" t="n">
        <v>0.07000000000000001</v>
      </c>
      <c r="AN256" s="182" t="n">
        <v>0</v>
      </c>
    </row>
    <row r="257">
      <c r="A257" s="155" t="n">
        <v>46083</v>
      </c>
      <c r="B257" s="156" t="inlineStr">
        <is>
          <t>DS</t>
        </is>
      </c>
      <c r="C257" s="156" t="inlineStr">
        <is>
          <t>EX-1252</t>
        </is>
      </c>
      <c r="D257" s="156" t="inlineStr">
        <is>
          <t>SY1250</t>
        </is>
      </c>
      <c r="E257" s="156" t="inlineStr">
        <is>
          <t>Excavator</t>
        </is>
      </c>
      <c r="F257" s="156" t="inlineStr"/>
      <c r="G257" s="182" t="n">
        <v>0</v>
      </c>
      <c r="H257" s="182" t="n">
        <v>0</v>
      </c>
      <c r="I257" s="182" t="n">
        <v>12</v>
      </c>
      <c r="J257" s="182" t="n">
        <v>12</v>
      </c>
      <c r="K257" s="182" t="n">
        <v>0</v>
      </c>
      <c r="L257" s="182" t="n">
        <v>12</v>
      </c>
      <c r="M257" s="182" t="n">
        <v>0</v>
      </c>
      <c r="N257" s="182" t="n">
        <v>0</v>
      </c>
      <c r="O257" s="183" t="n">
        <v>0</v>
      </c>
      <c r="P257" s="183" t="n">
        <v>0</v>
      </c>
      <c r="Q257" s="184" t="n">
        <v>0</v>
      </c>
      <c r="R257" s="184" t="n">
        <v>0</v>
      </c>
      <c r="S257" s="183" t="n">
        <v>0</v>
      </c>
      <c r="T257" s="183" t="n">
        <v>0</v>
      </c>
      <c r="U257" s="182" t="n">
        <v>0</v>
      </c>
      <c r="V257" s="182" t="n">
        <v>0</v>
      </c>
      <c r="W257" s="182" t="n">
        <v>0</v>
      </c>
      <c r="X257" s="182" t="n">
        <v>0</v>
      </c>
      <c r="Y257" s="182" t="n">
        <v>0</v>
      </c>
      <c r="Z257" s="182" t="n">
        <v>0</v>
      </c>
      <c r="AA257" s="182" t="n">
        <v>0</v>
      </c>
      <c r="AB257" s="182" t="n">
        <v>0</v>
      </c>
      <c r="AC257" s="182" t="n">
        <v>0</v>
      </c>
      <c r="AD257" s="182" t="n">
        <v>0</v>
      </c>
      <c r="AE257" s="182" t="n">
        <v>0</v>
      </c>
      <c r="AF257" s="182" t="n">
        <v>0</v>
      </c>
      <c r="AG257" s="182" t="n">
        <v>0</v>
      </c>
      <c r="AH257" s="182" t="n">
        <v>0</v>
      </c>
      <c r="AI257" s="182" t="n">
        <v>0</v>
      </c>
      <c r="AJ257" s="182" t="n">
        <v>0</v>
      </c>
      <c r="AK257" s="182" t="n">
        <v>0</v>
      </c>
      <c r="AL257" s="182" t="n">
        <v>0</v>
      </c>
      <c r="AM257" s="182" t="n">
        <v>0</v>
      </c>
      <c r="AN257" s="182" t="n">
        <v>0</v>
      </c>
    </row>
    <row r="258">
      <c r="A258" s="155" t="n">
        <v>46083</v>
      </c>
      <c r="B258" s="156" t="inlineStr">
        <is>
          <t>DS</t>
        </is>
      </c>
      <c r="C258" s="156" t="inlineStr">
        <is>
          <t>EX-2101</t>
        </is>
      </c>
      <c r="D258" s="156" t="inlineStr">
        <is>
          <t>SY2000</t>
        </is>
      </c>
      <c r="E258" s="156" t="inlineStr">
        <is>
          <t>Excavator</t>
        </is>
      </c>
      <c r="F258" s="156" t="inlineStr">
        <is>
          <t>Loading OB</t>
        </is>
      </c>
      <c r="G258" s="182" t="n">
        <v>6.41</v>
      </c>
      <c r="H258" s="182" t="n">
        <v>0</v>
      </c>
      <c r="I258" s="182" t="n">
        <v>5.17</v>
      </c>
      <c r="J258" s="182" t="n">
        <v>5.17</v>
      </c>
      <c r="K258" s="182" t="n">
        <v>0.42</v>
      </c>
      <c r="L258" s="182" t="n">
        <v>12</v>
      </c>
      <c r="M258" s="182" t="n">
        <v>5.21</v>
      </c>
      <c r="N258" s="182" t="n">
        <v>0</v>
      </c>
      <c r="O258" s="183" t="n">
        <v>100</v>
      </c>
      <c r="P258" s="183" t="n">
        <v>0</v>
      </c>
      <c r="Q258" s="184" t="n">
        <v>3570</v>
      </c>
      <c r="R258" s="184" t="n">
        <v>0</v>
      </c>
      <c r="S258" s="183" t="n">
        <v>0</v>
      </c>
      <c r="T258" s="183" t="n">
        <v>0</v>
      </c>
      <c r="U258" s="182" t="n">
        <v>0</v>
      </c>
      <c r="V258" s="182" t="n">
        <v>0</v>
      </c>
      <c r="W258" s="182" t="n">
        <v>0</v>
      </c>
      <c r="X258" s="182" t="n">
        <v>0.38</v>
      </c>
      <c r="Y258" s="182" t="n">
        <v>0</v>
      </c>
      <c r="Z258" s="182" t="n">
        <v>0</v>
      </c>
      <c r="AA258" s="182" t="n">
        <v>0</v>
      </c>
      <c r="AB258" s="182" t="n">
        <v>0</v>
      </c>
      <c r="AC258" s="182" t="n">
        <v>0</v>
      </c>
      <c r="AD258" s="182" t="n">
        <v>0</v>
      </c>
      <c r="AE258" s="182" t="n">
        <v>0</v>
      </c>
      <c r="AF258" s="182" t="n">
        <v>0</v>
      </c>
      <c r="AG258" s="182" t="n">
        <v>0</v>
      </c>
      <c r="AH258" s="182" t="n">
        <v>0</v>
      </c>
      <c r="AI258" s="182" t="n">
        <v>0</v>
      </c>
      <c r="AJ258" s="182" t="n">
        <v>0</v>
      </c>
      <c r="AK258" s="182" t="n">
        <v>0</v>
      </c>
      <c r="AL258" s="182" t="n">
        <v>0</v>
      </c>
      <c r="AM258" s="182" t="n">
        <v>0.04</v>
      </c>
      <c r="AN258" s="182" t="n">
        <v>0</v>
      </c>
    </row>
    <row r="259">
      <c r="A259" s="155" t="n">
        <v>46083</v>
      </c>
      <c r="B259" s="156" t="inlineStr">
        <is>
          <t>DS</t>
        </is>
      </c>
      <c r="C259" s="156" t="inlineStr">
        <is>
          <t>EX-222</t>
        </is>
      </c>
      <c r="D259" s="156" t="inlineStr">
        <is>
          <t>PC 200-8MI</t>
        </is>
      </c>
      <c r="E259" s="156" t="inlineStr">
        <is>
          <t>Excavator</t>
        </is>
      </c>
      <c r="F259" s="156" t="inlineStr">
        <is>
          <t>Support Washing Plant</t>
        </is>
      </c>
      <c r="G259" s="182" t="n">
        <v>6.91</v>
      </c>
      <c r="H259" s="182" t="n">
        <v>4.08</v>
      </c>
      <c r="I259" s="182" t="n">
        <v>0</v>
      </c>
      <c r="J259" s="182" t="n">
        <v>4.08</v>
      </c>
      <c r="K259" s="182" t="n">
        <v>1.01</v>
      </c>
      <c r="L259" s="182" t="n">
        <v>12</v>
      </c>
      <c r="M259" s="182" t="n">
        <v>0</v>
      </c>
      <c r="N259" s="182" t="n">
        <v>0</v>
      </c>
      <c r="O259" s="183" t="n">
        <v>0</v>
      </c>
      <c r="P259" s="183" t="n">
        <v>0</v>
      </c>
      <c r="Q259" s="184" t="n">
        <v>0</v>
      </c>
      <c r="R259" s="184" t="n">
        <v>0</v>
      </c>
      <c r="S259" s="183" t="n">
        <v>0</v>
      </c>
      <c r="T259" s="183" t="n">
        <v>0</v>
      </c>
      <c r="U259" s="182" t="n">
        <v>0</v>
      </c>
      <c r="V259" s="182" t="n">
        <v>0</v>
      </c>
      <c r="W259" s="182" t="n">
        <v>0</v>
      </c>
      <c r="X259" s="182" t="n">
        <v>0.91</v>
      </c>
      <c r="Y259" s="182" t="n">
        <v>0</v>
      </c>
      <c r="Z259" s="182" t="n">
        <v>0</v>
      </c>
      <c r="AA259" s="182" t="n">
        <v>0</v>
      </c>
      <c r="AB259" s="182" t="n">
        <v>0</v>
      </c>
      <c r="AC259" s="182" t="n">
        <v>0</v>
      </c>
      <c r="AD259" s="182" t="n">
        <v>0</v>
      </c>
      <c r="AE259" s="182" t="n">
        <v>0</v>
      </c>
      <c r="AF259" s="182" t="n">
        <v>0</v>
      </c>
      <c r="AG259" s="182" t="n">
        <v>0</v>
      </c>
      <c r="AH259" s="182" t="n">
        <v>0</v>
      </c>
      <c r="AI259" s="182" t="n">
        <v>0</v>
      </c>
      <c r="AJ259" s="182" t="n">
        <v>0</v>
      </c>
      <c r="AK259" s="182" t="n">
        <v>0</v>
      </c>
      <c r="AL259" s="182" t="n">
        <v>0</v>
      </c>
      <c r="AM259" s="182" t="n">
        <v>0.09</v>
      </c>
      <c r="AN259" s="182" t="n">
        <v>0</v>
      </c>
    </row>
    <row r="260">
      <c r="A260" s="155" t="n">
        <v>46083</v>
      </c>
      <c r="B260" s="156" t="inlineStr">
        <is>
          <t>DS</t>
        </is>
      </c>
      <c r="C260" s="156" t="inlineStr">
        <is>
          <t>EX-225</t>
        </is>
      </c>
      <c r="D260" s="156" t="inlineStr">
        <is>
          <t>PC 200-8</t>
        </is>
      </c>
      <c r="E260" s="156" t="inlineStr">
        <is>
          <t>Excavator</t>
        </is>
      </c>
      <c r="F260" s="156" t="inlineStr"/>
      <c r="G260" s="182" t="n">
        <v>0</v>
      </c>
      <c r="H260" s="182" t="n">
        <v>0</v>
      </c>
      <c r="I260" s="182" t="n">
        <v>12</v>
      </c>
      <c r="J260" s="182" t="n">
        <v>12</v>
      </c>
      <c r="K260" s="182" t="n">
        <v>0</v>
      </c>
      <c r="L260" s="182" t="n">
        <v>12</v>
      </c>
      <c r="M260" s="182" t="n">
        <v>0</v>
      </c>
      <c r="N260" s="182" t="n">
        <v>0</v>
      </c>
      <c r="O260" s="183" t="n">
        <v>0</v>
      </c>
      <c r="P260" s="183" t="n">
        <v>0</v>
      </c>
      <c r="Q260" s="184" t="n">
        <v>0</v>
      </c>
      <c r="R260" s="184" t="n">
        <v>0</v>
      </c>
      <c r="S260" s="183" t="n">
        <v>0</v>
      </c>
      <c r="T260" s="183" t="n">
        <v>0</v>
      </c>
      <c r="U260" s="182" t="n">
        <v>0</v>
      </c>
      <c r="V260" s="182" t="n">
        <v>0</v>
      </c>
      <c r="W260" s="182" t="n">
        <v>0</v>
      </c>
      <c r="X260" s="182" t="n">
        <v>0</v>
      </c>
      <c r="Y260" s="182" t="n">
        <v>0</v>
      </c>
      <c r="Z260" s="182" t="n">
        <v>0</v>
      </c>
      <c r="AA260" s="182" t="n">
        <v>0</v>
      </c>
      <c r="AB260" s="182" t="n">
        <v>0</v>
      </c>
      <c r="AC260" s="182" t="n">
        <v>0</v>
      </c>
      <c r="AD260" s="182" t="n">
        <v>0</v>
      </c>
      <c r="AE260" s="182" t="n">
        <v>0</v>
      </c>
      <c r="AF260" s="182" t="n">
        <v>0</v>
      </c>
      <c r="AG260" s="182" t="n">
        <v>0</v>
      </c>
      <c r="AH260" s="182" t="n">
        <v>0</v>
      </c>
      <c r="AI260" s="182" t="n">
        <v>0</v>
      </c>
      <c r="AJ260" s="182" t="n">
        <v>0</v>
      </c>
      <c r="AK260" s="182" t="n">
        <v>0</v>
      </c>
      <c r="AL260" s="182" t="n">
        <v>0</v>
      </c>
      <c r="AM260" s="182" t="n">
        <v>0</v>
      </c>
      <c r="AN260" s="182" t="n">
        <v>0</v>
      </c>
    </row>
    <row r="261">
      <c r="A261" s="155" t="n">
        <v>46083</v>
      </c>
      <c r="B261" s="156" t="inlineStr">
        <is>
          <t>DS</t>
        </is>
      </c>
      <c r="C261" s="156" t="inlineStr">
        <is>
          <t>EX-223</t>
        </is>
      </c>
      <c r="D261" s="156" t="inlineStr">
        <is>
          <t>PC 200-8MI</t>
        </is>
      </c>
      <c r="E261" s="156" t="inlineStr">
        <is>
          <t>Excavator</t>
        </is>
      </c>
      <c r="F261" s="156" t="inlineStr">
        <is>
          <t>General WS Lama</t>
        </is>
      </c>
      <c r="G261" s="182" t="n">
        <v>8.109999999999999</v>
      </c>
      <c r="H261" s="182" t="n">
        <v>0</v>
      </c>
      <c r="I261" s="182" t="n">
        <v>0</v>
      </c>
      <c r="J261" s="182" t="n">
        <v>0</v>
      </c>
      <c r="K261" s="182" t="n">
        <v>3.89</v>
      </c>
      <c r="L261" s="182" t="n">
        <v>12</v>
      </c>
      <c r="M261" s="182" t="n">
        <v>0</v>
      </c>
      <c r="N261" s="182" t="n">
        <v>0</v>
      </c>
      <c r="O261" s="183" t="n">
        <v>0</v>
      </c>
      <c r="P261" s="183" t="n">
        <v>0</v>
      </c>
      <c r="Q261" s="184" t="n">
        <v>0</v>
      </c>
      <c r="R261" s="184" t="n">
        <v>0</v>
      </c>
      <c r="S261" s="183" t="n">
        <v>0</v>
      </c>
      <c r="T261" s="183" t="n">
        <v>0</v>
      </c>
      <c r="U261" s="182" t="n">
        <v>0</v>
      </c>
      <c r="V261" s="182" t="n">
        <v>0</v>
      </c>
      <c r="W261" s="182" t="n">
        <v>0</v>
      </c>
      <c r="X261" s="182" t="n">
        <v>1.05</v>
      </c>
      <c r="Y261" s="182" t="n">
        <v>0</v>
      </c>
      <c r="Z261" s="182" t="n">
        <v>0</v>
      </c>
      <c r="AA261" s="182" t="n">
        <v>0</v>
      </c>
      <c r="AB261" s="182" t="n">
        <v>0</v>
      </c>
      <c r="AC261" s="182" t="n">
        <v>0</v>
      </c>
      <c r="AD261" s="182" t="n">
        <v>0</v>
      </c>
      <c r="AE261" s="182" t="n">
        <v>0</v>
      </c>
      <c r="AF261" s="182" t="n">
        <v>0</v>
      </c>
      <c r="AG261" s="182" t="n">
        <v>0</v>
      </c>
      <c r="AH261" s="182" t="n">
        <v>0</v>
      </c>
      <c r="AI261" s="182" t="n">
        <v>0</v>
      </c>
      <c r="AJ261" s="182" t="n">
        <v>0</v>
      </c>
      <c r="AK261" s="182" t="n">
        <v>2.75</v>
      </c>
      <c r="AL261" s="182" t="n">
        <v>0</v>
      </c>
      <c r="AM261" s="182" t="n">
        <v>0.08</v>
      </c>
      <c r="AN261" s="182" t="n">
        <v>0</v>
      </c>
    </row>
    <row r="262">
      <c r="A262" s="155" t="n">
        <v>46083</v>
      </c>
      <c r="B262" s="156" t="inlineStr">
        <is>
          <t>DS</t>
        </is>
      </c>
      <c r="C262" s="156" t="inlineStr">
        <is>
          <t>EX-221</t>
        </is>
      </c>
      <c r="D262" s="156" t="inlineStr">
        <is>
          <t>PC 200-8MI</t>
        </is>
      </c>
      <c r="E262" s="156" t="inlineStr">
        <is>
          <t>Excavator</t>
        </is>
      </c>
      <c r="F262" s="156" t="inlineStr">
        <is>
          <t>General Jetty</t>
        </is>
      </c>
      <c r="G262" s="182" t="n">
        <v>6.21</v>
      </c>
      <c r="H262" s="182" t="n">
        <v>0</v>
      </c>
      <c r="I262" s="182" t="n">
        <v>0</v>
      </c>
      <c r="J262" s="182" t="n">
        <v>0</v>
      </c>
      <c r="K262" s="182" t="n">
        <v>5.79</v>
      </c>
      <c r="L262" s="182" t="n">
        <v>12</v>
      </c>
      <c r="M262" s="182" t="n">
        <v>0</v>
      </c>
      <c r="N262" s="182" t="n">
        <v>0</v>
      </c>
      <c r="O262" s="183" t="n">
        <v>0</v>
      </c>
      <c r="P262" s="183" t="n">
        <v>0</v>
      </c>
      <c r="Q262" s="184" t="n">
        <v>0</v>
      </c>
      <c r="R262" s="184" t="n">
        <v>0</v>
      </c>
      <c r="S262" s="183" t="n">
        <v>0</v>
      </c>
      <c r="T262" s="183" t="n">
        <v>0</v>
      </c>
      <c r="U262" s="182" t="n">
        <v>0</v>
      </c>
      <c r="V262" s="182" t="n">
        <v>0</v>
      </c>
      <c r="W262" s="182" t="n">
        <v>0</v>
      </c>
      <c r="X262" s="182" t="n">
        <v>0.96</v>
      </c>
      <c r="Y262" s="182" t="n">
        <v>0</v>
      </c>
      <c r="Z262" s="182" t="n">
        <v>0</v>
      </c>
      <c r="AA262" s="182" t="n">
        <v>0</v>
      </c>
      <c r="AB262" s="182" t="n">
        <v>0</v>
      </c>
      <c r="AC262" s="182" t="n">
        <v>0</v>
      </c>
      <c r="AD262" s="182" t="n">
        <v>0</v>
      </c>
      <c r="AE262" s="182" t="n">
        <v>0</v>
      </c>
      <c r="AF262" s="182" t="n">
        <v>0</v>
      </c>
      <c r="AG262" s="182" t="n">
        <v>0</v>
      </c>
      <c r="AH262" s="182" t="n">
        <v>0</v>
      </c>
      <c r="AI262" s="182" t="n">
        <v>0</v>
      </c>
      <c r="AJ262" s="182" t="n">
        <v>0</v>
      </c>
      <c r="AK262" s="182" t="n">
        <v>4.75</v>
      </c>
      <c r="AL262" s="182" t="n">
        <v>0</v>
      </c>
      <c r="AM262" s="182" t="n">
        <v>0.08</v>
      </c>
      <c r="AN262" s="182" t="n">
        <v>0</v>
      </c>
    </row>
    <row r="263">
      <c r="A263" s="155" t="n">
        <v>46083</v>
      </c>
      <c r="B263" s="156" t="inlineStr">
        <is>
          <t>DS</t>
        </is>
      </c>
      <c r="C263" s="156" t="inlineStr">
        <is>
          <t>EX-331</t>
        </is>
      </c>
      <c r="D263" s="156" t="inlineStr">
        <is>
          <t>PC 300-8MO</t>
        </is>
      </c>
      <c r="E263" s="156" t="inlineStr">
        <is>
          <t>Excavator</t>
        </is>
      </c>
      <c r="F263" s="156" t="inlineStr"/>
      <c r="G263" s="182" t="n">
        <v>0</v>
      </c>
      <c r="H263" s="182" t="n">
        <v>0</v>
      </c>
      <c r="I263" s="182" t="n">
        <v>12</v>
      </c>
      <c r="J263" s="182" t="n">
        <v>12</v>
      </c>
      <c r="K263" s="182" t="n">
        <v>0</v>
      </c>
      <c r="L263" s="182" t="n">
        <v>12</v>
      </c>
      <c r="M263" s="182" t="n">
        <v>0</v>
      </c>
      <c r="N263" s="182" t="n">
        <v>0</v>
      </c>
      <c r="O263" s="183" t="n">
        <v>0</v>
      </c>
      <c r="P263" s="183" t="n">
        <v>0</v>
      </c>
      <c r="Q263" s="184" t="n">
        <v>0</v>
      </c>
      <c r="R263" s="184" t="n">
        <v>0</v>
      </c>
      <c r="S263" s="183" t="n">
        <v>0</v>
      </c>
      <c r="T263" s="183" t="n">
        <v>0</v>
      </c>
      <c r="U263" s="182" t="n">
        <v>0</v>
      </c>
      <c r="V263" s="182" t="n">
        <v>0</v>
      </c>
      <c r="W263" s="182" t="n">
        <v>0</v>
      </c>
      <c r="X263" s="182" t="n">
        <v>0</v>
      </c>
      <c r="Y263" s="182" t="n">
        <v>0</v>
      </c>
      <c r="Z263" s="182" t="n">
        <v>0</v>
      </c>
      <c r="AA263" s="182" t="n">
        <v>0</v>
      </c>
      <c r="AB263" s="182" t="n">
        <v>0</v>
      </c>
      <c r="AC263" s="182" t="n">
        <v>0</v>
      </c>
      <c r="AD263" s="182" t="n">
        <v>0</v>
      </c>
      <c r="AE263" s="182" t="n">
        <v>0</v>
      </c>
      <c r="AF263" s="182" t="n">
        <v>0</v>
      </c>
      <c r="AG263" s="182" t="n">
        <v>0</v>
      </c>
      <c r="AH263" s="182" t="n">
        <v>0</v>
      </c>
      <c r="AI263" s="182" t="n">
        <v>0</v>
      </c>
      <c r="AJ263" s="182" t="n">
        <v>0</v>
      </c>
      <c r="AK263" s="182" t="n">
        <v>0</v>
      </c>
      <c r="AL263" s="182" t="n">
        <v>0</v>
      </c>
      <c r="AM263" s="182" t="n">
        <v>0</v>
      </c>
      <c r="AN263" s="182" t="n">
        <v>0</v>
      </c>
    </row>
    <row r="264">
      <c r="A264" s="155" t="n">
        <v>46083</v>
      </c>
      <c r="B264" s="156" t="inlineStr">
        <is>
          <t>DS</t>
        </is>
      </c>
      <c r="C264" s="156" t="inlineStr">
        <is>
          <t>EX-334</t>
        </is>
      </c>
      <c r="D264" s="156" t="inlineStr">
        <is>
          <t>PC 300-8MO</t>
        </is>
      </c>
      <c r="E264" s="156" t="inlineStr">
        <is>
          <t>Excavator</t>
        </is>
      </c>
      <c r="F264" s="156" t="inlineStr">
        <is>
          <t>Support Washing Plant</t>
        </is>
      </c>
      <c r="G264" s="182" t="n">
        <v>12</v>
      </c>
      <c r="H264" s="182" t="n">
        <v>0</v>
      </c>
      <c r="I264" s="182" t="n">
        <v>0</v>
      </c>
      <c r="J264" s="182" t="n">
        <v>0</v>
      </c>
      <c r="K264" s="182" t="n">
        <v>0</v>
      </c>
      <c r="L264" s="182" t="n">
        <v>12</v>
      </c>
      <c r="M264" s="182" t="n">
        <v>0</v>
      </c>
      <c r="N264" s="182" t="n">
        <v>0</v>
      </c>
      <c r="O264" s="183" t="n">
        <v>0</v>
      </c>
      <c r="P264" s="183" t="n">
        <v>0</v>
      </c>
      <c r="Q264" s="184" t="n">
        <v>0</v>
      </c>
      <c r="R264" s="184" t="n">
        <v>0</v>
      </c>
      <c r="S264" s="183" t="n">
        <v>0</v>
      </c>
      <c r="T264" s="183" t="n">
        <v>0</v>
      </c>
      <c r="U264" s="182" t="n">
        <v>0</v>
      </c>
      <c r="V264" s="182" t="n">
        <v>0</v>
      </c>
      <c r="W264" s="182" t="n">
        <v>0</v>
      </c>
      <c r="X264" s="182" t="n">
        <v>0</v>
      </c>
      <c r="Y264" s="182" t="n">
        <v>0</v>
      </c>
      <c r="Z264" s="182" t="n">
        <v>0</v>
      </c>
      <c r="AA264" s="182" t="n">
        <v>0</v>
      </c>
      <c r="AB264" s="182" t="n">
        <v>0</v>
      </c>
      <c r="AC264" s="182" t="n">
        <v>0</v>
      </c>
      <c r="AD264" s="182" t="n">
        <v>0</v>
      </c>
      <c r="AE264" s="182" t="n">
        <v>0</v>
      </c>
      <c r="AF264" s="182" t="n">
        <v>0</v>
      </c>
      <c r="AG264" s="182" t="n">
        <v>0</v>
      </c>
      <c r="AH264" s="182" t="n">
        <v>0</v>
      </c>
      <c r="AI264" s="182" t="n">
        <v>0</v>
      </c>
      <c r="AJ264" s="182" t="n">
        <v>0</v>
      </c>
      <c r="AK264" s="182" t="n">
        <v>0</v>
      </c>
      <c r="AL264" s="182" t="n">
        <v>0</v>
      </c>
      <c r="AM264" s="182" t="n">
        <v>0</v>
      </c>
      <c r="AN264" s="182" t="n">
        <v>0</v>
      </c>
    </row>
    <row r="265">
      <c r="A265" s="155" t="n">
        <v>46083</v>
      </c>
      <c r="B265" s="156" t="inlineStr">
        <is>
          <t>DS</t>
        </is>
      </c>
      <c r="C265" s="156" t="inlineStr">
        <is>
          <t>EX-332</t>
        </is>
      </c>
      <c r="D265" s="156" t="inlineStr">
        <is>
          <t>PC 300-8MO</t>
        </is>
      </c>
      <c r="E265" s="156" t="inlineStr">
        <is>
          <t>Excavator</t>
        </is>
      </c>
      <c r="F265" s="156" t="inlineStr"/>
      <c r="G265" s="182" t="n">
        <v>0</v>
      </c>
      <c r="H265" s="182" t="n">
        <v>0</v>
      </c>
      <c r="I265" s="182" t="n">
        <v>12</v>
      </c>
      <c r="J265" s="182" t="n">
        <v>12</v>
      </c>
      <c r="K265" s="182" t="n">
        <v>0</v>
      </c>
      <c r="L265" s="182" t="n">
        <v>12</v>
      </c>
      <c r="M265" s="182" t="n">
        <v>0</v>
      </c>
      <c r="N265" s="182" t="n">
        <v>0</v>
      </c>
      <c r="O265" s="183" t="n">
        <v>0</v>
      </c>
      <c r="P265" s="183" t="n">
        <v>0</v>
      </c>
      <c r="Q265" s="184" t="n">
        <v>0</v>
      </c>
      <c r="R265" s="184" t="n">
        <v>0</v>
      </c>
      <c r="S265" s="183" t="n">
        <v>0</v>
      </c>
      <c r="T265" s="183" t="n">
        <v>0</v>
      </c>
      <c r="U265" s="182" t="n">
        <v>0</v>
      </c>
      <c r="V265" s="182" t="n">
        <v>0</v>
      </c>
      <c r="W265" s="182" t="n">
        <v>0</v>
      </c>
      <c r="X265" s="182" t="n">
        <v>0</v>
      </c>
      <c r="Y265" s="182" t="n">
        <v>0</v>
      </c>
      <c r="Z265" s="182" t="n">
        <v>0</v>
      </c>
      <c r="AA265" s="182" t="n">
        <v>0</v>
      </c>
      <c r="AB265" s="182" t="n">
        <v>0</v>
      </c>
      <c r="AC265" s="182" t="n">
        <v>0</v>
      </c>
      <c r="AD265" s="182" t="n">
        <v>0</v>
      </c>
      <c r="AE265" s="182" t="n">
        <v>0</v>
      </c>
      <c r="AF265" s="182" t="n">
        <v>0</v>
      </c>
      <c r="AG265" s="182" t="n">
        <v>0</v>
      </c>
      <c r="AH265" s="182" t="n">
        <v>0</v>
      </c>
      <c r="AI265" s="182" t="n">
        <v>0</v>
      </c>
      <c r="AJ265" s="182" t="n">
        <v>0</v>
      </c>
      <c r="AK265" s="182" t="n">
        <v>0</v>
      </c>
      <c r="AL265" s="182" t="n">
        <v>0</v>
      </c>
      <c r="AM265" s="182" t="n">
        <v>0</v>
      </c>
      <c r="AN265" s="182" t="n">
        <v>0</v>
      </c>
    </row>
    <row r="266">
      <c r="A266" s="155" t="n">
        <v>46083</v>
      </c>
      <c r="B266" s="156" t="inlineStr">
        <is>
          <t>DS</t>
        </is>
      </c>
      <c r="C266" s="156" t="inlineStr">
        <is>
          <t>EX-333</t>
        </is>
      </c>
      <c r="D266" s="156" t="inlineStr">
        <is>
          <t>PC 300-8MO</t>
        </is>
      </c>
      <c r="E266" s="156" t="inlineStr">
        <is>
          <t>Excavator</t>
        </is>
      </c>
      <c r="F266" s="156" t="inlineStr">
        <is>
          <t>Loading Coal S60 &amp; Cleaning Coal</t>
        </is>
      </c>
      <c r="G266" s="182" t="n">
        <v>11.52</v>
      </c>
      <c r="H266" s="182" t="n">
        <v>0</v>
      </c>
      <c r="I266" s="182" t="n">
        <v>0</v>
      </c>
      <c r="J266" s="182" t="n">
        <v>0</v>
      </c>
      <c r="K266" s="182" t="n">
        <v>0.48</v>
      </c>
      <c r="L266" s="182" t="n">
        <v>12</v>
      </c>
      <c r="M266" s="182" t="n">
        <v>0</v>
      </c>
      <c r="N266" s="182" t="n">
        <v>2.53</v>
      </c>
      <c r="O266" s="183" t="n">
        <v>0</v>
      </c>
      <c r="P266" s="183" t="n">
        <v>16</v>
      </c>
      <c r="Q266" s="184" t="n">
        <v>0</v>
      </c>
      <c r="R266" s="184" t="n">
        <v>248.2</v>
      </c>
      <c r="S266" s="183" t="n">
        <v>0</v>
      </c>
      <c r="T266" s="183" t="n">
        <v>0</v>
      </c>
      <c r="U266" s="182" t="n">
        <v>0.42</v>
      </c>
      <c r="V266" s="182" t="n">
        <v>0</v>
      </c>
      <c r="W266" s="182" t="n">
        <v>0</v>
      </c>
      <c r="X266" s="182" t="n">
        <v>0</v>
      </c>
      <c r="Y266" s="182" t="n">
        <v>0</v>
      </c>
      <c r="Z266" s="182" t="n">
        <v>0</v>
      </c>
      <c r="AA266" s="182" t="n">
        <v>0</v>
      </c>
      <c r="AB266" s="182" t="n">
        <v>0</v>
      </c>
      <c r="AC266" s="182" t="n">
        <v>0</v>
      </c>
      <c r="AD266" s="182" t="n">
        <v>0</v>
      </c>
      <c r="AE266" s="182" t="n">
        <v>0</v>
      </c>
      <c r="AF266" s="182" t="n">
        <v>0</v>
      </c>
      <c r="AG266" s="182" t="n">
        <v>0</v>
      </c>
      <c r="AH266" s="182" t="n">
        <v>0</v>
      </c>
      <c r="AI266" s="182" t="n">
        <v>0</v>
      </c>
      <c r="AJ266" s="182" t="n">
        <v>0</v>
      </c>
      <c r="AK266" s="182" t="n">
        <v>0</v>
      </c>
      <c r="AL266" s="182" t="n">
        <v>0</v>
      </c>
      <c r="AM266" s="182" t="n">
        <v>0.06</v>
      </c>
      <c r="AN266" s="182" t="n">
        <v>0</v>
      </c>
    </row>
    <row r="267">
      <c r="A267" s="155" t="n">
        <v>46083</v>
      </c>
      <c r="B267" s="156" t="inlineStr">
        <is>
          <t>DS</t>
        </is>
      </c>
      <c r="C267" s="156" t="inlineStr">
        <is>
          <t>EX-336</t>
        </is>
      </c>
      <c r="D267" s="156" t="inlineStr">
        <is>
          <t>PC 300-8MO</t>
        </is>
      </c>
      <c r="E267" s="156" t="inlineStr">
        <is>
          <t>Excavator</t>
        </is>
      </c>
      <c r="F267" s="156" t="inlineStr">
        <is>
          <t>Cleaning Coal</t>
        </is>
      </c>
      <c r="G267" s="182" t="n">
        <v>10.98</v>
      </c>
      <c r="H267" s="182" t="n">
        <v>0</v>
      </c>
      <c r="I267" s="182" t="n">
        <v>0.73</v>
      </c>
      <c r="J267" s="182" t="n">
        <v>0.73</v>
      </c>
      <c r="K267" s="182" t="n">
        <v>0.29</v>
      </c>
      <c r="L267" s="182" t="n">
        <v>12</v>
      </c>
      <c r="M267" s="182" t="n">
        <v>0</v>
      </c>
      <c r="N267" s="182" t="n">
        <v>0</v>
      </c>
      <c r="O267" s="183" t="n">
        <v>0</v>
      </c>
      <c r="P267" s="183" t="n">
        <v>0</v>
      </c>
      <c r="Q267" s="184" t="n">
        <v>0</v>
      </c>
      <c r="R267" s="184" t="n">
        <v>0</v>
      </c>
      <c r="S267" s="183" t="n">
        <v>0</v>
      </c>
      <c r="T267" s="183" t="n">
        <v>0</v>
      </c>
      <c r="U267" s="182" t="n">
        <v>0.19</v>
      </c>
      <c r="V267" s="182" t="n">
        <v>0</v>
      </c>
      <c r="W267" s="182" t="n">
        <v>0</v>
      </c>
      <c r="X267" s="182" t="n">
        <v>0</v>
      </c>
      <c r="Y267" s="182" t="n">
        <v>0</v>
      </c>
      <c r="Z267" s="182" t="n">
        <v>0</v>
      </c>
      <c r="AA267" s="182" t="n">
        <v>0</v>
      </c>
      <c r="AB267" s="182" t="n">
        <v>0</v>
      </c>
      <c r="AC267" s="182" t="n">
        <v>0</v>
      </c>
      <c r="AD267" s="182" t="n">
        <v>0</v>
      </c>
      <c r="AE267" s="182" t="n">
        <v>0</v>
      </c>
      <c r="AF267" s="182" t="n">
        <v>0</v>
      </c>
      <c r="AG267" s="182" t="n">
        <v>0</v>
      </c>
      <c r="AH267" s="182" t="n">
        <v>0</v>
      </c>
      <c r="AI267" s="182" t="n">
        <v>0</v>
      </c>
      <c r="AJ267" s="182" t="n">
        <v>0</v>
      </c>
      <c r="AK267" s="182" t="n">
        <v>0</v>
      </c>
      <c r="AL267" s="182" t="n">
        <v>0</v>
      </c>
      <c r="AM267" s="182" t="n">
        <v>0.09</v>
      </c>
      <c r="AN267" s="182" t="n">
        <v>0</v>
      </c>
    </row>
    <row r="268">
      <c r="A268" s="155" t="n">
        <v>46083</v>
      </c>
      <c r="B268" s="156" t="inlineStr">
        <is>
          <t>DS</t>
        </is>
      </c>
      <c r="C268" s="156" t="inlineStr">
        <is>
          <t>EX-335</t>
        </is>
      </c>
      <c r="D268" s="156" t="inlineStr">
        <is>
          <t>PC 300-8MO</t>
        </is>
      </c>
      <c r="E268" s="156" t="inlineStr">
        <is>
          <t>Excavator</t>
        </is>
      </c>
      <c r="F268" s="156" t="inlineStr">
        <is>
          <t>Cleaning Coal</t>
        </is>
      </c>
      <c r="G268" s="182" t="n">
        <v>10.75</v>
      </c>
      <c r="H268" s="182" t="n">
        <v>0</v>
      </c>
      <c r="I268" s="182" t="n">
        <v>0</v>
      </c>
      <c r="J268" s="182" t="n">
        <v>0</v>
      </c>
      <c r="K268" s="182" t="n">
        <v>1.25</v>
      </c>
      <c r="L268" s="182" t="n">
        <v>12</v>
      </c>
      <c r="M268" s="182" t="n">
        <v>0</v>
      </c>
      <c r="N268" s="182" t="n">
        <v>0</v>
      </c>
      <c r="O268" s="183" t="n">
        <v>0</v>
      </c>
      <c r="P268" s="183" t="n">
        <v>0</v>
      </c>
      <c r="Q268" s="184" t="n">
        <v>0</v>
      </c>
      <c r="R268" s="184" t="n">
        <v>0</v>
      </c>
      <c r="S268" s="183" t="n">
        <v>0</v>
      </c>
      <c r="T268" s="183" t="n">
        <v>0</v>
      </c>
      <c r="U268" s="182" t="n">
        <v>0</v>
      </c>
      <c r="V268" s="182" t="n">
        <v>0</v>
      </c>
      <c r="W268" s="182" t="n">
        <v>0</v>
      </c>
      <c r="X268" s="182" t="n">
        <v>0.83</v>
      </c>
      <c r="Y268" s="182" t="n">
        <v>0</v>
      </c>
      <c r="Z268" s="182" t="n">
        <v>0</v>
      </c>
      <c r="AA268" s="182" t="n">
        <v>0</v>
      </c>
      <c r="AB268" s="182" t="n">
        <v>0</v>
      </c>
      <c r="AC268" s="182" t="n">
        <v>0</v>
      </c>
      <c r="AD268" s="182" t="n">
        <v>0</v>
      </c>
      <c r="AE268" s="182" t="n">
        <v>0</v>
      </c>
      <c r="AF268" s="182" t="n">
        <v>0</v>
      </c>
      <c r="AG268" s="182" t="n">
        <v>0</v>
      </c>
      <c r="AH268" s="182" t="n">
        <v>0</v>
      </c>
      <c r="AI268" s="182" t="n">
        <v>0</v>
      </c>
      <c r="AJ268" s="182" t="n">
        <v>0</v>
      </c>
      <c r="AK268" s="182" t="n">
        <v>0.35</v>
      </c>
      <c r="AL268" s="182" t="n">
        <v>0</v>
      </c>
      <c r="AM268" s="182" t="n">
        <v>0.07000000000000001</v>
      </c>
      <c r="AN268" s="182" t="n">
        <v>0</v>
      </c>
    </row>
    <row r="269">
      <c r="A269" s="155" t="n">
        <v>46083</v>
      </c>
      <c r="B269" s="156" t="inlineStr">
        <is>
          <t>DS</t>
        </is>
      </c>
      <c r="C269" s="156" t="inlineStr">
        <is>
          <t>EX-754</t>
        </is>
      </c>
      <c r="D269" s="156" t="inlineStr">
        <is>
          <t>SY750H-PRO</t>
        </is>
      </c>
      <c r="E269" s="156" t="inlineStr">
        <is>
          <t>Excavator</t>
        </is>
      </c>
      <c r="F269" s="156" t="inlineStr">
        <is>
          <t>Loading OB &amp; Coal S60</t>
        </is>
      </c>
      <c r="G269" s="182" t="n">
        <v>10.38</v>
      </c>
      <c r="H269" s="182" t="n">
        <v>0</v>
      </c>
      <c r="I269" s="182" t="n">
        <v>0</v>
      </c>
      <c r="J269" s="182" t="n">
        <v>0</v>
      </c>
      <c r="K269" s="182" t="n">
        <v>1.62</v>
      </c>
      <c r="L269" s="182" t="n">
        <v>12</v>
      </c>
      <c r="M269" s="182" t="n">
        <v>6.92</v>
      </c>
      <c r="N269" s="182" t="n">
        <v>2.49</v>
      </c>
      <c r="O269" s="183" t="n">
        <v>93</v>
      </c>
      <c r="P269" s="183" t="n">
        <v>30</v>
      </c>
      <c r="Q269" s="184" t="n">
        <v>1897.2</v>
      </c>
      <c r="R269" s="184" t="n">
        <v>561</v>
      </c>
      <c r="S269" s="183" t="n">
        <v>0</v>
      </c>
      <c r="T269" s="183" t="n">
        <v>0</v>
      </c>
      <c r="U269" s="182" t="n">
        <v>0.39</v>
      </c>
      <c r="V269" s="182" t="n">
        <v>0</v>
      </c>
      <c r="W269" s="182" t="n">
        <v>0</v>
      </c>
      <c r="X269" s="182" t="n">
        <v>0.87</v>
      </c>
      <c r="Y269" s="182" t="n">
        <v>0</v>
      </c>
      <c r="Z269" s="182" t="n">
        <v>0</v>
      </c>
      <c r="AA269" s="182" t="n">
        <v>0</v>
      </c>
      <c r="AB269" s="182" t="n">
        <v>0</v>
      </c>
      <c r="AC269" s="182" t="n">
        <v>0.29</v>
      </c>
      <c r="AD269" s="182" t="n">
        <v>0</v>
      </c>
      <c r="AE269" s="182" t="n">
        <v>0</v>
      </c>
      <c r="AF269" s="182" t="n">
        <v>0</v>
      </c>
      <c r="AG269" s="182" t="n">
        <v>0</v>
      </c>
      <c r="AH269" s="182" t="n">
        <v>0</v>
      </c>
      <c r="AI269" s="182" t="n">
        <v>0</v>
      </c>
      <c r="AJ269" s="182" t="n">
        <v>0</v>
      </c>
      <c r="AK269" s="182" t="n">
        <v>0</v>
      </c>
      <c r="AL269" s="182" t="n">
        <v>0</v>
      </c>
      <c r="AM269" s="182" t="n">
        <v>0.07000000000000001</v>
      </c>
      <c r="AN269" s="182" t="n">
        <v>0</v>
      </c>
    </row>
    <row r="270">
      <c r="A270" s="155" t="n">
        <v>46083</v>
      </c>
      <c r="B270" s="156" t="inlineStr">
        <is>
          <t>DS</t>
        </is>
      </c>
      <c r="C270" s="156" t="inlineStr">
        <is>
          <t>EX-755</t>
        </is>
      </c>
      <c r="D270" s="156" t="inlineStr">
        <is>
          <t>SY750H-PRO</t>
        </is>
      </c>
      <c r="E270" s="156" t="inlineStr">
        <is>
          <t>Excavator</t>
        </is>
      </c>
      <c r="F270" s="156" t="inlineStr">
        <is>
          <t>Loading OB</t>
        </is>
      </c>
      <c r="G270" s="182" t="n">
        <v>9.859999999999999</v>
      </c>
      <c r="H270" s="182" t="n">
        <v>1.5</v>
      </c>
      <c r="I270" s="182" t="n">
        <v>0</v>
      </c>
      <c r="J270" s="182" t="n">
        <v>1.5</v>
      </c>
      <c r="K270" s="182" t="n">
        <v>0.64</v>
      </c>
      <c r="L270" s="182" t="n">
        <v>12</v>
      </c>
      <c r="M270" s="182" t="n">
        <v>9.01</v>
      </c>
      <c r="N270" s="182" t="n">
        <v>0</v>
      </c>
      <c r="O270" s="183" t="n">
        <v>128</v>
      </c>
      <c r="P270" s="183" t="n">
        <v>0</v>
      </c>
      <c r="Q270" s="184" t="n">
        <v>2611.2</v>
      </c>
      <c r="R270" s="184" t="n">
        <v>0</v>
      </c>
      <c r="S270" s="183" t="n">
        <v>0</v>
      </c>
      <c r="T270" s="183" t="n">
        <v>0</v>
      </c>
      <c r="U270" s="182" t="n">
        <v>0.55</v>
      </c>
      <c r="V270" s="182" t="n">
        <v>0</v>
      </c>
      <c r="W270" s="182" t="n">
        <v>0</v>
      </c>
      <c r="X270" s="182" t="n">
        <v>0</v>
      </c>
      <c r="Y270" s="182" t="n">
        <v>0</v>
      </c>
      <c r="Z270" s="182" t="n">
        <v>0</v>
      </c>
      <c r="AA270" s="182" t="n">
        <v>0</v>
      </c>
      <c r="AB270" s="182" t="n">
        <v>0</v>
      </c>
      <c r="AC270" s="182" t="n">
        <v>0</v>
      </c>
      <c r="AD270" s="182" t="n">
        <v>0</v>
      </c>
      <c r="AE270" s="182" t="n">
        <v>0</v>
      </c>
      <c r="AF270" s="182" t="n">
        <v>0</v>
      </c>
      <c r="AG270" s="182" t="n">
        <v>0</v>
      </c>
      <c r="AH270" s="182" t="n">
        <v>0</v>
      </c>
      <c r="AI270" s="182" t="n">
        <v>0</v>
      </c>
      <c r="AJ270" s="182" t="n">
        <v>0</v>
      </c>
      <c r="AK270" s="182" t="n">
        <v>0</v>
      </c>
      <c r="AL270" s="182" t="n">
        <v>0</v>
      </c>
      <c r="AM270" s="182" t="n">
        <v>0.09</v>
      </c>
      <c r="AN270" s="182" t="n">
        <v>0</v>
      </c>
    </row>
    <row r="271">
      <c r="A271" s="155" t="n">
        <v>46083</v>
      </c>
      <c r="B271" s="156" t="inlineStr">
        <is>
          <t>DS</t>
        </is>
      </c>
      <c r="C271" s="156" t="inlineStr">
        <is>
          <t>EX-752</t>
        </is>
      </c>
      <c r="D271" s="156" t="inlineStr">
        <is>
          <t>SY750H-PRO</t>
        </is>
      </c>
      <c r="E271" s="156" t="inlineStr">
        <is>
          <t>Excavator</t>
        </is>
      </c>
      <c r="F271" s="156" t="inlineStr"/>
      <c r="G271" s="182" t="n">
        <v>0</v>
      </c>
      <c r="H271" s="182" t="n">
        <v>0</v>
      </c>
      <c r="I271" s="182" t="n">
        <v>12</v>
      </c>
      <c r="J271" s="182" t="n">
        <v>12</v>
      </c>
      <c r="K271" s="182" t="n">
        <v>0</v>
      </c>
      <c r="L271" s="182" t="n">
        <v>12</v>
      </c>
      <c r="M271" s="182" t="n">
        <v>0</v>
      </c>
      <c r="N271" s="182" t="n">
        <v>0</v>
      </c>
      <c r="O271" s="183" t="n">
        <v>0</v>
      </c>
      <c r="P271" s="183" t="n">
        <v>0</v>
      </c>
      <c r="Q271" s="184" t="n">
        <v>0</v>
      </c>
      <c r="R271" s="184" t="n">
        <v>0</v>
      </c>
      <c r="S271" s="183" t="n">
        <v>0</v>
      </c>
      <c r="T271" s="183" t="n">
        <v>0</v>
      </c>
      <c r="U271" s="182" t="n">
        <v>0</v>
      </c>
      <c r="V271" s="182" t="n">
        <v>0</v>
      </c>
      <c r="W271" s="182" t="n">
        <v>0</v>
      </c>
      <c r="X271" s="182" t="n">
        <v>0</v>
      </c>
      <c r="Y271" s="182" t="n">
        <v>0</v>
      </c>
      <c r="Z271" s="182" t="n">
        <v>0</v>
      </c>
      <c r="AA271" s="182" t="n">
        <v>0</v>
      </c>
      <c r="AB271" s="182" t="n">
        <v>0</v>
      </c>
      <c r="AC271" s="182" t="n">
        <v>0</v>
      </c>
      <c r="AD271" s="182" t="n">
        <v>0</v>
      </c>
      <c r="AE271" s="182" t="n">
        <v>0</v>
      </c>
      <c r="AF271" s="182" t="n">
        <v>0</v>
      </c>
      <c r="AG271" s="182" t="n">
        <v>0</v>
      </c>
      <c r="AH271" s="182" t="n">
        <v>0</v>
      </c>
      <c r="AI271" s="182" t="n">
        <v>0</v>
      </c>
      <c r="AJ271" s="182" t="n">
        <v>0</v>
      </c>
      <c r="AK271" s="182" t="n">
        <v>0</v>
      </c>
      <c r="AL271" s="182" t="n">
        <v>0</v>
      </c>
      <c r="AM271" s="182" t="n">
        <v>0</v>
      </c>
      <c r="AN271" s="182" t="n">
        <v>0</v>
      </c>
    </row>
    <row r="272">
      <c r="A272" s="155" t="n">
        <v>46083</v>
      </c>
      <c r="B272" s="156" t="inlineStr">
        <is>
          <t>DS</t>
        </is>
      </c>
      <c r="C272" s="156" t="inlineStr">
        <is>
          <t>EX-751</t>
        </is>
      </c>
      <c r="D272" s="156" t="inlineStr">
        <is>
          <t>SY750H-PRO</t>
        </is>
      </c>
      <c r="E272" s="156" t="inlineStr">
        <is>
          <t>Excavator</t>
        </is>
      </c>
      <c r="F272" s="156" t="inlineStr"/>
      <c r="G272" s="182" t="n">
        <v>0</v>
      </c>
      <c r="H272" s="182" t="n">
        <v>0</v>
      </c>
      <c r="I272" s="182" t="n">
        <v>12</v>
      </c>
      <c r="J272" s="182" t="n">
        <v>12</v>
      </c>
      <c r="K272" s="182" t="n">
        <v>0</v>
      </c>
      <c r="L272" s="182" t="n">
        <v>12</v>
      </c>
      <c r="M272" s="182" t="n">
        <v>0</v>
      </c>
      <c r="N272" s="182" t="n">
        <v>0</v>
      </c>
      <c r="O272" s="183" t="n">
        <v>0</v>
      </c>
      <c r="P272" s="183" t="n">
        <v>0</v>
      </c>
      <c r="Q272" s="184" t="n">
        <v>0</v>
      </c>
      <c r="R272" s="184" t="n">
        <v>0</v>
      </c>
      <c r="S272" s="183" t="n">
        <v>0</v>
      </c>
      <c r="T272" s="183" t="n">
        <v>0</v>
      </c>
      <c r="U272" s="182" t="n">
        <v>0</v>
      </c>
      <c r="V272" s="182" t="n">
        <v>0</v>
      </c>
      <c r="W272" s="182" t="n">
        <v>0</v>
      </c>
      <c r="X272" s="182" t="n">
        <v>0</v>
      </c>
      <c r="Y272" s="182" t="n">
        <v>0</v>
      </c>
      <c r="Z272" s="182" t="n">
        <v>0</v>
      </c>
      <c r="AA272" s="182" t="n">
        <v>0</v>
      </c>
      <c r="AB272" s="182" t="n">
        <v>0</v>
      </c>
      <c r="AC272" s="182" t="n">
        <v>0</v>
      </c>
      <c r="AD272" s="182" t="n">
        <v>0</v>
      </c>
      <c r="AE272" s="182" t="n">
        <v>0</v>
      </c>
      <c r="AF272" s="182" t="n">
        <v>0</v>
      </c>
      <c r="AG272" s="182" t="n">
        <v>0</v>
      </c>
      <c r="AH272" s="182" t="n">
        <v>0</v>
      </c>
      <c r="AI272" s="182" t="n">
        <v>0</v>
      </c>
      <c r="AJ272" s="182" t="n">
        <v>0</v>
      </c>
      <c r="AK272" s="182" t="n">
        <v>0</v>
      </c>
      <c r="AL272" s="182" t="n">
        <v>0</v>
      </c>
      <c r="AM272" s="182" t="n">
        <v>0</v>
      </c>
      <c r="AN272" s="182" t="n">
        <v>0</v>
      </c>
    </row>
    <row r="273">
      <c r="A273" s="155" t="n">
        <v>46083</v>
      </c>
      <c r="B273" s="156" t="inlineStr">
        <is>
          <t>DS</t>
        </is>
      </c>
      <c r="C273" s="156" t="inlineStr">
        <is>
          <t>EX-753</t>
        </is>
      </c>
      <c r="D273" s="156" t="inlineStr">
        <is>
          <t>SY750H-PRO</t>
        </is>
      </c>
      <c r="E273" s="156" t="inlineStr">
        <is>
          <t>Excavator</t>
        </is>
      </c>
      <c r="F273" s="156" t="inlineStr">
        <is>
          <t>Loading Coal S60 &amp; OB</t>
        </is>
      </c>
      <c r="G273" s="182" t="n">
        <v>10.1</v>
      </c>
      <c r="H273" s="182" t="n">
        <v>0</v>
      </c>
      <c r="I273" s="182" t="n">
        <v>0</v>
      </c>
      <c r="J273" s="182" t="n">
        <v>0</v>
      </c>
      <c r="K273" s="182" t="n">
        <v>1.9</v>
      </c>
      <c r="L273" s="182" t="n">
        <v>12</v>
      </c>
      <c r="M273" s="182" t="n">
        <v>7.44</v>
      </c>
      <c r="N273" s="182" t="n">
        <v>1.93</v>
      </c>
      <c r="O273" s="183" t="n">
        <v>123</v>
      </c>
      <c r="P273" s="183" t="n">
        <v>28</v>
      </c>
      <c r="Q273" s="184" t="n">
        <v>2007.4</v>
      </c>
      <c r="R273" s="184" t="n">
        <v>523.6</v>
      </c>
      <c r="S273" s="183" t="n">
        <v>0</v>
      </c>
      <c r="T273" s="183" t="n">
        <v>0</v>
      </c>
      <c r="U273" s="182" t="n">
        <v>0.59</v>
      </c>
      <c r="V273" s="182" t="n">
        <v>0</v>
      </c>
      <c r="W273" s="182" t="n">
        <v>0</v>
      </c>
      <c r="X273" s="182" t="n">
        <v>0.93</v>
      </c>
      <c r="Y273" s="182" t="n">
        <v>0</v>
      </c>
      <c r="Z273" s="182" t="n">
        <v>0</v>
      </c>
      <c r="AA273" s="182" t="n">
        <v>0</v>
      </c>
      <c r="AB273" s="182" t="n">
        <v>0</v>
      </c>
      <c r="AC273" s="182" t="n">
        <v>0.31</v>
      </c>
      <c r="AD273" s="182" t="n">
        <v>0</v>
      </c>
      <c r="AE273" s="182" t="n">
        <v>0</v>
      </c>
      <c r="AF273" s="182" t="n">
        <v>0</v>
      </c>
      <c r="AG273" s="182" t="n">
        <v>0</v>
      </c>
      <c r="AH273" s="182" t="n">
        <v>0</v>
      </c>
      <c r="AI273" s="182" t="n">
        <v>0</v>
      </c>
      <c r="AJ273" s="182" t="n">
        <v>0</v>
      </c>
      <c r="AK273" s="182" t="n">
        <v>0</v>
      </c>
      <c r="AL273" s="182" t="n">
        <v>0</v>
      </c>
      <c r="AM273" s="182" t="n">
        <v>0.07000000000000001</v>
      </c>
      <c r="AN273" s="182" t="n">
        <v>0</v>
      </c>
    </row>
    <row r="274">
      <c r="A274" s="155" t="n">
        <v>46083</v>
      </c>
      <c r="B274" s="156" t="inlineStr">
        <is>
          <t>DS</t>
        </is>
      </c>
      <c r="C274" s="156" t="inlineStr">
        <is>
          <t>GD-012</t>
        </is>
      </c>
      <c r="D274" s="156" t="inlineStr">
        <is>
          <t>STG 230C - 8S</t>
        </is>
      </c>
      <c r="E274" s="156" t="inlineStr">
        <is>
          <t>Grader</t>
        </is>
      </c>
      <c r="F274" s="156" t="inlineStr"/>
      <c r="G274" s="182" t="n">
        <v>0</v>
      </c>
      <c r="H274" s="182" t="n">
        <v>0</v>
      </c>
      <c r="I274" s="182" t="n">
        <v>0</v>
      </c>
      <c r="J274" s="182" t="n">
        <v>0</v>
      </c>
      <c r="K274" s="182" t="n">
        <v>12</v>
      </c>
      <c r="L274" s="182" t="n">
        <v>12</v>
      </c>
      <c r="M274" s="182" t="n">
        <v>0</v>
      </c>
      <c r="N274" s="182" t="n">
        <v>0</v>
      </c>
      <c r="O274" s="183" t="n">
        <v>0</v>
      </c>
      <c r="P274" s="183" t="n">
        <v>0</v>
      </c>
      <c r="Q274" s="184" t="n">
        <v>0</v>
      </c>
      <c r="R274" s="184" t="n">
        <v>0</v>
      </c>
      <c r="S274" s="183" t="n">
        <v>0</v>
      </c>
      <c r="T274" s="183" t="n">
        <v>0</v>
      </c>
      <c r="U274" s="182" t="n">
        <v>0</v>
      </c>
      <c r="V274" s="182" t="n">
        <v>0</v>
      </c>
      <c r="W274" s="182" t="n">
        <v>0</v>
      </c>
      <c r="X274" s="182" t="n">
        <v>1</v>
      </c>
      <c r="Y274" s="182" t="n">
        <v>0</v>
      </c>
      <c r="Z274" s="182" t="n">
        <v>0</v>
      </c>
      <c r="AA274" s="182" t="n">
        <v>0</v>
      </c>
      <c r="AB274" s="182" t="n">
        <v>0</v>
      </c>
      <c r="AC274" s="182" t="n">
        <v>0</v>
      </c>
      <c r="AD274" s="182" t="n">
        <v>0</v>
      </c>
      <c r="AE274" s="182" t="n">
        <v>0</v>
      </c>
      <c r="AF274" s="182" t="n">
        <v>0</v>
      </c>
      <c r="AG274" s="182" t="n">
        <v>0</v>
      </c>
      <c r="AH274" s="182" t="n">
        <v>0</v>
      </c>
      <c r="AI274" s="182" t="n">
        <v>0</v>
      </c>
      <c r="AJ274" s="182" t="n">
        <v>0</v>
      </c>
      <c r="AK274" s="182" t="n">
        <v>10.92</v>
      </c>
      <c r="AL274" s="182" t="n">
        <v>0</v>
      </c>
      <c r="AM274" s="182" t="n">
        <v>0.08</v>
      </c>
      <c r="AN274" s="182" t="n">
        <v>0</v>
      </c>
    </row>
    <row r="275">
      <c r="A275" s="155" t="n">
        <v>46083</v>
      </c>
      <c r="B275" s="156" t="inlineStr">
        <is>
          <t>DS</t>
        </is>
      </c>
      <c r="C275" s="156" t="inlineStr">
        <is>
          <t>GD-011</t>
        </is>
      </c>
      <c r="D275" s="156" t="inlineStr">
        <is>
          <t>STG 230C - 8S</t>
        </is>
      </c>
      <c r="E275" s="156" t="inlineStr">
        <is>
          <t>Grader</t>
        </is>
      </c>
      <c r="F275" s="156" t="inlineStr"/>
      <c r="G275" s="182" t="n">
        <v>0</v>
      </c>
      <c r="H275" s="182" t="n">
        <v>0</v>
      </c>
      <c r="I275" s="182" t="n">
        <v>12</v>
      </c>
      <c r="J275" s="182" t="n">
        <v>12</v>
      </c>
      <c r="K275" s="182" t="n">
        <v>0</v>
      </c>
      <c r="L275" s="182" t="n">
        <v>12</v>
      </c>
      <c r="M275" s="182" t="n">
        <v>0</v>
      </c>
      <c r="N275" s="182" t="n">
        <v>0</v>
      </c>
      <c r="O275" s="183" t="n">
        <v>0</v>
      </c>
      <c r="P275" s="183" t="n">
        <v>0</v>
      </c>
      <c r="Q275" s="184" t="n">
        <v>0</v>
      </c>
      <c r="R275" s="184" t="n">
        <v>0</v>
      </c>
      <c r="S275" s="183" t="n">
        <v>0</v>
      </c>
      <c r="T275" s="183" t="n">
        <v>0</v>
      </c>
      <c r="U275" s="182" t="n">
        <v>0</v>
      </c>
      <c r="V275" s="182" t="n">
        <v>0</v>
      </c>
      <c r="W275" s="182" t="n">
        <v>0</v>
      </c>
      <c r="X275" s="182" t="n">
        <v>0</v>
      </c>
      <c r="Y275" s="182" t="n">
        <v>0</v>
      </c>
      <c r="Z275" s="182" t="n">
        <v>0</v>
      </c>
      <c r="AA275" s="182" t="n">
        <v>0</v>
      </c>
      <c r="AB275" s="182" t="n">
        <v>0</v>
      </c>
      <c r="AC275" s="182" t="n">
        <v>0</v>
      </c>
      <c r="AD275" s="182" t="n">
        <v>0</v>
      </c>
      <c r="AE275" s="182" t="n">
        <v>0</v>
      </c>
      <c r="AF275" s="182" t="n">
        <v>0</v>
      </c>
      <c r="AG275" s="182" t="n">
        <v>0</v>
      </c>
      <c r="AH275" s="182" t="n">
        <v>0</v>
      </c>
      <c r="AI275" s="182" t="n">
        <v>0</v>
      </c>
      <c r="AJ275" s="182" t="n">
        <v>0</v>
      </c>
      <c r="AK275" s="182" t="n">
        <v>0</v>
      </c>
      <c r="AL275" s="182" t="n">
        <v>0</v>
      </c>
      <c r="AM275" s="182" t="n">
        <v>0</v>
      </c>
      <c r="AN275" s="182" t="n">
        <v>0</v>
      </c>
    </row>
    <row r="276">
      <c r="A276" s="155" t="n">
        <v>46083</v>
      </c>
      <c r="B276" s="156" t="inlineStr">
        <is>
          <t>DS</t>
        </is>
      </c>
      <c r="C276" s="156" t="inlineStr">
        <is>
          <t>GD-013</t>
        </is>
      </c>
      <c r="D276" s="156" t="inlineStr">
        <is>
          <t>STG 265C - 10</t>
        </is>
      </c>
      <c r="E276" s="156" t="inlineStr">
        <is>
          <t>Grader</t>
        </is>
      </c>
      <c r="F276" s="156" t="inlineStr">
        <is>
          <t>Road Maintenance</t>
        </is>
      </c>
      <c r="G276" s="182" t="n">
        <v>9.699999999999999</v>
      </c>
      <c r="H276" s="182" t="n">
        <v>0</v>
      </c>
      <c r="I276" s="182" t="n">
        <v>0</v>
      </c>
      <c r="J276" s="182" t="n">
        <v>0</v>
      </c>
      <c r="K276" s="182" t="n">
        <v>2.3</v>
      </c>
      <c r="L276" s="182" t="n">
        <v>12</v>
      </c>
      <c r="M276" s="182" t="n">
        <v>0</v>
      </c>
      <c r="N276" s="182" t="n">
        <v>0</v>
      </c>
      <c r="O276" s="183" t="n">
        <v>0</v>
      </c>
      <c r="P276" s="183" t="n">
        <v>0</v>
      </c>
      <c r="Q276" s="184" t="n">
        <v>0</v>
      </c>
      <c r="R276" s="184" t="n">
        <v>0</v>
      </c>
      <c r="S276" s="183" t="n">
        <v>0</v>
      </c>
      <c r="T276" s="183" t="n">
        <v>0</v>
      </c>
      <c r="U276" s="182" t="n">
        <v>0.84</v>
      </c>
      <c r="V276" s="182" t="n">
        <v>0</v>
      </c>
      <c r="W276" s="182" t="n">
        <v>0</v>
      </c>
      <c r="X276" s="182" t="n">
        <v>1.35</v>
      </c>
      <c r="Y276" s="182" t="n">
        <v>0</v>
      </c>
      <c r="Z276" s="182" t="n">
        <v>0</v>
      </c>
      <c r="AA276" s="182" t="n">
        <v>0</v>
      </c>
      <c r="AB276" s="182" t="n">
        <v>0</v>
      </c>
      <c r="AC276" s="182" t="n">
        <v>0</v>
      </c>
      <c r="AD276" s="182" t="n">
        <v>0</v>
      </c>
      <c r="AE276" s="182" t="n">
        <v>0</v>
      </c>
      <c r="AF276" s="182" t="n">
        <v>0</v>
      </c>
      <c r="AG276" s="182" t="n">
        <v>0</v>
      </c>
      <c r="AH276" s="182" t="n">
        <v>0</v>
      </c>
      <c r="AI276" s="182" t="n">
        <v>0</v>
      </c>
      <c r="AJ276" s="182" t="n">
        <v>0</v>
      </c>
      <c r="AK276" s="182" t="n">
        <v>0</v>
      </c>
      <c r="AL276" s="182" t="n">
        <v>0</v>
      </c>
      <c r="AM276" s="182" t="n">
        <v>0.11</v>
      </c>
      <c r="AN276" s="182" t="n">
        <v>0</v>
      </c>
    </row>
    <row r="277">
      <c r="A277" s="155" t="n">
        <v>46083</v>
      </c>
      <c r="B277" s="156" t="inlineStr">
        <is>
          <t>DS</t>
        </is>
      </c>
      <c r="C277" s="156" t="inlineStr">
        <is>
          <t>GD-014</t>
        </is>
      </c>
      <c r="D277" s="156" t="inlineStr">
        <is>
          <t>STG 335C - 10</t>
        </is>
      </c>
      <c r="E277" s="156" t="inlineStr">
        <is>
          <t>Grader</t>
        </is>
      </c>
      <c r="F277" s="156" t="inlineStr">
        <is>
          <t>Road Maintenance</t>
        </is>
      </c>
      <c r="G277" s="182" t="n">
        <v>10.66</v>
      </c>
      <c r="H277" s="182" t="n">
        <v>0</v>
      </c>
      <c r="I277" s="182" t="n">
        <v>0</v>
      </c>
      <c r="J277" s="182" t="n">
        <v>0</v>
      </c>
      <c r="K277" s="182" t="n">
        <v>1.34</v>
      </c>
      <c r="L277" s="182" t="n">
        <v>12</v>
      </c>
      <c r="M277" s="182" t="n">
        <v>0</v>
      </c>
      <c r="N277" s="182" t="n">
        <v>0</v>
      </c>
      <c r="O277" s="183" t="n">
        <v>0</v>
      </c>
      <c r="P277" s="183" t="n">
        <v>0</v>
      </c>
      <c r="Q277" s="184" t="n">
        <v>0</v>
      </c>
      <c r="R277" s="184" t="n">
        <v>0</v>
      </c>
      <c r="S277" s="183" t="n">
        <v>0</v>
      </c>
      <c r="T277" s="183" t="n">
        <v>0</v>
      </c>
      <c r="U277" s="182" t="n">
        <v>0.31</v>
      </c>
      <c r="V277" s="182" t="n">
        <v>0</v>
      </c>
      <c r="W277" s="182" t="n">
        <v>0</v>
      </c>
      <c r="X277" s="182" t="n">
        <v>0.96</v>
      </c>
      <c r="Y277" s="182" t="n">
        <v>0</v>
      </c>
      <c r="Z277" s="182" t="n">
        <v>0</v>
      </c>
      <c r="AA277" s="182" t="n">
        <v>0</v>
      </c>
      <c r="AB277" s="182" t="n">
        <v>0</v>
      </c>
      <c r="AC277" s="182" t="n">
        <v>0</v>
      </c>
      <c r="AD277" s="182" t="n">
        <v>0</v>
      </c>
      <c r="AE277" s="182" t="n">
        <v>0</v>
      </c>
      <c r="AF277" s="182" t="n">
        <v>0</v>
      </c>
      <c r="AG277" s="182" t="n">
        <v>0</v>
      </c>
      <c r="AH277" s="182" t="n">
        <v>0</v>
      </c>
      <c r="AI277" s="182" t="n">
        <v>0</v>
      </c>
      <c r="AJ277" s="182" t="n">
        <v>0</v>
      </c>
      <c r="AK277" s="182" t="n">
        <v>0</v>
      </c>
      <c r="AL277" s="182" t="n">
        <v>0</v>
      </c>
      <c r="AM277" s="182" t="n">
        <v>0.08</v>
      </c>
      <c r="AN277" s="182" t="n">
        <v>0</v>
      </c>
    </row>
    <row r="278">
      <c r="A278" s="155" t="n">
        <v>46083</v>
      </c>
      <c r="B278" s="156" t="inlineStr">
        <is>
          <t>DS</t>
        </is>
      </c>
      <c r="C278" s="156" t="inlineStr">
        <is>
          <t>DT-809</t>
        </is>
      </c>
      <c r="D278" s="156" t="inlineStr">
        <is>
          <t>SKT 80S</t>
        </is>
      </c>
      <c r="E278" s="156" t="inlineStr">
        <is>
          <t>Hauler</t>
        </is>
      </c>
      <c r="F278" s="156" t="inlineStr"/>
      <c r="G278" s="182" t="n">
        <v>0</v>
      </c>
      <c r="H278" s="182" t="n">
        <v>0</v>
      </c>
      <c r="I278" s="182" t="n">
        <v>0</v>
      </c>
      <c r="J278" s="182" t="n">
        <v>0</v>
      </c>
      <c r="K278" s="182" t="n">
        <v>12</v>
      </c>
      <c r="L278" s="182" t="n">
        <v>12</v>
      </c>
      <c r="M278" s="182" t="n">
        <v>0</v>
      </c>
      <c r="N278" s="182" t="n">
        <v>0</v>
      </c>
      <c r="O278" s="183" t="n">
        <v>0</v>
      </c>
      <c r="P278" s="183" t="n">
        <v>0</v>
      </c>
      <c r="Q278" s="184" t="n">
        <v>0</v>
      </c>
      <c r="R278" s="184" t="n">
        <v>0</v>
      </c>
      <c r="S278" s="183" t="n">
        <v>0</v>
      </c>
      <c r="T278" s="183" t="n">
        <v>0</v>
      </c>
      <c r="U278" s="182" t="n">
        <v>0</v>
      </c>
      <c r="V278" s="182" t="n">
        <v>0</v>
      </c>
      <c r="W278" s="182" t="n">
        <v>0</v>
      </c>
      <c r="X278" s="182" t="n">
        <v>1</v>
      </c>
      <c r="Y278" s="182" t="n">
        <v>0</v>
      </c>
      <c r="Z278" s="182" t="n">
        <v>0</v>
      </c>
      <c r="AA278" s="182" t="n">
        <v>0</v>
      </c>
      <c r="AB278" s="182" t="n">
        <v>0</v>
      </c>
      <c r="AC278" s="182" t="n">
        <v>0</v>
      </c>
      <c r="AD278" s="182" t="n">
        <v>0</v>
      </c>
      <c r="AE278" s="182" t="n">
        <v>0</v>
      </c>
      <c r="AF278" s="182" t="n">
        <v>0</v>
      </c>
      <c r="AG278" s="182" t="n">
        <v>0</v>
      </c>
      <c r="AH278" s="182" t="n">
        <v>0</v>
      </c>
      <c r="AI278" s="182" t="n">
        <v>0</v>
      </c>
      <c r="AJ278" s="182" t="n">
        <v>0</v>
      </c>
      <c r="AK278" s="182" t="n">
        <v>10.92</v>
      </c>
      <c r="AL278" s="182" t="n">
        <v>0</v>
      </c>
      <c r="AM278" s="182" t="n">
        <v>0.08</v>
      </c>
      <c r="AN278" s="182" t="n">
        <v>0</v>
      </c>
    </row>
    <row r="279">
      <c r="A279" s="155" t="n">
        <v>46083</v>
      </c>
      <c r="B279" s="156" t="inlineStr">
        <is>
          <t>DS</t>
        </is>
      </c>
      <c r="C279" s="156" t="inlineStr">
        <is>
          <t>DT-806</t>
        </is>
      </c>
      <c r="D279" s="156" t="inlineStr">
        <is>
          <t>SKT 80S</t>
        </is>
      </c>
      <c r="E279" s="156" t="inlineStr">
        <is>
          <t>Hauler</t>
        </is>
      </c>
      <c r="F279" s="156" t="inlineStr"/>
      <c r="G279" s="182" t="n">
        <v>0</v>
      </c>
      <c r="H279" s="182" t="n">
        <v>0</v>
      </c>
      <c r="I279" s="182" t="n">
        <v>0</v>
      </c>
      <c r="J279" s="182" t="n">
        <v>0</v>
      </c>
      <c r="K279" s="182" t="n">
        <v>12</v>
      </c>
      <c r="L279" s="182" t="n">
        <v>12</v>
      </c>
      <c r="M279" s="182" t="n">
        <v>0</v>
      </c>
      <c r="N279" s="182" t="n">
        <v>0</v>
      </c>
      <c r="O279" s="183" t="n">
        <v>0</v>
      </c>
      <c r="P279" s="183" t="n">
        <v>0</v>
      </c>
      <c r="Q279" s="184" t="n">
        <v>0</v>
      </c>
      <c r="R279" s="184" t="n">
        <v>0</v>
      </c>
      <c r="S279" s="183" t="n">
        <v>0</v>
      </c>
      <c r="T279" s="183" t="n">
        <v>0</v>
      </c>
      <c r="U279" s="182" t="n">
        <v>0</v>
      </c>
      <c r="V279" s="182" t="n">
        <v>0</v>
      </c>
      <c r="W279" s="182" t="n">
        <v>0</v>
      </c>
      <c r="X279" s="182" t="n">
        <v>1</v>
      </c>
      <c r="Y279" s="182" t="n">
        <v>0</v>
      </c>
      <c r="Z279" s="182" t="n">
        <v>0</v>
      </c>
      <c r="AA279" s="182" t="n">
        <v>0</v>
      </c>
      <c r="AB279" s="182" t="n">
        <v>0</v>
      </c>
      <c r="AC279" s="182" t="n">
        <v>0</v>
      </c>
      <c r="AD279" s="182" t="n">
        <v>0</v>
      </c>
      <c r="AE279" s="182" t="n">
        <v>0</v>
      </c>
      <c r="AF279" s="182" t="n">
        <v>0</v>
      </c>
      <c r="AG279" s="182" t="n">
        <v>0</v>
      </c>
      <c r="AH279" s="182" t="n">
        <v>0</v>
      </c>
      <c r="AI279" s="182" t="n">
        <v>0</v>
      </c>
      <c r="AJ279" s="182" t="n">
        <v>0</v>
      </c>
      <c r="AK279" s="182" t="n">
        <v>10.92</v>
      </c>
      <c r="AL279" s="182" t="n">
        <v>0</v>
      </c>
      <c r="AM279" s="182" t="n">
        <v>0.08</v>
      </c>
      <c r="AN279" s="182" t="n">
        <v>0</v>
      </c>
    </row>
    <row r="280">
      <c r="A280" s="155" t="n">
        <v>46083</v>
      </c>
      <c r="B280" s="156" t="inlineStr">
        <is>
          <t>DS</t>
        </is>
      </c>
      <c r="C280" s="156" t="inlineStr">
        <is>
          <t>DT-805</t>
        </is>
      </c>
      <c r="D280" s="156" t="inlineStr">
        <is>
          <t>SKT 80S</t>
        </is>
      </c>
      <c r="E280" s="156" t="inlineStr">
        <is>
          <t>Hauler</t>
        </is>
      </c>
      <c r="F280" s="156" t="inlineStr"/>
      <c r="G280" s="182" t="n">
        <v>0</v>
      </c>
      <c r="H280" s="182" t="n">
        <v>0</v>
      </c>
      <c r="I280" s="182" t="n">
        <v>0</v>
      </c>
      <c r="J280" s="182" t="n">
        <v>0</v>
      </c>
      <c r="K280" s="182" t="n">
        <v>12</v>
      </c>
      <c r="L280" s="182" t="n">
        <v>12</v>
      </c>
      <c r="M280" s="182" t="n">
        <v>0</v>
      </c>
      <c r="N280" s="182" t="n">
        <v>0</v>
      </c>
      <c r="O280" s="183" t="n">
        <v>0</v>
      </c>
      <c r="P280" s="183" t="n">
        <v>0</v>
      </c>
      <c r="Q280" s="184" t="n">
        <v>0</v>
      </c>
      <c r="R280" s="184" t="n">
        <v>0</v>
      </c>
      <c r="S280" s="183" t="n">
        <v>0</v>
      </c>
      <c r="T280" s="183" t="n">
        <v>0</v>
      </c>
      <c r="U280" s="182" t="n">
        <v>0</v>
      </c>
      <c r="V280" s="182" t="n">
        <v>0</v>
      </c>
      <c r="W280" s="182" t="n">
        <v>0</v>
      </c>
      <c r="X280" s="182" t="n">
        <v>1</v>
      </c>
      <c r="Y280" s="182" t="n">
        <v>0</v>
      </c>
      <c r="Z280" s="182" t="n">
        <v>0</v>
      </c>
      <c r="AA280" s="182" t="n">
        <v>0</v>
      </c>
      <c r="AB280" s="182" t="n">
        <v>0</v>
      </c>
      <c r="AC280" s="182" t="n">
        <v>0</v>
      </c>
      <c r="AD280" s="182" t="n">
        <v>0</v>
      </c>
      <c r="AE280" s="182" t="n">
        <v>0</v>
      </c>
      <c r="AF280" s="182" t="n">
        <v>0</v>
      </c>
      <c r="AG280" s="182" t="n">
        <v>0</v>
      </c>
      <c r="AH280" s="182" t="n">
        <v>0</v>
      </c>
      <c r="AI280" s="182" t="n">
        <v>0</v>
      </c>
      <c r="AJ280" s="182" t="n">
        <v>0</v>
      </c>
      <c r="AK280" s="182" t="n">
        <v>10.92</v>
      </c>
      <c r="AL280" s="182" t="n">
        <v>0</v>
      </c>
      <c r="AM280" s="182" t="n">
        <v>0.08</v>
      </c>
      <c r="AN280" s="182" t="n">
        <v>0</v>
      </c>
    </row>
    <row r="281">
      <c r="A281" s="155" t="n">
        <v>46083</v>
      </c>
      <c r="B281" s="156" t="inlineStr">
        <is>
          <t>DS</t>
        </is>
      </c>
      <c r="C281" s="156" t="inlineStr">
        <is>
          <t>DT-801</t>
        </is>
      </c>
      <c r="D281" s="156" t="inlineStr">
        <is>
          <t>SKT 80S</t>
        </is>
      </c>
      <c r="E281" s="156" t="inlineStr">
        <is>
          <t>Hauler</t>
        </is>
      </c>
      <c r="F281" s="156" t="inlineStr"/>
      <c r="G281" s="182" t="n">
        <v>0</v>
      </c>
      <c r="H281" s="182" t="n">
        <v>0</v>
      </c>
      <c r="I281" s="182" t="n">
        <v>0</v>
      </c>
      <c r="J281" s="182" t="n">
        <v>0</v>
      </c>
      <c r="K281" s="182" t="n">
        <v>12</v>
      </c>
      <c r="L281" s="182" t="n">
        <v>12</v>
      </c>
      <c r="M281" s="182" t="n">
        <v>0</v>
      </c>
      <c r="N281" s="182" t="n">
        <v>0</v>
      </c>
      <c r="O281" s="183" t="n">
        <v>0</v>
      </c>
      <c r="P281" s="183" t="n">
        <v>0</v>
      </c>
      <c r="Q281" s="184" t="n">
        <v>0</v>
      </c>
      <c r="R281" s="184" t="n">
        <v>0</v>
      </c>
      <c r="S281" s="183" t="n">
        <v>0</v>
      </c>
      <c r="T281" s="183" t="n">
        <v>0</v>
      </c>
      <c r="U281" s="182" t="n">
        <v>0</v>
      </c>
      <c r="V281" s="182" t="n">
        <v>0</v>
      </c>
      <c r="W281" s="182" t="n">
        <v>0</v>
      </c>
      <c r="X281" s="182" t="n">
        <v>1</v>
      </c>
      <c r="Y281" s="182" t="n">
        <v>0</v>
      </c>
      <c r="Z281" s="182" t="n">
        <v>0</v>
      </c>
      <c r="AA281" s="182" t="n">
        <v>0</v>
      </c>
      <c r="AB281" s="182" t="n">
        <v>0</v>
      </c>
      <c r="AC281" s="182" t="n">
        <v>0</v>
      </c>
      <c r="AD281" s="182" t="n">
        <v>0</v>
      </c>
      <c r="AE281" s="182" t="n">
        <v>0</v>
      </c>
      <c r="AF281" s="182" t="n">
        <v>0</v>
      </c>
      <c r="AG281" s="182" t="n">
        <v>0</v>
      </c>
      <c r="AH281" s="182" t="n">
        <v>0</v>
      </c>
      <c r="AI281" s="182" t="n">
        <v>0</v>
      </c>
      <c r="AJ281" s="182" t="n">
        <v>0</v>
      </c>
      <c r="AK281" s="182" t="n">
        <v>10.92</v>
      </c>
      <c r="AL281" s="182" t="n">
        <v>0</v>
      </c>
      <c r="AM281" s="182" t="n">
        <v>0.08</v>
      </c>
      <c r="AN281" s="182" t="n">
        <v>0</v>
      </c>
    </row>
    <row r="282">
      <c r="A282" s="155" t="n">
        <v>46083</v>
      </c>
      <c r="B282" s="156" t="inlineStr">
        <is>
          <t>DS</t>
        </is>
      </c>
      <c r="C282" s="156" t="inlineStr">
        <is>
          <t>DT-808</t>
        </is>
      </c>
      <c r="D282" s="156" t="inlineStr">
        <is>
          <t>SKT 80S</t>
        </is>
      </c>
      <c r="E282" s="156" t="inlineStr">
        <is>
          <t>Hauler</t>
        </is>
      </c>
      <c r="F282" s="156" t="inlineStr">
        <is>
          <t>Support Washing Plant</t>
        </is>
      </c>
      <c r="G282" s="182" t="n">
        <v>4.44</v>
      </c>
      <c r="H282" s="182" t="n">
        <v>0</v>
      </c>
      <c r="I282" s="182" t="n">
        <v>0</v>
      </c>
      <c r="J282" s="182" t="n">
        <v>0</v>
      </c>
      <c r="K282" s="182" t="n">
        <v>7.56</v>
      </c>
      <c r="L282" s="182" t="n">
        <v>12</v>
      </c>
      <c r="M282" s="182" t="n">
        <v>0</v>
      </c>
      <c r="N282" s="182" t="n">
        <v>0</v>
      </c>
      <c r="O282" s="183" t="n">
        <v>0</v>
      </c>
      <c r="P282" s="183" t="n">
        <v>0</v>
      </c>
      <c r="Q282" s="184" t="n">
        <v>0</v>
      </c>
      <c r="R282" s="184" t="n">
        <v>0</v>
      </c>
      <c r="S282" s="183" t="n">
        <v>0</v>
      </c>
      <c r="T282" s="183" t="n">
        <v>0</v>
      </c>
      <c r="U282" s="182" t="n">
        <v>0</v>
      </c>
      <c r="V282" s="182" t="n">
        <v>0</v>
      </c>
      <c r="W282" s="182" t="n">
        <v>0</v>
      </c>
      <c r="X282" s="182" t="n">
        <v>1.04</v>
      </c>
      <c r="Y282" s="182" t="n">
        <v>0</v>
      </c>
      <c r="Z282" s="182" t="n">
        <v>0</v>
      </c>
      <c r="AA282" s="182" t="n">
        <v>0</v>
      </c>
      <c r="AB282" s="182" t="n">
        <v>0</v>
      </c>
      <c r="AC282" s="182" t="n">
        <v>0</v>
      </c>
      <c r="AD282" s="182" t="n">
        <v>0</v>
      </c>
      <c r="AE282" s="182" t="n">
        <v>0</v>
      </c>
      <c r="AF282" s="182" t="n">
        <v>0</v>
      </c>
      <c r="AG282" s="182" t="n">
        <v>0</v>
      </c>
      <c r="AH282" s="182" t="n">
        <v>0</v>
      </c>
      <c r="AI282" s="182" t="n">
        <v>0</v>
      </c>
      <c r="AJ282" s="182" t="n">
        <v>0</v>
      </c>
      <c r="AK282" s="182" t="n">
        <v>6.44</v>
      </c>
      <c r="AL282" s="182" t="n">
        <v>0</v>
      </c>
      <c r="AM282" s="182" t="n">
        <v>0.08</v>
      </c>
      <c r="AN282" s="182" t="n">
        <v>0</v>
      </c>
    </row>
    <row r="283">
      <c r="A283" s="155" t="n">
        <v>46083</v>
      </c>
      <c r="B283" s="156" t="inlineStr">
        <is>
          <t>DS</t>
        </is>
      </c>
      <c r="C283" s="156" t="inlineStr">
        <is>
          <t>DT-811</t>
        </is>
      </c>
      <c r="D283" s="156" t="inlineStr">
        <is>
          <t>SKT 80S</t>
        </is>
      </c>
      <c r="E283" s="156" t="inlineStr">
        <is>
          <t>Hauler</t>
        </is>
      </c>
      <c r="F283" s="156" t="inlineStr"/>
      <c r="G283" s="182" t="n">
        <v>0</v>
      </c>
      <c r="H283" s="182" t="n">
        <v>0</v>
      </c>
      <c r="I283" s="182" t="n">
        <v>12</v>
      </c>
      <c r="J283" s="182" t="n">
        <v>12</v>
      </c>
      <c r="K283" s="182" t="n">
        <v>0</v>
      </c>
      <c r="L283" s="182" t="n">
        <v>12</v>
      </c>
      <c r="M283" s="182" t="n">
        <v>0</v>
      </c>
      <c r="N283" s="182" t="n">
        <v>0</v>
      </c>
      <c r="O283" s="183" t="n">
        <v>0</v>
      </c>
      <c r="P283" s="183" t="n">
        <v>0</v>
      </c>
      <c r="Q283" s="184" t="n">
        <v>0</v>
      </c>
      <c r="R283" s="184" t="n">
        <v>0</v>
      </c>
      <c r="S283" s="183" t="n">
        <v>0</v>
      </c>
      <c r="T283" s="183" t="n">
        <v>0</v>
      </c>
      <c r="U283" s="182" t="n">
        <v>0</v>
      </c>
      <c r="V283" s="182" t="n">
        <v>0</v>
      </c>
      <c r="W283" s="182" t="n">
        <v>0</v>
      </c>
      <c r="X283" s="182" t="n">
        <v>0</v>
      </c>
      <c r="Y283" s="182" t="n">
        <v>0</v>
      </c>
      <c r="Z283" s="182" t="n">
        <v>0</v>
      </c>
      <c r="AA283" s="182" t="n">
        <v>0</v>
      </c>
      <c r="AB283" s="182" t="n">
        <v>0</v>
      </c>
      <c r="AC283" s="182" t="n">
        <v>0</v>
      </c>
      <c r="AD283" s="182" t="n">
        <v>0</v>
      </c>
      <c r="AE283" s="182" t="n">
        <v>0</v>
      </c>
      <c r="AF283" s="182" t="n">
        <v>0</v>
      </c>
      <c r="AG283" s="182" t="n">
        <v>0</v>
      </c>
      <c r="AH283" s="182" t="n">
        <v>0</v>
      </c>
      <c r="AI283" s="182" t="n">
        <v>0</v>
      </c>
      <c r="AJ283" s="182" t="n">
        <v>0</v>
      </c>
      <c r="AK283" s="182" t="n">
        <v>0</v>
      </c>
      <c r="AL283" s="182" t="n">
        <v>0</v>
      </c>
      <c r="AM283" s="182" t="n">
        <v>0</v>
      </c>
      <c r="AN283" s="182" t="n">
        <v>0</v>
      </c>
    </row>
    <row r="284">
      <c r="A284" s="155" t="n">
        <v>46083</v>
      </c>
      <c r="B284" s="156" t="inlineStr">
        <is>
          <t>DS</t>
        </is>
      </c>
      <c r="C284" s="156" t="inlineStr">
        <is>
          <t>DT-802</t>
        </is>
      </c>
      <c r="D284" s="156" t="inlineStr">
        <is>
          <t>SKT 80S</t>
        </is>
      </c>
      <c r="E284" s="156" t="inlineStr">
        <is>
          <t>Hauler</t>
        </is>
      </c>
      <c r="F284" s="156" t="inlineStr"/>
      <c r="G284" s="182" t="n">
        <v>0</v>
      </c>
      <c r="H284" s="182" t="n">
        <v>0</v>
      </c>
      <c r="I284" s="182" t="n">
        <v>0</v>
      </c>
      <c r="J284" s="182" t="n">
        <v>0</v>
      </c>
      <c r="K284" s="182" t="n">
        <v>12</v>
      </c>
      <c r="L284" s="182" t="n">
        <v>12</v>
      </c>
      <c r="M284" s="182" t="n">
        <v>0</v>
      </c>
      <c r="N284" s="182" t="n">
        <v>0</v>
      </c>
      <c r="O284" s="183" t="n">
        <v>0</v>
      </c>
      <c r="P284" s="183" t="n">
        <v>0</v>
      </c>
      <c r="Q284" s="184" t="n">
        <v>0</v>
      </c>
      <c r="R284" s="184" t="n">
        <v>0</v>
      </c>
      <c r="S284" s="183" t="n">
        <v>0</v>
      </c>
      <c r="T284" s="183" t="n">
        <v>0</v>
      </c>
      <c r="U284" s="182" t="n">
        <v>0</v>
      </c>
      <c r="V284" s="182" t="n">
        <v>0</v>
      </c>
      <c r="W284" s="182" t="n">
        <v>0</v>
      </c>
      <c r="X284" s="182" t="n">
        <v>1</v>
      </c>
      <c r="Y284" s="182" t="n">
        <v>0</v>
      </c>
      <c r="Z284" s="182" t="n">
        <v>0</v>
      </c>
      <c r="AA284" s="182" t="n">
        <v>0</v>
      </c>
      <c r="AB284" s="182" t="n">
        <v>0</v>
      </c>
      <c r="AC284" s="182" t="n">
        <v>0</v>
      </c>
      <c r="AD284" s="182" t="n">
        <v>0</v>
      </c>
      <c r="AE284" s="182" t="n">
        <v>0</v>
      </c>
      <c r="AF284" s="182" t="n">
        <v>0</v>
      </c>
      <c r="AG284" s="182" t="n">
        <v>0</v>
      </c>
      <c r="AH284" s="182" t="n">
        <v>0</v>
      </c>
      <c r="AI284" s="182" t="n">
        <v>0</v>
      </c>
      <c r="AJ284" s="182" t="n">
        <v>0</v>
      </c>
      <c r="AK284" s="182" t="n">
        <v>10.92</v>
      </c>
      <c r="AL284" s="182" t="n">
        <v>0</v>
      </c>
      <c r="AM284" s="182" t="n">
        <v>0.08</v>
      </c>
      <c r="AN284" s="182" t="n">
        <v>0</v>
      </c>
    </row>
    <row r="285">
      <c r="A285" s="155" t="n">
        <v>46083</v>
      </c>
      <c r="B285" s="156" t="inlineStr">
        <is>
          <t>DS</t>
        </is>
      </c>
      <c r="C285" s="156" t="inlineStr">
        <is>
          <t>DT-807</t>
        </is>
      </c>
      <c r="D285" s="156" t="inlineStr">
        <is>
          <t>SKT 80S</t>
        </is>
      </c>
      <c r="E285" s="156" t="inlineStr">
        <is>
          <t>Hauler</t>
        </is>
      </c>
      <c r="F285" s="156" t="inlineStr"/>
      <c r="G285" s="182" t="n">
        <v>0</v>
      </c>
      <c r="H285" s="182" t="n">
        <v>0</v>
      </c>
      <c r="I285" s="182" t="n">
        <v>0</v>
      </c>
      <c r="J285" s="182" t="n">
        <v>0</v>
      </c>
      <c r="K285" s="182" t="n">
        <v>12</v>
      </c>
      <c r="L285" s="182" t="n">
        <v>12</v>
      </c>
      <c r="M285" s="182" t="n">
        <v>0</v>
      </c>
      <c r="N285" s="182" t="n">
        <v>0</v>
      </c>
      <c r="O285" s="183" t="n">
        <v>0</v>
      </c>
      <c r="P285" s="183" t="n">
        <v>0</v>
      </c>
      <c r="Q285" s="184" t="n">
        <v>0</v>
      </c>
      <c r="R285" s="184" t="n">
        <v>0</v>
      </c>
      <c r="S285" s="183" t="n">
        <v>0</v>
      </c>
      <c r="T285" s="183" t="n">
        <v>0</v>
      </c>
      <c r="U285" s="182" t="n">
        <v>0</v>
      </c>
      <c r="V285" s="182" t="n">
        <v>0</v>
      </c>
      <c r="W285" s="182" t="n">
        <v>0</v>
      </c>
      <c r="X285" s="182" t="n">
        <v>1</v>
      </c>
      <c r="Y285" s="182" t="n">
        <v>0</v>
      </c>
      <c r="Z285" s="182" t="n">
        <v>0</v>
      </c>
      <c r="AA285" s="182" t="n">
        <v>0</v>
      </c>
      <c r="AB285" s="182" t="n">
        <v>0</v>
      </c>
      <c r="AC285" s="182" t="n">
        <v>0</v>
      </c>
      <c r="AD285" s="182" t="n">
        <v>0</v>
      </c>
      <c r="AE285" s="182" t="n">
        <v>0</v>
      </c>
      <c r="AF285" s="182" t="n">
        <v>0</v>
      </c>
      <c r="AG285" s="182" t="n">
        <v>0</v>
      </c>
      <c r="AH285" s="182" t="n">
        <v>0</v>
      </c>
      <c r="AI285" s="182" t="n">
        <v>0</v>
      </c>
      <c r="AJ285" s="182" t="n">
        <v>0</v>
      </c>
      <c r="AK285" s="182" t="n">
        <v>10.92</v>
      </c>
      <c r="AL285" s="182" t="n">
        <v>0</v>
      </c>
      <c r="AM285" s="182" t="n">
        <v>0.08</v>
      </c>
      <c r="AN285" s="182" t="n">
        <v>0</v>
      </c>
    </row>
    <row r="286">
      <c r="A286" s="155" t="n">
        <v>46083</v>
      </c>
      <c r="B286" s="156" t="inlineStr">
        <is>
          <t>DS</t>
        </is>
      </c>
      <c r="C286" s="156" t="inlineStr">
        <is>
          <t>DT-812</t>
        </is>
      </c>
      <c r="D286" s="156" t="inlineStr">
        <is>
          <t>SKT 80S</t>
        </is>
      </c>
      <c r="E286" s="156" t="inlineStr">
        <is>
          <t>Hauler</t>
        </is>
      </c>
      <c r="F286" s="156" t="inlineStr">
        <is>
          <t>Hauling Coal</t>
        </is>
      </c>
      <c r="G286" s="182" t="n">
        <v>3.38</v>
      </c>
      <c r="H286" s="182" t="n">
        <v>0</v>
      </c>
      <c r="I286" s="182" t="n">
        <v>0.63</v>
      </c>
      <c r="J286" s="182" t="n">
        <v>0.63</v>
      </c>
      <c r="K286" s="182" t="n">
        <v>7.99</v>
      </c>
      <c r="L286" s="182" t="n">
        <v>12</v>
      </c>
      <c r="M286" s="182" t="n">
        <v>0</v>
      </c>
      <c r="N286" s="182" t="n">
        <v>3.38</v>
      </c>
      <c r="O286" s="183" t="n">
        <v>0</v>
      </c>
      <c r="P286" s="183" t="n">
        <v>8</v>
      </c>
      <c r="Q286" s="184" t="n">
        <v>0</v>
      </c>
      <c r="R286" s="184" t="n">
        <v>122.4</v>
      </c>
      <c r="S286" s="183" t="n">
        <v>0</v>
      </c>
      <c r="T286" s="183" t="n">
        <v>0</v>
      </c>
      <c r="U286" s="182" t="n">
        <v>0</v>
      </c>
      <c r="V286" s="182" t="n">
        <v>0</v>
      </c>
      <c r="W286" s="182" t="n">
        <v>0</v>
      </c>
      <c r="X286" s="182" t="n">
        <v>0.97</v>
      </c>
      <c r="Y286" s="182" t="n">
        <v>0</v>
      </c>
      <c r="Z286" s="182" t="n">
        <v>0</v>
      </c>
      <c r="AA286" s="182" t="n">
        <v>0</v>
      </c>
      <c r="AB286" s="182" t="n">
        <v>0</v>
      </c>
      <c r="AC286" s="182" t="n">
        <v>0</v>
      </c>
      <c r="AD286" s="182" t="n">
        <v>0</v>
      </c>
      <c r="AE286" s="182" t="n">
        <v>0</v>
      </c>
      <c r="AF286" s="182" t="n">
        <v>0</v>
      </c>
      <c r="AG286" s="182" t="n">
        <v>0</v>
      </c>
      <c r="AH286" s="182" t="n">
        <v>0</v>
      </c>
      <c r="AI286" s="182" t="n">
        <v>0</v>
      </c>
      <c r="AJ286" s="182" t="n">
        <v>0</v>
      </c>
      <c r="AK286" s="182" t="n">
        <v>6.94</v>
      </c>
      <c r="AL286" s="182" t="n">
        <v>0</v>
      </c>
      <c r="AM286" s="182" t="n">
        <v>0.08</v>
      </c>
      <c r="AN286" s="182" t="n">
        <v>0</v>
      </c>
    </row>
    <row r="287">
      <c r="A287" s="155" t="n">
        <v>46083</v>
      </c>
      <c r="B287" s="156" t="inlineStr">
        <is>
          <t>DS</t>
        </is>
      </c>
      <c r="C287" s="156" t="inlineStr">
        <is>
          <t>DT-803</t>
        </is>
      </c>
      <c r="D287" s="156" t="inlineStr">
        <is>
          <t>SKT 80S</t>
        </is>
      </c>
      <c r="E287" s="156" t="inlineStr">
        <is>
          <t>Hauler</t>
        </is>
      </c>
      <c r="F287" s="156" t="inlineStr"/>
      <c r="G287" s="182" t="n">
        <v>0</v>
      </c>
      <c r="H287" s="182" t="n">
        <v>0</v>
      </c>
      <c r="I287" s="182" t="n">
        <v>0</v>
      </c>
      <c r="J287" s="182" t="n">
        <v>0</v>
      </c>
      <c r="K287" s="182" t="n">
        <v>12</v>
      </c>
      <c r="L287" s="182" t="n">
        <v>12</v>
      </c>
      <c r="M287" s="182" t="n">
        <v>0</v>
      </c>
      <c r="N287" s="182" t="n">
        <v>0</v>
      </c>
      <c r="O287" s="183" t="n">
        <v>0</v>
      </c>
      <c r="P287" s="183" t="n">
        <v>0</v>
      </c>
      <c r="Q287" s="184" t="n">
        <v>0</v>
      </c>
      <c r="R287" s="184" t="n">
        <v>0</v>
      </c>
      <c r="S287" s="183" t="n">
        <v>0</v>
      </c>
      <c r="T287" s="183" t="n">
        <v>0</v>
      </c>
      <c r="U287" s="182" t="n">
        <v>0</v>
      </c>
      <c r="V287" s="182" t="n">
        <v>0</v>
      </c>
      <c r="W287" s="182" t="n">
        <v>0</v>
      </c>
      <c r="X287" s="182" t="n">
        <v>1</v>
      </c>
      <c r="Y287" s="182" t="n">
        <v>0</v>
      </c>
      <c r="Z287" s="182" t="n">
        <v>0</v>
      </c>
      <c r="AA287" s="182" t="n">
        <v>0</v>
      </c>
      <c r="AB287" s="182" t="n">
        <v>0</v>
      </c>
      <c r="AC287" s="182" t="n">
        <v>0</v>
      </c>
      <c r="AD287" s="182" t="n">
        <v>0</v>
      </c>
      <c r="AE287" s="182" t="n">
        <v>0</v>
      </c>
      <c r="AF287" s="182" t="n">
        <v>0</v>
      </c>
      <c r="AG287" s="182" t="n">
        <v>0</v>
      </c>
      <c r="AH287" s="182" t="n">
        <v>0</v>
      </c>
      <c r="AI287" s="182" t="n">
        <v>0</v>
      </c>
      <c r="AJ287" s="182" t="n">
        <v>0</v>
      </c>
      <c r="AK287" s="182" t="n">
        <v>10.92</v>
      </c>
      <c r="AL287" s="182" t="n">
        <v>0</v>
      </c>
      <c r="AM287" s="182" t="n">
        <v>0.08</v>
      </c>
      <c r="AN287" s="182" t="n">
        <v>0</v>
      </c>
    </row>
    <row r="288">
      <c r="A288" s="155" t="n">
        <v>46083</v>
      </c>
      <c r="B288" s="156" t="inlineStr">
        <is>
          <t>DS</t>
        </is>
      </c>
      <c r="C288" s="156" t="inlineStr">
        <is>
          <t>DT-810</t>
        </is>
      </c>
      <c r="D288" s="156" t="inlineStr">
        <is>
          <t>SKT 80S</t>
        </is>
      </c>
      <c r="E288" s="156" t="inlineStr">
        <is>
          <t>Hauler</t>
        </is>
      </c>
      <c r="F288" s="156" t="inlineStr">
        <is>
          <t>Hauling Coal</t>
        </is>
      </c>
      <c r="G288" s="182" t="n">
        <v>2.63</v>
      </c>
      <c r="H288" s="182" t="n">
        <v>0</v>
      </c>
      <c r="I288" s="182" t="n">
        <v>0.38</v>
      </c>
      <c r="J288" s="182" t="n">
        <v>0.38</v>
      </c>
      <c r="K288" s="182" t="n">
        <v>8.99</v>
      </c>
      <c r="L288" s="182" t="n">
        <v>12</v>
      </c>
      <c r="M288" s="182" t="n">
        <v>0</v>
      </c>
      <c r="N288" s="182" t="n">
        <v>2.63</v>
      </c>
      <c r="O288" s="183" t="n">
        <v>0</v>
      </c>
      <c r="P288" s="183" t="n">
        <v>5</v>
      </c>
      <c r="Q288" s="184" t="n">
        <v>0</v>
      </c>
      <c r="R288" s="184" t="n">
        <v>76.5</v>
      </c>
      <c r="S288" s="183" t="n">
        <v>0</v>
      </c>
      <c r="T288" s="183" t="n">
        <v>0</v>
      </c>
      <c r="U288" s="182" t="n">
        <v>0</v>
      </c>
      <c r="V288" s="182" t="n">
        <v>0</v>
      </c>
      <c r="W288" s="182" t="n">
        <v>0</v>
      </c>
      <c r="X288" s="182" t="n">
        <v>1.01</v>
      </c>
      <c r="Y288" s="182" t="n">
        <v>0</v>
      </c>
      <c r="Z288" s="182" t="n">
        <v>0</v>
      </c>
      <c r="AA288" s="182" t="n">
        <v>0</v>
      </c>
      <c r="AB288" s="182" t="n">
        <v>0</v>
      </c>
      <c r="AC288" s="182" t="n">
        <v>0</v>
      </c>
      <c r="AD288" s="182" t="n">
        <v>0</v>
      </c>
      <c r="AE288" s="182" t="n">
        <v>0</v>
      </c>
      <c r="AF288" s="182" t="n">
        <v>0</v>
      </c>
      <c r="AG288" s="182" t="n">
        <v>0</v>
      </c>
      <c r="AH288" s="182" t="n">
        <v>0</v>
      </c>
      <c r="AI288" s="182" t="n">
        <v>0</v>
      </c>
      <c r="AJ288" s="182" t="n">
        <v>0</v>
      </c>
      <c r="AK288" s="182" t="n">
        <v>7.89</v>
      </c>
      <c r="AL288" s="182" t="n">
        <v>0</v>
      </c>
      <c r="AM288" s="182" t="n">
        <v>0.08</v>
      </c>
      <c r="AN288" s="182" t="n">
        <v>0</v>
      </c>
    </row>
    <row r="289">
      <c r="A289" s="155" t="n">
        <v>46083</v>
      </c>
      <c r="B289" s="156" t="inlineStr">
        <is>
          <t>DS</t>
        </is>
      </c>
      <c r="C289" s="156" t="inlineStr">
        <is>
          <t>DT-804</t>
        </is>
      </c>
      <c r="D289" s="156" t="inlineStr">
        <is>
          <t>SKT 80S</t>
        </is>
      </c>
      <c r="E289" s="156" t="inlineStr">
        <is>
          <t>Hauler</t>
        </is>
      </c>
      <c r="F289" s="156" t="inlineStr">
        <is>
          <t>Support Washing Plant</t>
        </is>
      </c>
      <c r="G289" s="182" t="n">
        <v>3.97</v>
      </c>
      <c r="H289" s="182" t="n">
        <v>0</v>
      </c>
      <c r="I289" s="182" t="n">
        <v>0</v>
      </c>
      <c r="J289" s="182" t="n">
        <v>0</v>
      </c>
      <c r="K289" s="182" t="n">
        <v>8.029999999999999</v>
      </c>
      <c r="L289" s="182" t="n">
        <v>12</v>
      </c>
      <c r="M289" s="182" t="n">
        <v>0</v>
      </c>
      <c r="N289" s="182" t="n">
        <v>0</v>
      </c>
      <c r="O289" s="183" t="n">
        <v>0</v>
      </c>
      <c r="P289" s="183" t="n">
        <v>0</v>
      </c>
      <c r="Q289" s="184" t="n">
        <v>0</v>
      </c>
      <c r="R289" s="184" t="n">
        <v>0</v>
      </c>
      <c r="S289" s="183" t="n">
        <v>0</v>
      </c>
      <c r="T289" s="183" t="n">
        <v>0</v>
      </c>
      <c r="U289" s="182" t="n">
        <v>0</v>
      </c>
      <c r="V289" s="182" t="n">
        <v>0</v>
      </c>
      <c r="W289" s="182" t="n">
        <v>0</v>
      </c>
      <c r="X289" s="182" t="n">
        <v>1.03</v>
      </c>
      <c r="Y289" s="182" t="n">
        <v>0</v>
      </c>
      <c r="Z289" s="182" t="n">
        <v>0</v>
      </c>
      <c r="AA289" s="182" t="n">
        <v>0</v>
      </c>
      <c r="AB289" s="182" t="n">
        <v>0</v>
      </c>
      <c r="AC289" s="182" t="n">
        <v>0</v>
      </c>
      <c r="AD289" s="182" t="n">
        <v>0</v>
      </c>
      <c r="AE289" s="182" t="n">
        <v>0</v>
      </c>
      <c r="AF289" s="182" t="n">
        <v>0</v>
      </c>
      <c r="AG289" s="182" t="n">
        <v>0</v>
      </c>
      <c r="AH289" s="182" t="n">
        <v>0</v>
      </c>
      <c r="AI289" s="182" t="n">
        <v>0</v>
      </c>
      <c r="AJ289" s="182" t="n">
        <v>0</v>
      </c>
      <c r="AK289" s="182" t="n">
        <v>6.92</v>
      </c>
      <c r="AL289" s="182" t="n">
        <v>0</v>
      </c>
      <c r="AM289" s="182" t="n">
        <v>0.08</v>
      </c>
      <c r="AN289" s="182" t="n">
        <v>0</v>
      </c>
    </row>
    <row r="290">
      <c r="A290" s="155" t="n">
        <v>46083</v>
      </c>
      <c r="B290" s="156" t="inlineStr">
        <is>
          <t>DS</t>
        </is>
      </c>
      <c r="C290" s="156" t="inlineStr">
        <is>
          <t>DT-505</t>
        </is>
      </c>
      <c r="D290" s="156" t="inlineStr">
        <is>
          <t>SKT 105S</t>
        </is>
      </c>
      <c r="E290" s="156" t="inlineStr">
        <is>
          <t>Hauler</t>
        </is>
      </c>
      <c r="F290" s="156" t="inlineStr">
        <is>
          <t>Hauling OB</t>
        </is>
      </c>
      <c r="G290" s="182" t="n">
        <v>8.43</v>
      </c>
      <c r="H290" s="182" t="n">
        <v>0</v>
      </c>
      <c r="I290" s="182" t="n">
        <v>0</v>
      </c>
      <c r="J290" s="182" t="n">
        <v>0</v>
      </c>
      <c r="K290" s="182" t="n">
        <v>3.57</v>
      </c>
      <c r="L290" s="182" t="n">
        <v>12</v>
      </c>
      <c r="M290" s="182" t="n">
        <v>8.43</v>
      </c>
      <c r="N290" s="182" t="n">
        <v>0</v>
      </c>
      <c r="O290" s="183" t="n">
        <v>40</v>
      </c>
      <c r="P290" s="183" t="n">
        <v>0</v>
      </c>
      <c r="Q290" s="184" t="n">
        <v>816</v>
      </c>
      <c r="R290" s="184" t="n">
        <v>0</v>
      </c>
      <c r="S290" s="183" t="n">
        <v>0</v>
      </c>
      <c r="T290" s="183" t="n">
        <v>0</v>
      </c>
      <c r="U290" s="182" t="n">
        <v>1.19</v>
      </c>
      <c r="V290" s="182" t="n">
        <v>0</v>
      </c>
      <c r="W290" s="182" t="n">
        <v>0</v>
      </c>
      <c r="X290" s="182" t="n">
        <v>1.19</v>
      </c>
      <c r="Y290" s="182" t="n">
        <v>0</v>
      </c>
      <c r="Z290" s="182" t="n">
        <v>0.12</v>
      </c>
      <c r="AA290" s="182" t="n">
        <v>0</v>
      </c>
      <c r="AB290" s="182" t="n">
        <v>0</v>
      </c>
      <c r="AC290" s="182" t="n">
        <v>0.33</v>
      </c>
      <c r="AD290" s="182" t="n">
        <v>0</v>
      </c>
      <c r="AE290" s="182" t="n">
        <v>0</v>
      </c>
      <c r="AF290" s="182" t="n">
        <v>0</v>
      </c>
      <c r="AG290" s="182" t="n">
        <v>0</v>
      </c>
      <c r="AH290" s="182" t="n">
        <v>0</v>
      </c>
      <c r="AI290" s="182" t="n">
        <v>0.64</v>
      </c>
      <c r="AJ290" s="182" t="n">
        <v>0</v>
      </c>
      <c r="AK290" s="182" t="n">
        <v>0</v>
      </c>
      <c r="AL290" s="182" t="n">
        <v>0</v>
      </c>
      <c r="AM290" s="182" t="n">
        <v>0.1</v>
      </c>
      <c r="AN290" s="182" t="n">
        <v>0</v>
      </c>
    </row>
    <row r="291">
      <c r="A291" s="155" t="n">
        <v>46083</v>
      </c>
      <c r="B291" s="156" t="inlineStr">
        <is>
          <t>DS</t>
        </is>
      </c>
      <c r="C291" s="156" t="inlineStr">
        <is>
          <t>DT-530</t>
        </is>
      </c>
      <c r="D291" s="156" t="inlineStr">
        <is>
          <t>SKT 105S</t>
        </is>
      </c>
      <c r="E291" s="156" t="inlineStr">
        <is>
          <t>Hauler</t>
        </is>
      </c>
      <c r="F291" s="156" t="inlineStr"/>
      <c r="G291" s="182" t="n">
        <v>0</v>
      </c>
      <c r="H291" s="182" t="n">
        <v>0</v>
      </c>
      <c r="I291" s="182" t="n">
        <v>12</v>
      </c>
      <c r="J291" s="182" t="n">
        <v>12</v>
      </c>
      <c r="K291" s="182" t="n">
        <v>0</v>
      </c>
      <c r="L291" s="182" t="n">
        <v>12</v>
      </c>
      <c r="M291" s="182" t="n">
        <v>0</v>
      </c>
      <c r="N291" s="182" t="n">
        <v>0</v>
      </c>
      <c r="O291" s="183" t="n">
        <v>0</v>
      </c>
      <c r="P291" s="183" t="n">
        <v>0</v>
      </c>
      <c r="Q291" s="184" t="n">
        <v>0</v>
      </c>
      <c r="R291" s="184" t="n">
        <v>0</v>
      </c>
      <c r="S291" s="183" t="n">
        <v>0</v>
      </c>
      <c r="T291" s="183" t="n">
        <v>0</v>
      </c>
      <c r="U291" s="182" t="n">
        <v>0</v>
      </c>
      <c r="V291" s="182" t="n">
        <v>0</v>
      </c>
      <c r="W291" s="182" t="n">
        <v>0</v>
      </c>
      <c r="X291" s="182" t="n">
        <v>0</v>
      </c>
      <c r="Y291" s="182" t="n">
        <v>0</v>
      </c>
      <c r="Z291" s="182" t="n">
        <v>0</v>
      </c>
      <c r="AA291" s="182" t="n">
        <v>0</v>
      </c>
      <c r="AB291" s="182" t="n">
        <v>0</v>
      </c>
      <c r="AC291" s="182" t="n">
        <v>0</v>
      </c>
      <c r="AD291" s="182" t="n">
        <v>0</v>
      </c>
      <c r="AE291" s="182" t="n">
        <v>0</v>
      </c>
      <c r="AF291" s="182" t="n">
        <v>0</v>
      </c>
      <c r="AG291" s="182" t="n">
        <v>0</v>
      </c>
      <c r="AH291" s="182" t="n">
        <v>0</v>
      </c>
      <c r="AI291" s="182" t="n">
        <v>0</v>
      </c>
      <c r="AJ291" s="182" t="n">
        <v>0</v>
      </c>
      <c r="AK291" s="182" t="n">
        <v>0</v>
      </c>
      <c r="AL291" s="182" t="n">
        <v>0</v>
      </c>
      <c r="AM291" s="182" t="n">
        <v>0</v>
      </c>
      <c r="AN291" s="182" t="n">
        <v>0</v>
      </c>
    </row>
    <row r="292">
      <c r="A292" s="155" t="n">
        <v>46083</v>
      </c>
      <c r="B292" s="156" t="inlineStr">
        <is>
          <t>DS</t>
        </is>
      </c>
      <c r="C292" s="156" t="inlineStr">
        <is>
          <t>DT-525</t>
        </is>
      </c>
      <c r="D292" s="156" t="inlineStr">
        <is>
          <t>SKT 105S</t>
        </is>
      </c>
      <c r="E292" s="156" t="inlineStr">
        <is>
          <t>Hauler</t>
        </is>
      </c>
      <c r="F292" s="156" t="inlineStr"/>
      <c r="G292" s="182" t="n">
        <v>0</v>
      </c>
      <c r="H292" s="182" t="n">
        <v>0</v>
      </c>
      <c r="I292" s="182" t="n">
        <v>12</v>
      </c>
      <c r="J292" s="182" t="n">
        <v>12</v>
      </c>
      <c r="K292" s="182" t="n">
        <v>0</v>
      </c>
      <c r="L292" s="182" t="n">
        <v>12</v>
      </c>
      <c r="M292" s="182" t="n">
        <v>0</v>
      </c>
      <c r="N292" s="182" t="n">
        <v>0</v>
      </c>
      <c r="O292" s="183" t="n">
        <v>0</v>
      </c>
      <c r="P292" s="183" t="n">
        <v>0</v>
      </c>
      <c r="Q292" s="184" t="n">
        <v>0</v>
      </c>
      <c r="R292" s="184" t="n">
        <v>0</v>
      </c>
      <c r="S292" s="183" t="n">
        <v>0</v>
      </c>
      <c r="T292" s="183" t="n">
        <v>0</v>
      </c>
      <c r="U292" s="182" t="n">
        <v>0</v>
      </c>
      <c r="V292" s="182" t="n">
        <v>0</v>
      </c>
      <c r="W292" s="182" t="n">
        <v>0</v>
      </c>
      <c r="X292" s="182" t="n">
        <v>0</v>
      </c>
      <c r="Y292" s="182" t="n">
        <v>0</v>
      </c>
      <c r="Z292" s="182" t="n">
        <v>0</v>
      </c>
      <c r="AA292" s="182" t="n">
        <v>0</v>
      </c>
      <c r="AB292" s="182" t="n">
        <v>0</v>
      </c>
      <c r="AC292" s="182" t="n">
        <v>0</v>
      </c>
      <c r="AD292" s="182" t="n">
        <v>0</v>
      </c>
      <c r="AE292" s="182" t="n">
        <v>0</v>
      </c>
      <c r="AF292" s="182" t="n">
        <v>0</v>
      </c>
      <c r="AG292" s="182" t="n">
        <v>0</v>
      </c>
      <c r="AH292" s="182" t="n">
        <v>0</v>
      </c>
      <c r="AI292" s="182" t="n">
        <v>0</v>
      </c>
      <c r="AJ292" s="182" t="n">
        <v>0</v>
      </c>
      <c r="AK292" s="182" t="n">
        <v>0</v>
      </c>
      <c r="AL292" s="182" t="n">
        <v>0</v>
      </c>
      <c r="AM292" s="182" t="n">
        <v>0</v>
      </c>
      <c r="AN292" s="182" t="n">
        <v>0</v>
      </c>
    </row>
    <row r="293">
      <c r="A293" s="155" t="n">
        <v>46083</v>
      </c>
      <c r="B293" s="156" t="inlineStr">
        <is>
          <t>DS</t>
        </is>
      </c>
      <c r="C293" s="156" t="inlineStr">
        <is>
          <t>DT-503</t>
        </is>
      </c>
      <c r="D293" s="156" t="inlineStr">
        <is>
          <t>SKT 105S</t>
        </is>
      </c>
      <c r="E293" s="156" t="inlineStr">
        <is>
          <t>Hauler</t>
        </is>
      </c>
      <c r="F293" s="156" t="inlineStr">
        <is>
          <t>Hauling OB</t>
        </is>
      </c>
      <c r="G293" s="182" t="n">
        <v>9.58</v>
      </c>
      <c r="H293" s="182" t="n">
        <v>0</v>
      </c>
      <c r="I293" s="182" t="n">
        <v>0</v>
      </c>
      <c r="J293" s="182" t="n">
        <v>0</v>
      </c>
      <c r="K293" s="182" t="n">
        <v>2.42</v>
      </c>
      <c r="L293" s="182" t="n">
        <v>12</v>
      </c>
      <c r="M293" s="182" t="n">
        <v>9.34</v>
      </c>
      <c r="N293" s="182" t="n">
        <v>0</v>
      </c>
      <c r="O293" s="183" t="n">
        <v>37</v>
      </c>
      <c r="P293" s="183" t="n">
        <v>0</v>
      </c>
      <c r="Q293" s="184" t="n">
        <v>754.8</v>
      </c>
      <c r="R293" s="184" t="n">
        <v>0</v>
      </c>
      <c r="S293" s="183" t="n">
        <v>0</v>
      </c>
      <c r="T293" s="183" t="n">
        <v>0</v>
      </c>
      <c r="U293" s="182" t="n">
        <v>0.67</v>
      </c>
      <c r="V293" s="182" t="n">
        <v>0</v>
      </c>
      <c r="W293" s="182" t="n">
        <v>0</v>
      </c>
      <c r="X293" s="182" t="n">
        <v>0.9</v>
      </c>
      <c r="Y293" s="182" t="n">
        <v>0</v>
      </c>
      <c r="Z293" s="182" t="n">
        <v>0.09</v>
      </c>
      <c r="AA293" s="182" t="n">
        <v>0</v>
      </c>
      <c r="AB293" s="182" t="n">
        <v>0</v>
      </c>
      <c r="AC293" s="182" t="n">
        <v>0.25</v>
      </c>
      <c r="AD293" s="182" t="n">
        <v>0</v>
      </c>
      <c r="AE293" s="182" t="n">
        <v>0</v>
      </c>
      <c r="AF293" s="182" t="n">
        <v>0</v>
      </c>
      <c r="AG293" s="182" t="n">
        <v>0</v>
      </c>
      <c r="AH293" s="182" t="n">
        <v>0</v>
      </c>
      <c r="AI293" s="182" t="n">
        <v>0.44</v>
      </c>
      <c r="AJ293" s="182" t="n">
        <v>0</v>
      </c>
      <c r="AK293" s="182" t="n">
        <v>0</v>
      </c>
      <c r="AL293" s="182" t="n">
        <v>0</v>
      </c>
      <c r="AM293" s="182" t="n">
        <v>0.07000000000000001</v>
      </c>
      <c r="AN293" s="182" t="n">
        <v>0</v>
      </c>
    </row>
    <row r="294">
      <c r="A294" s="155" t="n">
        <v>46083</v>
      </c>
      <c r="B294" s="156" t="inlineStr">
        <is>
          <t>DS</t>
        </is>
      </c>
      <c r="C294" s="156" t="inlineStr">
        <is>
          <t>DT-504</t>
        </is>
      </c>
      <c r="D294" s="156" t="inlineStr">
        <is>
          <t>SKT 105S</t>
        </is>
      </c>
      <c r="E294" s="156" t="inlineStr">
        <is>
          <t>Hauler</t>
        </is>
      </c>
      <c r="F294" s="156" t="inlineStr">
        <is>
          <t>Hauling OB</t>
        </is>
      </c>
      <c r="G294" s="182" t="n">
        <v>9.380000000000001</v>
      </c>
      <c r="H294" s="182" t="n">
        <v>0</v>
      </c>
      <c r="I294" s="182" t="n">
        <v>0</v>
      </c>
      <c r="J294" s="182" t="n">
        <v>0</v>
      </c>
      <c r="K294" s="182" t="n">
        <v>2.62</v>
      </c>
      <c r="L294" s="182" t="n">
        <v>12</v>
      </c>
      <c r="M294" s="182" t="n">
        <v>-2.7</v>
      </c>
      <c r="N294" s="182" t="n">
        <v>0</v>
      </c>
      <c r="O294" s="183" t="n">
        <v>35</v>
      </c>
      <c r="P294" s="183" t="n">
        <v>0</v>
      </c>
      <c r="Q294" s="184" t="n">
        <v>714</v>
      </c>
      <c r="R294" s="184" t="n">
        <v>0</v>
      </c>
      <c r="S294" s="183" t="n">
        <v>0</v>
      </c>
      <c r="T294" s="183" t="n">
        <v>0</v>
      </c>
      <c r="U294" s="182" t="n">
        <v>0.73</v>
      </c>
      <c r="V294" s="182" t="n">
        <v>0</v>
      </c>
      <c r="W294" s="182" t="n">
        <v>0</v>
      </c>
      <c r="X294" s="182" t="n">
        <v>0.97</v>
      </c>
      <c r="Y294" s="182" t="n">
        <v>0</v>
      </c>
      <c r="Z294" s="182" t="n">
        <v>0.1</v>
      </c>
      <c r="AA294" s="182" t="n">
        <v>0</v>
      </c>
      <c r="AB294" s="182" t="n">
        <v>0</v>
      </c>
      <c r="AC294" s="182" t="n">
        <v>0.27</v>
      </c>
      <c r="AD294" s="182" t="n">
        <v>0</v>
      </c>
      <c r="AE294" s="182" t="n">
        <v>0</v>
      </c>
      <c r="AF294" s="182" t="n">
        <v>0</v>
      </c>
      <c r="AG294" s="182" t="n">
        <v>0</v>
      </c>
      <c r="AH294" s="182" t="n">
        <v>0.48</v>
      </c>
      <c r="AI294" s="182" t="n">
        <v>0</v>
      </c>
      <c r="AJ294" s="182" t="n">
        <v>0</v>
      </c>
      <c r="AK294" s="182" t="n">
        <v>0</v>
      </c>
      <c r="AL294" s="182" t="n">
        <v>0</v>
      </c>
      <c r="AM294" s="182" t="n">
        <v>0.08</v>
      </c>
      <c r="AN294" s="182" t="n">
        <v>0</v>
      </c>
    </row>
    <row r="295">
      <c r="A295" s="155" t="n">
        <v>46083</v>
      </c>
      <c r="B295" s="156" t="inlineStr">
        <is>
          <t>DS</t>
        </is>
      </c>
      <c r="C295" s="156" t="inlineStr">
        <is>
          <t>DT-507</t>
        </is>
      </c>
      <c r="D295" s="156" t="inlineStr">
        <is>
          <t>SKT 105S</t>
        </is>
      </c>
      <c r="E295" s="156" t="inlineStr">
        <is>
          <t>Hauler</t>
        </is>
      </c>
      <c r="F295" s="156" t="inlineStr"/>
      <c r="G295" s="182" t="n">
        <v>0</v>
      </c>
      <c r="H295" s="182" t="n">
        <v>0</v>
      </c>
      <c r="I295" s="182" t="n">
        <v>12</v>
      </c>
      <c r="J295" s="182" t="n">
        <v>12</v>
      </c>
      <c r="K295" s="182" t="n">
        <v>0</v>
      </c>
      <c r="L295" s="182" t="n">
        <v>12</v>
      </c>
      <c r="M295" s="182" t="n">
        <v>0</v>
      </c>
      <c r="N295" s="182" t="n">
        <v>0</v>
      </c>
      <c r="O295" s="183" t="n">
        <v>0</v>
      </c>
      <c r="P295" s="183" t="n">
        <v>0</v>
      </c>
      <c r="Q295" s="184" t="n">
        <v>0</v>
      </c>
      <c r="R295" s="184" t="n">
        <v>0</v>
      </c>
      <c r="S295" s="183" t="n">
        <v>0</v>
      </c>
      <c r="T295" s="183" t="n">
        <v>0</v>
      </c>
      <c r="U295" s="182" t="n">
        <v>0</v>
      </c>
      <c r="V295" s="182" t="n">
        <v>0</v>
      </c>
      <c r="W295" s="182" t="n">
        <v>0</v>
      </c>
      <c r="X295" s="182" t="n">
        <v>0</v>
      </c>
      <c r="Y295" s="182" t="n">
        <v>0</v>
      </c>
      <c r="Z295" s="182" t="n">
        <v>0</v>
      </c>
      <c r="AA295" s="182" t="n">
        <v>0</v>
      </c>
      <c r="AB295" s="182" t="n">
        <v>0</v>
      </c>
      <c r="AC295" s="182" t="n">
        <v>0</v>
      </c>
      <c r="AD295" s="182" t="n">
        <v>0</v>
      </c>
      <c r="AE295" s="182" t="n">
        <v>0</v>
      </c>
      <c r="AF295" s="182" t="n">
        <v>0</v>
      </c>
      <c r="AG295" s="182" t="n">
        <v>0</v>
      </c>
      <c r="AH295" s="182" t="n">
        <v>0</v>
      </c>
      <c r="AI295" s="182" t="n">
        <v>0</v>
      </c>
      <c r="AJ295" s="182" t="n">
        <v>0</v>
      </c>
      <c r="AK295" s="182" t="n">
        <v>0</v>
      </c>
      <c r="AL295" s="182" t="n">
        <v>0</v>
      </c>
      <c r="AM295" s="182" t="n">
        <v>0</v>
      </c>
      <c r="AN295" s="182" t="n">
        <v>0</v>
      </c>
    </row>
    <row r="296">
      <c r="A296" s="155" t="n">
        <v>46083</v>
      </c>
      <c r="B296" s="156" t="inlineStr">
        <is>
          <t>DS</t>
        </is>
      </c>
      <c r="C296" s="156" t="inlineStr">
        <is>
          <t>DT-501</t>
        </is>
      </c>
      <c r="D296" s="156" t="inlineStr">
        <is>
          <t>SKT 105S</t>
        </is>
      </c>
      <c r="E296" s="156" t="inlineStr">
        <is>
          <t>Hauler</t>
        </is>
      </c>
      <c r="F296" s="156" t="inlineStr">
        <is>
          <t>Hauling OB</t>
        </is>
      </c>
      <c r="G296" s="182" t="n">
        <v>9.49</v>
      </c>
      <c r="H296" s="182" t="n">
        <v>0</v>
      </c>
      <c r="I296" s="182" t="n">
        <v>0</v>
      </c>
      <c r="J296" s="182" t="n">
        <v>0</v>
      </c>
      <c r="K296" s="182" t="n">
        <v>2.51</v>
      </c>
      <c r="L296" s="182" t="n">
        <v>12</v>
      </c>
      <c r="M296" s="182" t="n">
        <v>9.49</v>
      </c>
      <c r="N296" s="182" t="n">
        <v>0</v>
      </c>
      <c r="O296" s="183" t="n">
        <v>41</v>
      </c>
      <c r="P296" s="183" t="n">
        <v>0</v>
      </c>
      <c r="Q296" s="184" t="n">
        <v>836.4</v>
      </c>
      <c r="R296" s="184" t="n">
        <v>0</v>
      </c>
      <c r="S296" s="183" t="n">
        <v>0</v>
      </c>
      <c r="T296" s="183" t="n">
        <v>0</v>
      </c>
      <c r="U296" s="182" t="n">
        <v>0.72</v>
      </c>
      <c r="V296" s="182" t="n">
        <v>0</v>
      </c>
      <c r="W296" s="182" t="n">
        <v>0</v>
      </c>
      <c r="X296" s="182" t="n">
        <v>0.97</v>
      </c>
      <c r="Y296" s="182" t="n">
        <v>0</v>
      </c>
      <c r="Z296" s="182" t="n">
        <v>0.1</v>
      </c>
      <c r="AA296" s="182" t="n">
        <v>0</v>
      </c>
      <c r="AB296" s="182" t="n">
        <v>0</v>
      </c>
      <c r="AC296" s="182" t="n">
        <v>0.27</v>
      </c>
      <c r="AD296" s="182" t="n">
        <v>0</v>
      </c>
      <c r="AE296" s="182" t="n">
        <v>0</v>
      </c>
      <c r="AF296" s="182" t="n">
        <v>0</v>
      </c>
      <c r="AG296" s="182" t="n">
        <v>0</v>
      </c>
      <c r="AH296" s="182" t="n">
        <v>0.38</v>
      </c>
      <c r="AI296" s="182" t="n">
        <v>0</v>
      </c>
      <c r="AJ296" s="182" t="n">
        <v>0</v>
      </c>
      <c r="AK296" s="182" t="n">
        <v>0</v>
      </c>
      <c r="AL296" s="182" t="n">
        <v>0</v>
      </c>
      <c r="AM296" s="182" t="n">
        <v>0.08</v>
      </c>
      <c r="AN296" s="182" t="n">
        <v>0</v>
      </c>
    </row>
    <row r="297">
      <c r="A297" s="155" t="n">
        <v>46083</v>
      </c>
      <c r="B297" s="156" t="inlineStr">
        <is>
          <t>DS</t>
        </is>
      </c>
      <c r="C297" s="156" t="inlineStr">
        <is>
          <t>DT-518</t>
        </is>
      </c>
      <c r="D297" s="156" t="inlineStr">
        <is>
          <t>SKT 105S</t>
        </is>
      </c>
      <c r="E297" s="156" t="inlineStr">
        <is>
          <t>Hauler</t>
        </is>
      </c>
      <c r="F297" s="156" t="inlineStr">
        <is>
          <t>Hauling OB &amp; Coal</t>
        </is>
      </c>
      <c r="G297" s="182" t="n">
        <v>4.78</v>
      </c>
      <c r="H297" s="182" t="n">
        <v>0</v>
      </c>
      <c r="I297" s="182" t="n">
        <v>0.33</v>
      </c>
      <c r="J297" s="182" t="n">
        <v>0.33</v>
      </c>
      <c r="K297" s="182" t="n">
        <v>6.89</v>
      </c>
      <c r="L297" s="182" t="n">
        <v>12</v>
      </c>
      <c r="M297" s="182" t="n">
        <v>0.72</v>
      </c>
      <c r="N297" s="182" t="n">
        <v>4.06</v>
      </c>
      <c r="O297" s="183" t="n">
        <v>3</v>
      </c>
      <c r="P297" s="183" t="n">
        <v>9</v>
      </c>
      <c r="Q297" s="184" t="n">
        <v>61.2</v>
      </c>
      <c r="R297" s="184" t="n">
        <v>168.3</v>
      </c>
      <c r="S297" s="183" t="n">
        <v>0</v>
      </c>
      <c r="T297" s="183" t="n">
        <v>0</v>
      </c>
      <c r="U297" s="182" t="n">
        <v>0.77</v>
      </c>
      <c r="V297" s="182" t="n">
        <v>0</v>
      </c>
      <c r="W297" s="182" t="n">
        <v>0</v>
      </c>
      <c r="X297" s="182" t="n">
        <v>1.03</v>
      </c>
      <c r="Y297" s="182" t="n">
        <v>0</v>
      </c>
      <c r="Z297" s="182" t="n">
        <v>0.1</v>
      </c>
      <c r="AA297" s="182" t="n">
        <v>0</v>
      </c>
      <c r="AB297" s="182" t="n">
        <v>0</v>
      </c>
      <c r="AC297" s="182" t="n">
        <v>0.29</v>
      </c>
      <c r="AD297" s="182" t="n">
        <v>0</v>
      </c>
      <c r="AE297" s="182" t="n">
        <v>0</v>
      </c>
      <c r="AF297" s="182" t="n">
        <v>0</v>
      </c>
      <c r="AG297" s="182" t="n">
        <v>0</v>
      </c>
      <c r="AH297" s="182" t="n">
        <v>0</v>
      </c>
      <c r="AI297" s="182" t="n">
        <v>0</v>
      </c>
      <c r="AJ297" s="182" t="n">
        <v>0</v>
      </c>
      <c r="AK297" s="182" t="n">
        <v>4.6</v>
      </c>
      <c r="AL297" s="182" t="n">
        <v>0</v>
      </c>
      <c r="AM297" s="182" t="n">
        <v>0.08</v>
      </c>
      <c r="AN297" s="182" t="n">
        <v>0</v>
      </c>
    </row>
    <row r="298">
      <c r="A298" s="155" t="n">
        <v>46083</v>
      </c>
      <c r="B298" s="156" t="inlineStr">
        <is>
          <t>DS</t>
        </is>
      </c>
      <c r="C298" s="156" t="inlineStr">
        <is>
          <t>DT-514</t>
        </is>
      </c>
      <c r="D298" s="156" t="inlineStr">
        <is>
          <t>SKT 105S</t>
        </is>
      </c>
      <c r="E298" s="156" t="inlineStr">
        <is>
          <t>Hauler</t>
        </is>
      </c>
      <c r="F298" s="156" t="inlineStr"/>
      <c r="G298" s="182" t="n">
        <v>0</v>
      </c>
      <c r="H298" s="182" t="n">
        <v>0</v>
      </c>
      <c r="I298" s="182" t="n">
        <v>12</v>
      </c>
      <c r="J298" s="182" t="n">
        <v>12</v>
      </c>
      <c r="K298" s="182" t="n">
        <v>0</v>
      </c>
      <c r="L298" s="182" t="n">
        <v>12</v>
      </c>
      <c r="M298" s="182" t="n">
        <v>0</v>
      </c>
      <c r="N298" s="182" t="n">
        <v>0</v>
      </c>
      <c r="O298" s="183" t="n">
        <v>0</v>
      </c>
      <c r="P298" s="183" t="n">
        <v>0</v>
      </c>
      <c r="Q298" s="184" t="n">
        <v>0</v>
      </c>
      <c r="R298" s="184" t="n">
        <v>0</v>
      </c>
      <c r="S298" s="183" t="n">
        <v>0</v>
      </c>
      <c r="T298" s="183" t="n">
        <v>0</v>
      </c>
      <c r="U298" s="182" t="n">
        <v>0</v>
      </c>
      <c r="V298" s="182" t="n">
        <v>0</v>
      </c>
      <c r="W298" s="182" t="n">
        <v>0</v>
      </c>
      <c r="X298" s="182" t="n">
        <v>0</v>
      </c>
      <c r="Y298" s="182" t="n">
        <v>0</v>
      </c>
      <c r="Z298" s="182" t="n">
        <v>0</v>
      </c>
      <c r="AA298" s="182" t="n">
        <v>0</v>
      </c>
      <c r="AB298" s="182" t="n">
        <v>0</v>
      </c>
      <c r="AC298" s="182" t="n">
        <v>0</v>
      </c>
      <c r="AD298" s="182" t="n">
        <v>0</v>
      </c>
      <c r="AE298" s="182" t="n">
        <v>0</v>
      </c>
      <c r="AF298" s="182" t="n">
        <v>0</v>
      </c>
      <c r="AG298" s="182" t="n">
        <v>0</v>
      </c>
      <c r="AH298" s="182" t="n">
        <v>0</v>
      </c>
      <c r="AI298" s="182" t="n">
        <v>0</v>
      </c>
      <c r="AJ298" s="182" t="n">
        <v>0</v>
      </c>
      <c r="AK298" s="182" t="n">
        <v>0</v>
      </c>
      <c r="AL298" s="182" t="n">
        <v>0</v>
      </c>
      <c r="AM298" s="182" t="n">
        <v>0</v>
      </c>
      <c r="AN298" s="182" t="n">
        <v>0</v>
      </c>
    </row>
    <row r="299">
      <c r="A299" s="155" t="n">
        <v>46083</v>
      </c>
      <c r="B299" s="156" t="inlineStr">
        <is>
          <t>DS</t>
        </is>
      </c>
      <c r="C299" s="156" t="inlineStr">
        <is>
          <t>DT-523</t>
        </is>
      </c>
      <c r="D299" s="156" t="inlineStr">
        <is>
          <t>SKT 105S</t>
        </is>
      </c>
      <c r="E299" s="156" t="inlineStr">
        <is>
          <t>Hauler</t>
        </is>
      </c>
      <c r="F299" s="156" t="inlineStr">
        <is>
          <t>Hauling Coal &amp; OB</t>
        </is>
      </c>
      <c r="G299" s="182" t="n">
        <v>9.199999999999999</v>
      </c>
      <c r="H299" s="182" t="n">
        <v>0</v>
      </c>
      <c r="I299" s="182" t="n">
        <v>0</v>
      </c>
      <c r="J299" s="182" t="n">
        <v>0</v>
      </c>
      <c r="K299" s="182" t="n">
        <v>2.8</v>
      </c>
      <c r="L299" s="182" t="n">
        <v>12</v>
      </c>
      <c r="M299" s="182" t="n">
        <v>7.27</v>
      </c>
      <c r="N299" s="182" t="n">
        <v>1.94</v>
      </c>
      <c r="O299" s="183" t="n">
        <v>28</v>
      </c>
      <c r="P299" s="183" t="n">
        <v>6</v>
      </c>
      <c r="Q299" s="184" t="n">
        <v>456.9</v>
      </c>
      <c r="R299" s="184" t="n">
        <v>112.2</v>
      </c>
      <c r="S299" s="183" t="n">
        <v>0</v>
      </c>
      <c r="T299" s="183" t="n">
        <v>0</v>
      </c>
      <c r="U299" s="182" t="n">
        <v>0.84</v>
      </c>
      <c r="V299" s="182" t="n">
        <v>0</v>
      </c>
      <c r="W299" s="182" t="n">
        <v>0</v>
      </c>
      <c r="X299" s="182" t="n">
        <v>1.12</v>
      </c>
      <c r="Y299" s="182" t="n">
        <v>0</v>
      </c>
      <c r="Z299" s="182" t="n">
        <v>0.11</v>
      </c>
      <c r="AA299" s="182" t="n">
        <v>0</v>
      </c>
      <c r="AB299" s="182" t="n">
        <v>0</v>
      </c>
      <c r="AC299" s="182" t="n">
        <v>0.31</v>
      </c>
      <c r="AD299" s="182" t="n">
        <v>0</v>
      </c>
      <c r="AE299" s="182" t="n">
        <v>0</v>
      </c>
      <c r="AF299" s="182" t="n">
        <v>0</v>
      </c>
      <c r="AG299" s="182" t="n">
        <v>0</v>
      </c>
      <c r="AH299" s="182" t="n">
        <v>0.32</v>
      </c>
      <c r="AI299" s="182" t="n">
        <v>0</v>
      </c>
      <c r="AJ299" s="182" t="n">
        <v>0</v>
      </c>
      <c r="AK299" s="182" t="n">
        <v>0</v>
      </c>
      <c r="AL299" s="182" t="n">
        <v>0</v>
      </c>
      <c r="AM299" s="182" t="n">
        <v>0.09</v>
      </c>
      <c r="AN299" s="182" t="n">
        <v>0</v>
      </c>
    </row>
    <row r="300">
      <c r="A300" s="155" t="n">
        <v>46083</v>
      </c>
      <c r="B300" s="156" t="inlineStr">
        <is>
          <t>DS</t>
        </is>
      </c>
      <c r="C300" s="156" t="inlineStr">
        <is>
          <t>DT-519</t>
        </is>
      </c>
      <c r="D300" s="156" t="inlineStr">
        <is>
          <t>SKT 105S</t>
        </is>
      </c>
      <c r="E300" s="156" t="inlineStr">
        <is>
          <t>Hauler</t>
        </is>
      </c>
      <c r="F300" s="156" t="inlineStr"/>
      <c r="G300" s="182" t="n">
        <v>0</v>
      </c>
      <c r="H300" s="182" t="n">
        <v>0</v>
      </c>
      <c r="I300" s="182" t="n">
        <v>0</v>
      </c>
      <c r="J300" s="182" t="n">
        <v>0</v>
      </c>
      <c r="K300" s="182" t="n">
        <v>12</v>
      </c>
      <c r="L300" s="182" t="n">
        <v>12</v>
      </c>
      <c r="M300" s="182" t="n">
        <v>0</v>
      </c>
      <c r="N300" s="182" t="n">
        <v>0</v>
      </c>
      <c r="O300" s="183" t="n">
        <v>0</v>
      </c>
      <c r="P300" s="183" t="n">
        <v>0</v>
      </c>
      <c r="Q300" s="184" t="n">
        <v>0</v>
      </c>
      <c r="R300" s="184" t="n">
        <v>0</v>
      </c>
      <c r="S300" s="183" t="n">
        <v>0</v>
      </c>
      <c r="T300" s="183" t="n">
        <v>0</v>
      </c>
      <c r="U300" s="182" t="n">
        <v>0</v>
      </c>
      <c r="V300" s="182" t="n">
        <v>0</v>
      </c>
      <c r="W300" s="182" t="n">
        <v>0</v>
      </c>
      <c r="X300" s="182" t="n">
        <v>1</v>
      </c>
      <c r="Y300" s="182" t="n">
        <v>0</v>
      </c>
      <c r="Z300" s="182" t="n">
        <v>0.1</v>
      </c>
      <c r="AA300" s="182" t="n">
        <v>0</v>
      </c>
      <c r="AB300" s="182" t="n">
        <v>0</v>
      </c>
      <c r="AC300" s="182" t="n">
        <v>0</v>
      </c>
      <c r="AD300" s="182" t="n">
        <v>0</v>
      </c>
      <c r="AE300" s="182" t="n">
        <v>0</v>
      </c>
      <c r="AF300" s="182" t="n">
        <v>0</v>
      </c>
      <c r="AG300" s="182" t="n">
        <v>0</v>
      </c>
      <c r="AH300" s="182" t="n">
        <v>0</v>
      </c>
      <c r="AI300" s="182" t="n">
        <v>0</v>
      </c>
      <c r="AJ300" s="182" t="n">
        <v>0</v>
      </c>
      <c r="AK300" s="182" t="n">
        <v>10.82</v>
      </c>
      <c r="AL300" s="182" t="n">
        <v>0</v>
      </c>
      <c r="AM300" s="182" t="n">
        <v>0.08</v>
      </c>
      <c r="AN300" s="182" t="n">
        <v>0</v>
      </c>
    </row>
    <row r="301">
      <c r="A301" s="155" t="n">
        <v>46083</v>
      </c>
      <c r="B301" s="156" t="inlineStr">
        <is>
          <t>DS</t>
        </is>
      </c>
      <c r="C301" s="156" t="inlineStr">
        <is>
          <t>DT-527</t>
        </is>
      </c>
      <c r="D301" s="156" t="inlineStr">
        <is>
          <t>SKT 105S</t>
        </is>
      </c>
      <c r="E301" s="156" t="inlineStr">
        <is>
          <t>Hauler</t>
        </is>
      </c>
      <c r="F301" s="156" t="inlineStr">
        <is>
          <t>Hauling OB</t>
        </is>
      </c>
      <c r="G301" s="182" t="n">
        <v>9.109999999999999</v>
      </c>
      <c r="H301" s="182" t="n">
        <v>0</v>
      </c>
      <c r="I301" s="182" t="n">
        <v>0</v>
      </c>
      <c r="J301" s="182" t="n">
        <v>0</v>
      </c>
      <c r="K301" s="182" t="n">
        <v>2.89</v>
      </c>
      <c r="L301" s="182" t="n">
        <v>12</v>
      </c>
      <c r="M301" s="182" t="n">
        <v>9.109999999999999</v>
      </c>
      <c r="N301" s="182" t="n">
        <v>0</v>
      </c>
      <c r="O301" s="183" t="n">
        <v>39</v>
      </c>
      <c r="P301" s="183" t="n">
        <v>0</v>
      </c>
      <c r="Q301" s="184" t="n">
        <v>795.6</v>
      </c>
      <c r="R301" s="184" t="n">
        <v>0</v>
      </c>
      <c r="S301" s="183" t="n">
        <v>0</v>
      </c>
      <c r="T301" s="183" t="n">
        <v>0</v>
      </c>
      <c r="U301" s="182" t="n">
        <v>0.7</v>
      </c>
      <c r="V301" s="182" t="n">
        <v>0</v>
      </c>
      <c r="W301" s="182" t="n">
        <v>0</v>
      </c>
      <c r="X301" s="182" t="n">
        <v>0.93</v>
      </c>
      <c r="Y301" s="182" t="n">
        <v>0</v>
      </c>
      <c r="Z301" s="182" t="n">
        <v>0.09</v>
      </c>
      <c r="AA301" s="182" t="n">
        <v>0</v>
      </c>
      <c r="AB301" s="182" t="n">
        <v>0</v>
      </c>
      <c r="AC301" s="182" t="n">
        <v>0</v>
      </c>
      <c r="AD301" s="182" t="n">
        <v>0</v>
      </c>
      <c r="AE301" s="182" t="n">
        <v>0</v>
      </c>
      <c r="AF301" s="182" t="n">
        <v>0</v>
      </c>
      <c r="AG301" s="182" t="n">
        <v>0</v>
      </c>
      <c r="AH301" s="182" t="n">
        <v>0.16</v>
      </c>
      <c r="AI301" s="182" t="n">
        <v>0.93</v>
      </c>
      <c r="AJ301" s="182" t="n">
        <v>0</v>
      </c>
      <c r="AK301" s="182" t="n">
        <v>0</v>
      </c>
      <c r="AL301" s="182" t="n">
        <v>0</v>
      </c>
      <c r="AM301" s="182" t="n">
        <v>0.07000000000000001</v>
      </c>
      <c r="AN301" s="182" t="n">
        <v>0</v>
      </c>
    </row>
    <row r="302">
      <c r="A302" s="155" t="n">
        <v>46083</v>
      </c>
      <c r="B302" s="156" t="inlineStr">
        <is>
          <t>DS</t>
        </is>
      </c>
      <c r="C302" s="156" t="inlineStr">
        <is>
          <t>DT-513</t>
        </is>
      </c>
      <c r="D302" s="156" t="inlineStr">
        <is>
          <t>SKT 105S</t>
        </is>
      </c>
      <c r="E302" s="156" t="inlineStr">
        <is>
          <t>Hauler</t>
        </is>
      </c>
      <c r="F302" s="156" t="inlineStr">
        <is>
          <t>Hauling OB</t>
        </is>
      </c>
      <c r="G302" s="182" t="n">
        <v>8.220000000000001</v>
      </c>
      <c r="H302" s="182" t="n">
        <v>0</v>
      </c>
      <c r="I302" s="182" t="n">
        <v>0.17</v>
      </c>
      <c r="J302" s="182" t="n">
        <v>0.17</v>
      </c>
      <c r="K302" s="182" t="n">
        <v>3.61</v>
      </c>
      <c r="L302" s="182" t="n">
        <v>12</v>
      </c>
      <c r="M302" s="182" t="n">
        <v>8.220000000000001</v>
      </c>
      <c r="N302" s="182" t="n">
        <v>0</v>
      </c>
      <c r="O302" s="183" t="n">
        <v>31</v>
      </c>
      <c r="P302" s="183" t="n">
        <v>0</v>
      </c>
      <c r="Q302" s="184" t="n">
        <v>632.4</v>
      </c>
      <c r="R302" s="184" t="n">
        <v>0</v>
      </c>
      <c r="S302" s="183" t="n">
        <v>0</v>
      </c>
      <c r="T302" s="183" t="n">
        <v>0</v>
      </c>
      <c r="U302" s="182" t="n">
        <v>0.8100000000000001</v>
      </c>
      <c r="V302" s="182" t="n">
        <v>0</v>
      </c>
      <c r="W302" s="182" t="n">
        <v>0</v>
      </c>
      <c r="X302" s="182" t="n">
        <v>1.08</v>
      </c>
      <c r="Y302" s="182" t="n">
        <v>0</v>
      </c>
      <c r="Z302" s="182" t="n">
        <v>0.11</v>
      </c>
      <c r="AA302" s="182" t="n">
        <v>0</v>
      </c>
      <c r="AB302" s="182" t="n">
        <v>0</v>
      </c>
      <c r="AC302" s="182" t="n">
        <v>0.3</v>
      </c>
      <c r="AD302" s="182" t="n">
        <v>0</v>
      </c>
      <c r="AE302" s="182" t="n">
        <v>0</v>
      </c>
      <c r="AF302" s="182" t="n">
        <v>0</v>
      </c>
      <c r="AG302" s="182" t="n">
        <v>0</v>
      </c>
      <c r="AH302" s="182" t="n">
        <v>0</v>
      </c>
      <c r="AI302" s="182" t="n">
        <v>0</v>
      </c>
      <c r="AJ302" s="182" t="n">
        <v>0</v>
      </c>
      <c r="AK302" s="182" t="n">
        <v>1.21</v>
      </c>
      <c r="AL302" s="182" t="n">
        <v>0</v>
      </c>
      <c r="AM302" s="182" t="n">
        <v>0.09</v>
      </c>
      <c r="AN302" s="182" t="n">
        <v>0</v>
      </c>
    </row>
    <row r="303">
      <c r="A303" s="155" t="n">
        <v>46083</v>
      </c>
      <c r="B303" s="156" t="inlineStr">
        <is>
          <t>DS</t>
        </is>
      </c>
      <c r="C303" s="156" t="inlineStr">
        <is>
          <t>DT-512</t>
        </is>
      </c>
      <c r="D303" s="156" t="inlineStr">
        <is>
          <t>SKT 105S</t>
        </is>
      </c>
      <c r="E303" s="156" t="inlineStr">
        <is>
          <t>Hauler</t>
        </is>
      </c>
      <c r="F303" s="156" t="inlineStr">
        <is>
          <t>Hauling OB</t>
        </is>
      </c>
      <c r="G303" s="182" t="n">
        <v>5.68</v>
      </c>
      <c r="H303" s="182" t="n">
        <v>0</v>
      </c>
      <c r="I303" s="182" t="n">
        <v>0.42</v>
      </c>
      <c r="J303" s="182" t="n">
        <v>0.42</v>
      </c>
      <c r="K303" s="182" t="n">
        <v>5.9</v>
      </c>
      <c r="L303" s="182" t="n">
        <v>12</v>
      </c>
      <c r="M303" s="182" t="n">
        <v>5.68</v>
      </c>
      <c r="N303" s="182" t="n">
        <v>0</v>
      </c>
      <c r="O303" s="183" t="n">
        <v>22</v>
      </c>
      <c r="P303" s="183" t="n">
        <v>0</v>
      </c>
      <c r="Q303" s="184" t="n">
        <v>448.8</v>
      </c>
      <c r="R303" s="184" t="n">
        <v>0</v>
      </c>
      <c r="S303" s="183" t="n">
        <v>0</v>
      </c>
      <c r="T303" s="183" t="n">
        <v>0</v>
      </c>
      <c r="U303" s="182" t="n">
        <v>0.77</v>
      </c>
      <c r="V303" s="182" t="n">
        <v>0</v>
      </c>
      <c r="W303" s="182" t="n">
        <v>0</v>
      </c>
      <c r="X303" s="182" t="n">
        <v>1.02</v>
      </c>
      <c r="Y303" s="182" t="n">
        <v>0</v>
      </c>
      <c r="Z303" s="182" t="n">
        <v>0.1</v>
      </c>
      <c r="AA303" s="182" t="n">
        <v>0</v>
      </c>
      <c r="AB303" s="182" t="n">
        <v>0</v>
      </c>
      <c r="AC303" s="182" t="n">
        <v>0.29</v>
      </c>
      <c r="AD303" s="182" t="n">
        <v>0</v>
      </c>
      <c r="AE303" s="182" t="n">
        <v>0</v>
      </c>
      <c r="AF303" s="182" t="n">
        <v>0</v>
      </c>
      <c r="AG303" s="182" t="n">
        <v>0</v>
      </c>
      <c r="AH303" s="182" t="n">
        <v>0</v>
      </c>
      <c r="AI303" s="182" t="n">
        <v>0</v>
      </c>
      <c r="AJ303" s="182" t="n">
        <v>0</v>
      </c>
      <c r="AK303" s="182" t="n">
        <v>3.64</v>
      </c>
      <c r="AL303" s="182" t="n">
        <v>0</v>
      </c>
      <c r="AM303" s="182" t="n">
        <v>0.08</v>
      </c>
      <c r="AN303" s="182" t="n">
        <v>0</v>
      </c>
    </row>
    <row r="304">
      <c r="A304" s="155" t="n">
        <v>46083</v>
      </c>
      <c r="B304" s="156" t="inlineStr">
        <is>
          <t>DS</t>
        </is>
      </c>
      <c r="C304" s="156" t="inlineStr">
        <is>
          <t>DT-522</t>
        </is>
      </c>
      <c r="D304" s="156" t="inlineStr">
        <is>
          <t>SKT 105S</t>
        </is>
      </c>
      <c r="E304" s="156" t="inlineStr">
        <is>
          <t>Hauler</t>
        </is>
      </c>
      <c r="F304" s="156" t="inlineStr">
        <is>
          <t>Hauling OB</t>
        </is>
      </c>
      <c r="G304" s="182" t="n">
        <v>6.2</v>
      </c>
      <c r="H304" s="182" t="n">
        <v>3.6</v>
      </c>
      <c r="I304" s="182" t="n">
        <v>0</v>
      </c>
      <c r="J304" s="182" t="n">
        <v>3.6</v>
      </c>
      <c r="K304" s="182" t="n">
        <v>2.2</v>
      </c>
      <c r="L304" s="182" t="n">
        <v>12</v>
      </c>
      <c r="M304" s="182" t="n">
        <v>6.2</v>
      </c>
      <c r="N304" s="182" t="n">
        <v>0</v>
      </c>
      <c r="O304" s="183" t="n">
        <v>28</v>
      </c>
      <c r="P304" s="183" t="n">
        <v>0</v>
      </c>
      <c r="Q304" s="184" t="n">
        <v>571.2</v>
      </c>
      <c r="R304" s="184" t="n">
        <v>0</v>
      </c>
      <c r="S304" s="183" t="n">
        <v>0</v>
      </c>
      <c r="T304" s="183" t="n">
        <v>0</v>
      </c>
      <c r="U304" s="182" t="n">
        <v>0.67</v>
      </c>
      <c r="V304" s="182" t="n">
        <v>0</v>
      </c>
      <c r="W304" s="182" t="n">
        <v>0</v>
      </c>
      <c r="X304" s="182" t="n">
        <v>1.05</v>
      </c>
      <c r="Y304" s="182" t="n">
        <v>0</v>
      </c>
      <c r="Z304" s="182" t="n">
        <v>0.1</v>
      </c>
      <c r="AA304" s="182" t="n">
        <v>0</v>
      </c>
      <c r="AB304" s="182" t="n">
        <v>0</v>
      </c>
      <c r="AC304" s="182" t="n">
        <v>0.29</v>
      </c>
      <c r="AD304" s="182" t="n">
        <v>0</v>
      </c>
      <c r="AE304" s="182" t="n">
        <v>0</v>
      </c>
      <c r="AF304" s="182" t="n">
        <v>0</v>
      </c>
      <c r="AG304" s="182" t="n">
        <v>0</v>
      </c>
      <c r="AH304" s="182" t="n">
        <v>0</v>
      </c>
      <c r="AI304" s="182" t="n">
        <v>0</v>
      </c>
      <c r="AJ304" s="182" t="n">
        <v>0</v>
      </c>
      <c r="AK304" s="182" t="n">
        <v>0</v>
      </c>
      <c r="AL304" s="182" t="n">
        <v>0</v>
      </c>
      <c r="AM304" s="182" t="n">
        <v>0.08</v>
      </c>
      <c r="AN304" s="182" t="n">
        <v>0</v>
      </c>
    </row>
    <row r="305">
      <c r="A305" s="155" t="n">
        <v>46083</v>
      </c>
      <c r="B305" s="156" t="inlineStr">
        <is>
          <t>DS</t>
        </is>
      </c>
      <c r="C305" s="156" t="inlineStr">
        <is>
          <t>DT-517</t>
        </is>
      </c>
      <c r="D305" s="156" t="inlineStr">
        <is>
          <t>SKT 105S</t>
        </is>
      </c>
      <c r="E305" s="156" t="inlineStr">
        <is>
          <t>Hauler</t>
        </is>
      </c>
      <c r="F305" s="156" t="inlineStr">
        <is>
          <t>Hauling OB</t>
        </is>
      </c>
      <c r="G305" s="182" t="n">
        <v>7.4</v>
      </c>
      <c r="H305" s="182" t="n">
        <v>0</v>
      </c>
      <c r="I305" s="182" t="n">
        <v>1.13</v>
      </c>
      <c r="J305" s="182" t="n">
        <v>1.13</v>
      </c>
      <c r="K305" s="182" t="n">
        <v>3.47</v>
      </c>
      <c r="L305" s="182" t="n">
        <v>12</v>
      </c>
      <c r="M305" s="182" t="n">
        <v>7.4</v>
      </c>
      <c r="N305" s="182" t="n">
        <v>0</v>
      </c>
      <c r="O305" s="183" t="n">
        <v>34</v>
      </c>
      <c r="P305" s="183" t="n">
        <v>0</v>
      </c>
      <c r="Q305" s="184" t="n">
        <v>693.6</v>
      </c>
      <c r="R305" s="184" t="n">
        <v>0</v>
      </c>
      <c r="S305" s="183" t="n">
        <v>0</v>
      </c>
      <c r="T305" s="183" t="n">
        <v>0</v>
      </c>
      <c r="U305" s="182" t="n">
        <v>0.91</v>
      </c>
      <c r="V305" s="182" t="n">
        <v>0</v>
      </c>
      <c r="W305" s="182" t="n">
        <v>0</v>
      </c>
      <c r="X305" s="182" t="n">
        <v>1.21</v>
      </c>
      <c r="Y305" s="182" t="n">
        <v>0</v>
      </c>
      <c r="Z305" s="182" t="n">
        <v>0.12</v>
      </c>
      <c r="AA305" s="182" t="n">
        <v>0</v>
      </c>
      <c r="AB305" s="182" t="n">
        <v>0</v>
      </c>
      <c r="AC305" s="182" t="n">
        <v>0.34</v>
      </c>
      <c r="AD305" s="182" t="n">
        <v>0</v>
      </c>
      <c r="AE305" s="182" t="n">
        <v>0</v>
      </c>
      <c r="AF305" s="182" t="n">
        <v>0</v>
      </c>
      <c r="AG305" s="182" t="n">
        <v>0</v>
      </c>
      <c r="AH305" s="182" t="n">
        <v>0</v>
      </c>
      <c r="AI305" s="182" t="n">
        <v>0.79</v>
      </c>
      <c r="AJ305" s="182" t="n">
        <v>0</v>
      </c>
      <c r="AK305" s="182" t="n">
        <v>0</v>
      </c>
      <c r="AL305" s="182" t="n">
        <v>0</v>
      </c>
      <c r="AM305" s="182" t="n">
        <v>0.1</v>
      </c>
      <c r="AN305" s="182" t="n">
        <v>0</v>
      </c>
    </row>
    <row r="306">
      <c r="A306" s="155" t="n">
        <v>46083</v>
      </c>
      <c r="B306" s="156" t="inlineStr">
        <is>
          <t>DS</t>
        </is>
      </c>
      <c r="C306" s="156" t="inlineStr">
        <is>
          <t>DT-510</t>
        </is>
      </c>
      <c r="D306" s="156" t="inlineStr">
        <is>
          <t>SKT 105S</t>
        </is>
      </c>
      <c r="E306" s="156" t="inlineStr">
        <is>
          <t>Hauler</t>
        </is>
      </c>
      <c r="F306" s="156" t="inlineStr">
        <is>
          <t>Hauling OB</t>
        </is>
      </c>
      <c r="G306" s="182" t="n">
        <v>4.79</v>
      </c>
      <c r="H306" s="182" t="n">
        <v>0</v>
      </c>
      <c r="I306" s="182" t="n">
        <v>5.09</v>
      </c>
      <c r="J306" s="182" t="n">
        <v>5.09</v>
      </c>
      <c r="K306" s="182" t="n">
        <v>2.12</v>
      </c>
      <c r="L306" s="182" t="n">
        <v>12</v>
      </c>
      <c r="M306" s="182" t="n">
        <v>4.79</v>
      </c>
      <c r="N306" s="182" t="n">
        <v>0</v>
      </c>
      <c r="O306" s="183" t="n">
        <v>11</v>
      </c>
      <c r="P306" s="183" t="n">
        <v>0</v>
      </c>
      <c r="Q306" s="184" t="n">
        <v>224.4</v>
      </c>
      <c r="R306" s="184" t="n">
        <v>0</v>
      </c>
      <c r="S306" s="183" t="n">
        <v>0</v>
      </c>
      <c r="T306" s="183" t="n">
        <v>0</v>
      </c>
      <c r="U306" s="182" t="n">
        <v>0.72</v>
      </c>
      <c r="V306" s="182" t="n">
        <v>0</v>
      </c>
      <c r="W306" s="182" t="n">
        <v>0</v>
      </c>
      <c r="X306" s="182" t="n">
        <v>0.96</v>
      </c>
      <c r="Y306" s="182" t="n">
        <v>0</v>
      </c>
      <c r="Z306" s="182" t="n">
        <v>0.1</v>
      </c>
      <c r="AA306" s="182" t="n">
        <v>0</v>
      </c>
      <c r="AB306" s="182" t="n">
        <v>0</v>
      </c>
      <c r="AC306" s="182" t="n">
        <v>0.27</v>
      </c>
      <c r="AD306" s="182" t="n">
        <v>0</v>
      </c>
      <c r="AE306" s="182" t="n">
        <v>0</v>
      </c>
      <c r="AF306" s="182" t="n">
        <v>0</v>
      </c>
      <c r="AG306" s="182" t="n">
        <v>0</v>
      </c>
      <c r="AH306" s="182" t="n">
        <v>0</v>
      </c>
      <c r="AI306" s="182" t="n">
        <v>0</v>
      </c>
      <c r="AJ306" s="182" t="n">
        <v>0</v>
      </c>
      <c r="AK306" s="182" t="n">
        <v>0</v>
      </c>
      <c r="AL306" s="182" t="n">
        <v>0</v>
      </c>
      <c r="AM306" s="182" t="n">
        <v>0.08</v>
      </c>
      <c r="AN306" s="182" t="n">
        <v>0</v>
      </c>
    </row>
    <row r="307">
      <c r="A307" s="155" t="n">
        <v>46083</v>
      </c>
      <c r="B307" s="156" t="inlineStr">
        <is>
          <t>DS</t>
        </is>
      </c>
      <c r="C307" s="156" t="inlineStr">
        <is>
          <t>DT-521</t>
        </is>
      </c>
      <c r="D307" s="156" t="inlineStr">
        <is>
          <t>SKT 105S</t>
        </is>
      </c>
      <c r="E307" s="156" t="inlineStr">
        <is>
          <t>Hauler</t>
        </is>
      </c>
      <c r="F307" s="156" t="inlineStr">
        <is>
          <t>Hauling OB</t>
        </is>
      </c>
      <c r="G307" s="182" t="n">
        <v>2.43</v>
      </c>
      <c r="H307" s="182" t="n">
        <v>0</v>
      </c>
      <c r="I307" s="182" t="n">
        <v>4</v>
      </c>
      <c r="J307" s="182" t="n">
        <v>4</v>
      </c>
      <c r="K307" s="182" t="n">
        <v>5.57</v>
      </c>
      <c r="L307" s="182" t="n">
        <v>12</v>
      </c>
      <c r="M307" s="182" t="n">
        <v>2.43</v>
      </c>
      <c r="N307" s="182" t="n">
        <v>0</v>
      </c>
      <c r="O307" s="183" t="n">
        <v>8</v>
      </c>
      <c r="P307" s="183" t="n">
        <v>0</v>
      </c>
      <c r="Q307" s="184" t="n">
        <v>163.2</v>
      </c>
      <c r="R307" s="184" t="n">
        <v>0</v>
      </c>
      <c r="S307" s="183" t="n">
        <v>0</v>
      </c>
      <c r="T307" s="183" t="n">
        <v>0</v>
      </c>
      <c r="U307" s="182" t="n">
        <v>0.79</v>
      </c>
      <c r="V307" s="182" t="n">
        <v>0</v>
      </c>
      <c r="W307" s="182" t="n">
        <v>0</v>
      </c>
      <c r="X307" s="182" t="n">
        <v>1.05</v>
      </c>
      <c r="Y307" s="182" t="n">
        <v>0</v>
      </c>
      <c r="Z307" s="182" t="n">
        <v>0.11</v>
      </c>
      <c r="AA307" s="182" t="n">
        <v>0</v>
      </c>
      <c r="AB307" s="182" t="n">
        <v>0</v>
      </c>
      <c r="AC307" s="182" t="n">
        <v>0.29</v>
      </c>
      <c r="AD307" s="182" t="n">
        <v>0</v>
      </c>
      <c r="AE307" s="182" t="n">
        <v>0</v>
      </c>
      <c r="AF307" s="182" t="n">
        <v>0</v>
      </c>
      <c r="AG307" s="182" t="n">
        <v>0</v>
      </c>
      <c r="AH307" s="182" t="n">
        <v>0</v>
      </c>
      <c r="AI307" s="182" t="n">
        <v>0</v>
      </c>
      <c r="AJ307" s="182" t="n">
        <v>0</v>
      </c>
      <c r="AK307" s="182" t="n">
        <v>3.25</v>
      </c>
      <c r="AL307" s="182" t="n">
        <v>0</v>
      </c>
      <c r="AM307" s="182" t="n">
        <v>0.08</v>
      </c>
      <c r="AN307" s="182" t="n">
        <v>0</v>
      </c>
    </row>
    <row r="308">
      <c r="A308" s="155" t="n">
        <v>46083</v>
      </c>
      <c r="B308" s="156" t="inlineStr">
        <is>
          <t>DS</t>
        </is>
      </c>
      <c r="C308" s="156" t="inlineStr">
        <is>
          <t>DT-516</t>
        </is>
      </c>
      <c r="D308" s="156" t="inlineStr">
        <is>
          <t>SKT 105S</t>
        </is>
      </c>
      <c r="E308" s="156" t="inlineStr">
        <is>
          <t>Hauler</t>
        </is>
      </c>
      <c r="F308" s="156" t="inlineStr"/>
      <c r="G308" s="182" t="n">
        <v>0</v>
      </c>
      <c r="H308" s="182" t="n">
        <v>0</v>
      </c>
      <c r="I308" s="182" t="n">
        <v>8.83</v>
      </c>
      <c r="J308" s="182" t="n">
        <v>8.83</v>
      </c>
      <c r="K308" s="182" t="n">
        <v>3.17</v>
      </c>
      <c r="L308" s="182" t="n">
        <v>12</v>
      </c>
      <c r="M308" s="182" t="n">
        <v>0</v>
      </c>
      <c r="N308" s="182" t="n">
        <v>0</v>
      </c>
      <c r="O308" s="183" t="n">
        <v>0</v>
      </c>
      <c r="P308" s="183" t="n">
        <v>0</v>
      </c>
      <c r="Q308" s="184" t="n">
        <v>0</v>
      </c>
      <c r="R308" s="184" t="n">
        <v>0</v>
      </c>
      <c r="S308" s="183" t="n">
        <v>0</v>
      </c>
      <c r="T308" s="183" t="n">
        <v>0</v>
      </c>
      <c r="U308" s="182" t="n">
        <v>0</v>
      </c>
      <c r="V308" s="182" t="n">
        <v>0</v>
      </c>
      <c r="W308" s="182" t="n">
        <v>0</v>
      </c>
      <c r="X308" s="182" t="n">
        <v>1</v>
      </c>
      <c r="Y308" s="182" t="n">
        <v>0</v>
      </c>
      <c r="Z308" s="182" t="n">
        <v>0.1</v>
      </c>
      <c r="AA308" s="182" t="n">
        <v>0</v>
      </c>
      <c r="AB308" s="182" t="n">
        <v>0</v>
      </c>
      <c r="AC308" s="182" t="n">
        <v>0</v>
      </c>
      <c r="AD308" s="182" t="n">
        <v>0</v>
      </c>
      <c r="AE308" s="182" t="n">
        <v>0</v>
      </c>
      <c r="AF308" s="182" t="n">
        <v>0</v>
      </c>
      <c r="AG308" s="182" t="n">
        <v>0</v>
      </c>
      <c r="AH308" s="182" t="n">
        <v>0</v>
      </c>
      <c r="AI308" s="182" t="n">
        <v>1.98</v>
      </c>
      <c r="AJ308" s="182" t="n">
        <v>0</v>
      </c>
      <c r="AK308" s="182" t="n">
        <v>0</v>
      </c>
      <c r="AL308" s="182" t="n">
        <v>0</v>
      </c>
      <c r="AM308" s="182" t="n">
        <v>0.08</v>
      </c>
      <c r="AN308" s="182" t="n">
        <v>0</v>
      </c>
    </row>
    <row r="309">
      <c r="A309" s="155" t="n">
        <v>46083</v>
      </c>
      <c r="B309" s="156" t="inlineStr">
        <is>
          <t>DS</t>
        </is>
      </c>
      <c r="C309" s="156" t="inlineStr">
        <is>
          <t>DT-506</t>
        </is>
      </c>
      <c r="D309" s="156" t="inlineStr">
        <is>
          <t>SKT 105S</t>
        </is>
      </c>
      <c r="E309" s="156" t="inlineStr">
        <is>
          <t>Hauler</t>
        </is>
      </c>
      <c r="F309" s="156" t="inlineStr">
        <is>
          <t>Hauling OB &amp; Coal</t>
        </is>
      </c>
      <c r="G309" s="182" t="n">
        <v>9.98</v>
      </c>
      <c r="H309" s="182" t="n">
        <v>0</v>
      </c>
      <c r="I309" s="182" t="n">
        <v>0.92</v>
      </c>
      <c r="J309" s="182" t="n">
        <v>0.92</v>
      </c>
      <c r="K309" s="182" t="n">
        <v>1.1</v>
      </c>
      <c r="L309" s="182" t="n">
        <v>12</v>
      </c>
      <c r="M309" s="182" t="n">
        <v>7.43</v>
      </c>
      <c r="N309" s="182" t="n">
        <v>2.55</v>
      </c>
      <c r="O309" s="183" t="n">
        <v>26</v>
      </c>
      <c r="P309" s="183" t="n">
        <v>8</v>
      </c>
      <c r="Q309" s="184" t="n">
        <v>530.4</v>
      </c>
      <c r="R309" s="184" t="n">
        <v>149.6</v>
      </c>
      <c r="S309" s="183" t="n">
        <v>0</v>
      </c>
      <c r="T309" s="183" t="n">
        <v>0</v>
      </c>
      <c r="U309" s="182" t="n">
        <v>0</v>
      </c>
      <c r="V309" s="182" t="n">
        <v>0</v>
      </c>
      <c r="W309" s="182" t="n">
        <v>0</v>
      </c>
      <c r="X309" s="182" t="n">
        <v>0.86</v>
      </c>
      <c r="Y309" s="182" t="n">
        <v>0</v>
      </c>
      <c r="Z309" s="182" t="n">
        <v>0.09</v>
      </c>
      <c r="AA309" s="182" t="n">
        <v>0</v>
      </c>
      <c r="AB309" s="182" t="n">
        <v>0</v>
      </c>
      <c r="AC309" s="182" t="n">
        <v>0</v>
      </c>
      <c r="AD309" s="182" t="n">
        <v>0</v>
      </c>
      <c r="AE309" s="182" t="n">
        <v>0</v>
      </c>
      <c r="AF309" s="182" t="n">
        <v>0</v>
      </c>
      <c r="AG309" s="182" t="n">
        <v>0</v>
      </c>
      <c r="AH309" s="182" t="n">
        <v>0.09</v>
      </c>
      <c r="AI309" s="182" t="n">
        <v>0</v>
      </c>
      <c r="AJ309" s="182" t="n">
        <v>0</v>
      </c>
      <c r="AK309" s="182" t="n">
        <v>0</v>
      </c>
      <c r="AL309" s="182" t="n">
        <v>0</v>
      </c>
      <c r="AM309" s="182" t="n">
        <v>0.07000000000000001</v>
      </c>
      <c r="AN309" s="182" t="n">
        <v>0</v>
      </c>
    </row>
    <row r="310">
      <c r="A310" s="155" t="n">
        <v>46083</v>
      </c>
      <c r="B310" s="156" t="inlineStr">
        <is>
          <t>DS</t>
        </is>
      </c>
      <c r="C310" s="156" t="inlineStr">
        <is>
          <t>DT-502</t>
        </is>
      </c>
      <c r="D310" s="156" t="inlineStr">
        <is>
          <t>SKT 105S</t>
        </is>
      </c>
      <c r="E310" s="156" t="inlineStr">
        <is>
          <t>Hauler</t>
        </is>
      </c>
      <c r="F310" s="156" t="inlineStr">
        <is>
          <t>Hauling Coal &amp; OB</t>
        </is>
      </c>
      <c r="G310" s="182" t="n">
        <v>9.300000000000001</v>
      </c>
      <c r="H310" s="182" t="n">
        <v>0</v>
      </c>
      <c r="I310" s="182" t="n">
        <v>0</v>
      </c>
      <c r="J310" s="182" t="n">
        <v>0</v>
      </c>
      <c r="K310" s="182" t="n">
        <v>2.7</v>
      </c>
      <c r="L310" s="182" t="n">
        <v>12</v>
      </c>
      <c r="M310" s="182" t="n">
        <v>7.28</v>
      </c>
      <c r="N310" s="182" t="n">
        <v>2.02</v>
      </c>
      <c r="O310" s="183" t="n">
        <v>30</v>
      </c>
      <c r="P310" s="183" t="n">
        <v>5</v>
      </c>
      <c r="Q310" s="184" t="n">
        <v>489.6</v>
      </c>
      <c r="R310" s="184" t="n">
        <v>93.5</v>
      </c>
      <c r="S310" s="183" t="n">
        <v>0</v>
      </c>
      <c r="T310" s="183" t="n">
        <v>0</v>
      </c>
      <c r="U310" s="182" t="n">
        <v>0.72</v>
      </c>
      <c r="V310" s="182" t="n">
        <v>0</v>
      </c>
      <c r="W310" s="182" t="n">
        <v>0</v>
      </c>
      <c r="X310" s="182" t="n">
        <v>0.96</v>
      </c>
      <c r="Y310" s="182" t="n">
        <v>0</v>
      </c>
      <c r="Z310" s="182" t="n">
        <v>0.1</v>
      </c>
      <c r="AA310" s="182" t="n">
        <v>0</v>
      </c>
      <c r="AB310" s="182" t="n">
        <v>0</v>
      </c>
      <c r="AC310" s="182" t="n">
        <v>0.27</v>
      </c>
      <c r="AD310" s="182" t="n">
        <v>0</v>
      </c>
      <c r="AE310" s="182" t="n">
        <v>0</v>
      </c>
      <c r="AF310" s="182" t="n">
        <v>0</v>
      </c>
      <c r="AG310" s="182" t="n">
        <v>0</v>
      </c>
      <c r="AH310" s="182" t="n">
        <v>0.57</v>
      </c>
      <c r="AI310" s="182" t="n">
        <v>0</v>
      </c>
      <c r="AJ310" s="182" t="n">
        <v>0</v>
      </c>
      <c r="AK310" s="182" t="n">
        <v>0</v>
      </c>
      <c r="AL310" s="182" t="n">
        <v>0</v>
      </c>
      <c r="AM310" s="182" t="n">
        <v>0.08</v>
      </c>
      <c r="AN310" s="182" t="n">
        <v>0</v>
      </c>
    </row>
    <row r="311">
      <c r="A311" s="155" t="n">
        <v>46083</v>
      </c>
      <c r="B311" s="156" t="inlineStr">
        <is>
          <t>DS</t>
        </is>
      </c>
      <c r="C311" s="156" t="inlineStr">
        <is>
          <t>DT-528</t>
        </is>
      </c>
      <c r="D311" s="156" t="inlineStr">
        <is>
          <t>SKT 105S</t>
        </is>
      </c>
      <c r="E311" s="156" t="inlineStr">
        <is>
          <t>Hauler</t>
        </is>
      </c>
      <c r="F311" s="156" t="inlineStr">
        <is>
          <t>Hauling Coal &amp; OB</t>
        </is>
      </c>
      <c r="G311" s="182" t="n">
        <v>9.640000000000001</v>
      </c>
      <c r="H311" s="182" t="n">
        <v>0</v>
      </c>
      <c r="I311" s="182" t="n">
        <v>0</v>
      </c>
      <c r="J311" s="182" t="n">
        <v>0</v>
      </c>
      <c r="K311" s="182" t="n">
        <v>2.36</v>
      </c>
      <c r="L311" s="182" t="n">
        <v>12</v>
      </c>
      <c r="M311" s="182" t="n">
        <v>7.63</v>
      </c>
      <c r="N311" s="182" t="n">
        <v>2.01</v>
      </c>
      <c r="O311" s="183" t="n">
        <v>24</v>
      </c>
      <c r="P311" s="183" t="n">
        <v>6</v>
      </c>
      <c r="Q311" s="184" t="n">
        <v>391.7</v>
      </c>
      <c r="R311" s="184" t="n">
        <v>112.2</v>
      </c>
      <c r="S311" s="183" t="n">
        <v>0</v>
      </c>
      <c r="T311" s="183" t="n">
        <v>0</v>
      </c>
      <c r="U311" s="182" t="n">
        <v>0.74</v>
      </c>
      <c r="V311" s="182" t="n">
        <v>0</v>
      </c>
      <c r="W311" s="182" t="n">
        <v>0</v>
      </c>
      <c r="X311" s="182" t="n">
        <v>0.98</v>
      </c>
      <c r="Y311" s="182" t="n">
        <v>0</v>
      </c>
      <c r="Z311" s="182" t="n">
        <v>0.1</v>
      </c>
      <c r="AA311" s="182" t="n">
        <v>0</v>
      </c>
      <c r="AB311" s="182" t="n">
        <v>0</v>
      </c>
      <c r="AC311" s="182" t="n">
        <v>0.28</v>
      </c>
      <c r="AD311" s="182" t="n">
        <v>0</v>
      </c>
      <c r="AE311" s="182" t="n">
        <v>0</v>
      </c>
      <c r="AF311" s="182" t="n">
        <v>0</v>
      </c>
      <c r="AG311" s="182" t="n">
        <v>0</v>
      </c>
      <c r="AH311" s="182" t="n">
        <v>0.19</v>
      </c>
      <c r="AI311" s="182" t="n">
        <v>0</v>
      </c>
      <c r="AJ311" s="182" t="n">
        <v>0</v>
      </c>
      <c r="AK311" s="182" t="n">
        <v>0</v>
      </c>
      <c r="AL311" s="182" t="n">
        <v>0</v>
      </c>
      <c r="AM311" s="182" t="n">
        <v>0.08</v>
      </c>
      <c r="AN311" s="182" t="n">
        <v>0</v>
      </c>
    </row>
    <row r="312">
      <c r="A312" s="155" t="n">
        <v>46083</v>
      </c>
      <c r="B312" s="156" t="inlineStr">
        <is>
          <t>DS</t>
        </is>
      </c>
      <c r="C312" s="156" t="inlineStr">
        <is>
          <t>DT-529</t>
        </is>
      </c>
      <c r="D312" s="156" t="inlineStr">
        <is>
          <t>SKT 105S</t>
        </is>
      </c>
      <c r="E312" s="156" t="inlineStr">
        <is>
          <t>Hauler</t>
        </is>
      </c>
      <c r="F312" s="156" t="inlineStr">
        <is>
          <t>Hauling OB</t>
        </is>
      </c>
      <c r="G312" s="182" t="n">
        <v>3.75</v>
      </c>
      <c r="H312" s="182" t="n">
        <v>0</v>
      </c>
      <c r="I312" s="182" t="n">
        <v>1.13</v>
      </c>
      <c r="J312" s="182" t="n">
        <v>1.13</v>
      </c>
      <c r="K312" s="182" t="n">
        <v>7.12</v>
      </c>
      <c r="L312" s="182" t="n">
        <v>12</v>
      </c>
      <c r="M312" s="182" t="n">
        <v>3.75</v>
      </c>
      <c r="N312" s="182" t="n">
        <v>0</v>
      </c>
      <c r="O312" s="183" t="n">
        <v>13</v>
      </c>
      <c r="P312" s="183" t="n">
        <v>0</v>
      </c>
      <c r="Q312" s="184" t="n">
        <v>265.2</v>
      </c>
      <c r="R312" s="184" t="n">
        <v>0</v>
      </c>
      <c r="S312" s="183" t="n">
        <v>0</v>
      </c>
      <c r="T312" s="183" t="n">
        <v>0</v>
      </c>
      <c r="U312" s="182" t="n">
        <v>0.77</v>
      </c>
      <c r="V312" s="182" t="n">
        <v>0</v>
      </c>
      <c r="W312" s="182" t="n">
        <v>0</v>
      </c>
      <c r="X312" s="182" t="n">
        <v>1.02</v>
      </c>
      <c r="Y312" s="182" t="n">
        <v>0</v>
      </c>
      <c r="Z312" s="182" t="n">
        <v>0.1</v>
      </c>
      <c r="AA312" s="182" t="n">
        <v>0</v>
      </c>
      <c r="AB312" s="182" t="n">
        <v>0</v>
      </c>
      <c r="AC312" s="182" t="n">
        <v>0.29</v>
      </c>
      <c r="AD312" s="182" t="n">
        <v>0</v>
      </c>
      <c r="AE312" s="182" t="n">
        <v>0</v>
      </c>
      <c r="AF312" s="182" t="n">
        <v>0</v>
      </c>
      <c r="AG312" s="182" t="n">
        <v>0</v>
      </c>
      <c r="AH312" s="182" t="n">
        <v>0</v>
      </c>
      <c r="AI312" s="182" t="n">
        <v>0</v>
      </c>
      <c r="AJ312" s="182" t="n">
        <v>0</v>
      </c>
      <c r="AK312" s="182" t="n">
        <v>4.85</v>
      </c>
      <c r="AL312" s="182" t="n">
        <v>0</v>
      </c>
      <c r="AM312" s="182" t="n">
        <v>0.08</v>
      </c>
      <c r="AN312" s="182" t="n">
        <v>0</v>
      </c>
    </row>
    <row r="313">
      <c r="A313" s="155" t="n">
        <v>46083</v>
      </c>
      <c r="B313" s="156" t="inlineStr">
        <is>
          <t>DS</t>
        </is>
      </c>
      <c r="C313" s="156" t="inlineStr">
        <is>
          <t>DT-520</t>
        </is>
      </c>
      <c r="D313" s="156" t="inlineStr">
        <is>
          <t>SKT 105S</t>
        </is>
      </c>
      <c r="E313" s="156" t="inlineStr">
        <is>
          <t>Hauler</t>
        </is>
      </c>
      <c r="F313" s="156" t="inlineStr">
        <is>
          <t>Hauling Coal &amp; OB</t>
        </is>
      </c>
      <c r="G313" s="182" t="n">
        <v>9.800000000000001</v>
      </c>
      <c r="H313" s="182" t="n">
        <v>0</v>
      </c>
      <c r="I313" s="182" t="n">
        <v>0</v>
      </c>
      <c r="J313" s="182" t="n">
        <v>0</v>
      </c>
      <c r="K313" s="182" t="n">
        <v>2.2</v>
      </c>
      <c r="L313" s="182" t="n">
        <v>12</v>
      </c>
      <c r="M313" s="182" t="n">
        <v>7.78</v>
      </c>
      <c r="N313" s="182" t="n">
        <v>2.02</v>
      </c>
      <c r="O313" s="183" t="n">
        <v>27</v>
      </c>
      <c r="P313" s="183" t="n">
        <v>8</v>
      </c>
      <c r="Q313" s="184" t="n">
        <v>440.6</v>
      </c>
      <c r="R313" s="184" t="n">
        <v>149.6</v>
      </c>
      <c r="S313" s="183" t="n">
        <v>0</v>
      </c>
      <c r="T313" s="183" t="n">
        <v>0</v>
      </c>
      <c r="U313" s="182" t="n">
        <v>0.72</v>
      </c>
      <c r="V313" s="182" t="n">
        <v>0</v>
      </c>
      <c r="W313" s="182" t="n">
        <v>0</v>
      </c>
      <c r="X313" s="182" t="n">
        <v>0.96</v>
      </c>
      <c r="Y313" s="182" t="n">
        <v>0</v>
      </c>
      <c r="Z313" s="182" t="n">
        <v>0.1</v>
      </c>
      <c r="AA313" s="182" t="n">
        <v>0</v>
      </c>
      <c r="AB313" s="182" t="n">
        <v>0</v>
      </c>
      <c r="AC313" s="182" t="n">
        <v>0.27</v>
      </c>
      <c r="AD313" s="182" t="n">
        <v>0</v>
      </c>
      <c r="AE313" s="182" t="n">
        <v>0</v>
      </c>
      <c r="AF313" s="182" t="n">
        <v>0</v>
      </c>
      <c r="AG313" s="182" t="n">
        <v>0</v>
      </c>
      <c r="AH313" s="182" t="n">
        <v>0.09</v>
      </c>
      <c r="AI313" s="182" t="n">
        <v>0</v>
      </c>
      <c r="AJ313" s="182" t="n">
        <v>0</v>
      </c>
      <c r="AK313" s="182" t="n">
        <v>0</v>
      </c>
      <c r="AL313" s="182" t="n">
        <v>0</v>
      </c>
      <c r="AM313" s="182" t="n">
        <v>0.08</v>
      </c>
      <c r="AN313" s="182" t="n">
        <v>0</v>
      </c>
    </row>
    <row r="314">
      <c r="A314" s="155" t="n">
        <v>46083</v>
      </c>
      <c r="B314" s="156" t="inlineStr">
        <is>
          <t>DS</t>
        </is>
      </c>
      <c r="C314" s="156" t="inlineStr">
        <is>
          <t>DT-511</t>
        </is>
      </c>
      <c r="D314" s="156" t="inlineStr">
        <is>
          <t>SKT 105S</t>
        </is>
      </c>
      <c r="E314" s="156" t="inlineStr">
        <is>
          <t>Hauler</t>
        </is>
      </c>
      <c r="F314" s="156" t="inlineStr"/>
      <c r="G314" s="182" t="n">
        <v>0</v>
      </c>
      <c r="H314" s="182" t="n">
        <v>0</v>
      </c>
      <c r="I314" s="182" t="n">
        <v>12</v>
      </c>
      <c r="J314" s="182" t="n">
        <v>12</v>
      </c>
      <c r="K314" s="182" t="n">
        <v>0</v>
      </c>
      <c r="L314" s="182" t="n">
        <v>12</v>
      </c>
      <c r="M314" s="182" t="n">
        <v>0</v>
      </c>
      <c r="N314" s="182" t="n">
        <v>0</v>
      </c>
      <c r="O314" s="183" t="n">
        <v>0</v>
      </c>
      <c r="P314" s="183" t="n">
        <v>0</v>
      </c>
      <c r="Q314" s="184" t="n">
        <v>0</v>
      </c>
      <c r="R314" s="184" t="n">
        <v>0</v>
      </c>
      <c r="S314" s="183" t="n">
        <v>0</v>
      </c>
      <c r="T314" s="183" t="n">
        <v>0</v>
      </c>
      <c r="U314" s="182" t="n">
        <v>0</v>
      </c>
      <c r="V314" s="182" t="n">
        <v>0</v>
      </c>
      <c r="W314" s="182" t="n">
        <v>0</v>
      </c>
      <c r="X314" s="182" t="n">
        <v>0</v>
      </c>
      <c r="Y314" s="182" t="n">
        <v>0</v>
      </c>
      <c r="Z314" s="182" t="n">
        <v>0</v>
      </c>
      <c r="AA314" s="182" t="n">
        <v>0</v>
      </c>
      <c r="AB314" s="182" t="n">
        <v>0</v>
      </c>
      <c r="AC314" s="182" t="n">
        <v>0</v>
      </c>
      <c r="AD314" s="182" t="n">
        <v>0</v>
      </c>
      <c r="AE314" s="182" t="n">
        <v>0</v>
      </c>
      <c r="AF314" s="182" t="n">
        <v>0</v>
      </c>
      <c r="AG314" s="182" t="n">
        <v>0</v>
      </c>
      <c r="AH314" s="182" t="n">
        <v>0</v>
      </c>
      <c r="AI314" s="182" t="n">
        <v>0</v>
      </c>
      <c r="AJ314" s="182" t="n">
        <v>0</v>
      </c>
      <c r="AK314" s="182" t="n">
        <v>0</v>
      </c>
      <c r="AL314" s="182" t="n">
        <v>0</v>
      </c>
      <c r="AM314" s="182" t="n">
        <v>0</v>
      </c>
      <c r="AN314" s="182" t="n">
        <v>0</v>
      </c>
    </row>
    <row r="315">
      <c r="A315" s="155" t="n">
        <v>46083</v>
      </c>
      <c r="B315" s="156" t="inlineStr">
        <is>
          <t>DS</t>
        </is>
      </c>
      <c r="C315" s="156" t="inlineStr">
        <is>
          <t>DT-509</t>
        </is>
      </c>
      <c r="D315" s="156" t="inlineStr">
        <is>
          <t>SKT 105S</t>
        </is>
      </c>
      <c r="E315" s="156" t="inlineStr">
        <is>
          <t>Hauler</t>
        </is>
      </c>
      <c r="F315" s="156" t="inlineStr"/>
      <c r="G315" s="182" t="n">
        <v>0</v>
      </c>
      <c r="H315" s="182" t="n">
        <v>0</v>
      </c>
      <c r="I315" s="182" t="n">
        <v>12</v>
      </c>
      <c r="J315" s="182" t="n">
        <v>12</v>
      </c>
      <c r="K315" s="182" t="n">
        <v>0</v>
      </c>
      <c r="L315" s="182" t="n">
        <v>12</v>
      </c>
      <c r="M315" s="182" t="n">
        <v>0</v>
      </c>
      <c r="N315" s="182" t="n">
        <v>0</v>
      </c>
      <c r="O315" s="183" t="n">
        <v>0</v>
      </c>
      <c r="P315" s="183" t="n">
        <v>0</v>
      </c>
      <c r="Q315" s="184" t="n">
        <v>0</v>
      </c>
      <c r="R315" s="184" t="n">
        <v>0</v>
      </c>
      <c r="S315" s="183" t="n">
        <v>0</v>
      </c>
      <c r="T315" s="183" t="n">
        <v>0</v>
      </c>
      <c r="U315" s="182" t="n">
        <v>0</v>
      </c>
      <c r="V315" s="182" t="n">
        <v>0</v>
      </c>
      <c r="W315" s="182" t="n">
        <v>0</v>
      </c>
      <c r="X315" s="182" t="n">
        <v>0</v>
      </c>
      <c r="Y315" s="182" t="n">
        <v>0</v>
      </c>
      <c r="Z315" s="182" t="n">
        <v>0</v>
      </c>
      <c r="AA315" s="182" t="n">
        <v>0</v>
      </c>
      <c r="AB315" s="182" t="n">
        <v>0</v>
      </c>
      <c r="AC315" s="182" t="n">
        <v>0</v>
      </c>
      <c r="AD315" s="182" t="n">
        <v>0</v>
      </c>
      <c r="AE315" s="182" t="n">
        <v>0</v>
      </c>
      <c r="AF315" s="182" t="n">
        <v>0</v>
      </c>
      <c r="AG315" s="182" t="n">
        <v>0</v>
      </c>
      <c r="AH315" s="182" t="n">
        <v>0</v>
      </c>
      <c r="AI315" s="182" t="n">
        <v>0</v>
      </c>
      <c r="AJ315" s="182" t="n">
        <v>0</v>
      </c>
      <c r="AK315" s="182" t="n">
        <v>0</v>
      </c>
      <c r="AL315" s="182" t="n">
        <v>0</v>
      </c>
      <c r="AM315" s="182" t="n">
        <v>0</v>
      </c>
      <c r="AN315" s="182" t="n">
        <v>0</v>
      </c>
    </row>
    <row r="316">
      <c r="A316" s="155" t="n">
        <v>46083</v>
      </c>
      <c r="B316" s="156" t="inlineStr">
        <is>
          <t>DS</t>
        </is>
      </c>
      <c r="C316" s="156" t="inlineStr">
        <is>
          <t>DT-526</t>
        </is>
      </c>
      <c r="D316" s="156" t="inlineStr">
        <is>
          <t>SKT 105S</t>
        </is>
      </c>
      <c r="E316" s="156" t="inlineStr">
        <is>
          <t>Hauler</t>
        </is>
      </c>
      <c r="F316" s="156" t="inlineStr">
        <is>
          <t>Hauling OB</t>
        </is>
      </c>
      <c r="G316" s="182" t="n">
        <v>5.59</v>
      </c>
      <c r="H316" s="182" t="n">
        <v>0</v>
      </c>
      <c r="I316" s="182" t="n">
        <v>0.47</v>
      </c>
      <c r="J316" s="182" t="n">
        <v>0.47</v>
      </c>
      <c r="K316" s="182" t="n">
        <v>5.94</v>
      </c>
      <c r="L316" s="182" t="n">
        <v>12</v>
      </c>
      <c r="M316" s="182" t="n">
        <v>5.59</v>
      </c>
      <c r="N316" s="182" t="n">
        <v>0</v>
      </c>
      <c r="O316" s="183" t="n">
        <v>19</v>
      </c>
      <c r="P316" s="183" t="n">
        <v>0</v>
      </c>
      <c r="Q316" s="184" t="n">
        <v>387.6</v>
      </c>
      <c r="R316" s="184" t="n">
        <v>0</v>
      </c>
      <c r="S316" s="183" t="n">
        <v>0</v>
      </c>
      <c r="T316" s="183" t="n">
        <v>0</v>
      </c>
      <c r="U316" s="182" t="n">
        <v>0.72</v>
      </c>
      <c r="V316" s="182" t="n">
        <v>0</v>
      </c>
      <c r="W316" s="182" t="n">
        <v>0</v>
      </c>
      <c r="X316" s="182" t="n">
        <v>0.95</v>
      </c>
      <c r="Y316" s="182" t="n">
        <v>0</v>
      </c>
      <c r="Z316" s="182" t="n">
        <v>0.1</v>
      </c>
      <c r="AA316" s="182" t="n">
        <v>0</v>
      </c>
      <c r="AB316" s="182" t="n">
        <v>0</v>
      </c>
      <c r="AC316" s="182" t="n">
        <v>0.27</v>
      </c>
      <c r="AD316" s="182" t="n">
        <v>0</v>
      </c>
      <c r="AE316" s="182" t="n">
        <v>0</v>
      </c>
      <c r="AF316" s="182" t="n">
        <v>0</v>
      </c>
      <c r="AG316" s="182" t="n">
        <v>0</v>
      </c>
      <c r="AH316" s="182" t="n">
        <v>0</v>
      </c>
      <c r="AI316" s="182" t="n">
        <v>0</v>
      </c>
      <c r="AJ316" s="182" t="n">
        <v>0</v>
      </c>
      <c r="AK316" s="182" t="n">
        <v>3.83</v>
      </c>
      <c r="AL316" s="182" t="n">
        <v>0</v>
      </c>
      <c r="AM316" s="182" t="n">
        <v>0.08</v>
      </c>
      <c r="AN316" s="182" t="n">
        <v>0</v>
      </c>
    </row>
    <row r="317">
      <c r="A317" s="155" t="n">
        <v>46083</v>
      </c>
      <c r="B317" s="156" t="inlineStr">
        <is>
          <t>DS</t>
        </is>
      </c>
      <c r="C317" s="156" t="inlineStr">
        <is>
          <t>DT-508</t>
        </is>
      </c>
      <c r="D317" s="156" t="inlineStr">
        <is>
          <t>SKT 105S</t>
        </is>
      </c>
      <c r="E317" s="156" t="inlineStr">
        <is>
          <t>Hauler</t>
        </is>
      </c>
      <c r="F317" s="156" t="inlineStr">
        <is>
          <t>Hauling OB &amp; Coal</t>
        </is>
      </c>
      <c r="G317" s="182" t="n">
        <v>9.42</v>
      </c>
      <c r="H317" s="182" t="n">
        <v>0</v>
      </c>
      <c r="I317" s="182" t="n">
        <v>0</v>
      </c>
      <c r="J317" s="182" t="n">
        <v>0</v>
      </c>
      <c r="K317" s="182" t="n">
        <v>2.58</v>
      </c>
      <c r="L317" s="182" t="n">
        <v>12</v>
      </c>
      <c r="M317" s="182" t="n">
        <v>6.94</v>
      </c>
      <c r="N317" s="182" t="n">
        <v>2.48</v>
      </c>
      <c r="O317" s="183" t="n">
        <v>21</v>
      </c>
      <c r="P317" s="183" t="n">
        <v>6</v>
      </c>
      <c r="Q317" s="184" t="n">
        <v>428.4</v>
      </c>
      <c r="R317" s="184" t="n">
        <v>112.2</v>
      </c>
      <c r="S317" s="183" t="n">
        <v>0</v>
      </c>
      <c r="T317" s="183" t="n">
        <v>0</v>
      </c>
      <c r="U317" s="182" t="n">
        <v>0.77</v>
      </c>
      <c r="V317" s="182" t="n">
        <v>0</v>
      </c>
      <c r="W317" s="182" t="n">
        <v>0</v>
      </c>
      <c r="X317" s="182" t="n">
        <v>1.03</v>
      </c>
      <c r="Y317" s="182" t="n">
        <v>0</v>
      </c>
      <c r="Z317" s="182" t="n">
        <v>0.1</v>
      </c>
      <c r="AA317" s="182" t="n">
        <v>0</v>
      </c>
      <c r="AB317" s="182" t="n">
        <v>0</v>
      </c>
      <c r="AC317" s="182" t="n">
        <v>0.29</v>
      </c>
      <c r="AD317" s="182" t="n">
        <v>0</v>
      </c>
      <c r="AE317" s="182" t="n">
        <v>0</v>
      </c>
      <c r="AF317" s="182" t="n">
        <v>0</v>
      </c>
      <c r="AG317" s="182" t="n">
        <v>0</v>
      </c>
      <c r="AH317" s="182" t="n">
        <v>0.3</v>
      </c>
      <c r="AI317" s="182" t="n">
        <v>0</v>
      </c>
      <c r="AJ317" s="182" t="n">
        <v>0</v>
      </c>
      <c r="AK317" s="182" t="n">
        <v>0</v>
      </c>
      <c r="AL317" s="182" t="n">
        <v>0</v>
      </c>
      <c r="AM317" s="182" t="n">
        <v>0.08</v>
      </c>
      <c r="AN317" s="182" t="n">
        <v>0</v>
      </c>
    </row>
    <row r="318">
      <c r="A318" s="155" t="n">
        <v>46083</v>
      </c>
      <c r="B318" s="156" t="inlineStr">
        <is>
          <t>DS</t>
        </is>
      </c>
      <c r="C318" s="156" t="inlineStr">
        <is>
          <t>DT-515</t>
        </is>
      </c>
      <c r="D318" s="156" t="inlineStr">
        <is>
          <t>SKT 105S</t>
        </is>
      </c>
      <c r="E318" s="156" t="inlineStr">
        <is>
          <t>Hauler</t>
        </is>
      </c>
      <c r="F318" s="156" t="inlineStr">
        <is>
          <t>Hauling OB &amp; Coal</t>
        </is>
      </c>
      <c r="G318" s="182" t="n">
        <v>9.380000000000001</v>
      </c>
      <c r="H318" s="182" t="n">
        <v>0</v>
      </c>
      <c r="I318" s="182" t="n">
        <v>0</v>
      </c>
      <c r="J318" s="182" t="n">
        <v>0</v>
      </c>
      <c r="K318" s="182" t="n">
        <v>2.62</v>
      </c>
      <c r="L318" s="182" t="n">
        <v>12</v>
      </c>
      <c r="M318" s="182" t="n">
        <v>6.94</v>
      </c>
      <c r="N318" s="182" t="n">
        <v>2.44</v>
      </c>
      <c r="O318" s="183" t="n">
        <v>18</v>
      </c>
      <c r="P318" s="183" t="n">
        <v>6</v>
      </c>
      <c r="Q318" s="184" t="n">
        <v>367.2</v>
      </c>
      <c r="R318" s="184" t="n">
        <v>112.2</v>
      </c>
      <c r="S318" s="183" t="n">
        <v>0</v>
      </c>
      <c r="T318" s="183" t="n">
        <v>0</v>
      </c>
      <c r="U318" s="182" t="n">
        <v>0.82</v>
      </c>
      <c r="V318" s="182" t="n">
        <v>0</v>
      </c>
      <c r="W318" s="182" t="n">
        <v>0</v>
      </c>
      <c r="X318" s="182" t="n">
        <v>1.09</v>
      </c>
      <c r="Y318" s="182" t="n">
        <v>0</v>
      </c>
      <c r="Z318" s="182" t="n">
        <v>0.11</v>
      </c>
      <c r="AA318" s="182" t="n">
        <v>0</v>
      </c>
      <c r="AB318" s="182" t="n">
        <v>0</v>
      </c>
      <c r="AC318" s="182" t="n">
        <v>0.31</v>
      </c>
      <c r="AD318" s="182" t="n">
        <v>0</v>
      </c>
      <c r="AE318" s="182" t="n">
        <v>0</v>
      </c>
      <c r="AF318" s="182" t="n">
        <v>0</v>
      </c>
      <c r="AG318" s="182" t="n">
        <v>0</v>
      </c>
      <c r="AH318" s="182" t="n">
        <v>0.21</v>
      </c>
      <c r="AI318" s="182" t="n">
        <v>0</v>
      </c>
      <c r="AJ318" s="182" t="n">
        <v>0</v>
      </c>
      <c r="AK318" s="182" t="n">
        <v>0</v>
      </c>
      <c r="AL318" s="182" t="n">
        <v>0</v>
      </c>
      <c r="AM318" s="182" t="n">
        <v>0.09</v>
      </c>
      <c r="AN318" s="182" t="n">
        <v>0</v>
      </c>
    </row>
    <row r="319">
      <c r="A319" s="155" t="n">
        <v>46083</v>
      </c>
      <c r="B319" s="156" t="inlineStr">
        <is>
          <t>DS</t>
        </is>
      </c>
      <c r="C319" s="156" t="inlineStr">
        <is>
          <t>DT-524</t>
        </is>
      </c>
      <c r="D319" s="156" t="inlineStr">
        <is>
          <t>SKT 105S</t>
        </is>
      </c>
      <c r="E319" s="156" t="inlineStr">
        <is>
          <t>Hauler</t>
        </is>
      </c>
      <c r="F319" s="156" t="inlineStr"/>
      <c r="G319" s="182" t="n">
        <v>0</v>
      </c>
      <c r="H319" s="182" t="n">
        <v>0</v>
      </c>
      <c r="I319" s="182" t="n">
        <v>0</v>
      </c>
      <c r="J319" s="182" t="n">
        <v>0</v>
      </c>
      <c r="K319" s="182" t="n">
        <v>12</v>
      </c>
      <c r="L319" s="182" t="n">
        <v>12</v>
      </c>
      <c r="M319" s="182" t="n">
        <v>0</v>
      </c>
      <c r="N319" s="182" t="n">
        <v>0</v>
      </c>
      <c r="O319" s="183" t="n">
        <v>0</v>
      </c>
      <c r="P319" s="183" t="n">
        <v>0</v>
      </c>
      <c r="Q319" s="184" t="n">
        <v>0</v>
      </c>
      <c r="R319" s="184" t="n">
        <v>0</v>
      </c>
      <c r="S319" s="183" t="n">
        <v>0</v>
      </c>
      <c r="T319" s="183" t="n">
        <v>0</v>
      </c>
      <c r="U319" s="182" t="n">
        <v>0</v>
      </c>
      <c r="V319" s="182" t="n">
        <v>0</v>
      </c>
      <c r="W319" s="182" t="n">
        <v>0</v>
      </c>
      <c r="X319" s="182" t="n">
        <v>1</v>
      </c>
      <c r="Y319" s="182" t="n">
        <v>0</v>
      </c>
      <c r="Z319" s="182" t="n">
        <v>0.1</v>
      </c>
      <c r="AA319" s="182" t="n">
        <v>0</v>
      </c>
      <c r="AB319" s="182" t="n">
        <v>0</v>
      </c>
      <c r="AC319" s="182" t="n">
        <v>0</v>
      </c>
      <c r="AD319" s="182" t="n">
        <v>0</v>
      </c>
      <c r="AE319" s="182" t="n">
        <v>0</v>
      </c>
      <c r="AF319" s="182" t="n">
        <v>0</v>
      </c>
      <c r="AG319" s="182" t="n">
        <v>0</v>
      </c>
      <c r="AH319" s="182" t="n">
        <v>0</v>
      </c>
      <c r="AI319" s="182" t="n">
        <v>0</v>
      </c>
      <c r="AJ319" s="182" t="n">
        <v>0</v>
      </c>
      <c r="AK319" s="182" t="n">
        <v>10.82</v>
      </c>
      <c r="AL319" s="182" t="n">
        <v>0</v>
      </c>
      <c r="AM319" s="182" t="n">
        <v>0.08</v>
      </c>
      <c r="AN319" s="182" t="n">
        <v>0</v>
      </c>
    </row>
    <row r="320">
      <c r="A320" s="155" t="n">
        <v>46083</v>
      </c>
      <c r="B320" s="156" t="inlineStr">
        <is>
          <t>DS</t>
        </is>
      </c>
      <c r="C320" s="156" t="inlineStr">
        <is>
          <t>DT-341</t>
        </is>
      </c>
      <c r="D320" s="156" t="inlineStr">
        <is>
          <t>SYZ324C-8W</t>
        </is>
      </c>
      <c r="E320" s="156" t="inlineStr">
        <is>
          <t>Hauler</t>
        </is>
      </c>
      <c r="F320" s="156" t="inlineStr">
        <is>
          <t>Rehandling Dirty</t>
        </is>
      </c>
      <c r="G320" s="182" t="n">
        <v>8.92</v>
      </c>
      <c r="H320" s="182" t="n">
        <v>0</v>
      </c>
      <c r="I320" s="182" t="n">
        <v>0</v>
      </c>
      <c r="J320" s="182" t="n">
        <v>0</v>
      </c>
      <c r="K320" s="182" t="n">
        <v>3.08</v>
      </c>
      <c r="L320" s="182" t="n">
        <v>12</v>
      </c>
      <c r="M320" s="182" t="n">
        <v>0</v>
      </c>
      <c r="N320" s="182" t="n">
        <v>0</v>
      </c>
      <c r="O320" s="183" t="n">
        <v>0</v>
      </c>
      <c r="P320" s="183" t="n">
        <v>0</v>
      </c>
      <c r="Q320" s="184" t="n">
        <v>0</v>
      </c>
      <c r="R320" s="184" t="n">
        <v>0</v>
      </c>
      <c r="S320" s="183" t="n">
        <v>0</v>
      </c>
      <c r="T320" s="183" t="n">
        <v>0</v>
      </c>
      <c r="U320" s="182" t="n">
        <v>0</v>
      </c>
      <c r="V320" s="182" t="n">
        <v>0</v>
      </c>
      <c r="W320" s="182" t="n">
        <v>0</v>
      </c>
      <c r="X320" s="182" t="n">
        <v>0.93</v>
      </c>
      <c r="Y320" s="182" t="n">
        <v>0</v>
      </c>
      <c r="Z320" s="182" t="n">
        <v>0</v>
      </c>
      <c r="AA320" s="182" t="n">
        <v>0</v>
      </c>
      <c r="AB320" s="182" t="n">
        <v>0</v>
      </c>
      <c r="AC320" s="182" t="n">
        <v>0</v>
      </c>
      <c r="AD320" s="182" t="n">
        <v>0</v>
      </c>
      <c r="AE320" s="182" t="n">
        <v>0</v>
      </c>
      <c r="AF320" s="182" t="n">
        <v>0</v>
      </c>
      <c r="AG320" s="182" t="n">
        <v>0</v>
      </c>
      <c r="AH320" s="182" t="n">
        <v>0</v>
      </c>
      <c r="AI320" s="182" t="n">
        <v>0</v>
      </c>
      <c r="AJ320" s="182" t="n">
        <v>0</v>
      </c>
      <c r="AK320" s="182" t="n">
        <v>2.07</v>
      </c>
      <c r="AL320" s="182" t="n">
        <v>0</v>
      </c>
      <c r="AM320" s="182" t="n">
        <v>0.07000000000000001</v>
      </c>
      <c r="AN320" s="182" t="n">
        <v>0</v>
      </c>
    </row>
    <row r="321">
      <c r="A321" s="155" t="n">
        <v>46083</v>
      </c>
      <c r="B321" s="156" t="inlineStr">
        <is>
          <t>DS</t>
        </is>
      </c>
      <c r="C321" s="156" t="inlineStr">
        <is>
          <t>DT-342</t>
        </is>
      </c>
      <c r="D321" s="156" t="inlineStr">
        <is>
          <t>SYZ324C-8W</t>
        </is>
      </c>
      <c r="E321" s="156" t="inlineStr">
        <is>
          <t>Hauler</t>
        </is>
      </c>
      <c r="F321" s="156" t="inlineStr">
        <is>
          <t>Rehandling Dirty</t>
        </is>
      </c>
      <c r="G321" s="182" t="n">
        <v>8.210000000000001</v>
      </c>
      <c r="H321" s="182" t="n">
        <v>0</v>
      </c>
      <c r="I321" s="182" t="n">
        <v>0</v>
      </c>
      <c r="J321" s="182" t="n">
        <v>0</v>
      </c>
      <c r="K321" s="182" t="n">
        <v>3.79</v>
      </c>
      <c r="L321" s="182" t="n">
        <v>12</v>
      </c>
      <c r="M321" s="182" t="n">
        <v>0</v>
      </c>
      <c r="N321" s="182" t="n">
        <v>0</v>
      </c>
      <c r="O321" s="183" t="n">
        <v>0</v>
      </c>
      <c r="P321" s="183" t="n">
        <v>0</v>
      </c>
      <c r="Q321" s="184" t="n">
        <v>0</v>
      </c>
      <c r="R321" s="184" t="n">
        <v>0</v>
      </c>
      <c r="S321" s="183" t="n">
        <v>0</v>
      </c>
      <c r="T321" s="183" t="n">
        <v>0</v>
      </c>
      <c r="U321" s="182" t="n">
        <v>0</v>
      </c>
      <c r="V321" s="182" t="n">
        <v>0</v>
      </c>
      <c r="W321" s="182" t="n">
        <v>0</v>
      </c>
      <c r="X321" s="182" t="n">
        <v>0.95</v>
      </c>
      <c r="Y321" s="182" t="n">
        <v>0</v>
      </c>
      <c r="Z321" s="182" t="n">
        <v>0</v>
      </c>
      <c r="AA321" s="182" t="n">
        <v>0</v>
      </c>
      <c r="AB321" s="182" t="n">
        <v>0</v>
      </c>
      <c r="AC321" s="182" t="n">
        <v>0</v>
      </c>
      <c r="AD321" s="182" t="n">
        <v>0</v>
      </c>
      <c r="AE321" s="182" t="n">
        <v>0</v>
      </c>
      <c r="AF321" s="182" t="n">
        <v>0</v>
      </c>
      <c r="AG321" s="182" t="n">
        <v>0</v>
      </c>
      <c r="AH321" s="182" t="n">
        <v>0</v>
      </c>
      <c r="AI321" s="182" t="n">
        <v>0</v>
      </c>
      <c r="AJ321" s="182" t="n">
        <v>0</v>
      </c>
      <c r="AK321" s="182" t="n">
        <v>2.77</v>
      </c>
      <c r="AL321" s="182" t="n">
        <v>0</v>
      </c>
      <c r="AM321" s="182" t="n">
        <v>0.08</v>
      </c>
      <c r="AN321" s="182" t="n">
        <v>0</v>
      </c>
    </row>
    <row r="322">
      <c r="A322" s="155" t="n">
        <v>46083</v>
      </c>
      <c r="B322" s="156" t="inlineStr">
        <is>
          <t>DS</t>
        </is>
      </c>
      <c r="C322" s="156" t="inlineStr">
        <is>
          <t>HD-903</t>
        </is>
      </c>
      <c r="D322" s="156" t="inlineStr">
        <is>
          <t>SRT 95C</t>
        </is>
      </c>
      <c r="E322" s="156" t="inlineStr">
        <is>
          <t>Hauler</t>
        </is>
      </c>
      <c r="F322" s="156" t="inlineStr"/>
      <c r="G322" s="182" t="n">
        <v>0</v>
      </c>
      <c r="H322" s="182" t="n">
        <v>0</v>
      </c>
      <c r="I322" s="182" t="n">
        <v>0.92</v>
      </c>
      <c r="J322" s="182" t="n">
        <v>0.92</v>
      </c>
      <c r="K322" s="182" t="n">
        <v>11.08</v>
      </c>
      <c r="L322" s="182" t="n">
        <v>12</v>
      </c>
      <c r="M322" s="182" t="n">
        <v>0</v>
      </c>
      <c r="N322" s="182" t="n">
        <v>0</v>
      </c>
      <c r="O322" s="183" t="n">
        <v>0</v>
      </c>
      <c r="P322" s="183" t="n">
        <v>0</v>
      </c>
      <c r="Q322" s="184" t="n">
        <v>0</v>
      </c>
      <c r="R322" s="184" t="n">
        <v>0</v>
      </c>
      <c r="S322" s="183" t="n">
        <v>0</v>
      </c>
      <c r="T322" s="183" t="n">
        <v>0</v>
      </c>
      <c r="U322" s="182" t="n">
        <v>0</v>
      </c>
      <c r="V322" s="182" t="n">
        <v>0</v>
      </c>
      <c r="W322" s="182" t="n">
        <v>0</v>
      </c>
      <c r="X322" s="182" t="n">
        <v>1</v>
      </c>
      <c r="Y322" s="182" t="n">
        <v>0</v>
      </c>
      <c r="Z322" s="182" t="n">
        <v>0.1</v>
      </c>
      <c r="AA322" s="182" t="n">
        <v>0</v>
      </c>
      <c r="AB322" s="182" t="n">
        <v>0</v>
      </c>
      <c r="AC322" s="182" t="n">
        <v>0</v>
      </c>
      <c r="AD322" s="182" t="n">
        <v>0</v>
      </c>
      <c r="AE322" s="182" t="n">
        <v>9.9</v>
      </c>
      <c r="AF322" s="182" t="n">
        <v>0</v>
      </c>
      <c r="AG322" s="182" t="n">
        <v>0</v>
      </c>
      <c r="AH322" s="182" t="n">
        <v>0</v>
      </c>
      <c r="AI322" s="182" t="n">
        <v>0</v>
      </c>
      <c r="AJ322" s="182" t="n">
        <v>0</v>
      </c>
      <c r="AK322" s="182" t="n">
        <v>0</v>
      </c>
      <c r="AL322" s="182" t="n">
        <v>0</v>
      </c>
      <c r="AM322" s="182" t="n">
        <v>0.08</v>
      </c>
      <c r="AN322" s="182" t="n">
        <v>0</v>
      </c>
    </row>
    <row r="323">
      <c r="A323" s="155" t="n">
        <v>46083</v>
      </c>
      <c r="B323" s="156" t="inlineStr">
        <is>
          <t>DS</t>
        </is>
      </c>
      <c r="C323" s="156" t="inlineStr">
        <is>
          <t>HD-905</t>
        </is>
      </c>
      <c r="D323" s="156" t="inlineStr">
        <is>
          <t>SRT 95C</t>
        </is>
      </c>
      <c r="E323" s="156" t="inlineStr">
        <is>
          <t>Hauler</t>
        </is>
      </c>
      <c r="F323" s="156" t="inlineStr">
        <is>
          <t>Hauling OB</t>
        </is>
      </c>
      <c r="G323" s="182" t="n">
        <v>4.31</v>
      </c>
      <c r="H323" s="182" t="n">
        <v>0</v>
      </c>
      <c r="I323" s="182" t="n">
        <v>0</v>
      </c>
      <c r="J323" s="182" t="n">
        <v>0</v>
      </c>
      <c r="K323" s="182" t="n">
        <v>7.69</v>
      </c>
      <c r="L323" s="182" t="n">
        <v>12</v>
      </c>
      <c r="M323" s="182" t="n">
        <v>4.31</v>
      </c>
      <c r="N323" s="182" t="n">
        <v>0</v>
      </c>
      <c r="O323" s="183" t="n">
        <v>26</v>
      </c>
      <c r="P323" s="183" t="n">
        <v>0</v>
      </c>
      <c r="Q323" s="184" t="n">
        <v>928.2</v>
      </c>
      <c r="R323" s="184" t="n">
        <v>0</v>
      </c>
      <c r="S323" s="183" t="n">
        <v>0</v>
      </c>
      <c r="T323" s="183" t="n">
        <v>0</v>
      </c>
      <c r="U323" s="182" t="n">
        <v>0</v>
      </c>
      <c r="V323" s="182" t="n">
        <v>0</v>
      </c>
      <c r="W323" s="182" t="n">
        <v>0.39</v>
      </c>
      <c r="X323" s="182" t="n">
        <v>1.05</v>
      </c>
      <c r="Y323" s="182" t="n">
        <v>0</v>
      </c>
      <c r="Z323" s="182" t="n">
        <v>0.11</v>
      </c>
      <c r="AA323" s="182" t="n">
        <v>0</v>
      </c>
      <c r="AB323" s="182" t="n">
        <v>0</v>
      </c>
      <c r="AC323" s="182" t="n">
        <v>0.29</v>
      </c>
      <c r="AD323" s="182" t="n">
        <v>0</v>
      </c>
      <c r="AE323" s="182" t="n">
        <v>0</v>
      </c>
      <c r="AF323" s="182" t="n">
        <v>0</v>
      </c>
      <c r="AG323" s="182" t="n">
        <v>0</v>
      </c>
      <c r="AH323" s="182" t="n">
        <v>0</v>
      </c>
      <c r="AI323" s="182" t="n">
        <v>5.76</v>
      </c>
      <c r="AJ323" s="182" t="n">
        <v>0</v>
      </c>
      <c r="AK323" s="182" t="n">
        <v>0</v>
      </c>
      <c r="AL323" s="182" t="n">
        <v>0</v>
      </c>
      <c r="AM323" s="182" t="n">
        <v>0.08</v>
      </c>
      <c r="AN323" s="182" t="n">
        <v>0</v>
      </c>
    </row>
    <row r="324">
      <c r="A324" s="155" t="n">
        <v>46083</v>
      </c>
      <c r="B324" s="156" t="inlineStr">
        <is>
          <t>DS</t>
        </is>
      </c>
      <c r="C324" s="156" t="inlineStr">
        <is>
          <t>HD-901</t>
        </is>
      </c>
      <c r="D324" s="156" t="inlineStr">
        <is>
          <t>SRT 95C</t>
        </is>
      </c>
      <c r="E324" s="156" t="inlineStr">
        <is>
          <t>Hauler</t>
        </is>
      </c>
      <c r="F324" s="156" t="inlineStr">
        <is>
          <t>Hauling OB</t>
        </is>
      </c>
      <c r="G324" s="182" t="n">
        <v>4.92</v>
      </c>
      <c r="H324" s="182" t="n">
        <v>0</v>
      </c>
      <c r="I324" s="182" t="n">
        <v>0</v>
      </c>
      <c r="J324" s="182" t="n">
        <v>0</v>
      </c>
      <c r="K324" s="182" t="n">
        <v>7.08</v>
      </c>
      <c r="L324" s="182" t="n">
        <v>12</v>
      </c>
      <c r="M324" s="182" t="n">
        <v>4.92</v>
      </c>
      <c r="N324" s="182" t="n">
        <v>0</v>
      </c>
      <c r="O324" s="183" t="n">
        <v>17</v>
      </c>
      <c r="P324" s="183" t="n">
        <v>0</v>
      </c>
      <c r="Q324" s="184" t="n">
        <v>606.9</v>
      </c>
      <c r="R324" s="184" t="n">
        <v>0</v>
      </c>
      <c r="S324" s="183" t="n">
        <v>0</v>
      </c>
      <c r="T324" s="183" t="n">
        <v>0</v>
      </c>
      <c r="U324" s="182" t="n">
        <v>0</v>
      </c>
      <c r="V324" s="182" t="n">
        <v>0</v>
      </c>
      <c r="W324" s="182" t="n">
        <v>0.36</v>
      </c>
      <c r="X324" s="182" t="n">
        <v>0.97</v>
      </c>
      <c r="Y324" s="182" t="n">
        <v>0</v>
      </c>
      <c r="Z324" s="182" t="n">
        <v>0.1</v>
      </c>
      <c r="AA324" s="182" t="n">
        <v>0</v>
      </c>
      <c r="AB324" s="182" t="n">
        <v>0</v>
      </c>
      <c r="AC324" s="182" t="n">
        <v>0.27</v>
      </c>
      <c r="AD324" s="182" t="n">
        <v>0</v>
      </c>
      <c r="AE324" s="182" t="n">
        <v>0</v>
      </c>
      <c r="AF324" s="182" t="n">
        <v>0</v>
      </c>
      <c r="AG324" s="182" t="n">
        <v>0</v>
      </c>
      <c r="AH324" s="182" t="n">
        <v>0</v>
      </c>
      <c r="AI324" s="182" t="n">
        <v>5.31</v>
      </c>
      <c r="AJ324" s="182" t="n">
        <v>0</v>
      </c>
      <c r="AK324" s="182" t="n">
        <v>0</v>
      </c>
      <c r="AL324" s="182" t="n">
        <v>0</v>
      </c>
      <c r="AM324" s="182" t="n">
        <v>0.08</v>
      </c>
      <c r="AN324" s="182" t="n">
        <v>0</v>
      </c>
    </row>
    <row r="325">
      <c r="A325" s="155" t="n">
        <v>46083</v>
      </c>
      <c r="B325" s="156" t="inlineStr">
        <is>
          <t>DS</t>
        </is>
      </c>
      <c r="C325" s="156" t="inlineStr">
        <is>
          <t>HD-904</t>
        </is>
      </c>
      <c r="D325" s="156" t="inlineStr">
        <is>
          <t>SRT 95C</t>
        </is>
      </c>
      <c r="E325" s="156" t="inlineStr">
        <is>
          <t>Hauler</t>
        </is>
      </c>
      <c r="F325" s="156" t="inlineStr">
        <is>
          <t>Hauling OB</t>
        </is>
      </c>
      <c r="G325" s="182" t="n">
        <v>4.96</v>
      </c>
      <c r="H325" s="182" t="n">
        <v>0</v>
      </c>
      <c r="I325" s="182" t="n">
        <v>0</v>
      </c>
      <c r="J325" s="182" t="n">
        <v>0</v>
      </c>
      <c r="K325" s="182" t="n">
        <v>7.04</v>
      </c>
      <c r="L325" s="182" t="n">
        <v>12</v>
      </c>
      <c r="M325" s="182" t="n">
        <v>4.83</v>
      </c>
      <c r="N325" s="182" t="n">
        <v>0</v>
      </c>
      <c r="O325" s="183" t="n">
        <v>19</v>
      </c>
      <c r="P325" s="183" t="n">
        <v>0</v>
      </c>
      <c r="Q325" s="184" t="n">
        <v>678.3</v>
      </c>
      <c r="R325" s="184" t="n">
        <v>0</v>
      </c>
      <c r="S325" s="183" t="n">
        <v>0</v>
      </c>
      <c r="T325" s="183" t="n">
        <v>0</v>
      </c>
      <c r="U325" s="182" t="n">
        <v>0</v>
      </c>
      <c r="V325" s="182" t="n">
        <v>0</v>
      </c>
      <c r="W325" s="182" t="n">
        <v>0.36</v>
      </c>
      <c r="X325" s="182" t="n">
        <v>0.96</v>
      </c>
      <c r="Y325" s="182" t="n">
        <v>0</v>
      </c>
      <c r="Z325" s="182" t="n">
        <v>0.1</v>
      </c>
      <c r="AA325" s="182" t="n">
        <v>0</v>
      </c>
      <c r="AB325" s="182" t="n">
        <v>0</v>
      </c>
      <c r="AC325" s="182" t="n">
        <v>0.27</v>
      </c>
      <c r="AD325" s="182" t="n">
        <v>0</v>
      </c>
      <c r="AE325" s="182" t="n">
        <v>0</v>
      </c>
      <c r="AF325" s="182" t="n">
        <v>0</v>
      </c>
      <c r="AG325" s="182" t="n">
        <v>0</v>
      </c>
      <c r="AH325" s="182" t="n">
        <v>0</v>
      </c>
      <c r="AI325" s="182" t="n">
        <v>5.28</v>
      </c>
      <c r="AJ325" s="182" t="n">
        <v>0</v>
      </c>
      <c r="AK325" s="182" t="n">
        <v>0</v>
      </c>
      <c r="AL325" s="182" t="n">
        <v>0</v>
      </c>
      <c r="AM325" s="182" t="n">
        <v>0.08</v>
      </c>
      <c r="AN325" s="182" t="n">
        <v>0</v>
      </c>
    </row>
    <row r="326">
      <c r="A326" s="155" t="n">
        <v>46083</v>
      </c>
      <c r="B326" s="156" t="inlineStr">
        <is>
          <t>DS</t>
        </is>
      </c>
      <c r="C326" s="156" t="inlineStr">
        <is>
          <t>HD-902</t>
        </is>
      </c>
      <c r="D326" s="156" t="inlineStr">
        <is>
          <t>SRT 95C</t>
        </is>
      </c>
      <c r="E326" s="156" t="inlineStr">
        <is>
          <t>Hauler</t>
        </is>
      </c>
      <c r="F326" s="156" t="inlineStr">
        <is>
          <t>Hauling OB</t>
        </is>
      </c>
      <c r="G326" s="182" t="n">
        <v>5.04</v>
      </c>
      <c r="H326" s="182" t="n">
        <v>0</v>
      </c>
      <c r="I326" s="182" t="n">
        <v>0</v>
      </c>
      <c r="J326" s="182" t="n">
        <v>0</v>
      </c>
      <c r="K326" s="182" t="n">
        <v>6.96</v>
      </c>
      <c r="L326" s="182" t="n">
        <v>12</v>
      </c>
      <c r="M326" s="182" t="n">
        <v>5.04</v>
      </c>
      <c r="N326" s="182" t="n">
        <v>0</v>
      </c>
      <c r="O326" s="183" t="n">
        <v>22</v>
      </c>
      <c r="P326" s="183" t="n">
        <v>0</v>
      </c>
      <c r="Q326" s="184" t="n">
        <v>785.4</v>
      </c>
      <c r="R326" s="184" t="n">
        <v>0</v>
      </c>
      <c r="S326" s="183" t="n">
        <v>0</v>
      </c>
      <c r="T326" s="183" t="n">
        <v>0</v>
      </c>
      <c r="U326" s="182" t="n">
        <v>0</v>
      </c>
      <c r="V326" s="182" t="n">
        <v>0</v>
      </c>
      <c r="W326" s="182" t="n">
        <v>0.37</v>
      </c>
      <c r="X326" s="182" t="n">
        <v>0.99</v>
      </c>
      <c r="Y326" s="182" t="n">
        <v>0</v>
      </c>
      <c r="Z326" s="182" t="n">
        <v>0.1</v>
      </c>
      <c r="AA326" s="182" t="n">
        <v>0</v>
      </c>
      <c r="AB326" s="182" t="n">
        <v>0</v>
      </c>
      <c r="AC326" s="182" t="n">
        <v>0.28</v>
      </c>
      <c r="AD326" s="182" t="n">
        <v>0</v>
      </c>
      <c r="AE326" s="182" t="n">
        <v>0</v>
      </c>
      <c r="AF326" s="182" t="n">
        <v>0</v>
      </c>
      <c r="AG326" s="182" t="n">
        <v>0</v>
      </c>
      <c r="AH326" s="182" t="n">
        <v>0</v>
      </c>
      <c r="AI326" s="182" t="n">
        <v>5.14</v>
      </c>
      <c r="AJ326" s="182" t="n">
        <v>0</v>
      </c>
      <c r="AK326" s="182" t="n">
        <v>0</v>
      </c>
      <c r="AL326" s="182" t="n">
        <v>0</v>
      </c>
      <c r="AM326" s="182" t="n">
        <v>0.08</v>
      </c>
      <c r="AN326" s="182" t="n">
        <v>0</v>
      </c>
    </row>
    <row r="327">
      <c r="A327" s="155" t="n">
        <v>46083</v>
      </c>
      <c r="B327" s="156" t="inlineStr">
        <is>
          <t>DS</t>
        </is>
      </c>
      <c r="C327" s="156" t="inlineStr">
        <is>
          <t>WL-025</t>
        </is>
      </c>
      <c r="D327" s="156" t="inlineStr">
        <is>
          <t>SANY - Loader</t>
        </is>
      </c>
      <c r="E327" s="156" t="inlineStr">
        <is>
          <t>Loader</t>
        </is>
      </c>
      <c r="F327" s="156" t="inlineStr">
        <is>
          <t>General Jetty</t>
        </is>
      </c>
      <c r="G327" s="182" t="n">
        <v>2.19</v>
      </c>
      <c r="H327" s="182" t="n">
        <v>0</v>
      </c>
      <c r="I327" s="182" t="n">
        <v>0</v>
      </c>
      <c r="J327" s="182" t="n">
        <v>0</v>
      </c>
      <c r="K327" s="182" t="n">
        <v>9.81</v>
      </c>
      <c r="L327" s="182" t="n">
        <v>12</v>
      </c>
      <c r="M327" s="182" t="n">
        <v>0</v>
      </c>
      <c r="N327" s="182" t="n">
        <v>0</v>
      </c>
      <c r="O327" s="183" t="n">
        <v>0</v>
      </c>
      <c r="P327" s="183" t="n">
        <v>0</v>
      </c>
      <c r="Q327" s="184" t="n">
        <v>0</v>
      </c>
      <c r="R327" s="184" t="n">
        <v>0</v>
      </c>
      <c r="S327" s="183" t="n">
        <v>0</v>
      </c>
      <c r="T327" s="183" t="n">
        <v>0</v>
      </c>
      <c r="U327" s="182" t="n">
        <v>0</v>
      </c>
      <c r="V327" s="182" t="n">
        <v>0</v>
      </c>
      <c r="W327" s="182" t="n">
        <v>0</v>
      </c>
      <c r="X327" s="182" t="n">
        <v>0.95</v>
      </c>
      <c r="Y327" s="182" t="n">
        <v>0</v>
      </c>
      <c r="Z327" s="182" t="n">
        <v>0</v>
      </c>
      <c r="AA327" s="182" t="n">
        <v>0</v>
      </c>
      <c r="AB327" s="182" t="n">
        <v>0</v>
      </c>
      <c r="AC327" s="182" t="n">
        <v>0</v>
      </c>
      <c r="AD327" s="182" t="n">
        <v>0</v>
      </c>
      <c r="AE327" s="182" t="n">
        <v>0</v>
      </c>
      <c r="AF327" s="182" t="n">
        <v>0</v>
      </c>
      <c r="AG327" s="182" t="n">
        <v>0</v>
      </c>
      <c r="AH327" s="182" t="n">
        <v>0</v>
      </c>
      <c r="AI327" s="182" t="n">
        <v>0</v>
      </c>
      <c r="AJ327" s="182" t="n">
        <v>0</v>
      </c>
      <c r="AK327" s="182" t="n">
        <v>8.779999999999999</v>
      </c>
      <c r="AL327" s="182" t="n">
        <v>0</v>
      </c>
      <c r="AM327" s="182" t="n">
        <v>0.08</v>
      </c>
      <c r="AN327" s="182" t="n">
        <v>0</v>
      </c>
    </row>
    <row r="328">
      <c r="A328" s="155" t="n">
        <v>46083</v>
      </c>
      <c r="B328" s="156" t="inlineStr">
        <is>
          <t>DS</t>
        </is>
      </c>
      <c r="C328" s="156" t="inlineStr">
        <is>
          <t>WL-023</t>
        </is>
      </c>
      <c r="D328" s="156" t="inlineStr">
        <is>
          <t>SANY - Loader</t>
        </is>
      </c>
      <c r="E328" s="156" t="inlineStr">
        <is>
          <t>Loader</t>
        </is>
      </c>
      <c r="F328" s="156" t="inlineStr">
        <is>
          <t>Trimming Coal di Jetty</t>
        </is>
      </c>
      <c r="G328" s="182" t="n">
        <v>3.8</v>
      </c>
      <c r="H328" s="182" t="n">
        <v>0</v>
      </c>
      <c r="I328" s="182" t="n">
        <v>0</v>
      </c>
      <c r="J328" s="182" t="n">
        <v>0</v>
      </c>
      <c r="K328" s="182" t="n">
        <v>8.199999999999999</v>
      </c>
      <c r="L328" s="182" t="n">
        <v>12</v>
      </c>
      <c r="M328" s="182" t="n">
        <v>0</v>
      </c>
      <c r="N328" s="182" t="n">
        <v>0</v>
      </c>
      <c r="O328" s="183" t="n">
        <v>0</v>
      </c>
      <c r="P328" s="183" t="n">
        <v>0</v>
      </c>
      <c r="Q328" s="184" t="n">
        <v>0</v>
      </c>
      <c r="R328" s="184" t="n">
        <v>0</v>
      </c>
      <c r="S328" s="183" t="n">
        <v>0</v>
      </c>
      <c r="T328" s="183" t="n">
        <v>0</v>
      </c>
      <c r="U328" s="182" t="n">
        <v>0</v>
      </c>
      <c r="V328" s="182" t="n">
        <v>0</v>
      </c>
      <c r="W328" s="182" t="n">
        <v>0</v>
      </c>
      <c r="X328" s="182" t="n">
        <v>0.99</v>
      </c>
      <c r="Y328" s="182" t="n">
        <v>0</v>
      </c>
      <c r="Z328" s="182" t="n">
        <v>0</v>
      </c>
      <c r="AA328" s="182" t="n">
        <v>0</v>
      </c>
      <c r="AB328" s="182" t="n">
        <v>0</v>
      </c>
      <c r="AC328" s="182" t="n">
        <v>0</v>
      </c>
      <c r="AD328" s="182" t="n">
        <v>0</v>
      </c>
      <c r="AE328" s="182" t="n">
        <v>0</v>
      </c>
      <c r="AF328" s="182" t="n">
        <v>0</v>
      </c>
      <c r="AG328" s="182" t="n">
        <v>0</v>
      </c>
      <c r="AH328" s="182" t="n">
        <v>0</v>
      </c>
      <c r="AI328" s="182" t="n">
        <v>0</v>
      </c>
      <c r="AJ328" s="182" t="n">
        <v>0</v>
      </c>
      <c r="AK328" s="182" t="n">
        <v>7.13</v>
      </c>
      <c r="AL328" s="182" t="n">
        <v>0</v>
      </c>
      <c r="AM328" s="182" t="n">
        <v>0.08</v>
      </c>
      <c r="AN328" s="182" t="n">
        <v>0</v>
      </c>
    </row>
    <row r="329">
      <c r="A329" s="155" t="n">
        <v>46083</v>
      </c>
      <c r="B329" s="156" t="inlineStr">
        <is>
          <t>DS</t>
        </is>
      </c>
      <c r="C329" s="156" t="inlineStr">
        <is>
          <t>WL-021</t>
        </is>
      </c>
      <c r="D329" s="156" t="inlineStr">
        <is>
          <t>SANY - Loader</t>
        </is>
      </c>
      <c r="E329" s="156" t="inlineStr">
        <is>
          <t>Loader</t>
        </is>
      </c>
      <c r="F329" s="156" t="inlineStr"/>
      <c r="G329" s="182" t="n">
        <v>0</v>
      </c>
      <c r="H329" s="182" t="n">
        <v>0</v>
      </c>
      <c r="I329" s="182" t="n">
        <v>12</v>
      </c>
      <c r="J329" s="182" t="n">
        <v>12</v>
      </c>
      <c r="K329" s="182" t="n">
        <v>0</v>
      </c>
      <c r="L329" s="182" t="n">
        <v>12</v>
      </c>
      <c r="M329" s="182" t="n">
        <v>0</v>
      </c>
      <c r="N329" s="182" t="n">
        <v>0</v>
      </c>
      <c r="O329" s="183" t="n">
        <v>0</v>
      </c>
      <c r="P329" s="183" t="n">
        <v>0</v>
      </c>
      <c r="Q329" s="184" t="n">
        <v>0</v>
      </c>
      <c r="R329" s="184" t="n">
        <v>0</v>
      </c>
      <c r="S329" s="183" t="n">
        <v>0</v>
      </c>
      <c r="T329" s="183" t="n">
        <v>0</v>
      </c>
      <c r="U329" s="182" t="n">
        <v>0</v>
      </c>
      <c r="V329" s="182" t="n">
        <v>0</v>
      </c>
      <c r="W329" s="182" t="n">
        <v>0</v>
      </c>
      <c r="X329" s="182" t="n">
        <v>0</v>
      </c>
      <c r="Y329" s="182" t="n">
        <v>0</v>
      </c>
      <c r="Z329" s="182" t="n">
        <v>0</v>
      </c>
      <c r="AA329" s="182" t="n">
        <v>0</v>
      </c>
      <c r="AB329" s="182" t="n">
        <v>0</v>
      </c>
      <c r="AC329" s="182" t="n">
        <v>0</v>
      </c>
      <c r="AD329" s="182" t="n">
        <v>0</v>
      </c>
      <c r="AE329" s="182" t="n">
        <v>0</v>
      </c>
      <c r="AF329" s="182" t="n">
        <v>0</v>
      </c>
      <c r="AG329" s="182" t="n">
        <v>0</v>
      </c>
      <c r="AH329" s="182" t="n">
        <v>0</v>
      </c>
      <c r="AI329" s="182" t="n">
        <v>0</v>
      </c>
      <c r="AJ329" s="182" t="n">
        <v>0</v>
      </c>
      <c r="AK329" s="182" t="n">
        <v>0</v>
      </c>
      <c r="AL329" s="182" t="n">
        <v>0</v>
      </c>
      <c r="AM329" s="182" t="n">
        <v>0</v>
      </c>
      <c r="AN329" s="182" t="n">
        <v>0</v>
      </c>
    </row>
    <row r="330">
      <c r="A330" s="155" t="n">
        <v>46083</v>
      </c>
      <c r="B330" s="156" t="inlineStr">
        <is>
          <t>DS</t>
        </is>
      </c>
      <c r="C330" s="156" t="inlineStr">
        <is>
          <t>WL-022</t>
        </is>
      </c>
      <c r="D330" s="156" t="inlineStr">
        <is>
          <t>SANY - Loader</t>
        </is>
      </c>
      <c r="E330" s="156" t="inlineStr">
        <is>
          <t>Loader</t>
        </is>
      </c>
      <c r="F330" s="156" t="inlineStr">
        <is>
          <t>Rehandling Dirty &amp; Trimming Coal di Stock ROM</t>
        </is>
      </c>
      <c r="G330" s="182" t="n">
        <v>10.97</v>
      </c>
      <c r="H330" s="182" t="n">
        <v>0</v>
      </c>
      <c r="I330" s="182" t="n">
        <v>0.27</v>
      </c>
      <c r="J330" s="182" t="n">
        <v>0.27</v>
      </c>
      <c r="K330" s="182" t="n">
        <v>0.76</v>
      </c>
      <c r="L330" s="182" t="n">
        <v>12</v>
      </c>
      <c r="M330" s="182" t="n">
        <v>0</v>
      </c>
      <c r="N330" s="182" t="n">
        <v>0</v>
      </c>
      <c r="O330" s="183" t="n">
        <v>0</v>
      </c>
      <c r="P330" s="183" t="n">
        <v>0</v>
      </c>
      <c r="Q330" s="184" t="n">
        <v>0</v>
      </c>
      <c r="R330" s="184" t="n">
        <v>0</v>
      </c>
      <c r="S330" s="183" t="n">
        <v>0</v>
      </c>
      <c r="T330" s="183" t="n">
        <v>0</v>
      </c>
      <c r="U330" s="182" t="n">
        <v>0</v>
      </c>
      <c r="V330" s="182" t="n">
        <v>0</v>
      </c>
      <c r="W330" s="182" t="n">
        <v>0</v>
      </c>
      <c r="X330" s="182" t="n">
        <v>0.62</v>
      </c>
      <c r="Y330" s="182" t="n">
        <v>0</v>
      </c>
      <c r="Z330" s="182" t="n">
        <v>0</v>
      </c>
      <c r="AA330" s="182" t="n">
        <v>0</v>
      </c>
      <c r="AB330" s="182" t="n">
        <v>0</v>
      </c>
      <c r="AC330" s="182" t="n">
        <v>0</v>
      </c>
      <c r="AD330" s="182" t="n">
        <v>0</v>
      </c>
      <c r="AE330" s="182" t="n">
        <v>0</v>
      </c>
      <c r="AF330" s="182" t="n">
        <v>0</v>
      </c>
      <c r="AG330" s="182" t="n">
        <v>0</v>
      </c>
      <c r="AH330" s="182" t="n">
        <v>0</v>
      </c>
      <c r="AI330" s="182" t="n">
        <v>0</v>
      </c>
      <c r="AJ330" s="182" t="n">
        <v>0</v>
      </c>
      <c r="AK330" s="182" t="n">
        <v>0.09</v>
      </c>
      <c r="AL330" s="182" t="n">
        <v>0</v>
      </c>
      <c r="AM330" s="182" t="n">
        <v>0.05</v>
      </c>
      <c r="AN330" s="182" t="n">
        <v>0</v>
      </c>
    </row>
    <row r="331">
      <c r="A331" s="155" t="n">
        <v>46083</v>
      </c>
      <c r="B331" s="156" t="inlineStr">
        <is>
          <t>DS</t>
        </is>
      </c>
      <c r="C331" s="156" t="inlineStr">
        <is>
          <t>WL-024</t>
        </is>
      </c>
      <c r="D331" s="156" t="inlineStr">
        <is>
          <t>SANY - Loader</t>
        </is>
      </c>
      <c r="E331" s="156" t="inlineStr">
        <is>
          <t>Loader</t>
        </is>
      </c>
      <c r="F331" s="156" t="inlineStr">
        <is>
          <t>Produksi Washing Plant</t>
        </is>
      </c>
      <c r="G331" s="182" t="n">
        <v>11.85</v>
      </c>
      <c r="H331" s="182" t="n">
        <v>0</v>
      </c>
      <c r="I331" s="182" t="n">
        <v>0</v>
      </c>
      <c r="J331" s="182" t="n">
        <v>0</v>
      </c>
      <c r="K331" s="182" t="n">
        <v>0.15</v>
      </c>
      <c r="L331" s="182" t="n">
        <v>12</v>
      </c>
      <c r="M331" s="182" t="n">
        <v>0</v>
      </c>
      <c r="N331" s="182" t="n">
        <v>0</v>
      </c>
      <c r="O331" s="183" t="n">
        <v>0</v>
      </c>
      <c r="P331" s="183" t="n">
        <v>0</v>
      </c>
      <c r="Q331" s="184" t="n">
        <v>0</v>
      </c>
      <c r="R331" s="184" t="n">
        <v>0</v>
      </c>
      <c r="S331" s="183" t="n">
        <v>0</v>
      </c>
      <c r="T331" s="183" t="n">
        <v>0</v>
      </c>
      <c r="U331" s="182" t="n">
        <v>0</v>
      </c>
      <c r="V331" s="182" t="n">
        <v>0</v>
      </c>
      <c r="W331" s="182" t="n">
        <v>0</v>
      </c>
      <c r="X331" s="182" t="n">
        <v>0</v>
      </c>
      <c r="Y331" s="182" t="n">
        <v>0</v>
      </c>
      <c r="Z331" s="182" t="n">
        <v>0</v>
      </c>
      <c r="AA331" s="182" t="n">
        <v>0</v>
      </c>
      <c r="AB331" s="182" t="n">
        <v>0</v>
      </c>
      <c r="AC331" s="182" t="n">
        <v>0</v>
      </c>
      <c r="AD331" s="182" t="n">
        <v>0</v>
      </c>
      <c r="AE331" s="182" t="n">
        <v>0</v>
      </c>
      <c r="AF331" s="182" t="n">
        <v>0</v>
      </c>
      <c r="AG331" s="182" t="n">
        <v>0</v>
      </c>
      <c r="AH331" s="182" t="n">
        <v>0</v>
      </c>
      <c r="AI331" s="182" t="n">
        <v>0</v>
      </c>
      <c r="AJ331" s="182" t="n">
        <v>0</v>
      </c>
      <c r="AK331" s="182" t="n">
        <v>0</v>
      </c>
      <c r="AL331" s="182" t="n">
        <v>0</v>
      </c>
      <c r="AM331" s="182" t="n">
        <v>0</v>
      </c>
      <c r="AN331" s="182" t="n">
        <v>0</v>
      </c>
    </row>
    <row r="332">
      <c r="A332" s="155" t="n">
        <v>46083</v>
      </c>
      <c r="B332" s="156" t="inlineStr">
        <is>
          <t>NS</t>
        </is>
      </c>
      <c r="C332" s="156" t="inlineStr">
        <is>
          <t>DZ-034</t>
        </is>
      </c>
      <c r="D332" s="156" t="inlineStr">
        <is>
          <t>D 68ESS-12EO</t>
        </is>
      </c>
      <c r="E332" s="156" t="inlineStr">
        <is>
          <t>Bulldozer</t>
        </is>
      </c>
      <c r="F332" s="156" t="inlineStr"/>
      <c r="G332" s="182" t="n">
        <v>0</v>
      </c>
      <c r="H332" s="182" t="n">
        <v>0</v>
      </c>
      <c r="I332" s="182" t="n">
        <v>12</v>
      </c>
      <c r="J332" s="182" t="n">
        <v>12</v>
      </c>
      <c r="K332" s="182" t="n">
        <v>0</v>
      </c>
      <c r="L332" s="182" t="n">
        <v>12</v>
      </c>
      <c r="M332" s="182" t="n">
        <v>0</v>
      </c>
      <c r="N332" s="182" t="n">
        <v>0</v>
      </c>
      <c r="O332" s="183" t="n">
        <v>0</v>
      </c>
      <c r="P332" s="183" t="n">
        <v>0</v>
      </c>
      <c r="Q332" s="184" t="n">
        <v>0</v>
      </c>
      <c r="R332" s="184" t="n">
        <v>0</v>
      </c>
      <c r="S332" s="183" t="n">
        <v>0</v>
      </c>
      <c r="T332" s="183" t="n">
        <v>0</v>
      </c>
      <c r="U332" s="182" t="n">
        <v>0</v>
      </c>
      <c r="V332" s="182" t="n">
        <v>0</v>
      </c>
      <c r="W332" s="182" t="n">
        <v>0</v>
      </c>
      <c r="X332" s="182" t="n">
        <v>0</v>
      </c>
      <c r="Y332" s="182" t="n">
        <v>0</v>
      </c>
      <c r="Z332" s="182" t="n">
        <v>0</v>
      </c>
      <c r="AA332" s="182" t="n">
        <v>0</v>
      </c>
      <c r="AB332" s="182" t="n">
        <v>0</v>
      </c>
      <c r="AC332" s="182" t="n">
        <v>0</v>
      </c>
      <c r="AD332" s="182" t="n">
        <v>0</v>
      </c>
      <c r="AE332" s="182" t="n">
        <v>0</v>
      </c>
      <c r="AF332" s="182" t="n">
        <v>0</v>
      </c>
      <c r="AG332" s="182" t="n">
        <v>0</v>
      </c>
      <c r="AH332" s="182" t="n">
        <v>0</v>
      </c>
      <c r="AI332" s="182" t="n">
        <v>0</v>
      </c>
      <c r="AJ332" s="182" t="n">
        <v>0</v>
      </c>
      <c r="AK332" s="182" t="n">
        <v>0</v>
      </c>
      <c r="AL332" s="182" t="n">
        <v>0</v>
      </c>
      <c r="AM332" s="182" t="n">
        <v>0</v>
      </c>
      <c r="AN332" s="182" t="n">
        <v>0</v>
      </c>
    </row>
    <row r="333">
      <c r="A333" s="155" t="n">
        <v>46083</v>
      </c>
      <c r="B333" s="156" t="inlineStr">
        <is>
          <t>NS</t>
        </is>
      </c>
      <c r="C333" s="156" t="inlineStr">
        <is>
          <t>DZ-033</t>
        </is>
      </c>
      <c r="D333" s="156" t="inlineStr">
        <is>
          <t>D 375A-6R</t>
        </is>
      </c>
      <c r="E333" s="156" t="inlineStr">
        <is>
          <t>Bulldozer</t>
        </is>
      </c>
      <c r="F333" s="156" t="inlineStr">
        <is>
          <t>Timesheet Kosong</t>
        </is>
      </c>
      <c r="G333" s="182" t="n">
        <v>1.9</v>
      </c>
      <c r="H333" s="182" t="n">
        <v>0</v>
      </c>
      <c r="I333" s="182" t="n">
        <v>7.54</v>
      </c>
      <c r="J333" s="182" t="n">
        <v>7.54</v>
      </c>
      <c r="K333" s="182" t="n">
        <v>2.56</v>
      </c>
      <c r="L333" s="182" t="n">
        <v>12</v>
      </c>
      <c r="M333" s="182" t="n">
        <v>0</v>
      </c>
      <c r="N333" s="182" t="n">
        <v>0</v>
      </c>
      <c r="O333" s="183" t="n">
        <v>0</v>
      </c>
      <c r="P333" s="183" t="n">
        <v>0</v>
      </c>
      <c r="Q333" s="184" t="n">
        <v>0</v>
      </c>
      <c r="R333" s="184" t="n">
        <v>0</v>
      </c>
      <c r="S333" s="183" t="n">
        <v>0</v>
      </c>
      <c r="T333" s="183" t="n">
        <v>0</v>
      </c>
      <c r="U333" s="182" t="n">
        <v>1.44</v>
      </c>
      <c r="V333" s="182" t="n">
        <v>0</v>
      </c>
      <c r="W333" s="182" t="n">
        <v>0</v>
      </c>
      <c r="X333" s="182" t="n">
        <v>1.04</v>
      </c>
      <c r="Y333" s="182" t="n">
        <v>0</v>
      </c>
      <c r="Z333" s="182" t="n">
        <v>0</v>
      </c>
      <c r="AA333" s="182" t="n">
        <v>0</v>
      </c>
      <c r="AB333" s="182" t="n">
        <v>0</v>
      </c>
      <c r="AC333" s="182" t="n">
        <v>0</v>
      </c>
      <c r="AD333" s="182" t="n">
        <v>0</v>
      </c>
      <c r="AE333" s="182" t="n">
        <v>0</v>
      </c>
      <c r="AF333" s="182" t="n">
        <v>0</v>
      </c>
      <c r="AG333" s="182" t="n">
        <v>0</v>
      </c>
      <c r="AH333" s="182" t="n">
        <v>0</v>
      </c>
      <c r="AI333" s="182" t="n">
        <v>0</v>
      </c>
      <c r="AJ333" s="182" t="n">
        <v>0</v>
      </c>
      <c r="AK333" s="182" t="n">
        <v>0</v>
      </c>
      <c r="AL333" s="182" t="n">
        <v>0</v>
      </c>
      <c r="AM333" s="182" t="n">
        <v>0.08</v>
      </c>
      <c r="AN333" s="182" t="n">
        <v>0</v>
      </c>
    </row>
    <row r="334">
      <c r="A334" s="155" t="n">
        <v>46083</v>
      </c>
      <c r="B334" s="156" t="inlineStr">
        <is>
          <t>NS</t>
        </is>
      </c>
      <c r="C334" s="156" t="inlineStr">
        <is>
          <t>DZ-038</t>
        </is>
      </c>
      <c r="D334" s="156" t="inlineStr">
        <is>
          <t>D 85 ESS-2</t>
        </is>
      </c>
      <c r="E334" s="156" t="inlineStr">
        <is>
          <t>Bulldozer</t>
        </is>
      </c>
      <c r="F334" s="156" t="inlineStr">
        <is>
          <t>Support Disposal &amp; Front Loading</t>
        </is>
      </c>
      <c r="G334" s="182" t="n">
        <v>4.73</v>
      </c>
      <c r="H334" s="182" t="n">
        <v>0</v>
      </c>
      <c r="I334" s="182" t="n">
        <v>3.53</v>
      </c>
      <c r="J334" s="182" t="n">
        <v>3.53</v>
      </c>
      <c r="K334" s="182" t="n">
        <v>3.74</v>
      </c>
      <c r="L334" s="182" t="n">
        <v>12</v>
      </c>
      <c r="M334" s="182" t="n">
        <v>0</v>
      </c>
      <c r="N334" s="182" t="n">
        <v>0</v>
      </c>
      <c r="O334" s="183" t="n">
        <v>0</v>
      </c>
      <c r="P334" s="183" t="n">
        <v>0</v>
      </c>
      <c r="Q334" s="184" t="n">
        <v>0</v>
      </c>
      <c r="R334" s="184" t="n">
        <v>0</v>
      </c>
      <c r="S334" s="183" t="n">
        <v>0</v>
      </c>
      <c r="T334" s="183" t="n">
        <v>0</v>
      </c>
      <c r="U334" s="182" t="n">
        <v>2.63</v>
      </c>
      <c r="V334" s="182" t="n">
        <v>0</v>
      </c>
      <c r="W334" s="182" t="n">
        <v>0</v>
      </c>
      <c r="X334" s="182" t="n">
        <v>1.02</v>
      </c>
      <c r="Y334" s="182" t="n">
        <v>0</v>
      </c>
      <c r="Z334" s="182" t="n">
        <v>0</v>
      </c>
      <c r="AA334" s="182" t="n">
        <v>0</v>
      </c>
      <c r="AB334" s="182" t="n">
        <v>0</v>
      </c>
      <c r="AC334" s="182" t="n">
        <v>0</v>
      </c>
      <c r="AD334" s="182" t="n">
        <v>0</v>
      </c>
      <c r="AE334" s="182" t="n">
        <v>0</v>
      </c>
      <c r="AF334" s="182" t="n">
        <v>0</v>
      </c>
      <c r="AG334" s="182" t="n">
        <v>0</v>
      </c>
      <c r="AH334" s="182" t="n">
        <v>0</v>
      </c>
      <c r="AI334" s="182" t="n">
        <v>0</v>
      </c>
      <c r="AJ334" s="182" t="n">
        <v>0</v>
      </c>
      <c r="AK334" s="182" t="n">
        <v>0</v>
      </c>
      <c r="AL334" s="182" t="n">
        <v>0</v>
      </c>
      <c r="AM334" s="182" t="n">
        <v>0.08</v>
      </c>
      <c r="AN334" s="182" t="n">
        <v>0</v>
      </c>
    </row>
    <row r="335">
      <c r="A335" s="155" t="n">
        <v>46083</v>
      </c>
      <c r="B335" s="156" t="inlineStr">
        <is>
          <t>NS</t>
        </is>
      </c>
      <c r="C335" s="156" t="inlineStr">
        <is>
          <t>DZ-039</t>
        </is>
      </c>
      <c r="D335" s="156" t="inlineStr">
        <is>
          <t>D 85 ESS-2</t>
        </is>
      </c>
      <c r="E335" s="156" t="inlineStr">
        <is>
          <t>Bulldozer</t>
        </is>
      </c>
      <c r="F335" s="156" t="inlineStr">
        <is>
          <t>Support Disposal</t>
        </is>
      </c>
      <c r="G335" s="182" t="n">
        <v>9.279999999999999</v>
      </c>
      <c r="H335" s="182" t="n">
        <v>0</v>
      </c>
      <c r="I335" s="182" t="n">
        <v>2.72</v>
      </c>
      <c r="J335" s="182" t="n">
        <v>2.72</v>
      </c>
      <c r="K335" s="182" t="n">
        <v>0</v>
      </c>
      <c r="L335" s="182" t="n">
        <v>12</v>
      </c>
      <c r="M335" s="182" t="n">
        <v>0</v>
      </c>
      <c r="N335" s="182" t="n">
        <v>0</v>
      </c>
      <c r="O335" s="183" t="n">
        <v>0</v>
      </c>
      <c r="P335" s="183" t="n">
        <v>0</v>
      </c>
      <c r="Q335" s="184" t="n">
        <v>0</v>
      </c>
      <c r="R335" s="184" t="n">
        <v>0</v>
      </c>
      <c r="S335" s="183" t="n">
        <v>0</v>
      </c>
      <c r="T335" s="183" t="n">
        <v>0</v>
      </c>
      <c r="U335" s="182" t="n">
        <v>0</v>
      </c>
      <c r="V335" s="182" t="n">
        <v>0</v>
      </c>
      <c r="W335" s="182" t="n">
        <v>0</v>
      </c>
      <c r="X335" s="182" t="n">
        <v>0</v>
      </c>
      <c r="Y335" s="182" t="n">
        <v>0</v>
      </c>
      <c r="Z335" s="182" t="n">
        <v>0</v>
      </c>
      <c r="AA335" s="182" t="n">
        <v>0</v>
      </c>
      <c r="AB335" s="182" t="n">
        <v>0</v>
      </c>
      <c r="AC335" s="182" t="n">
        <v>0</v>
      </c>
      <c r="AD335" s="182" t="n">
        <v>0</v>
      </c>
      <c r="AE335" s="182" t="n">
        <v>0</v>
      </c>
      <c r="AF335" s="182" t="n">
        <v>0</v>
      </c>
      <c r="AG335" s="182" t="n">
        <v>0</v>
      </c>
      <c r="AH335" s="182" t="n">
        <v>0</v>
      </c>
      <c r="AI335" s="182" t="n">
        <v>0</v>
      </c>
      <c r="AJ335" s="182" t="n">
        <v>0</v>
      </c>
      <c r="AK335" s="182" t="n">
        <v>0</v>
      </c>
      <c r="AL335" s="182" t="n">
        <v>0</v>
      </c>
      <c r="AM335" s="182" t="n">
        <v>0</v>
      </c>
      <c r="AN335" s="182" t="n">
        <v>0</v>
      </c>
    </row>
    <row r="336">
      <c r="A336" s="155" t="n">
        <v>46083</v>
      </c>
      <c r="B336" s="156" t="inlineStr">
        <is>
          <t>NS</t>
        </is>
      </c>
      <c r="C336" s="156" t="inlineStr">
        <is>
          <t>DZ-032</t>
        </is>
      </c>
      <c r="D336" s="156" t="inlineStr">
        <is>
          <t>CAT</t>
        </is>
      </c>
      <c r="E336" s="156" t="inlineStr">
        <is>
          <t>Bulldozer</t>
        </is>
      </c>
      <c r="F336" s="156" t="inlineStr"/>
      <c r="G336" s="182" t="n">
        <v>0</v>
      </c>
      <c r="H336" s="182" t="n">
        <v>0</v>
      </c>
      <c r="I336" s="182" t="n">
        <v>12</v>
      </c>
      <c r="J336" s="182" t="n">
        <v>12</v>
      </c>
      <c r="K336" s="182" t="n">
        <v>0</v>
      </c>
      <c r="L336" s="182" t="n">
        <v>12</v>
      </c>
      <c r="M336" s="182" t="n">
        <v>0</v>
      </c>
      <c r="N336" s="182" t="n">
        <v>0</v>
      </c>
      <c r="O336" s="183" t="n">
        <v>0</v>
      </c>
      <c r="P336" s="183" t="n">
        <v>0</v>
      </c>
      <c r="Q336" s="184" t="n">
        <v>0</v>
      </c>
      <c r="R336" s="184" t="n">
        <v>0</v>
      </c>
      <c r="S336" s="183" t="n">
        <v>0</v>
      </c>
      <c r="T336" s="183" t="n">
        <v>0</v>
      </c>
      <c r="U336" s="182" t="n">
        <v>0</v>
      </c>
      <c r="V336" s="182" t="n">
        <v>0</v>
      </c>
      <c r="W336" s="182" t="n">
        <v>0</v>
      </c>
      <c r="X336" s="182" t="n">
        <v>0</v>
      </c>
      <c r="Y336" s="182" t="n">
        <v>0</v>
      </c>
      <c r="Z336" s="182" t="n">
        <v>0</v>
      </c>
      <c r="AA336" s="182" t="n">
        <v>0</v>
      </c>
      <c r="AB336" s="182" t="n">
        <v>0</v>
      </c>
      <c r="AC336" s="182" t="n">
        <v>0</v>
      </c>
      <c r="AD336" s="182" t="n">
        <v>0</v>
      </c>
      <c r="AE336" s="182" t="n">
        <v>0</v>
      </c>
      <c r="AF336" s="182" t="n">
        <v>0</v>
      </c>
      <c r="AG336" s="182" t="n">
        <v>0</v>
      </c>
      <c r="AH336" s="182" t="n">
        <v>0</v>
      </c>
      <c r="AI336" s="182" t="n">
        <v>0</v>
      </c>
      <c r="AJ336" s="182" t="n">
        <v>0</v>
      </c>
      <c r="AK336" s="182" t="n">
        <v>0</v>
      </c>
      <c r="AL336" s="182" t="n">
        <v>0</v>
      </c>
      <c r="AM336" s="182" t="n">
        <v>0</v>
      </c>
      <c r="AN336" s="182" t="n">
        <v>0</v>
      </c>
    </row>
    <row r="337">
      <c r="A337" s="155" t="n">
        <v>46083</v>
      </c>
      <c r="B337" s="156" t="inlineStr">
        <is>
          <t>NS</t>
        </is>
      </c>
      <c r="C337" s="156" t="inlineStr">
        <is>
          <t>DZ-031</t>
        </is>
      </c>
      <c r="D337" s="156" t="inlineStr">
        <is>
          <t>CAT</t>
        </is>
      </c>
      <c r="E337" s="156" t="inlineStr">
        <is>
          <t>Bulldozer</t>
        </is>
      </c>
      <c r="F337" s="156" t="inlineStr">
        <is>
          <t>Support Front Loading</t>
        </is>
      </c>
      <c r="G337" s="182" t="n">
        <v>6.48</v>
      </c>
      <c r="H337" s="182" t="n">
        <v>0</v>
      </c>
      <c r="I337" s="182" t="n">
        <v>0.47</v>
      </c>
      <c r="J337" s="182" t="n">
        <v>0.47</v>
      </c>
      <c r="K337" s="182" t="n">
        <v>5.05</v>
      </c>
      <c r="L337" s="182" t="n">
        <v>12</v>
      </c>
      <c r="M337" s="182" t="n">
        <v>0</v>
      </c>
      <c r="N337" s="182" t="n">
        <v>0</v>
      </c>
      <c r="O337" s="183" t="n">
        <v>0</v>
      </c>
      <c r="P337" s="183" t="n">
        <v>0</v>
      </c>
      <c r="Q337" s="184" t="n">
        <v>0</v>
      </c>
      <c r="R337" s="184" t="n">
        <v>0</v>
      </c>
      <c r="S337" s="183" t="n">
        <v>0</v>
      </c>
      <c r="T337" s="183" t="n">
        <v>0</v>
      </c>
      <c r="U337" s="182" t="n">
        <v>3.39</v>
      </c>
      <c r="V337" s="182" t="n">
        <v>0</v>
      </c>
      <c r="W337" s="182" t="n">
        <v>0</v>
      </c>
      <c r="X337" s="182" t="n">
        <v>1</v>
      </c>
      <c r="Y337" s="182" t="n">
        <v>0</v>
      </c>
      <c r="Z337" s="182" t="n">
        <v>0</v>
      </c>
      <c r="AA337" s="182" t="n">
        <v>0</v>
      </c>
      <c r="AB337" s="182" t="n">
        <v>0</v>
      </c>
      <c r="AC337" s="182" t="n">
        <v>0</v>
      </c>
      <c r="AD337" s="182" t="n">
        <v>0</v>
      </c>
      <c r="AE337" s="182" t="n">
        <v>0</v>
      </c>
      <c r="AF337" s="182" t="n">
        <v>0</v>
      </c>
      <c r="AG337" s="182" t="n">
        <v>0</v>
      </c>
      <c r="AH337" s="182" t="n">
        <v>0</v>
      </c>
      <c r="AI337" s="182" t="n">
        <v>0</v>
      </c>
      <c r="AJ337" s="182" t="n">
        <v>0</v>
      </c>
      <c r="AK337" s="182" t="n">
        <v>0.57</v>
      </c>
      <c r="AL337" s="182" t="n">
        <v>0</v>
      </c>
      <c r="AM337" s="182" t="n">
        <v>0.08</v>
      </c>
      <c r="AN337" s="182" t="n">
        <v>0</v>
      </c>
    </row>
    <row r="338">
      <c r="A338" s="155" t="n">
        <v>46083</v>
      </c>
      <c r="B338" s="156" t="inlineStr">
        <is>
          <t>NS</t>
        </is>
      </c>
      <c r="C338" s="156" t="inlineStr">
        <is>
          <t>DZ-037</t>
        </is>
      </c>
      <c r="D338" s="156" t="inlineStr">
        <is>
          <t>D 85 ESS-2</t>
        </is>
      </c>
      <c r="E338" s="156" t="inlineStr">
        <is>
          <t>Bulldozer</t>
        </is>
      </c>
      <c r="F338" s="156" t="inlineStr"/>
      <c r="G338" s="182" t="n">
        <v>0</v>
      </c>
      <c r="H338" s="182" t="n">
        <v>0</v>
      </c>
      <c r="I338" s="182" t="n">
        <v>12</v>
      </c>
      <c r="J338" s="182" t="n">
        <v>12</v>
      </c>
      <c r="K338" s="182" t="n">
        <v>0</v>
      </c>
      <c r="L338" s="182" t="n">
        <v>12</v>
      </c>
      <c r="M338" s="182" t="n">
        <v>0</v>
      </c>
      <c r="N338" s="182" t="n">
        <v>0</v>
      </c>
      <c r="O338" s="183" t="n">
        <v>0</v>
      </c>
      <c r="P338" s="183" t="n">
        <v>0</v>
      </c>
      <c r="Q338" s="184" t="n">
        <v>0</v>
      </c>
      <c r="R338" s="184" t="n">
        <v>0</v>
      </c>
      <c r="S338" s="183" t="n">
        <v>0</v>
      </c>
      <c r="T338" s="183" t="n">
        <v>0</v>
      </c>
      <c r="U338" s="182" t="n">
        <v>0</v>
      </c>
      <c r="V338" s="182" t="n">
        <v>0</v>
      </c>
      <c r="W338" s="182" t="n">
        <v>0</v>
      </c>
      <c r="X338" s="182" t="n">
        <v>0</v>
      </c>
      <c r="Y338" s="182" t="n">
        <v>0</v>
      </c>
      <c r="Z338" s="182" t="n">
        <v>0</v>
      </c>
      <c r="AA338" s="182" t="n">
        <v>0</v>
      </c>
      <c r="AB338" s="182" t="n">
        <v>0</v>
      </c>
      <c r="AC338" s="182" t="n">
        <v>0</v>
      </c>
      <c r="AD338" s="182" t="n">
        <v>0</v>
      </c>
      <c r="AE338" s="182" t="n">
        <v>0</v>
      </c>
      <c r="AF338" s="182" t="n">
        <v>0</v>
      </c>
      <c r="AG338" s="182" t="n">
        <v>0</v>
      </c>
      <c r="AH338" s="182" t="n">
        <v>0</v>
      </c>
      <c r="AI338" s="182" t="n">
        <v>0</v>
      </c>
      <c r="AJ338" s="182" t="n">
        <v>0</v>
      </c>
      <c r="AK338" s="182" t="n">
        <v>0</v>
      </c>
      <c r="AL338" s="182" t="n">
        <v>0</v>
      </c>
      <c r="AM338" s="182" t="n">
        <v>0</v>
      </c>
      <c r="AN338" s="182" t="n">
        <v>0</v>
      </c>
    </row>
    <row r="339">
      <c r="A339" s="155" t="n">
        <v>46083</v>
      </c>
      <c r="B339" s="156" t="inlineStr">
        <is>
          <t>NS</t>
        </is>
      </c>
      <c r="C339" s="156" t="inlineStr">
        <is>
          <t>DZ-036</t>
        </is>
      </c>
      <c r="D339" s="156" t="inlineStr">
        <is>
          <t>D 85 ESS-2</t>
        </is>
      </c>
      <c r="E339" s="156" t="inlineStr">
        <is>
          <t>Bulldozer</t>
        </is>
      </c>
      <c r="F339" s="156" t="inlineStr"/>
      <c r="G339" s="182" t="n">
        <v>0</v>
      </c>
      <c r="H339" s="182" t="n">
        <v>0</v>
      </c>
      <c r="I339" s="182" t="n">
        <v>0</v>
      </c>
      <c r="J339" s="182" t="n">
        <v>0</v>
      </c>
      <c r="K339" s="182" t="n">
        <v>12</v>
      </c>
      <c r="L339" s="182" t="n">
        <v>12</v>
      </c>
      <c r="M339" s="182" t="n">
        <v>0</v>
      </c>
      <c r="N339" s="182" t="n">
        <v>0</v>
      </c>
      <c r="O339" s="183" t="n">
        <v>0</v>
      </c>
      <c r="P339" s="183" t="n">
        <v>0</v>
      </c>
      <c r="Q339" s="184" t="n">
        <v>0</v>
      </c>
      <c r="R339" s="184" t="n">
        <v>0</v>
      </c>
      <c r="S339" s="183" t="n">
        <v>0</v>
      </c>
      <c r="T339" s="183" t="n">
        <v>0</v>
      </c>
      <c r="U339" s="182" t="n">
        <v>0</v>
      </c>
      <c r="V339" s="182" t="n">
        <v>0</v>
      </c>
      <c r="W339" s="182" t="n">
        <v>0</v>
      </c>
      <c r="X339" s="182" t="n">
        <v>1</v>
      </c>
      <c r="Y339" s="182" t="n">
        <v>0</v>
      </c>
      <c r="Z339" s="182" t="n">
        <v>0</v>
      </c>
      <c r="AA339" s="182" t="n">
        <v>0</v>
      </c>
      <c r="AB339" s="182" t="n">
        <v>0</v>
      </c>
      <c r="AC339" s="182" t="n">
        <v>0</v>
      </c>
      <c r="AD339" s="182" t="n">
        <v>0</v>
      </c>
      <c r="AE339" s="182" t="n">
        <v>0</v>
      </c>
      <c r="AF339" s="182" t="n">
        <v>0</v>
      </c>
      <c r="AG339" s="182" t="n">
        <v>0</v>
      </c>
      <c r="AH339" s="182" t="n">
        <v>0</v>
      </c>
      <c r="AI339" s="182" t="n">
        <v>0</v>
      </c>
      <c r="AJ339" s="182" t="n">
        <v>0</v>
      </c>
      <c r="AK339" s="182" t="n">
        <v>10.92</v>
      </c>
      <c r="AL339" s="182" t="n">
        <v>0</v>
      </c>
      <c r="AM339" s="182" t="n">
        <v>0.08</v>
      </c>
      <c r="AN339" s="182" t="n">
        <v>0</v>
      </c>
    </row>
    <row r="340">
      <c r="A340" s="155" t="n">
        <v>46083</v>
      </c>
      <c r="B340" s="156" t="inlineStr">
        <is>
          <t>NS</t>
        </is>
      </c>
      <c r="C340" s="156" t="inlineStr">
        <is>
          <t>DZ-035</t>
        </is>
      </c>
      <c r="D340" s="156" t="inlineStr">
        <is>
          <t>D 85 ESS-2</t>
        </is>
      </c>
      <c r="E340" s="156" t="inlineStr">
        <is>
          <t>Bulldozer</t>
        </is>
      </c>
      <c r="F340" s="156" t="inlineStr">
        <is>
          <t>Support Disposal</t>
        </is>
      </c>
      <c r="G340" s="182" t="n">
        <v>7.61</v>
      </c>
      <c r="H340" s="182" t="n">
        <v>0</v>
      </c>
      <c r="I340" s="182" t="n">
        <v>0</v>
      </c>
      <c r="J340" s="182" t="n">
        <v>0</v>
      </c>
      <c r="K340" s="182" t="n">
        <v>4.39</v>
      </c>
      <c r="L340" s="182" t="n">
        <v>12</v>
      </c>
      <c r="M340" s="182" t="n">
        <v>0</v>
      </c>
      <c r="N340" s="182" t="n">
        <v>0</v>
      </c>
      <c r="O340" s="183" t="n">
        <v>0</v>
      </c>
      <c r="P340" s="183" t="n">
        <v>0</v>
      </c>
      <c r="Q340" s="184" t="n">
        <v>0</v>
      </c>
      <c r="R340" s="184" t="n">
        <v>0</v>
      </c>
      <c r="S340" s="183" t="n">
        <v>0</v>
      </c>
      <c r="T340" s="183" t="n">
        <v>0</v>
      </c>
      <c r="U340" s="182" t="n">
        <v>3.23</v>
      </c>
      <c r="V340" s="182" t="n">
        <v>0</v>
      </c>
      <c r="W340" s="182" t="n">
        <v>0</v>
      </c>
      <c r="X340" s="182" t="n">
        <v>0.95</v>
      </c>
      <c r="Y340" s="182" t="n">
        <v>0</v>
      </c>
      <c r="Z340" s="182" t="n">
        <v>0</v>
      </c>
      <c r="AA340" s="182" t="n">
        <v>0</v>
      </c>
      <c r="AB340" s="182" t="n">
        <v>0</v>
      </c>
      <c r="AC340" s="182" t="n">
        <v>0</v>
      </c>
      <c r="AD340" s="182" t="n">
        <v>0</v>
      </c>
      <c r="AE340" s="182" t="n">
        <v>0</v>
      </c>
      <c r="AF340" s="182" t="n">
        <v>0</v>
      </c>
      <c r="AG340" s="182" t="n">
        <v>0</v>
      </c>
      <c r="AH340" s="182" t="n">
        <v>0</v>
      </c>
      <c r="AI340" s="182" t="n">
        <v>0</v>
      </c>
      <c r="AJ340" s="182" t="n">
        <v>0</v>
      </c>
      <c r="AK340" s="182" t="n">
        <v>0.13</v>
      </c>
      <c r="AL340" s="182" t="n">
        <v>0</v>
      </c>
      <c r="AM340" s="182" t="n">
        <v>0.08</v>
      </c>
      <c r="AN340" s="182" t="n">
        <v>0</v>
      </c>
    </row>
    <row r="341">
      <c r="A341" s="155" t="n">
        <v>46083</v>
      </c>
      <c r="B341" s="156" t="inlineStr">
        <is>
          <t>NS</t>
        </is>
      </c>
      <c r="C341" s="156" t="inlineStr">
        <is>
          <t>CP-042</t>
        </is>
      </c>
      <c r="D341" s="156" t="inlineStr">
        <is>
          <t>SANY - Compactor</t>
        </is>
      </c>
      <c r="E341" s="156" t="inlineStr">
        <is>
          <t>Compactor</t>
        </is>
      </c>
      <c r="F341" s="156" t="inlineStr"/>
      <c r="G341" s="182" t="n">
        <v>0</v>
      </c>
      <c r="H341" s="182" t="n">
        <v>0</v>
      </c>
      <c r="I341" s="182" t="n">
        <v>0</v>
      </c>
      <c r="J341" s="182" t="n">
        <v>0</v>
      </c>
      <c r="K341" s="182" t="n">
        <v>12</v>
      </c>
      <c r="L341" s="182" t="n">
        <v>12</v>
      </c>
      <c r="M341" s="182" t="n">
        <v>0</v>
      </c>
      <c r="N341" s="182" t="n">
        <v>0</v>
      </c>
      <c r="O341" s="183" t="n">
        <v>0</v>
      </c>
      <c r="P341" s="183" t="n">
        <v>0</v>
      </c>
      <c r="Q341" s="184" t="n">
        <v>0</v>
      </c>
      <c r="R341" s="184" t="n">
        <v>0</v>
      </c>
      <c r="S341" s="183" t="n">
        <v>0</v>
      </c>
      <c r="T341" s="183" t="n">
        <v>0</v>
      </c>
      <c r="U341" s="182" t="n">
        <v>0</v>
      </c>
      <c r="V341" s="182" t="n">
        <v>0</v>
      </c>
      <c r="W341" s="182" t="n">
        <v>0</v>
      </c>
      <c r="X341" s="182" t="n">
        <v>1</v>
      </c>
      <c r="Y341" s="182" t="n">
        <v>0</v>
      </c>
      <c r="Z341" s="182" t="n">
        <v>0</v>
      </c>
      <c r="AA341" s="182" t="n">
        <v>0</v>
      </c>
      <c r="AB341" s="182" t="n">
        <v>0</v>
      </c>
      <c r="AC341" s="182" t="n">
        <v>0</v>
      </c>
      <c r="AD341" s="182" t="n">
        <v>0</v>
      </c>
      <c r="AE341" s="182" t="n">
        <v>0</v>
      </c>
      <c r="AF341" s="182" t="n">
        <v>0</v>
      </c>
      <c r="AG341" s="182" t="n">
        <v>0</v>
      </c>
      <c r="AH341" s="182" t="n">
        <v>0</v>
      </c>
      <c r="AI341" s="182" t="n">
        <v>0</v>
      </c>
      <c r="AJ341" s="182" t="n">
        <v>0</v>
      </c>
      <c r="AK341" s="182" t="n">
        <v>10.92</v>
      </c>
      <c r="AL341" s="182" t="n">
        <v>0</v>
      </c>
      <c r="AM341" s="182" t="n">
        <v>0.08</v>
      </c>
      <c r="AN341" s="182" t="n">
        <v>0</v>
      </c>
    </row>
    <row r="342">
      <c r="A342" s="155" t="n">
        <v>46083</v>
      </c>
      <c r="B342" s="156" t="inlineStr">
        <is>
          <t>NS</t>
        </is>
      </c>
      <c r="C342" s="156" t="inlineStr">
        <is>
          <t>CP-041</t>
        </is>
      </c>
      <c r="D342" s="156" t="inlineStr">
        <is>
          <t>SANY - Compactor</t>
        </is>
      </c>
      <c r="E342" s="156" t="inlineStr">
        <is>
          <t>Compactor</t>
        </is>
      </c>
      <c r="F342" s="156" t="inlineStr"/>
      <c r="G342" s="182" t="n">
        <v>0</v>
      </c>
      <c r="H342" s="182" t="n">
        <v>0</v>
      </c>
      <c r="I342" s="182" t="n">
        <v>0</v>
      </c>
      <c r="J342" s="182" t="n">
        <v>0</v>
      </c>
      <c r="K342" s="182" t="n">
        <v>12</v>
      </c>
      <c r="L342" s="182" t="n">
        <v>12</v>
      </c>
      <c r="M342" s="182" t="n">
        <v>0</v>
      </c>
      <c r="N342" s="182" t="n">
        <v>0</v>
      </c>
      <c r="O342" s="183" t="n">
        <v>0</v>
      </c>
      <c r="P342" s="183" t="n">
        <v>0</v>
      </c>
      <c r="Q342" s="184" t="n">
        <v>0</v>
      </c>
      <c r="R342" s="184" t="n">
        <v>0</v>
      </c>
      <c r="S342" s="183" t="n">
        <v>0</v>
      </c>
      <c r="T342" s="183" t="n">
        <v>0</v>
      </c>
      <c r="U342" s="182" t="n">
        <v>0</v>
      </c>
      <c r="V342" s="182" t="n">
        <v>0</v>
      </c>
      <c r="W342" s="182" t="n">
        <v>0</v>
      </c>
      <c r="X342" s="182" t="n">
        <v>1</v>
      </c>
      <c r="Y342" s="182" t="n">
        <v>0</v>
      </c>
      <c r="Z342" s="182" t="n">
        <v>0</v>
      </c>
      <c r="AA342" s="182" t="n">
        <v>0</v>
      </c>
      <c r="AB342" s="182" t="n">
        <v>0</v>
      </c>
      <c r="AC342" s="182" t="n">
        <v>0</v>
      </c>
      <c r="AD342" s="182" t="n">
        <v>0</v>
      </c>
      <c r="AE342" s="182" t="n">
        <v>0</v>
      </c>
      <c r="AF342" s="182" t="n">
        <v>0</v>
      </c>
      <c r="AG342" s="182" t="n">
        <v>0</v>
      </c>
      <c r="AH342" s="182" t="n">
        <v>0</v>
      </c>
      <c r="AI342" s="182" t="n">
        <v>0</v>
      </c>
      <c r="AJ342" s="182" t="n">
        <v>0</v>
      </c>
      <c r="AK342" s="182" t="n">
        <v>10.92</v>
      </c>
      <c r="AL342" s="182" t="n">
        <v>0</v>
      </c>
      <c r="AM342" s="182" t="n">
        <v>0.08</v>
      </c>
      <c r="AN342" s="182" t="n">
        <v>0</v>
      </c>
    </row>
    <row r="343">
      <c r="A343" s="155" t="n">
        <v>46083</v>
      </c>
      <c r="B343" s="156" t="inlineStr">
        <is>
          <t>NS</t>
        </is>
      </c>
      <c r="C343" s="156" t="inlineStr">
        <is>
          <t>HT-418</t>
        </is>
      </c>
      <c r="D343" s="156" t="inlineStr">
        <is>
          <t>SY430</t>
        </is>
      </c>
      <c r="E343" s="156" t="inlineStr">
        <is>
          <t>DT Hauling</t>
        </is>
      </c>
      <c r="F343" s="156" t="inlineStr"/>
      <c r="G343" s="182" t="n">
        <v>0</v>
      </c>
      <c r="H343" s="182" t="n">
        <v>0</v>
      </c>
      <c r="I343" s="182" t="n">
        <v>0</v>
      </c>
      <c r="J343" s="182" t="n">
        <v>0</v>
      </c>
      <c r="K343" s="182" t="n">
        <v>12</v>
      </c>
      <c r="L343" s="182" t="n">
        <v>12</v>
      </c>
      <c r="M343" s="182" t="n">
        <v>0</v>
      </c>
      <c r="N343" s="182" t="n">
        <v>0</v>
      </c>
      <c r="O343" s="183" t="n">
        <v>0</v>
      </c>
      <c r="P343" s="183" t="n">
        <v>0</v>
      </c>
      <c r="Q343" s="184" t="n">
        <v>0</v>
      </c>
      <c r="R343" s="184" t="n">
        <v>0</v>
      </c>
      <c r="S343" s="183" t="n">
        <v>0</v>
      </c>
      <c r="T343" s="183" t="n">
        <v>0</v>
      </c>
      <c r="U343" s="182" t="n">
        <v>0</v>
      </c>
      <c r="V343" s="182" t="n">
        <v>0</v>
      </c>
      <c r="W343" s="182" t="n">
        <v>0</v>
      </c>
      <c r="X343" s="182" t="n">
        <v>1</v>
      </c>
      <c r="Y343" s="182" t="n">
        <v>0</v>
      </c>
      <c r="Z343" s="182" t="n">
        <v>0</v>
      </c>
      <c r="AA343" s="182" t="n">
        <v>0</v>
      </c>
      <c r="AB343" s="182" t="n">
        <v>0</v>
      </c>
      <c r="AC343" s="182" t="n">
        <v>0</v>
      </c>
      <c r="AD343" s="182" t="n">
        <v>0</v>
      </c>
      <c r="AE343" s="182" t="n">
        <v>0</v>
      </c>
      <c r="AF343" s="182" t="n">
        <v>0</v>
      </c>
      <c r="AG343" s="182" t="n">
        <v>0</v>
      </c>
      <c r="AH343" s="182" t="n">
        <v>0</v>
      </c>
      <c r="AI343" s="182" t="n">
        <v>0</v>
      </c>
      <c r="AJ343" s="182" t="n">
        <v>0</v>
      </c>
      <c r="AK343" s="182" t="n">
        <v>10.92</v>
      </c>
      <c r="AL343" s="182" t="n">
        <v>0</v>
      </c>
      <c r="AM343" s="182" t="n">
        <v>0.08</v>
      </c>
      <c r="AN343" s="182" t="n">
        <v>0</v>
      </c>
    </row>
    <row r="344">
      <c r="A344" s="155" t="n">
        <v>46083</v>
      </c>
      <c r="B344" s="156" t="inlineStr">
        <is>
          <t>NS</t>
        </is>
      </c>
      <c r="C344" s="156" t="inlineStr">
        <is>
          <t>HT-404</t>
        </is>
      </c>
      <c r="D344" s="156" t="inlineStr">
        <is>
          <t>SY430</t>
        </is>
      </c>
      <c r="E344" s="156" t="inlineStr">
        <is>
          <t>DT Hauling</t>
        </is>
      </c>
      <c r="F344" s="156" t="inlineStr"/>
      <c r="G344" s="182" t="n">
        <v>0</v>
      </c>
      <c r="H344" s="182" t="n">
        <v>0</v>
      </c>
      <c r="I344" s="182" t="n">
        <v>0</v>
      </c>
      <c r="J344" s="182" t="n">
        <v>0</v>
      </c>
      <c r="K344" s="182" t="n">
        <v>12</v>
      </c>
      <c r="L344" s="182" t="n">
        <v>12</v>
      </c>
      <c r="M344" s="182" t="n">
        <v>0</v>
      </c>
      <c r="N344" s="182" t="n">
        <v>0</v>
      </c>
      <c r="O344" s="183" t="n">
        <v>0</v>
      </c>
      <c r="P344" s="183" t="n">
        <v>0</v>
      </c>
      <c r="Q344" s="184" t="n">
        <v>0</v>
      </c>
      <c r="R344" s="184" t="n">
        <v>0</v>
      </c>
      <c r="S344" s="183" t="n">
        <v>0</v>
      </c>
      <c r="T344" s="183" t="n">
        <v>0</v>
      </c>
      <c r="U344" s="182" t="n">
        <v>0</v>
      </c>
      <c r="V344" s="182" t="n">
        <v>0</v>
      </c>
      <c r="W344" s="182" t="n">
        <v>0</v>
      </c>
      <c r="X344" s="182" t="n">
        <v>1</v>
      </c>
      <c r="Y344" s="182" t="n">
        <v>0</v>
      </c>
      <c r="Z344" s="182" t="n">
        <v>0</v>
      </c>
      <c r="AA344" s="182" t="n">
        <v>0</v>
      </c>
      <c r="AB344" s="182" t="n">
        <v>0</v>
      </c>
      <c r="AC344" s="182" t="n">
        <v>0</v>
      </c>
      <c r="AD344" s="182" t="n">
        <v>0</v>
      </c>
      <c r="AE344" s="182" t="n">
        <v>0</v>
      </c>
      <c r="AF344" s="182" t="n">
        <v>0</v>
      </c>
      <c r="AG344" s="182" t="n">
        <v>0</v>
      </c>
      <c r="AH344" s="182" t="n">
        <v>0</v>
      </c>
      <c r="AI344" s="182" t="n">
        <v>0</v>
      </c>
      <c r="AJ344" s="182" t="n">
        <v>0</v>
      </c>
      <c r="AK344" s="182" t="n">
        <v>10.92</v>
      </c>
      <c r="AL344" s="182" t="n">
        <v>0</v>
      </c>
      <c r="AM344" s="182" t="n">
        <v>0.08</v>
      </c>
      <c r="AN344" s="182" t="n">
        <v>0</v>
      </c>
    </row>
    <row r="345">
      <c r="A345" s="155" t="n">
        <v>46083</v>
      </c>
      <c r="B345" s="156" t="inlineStr">
        <is>
          <t>NS</t>
        </is>
      </c>
      <c r="C345" s="156" t="inlineStr">
        <is>
          <t>HT-415</t>
        </is>
      </c>
      <c r="D345" s="156" t="inlineStr">
        <is>
          <t>SY430</t>
        </is>
      </c>
      <c r="E345" s="156" t="inlineStr">
        <is>
          <t>DT Hauling</t>
        </is>
      </c>
      <c r="F345" s="156" t="inlineStr"/>
      <c r="G345" s="182" t="n">
        <v>0</v>
      </c>
      <c r="H345" s="182" t="n">
        <v>0</v>
      </c>
      <c r="I345" s="182" t="n">
        <v>12</v>
      </c>
      <c r="J345" s="182" t="n">
        <v>12</v>
      </c>
      <c r="K345" s="182" t="n">
        <v>0</v>
      </c>
      <c r="L345" s="182" t="n">
        <v>12</v>
      </c>
      <c r="M345" s="182" t="n">
        <v>0</v>
      </c>
      <c r="N345" s="182" t="n">
        <v>0</v>
      </c>
      <c r="O345" s="183" t="n">
        <v>0</v>
      </c>
      <c r="P345" s="183" t="n">
        <v>0</v>
      </c>
      <c r="Q345" s="184" t="n">
        <v>0</v>
      </c>
      <c r="R345" s="184" t="n">
        <v>0</v>
      </c>
      <c r="S345" s="183" t="n">
        <v>0</v>
      </c>
      <c r="T345" s="183" t="n">
        <v>0</v>
      </c>
      <c r="U345" s="182" t="n">
        <v>0</v>
      </c>
      <c r="V345" s="182" t="n">
        <v>0</v>
      </c>
      <c r="W345" s="182" t="n">
        <v>0</v>
      </c>
      <c r="X345" s="182" t="n">
        <v>0</v>
      </c>
      <c r="Y345" s="182" t="n">
        <v>0</v>
      </c>
      <c r="Z345" s="182" t="n">
        <v>0</v>
      </c>
      <c r="AA345" s="182" t="n">
        <v>0</v>
      </c>
      <c r="AB345" s="182" t="n">
        <v>0</v>
      </c>
      <c r="AC345" s="182" t="n">
        <v>0</v>
      </c>
      <c r="AD345" s="182" t="n">
        <v>0</v>
      </c>
      <c r="AE345" s="182" t="n">
        <v>0</v>
      </c>
      <c r="AF345" s="182" t="n">
        <v>0</v>
      </c>
      <c r="AG345" s="182" t="n">
        <v>0</v>
      </c>
      <c r="AH345" s="182" t="n">
        <v>0</v>
      </c>
      <c r="AI345" s="182" t="n">
        <v>0</v>
      </c>
      <c r="AJ345" s="182" t="n">
        <v>0</v>
      </c>
      <c r="AK345" s="182" t="n">
        <v>0</v>
      </c>
      <c r="AL345" s="182" t="n">
        <v>0</v>
      </c>
      <c r="AM345" s="182" t="n">
        <v>0</v>
      </c>
      <c r="AN345" s="182" t="n">
        <v>0</v>
      </c>
    </row>
    <row r="346">
      <c r="A346" s="155" t="n">
        <v>46083</v>
      </c>
      <c r="B346" s="156" t="inlineStr">
        <is>
          <t>NS</t>
        </is>
      </c>
      <c r="C346" s="156" t="inlineStr">
        <is>
          <t>HT-406</t>
        </is>
      </c>
      <c r="D346" s="156" t="inlineStr">
        <is>
          <t>SY430</t>
        </is>
      </c>
      <c r="E346" s="156" t="inlineStr">
        <is>
          <t>DT Hauling</t>
        </is>
      </c>
      <c r="F346" s="156" t="inlineStr"/>
      <c r="G346" s="182" t="n">
        <v>0</v>
      </c>
      <c r="H346" s="182" t="n">
        <v>0</v>
      </c>
      <c r="I346" s="182" t="n">
        <v>12</v>
      </c>
      <c r="J346" s="182" t="n">
        <v>12</v>
      </c>
      <c r="K346" s="182" t="n">
        <v>0</v>
      </c>
      <c r="L346" s="182" t="n">
        <v>12</v>
      </c>
      <c r="M346" s="182" t="n">
        <v>0</v>
      </c>
      <c r="N346" s="182" t="n">
        <v>0</v>
      </c>
      <c r="O346" s="183" t="n">
        <v>0</v>
      </c>
      <c r="P346" s="183" t="n">
        <v>0</v>
      </c>
      <c r="Q346" s="184" t="n">
        <v>0</v>
      </c>
      <c r="R346" s="184" t="n">
        <v>0</v>
      </c>
      <c r="S346" s="183" t="n">
        <v>0</v>
      </c>
      <c r="T346" s="183" t="n">
        <v>0</v>
      </c>
      <c r="U346" s="182" t="n">
        <v>0</v>
      </c>
      <c r="V346" s="182" t="n">
        <v>0</v>
      </c>
      <c r="W346" s="182" t="n">
        <v>0</v>
      </c>
      <c r="X346" s="182" t="n">
        <v>0</v>
      </c>
      <c r="Y346" s="182" t="n">
        <v>0</v>
      </c>
      <c r="Z346" s="182" t="n">
        <v>0</v>
      </c>
      <c r="AA346" s="182" t="n">
        <v>0</v>
      </c>
      <c r="AB346" s="182" t="n">
        <v>0</v>
      </c>
      <c r="AC346" s="182" t="n">
        <v>0</v>
      </c>
      <c r="AD346" s="182" t="n">
        <v>0</v>
      </c>
      <c r="AE346" s="182" t="n">
        <v>0</v>
      </c>
      <c r="AF346" s="182" t="n">
        <v>0</v>
      </c>
      <c r="AG346" s="182" t="n">
        <v>0</v>
      </c>
      <c r="AH346" s="182" t="n">
        <v>0</v>
      </c>
      <c r="AI346" s="182" t="n">
        <v>0</v>
      </c>
      <c r="AJ346" s="182" t="n">
        <v>0</v>
      </c>
      <c r="AK346" s="182" t="n">
        <v>0</v>
      </c>
      <c r="AL346" s="182" t="n">
        <v>0</v>
      </c>
      <c r="AM346" s="182" t="n">
        <v>0</v>
      </c>
      <c r="AN346" s="182" t="n">
        <v>0</v>
      </c>
    </row>
    <row r="347">
      <c r="A347" s="155" t="n">
        <v>46083</v>
      </c>
      <c r="B347" s="156" t="inlineStr">
        <is>
          <t>NS</t>
        </is>
      </c>
      <c r="C347" s="156" t="inlineStr">
        <is>
          <t>HT-405</t>
        </is>
      </c>
      <c r="D347" s="156" t="inlineStr">
        <is>
          <t>SY430</t>
        </is>
      </c>
      <c r="E347" s="156" t="inlineStr">
        <is>
          <t>DT Hauling</t>
        </is>
      </c>
      <c r="F347" s="156" t="inlineStr"/>
      <c r="G347" s="182" t="n">
        <v>0</v>
      </c>
      <c r="H347" s="182" t="n">
        <v>0</v>
      </c>
      <c r="I347" s="182" t="n">
        <v>0</v>
      </c>
      <c r="J347" s="182" t="n">
        <v>0</v>
      </c>
      <c r="K347" s="182" t="n">
        <v>12</v>
      </c>
      <c r="L347" s="182" t="n">
        <v>12</v>
      </c>
      <c r="M347" s="182" t="n">
        <v>0</v>
      </c>
      <c r="N347" s="182" t="n">
        <v>0</v>
      </c>
      <c r="O347" s="183" t="n">
        <v>0</v>
      </c>
      <c r="P347" s="183" t="n">
        <v>0</v>
      </c>
      <c r="Q347" s="184" t="n">
        <v>0</v>
      </c>
      <c r="R347" s="184" t="n">
        <v>0</v>
      </c>
      <c r="S347" s="183" t="n">
        <v>0</v>
      </c>
      <c r="T347" s="183" t="n">
        <v>0</v>
      </c>
      <c r="U347" s="182" t="n">
        <v>0</v>
      </c>
      <c r="V347" s="182" t="n">
        <v>0</v>
      </c>
      <c r="W347" s="182" t="n">
        <v>0</v>
      </c>
      <c r="X347" s="182" t="n">
        <v>1</v>
      </c>
      <c r="Y347" s="182" t="n">
        <v>0</v>
      </c>
      <c r="Z347" s="182" t="n">
        <v>0</v>
      </c>
      <c r="AA347" s="182" t="n">
        <v>0</v>
      </c>
      <c r="AB347" s="182" t="n">
        <v>0</v>
      </c>
      <c r="AC347" s="182" t="n">
        <v>0</v>
      </c>
      <c r="AD347" s="182" t="n">
        <v>0</v>
      </c>
      <c r="AE347" s="182" t="n">
        <v>0</v>
      </c>
      <c r="AF347" s="182" t="n">
        <v>0</v>
      </c>
      <c r="AG347" s="182" t="n">
        <v>0</v>
      </c>
      <c r="AH347" s="182" t="n">
        <v>0</v>
      </c>
      <c r="AI347" s="182" t="n">
        <v>0</v>
      </c>
      <c r="AJ347" s="182" t="n">
        <v>0</v>
      </c>
      <c r="AK347" s="182" t="n">
        <v>10.92</v>
      </c>
      <c r="AL347" s="182" t="n">
        <v>0</v>
      </c>
      <c r="AM347" s="182" t="n">
        <v>0.08</v>
      </c>
      <c r="AN347" s="182" t="n">
        <v>0</v>
      </c>
    </row>
    <row r="348">
      <c r="A348" s="155" t="n">
        <v>46083</v>
      </c>
      <c r="B348" s="156" t="inlineStr">
        <is>
          <t>NS</t>
        </is>
      </c>
      <c r="C348" s="156" t="inlineStr">
        <is>
          <t>HT-417</t>
        </is>
      </c>
      <c r="D348" s="156" t="inlineStr">
        <is>
          <t>SY430</t>
        </is>
      </c>
      <c r="E348" s="156" t="inlineStr">
        <is>
          <t>DT Hauling</t>
        </is>
      </c>
      <c r="F348" s="156" t="inlineStr"/>
      <c r="G348" s="182" t="n">
        <v>0</v>
      </c>
      <c r="H348" s="182" t="n">
        <v>0</v>
      </c>
      <c r="I348" s="182" t="n">
        <v>12</v>
      </c>
      <c r="J348" s="182" t="n">
        <v>12</v>
      </c>
      <c r="K348" s="182" t="n">
        <v>0</v>
      </c>
      <c r="L348" s="182" t="n">
        <v>12</v>
      </c>
      <c r="M348" s="182" t="n">
        <v>0</v>
      </c>
      <c r="N348" s="182" t="n">
        <v>0</v>
      </c>
      <c r="O348" s="183" t="n">
        <v>0</v>
      </c>
      <c r="P348" s="183" t="n">
        <v>0</v>
      </c>
      <c r="Q348" s="184" t="n">
        <v>0</v>
      </c>
      <c r="R348" s="184" t="n">
        <v>0</v>
      </c>
      <c r="S348" s="183" t="n">
        <v>0</v>
      </c>
      <c r="T348" s="183" t="n">
        <v>0</v>
      </c>
      <c r="U348" s="182" t="n">
        <v>0</v>
      </c>
      <c r="V348" s="182" t="n">
        <v>0</v>
      </c>
      <c r="W348" s="182" t="n">
        <v>0</v>
      </c>
      <c r="X348" s="182" t="n">
        <v>0</v>
      </c>
      <c r="Y348" s="182" t="n">
        <v>0</v>
      </c>
      <c r="Z348" s="182" t="n">
        <v>0</v>
      </c>
      <c r="AA348" s="182" t="n">
        <v>0</v>
      </c>
      <c r="AB348" s="182" t="n">
        <v>0</v>
      </c>
      <c r="AC348" s="182" t="n">
        <v>0</v>
      </c>
      <c r="AD348" s="182" t="n">
        <v>0</v>
      </c>
      <c r="AE348" s="182" t="n">
        <v>0</v>
      </c>
      <c r="AF348" s="182" t="n">
        <v>0</v>
      </c>
      <c r="AG348" s="182" t="n">
        <v>0</v>
      </c>
      <c r="AH348" s="182" t="n">
        <v>0</v>
      </c>
      <c r="AI348" s="182" t="n">
        <v>0</v>
      </c>
      <c r="AJ348" s="182" t="n">
        <v>0</v>
      </c>
      <c r="AK348" s="182" t="n">
        <v>0</v>
      </c>
      <c r="AL348" s="182" t="n">
        <v>0</v>
      </c>
      <c r="AM348" s="182" t="n">
        <v>0</v>
      </c>
      <c r="AN348" s="182" t="n">
        <v>0</v>
      </c>
    </row>
    <row r="349">
      <c r="A349" s="155" t="n">
        <v>46083</v>
      </c>
      <c r="B349" s="156" t="inlineStr">
        <is>
          <t>NS</t>
        </is>
      </c>
      <c r="C349" s="156" t="inlineStr">
        <is>
          <t>HT-401</t>
        </is>
      </c>
      <c r="D349" s="156" t="inlineStr">
        <is>
          <t>SY430</t>
        </is>
      </c>
      <c r="E349" s="156" t="inlineStr">
        <is>
          <t>DT Hauling</t>
        </is>
      </c>
      <c r="F349" s="156" t="inlineStr"/>
      <c r="G349" s="182" t="n">
        <v>0</v>
      </c>
      <c r="H349" s="182" t="n">
        <v>0</v>
      </c>
      <c r="I349" s="182" t="n">
        <v>0</v>
      </c>
      <c r="J349" s="182" t="n">
        <v>0</v>
      </c>
      <c r="K349" s="182" t="n">
        <v>12</v>
      </c>
      <c r="L349" s="182" t="n">
        <v>12</v>
      </c>
      <c r="M349" s="182" t="n">
        <v>0</v>
      </c>
      <c r="N349" s="182" t="n">
        <v>0</v>
      </c>
      <c r="O349" s="183" t="n">
        <v>0</v>
      </c>
      <c r="P349" s="183" t="n">
        <v>0</v>
      </c>
      <c r="Q349" s="184" t="n">
        <v>0</v>
      </c>
      <c r="R349" s="184" t="n">
        <v>0</v>
      </c>
      <c r="S349" s="183" t="n">
        <v>0</v>
      </c>
      <c r="T349" s="183" t="n">
        <v>0</v>
      </c>
      <c r="U349" s="182" t="n">
        <v>0</v>
      </c>
      <c r="V349" s="182" t="n">
        <v>0</v>
      </c>
      <c r="W349" s="182" t="n">
        <v>0</v>
      </c>
      <c r="X349" s="182" t="n">
        <v>1</v>
      </c>
      <c r="Y349" s="182" t="n">
        <v>0</v>
      </c>
      <c r="Z349" s="182" t="n">
        <v>0</v>
      </c>
      <c r="AA349" s="182" t="n">
        <v>0</v>
      </c>
      <c r="AB349" s="182" t="n">
        <v>0</v>
      </c>
      <c r="AC349" s="182" t="n">
        <v>0</v>
      </c>
      <c r="AD349" s="182" t="n">
        <v>0</v>
      </c>
      <c r="AE349" s="182" t="n">
        <v>0</v>
      </c>
      <c r="AF349" s="182" t="n">
        <v>0</v>
      </c>
      <c r="AG349" s="182" t="n">
        <v>0</v>
      </c>
      <c r="AH349" s="182" t="n">
        <v>0</v>
      </c>
      <c r="AI349" s="182" t="n">
        <v>0</v>
      </c>
      <c r="AJ349" s="182" t="n">
        <v>0</v>
      </c>
      <c r="AK349" s="182" t="n">
        <v>10.92</v>
      </c>
      <c r="AL349" s="182" t="n">
        <v>0</v>
      </c>
      <c r="AM349" s="182" t="n">
        <v>0.08</v>
      </c>
      <c r="AN349" s="182" t="n">
        <v>0</v>
      </c>
    </row>
    <row r="350">
      <c r="A350" s="155" t="n">
        <v>46083</v>
      </c>
      <c r="B350" s="156" t="inlineStr">
        <is>
          <t>NS</t>
        </is>
      </c>
      <c r="C350" s="156" t="inlineStr">
        <is>
          <t>HT-410</t>
        </is>
      </c>
      <c r="D350" s="156" t="inlineStr">
        <is>
          <t>SY430</t>
        </is>
      </c>
      <c r="E350" s="156" t="inlineStr">
        <is>
          <t>DT Hauling</t>
        </is>
      </c>
      <c r="F350" s="156" t="inlineStr"/>
      <c r="G350" s="182" t="n">
        <v>0</v>
      </c>
      <c r="H350" s="182" t="n">
        <v>0</v>
      </c>
      <c r="I350" s="182" t="n">
        <v>0</v>
      </c>
      <c r="J350" s="182" t="n">
        <v>0</v>
      </c>
      <c r="K350" s="182" t="n">
        <v>12</v>
      </c>
      <c r="L350" s="182" t="n">
        <v>12</v>
      </c>
      <c r="M350" s="182" t="n">
        <v>0</v>
      </c>
      <c r="N350" s="182" t="n">
        <v>0</v>
      </c>
      <c r="O350" s="183" t="n">
        <v>0</v>
      </c>
      <c r="P350" s="183" t="n">
        <v>0</v>
      </c>
      <c r="Q350" s="184" t="n">
        <v>0</v>
      </c>
      <c r="R350" s="184" t="n">
        <v>0</v>
      </c>
      <c r="S350" s="183" t="n">
        <v>0</v>
      </c>
      <c r="T350" s="183" t="n">
        <v>0</v>
      </c>
      <c r="U350" s="182" t="n">
        <v>0</v>
      </c>
      <c r="V350" s="182" t="n">
        <v>0</v>
      </c>
      <c r="W350" s="182" t="n">
        <v>0</v>
      </c>
      <c r="X350" s="182" t="n">
        <v>1</v>
      </c>
      <c r="Y350" s="182" t="n">
        <v>0</v>
      </c>
      <c r="Z350" s="182" t="n">
        <v>0</v>
      </c>
      <c r="AA350" s="182" t="n">
        <v>0</v>
      </c>
      <c r="AB350" s="182" t="n">
        <v>0</v>
      </c>
      <c r="AC350" s="182" t="n">
        <v>0</v>
      </c>
      <c r="AD350" s="182" t="n">
        <v>0</v>
      </c>
      <c r="AE350" s="182" t="n">
        <v>0</v>
      </c>
      <c r="AF350" s="182" t="n">
        <v>0</v>
      </c>
      <c r="AG350" s="182" t="n">
        <v>0</v>
      </c>
      <c r="AH350" s="182" t="n">
        <v>0</v>
      </c>
      <c r="AI350" s="182" t="n">
        <v>0</v>
      </c>
      <c r="AJ350" s="182" t="n">
        <v>0</v>
      </c>
      <c r="AK350" s="182" t="n">
        <v>10.92</v>
      </c>
      <c r="AL350" s="182" t="n">
        <v>0</v>
      </c>
      <c r="AM350" s="182" t="n">
        <v>0.08</v>
      </c>
      <c r="AN350" s="182" t="n">
        <v>0</v>
      </c>
    </row>
    <row r="351">
      <c r="A351" s="155" t="n">
        <v>46083</v>
      </c>
      <c r="B351" s="156" t="inlineStr">
        <is>
          <t>NS</t>
        </is>
      </c>
      <c r="C351" s="156" t="inlineStr">
        <is>
          <t>HT-402</t>
        </is>
      </c>
      <c r="D351" s="156" t="inlineStr">
        <is>
          <t>SY430</t>
        </is>
      </c>
      <c r="E351" s="156" t="inlineStr">
        <is>
          <t>DT Hauling</t>
        </is>
      </c>
      <c r="F351" s="156" t="inlineStr"/>
      <c r="G351" s="182" t="n">
        <v>0</v>
      </c>
      <c r="H351" s="182" t="n">
        <v>0</v>
      </c>
      <c r="I351" s="182" t="n">
        <v>0</v>
      </c>
      <c r="J351" s="182" t="n">
        <v>0</v>
      </c>
      <c r="K351" s="182" t="n">
        <v>12</v>
      </c>
      <c r="L351" s="182" t="n">
        <v>12</v>
      </c>
      <c r="M351" s="182" t="n">
        <v>0</v>
      </c>
      <c r="N351" s="182" t="n">
        <v>0</v>
      </c>
      <c r="O351" s="183" t="n">
        <v>0</v>
      </c>
      <c r="P351" s="183" t="n">
        <v>0</v>
      </c>
      <c r="Q351" s="184" t="n">
        <v>0</v>
      </c>
      <c r="R351" s="184" t="n">
        <v>0</v>
      </c>
      <c r="S351" s="183" t="n">
        <v>0</v>
      </c>
      <c r="T351" s="183" t="n">
        <v>0</v>
      </c>
      <c r="U351" s="182" t="n">
        <v>0</v>
      </c>
      <c r="V351" s="182" t="n">
        <v>0</v>
      </c>
      <c r="W351" s="182" t="n">
        <v>0</v>
      </c>
      <c r="X351" s="182" t="n">
        <v>1</v>
      </c>
      <c r="Y351" s="182" t="n">
        <v>0</v>
      </c>
      <c r="Z351" s="182" t="n">
        <v>0</v>
      </c>
      <c r="AA351" s="182" t="n">
        <v>0</v>
      </c>
      <c r="AB351" s="182" t="n">
        <v>0</v>
      </c>
      <c r="AC351" s="182" t="n">
        <v>0</v>
      </c>
      <c r="AD351" s="182" t="n">
        <v>0</v>
      </c>
      <c r="AE351" s="182" t="n">
        <v>0</v>
      </c>
      <c r="AF351" s="182" t="n">
        <v>0</v>
      </c>
      <c r="AG351" s="182" t="n">
        <v>0</v>
      </c>
      <c r="AH351" s="182" t="n">
        <v>0</v>
      </c>
      <c r="AI351" s="182" t="n">
        <v>0</v>
      </c>
      <c r="AJ351" s="182" t="n">
        <v>0</v>
      </c>
      <c r="AK351" s="182" t="n">
        <v>10.92</v>
      </c>
      <c r="AL351" s="182" t="n">
        <v>0</v>
      </c>
      <c r="AM351" s="182" t="n">
        <v>0.08</v>
      </c>
      <c r="AN351" s="182" t="n">
        <v>0</v>
      </c>
    </row>
    <row r="352">
      <c r="A352" s="155" t="n">
        <v>46083</v>
      </c>
      <c r="B352" s="156" t="inlineStr">
        <is>
          <t>NS</t>
        </is>
      </c>
      <c r="C352" s="156" t="inlineStr">
        <is>
          <t>HT-419</t>
        </is>
      </c>
      <c r="D352" s="156" t="inlineStr">
        <is>
          <t>SY430</t>
        </is>
      </c>
      <c r="E352" s="156" t="inlineStr">
        <is>
          <t>DT Hauling</t>
        </is>
      </c>
      <c r="F352" s="156" t="inlineStr"/>
      <c r="G352" s="182" t="n">
        <v>0</v>
      </c>
      <c r="H352" s="182" t="n">
        <v>0</v>
      </c>
      <c r="I352" s="182" t="n">
        <v>0</v>
      </c>
      <c r="J352" s="182" t="n">
        <v>0</v>
      </c>
      <c r="K352" s="182" t="n">
        <v>12</v>
      </c>
      <c r="L352" s="182" t="n">
        <v>12</v>
      </c>
      <c r="M352" s="182" t="n">
        <v>0</v>
      </c>
      <c r="N352" s="182" t="n">
        <v>0</v>
      </c>
      <c r="O352" s="183" t="n">
        <v>0</v>
      </c>
      <c r="P352" s="183" t="n">
        <v>0</v>
      </c>
      <c r="Q352" s="184" t="n">
        <v>0</v>
      </c>
      <c r="R352" s="184" t="n">
        <v>0</v>
      </c>
      <c r="S352" s="183" t="n">
        <v>0</v>
      </c>
      <c r="T352" s="183" t="n">
        <v>0</v>
      </c>
      <c r="U352" s="182" t="n">
        <v>0</v>
      </c>
      <c r="V352" s="182" t="n">
        <v>0</v>
      </c>
      <c r="W352" s="182" t="n">
        <v>0</v>
      </c>
      <c r="X352" s="182" t="n">
        <v>1</v>
      </c>
      <c r="Y352" s="182" t="n">
        <v>0</v>
      </c>
      <c r="Z352" s="182" t="n">
        <v>0</v>
      </c>
      <c r="AA352" s="182" t="n">
        <v>0</v>
      </c>
      <c r="AB352" s="182" t="n">
        <v>0</v>
      </c>
      <c r="AC352" s="182" t="n">
        <v>0</v>
      </c>
      <c r="AD352" s="182" t="n">
        <v>0</v>
      </c>
      <c r="AE352" s="182" t="n">
        <v>0</v>
      </c>
      <c r="AF352" s="182" t="n">
        <v>0</v>
      </c>
      <c r="AG352" s="182" t="n">
        <v>0</v>
      </c>
      <c r="AH352" s="182" t="n">
        <v>0</v>
      </c>
      <c r="AI352" s="182" t="n">
        <v>0</v>
      </c>
      <c r="AJ352" s="182" t="n">
        <v>0</v>
      </c>
      <c r="AK352" s="182" t="n">
        <v>10.92</v>
      </c>
      <c r="AL352" s="182" t="n">
        <v>0</v>
      </c>
      <c r="AM352" s="182" t="n">
        <v>0.08</v>
      </c>
      <c r="AN352" s="182" t="n">
        <v>0</v>
      </c>
    </row>
    <row r="353">
      <c r="A353" s="155" t="n">
        <v>46083</v>
      </c>
      <c r="B353" s="156" t="inlineStr">
        <is>
          <t>NS</t>
        </is>
      </c>
      <c r="C353" s="156" t="inlineStr">
        <is>
          <t>HT-416</t>
        </is>
      </c>
      <c r="D353" s="156" t="inlineStr">
        <is>
          <t>SY430</t>
        </is>
      </c>
      <c r="E353" s="156" t="inlineStr">
        <is>
          <t>DT Hauling</t>
        </is>
      </c>
      <c r="F353" s="156" t="inlineStr"/>
      <c r="G353" s="182" t="n">
        <v>0</v>
      </c>
      <c r="H353" s="182" t="n">
        <v>0</v>
      </c>
      <c r="I353" s="182" t="n">
        <v>0</v>
      </c>
      <c r="J353" s="182" t="n">
        <v>0</v>
      </c>
      <c r="K353" s="182" t="n">
        <v>12</v>
      </c>
      <c r="L353" s="182" t="n">
        <v>12</v>
      </c>
      <c r="M353" s="182" t="n">
        <v>0</v>
      </c>
      <c r="N353" s="182" t="n">
        <v>0</v>
      </c>
      <c r="O353" s="183" t="n">
        <v>0</v>
      </c>
      <c r="P353" s="183" t="n">
        <v>0</v>
      </c>
      <c r="Q353" s="184" t="n">
        <v>0</v>
      </c>
      <c r="R353" s="184" t="n">
        <v>0</v>
      </c>
      <c r="S353" s="183" t="n">
        <v>0</v>
      </c>
      <c r="T353" s="183" t="n">
        <v>0</v>
      </c>
      <c r="U353" s="182" t="n">
        <v>0</v>
      </c>
      <c r="V353" s="182" t="n">
        <v>0</v>
      </c>
      <c r="W353" s="182" t="n">
        <v>0</v>
      </c>
      <c r="X353" s="182" t="n">
        <v>1</v>
      </c>
      <c r="Y353" s="182" t="n">
        <v>0</v>
      </c>
      <c r="Z353" s="182" t="n">
        <v>0</v>
      </c>
      <c r="AA353" s="182" t="n">
        <v>0</v>
      </c>
      <c r="AB353" s="182" t="n">
        <v>0</v>
      </c>
      <c r="AC353" s="182" t="n">
        <v>0</v>
      </c>
      <c r="AD353" s="182" t="n">
        <v>0</v>
      </c>
      <c r="AE353" s="182" t="n">
        <v>0</v>
      </c>
      <c r="AF353" s="182" t="n">
        <v>0</v>
      </c>
      <c r="AG353" s="182" t="n">
        <v>0</v>
      </c>
      <c r="AH353" s="182" t="n">
        <v>0</v>
      </c>
      <c r="AI353" s="182" t="n">
        <v>0</v>
      </c>
      <c r="AJ353" s="182" t="n">
        <v>0</v>
      </c>
      <c r="AK353" s="182" t="n">
        <v>10.92</v>
      </c>
      <c r="AL353" s="182" t="n">
        <v>0</v>
      </c>
      <c r="AM353" s="182" t="n">
        <v>0.08</v>
      </c>
      <c r="AN353" s="182" t="n">
        <v>0</v>
      </c>
    </row>
    <row r="354">
      <c r="A354" s="155" t="n">
        <v>46083</v>
      </c>
      <c r="B354" s="156" t="inlineStr">
        <is>
          <t>NS</t>
        </is>
      </c>
      <c r="C354" s="156" t="inlineStr">
        <is>
          <t>HT-420</t>
        </is>
      </c>
      <c r="D354" s="156" t="inlineStr">
        <is>
          <t>SY430</t>
        </is>
      </c>
      <c r="E354" s="156" t="inlineStr">
        <is>
          <t>DT Hauling</t>
        </is>
      </c>
      <c r="F354" s="156" t="inlineStr"/>
      <c r="G354" s="182" t="n">
        <v>0</v>
      </c>
      <c r="H354" s="182" t="n">
        <v>0</v>
      </c>
      <c r="I354" s="182" t="n">
        <v>0</v>
      </c>
      <c r="J354" s="182" t="n">
        <v>0</v>
      </c>
      <c r="K354" s="182" t="n">
        <v>12</v>
      </c>
      <c r="L354" s="182" t="n">
        <v>12</v>
      </c>
      <c r="M354" s="182" t="n">
        <v>0</v>
      </c>
      <c r="N354" s="182" t="n">
        <v>0</v>
      </c>
      <c r="O354" s="183" t="n">
        <v>0</v>
      </c>
      <c r="P354" s="183" t="n">
        <v>0</v>
      </c>
      <c r="Q354" s="184" t="n">
        <v>0</v>
      </c>
      <c r="R354" s="184" t="n">
        <v>0</v>
      </c>
      <c r="S354" s="183" t="n">
        <v>0</v>
      </c>
      <c r="T354" s="183" t="n">
        <v>0</v>
      </c>
      <c r="U354" s="182" t="n">
        <v>0</v>
      </c>
      <c r="V354" s="182" t="n">
        <v>0</v>
      </c>
      <c r="W354" s="182" t="n">
        <v>0</v>
      </c>
      <c r="X354" s="182" t="n">
        <v>1</v>
      </c>
      <c r="Y354" s="182" t="n">
        <v>0</v>
      </c>
      <c r="Z354" s="182" t="n">
        <v>0</v>
      </c>
      <c r="AA354" s="182" t="n">
        <v>0</v>
      </c>
      <c r="AB354" s="182" t="n">
        <v>0</v>
      </c>
      <c r="AC354" s="182" t="n">
        <v>0</v>
      </c>
      <c r="AD354" s="182" t="n">
        <v>0</v>
      </c>
      <c r="AE354" s="182" t="n">
        <v>0</v>
      </c>
      <c r="AF354" s="182" t="n">
        <v>0</v>
      </c>
      <c r="AG354" s="182" t="n">
        <v>0</v>
      </c>
      <c r="AH354" s="182" t="n">
        <v>0</v>
      </c>
      <c r="AI354" s="182" t="n">
        <v>0</v>
      </c>
      <c r="AJ354" s="182" t="n">
        <v>0</v>
      </c>
      <c r="AK354" s="182" t="n">
        <v>10.92</v>
      </c>
      <c r="AL354" s="182" t="n">
        <v>0</v>
      </c>
      <c r="AM354" s="182" t="n">
        <v>0.08</v>
      </c>
      <c r="AN354" s="182" t="n">
        <v>0</v>
      </c>
    </row>
    <row r="355">
      <c r="A355" s="155" t="n">
        <v>46083</v>
      </c>
      <c r="B355" s="156" t="inlineStr">
        <is>
          <t>NS</t>
        </is>
      </c>
      <c r="C355" s="156" t="inlineStr">
        <is>
          <t>HT-403</t>
        </is>
      </c>
      <c r="D355" s="156" t="inlineStr">
        <is>
          <t>SY430</t>
        </is>
      </c>
      <c r="E355" s="156" t="inlineStr">
        <is>
          <t>DT Hauling</t>
        </is>
      </c>
      <c r="F355" s="156" t="inlineStr"/>
      <c r="G355" s="182" t="n">
        <v>0</v>
      </c>
      <c r="H355" s="182" t="n">
        <v>0</v>
      </c>
      <c r="I355" s="182" t="n">
        <v>0</v>
      </c>
      <c r="J355" s="182" t="n">
        <v>0</v>
      </c>
      <c r="K355" s="182" t="n">
        <v>12</v>
      </c>
      <c r="L355" s="182" t="n">
        <v>12</v>
      </c>
      <c r="M355" s="182" t="n">
        <v>0</v>
      </c>
      <c r="N355" s="182" t="n">
        <v>0</v>
      </c>
      <c r="O355" s="183" t="n">
        <v>0</v>
      </c>
      <c r="P355" s="183" t="n">
        <v>0</v>
      </c>
      <c r="Q355" s="184" t="n">
        <v>0</v>
      </c>
      <c r="R355" s="184" t="n">
        <v>0</v>
      </c>
      <c r="S355" s="183" t="n">
        <v>0</v>
      </c>
      <c r="T355" s="183" t="n">
        <v>0</v>
      </c>
      <c r="U355" s="182" t="n">
        <v>0</v>
      </c>
      <c r="V355" s="182" t="n">
        <v>0</v>
      </c>
      <c r="W355" s="182" t="n">
        <v>0</v>
      </c>
      <c r="X355" s="182" t="n">
        <v>1</v>
      </c>
      <c r="Y355" s="182" t="n">
        <v>0</v>
      </c>
      <c r="Z355" s="182" t="n">
        <v>0</v>
      </c>
      <c r="AA355" s="182" t="n">
        <v>0</v>
      </c>
      <c r="AB355" s="182" t="n">
        <v>0</v>
      </c>
      <c r="AC355" s="182" t="n">
        <v>0</v>
      </c>
      <c r="AD355" s="182" t="n">
        <v>0</v>
      </c>
      <c r="AE355" s="182" t="n">
        <v>0</v>
      </c>
      <c r="AF355" s="182" t="n">
        <v>0</v>
      </c>
      <c r="AG355" s="182" t="n">
        <v>0</v>
      </c>
      <c r="AH355" s="182" t="n">
        <v>0</v>
      </c>
      <c r="AI355" s="182" t="n">
        <v>0</v>
      </c>
      <c r="AJ355" s="182" t="n">
        <v>0</v>
      </c>
      <c r="AK355" s="182" t="n">
        <v>10.92</v>
      </c>
      <c r="AL355" s="182" t="n">
        <v>0</v>
      </c>
      <c r="AM355" s="182" t="n">
        <v>0.08</v>
      </c>
      <c r="AN355" s="182" t="n">
        <v>0</v>
      </c>
    </row>
    <row r="356">
      <c r="A356" s="155" t="n">
        <v>46083</v>
      </c>
      <c r="B356" s="156" t="inlineStr">
        <is>
          <t>NS</t>
        </is>
      </c>
      <c r="C356" s="156" t="inlineStr">
        <is>
          <t>HT-408</t>
        </is>
      </c>
      <c r="D356" s="156" t="inlineStr">
        <is>
          <t>SY430</t>
        </is>
      </c>
      <c r="E356" s="156" t="inlineStr">
        <is>
          <t>DT Hauling</t>
        </is>
      </c>
      <c r="F356" s="156" t="inlineStr"/>
      <c r="G356" s="182" t="n">
        <v>0</v>
      </c>
      <c r="H356" s="182" t="n">
        <v>0</v>
      </c>
      <c r="I356" s="182" t="n">
        <v>0</v>
      </c>
      <c r="J356" s="182" t="n">
        <v>0</v>
      </c>
      <c r="K356" s="182" t="n">
        <v>12</v>
      </c>
      <c r="L356" s="182" t="n">
        <v>12</v>
      </c>
      <c r="M356" s="182" t="n">
        <v>0</v>
      </c>
      <c r="N356" s="182" t="n">
        <v>0</v>
      </c>
      <c r="O356" s="183" t="n">
        <v>0</v>
      </c>
      <c r="P356" s="183" t="n">
        <v>0</v>
      </c>
      <c r="Q356" s="184" t="n">
        <v>0</v>
      </c>
      <c r="R356" s="184" t="n">
        <v>0</v>
      </c>
      <c r="S356" s="183" t="n">
        <v>0</v>
      </c>
      <c r="T356" s="183" t="n">
        <v>0</v>
      </c>
      <c r="U356" s="182" t="n">
        <v>0</v>
      </c>
      <c r="V356" s="182" t="n">
        <v>0</v>
      </c>
      <c r="W356" s="182" t="n">
        <v>0</v>
      </c>
      <c r="X356" s="182" t="n">
        <v>1</v>
      </c>
      <c r="Y356" s="182" t="n">
        <v>0</v>
      </c>
      <c r="Z356" s="182" t="n">
        <v>0</v>
      </c>
      <c r="AA356" s="182" t="n">
        <v>0</v>
      </c>
      <c r="AB356" s="182" t="n">
        <v>0</v>
      </c>
      <c r="AC356" s="182" t="n">
        <v>0</v>
      </c>
      <c r="AD356" s="182" t="n">
        <v>0</v>
      </c>
      <c r="AE356" s="182" t="n">
        <v>0</v>
      </c>
      <c r="AF356" s="182" t="n">
        <v>0</v>
      </c>
      <c r="AG356" s="182" t="n">
        <v>0</v>
      </c>
      <c r="AH356" s="182" t="n">
        <v>0</v>
      </c>
      <c r="AI356" s="182" t="n">
        <v>0</v>
      </c>
      <c r="AJ356" s="182" t="n">
        <v>0</v>
      </c>
      <c r="AK356" s="182" t="n">
        <v>10.92</v>
      </c>
      <c r="AL356" s="182" t="n">
        <v>0</v>
      </c>
      <c r="AM356" s="182" t="n">
        <v>0.08</v>
      </c>
      <c r="AN356" s="182" t="n">
        <v>0</v>
      </c>
    </row>
    <row r="357">
      <c r="A357" s="155" t="n">
        <v>46083</v>
      </c>
      <c r="B357" s="156" t="inlineStr">
        <is>
          <t>NS</t>
        </is>
      </c>
      <c r="C357" s="156" t="inlineStr">
        <is>
          <t>HT-412</t>
        </is>
      </c>
      <c r="D357" s="156" t="inlineStr">
        <is>
          <t>SY430</t>
        </is>
      </c>
      <c r="E357" s="156" t="inlineStr">
        <is>
          <t>DT Hauling</t>
        </is>
      </c>
      <c r="F357" s="156" t="inlineStr"/>
      <c r="G357" s="182" t="n">
        <v>0</v>
      </c>
      <c r="H357" s="182" t="n">
        <v>0</v>
      </c>
      <c r="I357" s="182" t="n">
        <v>0</v>
      </c>
      <c r="J357" s="182" t="n">
        <v>0</v>
      </c>
      <c r="K357" s="182" t="n">
        <v>12</v>
      </c>
      <c r="L357" s="182" t="n">
        <v>12</v>
      </c>
      <c r="M357" s="182" t="n">
        <v>0</v>
      </c>
      <c r="N357" s="182" t="n">
        <v>0</v>
      </c>
      <c r="O357" s="183" t="n">
        <v>0</v>
      </c>
      <c r="P357" s="183" t="n">
        <v>0</v>
      </c>
      <c r="Q357" s="184" t="n">
        <v>0</v>
      </c>
      <c r="R357" s="184" t="n">
        <v>0</v>
      </c>
      <c r="S357" s="183" t="n">
        <v>0</v>
      </c>
      <c r="T357" s="183" t="n">
        <v>0</v>
      </c>
      <c r="U357" s="182" t="n">
        <v>0</v>
      </c>
      <c r="V357" s="182" t="n">
        <v>0</v>
      </c>
      <c r="W357" s="182" t="n">
        <v>0</v>
      </c>
      <c r="X357" s="182" t="n">
        <v>1</v>
      </c>
      <c r="Y357" s="182" t="n">
        <v>0</v>
      </c>
      <c r="Z357" s="182" t="n">
        <v>0</v>
      </c>
      <c r="AA357" s="182" t="n">
        <v>0</v>
      </c>
      <c r="AB357" s="182" t="n">
        <v>0</v>
      </c>
      <c r="AC357" s="182" t="n">
        <v>0</v>
      </c>
      <c r="AD357" s="182" t="n">
        <v>0</v>
      </c>
      <c r="AE357" s="182" t="n">
        <v>0</v>
      </c>
      <c r="AF357" s="182" t="n">
        <v>0</v>
      </c>
      <c r="AG357" s="182" t="n">
        <v>0</v>
      </c>
      <c r="AH357" s="182" t="n">
        <v>0</v>
      </c>
      <c r="AI357" s="182" t="n">
        <v>0</v>
      </c>
      <c r="AJ357" s="182" t="n">
        <v>0</v>
      </c>
      <c r="AK357" s="182" t="n">
        <v>10.92</v>
      </c>
      <c r="AL357" s="182" t="n">
        <v>0</v>
      </c>
      <c r="AM357" s="182" t="n">
        <v>0.08</v>
      </c>
      <c r="AN357" s="182" t="n">
        <v>0</v>
      </c>
    </row>
    <row r="358">
      <c r="A358" s="155" t="n">
        <v>46083</v>
      </c>
      <c r="B358" s="156" t="inlineStr">
        <is>
          <t>NS</t>
        </is>
      </c>
      <c r="C358" s="156" t="inlineStr">
        <is>
          <t>HT-413</t>
        </is>
      </c>
      <c r="D358" s="156" t="inlineStr">
        <is>
          <t>SY430</t>
        </is>
      </c>
      <c r="E358" s="156" t="inlineStr">
        <is>
          <t>DT Hauling</t>
        </is>
      </c>
      <c r="F358" s="156" t="inlineStr"/>
      <c r="G358" s="182" t="n">
        <v>0</v>
      </c>
      <c r="H358" s="182" t="n">
        <v>0</v>
      </c>
      <c r="I358" s="182" t="n">
        <v>12</v>
      </c>
      <c r="J358" s="182" t="n">
        <v>12</v>
      </c>
      <c r="K358" s="182" t="n">
        <v>0</v>
      </c>
      <c r="L358" s="182" t="n">
        <v>12</v>
      </c>
      <c r="M358" s="182" t="n">
        <v>0</v>
      </c>
      <c r="N358" s="182" t="n">
        <v>0</v>
      </c>
      <c r="O358" s="183" t="n">
        <v>0</v>
      </c>
      <c r="P358" s="183" t="n">
        <v>0</v>
      </c>
      <c r="Q358" s="184" t="n">
        <v>0</v>
      </c>
      <c r="R358" s="184" t="n">
        <v>0</v>
      </c>
      <c r="S358" s="183" t="n">
        <v>0</v>
      </c>
      <c r="T358" s="183" t="n">
        <v>0</v>
      </c>
      <c r="U358" s="182" t="n">
        <v>0</v>
      </c>
      <c r="V358" s="182" t="n">
        <v>0</v>
      </c>
      <c r="W358" s="182" t="n">
        <v>0</v>
      </c>
      <c r="X358" s="182" t="n">
        <v>0</v>
      </c>
      <c r="Y358" s="182" t="n">
        <v>0</v>
      </c>
      <c r="Z358" s="182" t="n">
        <v>0</v>
      </c>
      <c r="AA358" s="182" t="n">
        <v>0</v>
      </c>
      <c r="AB358" s="182" t="n">
        <v>0</v>
      </c>
      <c r="AC358" s="182" t="n">
        <v>0</v>
      </c>
      <c r="AD358" s="182" t="n">
        <v>0</v>
      </c>
      <c r="AE358" s="182" t="n">
        <v>0</v>
      </c>
      <c r="AF358" s="182" t="n">
        <v>0</v>
      </c>
      <c r="AG358" s="182" t="n">
        <v>0</v>
      </c>
      <c r="AH358" s="182" t="n">
        <v>0</v>
      </c>
      <c r="AI358" s="182" t="n">
        <v>0</v>
      </c>
      <c r="AJ358" s="182" t="n">
        <v>0</v>
      </c>
      <c r="AK358" s="182" t="n">
        <v>0</v>
      </c>
      <c r="AL358" s="182" t="n">
        <v>0</v>
      </c>
      <c r="AM358" s="182" t="n">
        <v>0</v>
      </c>
      <c r="AN358" s="182" t="n">
        <v>0</v>
      </c>
    </row>
    <row r="359">
      <c r="A359" s="155" t="n">
        <v>46083</v>
      </c>
      <c r="B359" s="156" t="inlineStr">
        <is>
          <t>NS</t>
        </is>
      </c>
      <c r="C359" s="156" t="inlineStr">
        <is>
          <t>HT-407</t>
        </is>
      </c>
      <c r="D359" s="156" t="inlineStr">
        <is>
          <t>SY430</t>
        </is>
      </c>
      <c r="E359" s="156" t="inlineStr">
        <is>
          <t>DT Hauling</t>
        </is>
      </c>
      <c r="F359" s="156" t="inlineStr"/>
      <c r="G359" s="182" t="n">
        <v>0</v>
      </c>
      <c r="H359" s="182" t="n">
        <v>0</v>
      </c>
      <c r="I359" s="182" t="n">
        <v>0</v>
      </c>
      <c r="J359" s="182" t="n">
        <v>0</v>
      </c>
      <c r="K359" s="182" t="n">
        <v>12</v>
      </c>
      <c r="L359" s="182" t="n">
        <v>12</v>
      </c>
      <c r="M359" s="182" t="n">
        <v>0</v>
      </c>
      <c r="N359" s="182" t="n">
        <v>0</v>
      </c>
      <c r="O359" s="183" t="n">
        <v>0</v>
      </c>
      <c r="P359" s="183" t="n">
        <v>0</v>
      </c>
      <c r="Q359" s="184" t="n">
        <v>0</v>
      </c>
      <c r="R359" s="184" t="n">
        <v>0</v>
      </c>
      <c r="S359" s="183" t="n">
        <v>0</v>
      </c>
      <c r="T359" s="183" t="n">
        <v>0</v>
      </c>
      <c r="U359" s="182" t="n">
        <v>0</v>
      </c>
      <c r="V359" s="182" t="n">
        <v>0</v>
      </c>
      <c r="W359" s="182" t="n">
        <v>0</v>
      </c>
      <c r="X359" s="182" t="n">
        <v>1</v>
      </c>
      <c r="Y359" s="182" t="n">
        <v>0</v>
      </c>
      <c r="Z359" s="182" t="n">
        <v>0</v>
      </c>
      <c r="AA359" s="182" t="n">
        <v>0</v>
      </c>
      <c r="AB359" s="182" t="n">
        <v>0</v>
      </c>
      <c r="AC359" s="182" t="n">
        <v>0</v>
      </c>
      <c r="AD359" s="182" t="n">
        <v>0</v>
      </c>
      <c r="AE359" s="182" t="n">
        <v>0</v>
      </c>
      <c r="AF359" s="182" t="n">
        <v>0</v>
      </c>
      <c r="AG359" s="182" t="n">
        <v>0</v>
      </c>
      <c r="AH359" s="182" t="n">
        <v>0</v>
      </c>
      <c r="AI359" s="182" t="n">
        <v>0</v>
      </c>
      <c r="AJ359" s="182" t="n">
        <v>0</v>
      </c>
      <c r="AK359" s="182" t="n">
        <v>10.92</v>
      </c>
      <c r="AL359" s="182" t="n">
        <v>0</v>
      </c>
      <c r="AM359" s="182" t="n">
        <v>0.08</v>
      </c>
      <c r="AN359" s="182" t="n">
        <v>0</v>
      </c>
    </row>
    <row r="360">
      <c r="A360" s="155" t="n">
        <v>46083</v>
      </c>
      <c r="B360" s="156" t="inlineStr">
        <is>
          <t>NS</t>
        </is>
      </c>
      <c r="C360" s="156" t="inlineStr">
        <is>
          <t>HT-414</t>
        </is>
      </c>
      <c r="D360" s="156" t="inlineStr">
        <is>
          <t>SY430</t>
        </is>
      </c>
      <c r="E360" s="156" t="inlineStr">
        <is>
          <t>DT Hauling</t>
        </is>
      </c>
      <c r="F360" s="156" t="inlineStr"/>
      <c r="G360" s="182" t="n">
        <v>0</v>
      </c>
      <c r="H360" s="182" t="n">
        <v>0</v>
      </c>
      <c r="I360" s="182" t="n">
        <v>0</v>
      </c>
      <c r="J360" s="182" t="n">
        <v>0</v>
      </c>
      <c r="K360" s="182" t="n">
        <v>12</v>
      </c>
      <c r="L360" s="182" t="n">
        <v>12</v>
      </c>
      <c r="M360" s="182" t="n">
        <v>0</v>
      </c>
      <c r="N360" s="182" t="n">
        <v>0</v>
      </c>
      <c r="O360" s="183" t="n">
        <v>0</v>
      </c>
      <c r="P360" s="183" t="n">
        <v>0</v>
      </c>
      <c r="Q360" s="184" t="n">
        <v>0</v>
      </c>
      <c r="R360" s="184" t="n">
        <v>0</v>
      </c>
      <c r="S360" s="183" t="n">
        <v>0</v>
      </c>
      <c r="T360" s="183" t="n">
        <v>0</v>
      </c>
      <c r="U360" s="182" t="n">
        <v>0</v>
      </c>
      <c r="V360" s="182" t="n">
        <v>0</v>
      </c>
      <c r="W360" s="182" t="n">
        <v>0</v>
      </c>
      <c r="X360" s="182" t="n">
        <v>1</v>
      </c>
      <c r="Y360" s="182" t="n">
        <v>0</v>
      </c>
      <c r="Z360" s="182" t="n">
        <v>0</v>
      </c>
      <c r="AA360" s="182" t="n">
        <v>0</v>
      </c>
      <c r="AB360" s="182" t="n">
        <v>0</v>
      </c>
      <c r="AC360" s="182" t="n">
        <v>0</v>
      </c>
      <c r="AD360" s="182" t="n">
        <v>0</v>
      </c>
      <c r="AE360" s="182" t="n">
        <v>0</v>
      </c>
      <c r="AF360" s="182" t="n">
        <v>0</v>
      </c>
      <c r="AG360" s="182" t="n">
        <v>0</v>
      </c>
      <c r="AH360" s="182" t="n">
        <v>0</v>
      </c>
      <c r="AI360" s="182" t="n">
        <v>0</v>
      </c>
      <c r="AJ360" s="182" t="n">
        <v>0</v>
      </c>
      <c r="AK360" s="182" t="n">
        <v>10.92</v>
      </c>
      <c r="AL360" s="182" t="n">
        <v>0</v>
      </c>
      <c r="AM360" s="182" t="n">
        <v>0.08</v>
      </c>
      <c r="AN360" s="182" t="n">
        <v>0</v>
      </c>
    </row>
    <row r="361">
      <c r="A361" s="155" t="n">
        <v>46083</v>
      </c>
      <c r="B361" s="156" t="inlineStr">
        <is>
          <t>NS</t>
        </is>
      </c>
      <c r="C361" s="156" t="inlineStr">
        <is>
          <t>HT-411</t>
        </is>
      </c>
      <c r="D361" s="156" t="inlineStr">
        <is>
          <t>SY430</t>
        </is>
      </c>
      <c r="E361" s="156" t="inlineStr">
        <is>
          <t>DT Hauling</t>
        </is>
      </c>
      <c r="F361" s="156" t="inlineStr"/>
      <c r="G361" s="182" t="n">
        <v>0</v>
      </c>
      <c r="H361" s="182" t="n">
        <v>0</v>
      </c>
      <c r="I361" s="182" t="n">
        <v>0</v>
      </c>
      <c r="J361" s="182" t="n">
        <v>0</v>
      </c>
      <c r="K361" s="182" t="n">
        <v>12</v>
      </c>
      <c r="L361" s="182" t="n">
        <v>12</v>
      </c>
      <c r="M361" s="182" t="n">
        <v>0</v>
      </c>
      <c r="N361" s="182" t="n">
        <v>0</v>
      </c>
      <c r="O361" s="183" t="n">
        <v>0</v>
      </c>
      <c r="P361" s="183" t="n">
        <v>0</v>
      </c>
      <c r="Q361" s="184" t="n">
        <v>0</v>
      </c>
      <c r="R361" s="184" t="n">
        <v>0</v>
      </c>
      <c r="S361" s="183" t="n">
        <v>0</v>
      </c>
      <c r="T361" s="183" t="n">
        <v>0</v>
      </c>
      <c r="U361" s="182" t="n">
        <v>0</v>
      </c>
      <c r="V361" s="182" t="n">
        <v>0</v>
      </c>
      <c r="W361" s="182" t="n">
        <v>0</v>
      </c>
      <c r="X361" s="182" t="n">
        <v>1</v>
      </c>
      <c r="Y361" s="182" t="n">
        <v>0</v>
      </c>
      <c r="Z361" s="182" t="n">
        <v>0</v>
      </c>
      <c r="AA361" s="182" t="n">
        <v>0</v>
      </c>
      <c r="AB361" s="182" t="n">
        <v>0</v>
      </c>
      <c r="AC361" s="182" t="n">
        <v>0</v>
      </c>
      <c r="AD361" s="182" t="n">
        <v>0</v>
      </c>
      <c r="AE361" s="182" t="n">
        <v>0</v>
      </c>
      <c r="AF361" s="182" t="n">
        <v>0</v>
      </c>
      <c r="AG361" s="182" t="n">
        <v>0</v>
      </c>
      <c r="AH361" s="182" t="n">
        <v>0</v>
      </c>
      <c r="AI361" s="182" t="n">
        <v>0</v>
      </c>
      <c r="AJ361" s="182" t="n">
        <v>0</v>
      </c>
      <c r="AK361" s="182" t="n">
        <v>10.92</v>
      </c>
      <c r="AL361" s="182" t="n">
        <v>0</v>
      </c>
      <c r="AM361" s="182" t="n">
        <v>0.08</v>
      </c>
      <c r="AN361" s="182" t="n">
        <v>0</v>
      </c>
    </row>
    <row r="362">
      <c r="A362" s="155" t="n">
        <v>46083</v>
      </c>
      <c r="B362" s="156" t="inlineStr">
        <is>
          <t>NS</t>
        </is>
      </c>
      <c r="C362" s="156" t="inlineStr">
        <is>
          <t>HT-409</t>
        </is>
      </c>
      <c r="D362" s="156" t="inlineStr">
        <is>
          <t>SY430</t>
        </is>
      </c>
      <c r="E362" s="156" t="inlineStr">
        <is>
          <t>DT Hauling</t>
        </is>
      </c>
      <c r="F362" s="156" t="inlineStr"/>
      <c r="G362" s="182" t="n">
        <v>0</v>
      </c>
      <c r="H362" s="182" t="n">
        <v>0</v>
      </c>
      <c r="I362" s="182" t="n">
        <v>0</v>
      </c>
      <c r="J362" s="182" t="n">
        <v>0</v>
      </c>
      <c r="K362" s="182" t="n">
        <v>12</v>
      </c>
      <c r="L362" s="182" t="n">
        <v>12</v>
      </c>
      <c r="M362" s="182" t="n">
        <v>0</v>
      </c>
      <c r="N362" s="182" t="n">
        <v>0</v>
      </c>
      <c r="O362" s="183" t="n">
        <v>0</v>
      </c>
      <c r="P362" s="183" t="n">
        <v>0</v>
      </c>
      <c r="Q362" s="184" t="n">
        <v>0</v>
      </c>
      <c r="R362" s="184" t="n">
        <v>0</v>
      </c>
      <c r="S362" s="183" t="n">
        <v>0</v>
      </c>
      <c r="T362" s="183" t="n">
        <v>0</v>
      </c>
      <c r="U362" s="182" t="n">
        <v>0</v>
      </c>
      <c r="V362" s="182" t="n">
        <v>0</v>
      </c>
      <c r="W362" s="182" t="n">
        <v>0</v>
      </c>
      <c r="X362" s="182" t="n">
        <v>1</v>
      </c>
      <c r="Y362" s="182" t="n">
        <v>0</v>
      </c>
      <c r="Z362" s="182" t="n">
        <v>0</v>
      </c>
      <c r="AA362" s="182" t="n">
        <v>0</v>
      </c>
      <c r="AB362" s="182" t="n">
        <v>0</v>
      </c>
      <c r="AC362" s="182" t="n">
        <v>0</v>
      </c>
      <c r="AD362" s="182" t="n">
        <v>0</v>
      </c>
      <c r="AE362" s="182" t="n">
        <v>0</v>
      </c>
      <c r="AF362" s="182" t="n">
        <v>0</v>
      </c>
      <c r="AG362" s="182" t="n">
        <v>0</v>
      </c>
      <c r="AH362" s="182" t="n">
        <v>0</v>
      </c>
      <c r="AI362" s="182" t="n">
        <v>0</v>
      </c>
      <c r="AJ362" s="182" t="n">
        <v>0</v>
      </c>
      <c r="AK362" s="182" t="n">
        <v>10.92</v>
      </c>
      <c r="AL362" s="182" t="n">
        <v>0</v>
      </c>
      <c r="AM362" s="182" t="n">
        <v>0.08</v>
      </c>
      <c r="AN362" s="182" t="n">
        <v>0</v>
      </c>
    </row>
    <row r="363">
      <c r="A363" s="155" t="n">
        <v>46083</v>
      </c>
      <c r="B363" s="156" t="inlineStr">
        <is>
          <t>NS</t>
        </is>
      </c>
      <c r="C363" s="156" t="inlineStr">
        <is>
          <t>DH-103</t>
        </is>
      </c>
      <c r="D363" s="156" t="inlineStr">
        <is>
          <t>HINO FM260</t>
        </is>
      </c>
      <c r="E363" s="156" t="inlineStr">
        <is>
          <t>DT Hino</t>
        </is>
      </c>
      <c r="F363" s="156" t="inlineStr"/>
      <c r="G363" s="182" t="n">
        <v>0</v>
      </c>
      <c r="H363" s="182" t="n">
        <v>0</v>
      </c>
      <c r="I363" s="182" t="n">
        <v>12</v>
      </c>
      <c r="J363" s="182" t="n">
        <v>12</v>
      </c>
      <c r="K363" s="182" t="n">
        <v>0</v>
      </c>
      <c r="L363" s="182" t="n">
        <v>12</v>
      </c>
      <c r="M363" s="182" t="n">
        <v>0</v>
      </c>
      <c r="N363" s="182" t="n">
        <v>0</v>
      </c>
      <c r="O363" s="183" t="n">
        <v>0</v>
      </c>
      <c r="P363" s="183" t="n">
        <v>0</v>
      </c>
      <c r="Q363" s="184" t="n">
        <v>0</v>
      </c>
      <c r="R363" s="184" t="n">
        <v>0</v>
      </c>
      <c r="S363" s="183" t="n">
        <v>0</v>
      </c>
      <c r="T363" s="183" t="n">
        <v>0</v>
      </c>
      <c r="U363" s="182" t="n">
        <v>0</v>
      </c>
      <c r="V363" s="182" t="n">
        <v>0</v>
      </c>
      <c r="W363" s="182" t="n">
        <v>0</v>
      </c>
      <c r="X363" s="182" t="n">
        <v>0</v>
      </c>
      <c r="Y363" s="182" t="n">
        <v>0</v>
      </c>
      <c r="Z363" s="182" t="n">
        <v>0</v>
      </c>
      <c r="AA363" s="182" t="n">
        <v>0</v>
      </c>
      <c r="AB363" s="182" t="n">
        <v>0</v>
      </c>
      <c r="AC363" s="182" t="n">
        <v>0</v>
      </c>
      <c r="AD363" s="182" t="n">
        <v>0</v>
      </c>
      <c r="AE363" s="182" t="n">
        <v>0</v>
      </c>
      <c r="AF363" s="182" t="n">
        <v>0</v>
      </c>
      <c r="AG363" s="182" t="n">
        <v>0</v>
      </c>
      <c r="AH363" s="182" t="n">
        <v>0</v>
      </c>
      <c r="AI363" s="182" t="n">
        <v>0</v>
      </c>
      <c r="AJ363" s="182" t="n">
        <v>0</v>
      </c>
      <c r="AK363" s="182" t="n">
        <v>0</v>
      </c>
      <c r="AL363" s="182" t="n">
        <v>0</v>
      </c>
      <c r="AM363" s="182" t="n">
        <v>0</v>
      </c>
      <c r="AN363" s="182" t="n">
        <v>0</v>
      </c>
    </row>
    <row r="364">
      <c r="A364" s="155" t="n">
        <v>46083</v>
      </c>
      <c r="B364" s="156" t="inlineStr">
        <is>
          <t>NS</t>
        </is>
      </c>
      <c r="C364" s="156" t="inlineStr">
        <is>
          <t>DH-102</t>
        </is>
      </c>
      <c r="D364" s="156" t="inlineStr">
        <is>
          <t>HINO FM260</t>
        </is>
      </c>
      <c r="E364" s="156" t="inlineStr">
        <is>
          <t>DT Hino</t>
        </is>
      </c>
      <c r="F364" s="156" t="inlineStr"/>
      <c r="G364" s="182" t="n">
        <v>0</v>
      </c>
      <c r="H364" s="182" t="n">
        <v>0</v>
      </c>
      <c r="I364" s="182" t="n">
        <v>0</v>
      </c>
      <c r="J364" s="182" t="n">
        <v>0</v>
      </c>
      <c r="K364" s="182" t="n">
        <v>12</v>
      </c>
      <c r="L364" s="182" t="n">
        <v>12</v>
      </c>
      <c r="M364" s="182" t="n">
        <v>0</v>
      </c>
      <c r="N364" s="182" t="n">
        <v>0</v>
      </c>
      <c r="O364" s="183" t="n">
        <v>0</v>
      </c>
      <c r="P364" s="183" t="n">
        <v>0</v>
      </c>
      <c r="Q364" s="184" t="n">
        <v>0</v>
      </c>
      <c r="R364" s="184" t="n">
        <v>0</v>
      </c>
      <c r="S364" s="183" t="n">
        <v>0</v>
      </c>
      <c r="T364" s="183" t="n">
        <v>0</v>
      </c>
      <c r="U364" s="182" t="n">
        <v>0</v>
      </c>
      <c r="V364" s="182" t="n">
        <v>0</v>
      </c>
      <c r="W364" s="182" t="n">
        <v>0</v>
      </c>
      <c r="X364" s="182" t="n">
        <v>1</v>
      </c>
      <c r="Y364" s="182" t="n">
        <v>0</v>
      </c>
      <c r="Z364" s="182" t="n">
        <v>0</v>
      </c>
      <c r="AA364" s="182" t="n">
        <v>0</v>
      </c>
      <c r="AB364" s="182" t="n">
        <v>0</v>
      </c>
      <c r="AC364" s="182" t="n">
        <v>0</v>
      </c>
      <c r="AD364" s="182" t="n">
        <v>0</v>
      </c>
      <c r="AE364" s="182" t="n">
        <v>0</v>
      </c>
      <c r="AF364" s="182" t="n">
        <v>0</v>
      </c>
      <c r="AG364" s="182" t="n">
        <v>0</v>
      </c>
      <c r="AH364" s="182" t="n">
        <v>0</v>
      </c>
      <c r="AI364" s="182" t="n">
        <v>0</v>
      </c>
      <c r="AJ364" s="182" t="n">
        <v>0</v>
      </c>
      <c r="AK364" s="182" t="n">
        <v>10.92</v>
      </c>
      <c r="AL364" s="182" t="n">
        <v>0</v>
      </c>
      <c r="AM364" s="182" t="n">
        <v>0.08</v>
      </c>
      <c r="AN364" s="182" t="n">
        <v>0</v>
      </c>
    </row>
    <row r="365">
      <c r="A365" s="155" t="n">
        <v>46083</v>
      </c>
      <c r="B365" s="156" t="inlineStr">
        <is>
          <t>NS</t>
        </is>
      </c>
      <c r="C365" s="156" t="inlineStr">
        <is>
          <t>DH-101</t>
        </is>
      </c>
      <c r="D365" s="156" t="inlineStr">
        <is>
          <t>HINO FM260</t>
        </is>
      </c>
      <c r="E365" s="156" t="inlineStr">
        <is>
          <t>DT Hino</t>
        </is>
      </c>
      <c r="F365" s="156" t="inlineStr"/>
      <c r="G365" s="182" t="n">
        <v>0</v>
      </c>
      <c r="H365" s="182" t="n">
        <v>0</v>
      </c>
      <c r="I365" s="182" t="n">
        <v>0</v>
      </c>
      <c r="J365" s="182" t="n">
        <v>0</v>
      </c>
      <c r="K365" s="182" t="n">
        <v>12</v>
      </c>
      <c r="L365" s="182" t="n">
        <v>12</v>
      </c>
      <c r="M365" s="182" t="n">
        <v>0</v>
      </c>
      <c r="N365" s="182" t="n">
        <v>0</v>
      </c>
      <c r="O365" s="183" t="n">
        <v>0</v>
      </c>
      <c r="P365" s="183" t="n">
        <v>0</v>
      </c>
      <c r="Q365" s="184" t="n">
        <v>0</v>
      </c>
      <c r="R365" s="184" t="n">
        <v>0</v>
      </c>
      <c r="S365" s="183" t="n">
        <v>0</v>
      </c>
      <c r="T365" s="183" t="n">
        <v>0</v>
      </c>
      <c r="U365" s="182" t="n">
        <v>0</v>
      </c>
      <c r="V365" s="182" t="n">
        <v>0</v>
      </c>
      <c r="W365" s="182" t="n">
        <v>0</v>
      </c>
      <c r="X365" s="182" t="n">
        <v>1</v>
      </c>
      <c r="Y365" s="182" t="n">
        <v>0</v>
      </c>
      <c r="Z365" s="182" t="n">
        <v>0</v>
      </c>
      <c r="AA365" s="182" t="n">
        <v>0</v>
      </c>
      <c r="AB365" s="182" t="n">
        <v>0</v>
      </c>
      <c r="AC365" s="182" t="n">
        <v>0</v>
      </c>
      <c r="AD365" s="182" t="n">
        <v>0</v>
      </c>
      <c r="AE365" s="182" t="n">
        <v>0</v>
      </c>
      <c r="AF365" s="182" t="n">
        <v>0</v>
      </c>
      <c r="AG365" s="182" t="n">
        <v>0</v>
      </c>
      <c r="AH365" s="182" t="n">
        <v>0</v>
      </c>
      <c r="AI365" s="182" t="n">
        <v>0</v>
      </c>
      <c r="AJ365" s="182" t="n">
        <v>0</v>
      </c>
      <c r="AK365" s="182" t="n">
        <v>10.92</v>
      </c>
      <c r="AL365" s="182" t="n">
        <v>0</v>
      </c>
      <c r="AM365" s="182" t="n">
        <v>0.08</v>
      </c>
      <c r="AN365" s="182" t="n">
        <v>0</v>
      </c>
    </row>
    <row r="366">
      <c r="A366" s="155" t="n">
        <v>46083</v>
      </c>
      <c r="B366" s="156" t="inlineStr">
        <is>
          <t>NS</t>
        </is>
      </c>
      <c r="C366" s="156" t="inlineStr">
        <is>
          <t>EX-1251</t>
        </is>
      </c>
      <c r="D366" s="156" t="inlineStr">
        <is>
          <t>SY1250</t>
        </is>
      </c>
      <c r="E366" s="156" t="inlineStr">
        <is>
          <t>Excavator</t>
        </is>
      </c>
      <c r="F366" s="156" t="inlineStr">
        <is>
          <t>Loading OB</t>
        </is>
      </c>
      <c r="G366" s="182" t="n">
        <v>5.69</v>
      </c>
      <c r="H366" s="182" t="n">
        <v>0</v>
      </c>
      <c r="I366" s="182" t="n">
        <v>0</v>
      </c>
      <c r="J366" s="182" t="n">
        <v>0</v>
      </c>
      <c r="K366" s="182" t="n">
        <v>6.31</v>
      </c>
      <c r="L366" s="182" t="n">
        <v>12</v>
      </c>
      <c r="M366" s="182" t="n">
        <v>4.32</v>
      </c>
      <c r="N366" s="182" t="n">
        <v>0</v>
      </c>
      <c r="O366" s="183" t="n">
        <v>87</v>
      </c>
      <c r="P366" s="183" t="n">
        <v>0</v>
      </c>
      <c r="Q366" s="184" t="n">
        <v>1774.8</v>
      </c>
      <c r="R366" s="184" t="n">
        <v>0</v>
      </c>
      <c r="S366" s="183" t="n">
        <v>0</v>
      </c>
      <c r="T366" s="183" t="n">
        <v>0</v>
      </c>
      <c r="U366" s="182" t="n">
        <v>3.4</v>
      </c>
      <c r="V366" s="182" t="n">
        <v>1.82</v>
      </c>
      <c r="W366" s="182" t="n">
        <v>0</v>
      </c>
      <c r="X366" s="182" t="n">
        <v>1.01</v>
      </c>
      <c r="Y366" s="182" t="n">
        <v>0</v>
      </c>
      <c r="Z366" s="182" t="n">
        <v>0</v>
      </c>
      <c r="AA366" s="182" t="n">
        <v>0</v>
      </c>
      <c r="AB366" s="182" t="n">
        <v>0</v>
      </c>
      <c r="AC366" s="182" t="n">
        <v>0</v>
      </c>
      <c r="AD366" s="182" t="n">
        <v>0</v>
      </c>
      <c r="AE366" s="182" t="n">
        <v>0</v>
      </c>
      <c r="AF366" s="182" t="n">
        <v>0</v>
      </c>
      <c r="AG366" s="182" t="n">
        <v>0</v>
      </c>
      <c r="AH366" s="182" t="n">
        <v>0</v>
      </c>
      <c r="AI366" s="182" t="n">
        <v>0</v>
      </c>
      <c r="AJ366" s="182" t="n">
        <v>0</v>
      </c>
      <c r="AK366" s="182" t="n">
        <v>0</v>
      </c>
      <c r="AL366" s="182" t="n">
        <v>0</v>
      </c>
      <c r="AM366" s="182" t="n">
        <v>0.08</v>
      </c>
      <c r="AN366" s="182" t="n">
        <v>0</v>
      </c>
    </row>
    <row r="367">
      <c r="A367" s="155" t="n">
        <v>46083</v>
      </c>
      <c r="B367" s="156" t="inlineStr">
        <is>
          <t>NS</t>
        </is>
      </c>
      <c r="C367" s="156" t="inlineStr">
        <is>
          <t>EX-1252</t>
        </is>
      </c>
      <c r="D367" s="156" t="inlineStr">
        <is>
          <t>SY1250</t>
        </is>
      </c>
      <c r="E367" s="156" t="inlineStr">
        <is>
          <t>Excavator</t>
        </is>
      </c>
      <c r="F367" s="156" t="inlineStr"/>
      <c r="G367" s="182" t="n">
        <v>0</v>
      </c>
      <c r="H367" s="182" t="n">
        <v>0</v>
      </c>
      <c r="I367" s="182" t="n">
        <v>12</v>
      </c>
      <c r="J367" s="182" t="n">
        <v>12</v>
      </c>
      <c r="K367" s="182" t="n">
        <v>0</v>
      </c>
      <c r="L367" s="182" t="n">
        <v>12</v>
      </c>
      <c r="M367" s="182" t="n">
        <v>0</v>
      </c>
      <c r="N367" s="182" t="n">
        <v>0</v>
      </c>
      <c r="O367" s="183" t="n">
        <v>0</v>
      </c>
      <c r="P367" s="183" t="n">
        <v>0</v>
      </c>
      <c r="Q367" s="184" t="n">
        <v>0</v>
      </c>
      <c r="R367" s="184" t="n">
        <v>0</v>
      </c>
      <c r="S367" s="183" t="n">
        <v>0</v>
      </c>
      <c r="T367" s="183" t="n">
        <v>0</v>
      </c>
      <c r="U367" s="182" t="n">
        <v>0</v>
      </c>
      <c r="V367" s="182" t="n">
        <v>0</v>
      </c>
      <c r="W367" s="182" t="n">
        <v>0</v>
      </c>
      <c r="X367" s="182" t="n">
        <v>0</v>
      </c>
      <c r="Y367" s="182" t="n">
        <v>0</v>
      </c>
      <c r="Z367" s="182" t="n">
        <v>0</v>
      </c>
      <c r="AA367" s="182" t="n">
        <v>0</v>
      </c>
      <c r="AB367" s="182" t="n">
        <v>0</v>
      </c>
      <c r="AC367" s="182" t="n">
        <v>0</v>
      </c>
      <c r="AD367" s="182" t="n">
        <v>0</v>
      </c>
      <c r="AE367" s="182" t="n">
        <v>0</v>
      </c>
      <c r="AF367" s="182" t="n">
        <v>0</v>
      </c>
      <c r="AG367" s="182" t="n">
        <v>0</v>
      </c>
      <c r="AH367" s="182" t="n">
        <v>0</v>
      </c>
      <c r="AI367" s="182" t="n">
        <v>0</v>
      </c>
      <c r="AJ367" s="182" t="n">
        <v>0</v>
      </c>
      <c r="AK367" s="182" t="n">
        <v>0</v>
      </c>
      <c r="AL367" s="182" t="n">
        <v>0</v>
      </c>
      <c r="AM367" s="182" t="n">
        <v>0</v>
      </c>
      <c r="AN367" s="182" t="n">
        <v>0</v>
      </c>
    </row>
    <row r="368">
      <c r="A368" s="155" t="n">
        <v>46083</v>
      </c>
      <c r="B368" s="156" t="inlineStr">
        <is>
          <t>NS</t>
        </is>
      </c>
      <c r="C368" s="156" t="inlineStr">
        <is>
          <t>EX-2101</t>
        </is>
      </c>
      <c r="D368" s="156" t="inlineStr">
        <is>
          <t>SY2000</t>
        </is>
      </c>
      <c r="E368" s="156" t="inlineStr">
        <is>
          <t>Excavator</t>
        </is>
      </c>
      <c r="F368" s="156" t="inlineStr">
        <is>
          <t>Running isi baterai</t>
        </is>
      </c>
      <c r="G368" s="182" t="n">
        <v>0.92</v>
      </c>
      <c r="H368" s="182" t="n">
        <v>0</v>
      </c>
      <c r="I368" s="182" t="n">
        <v>8.9</v>
      </c>
      <c r="J368" s="182" t="n">
        <v>8.9</v>
      </c>
      <c r="K368" s="182" t="n">
        <v>2.18</v>
      </c>
      <c r="L368" s="182" t="n">
        <v>12</v>
      </c>
      <c r="M368" s="182" t="n">
        <v>0</v>
      </c>
      <c r="N368" s="182" t="n">
        <v>0</v>
      </c>
      <c r="O368" s="183" t="n">
        <v>0</v>
      </c>
      <c r="P368" s="183" t="n">
        <v>0</v>
      </c>
      <c r="Q368" s="184" t="n">
        <v>0</v>
      </c>
      <c r="R368" s="184" t="n">
        <v>0</v>
      </c>
      <c r="S368" s="183" t="n">
        <v>0</v>
      </c>
      <c r="T368" s="183" t="n">
        <v>0</v>
      </c>
      <c r="U368" s="182" t="n">
        <v>0</v>
      </c>
      <c r="V368" s="182" t="n">
        <v>1.05</v>
      </c>
      <c r="W368" s="182" t="n">
        <v>0</v>
      </c>
      <c r="X368" s="182" t="n">
        <v>1.05</v>
      </c>
      <c r="Y368" s="182" t="n">
        <v>0</v>
      </c>
      <c r="Z368" s="182" t="n">
        <v>0</v>
      </c>
      <c r="AA368" s="182" t="n">
        <v>0</v>
      </c>
      <c r="AB368" s="182" t="n">
        <v>0</v>
      </c>
      <c r="AC368" s="182" t="n">
        <v>0</v>
      </c>
      <c r="AD368" s="182" t="n">
        <v>0</v>
      </c>
      <c r="AE368" s="182" t="n">
        <v>0</v>
      </c>
      <c r="AF368" s="182" t="n">
        <v>0</v>
      </c>
      <c r="AG368" s="182" t="n">
        <v>0</v>
      </c>
      <c r="AH368" s="182" t="n">
        <v>0</v>
      </c>
      <c r="AI368" s="182" t="n">
        <v>0</v>
      </c>
      <c r="AJ368" s="182" t="n">
        <v>0</v>
      </c>
      <c r="AK368" s="182" t="n">
        <v>0</v>
      </c>
      <c r="AL368" s="182" t="n">
        <v>0</v>
      </c>
      <c r="AM368" s="182" t="n">
        <v>0.08</v>
      </c>
      <c r="AN368" s="182" t="n">
        <v>0</v>
      </c>
    </row>
    <row r="369">
      <c r="A369" s="155" t="n">
        <v>46083</v>
      </c>
      <c r="B369" s="156" t="inlineStr">
        <is>
          <t>NS</t>
        </is>
      </c>
      <c r="C369" s="156" t="inlineStr">
        <is>
          <t>EX-222</t>
        </is>
      </c>
      <c r="D369" s="156" t="inlineStr">
        <is>
          <t>PC 200-8MI</t>
        </is>
      </c>
      <c r="E369" s="156" t="inlineStr">
        <is>
          <t>Excavator</t>
        </is>
      </c>
      <c r="F369" s="156" t="inlineStr">
        <is>
          <t>Support Washing Plant</t>
        </is>
      </c>
      <c r="G369" s="182" t="n">
        <v>12</v>
      </c>
      <c r="H369" s="182" t="n">
        <v>0</v>
      </c>
      <c r="I369" s="182" t="n">
        <v>0</v>
      </c>
      <c r="J369" s="182" t="n">
        <v>0</v>
      </c>
      <c r="K369" s="182" t="n">
        <v>0</v>
      </c>
      <c r="L369" s="182" t="n">
        <v>12</v>
      </c>
      <c r="M369" s="182" t="n">
        <v>0</v>
      </c>
      <c r="N369" s="182" t="n">
        <v>0</v>
      </c>
      <c r="O369" s="183" t="n">
        <v>0</v>
      </c>
      <c r="P369" s="183" t="n">
        <v>0</v>
      </c>
      <c r="Q369" s="184" t="n">
        <v>0</v>
      </c>
      <c r="R369" s="184" t="n">
        <v>0</v>
      </c>
      <c r="S369" s="183" t="n">
        <v>0</v>
      </c>
      <c r="T369" s="183" t="n">
        <v>0</v>
      </c>
      <c r="U369" s="182" t="n">
        <v>0</v>
      </c>
      <c r="V369" s="182" t="n">
        <v>0</v>
      </c>
      <c r="W369" s="182" t="n">
        <v>0</v>
      </c>
      <c r="X369" s="182" t="n">
        <v>0</v>
      </c>
      <c r="Y369" s="182" t="n">
        <v>0</v>
      </c>
      <c r="Z369" s="182" t="n">
        <v>0</v>
      </c>
      <c r="AA369" s="182" t="n">
        <v>0</v>
      </c>
      <c r="AB369" s="182" t="n">
        <v>0</v>
      </c>
      <c r="AC369" s="182" t="n">
        <v>0</v>
      </c>
      <c r="AD369" s="182" t="n">
        <v>0</v>
      </c>
      <c r="AE369" s="182" t="n">
        <v>0</v>
      </c>
      <c r="AF369" s="182" t="n">
        <v>0</v>
      </c>
      <c r="AG369" s="182" t="n">
        <v>0</v>
      </c>
      <c r="AH369" s="182" t="n">
        <v>0</v>
      </c>
      <c r="AI369" s="182" t="n">
        <v>0</v>
      </c>
      <c r="AJ369" s="182" t="n">
        <v>0</v>
      </c>
      <c r="AK369" s="182" t="n">
        <v>0</v>
      </c>
      <c r="AL369" s="182" t="n">
        <v>0</v>
      </c>
      <c r="AM369" s="182" t="n">
        <v>0</v>
      </c>
      <c r="AN369" s="182" t="n">
        <v>0</v>
      </c>
    </row>
    <row r="370">
      <c r="A370" s="155" t="n">
        <v>46083</v>
      </c>
      <c r="B370" s="156" t="inlineStr">
        <is>
          <t>NS</t>
        </is>
      </c>
      <c r="C370" s="156" t="inlineStr">
        <is>
          <t>EX-225</t>
        </is>
      </c>
      <c r="D370" s="156" t="inlineStr">
        <is>
          <t>PC 200-8</t>
        </is>
      </c>
      <c r="E370" s="156" t="inlineStr">
        <is>
          <t>Excavator</t>
        </is>
      </c>
      <c r="F370" s="156" t="inlineStr"/>
      <c r="G370" s="182" t="n">
        <v>0</v>
      </c>
      <c r="H370" s="182" t="n">
        <v>0</v>
      </c>
      <c r="I370" s="182" t="n">
        <v>12</v>
      </c>
      <c r="J370" s="182" t="n">
        <v>12</v>
      </c>
      <c r="K370" s="182" t="n">
        <v>0</v>
      </c>
      <c r="L370" s="182" t="n">
        <v>12</v>
      </c>
      <c r="M370" s="182" t="n">
        <v>0</v>
      </c>
      <c r="N370" s="182" t="n">
        <v>0</v>
      </c>
      <c r="O370" s="183" t="n">
        <v>0</v>
      </c>
      <c r="P370" s="183" t="n">
        <v>0</v>
      </c>
      <c r="Q370" s="184" t="n">
        <v>0</v>
      </c>
      <c r="R370" s="184" t="n">
        <v>0</v>
      </c>
      <c r="S370" s="183" t="n">
        <v>0</v>
      </c>
      <c r="T370" s="183" t="n">
        <v>0</v>
      </c>
      <c r="U370" s="182" t="n">
        <v>0</v>
      </c>
      <c r="V370" s="182" t="n">
        <v>0</v>
      </c>
      <c r="W370" s="182" t="n">
        <v>0</v>
      </c>
      <c r="X370" s="182" t="n">
        <v>0</v>
      </c>
      <c r="Y370" s="182" t="n">
        <v>0</v>
      </c>
      <c r="Z370" s="182" t="n">
        <v>0</v>
      </c>
      <c r="AA370" s="182" t="n">
        <v>0</v>
      </c>
      <c r="AB370" s="182" t="n">
        <v>0</v>
      </c>
      <c r="AC370" s="182" t="n">
        <v>0</v>
      </c>
      <c r="AD370" s="182" t="n">
        <v>0</v>
      </c>
      <c r="AE370" s="182" t="n">
        <v>0</v>
      </c>
      <c r="AF370" s="182" t="n">
        <v>0</v>
      </c>
      <c r="AG370" s="182" t="n">
        <v>0</v>
      </c>
      <c r="AH370" s="182" t="n">
        <v>0</v>
      </c>
      <c r="AI370" s="182" t="n">
        <v>0</v>
      </c>
      <c r="AJ370" s="182" t="n">
        <v>0</v>
      </c>
      <c r="AK370" s="182" t="n">
        <v>0</v>
      </c>
      <c r="AL370" s="182" t="n">
        <v>0</v>
      </c>
      <c r="AM370" s="182" t="n">
        <v>0</v>
      </c>
      <c r="AN370" s="182" t="n">
        <v>0</v>
      </c>
    </row>
    <row r="371">
      <c r="A371" s="155" t="n">
        <v>46083</v>
      </c>
      <c r="B371" s="156" t="inlineStr">
        <is>
          <t>NS</t>
        </is>
      </c>
      <c r="C371" s="156" t="inlineStr">
        <is>
          <t>EX-223</t>
        </is>
      </c>
      <c r="D371" s="156" t="inlineStr">
        <is>
          <t>PC 200-8MI</t>
        </is>
      </c>
      <c r="E371" s="156" t="inlineStr">
        <is>
          <t>Excavator</t>
        </is>
      </c>
      <c r="F371" s="156" t="inlineStr"/>
      <c r="G371" s="182" t="n">
        <v>0</v>
      </c>
      <c r="H371" s="182" t="n">
        <v>0</v>
      </c>
      <c r="I371" s="182" t="n">
        <v>0</v>
      </c>
      <c r="J371" s="182" t="n">
        <v>0</v>
      </c>
      <c r="K371" s="182" t="n">
        <v>12</v>
      </c>
      <c r="L371" s="182" t="n">
        <v>12</v>
      </c>
      <c r="M371" s="182" t="n">
        <v>0</v>
      </c>
      <c r="N371" s="182" t="n">
        <v>0</v>
      </c>
      <c r="O371" s="183" t="n">
        <v>0</v>
      </c>
      <c r="P371" s="183" t="n">
        <v>0</v>
      </c>
      <c r="Q371" s="184" t="n">
        <v>0</v>
      </c>
      <c r="R371" s="184" t="n">
        <v>0</v>
      </c>
      <c r="S371" s="183" t="n">
        <v>0</v>
      </c>
      <c r="T371" s="183" t="n">
        <v>0</v>
      </c>
      <c r="U371" s="182" t="n">
        <v>0</v>
      </c>
      <c r="V371" s="182" t="n">
        <v>0</v>
      </c>
      <c r="W371" s="182" t="n">
        <v>0</v>
      </c>
      <c r="X371" s="182" t="n">
        <v>1</v>
      </c>
      <c r="Y371" s="182" t="n">
        <v>0</v>
      </c>
      <c r="Z371" s="182" t="n">
        <v>0</v>
      </c>
      <c r="AA371" s="182" t="n">
        <v>0</v>
      </c>
      <c r="AB371" s="182" t="n">
        <v>0</v>
      </c>
      <c r="AC371" s="182" t="n">
        <v>0</v>
      </c>
      <c r="AD371" s="182" t="n">
        <v>0</v>
      </c>
      <c r="AE371" s="182" t="n">
        <v>0</v>
      </c>
      <c r="AF371" s="182" t="n">
        <v>0</v>
      </c>
      <c r="AG371" s="182" t="n">
        <v>0</v>
      </c>
      <c r="AH371" s="182" t="n">
        <v>0</v>
      </c>
      <c r="AI371" s="182" t="n">
        <v>0</v>
      </c>
      <c r="AJ371" s="182" t="n">
        <v>0</v>
      </c>
      <c r="AK371" s="182" t="n">
        <v>10.92</v>
      </c>
      <c r="AL371" s="182" t="n">
        <v>0</v>
      </c>
      <c r="AM371" s="182" t="n">
        <v>0.08</v>
      </c>
      <c r="AN371" s="182" t="n">
        <v>0</v>
      </c>
    </row>
    <row r="372">
      <c r="A372" s="155" t="n">
        <v>46083</v>
      </c>
      <c r="B372" s="156" t="inlineStr">
        <is>
          <t>NS</t>
        </is>
      </c>
      <c r="C372" s="156" t="inlineStr">
        <is>
          <t>EX-221</t>
        </is>
      </c>
      <c r="D372" s="156" t="inlineStr">
        <is>
          <t>PC 200-8MI</t>
        </is>
      </c>
      <c r="E372" s="156" t="inlineStr">
        <is>
          <t>Excavator</t>
        </is>
      </c>
      <c r="F372" s="156" t="inlineStr">
        <is>
          <t>General Jetty</t>
        </is>
      </c>
      <c r="G372" s="182" t="n">
        <v>3.1</v>
      </c>
      <c r="H372" s="182" t="n">
        <v>0</v>
      </c>
      <c r="I372" s="182" t="n">
        <v>0</v>
      </c>
      <c r="J372" s="182" t="n">
        <v>0</v>
      </c>
      <c r="K372" s="182" t="n">
        <v>8.9</v>
      </c>
      <c r="L372" s="182" t="n">
        <v>12</v>
      </c>
      <c r="M372" s="182" t="n">
        <v>0</v>
      </c>
      <c r="N372" s="182" t="n">
        <v>0</v>
      </c>
      <c r="O372" s="183" t="n">
        <v>0</v>
      </c>
      <c r="P372" s="183" t="n">
        <v>0</v>
      </c>
      <c r="Q372" s="184" t="n">
        <v>0</v>
      </c>
      <c r="R372" s="184" t="n">
        <v>0</v>
      </c>
      <c r="S372" s="183" t="n">
        <v>0</v>
      </c>
      <c r="T372" s="183" t="n">
        <v>0</v>
      </c>
      <c r="U372" s="182" t="n">
        <v>0</v>
      </c>
      <c r="V372" s="182" t="n">
        <v>0</v>
      </c>
      <c r="W372" s="182" t="n">
        <v>0</v>
      </c>
      <c r="X372" s="182" t="n">
        <v>0.98</v>
      </c>
      <c r="Y372" s="182" t="n">
        <v>0</v>
      </c>
      <c r="Z372" s="182" t="n">
        <v>0</v>
      </c>
      <c r="AA372" s="182" t="n">
        <v>0</v>
      </c>
      <c r="AB372" s="182" t="n">
        <v>0</v>
      </c>
      <c r="AC372" s="182" t="n">
        <v>0</v>
      </c>
      <c r="AD372" s="182" t="n">
        <v>0</v>
      </c>
      <c r="AE372" s="182" t="n">
        <v>0</v>
      </c>
      <c r="AF372" s="182" t="n">
        <v>0</v>
      </c>
      <c r="AG372" s="182" t="n">
        <v>0</v>
      </c>
      <c r="AH372" s="182" t="n">
        <v>0</v>
      </c>
      <c r="AI372" s="182" t="n">
        <v>0</v>
      </c>
      <c r="AJ372" s="182" t="n">
        <v>0</v>
      </c>
      <c r="AK372" s="182" t="n">
        <v>7.84</v>
      </c>
      <c r="AL372" s="182" t="n">
        <v>0</v>
      </c>
      <c r="AM372" s="182" t="n">
        <v>0.08</v>
      </c>
      <c r="AN372" s="182" t="n">
        <v>0</v>
      </c>
    </row>
    <row r="373">
      <c r="A373" s="155" t="n">
        <v>46083</v>
      </c>
      <c r="B373" s="156" t="inlineStr">
        <is>
          <t>NS</t>
        </is>
      </c>
      <c r="C373" s="156" t="inlineStr">
        <is>
          <t>EX-331</t>
        </is>
      </c>
      <c r="D373" s="156" t="inlineStr">
        <is>
          <t>PC 300-8MO</t>
        </is>
      </c>
      <c r="E373" s="156" t="inlineStr">
        <is>
          <t>Excavator</t>
        </is>
      </c>
      <c r="F373" s="156" t="inlineStr"/>
      <c r="G373" s="182" t="n">
        <v>0</v>
      </c>
      <c r="H373" s="182" t="n">
        <v>0</v>
      </c>
      <c r="I373" s="182" t="n">
        <v>12</v>
      </c>
      <c r="J373" s="182" t="n">
        <v>12</v>
      </c>
      <c r="K373" s="182" t="n">
        <v>0</v>
      </c>
      <c r="L373" s="182" t="n">
        <v>12</v>
      </c>
      <c r="M373" s="182" t="n">
        <v>0</v>
      </c>
      <c r="N373" s="182" t="n">
        <v>0</v>
      </c>
      <c r="O373" s="183" t="n">
        <v>0</v>
      </c>
      <c r="P373" s="183" t="n">
        <v>0</v>
      </c>
      <c r="Q373" s="184" t="n">
        <v>0</v>
      </c>
      <c r="R373" s="184" t="n">
        <v>0</v>
      </c>
      <c r="S373" s="183" t="n">
        <v>0</v>
      </c>
      <c r="T373" s="183" t="n">
        <v>0</v>
      </c>
      <c r="U373" s="182" t="n">
        <v>0</v>
      </c>
      <c r="V373" s="182" t="n">
        <v>0</v>
      </c>
      <c r="W373" s="182" t="n">
        <v>0</v>
      </c>
      <c r="X373" s="182" t="n">
        <v>0</v>
      </c>
      <c r="Y373" s="182" t="n">
        <v>0</v>
      </c>
      <c r="Z373" s="182" t="n">
        <v>0</v>
      </c>
      <c r="AA373" s="182" t="n">
        <v>0</v>
      </c>
      <c r="AB373" s="182" t="n">
        <v>0</v>
      </c>
      <c r="AC373" s="182" t="n">
        <v>0</v>
      </c>
      <c r="AD373" s="182" t="n">
        <v>0</v>
      </c>
      <c r="AE373" s="182" t="n">
        <v>0</v>
      </c>
      <c r="AF373" s="182" t="n">
        <v>0</v>
      </c>
      <c r="AG373" s="182" t="n">
        <v>0</v>
      </c>
      <c r="AH373" s="182" t="n">
        <v>0</v>
      </c>
      <c r="AI373" s="182" t="n">
        <v>0</v>
      </c>
      <c r="AJ373" s="182" t="n">
        <v>0</v>
      </c>
      <c r="AK373" s="182" t="n">
        <v>0</v>
      </c>
      <c r="AL373" s="182" t="n">
        <v>0</v>
      </c>
      <c r="AM373" s="182" t="n">
        <v>0</v>
      </c>
      <c r="AN373" s="182" t="n">
        <v>0</v>
      </c>
    </row>
    <row r="374">
      <c r="A374" s="155" t="n">
        <v>46083</v>
      </c>
      <c r="B374" s="156" t="inlineStr">
        <is>
          <t>NS</t>
        </is>
      </c>
      <c r="C374" s="156" t="inlineStr">
        <is>
          <t>EX-334</t>
        </is>
      </c>
      <c r="D374" s="156" t="inlineStr">
        <is>
          <t>PC 300-8MO</t>
        </is>
      </c>
      <c r="E374" s="156" t="inlineStr">
        <is>
          <t>Excavator</t>
        </is>
      </c>
      <c r="F374" s="156" t="inlineStr">
        <is>
          <t>Trimming Coal di Stock ROM</t>
        </is>
      </c>
      <c r="G374" s="182" t="n">
        <v>9.07</v>
      </c>
      <c r="H374" s="182" t="n">
        <v>0</v>
      </c>
      <c r="I374" s="182" t="n">
        <v>1.83</v>
      </c>
      <c r="J374" s="182" t="n">
        <v>1.83</v>
      </c>
      <c r="K374" s="182" t="n">
        <v>1.1</v>
      </c>
      <c r="L374" s="182" t="n">
        <v>12</v>
      </c>
      <c r="M374" s="182" t="n">
        <v>0</v>
      </c>
      <c r="N374" s="182" t="n">
        <v>0</v>
      </c>
      <c r="O374" s="183" t="n">
        <v>0</v>
      </c>
      <c r="P374" s="183" t="n">
        <v>0</v>
      </c>
      <c r="Q374" s="184" t="n">
        <v>0</v>
      </c>
      <c r="R374" s="184" t="n">
        <v>0</v>
      </c>
      <c r="S374" s="183" t="n">
        <v>0</v>
      </c>
      <c r="T374" s="183" t="n">
        <v>0</v>
      </c>
      <c r="U374" s="182" t="n">
        <v>0</v>
      </c>
      <c r="V374" s="182" t="n">
        <v>0</v>
      </c>
      <c r="W374" s="182" t="n">
        <v>0</v>
      </c>
      <c r="X374" s="182" t="n">
        <v>0.9399999999999999</v>
      </c>
      <c r="Y374" s="182" t="n">
        <v>0</v>
      </c>
      <c r="Z374" s="182" t="n">
        <v>0</v>
      </c>
      <c r="AA374" s="182" t="n">
        <v>0</v>
      </c>
      <c r="AB374" s="182" t="n">
        <v>0</v>
      </c>
      <c r="AC374" s="182" t="n">
        <v>0</v>
      </c>
      <c r="AD374" s="182" t="n">
        <v>0</v>
      </c>
      <c r="AE374" s="182" t="n">
        <v>0</v>
      </c>
      <c r="AF374" s="182" t="n">
        <v>0</v>
      </c>
      <c r="AG374" s="182" t="n">
        <v>0</v>
      </c>
      <c r="AH374" s="182" t="n">
        <v>0</v>
      </c>
      <c r="AI374" s="182" t="n">
        <v>0</v>
      </c>
      <c r="AJ374" s="182" t="n">
        <v>0</v>
      </c>
      <c r="AK374" s="182" t="n">
        <v>0.08</v>
      </c>
      <c r="AL374" s="182" t="n">
        <v>0</v>
      </c>
      <c r="AM374" s="182" t="n">
        <v>0.08</v>
      </c>
      <c r="AN374" s="182" t="n">
        <v>0</v>
      </c>
    </row>
    <row r="375">
      <c r="A375" s="155" t="n">
        <v>46083</v>
      </c>
      <c r="B375" s="156" t="inlineStr">
        <is>
          <t>NS</t>
        </is>
      </c>
      <c r="C375" s="156" t="inlineStr">
        <is>
          <t>EX-332</t>
        </is>
      </c>
      <c r="D375" s="156" t="inlineStr">
        <is>
          <t>PC 300-8MO</t>
        </is>
      </c>
      <c r="E375" s="156" t="inlineStr">
        <is>
          <t>Excavator</t>
        </is>
      </c>
      <c r="F375" s="156" t="inlineStr"/>
      <c r="G375" s="182" t="n">
        <v>0</v>
      </c>
      <c r="H375" s="182" t="n">
        <v>0</v>
      </c>
      <c r="I375" s="182" t="n">
        <v>12</v>
      </c>
      <c r="J375" s="182" t="n">
        <v>12</v>
      </c>
      <c r="K375" s="182" t="n">
        <v>0</v>
      </c>
      <c r="L375" s="182" t="n">
        <v>12</v>
      </c>
      <c r="M375" s="182" t="n">
        <v>0</v>
      </c>
      <c r="N375" s="182" t="n">
        <v>0</v>
      </c>
      <c r="O375" s="183" t="n">
        <v>0</v>
      </c>
      <c r="P375" s="183" t="n">
        <v>0</v>
      </c>
      <c r="Q375" s="184" t="n">
        <v>0</v>
      </c>
      <c r="R375" s="184" t="n">
        <v>0</v>
      </c>
      <c r="S375" s="183" t="n">
        <v>0</v>
      </c>
      <c r="T375" s="183" t="n">
        <v>0</v>
      </c>
      <c r="U375" s="182" t="n">
        <v>0</v>
      </c>
      <c r="V375" s="182" t="n">
        <v>0</v>
      </c>
      <c r="W375" s="182" t="n">
        <v>0</v>
      </c>
      <c r="X375" s="182" t="n">
        <v>0</v>
      </c>
      <c r="Y375" s="182" t="n">
        <v>0</v>
      </c>
      <c r="Z375" s="182" t="n">
        <v>0</v>
      </c>
      <c r="AA375" s="182" t="n">
        <v>0</v>
      </c>
      <c r="AB375" s="182" t="n">
        <v>0</v>
      </c>
      <c r="AC375" s="182" t="n">
        <v>0</v>
      </c>
      <c r="AD375" s="182" t="n">
        <v>0</v>
      </c>
      <c r="AE375" s="182" t="n">
        <v>0</v>
      </c>
      <c r="AF375" s="182" t="n">
        <v>0</v>
      </c>
      <c r="AG375" s="182" t="n">
        <v>0</v>
      </c>
      <c r="AH375" s="182" t="n">
        <v>0</v>
      </c>
      <c r="AI375" s="182" t="n">
        <v>0</v>
      </c>
      <c r="AJ375" s="182" t="n">
        <v>0</v>
      </c>
      <c r="AK375" s="182" t="n">
        <v>0</v>
      </c>
      <c r="AL375" s="182" t="n">
        <v>0</v>
      </c>
      <c r="AM375" s="182" t="n">
        <v>0</v>
      </c>
      <c r="AN375" s="182" t="n">
        <v>0</v>
      </c>
    </row>
    <row r="376">
      <c r="A376" s="155" t="n">
        <v>46083</v>
      </c>
      <c r="B376" s="156" t="inlineStr">
        <is>
          <t>NS</t>
        </is>
      </c>
      <c r="C376" s="156" t="inlineStr">
        <is>
          <t>EX-333</t>
        </is>
      </c>
      <c r="D376" s="156" t="inlineStr">
        <is>
          <t>PC 300-8MO</t>
        </is>
      </c>
      <c r="E376" s="156" t="inlineStr">
        <is>
          <t>Excavator</t>
        </is>
      </c>
      <c r="F376" s="156" t="inlineStr">
        <is>
          <t>Cleaning Coal</t>
        </is>
      </c>
      <c r="G376" s="182" t="n">
        <v>11.02</v>
      </c>
      <c r="H376" s="182" t="n">
        <v>0</v>
      </c>
      <c r="I376" s="182" t="n">
        <v>0</v>
      </c>
      <c r="J376" s="182" t="n">
        <v>0</v>
      </c>
      <c r="K376" s="182" t="n">
        <v>0.98</v>
      </c>
      <c r="L376" s="182" t="n">
        <v>12</v>
      </c>
      <c r="M376" s="182" t="n">
        <v>0</v>
      </c>
      <c r="N376" s="182" t="n">
        <v>0</v>
      </c>
      <c r="O376" s="183" t="n">
        <v>0</v>
      </c>
      <c r="P376" s="183" t="n">
        <v>0</v>
      </c>
      <c r="Q376" s="184" t="n">
        <v>0</v>
      </c>
      <c r="R376" s="184" t="n">
        <v>0</v>
      </c>
      <c r="S376" s="183" t="n">
        <v>0</v>
      </c>
      <c r="T376" s="183" t="n">
        <v>0</v>
      </c>
      <c r="U376" s="182" t="n">
        <v>0</v>
      </c>
      <c r="V376" s="182" t="n">
        <v>0</v>
      </c>
      <c r="W376" s="182" t="n">
        <v>0</v>
      </c>
      <c r="X376" s="182" t="n">
        <v>0.88</v>
      </c>
      <c r="Y376" s="182" t="n">
        <v>0</v>
      </c>
      <c r="Z376" s="182" t="n">
        <v>0</v>
      </c>
      <c r="AA376" s="182" t="n">
        <v>0</v>
      </c>
      <c r="AB376" s="182" t="n">
        <v>0</v>
      </c>
      <c r="AC376" s="182" t="n">
        <v>0</v>
      </c>
      <c r="AD376" s="182" t="n">
        <v>0</v>
      </c>
      <c r="AE376" s="182" t="n">
        <v>0</v>
      </c>
      <c r="AF376" s="182" t="n">
        <v>0</v>
      </c>
      <c r="AG376" s="182" t="n">
        <v>0</v>
      </c>
      <c r="AH376" s="182" t="n">
        <v>0</v>
      </c>
      <c r="AI376" s="182" t="n">
        <v>0</v>
      </c>
      <c r="AJ376" s="182" t="n">
        <v>0</v>
      </c>
      <c r="AK376" s="182" t="n">
        <v>0</v>
      </c>
      <c r="AL376" s="182" t="n">
        <v>0</v>
      </c>
      <c r="AM376" s="182" t="n">
        <v>0.1</v>
      </c>
      <c r="AN376" s="182" t="n">
        <v>0</v>
      </c>
    </row>
    <row r="377">
      <c r="A377" s="155" t="n">
        <v>46083</v>
      </c>
      <c r="B377" s="156" t="inlineStr">
        <is>
          <t>NS</t>
        </is>
      </c>
      <c r="C377" s="156" t="inlineStr">
        <is>
          <t>EX-336</t>
        </is>
      </c>
      <c r="D377" s="156" t="inlineStr">
        <is>
          <t>PC 300-8MO</t>
        </is>
      </c>
      <c r="E377" s="156" t="inlineStr">
        <is>
          <t>Excavator</t>
        </is>
      </c>
      <c r="F377" s="156" t="inlineStr">
        <is>
          <t>Loading Coal &amp; Cleaning Coal</t>
        </is>
      </c>
      <c r="G377" s="182" t="n">
        <v>10.06</v>
      </c>
      <c r="H377" s="182" t="n">
        <v>0</v>
      </c>
      <c r="I377" s="182" t="n">
        <v>1.92</v>
      </c>
      <c r="J377" s="182" t="n">
        <v>1.92</v>
      </c>
      <c r="K377" s="182" t="n">
        <v>0.02</v>
      </c>
      <c r="L377" s="182" t="n">
        <v>12</v>
      </c>
      <c r="M377" s="182" t="n">
        <v>0</v>
      </c>
      <c r="N377" s="182" t="n">
        <v>0.67</v>
      </c>
      <c r="O377" s="183" t="n">
        <v>0</v>
      </c>
      <c r="P377" s="183" t="n">
        <v>4</v>
      </c>
      <c r="Q377" s="184" t="n">
        <v>0</v>
      </c>
      <c r="R377" s="184" t="n">
        <v>74.8</v>
      </c>
      <c r="S377" s="183" t="n">
        <v>0</v>
      </c>
      <c r="T377" s="183" t="n">
        <v>0</v>
      </c>
      <c r="U377" s="182" t="n">
        <v>0</v>
      </c>
      <c r="V377" s="182" t="n">
        <v>0</v>
      </c>
      <c r="W377" s="182" t="n">
        <v>0</v>
      </c>
      <c r="X377" s="182" t="n">
        <v>0</v>
      </c>
      <c r="Y377" s="182" t="n">
        <v>0</v>
      </c>
      <c r="Z377" s="182" t="n">
        <v>0</v>
      </c>
      <c r="AA377" s="182" t="n">
        <v>0</v>
      </c>
      <c r="AB377" s="182" t="n">
        <v>0</v>
      </c>
      <c r="AC377" s="182" t="n">
        <v>0</v>
      </c>
      <c r="AD377" s="182" t="n">
        <v>0</v>
      </c>
      <c r="AE377" s="182" t="n">
        <v>0</v>
      </c>
      <c r="AF377" s="182" t="n">
        <v>0</v>
      </c>
      <c r="AG377" s="182" t="n">
        <v>0</v>
      </c>
      <c r="AH377" s="182" t="n">
        <v>0</v>
      </c>
      <c r="AI377" s="182" t="n">
        <v>0</v>
      </c>
      <c r="AJ377" s="182" t="n">
        <v>0</v>
      </c>
      <c r="AK377" s="182" t="n">
        <v>0</v>
      </c>
      <c r="AL377" s="182" t="n">
        <v>0</v>
      </c>
      <c r="AM377" s="182" t="n">
        <v>0.02</v>
      </c>
      <c r="AN377" s="182" t="n">
        <v>0</v>
      </c>
    </row>
    <row r="378">
      <c r="A378" s="155" t="n">
        <v>46083</v>
      </c>
      <c r="B378" s="156" t="inlineStr">
        <is>
          <t>NS</t>
        </is>
      </c>
      <c r="C378" s="156" t="inlineStr">
        <is>
          <t>EX-335</t>
        </is>
      </c>
      <c r="D378" s="156" t="inlineStr">
        <is>
          <t>PC 300-8MO</t>
        </is>
      </c>
      <c r="E378" s="156" t="inlineStr">
        <is>
          <t>Excavator</t>
        </is>
      </c>
      <c r="F378" s="156" t="inlineStr">
        <is>
          <t>Cleaning Coal</t>
        </is>
      </c>
      <c r="G378" s="182" t="n">
        <v>9.49</v>
      </c>
      <c r="H378" s="182" t="n">
        <v>0</v>
      </c>
      <c r="I378" s="182" t="n">
        <v>0.17</v>
      </c>
      <c r="J378" s="182" t="n">
        <v>0.17</v>
      </c>
      <c r="K378" s="182" t="n">
        <v>2.34</v>
      </c>
      <c r="L378" s="182" t="n">
        <v>12</v>
      </c>
      <c r="M378" s="182" t="n">
        <v>0</v>
      </c>
      <c r="N378" s="182" t="n">
        <v>0</v>
      </c>
      <c r="O378" s="183" t="n">
        <v>0</v>
      </c>
      <c r="P378" s="183" t="n">
        <v>0</v>
      </c>
      <c r="Q378" s="184" t="n">
        <v>0</v>
      </c>
      <c r="R378" s="184" t="n">
        <v>0</v>
      </c>
      <c r="S378" s="183" t="n">
        <v>0</v>
      </c>
      <c r="T378" s="183" t="n">
        <v>0</v>
      </c>
      <c r="U378" s="182" t="n">
        <v>1.3</v>
      </c>
      <c r="V378" s="182" t="n">
        <v>0</v>
      </c>
      <c r="W378" s="182" t="n">
        <v>0</v>
      </c>
      <c r="X378" s="182" t="n">
        <v>0.96</v>
      </c>
      <c r="Y378" s="182" t="n">
        <v>0</v>
      </c>
      <c r="Z378" s="182" t="n">
        <v>0</v>
      </c>
      <c r="AA378" s="182" t="n">
        <v>0</v>
      </c>
      <c r="AB378" s="182" t="n">
        <v>0</v>
      </c>
      <c r="AC378" s="182" t="n">
        <v>0</v>
      </c>
      <c r="AD378" s="182" t="n">
        <v>0</v>
      </c>
      <c r="AE378" s="182" t="n">
        <v>0</v>
      </c>
      <c r="AF378" s="182" t="n">
        <v>0</v>
      </c>
      <c r="AG378" s="182" t="n">
        <v>0</v>
      </c>
      <c r="AH378" s="182" t="n">
        <v>0</v>
      </c>
      <c r="AI378" s="182" t="n">
        <v>0</v>
      </c>
      <c r="AJ378" s="182" t="n">
        <v>0</v>
      </c>
      <c r="AK378" s="182" t="n">
        <v>0</v>
      </c>
      <c r="AL378" s="182" t="n">
        <v>0</v>
      </c>
      <c r="AM378" s="182" t="n">
        <v>0.08</v>
      </c>
      <c r="AN378" s="182" t="n">
        <v>0</v>
      </c>
    </row>
    <row r="379">
      <c r="A379" s="155" t="n">
        <v>46083</v>
      </c>
      <c r="B379" s="156" t="inlineStr">
        <is>
          <t>NS</t>
        </is>
      </c>
      <c r="C379" s="156" t="inlineStr">
        <is>
          <t>EX-754</t>
        </is>
      </c>
      <c r="D379" s="156" t="inlineStr">
        <is>
          <t>SY750H-PRO</t>
        </is>
      </c>
      <c r="E379" s="156" t="inlineStr">
        <is>
          <t>Excavator</t>
        </is>
      </c>
      <c r="F379" s="156" t="inlineStr">
        <is>
          <t>Loading Coal S60 &amp; OB</t>
        </is>
      </c>
      <c r="G379" s="182" t="n">
        <v>4.51</v>
      </c>
      <c r="H379" s="182" t="n">
        <v>0</v>
      </c>
      <c r="I379" s="182" t="n">
        <v>0.17</v>
      </c>
      <c r="J379" s="182" t="n">
        <v>0.17</v>
      </c>
      <c r="K379" s="182" t="n">
        <v>7.32</v>
      </c>
      <c r="L379" s="182" t="n">
        <v>12</v>
      </c>
      <c r="M379" s="182" t="n">
        <v>3.07</v>
      </c>
      <c r="N379" s="182" t="n">
        <v>1.43</v>
      </c>
      <c r="O379" s="183" t="n">
        <v>28</v>
      </c>
      <c r="P379" s="183" t="n">
        <v>10</v>
      </c>
      <c r="Q379" s="184" t="n">
        <v>571.2</v>
      </c>
      <c r="R379" s="184" t="n">
        <v>187</v>
      </c>
      <c r="S379" s="183" t="n">
        <v>0</v>
      </c>
      <c r="T379" s="183" t="n">
        <v>0</v>
      </c>
      <c r="U379" s="182" t="n">
        <v>3.3</v>
      </c>
      <c r="V379" s="182" t="n">
        <v>2.96</v>
      </c>
      <c r="W379" s="182" t="n">
        <v>0</v>
      </c>
      <c r="X379" s="182" t="n">
        <v>0.98</v>
      </c>
      <c r="Y379" s="182" t="n">
        <v>0</v>
      </c>
      <c r="Z379" s="182" t="n">
        <v>0</v>
      </c>
      <c r="AA379" s="182" t="n">
        <v>0</v>
      </c>
      <c r="AB379" s="182" t="n">
        <v>0</v>
      </c>
      <c r="AC379" s="182" t="n">
        <v>0</v>
      </c>
      <c r="AD379" s="182" t="n">
        <v>0</v>
      </c>
      <c r="AE379" s="182" t="n">
        <v>0</v>
      </c>
      <c r="AF379" s="182" t="n">
        <v>0</v>
      </c>
      <c r="AG379" s="182" t="n">
        <v>0</v>
      </c>
      <c r="AH379" s="182" t="n">
        <v>0</v>
      </c>
      <c r="AI379" s="182" t="n">
        <v>0</v>
      </c>
      <c r="AJ379" s="182" t="n">
        <v>0</v>
      </c>
      <c r="AK379" s="182" t="n">
        <v>0</v>
      </c>
      <c r="AL379" s="182" t="n">
        <v>0</v>
      </c>
      <c r="AM379" s="182" t="n">
        <v>0.08</v>
      </c>
      <c r="AN379" s="182" t="n">
        <v>0</v>
      </c>
    </row>
    <row r="380">
      <c r="A380" s="155" t="n">
        <v>46083</v>
      </c>
      <c r="B380" s="156" t="inlineStr">
        <is>
          <t>NS</t>
        </is>
      </c>
      <c r="C380" s="156" t="inlineStr">
        <is>
          <t>EX-755</t>
        </is>
      </c>
      <c r="D380" s="156" t="inlineStr">
        <is>
          <t>SY750H-PRO</t>
        </is>
      </c>
      <c r="E380" s="156" t="inlineStr">
        <is>
          <t>Excavator</t>
        </is>
      </c>
      <c r="F380" s="156" t="inlineStr">
        <is>
          <t>Loading OB</t>
        </is>
      </c>
      <c r="G380" s="182" t="n">
        <v>4.72</v>
      </c>
      <c r="H380" s="182" t="n">
        <v>0</v>
      </c>
      <c r="I380" s="182" t="n">
        <v>0</v>
      </c>
      <c r="J380" s="182" t="n">
        <v>0</v>
      </c>
      <c r="K380" s="182" t="n">
        <v>7.28</v>
      </c>
      <c r="L380" s="182" t="n">
        <v>12</v>
      </c>
      <c r="M380" s="182" t="n">
        <v>4.34</v>
      </c>
      <c r="N380" s="182" t="n">
        <v>0</v>
      </c>
      <c r="O380" s="183" t="n">
        <v>62</v>
      </c>
      <c r="P380" s="183" t="n">
        <v>0</v>
      </c>
      <c r="Q380" s="184" t="n">
        <v>1264.8</v>
      </c>
      <c r="R380" s="184" t="n">
        <v>0</v>
      </c>
      <c r="S380" s="183" t="n">
        <v>0</v>
      </c>
      <c r="T380" s="183" t="n">
        <v>0</v>
      </c>
      <c r="U380" s="182" t="n">
        <v>3.33</v>
      </c>
      <c r="V380" s="182" t="n">
        <v>2.88</v>
      </c>
      <c r="W380" s="182" t="n">
        <v>0</v>
      </c>
      <c r="X380" s="182" t="n">
        <v>0.99</v>
      </c>
      <c r="Y380" s="182" t="n">
        <v>0</v>
      </c>
      <c r="Z380" s="182" t="n">
        <v>0</v>
      </c>
      <c r="AA380" s="182" t="n">
        <v>0</v>
      </c>
      <c r="AB380" s="182" t="n">
        <v>0</v>
      </c>
      <c r="AC380" s="182" t="n">
        <v>0</v>
      </c>
      <c r="AD380" s="182" t="n">
        <v>0</v>
      </c>
      <c r="AE380" s="182" t="n">
        <v>0</v>
      </c>
      <c r="AF380" s="182" t="n">
        <v>0</v>
      </c>
      <c r="AG380" s="182" t="n">
        <v>0</v>
      </c>
      <c r="AH380" s="182" t="n">
        <v>0</v>
      </c>
      <c r="AI380" s="182" t="n">
        <v>0</v>
      </c>
      <c r="AJ380" s="182" t="n">
        <v>0</v>
      </c>
      <c r="AK380" s="182" t="n">
        <v>0</v>
      </c>
      <c r="AL380" s="182" t="n">
        <v>0</v>
      </c>
      <c r="AM380" s="182" t="n">
        <v>0.08</v>
      </c>
      <c r="AN380" s="182" t="n">
        <v>0</v>
      </c>
    </row>
    <row r="381">
      <c r="A381" s="155" t="n">
        <v>46083</v>
      </c>
      <c r="B381" s="156" t="inlineStr">
        <is>
          <t>NS</t>
        </is>
      </c>
      <c r="C381" s="156" t="inlineStr">
        <is>
          <t>EX-752</t>
        </is>
      </c>
      <c r="D381" s="156" t="inlineStr">
        <is>
          <t>SY750H-PRO</t>
        </is>
      </c>
      <c r="E381" s="156" t="inlineStr">
        <is>
          <t>Excavator</t>
        </is>
      </c>
      <c r="F381" s="156" t="inlineStr"/>
      <c r="G381" s="182" t="n">
        <v>0</v>
      </c>
      <c r="H381" s="182" t="n">
        <v>0</v>
      </c>
      <c r="I381" s="182" t="n">
        <v>12</v>
      </c>
      <c r="J381" s="182" t="n">
        <v>12</v>
      </c>
      <c r="K381" s="182" t="n">
        <v>0</v>
      </c>
      <c r="L381" s="182" t="n">
        <v>12</v>
      </c>
      <c r="M381" s="182" t="n">
        <v>0</v>
      </c>
      <c r="N381" s="182" t="n">
        <v>0</v>
      </c>
      <c r="O381" s="183" t="n">
        <v>0</v>
      </c>
      <c r="P381" s="183" t="n">
        <v>0</v>
      </c>
      <c r="Q381" s="184" t="n">
        <v>0</v>
      </c>
      <c r="R381" s="184" t="n">
        <v>0</v>
      </c>
      <c r="S381" s="183" t="n">
        <v>0</v>
      </c>
      <c r="T381" s="183" t="n">
        <v>0</v>
      </c>
      <c r="U381" s="182" t="n">
        <v>0</v>
      </c>
      <c r="V381" s="182" t="n">
        <v>0</v>
      </c>
      <c r="W381" s="182" t="n">
        <v>0</v>
      </c>
      <c r="X381" s="182" t="n">
        <v>0</v>
      </c>
      <c r="Y381" s="182" t="n">
        <v>0</v>
      </c>
      <c r="Z381" s="182" t="n">
        <v>0</v>
      </c>
      <c r="AA381" s="182" t="n">
        <v>0</v>
      </c>
      <c r="AB381" s="182" t="n">
        <v>0</v>
      </c>
      <c r="AC381" s="182" t="n">
        <v>0</v>
      </c>
      <c r="AD381" s="182" t="n">
        <v>0</v>
      </c>
      <c r="AE381" s="182" t="n">
        <v>0</v>
      </c>
      <c r="AF381" s="182" t="n">
        <v>0</v>
      </c>
      <c r="AG381" s="182" t="n">
        <v>0</v>
      </c>
      <c r="AH381" s="182" t="n">
        <v>0</v>
      </c>
      <c r="AI381" s="182" t="n">
        <v>0</v>
      </c>
      <c r="AJ381" s="182" t="n">
        <v>0</v>
      </c>
      <c r="AK381" s="182" t="n">
        <v>0</v>
      </c>
      <c r="AL381" s="182" t="n">
        <v>0</v>
      </c>
      <c r="AM381" s="182" t="n">
        <v>0</v>
      </c>
      <c r="AN381" s="182" t="n">
        <v>0</v>
      </c>
    </row>
    <row r="382">
      <c r="A382" s="155" t="n">
        <v>46083</v>
      </c>
      <c r="B382" s="156" t="inlineStr">
        <is>
          <t>NS</t>
        </is>
      </c>
      <c r="C382" s="156" t="inlineStr">
        <is>
          <t>EX-751</t>
        </is>
      </c>
      <c r="D382" s="156" t="inlineStr">
        <is>
          <t>SY750H-PRO</t>
        </is>
      </c>
      <c r="E382" s="156" t="inlineStr">
        <is>
          <t>Excavator</t>
        </is>
      </c>
      <c r="F382" s="156" t="inlineStr"/>
      <c r="G382" s="182" t="n">
        <v>0</v>
      </c>
      <c r="H382" s="182" t="n">
        <v>0</v>
      </c>
      <c r="I382" s="182" t="n">
        <v>12</v>
      </c>
      <c r="J382" s="182" t="n">
        <v>12</v>
      </c>
      <c r="K382" s="182" t="n">
        <v>0</v>
      </c>
      <c r="L382" s="182" t="n">
        <v>12</v>
      </c>
      <c r="M382" s="182" t="n">
        <v>0</v>
      </c>
      <c r="N382" s="182" t="n">
        <v>0</v>
      </c>
      <c r="O382" s="183" t="n">
        <v>0</v>
      </c>
      <c r="P382" s="183" t="n">
        <v>0</v>
      </c>
      <c r="Q382" s="184" t="n">
        <v>0</v>
      </c>
      <c r="R382" s="184" t="n">
        <v>0</v>
      </c>
      <c r="S382" s="183" t="n">
        <v>0</v>
      </c>
      <c r="T382" s="183" t="n">
        <v>0</v>
      </c>
      <c r="U382" s="182" t="n">
        <v>0</v>
      </c>
      <c r="V382" s="182" t="n">
        <v>0</v>
      </c>
      <c r="W382" s="182" t="n">
        <v>0</v>
      </c>
      <c r="X382" s="182" t="n">
        <v>0</v>
      </c>
      <c r="Y382" s="182" t="n">
        <v>0</v>
      </c>
      <c r="Z382" s="182" t="n">
        <v>0</v>
      </c>
      <c r="AA382" s="182" t="n">
        <v>0</v>
      </c>
      <c r="AB382" s="182" t="n">
        <v>0</v>
      </c>
      <c r="AC382" s="182" t="n">
        <v>0</v>
      </c>
      <c r="AD382" s="182" t="n">
        <v>0</v>
      </c>
      <c r="AE382" s="182" t="n">
        <v>0</v>
      </c>
      <c r="AF382" s="182" t="n">
        <v>0</v>
      </c>
      <c r="AG382" s="182" t="n">
        <v>0</v>
      </c>
      <c r="AH382" s="182" t="n">
        <v>0</v>
      </c>
      <c r="AI382" s="182" t="n">
        <v>0</v>
      </c>
      <c r="AJ382" s="182" t="n">
        <v>0</v>
      </c>
      <c r="AK382" s="182" t="n">
        <v>0</v>
      </c>
      <c r="AL382" s="182" t="n">
        <v>0</v>
      </c>
      <c r="AM382" s="182" t="n">
        <v>0</v>
      </c>
      <c r="AN382" s="182" t="n">
        <v>0</v>
      </c>
    </row>
    <row r="383">
      <c r="A383" s="155" t="n">
        <v>46083</v>
      </c>
      <c r="B383" s="156" t="inlineStr">
        <is>
          <t>NS</t>
        </is>
      </c>
      <c r="C383" s="156" t="inlineStr">
        <is>
          <t>EX-753</t>
        </is>
      </c>
      <c r="D383" s="156" t="inlineStr">
        <is>
          <t>SY750H-PRO</t>
        </is>
      </c>
      <c r="E383" s="156" t="inlineStr">
        <is>
          <t>Excavator</t>
        </is>
      </c>
      <c r="F383" s="156" t="inlineStr">
        <is>
          <t>Loading OB</t>
        </is>
      </c>
      <c r="G383" s="182" t="n">
        <v>4.01</v>
      </c>
      <c r="H383" s="182" t="n">
        <v>0</v>
      </c>
      <c r="I383" s="182" t="n">
        <v>0.25</v>
      </c>
      <c r="J383" s="182" t="n">
        <v>0.25</v>
      </c>
      <c r="K383" s="182" t="n">
        <v>7.74</v>
      </c>
      <c r="L383" s="182" t="n">
        <v>12</v>
      </c>
      <c r="M383" s="182" t="n">
        <v>3.86</v>
      </c>
      <c r="N383" s="182" t="n">
        <v>0</v>
      </c>
      <c r="O383" s="183" t="n">
        <v>65</v>
      </c>
      <c r="P383" s="183" t="n">
        <v>0</v>
      </c>
      <c r="Q383" s="184" t="n">
        <v>1326</v>
      </c>
      <c r="R383" s="184" t="n">
        <v>0</v>
      </c>
      <c r="S383" s="183" t="n">
        <v>0</v>
      </c>
      <c r="T383" s="183" t="n">
        <v>0</v>
      </c>
      <c r="U383" s="182" t="n">
        <v>3.56</v>
      </c>
      <c r="V383" s="182" t="n">
        <v>2.83</v>
      </c>
      <c r="W383" s="182" t="n">
        <v>0</v>
      </c>
      <c r="X383" s="182" t="n">
        <v>1.05</v>
      </c>
      <c r="Y383" s="182" t="n">
        <v>0</v>
      </c>
      <c r="Z383" s="182" t="n">
        <v>0</v>
      </c>
      <c r="AA383" s="182" t="n">
        <v>0</v>
      </c>
      <c r="AB383" s="182" t="n">
        <v>0</v>
      </c>
      <c r="AC383" s="182" t="n">
        <v>0</v>
      </c>
      <c r="AD383" s="182" t="n">
        <v>0</v>
      </c>
      <c r="AE383" s="182" t="n">
        <v>0</v>
      </c>
      <c r="AF383" s="182" t="n">
        <v>0</v>
      </c>
      <c r="AG383" s="182" t="n">
        <v>0</v>
      </c>
      <c r="AH383" s="182" t="n">
        <v>0.21</v>
      </c>
      <c r="AI383" s="182" t="n">
        <v>0</v>
      </c>
      <c r="AJ383" s="182" t="n">
        <v>0</v>
      </c>
      <c r="AK383" s="182" t="n">
        <v>0</v>
      </c>
      <c r="AL383" s="182" t="n">
        <v>0</v>
      </c>
      <c r="AM383" s="182" t="n">
        <v>0.08</v>
      </c>
      <c r="AN383" s="182" t="n">
        <v>0</v>
      </c>
    </row>
    <row r="384">
      <c r="A384" s="155" t="n">
        <v>46083</v>
      </c>
      <c r="B384" s="156" t="inlineStr">
        <is>
          <t>NS</t>
        </is>
      </c>
      <c r="C384" s="156" t="inlineStr">
        <is>
          <t>GD-012</t>
        </is>
      </c>
      <c r="D384" s="156" t="inlineStr">
        <is>
          <t>STG 230C - 8S</t>
        </is>
      </c>
      <c r="E384" s="156" t="inlineStr">
        <is>
          <t>Grader</t>
        </is>
      </c>
      <c r="F384" s="156" t="inlineStr">
        <is>
          <t>Support Jetty</t>
        </is>
      </c>
      <c r="G384" s="182" t="n">
        <v>4.16</v>
      </c>
      <c r="H384" s="182" t="n">
        <v>0</v>
      </c>
      <c r="I384" s="182" t="n">
        <v>0</v>
      </c>
      <c r="J384" s="182" t="n">
        <v>0</v>
      </c>
      <c r="K384" s="182" t="n">
        <v>7.84</v>
      </c>
      <c r="L384" s="182" t="n">
        <v>12</v>
      </c>
      <c r="M384" s="182" t="n">
        <v>0</v>
      </c>
      <c r="N384" s="182" t="n">
        <v>0</v>
      </c>
      <c r="O384" s="183" t="n">
        <v>0</v>
      </c>
      <c r="P384" s="183" t="n">
        <v>0</v>
      </c>
      <c r="Q384" s="184" t="n">
        <v>0</v>
      </c>
      <c r="R384" s="184" t="n">
        <v>0</v>
      </c>
      <c r="S384" s="183" t="n">
        <v>0</v>
      </c>
      <c r="T384" s="183" t="n">
        <v>0</v>
      </c>
      <c r="U384" s="182" t="n">
        <v>0</v>
      </c>
      <c r="V384" s="182" t="n">
        <v>0</v>
      </c>
      <c r="W384" s="182" t="n">
        <v>0</v>
      </c>
      <c r="X384" s="182" t="n">
        <v>0.96</v>
      </c>
      <c r="Y384" s="182" t="n">
        <v>0</v>
      </c>
      <c r="Z384" s="182" t="n">
        <v>0</v>
      </c>
      <c r="AA384" s="182" t="n">
        <v>0</v>
      </c>
      <c r="AB384" s="182" t="n">
        <v>0</v>
      </c>
      <c r="AC384" s="182" t="n">
        <v>0</v>
      </c>
      <c r="AD384" s="182" t="n">
        <v>0</v>
      </c>
      <c r="AE384" s="182" t="n">
        <v>0</v>
      </c>
      <c r="AF384" s="182" t="n">
        <v>0</v>
      </c>
      <c r="AG384" s="182" t="n">
        <v>0</v>
      </c>
      <c r="AH384" s="182" t="n">
        <v>0</v>
      </c>
      <c r="AI384" s="182" t="n">
        <v>0</v>
      </c>
      <c r="AJ384" s="182" t="n">
        <v>0</v>
      </c>
      <c r="AK384" s="182" t="n">
        <v>6.81</v>
      </c>
      <c r="AL384" s="182" t="n">
        <v>0</v>
      </c>
      <c r="AM384" s="182" t="n">
        <v>0.08</v>
      </c>
      <c r="AN384" s="182" t="n">
        <v>0</v>
      </c>
    </row>
    <row r="385">
      <c r="A385" s="155" t="n">
        <v>46083</v>
      </c>
      <c r="B385" s="156" t="inlineStr">
        <is>
          <t>NS</t>
        </is>
      </c>
      <c r="C385" s="156" t="inlineStr">
        <is>
          <t>GD-011</t>
        </is>
      </c>
      <c r="D385" s="156" t="inlineStr">
        <is>
          <t>STG 230C - 8S</t>
        </is>
      </c>
      <c r="E385" s="156" t="inlineStr">
        <is>
          <t>Grader</t>
        </is>
      </c>
      <c r="F385" s="156" t="inlineStr"/>
      <c r="G385" s="182" t="n">
        <v>0</v>
      </c>
      <c r="H385" s="182" t="n">
        <v>0</v>
      </c>
      <c r="I385" s="182" t="n">
        <v>12</v>
      </c>
      <c r="J385" s="182" t="n">
        <v>12</v>
      </c>
      <c r="K385" s="182" t="n">
        <v>0</v>
      </c>
      <c r="L385" s="182" t="n">
        <v>12</v>
      </c>
      <c r="M385" s="182" t="n">
        <v>0</v>
      </c>
      <c r="N385" s="182" t="n">
        <v>0</v>
      </c>
      <c r="O385" s="183" t="n">
        <v>0</v>
      </c>
      <c r="P385" s="183" t="n">
        <v>0</v>
      </c>
      <c r="Q385" s="184" t="n">
        <v>0</v>
      </c>
      <c r="R385" s="184" t="n">
        <v>0</v>
      </c>
      <c r="S385" s="183" t="n">
        <v>0</v>
      </c>
      <c r="T385" s="183" t="n">
        <v>0</v>
      </c>
      <c r="U385" s="182" t="n">
        <v>0</v>
      </c>
      <c r="V385" s="182" t="n">
        <v>0</v>
      </c>
      <c r="W385" s="182" t="n">
        <v>0</v>
      </c>
      <c r="X385" s="182" t="n">
        <v>0</v>
      </c>
      <c r="Y385" s="182" t="n">
        <v>0</v>
      </c>
      <c r="Z385" s="182" t="n">
        <v>0</v>
      </c>
      <c r="AA385" s="182" t="n">
        <v>0</v>
      </c>
      <c r="AB385" s="182" t="n">
        <v>0</v>
      </c>
      <c r="AC385" s="182" t="n">
        <v>0</v>
      </c>
      <c r="AD385" s="182" t="n">
        <v>0</v>
      </c>
      <c r="AE385" s="182" t="n">
        <v>0</v>
      </c>
      <c r="AF385" s="182" t="n">
        <v>0</v>
      </c>
      <c r="AG385" s="182" t="n">
        <v>0</v>
      </c>
      <c r="AH385" s="182" t="n">
        <v>0</v>
      </c>
      <c r="AI385" s="182" t="n">
        <v>0</v>
      </c>
      <c r="AJ385" s="182" t="n">
        <v>0</v>
      </c>
      <c r="AK385" s="182" t="n">
        <v>0</v>
      </c>
      <c r="AL385" s="182" t="n">
        <v>0</v>
      </c>
      <c r="AM385" s="182" t="n">
        <v>0</v>
      </c>
      <c r="AN385" s="182" t="n">
        <v>0</v>
      </c>
    </row>
    <row r="386">
      <c r="A386" s="155" t="n">
        <v>46083</v>
      </c>
      <c r="B386" s="156" t="inlineStr">
        <is>
          <t>NS</t>
        </is>
      </c>
      <c r="C386" s="156" t="inlineStr">
        <is>
          <t>GD-013</t>
        </is>
      </c>
      <c r="D386" s="156" t="inlineStr">
        <is>
          <t>STG 265C - 10</t>
        </is>
      </c>
      <c r="E386" s="156" t="inlineStr">
        <is>
          <t>Grader</t>
        </is>
      </c>
      <c r="F386" s="156" t="inlineStr">
        <is>
          <t>Road Maintenance</t>
        </is>
      </c>
      <c r="G386" s="182" t="n">
        <v>7.99</v>
      </c>
      <c r="H386" s="182" t="n">
        <v>0</v>
      </c>
      <c r="I386" s="182" t="n">
        <v>1.52</v>
      </c>
      <c r="J386" s="182" t="n">
        <v>1.52</v>
      </c>
      <c r="K386" s="182" t="n">
        <v>2.49</v>
      </c>
      <c r="L386" s="182" t="n">
        <v>12</v>
      </c>
      <c r="M386" s="182" t="n">
        <v>0</v>
      </c>
      <c r="N386" s="182" t="n">
        <v>0</v>
      </c>
      <c r="O386" s="183" t="n">
        <v>0</v>
      </c>
      <c r="P386" s="183" t="n">
        <v>0</v>
      </c>
      <c r="Q386" s="184" t="n">
        <v>0</v>
      </c>
      <c r="R386" s="184" t="n">
        <v>0</v>
      </c>
      <c r="S386" s="183" t="n">
        <v>0</v>
      </c>
      <c r="T386" s="183" t="n">
        <v>0</v>
      </c>
      <c r="U386" s="182" t="n">
        <v>1.52</v>
      </c>
      <c r="V386" s="182" t="n">
        <v>0</v>
      </c>
      <c r="W386" s="182" t="n">
        <v>0</v>
      </c>
      <c r="X386" s="182" t="n">
        <v>0.9</v>
      </c>
      <c r="Y386" s="182" t="n">
        <v>0</v>
      </c>
      <c r="Z386" s="182" t="n">
        <v>0</v>
      </c>
      <c r="AA386" s="182" t="n">
        <v>0</v>
      </c>
      <c r="AB386" s="182" t="n">
        <v>0</v>
      </c>
      <c r="AC386" s="182" t="n">
        <v>0</v>
      </c>
      <c r="AD386" s="182" t="n">
        <v>0</v>
      </c>
      <c r="AE386" s="182" t="n">
        <v>0</v>
      </c>
      <c r="AF386" s="182" t="n">
        <v>0</v>
      </c>
      <c r="AG386" s="182" t="n">
        <v>0</v>
      </c>
      <c r="AH386" s="182" t="n">
        <v>0</v>
      </c>
      <c r="AI386" s="182" t="n">
        <v>0</v>
      </c>
      <c r="AJ386" s="182" t="n">
        <v>0</v>
      </c>
      <c r="AK386" s="182" t="n">
        <v>0</v>
      </c>
      <c r="AL386" s="182" t="n">
        <v>0</v>
      </c>
      <c r="AM386" s="182" t="n">
        <v>0.07000000000000001</v>
      </c>
      <c r="AN386" s="182" t="n">
        <v>0</v>
      </c>
    </row>
    <row r="387">
      <c r="A387" s="155" t="n">
        <v>46083</v>
      </c>
      <c r="B387" s="156" t="inlineStr">
        <is>
          <t>NS</t>
        </is>
      </c>
      <c r="C387" s="156" t="inlineStr">
        <is>
          <t>GD-014</t>
        </is>
      </c>
      <c r="D387" s="156" t="inlineStr">
        <is>
          <t>STG 335C - 10</t>
        </is>
      </c>
      <c r="E387" s="156" t="inlineStr">
        <is>
          <t>Grader</t>
        </is>
      </c>
      <c r="F387" s="156" t="inlineStr">
        <is>
          <t>Road Maintenance</t>
        </is>
      </c>
      <c r="G387" s="182" t="n">
        <v>7.09</v>
      </c>
      <c r="H387" s="182" t="n">
        <v>0</v>
      </c>
      <c r="I387" s="182" t="n">
        <v>0</v>
      </c>
      <c r="J387" s="182" t="n">
        <v>0</v>
      </c>
      <c r="K387" s="182" t="n">
        <v>4.91</v>
      </c>
      <c r="L387" s="182" t="n">
        <v>12</v>
      </c>
      <c r="M387" s="182" t="n">
        <v>0</v>
      </c>
      <c r="N387" s="182" t="n">
        <v>0</v>
      </c>
      <c r="O387" s="183" t="n">
        <v>0</v>
      </c>
      <c r="P387" s="183" t="n">
        <v>0</v>
      </c>
      <c r="Q387" s="184" t="n">
        <v>0</v>
      </c>
      <c r="R387" s="184" t="n">
        <v>0</v>
      </c>
      <c r="S387" s="183" t="n">
        <v>0</v>
      </c>
      <c r="T387" s="183" t="n">
        <v>0</v>
      </c>
      <c r="U387" s="182" t="n">
        <v>3.02</v>
      </c>
      <c r="V387" s="182" t="n">
        <v>0</v>
      </c>
      <c r="W387" s="182" t="n">
        <v>0</v>
      </c>
      <c r="X387" s="182" t="n">
        <v>0.89</v>
      </c>
      <c r="Y387" s="182" t="n">
        <v>0</v>
      </c>
      <c r="Z387" s="182" t="n">
        <v>0</v>
      </c>
      <c r="AA387" s="182" t="n">
        <v>0</v>
      </c>
      <c r="AB387" s="182" t="n">
        <v>0</v>
      </c>
      <c r="AC387" s="182" t="n">
        <v>0</v>
      </c>
      <c r="AD387" s="182" t="n">
        <v>0</v>
      </c>
      <c r="AE387" s="182" t="n">
        <v>0</v>
      </c>
      <c r="AF387" s="182" t="n">
        <v>0</v>
      </c>
      <c r="AG387" s="182" t="n">
        <v>0</v>
      </c>
      <c r="AH387" s="182" t="n">
        <v>0</v>
      </c>
      <c r="AI387" s="182" t="n">
        <v>0</v>
      </c>
      <c r="AJ387" s="182" t="n">
        <v>0</v>
      </c>
      <c r="AK387" s="182" t="n">
        <v>0.93</v>
      </c>
      <c r="AL387" s="182" t="n">
        <v>0</v>
      </c>
      <c r="AM387" s="182" t="n">
        <v>0.07000000000000001</v>
      </c>
      <c r="AN387" s="182" t="n">
        <v>0</v>
      </c>
    </row>
    <row r="388">
      <c r="A388" s="155" t="n">
        <v>46083</v>
      </c>
      <c r="B388" s="156" t="inlineStr">
        <is>
          <t>NS</t>
        </is>
      </c>
      <c r="C388" s="156" t="inlineStr">
        <is>
          <t>DT-809</t>
        </is>
      </c>
      <c r="D388" s="156" t="inlineStr">
        <is>
          <t>SKT 80S</t>
        </is>
      </c>
      <c r="E388" s="156" t="inlineStr">
        <is>
          <t>Hauler</t>
        </is>
      </c>
      <c r="F388" s="156" t="inlineStr"/>
      <c r="G388" s="182" t="n">
        <v>0</v>
      </c>
      <c r="H388" s="182" t="n">
        <v>0</v>
      </c>
      <c r="I388" s="182" t="n">
        <v>0</v>
      </c>
      <c r="J388" s="182" t="n">
        <v>0</v>
      </c>
      <c r="K388" s="182" t="n">
        <v>12</v>
      </c>
      <c r="L388" s="182" t="n">
        <v>12</v>
      </c>
      <c r="M388" s="182" t="n">
        <v>0</v>
      </c>
      <c r="N388" s="182" t="n">
        <v>0</v>
      </c>
      <c r="O388" s="183" t="n">
        <v>0</v>
      </c>
      <c r="P388" s="183" t="n">
        <v>0</v>
      </c>
      <c r="Q388" s="184" t="n">
        <v>0</v>
      </c>
      <c r="R388" s="184" t="n">
        <v>0</v>
      </c>
      <c r="S388" s="183" t="n">
        <v>0</v>
      </c>
      <c r="T388" s="183" t="n">
        <v>0</v>
      </c>
      <c r="U388" s="182" t="n">
        <v>0</v>
      </c>
      <c r="V388" s="182" t="n">
        <v>0</v>
      </c>
      <c r="W388" s="182" t="n">
        <v>0</v>
      </c>
      <c r="X388" s="182" t="n">
        <v>1</v>
      </c>
      <c r="Y388" s="182" t="n">
        <v>0</v>
      </c>
      <c r="Z388" s="182" t="n">
        <v>0</v>
      </c>
      <c r="AA388" s="182" t="n">
        <v>0</v>
      </c>
      <c r="AB388" s="182" t="n">
        <v>0</v>
      </c>
      <c r="AC388" s="182" t="n">
        <v>0</v>
      </c>
      <c r="AD388" s="182" t="n">
        <v>0</v>
      </c>
      <c r="AE388" s="182" t="n">
        <v>0</v>
      </c>
      <c r="AF388" s="182" t="n">
        <v>0</v>
      </c>
      <c r="AG388" s="182" t="n">
        <v>0</v>
      </c>
      <c r="AH388" s="182" t="n">
        <v>0</v>
      </c>
      <c r="AI388" s="182" t="n">
        <v>0</v>
      </c>
      <c r="AJ388" s="182" t="n">
        <v>0</v>
      </c>
      <c r="AK388" s="182" t="n">
        <v>10.92</v>
      </c>
      <c r="AL388" s="182" t="n">
        <v>0</v>
      </c>
      <c r="AM388" s="182" t="n">
        <v>0.08</v>
      </c>
      <c r="AN388" s="182" t="n">
        <v>0</v>
      </c>
    </row>
    <row r="389">
      <c r="A389" s="155" t="n">
        <v>46083</v>
      </c>
      <c r="B389" s="156" t="inlineStr">
        <is>
          <t>NS</t>
        </is>
      </c>
      <c r="C389" s="156" t="inlineStr">
        <is>
          <t>DT-806</t>
        </is>
      </c>
      <c r="D389" s="156" t="inlineStr">
        <is>
          <t>SKT 80S</t>
        </is>
      </c>
      <c r="E389" s="156" t="inlineStr">
        <is>
          <t>Hauler</t>
        </is>
      </c>
      <c r="F389" s="156" t="inlineStr"/>
      <c r="G389" s="182" t="n">
        <v>0</v>
      </c>
      <c r="H389" s="182" t="n">
        <v>0</v>
      </c>
      <c r="I389" s="182" t="n">
        <v>0</v>
      </c>
      <c r="J389" s="182" t="n">
        <v>0</v>
      </c>
      <c r="K389" s="182" t="n">
        <v>12</v>
      </c>
      <c r="L389" s="182" t="n">
        <v>12</v>
      </c>
      <c r="M389" s="182" t="n">
        <v>0</v>
      </c>
      <c r="N389" s="182" t="n">
        <v>0</v>
      </c>
      <c r="O389" s="183" t="n">
        <v>0</v>
      </c>
      <c r="P389" s="183" t="n">
        <v>0</v>
      </c>
      <c r="Q389" s="184" t="n">
        <v>0</v>
      </c>
      <c r="R389" s="184" t="n">
        <v>0</v>
      </c>
      <c r="S389" s="183" t="n">
        <v>0</v>
      </c>
      <c r="T389" s="183" t="n">
        <v>0</v>
      </c>
      <c r="U389" s="182" t="n">
        <v>0</v>
      </c>
      <c r="V389" s="182" t="n">
        <v>0</v>
      </c>
      <c r="W389" s="182" t="n">
        <v>0</v>
      </c>
      <c r="X389" s="182" t="n">
        <v>1</v>
      </c>
      <c r="Y389" s="182" t="n">
        <v>0</v>
      </c>
      <c r="Z389" s="182" t="n">
        <v>0</v>
      </c>
      <c r="AA389" s="182" t="n">
        <v>0</v>
      </c>
      <c r="AB389" s="182" t="n">
        <v>0</v>
      </c>
      <c r="AC389" s="182" t="n">
        <v>0</v>
      </c>
      <c r="AD389" s="182" t="n">
        <v>0</v>
      </c>
      <c r="AE389" s="182" t="n">
        <v>0</v>
      </c>
      <c r="AF389" s="182" t="n">
        <v>0</v>
      </c>
      <c r="AG389" s="182" t="n">
        <v>0</v>
      </c>
      <c r="AH389" s="182" t="n">
        <v>0</v>
      </c>
      <c r="AI389" s="182" t="n">
        <v>0</v>
      </c>
      <c r="AJ389" s="182" t="n">
        <v>0</v>
      </c>
      <c r="AK389" s="182" t="n">
        <v>10.92</v>
      </c>
      <c r="AL389" s="182" t="n">
        <v>0</v>
      </c>
      <c r="AM389" s="182" t="n">
        <v>0.08</v>
      </c>
      <c r="AN389" s="182" t="n">
        <v>0</v>
      </c>
    </row>
    <row r="390">
      <c r="A390" s="155" t="n">
        <v>46083</v>
      </c>
      <c r="B390" s="156" t="inlineStr">
        <is>
          <t>NS</t>
        </is>
      </c>
      <c r="C390" s="156" t="inlineStr">
        <is>
          <t>DT-805</t>
        </is>
      </c>
      <c r="D390" s="156" t="inlineStr">
        <is>
          <t>SKT 80S</t>
        </is>
      </c>
      <c r="E390" s="156" t="inlineStr">
        <is>
          <t>Hauler</t>
        </is>
      </c>
      <c r="F390" s="156" t="inlineStr"/>
      <c r="G390" s="182" t="n">
        <v>0</v>
      </c>
      <c r="H390" s="182" t="n">
        <v>0</v>
      </c>
      <c r="I390" s="182" t="n">
        <v>0</v>
      </c>
      <c r="J390" s="182" t="n">
        <v>0</v>
      </c>
      <c r="K390" s="182" t="n">
        <v>12</v>
      </c>
      <c r="L390" s="182" t="n">
        <v>12</v>
      </c>
      <c r="M390" s="182" t="n">
        <v>0</v>
      </c>
      <c r="N390" s="182" t="n">
        <v>0</v>
      </c>
      <c r="O390" s="183" t="n">
        <v>0</v>
      </c>
      <c r="P390" s="183" t="n">
        <v>0</v>
      </c>
      <c r="Q390" s="184" t="n">
        <v>0</v>
      </c>
      <c r="R390" s="184" t="n">
        <v>0</v>
      </c>
      <c r="S390" s="183" t="n">
        <v>0</v>
      </c>
      <c r="T390" s="183" t="n">
        <v>0</v>
      </c>
      <c r="U390" s="182" t="n">
        <v>0</v>
      </c>
      <c r="V390" s="182" t="n">
        <v>0</v>
      </c>
      <c r="W390" s="182" t="n">
        <v>0</v>
      </c>
      <c r="X390" s="182" t="n">
        <v>1</v>
      </c>
      <c r="Y390" s="182" t="n">
        <v>0</v>
      </c>
      <c r="Z390" s="182" t="n">
        <v>0</v>
      </c>
      <c r="AA390" s="182" t="n">
        <v>0</v>
      </c>
      <c r="AB390" s="182" t="n">
        <v>0</v>
      </c>
      <c r="AC390" s="182" t="n">
        <v>0</v>
      </c>
      <c r="AD390" s="182" t="n">
        <v>0</v>
      </c>
      <c r="AE390" s="182" t="n">
        <v>0</v>
      </c>
      <c r="AF390" s="182" t="n">
        <v>0</v>
      </c>
      <c r="AG390" s="182" t="n">
        <v>0</v>
      </c>
      <c r="AH390" s="182" t="n">
        <v>0</v>
      </c>
      <c r="AI390" s="182" t="n">
        <v>0</v>
      </c>
      <c r="AJ390" s="182" t="n">
        <v>0</v>
      </c>
      <c r="AK390" s="182" t="n">
        <v>10.92</v>
      </c>
      <c r="AL390" s="182" t="n">
        <v>0</v>
      </c>
      <c r="AM390" s="182" t="n">
        <v>0.08</v>
      </c>
      <c r="AN390" s="182" t="n">
        <v>0</v>
      </c>
    </row>
    <row r="391">
      <c r="A391" s="155" t="n">
        <v>46083</v>
      </c>
      <c r="B391" s="156" t="inlineStr">
        <is>
          <t>NS</t>
        </is>
      </c>
      <c r="C391" s="156" t="inlineStr">
        <is>
          <t>DT-801</t>
        </is>
      </c>
      <c r="D391" s="156" t="inlineStr">
        <is>
          <t>SKT 80S</t>
        </is>
      </c>
      <c r="E391" s="156" t="inlineStr">
        <is>
          <t>Hauler</t>
        </is>
      </c>
      <c r="F391" s="156" t="inlineStr"/>
      <c r="G391" s="182" t="n">
        <v>0</v>
      </c>
      <c r="H391" s="182" t="n">
        <v>0</v>
      </c>
      <c r="I391" s="182" t="n">
        <v>0</v>
      </c>
      <c r="J391" s="182" t="n">
        <v>0</v>
      </c>
      <c r="K391" s="182" t="n">
        <v>12</v>
      </c>
      <c r="L391" s="182" t="n">
        <v>12</v>
      </c>
      <c r="M391" s="182" t="n">
        <v>0</v>
      </c>
      <c r="N391" s="182" t="n">
        <v>0</v>
      </c>
      <c r="O391" s="183" t="n">
        <v>0</v>
      </c>
      <c r="P391" s="183" t="n">
        <v>0</v>
      </c>
      <c r="Q391" s="184" t="n">
        <v>0</v>
      </c>
      <c r="R391" s="184" t="n">
        <v>0</v>
      </c>
      <c r="S391" s="183" t="n">
        <v>0</v>
      </c>
      <c r="T391" s="183" t="n">
        <v>0</v>
      </c>
      <c r="U391" s="182" t="n">
        <v>0</v>
      </c>
      <c r="V391" s="182" t="n">
        <v>0</v>
      </c>
      <c r="W391" s="182" t="n">
        <v>0</v>
      </c>
      <c r="X391" s="182" t="n">
        <v>1</v>
      </c>
      <c r="Y391" s="182" t="n">
        <v>0</v>
      </c>
      <c r="Z391" s="182" t="n">
        <v>0</v>
      </c>
      <c r="AA391" s="182" t="n">
        <v>0</v>
      </c>
      <c r="AB391" s="182" t="n">
        <v>0</v>
      </c>
      <c r="AC391" s="182" t="n">
        <v>0</v>
      </c>
      <c r="AD391" s="182" t="n">
        <v>0</v>
      </c>
      <c r="AE391" s="182" t="n">
        <v>0</v>
      </c>
      <c r="AF391" s="182" t="n">
        <v>0</v>
      </c>
      <c r="AG391" s="182" t="n">
        <v>0</v>
      </c>
      <c r="AH391" s="182" t="n">
        <v>0</v>
      </c>
      <c r="AI391" s="182" t="n">
        <v>0</v>
      </c>
      <c r="AJ391" s="182" t="n">
        <v>0</v>
      </c>
      <c r="AK391" s="182" t="n">
        <v>10.92</v>
      </c>
      <c r="AL391" s="182" t="n">
        <v>0</v>
      </c>
      <c r="AM391" s="182" t="n">
        <v>0.08</v>
      </c>
      <c r="AN391" s="182" t="n">
        <v>0</v>
      </c>
    </row>
    <row r="392">
      <c r="A392" s="155" t="n">
        <v>46083</v>
      </c>
      <c r="B392" s="156" t="inlineStr">
        <is>
          <t>NS</t>
        </is>
      </c>
      <c r="C392" s="156" t="inlineStr">
        <is>
          <t>DT-808</t>
        </is>
      </c>
      <c r="D392" s="156" t="inlineStr">
        <is>
          <t>SKT 80S</t>
        </is>
      </c>
      <c r="E392" s="156" t="inlineStr">
        <is>
          <t>Hauler</t>
        </is>
      </c>
      <c r="F392" s="156" t="inlineStr"/>
      <c r="G392" s="182" t="n">
        <v>0</v>
      </c>
      <c r="H392" s="182" t="n">
        <v>0</v>
      </c>
      <c r="I392" s="182" t="n">
        <v>0</v>
      </c>
      <c r="J392" s="182" t="n">
        <v>0</v>
      </c>
      <c r="K392" s="182" t="n">
        <v>12</v>
      </c>
      <c r="L392" s="182" t="n">
        <v>12</v>
      </c>
      <c r="M392" s="182" t="n">
        <v>0</v>
      </c>
      <c r="N392" s="182" t="n">
        <v>0</v>
      </c>
      <c r="O392" s="183" t="n">
        <v>0</v>
      </c>
      <c r="P392" s="183" t="n">
        <v>0</v>
      </c>
      <c r="Q392" s="184" t="n">
        <v>0</v>
      </c>
      <c r="R392" s="184" t="n">
        <v>0</v>
      </c>
      <c r="S392" s="183" t="n">
        <v>0</v>
      </c>
      <c r="T392" s="183" t="n">
        <v>0</v>
      </c>
      <c r="U392" s="182" t="n">
        <v>0</v>
      </c>
      <c r="V392" s="182" t="n">
        <v>0</v>
      </c>
      <c r="W392" s="182" t="n">
        <v>0</v>
      </c>
      <c r="X392" s="182" t="n">
        <v>1</v>
      </c>
      <c r="Y392" s="182" t="n">
        <v>0</v>
      </c>
      <c r="Z392" s="182" t="n">
        <v>0</v>
      </c>
      <c r="AA392" s="182" t="n">
        <v>0</v>
      </c>
      <c r="AB392" s="182" t="n">
        <v>0</v>
      </c>
      <c r="AC392" s="182" t="n">
        <v>0</v>
      </c>
      <c r="AD392" s="182" t="n">
        <v>0</v>
      </c>
      <c r="AE392" s="182" t="n">
        <v>0</v>
      </c>
      <c r="AF392" s="182" t="n">
        <v>0</v>
      </c>
      <c r="AG392" s="182" t="n">
        <v>0</v>
      </c>
      <c r="AH392" s="182" t="n">
        <v>0</v>
      </c>
      <c r="AI392" s="182" t="n">
        <v>0</v>
      </c>
      <c r="AJ392" s="182" t="n">
        <v>0</v>
      </c>
      <c r="AK392" s="182" t="n">
        <v>10.92</v>
      </c>
      <c r="AL392" s="182" t="n">
        <v>0</v>
      </c>
      <c r="AM392" s="182" t="n">
        <v>0.08</v>
      </c>
      <c r="AN392" s="182" t="n">
        <v>0</v>
      </c>
    </row>
    <row r="393">
      <c r="A393" s="155" t="n">
        <v>46083</v>
      </c>
      <c r="B393" s="156" t="inlineStr">
        <is>
          <t>NS</t>
        </is>
      </c>
      <c r="C393" s="156" t="inlineStr">
        <is>
          <t>DT-811</t>
        </is>
      </c>
      <c r="D393" s="156" t="inlineStr">
        <is>
          <t>SKT 80S</t>
        </is>
      </c>
      <c r="E393" s="156" t="inlineStr">
        <is>
          <t>Hauler</t>
        </is>
      </c>
      <c r="F393" s="156" t="inlineStr"/>
      <c r="G393" s="182" t="n">
        <v>0</v>
      </c>
      <c r="H393" s="182" t="n">
        <v>0</v>
      </c>
      <c r="I393" s="182" t="n">
        <v>12</v>
      </c>
      <c r="J393" s="182" t="n">
        <v>12</v>
      </c>
      <c r="K393" s="182" t="n">
        <v>0</v>
      </c>
      <c r="L393" s="182" t="n">
        <v>12</v>
      </c>
      <c r="M393" s="182" t="n">
        <v>0</v>
      </c>
      <c r="N393" s="182" t="n">
        <v>0</v>
      </c>
      <c r="O393" s="183" t="n">
        <v>0</v>
      </c>
      <c r="P393" s="183" t="n">
        <v>0</v>
      </c>
      <c r="Q393" s="184" t="n">
        <v>0</v>
      </c>
      <c r="R393" s="184" t="n">
        <v>0</v>
      </c>
      <c r="S393" s="183" t="n">
        <v>0</v>
      </c>
      <c r="T393" s="183" t="n">
        <v>0</v>
      </c>
      <c r="U393" s="182" t="n">
        <v>0</v>
      </c>
      <c r="V393" s="182" t="n">
        <v>0</v>
      </c>
      <c r="W393" s="182" t="n">
        <v>0</v>
      </c>
      <c r="X393" s="182" t="n">
        <v>0</v>
      </c>
      <c r="Y393" s="182" t="n">
        <v>0</v>
      </c>
      <c r="Z393" s="182" t="n">
        <v>0</v>
      </c>
      <c r="AA393" s="182" t="n">
        <v>0</v>
      </c>
      <c r="AB393" s="182" t="n">
        <v>0</v>
      </c>
      <c r="AC393" s="182" t="n">
        <v>0</v>
      </c>
      <c r="AD393" s="182" t="n">
        <v>0</v>
      </c>
      <c r="AE393" s="182" t="n">
        <v>0</v>
      </c>
      <c r="AF393" s="182" t="n">
        <v>0</v>
      </c>
      <c r="AG393" s="182" t="n">
        <v>0</v>
      </c>
      <c r="AH393" s="182" t="n">
        <v>0</v>
      </c>
      <c r="AI393" s="182" t="n">
        <v>0</v>
      </c>
      <c r="AJ393" s="182" t="n">
        <v>0</v>
      </c>
      <c r="AK393" s="182" t="n">
        <v>0</v>
      </c>
      <c r="AL393" s="182" t="n">
        <v>0</v>
      </c>
      <c r="AM393" s="182" t="n">
        <v>0</v>
      </c>
      <c r="AN393" s="182" t="n">
        <v>0</v>
      </c>
    </row>
    <row r="394">
      <c r="A394" s="155" t="n">
        <v>46083</v>
      </c>
      <c r="B394" s="156" t="inlineStr">
        <is>
          <t>NS</t>
        </is>
      </c>
      <c r="C394" s="156" t="inlineStr">
        <is>
          <t>DT-802</t>
        </is>
      </c>
      <c r="D394" s="156" t="inlineStr">
        <is>
          <t>SKT 80S</t>
        </is>
      </c>
      <c r="E394" s="156" t="inlineStr">
        <is>
          <t>Hauler</t>
        </is>
      </c>
      <c r="F394" s="156" t="inlineStr"/>
      <c r="G394" s="182" t="n">
        <v>0</v>
      </c>
      <c r="H394" s="182" t="n">
        <v>0</v>
      </c>
      <c r="I394" s="182" t="n">
        <v>0</v>
      </c>
      <c r="J394" s="182" t="n">
        <v>0</v>
      </c>
      <c r="K394" s="182" t="n">
        <v>12</v>
      </c>
      <c r="L394" s="182" t="n">
        <v>12</v>
      </c>
      <c r="M394" s="182" t="n">
        <v>0</v>
      </c>
      <c r="N394" s="182" t="n">
        <v>0</v>
      </c>
      <c r="O394" s="183" t="n">
        <v>0</v>
      </c>
      <c r="P394" s="183" t="n">
        <v>0</v>
      </c>
      <c r="Q394" s="184" t="n">
        <v>0</v>
      </c>
      <c r="R394" s="184" t="n">
        <v>0</v>
      </c>
      <c r="S394" s="183" t="n">
        <v>0</v>
      </c>
      <c r="T394" s="183" t="n">
        <v>0</v>
      </c>
      <c r="U394" s="182" t="n">
        <v>0</v>
      </c>
      <c r="V394" s="182" t="n">
        <v>0</v>
      </c>
      <c r="W394" s="182" t="n">
        <v>0</v>
      </c>
      <c r="X394" s="182" t="n">
        <v>1</v>
      </c>
      <c r="Y394" s="182" t="n">
        <v>0</v>
      </c>
      <c r="Z394" s="182" t="n">
        <v>0</v>
      </c>
      <c r="AA394" s="182" t="n">
        <v>0</v>
      </c>
      <c r="AB394" s="182" t="n">
        <v>0</v>
      </c>
      <c r="AC394" s="182" t="n">
        <v>0</v>
      </c>
      <c r="AD394" s="182" t="n">
        <v>0</v>
      </c>
      <c r="AE394" s="182" t="n">
        <v>0</v>
      </c>
      <c r="AF394" s="182" t="n">
        <v>0</v>
      </c>
      <c r="AG394" s="182" t="n">
        <v>0</v>
      </c>
      <c r="AH394" s="182" t="n">
        <v>0</v>
      </c>
      <c r="AI394" s="182" t="n">
        <v>0</v>
      </c>
      <c r="AJ394" s="182" t="n">
        <v>0</v>
      </c>
      <c r="AK394" s="182" t="n">
        <v>10.92</v>
      </c>
      <c r="AL394" s="182" t="n">
        <v>0</v>
      </c>
      <c r="AM394" s="182" t="n">
        <v>0.08</v>
      </c>
      <c r="AN394" s="182" t="n">
        <v>0</v>
      </c>
    </row>
    <row r="395">
      <c r="A395" s="155" t="n">
        <v>46083</v>
      </c>
      <c r="B395" s="156" t="inlineStr">
        <is>
          <t>NS</t>
        </is>
      </c>
      <c r="C395" s="156" t="inlineStr">
        <is>
          <t>DT-807</t>
        </is>
      </c>
      <c r="D395" s="156" t="inlineStr">
        <is>
          <t>SKT 80S</t>
        </is>
      </c>
      <c r="E395" s="156" t="inlineStr">
        <is>
          <t>Hauler</t>
        </is>
      </c>
      <c r="F395" s="156" t="inlineStr"/>
      <c r="G395" s="182" t="n">
        <v>0</v>
      </c>
      <c r="H395" s="182" t="n">
        <v>0</v>
      </c>
      <c r="I395" s="182" t="n">
        <v>0</v>
      </c>
      <c r="J395" s="182" t="n">
        <v>0</v>
      </c>
      <c r="K395" s="182" t="n">
        <v>12</v>
      </c>
      <c r="L395" s="182" t="n">
        <v>12</v>
      </c>
      <c r="M395" s="182" t="n">
        <v>0</v>
      </c>
      <c r="N395" s="182" t="n">
        <v>0</v>
      </c>
      <c r="O395" s="183" t="n">
        <v>0</v>
      </c>
      <c r="P395" s="183" t="n">
        <v>0</v>
      </c>
      <c r="Q395" s="184" t="n">
        <v>0</v>
      </c>
      <c r="R395" s="184" t="n">
        <v>0</v>
      </c>
      <c r="S395" s="183" t="n">
        <v>0</v>
      </c>
      <c r="T395" s="183" t="n">
        <v>0</v>
      </c>
      <c r="U395" s="182" t="n">
        <v>0</v>
      </c>
      <c r="V395" s="182" t="n">
        <v>0</v>
      </c>
      <c r="W395" s="182" t="n">
        <v>0</v>
      </c>
      <c r="X395" s="182" t="n">
        <v>1</v>
      </c>
      <c r="Y395" s="182" t="n">
        <v>0</v>
      </c>
      <c r="Z395" s="182" t="n">
        <v>0</v>
      </c>
      <c r="AA395" s="182" t="n">
        <v>0</v>
      </c>
      <c r="AB395" s="182" t="n">
        <v>0</v>
      </c>
      <c r="AC395" s="182" t="n">
        <v>0</v>
      </c>
      <c r="AD395" s="182" t="n">
        <v>0</v>
      </c>
      <c r="AE395" s="182" t="n">
        <v>0</v>
      </c>
      <c r="AF395" s="182" t="n">
        <v>0</v>
      </c>
      <c r="AG395" s="182" t="n">
        <v>0</v>
      </c>
      <c r="AH395" s="182" t="n">
        <v>0</v>
      </c>
      <c r="AI395" s="182" t="n">
        <v>0</v>
      </c>
      <c r="AJ395" s="182" t="n">
        <v>0</v>
      </c>
      <c r="AK395" s="182" t="n">
        <v>10.92</v>
      </c>
      <c r="AL395" s="182" t="n">
        <v>0</v>
      </c>
      <c r="AM395" s="182" t="n">
        <v>0.08</v>
      </c>
      <c r="AN395" s="182" t="n">
        <v>0</v>
      </c>
    </row>
    <row r="396">
      <c r="A396" s="155" t="n">
        <v>46083</v>
      </c>
      <c r="B396" s="156" t="inlineStr">
        <is>
          <t>NS</t>
        </is>
      </c>
      <c r="C396" s="156" t="inlineStr">
        <is>
          <t>DT-812</t>
        </is>
      </c>
      <c r="D396" s="156" t="inlineStr">
        <is>
          <t>SKT 80S</t>
        </is>
      </c>
      <c r="E396" s="156" t="inlineStr">
        <is>
          <t>Hauler</t>
        </is>
      </c>
      <c r="F396" s="156" t="inlineStr"/>
      <c r="G396" s="182" t="n">
        <v>0</v>
      </c>
      <c r="H396" s="182" t="n">
        <v>0</v>
      </c>
      <c r="I396" s="182" t="n">
        <v>0</v>
      </c>
      <c r="J396" s="182" t="n">
        <v>0</v>
      </c>
      <c r="K396" s="182" t="n">
        <v>12</v>
      </c>
      <c r="L396" s="182" t="n">
        <v>12</v>
      </c>
      <c r="M396" s="182" t="n">
        <v>0</v>
      </c>
      <c r="N396" s="182" t="n">
        <v>0</v>
      </c>
      <c r="O396" s="183" t="n">
        <v>0</v>
      </c>
      <c r="P396" s="183" t="n">
        <v>0</v>
      </c>
      <c r="Q396" s="184" t="n">
        <v>0</v>
      </c>
      <c r="R396" s="184" t="n">
        <v>0</v>
      </c>
      <c r="S396" s="183" t="n">
        <v>0</v>
      </c>
      <c r="T396" s="183" t="n">
        <v>0</v>
      </c>
      <c r="U396" s="182" t="n">
        <v>0</v>
      </c>
      <c r="V396" s="182" t="n">
        <v>0</v>
      </c>
      <c r="W396" s="182" t="n">
        <v>0</v>
      </c>
      <c r="X396" s="182" t="n">
        <v>1</v>
      </c>
      <c r="Y396" s="182" t="n">
        <v>0</v>
      </c>
      <c r="Z396" s="182" t="n">
        <v>0</v>
      </c>
      <c r="AA396" s="182" t="n">
        <v>0</v>
      </c>
      <c r="AB396" s="182" t="n">
        <v>0</v>
      </c>
      <c r="AC396" s="182" t="n">
        <v>0</v>
      </c>
      <c r="AD396" s="182" t="n">
        <v>0</v>
      </c>
      <c r="AE396" s="182" t="n">
        <v>0</v>
      </c>
      <c r="AF396" s="182" t="n">
        <v>0</v>
      </c>
      <c r="AG396" s="182" t="n">
        <v>0</v>
      </c>
      <c r="AH396" s="182" t="n">
        <v>0</v>
      </c>
      <c r="AI396" s="182" t="n">
        <v>0</v>
      </c>
      <c r="AJ396" s="182" t="n">
        <v>0</v>
      </c>
      <c r="AK396" s="182" t="n">
        <v>10.92</v>
      </c>
      <c r="AL396" s="182" t="n">
        <v>0</v>
      </c>
      <c r="AM396" s="182" t="n">
        <v>0.08</v>
      </c>
      <c r="AN396" s="182" t="n">
        <v>0</v>
      </c>
    </row>
    <row r="397">
      <c r="A397" s="155" t="n">
        <v>46083</v>
      </c>
      <c r="B397" s="156" t="inlineStr">
        <is>
          <t>NS</t>
        </is>
      </c>
      <c r="C397" s="156" t="inlineStr">
        <is>
          <t>DT-803</t>
        </is>
      </c>
      <c r="D397" s="156" t="inlineStr">
        <is>
          <t>SKT 80S</t>
        </is>
      </c>
      <c r="E397" s="156" t="inlineStr">
        <is>
          <t>Hauler</t>
        </is>
      </c>
      <c r="F397" s="156" t="inlineStr"/>
      <c r="G397" s="182" t="n">
        <v>0</v>
      </c>
      <c r="H397" s="182" t="n">
        <v>0</v>
      </c>
      <c r="I397" s="182" t="n">
        <v>0</v>
      </c>
      <c r="J397" s="182" t="n">
        <v>0</v>
      </c>
      <c r="K397" s="182" t="n">
        <v>12</v>
      </c>
      <c r="L397" s="182" t="n">
        <v>12</v>
      </c>
      <c r="M397" s="182" t="n">
        <v>0</v>
      </c>
      <c r="N397" s="182" t="n">
        <v>0</v>
      </c>
      <c r="O397" s="183" t="n">
        <v>0</v>
      </c>
      <c r="P397" s="183" t="n">
        <v>0</v>
      </c>
      <c r="Q397" s="184" t="n">
        <v>0</v>
      </c>
      <c r="R397" s="184" t="n">
        <v>0</v>
      </c>
      <c r="S397" s="183" t="n">
        <v>0</v>
      </c>
      <c r="T397" s="183" t="n">
        <v>0</v>
      </c>
      <c r="U397" s="182" t="n">
        <v>0</v>
      </c>
      <c r="V397" s="182" t="n">
        <v>0</v>
      </c>
      <c r="W397" s="182" t="n">
        <v>0</v>
      </c>
      <c r="X397" s="182" t="n">
        <v>1</v>
      </c>
      <c r="Y397" s="182" t="n">
        <v>0</v>
      </c>
      <c r="Z397" s="182" t="n">
        <v>0</v>
      </c>
      <c r="AA397" s="182" t="n">
        <v>0</v>
      </c>
      <c r="AB397" s="182" t="n">
        <v>0</v>
      </c>
      <c r="AC397" s="182" t="n">
        <v>0</v>
      </c>
      <c r="AD397" s="182" t="n">
        <v>0</v>
      </c>
      <c r="AE397" s="182" t="n">
        <v>0</v>
      </c>
      <c r="AF397" s="182" t="n">
        <v>0</v>
      </c>
      <c r="AG397" s="182" t="n">
        <v>0</v>
      </c>
      <c r="AH397" s="182" t="n">
        <v>0</v>
      </c>
      <c r="AI397" s="182" t="n">
        <v>0</v>
      </c>
      <c r="AJ397" s="182" t="n">
        <v>0</v>
      </c>
      <c r="AK397" s="182" t="n">
        <v>10.92</v>
      </c>
      <c r="AL397" s="182" t="n">
        <v>0</v>
      </c>
      <c r="AM397" s="182" t="n">
        <v>0.08</v>
      </c>
      <c r="AN397" s="182" t="n">
        <v>0</v>
      </c>
    </row>
    <row r="398">
      <c r="A398" s="155" t="n">
        <v>46083</v>
      </c>
      <c r="B398" s="156" t="inlineStr">
        <is>
          <t>NS</t>
        </is>
      </c>
      <c r="C398" s="156" t="inlineStr">
        <is>
          <t>DT-810</t>
        </is>
      </c>
      <c r="D398" s="156" t="inlineStr">
        <is>
          <t>SKT 80S</t>
        </is>
      </c>
      <c r="E398" s="156" t="inlineStr">
        <is>
          <t>Hauler</t>
        </is>
      </c>
      <c r="F398" s="156" t="inlineStr"/>
      <c r="G398" s="182" t="n">
        <v>0</v>
      </c>
      <c r="H398" s="182" t="n">
        <v>0</v>
      </c>
      <c r="I398" s="182" t="n">
        <v>0</v>
      </c>
      <c r="J398" s="182" t="n">
        <v>0</v>
      </c>
      <c r="K398" s="182" t="n">
        <v>12</v>
      </c>
      <c r="L398" s="182" t="n">
        <v>12</v>
      </c>
      <c r="M398" s="182" t="n">
        <v>0</v>
      </c>
      <c r="N398" s="182" t="n">
        <v>0</v>
      </c>
      <c r="O398" s="183" t="n">
        <v>0</v>
      </c>
      <c r="P398" s="183" t="n">
        <v>0</v>
      </c>
      <c r="Q398" s="184" t="n">
        <v>0</v>
      </c>
      <c r="R398" s="184" t="n">
        <v>0</v>
      </c>
      <c r="S398" s="183" t="n">
        <v>0</v>
      </c>
      <c r="T398" s="183" t="n">
        <v>0</v>
      </c>
      <c r="U398" s="182" t="n">
        <v>0</v>
      </c>
      <c r="V398" s="182" t="n">
        <v>0</v>
      </c>
      <c r="W398" s="182" t="n">
        <v>0</v>
      </c>
      <c r="X398" s="182" t="n">
        <v>1</v>
      </c>
      <c r="Y398" s="182" t="n">
        <v>0</v>
      </c>
      <c r="Z398" s="182" t="n">
        <v>0</v>
      </c>
      <c r="AA398" s="182" t="n">
        <v>0</v>
      </c>
      <c r="AB398" s="182" t="n">
        <v>0</v>
      </c>
      <c r="AC398" s="182" t="n">
        <v>0</v>
      </c>
      <c r="AD398" s="182" t="n">
        <v>0</v>
      </c>
      <c r="AE398" s="182" t="n">
        <v>0</v>
      </c>
      <c r="AF398" s="182" t="n">
        <v>0</v>
      </c>
      <c r="AG398" s="182" t="n">
        <v>0</v>
      </c>
      <c r="AH398" s="182" t="n">
        <v>0</v>
      </c>
      <c r="AI398" s="182" t="n">
        <v>0</v>
      </c>
      <c r="AJ398" s="182" t="n">
        <v>0</v>
      </c>
      <c r="AK398" s="182" t="n">
        <v>10.92</v>
      </c>
      <c r="AL398" s="182" t="n">
        <v>0</v>
      </c>
      <c r="AM398" s="182" t="n">
        <v>0.08</v>
      </c>
      <c r="AN398" s="182" t="n">
        <v>0</v>
      </c>
    </row>
    <row r="399">
      <c r="A399" s="155" t="n">
        <v>46083</v>
      </c>
      <c r="B399" s="156" t="inlineStr">
        <is>
          <t>NS</t>
        </is>
      </c>
      <c r="C399" s="156" t="inlineStr">
        <is>
          <t>DT-804</t>
        </is>
      </c>
      <c r="D399" s="156" t="inlineStr">
        <is>
          <t>SKT 80S</t>
        </is>
      </c>
      <c r="E399" s="156" t="inlineStr">
        <is>
          <t>Hauler</t>
        </is>
      </c>
      <c r="F399" s="156" t="inlineStr"/>
      <c r="G399" s="182" t="n">
        <v>0</v>
      </c>
      <c r="H399" s="182" t="n">
        <v>0</v>
      </c>
      <c r="I399" s="182" t="n">
        <v>0</v>
      </c>
      <c r="J399" s="182" t="n">
        <v>0</v>
      </c>
      <c r="K399" s="182" t="n">
        <v>12</v>
      </c>
      <c r="L399" s="182" t="n">
        <v>12</v>
      </c>
      <c r="M399" s="182" t="n">
        <v>0</v>
      </c>
      <c r="N399" s="182" t="n">
        <v>0</v>
      </c>
      <c r="O399" s="183" t="n">
        <v>0</v>
      </c>
      <c r="P399" s="183" t="n">
        <v>0</v>
      </c>
      <c r="Q399" s="184" t="n">
        <v>0</v>
      </c>
      <c r="R399" s="184" t="n">
        <v>0</v>
      </c>
      <c r="S399" s="183" t="n">
        <v>0</v>
      </c>
      <c r="T399" s="183" t="n">
        <v>0</v>
      </c>
      <c r="U399" s="182" t="n">
        <v>0</v>
      </c>
      <c r="V399" s="182" t="n">
        <v>0</v>
      </c>
      <c r="W399" s="182" t="n">
        <v>0</v>
      </c>
      <c r="X399" s="182" t="n">
        <v>1</v>
      </c>
      <c r="Y399" s="182" t="n">
        <v>0</v>
      </c>
      <c r="Z399" s="182" t="n">
        <v>0</v>
      </c>
      <c r="AA399" s="182" t="n">
        <v>0</v>
      </c>
      <c r="AB399" s="182" t="n">
        <v>0</v>
      </c>
      <c r="AC399" s="182" t="n">
        <v>0</v>
      </c>
      <c r="AD399" s="182" t="n">
        <v>0</v>
      </c>
      <c r="AE399" s="182" t="n">
        <v>0</v>
      </c>
      <c r="AF399" s="182" t="n">
        <v>0</v>
      </c>
      <c r="AG399" s="182" t="n">
        <v>0</v>
      </c>
      <c r="AH399" s="182" t="n">
        <v>0</v>
      </c>
      <c r="AI399" s="182" t="n">
        <v>0</v>
      </c>
      <c r="AJ399" s="182" t="n">
        <v>0</v>
      </c>
      <c r="AK399" s="182" t="n">
        <v>10.92</v>
      </c>
      <c r="AL399" s="182" t="n">
        <v>0</v>
      </c>
      <c r="AM399" s="182" t="n">
        <v>0.08</v>
      </c>
      <c r="AN399" s="182" t="n">
        <v>0</v>
      </c>
    </row>
    <row r="400">
      <c r="A400" s="155" t="n">
        <v>46083</v>
      </c>
      <c r="B400" s="156" t="inlineStr">
        <is>
          <t>NS</t>
        </is>
      </c>
      <c r="C400" s="156" t="inlineStr">
        <is>
          <t>DT-505</t>
        </is>
      </c>
      <c r="D400" s="156" t="inlineStr">
        <is>
          <t>SKT 105S</t>
        </is>
      </c>
      <c r="E400" s="156" t="inlineStr">
        <is>
          <t>Hauler</t>
        </is>
      </c>
      <c r="F400" s="156" t="inlineStr">
        <is>
          <t>Hauling OB</t>
        </is>
      </c>
      <c r="G400" s="182" t="n">
        <v>3.91</v>
      </c>
      <c r="H400" s="182" t="n">
        <v>0</v>
      </c>
      <c r="I400" s="182" t="n">
        <v>0</v>
      </c>
      <c r="J400" s="182" t="n">
        <v>0</v>
      </c>
      <c r="K400" s="182" t="n">
        <v>8.09</v>
      </c>
      <c r="L400" s="182" t="n">
        <v>12</v>
      </c>
      <c r="M400" s="182" t="n">
        <v>3.91</v>
      </c>
      <c r="N400" s="182" t="n">
        <v>0</v>
      </c>
      <c r="O400" s="183" t="n">
        <v>16</v>
      </c>
      <c r="P400" s="183" t="n">
        <v>0</v>
      </c>
      <c r="Q400" s="184" t="n">
        <v>326.4</v>
      </c>
      <c r="R400" s="184" t="n">
        <v>0</v>
      </c>
      <c r="S400" s="183" t="n">
        <v>0</v>
      </c>
      <c r="T400" s="183" t="n">
        <v>0</v>
      </c>
      <c r="U400" s="182" t="n">
        <v>3.46</v>
      </c>
      <c r="V400" s="182" t="n">
        <v>3.52</v>
      </c>
      <c r="W400" s="182" t="n">
        <v>0</v>
      </c>
      <c r="X400" s="182" t="n">
        <v>1.02</v>
      </c>
      <c r="Y400" s="182" t="n">
        <v>0</v>
      </c>
      <c r="Z400" s="182" t="n">
        <v>0</v>
      </c>
      <c r="AA400" s="182" t="n">
        <v>0</v>
      </c>
      <c r="AB400" s="182" t="n">
        <v>0</v>
      </c>
      <c r="AC400" s="182" t="n">
        <v>0</v>
      </c>
      <c r="AD400" s="182" t="n">
        <v>0</v>
      </c>
      <c r="AE400" s="182" t="n">
        <v>0</v>
      </c>
      <c r="AF400" s="182" t="n">
        <v>0</v>
      </c>
      <c r="AG400" s="182" t="n">
        <v>0</v>
      </c>
      <c r="AH400" s="182" t="n">
        <v>0</v>
      </c>
      <c r="AI400" s="182" t="n">
        <v>0</v>
      </c>
      <c r="AJ400" s="182" t="n">
        <v>0</v>
      </c>
      <c r="AK400" s="182" t="n">
        <v>0</v>
      </c>
      <c r="AL400" s="182" t="n">
        <v>0</v>
      </c>
      <c r="AM400" s="182" t="n">
        <v>0.08</v>
      </c>
      <c r="AN400" s="182" t="n">
        <v>0</v>
      </c>
    </row>
    <row r="401">
      <c r="A401" s="155" t="n">
        <v>46083</v>
      </c>
      <c r="B401" s="156" t="inlineStr">
        <is>
          <t>NS</t>
        </is>
      </c>
      <c r="C401" s="156" t="inlineStr">
        <is>
          <t>DT-530</t>
        </is>
      </c>
      <c r="D401" s="156" t="inlineStr">
        <is>
          <t>SKT 105S</t>
        </is>
      </c>
      <c r="E401" s="156" t="inlineStr">
        <is>
          <t>Hauler</t>
        </is>
      </c>
      <c r="F401" s="156" t="inlineStr"/>
      <c r="G401" s="182" t="n">
        <v>0</v>
      </c>
      <c r="H401" s="182" t="n">
        <v>0</v>
      </c>
      <c r="I401" s="182" t="n">
        <v>12</v>
      </c>
      <c r="J401" s="182" t="n">
        <v>12</v>
      </c>
      <c r="K401" s="182" t="n">
        <v>0</v>
      </c>
      <c r="L401" s="182" t="n">
        <v>12</v>
      </c>
      <c r="M401" s="182" t="n">
        <v>0</v>
      </c>
      <c r="N401" s="182" t="n">
        <v>0</v>
      </c>
      <c r="O401" s="183" t="n">
        <v>0</v>
      </c>
      <c r="P401" s="183" t="n">
        <v>0</v>
      </c>
      <c r="Q401" s="184" t="n">
        <v>0</v>
      </c>
      <c r="R401" s="184" t="n">
        <v>0</v>
      </c>
      <c r="S401" s="183" t="n">
        <v>0</v>
      </c>
      <c r="T401" s="183" t="n">
        <v>0</v>
      </c>
      <c r="U401" s="182" t="n">
        <v>0</v>
      </c>
      <c r="V401" s="182" t="n">
        <v>0</v>
      </c>
      <c r="W401" s="182" t="n">
        <v>0</v>
      </c>
      <c r="X401" s="182" t="n">
        <v>0</v>
      </c>
      <c r="Y401" s="182" t="n">
        <v>0</v>
      </c>
      <c r="Z401" s="182" t="n">
        <v>0</v>
      </c>
      <c r="AA401" s="182" t="n">
        <v>0</v>
      </c>
      <c r="AB401" s="182" t="n">
        <v>0</v>
      </c>
      <c r="AC401" s="182" t="n">
        <v>0</v>
      </c>
      <c r="AD401" s="182" t="n">
        <v>0</v>
      </c>
      <c r="AE401" s="182" t="n">
        <v>0</v>
      </c>
      <c r="AF401" s="182" t="n">
        <v>0</v>
      </c>
      <c r="AG401" s="182" t="n">
        <v>0</v>
      </c>
      <c r="AH401" s="182" t="n">
        <v>0</v>
      </c>
      <c r="AI401" s="182" t="n">
        <v>0</v>
      </c>
      <c r="AJ401" s="182" t="n">
        <v>0</v>
      </c>
      <c r="AK401" s="182" t="n">
        <v>0</v>
      </c>
      <c r="AL401" s="182" t="n">
        <v>0</v>
      </c>
      <c r="AM401" s="182" t="n">
        <v>0</v>
      </c>
      <c r="AN401" s="182" t="n">
        <v>0</v>
      </c>
    </row>
    <row r="402">
      <c r="A402" s="155" t="n">
        <v>46083</v>
      </c>
      <c r="B402" s="156" t="inlineStr">
        <is>
          <t>NS</t>
        </is>
      </c>
      <c r="C402" s="156" t="inlineStr">
        <is>
          <t>DT-525</t>
        </is>
      </c>
      <c r="D402" s="156" t="inlineStr">
        <is>
          <t>SKT 105S</t>
        </is>
      </c>
      <c r="E402" s="156" t="inlineStr">
        <is>
          <t>Hauler</t>
        </is>
      </c>
      <c r="F402" s="156" t="inlineStr"/>
      <c r="G402" s="182" t="n">
        <v>0</v>
      </c>
      <c r="H402" s="182" t="n">
        <v>0</v>
      </c>
      <c r="I402" s="182" t="n">
        <v>12</v>
      </c>
      <c r="J402" s="182" t="n">
        <v>12</v>
      </c>
      <c r="K402" s="182" t="n">
        <v>0</v>
      </c>
      <c r="L402" s="182" t="n">
        <v>12</v>
      </c>
      <c r="M402" s="182" t="n">
        <v>0</v>
      </c>
      <c r="N402" s="182" t="n">
        <v>0</v>
      </c>
      <c r="O402" s="183" t="n">
        <v>0</v>
      </c>
      <c r="P402" s="183" t="n">
        <v>0</v>
      </c>
      <c r="Q402" s="184" t="n">
        <v>0</v>
      </c>
      <c r="R402" s="184" t="n">
        <v>0</v>
      </c>
      <c r="S402" s="183" t="n">
        <v>0</v>
      </c>
      <c r="T402" s="183" t="n">
        <v>0</v>
      </c>
      <c r="U402" s="182" t="n">
        <v>0</v>
      </c>
      <c r="V402" s="182" t="n">
        <v>0</v>
      </c>
      <c r="W402" s="182" t="n">
        <v>0</v>
      </c>
      <c r="X402" s="182" t="n">
        <v>0</v>
      </c>
      <c r="Y402" s="182" t="n">
        <v>0</v>
      </c>
      <c r="Z402" s="182" t="n">
        <v>0</v>
      </c>
      <c r="AA402" s="182" t="n">
        <v>0</v>
      </c>
      <c r="AB402" s="182" t="n">
        <v>0</v>
      </c>
      <c r="AC402" s="182" t="n">
        <v>0</v>
      </c>
      <c r="AD402" s="182" t="n">
        <v>0</v>
      </c>
      <c r="AE402" s="182" t="n">
        <v>0</v>
      </c>
      <c r="AF402" s="182" t="n">
        <v>0</v>
      </c>
      <c r="AG402" s="182" t="n">
        <v>0</v>
      </c>
      <c r="AH402" s="182" t="n">
        <v>0</v>
      </c>
      <c r="AI402" s="182" t="n">
        <v>0</v>
      </c>
      <c r="AJ402" s="182" t="n">
        <v>0</v>
      </c>
      <c r="AK402" s="182" t="n">
        <v>0</v>
      </c>
      <c r="AL402" s="182" t="n">
        <v>0</v>
      </c>
      <c r="AM402" s="182" t="n">
        <v>0</v>
      </c>
      <c r="AN402" s="182" t="n">
        <v>0</v>
      </c>
    </row>
    <row r="403">
      <c r="A403" s="155" t="n">
        <v>46083</v>
      </c>
      <c r="B403" s="156" t="inlineStr">
        <is>
          <t>NS</t>
        </is>
      </c>
      <c r="C403" s="156" t="inlineStr">
        <is>
          <t>DT-503</t>
        </is>
      </c>
      <c r="D403" s="156" t="inlineStr">
        <is>
          <t>SKT 105S</t>
        </is>
      </c>
      <c r="E403" s="156" t="inlineStr">
        <is>
          <t>Hauler</t>
        </is>
      </c>
      <c r="F403" s="156" t="inlineStr">
        <is>
          <t>Hauling OB</t>
        </is>
      </c>
      <c r="G403" s="182" t="n">
        <v>3.9</v>
      </c>
      <c r="H403" s="182" t="n">
        <v>0</v>
      </c>
      <c r="I403" s="182" t="n">
        <v>0</v>
      </c>
      <c r="J403" s="182" t="n">
        <v>0</v>
      </c>
      <c r="K403" s="182" t="n">
        <v>8.1</v>
      </c>
      <c r="L403" s="182" t="n">
        <v>12</v>
      </c>
      <c r="M403" s="182" t="n">
        <v>3.9</v>
      </c>
      <c r="N403" s="182" t="n">
        <v>0</v>
      </c>
      <c r="O403" s="183" t="n">
        <v>14</v>
      </c>
      <c r="P403" s="183" t="n">
        <v>0</v>
      </c>
      <c r="Q403" s="184" t="n">
        <v>285.6</v>
      </c>
      <c r="R403" s="184" t="n">
        <v>0</v>
      </c>
      <c r="S403" s="183" t="n">
        <v>0</v>
      </c>
      <c r="T403" s="183" t="n">
        <v>0</v>
      </c>
      <c r="U403" s="182" t="n">
        <v>3.34</v>
      </c>
      <c r="V403" s="182" t="n">
        <v>2.71</v>
      </c>
      <c r="W403" s="182" t="n">
        <v>0</v>
      </c>
      <c r="X403" s="182" t="n">
        <v>0.99</v>
      </c>
      <c r="Y403" s="182" t="n">
        <v>0</v>
      </c>
      <c r="Z403" s="182" t="n">
        <v>0</v>
      </c>
      <c r="AA403" s="182" t="n">
        <v>0</v>
      </c>
      <c r="AB403" s="182" t="n">
        <v>0</v>
      </c>
      <c r="AC403" s="182" t="n">
        <v>0</v>
      </c>
      <c r="AD403" s="182" t="n">
        <v>0</v>
      </c>
      <c r="AE403" s="182" t="n">
        <v>0</v>
      </c>
      <c r="AF403" s="182" t="n">
        <v>0</v>
      </c>
      <c r="AG403" s="182" t="n">
        <v>0</v>
      </c>
      <c r="AH403" s="182" t="n">
        <v>0</v>
      </c>
      <c r="AI403" s="182" t="n">
        <v>0</v>
      </c>
      <c r="AJ403" s="182" t="n">
        <v>0</v>
      </c>
      <c r="AK403" s="182" t="n">
        <v>0.99</v>
      </c>
      <c r="AL403" s="182" t="n">
        <v>0</v>
      </c>
      <c r="AM403" s="182" t="n">
        <v>0.08</v>
      </c>
      <c r="AN403" s="182" t="n">
        <v>0</v>
      </c>
    </row>
    <row r="404">
      <c r="A404" s="155" t="n">
        <v>46083</v>
      </c>
      <c r="B404" s="156" t="inlineStr">
        <is>
          <t>NS</t>
        </is>
      </c>
      <c r="C404" s="156" t="inlineStr">
        <is>
          <t>DT-504</t>
        </is>
      </c>
      <c r="D404" s="156" t="inlineStr">
        <is>
          <t>SKT 105S</t>
        </is>
      </c>
      <c r="E404" s="156" t="inlineStr">
        <is>
          <t>Hauler</t>
        </is>
      </c>
      <c r="F404" s="156" t="inlineStr">
        <is>
          <t>Hauling OB</t>
        </is>
      </c>
      <c r="G404" s="182" t="n">
        <v>3.97</v>
      </c>
      <c r="H404" s="182" t="n">
        <v>0</v>
      </c>
      <c r="I404" s="182" t="n">
        <v>0</v>
      </c>
      <c r="J404" s="182" t="n">
        <v>0</v>
      </c>
      <c r="K404" s="182" t="n">
        <v>8.029999999999999</v>
      </c>
      <c r="L404" s="182" t="n">
        <v>12</v>
      </c>
      <c r="M404" s="182" t="n">
        <v>3.97</v>
      </c>
      <c r="N404" s="182" t="n">
        <v>0</v>
      </c>
      <c r="O404" s="183" t="n">
        <v>14</v>
      </c>
      <c r="P404" s="183" t="n">
        <v>0</v>
      </c>
      <c r="Q404" s="184" t="n">
        <v>285.6</v>
      </c>
      <c r="R404" s="184" t="n">
        <v>0</v>
      </c>
      <c r="S404" s="183" t="n">
        <v>0</v>
      </c>
      <c r="T404" s="183" t="n">
        <v>0</v>
      </c>
      <c r="U404" s="182" t="n">
        <v>3.48</v>
      </c>
      <c r="V404" s="182" t="n">
        <v>3.44</v>
      </c>
      <c r="W404" s="182" t="n">
        <v>0</v>
      </c>
      <c r="X404" s="182" t="n">
        <v>1.03</v>
      </c>
      <c r="Y404" s="182" t="n">
        <v>0</v>
      </c>
      <c r="Z404" s="182" t="n">
        <v>0</v>
      </c>
      <c r="AA404" s="182" t="n">
        <v>0</v>
      </c>
      <c r="AB404" s="182" t="n">
        <v>0</v>
      </c>
      <c r="AC404" s="182" t="n">
        <v>0</v>
      </c>
      <c r="AD404" s="182" t="n">
        <v>0</v>
      </c>
      <c r="AE404" s="182" t="n">
        <v>0</v>
      </c>
      <c r="AF404" s="182" t="n">
        <v>0</v>
      </c>
      <c r="AG404" s="182" t="n">
        <v>0</v>
      </c>
      <c r="AH404" s="182" t="n">
        <v>0</v>
      </c>
      <c r="AI404" s="182" t="n">
        <v>0</v>
      </c>
      <c r="AJ404" s="182" t="n">
        <v>0</v>
      </c>
      <c r="AK404" s="182" t="n">
        <v>0</v>
      </c>
      <c r="AL404" s="182" t="n">
        <v>0</v>
      </c>
      <c r="AM404" s="182" t="n">
        <v>0.08</v>
      </c>
      <c r="AN404" s="182" t="n">
        <v>0</v>
      </c>
    </row>
    <row r="405">
      <c r="A405" s="155" t="n">
        <v>46083</v>
      </c>
      <c r="B405" s="156" t="inlineStr">
        <is>
          <t>NS</t>
        </is>
      </c>
      <c r="C405" s="156" t="inlineStr">
        <is>
          <t>DT-507</t>
        </is>
      </c>
      <c r="D405" s="156" t="inlineStr">
        <is>
          <t>SKT 105S</t>
        </is>
      </c>
      <c r="E405" s="156" t="inlineStr">
        <is>
          <t>Hauler</t>
        </is>
      </c>
      <c r="F405" s="156" t="inlineStr"/>
      <c r="G405" s="182" t="n">
        <v>0</v>
      </c>
      <c r="H405" s="182" t="n">
        <v>0</v>
      </c>
      <c r="I405" s="182" t="n">
        <v>12</v>
      </c>
      <c r="J405" s="182" t="n">
        <v>12</v>
      </c>
      <c r="K405" s="182" t="n">
        <v>0</v>
      </c>
      <c r="L405" s="182" t="n">
        <v>12</v>
      </c>
      <c r="M405" s="182" t="n">
        <v>0</v>
      </c>
      <c r="N405" s="182" t="n">
        <v>0</v>
      </c>
      <c r="O405" s="183" t="n">
        <v>0</v>
      </c>
      <c r="P405" s="183" t="n">
        <v>0</v>
      </c>
      <c r="Q405" s="184" t="n">
        <v>0</v>
      </c>
      <c r="R405" s="184" t="n">
        <v>0</v>
      </c>
      <c r="S405" s="183" t="n">
        <v>0</v>
      </c>
      <c r="T405" s="183" t="n">
        <v>0</v>
      </c>
      <c r="U405" s="182" t="n">
        <v>0</v>
      </c>
      <c r="V405" s="182" t="n">
        <v>0</v>
      </c>
      <c r="W405" s="182" t="n">
        <v>0</v>
      </c>
      <c r="X405" s="182" t="n">
        <v>0</v>
      </c>
      <c r="Y405" s="182" t="n">
        <v>0</v>
      </c>
      <c r="Z405" s="182" t="n">
        <v>0</v>
      </c>
      <c r="AA405" s="182" t="n">
        <v>0</v>
      </c>
      <c r="AB405" s="182" t="n">
        <v>0</v>
      </c>
      <c r="AC405" s="182" t="n">
        <v>0</v>
      </c>
      <c r="AD405" s="182" t="n">
        <v>0</v>
      </c>
      <c r="AE405" s="182" t="n">
        <v>0</v>
      </c>
      <c r="AF405" s="182" t="n">
        <v>0</v>
      </c>
      <c r="AG405" s="182" t="n">
        <v>0</v>
      </c>
      <c r="AH405" s="182" t="n">
        <v>0</v>
      </c>
      <c r="AI405" s="182" t="n">
        <v>0</v>
      </c>
      <c r="AJ405" s="182" t="n">
        <v>0</v>
      </c>
      <c r="AK405" s="182" t="n">
        <v>0</v>
      </c>
      <c r="AL405" s="182" t="n">
        <v>0</v>
      </c>
      <c r="AM405" s="182" t="n">
        <v>0</v>
      </c>
      <c r="AN405" s="182" t="n">
        <v>0</v>
      </c>
    </row>
    <row r="406">
      <c r="A406" s="155" t="n">
        <v>46083</v>
      </c>
      <c r="B406" s="156" t="inlineStr">
        <is>
          <t>NS</t>
        </is>
      </c>
      <c r="C406" s="156" t="inlineStr">
        <is>
          <t>DT-501</t>
        </is>
      </c>
      <c r="D406" s="156" t="inlineStr">
        <is>
          <t>SKT 105S</t>
        </is>
      </c>
      <c r="E406" s="156" t="inlineStr">
        <is>
          <t>Hauler</t>
        </is>
      </c>
      <c r="F406" s="156" t="inlineStr">
        <is>
          <t>Hauling OB</t>
        </is>
      </c>
      <c r="G406" s="182" t="n">
        <v>1.69</v>
      </c>
      <c r="H406" s="182" t="n">
        <v>0</v>
      </c>
      <c r="I406" s="182" t="n">
        <v>0.9</v>
      </c>
      <c r="J406" s="182" t="n">
        <v>0.9</v>
      </c>
      <c r="K406" s="182" t="n">
        <v>9.41</v>
      </c>
      <c r="L406" s="182" t="n">
        <v>12</v>
      </c>
      <c r="M406" s="182" t="n">
        <v>1.69</v>
      </c>
      <c r="N406" s="182" t="n">
        <v>0</v>
      </c>
      <c r="O406" s="183" t="n">
        <v>3</v>
      </c>
      <c r="P406" s="183" t="n">
        <v>0</v>
      </c>
      <c r="Q406" s="184" t="n">
        <v>61.2</v>
      </c>
      <c r="R406" s="184" t="n">
        <v>0</v>
      </c>
      <c r="S406" s="183" t="n">
        <v>0</v>
      </c>
      <c r="T406" s="183" t="n">
        <v>0</v>
      </c>
      <c r="U406" s="182" t="n">
        <v>3.35</v>
      </c>
      <c r="V406" s="182" t="n">
        <v>2.97</v>
      </c>
      <c r="W406" s="182" t="n">
        <v>0</v>
      </c>
      <c r="X406" s="182" t="n">
        <v>0.99</v>
      </c>
      <c r="Y406" s="182" t="n">
        <v>0</v>
      </c>
      <c r="Z406" s="182" t="n">
        <v>0</v>
      </c>
      <c r="AA406" s="182" t="n">
        <v>0</v>
      </c>
      <c r="AB406" s="182" t="n">
        <v>0</v>
      </c>
      <c r="AC406" s="182" t="n">
        <v>0</v>
      </c>
      <c r="AD406" s="182" t="n">
        <v>0</v>
      </c>
      <c r="AE406" s="182" t="n">
        <v>0</v>
      </c>
      <c r="AF406" s="182" t="n">
        <v>0</v>
      </c>
      <c r="AG406" s="182" t="n">
        <v>0</v>
      </c>
      <c r="AH406" s="182" t="n">
        <v>0.5</v>
      </c>
      <c r="AI406" s="182" t="n">
        <v>0</v>
      </c>
      <c r="AJ406" s="182" t="n">
        <v>0</v>
      </c>
      <c r="AK406" s="182" t="n">
        <v>1.53</v>
      </c>
      <c r="AL406" s="182" t="n">
        <v>0</v>
      </c>
      <c r="AM406" s="182" t="n">
        <v>0.08</v>
      </c>
      <c r="AN406" s="182" t="n">
        <v>0</v>
      </c>
    </row>
    <row r="407">
      <c r="A407" s="155" t="n">
        <v>46083</v>
      </c>
      <c r="B407" s="156" t="inlineStr">
        <is>
          <t>NS</t>
        </is>
      </c>
      <c r="C407" s="156" t="inlineStr">
        <is>
          <t>DT-518</t>
        </is>
      </c>
      <c r="D407" s="156" t="inlineStr">
        <is>
          <t>SKT 105S</t>
        </is>
      </c>
      <c r="E407" s="156" t="inlineStr">
        <is>
          <t>Hauler</t>
        </is>
      </c>
      <c r="F407" s="156" t="inlineStr">
        <is>
          <t>Hauling OB</t>
        </is>
      </c>
      <c r="G407" s="182" t="n">
        <v>3.5</v>
      </c>
      <c r="H407" s="182" t="n">
        <v>0</v>
      </c>
      <c r="I407" s="182" t="n">
        <v>0</v>
      </c>
      <c r="J407" s="182" t="n">
        <v>0</v>
      </c>
      <c r="K407" s="182" t="n">
        <v>8.5</v>
      </c>
      <c r="L407" s="182" t="n">
        <v>12</v>
      </c>
      <c r="M407" s="182" t="n">
        <v>3.5</v>
      </c>
      <c r="N407" s="182" t="n">
        <v>0</v>
      </c>
      <c r="O407" s="183" t="n">
        <v>18</v>
      </c>
      <c r="P407" s="183" t="n">
        <v>0</v>
      </c>
      <c r="Q407" s="184" t="n">
        <v>367.2</v>
      </c>
      <c r="R407" s="184" t="n">
        <v>0</v>
      </c>
      <c r="S407" s="183" t="n">
        <v>0</v>
      </c>
      <c r="T407" s="183" t="n">
        <v>0</v>
      </c>
      <c r="U407" s="182" t="n">
        <v>3.3</v>
      </c>
      <c r="V407" s="182" t="n">
        <v>3.65</v>
      </c>
      <c r="W407" s="182" t="n">
        <v>0</v>
      </c>
      <c r="X407" s="182" t="n">
        <v>0.98</v>
      </c>
      <c r="Y407" s="182" t="n">
        <v>0</v>
      </c>
      <c r="Z407" s="182" t="n">
        <v>0</v>
      </c>
      <c r="AA407" s="182" t="n">
        <v>0</v>
      </c>
      <c r="AB407" s="182" t="n">
        <v>0</v>
      </c>
      <c r="AC407" s="182" t="n">
        <v>0</v>
      </c>
      <c r="AD407" s="182" t="n">
        <v>0</v>
      </c>
      <c r="AE407" s="182" t="n">
        <v>0</v>
      </c>
      <c r="AF407" s="182" t="n">
        <v>0</v>
      </c>
      <c r="AG407" s="182" t="n">
        <v>0</v>
      </c>
      <c r="AH407" s="182" t="n">
        <v>0.49</v>
      </c>
      <c r="AI407" s="182" t="n">
        <v>0</v>
      </c>
      <c r="AJ407" s="182" t="n">
        <v>0</v>
      </c>
      <c r="AK407" s="182" t="n">
        <v>0</v>
      </c>
      <c r="AL407" s="182" t="n">
        <v>0</v>
      </c>
      <c r="AM407" s="182" t="n">
        <v>0.08</v>
      </c>
      <c r="AN407" s="182" t="n">
        <v>0</v>
      </c>
    </row>
    <row r="408">
      <c r="A408" s="155" t="n">
        <v>46083</v>
      </c>
      <c r="B408" s="156" t="inlineStr">
        <is>
          <t>NS</t>
        </is>
      </c>
      <c r="C408" s="156" t="inlineStr">
        <is>
          <t>DT-514</t>
        </is>
      </c>
      <c r="D408" s="156" t="inlineStr">
        <is>
          <t>SKT 105S</t>
        </is>
      </c>
      <c r="E408" s="156" t="inlineStr">
        <is>
          <t>Hauler</t>
        </is>
      </c>
      <c r="F408" s="156" t="inlineStr"/>
      <c r="G408" s="182" t="n">
        <v>0</v>
      </c>
      <c r="H408" s="182" t="n">
        <v>0</v>
      </c>
      <c r="I408" s="182" t="n">
        <v>12</v>
      </c>
      <c r="J408" s="182" t="n">
        <v>12</v>
      </c>
      <c r="K408" s="182" t="n">
        <v>0</v>
      </c>
      <c r="L408" s="182" t="n">
        <v>12</v>
      </c>
      <c r="M408" s="182" t="n">
        <v>0</v>
      </c>
      <c r="N408" s="182" t="n">
        <v>0</v>
      </c>
      <c r="O408" s="183" t="n">
        <v>0</v>
      </c>
      <c r="P408" s="183" t="n">
        <v>0</v>
      </c>
      <c r="Q408" s="184" t="n">
        <v>0</v>
      </c>
      <c r="R408" s="184" t="n">
        <v>0</v>
      </c>
      <c r="S408" s="183" t="n">
        <v>0</v>
      </c>
      <c r="T408" s="183" t="n">
        <v>0</v>
      </c>
      <c r="U408" s="182" t="n">
        <v>0</v>
      </c>
      <c r="V408" s="182" t="n">
        <v>0</v>
      </c>
      <c r="W408" s="182" t="n">
        <v>0</v>
      </c>
      <c r="X408" s="182" t="n">
        <v>0</v>
      </c>
      <c r="Y408" s="182" t="n">
        <v>0</v>
      </c>
      <c r="Z408" s="182" t="n">
        <v>0</v>
      </c>
      <c r="AA408" s="182" t="n">
        <v>0</v>
      </c>
      <c r="AB408" s="182" t="n">
        <v>0</v>
      </c>
      <c r="AC408" s="182" t="n">
        <v>0</v>
      </c>
      <c r="AD408" s="182" t="n">
        <v>0</v>
      </c>
      <c r="AE408" s="182" t="n">
        <v>0</v>
      </c>
      <c r="AF408" s="182" t="n">
        <v>0</v>
      </c>
      <c r="AG408" s="182" t="n">
        <v>0</v>
      </c>
      <c r="AH408" s="182" t="n">
        <v>0</v>
      </c>
      <c r="AI408" s="182" t="n">
        <v>0</v>
      </c>
      <c r="AJ408" s="182" t="n">
        <v>0</v>
      </c>
      <c r="AK408" s="182" t="n">
        <v>0</v>
      </c>
      <c r="AL408" s="182" t="n">
        <v>0</v>
      </c>
      <c r="AM408" s="182" t="n">
        <v>0</v>
      </c>
      <c r="AN408" s="182" t="n">
        <v>0</v>
      </c>
    </row>
    <row r="409">
      <c r="A409" s="155" t="n">
        <v>46083</v>
      </c>
      <c r="B409" s="156" t="inlineStr">
        <is>
          <t>NS</t>
        </is>
      </c>
      <c r="C409" s="156" t="inlineStr">
        <is>
          <t>DT-523</t>
        </is>
      </c>
      <c r="D409" s="156" t="inlineStr">
        <is>
          <t>SKT 105S</t>
        </is>
      </c>
      <c r="E409" s="156" t="inlineStr">
        <is>
          <t>Hauler</t>
        </is>
      </c>
      <c r="F409" s="156" t="inlineStr">
        <is>
          <t>Hauling Coal</t>
        </is>
      </c>
      <c r="G409" s="182" t="n">
        <v>1.27</v>
      </c>
      <c r="H409" s="182" t="n">
        <v>0</v>
      </c>
      <c r="I409" s="182" t="n">
        <v>0</v>
      </c>
      <c r="J409" s="182" t="n">
        <v>0</v>
      </c>
      <c r="K409" s="182" t="n">
        <v>10.73</v>
      </c>
      <c r="L409" s="182" t="n">
        <v>12</v>
      </c>
      <c r="M409" s="182" t="n">
        <v>0</v>
      </c>
      <c r="N409" s="182" t="n">
        <v>1.27</v>
      </c>
      <c r="O409" s="183" t="n">
        <v>0</v>
      </c>
      <c r="P409" s="183" t="n">
        <v>3</v>
      </c>
      <c r="Q409" s="184" t="n">
        <v>0</v>
      </c>
      <c r="R409" s="184" t="n">
        <v>56.1</v>
      </c>
      <c r="S409" s="183" t="n">
        <v>0</v>
      </c>
      <c r="T409" s="183" t="n">
        <v>0</v>
      </c>
      <c r="U409" s="182" t="n">
        <v>3.45</v>
      </c>
      <c r="V409" s="182" t="n">
        <v>3.07</v>
      </c>
      <c r="W409" s="182" t="n">
        <v>0</v>
      </c>
      <c r="X409" s="182" t="n">
        <v>1.02</v>
      </c>
      <c r="Y409" s="182" t="n">
        <v>0</v>
      </c>
      <c r="Z409" s="182" t="n">
        <v>0</v>
      </c>
      <c r="AA409" s="182" t="n">
        <v>0</v>
      </c>
      <c r="AB409" s="182" t="n">
        <v>0</v>
      </c>
      <c r="AC409" s="182" t="n">
        <v>0</v>
      </c>
      <c r="AD409" s="182" t="n">
        <v>0</v>
      </c>
      <c r="AE409" s="182" t="n">
        <v>0</v>
      </c>
      <c r="AF409" s="182" t="n">
        <v>0</v>
      </c>
      <c r="AG409" s="182" t="n">
        <v>0</v>
      </c>
      <c r="AH409" s="182" t="n">
        <v>0</v>
      </c>
      <c r="AI409" s="182" t="n">
        <v>0</v>
      </c>
      <c r="AJ409" s="182" t="n">
        <v>0</v>
      </c>
      <c r="AK409" s="182" t="n">
        <v>3.11</v>
      </c>
      <c r="AL409" s="182" t="n">
        <v>0</v>
      </c>
      <c r="AM409" s="182" t="n">
        <v>0.08</v>
      </c>
      <c r="AN409" s="182" t="n">
        <v>0</v>
      </c>
    </row>
    <row r="410">
      <c r="A410" s="155" t="n">
        <v>46083</v>
      </c>
      <c r="B410" s="156" t="inlineStr">
        <is>
          <t>NS</t>
        </is>
      </c>
      <c r="C410" s="156" t="inlineStr">
        <is>
          <t>DT-519</t>
        </is>
      </c>
      <c r="D410" s="156" t="inlineStr">
        <is>
          <t>SKT 105S</t>
        </is>
      </c>
      <c r="E410" s="156" t="inlineStr">
        <is>
          <t>Hauler</t>
        </is>
      </c>
      <c r="F410" s="156" t="inlineStr"/>
      <c r="G410" s="182" t="n">
        <v>0</v>
      </c>
      <c r="H410" s="182" t="n">
        <v>0</v>
      </c>
      <c r="I410" s="182" t="n">
        <v>0</v>
      </c>
      <c r="J410" s="182" t="n">
        <v>0</v>
      </c>
      <c r="K410" s="182" t="n">
        <v>12</v>
      </c>
      <c r="L410" s="182" t="n">
        <v>12</v>
      </c>
      <c r="M410" s="182" t="n">
        <v>0</v>
      </c>
      <c r="N410" s="182" t="n">
        <v>0</v>
      </c>
      <c r="O410" s="183" t="n">
        <v>0</v>
      </c>
      <c r="P410" s="183" t="n">
        <v>0</v>
      </c>
      <c r="Q410" s="184" t="n">
        <v>0</v>
      </c>
      <c r="R410" s="184" t="n">
        <v>0</v>
      </c>
      <c r="S410" s="183" t="n">
        <v>0</v>
      </c>
      <c r="T410" s="183" t="n">
        <v>0</v>
      </c>
      <c r="U410" s="182" t="n">
        <v>0</v>
      </c>
      <c r="V410" s="182" t="n">
        <v>0</v>
      </c>
      <c r="W410" s="182" t="n">
        <v>0</v>
      </c>
      <c r="X410" s="182" t="n">
        <v>1</v>
      </c>
      <c r="Y410" s="182" t="n">
        <v>0</v>
      </c>
      <c r="Z410" s="182" t="n">
        <v>0</v>
      </c>
      <c r="AA410" s="182" t="n">
        <v>0</v>
      </c>
      <c r="AB410" s="182" t="n">
        <v>0</v>
      </c>
      <c r="AC410" s="182" t="n">
        <v>0</v>
      </c>
      <c r="AD410" s="182" t="n">
        <v>0</v>
      </c>
      <c r="AE410" s="182" t="n">
        <v>0</v>
      </c>
      <c r="AF410" s="182" t="n">
        <v>0</v>
      </c>
      <c r="AG410" s="182" t="n">
        <v>0</v>
      </c>
      <c r="AH410" s="182" t="n">
        <v>0</v>
      </c>
      <c r="AI410" s="182" t="n">
        <v>0</v>
      </c>
      <c r="AJ410" s="182" t="n">
        <v>0</v>
      </c>
      <c r="AK410" s="182" t="n">
        <v>10.92</v>
      </c>
      <c r="AL410" s="182" t="n">
        <v>0</v>
      </c>
      <c r="AM410" s="182" t="n">
        <v>0.08</v>
      </c>
      <c r="AN410" s="182" t="n">
        <v>0</v>
      </c>
    </row>
    <row r="411">
      <c r="A411" s="155" t="n">
        <v>46083</v>
      </c>
      <c r="B411" s="156" t="inlineStr">
        <is>
          <t>NS</t>
        </is>
      </c>
      <c r="C411" s="156" t="inlineStr">
        <is>
          <t>DT-527</t>
        </is>
      </c>
      <c r="D411" s="156" t="inlineStr">
        <is>
          <t>SKT 105S</t>
        </is>
      </c>
      <c r="E411" s="156" t="inlineStr">
        <is>
          <t>Hauler</t>
        </is>
      </c>
      <c r="F411" s="156" t="inlineStr">
        <is>
          <t>Hauling Coal &amp; OB</t>
        </is>
      </c>
      <c r="G411" s="182" t="n">
        <v>4.04</v>
      </c>
      <c r="H411" s="182" t="n">
        <v>0</v>
      </c>
      <c r="I411" s="182" t="n">
        <v>0</v>
      </c>
      <c r="J411" s="182" t="n">
        <v>0</v>
      </c>
      <c r="K411" s="182" t="n">
        <v>7.96</v>
      </c>
      <c r="L411" s="182" t="n">
        <v>12</v>
      </c>
      <c r="M411" s="182" t="n">
        <v>2.12</v>
      </c>
      <c r="N411" s="182" t="n">
        <v>1.92</v>
      </c>
      <c r="O411" s="183" t="n">
        <v>7</v>
      </c>
      <c r="P411" s="183" t="n">
        <v>3</v>
      </c>
      <c r="Q411" s="184" t="n">
        <v>142.8</v>
      </c>
      <c r="R411" s="184" t="n">
        <v>56.1</v>
      </c>
      <c r="S411" s="183" t="n">
        <v>0</v>
      </c>
      <c r="T411" s="183" t="n">
        <v>0</v>
      </c>
      <c r="U411" s="182" t="n">
        <v>3.45</v>
      </c>
      <c r="V411" s="182" t="n">
        <v>3.41</v>
      </c>
      <c r="W411" s="182" t="n">
        <v>0</v>
      </c>
      <c r="X411" s="182" t="n">
        <v>1.02</v>
      </c>
      <c r="Y411" s="182" t="n">
        <v>0</v>
      </c>
      <c r="Z411" s="182" t="n">
        <v>0</v>
      </c>
      <c r="AA411" s="182" t="n">
        <v>0</v>
      </c>
      <c r="AB411" s="182" t="n">
        <v>0</v>
      </c>
      <c r="AC411" s="182" t="n">
        <v>0</v>
      </c>
      <c r="AD411" s="182" t="n">
        <v>0</v>
      </c>
      <c r="AE411" s="182" t="n">
        <v>0</v>
      </c>
      <c r="AF411" s="182" t="n">
        <v>0</v>
      </c>
      <c r="AG411" s="182" t="n">
        <v>0</v>
      </c>
      <c r="AH411" s="182" t="n">
        <v>0</v>
      </c>
      <c r="AI411" s="182" t="n">
        <v>0</v>
      </c>
      <c r="AJ411" s="182" t="n">
        <v>0</v>
      </c>
      <c r="AK411" s="182" t="n">
        <v>0</v>
      </c>
      <c r="AL411" s="182" t="n">
        <v>0</v>
      </c>
      <c r="AM411" s="182" t="n">
        <v>0.08</v>
      </c>
      <c r="AN411" s="182" t="n">
        <v>0</v>
      </c>
    </row>
    <row r="412">
      <c r="A412" s="155" t="n">
        <v>46083</v>
      </c>
      <c r="B412" s="156" t="inlineStr">
        <is>
          <t>NS</t>
        </is>
      </c>
      <c r="C412" s="156" t="inlineStr">
        <is>
          <t>DT-513</t>
        </is>
      </c>
      <c r="D412" s="156" t="inlineStr">
        <is>
          <t>SKT 105S</t>
        </is>
      </c>
      <c r="E412" s="156" t="inlineStr">
        <is>
          <t>Hauler</t>
        </is>
      </c>
      <c r="F412" s="156" t="inlineStr">
        <is>
          <t>Hauling OB</t>
        </is>
      </c>
      <c r="G412" s="182" t="n">
        <v>3.21</v>
      </c>
      <c r="H412" s="182" t="n">
        <v>0</v>
      </c>
      <c r="I412" s="182" t="n">
        <v>0</v>
      </c>
      <c r="J412" s="182" t="n">
        <v>0</v>
      </c>
      <c r="K412" s="182" t="n">
        <v>8.789999999999999</v>
      </c>
      <c r="L412" s="182" t="n">
        <v>12</v>
      </c>
      <c r="M412" s="182" t="n">
        <v>3.21</v>
      </c>
      <c r="N412" s="182" t="n">
        <v>0</v>
      </c>
      <c r="O412" s="183" t="n">
        <v>12</v>
      </c>
      <c r="P412" s="183" t="n">
        <v>0</v>
      </c>
      <c r="Q412" s="184" t="n">
        <v>244.8</v>
      </c>
      <c r="R412" s="184" t="n">
        <v>0</v>
      </c>
      <c r="S412" s="183" t="n">
        <v>0</v>
      </c>
      <c r="T412" s="183" t="n">
        <v>0</v>
      </c>
      <c r="U412" s="182" t="n">
        <v>3.38</v>
      </c>
      <c r="V412" s="182" t="n">
        <v>3</v>
      </c>
      <c r="W412" s="182" t="n">
        <v>0</v>
      </c>
      <c r="X412" s="182" t="n">
        <v>1</v>
      </c>
      <c r="Y412" s="182" t="n">
        <v>0</v>
      </c>
      <c r="Z412" s="182" t="n">
        <v>0</v>
      </c>
      <c r="AA412" s="182" t="n">
        <v>1.34</v>
      </c>
      <c r="AB412" s="182" t="n">
        <v>0</v>
      </c>
      <c r="AC412" s="182" t="n">
        <v>0</v>
      </c>
      <c r="AD412" s="182" t="n">
        <v>0</v>
      </c>
      <c r="AE412" s="182" t="n">
        <v>0</v>
      </c>
      <c r="AF412" s="182" t="n">
        <v>0</v>
      </c>
      <c r="AG412" s="182" t="n">
        <v>0</v>
      </c>
      <c r="AH412" s="182" t="n">
        <v>0</v>
      </c>
      <c r="AI412" s="182" t="n">
        <v>0</v>
      </c>
      <c r="AJ412" s="182" t="n">
        <v>0</v>
      </c>
      <c r="AK412" s="182" t="n">
        <v>0</v>
      </c>
      <c r="AL412" s="182" t="n">
        <v>0</v>
      </c>
      <c r="AM412" s="182" t="n">
        <v>0.08</v>
      </c>
      <c r="AN412" s="182" t="n">
        <v>0</v>
      </c>
    </row>
    <row r="413">
      <c r="A413" s="155" t="n">
        <v>46083</v>
      </c>
      <c r="B413" s="156" t="inlineStr">
        <is>
          <t>NS</t>
        </is>
      </c>
      <c r="C413" s="156" t="inlineStr">
        <is>
          <t>DT-512</t>
        </is>
      </c>
      <c r="D413" s="156" t="inlineStr">
        <is>
          <t>SKT 105S</t>
        </is>
      </c>
      <c r="E413" s="156" t="inlineStr">
        <is>
          <t>Hauler</t>
        </is>
      </c>
      <c r="F413" s="156" t="inlineStr">
        <is>
          <t>Hauling OB</t>
        </is>
      </c>
      <c r="G413" s="182" t="n">
        <v>1.26</v>
      </c>
      <c r="H413" s="182" t="n">
        <v>0</v>
      </c>
      <c r="I413" s="182" t="n">
        <v>0</v>
      </c>
      <c r="J413" s="182" t="n">
        <v>0</v>
      </c>
      <c r="K413" s="182" t="n">
        <v>10.74</v>
      </c>
      <c r="L413" s="182" t="n">
        <v>12</v>
      </c>
      <c r="M413" s="182" t="n">
        <v>1.26</v>
      </c>
      <c r="N413" s="182" t="n">
        <v>0</v>
      </c>
      <c r="O413" s="183" t="n">
        <v>5</v>
      </c>
      <c r="P413" s="183" t="n">
        <v>0</v>
      </c>
      <c r="Q413" s="184" t="n">
        <v>102</v>
      </c>
      <c r="R413" s="184" t="n">
        <v>0</v>
      </c>
      <c r="S413" s="183" t="n">
        <v>0</v>
      </c>
      <c r="T413" s="183" t="n">
        <v>0</v>
      </c>
      <c r="U413" s="182" t="n">
        <v>3.52</v>
      </c>
      <c r="V413" s="182" t="n">
        <v>3.13</v>
      </c>
      <c r="W413" s="182" t="n">
        <v>0</v>
      </c>
      <c r="X413" s="182" t="n">
        <v>1.04</v>
      </c>
      <c r="Y413" s="182" t="n">
        <v>0</v>
      </c>
      <c r="Z413" s="182" t="n">
        <v>0</v>
      </c>
      <c r="AA413" s="182" t="n">
        <v>0</v>
      </c>
      <c r="AB413" s="182" t="n">
        <v>0</v>
      </c>
      <c r="AC413" s="182" t="n">
        <v>0</v>
      </c>
      <c r="AD413" s="182" t="n">
        <v>0</v>
      </c>
      <c r="AE413" s="182" t="n">
        <v>0</v>
      </c>
      <c r="AF413" s="182" t="n">
        <v>0</v>
      </c>
      <c r="AG413" s="182" t="n">
        <v>0</v>
      </c>
      <c r="AH413" s="182" t="n">
        <v>0</v>
      </c>
      <c r="AI413" s="182" t="n">
        <v>0</v>
      </c>
      <c r="AJ413" s="182" t="n">
        <v>0</v>
      </c>
      <c r="AK413" s="182" t="n">
        <v>2.96</v>
      </c>
      <c r="AL413" s="182" t="n">
        <v>0</v>
      </c>
      <c r="AM413" s="182" t="n">
        <v>0.08</v>
      </c>
      <c r="AN413" s="182" t="n">
        <v>0</v>
      </c>
    </row>
    <row r="414">
      <c r="A414" s="155" t="n">
        <v>46083</v>
      </c>
      <c r="B414" s="156" t="inlineStr">
        <is>
          <t>NS</t>
        </is>
      </c>
      <c r="C414" s="156" t="inlineStr">
        <is>
          <t>DT-522</t>
        </is>
      </c>
      <c r="D414" s="156" t="inlineStr">
        <is>
          <t>SKT 105S</t>
        </is>
      </c>
      <c r="E414" s="156" t="inlineStr">
        <is>
          <t>Hauler</t>
        </is>
      </c>
      <c r="F414" s="156" t="inlineStr"/>
      <c r="G414" s="182" t="n">
        <v>0</v>
      </c>
      <c r="H414" s="182" t="n">
        <v>12</v>
      </c>
      <c r="I414" s="182" t="n">
        <v>0</v>
      </c>
      <c r="J414" s="182" t="n">
        <v>12</v>
      </c>
      <c r="K414" s="182" t="n">
        <v>0</v>
      </c>
      <c r="L414" s="182" t="n">
        <v>12</v>
      </c>
      <c r="M414" s="182" t="n">
        <v>0</v>
      </c>
      <c r="N414" s="182" t="n">
        <v>0</v>
      </c>
      <c r="O414" s="183" t="n">
        <v>0</v>
      </c>
      <c r="P414" s="183" t="n">
        <v>0</v>
      </c>
      <c r="Q414" s="184" t="n">
        <v>0</v>
      </c>
      <c r="R414" s="184" t="n">
        <v>0</v>
      </c>
      <c r="S414" s="183" t="n">
        <v>0</v>
      </c>
      <c r="T414" s="183" t="n">
        <v>0</v>
      </c>
      <c r="U414" s="182" t="n">
        <v>0</v>
      </c>
      <c r="V414" s="182" t="n">
        <v>0</v>
      </c>
      <c r="W414" s="182" t="n">
        <v>0</v>
      </c>
      <c r="X414" s="182" t="n">
        <v>0</v>
      </c>
      <c r="Y414" s="182" t="n">
        <v>0</v>
      </c>
      <c r="Z414" s="182" t="n">
        <v>0</v>
      </c>
      <c r="AA414" s="182" t="n">
        <v>0</v>
      </c>
      <c r="AB414" s="182" t="n">
        <v>0</v>
      </c>
      <c r="AC414" s="182" t="n">
        <v>0</v>
      </c>
      <c r="AD414" s="182" t="n">
        <v>0</v>
      </c>
      <c r="AE414" s="182" t="n">
        <v>0</v>
      </c>
      <c r="AF414" s="182" t="n">
        <v>0</v>
      </c>
      <c r="AG414" s="182" t="n">
        <v>0</v>
      </c>
      <c r="AH414" s="182" t="n">
        <v>0</v>
      </c>
      <c r="AI414" s="182" t="n">
        <v>0</v>
      </c>
      <c r="AJ414" s="182" t="n">
        <v>0</v>
      </c>
      <c r="AK414" s="182" t="n">
        <v>0</v>
      </c>
      <c r="AL414" s="182" t="n">
        <v>0</v>
      </c>
      <c r="AM414" s="182" t="n">
        <v>0</v>
      </c>
      <c r="AN414" s="182" t="n">
        <v>0</v>
      </c>
    </row>
    <row r="415">
      <c r="A415" s="155" t="n">
        <v>46083</v>
      </c>
      <c r="B415" s="156" t="inlineStr">
        <is>
          <t>NS</t>
        </is>
      </c>
      <c r="C415" s="156" t="inlineStr">
        <is>
          <t>DT-517</t>
        </is>
      </c>
      <c r="D415" s="156" t="inlineStr">
        <is>
          <t>SKT 105S</t>
        </is>
      </c>
      <c r="E415" s="156" t="inlineStr">
        <is>
          <t>Hauler</t>
        </is>
      </c>
      <c r="F415" s="156" t="inlineStr">
        <is>
          <t>Hauling OB</t>
        </is>
      </c>
      <c r="G415" s="182" t="n">
        <v>1.48</v>
      </c>
      <c r="H415" s="182" t="n">
        <v>0</v>
      </c>
      <c r="I415" s="182" t="n">
        <v>2.62</v>
      </c>
      <c r="J415" s="182" t="n">
        <v>2.62</v>
      </c>
      <c r="K415" s="182" t="n">
        <v>7.9</v>
      </c>
      <c r="L415" s="182" t="n">
        <v>12</v>
      </c>
      <c r="M415" s="182" t="n">
        <v>1.48</v>
      </c>
      <c r="N415" s="182" t="n">
        <v>0</v>
      </c>
      <c r="O415" s="183" t="n">
        <v>8</v>
      </c>
      <c r="P415" s="183" t="n">
        <v>0</v>
      </c>
      <c r="Q415" s="184" t="n">
        <v>163.2</v>
      </c>
      <c r="R415" s="184" t="n">
        <v>0</v>
      </c>
      <c r="S415" s="183" t="n">
        <v>0</v>
      </c>
      <c r="T415" s="183" t="n">
        <v>0</v>
      </c>
      <c r="U415" s="182" t="n">
        <v>3.57</v>
      </c>
      <c r="V415" s="182" t="n">
        <v>3.19</v>
      </c>
      <c r="W415" s="182" t="n">
        <v>0</v>
      </c>
      <c r="X415" s="182" t="n">
        <v>1.06</v>
      </c>
      <c r="Y415" s="182" t="n">
        <v>0</v>
      </c>
      <c r="Z415" s="182" t="n">
        <v>0</v>
      </c>
      <c r="AA415" s="182" t="n">
        <v>0</v>
      </c>
      <c r="AB415" s="182" t="n">
        <v>0</v>
      </c>
      <c r="AC415" s="182" t="n">
        <v>0</v>
      </c>
      <c r="AD415" s="182" t="n">
        <v>0</v>
      </c>
      <c r="AE415" s="182" t="n">
        <v>0</v>
      </c>
      <c r="AF415" s="182" t="n">
        <v>0</v>
      </c>
      <c r="AG415" s="182" t="n">
        <v>0</v>
      </c>
      <c r="AH415" s="182" t="n">
        <v>0</v>
      </c>
      <c r="AI415" s="182" t="n">
        <v>0</v>
      </c>
      <c r="AJ415" s="182" t="n">
        <v>0</v>
      </c>
      <c r="AK415" s="182" t="n">
        <v>0</v>
      </c>
      <c r="AL415" s="182" t="n">
        <v>0</v>
      </c>
      <c r="AM415" s="182" t="n">
        <v>0.08</v>
      </c>
      <c r="AN415" s="182" t="n">
        <v>0</v>
      </c>
    </row>
    <row r="416">
      <c r="A416" s="155" t="n">
        <v>46083</v>
      </c>
      <c r="B416" s="156" t="inlineStr">
        <is>
          <t>NS</t>
        </is>
      </c>
      <c r="C416" s="156" t="inlineStr">
        <is>
          <t>DT-510</t>
        </is>
      </c>
      <c r="D416" s="156" t="inlineStr">
        <is>
          <t>SKT 105S</t>
        </is>
      </c>
      <c r="E416" s="156" t="inlineStr">
        <is>
          <t>Hauler</t>
        </is>
      </c>
      <c r="F416" s="156" t="inlineStr">
        <is>
          <t>Hauling Coal</t>
        </is>
      </c>
      <c r="G416" s="182" t="n">
        <v>1.55</v>
      </c>
      <c r="H416" s="182" t="n">
        <v>0</v>
      </c>
      <c r="I416" s="182" t="n">
        <v>0.83</v>
      </c>
      <c r="J416" s="182" t="n">
        <v>0.83</v>
      </c>
      <c r="K416" s="182" t="n">
        <v>9.619999999999999</v>
      </c>
      <c r="L416" s="182" t="n">
        <v>12</v>
      </c>
      <c r="M416" s="182" t="n">
        <v>0</v>
      </c>
      <c r="N416" s="182" t="n">
        <v>1.55</v>
      </c>
      <c r="O416" s="183" t="n">
        <v>0</v>
      </c>
      <c r="P416" s="183" t="n">
        <v>3</v>
      </c>
      <c r="Q416" s="184" t="n">
        <v>0</v>
      </c>
      <c r="R416" s="184" t="n">
        <v>56.1</v>
      </c>
      <c r="S416" s="183" t="n">
        <v>0</v>
      </c>
      <c r="T416" s="183" t="n">
        <v>0</v>
      </c>
      <c r="U416" s="182" t="n">
        <v>3.36</v>
      </c>
      <c r="V416" s="182" t="n">
        <v>3.68</v>
      </c>
      <c r="W416" s="182" t="n">
        <v>0</v>
      </c>
      <c r="X416" s="182" t="n">
        <v>0.99</v>
      </c>
      <c r="Y416" s="182" t="n">
        <v>0</v>
      </c>
      <c r="Z416" s="182" t="n">
        <v>0</v>
      </c>
      <c r="AA416" s="182" t="n">
        <v>0</v>
      </c>
      <c r="AB416" s="182" t="n">
        <v>0</v>
      </c>
      <c r="AC416" s="182" t="n">
        <v>0</v>
      </c>
      <c r="AD416" s="182" t="n">
        <v>0</v>
      </c>
      <c r="AE416" s="182" t="n">
        <v>0</v>
      </c>
      <c r="AF416" s="182" t="n">
        <v>0</v>
      </c>
      <c r="AG416" s="182" t="n">
        <v>0</v>
      </c>
      <c r="AH416" s="182" t="n">
        <v>0</v>
      </c>
      <c r="AI416" s="182" t="n">
        <v>0</v>
      </c>
      <c r="AJ416" s="182" t="n">
        <v>0</v>
      </c>
      <c r="AK416" s="182" t="n">
        <v>1.49</v>
      </c>
      <c r="AL416" s="182" t="n">
        <v>0</v>
      </c>
      <c r="AM416" s="182" t="n">
        <v>0.08</v>
      </c>
      <c r="AN416" s="182" t="n">
        <v>0</v>
      </c>
    </row>
    <row r="417">
      <c r="A417" s="155" t="n">
        <v>46083</v>
      </c>
      <c r="B417" s="156" t="inlineStr">
        <is>
          <t>NS</t>
        </is>
      </c>
      <c r="C417" s="156" t="inlineStr">
        <is>
          <t>DT-521</t>
        </is>
      </c>
      <c r="D417" s="156" t="inlineStr">
        <is>
          <t>SKT 105S</t>
        </is>
      </c>
      <c r="E417" s="156" t="inlineStr">
        <is>
          <t>Hauler</t>
        </is>
      </c>
      <c r="F417" s="156" t="inlineStr">
        <is>
          <t>Hauling Coal &amp; OB</t>
        </is>
      </c>
      <c r="G417" s="182" t="n">
        <v>3.95</v>
      </c>
      <c r="H417" s="182" t="n">
        <v>0</v>
      </c>
      <c r="I417" s="182" t="n">
        <v>0</v>
      </c>
      <c r="J417" s="182" t="n">
        <v>0</v>
      </c>
      <c r="K417" s="182" t="n">
        <v>8.050000000000001</v>
      </c>
      <c r="L417" s="182" t="n">
        <v>12</v>
      </c>
      <c r="M417" s="182" t="n">
        <v>2.02</v>
      </c>
      <c r="N417" s="182" t="n">
        <v>1.93</v>
      </c>
      <c r="O417" s="183" t="n">
        <v>7</v>
      </c>
      <c r="P417" s="183" t="n">
        <v>3</v>
      </c>
      <c r="Q417" s="184" t="n">
        <v>142.8</v>
      </c>
      <c r="R417" s="184" t="n">
        <v>56.1</v>
      </c>
      <c r="S417" s="183" t="n">
        <v>0</v>
      </c>
      <c r="T417" s="183" t="n">
        <v>0</v>
      </c>
      <c r="U417" s="182" t="n">
        <v>3.44</v>
      </c>
      <c r="V417" s="182" t="n">
        <v>3.51</v>
      </c>
      <c r="W417" s="182" t="n">
        <v>0</v>
      </c>
      <c r="X417" s="182" t="n">
        <v>1.02</v>
      </c>
      <c r="Y417" s="182" t="n">
        <v>0</v>
      </c>
      <c r="Z417" s="182" t="n">
        <v>0</v>
      </c>
      <c r="AA417" s="182" t="n">
        <v>0</v>
      </c>
      <c r="AB417" s="182" t="n">
        <v>0</v>
      </c>
      <c r="AC417" s="182" t="n">
        <v>0</v>
      </c>
      <c r="AD417" s="182" t="n">
        <v>0</v>
      </c>
      <c r="AE417" s="182" t="n">
        <v>0</v>
      </c>
      <c r="AF417" s="182" t="n">
        <v>0</v>
      </c>
      <c r="AG417" s="182" t="n">
        <v>0</v>
      </c>
      <c r="AH417" s="182" t="n">
        <v>0</v>
      </c>
      <c r="AI417" s="182" t="n">
        <v>0</v>
      </c>
      <c r="AJ417" s="182" t="n">
        <v>0</v>
      </c>
      <c r="AK417" s="182" t="n">
        <v>0</v>
      </c>
      <c r="AL417" s="182" t="n">
        <v>0</v>
      </c>
      <c r="AM417" s="182" t="n">
        <v>0.08</v>
      </c>
      <c r="AN417" s="182" t="n">
        <v>0</v>
      </c>
    </row>
    <row r="418">
      <c r="A418" s="155" t="n">
        <v>46083</v>
      </c>
      <c r="B418" s="156" t="inlineStr">
        <is>
          <t>NS</t>
        </is>
      </c>
      <c r="C418" s="156" t="inlineStr">
        <is>
          <t>DT-516</t>
        </is>
      </c>
      <c r="D418" s="156" t="inlineStr">
        <is>
          <t>SKT 105S</t>
        </is>
      </c>
      <c r="E418" s="156" t="inlineStr">
        <is>
          <t>Hauler</t>
        </is>
      </c>
      <c r="F418" s="156" t="inlineStr">
        <is>
          <t>Hauling OB</t>
        </is>
      </c>
      <c r="G418" s="182" t="n">
        <v>2.16</v>
      </c>
      <c r="H418" s="182" t="n">
        <v>0</v>
      </c>
      <c r="I418" s="182" t="n">
        <v>0</v>
      </c>
      <c r="J418" s="182" t="n">
        <v>0</v>
      </c>
      <c r="K418" s="182" t="n">
        <v>9.84</v>
      </c>
      <c r="L418" s="182" t="n">
        <v>12</v>
      </c>
      <c r="M418" s="182" t="n">
        <v>2.16</v>
      </c>
      <c r="N418" s="182" t="n">
        <v>0</v>
      </c>
      <c r="O418" s="183" t="n">
        <v>3</v>
      </c>
      <c r="P418" s="183" t="n">
        <v>0</v>
      </c>
      <c r="Q418" s="184" t="n">
        <v>61.2</v>
      </c>
      <c r="R418" s="184" t="n">
        <v>0</v>
      </c>
      <c r="S418" s="183" t="n">
        <v>0</v>
      </c>
      <c r="T418" s="183" t="n">
        <v>0</v>
      </c>
      <c r="U418" s="182" t="n">
        <v>3.29</v>
      </c>
      <c r="V418" s="182" t="n">
        <v>2.92</v>
      </c>
      <c r="W418" s="182" t="n">
        <v>0</v>
      </c>
      <c r="X418" s="182" t="n">
        <v>0.97</v>
      </c>
      <c r="Y418" s="182" t="n">
        <v>0</v>
      </c>
      <c r="Z418" s="182" t="n">
        <v>0</v>
      </c>
      <c r="AA418" s="182" t="n">
        <v>0</v>
      </c>
      <c r="AB418" s="182" t="n">
        <v>0</v>
      </c>
      <c r="AC418" s="182" t="n">
        <v>0</v>
      </c>
      <c r="AD418" s="182" t="n">
        <v>0</v>
      </c>
      <c r="AE418" s="182" t="n">
        <v>0</v>
      </c>
      <c r="AF418" s="182" t="n">
        <v>0</v>
      </c>
      <c r="AG418" s="182" t="n">
        <v>0</v>
      </c>
      <c r="AH418" s="182" t="n">
        <v>0.49</v>
      </c>
      <c r="AI418" s="182" t="n">
        <v>0</v>
      </c>
      <c r="AJ418" s="182" t="n">
        <v>0</v>
      </c>
      <c r="AK418" s="182" t="n">
        <v>2.08</v>
      </c>
      <c r="AL418" s="182" t="n">
        <v>0</v>
      </c>
      <c r="AM418" s="182" t="n">
        <v>0.08</v>
      </c>
      <c r="AN418" s="182" t="n">
        <v>0</v>
      </c>
    </row>
    <row r="419">
      <c r="A419" s="155" t="n">
        <v>46083</v>
      </c>
      <c r="B419" s="156" t="inlineStr">
        <is>
          <t>NS</t>
        </is>
      </c>
      <c r="C419" s="156" t="inlineStr">
        <is>
          <t>DT-506</t>
        </is>
      </c>
      <c r="D419" s="156" t="inlineStr">
        <is>
          <t>SKT 105S</t>
        </is>
      </c>
      <c r="E419" s="156" t="inlineStr">
        <is>
          <t>Hauler</t>
        </is>
      </c>
      <c r="F419" s="156" t="inlineStr">
        <is>
          <t>Hauling Coal &amp; OB</t>
        </is>
      </c>
      <c r="G419" s="182" t="n">
        <v>4</v>
      </c>
      <c r="H419" s="182" t="n">
        <v>0</v>
      </c>
      <c r="I419" s="182" t="n">
        <v>0</v>
      </c>
      <c r="J419" s="182" t="n">
        <v>0</v>
      </c>
      <c r="K419" s="182" t="n">
        <v>8</v>
      </c>
      <c r="L419" s="182" t="n">
        <v>12</v>
      </c>
      <c r="M419" s="182" t="n">
        <v>2.05</v>
      </c>
      <c r="N419" s="182" t="n">
        <v>1.95</v>
      </c>
      <c r="O419" s="183" t="n">
        <v>10</v>
      </c>
      <c r="P419" s="183" t="n">
        <v>3</v>
      </c>
      <c r="Q419" s="184" t="n">
        <v>204</v>
      </c>
      <c r="R419" s="184" t="n">
        <v>56.1</v>
      </c>
      <c r="S419" s="183" t="n">
        <v>0</v>
      </c>
      <c r="T419" s="183" t="n">
        <v>0</v>
      </c>
      <c r="U419" s="182" t="n">
        <v>3.42</v>
      </c>
      <c r="V419" s="182" t="n">
        <v>3.48</v>
      </c>
      <c r="W419" s="182" t="n">
        <v>0</v>
      </c>
      <c r="X419" s="182" t="n">
        <v>1.01</v>
      </c>
      <c r="Y419" s="182" t="n">
        <v>0</v>
      </c>
      <c r="Z419" s="182" t="n">
        <v>0</v>
      </c>
      <c r="AA419" s="182" t="n">
        <v>0</v>
      </c>
      <c r="AB419" s="182" t="n">
        <v>0</v>
      </c>
      <c r="AC419" s="182" t="n">
        <v>0</v>
      </c>
      <c r="AD419" s="182" t="n">
        <v>0</v>
      </c>
      <c r="AE419" s="182" t="n">
        <v>0</v>
      </c>
      <c r="AF419" s="182" t="n">
        <v>0</v>
      </c>
      <c r="AG419" s="182" t="n">
        <v>0</v>
      </c>
      <c r="AH419" s="182" t="n">
        <v>0</v>
      </c>
      <c r="AI419" s="182" t="n">
        <v>0</v>
      </c>
      <c r="AJ419" s="182" t="n">
        <v>0</v>
      </c>
      <c r="AK419" s="182" t="n">
        <v>0</v>
      </c>
      <c r="AL419" s="182" t="n">
        <v>0</v>
      </c>
      <c r="AM419" s="182" t="n">
        <v>0.08</v>
      </c>
      <c r="AN419" s="182" t="n">
        <v>0</v>
      </c>
    </row>
    <row r="420">
      <c r="A420" s="155" t="n">
        <v>46083</v>
      </c>
      <c r="B420" s="156" t="inlineStr">
        <is>
          <t>NS</t>
        </is>
      </c>
      <c r="C420" s="156" t="inlineStr">
        <is>
          <t>DT-502</t>
        </is>
      </c>
      <c r="D420" s="156" t="inlineStr">
        <is>
          <t>SKT 105S</t>
        </is>
      </c>
      <c r="E420" s="156" t="inlineStr">
        <is>
          <t>Hauler</t>
        </is>
      </c>
      <c r="F420" s="156" t="inlineStr">
        <is>
          <t>Hauling OB</t>
        </is>
      </c>
      <c r="G420" s="182" t="n">
        <v>4.17</v>
      </c>
      <c r="H420" s="182" t="n">
        <v>0</v>
      </c>
      <c r="I420" s="182" t="n">
        <v>0</v>
      </c>
      <c r="J420" s="182" t="n">
        <v>0</v>
      </c>
      <c r="K420" s="182" t="n">
        <v>7.83</v>
      </c>
      <c r="L420" s="182" t="n">
        <v>12</v>
      </c>
      <c r="M420" s="182" t="n">
        <v>4.17</v>
      </c>
      <c r="N420" s="182" t="n">
        <v>0</v>
      </c>
      <c r="O420" s="183" t="n">
        <v>17</v>
      </c>
      <c r="P420" s="183" t="n">
        <v>0</v>
      </c>
      <c r="Q420" s="184" t="n">
        <v>346.8</v>
      </c>
      <c r="R420" s="184" t="n">
        <v>0</v>
      </c>
      <c r="S420" s="183" t="n">
        <v>0</v>
      </c>
      <c r="T420" s="183" t="n">
        <v>0</v>
      </c>
      <c r="U420" s="182" t="n">
        <v>3.48</v>
      </c>
      <c r="V420" s="182" t="n">
        <v>3.24</v>
      </c>
      <c r="W420" s="182" t="n">
        <v>0</v>
      </c>
      <c r="X420" s="182" t="n">
        <v>1.03</v>
      </c>
      <c r="Y420" s="182" t="n">
        <v>0</v>
      </c>
      <c r="Z420" s="182" t="n">
        <v>0</v>
      </c>
      <c r="AA420" s="182" t="n">
        <v>0</v>
      </c>
      <c r="AB420" s="182" t="n">
        <v>0</v>
      </c>
      <c r="AC420" s="182" t="n">
        <v>0</v>
      </c>
      <c r="AD420" s="182" t="n">
        <v>0</v>
      </c>
      <c r="AE420" s="182" t="n">
        <v>0</v>
      </c>
      <c r="AF420" s="182" t="n">
        <v>0</v>
      </c>
      <c r="AG420" s="182" t="n">
        <v>0</v>
      </c>
      <c r="AH420" s="182" t="n">
        <v>0</v>
      </c>
      <c r="AI420" s="182" t="n">
        <v>0</v>
      </c>
      <c r="AJ420" s="182" t="n">
        <v>0</v>
      </c>
      <c r="AK420" s="182" t="n">
        <v>0</v>
      </c>
      <c r="AL420" s="182" t="n">
        <v>0</v>
      </c>
      <c r="AM420" s="182" t="n">
        <v>0.08</v>
      </c>
      <c r="AN420" s="182" t="n">
        <v>0</v>
      </c>
    </row>
    <row r="421">
      <c r="A421" s="155" t="n">
        <v>46083</v>
      </c>
      <c r="B421" s="156" t="inlineStr">
        <is>
          <t>NS</t>
        </is>
      </c>
      <c r="C421" s="156" t="inlineStr">
        <is>
          <t>DT-528</t>
        </is>
      </c>
      <c r="D421" s="156" t="inlineStr">
        <is>
          <t>SKT 105S</t>
        </is>
      </c>
      <c r="E421" s="156" t="inlineStr">
        <is>
          <t>Hauler</t>
        </is>
      </c>
      <c r="F421" s="156" t="inlineStr">
        <is>
          <t>Hauling OB</t>
        </is>
      </c>
      <c r="G421" s="182" t="n">
        <v>4.12</v>
      </c>
      <c r="H421" s="182" t="n">
        <v>0</v>
      </c>
      <c r="I421" s="182" t="n">
        <v>0</v>
      </c>
      <c r="J421" s="182" t="n">
        <v>0</v>
      </c>
      <c r="K421" s="182" t="n">
        <v>7.88</v>
      </c>
      <c r="L421" s="182" t="n">
        <v>12</v>
      </c>
      <c r="M421" s="182" t="n">
        <v>4.12</v>
      </c>
      <c r="N421" s="182" t="n">
        <v>0</v>
      </c>
      <c r="O421" s="183" t="n">
        <v>16</v>
      </c>
      <c r="P421" s="183" t="n">
        <v>0</v>
      </c>
      <c r="Q421" s="184" t="n">
        <v>326.4</v>
      </c>
      <c r="R421" s="184" t="n">
        <v>0</v>
      </c>
      <c r="S421" s="183" t="n">
        <v>0</v>
      </c>
      <c r="T421" s="183" t="n">
        <v>0</v>
      </c>
      <c r="U421" s="182" t="n">
        <v>3.46</v>
      </c>
      <c r="V421" s="182" t="n">
        <v>3.06</v>
      </c>
      <c r="W421" s="182" t="n">
        <v>0</v>
      </c>
      <c r="X421" s="182" t="n">
        <v>1.02</v>
      </c>
      <c r="Y421" s="182" t="n">
        <v>0</v>
      </c>
      <c r="Z421" s="182" t="n">
        <v>0</v>
      </c>
      <c r="AA421" s="182" t="n">
        <v>0</v>
      </c>
      <c r="AB421" s="182" t="n">
        <v>0</v>
      </c>
      <c r="AC421" s="182" t="n">
        <v>0</v>
      </c>
      <c r="AD421" s="182" t="n">
        <v>0</v>
      </c>
      <c r="AE421" s="182" t="n">
        <v>0</v>
      </c>
      <c r="AF421" s="182" t="n">
        <v>0</v>
      </c>
      <c r="AG421" s="182" t="n">
        <v>0</v>
      </c>
      <c r="AH421" s="182" t="n">
        <v>0.26</v>
      </c>
      <c r="AI421" s="182" t="n">
        <v>0</v>
      </c>
      <c r="AJ421" s="182" t="n">
        <v>0</v>
      </c>
      <c r="AK421" s="182" t="n">
        <v>0</v>
      </c>
      <c r="AL421" s="182" t="n">
        <v>0</v>
      </c>
      <c r="AM421" s="182" t="n">
        <v>0.08</v>
      </c>
      <c r="AN421" s="182" t="n">
        <v>0</v>
      </c>
    </row>
    <row r="422">
      <c r="A422" s="155" t="n">
        <v>46083</v>
      </c>
      <c r="B422" s="156" t="inlineStr">
        <is>
          <t>NS</t>
        </is>
      </c>
      <c r="C422" s="156" t="inlineStr">
        <is>
          <t>DT-529</t>
        </is>
      </c>
      <c r="D422" s="156" t="inlineStr">
        <is>
          <t>SKT 105S</t>
        </is>
      </c>
      <c r="E422" s="156" t="inlineStr">
        <is>
          <t>Hauler</t>
        </is>
      </c>
      <c r="F422" s="156" t="inlineStr">
        <is>
          <t>Hauling OB</t>
        </is>
      </c>
      <c r="G422" s="182" t="n">
        <v>3.8</v>
      </c>
      <c r="H422" s="182" t="n">
        <v>0</v>
      </c>
      <c r="I422" s="182" t="n">
        <v>0</v>
      </c>
      <c r="J422" s="182" t="n">
        <v>0</v>
      </c>
      <c r="K422" s="182" t="n">
        <v>8.199999999999999</v>
      </c>
      <c r="L422" s="182" t="n">
        <v>12</v>
      </c>
      <c r="M422" s="182" t="n">
        <v>3.8</v>
      </c>
      <c r="N422" s="182" t="n">
        <v>0</v>
      </c>
      <c r="O422" s="183" t="n">
        <v>14</v>
      </c>
      <c r="P422" s="183" t="n">
        <v>0</v>
      </c>
      <c r="Q422" s="184" t="n">
        <v>285.6</v>
      </c>
      <c r="R422" s="184" t="n">
        <v>0</v>
      </c>
      <c r="S422" s="183" t="n">
        <v>0</v>
      </c>
      <c r="T422" s="183" t="n">
        <v>0</v>
      </c>
      <c r="U422" s="182" t="n">
        <v>3.38</v>
      </c>
      <c r="V422" s="182" t="n">
        <v>3.14</v>
      </c>
      <c r="W422" s="182" t="n">
        <v>0</v>
      </c>
      <c r="X422" s="182" t="n">
        <v>1</v>
      </c>
      <c r="Y422" s="182" t="n">
        <v>0</v>
      </c>
      <c r="Z422" s="182" t="n">
        <v>0.1</v>
      </c>
      <c r="AA422" s="182" t="n">
        <v>0</v>
      </c>
      <c r="AB422" s="182" t="n">
        <v>0</v>
      </c>
      <c r="AC422" s="182" t="n">
        <v>0</v>
      </c>
      <c r="AD422" s="182" t="n">
        <v>0</v>
      </c>
      <c r="AE422" s="182" t="n">
        <v>0</v>
      </c>
      <c r="AF422" s="182" t="n">
        <v>0</v>
      </c>
      <c r="AG422" s="182" t="n">
        <v>0</v>
      </c>
      <c r="AH422" s="182" t="n">
        <v>0.5</v>
      </c>
      <c r="AI422" s="182" t="n">
        <v>0</v>
      </c>
      <c r="AJ422" s="182" t="n">
        <v>0</v>
      </c>
      <c r="AK422" s="182" t="n">
        <v>0</v>
      </c>
      <c r="AL422" s="182" t="n">
        <v>0</v>
      </c>
      <c r="AM422" s="182" t="n">
        <v>0.08</v>
      </c>
      <c r="AN422" s="182" t="n">
        <v>0</v>
      </c>
    </row>
    <row r="423">
      <c r="A423" s="155" t="n">
        <v>46083</v>
      </c>
      <c r="B423" s="156" t="inlineStr">
        <is>
          <t>NS</t>
        </is>
      </c>
      <c r="C423" s="156" t="inlineStr">
        <is>
          <t>DT-520</t>
        </is>
      </c>
      <c r="D423" s="156" t="inlineStr">
        <is>
          <t>SKT 105S</t>
        </is>
      </c>
      <c r="E423" s="156" t="inlineStr">
        <is>
          <t>Hauler</t>
        </is>
      </c>
      <c r="F423" s="156" t="inlineStr">
        <is>
          <t>Hauling OB</t>
        </is>
      </c>
      <c r="G423" s="182" t="n">
        <v>2.6</v>
      </c>
      <c r="H423" s="182" t="n">
        <v>0</v>
      </c>
      <c r="I423" s="182" t="n">
        <v>0</v>
      </c>
      <c r="J423" s="182" t="n">
        <v>0</v>
      </c>
      <c r="K423" s="182" t="n">
        <v>9.4</v>
      </c>
      <c r="L423" s="182" t="n">
        <v>12</v>
      </c>
      <c r="M423" s="182" t="n">
        <v>2.6</v>
      </c>
      <c r="N423" s="182" t="n">
        <v>0</v>
      </c>
      <c r="O423" s="183" t="n">
        <v>12</v>
      </c>
      <c r="P423" s="183" t="n">
        <v>0</v>
      </c>
      <c r="Q423" s="184" t="n">
        <v>244.8</v>
      </c>
      <c r="R423" s="184" t="n">
        <v>0</v>
      </c>
      <c r="S423" s="183" t="n">
        <v>0</v>
      </c>
      <c r="T423" s="183" t="n">
        <v>0</v>
      </c>
      <c r="U423" s="182" t="n">
        <v>3.61</v>
      </c>
      <c r="V423" s="182" t="n">
        <v>3.2</v>
      </c>
      <c r="W423" s="182" t="n">
        <v>0</v>
      </c>
      <c r="X423" s="182" t="n">
        <v>1.07</v>
      </c>
      <c r="Y423" s="182" t="n">
        <v>0</v>
      </c>
      <c r="Z423" s="182" t="n">
        <v>0</v>
      </c>
      <c r="AA423" s="182" t="n">
        <v>1.43</v>
      </c>
      <c r="AB423" s="182" t="n">
        <v>0</v>
      </c>
      <c r="AC423" s="182" t="n">
        <v>0</v>
      </c>
      <c r="AD423" s="182" t="n">
        <v>0</v>
      </c>
      <c r="AE423" s="182" t="n">
        <v>0</v>
      </c>
      <c r="AF423" s="182" t="n">
        <v>0</v>
      </c>
      <c r="AG423" s="182" t="n">
        <v>0</v>
      </c>
      <c r="AH423" s="182" t="n">
        <v>0</v>
      </c>
      <c r="AI423" s="182" t="n">
        <v>0</v>
      </c>
      <c r="AJ423" s="182" t="n">
        <v>0</v>
      </c>
      <c r="AK423" s="182" t="n">
        <v>0</v>
      </c>
      <c r="AL423" s="182" t="n">
        <v>0</v>
      </c>
      <c r="AM423" s="182" t="n">
        <v>0.09</v>
      </c>
      <c r="AN423" s="182" t="n">
        <v>0</v>
      </c>
    </row>
    <row r="424">
      <c r="A424" s="155" t="n">
        <v>46083</v>
      </c>
      <c r="B424" s="156" t="inlineStr">
        <is>
          <t>NS</t>
        </is>
      </c>
      <c r="C424" s="156" t="inlineStr">
        <is>
          <t>DT-511</t>
        </is>
      </c>
      <c r="D424" s="156" t="inlineStr">
        <is>
          <t>SKT 105S</t>
        </is>
      </c>
      <c r="E424" s="156" t="inlineStr">
        <is>
          <t>Hauler</t>
        </is>
      </c>
      <c r="F424" s="156" t="inlineStr"/>
      <c r="G424" s="182" t="n">
        <v>0</v>
      </c>
      <c r="H424" s="182" t="n">
        <v>0</v>
      </c>
      <c r="I424" s="182" t="n">
        <v>12</v>
      </c>
      <c r="J424" s="182" t="n">
        <v>12</v>
      </c>
      <c r="K424" s="182" t="n">
        <v>0</v>
      </c>
      <c r="L424" s="182" t="n">
        <v>12</v>
      </c>
      <c r="M424" s="182" t="n">
        <v>0</v>
      </c>
      <c r="N424" s="182" t="n">
        <v>0</v>
      </c>
      <c r="O424" s="183" t="n">
        <v>0</v>
      </c>
      <c r="P424" s="183" t="n">
        <v>0</v>
      </c>
      <c r="Q424" s="184" t="n">
        <v>0</v>
      </c>
      <c r="R424" s="184" t="n">
        <v>0</v>
      </c>
      <c r="S424" s="183" t="n">
        <v>0</v>
      </c>
      <c r="T424" s="183" t="n">
        <v>0</v>
      </c>
      <c r="U424" s="182" t="n">
        <v>0</v>
      </c>
      <c r="V424" s="182" t="n">
        <v>0</v>
      </c>
      <c r="W424" s="182" t="n">
        <v>0</v>
      </c>
      <c r="X424" s="182" t="n">
        <v>0</v>
      </c>
      <c r="Y424" s="182" t="n">
        <v>0</v>
      </c>
      <c r="Z424" s="182" t="n">
        <v>0</v>
      </c>
      <c r="AA424" s="182" t="n">
        <v>0</v>
      </c>
      <c r="AB424" s="182" t="n">
        <v>0</v>
      </c>
      <c r="AC424" s="182" t="n">
        <v>0</v>
      </c>
      <c r="AD424" s="182" t="n">
        <v>0</v>
      </c>
      <c r="AE424" s="182" t="n">
        <v>0</v>
      </c>
      <c r="AF424" s="182" t="n">
        <v>0</v>
      </c>
      <c r="AG424" s="182" t="n">
        <v>0</v>
      </c>
      <c r="AH424" s="182" t="n">
        <v>0</v>
      </c>
      <c r="AI424" s="182" t="n">
        <v>0</v>
      </c>
      <c r="AJ424" s="182" t="n">
        <v>0</v>
      </c>
      <c r="AK424" s="182" t="n">
        <v>0</v>
      </c>
      <c r="AL424" s="182" t="n">
        <v>0</v>
      </c>
      <c r="AM424" s="182" t="n">
        <v>0</v>
      </c>
      <c r="AN424" s="182" t="n">
        <v>0</v>
      </c>
    </row>
    <row r="425">
      <c r="A425" s="155" t="n">
        <v>46083</v>
      </c>
      <c r="B425" s="156" t="inlineStr">
        <is>
          <t>NS</t>
        </is>
      </c>
      <c r="C425" s="156" t="inlineStr">
        <is>
          <t>DT-509</t>
        </is>
      </c>
      <c r="D425" s="156" t="inlineStr">
        <is>
          <t>SKT 105S</t>
        </is>
      </c>
      <c r="E425" s="156" t="inlineStr">
        <is>
          <t>Hauler</t>
        </is>
      </c>
      <c r="F425" s="156" t="inlineStr"/>
      <c r="G425" s="182" t="n">
        <v>0</v>
      </c>
      <c r="H425" s="182" t="n">
        <v>0</v>
      </c>
      <c r="I425" s="182" t="n">
        <v>12</v>
      </c>
      <c r="J425" s="182" t="n">
        <v>12</v>
      </c>
      <c r="K425" s="182" t="n">
        <v>0</v>
      </c>
      <c r="L425" s="182" t="n">
        <v>12</v>
      </c>
      <c r="M425" s="182" t="n">
        <v>0</v>
      </c>
      <c r="N425" s="182" t="n">
        <v>0</v>
      </c>
      <c r="O425" s="183" t="n">
        <v>0</v>
      </c>
      <c r="P425" s="183" t="n">
        <v>0</v>
      </c>
      <c r="Q425" s="184" t="n">
        <v>0</v>
      </c>
      <c r="R425" s="184" t="n">
        <v>0</v>
      </c>
      <c r="S425" s="183" t="n">
        <v>0</v>
      </c>
      <c r="T425" s="183" t="n">
        <v>0</v>
      </c>
      <c r="U425" s="182" t="n">
        <v>0</v>
      </c>
      <c r="V425" s="182" t="n">
        <v>0</v>
      </c>
      <c r="W425" s="182" t="n">
        <v>0</v>
      </c>
      <c r="X425" s="182" t="n">
        <v>0</v>
      </c>
      <c r="Y425" s="182" t="n">
        <v>0</v>
      </c>
      <c r="Z425" s="182" t="n">
        <v>0</v>
      </c>
      <c r="AA425" s="182" t="n">
        <v>0</v>
      </c>
      <c r="AB425" s="182" t="n">
        <v>0</v>
      </c>
      <c r="AC425" s="182" t="n">
        <v>0</v>
      </c>
      <c r="AD425" s="182" t="n">
        <v>0</v>
      </c>
      <c r="AE425" s="182" t="n">
        <v>0</v>
      </c>
      <c r="AF425" s="182" t="n">
        <v>0</v>
      </c>
      <c r="AG425" s="182" t="n">
        <v>0</v>
      </c>
      <c r="AH425" s="182" t="n">
        <v>0</v>
      </c>
      <c r="AI425" s="182" t="n">
        <v>0</v>
      </c>
      <c r="AJ425" s="182" t="n">
        <v>0</v>
      </c>
      <c r="AK425" s="182" t="n">
        <v>0</v>
      </c>
      <c r="AL425" s="182" t="n">
        <v>0</v>
      </c>
      <c r="AM425" s="182" t="n">
        <v>0</v>
      </c>
      <c r="AN425" s="182" t="n">
        <v>0</v>
      </c>
    </row>
    <row r="426">
      <c r="A426" s="155" t="n">
        <v>46083</v>
      </c>
      <c r="B426" s="156" t="inlineStr">
        <is>
          <t>NS</t>
        </is>
      </c>
      <c r="C426" s="156" t="inlineStr">
        <is>
          <t>DT-526</t>
        </is>
      </c>
      <c r="D426" s="156" t="inlineStr">
        <is>
          <t>SKT 105S</t>
        </is>
      </c>
      <c r="E426" s="156" t="inlineStr">
        <is>
          <t>Hauler</t>
        </is>
      </c>
      <c r="F426" s="156" t="inlineStr">
        <is>
          <t>Hauling OB</t>
        </is>
      </c>
      <c r="G426" s="182" t="n">
        <v>4.03</v>
      </c>
      <c r="H426" s="182" t="n">
        <v>0</v>
      </c>
      <c r="I426" s="182" t="n">
        <v>0</v>
      </c>
      <c r="J426" s="182" t="n">
        <v>0</v>
      </c>
      <c r="K426" s="182" t="n">
        <v>7.97</v>
      </c>
      <c r="L426" s="182" t="n">
        <v>12</v>
      </c>
      <c r="M426" s="182" t="n">
        <v>4.03</v>
      </c>
      <c r="N426" s="182" t="n">
        <v>0</v>
      </c>
      <c r="O426" s="183" t="n">
        <v>17</v>
      </c>
      <c r="P426" s="183" t="n">
        <v>0</v>
      </c>
      <c r="Q426" s="184" t="n">
        <v>346.8</v>
      </c>
      <c r="R426" s="184" t="n">
        <v>0</v>
      </c>
      <c r="S426" s="183" t="n">
        <v>0</v>
      </c>
      <c r="T426" s="183" t="n">
        <v>0</v>
      </c>
      <c r="U426" s="182" t="n">
        <v>3.45</v>
      </c>
      <c r="V426" s="182" t="n">
        <v>3.16</v>
      </c>
      <c r="W426" s="182" t="n">
        <v>0</v>
      </c>
      <c r="X426" s="182" t="n">
        <v>1.02</v>
      </c>
      <c r="Y426" s="182" t="n">
        <v>0</v>
      </c>
      <c r="Z426" s="182" t="n">
        <v>0</v>
      </c>
      <c r="AA426" s="182" t="n">
        <v>0</v>
      </c>
      <c r="AB426" s="182" t="n">
        <v>0</v>
      </c>
      <c r="AC426" s="182" t="n">
        <v>0</v>
      </c>
      <c r="AD426" s="182" t="n">
        <v>0</v>
      </c>
      <c r="AE426" s="182" t="n">
        <v>0</v>
      </c>
      <c r="AF426" s="182" t="n">
        <v>0</v>
      </c>
      <c r="AG426" s="182" t="n">
        <v>0</v>
      </c>
      <c r="AH426" s="182" t="n">
        <v>0.26</v>
      </c>
      <c r="AI426" s="182" t="n">
        <v>0</v>
      </c>
      <c r="AJ426" s="182" t="n">
        <v>0</v>
      </c>
      <c r="AK426" s="182" t="n">
        <v>0</v>
      </c>
      <c r="AL426" s="182" t="n">
        <v>0</v>
      </c>
      <c r="AM426" s="182" t="n">
        <v>0.08</v>
      </c>
      <c r="AN426" s="182" t="n">
        <v>0</v>
      </c>
    </row>
    <row r="427">
      <c r="A427" s="155" t="n">
        <v>46083</v>
      </c>
      <c r="B427" s="156" t="inlineStr">
        <is>
          <t>NS</t>
        </is>
      </c>
      <c r="C427" s="156" t="inlineStr">
        <is>
          <t>DT-508</t>
        </is>
      </c>
      <c r="D427" s="156" t="inlineStr">
        <is>
          <t>SKT 105S</t>
        </is>
      </c>
      <c r="E427" s="156" t="inlineStr">
        <is>
          <t>Hauler</t>
        </is>
      </c>
      <c r="F427" s="156" t="inlineStr">
        <is>
          <t>Hauling OB</t>
        </is>
      </c>
      <c r="G427" s="182" t="n">
        <v>4.11</v>
      </c>
      <c r="H427" s="182" t="n">
        <v>0</v>
      </c>
      <c r="I427" s="182" t="n">
        <v>0</v>
      </c>
      <c r="J427" s="182" t="n">
        <v>0</v>
      </c>
      <c r="K427" s="182" t="n">
        <v>7.89</v>
      </c>
      <c r="L427" s="182" t="n">
        <v>12</v>
      </c>
      <c r="M427" s="182" t="n">
        <v>4.11</v>
      </c>
      <c r="N427" s="182" t="n">
        <v>0</v>
      </c>
      <c r="O427" s="183" t="n">
        <v>15</v>
      </c>
      <c r="P427" s="183" t="n">
        <v>0</v>
      </c>
      <c r="Q427" s="184" t="n">
        <v>306</v>
      </c>
      <c r="R427" s="184" t="n">
        <v>0</v>
      </c>
      <c r="S427" s="183" t="n">
        <v>0</v>
      </c>
      <c r="T427" s="183" t="n">
        <v>0</v>
      </c>
      <c r="U427" s="182" t="n">
        <v>3.46</v>
      </c>
      <c r="V427" s="182" t="n">
        <v>2.96</v>
      </c>
      <c r="W427" s="182" t="n">
        <v>0</v>
      </c>
      <c r="X427" s="182" t="n">
        <v>1.02</v>
      </c>
      <c r="Y427" s="182" t="n">
        <v>0</v>
      </c>
      <c r="Z427" s="182" t="n">
        <v>0.1</v>
      </c>
      <c r="AA427" s="182" t="n">
        <v>0</v>
      </c>
      <c r="AB427" s="182" t="n">
        <v>0</v>
      </c>
      <c r="AC427" s="182" t="n">
        <v>0</v>
      </c>
      <c r="AD427" s="182" t="n">
        <v>0</v>
      </c>
      <c r="AE427" s="182" t="n">
        <v>0</v>
      </c>
      <c r="AF427" s="182" t="n">
        <v>0</v>
      </c>
      <c r="AG427" s="182" t="n">
        <v>0</v>
      </c>
      <c r="AH427" s="182" t="n">
        <v>0.26</v>
      </c>
      <c r="AI427" s="182" t="n">
        <v>0</v>
      </c>
      <c r="AJ427" s="182" t="n">
        <v>0</v>
      </c>
      <c r="AK427" s="182" t="n">
        <v>0</v>
      </c>
      <c r="AL427" s="182" t="n">
        <v>0</v>
      </c>
      <c r="AM427" s="182" t="n">
        <v>0.08</v>
      </c>
      <c r="AN427" s="182" t="n">
        <v>0</v>
      </c>
    </row>
    <row r="428">
      <c r="A428" s="155" t="n">
        <v>46083</v>
      </c>
      <c r="B428" s="156" t="inlineStr">
        <is>
          <t>NS</t>
        </is>
      </c>
      <c r="C428" s="156" t="inlineStr">
        <is>
          <t>DT-515</t>
        </is>
      </c>
      <c r="D428" s="156" t="inlineStr">
        <is>
          <t>SKT 105S</t>
        </is>
      </c>
      <c r="E428" s="156" t="inlineStr">
        <is>
          <t>Hauler</t>
        </is>
      </c>
      <c r="F428" s="156" t="inlineStr">
        <is>
          <t>Hauling OB</t>
        </is>
      </c>
      <c r="G428" s="182" t="n">
        <v>4.28</v>
      </c>
      <c r="H428" s="182" t="n">
        <v>0</v>
      </c>
      <c r="I428" s="182" t="n">
        <v>0</v>
      </c>
      <c r="J428" s="182" t="n">
        <v>0</v>
      </c>
      <c r="K428" s="182" t="n">
        <v>7.72</v>
      </c>
      <c r="L428" s="182" t="n">
        <v>12</v>
      </c>
      <c r="M428" s="182" t="n">
        <v>4.28</v>
      </c>
      <c r="N428" s="182" t="n">
        <v>0</v>
      </c>
      <c r="O428" s="183" t="n">
        <v>17</v>
      </c>
      <c r="P428" s="183" t="n">
        <v>0</v>
      </c>
      <c r="Q428" s="184" t="n">
        <v>346.8</v>
      </c>
      <c r="R428" s="184" t="n">
        <v>0</v>
      </c>
      <c r="S428" s="183" t="n">
        <v>0</v>
      </c>
      <c r="T428" s="183" t="n">
        <v>0</v>
      </c>
      <c r="U428" s="182" t="n">
        <v>3.39</v>
      </c>
      <c r="V428" s="182" t="n">
        <v>3</v>
      </c>
      <c r="W428" s="182" t="n">
        <v>0</v>
      </c>
      <c r="X428" s="182" t="n">
        <v>1</v>
      </c>
      <c r="Y428" s="182" t="n">
        <v>0</v>
      </c>
      <c r="Z428" s="182" t="n">
        <v>0</v>
      </c>
      <c r="AA428" s="182" t="n">
        <v>0</v>
      </c>
      <c r="AB428" s="182" t="n">
        <v>0</v>
      </c>
      <c r="AC428" s="182" t="n">
        <v>0</v>
      </c>
      <c r="AD428" s="182" t="n">
        <v>0</v>
      </c>
      <c r="AE428" s="182" t="n">
        <v>0</v>
      </c>
      <c r="AF428" s="182" t="n">
        <v>0</v>
      </c>
      <c r="AG428" s="182" t="n">
        <v>0</v>
      </c>
      <c r="AH428" s="182" t="n">
        <v>0.25</v>
      </c>
      <c r="AI428" s="182" t="n">
        <v>0</v>
      </c>
      <c r="AJ428" s="182" t="n">
        <v>0</v>
      </c>
      <c r="AK428" s="182" t="n">
        <v>0</v>
      </c>
      <c r="AL428" s="182" t="n">
        <v>0</v>
      </c>
      <c r="AM428" s="182" t="n">
        <v>0.08</v>
      </c>
      <c r="AN428" s="182" t="n">
        <v>0</v>
      </c>
    </row>
    <row r="429">
      <c r="A429" s="155" t="n">
        <v>46083</v>
      </c>
      <c r="B429" s="156" t="inlineStr">
        <is>
          <t>NS</t>
        </is>
      </c>
      <c r="C429" s="156" t="inlineStr">
        <is>
          <t>DT-524</t>
        </is>
      </c>
      <c r="D429" s="156" t="inlineStr">
        <is>
          <t>SKT 105S</t>
        </is>
      </c>
      <c r="E429" s="156" t="inlineStr">
        <is>
          <t>Hauler</t>
        </is>
      </c>
      <c r="F429" s="156" t="inlineStr">
        <is>
          <t>Hauling OB</t>
        </is>
      </c>
      <c r="G429" s="182" t="n">
        <v>2.37</v>
      </c>
      <c r="H429" s="182" t="n">
        <v>0</v>
      </c>
      <c r="I429" s="182" t="n">
        <v>0</v>
      </c>
      <c r="J429" s="182" t="n">
        <v>0</v>
      </c>
      <c r="K429" s="182" t="n">
        <v>9.630000000000001</v>
      </c>
      <c r="L429" s="182" t="n">
        <v>12</v>
      </c>
      <c r="M429" s="182" t="n">
        <v>2.37</v>
      </c>
      <c r="N429" s="182" t="n">
        <v>0</v>
      </c>
      <c r="O429" s="183" t="n">
        <v>8</v>
      </c>
      <c r="P429" s="183" t="n">
        <v>0</v>
      </c>
      <c r="Q429" s="184" t="n">
        <v>163.2</v>
      </c>
      <c r="R429" s="184" t="n">
        <v>0</v>
      </c>
      <c r="S429" s="183" t="n">
        <v>0</v>
      </c>
      <c r="T429" s="183" t="n">
        <v>0</v>
      </c>
      <c r="U429" s="182" t="n">
        <v>3.32</v>
      </c>
      <c r="V429" s="182" t="n">
        <v>2.95</v>
      </c>
      <c r="W429" s="182" t="n">
        <v>0</v>
      </c>
      <c r="X429" s="182" t="n">
        <v>0.98</v>
      </c>
      <c r="Y429" s="182" t="n">
        <v>0</v>
      </c>
      <c r="Z429" s="182" t="n">
        <v>0</v>
      </c>
      <c r="AA429" s="182" t="n">
        <v>0</v>
      </c>
      <c r="AB429" s="182" t="n">
        <v>0</v>
      </c>
      <c r="AC429" s="182" t="n">
        <v>0</v>
      </c>
      <c r="AD429" s="182" t="n">
        <v>0</v>
      </c>
      <c r="AE429" s="182" t="n">
        <v>0</v>
      </c>
      <c r="AF429" s="182" t="n">
        <v>0</v>
      </c>
      <c r="AG429" s="182" t="n">
        <v>0</v>
      </c>
      <c r="AH429" s="182" t="n">
        <v>0</v>
      </c>
      <c r="AI429" s="182" t="n">
        <v>0</v>
      </c>
      <c r="AJ429" s="182" t="n">
        <v>0</v>
      </c>
      <c r="AK429" s="182" t="n">
        <v>2.3</v>
      </c>
      <c r="AL429" s="182" t="n">
        <v>0</v>
      </c>
      <c r="AM429" s="182" t="n">
        <v>0.08</v>
      </c>
      <c r="AN429" s="182" t="n">
        <v>0</v>
      </c>
    </row>
    <row r="430">
      <c r="A430" s="155" t="n">
        <v>46083</v>
      </c>
      <c r="B430" s="156" t="inlineStr">
        <is>
          <t>NS</t>
        </is>
      </c>
      <c r="C430" s="156" t="inlineStr">
        <is>
          <t>DT-341</t>
        </is>
      </c>
      <c r="D430" s="156" t="inlineStr">
        <is>
          <t>SYZ324C-8W</t>
        </is>
      </c>
      <c r="E430" s="156" t="inlineStr">
        <is>
          <t>Hauler</t>
        </is>
      </c>
      <c r="F430" s="156" t="inlineStr">
        <is>
          <t>Rehandling Dirty</t>
        </is>
      </c>
      <c r="G430" s="182" t="n">
        <v>3.11</v>
      </c>
      <c r="H430" s="182" t="n">
        <v>0</v>
      </c>
      <c r="I430" s="182" t="n">
        <v>0</v>
      </c>
      <c r="J430" s="182" t="n">
        <v>0</v>
      </c>
      <c r="K430" s="182" t="n">
        <v>8.890000000000001</v>
      </c>
      <c r="L430" s="182" t="n">
        <v>12</v>
      </c>
      <c r="M430" s="182" t="n">
        <v>0</v>
      </c>
      <c r="N430" s="182" t="n">
        <v>0</v>
      </c>
      <c r="O430" s="183" t="n">
        <v>0</v>
      </c>
      <c r="P430" s="183" t="n">
        <v>0</v>
      </c>
      <c r="Q430" s="184" t="n">
        <v>0</v>
      </c>
      <c r="R430" s="184" t="n">
        <v>0</v>
      </c>
      <c r="S430" s="183" t="n">
        <v>0</v>
      </c>
      <c r="T430" s="183" t="n">
        <v>0</v>
      </c>
      <c r="U430" s="182" t="n">
        <v>0</v>
      </c>
      <c r="V430" s="182" t="n">
        <v>0</v>
      </c>
      <c r="W430" s="182" t="n">
        <v>0</v>
      </c>
      <c r="X430" s="182" t="n">
        <v>1.02</v>
      </c>
      <c r="Y430" s="182" t="n">
        <v>0</v>
      </c>
      <c r="Z430" s="182" t="n">
        <v>0</v>
      </c>
      <c r="AA430" s="182" t="n">
        <v>0</v>
      </c>
      <c r="AB430" s="182" t="n">
        <v>0</v>
      </c>
      <c r="AC430" s="182" t="n">
        <v>0</v>
      </c>
      <c r="AD430" s="182" t="n">
        <v>0</v>
      </c>
      <c r="AE430" s="182" t="n">
        <v>0</v>
      </c>
      <c r="AF430" s="182" t="n">
        <v>0</v>
      </c>
      <c r="AG430" s="182" t="n">
        <v>0</v>
      </c>
      <c r="AH430" s="182" t="n">
        <v>0</v>
      </c>
      <c r="AI430" s="182" t="n">
        <v>0</v>
      </c>
      <c r="AJ430" s="182" t="n">
        <v>0</v>
      </c>
      <c r="AK430" s="182" t="n">
        <v>7.79</v>
      </c>
      <c r="AL430" s="182" t="n">
        <v>0</v>
      </c>
      <c r="AM430" s="182" t="n">
        <v>0.08</v>
      </c>
      <c r="AN430" s="182" t="n">
        <v>0</v>
      </c>
    </row>
    <row r="431">
      <c r="A431" s="155" t="n">
        <v>46083</v>
      </c>
      <c r="B431" s="156" t="inlineStr">
        <is>
          <t>NS</t>
        </is>
      </c>
      <c r="C431" s="156" t="inlineStr">
        <is>
          <t>DT-342</t>
        </is>
      </c>
      <c r="D431" s="156" t="inlineStr">
        <is>
          <t>SYZ324C-8W</t>
        </is>
      </c>
      <c r="E431" s="156" t="inlineStr">
        <is>
          <t>Hauler</t>
        </is>
      </c>
      <c r="F431" s="156" t="inlineStr">
        <is>
          <t>Rehandling Dirty</t>
        </is>
      </c>
      <c r="G431" s="182" t="n">
        <v>3.7</v>
      </c>
      <c r="H431" s="182" t="n">
        <v>0</v>
      </c>
      <c r="I431" s="182" t="n">
        <v>0</v>
      </c>
      <c r="J431" s="182" t="n">
        <v>0</v>
      </c>
      <c r="K431" s="182" t="n">
        <v>8.300000000000001</v>
      </c>
      <c r="L431" s="182" t="n">
        <v>12</v>
      </c>
      <c r="M431" s="182" t="n">
        <v>0</v>
      </c>
      <c r="N431" s="182" t="n">
        <v>0</v>
      </c>
      <c r="O431" s="183" t="n">
        <v>0</v>
      </c>
      <c r="P431" s="183" t="n">
        <v>0</v>
      </c>
      <c r="Q431" s="184" t="n">
        <v>0</v>
      </c>
      <c r="R431" s="184" t="n">
        <v>0</v>
      </c>
      <c r="S431" s="183" t="n">
        <v>0</v>
      </c>
      <c r="T431" s="183" t="n">
        <v>0</v>
      </c>
      <c r="U431" s="182" t="n">
        <v>0</v>
      </c>
      <c r="V431" s="182" t="n">
        <v>0</v>
      </c>
      <c r="W431" s="182" t="n">
        <v>0</v>
      </c>
      <c r="X431" s="182" t="n">
        <v>0.93</v>
      </c>
      <c r="Y431" s="182" t="n">
        <v>0</v>
      </c>
      <c r="Z431" s="182" t="n">
        <v>0</v>
      </c>
      <c r="AA431" s="182" t="n">
        <v>0</v>
      </c>
      <c r="AB431" s="182" t="n">
        <v>0</v>
      </c>
      <c r="AC431" s="182" t="n">
        <v>0</v>
      </c>
      <c r="AD431" s="182" t="n">
        <v>0</v>
      </c>
      <c r="AE431" s="182" t="n">
        <v>0</v>
      </c>
      <c r="AF431" s="182" t="n">
        <v>0</v>
      </c>
      <c r="AG431" s="182" t="n">
        <v>0</v>
      </c>
      <c r="AH431" s="182" t="n">
        <v>0</v>
      </c>
      <c r="AI431" s="182" t="n">
        <v>0</v>
      </c>
      <c r="AJ431" s="182" t="n">
        <v>0</v>
      </c>
      <c r="AK431" s="182" t="n">
        <v>7.29</v>
      </c>
      <c r="AL431" s="182" t="n">
        <v>0</v>
      </c>
      <c r="AM431" s="182" t="n">
        <v>0.07000000000000001</v>
      </c>
      <c r="AN431" s="182" t="n">
        <v>0</v>
      </c>
    </row>
    <row r="432">
      <c r="A432" s="155" t="n">
        <v>46083</v>
      </c>
      <c r="B432" s="156" t="inlineStr">
        <is>
          <t>NS</t>
        </is>
      </c>
      <c r="C432" s="156" t="inlineStr">
        <is>
          <t>HD-903</t>
        </is>
      </c>
      <c r="D432" s="156" t="inlineStr">
        <is>
          <t>SRT 95C</t>
        </is>
      </c>
      <c r="E432" s="156" t="inlineStr">
        <is>
          <t>Hauler</t>
        </is>
      </c>
      <c r="F432" s="156" t="inlineStr"/>
      <c r="G432" s="182" t="n">
        <v>0</v>
      </c>
      <c r="H432" s="182" t="n">
        <v>0</v>
      </c>
      <c r="I432" s="182" t="n">
        <v>0</v>
      </c>
      <c r="J432" s="182" t="n">
        <v>0</v>
      </c>
      <c r="K432" s="182" t="n">
        <v>12</v>
      </c>
      <c r="L432" s="182" t="n">
        <v>12</v>
      </c>
      <c r="M432" s="182" t="n">
        <v>0</v>
      </c>
      <c r="N432" s="182" t="n">
        <v>0</v>
      </c>
      <c r="O432" s="183" t="n">
        <v>0</v>
      </c>
      <c r="P432" s="183" t="n">
        <v>0</v>
      </c>
      <c r="Q432" s="184" t="n">
        <v>0</v>
      </c>
      <c r="R432" s="184" t="n">
        <v>0</v>
      </c>
      <c r="S432" s="183" t="n">
        <v>0</v>
      </c>
      <c r="T432" s="183" t="n">
        <v>0</v>
      </c>
      <c r="U432" s="182" t="n">
        <v>0</v>
      </c>
      <c r="V432" s="182" t="n">
        <v>0</v>
      </c>
      <c r="W432" s="182" t="n">
        <v>0</v>
      </c>
      <c r="X432" s="182" t="n">
        <v>1</v>
      </c>
      <c r="Y432" s="182" t="n">
        <v>0</v>
      </c>
      <c r="Z432" s="182" t="n">
        <v>0</v>
      </c>
      <c r="AA432" s="182" t="n">
        <v>0</v>
      </c>
      <c r="AB432" s="182" t="n">
        <v>0</v>
      </c>
      <c r="AC432" s="182" t="n">
        <v>0</v>
      </c>
      <c r="AD432" s="182" t="n">
        <v>0</v>
      </c>
      <c r="AE432" s="182" t="n">
        <v>10.92</v>
      </c>
      <c r="AF432" s="182" t="n">
        <v>0</v>
      </c>
      <c r="AG432" s="182" t="n">
        <v>0</v>
      </c>
      <c r="AH432" s="182" t="n">
        <v>0</v>
      </c>
      <c r="AI432" s="182" t="n">
        <v>0</v>
      </c>
      <c r="AJ432" s="182" t="n">
        <v>0</v>
      </c>
      <c r="AK432" s="182" t="n">
        <v>0</v>
      </c>
      <c r="AL432" s="182" t="n">
        <v>0</v>
      </c>
      <c r="AM432" s="182" t="n">
        <v>0.08</v>
      </c>
      <c r="AN432" s="182" t="n">
        <v>0</v>
      </c>
    </row>
    <row r="433">
      <c r="A433" s="155" t="n">
        <v>46083</v>
      </c>
      <c r="B433" s="156" t="inlineStr">
        <is>
          <t>NS</t>
        </is>
      </c>
      <c r="C433" s="156" t="inlineStr">
        <is>
          <t>HD-905</t>
        </is>
      </c>
      <c r="D433" s="156" t="inlineStr">
        <is>
          <t>SRT 95C</t>
        </is>
      </c>
      <c r="E433" s="156" t="inlineStr">
        <is>
          <t>Hauler</t>
        </is>
      </c>
      <c r="F433" s="156" t="inlineStr"/>
      <c r="G433" s="182" t="n">
        <v>0</v>
      </c>
      <c r="H433" s="182" t="n">
        <v>0</v>
      </c>
      <c r="I433" s="182" t="n">
        <v>0</v>
      </c>
      <c r="J433" s="182" t="n">
        <v>0</v>
      </c>
      <c r="K433" s="182" t="n">
        <v>12</v>
      </c>
      <c r="L433" s="182" t="n">
        <v>12</v>
      </c>
      <c r="M433" s="182" t="n">
        <v>0</v>
      </c>
      <c r="N433" s="182" t="n">
        <v>0</v>
      </c>
      <c r="O433" s="183" t="n">
        <v>0</v>
      </c>
      <c r="P433" s="183" t="n">
        <v>0</v>
      </c>
      <c r="Q433" s="184" t="n">
        <v>0</v>
      </c>
      <c r="R433" s="184" t="n">
        <v>0</v>
      </c>
      <c r="S433" s="183" t="n">
        <v>0</v>
      </c>
      <c r="T433" s="183" t="n">
        <v>0</v>
      </c>
      <c r="U433" s="182" t="n">
        <v>3.38</v>
      </c>
      <c r="V433" s="182" t="n">
        <v>3</v>
      </c>
      <c r="W433" s="182" t="n">
        <v>0</v>
      </c>
      <c r="X433" s="182" t="n">
        <v>1</v>
      </c>
      <c r="Y433" s="182" t="n">
        <v>0</v>
      </c>
      <c r="Z433" s="182" t="n">
        <v>0</v>
      </c>
      <c r="AA433" s="182" t="n">
        <v>0</v>
      </c>
      <c r="AB433" s="182" t="n">
        <v>0</v>
      </c>
      <c r="AC433" s="182" t="n">
        <v>0</v>
      </c>
      <c r="AD433" s="182" t="n">
        <v>0</v>
      </c>
      <c r="AE433" s="182" t="n">
        <v>0</v>
      </c>
      <c r="AF433" s="182" t="n">
        <v>0</v>
      </c>
      <c r="AG433" s="182" t="n">
        <v>0</v>
      </c>
      <c r="AH433" s="182" t="n">
        <v>0</v>
      </c>
      <c r="AI433" s="182" t="n">
        <v>4.54</v>
      </c>
      <c r="AJ433" s="182" t="n">
        <v>0</v>
      </c>
      <c r="AK433" s="182" t="n">
        <v>0</v>
      </c>
      <c r="AL433" s="182" t="n">
        <v>0</v>
      </c>
      <c r="AM433" s="182" t="n">
        <v>0.08</v>
      </c>
      <c r="AN433" s="182" t="n">
        <v>0</v>
      </c>
    </row>
    <row r="434">
      <c r="A434" s="155" t="n">
        <v>46083</v>
      </c>
      <c r="B434" s="156" t="inlineStr">
        <is>
          <t>NS</t>
        </is>
      </c>
      <c r="C434" s="156" t="inlineStr">
        <is>
          <t>HD-901</t>
        </is>
      </c>
      <c r="D434" s="156" t="inlineStr">
        <is>
          <t>SRT 95C</t>
        </is>
      </c>
      <c r="E434" s="156" t="inlineStr">
        <is>
          <t>Hauler</t>
        </is>
      </c>
      <c r="F434" s="156" t="inlineStr"/>
      <c r="G434" s="182" t="n">
        <v>0</v>
      </c>
      <c r="H434" s="182" t="n">
        <v>0</v>
      </c>
      <c r="I434" s="182" t="n">
        <v>0</v>
      </c>
      <c r="J434" s="182" t="n">
        <v>0</v>
      </c>
      <c r="K434" s="182" t="n">
        <v>12</v>
      </c>
      <c r="L434" s="182" t="n">
        <v>12</v>
      </c>
      <c r="M434" s="182" t="n">
        <v>0</v>
      </c>
      <c r="N434" s="182" t="n">
        <v>0</v>
      </c>
      <c r="O434" s="183" t="n">
        <v>0</v>
      </c>
      <c r="P434" s="183" t="n">
        <v>0</v>
      </c>
      <c r="Q434" s="184" t="n">
        <v>0</v>
      </c>
      <c r="R434" s="184" t="n">
        <v>0</v>
      </c>
      <c r="S434" s="183" t="n">
        <v>0</v>
      </c>
      <c r="T434" s="183" t="n">
        <v>0</v>
      </c>
      <c r="U434" s="182" t="n">
        <v>3.38</v>
      </c>
      <c r="V434" s="182" t="n">
        <v>3</v>
      </c>
      <c r="W434" s="182" t="n">
        <v>0</v>
      </c>
      <c r="X434" s="182" t="n">
        <v>1</v>
      </c>
      <c r="Y434" s="182" t="n">
        <v>0</v>
      </c>
      <c r="Z434" s="182" t="n">
        <v>0</v>
      </c>
      <c r="AA434" s="182" t="n">
        <v>0</v>
      </c>
      <c r="AB434" s="182" t="n">
        <v>0</v>
      </c>
      <c r="AC434" s="182" t="n">
        <v>0</v>
      </c>
      <c r="AD434" s="182" t="n">
        <v>0</v>
      </c>
      <c r="AE434" s="182" t="n">
        <v>0</v>
      </c>
      <c r="AF434" s="182" t="n">
        <v>0</v>
      </c>
      <c r="AG434" s="182" t="n">
        <v>0</v>
      </c>
      <c r="AH434" s="182" t="n">
        <v>0</v>
      </c>
      <c r="AI434" s="182" t="n">
        <v>4.54</v>
      </c>
      <c r="AJ434" s="182" t="n">
        <v>0</v>
      </c>
      <c r="AK434" s="182" t="n">
        <v>0</v>
      </c>
      <c r="AL434" s="182" t="n">
        <v>0</v>
      </c>
      <c r="AM434" s="182" t="n">
        <v>0.08</v>
      </c>
      <c r="AN434" s="182" t="n">
        <v>0</v>
      </c>
    </row>
    <row r="435">
      <c r="A435" s="155" t="n">
        <v>46083</v>
      </c>
      <c r="B435" s="156" t="inlineStr">
        <is>
          <t>NS</t>
        </is>
      </c>
      <c r="C435" s="156" t="inlineStr">
        <is>
          <t>HD-904</t>
        </is>
      </c>
      <c r="D435" s="156" t="inlineStr">
        <is>
          <t>SRT 95C</t>
        </is>
      </c>
      <c r="E435" s="156" t="inlineStr">
        <is>
          <t>Hauler</t>
        </is>
      </c>
      <c r="F435" s="156" t="inlineStr"/>
      <c r="G435" s="182" t="n">
        <v>0</v>
      </c>
      <c r="H435" s="182" t="n">
        <v>0</v>
      </c>
      <c r="I435" s="182" t="n">
        <v>0</v>
      </c>
      <c r="J435" s="182" t="n">
        <v>0</v>
      </c>
      <c r="K435" s="182" t="n">
        <v>12</v>
      </c>
      <c r="L435" s="182" t="n">
        <v>12</v>
      </c>
      <c r="M435" s="182" t="n">
        <v>0</v>
      </c>
      <c r="N435" s="182" t="n">
        <v>0</v>
      </c>
      <c r="O435" s="183" t="n">
        <v>0</v>
      </c>
      <c r="P435" s="183" t="n">
        <v>0</v>
      </c>
      <c r="Q435" s="184" t="n">
        <v>0</v>
      </c>
      <c r="R435" s="184" t="n">
        <v>0</v>
      </c>
      <c r="S435" s="183" t="n">
        <v>0</v>
      </c>
      <c r="T435" s="183" t="n">
        <v>0</v>
      </c>
      <c r="U435" s="182" t="n">
        <v>3.38</v>
      </c>
      <c r="V435" s="182" t="n">
        <v>3</v>
      </c>
      <c r="W435" s="182" t="n">
        <v>0</v>
      </c>
      <c r="X435" s="182" t="n">
        <v>1</v>
      </c>
      <c r="Y435" s="182" t="n">
        <v>0</v>
      </c>
      <c r="Z435" s="182" t="n">
        <v>0</v>
      </c>
      <c r="AA435" s="182" t="n">
        <v>0</v>
      </c>
      <c r="AB435" s="182" t="n">
        <v>0</v>
      </c>
      <c r="AC435" s="182" t="n">
        <v>0</v>
      </c>
      <c r="AD435" s="182" t="n">
        <v>0</v>
      </c>
      <c r="AE435" s="182" t="n">
        <v>0</v>
      </c>
      <c r="AF435" s="182" t="n">
        <v>0</v>
      </c>
      <c r="AG435" s="182" t="n">
        <v>0</v>
      </c>
      <c r="AH435" s="182" t="n">
        <v>0</v>
      </c>
      <c r="AI435" s="182" t="n">
        <v>4.54</v>
      </c>
      <c r="AJ435" s="182" t="n">
        <v>0</v>
      </c>
      <c r="AK435" s="182" t="n">
        <v>0</v>
      </c>
      <c r="AL435" s="182" t="n">
        <v>0</v>
      </c>
      <c r="AM435" s="182" t="n">
        <v>0.08</v>
      </c>
      <c r="AN435" s="182" t="n">
        <v>0</v>
      </c>
    </row>
    <row r="436">
      <c r="A436" s="155" t="n">
        <v>46083</v>
      </c>
      <c r="B436" s="156" t="inlineStr">
        <is>
          <t>NS</t>
        </is>
      </c>
      <c r="C436" s="156" t="inlineStr">
        <is>
          <t>HD-902</t>
        </is>
      </c>
      <c r="D436" s="156" t="inlineStr">
        <is>
          <t>SRT 95C</t>
        </is>
      </c>
      <c r="E436" s="156" t="inlineStr">
        <is>
          <t>Hauler</t>
        </is>
      </c>
      <c r="F436" s="156" t="inlineStr"/>
      <c r="G436" s="182" t="n">
        <v>0</v>
      </c>
      <c r="H436" s="182" t="n">
        <v>0</v>
      </c>
      <c r="I436" s="182" t="n">
        <v>0</v>
      </c>
      <c r="J436" s="182" t="n">
        <v>0</v>
      </c>
      <c r="K436" s="182" t="n">
        <v>12</v>
      </c>
      <c r="L436" s="182" t="n">
        <v>12</v>
      </c>
      <c r="M436" s="182" t="n">
        <v>0</v>
      </c>
      <c r="N436" s="182" t="n">
        <v>0</v>
      </c>
      <c r="O436" s="183" t="n">
        <v>0</v>
      </c>
      <c r="P436" s="183" t="n">
        <v>0</v>
      </c>
      <c r="Q436" s="184" t="n">
        <v>0</v>
      </c>
      <c r="R436" s="184" t="n">
        <v>0</v>
      </c>
      <c r="S436" s="183" t="n">
        <v>0</v>
      </c>
      <c r="T436" s="183" t="n">
        <v>0</v>
      </c>
      <c r="U436" s="182" t="n">
        <v>3.38</v>
      </c>
      <c r="V436" s="182" t="n">
        <v>3</v>
      </c>
      <c r="W436" s="182" t="n">
        <v>0</v>
      </c>
      <c r="X436" s="182" t="n">
        <v>1</v>
      </c>
      <c r="Y436" s="182" t="n">
        <v>0</v>
      </c>
      <c r="Z436" s="182" t="n">
        <v>0</v>
      </c>
      <c r="AA436" s="182" t="n">
        <v>0</v>
      </c>
      <c r="AB436" s="182" t="n">
        <v>0</v>
      </c>
      <c r="AC436" s="182" t="n">
        <v>0</v>
      </c>
      <c r="AD436" s="182" t="n">
        <v>0</v>
      </c>
      <c r="AE436" s="182" t="n">
        <v>0</v>
      </c>
      <c r="AF436" s="182" t="n">
        <v>0</v>
      </c>
      <c r="AG436" s="182" t="n">
        <v>0</v>
      </c>
      <c r="AH436" s="182" t="n">
        <v>0</v>
      </c>
      <c r="AI436" s="182" t="n">
        <v>4.54</v>
      </c>
      <c r="AJ436" s="182" t="n">
        <v>0</v>
      </c>
      <c r="AK436" s="182" t="n">
        <v>0</v>
      </c>
      <c r="AL436" s="182" t="n">
        <v>0</v>
      </c>
      <c r="AM436" s="182" t="n">
        <v>0.08</v>
      </c>
      <c r="AN436" s="182" t="n">
        <v>0</v>
      </c>
    </row>
    <row r="437">
      <c r="A437" s="155" t="n">
        <v>46083</v>
      </c>
      <c r="B437" s="156" t="inlineStr">
        <is>
          <t>NS</t>
        </is>
      </c>
      <c r="C437" s="156" t="inlineStr">
        <is>
          <t>WL-025</t>
        </is>
      </c>
      <c r="D437" s="156" t="inlineStr">
        <is>
          <t>SANY - Loader</t>
        </is>
      </c>
      <c r="E437" s="156" t="inlineStr">
        <is>
          <t>Loader</t>
        </is>
      </c>
      <c r="F437" s="156" t="inlineStr"/>
      <c r="G437" s="182" t="n">
        <v>0</v>
      </c>
      <c r="H437" s="182" t="n">
        <v>0</v>
      </c>
      <c r="I437" s="182" t="n">
        <v>0.23</v>
      </c>
      <c r="J437" s="182" t="n">
        <v>0.23</v>
      </c>
      <c r="K437" s="182" t="n">
        <v>11.77</v>
      </c>
      <c r="L437" s="182" t="n">
        <v>12</v>
      </c>
      <c r="M437" s="182" t="n">
        <v>0</v>
      </c>
      <c r="N437" s="182" t="n">
        <v>0</v>
      </c>
      <c r="O437" s="183" t="n">
        <v>0</v>
      </c>
      <c r="P437" s="183" t="n">
        <v>0</v>
      </c>
      <c r="Q437" s="184" t="n">
        <v>0</v>
      </c>
      <c r="R437" s="184" t="n">
        <v>0</v>
      </c>
      <c r="S437" s="183" t="n">
        <v>0</v>
      </c>
      <c r="T437" s="183" t="n">
        <v>0</v>
      </c>
      <c r="U437" s="182" t="n">
        <v>0</v>
      </c>
      <c r="V437" s="182" t="n">
        <v>0</v>
      </c>
      <c r="W437" s="182" t="n">
        <v>0</v>
      </c>
      <c r="X437" s="182" t="n">
        <v>1</v>
      </c>
      <c r="Y437" s="182" t="n">
        <v>0</v>
      </c>
      <c r="Z437" s="182" t="n">
        <v>0</v>
      </c>
      <c r="AA437" s="182" t="n">
        <v>0</v>
      </c>
      <c r="AB437" s="182" t="n">
        <v>0</v>
      </c>
      <c r="AC437" s="182" t="n">
        <v>0</v>
      </c>
      <c r="AD437" s="182" t="n">
        <v>0</v>
      </c>
      <c r="AE437" s="182" t="n">
        <v>0</v>
      </c>
      <c r="AF437" s="182" t="n">
        <v>0</v>
      </c>
      <c r="AG437" s="182" t="n">
        <v>0</v>
      </c>
      <c r="AH437" s="182" t="n">
        <v>0</v>
      </c>
      <c r="AI437" s="182" t="n">
        <v>0</v>
      </c>
      <c r="AJ437" s="182" t="n">
        <v>0</v>
      </c>
      <c r="AK437" s="182" t="n">
        <v>10.68</v>
      </c>
      <c r="AL437" s="182" t="n">
        <v>0</v>
      </c>
      <c r="AM437" s="182" t="n">
        <v>0.08</v>
      </c>
      <c r="AN437" s="182" t="n">
        <v>0</v>
      </c>
    </row>
    <row r="438">
      <c r="A438" s="155" t="n">
        <v>46083</v>
      </c>
      <c r="B438" s="156" t="inlineStr">
        <is>
          <t>NS</t>
        </is>
      </c>
      <c r="C438" s="156" t="inlineStr">
        <is>
          <t>WL-023</t>
        </is>
      </c>
      <c r="D438" s="156" t="inlineStr">
        <is>
          <t>SANY - Loader</t>
        </is>
      </c>
      <c r="E438" s="156" t="inlineStr">
        <is>
          <t>Loader</t>
        </is>
      </c>
      <c r="F438" s="156" t="inlineStr"/>
      <c r="G438" s="182" t="n">
        <v>0</v>
      </c>
      <c r="H438" s="182" t="n">
        <v>0</v>
      </c>
      <c r="I438" s="182" t="n">
        <v>0</v>
      </c>
      <c r="J438" s="182" t="n">
        <v>0</v>
      </c>
      <c r="K438" s="182" t="n">
        <v>12</v>
      </c>
      <c r="L438" s="182" t="n">
        <v>12</v>
      </c>
      <c r="M438" s="182" t="n">
        <v>0</v>
      </c>
      <c r="N438" s="182" t="n">
        <v>0</v>
      </c>
      <c r="O438" s="183" t="n">
        <v>0</v>
      </c>
      <c r="P438" s="183" t="n">
        <v>0</v>
      </c>
      <c r="Q438" s="184" t="n">
        <v>0</v>
      </c>
      <c r="R438" s="184" t="n">
        <v>0</v>
      </c>
      <c r="S438" s="183" t="n">
        <v>0</v>
      </c>
      <c r="T438" s="183" t="n">
        <v>0</v>
      </c>
      <c r="U438" s="182" t="n">
        <v>0</v>
      </c>
      <c r="V438" s="182" t="n">
        <v>0</v>
      </c>
      <c r="W438" s="182" t="n">
        <v>0</v>
      </c>
      <c r="X438" s="182" t="n">
        <v>1</v>
      </c>
      <c r="Y438" s="182" t="n">
        <v>0</v>
      </c>
      <c r="Z438" s="182" t="n">
        <v>0</v>
      </c>
      <c r="AA438" s="182" t="n">
        <v>0</v>
      </c>
      <c r="AB438" s="182" t="n">
        <v>0</v>
      </c>
      <c r="AC438" s="182" t="n">
        <v>0</v>
      </c>
      <c r="AD438" s="182" t="n">
        <v>0</v>
      </c>
      <c r="AE438" s="182" t="n">
        <v>0</v>
      </c>
      <c r="AF438" s="182" t="n">
        <v>0</v>
      </c>
      <c r="AG438" s="182" t="n">
        <v>0</v>
      </c>
      <c r="AH438" s="182" t="n">
        <v>0</v>
      </c>
      <c r="AI438" s="182" t="n">
        <v>0</v>
      </c>
      <c r="AJ438" s="182" t="n">
        <v>0</v>
      </c>
      <c r="AK438" s="182" t="n">
        <v>10.92</v>
      </c>
      <c r="AL438" s="182" t="n">
        <v>0</v>
      </c>
      <c r="AM438" s="182" t="n">
        <v>0.08</v>
      </c>
      <c r="AN438" s="182" t="n">
        <v>0</v>
      </c>
    </row>
    <row r="439">
      <c r="A439" s="155" t="n">
        <v>46083</v>
      </c>
      <c r="B439" s="156" t="inlineStr">
        <is>
          <t>NS</t>
        </is>
      </c>
      <c r="C439" s="156" t="inlineStr">
        <is>
          <t>WL-021</t>
        </is>
      </c>
      <c r="D439" s="156" t="inlineStr">
        <is>
          <t>SANY - Loader</t>
        </is>
      </c>
      <c r="E439" s="156" t="inlineStr">
        <is>
          <t>Loader</t>
        </is>
      </c>
      <c r="F439" s="156" t="inlineStr"/>
      <c r="G439" s="182" t="n">
        <v>0</v>
      </c>
      <c r="H439" s="182" t="n">
        <v>0</v>
      </c>
      <c r="I439" s="182" t="n">
        <v>12</v>
      </c>
      <c r="J439" s="182" t="n">
        <v>12</v>
      </c>
      <c r="K439" s="182" t="n">
        <v>0</v>
      </c>
      <c r="L439" s="182" t="n">
        <v>12</v>
      </c>
      <c r="M439" s="182" t="n">
        <v>0</v>
      </c>
      <c r="N439" s="182" t="n">
        <v>0</v>
      </c>
      <c r="O439" s="183" t="n">
        <v>0</v>
      </c>
      <c r="P439" s="183" t="n">
        <v>0</v>
      </c>
      <c r="Q439" s="184" t="n">
        <v>0</v>
      </c>
      <c r="R439" s="184" t="n">
        <v>0</v>
      </c>
      <c r="S439" s="183" t="n">
        <v>0</v>
      </c>
      <c r="T439" s="183" t="n">
        <v>0</v>
      </c>
      <c r="U439" s="182" t="n">
        <v>0</v>
      </c>
      <c r="V439" s="182" t="n">
        <v>0</v>
      </c>
      <c r="W439" s="182" t="n">
        <v>0</v>
      </c>
      <c r="X439" s="182" t="n">
        <v>0</v>
      </c>
      <c r="Y439" s="182" t="n">
        <v>0</v>
      </c>
      <c r="Z439" s="182" t="n">
        <v>0</v>
      </c>
      <c r="AA439" s="182" t="n">
        <v>0</v>
      </c>
      <c r="AB439" s="182" t="n">
        <v>0</v>
      </c>
      <c r="AC439" s="182" t="n">
        <v>0</v>
      </c>
      <c r="AD439" s="182" t="n">
        <v>0</v>
      </c>
      <c r="AE439" s="182" t="n">
        <v>0</v>
      </c>
      <c r="AF439" s="182" t="n">
        <v>0</v>
      </c>
      <c r="AG439" s="182" t="n">
        <v>0</v>
      </c>
      <c r="AH439" s="182" t="n">
        <v>0</v>
      </c>
      <c r="AI439" s="182" t="n">
        <v>0</v>
      </c>
      <c r="AJ439" s="182" t="n">
        <v>0</v>
      </c>
      <c r="AK439" s="182" t="n">
        <v>0</v>
      </c>
      <c r="AL439" s="182" t="n">
        <v>0</v>
      </c>
      <c r="AM439" s="182" t="n">
        <v>0</v>
      </c>
      <c r="AN439" s="182" t="n">
        <v>0</v>
      </c>
    </row>
    <row r="440">
      <c r="A440" s="155" t="n">
        <v>46083</v>
      </c>
      <c r="B440" s="156" t="inlineStr">
        <is>
          <t>NS</t>
        </is>
      </c>
      <c r="C440" s="156" t="inlineStr">
        <is>
          <t>WL-022</t>
        </is>
      </c>
      <c r="D440" s="156" t="inlineStr">
        <is>
          <t>SANY - Loader</t>
        </is>
      </c>
      <c r="E440" s="156" t="inlineStr">
        <is>
          <t>Loader</t>
        </is>
      </c>
      <c r="F440" s="156" t="inlineStr">
        <is>
          <t>Trimming Coal di Stock ROM</t>
        </is>
      </c>
      <c r="G440" s="182" t="n">
        <v>11.56</v>
      </c>
      <c r="H440" s="182" t="n">
        <v>0</v>
      </c>
      <c r="I440" s="182" t="n">
        <v>0</v>
      </c>
      <c r="J440" s="182" t="n">
        <v>0</v>
      </c>
      <c r="K440" s="182" t="n">
        <v>0.44</v>
      </c>
      <c r="L440" s="182" t="n">
        <v>12</v>
      </c>
      <c r="M440" s="182" t="n">
        <v>0</v>
      </c>
      <c r="N440" s="182" t="n">
        <v>0</v>
      </c>
      <c r="O440" s="183" t="n">
        <v>0</v>
      </c>
      <c r="P440" s="183" t="n">
        <v>0</v>
      </c>
      <c r="Q440" s="184" t="n">
        <v>0</v>
      </c>
      <c r="R440" s="184" t="n">
        <v>0</v>
      </c>
      <c r="S440" s="183" t="n">
        <v>0</v>
      </c>
      <c r="T440" s="183" t="n">
        <v>0</v>
      </c>
      <c r="U440" s="182" t="n">
        <v>0</v>
      </c>
      <c r="V440" s="182" t="n">
        <v>0</v>
      </c>
      <c r="W440" s="182" t="n">
        <v>0</v>
      </c>
      <c r="X440" s="182" t="n">
        <v>0.37</v>
      </c>
      <c r="Y440" s="182" t="n">
        <v>0</v>
      </c>
      <c r="Z440" s="182" t="n">
        <v>0</v>
      </c>
      <c r="AA440" s="182" t="n">
        <v>0</v>
      </c>
      <c r="AB440" s="182" t="n">
        <v>0</v>
      </c>
      <c r="AC440" s="182" t="n">
        <v>0</v>
      </c>
      <c r="AD440" s="182" t="n">
        <v>0</v>
      </c>
      <c r="AE440" s="182" t="n">
        <v>0</v>
      </c>
      <c r="AF440" s="182" t="n">
        <v>0</v>
      </c>
      <c r="AG440" s="182" t="n">
        <v>0</v>
      </c>
      <c r="AH440" s="182" t="n">
        <v>0</v>
      </c>
      <c r="AI440" s="182" t="n">
        <v>0</v>
      </c>
      <c r="AJ440" s="182" t="n">
        <v>0</v>
      </c>
      <c r="AK440" s="182" t="n">
        <v>0</v>
      </c>
      <c r="AL440" s="182" t="n">
        <v>0</v>
      </c>
      <c r="AM440" s="182" t="n">
        <v>0.07000000000000001</v>
      </c>
      <c r="AN440" s="182" t="n">
        <v>0</v>
      </c>
    </row>
    <row r="441">
      <c r="A441" s="155" t="n">
        <v>46083</v>
      </c>
      <c r="B441" s="156" t="inlineStr">
        <is>
          <t>NS</t>
        </is>
      </c>
      <c r="C441" s="156" t="inlineStr">
        <is>
          <t>WL-024</t>
        </is>
      </c>
      <c r="D441" s="156" t="inlineStr">
        <is>
          <t>SANY - Loader</t>
        </is>
      </c>
      <c r="E441" s="156" t="inlineStr">
        <is>
          <t>Loader</t>
        </is>
      </c>
      <c r="F441" s="156" t="inlineStr">
        <is>
          <t>Support Washing Plant</t>
        </is>
      </c>
      <c r="G441" s="182" t="n">
        <v>10.43</v>
      </c>
      <c r="H441" s="182" t="n">
        <v>0</v>
      </c>
      <c r="I441" s="182" t="n">
        <v>0</v>
      </c>
      <c r="J441" s="182" t="n">
        <v>0</v>
      </c>
      <c r="K441" s="182" t="n">
        <v>1.57</v>
      </c>
      <c r="L441" s="182" t="n">
        <v>12</v>
      </c>
      <c r="M441" s="182" t="n">
        <v>0</v>
      </c>
      <c r="N441" s="182" t="n">
        <v>0</v>
      </c>
      <c r="O441" s="183" t="n">
        <v>0</v>
      </c>
      <c r="P441" s="183" t="n">
        <v>0</v>
      </c>
      <c r="Q441" s="184" t="n">
        <v>0</v>
      </c>
      <c r="R441" s="184" t="n">
        <v>0</v>
      </c>
      <c r="S441" s="183" t="n">
        <v>0</v>
      </c>
      <c r="T441" s="183" t="n">
        <v>0</v>
      </c>
      <c r="U441" s="182" t="n">
        <v>0</v>
      </c>
      <c r="V441" s="182" t="n">
        <v>0</v>
      </c>
      <c r="W441" s="182" t="n">
        <v>0</v>
      </c>
      <c r="X441" s="182" t="n">
        <v>1.21</v>
      </c>
      <c r="Y441" s="182" t="n">
        <v>0</v>
      </c>
      <c r="Z441" s="182" t="n">
        <v>0</v>
      </c>
      <c r="AA441" s="182" t="n">
        <v>0</v>
      </c>
      <c r="AB441" s="182" t="n">
        <v>0</v>
      </c>
      <c r="AC441" s="182" t="n">
        <v>0</v>
      </c>
      <c r="AD441" s="182" t="n">
        <v>0</v>
      </c>
      <c r="AE441" s="182" t="n">
        <v>0</v>
      </c>
      <c r="AF441" s="182" t="n">
        <v>0</v>
      </c>
      <c r="AG441" s="182" t="n">
        <v>0</v>
      </c>
      <c r="AH441" s="182" t="n">
        <v>0</v>
      </c>
      <c r="AI441" s="182" t="n">
        <v>0</v>
      </c>
      <c r="AJ441" s="182" t="n">
        <v>0</v>
      </c>
      <c r="AK441" s="182" t="n">
        <v>0.27</v>
      </c>
      <c r="AL441" s="182" t="n">
        <v>0</v>
      </c>
      <c r="AM441" s="182" t="n">
        <v>0.1</v>
      </c>
      <c r="AN441" s="182" t="n">
        <v>0</v>
      </c>
    </row>
    <row r="442">
      <c r="A442" s="155" t="n">
        <v>46084</v>
      </c>
      <c r="B442" s="156" t="inlineStr">
        <is>
          <t>DS</t>
        </is>
      </c>
      <c r="C442" s="156" t="inlineStr">
        <is>
          <t>DZ-034</t>
        </is>
      </c>
      <c r="D442" s="156" t="inlineStr">
        <is>
          <t>D 68ESS-12EO</t>
        </is>
      </c>
      <c r="E442" s="156" t="inlineStr">
        <is>
          <t>Bulldozer</t>
        </is>
      </c>
      <c r="F442" s="156" t="inlineStr">
        <is>
          <t>Trimming Coal di Stock ROM</t>
        </is>
      </c>
      <c r="G442" s="182" t="n">
        <v>7.09</v>
      </c>
      <c r="H442" s="182" t="n">
        <v>0</v>
      </c>
      <c r="I442" s="182" t="n">
        <v>0.17</v>
      </c>
      <c r="J442" s="182" t="n">
        <v>0.17</v>
      </c>
      <c r="K442" s="182" t="n">
        <v>4.74</v>
      </c>
      <c r="L442" s="182" t="n">
        <v>12</v>
      </c>
      <c r="M442" s="182" t="n">
        <v>0</v>
      </c>
      <c r="N442" s="182" t="n">
        <v>0</v>
      </c>
      <c r="O442" s="183" t="n">
        <v>0</v>
      </c>
      <c r="P442" s="183" t="n">
        <v>0</v>
      </c>
      <c r="Q442" s="184" t="n">
        <v>0</v>
      </c>
      <c r="R442" s="184" t="n">
        <v>0</v>
      </c>
      <c r="S442" s="183" t="n">
        <v>0</v>
      </c>
      <c r="T442" s="183" t="n">
        <v>0</v>
      </c>
      <c r="U442" s="182" t="n">
        <v>0</v>
      </c>
      <c r="V442" s="182" t="n">
        <v>0</v>
      </c>
      <c r="W442" s="182" t="n">
        <v>0</v>
      </c>
      <c r="X442" s="182" t="n">
        <v>1.07</v>
      </c>
      <c r="Y442" s="182" t="n">
        <v>0</v>
      </c>
      <c r="Z442" s="182" t="n">
        <v>0</v>
      </c>
      <c r="AA442" s="182" t="n">
        <v>0</v>
      </c>
      <c r="AB442" s="182" t="n">
        <v>0</v>
      </c>
      <c r="AC442" s="182" t="n">
        <v>0</v>
      </c>
      <c r="AD442" s="182" t="n">
        <v>0</v>
      </c>
      <c r="AE442" s="182" t="n">
        <v>0</v>
      </c>
      <c r="AF442" s="182" t="n">
        <v>0</v>
      </c>
      <c r="AG442" s="182" t="n">
        <v>0</v>
      </c>
      <c r="AH442" s="182" t="n">
        <v>0</v>
      </c>
      <c r="AI442" s="182" t="n">
        <v>0</v>
      </c>
      <c r="AJ442" s="182" t="n">
        <v>0</v>
      </c>
      <c r="AK442" s="182" t="n">
        <v>3.58</v>
      </c>
      <c r="AL442" s="182" t="n">
        <v>0</v>
      </c>
      <c r="AM442" s="182" t="n">
        <v>0.09</v>
      </c>
      <c r="AN442" s="182" t="n">
        <v>0</v>
      </c>
    </row>
    <row r="443">
      <c r="A443" s="155" t="n">
        <v>46084</v>
      </c>
      <c r="B443" s="156" t="inlineStr">
        <is>
          <t>DS</t>
        </is>
      </c>
      <c r="C443" s="156" t="inlineStr">
        <is>
          <t>DZ-033</t>
        </is>
      </c>
      <c r="D443" s="156" t="inlineStr">
        <is>
          <t>D 375A-6R</t>
        </is>
      </c>
      <c r="E443" s="156" t="inlineStr">
        <is>
          <t>Bulldozer</t>
        </is>
      </c>
      <c r="F443" s="156" t="inlineStr">
        <is>
          <t>Support Disposal</t>
        </is>
      </c>
      <c r="G443" s="182" t="n">
        <v>10.75</v>
      </c>
      <c r="H443" s="182" t="n">
        <v>0</v>
      </c>
      <c r="I443" s="182" t="n">
        <v>0.92</v>
      </c>
      <c r="J443" s="182" t="n">
        <v>0.92</v>
      </c>
      <c r="K443" s="182" t="n">
        <v>0.33</v>
      </c>
      <c r="L443" s="182" t="n">
        <v>12</v>
      </c>
      <c r="M443" s="182" t="n">
        <v>0</v>
      </c>
      <c r="N443" s="182" t="n">
        <v>0</v>
      </c>
      <c r="O443" s="183" t="n">
        <v>0</v>
      </c>
      <c r="P443" s="183" t="n">
        <v>0</v>
      </c>
      <c r="Q443" s="184" t="n">
        <v>0</v>
      </c>
      <c r="R443" s="184" t="n">
        <v>0</v>
      </c>
      <c r="S443" s="183" t="n">
        <v>0</v>
      </c>
      <c r="T443" s="183" t="n">
        <v>0</v>
      </c>
      <c r="U443" s="182" t="n">
        <v>0</v>
      </c>
      <c r="V443" s="182" t="n">
        <v>0</v>
      </c>
      <c r="W443" s="182" t="n">
        <v>0</v>
      </c>
      <c r="X443" s="182" t="n">
        <v>0</v>
      </c>
      <c r="Y443" s="182" t="n">
        <v>0</v>
      </c>
      <c r="Z443" s="182" t="n">
        <v>0</v>
      </c>
      <c r="AA443" s="182" t="n">
        <v>0</v>
      </c>
      <c r="AB443" s="182" t="n">
        <v>0</v>
      </c>
      <c r="AC443" s="182" t="n">
        <v>0</v>
      </c>
      <c r="AD443" s="182" t="n">
        <v>0</v>
      </c>
      <c r="AE443" s="182" t="n">
        <v>0</v>
      </c>
      <c r="AF443" s="182" t="n">
        <v>0</v>
      </c>
      <c r="AG443" s="182" t="n">
        <v>0</v>
      </c>
      <c r="AH443" s="182" t="n">
        <v>0</v>
      </c>
      <c r="AI443" s="182" t="n">
        <v>0</v>
      </c>
      <c r="AJ443" s="182" t="n">
        <v>0</v>
      </c>
      <c r="AK443" s="182" t="n">
        <v>0</v>
      </c>
      <c r="AL443" s="182" t="n">
        <v>0</v>
      </c>
      <c r="AM443" s="182" t="n">
        <v>0.33</v>
      </c>
      <c r="AN443" s="182" t="n">
        <v>0</v>
      </c>
    </row>
    <row r="444">
      <c r="A444" s="155" t="n">
        <v>46084</v>
      </c>
      <c r="B444" s="156" t="inlineStr">
        <is>
          <t>DS</t>
        </is>
      </c>
      <c r="C444" s="156" t="inlineStr">
        <is>
          <t>DZ-038</t>
        </is>
      </c>
      <c r="D444" s="156" t="inlineStr">
        <is>
          <t>D 85 ESS-2</t>
        </is>
      </c>
      <c r="E444" s="156" t="inlineStr">
        <is>
          <t>Bulldozer</t>
        </is>
      </c>
      <c r="F444" s="156" t="inlineStr"/>
      <c r="G444" s="182" t="n">
        <v>0</v>
      </c>
      <c r="H444" s="182" t="n">
        <v>0</v>
      </c>
      <c r="I444" s="182" t="n">
        <v>12</v>
      </c>
      <c r="J444" s="182" t="n">
        <v>12</v>
      </c>
      <c r="K444" s="182" t="n">
        <v>0</v>
      </c>
      <c r="L444" s="182" t="n">
        <v>12</v>
      </c>
      <c r="M444" s="182" t="n">
        <v>0</v>
      </c>
      <c r="N444" s="182" t="n">
        <v>0</v>
      </c>
      <c r="O444" s="183" t="n">
        <v>0</v>
      </c>
      <c r="P444" s="183" t="n">
        <v>0</v>
      </c>
      <c r="Q444" s="184" t="n">
        <v>0</v>
      </c>
      <c r="R444" s="184" t="n">
        <v>0</v>
      </c>
      <c r="S444" s="183" t="n">
        <v>0</v>
      </c>
      <c r="T444" s="183" t="n">
        <v>0</v>
      </c>
      <c r="U444" s="182" t="n">
        <v>0</v>
      </c>
      <c r="V444" s="182" t="n">
        <v>0</v>
      </c>
      <c r="W444" s="182" t="n">
        <v>0</v>
      </c>
      <c r="X444" s="182" t="n">
        <v>0</v>
      </c>
      <c r="Y444" s="182" t="n">
        <v>0</v>
      </c>
      <c r="Z444" s="182" t="n">
        <v>0</v>
      </c>
      <c r="AA444" s="182" t="n">
        <v>0</v>
      </c>
      <c r="AB444" s="182" t="n">
        <v>0</v>
      </c>
      <c r="AC444" s="182" t="n">
        <v>0</v>
      </c>
      <c r="AD444" s="182" t="n">
        <v>0</v>
      </c>
      <c r="AE444" s="182" t="n">
        <v>0</v>
      </c>
      <c r="AF444" s="182" t="n">
        <v>0</v>
      </c>
      <c r="AG444" s="182" t="n">
        <v>0</v>
      </c>
      <c r="AH444" s="182" t="n">
        <v>0</v>
      </c>
      <c r="AI444" s="182" t="n">
        <v>0</v>
      </c>
      <c r="AJ444" s="182" t="n">
        <v>0</v>
      </c>
      <c r="AK444" s="182" t="n">
        <v>0</v>
      </c>
      <c r="AL444" s="182" t="n">
        <v>0</v>
      </c>
      <c r="AM444" s="182" t="n">
        <v>0</v>
      </c>
      <c r="AN444" s="182" t="n">
        <v>0</v>
      </c>
    </row>
    <row r="445">
      <c r="A445" s="155" t="n">
        <v>46084</v>
      </c>
      <c r="B445" s="156" t="inlineStr">
        <is>
          <t>DS</t>
        </is>
      </c>
      <c r="C445" s="156" t="inlineStr">
        <is>
          <t>DZ-039</t>
        </is>
      </c>
      <c r="D445" s="156" t="inlineStr">
        <is>
          <t>D 85 ESS-2</t>
        </is>
      </c>
      <c r="E445" s="156" t="inlineStr">
        <is>
          <t>Bulldozer</t>
        </is>
      </c>
      <c r="F445" s="156" t="inlineStr"/>
      <c r="G445" s="182" t="n">
        <v>0</v>
      </c>
      <c r="H445" s="182" t="n">
        <v>0</v>
      </c>
      <c r="I445" s="182" t="n">
        <v>12</v>
      </c>
      <c r="J445" s="182" t="n">
        <v>12</v>
      </c>
      <c r="K445" s="182" t="n">
        <v>0</v>
      </c>
      <c r="L445" s="182" t="n">
        <v>12</v>
      </c>
      <c r="M445" s="182" t="n">
        <v>0</v>
      </c>
      <c r="N445" s="182" t="n">
        <v>0</v>
      </c>
      <c r="O445" s="183" t="n">
        <v>0</v>
      </c>
      <c r="P445" s="183" t="n">
        <v>0</v>
      </c>
      <c r="Q445" s="184" t="n">
        <v>0</v>
      </c>
      <c r="R445" s="184" t="n">
        <v>0</v>
      </c>
      <c r="S445" s="183" t="n">
        <v>0</v>
      </c>
      <c r="T445" s="183" t="n">
        <v>0</v>
      </c>
      <c r="U445" s="182" t="n">
        <v>0</v>
      </c>
      <c r="V445" s="182" t="n">
        <v>0</v>
      </c>
      <c r="W445" s="182" t="n">
        <v>0</v>
      </c>
      <c r="X445" s="182" t="n">
        <v>0</v>
      </c>
      <c r="Y445" s="182" t="n">
        <v>0</v>
      </c>
      <c r="Z445" s="182" t="n">
        <v>0</v>
      </c>
      <c r="AA445" s="182" t="n">
        <v>0</v>
      </c>
      <c r="AB445" s="182" t="n">
        <v>0</v>
      </c>
      <c r="AC445" s="182" t="n">
        <v>0</v>
      </c>
      <c r="AD445" s="182" t="n">
        <v>0</v>
      </c>
      <c r="AE445" s="182" t="n">
        <v>0</v>
      </c>
      <c r="AF445" s="182" t="n">
        <v>0</v>
      </c>
      <c r="AG445" s="182" t="n">
        <v>0</v>
      </c>
      <c r="AH445" s="182" t="n">
        <v>0</v>
      </c>
      <c r="AI445" s="182" t="n">
        <v>0</v>
      </c>
      <c r="AJ445" s="182" t="n">
        <v>0</v>
      </c>
      <c r="AK445" s="182" t="n">
        <v>0</v>
      </c>
      <c r="AL445" s="182" t="n">
        <v>0</v>
      </c>
      <c r="AM445" s="182" t="n">
        <v>0</v>
      </c>
      <c r="AN445" s="182" t="n">
        <v>0</v>
      </c>
    </row>
    <row r="446">
      <c r="A446" s="155" t="n">
        <v>46084</v>
      </c>
      <c r="B446" s="156" t="inlineStr">
        <is>
          <t>DS</t>
        </is>
      </c>
      <c r="C446" s="156" t="inlineStr">
        <is>
          <t>DZ-032</t>
        </is>
      </c>
      <c r="D446" s="156" t="inlineStr">
        <is>
          <t>CAT</t>
        </is>
      </c>
      <c r="E446" s="156" t="inlineStr">
        <is>
          <t>Bulldozer</t>
        </is>
      </c>
      <c r="F446" s="156" t="inlineStr"/>
      <c r="G446" s="182" t="n">
        <v>0</v>
      </c>
      <c r="H446" s="182" t="n">
        <v>0</v>
      </c>
      <c r="I446" s="182" t="n">
        <v>12</v>
      </c>
      <c r="J446" s="182" t="n">
        <v>12</v>
      </c>
      <c r="K446" s="182" t="n">
        <v>0</v>
      </c>
      <c r="L446" s="182" t="n">
        <v>12</v>
      </c>
      <c r="M446" s="182" t="n">
        <v>0</v>
      </c>
      <c r="N446" s="182" t="n">
        <v>0</v>
      </c>
      <c r="O446" s="183" t="n">
        <v>0</v>
      </c>
      <c r="P446" s="183" t="n">
        <v>0</v>
      </c>
      <c r="Q446" s="184" t="n">
        <v>0</v>
      </c>
      <c r="R446" s="184" t="n">
        <v>0</v>
      </c>
      <c r="S446" s="183" t="n">
        <v>0</v>
      </c>
      <c r="T446" s="183" t="n">
        <v>0</v>
      </c>
      <c r="U446" s="182" t="n">
        <v>0</v>
      </c>
      <c r="V446" s="182" t="n">
        <v>0</v>
      </c>
      <c r="W446" s="182" t="n">
        <v>0</v>
      </c>
      <c r="X446" s="182" t="n">
        <v>0</v>
      </c>
      <c r="Y446" s="182" t="n">
        <v>0</v>
      </c>
      <c r="Z446" s="182" t="n">
        <v>0</v>
      </c>
      <c r="AA446" s="182" t="n">
        <v>0</v>
      </c>
      <c r="AB446" s="182" t="n">
        <v>0</v>
      </c>
      <c r="AC446" s="182" t="n">
        <v>0</v>
      </c>
      <c r="AD446" s="182" t="n">
        <v>0</v>
      </c>
      <c r="AE446" s="182" t="n">
        <v>0</v>
      </c>
      <c r="AF446" s="182" t="n">
        <v>0</v>
      </c>
      <c r="AG446" s="182" t="n">
        <v>0</v>
      </c>
      <c r="AH446" s="182" t="n">
        <v>0</v>
      </c>
      <c r="AI446" s="182" t="n">
        <v>0</v>
      </c>
      <c r="AJ446" s="182" t="n">
        <v>0</v>
      </c>
      <c r="AK446" s="182" t="n">
        <v>0</v>
      </c>
      <c r="AL446" s="182" t="n">
        <v>0</v>
      </c>
      <c r="AM446" s="182" t="n">
        <v>0</v>
      </c>
      <c r="AN446" s="182" t="n">
        <v>0</v>
      </c>
    </row>
    <row r="447">
      <c r="A447" s="155" t="n">
        <v>46084</v>
      </c>
      <c r="B447" s="156" t="inlineStr">
        <is>
          <t>DS</t>
        </is>
      </c>
      <c r="C447" s="156" t="inlineStr">
        <is>
          <t>DZ-031</t>
        </is>
      </c>
      <c r="D447" s="156" t="inlineStr">
        <is>
          <t>CAT</t>
        </is>
      </c>
      <c r="E447" s="156" t="inlineStr">
        <is>
          <t>Bulldozer</t>
        </is>
      </c>
      <c r="F447" s="156" t="inlineStr">
        <is>
          <t>Support Front Loading</t>
        </is>
      </c>
      <c r="G447" s="182" t="n">
        <v>5.57</v>
      </c>
      <c r="H447" s="182" t="n">
        <v>0</v>
      </c>
      <c r="I447" s="182" t="n">
        <v>6</v>
      </c>
      <c r="J447" s="182" t="n">
        <v>6</v>
      </c>
      <c r="K447" s="182" t="n">
        <v>0.43</v>
      </c>
      <c r="L447" s="182" t="n">
        <v>12</v>
      </c>
      <c r="M447" s="182" t="n">
        <v>0</v>
      </c>
      <c r="N447" s="182" t="n">
        <v>0</v>
      </c>
      <c r="O447" s="183" t="n">
        <v>0</v>
      </c>
      <c r="P447" s="183" t="n">
        <v>0</v>
      </c>
      <c r="Q447" s="184" t="n">
        <v>0</v>
      </c>
      <c r="R447" s="184" t="n">
        <v>0</v>
      </c>
      <c r="S447" s="183" t="n">
        <v>0</v>
      </c>
      <c r="T447" s="183" t="n">
        <v>0</v>
      </c>
      <c r="U447" s="182" t="n">
        <v>0</v>
      </c>
      <c r="V447" s="182" t="n">
        <v>0</v>
      </c>
      <c r="W447" s="182" t="n">
        <v>0</v>
      </c>
      <c r="X447" s="182" t="n">
        <v>0.34</v>
      </c>
      <c r="Y447" s="182" t="n">
        <v>0</v>
      </c>
      <c r="Z447" s="182" t="n">
        <v>0</v>
      </c>
      <c r="AA447" s="182" t="n">
        <v>0</v>
      </c>
      <c r="AB447" s="182" t="n">
        <v>0</v>
      </c>
      <c r="AC447" s="182" t="n">
        <v>0</v>
      </c>
      <c r="AD447" s="182" t="n">
        <v>0</v>
      </c>
      <c r="AE447" s="182" t="n">
        <v>0</v>
      </c>
      <c r="AF447" s="182" t="n">
        <v>0</v>
      </c>
      <c r="AG447" s="182" t="n">
        <v>0</v>
      </c>
      <c r="AH447" s="182" t="n">
        <v>0</v>
      </c>
      <c r="AI447" s="182" t="n">
        <v>0</v>
      </c>
      <c r="AJ447" s="182" t="n">
        <v>0</v>
      </c>
      <c r="AK447" s="182" t="n">
        <v>0</v>
      </c>
      <c r="AL447" s="182" t="n">
        <v>0</v>
      </c>
      <c r="AM447" s="182" t="n">
        <v>0.09</v>
      </c>
      <c r="AN447" s="182" t="n">
        <v>0</v>
      </c>
    </row>
    <row r="448">
      <c r="A448" s="155" t="n">
        <v>46084</v>
      </c>
      <c r="B448" s="156" t="inlineStr">
        <is>
          <t>DS</t>
        </is>
      </c>
      <c r="C448" s="156" t="inlineStr">
        <is>
          <t>DZ-037</t>
        </is>
      </c>
      <c r="D448" s="156" t="inlineStr">
        <is>
          <t>D 85 ESS-2</t>
        </is>
      </c>
      <c r="E448" s="156" t="inlineStr">
        <is>
          <t>Bulldozer</t>
        </is>
      </c>
      <c r="F448" s="156" t="inlineStr"/>
      <c r="G448" s="182" t="n">
        <v>0</v>
      </c>
      <c r="H448" s="182" t="n">
        <v>0</v>
      </c>
      <c r="I448" s="182" t="n">
        <v>12</v>
      </c>
      <c r="J448" s="182" t="n">
        <v>12</v>
      </c>
      <c r="K448" s="182" t="n">
        <v>0</v>
      </c>
      <c r="L448" s="182" t="n">
        <v>12</v>
      </c>
      <c r="M448" s="182" t="n">
        <v>0</v>
      </c>
      <c r="N448" s="182" t="n">
        <v>0</v>
      </c>
      <c r="O448" s="183" t="n">
        <v>0</v>
      </c>
      <c r="P448" s="183" t="n">
        <v>0</v>
      </c>
      <c r="Q448" s="184" t="n">
        <v>0</v>
      </c>
      <c r="R448" s="184" t="n">
        <v>0</v>
      </c>
      <c r="S448" s="183" t="n">
        <v>0</v>
      </c>
      <c r="T448" s="183" t="n">
        <v>0</v>
      </c>
      <c r="U448" s="182" t="n">
        <v>0</v>
      </c>
      <c r="V448" s="182" t="n">
        <v>0</v>
      </c>
      <c r="W448" s="182" t="n">
        <v>0</v>
      </c>
      <c r="X448" s="182" t="n">
        <v>0</v>
      </c>
      <c r="Y448" s="182" t="n">
        <v>0</v>
      </c>
      <c r="Z448" s="182" t="n">
        <v>0</v>
      </c>
      <c r="AA448" s="182" t="n">
        <v>0</v>
      </c>
      <c r="AB448" s="182" t="n">
        <v>0</v>
      </c>
      <c r="AC448" s="182" t="n">
        <v>0</v>
      </c>
      <c r="AD448" s="182" t="n">
        <v>0</v>
      </c>
      <c r="AE448" s="182" t="n">
        <v>0</v>
      </c>
      <c r="AF448" s="182" t="n">
        <v>0</v>
      </c>
      <c r="AG448" s="182" t="n">
        <v>0</v>
      </c>
      <c r="AH448" s="182" t="n">
        <v>0</v>
      </c>
      <c r="AI448" s="182" t="n">
        <v>0</v>
      </c>
      <c r="AJ448" s="182" t="n">
        <v>0</v>
      </c>
      <c r="AK448" s="182" t="n">
        <v>0</v>
      </c>
      <c r="AL448" s="182" t="n">
        <v>0</v>
      </c>
      <c r="AM448" s="182" t="n">
        <v>0</v>
      </c>
      <c r="AN448" s="182" t="n">
        <v>0</v>
      </c>
    </row>
    <row r="449">
      <c r="A449" s="155" t="n">
        <v>46084</v>
      </c>
      <c r="B449" s="156" t="inlineStr">
        <is>
          <t>DS</t>
        </is>
      </c>
      <c r="C449" s="156" t="inlineStr">
        <is>
          <t>DZ-036</t>
        </is>
      </c>
      <c r="D449" s="156" t="inlineStr">
        <is>
          <t>D 85 ESS-2</t>
        </is>
      </c>
      <c r="E449" s="156" t="inlineStr">
        <is>
          <t>Bulldozer</t>
        </is>
      </c>
      <c r="F449" s="156" t="inlineStr"/>
      <c r="G449" s="182" t="n">
        <v>0</v>
      </c>
      <c r="H449" s="182" t="n">
        <v>0</v>
      </c>
      <c r="I449" s="182" t="n">
        <v>0</v>
      </c>
      <c r="J449" s="182" t="n">
        <v>0</v>
      </c>
      <c r="K449" s="182" t="n">
        <v>12</v>
      </c>
      <c r="L449" s="182" t="n">
        <v>12</v>
      </c>
      <c r="M449" s="182" t="n">
        <v>0</v>
      </c>
      <c r="N449" s="182" t="n">
        <v>0</v>
      </c>
      <c r="O449" s="183" t="n">
        <v>0</v>
      </c>
      <c r="P449" s="183" t="n">
        <v>0</v>
      </c>
      <c r="Q449" s="184" t="n">
        <v>0</v>
      </c>
      <c r="R449" s="184" t="n">
        <v>0</v>
      </c>
      <c r="S449" s="183" t="n">
        <v>0</v>
      </c>
      <c r="T449" s="183" t="n">
        <v>0</v>
      </c>
      <c r="U449" s="182" t="n">
        <v>0</v>
      </c>
      <c r="V449" s="182" t="n">
        <v>0</v>
      </c>
      <c r="W449" s="182" t="n">
        <v>0</v>
      </c>
      <c r="X449" s="182" t="n">
        <v>1</v>
      </c>
      <c r="Y449" s="182" t="n">
        <v>0</v>
      </c>
      <c r="Z449" s="182" t="n">
        <v>0</v>
      </c>
      <c r="AA449" s="182" t="n">
        <v>0</v>
      </c>
      <c r="AB449" s="182" t="n">
        <v>0</v>
      </c>
      <c r="AC449" s="182" t="n">
        <v>0</v>
      </c>
      <c r="AD449" s="182" t="n">
        <v>0</v>
      </c>
      <c r="AE449" s="182" t="n">
        <v>0</v>
      </c>
      <c r="AF449" s="182" t="n">
        <v>0</v>
      </c>
      <c r="AG449" s="182" t="n">
        <v>0</v>
      </c>
      <c r="AH449" s="182" t="n">
        <v>0</v>
      </c>
      <c r="AI449" s="182" t="n">
        <v>0</v>
      </c>
      <c r="AJ449" s="182" t="n">
        <v>0</v>
      </c>
      <c r="AK449" s="182" t="n">
        <v>10.92</v>
      </c>
      <c r="AL449" s="182" t="n">
        <v>0</v>
      </c>
      <c r="AM449" s="182" t="n">
        <v>0.08</v>
      </c>
      <c r="AN449" s="182" t="n">
        <v>0</v>
      </c>
    </row>
    <row r="450">
      <c r="A450" s="155" t="n">
        <v>46084</v>
      </c>
      <c r="B450" s="156" t="inlineStr">
        <is>
          <t>DS</t>
        </is>
      </c>
      <c r="C450" s="156" t="inlineStr">
        <is>
          <t>DZ-035</t>
        </is>
      </c>
      <c r="D450" s="156" t="inlineStr">
        <is>
          <t>D 85 ESS-2</t>
        </is>
      </c>
      <c r="E450" s="156" t="inlineStr">
        <is>
          <t>Bulldozer</t>
        </is>
      </c>
      <c r="F450" s="156" t="inlineStr">
        <is>
          <t>Support Front Loading</t>
        </is>
      </c>
      <c r="G450" s="182" t="n">
        <v>8.68</v>
      </c>
      <c r="H450" s="182" t="n">
        <v>0</v>
      </c>
      <c r="I450" s="182" t="n">
        <v>0</v>
      </c>
      <c r="J450" s="182" t="n">
        <v>0</v>
      </c>
      <c r="K450" s="182" t="n">
        <v>3.32</v>
      </c>
      <c r="L450" s="182" t="n">
        <v>12</v>
      </c>
      <c r="M450" s="182" t="n">
        <v>0</v>
      </c>
      <c r="N450" s="182" t="n">
        <v>0</v>
      </c>
      <c r="O450" s="183" t="n">
        <v>0</v>
      </c>
      <c r="P450" s="183" t="n">
        <v>0</v>
      </c>
      <c r="Q450" s="184" t="n">
        <v>0</v>
      </c>
      <c r="R450" s="184" t="n">
        <v>0</v>
      </c>
      <c r="S450" s="183" t="n">
        <v>0</v>
      </c>
      <c r="T450" s="183" t="n">
        <v>0</v>
      </c>
      <c r="U450" s="182" t="n">
        <v>2.23</v>
      </c>
      <c r="V450" s="182" t="n">
        <v>0</v>
      </c>
      <c r="W450" s="182" t="n">
        <v>0</v>
      </c>
      <c r="X450" s="182" t="n">
        <v>1.01</v>
      </c>
      <c r="Y450" s="182" t="n">
        <v>0</v>
      </c>
      <c r="Z450" s="182" t="n">
        <v>0</v>
      </c>
      <c r="AA450" s="182" t="n">
        <v>0</v>
      </c>
      <c r="AB450" s="182" t="n">
        <v>0</v>
      </c>
      <c r="AC450" s="182" t="n">
        <v>0</v>
      </c>
      <c r="AD450" s="182" t="n">
        <v>0</v>
      </c>
      <c r="AE450" s="182" t="n">
        <v>0</v>
      </c>
      <c r="AF450" s="182" t="n">
        <v>0</v>
      </c>
      <c r="AG450" s="182" t="n">
        <v>0</v>
      </c>
      <c r="AH450" s="182" t="n">
        <v>0</v>
      </c>
      <c r="AI450" s="182" t="n">
        <v>0</v>
      </c>
      <c r="AJ450" s="182" t="n">
        <v>0</v>
      </c>
      <c r="AK450" s="182" t="n">
        <v>0</v>
      </c>
      <c r="AL450" s="182" t="n">
        <v>0</v>
      </c>
      <c r="AM450" s="182" t="n">
        <v>0.08</v>
      </c>
      <c r="AN450" s="182" t="n">
        <v>0</v>
      </c>
    </row>
    <row r="451">
      <c r="A451" s="155" t="n">
        <v>46084</v>
      </c>
      <c r="B451" s="156" t="inlineStr">
        <is>
          <t>DS</t>
        </is>
      </c>
      <c r="C451" s="156" t="inlineStr">
        <is>
          <t>CP-042</t>
        </is>
      </c>
      <c r="D451" s="156" t="inlineStr">
        <is>
          <t>SANY - Compactor</t>
        </is>
      </c>
      <c r="E451" s="156" t="inlineStr">
        <is>
          <t>Compactor</t>
        </is>
      </c>
      <c r="F451" s="156" t="inlineStr"/>
      <c r="G451" s="182" t="n">
        <v>0</v>
      </c>
      <c r="H451" s="182" t="n">
        <v>0</v>
      </c>
      <c r="I451" s="182" t="n">
        <v>0</v>
      </c>
      <c r="J451" s="182" t="n">
        <v>0</v>
      </c>
      <c r="K451" s="182" t="n">
        <v>12</v>
      </c>
      <c r="L451" s="182" t="n">
        <v>12</v>
      </c>
      <c r="M451" s="182" t="n">
        <v>0</v>
      </c>
      <c r="N451" s="182" t="n">
        <v>0</v>
      </c>
      <c r="O451" s="183" t="n">
        <v>0</v>
      </c>
      <c r="P451" s="183" t="n">
        <v>0</v>
      </c>
      <c r="Q451" s="184" t="n">
        <v>0</v>
      </c>
      <c r="R451" s="184" t="n">
        <v>0</v>
      </c>
      <c r="S451" s="183" t="n">
        <v>0</v>
      </c>
      <c r="T451" s="183" t="n">
        <v>0</v>
      </c>
      <c r="U451" s="182" t="n">
        <v>0</v>
      </c>
      <c r="V451" s="182" t="n">
        <v>0</v>
      </c>
      <c r="W451" s="182" t="n">
        <v>0</v>
      </c>
      <c r="X451" s="182" t="n">
        <v>1</v>
      </c>
      <c r="Y451" s="182" t="n">
        <v>0</v>
      </c>
      <c r="Z451" s="182" t="n">
        <v>0</v>
      </c>
      <c r="AA451" s="182" t="n">
        <v>0</v>
      </c>
      <c r="AB451" s="182" t="n">
        <v>0</v>
      </c>
      <c r="AC451" s="182" t="n">
        <v>0</v>
      </c>
      <c r="AD451" s="182" t="n">
        <v>0</v>
      </c>
      <c r="AE451" s="182" t="n">
        <v>0</v>
      </c>
      <c r="AF451" s="182" t="n">
        <v>0</v>
      </c>
      <c r="AG451" s="182" t="n">
        <v>0</v>
      </c>
      <c r="AH451" s="182" t="n">
        <v>0</v>
      </c>
      <c r="AI451" s="182" t="n">
        <v>0</v>
      </c>
      <c r="AJ451" s="182" t="n">
        <v>0</v>
      </c>
      <c r="AK451" s="182" t="n">
        <v>10.92</v>
      </c>
      <c r="AL451" s="182" t="n">
        <v>0</v>
      </c>
      <c r="AM451" s="182" t="n">
        <v>0.08</v>
      </c>
      <c r="AN451" s="182" t="n">
        <v>0</v>
      </c>
    </row>
    <row r="452">
      <c r="A452" s="155" t="n">
        <v>46084</v>
      </c>
      <c r="B452" s="156" t="inlineStr">
        <is>
          <t>DS</t>
        </is>
      </c>
      <c r="C452" s="156" t="inlineStr">
        <is>
          <t>CP-041</t>
        </is>
      </c>
      <c r="D452" s="156" t="inlineStr">
        <is>
          <t>SANY - Compactor</t>
        </is>
      </c>
      <c r="E452" s="156" t="inlineStr">
        <is>
          <t>Compactor</t>
        </is>
      </c>
      <c r="F452" s="156" t="inlineStr">
        <is>
          <t>Pemadatan Area ROM</t>
        </is>
      </c>
      <c r="G452" s="182" t="n">
        <v>8.68</v>
      </c>
      <c r="H452" s="182" t="n">
        <v>0</v>
      </c>
      <c r="I452" s="182" t="n">
        <v>0</v>
      </c>
      <c r="J452" s="182" t="n">
        <v>0</v>
      </c>
      <c r="K452" s="182" t="n">
        <v>3.32</v>
      </c>
      <c r="L452" s="182" t="n">
        <v>12</v>
      </c>
      <c r="M452" s="182" t="n">
        <v>0</v>
      </c>
      <c r="N452" s="182" t="n">
        <v>0</v>
      </c>
      <c r="O452" s="183" t="n">
        <v>0</v>
      </c>
      <c r="P452" s="183" t="n">
        <v>0</v>
      </c>
      <c r="Q452" s="184" t="n">
        <v>0</v>
      </c>
      <c r="R452" s="184" t="n">
        <v>0</v>
      </c>
      <c r="S452" s="183" t="n">
        <v>0</v>
      </c>
      <c r="T452" s="183" t="n">
        <v>0</v>
      </c>
      <c r="U452" s="182" t="n">
        <v>0</v>
      </c>
      <c r="V452" s="182" t="n">
        <v>0</v>
      </c>
      <c r="W452" s="182" t="n">
        <v>0</v>
      </c>
      <c r="X452" s="182" t="n">
        <v>0.98</v>
      </c>
      <c r="Y452" s="182" t="n">
        <v>0</v>
      </c>
      <c r="Z452" s="182" t="n">
        <v>0</v>
      </c>
      <c r="AA452" s="182" t="n">
        <v>0</v>
      </c>
      <c r="AB452" s="182" t="n">
        <v>0</v>
      </c>
      <c r="AC452" s="182" t="n">
        <v>0</v>
      </c>
      <c r="AD452" s="182" t="n">
        <v>0</v>
      </c>
      <c r="AE452" s="182" t="n">
        <v>0</v>
      </c>
      <c r="AF452" s="182" t="n">
        <v>0</v>
      </c>
      <c r="AG452" s="182" t="n">
        <v>0</v>
      </c>
      <c r="AH452" s="182" t="n">
        <v>0</v>
      </c>
      <c r="AI452" s="182" t="n">
        <v>0</v>
      </c>
      <c r="AJ452" s="182" t="n">
        <v>0</v>
      </c>
      <c r="AK452" s="182" t="n">
        <v>2.27</v>
      </c>
      <c r="AL452" s="182" t="n">
        <v>0</v>
      </c>
      <c r="AM452" s="182" t="n">
        <v>0.08</v>
      </c>
      <c r="AN452" s="182" t="n">
        <v>0</v>
      </c>
    </row>
    <row r="453">
      <c r="A453" s="155" t="n">
        <v>46084</v>
      </c>
      <c r="B453" s="156" t="inlineStr">
        <is>
          <t>DS</t>
        </is>
      </c>
      <c r="C453" s="156" t="inlineStr">
        <is>
          <t>HT-418</t>
        </is>
      </c>
      <c r="D453" s="156" t="inlineStr">
        <is>
          <t>SY430</t>
        </is>
      </c>
      <c r="E453" s="156" t="inlineStr">
        <is>
          <t>DT Hauling</t>
        </is>
      </c>
      <c r="F453" s="156" t="inlineStr"/>
      <c r="G453" s="182" t="n">
        <v>0</v>
      </c>
      <c r="H453" s="182" t="n">
        <v>0</v>
      </c>
      <c r="I453" s="182" t="n">
        <v>0</v>
      </c>
      <c r="J453" s="182" t="n">
        <v>0</v>
      </c>
      <c r="K453" s="182" t="n">
        <v>12</v>
      </c>
      <c r="L453" s="182" t="n">
        <v>12</v>
      </c>
      <c r="M453" s="182" t="n">
        <v>0</v>
      </c>
      <c r="N453" s="182" t="n">
        <v>0</v>
      </c>
      <c r="O453" s="183" t="n">
        <v>0</v>
      </c>
      <c r="P453" s="183" t="n">
        <v>0</v>
      </c>
      <c r="Q453" s="184" t="n">
        <v>0</v>
      </c>
      <c r="R453" s="184" t="n">
        <v>0</v>
      </c>
      <c r="S453" s="183" t="n">
        <v>0</v>
      </c>
      <c r="T453" s="183" t="n">
        <v>0</v>
      </c>
      <c r="U453" s="182" t="n">
        <v>0</v>
      </c>
      <c r="V453" s="182" t="n">
        <v>0</v>
      </c>
      <c r="W453" s="182" t="n">
        <v>0</v>
      </c>
      <c r="X453" s="182" t="n">
        <v>1</v>
      </c>
      <c r="Y453" s="182" t="n">
        <v>0</v>
      </c>
      <c r="Z453" s="182" t="n">
        <v>0</v>
      </c>
      <c r="AA453" s="182" t="n">
        <v>0</v>
      </c>
      <c r="AB453" s="182" t="n">
        <v>0</v>
      </c>
      <c r="AC453" s="182" t="n">
        <v>0</v>
      </c>
      <c r="AD453" s="182" t="n">
        <v>0</v>
      </c>
      <c r="AE453" s="182" t="n">
        <v>0</v>
      </c>
      <c r="AF453" s="182" t="n">
        <v>0</v>
      </c>
      <c r="AG453" s="182" t="n">
        <v>0</v>
      </c>
      <c r="AH453" s="182" t="n">
        <v>0</v>
      </c>
      <c r="AI453" s="182" t="n">
        <v>0</v>
      </c>
      <c r="AJ453" s="182" t="n">
        <v>0</v>
      </c>
      <c r="AK453" s="182" t="n">
        <v>10.92</v>
      </c>
      <c r="AL453" s="182" t="n">
        <v>0</v>
      </c>
      <c r="AM453" s="182" t="n">
        <v>0.08</v>
      </c>
      <c r="AN453" s="182" t="n">
        <v>0</v>
      </c>
    </row>
    <row r="454">
      <c r="A454" s="155" t="n">
        <v>46084</v>
      </c>
      <c r="B454" s="156" t="inlineStr">
        <is>
          <t>DS</t>
        </is>
      </c>
      <c r="C454" s="156" t="inlineStr">
        <is>
          <t>HT-404</t>
        </is>
      </c>
      <c r="D454" s="156" t="inlineStr">
        <is>
          <t>SY430</t>
        </is>
      </c>
      <c r="E454" s="156" t="inlineStr">
        <is>
          <t>DT Hauling</t>
        </is>
      </c>
      <c r="F454" s="156" t="inlineStr"/>
      <c r="G454" s="182" t="n">
        <v>0</v>
      </c>
      <c r="H454" s="182" t="n">
        <v>0</v>
      </c>
      <c r="I454" s="182" t="n">
        <v>0</v>
      </c>
      <c r="J454" s="182" t="n">
        <v>0</v>
      </c>
      <c r="K454" s="182" t="n">
        <v>12</v>
      </c>
      <c r="L454" s="182" t="n">
        <v>12</v>
      </c>
      <c r="M454" s="182" t="n">
        <v>0</v>
      </c>
      <c r="N454" s="182" t="n">
        <v>0</v>
      </c>
      <c r="O454" s="183" t="n">
        <v>0</v>
      </c>
      <c r="P454" s="183" t="n">
        <v>0</v>
      </c>
      <c r="Q454" s="184" t="n">
        <v>0</v>
      </c>
      <c r="R454" s="184" t="n">
        <v>0</v>
      </c>
      <c r="S454" s="183" t="n">
        <v>0</v>
      </c>
      <c r="T454" s="183" t="n">
        <v>0</v>
      </c>
      <c r="U454" s="182" t="n">
        <v>0</v>
      </c>
      <c r="V454" s="182" t="n">
        <v>0</v>
      </c>
      <c r="W454" s="182" t="n">
        <v>0</v>
      </c>
      <c r="X454" s="182" t="n">
        <v>1</v>
      </c>
      <c r="Y454" s="182" t="n">
        <v>0</v>
      </c>
      <c r="Z454" s="182" t="n">
        <v>0</v>
      </c>
      <c r="AA454" s="182" t="n">
        <v>0</v>
      </c>
      <c r="AB454" s="182" t="n">
        <v>0</v>
      </c>
      <c r="AC454" s="182" t="n">
        <v>0</v>
      </c>
      <c r="AD454" s="182" t="n">
        <v>0</v>
      </c>
      <c r="AE454" s="182" t="n">
        <v>0</v>
      </c>
      <c r="AF454" s="182" t="n">
        <v>0</v>
      </c>
      <c r="AG454" s="182" t="n">
        <v>0</v>
      </c>
      <c r="AH454" s="182" t="n">
        <v>0</v>
      </c>
      <c r="AI454" s="182" t="n">
        <v>0</v>
      </c>
      <c r="AJ454" s="182" t="n">
        <v>0</v>
      </c>
      <c r="AK454" s="182" t="n">
        <v>10.92</v>
      </c>
      <c r="AL454" s="182" t="n">
        <v>0</v>
      </c>
      <c r="AM454" s="182" t="n">
        <v>0.08</v>
      </c>
      <c r="AN454" s="182" t="n">
        <v>0</v>
      </c>
    </row>
    <row r="455">
      <c r="A455" s="155" t="n">
        <v>46084</v>
      </c>
      <c r="B455" s="156" t="inlineStr">
        <is>
          <t>DS</t>
        </is>
      </c>
      <c r="C455" s="156" t="inlineStr">
        <is>
          <t>HT-415</t>
        </is>
      </c>
      <c r="D455" s="156" t="inlineStr">
        <is>
          <t>SY430</t>
        </is>
      </c>
      <c r="E455" s="156" t="inlineStr">
        <is>
          <t>DT Hauling</t>
        </is>
      </c>
      <c r="F455" s="156" t="inlineStr"/>
      <c r="G455" s="182" t="n">
        <v>0</v>
      </c>
      <c r="H455" s="182" t="n">
        <v>0</v>
      </c>
      <c r="I455" s="182" t="n">
        <v>12</v>
      </c>
      <c r="J455" s="182" t="n">
        <v>12</v>
      </c>
      <c r="K455" s="182" t="n">
        <v>0</v>
      </c>
      <c r="L455" s="182" t="n">
        <v>12</v>
      </c>
      <c r="M455" s="182" t="n">
        <v>0</v>
      </c>
      <c r="N455" s="182" t="n">
        <v>0</v>
      </c>
      <c r="O455" s="183" t="n">
        <v>0</v>
      </c>
      <c r="P455" s="183" t="n">
        <v>0</v>
      </c>
      <c r="Q455" s="184" t="n">
        <v>0</v>
      </c>
      <c r="R455" s="184" t="n">
        <v>0</v>
      </c>
      <c r="S455" s="183" t="n">
        <v>0</v>
      </c>
      <c r="T455" s="183" t="n">
        <v>0</v>
      </c>
      <c r="U455" s="182" t="n">
        <v>0</v>
      </c>
      <c r="V455" s="182" t="n">
        <v>0</v>
      </c>
      <c r="W455" s="182" t="n">
        <v>0</v>
      </c>
      <c r="X455" s="182" t="n">
        <v>0</v>
      </c>
      <c r="Y455" s="182" t="n">
        <v>0</v>
      </c>
      <c r="Z455" s="182" t="n">
        <v>0</v>
      </c>
      <c r="AA455" s="182" t="n">
        <v>0</v>
      </c>
      <c r="AB455" s="182" t="n">
        <v>0</v>
      </c>
      <c r="AC455" s="182" t="n">
        <v>0</v>
      </c>
      <c r="AD455" s="182" t="n">
        <v>0</v>
      </c>
      <c r="AE455" s="182" t="n">
        <v>0</v>
      </c>
      <c r="AF455" s="182" t="n">
        <v>0</v>
      </c>
      <c r="AG455" s="182" t="n">
        <v>0</v>
      </c>
      <c r="AH455" s="182" t="n">
        <v>0</v>
      </c>
      <c r="AI455" s="182" t="n">
        <v>0</v>
      </c>
      <c r="AJ455" s="182" t="n">
        <v>0</v>
      </c>
      <c r="AK455" s="182" t="n">
        <v>0</v>
      </c>
      <c r="AL455" s="182" t="n">
        <v>0</v>
      </c>
      <c r="AM455" s="182" t="n">
        <v>0</v>
      </c>
      <c r="AN455" s="182" t="n">
        <v>0</v>
      </c>
    </row>
    <row r="456">
      <c r="A456" s="155" t="n">
        <v>46084</v>
      </c>
      <c r="B456" s="156" t="inlineStr">
        <is>
          <t>DS</t>
        </is>
      </c>
      <c r="C456" s="156" t="inlineStr">
        <is>
          <t>HT-406</t>
        </is>
      </c>
      <c r="D456" s="156" t="inlineStr">
        <is>
          <t>SY430</t>
        </is>
      </c>
      <c r="E456" s="156" t="inlineStr">
        <is>
          <t>DT Hauling</t>
        </is>
      </c>
      <c r="F456" s="156" t="inlineStr"/>
      <c r="G456" s="182" t="n">
        <v>0</v>
      </c>
      <c r="H456" s="182" t="n">
        <v>0</v>
      </c>
      <c r="I456" s="182" t="n">
        <v>12</v>
      </c>
      <c r="J456" s="182" t="n">
        <v>12</v>
      </c>
      <c r="K456" s="182" t="n">
        <v>0</v>
      </c>
      <c r="L456" s="182" t="n">
        <v>12</v>
      </c>
      <c r="M456" s="182" t="n">
        <v>0</v>
      </c>
      <c r="N456" s="182" t="n">
        <v>0</v>
      </c>
      <c r="O456" s="183" t="n">
        <v>0</v>
      </c>
      <c r="P456" s="183" t="n">
        <v>0</v>
      </c>
      <c r="Q456" s="184" t="n">
        <v>0</v>
      </c>
      <c r="R456" s="184" t="n">
        <v>0</v>
      </c>
      <c r="S456" s="183" t="n">
        <v>0</v>
      </c>
      <c r="T456" s="183" t="n">
        <v>0</v>
      </c>
      <c r="U456" s="182" t="n">
        <v>0</v>
      </c>
      <c r="V456" s="182" t="n">
        <v>0</v>
      </c>
      <c r="W456" s="182" t="n">
        <v>0</v>
      </c>
      <c r="X456" s="182" t="n">
        <v>0</v>
      </c>
      <c r="Y456" s="182" t="n">
        <v>0</v>
      </c>
      <c r="Z456" s="182" t="n">
        <v>0</v>
      </c>
      <c r="AA456" s="182" t="n">
        <v>0</v>
      </c>
      <c r="AB456" s="182" t="n">
        <v>0</v>
      </c>
      <c r="AC456" s="182" t="n">
        <v>0</v>
      </c>
      <c r="AD456" s="182" t="n">
        <v>0</v>
      </c>
      <c r="AE456" s="182" t="n">
        <v>0</v>
      </c>
      <c r="AF456" s="182" t="n">
        <v>0</v>
      </c>
      <c r="AG456" s="182" t="n">
        <v>0</v>
      </c>
      <c r="AH456" s="182" t="n">
        <v>0</v>
      </c>
      <c r="AI456" s="182" t="n">
        <v>0</v>
      </c>
      <c r="AJ456" s="182" t="n">
        <v>0</v>
      </c>
      <c r="AK456" s="182" t="n">
        <v>0</v>
      </c>
      <c r="AL456" s="182" t="n">
        <v>0</v>
      </c>
      <c r="AM456" s="182" t="n">
        <v>0</v>
      </c>
      <c r="AN456" s="182" t="n">
        <v>0</v>
      </c>
    </row>
    <row r="457">
      <c r="A457" s="155" t="n">
        <v>46084</v>
      </c>
      <c r="B457" s="156" t="inlineStr">
        <is>
          <t>DS</t>
        </is>
      </c>
      <c r="C457" s="156" t="inlineStr">
        <is>
          <t>HT-405</t>
        </is>
      </c>
      <c r="D457" s="156" t="inlineStr">
        <is>
          <t>SY430</t>
        </is>
      </c>
      <c r="E457" s="156" t="inlineStr">
        <is>
          <t>DT Hauling</t>
        </is>
      </c>
      <c r="F457" s="156" t="inlineStr"/>
      <c r="G457" s="182" t="n">
        <v>0</v>
      </c>
      <c r="H457" s="182" t="n">
        <v>0</v>
      </c>
      <c r="I457" s="182" t="n">
        <v>0</v>
      </c>
      <c r="J457" s="182" t="n">
        <v>0</v>
      </c>
      <c r="K457" s="182" t="n">
        <v>12</v>
      </c>
      <c r="L457" s="182" t="n">
        <v>12</v>
      </c>
      <c r="M457" s="182" t="n">
        <v>0</v>
      </c>
      <c r="N457" s="182" t="n">
        <v>0</v>
      </c>
      <c r="O457" s="183" t="n">
        <v>0</v>
      </c>
      <c r="P457" s="183" t="n">
        <v>0</v>
      </c>
      <c r="Q457" s="184" t="n">
        <v>0</v>
      </c>
      <c r="R457" s="184" t="n">
        <v>0</v>
      </c>
      <c r="S457" s="183" t="n">
        <v>0</v>
      </c>
      <c r="T457" s="183" t="n">
        <v>0</v>
      </c>
      <c r="U457" s="182" t="n">
        <v>0</v>
      </c>
      <c r="V457" s="182" t="n">
        <v>0</v>
      </c>
      <c r="W457" s="182" t="n">
        <v>0</v>
      </c>
      <c r="X457" s="182" t="n">
        <v>1</v>
      </c>
      <c r="Y457" s="182" t="n">
        <v>0</v>
      </c>
      <c r="Z457" s="182" t="n">
        <v>0</v>
      </c>
      <c r="AA457" s="182" t="n">
        <v>0</v>
      </c>
      <c r="AB457" s="182" t="n">
        <v>0</v>
      </c>
      <c r="AC457" s="182" t="n">
        <v>0</v>
      </c>
      <c r="AD457" s="182" t="n">
        <v>0</v>
      </c>
      <c r="AE457" s="182" t="n">
        <v>0</v>
      </c>
      <c r="AF457" s="182" t="n">
        <v>0</v>
      </c>
      <c r="AG457" s="182" t="n">
        <v>0</v>
      </c>
      <c r="AH457" s="182" t="n">
        <v>0</v>
      </c>
      <c r="AI457" s="182" t="n">
        <v>0</v>
      </c>
      <c r="AJ457" s="182" t="n">
        <v>0</v>
      </c>
      <c r="AK457" s="182" t="n">
        <v>10.92</v>
      </c>
      <c r="AL457" s="182" t="n">
        <v>0</v>
      </c>
      <c r="AM457" s="182" t="n">
        <v>0.08</v>
      </c>
      <c r="AN457" s="182" t="n">
        <v>0</v>
      </c>
    </row>
    <row r="458">
      <c r="A458" s="155" t="n">
        <v>46084</v>
      </c>
      <c r="B458" s="156" t="inlineStr">
        <is>
          <t>DS</t>
        </is>
      </c>
      <c r="C458" s="156" t="inlineStr">
        <is>
          <t>HT-417</t>
        </is>
      </c>
      <c r="D458" s="156" t="inlineStr">
        <is>
          <t>SY430</t>
        </is>
      </c>
      <c r="E458" s="156" t="inlineStr">
        <is>
          <t>DT Hauling</t>
        </is>
      </c>
      <c r="F458" s="156" t="inlineStr"/>
      <c r="G458" s="182" t="n">
        <v>0</v>
      </c>
      <c r="H458" s="182" t="n">
        <v>0</v>
      </c>
      <c r="I458" s="182" t="n">
        <v>0</v>
      </c>
      <c r="J458" s="182" t="n">
        <v>0</v>
      </c>
      <c r="K458" s="182" t="n">
        <v>12</v>
      </c>
      <c r="L458" s="182" t="n">
        <v>12</v>
      </c>
      <c r="M458" s="182" t="n">
        <v>0</v>
      </c>
      <c r="N458" s="182" t="n">
        <v>0</v>
      </c>
      <c r="O458" s="183" t="n">
        <v>0</v>
      </c>
      <c r="P458" s="183" t="n">
        <v>0</v>
      </c>
      <c r="Q458" s="184" t="n">
        <v>0</v>
      </c>
      <c r="R458" s="184" t="n">
        <v>0</v>
      </c>
      <c r="S458" s="183" t="n">
        <v>0</v>
      </c>
      <c r="T458" s="183" t="n">
        <v>0</v>
      </c>
      <c r="U458" s="182" t="n">
        <v>0</v>
      </c>
      <c r="V458" s="182" t="n">
        <v>0</v>
      </c>
      <c r="W458" s="182" t="n">
        <v>0</v>
      </c>
      <c r="X458" s="182" t="n">
        <v>1</v>
      </c>
      <c r="Y458" s="182" t="n">
        <v>0</v>
      </c>
      <c r="Z458" s="182" t="n">
        <v>0</v>
      </c>
      <c r="AA458" s="182" t="n">
        <v>0</v>
      </c>
      <c r="AB458" s="182" t="n">
        <v>0</v>
      </c>
      <c r="AC458" s="182" t="n">
        <v>0</v>
      </c>
      <c r="AD458" s="182" t="n">
        <v>0</v>
      </c>
      <c r="AE458" s="182" t="n">
        <v>0</v>
      </c>
      <c r="AF458" s="182" t="n">
        <v>0</v>
      </c>
      <c r="AG458" s="182" t="n">
        <v>0</v>
      </c>
      <c r="AH458" s="182" t="n">
        <v>0</v>
      </c>
      <c r="AI458" s="182" t="n">
        <v>0</v>
      </c>
      <c r="AJ458" s="182" t="n">
        <v>0</v>
      </c>
      <c r="AK458" s="182" t="n">
        <v>10.92</v>
      </c>
      <c r="AL458" s="182" t="n">
        <v>0</v>
      </c>
      <c r="AM458" s="182" t="n">
        <v>0.08</v>
      </c>
      <c r="AN458" s="182" t="n">
        <v>0</v>
      </c>
    </row>
    <row r="459">
      <c r="A459" s="155" t="n">
        <v>46084</v>
      </c>
      <c r="B459" s="156" t="inlineStr">
        <is>
          <t>DS</t>
        </is>
      </c>
      <c r="C459" s="156" t="inlineStr">
        <is>
          <t>HT-401</t>
        </is>
      </c>
      <c r="D459" s="156" t="inlineStr">
        <is>
          <t>SY430</t>
        </is>
      </c>
      <c r="E459" s="156" t="inlineStr">
        <is>
          <t>DT Hauling</t>
        </is>
      </c>
      <c r="F459" s="156" t="inlineStr"/>
      <c r="G459" s="182" t="n">
        <v>0</v>
      </c>
      <c r="H459" s="182" t="n">
        <v>0</v>
      </c>
      <c r="I459" s="182" t="n">
        <v>0</v>
      </c>
      <c r="J459" s="182" t="n">
        <v>0</v>
      </c>
      <c r="K459" s="182" t="n">
        <v>12</v>
      </c>
      <c r="L459" s="182" t="n">
        <v>12</v>
      </c>
      <c r="M459" s="182" t="n">
        <v>0</v>
      </c>
      <c r="N459" s="182" t="n">
        <v>0</v>
      </c>
      <c r="O459" s="183" t="n">
        <v>0</v>
      </c>
      <c r="P459" s="183" t="n">
        <v>0</v>
      </c>
      <c r="Q459" s="184" t="n">
        <v>0</v>
      </c>
      <c r="R459" s="184" t="n">
        <v>0</v>
      </c>
      <c r="S459" s="183" t="n">
        <v>0</v>
      </c>
      <c r="T459" s="183" t="n">
        <v>0</v>
      </c>
      <c r="U459" s="182" t="n">
        <v>0</v>
      </c>
      <c r="V459" s="182" t="n">
        <v>0</v>
      </c>
      <c r="W459" s="182" t="n">
        <v>0</v>
      </c>
      <c r="X459" s="182" t="n">
        <v>1</v>
      </c>
      <c r="Y459" s="182" t="n">
        <v>0</v>
      </c>
      <c r="Z459" s="182" t="n">
        <v>0</v>
      </c>
      <c r="AA459" s="182" t="n">
        <v>0</v>
      </c>
      <c r="AB459" s="182" t="n">
        <v>0</v>
      </c>
      <c r="AC459" s="182" t="n">
        <v>0</v>
      </c>
      <c r="AD459" s="182" t="n">
        <v>0</v>
      </c>
      <c r="AE459" s="182" t="n">
        <v>0</v>
      </c>
      <c r="AF459" s="182" t="n">
        <v>0</v>
      </c>
      <c r="AG459" s="182" t="n">
        <v>0</v>
      </c>
      <c r="AH459" s="182" t="n">
        <v>0</v>
      </c>
      <c r="AI459" s="182" t="n">
        <v>0</v>
      </c>
      <c r="AJ459" s="182" t="n">
        <v>0</v>
      </c>
      <c r="AK459" s="182" t="n">
        <v>10.92</v>
      </c>
      <c r="AL459" s="182" t="n">
        <v>0</v>
      </c>
      <c r="AM459" s="182" t="n">
        <v>0.08</v>
      </c>
      <c r="AN459" s="182" t="n">
        <v>0</v>
      </c>
    </row>
    <row r="460">
      <c r="A460" s="155" t="n">
        <v>46084</v>
      </c>
      <c r="B460" s="156" t="inlineStr">
        <is>
          <t>DS</t>
        </is>
      </c>
      <c r="C460" s="156" t="inlineStr">
        <is>
          <t>HT-410</t>
        </is>
      </c>
      <c r="D460" s="156" t="inlineStr">
        <is>
          <t>SY430</t>
        </is>
      </c>
      <c r="E460" s="156" t="inlineStr">
        <is>
          <t>DT Hauling</t>
        </is>
      </c>
      <c r="F460" s="156" t="inlineStr"/>
      <c r="G460" s="182" t="n">
        <v>0</v>
      </c>
      <c r="H460" s="182" t="n">
        <v>0</v>
      </c>
      <c r="I460" s="182" t="n">
        <v>0</v>
      </c>
      <c r="J460" s="182" t="n">
        <v>0</v>
      </c>
      <c r="K460" s="182" t="n">
        <v>12</v>
      </c>
      <c r="L460" s="182" t="n">
        <v>12</v>
      </c>
      <c r="M460" s="182" t="n">
        <v>0</v>
      </c>
      <c r="N460" s="182" t="n">
        <v>0</v>
      </c>
      <c r="O460" s="183" t="n">
        <v>0</v>
      </c>
      <c r="P460" s="183" t="n">
        <v>0</v>
      </c>
      <c r="Q460" s="184" t="n">
        <v>0</v>
      </c>
      <c r="R460" s="184" t="n">
        <v>0</v>
      </c>
      <c r="S460" s="183" t="n">
        <v>0</v>
      </c>
      <c r="T460" s="183" t="n">
        <v>0</v>
      </c>
      <c r="U460" s="182" t="n">
        <v>0</v>
      </c>
      <c r="V460" s="182" t="n">
        <v>0</v>
      </c>
      <c r="W460" s="182" t="n">
        <v>0</v>
      </c>
      <c r="X460" s="182" t="n">
        <v>1</v>
      </c>
      <c r="Y460" s="182" t="n">
        <v>0</v>
      </c>
      <c r="Z460" s="182" t="n">
        <v>0</v>
      </c>
      <c r="AA460" s="182" t="n">
        <v>0</v>
      </c>
      <c r="AB460" s="182" t="n">
        <v>0</v>
      </c>
      <c r="AC460" s="182" t="n">
        <v>0</v>
      </c>
      <c r="AD460" s="182" t="n">
        <v>0</v>
      </c>
      <c r="AE460" s="182" t="n">
        <v>0</v>
      </c>
      <c r="AF460" s="182" t="n">
        <v>0</v>
      </c>
      <c r="AG460" s="182" t="n">
        <v>0</v>
      </c>
      <c r="AH460" s="182" t="n">
        <v>0</v>
      </c>
      <c r="AI460" s="182" t="n">
        <v>0</v>
      </c>
      <c r="AJ460" s="182" t="n">
        <v>0</v>
      </c>
      <c r="AK460" s="182" t="n">
        <v>10.92</v>
      </c>
      <c r="AL460" s="182" t="n">
        <v>0</v>
      </c>
      <c r="AM460" s="182" t="n">
        <v>0.08</v>
      </c>
      <c r="AN460" s="182" t="n">
        <v>0</v>
      </c>
    </row>
    <row r="461">
      <c r="A461" s="155" t="n">
        <v>46084</v>
      </c>
      <c r="B461" s="156" t="inlineStr">
        <is>
          <t>DS</t>
        </is>
      </c>
      <c r="C461" s="156" t="inlineStr">
        <is>
          <t>HT-402</t>
        </is>
      </c>
      <c r="D461" s="156" t="inlineStr">
        <is>
          <t>SY430</t>
        </is>
      </c>
      <c r="E461" s="156" t="inlineStr">
        <is>
          <t>DT Hauling</t>
        </is>
      </c>
      <c r="F461" s="156" t="inlineStr"/>
      <c r="G461" s="182" t="n">
        <v>0</v>
      </c>
      <c r="H461" s="182" t="n">
        <v>0</v>
      </c>
      <c r="I461" s="182" t="n">
        <v>0</v>
      </c>
      <c r="J461" s="182" t="n">
        <v>0</v>
      </c>
      <c r="K461" s="182" t="n">
        <v>12</v>
      </c>
      <c r="L461" s="182" t="n">
        <v>12</v>
      </c>
      <c r="M461" s="182" t="n">
        <v>0</v>
      </c>
      <c r="N461" s="182" t="n">
        <v>0</v>
      </c>
      <c r="O461" s="183" t="n">
        <v>0</v>
      </c>
      <c r="P461" s="183" t="n">
        <v>0</v>
      </c>
      <c r="Q461" s="184" t="n">
        <v>0</v>
      </c>
      <c r="R461" s="184" t="n">
        <v>0</v>
      </c>
      <c r="S461" s="183" t="n">
        <v>0</v>
      </c>
      <c r="T461" s="183" t="n">
        <v>0</v>
      </c>
      <c r="U461" s="182" t="n">
        <v>0</v>
      </c>
      <c r="V461" s="182" t="n">
        <v>0</v>
      </c>
      <c r="W461" s="182" t="n">
        <v>0</v>
      </c>
      <c r="X461" s="182" t="n">
        <v>1</v>
      </c>
      <c r="Y461" s="182" t="n">
        <v>0</v>
      </c>
      <c r="Z461" s="182" t="n">
        <v>0</v>
      </c>
      <c r="AA461" s="182" t="n">
        <v>0</v>
      </c>
      <c r="AB461" s="182" t="n">
        <v>0</v>
      </c>
      <c r="AC461" s="182" t="n">
        <v>0</v>
      </c>
      <c r="AD461" s="182" t="n">
        <v>0</v>
      </c>
      <c r="AE461" s="182" t="n">
        <v>0</v>
      </c>
      <c r="AF461" s="182" t="n">
        <v>0</v>
      </c>
      <c r="AG461" s="182" t="n">
        <v>0</v>
      </c>
      <c r="AH461" s="182" t="n">
        <v>0</v>
      </c>
      <c r="AI461" s="182" t="n">
        <v>0</v>
      </c>
      <c r="AJ461" s="182" t="n">
        <v>0</v>
      </c>
      <c r="AK461" s="182" t="n">
        <v>10.92</v>
      </c>
      <c r="AL461" s="182" t="n">
        <v>0</v>
      </c>
      <c r="AM461" s="182" t="n">
        <v>0.08</v>
      </c>
      <c r="AN461" s="182" t="n">
        <v>0</v>
      </c>
    </row>
    <row r="462">
      <c r="A462" s="155" t="n">
        <v>46084</v>
      </c>
      <c r="B462" s="156" t="inlineStr">
        <is>
          <t>DS</t>
        </is>
      </c>
      <c r="C462" s="156" t="inlineStr">
        <is>
          <t>HT-419</t>
        </is>
      </c>
      <c r="D462" s="156" t="inlineStr">
        <is>
          <t>SY430</t>
        </is>
      </c>
      <c r="E462" s="156" t="inlineStr">
        <is>
          <t>DT Hauling</t>
        </is>
      </c>
      <c r="F462" s="156" t="inlineStr"/>
      <c r="G462" s="182" t="n">
        <v>0</v>
      </c>
      <c r="H462" s="182" t="n">
        <v>0</v>
      </c>
      <c r="I462" s="182" t="n">
        <v>0</v>
      </c>
      <c r="J462" s="182" t="n">
        <v>0</v>
      </c>
      <c r="K462" s="182" t="n">
        <v>12</v>
      </c>
      <c r="L462" s="182" t="n">
        <v>12</v>
      </c>
      <c r="M462" s="182" t="n">
        <v>0</v>
      </c>
      <c r="N462" s="182" t="n">
        <v>0</v>
      </c>
      <c r="O462" s="183" t="n">
        <v>0</v>
      </c>
      <c r="P462" s="183" t="n">
        <v>0</v>
      </c>
      <c r="Q462" s="184" t="n">
        <v>0</v>
      </c>
      <c r="R462" s="184" t="n">
        <v>0</v>
      </c>
      <c r="S462" s="183" t="n">
        <v>0</v>
      </c>
      <c r="T462" s="183" t="n">
        <v>0</v>
      </c>
      <c r="U462" s="182" t="n">
        <v>0</v>
      </c>
      <c r="V462" s="182" t="n">
        <v>0</v>
      </c>
      <c r="W462" s="182" t="n">
        <v>0</v>
      </c>
      <c r="X462" s="182" t="n">
        <v>1</v>
      </c>
      <c r="Y462" s="182" t="n">
        <v>0</v>
      </c>
      <c r="Z462" s="182" t="n">
        <v>0</v>
      </c>
      <c r="AA462" s="182" t="n">
        <v>0</v>
      </c>
      <c r="AB462" s="182" t="n">
        <v>0</v>
      </c>
      <c r="AC462" s="182" t="n">
        <v>0</v>
      </c>
      <c r="AD462" s="182" t="n">
        <v>0</v>
      </c>
      <c r="AE462" s="182" t="n">
        <v>0</v>
      </c>
      <c r="AF462" s="182" t="n">
        <v>0</v>
      </c>
      <c r="AG462" s="182" t="n">
        <v>0</v>
      </c>
      <c r="AH462" s="182" t="n">
        <v>0</v>
      </c>
      <c r="AI462" s="182" t="n">
        <v>0</v>
      </c>
      <c r="AJ462" s="182" t="n">
        <v>0</v>
      </c>
      <c r="AK462" s="182" t="n">
        <v>10.92</v>
      </c>
      <c r="AL462" s="182" t="n">
        <v>0</v>
      </c>
      <c r="AM462" s="182" t="n">
        <v>0.08</v>
      </c>
      <c r="AN462" s="182" t="n">
        <v>0</v>
      </c>
    </row>
    <row r="463">
      <c r="A463" s="155" t="n">
        <v>46084</v>
      </c>
      <c r="B463" s="156" t="inlineStr">
        <is>
          <t>DS</t>
        </is>
      </c>
      <c r="C463" s="156" t="inlineStr">
        <is>
          <t>HT-416</t>
        </is>
      </c>
      <c r="D463" s="156" t="inlineStr">
        <is>
          <t>SY430</t>
        </is>
      </c>
      <c r="E463" s="156" t="inlineStr">
        <is>
          <t>DT Hauling</t>
        </is>
      </c>
      <c r="F463" s="156" t="inlineStr"/>
      <c r="G463" s="182" t="n">
        <v>0</v>
      </c>
      <c r="H463" s="182" t="n">
        <v>0</v>
      </c>
      <c r="I463" s="182" t="n">
        <v>0</v>
      </c>
      <c r="J463" s="182" t="n">
        <v>0</v>
      </c>
      <c r="K463" s="182" t="n">
        <v>12</v>
      </c>
      <c r="L463" s="182" t="n">
        <v>12</v>
      </c>
      <c r="M463" s="182" t="n">
        <v>0</v>
      </c>
      <c r="N463" s="182" t="n">
        <v>0</v>
      </c>
      <c r="O463" s="183" t="n">
        <v>0</v>
      </c>
      <c r="P463" s="183" t="n">
        <v>0</v>
      </c>
      <c r="Q463" s="184" t="n">
        <v>0</v>
      </c>
      <c r="R463" s="184" t="n">
        <v>0</v>
      </c>
      <c r="S463" s="183" t="n">
        <v>0</v>
      </c>
      <c r="T463" s="183" t="n">
        <v>0</v>
      </c>
      <c r="U463" s="182" t="n">
        <v>0</v>
      </c>
      <c r="V463" s="182" t="n">
        <v>0</v>
      </c>
      <c r="W463" s="182" t="n">
        <v>0</v>
      </c>
      <c r="X463" s="182" t="n">
        <v>1</v>
      </c>
      <c r="Y463" s="182" t="n">
        <v>0</v>
      </c>
      <c r="Z463" s="182" t="n">
        <v>0</v>
      </c>
      <c r="AA463" s="182" t="n">
        <v>0</v>
      </c>
      <c r="AB463" s="182" t="n">
        <v>0</v>
      </c>
      <c r="AC463" s="182" t="n">
        <v>0</v>
      </c>
      <c r="AD463" s="182" t="n">
        <v>0</v>
      </c>
      <c r="AE463" s="182" t="n">
        <v>0</v>
      </c>
      <c r="AF463" s="182" t="n">
        <v>0</v>
      </c>
      <c r="AG463" s="182" t="n">
        <v>0</v>
      </c>
      <c r="AH463" s="182" t="n">
        <v>0</v>
      </c>
      <c r="AI463" s="182" t="n">
        <v>0</v>
      </c>
      <c r="AJ463" s="182" t="n">
        <v>0</v>
      </c>
      <c r="AK463" s="182" t="n">
        <v>10.92</v>
      </c>
      <c r="AL463" s="182" t="n">
        <v>0</v>
      </c>
      <c r="AM463" s="182" t="n">
        <v>0.08</v>
      </c>
      <c r="AN463" s="182" t="n">
        <v>0</v>
      </c>
    </row>
    <row r="464">
      <c r="A464" s="155" t="n">
        <v>46084</v>
      </c>
      <c r="B464" s="156" t="inlineStr">
        <is>
          <t>DS</t>
        </is>
      </c>
      <c r="C464" s="156" t="inlineStr">
        <is>
          <t>HT-420</t>
        </is>
      </c>
      <c r="D464" s="156" t="inlineStr">
        <is>
          <t>SY430</t>
        </is>
      </c>
      <c r="E464" s="156" t="inlineStr">
        <is>
          <t>DT Hauling</t>
        </is>
      </c>
      <c r="F464" s="156" t="inlineStr"/>
      <c r="G464" s="182" t="n">
        <v>0</v>
      </c>
      <c r="H464" s="182" t="n">
        <v>0</v>
      </c>
      <c r="I464" s="182" t="n">
        <v>0</v>
      </c>
      <c r="J464" s="182" t="n">
        <v>0</v>
      </c>
      <c r="K464" s="182" t="n">
        <v>12</v>
      </c>
      <c r="L464" s="182" t="n">
        <v>12</v>
      </c>
      <c r="M464" s="182" t="n">
        <v>0</v>
      </c>
      <c r="N464" s="182" t="n">
        <v>0</v>
      </c>
      <c r="O464" s="183" t="n">
        <v>0</v>
      </c>
      <c r="P464" s="183" t="n">
        <v>0</v>
      </c>
      <c r="Q464" s="184" t="n">
        <v>0</v>
      </c>
      <c r="R464" s="184" t="n">
        <v>0</v>
      </c>
      <c r="S464" s="183" t="n">
        <v>0</v>
      </c>
      <c r="T464" s="183" t="n">
        <v>0</v>
      </c>
      <c r="U464" s="182" t="n">
        <v>0</v>
      </c>
      <c r="V464" s="182" t="n">
        <v>0</v>
      </c>
      <c r="W464" s="182" t="n">
        <v>0</v>
      </c>
      <c r="X464" s="182" t="n">
        <v>1</v>
      </c>
      <c r="Y464" s="182" t="n">
        <v>0</v>
      </c>
      <c r="Z464" s="182" t="n">
        <v>0</v>
      </c>
      <c r="AA464" s="182" t="n">
        <v>0</v>
      </c>
      <c r="AB464" s="182" t="n">
        <v>0</v>
      </c>
      <c r="AC464" s="182" t="n">
        <v>0</v>
      </c>
      <c r="AD464" s="182" t="n">
        <v>0</v>
      </c>
      <c r="AE464" s="182" t="n">
        <v>0</v>
      </c>
      <c r="AF464" s="182" t="n">
        <v>0</v>
      </c>
      <c r="AG464" s="182" t="n">
        <v>0</v>
      </c>
      <c r="AH464" s="182" t="n">
        <v>0</v>
      </c>
      <c r="AI464" s="182" t="n">
        <v>0</v>
      </c>
      <c r="AJ464" s="182" t="n">
        <v>0</v>
      </c>
      <c r="AK464" s="182" t="n">
        <v>10.92</v>
      </c>
      <c r="AL464" s="182" t="n">
        <v>0</v>
      </c>
      <c r="AM464" s="182" t="n">
        <v>0.08</v>
      </c>
      <c r="AN464" s="182" t="n">
        <v>0</v>
      </c>
    </row>
    <row r="465">
      <c r="A465" s="155" t="n">
        <v>46084</v>
      </c>
      <c r="B465" s="156" t="inlineStr">
        <is>
          <t>DS</t>
        </is>
      </c>
      <c r="C465" s="156" t="inlineStr">
        <is>
          <t>HT-403</t>
        </is>
      </c>
      <c r="D465" s="156" t="inlineStr">
        <is>
          <t>SY430</t>
        </is>
      </c>
      <c r="E465" s="156" t="inlineStr">
        <is>
          <t>DT Hauling</t>
        </is>
      </c>
      <c r="F465" s="156" t="inlineStr"/>
      <c r="G465" s="182" t="n">
        <v>0</v>
      </c>
      <c r="H465" s="182" t="n">
        <v>0</v>
      </c>
      <c r="I465" s="182" t="n">
        <v>0</v>
      </c>
      <c r="J465" s="182" t="n">
        <v>0</v>
      </c>
      <c r="K465" s="182" t="n">
        <v>12</v>
      </c>
      <c r="L465" s="182" t="n">
        <v>12</v>
      </c>
      <c r="M465" s="182" t="n">
        <v>0</v>
      </c>
      <c r="N465" s="182" t="n">
        <v>0</v>
      </c>
      <c r="O465" s="183" t="n">
        <v>0</v>
      </c>
      <c r="P465" s="183" t="n">
        <v>0</v>
      </c>
      <c r="Q465" s="184" t="n">
        <v>0</v>
      </c>
      <c r="R465" s="184" t="n">
        <v>0</v>
      </c>
      <c r="S465" s="183" t="n">
        <v>0</v>
      </c>
      <c r="T465" s="183" t="n">
        <v>0</v>
      </c>
      <c r="U465" s="182" t="n">
        <v>0</v>
      </c>
      <c r="V465" s="182" t="n">
        <v>0</v>
      </c>
      <c r="W465" s="182" t="n">
        <v>0</v>
      </c>
      <c r="X465" s="182" t="n">
        <v>1</v>
      </c>
      <c r="Y465" s="182" t="n">
        <v>0</v>
      </c>
      <c r="Z465" s="182" t="n">
        <v>0</v>
      </c>
      <c r="AA465" s="182" t="n">
        <v>0</v>
      </c>
      <c r="AB465" s="182" t="n">
        <v>0</v>
      </c>
      <c r="AC465" s="182" t="n">
        <v>0</v>
      </c>
      <c r="AD465" s="182" t="n">
        <v>0</v>
      </c>
      <c r="AE465" s="182" t="n">
        <v>0</v>
      </c>
      <c r="AF465" s="182" t="n">
        <v>0</v>
      </c>
      <c r="AG465" s="182" t="n">
        <v>0</v>
      </c>
      <c r="AH465" s="182" t="n">
        <v>0</v>
      </c>
      <c r="AI465" s="182" t="n">
        <v>0</v>
      </c>
      <c r="AJ465" s="182" t="n">
        <v>0</v>
      </c>
      <c r="AK465" s="182" t="n">
        <v>10.92</v>
      </c>
      <c r="AL465" s="182" t="n">
        <v>0</v>
      </c>
      <c r="AM465" s="182" t="n">
        <v>0.08</v>
      </c>
      <c r="AN465" s="182" t="n">
        <v>0</v>
      </c>
    </row>
    <row r="466">
      <c r="A466" s="155" t="n">
        <v>46084</v>
      </c>
      <c r="B466" s="156" t="inlineStr">
        <is>
          <t>DS</t>
        </is>
      </c>
      <c r="C466" s="156" t="inlineStr">
        <is>
          <t>HT-408</t>
        </is>
      </c>
      <c r="D466" s="156" t="inlineStr">
        <is>
          <t>SY430</t>
        </is>
      </c>
      <c r="E466" s="156" t="inlineStr">
        <is>
          <t>DT Hauling</t>
        </is>
      </c>
      <c r="F466" s="156" t="inlineStr"/>
      <c r="G466" s="182" t="n">
        <v>0</v>
      </c>
      <c r="H466" s="182" t="n">
        <v>0</v>
      </c>
      <c r="I466" s="182" t="n">
        <v>0</v>
      </c>
      <c r="J466" s="182" t="n">
        <v>0</v>
      </c>
      <c r="K466" s="182" t="n">
        <v>12</v>
      </c>
      <c r="L466" s="182" t="n">
        <v>12</v>
      </c>
      <c r="M466" s="182" t="n">
        <v>0</v>
      </c>
      <c r="N466" s="182" t="n">
        <v>0</v>
      </c>
      <c r="O466" s="183" t="n">
        <v>0</v>
      </c>
      <c r="P466" s="183" t="n">
        <v>0</v>
      </c>
      <c r="Q466" s="184" t="n">
        <v>0</v>
      </c>
      <c r="R466" s="184" t="n">
        <v>0</v>
      </c>
      <c r="S466" s="183" t="n">
        <v>0</v>
      </c>
      <c r="T466" s="183" t="n">
        <v>0</v>
      </c>
      <c r="U466" s="182" t="n">
        <v>0</v>
      </c>
      <c r="V466" s="182" t="n">
        <v>0</v>
      </c>
      <c r="W466" s="182" t="n">
        <v>0</v>
      </c>
      <c r="X466" s="182" t="n">
        <v>1</v>
      </c>
      <c r="Y466" s="182" t="n">
        <v>0</v>
      </c>
      <c r="Z466" s="182" t="n">
        <v>0</v>
      </c>
      <c r="AA466" s="182" t="n">
        <v>0</v>
      </c>
      <c r="AB466" s="182" t="n">
        <v>0</v>
      </c>
      <c r="AC466" s="182" t="n">
        <v>0</v>
      </c>
      <c r="AD466" s="182" t="n">
        <v>0</v>
      </c>
      <c r="AE466" s="182" t="n">
        <v>0</v>
      </c>
      <c r="AF466" s="182" t="n">
        <v>0</v>
      </c>
      <c r="AG466" s="182" t="n">
        <v>0</v>
      </c>
      <c r="AH466" s="182" t="n">
        <v>0</v>
      </c>
      <c r="AI466" s="182" t="n">
        <v>0</v>
      </c>
      <c r="AJ466" s="182" t="n">
        <v>0</v>
      </c>
      <c r="AK466" s="182" t="n">
        <v>10.92</v>
      </c>
      <c r="AL466" s="182" t="n">
        <v>0</v>
      </c>
      <c r="AM466" s="182" t="n">
        <v>0.08</v>
      </c>
      <c r="AN466" s="182" t="n">
        <v>0</v>
      </c>
    </row>
    <row r="467">
      <c r="A467" s="155" t="n">
        <v>46084</v>
      </c>
      <c r="B467" s="156" t="inlineStr">
        <is>
          <t>DS</t>
        </is>
      </c>
      <c r="C467" s="156" t="inlineStr">
        <is>
          <t>HT-412</t>
        </is>
      </c>
      <c r="D467" s="156" t="inlineStr">
        <is>
          <t>SY430</t>
        </is>
      </c>
      <c r="E467" s="156" t="inlineStr">
        <is>
          <t>DT Hauling</t>
        </is>
      </c>
      <c r="F467" s="156" t="inlineStr"/>
      <c r="G467" s="182" t="n">
        <v>0</v>
      </c>
      <c r="H467" s="182" t="n">
        <v>0</v>
      </c>
      <c r="I467" s="182" t="n">
        <v>0</v>
      </c>
      <c r="J467" s="182" t="n">
        <v>0</v>
      </c>
      <c r="K467" s="182" t="n">
        <v>12</v>
      </c>
      <c r="L467" s="182" t="n">
        <v>12</v>
      </c>
      <c r="M467" s="182" t="n">
        <v>0</v>
      </c>
      <c r="N467" s="182" t="n">
        <v>0</v>
      </c>
      <c r="O467" s="183" t="n">
        <v>0</v>
      </c>
      <c r="P467" s="183" t="n">
        <v>0</v>
      </c>
      <c r="Q467" s="184" t="n">
        <v>0</v>
      </c>
      <c r="R467" s="184" t="n">
        <v>0</v>
      </c>
      <c r="S467" s="183" t="n">
        <v>0</v>
      </c>
      <c r="T467" s="183" t="n">
        <v>0</v>
      </c>
      <c r="U467" s="182" t="n">
        <v>0</v>
      </c>
      <c r="V467" s="182" t="n">
        <v>0</v>
      </c>
      <c r="W467" s="182" t="n">
        <v>0</v>
      </c>
      <c r="X467" s="182" t="n">
        <v>1</v>
      </c>
      <c r="Y467" s="182" t="n">
        <v>0</v>
      </c>
      <c r="Z467" s="182" t="n">
        <v>0</v>
      </c>
      <c r="AA467" s="182" t="n">
        <v>0</v>
      </c>
      <c r="AB467" s="182" t="n">
        <v>0</v>
      </c>
      <c r="AC467" s="182" t="n">
        <v>0</v>
      </c>
      <c r="AD467" s="182" t="n">
        <v>0</v>
      </c>
      <c r="AE467" s="182" t="n">
        <v>0</v>
      </c>
      <c r="AF467" s="182" t="n">
        <v>0</v>
      </c>
      <c r="AG467" s="182" t="n">
        <v>0</v>
      </c>
      <c r="AH467" s="182" t="n">
        <v>0</v>
      </c>
      <c r="AI467" s="182" t="n">
        <v>0</v>
      </c>
      <c r="AJ467" s="182" t="n">
        <v>0</v>
      </c>
      <c r="AK467" s="182" t="n">
        <v>10.92</v>
      </c>
      <c r="AL467" s="182" t="n">
        <v>0</v>
      </c>
      <c r="AM467" s="182" t="n">
        <v>0.08</v>
      </c>
      <c r="AN467" s="182" t="n">
        <v>0</v>
      </c>
    </row>
    <row r="468">
      <c r="A468" s="155" t="n">
        <v>46084</v>
      </c>
      <c r="B468" s="156" t="inlineStr">
        <is>
          <t>DS</t>
        </is>
      </c>
      <c r="C468" s="156" t="inlineStr">
        <is>
          <t>HT-413</t>
        </is>
      </c>
      <c r="D468" s="156" t="inlineStr">
        <is>
          <t>SY430</t>
        </is>
      </c>
      <c r="E468" s="156" t="inlineStr">
        <is>
          <t>DT Hauling</t>
        </is>
      </c>
      <c r="F468" s="156" t="inlineStr"/>
      <c r="G468" s="182" t="n">
        <v>0</v>
      </c>
      <c r="H468" s="182" t="n">
        <v>0</v>
      </c>
      <c r="I468" s="182" t="n">
        <v>12</v>
      </c>
      <c r="J468" s="182" t="n">
        <v>12</v>
      </c>
      <c r="K468" s="182" t="n">
        <v>0</v>
      </c>
      <c r="L468" s="182" t="n">
        <v>12</v>
      </c>
      <c r="M468" s="182" t="n">
        <v>0</v>
      </c>
      <c r="N468" s="182" t="n">
        <v>0</v>
      </c>
      <c r="O468" s="183" t="n">
        <v>0</v>
      </c>
      <c r="P468" s="183" t="n">
        <v>0</v>
      </c>
      <c r="Q468" s="184" t="n">
        <v>0</v>
      </c>
      <c r="R468" s="184" t="n">
        <v>0</v>
      </c>
      <c r="S468" s="183" t="n">
        <v>0</v>
      </c>
      <c r="T468" s="183" t="n">
        <v>0</v>
      </c>
      <c r="U468" s="182" t="n">
        <v>0</v>
      </c>
      <c r="V468" s="182" t="n">
        <v>0</v>
      </c>
      <c r="W468" s="182" t="n">
        <v>0</v>
      </c>
      <c r="X468" s="182" t="n">
        <v>0</v>
      </c>
      <c r="Y468" s="182" t="n">
        <v>0</v>
      </c>
      <c r="Z468" s="182" t="n">
        <v>0</v>
      </c>
      <c r="AA468" s="182" t="n">
        <v>0</v>
      </c>
      <c r="AB468" s="182" t="n">
        <v>0</v>
      </c>
      <c r="AC468" s="182" t="n">
        <v>0</v>
      </c>
      <c r="AD468" s="182" t="n">
        <v>0</v>
      </c>
      <c r="AE468" s="182" t="n">
        <v>0</v>
      </c>
      <c r="AF468" s="182" t="n">
        <v>0</v>
      </c>
      <c r="AG468" s="182" t="n">
        <v>0</v>
      </c>
      <c r="AH468" s="182" t="n">
        <v>0</v>
      </c>
      <c r="AI468" s="182" t="n">
        <v>0</v>
      </c>
      <c r="AJ468" s="182" t="n">
        <v>0</v>
      </c>
      <c r="AK468" s="182" t="n">
        <v>0</v>
      </c>
      <c r="AL468" s="182" t="n">
        <v>0</v>
      </c>
      <c r="AM468" s="182" t="n">
        <v>0</v>
      </c>
      <c r="AN468" s="182" t="n">
        <v>0</v>
      </c>
    </row>
    <row r="469">
      <c r="A469" s="155" t="n">
        <v>46084</v>
      </c>
      <c r="B469" s="156" t="inlineStr">
        <is>
          <t>DS</t>
        </is>
      </c>
      <c r="C469" s="156" t="inlineStr">
        <is>
          <t>HT-407</t>
        </is>
      </c>
      <c r="D469" s="156" t="inlineStr">
        <is>
          <t>SY430</t>
        </is>
      </c>
      <c r="E469" s="156" t="inlineStr">
        <is>
          <t>DT Hauling</t>
        </is>
      </c>
      <c r="F469" s="156" t="inlineStr"/>
      <c r="G469" s="182" t="n">
        <v>0</v>
      </c>
      <c r="H469" s="182" t="n">
        <v>0</v>
      </c>
      <c r="I469" s="182" t="n">
        <v>0</v>
      </c>
      <c r="J469" s="182" t="n">
        <v>0</v>
      </c>
      <c r="K469" s="182" t="n">
        <v>12</v>
      </c>
      <c r="L469" s="182" t="n">
        <v>12</v>
      </c>
      <c r="M469" s="182" t="n">
        <v>0</v>
      </c>
      <c r="N469" s="182" t="n">
        <v>0</v>
      </c>
      <c r="O469" s="183" t="n">
        <v>0</v>
      </c>
      <c r="P469" s="183" t="n">
        <v>0</v>
      </c>
      <c r="Q469" s="184" t="n">
        <v>0</v>
      </c>
      <c r="R469" s="184" t="n">
        <v>0</v>
      </c>
      <c r="S469" s="183" t="n">
        <v>0</v>
      </c>
      <c r="T469" s="183" t="n">
        <v>0</v>
      </c>
      <c r="U469" s="182" t="n">
        <v>0</v>
      </c>
      <c r="V469" s="182" t="n">
        <v>0</v>
      </c>
      <c r="W469" s="182" t="n">
        <v>0</v>
      </c>
      <c r="X469" s="182" t="n">
        <v>1</v>
      </c>
      <c r="Y469" s="182" t="n">
        <v>0</v>
      </c>
      <c r="Z469" s="182" t="n">
        <v>0</v>
      </c>
      <c r="AA469" s="182" t="n">
        <v>0</v>
      </c>
      <c r="AB469" s="182" t="n">
        <v>0</v>
      </c>
      <c r="AC469" s="182" t="n">
        <v>0</v>
      </c>
      <c r="AD469" s="182" t="n">
        <v>0</v>
      </c>
      <c r="AE469" s="182" t="n">
        <v>0</v>
      </c>
      <c r="AF469" s="182" t="n">
        <v>0</v>
      </c>
      <c r="AG469" s="182" t="n">
        <v>0</v>
      </c>
      <c r="AH469" s="182" t="n">
        <v>0</v>
      </c>
      <c r="AI469" s="182" t="n">
        <v>0</v>
      </c>
      <c r="AJ469" s="182" t="n">
        <v>0</v>
      </c>
      <c r="AK469" s="182" t="n">
        <v>10.92</v>
      </c>
      <c r="AL469" s="182" t="n">
        <v>0</v>
      </c>
      <c r="AM469" s="182" t="n">
        <v>0.08</v>
      </c>
      <c r="AN469" s="182" t="n">
        <v>0</v>
      </c>
    </row>
    <row r="470">
      <c r="A470" s="155" t="n">
        <v>46084</v>
      </c>
      <c r="B470" s="156" t="inlineStr">
        <is>
          <t>DS</t>
        </is>
      </c>
      <c r="C470" s="156" t="inlineStr">
        <is>
          <t>HT-414</t>
        </is>
      </c>
      <c r="D470" s="156" t="inlineStr">
        <is>
          <t>SY430</t>
        </is>
      </c>
      <c r="E470" s="156" t="inlineStr">
        <is>
          <t>DT Hauling</t>
        </is>
      </c>
      <c r="F470" s="156" t="inlineStr"/>
      <c r="G470" s="182" t="n">
        <v>0</v>
      </c>
      <c r="H470" s="182" t="n">
        <v>0</v>
      </c>
      <c r="I470" s="182" t="n">
        <v>0</v>
      </c>
      <c r="J470" s="182" t="n">
        <v>0</v>
      </c>
      <c r="K470" s="182" t="n">
        <v>12</v>
      </c>
      <c r="L470" s="182" t="n">
        <v>12</v>
      </c>
      <c r="M470" s="182" t="n">
        <v>0</v>
      </c>
      <c r="N470" s="182" t="n">
        <v>0</v>
      </c>
      <c r="O470" s="183" t="n">
        <v>0</v>
      </c>
      <c r="P470" s="183" t="n">
        <v>0</v>
      </c>
      <c r="Q470" s="184" t="n">
        <v>0</v>
      </c>
      <c r="R470" s="184" t="n">
        <v>0</v>
      </c>
      <c r="S470" s="183" t="n">
        <v>0</v>
      </c>
      <c r="T470" s="183" t="n">
        <v>0</v>
      </c>
      <c r="U470" s="182" t="n">
        <v>0</v>
      </c>
      <c r="V470" s="182" t="n">
        <v>0</v>
      </c>
      <c r="W470" s="182" t="n">
        <v>0</v>
      </c>
      <c r="X470" s="182" t="n">
        <v>1</v>
      </c>
      <c r="Y470" s="182" t="n">
        <v>0</v>
      </c>
      <c r="Z470" s="182" t="n">
        <v>0</v>
      </c>
      <c r="AA470" s="182" t="n">
        <v>0</v>
      </c>
      <c r="AB470" s="182" t="n">
        <v>0</v>
      </c>
      <c r="AC470" s="182" t="n">
        <v>0</v>
      </c>
      <c r="AD470" s="182" t="n">
        <v>0</v>
      </c>
      <c r="AE470" s="182" t="n">
        <v>0</v>
      </c>
      <c r="AF470" s="182" t="n">
        <v>0</v>
      </c>
      <c r="AG470" s="182" t="n">
        <v>0</v>
      </c>
      <c r="AH470" s="182" t="n">
        <v>0</v>
      </c>
      <c r="AI470" s="182" t="n">
        <v>0</v>
      </c>
      <c r="AJ470" s="182" t="n">
        <v>0</v>
      </c>
      <c r="AK470" s="182" t="n">
        <v>10.92</v>
      </c>
      <c r="AL470" s="182" t="n">
        <v>0</v>
      </c>
      <c r="AM470" s="182" t="n">
        <v>0.08</v>
      </c>
      <c r="AN470" s="182" t="n">
        <v>0</v>
      </c>
    </row>
    <row r="471">
      <c r="A471" s="155" t="n">
        <v>46084</v>
      </c>
      <c r="B471" s="156" t="inlineStr">
        <is>
          <t>DS</t>
        </is>
      </c>
      <c r="C471" s="156" t="inlineStr">
        <is>
          <t>HT-411</t>
        </is>
      </c>
      <c r="D471" s="156" t="inlineStr">
        <is>
          <t>SY430</t>
        </is>
      </c>
      <c r="E471" s="156" t="inlineStr">
        <is>
          <t>DT Hauling</t>
        </is>
      </c>
      <c r="F471" s="156" t="inlineStr"/>
      <c r="G471" s="182" t="n">
        <v>0</v>
      </c>
      <c r="H471" s="182" t="n">
        <v>0</v>
      </c>
      <c r="I471" s="182" t="n">
        <v>0</v>
      </c>
      <c r="J471" s="182" t="n">
        <v>0</v>
      </c>
      <c r="K471" s="182" t="n">
        <v>12</v>
      </c>
      <c r="L471" s="182" t="n">
        <v>12</v>
      </c>
      <c r="M471" s="182" t="n">
        <v>0</v>
      </c>
      <c r="N471" s="182" t="n">
        <v>0</v>
      </c>
      <c r="O471" s="183" t="n">
        <v>0</v>
      </c>
      <c r="P471" s="183" t="n">
        <v>0</v>
      </c>
      <c r="Q471" s="184" t="n">
        <v>0</v>
      </c>
      <c r="R471" s="184" t="n">
        <v>0</v>
      </c>
      <c r="S471" s="183" t="n">
        <v>0</v>
      </c>
      <c r="T471" s="183" t="n">
        <v>0</v>
      </c>
      <c r="U471" s="182" t="n">
        <v>0</v>
      </c>
      <c r="V471" s="182" t="n">
        <v>0</v>
      </c>
      <c r="W471" s="182" t="n">
        <v>0</v>
      </c>
      <c r="X471" s="182" t="n">
        <v>1</v>
      </c>
      <c r="Y471" s="182" t="n">
        <v>0</v>
      </c>
      <c r="Z471" s="182" t="n">
        <v>0</v>
      </c>
      <c r="AA471" s="182" t="n">
        <v>0</v>
      </c>
      <c r="AB471" s="182" t="n">
        <v>0</v>
      </c>
      <c r="AC471" s="182" t="n">
        <v>0</v>
      </c>
      <c r="AD471" s="182" t="n">
        <v>0</v>
      </c>
      <c r="AE471" s="182" t="n">
        <v>0</v>
      </c>
      <c r="AF471" s="182" t="n">
        <v>0</v>
      </c>
      <c r="AG471" s="182" t="n">
        <v>0</v>
      </c>
      <c r="AH471" s="182" t="n">
        <v>0</v>
      </c>
      <c r="AI471" s="182" t="n">
        <v>0</v>
      </c>
      <c r="AJ471" s="182" t="n">
        <v>0</v>
      </c>
      <c r="AK471" s="182" t="n">
        <v>10.92</v>
      </c>
      <c r="AL471" s="182" t="n">
        <v>0</v>
      </c>
      <c r="AM471" s="182" t="n">
        <v>0.08</v>
      </c>
      <c r="AN471" s="182" t="n">
        <v>0</v>
      </c>
    </row>
    <row r="472">
      <c r="A472" s="155" t="n">
        <v>46084</v>
      </c>
      <c r="B472" s="156" t="inlineStr">
        <is>
          <t>DS</t>
        </is>
      </c>
      <c r="C472" s="156" t="inlineStr">
        <is>
          <t>HT-409</t>
        </is>
      </c>
      <c r="D472" s="156" t="inlineStr">
        <is>
          <t>SY430</t>
        </is>
      </c>
      <c r="E472" s="156" t="inlineStr">
        <is>
          <t>DT Hauling</t>
        </is>
      </c>
      <c r="F472" s="156" t="inlineStr"/>
      <c r="G472" s="182" t="n">
        <v>0</v>
      </c>
      <c r="H472" s="182" t="n">
        <v>0</v>
      </c>
      <c r="I472" s="182" t="n">
        <v>0</v>
      </c>
      <c r="J472" s="182" t="n">
        <v>0</v>
      </c>
      <c r="K472" s="182" t="n">
        <v>12</v>
      </c>
      <c r="L472" s="182" t="n">
        <v>12</v>
      </c>
      <c r="M472" s="182" t="n">
        <v>0</v>
      </c>
      <c r="N472" s="182" t="n">
        <v>0</v>
      </c>
      <c r="O472" s="183" t="n">
        <v>0</v>
      </c>
      <c r="P472" s="183" t="n">
        <v>0</v>
      </c>
      <c r="Q472" s="184" t="n">
        <v>0</v>
      </c>
      <c r="R472" s="184" t="n">
        <v>0</v>
      </c>
      <c r="S472" s="183" t="n">
        <v>0</v>
      </c>
      <c r="T472" s="183" t="n">
        <v>0</v>
      </c>
      <c r="U472" s="182" t="n">
        <v>0</v>
      </c>
      <c r="V472" s="182" t="n">
        <v>0</v>
      </c>
      <c r="W472" s="182" t="n">
        <v>0</v>
      </c>
      <c r="X472" s="182" t="n">
        <v>1</v>
      </c>
      <c r="Y472" s="182" t="n">
        <v>0</v>
      </c>
      <c r="Z472" s="182" t="n">
        <v>0</v>
      </c>
      <c r="AA472" s="182" t="n">
        <v>0</v>
      </c>
      <c r="AB472" s="182" t="n">
        <v>0</v>
      </c>
      <c r="AC472" s="182" t="n">
        <v>0</v>
      </c>
      <c r="AD472" s="182" t="n">
        <v>0</v>
      </c>
      <c r="AE472" s="182" t="n">
        <v>0</v>
      </c>
      <c r="AF472" s="182" t="n">
        <v>0</v>
      </c>
      <c r="AG472" s="182" t="n">
        <v>0</v>
      </c>
      <c r="AH472" s="182" t="n">
        <v>0</v>
      </c>
      <c r="AI472" s="182" t="n">
        <v>0</v>
      </c>
      <c r="AJ472" s="182" t="n">
        <v>0</v>
      </c>
      <c r="AK472" s="182" t="n">
        <v>10.92</v>
      </c>
      <c r="AL472" s="182" t="n">
        <v>0</v>
      </c>
      <c r="AM472" s="182" t="n">
        <v>0.08</v>
      </c>
      <c r="AN472" s="182" t="n">
        <v>0</v>
      </c>
    </row>
    <row r="473">
      <c r="A473" s="155" t="n">
        <v>46084</v>
      </c>
      <c r="B473" s="156" t="inlineStr">
        <is>
          <t>DS</t>
        </is>
      </c>
      <c r="C473" s="156" t="inlineStr">
        <is>
          <t>DH-103</t>
        </is>
      </c>
      <c r="D473" s="156" t="inlineStr">
        <is>
          <t>HINO FM260</t>
        </is>
      </c>
      <c r="E473" s="156" t="inlineStr">
        <is>
          <t>DT Hino</t>
        </is>
      </c>
      <c r="F473" s="156" t="inlineStr"/>
      <c r="G473" s="182" t="n">
        <v>0</v>
      </c>
      <c r="H473" s="182" t="n">
        <v>0</v>
      </c>
      <c r="I473" s="182" t="n">
        <v>12</v>
      </c>
      <c r="J473" s="182" t="n">
        <v>12</v>
      </c>
      <c r="K473" s="182" t="n">
        <v>0</v>
      </c>
      <c r="L473" s="182" t="n">
        <v>12</v>
      </c>
      <c r="M473" s="182" t="n">
        <v>0</v>
      </c>
      <c r="N473" s="182" t="n">
        <v>0</v>
      </c>
      <c r="O473" s="183" t="n">
        <v>0</v>
      </c>
      <c r="P473" s="183" t="n">
        <v>0</v>
      </c>
      <c r="Q473" s="184" t="n">
        <v>0</v>
      </c>
      <c r="R473" s="184" t="n">
        <v>0</v>
      </c>
      <c r="S473" s="183" t="n">
        <v>0</v>
      </c>
      <c r="T473" s="183" t="n">
        <v>0</v>
      </c>
      <c r="U473" s="182" t="n">
        <v>0</v>
      </c>
      <c r="V473" s="182" t="n">
        <v>0</v>
      </c>
      <c r="W473" s="182" t="n">
        <v>0</v>
      </c>
      <c r="X473" s="182" t="n">
        <v>0</v>
      </c>
      <c r="Y473" s="182" t="n">
        <v>0</v>
      </c>
      <c r="Z473" s="182" t="n">
        <v>0</v>
      </c>
      <c r="AA473" s="182" t="n">
        <v>0</v>
      </c>
      <c r="AB473" s="182" t="n">
        <v>0</v>
      </c>
      <c r="AC473" s="182" t="n">
        <v>0</v>
      </c>
      <c r="AD473" s="182" t="n">
        <v>0</v>
      </c>
      <c r="AE473" s="182" t="n">
        <v>0</v>
      </c>
      <c r="AF473" s="182" t="n">
        <v>0</v>
      </c>
      <c r="AG473" s="182" t="n">
        <v>0</v>
      </c>
      <c r="AH473" s="182" t="n">
        <v>0</v>
      </c>
      <c r="AI473" s="182" t="n">
        <v>0</v>
      </c>
      <c r="AJ473" s="182" t="n">
        <v>0</v>
      </c>
      <c r="AK473" s="182" t="n">
        <v>0</v>
      </c>
      <c r="AL473" s="182" t="n">
        <v>0</v>
      </c>
      <c r="AM473" s="182" t="n">
        <v>0</v>
      </c>
      <c r="AN473" s="182" t="n">
        <v>0</v>
      </c>
    </row>
    <row r="474">
      <c r="A474" s="155" t="n">
        <v>46084</v>
      </c>
      <c r="B474" s="156" t="inlineStr">
        <is>
          <t>DS</t>
        </is>
      </c>
      <c r="C474" s="156" t="inlineStr">
        <is>
          <t>DH-102</t>
        </is>
      </c>
      <c r="D474" s="156" t="inlineStr">
        <is>
          <t>HINO FM260</t>
        </is>
      </c>
      <c r="E474" s="156" t="inlineStr">
        <is>
          <t>DT Hino</t>
        </is>
      </c>
      <c r="F474" s="156" t="inlineStr"/>
      <c r="G474" s="182" t="n">
        <v>0</v>
      </c>
      <c r="H474" s="182" t="n">
        <v>0</v>
      </c>
      <c r="I474" s="182" t="n">
        <v>0</v>
      </c>
      <c r="J474" s="182" t="n">
        <v>0</v>
      </c>
      <c r="K474" s="182" t="n">
        <v>12</v>
      </c>
      <c r="L474" s="182" t="n">
        <v>12</v>
      </c>
      <c r="M474" s="182" t="n">
        <v>0</v>
      </c>
      <c r="N474" s="182" t="n">
        <v>0</v>
      </c>
      <c r="O474" s="183" t="n">
        <v>0</v>
      </c>
      <c r="P474" s="183" t="n">
        <v>0</v>
      </c>
      <c r="Q474" s="184" t="n">
        <v>0</v>
      </c>
      <c r="R474" s="184" t="n">
        <v>0</v>
      </c>
      <c r="S474" s="183" t="n">
        <v>0</v>
      </c>
      <c r="T474" s="183" t="n">
        <v>0</v>
      </c>
      <c r="U474" s="182" t="n">
        <v>0</v>
      </c>
      <c r="V474" s="182" t="n">
        <v>0</v>
      </c>
      <c r="W474" s="182" t="n">
        <v>0</v>
      </c>
      <c r="X474" s="182" t="n">
        <v>1</v>
      </c>
      <c r="Y474" s="182" t="n">
        <v>0</v>
      </c>
      <c r="Z474" s="182" t="n">
        <v>0</v>
      </c>
      <c r="AA474" s="182" t="n">
        <v>0</v>
      </c>
      <c r="AB474" s="182" t="n">
        <v>0</v>
      </c>
      <c r="AC474" s="182" t="n">
        <v>0</v>
      </c>
      <c r="AD474" s="182" t="n">
        <v>0</v>
      </c>
      <c r="AE474" s="182" t="n">
        <v>0</v>
      </c>
      <c r="AF474" s="182" t="n">
        <v>0</v>
      </c>
      <c r="AG474" s="182" t="n">
        <v>0</v>
      </c>
      <c r="AH474" s="182" t="n">
        <v>0</v>
      </c>
      <c r="AI474" s="182" t="n">
        <v>0</v>
      </c>
      <c r="AJ474" s="182" t="n">
        <v>0</v>
      </c>
      <c r="AK474" s="182" t="n">
        <v>10.92</v>
      </c>
      <c r="AL474" s="182" t="n">
        <v>0</v>
      </c>
      <c r="AM474" s="182" t="n">
        <v>0.08</v>
      </c>
      <c r="AN474" s="182" t="n">
        <v>0</v>
      </c>
    </row>
    <row r="475">
      <c r="A475" s="155" t="n">
        <v>46084</v>
      </c>
      <c r="B475" s="156" t="inlineStr">
        <is>
          <t>DS</t>
        </is>
      </c>
      <c r="C475" s="156" t="inlineStr">
        <is>
          <t>DH-101</t>
        </is>
      </c>
      <c r="D475" s="156" t="inlineStr">
        <is>
          <t>HINO FM260</t>
        </is>
      </c>
      <c r="E475" s="156" t="inlineStr">
        <is>
          <t>DT Hino</t>
        </is>
      </c>
      <c r="F475" s="156" t="inlineStr"/>
      <c r="G475" s="182" t="n">
        <v>0</v>
      </c>
      <c r="H475" s="182" t="n">
        <v>0</v>
      </c>
      <c r="I475" s="182" t="n">
        <v>0</v>
      </c>
      <c r="J475" s="182" t="n">
        <v>0</v>
      </c>
      <c r="K475" s="182" t="n">
        <v>12</v>
      </c>
      <c r="L475" s="182" t="n">
        <v>12</v>
      </c>
      <c r="M475" s="182" t="n">
        <v>0</v>
      </c>
      <c r="N475" s="182" t="n">
        <v>0</v>
      </c>
      <c r="O475" s="183" t="n">
        <v>0</v>
      </c>
      <c r="P475" s="183" t="n">
        <v>0</v>
      </c>
      <c r="Q475" s="184" t="n">
        <v>0</v>
      </c>
      <c r="R475" s="184" t="n">
        <v>0</v>
      </c>
      <c r="S475" s="183" t="n">
        <v>0</v>
      </c>
      <c r="T475" s="183" t="n">
        <v>0</v>
      </c>
      <c r="U475" s="182" t="n">
        <v>0</v>
      </c>
      <c r="V475" s="182" t="n">
        <v>0</v>
      </c>
      <c r="W475" s="182" t="n">
        <v>0</v>
      </c>
      <c r="X475" s="182" t="n">
        <v>1</v>
      </c>
      <c r="Y475" s="182" t="n">
        <v>0</v>
      </c>
      <c r="Z475" s="182" t="n">
        <v>0</v>
      </c>
      <c r="AA475" s="182" t="n">
        <v>0</v>
      </c>
      <c r="AB475" s="182" t="n">
        <v>0</v>
      </c>
      <c r="AC475" s="182" t="n">
        <v>0</v>
      </c>
      <c r="AD475" s="182" t="n">
        <v>0</v>
      </c>
      <c r="AE475" s="182" t="n">
        <v>0</v>
      </c>
      <c r="AF475" s="182" t="n">
        <v>0</v>
      </c>
      <c r="AG475" s="182" t="n">
        <v>0</v>
      </c>
      <c r="AH475" s="182" t="n">
        <v>0</v>
      </c>
      <c r="AI475" s="182" t="n">
        <v>0</v>
      </c>
      <c r="AJ475" s="182" t="n">
        <v>0</v>
      </c>
      <c r="AK475" s="182" t="n">
        <v>10.92</v>
      </c>
      <c r="AL475" s="182" t="n">
        <v>0</v>
      </c>
      <c r="AM475" s="182" t="n">
        <v>0.08</v>
      </c>
      <c r="AN475" s="182" t="n">
        <v>0</v>
      </c>
    </row>
    <row r="476">
      <c r="A476" s="155" t="n">
        <v>46084</v>
      </c>
      <c r="B476" s="156" t="inlineStr">
        <is>
          <t>DS</t>
        </is>
      </c>
      <c r="C476" s="156" t="inlineStr">
        <is>
          <t>EX-1251</t>
        </is>
      </c>
      <c r="D476" s="156" t="inlineStr">
        <is>
          <t>SY1250</t>
        </is>
      </c>
      <c r="E476" s="156" t="inlineStr">
        <is>
          <t>Excavator</t>
        </is>
      </c>
      <c r="F476" s="156" t="inlineStr">
        <is>
          <t>Loading OB</t>
        </is>
      </c>
      <c r="G476" s="182" t="n">
        <v>8.42</v>
      </c>
      <c r="H476" s="182" t="n">
        <v>0</v>
      </c>
      <c r="I476" s="182" t="n">
        <v>0</v>
      </c>
      <c r="J476" s="182" t="n">
        <v>0</v>
      </c>
      <c r="K476" s="182" t="n">
        <v>3.58</v>
      </c>
      <c r="L476" s="182" t="n">
        <v>12</v>
      </c>
      <c r="M476" s="182" t="n">
        <v>8.26</v>
      </c>
      <c r="N476" s="182" t="n">
        <v>0</v>
      </c>
      <c r="O476" s="183" t="n">
        <v>171</v>
      </c>
      <c r="P476" s="183" t="n">
        <v>0</v>
      </c>
      <c r="Q476" s="184" t="n">
        <v>3972.9</v>
      </c>
      <c r="R476" s="184" t="n">
        <v>0</v>
      </c>
      <c r="S476" s="183" t="n">
        <v>0</v>
      </c>
      <c r="T476" s="183" t="n">
        <v>0</v>
      </c>
      <c r="U476" s="182" t="n">
        <v>2.39</v>
      </c>
      <c r="V476" s="182" t="n">
        <v>0</v>
      </c>
      <c r="W476" s="182" t="n">
        <v>0</v>
      </c>
      <c r="X476" s="182" t="n">
        <v>1.1</v>
      </c>
      <c r="Y476" s="182" t="n">
        <v>0</v>
      </c>
      <c r="Z476" s="182" t="n">
        <v>0</v>
      </c>
      <c r="AA476" s="182" t="n">
        <v>0</v>
      </c>
      <c r="AB476" s="182" t="n">
        <v>0</v>
      </c>
      <c r="AC476" s="182" t="n">
        <v>0</v>
      </c>
      <c r="AD476" s="182" t="n">
        <v>0</v>
      </c>
      <c r="AE476" s="182" t="n">
        <v>0</v>
      </c>
      <c r="AF476" s="182" t="n">
        <v>0</v>
      </c>
      <c r="AG476" s="182" t="n">
        <v>0</v>
      </c>
      <c r="AH476" s="182" t="n">
        <v>0</v>
      </c>
      <c r="AI476" s="182" t="n">
        <v>0</v>
      </c>
      <c r="AJ476" s="182" t="n">
        <v>0</v>
      </c>
      <c r="AK476" s="182" t="n">
        <v>0</v>
      </c>
      <c r="AL476" s="182" t="n">
        <v>0</v>
      </c>
      <c r="AM476" s="182" t="n">
        <v>0.09</v>
      </c>
      <c r="AN476" s="182" t="n">
        <v>0</v>
      </c>
    </row>
    <row r="477">
      <c r="A477" s="155" t="n">
        <v>46084</v>
      </c>
      <c r="B477" s="156" t="inlineStr">
        <is>
          <t>DS</t>
        </is>
      </c>
      <c r="C477" s="156" t="inlineStr">
        <is>
          <t>EX-1252</t>
        </is>
      </c>
      <c r="D477" s="156" t="inlineStr">
        <is>
          <t>SY1250</t>
        </is>
      </c>
      <c r="E477" s="156" t="inlineStr">
        <is>
          <t>Excavator</t>
        </is>
      </c>
      <c r="F477" s="156" t="inlineStr"/>
      <c r="G477" s="182" t="n">
        <v>0</v>
      </c>
      <c r="H477" s="182" t="n">
        <v>0</v>
      </c>
      <c r="I477" s="182" t="n">
        <v>12</v>
      </c>
      <c r="J477" s="182" t="n">
        <v>12</v>
      </c>
      <c r="K477" s="182" t="n">
        <v>0</v>
      </c>
      <c r="L477" s="182" t="n">
        <v>12</v>
      </c>
      <c r="M477" s="182" t="n">
        <v>0</v>
      </c>
      <c r="N477" s="182" t="n">
        <v>0</v>
      </c>
      <c r="O477" s="183" t="n">
        <v>0</v>
      </c>
      <c r="P477" s="183" t="n">
        <v>0</v>
      </c>
      <c r="Q477" s="184" t="n">
        <v>0</v>
      </c>
      <c r="R477" s="184" t="n">
        <v>0</v>
      </c>
      <c r="S477" s="183" t="n">
        <v>0</v>
      </c>
      <c r="T477" s="183" t="n">
        <v>0</v>
      </c>
      <c r="U477" s="182" t="n">
        <v>0</v>
      </c>
      <c r="V477" s="182" t="n">
        <v>0</v>
      </c>
      <c r="W477" s="182" t="n">
        <v>0</v>
      </c>
      <c r="X477" s="182" t="n">
        <v>0</v>
      </c>
      <c r="Y477" s="182" t="n">
        <v>0</v>
      </c>
      <c r="Z477" s="182" t="n">
        <v>0</v>
      </c>
      <c r="AA477" s="182" t="n">
        <v>0</v>
      </c>
      <c r="AB477" s="182" t="n">
        <v>0</v>
      </c>
      <c r="AC477" s="182" t="n">
        <v>0</v>
      </c>
      <c r="AD477" s="182" t="n">
        <v>0</v>
      </c>
      <c r="AE477" s="182" t="n">
        <v>0</v>
      </c>
      <c r="AF477" s="182" t="n">
        <v>0</v>
      </c>
      <c r="AG477" s="182" t="n">
        <v>0</v>
      </c>
      <c r="AH477" s="182" t="n">
        <v>0</v>
      </c>
      <c r="AI477" s="182" t="n">
        <v>0</v>
      </c>
      <c r="AJ477" s="182" t="n">
        <v>0</v>
      </c>
      <c r="AK477" s="182" t="n">
        <v>0</v>
      </c>
      <c r="AL477" s="182" t="n">
        <v>0</v>
      </c>
      <c r="AM477" s="182" t="n">
        <v>0</v>
      </c>
      <c r="AN477" s="182" t="n">
        <v>0</v>
      </c>
    </row>
    <row r="478">
      <c r="A478" s="155" t="n">
        <v>46084</v>
      </c>
      <c r="B478" s="156" t="inlineStr">
        <is>
          <t>DS</t>
        </is>
      </c>
      <c r="C478" s="156" t="inlineStr">
        <is>
          <t>EX-2101</t>
        </is>
      </c>
      <c r="D478" s="156" t="inlineStr">
        <is>
          <t>SY2000</t>
        </is>
      </c>
      <c r="E478" s="156" t="inlineStr">
        <is>
          <t>Excavator</t>
        </is>
      </c>
      <c r="F478" s="156" t="inlineStr">
        <is>
          <t>Loading OB</t>
        </is>
      </c>
      <c r="G478" s="182" t="n">
        <v>3.12</v>
      </c>
      <c r="H478" s="182" t="n">
        <v>0</v>
      </c>
      <c r="I478" s="182" t="n">
        <v>4.77</v>
      </c>
      <c r="J478" s="182" t="n">
        <v>4.77</v>
      </c>
      <c r="K478" s="182" t="n">
        <v>4.11</v>
      </c>
      <c r="L478" s="182" t="n">
        <v>12</v>
      </c>
      <c r="M478" s="182" t="n">
        <v>2</v>
      </c>
      <c r="N478" s="182" t="n">
        <v>0</v>
      </c>
      <c r="O478" s="183" t="n">
        <v>33</v>
      </c>
      <c r="P478" s="183" t="n">
        <v>0</v>
      </c>
      <c r="Q478" s="184" t="n">
        <v>1147.5</v>
      </c>
      <c r="R478" s="184" t="n">
        <v>0</v>
      </c>
      <c r="S478" s="183" t="n">
        <v>0</v>
      </c>
      <c r="T478" s="183" t="n">
        <v>0</v>
      </c>
      <c r="U478" s="182" t="n">
        <v>3.03</v>
      </c>
      <c r="V478" s="182" t="n">
        <v>0</v>
      </c>
      <c r="W478" s="182" t="n">
        <v>0</v>
      </c>
      <c r="X478" s="182" t="n">
        <v>1</v>
      </c>
      <c r="Y478" s="182" t="n">
        <v>0</v>
      </c>
      <c r="Z478" s="182" t="n">
        <v>0</v>
      </c>
      <c r="AA478" s="182" t="n">
        <v>0</v>
      </c>
      <c r="AB478" s="182" t="n">
        <v>0</v>
      </c>
      <c r="AC478" s="182" t="n">
        <v>0</v>
      </c>
      <c r="AD478" s="182" t="n">
        <v>0</v>
      </c>
      <c r="AE478" s="182" t="n">
        <v>0</v>
      </c>
      <c r="AF478" s="182" t="n">
        <v>0</v>
      </c>
      <c r="AG478" s="182" t="n">
        <v>0</v>
      </c>
      <c r="AH478" s="182" t="n">
        <v>0</v>
      </c>
      <c r="AI478" s="182" t="n">
        <v>0</v>
      </c>
      <c r="AJ478" s="182" t="n">
        <v>0</v>
      </c>
      <c r="AK478" s="182" t="n">
        <v>0</v>
      </c>
      <c r="AL478" s="182" t="n">
        <v>0</v>
      </c>
      <c r="AM478" s="182" t="n">
        <v>0.08</v>
      </c>
      <c r="AN478" s="182" t="n">
        <v>0</v>
      </c>
    </row>
    <row r="479">
      <c r="A479" s="155" t="n">
        <v>46084</v>
      </c>
      <c r="B479" s="156" t="inlineStr">
        <is>
          <t>DS</t>
        </is>
      </c>
      <c r="C479" s="156" t="inlineStr">
        <is>
          <t>EX-222</t>
        </is>
      </c>
      <c r="D479" s="156" t="inlineStr">
        <is>
          <t>PC 200-8MI</t>
        </is>
      </c>
      <c r="E479" s="156" t="inlineStr">
        <is>
          <t>Excavator</t>
        </is>
      </c>
      <c r="F479" s="156" t="inlineStr">
        <is>
          <t>Support Washing Plant</t>
        </is>
      </c>
      <c r="G479" s="182" t="n">
        <v>11.88</v>
      </c>
      <c r="H479" s="182" t="n">
        <v>0</v>
      </c>
      <c r="I479" s="182" t="n">
        <v>0.12</v>
      </c>
      <c r="J479" s="182" t="n">
        <v>0.12</v>
      </c>
      <c r="K479" s="182" t="n">
        <v>0</v>
      </c>
      <c r="L479" s="182" t="n">
        <v>12</v>
      </c>
      <c r="M479" s="182" t="n">
        <v>0</v>
      </c>
      <c r="N479" s="182" t="n">
        <v>0</v>
      </c>
      <c r="O479" s="183" t="n">
        <v>0</v>
      </c>
      <c r="P479" s="183" t="n">
        <v>0</v>
      </c>
      <c r="Q479" s="184" t="n">
        <v>0</v>
      </c>
      <c r="R479" s="184" t="n">
        <v>0</v>
      </c>
      <c r="S479" s="183" t="n">
        <v>0</v>
      </c>
      <c r="T479" s="183" t="n">
        <v>0</v>
      </c>
      <c r="U479" s="182" t="n">
        <v>0</v>
      </c>
      <c r="V479" s="182" t="n">
        <v>0</v>
      </c>
      <c r="W479" s="182" t="n">
        <v>0</v>
      </c>
      <c r="X479" s="182" t="n">
        <v>0</v>
      </c>
      <c r="Y479" s="182" t="n">
        <v>0</v>
      </c>
      <c r="Z479" s="182" t="n">
        <v>0</v>
      </c>
      <c r="AA479" s="182" t="n">
        <v>0</v>
      </c>
      <c r="AB479" s="182" t="n">
        <v>0</v>
      </c>
      <c r="AC479" s="182" t="n">
        <v>0</v>
      </c>
      <c r="AD479" s="182" t="n">
        <v>0</v>
      </c>
      <c r="AE479" s="182" t="n">
        <v>0</v>
      </c>
      <c r="AF479" s="182" t="n">
        <v>0</v>
      </c>
      <c r="AG479" s="182" t="n">
        <v>0</v>
      </c>
      <c r="AH479" s="182" t="n">
        <v>0</v>
      </c>
      <c r="AI479" s="182" t="n">
        <v>0</v>
      </c>
      <c r="AJ479" s="182" t="n">
        <v>0</v>
      </c>
      <c r="AK479" s="182" t="n">
        <v>0</v>
      </c>
      <c r="AL479" s="182" t="n">
        <v>0</v>
      </c>
      <c r="AM479" s="182" t="n">
        <v>0</v>
      </c>
      <c r="AN479" s="182" t="n">
        <v>0</v>
      </c>
    </row>
    <row r="480">
      <c r="A480" s="155" t="n">
        <v>46084</v>
      </c>
      <c r="B480" s="156" t="inlineStr">
        <is>
          <t>DS</t>
        </is>
      </c>
      <c r="C480" s="156" t="inlineStr">
        <is>
          <t>EX-225</t>
        </is>
      </c>
      <c r="D480" s="156" t="inlineStr">
        <is>
          <t>PC 200-8</t>
        </is>
      </c>
      <c r="E480" s="156" t="inlineStr">
        <is>
          <t>Excavator</t>
        </is>
      </c>
      <c r="F480" s="156" t="inlineStr"/>
      <c r="G480" s="182" t="n">
        <v>0</v>
      </c>
      <c r="H480" s="182" t="n">
        <v>0</v>
      </c>
      <c r="I480" s="182" t="n">
        <v>12</v>
      </c>
      <c r="J480" s="182" t="n">
        <v>12</v>
      </c>
      <c r="K480" s="182" t="n">
        <v>0</v>
      </c>
      <c r="L480" s="182" t="n">
        <v>12</v>
      </c>
      <c r="M480" s="182" t="n">
        <v>0</v>
      </c>
      <c r="N480" s="182" t="n">
        <v>0</v>
      </c>
      <c r="O480" s="183" t="n">
        <v>0</v>
      </c>
      <c r="P480" s="183" t="n">
        <v>0</v>
      </c>
      <c r="Q480" s="184" t="n">
        <v>0</v>
      </c>
      <c r="R480" s="184" t="n">
        <v>0</v>
      </c>
      <c r="S480" s="183" t="n">
        <v>0</v>
      </c>
      <c r="T480" s="183" t="n">
        <v>0</v>
      </c>
      <c r="U480" s="182" t="n">
        <v>0</v>
      </c>
      <c r="V480" s="182" t="n">
        <v>0</v>
      </c>
      <c r="W480" s="182" t="n">
        <v>0</v>
      </c>
      <c r="X480" s="182" t="n">
        <v>0</v>
      </c>
      <c r="Y480" s="182" t="n">
        <v>0</v>
      </c>
      <c r="Z480" s="182" t="n">
        <v>0</v>
      </c>
      <c r="AA480" s="182" t="n">
        <v>0</v>
      </c>
      <c r="AB480" s="182" t="n">
        <v>0</v>
      </c>
      <c r="AC480" s="182" t="n">
        <v>0</v>
      </c>
      <c r="AD480" s="182" t="n">
        <v>0</v>
      </c>
      <c r="AE480" s="182" t="n">
        <v>0</v>
      </c>
      <c r="AF480" s="182" t="n">
        <v>0</v>
      </c>
      <c r="AG480" s="182" t="n">
        <v>0</v>
      </c>
      <c r="AH480" s="182" t="n">
        <v>0</v>
      </c>
      <c r="AI480" s="182" t="n">
        <v>0</v>
      </c>
      <c r="AJ480" s="182" t="n">
        <v>0</v>
      </c>
      <c r="AK480" s="182" t="n">
        <v>0</v>
      </c>
      <c r="AL480" s="182" t="n">
        <v>0</v>
      </c>
      <c r="AM480" s="182" t="n">
        <v>0</v>
      </c>
      <c r="AN480" s="182" t="n">
        <v>0</v>
      </c>
    </row>
    <row r="481">
      <c r="A481" s="155" t="n">
        <v>46084</v>
      </c>
      <c r="B481" s="156" t="inlineStr">
        <is>
          <t>DS</t>
        </is>
      </c>
      <c r="C481" s="156" t="inlineStr">
        <is>
          <t>EX-223</t>
        </is>
      </c>
      <c r="D481" s="156" t="inlineStr">
        <is>
          <t>PC 200-8MI</t>
        </is>
      </c>
      <c r="E481" s="156" t="inlineStr">
        <is>
          <t>Excavator</t>
        </is>
      </c>
      <c r="F481" s="156" t="inlineStr">
        <is>
          <t>General WS Lama</t>
        </is>
      </c>
      <c r="G481" s="182" t="n">
        <v>9.83</v>
      </c>
      <c r="H481" s="182" t="n">
        <v>0</v>
      </c>
      <c r="I481" s="182" t="n">
        <v>0</v>
      </c>
      <c r="J481" s="182" t="n">
        <v>0</v>
      </c>
      <c r="K481" s="182" t="n">
        <v>2.17</v>
      </c>
      <c r="L481" s="182" t="n">
        <v>12</v>
      </c>
      <c r="M481" s="182" t="n">
        <v>0</v>
      </c>
      <c r="N481" s="182" t="n">
        <v>0</v>
      </c>
      <c r="O481" s="183" t="n">
        <v>0</v>
      </c>
      <c r="P481" s="183" t="n">
        <v>0</v>
      </c>
      <c r="Q481" s="184" t="n">
        <v>0</v>
      </c>
      <c r="R481" s="184" t="n">
        <v>0</v>
      </c>
      <c r="S481" s="183" t="n">
        <v>0</v>
      </c>
      <c r="T481" s="183" t="n">
        <v>0</v>
      </c>
      <c r="U481" s="182" t="n">
        <v>0</v>
      </c>
      <c r="V481" s="182" t="n">
        <v>0</v>
      </c>
      <c r="W481" s="182" t="n">
        <v>0</v>
      </c>
      <c r="X481" s="182" t="n">
        <v>0.83</v>
      </c>
      <c r="Y481" s="182" t="n">
        <v>0</v>
      </c>
      <c r="Z481" s="182" t="n">
        <v>0</v>
      </c>
      <c r="AA481" s="182" t="n">
        <v>0</v>
      </c>
      <c r="AB481" s="182" t="n">
        <v>0</v>
      </c>
      <c r="AC481" s="182" t="n">
        <v>0</v>
      </c>
      <c r="AD481" s="182" t="n">
        <v>0</v>
      </c>
      <c r="AE481" s="182" t="n">
        <v>0</v>
      </c>
      <c r="AF481" s="182" t="n">
        <v>0</v>
      </c>
      <c r="AG481" s="182" t="n">
        <v>0</v>
      </c>
      <c r="AH481" s="182" t="n">
        <v>0</v>
      </c>
      <c r="AI481" s="182" t="n">
        <v>0</v>
      </c>
      <c r="AJ481" s="182" t="n">
        <v>0</v>
      </c>
      <c r="AK481" s="182" t="n">
        <v>1.27</v>
      </c>
      <c r="AL481" s="182" t="n">
        <v>0</v>
      </c>
      <c r="AM481" s="182" t="n">
        <v>0.07000000000000001</v>
      </c>
      <c r="AN481" s="182" t="n">
        <v>0</v>
      </c>
    </row>
    <row r="482">
      <c r="A482" s="155" t="n">
        <v>46084</v>
      </c>
      <c r="B482" s="156" t="inlineStr">
        <is>
          <t>DS</t>
        </is>
      </c>
      <c r="C482" s="156" t="inlineStr">
        <is>
          <t>EX-221</t>
        </is>
      </c>
      <c r="D482" s="156" t="inlineStr">
        <is>
          <t>PC 200-8MI</t>
        </is>
      </c>
      <c r="E482" s="156" t="inlineStr">
        <is>
          <t>Excavator</t>
        </is>
      </c>
      <c r="F482" s="156" t="inlineStr">
        <is>
          <t>General Jetty</t>
        </is>
      </c>
      <c r="G482" s="182" t="n">
        <v>4.1</v>
      </c>
      <c r="H482" s="182" t="n">
        <v>0</v>
      </c>
      <c r="I482" s="182" t="n">
        <v>0</v>
      </c>
      <c r="J482" s="182" t="n">
        <v>0</v>
      </c>
      <c r="K482" s="182" t="n">
        <v>7.9</v>
      </c>
      <c r="L482" s="182" t="n">
        <v>12</v>
      </c>
      <c r="M482" s="182" t="n">
        <v>0</v>
      </c>
      <c r="N482" s="182" t="n">
        <v>0</v>
      </c>
      <c r="O482" s="183" t="n">
        <v>0</v>
      </c>
      <c r="P482" s="183" t="n">
        <v>0</v>
      </c>
      <c r="Q482" s="184" t="n">
        <v>0</v>
      </c>
      <c r="R482" s="184" t="n">
        <v>0</v>
      </c>
      <c r="S482" s="183" t="n">
        <v>0</v>
      </c>
      <c r="T482" s="183" t="n">
        <v>0</v>
      </c>
      <c r="U482" s="182" t="n">
        <v>0</v>
      </c>
      <c r="V482" s="182" t="n">
        <v>0</v>
      </c>
      <c r="W482" s="182" t="n">
        <v>0</v>
      </c>
      <c r="X482" s="182" t="n">
        <v>1.03</v>
      </c>
      <c r="Y482" s="182" t="n">
        <v>0</v>
      </c>
      <c r="Z482" s="182" t="n">
        <v>0</v>
      </c>
      <c r="AA482" s="182" t="n">
        <v>0</v>
      </c>
      <c r="AB482" s="182" t="n">
        <v>0</v>
      </c>
      <c r="AC482" s="182" t="n">
        <v>0</v>
      </c>
      <c r="AD482" s="182" t="n">
        <v>0</v>
      </c>
      <c r="AE482" s="182" t="n">
        <v>0</v>
      </c>
      <c r="AF482" s="182" t="n">
        <v>0</v>
      </c>
      <c r="AG482" s="182" t="n">
        <v>0</v>
      </c>
      <c r="AH482" s="182" t="n">
        <v>0</v>
      </c>
      <c r="AI482" s="182" t="n">
        <v>0</v>
      </c>
      <c r="AJ482" s="182" t="n">
        <v>0</v>
      </c>
      <c r="AK482" s="182" t="n">
        <v>6.79</v>
      </c>
      <c r="AL482" s="182" t="n">
        <v>0</v>
      </c>
      <c r="AM482" s="182" t="n">
        <v>0.08</v>
      </c>
      <c r="AN482" s="182" t="n">
        <v>0</v>
      </c>
    </row>
    <row r="483">
      <c r="A483" s="155" t="n">
        <v>46084</v>
      </c>
      <c r="B483" s="156" t="inlineStr">
        <is>
          <t>DS</t>
        </is>
      </c>
      <c r="C483" s="156" t="inlineStr">
        <is>
          <t>EX-331</t>
        </is>
      </c>
      <c r="D483" s="156" t="inlineStr">
        <is>
          <t>PC 300-8MO</t>
        </is>
      </c>
      <c r="E483" s="156" t="inlineStr">
        <is>
          <t>Excavator</t>
        </is>
      </c>
      <c r="F483" s="156" t="inlineStr"/>
      <c r="G483" s="182" t="n">
        <v>0</v>
      </c>
      <c r="H483" s="182" t="n">
        <v>0</v>
      </c>
      <c r="I483" s="182" t="n">
        <v>12</v>
      </c>
      <c r="J483" s="182" t="n">
        <v>12</v>
      </c>
      <c r="K483" s="182" t="n">
        <v>0</v>
      </c>
      <c r="L483" s="182" t="n">
        <v>12</v>
      </c>
      <c r="M483" s="182" t="n">
        <v>0</v>
      </c>
      <c r="N483" s="182" t="n">
        <v>0</v>
      </c>
      <c r="O483" s="183" t="n">
        <v>0</v>
      </c>
      <c r="P483" s="183" t="n">
        <v>0</v>
      </c>
      <c r="Q483" s="184" t="n">
        <v>0</v>
      </c>
      <c r="R483" s="184" t="n">
        <v>0</v>
      </c>
      <c r="S483" s="183" t="n">
        <v>0</v>
      </c>
      <c r="T483" s="183" t="n">
        <v>0</v>
      </c>
      <c r="U483" s="182" t="n">
        <v>0</v>
      </c>
      <c r="V483" s="182" t="n">
        <v>0</v>
      </c>
      <c r="W483" s="182" t="n">
        <v>0</v>
      </c>
      <c r="X483" s="182" t="n">
        <v>0</v>
      </c>
      <c r="Y483" s="182" t="n">
        <v>0</v>
      </c>
      <c r="Z483" s="182" t="n">
        <v>0</v>
      </c>
      <c r="AA483" s="182" t="n">
        <v>0</v>
      </c>
      <c r="AB483" s="182" t="n">
        <v>0</v>
      </c>
      <c r="AC483" s="182" t="n">
        <v>0</v>
      </c>
      <c r="AD483" s="182" t="n">
        <v>0</v>
      </c>
      <c r="AE483" s="182" t="n">
        <v>0</v>
      </c>
      <c r="AF483" s="182" t="n">
        <v>0</v>
      </c>
      <c r="AG483" s="182" t="n">
        <v>0</v>
      </c>
      <c r="AH483" s="182" t="n">
        <v>0</v>
      </c>
      <c r="AI483" s="182" t="n">
        <v>0</v>
      </c>
      <c r="AJ483" s="182" t="n">
        <v>0</v>
      </c>
      <c r="AK483" s="182" t="n">
        <v>0</v>
      </c>
      <c r="AL483" s="182" t="n">
        <v>0</v>
      </c>
      <c r="AM483" s="182" t="n">
        <v>0</v>
      </c>
      <c r="AN483" s="182" t="n">
        <v>0</v>
      </c>
    </row>
    <row r="484">
      <c r="A484" s="155" t="n">
        <v>46084</v>
      </c>
      <c r="B484" s="156" t="inlineStr">
        <is>
          <t>DS</t>
        </is>
      </c>
      <c r="C484" s="156" t="inlineStr">
        <is>
          <t>EX-334</t>
        </is>
      </c>
      <c r="D484" s="156" t="inlineStr">
        <is>
          <t>PC 300-8MO</t>
        </is>
      </c>
      <c r="E484" s="156" t="inlineStr">
        <is>
          <t>Excavator</t>
        </is>
      </c>
      <c r="F484" s="156" t="inlineStr">
        <is>
          <t>Support Washing Plant</t>
        </is>
      </c>
      <c r="G484" s="182" t="n">
        <v>10.59</v>
      </c>
      <c r="H484" s="182" t="n">
        <v>0</v>
      </c>
      <c r="I484" s="182" t="n">
        <v>0</v>
      </c>
      <c r="J484" s="182" t="n">
        <v>0</v>
      </c>
      <c r="K484" s="182" t="n">
        <v>1.41</v>
      </c>
      <c r="L484" s="182" t="n">
        <v>12</v>
      </c>
      <c r="M484" s="182" t="n">
        <v>0</v>
      </c>
      <c r="N484" s="182" t="n">
        <v>0</v>
      </c>
      <c r="O484" s="183" t="n">
        <v>0</v>
      </c>
      <c r="P484" s="183" t="n">
        <v>0</v>
      </c>
      <c r="Q484" s="184" t="n">
        <v>0</v>
      </c>
      <c r="R484" s="184" t="n">
        <v>0</v>
      </c>
      <c r="S484" s="183" t="n">
        <v>0</v>
      </c>
      <c r="T484" s="183" t="n">
        <v>0</v>
      </c>
      <c r="U484" s="182" t="n">
        <v>0</v>
      </c>
      <c r="V484" s="182" t="n">
        <v>0</v>
      </c>
      <c r="W484" s="182" t="n">
        <v>0</v>
      </c>
      <c r="X484" s="182" t="n">
        <v>1.01</v>
      </c>
      <c r="Y484" s="182" t="n">
        <v>0</v>
      </c>
      <c r="Z484" s="182" t="n">
        <v>0</v>
      </c>
      <c r="AA484" s="182" t="n">
        <v>0</v>
      </c>
      <c r="AB484" s="182" t="n">
        <v>0</v>
      </c>
      <c r="AC484" s="182" t="n">
        <v>0</v>
      </c>
      <c r="AD484" s="182" t="n">
        <v>0</v>
      </c>
      <c r="AE484" s="182" t="n">
        <v>0</v>
      </c>
      <c r="AF484" s="182" t="n">
        <v>0</v>
      </c>
      <c r="AG484" s="182" t="n">
        <v>0</v>
      </c>
      <c r="AH484" s="182" t="n">
        <v>0</v>
      </c>
      <c r="AI484" s="182" t="n">
        <v>0</v>
      </c>
      <c r="AJ484" s="182" t="n">
        <v>0</v>
      </c>
      <c r="AK484" s="182" t="n">
        <v>0.32</v>
      </c>
      <c r="AL484" s="182" t="n">
        <v>0</v>
      </c>
      <c r="AM484" s="182" t="n">
        <v>0.08</v>
      </c>
      <c r="AN484" s="182" t="n">
        <v>0</v>
      </c>
    </row>
    <row r="485">
      <c r="A485" s="155" t="n">
        <v>46084</v>
      </c>
      <c r="B485" s="156" t="inlineStr">
        <is>
          <t>DS</t>
        </is>
      </c>
      <c r="C485" s="156" t="inlineStr">
        <is>
          <t>EX-332</t>
        </is>
      </c>
      <c r="D485" s="156" t="inlineStr">
        <is>
          <t>PC 300-8MO</t>
        </is>
      </c>
      <c r="E485" s="156" t="inlineStr">
        <is>
          <t>Excavator</t>
        </is>
      </c>
      <c r="F485" s="156" t="inlineStr"/>
      <c r="G485" s="182" t="n">
        <v>0</v>
      </c>
      <c r="H485" s="182" t="n">
        <v>0</v>
      </c>
      <c r="I485" s="182" t="n">
        <v>12</v>
      </c>
      <c r="J485" s="182" t="n">
        <v>12</v>
      </c>
      <c r="K485" s="182" t="n">
        <v>0</v>
      </c>
      <c r="L485" s="182" t="n">
        <v>12</v>
      </c>
      <c r="M485" s="182" t="n">
        <v>0</v>
      </c>
      <c r="N485" s="182" t="n">
        <v>0</v>
      </c>
      <c r="O485" s="183" t="n">
        <v>0</v>
      </c>
      <c r="P485" s="183" t="n">
        <v>0</v>
      </c>
      <c r="Q485" s="184" t="n">
        <v>0</v>
      </c>
      <c r="R485" s="184" t="n">
        <v>0</v>
      </c>
      <c r="S485" s="183" t="n">
        <v>0</v>
      </c>
      <c r="T485" s="183" t="n">
        <v>0</v>
      </c>
      <c r="U485" s="182" t="n">
        <v>0</v>
      </c>
      <c r="V485" s="182" t="n">
        <v>0</v>
      </c>
      <c r="W485" s="182" t="n">
        <v>0</v>
      </c>
      <c r="X485" s="182" t="n">
        <v>0</v>
      </c>
      <c r="Y485" s="182" t="n">
        <v>0</v>
      </c>
      <c r="Z485" s="182" t="n">
        <v>0</v>
      </c>
      <c r="AA485" s="182" t="n">
        <v>0</v>
      </c>
      <c r="AB485" s="182" t="n">
        <v>0</v>
      </c>
      <c r="AC485" s="182" t="n">
        <v>0</v>
      </c>
      <c r="AD485" s="182" t="n">
        <v>0</v>
      </c>
      <c r="AE485" s="182" t="n">
        <v>0</v>
      </c>
      <c r="AF485" s="182" t="n">
        <v>0</v>
      </c>
      <c r="AG485" s="182" t="n">
        <v>0</v>
      </c>
      <c r="AH485" s="182" t="n">
        <v>0</v>
      </c>
      <c r="AI485" s="182" t="n">
        <v>0</v>
      </c>
      <c r="AJ485" s="182" t="n">
        <v>0</v>
      </c>
      <c r="AK485" s="182" t="n">
        <v>0</v>
      </c>
      <c r="AL485" s="182" t="n">
        <v>0</v>
      </c>
      <c r="AM485" s="182" t="n">
        <v>0</v>
      </c>
      <c r="AN485" s="182" t="n">
        <v>0</v>
      </c>
    </row>
    <row r="486">
      <c r="A486" s="155" t="n">
        <v>46084</v>
      </c>
      <c r="B486" s="156" t="inlineStr">
        <is>
          <t>DS</t>
        </is>
      </c>
      <c r="C486" s="156" t="inlineStr">
        <is>
          <t>EX-333</t>
        </is>
      </c>
      <c r="D486" s="156" t="inlineStr">
        <is>
          <t>PC 300-8MO</t>
        </is>
      </c>
      <c r="E486" s="156" t="inlineStr">
        <is>
          <t>Excavator</t>
        </is>
      </c>
      <c r="F486" s="156" t="inlineStr">
        <is>
          <t>Loading Coal S60 &amp; Cleaning Coal</t>
        </is>
      </c>
      <c r="G486" s="182" t="n">
        <v>9.890000000000001</v>
      </c>
      <c r="H486" s="182" t="n">
        <v>1.72</v>
      </c>
      <c r="I486" s="182" t="n">
        <v>0</v>
      </c>
      <c r="J486" s="182" t="n">
        <v>1.72</v>
      </c>
      <c r="K486" s="182" t="n">
        <v>0.39</v>
      </c>
      <c r="L486" s="182" t="n">
        <v>12</v>
      </c>
      <c r="M486" s="182" t="n">
        <v>0</v>
      </c>
      <c r="N486" s="182" t="n">
        <v>0.8</v>
      </c>
      <c r="O486" s="183" t="n">
        <v>0</v>
      </c>
      <c r="P486" s="183" t="n">
        <v>5</v>
      </c>
      <c r="Q486" s="184" t="n">
        <v>0</v>
      </c>
      <c r="R486" s="184" t="n">
        <v>93.5</v>
      </c>
      <c r="S486" s="183" t="n">
        <v>0</v>
      </c>
      <c r="T486" s="183" t="n">
        <v>0</v>
      </c>
      <c r="U486" s="182" t="n">
        <v>0</v>
      </c>
      <c r="V486" s="182" t="n">
        <v>0</v>
      </c>
      <c r="W486" s="182" t="n">
        <v>0</v>
      </c>
      <c r="X486" s="182" t="n">
        <v>0</v>
      </c>
      <c r="Y486" s="182" t="n">
        <v>0</v>
      </c>
      <c r="Z486" s="182" t="n">
        <v>0</v>
      </c>
      <c r="AA486" s="182" t="n">
        <v>0</v>
      </c>
      <c r="AB486" s="182" t="n">
        <v>0</v>
      </c>
      <c r="AC486" s="182" t="n">
        <v>0</v>
      </c>
      <c r="AD486" s="182" t="n">
        <v>0</v>
      </c>
      <c r="AE486" s="182" t="n">
        <v>0</v>
      </c>
      <c r="AF486" s="182" t="n">
        <v>0</v>
      </c>
      <c r="AG486" s="182" t="n">
        <v>0</v>
      </c>
      <c r="AH486" s="182" t="n">
        <v>0</v>
      </c>
      <c r="AI486" s="182" t="n">
        <v>0</v>
      </c>
      <c r="AJ486" s="182" t="n">
        <v>0</v>
      </c>
      <c r="AK486" s="182" t="n">
        <v>0</v>
      </c>
      <c r="AL486" s="182" t="n">
        <v>0</v>
      </c>
      <c r="AM486" s="182" t="n">
        <v>0.39</v>
      </c>
      <c r="AN486" s="182" t="n">
        <v>0</v>
      </c>
    </row>
    <row r="487">
      <c r="A487" s="155" t="n">
        <v>46084</v>
      </c>
      <c r="B487" s="156" t="inlineStr">
        <is>
          <t>DS</t>
        </is>
      </c>
      <c r="C487" s="156" t="inlineStr">
        <is>
          <t>EX-336</t>
        </is>
      </c>
      <c r="D487" s="156" t="inlineStr">
        <is>
          <t>PC 300-8MO</t>
        </is>
      </c>
      <c r="E487" s="156" t="inlineStr">
        <is>
          <t>Excavator</t>
        </is>
      </c>
      <c r="F487" s="156" t="inlineStr">
        <is>
          <t>Cleaning Coal</t>
        </is>
      </c>
      <c r="G487" s="182" t="n">
        <v>3.08</v>
      </c>
      <c r="H487" s="182" t="n">
        <v>0</v>
      </c>
      <c r="I487" s="182" t="n">
        <v>8.92</v>
      </c>
      <c r="J487" s="182" t="n">
        <v>8.92</v>
      </c>
      <c r="K487" s="182" t="n">
        <v>0</v>
      </c>
      <c r="L487" s="182" t="n">
        <v>12</v>
      </c>
      <c r="M487" s="182" t="n">
        <v>0</v>
      </c>
      <c r="N487" s="182" t="n">
        <v>0</v>
      </c>
      <c r="O487" s="183" t="n">
        <v>0</v>
      </c>
      <c r="P487" s="183" t="n">
        <v>0</v>
      </c>
      <c r="Q487" s="184" t="n">
        <v>0</v>
      </c>
      <c r="R487" s="184" t="n">
        <v>0</v>
      </c>
      <c r="S487" s="183" t="n">
        <v>0</v>
      </c>
      <c r="T487" s="183" t="n">
        <v>0</v>
      </c>
      <c r="U487" s="182" t="n">
        <v>0</v>
      </c>
      <c r="V487" s="182" t="n">
        <v>0</v>
      </c>
      <c r="W487" s="182" t="n">
        <v>0</v>
      </c>
      <c r="X487" s="182" t="n">
        <v>0</v>
      </c>
      <c r="Y487" s="182" t="n">
        <v>0</v>
      </c>
      <c r="Z487" s="182" t="n">
        <v>0</v>
      </c>
      <c r="AA487" s="182" t="n">
        <v>0</v>
      </c>
      <c r="AB487" s="182" t="n">
        <v>0</v>
      </c>
      <c r="AC487" s="182" t="n">
        <v>0</v>
      </c>
      <c r="AD487" s="182" t="n">
        <v>0</v>
      </c>
      <c r="AE487" s="182" t="n">
        <v>0</v>
      </c>
      <c r="AF487" s="182" t="n">
        <v>0</v>
      </c>
      <c r="AG487" s="182" t="n">
        <v>0</v>
      </c>
      <c r="AH487" s="182" t="n">
        <v>0</v>
      </c>
      <c r="AI487" s="182" t="n">
        <v>0</v>
      </c>
      <c r="AJ487" s="182" t="n">
        <v>0</v>
      </c>
      <c r="AK487" s="182" t="n">
        <v>0</v>
      </c>
      <c r="AL487" s="182" t="n">
        <v>0</v>
      </c>
      <c r="AM487" s="182" t="n">
        <v>0</v>
      </c>
      <c r="AN487" s="182" t="n">
        <v>0</v>
      </c>
    </row>
    <row r="488">
      <c r="A488" s="155" t="n">
        <v>46084</v>
      </c>
      <c r="B488" s="156" t="inlineStr">
        <is>
          <t>DS</t>
        </is>
      </c>
      <c r="C488" s="156" t="inlineStr">
        <is>
          <t>EX-335</t>
        </is>
      </c>
      <c r="D488" s="156" t="inlineStr">
        <is>
          <t>PC 300-8MO</t>
        </is>
      </c>
      <c r="E488" s="156" t="inlineStr">
        <is>
          <t>Excavator</t>
        </is>
      </c>
      <c r="F488" s="156" t="inlineStr">
        <is>
          <t>Loading Coal S45 &amp; Cleaning Coal</t>
        </is>
      </c>
      <c r="G488" s="182" t="n">
        <v>10.75</v>
      </c>
      <c r="H488" s="182" t="n">
        <v>0</v>
      </c>
      <c r="I488" s="182" t="n">
        <v>0</v>
      </c>
      <c r="J488" s="182" t="n">
        <v>0</v>
      </c>
      <c r="K488" s="182" t="n">
        <v>1.25</v>
      </c>
      <c r="L488" s="182" t="n">
        <v>12</v>
      </c>
      <c r="M488" s="182" t="n">
        <v>0</v>
      </c>
      <c r="N488" s="182" t="n">
        <v>3.01</v>
      </c>
      <c r="O488" s="183" t="n">
        <v>0</v>
      </c>
      <c r="P488" s="183" t="n">
        <v>15</v>
      </c>
      <c r="Q488" s="184" t="n">
        <v>0</v>
      </c>
      <c r="R488" s="184" t="n">
        <v>229.5</v>
      </c>
      <c r="S488" s="183" t="n">
        <v>0</v>
      </c>
      <c r="T488" s="183" t="n">
        <v>0</v>
      </c>
      <c r="U488" s="182" t="n">
        <v>0.21</v>
      </c>
      <c r="V488" s="182" t="n">
        <v>0</v>
      </c>
      <c r="W488" s="182" t="n">
        <v>0</v>
      </c>
      <c r="X488" s="182" t="n">
        <v>0.96</v>
      </c>
      <c r="Y488" s="182" t="n">
        <v>0</v>
      </c>
      <c r="Z488" s="182" t="n">
        <v>0</v>
      </c>
      <c r="AA488" s="182" t="n">
        <v>0</v>
      </c>
      <c r="AB488" s="182" t="n">
        <v>0</v>
      </c>
      <c r="AC488" s="182" t="n">
        <v>0</v>
      </c>
      <c r="AD488" s="182" t="n">
        <v>0</v>
      </c>
      <c r="AE488" s="182" t="n">
        <v>0</v>
      </c>
      <c r="AF488" s="182" t="n">
        <v>0</v>
      </c>
      <c r="AG488" s="182" t="n">
        <v>0</v>
      </c>
      <c r="AH488" s="182" t="n">
        <v>0</v>
      </c>
      <c r="AI488" s="182" t="n">
        <v>0</v>
      </c>
      <c r="AJ488" s="182" t="n">
        <v>0</v>
      </c>
      <c r="AK488" s="182" t="n">
        <v>0</v>
      </c>
      <c r="AL488" s="182" t="n">
        <v>0</v>
      </c>
      <c r="AM488" s="182" t="n">
        <v>0.08</v>
      </c>
      <c r="AN488" s="182" t="n">
        <v>0</v>
      </c>
    </row>
    <row r="489">
      <c r="A489" s="155" t="n">
        <v>46084</v>
      </c>
      <c r="B489" s="156" t="inlineStr">
        <is>
          <t>DS</t>
        </is>
      </c>
      <c r="C489" s="156" t="inlineStr">
        <is>
          <t>EX-754</t>
        </is>
      </c>
      <c r="D489" s="156" t="inlineStr">
        <is>
          <t>SY750H-PRO</t>
        </is>
      </c>
      <c r="E489" s="156" t="inlineStr">
        <is>
          <t>Excavator</t>
        </is>
      </c>
      <c r="F489" s="156" t="inlineStr">
        <is>
          <t>Loading OB</t>
        </is>
      </c>
      <c r="G489" s="182" t="n">
        <v>8.800000000000001</v>
      </c>
      <c r="H489" s="182" t="n">
        <v>0</v>
      </c>
      <c r="I489" s="182" t="n">
        <v>0</v>
      </c>
      <c r="J489" s="182" t="n">
        <v>0</v>
      </c>
      <c r="K489" s="182" t="n">
        <v>3.2</v>
      </c>
      <c r="L489" s="182" t="n">
        <v>12</v>
      </c>
      <c r="M489" s="182" t="n">
        <v>8.65</v>
      </c>
      <c r="N489" s="182" t="n">
        <v>0</v>
      </c>
      <c r="O489" s="183" t="n">
        <v>126</v>
      </c>
      <c r="P489" s="183" t="n">
        <v>0</v>
      </c>
      <c r="Q489" s="184" t="n">
        <v>2454.8</v>
      </c>
      <c r="R489" s="184" t="n">
        <v>0</v>
      </c>
      <c r="S489" s="183" t="n">
        <v>0</v>
      </c>
      <c r="T489" s="183" t="n">
        <v>0</v>
      </c>
      <c r="U489" s="182" t="n">
        <v>2.24</v>
      </c>
      <c r="V489" s="182" t="n">
        <v>0</v>
      </c>
      <c r="W489" s="182" t="n">
        <v>0</v>
      </c>
      <c r="X489" s="182" t="n">
        <v>0.89</v>
      </c>
      <c r="Y489" s="182" t="n">
        <v>0</v>
      </c>
      <c r="Z489" s="182" t="n">
        <v>0</v>
      </c>
      <c r="AA489" s="182" t="n">
        <v>0</v>
      </c>
      <c r="AB489" s="182" t="n">
        <v>0</v>
      </c>
      <c r="AC489" s="182" t="n">
        <v>0</v>
      </c>
      <c r="AD489" s="182" t="n">
        <v>0</v>
      </c>
      <c r="AE489" s="182" t="n">
        <v>0</v>
      </c>
      <c r="AF489" s="182" t="n">
        <v>0</v>
      </c>
      <c r="AG489" s="182" t="n">
        <v>0</v>
      </c>
      <c r="AH489" s="182" t="n">
        <v>0</v>
      </c>
      <c r="AI489" s="182" t="n">
        <v>0</v>
      </c>
      <c r="AJ489" s="182" t="n">
        <v>0</v>
      </c>
      <c r="AK489" s="182" t="n">
        <v>0</v>
      </c>
      <c r="AL489" s="182" t="n">
        <v>0</v>
      </c>
      <c r="AM489" s="182" t="n">
        <v>0.07000000000000001</v>
      </c>
      <c r="AN489" s="182" t="n">
        <v>0</v>
      </c>
    </row>
    <row r="490">
      <c r="A490" s="155" t="n">
        <v>46084</v>
      </c>
      <c r="B490" s="156" t="inlineStr">
        <is>
          <t>DS</t>
        </is>
      </c>
      <c r="C490" s="156" t="inlineStr">
        <is>
          <t>EX-755</t>
        </is>
      </c>
      <c r="D490" s="156" t="inlineStr">
        <is>
          <t>SY750H-PRO</t>
        </is>
      </c>
      <c r="E490" s="156" t="inlineStr">
        <is>
          <t>Excavator</t>
        </is>
      </c>
      <c r="F490" s="156" t="inlineStr">
        <is>
          <t>Loading OB</t>
        </is>
      </c>
      <c r="G490" s="182" t="n">
        <v>9.140000000000001</v>
      </c>
      <c r="H490" s="182" t="n">
        <v>0</v>
      </c>
      <c r="I490" s="182" t="n">
        <v>0</v>
      </c>
      <c r="J490" s="182" t="n">
        <v>0</v>
      </c>
      <c r="K490" s="182" t="n">
        <v>2.86</v>
      </c>
      <c r="L490" s="182" t="n">
        <v>12</v>
      </c>
      <c r="M490" s="182" t="n">
        <v>8.92</v>
      </c>
      <c r="N490" s="182" t="n">
        <v>0</v>
      </c>
      <c r="O490" s="183" t="n">
        <v>132</v>
      </c>
      <c r="P490" s="183" t="n">
        <v>0</v>
      </c>
      <c r="Q490" s="184" t="n">
        <v>2692.8</v>
      </c>
      <c r="R490" s="184" t="n">
        <v>0</v>
      </c>
      <c r="S490" s="183" t="n">
        <v>0</v>
      </c>
      <c r="T490" s="183" t="n">
        <v>0</v>
      </c>
      <c r="U490" s="182" t="n">
        <v>1.64</v>
      </c>
      <c r="V490" s="182" t="n">
        <v>0</v>
      </c>
      <c r="W490" s="182" t="n">
        <v>0</v>
      </c>
      <c r="X490" s="182" t="n">
        <v>1.13</v>
      </c>
      <c r="Y490" s="182" t="n">
        <v>0</v>
      </c>
      <c r="Z490" s="182" t="n">
        <v>0</v>
      </c>
      <c r="AA490" s="182" t="n">
        <v>0</v>
      </c>
      <c r="AB490" s="182" t="n">
        <v>0</v>
      </c>
      <c r="AC490" s="182" t="n">
        <v>0</v>
      </c>
      <c r="AD490" s="182" t="n">
        <v>0</v>
      </c>
      <c r="AE490" s="182" t="n">
        <v>0</v>
      </c>
      <c r="AF490" s="182" t="n">
        <v>0</v>
      </c>
      <c r="AG490" s="182" t="n">
        <v>0</v>
      </c>
      <c r="AH490" s="182" t="n">
        <v>0</v>
      </c>
      <c r="AI490" s="182" t="n">
        <v>0</v>
      </c>
      <c r="AJ490" s="182" t="n">
        <v>0</v>
      </c>
      <c r="AK490" s="182" t="n">
        <v>0</v>
      </c>
      <c r="AL490" s="182" t="n">
        <v>0</v>
      </c>
      <c r="AM490" s="182" t="n">
        <v>0.09</v>
      </c>
      <c r="AN490" s="182" t="n">
        <v>0</v>
      </c>
    </row>
    <row r="491">
      <c r="A491" s="155" t="n">
        <v>46084</v>
      </c>
      <c r="B491" s="156" t="inlineStr">
        <is>
          <t>DS</t>
        </is>
      </c>
      <c r="C491" s="156" t="inlineStr">
        <is>
          <t>EX-752</t>
        </is>
      </c>
      <c r="D491" s="156" t="inlineStr">
        <is>
          <t>SY750H-PRO</t>
        </is>
      </c>
      <c r="E491" s="156" t="inlineStr">
        <is>
          <t>Excavator</t>
        </is>
      </c>
      <c r="F491" s="156" t="inlineStr"/>
      <c r="G491" s="182" t="n">
        <v>0</v>
      </c>
      <c r="H491" s="182" t="n">
        <v>0</v>
      </c>
      <c r="I491" s="182" t="n">
        <v>12</v>
      </c>
      <c r="J491" s="182" t="n">
        <v>12</v>
      </c>
      <c r="K491" s="182" t="n">
        <v>0</v>
      </c>
      <c r="L491" s="182" t="n">
        <v>12</v>
      </c>
      <c r="M491" s="182" t="n">
        <v>0</v>
      </c>
      <c r="N491" s="182" t="n">
        <v>0</v>
      </c>
      <c r="O491" s="183" t="n">
        <v>0</v>
      </c>
      <c r="P491" s="183" t="n">
        <v>0</v>
      </c>
      <c r="Q491" s="184" t="n">
        <v>0</v>
      </c>
      <c r="R491" s="184" t="n">
        <v>0</v>
      </c>
      <c r="S491" s="183" t="n">
        <v>0</v>
      </c>
      <c r="T491" s="183" t="n">
        <v>0</v>
      </c>
      <c r="U491" s="182" t="n">
        <v>0</v>
      </c>
      <c r="V491" s="182" t="n">
        <v>0</v>
      </c>
      <c r="W491" s="182" t="n">
        <v>0</v>
      </c>
      <c r="X491" s="182" t="n">
        <v>0</v>
      </c>
      <c r="Y491" s="182" t="n">
        <v>0</v>
      </c>
      <c r="Z491" s="182" t="n">
        <v>0</v>
      </c>
      <c r="AA491" s="182" t="n">
        <v>0</v>
      </c>
      <c r="AB491" s="182" t="n">
        <v>0</v>
      </c>
      <c r="AC491" s="182" t="n">
        <v>0</v>
      </c>
      <c r="AD491" s="182" t="n">
        <v>0</v>
      </c>
      <c r="AE491" s="182" t="n">
        <v>0</v>
      </c>
      <c r="AF491" s="182" t="n">
        <v>0</v>
      </c>
      <c r="AG491" s="182" t="n">
        <v>0</v>
      </c>
      <c r="AH491" s="182" t="n">
        <v>0</v>
      </c>
      <c r="AI491" s="182" t="n">
        <v>0</v>
      </c>
      <c r="AJ491" s="182" t="n">
        <v>0</v>
      </c>
      <c r="AK491" s="182" t="n">
        <v>0</v>
      </c>
      <c r="AL491" s="182" t="n">
        <v>0</v>
      </c>
      <c r="AM491" s="182" t="n">
        <v>0</v>
      </c>
      <c r="AN491" s="182" t="n">
        <v>0</v>
      </c>
    </row>
    <row r="492">
      <c r="A492" s="155" t="n">
        <v>46084</v>
      </c>
      <c r="B492" s="156" t="inlineStr">
        <is>
          <t>DS</t>
        </is>
      </c>
      <c r="C492" s="156" t="inlineStr">
        <is>
          <t>EX-751</t>
        </is>
      </c>
      <c r="D492" s="156" t="inlineStr">
        <is>
          <t>SY750H-PRO</t>
        </is>
      </c>
      <c r="E492" s="156" t="inlineStr">
        <is>
          <t>Excavator</t>
        </is>
      </c>
      <c r="F492" s="156" t="inlineStr"/>
      <c r="G492" s="182" t="n">
        <v>0</v>
      </c>
      <c r="H492" s="182" t="n">
        <v>0</v>
      </c>
      <c r="I492" s="182" t="n">
        <v>12</v>
      </c>
      <c r="J492" s="182" t="n">
        <v>12</v>
      </c>
      <c r="K492" s="182" t="n">
        <v>0</v>
      </c>
      <c r="L492" s="182" t="n">
        <v>12</v>
      </c>
      <c r="M492" s="182" t="n">
        <v>0</v>
      </c>
      <c r="N492" s="182" t="n">
        <v>0</v>
      </c>
      <c r="O492" s="183" t="n">
        <v>0</v>
      </c>
      <c r="P492" s="183" t="n">
        <v>0</v>
      </c>
      <c r="Q492" s="184" t="n">
        <v>0</v>
      </c>
      <c r="R492" s="184" t="n">
        <v>0</v>
      </c>
      <c r="S492" s="183" t="n">
        <v>0</v>
      </c>
      <c r="T492" s="183" t="n">
        <v>0</v>
      </c>
      <c r="U492" s="182" t="n">
        <v>0</v>
      </c>
      <c r="V492" s="182" t="n">
        <v>0</v>
      </c>
      <c r="W492" s="182" t="n">
        <v>0</v>
      </c>
      <c r="X492" s="182" t="n">
        <v>0</v>
      </c>
      <c r="Y492" s="182" t="n">
        <v>0</v>
      </c>
      <c r="Z492" s="182" t="n">
        <v>0</v>
      </c>
      <c r="AA492" s="182" t="n">
        <v>0</v>
      </c>
      <c r="AB492" s="182" t="n">
        <v>0</v>
      </c>
      <c r="AC492" s="182" t="n">
        <v>0</v>
      </c>
      <c r="AD492" s="182" t="n">
        <v>0</v>
      </c>
      <c r="AE492" s="182" t="n">
        <v>0</v>
      </c>
      <c r="AF492" s="182" t="n">
        <v>0</v>
      </c>
      <c r="AG492" s="182" t="n">
        <v>0</v>
      </c>
      <c r="AH492" s="182" t="n">
        <v>0</v>
      </c>
      <c r="AI492" s="182" t="n">
        <v>0</v>
      </c>
      <c r="AJ492" s="182" t="n">
        <v>0</v>
      </c>
      <c r="AK492" s="182" t="n">
        <v>0</v>
      </c>
      <c r="AL492" s="182" t="n">
        <v>0</v>
      </c>
      <c r="AM492" s="182" t="n">
        <v>0</v>
      </c>
      <c r="AN492" s="182" t="n">
        <v>0</v>
      </c>
    </row>
    <row r="493">
      <c r="A493" s="155" t="n">
        <v>46084</v>
      </c>
      <c r="B493" s="156" t="inlineStr">
        <is>
          <t>DS</t>
        </is>
      </c>
      <c r="C493" s="156" t="inlineStr">
        <is>
          <t>EX-753</t>
        </is>
      </c>
      <c r="D493" s="156" t="inlineStr">
        <is>
          <t>SY750H-PRO</t>
        </is>
      </c>
      <c r="E493" s="156" t="inlineStr">
        <is>
          <t>Excavator</t>
        </is>
      </c>
      <c r="F493" s="156" t="inlineStr">
        <is>
          <t>Loading OB</t>
        </is>
      </c>
      <c r="G493" s="182" t="n">
        <v>2.9</v>
      </c>
      <c r="H493" s="182" t="n">
        <v>0</v>
      </c>
      <c r="I493" s="182" t="n">
        <v>0</v>
      </c>
      <c r="J493" s="182" t="n">
        <v>0</v>
      </c>
      <c r="K493" s="182" t="n">
        <v>9.1</v>
      </c>
      <c r="L493" s="182" t="n">
        <v>12</v>
      </c>
      <c r="M493" s="182" t="n">
        <v>2.76</v>
      </c>
      <c r="N493" s="182" t="n">
        <v>0</v>
      </c>
      <c r="O493" s="183" t="n">
        <v>37</v>
      </c>
      <c r="P493" s="183" t="n">
        <v>0</v>
      </c>
      <c r="Q493" s="184" t="n">
        <v>754.8</v>
      </c>
      <c r="R493" s="184" t="n">
        <v>0</v>
      </c>
      <c r="S493" s="183" t="n">
        <v>0</v>
      </c>
      <c r="T493" s="183" t="n">
        <v>0</v>
      </c>
      <c r="U493" s="182" t="n">
        <v>2.96</v>
      </c>
      <c r="V493" s="182" t="n">
        <v>0</v>
      </c>
      <c r="W493" s="182" t="n">
        <v>0</v>
      </c>
      <c r="X493" s="182" t="n">
        <v>0.98</v>
      </c>
      <c r="Y493" s="182" t="n">
        <v>0</v>
      </c>
      <c r="Z493" s="182" t="n">
        <v>0</v>
      </c>
      <c r="AA493" s="182" t="n">
        <v>0</v>
      </c>
      <c r="AB493" s="182" t="n">
        <v>0</v>
      </c>
      <c r="AC493" s="182" t="n">
        <v>0</v>
      </c>
      <c r="AD493" s="182" t="n">
        <v>0</v>
      </c>
      <c r="AE493" s="182" t="n">
        <v>0</v>
      </c>
      <c r="AF493" s="182" t="n">
        <v>0</v>
      </c>
      <c r="AG493" s="182" t="n">
        <v>0</v>
      </c>
      <c r="AH493" s="182" t="n">
        <v>0</v>
      </c>
      <c r="AI493" s="182" t="n">
        <v>0</v>
      </c>
      <c r="AJ493" s="182" t="n">
        <v>5.08</v>
      </c>
      <c r="AK493" s="182" t="n">
        <v>0</v>
      </c>
      <c r="AL493" s="182" t="n">
        <v>0</v>
      </c>
      <c r="AM493" s="182" t="n">
        <v>0.08</v>
      </c>
      <c r="AN493" s="182" t="n">
        <v>0</v>
      </c>
    </row>
    <row r="494">
      <c r="A494" s="155" t="n">
        <v>46084</v>
      </c>
      <c r="B494" s="156" t="inlineStr">
        <is>
          <t>DS</t>
        </is>
      </c>
      <c r="C494" s="156" t="inlineStr">
        <is>
          <t>GD-012</t>
        </is>
      </c>
      <c r="D494" s="156" t="inlineStr">
        <is>
          <t>STG 230C - 8S</t>
        </is>
      </c>
      <c r="E494" s="156" t="inlineStr">
        <is>
          <t>Grader</t>
        </is>
      </c>
      <c r="F494" s="156" t="inlineStr"/>
      <c r="G494" s="182" t="n">
        <v>0</v>
      </c>
      <c r="H494" s="182" t="n">
        <v>0</v>
      </c>
      <c r="I494" s="182" t="n">
        <v>0</v>
      </c>
      <c r="J494" s="182" t="n">
        <v>0</v>
      </c>
      <c r="K494" s="182" t="n">
        <v>12</v>
      </c>
      <c r="L494" s="182" t="n">
        <v>12</v>
      </c>
      <c r="M494" s="182" t="n">
        <v>0</v>
      </c>
      <c r="N494" s="182" t="n">
        <v>0</v>
      </c>
      <c r="O494" s="183" t="n">
        <v>0</v>
      </c>
      <c r="P494" s="183" t="n">
        <v>0</v>
      </c>
      <c r="Q494" s="184" t="n">
        <v>0</v>
      </c>
      <c r="R494" s="184" t="n">
        <v>0</v>
      </c>
      <c r="S494" s="183" t="n">
        <v>0</v>
      </c>
      <c r="T494" s="183" t="n">
        <v>0</v>
      </c>
      <c r="U494" s="182" t="n">
        <v>0</v>
      </c>
      <c r="V494" s="182" t="n">
        <v>0</v>
      </c>
      <c r="W494" s="182" t="n">
        <v>0</v>
      </c>
      <c r="X494" s="182" t="n">
        <v>1</v>
      </c>
      <c r="Y494" s="182" t="n">
        <v>0</v>
      </c>
      <c r="Z494" s="182" t="n">
        <v>0</v>
      </c>
      <c r="AA494" s="182" t="n">
        <v>0</v>
      </c>
      <c r="AB494" s="182" t="n">
        <v>0</v>
      </c>
      <c r="AC494" s="182" t="n">
        <v>0</v>
      </c>
      <c r="AD494" s="182" t="n">
        <v>0</v>
      </c>
      <c r="AE494" s="182" t="n">
        <v>0</v>
      </c>
      <c r="AF494" s="182" t="n">
        <v>0</v>
      </c>
      <c r="AG494" s="182" t="n">
        <v>0</v>
      </c>
      <c r="AH494" s="182" t="n">
        <v>0</v>
      </c>
      <c r="AI494" s="182" t="n">
        <v>0</v>
      </c>
      <c r="AJ494" s="182" t="n">
        <v>0</v>
      </c>
      <c r="AK494" s="182" t="n">
        <v>10.92</v>
      </c>
      <c r="AL494" s="182" t="n">
        <v>0</v>
      </c>
      <c r="AM494" s="182" t="n">
        <v>0.08</v>
      </c>
      <c r="AN494" s="182" t="n">
        <v>0</v>
      </c>
    </row>
    <row r="495">
      <c r="A495" s="155" t="n">
        <v>46084</v>
      </c>
      <c r="B495" s="156" t="inlineStr">
        <is>
          <t>DS</t>
        </is>
      </c>
      <c r="C495" s="156" t="inlineStr">
        <is>
          <t>GD-011</t>
        </is>
      </c>
      <c r="D495" s="156" t="inlineStr">
        <is>
          <t>STG 230C - 8S</t>
        </is>
      </c>
      <c r="E495" s="156" t="inlineStr">
        <is>
          <t>Grader</t>
        </is>
      </c>
      <c r="F495" s="156" t="inlineStr"/>
      <c r="G495" s="182" t="n">
        <v>0</v>
      </c>
      <c r="H495" s="182" t="n">
        <v>0</v>
      </c>
      <c r="I495" s="182" t="n">
        <v>12</v>
      </c>
      <c r="J495" s="182" t="n">
        <v>12</v>
      </c>
      <c r="K495" s="182" t="n">
        <v>0</v>
      </c>
      <c r="L495" s="182" t="n">
        <v>12</v>
      </c>
      <c r="M495" s="182" t="n">
        <v>0</v>
      </c>
      <c r="N495" s="182" t="n">
        <v>0</v>
      </c>
      <c r="O495" s="183" t="n">
        <v>0</v>
      </c>
      <c r="P495" s="183" t="n">
        <v>0</v>
      </c>
      <c r="Q495" s="184" t="n">
        <v>0</v>
      </c>
      <c r="R495" s="184" t="n">
        <v>0</v>
      </c>
      <c r="S495" s="183" t="n">
        <v>0</v>
      </c>
      <c r="T495" s="183" t="n">
        <v>0</v>
      </c>
      <c r="U495" s="182" t="n">
        <v>0</v>
      </c>
      <c r="V495" s="182" t="n">
        <v>0</v>
      </c>
      <c r="W495" s="182" t="n">
        <v>0</v>
      </c>
      <c r="X495" s="182" t="n">
        <v>0</v>
      </c>
      <c r="Y495" s="182" t="n">
        <v>0</v>
      </c>
      <c r="Z495" s="182" t="n">
        <v>0</v>
      </c>
      <c r="AA495" s="182" t="n">
        <v>0</v>
      </c>
      <c r="AB495" s="182" t="n">
        <v>0</v>
      </c>
      <c r="AC495" s="182" t="n">
        <v>0</v>
      </c>
      <c r="AD495" s="182" t="n">
        <v>0</v>
      </c>
      <c r="AE495" s="182" t="n">
        <v>0</v>
      </c>
      <c r="AF495" s="182" t="n">
        <v>0</v>
      </c>
      <c r="AG495" s="182" t="n">
        <v>0</v>
      </c>
      <c r="AH495" s="182" t="n">
        <v>0</v>
      </c>
      <c r="AI495" s="182" t="n">
        <v>0</v>
      </c>
      <c r="AJ495" s="182" t="n">
        <v>0</v>
      </c>
      <c r="AK495" s="182" t="n">
        <v>0</v>
      </c>
      <c r="AL495" s="182" t="n">
        <v>0</v>
      </c>
      <c r="AM495" s="182" t="n">
        <v>0</v>
      </c>
      <c r="AN495" s="182" t="n">
        <v>0</v>
      </c>
    </row>
    <row r="496">
      <c r="A496" s="155" t="n">
        <v>46084</v>
      </c>
      <c r="B496" s="156" t="inlineStr">
        <is>
          <t>DS</t>
        </is>
      </c>
      <c r="C496" s="156" t="inlineStr">
        <is>
          <t>GD-013</t>
        </is>
      </c>
      <c r="D496" s="156" t="inlineStr">
        <is>
          <t>STG 265C - 10</t>
        </is>
      </c>
      <c r="E496" s="156" t="inlineStr">
        <is>
          <t>Grader</t>
        </is>
      </c>
      <c r="F496" s="156" t="inlineStr">
        <is>
          <t>Road Maintenance</t>
        </is>
      </c>
      <c r="G496" s="182" t="n">
        <v>5.24</v>
      </c>
      <c r="H496" s="182" t="n">
        <v>0</v>
      </c>
      <c r="I496" s="182" t="n">
        <v>3.1</v>
      </c>
      <c r="J496" s="182" t="n">
        <v>3.1</v>
      </c>
      <c r="K496" s="182" t="n">
        <v>3.66</v>
      </c>
      <c r="L496" s="182" t="n">
        <v>12</v>
      </c>
      <c r="M496" s="182" t="n">
        <v>0</v>
      </c>
      <c r="N496" s="182" t="n">
        <v>0</v>
      </c>
      <c r="O496" s="183" t="n">
        <v>0</v>
      </c>
      <c r="P496" s="183" t="n">
        <v>0</v>
      </c>
      <c r="Q496" s="184" t="n">
        <v>0</v>
      </c>
      <c r="R496" s="184" t="n">
        <v>0</v>
      </c>
      <c r="S496" s="183" t="n">
        <v>0</v>
      </c>
      <c r="T496" s="183" t="n">
        <v>0</v>
      </c>
      <c r="U496" s="182" t="n">
        <v>2.56</v>
      </c>
      <c r="V496" s="182" t="n">
        <v>0</v>
      </c>
      <c r="W496" s="182" t="n">
        <v>0</v>
      </c>
      <c r="X496" s="182" t="n">
        <v>1.02</v>
      </c>
      <c r="Y496" s="182" t="n">
        <v>0</v>
      </c>
      <c r="Z496" s="182" t="n">
        <v>0</v>
      </c>
      <c r="AA496" s="182" t="n">
        <v>0</v>
      </c>
      <c r="AB496" s="182" t="n">
        <v>0</v>
      </c>
      <c r="AC496" s="182" t="n">
        <v>0</v>
      </c>
      <c r="AD496" s="182" t="n">
        <v>0</v>
      </c>
      <c r="AE496" s="182" t="n">
        <v>0</v>
      </c>
      <c r="AF496" s="182" t="n">
        <v>0</v>
      </c>
      <c r="AG496" s="182" t="n">
        <v>0</v>
      </c>
      <c r="AH496" s="182" t="n">
        <v>0</v>
      </c>
      <c r="AI496" s="182" t="n">
        <v>0</v>
      </c>
      <c r="AJ496" s="182" t="n">
        <v>0</v>
      </c>
      <c r="AK496" s="182" t="n">
        <v>0</v>
      </c>
      <c r="AL496" s="182" t="n">
        <v>0</v>
      </c>
      <c r="AM496" s="182" t="n">
        <v>0.08</v>
      </c>
      <c r="AN496" s="182" t="n">
        <v>0</v>
      </c>
    </row>
    <row r="497">
      <c r="A497" s="155" t="n">
        <v>46084</v>
      </c>
      <c r="B497" s="156" t="inlineStr">
        <is>
          <t>DS</t>
        </is>
      </c>
      <c r="C497" s="156" t="inlineStr">
        <is>
          <t>GD-014</t>
        </is>
      </c>
      <c r="D497" s="156" t="inlineStr">
        <is>
          <t>STG 335C - 10</t>
        </is>
      </c>
      <c r="E497" s="156" t="inlineStr">
        <is>
          <t>Grader</t>
        </is>
      </c>
      <c r="F497" s="156" t="inlineStr">
        <is>
          <t>Road Maintenance</t>
        </is>
      </c>
      <c r="G497" s="182" t="n">
        <v>5.14</v>
      </c>
      <c r="H497" s="182" t="n">
        <v>0</v>
      </c>
      <c r="I497" s="182" t="n">
        <v>4.97</v>
      </c>
      <c r="J497" s="182" t="n">
        <v>4.97</v>
      </c>
      <c r="K497" s="182" t="n">
        <v>1.89</v>
      </c>
      <c r="L497" s="182" t="n">
        <v>12</v>
      </c>
      <c r="M497" s="182" t="n">
        <v>0</v>
      </c>
      <c r="N497" s="182" t="n">
        <v>0</v>
      </c>
      <c r="O497" s="183" t="n">
        <v>0</v>
      </c>
      <c r="P497" s="183" t="n">
        <v>0</v>
      </c>
      <c r="Q497" s="184" t="n">
        <v>0</v>
      </c>
      <c r="R497" s="184" t="n">
        <v>0</v>
      </c>
      <c r="S497" s="183" t="n">
        <v>0</v>
      </c>
      <c r="T497" s="183" t="n">
        <v>0</v>
      </c>
      <c r="U497" s="182" t="n">
        <v>0.88</v>
      </c>
      <c r="V497" s="182" t="n">
        <v>0</v>
      </c>
      <c r="W497" s="182" t="n">
        <v>0</v>
      </c>
      <c r="X497" s="182" t="n">
        <v>0.93</v>
      </c>
      <c r="Y497" s="182" t="n">
        <v>0</v>
      </c>
      <c r="Z497" s="182" t="n">
        <v>0</v>
      </c>
      <c r="AA497" s="182" t="n">
        <v>0</v>
      </c>
      <c r="AB497" s="182" t="n">
        <v>0</v>
      </c>
      <c r="AC497" s="182" t="n">
        <v>0</v>
      </c>
      <c r="AD497" s="182" t="n">
        <v>0</v>
      </c>
      <c r="AE497" s="182" t="n">
        <v>0</v>
      </c>
      <c r="AF497" s="182" t="n">
        <v>0</v>
      </c>
      <c r="AG497" s="182" t="n">
        <v>0</v>
      </c>
      <c r="AH497" s="182" t="n">
        <v>0</v>
      </c>
      <c r="AI497" s="182" t="n">
        <v>0</v>
      </c>
      <c r="AJ497" s="182" t="n">
        <v>0</v>
      </c>
      <c r="AK497" s="182" t="n">
        <v>0</v>
      </c>
      <c r="AL497" s="182" t="n">
        <v>0</v>
      </c>
      <c r="AM497" s="182" t="n">
        <v>0.07000000000000001</v>
      </c>
      <c r="AN497" s="182" t="n">
        <v>0</v>
      </c>
    </row>
    <row r="498">
      <c r="A498" s="155" t="n">
        <v>46084</v>
      </c>
      <c r="B498" s="156" t="inlineStr">
        <is>
          <t>DS</t>
        </is>
      </c>
      <c r="C498" s="156" t="inlineStr">
        <is>
          <t>DT-809</t>
        </is>
      </c>
      <c r="D498" s="156" t="inlineStr">
        <is>
          <t>SKT 80S</t>
        </is>
      </c>
      <c r="E498" s="156" t="inlineStr">
        <is>
          <t>Hauler</t>
        </is>
      </c>
      <c r="F498" s="156" t="inlineStr"/>
      <c r="G498" s="182" t="n">
        <v>0</v>
      </c>
      <c r="H498" s="182" t="n">
        <v>0</v>
      </c>
      <c r="I498" s="182" t="n">
        <v>0</v>
      </c>
      <c r="J498" s="182" t="n">
        <v>0</v>
      </c>
      <c r="K498" s="182" t="n">
        <v>12</v>
      </c>
      <c r="L498" s="182" t="n">
        <v>12</v>
      </c>
      <c r="M498" s="182" t="n">
        <v>0</v>
      </c>
      <c r="N498" s="182" t="n">
        <v>0</v>
      </c>
      <c r="O498" s="183" t="n">
        <v>0</v>
      </c>
      <c r="P498" s="183" t="n">
        <v>0</v>
      </c>
      <c r="Q498" s="184" t="n">
        <v>0</v>
      </c>
      <c r="R498" s="184" t="n">
        <v>0</v>
      </c>
      <c r="S498" s="183" t="n">
        <v>0</v>
      </c>
      <c r="T498" s="183" t="n">
        <v>0</v>
      </c>
      <c r="U498" s="182" t="n">
        <v>0</v>
      </c>
      <c r="V498" s="182" t="n">
        <v>0</v>
      </c>
      <c r="W498" s="182" t="n">
        <v>0</v>
      </c>
      <c r="X498" s="182" t="n">
        <v>1</v>
      </c>
      <c r="Y498" s="182" t="n">
        <v>0</v>
      </c>
      <c r="Z498" s="182" t="n">
        <v>0</v>
      </c>
      <c r="AA498" s="182" t="n">
        <v>0</v>
      </c>
      <c r="AB498" s="182" t="n">
        <v>0</v>
      </c>
      <c r="AC498" s="182" t="n">
        <v>0</v>
      </c>
      <c r="AD498" s="182" t="n">
        <v>0</v>
      </c>
      <c r="AE498" s="182" t="n">
        <v>0</v>
      </c>
      <c r="AF498" s="182" t="n">
        <v>0</v>
      </c>
      <c r="AG498" s="182" t="n">
        <v>0</v>
      </c>
      <c r="AH498" s="182" t="n">
        <v>0</v>
      </c>
      <c r="AI498" s="182" t="n">
        <v>0</v>
      </c>
      <c r="AJ498" s="182" t="n">
        <v>0</v>
      </c>
      <c r="AK498" s="182" t="n">
        <v>10.92</v>
      </c>
      <c r="AL498" s="182" t="n">
        <v>0</v>
      </c>
      <c r="AM498" s="182" t="n">
        <v>0.08</v>
      </c>
      <c r="AN498" s="182" t="n">
        <v>0</v>
      </c>
    </row>
    <row r="499">
      <c r="A499" s="155" t="n">
        <v>46084</v>
      </c>
      <c r="B499" s="156" t="inlineStr">
        <is>
          <t>DS</t>
        </is>
      </c>
      <c r="C499" s="156" t="inlineStr">
        <is>
          <t>DT-806</t>
        </is>
      </c>
      <c r="D499" s="156" t="inlineStr">
        <is>
          <t>SKT 80S</t>
        </is>
      </c>
      <c r="E499" s="156" t="inlineStr">
        <is>
          <t>Hauler</t>
        </is>
      </c>
      <c r="F499" s="156" t="inlineStr"/>
      <c r="G499" s="182" t="n">
        <v>0</v>
      </c>
      <c r="H499" s="182" t="n">
        <v>0</v>
      </c>
      <c r="I499" s="182" t="n">
        <v>0</v>
      </c>
      <c r="J499" s="182" t="n">
        <v>0</v>
      </c>
      <c r="K499" s="182" t="n">
        <v>12</v>
      </c>
      <c r="L499" s="182" t="n">
        <v>12</v>
      </c>
      <c r="M499" s="182" t="n">
        <v>0</v>
      </c>
      <c r="N499" s="182" t="n">
        <v>0</v>
      </c>
      <c r="O499" s="183" t="n">
        <v>0</v>
      </c>
      <c r="P499" s="183" t="n">
        <v>0</v>
      </c>
      <c r="Q499" s="184" t="n">
        <v>0</v>
      </c>
      <c r="R499" s="184" t="n">
        <v>0</v>
      </c>
      <c r="S499" s="183" t="n">
        <v>0</v>
      </c>
      <c r="T499" s="183" t="n">
        <v>0</v>
      </c>
      <c r="U499" s="182" t="n">
        <v>0</v>
      </c>
      <c r="V499" s="182" t="n">
        <v>0</v>
      </c>
      <c r="W499" s="182" t="n">
        <v>0</v>
      </c>
      <c r="X499" s="182" t="n">
        <v>1</v>
      </c>
      <c r="Y499" s="182" t="n">
        <v>0</v>
      </c>
      <c r="Z499" s="182" t="n">
        <v>0</v>
      </c>
      <c r="AA499" s="182" t="n">
        <v>0</v>
      </c>
      <c r="AB499" s="182" t="n">
        <v>0</v>
      </c>
      <c r="AC499" s="182" t="n">
        <v>0</v>
      </c>
      <c r="AD499" s="182" t="n">
        <v>0</v>
      </c>
      <c r="AE499" s="182" t="n">
        <v>0</v>
      </c>
      <c r="AF499" s="182" t="n">
        <v>0</v>
      </c>
      <c r="AG499" s="182" t="n">
        <v>0</v>
      </c>
      <c r="AH499" s="182" t="n">
        <v>0</v>
      </c>
      <c r="AI499" s="182" t="n">
        <v>0</v>
      </c>
      <c r="AJ499" s="182" t="n">
        <v>0</v>
      </c>
      <c r="AK499" s="182" t="n">
        <v>10.92</v>
      </c>
      <c r="AL499" s="182" t="n">
        <v>0</v>
      </c>
      <c r="AM499" s="182" t="n">
        <v>0.08</v>
      </c>
      <c r="AN499" s="182" t="n">
        <v>0</v>
      </c>
    </row>
    <row r="500">
      <c r="A500" s="155" t="n">
        <v>46084</v>
      </c>
      <c r="B500" s="156" t="inlineStr">
        <is>
          <t>DS</t>
        </is>
      </c>
      <c r="C500" s="156" t="inlineStr">
        <is>
          <t>DT-805</t>
        </is>
      </c>
      <c r="D500" s="156" t="inlineStr">
        <is>
          <t>SKT 80S</t>
        </is>
      </c>
      <c r="E500" s="156" t="inlineStr">
        <is>
          <t>Hauler</t>
        </is>
      </c>
      <c r="F500" s="156" t="inlineStr"/>
      <c r="G500" s="182" t="n">
        <v>0</v>
      </c>
      <c r="H500" s="182" t="n">
        <v>0</v>
      </c>
      <c r="I500" s="182" t="n">
        <v>0</v>
      </c>
      <c r="J500" s="182" t="n">
        <v>0</v>
      </c>
      <c r="K500" s="182" t="n">
        <v>12</v>
      </c>
      <c r="L500" s="182" t="n">
        <v>12</v>
      </c>
      <c r="M500" s="182" t="n">
        <v>0</v>
      </c>
      <c r="N500" s="182" t="n">
        <v>0</v>
      </c>
      <c r="O500" s="183" t="n">
        <v>0</v>
      </c>
      <c r="P500" s="183" t="n">
        <v>0</v>
      </c>
      <c r="Q500" s="184" t="n">
        <v>0</v>
      </c>
      <c r="R500" s="184" t="n">
        <v>0</v>
      </c>
      <c r="S500" s="183" t="n">
        <v>0</v>
      </c>
      <c r="T500" s="183" t="n">
        <v>0</v>
      </c>
      <c r="U500" s="182" t="n">
        <v>0</v>
      </c>
      <c r="V500" s="182" t="n">
        <v>0</v>
      </c>
      <c r="W500" s="182" t="n">
        <v>0</v>
      </c>
      <c r="X500" s="182" t="n">
        <v>1</v>
      </c>
      <c r="Y500" s="182" t="n">
        <v>0</v>
      </c>
      <c r="Z500" s="182" t="n">
        <v>0</v>
      </c>
      <c r="AA500" s="182" t="n">
        <v>0</v>
      </c>
      <c r="AB500" s="182" t="n">
        <v>0</v>
      </c>
      <c r="AC500" s="182" t="n">
        <v>0</v>
      </c>
      <c r="AD500" s="182" t="n">
        <v>0</v>
      </c>
      <c r="AE500" s="182" t="n">
        <v>0</v>
      </c>
      <c r="AF500" s="182" t="n">
        <v>0</v>
      </c>
      <c r="AG500" s="182" t="n">
        <v>0</v>
      </c>
      <c r="AH500" s="182" t="n">
        <v>0</v>
      </c>
      <c r="AI500" s="182" t="n">
        <v>0</v>
      </c>
      <c r="AJ500" s="182" t="n">
        <v>0</v>
      </c>
      <c r="AK500" s="182" t="n">
        <v>10.92</v>
      </c>
      <c r="AL500" s="182" t="n">
        <v>0</v>
      </c>
      <c r="AM500" s="182" t="n">
        <v>0.08</v>
      </c>
      <c r="AN500" s="182" t="n">
        <v>0</v>
      </c>
    </row>
    <row r="501">
      <c r="A501" s="155" t="n">
        <v>46084</v>
      </c>
      <c r="B501" s="156" t="inlineStr">
        <is>
          <t>DS</t>
        </is>
      </c>
      <c r="C501" s="156" t="inlineStr">
        <is>
          <t>DT-801</t>
        </is>
      </c>
      <c r="D501" s="156" t="inlineStr">
        <is>
          <t>SKT 80S</t>
        </is>
      </c>
      <c r="E501" s="156" t="inlineStr">
        <is>
          <t>Hauler</t>
        </is>
      </c>
      <c r="F501" s="156" t="inlineStr"/>
      <c r="G501" s="182" t="n">
        <v>0</v>
      </c>
      <c r="H501" s="182" t="n">
        <v>0</v>
      </c>
      <c r="I501" s="182" t="n">
        <v>0</v>
      </c>
      <c r="J501" s="182" t="n">
        <v>0</v>
      </c>
      <c r="K501" s="182" t="n">
        <v>12</v>
      </c>
      <c r="L501" s="182" t="n">
        <v>12</v>
      </c>
      <c r="M501" s="182" t="n">
        <v>0</v>
      </c>
      <c r="N501" s="182" t="n">
        <v>0</v>
      </c>
      <c r="O501" s="183" t="n">
        <v>0</v>
      </c>
      <c r="P501" s="183" t="n">
        <v>0</v>
      </c>
      <c r="Q501" s="184" t="n">
        <v>0</v>
      </c>
      <c r="R501" s="184" t="n">
        <v>0</v>
      </c>
      <c r="S501" s="183" t="n">
        <v>0</v>
      </c>
      <c r="T501" s="183" t="n">
        <v>0</v>
      </c>
      <c r="U501" s="182" t="n">
        <v>0</v>
      </c>
      <c r="V501" s="182" t="n">
        <v>0</v>
      </c>
      <c r="W501" s="182" t="n">
        <v>0</v>
      </c>
      <c r="X501" s="182" t="n">
        <v>1</v>
      </c>
      <c r="Y501" s="182" t="n">
        <v>0</v>
      </c>
      <c r="Z501" s="182" t="n">
        <v>0</v>
      </c>
      <c r="AA501" s="182" t="n">
        <v>0</v>
      </c>
      <c r="AB501" s="182" t="n">
        <v>0</v>
      </c>
      <c r="AC501" s="182" t="n">
        <v>0</v>
      </c>
      <c r="AD501" s="182" t="n">
        <v>0</v>
      </c>
      <c r="AE501" s="182" t="n">
        <v>0</v>
      </c>
      <c r="AF501" s="182" t="n">
        <v>0</v>
      </c>
      <c r="AG501" s="182" t="n">
        <v>0</v>
      </c>
      <c r="AH501" s="182" t="n">
        <v>0</v>
      </c>
      <c r="AI501" s="182" t="n">
        <v>0</v>
      </c>
      <c r="AJ501" s="182" t="n">
        <v>0</v>
      </c>
      <c r="AK501" s="182" t="n">
        <v>10.92</v>
      </c>
      <c r="AL501" s="182" t="n">
        <v>0</v>
      </c>
      <c r="AM501" s="182" t="n">
        <v>0.08</v>
      </c>
      <c r="AN501" s="182" t="n">
        <v>0</v>
      </c>
    </row>
    <row r="502">
      <c r="A502" s="155" t="n">
        <v>46084</v>
      </c>
      <c r="B502" s="156" t="inlineStr">
        <is>
          <t>DS</t>
        </is>
      </c>
      <c r="C502" s="156" t="inlineStr">
        <is>
          <t>DT-808</t>
        </is>
      </c>
      <c r="D502" s="156" t="inlineStr">
        <is>
          <t>SKT 80S</t>
        </is>
      </c>
      <c r="E502" s="156" t="inlineStr">
        <is>
          <t>Hauler</t>
        </is>
      </c>
      <c r="F502" s="156" t="inlineStr">
        <is>
          <t>Hauling Lumpur dari Washing Plant</t>
        </is>
      </c>
      <c r="G502" s="182" t="n">
        <v>6.74</v>
      </c>
      <c r="H502" s="182" t="n">
        <v>0</v>
      </c>
      <c r="I502" s="182" t="n">
        <v>0</v>
      </c>
      <c r="J502" s="182" t="n">
        <v>0</v>
      </c>
      <c r="K502" s="182" t="n">
        <v>5.26</v>
      </c>
      <c r="L502" s="182" t="n">
        <v>12</v>
      </c>
      <c r="M502" s="182" t="n">
        <v>0</v>
      </c>
      <c r="N502" s="182" t="n">
        <v>0</v>
      </c>
      <c r="O502" s="183" t="n">
        <v>0</v>
      </c>
      <c r="P502" s="183" t="n">
        <v>0</v>
      </c>
      <c r="Q502" s="184" t="n">
        <v>0</v>
      </c>
      <c r="R502" s="184" t="n">
        <v>0</v>
      </c>
      <c r="S502" s="183" t="n">
        <v>0</v>
      </c>
      <c r="T502" s="183" t="n">
        <v>0</v>
      </c>
      <c r="U502" s="182" t="n">
        <v>0</v>
      </c>
      <c r="V502" s="182" t="n">
        <v>0</v>
      </c>
      <c r="W502" s="182" t="n">
        <v>0</v>
      </c>
      <c r="X502" s="182" t="n">
        <v>0.99</v>
      </c>
      <c r="Y502" s="182" t="n">
        <v>0</v>
      </c>
      <c r="Z502" s="182" t="n">
        <v>0</v>
      </c>
      <c r="AA502" s="182" t="n">
        <v>0</v>
      </c>
      <c r="AB502" s="182" t="n">
        <v>0</v>
      </c>
      <c r="AC502" s="182" t="n">
        <v>0</v>
      </c>
      <c r="AD502" s="182" t="n">
        <v>0</v>
      </c>
      <c r="AE502" s="182" t="n">
        <v>0</v>
      </c>
      <c r="AF502" s="182" t="n">
        <v>0</v>
      </c>
      <c r="AG502" s="182" t="n">
        <v>0</v>
      </c>
      <c r="AH502" s="182" t="n">
        <v>0</v>
      </c>
      <c r="AI502" s="182" t="n">
        <v>0</v>
      </c>
      <c r="AJ502" s="182" t="n">
        <v>0</v>
      </c>
      <c r="AK502" s="182" t="n">
        <v>4.19</v>
      </c>
      <c r="AL502" s="182" t="n">
        <v>0</v>
      </c>
      <c r="AM502" s="182" t="n">
        <v>0.08</v>
      </c>
      <c r="AN502" s="182" t="n">
        <v>0</v>
      </c>
    </row>
    <row r="503">
      <c r="A503" s="155" t="n">
        <v>46084</v>
      </c>
      <c r="B503" s="156" t="inlineStr">
        <is>
          <t>DS</t>
        </is>
      </c>
      <c r="C503" s="156" t="inlineStr">
        <is>
          <t>DT-811</t>
        </is>
      </c>
      <c r="D503" s="156" t="inlineStr">
        <is>
          <t>SKT 80S</t>
        </is>
      </c>
      <c r="E503" s="156" t="inlineStr">
        <is>
          <t>Hauler</t>
        </is>
      </c>
      <c r="F503" s="156" t="inlineStr"/>
      <c r="G503" s="182" t="n">
        <v>0</v>
      </c>
      <c r="H503" s="182" t="n">
        <v>0</v>
      </c>
      <c r="I503" s="182" t="n">
        <v>12</v>
      </c>
      <c r="J503" s="182" t="n">
        <v>12</v>
      </c>
      <c r="K503" s="182" t="n">
        <v>0</v>
      </c>
      <c r="L503" s="182" t="n">
        <v>12</v>
      </c>
      <c r="M503" s="182" t="n">
        <v>0</v>
      </c>
      <c r="N503" s="182" t="n">
        <v>0</v>
      </c>
      <c r="O503" s="183" t="n">
        <v>0</v>
      </c>
      <c r="P503" s="183" t="n">
        <v>0</v>
      </c>
      <c r="Q503" s="184" t="n">
        <v>0</v>
      </c>
      <c r="R503" s="184" t="n">
        <v>0</v>
      </c>
      <c r="S503" s="183" t="n">
        <v>0</v>
      </c>
      <c r="T503" s="183" t="n">
        <v>0</v>
      </c>
      <c r="U503" s="182" t="n">
        <v>0</v>
      </c>
      <c r="V503" s="182" t="n">
        <v>0</v>
      </c>
      <c r="W503" s="182" t="n">
        <v>0</v>
      </c>
      <c r="X503" s="182" t="n">
        <v>0</v>
      </c>
      <c r="Y503" s="182" t="n">
        <v>0</v>
      </c>
      <c r="Z503" s="182" t="n">
        <v>0</v>
      </c>
      <c r="AA503" s="182" t="n">
        <v>0</v>
      </c>
      <c r="AB503" s="182" t="n">
        <v>0</v>
      </c>
      <c r="AC503" s="182" t="n">
        <v>0</v>
      </c>
      <c r="AD503" s="182" t="n">
        <v>0</v>
      </c>
      <c r="AE503" s="182" t="n">
        <v>0</v>
      </c>
      <c r="AF503" s="182" t="n">
        <v>0</v>
      </c>
      <c r="AG503" s="182" t="n">
        <v>0</v>
      </c>
      <c r="AH503" s="182" t="n">
        <v>0</v>
      </c>
      <c r="AI503" s="182" t="n">
        <v>0</v>
      </c>
      <c r="AJ503" s="182" t="n">
        <v>0</v>
      </c>
      <c r="AK503" s="182" t="n">
        <v>0</v>
      </c>
      <c r="AL503" s="182" t="n">
        <v>0</v>
      </c>
      <c r="AM503" s="182" t="n">
        <v>0</v>
      </c>
      <c r="AN503" s="182" t="n">
        <v>0</v>
      </c>
    </row>
    <row r="504">
      <c r="A504" s="155" t="n">
        <v>46084</v>
      </c>
      <c r="B504" s="156" t="inlineStr">
        <is>
          <t>DS</t>
        </is>
      </c>
      <c r="C504" s="156" t="inlineStr">
        <is>
          <t>DT-802</t>
        </is>
      </c>
      <c r="D504" s="156" t="inlineStr">
        <is>
          <t>SKT 80S</t>
        </is>
      </c>
      <c r="E504" s="156" t="inlineStr">
        <is>
          <t>Hauler</t>
        </is>
      </c>
      <c r="F504" s="156" t="inlineStr">
        <is>
          <t>Hauling Coal</t>
        </is>
      </c>
      <c r="G504" s="182" t="n">
        <v>0.9</v>
      </c>
      <c r="H504" s="182" t="n">
        <v>0</v>
      </c>
      <c r="I504" s="182" t="n">
        <v>0</v>
      </c>
      <c r="J504" s="182" t="n">
        <v>0</v>
      </c>
      <c r="K504" s="182" t="n">
        <v>11.1</v>
      </c>
      <c r="L504" s="182" t="n">
        <v>12</v>
      </c>
      <c r="M504" s="182" t="n">
        <v>0</v>
      </c>
      <c r="N504" s="182" t="n">
        <v>0.9</v>
      </c>
      <c r="O504" s="183" t="n">
        <v>0</v>
      </c>
      <c r="P504" s="183" t="n">
        <v>1</v>
      </c>
      <c r="Q504" s="184" t="n">
        <v>0</v>
      </c>
      <c r="R504" s="184" t="n">
        <v>15.3</v>
      </c>
      <c r="S504" s="183" t="n">
        <v>0</v>
      </c>
      <c r="T504" s="183" t="n">
        <v>0</v>
      </c>
      <c r="U504" s="182" t="n">
        <v>0</v>
      </c>
      <c r="V504" s="182" t="n">
        <v>0</v>
      </c>
      <c r="W504" s="182" t="n">
        <v>0</v>
      </c>
      <c r="X504" s="182" t="n">
        <v>0.97</v>
      </c>
      <c r="Y504" s="182" t="n">
        <v>0</v>
      </c>
      <c r="Z504" s="182" t="n">
        <v>0</v>
      </c>
      <c r="AA504" s="182" t="n">
        <v>0</v>
      </c>
      <c r="AB504" s="182" t="n">
        <v>0</v>
      </c>
      <c r="AC504" s="182" t="n">
        <v>0</v>
      </c>
      <c r="AD504" s="182" t="n">
        <v>0</v>
      </c>
      <c r="AE504" s="182" t="n">
        <v>0</v>
      </c>
      <c r="AF504" s="182" t="n">
        <v>0</v>
      </c>
      <c r="AG504" s="182" t="n">
        <v>0</v>
      </c>
      <c r="AH504" s="182" t="n">
        <v>0</v>
      </c>
      <c r="AI504" s="182" t="n">
        <v>0</v>
      </c>
      <c r="AJ504" s="182" t="n">
        <v>0</v>
      </c>
      <c r="AK504" s="182" t="n">
        <v>10.05</v>
      </c>
      <c r="AL504" s="182" t="n">
        <v>0</v>
      </c>
      <c r="AM504" s="182" t="n">
        <v>0.08</v>
      </c>
      <c r="AN504" s="182" t="n">
        <v>0</v>
      </c>
    </row>
    <row r="505">
      <c r="A505" s="155" t="n">
        <v>46084</v>
      </c>
      <c r="B505" s="156" t="inlineStr">
        <is>
          <t>DS</t>
        </is>
      </c>
      <c r="C505" s="156" t="inlineStr">
        <is>
          <t>DT-807</t>
        </is>
      </c>
      <c r="D505" s="156" t="inlineStr">
        <is>
          <t>SKT 80S</t>
        </is>
      </c>
      <c r="E505" s="156" t="inlineStr">
        <is>
          <t>Hauler</t>
        </is>
      </c>
      <c r="F505" s="156" t="inlineStr">
        <is>
          <t>HM Loncat</t>
        </is>
      </c>
      <c r="G505" s="182" t="n">
        <v>2.75</v>
      </c>
      <c r="H505" s="182" t="n">
        <v>0</v>
      </c>
      <c r="I505" s="182" t="n">
        <v>4.78</v>
      </c>
      <c r="J505" s="182" t="n">
        <v>4.78</v>
      </c>
      <c r="K505" s="182" t="n">
        <v>4.47</v>
      </c>
      <c r="L505" s="182" t="n">
        <v>12</v>
      </c>
      <c r="M505" s="182" t="n">
        <v>0</v>
      </c>
      <c r="N505" s="182" t="n">
        <v>0</v>
      </c>
      <c r="O505" s="183" t="n">
        <v>0</v>
      </c>
      <c r="P505" s="183" t="n">
        <v>0</v>
      </c>
      <c r="Q505" s="184" t="n">
        <v>0</v>
      </c>
      <c r="R505" s="184" t="n">
        <v>0</v>
      </c>
      <c r="S505" s="183" t="n">
        <v>0</v>
      </c>
      <c r="T505" s="183" t="n">
        <v>0</v>
      </c>
      <c r="U505" s="182" t="n">
        <v>0</v>
      </c>
      <c r="V505" s="182" t="n">
        <v>0</v>
      </c>
      <c r="W505" s="182" t="n">
        <v>0</v>
      </c>
      <c r="X505" s="182" t="n">
        <v>0.95</v>
      </c>
      <c r="Y505" s="182" t="n">
        <v>0</v>
      </c>
      <c r="Z505" s="182" t="n">
        <v>0</v>
      </c>
      <c r="AA505" s="182" t="n">
        <v>0</v>
      </c>
      <c r="AB505" s="182" t="n">
        <v>0</v>
      </c>
      <c r="AC505" s="182" t="n">
        <v>0</v>
      </c>
      <c r="AD505" s="182" t="n">
        <v>0</v>
      </c>
      <c r="AE505" s="182" t="n">
        <v>0</v>
      </c>
      <c r="AF505" s="182" t="n">
        <v>0</v>
      </c>
      <c r="AG505" s="182" t="n">
        <v>0</v>
      </c>
      <c r="AH505" s="182" t="n">
        <v>0</v>
      </c>
      <c r="AI505" s="182" t="n">
        <v>0</v>
      </c>
      <c r="AJ505" s="182" t="n">
        <v>0</v>
      </c>
      <c r="AK505" s="182" t="n">
        <v>3.44</v>
      </c>
      <c r="AL505" s="182" t="n">
        <v>0</v>
      </c>
      <c r="AM505" s="182" t="n">
        <v>0.08</v>
      </c>
      <c r="AN505" s="182" t="n">
        <v>0</v>
      </c>
    </row>
    <row r="506">
      <c r="A506" s="155" t="n">
        <v>46084</v>
      </c>
      <c r="B506" s="156" t="inlineStr">
        <is>
          <t>DS</t>
        </is>
      </c>
      <c r="C506" s="156" t="inlineStr">
        <is>
          <t>DT-812</t>
        </is>
      </c>
      <c r="D506" s="156" t="inlineStr">
        <is>
          <t>SKT 80S</t>
        </is>
      </c>
      <c r="E506" s="156" t="inlineStr">
        <is>
          <t>Hauler</t>
        </is>
      </c>
      <c r="F506" s="156" t="inlineStr">
        <is>
          <t>Hauling Coal</t>
        </is>
      </c>
      <c r="G506" s="182" t="n">
        <v>3.86</v>
      </c>
      <c r="H506" s="182" t="n">
        <v>0</v>
      </c>
      <c r="I506" s="182" t="n">
        <v>0</v>
      </c>
      <c r="J506" s="182" t="n">
        <v>0</v>
      </c>
      <c r="K506" s="182" t="n">
        <v>8.140000000000001</v>
      </c>
      <c r="L506" s="182" t="n">
        <v>12</v>
      </c>
      <c r="M506" s="182" t="n">
        <v>0</v>
      </c>
      <c r="N506" s="182" t="n">
        <v>3.86</v>
      </c>
      <c r="O506" s="183" t="n">
        <v>0</v>
      </c>
      <c r="P506" s="183" t="n">
        <v>7</v>
      </c>
      <c r="Q506" s="184" t="n">
        <v>0</v>
      </c>
      <c r="R506" s="184" t="n">
        <v>107.1</v>
      </c>
      <c r="S506" s="183" t="n">
        <v>0</v>
      </c>
      <c r="T506" s="183" t="n">
        <v>0</v>
      </c>
      <c r="U506" s="182" t="n">
        <v>0</v>
      </c>
      <c r="V506" s="182" t="n">
        <v>0</v>
      </c>
      <c r="W506" s="182" t="n">
        <v>0</v>
      </c>
      <c r="X506" s="182" t="n">
        <v>1.02</v>
      </c>
      <c r="Y506" s="182" t="n">
        <v>0</v>
      </c>
      <c r="Z506" s="182" t="n">
        <v>0</v>
      </c>
      <c r="AA506" s="182" t="n">
        <v>0</v>
      </c>
      <c r="AB506" s="182" t="n">
        <v>0</v>
      </c>
      <c r="AC506" s="182" t="n">
        <v>0</v>
      </c>
      <c r="AD506" s="182" t="n">
        <v>0</v>
      </c>
      <c r="AE506" s="182" t="n">
        <v>0</v>
      </c>
      <c r="AF506" s="182" t="n">
        <v>0</v>
      </c>
      <c r="AG506" s="182" t="n">
        <v>0</v>
      </c>
      <c r="AH506" s="182" t="n">
        <v>0</v>
      </c>
      <c r="AI506" s="182" t="n">
        <v>0</v>
      </c>
      <c r="AJ506" s="182" t="n">
        <v>0</v>
      </c>
      <c r="AK506" s="182" t="n">
        <v>7.04</v>
      </c>
      <c r="AL506" s="182" t="n">
        <v>0</v>
      </c>
      <c r="AM506" s="182" t="n">
        <v>0.08</v>
      </c>
      <c r="AN506" s="182" t="n">
        <v>0</v>
      </c>
    </row>
    <row r="507">
      <c r="A507" s="155" t="n">
        <v>46084</v>
      </c>
      <c r="B507" s="156" t="inlineStr">
        <is>
          <t>DS</t>
        </is>
      </c>
      <c r="C507" s="156" t="inlineStr">
        <is>
          <t>DT-803</t>
        </is>
      </c>
      <c r="D507" s="156" t="inlineStr">
        <is>
          <t>SKT 80S</t>
        </is>
      </c>
      <c r="E507" s="156" t="inlineStr">
        <is>
          <t>Hauler</t>
        </is>
      </c>
      <c r="F507" s="156" t="inlineStr"/>
      <c r="G507" s="182" t="n">
        <v>0</v>
      </c>
      <c r="H507" s="182" t="n">
        <v>0</v>
      </c>
      <c r="I507" s="182" t="n">
        <v>0</v>
      </c>
      <c r="J507" s="182" t="n">
        <v>0</v>
      </c>
      <c r="K507" s="182" t="n">
        <v>12</v>
      </c>
      <c r="L507" s="182" t="n">
        <v>12</v>
      </c>
      <c r="M507" s="182" t="n">
        <v>0</v>
      </c>
      <c r="N507" s="182" t="n">
        <v>0</v>
      </c>
      <c r="O507" s="183" t="n">
        <v>0</v>
      </c>
      <c r="P507" s="183" t="n">
        <v>0</v>
      </c>
      <c r="Q507" s="184" t="n">
        <v>0</v>
      </c>
      <c r="R507" s="184" t="n">
        <v>0</v>
      </c>
      <c r="S507" s="183" t="n">
        <v>0</v>
      </c>
      <c r="T507" s="183" t="n">
        <v>0</v>
      </c>
      <c r="U507" s="182" t="n">
        <v>0</v>
      </c>
      <c r="V507" s="182" t="n">
        <v>0</v>
      </c>
      <c r="W507" s="182" t="n">
        <v>0</v>
      </c>
      <c r="X507" s="182" t="n">
        <v>1</v>
      </c>
      <c r="Y507" s="182" t="n">
        <v>0</v>
      </c>
      <c r="Z507" s="182" t="n">
        <v>0</v>
      </c>
      <c r="AA507" s="182" t="n">
        <v>0</v>
      </c>
      <c r="AB507" s="182" t="n">
        <v>0</v>
      </c>
      <c r="AC507" s="182" t="n">
        <v>0</v>
      </c>
      <c r="AD507" s="182" t="n">
        <v>0</v>
      </c>
      <c r="AE507" s="182" t="n">
        <v>0</v>
      </c>
      <c r="AF507" s="182" t="n">
        <v>0</v>
      </c>
      <c r="AG507" s="182" t="n">
        <v>0</v>
      </c>
      <c r="AH507" s="182" t="n">
        <v>0</v>
      </c>
      <c r="AI507" s="182" t="n">
        <v>0</v>
      </c>
      <c r="AJ507" s="182" t="n">
        <v>0</v>
      </c>
      <c r="AK507" s="182" t="n">
        <v>10.92</v>
      </c>
      <c r="AL507" s="182" t="n">
        <v>0</v>
      </c>
      <c r="AM507" s="182" t="n">
        <v>0.08</v>
      </c>
      <c r="AN507" s="182" t="n">
        <v>0</v>
      </c>
    </row>
    <row r="508">
      <c r="A508" s="155" t="n">
        <v>46084</v>
      </c>
      <c r="B508" s="156" t="inlineStr">
        <is>
          <t>DS</t>
        </is>
      </c>
      <c r="C508" s="156" t="inlineStr">
        <is>
          <t>DT-810</t>
        </is>
      </c>
      <c r="D508" s="156" t="inlineStr">
        <is>
          <t>SKT 80S</t>
        </is>
      </c>
      <c r="E508" s="156" t="inlineStr">
        <is>
          <t>Hauler</t>
        </is>
      </c>
      <c r="F508" s="156" t="inlineStr">
        <is>
          <t>Hauling Coal</t>
        </is>
      </c>
      <c r="G508" s="182" t="n">
        <v>4.05</v>
      </c>
      <c r="H508" s="182" t="n">
        <v>0</v>
      </c>
      <c r="I508" s="182" t="n">
        <v>0</v>
      </c>
      <c r="J508" s="182" t="n">
        <v>0</v>
      </c>
      <c r="K508" s="182" t="n">
        <v>7.95</v>
      </c>
      <c r="L508" s="182" t="n">
        <v>12</v>
      </c>
      <c r="M508" s="182" t="n">
        <v>0</v>
      </c>
      <c r="N508" s="182" t="n">
        <v>4.05</v>
      </c>
      <c r="O508" s="183" t="n">
        <v>0</v>
      </c>
      <c r="P508" s="183" t="n">
        <v>9</v>
      </c>
      <c r="Q508" s="184" t="n">
        <v>0</v>
      </c>
      <c r="R508" s="184" t="n">
        <v>137.7</v>
      </c>
      <c r="S508" s="183" t="n">
        <v>0</v>
      </c>
      <c r="T508" s="183" t="n">
        <v>0</v>
      </c>
      <c r="U508" s="182" t="n">
        <v>0</v>
      </c>
      <c r="V508" s="182" t="n">
        <v>0</v>
      </c>
      <c r="W508" s="182" t="n">
        <v>0</v>
      </c>
      <c r="X508" s="182" t="n">
        <v>0.99</v>
      </c>
      <c r="Y508" s="182" t="n">
        <v>0</v>
      </c>
      <c r="Z508" s="182" t="n">
        <v>0</v>
      </c>
      <c r="AA508" s="182" t="n">
        <v>0</v>
      </c>
      <c r="AB508" s="182" t="n">
        <v>0</v>
      </c>
      <c r="AC508" s="182" t="n">
        <v>0</v>
      </c>
      <c r="AD508" s="182" t="n">
        <v>0</v>
      </c>
      <c r="AE508" s="182" t="n">
        <v>0</v>
      </c>
      <c r="AF508" s="182" t="n">
        <v>0</v>
      </c>
      <c r="AG508" s="182" t="n">
        <v>0</v>
      </c>
      <c r="AH508" s="182" t="n">
        <v>0</v>
      </c>
      <c r="AI508" s="182" t="n">
        <v>0</v>
      </c>
      <c r="AJ508" s="182" t="n">
        <v>0</v>
      </c>
      <c r="AK508" s="182" t="n">
        <v>6.88</v>
      </c>
      <c r="AL508" s="182" t="n">
        <v>0</v>
      </c>
      <c r="AM508" s="182" t="n">
        <v>0.08</v>
      </c>
      <c r="AN508" s="182" t="n">
        <v>0</v>
      </c>
    </row>
    <row r="509">
      <c r="A509" s="155" t="n">
        <v>46084</v>
      </c>
      <c r="B509" s="156" t="inlineStr">
        <is>
          <t>DS</t>
        </is>
      </c>
      <c r="C509" s="156" t="inlineStr">
        <is>
          <t>DT-804</t>
        </is>
      </c>
      <c r="D509" s="156" t="inlineStr">
        <is>
          <t>SKT 80S</t>
        </is>
      </c>
      <c r="E509" s="156" t="inlineStr">
        <is>
          <t>Hauler</t>
        </is>
      </c>
      <c r="F509" s="156" t="inlineStr">
        <is>
          <t>Hauling Lumpur dari Washing Plant</t>
        </is>
      </c>
      <c r="G509" s="182" t="n">
        <v>6.73</v>
      </c>
      <c r="H509" s="182" t="n">
        <v>0</v>
      </c>
      <c r="I509" s="182" t="n">
        <v>0</v>
      </c>
      <c r="J509" s="182" t="n">
        <v>0</v>
      </c>
      <c r="K509" s="182" t="n">
        <v>5.27</v>
      </c>
      <c r="L509" s="182" t="n">
        <v>12</v>
      </c>
      <c r="M509" s="182" t="n">
        <v>0</v>
      </c>
      <c r="N509" s="182" t="n">
        <v>0</v>
      </c>
      <c r="O509" s="183" t="n">
        <v>0</v>
      </c>
      <c r="P509" s="183" t="n">
        <v>0</v>
      </c>
      <c r="Q509" s="184" t="n">
        <v>0</v>
      </c>
      <c r="R509" s="184" t="n">
        <v>0</v>
      </c>
      <c r="S509" s="183" t="n">
        <v>0</v>
      </c>
      <c r="T509" s="183" t="n">
        <v>0</v>
      </c>
      <c r="U509" s="182" t="n">
        <v>0</v>
      </c>
      <c r="V509" s="182" t="n">
        <v>0</v>
      </c>
      <c r="W509" s="182" t="n">
        <v>0</v>
      </c>
      <c r="X509" s="182" t="n">
        <v>1.05</v>
      </c>
      <c r="Y509" s="182" t="n">
        <v>0</v>
      </c>
      <c r="Z509" s="182" t="n">
        <v>0</v>
      </c>
      <c r="AA509" s="182" t="n">
        <v>0</v>
      </c>
      <c r="AB509" s="182" t="n">
        <v>0</v>
      </c>
      <c r="AC509" s="182" t="n">
        <v>0</v>
      </c>
      <c r="AD509" s="182" t="n">
        <v>0</v>
      </c>
      <c r="AE509" s="182" t="n">
        <v>0</v>
      </c>
      <c r="AF509" s="182" t="n">
        <v>0</v>
      </c>
      <c r="AG509" s="182" t="n">
        <v>0</v>
      </c>
      <c r="AH509" s="182" t="n">
        <v>0</v>
      </c>
      <c r="AI509" s="182" t="n">
        <v>0</v>
      </c>
      <c r="AJ509" s="182" t="n">
        <v>0</v>
      </c>
      <c r="AK509" s="182" t="n">
        <v>4.13</v>
      </c>
      <c r="AL509" s="182" t="n">
        <v>0</v>
      </c>
      <c r="AM509" s="182" t="n">
        <v>0.08</v>
      </c>
      <c r="AN509" s="182" t="n">
        <v>0</v>
      </c>
    </row>
    <row r="510">
      <c r="A510" s="155" t="n">
        <v>46084</v>
      </c>
      <c r="B510" s="156" t="inlineStr">
        <is>
          <t>DS</t>
        </is>
      </c>
      <c r="C510" s="156" t="inlineStr">
        <is>
          <t>DT-505</t>
        </is>
      </c>
      <c r="D510" s="156" t="inlineStr">
        <is>
          <t>SKT 105S</t>
        </is>
      </c>
      <c r="E510" s="156" t="inlineStr">
        <is>
          <t>Hauler</t>
        </is>
      </c>
      <c r="F510" s="156" t="inlineStr">
        <is>
          <t>Hauling OB &amp; Coal</t>
        </is>
      </c>
      <c r="G510" s="182" t="n">
        <v>7.92</v>
      </c>
      <c r="H510" s="182" t="n">
        <v>0</v>
      </c>
      <c r="I510" s="182" t="n">
        <v>0</v>
      </c>
      <c r="J510" s="182" t="n">
        <v>0</v>
      </c>
      <c r="K510" s="182" t="n">
        <v>4.08</v>
      </c>
      <c r="L510" s="182" t="n">
        <v>12</v>
      </c>
      <c r="M510" s="182" t="n">
        <v>7.6</v>
      </c>
      <c r="N510" s="182" t="n">
        <v>0.33</v>
      </c>
      <c r="O510" s="183" t="n">
        <v>24</v>
      </c>
      <c r="P510" s="183" t="n">
        <v>1</v>
      </c>
      <c r="Q510" s="184" t="n">
        <v>476.9</v>
      </c>
      <c r="R510" s="184" t="n">
        <v>18.7</v>
      </c>
      <c r="S510" s="183" t="n">
        <v>0</v>
      </c>
      <c r="T510" s="183" t="n">
        <v>0</v>
      </c>
      <c r="U510" s="182" t="n">
        <v>2.94</v>
      </c>
      <c r="V510" s="182" t="n">
        <v>0</v>
      </c>
      <c r="W510" s="182" t="n">
        <v>0</v>
      </c>
      <c r="X510" s="182" t="n">
        <v>0.97</v>
      </c>
      <c r="Y510" s="182" t="n">
        <v>0</v>
      </c>
      <c r="Z510" s="182" t="n">
        <v>0</v>
      </c>
      <c r="AA510" s="182" t="n">
        <v>0</v>
      </c>
      <c r="AB510" s="182" t="n">
        <v>0</v>
      </c>
      <c r="AC510" s="182" t="n">
        <v>0</v>
      </c>
      <c r="AD510" s="182" t="n">
        <v>0</v>
      </c>
      <c r="AE510" s="182" t="n">
        <v>0</v>
      </c>
      <c r="AF510" s="182" t="n">
        <v>0</v>
      </c>
      <c r="AG510" s="182" t="n">
        <v>0</v>
      </c>
      <c r="AH510" s="182" t="n">
        <v>0.09</v>
      </c>
      <c r="AI510" s="182" t="n">
        <v>0</v>
      </c>
      <c r="AJ510" s="182" t="n">
        <v>0</v>
      </c>
      <c r="AK510" s="182" t="n">
        <v>0</v>
      </c>
      <c r="AL510" s="182" t="n">
        <v>0</v>
      </c>
      <c r="AM510" s="182" t="n">
        <v>0.08</v>
      </c>
      <c r="AN510" s="182" t="n">
        <v>0</v>
      </c>
    </row>
    <row r="511">
      <c r="A511" s="155" t="n">
        <v>46084</v>
      </c>
      <c r="B511" s="156" t="inlineStr">
        <is>
          <t>DS</t>
        </is>
      </c>
      <c r="C511" s="156" t="inlineStr">
        <is>
          <t>DT-530</t>
        </is>
      </c>
      <c r="D511" s="156" t="inlineStr">
        <is>
          <t>SKT 105S</t>
        </is>
      </c>
      <c r="E511" s="156" t="inlineStr">
        <is>
          <t>Hauler</t>
        </is>
      </c>
      <c r="F511" s="156" t="inlineStr"/>
      <c r="G511" s="182" t="n">
        <v>0</v>
      </c>
      <c r="H511" s="182" t="n">
        <v>0</v>
      </c>
      <c r="I511" s="182" t="n">
        <v>12</v>
      </c>
      <c r="J511" s="182" t="n">
        <v>12</v>
      </c>
      <c r="K511" s="182" t="n">
        <v>0</v>
      </c>
      <c r="L511" s="182" t="n">
        <v>12</v>
      </c>
      <c r="M511" s="182" t="n">
        <v>0</v>
      </c>
      <c r="N511" s="182" t="n">
        <v>0</v>
      </c>
      <c r="O511" s="183" t="n">
        <v>0</v>
      </c>
      <c r="P511" s="183" t="n">
        <v>0</v>
      </c>
      <c r="Q511" s="184" t="n">
        <v>0</v>
      </c>
      <c r="R511" s="184" t="n">
        <v>0</v>
      </c>
      <c r="S511" s="183" t="n">
        <v>0</v>
      </c>
      <c r="T511" s="183" t="n">
        <v>0</v>
      </c>
      <c r="U511" s="182" t="n">
        <v>0</v>
      </c>
      <c r="V511" s="182" t="n">
        <v>0</v>
      </c>
      <c r="W511" s="182" t="n">
        <v>0</v>
      </c>
      <c r="X511" s="182" t="n">
        <v>0</v>
      </c>
      <c r="Y511" s="182" t="n">
        <v>0</v>
      </c>
      <c r="Z511" s="182" t="n">
        <v>0</v>
      </c>
      <c r="AA511" s="182" t="n">
        <v>0</v>
      </c>
      <c r="AB511" s="182" t="n">
        <v>0</v>
      </c>
      <c r="AC511" s="182" t="n">
        <v>0</v>
      </c>
      <c r="AD511" s="182" t="n">
        <v>0</v>
      </c>
      <c r="AE511" s="182" t="n">
        <v>0</v>
      </c>
      <c r="AF511" s="182" t="n">
        <v>0</v>
      </c>
      <c r="AG511" s="182" t="n">
        <v>0</v>
      </c>
      <c r="AH511" s="182" t="n">
        <v>0</v>
      </c>
      <c r="AI511" s="182" t="n">
        <v>0</v>
      </c>
      <c r="AJ511" s="182" t="n">
        <v>0</v>
      </c>
      <c r="AK511" s="182" t="n">
        <v>0</v>
      </c>
      <c r="AL511" s="182" t="n">
        <v>0</v>
      </c>
      <c r="AM511" s="182" t="n">
        <v>0</v>
      </c>
      <c r="AN511" s="182" t="n">
        <v>0</v>
      </c>
    </row>
    <row r="512">
      <c r="A512" s="155" t="n">
        <v>46084</v>
      </c>
      <c r="B512" s="156" t="inlineStr">
        <is>
          <t>DS</t>
        </is>
      </c>
      <c r="C512" s="156" t="inlineStr">
        <is>
          <t>DT-525</t>
        </is>
      </c>
      <c r="D512" s="156" t="inlineStr">
        <is>
          <t>SKT 105S</t>
        </is>
      </c>
      <c r="E512" s="156" t="inlineStr">
        <is>
          <t>Hauler</t>
        </is>
      </c>
      <c r="F512" s="156" t="inlineStr"/>
      <c r="G512" s="182" t="n">
        <v>0</v>
      </c>
      <c r="H512" s="182" t="n">
        <v>0</v>
      </c>
      <c r="I512" s="182" t="n">
        <v>12</v>
      </c>
      <c r="J512" s="182" t="n">
        <v>12</v>
      </c>
      <c r="K512" s="182" t="n">
        <v>0</v>
      </c>
      <c r="L512" s="182" t="n">
        <v>12</v>
      </c>
      <c r="M512" s="182" t="n">
        <v>0</v>
      </c>
      <c r="N512" s="182" t="n">
        <v>0</v>
      </c>
      <c r="O512" s="183" t="n">
        <v>0</v>
      </c>
      <c r="P512" s="183" t="n">
        <v>0</v>
      </c>
      <c r="Q512" s="184" t="n">
        <v>0</v>
      </c>
      <c r="R512" s="184" t="n">
        <v>0</v>
      </c>
      <c r="S512" s="183" t="n">
        <v>0</v>
      </c>
      <c r="T512" s="183" t="n">
        <v>0</v>
      </c>
      <c r="U512" s="182" t="n">
        <v>0</v>
      </c>
      <c r="V512" s="182" t="n">
        <v>0</v>
      </c>
      <c r="W512" s="182" t="n">
        <v>0</v>
      </c>
      <c r="X512" s="182" t="n">
        <v>0</v>
      </c>
      <c r="Y512" s="182" t="n">
        <v>0</v>
      </c>
      <c r="Z512" s="182" t="n">
        <v>0</v>
      </c>
      <c r="AA512" s="182" t="n">
        <v>0</v>
      </c>
      <c r="AB512" s="182" t="n">
        <v>0</v>
      </c>
      <c r="AC512" s="182" t="n">
        <v>0</v>
      </c>
      <c r="AD512" s="182" t="n">
        <v>0</v>
      </c>
      <c r="AE512" s="182" t="n">
        <v>0</v>
      </c>
      <c r="AF512" s="182" t="n">
        <v>0</v>
      </c>
      <c r="AG512" s="182" t="n">
        <v>0</v>
      </c>
      <c r="AH512" s="182" t="n">
        <v>0</v>
      </c>
      <c r="AI512" s="182" t="n">
        <v>0</v>
      </c>
      <c r="AJ512" s="182" t="n">
        <v>0</v>
      </c>
      <c r="AK512" s="182" t="n">
        <v>0</v>
      </c>
      <c r="AL512" s="182" t="n">
        <v>0</v>
      </c>
      <c r="AM512" s="182" t="n">
        <v>0</v>
      </c>
      <c r="AN512" s="182" t="n">
        <v>0</v>
      </c>
    </row>
    <row r="513">
      <c r="A513" s="155" t="n">
        <v>46084</v>
      </c>
      <c r="B513" s="156" t="inlineStr">
        <is>
          <t>DS</t>
        </is>
      </c>
      <c r="C513" s="156" t="inlineStr">
        <is>
          <t>DT-503</t>
        </is>
      </c>
      <c r="D513" s="156" t="inlineStr">
        <is>
          <t>SKT 105S</t>
        </is>
      </c>
      <c r="E513" s="156" t="inlineStr">
        <is>
          <t>Hauler</t>
        </is>
      </c>
      <c r="F513" s="156" t="inlineStr">
        <is>
          <t>Hauling OB</t>
        </is>
      </c>
      <c r="G513" s="182" t="n">
        <v>8.380000000000001</v>
      </c>
      <c r="H513" s="182" t="n">
        <v>0</v>
      </c>
      <c r="I513" s="182" t="n">
        <v>0</v>
      </c>
      <c r="J513" s="182" t="n">
        <v>0</v>
      </c>
      <c r="K513" s="182" t="n">
        <v>3.62</v>
      </c>
      <c r="L513" s="182" t="n">
        <v>12</v>
      </c>
      <c r="M513" s="182" t="n">
        <v>8.380000000000001</v>
      </c>
      <c r="N513" s="182" t="n">
        <v>0</v>
      </c>
      <c r="O513" s="183" t="n">
        <v>27</v>
      </c>
      <c r="P513" s="183" t="n">
        <v>0</v>
      </c>
      <c r="Q513" s="184" t="n">
        <v>524.2</v>
      </c>
      <c r="R513" s="184" t="n">
        <v>0</v>
      </c>
      <c r="S513" s="183" t="n">
        <v>0</v>
      </c>
      <c r="T513" s="183" t="n">
        <v>0</v>
      </c>
      <c r="U513" s="182" t="n">
        <v>2.59</v>
      </c>
      <c r="V513" s="182" t="n">
        <v>0</v>
      </c>
      <c r="W513" s="182" t="n">
        <v>0</v>
      </c>
      <c r="X513" s="182" t="n">
        <v>0.95</v>
      </c>
      <c r="Y513" s="182" t="n">
        <v>0</v>
      </c>
      <c r="Z513" s="182" t="n">
        <v>0</v>
      </c>
      <c r="AA513" s="182" t="n">
        <v>0</v>
      </c>
      <c r="AB513" s="182" t="n">
        <v>0</v>
      </c>
      <c r="AC513" s="182" t="n">
        <v>0</v>
      </c>
      <c r="AD513" s="182" t="n">
        <v>0</v>
      </c>
      <c r="AE513" s="182" t="n">
        <v>0</v>
      </c>
      <c r="AF513" s="182" t="n">
        <v>0</v>
      </c>
      <c r="AG513" s="182" t="n">
        <v>0</v>
      </c>
      <c r="AH513" s="182" t="n">
        <v>0</v>
      </c>
      <c r="AI513" s="182" t="n">
        <v>0</v>
      </c>
      <c r="AJ513" s="182" t="n">
        <v>0</v>
      </c>
      <c r="AK513" s="182" t="n">
        <v>0</v>
      </c>
      <c r="AL513" s="182" t="n">
        <v>0</v>
      </c>
      <c r="AM513" s="182" t="n">
        <v>0.08</v>
      </c>
      <c r="AN513" s="182" t="n">
        <v>0</v>
      </c>
    </row>
    <row r="514">
      <c r="A514" s="155" t="n">
        <v>46084</v>
      </c>
      <c r="B514" s="156" t="inlineStr">
        <is>
          <t>DS</t>
        </is>
      </c>
      <c r="C514" s="156" t="inlineStr">
        <is>
          <t>DT-504</t>
        </is>
      </c>
      <c r="D514" s="156" t="inlineStr">
        <is>
          <t>SKT 105S</t>
        </is>
      </c>
      <c r="E514" s="156" t="inlineStr">
        <is>
          <t>Hauler</t>
        </is>
      </c>
      <c r="F514" s="156" t="inlineStr">
        <is>
          <t>Hauling OB</t>
        </is>
      </c>
      <c r="G514" s="182" t="n">
        <v>7.96</v>
      </c>
      <c r="H514" s="182" t="n">
        <v>0</v>
      </c>
      <c r="I514" s="182" t="n">
        <v>0</v>
      </c>
      <c r="J514" s="182" t="n">
        <v>0</v>
      </c>
      <c r="K514" s="182" t="n">
        <v>4.04</v>
      </c>
      <c r="L514" s="182" t="n">
        <v>12</v>
      </c>
      <c r="M514" s="182" t="n">
        <v>7.96</v>
      </c>
      <c r="N514" s="182" t="n">
        <v>0</v>
      </c>
      <c r="O514" s="183" t="n">
        <v>25</v>
      </c>
      <c r="P514" s="183" t="n">
        <v>0</v>
      </c>
      <c r="Q514" s="184" t="n">
        <v>485.3</v>
      </c>
      <c r="R514" s="184" t="n">
        <v>0</v>
      </c>
      <c r="S514" s="183" t="n">
        <v>0</v>
      </c>
      <c r="T514" s="183" t="n">
        <v>0</v>
      </c>
      <c r="U514" s="182" t="n">
        <v>2.85</v>
      </c>
      <c r="V514" s="182" t="n">
        <v>0</v>
      </c>
      <c r="W514" s="182" t="n">
        <v>0</v>
      </c>
      <c r="X514" s="182" t="n">
        <v>0.9399999999999999</v>
      </c>
      <c r="Y514" s="182" t="n">
        <v>0</v>
      </c>
      <c r="Z514" s="182" t="n">
        <v>0</v>
      </c>
      <c r="AA514" s="182" t="n">
        <v>0</v>
      </c>
      <c r="AB514" s="182" t="n">
        <v>0</v>
      </c>
      <c r="AC514" s="182" t="n">
        <v>0</v>
      </c>
      <c r="AD514" s="182" t="n">
        <v>0</v>
      </c>
      <c r="AE514" s="182" t="n">
        <v>0</v>
      </c>
      <c r="AF514" s="182" t="n">
        <v>0</v>
      </c>
      <c r="AG514" s="182" t="n">
        <v>0</v>
      </c>
      <c r="AH514" s="182" t="n">
        <v>0.18</v>
      </c>
      <c r="AI514" s="182" t="n">
        <v>0</v>
      </c>
      <c r="AJ514" s="182" t="n">
        <v>0</v>
      </c>
      <c r="AK514" s="182" t="n">
        <v>0</v>
      </c>
      <c r="AL514" s="182" t="n">
        <v>0</v>
      </c>
      <c r="AM514" s="182" t="n">
        <v>0.08</v>
      </c>
      <c r="AN514" s="182" t="n">
        <v>0</v>
      </c>
    </row>
    <row r="515">
      <c r="A515" s="155" t="n">
        <v>46084</v>
      </c>
      <c r="B515" s="156" t="inlineStr">
        <is>
          <t>DS</t>
        </is>
      </c>
      <c r="C515" s="156" t="inlineStr">
        <is>
          <t>DT-507</t>
        </is>
      </c>
      <c r="D515" s="156" t="inlineStr">
        <is>
          <t>SKT 105S</t>
        </is>
      </c>
      <c r="E515" s="156" t="inlineStr">
        <is>
          <t>Hauler</t>
        </is>
      </c>
      <c r="F515" s="156" t="inlineStr"/>
      <c r="G515" s="182" t="n">
        <v>0</v>
      </c>
      <c r="H515" s="182" t="n">
        <v>0</v>
      </c>
      <c r="I515" s="182" t="n">
        <v>12</v>
      </c>
      <c r="J515" s="182" t="n">
        <v>12</v>
      </c>
      <c r="K515" s="182" t="n">
        <v>0</v>
      </c>
      <c r="L515" s="182" t="n">
        <v>12</v>
      </c>
      <c r="M515" s="182" t="n">
        <v>0</v>
      </c>
      <c r="N515" s="182" t="n">
        <v>0</v>
      </c>
      <c r="O515" s="183" t="n">
        <v>0</v>
      </c>
      <c r="P515" s="183" t="n">
        <v>0</v>
      </c>
      <c r="Q515" s="184" t="n">
        <v>0</v>
      </c>
      <c r="R515" s="184" t="n">
        <v>0</v>
      </c>
      <c r="S515" s="183" t="n">
        <v>0</v>
      </c>
      <c r="T515" s="183" t="n">
        <v>0</v>
      </c>
      <c r="U515" s="182" t="n">
        <v>0</v>
      </c>
      <c r="V515" s="182" t="n">
        <v>0</v>
      </c>
      <c r="W515" s="182" t="n">
        <v>0</v>
      </c>
      <c r="X515" s="182" t="n">
        <v>0</v>
      </c>
      <c r="Y515" s="182" t="n">
        <v>0</v>
      </c>
      <c r="Z515" s="182" t="n">
        <v>0</v>
      </c>
      <c r="AA515" s="182" t="n">
        <v>0</v>
      </c>
      <c r="AB515" s="182" t="n">
        <v>0</v>
      </c>
      <c r="AC515" s="182" t="n">
        <v>0</v>
      </c>
      <c r="AD515" s="182" t="n">
        <v>0</v>
      </c>
      <c r="AE515" s="182" t="n">
        <v>0</v>
      </c>
      <c r="AF515" s="182" t="n">
        <v>0</v>
      </c>
      <c r="AG515" s="182" t="n">
        <v>0</v>
      </c>
      <c r="AH515" s="182" t="n">
        <v>0</v>
      </c>
      <c r="AI515" s="182" t="n">
        <v>0</v>
      </c>
      <c r="AJ515" s="182" t="n">
        <v>0</v>
      </c>
      <c r="AK515" s="182" t="n">
        <v>0</v>
      </c>
      <c r="AL515" s="182" t="n">
        <v>0</v>
      </c>
      <c r="AM515" s="182" t="n">
        <v>0</v>
      </c>
      <c r="AN515" s="182" t="n">
        <v>0</v>
      </c>
    </row>
    <row r="516">
      <c r="A516" s="155" t="n">
        <v>46084</v>
      </c>
      <c r="B516" s="156" t="inlineStr">
        <is>
          <t>DS</t>
        </is>
      </c>
      <c r="C516" s="156" t="inlineStr">
        <is>
          <t>DT-501</t>
        </is>
      </c>
      <c r="D516" s="156" t="inlineStr">
        <is>
          <t>SKT 105S</t>
        </is>
      </c>
      <c r="E516" s="156" t="inlineStr">
        <is>
          <t>Hauler</t>
        </is>
      </c>
      <c r="F516" s="156" t="inlineStr">
        <is>
          <t>Hauling OB</t>
        </is>
      </c>
      <c r="G516" s="182" t="n">
        <v>2.82</v>
      </c>
      <c r="H516" s="182" t="n">
        <v>0</v>
      </c>
      <c r="I516" s="182" t="n">
        <v>4.47</v>
      </c>
      <c r="J516" s="182" t="n">
        <v>4.47</v>
      </c>
      <c r="K516" s="182" t="n">
        <v>4.71</v>
      </c>
      <c r="L516" s="182" t="n">
        <v>12</v>
      </c>
      <c r="M516" s="182" t="n">
        <v>2.82</v>
      </c>
      <c r="N516" s="182" t="n">
        <v>0</v>
      </c>
      <c r="O516" s="183" t="n">
        <v>2</v>
      </c>
      <c r="P516" s="183" t="n">
        <v>0</v>
      </c>
      <c r="Q516" s="184" t="n">
        <v>40.8</v>
      </c>
      <c r="R516" s="184" t="n">
        <v>0</v>
      </c>
      <c r="S516" s="183" t="n">
        <v>0</v>
      </c>
      <c r="T516" s="183" t="n">
        <v>0</v>
      </c>
      <c r="U516" s="182" t="n">
        <v>2.95</v>
      </c>
      <c r="V516" s="182" t="n">
        <v>0</v>
      </c>
      <c r="W516" s="182" t="n">
        <v>0</v>
      </c>
      <c r="X516" s="182" t="n">
        <v>0.98</v>
      </c>
      <c r="Y516" s="182" t="n">
        <v>0</v>
      </c>
      <c r="Z516" s="182" t="n">
        <v>0</v>
      </c>
      <c r="AA516" s="182" t="n">
        <v>0</v>
      </c>
      <c r="AB516" s="182" t="n">
        <v>0</v>
      </c>
      <c r="AC516" s="182" t="n">
        <v>0</v>
      </c>
      <c r="AD516" s="182" t="n">
        <v>0</v>
      </c>
      <c r="AE516" s="182" t="n">
        <v>0</v>
      </c>
      <c r="AF516" s="182" t="n">
        <v>0</v>
      </c>
      <c r="AG516" s="182" t="n">
        <v>0</v>
      </c>
      <c r="AH516" s="182" t="n">
        <v>0.7</v>
      </c>
      <c r="AI516" s="182" t="n">
        <v>0</v>
      </c>
      <c r="AJ516" s="182" t="n">
        <v>0</v>
      </c>
      <c r="AK516" s="182" t="n">
        <v>0</v>
      </c>
      <c r="AL516" s="182" t="n">
        <v>0</v>
      </c>
      <c r="AM516" s="182" t="n">
        <v>0.08</v>
      </c>
      <c r="AN516" s="182" t="n">
        <v>0</v>
      </c>
    </row>
    <row r="517">
      <c r="A517" s="155" t="n">
        <v>46084</v>
      </c>
      <c r="B517" s="156" t="inlineStr">
        <is>
          <t>DS</t>
        </is>
      </c>
      <c r="C517" s="156" t="inlineStr">
        <is>
          <t>DT-518</t>
        </is>
      </c>
      <c r="D517" s="156" t="inlineStr">
        <is>
          <t>SKT 105S</t>
        </is>
      </c>
      <c r="E517" s="156" t="inlineStr">
        <is>
          <t>Hauler</t>
        </is>
      </c>
      <c r="F517" s="156" t="inlineStr">
        <is>
          <t>Hauling OB</t>
        </is>
      </c>
      <c r="G517" s="182" t="n">
        <v>8.619999999999999</v>
      </c>
      <c r="H517" s="182" t="n">
        <v>0</v>
      </c>
      <c r="I517" s="182" t="n">
        <v>0</v>
      </c>
      <c r="J517" s="182" t="n">
        <v>0</v>
      </c>
      <c r="K517" s="182" t="n">
        <v>3.38</v>
      </c>
      <c r="L517" s="182" t="n">
        <v>12</v>
      </c>
      <c r="M517" s="182" t="n">
        <v>8.619999999999999</v>
      </c>
      <c r="N517" s="182" t="n">
        <v>0</v>
      </c>
      <c r="O517" s="183" t="n">
        <v>34</v>
      </c>
      <c r="P517" s="183" t="n">
        <v>0</v>
      </c>
      <c r="Q517" s="184" t="n">
        <v>661.2</v>
      </c>
      <c r="R517" s="184" t="n">
        <v>0</v>
      </c>
      <c r="S517" s="183" t="n">
        <v>0</v>
      </c>
      <c r="T517" s="183" t="n">
        <v>0</v>
      </c>
      <c r="U517" s="182" t="n">
        <v>2.34</v>
      </c>
      <c r="V517" s="182" t="n">
        <v>0</v>
      </c>
      <c r="W517" s="182" t="n">
        <v>0</v>
      </c>
      <c r="X517" s="182" t="n">
        <v>0.97</v>
      </c>
      <c r="Y517" s="182" t="n">
        <v>0</v>
      </c>
      <c r="Z517" s="182" t="n">
        <v>0</v>
      </c>
      <c r="AA517" s="182" t="n">
        <v>0</v>
      </c>
      <c r="AB517" s="182" t="n">
        <v>0</v>
      </c>
      <c r="AC517" s="182" t="n">
        <v>0</v>
      </c>
      <c r="AD517" s="182" t="n">
        <v>0</v>
      </c>
      <c r="AE517" s="182" t="n">
        <v>0</v>
      </c>
      <c r="AF517" s="182" t="n">
        <v>0</v>
      </c>
      <c r="AG517" s="182" t="n">
        <v>0</v>
      </c>
      <c r="AH517" s="182" t="n">
        <v>0</v>
      </c>
      <c r="AI517" s="182" t="n">
        <v>0</v>
      </c>
      <c r="AJ517" s="182" t="n">
        <v>0</v>
      </c>
      <c r="AK517" s="182" t="n">
        <v>0</v>
      </c>
      <c r="AL517" s="182" t="n">
        <v>0</v>
      </c>
      <c r="AM517" s="182" t="n">
        <v>0.08</v>
      </c>
      <c r="AN517" s="182" t="n">
        <v>0</v>
      </c>
    </row>
    <row r="518">
      <c r="A518" s="155" t="n">
        <v>46084</v>
      </c>
      <c r="B518" s="156" t="inlineStr">
        <is>
          <t>DS</t>
        </is>
      </c>
      <c r="C518" s="156" t="inlineStr">
        <is>
          <t>DT-514</t>
        </is>
      </c>
      <c r="D518" s="156" t="inlineStr">
        <is>
          <t>SKT 105S</t>
        </is>
      </c>
      <c r="E518" s="156" t="inlineStr">
        <is>
          <t>Hauler</t>
        </is>
      </c>
      <c r="F518" s="156" t="inlineStr">
        <is>
          <t>HM Loncat</t>
        </is>
      </c>
      <c r="G518" s="182" t="n">
        <v>7.38</v>
      </c>
      <c r="H518" s="182" t="n">
        <v>0</v>
      </c>
      <c r="I518" s="182" t="n">
        <v>4.4</v>
      </c>
      <c r="J518" s="182" t="n">
        <v>4.4</v>
      </c>
      <c r="K518" s="182" t="n">
        <v>0.22</v>
      </c>
      <c r="L518" s="182" t="n">
        <v>12</v>
      </c>
      <c r="M518" s="182" t="n">
        <v>0</v>
      </c>
      <c r="N518" s="182" t="n">
        <v>0</v>
      </c>
      <c r="O518" s="183" t="n">
        <v>0</v>
      </c>
      <c r="P518" s="183" t="n">
        <v>0</v>
      </c>
      <c r="Q518" s="184" t="n">
        <v>0</v>
      </c>
      <c r="R518" s="184" t="n">
        <v>0</v>
      </c>
      <c r="S518" s="183" t="n">
        <v>0</v>
      </c>
      <c r="T518" s="183" t="n">
        <v>0</v>
      </c>
      <c r="U518" s="182" t="n">
        <v>0</v>
      </c>
      <c r="V518" s="182" t="n">
        <v>0</v>
      </c>
      <c r="W518" s="182" t="n">
        <v>0</v>
      </c>
      <c r="X518" s="182" t="n">
        <v>0</v>
      </c>
      <c r="Y518" s="182" t="n">
        <v>0</v>
      </c>
      <c r="Z518" s="182" t="n">
        <v>0</v>
      </c>
      <c r="AA518" s="182" t="n">
        <v>0</v>
      </c>
      <c r="AB518" s="182" t="n">
        <v>0</v>
      </c>
      <c r="AC518" s="182" t="n">
        <v>0</v>
      </c>
      <c r="AD518" s="182" t="n">
        <v>0</v>
      </c>
      <c r="AE518" s="182" t="n">
        <v>0</v>
      </c>
      <c r="AF518" s="182" t="n">
        <v>0</v>
      </c>
      <c r="AG518" s="182" t="n">
        <v>0</v>
      </c>
      <c r="AH518" s="182" t="n">
        <v>0</v>
      </c>
      <c r="AI518" s="182" t="n">
        <v>0</v>
      </c>
      <c r="AJ518" s="182" t="n">
        <v>0</v>
      </c>
      <c r="AK518" s="182" t="n">
        <v>0</v>
      </c>
      <c r="AL518" s="182" t="n">
        <v>0</v>
      </c>
      <c r="AM518" s="182" t="n">
        <v>0</v>
      </c>
      <c r="AN518" s="182" t="n">
        <v>0</v>
      </c>
    </row>
    <row r="519">
      <c r="A519" s="155" t="n">
        <v>46084</v>
      </c>
      <c r="B519" s="156" t="inlineStr">
        <is>
          <t>DS</t>
        </is>
      </c>
      <c r="C519" s="156" t="inlineStr">
        <is>
          <t>DT-523</t>
        </is>
      </c>
      <c r="D519" s="156" t="inlineStr">
        <is>
          <t>SKT 105S</t>
        </is>
      </c>
      <c r="E519" s="156" t="inlineStr">
        <is>
          <t>Hauler</t>
        </is>
      </c>
      <c r="F519" s="156" t="inlineStr">
        <is>
          <t>Hauling OB</t>
        </is>
      </c>
      <c r="G519" s="182" t="n">
        <v>3.5</v>
      </c>
      <c r="H519" s="182" t="n">
        <v>0</v>
      </c>
      <c r="I519" s="182" t="n">
        <v>1.37</v>
      </c>
      <c r="J519" s="182" t="n">
        <v>1.37</v>
      </c>
      <c r="K519" s="182" t="n">
        <v>7.13</v>
      </c>
      <c r="L519" s="182" t="n">
        <v>12</v>
      </c>
      <c r="M519" s="182" t="n">
        <v>3.5</v>
      </c>
      <c r="N519" s="182" t="n">
        <v>0</v>
      </c>
      <c r="O519" s="183" t="n">
        <v>10</v>
      </c>
      <c r="P519" s="183" t="n">
        <v>0</v>
      </c>
      <c r="Q519" s="184" t="n">
        <v>204</v>
      </c>
      <c r="R519" s="184" t="n">
        <v>0</v>
      </c>
      <c r="S519" s="183" t="n">
        <v>0</v>
      </c>
      <c r="T519" s="183" t="n">
        <v>0</v>
      </c>
      <c r="U519" s="182" t="n">
        <v>3.07</v>
      </c>
      <c r="V519" s="182" t="n">
        <v>0</v>
      </c>
      <c r="W519" s="182" t="n">
        <v>0</v>
      </c>
      <c r="X519" s="182" t="n">
        <v>1.01</v>
      </c>
      <c r="Y519" s="182" t="n">
        <v>0</v>
      </c>
      <c r="Z519" s="182" t="n">
        <v>0</v>
      </c>
      <c r="AA519" s="182" t="n">
        <v>0</v>
      </c>
      <c r="AB519" s="182" t="n">
        <v>0</v>
      </c>
      <c r="AC519" s="182" t="n">
        <v>0</v>
      </c>
      <c r="AD519" s="182" t="n">
        <v>2.96</v>
      </c>
      <c r="AE519" s="182" t="n">
        <v>0</v>
      </c>
      <c r="AF519" s="182" t="n">
        <v>0</v>
      </c>
      <c r="AG519" s="182" t="n">
        <v>0</v>
      </c>
      <c r="AH519" s="182" t="n">
        <v>0</v>
      </c>
      <c r="AI519" s="182" t="n">
        <v>0</v>
      </c>
      <c r="AJ519" s="182" t="n">
        <v>0</v>
      </c>
      <c r="AK519" s="182" t="n">
        <v>0</v>
      </c>
      <c r="AL519" s="182" t="n">
        <v>0</v>
      </c>
      <c r="AM519" s="182" t="n">
        <v>0.08</v>
      </c>
      <c r="AN519" s="182" t="n">
        <v>0</v>
      </c>
    </row>
    <row r="520">
      <c r="A520" s="155" t="n">
        <v>46084</v>
      </c>
      <c r="B520" s="156" t="inlineStr">
        <is>
          <t>DS</t>
        </is>
      </c>
      <c r="C520" s="156" t="inlineStr">
        <is>
          <t>DT-519</t>
        </is>
      </c>
      <c r="D520" s="156" t="inlineStr">
        <is>
          <t>SKT 105S</t>
        </is>
      </c>
      <c r="E520" s="156" t="inlineStr">
        <is>
          <t>Hauler</t>
        </is>
      </c>
      <c r="F520" s="156" t="inlineStr">
        <is>
          <t>HM Loncat</t>
        </is>
      </c>
      <c r="G520" s="182" t="n">
        <v>7.5</v>
      </c>
      <c r="H520" s="182" t="n">
        <v>0</v>
      </c>
      <c r="I520" s="182" t="n">
        <v>0</v>
      </c>
      <c r="J520" s="182" t="n">
        <v>0</v>
      </c>
      <c r="K520" s="182" t="n">
        <v>4.5</v>
      </c>
      <c r="L520" s="182" t="n">
        <v>12</v>
      </c>
      <c r="M520" s="182" t="n">
        <v>0</v>
      </c>
      <c r="N520" s="182" t="n">
        <v>0</v>
      </c>
      <c r="O520" s="183" t="n">
        <v>0</v>
      </c>
      <c r="P520" s="183" t="n">
        <v>0</v>
      </c>
      <c r="Q520" s="184" t="n">
        <v>0</v>
      </c>
      <c r="R520" s="184" t="n">
        <v>0</v>
      </c>
      <c r="S520" s="183" t="n">
        <v>0</v>
      </c>
      <c r="T520" s="183" t="n">
        <v>0</v>
      </c>
      <c r="U520" s="182" t="n">
        <v>0</v>
      </c>
      <c r="V520" s="182" t="n">
        <v>0</v>
      </c>
      <c r="W520" s="182" t="n">
        <v>0</v>
      </c>
      <c r="X520" s="182" t="n">
        <v>0.9399999999999999</v>
      </c>
      <c r="Y520" s="182" t="n">
        <v>0</v>
      </c>
      <c r="Z520" s="182" t="n">
        <v>0</v>
      </c>
      <c r="AA520" s="182" t="n">
        <v>0</v>
      </c>
      <c r="AB520" s="182" t="n">
        <v>0</v>
      </c>
      <c r="AC520" s="182" t="n">
        <v>0</v>
      </c>
      <c r="AD520" s="182" t="n">
        <v>0</v>
      </c>
      <c r="AE520" s="182" t="n">
        <v>0</v>
      </c>
      <c r="AF520" s="182" t="n">
        <v>0</v>
      </c>
      <c r="AG520" s="182" t="n">
        <v>0</v>
      </c>
      <c r="AH520" s="182" t="n">
        <v>0</v>
      </c>
      <c r="AI520" s="182" t="n">
        <v>0</v>
      </c>
      <c r="AJ520" s="182" t="n">
        <v>0</v>
      </c>
      <c r="AK520" s="182" t="n">
        <v>3.49</v>
      </c>
      <c r="AL520" s="182" t="n">
        <v>0</v>
      </c>
      <c r="AM520" s="182" t="n">
        <v>0.07000000000000001</v>
      </c>
      <c r="AN520" s="182" t="n">
        <v>0</v>
      </c>
    </row>
    <row r="521">
      <c r="A521" s="155" t="n">
        <v>46084</v>
      </c>
      <c r="B521" s="156" t="inlineStr">
        <is>
          <t>DS</t>
        </is>
      </c>
      <c r="C521" s="156" t="inlineStr">
        <is>
          <t>DT-527</t>
        </is>
      </c>
      <c r="D521" s="156" t="inlineStr">
        <is>
          <t>SKT 105S</t>
        </is>
      </c>
      <c r="E521" s="156" t="inlineStr">
        <is>
          <t>Hauler</t>
        </is>
      </c>
      <c r="F521" s="156" t="inlineStr">
        <is>
          <t>Hauling OB</t>
        </is>
      </c>
      <c r="G521" s="182" t="n">
        <v>8.359999999999999</v>
      </c>
      <c r="H521" s="182" t="n">
        <v>0</v>
      </c>
      <c r="I521" s="182" t="n">
        <v>0</v>
      </c>
      <c r="J521" s="182" t="n">
        <v>0</v>
      </c>
      <c r="K521" s="182" t="n">
        <v>3.64</v>
      </c>
      <c r="L521" s="182" t="n">
        <v>12</v>
      </c>
      <c r="M521" s="182" t="n">
        <v>8.359999999999999</v>
      </c>
      <c r="N521" s="182" t="n">
        <v>0</v>
      </c>
      <c r="O521" s="183" t="n">
        <v>34</v>
      </c>
      <c r="P521" s="183" t="n">
        <v>0</v>
      </c>
      <c r="Q521" s="184" t="n">
        <v>693.6</v>
      </c>
      <c r="R521" s="184" t="n">
        <v>0</v>
      </c>
      <c r="S521" s="183" t="n">
        <v>0</v>
      </c>
      <c r="T521" s="183" t="n">
        <v>0</v>
      </c>
      <c r="U521" s="182" t="n">
        <v>2.66</v>
      </c>
      <c r="V521" s="182" t="n">
        <v>0</v>
      </c>
      <c r="W521" s="182" t="n">
        <v>0</v>
      </c>
      <c r="X521" s="182" t="n">
        <v>0.91</v>
      </c>
      <c r="Y521" s="182" t="n">
        <v>0</v>
      </c>
      <c r="Z521" s="182" t="n">
        <v>0</v>
      </c>
      <c r="AA521" s="182" t="n">
        <v>0</v>
      </c>
      <c r="AB521" s="182" t="n">
        <v>0</v>
      </c>
      <c r="AC521" s="182" t="n">
        <v>0</v>
      </c>
      <c r="AD521" s="182" t="n">
        <v>0</v>
      </c>
      <c r="AE521" s="182" t="n">
        <v>0</v>
      </c>
      <c r="AF521" s="182" t="n">
        <v>0</v>
      </c>
      <c r="AG521" s="182" t="n">
        <v>0</v>
      </c>
      <c r="AH521" s="182" t="n">
        <v>0</v>
      </c>
      <c r="AI521" s="182" t="n">
        <v>0</v>
      </c>
      <c r="AJ521" s="182" t="n">
        <v>0</v>
      </c>
      <c r="AK521" s="182" t="n">
        <v>0</v>
      </c>
      <c r="AL521" s="182" t="n">
        <v>0</v>
      </c>
      <c r="AM521" s="182" t="n">
        <v>0.07000000000000001</v>
      </c>
      <c r="AN521" s="182" t="n">
        <v>0</v>
      </c>
    </row>
    <row r="522">
      <c r="A522" s="155" t="n">
        <v>46084</v>
      </c>
      <c r="B522" s="156" t="inlineStr">
        <is>
          <t>DS</t>
        </is>
      </c>
      <c r="C522" s="156" t="inlineStr">
        <is>
          <t>DT-513</t>
        </is>
      </c>
      <c r="D522" s="156" t="inlineStr">
        <is>
          <t>SKT 105S</t>
        </is>
      </c>
      <c r="E522" s="156" t="inlineStr">
        <is>
          <t>Hauler</t>
        </is>
      </c>
      <c r="F522" s="156" t="inlineStr"/>
      <c r="G522" s="182" t="n">
        <v>0</v>
      </c>
      <c r="H522" s="182" t="n">
        <v>0</v>
      </c>
      <c r="I522" s="182" t="n">
        <v>2.93</v>
      </c>
      <c r="J522" s="182" t="n">
        <v>2.93</v>
      </c>
      <c r="K522" s="182" t="n">
        <v>9.07</v>
      </c>
      <c r="L522" s="182" t="n">
        <v>12</v>
      </c>
      <c r="M522" s="182" t="n">
        <v>0</v>
      </c>
      <c r="N522" s="182" t="n">
        <v>0</v>
      </c>
      <c r="O522" s="183" t="n">
        <v>0</v>
      </c>
      <c r="P522" s="183" t="n">
        <v>0</v>
      </c>
      <c r="Q522" s="184" t="n">
        <v>0</v>
      </c>
      <c r="R522" s="184" t="n">
        <v>0</v>
      </c>
      <c r="S522" s="183" t="n">
        <v>0</v>
      </c>
      <c r="T522" s="183" t="n">
        <v>0</v>
      </c>
      <c r="U522" s="182" t="n">
        <v>3.03</v>
      </c>
      <c r="V522" s="182" t="n">
        <v>0</v>
      </c>
      <c r="W522" s="182" t="n">
        <v>0</v>
      </c>
      <c r="X522" s="182" t="n">
        <v>1</v>
      </c>
      <c r="Y522" s="182" t="n">
        <v>0</v>
      </c>
      <c r="Z522" s="182" t="n">
        <v>0</v>
      </c>
      <c r="AA522" s="182" t="n">
        <v>0</v>
      </c>
      <c r="AB522" s="182" t="n">
        <v>0</v>
      </c>
      <c r="AC522" s="182" t="n">
        <v>0</v>
      </c>
      <c r="AD522" s="182" t="n">
        <v>4.95</v>
      </c>
      <c r="AE522" s="182" t="n">
        <v>0</v>
      </c>
      <c r="AF522" s="182" t="n">
        <v>0</v>
      </c>
      <c r="AG522" s="182" t="n">
        <v>0</v>
      </c>
      <c r="AH522" s="182" t="n">
        <v>0</v>
      </c>
      <c r="AI522" s="182" t="n">
        <v>0</v>
      </c>
      <c r="AJ522" s="182" t="n">
        <v>0</v>
      </c>
      <c r="AK522" s="182" t="n">
        <v>0</v>
      </c>
      <c r="AL522" s="182" t="n">
        <v>0</v>
      </c>
      <c r="AM522" s="182" t="n">
        <v>0.08</v>
      </c>
      <c r="AN522" s="182" t="n">
        <v>0</v>
      </c>
    </row>
    <row r="523">
      <c r="A523" s="155" t="n">
        <v>46084</v>
      </c>
      <c r="B523" s="156" t="inlineStr">
        <is>
          <t>DS</t>
        </is>
      </c>
      <c r="C523" s="156" t="inlineStr">
        <is>
          <t>DT-512</t>
        </is>
      </c>
      <c r="D523" s="156" t="inlineStr">
        <is>
          <t>SKT 105S</t>
        </is>
      </c>
      <c r="E523" s="156" t="inlineStr">
        <is>
          <t>Hauler</t>
        </is>
      </c>
      <c r="F523" s="156" t="inlineStr">
        <is>
          <t>Hauling OB</t>
        </is>
      </c>
      <c r="G523" s="182" t="n">
        <v>8.699999999999999</v>
      </c>
      <c r="H523" s="182" t="n">
        <v>0</v>
      </c>
      <c r="I523" s="182" t="n">
        <v>0</v>
      </c>
      <c r="J523" s="182" t="n">
        <v>0</v>
      </c>
      <c r="K523" s="182" t="n">
        <v>3.3</v>
      </c>
      <c r="L523" s="182" t="n">
        <v>12</v>
      </c>
      <c r="M523" s="182" t="n">
        <v>8.699999999999999</v>
      </c>
      <c r="N523" s="182" t="n">
        <v>0</v>
      </c>
      <c r="O523" s="183" t="n">
        <v>31</v>
      </c>
      <c r="P523" s="183" t="n">
        <v>0</v>
      </c>
      <c r="Q523" s="184" t="n">
        <v>632.4</v>
      </c>
      <c r="R523" s="184" t="n">
        <v>0</v>
      </c>
      <c r="S523" s="183" t="n">
        <v>0</v>
      </c>
      <c r="T523" s="183" t="n">
        <v>0</v>
      </c>
      <c r="U523" s="182" t="n">
        <v>2.39</v>
      </c>
      <c r="V523" s="182" t="n">
        <v>0</v>
      </c>
      <c r="W523" s="182" t="n">
        <v>0</v>
      </c>
      <c r="X523" s="182" t="n">
        <v>0.85</v>
      </c>
      <c r="Y523" s="182" t="n">
        <v>0</v>
      </c>
      <c r="Z523" s="182" t="n">
        <v>0</v>
      </c>
      <c r="AA523" s="182" t="n">
        <v>0</v>
      </c>
      <c r="AB523" s="182" t="n">
        <v>0</v>
      </c>
      <c r="AC523" s="182" t="n">
        <v>0</v>
      </c>
      <c r="AD523" s="182" t="n">
        <v>0</v>
      </c>
      <c r="AE523" s="182" t="n">
        <v>0</v>
      </c>
      <c r="AF523" s="182" t="n">
        <v>0</v>
      </c>
      <c r="AG523" s="182" t="n">
        <v>0</v>
      </c>
      <c r="AH523" s="182" t="n">
        <v>0</v>
      </c>
      <c r="AI523" s="182" t="n">
        <v>0</v>
      </c>
      <c r="AJ523" s="182" t="n">
        <v>0</v>
      </c>
      <c r="AK523" s="182" t="n">
        <v>0</v>
      </c>
      <c r="AL523" s="182" t="n">
        <v>0</v>
      </c>
      <c r="AM523" s="182" t="n">
        <v>0.07000000000000001</v>
      </c>
      <c r="AN523" s="182" t="n">
        <v>0</v>
      </c>
    </row>
    <row r="524">
      <c r="A524" s="155" t="n">
        <v>46084</v>
      </c>
      <c r="B524" s="156" t="inlineStr">
        <is>
          <t>DS</t>
        </is>
      </c>
      <c r="C524" s="156" t="inlineStr">
        <is>
          <t>DT-522</t>
        </is>
      </c>
      <c r="D524" s="156" t="inlineStr">
        <is>
          <t>SKT 105S</t>
        </is>
      </c>
      <c r="E524" s="156" t="inlineStr">
        <is>
          <t>Hauler</t>
        </is>
      </c>
      <c r="F524" s="156" t="inlineStr"/>
      <c r="G524" s="182" t="n">
        <v>0</v>
      </c>
      <c r="H524" s="182" t="n">
        <v>12</v>
      </c>
      <c r="I524" s="182" t="n">
        <v>0</v>
      </c>
      <c r="J524" s="182" t="n">
        <v>12</v>
      </c>
      <c r="K524" s="182" t="n">
        <v>0</v>
      </c>
      <c r="L524" s="182" t="n">
        <v>12</v>
      </c>
      <c r="M524" s="182" t="n">
        <v>0</v>
      </c>
      <c r="N524" s="182" t="n">
        <v>0</v>
      </c>
      <c r="O524" s="183" t="n">
        <v>0</v>
      </c>
      <c r="P524" s="183" t="n">
        <v>0</v>
      </c>
      <c r="Q524" s="184" t="n">
        <v>0</v>
      </c>
      <c r="R524" s="184" t="n">
        <v>0</v>
      </c>
      <c r="S524" s="183" t="n">
        <v>0</v>
      </c>
      <c r="T524" s="183" t="n">
        <v>0</v>
      </c>
      <c r="U524" s="182" t="n">
        <v>0</v>
      </c>
      <c r="V524" s="182" t="n">
        <v>0</v>
      </c>
      <c r="W524" s="182" t="n">
        <v>0</v>
      </c>
      <c r="X524" s="182" t="n">
        <v>0</v>
      </c>
      <c r="Y524" s="182" t="n">
        <v>0</v>
      </c>
      <c r="Z524" s="182" t="n">
        <v>0</v>
      </c>
      <c r="AA524" s="182" t="n">
        <v>0</v>
      </c>
      <c r="AB524" s="182" t="n">
        <v>0</v>
      </c>
      <c r="AC524" s="182" t="n">
        <v>0</v>
      </c>
      <c r="AD524" s="182" t="n">
        <v>0</v>
      </c>
      <c r="AE524" s="182" t="n">
        <v>0</v>
      </c>
      <c r="AF524" s="182" t="n">
        <v>0</v>
      </c>
      <c r="AG524" s="182" t="n">
        <v>0</v>
      </c>
      <c r="AH524" s="182" t="n">
        <v>0</v>
      </c>
      <c r="AI524" s="182" t="n">
        <v>0</v>
      </c>
      <c r="AJ524" s="182" t="n">
        <v>0</v>
      </c>
      <c r="AK524" s="182" t="n">
        <v>0</v>
      </c>
      <c r="AL524" s="182" t="n">
        <v>0</v>
      </c>
      <c r="AM524" s="182" t="n">
        <v>0</v>
      </c>
      <c r="AN524" s="182" t="n">
        <v>0</v>
      </c>
    </row>
    <row r="525">
      <c r="A525" s="155" t="n">
        <v>46084</v>
      </c>
      <c r="B525" s="156" t="inlineStr">
        <is>
          <t>DS</t>
        </is>
      </c>
      <c r="C525" s="156" t="inlineStr">
        <is>
          <t>DT-517</t>
        </is>
      </c>
      <c r="D525" s="156" t="inlineStr">
        <is>
          <t>SKT 105S</t>
        </is>
      </c>
      <c r="E525" s="156" t="inlineStr">
        <is>
          <t>Hauler</t>
        </is>
      </c>
      <c r="F525" s="156" t="inlineStr"/>
      <c r="G525" s="182" t="n">
        <v>0</v>
      </c>
      <c r="H525" s="182" t="n">
        <v>0</v>
      </c>
      <c r="I525" s="182" t="n">
        <v>7.4</v>
      </c>
      <c r="J525" s="182" t="n">
        <v>7.4</v>
      </c>
      <c r="K525" s="182" t="n">
        <v>4.6</v>
      </c>
      <c r="L525" s="182" t="n">
        <v>12</v>
      </c>
      <c r="M525" s="182" t="n">
        <v>0</v>
      </c>
      <c r="N525" s="182" t="n">
        <v>0</v>
      </c>
      <c r="O525" s="183" t="n">
        <v>0</v>
      </c>
      <c r="P525" s="183" t="n">
        <v>0</v>
      </c>
      <c r="Q525" s="184" t="n">
        <v>0</v>
      </c>
      <c r="R525" s="184" t="n">
        <v>0</v>
      </c>
      <c r="S525" s="183" t="n">
        <v>0</v>
      </c>
      <c r="T525" s="183" t="n">
        <v>0</v>
      </c>
      <c r="U525" s="182" t="n">
        <v>3.03</v>
      </c>
      <c r="V525" s="182" t="n">
        <v>0</v>
      </c>
      <c r="W525" s="182" t="n">
        <v>0</v>
      </c>
      <c r="X525" s="182" t="n">
        <v>1</v>
      </c>
      <c r="Y525" s="182" t="n">
        <v>0</v>
      </c>
      <c r="Z525" s="182" t="n">
        <v>0</v>
      </c>
      <c r="AA525" s="182" t="n">
        <v>0</v>
      </c>
      <c r="AB525" s="182" t="n">
        <v>0</v>
      </c>
      <c r="AC525" s="182" t="n">
        <v>0</v>
      </c>
      <c r="AD525" s="182" t="n">
        <v>0</v>
      </c>
      <c r="AE525" s="182" t="n">
        <v>0</v>
      </c>
      <c r="AF525" s="182" t="n">
        <v>0</v>
      </c>
      <c r="AG525" s="182" t="n">
        <v>0</v>
      </c>
      <c r="AH525" s="182" t="n">
        <v>0.49</v>
      </c>
      <c r="AI525" s="182" t="n">
        <v>0</v>
      </c>
      <c r="AJ525" s="182" t="n">
        <v>0</v>
      </c>
      <c r="AK525" s="182" t="n">
        <v>0</v>
      </c>
      <c r="AL525" s="182" t="n">
        <v>0</v>
      </c>
      <c r="AM525" s="182" t="n">
        <v>0.08</v>
      </c>
      <c r="AN525" s="182" t="n">
        <v>0</v>
      </c>
    </row>
    <row r="526">
      <c r="A526" s="155" t="n">
        <v>46084</v>
      </c>
      <c r="B526" s="156" t="inlineStr">
        <is>
          <t>DS</t>
        </is>
      </c>
      <c r="C526" s="156" t="inlineStr">
        <is>
          <t>DT-510</t>
        </is>
      </c>
      <c r="D526" s="156" t="inlineStr">
        <is>
          <t>SKT 105S</t>
        </is>
      </c>
      <c r="E526" s="156" t="inlineStr">
        <is>
          <t>Hauler</t>
        </is>
      </c>
      <c r="F526" s="156" t="inlineStr">
        <is>
          <t>Hauling OB</t>
        </is>
      </c>
      <c r="G526" s="182" t="n">
        <v>8.27</v>
      </c>
      <c r="H526" s="182" t="n">
        <v>0</v>
      </c>
      <c r="I526" s="182" t="n">
        <v>0</v>
      </c>
      <c r="J526" s="182" t="n">
        <v>0</v>
      </c>
      <c r="K526" s="182" t="n">
        <v>3.73</v>
      </c>
      <c r="L526" s="182" t="n">
        <v>12</v>
      </c>
      <c r="M526" s="182" t="n">
        <v>8.27</v>
      </c>
      <c r="N526" s="182" t="n">
        <v>0</v>
      </c>
      <c r="O526" s="183" t="n">
        <v>36</v>
      </c>
      <c r="P526" s="183" t="n">
        <v>0</v>
      </c>
      <c r="Q526" s="184" t="n">
        <v>734.4</v>
      </c>
      <c r="R526" s="184" t="n">
        <v>0</v>
      </c>
      <c r="S526" s="183" t="n">
        <v>0</v>
      </c>
      <c r="T526" s="183" t="n">
        <v>0</v>
      </c>
      <c r="U526" s="182" t="n">
        <v>2.7</v>
      </c>
      <c r="V526" s="182" t="n">
        <v>0</v>
      </c>
      <c r="W526" s="182" t="n">
        <v>0</v>
      </c>
      <c r="X526" s="182" t="n">
        <v>0.96</v>
      </c>
      <c r="Y526" s="182" t="n">
        <v>0</v>
      </c>
      <c r="Z526" s="182" t="n">
        <v>0</v>
      </c>
      <c r="AA526" s="182" t="n">
        <v>0</v>
      </c>
      <c r="AB526" s="182" t="n">
        <v>0</v>
      </c>
      <c r="AC526" s="182" t="n">
        <v>0</v>
      </c>
      <c r="AD526" s="182" t="n">
        <v>0</v>
      </c>
      <c r="AE526" s="182" t="n">
        <v>0</v>
      </c>
      <c r="AF526" s="182" t="n">
        <v>0</v>
      </c>
      <c r="AG526" s="182" t="n">
        <v>0</v>
      </c>
      <c r="AH526" s="182" t="n">
        <v>0</v>
      </c>
      <c r="AI526" s="182" t="n">
        <v>0</v>
      </c>
      <c r="AJ526" s="182" t="n">
        <v>0</v>
      </c>
      <c r="AK526" s="182" t="n">
        <v>0</v>
      </c>
      <c r="AL526" s="182" t="n">
        <v>0</v>
      </c>
      <c r="AM526" s="182" t="n">
        <v>0.08</v>
      </c>
      <c r="AN526" s="182" t="n">
        <v>0</v>
      </c>
    </row>
    <row r="527">
      <c r="A527" s="155" t="n">
        <v>46084</v>
      </c>
      <c r="B527" s="156" t="inlineStr">
        <is>
          <t>DS</t>
        </is>
      </c>
      <c r="C527" s="156" t="inlineStr">
        <is>
          <t>DT-521</t>
        </is>
      </c>
      <c r="D527" s="156" t="inlineStr">
        <is>
          <t>SKT 105S</t>
        </is>
      </c>
      <c r="E527" s="156" t="inlineStr">
        <is>
          <t>Hauler</t>
        </is>
      </c>
      <c r="F527" s="156" t="inlineStr">
        <is>
          <t>Hauling OB</t>
        </is>
      </c>
      <c r="G527" s="182" t="n">
        <v>7.59</v>
      </c>
      <c r="H527" s="182" t="n">
        <v>0</v>
      </c>
      <c r="I527" s="182" t="n">
        <v>0</v>
      </c>
      <c r="J527" s="182" t="n">
        <v>0</v>
      </c>
      <c r="K527" s="182" t="n">
        <v>4.41</v>
      </c>
      <c r="L527" s="182" t="n">
        <v>12</v>
      </c>
      <c r="M527" s="182" t="n">
        <v>7.59</v>
      </c>
      <c r="N527" s="182" t="n">
        <v>0</v>
      </c>
      <c r="O527" s="183" t="n">
        <v>34</v>
      </c>
      <c r="P527" s="183" t="n">
        <v>0</v>
      </c>
      <c r="Q527" s="184" t="n">
        <v>693.6</v>
      </c>
      <c r="R527" s="184" t="n">
        <v>0</v>
      </c>
      <c r="S527" s="183" t="n">
        <v>0</v>
      </c>
      <c r="T527" s="183" t="n">
        <v>0</v>
      </c>
      <c r="U527" s="182" t="n">
        <v>3.25</v>
      </c>
      <c r="V527" s="182" t="n">
        <v>0</v>
      </c>
      <c r="W527" s="182" t="n">
        <v>0</v>
      </c>
      <c r="X527" s="182" t="n">
        <v>1.08</v>
      </c>
      <c r="Y527" s="182" t="n">
        <v>0</v>
      </c>
      <c r="Z527" s="182" t="n">
        <v>0</v>
      </c>
      <c r="AA527" s="182" t="n">
        <v>0</v>
      </c>
      <c r="AB527" s="182" t="n">
        <v>0</v>
      </c>
      <c r="AC527" s="182" t="n">
        <v>0</v>
      </c>
      <c r="AD527" s="182" t="n">
        <v>0</v>
      </c>
      <c r="AE527" s="182" t="n">
        <v>0</v>
      </c>
      <c r="AF527" s="182" t="n">
        <v>0</v>
      </c>
      <c r="AG527" s="182" t="n">
        <v>0</v>
      </c>
      <c r="AH527" s="182" t="n">
        <v>0</v>
      </c>
      <c r="AI527" s="182" t="n">
        <v>0</v>
      </c>
      <c r="AJ527" s="182" t="n">
        <v>0</v>
      </c>
      <c r="AK527" s="182" t="n">
        <v>0</v>
      </c>
      <c r="AL527" s="182" t="n">
        <v>0</v>
      </c>
      <c r="AM527" s="182" t="n">
        <v>0.09</v>
      </c>
      <c r="AN527" s="182" t="n">
        <v>0</v>
      </c>
    </row>
    <row r="528">
      <c r="A528" s="155" t="n">
        <v>46084</v>
      </c>
      <c r="B528" s="156" t="inlineStr">
        <is>
          <t>DS</t>
        </is>
      </c>
      <c r="C528" s="156" t="inlineStr">
        <is>
          <t>DT-516</t>
        </is>
      </c>
      <c r="D528" s="156" t="inlineStr">
        <is>
          <t>SKT 105S</t>
        </is>
      </c>
      <c r="E528" s="156" t="inlineStr">
        <is>
          <t>Hauler</t>
        </is>
      </c>
      <c r="F528" s="156" t="inlineStr">
        <is>
          <t>Hauling OB</t>
        </is>
      </c>
      <c r="G528" s="182" t="n">
        <v>7.5</v>
      </c>
      <c r="H528" s="182" t="n">
        <v>0</v>
      </c>
      <c r="I528" s="182" t="n">
        <v>0</v>
      </c>
      <c r="J528" s="182" t="n">
        <v>0</v>
      </c>
      <c r="K528" s="182" t="n">
        <v>4.5</v>
      </c>
      <c r="L528" s="182" t="n">
        <v>12</v>
      </c>
      <c r="M528" s="182" t="n">
        <v>7.5</v>
      </c>
      <c r="N528" s="182" t="n">
        <v>0</v>
      </c>
      <c r="O528" s="183" t="n">
        <v>30</v>
      </c>
      <c r="P528" s="183" t="n">
        <v>0</v>
      </c>
      <c r="Q528" s="184" t="n">
        <v>612</v>
      </c>
      <c r="R528" s="184" t="n">
        <v>0</v>
      </c>
      <c r="S528" s="183" t="n">
        <v>0</v>
      </c>
      <c r="T528" s="183" t="n">
        <v>0</v>
      </c>
      <c r="U528" s="182" t="n">
        <v>3.31</v>
      </c>
      <c r="V528" s="182" t="n">
        <v>0</v>
      </c>
      <c r="W528" s="182" t="n">
        <v>0</v>
      </c>
      <c r="X528" s="182" t="n">
        <v>1.1</v>
      </c>
      <c r="Y528" s="182" t="n">
        <v>0</v>
      </c>
      <c r="Z528" s="182" t="n">
        <v>0</v>
      </c>
      <c r="AA528" s="182" t="n">
        <v>0</v>
      </c>
      <c r="AB528" s="182" t="n">
        <v>0</v>
      </c>
      <c r="AC528" s="182" t="n">
        <v>0</v>
      </c>
      <c r="AD528" s="182" t="n">
        <v>0</v>
      </c>
      <c r="AE528" s="182" t="n">
        <v>0</v>
      </c>
      <c r="AF528" s="182" t="n">
        <v>0</v>
      </c>
      <c r="AG528" s="182" t="n">
        <v>0</v>
      </c>
      <c r="AH528" s="182" t="n">
        <v>0</v>
      </c>
      <c r="AI528" s="182" t="n">
        <v>0</v>
      </c>
      <c r="AJ528" s="182" t="n">
        <v>0</v>
      </c>
      <c r="AK528" s="182" t="n">
        <v>0</v>
      </c>
      <c r="AL528" s="182" t="n">
        <v>0</v>
      </c>
      <c r="AM528" s="182" t="n">
        <v>0.09</v>
      </c>
      <c r="AN528" s="182" t="n">
        <v>0</v>
      </c>
    </row>
    <row r="529">
      <c r="A529" s="155" t="n">
        <v>46084</v>
      </c>
      <c r="B529" s="156" t="inlineStr">
        <is>
          <t>DS</t>
        </is>
      </c>
      <c r="C529" s="156" t="inlineStr">
        <is>
          <t>DT-506</t>
        </is>
      </c>
      <c r="D529" s="156" t="inlineStr">
        <is>
          <t>SKT 105S</t>
        </is>
      </c>
      <c r="E529" s="156" t="inlineStr">
        <is>
          <t>Hauler</t>
        </is>
      </c>
      <c r="F529" s="156" t="inlineStr">
        <is>
          <t>Hauling OB &amp; Coal</t>
        </is>
      </c>
      <c r="G529" s="182" t="n">
        <v>3.55</v>
      </c>
      <c r="H529" s="182" t="n">
        <v>0</v>
      </c>
      <c r="I529" s="182" t="n">
        <v>0</v>
      </c>
      <c r="J529" s="182" t="n">
        <v>0</v>
      </c>
      <c r="K529" s="182" t="n">
        <v>8.449999999999999</v>
      </c>
      <c r="L529" s="182" t="n">
        <v>12</v>
      </c>
      <c r="M529" s="182" t="n">
        <v>1.95</v>
      </c>
      <c r="N529" s="182" t="n">
        <v>1.6</v>
      </c>
      <c r="O529" s="183" t="n">
        <v>3</v>
      </c>
      <c r="P529" s="183" t="n">
        <v>4</v>
      </c>
      <c r="Q529" s="184" t="n">
        <v>61.2</v>
      </c>
      <c r="R529" s="184" t="n">
        <v>74.8</v>
      </c>
      <c r="S529" s="183" t="n">
        <v>0</v>
      </c>
      <c r="T529" s="183" t="n">
        <v>0</v>
      </c>
      <c r="U529" s="182" t="n">
        <v>3.08</v>
      </c>
      <c r="V529" s="182" t="n">
        <v>0</v>
      </c>
      <c r="W529" s="182" t="n">
        <v>0</v>
      </c>
      <c r="X529" s="182" t="n">
        <v>1.02</v>
      </c>
      <c r="Y529" s="182" t="n">
        <v>0</v>
      </c>
      <c r="Z529" s="182" t="n">
        <v>0</v>
      </c>
      <c r="AA529" s="182" t="n">
        <v>0</v>
      </c>
      <c r="AB529" s="182" t="n">
        <v>0</v>
      </c>
      <c r="AC529" s="182" t="n">
        <v>0</v>
      </c>
      <c r="AD529" s="182" t="n">
        <v>4.27</v>
      </c>
      <c r="AE529" s="182" t="n">
        <v>0</v>
      </c>
      <c r="AF529" s="182" t="n">
        <v>0</v>
      </c>
      <c r="AG529" s="182" t="n">
        <v>0</v>
      </c>
      <c r="AH529" s="182" t="n">
        <v>0</v>
      </c>
      <c r="AI529" s="182" t="n">
        <v>0</v>
      </c>
      <c r="AJ529" s="182" t="n">
        <v>0</v>
      </c>
      <c r="AK529" s="182" t="n">
        <v>0</v>
      </c>
      <c r="AL529" s="182" t="n">
        <v>0</v>
      </c>
      <c r="AM529" s="182" t="n">
        <v>0.08</v>
      </c>
      <c r="AN529" s="182" t="n">
        <v>0</v>
      </c>
    </row>
    <row r="530">
      <c r="A530" s="155" t="n">
        <v>46084</v>
      </c>
      <c r="B530" s="156" t="inlineStr">
        <is>
          <t>DS</t>
        </is>
      </c>
      <c r="C530" s="156" t="inlineStr">
        <is>
          <t>DT-502</t>
        </is>
      </c>
      <c r="D530" s="156" t="inlineStr">
        <is>
          <t>SKT 105S</t>
        </is>
      </c>
      <c r="E530" s="156" t="inlineStr">
        <is>
          <t>Hauler</t>
        </is>
      </c>
      <c r="F530" s="156" t="inlineStr"/>
      <c r="G530" s="182" t="n">
        <v>0</v>
      </c>
      <c r="H530" s="182" t="n">
        <v>0</v>
      </c>
      <c r="I530" s="182" t="n">
        <v>12</v>
      </c>
      <c r="J530" s="182" t="n">
        <v>12</v>
      </c>
      <c r="K530" s="182" t="n">
        <v>0</v>
      </c>
      <c r="L530" s="182" t="n">
        <v>12</v>
      </c>
      <c r="M530" s="182" t="n">
        <v>0</v>
      </c>
      <c r="N530" s="182" t="n">
        <v>0</v>
      </c>
      <c r="O530" s="183" t="n">
        <v>0</v>
      </c>
      <c r="P530" s="183" t="n">
        <v>0</v>
      </c>
      <c r="Q530" s="184" t="n">
        <v>0</v>
      </c>
      <c r="R530" s="184" t="n">
        <v>0</v>
      </c>
      <c r="S530" s="183" t="n">
        <v>0</v>
      </c>
      <c r="T530" s="183" t="n">
        <v>0</v>
      </c>
      <c r="U530" s="182" t="n">
        <v>0</v>
      </c>
      <c r="V530" s="182" t="n">
        <v>0</v>
      </c>
      <c r="W530" s="182" t="n">
        <v>0</v>
      </c>
      <c r="X530" s="182" t="n">
        <v>0</v>
      </c>
      <c r="Y530" s="182" t="n">
        <v>0</v>
      </c>
      <c r="Z530" s="182" t="n">
        <v>0</v>
      </c>
      <c r="AA530" s="182" t="n">
        <v>0</v>
      </c>
      <c r="AB530" s="182" t="n">
        <v>0</v>
      </c>
      <c r="AC530" s="182" t="n">
        <v>0</v>
      </c>
      <c r="AD530" s="182" t="n">
        <v>0</v>
      </c>
      <c r="AE530" s="182" t="n">
        <v>0</v>
      </c>
      <c r="AF530" s="182" t="n">
        <v>0</v>
      </c>
      <c r="AG530" s="182" t="n">
        <v>0</v>
      </c>
      <c r="AH530" s="182" t="n">
        <v>0</v>
      </c>
      <c r="AI530" s="182" t="n">
        <v>0</v>
      </c>
      <c r="AJ530" s="182" t="n">
        <v>0</v>
      </c>
      <c r="AK530" s="182" t="n">
        <v>0</v>
      </c>
      <c r="AL530" s="182" t="n">
        <v>0</v>
      </c>
      <c r="AM530" s="182" t="n">
        <v>0</v>
      </c>
      <c r="AN530" s="182" t="n">
        <v>0</v>
      </c>
    </row>
    <row r="531">
      <c r="A531" s="155" t="n">
        <v>46084</v>
      </c>
      <c r="B531" s="156" t="inlineStr">
        <is>
          <t>DS</t>
        </is>
      </c>
      <c r="C531" s="156" t="inlineStr">
        <is>
          <t>DT-528</t>
        </is>
      </c>
      <c r="D531" s="156" t="inlineStr">
        <is>
          <t>SKT 105S</t>
        </is>
      </c>
      <c r="E531" s="156" t="inlineStr">
        <is>
          <t>Hauler</t>
        </is>
      </c>
      <c r="F531" s="156" t="inlineStr"/>
      <c r="G531" s="182" t="n">
        <v>0</v>
      </c>
      <c r="H531" s="182" t="n">
        <v>12</v>
      </c>
      <c r="I531" s="182" t="n">
        <v>0</v>
      </c>
      <c r="J531" s="182" t="n">
        <v>12</v>
      </c>
      <c r="K531" s="182" t="n">
        <v>0</v>
      </c>
      <c r="L531" s="182" t="n">
        <v>12</v>
      </c>
      <c r="M531" s="182" t="n">
        <v>0</v>
      </c>
      <c r="N531" s="182" t="n">
        <v>0</v>
      </c>
      <c r="O531" s="183" t="n">
        <v>0</v>
      </c>
      <c r="P531" s="183" t="n">
        <v>0</v>
      </c>
      <c r="Q531" s="184" t="n">
        <v>0</v>
      </c>
      <c r="R531" s="184" t="n">
        <v>0</v>
      </c>
      <c r="S531" s="183" t="n">
        <v>0</v>
      </c>
      <c r="T531" s="183" t="n">
        <v>0</v>
      </c>
      <c r="U531" s="182" t="n">
        <v>0</v>
      </c>
      <c r="V531" s="182" t="n">
        <v>0</v>
      </c>
      <c r="W531" s="182" t="n">
        <v>0</v>
      </c>
      <c r="X531" s="182" t="n">
        <v>0</v>
      </c>
      <c r="Y531" s="182" t="n">
        <v>0</v>
      </c>
      <c r="Z531" s="182" t="n">
        <v>0</v>
      </c>
      <c r="AA531" s="182" t="n">
        <v>0</v>
      </c>
      <c r="AB531" s="182" t="n">
        <v>0</v>
      </c>
      <c r="AC531" s="182" t="n">
        <v>0</v>
      </c>
      <c r="AD531" s="182" t="n">
        <v>0</v>
      </c>
      <c r="AE531" s="182" t="n">
        <v>0</v>
      </c>
      <c r="AF531" s="182" t="n">
        <v>0</v>
      </c>
      <c r="AG531" s="182" t="n">
        <v>0</v>
      </c>
      <c r="AH531" s="182" t="n">
        <v>0</v>
      </c>
      <c r="AI531" s="182" t="n">
        <v>0</v>
      </c>
      <c r="AJ531" s="182" t="n">
        <v>0</v>
      </c>
      <c r="AK531" s="182" t="n">
        <v>0</v>
      </c>
      <c r="AL531" s="182" t="n">
        <v>0</v>
      </c>
      <c r="AM531" s="182" t="n">
        <v>0</v>
      </c>
      <c r="AN531" s="182" t="n">
        <v>0</v>
      </c>
    </row>
    <row r="532">
      <c r="A532" s="155" t="n">
        <v>46084</v>
      </c>
      <c r="B532" s="156" t="inlineStr">
        <is>
          <t>DS</t>
        </is>
      </c>
      <c r="C532" s="156" t="inlineStr">
        <is>
          <t>DT-529</t>
        </is>
      </c>
      <c r="D532" s="156" t="inlineStr">
        <is>
          <t>SKT 105S</t>
        </is>
      </c>
      <c r="E532" s="156" t="inlineStr">
        <is>
          <t>Hauler</t>
        </is>
      </c>
      <c r="F532" s="156" t="inlineStr">
        <is>
          <t>Hauling OB</t>
        </is>
      </c>
      <c r="G532" s="182" t="n">
        <v>9.27</v>
      </c>
      <c r="H532" s="182" t="n">
        <v>0</v>
      </c>
      <c r="I532" s="182" t="n">
        <v>0</v>
      </c>
      <c r="J532" s="182" t="n">
        <v>0</v>
      </c>
      <c r="K532" s="182" t="n">
        <v>2.73</v>
      </c>
      <c r="L532" s="182" t="n">
        <v>12</v>
      </c>
      <c r="M532" s="182" t="n">
        <v>9.27</v>
      </c>
      <c r="N532" s="182" t="n">
        <v>0</v>
      </c>
      <c r="O532" s="183" t="n">
        <v>33</v>
      </c>
      <c r="P532" s="183" t="n">
        <v>0</v>
      </c>
      <c r="Q532" s="184" t="n">
        <v>673.2</v>
      </c>
      <c r="R532" s="184" t="n">
        <v>0</v>
      </c>
      <c r="S532" s="183" t="n">
        <v>0</v>
      </c>
      <c r="T532" s="183" t="n">
        <v>0</v>
      </c>
      <c r="U532" s="182" t="n">
        <v>1.64</v>
      </c>
      <c r="V532" s="182" t="n">
        <v>0</v>
      </c>
      <c r="W532" s="182" t="n">
        <v>0</v>
      </c>
      <c r="X532" s="182" t="n">
        <v>1.01</v>
      </c>
      <c r="Y532" s="182" t="n">
        <v>0</v>
      </c>
      <c r="Z532" s="182" t="n">
        <v>0</v>
      </c>
      <c r="AA532" s="182" t="n">
        <v>0</v>
      </c>
      <c r="AB532" s="182" t="n">
        <v>0</v>
      </c>
      <c r="AC532" s="182" t="n">
        <v>0</v>
      </c>
      <c r="AD532" s="182" t="n">
        <v>0</v>
      </c>
      <c r="AE532" s="182" t="n">
        <v>0</v>
      </c>
      <c r="AF532" s="182" t="n">
        <v>0</v>
      </c>
      <c r="AG532" s="182" t="n">
        <v>0</v>
      </c>
      <c r="AH532" s="182" t="n">
        <v>0</v>
      </c>
      <c r="AI532" s="182" t="n">
        <v>0</v>
      </c>
      <c r="AJ532" s="182" t="n">
        <v>0</v>
      </c>
      <c r="AK532" s="182" t="n">
        <v>0</v>
      </c>
      <c r="AL532" s="182" t="n">
        <v>0</v>
      </c>
      <c r="AM532" s="182" t="n">
        <v>0.08</v>
      </c>
      <c r="AN532" s="182" t="n">
        <v>0</v>
      </c>
    </row>
    <row r="533">
      <c r="A533" s="155" t="n">
        <v>46084</v>
      </c>
      <c r="B533" s="156" t="inlineStr">
        <is>
          <t>DS</t>
        </is>
      </c>
      <c r="C533" s="156" t="inlineStr">
        <is>
          <t>DT-520</t>
        </is>
      </c>
      <c r="D533" s="156" t="inlineStr">
        <is>
          <t>SKT 105S</t>
        </is>
      </c>
      <c r="E533" s="156" t="inlineStr">
        <is>
          <t>Hauler</t>
        </is>
      </c>
      <c r="F533" s="156" t="inlineStr">
        <is>
          <t>Hauling OB</t>
        </is>
      </c>
      <c r="G533" s="182" t="n">
        <v>9.32</v>
      </c>
      <c r="H533" s="182" t="n">
        <v>0</v>
      </c>
      <c r="I533" s="182" t="n">
        <v>0</v>
      </c>
      <c r="J533" s="182" t="n">
        <v>0</v>
      </c>
      <c r="K533" s="182" t="n">
        <v>2.68</v>
      </c>
      <c r="L533" s="182" t="n">
        <v>12</v>
      </c>
      <c r="M533" s="182" t="n">
        <v>9.32</v>
      </c>
      <c r="N533" s="182" t="n">
        <v>0</v>
      </c>
      <c r="O533" s="183" t="n">
        <v>32</v>
      </c>
      <c r="P533" s="183" t="n">
        <v>0</v>
      </c>
      <c r="Q533" s="184" t="n">
        <v>652.8</v>
      </c>
      <c r="R533" s="184" t="n">
        <v>0</v>
      </c>
      <c r="S533" s="183" t="n">
        <v>0</v>
      </c>
      <c r="T533" s="183" t="n">
        <v>0</v>
      </c>
      <c r="U533" s="182" t="n">
        <v>1.68</v>
      </c>
      <c r="V533" s="182" t="n">
        <v>0</v>
      </c>
      <c r="W533" s="182" t="n">
        <v>0</v>
      </c>
      <c r="X533" s="182" t="n">
        <v>0.92</v>
      </c>
      <c r="Y533" s="182" t="n">
        <v>0</v>
      </c>
      <c r="Z533" s="182" t="n">
        <v>0</v>
      </c>
      <c r="AA533" s="182" t="n">
        <v>0</v>
      </c>
      <c r="AB533" s="182" t="n">
        <v>0</v>
      </c>
      <c r="AC533" s="182" t="n">
        <v>0</v>
      </c>
      <c r="AD533" s="182" t="n">
        <v>0</v>
      </c>
      <c r="AE533" s="182" t="n">
        <v>0</v>
      </c>
      <c r="AF533" s="182" t="n">
        <v>0</v>
      </c>
      <c r="AG533" s="182" t="n">
        <v>0</v>
      </c>
      <c r="AH533" s="182" t="n">
        <v>0</v>
      </c>
      <c r="AI533" s="182" t="n">
        <v>0</v>
      </c>
      <c r="AJ533" s="182" t="n">
        <v>0</v>
      </c>
      <c r="AK533" s="182" t="n">
        <v>0</v>
      </c>
      <c r="AL533" s="182" t="n">
        <v>0</v>
      </c>
      <c r="AM533" s="182" t="n">
        <v>0.07000000000000001</v>
      </c>
      <c r="AN533" s="182" t="n">
        <v>0</v>
      </c>
    </row>
    <row r="534">
      <c r="A534" s="155" t="n">
        <v>46084</v>
      </c>
      <c r="B534" s="156" t="inlineStr">
        <is>
          <t>DS</t>
        </is>
      </c>
      <c r="C534" s="156" t="inlineStr">
        <is>
          <t>DT-511</t>
        </is>
      </c>
      <c r="D534" s="156" t="inlineStr">
        <is>
          <t>SKT 105S</t>
        </is>
      </c>
      <c r="E534" s="156" t="inlineStr">
        <is>
          <t>Hauler</t>
        </is>
      </c>
      <c r="F534" s="156" t="inlineStr"/>
      <c r="G534" s="182" t="n">
        <v>0</v>
      </c>
      <c r="H534" s="182" t="n">
        <v>0</v>
      </c>
      <c r="I534" s="182" t="n">
        <v>12</v>
      </c>
      <c r="J534" s="182" t="n">
        <v>12</v>
      </c>
      <c r="K534" s="182" t="n">
        <v>0</v>
      </c>
      <c r="L534" s="182" t="n">
        <v>12</v>
      </c>
      <c r="M534" s="182" t="n">
        <v>0</v>
      </c>
      <c r="N534" s="182" t="n">
        <v>0</v>
      </c>
      <c r="O534" s="183" t="n">
        <v>0</v>
      </c>
      <c r="P534" s="183" t="n">
        <v>0</v>
      </c>
      <c r="Q534" s="184" t="n">
        <v>0</v>
      </c>
      <c r="R534" s="184" t="n">
        <v>0</v>
      </c>
      <c r="S534" s="183" t="n">
        <v>0</v>
      </c>
      <c r="T534" s="183" t="n">
        <v>0</v>
      </c>
      <c r="U534" s="182" t="n">
        <v>0</v>
      </c>
      <c r="V534" s="182" t="n">
        <v>0</v>
      </c>
      <c r="W534" s="182" t="n">
        <v>0</v>
      </c>
      <c r="X534" s="182" t="n">
        <v>0</v>
      </c>
      <c r="Y534" s="182" t="n">
        <v>0</v>
      </c>
      <c r="Z534" s="182" t="n">
        <v>0</v>
      </c>
      <c r="AA534" s="182" t="n">
        <v>0</v>
      </c>
      <c r="AB534" s="182" t="n">
        <v>0</v>
      </c>
      <c r="AC534" s="182" t="n">
        <v>0</v>
      </c>
      <c r="AD534" s="182" t="n">
        <v>0</v>
      </c>
      <c r="AE534" s="182" t="n">
        <v>0</v>
      </c>
      <c r="AF534" s="182" t="n">
        <v>0</v>
      </c>
      <c r="AG534" s="182" t="n">
        <v>0</v>
      </c>
      <c r="AH534" s="182" t="n">
        <v>0</v>
      </c>
      <c r="AI534" s="182" t="n">
        <v>0</v>
      </c>
      <c r="AJ534" s="182" t="n">
        <v>0</v>
      </c>
      <c r="AK534" s="182" t="n">
        <v>0</v>
      </c>
      <c r="AL534" s="182" t="n">
        <v>0</v>
      </c>
      <c r="AM534" s="182" t="n">
        <v>0</v>
      </c>
      <c r="AN534" s="182" t="n">
        <v>0</v>
      </c>
    </row>
    <row r="535">
      <c r="A535" s="155" t="n">
        <v>46084</v>
      </c>
      <c r="B535" s="156" t="inlineStr">
        <is>
          <t>DS</t>
        </is>
      </c>
      <c r="C535" s="156" t="inlineStr">
        <is>
          <t>DT-509</t>
        </is>
      </c>
      <c r="D535" s="156" t="inlineStr">
        <is>
          <t>SKT 105S</t>
        </is>
      </c>
      <c r="E535" s="156" t="inlineStr">
        <is>
          <t>Hauler</t>
        </is>
      </c>
      <c r="F535" s="156" t="inlineStr"/>
      <c r="G535" s="182" t="n">
        <v>0</v>
      </c>
      <c r="H535" s="182" t="n">
        <v>0</v>
      </c>
      <c r="I535" s="182" t="n">
        <v>12</v>
      </c>
      <c r="J535" s="182" t="n">
        <v>12</v>
      </c>
      <c r="K535" s="182" t="n">
        <v>0</v>
      </c>
      <c r="L535" s="182" t="n">
        <v>12</v>
      </c>
      <c r="M535" s="182" t="n">
        <v>0</v>
      </c>
      <c r="N535" s="182" t="n">
        <v>0</v>
      </c>
      <c r="O535" s="183" t="n">
        <v>0</v>
      </c>
      <c r="P535" s="183" t="n">
        <v>0</v>
      </c>
      <c r="Q535" s="184" t="n">
        <v>0</v>
      </c>
      <c r="R535" s="184" t="n">
        <v>0</v>
      </c>
      <c r="S535" s="183" t="n">
        <v>0</v>
      </c>
      <c r="T535" s="183" t="n">
        <v>0</v>
      </c>
      <c r="U535" s="182" t="n">
        <v>0</v>
      </c>
      <c r="V535" s="182" t="n">
        <v>0</v>
      </c>
      <c r="W535" s="182" t="n">
        <v>0</v>
      </c>
      <c r="X535" s="182" t="n">
        <v>0</v>
      </c>
      <c r="Y535" s="182" t="n">
        <v>0</v>
      </c>
      <c r="Z535" s="182" t="n">
        <v>0</v>
      </c>
      <c r="AA535" s="182" t="n">
        <v>0</v>
      </c>
      <c r="AB535" s="182" t="n">
        <v>0</v>
      </c>
      <c r="AC535" s="182" t="n">
        <v>0</v>
      </c>
      <c r="AD535" s="182" t="n">
        <v>0</v>
      </c>
      <c r="AE535" s="182" t="n">
        <v>0</v>
      </c>
      <c r="AF535" s="182" t="n">
        <v>0</v>
      </c>
      <c r="AG535" s="182" t="n">
        <v>0</v>
      </c>
      <c r="AH535" s="182" t="n">
        <v>0</v>
      </c>
      <c r="AI535" s="182" t="n">
        <v>0</v>
      </c>
      <c r="AJ535" s="182" t="n">
        <v>0</v>
      </c>
      <c r="AK535" s="182" t="n">
        <v>0</v>
      </c>
      <c r="AL535" s="182" t="n">
        <v>0</v>
      </c>
      <c r="AM535" s="182" t="n">
        <v>0</v>
      </c>
      <c r="AN535" s="182" t="n">
        <v>0</v>
      </c>
    </row>
    <row r="536">
      <c r="A536" s="155" t="n">
        <v>46084</v>
      </c>
      <c r="B536" s="156" t="inlineStr">
        <is>
          <t>DS</t>
        </is>
      </c>
      <c r="C536" s="156" t="inlineStr">
        <is>
          <t>DT-526</t>
        </is>
      </c>
      <c r="D536" s="156" t="inlineStr">
        <is>
          <t>SKT 105S</t>
        </is>
      </c>
      <c r="E536" s="156" t="inlineStr">
        <is>
          <t>Hauler</t>
        </is>
      </c>
      <c r="F536" s="156" t="inlineStr">
        <is>
          <t>Hauling OB</t>
        </is>
      </c>
      <c r="G536" s="182" t="n">
        <v>5.87</v>
      </c>
      <c r="H536" s="182" t="n">
        <v>0</v>
      </c>
      <c r="I536" s="182" t="n">
        <v>0</v>
      </c>
      <c r="J536" s="182" t="n">
        <v>0</v>
      </c>
      <c r="K536" s="182" t="n">
        <v>6.13</v>
      </c>
      <c r="L536" s="182" t="n">
        <v>12</v>
      </c>
      <c r="M536" s="182" t="n">
        <v>5.64</v>
      </c>
      <c r="N536" s="182" t="n">
        <v>0</v>
      </c>
      <c r="O536" s="183" t="n">
        <v>17</v>
      </c>
      <c r="P536" s="183" t="n">
        <v>0</v>
      </c>
      <c r="Q536" s="184" t="n">
        <v>346.8</v>
      </c>
      <c r="R536" s="184" t="n">
        <v>0</v>
      </c>
      <c r="S536" s="183" t="n">
        <v>0</v>
      </c>
      <c r="T536" s="183" t="n">
        <v>0</v>
      </c>
      <c r="U536" s="182" t="n">
        <v>3</v>
      </c>
      <c r="V536" s="182" t="n">
        <v>0</v>
      </c>
      <c r="W536" s="182" t="n">
        <v>0</v>
      </c>
      <c r="X536" s="182" t="n">
        <v>0.99</v>
      </c>
      <c r="Y536" s="182" t="n">
        <v>0</v>
      </c>
      <c r="Z536" s="182" t="n">
        <v>0</v>
      </c>
      <c r="AA536" s="182" t="n">
        <v>0</v>
      </c>
      <c r="AB536" s="182" t="n">
        <v>0</v>
      </c>
      <c r="AC536" s="182" t="n">
        <v>0</v>
      </c>
      <c r="AD536" s="182" t="n">
        <v>2.07</v>
      </c>
      <c r="AE536" s="182" t="n">
        <v>0</v>
      </c>
      <c r="AF536" s="182" t="n">
        <v>0</v>
      </c>
      <c r="AG536" s="182" t="n">
        <v>0</v>
      </c>
      <c r="AH536" s="182" t="n">
        <v>0</v>
      </c>
      <c r="AI536" s="182" t="n">
        <v>0</v>
      </c>
      <c r="AJ536" s="182" t="n">
        <v>0</v>
      </c>
      <c r="AK536" s="182" t="n">
        <v>0</v>
      </c>
      <c r="AL536" s="182" t="n">
        <v>0</v>
      </c>
      <c r="AM536" s="182" t="n">
        <v>0.08</v>
      </c>
      <c r="AN536" s="182" t="n">
        <v>0</v>
      </c>
    </row>
    <row r="537">
      <c r="A537" s="155" t="n">
        <v>46084</v>
      </c>
      <c r="B537" s="156" t="inlineStr">
        <is>
          <t>DS</t>
        </is>
      </c>
      <c r="C537" s="156" t="inlineStr">
        <is>
          <t>DT-508</t>
        </is>
      </c>
      <c r="D537" s="156" t="inlineStr">
        <is>
          <t>SKT 105S</t>
        </is>
      </c>
      <c r="E537" s="156" t="inlineStr">
        <is>
          <t>Hauler</t>
        </is>
      </c>
      <c r="F537" s="156" t="inlineStr">
        <is>
          <t>Hauling OB</t>
        </is>
      </c>
      <c r="G537" s="182" t="n">
        <v>8.81</v>
      </c>
      <c r="H537" s="182" t="n">
        <v>0</v>
      </c>
      <c r="I537" s="182" t="n">
        <v>0</v>
      </c>
      <c r="J537" s="182" t="n">
        <v>0</v>
      </c>
      <c r="K537" s="182" t="n">
        <v>3.19</v>
      </c>
      <c r="L537" s="182" t="n">
        <v>12</v>
      </c>
      <c r="M537" s="182" t="n">
        <v>8.81</v>
      </c>
      <c r="N537" s="182" t="n">
        <v>0</v>
      </c>
      <c r="O537" s="183" t="n">
        <v>32</v>
      </c>
      <c r="P537" s="183" t="n">
        <v>0</v>
      </c>
      <c r="Q537" s="184" t="n">
        <v>652.8</v>
      </c>
      <c r="R537" s="184" t="n">
        <v>0</v>
      </c>
      <c r="S537" s="183" t="n">
        <v>0</v>
      </c>
      <c r="T537" s="183" t="n">
        <v>0</v>
      </c>
      <c r="U537" s="182" t="n">
        <v>2.08</v>
      </c>
      <c r="V537" s="182" t="n">
        <v>0</v>
      </c>
      <c r="W537" s="182" t="n">
        <v>0</v>
      </c>
      <c r="X537" s="182" t="n">
        <v>1.03</v>
      </c>
      <c r="Y537" s="182" t="n">
        <v>0</v>
      </c>
      <c r="Z537" s="182" t="n">
        <v>0</v>
      </c>
      <c r="AA537" s="182" t="n">
        <v>0</v>
      </c>
      <c r="AB537" s="182" t="n">
        <v>0</v>
      </c>
      <c r="AC537" s="182" t="n">
        <v>0</v>
      </c>
      <c r="AD537" s="182" t="n">
        <v>0</v>
      </c>
      <c r="AE537" s="182" t="n">
        <v>0</v>
      </c>
      <c r="AF537" s="182" t="n">
        <v>0</v>
      </c>
      <c r="AG537" s="182" t="n">
        <v>0</v>
      </c>
      <c r="AH537" s="182" t="n">
        <v>0</v>
      </c>
      <c r="AI537" s="182" t="n">
        <v>0</v>
      </c>
      <c r="AJ537" s="182" t="n">
        <v>0</v>
      </c>
      <c r="AK537" s="182" t="n">
        <v>0</v>
      </c>
      <c r="AL537" s="182" t="n">
        <v>0</v>
      </c>
      <c r="AM537" s="182" t="n">
        <v>0.08</v>
      </c>
      <c r="AN537" s="182" t="n">
        <v>0</v>
      </c>
    </row>
    <row r="538">
      <c r="A538" s="155" t="n">
        <v>46084</v>
      </c>
      <c r="B538" s="156" t="inlineStr">
        <is>
          <t>DS</t>
        </is>
      </c>
      <c r="C538" s="156" t="inlineStr">
        <is>
          <t>DT-515</t>
        </is>
      </c>
      <c r="D538" s="156" t="inlineStr">
        <is>
          <t>SKT 105S</t>
        </is>
      </c>
      <c r="E538" s="156" t="inlineStr">
        <is>
          <t>Hauler</t>
        </is>
      </c>
      <c r="F538" s="156" t="inlineStr"/>
      <c r="G538" s="182" t="n">
        <v>0</v>
      </c>
      <c r="H538" s="182" t="n">
        <v>12</v>
      </c>
      <c r="I538" s="182" t="n">
        <v>0</v>
      </c>
      <c r="J538" s="182" t="n">
        <v>12</v>
      </c>
      <c r="K538" s="182" t="n">
        <v>0</v>
      </c>
      <c r="L538" s="182" t="n">
        <v>12</v>
      </c>
      <c r="M538" s="182" t="n">
        <v>0</v>
      </c>
      <c r="N538" s="182" t="n">
        <v>0</v>
      </c>
      <c r="O538" s="183" t="n">
        <v>0</v>
      </c>
      <c r="P538" s="183" t="n">
        <v>0</v>
      </c>
      <c r="Q538" s="184" t="n">
        <v>0</v>
      </c>
      <c r="R538" s="184" t="n">
        <v>0</v>
      </c>
      <c r="S538" s="183" t="n">
        <v>0</v>
      </c>
      <c r="T538" s="183" t="n">
        <v>0</v>
      </c>
      <c r="U538" s="182" t="n">
        <v>0</v>
      </c>
      <c r="V538" s="182" t="n">
        <v>0</v>
      </c>
      <c r="W538" s="182" t="n">
        <v>0</v>
      </c>
      <c r="X538" s="182" t="n">
        <v>0</v>
      </c>
      <c r="Y538" s="182" t="n">
        <v>0</v>
      </c>
      <c r="Z538" s="182" t="n">
        <v>0</v>
      </c>
      <c r="AA538" s="182" t="n">
        <v>0</v>
      </c>
      <c r="AB538" s="182" t="n">
        <v>0</v>
      </c>
      <c r="AC538" s="182" t="n">
        <v>0</v>
      </c>
      <c r="AD538" s="182" t="n">
        <v>0</v>
      </c>
      <c r="AE538" s="182" t="n">
        <v>0</v>
      </c>
      <c r="AF538" s="182" t="n">
        <v>0</v>
      </c>
      <c r="AG538" s="182" t="n">
        <v>0</v>
      </c>
      <c r="AH538" s="182" t="n">
        <v>0</v>
      </c>
      <c r="AI538" s="182" t="n">
        <v>0</v>
      </c>
      <c r="AJ538" s="182" t="n">
        <v>0</v>
      </c>
      <c r="AK538" s="182" t="n">
        <v>0</v>
      </c>
      <c r="AL538" s="182" t="n">
        <v>0</v>
      </c>
      <c r="AM538" s="182" t="n">
        <v>0</v>
      </c>
      <c r="AN538" s="182" t="n">
        <v>0</v>
      </c>
    </row>
    <row r="539">
      <c r="A539" s="155" t="n">
        <v>46084</v>
      </c>
      <c r="B539" s="156" t="inlineStr">
        <is>
          <t>DS</t>
        </is>
      </c>
      <c r="C539" s="156" t="inlineStr">
        <is>
          <t>DT-524</t>
        </is>
      </c>
      <c r="D539" s="156" t="inlineStr">
        <is>
          <t>SKT 105S</t>
        </is>
      </c>
      <c r="E539" s="156" t="inlineStr">
        <is>
          <t>Hauler</t>
        </is>
      </c>
      <c r="F539" s="156" t="inlineStr">
        <is>
          <t>Hauling OB</t>
        </is>
      </c>
      <c r="G539" s="182" t="n">
        <v>6.56</v>
      </c>
      <c r="H539" s="182" t="n">
        <v>0</v>
      </c>
      <c r="I539" s="182" t="n">
        <v>0</v>
      </c>
      <c r="J539" s="182" t="n">
        <v>0</v>
      </c>
      <c r="K539" s="182" t="n">
        <v>5.44</v>
      </c>
      <c r="L539" s="182" t="n">
        <v>12</v>
      </c>
      <c r="M539" s="182" t="n">
        <v>6.56</v>
      </c>
      <c r="N539" s="182" t="n">
        <v>0</v>
      </c>
      <c r="O539" s="183" t="n">
        <v>23</v>
      </c>
      <c r="P539" s="183" t="n">
        <v>0</v>
      </c>
      <c r="Q539" s="184" t="n">
        <v>443.6</v>
      </c>
      <c r="R539" s="184" t="n">
        <v>0</v>
      </c>
      <c r="S539" s="183" t="n">
        <v>0</v>
      </c>
      <c r="T539" s="183" t="n">
        <v>0</v>
      </c>
      <c r="U539" s="182" t="n">
        <v>3.17</v>
      </c>
      <c r="V539" s="182" t="n">
        <v>0</v>
      </c>
      <c r="W539" s="182" t="n">
        <v>0</v>
      </c>
      <c r="X539" s="182" t="n">
        <v>1.05</v>
      </c>
      <c r="Y539" s="182" t="n">
        <v>0</v>
      </c>
      <c r="Z539" s="182" t="n">
        <v>0</v>
      </c>
      <c r="AA539" s="182" t="n">
        <v>0</v>
      </c>
      <c r="AB539" s="182" t="n">
        <v>0</v>
      </c>
      <c r="AC539" s="182" t="n">
        <v>0</v>
      </c>
      <c r="AD539" s="182" t="n">
        <v>1.14</v>
      </c>
      <c r="AE539" s="182" t="n">
        <v>0</v>
      </c>
      <c r="AF539" s="182" t="n">
        <v>0</v>
      </c>
      <c r="AG539" s="182" t="n">
        <v>0</v>
      </c>
      <c r="AH539" s="182" t="n">
        <v>0</v>
      </c>
      <c r="AI539" s="182" t="n">
        <v>0</v>
      </c>
      <c r="AJ539" s="182" t="n">
        <v>0</v>
      </c>
      <c r="AK539" s="182" t="n">
        <v>0</v>
      </c>
      <c r="AL539" s="182" t="n">
        <v>0</v>
      </c>
      <c r="AM539" s="182" t="n">
        <v>0.08</v>
      </c>
      <c r="AN539" s="182" t="n">
        <v>0</v>
      </c>
    </row>
    <row r="540">
      <c r="A540" s="155" t="n">
        <v>46084</v>
      </c>
      <c r="B540" s="156" t="inlineStr">
        <is>
          <t>DS</t>
        </is>
      </c>
      <c r="C540" s="156" t="inlineStr">
        <is>
          <t>DT-341</t>
        </is>
      </c>
      <c r="D540" s="156" t="inlineStr">
        <is>
          <t>SYZ324C-8W</t>
        </is>
      </c>
      <c r="E540" s="156" t="inlineStr">
        <is>
          <t>Hauler</t>
        </is>
      </c>
      <c r="F540" s="156" t="inlineStr">
        <is>
          <t>Rehandling Dirty</t>
        </is>
      </c>
      <c r="G540" s="182" t="n">
        <v>6.28</v>
      </c>
      <c r="H540" s="182" t="n">
        <v>0</v>
      </c>
      <c r="I540" s="182" t="n">
        <v>0</v>
      </c>
      <c r="J540" s="182" t="n">
        <v>0</v>
      </c>
      <c r="K540" s="182" t="n">
        <v>5.72</v>
      </c>
      <c r="L540" s="182" t="n">
        <v>12</v>
      </c>
      <c r="M540" s="182" t="n">
        <v>0</v>
      </c>
      <c r="N540" s="182" t="n">
        <v>0</v>
      </c>
      <c r="O540" s="183" t="n">
        <v>0</v>
      </c>
      <c r="P540" s="183" t="n">
        <v>0</v>
      </c>
      <c r="Q540" s="184" t="n">
        <v>0</v>
      </c>
      <c r="R540" s="184" t="n">
        <v>0</v>
      </c>
      <c r="S540" s="183" t="n">
        <v>0</v>
      </c>
      <c r="T540" s="183" t="n">
        <v>0</v>
      </c>
      <c r="U540" s="182" t="n">
        <v>0</v>
      </c>
      <c r="V540" s="182" t="n">
        <v>0</v>
      </c>
      <c r="W540" s="182" t="n">
        <v>0</v>
      </c>
      <c r="X540" s="182" t="n">
        <v>0.99</v>
      </c>
      <c r="Y540" s="182" t="n">
        <v>0</v>
      </c>
      <c r="Z540" s="182" t="n">
        <v>0</v>
      </c>
      <c r="AA540" s="182" t="n">
        <v>0</v>
      </c>
      <c r="AB540" s="182" t="n">
        <v>0</v>
      </c>
      <c r="AC540" s="182" t="n">
        <v>0</v>
      </c>
      <c r="AD540" s="182" t="n">
        <v>0</v>
      </c>
      <c r="AE540" s="182" t="n">
        <v>0</v>
      </c>
      <c r="AF540" s="182" t="n">
        <v>0</v>
      </c>
      <c r="AG540" s="182" t="n">
        <v>0</v>
      </c>
      <c r="AH540" s="182" t="n">
        <v>0</v>
      </c>
      <c r="AI540" s="182" t="n">
        <v>0</v>
      </c>
      <c r="AJ540" s="182" t="n">
        <v>0</v>
      </c>
      <c r="AK540" s="182" t="n">
        <v>4.65</v>
      </c>
      <c r="AL540" s="182" t="n">
        <v>0</v>
      </c>
      <c r="AM540" s="182" t="n">
        <v>0.08</v>
      </c>
      <c r="AN540" s="182" t="n">
        <v>0</v>
      </c>
    </row>
    <row r="541">
      <c r="A541" s="155" t="n">
        <v>46084</v>
      </c>
      <c r="B541" s="156" t="inlineStr">
        <is>
          <t>DS</t>
        </is>
      </c>
      <c r="C541" s="156" t="inlineStr">
        <is>
          <t>DT-342</t>
        </is>
      </c>
      <c r="D541" s="156" t="inlineStr">
        <is>
          <t>SYZ324C-8W</t>
        </is>
      </c>
      <c r="E541" s="156" t="inlineStr">
        <is>
          <t>Hauler</t>
        </is>
      </c>
      <c r="F541" s="156" t="inlineStr">
        <is>
          <t>Rehandling Dirty</t>
        </is>
      </c>
      <c r="G541" s="182" t="n">
        <v>6.18</v>
      </c>
      <c r="H541" s="182" t="n">
        <v>0</v>
      </c>
      <c r="I541" s="182" t="n">
        <v>0</v>
      </c>
      <c r="J541" s="182" t="n">
        <v>0</v>
      </c>
      <c r="K541" s="182" t="n">
        <v>5.82</v>
      </c>
      <c r="L541" s="182" t="n">
        <v>12</v>
      </c>
      <c r="M541" s="182" t="n">
        <v>0</v>
      </c>
      <c r="N541" s="182" t="n">
        <v>0</v>
      </c>
      <c r="O541" s="183" t="n">
        <v>0</v>
      </c>
      <c r="P541" s="183" t="n">
        <v>0</v>
      </c>
      <c r="Q541" s="184" t="n">
        <v>0</v>
      </c>
      <c r="R541" s="184" t="n">
        <v>0</v>
      </c>
      <c r="S541" s="183" t="n">
        <v>0</v>
      </c>
      <c r="T541" s="183" t="n">
        <v>0</v>
      </c>
      <c r="U541" s="182" t="n">
        <v>0</v>
      </c>
      <c r="V541" s="182" t="n">
        <v>0</v>
      </c>
      <c r="W541" s="182" t="n">
        <v>0</v>
      </c>
      <c r="X541" s="182" t="n">
        <v>1</v>
      </c>
      <c r="Y541" s="182" t="n">
        <v>0</v>
      </c>
      <c r="Z541" s="182" t="n">
        <v>0</v>
      </c>
      <c r="AA541" s="182" t="n">
        <v>0</v>
      </c>
      <c r="AB541" s="182" t="n">
        <v>0</v>
      </c>
      <c r="AC541" s="182" t="n">
        <v>0</v>
      </c>
      <c r="AD541" s="182" t="n">
        <v>0</v>
      </c>
      <c r="AE541" s="182" t="n">
        <v>0</v>
      </c>
      <c r="AF541" s="182" t="n">
        <v>0</v>
      </c>
      <c r="AG541" s="182" t="n">
        <v>0</v>
      </c>
      <c r="AH541" s="182" t="n">
        <v>0</v>
      </c>
      <c r="AI541" s="182" t="n">
        <v>0</v>
      </c>
      <c r="AJ541" s="182" t="n">
        <v>0</v>
      </c>
      <c r="AK541" s="182" t="n">
        <v>4.74</v>
      </c>
      <c r="AL541" s="182" t="n">
        <v>0</v>
      </c>
      <c r="AM541" s="182" t="n">
        <v>0.08</v>
      </c>
      <c r="AN541" s="182" t="n">
        <v>0</v>
      </c>
    </row>
    <row r="542">
      <c r="A542" s="155" t="n">
        <v>46084</v>
      </c>
      <c r="B542" s="156" t="inlineStr">
        <is>
          <t>DS</t>
        </is>
      </c>
      <c r="C542" s="156" t="inlineStr">
        <is>
          <t>HD-903</t>
        </is>
      </c>
      <c r="D542" s="156" t="inlineStr">
        <is>
          <t>SRT 95C</t>
        </is>
      </c>
      <c r="E542" s="156" t="inlineStr">
        <is>
          <t>Hauler</t>
        </is>
      </c>
      <c r="F542" s="156" t="inlineStr">
        <is>
          <t>Hauling OB</t>
        </is>
      </c>
      <c r="G542" s="182" t="n">
        <v>4.54</v>
      </c>
      <c r="H542" s="182" t="n">
        <v>0</v>
      </c>
      <c r="I542" s="182" t="n">
        <v>0</v>
      </c>
      <c r="J542" s="182" t="n">
        <v>0</v>
      </c>
      <c r="K542" s="182" t="n">
        <v>7.46</v>
      </c>
      <c r="L542" s="182" t="n">
        <v>12</v>
      </c>
      <c r="M542" s="182" t="n">
        <v>4.54</v>
      </c>
      <c r="N542" s="182" t="n">
        <v>0</v>
      </c>
      <c r="O542" s="183" t="n">
        <v>17</v>
      </c>
      <c r="P542" s="183" t="n">
        <v>0</v>
      </c>
      <c r="Q542" s="184" t="n">
        <v>606.9</v>
      </c>
      <c r="R542" s="184" t="n">
        <v>0</v>
      </c>
      <c r="S542" s="183" t="n">
        <v>0</v>
      </c>
      <c r="T542" s="183" t="n">
        <v>0</v>
      </c>
      <c r="U542" s="182" t="n">
        <v>3.1</v>
      </c>
      <c r="V542" s="182" t="n">
        <v>0</v>
      </c>
      <c r="W542" s="182" t="n">
        <v>0</v>
      </c>
      <c r="X542" s="182" t="n">
        <v>1.02</v>
      </c>
      <c r="Y542" s="182" t="n">
        <v>0</v>
      </c>
      <c r="Z542" s="182" t="n">
        <v>0</v>
      </c>
      <c r="AA542" s="182" t="n">
        <v>0</v>
      </c>
      <c r="AB542" s="182" t="n">
        <v>0</v>
      </c>
      <c r="AC542" s="182" t="n">
        <v>0</v>
      </c>
      <c r="AD542" s="182" t="n">
        <v>0</v>
      </c>
      <c r="AE542" s="182" t="n">
        <v>0</v>
      </c>
      <c r="AF542" s="182" t="n">
        <v>0</v>
      </c>
      <c r="AG542" s="182" t="n">
        <v>0</v>
      </c>
      <c r="AH542" s="182" t="n">
        <v>0</v>
      </c>
      <c r="AI542" s="182" t="n">
        <v>3.26</v>
      </c>
      <c r="AJ542" s="182" t="n">
        <v>0</v>
      </c>
      <c r="AK542" s="182" t="n">
        <v>0</v>
      </c>
      <c r="AL542" s="182" t="n">
        <v>0</v>
      </c>
      <c r="AM542" s="182" t="n">
        <v>0.08</v>
      </c>
      <c r="AN542" s="182" t="n">
        <v>0</v>
      </c>
    </row>
    <row r="543">
      <c r="A543" s="155" t="n">
        <v>46084</v>
      </c>
      <c r="B543" s="156" t="inlineStr">
        <is>
          <t>DS</t>
        </is>
      </c>
      <c r="C543" s="156" t="inlineStr">
        <is>
          <t>HD-905</t>
        </is>
      </c>
      <c r="D543" s="156" t="inlineStr">
        <is>
          <t>SRT 95C</t>
        </is>
      </c>
      <c r="E543" s="156" t="inlineStr">
        <is>
          <t>Hauler</t>
        </is>
      </c>
      <c r="F543" s="156" t="inlineStr">
        <is>
          <t>Hauling OB</t>
        </is>
      </c>
      <c r="G543" s="182" t="n">
        <v>2.01</v>
      </c>
      <c r="H543" s="182" t="n">
        <v>0</v>
      </c>
      <c r="I543" s="182" t="n">
        <v>0</v>
      </c>
      <c r="J543" s="182" t="n">
        <v>0</v>
      </c>
      <c r="K543" s="182" t="n">
        <v>9.99</v>
      </c>
      <c r="L543" s="182" t="n">
        <v>12</v>
      </c>
      <c r="M543" s="182" t="n">
        <v>2.01</v>
      </c>
      <c r="N543" s="182" t="n">
        <v>0</v>
      </c>
      <c r="O543" s="183" t="n">
        <v>8</v>
      </c>
      <c r="P543" s="183" t="n">
        <v>0</v>
      </c>
      <c r="Q543" s="184" t="n">
        <v>285.6</v>
      </c>
      <c r="R543" s="184" t="n">
        <v>0</v>
      </c>
      <c r="S543" s="183" t="n">
        <v>0</v>
      </c>
      <c r="T543" s="183" t="n">
        <v>0</v>
      </c>
      <c r="U543" s="182" t="n">
        <v>3.12</v>
      </c>
      <c r="V543" s="182" t="n">
        <v>0</v>
      </c>
      <c r="W543" s="182" t="n">
        <v>0</v>
      </c>
      <c r="X543" s="182" t="n">
        <v>1.03</v>
      </c>
      <c r="Y543" s="182" t="n">
        <v>0</v>
      </c>
      <c r="Z543" s="182" t="n">
        <v>0</v>
      </c>
      <c r="AA543" s="182" t="n">
        <v>0</v>
      </c>
      <c r="AB543" s="182" t="n">
        <v>0</v>
      </c>
      <c r="AC543" s="182" t="n">
        <v>0</v>
      </c>
      <c r="AD543" s="182" t="n">
        <v>0</v>
      </c>
      <c r="AE543" s="182" t="n">
        <v>0</v>
      </c>
      <c r="AF543" s="182" t="n">
        <v>0</v>
      </c>
      <c r="AG543" s="182" t="n">
        <v>0</v>
      </c>
      <c r="AH543" s="182" t="n">
        <v>0</v>
      </c>
      <c r="AI543" s="182" t="n">
        <v>5.76</v>
      </c>
      <c r="AJ543" s="182" t="n">
        <v>0</v>
      </c>
      <c r="AK543" s="182" t="n">
        <v>0</v>
      </c>
      <c r="AL543" s="182" t="n">
        <v>0</v>
      </c>
      <c r="AM543" s="182" t="n">
        <v>0.08</v>
      </c>
      <c r="AN543" s="182" t="n">
        <v>0</v>
      </c>
    </row>
    <row r="544">
      <c r="A544" s="155" t="n">
        <v>46084</v>
      </c>
      <c r="B544" s="156" t="inlineStr">
        <is>
          <t>DS</t>
        </is>
      </c>
      <c r="C544" s="156" t="inlineStr">
        <is>
          <t>HD-901</t>
        </is>
      </c>
      <c r="D544" s="156" t="inlineStr">
        <is>
          <t>SRT 95C</t>
        </is>
      </c>
      <c r="E544" s="156" t="inlineStr">
        <is>
          <t>Hauler</t>
        </is>
      </c>
      <c r="F544" s="156" t="inlineStr"/>
      <c r="G544" s="182" t="n">
        <v>0</v>
      </c>
      <c r="H544" s="182" t="n">
        <v>12</v>
      </c>
      <c r="I544" s="182" t="n">
        <v>0</v>
      </c>
      <c r="J544" s="182" t="n">
        <v>12</v>
      </c>
      <c r="K544" s="182" t="n">
        <v>0</v>
      </c>
      <c r="L544" s="182" t="n">
        <v>12</v>
      </c>
      <c r="M544" s="182" t="n">
        <v>0</v>
      </c>
      <c r="N544" s="182" t="n">
        <v>0</v>
      </c>
      <c r="O544" s="183" t="n">
        <v>0</v>
      </c>
      <c r="P544" s="183" t="n">
        <v>0</v>
      </c>
      <c r="Q544" s="184" t="n">
        <v>0</v>
      </c>
      <c r="R544" s="184" t="n">
        <v>0</v>
      </c>
      <c r="S544" s="183" t="n">
        <v>0</v>
      </c>
      <c r="T544" s="183" t="n">
        <v>0</v>
      </c>
      <c r="U544" s="182" t="n">
        <v>0</v>
      </c>
      <c r="V544" s="182" t="n">
        <v>0</v>
      </c>
      <c r="W544" s="182" t="n">
        <v>0</v>
      </c>
      <c r="X544" s="182" t="n">
        <v>0</v>
      </c>
      <c r="Y544" s="182" t="n">
        <v>0</v>
      </c>
      <c r="Z544" s="182" t="n">
        <v>0</v>
      </c>
      <c r="AA544" s="182" t="n">
        <v>0</v>
      </c>
      <c r="AB544" s="182" t="n">
        <v>0</v>
      </c>
      <c r="AC544" s="182" t="n">
        <v>0</v>
      </c>
      <c r="AD544" s="182" t="n">
        <v>0</v>
      </c>
      <c r="AE544" s="182" t="n">
        <v>0</v>
      </c>
      <c r="AF544" s="182" t="n">
        <v>0</v>
      </c>
      <c r="AG544" s="182" t="n">
        <v>0</v>
      </c>
      <c r="AH544" s="182" t="n">
        <v>0</v>
      </c>
      <c r="AI544" s="182" t="n">
        <v>0</v>
      </c>
      <c r="AJ544" s="182" t="n">
        <v>0</v>
      </c>
      <c r="AK544" s="182" t="n">
        <v>0</v>
      </c>
      <c r="AL544" s="182" t="n">
        <v>0</v>
      </c>
      <c r="AM544" s="182" t="n">
        <v>0</v>
      </c>
      <c r="AN544" s="182" t="n">
        <v>0</v>
      </c>
    </row>
    <row r="545">
      <c r="A545" s="155" t="n">
        <v>46084</v>
      </c>
      <c r="B545" s="156" t="inlineStr">
        <is>
          <t>DS</t>
        </is>
      </c>
      <c r="C545" s="156" t="inlineStr">
        <is>
          <t>HD-904</t>
        </is>
      </c>
      <c r="D545" s="156" t="inlineStr">
        <is>
          <t>SRT 95C</t>
        </is>
      </c>
      <c r="E545" s="156" t="inlineStr">
        <is>
          <t>Hauler</t>
        </is>
      </c>
      <c r="F545" s="156" t="inlineStr">
        <is>
          <t>Hauling OB</t>
        </is>
      </c>
      <c r="G545" s="182" t="n">
        <v>3.03</v>
      </c>
      <c r="H545" s="182" t="n">
        <v>0</v>
      </c>
      <c r="I545" s="182" t="n">
        <v>0</v>
      </c>
      <c r="J545" s="182" t="n">
        <v>0</v>
      </c>
      <c r="K545" s="182" t="n">
        <v>8.970000000000001</v>
      </c>
      <c r="L545" s="182" t="n">
        <v>12</v>
      </c>
      <c r="M545" s="182" t="n">
        <v>3.03</v>
      </c>
      <c r="N545" s="182" t="n">
        <v>0</v>
      </c>
      <c r="O545" s="183" t="n">
        <v>19</v>
      </c>
      <c r="P545" s="183" t="n">
        <v>0</v>
      </c>
      <c r="Q545" s="184" t="n">
        <v>678.3</v>
      </c>
      <c r="R545" s="184" t="n">
        <v>0</v>
      </c>
      <c r="S545" s="183" t="n">
        <v>0</v>
      </c>
      <c r="T545" s="183" t="n">
        <v>0</v>
      </c>
      <c r="U545" s="182" t="n">
        <v>3.02</v>
      </c>
      <c r="V545" s="182" t="n">
        <v>0</v>
      </c>
      <c r="W545" s="182" t="n">
        <v>0</v>
      </c>
      <c r="X545" s="182" t="n">
        <v>1</v>
      </c>
      <c r="Y545" s="182" t="n">
        <v>0</v>
      </c>
      <c r="Z545" s="182" t="n">
        <v>0</v>
      </c>
      <c r="AA545" s="182" t="n">
        <v>0</v>
      </c>
      <c r="AB545" s="182" t="n">
        <v>0</v>
      </c>
      <c r="AC545" s="182" t="n">
        <v>0</v>
      </c>
      <c r="AD545" s="182" t="n">
        <v>0</v>
      </c>
      <c r="AE545" s="182" t="n">
        <v>0</v>
      </c>
      <c r="AF545" s="182" t="n">
        <v>0</v>
      </c>
      <c r="AG545" s="182" t="n">
        <v>0</v>
      </c>
      <c r="AH545" s="182" t="n">
        <v>0</v>
      </c>
      <c r="AI545" s="182" t="n">
        <v>4.87</v>
      </c>
      <c r="AJ545" s="182" t="n">
        <v>0</v>
      </c>
      <c r="AK545" s="182" t="n">
        <v>0</v>
      </c>
      <c r="AL545" s="182" t="n">
        <v>0</v>
      </c>
      <c r="AM545" s="182" t="n">
        <v>0.08</v>
      </c>
      <c r="AN545" s="182" t="n">
        <v>0</v>
      </c>
    </row>
    <row r="546">
      <c r="A546" s="155" t="n">
        <v>46084</v>
      </c>
      <c r="B546" s="156" t="inlineStr">
        <is>
          <t>DS</t>
        </is>
      </c>
      <c r="C546" s="156" t="inlineStr">
        <is>
          <t>HD-902</t>
        </is>
      </c>
      <c r="D546" s="156" t="inlineStr">
        <is>
          <t>SRT 95C</t>
        </is>
      </c>
      <c r="E546" s="156" t="inlineStr">
        <is>
          <t>Hauler</t>
        </is>
      </c>
      <c r="F546" s="156" t="inlineStr">
        <is>
          <t>Hauling OB</t>
        </is>
      </c>
      <c r="G546" s="182" t="n">
        <v>4.7</v>
      </c>
      <c r="H546" s="182" t="n">
        <v>0</v>
      </c>
      <c r="I546" s="182" t="n">
        <v>0</v>
      </c>
      <c r="J546" s="182" t="n">
        <v>0</v>
      </c>
      <c r="K546" s="182" t="n">
        <v>7.3</v>
      </c>
      <c r="L546" s="182" t="n">
        <v>12</v>
      </c>
      <c r="M546" s="182" t="n">
        <v>4.7</v>
      </c>
      <c r="N546" s="182" t="n">
        <v>0</v>
      </c>
      <c r="O546" s="183" t="n">
        <v>15</v>
      </c>
      <c r="P546" s="183" t="n">
        <v>0</v>
      </c>
      <c r="Q546" s="184" t="n">
        <v>535.5</v>
      </c>
      <c r="R546" s="184" t="n">
        <v>0</v>
      </c>
      <c r="S546" s="183" t="n">
        <v>0</v>
      </c>
      <c r="T546" s="183" t="n">
        <v>0</v>
      </c>
      <c r="U546" s="182" t="n">
        <v>3.16</v>
      </c>
      <c r="V546" s="182" t="n">
        <v>0</v>
      </c>
      <c r="W546" s="182" t="n">
        <v>0</v>
      </c>
      <c r="X546" s="182" t="n">
        <v>1.04</v>
      </c>
      <c r="Y546" s="182" t="n">
        <v>0</v>
      </c>
      <c r="Z546" s="182" t="n">
        <v>0</v>
      </c>
      <c r="AA546" s="182" t="n">
        <v>0</v>
      </c>
      <c r="AB546" s="182" t="n">
        <v>0</v>
      </c>
      <c r="AC546" s="182" t="n">
        <v>0</v>
      </c>
      <c r="AD546" s="182" t="n">
        <v>0</v>
      </c>
      <c r="AE546" s="182" t="n">
        <v>0</v>
      </c>
      <c r="AF546" s="182" t="n">
        <v>0</v>
      </c>
      <c r="AG546" s="182" t="n">
        <v>0</v>
      </c>
      <c r="AH546" s="182" t="n">
        <v>0</v>
      </c>
      <c r="AI546" s="182" t="n">
        <v>3.01</v>
      </c>
      <c r="AJ546" s="182" t="n">
        <v>0</v>
      </c>
      <c r="AK546" s="182" t="n">
        <v>0</v>
      </c>
      <c r="AL546" s="182" t="n">
        <v>0</v>
      </c>
      <c r="AM546" s="182" t="n">
        <v>0.08</v>
      </c>
      <c r="AN546" s="182" t="n">
        <v>0</v>
      </c>
    </row>
    <row r="547">
      <c r="A547" s="155" t="n">
        <v>46084</v>
      </c>
      <c r="B547" s="156" t="inlineStr">
        <is>
          <t>DS</t>
        </is>
      </c>
      <c r="C547" s="156" t="inlineStr">
        <is>
          <t>WL-025</t>
        </is>
      </c>
      <c r="D547" s="156" t="inlineStr">
        <is>
          <t>SANY - Loader</t>
        </is>
      </c>
      <c r="E547" s="156" t="inlineStr">
        <is>
          <t>Loader</t>
        </is>
      </c>
      <c r="F547" s="156" t="inlineStr">
        <is>
          <t>General Jetty</t>
        </is>
      </c>
      <c r="G547" s="182" t="n">
        <v>3.26</v>
      </c>
      <c r="H547" s="182" t="n">
        <v>0</v>
      </c>
      <c r="I547" s="182" t="n">
        <v>0</v>
      </c>
      <c r="J547" s="182" t="n">
        <v>0</v>
      </c>
      <c r="K547" s="182" t="n">
        <v>8.74</v>
      </c>
      <c r="L547" s="182" t="n">
        <v>12</v>
      </c>
      <c r="M547" s="182" t="n">
        <v>0</v>
      </c>
      <c r="N547" s="182" t="n">
        <v>0</v>
      </c>
      <c r="O547" s="183" t="n">
        <v>0</v>
      </c>
      <c r="P547" s="183" t="n">
        <v>0</v>
      </c>
      <c r="Q547" s="184" t="n">
        <v>0</v>
      </c>
      <c r="R547" s="184" t="n">
        <v>0</v>
      </c>
      <c r="S547" s="183" t="n">
        <v>0</v>
      </c>
      <c r="T547" s="183" t="n">
        <v>0</v>
      </c>
      <c r="U547" s="182" t="n">
        <v>0</v>
      </c>
      <c r="V547" s="182" t="n">
        <v>0</v>
      </c>
      <c r="W547" s="182" t="n">
        <v>0</v>
      </c>
      <c r="X547" s="182" t="n">
        <v>1.02</v>
      </c>
      <c r="Y547" s="182" t="n">
        <v>0</v>
      </c>
      <c r="Z547" s="182" t="n">
        <v>0</v>
      </c>
      <c r="AA547" s="182" t="n">
        <v>0</v>
      </c>
      <c r="AB547" s="182" t="n">
        <v>0</v>
      </c>
      <c r="AC547" s="182" t="n">
        <v>0</v>
      </c>
      <c r="AD547" s="182" t="n">
        <v>0</v>
      </c>
      <c r="AE547" s="182" t="n">
        <v>0</v>
      </c>
      <c r="AF547" s="182" t="n">
        <v>0</v>
      </c>
      <c r="AG547" s="182" t="n">
        <v>0</v>
      </c>
      <c r="AH547" s="182" t="n">
        <v>0</v>
      </c>
      <c r="AI547" s="182" t="n">
        <v>0</v>
      </c>
      <c r="AJ547" s="182" t="n">
        <v>0</v>
      </c>
      <c r="AK547" s="182" t="n">
        <v>7.64</v>
      </c>
      <c r="AL547" s="182" t="n">
        <v>0</v>
      </c>
      <c r="AM547" s="182" t="n">
        <v>0.08</v>
      </c>
      <c r="AN547" s="182" t="n">
        <v>0</v>
      </c>
    </row>
    <row r="548">
      <c r="A548" s="155" t="n">
        <v>46084</v>
      </c>
      <c r="B548" s="156" t="inlineStr">
        <is>
          <t>DS</t>
        </is>
      </c>
      <c r="C548" s="156" t="inlineStr">
        <is>
          <t>WL-023</t>
        </is>
      </c>
      <c r="D548" s="156" t="inlineStr">
        <is>
          <t>SANY - Loader</t>
        </is>
      </c>
      <c r="E548" s="156" t="inlineStr">
        <is>
          <t>Loader</t>
        </is>
      </c>
      <c r="F548" s="156" t="inlineStr"/>
      <c r="G548" s="182" t="n">
        <v>0</v>
      </c>
      <c r="H548" s="182" t="n">
        <v>0</v>
      </c>
      <c r="I548" s="182" t="n">
        <v>0</v>
      </c>
      <c r="J548" s="182" t="n">
        <v>0</v>
      </c>
      <c r="K548" s="182" t="n">
        <v>12</v>
      </c>
      <c r="L548" s="182" t="n">
        <v>12</v>
      </c>
      <c r="M548" s="182" t="n">
        <v>0</v>
      </c>
      <c r="N548" s="182" t="n">
        <v>0</v>
      </c>
      <c r="O548" s="183" t="n">
        <v>0</v>
      </c>
      <c r="P548" s="183" t="n">
        <v>0</v>
      </c>
      <c r="Q548" s="184" t="n">
        <v>0</v>
      </c>
      <c r="R548" s="184" t="n">
        <v>0</v>
      </c>
      <c r="S548" s="183" t="n">
        <v>0</v>
      </c>
      <c r="T548" s="183" t="n">
        <v>0</v>
      </c>
      <c r="U548" s="182" t="n">
        <v>0</v>
      </c>
      <c r="V548" s="182" t="n">
        <v>0</v>
      </c>
      <c r="W548" s="182" t="n">
        <v>0</v>
      </c>
      <c r="X548" s="182" t="n">
        <v>1</v>
      </c>
      <c r="Y548" s="182" t="n">
        <v>0</v>
      </c>
      <c r="Z548" s="182" t="n">
        <v>0</v>
      </c>
      <c r="AA548" s="182" t="n">
        <v>0</v>
      </c>
      <c r="AB548" s="182" t="n">
        <v>0</v>
      </c>
      <c r="AC548" s="182" t="n">
        <v>0</v>
      </c>
      <c r="AD548" s="182" t="n">
        <v>0</v>
      </c>
      <c r="AE548" s="182" t="n">
        <v>0</v>
      </c>
      <c r="AF548" s="182" t="n">
        <v>0</v>
      </c>
      <c r="AG548" s="182" t="n">
        <v>0</v>
      </c>
      <c r="AH548" s="182" t="n">
        <v>0</v>
      </c>
      <c r="AI548" s="182" t="n">
        <v>0</v>
      </c>
      <c r="AJ548" s="182" t="n">
        <v>0</v>
      </c>
      <c r="AK548" s="182" t="n">
        <v>10.92</v>
      </c>
      <c r="AL548" s="182" t="n">
        <v>0</v>
      </c>
      <c r="AM548" s="182" t="n">
        <v>0.08</v>
      </c>
      <c r="AN548" s="182" t="n">
        <v>0</v>
      </c>
    </row>
    <row r="549">
      <c r="A549" s="155" t="n">
        <v>46084</v>
      </c>
      <c r="B549" s="156" t="inlineStr">
        <is>
          <t>DS</t>
        </is>
      </c>
      <c r="C549" s="156" t="inlineStr">
        <is>
          <t>WL-021</t>
        </is>
      </c>
      <c r="D549" s="156" t="inlineStr">
        <is>
          <t>SANY - Loader</t>
        </is>
      </c>
      <c r="E549" s="156" t="inlineStr">
        <is>
          <t>Loader</t>
        </is>
      </c>
      <c r="F549" s="156" t="inlineStr"/>
      <c r="G549" s="182" t="n">
        <v>0</v>
      </c>
      <c r="H549" s="182" t="n">
        <v>0</v>
      </c>
      <c r="I549" s="182" t="n">
        <v>12</v>
      </c>
      <c r="J549" s="182" t="n">
        <v>12</v>
      </c>
      <c r="K549" s="182" t="n">
        <v>0</v>
      </c>
      <c r="L549" s="182" t="n">
        <v>12</v>
      </c>
      <c r="M549" s="182" t="n">
        <v>0</v>
      </c>
      <c r="N549" s="182" t="n">
        <v>0</v>
      </c>
      <c r="O549" s="183" t="n">
        <v>0</v>
      </c>
      <c r="P549" s="183" t="n">
        <v>0</v>
      </c>
      <c r="Q549" s="184" t="n">
        <v>0</v>
      </c>
      <c r="R549" s="184" t="n">
        <v>0</v>
      </c>
      <c r="S549" s="183" t="n">
        <v>0</v>
      </c>
      <c r="T549" s="183" t="n">
        <v>0</v>
      </c>
      <c r="U549" s="182" t="n">
        <v>0</v>
      </c>
      <c r="V549" s="182" t="n">
        <v>0</v>
      </c>
      <c r="W549" s="182" t="n">
        <v>0</v>
      </c>
      <c r="X549" s="182" t="n">
        <v>0</v>
      </c>
      <c r="Y549" s="182" t="n">
        <v>0</v>
      </c>
      <c r="Z549" s="182" t="n">
        <v>0</v>
      </c>
      <c r="AA549" s="182" t="n">
        <v>0</v>
      </c>
      <c r="AB549" s="182" t="n">
        <v>0</v>
      </c>
      <c r="AC549" s="182" t="n">
        <v>0</v>
      </c>
      <c r="AD549" s="182" t="n">
        <v>0</v>
      </c>
      <c r="AE549" s="182" t="n">
        <v>0</v>
      </c>
      <c r="AF549" s="182" t="n">
        <v>0</v>
      </c>
      <c r="AG549" s="182" t="n">
        <v>0</v>
      </c>
      <c r="AH549" s="182" t="n">
        <v>0</v>
      </c>
      <c r="AI549" s="182" t="n">
        <v>0</v>
      </c>
      <c r="AJ549" s="182" t="n">
        <v>0</v>
      </c>
      <c r="AK549" s="182" t="n">
        <v>0</v>
      </c>
      <c r="AL549" s="182" t="n">
        <v>0</v>
      </c>
      <c r="AM549" s="182" t="n">
        <v>0</v>
      </c>
      <c r="AN549" s="182" t="n">
        <v>0</v>
      </c>
    </row>
    <row r="550">
      <c r="A550" s="155" t="n">
        <v>46084</v>
      </c>
      <c r="B550" s="156" t="inlineStr">
        <is>
          <t>DS</t>
        </is>
      </c>
      <c r="C550" s="156" t="inlineStr">
        <is>
          <t>WL-022</t>
        </is>
      </c>
      <c r="D550" s="156" t="inlineStr">
        <is>
          <t>SANY - Loader</t>
        </is>
      </c>
      <c r="E550" s="156" t="inlineStr">
        <is>
          <t>Loader</t>
        </is>
      </c>
      <c r="F550" s="156" t="inlineStr">
        <is>
          <t>Produksi Washing Plant</t>
        </is>
      </c>
      <c r="G550" s="182" t="n">
        <v>10.89</v>
      </c>
      <c r="H550" s="182" t="n">
        <v>0</v>
      </c>
      <c r="I550" s="182" t="n">
        <v>0</v>
      </c>
      <c r="J550" s="182" t="n">
        <v>0</v>
      </c>
      <c r="K550" s="182" t="n">
        <v>1.11</v>
      </c>
      <c r="L550" s="182" t="n">
        <v>12</v>
      </c>
      <c r="M550" s="182" t="n">
        <v>0</v>
      </c>
      <c r="N550" s="182" t="n">
        <v>0</v>
      </c>
      <c r="O550" s="183" t="n">
        <v>0</v>
      </c>
      <c r="P550" s="183" t="n">
        <v>0</v>
      </c>
      <c r="Q550" s="184" t="n">
        <v>0</v>
      </c>
      <c r="R550" s="184" t="n">
        <v>0</v>
      </c>
      <c r="S550" s="183" t="n">
        <v>0</v>
      </c>
      <c r="T550" s="183" t="n">
        <v>0</v>
      </c>
      <c r="U550" s="182" t="n">
        <v>0</v>
      </c>
      <c r="V550" s="182" t="n">
        <v>0</v>
      </c>
      <c r="W550" s="182" t="n">
        <v>0</v>
      </c>
      <c r="X550" s="182" t="n">
        <v>1.01</v>
      </c>
      <c r="Y550" s="182" t="n">
        <v>0</v>
      </c>
      <c r="Z550" s="182" t="n">
        <v>0</v>
      </c>
      <c r="AA550" s="182" t="n">
        <v>0</v>
      </c>
      <c r="AB550" s="182" t="n">
        <v>0</v>
      </c>
      <c r="AC550" s="182" t="n">
        <v>0</v>
      </c>
      <c r="AD550" s="182" t="n">
        <v>0</v>
      </c>
      <c r="AE550" s="182" t="n">
        <v>0</v>
      </c>
      <c r="AF550" s="182" t="n">
        <v>0</v>
      </c>
      <c r="AG550" s="182" t="n">
        <v>0</v>
      </c>
      <c r="AH550" s="182" t="n">
        <v>0</v>
      </c>
      <c r="AI550" s="182" t="n">
        <v>0</v>
      </c>
      <c r="AJ550" s="182" t="n">
        <v>0</v>
      </c>
      <c r="AK550" s="182" t="n">
        <v>0.02</v>
      </c>
      <c r="AL550" s="182" t="n">
        <v>0</v>
      </c>
      <c r="AM550" s="182" t="n">
        <v>0.08</v>
      </c>
      <c r="AN550" s="182" t="n">
        <v>0</v>
      </c>
    </row>
    <row r="551">
      <c r="A551" s="155" t="n">
        <v>46084</v>
      </c>
      <c r="B551" s="156" t="inlineStr">
        <is>
          <t>DS</t>
        </is>
      </c>
      <c r="C551" s="156" t="inlineStr">
        <is>
          <t>WL-024</t>
        </is>
      </c>
      <c r="D551" s="156" t="inlineStr">
        <is>
          <t>SANY - Loader</t>
        </is>
      </c>
      <c r="E551" s="156" t="inlineStr">
        <is>
          <t>Loader</t>
        </is>
      </c>
      <c r="F551" s="156" t="inlineStr">
        <is>
          <t>Trimming Coal di Stock ROM</t>
        </is>
      </c>
      <c r="G551" s="182" t="n">
        <v>10.84</v>
      </c>
      <c r="H551" s="182" t="n">
        <v>0</v>
      </c>
      <c r="I551" s="182" t="n">
        <v>0</v>
      </c>
      <c r="J551" s="182" t="n">
        <v>0</v>
      </c>
      <c r="K551" s="182" t="n">
        <v>1.16</v>
      </c>
      <c r="L551" s="182" t="n">
        <v>12</v>
      </c>
      <c r="M551" s="182" t="n">
        <v>0</v>
      </c>
      <c r="N551" s="182" t="n">
        <v>0</v>
      </c>
      <c r="O551" s="183" t="n">
        <v>0</v>
      </c>
      <c r="P551" s="183" t="n">
        <v>0</v>
      </c>
      <c r="Q551" s="184" t="n">
        <v>0</v>
      </c>
      <c r="R551" s="184" t="n">
        <v>0</v>
      </c>
      <c r="S551" s="183" t="n">
        <v>0</v>
      </c>
      <c r="T551" s="183" t="n">
        <v>0</v>
      </c>
      <c r="U551" s="182" t="n">
        <v>0</v>
      </c>
      <c r="V551" s="182" t="n">
        <v>0</v>
      </c>
      <c r="W551" s="182" t="n">
        <v>0</v>
      </c>
      <c r="X551" s="182" t="n">
        <v>1.07</v>
      </c>
      <c r="Y551" s="182" t="n">
        <v>0</v>
      </c>
      <c r="Z551" s="182" t="n">
        <v>0</v>
      </c>
      <c r="AA551" s="182" t="n">
        <v>0</v>
      </c>
      <c r="AB551" s="182" t="n">
        <v>0</v>
      </c>
      <c r="AC551" s="182" t="n">
        <v>0</v>
      </c>
      <c r="AD551" s="182" t="n">
        <v>0</v>
      </c>
      <c r="AE551" s="182" t="n">
        <v>0</v>
      </c>
      <c r="AF551" s="182" t="n">
        <v>0</v>
      </c>
      <c r="AG551" s="182" t="n">
        <v>0</v>
      </c>
      <c r="AH551" s="182" t="n">
        <v>0</v>
      </c>
      <c r="AI551" s="182" t="n">
        <v>0</v>
      </c>
      <c r="AJ551" s="182" t="n">
        <v>0</v>
      </c>
      <c r="AK551" s="182" t="n">
        <v>0</v>
      </c>
      <c r="AL551" s="182" t="n">
        <v>0</v>
      </c>
      <c r="AM551" s="182" t="n">
        <v>0.09</v>
      </c>
      <c r="AN551" s="182" t="n">
        <v>0</v>
      </c>
    </row>
    <row r="552">
      <c r="A552" s="155" t="n">
        <v>46084</v>
      </c>
      <c r="B552" s="156" t="inlineStr">
        <is>
          <t>NS</t>
        </is>
      </c>
      <c r="C552" s="156" t="inlineStr">
        <is>
          <t>DZ-034</t>
        </is>
      </c>
      <c r="D552" s="156" t="inlineStr">
        <is>
          <t>D 68ESS-12EO</t>
        </is>
      </c>
      <c r="E552" s="156" t="inlineStr">
        <is>
          <t>Bulldozer</t>
        </is>
      </c>
      <c r="F552" s="156" t="inlineStr">
        <is>
          <t>Trimming Coal diStockROM</t>
        </is>
      </c>
      <c r="G552" s="182" t="n">
        <v>5.33</v>
      </c>
      <c r="H552" s="182" t="n">
        <v>0</v>
      </c>
      <c r="I552" s="182" t="n">
        <v>0</v>
      </c>
      <c r="J552" s="182" t="n">
        <v>0</v>
      </c>
      <c r="K552" s="182" t="n">
        <v>6.67</v>
      </c>
      <c r="L552" s="182" t="n">
        <v>12</v>
      </c>
      <c r="M552" s="182" t="n">
        <v>0</v>
      </c>
      <c r="N552" s="182" t="n">
        <v>0</v>
      </c>
      <c r="O552" s="183" t="n">
        <v>0</v>
      </c>
      <c r="P552" s="183" t="n">
        <v>0</v>
      </c>
      <c r="Q552" s="184" t="n">
        <v>0</v>
      </c>
      <c r="R552" s="184" t="n">
        <v>0</v>
      </c>
      <c r="S552" s="183" t="n">
        <v>0</v>
      </c>
      <c r="T552" s="183" t="n">
        <v>0</v>
      </c>
      <c r="U552" s="182" t="n">
        <v>0</v>
      </c>
      <c r="V552" s="182" t="n">
        <v>0</v>
      </c>
      <c r="W552" s="182" t="n">
        <v>0</v>
      </c>
      <c r="X552" s="182" t="n">
        <v>0.98</v>
      </c>
      <c r="Y552" s="182" t="n">
        <v>0</v>
      </c>
      <c r="Z552" s="182" t="n">
        <v>0</v>
      </c>
      <c r="AA552" s="182" t="n">
        <v>0</v>
      </c>
      <c r="AB552" s="182" t="n">
        <v>0</v>
      </c>
      <c r="AC552" s="182" t="n">
        <v>0</v>
      </c>
      <c r="AD552" s="182" t="n">
        <v>0</v>
      </c>
      <c r="AE552" s="182" t="n">
        <v>0</v>
      </c>
      <c r="AF552" s="182" t="n">
        <v>0</v>
      </c>
      <c r="AG552" s="182" t="n">
        <v>0</v>
      </c>
      <c r="AH552" s="182" t="n">
        <v>0</v>
      </c>
      <c r="AI552" s="182" t="n">
        <v>0</v>
      </c>
      <c r="AJ552" s="182" t="n">
        <v>0</v>
      </c>
      <c r="AK552" s="182" t="n">
        <v>5.61</v>
      </c>
      <c r="AL552" s="182" t="n">
        <v>0</v>
      </c>
      <c r="AM552" s="182" t="n">
        <v>0.08</v>
      </c>
      <c r="AN552" s="182" t="n">
        <v>0</v>
      </c>
    </row>
    <row r="553">
      <c r="A553" s="155" t="n">
        <v>46084</v>
      </c>
      <c r="B553" s="156" t="inlineStr">
        <is>
          <t>NS</t>
        </is>
      </c>
      <c r="C553" s="156" t="inlineStr">
        <is>
          <t>DZ-033</t>
        </is>
      </c>
      <c r="D553" s="156" t="inlineStr">
        <is>
          <t>D 375A-6R</t>
        </is>
      </c>
      <c r="E553" s="156" t="inlineStr">
        <is>
          <t>Bulldozer</t>
        </is>
      </c>
      <c r="F553" s="156" t="inlineStr"/>
      <c r="G553" s="182" t="n">
        <v>0</v>
      </c>
      <c r="H553" s="182" t="n">
        <v>0</v>
      </c>
      <c r="I553" s="182" t="n">
        <v>0</v>
      </c>
      <c r="J553" s="182" t="n">
        <v>0</v>
      </c>
      <c r="K553" s="182" t="n">
        <v>12</v>
      </c>
      <c r="L553" s="182" t="n">
        <v>12</v>
      </c>
      <c r="M553" s="182" t="n">
        <v>0</v>
      </c>
      <c r="N553" s="182" t="n">
        <v>0</v>
      </c>
      <c r="O553" s="183" t="n">
        <v>0</v>
      </c>
      <c r="P553" s="183" t="n">
        <v>0</v>
      </c>
      <c r="Q553" s="184" t="n">
        <v>0</v>
      </c>
      <c r="R553" s="184" t="n">
        <v>0</v>
      </c>
      <c r="S553" s="183" t="n">
        <v>0</v>
      </c>
      <c r="T553" s="183" t="n">
        <v>0</v>
      </c>
      <c r="U553" s="182" t="n">
        <v>11.33</v>
      </c>
      <c r="V553" s="182" t="n">
        <v>0</v>
      </c>
      <c r="W553" s="182" t="n">
        <v>0</v>
      </c>
      <c r="X553" s="182" t="n">
        <v>0</v>
      </c>
      <c r="Y553" s="182" t="n">
        <v>0</v>
      </c>
      <c r="Z553" s="182" t="n">
        <v>0</v>
      </c>
      <c r="AA553" s="182" t="n">
        <v>0</v>
      </c>
      <c r="AB553" s="182" t="n">
        <v>0</v>
      </c>
      <c r="AC553" s="182" t="n">
        <v>0</v>
      </c>
      <c r="AD553" s="182" t="n">
        <v>0</v>
      </c>
      <c r="AE553" s="182" t="n">
        <v>0</v>
      </c>
      <c r="AF553" s="182" t="n">
        <v>0</v>
      </c>
      <c r="AG553" s="182" t="n">
        <v>0</v>
      </c>
      <c r="AH553" s="182" t="n">
        <v>0</v>
      </c>
      <c r="AI553" s="182" t="n">
        <v>0</v>
      </c>
      <c r="AJ553" s="182" t="n">
        <v>0</v>
      </c>
      <c r="AK553" s="182" t="n">
        <v>0.59</v>
      </c>
      <c r="AL553" s="182" t="n">
        <v>0</v>
      </c>
      <c r="AM553" s="182" t="n">
        <v>0.08</v>
      </c>
      <c r="AN553" s="182" t="n">
        <v>0</v>
      </c>
    </row>
    <row r="554">
      <c r="A554" s="155" t="n">
        <v>46084</v>
      </c>
      <c r="B554" s="156" t="inlineStr">
        <is>
          <t>NS</t>
        </is>
      </c>
      <c r="C554" s="156" t="inlineStr">
        <is>
          <t>DZ-038</t>
        </is>
      </c>
      <c r="D554" s="156" t="inlineStr">
        <is>
          <t>D 85 ESS-2</t>
        </is>
      </c>
      <c r="E554" s="156" t="inlineStr">
        <is>
          <t>Bulldozer</t>
        </is>
      </c>
      <c r="F554" s="156" t="inlineStr"/>
      <c r="G554" s="182" t="n">
        <v>0</v>
      </c>
      <c r="H554" s="182" t="n">
        <v>0</v>
      </c>
      <c r="I554" s="182" t="n">
        <v>12</v>
      </c>
      <c r="J554" s="182" t="n">
        <v>12</v>
      </c>
      <c r="K554" s="182" t="n">
        <v>0</v>
      </c>
      <c r="L554" s="182" t="n">
        <v>12</v>
      </c>
      <c r="M554" s="182" t="n">
        <v>0</v>
      </c>
      <c r="N554" s="182" t="n">
        <v>0</v>
      </c>
      <c r="O554" s="183" t="n">
        <v>0</v>
      </c>
      <c r="P554" s="183" t="n">
        <v>0</v>
      </c>
      <c r="Q554" s="184" t="n">
        <v>0</v>
      </c>
      <c r="R554" s="184" t="n">
        <v>0</v>
      </c>
      <c r="S554" s="183" t="n">
        <v>0</v>
      </c>
      <c r="T554" s="183" t="n">
        <v>0</v>
      </c>
      <c r="U554" s="182" t="n">
        <v>0</v>
      </c>
      <c r="V554" s="182" t="n">
        <v>0</v>
      </c>
      <c r="W554" s="182" t="n">
        <v>0</v>
      </c>
      <c r="X554" s="182" t="n">
        <v>0</v>
      </c>
      <c r="Y554" s="182" t="n">
        <v>0</v>
      </c>
      <c r="Z554" s="182" t="n">
        <v>0</v>
      </c>
      <c r="AA554" s="182" t="n">
        <v>0</v>
      </c>
      <c r="AB554" s="182" t="n">
        <v>0</v>
      </c>
      <c r="AC554" s="182" t="n">
        <v>0</v>
      </c>
      <c r="AD554" s="182" t="n">
        <v>0</v>
      </c>
      <c r="AE554" s="182" t="n">
        <v>0</v>
      </c>
      <c r="AF554" s="182" t="n">
        <v>0</v>
      </c>
      <c r="AG554" s="182" t="n">
        <v>0</v>
      </c>
      <c r="AH554" s="182" t="n">
        <v>0</v>
      </c>
      <c r="AI554" s="182" t="n">
        <v>0</v>
      </c>
      <c r="AJ554" s="182" t="n">
        <v>0</v>
      </c>
      <c r="AK554" s="182" t="n">
        <v>0</v>
      </c>
      <c r="AL554" s="182" t="n">
        <v>0</v>
      </c>
      <c r="AM554" s="182" t="n">
        <v>0</v>
      </c>
      <c r="AN554" s="182" t="n">
        <v>0</v>
      </c>
    </row>
    <row r="555">
      <c r="A555" s="155" t="n">
        <v>46084</v>
      </c>
      <c r="B555" s="156" t="inlineStr">
        <is>
          <t>NS</t>
        </is>
      </c>
      <c r="C555" s="156" t="inlineStr">
        <is>
          <t>DZ-039</t>
        </is>
      </c>
      <c r="D555" s="156" t="inlineStr">
        <is>
          <t>D 85 ESS-2</t>
        </is>
      </c>
      <c r="E555" s="156" t="inlineStr">
        <is>
          <t>Bulldozer</t>
        </is>
      </c>
      <c r="F555" s="156" t="inlineStr">
        <is>
          <t>Support Front Loading &amp; Disposal</t>
        </is>
      </c>
      <c r="G555" s="182" t="n">
        <v>1.46</v>
      </c>
      <c r="H555" s="182" t="n">
        <v>0</v>
      </c>
      <c r="I555" s="182" t="n">
        <v>2.1</v>
      </c>
      <c r="J555" s="182" t="n">
        <v>2.1</v>
      </c>
      <c r="K555" s="182" t="n">
        <v>8.44</v>
      </c>
      <c r="L555" s="182" t="n">
        <v>12</v>
      </c>
      <c r="M555" s="182" t="n">
        <v>0</v>
      </c>
      <c r="N555" s="182" t="n">
        <v>0</v>
      </c>
      <c r="O555" s="183" t="n">
        <v>0</v>
      </c>
      <c r="P555" s="183" t="n">
        <v>0</v>
      </c>
      <c r="Q555" s="184" t="n">
        <v>0</v>
      </c>
      <c r="R555" s="184" t="n">
        <v>0</v>
      </c>
      <c r="S555" s="183" t="n">
        <v>0</v>
      </c>
      <c r="T555" s="183" t="n">
        <v>0</v>
      </c>
      <c r="U555" s="182" t="n">
        <v>8.359999999999999</v>
      </c>
      <c r="V555" s="182" t="n">
        <v>0</v>
      </c>
      <c r="W555" s="182" t="n">
        <v>0</v>
      </c>
      <c r="X555" s="182" t="n">
        <v>0</v>
      </c>
      <c r="Y555" s="182" t="n">
        <v>0</v>
      </c>
      <c r="Z555" s="182" t="n">
        <v>0</v>
      </c>
      <c r="AA555" s="182" t="n">
        <v>0</v>
      </c>
      <c r="AB555" s="182" t="n">
        <v>0</v>
      </c>
      <c r="AC555" s="182" t="n">
        <v>0</v>
      </c>
      <c r="AD555" s="182" t="n">
        <v>0</v>
      </c>
      <c r="AE555" s="182" t="n">
        <v>0</v>
      </c>
      <c r="AF555" s="182" t="n">
        <v>0</v>
      </c>
      <c r="AG555" s="182" t="n">
        <v>0</v>
      </c>
      <c r="AH555" s="182" t="n">
        <v>0</v>
      </c>
      <c r="AI555" s="182" t="n">
        <v>0</v>
      </c>
      <c r="AJ555" s="182" t="n">
        <v>0</v>
      </c>
      <c r="AK555" s="182" t="n">
        <v>0</v>
      </c>
      <c r="AL555" s="182" t="n">
        <v>0</v>
      </c>
      <c r="AM555" s="182" t="n">
        <v>0.08</v>
      </c>
      <c r="AN555" s="182" t="n">
        <v>0</v>
      </c>
    </row>
    <row r="556">
      <c r="A556" s="155" t="n">
        <v>46084</v>
      </c>
      <c r="B556" s="156" t="inlineStr">
        <is>
          <t>NS</t>
        </is>
      </c>
      <c r="C556" s="156" t="inlineStr">
        <is>
          <t>DZ-032</t>
        </is>
      </c>
      <c r="D556" s="156" t="inlineStr">
        <is>
          <t>CAT</t>
        </is>
      </c>
      <c r="E556" s="156" t="inlineStr">
        <is>
          <t>Bulldozer</t>
        </is>
      </c>
      <c r="F556" s="156" t="inlineStr"/>
      <c r="G556" s="182" t="n">
        <v>0</v>
      </c>
      <c r="H556" s="182" t="n">
        <v>0</v>
      </c>
      <c r="I556" s="182" t="n">
        <v>12</v>
      </c>
      <c r="J556" s="182" t="n">
        <v>12</v>
      </c>
      <c r="K556" s="182" t="n">
        <v>0</v>
      </c>
      <c r="L556" s="182" t="n">
        <v>12</v>
      </c>
      <c r="M556" s="182" t="n">
        <v>0</v>
      </c>
      <c r="N556" s="182" t="n">
        <v>0</v>
      </c>
      <c r="O556" s="183" t="n">
        <v>0</v>
      </c>
      <c r="P556" s="183" t="n">
        <v>0</v>
      </c>
      <c r="Q556" s="184" t="n">
        <v>0</v>
      </c>
      <c r="R556" s="184" t="n">
        <v>0</v>
      </c>
      <c r="S556" s="183" t="n">
        <v>0</v>
      </c>
      <c r="T556" s="183" t="n">
        <v>0</v>
      </c>
      <c r="U556" s="182" t="n">
        <v>0</v>
      </c>
      <c r="V556" s="182" t="n">
        <v>0</v>
      </c>
      <c r="W556" s="182" t="n">
        <v>0</v>
      </c>
      <c r="X556" s="182" t="n">
        <v>0</v>
      </c>
      <c r="Y556" s="182" t="n">
        <v>0</v>
      </c>
      <c r="Z556" s="182" t="n">
        <v>0</v>
      </c>
      <c r="AA556" s="182" t="n">
        <v>0</v>
      </c>
      <c r="AB556" s="182" t="n">
        <v>0</v>
      </c>
      <c r="AC556" s="182" t="n">
        <v>0</v>
      </c>
      <c r="AD556" s="182" t="n">
        <v>0</v>
      </c>
      <c r="AE556" s="182" t="n">
        <v>0</v>
      </c>
      <c r="AF556" s="182" t="n">
        <v>0</v>
      </c>
      <c r="AG556" s="182" t="n">
        <v>0</v>
      </c>
      <c r="AH556" s="182" t="n">
        <v>0</v>
      </c>
      <c r="AI556" s="182" t="n">
        <v>0</v>
      </c>
      <c r="AJ556" s="182" t="n">
        <v>0</v>
      </c>
      <c r="AK556" s="182" t="n">
        <v>0</v>
      </c>
      <c r="AL556" s="182" t="n">
        <v>0</v>
      </c>
      <c r="AM556" s="182" t="n">
        <v>0</v>
      </c>
      <c r="AN556" s="182" t="n">
        <v>0</v>
      </c>
    </row>
    <row r="557">
      <c r="A557" s="155" t="n">
        <v>46084</v>
      </c>
      <c r="B557" s="156" t="inlineStr">
        <is>
          <t>NS</t>
        </is>
      </c>
      <c r="C557" s="156" t="inlineStr">
        <is>
          <t>DZ-031</t>
        </is>
      </c>
      <c r="D557" s="156" t="inlineStr">
        <is>
          <t>CAT</t>
        </is>
      </c>
      <c r="E557" s="156" t="inlineStr">
        <is>
          <t>Bulldozer</t>
        </is>
      </c>
      <c r="F557" s="156" t="inlineStr"/>
      <c r="G557" s="182" t="n">
        <v>0</v>
      </c>
      <c r="H557" s="182" t="n">
        <v>0</v>
      </c>
      <c r="I557" s="182" t="n">
        <v>12</v>
      </c>
      <c r="J557" s="182" t="n">
        <v>12</v>
      </c>
      <c r="K557" s="182" t="n">
        <v>0</v>
      </c>
      <c r="L557" s="182" t="n">
        <v>12</v>
      </c>
      <c r="M557" s="182" t="n">
        <v>0</v>
      </c>
      <c r="N557" s="182" t="n">
        <v>0</v>
      </c>
      <c r="O557" s="183" t="n">
        <v>0</v>
      </c>
      <c r="P557" s="183" t="n">
        <v>0</v>
      </c>
      <c r="Q557" s="184" t="n">
        <v>0</v>
      </c>
      <c r="R557" s="184" t="n">
        <v>0</v>
      </c>
      <c r="S557" s="183" t="n">
        <v>0</v>
      </c>
      <c r="T557" s="183" t="n">
        <v>0</v>
      </c>
      <c r="U557" s="182" t="n">
        <v>0</v>
      </c>
      <c r="V557" s="182" t="n">
        <v>0</v>
      </c>
      <c r="W557" s="182" t="n">
        <v>0</v>
      </c>
      <c r="X557" s="182" t="n">
        <v>0</v>
      </c>
      <c r="Y557" s="182" t="n">
        <v>0</v>
      </c>
      <c r="Z557" s="182" t="n">
        <v>0</v>
      </c>
      <c r="AA557" s="182" t="n">
        <v>0</v>
      </c>
      <c r="AB557" s="182" t="n">
        <v>0</v>
      </c>
      <c r="AC557" s="182" t="n">
        <v>0</v>
      </c>
      <c r="AD557" s="182" t="n">
        <v>0</v>
      </c>
      <c r="AE557" s="182" t="n">
        <v>0</v>
      </c>
      <c r="AF557" s="182" t="n">
        <v>0</v>
      </c>
      <c r="AG557" s="182" t="n">
        <v>0</v>
      </c>
      <c r="AH557" s="182" t="n">
        <v>0</v>
      </c>
      <c r="AI557" s="182" t="n">
        <v>0</v>
      </c>
      <c r="AJ557" s="182" t="n">
        <v>0</v>
      </c>
      <c r="AK557" s="182" t="n">
        <v>0</v>
      </c>
      <c r="AL557" s="182" t="n">
        <v>0</v>
      </c>
      <c r="AM557" s="182" t="n">
        <v>0</v>
      </c>
      <c r="AN557" s="182" t="n">
        <v>0</v>
      </c>
    </row>
    <row r="558">
      <c r="A558" s="155" t="n">
        <v>46084</v>
      </c>
      <c r="B558" s="156" t="inlineStr">
        <is>
          <t>NS</t>
        </is>
      </c>
      <c r="C558" s="156" t="inlineStr">
        <is>
          <t>DZ-037</t>
        </is>
      </c>
      <c r="D558" s="156" t="inlineStr">
        <is>
          <t>D 85 ESS-2</t>
        </is>
      </c>
      <c r="E558" s="156" t="inlineStr">
        <is>
          <t>Bulldozer</t>
        </is>
      </c>
      <c r="F558" s="156" t="inlineStr"/>
      <c r="G558" s="182" t="n">
        <v>0</v>
      </c>
      <c r="H558" s="182" t="n">
        <v>0</v>
      </c>
      <c r="I558" s="182" t="n">
        <v>12</v>
      </c>
      <c r="J558" s="182" t="n">
        <v>12</v>
      </c>
      <c r="K558" s="182" t="n">
        <v>0</v>
      </c>
      <c r="L558" s="182" t="n">
        <v>12</v>
      </c>
      <c r="M558" s="182" t="n">
        <v>0</v>
      </c>
      <c r="N558" s="182" t="n">
        <v>0</v>
      </c>
      <c r="O558" s="183" t="n">
        <v>0</v>
      </c>
      <c r="P558" s="183" t="n">
        <v>0</v>
      </c>
      <c r="Q558" s="184" t="n">
        <v>0</v>
      </c>
      <c r="R558" s="184" t="n">
        <v>0</v>
      </c>
      <c r="S558" s="183" t="n">
        <v>0</v>
      </c>
      <c r="T558" s="183" t="n">
        <v>0</v>
      </c>
      <c r="U558" s="182" t="n">
        <v>0</v>
      </c>
      <c r="V558" s="182" t="n">
        <v>0</v>
      </c>
      <c r="W558" s="182" t="n">
        <v>0</v>
      </c>
      <c r="X558" s="182" t="n">
        <v>0</v>
      </c>
      <c r="Y558" s="182" t="n">
        <v>0</v>
      </c>
      <c r="Z558" s="182" t="n">
        <v>0</v>
      </c>
      <c r="AA558" s="182" t="n">
        <v>0</v>
      </c>
      <c r="AB558" s="182" t="n">
        <v>0</v>
      </c>
      <c r="AC558" s="182" t="n">
        <v>0</v>
      </c>
      <c r="AD558" s="182" t="n">
        <v>0</v>
      </c>
      <c r="AE558" s="182" t="n">
        <v>0</v>
      </c>
      <c r="AF558" s="182" t="n">
        <v>0</v>
      </c>
      <c r="AG558" s="182" t="n">
        <v>0</v>
      </c>
      <c r="AH558" s="182" t="n">
        <v>0</v>
      </c>
      <c r="AI558" s="182" t="n">
        <v>0</v>
      </c>
      <c r="AJ558" s="182" t="n">
        <v>0</v>
      </c>
      <c r="AK558" s="182" t="n">
        <v>0</v>
      </c>
      <c r="AL558" s="182" t="n">
        <v>0</v>
      </c>
      <c r="AM558" s="182" t="n">
        <v>0</v>
      </c>
      <c r="AN558" s="182" t="n">
        <v>0</v>
      </c>
    </row>
    <row r="559">
      <c r="A559" s="155" t="n">
        <v>46084</v>
      </c>
      <c r="B559" s="156" t="inlineStr">
        <is>
          <t>NS</t>
        </is>
      </c>
      <c r="C559" s="156" t="inlineStr">
        <is>
          <t>DZ-036</t>
        </is>
      </c>
      <c r="D559" s="156" t="inlineStr">
        <is>
          <t>D 85 ESS-2</t>
        </is>
      </c>
      <c r="E559" s="156" t="inlineStr">
        <is>
          <t>Bulldozer</t>
        </is>
      </c>
      <c r="F559" s="156" t="inlineStr"/>
      <c r="G559" s="182" t="n">
        <v>0</v>
      </c>
      <c r="H559" s="182" t="n">
        <v>0</v>
      </c>
      <c r="I559" s="182" t="n">
        <v>0</v>
      </c>
      <c r="J559" s="182" t="n">
        <v>0</v>
      </c>
      <c r="K559" s="182" t="n">
        <v>12</v>
      </c>
      <c r="L559" s="182" t="n">
        <v>12</v>
      </c>
      <c r="M559" s="182" t="n">
        <v>0</v>
      </c>
      <c r="N559" s="182" t="n">
        <v>0</v>
      </c>
      <c r="O559" s="183" t="n">
        <v>0</v>
      </c>
      <c r="P559" s="183" t="n">
        <v>0</v>
      </c>
      <c r="Q559" s="184" t="n">
        <v>0</v>
      </c>
      <c r="R559" s="184" t="n">
        <v>0</v>
      </c>
      <c r="S559" s="183" t="n">
        <v>0</v>
      </c>
      <c r="T559" s="183" t="n">
        <v>0</v>
      </c>
      <c r="U559" s="182" t="n">
        <v>0</v>
      </c>
      <c r="V559" s="182" t="n">
        <v>0</v>
      </c>
      <c r="W559" s="182" t="n">
        <v>0</v>
      </c>
      <c r="X559" s="182" t="n">
        <v>1</v>
      </c>
      <c r="Y559" s="182" t="n">
        <v>0</v>
      </c>
      <c r="Z559" s="182" t="n">
        <v>0</v>
      </c>
      <c r="AA559" s="182" t="n">
        <v>0</v>
      </c>
      <c r="AB559" s="182" t="n">
        <v>0</v>
      </c>
      <c r="AC559" s="182" t="n">
        <v>0</v>
      </c>
      <c r="AD559" s="182" t="n">
        <v>0</v>
      </c>
      <c r="AE559" s="182" t="n">
        <v>0</v>
      </c>
      <c r="AF559" s="182" t="n">
        <v>0</v>
      </c>
      <c r="AG559" s="182" t="n">
        <v>0</v>
      </c>
      <c r="AH559" s="182" t="n">
        <v>0</v>
      </c>
      <c r="AI559" s="182" t="n">
        <v>0</v>
      </c>
      <c r="AJ559" s="182" t="n">
        <v>0</v>
      </c>
      <c r="AK559" s="182" t="n">
        <v>10.92</v>
      </c>
      <c r="AL559" s="182" t="n">
        <v>0</v>
      </c>
      <c r="AM559" s="182" t="n">
        <v>0.08</v>
      </c>
      <c r="AN559" s="182" t="n">
        <v>0</v>
      </c>
    </row>
    <row r="560">
      <c r="A560" s="155" t="n">
        <v>46084</v>
      </c>
      <c r="B560" s="156" t="inlineStr">
        <is>
          <t>NS</t>
        </is>
      </c>
      <c r="C560" s="156" t="inlineStr">
        <is>
          <t>DZ-035</t>
        </is>
      </c>
      <c r="D560" s="156" t="inlineStr">
        <is>
          <t>D 85 ESS-2</t>
        </is>
      </c>
      <c r="E560" s="156" t="inlineStr">
        <is>
          <t>Bulldozer</t>
        </is>
      </c>
      <c r="F560" s="156" t="inlineStr">
        <is>
          <t>Support Front Loading</t>
        </is>
      </c>
      <c r="G560" s="182" t="n">
        <v>2.41</v>
      </c>
      <c r="H560" s="182" t="n">
        <v>0</v>
      </c>
      <c r="I560" s="182" t="n">
        <v>0</v>
      </c>
      <c r="J560" s="182" t="n">
        <v>0</v>
      </c>
      <c r="K560" s="182" t="n">
        <v>9.59</v>
      </c>
      <c r="L560" s="182" t="n">
        <v>12</v>
      </c>
      <c r="M560" s="182" t="n">
        <v>0</v>
      </c>
      <c r="N560" s="182" t="n">
        <v>0</v>
      </c>
      <c r="O560" s="183" t="n">
        <v>0</v>
      </c>
      <c r="P560" s="183" t="n">
        <v>0</v>
      </c>
      <c r="Q560" s="184" t="n">
        <v>0</v>
      </c>
      <c r="R560" s="184" t="n">
        <v>0</v>
      </c>
      <c r="S560" s="183" t="n">
        <v>0</v>
      </c>
      <c r="T560" s="183" t="n">
        <v>0</v>
      </c>
      <c r="U560" s="182" t="n">
        <v>9.51</v>
      </c>
      <c r="V560" s="182" t="n">
        <v>0</v>
      </c>
      <c r="W560" s="182" t="n">
        <v>0</v>
      </c>
      <c r="X560" s="182" t="n">
        <v>0</v>
      </c>
      <c r="Y560" s="182" t="n">
        <v>0</v>
      </c>
      <c r="Z560" s="182" t="n">
        <v>0</v>
      </c>
      <c r="AA560" s="182" t="n">
        <v>0</v>
      </c>
      <c r="AB560" s="182" t="n">
        <v>0</v>
      </c>
      <c r="AC560" s="182" t="n">
        <v>0</v>
      </c>
      <c r="AD560" s="182" t="n">
        <v>0</v>
      </c>
      <c r="AE560" s="182" t="n">
        <v>0</v>
      </c>
      <c r="AF560" s="182" t="n">
        <v>0</v>
      </c>
      <c r="AG560" s="182" t="n">
        <v>0</v>
      </c>
      <c r="AH560" s="182" t="n">
        <v>0</v>
      </c>
      <c r="AI560" s="182" t="n">
        <v>0</v>
      </c>
      <c r="AJ560" s="182" t="n">
        <v>0</v>
      </c>
      <c r="AK560" s="182" t="n">
        <v>0</v>
      </c>
      <c r="AL560" s="182" t="n">
        <v>0</v>
      </c>
      <c r="AM560" s="182" t="n">
        <v>0.08</v>
      </c>
      <c r="AN560" s="182" t="n">
        <v>0</v>
      </c>
    </row>
    <row r="561">
      <c r="A561" s="155" t="n">
        <v>46084</v>
      </c>
      <c r="B561" s="156" t="inlineStr">
        <is>
          <t>NS</t>
        </is>
      </c>
      <c r="C561" s="156" t="inlineStr">
        <is>
          <t>CP-042</t>
        </is>
      </c>
      <c r="D561" s="156" t="inlineStr">
        <is>
          <t>SANY - Compactor</t>
        </is>
      </c>
      <c r="E561" s="156" t="inlineStr">
        <is>
          <t>Compactor</t>
        </is>
      </c>
      <c r="F561" s="156" t="inlineStr"/>
      <c r="G561" s="182" t="n">
        <v>0</v>
      </c>
      <c r="H561" s="182" t="n">
        <v>0</v>
      </c>
      <c r="I561" s="182" t="n">
        <v>0</v>
      </c>
      <c r="J561" s="182" t="n">
        <v>0</v>
      </c>
      <c r="K561" s="182" t="n">
        <v>12</v>
      </c>
      <c r="L561" s="182" t="n">
        <v>12</v>
      </c>
      <c r="M561" s="182" t="n">
        <v>0</v>
      </c>
      <c r="N561" s="182" t="n">
        <v>0</v>
      </c>
      <c r="O561" s="183" t="n">
        <v>0</v>
      </c>
      <c r="P561" s="183" t="n">
        <v>0</v>
      </c>
      <c r="Q561" s="184" t="n">
        <v>0</v>
      </c>
      <c r="R561" s="184" t="n">
        <v>0</v>
      </c>
      <c r="S561" s="183" t="n">
        <v>0</v>
      </c>
      <c r="T561" s="183" t="n">
        <v>0</v>
      </c>
      <c r="U561" s="182" t="n">
        <v>0</v>
      </c>
      <c r="V561" s="182" t="n">
        <v>0</v>
      </c>
      <c r="W561" s="182" t="n">
        <v>0</v>
      </c>
      <c r="X561" s="182" t="n">
        <v>1</v>
      </c>
      <c r="Y561" s="182" t="n">
        <v>0</v>
      </c>
      <c r="Z561" s="182" t="n">
        <v>0</v>
      </c>
      <c r="AA561" s="182" t="n">
        <v>0</v>
      </c>
      <c r="AB561" s="182" t="n">
        <v>0</v>
      </c>
      <c r="AC561" s="182" t="n">
        <v>0</v>
      </c>
      <c r="AD561" s="182" t="n">
        <v>0</v>
      </c>
      <c r="AE561" s="182" t="n">
        <v>0</v>
      </c>
      <c r="AF561" s="182" t="n">
        <v>0</v>
      </c>
      <c r="AG561" s="182" t="n">
        <v>0</v>
      </c>
      <c r="AH561" s="182" t="n">
        <v>0</v>
      </c>
      <c r="AI561" s="182" t="n">
        <v>0</v>
      </c>
      <c r="AJ561" s="182" t="n">
        <v>0</v>
      </c>
      <c r="AK561" s="182" t="n">
        <v>10.92</v>
      </c>
      <c r="AL561" s="182" t="n">
        <v>0</v>
      </c>
      <c r="AM561" s="182" t="n">
        <v>0.08</v>
      </c>
      <c r="AN561" s="182" t="n">
        <v>0</v>
      </c>
    </row>
    <row r="562">
      <c r="A562" s="155" t="n">
        <v>46084</v>
      </c>
      <c r="B562" s="156" t="inlineStr">
        <is>
          <t>NS</t>
        </is>
      </c>
      <c r="C562" s="156" t="inlineStr">
        <is>
          <t>CP-041</t>
        </is>
      </c>
      <c r="D562" s="156" t="inlineStr">
        <is>
          <t>SANY - Compactor</t>
        </is>
      </c>
      <c r="E562" s="156" t="inlineStr">
        <is>
          <t>Compactor</t>
        </is>
      </c>
      <c r="F562" s="156" t="inlineStr"/>
      <c r="G562" s="182" t="n">
        <v>0</v>
      </c>
      <c r="H562" s="182" t="n">
        <v>0</v>
      </c>
      <c r="I562" s="182" t="n">
        <v>0</v>
      </c>
      <c r="J562" s="182" t="n">
        <v>0</v>
      </c>
      <c r="K562" s="182" t="n">
        <v>12</v>
      </c>
      <c r="L562" s="182" t="n">
        <v>12</v>
      </c>
      <c r="M562" s="182" t="n">
        <v>0</v>
      </c>
      <c r="N562" s="182" t="n">
        <v>0</v>
      </c>
      <c r="O562" s="183" t="n">
        <v>0</v>
      </c>
      <c r="P562" s="183" t="n">
        <v>0</v>
      </c>
      <c r="Q562" s="184" t="n">
        <v>0</v>
      </c>
      <c r="R562" s="184" t="n">
        <v>0</v>
      </c>
      <c r="S562" s="183" t="n">
        <v>0</v>
      </c>
      <c r="T562" s="183" t="n">
        <v>0</v>
      </c>
      <c r="U562" s="182" t="n">
        <v>0</v>
      </c>
      <c r="V562" s="182" t="n">
        <v>0</v>
      </c>
      <c r="W562" s="182" t="n">
        <v>0</v>
      </c>
      <c r="X562" s="182" t="n">
        <v>1</v>
      </c>
      <c r="Y562" s="182" t="n">
        <v>0</v>
      </c>
      <c r="Z562" s="182" t="n">
        <v>0</v>
      </c>
      <c r="AA562" s="182" t="n">
        <v>0</v>
      </c>
      <c r="AB562" s="182" t="n">
        <v>0</v>
      </c>
      <c r="AC562" s="182" t="n">
        <v>0</v>
      </c>
      <c r="AD562" s="182" t="n">
        <v>0</v>
      </c>
      <c r="AE562" s="182" t="n">
        <v>0</v>
      </c>
      <c r="AF562" s="182" t="n">
        <v>0</v>
      </c>
      <c r="AG562" s="182" t="n">
        <v>0</v>
      </c>
      <c r="AH562" s="182" t="n">
        <v>0</v>
      </c>
      <c r="AI562" s="182" t="n">
        <v>0</v>
      </c>
      <c r="AJ562" s="182" t="n">
        <v>0</v>
      </c>
      <c r="AK562" s="182" t="n">
        <v>10.92</v>
      </c>
      <c r="AL562" s="182" t="n">
        <v>0</v>
      </c>
      <c r="AM562" s="182" t="n">
        <v>0.08</v>
      </c>
      <c r="AN562" s="182" t="n">
        <v>0</v>
      </c>
    </row>
    <row r="563">
      <c r="A563" s="155" t="n">
        <v>46084</v>
      </c>
      <c r="B563" s="156" t="inlineStr">
        <is>
          <t>NS</t>
        </is>
      </c>
      <c r="C563" s="156" t="inlineStr">
        <is>
          <t>HT-418</t>
        </is>
      </c>
      <c r="D563" s="156" t="inlineStr">
        <is>
          <t>SY430</t>
        </is>
      </c>
      <c r="E563" s="156" t="inlineStr">
        <is>
          <t>DT Hauling</t>
        </is>
      </c>
      <c r="F563" s="156" t="inlineStr"/>
      <c r="G563" s="182" t="n">
        <v>0</v>
      </c>
      <c r="H563" s="182" t="n">
        <v>0</v>
      </c>
      <c r="I563" s="182" t="n">
        <v>0</v>
      </c>
      <c r="J563" s="182" t="n">
        <v>0</v>
      </c>
      <c r="K563" s="182" t="n">
        <v>12</v>
      </c>
      <c r="L563" s="182" t="n">
        <v>12</v>
      </c>
      <c r="M563" s="182" t="n">
        <v>0</v>
      </c>
      <c r="N563" s="182" t="n">
        <v>0</v>
      </c>
      <c r="O563" s="183" t="n">
        <v>0</v>
      </c>
      <c r="P563" s="183" t="n">
        <v>0</v>
      </c>
      <c r="Q563" s="184" t="n">
        <v>0</v>
      </c>
      <c r="R563" s="184" t="n">
        <v>0</v>
      </c>
      <c r="S563" s="183" t="n">
        <v>0</v>
      </c>
      <c r="T563" s="183" t="n">
        <v>0</v>
      </c>
      <c r="U563" s="182" t="n">
        <v>0</v>
      </c>
      <c r="V563" s="182" t="n">
        <v>0</v>
      </c>
      <c r="W563" s="182" t="n">
        <v>0</v>
      </c>
      <c r="X563" s="182" t="n">
        <v>1</v>
      </c>
      <c r="Y563" s="182" t="n">
        <v>0</v>
      </c>
      <c r="Z563" s="182" t="n">
        <v>0</v>
      </c>
      <c r="AA563" s="182" t="n">
        <v>0</v>
      </c>
      <c r="AB563" s="182" t="n">
        <v>0</v>
      </c>
      <c r="AC563" s="182" t="n">
        <v>0</v>
      </c>
      <c r="AD563" s="182" t="n">
        <v>0</v>
      </c>
      <c r="AE563" s="182" t="n">
        <v>0</v>
      </c>
      <c r="AF563" s="182" t="n">
        <v>0</v>
      </c>
      <c r="AG563" s="182" t="n">
        <v>0</v>
      </c>
      <c r="AH563" s="182" t="n">
        <v>0</v>
      </c>
      <c r="AI563" s="182" t="n">
        <v>0</v>
      </c>
      <c r="AJ563" s="182" t="n">
        <v>0</v>
      </c>
      <c r="AK563" s="182" t="n">
        <v>10.92</v>
      </c>
      <c r="AL563" s="182" t="n">
        <v>0</v>
      </c>
      <c r="AM563" s="182" t="n">
        <v>0.08</v>
      </c>
      <c r="AN563" s="182" t="n">
        <v>0</v>
      </c>
    </row>
    <row r="564">
      <c r="A564" s="155" t="n">
        <v>46084</v>
      </c>
      <c r="B564" s="156" t="inlineStr">
        <is>
          <t>NS</t>
        </is>
      </c>
      <c r="C564" s="156" t="inlineStr">
        <is>
          <t>HT-404</t>
        </is>
      </c>
      <c r="D564" s="156" t="inlineStr">
        <is>
          <t>SY430</t>
        </is>
      </c>
      <c r="E564" s="156" t="inlineStr">
        <is>
          <t>DT Hauling</t>
        </is>
      </c>
      <c r="F564" s="156" t="inlineStr"/>
      <c r="G564" s="182" t="n">
        <v>0</v>
      </c>
      <c r="H564" s="182" t="n">
        <v>0</v>
      </c>
      <c r="I564" s="182" t="n">
        <v>0</v>
      </c>
      <c r="J564" s="182" t="n">
        <v>0</v>
      </c>
      <c r="K564" s="182" t="n">
        <v>12</v>
      </c>
      <c r="L564" s="182" t="n">
        <v>12</v>
      </c>
      <c r="M564" s="182" t="n">
        <v>0</v>
      </c>
      <c r="N564" s="182" t="n">
        <v>0</v>
      </c>
      <c r="O564" s="183" t="n">
        <v>0</v>
      </c>
      <c r="P564" s="183" t="n">
        <v>0</v>
      </c>
      <c r="Q564" s="184" t="n">
        <v>0</v>
      </c>
      <c r="R564" s="184" t="n">
        <v>0</v>
      </c>
      <c r="S564" s="183" t="n">
        <v>0</v>
      </c>
      <c r="T564" s="183" t="n">
        <v>0</v>
      </c>
      <c r="U564" s="182" t="n">
        <v>0</v>
      </c>
      <c r="V564" s="182" t="n">
        <v>0</v>
      </c>
      <c r="W564" s="182" t="n">
        <v>0</v>
      </c>
      <c r="X564" s="182" t="n">
        <v>1</v>
      </c>
      <c r="Y564" s="182" t="n">
        <v>0</v>
      </c>
      <c r="Z564" s="182" t="n">
        <v>0</v>
      </c>
      <c r="AA564" s="182" t="n">
        <v>0</v>
      </c>
      <c r="AB564" s="182" t="n">
        <v>0</v>
      </c>
      <c r="AC564" s="182" t="n">
        <v>0</v>
      </c>
      <c r="AD564" s="182" t="n">
        <v>0</v>
      </c>
      <c r="AE564" s="182" t="n">
        <v>0</v>
      </c>
      <c r="AF564" s="182" t="n">
        <v>0</v>
      </c>
      <c r="AG564" s="182" t="n">
        <v>0</v>
      </c>
      <c r="AH564" s="182" t="n">
        <v>0</v>
      </c>
      <c r="AI564" s="182" t="n">
        <v>0</v>
      </c>
      <c r="AJ564" s="182" t="n">
        <v>0</v>
      </c>
      <c r="AK564" s="182" t="n">
        <v>10.92</v>
      </c>
      <c r="AL564" s="182" t="n">
        <v>0</v>
      </c>
      <c r="AM564" s="182" t="n">
        <v>0.08</v>
      </c>
      <c r="AN564" s="182" t="n">
        <v>0</v>
      </c>
    </row>
    <row r="565">
      <c r="A565" s="155" t="n">
        <v>46084</v>
      </c>
      <c r="B565" s="156" t="inlineStr">
        <is>
          <t>NS</t>
        </is>
      </c>
      <c r="C565" s="156" t="inlineStr">
        <is>
          <t>HT-415</t>
        </is>
      </c>
      <c r="D565" s="156" t="inlineStr">
        <is>
          <t>SY430</t>
        </is>
      </c>
      <c r="E565" s="156" t="inlineStr">
        <is>
          <t>DT Hauling</t>
        </is>
      </c>
      <c r="F565" s="156" t="inlineStr"/>
      <c r="G565" s="182" t="n">
        <v>0</v>
      </c>
      <c r="H565" s="182" t="n">
        <v>0</v>
      </c>
      <c r="I565" s="182" t="n">
        <v>12</v>
      </c>
      <c r="J565" s="182" t="n">
        <v>12</v>
      </c>
      <c r="K565" s="182" t="n">
        <v>0</v>
      </c>
      <c r="L565" s="182" t="n">
        <v>12</v>
      </c>
      <c r="M565" s="182" t="n">
        <v>0</v>
      </c>
      <c r="N565" s="182" t="n">
        <v>0</v>
      </c>
      <c r="O565" s="183" t="n">
        <v>0</v>
      </c>
      <c r="P565" s="183" t="n">
        <v>0</v>
      </c>
      <c r="Q565" s="184" t="n">
        <v>0</v>
      </c>
      <c r="R565" s="184" t="n">
        <v>0</v>
      </c>
      <c r="S565" s="183" t="n">
        <v>0</v>
      </c>
      <c r="T565" s="183" t="n">
        <v>0</v>
      </c>
      <c r="U565" s="182" t="n">
        <v>0</v>
      </c>
      <c r="V565" s="182" t="n">
        <v>0</v>
      </c>
      <c r="W565" s="182" t="n">
        <v>0</v>
      </c>
      <c r="X565" s="182" t="n">
        <v>0</v>
      </c>
      <c r="Y565" s="182" t="n">
        <v>0</v>
      </c>
      <c r="Z565" s="182" t="n">
        <v>0</v>
      </c>
      <c r="AA565" s="182" t="n">
        <v>0</v>
      </c>
      <c r="AB565" s="182" t="n">
        <v>0</v>
      </c>
      <c r="AC565" s="182" t="n">
        <v>0</v>
      </c>
      <c r="AD565" s="182" t="n">
        <v>0</v>
      </c>
      <c r="AE565" s="182" t="n">
        <v>0</v>
      </c>
      <c r="AF565" s="182" t="n">
        <v>0</v>
      </c>
      <c r="AG565" s="182" t="n">
        <v>0</v>
      </c>
      <c r="AH565" s="182" t="n">
        <v>0</v>
      </c>
      <c r="AI565" s="182" t="n">
        <v>0</v>
      </c>
      <c r="AJ565" s="182" t="n">
        <v>0</v>
      </c>
      <c r="AK565" s="182" t="n">
        <v>0</v>
      </c>
      <c r="AL565" s="182" t="n">
        <v>0</v>
      </c>
      <c r="AM565" s="182" t="n">
        <v>0</v>
      </c>
      <c r="AN565" s="182" t="n">
        <v>0</v>
      </c>
    </row>
    <row r="566">
      <c r="A566" s="155" t="n">
        <v>46084</v>
      </c>
      <c r="B566" s="156" t="inlineStr">
        <is>
          <t>NS</t>
        </is>
      </c>
      <c r="C566" s="156" t="inlineStr">
        <is>
          <t>HT-406</t>
        </is>
      </c>
      <c r="D566" s="156" t="inlineStr">
        <is>
          <t>SY430</t>
        </is>
      </c>
      <c r="E566" s="156" t="inlineStr">
        <is>
          <t>DT Hauling</t>
        </is>
      </c>
      <c r="F566" s="156" t="inlineStr"/>
      <c r="G566" s="182" t="n">
        <v>0</v>
      </c>
      <c r="H566" s="182" t="n">
        <v>0</v>
      </c>
      <c r="I566" s="182" t="n">
        <v>12</v>
      </c>
      <c r="J566" s="182" t="n">
        <v>12</v>
      </c>
      <c r="K566" s="182" t="n">
        <v>0</v>
      </c>
      <c r="L566" s="182" t="n">
        <v>12</v>
      </c>
      <c r="M566" s="182" t="n">
        <v>0</v>
      </c>
      <c r="N566" s="182" t="n">
        <v>0</v>
      </c>
      <c r="O566" s="183" t="n">
        <v>0</v>
      </c>
      <c r="P566" s="183" t="n">
        <v>0</v>
      </c>
      <c r="Q566" s="184" t="n">
        <v>0</v>
      </c>
      <c r="R566" s="184" t="n">
        <v>0</v>
      </c>
      <c r="S566" s="183" t="n">
        <v>0</v>
      </c>
      <c r="T566" s="183" t="n">
        <v>0</v>
      </c>
      <c r="U566" s="182" t="n">
        <v>0</v>
      </c>
      <c r="V566" s="182" t="n">
        <v>0</v>
      </c>
      <c r="W566" s="182" t="n">
        <v>0</v>
      </c>
      <c r="X566" s="182" t="n">
        <v>0</v>
      </c>
      <c r="Y566" s="182" t="n">
        <v>0</v>
      </c>
      <c r="Z566" s="182" t="n">
        <v>0</v>
      </c>
      <c r="AA566" s="182" t="n">
        <v>0</v>
      </c>
      <c r="AB566" s="182" t="n">
        <v>0</v>
      </c>
      <c r="AC566" s="182" t="n">
        <v>0</v>
      </c>
      <c r="AD566" s="182" t="n">
        <v>0</v>
      </c>
      <c r="AE566" s="182" t="n">
        <v>0</v>
      </c>
      <c r="AF566" s="182" t="n">
        <v>0</v>
      </c>
      <c r="AG566" s="182" t="n">
        <v>0</v>
      </c>
      <c r="AH566" s="182" t="n">
        <v>0</v>
      </c>
      <c r="AI566" s="182" t="n">
        <v>0</v>
      </c>
      <c r="AJ566" s="182" t="n">
        <v>0</v>
      </c>
      <c r="AK566" s="182" t="n">
        <v>0</v>
      </c>
      <c r="AL566" s="182" t="n">
        <v>0</v>
      </c>
      <c r="AM566" s="182" t="n">
        <v>0</v>
      </c>
      <c r="AN566" s="182" t="n">
        <v>0</v>
      </c>
    </row>
    <row r="567">
      <c r="A567" s="155" t="n">
        <v>46084</v>
      </c>
      <c r="B567" s="156" t="inlineStr">
        <is>
          <t>NS</t>
        </is>
      </c>
      <c r="C567" s="156" t="inlineStr">
        <is>
          <t>HT-405</t>
        </is>
      </c>
      <c r="D567" s="156" t="inlineStr">
        <is>
          <t>SY430</t>
        </is>
      </c>
      <c r="E567" s="156" t="inlineStr">
        <is>
          <t>DT Hauling</t>
        </is>
      </c>
      <c r="F567" s="156" t="inlineStr"/>
      <c r="G567" s="182" t="n">
        <v>0</v>
      </c>
      <c r="H567" s="182" t="n">
        <v>0</v>
      </c>
      <c r="I567" s="182" t="n">
        <v>0</v>
      </c>
      <c r="J567" s="182" t="n">
        <v>0</v>
      </c>
      <c r="K567" s="182" t="n">
        <v>12</v>
      </c>
      <c r="L567" s="182" t="n">
        <v>12</v>
      </c>
      <c r="M567" s="182" t="n">
        <v>0</v>
      </c>
      <c r="N567" s="182" t="n">
        <v>0</v>
      </c>
      <c r="O567" s="183" t="n">
        <v>0</v>
      </c>
      <c r="P567" s="183" t="n">
        <v>0</v>
      </c>
      <c r="Q567" s="184" t="n">
        <v>0</v>
      </c>
      <c r="R567" s="184" t="n">
        <v>0</v>
      </c>
      <c r="S567" s="183" t="n">
        <v>0</v>
      </c>
      <c r="T567" s="183" t="n">
        <v>0</v>
      </c>
      <c r="U567" s="182" t="n">
        <v>0</v>
      </c>
      <c r="V567" s="182" t="n">
        <v>0</v>
      </c>
      <c r="W567" s="182" t="n">
        <v>0</v>
      </c>
      <c r="X567" s="182" t="n">
        <v>1</v>
      </c>
      <c r="Y567" s="182" t="n">
        <v>0</v>
      </c>
      <c r="Z567" s="182" t="n">
        <v>0</v>
      </c>
      <c r="AA567" s="182" t="n">
        <v>0</v>
      </c>
      <c r="AB567" s="182" t="n">
        <v>0</v>
      </c>
      <c r="AC567" s="182" t="n">
        <v>0</v>
      </c>
      <c r="AD567" s="182" t="n">
        <v>0</v>
      </c>
      <c r="AE567" s="182" t="n">
        <v>0</v>
      </c>
      <c r="AF567" s="182" t="n">
        <v>0</v>
      </c>
      <c r="AG567" s="182" t="n">
        <v>0</v>
      </c>
      <c r="AH567" s="182" t="n">
        <v>0</v>
      </c>
      <c r="AI567" s="182" t="n">
        <v>0</v>
      </c>
      <c r="AJ567" s="182" t="n">
        <v>0</v>
      </c>
      <c r="AK567" s="182" t="n">
        <v>10.92</v>
      </c>
      <c r="AL567" s="182" t="n">
        <v>0</v>
      </c>
      <c r="AM567" s="182" t="n">
        <v>0.08</v>
      </c>
      <c r="AN567" s="182" t="n">
        <v>0</v>
      </c>
    </row>
    <row r="568">
      <c r="A568" s="155" t="n">
        <v>46084</v>
      </c>
      <c r="B568" s="156" t="inlineStr">
        <is>
          <t>NS</t>
        </is>
      </c>
      <c r="C568" s="156" t="inlineStr">
        <is>
          <t>HT-417</t>
        </is>
      </c>
      <c r="D568" s="156" t="inlineStr">
        <is>
          <t>SY430</t>
        </is>
      </c>
      <c r="E568" s="156" t="inlineStr">
        <is>
          <t>DT Hauling</t>
        </is>
      </c>
      <c r="F568" s="156" t="inlineStr"/>
      <c r="G568" s="182" t="n">
        <v>0</v>
      </c>
      <c r="H568" s="182" t="n">
        <v>0</v>
      </c>
      <c r="I568" s="182" t="n">
        <v>0</v>
      </c>
      <c r="J568" s="182" t="n">
        <v>0</v>
      </c>
      <c r="K568" s="182" t="n">
        <v>12</v>
      </c>
      <c r="L568" s="182" t="n">
        <v>12</v>
      </c>
      <c r="M568" s="182" t="n">
        <v>0</v>
      </c>
      <c r="N568" s="182" t="n">
        <v>0</v>
      </c>
      <c r="O568" s="183" t="n">
        <v>0</v>
      </c>
      <c r="P568" s="183" t="n">
        <v>0</v>
      </c>
      <c r="Q568" s="184" t="n">
        <v>0</v>
      </c>
      <c r="R568" s="184" t="n">
        <v>0</v>
      </c>
      <c r="S568" s="183" t="n">
        <v>0</v>
      </c>
      <c r="T568" s="183" t="n">
        <v>0</v>
      </c>
      <c r="U568" s="182" t="n">
        <v>0</v>
      </c>
      <c r="V568" s="182" t="n">
        <v>0</v>
      </c>
      <c r="W568" s="182" t="n">
        <v>0</v>
      </c>
      <c r="X568" s="182" t="n">
        <v>1</v>
      </c>
      <c r="Y568" s="182" t="n">
        <v>0</v>
      </c>
      <c r="Z568" s="182" t="n">
        <v>0</v>
      </c>
      <c r="AA568" s="182" t="n">
        <v>0</v>
      </c>
      <c r="AB568" s="182" t="n">
        <v>0</v>
      </c>
      <c r="AC568" s="182" t="n">
        <v>0</v>
      </c>
      <c r="AD568" s="182" t="n">
        <v>0</v>
      </c>
      <c r="AE568" s="182" t="n">
        <v>0</v>
      </c>
      <c r="AF568" s="182" t="n">
        <v>0</v>
      </c>
      <c r="AG568" s="182" t="n">
        <v>0</v>
      </c>
      <c r="AH568" s="182" t="n">
        <v>0</v>
      </c>
      <c r="AI568" s="182" t="n">
        <v>0</v>
      </c>
      <c r="AJ568" s="182" t="n">
        <v>0</v>
      </c>
      <c r="AK568" s="182" t="n">
        <v>10.92</v>
      </c>
      <c r="AL568" s="182" t="n">
        <v>0</v>
      </c>
      <c r="AM568" s="182" t="n">
        <v>0.08</v>
      </c>
      <c r="AN568" s="182" t="n">
        <v>0</v>
      </c>
    </row>
    <row r="569">
      <c r="A569" s="155" t="n">
        <v>46084</v>
      </c>
      <c r="B569" s="156" t="inlineStr">
        <is>
          <t>NS</t>
        </is>
      </c>
      <c r="C569" s="156" t="inlineStr">
        <is>
          <t>HT-401</t>
        </is>
      </c>
      <c r="D569" s="156" t="inlineStr">
        <is>
          <t>SY430</t>
        </is>
      </c>
      <c r="E569" s="156" t="inlineStr">
        <is>
          <t>DT Hauling</t>
        </is>
      </c>
      <c r="F569" s="156" t="inlineStr"/>
      <c r="G569" s="182" t="n">
        <v>0</v>
      </c>
      <c r="H569" s="182" t="n">
        <v>0</v>
      </c>
      <c r="I569" s="182" t="n">
        <v>0</v>
      </c>
      <c r="J569" s="182" t="n">
        <v>0</v>
      </c>
      <c r="K569" s="182" t="n">
        <v>12</v>
      </c>
      <c r="L569" s="182" t="n">
        <v>12</v>
      </c>
      <c r="M569" s="182" t="n">
        <v>0</v>
      </c>
      <c r="N569" s="182" t="n">
        <v>0</v>
      </c>
      <c r="O569" s="183" t="n">
        <v>0</v>
      </c>
      <c r="P569" s="183" t="n">
        <v>0</v>
      </c>
      <c r="Q569" s="184" t="n">
        <v>0</v>
      </c>
      <c r="R569" s="184" t="n">
        <v>0</v>
      </c>
      <c r="S569" s="183" t="n">
        <v>0</v>
      </c>
      <c r="T569" s="183" t="n">
        <v>0</v>
      </c>
      <c r="U569" s="182" t="n">
        <v>0</v>
      </c>
      <c r="V569" s="182" t="n">
        <v>0</v>
      </c>
      <c r="W569" s="182" t="n">
        <v>0</v>
      </c>
      <c r="X569" s="182" t="n">
        <v>1</v>
      </c>
      <c r="Y569" s="182" t="n">
        <v>0</v>
      </c>
      <c r="Z569" s="182" t="n">
        <v>0</v>
      </c>
      <c r="AA569" s="182" t="n">
        <v>0</v>
      </c>
      <c r="AB569" s="182" t="n">
        <v>0</v>
      </c>
      <c r="AC569" s="182" t="n">
        <v>0</v>
      </c>
      <c r="AD569" s="182" t="n">
        <v>0</v>
      </c>
      <c r="AE569" s="182" t="n">
        <v>0</v>
      </c>
      <c r="AF569" s="182" t="n">
        <v>0</v>
      </c>
      <c r="AG569" s="182" t="n">
        <v>0</v>
      </c>
      <c r="AH569" s="182" t="n">
        <v>0</v>
      </c>
      <c r="AI569" s="182" t="n">
        <v>0</v>
      </c>
      <c r="AJ569" s="182" t="n">
        <v>0</v>
      </c>
      <c r="AK569" s="182" t="n">
        <v>10.92</v>
      </c>
      <c r="AL569" s="182" t="n">
        <v>0</v>
      </c>
      <c r="AM569" s="182" t="n">
        <v>0.08</v>
      </c>
      <c r="AN569" s="182" t="n">
        <v>0</v>
      </c>
    </row>
    <row r="570">
      <c r="A570" s="155" t="n">
        <v>46084</v>
      </c>
      <c r="B570" s="156" t="inlineStr">
        <is>
          <t>NS</t>
        </is>
      </c>
      <c r="C570" s="156" t="inlineStr">
        <is>
          <t>HT-410</t>
        </is>
      </c>
      <c r="D570" s="156" t="inlineStr">
        <is>
          <t>SY430</t>
        </is>
      </c>
      <c r="E570" s="156" t="inlineStr">
        <is>
          <t>DT Hauling</t>
        </is>
      </c>
      <c r="F570" s="156" t="inlineStr"/>
      <c r="G570" s="182" t="n">
        <v>0</v>
      </c>
      <c r="H570" s="182" t="n">
        <v>0</v>
      </c>
      <c r="I570" s="182" t="n">
        <v>0</v>
      </c>
      <c r="J570" s="182" t="n">
        <v>0</v>
      </c>
      <c r="K570" s="182" t="n">
        <v>12</v>
      </c>
      <c r="L570" s="182" t="n">
        <v>12</v>
      </c>
      <c r="M570" s="182" t="n">
        <v>0</v>
      </c>
      <c r="N570" s="182" t="n">
        <v>0</v>
      </c>
      <c r="O570" s="183" t="n">
        <v>0</v>
      </c>
      <c r="P570" s="183" t="n">
        <v>0</v>
      </c>
      <c r="Q570" s="184" t="n">
        <v>0</v>
      </c>
      <c r="R570" s="184" t="n">
        <v>0</v>
      </c>
      <c r="S570" s="183" t="n">
        <v>0</v>
      </c>
      <c r="T570" s="183" t="n">
        <v>0</v>
      </c>
      <c r="U570" s="182" t="n">
        <v>0</v>
      </c>
      <c r="V570" s="182" t="n">
        <v>0</v>
      </c>
      <c r="W570" s="182" t="n">
        <v>0</v>
      </c>
      <c r="X570" s="182" t="n">
        <v>1</v>
      </c>
      <c r="Y570" s="182" t="n">
        <v>0</v>
      </c>
      <c r="Z570" s="182" t="n">
        <v>0</v>
      </c>
      <c r="AA570" s="182" t="n">
        <v>0</v>
      </c>
      <c r="AB570" s="182" t="n">
        <v>0</v>
      </c>
      <c r="AC570" s="182" t="n">
        <v>0</v>
      </c>
      <c r="AD570" s="182" t="n">
        <v>0</v>
      </c>
      <c r="AE570" s="182" t="n">
        <v>0</v>
      </c>
      <c r="AF570" s="182" t="n">
        <v>0</v>
      </c>
      <c r="AG570" s="182" t="n">
        <v>0</v>
      </c>
      <c r="AH570" s="182" t="n">
        <v>0</v>
      </c>
      <c r="AI570" s="182" t="n">
        <v>0</v>
      </c>
      <c r="AJ570" s="182" t="n">
        <v>0</v>
      </c>
      <c r="AK570" s="182" t="n">
        <v>10.92</v>
      </c>
      <c r="AL570" s="182" t="n">
        <v>0</v>
      </c>
      <c r="AM570" s="182" t="n">
        <v>0.08</v>
      </c>
      <c r="AN570" s="182" t="n">
        <v>0</v>
      </c>
    </row>
    <row r="571">
      <c r="A571" s="155" t="n">
        <v>46084</v>
      </c>
      <c r="B571" s="156" t="inlineStr">
        <is>
          <t>NS</t>
        </is>
      </c>
      <c r="C571" s="156" t="inlineStr">
        <is>
          <t>HT-402</t>
        </is>
      </c>
      <c r="D571" s="156" t="inlineStr">
        <is>
          <t>SY430</t>
        </is>
      </c>
      <c r="E571" s="156" t="inlineStr">
        <is>
          <t>DT Hauling</t>
        </is>
      </c>
      <c r="F571" s="156" t="inlineStr"/>
      <c r="G571" s="182" t="n">
        <v>0</v>
      </c>
      <c r="H571" s="182" t="n">
        <v>0</v>
      </c>
      <c r="I571" s="182" t="n">
        <v>0</v>
      </c>
      <c r="J571" s="182" t="n">
        <v>0</v>
      </c>
      <c r="K571" s="182" t="n">
        <v>12</v>
      </c>
      <c r="L571" s="182" t="n">
        <v>12</v>
      </c>
      <c r="M571" s="182" t="n">
        <v>0</v>
      </c>
      <c r="N571" s="182" t="n">
        <v>0</v>
      </c>
      <c r="O571" s="183" t="n">
        <v>0</v>
      </c>
      <c r="P571" s="183" t="n">
        <v>0</v>
      </c>
      <c r="Q571" s="184" t="n">
        <v>0</v>
      </c>
      <c r="R571" s="184" t="n">
        <v>0</v>
      </c>
      <c r="S571" s="183" t="n">
        <v>0</v>
      </c>
      <c r="T571" s="183" t="n">
        <v>0</v>
      </c>
      <c r="U571" s="182" t="n">
        <v>0</v>
      </c>
      <c r="V571" s="182" t="n">
        <v>0</v>
      </c>
      <c r="W571" s="182" t="n">
        <v>0</v>
      </c>
      <c r="X571" s="182" t="n">
        <v>1</v>
      </c>
      <c r="Y571" s="182" t="n">
        <v>0</v>
      </c>
      <c r="Z571" s="182" t="n">
        <v>0</v>
      </c>
      <c r="AA571" s="182" t="n">
        <v>0</v>
      </c>
      <c r="AB571" s="182" t="n">
        <v>0</v>
      </c>
      <c r="AC571" s="182" t="n">
        <v>0</v>
      </c>
      <c r="AD571" s="182" t="n">
        <v>0</v>
      </c>
      <c r="AE571" s="182" t="n">
        <v>0</v>
      </c>
      <c r="AF571" s="182" t="n">
        <v>0</v>
      </c>
      <c r="AG571" s="182" t="n">
        <v>0</v>
      </c>
      <c r="AH571" s="182" t="n">
        <v>0</v>
      </c>
      <c r="AI571" s="182" t="n">
        <v>0</v>
      </c>
      <c r="AJ571" s="182" t="n">
        <v>0</v>
      </c>
      <c r="AK571" s="182" t="n">
        <v>10.92</v>
      </c>
      <c r="AL571" s="182" t="n">
        <v>0</v>
      </c>
      <c r="AM571" s="182" t="n">
        <v>0.08</v>
      </c>
      <c r="AN571" s="182" t="n">
        <v>0</v>
      </c>
    </row>
    <row r="572">
      <c r="A572" s="155" t="n">
        <v>46084</v>
      </c>
      <c r="B572" s="156" t="inlineStr">
        <is>
          <t>NS</t>
        </is>
      </c>
      <c r="C572" s="156" t="inlineStr">
        <is>
          <t>HT-419</t>
        </is>
      </c>
      <c r="D572" s="156" t="inlineStr">
        <is>
          <t>SY430</t>
        </is>
      </c>
      <c r="E572" s="156" t="inlineStr">
        <is>
          <t>DT Hauling</t>
        </is>
      </c>
      <c r="F572" s="156" t="inlineStr"/>
      <c r="G572" s="182" t="n">
        <v>0</v>
      </c>
      <c r="H572" s="182" t="n">
        <v>0</v>
      </c>
      <c r="I572" s="182" t="n">
        <v>0</v>
      </c>
      <c r="J572" s="182" t="n">
        <v>0</v>
      </c>
      <c r="K572" s="182" t="n">
        <v>12</v>
      </c>
      <c r="L572" s="182" t="n">
        <v>12</v>
      </c>
      <c r="M572" s="182" t="n">
        <v>0</v>
      </c>
      <c r="N572" s="182" t="n">
        <v>0</v>
      </c>
      <c r="O572" s="183" t="n">
        <v>0</v>
      </c>
      <c r="P572" s="183" t="n">
        <v>0</v>
      </c>
      <c r="Q572" s="184" t="n">
        <v>0</v>
      </c>
      <c r="R572" s="184" t="n">
        <v>0</v>
      </c>
      <c r="S572" s="183" t="n">
        <v>0</v>
      </c>
      <c r="T572" s="183" t="n">
        <v>0</v>
      </c>
      <c r="U572" s="182" t="n">
        <v>0</v>
      </c>
      <c r="V572" s="182" t="n">
        <v>0</v>
      </c>
      <c r="W572" s="182" t="n">
        <v>0</v>
      </c>
      <c r="X572" s="182" t="n">
        <v>1</v>
      </c>
      <c r="Y572" s="182" t="n">
        <v>0</v>
      </c>
      <c r="Z572" s="182" t="n">
        <v>0</v>
      </c>
      <c r="AA572" s="182" t="n">
        <v>0</v>
      </c>
      <c r="AB572" s="182" t="n">
        <v>0</v>
      </c>
      <c r="AC572" s="182" t="n">
        <v>0</v>
      </c>
      <c r="AD572" s="182" t="n">
        <v>0</v>
      </c>
      <c r="AE572" s="182" t="n">
        <v>0</v>
      </c>
      <c r="AF572" s="182" t="n">
        <v>0</v>
      </c>
      <c r="AG572" s="182" t="n">
        <v>0</v>
      </c>
      <c r="AH572" s="182" t="n">
        <v>0</v>
      </c>
      <c r="AI572" s="182" t="n">
        <v>0</v>
      </c>
      <c r="AJ572" s="182" t="n">
        <v>0</v>
      </c>
      <c r="AK572" s="182" t="n">
        <v>10.92</v>
      </c>
      <c r="AL572" s="182" t="n">
        <v>0</v>
      </c>
      <c r="AM572" s="182" t="n">
        <v>0.08</v>
      </c>
      <c r="AN572" s="182" t="n">
        <v>0</v>
      </c>
    </row>
    <row r="573">
      <c r="A573" s="155" t="n">
        <v>46084</v>
      </c>
      <c r="B573" s="156" t="inlineStr">
        <is>
          <t>NS</t>
        </is>
      </c>
      <c r="C573" s="156" t="inlineStr">
        <is>
          <t>HT-416</t>
        </is>
      </c>
      <c r="D573" s="156" t="inlineStr">
        <is>
          <t>SY430</t>
        </is>
      </c>
      <c r="E573" s="156" t="inlineStr">
        <is>
          <t>DT Hauling</t>
        </is>
      </c>
      <c r="F573" s="156" t="inlineStr"/>
      <c r="G573" s="182" t="n">
        <v>0</v>
      </c>
      <c r="H573" s="182" t="n">
        <v>0</v>
      </c>
      <c r="I573" s="182" t="n">
        <v>0</v>
      </c>
      <c r="J573" s="182" t="n">
        <v>0</v>
      </c>
      <c r="K573" s="182" t="n">
        <v>12</v>
      </c>
      <c r="L573" s="182" t="n">
        <v>12</v>
      </c>
      <c r="M573" s="182" t="n">
        <v>0</v>
      </c>
      <c r="N573" s="182" t="n">
        <v>0</v>
      </c>
      <c r="O573" s="183" t="n">
        <v>0</v>
      </c>
      <c r="P573" s="183" t="n">
        <v>0</v>
      </c>
      <c r="Q573" s="184" t="n">
        <v>0</v>
      </c>
      <c r="R573" s="184" t="n">
        <v>0</v>
      </c>
      <c r="S573" s="183" t="n">
        <v>0</v>
      </c>
      <c r="T573" s="183" t="n">
        <v>0</v>
      </c>
      <c r="U573" s="182" t="n">
        <v>0</v>
      </c>
      <c r="V573" s="182" t="n">
        <v>0</v>
      </c>
      <c r="W573" s="182" t="n">
        <v>0</v>
      </c>
      <c r="X573" s="182" t="n">
        <v>1</v>
      </c>
      <c r="Y573" s="182" t="n">
        <v>0</v>
      </c>
      <c r="Z573" s="182" t="n">
        <v>0</v>
      </c>
      <c r="AA573" s="182" t="n">
        <v>0</v>
      </c>
      <c r="AB573" s="182" t="n">
        <v>0</v>
      </c>
      <c r="AC573" s="182" t="n">
        <v>0</v>
      </c>
      <c r="AD573" s="182" t="n">
        <v>0</v>
      </c>
      <c r="AE573" s="182" t="n">
        <v>0</v>
      </c>
      <c r="AF573" s="182" t="n">
        <v>0</v>
      </c>
      <c r="AG573" s="182" t="n">
        <v>0</v>
      </c>
      <c r="AH573" s="182" t="n">
        <v>0</v>
      </c>
      <c r="AI573" s="182" t="n">
        <v>0</v>
      </c>
      <c r="AJ573" s="182" t="n">
        <v>0</v>
      </c>
      <c r="AK573" s="182" t="n">
        <v>10.92</v>
      </c>
      <c r="AL573" s="182" t="n">
        <v>0</v>
      </c>
      <c r="AM573" s="182" t="n">
        <v>0.08</v>
      </c>
      <c r="AN573" s="182" t="n">
        <v>0</v>
      </c>
    </row>
    <row r="574">
      <c r="A574" s="155" t="n">
        <v>46084</v>
      </c>
      <c r="B574" s="156" t="inlineStr">
        <is>
          <t>NS</t>
        </is>
      </c>
      <c r="C574" s="156" t="inlineStr">
        <is>
          <t>HT-420</t>
        </is>
      </c>
      <c r="D574" s="156" t="inlineStr">
        <is>
          <t>SY430</t>
        </is>
      </c>
      <c r="E574" s="156" t="inlineStr">
        <is>
          <t>DT Hauling</t>
        </is>
      </c>
      <c r="F574" s="156" t="inlineStr"/>
      <c r="G574" s="182" t="n">
        <v>0</v>
      </c>
      <c r="H574" s="182" t="n">
        <v>0</v>
      </c>
      <c r="I574" s="182" t="n">
        <v>0</v>
      </c>
      <c r="J574" s="182" t="n">
        <v>0</v>
      </c>
      <c r="K574" s="182" t="n">
        <v>12</v>
      </c>
      <c r="L574" s="182" t="n">
        <v>12</v>
      </c>
      <c r="M574" s="182" t="n">
        <v>0</v>
      </c>
      <c r="N574" s="182" t="n">
        <v>0</v>
      </c>
      <c r="O574" s="183" t="n">
        <v>0</v>
      </c>
      <c r="P574" s="183" t="n">
        <v>0</v>
      </c>
      <c r="Q574" s="184" t="n">
        <v>0</v>
      </c>
      <c r="R574" s="184" t="n">
        <v>0</v>
      </c>
      <c r="S574" s="183" t="n">
        <v>0</v>
      </c>
      <c r="T574" s="183" t="n">
        <v>0</v>
      </c>
      <c r="U574" s="182" t="n">
        <v>0</v>
      </c>
      <c r="V574" s="182" t="n">
        <v>0</v>
      </c>
      <c r="W574" s="182" t="n">
        <v>0</v>
      </c>
      <c r="X574" s="182" t="n">
        <v>1</v>
      </c>
      <c r="Y574" s="182" t="n">
        <v>0</v>
      </c>
      <c r="Z574" s="182" t="n">
        <v>0</v>
      </c>
      <c r="AA574" s="182" t="n">
        <v>0</v>
      </c>
      <c r="AB574" s="182" t="n">
        <v>0</v>
      </c>
      <c r="AC574" s="182" t="n">
        <v>0</v>
      </c>
      <c r="AD574" s="182" t="n">
        <v>0</v>
      </c>
      <c r="AE574" s="182" t="n">
        <v>0</v>
      </c>
      <c r="AF574" s="182" t="n">
        <v>0</v>
      </c>
      <c r="AG574" s="182" t="n">
        <v>0</v>
      </c>
      <c r="AH574" s="182" t="n">
        <v>0</v>
      </c>
      <c r="AI574" s="182" t="n">
        <v>0</v>
      </c>
      <c r="AJ574" s="182" t="n">
        <v>0</v>
      </c>
      <c r="AK574" s="182" t="n">
        <v>10.92</v>
      </c>
      <c r="AL574" s="182" t="n">
        <v>0</v>
      </c>
      <c r="AM574" s="182" t="n">
        <v>0.08</v>
      </c>
      <c r="AN574" s="182" t="n">
        <v>0</v>
      </c>
    </row>
    <row r="575">
      <c r="A575" s="155" t="n">
        <v>46084</v>
      </c>
      <c r="B575" s="156" t="inlineStr">
        <is>
          <t>NS</t>
        </is>
      </c>
      <c r="C575" s="156" t="inlineStr">
        <is>
          <t>HT-403</t>
        </is>
      </c>
      <c r="D575" s="156" t="inlineStr">
        <is>
          <t>SY430</t>
        </is>
      </c>
      <c r="E575" s="156" t="inlineStr">
        <is>
          <t>DT Hauling</t>
        </is>
      </c>
      <c r="F575" s="156" t="inlineStr"/>
      <c r="G575" s="182" t="n">
        <v>0</v>
      </c>
      <c r="H575" s="182" t="n">
        <v>0</v>
      </c>
      <c r="I575" s="182" t="n">
        <v>0</v>
      </c>
      <c r="J575" s="182" t="n">
        <v>0</v>
      </c>
      <c r="K575" s="182" t="n">
        <v>12</v>
      </c>
      <c r="L575" s="182" t="n">
        <v>12</v>
      </c>
      <c r="M575" s="182" t="n">
        <v>0</v>
      </c>
      <c r="N575" s="182" t="n">
        <v>0</v>
      </c>
      <c r="O575" s="183" t="n">
        <v>0</v>
      </c>
      <c r="P575" s="183" t="n">
        <v>0</v>
      </c>
      <c r="Q575" s="184" t="n">
        <v>0</v>
      </c>
      <c r="R575" s="184" t="n">
        <v>0</v>
      </c>
      <c r="S575" s="183" t="n">
        <v>0</v>
      </c>
      <c r="T575" s="183" t="n">
        <v>0</v>
      </c>
      <c r="U575" s="182" t="n">
        <v>0</v>
      </c>
      <c r="V575" s="182" t="n">
        <v>0</v>
      </c>
      <c r="W575" s="182" t="n">
        <v>0</v>
      </c>
      <c r="X575" s="182" t="n">
        <v>1</v>
      </c>
      <c r="Y575" s="182" t="n">
        <v>0</v>
      </c>
      <c r="Z575" s="182" t="n">
        <v>0</v>
      </c>
      <c r="AA575" s="182" t="n">
        <v>0</v>
      </c>
      <c r="AB575" s="182" t="n">
        <v>0</v>
      </c>
      <c r="AC575" s="182" t="n">
        <v>0</v>
      </c>
      <c r="AD575" s="182" t="n">
        <v>0</v>
      </c>
      <c r="AE575" s="182" t="n">
        <v>0</v>
      </c>
      <c r="AF575" s="182" t="n">
        <v>0</v>
      </c>
      <c r="AG575" s="182" t="n">
        <v>0</v>
      </c>
      <c r="AH575" s="182" t="n">
        <v>0</v>
      </c>
      <c r="AI575" s="182" t="n">
        <v>0</v>
      </c>
      <c r="AJ575" s="182" t="n">
        <v>0</v>
      </c>
      <c r="AK575" s="182" t="n">
        <v>10.92</v>
      </c>
      <c r="AL575" s="182" t="n">
        <v>0</v>
      </c>
      <c r="AM575" s="182" t="n">
        <v>0.08</v>
      </c>
      <c r="AN575" s="182" t="n">
        <v>0</v>
      </c>
    </row>
    <row r="576">
      <c r="A576" s="155" t="n">
        <v>46084</v>
      </c>
      <c r="B576" s="156" t="inlineStr">
        <is>
          <t>NS</t>
        </is>
      </c>
      <c r="C576" s="156" t="inlineStr">
        <is>
          <t>HT-408</t>
        </is>
      </c>
      <c r="D576" s="156" t="inlineStr">
        <is>
          <t>SY430</t>
        </is>
      </c>
      <c r="E576" s="156" t="inlineStr">
        <is>
          <t>DT Hauling</t>
        </is>
      </c>
      <c r="F576" s="156" t="inlineStr"/>
      <c r="G576" s="182" t="n">
        <v>0</v>
      </c>
      <c r="H576" s="182" t="n">
        <v>0</v>
      </c>
      <c r="I576" s="182" t="n">
        <v>0.25</v>
      </c>
      <c r="J576" s="182" t="n">
        <v>0.25</v>
      </c>
      <c r="K576" s="182" t="n">
        <v>11.75</v>
      </c>
      <c r="L576" s="182" t="n">
        <v>12</v>
      </c>
      <c r="M576" s="182" t="n">
        <v>0</v>
      </c>
      <c r="N576" s="182" t="n">
        <v>0</v>
      </c>
      <c r="O576" s="183" t="n">
        <v>0</v>
      </c>
      <c r="P576" s="183" t="n">
        <v>0</v>
      </c>
      <c r="Q576" s="184" t="n">
        <v>0</v>
      </c>
      <c r="R576" s="184" t="n">
        <v>0</v>
      </c>
      <c r="S576" s="183" t="n">
        <v>0</v>
      </c>
      <c r="T576" s="183" t="n">
        <v>0</v>
      </c>
      <c r="U576" s="182" t="n">
        <v>0</v>
      </c>
      <c r="V576" s="182" t="n">
        <v>0</v>
      </c>
      <c r="W576" s="182" t="n">
        <v>0</v>
      </c>
      <c r="X576" s="182" t="n">
        <v>1</v>
      </c>
      <c r="Y576" s="182" t="n">
        <v>0</v>
      </c>
      <c r="Z576" s="182" t="n">
        <v>0</v>
      </c>
      <c r="AA576" s="182" t="n">
        <v>0</v>
      </c>
      <c r="AB576" s="182" t="n">
        <v>0</v>
      </c>
      <c r="AC576" s="182" t="n">
        <v>0</v>
      </c>
      <c r="AD576" s="182" t="n">
        <v>0</v>
      </c>
      <c r="AE576" s="182" t="n">
        <v>0</v>
      </c>
      <c r="AF576" s="182" t="n">
        <v>0</v>
      </c>
      <c r="AG576" s="182" t="n">
        <v>0</v>
      </c>
      <c r="AH576" s="182" t="n">
        <v>0</v>
      </c>
      <c r="AI576" s="182" t="n">
        <v>0</v>
      </c>
      <c r="AJ576" s="182" t="n">
        <v>0</v>
      </c>
      <c r="AK576" s="182" t="n">
        <v>10.67</v>
      </c>
      <c r="AL576" s="182" t="n">
        <v>0</v>
      </c>
      <c r="AM576" s="182" t="n">
        <v>0.08</v>
      </c>
      <c r="AN576" s="182" t="n">
        <v>0</v>
      </c>
    </row>
    <row r="577">
      <c r="A577" s="155" t="n">
        <v>46084</v>
      </c>
      <c r="B577" s="156" t="inlineStr">
        <is>
          <t>NS</t>
        </is>
      </c>
      <c r="C577" s="156" t="inlineStr">
        <is>
          <t>HT-412</t>
        </is>
      </c>
      <c r="D577" s="156" t="inlineStr">
        <is>
          <t>SY430</t>
        </is>
      </c>
      <c r="E577" s="156" t="inlineStr">
        <is>
          <t>DT Hauling</t>
        </is>
      </c>
      <c r="F577" s="156" t="inlineStr"/>
      <c r="G577" s="182" t="n">
        <v>0</v>
      </c>
      <c r="H577" s="182" t="n">
        <v>0</v>
      </c>
      <c r="I577" s="182" t="n">
        <v>0</v>
      </c>
      <c r="J577" s="182" t="n">
        <v>0</v>
      </c>
      <c r="K577" s="182" t="n">
        <v>12</v>
      </c>
      <c r="L577" s="182" t="n">
        <v>12</v>
      </c>
      <c r="M577" s="182" t="n">
        <v>0</v>
      </c>
      <c r="N577" s="182" t="n">
        <v>0</v>
      </c>
      <c r="O577" s="183" t="n">
        <v>0</v>
      </c>
      <c r="P577" s="183" t="n">
        <v>0</v>
      </c>
      <c r="Q577" s="184" t="n">
        <v>0</v>
      </c>
      <c r="R577" s="184" t="n">
        <v>0</v>
      </c>
      <c r="S577" s="183" t="n">
        <v>0</v>
      </c>
      <c r="T577" s="183" t="n">
        <v>0</v>
      </c>
      <c r="U577" s="182" t="n">
        <v>0</v>
      </c>
      <c r="V577" s="182" t="n">
        <v>0</v>
      </c>
      <c r="W577" s="182" t="n">
        <v>0</v>
      </c>
      <c r="X577" s="182" t="n">
        <v>1</v>
      </c>
      <c r="Y577" s="182" t="n">
        <v>0</v>
      </c>
      <c r="Z577" s="182" t="n">
        <v>0</v>
      </c>
      <c r="AA577" s="182" t="n">
        <v>0</v>
      </c>
      <c r="AB577" s="182" t="n">
        <v>0</v>
      </c>
      <c r="AC577" s="182" t="n">
        <v>0</v>
      </c>
      <c r="AD577" s="182" t="n">
        <v>0</v>
      </c>
      <c r="AE577" s="182" t="n">
        <v>0</v>
      </c>
      <c r="AF577" s="182" t="n">
        <v>0</v>
      </c>
      <c r="AG577" s="182" t="n">
        <v>0</v>
      </c>
      <c r="AH577" s="182" t="n">
        <v>0</v>
      </c>
      <c r="AI577" s="182" t="n">
        <v>0</v>
      </c>
      <c r="AJ577" s="182" t="n">
        <v>0</v>
      </c>
      <c r="AK577" s="182" t="n">
        <v>10.92</v>
      </c>
      <c r="AL577" s="182" t="n">
        <v>0</v>
      </c>
      <c r="AM577" s="182" t="n">
        <v>0.08</v>
      </c>
      <c r="AN577" s="182" t="n">
        <v>0</v>
      </c>
    </row>
    <row r="578">
      <c r="A578" s="155" t="n">
        <v>46084</v>
      </c>
      <c r="B578" s="156" t="inlineStr">
        <is>
          <t>NS</t>
        </is>
      </c>
      <c r="C578" s="156" t="inlineStr">
        <is>
          <t>HT-413</t>
        </is>
      </c>
      <c r="D578" s="156" t="inlineStr">
        <is>
          <t>SY430</t>
        </is>
      </c>
      <c r="E578" s="156" t="inlineStr">
        <is>
          <t>DT Hauling</t>
        </is>
      </c>
      <c r="F578" s="156" t="inlineStr"/>
      <c r="G578" s="182" t="n">
        <v>0</v>
      </c>
      <c r="H578" s="182" t="n">
        <v>0</v>
      </c>
      <c r="I578" s="182" t="n">
        <v>12</v>
      </c>
      <c r="J578" s="182" t="n">
        <v>12</v>
      </c>
      <c r="K578" s="182" t="n">
        <v>0</v>
      </c>
      <c r="L578" s="182" t="n">
        <v>12</v>
      </c>
      <c r="M578" s="182" t="n">
        <v>0</v>
      </c>
      <c r="N578" s="182" t="n">
        <v>0</v>
      </c>
      <c r="O578" s="183" t="n">
        <v>0</v>
      </c>
      <c r="P578" s="183" t="n">
        <v>0</v>
      </c>
      <c r="Q578" s="184" t="n">
        <v>0</v>
      </c>
      <c r="R578" s="184" t="n">
        <v>0</v>
      </c>
      <c r="S578" s="183" t="n">
        <v>0</v>
      </c>
      <c r="T578" s="183" t="n">
        <v>0</v>
      </c>
      <c r="U578" s="182" t="n">
        <v>0</v>
      </c>
      <c r="V578" s="182" t="n">
        <v>0</v>
      </c>
      <c r="W578" s="182" t="n">
        <v>0</v>
      </c>
      <c r="X578" s="182" t="n">
        <v>0</v>
      </c>
      <c r="Y578" s="182" t="n">
        <v>0</v>
      </c>
      <c r="Z578" s="182" t="n">
        <v>0</v>
      </c>
      <c r="AA578" s="182" t="n">
        <v>0</v>
      </c>
      <c r="AB578" s="182" t="n">
        <v>0</v>
      </c>
      <c r="AC578" s="182" t="n">
        <v>0</v>
      </c>
      <c r="AD578" s="182" t="n">
        <v>0</v>
      </c>
      <c r="AE578" s="182" t="n">
        <v>0</v>
      </c>
      <c r="AF578" s="182" t="n">
        <v>0</v>
      </c>
      <c r="AG578" s="182" t="n">
        <v>0</v>
      </c>
      <c r="AH578" s="182" t="n">
        <v>0</v>
      </c>
      <c r="AI578" s="182" t="n">
        <v>0</v>
      </c>
      <c r="AJ578" s="182" t="n">
        <v>0</v>
      </c>
      <c r="AK578" s="182" t="n">
        <v>0</v>
      </c>
      <c r="AL578" s="182" t="n">
        <v>0</v>
      </c>
      <c r="AM578" s="182" t="n">
        <v>0</v>
      </c>
      <c r="AN578" s="182" t="n">
        <v>0</v>
      </c>
    </row>
    <row r="579">
      <c r="A579" s="155" t="n">
        <v>46084</v>
      </c>
      <c r="B579" s="156" t="inlineStr">
        <is>
          <t>NS</t>
        </is>
      </c>
      <c r="C579" s="156" t="inlineStr">
        <is>
          <t>HT-407</t>
        </is>
      </c>
      <c r="D579" s="156" t="inlineStr">
        <is>
          <t>SY430</t>
        </is>
      </c>
      <c r="E579" s="156" t="inlineStr">
        <is>
          <t>DT Hauling</t>
        </is>
      </c>
      <c r="F579" s="156" t="inlineStr"/>
      <c r="G579" s="182" t="n">
        <v>0</v>
      </c>
      <c r="H579" s="182" t="n">
        <v>0</v>
      </c>
      <c r="I579" s="182" t="n">
        <v>0</v>
      </c>
      <c r="J579" s="182" t="n">
        <v>0</v>
      </c>
      <c r="K579" s="182" t="n">
        <v>12</v>
      </c>
      <c r="L579" s="182" t="n">
        <v>12</v>
      </c>
      <c r="M579" s="182" t="n">
        <v>0</v>
      </c>
      <c r="N579" s="182" t="n">
        <v>0</v>
      </c>
      <c r="O579" s="183" t="n">
        <v>0</v>
      </c>
      <c r="P579" s="183" t="n">
        <v>0</v>
      </c>
      <c r="Q579" s="184" t="n">
        <v>0</v>
      </c>
      <c r="R579" s="184" t="n">
        <v>0</v>
      </c>
      <c r="S579" s="183" t="n">
        <v>0</v>
      </c>
      <c r="T579" s="183" t="n">
        <v>0</v>
      </c>
      <c r="U579" s="182" t="n">
        <v>0</v>
      </c>
      <c r="V579" s="182" t="n">
        <v>0</v>
      </c>
      <c r="W579" s="182" t="n">
        <v>0</v>
      </c>
      <c r="X579" s="182" t="n">
        <v>1</v>
      </c>
      <c r="Y579" s="182" t="n">
        <v>0</v>
      </c>
      <c r="Z579" s="182" t="n">
        <v>0</v>
      </c>
      <c r="AA579" s="182" t="n">
        <v>0</v>
      </c>
      <c r="AB579" s="182" t="n">
        <v>0</v>
      </c>
      <c r="AC579" s="182" t="n">
        <v>0</v>
      </c>
      <c r="AD579" s="182" t="n">
        <v>0</v>
      </c>
      <c r="AE579" s="182" t="n">
        <v>0</v>
      </c>
      <c r="AF579" s="182" t="n">
        <v>0</v>
      </c>
      <c r="AG579" s="182" t="n">
        <v>0</v>
      </c>
      <c r="AH579" s="182" t="n">
        <v>0</v>
      </c>
      <c r="AI579" s="182" t="n">
        <v>0</v>
      </c>
      <c r="AJ579" s="182" t="n">
        <v>0</v>
      </c>
      <c r="AK579" s="182" t="n">
        <v>10.92</v>
      </c>
      <c r="AL579" s="182" t="n">
        <v>0</v>
      </c>
      <c r="AM579" s="182" t="n">
        <v>0.08</v>
      </c>
      <c r="AN579" s="182" t="n">
        <v>0</v>
      </c>
    </row>
    <row r="580">
      <c r="A580" s="155" t="n">
        <v>46084</v>
      </c>
      <c r="B580" s="156" t="inlineStr">
        <is>
          <t>NS</t>
        </is>
      </c>
      <c r="C580" s="156" t="inlineStr">
        <is>
          <t>HT-414</t>
        </is>
      </c>
      <c r="D580" s="156" t="inlineStr">
        <is>
          <t>SY430</t>
        </is>
      </c>
      <c r="E580" s="156" t="inlineStr">
        <is>
          <t>DT Hauling</t>
        </is>
      </c>
      <c r="F580" s="156" t="inlineStr"/>
      <c r="G580" s="182" t="n">
        <v>0</v>
      </c>
      <c r="H580" s="182" t="n">
        <v>0</v>
      </c>
      <c r="I580" s="182" t="n">
        <v>0</v>
      </c>
      <c r="J580" s="182" t="n">
        <v>0</v>
      </c>
      <c r="K580" s="182" t="n">
        <v>12</v>
      </c>
      <c r="L580" s="182" t="n">
        <v>12</v>
      </c>
      <c r="M580" s="182" t="n">
        <v>0</v>
      </c>
      <c r="N580" s="182" t="n">
        <v>0</v>
      </c>
      <c r="O580" s="183" t="n">
        <v>0</v>
      </c>
      <c r="P580" s="183" t="n">
        <v>0</v>
      </c>
      <c r="Q580" s="184" t="n">
        <v>0</v>
      </c>
      <c r="R580" s="184" t="n">
        <v>0</v>
      </c>
      <c r="S580" s="183" t="n">
        <v>0</v>
      </c>
      <c r="T580" s="183" t="n">
        <v>0</v>
      </c>
      <c r="U580" s="182" t="n">
        <v>0</v>
      </c>
      <c r="V580" s="182" t="n">
        <v>0</v>
      </c>
      <c r="W580" s="182" t="n">
        <v>0</v>
      </c>
      <c r="X580" s="182" t="n">
        <v>1</v>
      </c>
      <c r="Y580" s="182" t="n">
        <v>0</v>
      </c>
      <c r="Z580" s="182" t="n">
        <v>0</v>
      </c>
      <c r="AA580" s="182" t="n">
        <v>0</v>
      </c>
      <c r="AB580" s="182" t="n">
        <v>0</v>
      </c>
      <c r="AC580" s="182" t="n">
        <v>0</v>
      </c>
      <c r="AD580" s="182" t="n">
        <v>0</v>
      </c>
      <c r="AE580" s="182" t="n">
        <v>0</v>
      </c>
      <c r="AF580" s="182" t="n">
        <v>0</v>
      </c>
      <c r="AG580" s="182" t="n">
        <v>0</v>
      </c>
      <c r="AH580" s="182" t="n">
        <v>0</v>
      </c>
      <c r="AI580" s="182" t="n">
        <v>0</v>
      </c>
      <c r="AJ580" s="182" t="n">
        <v>0</v>
      </c>
      <c r="AK580" s="182" t="n">
        <v>10.92</v>
      </c>
      <c r="AL580" s="182" t="n">
        <v>0</v>
      </c>
      <c r="AM580" s="182" t="n">
        <v>0.08</v>
      </c>
      <c r="AN580" s="182" t="n">
        <v>0</v>
      </c>
    </row>
    <row r="581">
      <c r="A581" s="155" t="n">
        <v>46084</v>
      </c>
      <c r="B581" s="156" t="inlineStr">
        <is>
          <t>NS</t>
        </is>
      </c>
      <c r="C581" s="156" t="inlineStr">
        <is>
          <t>HT-411</t>
        </is>
      </c>
      <c r="D581" s="156" t="inlineStr">
        <is>
          <t>SY430</t>
        </is>
      </c>
      <c r="E581" s="156" t="inlineStr">
        <is>
          <t>DT Hauling</t>
        </is>
      </c>
      <c r="F581" s="156" t="inlineStr"/>
      <c r="G581" s="182" t="n">
        <v>0</v>
      </c>
      <c r="H581" s="182" t="n">
        <v>0</v>
      </c>
      <c r="I581" s="182" t="n">
        <v>0</v>
      </c>
      <c r="J581" s="182" t="n">
        <v>0</v>
      </c>
      <c r="K581" s="182" t="n">
        <v>12</v>
      </c>
      <c r="L581" s="182" t="n">
        <v>12</v>
      </c>
      <c r="M581" s="182" t="n">
        <v>0</v>
      </c>
      <c r="N581" s="182" t="n">
        <v>0</v>
      </c>
      <c r="O581" s="183" t="n">
        <v>0</v>
      </c>
      <c r="P581" s="183" t="n">
        <v>0</v>
      </c>
      <c r="Q581" s="184" t="n">
        <v>0</v>
      </c>
      <c r="R581" s="184" t="n">
        <v>0</v>
      </c>
      <c r="S581" s="183" t="n">
        <v>0</v>
      </c>
      <c r="T581" s="183" t="n">
        <v>0</v>
      </c>
      <c r="U581" s="182" t="n">
        <v>0</v>
      </c>
      <c r="V581" s="182" t="n">
        <v>0</v>
      </c>
      <c r="W581" s="182" t="n">
        <v>0</v>
      </c>
      <c r="X581" s="182" t="n">
        <v>1</v>
      </c>
      <c r="Y581" s="182" t="n">
        <v>0</v>
      </c>
      <c r="Z581" s="182" t="n">
        <v>0</v>
      </c>
      <c r="AA581" s="182" t="n">
        <v>0</v>
      </c>
      <c r="AB581" s="182" t="n">
        <v>0</v>
      </c>
      <c r="AC581" s="182" t="n">
        <v>0</v>
      </c>
      <c r="AD581" s="182" t="n">
        <v>0</v>
      </c>
      <c r="AE581" s="182" t="n">
        <v>0</v>
      </c>
      <c r="AF581" s="182" t="n">
        <v>0</v>
      </c>
      <c r="AG581" s="182" t="n">
        <v>0</v>
      </c>
      <c r="AH581" s="182" t="n">
        <v>0</v>
      </c>
      <c r="AI581" s="182" t="n">
        <v>0</v>
      </c>
      <c r="AJ581" s="182" t="n">
        <v>0</v>
      </c>
      <c r="AK581" s="182" t="n">
        <v>10.92</v>
      </c>
      <c r="AL581" s="182" t="n">
        <v>0</v>
      </c>
      <c r="AM581" s="182" t="n">
        <v>0.08</v>
      </c>
      <c r="AN581" s="182" t="n">
        <v>0</v>
      </c>
    </row>
    <row r="582">
      <c r="A582" s="155" t="n">
        <v>46084</v>
      </c>
      <c r="B582" s="156" t="inlineStr">
        <is>
          <t>NS</t>
        </is>
      </c>
      <c r="C582" s="156" t="inlineStr">
        <is>
          <t>HT-409</t>
        </is>
      </c>
      <c r="D582" s="156" t="inlineStr">
        <is>
          <t>SY430</t>
        </is>
      </c>
      <c r="E582" s="156" t="inlineStr">
        <is>
          <t>DT Hauling</t>
        </is>
      </c>
      <c r="F582" s="156" t="inlineStr"/>
      <c r="G582" s="182" t="n">
        <v>0</v>
      </c>
      <c r="H582" s="182" t="n">
        <v>0</v>
      </c>
      <c r="I582" s="182" t="n">
        <v>0</v>
      </c>
      <c r="J582" s="182" t="n">
        <v>0</v>
      </c>
      <c r="K582" s="182" t="n">
        <v>12</v>
      </c>
      <c r="L582" s="182" t="n">
        <v>12</v>
      </c>
      <c r="M582" s="182" t="n">
        <v>0</v>
      </c>
      <c r="N582" s="182" t="n">
        <v>0</v>
      </c>
      <c r="O582" s="183" t="n">
        <v>0</v>
      </c>
      <c r="P582" s="183" t="n">
        <v>0</v>
      </c>
      <c r="Q582" s="184" t="n">
        <v>0</v>
      </c>
      <c r="R582" s="184" t="n">
        <v>0</v>
      </c>
      <c r="S582" s="183" t="n">
        <v>0</v>
      </c>
      <c r="T582" s="183" t="n">
        <v>0</v>
      </c>
      <c r="U582" s="182" t="n">
        <v>0</v>
      </c>
      <c r="V582" s="182" t="n">
        <v>0</v>
      </c>
      <c r="W582" s="182" t="n">
        <v>0</v>
      </c>
      <c r="X582" s="182" t="n">
        <v>1</v>
      </c>
      <c r="Y582" s="182" t="n">
        <v>0</v>
      </c>
      <c r="Z582" s="182" t="n">
        <v>0</v>
      </c>
      <c r="AA582" s="182" t="n">
        <v>0</v>
      </c>
      <c r="AB582" s="182" t="n">
        <v>0</v>
      </c>
      <c r="AC582" s="182" t="n">
        <v>0</v>
      </c>
      <c r="AD582" s="182" t="n">
        <v>0</v>
      </c>
      <c r="AE582" s="182" t="n">
        <v>0</v>
      </c>
      <c r="AF582" s="182" t="n">
        <v>0</v>
      </c>
      <c r="AG582" s="182" t="n">
        <v>0</v>
      </c>
      <c r="AH582" s="182" t="n">
        <v>0</v>
      </c>
      <c r="AI582" s="182" t="n">
        <v>0</v>
      </c>
      <c r="AJ582" s="182" t="n">
        <v>0</v>
      </c>
      <c r="AK582" s="182" t="n">
        <v>10.92</v>
      </c>
      <c r="AL582" s="182" t="n">
        <v>0</v>
      </c>
      <c r="AM582" s="182" t="n">
        <v>0.08</v>
      </c>
      <c r="AN582" s="182" t="n">
        <v>0</v>
      </c>
    </row>
    <row r="583">
      <c r="A583" s="155" t="n">
        <v>46084</v>
      </c>
      <c r="B583" s="156" t="inlineStr">
        <is>
          <t>NS</t>
        </is>
      </c>
      <c r="C583" s="156" t="inlineStr">
        <is>
          <t>DH-103</t>
        </is>
      </c>
      <c r="D583" s="156" t="inlineStr">
        <is>
          <t>HINO FM260</t>
        </is>
      </c>
      <c r="E583" s="156" t="inlineStr">
        <is>
          <t>DT Hino</t>
        </is>
      </c>
      <c r="F583" s="156" t="inlineStr"/>
      <c r="G583" s="182" t="n">
        <v>0</v>
      </c>
      <c r="H583" s="182" t="n">
        <v>0</v>
      </c>
      <c r="I583" s="182" t="n">
        <v>12</v>
      </c>
      <c r="J583" s="182" t="n">
        <v>12</v>
      </c>
      <c r="K583" s="182" t="n">
        <v>0</v>
      </c>
      <c r="L583" s="182" t="n">
        <v>12</v>
      </c>
      <c r="M583" s="182" t="n">
        <v>0</v>
      </c>
      <c r="N583" s="182" t="n">
        <v>0</v>
      </c>
      <c r="O583" s="183" t="n">
        <v>0</v>
      </c>
      <c r="P583" s="183" t="n">
        <v>0</v>
      </c>
      <c r="Q583" s="184" t="n">
        <v>0</v>
      </c>
      <c r="R583" s="184" t="n">
        <v>0</v>
      </c>
      <c r="S583" s="183" t="n">
        <v>0</v>
      </c>
      <c r="T583" s="183" t="n">
        <v>0</v>
      </c>
      <c r="U583" s="182" t="n">
        <v>0</v>
      </c>
      <c r="V583" s="182" t="n">
        <v>0</v>
      </c>
      <c r="W583" s="182" t="n">
        <v>0</v>
      </c>
      <c r="X583" s="182" t="n">
        <v>0</v>
      </c>
      <c r="Y583" s="182" t="n">
        <v>0</v>
      </c>
      <c r="Z583" s="182" t="n">
        <v>0</v>
      </c>
      <c r="AA583" s="182" t="n">
        <v>0</v>
      </c>
      <c r="AB583" s="182" t="n">
        <v>0</v>
      </c>
      <c r="AC583" s="182" t="n">
        <v>0</v>
      </c>
      <c r="AD583" s="182" t="n">
        <v>0</v>
      </c>
      <c r="AE583" s="182" t="n">
        <v>0</v>
      </c>
      <c r="AF583" s="182" t="n">
        <v>0</v>
      </c>
      <c r="AG583" s="182" t="n">
        <v>0</v>
      </c>
      <c r="AH583" s="182" t="n">
        <v>0</v>
      </c>
      <c r="AI583" s="182" t="n">
        <v>0</v>
      </c>
      <c r="AJ583" s="182" t="n">
        <v>0</v>
      </c>
      <c r="AK583" s="182" t="n">
        <v>0</v>
      </c>
      <c r="AL583" s="182" t="n">
        <v>0</v>
      </c>
      <c r="AM583" s="182" t="n">
        <v>0</v>
      </c>
      <c r="AN583" s="182" t="n">
        <v>0</v>
      </c>
    </row>
    <row r="584">
      <c r="A584" s="155" t="n">
        <v>46084</v>
      </c>
      <c r="B584" s="156" t="inlineStr">
        <is>
          <t>NS</t>
        </is>
      </c>
      <c r="C584" s="156" t="inlineStr">
        <is>
          <t>DH-102</t>
        </is>
      </c>
      <c r="D584" s="156" t="inlineStr">
        <is>
          <t>HINO FM260</t>
        </is>
      </c>
      <c r="E584" s="156" t="inlineStr">
        <is>
          <t>DT Hino</t>
        </is>
      </c>
      <c r="F584" s="156" t="inlineStr"/>
      <c r="G584" s="182" t="n">
        <v>0</v>
      </c>
      <c r="H584" s="182" t="n">
        <v>0</v>
      </c>
      <c r="I584" s="182" t="n">
        <v>0</v>
      </c>
      <c r="J584" s="182" t="n">
        <v>0</v>
      </c>
      <c r="K584" s="182" t="n">
        <v>12</v>
      </c>
      <c r="L584" s="182" t="n">
        <v>12</v>
      </c>
      <c r="M584" s="182" t="n">
        <v>0</v>
      </c>
      <c r="N584" s="182" t="n">
        <v>0</v>
      </c>
      <c r="O584" s="183" t="n">
        <v>0</v>
      </c>
      <c r="P584" s="183" t="n">
        <v>0</v>
      </c>
      <c r="Q584" s="184" t="n">
        <v>0</v>
      </c>
      <c r="R584" s="184" t="n">
        <v>0</v>
      </c>
      <c r="S584" s="183" t="n">
        <v>0</v>
      </c>
      <c r="T584" s="183" t="n">
        <v>0</v>
      </c>
      <c r="U584" s="182" t="n">
        <v>0</v>
      </c>
      <c r="V584" s="182" t="n">
        <v>0</v>
      </c>
      <c r="W584" s="182" t="n">
        <v>0</v>
      </c>
      <c r="X584" s="182" t="n">
        <v>1</v>
      </c>
      <c r="Y584" s="182" t="n">
        <v>0</v>
      </c>
      <c r="Z584" s="182" t="n">
        <v>0</v>
      </c>
      <c r="AA584" s="182" t="n">
        <v>0</v>
      </c>
      <c r="AB584" s="182" t="n">
        <v>0</v>
      </c>
      <c r="AC584" s="182" t="n">
        <v>0</v>
      </c>
      <c r="AD584" s="182" t="n">
        <v>0</v>
      </c>
      <c r="AE584" s="182" t="n">
        <v>0</v>
      </c>
      <c r="AF584" s="182" t="n">
        <v>0</v>
      </c>
      <c r="AG584" s="182" t="n">
        <v>0</v>
      </c>
      <c r="AH584" s="182" t="n">
        <v>0</v>
      </c>
      <c r="AI584" s="182" t="n">
        <v>0</v>
      </c>
      <c r="AJ584" s="182" t="n">
        <v>0</v>
      </c>
      <c r="AK584" s="182" t="n">
        <v>10.92</v>
      </c>
      <c r="AL584" s="182" t="n">
        <v>0</v>
      </c>
      <c r="AM584" s="182" t="n">
        <v>0.08</v>
      </c>
      <c r="AN584" s="182" t="n">
        <v>0</v>
      </c>
    </row>
    <row r="585">
      <c r="A585" s="155" t="n">
        <v>46084</v>
      </c>
      <c r="B585" s="156" t="inlineStr">
        <is>
          <t>NS</t>
        </is>
      </c>
      <c r="C585" s="156" t="inlineStr">
        <is>
          <t>DH-101</t>
        </is>
      </c>
      <c r="D585" s="156" t="inlineStr">
        <is>
          <t>HINO FM260</t>
        </is>
      </c>
      <c r="E585" s="156" t="inlineStr">
        <is>
          <t>DT Hino</t>
        </is>
      </c>
      <c r="F585" s="156" t="inlineStr"/>
      <c r="G585" s="182" t="n">
        <v>0</v>
      </c>
      <c r="H585" s="182" t="n">
        <v>0</v>
      </c>
      <c r="I585" s="182" t="n">
        <v>0</v>
      </c>
      <c r="J585" s="182" t="n">
        <v>0</v>
      </c>
      <c r="K585" s="182" t="n">
        <v>12</v>
      </c>
      <c r="L585" s="182" t="n">
        <v>12</v>
      </c>
      <c r="M585" s="182" t="n">
        <v>0</v>
      </c>
      <c r="N585" s="182" t="n">
        <v>0</v>
      </c>
      <c r="O585" s="183" t="n">
        <v>0</v>
      </c>
      <c r="P585" s="183" t="n">
        <v>0</v>
      </c>
      <c r="Q585" s="184" t="n">
        <v>0</v>
      </c>
      <c r="R585" s="184" t="n">
        <v>0</v>
      </c>
      <c r="S585" s="183" t="n">
        <v>0</v>
      </c>
      <c r="T585" s="183" t="n">
        <v>0</v>
      </c>
      <c r="U585" s="182" t="n">
        <v>0</v>
      </c>
      <c r="V585" s="182" t="n">
        <v>0</v>
      </c>
      <c r="W585" s="182" t="n">
        <v>0</v>
      </c>
      <c r="X585" s="182" t="n">
        <v>1</v>
      </c>
      <c r="Y585" s="182" t="n">
        <v>0</v>
      </c>
      <c r="Z585" s="182" t="n">
        <v>0</v>
      </c>
      <c r="AA585" s="182" t="n">
        <v>0</v>
      </c>
      <c r="AB585" s="182" t="n">
        <v>0</v>
      </c>
      <c r="AC585" s="182" t="n">
        <v>0</v>
      </c>
      <c r="AD585" s="182" t="n">
        <v>0</v>
      </c>
      <c r="AE585" s="182" t="n">
        <v>0</v>
      </c>
      <c r="AF585" s="182" t="n">
        <v>0</v>
      </c>
      <c r="AG585" s="182" t="n">
        <v>0</v>
      </c>
      <c r="AH585" s="182" t="n">
        <v>0</v>
      </c>
      <c r="AI585" s="182" t="n">
        <v>0</v>
      </c>
      <c r="AJ585" s="182" t="n">
        <v>0</v>
      </c>
      <c r="AK585" s="182" t="n">
        <v>10.92</v>
      </c>
      <c r="AL585" s="182" t="n">
        <v>0</v>
      </c>
      <c r="AM585" s="182" t="n">
        <v>0.08</v>
      </c>
      <c r="AN585" s="182" t="n">
        <v>0</v>
      </c>
    </row>
    <row r="586">
      <c r="A586" s="155" t="n">
        <v>46084</v>
      </c>
      <c r="B586" s="156" t="inlineStr">
        <is>
          <t>NS</t>
        </is>
      </c>
      <c r="C586" s="156" t="inlineStr">
        <is>
          <t>EX-1251</t>
        </is>
      </c>
      <c r="D586" s="156" t="inlineStr">
        <is>
          <t>SY1250</t>
        </is>
      </c>
      <c r="E586" s="156" t="inlineStr">
        <is>
          <t>Excavator</t>
        </is>
      </c>
      <c r="F586" s="156" t="inlineStr"/>
      <c r="G586" s="182" t="n">
        <v>0</v>
      </c>
      <c r="H586" s="182" t="n">
        <v>0</v>
      </c>
      <c r="I586" s="182" t="n">
        <v>0</v>
      </c>
      <c r="J586" s="182" t="n">
        <v>0</v>
      </c>
      <c r="K586" s="182" t="n">
        <v>12</v>
      </c>
      <c r="L586" s="182" t="n">
        <v>12</v>
      </c>
      <c r="M586" s="182" t="n">
        <v>0</v>
      </c>
      <c r="N586" s="182" t="n">
        <v>0</v>
      </c>
      <c r="O586" s="183" t="n">
        <v>0</v>
      </c>
      <c r="P586" s="183" t="n">
        <v>0</v>
      </c>
      <c r="Q586" s="184" t="n">
        <v>0</v>
      </c>
      <c r="R586" s="184" t="n">
        <v>0</v>
      </c>
      <c r="S586" s="183" t="n">
        <v>0</v>
      </c>
      <c r="T586" s="183" t="n">
        <v>0</v>
      </c>
      <c r="U586" s="182" t="n">
        <v>11.33</v>
      </c>
      <c r="V586" s="182" t="n">
        <v>0.59</v>
      </c>
      <c r="W586" s="182" t="n">
        <v>0</v>
      </c>
      <c r="X586" s="182" t="n">
        <v>0</v>
      </c>
      <c r="Y586" s="182" t="n">
        <v>0</v>
      </c>
      <c r="Z586" s="182" t="n">
        <v>0</v>
      </c>
      <c r="AA586" s="182" t="n">
        <v>0</v>
      </c>
      <c r="AB586" s="182" t="n">
        <v>0</v>
      </c>
      <c r="AC586" s="182" t="n">
        <v>0</v>
      </c>
      <c r="AD586" s="182" t="n">
        <v>0</v>
      </c>
      <c r="AE586" s="182" t="n">
        <v>0</v>
      </c>
      <c r="AF586" s="182" t="n">
        <v>0</v>
      </c>
      <c r="AG586" s="182" t="n">
        <v>0</v>
      </c>
      <c r="AH586" s="182" t="n">
        <v>0</v>
      </c>
      <c r="AI586" s="182" t="n">
        <v>0</v>
      </c>
      <c r="AJ586" s="182" t="n">
        <v>0</v>
      </c>
      <c r="AK586" s="182" t="n">
        <v>0</v>
      </c>
      <c r="AL586" s="182" t="n">
        <v>0</v>
      </c>
      <c r="AM586" s="182" t="n">
        <v>0.08</v>
      </c>
      <c r="AN586" s="182" t="n">
        <v>0</v>
      </c>
    </row>
    <row r="587">
      <c r="A587" s="155" t="n">
        <v>46084</v>
      </c>
      <c r="B587" s="156" t="inlineStr">
        <is>
          <t>NS</t>
        </is>
      </c>
      <c r="C587" s="156" t="inlineStr">
        <is>
          <t>EX-1252</t>
        </is>
      </c>
      <c r="D587" s="156" t="inlineStr">
        <is>
          <t>SY1250</t>
        </is>
      </c>
      <c r="E587" s="156" t="inlineStr">
        <is>
          <t>Excavator</t>
        </is>
      </c>
      <c r="F587" s="156" t="inlineStr"/>
      <c r="G587" s="182" t="n">
        <v>0</v>
      </c>
      <c r="H587" s="182" t="n">
        <v>0</v>
      </c>
      <c r="I587" s="182" t="n">
        <v>12</v>
      </c>
      <c r="J587" s="182" t="n">
        <v>12</v>
      </c>
      <c r="K587" s="182" t="n">
        <v>0</v>
      </c>
      <c r="L587" s="182" t="n">
        <v>12</v>
      </c>
      <c r="M587" s="182" t="n">
        <v>0</v>
      </c>
      <c r="N587" s="182" t="n">
        <v>0</v>
      </c>
      <c r="O587" s="183" t="n">
        <v>0</v>
      </c>
      <c r="P587" s="183" t="n">
        <v>0</v>
      </c>
      <c r="Q587" s="184" t="n">
        <v>0</v>
      </c>
      <c r="R587" s="184" t="n">
        <v>0</v>
      </c>
      <c r="S587" s="183" t="n">
        <v>0</v>
      </c>
      <c r="T587" s="183" t="n">
        <v>0</v>
      </c>
      <c r="U587" s="182" t="n">
        <v>0</v>
      </c>
      <c r="V587" s="182" t="n">
        <v>0</v>
      </c>
      <c r="W587" s="182" t="n">
        <v>0</v>
      </c>
      <c r="X587" s="182" t="n">
        <v>0</v>
      </c>
      <c r="Y587" s="182" t="n">
        <v>0</v>
      </c>
      <c r="Z587" s="182" t="n">
        <v>0</v>
      </c>
      <c r="AA587" s="182" t="n">
        <v>0</v>
      </c>
      <c r="AB587" s="182" t="n">
        <v>0</v>
      </c>
      <c r="AC587" s="182" t="n">
        <v>0</v>
      </c>
      <c r="AD587" s="182" t="n">
        <v>0</v>
      </c>
      <c r="AE587" s="182" t="n">
        <v>0</v>
      </c>
      <c r="AF587" s="182" t="n">
        <v>0</v>
      </c>
      <c r="AG587" s="182" t="n">
        <v>0</v>
      </c>
      <c r="AH587" s="182" t="n">
        <v>0</v>
      </c>
      <c r="AI587" s="182" t="n">
        <v>0</v>
      </c>
      <c r="AJ587" s="182" t="n">
        <v>0</v>
      </c>
      <c r="AK587" s="182" t="n">
        <v>0</v>
      </c>
      <c r="AL587" s="182" t="n">
        <v>0</v>
      </c>
      <c r="AM587" s="182" t="n">
        <v>0</v>
      </c>
      <c r="AN587" s="182" t="n">
        <v>0</v>
      </c>
    </row>
    <row r="588">
      <c r="A588" s="155" t="n">
        <v>46084</v>
      </c>
      <c r="B588" s="156" t="inlineStr">
        <is>
          <t>NS</t>
        </is>
      </c>
      <c r="C588" s="156" t="inlineStr">
        <is>
          <t>EX-2101</t>
        </is>
      </c>
      <c r="D588" s="156" t="inlineStr">
        <is>
          <t>SY2000</t>
        </is>
      </c>
      <c r="E588" s="156" t="inlineStr">
        <is>
          <t>Excavator</t>
        </is>
      </c>
      <c r="F588" s="156" t="inlineStr"/>
      <c r="G588" s="182" t="n">
        <v>0</v>
      </c>
      <c r="H588" s="182" t="n">
        <v>0</v>
      </c>
      <c r="I588" s="182" t="n">
        <v>0</v>
      </c>
      <c r="J588" s="182" t="n">
        <v>0</v>
      </c>
      <c r="K588" s="182" t="n">
        <v>12</v>
      </c>
      <c r="L588" s="182" t="n">
        <v>12</v>
      </c>
      <c r="M588" s="182" t="n">
        <v>0</v>
      </c>
      <c r="N588" s="182" t="n">
        <v>0</v>
      </c>
      <c r="O588" s="183" t="n">
        <v>0</v>
      </c>
      <c r="P588" s="183" t="n">
        <v>0</v>
      </c>
      <c r="Q588" s="184" t="n">
        <v>0</v>
      </c>
      <c r="R588" s="184" t="n">
        <v>0</v>
      </c>
      <c r="S588" s="183" t="n">
        <v>0</v>
      </c>
      <c r="T588" s="183" t="n">
        <v>0</v>
      </c>
      <c r="U588" s="182" t="n">
        <v>11.33</v>
      </c>
      <c r="V588" s="182" t="n">
        <v>0.59</v>
      </c>
      <c r="W588" s="182" t="n">
        <v>0</v>
      </c>
      <c r="X588" s="182" t="n">
        <v>0</v>
      </c>
      <c r="Y588" s="182" t="n">
        <v>0</v>
      </c>
      <c r="Z588" s="182" t="n">
        <v>0</v>
      </c>
      <c r="AA588" s="182" t="n">
        <v>0</v>
      </c>
      <c r="AB588" s="182" t="n">
        <v>0</v>
      </c>
      <c r="AC588" s="182" t="n">
        <v>0</v>
      </c>
      <c r="AD588" s="182" t="n">
        <v>0</v>
      </c>
      <c r="AE588" s="182" t="n">
        <v>0</v>
      </c>
      <c r="AF588" s="182" t="n">
        <v>0</v>
      </c>
      <c r="AG588" s="182" t="n">
        <v>0</v>
      </c>
      <c r="AH588" s="182" t="n">
        <v>0</v>
      </c>
      <c r="AI588" s="182" t="n">
        <v>0</v>
      </c>
      <c r="AJ588" s="182" t="n">
        <v>0</v>
      </c>
      <c r="AK588" s="182" t="n">
        <v>0</v>
      </c>
      <c r="AL588" s="182" t="n">
        <v>0</v>
      </c>
      <c r="AM588" s="182" t="n">
        <v>0.08</v>
      </c>
      <c r="AN588" s="182" t="n">
        <v>0</v>
      </c>
    </row>
    <row r="589">
      <c r="A589" s="155" t="n">
        <v>46084</v>
      </c>
      <c r="B589" s="156" t="inlineStr">
        <is>
          <t>NS</t>
        </is>
      </c>
      <c r="C589" s="156" t="inlineStr">
        <is>
          <t>EX-222</t>
        </is>
      </c>
      <c r="D589" s="156" t="inlineStr">
        <is>
          <t>PC 200-8MI</t>
        </is>
      </c>
      <c r="E589" s="156" t="inlineStr">
        <is>
          <t>Excavator</t>
        </is>
      </c>
      <c r="F589" s="156" t="inlineStr">
        <is>
          <t>Support Washing Plant</t>
        </is>
      </c>
      <c r="G589" s="182" t="n">
        <v>8.199999999999999</v>
      </c>
      <c r="H589" s="182" t="n">
        <v>0</v>
      </c>
      <c r="I589" s="182" t="n">
        <v>0</v>
      </c>
      <c r="J589" s="182" t="n">
        <v>0</v>
      </c>
      <c r="K589" s="182" t="n">
        <v>3.8</v>
      </c>
      <c r="L589" s="182" t="n">
        <v>12</v>
      </c>
      <c r="M589" s="182" t="n">
        <v>0</v>
      </c>
      <c r="N589" s="182" t="n">
        <v>0</v>
      </c>
      <c r="O589" s="183" t="n">
        <v>0</v>
      </c>
      <c r="P589" s="183" t="n">
        <v>0</v>
      </c>
      <c r="Q589" s="184" t="n">
        <v>0</v>
      </c>
      <c r="R589" s="184" t="n">
        <v>0</v>
      </c>
      <c r="S589" s="183" t="n">
        <v>0</v>
      </c>
      <c r="T589" s="183" t="n">
        <v>0</v>
      </c>
      <c r="U589" s="182" t="n">
        <v>0</v>
      </c>
      <c r="V589" s="182" t="n">
        <v>0</v>
      </c>
      <c r="W589" s="182" t="n">
        <v>0</v>
      </c>
      <c r="X589" s="182" t="n">
        <v>0.93</v>
      </c>
      <c r="Y589" s="182" t="n">
        <v>0</v>
      </c>
      <c r="Z589" s="182" t="n">
        <v>0</v>
      </c>
      <c r="AA589" s="182" t="n">
        <v>0</v>
      </c>
      <c r="AB589" s="182" t="n">
        <v>0</v>
      </c>
      <c r="AC589" s="182" t="n">
        <v>0</v>
      </c>
      <c r="AD589" s="182" t="n">
        <v>0</v>
      </c>
      <c r="AE589" s="182" t="n">
        <v>0</v>
      </c>
      <c r="AF589" s="182" t="n">
        <v>0</v>
      </c>
      <c r="AG589" s="182" t="n">
        <v>0</v>
      </c>
      <c r="AH589" s="182" t="n">
        <v>0</v>
      </c>
      <c r="AI589" s="182" t="n">
        <v>0</v>
      </c>
      <c r="AJ589" s="182" t="n">
        <v>0</v>
      </c>
      <c r="AK589" s="182" t="n">
        <v>2.8</v>
      </c>
      <c r="AL589" s="182" t="n">
        <v>0</v>
      </c>
      <c r="AM589" s="182" t="n">
        <v>0.07000000000000001</v>
      </c>
      <c r="AN589" s="182" t="n">
        <v>0</v>
      </c>
    </row>
    <row r="590">
      <c r="A590" s="155" t="n">
        <v>46084</v>
      </c>
      <c r="B590" s="156" t="inlineStr">
        <is>
          <t>NS</t>
        </is>
      </c>
      <c r="C590" s="156" t="inlineStr">
        <is>
          <t>EX-225</t>
        </is>
      </c>
      <c r="D590" s="156" t="inlineStr">
        <is>
          <t>PC 200-8</t>
        </is>
      </c>
      <c r="E590" s="156" t="inlineStr">
        <is>
          <t>Excavator</t>
        </is>
      </c>
      <c r="F590" s="156" t="inlineStr"/>
      <c r="G590" s="182" t="n">
        <v>0</v>
      </c>
      <c r="H590" s="182" t="n">
        <v>0</v>
      </c>
      <c r="I590" s="182" t="n">
        <v>12</v>
      </c>
      <c r="J590" s="182" t="n">
        <v>12</v>
      </c>
      <c r="K590" s="182" t="n">
        <v>0</v>
      </c>
      <c r="L590" s="182" t="n">
        <v>12</v>
      </c>
      <c r="M590" s="182" t="n">
        <v>0</v>
      </c>
      <c r="N590" s="182" t="n">
        <v>0</v>
      </c>
      <c r="O590" s="183" t="n">
        <v>0</v>
      </c>
      <c r="P590" s="183" t="n">
        <v>0</v>
      </c>
      <c r="Q590" s="184" t="n">
        <v>0</v>
      </c>
      <c r="R590" s="184" t="n">
        <v>0</v>
      </c>
      <c r="S590" s="183" t="n">
        <v>0</v>
      </c>
      <c r="T590" s="183" t="n">
        <v>0</v>
      </c>
      <c r="U590" s="182" t="n">
        <v>0</v>
      </c>
      <c r="V590" s="182" t="n">
        <v>0</v>
      </c>
      <c r="W590" s="182" t="n">
        <v>0</v>
      </c>
      <c r="X590" s="182" t="n">
        <v>0</v>
      </c>
      <c r="Y590" s="182" t="n">
        <v>0</v>
      </c>
      <c r="Z590" s="182" t="n">
        <v>0</v>
      </c>
      <c r="AA590" s="182" t="n">
        <v>0</v>
      </c>
      <c r="AB590" s="182" t="n">
        <v>0</v>
      </c>
      <c r="AC590" s="182" t="n">
        <v>0</v>
      </c>
      <c r="AD590" s="182" t="n">
        <v>0</v>
      </c>
      <c r="AE590" s="182" t="n">
        <v>0</v>
      </c>
      <c r="AF590" s="182" t="n">
        <v>0</v>
      </c>
      <c r="AG590" s="182" t="n">
        <v>0</v>
      </c>
      <c r="AH590" s="182" t="n">
        <v>0</v>
      </c>
      <c r="AI590" s="182" t="n">
        <v>0</v>
      </c>
      <c r="AJ590" s="182" t="n">
        <v>0</v>
      </c>
      <c r="AK590" s="182" t="n">
        <v>0</v>
      </c>
      <c r="AL590" s="182" t="n">
        <v>0</v>
      </c>
      <c r="AM590" s="182" t="n">
        <v>0</v>
      </c>
      <c r="AN590" s="182" t="n">
        <v>0</v>
      </c>
    </row>
    <row r="591">
      <c r="A591" s="155" t="n">
        <v>46084</v>
      </c>
      <c r="B591" s="156" t="inlineStr">
        <is>
          <t>NS</t>
        </is>
      </c>
      <c r="C591" s="156" t="inlineStr">
        <is>
          <t>EX-223</t>
        </is>
      </c>
      <c r="D591" s="156" t="inlineStr">
        <is>
          <t>PC 200-8MI</t>
        </is>
      </c>
      <c r="E591" s="156" t="inlineStr">
        <is>
          <t>Excavator</t>
        </is>
      </c>
      <c r="F591" s="156" t="inlineStr">
        <is>
          <t>Trimming Coal di Stock ROM</t>
        </is>
      </c>
      <c r="G591" s="182" t="n">
        <v>9.4</v>
      </c>
      <c r="H591" s="182" t="n">
        <v>0</v>
      </c>
      <c r="I591" s="182" t="n">
        <v>0.17</v>
      </c>
      <c r="J591" s="182" t="n">
        <v>0.17</v>
      </c>
      <c r="K591" s="182" t="n">
        <v>2.43</v>
      </c>
      <c r="L591" s="182" t="n">
        <v>12</v>
      </c>
      <c r="M591" s="182" t="n">
        <v>0</v>
      </c>
      <c r="N591" s="182" t="n">
        <v>0</v>
      </c>
      <c r="O591" s="183" t="n">
        <v>0</v>
      </c>
      <c r="P591" s="183" t="n">
        <v>0</v>
      </c>
      <c r="Q591" s="184" t="n">
        <v>0</v>
      </c>
      <c r="R591" s="184" t="n">
        <v>0</v>
      </c>
      <c r="S591" s="183" t="n">
        <v>0</v>
      </c>
      <c r="T591" s="183" t="n">
        <v>0</v>
      </c>
      <c r="U591" s="182" t="n">
        <v>0</v>
      </c>
      <c r="V591" s="182" t="n">
        <v>0</v>
      </c>
      <c r="W591" s="182" t="n">
        <v>0</v>
      </c>
      <c r="X591" s="182" t="n">
        <v>1.14</v>
      </c>
      <c r="Y591" s="182" t="n">
        <v>0</v>
      </c>
      <c r="Z591" s="182" t="n">
        <v>0</v>
      </c>
      <c r="AA591" s="182" t="n">
        <v>0</v>
      </c>
      <c r="AB591" s="182" t="n">
        <v>0</v>
      </c>
      <c r="AC591" s="182" t="n">
        <v>0</v>
      </c>
      <c r="AD591" s="182" t="n">
        <v>0</v>
      </c>
      <c r="AE591" s="182" t="n">
        <v>0</v>
      </c>
      <c r="AF591" s="182" t="n">
        <v>0</v>
      </c>
      <c r="AG591" s="182" t="n">
        <v>0</v>
      </c>
      <c r="AH591" s="182" t="n">
        <v>0</v>
      </c>
      <c r="AI591" s="182" t="n">
        <v>0</v>
      </c>
      <c r="AJ591" s="182" t="n">
        <v>0</v>
      </c>
      <c r="AK591" s="182" t="n">
        <v>1.2</v>
      </c>
      <c r="AL591" s="182" t="n">
        <v>0</v>
      </c>
      <c r="AM591" s="182" t="n">
        <v>0.09</v>
      </c>
      <c r="AN591" s="182" t="n">
        <v>0</v>
      </c>
    </row>
    <row r="592">
      <c r="A592" s="155" t="n">
        <v>46084</v>
      </c>
      <c r="B592" s="156" t="inlineStr">
        <is>
          <t>NS</t>
        </is>
      </c>
      <c r="C592" s="156" t="inlineStr">
        <is>
          <t>EX-221</t>
        </is>
      </c>
      <c r="D592" s="156" t="inlineStr">
        <is>
          <t>PC 200-8MI</t>
        </is>
      </c>
      <c r="E592" s="156" t="inlineStr">
        <is>
          <t>Excavator</t>
        </is>
      </c>
      <c r="F592" s="156" t="inlineStr"/>
      <c r="G592" s="182" t="n">
        <v>0</v>
      </c>
      <c r="H592" s="182" t="n">
        <v>0</v>
      </c>
      <c r="I592" s="182" t="n">
        <v>0</v>
      </c>
      <c r="J592" s="182" t="n">
        <v>0</v>
      </c>
      <c r="K592" s="182" t="n">
        <v>12</v>
      </c>
      <c r="L592" s="182" t="n">
        <v>12</v>
      </c>
      <c r="M592" s="182" t="n">
        <v>0</v>
      </c>
      <c r="N592" s="182" t="n">
        <v>0</v>
      </c>
      <c r="O592" s="183" t="n">
        <v>0</v>
      </c>
      <c r="P592" s="183" t="n">
        <v>0</v>
      </c>
      <c r="Q592" s="184" t="n">
        <v>0</v>
      </c>
      <c r="R592" s="184" t="n">
        <v>0</v>
      </c>
      <c r="S592" s="183" t="n">
        <v>0</v>
      </c>
      <c r="T592" s="183" t="n">
        <v>0</v>
      </c>
      <c r="U592" s="182" t="n">
        <v>0</v>
      </c>
      <c r="V592" s="182" t="n">
        <v>0</v>
      </c>
      <c r="W592" s="182" t="n">
        <v>0</v>
      </c>
      <c r="X592" s="182" t="n">
        <v>1</v>
      </c>
      <c r="Y592" s="182" t="n">
        <v>0</v>
      </c>
      <c r="Z592" s="182" t="n">
        <v>0</v>
      </c>
      <c r="AA592" s="182" t="n">
        <v>0</v>
      </c>
      <c r="AB592" s="182" t="n">
        <v>0</v>
      </c>
      <c r="AC592" s="182" t="n">
        <v>0</v>
      </c>
      <c r="AD592" s="182" t="n">
        <v>0</v>
      </c>
      <c r="AE592" s="182" t="n">
        <v>0</v>
      </c>
      <c r="AF592" s="182" t="n">
        <v>0</v>
      </c>
      <c r="AG592" s="182" t="n">
        <v>0</v>
      </c>
      <c r="AH592" s="182" t="n">
        <v>0</v>
      </c>
      <c r="AI592" s="182" t="n">
        <v>0</v>
      </c>
      <c r="AJ592" s="182" t="n">
        <v>0</v>
      </c>
      <c r="AK592" s="182" t="n">
        <v>10.92</v>
      </c>
      <c r="AL592" s="182" t="n">
        <v>0</v>
      </c>
      <c r="AM592" s="182" t="n">
        <v>0.08</v>
      </c>
      <c r="AN592" s="182" t="n">
        <v>0</v>
      </c>
    </row>
    <row r="593">
      <c r="A593" s="155" t="n">
        <v>46084</v>
      </c>
      <c r="B593" s="156" t="inlineStr">
        <is>
          <t>NS</t>
        </is>
      </c>
      <c r="C593" s="156" t="inlineStr">
        <is>
          <t>EX-331</t>
        </is>
      </c>
      <c r="D593" s="156" t="inlineStr">
        <is>
          <t>PC 300-8MO</t>
        </is>
      </c>
      <c r="E593" s="156" t="inlineStr">
        <is>
          <t>Excavator</t>
        </is>
      </c>
      <c r="F593" s="156" t="inlineStr"/>
      <c r="G593" s="182" t="n">
        <v>0</v>
      </c>
      <c r="H593" s="182" t="n">
        <v>0</v>
      </c>
      <c r="I593" s="182" t="n">
        <v>12</v>
      </c>
      <c r="J593" s="182" t="n">
        <v>12</v>
      </c>
      <c r="K593" s="182" t="n">
        <v>0</v>
      </c>
      <c r="L593" s="182" t="n">
        <v>12</v>
      </c>
      <c r="M593" s="182" t="n">
        <v>0</v>
      </c>
      <c r="N593" s="182" t="n">
        <v>0</v>
      </c>
      <c r="O593" s="183" t="n">
        <v>0</v>
      </c>
      <c r="P593" s="183" t="n">
        <v>0</v>
      </c>
      <c r="Q593" s="184" t="n">
        <v>0</v>
      </c>
      <c r="R593" s="184" t="n">
        <v>0</v>
      </c>
      <c r="S593" s="183" t="n">
        <v>0</v>
      </c>
      <c r="T593" s="183" t="n">
        <v>0</v>
      </c>
      <c r="U593" s="182" t="n">
        <v>0</v>
      </c>
      <c r="V593" s="182" t="n">
        <v>0</v>
      </c>
      <c r="W593" s="182" t="n">
        <v>0</v>
      </c>
      <c r="X593" s="182" t="n">
        <v>0</v>
      </c>
      <c r="Y593" s="182" t="n">
        <v>0</v>
      </c>
      <c r="Z593" s="182" t="n">
        <v>0</v>
      </c>
      <c r="AA593" s="182" t="n">
        <v>0</v>
      </c>
      <c r="AB593" s="182" t="n">
        <v>0</v>
      </c>
      <c r="AC593" s="182" t="n">
        <v>0</v>
      </c>
      <c r="AD593" s="182" t="n">
        <v>0</v>
      </c>
      <c r="AE593" s="182" t="n">
        <v>0</v>
      </c>
      <c r="AF593" s="182" t="n">
        <v>0</v>
      </c>
      <c r="AG593" s="182" t="n">
        <v>0</v>
      </c>
      <c r="AH593" s="182" t="n">
        <v>0</v>
      </c>
      <c r="AI593" s="182" t="n">
        <v>0</v>
      </c>
      <c r="AJ593" s="182" t="n">
        <v>0</v>
      </c>
      <c r="AK593" s="182" t="n">
        <v>0</v>
      </c>
      <c r="AL593" s="182" t="n">
        <v>0</v>
      </c>
      <c r="AM593" s="182" t="n">
        <v>0</v>
      </c>
      <c r="AN593" s="182" t="n">
        <v>0</v>
      </c>
    </row>
    <row r="594">
      <c r="A594" s="155" t="n">
        <v>46084</v>
      </c>
      <c r="B594" s="156" t="inlineStr">
        <is>
          <t>NS</t>
        </is>
      </c>
      <c r="C594" s="156" t="inlineStr">
        <is>
          <t>EX-334</t>
        </is>
      </c>
      <c r="D594" s="156" t="inlineStr">
        <is>
          <t>PC 300-8MO</t>
        </is>
      </c>
      <c r="E594" s="156" t="inlineStr">
        <is>
          <t>Excavator</t>
        </is>
      </c>
      <c r="F594" s="156" t="inlineStr">
        <is>
          <t>Trimming Coal di Stock ROM</t>
        </is>
      </c>
      <c r="G594" s="182" t="n">
        <v>5.35</v>
      </c>
      <c r="H594" s="182" t="n">
        <v>0</v>
      </c>
      <c r="I594" s="182" t="n">
        <v>0</v>
      </c>
      <c r="J594" s="182" t="n">
        <v>0</v>
      </c>
      <c r="K594" s="182" t="n">
        <v>6.65</v>
      </c>
      <c r="L594" s="182" t="n">
        <v>12</v>
      </c>
      <c r="M594" s="182" t="n">
        <v>0</v>
      </c>
      <c r="N594" s="182" t="n">
        <v>0</v>
      </c>
      <c r="O594" s="183" t="n">
        <v>0</v>
      </c>
      <c r="P594" s="183" t="n">
        <v>0</v>
      </c>
      <c r="Q594" s="184" t="n">
        <v>0</v>
      </c>
      <c r="R594" s="184" t="n">
        <v>0</v>
      </c>
      <c r="S594" s="183" t="n">
        <v>0</v>
      </c>
      <c r="T594" s="183" t="n">
        <v>0</v>
      </c>
      <c r="U594" s="182" t="n">
        <v>0</v>
      </c>
      <c r="V594" s="182" t="n">
        <v>0</v>
      </c>
      <c r="W594" s="182" t="n">
        <v>0</v>
      </c>
      <c r="X594" s="182" t="n">
        <v>0.98</v>
      </c>
      <c r="Y594" s="182" t="n">
        <v>0</v>
      </c>
      <c r="Z594" s="182" t="n">
        <v>0</v>
      </c>
      <c r="AA594" s="182" t="n">
        <v>0</v>
      </c>
      <c r="AB594" s="182" t="n">
        <v>0</v>
      </c>
      <c r="AC594" s="182" t="n">
        <v>0</v>
      </c>
      <c r="AD594" s="182" t="n">
        <v>0</v>
      </c>
      <c r="AE594" s="182" t="n">
        <v>0</v>
      </c>
      <c r="AF594" s="182" t="n">
        <v>0</v>
      </c>
      <c r="AG594" s="182" t="n">
        <v>0</v>
      </c>
      <c r="AH594" s="182" t="n">
        <v>0</v>
      </c>
      <c r="AI594" s="182" t="n">
        <v>0</v>
      </c>
      <c r="AJ594" s="182" t="n">
        <v>0</v>
      </c>
      <c r="AK594" s="182" t="n">
        <v>5.59</v>
      </c>
      <c r="AL594" s="182" t="n">
        <v>0</v>
      </c>
      <c r="AM594" s="182" t="n">
        <v>0.08</v>
      </c>
      <c r="AN594" s="182" t="n">
        <v>0</v>
      </c>
    </row>
    <row r="595">
      <c r="A595" s="155" t="n">
        <v>46084</v>
      </c>
      <c r="B595" s="156" t="inlineStr">
        <is>
          <t>NS</t>
        </is>
      </c>
      <c r="C595" s="156" t="inlineStr">
        <is>
          <t>EX-332</t>
        </is>
      </c>
      <c r="D595" s="156" t="inlineStr">
        <is>
          <t>PC 300-8MO</t>
        </is>
      </c>
      <c r="E595" s="156" t="inlineStr">
        <is>
          <t>Excavator</t>
        </is>
      </c>
      <c r="F595" s="156" t="inlineStr"/>
      <c r="G595" s="182" t="n">
        <v>0</v>
      </c>
      <c r="H595" s="182" t="n">
        <v>0</v>
      </c>
      <c r="I595" s="182" t="n">
        <v>12</v>
      </c>
      <c r="J595" s="182" t="n">
        <v>12</v>
      </c>
      <c r="K595" s="182" t="n">
        <v>0</v>
      </c>
      <c r="L595" s="182" t="n">
        <v>12</v>
      </c>
      <c r="M595" s="182" t="n">
        <v>0</v>
      </c>
      <c r="N595" s="182" t="n">
        <v>0</v>
      </c>
      <c r="O595" s="183" t="n">
        <v>0</v>
      </c>
      <c r="P595" s="183" t="n">
        <v>0</v>
      </c>
      <c r="Q595" s="184" t="n">
        <v>0</v>
      </c>
      <c r="R595" s="184" t="n">
        <v>0</v>
      </c>
      <c r="S595" s="183" t="n">
        <v>0</v>
      </c>
      <c r="T595" s="183" t="n">
        <v>0</v>
      </c>
      <c r="U595" s="182" t="n">
        <v>0</v>
      </c>
      <c r="V595" s="182" t="n">
        <v>0</v>
      </c>
      <c r="W595" s="182" t="n">
        <v>0</v>
      </c>
      <c r="X595" s="182" t="n">
        <v>0</v>
      </c>
      <c r="Y595" s="182" t="n">
        <v>0</v>
      </c>
      <c r="Z595" s="182" t="n">
        <v>0</v>
      </c>
      <c r="AA595" s="182" t="n">
        <v>0</v>
      </c>
      <c r="AB595" s="182" t="n">
        <v>0</v>
      </c>
      <c r="AC595" s="182" t="n">
        <v>0</v>
      </c>
      <c r="AD595" s="182" t="n">
        <v>0</v>
      </c>
      <c r="AE595" s="182" t="n">
        <v>0</v>
      </c>
      <c r="AF595" s="182" t="n">
        <v>0</v>
      </c>
      <c r="AG595" s="182" t="n">
        <v>0</v>
      </c>
      <c r="AH595" s="182" t="n">
        <v>0</v>
      </c>
      <c r="AI595" s="182" t="n">
        <v>0</v>
      </c>
      <c r="AJ595" s="182" t="n">
        <v>0</v>
      </c>
      <c r="AK595" s="182" t="n">
        <v>0</v>
      </c>
      <c r="AL595" s="182" t="n">
        <v>0</v>
      </c>
      <c r="AM595" s="182" t="n">
        <v>0</v>
      </c>
      <c r="AN595" s="182" t="n">
        <v>0</v>
      </c>
    </row>
    <row r="596">
      <c r="A596" s="155" t="n">
        <v>46084</v>
      </c>
      <c r="B596" s="156" t="inlineStr">
        <is>
          <t>NS</t>
        </is>
      </c>
      <c r="C596" s="156" t="inlineStr">
        <is>
          <t>EX-333</t>
        </is>
      </c>
      <c r="D596" s="156" t="inlineStr">
        <is>
          <t>PC 300-8MO</t>
        </is>
      </c>
      <c r="E596" s="156" t="inlineStr">
        <is>
          <t>Excavator</t>
        </is>
      </c>
      <c r="F596" s="156" t="inlineStr">
        <is>
          <t>Cleaning Coal &amp; General Pit</t>
        </is>
      </c>
      <c r="G596" s="182" t="n">
        <v>8.6</v>
      </c>
      <c r="H596" s="182" t="n">
        <v>0</v>
      </c>
      <c r="I596" s="182" t="n">
        <v>0</v>
      </c>
      <c r="J596" s="182" t="n">
        <v>0</v>
      </c>
      <c r="K596" s="182" t="n">
        <v>3.4</v>
      </c>
      <c r="L596" s="182" t="n">
        <v>12</v>
      </c>
      <c r="M596" s="182" t="n">
        <v>0</v>
      </c>
      <c r="N596" s="182" t="n">
        <v>0</v>
      </c>
      <c r="O596" s="183" t="n">
        <v>0</v>
      </c>
      <c r="P596" s="183" t="n">
        <v>0</v>
      </c>
      <c r="Q596" s="184" t="n">
        <v>0</v>
      </c>
      <c r="R596" s="184" t="n">
        <v>0</v>
      </c>
      <c r="S596" s="183" t="n">
        <v>0</v>
      </c>
      <c r="T596" s="183" t="n">
        <v>0</v>
      </c>
      <c r="U596" s="182" t="n">
        <v>2.43</v>
      </c>
      <c r="V596" s="182" t="n">
        <v>0</v>
      </c>
      <c r="W596" s="182" t="n">
        <v>0</v>
      </c>
      <c r="X596" s="182" t="n">
        <v>0.89</v>
      </c>
      <c r="Y596" s="182" t="n">
        <v>0</v>
      </c>
      <c r="Z596" s="182" t="n">
        <v>0</v>
      </c>
      <c r="AA596" s="182" t="n">
        <v>0</v>
      </c>
      <c r="AB596" s="182" t="n">
        <v>0</v>
      </c>
      <c r="AC596" s="182" t="n">
        <v>0</v>
      </c>
      <c r="AD596" s="182" t="n">
        <v>0</v>
      </c>
      <c r="AE596" s="182" t="n">
        <v>0</v>
      </c>
      <c r="AF596" s="182" t="n">
        <v>0</v>
      </c>
      <c r="AG596" s="182" t="n">
        <v>0</v>
      </c>
      <c r="AH596" s="182" t="n">
        <v>0</v>
      </c>
      <c r="AI596" s="182" t="n">
        <v>0</v>
      </c>
      <c r="AJ596" s="182" t="n">
        <v>0</v>
      </c>
      <c r="AK596" s="182" t="n">
        <v>0</v>
      </c>
      <c r="AL596" s="182" t="n">
        <v>0</v>
      </c>
      <c r="AM596" s="182" t="n">
        <v>0.07000000000000001</v>
      </c>
      <c r="AN596" s="182" t="n">
        <v>0</v>
      </c>
    </row>
    <row r="597">
      <c r="A597" s="155" t="n">
        <v>46084</v>
      </c>
      <c r="B597" s="156" t="inlineStr">
        <is>
          <t>NS</t>
        </is>
      </c>
      <c r="C597" s="156" t="inlineStr">
        <is>
          <t>EX-336</t>
        </is>
      </c>
      <c r="D597" s="156" t="inlineStr">
        <is>
          <t>PC 300-8MO</t>
        </is>
      </c>
      <c r="E597" s="156" t="inlineStr">
        <is>
          <t>Excavator</t>
        </is>
      </c>
      <c r="F597" s="156" t="inlineStr"/>
      <c r="G597" s="182" t="n">
        <v>0</v>
      </c>
      <c r="H597" s="182" t="n">
        <v>0</v>
      </c>
      <c r="I597" s="182" t="n">
        <v>12</v>
      </c>
      <c r="J597" s="182" t="n">
        <v>12</v>
      </c>
      <c r="K597" s="182" t="n">
        <v>0</v>
      </c>
      <c r="L597" s="182" t="n">
        <v>12</v>
      </c>
      <c r="M597" s="182" t="n">
        <v>0</v>
      </c>
      <c r="N597" s="182" t="n">
        <v>0</v>
      </c>
      <c r="O597" s="183" t="n">
        <v>0</v>
      </c>
      <c r="P597" s="183" t="n">
        <v>0</v>
      </c>
      <c r="Q597" s="184" t="n">
        <v>0</v>
      </c>
      <c r="R597" s="184" t="n">
        <v>0</v>
      </c>
      <c r="S597" s="183" t="n">
        <v>0</v>
      </c>
      <c r="T597" s="183" t="n">
        <v>0</v>
      </c>
      <c r="U597" s="182" t="n">
        <v>0</v>
      </c>
      <c r="V597" s="182" t="n">
        <v>0</v>
      </c>
      <c r="W597" s="182" t="n">
        <v>0</v>
      </c>
      <c r="X597" s="182" t="n">
        <v>0</v>
      </c>
      <c r="Y597" s="182" t="n">
        <v>0</v>
      </c>
      <c r="Z597" s="182" t="n">
        <v>0</v>
      </c>
      <c r="AA597" s="182" t="n">
        <v>0</v>
      </c>
      <c r="AB597" s="182" t="n">
        <v>0</v>
      </c>
      <c r="AC597" s="182" t="n">
        <v>0</v>
      </c>
      <c r="AD597" s="182" t="n">
        <v>0</v>
      </c>
      <c r="AE597" s="182" t="n">
        <v>0</v>
      </c>
      <c r="AF597" s="182" t="n">
        <v>0</v>
      </c>
      <c r="AG597" s="182" t="n">
        <v>0</v>
      </c>
      <c r="AH597" s="182" t="n">
        <v>0</v>
      </c>
      <c r="AI597" s="182" t="n">
        <v>0</v>
      </c>
      <c r="AJ597" s="182" t="n">
        <v>0</v>
      </c>
      <c r="AK597" s="182" t="n">
        <v>0</v>
      </c>
      <c r="AL597" s="182" t="n">
        <v>0</v>
      </c>
      <c r="AM597" s="182" t="n">
        <v>0</v>
      </c>
      <c r="AN597" s="182" t="n">
        <v>0</v>
      </c>
    </row>
    <row r="598">
      <c r="A598" s="155" t="n">
        <v>46084</v>
      </c>
      <c r="B598" s="156" t="inlineStr">
        <is>
          <t>NS</t>
        </is>
      </c>
      <c r="C598" s="156" t="inlineStr">
        <is>
          <t>EX-335</t>
        </is>
      </c>
      <c r="D598" s="156" t="inlineStr">
        <is>
          <t>PC 300-8MO</t>
        </is>
      </c>
      <c r="E598" s="156" t="inlineStr">
        <is>
          <t>Excavator</t>
        </is>
      </c>
      <c r="F598" s="156" t="inlineStr">
        <is>
          <t>Perbaikan Tanggul &amp; Block Air &amp; Release Air</t>
        </is>
      </c>
      <c r="G598" s="182" t="n">
        <v>11.53</v>
      </c>
      <c r="H598" s="182" t="n">
        <v>0</v>
      </c>
      <c r="I598" s="182" t="n">
        <v>0</v>
      </c>
      <c r="J598" s="182" t="n">
        <v>0</v>
      </c>
      <c r="K598" s="182" t="n">
        <v>0.47</v>
      </c>
      <c r="L598" s="182" t="n">
        <v>12</v>
      </c>
      <c r="M598" s="182" t="n">
        <v>0</v>
      </c>
      <c r="N598" s="182" t="n">
        <v>0</v>
      </c>
      <c r="O598" s="183" t="n">
        <v>0</v>
      </c>
      <c r="P598" s="183" t="n">
        <v>0</v>
      </c>
      <c r="Q598" s="184" t="n">
        <v>0</v>
      </c>
      <c r="R598" s="184" t="n">
        <v>0</v>
      </c>
      <c r="S598" s="183" t="n">
        <v>0</v>
      </c>
      <c r="T598" s="183" t="n">
        <v>0</v>
      </c>
      <c r="U598" s="182" t="n">
        <v>0.42</v>
      </c>
      <c r="V598" s="182" t="n">
        <v>0</v>
      </c>
      <c r="W598" s="182" t="n">
        <v>0</v>
      </c>
      <c r="X598" s="182" t="n">
        <v>0</v>
      </c>
      <c r="Y598" s="182" t="n">
        <v>0</v>
      </c>
      <c r="Z598" s="182" t="n">
        <v>0</v>
      </c>
      <c r="AA598" s="182" t="n">
        <v>0</v>
      </c>
      <c r="AB598" s="182" t="n">
        <v>0</v>
      </c>
      <c r="AC598" s="182" t="n">
        <v>0</v>
      </c>
      <c r="AD598" s="182" t="n">
        <v>0</v>
      </c>
      <c r="AE598" s="182" t="n">
        <v>0</v>
      </c>
      <c r="AF598" s="182" t="n">
        <v>0</v>
      </c>
      <c r="AG598" s="182" t="n">
        <v>0</v>
      </c>
      <c r="AH598" s="182" t="n">
        <v>0</v>
      </c>
      <c r="AI598" s="182" t="n">
        <v>0</v>
      </c>
      <c r="AJ598" s="182" t="n">
        <v>0</v>
      </c>
      <c r="AK598" s="182" t="n">
        <v>0</v>
      </c>
      <c r="AL598" s="182" t="n">
        <v>0</v>
      </c>
      <c r="AM598" s="182" t="n">
        <v>0.05</v>
      </c>
      <c r="AN598" s="182" t="n">
        <v>0</v>
      </c>
    </row>
    <row r="599">
      <c r="A599" s="155" t="n">
        <v>46084</v>
      </c>
      <c r="B599" s="156" t="inlineStr">
        <is>
          <t>NS</t>
        </is>
      </c>
      <c r="C599" s="156" t="inlineStr">
        <is>
          <t>EX-754</t>
        </is>
      </c>
      <c r="D599" s="156" t="inlineStr">
        <is>
          <t>SY750H-PRO</t>
        </is>
      </c>
      <c r="E599" s="156" t="inlineStr">
        <is>
          <t>Excavator</t>
        </is>
      </c>
      <c r="F599" s="156" t="inlineStr">
        <is>
          <t>Travel Unit Hujan</t>
        </is>
      </c>
      <c r="G599" s="182" t="n">
        <v>0.87</v>
      </c>
      <c r="H599" s="182" t="n">
        <v>0</v>
      </c>
      <c r="I599" s="182" t="n">
        <v>0</v>
      </c>
      <c r="J599" s="182" t="n">
        <v>0</v>
      </c>
      <c r="K599" s="182" t="n">
        <v>11.13</v>
      </c>
      <c r="L599" s="182" t="n">
        <v>12</v>
      </c>
      <c r="M599" s="182" t="n">
        <v>0</v>
      </c>
      <c r="N599" s="182" t="n">
        <v>0</v>
      </c>
      <c r="O599" s="183" t="n">
        <v>0</v>
      </c>
      <c r="P599" s="183" t="n">
        <v>0</v>
      </c>
      <c r="Q599" s="184" t="n">
        <v>0</v>
      </c>
      <c r="R599" s="184" t="n">
        <v>0</v>
      </c>
      <c r="S599" s="183" t="n">
        <v>0</v>
      </c>
      <c r="T599" s="183" t="n">
        <v>0</v>
      </c>
      <c r="U599" s="182" t="n">
        <v>11.05</v>
      </c>
      <c r="V599" s="182" t="n">
        <v>0</v>
      </c>
      <c r="W599" s="182" t="n">
        <v>0</v>
      </c>
      <c r="X599" s="182" t="n">
        <v>0</v>
      </c>
      <c r="Y599" s="182" t="n">
        <v>0</v>
      </c>
      <c r="Z599" s="182" t="n">
        <v>0</v>
      </c>
      <c r="AA599" s="182" t="n">
        <v>0</v>
      </c>
      <c r="AB599" s="182" t="n">
        <v>0</v>
      </c>
      <c r="AC599" s="182" t="n">
        <v>0</v>
      </c>
      <c r="AD599" s="182" t="n">
        <v>0</v>
      </c>
      <c r="AE599" s="182" t="n">
        <v>0</v>
      </c>
      <c r="AF599" s="182" t="n">
        <v>0</v>
      </c>
      <c r="AG599" s="182" t="n">
        <v>0</v>
      </c>
      <c r="AH599" s="182" t="n">
        <v>0</v>
      </c>
      <c r="AI599" s="182" t="n">
        <v>0</v>
      </c>
      <c r="AJ599" s="182" t="n">
        <v>0</v>
      </c>
      <c r="AK599" s="182" t="n">
        <v>0</v>
      </c>
      <c r="AL599" s="182" t="n">
        <v>0</v>
      </c>
      <c r="AM599" s="182" t="n">
        <v>0.08</v>
      </c>
      <c r="AN599" s="182" t="n">
        <v>0</v>
      </c>
    </row>
    <row r="600">
      <c r="A600" s="155" t="n">
        <v>46084</v>
      </c>
      <c r="B600" s="156" t="inlineStr">
        <is>
          <t>NS</t>
        </is>
      </c>
      <c r="C600" s="156" t="inlineStr">
        <is>
          <t>EX-755</t>
        </is>
      </c>
      <c r="D600" s="156" t="inlineStr">
        <is>
          <t>SY750H-PRO</t>
        </is>
      </c>
      <c r="E600" s="156" t="inlineStr">
        <is>
          <t>Excavator</t>
        </is>
      </c>
      <c r="F600" s="156" t="inlineStr"/>
      <c r="G600" s="182" t="n">
        <v>0</v>
      </c>
      <c r="H600" s="182" t="n">
        <v>0</v>
      </c>
      <c r="I600" s="182" t="n">
        <v>0</v>
      </c>
      <c r="J600" s="182" t="n">
        <v>0</v>
      </c>
      <c r="K600" s="182" t="n">
        <v>12</v>
      </c>
      <c r="L600" s="182" t="n">
        <v>12</v>
      </c>
      <c r="M600" s="182" t="n">
        <v>0</v>
      </c>
      <c r="N600" s="182" t="n">
        <v>0</v>
      </c>
      <c r="O600" s="183" t="n">
        <v>0</v>
      </c>
      <c r="P600" s="183" t="n">
        <v>0</v>
      </c>
      <c r="Q600" s="184" t="n">
        <v>0</v>
      </c>
      <c r="R600" s="184" t="n">
        <v>0</v>
      </c>
      <c r="S600" s="183" t="n">
        <v>0</v>
      </c>
      <c r="T600" s="183" t="n">
        <v>0</v>
      </c>
      <c r="U600" s="182" t="n">
        <v>11.33</v>
      </c>
      <c r="V600" s="182" t="n">
        <v>0.59</v>
      </c>
      <c r="W600" s="182" t="n">
        <v>0</v>
      </c>
      <c r="X600" s="182" t="n">
        <v>0</v>
      </c>
      <c r="Y600" s="182" t="n">
        <v>0</v>
      </c>
      <c r="Z600" s="182" t="n">
        <v>0</v>
      </c>
      <c r="AA600" s="182" t="n">
        <v>0</v>
      </c>
      <c r="AB600" s="182" t="n">
        <v>0</v>
      </c>
      <c r="AC600" s="182" t="n">
        <v>0</v>
      </c>
      <c r="AD600" s="182" t="n">
        <v>0</v>
      </c>
      <c r="AE600" s="182" t="n">
        <v>0</v>
      </c>
      <c r="AF600" s="182" t="n">
        <v>0</v>
      </c>
      <c r="AG600" s="182" t="n">
        <v>0</v>
      </c>
      <c r="AH600" s="182" t="n">
        <v>0</v>
      </c>
      <c r="AI600" s="182" t="n">
        <v>0</v>
      </c>
      <c r="AJ600" s="182" t="n">
        <v>0</v>
      </c>
      <c r="AK600" s="182" t="n">
        <v>0</v>
      </c>
      <c r="AL600" s="182" t="n">
        <v>0</v>
      </c>
      <c r="AM600" s="182" t="n">
        <v>0.08</v>
      </c>
      <c r="AN600" s="182" t="n">
        <v>0</v>
      </c>
    </row>
    <row r="601">
      <c r="A601" s="155" t="n">
        <v>46084</v>
      </c>
      <c r="B601" s="156" t="inlineStr">
        <is>
          <t>NS</t>
        </is>
      </c>
      <c r="C601" s="156" t="inlineStr">
        <is>
          <t>EX-752</t>
        </is>
      </c>
      <c r="D601" s="156" t="inlineStr">
        <is>
          <t>SY750H-PRO</t>
        </is>
      </c>
      <c r="E601" s="156" t="inlineStr">
        <is>
          <t>Excavator</t>
        </is>
      </c>
      <c r="F601" s="156" t="inlineStr"/>
      <c r="G601" s="182" t="n">
        <v>0</v>
      </c>
      <c r="H601" s="182" t="n">
        <v>0</v>
      </c>
      <c r="I601" s="182" t="n">
        <v>12</v>
      </c>
      <c r="J601" s="182" t="n">
        <v>12</v>
      </c>
      <c r="K601" s="182" t="n">
        <v>0</v>
      </c>
      <c r="L601" s="182" t="n">
        <v>12</v>
      </c>
      <c r="M601" s="182" t="n">
        <v>0</v>
      </c>
      <c r="N601" s="182" t="n">
        <v>0</v>
      </c>
      <c r="O601" s="183" t="n">
        <v>0</v>
      </c>
      <c r="P601" s="183" t="n">
        <v>0</v>
      </c>
      <c r="Q601" s="184" t="n">
        <v>0</v>
      </c>
      <c r="R601" s="184" t="n">
        <v>0</v>
      </c>
      <c r="S601" s="183" t="n">
        <v>0</v>
      </c>
      <c r="T601" s="183" t="n">
        <v>0</v>
      </c>
      <c r="U601" s="182" t="n">
        <v>0</v>
      </c>
      <c r="V601" s="182" t="n">
        <v>0</v>
      </c>
      <c r="W601" s="182" t="n">
        <v>0</v>
      </c>
      <c r="X601" s="182" t="n">
        <v>0</v>
      </c>
      <c r="Y601" s="182" t="n">
        <v>0</v>
      </c>
      <c r="Z601" s="182" t="n">
        <v>0</v>
      </c>
      <c r="AA601" s="182" t="n">
        <v>0</v>
      </c>
      <c r="AB601" s="182" t="n">
        <v>0</v>
      </c>
      <c r="AC601" s="182" t="n">
        <v>0</v>
      </c>
      <c r="AD601" s="182" t="n">
        <v>0</v>
      </c>
      <c r="AE601" s="182" t="n">
        <v>0</v>
      </c>
      <c r="AF601" s="182" t="n">
        <v>0</v>
      </c>
      <c r="AG601" s="182" t="n">
        <v>0</v>
      </c>
      <c r="AH601" s="182" t="n">
        <v>0</v>
      </c>
      <c r="AI601" s="182" t="n">
        <v>0</v>
      </c>
      <c r="AJ601" s="182" t="n">
        <v>0</v>
      </c>
      <c r="AK601" s="182" t="n">
        <v>0</v>
      </c>
      <c r="AL601" s="182" t="n">
        <v>0</v>
      </c>
      <c r="AM601" s="182" t="n">
        <v>0</v>
      </c>
      <c r="AN601" s="182" t="n">
        <v>0</v>
      </c>
    </row>
    <row r="602">
      <c r="A602" s="155" t="n">
        <v>46084</v>
      </c>
      <c r="B602" s="156" t="inlineStr">
        <is>
          <t>NS</t>
        </is>
      </c>
      <c r="C602" s="156" t="inlineStr">
        <is>
          <t>EX-751</t>
        </is>
      </c>
      <c r="D602" s="156" t="inlineStr">
        <is>
          <t>SY750H-PRO</t>
        </is>
      </c>
      <c r="E602" s="156" t="inlineStr">
        <is>
          <t>Excavator</t>
        </is>
      </c>
      <c r="F602" s="156" t="inlineStr"/>
      <c r="G602" s="182" t="n">
        <v>0</v>
      </c>
      <c r="H602" s="182" t="n">
        <v>0</v>
      </c>
      <c r="I602" s="182" t="n">
        <v>12</v>
      </c>
      <c r="J602" s="182" t="n">
        <v>12</v>
      </c>
      <c r="K602" s="182" t="n">
        <v>0</v>
      </c>
      <c r="L602" s="182" t="n">
        <v>12</v>
      </c>
      <c r="M602" s="182" t="n">
        <v>0</v>
      </c>
      <c r="N602" s="182" t="n">
        <v>0</v>
      </c>
      <c r="O602" s="183" t="n">
        <v>0</v>
      </c>
      <c r="P602" s="183" t="n">
        <v>0</v>
      </c>
      <c r="Q602" s="184" t="n">
        <v>0</v>
      </c>
      <c r="R602" s="184" t="n">
        <v>0</v>
      </c>
      <c r="S602" s="183" t="n">
        <v>0</v>
      </c>
      <c r="T602" s="183" t="n">
        <v>0</v>
      </c>
      <c r="U602" s="182" t="n">
        <v>0</v>
      </c>
      <c r="V602" s="182" t="n">
        <v>0</v>
      </c>
      <c r="W602" s="182" t="n">
        <v>0</v>
      </c>
      <c r="X602" s="182" t="n">
        <v>0</v>
      </c>
      <c r="Y602" s="182" t="n">
        <v>0</v>
      </c>
      <c r="Z602" s="182" t="n">
        <v>0</v>
      </c>
      <c r="AA602" s="182" t="n">
        <v>0</v>
      </c>
      <c r="AB602" s="182" t="n">
        <v>0</v>
      </c>
      <c r="AC602" s="182" t="n">
        <v>0</v>
      </c>
      <c r="AD602" s="182" t="n">
        <v>0</v>
      </c>
      <c r="AE602" s="182" t="n">
        <v>0</v>
      </c>
      <c r="AF602" s="182" t="n">
        <v>0</v>
      </c>
      <c r="AG602" s="182" t="n">
        <v>0</v>
      </c>
      <c r="AH602" s="182" t="n">
        <v>0</v>
      </c>
      <c r="AI602" s="182" t="n">
        <v>0</v>
      </c>
      <c r="AJ602" s="182" t="n">
        <v>0</v>
      </c>
      <c r="AK602" s="182" t="n">
        <v>0</v>
      </c>
      <c r="AL602" s="182" t="n">
        <v>0</v>
      </c>
      <c r="AM602" s="182" t="n">
        <v>0</v>
      </c>
      <c r="AN602" s="182" t="n">
        <v>0</v>
      </c>
    </row>
    <row r="603">
      <c r="A603" s="155" t="n">
        <v>46084</v>
      </c>
      <c r="B603" s="156" t="inlineStr">
        <is>
          <t>NS</t>
        </is>
      </c>
      <c r="C603" s="156" t="inlineStr">
        <is>
          <t>EX-753</t>
        </is>
      </c>
      <c r="D603" s="156" t="inlineStr">
        <is>
          <t>SY750H-PRO</t>
        </is>
      </c>
      <c r="E603" s="156" t="inlineStr">
        <is>
          <t>Excavator</t>
        </is>
      </c>
      <c r="F603" s="156" t="inlineStr"/>
      <c r="G603" s="182" t="n">
        <v>0</v>
      </c>
      <c r="H603" s="182" t="n">
        <v>0</v>
      </c>
      <c r="I603" s="182" t="n">
        <v>0</v>
      </c>
      <c r="J603" s="182" t="n">
        <v>0</v>
      </c>
      <c r="K603" s="182" t="n">
        <v>12</v>
      </c>
      <c r="L603" s="182" t="n">
        <v>12</v>
      </c>
      <c r="M603" s="182" t="n">
        <v>0</v>
      </c>
      <c r="N603" s="182" t="n">
        <v>0</v>
      </c>
      <c r="O603" s="183" t="n">
        <v>0</v>
      </c>
      <c r="P603" s="183" t="n">
        <v>0</v>
      </c>
      <c r="Q603" s="184" t="n">
        <v>0</v>
      </c>
      <c r="R603" s="184" t="n">
        <v>0</v>
      </c>
      <c r="S603" s="183" t="n">
        <v>0</v>
      </c>
      <c r="T603" s="183" t="n">
        <v>0</v>
      </c>
      <c r="U603" s="182" t="n">
        <v>11.33</v>
      </c>
      <c r="V603" s="182" t="n">
        <v>0.59</v>
      </c>
      <c r="W603" s="182" t="n">
        <v>0</v>
      </c>
      <c r="X603" s="182" t="n">
        <v>0</v>
      </c>
      <c r="Y603" s="182" t="n">
        <v>0</v>
      </c>
      <c r="Z603" s="182" t="n">
        <v>0</v>
      </c>
      <c r="AA603" s="182" t="n">
        <v>0</v>
      </c>
      <c r="AB603" s="182" t="n">
        <v>0</v>
      </c>
      <c r="AC603" s="182" t="n">
        <v>0</v>
      </c>
      <c r="AD603" s="182" t="n">
        <v>0</v>
      </c>
      <c r="AE603" s="182" t="n">
        <v>0</v>
      </c>
      <c r="AF603" s="182" t="n">
        <v>0</v>
      </c>
      <c r="AG603" s="182" t="n">
        <v>0</v>
      </c>
      <c r="AH603" s="182" t="n">
        <v>0</v>
      </c>
      <c r="AI603" s="182" t="n">
        <v>0</v>
      </c>
      <c r="AJ603" s="182" t="n">
        <v>0</v>
      </c>
      <c r="AK603" s="182" t="n">
        <v>0</v>
      </c>
      <c r="AL603" s="182" t="n">
        <v>0</v>
      </c>
      <c r="AM603" s="182" t="n">
        <v>0.08</v>
      </c>
      <c r="AN603" s="182" t="n">
        <v>0</v>
      </c>
    </row>
    <row r="604">
      <c r="A604" s="155" t="n">
        <v>46084</v>
      </c>
      <c r="B604" s="156" t="inlineStr">
        <is>
          <t>NS</t>
        </is>
      </c>
      <c r="C604" s="156" t="inlineStr">
        <is>
          <t>GD-012</t>
        </is>
      </c>
      <c r="D604" s="156" t="inlineStr">
        <is>
          <t>STG 230C - 8S</t>
        </is>
      </c>
      <c r="E604" s="156" t="inlineStr">
        <is>
          <t>Grader</t>
        </is>
      </c>
      <c r="F604" s="156" t="inlineStr"/>
      <c r="G604" s="182" t="n">
        <v>0</v>
      </c>
      <c r="H604" s="182" t="n">
        <v>0</v>
      </c>
      <c r="I604" s="182" t="n">
        <v>0</v>
      </c>
      <c r="J604" s="182" t="n">
        <v>0</v>
      </c>
      <c r="K604" s="182" t="n">
        <v>12</v>
      </c>
      <c r="L604" s="182" t="n">
        <v>12</v>
      </c>
      <c r="M604" s="182" t="n">
        <v>0</v>
      </c>
      <c r="N604" s="182" t="n">
        <v>0</v>
      </c>
      <c r="O604" s="183" t="n">
        <v>0</v>
      </c>
      <c r="P604" s="183" t="n">
        <v>0</v>
      </c>
      <c r="Q604" s="184" t="n">
        <v>0</v>
      </c>
      <c r="R604" s="184" t="n">
        <v>0</v>
      </c>
      <c r="S604" s="183" t="n">
        <v>0</v>
      </c>
      <c r="T604" s="183" t="n">
        <v>0</v>
      </c>
      <c r="U604" s="182" t="n">
        <v>0</v>
      </c>
      <c r="V604" s="182" t="n">
        <v>0</v>
      </c>
      <c r="W604" s="182" t="n">
        <v>0</v>
      </c>
      <c r="X604" s="182" t="n">
        <v>1</v>
      </c>
      <c r="Y604" s="182" t="n">
        <v>0</v>
      </c>
      <c r="Z604" s="182" t="n">
        <v>0</v>
      </c>
      <c r="AA604" s="182" t="n">
        <v>0</v>
      </c>
      <c r="AB604" s="182" t="n">
        <v>0</v>
      </c>
      <c r="AC604" s="182" t="n">
        <v>0</v>
      </c>
      <c r="AD604" s="182" t="n">
        <v>0</v>
      </c>
      <c r="AE604" s="182" t="n">
        <v>0</v>
      </c>
      <c r="AF604" s="182" t="n">
        <v>0</v>
      </c>
      <c r="AG604" s="182" t="n">
        <v>0</v>
      </c>
      <c r="AH604" s="182" t="n">
        <v>0</v>
      </c>
      <c r="AI604" s="182" t="n">
        <v>0</v>
      </c>
      <c r="AJ604" s="182" t="n">
        <v>0</v>
      </c>
      <c r="AK604" s="182" t="n">
        <v>10.92</v>
      </c>
      <c r="AL604" s="182" t="n">
        <v>0</v>
      </c>
      <c r="AM604" s="182" t="n">
        <v>0.08</v>
      </c>
      <c r="AN604" s="182" t="n">
        <v>0</v>
      </c>
    </row>
    <row r="605">
      <c r="A605" s="155" t="n">
        <v>46084</v>
      </c>
      <c r="B605" s="156" t="inlineStr">
        <is>
          <t>NS</t>
        </is>
      </c>
      <c r="C605" s="156" t="inlineStr">
        <is>
          <t>GD-011</t>
        </is>
      </c>
      <c r="D605" s="156" t="inlineStr">
        <is>
          <t>STG 230C - 8S</t>
        </is>
      </c>
      <c r="E605" s="156" t="inlineStr">
        <is>
          <t>Grader</t>
        </is>
      </c>
      <c r="F605" s="156" t="inlineStr"/>
      <c r="G605" s="182" t="n">
        <v>0</v>
      </c>
      <c r="H605" s="182" t="n">
        <v>0</v>
      </c>
      <c r="I605" s="182" t="n">
        <v>12</v>
      </c>
      <c r="J605" s="182" t="n">
        <v>12</v>
      </c>
      <c r="K605" s="182" t="n">
        <v>0</v>
      </c>
      <c r="L605" s="182" t="n">
        <v>12</v>
      </c>
      <c r="M605" s="182" t="n">
        <v>0</v>
      </c>
      <c r="N605" s="182" t="n">
        <v>0</v>
      </c>
      <c r="O605" s="183" t="n">
        <v>0</v>
      </c>
      <c r="P605" s="183" t="n">
        <v>0</v>
      </c>
      <c r="Q605" s="184" t="n">
        <v>0</v>
      </c>
      <c r="R605" s="184" t="n">
        <v>0</v>
      </c>
      <c r="S605" s="183" t="n">
        <v>0</v>
      </c>
      <c r="T605" s="183" t="n">
        <v>0</v>
      </c>
      <c r="U605" s="182" t="n">
        <v>0</v>
      </c>
      <c r="V605" s="182" t="n">
        <v>0</v>
      </c>
      <c r="W605" s="182" t="n">
        <v>0</v>
      </c>
      <c r="X605" s="182" t="n">
        <v>0</v>
      </c>
      <c r="Y605" s="182" t="n">
        <v>0</v>
      </c>
      <c r="Z605" s="182" t="n">
        <v>0</v>
      </c>
      <c r="AA605" s="182" t="n">
        <v>0</v>
      </c>
      <c r="AB605" s="182" t="n">
        <v>0</v>
      </c>
      <c r="AC605" s="182" t="n">
        <v>0</v>
      </c>
      <c r="AD605" s="182" t="n">
        <v>0</v>
      </c>
      <c r="AE605" s="182" t="n">
        <v>0</v>
      </c>
      <c r="AF605" s="182" t="n">
        <v>0</v>
      </c>
      <c r="AG605" s="182" t="n">
        <v>0</v>
      </c>
      <c r="AH605" s="182" t="n">
        <v>0</v>
      </c>
      <c r="AI605" s="182" t="n">
        <v>0</v>
      </c>
      <c r="AJ605" s="182" t="n">
        <v>0</v>
      </c>
      <c r="AK605" s="182" t="n">
        <v>0</v>
      </c>
      <c r="AL605" s="182" t="n">
        <v>0</v>
      </c>
      <c r="AM605" s="182" t="n">
        <v>0</v>
      </c>
      <c r="AN605" s="182" t="n">
        <v>0</v>
      </c>
    </row>
    <row r="606">
      <c r="A606" s="155" t="n">
        <v>46084</v>
      </c>
      <c r="B606" s="156" t="inlineStr">
        <is>
          <t>NS</t>
        </is>
      </c>
      <c r="C606" s="156" t="inlineStr">
        <is>
          <t>GD-013</t>
        </is>
      </c>
      <c r="D606" s="156" t="inlineStr">
        <is>
          <t>STG 265C - 10</t>
        </is>
      </c>
      <c r="E606" s="156" t="inlineStr">
        <is>
          <t>Grader</t>
        </is>
      </c>
      <c r="F606" s="156" t="inlineStr"/>
      <c r="G606" s="182" t="n">
        <v>0</v>
      </c>
      <c r="H606" s="182" t="n">
        <v>0</v>
      </c>
      <c r="I606" s="182" t="n">
        <v>0</v>
      </c>
      <c r="J606" s="182" t="n">
        <v>0</v>
      </c>
      <c r="K606" s="182" t="n">
        <v>12</v>
      </c>
      <c r="L606" s="182" t="n">
        <v>12</v>
      </c>
      <c r="M606" s="182" t="n">
        <v>0</v>
      </c>
      <c r="N606" s="182" t="n">
        <v>0</v>
      </c>
      <c r="O606" s="183" t="n">
        <v>0</v>
      </c>
      <c r="P606" s="183" t="n">
        <v>0</v>
      </c>
      <c r="Q606" s="184" t="n">
        <v>0</v>
      </c>
      <c r="R606" s="184" t="n">
        <v>0</v>
      </c>
      <c r="S606" s="183" t="n">
        <v>0</v>
      </c>
      <c r="T606" s="183" t="n">
        <v>0</v>
      </c>
      <c r="U606" s="182" t="n">
        <v>11.33</v>
      </c>
      <c r="V606" s="182" t="n">
        <v>0</v>
      </c>
      <c r="W606" s="182" t="n">
        <v>0</v>
      </c>
      <c r="X606" s="182" t="n">
        <v>0</v>
      </c>
      <c r="Y606" s="182" t="n">
        <v>0</v>
      </c>
      <c r="Z606" s="182" t="n">
        <v>0</v>
      </c>
      <c r="AA606" s="182" t="n">
        <v>0</v>
      </c>
      <c r="AB606" s="182" t="n">
        <v>0</v>
      </c>
      <c r="AC606" s="182" t="n">
        <v>0</v>
      </c>
      <c r="AD606" s="182" t="n">
        <v>0</v>
      </c>
      <c r="AE606" s="182" t="n">
        <v>0</v>
      </c>
      <c r="AF606" s="182" t="n">
        <v>0</v>
      </c>
      <c r="AG606" s="182" t="n">
        <v>0</v>
      </c>
      <c r="AH606" s="182" t="n">
        <v>0</v>
      </c>
      <c r="AI606" s="182" t="n">
        <v>0</v>
      </c>
      <c r="AJ606" s="182" t="n">
        <v>0</v>
      </c>
      <c r="AK606" s="182" t="n">
        <v>0.59</v>
      </c>
      <c r="AL606" s="182" t="n">
        <v>0</v>
      </c>
      <c r="AM606" s="182" t="n">
        <v>0.08</v>
      </c>
      <c r="AN606" s="182" t="n">
        <v>0</v>
      </c>
    </row>
    <row r="607">
      <c r="A607" s="155" t="n">
        <v>46084</v>
      </c>
      <c r="B607" s="156" t="inlineStr">
        <is>
          <t>NS</t>
        </is>
      </c>
      <c r="C607" s="156" t="inlineStr">
        <is>
          <t>GD-014</t>
        </is>
      </c>
      <c r="D607" s="156" t="inlineStr">
        <is>
          <t>STG 335C - 10</t>
        </is>
      </c>
      <c r="E607" s="156" t="inlineStr">
        <is>
          <t>Grader</t>
        </is>
      </c>
      <c r="F607" s="156" t="inlineStr">
        <is>
          <t>Road Maintenance</t>
        </is>
      </c>
      <c r="G607" s="182" t="n">
        <v>2.45</v>
      </c>
      <c r="H607" s="182" t="n">
        <v>0</v>
      </c>
      <c r="I607" s="182" t="n">
        <v>0</v>
      </c>
      <c r="J607" s="182" t="n">
        <v>0</v>
      </c>
      <c r="K607" s="182" t="n">
        <v>9.550000000000001</v>
      </c>
      <c r="L607" s="182" t="n">
        <v>12</v>
      </c>
      <c r="M607" s="182" t="n">
        <v>0</v>
      </c>
      <c r="N607" s="182" t="n">
        <v>0</v>
      </c>
      <c r="O607" s="183" t="n">
        <v>0</v>
      </c>
      <c r="P607" s="183" t="n">
        <v>0</v>
      </c>
      <c r="Q607" s="184" t="n">
        <v>0</v>
      </c>
      <c r="R607" s="184" t="n">
        <v>0</v>
      </c>
      <c r="S607" s="183" t="n">
        <v>0</v>
      </c>
      <c r="T607" s="183" t="n">
        <v>0</v>
      </c>
      <c r="U607" s="182" t="n">
        <v>9.470000000000001</v>
      </c>
      <c r="V607" s="182" t="n">
        <v>0</v>
      </c>
      <c r="W607" s="182" t="n">
        <v>0</v>
      </c>
      <c r="X607" s="182" t="n">
        <v>0</v>
      </c>
      <c r="Y607" s="182" t="n">
        <v>0</v>
      </c>
      <c r="Z607" s="182" t="n">
        <v>0</v>
      </c>
      <c r="AA607" s="182" t="n">
        <v>0</v>
      </c>
      <c r="AB607" s="182" t="n">
        <v>0</v>
      </c>
      <c r="AC607" s="182" t="n">
        <v>0</v>
      </c>
      <c r="AD607" s="182" t="n">
        <v>0</v>
      </c>
      <c r="AE607" s="182" t="n">
        <v>0</v>
      </c>
      <c r="AF607" s="182" t="n">
        <v>0</v>
      </c>
      <c r="AG607" s="182" t="n">
        <v>0</v>
      </c>
      <c r="AH607" s="182" t="n">
        <v>0</v>
      </c>
      <c r="AI607" s="182" t="n">
        <v>0</v>
      </c>
      <c r="AJ607" s="182" t="n">
        <v>0</v>
      </c>
      <c r="AK607" s="182" t="n">
        <v>0</v>
      </c>
      <c r="AL607" s="182" t="n">
        <v>0</v>
      </c>
      <c r="AM607" s="182" t="n">
        <v>0.08</v>
      </c>
      <c r="AN607" s="182" t="n">
        <v>0</v>
      </c>
    </row>
    <row r="608">
      <c r="A608" s="155" t="n">
        <v>46084</v>
      </c>
      <c r="B608" s="156" t="inlineStr">
        <is>
          <t>NS</t>
        </is>
      </c>
      <c r="C608" s="156" t="inlineStr">
        <is>
          <t>DT-809</t>
        </is>
      </c>
      <c r="D608" s="156" t="inlineStr">
        <is>
          <t>SKT 80S</t>
        </is>
      </c>
      <c r="E608" s="156" t="inlineStr">
        <is>
          <t>Hauler</t>
        </is>
      </c>
      <c r="F608" s="156" t="inlineStr"/>
      <c r="G608" s="182" t="n">
        <v>0</v>
      </c>
      <c r="H608" s="182" t="n">
        <v>0</v>
      </c>
      <c r="I608" s="182" t="n">
        <v>0</v>
      </c>
      <c r="J608" s="182" t="n">
        <v>0</v>
      </c>
      <c r="K608" s="182" t="n">
        <v>12</v>
      </c>
      <c r="L608" s="182" t="n">
        <v>12</v>
      </c>
      <c r="M608" s="182" t="n">
        <v>0</v>
      </c>
      <c r="N608" s="182" t="n">
        <v>0</v>
      </c>
      <c r="O608" s="183" t="n">
        <v>0</v>
      </c>
      <c r="P608" s="183" t="n">
        <v>0</v>
      </c>
      <c r="Q608" s="184" t="n">
        <v>0</v>
      </c>
      <c r="R608" s="184" t="n">
        <v>0</v>
      </c>
      <c r="S608" s="183" t="n">
        <v>0</v>
      </c>
      <c r="T608" s="183" t="n">
        <v>0</v>
      </c>
      <c r="U608" s="182" t="n">
        <v>0</v>
      </c>
      <c r="V608" s="182" t="n">
        <v>0</v>
      </c>
      <c r="W608" s="182" t="n">
        <v>0</v>
      </c>
      <c r="X608" s="182" t="n">
        <v>1</v>
      </c>
      <c r="Y608" s="182" t="n">
        <v>0</v>
      </c>
      <c r="Z608" s="182" t="n">
        <v>0</v>
      </c>
      <c r="AA608" s="182" t="n">
        <v>0</v>
      </c>
      <c r="AB608" s="182" t="n">
        <v>0</v>
      </c>
      <c r="AC608" s="182" t="n">
        <v>0</v>
      </c>
      <c r="AD608" s="182" t="n">
        <v>0</v>
      </c>
      <c r="AE608" s="182" t="n">
        <v>0</v>
      </c>
      <c r="AF608" s="182" t="n">
        <v>0</v>
      </c>
      <c r="AG608" s="182" t="n">
        <v>0</v>
      </c>
      <c r="AH608" s="182" t="n">
        <v>0</v>
      </c>
      <c r="AI608" s="182" t="n">
        <v>0</v>
      </c>
      <c r="AJ608" s="182" t="n">
        <v>0</v>
      </c>
      <c r="AK608" s="182" t="n">
        <v>10.92</v>
      </c>
      <c r="AL608" s="182" t="n">
        <v>0</v>
      </c>
      <c r="AM608" s="182" t="n">
        <v>0.08</v>
      </c>
      <c r="AN608" s="182" t="n">
        <v>0</v>
      </c>
    </row>
    <row r="609">
      <c r="A609" s="155" t="n">
        <v>46084</v>
      </c>
      <c r="B609" s="156" t="inlineStr">
        <is>
          <t>NS</t>
        </is>
      </c>
      <c r="C609" s="156" t="inlineStr">
        <is>
          <t>DT-806</t>
        </is>
      </c>
      <c r="D609" s="156" t="inlineStr">
        <is>
          <t>SKT 80S</t>
        </is>
      </c>
      <c r="E609" s="156" t="inlineStr">
        <is>
          <t>Hauler</t>
        </is>
      </c>
      <c r="F609" s="156" t="inlineStr"/>
      <c r="G609" s="182" t="n">
        <v>0</v>
      </c>
      <c r="H609" s="182" t="n">
        <v>0</v>
      </c>
      <c r="I609" s="182" t="n">
        <v>0</v>
      </c>
      <c r="J609" s="182" t="n">
        <v>0</v>
      </c>
      <c r="K609" s="182" t="n">
        <v>12</v>
      </c>
      <c r="L609" s="182" t="n">
        <v>12</v>
      </c>
      <c r="M609" s="182" t="n">
        <v>0</v>
      </c>
      <c r="N609" s="182" t="n">
        <v>0</v>
      </c>
      <c r="O609" s="183" t="n">
        <v>0</v>
      </c>
      <c r="P609" s="183" t="n">
        <v>0</v>
      </c>
      <c r="Q609" s="184" t="n">
        <v>0</v>
      </c>
      <c r="R609" s="184" t="n">
        <v>0</v>
      </c>
      <c r="S609" s="183" t="n">
        <v>0</v>
      </c>
      <c r="T609" s="183" t="n">
        <v>0</v>
      </c>
      <c r="U609" s="182" t="n">
        <v>0</v>
      </c>
      <c r="V609" s="182" t="n">
        <v>0</v>
      </c>
      <c r="W609" s="182" t="n">
        <v>0</v>
      </c>
      <c r="X609" s="182" t="n">
        <v>1</v>
      </c>
      <c r="Y609" s="182" t="n">
        <v>0</v>
      </c>
      <c r="Z609" s="182" t="n">
        <v>0</v>
      </c>
      <c r="AA609" s="182" t="n">
        <v>0</v>
      </c>
      <c r="AB609" s="182" t="n">
        <v>0</v>
      </c>
      <c r="AC609" s="182" t="n">
        <v>0</v>
      </c>
      <c r="AD609" s="182" t="n">
        <v>0</v>
      </c>
      <c r="AE609" s="182" t="n">
        <v>0</v>
      </c>
      <c r="AF609" s="182" t="n">
        <v>0</v>
      </c>
      <c r="AG609" s="182" t="n">
        <v>0</v>
      </c>
      <c r="AH609" s="182" t="n">
        <v>0</v>
      </c>
      <c r="AI609" s="182" t="n">
        <v>0</v>
      </c>
      <c r="AJ609" s="182" t="n">
        <v>0</v>
      </c>
      <c r="AK609" s="182" t="n">
        <v>10.92</v>
      </c>
      <c r="AL609" s="182" t="n">
        <v>0</v>
      </c>
      <c r="AM609" s="182" t="n">
        <v>0.08</v>
      </c>
      <c r="AN609" s="182" t="n">
        <v>0</v>
      </c>
    </row>
    <row r="610">
      <c r="A610" s="155" t="n">
        <v>46084</v>
      </c>
      <c r="B610" s="156" t="inlineStr">
        <is>
          <t>NS</t>
        </is>
      </c>
      <c r="C610" s="156" t="inlineStr">
        <is>
          <t>DT-805</t>
        </is>
      </c>
      <c r="D610" s="156" t="inlineStr">
        <is>
          <t>SKT 80S</t>
        </is>
      </c>
      <c r="E610" s="156" t="inlineStr">
        <is>
          <t>Hauler</t>
        </is>
      </c>
      <c r="F610" s="156" t="inlineStr"/>
      <c r="G610" s="182" t="n">
        <v>0</v>
      </c>
      <c r="H610" s="182" t="n">
        <v>0</v>
      </c>
      <c r="I610" s="182" t="n">
        <v>0</v>
      </c>
      <c r="J610" s="182" t="n">
        <v>0</v>
      </c>
      <c r="K610" s="182" t="n">
        <v>12</v>
      </c>
      <c r="L610" s="182" t="n">
        <v>12</v>
      </c>
      <c r="M610" s="182" t="n">
        <v>0</v>
      </c>
      <c r="N610" s="182" t="n">
        <v>0</v>
      </c>
      <c r="O610" s="183" t="n">
        <v>0</v>
      </c>
      <c r="P610" s="183" t="n">
        <v>0</v>
      </c>
      <c r="Q610" s="184" t="n">
        <v>0</v>
      </c>
      <c r="R610" s="184" t="n">
        <v>0</v>
      </c>
      <c r="S610" s="183" t="n">
        <v>0</v>
      </c>
      <c r="T610" s="183" t="n">
        <v>0</v>
      </c>
      <c r="U610" s="182" t="n">
        <v>0</v>
      </c>
      <c r="V610" s="182" t="n">
        <v>0</v>
      </c>
      <c r="W610" s="182" t="n">
        <v>0</v>
      </c>
      <c r="X610" s="182" t="n">
        <v>1</v>
      </c>
      <c r="Y610" s="182" t="n">
        <v>0</v>
      </c>
      <c r="Z610" s="182" t="n">
        <v>0</v>
      </c>
      <c r="AA610" s="182" t="n">
        <v>0</v>
      </c>
      <c r="AB610" s="182" t="n">
        <v>0</v>
      </c>
      <c r="AC610" s="182" t="n">
        <v>0</v>
      </c>
      <c r="AD610" s="182" t="n">
        <v>0</v>
      </c>
      <c r="AE610" s="182" t="n">
        <v>0</v>
      </c>
      <c r="AF610" s="182" t="n">
        <v>0</v>
      </c>
      <c r="AG610" s="182" t="n">
        <v>0</v>
      </c>
      <c r="AH610" s="182" t="n">
        <v>0</v>
      </c>
      <c r="AI610" s="182" t="n">
        <v>0</v>
      </c>
      <c r="AJ610" s="182" t="n">
        <v>0</v>
      </c>
      <c r="AK610" s="182" t="n">
        <v>10.92</v>
      </c>
      <c r="AL610" s="182" t="n">
        <v>0</v>
      </c>
      <c r="AM610" s="182" t="n">
        <v>0.08</v>
      </c>
      <c r="AN610" s="182" t="n">
        <v>0</v>
      </c>
    </row>
    <row r="611">
      <c r="A611" s="155" t="n">
        <v>46084</v>
      </c>
      <c r="B611" s="156" t="inlineStr">
        <is>
          <t>NS</t>
        </is>
      </c>
      <c r="C611" s="156" t="inlineStr">
        <is>
          <t>DT-801</t>
        </is>
      </c>
      <c r="D611" s="156" t="inlineStr">
        <is>
          <t>SKT 80S</t>
        </is>
      </c>
      <c r="E611" s="156" t="inlineStr">
        <is>
          <t>Hauler</t>
        </is>
      </c>
      <c r="F611" s="156" t="inlineStr"/>
      <c r="G611" s="182" t="n">
        <v>0</v>
      </c>
      <c r="H611" s="182" t="n">
        <v>0</v>
      </c>
      <c r="I611" s="182" t="n">
        <v>0</v>
      </c>
      <c r="J611" s="182" t="n">
        <v>0</v>
      </c>
      <c r="K611" s="182" t="n">
        <v>12</v>
      </c>
      <c r="L611" s="182" t="n">
        <v>12</v>
      </c>
      <c r="M611" s="182" t="n">
        <v>0</v>
      </c>
      <c r="N611" s="182" t="n">
        <v>0</v>
      </c>
      <c r="O611" s="183" t="n">
        <v>0</v>
      </c>
      <c r="P611" s="183" t="n">
        <v>0</v>
      </c>
      <c r="Q611" s="184" t="n">
        <v>0</v>
      </c>
      <c r="R611" s="184" t="n">
        <v>0</v>
      </c>
      <c r="S611" s="183" t="n">
        <v>0</v>
      </c>
      <c r="T611" s="183" t="n">
        <v>0</v>
      </c>
      <c r="U611" s="182" t="n">
        <v>0</v>
      </c>
      <c r="V611" s="182" t="n">
        <v>0</v>
      </c>
      <c r="W611" s="182" t="n">
        <v>0</v>
      </c>
      <c r="X611" s="182" t="n">
        <v>1</v>
      </c>
      <c r="Y611" s="182" t="n">
        <v>0</v>
      </c>
      <c r="Z611" s="182" t="n">
        <v>0</v>
      </c>
      <c r="AA611" s="182" t="n">
        <v>0</v>
      </c>
      <c r="AB611" s="182" t="n">
        <v>0</v>
      </c>
      <c r="AC611" s="182" t="n">
        <v>0</v>
      </c>
      <c r="AD611" s="182" t="n">
        <v>0</v>
      </c>
      <c r="AE611" s="182" t="n">
        <v>0</v>
      </c>
      <c r="AF611" s="182" t="n">
        <v>0</v>
      </c>
      <c r="AG611" s="182" t="n">
        <v>0</v>
      </c>
      <c r="AH611" s="182" t="n">
        <v>0</v>
      </c>
      <c r="AI611" s="182" t="n">
        <v>0</v>
      </c>
      <c r="AJ611" s="182" t="n">
        <v>0</v>
      </c>
      <c r="AK611" s="182" t="n">
        <v>10.92</v>
      </c>
      <c r="AL611" s="182" t="n">
        <v>0</v>
      </c>
      <c r="AM611" s="182" t="n">
        <v>0.08</v>
      </c>
      <c r="AN611" s="182" t="n">
        <v>0</v>
      </c>
    </row>
    <row r="612">
      <c r="A612" s="155" t="n">
        <v>46084</v>
      </c>
      <c r="B612" s="156" t="inlineStr">
        <is>
          <t>NS</t>
        </is>
      </c>
      <c r="C612" s="156" t="inlineStr">
        <is>
          <t>DT-808</t>
        </is>
      </c>
      <c r="D612" s="156" t="inlineStr">
        <is>
          <t>SKT 80S</t>
        </is>
      </c>
      <c r="E612" s="156" t="inlineStr">
        <is>
          <t>Hauler</t>
        </is>
      </c>
      <c r="F612" s="156" t="inlineStr"/>
      <c r="G612" s="182" t="n">
        <v>0</v>
      </c>
      <c r="H612" s="182" t="n">
        <v>0</v>
      </c>
      <c r="I612" s="182" t="n">
        <v>0</v>
      </c>
      <c r="J612" s="182" t="n">
        <v>0</v>
      </c>
      <c r="K612" s="182" t="n">
        <v>12</v>
      </c>
      <c r="L612" s="182" t="n">
        <v>12</v>
      </c>
      <c r="M612" s="182" t="n">
        <v>0</v>
      </c>
      <c r="N612" s="182" t="n">
        <v>0</v>
      </c>
      <c r="O612" s="183" t="n">
        <v>0</v>
      </c>
      <c r="P612" s="183" t="n">
        <v>0</v>
      </c>
      <c r="Q612" s="184" t="n">
        <v>0</v>
      </c>
      <c r="R612" s="184" t="n">
        <v>0</v>
      </c>
      <c r="S612" s="183" t="n">
        <v>0</v>
      </c>
      <c r="T612" s="183" t="n">
        <v>0</v>
      </c>
      <c r="U612" s="182" t="n">
        <v>0</v>
      </c>
      <c r="V612" s="182" t="n">
        <v>0</v>
      </c>
      <c r="W612" s="182" t="n">
        <v>0</v>
      </c>
      <c r="X612" s="182" t="n">
        <v>1</v>
      </c>
      <c r="Y612" s="182" t="n">
        <v>0</v>
      </c>
      <c r="Z612" s="182" t="n">
        <v>0</v>
      </c>
      <c r="AA612" s="182" t="n">
        <v>0</v>
      </c>
      <c r="AB612" s="182" t="n">
        <v>0</v>
      </c>
      <c r="AC612" s="182" t="n">
        <v>0</v>
      </c>
      <c r="AD612" s="182" t="n">
        <v>0</v>
      </c>
      <c r="AE612" s="182" t="n">
        <v>0</v>
      </c>
      <c r="AF612" s="182" t="n">
        <v>0</v>
      </c>
      <c r="AG612" s="182" t="n">
        <v>0</v>
      </c>
      <c r="AH612" s="182" t="n">
        <v>0</v>
      </c>
      <c r="AI612" s="182" t="n">
        <v>0</v>
      </c>
      <c r="AJ612" s="182" t="n">
        <v>0</v>
      </c>
      <c r="AK612" s="182" t="n">
        <v>10.92</v>
      </c>
      <c r="AL612" s="182" t="n">
        <v>0</v>
      </c>
      <c r="AM612" s="182" t="n">
        <v>0.08</v>
      </c>
      <c r="AN612" s="182" t="n">
        <v>0</v>
      </c>
    </row>
    <row r="613">
      <c r="A613" s="155" t="n">
        <v>46084</v>
      </c>
      <c r="B613" s="156" t="inlineStr">
        <is>
          <t>NS</t>
        </is>
      </c>
      <c r="C613" s="156" t="inlineStr">
        <is>
          <t>DT-811</t>
        </is>
      </c>
      <c r="D613" s="156" t="inlineStr">
        <is>
          <t>SKT 80S</t>
        </is>
      </c>
      <c r="E613" s="156" t="inlineStr">
        <is>
          <t>Hauler</t>
        </is>
      </c>
      <c r="F613" s="156" t="inlineStr"/>
      <c r="G613" s="182" t="n">
        <v>0</v>
      </c>
      <c r="H613" s="182" t="n">
        <v>0</v>
      </c>
      <c r="I613" s="182" t="n">
        <v>12</v>
      </c>
      <c r="J613" s="182" t="n">
        <v>12</v>
      </c>
      <c r="K613" s="182" t="n">
        <v>0</v>
      </c>
      <c r="L613" s="182" t="n">
        <v>12</v>
      </c>
      <c r="M613" s="182" t="n">
        <v>0</v>
      </c>
      <c r="N613" s="182" t="n">
        <v>0</v>
      </c>
      <c r="O613" s="183" t="n">
        <v>0</v>
      </c>
      <c r="P613" s="183" t="n">
        <v>0</v>
      </c>
      <c r="Q613" s="184" t="n">
        <v>0</v>
      </c>
      <c r="R613" s="184" t="n">
        <v>0</v>
      </c>
      <c r="S613" s="183" t="n">
        <v>0</v>
      </c>
      <c r="T613" s="183" t="n">
        <v>0</v>
      </c>
      <c r="U613" s="182" t="n">
        <v>0</v>
      </c>
      <c r="V613" s="182" t="n">
        <v>0</v>
      </c>
      <c r="W613" s="182" t="n">
        <v>0</v>
      </c>
      <c r="X613" s="182" t="n">
        <v>0</v>
      </c>
      <c r="Y613" s="182" t="n">
        <v>0</v>
      </c>
      <c r="Z613" s="182" t="n">
        <v>0</v>
      </c>
      <c r="AA613" s="182" t="n">
        <v>0</v>
      </c>
      <c r="AB613" s="182" t="n">
        <v>0</v>
      </c>
      <c r="AC613" s="182" t="n">
        <v>0</v>
      </c>
      <c r="AD613" s="182" t="n">
        <v>0</v>
      </c>
      <c r="AE613" s="182" t="n">
        <v>0</v>
      </c>
      <c r="AF613" s="182" t="n">
        <v>0</v>
      </c>
      <c r="AG613" s="182" t="n">
        <v>0</v>
      </c>
      <c r="AH613" s="182" t="n">
        <v>0</v>
      </c>
      <c r="AI613" s="182" t="n">
        <v>0</v>
      </c>
      <c r="AJ613" s="182" t="n">
        <v>0</v>
      </c>
      <c r="AK613" s="182" t="n">
        <v>0</v>
      </c>
      <c r="AL613" s="182" t="n">
        <v>0</v>
      </c>
      <c r="AM613" s="182" t="n">
        <v>0</v>
      </c>
      <c r="AN613" s="182" t="n">
        <v>0</v>
      </c>
    </row>
    <row r="614">
      <c r="A614" s="155" t="n">
        <v>46084</v>
      </c>
      <c r="B614" s="156" t="inlineStr">
        <is>
          <t>NS</t>
        </is>
      </c>
      <c r="C614" s="156" t="inlineStr">
        <is>
          <t>DT-802</t>
        </is>
      </c>
      <c r="D614" s="156" t="inlineStr">
        <is>
          <t>SKT 80S</t>
        </is>
      </c>
      <c r="E614" s="156" t="inlineStr">
        <is>
          <t>Hauler</t>
        </is>
      </c>
      <c r="F614" s="156" t="inlineStr"/>
      <c r="G614" s="182" t="n">
        <v>0</v>
      </c>
      <c r="H614" s="182" t="n">
        <v>0</v>
      </c>
      <c r="I614" s="182" t="n">
        <v>0</v>
      </c>
      <c r="J614" s="182" t="n">
        <v>0</v>
      </c>
      <c r="K614" s="182" t="n">
        <v>12</v>
      </c>
      <c r="L614" s="182" t="n">
        <v>12</v>
      </c>
      <c r="M614" s="182" t="n">
        <v>0</v>
      </c>
      <c r="N614" s="182" t="n">
        <v>0</v>
      </c>
      <c r="O614" s="183" t="n">
        <v>0</v>
      </c>
      <c r="P614" s="183" t="n">
        <v>0</v>
      </c>
      <c r="Q614" s="184" t="n">
        <v>0</v>
      </c>
      <c r="R614" s="184" t="n">
        <v>0</v>
      </c>
      <c r="S614" s="183" t="n">
        <v>0</v>
      </c>
      <c r="T614" s="183" t="n">
        <v>0</v>
      </c>
      <c r="U614" s="182" t="n">
        <v>0</v>
      </c>
      <c r="V614" s="182" t="n">
        <v>0</v>
      </c>
      <c r="W614" s="182" t="n">
        <v>0</v>
      </c>
      <c r="X614" s="182" t="n">
        <v>1</v>
      </c>
      <c r="Y614" s="182" t="n">
        <v>0</v>
      </c>
      <c r="Z614" s="182" t="n">
        <v>0</v>
      </c>
      <c r="AA614" s="182" t="n">
        <v>0</v>
      </c>
      <c r="AB614" s="182" t="n">
        <v>0</v>
      </c>
      <c r="AC614" s="182" t="n">
        <v>0</v>
      </c>
      <c r="AD614" s="182" t="n">
        <v>0</v>
      </c>
      <c r="AE614" s="182" t="n">
        <v>0</v>
      </c>
      <c r="AF614" s="182" t="n">
        <v>0</v>
      </c>
      <c r="AG614" s="182" t="n">
        <v>0</v>
      </c>
      <c r="AH614" s="182" t="n">
        <v>0</v>
      </c>
      <c r="AI614" s="182" t="n">
        <v>0</v>
      </c>
      <c r="AJ614" s="182" t="n">
        <v>0</v>
      </c>
      <c r="AK614" s="182" t="n">
        <v>10.92</v>
      </c>
      <c r="AL614" s="182" t="n">
        <v>0</v>
      </c>
      <c r="AM614" s="182" t="n">
        <v>0.08</v>
      </c>
      <c r="AN614" s="182" t="n">
        <v>0</v>
      </c>
    </row>
    <row r="615">
      <c r="A615" s="155" t="n">
        <v>46084</v>
      </c>
      <c r="B615" s="156" t="inlineStr">
        <is>
          <t>NS</t>
        </is>
      </c>
      <c r="C615" s="156" t="inlineStr">
        <is>
          <t>DT-807</t>
        </is>
      </c>
      <c r="D615" s="156" t="inlineStr">
        <is>
          <t>SKT 80S</t>
        </is>
      </c>
      <c r="E615" s="156" t="inlineStr">
        <is>
          <t>Hauler</t>
        </is>
      </c>
      <c r="F615" s="156" t="inlineStr"/>
      <c r="G615" s="182" t="n">
        <v>0</v>
      </c>
      <c r="H615" s="182" t="n">
        <v>0</v>
      </c>
      <c r="I615" s="182" t="n">
        <v>0</v>
      </c>
      <c r="J615" s="182" t="n">
        <v>0</v>
      </c>
      <c r="K615" s="182" t="n">
        <v>12</v>
      </c>
      <c r="L615" s="182" t="n">
        <v>12</v>
      </c>
      <c r="M615" s="182" t="n">
        <v>0</v>
      </c>
      <c r="N615" s="182" t="n">
        <v>0</v>
      </c>
      <c r="O615" s="183" t="n">
        <v>0</v>
      </c>
      <c r="P615" s="183" t="n">
        <v>0</v>
      </c>
      <c r="Q615" s="184" t="n">
        <v>0</v>
      </c>
      <c r="R615" s="184" t="n">
        <v>0</v>
      </c>
      <c r="S615" s="183" t="n">
        <v>0</v>
      </c>
      <c r="T615" s="183" t="n">
        <v>0</v>
      </c>
      <c r="U615" s="182" t="n">
        <v>0</v>
      </c>
      <c r="V615" s="182" t="n">
        <v>0</v>
      </c>
      <c r="W615" s="182" t="n">
        <v>0</v>
      </c>
      <c r="X615" s="182" t="n">
        <v>1</v>
      </c>
      <c r="Y615" s="182" t="n">
        <v>0</v>
      </c>
      <c r="Z615" s="182" t="n">
        <v>0</v>
      </c>
      <c r="AA615" s="182" t="n">
        <v>0</v>
      </c>
      <c r="AB615" s="182" t="n">
        <v>0</v>
      </c>
      <c r="AC615" s="182" t="n">
        <v>0</v>
      </c>
      <c r="AD615" s="182" t="n">
        <v>0</v>
      </c>
      <c r="AE615" s="182" t="n">
        <v>0</v>
      </c>
      <c r="AF615" s="182" t="n">
        <v>0</v>
      </c>
      <c r="AG615" s="182" t="n">
        <v>0</v>
      </c>
      <c r="AH615" s="182" t="n">
        <v>0</v>
      </c>
      <c r="AI615" s="182" t="n">
        <v>0</v>
      </c>
      <c r="AJ615" s="182" t="n">
        <v>0</v>
      </c>
      <c r="AK615" s="182" t="n">
        <v>10.92</v>
      </c>
      <c r="AL615" s="182" t="n">
        <v>0</v>
      </c>
      <c r="AM615" s="182" t="n">
        <v>0.08</v>
      </c>
      <c r="AN615" s="182" t="n">
        <v>0</v>
      </c>
    </row>
    <row r="616">
      <c r="A616" s="155" t="n">
        <v>46084</v>
      </c>
      <c r="B616" s="156" t="inlineStr">
        <is>
          <t>NS</t>
        </is>
      </c>
      <c r="C616" s="156" t="inlineStr">
        <is>
          <t>DT-812</t>
        </is>
      </c>
      <c r="D616" s="156" t="inlineStr">
        <is>
          <t>SKT 80S</t>
        </is>
      </c>
      <c r="E616" s="156" t="inlineStr">
        <is>
          <t>Hauler</t>
        </is>
      </c>
      <c r="F616" s="156" t="inlineStr"/>
      <c r="G616" s="182" t="n">
        <v>0</v>
      </c>
      <c r="H616" s="182" t="n">
        <v>0</v>
      </c>
      <c r="I616" s="182" t="n">
        <v>0</v>
      </c>
      <c r="J616" s="182" t="n">
        <v>0</v>
      </c>
      <c r="K616" s="182" t="n">
        <v>12</v>
      </c>
      <c r="L616" s="182" t="n">
        <v>12</v>
      </c>
      <c r="M616" s="182" t="n">
        <v>0</v>
      </c>
      <c r="N616" s="182" t="n">
        <v>0</v>
      </c>
      <c r="O616" s="183" t="n">
        <v>0</v>
      </c>
      <c r="P616" s="183" t="n">
        <v>0</v>
      </c>
      <c r="Q616" s="184" t="n">
        <v>0</v>
      </c>
      <c r="R616" s="184" t="n">
        <v>0</v>
      </c>
      <c r="S616" s="183" t="n">
        <v>0</v>
      </c>
      <c r="T616" s="183" t="n">
        <v>0</v>
      </c>
      <c r="U616" s="182" t="n">
        <v>0</v>
      </c>
      <c r="V616" s="182" t="n">
        <v>0</v>
      </c>
      <c r="W616" s="182" t="n">
        <v>0</v>
      </c>
      <c r="X616" s="182" t="n">
        <v>1</v>
      </c>
      <c r="Y616" s="182" t="n">
        <v>0</v>
      </c>
      <c r="Z616" s="182" t="n">
        <v>0</v>
      </c>
      <c r="AA616" s="182" t="n">
        <v>0</v>
      </c>
      <c r="AB616" s="182" t="n">
        <v>0</v>
      </c>
      <c r="AC616" s="182" t="n">
        <v>0</v>
      </c>
      <c r="AD616" s="182" t="n">
        <v>0</v>
      </c>
      <c r="AE616" s="182" t="n">
        <v>0</v>
      </c>
      <c r="AF616" s="182" t="n">
        <v>0</v>
      </c>
      <c r="AG616" s="182" t="n">
        <v>0</v>
      </c>
      <c r="AH616" s="182" t="n">
        <v>0</v>
      </c>
      <c r="AI616" s="182" t="n">
        <v>0</v>
      </c>
      <c r="AJ616" s="182" t="n">
        <v>0</v>
      </c>
      <c r="AK616" s="182" t="n">
        <v>10.92</v>
      </c>
      <c r="AL616" s="182" t="n">
        <v>0</v>
      </c>
      <c r="AM616" s="182" t="n">
        <v>0.08</v>
      </c>
      <c r="AN616" s="182" t="n">
        <v>0</v>
      </c>
    </row>
    <row r="617">
      <c r="A617" s="155" t="n">
        <v>46084</v>
      </c>
      <c r="B617" s="156" t="inlineStr">
        <is>
          <t>NS</t>
        </is>
      </c>
      <c r="C617" s="156" t="inlineStr">
        <is>
          <t>DT-803</t>
        </is>
      </c>
      <c r="D617" s="156" t="inlineStr">
        <is>
          <t>SKT 80S</t>
        </is>
      </c>
      <c r="E617" s="156" t="inlineStr">
        <is>
          <t>Hauler</t>
        </is>
      </c>
      <c r="F617" s="156" t="inlineStr"/>
      <c r="G617" s="182" t="n">
        <v>0</v>
      </c>
      <c r="H617" s="182" t="n">
        <v>0</v>
      </c>
      <c r="I617" s="182" t="n">
        <v>0</v>
      </c>
      <c r="J617" s="182" t="n">
        <v>0</v>
      </c>
      <c r="K617" s="182" t="n">
        <v>12</v>
      </c>
      <c r="L617" s="182" t="n">
        <v>12</v>
      </c>
      <c r="M617" s="182" t="n">
        <v>0</v>
      </c>
      <c r="N617" s="182" t="n">
        <v>0</v>
      </c>
      <c r="O617" s="183" t="n">
        <v>0</v>
      </c>
      <c r="P617" s="183" t="n">
        <v>0</v>
      </c>
      <c r="Q617" s="184" t="n">
        <v>0</v>
      </c>
      <c r="R617" s="184" t="n">
        <v>0</v>
      </c>
      <c r="S617" s="183" t="n">
        <v>0</v>
      </c>
      <c r="T617" s="183" t="n">
        <v>0</v>
      </c>
      <c r="U617" s="182" t="n">
        <v>0</v>
      </c>
      <c r="V617" s="182" t="n">
        <v>0</v>
      </c>
      <c r="W617" s="182" t="n">
        <v>0</v>
      </c>
      <c r="X617" s="182" t="n">
        <v>1</v>
      </c>
      <c r="Y617" s="182" t="n">
        <v>0</v>
      </c>
      <c r="Z617" s="182" t="n">
        <v>0</v>
      </c>
      <c r="AA617" s="182" t="n">
        <v>0</v>
      </c>
      <c r="AB617" s="182" t="n">
        <v>0</v>
      </c>
      <c r="AC617" s="182" t="n">
        <v>0</v>
      </c>
      <c r="AD617" s="182" t="n">
        <v>0</v>
      </c>
      <c r="AE617" s="182" t="n">
        <v>0</v>
      </c>
      <c r="AF617" s="182" t="n">
        <v>0</v>
      </c>
      <c r="AG617" s="182" t="n">
        <v>0</v>
      </c>
      <c r="AH617" s="182" t="n">
        <v>0</v>
      </c>
      <c r="AI617" s="182" t="n">
        <v>0</v>
      </c>
      <c r="AJ617" s="182" t="n">
        <v>0</v>
      </c>
      <c r="AK617" s="182" t="n">
        <v>10.92</v>
      </c>
      <c r="AL617" s="182" t="n">
        <v>0</v>
      </c>
      <c r="AM617" s="182" t="n">
        <v>0.08</v>
      </c>
      <c r="AN617" s="182" t="n">
        <v>0</v>
      </c>
    </row>
    <row r="618">
      <c r="A618" s="155" t="n">
        <v>46084</v>
      </c>
      <c r="B618" s="156" t="inlineStr">
        <is>
          <t>NS</t>
        </is>
      </c>
      <c r="C618" s="156" t="inlineStr">
        <is>
          <t>DT-810</t>
        </is>
      </c>
      <c r="D618" s="156" t="inlineStr">
        <is>
          <t>SKT 80S</t>
        </is>
      </c>
      <c r="E618" s="156" t="inlineStr">
        <is>
          <t>Hauler</t>
        </is>
      </c>
      <c r="F618" s="156" t="inlineStr"/>
      <c r="G618" s="182" t="n">
        <v>0</v>
      </c>
      <c r="H618" s="182" t="n">
        <v>0</v>
      </c>
      <c r="I618" s="182" t="n">
        <v>0</v>
      </c>
      <c r="J618" s="182" t="n">
        <v>0</v>
      </c>
      <c r="K618" s="182" t="n">
        <v>12</v>
      </c>
      <c r="L618" s="182" t="n">
        <v>12</v>
      </c>
      <c r="M618" s="182" t="n">
        <v>0</v>
      </c>
      <c r="N618" s="182" t="n">
        <v>0</v>
      </c>
      <c r="O618" s="183" t="n">
        <v>0</v>
      </c>
      <c r="P618" s="183" t="n">
        <v>0</v>
      </c>
      <c r="Q618" s="184" t="n">
        <v>0</v>
      </c>
      <c r="R618" s="184" t="n">
        <v>0</v>
      </c>
      <c r="S618" s="183" t="n">
        <v>0</v>
      </c>
      <c r="T618" s="183" t="n">
        <v>0</v>
      </c>
      <c r="U618" s="182" t="n">
        <v>0</v>
      </c>
      <c r="V618" s="182" t="n">
        <v>0</v>
      </c>
      <c r="W618" s="182" t="n">
        <v>0</v>
      </c>
      <c r="X618" s="182" t="n">
        <v>1</v>
      </c>
      <c r="Y618" s="182" t="n">
        <v>0</v>
      </c>
      <c r="Z618" s="182" t="n">
        <v>0</v>
      </c>
      <c r="AA618" s="182" t="n">
        <v>0</v>
      </c>
      <c r="AB618" s="182" t="n">
        <v>0</v>
      </c>
      <c r="AC618" s="182" t="n">
        <v>0</v>
      </c>
      <c r="AD618" s="182" t="n">
        <v>0</v>
      </c>
      <c r="AE618" s="182" t="n">
        <v>0</v>
      </c>
      <c r="AF618" s="182" t="n">
        <v>0</v>
      </c>
      <c r="AG618" s="182" t="n">
        <v>0</v>
      </c>
      <c r="AH618" s="182" t="n">
        <v>0</v>
      </c>
      <c r="AI618" s="182" t="n">
        <v>0</v>
      </c>
      <c r="AJ618" s="182" t="n">
        <v>0</v>
      </c>
      <c r="AK618" s="182" t="n">
        <v>10.92</v>
      </c>
      <c r="AL618" s="182" t="n">
        <v>0</v>
      </c>
      <c r="AM618" s="182" t="n">
        <v>0.08</v>
      </c>
      <c r="AN618" s="182" t="n">
        <v>0</v>
      </c>
    </row>
    <row r="619">
      <c r="A619" s="155" t="n">
        <v>46084</v>
      </c>
      <c r="B619" s="156" t="inlineStr">
        <is>
          <t>NS</t>
        </is>
      </c>
      <c r="C619" s="156" t="inlineStr">
        <is>
          <t>DT-804</t>
        </is>
      </c>
      <c r="D619" s="156" t="inlineStr">
        <is>
          <t>SKT 80S</t>
        </is>
      </c>
      <c r="E619" s="156" t="inlineStr">
        <is>
          <t>Hauler</t>
        </is>
      </c>
      <c r="F619" s="156" t="inlineStr"/>
      <c r="G619" s="182" t="n">
        <v>0</v>
      </c>
      <c r="H619" s="182" t="n">
        <v>0</v>
      </c>
      <c r="I619" s="182" t="n">
        <v>0</v>
      </c>
      <c r="J619" s="182" t="n">
        <v>0</v>
      </c>
      <c r="K619" s="182" t="n">
        <v>12</v>
      </c>
      <c r="L619" s="182" t="n">
        <v>12</v>
      </c>
      <c r="M619" s="182" t="n">
        <v>0</v>
      </c>
      <c r="N619" s="182" t="n">
        <v>0</v>
      </c>
      <c r="O619" s="183" t="n">
        <v>0</v>
      </c>
      <c r="P619" s="183" t="n">
        <v>0</v>
      </c>
      <c r="Q619" s="184" t="n">
        <v>0</v>
      </c>
      <c r="R619" s="184" t="n">
        <v>0</v>
      </c>
      <c r="S619" s="183" t="n">
        <v>0</v>
      </c>
      <c r="T619" s="183" t="n">
        <v>0</v>
      </c>
      <c r="U619" s="182" t="n">
        <v>0</v>
      </c>
      <c r="V619" s="182" t="n">
        <v>0</v>
      </c>
      <c r="W619" s="182" t="n">
        <v>0</v>
      </c>
      <c r="X619" s="182" t="n">
        <v>1</v>
      </c>
      <c r="Y619" s="182" t="n">
        <v>0</v>
      </c>
      <c r="Z619" s="182" t="n">
        <v>0</v>
      </c>
      <c r="AA619" s="182" t="n">
        <v>0</v>
      </c>
      <c r="AB619" s="182" t="n">
        <v>0</v>
      </c>
      <c r="AC619" s="182" t="n">
        <v>0</v>
      </c>
      <c r="AD619" s="182" t="n">
        <v>0</v>
      </c>
      <c r="AE619" s="182" t="n">
        <v>0</v>
      </c>
      <c r="AF619" s="182" t="n">
        <v>0</v>
      </c>
      <c r="AG619" s="182" t="n">
        <v>0</v>
      </c>
      <c r="AH619" s="182" t="n">
        <v>0</v>
      </c>
      <c r="AI619" s="182" t="n">
        <v>0</v>
      </c>
      <c r="AJ619" s="182" t="n">
        <v>0</v>
      </c>
      <c r="AK619" s="182" t="n">
        <v>10.92</v>
      </c>
      <c r="AL619" s="182" t="n">
        <v>0</v>
      </c>
      <c r="AM619" s="182" t="n">
        <v>0.08</v>
      </c>
      <c r="AN619" s="182" t="n">
        <v>0</v>
      </c>
    </row>
    <row r="620">
      <c r="A620" s="155" t="n">
        <v>46084</v>
      </c>
      <c r="B620" s="156" t="inlineStr">
        <is>
          <t>NS</t>
        </is>
      </c>
      <c r="C620" s="156" t="inlineStr">
        <is>
          <t>DT-505</t>
        </is>
      </c>
      <c r="D620" s="156" t="inlineStr">
        <is>
          <t>SKT 105S</t>
        </is>
      </c>
      <c r="E620" s="156" t="inlineStr">
        <is>
          <t>Hauler</t>
        </is>
      </c>
      <c r="F620" s="156" t="inlineStr"/>
      <c r="G620" s="182" t="n">
        <v>0</v>
      </c>
      <c r="H620" s="182" t="n">
        <v>0</v>
      </c>
      <c r="I620" s="182" t="n">
        <v>0</v>
      </c>
      <c r="J620" s="182" t="n">
        <v>0</v>
      </c>
      <c r="K620" s="182" t="n">
        <v>12</v>
      </c>
      <c r="L620" s="182" t="n">
        <v>12</v>
      </c>
      <c r="M620" s="182" t="n">
        <v>0</v>
      </c>
      <c r="N620" s="182" t="n">
        <v>0</v>
      </c>
      <c r="O620" s="183" t="n">
        <v>0</v>
      </c>
      <c r="P620" s="183" t="n">
        <v>0</v>
      </c>
      <c r="Q620" s="184" t="n">
        <v>0</v>
      </c>
      <c r="R620" s="184" t="n">
        <v>0</v>
      </c>
      <c r="S620" s="183" t="n">
        <v>0</v>
      </c>
      <c r="T620" s="183" t="n">
        <v>0</v>
      </c>
      <c r="U620" s="182" t="n">
        <v>11.33</v>
      </c>
      <c r="V620" s="182" t="n">
        <v>0.59</v>
      </c>
      <c r="W620" s="182" t="n">
        <v>0</v>
      </c>
      <c r="X620" s="182" t="n">
        <v>0</v>
      </c>
      <c r="Y620" s="182" t="n">
        <v>0</v>
      </c>
      <c r="Z620" s="182" t="n">
        <v>0</v>
      </c>
      <c r="AA620" s="182" t="n">
        <v>0</v>
      </c>
      <c r="AB620" s="182" t="n">
        <v>0</v>
      </c>
      <c r="AC620" s="182" t="n">
        <v>0</v>
      </c>
      <c r="AD620" s="182" t="n">
        <v>0</v>
      </c>
      <c r="AE620" s="182" t="n">
        <v>0</v>
      </c>
      <c r="AF620" s="182" t="n">
        <v>0</v>
      </c>
      <c r="AG620" s="182" t="n">
        <v>0</v>
      </c>
      <c r="AH620" s="182" t="n">
        <v>0</v>
      </c>
      <c r="AI620" s="182" t="n">
        <v>0</v>
      </c>
      <c r="AJ620" s="182" t="n">
        <v>0</v>
      </c>
      <c r="AK620" s="182" t="n">
        <v>0</v>
      </c>
      <c r="AL620" s="182" t="n">
        <v>0</v>
      </c>
      <c r="AM620" s="182" t="n">
        <v>0.08</v>
      </c>
      <c r="AN620" s="182" t="n">
        <v>0</v>
      </c>
    </row>
    <row r="621">
      <c r="A621" s="155" t="n">
        <v>46084</v>
      </c>
      <c r="B621" s="156" t="inlineStr">
        <is>
          <t>NS</t>
        </is>
      </c>
      <c r="C621" s="156" t="inlineStr">
        <is>
          <t>DT-530</t>
        </is>
      </c>
      <c r="D621" s="156" t="inlineStr">
        <is>
          <t>SKT 105S</t>
        </is>
      </c>
      <c r="E621" s="156" t="inlineStr">
        <is>
          <t>Hauler</t>
        </is>
      </c>
      <c r="F621" s="156" t="inlineStr"/>
      <c r="G621" s="182" t="n">
        <v>0</v>
      </c>
      <c r="H621" s="182" t="n">
        <v>0</v>
      </c>
      <c r="I621" s="182" t="n">
        <v>12</v>
      </c>
      <c r="J621" s="182" t="n">
        <v>12</v>
      </c>
      <c r="K621" s="182" t="n">
        <v>0</v>
      </c>
      <c r="L621" s="182" t="n">
        <v>12</v>
      </c>
      <c r="M621" s="182" t="n">
        <v>0</v>
      </c>
      <c r="N621" s="182" t="n">
        <v>0</v>
      </c>
      <c r="O621" s="183" t="n">
        <v>0</v>
      </c>
      <c r="P621" s="183" t="n">
        <v>0</v>
      </c>
      <c r="Q621" s="184" t="n">
        <v>0</v>
      </c>
      <c r="R621" s="184" t="n">
        <v>0</v>
      </c>
      <c r="S621" s="183" t="n">
        <v>0</v>
      </c>
      <c r="T621" s="183" t="n">
        <v>0</v>
      </c>
      <c r="U621" s="182" t="n">
        <v>0</v>
      </c>
      <c r="V621" s="182" t="n">
        <v>0</v>
      </c>
      <c r="W621" s="182" t="n">
        <v>0</v>
      </c>
      <c r="X621" s="182" t="n">
        <v>0</v>
      </c>
      <c r="Y621" s="182" t="n">
        <v>0</v>
      </c>
      <c r="Z621" s="182" t="n">
        <v>0</v>
      </c>
      <c r="AA621" s="182" t="n">
        <v>0</v>
      </c>
      <c r="AB621" s="182" t="n">
        <v>0</v>
      </c>
      <c r="AC621" s="182" t="n">
        <v>0</v>
      </c>
      <c r="AD621" s="182" t="n">
        <v>0</v>
      </c>
      <c r="AE621" s="182" t="n">
        <v>0</v>
      </c>
      <c r="AF621" s="182" t="n">
        <v>0</v>
      </c>
      <c r="AG621" s="182" t="n">
        <v>0</v>
      </c>
      <c r="AH621" s="182" t="n">
        <v>0</v>
      </c>
      <c r="AI621" s="182" t="n">
        <v>0</v>
      </c>
      <c r="AJ621" s="182" t="n">
        <v>0</v>
      </c>
      <c r="AK621" s="182" t="n">
        <v>0</v>
      </c>
      <c r="AL621" s="182" t="n">
        <v>0</v>
      </c>
      <c r="AM621" s="182" t="n">
        <v>0</v>
      </c>
      <c r="AN621" s="182" t="n">
        <v>0</v>
      </c>
    </row>
    <row r="622">
      <c r="A622" s="155" t="n">
        <v>46084</v>
      </c>
      <c r="B622" s="156" t="inlineStr">
        <is>
          <t>NS</t>
        </is>
      </c>
      <c r="C622" s="156" t="inlineStr">
        <is>
          <t>DT-525</t>
        </is>
      </c>
      <c r="D622" s="156" t="inlineStr">
        <is>
          <t>SKT 105S</t>
        </is>
      </c>
      <c r="E622" s="156" t="inlineStr">
        <is>
          <t>Hauler</t>
        </is>
      </c>
      <c r="F622" s="156" t="inlineStr"/>
      <c r="G622" s="182" t="n">
        <v>0</v>
      </c>
      <c r="H622" s="182" t="n">
        <v>0</v>
      </c>
      <c r="I622" s="182" t="n">
        <v>12</v>
      </c>
      <c r="J622" s="182" t="n">
        <v>12</v>
      </c>
      <c r="K622" s="182" t="n">
        <v>0</v>
      </c>
      <c r="L622" s="182" t="n">
        <v>12</v>
      </c>
      <c r="M622" s="182" t="n">
        <v>0</v>
      </c>
      <c r="N622" s="182" t="n">
        <v>0</v>
      </c>
      <c r="O622" s="183" t="n">
        <v>0</v>
      </c>
      <c r="P622" s="183" t="n">
        <v>0</v>
      </c>
      <c r="Q622" s="184" t="n">
        <v>0</v>
      </c>
      <c r="R622" s="184" t="n">
        <v>0</v>
      </c>
      <c r="S622" s="183" t="n">
        <v>0</v>
      </c>
      <c r="T622" s="183" t="n">
        <v>0</v>
      </c>
      <c r="U622" s="182" t="n">
        <v>0</v>
      </c>
      <c r="V622" s="182" t="n">
        <v>0</v>
      </c>
      <c r="W622" s="182" t="n">
        <v>0</v>
      </c>
      <c r="X622" s="182" t="n">
        <v>0</v>
      </c>
      <c r="Y622" s="182" t="n">
        <v>0</v>
      </c>
      <c r="Z622" s="182" t="n">
        <v>0</v>
      </c>
      <c r="AA622" s="182" t="n">
        <v>0</v>
      </c>
      <c r="AB622" s="182" t="n">
        <v>0</v>
      </c>
      <c r="AC622" s="182" t="n">
        <v>0</v>
      </c>
      <c r="AD622" s="182" t="n">
        <v>0</v>
      </c>
      <c r="AE622" s="182" t="n">
        <v>0</v>
      </c>
      <c r="AF622" s="182" t="n">
        <v>0</v>
      </c>
      <c r="AG622" s="182" t="n">
        <v>0</v>
      </c>
      <c r="AH622" s="182" t="n">
        <v>0</v>
      </c>
      <c r="AI622" s="182" t="n">
        <v>0</v>
      </c>
      <c r="AJ622" s="182" t="n">
        <v>0</v>
      </c>
      <c r="AK622" s="182" t="n">
        <v>0</v>
      </c>
      <c r="AL622" s="182" t="n">
        <v>0</v>
      </c>
      <c r="AM622" s="182" t="n">
        <v>0</v>
      </c>
      <c r="AN622" s="182" t="n">
        <v>0</v>
      </c>
    </row>
    <row r="623">
      <c r="A623" s="155" t="n">
        <v>46084</v>
      </c>
      <c r="B623" s="156" t="inlineStr">
        <is>
          <t>NS</t>
        </is>
      </c>
      <c r="C623" s="156" t="inlineStr">
        <is>
          <t>DT-503</t>
        </is>
      </c>
      <c r="D623" s="156" t="inlineStr">
        <is>
          <t>SKT 105S</t>
        </is>
      </c>
      <c r="E623" s="156" t="inlineStr">
        <is>
          <t>Hauler</t>
        </is>
      </c>
      <c r="F623" s="156" t="inlineStr"/>
      <c r="G623" s="182" t="n">
        <v>0</v>
      </c>
      <c r="H623" s="182" t="n">
        <v>0</v>
      </c>
      <c r="I623" s="182" t="n">
        <v>0</v>
      </c>
      <c r="J623" s="182" t="n">
        <v>0</v>
      </c>
      <c r="K623" s="182" t="n">
        <v>12</v>
      </c>
      <c r="L623" s="182" t="n">
        <v>12</v>
      </c>
      <c r="M623" s="182" t="n">
        <v>0</v>
      </c>
      <c r="N623" s="182" t="n">
        <v>0</v>
      </c>
      <c r="O623" s="183" t="n">
        <v>0</v>
      </c>
      <c r="P623" s="183" t="n">
        <v>0</v>
      </c>
      <c r="Q623" s="184" t="n">
        <v>0</v>
      </c>
      <c r="R623" s="184" t="n">
        <v>0</v>
      </c>
      <c r="S623" s="183" t="n">
        <v>0</v>
      </c>
      <c r="T623" s="183" t="n">
        <v>0</v>
      </c>
      <c r="U623" s="182" t="n">
        <v>11.33</v>
      </c>
      <c r="V623" s="182" t="n">
        <v>0.59</v>
      </c>
      <c r="W623" s="182" t="n">
        <v>0</v>
      </c>
      <c r="X623" s="182" t="n">
        <v>0</v>
      </c>
      <c r="Y623" s="182" t="n">
        <v>0</v>
      </c>
      <c r="Z623" s="182" t="n">
        <v>0</v>
      </c>
      <c r="AA623" s="182" t="n">
        <v>0</v>
      </c>
      <c r="AB623" s="182" t="n">
        <v>0</v>
      </c>
      <c r="AC623" s="182" t="n">
        <v>0</v>
      </c>
      <c r="AD623" s="182" t="n">
        <v>0</v>
      </c>
      <c r="AE623" s="182" t="n">
        <v>0</v>
      </c>
      <c r="AF623" s="182" t="n">
        <v>0</v>
      </c>
      <c r="AG623" s="182" t="n">
        <v>0</v>
      </c>
      <c r="AH623" s="182" t="n">
        <v>0</v>
      </c>
      <c r="AI623" s="182" t="n">
        <v>0</v>
      </c>
      <c r="AJ623" s="182" t="n">
        <v>0</v>
      </c>
      <c r="AK623" s="182" t="n">
        <v>0</v>
      </c>
      <c r="AL623" s="182" t="n">
        <v>0</v>
      </c>
      <c r="AM623" s="182" t="n">
        <v>0.08</v>
      </c>
      <c r="AN623" s="182" t="n">
        <v>0</v>
      </c>
    </row>
    <row r="624">
      <c r="A624" s="155" t="n">
        <v>46084</v>
      </c>
      <c r="B624" s="156" t="inlineStr">
        <is>
          <t>NS</t>
        </is>
      </c>
      <c r="C624" s="156" t="inlineStr">
        <is>
          <t>DT-504</t>
        </is>
      </c>
      <c r="D624" s="156" t="inlineStr">
        <is>
          <t>SKT 105S</t>
        </is>
      </c>
      <c r="E624" s="156" t="inlineStr">
        <is>
          <t>Hauler</t>
        </is>
      </c>
      <c r="F624" s="156" t="inlineStr"/>
      <c r="G624" s="182" t="n">
        <v>0</v>
      </c>
      <c r="H624" s="182" t="n">
        <v>0</v>
      </c>
      <c r="I624" s="182" t="n">
        <v>0</v>
      </c>
      <c r="J624" s="182" t="n">
        <v>0</v>
      </c>
      <c r="K624" s="182" t="n">
        <v>12</v>
      </c>
      <c r="L624" s="182" t="n">
        <v>12</v>
      </c>
      <c r="M624" s="182" t="n">
        <v>0</v>
      </c>
      <c r="N624" s="182" t="n">
        <v>0</v>
      </c>
      <c r="O624" s="183" t="n">
        <v>0</v>
      </c>
      <c r="P624" s="183" t="n">
        <v>0</v>
      </c>
      <c r="Q624" s="184" t="n">
        <v>0</v>
      </c>
      <c r="R624" s="184" t="n">
        <v>0</v>
      </c>
      <c r="S624" s="183" t="n">
        <v>0</v>
      </c>
      <c r="T624" s="183" t="n">
        <v>0</v>
      </c>
      <c r="U624" s="182" t="n">
        <v>11.33</v>
      </c>
      <c r="V624" s="182" t="n">
        <v>0.59</v>
      </c>
      <c r="W624" s="182" t="n">
        <v>0</v>
      </c>
      <c r="X624" s="182" t="n">
        <v>0</v>
      </c>
      <c r="Y624" s="182" t="n">
        <v>0</v>
      </c>
      <c r="Z624" s="182" t="n">
        <v>0</v>
      </c>
      <c r="AA624" s="182" t="n">
        <v>0</v>
      </c>
      <c r="AB624" s="182" t="n">
        <v>0</v>
      </c>
      <c r="AC624" s="182" t="n">
        <v>0</v>
      </c>
      <c r="AD624" s="182" t="n">
        <v>0</v>
      </c>
      <c r="AE624" s="182" t="n">
        <v>0</v>
      </c>
      <c r="AF624" s="182" t="n">
        <v>0</v>
      </c>
      <c r="AG624" s="182" t="n">
        <v>0</v>
      </c>
      <c r="AH624" s="182" t="n">
        <v>0</v>
      </c>
      <c r="AI624" s="182" t="n">
        <v>0</v>
      </c>
      <c r="AJ624" s="182" t="n">
        <v>0</v>
      </c>
      <c r="AK624" s="182" t="n">
        <v>0</v>
      </c>
      <c r="AL624" s="182" t="n">
        <v>0</v>
      </c>
      <c r="AM624" s="182" t="n">
        <v>0.08</v>
      </c>
      <c r="AN624" s="182" t="n">
        <v>0</v>
      </c>
    </row>
    <row r="625">
      <c r="A625" s="155" t="n">
        <v>46084</v>
      </c>
      <c r="B625" s="156" t="inlineStr">
        <is>
          <t>NS</t>
        </is>
      </c>
      <c r="C625" s="156" t="inlineStr">
        <is>
          <t>DT-507</t>
        </is>
      </c>
      <c r="D625" s="156" t="inlineStr">
        <is>
          <t>SKT 105S</t>
        </is>
      </c>
      <c r="E625" s="156" t="inlineStr">
        <is>
          <t>Hauler</t>
        </is>
      </c>
      <c r="F625" s="156" t="inlineStr"/>
      <c r="G625" s="182" t="n">
        <v>0</v>
      </c>
      <c r="H625" s="182" t="n">
        <v>0</v>
      </c>
      <c r="I625" s="182" t="n">
        <v>12</v>
      </c>
      <c r="J625" s="182" t="n">
        <v>12</v>
      </c>
      <c r="K625" s="182" t="n">
        <v>0</v>
      </c>
      <c r="L625" s="182" t="n">
        <v>12</v>
      </c>
      <c r="M625" s="182" t="n">
        <v>0</v>
      </c>
      <c r="N625" s="182" t="n">
        <v>0</v>
      </c>
      <c r="O625" s="183" t="n">
        <v>0</v>
      </c>
      <c r="P625" s="183" t="n">
        <v>0</v>
      </c>
      <c r="Q625" s="184" t="n">
        <v>0</v>
      </c>
      <c r="R625" s="184" t="n">
        <v>0</v>
      </c>
      <c r="S625" s="183" t="n">
        <v>0</v>
      </c>
      <c r="T625" s="183" t="n">
        <v>0</v>
      </c>
      <c r="U625" s="182" t="n">
        <v>0</v>
      </c>
      <c r="V625" s="182" t="n">
        <v>0</v>
      </c>
      <c r="W625" s="182" t="n">
        <v>0</v>
      </c>
      <c r="X625" s="182" t="n">
        <v>0</v>
      </c>
      <c r="Y625" s="182" t="n">
        <v>0</v>
      </c>
      <c r="Z625" s="182" t="n">
        <v>0</v>
      </c>
      <c r="AA625" s="182" t="n">
        <v>0</v>
      </c>
      <c r="AB625" s="182" t="n">
        <v>0</v>
      </c>
      <c r="AC625" s="182" t="n">
        <v>0</v>
      </c>
      <c r="AD625" s="182" t="n">
        <v>0</v>
      </c>
      <c r="AE625" s="182" t="n">
        <v>0</v>
      </c>
      <c r="AF625" s="182" t="n">
        <v>0</v>
      </c>
      <c r="AG625" s="182" t="n">
        <v>0</v>
      </c>
      <c r="AH625" s="182" t="n">
        <v>0</v>
      </c>
      <c r="AI625" s="182" t="n">
        <v>0</v>
      </c>
      <c r="AJ625" s="182" t="n">
        <v>0</v>
      </c>
      <c r="AK625" s="182" t="n">
        <v>0</v>
      </c>
      <c r="AL625" s="182" t="n">
        <v>0</v>
      </c>
      <c r="AM625" s="182" t="n">
        <v>0</v>
      </c>
      <c r="AN625" s="182" t="n">
        <v>0</v>
      </c>
    </row>
    <row r="626">
      <c r="A626" s="155" t="n">
        <v>46084</v>
      </c>
      <c r="B626" s="156" t="inlineStr">
        <is>
          <t>NS</t>
        </is>
      </c>
      <c r="C626" s="156" t="inlineStr">
        <is>
          <t>DT-501</t>
        </is>
      </c>
      <c r="D626" s="156" t="inlineStr">
        <is>
          <t>SKT 105S</t>
        </is>
      </c>
      <c r="E626" s="156" t="inlineStr">
        <is>
          <t>Hauler</t>
        </is>
      </c>
      <c r="F626" s="156" t="inlineStr"/>
      <c r="G626" s="182" t="n">
        <v>0</v>
      </c>
      <c r="H626" s="182" t="n">
        <v>0</v>
      </c>
      <c r="I626" s="182" t="n">
        <v>0</v>
      </c>
      <c r="J626" s="182" t="n">
        <v>0</v>
      </c>
      <c r="K626" s="182" t="n">
        <v>12</v>
      </c>
      <c r="L626" s="182" t="n">
        <v>12</v>
      </c>
      <c r="M626" s="182" t="n">
        <v>0</v>
      </c>
      <c r="N626" s="182" t="n">
        <v>0</v>
      </c>
      <c r="O626" s="183" t="n">
        <v>0</v>
      </c>
      <c r="P626" s="183" t="n">
        <v>0</v>
      </c>
      <c r="Q626" s="184" t="n">
        <v>0</v>
      </c>
      <c r="R626" s="184" t="n">
        <v>0</v>
      </c>
      <c r="S626" s="183" t="n">
        <v>0</v>
      </c>
      <c r="T626" s="183" t="n">
        <v>0</v>
      </c>
      <c r="U626" s="182" t="n">
        <v>11.33</v>
      </c>
      <c r="V626" s="182" t="n">
        <v>0.59</v>
      </c>
      <c r="W626" s="182" t="n">
        <v>0</v>
      </c>
      <c r="X626" s="182" t="n">
        <v>0</v>
      </c>
      <c r="Y626" s="182" t="n">
        <v>0</v>
      </c>
      <c r="Z626" s="182" t="n">
        <v>0</v>
      </c>
      <c r="AA626" s="182" t="n">
        <v>0</v>
      </c>
      <c r="AB626" s="182" t="n">
        <v>0</v>
      </c>
      <c r="AC626" s="182" t="n">
        <v>0</v>
      </c>
      <c r="AD626" s="182" t="n">
        <v>0</v>
      </c>
      <c r="AE626" s="182" t="n">
        <v>0</v>
      </c>
      <c r="AF626" s="182" t="n">
        <v>0</v>
      </c>
      <c r="AG626" s="182" t="n">
        <v>0</v>
      </c>
      <c r="AH626" s="182" t="n">
        <v>0</v>
      </c>
      <c r="AI626" s="182" t="n">
        <v>0</v>
      </c>
      <c r="AJ626" s="182" t="n">
        <v>0</v>
      </c>
      <c r="AK626" s="182" t="n">
        <v>0</v>
      </c>
      <c r="AL626" s="182" t="n">
        <v>0</v>
      </c>
      <c r="AM626" s="182" t="n">
        <v>0.08</v>
      </c>
      <c r="AN626" s="182" t="n">
        <v>0</v>
      </c>
    </row>
    <row r="627">
      <c r="A627" s="155" t="n">
        <v>46084</v>
      </c>
      <c r="B627" s="156" t="inlineStr">
        <is>
          <t>NS</t>
        </is>
      </c>
      <c r="C627" s="156" t="inlineStr">
        <is>
          <t>DT-518</t>
        </is>
      </c>
      <c r="D627" s="156" t="inlineStr">
        <is>
          <t>SKT 105S</t>
        </is>
      </c>
      <c r="E627" s="156" t="inlineStr">
        <is>
          <t>Hauler</t>
        </is>
      </c>
      <c r="F627" s="156" t="inlineStr"/>
      <c r="G627" s="182" t="n">
        <v>0</v>
      </c>
      <c r="H627" s="182" t="n">
        <v>0</v>
      </c>
      <c r="I627" s="182" t="n">
        <v>0</v>
      </c>
      <c r="J627" s="182" t="n">
        <v>0</v>
      </c>
      <c r="K627" s="182" t="n">
        <v>12</v>
      </c>
      <c r="L627" s="182" t="n">
        <v>12</v>
      </c>
      <c r="M627" s="182" t="n">
        <v>0</v>
      </c>
      <c r="N627" s="182" t="n">
        <v>0</v>
      </c>
      <c r="O627" s="183" t="n">
        <v>0</v>
      </c>
      <c r="P627" s="183" t="n">
        <v>0</v>
      </c>
      <c r="Q627" s="184" t="n">
        <v>0</v>
      </c>
      <c r="R627" s="184" t="n">
        <v>0</v>
      </c>
      <c r="S627" s="183" t="n">
        <v>0</v>
      </c>
      <c r="T627" s="183" t="n">
        <v>0</v>
      </c>
      <c r="U627" s="182" t="n">
        <v>11.33</v>
      </c>
      <c r="V627" s="182" t="n">
        <v>0.59</v>
      </c>
      <c r="W627" s="182" t="n">
        <v>0</v>
      </c>
      <c r="X627" s="182" t="n">
        <v>0</v>
      </c>
      <c r="Y627" s="182" t="n">
        <v>0</v>
      </c>
      <c r="Z627" s="182" t="n">
        <v>0</v>
      </c>
      <c r="AA627" s="182" t="n">
        <v>0</v>
      </c>
      <c r="AB627" s="182" t="n">
        <v>0</v>
      </c>
      <c r="AC627" s="182" t="n">
        <v>0</v>
      </c>
      <c r="AD627" s="182" t="n">
        <v>0</v>
      </c>
      <c r="AE627" s="182" t="n">
        <v>0</v>
      </c>
      <c r="AF627" s="182" t="n">
        <v>0</v>
      </c>
      <c r="AG627" s="182" t="n">
        <v>0</v>
      </c>
      <c r="AH627" s="182" t="n">
        <v>0</v>
      </c>
      <c r="AI627" s="182" t="n">
        <v>0</v>
      </c>
      <c r="AJ627" s="182" t="n">
        <v>0</v>
      </c>
      <c r="AK627" s="182" t="n">
        <v>0</v>
      </c>
      <c r="AL627" s="182" t="n">
        <v>0</v>
      </c>
      <c r="AM627" s="182" t="n">
        <v>0.08</v>
      </c>
      <c r="AN627" s="182" t="n">
        <v>0</v>
      </c>
    </row>
    <row r="628">
      <c r="A628" s="155" t="n">
        <v>46084</v>
      </c>
      <c r="B628" s="156" t="inlineStr">
        <is>
          <t>NS</t>
        </is>
      </c>
      <c r="C628" s="156" t="inlineStr">
        <is>
          <t>DT-514</t>
        </is>
      </c>
      <c r="D628" s="156" t="inlineStr">
        <is>
          <t>SKT 105S</t>
        </is>
      </c>
      <c r="E628" s="156" t="inlineStr">
        <is>
          <t>Hauler</t>
        </is>
      </c>
      <c r="F628" s="156" t="inlineStr"/>
      <c r="G628" s="182" t="n">
        <v>0</v>
      </c>
      <c r="H628" s="182" t="n">
        <v>0</v>
      </c>
      <c r="I628" s="182" t="n">
        <v>0</v>
      </c>
      <c r="J628" s="182" t="n">
        <v>0</v>
      </c>
      <c r="K628" s="182" t="n">
        <v>12</v>
      </c>
      <c r="L628" s="182" t="n">
        <v>12</v>
      </c>
      <c r="M628" s="182" t="n">
        <v>0</v>
      </c>
      <c r="N628" s="182" t="n">
        <v>0</v>
      </c>
      <c r="O628" s="183" t="n">
        <v>0</v>
      </c>
      <c r="P628" s="183" t="n">
        <v>0</v>
      </c>
      <c r="Q628" s="184" t="n">
        <v>0</v>
      </c>
      <c r="R628" s="184" t="n">
        <v>0</v>
      </c>
      <c r="S628" s="183" t="n">
        <v>0</v>
      </c>
      <c r="T628" s="183" t="n">
        <v>0</v>
      </c>
      <c r="U628" s="182" t="n">
        <v>11.33</v>
      </c>
      <c r="V628" s="182" t="n">
        <v>0.59</v>
      </c>
      <c r="W628" s="182" t="n">
        <v>0</v>
      </c>
      <c r="X628" s="182" t="n">
        <v>0</v>
      </c>
      <c r="Y628" s="182" t="n">
        <v>0</v>
      </c>
      <c r="Z628" s="182" t="n">
        <v>0</v>
      </c>
      <c r="AA628" s="182" t="n">
        <v>0</v>
      </c>
      <c r="AB628" s="182" t="n">
        <v>0</v>
      </c>
      <c r="AC628" s="182" t="n">
        <v>0</v>
      </c>
      <c r="AD628" s="182" t="n">
        <v>0</v>
      </c>
      <c r="AE628" s="182" t="n">
        <v>0</v>
      </c>
      <c r="AF628" s="182" t="n">
        <v>0</v>
      </c>
      <c r="AG628" s="182" t="n">
        <v>0</v>
      </c>
      <c r="AH628" s="182" t="n">
        <v>0</v>
      </c>
      <c r="AI628" s="182" t="n">
        <v>0</v>
      </c>
      <c r="AJ628" s="182" t="n">
        <v>0</v>
      </c>
      <c r="AK628" s="182" t="n">
        <v>0</v>
      </c>
      <c r="AL628" s="182" t="n">
        <v>0</v>
      </c>
      <c r="AM628" s="182" t="n">
        <v>0.08</v>
      </c>
      <c r="AN628" s="182" t="n">
        <v>0</v>
      </c>
    </row>
    <row r="629">
      <c r="A629" s="155" t="n">
        <v>46084</v>
      </c>
      <c r="B629" s="156" t="inlineStr">
        <is>
          <t>NS</t>
        </is>
      </c>
      <c r="C629" s="156" t="inlineStr">
        <is>
          <t>DT-523</t>
        </is>
      </c>
      <c r="D629" s="156" t="inlineStr">
        <is>
          <t>SKT 105S</t>
        </is>
      </c>
      <c r="E629" s="156" t="inlineStr">
        <is>
          <t>Hauler</t>
        </is>
      </c>
      <c r="F629" s="156" t="inlineStr"/>
      <c r="G629" s="182" t="n">
        <v>0</v>
      </c>
      <c r="H629" s="182" t="n">
        <v>0</v>
      </c>
      <c r="I629" s="182" t="n">
        <v>0</v>
      </c>
      <c r="J629" s="182" t="n">
        <v>0</v>
      </c>
      <c r="K629" s="182" t="n">
        <v>12</v>
      </c>
      <c r="L629" s="182" t="n">
        <v>12</v>
      </c>
      <c r="M629" s="182" t="n">
        <v>0</v>
      </c>
      <c r="N629" s="182" t="n">
        <v>0</v>
      </c>
      <c r="O629" s="183" t="n">
        <v>0</v>
      </c>
      <c r="P629" s="183" t="n">
        <v>0</v>
      </c>
      <c r="Q629" s="184" t="n">
        <v>0</v>
      </c>
      <c r="R629" s="184" t="n">
        <v>0</v>
      </c>
      <c r="S629" s="183" t="n">
        <v>0</v>
      </c>
      <c r="T629" s="183" t="n">
        <v>0</v>
      </c>
      <c r="U629" s="182" t="n">
        <v>11.33</v>
      </c>
      <c r="V629" s="182" t="n">
        <v>0.59</v>
      </c>
      <c r="W629" s="182" t="n">
        <v>0</v>
      </c>
      <c r="X629" s="182" t="n">
        <v>0</v>
      </c>
      <c r="Y629" s="182" t="n">
        <v>0</v>
      </c>
      <c r="Z629" s="182" t="n">
        <v>0</v>
      </c>
      <c r="AA629" s="182" t="n">
        <v>0</v>
      </c>
      <c r="AB629" s="182" t="n">
        <v>0</v>
      </c>
      <c r="AC629" s="182" t="n">
        <v>0</v>
      </c>
      <c r="AD629" s="182" t="n">
        <v>0</v>
      </c>
      <c r="AE629" s="182" t="n">
        <v>0</v>
      </c>
      <c r="AF629" s="182" t="n">
        <v>0</v>
      </c>
      <c r="AG629" s="182" t="n">
        <v>0</v>
      </c>
      <c r="AH629" s="182" t="n">
        <v>0</v>
      </c>
      <c r="AI629" s="182" t="n">
        <v>0</v>
      </c>
      <c r="AJ629" s="182" t="n">
        <v>0</v>
      </c>
      <c r="AK629" s="182" t="n">
        <v>0</v>
      </c>
      <c r="AL629" s="182" t="n">
        <v>0</v>
      </c>
      <c r="AM629" s="182" t="n">
        <v>0.08</v>
      </c>
      <c r="AN629" s="182" t="n">
        <v>0</v>
      </c>
    </row>
    <row r="630">
      <c r="A630" s="155" t="n">
        <v>46084</v>
      </c>
      <c r="B630" s="156" t="inlineStr">
        <is>
          <t>NS</t>
        </is>
      </c>
      <c r="C630" s="156" t="inlineStr">
        <is>
          <t>DT-519</t>
        </is>
      </c>
      <c r="D630" s="156" t="inlineStr">
        <is>
          <t>SKT 105S</t>
        </is>
      </c>
      <c r="E630" s="156" t="inlineStr">
        <is>
          <t>Hauler</t>
        </is>
      </c>
      <c r="F630" s="156" t="inlineStr"/>
      <c r="G630" s="182" t="n">
        <v>0</v>
      </c>
      <c r="H630" s="182" t="n">
        <v>0</v>
      </c>
      <c r="I630" s="182" t="n">
        <v>0</v>
      </c>
      <c r="J630" s="182" t="n">
        <v>0</v>
      </c>
      <c r="K630" s="182" t="n">
        <v>12</v>
      </c>
      <c r="L630" s="182" t="n">
        <v>12</v>
      </c>
      <c r="M630" s="182" t="n">
        <v>0</v>
      </c>
      <c r="N630" s="182" t="n">
        <v>0</v>
      </c>
      <c r="O630" s="183" t="n">
        <v>0</v>
      </c>
      <c r="P630" s="183" t="n">
        <v>0</v>
      </c>
      <c r="Q630" s="184" t="n">
        <v>0</v>
      </c>
      <c r="R630" s="184" t="n">
        <v>0</v>
      </c>
      <c r="S630" s="183" t="n">
        <v>0</v>
      </c>
      <c r="T630" s="183" t="n">
        <v>0</v>
      </c>
      <c r="U630" s="182" t="n">
        <v>0</v>
      </c>
      <c r="V630" s="182" t="n">
        <v>0</v>
      </c>
      <c r="W630" s="182" t="n">
        <v>0</v>
      </c>
      <c r="X630" s="182" t="n">
        <v>1</v>
      </c>
      <c r="Y630" s="182" t="n">
        <v>0</v>
      </c>
      <c r="Z630" s="182" t="n">
        <v>0</v>
      </c>
      <c r="AA630" s="182" t="n">
        <v>0</v>
      </c>
      <c r="AB630" s="182" t="n">
        <v>0</v>
      </c>
      <c r="AC630" s="182" t="n">
        <v>0</v>
      </c>
      <c r="AD630" s="182" t="n">
        <v>0</v>
      </c>
      <c r="AE630" s="182" t="n">
        <v>0</v>
      </c>
      <c r="AF630" s="182" t="n">
        <v>0</v>
      </c>
      <c r="AG630" s="182" t="n">
        <v>0</v>
      </c>
      <c r="AH630" s="182" t="n">
        <v>0</v>
      </c>
      <c r="AI630" s="182" t="n">
        <v>0</v>
      </c>
      <c r="AJ630" s="182" t="n">
        <v>0</v>
      </c>
      <c r="AK630" s="182" t="n">
        <v>10.92</v>
      </c>
      <c r="AL630" s="182" t="n">
        <v>0</v>
      </c>
      <c r="AM630" s="182" t="n">
        <v>0.08</v>
      </c>
      <c r="AN630" s="182" t="n">
        <v>0</v>
      </c>
    </row>
    <row r="631">
      <c r="A631" s="155" t="n">
        <v>46084</v>
      </c>
      <c r="B631" s="156" t="inlineStr">
        <is>
          <t>NS</t>
        </is>
      </c>
      <c r="C631" s="156" t="inlineStr">
        <is>
          <t>DT-527</t>
        </is>
      </c>
      <c r="D631" s="156" t="inlineStr">
        <is>
          <t>SKT 105S</t>
        </is>
      </c>
      <c r="E631" s="156" t="inlineStr">
        <is>
          <t>Hauler</t>
        </is>
      </c>
      <c r="F631" s="156" t="inlineStr"/>
      <c r="G631" s="182" t="n">
        <v>0</v>
      </c>
      <c r="H631" s="182" t="n">
        <v>0</v>
      </c>
      <c r="I631" s="182" t="n">
        <v>0</v>
      </c>
      <c r="J631" s="182" t="n">
        <v>0</v>
      </c>
      <c r="K631" s="182" t="n">
        <v>12</v>
      </c>
      <c r="L631" s="182" t="n">
        <v>12</v>
      </c>
      <c r="M631" s="182" t="n">
        <v>0</v>
      </c>
      <c r="N631" s="182" t="n">
        <v>0</v>
      </c>
      <c r="O631" s="183" t="n">
        <v>0</v>
      </c>
      <c r="P631" s="183" t="n">
        <v>0</v>
      </c>
      <c r="Q631" s="184" t="n">
        <v>0</v>
      </c>
      <c r="R631" s="184" t="n">
        <v>0</v>
      </c>
      <c r="S631" s="183" t="n">
        <v>0</v>
      </c>
      <c r="T631" s="183" t="n">
        <v>0</v>
      </c>
      <c r="U631" s="182" t="n">
        <v>11.33</v>
      </c>
      <c r="V631" s="182" t="n">
        <v>0.59</v>
      </c>
      <c r="W631" s="182" t="n">
        <v>0</v>
      </c>
      <c r="X631" s="182" t="n">
        <v>0</v>
      </c>
      <c r="Y631" s="182" t="n">
        <v>0</v>
      </c>
      <c r="Z631" s="182" t="n">
        <v>0</v>
      </c>
      <c r="AA631" s="182" t="n">
        <v>0</v>
      </c>
      <c r="AB631" s="182" t="n">
        <v>0</v>
      </c>
      <c r="AC631" s="182" t="n">
        <v>0</v>
      </c>
      <c r="AD631" s="182" t="n">
        <v>0</v>
      </c>
      <c r="AE631" s="182" t="n">
        <v>0</v>
      </c>
      <c r="AF631" s="182" t="n">
        <v>0</v>
      </c>
      <c r="AG631" s="182" t="n">
        <v>0</v>
      </c>
      <c r="AH631" s="182" t="n">
        <v>0</v>
      </c>
      <c r="AI631" s="182" t="n">
        <v>0</v>
      </c>
      <c r="AJ631" s="182" t="n">
        <v>0</v>
      </c>
      <c r="AK631" s="182" t="n">
        <v>0</v>
      </c>
      <c r="AL631" s="182" t="n">
        <v>0</v>
      </c>
      <c r="AM631" s="182" t="n">
        <v>0.08</v>
      </c>
      <c r="AN631" s="182" t="n">
        <v>0</v>
      </c>
    </row>
    <row r="632">
      <c r="A632" s="155" t="n">
        <v>46084</v>
      </c>
      <c r="B632" s="156" t="inlineStr">
        <is>
          <t>NS</t>
        </is>
      </c>
      <c r="C632" s="156" t="inlineStr">
        <is>
          <t>DT-513</t>
        </is>
      </c>
      <c r="D632" s="156" t="inlineStr">
        <is>
          <t>SKT 105S</t>
        </is>
      </c>
      <c r="E632" s="156" t="inlineStr">
        <is>
          <t>Hauler</t>
        </is>
      </c>
      <c r="F632" s="156" t="inlineStr"/>
      <c r="G632" s="182" t="n">
        <v>0</v>
      </c>
      <c r="H632" s="182" t="n">
        <v>0</v>
      </c>
      <c r="I632" s="182" t="n">
        <v>0</v>
      </c>
      <c r="J632" s="182" t="n">
        <v>0</v>
      </c>
      <c r="K632" s="182" t="n">
        <v>12</v>
      </c>
      <c r="L632" s="182" t="n">
        <v>12</v>
      </c>
      <c r="M632" s="182" t="n">
        <v>0</v>
      </c>
      <c r="N632" s="182" t="n">
        <v>0</v>
      </c>
      <c r="O632" s="183" t="n">
        <v>0</v>
      </c>
      <c r="P632" s="183" t="n">
        <v>0</v>
      </c>
      <c r="Q632" s="184" t="n">
        <v>0</v>
      </c>
      <c r="R632" s="184" t="n">
        <v>0</v>
      </c>
      <c r="S632" s="183" t="n">
        <v>0</v>
      </c>
      <c r="T632" s="183" t="n">
        <v>0</v>
      </c>
      <c r="U632" s="182" t="n">
        <v>11.33</v>
      </c>
      <c r="V632" s="182" t="n">
        <v>0.59</v>
      </c>
      <c r="W632" s="182" t="n">
        <v>0</v>
      </c>
      <c r="X632" s="182" t="n">
        <v>0</v>
      </c>
      <c r="Y632" s="182" t="n">
        <v>0</v>
      </c>
      <c r="Z632" s="182" t="n">
        <v>0</v>
      </c>
      <c r="AA632" s="182" t="n">
        <v>0</v>
      </c>
      <c r="AB632" s="182" t="n">
        <v>0</v>
      </c>
      <c r="AC632" s="182" t="n">
        <v>0</v>
      </c>
      <c r="AD632" s="182" t="n">
        <v>0</v>
      </c>
      <c r="AE632" s="182" t="n">
        <v>0</v>
      </c>
      <c r="AF632" s="182" t="n">
        <v>0</v>
      </c>
      <c r="AG632" s="182" t="n">
        <v>0</v>
      </c>
      <c r="AH632" s="182" t="n">
        <v>0</v>
      </c>
      <c r="AI632" s="182" t="n">
        <v>0</v>
      </c>
      <c r="AJ632" s="182" t="n">
        <v>0</v>
      </c>
      <c r="AK632" s="182" t="n">
        <v>0</v>
      </c>
      <c r="AL632" s="182" t="n">
        <v>0</v>
      </c>
      <c r="AM632" s="182" t="n">
        <v>0.08</v>
      </c>
      <c r="AN632" s="182" t="n">
        <v>0</v>
      </c>
    </row>
    <row r="633">
      <c r="A633" s="155" t="n">
        <v>46084</v>
      </c>
      <c r="B633" s="156" t="inlineStr">
        <is>
          <t>NS</t>
        </is>
      </c>
      <c r="C633" s="156" t="inlineStr">
        <is>
          <t>DT-512</t>
        </is>
      </c>
      <c r="D633" s="156" t="inlineStr">
        <is>
          <t>SKT 105S</t>
        </is>
      </c>
      <c r="E633" s="156" t="inlineStr">
        <is>
          <t>Hauler</t>
        </is>
      </c>
      <c r="F633" s="156" t="inlineStr"/>
      <c r="G633" s="182" t="n">
        <v>0</v>
      </c>
      <c r="H633" s="182" t="n">
        <v>0</v>
      </c>
      <c r="I633" s="182" t="n">
        <v>0</v>
      </c>
      <c r="J633" s="182" t="n">
        <v>0</v>
      </c>
      <c r="K633" s="182" t="n">
        <v>12</v>
      </c>
      <c r="L633" s="182" t="n">
        <v>12</v>
      </c>
      <c r="M633" s="182" t="n">
        <v>0</v>
      </c>
      <c r="N633" s="182" t="n">
        <v>0</v>
      </c>
      <c r="O633" s="183" t="n">
        <v>0</v>
      </c>
      <c r="P633" s="183" t="n">
        <v>0</v>
      </c>
      <c r="Q633" s="184" t="n">
        <v>0</v>
      </c>
      <c r="R633" s="184" t="n">
        <v>0</v>
      </c>
      <c r="S633" s="183" t="n">
        <v>0</v>
      </c>
      <c r="T633" s="183" t="n">
        <v>0</v>
      </c>
      <c r="U633" s="182" t="n">
        <v>11.33</v>
      </c>
      <c r="V633" s="182" t="n">
        <v>0.59</v>
      </c>
      <c r="W633" s="182" t="n">
        <v>0</v>
      </c>
      <c r="X633" s="182" t="n">
        <v>0</v>
      </c>
      <c r="Y633" s="182" t="n">
        <v>0</v>
      </c>
      <c r="Z633" s="182" t="n">
        <v>0</v>
      </c>
      <c r="AA633" s="182" t="n">
        <v>0</v>
      </c>
      <c r="AB633" s="182" t="n">
        <v>0</v>
      </c>
      <c r="AC633" s="182" t="n">
        <v>0</v>
      </c>
      <c r="AD633" s="182" t="n">
        <v>0</v>
      </c>
      <c r="AE633" s="182" t="n">
        <v>0</v>
      </c>
      <c r="AF633" s="182" t="n">
        <v>0</v>
      </c>
      <c r="AG633" s="182" t="n">
        <v>0</v>
      </c>
      <c r="AH633" s="182" t="n">
        <v>0</v>
      </c>
      <c r="AI633" s="182" t="n">
        <v>0</v>
      </c>
      <c r="AJ633" s="182" t="n">
        <v>0</v>
      </c>
      <c r="AK633" s="182" t="n">
        <v>0</v>
      </c>
      <c r="AL633" s="182" t="n">
        <v>0</v>
      </c>
      <c r="AM633" s="182" t="n">
        <v>0.08</v>
      </c>
      <c r="AN633" s="182" t="n">
        <v>0</v>
      </c>
    </row>
    <row r="634">
      <c r="A634" s="155" t="n">
        <v>46084</v>
      </c>
      <c r="B634" s="156" t="inlineStr">
        <is>
          <t>NS</t>
        </is>
      </c>
      <c r="C634" s="156" t="inlineStr">
        <is>
          <t>DT-522</t>
        </is>
      </c>
      <c r="D634" s="156" t="inlineStr">
        <is>
          <t>SKT 105S</t>
        </is>
      </c>
      <c r="E634" s="156" t="inlineStr">
        <is>
          <t>Hauler</t>
        </is>
      </c>
      <c r="F634" s="156" t="inlineStr"/>
      <c r="G634" s="182" t="n">
        <v>0</v>
      </c>
      <c r="H634" s="182" t="n">
        <v>12</v>
      </c>
      <c r="I634" s="182" t="n">
        <v>0</v>
      </c>
      <c r="J634" s="182" t="n">
        <v>12</v>
      </c>
      <c r="K634" s="182" t="n">
        <v>0</v>
      </c>
      <c r="L634" s="182" t="n">
        <v>12</v>
      </c>
      <c r="M634" s="182" t="n">
        <v>0</v>
      </c>
      <c r="N634" s="182" t="n">
        <v>0</v>
      </c>
      <c r="O634" s="183" t="n">
        <v>0</v>
      </c>
      <c r="P634" s="183" t="n">
        <v>0</v>
      </c>
      <c r="Q634" s="184" t="n">
        <v>0</v>
      </c>
      <c r="R634" s="184" t="n">
        <v>0</v>
      </c>
      <c r="S634" s="183" t="n">
        <v>0</v>
      </c>
      <c r="T634" s="183" t="n">
        <v>0</v>
      </c>
      <c r="U634" s="182" t="n">
        <v>0</v>
      </c>
      <c r="V634" s="182" t="n">
        <v>0</v>
      </c>
      <c r="W634" s="182" t="n">
        <v>0</v>
      </c>
      <c r="X634" s="182" t="n">
        <v>0</v>
      </c>
      <c r="Y634" s="182" t="n">
        <v>0</v>
      </c>
      <c r="Z634" s="182" t="n">
        <v>0</v>
      </c>
      <c r="AA634" s="182" t="n">
        <v>0</v>
      </c>
      <c r="AB634" s="182" t="n">
        <v>0</v>
      </c>
      <c r="AC634" s="182" t="n">
        <v>0</v>
      </c>
      <c r="AD634" s="182" t="n">
        <v>0</v>
      </c>
      <c r="AE634" s="182" t="n">
        <v>0</v>
      </c>
      <c r="AF634" s="182" t="n">
        <v>0</v>
      </c>
      <c r="AG634" s="182" t="n">
        <v>0</v>
      </c>
      <c r="AH634" s="182" t="n">
        <v>0</v>
      </c>
      <c r="AI634" s="182" t="n">
        <v>0</v>
      </c>
      <c r="AJ634" s="182" t="n">
        <v>0</v>
      </c>
      <c r="AK634" s="182" t="n">
        <v>0</v>
      </c>
      <c r="AL634" s="182" t="n">
        <v>0</v>
      </c>
      <c r="AM634" s="182" t="n">
        <v>0</v>
      </c>
      <c r="AN634" s="182" t="n">
        <v>0</v>
      </c>
    </row>
    <row r="635">
      <c r="A635" s="155" t="n">
        <v>46084</v>
      </c>
      <c r="B635" s="156" t="inlineStr">
        <is>
          <t>NS</t>
        </is>
      </c>
      <c r="C635" s="156" t="inlineStr">
        <is>
          <t>DT-517</t>
        </is>
      </c>
      <c r="D635" s="156" t="inlineStr">
        <is>
          <t>SKT 105S</t>
        </is>
      </c>
      <c r="E635" s="156" t="inlineStr">
        <is>
          <t>Hauler</t>
        </is>
      </c>
      <c r="F635" s="156" t="inlineStr"/>
      <c r="G635" s="182" t="n">
        <v>0</v>
      </c>
      <c r="H635" s="182" t="n">
        <v>0</v>
      </c>
      <c r="I635" s="182" t="n">
        <v>0</v>
      </c>
      <c r="J635" s="182" t="n">
        <v>0</v>
      </c>
      <c r="K635" s="182" t="n">
        <v>12</v>
      </c>
      <c r="L635" s="182" t="n">
        <v>12</v>
      </c>
      <c r="M635" s="182" t="n">
        <v>0</v>
      </c>
      <c r="N635" s="182" t="n">
        <v>0</v>
      </c>
      <c r="O635" s="183" t="n">
        <v>0</v>
      </c>
      <c r="P635" s="183" t="n">
        <v>0</v>
      </c>
      <c r="Q635" s="184" t="n">
        <v>0</v>
      </c>
      <c r="R635" s="184" t="n">
        <v>0</v>
      </c>
      <c r="S635" s="183" t="n">
        <v>0</v>
      </c>
      <c r="T635" s="183" t="n">
        <v>0</v>
      </c>
      <c r="U635" s="182" t="n">
        <v>11.33</v>
      </c>
      <c r="V635" s="182" t="n">
        <v>0.59</v>
      </c>
      <c r="W635" s="182" t="n">
        <v>0</v>
      </c>
      <c r="X635" s="182" t="n">
        <v>0</v>
      </c>
      <c r="Y635" s="182" t="n">
        <v>0</v>
      </c>
      <c r="Z635" s="182" t="n">
        <v>0</v>
      </c>
      <c r="AA635" s="182" t="n">
        <v>0</v>
      </c>
      <c r="AB635" s="182" t="n">
        <v>0</v>
      </c>
      <c r="AC635" s="182" t="n">
        <v>0</v>
      </c>
      <c r="AD635" s="182" t="n">
        <v>0</v>
      </c>
      <c r="AE635" s="182" t="n">
        <v>0</v>
      </c>
      <c r="AF635" s="182" t="n">
        <v>0</v>
      </c>
      <c r="AG635" s="182" t="n">
        <v>0</v>
      </c>
      <c r="AH635" s="182" t="n">
        <v>0</v>
      </c>
      <c r="AI635" s="182" t="n">
        <v>0</v>
      </c>
      <c r="AJ635" s="182" t="n">
        <v>0</v>
      </c>
      <c r="AK635" s="182" t="n">
        <v>0</v>
      </c>
      <c r="AL635" s="182" t="n">
        <v>0</v>
      </c>
      <c r="AM635" s="182" t="n">
        <v>0.08</v>
      </c>
      <c r="AN635" s="182" t="n">
        <v>0</v>
      </c>
    </row>
    <row r="636">
      <c r="A636" s="155" t="n">
        <v>46084</v>
      </c>
      <c r="B636" s="156" t="inlineStr">
        <is>
          <t>NS</t>
        </is>
      </c>
      <c r="C636" s="156" t="inlineStr">
        <is>
          <t>DT-510</t>
        </is>
      </c>
      <c r="D636" s="156" t="inlineStr">
        <is>
          <t>SKT 105S</t>
        </is>
      </c>
      <c r="E636" s="156" t="inlineStr">
        <is>
          <t>Hauler</t>
        </is>
      </c>
      <c r="F636" s="156" t="inlineStr"/>
      <c r="G636" s="182" t="n">
        <v>0</v>
      </c>
      <c r="H636" s="182" t="n">
        <v>0</v>
      </c>
      <c r="I636" s="182" t="n">
        <v>0</v>
      </c>
      <c r="J636" s="182" t="n">
        <v>0</v>
      </c>
      <c r="K636" s="182" t="n">
        <v>12</v>
      </c>
      <c r="L636" s="182" t="n">
        <v>12</v>
      </c>
      <c r="M636" s="182" t="n">
        <v>0</v>
      </c>
      <c r="N636" s="182" t="n">
        <v>0</v>
      </c>
      <c r="O636" s="183" t="n">
        <v>0</v>
      </c>
      <c r="P636" s="183" t="n">
        <v>0</v>
      </c>
      <c r="Q636" s="184" t="n">
        <v>0</v>
      </c>
      <c r="R636" s="184" t="n">
        <v>0</v>
      </c>
      <c r="S636" s="183" t="n">
        <v>0</v>
      </c>
      <c r="T636" s="183" t="n">
        <v>0</v>
      </c>
      <c r="U636" s="182" t="n">
        <v>11.33</v>
      </c>
      <c r="V636" s="182" t="n">
        <v>0.59</v>
      </c>
      <c r="W636" s="182" t="n">
        <v>0</v>
      </c>
      <c r="X636" s="182" t="n">
        <v>0</v>
      </c>
      <c r="Y636" s="182" t="n">
        <v>0</v>
      </c>
      <c r="Z636" s="182" t="n">
        <v>0</v>
      </c>
      <c r="AA636" s="182" t="n">
        <v>0</v>
      </c>
      <c r="AB636" s="182" t="n">
        <v>0</v>
      </c>
      <c r="AC636" s="182" t="n">
        <v>0</v>
      </c>
      <c r="AD636" s="182" t="n">
        <v>0</v>
      </c>
      <c r="AE636" s="182" t="n">
        <v>0</v>
      </c>
      <c r="AF636" s="182" t="n">
        <v>0</v>
      </c>
      <c r="AG636" s="182" t="n">
        <v>0</v>
      </c>
      <c r="AH636" s="182" t="n">
        <v>0</v>
      </c>
      <c r="AI636" s="182" t="n">
        <v>0</v>
      </c>
      <c r="AJ636" s="182" t="n">
        <v>0</v>
      </c>
      <c r="AK636" s="182" t="n">
        <v>0</v>
      </c>
      <c r="AL636" s="182" t="n">
        <v>0</v>
      </c>
      <c r="AM636" s="182" t="n">
        <v>0.08</v>
      </c>
      <c r="AN636" s="182" t="n">
        <v>0</v>
      </c>
    </row>
    <row r="637">
      <c r="A637" s="155" t="n">
        <v>46084</v>
      </c>
      <c r="B637" s="156" t="inlineStr">
        <is>
          <t>NS</t>
        </is>
      </c>
      <c r="C637" s="156" t="inlineStr">
        <is>
          <t>DT-521</t>
        </is>
      </c>
      <c r="D637" s="156" t="inlineStr">
        <is>
          <t>SKT 105S</t>
        </is>
      </c>
      <c r="E637" s="156" t="inlineStr">
        <is>
          <t>Hauler</t>
        </is>
      </c>
      <c r="F637" s="156" t="inlineStr"/>
      <c r="G637" s="182" t="n">
        <v>0</v>
      </c>
      <c r="H637" s="182" t="n">
        <v>0</v>
      </c>
      <c r="I637" s="182" t="n">
        <v>0</v>
      </c>
      <c r="J637" s="182" t="n">
        <v>0</v>
      </c>
      <c r="K637" s="182" t="n">
        <v>12</v>
      </c>
      <c r="L637" s="182" t="n">
        <v>12</v>
      </c>
      <c r="M637" s="182" t="n">
        <v>0</v>
      </c>
      <c r="N637" s="182" t="n">
        <v>0</v>
      </c>
      <c r="O637" s="183" t="n">
        <v>0</v>
      </c>
      <c r="P637" s="183" t="n">
        <v>0</v>
      </c>
      <c r="Q637" s="184" t="n">
        <v>0</v>
      </c>
      <c r="R637" s="184" t="n">
        <v>0</v>
      </c>
      <c r="S637" s="183" t="n">
        <v>0</v>
      </c>
      <c r="T637" s="183" t="n">
        <v>0</v>
      </c>
      <c r="U637" s="182" t="n">
        <v>11.33</v>
      </c>
      <c r="V637" s="182" t="n">
        <v>0.59</v>
      </c>
      <c r="W637" s="182" t="n">
        <v>0</v>
      </c>
      <c r="X637" s="182" t="n">
        <v>0</v>
      </c>
      <c r="Y637" s="182" t="n">
        <v>0</v>
      </c>
      <c r="Z637" s="182" t="n">
        <v>0</v>
      </c>
      <c r="AA637" s="182" t="n">
        <v>0</v>
      </c>
      <c r="AB637" s="182" t="n">
        <v>0</v>
      </c>
      <c r="AC637" s="182" t="n">
        <v>0</v>
      </c>
      <c r="AD637" s="182" t="n">
        <v>0</v>
      </c>
      <c r="AE637" s="182" t="n">
        <v>0</v>
      </c>
      <c r="AF637" s="182" t="n">
        <v>0</v>
      </c>
      <c r="AG637" s="182" t="n">
        <v>0</v>
      </c>
      <c r="AH637" s="182" t="n">
        <v>0</v>
      </c>
      <c r="AI637" s="182" t="n">
        <v>0</v>
      </c>
      <c r="AJ637" s="182" t="n">
        <v>0</v>
      </c>
      <c r="AK637" s="182" t="n">
        <v>0</v>
      </c>
      <c r="AL637" s="182" t="n">
        <v>0</v>
      </c>
      <c r="AM637" s="182" t="n">
        <v>0.08</v>
      </c>
      <c r="AN637" s="182" t="n">
        <v>0</v>
      </c>
    </row>
    <row r="638">
      <c r="A638" s="155" t="n">
        <v>46084</v>
      </c>
      <c r="B638" s="156" t="inlineStr">
        <is>
          <t>NS</t>
        </is>
      </c>
      <c r="C638" s="156" t="inlineStr">
        <is>
          <t>DT-516</t>
        </is>
      </c>
      <c r="D638" s="156" t="inlineStr">
        <is>
          <t>SKT 105S</t>
        </is>
      </c>
      <c r="E638" s="156" t="inlineStr">
        <is>
          <t>Hauler</t>
        </is>
      </c>
      <c r="F638" s="156" t="inlineStr"/>
      <c r="G638" s="182" t="n">
        <v>0</v>
      </c>
      <c r="H638" s="182" t="n">
        <v>0</v>
      </c>
      <c r="I638" s="182" t="n">
        <v>0</v>
      </c>
      <c r="J638" s="182" t="n">
        <v>0</v>
      </c>
      <c r="K638" s="182" t="n">
        <v>12</v>
      </c>
      <c r="L638" s="182" t="n">
        <v>12</v>
      </c>
      <c r="M638" s="182" t="n">
        <v>0</v>
      </c>
      <c r="N638" s="182" t="n">
        <v>0</v>
      </c>
      <c r="O638" s="183" t="n">
        <v>0</v>
      </c>
      <c r="P638" s="183" t="n">
        <v>0</v>
      </c>
      <c r="Q638" s="184" t="n">
        <v>0</v>
      </c>
      <c r="R638" s="184" t="n">
        <v>0</v>
      </c>
      <c r="S638" s="183" t="n">
        <v>0</v>
      </c>
      <c r="T638" s="183" t="n">
        <v>0</v>
      </c>
      <c r="U638" s="182" t="n">
        <v>11.33</v>
      </c>
      <c r="V638" s="182" t="n">
        <v>0.59</v>
      </c>
      <c r="W638" s="182" t="n">
        <v>0</v>
      </c>
      <c r="X638" s="182" t="n">
        <v>0</v>
      </c>
      <c r="Y638" s="182" t="n">
        <v>0</v>
      </c>
      <c r="Z638" s="182" t="n">
        <v>0</v>
      </c>
      <c r="AA638" s="182" t="n">
        <v>0</v>
      </c>
      <c r="AB638" s="182" t="n">
        <v>0</v>
      </c>
      <c r="AC638" s="182" t="n">
        <v>0</v>
      </c>
      <c r="AD638" s="182" t="n">
        <v>0</v>
      </c>
      <c r="AE638" s="182" t="n">
        <v>0</v>
      </c>
      <c r="AF638" s="182" t="n">
        <v>0</v>
      </c>
      <c r="AG638" s="182" t="n">
        <v>0</v>
      </c>
      <c r="AH638" s="182" t="n">
        <v>0</v>
      </c>
      <c r="AI638" s="182" t="n">
        <v>0</v>
      </c>
      <c r="AJ638" s="182" t="n">
        <v>0</v>
      </c>
      <c r="AK638" s="182" t="n">
        <v>0</v>
      </c>
      <c r="AL638" s="182" t="n">
        <v>0</v>
      </c>
      <c r="AM638" s="182" t="n">
        <v>0.08</v>
      </c>
      <c r="AN638" s="182" t="n">
        <v>0</v>
      </c>
    </row>
    <row r="639">
      <c r="A639" s="155" t="n">
        <v>46084</v>
      </c>
      <c r="B639" s="156" t="inlineStr">
        <is>
          <t>NS</t>
        </is>
      </c>
      <c r="C639" s="156" t="inlineStr">
        <is>
          <t>DT-506</t>
        </is>
      </c>
      <c r="D639" s="156" t="inlineStr">
        <is>
          <t>SKT 105S</t>
        </is>
      </c>
      <c r="E639" s="156" t="inlineStr">
        <is>
          <t>Hauler</t>
        </is>
      </c>
      <c r="F639" s="156" t="inlineStr"/>
      <c r="G639" s="182" t="n">
        <v>0</v>
      </c>
      <c r="H639" s="182" t="n">
        <v>0</v>
      </c>
      <c r="I639" s="182" t="n">
        <v>0</v>
      </c>
      <c r="J639" s="182" t="n">
        <v>0</v>
      </c>
      <c r="K639" s="182" t="n">
        <v>12</v>
      </c>
      <c r="L639" s="182" t="n">
        <v>12</v>
      </c>
      <c r="M639" s="182" t="n">
        <v>0</v>
      </c>
      <c r="N639" s="182" t="n">
        <v>0</v>
      </c>
      <c r="O639" s="183" t="n">
        <v>0</v>
      </c>
      <c r="P639" s="183" t="n">
        <v>0</v>
      </c>
      <c r="Q639" s="184" t="n">
        <v>0</v>
      </c>
      <c r="R639" s="184" t="n">
        <v>0</v>
      </c>
      <c r="S639" s="183" t="n">
        <v>0</v>
      </c>
      <c r="T639" s="183" t="n">
        <v>0</v>
      </c>
      <c r="U639" s="182" t="n">
        <v>11.33</v>
      </c>
      <c r="V639" s="182" t="n">
        <v>0.59</v>
      </c>
      <c r="W639" s="182" t="n">
        <v>0</v>
      </c>
      <c r="X639" s="182" t="n">
        <v>0</v>
      </c>
      <c r="Y639" s="182" t="n">
        <v>0</v>
      </c>
      <c r="Z639" s="182" t="n">
        <v>0</v>
      </c>
      <c r="AA639" s="182" t="n">
        <v>0</v>
      </c>
      <c r="AB639" s="182" t="n">
        <v>0</v>
      </c>
      <c r="AC639" s="182" t="n">
        <v>0</v>
      </c>
      <c r="AD639" s="182" t="n">
        <v>0</v>
      </c>
      <c r="AE639" s="182" t="n">
        <v>0</v>
      </c>
      <c r="AF639" s="182" t="n">
        <v>0</v>
      </c>
      <c r="AG639" s="182" t="n">
        <v>0</v>
      </c>
      <c r="AH639" s="182" t="n">
        <v>0</v>
      </c>
      <c r="AI639" s="182" t="n">
        <v>0</v>
      </c>
      <c r="AJ639" s="182" t="n">
        <v>0</v>
      </c>
      <c r="AK639" s="182" t="n">
        <v>0</v>
      </c>
      <c r="AL639" s="182" t="n">
        <v>0</v>
      </c>
      <c r="AM639" s="182" t="n">
        <v>0.08</v>
      </c>
      <c r="AN639" s="182" t="n">
        <v>0</v>
      </c>
    </row>
    <row r="640">
      <c r="A640" s="155" t="n">
        <v>46084</v>
      </c>
      <c r="B640" s="156" t="inlineStr">
        <is>
          <t>NS</t>
        </is>
      </c>
      <c r="C640" s="156" t="inlineStr">
        <is>
          <t>DT-502</t>
        </is>
      </c>
      <c r="D640" s="156" t="inlineStr">
        <is>
          <t>SKT 105S</t>
        </is>
      </c>
      <c r="E640" s="156" t="inlineStr">
        <is>
          <t>Hauler</t>
        </is>
      </c>
      <c r="F640" s="156" t="inlineStr"/>
      <c r="G640" s="182" t="n">
        <v>0</v>
      </c>
      <c r="H640" s="182" t="n">
        <v>0</v>
      </c>
      <c r="I640" s="182" t="n">
        <v>12</v>
      </c>
      <c r="J640" s="182" t="n">
        <v>12</v>
      </c>
      <c r="K640" s="182" t="n">
        <v>0</v>
      </c>
      <c r="L640" s="182" t="n">
        <v>12</v>
      </c>
      <c r="M640" s="182" t="n">
        <v>0</v>
      </c>
      <c r="N640" s="182" t="n">
        <v>0</v>
      </c>
      <c r="O640" s="183" t="n">
        <v>0</v>
      </c>
      <c r="P640" s="183" t="n">
        <v>0</v>
      </c>
      <c r="Q640" s="184" t="n">
        <v>0</v>
      </c>
      <c r="R640" s="184" t="n">
        <v>0</v>
      </c>
      <c r="S640" s="183" t="n">
        <v>0</v>
      </c>
      <c r="T640" s="183" t="n">
        <v>0</v>
      </c>
      <c r="U640" s="182" t="n">
        <v>0</v>
      </c>
      <c r="V640" s="182" t="n">
        <v>0</v>
      </c>
      <c r="W640" s="182" t="n">
        <v>0</v>
      </c>
      <c r="X640" s="182" t="n">
        <v>0</v>
      </c>
      <c r="Y640" s="182" t="n">
        <v>0</v>
      </c>
      <c r="Z640" s="182" t="n">
        <v>0</v>
      </c>
      <c r="AA640" s="182" t="n">
        <v>0</v>
      </c>
      <c r="AB640" s="182" t="n">
        <v>0</v>
      </c>
      <c r="AC640" s="182" t="n">
        <v>0</v>
      </c>
      <c r="AD640" s="182" t="n">
        <v>0</v>
      </c>
      <c r="AE640" s="182" t="n">
        <v>0</v>
      </c>
      <c r="AF640" s="182" t="n">
        <v>0</v>
      </c>
      <c r="AG640" s="182" t="n">
        <v>0</v>
      </c>
      <c r="AH640" s="182" t="n">
        <v>0</v>
      </c>
      <c r="AI640" s="182" t="n">
        <v>0</v>
      </c>
      <c r="AJ640" s="182" t="n">
        <v>0</v>
      </c>
      <c r="AK640" s="182" t="n">
        <v>0</v>
      </c>
      <c r="AL640" s="182" t="n">
        <v>0</v>
      </c>
      <c r="AM640" s="182" t="n">
        <v>0</v>
      </c>
      <c r="AN640" s="182" t="n">
        <v>0</v>
      </c>
    </row>
    <row r="641">
      <c r="A641" s="155" t="n">
        <v>46084</v>
      </c>
      <c r="B641" s="156" t="inlineStr">
        <is>
          <t>NS</t>
        </is>
      </c>
      <c r="C641" s="156" t="inlineStr">
        <is>
          <t>DT-528</t>
        </is>
      </c>
      <c r="D641" s="156" t="inlineStr">
        <is>
          <t>SKT 105S</t>
        </is>
      </c>
      <c r="E641" s="156" t="inlineStr">
        <is>
          <t>Hauler</t>
        </is>
      </c>
      <c r="F641" s="156" t="inlineStr"/>
      <c r="G641" s="182" t="n">
        <v>0</v>
      </c>
      <c r="H641" s="182" t="n">
        <v>12</v>
      </c>
      <c r="I641" s="182" t="n">
        <v>0</v>
      </c>
      <c r="J641" s="182" t="n">
        <v>12</v>
      </c>
      <c r="K641" s="182" t="n">
        <v>0</v>
      </c>
      <c r="L641" s="182" t="n">
        <v>12</v>
      </c>
      <c r="M641" s="182" t="n">
        <v>0</v>
      </c>
      <c r="N641" s="182" t="n">
        <v>0</v>
      </c>
      <c r="O641" s="183" t="n">
        <v>0</v>
      </c>
      <c r="P641" s="183" t="n">
        <v>0</v>
      </c>
      <c r="Q641" s="184" t="n">
        <v>0</v>
      </c>
      <c r="R641" s="184" t="n">
        <v>0</v>
      </c>
      <c r="S641" s="183" t="n">
        <v>0</v>
      </c>
      <c r="T641" s="183" t="n">
        <v>0</v>
      </c>
      <c r="U641" s="182" t="n">
        <v>0</v>
      </c>
      <c r="V641" s="182" t="n">
        <v>0</v>
      </c>
      <c r="W641" s="182" t="n">
        <v>0</v>
      </c>
      <c r="X641" s="182" t="n">
        <v>0</v>
      </c>
      <c r="Y641" s="182" t="n">
        <v>0</v>
      </c>
      <c r="Z641" s="182" t="n">
        <v>0</v>
      </c>
      <c r="AA641" s="182" t="n">
        <v>0</v>
      </c>
      <c r="AB641" s="182" t="n">
        <v>0</v>
      </c>
      <c r="AC641" s="182" t="n">
        <v>0</v>
      </c>
      <c r="AD641" s="182" t="n">
        <v>0</v>
      </c>
      <c r="AE641" s="182" t="n">
        <v>0</v>
      </c>
      <c r="AF641" s="182" t="n">
        <v>0</v>
      </c>
      <c r="AG641" s="182" t="n">
        <v>0</v>
      </c>
      <c r="AH641" s="182" t="n">
        <v>0</v>
      </c>
      <c r="AI641" s="182" t="n">
        <v>0</v>
      </c>
      <c r="AJ641" s="182" t="n">
        <v>0</v>
      </c>
      <c r="AK641" s="182" t="n">
        <v>0</v>
      </c>
      <c r="AL641" s="182" t="n">
        <v>0</v>
      </c>
      <c r="AM641" s="182" t="n">
        <v>0</v>
      </c>
      <c r="AN641" s="182" t="n">
        <v>0</v>
      </c>
    </row>
    <row r="642">
      <c r="A642" s="155" t="n">
        <v>46084</v>
      </c>
      <c r="B642" s="156" t="inlineStr">
        <is>
          <t>NS</t>
        </is>
      </c>
      <c r="C642" s="156" t="inlineStr">
        <is>
          <t>DT-529</t>
        </is>
      </c>
      <c r="D642" s="156" t="inlineStr">
        <is>
          <t>SKT 105S</t>
        </is>
      </c>
      <c r="E642" s="156" t="inlineStr">
        <is>
          <t>Hauler</t>
        </is>
      </c>
      <c r="F642" s="156" t="inlineStr"/>
      <c r="G642" s="182" t="n">
        <v>0</v>
      </c>
      <c r="H642" s="182" t="n">
        <v>0</v>
      </c>
      <c r="I642" s="182" t="n">
        <v>0</v>
      </c>
      <c r="J642" s="182" t="n">
        <v>0</v>
      </c>
      <c r="K642" s="182" t="n">
        <v>12</v>
      </c>
      <c r="L642" s="182" t="n">
        <v>12</v>
      </c>
      <c r="M642" s="182" t="n">
        <v>0</v>
      </c>
      <c r="N642" s="182" t="n">
        <v>0</v>
      </c>
      <c r="O642" s="183" t="n">
        <v>0</v>
      </c>
      <c r="P642" s="183" t="n">
        <v>0</v>
      </c>
      <c r="Q642" s="184" t="n">
        <v>0</v>
      </c>
      <c r="R642" s="184" t="n">
        <v>0</v>
      </c>
      <c r="S642" s="183" t="n">
        <v>0</v>
      </c>
      <c r="T642" s="183" t="n">
        <v>0</v>
      </c>
      <c r="U642" s="182" t="n">
        <v>11.33</v>
      </c>
      <c r="V642" s="182" t="n">
        <v>0.59</v>
      </c>
      <c r="W642" s="182" t="n">
        <v>0</v>
      </c>
      <c r="X642" s="182" t="n">
        <v>0</v>
      </c>
      <c r="Y642" s="182" t="n">
        <v>0</v>
      </c>
      <c r="Z642" s="182" t="n">
        <v>0</v>
      </c>
      <c r="AA642" s="182" t="n">
        <v>0</v>
      </c>
      <c r="AB642" s="182" t="n">
        <v>0</v>
      </c>
      <c r="AC642" s="182" t="n">
        <v>0</v>
      </c>
      <c r="AD642" s="182" t="n">
        <v>0</v>
      </c>
      <c r="AE642" s="182" t="n">
        <v>0</v>
      </c>
      <c r="AF642" s="182" t="n">
        <v>0</v>
      </c>
      <c r="AG642" s="182" t="n">
        <v>0</v>
      </c>
      <c r="AH642" s="182" t="n">
        <v>0</v>
      </c>
      <c r="AI642" s="182" t="n">
        <v>0</v>
      </c>
      <c r="AJ642" s="182" t="n">
        <v>0</v>
      </c>
      <c r="AK642" s="182" t="n">
        <v>0</v>
      </c>
      <c r="AL642" s="182" t="n">
        <v>0</v>
      </c>
      <c r="AM642" s="182" t="n">
        <v>0.08</v>
      </c>
      <c r="AN642" s="182" t="n">
        <v>0</v>
      </c>
    </row>
    <row r="643">
      <c r="A643" s="155" t="n">
        <v>46084</v>
      </c>
      <c r="B643" s="156" t="inlineStr">
        <is>
          <t>NS</t>
        </is>
      </c>
      <c r="C643" s="156" t="inlineStr">
        <is>
          <t>DT-520</t>
        </is>
      </c>
      <c r="D643" s="156" t="inlineStr">
        <is>
          <t>SKT 105S</t>
        </is>
      </c>
      <c r="E643" s="156" t="inlineStr">
        <is>
          <t>Hauler</t>
        </is>
      </c>
      <c r="F643" s="156" t="inlineStr"/>
      <c r="G643" s="182" t="n">
        <v>0</v>
      </c>
      <c r="H643" s="182" t="n">
        <v>0</v>
      </c>
      <c r="I643" s="182" t="n">
        <v>0</v>
      </c>
      <c r="J643" s="182" t="n">
        <v>0</v>
      </c>
      <c r="K643" s="182" t="n">
        <v>12</v>
      </c>
      <c r="L643" s="182" t="n">
        <v>12</v>
      </c>
      <c r="M643" s="182" t="n">
        <v>0</v>
      </c>
      <c r="N643" s="182" t="n">
        <v>0</v>
      </c>
      <c r="O643" s="183" t="n">
        <v>0</v>
      </c>
      <c r="P643" s="183" t="n">
        <v>0</v>
      </c>
      <c r="Q643" s="184" t="n">
        <v>0</v>
      </c>
      <c r="R643" s="184" t="n">
        <v>0</v>
      </c>
      <c r="S643" s="183" t="n">
        <v>0</v>
      </c>
      <c r="T643" s="183" t="n">
        <v>0</v>
      </c>
      <c r="U643" s="182" t="n">
        <v>11.33</v>
      </c>
      <c r="V643" s="182" t="n">
        <v>0.59</v>
      </c>
      <c r="W643" s="182" t="n">
        <v>0</v>
      </c>
      <c r="X643" s="182" t="n">
        <v>0</v>
      </c>
      <c r="Y643" s="182" t="n">
        <v>0</v>
      </c>
      <c r="Z643" s="182" t="n">
        <v>0</v>
      </c>
      <c r="AA643" s="182" t="n">
        <v>0</v>
      </c>
      <c r="AB643" s="182" t="n">
        <v>0</v>
      </c>
      <c r="AC643" s="182" t="n">
        <v>0</v>
      </c>
      <c r="AD643" s="182" t="n">
        <v>0</v>
      </c>
      <c r="AE643" s="182" t="n">
        <v>0</v>
      </c>
      <c r="AF643" s="182" t="n">
        <v>0</v>
      </c>
      <c r="AG643" s="182" t="n">
        <v>0</v>
      </c>
      <c r="AH643" s="182" t="n">
        <v>0</v>
      </c>
      <c r="AI643" s="182" t="n">
        <v>0</v>
      </c>
      <c r="AJ643" s="182" t="n">
        <v>0</v>
      </c>
      <c r="AK643" s="182" t="n">
        <v>0</v>
      </c>
      <c r="AL643" s="182" t="n">
        <v>0</v>
      </c>
      <c r="AM643" s="182" t="n">
        <v>0.08</v>
      </c>
      <c r="AN643" s="182" t="n">
        <v>0</v>
      </c>
    </row>
    <row r="644">
      <c r="A644" s="155" t="n">
        <v>46084</v>
      </c>
      <c r="B644" s="156" t="inlineStr">
        <is>
          <t>NS</t>
        </is>
      </c>
      <c r="C644" s="156" t="inlineStr">
        <is>
          <t>DT-511</t>
        </is>
      </c>
      <c r="D644" s="156" t="inlineStr">
        <is>
          <t>SKT 105S</t>
        </is>
      </c>
      <c r="E644" s="156" t="inlineStr">
        <is>
          <t>Hauler</t>
        </is>
      </c>
      <c r="F644" s="156" t="inlineStr"/>
      <c r="G644" s="182" t="n">
        <v>0</v>
      </c>
      <c r="H644" s="182" t="n">
        <v>0</v>
      </c>
      <c r="I644" s="182" t="n">
        <v>12</v>
      </c>
      <c r="J644" s="182" t="n">
        <v>12</v>
      </c>
      <c r="K644" s="182" t="n">
        <v>0</v>
      </c>
      <c r="L644" s="182" t="n">
        <v>12</v>
      </c>
      <c r="M644" s="182" t="n">
        <v>0</v>
      </c>
      <c r="N644" s="182" t="n">
        <v>0</v>
      </c>
      <c r="O644" s="183" t="n">
        <v>0</v>
      </c>
      <c r="P644" s="183" t="n">
        <v>0</v>
      </c>
      <c r="Q644" s="184" t="n">
        <v>0</v>
      </c>
      <c r="R644" s="184" t="n">
        <v>0</v>
      </c>
      <c r="S644" s="183" t="n">
        <v>0</v>
      </c>
      <c r="T644" s="183" t="n">
        <v>0</v>
      </c>
      <c r="U644" s="182" t="n">
        <v>0</v>
      </c>
      <c r="V644" s="182" t="n">
        <v>0</v>
      </c>
      <c r="W644" s="182" t="n">
        <v>0</v>
      </c>
      <c r="X644" s="182" t="n">
        <v>0</v>
      </c>
      <c r="Y644" s="182" t="n">
        <v>0</v>
      </c>
      <c r="Z644" s="182" t="n">
        <v>0</v>
      </c>
      <c r="AA644" s="182" t="n">
        <v>0</v>
      </c>
      <c r="AB644" s="182" t="n">
        <v>0</v>
      </c>
      <c r="AC644" s="182" t="n">
        <v>0</v>
      </c>
      <c r="AD644" s="182" t="n">
        <v>0</v>
      </c>
      <c r="AE644" s="182" t="n">
        <v>0</v>
      </c>
      <c r="AF644" s="182" t="n">
        <v>0</v>
      </c>
      <c r="AG644" s="182" t="n">
        <v>0</v>
      </c>
      <c r="AH644" s="182" t="n">
        <v>0</v>
      </c>
      <c r="AI644" s="182" t="n">
        <v>0</v>
      </c>
      <c r="AJ644" s="182" t="n">
        <v>0</v>
      </c>
      <c r="AK644" s="182" t="n">
        <v>0</v>
      </c>
      <c r="AL644" s="182" t="n">
        <v>0</v>
      </c>
      <c r="AM644" s="182" t="n">
        <v>0</v>
      </c>
      <c r="AN644" s="182" t="n">
        <v>0</v>
      </c>
    </row>
    <row r="645">
      <c r="A645" s="155" t="n">
        <v>46084</v>
      </c>
      <c r="B645" s="156" t="inlineStr">
        <is>
          <t>NS</t>
        </is>
      </c>
      <c r="C645" s="156" t="inlineStr">
        <is>
          <t>DT-509</t>
        </is>
      </c>
      <c r="D645" s="156" t="inlineStr">
        <is>
          <t>SKT 105S</t>
        </is>
      </c>
      <c r="E645" s="156" t="inlineStr">
        <is>
          <t>Hauler</t>
        </is>
      </c>
      <c r="F645" s="156" t="inlineStr"/>
      <c r="G645" s="182" t="n">
        <v>0</v>
      </c>
      <c r="H645" s="182" t="n">
        <v>0</v>
      </c>
      <c r="I645" s="182" t="n">
        <v>12</v>
      </c>
      <c r="J645" s="182" t="n">
        <v>12</v>
      </c>
      <c r="K645" s="182" t="n">
        <v>0</v>
      </c>
      <c r="L645" s="182" t="n">
        <v>12</v>
      </c>
      <c r="M645" s="182" t="n">
        <v>0</v>
      </c>
      <c r="N645" s="182" t="n">
        <v>0</v>
      </c>
      <c r="O645" s="183" t="n">
        <v>0</v>
      </c>
      <c r="P645" s="183" t="n">
        <v>0</v>
      </c>
      <c r="Q645" s="184" t="n">
        <v>0</v>
      </c>
      <c r="R645" s="184" t="n">
        <v>0</v>
      </c>
      <c r="S645" s="183" t="n">
        <v>0</v>
      </c>
      <c r="T645" s="183" t="n">
        <v>0</v>
      </c>
      <c r="U645" s="182" t="n">
        <v>0</v>
      </c>
      <c r="V645" s="182" t="n">
        <v>0</v>
      </c>
      <c r="W645" s="182" t="n">
        <v>0</v>
      </c>
      <c r="X645" s="182" t="n">
        <v>0</v>
      </c>
      <c r="Y645" s="182" t="n">
        <v>0</v>
      </c>
      <c r="Z645" s="182" t="n">
        <v>0</v>
      </c>
      <c r="AA645" s="182" t="n">
        <v>0</v>
      </c>
      <c r="AB645" s="182" t="n">
        <v>0</v>
      </c>
      <c r="AC645" s="182" t="n">
        <v>0</v>
      </c>
      <c r="AD645" s="182" t="n">
        <v>0</v>
      </c>
      <c r="AE645" s="182" t="n">
        <v>0</v>
      </c>
      <c r="AF645" s="182" t="n">
        <v>0</v>
      </c>
      <c r="AG645" s="182" t="n">
        <v>0</v>
      </c>
      <c r="AH645" s="182" t="n">
        <v>0</v>
      </c>
      <c r="AI645" s="182" t="n">
        <v>0</v>
      </c>
      <c r="AJ645" s="182" t="n">
        <v>0</v>
      </c>
      <c r="AK645" s="182" t="n">
        <v>0</v>
      </c>
      <c r="AL645" s="182" t="n">
        <v>0</v>
      </c>
      <c r="AM645" s="182" t="n">
        <v>0</v>
      </c>
      <c r="AN645" s="182" t="n">
        <v>0</v>
      </c>
    </row>
    <row r="646">
      <c r="A646" s="155" t="n">
        <v>46084</v>
      </c>
      <c r="B646" s="156" t="inlineStr">
        <is>
          <t>NS</t>
        </is>
      </c>
      <c r="C646" s="156" t="inlineStr">
        <is>
          <t>DT-526</t>
        </is>
      </c>
      <c r="D646" s="156" t="inlineStr">
        <is>
          <t>SKT 105S</t>
        </is>
      </c>
      <c r="E646" s="156" t="inlineStr">
        <is>
          <t>Hauler</t>
        </is>
      </c>
      <c r="F646" s="156" t="inlineStr"/>
      <c r="G646" s="182" t="n">
        <v>0</v>
      </c>
      <c r="H646" s="182" t="n">
        <v>0</v>
      </c>
      <c r="I646" s="182" t="n">
        <v>0</v>
      </c>
      <c r="J646" s="182" t="n">
        <v>0</v>
      </c>
      <c r="K646" s="182" t="n">
        <v>12</v>
      </c>
      <c r="L646" s="182" t="n">
        <v>12</v>
      </c>
      <c r="M646" s="182" t="n">
        <v>0</v>
      </c>
      <c r="N646" s="182" t="n">
        <v>0</v>
      </c>
      <c r="O646" s="183" t="n">
        <v>0</v>
      </c>
      <c r="P646" s="183" t="n">
        <v>0</v>
      </c>
      <c r="Q646" s="184" t="n">
        <v>0</v>
      </c>
      <c r="R646" s="184" t="n">
        <v>0</v>
      </c>
      <c r="S646" s="183" t="n">
        <v>0</v>
      </c>
      <c r="T646" s="183" t="n">
        <v>0</v>
      </c>
      <c r="U646" s="182" t="n">
        <v>11.33</v>
      </c>
      <c r="V646" s="182" t="n">
        <v>0.59</v>
      </c>
      <c r="W646" s="182" t="n">
        <v>0</v>
      </c>
      <c r="X646" s="182" t="n">
        <v>0</v>
      </c>
      <c r="Y646" s="182" t="n">
        <v>0</v>
      </c>
      <c r="Z646" s="182" t="n">
        <v>0</v>
      </c>
      <c r="AA646" s="182" t="n">
        <v>0</v>
      </c>
      <c r="AB646" s="182" t="n">
        <v>0</v>
      </c>
      <c r="AC646" s="182" t="n">
        <v>0</v>
      </c>
      <c r="AD646" s="182" t="n">
        <v>0</v>
      </c>
      <c r="AE646" s="182" t="n">
        <v>0</v>
      </c>
      <c r="AF646" s="182" t="n">
        <v>0</v>
      </c>
      <c r="AG646" s="182" t="n">
        <v>0</v>
      </c>
      <c r="AH646" s="182" t="n">
        <v>0</v>
      </c>
      <c r="AI646" s="182" t="n">
        <v>0</v>
      </c>
      <c r="AJ646" s="182" t="n">
        <v>0</v>
      </c>
      <c r="AK646" s="182" t="n">
        <v>0</v>
      </c>
      <c r="AL646" s="182" t="n">
        <v>0</v>
      </c>
      <c r="AM646" s="182" t="n">
        <v>0.08</v>
      </c>
      <c r="AN646" s="182" t="n">
        <v>0</v>
      </c>
    </row>
    <row r="647">
      <c r="A647" s="155" t="n">
        <v>46084</v>
      </c>
      <c r="B647" s="156" t="inlineStr">
        <is>
          <t>NS</t>
        </is>
      </c>
      <c r="C647" s="156" t="inlineStr">
        <is>
          <t>DT-508</t>
        </is>
      </c>
      <c r="D647" s="156" t="inlineStr">
        <is>
          <t>SKT 105S</t>
        </is>
      </c>
      <c r="E647" s="156" t="inlineStr">
        <is>
          <t>Hauler</t>
        </is>
      </c>
      <c r="F647" s="156" t="inlineStr"/>
      <c r="G647" s="182" t="n">
        <v>0</v>
      </c>
      <c r="H647" s="182" t="n">
        <v>0</v>
      </c>
      <c r="I647" s="182" t="n">
        <v>0</v>
      </c>
      <c r="J647" s="182" t="n">
        <v>0</v>
      </c>
      <c r="K647" s="182" t="n">
        <v>12</v>
      </c>
      <c r="L647" s="182" t="n">
        <v>12</v>
      </c>
      <c r="M647" s="182" t="n">
        <v>0</v>
      </c>
      <c r="N647" s="182" t="n">
        <v>0</v>
      </c>
      <c r="O647" s="183" t="n">
        <v>0</v>
      </c>
      <c r="P647" s="183" t="n">
        <v>0</v>
      </c>
      <c r="Q647" s="184" t="n">
        <v>0</v>
      </c>
      <c r="R647" s="184" t="n">
        <v>0</v>
      </c>
      <c r="S647" s="183" t="n">
        <v>0</v>
      </c>
      <c r="T647" s="183" t="n">
        <v>0</v>
      </c>
      <c r="U647" s="182" t="n">
        <v>11.33</v>
      </c>
      <c r="V647" s="182" t="n">
        <v>0.59</v>
      </c>
      <c r="W647" s="182" t="n">
        <v>0</v>
      </c>
      <c r="X647" s="182" t="n">
        <v>0</v>
      </c>
      <c r="Y647" s="182" t="n">
        <v>0</v>
      </c>
      <c r="Z647" s="182" t="n">
        <v>0</v>
      </c>
      <c r="AA647" s="182" t="n">
        <v>0</v>
      </c>
      <c r="AB647" s="182" t="n">
        <v>0</v>
      </c>
      <c r="AC647" s="182" t="n">
        <v>0</v>
      </c>
      <c r="AD647" s="182" t="n">
        <v>0</v>
      </c>
      <c r="AE647" s="182" t="n">
        <v>0</v>
      </c>
      <c r="AF647" s="182" t="n">
        <v>0</v>
      </c>
      <c r="AG647" s="182" t="n">
        <v>0</v>
      </c>
      <c r="AH647" s="182" t="n">
        <v>0</v>
      </c>
      <c r="AI647" s="182" t="n">
        <v>0</v>
      </c>
      <c r="AJ647" s="182" t="n">
        <v>0</v>
      </c>
      <c r="AK647" s="182" t="n">
        <v>0</v>
      </c>
      <c r="AL647" s="182" t="n">
        <v>0</v>
      </c>
      <c r="AM647" s="182" t="n">
        <v>0.08</v>
      </c>
      <c r="AN647" s="182" t="n">
        <v>0</v>
      </c>
    </row>
    <row r="648">
      <c r="A648" s="155" t="n">
        <v>46084</v>
      </c>
      <c r="B648" s="156" t="inlineStr">
        <is>
          <t>NS</t>
        </is>
      </c>
      <c r="C648" s="156" t="inlineStr">
        <is>
          <t>DT-515</t>
        </is>
      </c>
      <c r="D648" s="156" t="inlineStr">
        <is>
          <t>SKT 105S</t>
        </is>
      </c>
      <c r="E648" s="156" t="inlineStr">
        <is>
          <t>Hauler</t>
        </is>
      </c>
      <c r="F648" s="156" t="inlineStr"/>
      <c r="G648" s="182" t="n">
        <v>0</v>
      </c>
      <c r="H648" s="182" t="n">
        <v>12</v>
      </c>
      <c r="I648" s="182" t="n">
        <v>0</v>
      </c>
      <c r="J648" s="182" t="n">
        <v>12</v>
      </c>
      <c r="K648" s="182" t="n">
        <v>0</v>
      </c>
      <c r="L648" s="182" t="n">
        <v>12</v>
      </c>
      <c r="M648" s="182" t="n">
        <v>0</v>
      </c>
      <c r="N648" s="182" t="n">
        <v>0</v>
      </c>
      <c r="O648" s="183" t="n">
        <v>0</v>
      </c>
      <c r="P648" s="183" t="n">
        <v>0</v>
      </c>
      <c r="Q648" s="184" t="n">
        <v>0</v>
      </c>
      <c r="R648" s="184" t="n">
        <v>0</v>
      </c>
      <c r="S648" s="183" t="n">
        <v>0</v>
      </c>
      <c r="T648" s="183" t="n">
        <v>0</v>
      </c>
      <c r="U648" s="182" t="n">
        <v>0</v>
      </c>
      <c r="V648" s="182" t="n">
        <v>0</v>
      </c>
      <c r="W648" s="182" t="n">
        <v>0</v>
      </c>
      <c r="X648" s="182" t="n">
        <v>0</v>
      </c>
      <c r="Y648" s="182" t="n">
        <v>0</v>
      </c>
      <c r="Z648" s="182" t="n">
        <v>0</v>
      </c>
      <c r="AA648" s="182" t="n">
        <v>0</v>
      </c>
      <c r="AB648" s="182" t="n">
        <v>0</v>
      </c>
      <c r="AC648" s="182" t="n">
        <v>0</v>
      </c>
      <c r="AD648" s="182" t="n">
        <v>0</v>
      </c>
      <c r="AE648" s="182" t="n">
        <v>0</v>
      </c>
      <c r="AF648" s="182" t="n">
        <v>0</v>
      </c>
      <c r="AG648" s="182" t="n">
        <v>0</v>
      </c>
      <c r="AH648" s="182" t="n">
        <v>0</v>
      </c>
      <c r="AI648" s="182" t="n">
        <v>0</v>
      </c>
      <c r="AJ648" s="182" t="n">
        <v>0</v>
      </c>
      <c r="AK648" s="182" t="n">
        <v>0</v>
      </c>
      <c r="AL648" s="182" t="n">
        <v>0</v>
      </c>
      <c r="AM648" s="182" t="n">
        <v>0</v>
      </c>
      <c r="AN648" s="182" t="n">
        <v>0</v>
      </c>
    </row>
    <row r="649">
      <c r="A649" s="155" t="n">
        <v>46084</v>
      </c>
      <c r="B649" s="156" t="inlineStr">
        <is>
          <t>NS</t>
        </is>
      </c>
      <c r="C649" s="156" t="inlineStr">
        <is>
          <t>DT-524</t>
        </is>
      </c>
      <c r="D649" s="156" t="inlineStr">
        <is>
          <t>SKT 105S</t>
        </is>
      </c>
      <c r="E649" s="156" t="inlineStr">
        <is>
          <t>Hauler</t>
        </is>
      </c>
      <c r="F649" s="156" t="inlineStr"/>
      <c r="G649" s="182" t="n">
        <v>0</v>
      </c>
      <c r="H649" s="182" t="n">
        <v>0</v>
      </c>
      <c r="I649" s="182" t="n">
        <v>0</v>
      </c>
      <c r="J649" s="182" t="n">
        <v>0</v>
      </c>
      <c r="K649" s="182" t="n">
        <v>12</v>
      </c>
      <c r="L649" s="182" t="n">
        <v>12</v>
      </c>
      <c r="M649" s="182" t="n">
        <v>0</v>
      </c>
      <c r="N649" s="182" t="n">
        <v>0</v>
      </c>
      <c r="O649" s="183" t="n">
        <v>0</v>
      </c>
      <c r="P649" s="183" t="n">
        <v>0</v>
      </c>
      <c r="Q649" s="184" t="n">
        <v>0</v>
      </c>
      <c r="R649" s="184" t="n">
        <v>0</v>
      </c>
      <c r="S649" s="183" t="n">
        <v>0</v>
      </c>
      <c r="T649" s="183" t="n">
        <v>0</v>
      </c>
      <c r="U649" s="182" t="n">
        <v>11.33</v>
      </c>
      <c r="V649" s="182" t="n">
        <v>0.59</v>
      </c>
      <c r="W649" s="182" t="n">
        <v>0</v>
      </c>
      <c r="X649" s="182" t="n">
        <v>0</v>
      </c>
      <c r="Y649" s="182" t="n">
        <v>0</v>
      </c>
      <c r="Z649" s="182" t="n">
        <v>0</v>
      </c>
      <c r="AA649" s="182" t="n">
        <v>0</v>
      </c>
      <c r="AB649" s="182" t="n">
        <v>0</v>
      </c>
      <c r="AC649" s="182" t="n">
        <v>0</v>
      </c>
      <c r="AD649" s="182" t="n">
        <v>0</v>
      </c>
      <c r="AE649" s="182" t="n">
        <v>0</v>
      </c>
      <c r="AF649" s="182" t="n">
        <v>0</v>
      </c>
      <c r="AG649" s="182" t="n">
        <v>0</v>
      </c>
      <c r="AH649" s="182" t="n">
        <v>0</v>
      </c>
      <c r="AI649" s="182" t="n">
        <v>0</v>
      </c>
      <c r="AJ649" s="182" t="n">
        <v>0</v>
      </c>
      <c r="AK649" s="182" t="n">
        <v>0</v>
      </c>
      <c r="AL649" s="182" t="n">
        <v>0</v>
      </c>
      <c r="AM649" s="182" t="n">
        <v>0.08</v>
      </c>
      <c r="AN649" s="182" t="n">
        <v>0</v>
      </c>
    </row>
    <row r="650">
      <c r="A650" s="155" t="n">
        <v>46084</v>
      </c>
      <c r="B650" s="156" t="inlineStr">
        <is>
          <t>NS</t>
        </is>
      </c>
      <c r="C650" s="156" t="inlineStr">
        <is>
          <t>DT-341</t>
        </is>
      </c>
      <c r="D650" s="156" t="inlineStr">
        <is>
          <t>SYZ324C-8W</t>
        </is>
      </c>
      <c r="E650" s="156" t="inlineStr">
        <is>
          <t>Hauler</t>
        </is>
      </c>
      <c r="F650" s="156" t="inlineStr">
        <is>
          <t>Rehandling Dirty</t>
        </is>
      </c>
      <c r="G650" s="182" t="n">
        <v>1.65</v>
      </c>
      <c r="H650" s="182" t="n">
        <v>0</v>
      </c>
      <c r="I650" s="182" t="n">
        <v>0</v>
      </c>
      <c r="J650" s="182" t="n">
        <v>0</v>
      </c>
      <c r="K650" s="182" t="n">
        <v>10.35</v>
      </c>
      <c r="L650" s="182" t="n">
        <v>12</v>
      </c>
      <c r="M650" s="182" t="n">
        <v>0</v>
      </c>
      <c r="N650" s="182" t="n">
        <v>0</v>
      </c>
      <c r="O650" s="183" t="n">
        <v>0</v>
      </c>
      <c r="P650" s="183" t="n">
        <v>0</v>
      </c>
      <c r="Q650" s="184" t="n">
        <v>0</v>
      </c>
      <c r="R650" s="184" t="n">
        <v>0</v>
      </c>
      <c r="S650" s="183" t="n">
        <v>0</v>
      </c>
      <c r="T650" s="183" t="n">
        <v>0</v>
      </c>
      <c r="U650" s="182" t="n">
        <v>0</v>
      </c>
      <c r="V650" s="182" t="n">
        <v>0</v>
      </c>
      <c r="W650" s="182" t="n">
        <v>0</v>
      </c>
      <c r="X650" s="182" t="n">
        <v>1.06</v>
      </c>
      <c r="Y650" s="182" t="n">
        <v>0</v>
      </c>
      <c r="Z650" s="182" t="n">
        <v>0</v>
      </c>
      <c r="AA650" s="182" t="n">
        <v>0</v>
      </c>
      <c r="AB650" s="182" t="n">
        <v>0</v>
      </c>
      <c r="AC650" s="182" t="n">
        <v>0</v>
      </c>
      <c r="AD650" s="182" t="n">
        <v>0</v>
      </c>
      <c r="AE650" s="182" t="n">
        <v>0</v>
      </c>
      <c r="AF650" s="182" t="n">
        <v>0</v>
      </c>
      <c r="AG650" s="182" t="n">
        <v>0</v>
      </c>
      <c r="AH650" s="182" t="n">
        <v>0</v>
      </c>
      <c r="AI650" s="182" t="n">
        <v>0</v>
      </c>
      <c r="AJ650" s="182" t="n">
        <v>0</v>
      </c>
      <c r="AK650" s="182" t="n">
        <v>9.210000000000001</v>
      </c>
      <c r="AL650" s="182" t="n">
        <v>0</v>
      </c>
      <c r="AM650" s="182" t="n">
        <v>0.08</v>
      </c>
      <c r="AN650" s="182" t="n">
        <v>0</v>
      </c>
    </row>
    <row r="651">
      <c r="A651" s="155" t="n">
        <v>46084</v>
      </c>
      <c r="B651" s="156" t="inlineStr">
        <is>
          <t>NS</t>
        </is>
      </c>
      <c r="C651" s="156" t="inlineStr">
        <is>
          <t>DT-342</t>
        </is>
      </c>
      <c r="D651" s="156" t="inlineStr">
        <is>
          <t>SYZ324C-8W</t>
        </is>
      </c>
      <c r="E651" s="156" t="inlineStr">
        <is>
          <t>Hauler</t>
        </is>
      </c>
      <c r="F651" s="156" t="inlineStr">
        <is>
          <t>Rehandling Dirty</t>
        </is>
      </c>
      <c r="G651" s="182" t="n">
        <v>2.12</v>
      </c>
      <c r="H651" s="182" t="n">
        <v>0</v>
      </c>
      <c r="I651" s="182" t="n">
        <v>0</v>
      </c>
      <c r="J651" s="182" t="n">
        <v>0</v>
      </c>
      <c r="K651" s="182" t="n">
        <v>9.880000000000001</v>
      </c>
      <c r="L651" s="182" t="n">
        <v>12</v>
      </c>
      <c r="M651" s="182" t="n">
        <v>0</v>
      </c>
      <c r="N651" s="182" t="n">
        <v>0</v>
      </c>
      <c r="O651" s="183" t="n">
        <v>0</v>
      </c>
      <c r="P651" s="183" t="n">
        <v>0</v>
      </c>
      <c r="Q651" s="184" t="n">
        <v>0</v>
      </c>
      <c r="R651" s="184" t="n">
        <v>0</v>
      </c>
      <c r="S651" s="183" t="n">
        <v>0</v>
      </c>
      <c r="T651" s="183" t="n">
        <v>0</v>
      </c>
      <c r="U651" s="182" t="n">
        <v>0</v>
      </c>
      <c r="V651" s="182" t="n">
        <v>0</v>
      </c>
      <c r="W651" s="182" t="n">
        <v>0</v>
      </c>
      <c r="X651" s="182" t="n">
        <v>1.03</v>
      </c>
      <c r="Y651" s="182" t="n">
        <v>0</v>
      </c>
      <c r="Z651" s="182" t="n">
        <v>0</v>
      </c>
      <c r="AA651" s="182" t="n">
        <v>0</v>
      </c>
      <c r="AB651" s="182" t="n">
        <v>0</v>
      </c>
      <c r="AC651" s="182" t="n">
        <v>0</v>
      </c>
      <c r="AD651" s="182" t="n">
        <v>0</v>
      </c>
      <c r="AE651" s="182" t="n">
        <v>0</v>
      </c>
      <c r="AF651" s="182" t="n">
        <v>0</v>
      </c>
      <c r="AG651" s="182" t="n">
        <v>0</v>
      </c>
      <c r="AH651" s="182" t="n">
        <v>0</v>
      </c>
      <c r="AI651" s="182" t="n">
        <v>0</v>
      </c>
      <c r="AJ651" s="182" t="n">
        <v>0</v>
      </c>
      <c r="AK651" s="182" t="n">
        <v>8.77</v>
      </c>
      <c r="AL651" s="182" t="n">
        <v>0</v>
      </c>
      <c r="AM651" s="182" t="n">
        <v>0.08</v>
      </c>
      <c r="AN651" s="182" t="n">
        <v>0</v>
      </c>
    </row>
    <row r="652">
      <c r="A652" s="155" t="n">
        <v>46084</v>
      </c>
      <c r="B652" s="156" t="inlineStr">
        <is>
          <t>NS</t>
        </is>
      </c>
      <c r="C652" s="156" t="inlineStr">
        <is>
          <t>HD-903</t>
        </is>
      </c>
      <c r="D652" s="156" t="inlineStr">
        <is>
          <t>SRT 95C</t>
        </is>
      </c>
      <c r="E652" s="156" t="inlineStr">
        <is>
          <t>Hauler</t>
        </is>
      </c>
      <c r="F652" s="156" t="inlineStr"/>
      <c r="G652" s="182" t="n">
        <v>0</v>
      </c>
      <c r="H652" s="182" t="n">
        <v>0</v>
      </c>
      <c r="I652" s="182" t="n">
        <v>0</v>
      </c>
      <c r="J652" s="182" t="n">
        <v>0</v>
      </c>
      <c r="K652" s="182" t="n">
        <v>12</v>
      </c>
      <c r="L652" s="182" t="n">
        <v>12</v>
      </c>
      <c r="M652" s="182" t="n">
        <v>0</v>
      </c>
      <c r="N652" s="182" t="n">
        <v>0</v>
      </c>
      <c r="O652" s="183" t="n">
        <v>0</v>
      </c>
      <c r="P652" s="183" t="n">
        <v>0</v>
      </c>
      <c r="Q652" s="184" t="n">
        <v>0</v>
      </c>
      <c r="R652" s="184" t="n">
        <v>0</v>
      </c>
      <c r="S652" s="183" t="n">
        <v>0</v>
      </c>
      <c r="T652" s="183" t="n">
        <v>0</v>
      </c>
      <c r="U652" s="182" t="n">
        <v>11.33</v>
      </c>
      <c r="V652" s="182" t="n">
        <v>0.59</v>
      </c>
      <c r="W652" s="182" t="n">
        <v>0</v>
      </c>
      <c r="X652" s="182" t="n">
        <v>0</v>
      </c>
      <c r="Y652" s="182" t="n">
        <v>0</v>
      </c>
      <c r="Z652" s="182" t="n">
        <v>0</v>
      </c>
      <c r="AA652" s="182" t="n">
        <v>0</v>
      </c>
      <c r="AB652" s="182" t="n">
        <v>0</v>
      </c>
      <c r="AC652" s="182" t="n">
        <v>0</v>
      </c>
      <c r="AD652" s="182" t="n">
        <v>0</v>
      </c>
      <c r="AE652" s="182" t="n">
        <v>0</v>
      </c>
      <c r="AF652" s="182" t="n">
        <v>0</v>
      </c>
      <c r="AG652" s="182" t="n">
        <v>0</v>
      </c>
      <c r="AH652" s="182" t="n">
        <v>0</v>
      </c>
      <c r="AI652" s="182" t="n">
        <v>0</v>
      </c>
      <c r="AJ652" s="182" t="n">
        <v>0</v>
      </c>
      <c r="AK652" s="182" t="n">
        <v>0</v>
      </c>
      <c r="AL652" s="182" t="n">
        <v>0</v>
      </c>
      <c r="AM652" s="182" t="n">
        <v>0.08</v>
      </c>
      <c r="AN652" s="182" t="n">
        <v>0</v>
      </c>
    </row>
    <row r="653">
      <c r="A653" s="155" t="n">
        <v>46084</v>
      </c>
      <c r="B653" s="156" t="inlineStr">
        <is>
          <t>NS</t>
        </is>
      </c>
      <c r="C653" s="156" t="inlineStr">
        <is>
          <t>HD-905</t>
        </is>
      </c>
      <c r="D653" s="156" t="inlineStr">
        <is>
          <t>SRT 95C</t>
        </is>
      </c>
      <c r="E653" s="156" t="inlineStr">
        <is>
          <t>Hauler</t>
        </is>
      </c>
      <c r="F653" s="156" t="inlineStr"/>
      <c r="G653" s="182" t="n">
        <v>0</v>
      </c>
      <c r="H653" s="182" t="n">
        <v>0</v>
      </c>
      <c r="I653" s="182" t="n">
        <v>0</v>
      </c>
      <c r="J653" s="182" t="n">
        <v>0</v>
      </c>
      <c r="K653" s="182" t="n">
        <v>12</v>
      </c>
      <c r="L653" s="182" t="n">
        <v>12</v>
      </c>
      <c r="M653" s="182" t="n">
        <v>0</v>
      </c>
      <c r="N653" s="182" t="n">
        <v>0</v>
      </c>
      <c r="O653" s="183" t="n">
        <v>0</v>
      </c>
      <c r="P653" s="183" t="n">
        <v>0</v>
      </c>
      <c r="Q653" s="184" t="n">
        <v>0</v>
      </c>
      <c r="R653" s="184" t="n">
        <v>0</v>
      </c>
      <c r="S653" s="183" t="n">
        <v>0</v>
      </c>
      <c r="T653" s="183" t="n">
        <v>0</v>
      </c>
      <c r="U653" s="182" t="n">
        <v>11.33</v>
      </c>
      <c r="V653" s="182" t="n">
        <v>0.59</v>
      </c>
      <c r="W653" s="182" t="n">
        <v>0</v>
      </c>
      <c r="X653" s="182" t="n">
        <v>0</v>
      </c>
      <c r="Y653" s="182" t="n">
        <v>0</v>
      </c>
      <c r="Z653" s="182" t="n">
        <v>0</v>
      </c>
      <c r="AA653" s="182" t="n">
        <v>0</v>
      </c>
      <c r="AB653" s="182" t="n">
        <v>0</v>
      </c>
      <c r="AC653" s="182" t="n">
        <v>0</v>
      </c>
      <c r="AD653" s="182" t="n">
        <v>0</v>
      </c>
      <c r="AE653" s="182" t="n">
        <v>0</v>
      </c>
      <c r="AF653" s="182" t="n">
        <v>0</v>
      </c>
      <c r="AG653" s="182" t="n">
        <v>0</v>
      </c>
      <c r="AH653" s="182" t="n">
        <v>0</v>
      </c>
      <c r="AI653" s="182" t="n">
        <v>0</v>
      </c>
      <c r="AJ653" s="182" t="n">
        <v>0</v>
      </c>
      <c r="AK653" s="182" t="n">
        <v>0</v>
      </c>
      <c r="AL653" s="182" t="n">
        <v>0</v>
      </c>
      <c r="AM653" s="182" t="n">
        <v>0.08</v>
      </c>
      <c r="AN653" s="182" t="n">
        <v>0</v>
      </c>
    </row>
    <row r="654">
      <c r="A654" s="155" t="n">
        <v>46084</v>
      </c>
      <c r="B654" s="156" t="inlineStr">
        <is>
          <t>NS</t>
        </is>
      </c>
      <c r="C654" s="156" t="inlineStr">
        <is>
          <t>HD-901</t>
        </is>
      </c>
      <c r="D654" s="156" t="inlineStr">
        <is>
          <t>SRT 95C</t>
        </is>
      </c>
      <c r="E654" s="156" t="inlineStr">
        <is>
          <t>Hauler</t>
        </is>
      </c>
      <c r="F654" s="156" t="inlineStr"/>
      <c r="G654" s="182" t="n">
        <v>0</v>
      </c>
      <c r="H654" s="182" t="n">
        <v>4.5</v>
      </c>
      <c r="I654" s="182" t="n">
        <v>0</v>
      </c>
      <c r="J654" s="182" t="n">
        <v>4.5</v>
      </c>
      <c r="K654" s="182" t="n">
        <v>7.5</v>
      </c>
      <c r="L654" s="182" t="n">
        <v>12</v>
      </c>
      <c r="M654" s="182" t="n">
        <v>0</v>
      </c>
      <c r="N654" s="182" t="n">
        <v>0</v>
      </c>
      <c r="O654" s="183" t="n">
        <v>0</v>
      </c>
      <c r="P654" s="183" t="n">
        <v>0</v>
      </c>
      <c r="Q654" s="184" t="n">
        <v>0</v>
      </c>
      <c r="R654" s="184" t="n">
        <v>0</v>
      </c>
      <c r="S654" s="183" t="n">
        <v>0</v>
      </c>
      <c r="T654" s="183" t="n">
        <v>0</v>
      </c>
      <c r="U654" s="182" t="n">
        <v>7.42</v>
      </c>
      <c r="V654" s="182" t="n">
        <v>0</v>
      </c>
      <c r="W654" s="182" t="n">
        <v>0</v>
      </c>
      <c r="X654" s="182" t="n">
        <v>0</v>
      </c>
      <c r="Y654" s="182" t="n">
        <v>0</v>
      </c>
      <c r="Z654" s="182" t="n">
        <v>0</v>
      </c>
      <c r="AA654" s="182" t="n">
        <v>0</v>
      </c>
      <c r="AB654" s="182" t="n">
        <v>0</v>
      </c>
      <c r="AC654" s="182" t="n">
        <v>0</v>
      </c>
      <c r="AD654" s="182" t="n">
        <v>0</v>
      </c>
      <c r="AE654" s="182" t="n">
        <v>0</v>
      </c>
      <c r="AF654" s="182" t="n">
        <v>0</v>
      </c>
      <c r="AG654" s="182" t="n">
        <v>0</v>
      </c>
      <c r="AH654" s="182" t="n">
        <v>0</v>
      </c>
      <c r="AI654" s="182" t="n">
        <v>0</v>
      </c>
      <c r="AJ654" s="182" t="n">
        <v>0</v>
      </c>
      <c r="AK654" s="182" t="n">
        <v>0</v>
      </c>
      <c r="AL654" s="182" t="n">
        <v>0</v>
      </c>
      <c r="AM654" s="182" t="n">
        <v>0.08</v>
      </c>
      <c r="AN654" s="182" t="n">
        <v>0</v>
      </c>
    </row>
    <row r="655">
      <c r="A655" s="155" t="n">
        <v>46084</v>
      </c>
      <c r="B655" s="156" t="inlineStr">
        <is>
          <t>NS</t>
        </is>
      </c>
      <c r="C655" s="156" t="inlineStr">
        <is>
          <t>HD-904</t>
        </is>
      </c>
      <c r="D655" s="156" t="inlineStr">
        <is>
          <t>SRT 95C</t>
        </is>
      </c>
      <c r="E655" s="156" t="inlineStr">
        <is>
          <t>Hauler</t>
        </is>
      </c>
      <c r="F655" s="156" t="inlineStr"/>
      <c r="G655" s="182" t="n">
        <v>0</v>
      </c>
      <c r="H655" s="182" t="n">
        <v>0</v>
      </c>
      <c r="I655" s="182" t="n">
        <v>0</v>
      </c>
      <c r="J655" s="182" t="n">
        <v>0</v>
      </c>
      <c r="K655" s="182" t="n">
        <v>12</v>
      </c>
      <c r="L655" s="182" t="n">
        <v>12</v>
      </c>
      <c r="M655" s="182" t="n">
        <v>0</v>
      </c>
      <c r="N655" s="182" t="n">
        <v>0</v>
      </c>
      <c r="O655" s="183" t="n">
        <v>0</v>
      </c>
      <c r="P655" s="183" t="n">
        <v>0</v>
      </c>
      <c r="Q655" s="184" t="n">
        <v>0</v>
      </c>
      <c r="R655" s="184" t="n">
        <v>0</v>
      </c>
      <c r="S655" s="183" t="n">
        <v>0</v>
      </c>
      <c r="T655" s="183" t="n">
        <v>0</v>
      </c>
      <c r="U655" s="182" t="n">
        <v>11.33</v>
      </c>
      <c r="V655" s="182" t="n">
        <v>0.59</v>
      </c>
      <c r="W655" s="182" t="n">
        <v>0</v>
      </c>
      <c r="X655" s="182" t="n">
        <v>0</v>
      </c>
      <c r="Y655" s="182" t="n">
        <v>0</v>
      </c>
      <c r="Z655" s="182" t="n">
        <v>0</v>
      </c>
      <c r="AA655" s="182" t="n">
        <v>0</v>
      </c>
      <c r="AB655" s="182" t="n">
        <v>0</v>
      </c>
      <c r="AC655" s="182" t="n">
        <v>0</v>
      </c>
      <c r="AD655" s="182" t="n">
        <v>0</v>
      </c>
      <c r="AE655" s="182" t="n">
        <v>0</v>
      </c>
      <c r="AF655" s="182" t="n">
        <v>0</v>
      </c>
      <c r="AG655" s="182" t="n">
        <v>0</v>
      </c>
      <c r="AH655" s="182" t="n">
        <v>0</v>
      </c>
      <c r="AI655" s="182" t="n">
        <v>0</v>
      </c>
      <c r="AJ655" s="182" t="n">
        <v>0</v>
      </c>
      <c r="AK655" s="182" t="n">
        <v>0</v>
      </c>
      <c r="AL655" s="182" t="n">
        <v>0</v>
      </c>
      <c r="AM655" s="182" t="n">
        <v>0.08</v>
      </c>
      <c r="AN655" s="182" t="n">
        <v>0</v>
      </c>
    </row>
    <row r="656">
      <c r="A656" s="155" t="n">
        <v>46084</v>
      </c>
      <c r="B656" s="156" t="inlineStr">
        <is>
          <t>NS</t>
        </is>
      </c>
      <c r="C656" s="156" t="inlineStr">
        <is>
          <t>HD-902</t>
        </is>
      </c>
      <c r="D656" s="156" t="inlineStr">
        <is>
          <t>SRT 95C</t>
        </is>
      </c>
      <c r="E656" s="156" t="inlineStr">
        <is>
          <t>Hauler</t>
        </is>
      </c>
      <c r="F656" s="156" t="inlineStr"/>
      <c r="G656" s="182" t="n">
        <v>0</v>
      </c>
      <c r="H656" s="182" t="n">
        <v>0</v>
      </c>
      <c r="I656" s="182" t="n">
        <v>0</v>
      </c>
      <c r="J656" s="182" t="n">
        <v>0</v>
      </c>
      <c r="K656" s="182" t="n">
        <v>12</v>
      </c>
      <c r="L656" s="182" t="n">
        <v>12</v>
      </c>
      <c r="M656" s="182" t="n">
        <v>0</v>
      </c>
      <c r="N656" s="182" t="n">
        <v>0</v>
      </c>
      <c r="O656" s="183" t="n">
        <v>0</v>
      </c>
      <c r="P656" s="183" t="n">
        <v>0</v>
      </c>
      <c r="Q656" s="184" t="n">
        <v>0</v>
      </c>
      <c r="R656" s="184" t="n">
        <v>0</v>
      </c>
      <c r="S656" s="183" t="n">
        <v>0</v>
      </c>
      <c r="T656" s="183" t="n">
        <v>0</v>
      </c>
      <c r="U656" s="182" t="n">
        <v>11.33</v>
      </c>
      <c r="V656" s="182" t="n">
        <v>0.59</v>
      </c>
      <c r="W656" s="182" t="n">
        <v>0</v>
      </c>
      <c r="X656" s="182" t="n">
        <v>0</v>
      </c>
      <c r="Y656" s="182" t="n">
        <v>0</v>
      </c>
      <c r="Z656" s="182" t="n">
        <v>0</v>
      </c>
      <c r="AA656" s="182" t="n">
        <v>0</v>
      </c>
      <c r="AB656" s="182" t="n">
        <v>0</v>
      </c>
      <c r="AC656" s="182" t="n">
        <v>0</v>
      </c>
      <c r="AD656" s="182" t="n">
        <v>0</v>
      </c>
      <c r="AE656" s="182" t="n">
        <v>0</v>
      </c>
      <c r="AF656" s="182" t="n">
        <v>0</v>
      </c>
      <c r="AG656" s="182" t="n">
        <v>0</v>
      </c>
      <c r="AH656" s="182" t="n">
        <v>0</v>
      </c>
      <c r="AI656" s="182" t="n">
        <v>0</v>
      </c>
      <c r="AJ656" s="182" t="n">
        <v>0</v>
      </c>
      <c r="AK656" s="182" t="n">
        <v>0</v>
      </c>
      <c r="AL656" s="182" t="n">
        <v>0</v>
      </c>
      <c r="AM656" s="182" t="n">
        <v>0.08</v>
      </c>
      <c r="AN656" s="182" t="n">
        <v>0</v>
      </c>
    </row>
    <row r="657">
      <c r="A657" s="155" t="n">
        <v>46084</v>
      </c>
      <c r="B657" s="156" t="inlineStr">
        <is>
          <t>NS</t>
        </is>
      </c>
      <c r="C657" s="156" t="inlineStr">
        <is>
          <t>WL-025</t>
        </is>
      </c>
      <c r="D657" s="156" t="inlineStr">
        <is>
          <t>SANY - Loader</t>
        </is>
      </c>
      <c r="E657" s="156" t="inlineStr">
        <is>
          <t>Loader</t>
        </is>
      </c>
      <c r="F657" s="156" t="inlineStr"/>
      <c r="G657" s="182" t="n">
        <v>0</v>
      </c>
      <c r="H657" s="182" t="n">
        <v>0</v>
      </c>
      <c r="I657" s="182" t="n">
        <v>0</v>
      </c>
      <c r="J657" s="182" t="n">
        <v>0</v>
      </c>
      <c r="K657" s="182" t="n">
        <v>12</v>
      </c>
      <c r="L657" s="182" t="n">
        <v>12</v>
      </c>
      <c r="M657" s="182" t="n">
        <v>0</v>
      </c>
      <c r="N657" s="182" t="n">
        <v>0</v>
      </c>
      <c r="O657" s="183" t="n">
        <v>0</v>
      </c>
      <c r="P657" s="183" t="n">
        <v>0</v>
      </c>
      <c r="Q657" s="184" t="n">
        <v>0</v>
      </c>
      <c r="R657" s="184" t="n">
        <v>0</v>
      </c>
      <c r="S657" s="183" t="n">
        <v>0</v>
      </c>
      <c r="T657" s="183" t="n">
        <v>0</v>
      </c>
      <c r="U657" s="182" t="n">
        <v>0</v>
      </c>
      <c r="V657" s="182" t="n">
        <v>0</v>
      </c>
      <c r="W657" s="182" t="n">
        <v>0</v>
      </c>
      <c r="X657" s="182" t="n">
        <v>1</v>
      </c>
      <c r="Y657" s="182" t="n">
        <v>0</v>
      </c>
      <c r="Z657" s="182" t="n">
        <v>0</v>
      </c>
      <c r="AA657" s="182" t="n">
        <v>0</v>
      </c>
      <c r="AB657" s="182" t="n">
        <v>0</v>
      </c>
      <c r="AC657" s="182" t="n">
        <v>0</v>
      </c>
      <c r="AD657" s="182" t="n">
        <v>0</v>
      </c>
      <c r="AE657" s="182" t="n">
        <v>0</v>
      </c>
      <c r="AF657" s="182" t="n">
        <v>0</v>
      </c>
      <c r="AG657" s="182" t="n">
        <v>0</v>
      </c>
      <c r="AH657" s="182" t="n">
        <v>0</v>
      </c>
      <c r="AI657" s="182" t="n">
        <v>0</v>
      </c>
      <c r="AJ657" s="182" t="n">
        <v>0</v>
      </c>
      <c r="AK657" s="182" t="n">
        <v>10.92</v>
      </c>
      <c r="AL657" s="182" t="n">
        <v>0</v>
      </c>
      <c r="AM657" s="182" t="n">
        <v>0.08</v>
      </c>
      <c r="AN657" s="182" t="n">
        <v>0</v>
      </c>
    </row>
    <row r="658">
      <c r="A658" s="155" t="n">
        <v>46084</v>
      </c>
      <c r="B658" s="156" t="inlineStr">
        <is>
          <t>NS</t>
        </is>
      </c>
      <c r="C658" s="156" t="inlineStr">
        <is>
          <t>WL-023</t>
        </is>
      </c>
      <c r="D658" s="156" t="inlineStr">
        <is>
          <t>SANY - Loader</t>
        </is>
      </c>
      <c r="E658" s="156" t="inlineStr">
        <is>
          <t>Loader</t>
        </is>
      </c>
      <c r="F658" s="156" t="inlineStr"/>
      <c r="G658" s="182" t="n">
        <v>0</v>
      </c>
      <c r="H658" s="182" t="n">
        <v>0</v>
      </c>
      <c r="I658" s="182" t="n">
        <v>0</v>
      </c>
      <c r="J658" s="182" t="n">
        <v>0</v>
      </c>
      <c r="K658" s="182" t="n">
        <v>12</v>
      </c>
      <c r="L658" s="182" t="n">
        <v>12</v>
      </c>
      <c r="M658" s="182" t="n">
        <v>0</v>
      </c>
      <c r="N658" s="182" t="n">
        <v>0</v>
      </c>
      <c r="O658" s="183" t="n">
        <v>0</v>
      </c>
      <c r="P658" s="183" t="n">
        <v>0</v>
      </c>
      <c r="Q658" s="184" t="n">
        <v>0</v>
      </c>
      <c r="R658" s="184" t="n">
        <v>0</v>
      </c>
      <c r="S658" s="183" t="n">
        <v>0</v>
      </c>
      <c r="T658" s="183" t="n">
        <v>0</v>
      </c>
      <c r="U658" s="182" t="n">
        <v>0</v>
      </c>
      <c r="V658" s="182" t="n">
        <v>0</v>
      </c>
      <c r="W658" s="182" t="n">
        <v>0</v>
      </c>
      <c r="X658" s="182" t="n">
        <v>1</v>
      </c>
      <c r="Y658" s="182" t="n">
        <v>0</v>
      </c>
      <c r="Z658" s="182" t="n">
        <v>0</v>
      </c>
      <c r="AA658" s="182" t="n">
        <v>0</v>
      </c>
      <c r="AB658" s="182" t="n">
        <v>0</v>
      </c>
      <c r="AC658" s="182" t="n">
        <v>0</v>
      </c>
      <c r="AD658" s="182" t="n">
        <v>0</v>
      </c>
      <c r="AE658" s="182" t="n">
        <v>0</v>
      </c>
      <c r="AF658" s="182" t="n">
        <v>0</v>
      </c>
      <c r="AG658" s="182" t="n">
        <v>0</v>
      </c>
      <c r="AH658" s="182" t="n">
        <v>0</v>
      </c>
      <c r="AI658" s="182" t="n">
        <v>0</v>
      </c>
      <c r="AJ658" s="182" t="n">
        <v>0</v>
      </c>
      <c r="AK658" s="182" t="n">
        <v>10.92</v>
      </c>
      <c r="AL658" s="182" t="n">
        <v>0</v>
      </c>
      <c r="AM658" s="182" t="n">
        <v>0.08</v>
      </c>
      <c r="AN658" s="182" t="n">
        <v>0</v>
      </c>
    </row>
    <row r="659">
      <c r="A659" s="155" t="n">
        <v>46084</v>
      </c>
      <c r="B659" s="156" t="inlineStr">
        <is>
          <t>NS</t>
        </is>
      </c>
      <c r="C659" s="156" t="inlineStr">
        <is>
          <t>WL-021</t>
        </is>
      </c>
      <c r="D659" s="156" t="inlineStr">
        <is>
          <t>SANY - Loader</t>
        </is>
      </c>
      <c r="E659" s="156" t="inlineStr">
        <is>
          <t>Loader</t>
        </is>
      </c>
      <c r="F659" s="156" t="inlineStr"/>
      <c r="G659" s="182" t="n">
        <v>0</v>
      </c>
      <c r="H659" s="182" t="n">
        <v>0</v>
      </c>
      <c r="I659" s="182" t="n">
        <v>12</v>
      </c>
      <c r="J659" s="182" t="n">
        <v>12</v>
      </c>
      <c r="K659" s="182" t="n">
        <v>0</v>
      </c>
      <c r="L659" s="182" t="n">
        <v>12</v>
      </c>
      <c r="M659" s="182" t="n">
        <v>0</v>
      </c>
      <c r="N659" s="182" t="n">
        <v>0</v>
      </c>
      <c r="O659" s="183" t="n">
        <v>0</v>
      </c>
      <c r="P659" s="183" t="n">
        <v>0</v>
      </c>
      <c r="Q659" s="184" t="n">
        <v>0</v>
      </c>
      <c r="R659" s="184" t="n">
        <v>0</v>
      </c>
      <c r="S659" s="183" t="n">
        <v>0</v>
      </c>
      <c r="T659" s="183" t="n">
        <v>0</v>
      </c>
      <c r="U659" s="182" t="n">
        <v>0</v>
      </c>
      <c r="V659" s="182" t="n">
        <v>0</v>
      </c>
      <c r="W659" s="182" t="n">
        <v>0</v>
      </c>
      <c r="X659" s="182" t="n">
        <v>0</v>
      </c>
      <c r="Y659" s="182" t="n">
        <v>0</v>
      </c>
      <c r="Z659" s="182" t="n">
        <v>0</v>
      </c>
      <c r="AA659" s="182" t="n">
        <v>0</v>
      </c>
      <c r="AB659" s="182" t="n">
        <v>0</v>
      </c>
      <c r="AC659" s="182" t="n">
        <v>0</v>
      </c>
      <c r="AD659" s="182" t="n">
        <v>0</v>
      </c>
      <c r="AE659" s="182" t="n">
        <v>0</v>
      </c>
      <c r="AF659" s="182" t="n">
        <v>0</v>
      </c>
      <c r="AG659" s="182" t="n">
        <v>0</v>
      </c>
      <c r="AH659" s="182" t="n">
        <v>0</v>
      </c>
      <c r="AI659" s="182" t="n">
        <v>0</v>
      </c>
      <c r="AJ659" s="182" t="n">
        <v>0</v>
      </c>
      <c r="AK659" s="182" t="n">
        <v>0</v>
      </c>
      <c r="AL659" s="182" t="n">
        <v>0</v>
      </c>
      <c r="AM659" s="182" t="n">
        <v>0</v>
      </c>
      <c r="AN659" s="182" t="n">
        <v>0</v>
      </c>
    </row>
    <row r="660">
      <c r="A660" s="155" t="n">
        <v>46084</v>
      </c>
      <c r="B660" s="156" t="inlineStr">
        <is>
          <t>NS</t>
        </is>
      </c>
      <c r="C660" s="156" t="inlineStr">
        <is>
          <t>WL-022</t>
        </is>
      </c>
      <c r="D660" s="156" t="inlineStr">
        <is>
          <t>SANY - Loader</t>
        </is>
      </c>
      <c r="E660" s="156" t="inlineStr">
        <is>
          <t>Loader</t>
        </is>
      </c>
      <c r="F660" s="156" t="inlineStr">
        <is>
          <t>Produksi Washing Plant</t>
        </is>
      </c>
      <c r="G660" s="182" t="n">
        <v>10.4</v>
      </c>
      <c r="H660" s="182" t="n">
        <v>0</v>
      </c>
      <c r="I660" s="182" t="n">
        <v>0.32</v>
      </c>
      <c r="J660" s="182" t="n">
        <v>0.32</v>
      </c>
      <c r="K660" s="182" t="n">
        <v>1.28</v>
      </c>
      <c r="L660" s="182" t="n">
        <v>12</v>
      </c>
      <c r="M660" s="182" t="n">
        <v>0</v>
      </c>
      <c r="N660" s="182" t="n">
        <v>0</v>
      </c>
      <c r="O660" s="183" t="n">
        <v>0</v>
      </c>
      <c r="P660" s="183" t="n">
        <v>0</v>
      </c>
      <c r="Q660" s="184" t="n">
        <v>0</v>
      </c>
      <c r="R660" s="184" t="n">
        <v>0</v>
      </c>
      <c r="S660" s="183" t="n">
        <v>0</v>
      </c>
      <c r="T660" s="183" t="n">
        <v>0</v>
      </c>
      <c r="U660" s="182" t="n">
        <v>0</v>
      </c>
      <c r="V660" s="182" t="n">
        <v>0</v>
      </c>
      <c r="W660" s="182" t="n">
        <v>0</v>
      </c>
      <c r="X660" s="182" t="n">
        <v>0.93</v>
      </c>
      <c r="Y660" s="182" t="n">
        <v>0</v>
      </c>
      <c r="Z660" s="182" t="n">
        <v>0</v>
      </c>
      <c r="AA660" s="182" t="n">
        <v>0</v>
      </c>
      <c r="AB660" s="182" t="n">
        <v>0</v>
      </c>
      <c r="AC660" s="182" t="n">
        <v>0</v>
      </c>
      <c r="AD660" s="182" t="n">
        <v>0</v>
      </c>
      <c r="AE660" s="182" t="n">
        <v>0</v>
      </c>
      <c r="AF660" s="182" t="n">
        <v>0</v>
      </c>
      <c r="AG660" s="182" t="n">
        <v>0</v>
      </c>
      <c r="AH660" s="182" t="n">
        <v>0</v>
      </c>
      <c r="AI660" s="182" t="n">
        <v>0</v>
      </c>
      <c r="AJ660" s="182" t="n">
        <v>0</v>
      </c>
      <c r="AK660" s="182" t="n">
        <v>0.28</v>
      </c>
      <c r="AL660" s="182" t="n">
        <v>0</v>
      </c>
      <c r="AM660" s="182" t="n">
        <v>0.07000000000000001</v>
      </c>
      <c r="AN660" s="182" t="n">
        <v>0</v>
      </c>
    </row>
    <row r="661">
      <c r="A661" s="155" t="n">
        <v>46084</v>
      </c>
      <c r="B661" s="156" t="inlineStr">
        <is>
          <t>NS</t>
        </is>
      </c>
      <c r="C661" s="156" t="inlineStr">
        <is>
          <t>WL-024</t>
        </is>
      </c>
      <c r="D661" s="156" t="inlineStr">
        <is>
          <t>SANY - Loader</t>
        </is>
      </c>
      <c r="E661" s="156" t="inlineStr">
        <is>
          <t>Loader</t>
        </is>
      </c>
      <c r="F661" s="156" t="inlineStr">
        <is>
          <t>Produksi Washing Plant</t>
        </is>
      </c>
      <c r="G661" s="182" t="n">
        <v>10.86</v>
      </c>
      <c r="H661" s="182" t="n">
        <v>0</v>
      </c>
      <c r="I661" s="182" t="n">
        <v>0</v>
      </c>
      <c r="J661" s="182" t="n">
        <v>0</v>
      </c>
      <c r="K661" s="182" t="n">
        <v>1.14</v>
      </c>
      <c r="L661" s="182" t="n">
        <v>12</v>
      </c>
      <c r="M661" s="182" t="n">
        <v>0</v>
      </c>
      <c r="N661" s="182" t="n">
        <v>0</v>
      </c>
      <c r="O661" s="183" t="n">
        <v>0</v>
      </c>
      <c r="P661" s="183" t="n">
        <v>0</v>
      </c>
      <c r="Q661" s="184" t="n">
        <v>0</v>
      </c>
      <c r="R661" s="184" t="n">
        <v>0</v>
      </c>
      <c r="S661" s="183" t="n">
        <v>0</v>
      </c>
      <c r="T661" s="183" t="n">
        <v>0</v>
      </c>
      <c r="U661" s="182" t="n">
        <v>0</v>
      </c>
      <c r="V661" s="182" t="n">
        <v>0</v>
      </c>
      <c r="W661" s="182" t="n">
        <v>0</v>
      </c>
      <c r="X661" s="182" t="n">
        <v>1.04</v>
      </c>
      <c r="Y661" s="182" t="n">
        <v>0</v>
      </c>
      <c r="Z661" s="182" t="n">
        <v>0</v>
      </c>
      <c r="AA661" s="182" t="n">
        <v>0</v>
      </c>
      <c r="AB661" s="182" t="n">
        <v>0</v>
      </c>
      <c r="AC661" s="182" t="n">
        <v>0</v>
      </c>
      <c r="AD661" s="182" t="n">
        <v>0</v>
      </c>
      <c r="AE661" s="182" t="n">
        <v>0</v>
      </c>
      <c r="AF661" s="182" t="n">
        <v>0</v>
      </c>
      <c r="AG661" s="182" t="n">
        <v>0</v>
      </c>
      <c r="AH661" s="182" t="n">
        <v>0</v>
      </c>
      <c r="AI661" s="182" t="n">
        <v>0</v>
      </c>
      <c r="AJ661" s="182" t="n">
        <v>0</v>
      </c>
      <c r="AK661" s="182" t="n">
        <v>0</v>
      </c>
      <c r="AL661" s="182" t="n">
        <v>0</v>
      </c>
      <c r="AM661" s="182" t="n">
        <v>0.1</v>
      </c>
      <c r="AN661" s="182" t="n">
        <v>0</v>
      </c>
    </row>
    <row r="662">
      <c r="A662" s="155" t="n">
        <v>46085</v>
      </c>
      <c r="B662" s="156" t="inlineStr">
        <is>
          <t>DS</t>
        </is>
      </c>
      <c r="C662" s="156" t="inlineStr">
        <is>
          <t>DZ-034</t>
        </is>
      </c>
      <c r="D662" s="156" t="inlineStr">
        <is>
          <t>D 68ESS-12EO</t>
        </is>
      </c>
      <c r="E662" s="156" t="inlineStr">
        <is>
          <t>Bulldozer</t>
        </is>
      </c>
      <c r="F662" s="156" t="inlineStr"/>
      <c r="G662" s="182" t="n">
        <v>0</v>
      </c>
      <c r="H662" s="182" t="n">
        <v>0</v>
      </c>
      <c r="I662" s="182" t="n">
        <v>12</v>
      </c>
      <c r="J662" s="182" t="n">
        <v>12</v>
      </c>
      <c r="K662" s="182" t="n">
        <v>0</v>
      </c>
      <c r="L662" s="182" t="n">
        <v>12</v>
      </c>
      <c r="M662" s="182" t="n">
        <v>0</v>
      </c>
      <c r="N662" s="182" t="n">
        <v>0</v>
      </c>
      <c r="O662" s="183" t="n">
        <v>0</v>
      </c>
      <c r="P662" s="183" t="n">
        <v>0</v>
      </c>
      <c r="Q662" s="184" t="n">
        <v>0</v>
      </c>
      <c r="R662" s="184" t="n">
        <v>0</v>
      </c>
      <c r="S662" s="183" t="n">
        <v>0</v>
      </c>
      <c r="T662" s="183" t="n">
        <v>0</v>
      </c>
      <c r="U662" s="182" t="n">
        <v>0</v>
      </c>
      <c r="V662" s="182" t="n">
        <v>0</v>
      </c>
      <c r="W662" s="182" t="n">
        <v>0</v>
      </c>
      <c r="X662" s="182" t="n">
        <v>0</v>
      </c>
      <c r="Y662" s="182" t="n">
        <v>0</v>
      </c>
      <c r="Z662" s="182" t="n">
        <v>0</v>
      </c>
      <c r="AA662" s="182" t="n">
        <v>0</v>
      </c>
      <c r="AB662" s="182" t="n">
        <v>0</v>
      </c>
      <c r="AC662" s="182" t="n">
        <v>0</v>
      </c>
      <c r="AD662" s="182" t="n">
        <v>0</v>
      </c>
      <c r="AE662" s="182" t="n">
        <v>0</v>
      </c>
      <c r="AF662" s="182" t="n">
        <v>0</v>
      </c>
      <c r="AG662" s="182" t="n">
        <v>0</v>
      </c>
      <c r="AH662" s="182" t="n">
        <v>0</v>
      </c>
      <c r="AI662" s="182" t="n">
        <v>0</v>
      </c>
      <c r="AJ662" s="182" t="n">
        <v>0</v>
      </c>
      <c r="AK662" s="182" t="n">
        <v>0</v>
      </c>
      <c r="AL662" s="182" t="n">
        <v>0</v>
      </c>
      <c r="AM662" s="182" t="n">
        <v>0</v>
      </c>
      <c r="AN662" s="182" t="n">
        <v>0</v>
      </c>
    </row>
    <row r="663">
      <c r="A663" s="155" t="n">
        <v>46085</v>
      </c>
      <c r="B663" s="156" t="inlineStr">
        <is>
          <t>DS</t>
        </is>
      </c>
      <c r="C663" s="156" t="inlineStr">
        <is>
          <t>DZ-033</t>
        </is>
      </c>
      <c r="D663" s="156" t="inlineStr">
        <is>
          <t>D 375A-6R</t>
        </is>
      </c>
      <c r="E663" s="156" t="inlineStr">
        <is>
          <t>Bulldozer</t>
        </is>
      </c>
      <c r="F663" s="156" t="inlineStr">
        <is>
          <t>Support Front Loading</t>
        </is>
      </c>
      <c r="G663" s="182" t="n">
        <v>0.45</v>
      </c>
      <c r="H663" s="182" t="n">
        <v>0</v>
      </c>
      <c r="I663" s="182" t="n">
        <v>8.9</v>
      </c>
      <c r="J663" s="182" t="n">
        <v>8.9</v>
      </c>
      <c r="K663" s="182" t="n">
        <v>2.65</v>
      </c>
      <c r="L663" s="182" t="n">
        <v>12</v>
      </c>
      <c r="M663" s="182" t="n">
        <v>0</v>
      </c>
      <c r="N663" s="182" t="n">
        <v>0</v>
      </c>
      <c r="O663" s="183" t="n">
        <v>0</v>
      </c>
      <c r="P663" s="183" t="n">
        <v>0</v>
      </c>
      <c r="Q663" s="184" t="n">
        <v>0</v>
      </c>
      <c r="R663" s="184" t="n">
        <v>0</v>
      </c>
      <c r="S663" s="183" t="n">
        <v>0</v>
      </c>
      <c r="T663" s="183" t="n">
        <v>0</v>
      </c>
      <c r="U663" s="182" t="n">
        <v>1.29</v>
      </c>
      <c r="V663" s="182" t="n">
        <v>0</v>
      </c>
      <c r="W663" s="182" t="n">
        <v>0</v>
      </c>
      <c r="X663" s="182" t="n">
        <v>1.26</v>
      </c>
      <c r="Y663" s="182" t="n">
        <v>0</v>
      </c>
      <c r="Z663" s="182" t="n">
        <v>0</v>
      </c>
      <c r="AA663" s="182" t="n">
        <v>0</v>
      </c>
      <c r="AB663" s="182" t="n">
        <v>0</v>
      </c>
      <c r="AC663" s="182" t="n">
        <v>0</v>
      </c>
      <c r="AD663" s="182" t="n">
        <v>0</v>
      </c>
      <c r="AE663" s="182" t="n">
        <v>0</v>
      </c>
      <c r="AF663" s="182" t="n">
        <v>0</v>
      </c>
      <c r="AG663" s="182" t="n">
        <v>0</v>
      </c>
      <c r="AH663" s="182" t="n">
        <v>0</v>
      </c>
      <c r="AI663" s="182" t="n">
        <v>0</v>
      </c>
      <c r="AJ663" s="182" t="n">
        <v>0</v>
      </c>
      <c r="AK663" s="182" t="n">
        <v>0</v>
      </c>
      <c r="AL663" s="182" t="n">
        <v>0</v>
      </c>
      <c r="AM663" s="182" t="n">
        <v>0.1</v>
      </c>
      <c r="AN663" s="182" t="n">
        <v>0</v>
      </c>
    </row>
    <row r="664">
      <c r="A664" s="155" t="n">
        <v>46085</v>
      </c>
      <c r="B664" s="156" t="inlineStr">
        <is>
          <t>DS</t>
        </is>
      </c>
      <c r="C664" s="156" t="inlineStr">
        <is>
          <t>DZ-038</t>
        </is>
      </c>
      <c r="D664" s="156" t="inlineStr">
        <is>
          <t>D 85 ESS-2</t>
        </is>
      </c>
      <c r="E664" s="156" t="inlineStr">
        <is>
          <t>Bulldozer</t>
        </is>
      </c>
      <c r="F664" s="156" t="inlineStr"/>
      <c r="G664" s="182" t="n">
        <v>0</v>
      </c>
      <c r="H664" s="182" t="n">
        <v>0</v>
      </c>
      <c r="I664" s="182" t="n">
        <v>12</v>
      </c>
      <c r="J664" s="182" t="n">
        <v>12</v>
      </c>
      <c r="K664" s="182" t="n">
        <v>0</v>
      </c>
      <c r="L664" s="182" t="n">
        <v>12</v>
      </c>
      <c r="M664" s="182" t="n">
        <v>0</v>
      </c>
      <c r="N664" s="182" t="n">
        <v>0</v>
      </c>
      <c r="O664" s="183" t="n">
        <v>0</v>
      </c>
      <c r="P664" s="183" t="n">
        <v>0</v>
      </c>
      <c r="Q664" s="184" t="n">
        <v>0</v>
      </c>
      <c r="R664" s="184" t="n">
        <v>0</v>
      </c>
      <c r="S664" s="183" t="n">
        <v>0</v>
      </c>
      <c r="T664" s="183" t="n">
        <v>0</v>
      </c>
      <c r="U664" s="182" t="n">
        <v>0</v>
      </c>
      <c r="V664" s="182" t="n">
        <v>0</v>
      </c>
      <c r="W664" s="182" t="n">
        <v>0</v>
      </c>
      <c r="X664" s="182" t="n">
        <v>0</v>
      </c>
      <c r="Y664" s="182" t="n">
        <v>0</v>
      </c>
      <c r="Z664" s="182" t="n">
        <v>0</v>
      </c>
      <c r="AA664" s="182" t="n">
        <v>0</v>
      </c>
      <c r="AB664" s="182" t="n">
        <v>0</v>
      </c>
      <c r="AC664" s="182" t="n">
        <v>0</v>
      </c>
      <c r="AD664" s="182" t="n">
        <v>0</v>
      </c>
      <c r="AE664" s="182" t="n">
        <v>0</v>
      </c>
      <c r="AF664" s="182" t="n">
        <v>0</v>
      </c>
      <c r="AG664" s="182" t="n">
        <v>0</v>
      </c>
      <c r="AH664" s="182" t="n">
        <v>0</v>
      </c>
      <c r="AI664" s="182" t="n">
        <v>0</v>
      </c>
      <c r="AJ664" s="182" t="n">
        <v>0</v>
      </c>
      <c r="AK664" s="182" t="n">
        <v>0</v>
      </c>
      <c r="AL664" s="182" t="n">
        <v>0</v>
      </c>
      <c r="AM664" s="182" t="n">
        <v>0</v>
      </c>
      <c r="AN664" s="182" t="n">
        <v>0</v>
      </c>
    </row>
    <row r="665">
      <c r="A665" s="155" t="n">
        <v>46085</v>
      </c>
      <c r="B665" s="156" t="inlineStr">
        <is>
          <t>DS</t>
        </is>
      </c>
      <c r="C665" s="156" t="inlineStr">
        <is>
          <t>DZ-039</t>
        </is>
      </c>
      <c r="D665" s="156" t="inlineStr">
        <is>
          <t>D 85 ESS-2</t>
        </is>
      </c>
      <c r="E665" s="156" t="inlineStr">
        <is>
          <t>Bulldozer</t>
        </is>
      </c>
      <c r="F665" s="156" t="inlineStr">
        <is>
          <t>Support Front Loading</t>
        </is>
      </c>
      <c r="G665" s="182" t="n">
        <v>6.82</v>
      </c>
      <c r="H665" s="182" t="n">
        <v>0</v>
      </c>
      <c r="I665" s="182" t="n">
        <v>0</v>
      </c>
      <c r="J665" s="182" t="n">
        <v>0</v>
      </c>
      <c r="K665" s="182" t="n">
        <v>5.18</v>
      </c>
      <c r="L665" s="182" t="n">
        <v>12</v>
      </c>
      <c r="M665" s="182" t="n">
        <v>0</v>
      </c>
      <c r="N665" s="182" t="n">
        <v>0</v>
      </c>
      <c r="O665" s="183" t="n">
        <v>0</v>
      </c>
      <c r="P665" s="183" t="n">
        <v>0</v>
      </c>
      <c r="Q665" s="184" t="n">
        <v>0</v>
      </c>
      <c r="R665" s="184" t="n">
        <v>0</v>
      </c>
      <c r="S665" s="183" t="n">
        <v>0</v>
      </c>
      <c r="T665" s="183" t="n">
        <v>0</v>
      </c>
      <c r="U665" s="182" t="n">
        <v>1.39</v>
      </c>
      <c r="V665" s="182" t="n">
        <v>2.74</v>
      </c>
      <c r="W665" s="182" t="n">
        <v>0</v>
      </c>
      <c r="X665" s="182" t="n">
        <v>0.98</v>
      </c>
      <c r="Y665" s="182" t="n">
        <v>0</v>
      </c>
      <c r="Z665" s="182" t="n">
        <v>0</v>
      </c>
      <c r="AA665" s="182" t="n">
        <v>0</v>
      </c>
      <c r="AB665" s="182" t="n">
        <v>0</v>
      </c>
      <c r="AC665" s="182" t="n">
        <v>0</v>
      </c>
      <c r="AD665" s="182" t="n">
        <v>0</v>
      </c>
      <c r="AE665" s="182" t="n">
        <v>0</v>
      </c>
      <c r="AF665" s="182" t="n">
        <v>0</v>
      </c>
      <c r="AG665" s="182" t="n">
        <v>0</v>
      </c>
      <c r="AH665" s="182" t="n">
        <v>0</v>
      </c>
      <c r="AI665" s="182" t="n">
        <v>0</v>
      </c>
      <c r="AJ665" s="182" t="n">
        <v>0</v>
      </c>
      <c r="AK665" s="182" t="n">
        <v>0</v>
      </c>
      <c r="AL665" s="182" t="n">
        <v>0</v>
      </c>
      <c r="AM665" s="182" t="n">
        <v>0.08</v>
      </c>
      <c r="AN665" s="182" t="n">
        <v>0</v>
      </c>
    </row>
    <row r="666">
      <c r="A666" s="155" t="n">
        <v>46085</v>
      </c>
      <c r="B666" s="156" t="inlineStr">
        <is>
          <t>DS</t>
        </is>
      </c>
      <c r="C666" s="156" t="inlineStr">
        <is>
          <t>DZ-032</t>
        </is>
      </c>
      <c r="D666" s="156" t="inlineStr">
        <is>
          <t>CAT</t>
        </is>
      </c>
      <c r="E666" s="156" t="inlineStr">
        <is>
          <t>Bulldozer</t>
        </is>
      </c>
      <c r="F666" s="156" t="inlineStr"/>
      <c r="G666" s="182" t="n">
        <v>0</v>
      </c>
      <c r="H666" s="182" t="n">
        <v>0</v>
      </c>
      <c r="I666" s="182" t="n">
        <v>12</v>
      </c>
      <c r="J666" s="182" t="n">
        <v>12</v>
      </c>
      <c r="K666" s="182" t="n">
        <v>0</v>
      </c>
      <c r="L666" s="182" t="n">
        <v>12</v>
      </c>
      <c r="M666" s="182" t="n">
        <v>0</v>
      </c>
      <c r="N666" s="182" t="n">
        <v>0</v>
      </c>
      <c r="O666" s="183" t="n">
        <v>0</v>
      </c>
      <c r="P666" s="183" t="n">
        <v>0</v>
      </c>
      <c r="Q666" s="184" t="n">
        <v>0</v>
      </c>
      <c r="R666" s="184" t="n">
        <v>0</v>
      </c>
      <c r="S666" s="183" t="n">
        <v>0</v>
      </c>
      <c r="T666" s="183" t="n">
        <v>0</v>
      </c>
      <c r="U666" s="182" t="n">
        <v>0</v>
      </c>
      <c r="V666" s="182" t="n">
        <v>0</v>
      </c>
      <c r="W666" s="182" t="n">
        <v>0</v>
      </c>
      <c r="X666" s="182" t="n">
        <v>0</v>
      </c>
      <c r="Y666" s="182" t="n">
        <v>0</v>
      </c>
      <c r="Z666" s="182" t="n">
        <v>0</v>
      </c>
      <c r="AA666" s="182" t="n">
        <v>0</v>
      </c>
      <c r="AB666" s="182" t="n">
        <v>0</v>
      </c>
      <c r="AC666" s="182" t="n">
        <v>0</v>
      </c>
      <c r="AD666" s="182" t="n">
        <v>0</v>
      </c>
      <c r="AE666" s="182" t="n">
        <v>0</v>
      </c>
      <c r="AF666" s="182" t="n">
        <v>0</v>
      </c>
      <c r="AG666" s="182" t="n">
        <v>0</v>
      </c>
      <c r="AH666" s="182" t="n">
        <v>0</v>
      </c>
      <c r="AI666" s="182" t="n">
        <v>0</v>
      </c>
      <c r="AJ666" s="182" t="n">
        <v>0</v>
      </c>
      <c r="AK666" s="182" t="n">
        <v>0</v>
      </c>
      <c r="AL666" s="182" t="n">
        <v>0</v>
      </c>
      <c r="AM666" s="182" t="n">
        <v>0</v>
      </c>
      <c r="AN666" s="182" t="n">
        <v>0</v>
      </c>
    </row>
    <row r="667">
      <c r="A667" s="155" t="n">
        <v>46085</v>
      </c>
      <c r="B667" s="156" t="inlineStr">
        <is>
          <t>DS</t>
        </is>
      </c>
      <c r="C667" s="156" t="inlineStr">
        <is>
          <t>DZ-031</t>
        </is>
      </c>
      <c r="D667" s="156" t="inlineStr">
        <is>
          <t>CAT</t>
        </is>
      </c>
      <c r="E667" s="156" t="inlineStr">
        <is>
          <t>Bulldozer</t>
        </is>
      </c>
      <c r="F667" s="156" t="inlineStr">
        <is>
          <t>Support Disposal</t>
        </is>
      </c>
      <c r="G667" s="182" t="n">
        <v>10.07</v>
      </c>
      <c r="H667" s="182" t="n">
        <v>0</v>
      </c>
      <c r="I667" s="182" t="n">
        <v>0</v>
      </c>
      <c r="J667" s="182" t="n">
        <v>0</v>
      </c>
      <c r="K667" s="182" t="n">
        <v>1.93</v>
      </c>
      <c r="L667" s="182" t="n">
        <v>12</v>
      </c>
      <c r="M667" s="182" t="n">
        <v>0</v>
      </c>
      <c r="N667" s="182" t="n">
        <v>0</v>
      </c>
      <c r="O667" s="183" t="n">
        <v>0</v>
      </c>
      <c r="P667" s="183" t="n">
        <v>0</v>
      </c>
      <c r="Q667" s="184" t="n">
        <v>0</v>
      </c>
      <c r="R667" s="184" t="n">
        <v>0</v>
      </c>
      <c r="S667" s="183" t="n">
        <v>0</v>
      </c>
      <c r="T667" s="183" t="n">
        <v>0</v>
      </c>
      <c r="U667" s="182" t="n">
        <v>0.89</v>
      </c>
      <c r="V667" s="182" t="n">
        <v>0</v>
      </c>
      <c r="W667" s="182" t="n">
        <v>0</v>
      </c>
      <c r="X667" s="182" t="n">
        <v>0.96</v>
      </c>
      <c r="Y667" s="182" t="n">
        <v>0</v>
      </c>
      <c r="Z667" s="182" t="n">
        <v>0</v>
      </c>
      <c r="AA667" s="182" t="n">
        <v>0</v>
      </c>
      <c r="AB667" s="182" t="n">
        <v>0</v>
      </c>
      <c r="AC667" s="182" t="n">
        <v>0</v>
      </c>
      <c r="AD667" s="182" t="n">
        <v>0</v>
      </c>
      <c r="AE667" s="182" t="n">
        <v>0</v>
      </c>
      <c r="AF667" s="182" t="n">
        <v>0</v>
      </c>
      <c r="AG667" s="182" t="n">
        <v>0</v>
      </c>
      <c r="AH667" s="182" t="n">
        <v>0</v>
      </c>
      <c r="AI667" s="182" t="n">
        <v>0</v>
      </c>
      <c r="AJ667" s="182" t="n">
        <v>0</v>
      </c>
      <c r="AK667" s="182" t="n">
        <v>0</v>
      </c>
      <c r="AL667" s="182" t="n">
        <v>0</v>
      </c>
      <c r="AM667" s="182" t="n">
        <v>0.08</v>
      </c>
      <c r="AN667" s="182" t="n">
        <v>0</v>
      </c>
    </row>
    <row r="668">
      <c r="A668" s="155" t="n">
        <v>46085</v>
      </c>
      <c r="B668" s="156" t="inlineStr">
        <is>
          <t>DS</t>
        </is>
      </c>
      <c r="C668" s="156" t="inlineStr">
        <is>
          <t>DZ-037</t>
        </is>
      </c>
      <c r="D668" s="156" t="inlineStr">
        <is>
          <t>D 85 ESS-2</t>
        </is>
      </c>
      <c r="E668" s="156" t="inlineStr">
        <is>
          <t>Bulldozer</t>
        </is>
      </c>
      <c r="F668" s="156" t="inlineStr"/>
      <c r="G668" s="182" t="n">
        <v>0</v>
      </c>
      <c r="H668" s="182" t="n">
        <v>0</v>
      </c>
      <c r="I668" s="182" t="n">
        <v>12</v>
      </c>
      <c r="J668" s="182" t="n">
        <v>12</v>
      </c>
      <c r="K668" s="182" t="n">
        <v>0</v>
      </c>
      <c r="L668" s="182" t="n">
        <v>12</v>
      </c>
      <c r="M668" s="182" t="n">
        <v>0</v>
      </c>
      <c r="N668" s="182" t="n">
        <v>0</v>
      </c>
      <c r="O668" s="183" t="n">
        <v>0</v>
      </c>
      <c r="P668" s="183" t="n">
        <v>0</v>
      </c>
      <c r="Q668" s="184" t="n">
        <v>0</v>
      </c>
      <c r="R668" s="184" t="n">
        <v>0</v>
      </c>
      <c r="S668" s="183" t="n">
        <v>0</v>
      </c>
      <c r="T668" s="183" t="n">
        <v>0</v>
      </c>
      <c r="U668" s="182" t="n">
        <v>0</v>
      </c>
      <c r="V668" s="182" t="n">
        <v>0</v>
      </c>
      <c r="W668" s="182" t="n">
        <v>0</v>
      </c>
      <c r="X668" s="182" t="n">
        <v>0</v>
      </c>
      <c r="Y668" s="182" t="n">
        <v>0</v>
      </c>
      <c r="Z668" s="182" t="n">
        <v>0</v>
      </c>
      <c r="AA668" s="182" t="n">
        <v>0</v>
      </c>
      <c r="AB668" s="182" t="n">
        <v>0</v>
      </c>
      <c r="AC668" s="182" t="n">
        <v>0</v>
      </c>
      <c r="AD668" s="182" t="n">
        <v>0</v>
      </c>
      <c r="AE668" s="182" t="n">
        <v>0</v>
      </c>
      <c r="AF668" s="182" t="n">
        <v>0</v>
      </c>
      <c r="AG668" s="182" t="n">
        <v>0</v>
      </c>
      <c r="AH668" s="182" t="n">
        <v>0</v>
      </c>
      <c r="AI668" s="182" t="n">
        <v>0</v>
      </c>
      <c r="AJ668" s="182" t="n">
        <v>0</v>
      </c>
      <c r="AK668" s="182" t="n">
        <v>0</v>
      </c>
      <c r="AL668" s="182" t="n">
        <v>0</v>
      </c>
      <c r="AM668" s="182" t="n">
        <v>0</v>
      </c>
      <c r="AN668" s="182" t="n">
        <v>0</v>
      </c>
    </row>
    <row r="669">
      <c r="A669" s="155" t="n">
        <v>46085</v>
      </c>
      <c r="B669" s="156" t="inlineStr">
        <is>
          <t>DS</t>
        </is>
      </c>
      <c r="C669" s="156" t="inlineStr">
        <is>
          <t>DZ-036</t>
        </is>
      </c>
      <c r="D669" s="156" t="inlineStr">
        <is>
          <t>D 85 ESS-2</t>
        </is>
      </c>
      <c r="E669" s="156" t="inlineStr">
        <is>
          <t>Bulldozer</t>
        </is>
      </c>
      <c r="F669" s="156" t="inlineStr"/>
      <c r="G669" s="182" t="n">
        <v>0</v>
      </c>
      <c r="H669" s="182" t="n">
        <v>0</v>
      </c>
      <c r="I669" s="182" t="n">
        <v>0</v>
      </c>
      <c r="J669" s="182" t="n">
        <v>0</v>
      </c>
      <c r="K669" s="182" t="n">
        <v>12</v>
      </c>
      <c r="L669" s="182" t="n">
        <v>12</v>
      </c>
      <c r="M669" s="182" t="n">
        <v>0</v>
      </c>
      <c r="N669" s="182" t="n">
        <v>0</v>
      </c>
      <c r="O669" s="183" t="n">
        <v>0</v>
      </c>
      <c r="P669" s="183" t="n">
        <v>0</v>
      </c>
      <c r="Q669" s="184" t="n">
        <v>0</v>
      </c>
      <c r="R669" s="184" t="n">
        <v>0</v>
      </c>
      <c r="S669" s="183" t="n">
        <v>0</v>
      </c>
      <c r="T669" s="183" t="n">
        <v>0</v>
      </c>
      <c r="U669" s="182" t="n">
        <v>0</v>
      </c>
      <c r="V669" s="182" t="n">
        <v>0</v>
      </c>
      <c r="W669" s="182" t="n">
        <v>0</v>
      </c>
      <c r="X669" s="182" t="n">
        <v>1</v>
      </c>
      <c r="Y669" s="182" t="n">
        <v>0</v>
      </c>
      <c r="Z669" s="182" t="n">
        <v>0</v>
      </c>
      <c r="AA669" s="182" t="n">
        <v>0</v>
      </c>
      <c r="AB669" s="182" t="n">
        <v>0</v>
      </c>
      <c r="AC669" s="182" t="n">
        <v>0</v>
      </c>
      <c r="AD669" s="182" t="n">
        <v>0</v>
      </c>
      <c r="AE669" s="182" t="n">
        <v>0</v>
      </c>
      <c r="AF669" s="182" t="n">
        <v>0</v>
      </c>
      <c r="AG669" s="182" t="n">
        <v>0</v>
      </c>
      <c r="AH669" s="182" t="n">
        <v>0</v>
      </c>
      <c r="AI669" s="182" t="n">
        <v>0</v>
      </c>
      <c r="AJ669" s="182" t="n">
        <v>0</v>
      </c>
      <c r="AK669" s="182" t="n">
        <v>10.92</v>
      </c>
      <c r="AL669" s="182" t="n">
        <v>0</v>
      </c>
      <c r="AM669" s="182" t="n">
        <v>0.08</v>
      </c>
      <c r="AN669" s="182" t="n">
        <v>0</v>
      </c>
    </row>
    <row r="670">
      <c r="A670" s="155" t="n">
        <v>46085</v>
      </c>
      <c r="B670" s="156" t="inlineStr">
        <is>
          <t>DS</t>
        </is>
      </c>
      <c r="C670" s="156" t="inlineStr">
        <is>
          <t>DZ-035</t>
        </is>
      </c>
      <c r="D670" s="156" t="inlineStr">
        <is>
          <t>D 85 ESS-2</t>
        </is>
      </c>
      <c r="E670" s="156" t="inlineStr">
        <is>
          <t>Bulldozer</t>
        </is>
      </c>
      <c r="F670" s="156" t="inlineStr">
        <is>
          <t>Support Front Loading</t>
        </is>
      </c>
      <c r="G670" s="182" t="n">
        <v>3.09</v>
      </c>
      <c r="H670" s="182" t="n">
        <v>0</v>
      </c>
      <c r="I670" s="182" t="n">
        <v>8</v>
      </c>
      <c r="J670" s="182" t="n">
        <v>8</v>
      </c>
      <c r="K670" s="182" t="n">
        <v>0.91</v>
      </c>
      <c r="L670" s="182" t="n">
        <v>12</v>
      </c>
      <c r="M670" s="182" t="n">
        <v>0</v>
      </c>
      <c r="N670" s="182" t="n">
        <v>0</v>
      </c>
      <c r="O670" s="183" t="n">
        <v>0</v>
      </c>
      <c r="P670" s="183" t="n">
        <v>0</v>
      </c>
      <c r="Q670" s="184" t="n">
        <v>0</v>
      </c>
      <c r="R670" s="184" t="n">
        <v>0</v>
      </c>
      <c r="S670" s="183" t="n">
        <v>0</v>
      </c>
      <c r="T670" s="183" t="n">
        <v>0</v>
      </c>
      <c r="U670" s="182" t="n">
        <v>0</v>
      </c>
      <c r="V670" s="182" t="n">
        <v>0</v>
      </c>
      <c r="W670" s="182" t="n">
        <v>0</v>
      </c>
      <c r="X670" s="182" t="n">
        <v>0.8100000000000001</v>
      </c>
      <c r="Y670" s="182" t="n">
        <v>0</v>
      </c>
      <c r="Z670" s="182" t="n">
        <v>0</v>
      </c>
      <c r="AA670" s="182" t="n">
        <v>0</v>
      </c>
      <c r="AB670" s="182" t="n">
        <v>0</v>
      </c>
      <c r="AC670" s="182" t="n">
        <v>0</v>
      </c>
      <c r="AD670" s="182" t="n">
        <v>0</v>
      </c>
      <c r="AE670" s="182" t="n">
        <v>0</v>
      </c>
      <c r="AF670" s="182" t="n">
        <v>0</v>
      </c>
      <c r="AG670" s="182" t="n">
        <v>0</v>
      </c>
      <c r="AH670" s="182" t="n">
        <v>0</v>
      </c>
      <c r="AI670" s="182" t="n">
        <v>0</v>
      </c>
      <c r="AJ670" s="182" t="n">
        <v>0</v>
      </c>
      <c r="AK670" s="182" t="n">
        <v>0</v>
      </c>
      <c r="AL670" s="182" t="n">
        <v>0</v>
      </c>
      <c r="AM670" s="182" t="n">
        <v>0.1</v>
      </c>
      <c r="AN670" s="182" t="n">
        <v>0</v>
      </c>
    </row>
    <row r="671">
      <c r="A671" s="155" t="n">
        <v>46085</v>
      </c>
      <c r="B671" s="156" t="inlineStr">
        <is>
          <t>DS</t>
        </is>
      </c>
      <c r="C671" s="156" t="inlineStr">
        <is>
          <t>CP-042</t>
        </is>
      </c>
      <c r="D671" s="156" t="inlineStr">
        <is>
          <t>SANY - Compactor</t>
        </is>
      </c>
      <c r="E671" s="156" t="inlineStr">
        <is>
          <t>Compactor</t>
        </is>
      </c>
      <c r="F671" s="156" t="inlineStr">
        <is>
          <t>General Road (jetty)</t>
        </is>
      </c>
      <c r="G671" s="182" t="n">
        <v>1.97</v>
      </c>
      <c r="H671" s="182" t="n">
        <v>0</v>
      </c>
      <c r="I671" s="182" t="n">
        <v>0</v>
      </c>
      <c r="J671" s="182" t="n">
        <v>0</v>
      </c>
      <c r="K671" s="182" t="n">
        <v>10.03</v>
      </c>
      <c r="L671" s="182" t="n">
        <v>12</v>
      </c>
      <c r="M671" s="182" t="n">
        <v>0</v>
      </c>
      <c r="N671" s="182" t="n">
        <v>0</v>
      </c>
      <c r="O671" s="183" t="n">
        <v>0</v>
      </c>
      <c r="P671" s="183" t="n">
        <v>0</v>
      </c>
      <c r="Q671" s="184" t="n">
        <v>0</v>
      </c>
      <c r="R671" s="184" t="n">
        <v>0</v>
      </c>
      <c r="S671" s="183" t="n">
        <v>0</v>
      </c>
      <c r="T671" s="183" t="n">
        <v>0</v>
      </c>
      <c r="U671" s="182" t="n">
        <v>0</v>
      </c>
      <c r="V671" s="182" t="n">
        <v>0</v>
      </c>
      <c r="W671" s="182" t="n">
        <v>0</v>
      </c>
      <c r="X671" s="182" t="n">
        <v>1.02</v>
      </c>
      <c r="Y671" s="182" t="n">
        <v>0</v>
      </c>
      <c r="Z671" s="182" t="n">
        <v>0</v>
      </c>
      <c r="AA671" s="182" t="n">
        <v>0</v>
      </c>
      <c r="AB671" s="182" t="n">
        <v>0</v>
      </c>
      <c r="AC671" s="182" t="n">
        <v>0</v>
      </c>
      <c r="AD671" s="182" t="n">
        <v>0</v>
      </c>
      <c r="AE671" s="182" t="n">
        <v>0</v>
      </c>
      <c r="AF671" s="182" t="n">
        <v>0</v>
      </c>
      <c r="AG671" s="182" t="n">
        <v>0</v>
      </c>
      <c r="AH671" s="182" t="n">
        <v>0</v>
      </c>
      <c r="AI671" s="182" t="n">
        <v>0</v>
      </c>
      <c r="AJ671" s="182" t="n">
        <v>0</v>
      </c>
      <c r="AK671" s="182" t="n">
        <v>8.92</v>
      </c>
      <c r="AL671" s="182" t="n">
        <v>0</v>
      </c>
      <c r="AM671" s="182" t="n">
        <v>0.08</v>
      </c>
      <c r="AN671" s="182" t="n">
        <v>0</v>
      </c>
    </row>
    <row r="672">
      <c r="A672" s="155" t="n">
        <v>46085</v>
      </c>
      <c r="B672" s="156" t="inlineStr">
        <is>
          <t>DS</t>
        </is>
      </c>
      <c r="C672" s="156" t="inlineStr">
        <is>
          <t>CP-041</t>
        </is>
      </c>
      <c r="D672" s="156" t="inlineStr">
        <is>
          <t>SANY - Compactor</t>
        </is>
      </c>
      <c r="E672" s="156" t="inlineStr">
        <is>
          <t>Compactor</t>
        </is>
      </c>
      <c r="F672" s="156" t="inlineStr">
        <is>
          <t>General Road</t>
        </is>
      </c>
      <c r="G672" s="182" t="n">
        <v>2.86</v>
      </c>
      <c r="H672" s="182" t="n">
        <v>0</v>
      </c>
      <c r="I672" s="182" t="n">
        <v>0</v>
      </c>
      <c r="J672" s="182" t="n">
        <v>0</v>
      </c>
      <c r="K672" s="182" t="n">
        <v>9.140000000000001</v>
      </c>
      <c r="L672" s="182" t="n">
        <v>12</v>
      </c>
      <c r="M672" s="182" t="n">
        <v>0</v>
      </c>
      <c r="N672" s="182" t="n">
        <v>0</v>
      </c>
      <c r="O672" s="183" t="n">
        <v>0</v>
      </c>
      <c r="P672" s="183" t="n">
        <v>0</v>
      </c>
      <c r="Q672" s="184" t="n">
        <v>0</v>
      </c>
      <c r="R672" s="184" t="n">
        <v>0</v>
      </c>
      <c r="S672" s="183" t="n">
        <v>0</v>
      </c>
      <c r="T672" s="183" t="n">
        <v>0</v>
      </c>
      <c r="U672" s="182" t="n">
        <v>1.44</v>
      </c>
      <c r="V672" s="182" t="n">
        <v>0</v>
      </c>
      <c r="W672" s="182" t="n">
        <v>0</v>
      </c>
      <c r="X672" s="182" t="n">
        <v>1.02</v>
      </c>
      <c r="Y672" s="182" t="n">
        <v>0</v>
      </c>
      <c r="Z672" s="182" t="n">
        <v>0</v>
      </c>
      <c r="AA672" s="182" t="n">
        <v>0</v>
      </c>
      <c r="AB672" s="182" t="n">
        <v>0</v>
      </c>
      <c r="AC672" s="182" t="n">
        <v>0</v>
      </c>
      <c r="AD672" s="182" t="n">
        <v>0</v>
      </c>
      <c r="AE672" s="182" t="n">
        <v>0</v>
      </c>
      <c r="AF672" s="182" t="n">
        <v>0</v>
      </c>
      <c r="AG672" s="182" t="n">
        <v>0</v>
      </c>
      <c r="AH672" s="182" t="n">
        <v>0</v>
      </c>
      <c r="AI672" s="182" t="n">
        <v>0</v>
      </c>
      <c r="AJ672" s="182" t="n">
        <v>0</v>
      </c>
      <c r="AK672" s="182" t="n">
        <v>6.6</v>
      </c>
      <c r="AL672" s="182" t="n">
        <v>0</v>
      </c>
      <c r="AM672" s="182" t="n">
        <v>0.08</v>
      </c>
      <c r="AN672" s="182" t="n">
        <v>0</v>
      </c>
    </row>
    <row r="673">
      <c r="A673" s="155" t="n">
        <v>46085</v>
      </c>
      <c r="B673" s="156" t="inlineStr">
        <is>
          <t>DS</t>
        </is>
      </c>
      <c r="C673" s="156" t="inlineStr">
        <is>
          <t>HT-418</t>
        </is>
      </c>
      <c r="D673" s="156" t="inlineStr">
        <is>
          <t>SY430</t>
        </is>
      </c>
      <c r="E673" s="156" t="inlineStr">
        <is>
          <t>DT Hauling</t>
        </is>
      </c>
      <c r="F673" s="156" t="inlineStr"/>
      <c r="G673" s="182" t="n">
        <v>0</v>
      </c>
      <c r="H673" s="182" t="n">
        <v>0</v>
      </c>
      <c r="I673" s="182" t="n">
        <v>0</v>
      </c>
      <c r="J673" s="182" t="n">
        <v>0</v>
      </c>
      <c r="K673" s="182" t="n">
        <v>12</v>
      </c>
      <c r="L673" s="182" t="n">
        <v>12</v>
      </c>
      <c r="M673" s="182" t="n">
        <v>0</v>
      </c>
      <c r="N673" s="182" t="n">
        <v>0</v>
      </c>
      <c r="O673" s="183" t="n">
        <v>0</v>
      </c>
      <c r="P673" s="183" t="n">
        <v>0</v>
      </c>
      <c r="Q673" s="184" t="n">
        <v>0</v>
      </c>
      <c r="R673" s="184" t="n">
        <v>0</v>
      </c>
      <c r="S673" s="183" t="n">
        <v>0</v>
      </c>
      <c r="T673" s="183" t="n">
        <v>0</v>
      </c>
      <c r="U673" s="182" t="n">
        <v>0</v>
      </c>
      <c r="V673" s="182" t="n">
        <v>0</v>
      </c>
      <c r="W673" s="182" t="n">
        <v>0</v>
      </c>
      <c r="X673" s="182" t="n">
        <v>1</v>
      </c>
      <c r="Y673" s="182" t="n">
        <v>0</v>
      </c>
      <c r="Z673" s="182" t="n">
        <v>0</v>
      </c>
      <c r="AA673" s="182" t="n">
        <v>0</v>
      </c>
      <c r="AB673" s="182" t="n">
        <v>0</v>
      </c>
      <c r="AC673" s="182" t="n">
        <v>0</v>
      </c>
      <c r="AD673" s="182" t="n">
        <v>0</v>
      </c>
      <c r="AE673" s="182" t="n">
        <v>0</v>
      </c>
      <c r="AF673" s="182" t="n">
        <v>0</v>
      </c>
      <c r="AG673" s="182" t="n">
        <v>0</v>
      </c>
      <c r="AH673" s="182" t="n">
        <v>0</v>
      </c>
      <c r="AI673" s="182" t="n">
        <v>0</v>
      </c>
      <c r="AJ673" s="182" t="n">
        <v>0</v>
      </c>
      <c r="AK673" s="182" t="n">
        <v>10.92</v>
      </c>
      <c r="AL673" s="182" t="n">
        <v>0</v>
      </c>
      <c r="AM673" s="182" t="n">
        <v>0.08</v>
      </c>
      <c r="AN673" s="182" t="n">
        <v>0</v>
      </c>
    </row>
    <row r="674">
      <c r="A674" s="155" t="n">
        <v>46085</v>
      </c>
      <c r="B674" s="156" t="inlineStr">
        <is>
          <t>DS</t>
        </is>
      </c>
      <c r="C674" s="156" t="inlineStr">
        <is>
          <t>HT-404</t>
        </is>
      </c>
      <c r="D674" s="156" t="inlineStr">
        <is>
          <t>SY430</t>
        </is>
      </c>
      <c r="E674" s="156" t="inlineStr">
        <is>
          <t>DT Hauling</t>
        </is>
      </c>
      <c r="F674" s="156" t="inlineStr"/>
      <c r="G674" s="182" t="n">
        <v>0</v>
      </c>
      <c r="H674" s="182" t="n">
        <v>0</v>
      </c>
      <c r="I674" s="182" t="n">
        <v>0</v>
      </c>
      <c r="J674" s="182" t="n">
        <v>0</v>
      </c>
      <c r="K674" s="182" t="n">
        <v>12</v>
      </c>
      <c r="L674" s="182" t="n">
        <v>12</v>
      </c>
      <c r="M674" s="182" t="n">
        <v>0</v>
      </c>
      <c r="N674" s="182" t="n">
        <v>0</v>
      </c>
      <c r="O674" s="183" t="n">
        <v>0</v>
      </c>
      <c r="P674" s="183" t="n">
        <v>0</v>
      </c>
      <c r="Q674" s="184" t="n">
        <v>0</v>
      </c>
      <c r="R674" s="184" t="n">
        <v>0</v>
      </c>
      <c r="S674" s="183" t="n">
        <v>0</v>
      </c>
      <c r="T674" s="183" t="n">
        <v>0</v>
      </c>
      <c r="U674" s="182" t="n">
        <v>0</v>
      </c>
      <c r="V674" s="182" t="n">
        <v>0</v>
      </c>
      <c r="W674" s="182" t="n">
        <v>0</v>
      </c>
      <c r="X674" s="182" t="n">
        <v>1</v>
      </c>
      <c r="Y674" s="182" t="n">
        <v>0</v>
      </c>
      <c r="Z674" s="182" t="n">
        <v>0</v>
      </c>
      <c r="AA674" s="182" t="n">
        <v>0</v>
      </c>
      <c r="AB674" s="182" t="n">
        <v>0</v>
      </c>
      <c r="AC674" s="182" t="n">
        <v>0</v>
      </c>
      <c r="AD674" s="182" t="n">
        <v>0</v>
      </c>
      <c r="AE674" s="182" t="n">
        <v>0</v>
      </c>
      <c r="AF674" s="182" t="n">
        <v>0</v>
      </c>
      <c r="AG674" s="182" t="n">
        <v>0</v>
      </c>
      <c r="AH674" s="182" t="n">
        <v>0</v>
      </c>
      <c r="AI674" s="182" t="n">
        <v>0</v>
      </c>
      <c r="AJ674" s="182" t="n">
        <v>0</v>
      </c>
      <c r="AK674" s="182" t="n">
        <v>10.92</v>
      </c>
      <c r="AL674" s="182" t="n">
        <v>0</v>
      </c>
      <c r="AM674" s="182" t="n">
        <v>0.08</v>
      </c>
      <c r="AN674" s="182" t="n">
        <v>0</v>
      </c>
    </row>
    <row r="675">
      <c r="A675" s="155" t="n">
        <v>46085</v>
      </c>
      <c r="B675" s="156" t="inlineStr">
        <is>
          <t>DS</t>
        </is>
      </c>
      <c r="C675" s="156" t="inlineStr">
        <is>
          <t>HT-415</t>
        </is>
      </c>
      <c r="D675" s="156" t="inlineStr">
        <is>
          <t>SY430</t>
        </is>
      </c>
      <c r="E675" s="156" t="inlineStr">
        <is>
          <t>DT Hauling</t>
        </is>
      </c>
      <c r="F675" s="156" t="inlineStr"/>
      <c r="G675" s="182" t="n">
        <v>0</v>
      </c>
      <c r="H675" s="182" t="n">
        <v>0</v>
      </c>
      <c r="I675" s="182" t="n">
        <v>12</v>
      </c>
      <c r="J675" s="182" t="n">
        <v>12</v>
      </c>
      <c r="K675" s="182" t="n">
        <v>0</v>
      </c>
      <c r="L675" s="182" t="n">
        <v>12</v>
      </c>
      <c r="M675" s="182" t="n">
        <v>0</v>
      </c>
      <c r="N675" s="182" t="n">
        <v>0</v>
      </c>
      <c r="O675" s="183" t="n">
        <v>0</v>
      </c>
      <c r="P675" s="183" t="n">
        <v>0</v>
      </c>
      <c r="Q675" s="184" t="n">
        <v>0</v>
      </c>
      <c r="R675" s="184" t="n">
        <v>0</v>
      </c>
      <c r="S675" s="183" t="n">
        <v>0</v>
      </c>
      <c r="T675" s="183" t="n">
        <v>0</v>
      </c>
      <c r="U675" s="182" t="n">
        <v>0</v>
      </c>
      <c r="V675" s="182" t="n">
        <v>0</v>
      </c>
      <c r="W675" s="182" t="n">
        <v>0</v>
      </c>
      <c r="X675" s="182" t="n">
        <v>0</v>
      </c>
      <c r="Y675" s="182" t="n">
        <v>0</v>
      </c>
      <c r="Z675" s="182" t="n">
        <v>0</v>
      </c>
      <c r="AA675" s="182" t="n">
        <v>0</v>
      </c>
      <c r="AB675" s="182" t="n">
        <v>0</v>
      </c>
      <c r="AC675" s="182" t="n">
        <v>0</v>
      </c>
      <c r="AD675" s="182" t="n">
        <v>0</v>
      </c>
      <c r="AE675" s="182" t="n">
        <v>0</v>
      </c>
      <c r="AF675" s="182" t="n">
        <v>0</v>
      </c>
      <c r="AG675" s="182" t="n">
        <v>0</v>
      </c>
      <c r="AH675" s="182" t="n">
        <v>0</v>
      </c>
      <c r="AI675" s="182" t="n">
        <v>0</v>
      </c>
      <c r="AJ675" s="182" t="n">
        <v>0</v>
      </c>
      <c r="AK675" s="182" t="n">
        <v>0</v>
      </c>
      <c r="AL675" s="182" t="n">
        <v>0</v>
      </c>
      <c r="AM675" s="182" t="n">
        <v>0</v>
      </c>
      <c r="AN675" s="182" t="n">
        <v>0</v>
      </c>
    </row>
    <row r="676">
      <c r="A676" s="155" t="n">
        <v>46085</v>
      </c>
      <c r="B676" s="156" t="inlineStr">
        <is>
          <t>DS</t>
        </is>
      </c>
      <c r="C676" s="156" t="inlineStr">
        <is>
          <t>HT-406</t>
        </is>
      </c>
      <c r="D676" s="156" t="inlineStr">
        <is>
          <t>SY430</t>
        </is>
      </c>
      <c r="E676" s="156" t="inlineStr">
        <is>
          <t>DT Hauling</t>
        </is>
      </c>
      <c r="F676" s="156" t="inlineStr"/>
      <c r="G676" s="182" t="n">
        <v>0</v>
      </c>
      <c r="H676" s="182" t="n">
        <v>0</v>
      </c>
      <c r="I676" s="182" t="n">
        <v>0</v>
      </c>
      <c r="J676" s="182" t="n">
        <v>0</v>
      </c>
      <c r="K676" s="182" t="n">
        <v>12</v>
      </c>
      <c r="L676" s="182" t="n">
        <v>12</v>
      </c>
      <c r="M676" s="182" t="n">
        <v>0</v>
      </c>
      <c r="N676" s="182" t="n">
        <v>0</v>
      </c>
      <c r="O676" s="183" t="n">
        <v>0</v>
      </c>
      <c r="P676" s="183" t="n">
        <v>0</v>
      </c>
      <c r="Q676" s="184" t="n">
        <v>0</v>
      </c>
      <c r="R676" s="184" t="n">
        <v>0</v>
      </c>
      <c r="S676" s="183" t="n">
        <v>0</v>
      </c>
      <c r="T676" s="183" t="n">
        <v>0</v>
      </c>
      <c r="U676" s="182" t="n">
        <v>0</v>
      </c>
      <c r="V676" s="182" t="n">
        <v>0</v>
      </c>
      <c r="W676" s="182" t="n">
        <v>0</v>
      </c>
      <c r="X676" s="182" t="n">
        <v>1</v>
      </c>
      <c r="Y676" s="182" t="n">
        <v>0</v>
      </c>
      <c r="Z676" s="182" t="n">
        <v>0</v>
      </c>
      <c r="AA676" s="182" t="n">
        <v>0</v>
      </c>
      <c r="AB676" s="182" t="n">
        <v>0</v>
      </c>
      <c r="AC676" s="182" t="n">
        <v>0</v>
      </c>
      <c r="AD676" s="182" t="n">
        <v>0</v>
      </c>
      <c r="AE676" s="182" t="n">
        <v>0</v>
      </c>
      <c r="AF676" s="182" t="n">
        <v>0</v>
      </c>
      <c r="AG676" s="182" t="n">
        <v>0</v>
      </c>
      <c r="AH676" s="182" t="n">
        <v>0</v>
      </c>
      <c r="AI676" s="182" t="n">
        <v>0</v>
      </c>
      <c r="AJ676" s="182" t="n">
        <v>0</v>
      </c>
      <c r="AK676" s="182" t="n">
        <v>10.92</v>
      </c>
      <c r="AL676" s="182" t="n">
        <v>0</v>
      </c>
      <c r="AM676" s="182" t="n">
        <v>0.08</v>
      </c>
      <c r="AN676" s="182" t="n">
        <v>0</v>
      </c>
    </row>
    <row r="677">
      <c r="A677" s="155" t="n">
        <v>46085</v>
      </c>
      <c r="B677" s="156" t="inlineStr">
        <is>
          <t>DS</t>
        </is>
      </c>
      <c r="C677" s="156" t="inlineStr">
        <is>
          <t>HT-405</t>
        </is>
      </c>
      <c r="D677" s="156" t="inlineStr">
        <is>
          <t>SY430</t>
        </is>
      </c>
      <c r="E677" s="156" t="inlineStr">
        <is>
          <t>DT Hauling</t>
        </is>
      </c>
      <c r="F677" s="156" t="inlineStr"/>
      <c r="G677" s="182" t="n">
        <v>0</v>
      </c>
      <c r="H677" s="182" t="n">
        <v>0</v>
      </c>
      <c r="I677" s="182" t="n">
        <v>0</v>
      </c>
      <c r="J677" s="182" t="n">
        <v>0</v>
      </c>
      <c r="K677" s="182" t="n">
        <v>12</v>
      </c>
      <c r="L677" s="182" t="n">
        <v>12</v>
      </c>
      <c r="M677" s="182" t="n">
        <v>0</v>
      </c>
      <c r="N677" s="182" t="n">
        <v>0</v>
      </c>
      <c r="O677" s="183" t="n">
        <v>0</v>
      </c>
      <c r="P677" s="183" t="n">
        <v>0</v>
      </c>
      <c r="Q677" s="184" t="n">
        <v>0</v>
      </c>
      <c r="R677" s="184" t="n">
        <v>0</v>
      </c>
      <c r="S677" s="183" t="n">
        <v>0</v>
      </c>
      <c r="T677" s="183" t="n">
        <v>0</v>
      </c>
      <c r="U677" s="182" t="n">
        <v>0</v>
      </c>
      <c r="V677" s="182" t="n">
        <v>0</v>
      </c>
      <c r="W677" s="182" t="n">
        <v>0</v>
      </c>
      <c r="X677" s="182" t="n">
        <v>1</v>
      </c>
      <c r="Y677" s="182" t="n">
        <v>0</v>
      </c>
      <c r="Z677" s="182" t="n">
        <v>0</v>
      </c>
      <c r="AA677" s="182" t="n">
        <v>0</v>
      </c>
      <c r="AB677" s="182" t="n">
        <v>0</v>
      </c>
      <c r="AC677" s="182" t="n">
        <v>0</v>
      </c>
      <c r="AD677" s="182" t="n">
        <v>0</v>
      </c>
      <c r="AE677" s="182" t="n">
        <v>0</v>
      </c>
      <c r="AF677" s="182" t="n">
        <v>0</v>
      </c>
      <c r="AG677" s="182" t="n">
        <v>0</v>
      </c>
      <c r="AH677" s="182" t="n">
        <v>0</v>
      </c>
      <c r="AI677" s="182" t="n">
        <v>0</v>
      </c>
      <c r="AJ677" s="182" t="n">
        <v>0</v>
      </c>
      <c r="AK677" s="182" t="n">
        <v>10.92</v>
      </c>
      <c r="AL677" s="182" t="n">
        <v>0</v>
      </c>
      <c r="AM677" s="182" t="n">
        <v>0.08</v>
      </c>
      <c r="AN677" s="182" t="n">
        <v>0</v>
      </c>
    </row>
    <row r="678">
      <c r="A678" s="155" t="n">
        <v>46085</v>
      </c>
      <c r="B678" s="156" t="inlineStr">
        <is>
          <t>DS</t>
        </is>
      </c>
      <c r="C678" s="156" t="inlineStr">
        <is>
          <t>HT-417</t>
        </is>
      </c>
      <c r="D678" s="156" t="inlineStr">
        <is>
          <t>SY430</t>
        </is>
      </c>
      <c r="E678" s="156" t="inlineStr">
        <is>
          <t>DT Hauling</t>
        </is>
      </c>
      <c r="F678" s="156" t="inlineStr"/>
      <c r="G678" s="182" t="n">
        <v>0</v>
      </c>
      <c r="H678" s="182" t="n">
        <v>0</v>
      </c>
      <c r="I678" s="182" t="n">
        <v>0</v>
      </c>
      <c r="J678" s="182" t="n">
        <v>0</v>
      </c>
      <c r="K678" s="182" t="n">
        <v>12</v>
      </c>
      <c r="L678" s="182" t="n">
        <v>12</v>
      </c>
      <c r="M678" s="182" t="n">
        <v>0</v>
      </c>
      <c r="N678" s="182" t="n">
        <v>0</v>
      </c>
      <c r="O678" s="183" t="n">
        <v>0</v>
      </c>
      <c r="P678" s="183" t="n">
        <v>0</v>
      </c>
      <c r="Q678" s="184" t="n">
        <v>0</v>
      </c>
      <c r="R678" s="184" t="n">
        <v>0</v>
      </c>
      <c r="S678" s="183" t="n">
        <v>0</v>
      </c>
      <c r="T678" s="183" t="n">
        <v>0</v>
      </c>
      <c r="U678" s="182" t="n">
        <v>0</v>
      </c>
      <c r="V678" s="182" t="n">
        <v>0</v>
      </c>
      <c r="W678" s="182" t="n">
        <v>0</v>
      </c>
      <c r="X678" s="182" t="n">
        <v>1</v>
      </c>
      <c r="Y678" s="182" t="n">
        <v>0</v>
      </c>
      <c r="Z678" s="182" t="n">
        <v>0</v>
      </c>
      <c r="AA678" s="182" t="n">
        <v>0</v>
      </c>
      <c r="AB678" s="182" t="n">
        <v>0</v>
      </c>
      <c r="AC678" s="182" t="n">
        <v>0</v>
      </c>
      <c r="AD678" s="182" t="n">
        <v>0</v>
      </c>
      <c r="AE678" s="182" t="n">
        <v>0</v>
      </c>
      <c r="AF678" s="182" t="n">
        <v>0</v>
      </c>
      <c r="AG678" s="182" t="n">
        <v>0</v>
      </c>
      <c r="AH678" s="182" t="n">
        <v>0</v>
      </c>
      <c r="AI678" s="182" t="n">
        <v>0</v>
      </c>
      <c r="AJ678" s="182" t="n">
        <v>0</v>
      </c>
      <c r="AK678" s="182" t="n">
        <v>10.92</v>
      </c>
      <c r="AL678" s="182" t="n">
        <v>0</v>
      </c>
      <c r="AM678" s="182" t="n">
        <v>0.08</v>
      </c>
      <c r="AN678" s="182" t="n">
        <v>0</v>
      </c>
    </row>
    <row r="679">
      <c r="A679" s="155" t="n">
        <v>46085</v>
      </c>
      <c r="B679" s="156" t="inlineStr">
        <is>
          <t>DS</t>
        </is>
      </c>
      <c r="C679" s="156" t="inlineStr">
        <is>
          <t>HT-401</t>
        </is>
      </c>
      <c r="D679" s="156" t="inlineStr">
        <is>
          <t>SY430</t>
        </is>
      </c>
      <c r="E679" s="156" t="inlineStr">
        <is>
          <t>DT Hauling</t>
        </is>
      </c>
      <c r="F679" s="156" t="inlineStr"/>
      <c r="G679" s="182" t="n">
        <v>0</v>
      </c>
      <c r="H679" s="182" t="n">
        <v>0</v>
      </c>
      <c r="I679" s="182" t="n">
        <v>0</v>
      </c>
      <c r="J679" s="182" t="n">
        <v>0</v>
      </c>
      <c r="K679" s="182" t="n">
        <v>12</v>
      </c>
      <c r="L679" s="182" t="n">
        <v>12</v>
      </c>
      <c r="M679" s="182" t="n">
        <v>0</v>
      </c>
      <c r="N679" s="182" t="n">
        <v>0</v>
      </c>
      <c r="O679" s="183" t="n">
        <v>0</v>
      </c>
      <c r="P679" s="183" t="n">
        <v>0</v>
      </c>
      <c r="Q679" s="184" t="n">
        <v>0</v>
      </c>
      <c r="R679" s="184" t="n">
        <v>0</v>
      </c>
      <c r="S679" s="183" t="n">
        <v>0</v>
      </c>
      <c r="T679" s="183" t="n">
        <v>0</v>
      </c>
      <c r="U679" s="182" t="n">
        <v>0</v>
      </c>
      <c r="V679" s="182" t="n">
        <v>0</v>
      </c>
      <c r="W679" s="182" t="n">
        <v>0</v>
      </c>
      <c r="X679" s="182" t="n">
        <v>1</v>
      </c>
      <c r="Y679" s="182" t="n">
        <v>0</v>
      </c>
      <c r="Z679" s="182" t="n">
        <v>0</v>
      </c>
      <c r="AA679" s="182" t="n">
        <v>0</v>
      </c>
      <c r="AB679" s="182" t="n">
        <v>0</v>
      </c>
      <c r="AC679" s="182" t="n">
        <v>0</v>
      </c>
      <c r="AD679" s="182" t="n">
        <v>0</v>
      </c>
      <c r="AE679" s="182" t="n">
        <v>0</v>
      </c>
      <c r="AF679" s="182" t="n">
        <v>0</v>
      </c>
      <c r="AG679" s="182" t="n">
        <v>0</v>
      </c>
      <c r="AH679" s="182" t="n">
        <v>0</v>
      </c>
      <c r="AI679" s="182" t="n">
        <v>0</v>
      </c>
      <c r="AJ679" s="182" t="n">
        <v>0</v>
      </c>
      <c r="AK679" s="182" t="n">
        <v>10.92</v>
      </c>
      <c r="AL679" s="182" t="n">
        <v>0</v>
      </c>
      <c r="AM679" s="182" t="n">
        <v>0.08</v>
      </c>
      <c r="AN679" s="182" t="n">
        <v>0</v>
      </c>
    </row>
    <row r="680">
      <c r="A680" s="155" t="n">
        <v>46085</v>
      </c>
      <c r="B680" s="156" t="inlineStr">
        <is>
          <t>DS</t>
        </is>
      </c>
      <c r="C680" s="156" t="inlineStr">
        <is>
          <t>HT-410</t>
        </is>
      </c>
      <c r="D680" s="156" t="inlineStr">
        <is>
          <t>SY430</t>
        </is>
      </c>
      <c r="E680" s="156" t="inlineStr">
        <is>
          <t>DT Hauling</t>
        </is>
      </c>
      <c r="F680" s="156" t="inlineStr"/>
      <c r="G680" s="182" t="n">
        <v>0</v>
      </c>
      <c r="H680" s="182" t="n">
        <v>0</v>
      </c>
      <c r="I680" s="182" t="n">
        <v>0</v>
      </c>
      <c r="J680" s="182" t="n">
        <v>0</v>
      </c>
      <c r="K680" s="182" t="n">
        <v>12</v>
      </c>
      <c r="L680" s="182" t="n">
        <v>12</v>
      </c>
      <c r="M680" s="182" t="n">
        <v>0</v>
      </c>
      <c r="N680" s="182" t="n">
        <v>0</v>
      </c>
      <c r="O680" s="183" t="n">
        <v>0</v>
      </c>
      <c r="P680" s="183" t="n">
        <v>0</v>
      </c>
      <c r="Q680" s="184" t="n">
        <v>0</v>
      </c>
      <c r="R680" s="184" t="n">
        <v>0</v>
      </c>
      <c r="S680" s="183" t="n">
        <v>0</v>
      </c>
      <c r="T680" s="183" t="n">
        <v>0</v>
      </c>
      <c r="U680" s="182" t="n">
        <v>0</v>
      </c>
      <c r="V680" s="182" t="n">
        <v>0</v>
      </c>
      <c r="W680" s="182" t="n">
        <v>0</v>
      </c>
      <c r="X680" s="182" t="n">
        <v>1</v>
      </c>
      <c r="Y680" s="182" t="n">
        <v>0</v>
      </c>
      <c r="Z680" s="182" t="n">
        <v>0</v>
      </c>
      <c r="AA680" s="182" t="n">
        <v>0</v>
      </c>
      <c r="AB680" s="182" t="n">
        <v>0</v>
      </c>
      <c r="AC680" s="182" t="n">
        <v>0</v>
      </c>
      <c r="AD680" s="182" t="n">
        <v>0</v>
      </c>
      <c r="AE680" s="182" t="n">
        <v>0</v>
      </c>
      <c r="AF680" s="182" t="n">
        <v>0</v>
      </c>
      <c r="AG680" s="182" t="n">
        <v>0</v>
      </c>
      <c r="AH680" s="182" t="n">
        <v>0</v>
      </c>
      <c r="AI680" s="182" t="n">
        <v>0</v>
      </c>
      <c r="AJ680" s="182" t="n">
        <v>0</v>
      </c>
      <c r="AK680" s="182" t="n">
        <v>10.92</v>
      </c>
      <c r="AL680" s="182" t="n">
        <v>0</v>
      </c>
      <c r="AM680" s="182" t="n">
        <v>0.08</v>
      </c>
      <c r="AN680" s="182" t="n">
        <v>0</v>
      </c>
    </row>
    <row r="681">
      <c r="A681" s="155" t="n">
        <v>46085</v>
      </c>
      <c r="B681" s="156" t="inlineStr">
        <is>
          <t>DS</t>
        </is>
      </c>
      <c r="C681" s="156" t="inlineStr">
        <is>
          <t>HT-402</t>
        </is>
      </c>
      <c r="D681" s="156" t="inlineStr">
        <is>
          <t>SY430</t>
        </is>
      </c>
      <c r="E681" s="156" t="inlineStr">
        <is>
          <t>DT Hauling</t>
        </is>
      </c>
      <c r="F681" s="156" t="inlineStr"/>
      <c r="G681" s="182" t="n">
        <v>0</v>
      </c>
      <c r="H681" s="182" t="n">
        <v>0</v>
      </c>
      <c r="I681" s="182" t="n">
        <v>0</v>
      </c>
      <c r="J681" s="182" t="n">
        <v>0</v>
      </c>
      <c r="K681" s="182" t="n">
        <v>12</v>
      </c>
      <c r="L681" s="182" t="n">
        <v>12</v>
      </c>
      <c r="M681" s="182" t="n">
        <v>0</v>
      </c>
      <c r="N681" s="182" t="n">
        <v>0</v>
      </c>
      <c r="O681" s="183" t="n">
        <v>0</v>
      </c>
      <c r="P681" s="183" t="n">
        <v>0</v>
      </c>
      <c r="Q681" s="184" t="n">
        <v>0</v>
      </c>
      <c r="R681" s="184" t="n">
        <v>0</v>
      </c>
      <c r="S681" s="183" t="n">
        <v>0</v>
      </c>
      <c r="T681" s="183" t="n">
        <v>0</v>
      </c>
      <c r="U681" s="182" t="n">
        <v>0</v>
      </c>
      <c r="V681" s="182" t="n">
        <v>0</v>
      </c>
      <c r="W681" s="182" t="n">
        <v>0</v>
      </c>
      <c r="X681" s="182" t="n">
        <v>1</v>
      </c>
      <c r="Y681" s="182" t="n">
        <v>0</v>
      </c>
      <c r="Z681" s="182" t="n">
        <v>0</v>
      </c>
      <c r="AA681" s="182" t="n">
        <v>0</v>
      </c>
      <c r="AB681" s="182" t="n">
        <v>0</v>
      </c>
      <c r="AC681" s="182" t="n">
        <v>0</v>
      </c>
      <c r="AD681" s="182" t="n">
        <v>0</v>
      </c>
      <c r="AE681" s="182" t="n">
        <v>0</v>
      </c>
      <c r="AF681" s="182" t="n">
        <v>0</v>
      </c>
      <c r="AG681" s="182" t="n">
        <v>0</v>
      </c>
      <c r="AH681" s="182" t="n">
        <v>0</v>
      </c>
      <c r="AI681" s="182" t="n">
        <v>0</v>
      </c>
      <c r="AJ681" s="182" t="n">
        <v>0</v>
      </c>
      <c r="AK681" s="182" t="n">
        <v>10.92</v>
      </c>
      <c r="AL681" s="182" t="n">
        <v>0</v>
      </c>
      <c r="AM681" s="182" t="n">
        <v>0.08</v>
      </c>
      <c r="AN681" s="182" t="n">
        <v>0</v>
      </c>
    </row>
    <row r="682">
      <c r="A682" s="155" t="n">
        <v>46085</v>
      </c>
      <c r="B682" s="156" t="inlineStr">
        <is>
          <t>DS</t>
        </is>
      </c>
      <c r="C682" s="156" t="inlineStr">
        <is>
          <t>HT-419</t>
        </is>
      </c>
      <c r="D682" s="156" t="inlineStr">
        <is>
          <t>SY430</t>
        </is>
      </c>
      <c r="E682" s="156" t="inlineStr">
        <is>
          <t>DT Hauling</t>
        </is>
      </c>
      <c r="F682" s="156" t="inlineStr"/>
      <c r="G682" s="182" t="n">
        <v>0</v>
      </c>
      <c r="H682" s="182" t="n">
        <v>0</v>
      </c>
      <c r="I682" s="182" t="n">
        <v>12</v>
      </c>
      <c r="J682" s="182" t="n">
        <v>12</v>
      </c>
      <c r="K682" s="182" t="n">
        <v>0</v>
      </c>
      <c r="L682" s="182" t="n">
        <v>12</v>
      </c>
      <c r="M682" s="182" t="n">
        <v>0</v>
      </c>
      <c r="N682" s="182" t="n">
        <v>0</v>
      </c>
      <c r="O682" s="183" t="n">
        <v>0</v>
      </c>
      <c r="P682" s="183" t="n">
        <v>0</v>
      </c>
      <c r="Q682" s="184" t="n">
        <v>0</v>
      </c>
      <c r="R682" s="184" t="n">
        <v>0</v>
      </c>
      <c r="S682" s="183" t="n">
        <v>0</v>
      </c>
      <c r="T682" s="183" t="n">
        <v>0</v>
      </c>
      <c r="U682" s="182" t="n">
        <v>0</v>
      </c>
      <c r="V682" s="182" t="n">
        <v>0</v>
      </c>
      <c r="W682" s="182" t="n">
        <v>0</v>
      </c>
      <c r="X682" s="182" t="n">
        <v>0</v>
      </c>
      <c r="Y682" s="182" t="n">
        <v>0</v>
      </c>
      <c r="Z682" s="182" t="n">
        <v>0</v>
      </c>
      <c r="AA682" s="182" t="n">
        <v>0</v>
      </c>
      <c r="AB682" s="182" t="n">
        <v>0</v>
      </c>
      <c r="AC682" s="182" t="n">
        <v>0</v>
      </c>
      <c r="AD682" s="182" t="n">
        <v>0</v>
      </c>
      <c r="AE682" s="182" t="n">
        <v>0</v>
      </c>
      <c r="AF682" s="182" t="n">
        <v>0</v>
      </c>
      <c r="AG682" s="182" t="n">
        <v>0</v>
      </c>
      <c r="AH682" s="182" t="n">
        <v>0</v>
      </c>
      <c r="AI682" s="182" t="n">
        <v>0</v>
      </c>
      <c r="AJ682" s="182" t="n">
        <v>0</v>
      </c>
      <c r="AK682" s="182" t="n">
        <v>0</v>
      </c>
      <c r="AL682" s="182" t="n">
        <v>0</v>
      </c>
      <c r="AM682" s="182" t="n">
        <v>0</v>
      </c>
      <c r="AN682" s="182" t="n">
        <v>0</v>
      </c>
    </row>
    <row r="683">
      <c r="A683" s="155" t="n">
        <v>46085</v>
      </c>
      <c r="B683" s="156" t="inlineStr">
        <is>
          <t>DS</t>
        </is>
      </c>
      <c r="C683" s="156" t="inlineStr">
        <is>
          <t>HT-416</t>
        </is>
      </c>
      <c r="D683" s="156" t="inlineStr">
        <is>
          <t>SY430</t>
        </is>
      </c>
      <c r="E683" s="156" t="inlineStr">
        <is>
          <t>DT Hauling</t>
        </is>
      </c>
      <c r="F683" s="156" t="inlineStr"/>
      <c r="G683" s="182" t="n">
        <v>0</v>
      </c>
      <c r="H683" s="182" t="n">
        <v>0</v>
      </c>
      <c r="I683" s="182" t="n">
        <v>0</v>
      </c>
      <c r="J683" s="182" t="n">
        <v>0</v>
      </c>
      <c r="K683" s="182" t="n">
        <v>12</v>
      </c>
      <c r="L683" s="182" t="n">
        <v>12</v>
      </c>
      <c r="M683" s="182" t="n">
        <v>0</v>
      </c>
      <c r="N683" s="182" t="n">
        <v>0</v>
      </c>
      <c r="O683" s="183" t="n">
        <v>0</v>
      </c>
      <c r="P683" s="183" t="n">
        <v>0</v>
      </c>
      <c r="Q683" s="184" t="n">
        <v>0</v>
      </c>
      <c r="R683" s="184" t="n">
        <v>0</v>
      </c>
      <c r="S683" s="183" t="n">
        <v>0</v>
      </c>
      <c r="T683" s="183" t="n">
        <v>0</v>
      </c>
      <c r="U683" s="182" t="n">
        <v>0</v>
      </c>
      <c r="V683" s="182" t="n">
        <v>0</v>
      </c>
      <c r="W683" s="182" t="n">
        <v>0</v>
      </c>
      <c r="X683" s="182" t="n">
        <v>1</v>
      </c>
      <c r="Y683" s="182" t="n">
        <v>0</v>
      </c>
      <c r="Z683" s="182" t="n">
        <v>0</v>
      </c>
      <c r="AA683" s="182" t="n">
        <v>0</v>
      </c>
      <c r="AB683" s="182" t="n">
        <v>0</v>
      </c>
      <c r="AC683" s="182" t="n">
        <v>0</v>
      </c>
      <c r="AD683" s="182" t="n">
        <v>0</v>
      </c>
      <c r="AE683" s="182" t="n">
        <v>0</v>
      </c>
      <c r="AF683" s="182" t="n">
        <v>0</v>
      </c>
      <c r="AG683" s="182" t="n">
        <v>0</v>
      </c>
      <c r="AH683" s="182" t="n">
        <v>0</v>
      </c>
      <c r="AI683" s="182" t="n">
        <v>0</v>
      </c>
      <c r="AJ683" s="182" t="n">
        <v>0</v>
      </c>
      <c r="AK683" s="182" t="n">
        <v>10.92</v>
      </c>
      <c r="AL683" s="182" t="n">
        <v>0</v>
      </c>
      <c r="AM683" s="182" t="n">
        <v>0.08</v>
      </c>
      <c r="AN683" s="182" t="n">
        <v>0</v>
      </c>
    </row>
    <row r="684">
      <c r="A684" s="155" t="n">
        <v>46085</v>
      </c>
      <c r="B684" s="156" t="inlineStr">
        <is>
          <t>DS</t>
        </is>
      </c>
      <c r="C684" s="156" t="inlineStr">
        <is>
          <t>HT-420</t>
        </is>
      </c>
      <c r="D684" s="156" t="inlineStr">
        <is>
          <t>SY430</t>
        </is>
      </c>
      <c r="E684" s="156" t="inlineStr">
        <is>
          <t>DT Hauling</t>
        </is>
      </c>
      <c r="F684" s="156" t="inlineStr"/>
      <c r="G684" s="182" t="n">
        <v>0</v>
      </c>
      <c r="H684" s="182" t="n">
        <v>0</v>
      </c>
      <c r="I684" s="182" t="n">
        <v>0</v>
      </c>
      <c r="J684" s="182" t="n">
        <v>0</v>
      </c>
      <c r="K684" s="182" t="n">
        <v>12</v>
      </c>
      <c r="L684" s="182" t="n">
        <v>12</v>
      </c>
      <c r="M684" s="182" t="n">
        <v>0</v>
      </c>
      <c r="N684" s="182" t="n">
        <v>0</v>
      </c>
      <c r="O684" s="183" t="n">
        <v>0</v>
      </c>
      <c r="P684" s="183" t="n">
        <v>0</v>
      </c>
      <c r="Q684" s="184" t="n">
        <v>0</v>
      </c>
      <c r="R684" s="184" t="n">
        <v>0</v>
      </c>
      <c r="S684" s="183" t="n">
        <v>0</v>
      </c>
      <c r="T684" s="183" t="n">
        <v>0</v>
      </c>
      <c r="U684" s="182" t="n">
        <v>0</v>
      </c>
      <c r="V684" s="182" t="n">
        <v>0</v>
      </c>
      <c r="W684" s="182" t="n">
        <v>0</v>
      </c>
      <c r="X684" s="182" t="n">
        <v>1</v>
      </c>
      <c r="Y684" s="182" t="n">
        <v>0</v>
      </c>
      <c r="Z684" s="182" t="n">
        <v>0</v>
      </c>
      <c r="AA684" s="182" t="n">
        <v>0</v>
      </c>
      <c r="AB684" s="182" t="n">
        <v>0</v>
      </c>
      <c r="AC684" s="182" t="n">
        <v>0</v>
      </c>
      <c r="AD684" s="182" t="n">
        <v>0</v>
      </c>
      <c r="AE684" s="182" t="n">
        <v>0</v>
      </c>
      <c r="AF684" s="182" t="n">
        <v>0</v>
      </c>
      <c r="AG684" s="182" t="n">
        <v>0</v>
      </c>
      <c r="AH684" s="182" t="n">
        <v>0</v>
      </c>
      <c r="AI684" s="182" t="n">
        <v>0</v>
      </c>
      <c r="AJ684" s="182" t="n">
        <v>0</v>
      </c>
      <c r="AK684" s="182" t="n">
        <v>10.92</v>
      </c>
      <c r="AL684" s="182" t="n">
        <v>0</v>
      </c>
      <c r="AM684" s="182" t="n">
        <v>0.08</v>
      </c>
      <c r="AN684" s="182" t="n">
        <v>0</v>
      </c>
    </row>
    <row r="685">
      <c r="A685" s="155" t="n">
        <v>46085</v>
      </c>
      <c r="B685" s="156" t="inlineStr">
        <is>
          <t>DS</t>
        </is>
      </c>
      <c r="C685" s="156" t="inlineStr">
        <is>
          <t>HT-403</t>
        </is>
      </c>
      <c r="D685" s="156" t="inlineStr">
        <is>
          <t>SY430</t>
        </is>
      </c>
      <c r="E685" s="156" t="inlineStr">
        <is>
          <t>DT Hauling</t>
        </is>
      </c>
      <c r="F685" s="156" t="inlineStr"/>
      <c r="G685" s="182" t="n">
        <v>0</v>
      </c>
      <c r="H685" s="182" t="n">
        <v>0</v>
      </c>
      <c r="I685" s="182" t="n">
        <v>0</v>
      </c>
      <c r="J685" s="182" t="n">
        <v>0</v>
      </c>
      <c r="K685" s="182" t="n">
        <v>12</v>
      </c>
      <c r="L685" s="182" t="n">
        <v>12</v>
      </c>
      <c r="M685" s="182" t="n">
        <v>0</v>
      </c>
      <c r="N685" s="182" t="n">
        <v>0</v>
      </c>
      <c r="O685" s="183" t="n">
        <v>0</v>
      </c>
      <c r="P685" s="183" t="n">
        <v>0</v>
      </c>
      <c r="Q685" s="184" t="n">
        <v>0</v>
      </c>
      <c r="R685" s="184" t="n">
        <v>0</v>
      </c>
      <c r="S685" s="183" t="n">
        <v>0</v>
      </c>
      <c r="T685" s="183" t="n">
        <v>0</v>
      </c>
      <c r="U685" s="182" t="n">
        <v>0</v>
      </c>
      <c r="V685" s="182" t="n">
        <v>0</v>
      </c>
      <c r="W685" s="182" t="n">
        <v>0</v>
      </c>
      <c r="X685" s="182" t="n">
        <v>1</v>
      </c>
      <c r="Y685" s="182" t="n">
        <v>0</v>
      </c>
      <c r="Z685" s="182" t="n">
        <v>0</v>
      </c>
      <c r="AA685" s="182" t="n">
        <v>0</v>
      </c>
      <c r="AB685" s="182" t="n">
        <v>0</v>
      </c>
      <c r="AC685" s="182" t="n">
        <v>0</v>
      </c>
      <c r="AD685" s="182" t="n">
        <v>0</v>
      </c>
      <c r="AE685" s="182" t="n">
        <v>0</v>
      </c>
      <c r="AF685" s="182" t="n">
        <v>0</v>
      </c>
      <c r="AG685" s="182" t="n">
        <v>0</v>
      </c>
      <c r="AH685" s="182" t="n">
        <v>0</v>
      </c>
      <c r="AI685" s="182" t="n">
        <v>0</v>
      </c>
      <c r="AJ685" s="182" t="n">
        <v>0</v>
      </c>
      <c r="AK685" s="182" t="n">
        <v>10.92</v>
      </c>
      <c r="AL685" s="182" t="n">
        <v>0</v>
      </c>
      <c r="AM685" s="182" t="n">
        <v>0.08</v>
      </c>
      <c r="AN685" s="182" t="n">
        <v>0</v>
      </c>
    </row>
    <row r="686">
      <c r="A686" s="155" t="n">
        <v>46085</v>
      </c>
      <c r="B686" s="156" t="inlineStr">
        <is>
          <t>DS</t>
        </is>
      </c>
      <c r="C686" s="156" t="inlineStr">
        <is>
          <t>HT-408</t>
        </is>
      </c>
      <c r="D686" s="156" t="inlineStr">
        <is>
          <t>SY430</t>
        </is>
      </c>
      <c r="E686" s="156" t="inlineStr">
        <is>
          <t>DT Hauling</t>
        </is>
      </c>
      <c r="F686" s="156" t="inlineStr"/>
      <c r="G686" s="182" t="n">
        <v>0</v>
      </c>
      <c r="H686" s="182" t="n">
        <v>0</v>
      </c>
      <c r="I686" s="182" t="n">
        <v>0</v>
      </c>
      <c r="J686" s="182" t="n">
        <v>0</v>
      </c>
      <c r="K686" s="182" t="n">
        <v>12</v>
      </c>
      <c r="L686" s="182" t="n">
        <v>12</v>
      </c>
      <c r="M686" s="182" t="n">
        <v>0</v>
      </c>
      <c r="N686" s="182" t="n">
        <v>0</v>
      </c>
      <c r="O686" s="183" t="n">
        <v>0</v>
      </c>
      <c r="P686" s="183" t="n">
        <v>0</v>
      </c>
      <c r="Q686" s="184" t="n">
        <v>0</v>
      </c>
      <c r="R686" s="184" t="n">
        <v>0</v>
      </c>
      <c r="S686" s="183" t="n">
        <v>0</v>
      </c>
      <c r="T686" s="183" t="n">
        <v>0</v>
      </c>
      <c r="U686" s="182" t="n">
        <v>0</v>
      </c>
      <c r="V686" s="182" t="n">
        <v>0</v>
      </c>
      <c r="W686" s="182" t="n">
        <v>0</v>
      </c>
      <c r="X686" s="182" t="n">
        <v>1</v>
      </c>
      <c r="Y686" s="182" t="n">
        <v>0</v>
      </c>
      <c r="Z686" s="182" t="n">
        <v>0</v>
      </c>
      <c r="AA686" s="182" t="n">
        <v>0</v>
      </c>
      <c r="AB686" s="182" t="n">
        <v>0</v>
      </c>
      <c r="AC686" s="182" t="n">
        <v>0</v>
      </c>
      <c r="AD686" s="182" t="n">
        <v>0</v>
      </c>
      <c r="AE686" s="182" t="n">
        <v>0</v>
      </c>
      <c r="AF686" s="182" t="n">
        <v>0</v>
      </c>
      <c r="AG686" s="182" t="n">
        <v>0</v>
      </c>
      <c r="AH686" s="182" t="n">
        <v>0</v>
      </c>
      <c r="AI686" s="182" t="n">
        <v>0</v>
      </c>
      <c r="AJ686" s="182" t="n">
        <v>0</v>
      </c>
      <c r="AK686" s="182" t="n">
        <v>10.92</v>
      </c>
      <c r="AL686" s="182" t="n">
        <v>0</v>
      </c>
      <c r="AM686" s="182" t="n">
        <v>0.08</v>
      </c>
      <c r="AN686" s="182" t="n">
        <v>0</v>
      </c>
    </row>
    <row r="687">
      <c r="A687" s="155" t="n">
        <v>46085</v>
      </c>
      <c r="B687" s="156" t="inlineStr">
        <is>
          <t>DS</t>
        </is>
      </c>
      <c r="C687" s="156" t="inlineStr">
        <is>
          <t>HT-412</t>
        </is>
      </c>
      <c r="D687" s="156" t="inlineStr">
        <is>
          <t>SY430</t>
        </is>
      </c>
      <c r="E687" s="156" t="inlineStr">
        <is>
          <t>DT Hauling</t>
        </is>
      </c>
      <c r="F687" s="156" t="inlineStr"/>
      <c r="G687" s="182" t="n">
        <v>0</v>
      </c>
      <c r="H687" s="182" t="n">
        <v>0</v>
      </c>
      <c r="I687" s="182" t="n">
        <v>0.15</v>
      </c>
      <c r="J687" s="182" t="n">
        <v>0.15</v>
      </c>
      <c r="K687" s="182" t="n">
        <v>11.85</v>
      </c>
      <c r="L687" s="182" t="n">
        <v>12</v>
      </c>
      <c r="M687" s="182" t="n">
        <v>0</v>
      </c>
      <c r="N687" s="182" t="n">
        <v>0</v>
      </c>
      <c r="O687" s="183" t="n">
        <v>0</v>
      </c>
      <c r="P687" s="183" t="n">
        <v>0</v>
      </c>
      <c r="Q687" s="184" t="n">
        <v>0</v>
      </c>
      <c r="R687" s="184" t="n">
        <v>0</v>
      </c>
      <c r="S687" s="183" t="n">
        <v>0</v>
      </c>
      <c r="T687" s="183" t="n">
        <v>0</v>
      </c>
      <c r="U687" s="182" t="n">
        <v>0</v>
      </c>
      <c r="V687" s="182" t="n">
        <v>0</v>
      </c>
      <c r="W687" s="182" t="n">
        <v>0</v>
      </c>
      <c r="X687" s="182" t="n">
        <v>1</v>
      </c>
      <c r="Y687" s="182" t="n">
        <v>0</v>
      </c>
      <c r="Z687" s="182" t="n">
        <v>0</v>
      </c>
      <c r="AA687" s="182" t="n">
        <v>0</v>
      </c>
      <c r="AB687" s="182" t="n">
        <v>0</v>
      </c>
      <c r="AC687" s="182" t="n">
        <v>0</v>
      </c>
      <c r="AD687" s="182" t="n">
        <v>0</v>
      </c>
      <c r="AE687" s="182" t="n">
        <v>0</v>
      </c>
      <c r="AF687" s="182" t="n">
        <v>0</v>
      </c>
      <c r="AG687" s="182" t="n">
        <v>0</v>
      </c>
      <c r="AH687" s="182" t="n">
        <v>0</v>
      </c>
      <c r="AI687" s="182" t="n">
        <v>0</v>
      </c>
      <c r="AJ687" s="182" t="n">
        <v>0</v>
      </c>
      <c r="AK687" s="182" t="n">
        <v>10.77</v>
      </c>
      <c r="AL687" s="182" t="n">
        <v>0</v>
      </c>
      <c r="AM687" s="182" t="n">
        <v>0.08</v>
      </c>
      <c r="AN687" s="182" t="n">
        <v>0</v>
      </c>
    </row>
    <row r="688">
      <c r="A688" s="155" t="n">
        <v>46085</v>
      </c>
      <c r="B688" s="156" t="inlineStr">
        <is>
          <t>DS</t>
        </is>
      </c>
      <c r="C688" s="156" t="inlineStr">
        <is>
          <t>HT-413</t>
        </is>
      </c>
      <c r="D688" s="156" t="inlineStr">
        <is>
          <t>SY430</t>
        </is>
      </c>
      <c r="E688" s="156" t="inlineStr">
        <is>
          <t>DT Hauling</t>
        </is>
      </c>
      <c r="F688" s="156" t="inlineStr"/>
      <c r="G688" s="182" t="n">
        <v>0</v>
      </c>
      <c r="H688" s="182" t="n">
        <v>0</v>
      </c>
      <c r="I688" s="182" t="n">
        <v>12</v>
      </c>
      <c r="J688" s="182" t="n">
        <v>12</v>
      </c>
      <c r="K688" s="182" t="n">
        <v>0</v>
      </c>
      <c r="L688" s="182" t="n">
        <v>12</v>
      </c>
      <c r="M688" s="182" t="n">
        <v>0</v>
      </c>
      <c r="N688" s="182" t="n">
        <v>0</v>
      </c>
      <c r="O688" s="183" t="n">
        <v>0</v>
      </c>
      <c r="P688" s="183" t="n">
        <v>0</v>
      </c>
      <c r="Q688" s="184" t="n">
        <v>0</v>
      </c>
      <c r="R688" s="184" t="n">
        <v>0</v>
      </c>
      <c r="S688" s="183" t="n">
        <v>0</v>
      </c>
      <c r="T688" s="183" t="n">
        <v>0</v>
      </c>
      <c r="U688" s="182" t="n">
        <v>0</v>
      </c>
      <c r="V688" s="182" t="n">
        <v>0</v>
      </c>
      <c r="W688" s="182" t="n">
        <v>0</v>
      </c>
      <c r="X688" s="182" t="n">
        <v>0</v>
      </c>
      <c r="Y688" s="182" t="n">
        <v>0</v>
      </c>
      <c r="Z688" s="182" t="n">
        <v>0</v>
      </c>
      <c r="AA688" s="182" t="n">
        <v>0</v>
      </c>
      <c r="AB688" s="182" t="n">
        <v>0</v>
      </c>
      <c r="AC688" s="182" t="n">
        <v>0</v>
      </c>
      <c r="AD688" s="182" t="n">
        <v>0</v>
      </c>
      <c r="AE688" s="182" t="n">
        <v>0</v>
      </c>
      <c r="AF688" s="182" t="n">
        <v>0</v>
      </c>
      <c r="AG688" s="182" t="n">
        <v>0</v>
      </c>
      <c r="AH688" s="182" t="n">
        <v>0</v>
      </c>
      <c r="AI688" s="182" t="n">
        <v>0</v>
      </c>
      <c r="AJ688" s="182" t="n">
        <v>0</v>
      </c>
      <c r="AK688" s="182" t="n">
        <v>0</v>
      </c>
      <c r="AL688" s="182" t="n">
        <v>0</v>
      </c>
      <c r="AM688" s="182" t="n">
        <v>0</v>
      </c>
      <c r="AN688" s="182" t="n">
        <v>0</v>
      </c>
    </row>
    <row r="689">
      <c r="A689" s="155" t="n">
        <v>46085</v>
      </c>
      <c r="B689" s="156" t="inlineStr">
        <is>
          <t>DS</t>
        </is>
      </c>
      <c r="C689" s="156" t="inlineStr">
        <is>
          <t>HT-407</t>
        </is>
      </c>
      <c r="D689" s="156" t="inlineStr">
        <is>
          <t>SY430</t>
        </is>
      </c>
      <c r="E689" s="156" t="inlineStr">
        <is>
          <t>DT Hauling</t>
        </is>
      </c>
      <c r="F689" s="156" t="inlineStr"/>
      <c r="G689" s="182" t="n">
        <v>0</v>
      </c>
      <c r="H689" s="182" t="n">
        <v>0</v>
      </c>
      <c r="I689" s="182" t="n">
        <v>0</v>
      </c>
      <c r="J689" s="182" t="n">
        <v>0</v>
      </c>
      <c r="K689" s="182" t="n">
        <v>12</v>
      </c>
      <c r="L689" s="182" t="n">
        <v>12</v>
      </c>
      <c r="M689" s="182" t="n">
        <v>0</v>
      </c>
      <c r="N689" s="182" t="n">
        <v>0</v>
      </c>
      <c r="O689" s="183" t="n">
        <v>0</v>
      </c>
      <c r="P689" s="183" t="n">
        <v>0</v>
      </c>
      <c r="Q689" s="184" t="n">
        <v>0</v>
      </c>
      <c r="R689" s="184" t="n">
        <v>0</v>
      </c>
      <c r="S689" s="183" t="n">
        <v>0</v>
      </c>
      <c r="T689" s="183" t="n">
        <v>0</v>
      </c>
      <c r="U689" s="182" t="n">
        <v>0</v>
      </c>
      <c r="V689" s="182" t="n">
        <v>0</v>
      </c>
      <c r="W689" s="182" t="n">
        <v>0</v>
      </c>
      <c r="X689" s="182" t="n">
        <v>1</v>
      </c>
      <c r="Y689" s="182" t="n">
        <v>0</v>
      </c>
      <c r="Z689" s="182" t="n">
        <v>0</v>
      </c>
      <c r="AA689" s="182" t="n">
        <v>0</v>
      </c>
      <c r="AB689" s="182" t="n">
        <v>0</v>
      </c>
      <c r="AC689" s="182" t="n">
        <v>0</v>
      </c>
      <c r="AD689" s="182" t="n">
        <v>0</v>
      </c>
      <c r="AE689" s="182" t="n">
        <v>0</v>
      </c>
      <c r="AF689" s="182" t="n">
        <v>0</v>
      </c>
      <c r="AG689" s="182" t="n">
        <v>0</v>
      </c>
      <c r="AH689" s="182" t="n">
        <v>0</v>
      </c>
      <c r="AI689" s="182" t="n">
        <v>0</v>
      </c>
      <c r="AJ689" s="182" t="n">
        <v>0</v>
      </c>
      <c r="AK689" s="182" t="n">
        <v>10.92</v>
      </c>
      <c r="AL689" s="182" t="n">
        <v>0</v>
      </c>
      <c r="AM689" s="182" t="n">
        <v>0.08</v>
      </c>
      <c r="AN689" s="182" t="n">
        <v>0</v>
      </c>
    </row>
    <row r="690">
      <c r="A690" s="155" t="n">
        <v>46085</v>
      </c>
      <c r="B690" s="156" t="inlineStr">
        <is>
          <t>DS</t>
        </is>
      </c>
      <c r="C690" s="156" t="inlineStr">
        <is>
          <t>HT-414</t>
        </is>
      </c>
      <c r="D690" s="156" t="inlineStr">
        <is>
          <t>SY430</t>
        </is>
      </c>
      <c r="E690" s="156" t="inlineStr">
        <is>
          <t>DT Hauling</t>
        </is>
      </c>
      <c r="F690" s="156" t="inlineStr"/>
      <c r="G690" s="182" t="n">
        <v>0</v>
      </c>
      <c r="H690" s="182" t="n">
        <v>0</v>
      </c>
      <c r="I690" s="182" t="n">
        <v>12</v>
      </c>
      <c r="J690" s="182" t="n">
        <v>12</v>
      </c>
      <c r="K690" s="182" t="n">
        <v>0</v>
      </c>
      <c r="L690" s="182" t="n">
        <v>12</v>
      </c>
      <c r="M690" s="182" t="n">
        <v>0</v>
      </c>
      <c r="N690" s="182" t="n">
        <v>0</v>
      </c>
      <c r="O690" s="183" t="n">
        <v>0</v>
      </c>
      <c r="P690" s="183" t="n">
        <v>0</v>
      </c>
      <c r="Q690" s="184" t="n">
        <v>0</v>
      </c>
      <c r="R690" s="184" t="n">
        <v>0</v>
      </c>
      <c r="S690" s="183" t="n">
        <v>0</v>
      </c>
      <c r="T690" s="183" t="n">
        <v>0</v>
      </c>
      <c r="U690" s="182" t="n">
        <v>0</v>
      </c>
      <c r="V690" s="182" t="n">
        <v>0</v>
      </c>
      <c r="W690" s="182" t="n">
        <v>0</v>
      </c>
      <c r="X690" s="182" t="n">
        <v>0</v>
      </c>
      <c r="Y690" s="182" t="n">
        <v>0</v>
      </c>
      <c r="Z690" s="182" t="n">
        <v>0</v>
      </c>
      <c r="AA690" s="182" t="n">
        <v>0</v>
      </c>
      <c r="AB690" s="182" t="n">
        <v>0</v>
      </c>
      <c r="AC690" s="182" t="n">
        <v>0</v>
      </c>
      <c r="AD690" s="182" t="n">
        <v>0</v>
      </c>
      <c r="AE690" s="182" t="n">
        <v>0</v>
      </c>
      <c r="AF690" s="182" t="n">
        <v>0</v>
      </c>
      <c r="AG690" s="182" t="n">
        <v>0</v>
      </c>
      <c r="AH690" s="182" t="n">
        <v>0</v>
      </c>
      <c r="AI690" s="182" t="n">
        <v>0</v>
      </c>
      <c r="AJ690" s="182" t="n">
        <v>0</v>
      </c>
      <c r="AK690" s="182" t="n">
        <v>0</v>
      </c>
      <c r="AL690" s="182" t="n">
        <v>0</v>
      </c>
      <c r="AM690" s="182" t="n">
        <v>0</v>
      </c>
      <c r="AN690" s="182" t="n">
        <v>0</v>
      </c>
    </row>
    <row r="691">
      <c r="A691" s="155" t="n">
        <v>46085</v>
      </c>
      <c r="B691" s="156" t="inlineStr">
        <is>
          <t>DS</t>
        </is>
      </c>
      <c r="C691" s="156" t="inlineStr">
        <is>
          <t>HT-411</t>
        </is>
      </c>
      <c r="D691" s="156" t="inlineStr">
        <is>
          <t>SY430</t>
        </is>
      </c>
      <c r="E691" s="156" t="inlineStr">
        <is>
          <t>DT Hauling</t>
        </is>
      </c>
      <c r="F691" s="156" t="inlineStr"/>
      <c r="G691" s="182" t="n">
        <v>0</v>
      </c>
      <c r="H691" s="182" t="n">
        <v>0</v>
      </c>
      <c r="I691" s="182" t="n">
        <v>0</v>
      </c>
      <c r="J691" s="182" t="n">
        <v>0</v>
      </c>
      <c r="K691" s="182" t="n">
        <v>12</v>
      </c>
      <c r="L691" s="182" t="n">
        <v>12</v>
      </c>
      <c r="M691" s="182" t="n">
        <v>0</v>
      </c>
      <c r="N691" s="182" t="n">
        <v>0</v>
      </c>
      <c r="O691" s="183" t="n">
        <v>0</v>
      </c>
      <c r="P691" s="183" t="n">
        <v>0</v>
      </c>
      <c r="Q691" s="184" t="n">
        <v>0</v>
      </c>
      <c r="R691" s="184" t="n">
        <v>0</v>
      </c>
      <c r="S691" s="183" t="n">
        <v>0</v>
      </c>
      <c r="T691" s="183" t="n">
        <v>0</v>
      </c>
      <c r="U691" s="182" t="n">
        <v>0</v>
      </c>
      <c r="V691" s="182" t="n">
        <v>0</v>
      </c>
      <c r="W691" s="182" t="n">
        <v>0</v>
      </c>
      <c r="X691" s="182" t="n">
        <v>1</v>
      </c>
      <c r="Y691" s="182" t="n">
        <v>0</v>
      </c>
      <c r="Z691" s="182" t="n">
        <v>0</v>
      </c>
      <c r="AA691" s="182" t="n">
        <v>0</v>
      </c>
      <c r="AB691" s="182" t="n">
        <v>0</v>
      </c>
      <c r="AC691" s="182" t="n">
        <v>0</v>
      </c>
      <c r="AD691" s="182" t="n">
        <v>0</v>
      </c>
      <c r="AE691" s="182" t="n">
        <v>0</v>
      </c>
      <c r="AF691" s="182" t="n">
        <v>0</v>
      </c>
      <c r="AG691" s="182" t="n">
        <v>0</v>
      </c>
      <c r="AH691" s="182" t="n">
        <v>0</v>
      </c>
      <c r="AI691" s="182" t="n">
        <v>0</v>
      </c>
      <c r="AJ691" s="182" t="n">
        <v>0</v>
      </c>
      <c r="AK691" s="182" t="n">
        <v>10.92</v>
      </c>
      <c r="AL691" s="182" t="n">
        <v>0</v>
      </c>
      <c r="AM691" s="182" t="n">
        <v>0.08</v>
      </c>
      <c r="AN691" s="182" t="n">
        <v>0</v>
      </c>
    </row>
    <row r="692">
      <c r="A692" s="155" t="n">
        <v>46085</v>
      </c>
      <c r="B692" s="156" t="inlineStr">
        <is>
          <t>DS</t>
        </is>
      </c>
      <c r="C692" s="156" t="inlineStr">
        <is>
          <t>HT-409</t>
        </is>
      </c>
      <c r="D692" s="156" t="inlineStr">
        <is>
          <t>SY430</t>
        </is>
      </c>
      <c r="E692" s="156" t="inlineStr">
        <is>
          <t>DT Hauling</t>
        </is>
      </c>
      <c r="F692" s="156" t="inlineStr"/>
      <c r="G692" s="182" t="n">
        <v>0</v>
      </c>
      <c r="H692" s="182" t="n">
        <v>0</v>
      </c>
      <c r="I692" s="182" t="n">
        <v>0</v>
      </c>
      <c r="J692" s="182" t="n">
        <v>0</v>
      </c>
      <c r="K692" s="182" t="n">
        <v>12</v>
      </c>
      <c r="L692" s="182" t="n">
        <v>12</v>
      </c>
      <c r="M692" s="182" t="n">
        <v>0</v>
      </c>
      <c r="N692" s="182" t="n">
        <v>0</v>
      </c>
      <c r="O692" s="183" t="n">
        <v>0</v>
      </c>
      <c r="P692" s="183" t="n">
        <v>0</v>
      </c>
      <c r="Q692" s="184" t="n">
        <v>0</v>
      </c>
      <c r="R692" s="184" t="n">
        <v>0</v>
      </c>
      <c r="S692" s="183" t="n">
        <v>0</v>
      </c>
      <c r="T692" s="183" t="n">
        <v>0</v>
      </c>
      <c r="U692" s="182" t="n">
        <v>0</v>
      </c>
      <c r="V692" s="182" t="n">
        <v>0</v>
      </c>
      <c r="W692" s="182" t="n">
        <v>0</v>
      </c>
      <c r="X692" s="182" t="n">
        <v>1</v>
      </c>
      <c r="Y692" s="182" t="n">
        <v>0</v>
      </c>
      <c r="Z692" s="182" t="n">
        <v>0</v>
      </c>
      <c r="AA692" s="182" t="n">
        <v>0</v>
      </c>
      <c r="AB692" s="182" t="n">
        <v>0</v>
      </c>
      <c r="AC692" s="182" t="n">
        <v>0</v>
      </c>
      <c r="AD692" s="182" t="n">
        <v>0</v>
      </c>
      <c r="AE692" s="182" t="n">
        <v>0</v>
      </c>
      <c r="AF692" s="182" t="n">
        <v>0</v>
      </c>
      <c r="AG692" s="182" t="n">
        <v>0</v>
      </c>
      <c r="AH692" s="182" t="n">
        <v>0</v>
      </c>
      <c r="AI692" s="182" t="n">
        <v>0</v>
      </c>
      <c r="AJ692" s="182" t="n">
        <v>0</v>
      </c>
      <c r="AK692" s="182" t="n">
        <v>10.92</v>
      </c>
      <c r="AL692" s="182" t="n">
        <v>0</v>
      </c>
      <c r="AM692" s="182" t="n">
        <v>0.08</v>
      </c>
      <c r="AN692" s="182" t="n">
        <v>0</v>
      </c>
    </row>
    <row r="693">
      <c r="A693" s="155" t="n">
        <v>46085</v>
      </c>
      <c r="B693" s="156" t="inlineStr">
        <is>
          <t>DS</t>
        </is>
      </c>
      <c r="C693" s="156" t="inlineStr">
        <is>
          <t>DH-103</t>
        </is>
      </c>
      <c r="D693" s="156" t="inlineStr">
        <is>
          <t>HINO FM260</t>
        </is>
      </c>
      <c r="E693" s="156" t="inlineStr">
        <is>
          <t>DT Hino</t>
        </is>
      </c>
      <c r="F693" s="156" t="inlineStr"/>
      <c r="G693" s="182" t="n">
        <v>0</v>
      </c>
      <c r="H693" s="182" t="n">
        <v>0</v>
      </c>
      <c r="I693" s="182" t="n">
        <v>0</v>
      </c>
      <c r="J693" s="182" t="n">
        <v>0</v>
      </c>
      <c r="K693" s="182" t="n">
        <v>12</v>
      </c>
      <c r="L693" s="182" t="n">
        <v>12</v>
      </c>
      <c r="M693" s="182" t="n">
        <v>0</v>
      </c>
      <c r="N693" s="182" t="n">
        <v>0</v>
      </c>
      <c r="O693" s="183" t="n">
        <v>0</v>
      </c>
      <c r="P693" s="183" t="n">
        <v>0</v>
      </c>
      <c r="Q693" s="184" t="n">
        <v>0</v>
      </c>
      <c r="R693" s="184" t="n">
        <v>0</v>
      </c>
      <c r="S693" s="183" t="n">
        <v>0</v>
      </c>
      <c r="T693" s="183" t="n">
        <v>0</v>
      </c>
      <c r="U693" s="182" t="n">
        <v>0</v>
      </c>
      <c r="V693" s="182" t="n">
        <v>0</v>
      </c>
      <c r="W693" s="182" t="n">
        <v>0</v>
      </c>
      <c r="X693" s="182" t="n">
        <v>1</v>
      </c>
      <c r="Y693" s="182" t="n">
        <v>0</v>
      </c>
      <c r="Z693" s="182" t="n">
        <v>0</v>
      </c>
      <c r="AA693" s="182" t="n">
        <v>0</v>
      </c>
      <c r="AB693" s="182" t="n">
        <v>0</v>
      </c>
      <c r="AC693" s="182" t="n">
        <v>0</v>
      </c>
      <c r="AD693" s="182" t="n">
        <v>0</v>
      </c>
      <c r="AE693" s="182" t="n">
        <v>0</v>
      </c>
      <c r="AF693" s="182" t="n">
        <v>0</v>
      </c>
      <c r="AG693" s="182" t="n">
        <v>0</v>
      </c>
      <c r="AH693" s="182" t="n">
        <v>0</v>
      </c>
      <c r="AI693" s="182" t="n">
        <v>0</v>
      </c>
      <c r="AJ693" s="182" t="n">
        <v>0</v>
      </c>
      <c r="AK693" s="182" t="n">
        <v>10.92</v>
      </c>
      <c r="AL693" s="182" t="n">
        <v>0</v>
      </c>
      <c r="AM693" s="182" t="n">
        <v>0.08</v>
      </c>
      <c r="AN693" s="182" t="n">
        <v>0</v>
      </c>
    </row>
    <row r="694">
      <c r="A694" s="155" t="n">
        <v>46085</v>
      </c>
      <c r="B694" s="156" t="inlineStr">
        <is>
          <t>DS</t>
        </is>
      </c>
      <c r="C694" s="156" t="inlineStr">
        <is>
          <t>DH-102</t>
        </is>
      </c>
      <c r="D694" s="156" t="inlineStr">
        <is>
          <t>HINO FM260</t>
        </is>
      </c>
      <c r="E694" s="156" t="inlineStr">
        <is>
          <t>DT Hino</t>
        </is>
      </c>
      <c r="F694" s="156" t="inlineStr"/>
      <c r="G694" s="182" t="n">
        <v>0</v>
      </c>
      <c r="H694" s="182" t="n">
        <v>0</v>
      </c>
      <c r="I694" s="182" t="n">
        <v>0</v>
      </c>
      <c r="J694" s="182" t="n">
        <v>0</v>
      </c>
      <c r="K694" s="182" t="n">
        <v>12</v>
      </c>
      <c r="L694" s="182" t="n">
        <v>12</v>
      </c>
      <c r="M694" s="182" t="n">
        <v>0</v>
      </c>
      <c r="N694" s="182" t="n">
        <v>0</v>
      </c>
      <c r="O694" s="183" t="n">
        <v>0</v>
      </c>
      <c r="P694" s="183" t="n">
        <v>0</v>
      </c>
      <c r="Q694" s="184" t="n">
        <v>0</v>
      </c>
      <c r="R694" s="184" t="n">
        <v>0</v>
      </c>
      <c r="S694" s="183" t="n">
        <v>0</v>
      </c>
      <c r="T694" s="183" t="n">
        <v>0</v>
      </c>
      <c r="U694" s="182" t="n">
        <v>0</v>
      </c>
      <c r="V694" s="182" t="n">
        <v>0</v>
      </c>
      <c r="W694" s="182" t="n">
        <v>0</v>
      </c>
      <c r="X694" s="182" t="n">
        <v>1</v>
      </c>
      <c r="Y694" s="182" t="n">
        <v>0</v>
      </c>
      <c r="Z694" s="182" t="n">
        <v>0</v>
      </c>
      <c r="AA694" s="182" t="n">
        <v>0</v>
      </c>
      <c r="AB694" s="182" t="n">
        <v>0</v>
      </c>
      <c r="AC694" s="182" t="n">
        <v>0</v>
      </c>
      <c r="AD694" s="182" t="n">
        <v>0</v>
      </c>
      <c r="AE694" s="182" t="n">
        <v>0</v>
      </c>
      <c r="AF694" s="182" t="n">
        <v>0</v>
      </c>
      <c r="AG694" s="182" t="n">
        <v>0</v>
      </c>
      <c r="AH694" s="182" t="n">
        <v>0</v>
      </c>
      <c r="AI694" s="182" t="n">
        <v>0</v>
      </c>
      <c r="AJ694" s="182" t="n">
        <v>0</v>
      </c>
      <c r="AK694" s="182" t="n">
        <v>10.92</v>
      </c>
      <c r="AL694" s="182" t="n">
        <v>0</v>
      </c>
      <c r="AM694" s="182" t="n">
        <v>0.08</v>
      </c>
      <c r="AN694" s="182" t="n">
        <v>0</v>
      </c>
    </row>
    <row r="695">
      <c r="A695" s="155" t="n">
        <v>46085</v>
      </c>
      <c r="B695" s="156" t="inlineStr">
        <is>
          <t>DS</t>
        </is>
      </c>
      <c r="C695" s="156" t="inlineStr">
        <is>
          <t>DH-101</t>
        </is>
      </c>
      <c r="D695" s="156" t="inlineStr">
        <is>
          <t>HINO FM260</t>
        </is>
      </c>
      <c r="E695" s="156" t="inlineStr">
        <is>
          <t>DT Hino</t>
        </is>
      </c>
      <c r="F695" s="156" t="inlineStr"/>
      <c r="G695" s="182" t="n">
        <v>0</v>
      </c>
      <c r="H695" s="182" t="n">
        <v>0</v>
      </c>
      <c r="I695" s="182" t="n">
        <v>0</v>
      </c>
      <c r="J695" s="182" t="n">
        <v>0</v>
      </c>
      <c r="K695" s="182" t="n">
        <v>12</v>
      </c>
      <c r="L695" s="182" t="n">
        <v>12</v>
      </c>
      <c r="M695" s="182" t="n">
        <v>0</v>
      </c>
      <c r="N695" s="182" t="n">
        <v>0</v>
      </c>
      <c r="O695" s="183" t="n">
        <v>0</v>
      </c>
      <c r="P695" s="183" t="n">
        <v>0</v>
      </c>
      <c r="Q695" s="184" t="n">
        <v>0</v>
      </c>
      <c r="R695" s="184" t="n">
        <v>0</v>
      </c>
      <c r="S695" s="183" t="n">
        <v>0</v>
      </c>
      <c r="T695" s="183" t="n">
        <v>0</v>
      </c>
      <c r="U695" s="182" t="n">
        <v>0</v>
      </c>
      <c r="V695" s="182" t="n">
        <v>0</v>
      </c>
      <c r="W695" s="182" t="n">
        <v>0</v>
      </c>
      <c r="X695" s="182" t="n">
        <v>1</v>
      </c>
      <c r="Y695" s="182" t="n">
        <v>0</v>
      </c>
      <c r="Z695" s="182" t="n">
        <v>0</v>
      </c>
      <c r="AA695" s="182" t="n">
        <v>0</v>
      </c>
      <c r="AB695" s="182" t="n">
        <v>0</v>
      </c>
      <c r="AC695" s="182" t="n">
        <v>0</v>
      </c>
      <c r="AD695" s="182" t="n">
        <v>0</v>
      </c>
      <c r="AE695" s="182" t="n">
        <v>0</v>
      </c>
      <c r="AF695" s="182" t="n">
        <v>0</v>
      </c>
      <c r="AG695" s="182" t="n">
        <v>0</v>
      </c>
      <c r="AH695" s="182" t="n">
        <v>0</v>
      </c>
      <c r="AI695" s="182" t="n">
        <v>0</v>
      </c>
      <c r="AJ695" s="182" t="n">
        <v>0</v>
      </c>
      <c r="AK695" s="182" t="n">
        <v>10.92</v>
      </c>
      <c r="AL695" s="182" t="n">
        <v>0</v>
      </c>
      <c r="AM695" s="182" t="n">
        <v>0.08</v>
      </c>
      <c r="AN695" s="182" t="n">
        <v>0</v>
      </c>
    </row>
    <row r="696">
      <c r="A696" s="155" t="n">
        <v>46085</v>
      </c>
      <c r="B696" s="156" t="inlineStr">
        <is>
          <t>DS</t>
        </is>
      </c>
      <c r="C696" s="156" t="inlineStr">
        <is>
          <t>EX-1251</t>
        </is>
      </c>
      <c r="D696" s="156" t="inlineStr">
        <is>
          <t>SY1250</t>
        </is>
      </c>
      <c r="E696" s="156" t="inlineStr">
        <is>
          <t>Excavator</t>
        </is>
      </c>
      <c r="F696" s="156" t="inlineStr"/>
      <c r="G696" s="182" t="n">
        <v>0</v>
      </c>
      <c r="H696" s="182" t="n">
        <v>0</v>
      </c>
      <c r="I696" s="182" t="n">
        <v>12</v>
      </c>
      <c r="J696" s="182" t="n">
        <v>12</v>
      </c>
      <c r="K696" s="182" t="n">
        <v>0</v>
      </c>
      <c r="L696" s="182" t="n">
        <v>12</v>
      </c>
      <c r="M696" s="182" t="n">
        <v>0</v>
      </c>
      <c r="N696" s="182" t="n">
        <v>0</v>
      </c>
      <c r="O696" s="183" t="n">
        <v>0</v>
      </c>
      <c r="P696" s="183" t="n">
        <v>0</v>
      </c>
      <c r="Q696" s="184" t="n">
        <v>0</v>
      </c>
      <c r="R696" s="184" t="n">
        <v>0</v>
      </c>
      <c r="S696" s="183" t="n">
        <v>0</v>
      </c>
      <c r="T696" s="183" t="n">
        <v>0</v>
      </c>
      <c r="U696" s="182" t="n">
        <v>0</v>
      </c>
      <c r="V696" s="182" t="n">
        <v>0</v>
      </c>
      <c r="W696" s="182" t="n">
        <v>0</v>
      </c>
      <c r="X696" s="182" t="n">
        <v>0</v>
      </c>
      <c r="Y696" s="182" t="n">
        <v>0</v>
      </c>
      <c r="Z696" s="182" t="n">
        <v>0</v>
      </c>
      <c r="AA696" s="182" t="n">
        <v>0</v>
      </c>
      <c r="AB696" s="182" t="n">
        <v>0</v>
      </c>
      <c r="AC696" s="182" t="n">
        <v>0</v>
      </c>
      <c r="AD696" s="182" t="n">
        <v>0</v>
      </c>
      <c r="AE696" s="182" t="n">
        <v>0</v>
      </c>
      <c r="AF696" s="182" t="n">
        <v>0</v>
      </c>
      <c r="AG696" s="182" t="n">
        <v>0</v>
      </c>
      <c r="AH696" s="182" t="n">
        <v>0</v>
      </c>
      <c r="AI696" s="182" t="n">
        <v>0</v>
      </c>
      <c r="AJ696" s="182" t="n">
        <v>0</v>
      </c>
      <c r="AK696" s="182" t="n">
        <v>0</v>
      </c>
      <c r="AL696" s="182" t="n">
        <v>0</v>
      </c>
      <c r="AM696" s="182" t="n">
        <v>0</v>
      </c>
      <c r="AN696" s="182" t="n">
        <v>0</v>
      </c>
    </row>
    <row r="697">
      <c r="A697" s="155" t="n">
        <v>46085</v>
      </c>
      <c r="B697" s="156" t="inlineStr">
        <is>
          <t>DS</t>
        </is>
      </c>
      <c r="C697" s="156" t="inlineStr">
        <is>
          <t>EX-1252</t>
        </is>
      </c>
      <c r="D697" s="156" t="inlineStr">
        <is>
          <t>SY1250</t>
        </is>
      </c>
      <c r="E697" s="156" t="inlineStr">
        <is>
          <t>Excavator</t>
        </is>
      </c>
      <c r="F697" s="156" t="inlineStr"/>
      <c r="G697" s="182" t="n">
        <v>0</v>
      </c>
      <c r="H697" s="182" t="n">
        <v>0</v>
      </c>
      <c r="I697" s="182" t="n">
        <v>12</v>
      </c>
      <c r="J697" s="182" t="n">
        <v>12</v>
      </c>
      <c r="K697" s="182" t="n">
        <v>0</v>
      </c>
      <c r="L697" s="182" t="n">
        <v>12</v>
      </c>
      <c r="M697" s="182" t="n">
        <v>0</v>
      </c>
      <c r="N697" s="182" t="n">
        <v>0</v>
      </c>
      <c r="O697" s="183" t="n">
        <v>0</v>
      </c>
      <c r="P697" s="183" t="n">
        <v>0</v>
      </c>
      <c r="Q697" s="184" t="n">
        <v>0</v>
      </c>
      <c r="R697" s="184" t="n">
        <v>0</v>
      </c>
      <c r="S697" s="183" t="n">
        <v>0</v>
      </c>
      <c r="T697" s="183" t="n">
        <v>0</v>
      </c>
      <c r="U697" s="182" t="n">
        <v>0</v>
      </c>
      <c r="V697" s="182" t="n">
        <v>0</v>
      </c>
      <c r="W697" s="182" t="n">
        <v>0</v>
      </c>
      <c r="X697" s="182" t="n">
        <v>0</v>
      </c>
      <c r="Y697" s="182" t="n">
        <v>0</v>
      </c>
      <c r="Z697" s="182" t="n">
        <v>0</v>
      </c>
      <c r="AA697" s="182" t="n">
        <v>0</v>
      </c>
      <c r="AB697" s="182" t="n">
        <v>0</v>
      </c>
      <c r="AC697" s="182" t="n">
        <v>0</v>
      </c>
      <c r="AD697" s="182" t="n">
        <v>0</v>
      </c>
      <c r="AE697" s="182" t="n">
        <v>0</v>
      </c>
      <c r="AF697" s="182" t="n">
        <v>0</v>
      </c>
      <c r="AG697" s="182" t="n">
        <v>0</v>
      </c>
      <c r="AH697" s="182" t="n">
        <v>0</v>
      </c>
      <c r="AI697" s="182" t="n">
        <v>0</v>
      </c>
      <c r="AJ697" s="182" t="n">
        <v>0</v>
      </c>
      <c r="AK697" s="182" t="n">
        <v>0</v>
      </c>
      <c r="AL697" s="182" t="n">
        <v>0</v>
      </c>
      <c r="AM697" s="182" t="n">
        <v>0</v>
      </c>
      <c r="AN697" s="182" t="n">
        <v>0</v>
      </c>
    </row>
    <row r="698">
      <c r="A698" s="155" t="n">
        <v>46085</v>
      </c>
      <c r="B698" s="156" t="inlineStr">
        <is>
          <t>DS</t>
        </is>
      </c>
      <c r="C698" s="156" t="inlineStr">
        <is>
          <t>EX-2101</t>
        </is>
      </c>
      <c r="D698" s="156" t="inlineStr">
        <is>
          <t>SY2000</t>
        </is>
      </c>
      <c r="E698" s="156" t="inlineStr">
        <is>
          <t>Excavator</t>
        </is>
      </c>
      <c r="F698" s="156" t="inlineStr">
        <is>
          <t>Loading OB</t>
        </is>
      </c>
      <c r="G698" s="182" t="n">
        <v>5.33</v>
      </c>
      <c r="H698" s="182" t="n">
        <v>0</v>
      </c>
      <c r="I698" s="182" t="n">
        <v>5.5</v>
      </c>
      <c r="J698" s="182" t="n">
        <v>5.5</v>
      </c>
      <c r="K698" s="182" t="n">
        <v>1.17</v>
      </c>
      <c r="L698" s="182" t="n">
        <v>12</v>
      </c>
      <c r="M698" s="182" t="n">
        <v>3</v>
      </c>
      <c r="N698" s="182" t="n">
        <v>0</v>
      </c>
      <c r="O698" s="183" t="n">
        <v>39</v>
      </c>
      <c r="P698" s="183" t="n">
        <v>0</v>
      </c>
      <c r="Q698" s="184" t="n">
        <v>1224</v>
      </c>
      <c r="R698" s="184" t="n">
        <v>0</v>
      </c>
      <c r="S698" s="183" t="n">
        <v>0</v>
      </c>
      <c r="T698" s="183" t="n">
        <v>0</v>
      </c>
      <c r="U698" s="182" t="n">
        <v>0.31</v>
      </c>
      <c r="V698" s="182" t="n">
        <v>0</v>
      </c>
      <c r="W698" s="182" t="n">
        <v>0</v>
      </c>
      <c r="X698" s="182" t="n">
        <v>0.8</v>
      </c>
      <c r="Y698" s="182" t="n">
        <v>0</v>
      </c>
      <c r="Z698" s="182" t="n">
        <v>0</v>
      </c>
      <c r="AA698" s="182" t="n">
        <v>0</v>
      </c>
      <c r="AB698" s="182" t="n">
        <v>0</v>
      </c>
      <c r="AC698" s="182" t="n">
        <v>0</v>
      </c>
      <c r="AD698" s="182" t="n">
        <v>0</v>
      </c>
      <c r="AE698" s="182" t="n">
        <v>0</v>
      </c>
      <c r="AF698" s="182" t="n">
        <v>0</v>
      </c>
      <c r="AG698" s="182" t="n">
        <v>0</v>
      </c>
      <c r="AH698" s="182" t="n">
        <v>0</v>
      </c>
      <c r="AI698" s="182" t="n">
        <v>0</v>
      </c>
      <c r="AJ698" s="182" t="n">
        <v>0</v>
      </c>
      <c r="AK698" s="182" t="n">
        <v>0</v>
      </c>
      <c r="AL698" s="182" t="n">
        <v>0</v>
      </c>
      <c r="AM698" s="182" t="n">
        <v>0.06</v>
      </c>
      <c r="AN698" s="182" t="n">
        <v>0</v>
      </c>
    </row>
    <row r="699">
      <c r="A699" s="155" t="n">
        <v>46085</v>
      </c>
      <c r="B699" s="156" t="inlineStr">
        <is>
          <t>DS</t>
        </is>
      </c>
      <c r="C699" s="156" t="inlineStr">
        <is>
          <t>EX-222</t>
        </is>
      </c>
      <c r="D699" s="156" t="inlineStr">
        <is>
          <t>PC 200-8MI</t>
        </is>
      </c>
      <c r="E699" s="156" t="inlineStr">
        <is>
          <t>Excavator</t>
        </is>
      </c>
      <c r="F699" s="156" t="inlineStr">
        <is>
          <t>Trimming Coal di Stock ROM</t>
        </is>
      </c>
      <c r="G699" s="182" t="n">
        <v>11.11</v>
      </c>
      <c r="H699" s="182" t="n">
        <v>0</v>
      </c>
      <c r="I699" s="182" t="n">
        <v>0</v>
      </c>
      <c r="J699" s="182" t="n">
        <v>0</v>
      </c>
      <c r="K699" s="182" t="n">
        <v>0.89</v>
      </c>
      <c r="L699" s="182" t="n">
        <v>12</v>
      </c>
      <c r="M699" s="182" t="n">
        <v>0</v>
      </c>
      <c r="N699" s="182" t="n">
        <v>0</v>
      </c>
      <c r="O699" s="183" t="n">
        <v>0</v>
      </c>
      <c r="P699" s="183" t="n">
        <v>0</v>
      </c>
      <c r="Q699" s="184" t="n">
        <v>0</v>
      </c>
      <c r="R699" s="184" t="n">
        <v>0</v>
      </c>
      <c r="S699" s="183" t="n">
        <v>0</v>
      </c>
      <c r="T699" s="183" t="n">
        <v>0</v>
      </c>
      <c r="U699" s="182" t="n">
        <v>0</v>
      </c>
      <c r="V699" s="182" t="n">
        <v>0</v>
      </c>
      <c r="W699" s="182" t="n">
        <v>0</v>
      </c>
      <c r="X699" s="182" t="n">
        <v>0.68</v>
      </c>
      <c r="Y699" s="182" t="n">
        <v>0</v>
      </c>
      <c r="Z699" s="182" t="n">
        <v>0</v>
      </c>
      <c r="AA699" s="182" t="n">
        <v>0</v>
      </c>
      <c r="AB699" s="182" t="n">
        <v>0</v>
      </c>
      <c r="AC699" s="182" t="n">
        <v>0</v>
      </c>
      <c r="AD699" s="182" t="n">
        <v>0</v>
      </c>
      <c r="AE699" s="182" t="n">
        <v>0</v>
      </c>
      <c r="AF699" s="182" t="n">
        <v>0</v>
      </c>
      <c r="AG699" s="182" t="n">
        <v>0</v>
      </c>
      <c r="AH699" s="182" t="n">
        <v>0.15</v>
      </c>
      <c r="AI699" s="182" t="n">
        <v>0</v>
      </c>
      <c r="AJ699" s="182" t="n">
        <v>0</v>
      </c>
      <c r="AK699" s="182" t="n">
        <v>0</v>
      </c>
      <c r="AL699" s="182" t="n">
        <v>0</v>
      </c>
      <c r="AM699" s="182" t="n">
        <v>0.05</v>
      </c>
      <c r="AN699" s="182" t="n">
        <v>0</v>
      </c>
    </row>
    <row r="700">
      <c r="A700" s="155" t="n">
        <v>46085</v>
      </c>
      <c r="B700" s="156" t="inlineStr">
        <is>
          <t>DS</t>
        </is>
      </c>
      <c r="C700" s="156" t="inlineStr">
        <is>
          <t>EX-225</t>
        </is>
      </c>
      <c r="D700" s="156" t="inlineStr">
        <is>
          <t>PC 200-8</t>
        </is>
      </c>
      <c r="E700" s="156" t="inlineStr">
        <is>
          <t>Excavator</t>
        </is>
      </c>
      <c r="F700" s="156" t="inlineStr"/>
      <c r="G700" s="182" t="n">
        <v>0</v>
      </c>
      <c r="H700" s="182" t="n">
        <v>0</v>
      </c>
      <c r="I700" s="182" t="n">
        <v>12</v>
      </c>
      <c r="J700" s="182" t="n">
        <v>12</v>
      </c>
      <c r="K700" s="182" t="n">
        <v>0</v>
      </c>
      <c r="L700" s="182" t="n">
        <v>12</v>
      </c>
      <c r="M700" s="182" t="n">
        <v>0</v>
      </c>
      <c r="N700" s="182" t="n">
        <v>0</v>
      </c>
      <c r="O700" s="183" t="n">
        <v>0</v>
      </c>
      <c r="P700" s="183" t="n">
        <v>0</v>
      </c>
      <c r="Q700" s="184" t="n">
        <v>0</v>
      </c>
      <c r="R700" s="184" t="n">
        <v>0</v>
      </c>
      <c r="S700" s="183" t="n">
        <v>0</v>
      </c>
      <c r="T700" s="183" t="n">
        <v>0</v>
      </c>
      <c r="U700" s="182" t="n">
        <v>0</v>
      </c>
      <c r="V700" s="182" t="n">
        <v>0</v>
      </c>
      <c r="W700" s="182" t="n">
        <v>0</v>
      </c>
      <c r="X700" s="182" t="n">
        <v>0</v>
      </c>
      <c r="Y700" s="182" t="n">
        <v>0</v>
      </c>
      <c r="Z700" s="182" t="n">
        <v>0</v>
      </c>
      <c r="AA700" s="182" t="n">
        <v>0</v>
      </c>
      <c r="AB700" s="182" t="n">
        <v>0</v>
      </c>
      <c r="AC700" s="182" t="n">
        <v>0</v>
      </c>
      <c r="AD700" s="182" t="n">
        <v>0</v>
      </c>
      <c r="AE700" s="182" t="n">
        <v>0</v>
      </c>
      <c r="AF700" s="182" t="n">
        <v>0</v>
      </c>
      <c r="AG700" s="182" t="n">
        <v>0</v>
      </c>
      <c r="AH700" s="182" t="n">
        <v>0</v>
      </c>
      <c r="AI700" s="182" t="n">
        <v>0</v>
      </c>
      <c r="AJ700" s="182" t="n">
        <v>0</v>
      </c>
      <c r="AK700" s="182" t="n">
        <v>0</v>
      </c>
      <c r="AL700" s="182" t="n">
        <v>0</v>
      </c>
      <c r="AM700" s="182" t="n">
        <v>0</v>
      </c>
      <c r="AN700" s="182" t="n">
        <v>0</v>
      </c>
    </row>
    <row r="701">
      <c r="A701" s="155" t="n">
        <v>46085</v>
      </c>
      <c r="B701" s="156" t="inlineStr">
        <is>
          <t>DS</t>
        </is>
      </c>
      <c r="C701" s="156" t="inlineStr">
        <is>
          <t>EX-223</t>
        </is>
      </c>
      <c r="D701" s="156" t="inlineStr">
        <is>
          <t>PC 200-8MI</t>
        </is>
      </c>
      <c r="E701" s="156" t="inlineStr">
        <is>
          <t>Excavator</t>
        </is>
      </c>
      <c r="F701" s="156" t="inlineStr">
        <is>
          <t>General Longsoran Pit</t>
        </is>
      </c>
      <c r="G701" s="182" t="n">
        <v>10.03</v>
      </c>
      <c r="H701" s="182" t="n">
        <v>0</v>
      </c>
      <c r="I701" s="182" t="n">
        <v>0</v>
      </c>
      <c r="J701" s="182" t="n">
        <v>0</v>
      </c>
      <c r="K701" s="182" t="n">
        <v>1.97</v>
      </c>
      <c r="L701" s="182" t="n">
        <v>12</v>
      </c>
      <c r="M701" s="182" t="n">
        <v>0</v>
      </c>
      <c r="N701" s="182" t="n">
        <v>0</v>
      </c>
      <c r="O701" s="183" t="n">
        <v>0</v>
      </c>
      <c r="P701" s="183" t="n">
        <v>0</v>
      </c>
      <c r="Q701" s="184" t="n">
        <v>0</v>
      </c>
      <c r="R701" s="184" t="n">
        <v>0</v>
      </c>
      <c r="S701" s="183" t="n">
        <v>0</v>
      </c>
      <c r="T701" s="183" t="n">
        <v>0</v>
      </c>
      <c r="U701" s="182" t="n">
        <v>0.85</v>
      </c>
      <c r="V701" s="182" t="n">
        <v>0</v>
      </c>
      <c r="W701" s="182" t="n">
        <v>0</v>
      </c>
      <c r="X701" s="182" t="n">
        <v>1.04</v>
      </c>
      <c r="Y701" s="182" t="n">
        <v>0</v>
      </c>
      <c r="Z701" s="182" t="n">
        <v>0</v>
      </c>
      <c r="AA701" s="182" t="n">
        <v>0</v>
      </c>
      <c r="AB701" s="182" t="n">
        <v>0</v>
      </c>
      <c r="AC701" s="182" t="n">
        <v>0</v>
      </c>
      <c r="AD701" s="182" t="n">
        <v>0</v>
      </c>
      <c r="AE701" s="182" t="n">
        <v>0</v>
      </c>
      <c r="AF701" s="182" t="n">
        <v>0</v>
      </c>
      <c r="AG701" s="182" t="n">
        <v>0</v>
      </c>
      <c r="AH701" s="182" t="n">
        <v>0</v>
      </c>
      <c r="AI701" s="182" t="n">
        <v>0</v>
      </c>
      <c r="AJ701" s="182" t="n">
        <v>0</v>
      </c>
      <c r="AK701" s="182" t="n">
        <v>0</v>
      </c>
      <c r="AL701" s="182" t="n">
        <v>0</v>
      </c>
      <c r="AM701" s="182" t="n">
        <v>0.08</v>
      </c>
      <c r="AN701" s="182" t="n">
        <v>0</v>
      </c>
    </row>
    <row r="702">
      <c r="A702" s="155" t="n">
        <v>46085</v>
      </c>
      <c r="B702" s="156" t="inlineStr">
        <is>
          <t>DS</t>
        </is>
      </c>
      <c r="C702" s="156" t="inlineStr">
        <is>
          <t>EX-221</t>
        </is>
      </c>
      <c r="D702" s="156" t="inlineStr">
        <is>
          <t>PC 200-8MI</t>
        </is>
      </c>
      <c r="E702" s="156" t="inlineStr">
        <is>
          <t>Excavator</t>
        </is>
      </c>
      <c r="F702" s="156" t="inlineStr">
        <is>
          <t>Support Jetty</t>
        </is>
      </c>
      <c r="G702" s="182" t="n">
        <v>7.81</v>
      </c>
      <c r="H702" s="182" t="n">
        <v>0</v>
      </c>
      <c r="I702" s="182" t="n">
        <v>0</v>
      </c>
      <c r="J702" s="182" t="n">
        <v>0</v>
      </c>
      <c r="K702" s="182" t="n">
        <v>4.19</v>
      </c>
      <c r="L702" s="182" t="n">
        <v>12</v>
      </c>
      <c r="M702" s="182" t="n">
        <v>0</v>
      </c>
      <c r="N702" s="182" t="n">
        <v>0</v>
      </c>
      <c r="O702" s="183" t="n">
        <v>0</v>
      </c>
      <c r="P702" s="183" t="n">
        <v>0</v>
      </c>
      <c r="Q702" s="184" t="n">
        <v>0</v>
      </c>
      <c r="R702" s="184" t="n">
        <v>0</v>
      </c>
      <c r="S702" s="183" t="n">
        <v>0</v>
      </c>
      <c r="T702" s="183" t="n">
        <v>0</v>
      </c>
      <c r="U702" s="182" t="n">
        <v>0</v>
      </c>
      <c r="V702" s="182" t="n">
        <v>0</v>
      </c>
      <c r="W702" s="182" t="n">
        <v>0</v>
      </c>
      <c r="X702" s="182" t="n">
        <v>1</v>
      </c>
      <c r="Y702" s="182" t="n">
        <v>0</v>
      </c>
      <c r="Z702" s="182" t="n">
        <v>0</v>
      </c>
      <c r="AA702" s="182" t="n">
        <v>0</v>
      </c>
      <c r="AB702" s="182" t="n">
        <v>0</v>
      </c>
      <c r="AC702" s="182" t="n">
        <v>0</v>
      </c>
      <c r="AD702" s="182" t="n">
        <v>0</v>
      </c>
      <c r="AE702" s="182" t="n">
        <v>0</v>
      </c>
      <c r="AF702" s="182" t="n">
        <v>0</v>
      </c>
      <c r="AG702" s="182" t="n">
        <v>0</v>
      </c>
      <c r="AH702" s="182" t="n">
        <v>0</v>
      </c>
      <c r="AI702" s="182" t="n">
        <v>0</v>
      </c>
      <c r="AJ702" s="182" t="n">
        <v>0</v>
      </c>
      <c r="AK702" s="182" t="n">
        <v>3.11</v>
      </c>
      <c r="AL702" s="182" t="n">
        <v>0</v>
      </c>
      <c r="AM702" s="182" t="n">
        <v>0.08</v>
      </c>
      <c r="AN702" s="182" t="n">
        <v>0</v>
      </c>
    </row>
    <row r="703">
      <c r="A703" s="155" t="n">
        <v>46085</v>
      </c>
      <c r="B703" s="156" t="inlineStr">
        <is>
          <t>DS</t>
        </is>
      </c>
      <c r="C703" s="156" t="inlineStr">
        <is>
          <t>EX-331</t>
        </is>
      </c>
      <c r="D703" s="156" t="inlineStr">
        <is>
          <t>PC 300-8MO</t>
        </is>
      </c>
      <c r="E703" s="156" t="inlineStr">
        <is>
          <t>Excavator</t>
        </is>
      </c>
      <c r="F703" s="156" t="inlineStr"/>
      <c r="G703" s="182" t="n">
        <v>0</v>
      </c>
      <c r="H703" s="182" t="n">
        <v>0</v>
      </c>
      <c r="I703" s="182" t="n">
        <v>12</v>
      </c>
      <c r="J703" s="182" t="n">
        <v>12</v>
      </c>
      <c r="K703" s="182" t="n">
        <v>0</v>
      </c>
      <c r="L703" s="182" t="n">
        <v>12</v>
      </c>
      <c r="M703" s="182" t="n">
        <v>0</v>
      </c>
      <c r="N703" s="182" t="n">
        <v>0</v>
      </c>
      <c r="O703" s="183" t="n">
        <v>0</v>
      </c>
      <c r="P703" s="183" t="n">
        <v>0</v>
      </c>
      <c r="Q703" s="184" t="n">
        <v>0</v>
      </c>
      <c r="R703" s="184" t="n">
        <v>0</v>
      </c>
      <c r="S703" s="183" t="n">
        <v>0</v>
      </c>
      <c r="T703" s="183" t="n">
        <v>0</v>
      </c>
      <c r="U703" s="182" t="n">
        <v>0</v>
      </c>
      <c r="V703" s="182" t="n">
        <v>0</v>
      </c>
      <c r="W703" s="182" t="n">
        <v>0</v>
      </c>
      <c r="X703" s="182" t="n">
        <v>0</v>
      </c>
      <c r="Y703" s="182" t="n">
        <v>0</v>
      </c>
      <c r="Z703" s="182" t="n">
        <v>0</v>
      </c>
      <c r="AA703" s="182" t="n">
        <v>0</v>
      </c>
      <c r="AB703" s="182" t="n">
        <v>0</v>
      </c>
      <c r="AC703" s="182" t="n">
        <v>0</v>
      </c>
      <c r="AD703" s="182" t="n">
        <v>0</v>
      </c>
      <c r="AE703" s="182" t="n">
        <v>0</v>
      </c>
      <c r="AF703" s="182" t="n">
        <v>0</v>
      </c>
      <c r="AG703" s="182" t="n">
        <v>0</v>
      </c>
      <c r="AH703" s="182" t="n">
        <v>0</v>
      </c>
      <c r="AI703" s="182" t="n">
        <v>0</v>
      </c>
      <c r="AJ703" s="182" t="n">
        <v>0</v>
      </c>
      <c r="AK703" s="182" t="n">
        <v>0</v>
      </c>
      <c r="AL703" s="182" t="n">
        <v>0</v>
      </c>
      <c r="AM703" s="182" t="n">
        <v>0</v>
      </c>
      <c r="AN703" s="182" t="n">
        <v>0</v>
      </c>
    </row>
    <row r="704">
      <c r="A704" s="155" t="n">
        <v>46085</v>
      </c>
      <c r="B704" s="156" t="inlineStr">
        <is>
          <t>DS</t>
        </is>
      </c>
      <c r="C704" s="156" t="inlineStr">
        <is>
          <t>EX-334</t>
        </is>
      </c>
      <c r="D704" s="156" t="inlineStr">
        <is>
          <t>PC 300-8MO</t>
        </is>
      </c>
      <c r="E704" s="156" t="inlineStr">
        <is>
          <t>Excavator</t>
        </is>
      </c>
      <c r="F704" s="156" t="inlineStr">
        <is>
          <t>Trimming Coal di Stock ROM</t>
        </is>
      </c>
      <c r="G704" s="182" t="n">
        <v>10.5</v>
      </c>
      <c r="H704" s="182" t="n">
        <v>0</v>
      </c>
      <c r="I704" s="182" t="n">
        <v>1.5</v>
      </c>
      <c r="J704" s="182" t="n">
        <v>1.5</v>
      </c>
      <c r="K704" s="182" t="n">
        <v>0</v>
      </c>
      <c r="L704" s="182" t="n">
        <v>12</v>
      </c>
      <c r="M704" s="182" t="n">
        <v>0</v>
      </c>
      <c r="N704" s="182" t="n">
        <v>0</v>
      </c>
      <c r="O704" s="183" t="n">
        <v>0</v>
      </c>
      <c r="P704" s="183" t="n">
        <v>0</v>
      </c>
      <c r="Q704" s="184" t="n">
        <v>0</v>
      </c>
      <c r="R704" s="184" t="n">
        <v>0</v>
      </c>
      <c r="S704" s="183" t="n">
        <v>0</v>
      </c>
      <c r="T704" s="183" t="n">
        <v>0</v>
      </c>
      <c r="U704" s="182" t="n">
        <v>0</v>
      </c>
      <c r="V704" s="182" t="n">
        <v>0</v>
      </c>
      <c r="W704" s="182" t="n">
        <v>0</v>
      </c>
      <c r="X704" s="182" t="n">
        <v>0</v>
      </c>
      <c r="Y704" s="182" t="n">
        <v>0</v>
      </c>
      <c r="Z704" s="182" t="n">
        <v>0</v>
      </c>
      <c r="AA704" s="182" t="n">
        <v>0</v>
      </c>
      <c r="AB704" s="182" t="n">
        <v>0</v>
      </c>
      <c r="AC704" s="182" t="n">
        <v>0</v>
      </c>
      <c r="AD704" s="182" t="n">
        <v>0</v>
      </c>
      <c r="AE704" s="182" t="n">
        <v>0</v>
      </c>
      <c r="AF704" s="182" t="n">
        <v>0</v>
      </c>
      <c r="AG704" s="182" t="n">
        <v>0</v>
      </c>
      <c r="AH704" s="182" t="n">
        <v>0</v>
      </c>
      <c r="AI704" s="182" t="n">
        <v>0</v>
      </c>
      <c r="AJ704" s="182" t="n">
        <v>0</v>
      </c>
      <c r="AK704" s="182" t="n">
        <v>0</v>
      </c>
      <c r="AL704" s="182" t="n">
        <v>0</v>
      </c>
      <c r="AM704" s="182" t="n">
        <v>0</v>
      </c>
      <c r="AN704" s="182" t="n">
        <v>0</v>
      </c>
    </row>
    <row r="705">
      <c r="A705" s="155" t="n">
        <v>46085</v>
      </c>
      <c r="B705" s="156" t="inlineStr">
        <is>
          <t>DS</t>
        </is>
      </c>
      <c r="C705" s="156" t="inlineStr">
        <is>
          <t>EX-332</t>
        </is>
      </c>
      <c r="D705" s="156" t="inlineStr">
        <is>
          <t>PC 300-8MO</t>
        </is>
      </c>
      <c r="E705" s="156" t="inlineStr">
        <is>
          <t>Excavator</t>
        </is>
      </c>
      <c r="F705" s="156" t="inlineStr"/>
      <c r="G705" s="182" t="n">
        <v>0</v>
      </c>
      <c r="H705" s="182" t="n">
        <v>0</v>
      </c>
      <c r="I705" s="182" t="n">
        <v>12</v>
      </c>
      <c r="J705" s="182" t="n">
        <v>12</v>
      </c>
      <c r="K705" s="182" t="n">
        <v>0</v>
      </c>
      <c r="L705" s="182" t="n">
        <v>12</v>
      </c>
      <c r="M705" s="182" t="n">
        <v>0</v>
      </c>
      <c r="N705" s="182" t="n">
        <v>0</v>
      </c>
      <c r="O705" s="183" t="n">
        <v>0</v>
      </c>
      <c r="P705" s="183" t="n">
        <v>0</v>
      </c>
      <c r="Q705" s="184" t="n">
        <v>0</v>
      </c>
      <c r="R705" s="184" t="n">
        <v>0</v>
      </c>
      <c r="S705" s="183" t="n">
        <v>0</v>
      </c>
      <c r="T705" s="183" t="n">
        <v>0</v>
      </c>
      <c r="U705" s="182" t="n">
        <v>0</v>
      </c>
      <c r="V705" s="182" t="n">
        <v>0</v>
      </c>
      <c r="W705" s="182" t="n">
        <v>0</v>
      </c>
      <c r="X705" s="182" t="n">
        <v>0</v>
      </c>
      <c r="Y705" s="182" t="n">
        <v>0</v>
      </c>
      <c r="Z705" s="182" t="n">
        <v>0</v>
      </c>
      <c r="AA705" s="182" t="n">
        <v>0</v>
      </c>
      <c r="AB705" s="182" t="n">
        <v>0</v>
      </c>
      <c r="AC705" s="182" t="n">
        <v>0</v>
      </c>
      <c r="AD705" s="182" t="n">
        <v>0</v>
      </c>
      <c r="AE705" s="182" t="n">
        <v>0</v>
      </c>
      <c r="AF705" s="182" t="n">
        <v>0</v>
      </c>
      <c r="AG705" s="182" t="n">
        <v>0</v>
      </c>
      <c r="AH705" s="182" t="n">
        <v>0</v>
      </c>
      <c r="AI705" s="182" t="n">
        <v>0</v>
      </c>
      <c r="AJ705" s="182" t="n">
        <v>0</v>
      </c>
      <c r="AK705" s="182" t="n">
        <v>0</v>
      </c>
      <c r="AL705" s="182" t="n">
        <v>0</v>
      </c>
      <c r="AM705" s="182" t="n">
        <v>0</v>
      </c>
      <c r="AN705" s="182" t="n">
        <v>0</v>
      </c>
    </row>
    <row r="706">
      <c r="A706" s="155" t="n">
        <v>46085</v>
      </c>
      <c r="B706" s="156" t="inlineStr">
        <is>
          <t>DS</t>
        </is>
      </c>
      <c r="C706" s="156" t="inlineStr">
        <is>
          <t>EX-333</t>
        </is>
      </c>
      <c r="D706" s="156" t="inlineStr">
        <is>
          <t>PC 300-8MO</t>
        </is>
      </c>
      <c r="E706" s="156" t="inlineStr">
        <is>
          <t>Excavator</t>
        </is>
      </c>
      <c r="F706" s="156" t="inlineStr">
        <is>
          <t>Unit Baru Ready</t>
        </is>
      </c>
      <c r="G706" s="182" t="n">
        <v>2.3</v>
      </c>
      <c r="H706" s="182" t="n">
        <v>0</v>
      </c>
      <c r="I706" s="182" t="n">
        <v>9.699999999999999</v>
      </c>
      <c r="J706" s="182" t="n">
        <v>9.699999999999999</v>
      </c>
      <c r="K706" s="182" t="n">
        <v>0</v>
      </c>
      <c r="L706" s="182" t="n">
        <v>12</v>
      </c>
      <c r="M706" s="182" t="n">
        <v>0</v>
      </c>
      <c r="N706" s="182" t="n">
        <v>0</v>
      </c>
      <c r="O706" s="183" t="n">
        <v>0</v>
      </c>
      <c r="P706" s="183" t="n">
        <v>0</v>
      </c>
      <c r="Q706" s="184" t="n">
        <v>0</v>
      </c>
      <c r="R706" s="184" t="n">
        <v>0</v>
      </c>
      <c r="S706" s="183" t="n">
        <v>0</v>
      </c>
      <c r="T706" s="183" t="n">
        <v>0</v>
      </c>
      <c r="U706" s="182" t="n">
        <v>0</v>
      </c>
      <c r="V706" s="182" t="n">
        <v>0</v>
      </c>
      <c r="W706" s="182" t="n">
        <v>0</v>
      </c>
      <c r="X706" s="182" t="n">
        <v>0</v>
      </c>
      <c r="Y706" s="182" t="n">
        <v>0</v>
      </c>
      <c r="Z706" s="182" t="n">
        <v>0</v>
      </c>
      <c r="AA706" s="182" t="n">
        <v>0</v>
      </c>
      <c r="AB706" s="182" t="n">
        <v>0</v>
      </c>
      <c r="AC706" s="182" t="n">
        <v>0</v>
      </c>
      <c r="AD706" s="182" t="n">
        <v>0</v>
      </c>
      <c r="AE706" s="182" t="n">
        <v>0</v>
      </c>
      <c r="AF706" s="182" t="n">
        <v>0</v>
      </c>
      <c r="AG706" s="182" t="n">
        <v>0</v>
      </c>
      <c r="AH706" s="182" t="n">
        <v>0</v>
      </c>
      <c r="AI706" s="182" t="n">
        <v>0</v>
      </c>
      <c r="AJ706" s="182" t="n">
        <v>0</v>
      </c>
      <c r="AK706" s="182" t="n">
        <v>0</v>
      </c>
      <c r="AL706" s="182" t="n">
        <v>0</v>
      </c>
      <c r="AM706" s="182" t="n">
        <v>0</v>
      </c>
      <c r="AN706" s="182" t="n">
        <v>0</v>
      </c>
    </row>
    <row r="707">
      <c r="A707" s="155" t="n">
        <v>46085</v>
      </c>
      <c r="B707" s="156" t="inlineStr">
        <is>
          <t>DS</t>
        </is>
      </c>
      <c r="C707" s="156" t="inlineStr">
        <is>
          <t>EX-336</t>
        </is>
      </c>
      <c r="D707" s="156" t="inlineStr">
        <is>
          <t>PC 300-8MO</t>
        </is>
      </c>
      <c r="E707" s="156" t="inlineStr">
        <is>
          <t>Excavator</t>
        </is>
      </c>
      <c r="F707" s="156" t="inlineStr">
        <is>
          <t>General release air pit</t>
        </is>
      </c>
      <c r="G707" s="182" t="n">
        <v>7.93</v>
      </c>
      <c r="H707" s="182" t="n">
        <v>0</v>
      </c>
      <c r="I707" s="182" t="n">
        <v>3.92</v>
      </c>
      <c r="J707" s="182" t="n">
        <v>3.92</v>
      </c>
      <c r="K707" s="182" t="n">
        <v>0.15</v>
      </c>
      <c r="L707" s="182" t="n">
        <v>12</v>
      </c>
      <c r="M707" s="182" t="n">
        <v>0</v>
      </c>
      <c r="N707" s="182" t="n">
        <v>0</v>
      </c>
      <c r="O707" s="183" t="n">
        <v>0</v>
      </c>
      <c r="P707" s="183" t="n">
        <v>0</v>
      </c>
      <c r="Q707" s="184" t="n">
        <v>0</v>
      </c>
      <c r="R707" s="184" t="n">
        <v>0</v>
      </c>
      <c r="S707" s="183" t="n">
        <v>0</v>
      </c>
      <c r="T707" s="183" t="n">
        <v>0</v>
      </c>
      <c r="U707" s="182" t="n">
        <v>0</v>
      </c>
      <c r="V707" s="182" t="n">
        <v>0</v>
      </c>
      <c r="W707" s="182" t="n">
        <v>0</v>
      </c>
      <c r="X707" s="182" t="n">
        <v>0</v>
      </c>
      <c r="Y707" s="182" t="n">
        <v>0</v>
      </c>
      <c r="Z707" s="182" t="n">
        <v>0</v>
      </c>
      <c r="AA707" s="182" t="n">
        <v>0</v>
      </c>
      <c r="AB707" s="182" t="n">
        <v>0</v>
      </c>
      <c r="AC707" s="182" t="n">
        <v>0</v>
      </c>
      <c r="AD707" s="182" t="n">
        <v>0</v>
      </c>
      <c r="AE707" s="182" t="n">
        <v>0</v>
      </c>
      <c r="AF707" s="182" t="n">
        <v>0</v>
      </c>
      <c r="AG707" s="182" t="n">
        <v>0</v>
      </c>
      <c r="AH707" s="182" t="n">
        <v>0</v>
      </c>
      <c r="AI707" s="182" t="n">
        <v>0</v>
      </c>
      <c r="AJ707" s="182" t="n">
        <v>0</v>
      </c>
      <c r="AK707" s="182" t="n">
        <v>0</v>
      </c>
      <c r="AL707" s="182" t="n">
        <v>0</v>
      </c>
      <c r="AM707" s="182" t="n">
        <v>0.15</v>
      </c>
      <c r="AN707" s="182" t="n">
        <v>0</v>
      </c>
    </row>
    <row r="708">
      <c r="A708" s="155" t="n">
        <v>46085</v>
      </c>
      <c r="B708" s="156" t="inlineStr">
        <is>
          <t>DS</t>
        </is>
      </c>
      <c r="C708" s="156" t="inlineStr">
        <is>
          <t>EX-335</t>
        </is>
      </c>
      <c r="D708" s="156" t="inlineStr">
        <is>
          <t>PC 300-8MO</t>
        </is>
      </c>
      <c r="E708" s="156" t="inlineStr">
        <is>
          <t>Excavator</t>
        </is>
      </c>
      <c r="F708" s="156" t="inlineStr">
        <is>
          <t>Cleaning Coal</t>
        </is>
      </c>
      <c r="G708" s="182" t="n">
        <v>2.88</v>
      </c>
      <c r="H708" s="182" t="n">
        <v>0</v>
      </c>
      <c r="I708" s="182" t="n">
        <v>7.33</v>
      </c>
      <c r="J708" s="182" t="n">
        <v>7.33</v>
      </c>
      <c r="K708" s="182" t="n">
        <v>1.79</v>
      </c>
      <c r="L708" s="182" t="n">
        <v>12</v>
      </c>
      <c r="M708" s="182" t="n">
        <v>0</v>
      </c>
      <c r="N708" s="182" t="n">
        <v>0</v>
      </c>
      <c r="O708" s="183" t="n">
        <v>0</v>
      </c>
      <c r="P708" s="183" t="n">
        <v>0</v>
      </c>
      <c r="Q708" s="184" t="n">
        <v>0</v>
      </c>
      <c r="R708" s="184" t="n">
        <v>0</v>
      </c>
      <c r="S708" s="183" t="n">
        <v>0</v>
      </c>
      <c r="T708" s="183" t="n">
        <v>0</v>
      </c>
      <c r="U708" s="182" t="n">
        <v>0.37</v>
      </c>
      <c r="V708" s="182" t="n">
        <v>0</v>
      </c>
      <c r="W708" s="182" t="n">
        <v>0</v>
      </c>
      <c r="X708" s="182" t="n">
        <v>1.31</v>
      </c>
      <c r="Y708" s="182" t="n">
        <v>0</v>
      </c>
      <c r="Z708" s="182" t="n">
        <v>0</v>
      </c>
      <c r="AA708" s="182" t="n">
        <v>0</v>
      </c>
      <c r="AB708" s="182" t="n">
        <v>0</v>
      </c>
      <c r="AC708" s="182" t="n">
        <v>0</v>
      </c>
      <c r="AD708" s="182" t="n">
        <v>0</v>
      </c>
      <c r="AE708" s="182" t="n">
        <v>0</v>
      </c>
      <c r="AF708" s="182" t="n">
        <v>0</v>
      </c>
      <c r="AG708" s="182" t="n">
        <v>0</v>
      </c>
      <c r="AH708" s="182" t="n">
        <v>0</v>
      </c>
      <c r="AI708" s="182" t="n">
        <v>0</v>
      </c>
      <c r="AJ708" s="182" t="n">
        <v>0</v>
      </c>
      <c r="AK708" s="182" t="n">
        <v>0</v>
      </c>
      <c r="AL708" s="182" t="n">
        <v>0</v>
      </c>
      <c r="AM708" s="182" t="n">
        <v>0.1</v>
      </c>
      <c r="AN708" s="182" t="n">
        <v>0</v>
      </c>
    </row>
    <row r="709">
      <c r="A709" s="155" t="n">
        <v>46085</v>
      </c>
      <c r="B709" s="156" t="inlineStr">
        <is>
          <t>DS</t>
        </is>
      </c>
      <c r="C709" s="156" t="inlineStr">
        <is>
          <t>EX-754</t>
        </is>
      </c>
      <c r="D709" s="156" t="inlineStr">
        <is>
          <t>SY750H-PRO</t>
        </is>
      </c>
      <c r="E709" s="156" t="inlineStr">
        <is>
          <t>Excavator</t>
        </is>
      </c>
      <c r="F709" s="156" t="inlineStr">
        <is>
          <t>Loading OB</t>
        </is>
      </c>
      <c r="G709" s="182" t="n">
        <v>9.9</v>
      </c>
      <c r="H709" s="182" t="n">
        <v>0</v>
      </c>
      <c r="I709" s="182" t="n">
        <v>0</v>
      </c>
      <c r="J709" s="182" t="n">
        <v>0</v>
      </c>
      <c r="K709" s="182" t="n">
        <v>2.1</v>
      </c>
      <c r="L709" s="182" t="n">
        <v>12</v>
      </c>
      <c r="M709" s="182" t="n">
        <v>6.64</v>
      </c>
      <c r="N709" s="182" t="n">
        <v>0</v>
      </c>
      <c r="O709" s="183" t="n">
        <v>102</v>
      </c>
      <c r="P709" s="183" t="n">
        <v>0</v>
      </c>
      <c r="Q709" s="184" t="n">
        <v>2080.8</v>
      </c>
      <c r="R709" s="184" t="n">
        <v>0</v>
      </c>
      <c r="S709" s="183" t="n">
        <v>0</v>
      </c>
      <c r="T709" s="183" t="n">
        <v>0</v>
      </c>
      <c r="U709" s="182" t="n">
        <v>0.82</v>
      </c>
      <c r="V709" s="182" t="n">
        <v>0</v>
      </c>
      <c r="W709" s="182" t="n">
        <v>0</v>
      </c>
      <c r="X709" s="182" t="n">
        <v>1.19</v>
      </c>
      <c r="Y709" s="182" t="n">
        <v>0</v>
      </c>
      <c r="Z709" s="182" t="n">
        <v>0</v>
      </c>
      <c r="AA709" s="182" t="n">
        <v>0</v>
      </c>
      <c r="AB709" s="182" t="n">
        <v>0</v>
      </c>
      <c r="AC709" s="182" t="n">
        <v>0</v>
      </c>
      <c r="AD709" s="182" t="n">
        <v>0</v>
      </c>
      <c r="AE709" s="182" t="n">
        <v>0</v>
      </c>
      <c r="AF709" s="182" t="n">
        <v>0</v>
      </c>
      <c r="AG709" s="182" t="n">
        <v>0</v>
      </c>
      <c r="AH709" s="182" t="n">
        <v>0</v>
      </c>
      <c r="AI709" s="182" t="n">
        <v>0</v>
      </c>
      <c r="AJ709" s="182" t="n">
        <v>0</v>
      </c>
      <c r="AK709" s="182" t="n">
        <v>0</v>
      </c>
      <c r="AL709" s="182" t="n">
        <v>0</v>
      </c>
      <c r="AM709" s="182" t="n">
        <v>0.09</v>
      </c>
      <c r="AN709" s="182" t="n">
        <v>0</v>
      </c>
    </row>
    <row r="710">
      <c r="A710" s="155" t="n">
        <v>46085</v>
      </c>
      <c r="B710" s="156" t="inlineStr">
        <is>
          <t>DS</t>
        </is>
      </c>
      <c r="C710" s="156" t="inlineStr">
        <is>
          <t>EX-755</t>
        </is>
      </c>
      <c r="D710" s="156" t="inlineStr">
        <is>
          <t>SY750H-PRO</t>
        </is>
      </c>
      <c r="E710" s="156" t="inlineStr">
        <is>
          <t>Excavator</t>
        </is>
      </c>
      <c r="F710" s="156" t="inlineStr">
        <is>
          <t>Loading OB</t>
        </is>
      </c>
      <c r="G710" s="182" t="n">
        <v>6.35</v>
      </c>
      <c r="H710" s="182" t="n">
        <v>0</v>
      </c>
      <c r="I710" s="182" t="n">
        <v>2</v>
      </c>
      <c r="J710" s="182" t="n">
        <v>2</v>
      </c>
      <c r="K710" s="182" t="n">
        <v>3.65</v>
      </c>
      <c r="L710" s="182" t="n">
        <v>12</v>
      </c>
      <c r="M710" s="182" t="n">
        <v>4</v>
      </c>
      <c r="N710" s="182" t="n">
        <v>0</v>
      </c>
      <c r="O710" s="183" t="n">
        <v>50</v>
      </c>
      <c r="P710" s="183" t="n">
        <v>0</v>
      </c>
      <c r="Q710" s="184" t="n">
        <v>1020</v>
      </c>
      <c r="R710" s="184" t="n">
        <v>0</v>
      </c>
      <c r="S710" s="183" t="n">
        <v>0</v>
      </c>
      <c r="T710" s="183" t="n">
        <v>0</v>
      </c>
      <c r="U710" s="182" t="n">
        <v>1.22</v>
      </c>
      <c r="V710" s="182" t="n">
        <v>1.5</v>
      </c>
      <c r="W710" s="182" t="n">
        <v>0</v>
      </c>
      <c r="X710" s="182" t="n">
        <v>0.86</v>
      </c>
      <c r="Y710" s="182" t="n">
        <v>0</v>
      </c>
      <c r="Z710" s="182" t="n">
        <v>0</v>
      </c>
      <c r="AA710" s="182" t="n">
        <v>0</v>
      </c>
      <c r="AB710" s="182" t="n">
        <v>0</v>
      </c>
      <c r="AC710" s="182" t="n">
        <v>0</v>
      </c>
      <c r="AD710" s="182" t="n">
        <v>0</v>
      </c>
      <c r="AE710" s="182" t="n">
        <v>0</v>
      </c>
      <c r="AF710" s="182" t="n">
        <v>0</v>
      </c>
      <c r="AG710" s="182" t="n">
        <v>0</v>
      </c>
      <c r="AH710" s="182" t="n">
        <v>0</v>
      </c>
      <c r="AI710" s="182" t="n">
        <v>0</v>
      </c>
      <c r="AJ710" s="182" t="n">
        <v>0</v>
      </c>
      <c r="AK710" s="182" t="n">
        <v>0</v>
      </c>
      <c r="AL710" s="182" t="n">
        <v>0</v>
      </c>
      <c r="AM710" s="182" t="n">
        <v>0.07000000000000001</v>
      </c>
      <c r="AN710" s="182" t="n">
        <v>0</v>
      </c>
    </row>
    <row r="711">
      <c r="A711" s="155" t="n">
        <v>46085</v>
      </c>
      <c r="B711" s="156" t="inlineStr">
        <is>
          <t>DS</t>
        </is>
      </c>
      <c r="C711" s="156" t="inlineStr">
        <is>
          <t>EX-752</t>
        </is>
      </c>
      <c r="D711" s="156" t="inlineStr">
        <is>
          <t>SY750H-PRO</t>
        </is>
      </c>
      <c r="E711" s="156" t="inlineStr">
        <is>
          <t>Excavator</t>
        </is>
      </c>
      <c r="F711" s="156" t="inlineStr"/>
      <c r="G711" s="182" t="n">
        <v>0</v>
      </c>
      <c r="H711" s="182" t="n">
        <v>0</v>
      </c>
      <c r="I711" s="182" t="n">
        <v>12</v>
      </c>
      <c r="J711" s="182" t="n">
        <v>12</v>
      </c>
      <c r="K711" s="182" t="n">
        <v>0</v>
      </c>
      <c r="L711" s="182" t="n">
        <v>12</v>
      </c>
      <c r="M711" s="182" t="n">
        <v>0</v>
      </c>
      <c r="N711" s="182" t="n">
        <v>0</v>
      </c>
      <c r="O711" s="183" t="n">
        <v>0</v>
      </c>
      <c r="P711" s="183" t="n">
        <v>0</v>
      </c>
      <c r="Q711" s="184" t="n">
        <v>0</v>
      </c>
      <c r="R711" s="184" t="n">
        <v>0</v>
      </c>
      <c r="S711" s="183" t="n">
        <v>0</v>
      </c>
      <c r="T711" s="183" t="n">
        <v>0</v>
      </c>
      <c r="U711" s="182" t="n">
        <v>0</v>
      </c>
      <c r="V711" s="182" t="n">
        <v>0</v>
      </c>
      <c r="W711" s="182" t="n">
        <v>0</v>
      </c>
      <c r="X711" s="182" t="n">
        <v>0</v>
      </c>
      <c r="Y711" s="182" t="n">
        <v>0</v>
      </c>
      <c r="Z711" s="182" t="n">
        <v>0</v>
      </c>
      <c r="AA711" s="182" t="n">
        <v>0</v>
      </c>
      <c r="AB711" s="182" t="n">
        <v>0</v>
      </c>
      <c r="AC711" s="182" t="n">
        <v>0</v>
      </c>
      <c r="AD711" s="182" t="n">
        <v>0</v>
      </c>
      <c r="AE711" s="182" t="n">
        <v>0</v>
      </c>
      <c r="AF711" s="182" t="n">
        <v>0</v>
      </c>
      <c r="AG711" s="182" t="n">
        <v>0</v>
      </c>
      <c r="AH711" s="182" t="n">
        <v>0</v>
      </c>
      <c r="AI711" s="182" t="n">
        <v>0</v>
      </c>
      <c r="AJ711" s="182" t="n">
        <v>0</v>
      </c>
      <c r="AK711" s="182" t="n">
        <v>0</v>
      </c>
      <c r="AL711" s="182" t="n">
        <v>0</v>
      </c>
      <c r="AM711" s="182" t="n">
        <v>0</v>
      </c>
      <c r="AN711" s="182" t="n">
        <v>0</v>
      </c>
    </row>
    <row r="712">
      <c r="A712" s="155" t="n">
        <v>46085</v>
      </c>
      <c r="B712" s="156" t="inlineStr">
        <is>
          <t>DS</t>
        </is>
      </c>
      <c r="C712" s="156" t="inlineStr">
        <is>
          <t>EX-751</t>
        </is>
      </c>
      <c r="D712" s="156" t="inlineStr">
        <is>
          <t>SY750H-PRO</t>
        </is>
      </c>
      <c r="E712" s="156" t="inlineStr">
        <is>
          <t>Excavator</t>
        </is>
      </c>
      <c r="F712" s="156" t="inlineStr"/>
      <c r="G712" s="182" t="n">
        <v>0</v>
      </c>
      <c r="H712" s="182" t="n">
        <v>0</v>
      </c>
      <c r="I712" s="182" t="n">
        <v>12</v>
      </c>
      <c r="J712" s="182" t="n">
        <v>12</v>
      </c>
      <c r="K712" s="182" t="n">
        <v>0</v>
      </c>
      <c r="L712" s="182" t="n">
        <v>12</v>
      </c>
      <c r="M712" s="182" t="n">
        <v>0</v>
      </c>
      <c r="N712" s="182" t="n">
        <v>0</v>
      </c>
      <c r="O712" s="183" t="n">
        <v>0</v>
      </c>
      <c r="P712" s="183" t="n">
        <v>0</v>
      </c>
      <c r="Q712" s="184" t="n">
        <v>0</v>
      </c>
      <c r="R712" s="184" t="n">
        <v>0</v>
      </c>
      <c r="S712" s="183" t="n">
        <v>0</v>
      </c>
      <c r="T712" s="183" t="n">
        <v>0</v>
      </c>
      <c r="U712" s="182" t="n">
        <v>0</v>
      </c>
      <c r="V712" s="182" t="n">
        <v>0</v>
      </c>
      <c r="W712" s="182" t="n">
        <v>0</v>
      </c>
      <c r="X712" s="182" t="n">
        <v>0</v>
      </c>
      <c r="Y712" s="182" t="n">
        <v>0</v>
      </c>
      <c r="Z712" s="182" t="n">
        <v>0</v>
      </c>
      <c r="AA712" s="182" t="n">
        <v>0</v>
      </c>
      <c r="AB712" s="182" t="n">
        <v>0</v>
      </c>
      <c r="AC712" s="182" t="n">
        <v>0</v>
      </c>
      <c r="AD712" s="182" t="n">
        <v>0</v>
      </c>
      <c r="AE712" s="182" t="n">
        <v>0</v>
      </c>
      <c r="AF712" s="182" t="n">
        <v>0</v>
      </c>
      <c r="AG712" s="182" t="n">
        <v>0</v>
      </c>
      <c r="AH712" s="182" t="n">
        <v>0</v>
      </c>
      <c r="AI712" s="182" t="n">
        <v>0</v>
      </c>
      <c r="AJ712" s="182" t="n">
        <v>0</v>
      </c>
      <c r="AK712" s="182" t="n">
        <v>0</v>
      </c>
      <c r="AL712" s="182" t="n">
        <v>0</v>
      </c>
      <c r="AM712" s="182" t="n">
        <v>0</v>
      </c>
      <c r="AN712" s="182" t="n">
        <v>0</v>
      </c>
    </row>
    <row r="713">
      <c r="A713" s="155" t="n">
        <v>46085</v>
      </c>
      <c r="B713" s="156" t="inlineStr">
        <is>
          <t>DS</t>
        </is>
      </c>
      <c r="C713" s="156" t="inlineStr">
        <is>
          <t>EX-753</t>
        </is>
      </c>
      <c r="D713" s="156" t="inlineStr">
        <is>
          <t>SY750H-PRO</t>
        </is>
      </c>
      <c r="E713" s="156" t="inlineStr">
        <is>
          <t>Excavator</t>
        </is>
      </c>
      <c r="F713" s="156" t="inlineStr">
        <is>
          <t>Loading OB</t>
        </is>
      </c>
      <c r="G713" s="182" t="n">
        <v>4.75</v>
      </c>
      <c r="H713" s="182" t="n">
        <v>0</v>
      </c>
      <c r="I713" s="182" t="n">
        <v>4.65</v>
      </c>
      <c r="J713" s="182" t="n">
        <v>4.65</v>
      </c>
      <c r="K713" s="182" t="n">
        <v>2.6</v>
      </c>
      <c r="L713" s="182" t="n">
        <v>12</v>
      </c>
      <c r="M713" s="182" t="n">
        <v>4.03</v>
      </c>
      <c r="N713" s="182" t="n">
        <v>0</v>
      </c>
      <c r="O713" s="183" t="n">
        <v>86</v>
      </c>
      <c r="P713" s="183" t="n">
        <v>0</v>
      </c>
      <c r="Q713" s="184" t="n">
        <v>1754.4</v>
      </c>
      <c r="R713" s="184" t="n">
        <v>0</v>
      </c>
      <c r="S713" s="183" t="n">
        <v>0</v>
      </c>
      <c r="T713" s="183" t="n">
        <v>0</v>
      </c>
      <c r="U713" s="182" t="n">
        <v>1.24</v>
      </c>
      <c r="V713" s="182" t="n">
        <v>0</v>
      </c>
      <c r="W713" s="182" t="n">
        <v>0</v>
      </c>
      <c r="X713" s="182" t="n">
        <v>1.26</v>
      </c>
      <c r="Y713" s="182" t="n">
        <v>0</v>
      </c>
      <c r="Z713" s="182" t="n">
        <v>0</v>
      </c>
      <c r="AA713" s="182" t="n">
        <v>0</v>
      </c>
      <c r="AB713" s="182" t="n">
        <v>0</v>
      </c>
      <c r="AC713" s="182" t="n">
        <v>0</v>
      </c>
      <c r="AD713" s="182" t="n">
        <v>0</v>
      </c>
      <c r="AE713" s="182" t="n">
        <v>0</v>
      </c>
      <c r="AF713" s="182" t="n">
        <v>0</v>
      </c>
      <c r="AG713" s="182" t="n">
        <v>0</v>
      </c>
      <c r="AH713" s="182" t="n">
        <v>0</v>
      </c>
      <c r="AI713" s="182" t="n">
        <v>0</v>
      </c>
      <c r="AJ713" s="182" t="n">
        <v>0</v>
      </c>
      <c r="AK713" s="182" t="n">
        <v>0</v>
      </c>
      <c r="AL713" s="182" t="n">
        <v>0</v>
      </c>
      <c r="AM713" s="182" t="n">
        <v>0.1</v>
      </c>
      <c r="AN713" s="182" t="n">
        <v>0</v>
      </c>
    </row>
    <row r="714">
      <c r="A714" s="155" t="n">
        <v>46085</v>
      </c>
      <c r="B714" s="156" t="inlineStr">
        <is>
          <t>DS</t>
        </is>
      </c>
      <c r="C714" s="156" t="inlineStr">
        <is>
          <t>GD-012</t>
        </is>
      </c>
      <c r="D714" s="156" t="inlineStr">
        <is>
          <t>STG 230C - 8S</t>
        </is>
      </c>
      <c r="E714" s="156" t="inlineStr">
        <is>
          <t>Grader</t>
        </is>
      </c>
      <c r="F714" s="156" t="inlineStr">
        <is>
          <t>Road maintenance (Jetty)</t>
        </is>
      </c>
      <c r="G714" s="182" t="n">
        <v>2.49</v>
      </c>
      <c r="H714" s="182" t="n">
        <v>0</v>
      </c>
      <c r="I714" s="182" t="n">
        <v>0</v>
      </c>
      <c r="J714" s="182" t="n">
        <v>0</v>
      </c>
      <c r="K714" s="182" t="n">
        <v>9.51</v>
      </c>
      <c r="L714" s="182" t="n">
        <v>12</v>
      </c>
      <c r="M714" s="182" t="n">
        <v>0</v>
      </c>
      <c r="N714" s="182" t="n">
        <v>0</v>
      </c>
      <c r="O714" s="183" t="n">
        <v>0</v>
      </c>
      <c r="P714" s="183" t="n">
        <v>0</v>
      </c>
      <c r="Q714" s="184" t="n">
        <v>0</v>
      </c>
      <c r="R714" s="184" t="n">
        <v>0</v>
      </c>
      <c r="S714" s="183" t="n">
        <v>0</v>
      </c>
      <c r="T714" s="183" t="n">
        <v>0</v>
      </c>
      <c r="U714" s="182" t="n">
        <v>0</v>
      </c>
      <c r="V714" s="182" t="n">
        <v>0</v>
      </c>
      <c r="W714" s="182" t="n">
        <v>0</v>
      </c>
      <c r="X714" s="182" t="n">
        <v>1</v>
      </c>
      <c r="Y714" s="182" t="n">
        <v>0</v>
      </c>
      <c r="Z714" s="182" t="n">
        <v>0</v>
      </c>
      <c r="AA714" s="182" t="n">
        <v>0</v>
      </c>
      <c r="AB714" s="182" t="n">
        <v>0</v>
      </c>
      <c r="AC714" s="182" t="n">
        <v>0</v>
      </c>
      <c r="AD714" s="182" t="n">
        <v>0</v>
      </c>
      <c r="AE714" s="182" t="n">
        <v>0</v>
      </c>
      <c r="AF714" s="182" t="n">
        <v>0</v>
      </c>
      <c r="AG714" s="182" t="n">
        <v>0</v>
      </c>
      <c r="AH714" s="182" t="n">
        <v>0</v>
      </c>
      <c r="AI714" s="182" t="n">
        <v>0</v>
      </c>
      <c r="AJ714" s="182" t="n">
        <v>0</v>
      </c>
      <c r="AK714" s="182" t="n">
        <v>8.43</v>
      </c>
      <c r="AL714" s="182" t="n">
        <v>0</v>
      </c>
      <c r="AM714" s="182" t="n">
        <v>0.08</v>
      </c>
      <c r="AN714" s="182" t="n">
        <v>0</v>
      </c>
    </row>
    <row r="715">
      <c r="A715" s="155" t="n">
        <v>46085</v>
      </c>
      <c r="B715" s="156" t="inlineStr">
        <is>
          <t>DS</t>
        </is>
      </c>
      <c r="C715" s="156" t="inlineStr">
        <is>
          <t>GD-011</t>
        </is>
      </c>
      <c r="D715" s="156" t="inlineStr">
        <is>
          <t>STG 230C - 8S</t>
        </is>
      </c>
      <c r="E715" s="156" t="inlineStr">
        <is>
          <t>Grader</t>
        </is>
      </c>
      <c r="F715" s="156" t="inlineStr"/>
      <c r="G715" s="182" t="n">
        <v>0</v>
      </c>
      <c r="H715" s="182" t="n">
        <v>0</v>
      </c>
      <c r="I715" s="182" t="n">
        <v>12</v>
      </c>
      <c r="J715" s="182" t="n">
        <v>12</v>
      </c>
      <c r="K715" s="182" t="n">
        <v>0</v>
      </c>
      <c r="L715" s="182" t="n">
        <v>12</v>
      </c>
      <c r="M715" s="182" t="n">
        <v>0</v>
      </c>
      <c r="N715" s="182" t="n">
        <v>0</v>
      </c>
      <c r="O715" s="183" t="n">
        <v>0</v>
      </c>
      <c r="P715" s="183" t="n">
        <v>0</v>
      </c>
      <c r="Q715" s="184" t="n">
        <v>0</v>
      </c>
      <c r="R715" s="184" t="n">
        <v>0</v>
      </c>
      <c r="S715" s="183" t="n">
        <v>0</v>
      </c>
      <c r="T715" s="183" t="n">
        <v>0</v>
      </c>
      <c r="U715" s="182" t="n">
        <v>0</v>
      </c>
      <c r="V715" s="182" t="n">
        <v>0</v>
      </c>
      <c r="W715" s="182" t="n">
        <v>0</v>
      </c>
      <c r="X715" s="182" t="n">
        <v>0</v>
      </c>
      <c r="Y715" s="182" t="n">
        <v>0</v>
      </c>
      <c r="Z715" s="182" t="n">
        <v>0</v>
      </c>
      <c r="AA715" s="182" t="n">
        <v>0</v>
      </c>
      <c r="AB715" s="182" t="n">
        <v>0</v>
      </c>
      <c r="AC715" s="182" t="n">
        <v>0</v>
      </c>
      <c r="AD715" s="182" t="n">
        <v>0</v>
      </c>
      <c r="AE715" s="182" t="n">
        <v>0</v>
      </c>
      <c r="AF715" s="182" t="n">
        <v>0</v>
      </c>
      <c r="AG715" s="182" t="n">
        <v>0</v>
      </c>
      <c r="AH715" s="182" t="n">
        <v>0</v>
      </c>
      <c r="AI715" s="182" t="n">
        <v>0</v>
      </c>
      <c r="AJ715" s="182" t="n">
        <v>0</v>
      </c>
      <c r="AK715" s="182" t="n">
        <v>0</v>
      </c>
      <c r="AL715" s="182" t="n">
        <v>0</v>
      </c>
      <c r="AM715" s="182" t="n">
        <v>0</v>
      </c>
      <c r="AN715" s="182" t="n">
        <v>0</v>
      </c>
    </row>
    <row r="716">
      <c r="A716" s="155" t="n">
        <v>46085</v>
      </c>
      <c r="B716" s="156" t="inlineStr">
        <is>
          <t>DS</t>
        </is>
      </c>
      <c r="C716" s="156" t="inlineStr">
        <is>
          <t>GD-013</t>
        </is>
      </c>
      <c r="D716" s="156" t="inlineStr">
        <is>
          <t>STG 265C - 10</t>
        </is>
      </c>
      <c r="E716" s="156" t="inlineStr">
        <is>
          <t>Grader</t>
        </is>
      </c>
      <c r="F716" s="156" t="inlineStr">
        <is>
          <t>Road Maintenance</t>
        </is>
      </c>
      <c r="G716" s="182" t="n">
        <v>9.140000000000001</v>
      </c>
      <c r="H716" s="182" t="n">
        <v>0</v>
      </c>
      <c r="I716" s="182" t="n">
        <v>2.38</v>
      </c>
      <c r="J716" s="182" t="n">
        <v>2.38</v>
      </c>
      <c r="K716" s="182" t="n">
        <v>0.48</v>
      </c>
      <c r="L716" s="182" t="n">
        <v>12</v>
      </c>
      <c r="M716" s="182" t="n">
        <v>0</v>
      </c>
      <c r="N716" s="182" t="n">
        <v>0</v>
      </c>
      <c r="O716" s="183" t="n">
        <v>0</v>
      </c>
      <c r="P716" s="183" t="n">
        <v>0</v>
      </c>
      <c r="Q716" s="184" t="n">
        <v>0</v>
      </c>
      <c r="R716" s="184" t="n">
        <v>0</v>
      </c>
      <c r="S716" s="183" t="n">
        <v>0</v>
      </c>
      <c r="T716" s="183" t="n">
        <v>0</v>
      </c>
      <c r="U716" s="182" t="n">
        <v>0</v>
      </c>
      <c r="V716" s="182" t="n">
        <v>0</v>
      </c>
      <c r="W716" s="182" t="n">
        <v>0</v>
      </c>
      <c r="X716" s="182" t="n">
        <v>0.43</v>
      </c>
      <c r="Y716" s="182" t="n">
        <v>0</v>
      </c>
      <c r="Z716" s="182" t="n">
        <v>0</v>
      </c>
      <c r="AA716" s="182" t="n">
        <v>0</v>
      </c>
      <c r="AB716" s="182" t="n">
        <v>0</v>
      </c>
      <c r="AC716" s="182" t="n">
        <v>0</v>
      </c>
      <c r="AD716" s="182" t="n">
        <v>0</v>
      </c>
      <c r="AE716" s="182" t="n">
        <v>0</v>
      </c>
      <c r="AF716" s="182" t="n">
        <v>0</v>
      </c>
      <c r="AG716" s="182" t="n">
        <v>0</v>
      </c>
      <c r="AH716" s="182" t="n">
        <v>0</v>
      </c>
      <c r="AI716" s="182" t="n">
        <v>0</v>
      </c>
      <c r="AJ716" s="182" t="n">
        <v>0</v>
      </c>
      <c r="AK716" s="182" t="n">
        <v>0</v>
      </c>
      <c r="AL716" s="182" t="n">
        <v>0</v>
      </c>
      <c r="AM716" s="182" t="n">
        <v>0.05</v>
      </c>
      <c r="AN716" s="182" t="n">
        <v>0</v>
      </c>
    </row>
    <row r="717">
      <c r="A717" s="155" t="n">
        <v>46085</v>
      </c>
      <c r="B717" s="156" t="inlineStr">
        <is>
          <t>DS</t>
        </is>
      </c>
      <c r="C717" s="156" t="inlineStr">
        <is>
          <t>GD-014</t>
        </is>
      </c>
      <c r="D717" s="156" t="inlineStr">
        <is>
          <t>STG 335C - 10</t>
        </is>
      </c>
      <c r="E717" s="156" t="inlineStr">
        <is>
          <t>Grader</t>
        </is>
      </c>
      <c r="F717" s="156" t="inlineStr">
        <is>
          <t>Road Maintenance</t>
        </is>
      </c>
      <c r="G717" s="182" t="n">
        <v>9.85</v>
      </c>
      <c r="H717" s="182" t="n">
        <v>0</v>
      </c>
      <c r="I717" s="182" t="n">
        <v>0</v>
      </c>
      <c r="J717" s="182" t="n">
        <v>0</v>
      </c>
      <c r="K717" s="182" t="n">
        <v>2.15</v>
      </c>
      <c r="L717" s="182" t="n">
        <v>12</v>
      </c>
      <c r="M717" s="182" t="n">
        <v>0</v>
      </c>
      <c r="N717" s="182" t="n">
        <v>0</v>
      </c>
      <c r="O717" s="183" t="n">
        <v>0</v>
      </c>
      <c r="P717" s="183" t="n">
        <v>0</v>
      </c>
      <c r="Q717" s="184" t="n">
        <v>0</v>
      </c>
      <c r="R717" s="184" t="n">
        <v>0</v>
      </c>
      <c r="S717" s="183" t="n">
        <v>0</v>
      </c>
      <c r="T717" s="183" t="n">
        <v>0</v>
      </c>
      <c r="U717" s="182" t="n">
        <v>1.04</v>
      </c>
      <c r="V717" s="182" t="n">
        <v>0</v>
      </c>
      <c r="W717" s="182" t="n">
        <v>0</v>
      </c>
      <c r="X717" s="182" t="n">
        <v>1.02</v>
      </c>
      <c r="Y717" s="182" t="n">
        <v>0</v>
      </c>
      <c r="Z717" s="182" t="n">
        <v>0</v>
      </c>
      <c r="AA717" s="182" t="n">
        <v>0</v>
      </c>
      <c r="AB717" s="182" t="n">
        <v>0</v>
      </c>
      <c r="AC717" s="182" t="n">
        <v>0</v>
      </c>
      <c r="AD717" s="182" t="n">
        <v>0</v>
      </c>
      <c r="AE717" s="182" t="n">
        <v>0</v>
      </c>
      <c r="AF717" s="182" t="n">
        <v>0</v>
      </c>
      <c r="AG717" s="182" t="n">
        <v>0</v>
      </c>
      <c r="AH717" s="182" t="n">
        <v>0</v>
      </c>
      <c r="AI717" s="182" t="n">
        <v>0</v>
      </c>
      <c r="AJ717" s="182" t="n">
        <v>0</v>
      </c>
      <c r="AK717" s="182" t="n">
        <v>0</v>
      </c>
      <c r="AL717" s="182" t="n">
        <v>0</v>
      </c>
      <c r="AM717" s="182" t="n">
        <v>0.08</v>
      </c>
      <c r="AN717" s="182" t="n">
        <v>0</v>
      </c>
    </row>
    <row r="718">
      <c r="A718" s="155" t="n">
        <v>46085</v>
      </c>
      <c r="B718" s="156" t="inlineStr">
        <is>
          <t>DS</t>
        </is>
      </c>
      <c r="C718" s="156" t="inlineStr">
        <is>
          <t>DT-809</t>
        </is>
      </c>
      <c r="D718" s="156" t="inlineStr">
        <is>
          <t>SKT 80S</t>
        </is>
      </c>
      <c r="E718" s="156" t="inlineStr">
        <is>
          <t>Hauler</t>
        </is>
      </c>
      <c r="F718" s="156" t="inlineStr"/>
      <c r="G718" s="182" t="n">
        <v>0</v>
      </c>
      <c r="H718" s="182" t="n">
        <v>0</v>
      </c>
      <c r="I718" s="182" t="n">
        <v>0</v>
      </c>
      <c r="J718" s="182" t="n">
        <v>0</v>
      </c>
      <c r="K718" s="182" t="n">
        <v>12</v>
      </c>
      <c r="L718" s="182" t="n">
        <v>12</v>
      </c>
      <c r="M718" s="182" t="n">
        <v>0</v>
      </c>
      <c r="N718" s="182" t="n">
        <v>0</v>
      </c>
      <c r="O718" s="183" t="n">
        <v>0</v>
      </c>
      <c r="P718" s="183" t="n">
        <v>0</v>
      </c>
      <c r="Q718" s="184" t="n">
        <v>0</v>
      </c>
      <c r="R718" s="184" t="n">
        <v>0</v>
      </c>
      <c r="S718" s="183" t="n">
        <v>0</v>
      </c>
      <c r="T718" s="183" t="n">
        <v>0</v>
      </c>
      <c r="U718" s="182" t="n">
        <v>0</v>
      </c>
      <c r="V718" s="182" t="n">
        <v>0</v>
      </c>
      <c r="W718" s="182" t="n">
        <v>0</v>
      </c>
      <c r="X718" s="182" t="n">
        <v>1</v>
      </c>
      <c r="Y718" s="182" t="n">
        <v>0</v>
      </c>
      <c r="Z718" s="182" t="n">
        <v>0</v>
      </c>
      <c r="AA718" s="182" t="n">
        <v>0</v>
      </c>
      <c r="AB718" s="182" t="n">
        <v>0</v>
      </c>
      <c r="AC718" s="182" t="n">
        <v>0</v>
      </c>
      <c r="AD718" s="182" t="n">
        <v>0</v>
      </c>
      <c r="AE718" s="182" t="n">
        <v>0</v>
      </c>
      <c r="AF718" s="182" t="n">
        <v>0</v>
      </c>
      <c r="AG718" s="182" t="n">
        <v>0</v>
      </c>
      <c r="AH718" s="182" t="n">
        <v>0</v>
      </c>
      <c r="AI718" s="182" t="n">
        <v>0</v>
      </c>
      <c r="AJ718" s="182" t="n">
        <v>0</v>
      </c>
      <c r="AK718" s="182" t="n">
        <v>10.92</v>
      </c>
      <c r="AL718" s="182" t="n">
        <v>0</v>
      </c>
      <c r="AM718" s="182" t="n">
        <v>0.08</v>
      </c>
      <c r="AN718" s="182" t="n">
        <v>0</v>
      </c>
    </row>
    <row r="719">
      <c r="A719" s="155" t="n">
        <v>46085</v>
      </c>
      <c r="B719" s="156" t="inlineStr">
        <is>
          <t>DS</t>
        </is>
      </c>
      <c r="C719" s="156" t="inlineStr">
        <is>
          <t>DT-806</t>
        </is>
      </c>
      <c r="D719" s="156" t="inlineStr">
        <is>
          <t>SKT 80S</t>
        </is>
      </c>
      <c r="E719" s="156" t="inlineStr">
        <is>
          <t>Hauler</t>
        </is>
      </c>
      <c r="F719" s="156" t="inlineStr"/>
      <c r="G719" s="182" t="n">
        <v>0</v>
      </c>
      <c r="H719" s="182" t="n">
        <v>0</v>
      </c>
      <c r="I719" s="182" t="n">
        <v>0</v>
      </c>
      <c r="J719" s="182" t="n">
        <v>0</v>
      </c>
      <c r="K719" s="182" t="n">
        <v>12</v>
      </c>
      <c r="L719" s="182" t="n">
        <v>12</v>
      </c>
      <c r="M719" s="182" t="n">
        <v>0</v>
      </c>
      <c r="N719" s="182" t="n">
        <v>0</v>
      </c>
      <c r="O719" s="183" t="n">
        <v>0</v>
      </c>
      <c r="P719" s="183" t="n">
        <v>0</v>
      </c>
      <c r="Q719" s="184" t="n">
        <v>0</v>
      </c>
      <c r="R719" s="184" t="n">
        <v>0</v>
      </c>
      <c r="S719" s="183" t="n">
        <v>0</v>
      </c>
      <c r="T719" s="183" t="n">
        <v>0</v>
      </c>
      <c r="U719" s="182" t="n">
        <v>0</v>
      </c>
      <c r="V719" s="182" t="n">
        <v>0</v>
      </c>
      <c r="W719" s="182" t="n">
        <v>0</v>
      </c>
      <c r="X719" s="182" t="n">
        <v>1</v>
      </c>
      <c r="Y719" s="182" t="n">
        <v>0</v>
      </c>
      <c r="Z719" s="182" t="n">
        <v>0</v>
      </c>
      <c r="AA719" s="182" t="n">
        <v>0</v>
      </c>
      <c r="AB719" s="182" t="n">
        <v>0</v>
      </c>
      <c r="AC719" s="182" t="n">
        <v>0</v>
      </c>
      <c r="AD719" s="182" t="n">
        <v>0</v>
      </c>
      <c r="AE719" s="182" t="n">
        <v>0</v>
      </c>
      <c r="AF719" s="182" t="n">
        <v>0</v>
      </c>
      <c r="AG719" s="182" t="n">
        <v>0</v>
      </c>
      <c r="AH719" s="182" t="n">
        <v>0</v>
      </c>
      <c r="AI719" s="182" t="n">
        <v>0</v>
      </c>
      <c r="AJ719" s="182" t="n">
        <v>0</v>
      </c>
      <c r="AK719" s="182" t="n">
        <v>10.92</v>
      </c>
      <c r="AL719" s="182" t="n">
        <v>0</v>
      </c>
      <c r="AM719" s="182" t="n">
        <v>0.08</v>
      </c>
      <c r="AN719" s="182" t="n">
        <v>0</v>
      </c>
    </row>
    <row r="720">
      <c r="A720" s="155" t="n">
        <v>46085</v>
      </c>
      <c r="B720" s="156" t="inlineStr">
        <is>
          <t>DS</t>
        </is>
      </c>
      <c r="C720" s="156" t="inlineStr">
        <is>
          <t>DT-805</t>
        </is>
      </c>
      <c r="D720" s="156" t="inlineStr">
        <is>
          <t>SKT 80S</t>
        </is>
      </c>
      <c r="E720" s="156" t="inlineStr">
        <is>
          <t>Hauler</t>
        </is>
      </c>
      <c r="F720" s="156" t="inlineStr"/>
      <c r="G720" s="182" t="n">
        <v>0</v>
      </c>
      <c r="H720" s="182" t="n">
        <v>0</v>
      </c>
      <c r="I720" s="182" t="n">
        <v>0</v>
      </c>
      <c r="J720" s="182" t="n">
        <v>0</v>
      </c>
      <c r="K720" s="182" t="n">
        <v>12</v>
      </c>
      <c r="L720" s="182" t="n">
        <v>12</v>
      </c>
      <c r="M720" s="182" t="n">
        <v>0</v>
      </c>
      <c r="N720" s="182" t="n">
        <v>0</v>
      </c>
      <c r="O720" s="183" t="n">
        <v>0</v>
      </c>
      <c r="P720" s="183" t="n">
        <v>0</v>
      </c>
      <c r="Q720" s="184" t="n">
        <v>0</v>
      </c>
      <c r="R720" s="184" t="n">
        <v>0</v>
      </c>
      <c r="S720" s="183" t="n">
        <v>0</v>
      </c>
      <c r="T720" s="183" t="n">
        <v>0</v>
      </c>
      <c r="U720" s="182" t="n">
        <v>0</v>
      </c>
      <c r="V720" s="182" t="n">
        <v>0</v>
      </c>
      <c r="W720" s="182" t="n">
        <v>0</v>
      </c>
      <c r="X720" s="182" t="n">
        <v>1</v>
      </c>
      <c r="Y720" s="182" t="n">
        <v>0</v>
      </c>
      <c r="Z720" s="182" t="n">
        <v>0</v>
      </c>
      <c r="AA720" s="182" t="n">
        <v>0</v>
      </c>
      <c r="AB720" s="182" t="n">
        <v>0</v>
      </c>
      <c r="AC720" s="182" t="n">
        <v>0</v>
      </c>
      <c r="AD720" s="182" t="n">
        <v>0</v>
      </c>
      <c r="AE720" s="182" t="n">
        <v>0</v>
      </c>
      <c r="AF720" s="182" t="n">
        <v>0</v>
      </c>
      <c r="AG720" s="182" t="n">
        <v>0</v>
      </c>
      <c r="AH720" s="182" t="n">
        <v>0</v>
      </c>
      <c r="AI720" s="182" t="n">
        <v>0</v>
      </c>
      <c r="AJ720" s="182" t="n">
        <v>0</v>
      </c>
      <c r="AK720" s="182" t="n">
        <v>10.92</v>
      </c>
      <c r="AL720" s="182" t="n">
        <v>0</v>
      </c>
      <c r="AM720" s="182" t="n">
        <v>0.08</v>
      </c>
      <c r="AN720" s="182" t="n">
        <v>0</v>
      </c>
    </row>
    <row r="721">
      <c r="A721" s="155" t="n">
        <v>46085</v>
      </c>
      <c r="B721" s="156" t="inlineStr">
        <is>
          <t>DS</t>
        </is>
      </c>
      <c r="C721" s="156" t="inlineStr">
        <is>
          <t>DT-801</t>
        </is>
      </c>
      <c r="D721" s="156" t="inlineStr">
        <is>
          <t>SKT 80S</t>
        </is>
      </c>
      <c r="E721" s="156" t="inlineStr">
        <is>
          <t>Hauler</t>
        </is>
      </c>
      <c r="F721" s="156" t="inlineStr"/>
      <c r="G721" s="182" t="n">
        <v>0</v>
      </c>
      <c r="H721" s="182" t="n">
        <v>0</v>
      </c>
      <c r="I721" s="182" t="n">
        <v>0</v>
      </c>
      <c r="J721" s="182" t="n">
        <v>0</v>
      </c>
      <c r="K721" s="182" t="n">
        <v>12</v>
      </c>
      <c r="L721" s="182" t="n">
        <v>12</v>
      </c>
      <c r="M721" s="182" t="n">
        <v>0</v>
      </c>
      <c r="N721" s="182" t="n">
        <v>0</v>
      </c>
      <c r="O721" s="183" t="n">
        <v>0</v>
      </c>
      <c r="P721" s="183" t="n">
        <v>0</v>
      </c>
      <c r="Q721" s="184" t="n">
        <v>0</v>
      </c>
      <c r="R721" s="184" t="n">
        <v>0</v>
      </c>
      <c r="S721" s="183" t="n">
        <v>0</v>
      </c>
      <c r="T721" s="183" t="n">
        <v>0</v>
      </c>
      <c r="U721" s="182" t="n">
        <v>0</v>
      </c>
      <c r="V721" s="182" t="n">
        <v>0</v>
      </c>
      <c r="W721" s="182" t="n">
        <v>0</v>
      </c>
      <c r="X721" s="182" t="n">
        <v>1</v>
      </c>
      <c r="Y721" s="182" t="n">
        <v>0</v>
      </c>
      <c r="Z721" s="182" t="n">
        <v>0</v>
      </c>
      <c r="AA721" s="182" t="n">
        <v>0</v>
      </c>
      <c r="AB721" s="182" t="n">
        <v>0</v>
      </c>
      <c r="AC721" s="182" t="n">
        <v>0</v>
      </c>
      <c r="AD721" s="182" t="n">
        <v>0</v>
      </c>
      <c r="AE721" s="182" t="n">
        <v>0</v>
      </c>
      <c r="AF721" s="182" t="n">
        <v>0</v>
      </c>
      <c r="AG721" s="182" t="n">
        <v>0</v>
      </c>
      <c r="AH721" s="182" t="n">
        <v>0</v>
      </c>
      <c r="AI721" s="182" t="n">
        <v>0</v>
      </c>
      <c r="AJ721" s="182" t="n">
        <v>0</v>
      </c>
      <c r="AK721" s="182" t="n">
        <v>10.92</v>
      </c>
      <c r="AL721" s="182" t="n">
        <v>0</v>
      </c>
      <c r="AM721" s="182" t="n">
        <v>0.08</v>
      </c>
      <c r="AN721" s="182" t="n">
        <v>0</v>
      </c>
    </row>
    <row r="722">
      <c r="A722" s="155" t="n">
        <v>46085</v>
      </c>
      <c r="B722" s="156" t="inlineStr">
        <is>
          <t>DS</t>
        </is>
      </c>
      <c r="C722" s="156" t="inlineStr">
        <is>
          <t>DT-808</t>
        </is>
      </c>
      <c r="D722" s="156" t="inlineStr">
        <is>
          <t>SKT 80S</t>
        </is>
      </c>
      <c r="E722" s="156" t="inlineStr">
        <is>
          <t>Hauler</t>
        </is>
      </c>
      <c r="F722" s="156" t="inlineStr"/>
      <c r="G722" s="182" t="n">
        <v>0</v>
      </c>
      <c r="H722" s="182" t="n">
        <v>0</v>
      </c>
      <c r="I722" s="182" t="n">
        <v>0</v>
      </c>
      <c r="J722" s="182" t="n">
        <v>0</v>
      </c>
      <c r="K722" s="182" t="n">
        <v>12</v>
      </c>
      <c r="L722" s="182" t="n">
        <v>12</v>
      </c>
      <c r="M722" s="182" t="n">
        <v>0</v>
      </c>
      <c r="N722" s="182" t="n">
        <v>0</v>
      </c>
      <c r="O722" s="183" t="n">
        <v>0</v>
      </c>
      <c r="P722" s="183" t="n">
        <v>0</v>
      </c>
      <c r="Q722" s="184" t="n">
        <v>0</v>
      </c>
      <c r="R722" s="184" t="n">
        <v>0</v>
      </c>
      <c r="S722" s="183" t="n">
        <v>0</v>
      </c>
      <c r="T722" s="183" t="n">
        <v>0</v>
      </c>
      <c r="U722" s="182" t="n">
        <v>0</v>
      </c>
      <c r="V722" s="182" t="n">
        <v>0</v>
      </c>
      <c r="W722" s="182" t="n">
        <v>0</v>
      </c>
      <c r="X722" s="182" t="n">
        <v>1</v>
      </c>
      <c r="Y722" s="182" t="n">
        <v>0</v>
      </c>
      <c r="Z722" s="182" t="n">
        <v>0</v>
      </c>
      <c r="AA722" s="182" t="n">
        <v>0</v>
      </c>
      <c r="AB722" s="182" t="n">
        <v>0</v>
      </c>
      <c r="AC722" s="182" t="n">
        <v>0</v>
      </c>
      <c r="AD722" s="182" t="n">
        <v>0</v>
      </c>
      <c r="AE722" s="182" t="n">
        <v>0</v>
      </c>
      <c r="AF722" s="182" t="n">
        <v>0</v>
      </c>
      <c r="AG722" s="182" t="n">
        <v>0</v>
      </c>
      <c r="AH722" s="182" t="n">
        <v>0</v>
      </c>
      <c r="AI722" s="182" t="n">
        <v>0</v>
      </c>
      <c r="AJ722" s="182" t="n">
        <v>0</v>
      </c>
      <c r="AK722" s="182" t="n">
        <v>10.92</v>
      </c>
      <c r="AL722" s="182" t="n">
        <v>0</v>
      </c>
      <c r="AM722" s="182" t="n">
        <v>0.08</v>
      </c>
      <c r="AN722" s="182" t="n">
        <v>0</v>
      </c>
    </row>
    <row r="723">
      <c r="A723" s="155" t="n">
        <v>46085</v>
      </c>
      <c r="B723" s="156" t="inlineStr">
        <is>
          <t>DS</t>
        </is>
      </c>
      <c r="C723" s="156" t="inlineStr">
        <is>
          <t>DT-811</t>
        </is>
      </c>
      <c r="D723" s="156" t="inlineStr">
        <is>
          <t>SKT 80S</t>
        </is>
      </c>
      <c r="E723" s="156" t="inlineStr">
        <is>
          <t>Hauler</t>
        </is>
      </c>
      <c r="F723" s="156" t="inlineStr">
        <is>
          <t>Travel</t>
        </is>
      </c>
      <c r="G723" s="182" t="n">
        <v>0.4</v>
      </c>
      <c r="H723" s="182" t="n">
        <v>0</v>
      </c>
      <c r="I723" s="182" t="n">
        <v>0</v>
      </c>
      <c r="J723" s="182" t="n">
        <v>0</v>
      </c>
      <c r="K723" s="182" t="n">
        <v>11.6</v>
      </c>
      <c r="L723" s="182" t="n">
        <v>12</v>
      </c>
      <c r="M723" s="182" t="n">
        <v>0</v>
      </c>
      <c r="N723" s="182" t="n">
        <v>0</v>
      </c>
      <c r="O723" s="183" t="n">
        <v>0</v>
      </c>
      <c r="P723" s="183" t="n">
        <v>0</v>
      </c>
      <c r="Q723" s="184" t="n">
        <v>0</v>
      </c>
      <c r="R723" s="184" t="n">
        <v>0</v>
      </c>
      <c r="S723" s="183" t="n">
        <v>0</v>
      </c>
      <c r="T723" s="183" t="n">
        <v>0</v>
      </c>
      <c r="U723" s="182" t="n">
        <v>0</v>
      </c>
      <c r="V723" s="182" t="n">
        <v>0</v>
      </c>
      <c r="W723" s="182" t="n">
        <v>0</v>
      </c>
      <c r="X723" s="182" t="n">
        <v>1</v>
      </c>
      <c r="Y723" s="182" t="n">
        <v>0</v>
      </c>
      <c r="Z723" s="182" t="n">
        <v>0</v>
      </c>
      <c r="AA723" s="182" t="n">
        <v>0</v>
      </c>
      <c r="AB723" s="182" t="n">
        <v>0</v>
      </c>
      <c r="AC723" s="182" t="n">
        <v>0</v>
      </c>
      <c r="AD723" s="182" t="n">
        <v>0</v>
      </c>
      <c r="AE723" s="182" t="n">
        <v>0</v>
      </c>
      <c r="AF723" s="182" t="n">
        <v>0</v>
      </c>
      <c r="AG723" s="182" t="n">
        <v>0</v>
      </c>
      <c r="AH723" s="182" t="n">
        <v>0</v>
      </c>
      <c r="AI723" s="182" t="n">
        <v>0</v>
      </c>
      <c r="AJ723" s="182" t="n">
        <v>0</v>
      </c>
      <c r="AK723" s="182" t="n">
        <v>10.52</v>
      </c>
      <c r="AL723" s="182" t="n">
        <v>0</v>
      </c>
      <c r="AM723" s="182" t="n">
        <v>0.08</v>
      </c>
      <c r="AN723" s="182" t="n">
        <v>0</v>
      </c>
    </row>
    <row r="724">
      <c r="A724" s="155" t="n">
        <v>46085</v>
      </c>
      <c r="B724" s="156" t="inlineStr">
        <is>
          <t>DS</t>
        </is>
      </c>
      <c r="C724" s="156" t="inlineStr">
        <is>
          <t>DT-802</t>
        </is>
      </c>
      <c r="D724" s="156" t="inlineStr">
        <is>
          <t>SKT 80S</t>
        </is>
      </c>
      <c r="E724" s="156" t="inlineStr">
        <is>
          <t>Hauler</t>
        </is>
      </c>
      <c r="F724" s="156" t="inlineStr"/>
      <c r="G724" s="182" t="n">
        <v>0</v>
      </c>
      <c r="H724" s="182" t="n">
        <v>0</v>
      </c>
      <c r="I724" s="182" t="n">
        <v>0</v>
      </c>
      <c r="J724" s="182" t="n">
        <v>0</v>
      </c>
      <c r="K724" s="182" t="n">
        <v>12</v>
      </c>
      <c r="L724" s="182" t="n">
        <v>12</v>
      </c>
      <c r="M724" s="182" t="n">
        <v>0</v>
      </c>
      <c r="N724" s="182" t="n">
        <v>0</v>
      </c>
      <c r="O724" s="183" t="n">
        <v>0</v>
      </c>
      <c r="P724" s="183" t="n">
        <v>0</v>
      </c>
      <c r="Q724" s="184" t="n">
        <v>0</v>
      </c>
      <c r="R724" s="184" t="n">
        <v>0</v>
      </c>
      <c r="S724" s="183" t="n">
        <v>0</v>
      </c>
      <c r="T724" s="183" t="n">
        <v>0</v>
      </c>
      <c r="U724" s="182" t="n">
        <v>0</v>
      </c>
      <c r="V724" s="182" t="n">
        <v>0</v>
      </c>
      <c r="W724" s="182" t="n">
        <v>0</v>
      </c>
      <c r="X724" s="182" t="n">
        <v>1</v>
      </c>
      <c r="Y724" s="182" t="n">
        <v>0</v>
      </c>
      <c r="Z724" s="182" t="n">
        <v>0</v>
      </c>
      <c r="AA724" s="182" t="n">
        <v>0</v>
      </c>
      <c r="AB724" s="182" t="n">
        <v>0</v>
      </c>
      <c r="AC724" s="182" t="n">
        <v>0</v>
      </c>
      <c r="AD724" s="182" t="n">
        <v>0</v>
      </c>
      <c r="AE724" s="182" t="n">
        <v>0</v>
      </c>
      <c r="AF724" s="182" t="n">
        <v>0</v>
      </c>
      <c r="AG724" s="182" t="n">
        <v>0</v>
      </c>
      <c r="AH724" s="182" t="n">
        <v>0</v>
      </c>
      <c r="AI724" s="182" t="n">
        <v>0</v>
      </c>
      <c r="AJ724" s="182" t="n">
        <v>0</v>
      </c>
      <c r="AK724" s="182" t="n">
        <v>10.92</v>
      </c>
      <c r="AL724" s="182" t="n">
        <v>0</v>
      </c>
      <c r="AM724" s="182" t="n">
        <v>0.08</v>
      </c>
      <c r="AN724" s="182" t="n">
        <v>0</v>
      </c>
    </row>
    <row r="725">
      <c r="A725" s="155" t="n">
        <v>46085</v>
      </c>
      <c r="B725" s="156" t="inlineStr">
        <is>
          <t>DS</t>
        </is>
      </c>
      <c r="C725" s="156" t="inlineStr">
        <is>
          <t>DT-807</t>
        </is>
      </c>
      <c r="D725" s="156" t="inlineStr">
        <is>
          <t>SKT 80S</t>
        </is>
      </c>
      <c r="E725" s="156" t="inlineStr">
        <is>
          <t>Hauler</t>
        </is>
      </c>
      <c r="F725" s="156" t="inlineStr"/>
      <c r="G725" s="182" t="n">
        <v>0</v>
      </c>
      <c r="H725" s="182" t="n">
        <v>0</v>
      </c>
      <c r="I725" s="182" t="n">
        <v>12</v>
      </c>
      <c r="J725" s="182" t="n">
        <v>12</v>
      </c>
      <c r="K725" s="182" t="n">
        <v>0</v>
      </c>
      <c r="L725" s="182" t="n">
        <v>12</v>
      </c>
      <c r="M725" s="182" t="n">
        <v>0</v>
      </c>
      <c r="N725" s="182" t="n">
        <v>0</v>
      </c>
      <c r="O725" s="183" t="n">
        <v>0</v>
      </c>
      <c r="P725" s="183" t="n">
        <v>0</v>
      </c>
      <c r="Q725" s="184" t="n">
        <v>0</v>
      </c>
      <c r="R725" s="184" t="n">
        <v>0</v>
      </c>
      <c r="S725" s="183" t="n">
        <v>0</v>
      </c>
      <c r="T725" s="183" t="n">
        <v>0</v>
      </c>
      <c r="U725" s="182" t="n">
        <v>0</v>
      </c>
      <c r="V725" s="182" t="n">
        <v>0</v>
      </c>
      <c r="W725" s="182" t="n">
        <v>0</v>
      </c>
      <c r="X725" s="182" t="n">
        <v>0</v>
      </c>
      <c r="Y725" s="182" t="n">
        <v>0</v>
      </c>
      <c r="Z725" s="182" t="n">
        <v>0</v>
      </c>
      <c r="AA725" s="182" t="n">
        <v>0</v>
      </c>
      <c r="AB725" s="182" t="n">
        <v>0</v>
      </c>
      <c r="AC725" s="182" t="n">
        <v>0</v>
      </c>
      <c r="AD725" s="182" t="n">
        <v>0</v>
      </c>
      <c r="AE725" s="182" t="n">
        <v>0</v>
      </c>
      <c r="AF725" s="182" t="n">
        <v>0</v>
      </c>
      <c r="AG725" s="182" t="n">
        <v>0</v>
      </c>
      <c r="AH725" s="182" t="n">
        <v>0</v>
      </c>
      <c r="AI725" s="182" t="n">
        <v>0</v>
      </c>
      <c r="AJ725" s="182" t="n">
        <v>0</v>
      </c>
      <c r="AK725" s="182" t="n">
        <v>0</v>
      </c>
      <c r="AL725" s="182" t="n">
        <v>0</v>
      </c>
      <c r="AM725" s="182" t="n">
        <v>0</v>
      </c>
      <c r="AN725" s="182" t="n">
        <v>0</v>
      </c>
    </row>
    <row r="726">
      <c r="A726" s="155" t="n">
        <v>46085</v>
      </c>
      <c r="B726" s="156" t="inlineStr">
        <is>
          <t>DS</t>
        </is>
      </c>
      <c r="C726" s="156" t="inlineStr">
        <is>
          <t>DT-812</t>
        </is>
      </c>
      <c r="D726" s="156" t="inlineStr">
        <is>
          <t>SKT 80S</t>
        </is>
      </c>
      <c r="E726" s="156" t="inlineStr">
        <is>
          <t>Hauler</t>
        </is>
      </c>
      <c r="F726" s="156" t="inlineStr"/>
      <c r="G726" s="182" t="n">
        <v>0</v>
      </c>
      <c r="H726" s="182" t="n">
        <v>0</v>
      </c>
      <c r="I726" s="182" t="n">
        <v>0</v>
      </c>
      <c r="J726" s="182" t="n">
        <v>0</v>
      </c>
      <c r="K726" s="182" t="n">
        <v>12</v>
      </c>
      <c r="L726" s="182" t="n">
        <v>12</v>
      </c>
      <c r="M726" s="182" t="n">
        <v>0</v>
      </c>
      <c r="N726" s="182" t="n">
        <v>0</v>
      </c>
      <c r="O726" s="183" t="n">
        <v>0</v>
      </c>
      <c r="P726" s="183" t="n">
        <v>0</v>
      </c>
      <c r="Q726" s="184" t="n">
        <v>0</v>
      </c>
      <c r="R726" s="184" t="n">
        <v>0</v>
      </c>
      <c r="S726" s="183" t="n">
        <v>0</v>
      </c>
      <c r="T726" s="183" t="n">
        <v>0</v>
      </c>
      <c r="U726" s="182" t="n">
        <v>0</v>
      </c>
      <c r="V726" s="182" t="n">
        <v>0</v>
      </c>
      <c r="W726" s="182" t="n">
        <v>0</v>
      </c>
      <c r="X726" s="182" t="n">
        <v>1</v>
      </c>
      <c r="Y726" s="182" t="n">
        <v>0</v>
      </c>
      <c r="Z726" s="182" t="n">
        <v>0</v>
      </c>
      <c r="AA726" s="182" t="n">
        <v>0</v>
      </c>
      <c r="AB726" s="182" t="n">
        <v>0</v>
      </c>
      <c r="AC726" s="182" t="n">
        <v>0</v>
      </c>
      <c r="AD726" s="182" t="n">
        <v>0</v>
      </c>
      <c r="AE726" s="182" t="n">
        <v>0</v>
      </c>
      <c r="AF726" s="182" t="n">
        <v>0</v>
      </c>
      <c r="AG726" s="182" t="n">
        <v>0</v>
      </c>
      <c r="AH726" s="182" t="n">
        <v>0</v>
      </c>
      <c r="AI726" s="182" t="n">
        <v>0</v>
      </c>
      <c r="AJ726" s="182" t="n">
        <v>0</v>
      </c>
      <c r="AK726" s="182" t="n">
        <v>10.92</v>
      </c>
      <c r="AL726" s="182" t="n">
        <v>0</v>
      </c>
      <c r="AM726" s="182" t="n">
        <v>0.08</v>
      </c>
      <c r="AN726" s="182" t="n">
        <v>0</v>
      </c>
    </row>
    <row r="727">
      <c r="A727" s="155" t="n">
        <v>46085</v>
      </c>
      <c r="B727" s="156" t="inlineStr">
        <is>
          <t>DS</t>
        </is>
      </c>
      <c r="C727" s="156" t="inlineStr">
        <is>
          <t>DT-803</t>
        </is>
      </c>
      <c r="D727" s="156" t="inlineStr">
        <is>
          <t>SKT 80S</t>
        </is>
      </c>
      <c r="E727" s="156" t="inlineStr">
        <is>
          <t>Hauler</t>
        </is>
      </c>
      <c r="F727" s="156" t="inlineStr"/>
      <c r="G727" s="182" t="n">
        <v>0</v>
      </c>
      <c r="H727" s="182" t="n">
        <v>0</v>
      </c>
      <c r="I727" s="182" t="n">
        <v>0</v>
      </c>
      <c r="J727" s="182" t="n">
        <v>0</v>
      </c>
      <c r="K727" s="182" t="n">
        <v>12</v>
      </c>
      <c r="L727" s="182" t="n">
        <v>12</v>
      </c>
      <c r="M727" s="182" t="n">
        <v>0</v>
      </c>
      <c r="N727" s="182" t="n">
        <v>0</v>
      </c>
      <c r="O727" s="183" t="n">
        <v>0</v>
      </c>
      <c r="P727" s="183" t="n">
        <v>0</v>
      </c>
      <c r="Q727" s="184" t="n">
        <v>0</v>
      </c>
      <c r="R727" s="184" t="n">
        <v>0</v>
      </c>
      <c r="S727" s="183" t="n">
        <v>0</v>
      </c>
      <c r="T727" s="183" t="n">
        <v>0</v>
      </c>
      <c r="U727" s="182" t="n">
        <v>0</v>
      </c>
      <c r="V727" s="182" t="n">
        <v>0</v>
      </c>
      <c r="W727" s="182" t="n">
        <v>0</v>
      </c>
      <c r="X727" s="182" t="n">
        <v>1</v>
      </c>
      <c r="Y727" s="182" t="n">
        <v>0</v>
      </c>
      <c r="Z727" s="182" t="n">
        <v>0</v>
      </c>
      <c r="AA727" s="182" t="n">
        <v>0</v>
      </c>
      <c r="AB727" s="182" t="n">
        <v>0</v>
      </c>
      <c r="AC727" s="182" t="n">
        <v>0</v>
      </c>
      <c r="AD727" s="182" t="n">
        <v>0</v>
      </c>
      <c r="AE727" s="182" t="n">
        <v>0</v>
      </c>
      <c r="AF727" s="182" t="n">
        <v>0</v>
      </c>
      <c r="AG727" s="182" t="n">
        <v>0</v>
      </c>
      <c r="AH727" s="182" t="n">
        <v>0</v>
      </c>
      <c r="AI727" s="182" t="n">
        <v>0</v>
      </c>
      <c r="AJ727" s="182" t="n">
        <v>0</v>
      </c>
      <c r="AK727" s="182" t="n">
        <v>10.92</v>
      </c>
      <c r="AL727" s="182" t="n">
        <v>0</v>
      </c>
      <c r="AM727" s="182" t="n">
        <v>0.08</v>
      </c>
      <c r="AN727" s="182" t="n">
        <v>0</v>
      </c>
    </row>
    <row r="728">
      <c r="A728" s="155" t="n">
        <v>46085</v>
      </c>
      <c r="B728" s="156" t="inlineStr">
        <is>
          <t>DS</t>
        </is>
      </c>
      <c r="C728" s="156" t="inlineStr">
        <is>
          <t>DT-810</t>
        </is>
      </c>
      <c r="D728" s="156" t="inlineStr">
        <is>
          <t>SKT 80S</t>
        </is>
      </c>
      <c r="E728" s="156" t="inlineStr">
        <is>
          <t>Hauler</t>
        </is>
      </c>
      <c r="F728" s="156" t="inlineStr"/>
      <c r="G728" s="182" t="n">
        <v>0</v>
      </c>
      <c r="H728" s="182" t="n">
        <v>0</v>
      </c>
      <c r="I728" s="182" t="n">
        <v>0</v>
      </c>
      <c r="J728" s="182" t="n">
        <v>0</v>
      </c>
      <c r="K728" s="182" t="n">
        <v>12</v>
      </c>
      <c r="L728" s="182" t="n">
        <v>12</v>
      </c>
      <c r="M728" s="182" t="n">
        <v>0</v>
      </c>
      <c r="N728" s="182" t="n">
        <v>0</v>
      </c>
      <c r="O728" s="183" t="n">
        <v>0</v>
      </c>
      <c r="P728" s="183" t="n">
        <v>0</v>
      </c>
      <c r="Q728" s="184" t="n">
        <v>0</v>
      </c>
      <c r="R728" s="184" t="n">
        <v>0</v>
      </c>
      <c r="S728" s="183" t="n">
        <v>0</v>
      </c>
      <c r="T728" s="183" t="n">
        <v>0</v>
      </c>
      <c r="U728" s="182" t="n">
        <v>0</v>
      </c>
      <c r="V728" s="182" t="n">
        <v>0</v>
      </c>
      <c r="W728" s="182" t="n">
        <v>0</v>
      </c>
      <c r="X728" s="182" t="n">
        <v>1</v>
      </c>
      <c r="Y728" s="182" t="n">
        <v>0</v>
      </c>
      <c r="Z728" s="182" t="n">
        <v>0</v>
      </c>
      <c r="AA728" s="182" t="n">
        <v>0</v>
      </c>
      <c r="AB728" s="182" t="n">
        <v>0</v>
      </c>
      <c r="AC728" s="182" t="n">
        <v>0</v>
      </c>
      <c r="AD728" s="182" t="n">
        <v>0</v>
      </c>
      <c r="AE728" s="182" t="n">
        <v>0</v>
      </c>
      <c r="AF728" s="182" t="n">
        <v>0</v>
      </c>
      <c r="AG728" s="182" t="n">
        <v>0</v>
      </c>
      <c r="AH728" s="182" t="n">
        <v>0</v>
      </c>
      <c r="AI728" s="182" t="n">
        <v>0</v>
      </c>
      <c r="AJ728" s="182" t="n">
        <v>0</v>
      </c>
      <c r="AK728" s="182" t="n">
        <v>10.92</v>
      </c>
      <c r="AL728" s="182" t="n">
        <v>0</v>
      </c>
      <c r="AM728" s="182" t="n">
        <v>0.08</v>
      </c>
      <c r="AN728" s="182" t="n">
        <v>0</v>
      </c>
    </row>
    <row r="729">
      <c r="A729" s="155" t="n">
        <v>46085</v>
      </c>
      <c r="B729" s="156" t="inlineStr">
        <is>
          <t>DS</t>
        </is>
      </c>
      <c r="C729" s="156" t="inlineStr">
        <is>
          <t>DT-804</t>
        </is>
      </c>
      <c r="D729" s="156" t="inlineStr">
        <is>
          <t>SKT 80S</t>
        </is>
      </c>
      <c r="E729" s="156" t="inlineStr">
        <is>
          <t>Hauler</t>
        </is>
      </c>
      <c r="F729" s="156" t="inlineStr"/>
      <c r="G729" s="182" t="n">
        <v>0</v>
      </c>
      <c r="H729" s="182" t="n">
        <v>0</v>
      </c>
      <c r="I729" s="182" t="n">
        <v>0</v>
      </c>
      <c r="J729" s="182" t="n">
        <v>0</v>
      </c>
      <c r="K729" s="182" t="n">
        <v>12</v>
      </c>
      <c r="L729" s="182" t="n">
        <v>12</v>
      </c>
      <c r="M729" s="182" t="n">
        <v>0</v>
      </c>
      <c r="N729" s="182" t="n">
        <v>0</v>
      </c>
      <c r="O729" s="183" t="n">
        <v>0</v>
      </c>
      <c r="P729" s="183" t="n">
        <v>0</v>
      </c>
      <c r="Q729" s="184" t="n">
        <v>0</v>
      </c>
      <c r="R729" s="184" t="n">
        <v>0</v>
      </c>
      <c r="S729" s="183" t="n">
        <v>0</v>
      </c>
      <c r="T729" s="183" t="n">
        <v>0</v>
      </c>
      <c r="U729" s="182" t="n">
        <v>0</v>
      </c>
      <c r="V729" s="182" t="n">
        <v>0</v>
      </c>
      <c r="W729" s="182" t="n">
        <v>0</v>
      </c>
      <c r="X729" s="182" t="n">
        <v>1</v>
      </c>
      <c r="Y729" s="182" t="n">
        <v>0</v>
      </c>
      <c r="Z729" s="182" t="n">
        <v>0</v>
      </c>
      <c r="AA729" s="182" t="n">
        <v>0</v>
      </c>
      <c r="AB729" s="182" t="n">
        <v>0</v>
      </c>
      <c r="AC729" s="182" t="n">
        <v>0</v>
      </c>
      <c r="AD729" s="182" t="n">
        <v>0</v>
      </c>
      <c r="AE729" s="182" t="n">
        <v>0</v>
      </c>
      <c r="AF729" s="182" t="n">
        <v>0</v>
      </c>
      <c r="AG729" s="182" t="n">
        <v>0</v>
      </c>
      <c r="AH729" s="182" t="n">
        <v>0</v>
      </c>
      <c r="AI729" s="182" t="n">
        <v>0</v>
      </c>
      <c r="AJ729" s="182" t="n">
        <v>0</v>
      </c>
      <c r="AK729" s="182" t="n">
        <v>10.92</v>
      </c>
      <c r="AL729" s="182" t="n">
        <v>0</v>
      </c>
      <c r="AM729" s="182" t="n">
        <v>0.08</v>
      </c>
      <c r="AN729" s="182" t="n">
        <v>0</v>
      </c>
    </row>
    <row r="730">
      <c r="A730" s="155" t="n">
        <v>46085</v>
      </c>
      <c r="B730" s="156" t="inlineStr">
        <is>
          <t>DS</t>
        </is>
      </c>
      <c r="C730" s="156" t="inlineStr">
        <is>
          <t>DT-505</t>
        </is>
      </c>
      <c r="D730" s="156" t="inlineStr">
        <is>
          <t>SKT 105S</t>
        </is>
      </c>
      <c r="E730" s="156" t="inlineStr">
        <is>
          <t>Hauler</t>
        </is>
      </c>
      <c r="F730" s="156" t="inlineStr"/>
      <c r="G730" s="182" t="n">
        <v>0</v>
      </c>
      <c r="H730" s="182" t="n">
        <v>8</v>
      </c>
      <c r="I730" s="182" t="n">
        <v>0</v>
      </c>
      <c r="J730" s="182" t="n">
        <v>8</v>
      </c>
      <c r="K730" s="182" t="n">
        <v>4</v>
      </c>
      <c r="L730" s="182" t="n">
        <v>12</v>
      </c>
      <c r="M730" s="182" t="n">
        <v>0</v>
      </c>
      <c r="N730" s="182" t="n">
        <v>0</v>
      </c>
      <c r="O730" s="183" t="n">
        <v>0</v>
      </c>
      <c r="P730" s="183" t="n">
        <v>0</v>
      </c>
      <c r="Q730" s="184" t="n">
        <v>0</v>
      </c>
      <c r="R730" s="184" t="n">
        <v>0</v>
      </c>
      <c r="S730" s="183" t="n">
        <v>0</v>
      </c>
      <c r="T730" s="183" t="n">
        <v>0</v>
      </c>
      <c r="U730" s="182" t="n">
        <v>1.42</v>
      </c>
      <c r="V730" s="182" t="n">
        <v>0</v>
      </c>
      <c r="W730" s="182" t="n">
        <v>0</v>
      </c>
      <c r="X730" s="182" t="n">
        <v>1</v>
      </c>
      <c r="Y730" s="182" t="n">
        <v>0</v>
      </c>
      <c r="Z730" s="182" t="n">
        <v>0</v>
      </c>
      <c r="AA730" s="182" t="n">
        <v>0</v>
      </c>
      <c r="AB730" s="182" t="n">
        <v>0</v>
      </c>
      <c r="AC730" s="182" t="n">
        <v>0</v>
      </c>
      <c r="AD730" s="182" t="n">
        <v>0</v>
      </c>
      <c r="AE730" s="182" t="n">
        <v>0</v>
      </c>
      <c r="AF730" s="182" t="n">
        <v>0</v>
      </c>
      <c r="AG730" s="182" t="n">
        <v>0</v>
      </c>
      <c r="AH730" s="182" t="n">
        <v>0</v>
      </c>
      <c r="AI730" s="182" t="n">
        <v>1.5</v>
      </c>
      <c r="AJ730" s="182" t="n">
        <v>0</v>
      </c>
      <c r="AK730" s="182" t="n">
        <v>0</v>
      </c>
      <c r="AL730" s="182" t="n">
        <v>0</v>
      </c>
      <c r="AM730" s="182" t="n">
        <v>0.08</v>
      </c>
      <c r="AN730" s="182" t="n">
        <v>0</v>
      </c>
    </row>
    <row r="731">
      <c r="A731" s="155" t="n">
        <v>46085</v>
      </c>
      <c r="B731" s="156" t="inlineStr">
        <is>
          <t>DS</t>
        </is>
      </c>
      <c r="C731" s="156" t="inlineStr">
        <is>
          <t>DT-530</t>
        </is>
      </c>
      <c r="D731" s="156" t="inlineStr">
        <is>
          <t>SKT 105S</t>
        </is>
      </c>
      <c r="E731" s="156" t="inlineStr">
        <is>
          <t>Hauler</t>
        </is>
      </c>
      <c r="F731" s="156" t="inlineStr"/>
      <c r="G731" s="182" t="n">
        <v>0</v>
      </c>
      <c r="H731" s="182" t="n">
        <v>0</v>
      </c>
      <c r="I731" s="182" t="n">
        <v>12</v>
      </c>
      <c r="J731" s="182" t="n">
        <v>12</v>
      </c>
      <c r="K731" s="182" t="n">
        <v>0</v>
      </c>
      <c r="L731" s="182" t="n">
        <v>12</v>
      </c>
      <c r="M731" s="182" t="n">
        <v>0</v>
      </c>
      <c r="N731" s="182" t="n">
        <v>0</v>
      </c>
      <c r="O731" s="183" t="n">
        <v>0</v>
      </c>
      <c r="P731" s="183" t="n">
        <v>0</v>
      </c>
      <c r="Q731" s="184" t="n">
        <v>0</v>
      </c>
      <c r="R731" s="184" t="n">
        <v>0</v>
      </c>
      <c r="S731" s="183" t="n">
        <v>0</v>
      </c>
      <c r="T731" s="183" t="n">
        <v>0</v>
      </c>
      <c r="U731" s="182" t="n">
        <v>0</v>
      </c>
      <c r="V731" s="182" t="n">
        <v>0</v>
      </c>
      <c r="W731" s="182" t="n">
        <v>0</v>
      </c>
      <c r="X731" s="182" t="n">
        <v>0</v>
      </c>
      <c r="Y731" s="182" t="n">
        <v>0</v>
      </c>
      <c r="Z731" s="182" t="n">
        <v>0</v>
      </c>
      <c r="AA731" s="182" t="n">
        <v>0</v>
      </c>
      <c r="AB731" s="182" t="n">
        <v>0</v>
      </c>
      <c r="AC731" s="182" t="n">
        <v>0</v>
      </c>
      <c r="AD731" s="182" t="n">
        <v>0</v>
      </c>
      <c r="AE731" s="182" t="n">
        <v>0</v>
      </c>
      <c r="AF731" s="182" t="n">
        <v>0</v>
      </c>
      <c r="AG731" s="182" t="n">
        <v>0</v>
      </c>
      <c r="AH731" s="182" t="n">
        <v>0</v>
      </c>
      <c r="AI731" s="182" t="n">
        <v>0</v>
      </c>
      <c r="AJ731" s="182" t="n">
        <v>0</v>
      </c>
      <c r="AK731" s="182" t="n">
        <v>0</v>
      </c>
      <c r="AL731" s="182" t="n">
        <v>0</v>
      </c>
      <c r="AM731" s="182" t="n">
        <v>0</v>
      </c>
      <c r="AN731" s="182" t="n">
        <v>0</v>
      </c>
    </row>
    <row r="732">
      <c r="A732" s="155" t="n">
        <v>46085</v>
      </c>
      <c r="B732" s="156" t="inlineStr">
        <is>
          <t>DS</t>
        </is>
      </c>
      <c r="C732" s="156" t="inlineStr">
        <is>
          <t>DT-525</t>
        </is>
      </c>
      <c r="D732" s="156" t="inlineStr">
        <is>
          <t>SKT 105S</t>
        </is>
      </c>
      <c r="E732" s="156" t="inlineStr">
        <is>
          <t>Hauler</t>
        </is>
      </c>
      <c r="F732" s="156" t="inlineStr"/>
      <c r="G732" s="182" t="n">
        <v>0</v>
      </c>
      <c r="H732" s="182" t="n">
        <v>0</v>
      </c>
      <c r="I732" s="182" t="n">
        <v>12</v>
      </c>
      <c r="J732" s="182" t="n">
        <v>12</v>
      </c>
      <c r="K732" s="182" t="n">
        <v>0</v>
      </c>
      <c r="L732" s="182" t="n">
        <v>12</v>
      </c>
      <c r="M732" s="182" t="n">
        <v>0</v>
      </c>
      <c r="N732" s="182" t="n">
        <v>0</v>
      </c>
      <c r="O732" s="183" t="n">
        <v>0</v>
      </c>
      <c r="P732" s="183" t="n">
        <v>0</v>
      </c>
      <c r="Q732" s="184" t="n">
        <v>0</v>
      </c>
      <c r="R732" s="184" t="n">
        <v>0</v>
      </c>
      <c r="S732" s="183" t="n">
        <v>0</v>
      </c>
      <c r="T732" s="183" t="n">
        <v>0</v>
      </c>
      <c r="U732" s="182" t="n">
        <v>0</v>
      </c>
      <c r="V732" s="182" t="n">
        <v>0</v>
      </c>
      <c r="W732" s="182" t="n">
        <v>0</v>
      </c>
      <c r="X732" s="182" t="n">
        <v>0</v>
      </c>
      <c r="Y732" s="182" t="n">
        <v>0</v>
      </c>
      <c r="Z732" s="182" t="n">
        <v>0</v>
      </c>
      <c r="AA732" s="182" t="n">
        <v>0</v>
      </c>
      <c r="AB732" s="182" t="n">
        <v>0</v>
      </c>
      <c r="AC732" s="182" t="n">
        <v>0</v>
      </c>
      <c r="AD732" s="182" t="n">
        <v>0</v>
      </c>
      <c r="AE732" s="182" t="n">
        <v>0</v>
      </c>
      <c r="AF732" s="182" t="n">
        <v>0</v>
      </c>
      <c r="AG732" s="182" t="n">
        <v>0</v>
      </c>
      <c r="AH732" s="182" t="n">
        <v>0</v>
      </c>
      <c r="AI732" s="182" t="n">
        <v>0</v>
      </c>
      <c r="AJ732" s="182" t="n">
        <v>0</v>
      </c>
      <c r="AK732" s="182" t="n">
        <v>0</v>
      </c>
      <c r="AL732" s="182" t="n">
        <v>0</v>
      </c>
      <c r="AM732" s="182" t="n">
        <v>0</v>
      </c>
      <c r="AN732" s="182" t="n">
        <v>0</v>
      </c>
    </row>
    <row r="733">
      <c r="A733" s="155" t="n">
        <v>46085</v>
      </c>
      <c r="B733" s="156" t="inlineStr">
        <is>
          <t>DS</t>
        </is>
      </c>
      <c r="C733" s="156" t="inlineStr">
        <is>
          <t>DT-503</t>
        </is>
      </c>
      <c r="D733" s="156" t="inlineStr">
        <is>
          <t>SKT 105S</t>
        </is>
      </c>
      <c r="E733" s="156" t="inlineStr">
        <is>
          <t>Hauler</t>
        </is>
      </c>
      <c r="F733" s="156" t="inlineStr">
        <is>
          <t>Hauling OB</t>
        </is>
      </c>
      <c r="G733" s="182" t="n">
        <v>5.22</v>
      </c>
      <c r="H733" s="182" t="n">
        <v>0</v>
      </c>
      <c r="I733" s="182" t="n">
        <v>0</v>
      </c>
      <c r="J733" s="182" t="n">
        <v>0</v>
      </c>
      <c r="K733" s="182" t="n">
        <v>6.78</v>
      </c>
      <c r="L733" s="182" t="n">
        <v>12</v>
      </c>
      <c r="M733" s="182" t="n">
        <v>5.22</v>
      </c>
      <c r="N733" s="182" t="n">
        <v>0</v>
      </c>
      <c r="O733" s="183" t="n">
        <v>15</v>
      </c>
      <c r="P733" s="183" t="n">
        <v>0</v>
      </c>
      <c r="Q733" s="184" t="n">
        <v>306</v>
      </c>
      <c r="R733" s="184" t="n">
        <v>0</v>
      </c>
      <c r="S733" s="183" t="n">
        <v>0</v>
      </c>
      <c r="T733" s="183" t="n">
        <v>0</v>
      </c>
      <c r="U733" s="182" t="n">
        <v>1.46</v>
      </c>
      <c r="V733" s="182" t="n">
        <v>1.8</v>
      </c>
      <c r="W733" s="182" t="n">
        <v>0</v>
      </c>
      <c r="X733" s="182" t="n">
        <v>1.03</v>
      </c>
      <c r="Y733" s="182" t="n">
        <v>0</v>
      </c>
      <c r="Z733" s="182" t="n">
        <v>0</v>
      </c>
      <c r="AA733" s="182" t="n">
        <v>0</v>
      </c>
      <c r="AB733" s="182" t="n">
        <v>0</v>
      </c>
      <c r="AC733" s="182" t="n">
        <v>0</v>
      </c>
      <c r="AD733" s="182" t="n">
        <v>0</v>
      </c>
      <c r="AE733" s="182" t="n">
        <v>0</v>
      </c>
      <c r="AF733" s="182" t="n">
        <v>0</v>
      </c>
      <c r="AG733" s="182" t="n">
        <v>0</v>
      </c>
      <c r="AH733" s="182" t="n">
        <v>0</v>
      </c>
      <c r="AI733" s="182" t="n">
        <v>2.41</v>
      </c>
      <c r="AJ733" s="182" t="n">
        <v>0</v>
      </c>
      <c r="AK733" s="182" t="n">
        <v>0</v>
      </c>
      <c r="AL733" s="182" t="n">
        <v>0</v>
      </c>
      <c r="AM733" s="182" t="n">
        <v>0.08</v>
      </c>
      <c r="AN733" s="182" t="n">
        <v>0</v>
      </c>
    </row>
    <row r="734">
      <c r="A734" s="155" t="n">
        <v>46085</v>
      </c>
      <c r="B734" s="156" t="inlineStr">
        <is>
          <t>DS</t>
        </is>
      </c>
      <c r="C734" s="156" t="inlineStr">
        <is>
          <t>DT-504</t>
        </is>
      </c>
      <c r="D734" s="156" t="inlineStr">
        <is>
          <t>SKT 105S</t>
        </is>
      </c>
      <c r="E734" s="156" t="inlineStr">
        <is>
          <t>Hauler</t>
        </is>
      </c>
      <c r="F734" s="156" t="inlineStr">
        <is>
          <t>Hauling OB</t>
        </is>
      </c>
      <c r="G734" s="182" t="n">
        <v>4.04</v>
      </c>
      <c r="H734" s="182" t="n">
        <v>0</v>
      </c>
      <c r="I734" s="182" t="n">
        <v>0.6</v>
      </c>
      <c r="J734" s="182" t="n">
        <v>0.6</v>
      </c>
      <c r="K734" s="182" t="n">
        <v>7.36</v>
      </c>
      <c r="L734" s="182" t="n">
        <v>12</v>
      </c>
      <c r="M734" s="182" t="n">
        <v>4.04</v>
      </c>
      <c r="N734" s="182" t="n">
        <v>0</v>
      </c>
      <c r="O734" s="183" t="n">
        <v>14</v>
      </c>
      <c r="P734" s="183" t="n">
        <v>0</v>
      </c>
      <c r="Q734" s="184" t="n">
        <v>285.6</v>
      </c>
      <c r="R734" s="184" t="n">
        <v>0</v>
      </c>
      <c r="S734" s="183" t="n">
        <v>0</v>
      </c>
      <c r="T734" s="183" t="n">
        <v>0</v>
      </c>
      <c r="U734" s="182" t="n">
        <v>1.41</v>
      </c>
      <c r="V734" s="182" t="n">
        <v>0</v>
      </c>
      <c r="W734" s="182" t="n">
        <v>0</v>
      </c>
      <c r="X734" s="182" t="n">
        <v>0.99</v>
      </c>
      <c r="Y734" s="182" t="n">
        <v>0</v>
      </c>
      <c r="Z734" s="182" t="n">
        <v>0</v>
      </c>
      <c r="AA734" s="182" t="n">
        <v>0</v>
      </c>
      <c r="AB734" s="182" t="n">
        <v>0</v>
      </c>
      <c r="AC734" s="182" t="n">
        <v>0</v>
      </c>
      <c r="AD734" s="182" t="n">
        <v>0</v>
      </c>
      <c r="AE734" s="182" t="n">
        <v>0</v>
      </c>
      <c r="AF734" s="182" t="n">
        <v>0</v>
      </c>
      <c r="AG734" s="182" t="n">
        <v>0</v>
      </c>
      <c r="AH734" s="182" t="n">
        <v>0</v>
      </c>
      <c r="AI734" s="182" t="n">
        <v>4.87</v>
      </c>
      <c r="AJ734" s="182" t="n">
        <v>0</v>
      </c>
      <c r="AK734" s="182" t="n">
        <v>0</v>
      </c>
      <c r="AL734" s="182" t="n">
        <v>0</v>
      </c>
      <c r="AM734" s="182" t="n">
        <v>0.08</v>
      </c>
      <c r="AN734" s="182" t="n">
        <v>0</v>
      </c>
    </row>
    <row r="735">
      <c r="A735" s="155" t="n">
        <v>46085</v>
      </c>
      <c r="B735" s="156" t="inlineStr">
        <is>
          <t>DS</t>
        </is>
      </c>
      <c r="C735" s="156" t="inlineStr">
        <is>
          <t>DT-507</t>
        </is>
      </c>
      <c r="D735" s="156" t="inlineStr">
        <is>
          <t>SKT 105S</t>
        </is>
      </c>
      <c r="E735" s="156" t="inlineStr">
        <is>
          <t>Hauler</t>
        </is>
      </c>
      <c r="F735" s="156" t="inlineStr">
        <is>
          <t>Hauling OB</t>
        </is>
      </c>
      <c r="G735" s="182" t="n">
        <v>1.68</v>
      </c>
      <c r="H735" s="182" t="n">
        <v>0</v>
      </c>
      <c r="I735" s="182" t="n">
        <v>0</v>
      </c>
      <c r="J735" s="182" t="n">
        <v>0</v>
      </c>
      <c r="K735" s="182" t="n">
        <v>10.32</v>
      </c>
      <c r="L735" s="182" t="n">
        <v>12</v>
      </c>
      <c r="M735" s="182" t="n">
        <v>1.68</v>
      </c>
      <c r="N735" s="182" t="n">
        <v>0</v>
      </c>
      <c r="O735" s="183" t="n">
        <v>3</v>
      </c>
      <c r="P735" s="183" t="n">
        <v>0</v>
      </c>
      <c r="Q735" s="184" t="n">
        <v>61.2</v>
      </c>
      <c r="R735" s="184" t="n">
        <v>0</v>
      </c>
      <c r="S735" s="183" t="n">
        <v>0</v>
      </c>
      <c r="T735" s="183" t="n">
        <v>0</v>
      </c>
      <c r="U735" s="182" t="n">
        <v>1.41</v>
      </c>
      <c r="V735" s="182" t="n">
        <v>1.74</v>
      </c>
      <c r="W735" s="182" t="n">
        <v>0</v>
      </c>
      <c r="X735" s="182" t="n">
        <v>0.99</v>
      </c>
      <c r="Y735" s="182" t="n">
        <v>0</v>
      </c>
      <c r="Z735" s="182" t="n">
        <v>0</v>
      </c>
      <c r="AA735" s="182" t="n">
        <v>0</v>
      </c>
      <c r="AB735" s="182" t="n">
        <v>0</v>
      </c>
      <c r="AC735" s="182" t="n">
        <v>0</v>
      </c>
      <c r="AD735" s="182" t="n">
        <v>0</v>
      </c>
      <c r="AE735" s="182" t="n">
        <v>0</v>
      </c>
      <c r="AF735" s="182" t="n">
        <v>0</v>
      </c>
      <c r="AG735" s="182" t="n">
        <v>0</v>
      </c>
      <c r="AH735" s="182" t="n">
        <v>0</v>
      </c>
      <c r="AI735" s="182" t="n">
        <v>6.1</v>
      </c>
      <c r="AJ735" s="182" t="n">
        <v>0</v>
      </c>
      <c r="AK735" s="182" t="n">
        <v>0</v>
      </c>
      <c r="AL735" s="182" t="n">
        <v>0</v>
      </c>
      <c r="AM735" s="182" t="n">
        <v>0.08</v>
      </c>
      <c r="AN735" s="182" t="n">
        <v>0</v>
      </c>
    </row>
    <row r="736">
      <c r="A736" s="155" t="n">
        <v>46085</v>
      </c>
      <c r="B736" s="156" t="inlineStr">
        <is>
          <t>DS</t>
        </is>
      </c>
      <c r="C736" s="156" t="inlineStr">
        <is>
          <t>DT-501</t>
        </is>
      </c>
      <c r="D736" s="156" t="inlineStr">
        <is>
          <t>SKT 105S</t>
        </is>
      </c>
      <c r="E736" s="156" t="inlineStr">
        <is>
          <t>Hauler</t>
        </is>
      </c>
      <c r="F736" s="156" t="inlineStr">
        <is>
          <t>Hauling OB</t>
        </is>
      </c>
      <c r="G736" s="182" t="n">
        <v>2.65</v>
      </c>
      <c r="H736" s="182" t="n">
        <v>0</v>
      </c>
      <c r="I736" s="182" t="n">
        <v>2.12</v>
      </c>
      <c r="J736" s="182" t="n">
        <v>2.12</v>
      </c>
      <c r="K736" s="182" t="n">
        <v>7.23</v>
      </c>
      <c r="L736" s="182" t="n">
        <v>12</v>
      </c>
      <c r="M736" s="182" t="n">
        <v>2.65</v>
      </c>
      <c r="N736" s="182" t="n">
        <v>0</v>
      </c>
      <c r="O736" s="183" t="n">
        <v>5</v>
      </c>
      <c r="P736" s="183" t="n">
        <v>0</v>
      </c>
      <c r="Q736" s="184" t="n">
        <v>102</v>
      </c>
      <c r="R736" s="184" t="n">
        <v>0</v>
      </c>
      <c r="S736" s="183" t="n">
        <v>0</v>
      </c>
      <c r="T736" s="183" t="n">
        <v>0</v>
      </c>
      <c r="U736" s="182" t="n">
        <v>1.45</v>
      </c>
      <c r="V736" s="182" t="n">
        <v>0</v>
      </c>
      <c r="W736" s="182" t="n">
        <v>0</v>
      </c>
      <c r="X736" s="182" t="n">
        <v>1.02</v>
      </c>
      <c r="Y736" s="182" t="n">
        <v>0</v>
      </c>
      <c r="Z736" s="182" t="n">
        <v>0</v>
      </c>
      <c r="AA736" s="182" t="n">
        <v>0</v>
      </c>
      <c r="AB736" s="182" t="n">
        <v>0</v>
      </c>
      <c r="AC736" s="182" t="n">
        <v>0</v>
      </c>
      <c r="AD736" s="182" t="n">
        <v>0</v>
      </c>
      <c r="AE736" s="182" t="n">
        <v>0</v>
      </c>
      <c r="AF736" s="182" t="n">
        <v>0</v>
      </c>
      <c r="AG736" s="182" t="n">
        <v>0</v>
      </c>
      <c r="AH736" s="182" t="n">
        <v>0</v>
      </c>
      <c r="AI736" s="182" t="n">
        <v>4.68</v>
      </c>
      <c r="AJ736" s="182" t="n">
        <v>0</v>
      </c>
      <c r="AK736" s="182" t="n">
        <v>0</v>
      </c>
      <c r="AL736" s="182" t="n">
        <v>0</v>
      </c>
      <c r="AM736" s="182" t="n">
        <v>0.08</v>
      </c>
      <c r="AN736" s="182" t="n">
        <v>0</v>
      </c>
    </row>
    <row r="737">
      <c r="A737" s="155" t="n">
        <v>46085</v>
      </c>
      <c r="B737" s="156" t="inlineStr">
        <is>
          <t>DS</t>
        </is>
      </c>
      <c r="C737" s="156" t="inlineStr">
        <is>
          <t>DT-518</t>
        </is>
      </c>
      <c r="D737" s="156" t="inlineStr">
        <is>
          <t>SKT 105S</t>
        </is>
      </c>
      <c r="E737" s="156" t="inlineStr">
        <is>
          <t>Hauler</t>
        </is>
      </c>
      <c r="F737" s="156" t="inlineStr">
        <is>
          <t>Hauling OB</t>
        </is>
      </c>
      <c r="G737" s="182" t="n">
        <v>5.41</v>
      </c>
      <c r="H737" s="182" t="n">
        <v>0</v>
      </c>
      <c r="I737" s="182" t="n">
        <v>0</v>
      </c>
      <c r="J737" s="182" t="n">
        <v>0</v>
      </c>
      <c r="K737" s="182" t="n">
        <v>6.59</v>
      </c>
      <c r="L737" s="182" t="n">
        <v>12</v>
      </c>
      <c r="M737" s="182" t="n">
        <v>5.41</v>
      </c>
      <c r="N737" s="182" t="n">
        <v>0</v>
      </c>
      <c r="O737" s="183" t="n">
        <v>20</v>
      </c>
      <c r="P737" s="183" t="n">
        <v>0</v>
      </c>
      <c r="Q737" s="184" t="n">
        <v>408</v>
      </c>
      <c r="R737" s="184" t="n">
        <v>0</v>
      </c>
      <c r="S737" s="183" t="n">
        <v>0</v>
      </c>
      <c r="T737" s="183" t="n">
        <v>0</v>
      </c>
      <c r="U737" s="182" t="n">
        <v>1.4</v>
      </c>
      <c r="V737" s="182" t="n">
        <v>4.13</v>
      </c>
      <c r="W737" s="182" t="n">
        <v>0</v>
      </c>
      <c r="X737" s="182" t="n">
        <v>0.98</v>
      </c>
      <c r="Y737" s="182" t="n">
        <v>0</v>
      </c>
      <c r="Z737" s="182" t="n">
        <v>0</v>
      </c>
      <c r="AA737" s="182" t="n">
        <v>0</v>
      </c>
      <c r="AB737" s="182" t="n">
        <v>0</v>
      </c>
      <c r="AC737" s="182" t="n">
        <v>0</v>
      </c>
      <c r="AD737" s="182" t="n">
        <v>0</v>
      </c>
      <c r="AE737" s="182" t="n">
        <v>0</v>
      </c>
      <c r="AF737" s="182" t="n">
        <v>0</v>
      </c>
      <c r="AG737" s="182" t="n">
        <v>0</v>
      </c>
      <c r="AH737" s="182" t="n">
        <v>0</v>
      </c>
      <c r="AI737" s="182" t="n">
        <v>0</v>
      </c>
      <c r="AJ737" s="182" t="n">
        <v>0</v>
      </c>
      <c r="AK737" s="182" t="n">
        <v>0</v>
      </c>
      <c r="AL737" s="182" t="n">
        <v>0</v>
      </c>
      <c r="AM737" s="182" t="n">
        <v>0.08</v>
      </c>
      <c r="AN737" s="182" t="n">
        <v>0</v>
      </c>
    </row>
    <row r="738">
      <c r="A738" s="155" t="n">
        <v>46085</v>
      </c>
      <c r="B738" s="156" t="inlineStr">
        <is>
          <t>DS</t>
        </is>
      </c>
      <c r="C738" s="156" t="inlineStr">
        <is>
          <t>DT-514</t>
        </is>
      </c>
      <c r="D738" s="156" t="inlineStr">
        <is>
          <t>SKT 105S</t>
        </is>
      </c>
      <c r="E738" s="156" t="inlineStr">
        <is>
          <t>Hauler</t>
        </is>
      </c>
      <c r="F738" s="156" t="inlineStr"/>
      <c r="G738" s="182" t="n">
        <v>0</v>
      </c>
      <c r="H738" s="182" t="n">
        <v>0</v>
      </c>
      <c r="I738" s="182" t="n">
        <v>12</v>
      </c>
      <c r="J738" s="182" t="n">
        <v>12</v>
      </c>
      <c r="K738" s="182" t="n">
        <v>0</v>
      </c>
      <c r="L738" s="182" t="n">
        <v>12</v>
      </c>
      <c r="M738" s="182" t="n">
        <v>0</v>
      </c>
      <c r="N738" s="182" t="n">
        <v>0</v>
      </c>
      <c r="O738" s="183" t="n">
        <v>0</v>
      </c>
      <c r="P738" s="183" t="n">
        <v>0</v>
      </c>
      <c r="Q738" s="184" t="n">
        <v>0</v>
      </c>
      <c r="R738" s="184" t="n">
        <v>0</v>
      </c>
      <c r="S738" s="183" t="n">
        <v>0</v>
      </c>
      <c r="T738" s="183" t="n">
        <v>0</v>
      </c>
      <c r="U738" s="182" t="n">
        <v>0</v>
      </c>
      <c r="V738" s="182" t="n">
        <v>0</v>
      </c>
      <c r="W738" s="182" t="n">
        <v>0</v>
      </c>
      <c r="X738" s="182" t="n">
        <v>0</v>
      </c>
      <c r="Y738" s="182" t="n">
        <v>0</v>
      </c>
      <c r="Z738" s="182" t="n">
        <v>0</v>
      </c>
      <c r="AA738" s="182" t="n">
        <v>0</v>
      </c>
      <c r="AB738" s="182" t="n">
        <v>0</v>
      </c>
      <c r="AC738" s="182" t="n">
        <v>0</v>
      </c>
      <c r="AD738" s="182" t="n">
        <v>0</v>
      </c>
      <c r="AE738" s="182" t="n">
        <v>0</v>
      </c>
      <c r="AF738" s="182" t="n">
        <v>0</v>
      </c>
      <c r="AG738" s="182" t="n">
        <v>0</v>
      </c>
      <c r="AH738" s="182" t="n">
        <v>0</v>
      </c>
      <c r="AI738" s="182" t="n">
        <v>0</v>
      </c>
      <c r="AJ738" s="182" t="n">
        <v>0</v>
      </c>
      <c r="AK738" s="182" t="n">
        <v>0</v>
      </c>
      <c r="AL738" s="182" t="n">
        <v>0</v>
      </c>
      <c r="AM738" s="182" t="n">
        <v>0</v>
      </c>
      <c r="AN738" s="182" t="n">
        <v>0</v>
      </c>
    </row>
    <row r="739">
      <c r="A739" s="155" t="n">
        <v>46085</v>
      </c>
      <c r="B739" s="156" t="inlineStr">
        <is>
          <t>DS</t>
        </is>
      </c>
      <c r="C739" s="156" t="inlineStr">
        <is>
          <t>DT-523</t>
        </is>
      </c>
      <c r="D739" s="156" t="inlineStr">
        <is>
          <t>SKT 105S</t>
        </is>
      </c>
      <c r="E739" s="156" t="inlineStr">
        <is>
          <t>Hauler</t>
        </is>
      </c>
      <c r="F739" s="156" t="inlineStr">
        <is>
          <t>Hauling OB</t>
        </is>
      </c>
      <c r="G739" s="182" t="n">
        <v>3.3</v>
      </c>
      <c r="H739" s="182" t="n">
        <v>0</v>
      </c>
      <c r="I739" s="182" t="n">
        <v>7</v>
      </c>
      <c r="J739" s="182" t="n">
        <v>7</v>
      </c>
      <c r="K739" s="182" t="n">
        <v>1.7</v>
      </c>
      <c r="L739" s="182" t="n">
        <v>12</v>
      </c>
      <c r="M739" s="182" t="n">
        <v>3.3</v>
      </c>
      <c r="N739" s="182" t="n">
        <v>0</v>
      </c>
      <c r="O739" s="183" t="n">
        <v>11</v>
      </c>
      <c r="P739" s="183" t="n">
        <v>0</v>
      </c>
      <c r="Q739" s="184" t="n">
        <v>224.4</v>
      </c>
      <c r="R739" s="184" t="n">
        <v>0</v>
      </c>
      <c r="S739" s="183" t="n">
        <v>0</v>
      </c>
      <c r="T739" s="183" t="n">
        <v>0</v>
      </c>
      <c r="U739" s="182" t="n">
        <v>0.83</v>
      </c>
      <c r="V739" s="182" t="n">
        <v>0</v>
      </c>
      <c r="W739" s="182" t="n">
        <v>0</v>
      </c>
      <c r="X739" s="182" t="n">
        <v>0.8100000000000001</v>
      </c>
      <c r="Y739" s="182" t="n">
        <v>0</v>
      </c>
      <c r="Z739" s="182" t="n">
        <v>0</v>
      </c>
      <c r="AA739" s="182" t="n">
        <v>0</v>
      </c>
      <c r="AB739" s="182" t="n">
        <v>0</v>
      </c>
      <c r="AC739" s="182" t="n">
        <v>0</v>
      </c>
      <c r="AD739" s="182" t="n">
        <v>0</v>
      </c>
      <c r="AE739" s="182" t="n">
        <v>0</v>
      </c>
      <c r="AF739" s="182" t="n">
        <v>0</v>
      </c>
      <c r="AG739" s="182" t="n">
        <v>0</v>
      </c>
      <c r="AH739" s="182" t="n">
        <v>0</v>
      </c>
      <c r="AI739" s="182" t="n">
        <v>0</v>
      </c>
      <c r="AJ739" s="182" t="n">
        <v>0</v>
      </c>
      <c r="AK739" s="182" t="n">
        <v>0</v>
      </c>
      <c r="AL739" s="182" t="n">
        <v>0</v>
      </c>
      <c r="AM739" s="182" t="n">
        <v>0.06</v>
      </c>
      <c r="AN739" s="182" t="n">
        <v>0</v>
      </c>
    </row>
    <row r="740">
      <c r="A740" s="155" t="n">
        <v>46085</v>
      </c>
      <c r="B740" s="156" t="inlineStr">
        <is>
          <t>DS</t>
        </is>
      </c>
      <c r="C740" s="156" t="inlineStr">
        <is>
          <t>DT-519</t>
        </is>
      </c>
      <c r="D740" s="156" t="inlineStr">
        <is>
          <t>SKT 105S</t>
        </is>
      </c>
      <c r="E740" s="156" t="inlineStr">
        <is>
          <t>Hauler</t>
        </is>
      </c>
      <c r="F740" s="156" t="inlineStr"/>
      <c r="G740" s="182" t="n">
        <v>0</v>
      </c>
      <c r="H740" s="182" t="n">
        <v>0</v>
      </c>
      <c r="I740" s="182" t="n">
        <v>12</v>
      </c>
      <c r="J740" s="182" t="n">
        <v>12</v>
      </c>
      <c r="K740" s="182" t="n">
        <v>0</v>
      </c>
      <c r="L740" s="182" t="n">
        <v>12</v>
      </c>
      <c r="M740" s="182" t="n">
        <v>0</v>
      </c>
      <c r="N740" s="182" t="n">
        <v>0</v>
      </c>
      <c r="O740" s="183" t="n">
        <v>0</v>
      </c>
      <c r="P740" s="183" t="n">
        <v>0</v>
      </c>
      <c r="Q740" s="184" t="n">
        <v>0</v>
      </c>
      <c r="R740" s="184" t="n">
        <v>0</v>
      </c>
      <c r="S740" s="183" t="n">
        <v>0</v>
      </c>
      <c r="T740" s="183" t="n">
        <v>0</v>
      </c>
      <c r="U740" s="182" t="n">
        <v>0</v>
      </c>
      <c r="V740" s="182" t="n">
        <v>0</v>
      </c>
      <c r="W740" s="182" t="n">
        <v>0</v>
      </c>
      <c r="X740" s="182" t="n">
        <v>0</v>
      </c>
      <c r="Y740" s="182" t="n">
        <v>0</v>
      </c>
      <c r="Z740" s="182" t="n">
        <v>0</v>
      </c>
      <c r="AA740" s="182" t="n">
        <v>0</v>
      </c>
      <c r="AB740" s="182" t="n">
        <v>0</v>
      </c>
      <c r="AC740" s="182" t="n">
        <v>0</v>
      </c>
      <c r="AD740" s="182" t="n">
        <v>0</v>
      </c>
      <c r="AE740" s="182" t="n">
        <v>0</v>
      </c>
      <c r="AF740" s="182" t="n">
        <v>0</v>
      </c>
      <c r="AG740" s="182" t="n">
        <v>0</v>
      </c>
      <c r="AH740" s="182" t="n">
        <v>0</v>
      </c>
      <c r="AI740" s="182" t="n">
        <v>0</v>
      </c>
      <c r="AJ740" s="182" t="n">
        <v>0</v>
      </c>
      <c r="AK740" s="182" t="n">
        <v>0</v>
      </c>
      <c r="AL740" s="182" t="n">
        <v>0</v>
      </c>
      <c r="AM740" s="182" t="n">
        <v>0</v>
      </c>
      <c r="AN740" s="182" t="n">
        <v>0</v>
      </c>
    </row>
    <row r="741">
      <c r="A741" s="155" t="n">
        <v>46085</v>
      </c>
      <c r="B741" s="156" t="inlineStr">
        <is>
          <t>DS</t>
        </is>
      </c>
      <c r="C741" s="156" t="inlineStr">
        <is>
          <t>DT-527</t>
        </is>
      </c>
      <c r="D741" s="156" t="inlineStr">
        <is>
          <t>SKT 105S</t>
        </is>
      </c>
      <c r="E741" s="156" t="inlineStr">
        <is>
          <t>Hauler</t>
        </is>
      </c>
      <c r="F741" s="156" t="inlineStr">
        <is>
          <t>Hauling OB</t>
        </is>
      </c>
      <c r="G741" s="182" t="n">
        <v>5.07</v>
      </c>
      <c r="H741" s="182" t="n">
        <v>0</v>
      </c>
      <c r="I741" s="182" t="n">
        <v>0.68</v>
      </c>
      <c r="J741" s="182" t="n">
        <v>0.68</v>
      </c>
      <c r="K741" s="182" t="n">
        <v>6.25</v>
      </c>
      <c r="L741" s="182" t="n">
        <v>12</v>
      </c>
      <c r="M741" s="182" t="n">
        <v>5.07</v>
      </c>
      <c r="N741" s="182" t="n">
        <v>0</v>
      </c>
      <c r="O741" s="183" t="n">
        <v>18</v>
      </c>
      <c r="P741" s="183" t="n">
        <v>0</v>
      </c>
      <c r="Q741" s="184" t="n">
        <v>367.2</v>
      </c>
      <c r="R741" s="184" t="n">
        <v>0</v>
      </c>
      <c r="S741" s="183" t="n">
        <v>0</v>
      </c>
      <c r="T741" s="183" t="n">
        <v>0</v>
      </c>
      <c r="U741" s="182" t="n">
        <v>1.5</v>
      </c>
      <c r="V741" s="182" t="n">
        <v>3.6</v>
      </c>
      <c r="W741" s="182" t="n">
        <v>0</v>
      </c>
      <c r="X741" s="182" t="n">
        <v>1.06</v>
      </c>
      <c r="Y741" s="182" t="n">
        <v>0</v>
      </c>
      <c r="Z741" s="182" t="n">
        <v>0</v>
      </c>
      <c r="AA741" s="182" t="n">
        <v>0</v>
      </c>
      <c r="AB741" s="182" t="n">
        <v>0</v>
      </c>
      <c r="AC741" s="182" t="n">
        <v>0</v>
      </c>
      <c r="AD741" s="182" t="n">
        <v>0</v>
      </c>
      <c r="AE741" s="182" t="n">
        <v>0</v>
      </c>
      <c r="AF741" s="182" t="n">
        <v>0</v>
      </c>
      <c r="AG741" s="182" t="n">
        <v>0</v>
      </c>
      <c r="AH741" s="182" t="n">
        <v>0</v>
      </c>
      <c r="AI741" s="182" t="n">
        <v>0</v>
      </c>
      <c r="AJ741" s="182" t="n">
        <v>0</v>
      </c>
      <c r="AK741" s="182" t="n">
        <v>0</v>
      </c>
      <c r="AL741" s="182" t="n">
        <v>0</v>
      </c>
      <c r="AM741" s="182" t="n">
        <v>0.08</v>
      </c>
      <c r="AN741" s="182" t="n">
        <v>0</v>
      </c>
    </row>
    <row r="742">
      <c r="A742" s="155" t="n">
        <v>46085</v>
      </c>
      <c r="B742" s="156" t="inlineStr">
        <is>
          <t>DS</t>
        </is>
      </c>
      <c r="C742" s="156" t="inlineStr">
        <is>
          <t>DT-513</t>
        </is>
      </c>
      <c r="D742" s="156" t="inlineStr">
        <is>
          <t>SKT 105S</t>
        </is>
      </c>
      <c r="E742" s="156" t="inlineStr">
        <is>
          <t>Hauler</t>
        </is>
      </c>
      <c r="F742" s="156" t="inlineStr"/>
      <c r="G742" s="182" t="n">
        <v>0</v>
      </c>
      <c r="H742" s="182" t="n">
        <v>0</v>
      </c>
      <c r="I742" s="182" t="n">
        <v>12</v>
      </c>
      <c r="J742" s="182" t="n">
        <v>12</v>
      </c>
      <c r="K742" s="182" t="n">
        <v>0</v>
      </c>
      <c r="L742" s="182" t="n">
        <v>12</v>
      </c>
      <c r="M742" s="182" t="n">
        <v>0</v>
      </c>
      <c r="N742" s="182" t="n">
        <v>0</v>
      </c>
      <c r="O742" s="183" t="n">
        <v>0</v>
      </c>
      <c r="P742" s="183" t="n">
        <v>0</v>
      </c>
      <c r="Q742" s="184" t="n">
        <v>0</v>
      </c>
      <c r="R742" s="184" t="n">
        <v>0</v>
      </c>
      <c r="S742" s="183" t="n">
        <v>0</v>
      </c>
      <c r="T742" s="183" t="n">
        <v>0</v>
      </c>
      <c r="U742" s="182" t="n">
        <v>0</v>
      </c>
      <c r="V742" s="182" t="n">
        <v>0</v>
      </c>
      <c r="W742" s="182" t="n">
        <v>0</v>
      </c>
      <c r="X742" s="182" t="n">
        <v>0</v>
      </c>
      <c r="Y742" s="182" t="n">
        <v>0</v>
      </c>
      <c r="Z742" s="182" t="n">
        <v>0</v>
      </c>
      <c r="AA742" s="182" t="n">
        <v>0</v>
      </c>
      <c r="AB742" s="182" t="n">
        <v>0</v>
      </c>
      <c r="AC742" s="182" t="n">
        <v>0</v>
      </c>
      <c r="AD742" s="182" t="n">
        <v>0</v>
      </c>
      <c r="AE742" s="182" t="n">
        <v>0</v>
      </c>
      <c r="AF742" s="182" t="n">
        <v>0</v>
      </c>
      <c r="AG742" s="182" t="n">
        <v>0</v>
      </c>
      <c r="AH742" s="182" t="n">
        <v>0</v>
      </c>
      <c r="AI742" s="182" t="n">
        <v>0</v>
      </c>
      <c r="AJ742" s="182" t="n">
        <v>0</v>
      </c>
      <c r="AK742" s="182" t="n">
        <v>0</v>
      </c>
      <c r="AL742" s="182" t="n">
        <v>0</v>
      </c>
      <c r="AM742" s="182" t="n">
        <v>0</v>
      </c>
      <c r="AN742" s="182" t="n">
        <v>0</v>
      </c>
    </row>
    <row r="743">
      <c r="A743" s="155" t="n">
        <v>46085</v>
      </c>
      <c r="B743" s="156" t="inlineStr">
        <is>
          <t>DS</t>
        </is>
      </c>
      <c r="C743" s="156" t="inlineStr">
        <is>
          <t>DT-512</t>
        </is>
      </c>
      <c r="D743" s="156" t="inlineStr">
        <is>
          <t>SKT 105S</t>
        </is>
      </c>
      <c r="E743" s="156" t="inlineStr">
        <is>
          <t>Hauler</t>
        </is>
      </c>
      <c r="F743" s="156" t="inlineStr">
        <is>
          <t>Hauling OB</t>
        </is>
      </c>
      <c r="G743" s="182" t="n">
        <v>4.52</v>
      </c>
      <c r="H743" s="182" t="n">
        <v>0</v>
      </c>
      <c r="I743" s="182" t="n">
        <v>0</v>
      </c>
      <c r="J743" s="182" t="n">
        <v>0</v>
      </c>
      <c r="K743" s="182" t="n">
        <v>7.48</v>
      </c>
      <c r="L743" s="182" t="n">
        <v>12</v>
      </c>
      <c r="M743" s="182" t="n">
        <v>4.52</v>
      </c>
      <c r="N743" s="182" t="n">
        <v>0</v>
      </c>
      <c r="O743" s="183" t="n">
        <v>14</v>
      </c>
      <c r="P743" s="183" t="n">
        <v>0</v>
      </c>
      <c r="Q743" s="184" t="n">
        <v>285.6</v>
      </c>
      <c r="R743" s="184" t="n">
        <v>0</v>
      </c>
      <c r="S743" s="183" t="n">
        <v>0</v>
      </c>
      <c r="T743" s="183" t="n">
        <v>0</v>
      </c>
      <c r="U743" s="182" t="n">
        <v>1.33</v>
      </c>
      <c r="V743" s="182" t="n">
        <v>0</v>
      </c>
      <c r="W743" s="182" t="n">
        <v>0</v>
      </c>
      <c r="X743" s="182" t="n">
        <v>0.9399999999999999</v>
      </c>
      <c r="Y743" s="182" t="n">
        <v>0</v>
      </c>
      <c r="Z743" s="182" t="n">
        <v>0</v>
      </c>
      <c r="AA743" s="182" t="n">
        <v>0</v>
      </c>
      <c r="AB743" s="182" t="n">
        <v>0</v>
      </c>
      <c r="AC743" s="182" t="n">
        <v>0</v>
      </c>
      <c r="AD743" s="182" t="n">
        <v>0</v>
      </c>
      <c r="AE743" s="182" t="n">
        <v>0</v>
      </c>
      <c r="AF743" s="182" t="n">
        <v>0</v>
      </c>
      <c r="AG743" s="182" t="n">
        <v>0</v>
      </c>
      <c r="AH743" s="182" t="n">
        <v>0</v>
      </c>
      <c r="AI743" s="182" t="n">
        <v>5.14</v>
      </c>
      <c r="AJ743" s="182" t="n">
        <v>0</v>
      </c>
      <c r="AK743" s="182" t="n">
        <v>0</v>
      </c>
      <c r="AL743" s="182" t="n">
        <v>0</v>
      </c>
      <c r="AM743" s="182" t="n">
        <v>0.07000000000000001</v>
      </c>
      <c r="AN743" s="182" t="n">
        <v>0</v>
      </c>
    </row>
    <row r="744">
      <c r="A744" s="155" t="n">
        <v>46085</v>
      </c>
      <c r="B744" s="156" t="inlineStr">
        <is>
          <t>DS</t>
        </is>
      </c>
      <c r="C744" s="156" t="inlineStr">
        <is>
          <t>DT-522</t>
        </is>
      </c>
      <c r="D744" s="156" t="inlineStr">
        <is>
          <t>SKT 105S</t>
        </is>
      </c>
      <c r="E744" s="156" t="inlineStr">
        <is>
          <t>Hauler</t>
        </is>
      </c>
      <c r="F744" s="156" t="inlineStr">
        <is>
          <t>Hauling OB</t>
        </is>
      </c>
      <c r="G744" s="182" t="n">
        <v>4.99</v>
      </c>
      <c r="H744" s="182" t="n">
        <v>0</v>
      </c>
      <c r="I744" s="182" t="n">
        <v>0</v>
      </c>
      <c r="J744" s="182" t="n">
        <v>0</v>
      </c>
      <c r="K744" s="182" t="n">
        <v>7.01</v>
      </c>
      <c r="L744" s="182" t="n">
        <v>12</v>
      </c>
      <c r="M744" s="182" t="n">
        <v>4.99</v>
      </c>
      <c r="N744" s="182" t="n">
        <v>0</v>
      </c>
      <c r="O744" s="183" t="n">
        <v>19</v>
      </c>
      <c r="P744" s="183" t="n">
        <v>0</v>
      </c>
      <c r="Q744" s="184" t="n">
        <v>387.6</v>
      </c>
      <c r="R744" s="184" t="n">
        <v>0</v>
      </c>
      <c r="S744" s="183" t="n">
        <v>0</v>
      </c>
      <c r="T744" s="183" t="n">
        <v>0</v>
      </c>
      <c r="U744" s="182" t="n">
        <v>1.46</v>
      </c>
      <c r="V744" s="182" t="n">
        <v>4.43</v>
      </c>
      <c r="W744" s="182" t="n">
        <v>0</v>
      </c>
      <c r="X744" s="182" t="n">
        <v>1.03</v>
      </c>
      <c r="Y744" s="182" t="n">
        <v>0</v>
      </c>
      <c r="Z744" s="182" t="n">
        <v>0</v>
      </c>
      <c r="AA744" s="182" t="n">
        <v>0</v>
      </c>
      <c r="AB744" s="182" t="n">
        <v>0</v>
      </c>
      <c r="AC744" s="182" t="n">
        <v>0</v>
      </c>
      <c r="AD744" s="182" t="n">
        <v>0</v>
      </c>
      <c r="AE744" s="182" t="n">
        <v>0</v>
      </c>
      <c r="AF744" s="182" t="n">
        <v>0</v>
      </c>
      <c r="AG744" s="182" t="n">
        <v>0</v>
      </c>
      <c r="AH744" s="182" t="n">
        <v>0</v>
      </c>
      <c r="AI744" s="182" t="n">
        <v>0</v>
      </c>
      <c r="AJ744" s="182" t="n">
        <v>0</v>
      </c>
      <c r="AK744" s="182" t="n">
        <v>0</v>
      </c>
      <c r="AL744" s="182" t="n">
        <v>0</v>
      </c>
      <c r="AM744" s="182" t="n">
        <v>0.08</v>
      </c>
      <c r="AN744" s="182" t="n">
        <v>0</v>
      </c>
    </row>
    <row r="745">
      <c r="A745" s="155" t="n">
        <v>46085</v>
      </c>
      <c r="B745" s="156" t="inlineStr">
        <is>
          <t>DS</t>
        </is>
      </c>
      <c r="C745" s="156" t="inlineStr">
        <is>
          <t>DT-517</t>
        </is>
      </c>
      <c r="D745" s="156" t="inlineStr">
        <is>
          <t>SKT 105S</t>
        </is>
      </c>
      <c r="E745" s="156" t="inlineStr">
        <is>
          <t>Hauler</t>
        </is>
      </c>
      <c r="F745" s="156" t="inlineStr"/>
      <c r="G745" s="182" t="n">
        <v>0</v>
      </c>
      <c r="H745" s="182" t="n">
        <v>0</v>
      </c>
      <c r="I745" s="182" t="n">
        <v>9.73</v>
      </c>
      <c r="J745" s="182" t="n">
        <v>9.73</v>
      </c>
      <c r="K745" s="182" t="n">
        <v>2.27</v>
      </c>
      <c r="L745" s="182" t="n">
        <v>12</v>
      </c>
      <c r="M745" s="182" t="n">
        <v>0</v>
      </c>
      <c r="N745" s="182" t="n">
        <v>0</v>
      </c>
      <c r="O745" s="183" t="n">
        <v>0</v>
      </c>
      <c r="P745" s="183" t="n">
        <v>0</v>
      </c>
      <c r="Q745" s="184" t="n">
        <v>0</v>
      </c>
      <c r="R745" s="184" t="n">
        <v>0</v>
      </c>
      <c r="S745" s="183" t="n">
        <v>0</v>
      </c>
      <c r="T745" s="183" t="n">
        <v>0</v>
      </c>
      <c r="U745" s="182" t="n">
        <v>1.18</v>
      </c>
      <c r="V745" s="182" t="n">
        <v>0</v>
      </c>
      <c r="W745" s="182" t="n">
        <v>0</v>
      </c>
      <c r="X745" s="182" t="n">
        <v>1</v>
      </c>
      <c r="Y745" s="182" t="n">
        <v>0</v>
      </c>
      <c r="Z745" s="182" t="n">
        <v>0</v>
      </c>
      <c r="AA745" s="182" t="n">
        <v>0</v>
      </c>
      <c r="AB745" s="182" t="n">
        <v>0</v>
      </c>
      <c r="AC745" s="182" t="n">
        <v>0</v>
      </c>
      <c r="AD745" s="182" t="n">
        <v>0</v>
      </c>
      <c r="AE745" s="182" t="n">
        <v>0</v>
      </c>
      <c r="AF745" s="182" t="n">
        <v>0</v>
      </c>
      <c r="AG745" s="182" t="n">
        <v>0</v>
      </c>
      <c r="AH745" s="182" t="n">
        <v>0</v>
      </c>
      <c r="AI745" s="182" t="n">
        <v>0</v>
      </c>
      <c r="AJ745" s="182" t="n">
        <v>0</v>
      </c>
      <c r="AK745" s="182" t="n">
        <v>0</v>
      </c>
      <c r="AL745" s="182" t="n">
        <v>0</v>
      </c>
      <c r="AM745" s="182" t="n">
        <v>0.08</v>
      </c>
      <c r="AN745" s="182" t="n">
        <v>0</v>
      </c>
    </row>
    <row r="746">
      <c r="A746" s="155" t="n">
        <v>46085</v>
      </c>
      <c r="B746" s="156" t="inlineStr">
        <is>
          <t>DS</t>
        </is>
      </c>
      <c r="C746" s="156" t="inlineStr">
        <is>
          <t>DT-510</t>
        </is>
      </c>
      <c r="D746" s="156" t="inlineStr">
        <is>
          <t>SKT 105S</t>
        </is>
      </c>
      <c r="E746" s="156" t="inlineStr">
        <is>
          <t>Hauler</t>
        </is>
      </c>
      <c r="F746" s="156" t="inlineStr">
        <is>
          <t>Hauling OB</t>
        </is>
      </c>
      <c r="G746" s="182" t="n">
        <v>3.92</v>
      </c>
      <c r="H746" s="182" t="n">
        <v>0</v>
      </c>
      <c r="I746" s="182" t="n">
        <v>0</v>
      </c>
      <c r="J746" s="182" t="n">
        <v>0</v>
      </c>
      <c r="K746" s="182" t="n">
        <v>8.08</v>
      </c>
      <c r="L746" s="182" t="n">
        <v>12</v>
      </c>
      <c r="M746" s="182" t="n">
        <v>3.92</v>
      </c>
      <c r="N746" s="182" t="n">
        <v>0</v>
      </c>
      <c r="O746" s="183" t="n">
        <v>15</v>
      </c>
      <c r="P746" s="183" t="n">
        <v>0</v>
      </c>
      <c r="Q746" s="184" t="n">
        <v>306</v>
      </c>
      <c r="R746" s="184" t="n">
        <v>0</v>
      </c>
      <c r="S746" s="183" t="n">
        <v>0</v>
      </c>
      <c r="T746" s="183" t="n">
        <v>0</v>
      </c>
      <c r="U746" s="182" t="n">
        <v>1.42</v>
      </c>
      <c r="V746" s="182" t="n">
        <v>0</v>
      </c>
      <c r="W746" s="182" t="n">
        <v>0</v>
      </c>
      <c r="X746" s="182" t="n">
        <v>1</v>
      </c>
      <c r="Y746" s="182" t="n">
        <v>0</v>
      </c>
      <c r="Z746" s="182" t="n">
        <v>0</v>
      </c>
      <c r="AA746" s="182" t="n">
        <v>0</v>
      </c>
      <c r="AB746" s="182" t="n">
        <v>0</v>
      </c>
      <c r="AC746" s="182" t="n">
        <v>0</v>
      </c>
      <c r="AD746" s="182" t="n">
        <v>0</v>
      </c>
      <c r="AE746" s="182" t="n">
        <v>0</v>
      </c>
      <c r="AF746" s="182" t="n">
        <v>0</v>
      </c>
      <c r="AG746" s="182" t="n">
        <v>0</v>
      </c>
      <c r="AH746" s="182" t="n">
        <v>0</v>
      </c>
      <c r="AI746" s="182" t="n">
        <v>5.59</v>
      </c>
      <c r="AJ746" s="182" t="n">
        <v>0</v>
      </c>
      <c r="AK746" s="182" t="n">
        <v>0</v>
      </c>
      <c r="AL746" s="182" t="n">
        <v>0</v>
      </c>
      <c r="AM746" s="182" t="n">
        <v>0.08</v>
      </c>
      <c r="AN746" s="182" t="n">
        <v>0</v>
      </c>
    </row>
    <row r="747">
      <c r="A747" s="155" t="n">
        <v>46085</v>
      </c>
      <c r="B747" s="156" t="inlineStr">
        <is>
          <t>DS</t>
        </is>
      </c>
      <c r="C747" s="156" t="inlineStr">
        <is>
          <t>DT-521</t>
        </is>
      </c>
      <c r="D747" s="156" t="inlineStr">
        <is>
          <t>SKT 105S</t>
        </is>
      </c>
      <c r="E747" s="156" t="inlineStr">
        <is>
          <t>Hauler</t>
        </is>
      </c>
      <c r="F747" s="156" t="inlineStr">
        <is>
          <t>Hauling OB</t>
        </is>
      </c>
      <c r="G747" s="182" t="n">
        <v>2.99</v>
      </c>
      <c r="H747" s="182" t="n">
        <v>0</v>
      </c>
      <c r="I747" s="182" t="n">
        <v>3.62</v>
      </c>
      <c r="J747" s="182" t="n">
        <v>3.62</v>
      </c>
      <c r="K747" s="182" t="n">
        <v>5.39</v>
      </c>
      <c r="L747" s="182" t="n">
        <v>12</v>
      </c>
      <c r="M747" s="182" t="n">
        <v>2.99</v>
      </c>
      <c r="N747" s="182" t="n">
        <v>0</v>
      </c>
      <c r="O747" s="183" t="n">
        <v>13</v>
      </c>
      <c r="P747" s="183" t="n">
        <v>0</v>
      </c>
      <c r="Q747" s="184" t="n">
        <v>265.2</v>
      </c>
      <c r="R747" s="184" t="n">
        <v>0</v>
      </c>
      <c r="S747" s="183" t="n">
        <v>0</v>
      </c>
      <c r="T747" s="183" t="n">
        <v>0</v>
      </c>
      <c r="U747" s="182" t="n">
        <v>1.4</v>
      </c>
      <c r="V747" s="182" t="n">
        <v>2.93</v>
      </c>
      <c r="W747" s="182" t="n">
        <v>0</v>
      </c>
      <c r="X747" s="182" t="n">
        <v>0.98</v>
      </c>
      <c r="Y747" s="182" t="n">
        <v>0</v>
      </c>
      <c r="Z747" s="182" t="n">
        <v>0</v>
      </c>
      <c r="AA747" s="182" t="n">
        <v>0</v>
      </c>
      <c r="AB747" s="182" t="n">
        <v>0</v>
      </c>
      <c r="AC747" s="182" t="n">
        <v>0</v>
      </c>
      <c r="AD747" s="182" t="n">
        <v>0</v>
      </c>
      <c r="AE747" s="182" t="n">
        <v>0</v>
      </c>
      <c r="AF747" s="182" t="n">
        <v>0</v>
      </c>
      <c r="AG747" s="182" t="n">
        <v>0</v>
      </c>
      <c r="AH747" s="182" t="n">
        <v>0</v>
      </c>
      <c r="AI747" s="182" t="n">
        <v>0</v>
      </c>
      <c r="AJ747" s="182" t="n">
        <v>0</v>
      </c>
      <c r="AK747" s="182" t="n">
        <v>0</v>
      </c>
      <c r="AL747" s="182" t="n">
        <v>0</v>
      </c>
      <c r="AM747" s="182" t="n">
        <v>0.08</v>
      </c>
      <c r="AN747" s="182" t="n">
        <v>0</v>
      </c>
    </row>
    <row r="748">
      <c r="A748" s="155" t="n">
        <v>46085</v>
      </c>
      <c r="B748" s="156" t="inlineStr">
        <is>
          <t>DS</t>
        </is>
      </c>
      <c r="C748" s="156" t="inlineStr">
        <is>
          <t>DT-516</t>
        </is>
      </c>
      <c r="D748" s="156" t="inlineStr">
        <is>
          <t>SKT 105S</t>
        </is>
      </c>
      <c r="E748" s="156" t="inlineStr">
        <is>
          <t>Hauler</t>
        </is>
      </c>
      <c r="F748" s="156" t="inlineStr"/>
      <c r="G748" s="182" t="n">
        <v>0</v>
      </c>
      <c r="H748" s="182" t="n">
        <v>3.67</v>
      </c>
      <c r="I748" s="182" t="n">
        <v>0</v>
      </c>
      <c r="J748" s="182" t="n">
        <v>3.67</v>
      </c>
      <c r="K748" s="182" t="n">
        <v>8.33</v>
      </c>
      <c r="L748" s="182" t="n">
        <v>12</v>
      </c>
      <c r="M748" s="182" t="n">
        <v>0</v>
      </c>
      <c r="N748" s="182" t="n">
        <v>0</v>
      </c>
      <c r="O748" s="183" t="n">
        <v>0</v>
      </c>
      <c r="P748" s="183" t="n">
        <v>0</v>
      </c>
      <c r="Q748" s="184" t="n">
        <v>0</v>
      </c>
      <c r="R748" s="184" t="n">
        <v>0</v>
      </c>
      <c r="S748" s="183" t="n">
        <v>0</v>
      </c>
      <c r="T748" s="183" t="n">
        <v>0</v>
      </c>
      <c r="U748" s="182" t="n">
        <v>1.42</v>
      </c>
      <c r="V748" s="182" t="n">
        <v>0</v>
      </c>
      <c r="W748" s="182" t="n">
        <v>0</v>
      </c>
      <c r="X748" s="182" t="n">
        <v>1</v>
      </c>
      <c r="Y748" s="182" t="n">
        <v>0</v>
      </c>
      <c r="Z748" s="182" t="n">
        <v>0</v>
      </c>
      <c r="AA748" s="182" t="n">
        <v>0</v>
      </c>
      <c r="AB748" s="182" t="n">
        <v>0</v>
      </c>
      <c r="AC748" s="182" t="n">
        <v>0</v>
      </c>
      <c r="AD748" s="182" t="n">
        <v>0</v>
      </c>
      <c r="AE748" s="182" t="n">
        <v>0</v>
      </c>
      <c r="AF748" s="182" t="n">
        <v>0</v>
      </c>
      <c r="AG748" s="182" t="n">
        <v>0</v>
      </c>
      <c r="AH748" s="182" t="n">
        <v>0</v>
      </c>
      <c r="AI748" s="182" t="n">
        <v>5.83</v>
      </c>
      <c r="AJ748" s="182" t="n">
        <v>0</v>
      </c>
      <c r="AK748" s="182" t="n">
        <v>0</v>
      </c>
      <c r="AL748" s="182" t="n">
        <v>0</v>
      </c>
      <c r="AM748" s="182" t="n">
        <v>0.08</v>
      </c>
      <c r="AN748" s="182" t="n">
        <v>0</v>
      </c>
    </row>
    <row r="749">
      <c r="A749" s="155" t="n">
        <v>46085</v>
      </c>
      <c r="B749" s="156" t="inlineStr">
        <is>
          <t>DS</t>
        </is>
      </c>
      <c r="C749" s="156" t="inlineStr">
        <is>
          <t>DT-506</t>
        </is>
      </c>
      <c r="D749" s="156" t="inlineStr">
        <is>
          <t>SKT 105S</t>
        </is>
      </c>
      <c r="E749" s="156" t="inlineStr">
        <is>
          <t>Hauler</t>
        </is>
      </c>
      <c r="F749" s="156" t="inlineStr">
        <is>
          <t>Hauling OB</t>
        </is>
      </c>
      <c r="G749" s="182" t="n">
        <v>1.8</v>
      </c>
      <c r="H749" s="182" t="n">
        <v>0</v>
      </c>
      <c r="I749" s="182" t="n">
        <v>0</v>
      </c>
      <c r="J749" s="182" t="n">
        <v>0</v>
      </c>
      <c r="K749" s="182" t="n">
        <v>10.2</v>
      </c>
      <c r="L749" s="182" t="n">
        <v>12</v>
      </c>
      <c r="M749" s="182" t="n">
        <v>1.8</v>
      </c>
      <c r="N749" s="182" t="n">
        <v>0</v>
      </c>
      <c r="O749" s="183" t="n">
        <v>4</v>
      </c>
      <c r="P749" s="183" t="n">
        <v>0</v>
      </c>
      <c r="Q749" s="184" t="n">
        <v>81.59999999999999</v>
      </c>
      <c r="R749" s="184" t="n">
        <v>0</v>
      </c>
      <c r="S749" s="183" t="n">
        <v>0</v>
      </c>
      <c r="T749" s="183" t="n">
        <v>0</v>
      </c>
      <c r="U749" s="182" t="n">
        <v>1.45</v>
      </c>
      <c r="V749" s="182" t="n">
        <v>0</v>
      </c>
      <c r="W749" s="182" t="n">
        <v>0</v>
      </c>
      <c r="X749" s="182" t="n">
        <v>1.02</v>
      </c>
      <c r="Y749" s="182" t="n">
        <v>0</v>
      </c>
      <c r="Z749" s="182" t="n">
        <v>0</v>
      </c>
      <c r="AA749" s="182" t="n">
        <v>0</v>
      </c>
      <c r="AB749" s="182" t="n">
        <v>0</v>
      </c>
      <c r="AC749" s="182" t="n">
        <v>0</v>
      </c>
      <c r="AD749" s="182" t="n">
        <v>0</v>
      </c>
      <c r="AE749" s="182" t="n">
        <v>0</v>
      </c>
      <c r="AF749" s="182" t="n">
        <v>0</v>
      </c>
      <c r="AG749" s="182" t="n">
        <v>0</v>
      </c>
      <c r="AH749" s="182" t="n">
        <v>0</v>
      </c>
      <c r="AI749" s="182" t="n">
        <v>7.65</v>
      </c>
      <c r="AJ749" s="182" t="n">
        <v>0</v>
      </c>
      <c r="AK749" s="182" t="n">
        <v>0</v>
      </c>
      <c r="AL749" s="182" t="n">
        <v>0</v>
      </c>
      <c r="AM749" s="182" t="n">
        <v>0.08</v>
      </c>
      <c r="AN749" s="182" t="n">
        <v>0</v>
      </c>
    </row>
    <row r="750">
      <c r="A750" s="155" t="n">
        <v>46085</v>
      </c>
      <c r="B750" s="156" t="inlineStr">
        <is>
          <t>DS</t>
        </is>
      </c>
      <c r="C750" s="156" t="inlineStr">
        <is>
          <t>DT-502</t>
        </is>
      </c>
      <c r="D750" s="156" t="inlineStr">
        <is>
          <t>SKT 105S</t>
        </is>
      </c>
      <c r="E750" s="156" t="inlineStr">
        <is>
          <t>Hauler</t>
        </is>
      </c>
      <c r="F750" s="156" t="inlineStr">
        <is>
          <t>Hauling OB</t>
        </is>
      </c>
      <c r="G750" s="182" t="n">
        <v>4.19</v>
      </c>
      <c r="H750" s="182" t="n">
        <v>0</v>
      </c>
      <c r="I750" s="182" t="n">
        <v>0.38</v>
      </c>
      <c r="J750" s="182" t="n">
        <v>0.38</v>
      </c>
      <c r="K750" s="182" t="n">
        <v>7.43</v>
      </c>
      <c r="L750" s="182" t="n">
        <v>12</v>
      </c>
      <c r="M750" s="182" t="n">
        <v>4.02</v>
      </c>
      <c r="N750" s="182" t="n">
        <v>0</v>
      </c>
      <c r="O750" s="183" t="n">
        <v>10</v>
      </c>
      <c r="P750" s="183" t="n">
        <v>0</v>
      </c>
      <c r="Q750" s="184" t="n">
        <v>204</v>
      </c>
      <c r="R750" s="184" t="n">
        <v>0</v>
      </c>
      <c r="S750" s="183" t="n">
        <v>0</v>
      </c>
      <c r="T750" s="183" t="n">
        <v>0</v>
      </c>
      <c r="U750" s="182" t="n">
        <v>1.42</v>
      </c>
      <c r="V750" s="182" t="n">
        <v>1.75</v>
      </c>
      <c r="W750" s="182" t="n">
        <v>0</v>
      </c>
      <c r="X750" s="182" t="n">
        <v>1</v>
      </c>
      <c r="Y750" s="182" t="n">
        <v>0</v>
      </c>
      <c r="Z750" s="182" t="n">
        <v>0</v>
      </c>
      <c r="AA750" s="182" t="n">
        <v>0</v>
      </c>
      <c r="AB750" s="182" t="n">
        <v>0</v>
      </c>
      <c r="AC750" s="182" t="n">
        <v>0</v>
      </c>
      <c r="AD750" s="182" t="n">
        <v>0</v>
      </c>
      <c r="AE750" s="182" t="n">
        <v>0</v>
      </c>
      <c r="AF750" s="182" t="n">
        <v>0</v>
      </c>
      <c r="AG750" s="182" t="n">
        <v>0</v>
      </c>
      <c r="AH750" s="182" t="n">
        <v>0</v>
      </c>
      <c r="AI750" s="182" t="n">
        <v>3.16</v>
      </c>
      <c r="AJ750" s="182" t="n">
        <v>0</v>
      </c>
      <c r="AK750" s="182" t="n">
        <v>0</v>
      </c>
      <c r="AL750" s="182" t="n">
        <v>0</v>
      </c>
      <c r="AM750" s="182" t="n">
        <v>0.08</v>
      </c>
      <c r="AN750" s="182" t="n">
        <v>0</v>
      </c>
    </row>
    <row r="751">
      <c r="A751" s="155" t="n">
        <v>46085</v>
      </c>
      <c r="B751" s="156" t="inlineStr">
        <is>
          <t>DS</t>
        </is>
      </c>
      <c r="C751" s="156" t="inlineStr">
        <is>
          <t>DT-528</t>
        </is>
      </c>
      <c r="D751" s="156" t="inlineStr">
        <is>
          <t>SKT 105S</t>
        </is>
      </c>
      <c r="E751" s="156" t="inlineStr">
        <is>
          <t>Hauler</t>
        </is>
      </c>
      <c r="F751" s="156" t="inlineStr"/>
      <c r="G751" s="182" t="n">
        <v>0</v>
      </c>
      <c r="H751" s="182" t="n">
        <v>0</v>
      </c>
      <c r="I751" s="182" t="n">
        <v>0</v>
      </c>
      <c r="J751" s="182" t="n">
        <v>0</v>
      </c>
      <c r="K751" s="182" t="n">
        <v>12</v>
      </c>
      <c r="L751" s="182" t="n">
        <v>12</v>
      </c>
      <c r="M751" s="182" t="n">
        <v>0</v>
      </c>
      <c r="N751" s="182" t="n">
        <v>0</v>
      </c>
      <c r="O751" s="183" t="n">
        <v>0</v>
      </c>
      <c r="P751" s="183" t="n">
        <v>0</v>
      </c>
      <c r="Q751" s="184" t="n">
        <v>0</v>
      </c>
      <c r="R751" s="184" t="n">
        <v>0</v>
      </c>
      <c r="S751" s="183" t="n">
        <v>0</v>
      </c>
      <c r="T751" s="183" t="n">
        <v>0</v>
      </c>
      <c r="U751" s="182" t="n">
        <v>0</v>
      </c>
      <c r="V751" s="182" t="n">
        <v>0</v>
      </c>
      <c r="W751" s="182" t="n">
        <v>0</v>
      </c>
      <c r="X751" s="182" t="n">
        <v>1</v>
      </c>
      <c r="Y751" s="182" t="n">
        <v>0</v>
      </c>
      <c r="Z751" s="182" t="n">
        <v>0</v>
      </c>
      <c r="AA751" s="182" t="n">
        <v>0</v>
      </c>
      <c r="AB751" s="182" t="n">
        <v>0</v>
      </c>
      <c r="AC751" s="182" t="n">
        <v>0</v>
      </c>
      <c r="AD751" s="182" t="n">
        <v>0</v>
      </c>
      <c r="AE751" s="182" t="n">
        <v>0</v>
      </c>
      <c r="AF751" s="182" t="n">
        <v>0</v>
      </c>
      <c r="AG751" s="182" t="n">
        <v>0</v>
      </c>
      <c r="AH751" s="182" t="n">
        <v>0</v>
      </c>
      <c r="AI751" s="182" t="n">
        <v>0</v>
      </c>
      <c r="AJ751" s="182" t="n">
        <v>0</v>
      </c>
      <c r="AK751" s="182" t="n">
        <v>10.92</v>
      </c>
      <c r="AL751" s="182" t="n">
        <v>0</v>
      </c>
      <c r="AM751" s="182" t="n">
        <v>0.08</v>
      </c>
      <c r="AN751" s="182" t="n">
        <v>0</v>
      </c>
    </row>
    <row r="752">
      <c r="A752" s="155" t="n">
        <v>46085</v>
      </c>
      <c r="B752" s="156" t="inlineStr">
        <is>
          <t>DS</t>
        </is>
      </c>
      <c r="C752" s="156" t="inlineStr">
        <is>
          <t>DT-529</t>
        </is>
      </c>
      <c r="D752" s="156" t="inlineStr">
        <is>
          <t>SKT 105S</t>
        </is>
      </c>
      <c r="E752" s="156" t="inlineStr">
        <is>
          <t>Hauler</t>
        </is>
      </c>
      <c r="F752" s="156" t="inlineStr">
        <is>
          <t>Hauling OB</t>
        </is>
      </c>
      <c r="G752" s="182" t="n">
        <v>2.94</v>
      </c>
      <c r="H752" s="182" t="n">
        <v>0</v>
      </c>
      <c r="I752" s="182" t="n">
        <v>0</v>
      </c>
      <c r="J752" s="182" t="n">
        <v>0</v>
      </c>
      <c r="K752" s="182" t="n">
        <v>9.06</v>
      </c>
      <c r="L752" s="182" t="n">
        <v>12</v>
      </c>
      <c r="M752" s="182" t="n">
        <v>2.94</v>
      </c>
      <c r="N752" s="182" t="n">
        <v>0</v>
      </c>
      <c r="O752" s="183" t="n">
        <v>12</v>
      </c>
      <c r="P752" s="183" t="n">
        <v>0</v>
      </c>
      <c r="Q752" s="184" t="n">
        <v>244.8</v>
      </c>
      <c r="R752" s="184" t="n">
        <v>0</v>
      </c>
      <c r="S752" s="183" t="n">
        <v>0</v>
      </c>
      <c r="T752" s="183" t="n">
        <v>0</v>
      </c>
      <c r="U752" s="182" t="n">
        <v>1.43</v>
      </c>
      <c r="V752" s="182" t="n">
        <v>2.52</v>
      </c>
      <c r="W752" s="182" t="n">
        <v>0</v>
      </c>
      <c r="X752" s="182" t="n">
        <v>1.01</v>
      </c>
      <c r="Y752" s="182" t="n">
        <v>0</v>
      </c>
      <c r="Z752" s="182" t="n">
        <v>0</v>
      </c>
      <c r="AA752" s="182" t="n">
        <v>0</v>
      </c>
      <c r="AB752" s="182" t="n">
        <v>0</v>
      </c>
      <c r="AC752" s="182" t="n">
        <v>0</v>
      </c>
      <c r="AD752" s="182" t="n">
        <v>0</v>
      </c>
      <c r="AE752" s="182" t="n">
        <v>0</v>
      </c>
      <c r="AF752" s="182" t="n">
        <v>0</v>
      </c>
      <c r="AG752" s="182" t="n">
        <v>0</v>
      </c>
      <c r="AH752" s="182" t="n">
        <v>0</v>
      </c>
      <c r="AI752" s="182" t="n">
        <v>4.03</v>
      </c>
      <c r="AJ752" s="182" t="n">
        <v>0</v>
      </c>
      <c r="AK752" s="182" t="n">
        <v>0</v>
      </c>
      <c r="AL752" s="182" t="n">
        <v>0</v>
      </c>
      <c r="AM752" s="182" t="n">
        <v>0.08</v>
      </c>
      <c r="AN752" s="182" t="n">
        <v>0</v>
      </c>
    </row>
    <row r="753">
      <c r="A753" s="155" t="n">
        <v>46085</v>
      </c>
      <c r="B753" s="156" t="inlineStr">
        <is>
          <t>DS</t>
        </is>
      </c>
      <c r="C753" s="156" t="inlineStr">
        <is>
          <t>DT-520</t>
        </is>
      </c>
      <c r="D753" s="156" t="inlineStr">
        <is>
          <t>SKT 105S</t>
        </is>
      </c>
      <c r="E753" s="156" t="inlineStr">
        <is>
          <t>Hauler</t>
        </is>
      </c>
      <c r="F753" s="156" t="inlineStr">
        <is>
          <t>Hauling OB</t>
        </is>
      </c>
      <c r="G753" s="182" t="n">
        <v>3.03</v>
      </c>
      <c r="H753" s="182" t="n">
        <v>0</v>
      </c>
      <c r="I753" s="182" t="n">
        <v>0</v>
      </c>
      <c r="J753" s="182" t="n">
        <v>0</v>
      </c>
      <c r="K753" s="182" t="n">
        <v>8.970000000000001</v>
      </c>
      <c r="L753" s="182" t="n">
        <v>12</v>
      </c>
      <c r="M753" s="182" t="n">
        <v>3.03</v>
      </c>
      <c r="N753" s="182" t="n">
        <v>0</v>
      </c>
      <c r="O753" s="183" t="n">
        <v>8</v>
      </c>
      <c r="P753" s="183" t="n">
        <v>0</v>
      </c>
      <c r="Q753" s="184" t="n">
        <v>163.2</v>
      </c>
      <c r="R753" s="184" t="n">
        <v>0</v>
      </c>
      <c r="S753" s="183" t="n">
        <v>0</v>
      </c>
      <c r="T753" s="183" t="n">
        <v>0</v>
      </c>
      <c r="U753" s="182" t="n">
        <v>1.37</v>
      </c>
      <c r="V753" s="182" t="n">
        <v>0</v>
      </c>
      <c r="W753" s="182" t="n">
        <v>0</v>
      </c>
      <c r="X753" s="182" t="n">
        <v>0.96</v>
      </c>
      <c r="Y753" s="182" t="n">
        <v>0</v>
      </c>
      <c r="Z753" s="182" t="n">
        <v>0</v>
      </c>
      <c r="AA753" s="182" t="n">
        <v>0</v>
      </c>
      <c r="AB753" s="182" t="n">
        <v>0</v>
      </c>
      <c r="AC753" s="182" t="n">
        <v>0</v>
      </c>
      <c r="AD753" s="182" t="n">
        <v>0</v>
      </c>
      <c r="AE753" s="182" t="n">
        <v>0</v>
      </c>
      <c r="AF753" s="182" t="n">
        <v>0</v>
      </c>
      <c r="AG753" s="182" t="n">
        <v>0</v>
      </c>
      <c r="AH753" s="182" t="n">
        <v>0</v>
      </c>
      <c r="AI753" s="182" t="n">
        <v>6.56</v>
      </c>
      <c r="AJ753" s="182" t="n">
        <v>0</v>
      </c>
      <c r="AK753" s="182" t="n">
        <v>0</v>
      </c>
      <c r="AL753" s="182" t="n">
        <v>0</v>
      </c>
      <c r="AM753" s="182" t="n">
        <v>0.08</v>
      </c>
      <c r="AN753" s="182" t="n">
        <v>0</v>
      </c>
    </row>
    <row r="754">
      <c r="A754" s="155" t="n">
        <v>46085</v>
      </c>
      <c r="B754" s="156" t="inlineStr">
        <is>
          <t>DS</t>
        </is>
      </c>
      <c r="C754" s="156" t="inlineStr">
        <is>
          <t>DT-511</t>
        </is>
      </c>
      <c r="D754" s="156" t="inlineStr">
        <is>
          <t>SKT 105S</t>
        </is>
      </c>
      <c r="E754" s="156" t="inlineStr">
        <is>
          <t>Hauler</t>
        </is>
      </c>
      <c r="F754" s="156" t="inlineStr"/>
      <c r="G754" s="182" t="n">
        <v>0</v>
      </c>
      <c r="H754" s="182" t="n">
        <v>0</v>
      </c>
      <c r="I754" s="182" t="n">
        <v>12</v>
      </c>
      <c r="J754" s="182" t="n">
        <v>12</v>
      </c>
      <c r="K754" s="182" t="n">
        <v>0</v>
      </c>
      <c r="L754" s="182" t="n">
        <v>12</v>
      </c>
      <c r="M754" s="182" t="n">
        <v>0</v>
      </c>
      <c r="N754" s="182" t="n">
        <v>0</v>
      </c>
      <c r="O754" s="183" t="n">
        <v>0</v>
      </c>
      <c r="P754" s="183" t="n">
        <v>0</v>
      </c>
      <c r="Q754" s="184" t="n">
        <v>0</v>
      </c>
      <c r="R754" s="184" t="n">
        <v>0</v>
      </c>
      <c r="S754" s="183" t="n">
        <v>0</v>
      </c>
      <c r="T754" s="183" t="n">
        <v>0</v>
      </c>
      <c r="U754" s="182" t="n">
        <v>0</v>
      </c>
      <c r="V754" s="182" t="n">
        <v>0</v>
      </c>
      <c r="W754" s="182" t="n">
        <v>0</v>
      </c>
      <c r="X754" s="182" t="n">
        <v>0</v>
      </c>
      <c r="Y754" s="182" t="n">
        <v>0</v>
      </c>
      <c r="Z754" s="182" t="n">
        <v>0</v>
      </c>
      <c r="AA754" s="182" t="n">
        <v>0</v>
      </c>
      <c r="AB754" s="182" t="n">
        <v>0</v>
      </c>
      <c r="AC754" s="182" t="n">
        <v>0</v>
      </c>
      <c r="AD754" s="182" t="n">
        <v>0</v>
      </c>
      <c r="AE754" s="182" t="n">
        <v>0</v>
      </c>
      <c r="AF754" s="182" t="n">
        <v>0</v>
      </c>
      <c r="AG754" s="182" t="n">
        <v>0</v>
      </c>
      <c r="AH754" s="182" t="n">
        <v>0</v>
      </c>
      <c r="AI754" s="182" t="n">
        <v>0</v>
      </c>
      <c r="AJ754" s="182" t="n">
        <v>0</v>
      </c>
      <c r="AK754" s="182" t="n">
        <v>0</v>
      </c>
      <c r="AL754" s="182" t="n">
        <v>0</v>
      </c>
      <c r="AM754" s="182" t="n">
        <v>0</v>
      </c>
      <c r="AN754" s="182" t="n">
        <v>0</v>
      </c>
    </row>
    <row r="755">
      <c r="A755" s="155" t="n">
        <v>46085</v>
      </c>
      <c r="B755" s="156" t="inlineStr">
        <is>
          <t>DS</t>
        </is>
      </c>
      <c r="C755" s="156" t="inlineStr">
        <is>
          <t>DT-509</t>
        </is>
      </c>
      <c r="D755" s="156" t="inlineStr">
        <is>
          <t>SKT 105S</t>
        </is>
      </c>
      <c r="E755" s="156" t="inlineStr">
        <is>
          <t>Hauler</t>
        </is>
      </c>
      <c r="F755" s="156" t="inlineStr"/>
      <c r="G755" s="182" t="n">
        <v>0</v>
      </c>
      <c r="H755" s="182" t="n">
        <v>0</v>
      </c>
      <c r="I755" s="182" t="n">
        <v>12</v>
      </c>
      <c r="J755" s="182" t="n">
        <v>12</v>
      </c>
      <c r="K755" s="182" t="n">
        <v>0</v>
      </c>
      <c r="L755" s="182" t="n">
        <v>12</v>
      </c>
      <c r="M755" s="182" t="n">
        <v>0</v>
      </c>
      <c r="N755" s="182" t="n">
        <v>0</v>
      </c>
      <c r="O755" s="183" t="n">
        <v>0</v>
      </c>
      <c r="P755" s="183" t="n">
        <v>0</v>
      </c>
      <c r="Q755" s="184" t="n">
        <v>0</v>
      </c>
      <c r="R755" s="184" t="n">
        <v>0</v>
      </c>
      <c r="S755" s="183" t="n">
        <v>0</v>
      </c>
      <c r="T755" s="183" t="n">
        <v>0</v>
      </c>
      <c r="U755" s="182" t="n">
        <v>0</v>
      </c>
      <c r="V755" s="182" t="n">
        <v>0</v>
      </c>
      <c r="W755" s="182" t="n">
        <v>0</v>
      </c>
      <c r="X755" s="182" t="n">
        <v>0</v>
      </c>
      <c r="Y755" s="182" t="n">
        <v>0</v>
      </c>
      <c r="Z755" s="182" t="n">
        <v>0</v>
      </c>
      <c r="AA755" s="182" t="n">
        <v>0</v>
      </c>
      <c r="AB755" s="182" t="n">
        <v>0</v>
      </c>
      <c r="AC755" s="182" t="n">
        <v>0</v>
      </c>
      <c r="AD755" s="182" t="n">
        <v>0</v>
      </c>
      <c r="AE755" s="182" t="n">
        <v>0</v>
      </c>
      <c r="AF755" s="182" t="n">
        <v>0</v>
      </c>
      <c r="AG755" s="182" t="n">
        <v>0</v>
      </c>
      <c r="AH755" s="182" t="n">
        <v>0</v>
      </c>
      <c r="AI755" s="182" t="n">
        <v>0</v>
      </c>
      <c r="AJ755" s="182" t="n">
        <v>0</v>
      </c>
      <c r="AK755" s="182" t="n">
        <v>0</v>
      </c>
      <c r="AL755" s="182" t="n">
        <v>0</v>
      </c>
      <c r="AM755" s="182" t="n">
        <v>0</v>
      </c>
      <c r="AN755" s="182" t="n">
        <v>0</v>
      </c>
    </row>
    <row r="756">
      <c r="A756" s="155" t="n">
        <v>46085</v>
      </c>
      <c r="B756" s="156" t="inlineStr">
        <is>
          <t>DS</t>
        </is>
      </c>
      <c r="C756" s="156" t="inlineStr">
        <is>
          <t>DT-526</t>
        </is>
      </c>
      <c r="D756" s="156" t="inlineStr">
        <is>
          <t>SKT 105S</t>
        </is>
      </c>
      <c r="E756" s="156" t="inlineStr">
        <is>
          <t>Hauler</t>
        </is>
      </c>
      <c r="F756" s="156" t="inlineStr">
        <is>
          <t>Hauling OB</t>
        </is>
      </c>
      <c r="G756" s="182" t="n">
        <v>3.35</v>
      </c>
      <c r="H756" s="182" t="n">
        <v>0</v>
      </c>
      <c r="I756" s="182" t="n">
        <v>0</v>
      </c>
      <c r="J756" s="182" t="n">
        <v>0</v>
      </c>
      <c r="K756" s="182" t="n">
        <v>8.65</v>
      </c>
      <c r="L756" s="182" t="n">
        <v>12</v>
      </c>
      <c r="M756" s="182" t="n">
        <v>3.35</v>
      </c>
      <c r="N756" s="182" t="n">
        <v>0</v>
      </c>
      <c r="O756" s="183" t="n">
        <v>9</v>
      </c>
      <c r="P756" s="183" t="n">
        <v>0</v>
      </c>
      <c r="Q756" s="184" t="n">
        <v>183.6</v>
      </c>
      <c r="R756" s="184" t="n">
        <v>0</v>
      </c>
      <c r="S756" s="183" t="n">
        <v>0</v>
      </c>
      <c r="T756" s="183" t="n">
        <v>0</v>
      </c>
      <c r="U756" s="182" t="n">
        <v>1.36</v>
      </c>
      <c r="V756" s="182" t="n">
        <v>1.68</v>
      </c>
      <c r="W756" s="182" t="n">
        <v>0</v>
      </c>
      <c r="X756" s="182" t="n">
        <v>0.96</v>
      </c>
      <c r="Y756" s="182" t="n">
        <v>0</v>
      </c>
      <c r="Z756" s="182" t="n">
        <v>0</v>
      </c>
      <c r="AA756" s="182" t="n">
        <v>0</v>
      </c>
      <c r="AB756" s="182" t="n">
        <v>0</v>
      </c>
      <c r="AC756" s="182" t="n">
        <v>0</v>
      </c>
      <c r="AD756" s="182" t="n">
        <v>0</v>
      </c>
      <c r="AE756" s="182" t="n">
        <v>0</v>
      </c>
      <c r="AF756" s="182" t="n">
        <v>0</v>
      </c>
      <c r="AG756" s="182" t="n">
        <v>0</v>
      </c>
      <c r="AH756" s="182" t="n">
        <v>0</v>
      </c>
      <c r="AI756" s="182" t="n">
        <v>4.57</v>
      </c>
      <c r="AJ756" s="182" t="n">
        <v>0</v>
      </c>
      <c r="AK756" s="182" t="n">
        <v>0</v>
      </c>
      <c r="AL756" s="182" t="n">
        <v>0</v>
      </c>
      <c r="AM756" s="182" t="n">
        <v>0.08</v>
      </c>
      <c r="AN756" s="182" t="n">
        <v>0</v>
      </c>
    </row>
    <row r="757">
      <c r="A757" s="155" t="n">
        <v>46085</v>
      </c>
      <c r="B757" s="156" t="inlineStr">
        <is>
          <t>DS</t>
        </is>
      </c>
      <c r="C757" s="156" t="inlineStr">
        <is>
          <t>DT-508</t>
        </is>
      </c>
      <c r="D757" s="156" t="inlineStr">
        <is>
          <t>SKT 105S</t>
        </is>
      </c>
      <c r="E757" s="156" t="inlineStr">
        <is>
          <t>Hauler</t>
        </is>
      </c>
      <c r="F757" s="156" t="inlineStr">
        <is>
          <t>Hauling OB</t>
        </is>
      </c>
      <c r="G757" s="182" t="n">
        <v>5.89</v>
      </c>
      <c r="H757" s="182" t="n">
        <v>6</v>
      </c>
      <c r="I757" s="182" t="n">
        <v>0</v>
      </c>
      <c r="J757" s="182" t="n">
        <v>6</v>
      </c>
      <c r="K757" s="182" t="n">
        <v>0.11</v>
      </c>
      <c r="L757" s="182" t="n">
        <v>12</v>
      </c>
      <c r="M757" s="182" t="n">
        <v>5.89</v>
      </c>
      <c r="N757" s="182" t="n">
        <v>0</v>
      </c>
      <c r="O757" s="183" t="n">
        <v>18</v>
      </c>
      <c r="P757" s="183" t="n">
        <v>0</v>
      </c>
      <c r="Q757" s="184" t="n">
        <v>367.2</v>
      </c>
      <c r="R757" s="184" t="n">
        <v>0</v>
      </c>
      <c r="S757" s="183" t="n">
        <v>0</v>
      </c>
      <c r="T757" s="183" t="n">
        <v>0</v>
      </c>
      <c r="U757" s="182" t="n">
        <v>0</v>
      </c>
      <c r="V757" s="182" t="n">
        <v>0</v>
      </c>
      <c r="W757" s="182" t="n">
        <v>0</v>
      </c>
      <c r="X757" s="182" t="n">
        <v>0.02</v>
      </c>
      <c r="Y757" s="182" t="n">
        <v>0</v>
      </c>
      <c r="Z757" s="182" t="n">
        <v>0</v>
      </c>
      <c r="AA757" s="182" t="n">
        <v>0</v>
      </c>
      <c r="AB757" s="182" t="n">
        <v>0</v>
      </c>
      <c r="AC757" s="182" t="n">
        <v>0</v>
      </c>
      <c r="AD757" s="182" t="n">
        <v>0</v>
      </c>
      <c r="AE757" s="182" t="n">
        <v>0</v>
      </c>
      <c r="AF757" s="182" t="n">
        <v>0</v>
      </c>
      <c r="AG757" s="182" t="n">
        <v>0</v>
      </c>
      <c r="AH757" s="182" t="n">
        <v>0</v>
      </c>
      <c r="AI757" s="182" t="n">
        <v>0</v>
      </c>
      <c r="AJ757" s="182" t="n">
        <v>0</v>
      </c>
      <c r="AK757" s="182" t="n">
        <v>0</v>
      </c>
      <c r="AL757" s="182" t="n">
        <v>0</v>
      </c>
      <c r="AM757" s="182" t="n">
        <v>0.09</v>
      </c>
      <c r="AN757" s="182" t="n">
        <v>0</v>
      </c>
    </row>
    <row r="758">
      <c r="A758" s="155" t="n">
        <v>46085</v>
      </c>
      <c r="B758" s="156" t="inlineStr">
        <is>
          <t>DS</t>
        </is>
      </c>
      <c r="C758" s="156" t="inlineStr">
        <is>
          <t>DT-515</t>
        </is>
      </c>
      <c r="D758" s="156" t="inlineStr">
        <is>
          <t>SKT 105S</t>
        </is>
      </c>
      <c r="E758" s="156" t="inlineStr">
        <is>
          <t>Hauler</t>
        </is>
      </c>
      <c r="F758" s="156" t="inlineStr">
        <is>
          <t>Hauling OB</t>
        </is>
      </c>
      <c r="G758" s="182" t="n">
        <v>3.18</v>
      </c>
      <c r="H758" s="182" t="n">
        <v>0</v>
      </c>
      <c r="I758" s="182" t="n">
        <v>0</v>
      </c>
      <c r="J758" s="182" t="n">
        <v>0</v>
      </c>
      <c r="K758" s="182" t="n">
        <v>8.82</v>
      </c>
      <c r="L758" s="182" t="n">
        <v>12</v>
      </c>
      <c r="M758" s="182" t="n">
        <v>3.18</v>
      </c>
      <c r="N758" s="182" t="n">
        <v>0</v>
      </c>
      <c r="O758" s="183" t="n">
        <v>6</v>
      </c>
      <c r="P758" s="183" t="n">
        <v>0</v>
      </c>
      <c r="Q758" s="184" t="n">
        <v>122.4</v>
      </c>
      <c r="R758" s="184" t="n">
        <v>0</v>
      </c>
      <c r="S758" s="183" t="n">
        <v>0</v>
      </c>
      <c r="T758" s="183" t="n">
        <v>0</v>
      </c>
      <c r="U758" s="182" t="n">
        <v>1.41</v>
      </c>
      <c r="V758" s="182" t="n">
        <v>0</v>
      </c>
      <c r="W758" s="182" t="n">
        <v>0</v>
      </c>
      <c r="X758" s="182" t="n">
        <v>0.99</v>
      </c>
      <c r="Y758" s="182" t="n">
        <v>0</v>
      </c>
      <c r="Z758" s="182" t="n">
        <v>0</v>
      </c>
      <c r="AA758" s="182" t="n">
        <v>0</v>
      </c>
      <c r="AB758" s="182" t="n">
        <v>0</v>
      </c>
      <c r="AC758" s="182" t="n">
        <v>0</v>
      </c>
      <c r="AD758" s="182" t="n">
        <v>0</v>
      </c>
      <c r="AE758" s="182" t="n">
        <v>0</v>
      </c>
      <c r="AF758" s="182" t="n">
        <v>0</v>
      </c>
      <c r="AG758" s="182" t="n">
        <v>0</v>
      </c>
      <c r="AH758" s="182" t="n">
        <v>0</v>
      </c>
      <c r="AI758" s="182" t="n">
        <v>6.34</v>
      </c>
      <c r="AJ758" s="182" t="n">
        <v>0</v>
      </c>
      <c r="AK758" s="182" t="n">
        <v>0</v>
      </c>
      <c r="AL758" s="182" t="n">
        <v>0</v>
      </c>
      <c r="AM758" s="182" t="n">
        <v>0.08</v>
      </c>
      <c r="AN758" s="182" t="n">
        <v>0</v>
      </c>
    </row>
    <row r="759">
      <c r="A759" s="155" t="n">
        <v>46085</v>
      </c>
      <c r="B759" s="156" t="inlineStr">
        <is>
          <t>DS</t>
        </is>
      </c>
      <c r="C759" s="156" t="inlineStr">
        <is>
          <t>DT-524</t>
        </is>
      </c>
      <c r="D759" s="156" t="inlineStr">
        <is>
          <t>SKT 105S</t>
        </is>
      </c>
      <c r="E759" s="156" t="inlineStr">
        <is>
          <t>Hauler</t>
        </is>
      </c>
      <c r="F759" s="156" t="inlineStr">
        <is>
          <t>Hauling OB</t>
        </is>
      </c>
      <c r="G759" s="182" t="n">
        <v>8.4</v>
      </c>
      <c r="H759" s="182" t="n">
        <v>0</v>
      </c>
      <c r="I759" s="182" t="n">
        <v>0</v>
      </c>
      <c r="J759" s="182" t="n">
        <v>0</v>
      </c>
      <c r="K759" s="182" t="n">
        <v>3.6</v>
      </c>
      <c r="L759" s="182" t="n">
        <v>12</v>
      </c>
      <c r="M759" s="182" t="n">
        <v>8.4</v>
      </c>
      <c r="N759" s="182" t="n">
        <v>0</v>
      </c>
      <c r="O759" s="183" t="n">
        <v>24</v>
      </c>
      <c r="P759" s="183" t="n">
        <v>0</v>
      </c>
      <c r="Q759" s="184" t="n">
        <v>489.6</v>
      </c>
      <c r="R759" s="184" t="n">
        <v>0</v>
      </c>
      <c r="S759" s="183" t="n">
        <v>0</v>
      </c>
      <c r="T759" s="183" t="n">
        <v>0</v>
      </c>
      <c r="U759" s="182" t="n">
        <v>1.46</v>
      </c>
      <c r="V759" s="182" t="n">
        <v>1.03</v>
      </c>
      <c r="W759" s="182" t="n">
        <v>0</v>
      </c>
      <c r="X759" s="182" t="n">
        <v>1.03</v>
      </c>
      <c r="Y759" s="182" t="n">
        <v>0</v>
      </c>
      <c r="Z759" s="182" t="n">
        <v>0</v>
      </c>
      <c r="AA759" s="182" t="n">
        <v>0</v>
      </c>
      <c r="AB759" s="182" t="n">
        <v>0</v>
      </c>
      <c r="AC759" s="182" t="n">
        <v>0</v>
      </c>
      <c r="AD759" s="182" t="n">
        <v>0</v>
      </c>
      <c r="AE759" s="182" t="n">
        <v>0</v>
      </c>
      <c r="AF759" s="182" t="n">
        <v>0</v>
      </c>
      <c r="AG759" s="182" t="n">
        <v>0</v>
      </c>
      <c r="AH759" s="182" t="n">
        <v>0</v>
      </c>
      <c r="AI759" s="182" t="n">
        <v>0</v>
      </c>
      <c r="AJ759" s="182" t="n">
        <v>0</v>
      </c>
      <c r="AK759" s="182" t="n">
        <v>0</v>
      </c>
      <c r="AL759" s="182" t="n">
        <v>0</v>
      </c>
      <c r="AM759" s="182" t="n">
        <v>0.08</v>
      </c>
      <c r="AN759" s="182" t="n">
        <v>0</v>
      </c>
    </row>
    <row r="760">
      <c r="A760" s="155" t="n">
        <v>46085</v>
      </c>
      <c r="B760" s="156" t="inlineStr">
        <is>
          <t>DS</t>
        </is>
      </c>
      <c r="C760" s="156" t="inlineStr">
        <is>
          <t>DT-341</t>
        </is>
      </c>
      <c r="D760" s="156" t="inlineStr">
        <is>
          <t>SYZ324C-8W</t>
        </is>
      </c>
      <c r="E760" s="156" t="inlineStr">
        <is>
          <t>Hauler</t>
        </is>
      </c>
      <c r="F760" s="156" t="inlineStr"/>
      <c r="G760" s="182" t="n">
        <v>0</v>
      </c>
      <c r="H760" s="182" t="n">
        <v>0</v>
      </c>
      <c r="I760" s="182" t="n">
        <v>0</v>
      </c>
      <c r="J760" s="182" t="n">
        <v>0</v>
      </c>
      <c r="K760" s="182" t="n">
        <v>12</v>
      </c>
      <c r="L760" s="182" t="n">
        <v>12</v>
      </c>
      <c r="M760" s="182" t="n">
        <v>0</v>
      </c>
      <c r="N760" s="182" t="n">
        <v>0</v>
      </c>
      <c r="O760" s="183" t="n">
        <v>0</v>
      </c>
      <c r="P760" s="183" t="n">
        <v>0</v>
      </c>
      <c r="Q760" s="184" t="n">
        <v>0</v>
      </c>
      <c r="R760" s="184" t="n">
        <v>0</v>
      </c>
      <c r="S760" s="183" t="n">
        <v>0</v>
      </c>
      <c r="T760" s="183" t="n">
        <v>0</v>
      </c>
      <c r="U760" s="182" t="n">
        <v>0</v>
      </c>
      <c r="V760" s="182" t="n">
        <v>0</v>
      </c>
      <c r="W760" s="182" t="n">
        <v>0</v>
      </c>
      <c r="X760" s="182" t="n">
        <v>1</v>
      </c>
      <c r="Y760" s="182" t="n">
        <v>0</v>
      </c>
      <c r="Z760" s="182" t="n">
        <v>0</v>
      </c>
      <c r="AA760" s="182" t="n">
        <v>0</v>
      </c>
      <c r="AB760" s="182" t="n">
        <v>0</v>
      </c>
      <c r="AC760" s="182" t="n">
        <v>0</v>
      </c>
      <c r="AD760" s="182" t="n">
        <v>0</v>
      </c>
      <c r="AE760" s="182" t="n">
        <v>0</v>
      </c>
      <c r="AF760" s="182" t="n">
        <v>0</v>
      </c>
      <c r="AG760" s="182" t="n">
        <v>0</v>
      </c>
      <c r="AH760" s="182" t="n">
        <v>0</v>
      </c>
      <c r="AI760" s="182" t="n">
        <v>0</v>
      </c>
      <c r="AJ760" s="182" t="n">
        <v>0</v>
      </c>
      <c r="AK760" s="182" t="n">
        <v>10.92</v>
      </c>
      <c r="AL760" s="182" t="n">
        <v>0</v>
      </c>
      <c r="AM760" s="182" t="n">
        <v>0.08</v>
      </c>
      <c r="AN760" s="182" t="n">
        <v>0</v>
      </c>
    </row>
    <row r="761">
      <c r="A761" s="155" t="n">
        <v>46085</v>
      </c>
      <c r="B761" s="156" t="inlineStr">
        <is>
          <t>DS</t>
        </is>
      </c>
      <c r="C761" s="156" t="inlineStr">
        <is>
          <t>DT-342</t>
        </is>
      </c>
      <c r="D761" s="156" t="inlineStr">
        <is>
          <t>SYZ324C-8W</t>
        </is>
      </c>
      <c r="E761" s="156" t="inlineStr">
        <is>
          <t>Hauler</t>
        </is>
      </c>
      <c r="F761" s="156" t="inlineStr"/>
      <c r="G761" s="182" t="n">
        <v>0</v>
      </c>
      <c r="H761" s="182" t="n">
        <v>0</v>
      </c>
      <c r="I761" s="182" t="n">
        <v>0</v>
      </c>
      <c r="J761" s="182" t="n">
        <v>0</v>
      </c>
      <c r="K761" s="182" t="n">
        <v>12</v>
      </c>
      <c r="L761" s="182" t="n">
        <v>12</v>
      </c>
      <c r="M761" s="182" t="n">
        <v>0</v>
      </c>
      <c r="N761" s="182" t="n">
        <v>0</v>
      </c>
      <c r="O761" s="183" t="n">
        <v>0</v>
      </c>
      <c r="P761" s="183" t="n">
        <v>0</v>
      </c>
      <c r="Q761" s="184" t="n">
        <v>0</v>
      </c>
      <c r="R761" s="184" t="n">
        <v>0</v>
      </c>
      <c r="S761" s="183" t="n">
        <v>0</v>
      </c>
      <c r="T761" s="183" t="n">
        <v>0</v>
      </c>
      <c r="U761" s="182" t="n">
        <v>0</v>
      </c>
      <c r="V761" s="182" t="n">
        <v>0</v>
      </c>
      <c r="W761" s="182" t="n">
        <v>0</v>
      </c>
      <c r="X761" s="182" t="n">
        <v>1</v>
      </c>
      <c r="Y761" s="182" t="n">
        <v>0</v>
      </c>
      <c r="Z761" s="182" t="n">
        <v>0</v>
      </c>
      <c r="AA761" s="182" t="n">
        <v>0</v>
      </c>
      <c r="AB761" s="182" t="n">
        <v>0</v>
      </c>
      <c r="AC761" s="182" t="n">
        <v>0</v>
      </c>
      <c r="AD761" s="182" t="n">
        <v>0</v>
      </c>
      <c r="AE761" s="182" t="n">
        <v>0</v>
      </c>
      <c r="AF761" s="182" t="n">
        <v>0</v>
      </c>
      <c r="AG761" s="182" t="n">
        <v>0</v>
      </c>
      <c r="AH761" s="182" t="n">
        <v>0</v>
      </c>
      <c r="AI761" s="182" t="n">
        <v>0</v>
      </c>
      <c r="AJ761" s="182" t="n">
        <v>0</v>
      </c>
      <c r="AK761" s="182" t="n">
        <v>10.92</v>
      </c>
      <c r="AL761" s="182" t="n">
        <v>0</v>
      </c>
      <c r="AM761" s="182" t="n">
        <v>0.08</v>
      </c>
      <c r="AN761" s="182" t="n">
        <v>0</v>
      </c>
    </row>
    <row r="762">
      <c r="A762" s="155" t="n">
        <v>46085</v>
      </c>
      <c r="B762" s="156" t="inlineStr">
        <is>
          <t>DS</t>
        </is>
      </c>
      <c r="C762" s="156" t="inlineStr">
        <is>
          <t>HD-903</t>
        </is>
      </c>
      <c r="D762" s="156" t="inlineStr">
        <is>
          <t>SRT 95C</t>
        </is>
      </c>
      <c r="E762" s="156" t="inlineStr">
        <is>
          <t>Hauler</t>
        </is>
      </c>
      <c r="F762" s="156" t="inlineStr">
        <is>
          <t>Hauling OB</t>
        </is>
      </c>
      <c r="G762" s="182" t="n">
        <v>3.58</v>
      </c>
      <c r="H762" s="182" t="n">
        <v>0</v>
      </c>
      <c r="I762" s="182" t="n">
        <v>0</v>
      </c>
      <c r="J762" s="182" t="n">
        <v>0</v>
      </c>
      <c r="K762" s="182" t="n">
        <v>8.42</v>
      </c>
      <c r="L762" s="182" t="n">
        <v>12</v>
      </c>
      <c r="M762" s="182" t="n">
        <v>3.58</v>
      </c>
      <c r="N762" s="182" t="n">
        <v>0</v>
      </c>
      <c r="O762" s="183" t="n">
        <v>10</v>
      </c>
      <c r="P762" s="183" t="n">
        <v>0</v>
      </c>
      <c r="Q762" s="184" t="n">
        <v>357</v>
      </c>
      <c r="R762" s="184" t="n">
        <v>0</v>
      </c>
      <c r="S762" s="183" t="n">
        <v>0</v>
      </c>
      <c r="T762" s="183" t="n">
        <v>0</v>
      </c>
      <c r="U762" s="182" t="n">
        <v>1.41</v>
      </c>
      <c r="V762" s="182" t="n">
        <v>2.48</v>
      </c>
      <c r="W762" s="182" t="n">
        <v>0</v>
      </c>
      <c r="X762" s="182" t="n">
        <v>0.99</v>
      </c>
      <c r="Y762" s="182" t="n">
        <v>0</v>
      </c>
      <c r="Z762" s="182" t="n">
        <v>0</v>
      </c>
      <c r="AA762" s="182" t="n">
        <v>0</v>
      </c>
      <c r="AB762" s="182" t="n">
        <v>0</v>
      </c>
      <c r="AC762" s="182" t="n">
        <v>0</v>
      </c>
      <c r="AD762" s="182" t="n">
        <v>0</v>
      </c>
      <c r="AE762" s="182" t="n">
        <v>0</v>
      </c>
      <c r="AF762" s="182" t="n">
        <v>0</v>
      </c>
      <c r="AG762" s="182" t="n">
        <v>0</v>
      </c>
      <c r="AH762" s="182" t="n">
        <v>0</v>
      </c>
      <c r="AI762" s="182" t="n">
        <v>3.47</v>
      </c>
      <c r="AJ762" s="182" t="n">
        <v>0</v>
      </c>
      <c r="AK762" s="182" t="n">
        <v>0</v>
      </c>
      <c r="AL762" s="182" t="n">
        <v>0</v>
      </c>
      <c r="AM762" s="182" t="n">
        <v>0.08</v>
      </c>
      <c r="AN762" s="182" t="n">
        <v>0</v>
      </c>
    </row>
    <row r="763">
      <c r="A763" s="155" t="n">
        <v>46085</v>
      </c>
      <c r="B763" s="156" t="inlineStr">
        <is>
          <t>DS</t>
        </is>
      </c>
      <c r="C763" s="156" t="inlineStr">
        <is>
          <t>HD-905</t>
        </is>
      </c>
      <c r="D763" s="156" t="inlineStr">
        <is>
          <t>SRT 95C</t>
        </is>
      </c>
      <c r="E763" s="156" t="inlineStr">
        <is>
          <t>Hauler</t>
        </is>
      </c>
      <c r="F763" s="156" t="inlineStr"/>
      <c r="G763" s="182" t="n">
        <v>0</v>
      </c>
      <c r="H763" s="182" t="n">
        <v>0</v>
      </c>
      <c r="I763" s="182" t="n">
        <v>12</v>
      </c>
      <c r="J763" s="182" t="n">
        <v>12</v>
      </c>
      <c r="K763" s="182" t="n">
        <v>0</v>
      </c>
      <c r="L763" s="182" t="n">
        <v>12</v>
      </c>
      <c r="M763" s="182" t="n">
        <v>0</v>
      </c>
      <c r="N763" s="182" t="n">
        <v>0</v>
      </c>
      <c r="O763" s="183" t="n">
        <v>0</v>
      </c>
      <c r="P763" s="183" t="n">
        <v>0</v>
      </c>
      <c r="Q763" s="184" t="n">
        <v>0</v>
      </c>
      <c r="R763" s="184" t="n">
        <v>0</v>
      </c>
      <c r="S763" s="183" t="n">
        <v>0</v>
      </c>
      <c r="T763" s="183" t="n">
        <v>0</v>
      </c>
      <c r="U763" s="182" t="n">
        <v>0</v>
      </c>
      <c r="V763" s="182" t="n">
        <v>0</v>
      </c>
      <c r="W763" s="182" t="n">
        <v>0</v>
      </c>
      <c r="X763" s="182" t="n">
        <v>0</v>
      </c>
      <c r="Y763" s="182" t="n">
        <v>0</v>
      </c>
      <c r="Z763" s="182" t="n">
        <v>0</v>
      </c>
      <c r="AA763" s="182" t="n">
        <v>0</v>
      </c>
      <c r="AB763" s="182" t="n">
        <v>0</v>
      </c>
      <c r="AC763" s="182" t="n">
        <v>0</v>
      </c>
      <c r="AD763" s="182" t="n">
        <v>0</v>
      </c>
      <c r="AE763" s="182" t="n">
        <v>0</v>
      </c>
      <c r="AF763" s="182" t="n">
        <v>0</v>
      </c>
      <c r="AG763" s="182" t="n">
        <v>0</v>
      </c>
      <c r="AH763" s="182" t="n">
        <v>0</v>
      </c>
      <c r="AI763" s="182" t="n">
        <v>0</v>
      </c>
      <c r="AJ763" s="182" t="n">
        <v>0</v>
      </c>
      <c r="AK763" s="182" t="n">
        <v>0</v>
      </c>
      <c r="AL763" s="182" t="n">
        <v>0</v>
      </c>
      <c r="AM763" s="182" t="n">
        <v>0</v>
      </c>
      <c r="AN763" s="182" t="n">
        <v>0</v>
      </c>
    </row>
    <row r="764">
      <c r="A764" s="155" t="n">
        <v>46085</v>
      </c>
      <c r="B764" s="156" t="inlineStr">
        <is>
          <t>DS</t>
        </is>
      </c>
      <c r="C764" s="156" t="inlineStr">
        <is>
          <t>HD-901</t>
        </is>
      </c>
      <c r="D764" s="156" t="inlineStr">
        <is>
          <t>SRT 95C</t>
        </is>
      </c>
      <c r="E764" s="156" t="inlineStr">
        <is>
          <t>Hauler</t>
        </is>
      </c>
      <c r="F764" s="156" t="inlineStr">
        <is>
          <t>Hauling OB</t>
        </is>
      </c>
      <c r="G764" s="182" t="n">
        <v>3.96</v>
      </c>
      <c r="H764" s="182" t="n">
        <v>0</v>
      </c>
      <c r="I764" s="182" t="n">
        <v>0.18</v>
      </c>
      <c r="J764" s="182" t="n">
        <v>0.18</v>
      </c>
      <c r="K764" s="182" t="n">
        <v>7.86</v>
      </c>
      <c r="L764" s="182" t="n">
        <v>12</v>
      </c>
      <c r="M764" s="182" t="n">
        <v>3.96</v>
      </c>
      <c r="N764" s="182" t="n">
        <v>0</v>
      </c>
      <c r="O764" s="183" t="n">
        <v>11</v>
      </c>
      <c r="P764" s="183" t="n">
        <v>0</v>
      </c>
      <c r="Q764" s="184" t="n">
        <v>392.7</v>
      </c>
      <c r="R764" s="184" t="n">
        <v>0</v>
      </c>
      <c r="S764" s="183" t="n">
        <v>0</v>
      </c>
      <c r="T764" s="183" t="n">
        <v>0</v>
      </c>
      <c r="U764" s="182" t="n">
        <v>1.43</v>
      </c>
      <c r="V764" s="182" t="n">
        <v>2.51</v>
      </c>
      <c r="W764" s="182" t="n">
        <v>0</v>
      </c>
      <c r="X764" s="182" t="n">
        <v>1.01</v>
      </c>
      <c r="Y764" s="182" t="n">
        <v>0</v>
      </c>
      <c r="Z764" s="182" t="n">
        <v>0</v>
      </c>
      <c r="AA764" s="182" t="n">
        <v>0</v>
      </c>
      <c r="AB764" s="182" t="n">
        <v>0</v>
      </c>
      <c r="AC764" s="182" t="n">
        <v>0</v>
      </c>
      <c r="AD764" s="182" t="n">
        <v>0</v>
      </c>
      <c r="AE764" s="182" t="n">
        <v>0</v>
      </c>
      <c r="AF764" s="182" t="n">
        <v>0</v>
      </c>
      <c r="AG764" s="182" t="n">
        <v>0</v>
      </c>
      <c r="AH764" s="182" t="n">
        <v>0</v>
      </c>
      <c r="AI764" s="182" t="n">
        <v>2.83</v>
      </c>
      <c r="AJ764" s="182" t="n">
        <v>0</v>
      </c>
      <c r="AK764" s="182" t="n">
        <v>0</v>
      </c>
      <c r="AL764" s="182" t="n">
        <v>0</v>
      </c>
      <c r="AM764" s="182" t="n">
        <v>0.08</v>
      </c>
      <c r="AN764" s="182" t="n">
        <v>0</v>
      </c>
    </row>
    <row r="765">
      <c r="A765" s="155" t="n">
        <v>46085</v>
      </c>
      <c r="B765" s="156" t="inlineStr">
        <is>
          <t>DS</t>
        </is>
      </c>
      <c r="C765" s="156" t="inlineStr">
        <is>
          <t>HD-904</t>
        </is>
      </c>
      <c r="D765" s="156" t="inlineStr">
        <is>
          <t>SRT 95C</t>
        </is>
      </c>
      <c r="E765" s="156" t="inlineStr">
        <is>
          <t>Hauler</t>
        </is>
      </c>
      <c r="F765" s="156" t="inlineStr"/>
      <c r="G765" s="182" t="n">
        <v>0</v>
      </c>
      <c r="H765" s="182" t="n">
        <v>0</v>
      </c>
      <c r="I765" s="182" t="n">
        <v>12</v>
      </c>
      <c r="J765" s="182" t="n">
        <v>12</v>
      </c>
      <c r="K765" s="182" t="n">
        <v>0</v>
      </c>
      <c r="L765" s="182" t="n">
        <v>12</v>
      </c>
      <c r="M765" s="182" t="n">
        <v>0</v>
      </c>
      <c r="N765" s="182" t="n">
        <v>0</v>
      </c>
      <c r="O765" s="183" t="n">
        <v>0</v>
      </c>
      <c r="P765" s="183" t="n">
        <v>0</v>
      </c>
      <c r="Q765" s="184" t="n">
        <v>0</v>
      </c>
      <c r="R765" s="184" t="n">
        <v>0</v>
      </c>
      <c r="S765" s="183" t="n">
        <v>0</v>
      </c>
      <c r="T765" s="183" t="n">
        <v>0</v>
      </c>
      <c r="U765" s="182" t="n">
        <v>0</v>
      </c>
      <c r="V765" s="182" t="n">
        <v>0</v>
      </c>
      <c r="W765" s="182" t="n">
        <v>0</v>
      </c>
      <c r="X765" s="182" t="n">
        <v>0</v>
      </c>
      <c r="Y765" s="182" t="n">
        <v>0</v>
      </c>
      <c r="Z765" s="182" t="n">
        <v>0</v>
      </c>
      <c r="AA765" s="182" t="n">
        <v>0</v>
      </c>
      <c r="AB765" s="182" t="n">
        <v>0</v>
      </c>
      <c r="AC765" s="182" t="n">
        <v>0</v>
      </c>
      <c r="AD765" s="182" t="n">
        <v>0</v>
      </c>
      <c r="AE765" s="182" t="n">
        <v>0</v>
      </c>
      <c r="AF765" s="182" t="n">
        <v>0</v>
      </c>
      <c r="AG765" s="182" t="n">
        <v>0</v>
      </c>
      <c r="AH765" s="182" t="n">
        <v>0</v>
      </c>
      <c r="AI765" s="182" t="n">
        <v>0</v>
      </c>
      <c r="AJ765" s="182" t="n">
        <v>0</v>
      </c>
      <c r="AK765" s="182" t="n">
        <v>0</v>
      </c>
      <c r="AL765" s="182" t="n">
        <v>0</v>
      </c>
      <c r="AM765" s="182" t="n">
        <v>0</v>
      </c>
      <c r="AN765" s="182" t="n">
        <v>0</v>
      </c>
    </row>
    <row r="766">
      <c r="A766" s="155" t="n">
        <v>46085</v>
      </c>
      <c r="B766" s="156" t="inlineStr">
        <is>
          <t>DS</t>
        </is>
      </c>
      <c r="C766" s="156" t="inlineStr">
        <is>
          <t>HD-902</t>
        </is>
      </c>
      <c r="D766" s="156" t="inlineStr">
        <is>
          <t>SRT 95C</t>
        </is>
      </c>
      <c r="E766" s="156" t="inlineStr">
        <is>
          <t>Hauler</t>
        </is>
      </c>
      <c r="F766" s="156" t="inlineStr">
        <is>
          <t>Hauling OB</t>
        </is>
      </c>
      <c r="G766" s="182" t="n">
        <v>3.14</v>
      </c>
      <c r="H766" s="182" t="n">
        <v>0</v>
      </c>
      <c r="I766" s="182" t="n">
        <v>0</v>
      </c>
      <c r="J766" s="182" t="n">
        <v>0</v>
      </c>
      <c r="K766" s="182" t="n">
        <v>8.859999999999999</v>
      </c>
      <c r="L766" s="182" t="n">
        <v>12</v>
      </c>
      <c r="M766" s="182" t="n">
        <v>3.14</v>
      </c>
      <c r="N766" s="182" t="n">
        <v>0</v>
      </c>
      <c r="O766" s="183" t="n">
        <v>11</v>
      </c>
      <c r="P766" s="183" t="n">
        <v>0</v>
      </c>
      <c r="Q766" s="184" t="n">
        <v>392.7</v>
      </c>
      <c r="R766" s="184" t="n">
        <v>0</v>
      </c>
      <c r="S766" s="183" t="n">
        <v>0</v>
      </c>
      <c r="T766" s="183" t="n">
        <v>0</v>
      </c>
      <c r="U766" s="182" t="n">
        <v>1.45</v>
      </c>
      <c r="V766" s="182" t="n">
        <v>2.55</v>
      </c>
      <c r="W766" s="182" t="n">
        <v>0</v>
      </c>
      <c r="X766" s="182" t="n">
        <v>1.02</v>
      </c>
      <c r="Y766" s="182" t="n">
        <v>0</v>
      </c>
      <c r="Z766" s="182" t="n">
        <v>0</v>
      </c>
      <c r="AA766" s="182" t="n">
        <v>0</v>
      </c>
      <c r="AB766" s="182" t="n">
        <v>0</v>
      </c>
      <c r="AC766" s="182" t="n">
        <v>0</v>
      </c>
      <c r="AD766" s="182" t="n">
        <v>0</v>
      </c>
      <c r="AE766" s="182" t="n">
        <v>0</v>
      </c>
      <c r="AF766" s="182" t="n">
        <v>0</v>
      </c>
      <c r="AG766" s="182" t="n">
        <v>0</v>
      </c>
      <c r="AH766" s="182" t="n">
        <v>0</v>
      </c>
      <c r="AI766" s="182" t="n">
        <v>3.77</v>
      </c>
      <c r="AJ766" s="182" t="n">
        <v>0</v>
      </c>
      <c r="AK766" s="182" t="n">
        <v>0</v>
      </c>
      <c r="AL766" s="182" t="n">
        <v>0</v>
      </c>
      <c r="AM766" s="182" t="n">
        <v>0.08</v>
      </c>
      <c r="AN766" s="182" t="n">
        <v>0</v>
      </c>
    </row>
    <row r="767">
      <c r="A767" s="155" t="n">
        <v>46085</v>
      </c>
      <c r="B767" s="156" t="inlineStr">
        <is>
          <t>DS</t>
        </is>
      </c>
      <c r="C767" s="156" t="inlineStr">
        <is>
          <t>WL-025</t>
        </is>
      </c>
      <c r="D767" s="156" t="inlineStr">
        <is>
          <t>SANY - Loader</t>
        </is>
      </c>
      <c r="E767" s="156" t="inlineStr">
        <is>
          <t>Loader</t>
        </is>
      </c>
      <c r="F767" s="156" t="inlineStr"/>
      <c r="G767" s="182" t="n">
        <v>0</v>
      </c>
      <c r="H767" s="182" t="n">
        <v>0</v>
      </c>
      <c r="I767" s="182" t="n">
        <v>12</v>
      </c>
      <c r="J767" s="182" t="n">
        <v>12</v>
      </c>
      <c r="K767" s="182" t="n">
        <v>0</v>
      </c>
      <c r="L767" s="182" t="n">
        <v>12</v>
      </c>
      <c r="M767" s="182" t="n">
        <v>0</v>
      </c>
      <c r="N767" s="182" t="n">
        <v>0</v>
      </c>
      <c r="O767" s="183" t="n">
        <v>0</v>
      </c>
      <c r="P767" s="183" t="n">
        <v>0</v>
      </c>
      <c r="Q767" s="184" t="n">
        <v>0</v>
      </c>
      <c r="R767" s="184" t="n">
        <v>0</v>
      </c>
      <c r="S767" s="183" t="n">
        <v>0</v>
      </c>
      <c r="T767" s="183" t="n">
        <v>0</v>
      </c>
      <c r="U767" s="182" t="n">
        <v>0</v>
      </c>
      <c r="V767" s="182" t="n">
        <v>0</v>
      </c>
      <c r="W767" s="182" t="n">
        <v>0</v>
      </c>
      <c r="X767" s="182" t="n">
        <v>0</v>
      </c>
      <c r="Y767" s="182" t="n">
        <v>0</v>
      </c>
      <c r="Z767" s="182" t="n">
        <v>0</v>
      </c>
      <c r="AA767" s="182" t="n">
        <v>0</v>
      </c>
      <c r="AB767" s="182" t="n">
        <v>0</v>
      </c>
      <c r="AC767" s="182" t="n">
        <v>0</v>
      </c>
      <c r="AD767" s="182" t="n">
        <v>0</v>
      </c>
      <c r="AE767" s="182" t="n">
        <v>0</v>
      </c>
      <c r="AF767" s="182" t="n">
        <v>0</v>
      </c>
      <c r="AG767" s="182" t="n">
        <v>0</v>
      </c>
      <c r="AH767" s="182" t="n">
        <v>0</v>
      </c>
      <c r="AI767" s="182" t="n">
        <v>0</v>
      </c>
      <c r="AJ767" s="182" t="n">
        <v>0</v>
      </c>
      <c r="AK767" s="182" t="n">
        <v>0</v>
      </c>
      <c r="AL767" s="182" t="n">
        <v>0</v>
      </c>
      <c r="AM767" s="182" t="n">
        <v>0</v>
      </c>
      <c r="AN767" s="182" t="n">
        <v>0</v>
      </c>
    </row>
    <row r="768">
      <c r="A768" s="155" t="n">
        <v>46085</v>
      </c>
      <c r="B768" s="156" t="inlineStr">
        <is>
          <t>DS</t>
        </is>
      </c>
      <c r="C768" s="156" t="inlineStr">
        <is>
          <t>WL-023</t>
        </is>
      </c>
      <c r="D768" s="156" t="inlineStr">
        <is>
          <t>SANY - Loader</t>
        </is>
      </c>
      <c r="E768" s="156" t="inlineStr">
        <is>
          <t>Loader</t>
        </is>
      </c>
      <c r="F768" s="156" t="inlineStr">
        <is>
          <t>Trimming Coal di Jetty</t>
        </is>
      </c>
      <c r="G768" s="182" t="n">
        <v>4.83</v>
      </c>
      <c r="H768" s="182" t="n">
        <v>0</v>
      </c>
      <c r="I768" s="182" t="n">
        <v>0</v>
      </c>
      <c r="J768" s="182" t="n">
        <v>0</v>
      </c>
      <c r="K768" s="182" t="n">
        <v>7.17</v>
      </c>
      <c r="L768" s="182" t="n">
        <v>12</v>
      </c>
      <c r="M768" s="182" t="n">
        <v>0</v>
      </c>
      <c r="N768" s="182" t="n">
        <v>0</v>
      </c>
      <c r="O768" s="183" t="n">
        <v>0</v>
      </c>
      <c r="P768" s="183" t="n">
        <v>0</v>
      </c>
      <c r="Q768" s="184" t="n">
        <v>0</v>
      </c>
      <c r="R768" s="184" t="n">
        <v>0</v>
      </c>
      <c r="S768" s="183" t="n">
        <v>0</v>
      </c>
      <c r="T768" s="183" t="n">
        <v>0</v>
      </c>
      <c r="U768" s="182" t="n">
        <v>0</v>
      </c>
      <c r="V768" s="182" t="n">
        <v>0</v>
      </c>
      <c r="W768" s="182" t="n">
        <v>0</v>
      </c>
      <c r="X768" s="182" t="n">
        <v>1.02</v>
      </c>
      <c r="Y768" s="182" t="n">
        <v>0</v>
      </c>
      <c r="Z768" s="182" t="n">
        <v>0</v>
      </c>
      <c r="AA768" s="182" t="n">
        <v>0</v>
      </c>
      <c r="AB768" s="182" t="n">
        <v>0</v>
      </c>
      <c r="AC768" s="182" t="n">
        <v>0</v>
      </c>
      <c r="AD768" s="182" t="n">
        <v>0</v>
      </c>
      <c r="AE768" s="182" t="n">
        <v>0</v>
      </c>
      <c r="AF768" s="182" t="n">
        <v>0</v>
      </c>
      <c r="AG768" s="182" t="n">
        <v>0</v>
      </c>
      <c r="AH768" s="182" t="n">
        <v>0</v>
      </c>
      <c r="AI768" s="182" t="n">
        <v>0</v>
      </c>
      <c r="AJ768" s="182" t="n">
        <v>0</v>
      </c>
      <c r="AK768" s="182" t="n">
        <v>6.06</v>
      </c>
      <c r="AL768" s="182" t="n">
        <v>0</v>
      </c>
      <c r="AM768" s="182" t="n">
        <v>0.08</v>
      </c>
      <c r="AN768" s="182" t="n">
        <v>0</v>
      </c>
    </row>
    <row r="769">
      <c r="A769" s="155" t="n">
        <v>46085</v>
      </c>
      <c r="B769" s="156" t="inlineStr">
        <is>
          <t>DS</t>
        </is>
      </c>
      <c r="C769" s="156" t="inlineStr">
        <is>
          <t>WL-021</t>
        </is>
      </c>
      <c r="D769" s="156" t="inlineStr">
        <is>
          <t>SANY - Loader</t>
        </is>
      </c>
      <c r="E769" s="156" t="inlineStr">
        <is>
          <t>Loader</t>
        </is>
      </c>
      <c r="F769" s="156" t="inlineStr"/>
      <c r="G769" s="182" t="n">
        <v>0</v>
      </c>
      <c r="H769" s="182" t="n">
        <v>0</v>
      </c>
      <c r="I769" s="182" t="n">
        <v>12</v>
      </c>
      <c r="J769" s="182" t="n">
        <v>12</v>
      </c>
      <c r="K769" s="182" t="n">
        <v>0</v>
      </c>
      <c r="L769" s="182" t="n">
        <v>12</v>
      </c>
      <c r="M769" s="182" t="n">
        <v>0</v>
      </c>
      <c r="N769" s="182" t="n">
        <v>0</v>
      </c>
      <c r="O769" s="183" t="n">
        <v>0</v>
      </c>
      <c r="P769" s="183" t="n">
        <v>0</v>
      </c>
      <c r="Q769" s="184" t="n">
        <v>0</v>
      </c>
      <c r="R769" s="184" t="n">
        <v>0</v>
      </c>
      <c r="S769" s="183" t="n">
        <v>0</v>
      </c>
      <c r="T769" s="183" t="n">
        <v>0</v>
      </c>
      <c r="U769" s="182" t="n">
        <v>0</v>
      </c>
      <c r="V769" s="182" t="n">
        <v>0</v>
      </c>
      <c r="W769" s="182" t="n">
        <v>0</v>
      </c>
      <c r="X769" s="182" t="n">
        <v>0</v>
      </c>
      <c r="Y769" s="182" t="n">
        <v>0</v>
      </c>
      <c r="Z769" s="182" t="n">
        <v>0</v>
      </c>
      <c r="AA769" s="182" t="n">
        <v>0</v>
      </c>
      <c r="AB769" s="182" t="n">
        <v>0</v>
      </c>
      <c r="AC769" s="182" t="n">
        <v>0</v>
      </c>
      <c r="AD769" s="182" t="n">
        <v>0</v>
      </c>
      <c r="AE769" s="182" t="n">
        <v>0</v>
      </c>
      <c r="AF769" s="182" t="n">
        <v>0</v>
      </c>
      <c r="AG769" s="182" t="n">
        <v>0</v>
      </c>
      <c r="AH769" s="182" t="n">
        <v>0</v>
      </c>
      <c r="AI769" s="182" t="n">
        <v>0</v>
      </c>
      <c r="AJ769" s="182" t="n">
        <v>0</v>
      </c>
      <c r="AK769" s="182" t="n">
        <v>0</v>
      </c>
      <c r="AL769" s="182" t="n">
        <v>0</v>
      </c>
      <c r="AM769" s="182" t="n">
        <v>0</v>
      </c>
      <c r="AN769" s="182" t="n">
        <v>0</v>
      </c>
    </row>
    <row r="770">
      <c r="A770" s="155" t="n">
        <v>46085</v>
      </c>
      <c r="B770" s="156" t="inlineStr">
        <is>
          <t>DS</t>
        </is>
      </c>
      <c r="C770" s="156" t="inlineStr">
        <is>
          <t>WL-022</t>
        </is>
      </c>
      <c r="D770" s="156" t="inlineStr">
        <is>
          <t>SANY - Loader</t>
        </is>
      </c>
      <c r="E770" s="156" t="inlineStr">
        <is>
          <t>Loader</t>
        </is>
      </c>
      <c r="F770" s="156" t="inlineStr">
        <is>
          <t>Support Washing Plant</t>
        </is>
      </c>
      <c r="G770" s="182" t="n">
        <v>11.84</v>
      </c>
      <c r="H770" s="182" t="n">
        <v>0</v>
      </c>
      <c r="I770" s="182" t="n">
        <v>0</v>
      </c>
      <c r="J770" s="182" t="n">
        <v>0</v>
      </c>
      <c r="K770" s="182" t="n">
        <v>0.16</v>
      </c>
      <c r="L770" s="182" t="n">
        <v>12</v>
      </c>
      <c r="M770" s="182" t="n">
        <v>0</v>
      </c>
      <c r="N770" s="182" t="n">
        <v>0</v>
      </c>
      <c r="O770" s="183" t="n">
        <v>0</v>
      </c>
      <c r="P770" s="183" t="n">
        <v>0</v>
      </c>
      <c r="Q770" s="184" t="n">
        <v>0</v>
      </c>
      <c r="R770" s="184" t="n">
        <v>0</v>
      </c>
      <c r="S770" s="183" t="n">
        <v>0</v>
      </c>
      <c r="T770" s="183" t="n">
        <v>0</v>
      </c>
      <c r="U770" s="182" t="n">
        <v>0</v>
      </c>
      <c r="V770" s="182" t="n">
        <v>0</v>
      </c>
      <c r="W770" s="182" t="n">
        <v>0</v>
      </c>
      <c r="X770" s="182" t="n">
        <v>0</v>
      </c>
      <c r="Y770" s="182" t="n">
        <v>0</v>
      </c>
      <c r="Z770" s="182" t="n">
        <v>0</v>
      </c>
      <c r="AA770" s="182" t="n">
        <v>0</v>
      </c>
      <c r="AB770" s="182" t="n">
        <v>0</v>
      </c>
      <c r="AC770" s="182" t="n">
        <v>0</v>
      </c>
      <c r="AD770" s="182" t="n">
        <v>0</v>
      </c>
      <c r="AE770" s="182" t="n">
        <v>0</v>
      </c>
      <c r="AF770" s="182" t="n">
        <v>0</v>
      </c>
      <c r="AG770" s="182" t="n">
        <v>0</v>
      </c>
      <c r="AH770" s="182" t="n">
        <v>0</v>
      </c>
      <c r="AI770" s="182" t="n">
        <v>0</v>
      </c>
      <c r="AJ770" s="182" t="n">
        <v>0</v>
      </c>
      <c r="AK770" s="182" t="n">
        <v>0</v>
      </c>
      <c r="AL770" s="182" t="n">
        <v>0</v>
      </c>
      <c r="AM770" s="182" t="n">
        <v>0</v>
      </c>
      <c r="AN770" s="182" t="n">
        <v>0</v>
      </c>
    </row>
    <row r="771">
      <c r="A771" s="155" t="n">
        <v>46085</v>
      </c>
      <c r="B771" s="156" t="inlineStr">
        <is>
          <t>DS</t>
        </is>
      </c>
      <c r="C771" s="156" t="inlineStr">
        <is>
          <t>WL-024</t>
        </is>
      </c>
      <c r="D771" s="156" t="inlineStr">
        <is>
          <t>SANY - Loader</t>
        </is>
      </c>
      <c r="E771" s="156" t="inlineStr">
        <is>
          <t>Loader</t>
        </is>
      </c>
      <c r="F771" s="156" t="inlineStr">
        <is>
          <t>Support Washing Plant</t>
        </is>
      </c>
      <c r="G771" s="182" t="n">
        <v>11.25</v>
      </c>
      <c r="H771" s="182" t="n">
        <v>0</v>
      </c>
      <c r="I771" s="182" t="n">
        <v>0</v>
      </c>
      <c r="J771" s="182" t="n">
        <v>0</v>
      </c>
      <c r="K771" s="182" t="n">
        <v>0.75</v>
      </c>
      <c r="L771" s="182" t="n">
        <v>12</v>
      </c>
      <c r="M771" s="182" t="n">
        <v>0</v>
      </c>
      <c r="N771" s="182" t="n">
        <v>0</v>
      </c>
      <c r="O771" s="183" t="n">
        <v>0</v>
      </c>
      <c r="P771" s="183" t="n">
        <v>0</v>
      </c>
      <c r="Q771" s="184" t="n">
        <v>0</v>
      </c>
      <c r="R771" s="184" t="n">
        <v>0</v>
      </c>
      <c r="S771" s="183" t="n">
        <v>0</v>
      </c>
      <c r="T771" s="183" t="n">
        <v>0</v>
      </c>
      <c r="U771" s="182" t="n">
        <v>0</v>
      </c>
      <c r="V771" s="182" t="n">
        <v>0</v>
      </c>
      <c r="W771" s="182" t="n">
        <v>0</v>
      </c>
      <c r="X771" s="182" t="n">
        <v>0.68</v>
      </c>
      <c r="Y771" s="182" t="n">
        <v>0</v>
      </c>
      <c r="Z771" s="182" t="n">
        <v>0</v>
      </c>
      <c r="AA771" s="182" t="n">
        <v>0</v>
      </c>
      <c r="AB771" s="182" t="n">
        <v>0</v>
      </c>
      <c r="AC771" s="182" t="n">
        <v>0</v>
      </c>
      <c r="AD771" s="182" t="n">
        <v>0</v>
      </c>
      <c r="AE771" s="182" t="n">
        <v>0</v>
      </c>
      <c r="AF771" s="182" t="n">
        <v>0</v>
      </c>
      <c r="AG771" s="182" t="n">
        <v>0</v>
      </c>
      <c r="AH771" s="182" t="n">
        <v>0</v>
      </c>
      <c r="AI771" s="182" t="n">
        <v>0</v>
      </c>
      <c r="AJ771" s="182" t="n">
        <v>0</v>
      </c>
      <c r="AK771" s="182" t="n">
        <v>0</v>
      </c>
      <c r="AL771" s="182" t="n">
        <v>0</v>
      </c>
      <c r="AM771" s="182" t="n">
        <v>0.07000000000000001</v>
      </c>
      <c r="AN771" s="182" t="n">
        <v>0</v>
      </c>
    </row>
    <row r="772">
      <c r="A772" s="155" t="n">
        <v>46085</v>
      </c>
      <c r="B772" s="156" t="inlineStr">
        <is>
          <t>NS</t>
        </is>
      </c>
      <c r="C772" s="156" t="inlineStr">
        <is>
          <t>DZ-034</t>
        </is>
      </c>
      <c r="D772" s="156" t="inlineStr">
        <is>
          <t>D 68ESS-12EO</t>
        </is>
      </c>
      <c r="E772" s="156" t="inlineStr">
        <is>
          <t>Bulldozer</t>
        </is>
      </c>
      <c r="F772" s="156" t="inlineStr"/>
      <c r="G772" s="182" t="n">
        <v>0</v>
      </c>
      <c r="H772" s="182" t="n">
        <v>0</v>
      </c>
      <c r="I772" s="182" t="n">
        <v>12</v>
      </c>
      <c r="J772" s="182" t="n">
        <v>12</v>
      </c>
      <c r="K772" s="182" t="n">
        <v>0</v>
      </c>
      <c r="L772" s="182" t="n">
        <v>12</v>
      </c>
      <c r="M772" s="182" t="n">
        <v>0</v>
      </c>
      <c r="N772" s="182" t="n">
        <v>0</v>
      </c>
      <c r="O772" s="183" t="n">
        <v>0</v>
      </c>
      <c r="P772" s="183" t="n">
        <v>0</v>
      </c>
      <c r="Q772" s="184" t="n">
        <v>0</v>
      </c>
      <c r="R772" s="184" t="n">
        <v>0</v>
      </c>
      <c r="S772" s="183" t="n">
        <v>0</v>
      </c>
      <c r="T772" s="183" t="n">
        <v>0</v>
      </c>
      <c r="U772" s="182" t="n">
        <v>0</v>
      </c>
      <c r="V772" s="182" t="n">
        <v>0</v>
      </c>
      <c r="W772" s="182" t="n">
        <v>0</v>
      </c>
      <c r="X772" s="182" t="n">
        <v>0</v>
      </c>
      <c r="Y772" s="182" t="n">
        <v>0</v>
      </c>
      <c r="Z772" s="182" t="n">
        <v>0</v>
      </c>
      <c r="AA772" s="182" t="n">
        <v>0</v>
      </c>
      <c r="AB772" s="182" t="n">
        <v>0</v>
      </c>
      <c r="AC772" s="182" t="n">
        <v>0</v>
      </c>
      <c r="AD772" s="182" t="n">
        <v>0</v>
      </c>
      <c r="AE772" s="182" t="n">
        <v>0</v>
      </c>
      <c r="AF772" s="182" t="n">
        <v>0</v>
      </c>
      <c r="AG772" s="182" t="n">
        <v>0</v>
      </c>
      <c r="AH772" s="182" t="n">
        <v>0</v>
      </c>
      <c r="AI772" s="182" t="n">
        <v>0</v>
      </c>
      <c r="AJ772" s="182" t="n">
        <v>0</v>
      </c>
      <c r="AK772" s="182" t="n">
        <v>0</v>
      </c>
      <c r="AL772" s="182" t="n">
        <v>0</v>
      </c>
      <c r="AM772" s="182" t="n">
        <v>0</v>
      </c>
      <c r="AN772" s="182" t="n">
        <v>0</v>
      </c>
    </row>
    <row r="773">
      <c r="A773" s="155" t="n">
        <v>46085</v>
      </c>
      <c r="B773" s="156" t="inlineStr">
        <is>
          <t>NS</t>
        </is>
      </c>
      <c r="C773" s="156" t="inlineStr">
        <is>
          <t>DZ-033</t>
        </is>
      </c>
      <c r="D773" s="156" t="inlineStr">
        <is>
          <t>D 375A-6R</t>
        </is>
      </c>
      <c r="E773" s="156" t="inlineStr">
        <is>
          <t>Bulldozer</t>
        </is>
      </c>
      <c r="F773" s="156" t="inlineStr">
        <is>
          <t>Support Disposal</t>
        </is>
      </c>
      <c r="G773" s="182" t="n">
        <v>4.58</v>
      </c>
      <c r="H773" s="182" t="n">
        <v>0</v>
      </c>
      <c r="I773" s="182" t="n">
        <v>0</v>
      </c>
      <c r="J773" s="182" t="n">
        <v>0</v>
      </c>
      <c r="K773" s="182" t="n">
        <v>7.42</v>
      </c>
      <c r="L773" s="182" t="n">
        <v>12</v>
      </c>
      <c r="M773" s="182" t="n">
        <v>0</v>
      </c>
      <c r="N773" s="182" t="n">
        <v>0</v>
      </c>
      <c r="O773" s="183" t="n">
        <v>0</v>
      </c>
      <c r="P773" s="183" t="n">
        <v>0</v>
      </c>
      <c r="Q773" s="184" t="n">
        <v>0</v>
      </c>
      <c r="R773" s="184" t="n">
        <v>0</v>
      </c>
      <c r="S773" s="183" t="n">
        <v>0</v>
      </c>
      <c r="T773" s="183" t="n">
        <v>0</v>
      </c>
      <c r="U773" s="182" t="n">
        <v>6.28</v>
      </c>
      <c r="V773" s="182" t="n">
        <v>0</v>
      </c>
      <c r="W773" s="182" t="n">
        <v>0</v>
      </c>
      <c r="X773" s="182" t="n">
        <v>1.06</v>
      </c>
      <c r="Y773" s="182" t="n">
        <v>0</v>
      </c>
      <c r="Z773" s="182" t="n">
        <v>0</v>
      </c>
      <c r="AA773" s="182" t="n">
        <v>0</v>
      </c>
      <c r="AB773" s="182" t="n">
        <v>0</v>
      </c>
      <c r="AC773" s="182" t="n">
        <v>0</v>
      </c>
      <c r="AD773" s="182" t="n">
        <v>0</v>
      </c>
      <c r="AE773" s="182" t="n">
        <v>0</v>
      </c>
      <c r="AF773" s="182" t="n">
        <v>0</v>
      </c>
      <c r="AG773" s="182" t="n">
        <v>0</v>
      </c>
      <c r="AH773" s="182" t="n">
        <v>0</v>
      </c>
      <c r="AI773" s="182" t="n">
        <v>0</v>
      </c>
      <c r="AJ773" s="182" t="n">
        <v>0</v>
      </c>
      <c r="AK773" s="182" t="n">
        <v>0</v>
      </c>
      <c r="AL773" s="182" t="n">
        <v>0</v>
      </c>
      <c r="AM773" s="182" t="n">
        <v>0.08</v>
      </c>
      <c r="AN773" s="182" t="n">
        <v>0</v>
      </c>
    </row>
    <row r="774">
      <c r="A774" s="155" t="n">
        <v>46085</v>
      </c>
      <c r="B774" s="156" t="inlineStr">
        <is>
          <t>NS</t>
        </is>
      </c>
      <c r="C774" s="156" t="inlineStr">
        <is>
          <t>DZ-038</t>
        </is>
      </c>
      <c r="D774" s="156" t="inlineStr">
        <is>
          <t>D 85 ESS-2</t>
        </is>
      </c>
      <c r="E774" s="156" t="inlineStr">
        <is>
          <t>Bulldozer</t>
        </is>
      </c>
      <c r="F774" s="156" t="inlineStr"/>
      <c r="G774" s="182" t="n">
        <v>0</v>
      </c>
      <c r="H774" s="182" t="n">
        <v>0</v>
      </c>
      <c r="I774" s="182" t="n">
        <v>12</v>
      </c>
      <c r="J774" s="182" t="n">
        <v>12</v>
      </c>
      <c r="K774" s="182" t="n">
        <v>0</v>
      </c>
      <c r="L774" s="182" t="n">
        <v>12</v>
      </c>
      <c r="M774" s="182" t="n">
        <v>0</v>
      </c>
      <c r="N774" s="182" t="n">
        <v>0</v>
      </c>
      <c r="O774" s="183" t="n">
        <v>0</v>
      </c>
      <c r="P774" s="183" t="n">
        <v>0</v>
      </c>
      <c r="Q774" s="184" t="n">
        <v>0</v>
      </c>
      <c r="R774" s="184" t="n">
        <v>0</v>
      </c>
      <c r="S774" s="183" t="n">
        <v>0</v>
      </c>
      <c r="T774" s="183" t="n">
        <v>0</v>
      </c>
      <c r="U774" s="182" t="n">
        <v>0</v>
      </c>
      <c r="V774" s="182" t="n">
        <v>0</v>
      </c>
      <c r="W774" s="182" t="n">
        <v>0</v>
      </c>
      <c r="X774" s="182" t="n">
        <v>0</v>
      </c>
      <c r="Y774" s="182" t="n">
        <v>0</v>
      </c>
      <c r="Z774" s="182" t="n">
        <v>0</v>
      </c>
      <c r="AA774" s="182" t="n">
        <v>0</v>
      </c>
      <c r="AB774" s="182" t="n">
        <v>0</v>
      </c>
      <c r="AC774" s="182" t="n">
        <v>0</v>
      </c>
      <c r="AD774" s="182" t="n">
        <v>0</v>
      </c>
      <c r="AE774" s="182" t="n">
        <v>0</v>
      </c>
      <c r="AF774" s="182" t="n">
        <v>0</v>
      </c>
      <c r="AG774" s="182" t="n">
        <v>0</v>
      </c>
      <c r="AH774" s="182" t="n">
        <v>0</v>
      </c>
      <c r="AI774" s="182" t="n">
        <v>0</v>
      </c>
      <c r="AJ774" s="182" t="n">
        <v>0</v>
      </c>
      <c r="AK774" s="182" t="n">
        <v>0</v>
      </c>
      <c r="AL774" s="182" t="n">
        <v>0</v>
      </c>
      <c r="AM774" s="182" t="n">
        <v>0</v>
      </c>
      <c r="AN774" s="182" t="n">
        <v>0</v>
      </c>
    </row>
    <row r="775">
      <c r="A775" s="155" t="n">
        <v>46085</v>
      </c>
      <c r="B775" s="156" t="inlineStr">
        <is>
          <t>NS</t>
        </is>
      </c>
      <c r="C775" s="156" t="inlineStr">
        <is>
          <t>DZ-039</t>
        </is>
      </c>
      <c r="D775" s="156" t="inlineStr">
        <is>
          <t>D 85 ESS-2</t>
        </is>
      </c>
      <c r="E775" s="156" t="inlineStr">
        <is>
          <t>Bulldozer</t>
        </is>
      </c>
      <c r="F775" s="156" t="inlineStr">
        <is>
          <t>Support Front Loading</t>
        </is>
      </c>
      <c r="G775" s="182" t="n">
        <v>5.6</v>
      </c>
      <c r="H775" s="182" t="n">
        <v>0</v>
      </c>
      <c r="I775" s="182" t="n">
        <v>0</v>
      </c>
      <c r="J775" s="182" t="n">
        <v>0</v>
      </c>
      <c r="K775" s="182" t="n">
        <v>6.4</v>
      </c>
      <c r="L775" s="182" t="n">
        <v>12</v>
      </c>
      <c r="M775" s="182" t="n">
        <v>0</v>
      </c>
      <c r="N775" s="182" t="n">
        <v>0</v>
      </c>
      <c r="O775" s="183" t="n">
        <v>0</v>
      </c>
      <c r="P775" s="183" t="n">
        <v>0</v>
      </c>
      <c r="Q775" s="184" t="n">
        <v>0</v>
      </c>
      <c r="R775" s="184" t="n">
        <v>0</v>
      </c>
      <c r="S775" s="183" t="n">
        <v>0</v>
      </c>
      <c r="T775" s="183" t="n">
        <v>0</v>
      </c>
      <c r="U775" s="182" t="n">
        <v>5.27</v>
      </c>
      <c r="V775" s="182" t="n">
        <v>0</v>
      </c>
      <c r="W775" s="182" t="n">
        <v>0</v>
      </c>
      <c r="X775" s="182" t="n">
        <v>1.05</v>
      </c>
      <c r="Y775" s="182" t="n">
        <v>0</v>
      </c>
      <c r="Z775" s="182" t="n">
        <v>0</v>
      </c>
      <c r="AA775" s="182" t="n">
        <v>0</v>
      </c>
      <c r="AB775" s="182" t="n">
        <v>0</v>
      </c>
      <c r="AC775" s="182" t="n">
        <v>0</v>
      </c>
      <c r="AD775" s="182" t="n">
        <v>0</v>
      </c>
      <c r="AE775" s="182" t="n">
        <v>0</v>
      </c>
      <c r="AF775" s="182" t="n">
        <v>0</v>
      </c>
      <c r="AG775" s="182" t="n">
        <v>0</v>
      </c>
      <c r="AH775" s="182" t="n">
        <v>0</v>
      </c>
      <c r="AI775" s="182" t="n">
        <v>0</v>
      </c>
      <c r="AJ775" s="182" t="n">
        <v>0</v>
      </c>
      <c r="AK775" s="182" t="n">
        <v>0</v>
      </c>
      <c r="AL775" s="182" t="n">
        <v>0</v>
      </c>
      <c r="AM775" s="182" t="n">
        <v>0.08</v>
      </c>
      <c r="AN775" s="182" t="n">
        <v>0</v>
      </c>
    </row>
    <row r="776">
      <c r="A776" s="155" t="n">
        <v>46085</v>
      </c>
      <c r="B776" s="156" t="inlineStr">
        <is>
          <t>NS</t>
        </is>
      </c>
      <c r="C776" s="156" t="inlineStr">
        <is>
          <t>DZ-032</t>
        </is>
      </c>
      <c r="D776" s="156" t="inlineStr">
        <is>
          <t>CAT</t>
        </is>
      </c>
      <c r="E776" s="156" t="inlineStr">
        <is>
          <t>Bulldozer</t>
        </is>
      </c>
      <c r="F776" s="156" t="inlineStr"/>
      <c r="G776" s="182" t="n">
        <v>0</v>
      </c>
      <c r="H776" s="182" t="n">
        <v>0</v>
      </c>
      <c r="I776" s="182" t="n">
        <v>12</v>
      </c>
      <c r="J776" s="182" t="n">
        <v>12</v>
      </c>
      <c r="K776" s="182" t="n">
        <v>0</v>
      </c>
      <c r="L776" s="182" t="n">
        <v>12</v>
      </c>
      <c r="M776" s="182" t="n">
        <v>0</v>
      </c>
      <c r="N776" s="182" t="n">
        <v>0</v>
      </c>
      <c r="O776" s="183" t="n">
        <v>0</v>
      </c>
      <c r="P776" s="183" t="n">
        <v>0</v>
      </c>
      <c r="Q776" s="184" t="n">
        <v>0</v>
      </c>
      <c r="R776" s="184" t="n">
        <v>0</v>
      </c>
      <c r="S776" s="183" t="n">
        <v>0</v>
      </c>
      <c r="T776" s="183" t="n">
        <v>0</v>
      </c>
      <c r="U776" s="182" t="n">
        <v>0</v>
      </c>
      <c r="V776" s="182" t="n">
        <v>0</v>
      </c>
      <c r="W776" s="182" t="n">
        <v>0</v>
      </c>
      <c r="X776" s="182" t="n">
        <v>0</v>
      </c>
      <c r="Y776" s="182" t="n">
        <v>0</v>
      </c>
      <c r="Z776" s="182" t="n">
        <v>0</v>
      </c>
      <c r="AA776" s="182" t="n">
        <v>0</v>
      </c>
      <c r="AB776" s="182" t="n">
        <v>0</v>
      </c>
      <c r="AC776" s="182" t="n">
        <v>0</v>
      </c>
      <c r="AD776" s="182" t="n">
        <v>0</v>
      </c>
      <c r="AE776" s="182" t="n">
        <v>0</v>
      </c>
      <c r="AF776" s="182" t="n">
        <v>0</v>
      </c>
      <c r="AG776" s="182" t="n">
        <v>0</v>
      </c>
      <c r="AH776" s="182" t="n">
        <v>0</v>
      </c>
      <c r="AI776" s="182" t="n">
        <v>0</v>
      </c>
      <c r="AJ776" s="182" t="n">
        <v>0</v>
      </c>
      <c r="AK776" s="182" t="n">
        <v>0</v>
      </c>
      <c r="AL776" s="182" t="n">
        <v>0</v>
      </c>
      <c r="AM776" s="182" t="n">
        <v>0</v>
      </c>
      <c r="AN776" s="182" t="n">
        <v>0</v>
      </c>
    </row>
    <row r="777">
      <c r="A777" s="155" t="n">
        <v>46085</v>
      </c>
      <c r="B777" s="156" t="inlineStr">
        <is>
          <t>NS</t>
        </is>
      </c>
      <c r="C777" s="156" t="inlineStr">
        <is>
          <t>DZ-031</t>
        </is>
      </c>
      <c r="D777" s="156" t="inlineStr">
        <is>
          <t>CAT</t>
        </is>
      </c>
      <c r="E777" s="156" t="inlineStr">
        <is>
          <t>Bulldozer</t>
        </is>
      </c>
      <c r="F777" s="156" t="inlineStr">
        <is>
          <t>Support Front Loading</t>
        </is>
      </c>
      <c r="G777" s="182" t="n">
        <v>4.8</v>
      </c>
      <c r="H777" s="182" t="n">
        <v>0</v>
      </c>
      <c r="I777" s="182" t="n">
        <v>4.5</v>
      </c>
      <c r="J777" s="182" t="n">
        <v>4.5</v>
      </c>
      <c r="K777" s="182" t="n">
        <v>2.7</v>
      </c>
      <c r="L777" s="182" t="n">
        <v>12</v>
      </c>
      <c r="M777" s="182" t="n">
        <v>0</v>
      </c>
      <c r="N777" s="182" t="n">
        <v>0</v>
      </c>
      <c r="O777" s="183" t="n">
        <v>0</v>
      </c>
      <c r="P777" s="183" t="n">
        <v>0</v>
      </c>
      <c r="Q777" s="184" t="n">
        <v>0</v>
      </c>
      <c r="R777" s="184" t="n">
        <v>0</v>
      </c>
      <c r="S777" s="183" t="n">
        <v>0</v>
      </c>
      <c r="T777" s="183" t="n">
        <v>0</v>
      </c>
      <c r="U777" s="182" t="n">
        <v>1.49</v>
      </c>
      <c r="V777" s="182" t="n">
        <v>0</v>
      </c>
      <c r="W777" s="182" t="n">
        <v>0</v>
      </c>
      <c r="X777" s="182" t="n">
        <v>1.13</v>
      </c>
      <c r="Y777" s="182" t="n">
        <v>0</v>
      </c>
      <c r="Z777" s="182" t="n">
        <v>0</v>
      </c>
      <c r="AA777" s="182" t="n">
        <v>0</v>
      </c>
      <c r="AB777" s="182" t="n">
        <v>0</v>
      </c>
      <c r="AC777" s="182" t="n">
        <v>0</v>
      </c>
      <c r="AD777" s="182" t="n">
        <v>0</v>
      </c>
      <c r="AE777" s="182" t="n">
        <v>0</v>
      </c>
      <c r="AF777" s="182" t="n">
        <v>0</v>
      </c>
      <c r="AG777" s="182" t="n">
        <v>0</v>
      </c>
      <c r="AH777" s="182" t="n">
        <v>0</v>
      </c>
      <c r="AI777" s="182" t="n">
        <v>0</v>
      </c>
      <c r="AJ777" s="182" t="n">
        <v>0</v>
      </c>
      <c r="AK777" s="182" t="n">
        <v>0</v>
      </c>
      <c r="AL777" s="182" t="n">
        <v>0</v>
      </c>
      <c r="AM777" s="182" t="n">
        <v>0.09</v>
      </c>
      <c r="AN777" s="182" t="n">
        <v>0</v>
      </c>
    </row>
    <row r="778">
      <c r="A778" s="155" t="n">
        <v>46085</v>
      </c>
      <c r="B778" s="156" t="inlineStr">
        <is>
          <t>NS</t>
        </is>
      </c>
      <c r="C778" s="156" t="inlineStr">
        <is>
          <t>DZ-037</t>
        </is>
      </c>
      <c r="D778" s="156" t="inlineStr">
        <is>
          <t>D 85 ESS-2</t>
        </is>
      </c>
      <c r="E778" s="156" t="inlineStr">
        <is>
          <t>Bulldozer</t>
        </is>
      </c>
      <c r="F778" s="156" t="inlineStr"/>
      <c r="G778" s="182" t="n">
        <v>0</v>
      </c>
      <c r="H778" s="182" t="n">
        <v>0</v>
      </c>
      <c r="I778" s="182" t="n">
        <v>12</v>
      </c>
      <c r="J778" s="182" t="n">
        <v>12</v>
      </c>
      <c r="K778" s="182" t="n">
        <v>0</v>
      </c>
      <c r="L778" s="182" t="n">
        <v>12</v>
      </c>
      <c r="M778" s="182" t="n">
        <v>0</v>
      </c>
      <c r="N778" s="182" t="n">
        <v>0</v>
      </c>
      <c r="O778" s="183" t="n">
        <v>0</v>
      </c>
      <c r="P778" s="183" t="n">
        <v>0</v>
      </c>
      <c r="Q778" s="184" t="n">
        <v>0</v>
      </c>
      <c r="R778" s="184" t="n">
        <v>0</v>
      </c>
      <c r="S778" s="183" t="n">
        <v>0</v>
      </c>
      <c r="T778" s="183" t="n">
        <v>0</v>
      </c>
      <c r="U778" s="182" t="n">
        <v>0</v>
      </c>
      <c r="V778" s="182" t="n">
        <v>0</v>
      </c>
      <c r="W778" s="182" t="n">
        <v>0</v>
      </c>
      <c r="X778" s="182" t="n">
        <v>0</v>
      </c>
      <c r="Y778" s="182" t="n">
        <v>0</v>
      </c>
      <c r="Z778" s="182" t="n">
        <v>0</v>
      </c>
      <c r="AA778" s="182" t="n">
        <v>0</v>
      </c>
      <c r="AB778" s="182" t="n">
        <v>0</v>
      </c>
      <c r="AC778" s="182" t="n">
        <v>0</v>
      </c>
      <c r="AD778" s="182" t="n">
        <v>0</v>
      </c>
      <c r="AE778" s="182" t="n">
        <v>0</v>
      </c>
      <c r="AF778" s="182" t="n">
        <v>0</v>
      </c>
      <c r="AG778" s="182" t="n">
        <v>0</v>
      </c>
      <c r="AH778" s="182" t="n">
        <v>0</v>
      </c>
      <c r="AI778" s="182" t="n">
        <v>0</v>
      </c>
      <c r="AJ778" s="182" t="n">
        <v>0</v>
      </c>
      <c r="AK778" s="182" t="n">
        <v>0</v>
      </c>
      <c r="AL778" s="182" t="n">
        <v>0</v>
      </c>
      <c r="AM778" s="182" t="n">
        <v>0</v>
      </c>
      <c r="AN778" s="182" t="n">
        <v>0</v>
      </c>
    </row>
    <row r="779">
      <c r="A779" s="155" t="n">
        <v>46085</v>
      </c>
      <c r="B779" s="156" t="inlineStr">
        <is>
          <t>NS</t>
        </is>
      </c>
      <c r="C779" s="156" t="inlineStr">
        <is>
          <t>DZ-036</t>
        </is>
      </c>
      <c r="D779" s="156" t="inlineStr">
        <is>
          <t>D 85 ESS-2</t>
        </is>
      </c>
      <c r="E779" s="156" t="inlineStr">
        <is>
          <t>Bulldozer</t>
        </is>
      </c>
      <c r="F779" s="156" t="inlineStr"/>
      <c r="G779" s="182" t="n">
        <v>0</v>
      </c>
      <c r="H779" s="182" t="n">
        <v>0</v>
      </c>
      <c r="I779" s="182" t="n">
        <v>0</v>
      </c>
      <c r="J779" s="182" t="n">
        <v>0</v>
      </c>
      <c r="K779" s="182" t="n">
        <v>12</v>
      </c>
      <c r="L779" s="182" t="n">
        <v>12</v>
      </c>
      <c r="M779" s="182" t="n">
        <v>0</v>
      </c>
      <c r="N779" s="182" t="n">
        <v>0</v>
      </c>
      <c r="O779" s="183" t="n">
        <v>0</v>
      </c>
      <c r="P779" s="183" t="n">
        <v>0</v>
      </c>
      <c r="Q779" s="184" t="n">
        <v>0</v>
      </c>
      <c r="R779" s="184" t="n">
        <v>0</v>
      </c>
      <c r="S779" s="183" t="n">
        <v>0</v>
      </c>
      <c r="T779" s="183" t="n">
        <v>0</v>
      </c>
      <c r="U779" s="182" t="n">
        <v>0</v>
      </c>
      <c r="V779" s="182" t="n">
        <v>0</v>
      </c>
      <c r="W779" s="182" t="n">
        <v>0</v>
      </c>
      <c r="X779" s="182" t="n">
        <v>1</v>
      </c>
      <c r="Y779" s="182" t="n">
        <v>0</v>
      </c>
      <c r="Z779" s="182" t="n">
        <v>0</v>
      </c>
      <c r="AA779" s="182" t="n">
        <v>0</v>
      </c>
      <c r="AB779" s="182" t="n">
        <v>0</v>
      </c>
      <c r="AC779" s="182" t="n">
        <v>0</v>
      </c>
      <c r="AD779" s="182" t="n">
        <v>0</v>
      </c>
      <c r="AE779" s="182" t="n">
        <v>0</v>
      </c>
      <c r="AF779" s="182" t="n">
        <v>0</v>
      </c>
      <c r="AG779" s="182" t="n">
        <v>0</v>
      </c>
      <c r="AH779" s="182" t="n">
        <v>0</v>
      </c>
      <c r="AI779" s="182" t="n">
        <v>0</v>
      </c>
      <c r="AJ779" s="182" t="n">
        <v>0</v>
      </c>
      <c r="AK779" s="182" t="n">
        <v>10.92</v>
      </c>
      <c r="AL779" s="182" t="n">
        <v>0</v>
      </c>
      <c r="AM779" s="182" t="n">
        <v>0.08</v>
      </c>
      <c r="AN779" s="182" t="n">
        <v>0</v>
      </c>
    </row>
    <row r="780">
      <c r="A780" s="155" t="n">
        <v>46085</v>
      </c>
      <c r="B780" s="156" t="inlineStr">
        <is>
          <t>NS</t>
        </is>
      </c>
      <c r="C780" s="156" t="inlineStr">
        <is>
          <t>DZ-035</t>
        </is>
      </c>
      <c r="D780" s="156" t="inlineStr">
        <is>
          <t>D 85 ESS-2</t>
        </is>
      </c>
      <c r="E780" s="156" t="inlineStr">
        <is>
          <t>Bulldozer</t>
        </is>
      </c>
      <c r="F780" s="156" t="inlineStr"/>
      <c r="G780" s="182" t="n">
        <v>0</v>
      </c>
      <c r="H780" s="182" t="n">
        <v>0</v>
      </c>
      <c r="I780" s="182" t="n">
        <v>12</v>
      </c>
      <c r="J780" s="182" t="n">
        <v>12</v>
      </c>
      <c r="K780" s="182" t="n">
        <v>0</v>
      </c>
      <c r="L780" s="182" t="n">
        <v>12</v>
      </c>
      <c r="M780" s="182" t="n">
        <v>0</v>
      </c>
      <c r="N780" s="182" t="n">
        <v>0</v>
      </c>
      <c r="O780" s="183" t="n">
        <v>0</v>
      </c>
      <c r="P780" s="183" t="n">
        <v>0</v>
      </c>
      <c r="Q780" s="184" t="n">
        <v>0</v>
      </c>
      <c r="R780" s="184" t="n">
        <v>0</v>
      </c>
      <c r="S780" s="183" t="n">
        <v>0</v>
      </c>
      <c r="T780" s="183" t="n">
        <v>0</v>
      </c>
      <c r="U780" s="182" t="n">
        <v>0</v>
      </c>
      <c r="V780" s="182" t="n">
        <v>0</v>
      </c>
      <c r="W780" s="182" t="n">
        <v>0</v>
      </c>
      <c r="X780" s="182" t="n">
        <v>0</v>
      </c>
      <c r="Y780" s="182" t="n">
        <v>0</v>
      </c>
      <c r="Z780" s="182" t="n">
        <v>0</v>
      </c>
      <c r="AA780" s="182" t="n">
        <v>0</v>
      </c>
      <c r="AB780" s="182" t="n">
        <v>0</v>
      </c>
      <c r="AC780" s="182" t="n">
        <v>0</v>
      </c>
      <c r="AD780" s="182" t="n">
        <v>0</v>
      </c>
      <c r="AE780" s="182" t="n">
        <v>0</v>
      </c>
      <c r="AF780" s="182" t="n">
        <v>0</v>
      </c>
      <c r="AG780" s="182" t="n">
        <v>0</v>
      </c>
      <c r="AH780" s="182" t="n">
        <v>0</v>
      </c>
      <c r="AI780" s="182" t="n">
        <v>0</v>
      </c>
      <c r="AJ780" s="182" t="n">
        <v>0</v>
      </c>
      <c r="AK780" s="182" t="n">
        <v>0</v>
      </c>
      <c r="AL780" s="182" t="n">
        <v>0</v>
      </c>
      <c r="AM780" s="182" t="n">
        <v>0</v>
      </c>
      <c r="AN780" s="182" t="n">
        <v>0</v>
      </c>
    </row>
    <row r="781">
      <c r="A781" s="155" t="n">
        <v>46085</v>
      </c>
      <c r="B781" s="156" t="inlineStr">
        <is>
          <t>NS</t>
        </is>
      </c>
      <c r="C781" s="156" t="inlineStr">
        <is>
          <t>CP-042</t>
        </is>
      </c>
      <c r="D781" s="156" t="inlineStr">
        <is>
          <t>SANY - Compactor</t>
        </is>
      </c>
      <c r="E781" s="156" t="inlineStr">
        <is>
          <t>Compactor</t>
        </is>
      </c>
      <c r="F781" s="156" t="inlineStr"/>
      <c r="G781" s="182" t="n">
        <v>0</v>
      </c>
      <c r="H781" s="182" t="n">
        <v>0</v>
      </c>
      <c r="I781" s="182" t="n">
        <v>0</v>
      </c>
      <c r="J781" s="182" t="n">
        <v>0</v>
      </c>
      <c r="K781" s="182" t="n">
        <v>12</v>
      </c>
      <c r="L781" s="182" t="n">
        <v>12</v>
      </c>
      <c r="M781" s="182" t="n">
        <v>0</v>
      </c>
      <c r="N781" s="182" t="n">
        <v>0</v>
      </c>
      <c r="O781" s="183" t="n">
        <v>0</v>
      </c>
      <c r="P781" s="183" t="n">
        <v>0</v>
      </c>
      <c r="Q781" s="184" t="n">
        <v>0</v>
      </c>
      <c r="R781" s="184" t="n">
        <v>0</v>
      </c>
      <c r="S781" s="183" t="n">
        <v>0</v>
      </c>
      <c r="T781" s="183" t="n">
        <v>0</v>
      </c>
      <c r="U781" s="182" t="n">
        <v>0</v>
      </c>
      <c r="V781" s="182" t="n">
        <v>0</v>
      </c>
      <c r="W781" s="182" t="n">
        <v>0</v>
      </c>
      <c r="X781" s="182" t="n">
        <v>1</v>
      </c>
      <c r="Y781" s="182" t="n">
        <v>0</v>
      </c>
      <c r="Z781" s="182" t="n">
        <v>0</v>
      </c>
      <c r="AA781" s="182" t="n">
        <v>0</v>
      </c>
      <c r="AB781" s="182" t="n">
        <v>0</v>
      </c>
      <c r="AC781" s="182" t="n">
        <v>0</v>
      </c>
      <c r="AD781" s="182" t="n">
        <v>0</v>
      </c>
      <c r="AE781" s="182" t="n">
        <v>0</v>
      </c>
      <c r="AF781" s="182" t="n">
        <v>0</v>
      </c>
      <c r="AG781" s="182" t="n">
        <v>0</v>
      </c>
      <c r="AH781" s="182" t="n">
        <v>0</v>
      </c>
      <c r="AI781" s="182" t="n">
        <v>0</v>
      </c>
      <c r="AJ781" s="182" t="n">
        <v>0</v>
      </c>
      <c r="AK781" s="182" t="n">
        <v>10.92</v>
      </c>
      <c r="AL781" s="182" t="n">
        <v>0</v>
      </c>
      <c r="AM781" s="182" t="n">
        <v>0.08</v>
      </c>
      <c r="AN781" s="182" t="n">
        <v>0</v>
      </c>
    </row>
    <row r="782">
      <c r="A782" s="155" t="n">
        <v>46085</v>
      </c>
      <c r="B782" s="156" t="inlineStr">
        <is>
          <t>NS</t>
        </is>
      </c>
      <c r="C782" s="156" t="inlineStr">
        <is>
          <t>CP-041</t>
        </is>
      </c>
      <c r="D782" s="156" t="inlineStr">
        <is>
          <t>SANY - Compactor</t>
        </is>
      </c>
      <c r="E782" s="156" t="inlineStr">
        <is>
          <t>Compactor</t>
        </is>
      </c>
      <c r="F782" s="156" t="inlineStr"/>
      <c r="G782" s="182" t="n">
        <v>0</v>
      </c>
      <c r="H782" s="182" t="n">
        <v>0</v>
      </c>
      <c r="I782" s="182" t="n">
        <v>0</v>
      </c>
      <c r="J782" s="182" t="n">
        <v>0</v>
      </c>
      <c r="K782" s="182" t="n">
        <v>12</v>
      </c>
      <c r="L782" s="182" t="n">
        <v>12</v>
      </c>
      <c r="M782" s="182" t="n">
        <v>0</v>
      </c>
      <c r="N782" s="182" t="n">
        <v>0</v>
      </c>
      <c r="O782" s="183" t="n">
        <v>0</v>
      </c>
      <c r="P782" s="183" t="n">
        <v>0</v>
      </c>
      <c r="Q782" s="184" t="n">
        <v>0</v>
      </c>
      <c r="R782" s="184" t="n">
        <v>0</v>
      </c>
      <c r="S782" s="183" t="n">
        <v>0</v>
      </c>
      <c r="T782" s="183" t="n">
        <v>0</v>
      </c>
      <c r="U782" s="182" t="n">
        <v>0</v>
      </c>
      <c r="V782" s="182" t="n">
        <v>0</v>
      </c>
      <c r="W782" s="182" t="n">
        <v>0</v>
      </c>
      <c r="X782" s="182" t="n">
        <v>1</v>
      </c>
      <c r="Y782" s="182" t="n">
        <v>0</v>
      </c>
      <c r="Z782" s="182" t="n">
        <v>0</v>
      </c>
      <c r="AA782" s="182" t="n">
        <v>0</v>
      </c>
      <c r="AB782" s="182" t="n">
        <v>0</v>
      </c>
      <c r="AC782" s="182" t="n">
        <v>0</v>
      </c>
      <c r="AD782" s="182" t="n">
        <v>0</v>
      </c>
      <c r="AE782" s="182" t="n">
        <v>0</v>
      </c>
      <c r="AF782" s="182" t="n">
        <v>0</v>
      </c>
      <c r="AG782" s="182" t="n">
        <v>0</v>
      </c>
      <c r="AH782" s="182" t="n">
        <v>0</v>
      </c>
      <c r="AI782" s="182" t="n">
        <v>0</v>
      </c>
      <c r="AJ782" s="182" t="n">
        <v>0</v>
      </c>
      <c r="AK782" s="182" t="n">
        <v>10.92</v>
      </c>
      <c r="AL782" s="182" t="n">
        <v>0</v>
      </c>
      <c r="AM782" s="182" t="n">
        <v>0.08</v>
      </c>
      <c r="AN782" s="182" t="n">
        <v>0</v>
      </c>
    </row>
    <row r="783">
      <c r="A783" s="155" t="n">
        <v>46085</v>
      </c>
      <c r="B783" s="156" t="inlineStr">
        <is>
          <t>NS</t>
        </is>
      </c>
      <c r="C783" s="156" t="inlineStr">
        <is>
          <t>HT-418</t>
        </is>
      </c>
      <c r="D783" s="156" t="inlineStr">
        <is>
          <t>SY430</t>
        </is>
      </c>
      <c r="E783" s="156" t="inlineStr">
        <is>
          <t>DT Hauling</t>
        </is>
      </c>
      <c r="F783" s="156" t="inlineStr"/>
      <c r="G783" s="182" t="n">
        <v>0</v>
      </c>
      <c r="H783" s="182" t="n">
        <v>0</v>
      </c>
      <c r="I783" s="182" t="n">
        <v>0</v>
      </c>
      <c r="J783" s="182" t="n">
        <v>0</v>
      </c>
      <c r="K783" s="182" t="n">
        <v>12</v>
      </c>
      <c r="L783" s="182" t="n">
        <v>12</v>
      </c>
      <c r="M783" s="182" t="n">
        <v>0</v>
      </c>
      <c r="N783" s="182" t="n">
        <v>0</v>
      </c>
      <c r="O783" s="183" t="n">
        <v>0</v>
      </c>
      <c r="P783" s="183" t="n">
        <v>0</v>
      </c>
      <c r="Q783" s="184" t="n">
        <v>0</v>
      </c>
      <c r="R783" s="184" t="n">
        <v>0</v>
      </c>
      <c r="S783" s="183" t="n">
        <v>0</v>
      </c>
      <c r="T783" s="183" t="n">
        <v>0</v>
      </c>
      <c r="U783" s="182" t="n">
        <v>0</v>
      </c>
      <c r="V783" s="182" t="n">
        <v>0</v>
      </c>
      <c r="W783" s="182" t="n">
        <v>0</v>
      </c>
      <c r="X783" s="182" t="n">
        <v>1</v>
      </c>
      <c r="Y783" s="182" t="n">
        <v>0</v>
      </c>
      <c r="Z783" s="182" t="n">
        <v>0</v>
      </c>
      <c r="AA783" s="182" t="n">
        <v>0</v>
      </c>
      <c r="AB783" s="182" t="n">
        <v>0</v>
      </c>
      <c r="AC783" s="182" t="n">
        <v>0</v>
      </c>
      <c r="AD783" s="182" t="n">
        <v>0</v>
      </c>
      <c r="AE783" s="182" t="n">
        <v>0</v>
      </c>
      <c r="AF783" s="182" t="n">
        <v>0</v>
      </c>
      <c r="AG783" s="182" t="n">
        <v>0</v>
      </c>
      <c r="AH783" s="182" t="n">
        <v>0</v>
      </c>
      <c r="AI783" s="182" t="n">
        <v>0</v>
      </c>
      <c r="AJ783" s="182" t="n">
        <v>0</v>
      </c>
      <c r="AK783" s="182" t="n">
        <v>10.92</v>
      </c>
      <c r="AL783" s="182" t="n">
        <v>0</v>
      </c>
      <c r="AM783" s="182" t="n">
        <v>0.08</v>
      </c>
      <c r="AN783" s="182" t="n">
        <v>0</v>
      </c>
    </row>
    <row r="784">
      <c r="A784" s="155" t="n">
        <v>46085</v>
      </c>
      <c r="B784" s="156" t="inlineStr">
        <is>
          <t>NS</t>
        </is>
      </c>
      <c r="C784" s="156" t="inlineStr">
        <is>
          <t>HT-404</t>
        </is>
      </c>
      <c r="D784" s="156" t="inlineStr">
        <is>
          <t>SY430</t>
        </is>
      </c>
      <c r="E784" s="156" t="inlineStr">
        <is>
          <t>DT Hauling</t>
        </is>
      </c>
      <c r="F784" s="156" t="inlineStr"/>
      <c r="G784" s="182" t="n">
        <v>0</v>
      </c>
      <c r="H784" s="182" t="n">
        <v>0</v>
      </c>
      <c r="I784" s="182" t="n">
        <v>0</v>
      </c>
      <c r="J784" s="182" t="n">
        <v>0</v>
      </c>
      <c r="K784" s="182" t="n">
        <v>12</v>
      </c>
      <c r="L784" s="182" t="n">
        <v>12</v>
      </c>
      <c r="M784" s="182" t="n">
        <v>0</v>
      </c>
      <c r="N784" s="182" t="n">
        <v>0</v>
      </c>
      <c r="O784" s="183" t="n">
        <v>0</v>
      </c>
      <c r="P784" s="183" t="n">
        <v>0</v>
      </c>
      <c r="Q784" s="184" t="n">
        <v>0</v>
      </c>
      <c r="R784" s="184" t="n">
        <v>0</v>
      </c>
      <c r="S784" s="183" t="n">
        <v>0</v>
      </c>
      <c r="T784" s="183" t="n">
        <v>0</v>
      </c>
      <c r="U784" s="182" t="n">
        <v>0</v>
      </c>
      <c r="V784" s="182" t="n">
        <v>0</v>
      </c>
      <c r="W784" s="182" t="n">
        <v>0</v>
      </c>
      <c r="X784" s="182" t="n">
        <v>1</v>
      </c>
      <c r="Y784" s="182" t="n">
        <v>0</v>
      </c>
      <c r="Z784" s="182" t="n">
        <v>0</v>
      </c>
      <c r="AA784" s="182" t="n">
        <v>0</v>
      </c>
      <c r="AB784" s="182" t="n">
        <v>0</v>
      </c>
      <c r="AC784" s="182" t="n">
        <v>0</v>
      </c>
      <c r="AD784" s="182" t="n">
        <v>0</v>
      </c>
      <c r="AE784" s="182" t="n">
        <v>0</v>
      </c>
      <c r="AF784" s="182" t="n">
        <v>0</v>
      </c>
      <c r="AG784" s="182" t="n">
        <v>0</v>
      </c>
      <c r="AH784" s="182" t="n">
        <v>0</v>
      </c>
      <c r="AI784" s="182" t="n">
        <v>0</v>
      </c>
      <c r="AJ784" s="182" t="n">
        <v>0</v>
      </c>
      <c r="AK784" s="182" t="n">
        <v>10.92</v>
      </c>
      <c r="AL784" s="182" t="n">
        <v>0</v>
      </c>
      <c r="AM784" s="182" t="n">
        <v>0.08</v>
      </c>
      <c r="AN784" s="182" t="n">
        <v>0</v>
      </c>
    </row>
    <row r="785">
      <c r="A785" s="155" t="n">
        <v>46085</v>
      </c>
      <c r="B785" s="156" t="inlineStr">
        <is>
          <t>NS</t>
        </is>
      </c>
      <c r="C785" s="156" t="inlineStr">
        <is>
          <t>HT-415</t>
        </is>
      </c>
      <c r="D785" s="156" t="inlineStr">
        <is>
          <t>SY430</t>
        </is>
      </c>
      <c r="E785" s="156" t="inlineStr">
        <is>
          <t>DT Hauling</t>
        </is>
      </c>
      <c r="F785" s="156" t="inlineStr"/>
      <c r="G785" s="182" t="n">
        <v>0</v>
      </c>
      <c r="H785" s="182" t="n">
        <v>0</v>
      </c>
      <c r="I785" s="182" t="n">
        <v>12</v>
      </c>
      <c r="J785" s="182" t="n">
        <v>12</v>
      </c>
      <c r="K785" s="182" t="n">
        <v>0</v>
      </c>
      <c r="L785" s="182" t="n">
        <v>12</v>
      </c>
      <c r="M785" s="182" t="n">
        <v>0</v>
      </c>
      <c r="N785" s="182" t="n">
        <v>0</v>
      </c>
      <c r="O785" s="183" t="n">
        <v>0</v>
      </c>
      <c r="P785" s="183" t="n">
        <v>0</v>
      </c>
      <c r="Q785" s="184" t="n">
        <v>0</v>
      </c>
      <c r="R785" s="184" t="n">
        <v>0</v>
      </c>
      <c r="S785" s="183" t="n">
        <v>0</v>
      </c>
      <c r="T785" s="183" t="n">
        <v>0</v>
      </c>
      <c r="U785" s="182" t="n">
        <v>0</v>
      </c>
      <c r="V785" s="182" t="n">
        <v>0</v>
      </c>
      <c r="W785" s="182" t="n">
        <v>0</v>
      </c>
      <c r="X785" s="182" t="n">
        <v>0</v>
      </c>
      <c r="Y785" s="182" t="n">
        <v>0</v>
      </c>
      <c r="Z785" s="182" t="n">
        <v>0</v>
      </c>
      <c r="AA785" s="182" t="n">
        <v>0</v>
      </c>
      <c r="AB785" s="182" t="n">
        <v>0</v>
      </c>
      <c r="AC785" s="182" t="n">
        <v>0</v>
      </c>
      <c r="AD785" s="182" t="n">
        <v>0</v>
      </c>
      <c r="AE785" s="182" t="n">
        <v>0</v>
      </c>
      <c r="AF785" s="182" t="n">
        <v>0</v>
      </c>
      <c r="AG785" s="182" t="n">
        <v>0</v>
      </c>
      <c r="AH785" s="182" t="n">
        <v>0</v>
      </c>
      <c r="AI785" s="182" t="n">
        <v>0</v>
      </c>
      <c r="AJ785" s="182" t="n">
        <v>0</v>
      </c>
      <c r="AK785" s="182" t="n">
        <v>0</v>
      </c>
      <c r="AL785" s="182" t="n">
        <v>0</v>
      </c>
      <c r="AM785" s="182" t="n">
        <v>0</v>
      </c>
      <c r="AN785" s="182" t="n">
        <v>0</v>
      </c>
    </row>
    <row r="786">
      <c r="A786" s="155" t="n">
        <v>46085</v>
      </c>
      <c r="B786" s="156" t="inlineStr">
        <is>
          <t>NS</t>
        </is>
      </c>
      <c r="C786" s="156" t="inlineStr">
        <is>
          <t>HT-406</t>
        </is>
      </c>
      <c r="D786" s="156" t="inlineStr">
        <is>
          <t>SY430</t>
        </is>
      </c>
      <c r="E786" s="156" t="inlineStr">
        <is>
          <t>DT Hauling</t>
        </is>
      </c>
      <c r="F786" s="156" t="inlineStr"/>
      <c r="G786" s="182" t="n">
        <v>0</v>
      </c>
      <c r="H786" s="182" t="n">
        <v>0</v>
      </c>
      <c r="I786" s="182" t="n">
        <v>0</v>
      </c>
      <c r="J786" s="182" t="n">
        <v>0</v>
      </c>
      <c r="K786" s="182" t="n">
        <v>12</v>
      </c>
      <c r="L786" s="182" t="n">
        <v>12</v>
      </c>
      <c r="M786" s="182" t="n">
        <v>0</v>
      </c>
      <c r="N786" s="182" t="n">
        <v>0</v>
      </c>
      <c r="O786" s="183" t="n">
        <v>0</v>
      </c>
      <c r="P786" s="183" t="n">
        <v>0</v>
      </c>
      <c r="Q786" s="184" t="n">
        <v>0</v>
      </c>
      <c r="R786" s="184" t="n">
        <v>0</v>
      </c>
      <c r="S786" s="183" t="n">
        <v>0</v>
      </c>
      <c r="T786" s="183" t="n">
        <v>0</v>
      </c>
      <c r="U786" s="182" t="n">
        <v>0</v>
      </c>
      <c r="V786" s="182" t="n">
        <v>0</v>
      </c>
      <c r="W786" s="182" t="n">
        <v>0</v>
      </c>
      <c r="X786" s="182" t="n">
        <v>1</v>
      </c>
      <c r="Y786" s="182" t="n">
        <v>0</v>
      </c>
      <c r="Z786" s="182" t="n">
        <v>0</v>
      </c>
      <c r="AA786" s="182" t="n">
        <v>0</v>
      </c>
      <c r="AB786" s="182" t="n">
        <v>0</v>
      </c>
      <c r="AC786" s="182" t="n">
        <v>0</v>
      </c>
      <c r="AD786" s="182" t="n">
        <v>0</v>
      </c>
      <c r="AE786" s="182" t="n">
        <v>0</v>
      </c>
      <c r="AF786" s="182" t="n">
        <v>0</v>
      </c>
      <c r="AG786" s="182" t="n">
        <v>0</v>
      </c>
      <c r="AH786" s="182" t="n">
        <v>0</v>
      </c>
      <c r="AI786" s="182" t="n">
        <v>0</v>
      </c>
      <c r="AJ786" s="182" t="n">
        <v>0</v>
      </c>
      <c r="AK786" s="182" t="n">
        <v>10.92</v>
      </c>
      <c r="AL786" s="182" t="n">
        <v>0</v>
      </c>
      <c r="AM786" s="182" t="n">
        <v>0.08</v>
      </c>
      <c r="AN786" s="182" t="n">
        <v>0</v>
      </c>
    </row>
    <row r="787">
      <c r="A787" s="155" t="n">
        <v>46085</v>
      </c>
      <c r="B787" s="156" t="inlineStr">
        <is>
          <t>NS</t>
        </is>
      </c>
      <c r="C787" s="156" t="inlineStr">
        <is>
          <t>HT-405</t>
        </is>
      </c>
      <c r="D787" s="156" t="inlineStr">
        <is>
          <t>SY430</t>
        </is>
      </c>
      <c r="E787" s="156" t="inlineStr">
        <is>
          <t>DT Hauling</t>
        </is>
      </c>
      <c r="F787" s="156" t="inlineStr"/>
      <c r="G787" s="182" t="n">
        <v>0</v>
      </c>
      <c r="H787" s="182" t="n">
        <v>0</v>
      </c>
      <c r="I787" s="182" t="n">
        <v>0</v>
      </c>
      <c r="J787" s="182" t="n">
        <v>0</v>
      </c>
      <c r="K787" s="182" t="n">
        <v>12</v>
      </c>
      <c r="L787" s="182" t="n">
        <v>12</v>
      </c>
      <c r="M787" s="182" t="n">
        <v>0</v>
      </c>
      <c r="N787" s="182" t="n">
        <v>0</v>
      </c>
      <c r="O787" s="183" t="n">
        <v>0</v>
      </c>
      <c r="P787" s="183" t="n">
        <v>0</v>
      </c>
      <c r="Q787" s="184" t="n">
        <v>0</v>
      </c>
      <c r="R787" s="184" t="n">
        <v>0</v>
      </c>
      <c r="S787" s="183" t="n">
        <v>0</v>
      </c>
      <c r="T787" s="183" t="n">
        <v>0</v>
      </c>
      <c r="U787" s="182" t="n">
        <v>0</v>
      </c>
      <c r="V787" s="182" t="n">
        <v>0</v>
      </c>
      <c r="W787" s="182" t="n">
        <v>0</v>
      </c>
      <c r="X787" s="182" t="n">
        <v>1</v>
      </c>
      <c r="Y787" s="182" t="n">
        <v>0</v>
      </c>
      <c r="Z787" s="182" t="n">
        <v>0</v>
      </c>
      <c r="AA787" s="182" t="n">
        <v>0</v>
      </c>
      <c r="AB787" s="182" t="n">
        <v>0</v>
      </c>
      <c r="AC787" s="182" t="n">
        <v>0</v>
      </c>
      <c r="AD787" s="182" t="n">
        <v>0</v>
      </c>
      <c r="AE787" s="182" t="n">
        <v>0</v>
      </c>
      <c r="AF787" s="182" t="n">
        <v>0</v>
      </c>
      <c r="AG787" s="182" t="n">
        <v>0</v>
      </c>
      <c r="AH787" s="182" t="n">
        <v>0</v>
      </c>
      <c r="AI787" s="182" t="n">
        <v>0</v>
      </c>
      <c r="AJ787" s="182" t="n">
        <v>0</v>
      </c>
      <c r="AK787" s="182" t="n">
        <v>10.92</v>
      </c>
      <c r="AL787" s="182" t="n">
        <v>0</v>
      </c>
      <c r="AM787" s="182" t="n">
        <v>0.08</v>
      </c>
      <c r="AN787" s="182" t="n">
        <v>0</v>
      </c>
    </row>
    <row r="788">
      <c r="A788" s="155" t="n">
        <v>46085</v>
      </c>
      <c r="B788" s="156" t="inlineStr">
        <is>
          <t>NS</t>
        </is>
      </c>
      <c r="C788" s="156" t="inlineStr">
        <is>
          <t>HT-417</t>
        </is>
      </c>
      <c r="D788" s="156" t="inlineStr">
        <is>
          <t>SY430</t>
        </is>
      </c>
      <c r="E788" s="156" t="inlineStr">
        <is>
          <t>DT Hauling</t>
        </is>
      </c>
      <c r="F788" s="156" t="inlineStr"/>
      <c r="G788" s="182" t="n">
        <v>0</v>
      </c>
      <c r="H788" s="182" t="n">
        <v>0</v>
      </c>
      <c r="I788" s="182" t="n">
        <v>0</v>
      </c>
      <c r="J788" s="182" t="n">
        <v>0</v>
      </c>
      <c r="K788" s="182" t="n">
        <v>12</v>
      </c>
      <c r="L788" s="182" t="n">
        <v>12</v>
      </c>
      <c r="M788" s="182" t="n">
        <v>0</v>
      </c>
      <c r="N788" s="182" t="n">
        <v>0</v>
      </c>
      <c r="O788" s="183" t="n">
        <v>0</v>
      </c>
      <c r="P788" s="183" t="n">
        <v>0</v>
      </c>
      <c r="Q788" s="184" t="n">
        <v>0</v>
      </c>
      <c r="R788" s="184" t="n">
        <v>0</v>
      </c>
      <c r="S788" s="183" t="n">
        <v>0</v>
      </c>
      <c r="T788" s="183" t="n">
        <v>0</v>
      </c>
      <c r="U788" s="182" t="n">
        <v>0</v>
      </c>
      <c r="V788" s="182" t="n">
        <v>0</v>
      </c>
      <c r="W788" s="182" t="n">
        <v>0</v>
      </c>
      <c r="X788" s="182" t="n">
        <v>1</v>
      </c>
      <c r="Y788" s="182" t="n">
        <v>0</v>
      </c>
      <c r="Z788" s="182" t="n">
        <v>0</v>
      </c>
      <c r="AA788" s="182" t="n">
        <v>0</v>
      </c>
      <c r="AB788" s="182" t="n">
        <v>0</v>
      </c>
      <c r="AC788" s="182" t="n">
        <v>0</v>
      </c>
      <c r="AD788" s="182" t="n">
        <v>0</v>
      </c>
      <c r="AE788" s="182" t="n">
        <v>0</v>
      </c>
      <c r="AF788" s="182" t="n">
        <v>0</v>
      </c>
      <c r="AG788" s="182" t="n">
        <v>0</v>
      </c>
      <c r="AH788" s="182" t="n">
        <v>0</v>
      </c>
      <c r="AI788" s="182" t="n">
        <v>0</v>
      </c>
      <c r="AJ788" s="182" t="n">
        <v>0</v>
      </c>
      <c r="AK788" s="182" t="n">
        <v>10.92</v>
      </c>
      <c r="AL788" s="182" t="n">
        <v>0</v>
      </c>
      <c r="AM788" s="182" t="n">
        <v>0.08</v>
      </c>
      <c r="AN788" s="182" t="n">
        <v>0</v>
      </c>
    </row>
    <row r="789">
      <c r="A789" s="155" t="n">
        <v>46085</v>
      </c>
      <c r="B789" s="156" t="inlineStr">
        <is>
          <t>NS</t>
        </is>
      </c>
      <c r="C789" s="156" t="inlineStr">
        <is>
          <t>HT-401</t>
        </is>
      </c>
      <c r="D789" s="156" t="inlineStr">
        <is>
          <t>SY430</t>
        </is>
      </c>
      <c r="E789" s="156" t="inlineStr">
        <is>
          <t>DT Hauling</t>
        </is>
      </c>
      <c r="F789" s="156" t="inlineStr"/>
      <c r="G789" s="182" t="n">
        <v>0</v>
      </c>
      <c r="H789" s="182" t="n">
        <v>0</v>
      </c>
      <c r="I789" s="182" t="n">
        <v>0</v>
      </c>
      <c r="J789" s="182" t="n">
        <v>0</v>
      </c>
      <c r="K789" s="182" t="n">
        <v>12</v>
      </c>
      <c r="L789" s="182" t="n">
        <v>12</v>
      </c>
      <c r="M789" s="182" t="n">
        <v>0</v>
      </c>
      <c r="N789" s="182" t="n">
        <v>0</v>
      </c>
      <c r="O789" s="183" t="n">
        <v>0</v>
      </c>
      <c r="P789" s="183" t="n">
        <v>0</v>
      </c>
      <c r="Q789" s="184" t="n">
        <v>0</v>
      </c>
      <c r="R789" s="184" t="n">
        <v>0</v>
      </c>
      <c r="S789" s="183" t="n">
        <v>0</v>
      </c>
      <c r="T789" s="183" t="n">
        <v>0</v>
      </c>
      <c r="U789" s="182" t="n">
        <v>0</v>
      </c>
      <c r="V789" s="182" t="n">
        <v>0</v>
      </c>
      <c r="W789" s="182" t="n">
        <v>0</v>
      </c>
      <c r="X789" s="182" t="n">
        <v>1</v>
      </c>
      <c r="Y789" s="182" t="n">
        <v>0</v>
      </c>
      <c r="Z789" s="182" t="n">
        <v>0</v>
      </c>
      <c r="AA789" s="182" t="n">
        <v>0</v>
      </c>
      <c r="AB789" s="182" t="n">
        <v>0</v>
      </c>
      <c r="AC789" s="182" t="n">
        <v>0</v>
      </c>
      <c r="AD789" s="182" t="n">
        <v>0</v>
      </c>
      <c r="AE789" s="182" t="n">
        <v>0</v>
      </c>
      <c r="AF789" s="182" t="n">
        <v>0</v>
      </c>
      <c r="AG789" s="182" t="n">
        <v>0</v>
      </c>
      <c r="AH789" s="182" t="n">
        <v>0</v>
      </c>
      <c r="AI789" s="182" t="n">
        <v>0</v>
      </c>
      <c r="AJ789" s="182" t="n">
        <v>0</v>
      </c>
      <c r="AK789" s="182" t="n">
        <v>10.92</v>
      </c>
      <c r="AL789" s="182" t="n">
        <v>0</v>
      </c>
      <c r="AM789" s="182" t="n">
        <v>0.08</v>
      </c>
      <c r="AN789" s="182" t="n">
        <v>0</v>
      </c>
    </row>
    <row r="790">
      <c r="A790" s="155" t="n">
        <v>46085</v>
      </c>
      <c r="B790" s="156" t="inlineStr">
        <is>
          <t>NS</t>
        </is>
      </c>
      <c r="C790" s="156" t="inlineStr">
        <is>
          <t>HT-410</t>
        </is>
      </c>
      <c r="D790" s="156" t="inlineStr">
        <is>
          <t>SY430</t>
        </is>
      </c>
      <c r="E790" s="156" t="inlineStr">
        <is>
          <t>DT Hauling</t>
        </is>
      </c>
      <c r="F790" s="156" t="inlineStr"/>
      <c r="G790" s="182" t="n">
        <v>0</v>
      </c>
      <c r="H790" s="182" t="n">
        <v>0</v>
      </c>
      <c r="I790" s="182" t="n">
        <v>0</v>
      </c>
      <c r="J790" s="182" t="n">
        <v>0</v>
      </c>
      <c r="K790" s="182" t="n">
        <v>12</v>
      </c>
      <c r="L790" s="182" t="n">
        <v>12</v>
      </c>
      <c r="M790" s="182" t="n">
        <v>0</v>
      </c>
      <c r="N790" s="182" t="n">
        <v>0</v>
      </c>
      <c r="O790" s="183" t="n">
        <v>0</v>
      </c>
      <c r="P790" s="183" t="n">
        <v>0</v>
      </c>
      <c r="Q790" s="184" t="n">
        <v>0</v>
      </c>
      <c r="R790" s="184" t="n">
        <v>0</v>
      </c>
      <c r="S790" s="183" t="n">
        <v>0</v>
      </c>
      <c r="T790" s="183" t="n">
        <v>0</v>
      </c>
      <c r="U790" s="182" t="n">
        <v>0</v>
      </c>
      <c r="V790" s="182" t="n">
        <v>0</v>
      </c>
      <c r="W790" s="182" t="n">
        <v>0</v>
      </c>
      <c r="X790" s="182" t="n">
        <v>1</v>
      </c>
      <c r="Y790" s="182" t="n">
        <v>0</v>
      </c>
      <c r="Z790" s="182" t="n">
        <v>0</v>
      </c>
      <c r="AA790" s="182" t="n">
        <v>0</v>
      </c>
      <c r="AB790" s="182" t="n">
        <v>0</v>
      </c>
      <c r="AC790" s="182" t="n">
        <v>0</v>
      </c>
      <c r="AD790" s="182" t="n">
        <v>0</v>
      </c>
      <c r="AE790" s="182" t="n">
        <v>0</v>
      </c>
      <c r="AF790" s="182" t="n">
        <v>0</v>
      </c>
      <c r="AG790" s="182" t="n">
        <v>0</v>
      </c>
      <c r="AH790" s="182" t="n">
        <v>0</v>
      </c>
      <c r="AI790" s="182" t="n">
        <v>0</v>
      </c>
      <c r="AJ790" s="182" t="n">
        <v>0</v>
      </c>
      <c r="AK790" s="182" t="n">
        <v>10.92</v>
      </c>
      <c r="AL790" s="182" t="n">
        <v>0</v>
      </c>
      <c r="AM790" s="182" t="n">
        <v>0.08</v>
      </c>
      <c r="AN790" s="182" t="n">
        <v>0</v>
      </c>
    </row>
    <row r="791">
      <c r="A791" s="155" t="n">
        <v>46085</v>
      </c>
      <c r="B791" s="156" t="inlineStr">
        <is>
          <t>NS</t>
        </is>
      </c>
      <c r="C791" s="156" t="inlineStr">
        <is>
          <t>HT-402</t>
        </is>
      </c>
      <c r="D791" s="156" t="inlineStr">
        <is>
          <t>SY430</t>
        </is>
      </c>
      <c r="E791" s="156" t="inlineStr">
        <is>
          <t>DT Hauling</t>
        </is>
      </c>
      <c r="F791" s="156" t="inlineStr"/>
      <c r="G791" s="182" t="n">
        <v>0</v>
      </c>
      <c r="H791" s="182" t="n">
        <v>0</v>
      </c>
      <c r="I791" s="182" t="n">
        <v>0</v>
      </c>
      <c r="J791" s="182" t="n">
        <v>0</v>
      </c>
      <c r="K791" s="182" t="n">
        <v>12</v>
      </c>
      <c r="L791" s="182" t="n">
        <v>12</v>
      </c>
      <c r="M791" s="182" t="n">
        <v>0</v>
      </c>
      <c r="N791" s="182" t="n">
        <v>0</v>
      </c>
      <c r="O791" s="183" t="n">
        <v>0</v>
      </c>
      <c r="P791" s="183" t="n">
        <v>0</v>
      </c>
      <c r="Q791" s="184" t="n">
        <v>0</v>
      </c>
      <c r="R791" s="184" t="n">
        <v>0</v>
      </c>
      <c r="S791" s="183" t="n">
        <v>0</v>
      </c>
      <c r="T791" s="183" t="n">
        <v>0</v>
      </c>
      <c r="U791" s="182" t="n">
        <v>0</v>
      </c>
      <c r="V791" s="182" t="n">
        <v>0</v>
      </c>
      <c r="W791" s="182" t="n">
        <v>0</v>
      </c>
      <c r="X791" s="182" t="n">
        <v>1</v>
      </c>
      <c r="Y791" s="182" t="n">
        <v>0</v>
      </c>
      <c r="Z791" s="182" t="n">
        <v>0</v>
      </c>
      <c r="AA791" s="182" t="n">
        <v>0</v>
      </c>
      <c r="AB791" s="182" t="n">
        <v>0</v>
      </c>
      <c r="AC791" s="182" t="n">
        <v>0</v>
      </c>
      <c r="AD791" s="182" t="n">
        <v>0</v>
      </c>
      <c r="AE791" s="182" t="n">
        <v>0</v>
      </c>
      <c r="AF791" s="182" t="n">
        <v>0</v>
      </c>
      <c r="AG791" s="182" t="n">
        <v>0</v>
      </c>
      <c r="AH791" s="182" t="n">
        <v>0</v>
      </c>
      <c r="AI791" s="182" t="n">
        <v>0</v>
      </c>
      <c r="AJ791" s="182" t="n">
        <v>0</v>
      </c>
      <c r="AK791" s="182" t="n">
        <v>10.92</v>
      </c>
      <c r="AL791" s="182" t="n">
        <v>0</v>
      </c>
      <c r="AM791" s="182" t="n">
        <v>0.08</v>
      </c>
      <c r="AN791" s="182" t="n">
        <v>0</v>
      </c>
    </row>
    <row r="792">
      <c r="A792" s="155" t="n">
        <v>46085</v>
      </c>
      <c r="B792" s="156" t="inlineStr">
        <is>
          <t>NS</t>
        </is>
      </c>
      <c r="C792" s="156" t="inlineStr">
        <is>
          <t>HT-419</t>
        </is>
      </c>
      <c r="D792" s="156" t="inlineStr">
        <is>
          <t>SY430</t>
        </is>
      </c>
      <c r="E792" s="156" t="inlineStr">
        <is>
          <t>DT Hauling</t>
        </is>
      </c>
      <c r="F792" s="156" t="inlineStr"/>
      <c r="G792" s="182" t="n">
        <v>0</v>
      </c>
      <c r="H792" s="182" t="n">
        <v>0</v>
      </c>
      <c r="I792" s="182" t="n">
        <v>12</v>
      </c>
      <c r="J792" s="182" t="n">
        <v>12</v>
      </c>
      <c r="K792" s="182" t="n">
        <v>0</v>
      </c>
      <c r="L792" s="182" t="n">
        <v>12</v>
      </c>
      <c r="M792" s="182" t="n">
        <v>0</v>
      </c>
      <c r="N792" s="182" t="n">
        <v>0</v>
      </c>
      <c r="O792" s="183" t="n">
        <v>0</v>
      </c>
      <c r="P792" s="183" t="n">
        <v>0</v>
      </c>
      <c r="Q792" s="184" t="n">
        <v>0</v>
      </c>
      <c r="R792" s="184" t="n">
        <v>0</v>
      </c>
      <c r="S792" s="183" t="n">
        <v>0</v>
      </c>
      <c r="T792" s="183" t="n">
        <v>0</v>
      </c>
      <c r="U792" s="182" t="n">
        <v>0</v>
      </c>
      <c r="V792" s="182" t="n">
        <v>0</v>
      </c>
      <c r="W792" s="182" t="n">
        <v>0</v>
      </c>
      <c r="X792" s="182" t="n">
        <v>0</v>
      </c>
      <c r="Y792" s="182" t="n">
        <v>0</v>
      </c>
      <c r="Z792" s="182" t="n">
        <v>0</v>
      </c>
      <c r="AA792" s="182" t="n">
        <v>0</v>
      </c>
      <c r="AB792" s="182" t="n">
        <v>0</v>
      </c>
      <c r="AC792" s="182" t="n">
        <v>0</v>
      </c>
      <c r="AD792" s="182" t="n">
        <v>0</v>
      </c>
      <c r="AE792" s="182" t="n">
        <v>0</v>
      </c>
      <c r="AF792" s="182" t="n">
        <v>0</v>
      </c>
      <c r="AG792" s="182" t="n">
        <v>0</v>
      </c>
      <c r="AH792" s="182" t="n">
        <v>0</v>
      </c>
      <c r="AI792" s="182" t="n">
        <v>0</v>
      </c>
      <c r="AJ792" s="182" t="n">
        <v>0</v>
      </c>
      <c r="AK792" s="182" t="n">
        <v>0</v>
      </c>
      <c r="AL792" s="182" t="n">
        <v>0</v>
      </c>
      <c r="AM792" s="182" t="n">
        <v>0</v>
      </c>
      <c r="AN792" s="182" t="n">
        <v>0</v>
      </c>
    </row>
    <row r="793">
      <c r="A793" s="155" t="n">
        <v>46085</v>
      </c>
      <c r="B793" s="156" t="inlineStr">
        <is>
          <t>NS</t>
        </is>
      </c>
      <c r="C793" s="156" t="inlineStr">
        <is>
          <t>HT-416</t>
        </is>
      </c>
      <c r="D793" s="156" t="inlineStr">
        <is>
          <t>SY430</t>
        </is>
      </c>
      <c r="E793" s="156" t="inlineStr">
        <is>
          <t>DT Hauling</t>
        </is>
      </c>
      <c r="F793" s="156" t="inlineStr"/>
      <c r="G793" s="182" t="n">
        <v>0</v>
      </c>
      <c r="H793" s="182" t="n">
        <v>0</v>
      </c>
      <c r="I793" s="182" t="n">
        <v>0</v>
      </c>
      <c r="J793" s="182" t="n">
        <v>0</v>
      </c>
      <c r="K793" s="182" t="n">
        <v>12</v>
      </c>
      <c r="L793" s="182" t="n">
        <v>12</v>
      </c>
      <c r="M793" s="182" t="n">
        <v>0</v>
      </c>
      <c r="N793" s="182" t="n">
        <v>0</v>
      </c>
      <c r="O793" s="183" t="n">
        <v>0</v>
      </c>
      <c r="P793" s="183" t="n">
        <v>0</v>
      </c>
      <c r="Q793" s="184" t="n">
        <v>0</v>
      </c>
      <c r="R793" s="184" t="n">
        <v>0</v>
      </c>
      <c r="S793" s="183" t="n">
        <v>0</v>
      </c>
      <c r="T793" s="183" t="n">
        <v>0</v>
      </c>
      <c r="U793" s="182" t="n">
        <v>0</v>
      </c>
      <c r="V793" s="182" t="n">
        <v>0</v>
      </c>
      <c r="W793" s="182" t="n">
        <v>0</v>
      </c>
      <c r="X793" s="182" t="n">
        <v>1</v>
      </c>
      <c r="Y793" s="182" t="n">
        <v>0</v>
      </c>
      <c r="Z793" s="182" t="n">
        <v>0</v>
      </c>
      <c r="AA793" s="182" t="n">
        <v>0</v>
      </c>
      <c r="AB793" s="182" t="n">
        <v>0</v>
      </c>
      <c r="AC793" s="182" t="n">
        <v>0</v>
      </c>
      <c r="AD793" s="182" t="n">
        <v>0</v>
      </c>
      <c r="AE793" s="182" t="n">
        <v>0</v>
      </c>
      <c r="AF793" s="182" t="n">
        <v>0</v>
      </c>
      <c r="AG793" s="182" t="n">
        <v>0</v>
      </c>
      <c r="AH793" s="182" t="n">
        <v>0</v>
      </c>
      <c r="AI793" s="182" t="n">
        <v>0</v>
      </c>
      <c r="AJ793" s="182" t="n">
        <v>0</v>
      </c>
      <c r="AK793" s="182" t="n">
        <v>10.92</v>
      </c>
      <c r="AL793" s="182" t="n">
        <v>0</v>
      </c>
      <c r="AM793" s="182" t="n">
        <v>0.08</v>
      </c>
      <c r="AN793" s="182" t="n">
        <v>0</v>
      </c>
    </row>
    <row r="794">
      <c r="A794" s="155" t="n">
        <v>46085</v>
      </c>
      <c r="B794" s="156" t="inlineStr">
        <is>
          <t>NS</t>
        </is>
      </c>
      <c r="C794" s="156" t="inlineStr">
        <is>
          <t>HT-420</t>
        </is>
      </c>
      <c r="D794" s="156" t="inlineStr">
        <is>
          <t>SY430</t>
        </is>
      </c>
      <c r="E794" s="156" t="inlineStr">
        <is>
          <t>DT Hauling</t>
        </is>
      </c>
      <c r="F794" s="156" t="inlineStr"/>
      <c r="G794" s="182" t="n">
        <v>0</v>
      </c>
      <c r="H794" s="182" t="n">
        <v>0</v>
      </c>
      <c r="I794" s="182" t="n">
        <v>0</v>
      </c>
      <c r="J794" s="182" t="n">
        <v>0</v>
      </c>
      <c r="K794" s="182" t="n">
        <v>12</v>
      </c>
      <c r="L794" s="182" t="n">
        <v>12</v>
      </c>
      <c r="M794" s="182" t="n">
        <v>0</v>
      </c>
      <c r="N794" s="182" t="n">
        <v>0</v>
      </c>
      <c r="O794" s="183" t="n">
        <v>0</v>
      </c>
      <c r="P794" s="183" t="n">
        <v>0</v>
      </c>
      <c r="Q794" s="184" t="n">
        <v>0</v>
      </c>
      <c r="R794" s="184" t="n">
        <v>0</v>
      </c>
      <c r="S794" s="183" t="n">
        <v>0</v>
      </c>
      <c r="T794" s="183" t="n">
        <v>0</v>
      </c>
      <c r="U794" s="182" t="n">
        <v>0</v>
      </c>
      <c r="V794" s="182" t="n">
        <v>0</v>
      </c>
      <c r="W794" s="182" t="n">
        <v>0</v>
      </c>
      <c r="X794" s="182" t="n">
        <v>1</v>
      </c>
      <c r="Y794" s="182" t="n">
        <v>0</v>
      </c>
      <c r="Z794" s="182" t="n">
        <v>0</v>
      </c>
      <c r="AA794" s="182" t="n">
        <v>0</v>
      </c>
      <c r="AB794" s="182" t="n">
        <v>0</v>
      </c>
      <c r="AC794" s="182" t="n">
        <v>0</v>
      </c>
      <c r="AD794" s="182" t="n">
        <v>0</v>
      </c>
      <c r="AE794" s="182" t="n">
        <v>0</v>
      </c>
      <c r="AF794" s="182" t="n">
        <v>0</v>
      </c>
      <c r="AG794" s="182" t="n">
        <v>0</v>
      </c>
      <c r="AH794" s="182" t="n">
        <v>0</v>
      </c>
      <c r="AI794" s="182" t="n">
        <v>0</v>
      </c>
      <c r="AJ794" s="182" t="n">
        <v>0</v>
      </c>
      <c r="AK794" s="182" t="n">
        <v>10.92</v>
      </c>
      <c r="AL794" s="182" t="n">
        <v>0</v>
      </c>
      <c r="AM794" s="182" t="n">
        <v>0.08</v>
      </c>
      <c r="AN794" s="182" t="n">
        <v>0</v>
      </c>
    </row>
    <row r="795">
      <c r="A795" s="155" t="n">
        <v>46085</v>
      </c>
      <c r="B795" s="156" t="inlineStr">
        <is>
          <t>NS</t>
        </is>
      </c>
      <c r="C795" s="156" t="inlineStr">
        <is>
          <t>HT-403</t>
        </is>
      </c>
      <c r="D795" s="156" t="inlineStr">
        <is>
          <t>SY430</t>
        </is>
      </c>
      <c r="E795" s="156" t="inlineStr">
        <is>
          <t>DT Hauling</t>
        </is>
      </c>
      <c r="F795" s="156" t="inlineStr"/>
      <c r="G795" s="182" t="n">
        <v>0</v>
      </c>
      <c r="H795" s="182" t="n">
        <v>0</v>
      </c>
      <c r="I795" s="182" t="n">
        <v>0</v>
      </c>
      <c r="J795" s="182" t="n">
        <v>0</v>
      </c>
      <c r="K795" s="182" t="n">
        <v>12</v>
      </c>
      <c r="L795" s="182" t="n">
        <v>12</v>
      </c>
      <c r="M795" s="182" t="n">
        <v>0</v>
      </c>
      <c r="N795" s="182" t="n">
        <v>0</v>
      </c>
      <c r="O795" s="183" t="n">
        <v>0</v>
      </c>
      <c r="P795" s="183" t="n">
        <v>0</v>
      </c>
      <c r="Q795" s="184" t="n">
        <v>0</v>
      </c>
      <c r="R795" s="184" t="n">
        <v>0</v>
      </c>
      <c r="S795" s="183" t="n">
        <v>0</v>
      </c>
      <c r="T795" s="183" t="n">
        <v>0</v>
      </c>
      <c r="U795" s="182" t="n">
        <v>0</v>
      </c>
      <c r="V795" s="182" t="n">
        <v>0</v>
      </c>
      <c r="W795" s="182" t="n">
        <v>0</v>
      </c>
      <c r="X795" s="182" t="n">
        <v>1</v>
      </c>
      <c r="Y795" s="182" t="n">
        <v>0</v>
      </c>
      <c r="Z795" s="182" t="n">
        <v>0</v>
      </c>
      <c r="AA795" s="182" t="n">
        <v>0</v>
      </c>
      <c r="AB795" s="182" t="n">
        <v>0</v>
      </c>
      <c r="AC795" s="182" t="n">
        <v>0</v>
      </c>
      <c r="AD795" s="182" t="n">
        <v>0</v>
      </c>
      <c r="AE795" s="182" t="n">
        <v>0</v>
      </c>
      <c r="AF795" s="182" t="n">
        <v>0</v>
      </c>
      <c r="AG795" s="182" t="n">
        <v>0</v>
      </c>
      <c r="AH795" s="182" t="n">
        <v>0</v>
      </c>
      <c r="AI795" s="182" t="n">
        <v>0</v>
      </c>
      <c r="AJ795" s="182" t="n">
        <v>0</v>
      </c>
      <c r="AK795" s="182" t="n">
        <v>10.92</v>
      </c>
      <c r="AL795" s="182" t="n">
        <v>0</v>
      </c>
      <c r="AM795" s="182" t="n">
        <v>0.08</v>
      </c>
      <c r="AN795" s="182" t="n">
        <v>0</v>
      </c>
    </row>
    <row r="796">
      <c r="A796" s="155" t="n">
        <v>46085</v>
      </c>
      <c r="B796" s="156" t="inlineStr">
        <is>
          <t>NS</t>
        </is>
      </c>
      <c r="C796" s="156" t="inlineStr">
        <is>
          <t>HT-408</t>
        </is>
      </c>
      <c r="D796" s="156" t="inlineStr">
        <is>
          <t>SY430</t>
        </is>
      </c>
      <c r="E796" s="156" t="inlineStr">
        <is>
          <t>DT Hauling</t>
        </is>
      </c>
      <c r="F796" s="156" t="inlineStr"/>
      <c r="G796" s="182" t="n">
        <v>0</v>
      </c>
      <c r="H796" s="182" t="n">
        <v>0</v>
      </c>
      <c r="I796" s="182" t="n">
        <v>0</v>
      </c>
      <c r="J796" s="182" t="n">
        <v>0</v>
      </c>
      <c r="K796" s="182" t="n">
        <v>12</v>
      </c>
      <c r="L796" s="182" t="n">
        <v>12</v>
      </c>
      <c r="M796" s="182" t="n">
        <v>0</v>
      </c>
      <c r="N796" s="182" t="n">
        <v>0</v>
      </c>
      <c r="O796" s="183" t="n">
        <v>0</v>
      </c>
      <c r="P796" s="183" t="n">
        <v>0</v>
      </c>
      <c r="Q796" s="184" t="n">
        <v>0</v>
      </c>
      <c r="R796" s="184" t="n">
        <v>0</v>
      </c>
      <c r="S796" s="183" t="n">
        <v>0</v>
      </c>
      <c r="T796" s="183" t="n">
        <v>0</v>
      </c>
      <c r="U796" s="182" t="n">
        <v>0</v>
      </c>
      <c r="V796" s="182" t="n">
        <v>0</v>
      </c>
      <c r="W796" s="182" t="n">
        <v>0</v>
      </c>
      <c r="X796" s="182" t="n">
        <v>1</v>
      </c>
      <c r="Y796" s="182" t="n">
        <v>0</v>
      </c>
      <c r="Z796" s="182" t="n">
        <v>0</v>
      </c>
      <c r="AA796" s="182" t="n">
        <v>0</v>
      </c>
      <c r="AB796" s="182" t="n">
        <v>0</v>
      </c>
      <c r="AC796" s="182" t="n">
        <v>0</v>
      </c>
      <c r="AD796" s="182" t="n">
        <v>0</v>
      </c>
      <c r="AE796" s="182" t="n">
        <v>0</v>
      </c>
      <c r="AF796" s="182" t="n">
        <v>0</v>
      </c>
      <c r="AG796" s="182" t="n">
        <v>0</v>
      </c>
      <c r="AH796" s="182" t="n">
        <v>0</v>
      </c>
      <c r="AI796" s="182" t="n">
        <v>0</v>
      </c>
      <c r="AJ796" s="182" t="n">
        <v>0</v>
      </c>
      <c r="AK796" s="182" t="n">
        <v>10.92</v>
      </c>
      <c r="AL796" s="182" t="n">
        <v>0</v>
      </c>
      <c r="AM796" s="182" t="n">
        <v>0.08</v>
      </c>
      <c r="AN796" s="182" t="n">
        <v>0</v>
      </c>
    </row>
    <row r="797">
      <c r="A797" s="155" t="n">
        <v>46085</v>
      </c>
      <c r="B797" s="156" t="inlineStr">
        <is>
          <t>NS</t>
        </is>
      </c>
      <c r="C797" s="156" t="inlineStr">
        <is>
          <t>HT-412</t>
        </is>
      </c>
      <c r="D797" s="156" t="inlineStr">
        <is>
          <t>SY430</t>
        </is>
      </c>
      <c r="E797" s="156" t="inlineStr">
        <is>
          <t>DT Hauling</t>
        </is>
      </c>
      <c r="F797" s="156" t="inlineStr"/>
      <c r="G797" s="182" t="n">
        <v>0</v>
      </c>
      <c r="H797" s="182" t="n">
        <v>0</v>
      </c>
      <c r="I797" s="182" t="n">
        <v>0</v>
      </c>
      <c r="J797" s="182" t="n">
        <v>0</v>
      </c>
      <c r="K797" s="182" t="n">
        <v>12</v>
      </c>
      <c r="L797" s="182" t="n">
        <v>12</v>
      </c>
      <c r="M797" s="182" t="n">
        <v>0</v>
      </c>
      <c r="N797" s="182" t="n">
        <v>0</v>
      </c>
      <c r="O797" s="183" t="n">
        <v>0</v>
      </c>
      <c r="P797" s="183" t="n">
        <v>0</v>
      </c>
      <c r="Q797" s="184" t="n">
        <v>0</v>
      </c>
      <c r="R797" s="184" t="n">
        <v>0</v>
      </c>
      <c r="S797" s="183" t="n">
        <v>0</v>
      </c>
      <c r="T797" s="183" t="n">
        <v>0</v>
      </c>
      <c r="U797" s="182" t="n">
        <v>0</v>
      </c>
      <c r="V797" s="182" t="n">
        <v>0</v>
      </c>
      <c r="W797" s="182" t="n">
        <v>0</v>
      </c>
      <c r="X797" s="182" t="n">
        <v>1</v>
      </c>
      <c r="Y797" s="182" t="n">
        <v>0</v>
      </c>
      <c r="Z797" s="182" t="n">
        <v>0</v>
      </c>
      <c r="AA797" s="182" t="n">
        <v>0</v>
      </c>
      <c r="AB797" s="182" t="n">
        <v>0</v>
      </c>
      <c r="AC797" s="182" t="n">
        <v>0</v>
      </c>
      <c r="AD797" s="182" t="n">
        <v>0</v>
      </c>
      <c r="AE797" s="182" t="n">
        <v>0</v>
      </c>
      <c r="AF797" s="182" t="n">
        <v>0</v>
      </c>
      <c r="AG797" s="182" t="n">
        <v>0</v>
      </c>
      <c r="AH797" s="182" t="n">
        <v>0</v>
      </c>
      <c r="AI797" s="182" t="n">
        <v>0</v>
      </c>
      <c r="AJ797" s="182" t="n">
        <v>0</v>
      </c>
      <c r="AK797" s="182" t="n">
        <v>10.92</v>
      </c>
      <c r="AL797" s="182" t="n">
        <v>0</v>
      </c>
      <c r="AM797" s="182" t="n">
        <v>0.08</v>
      </c>
      <c r="AN797" s="182" t="n">
        <v>0</v>
      </c>
    </row>
    <row r="798">
      <c r="A798" s="155" t="n">
        <v>46085</v>
      </c>
      <c r="B798" s="156" t="inlineStr">
        <is>
          <t>NS</t>
        </is>
      </c>
      <c r="C798" s="156" t="inlineStr">
        <is>
          <t>HT-413</t>
        </is>
      </c>
      <c r="D798" s="156" t="inlineStr">
        <is>
          <t>SY430</t>
        </is>
      </c>
      <c r="E798" s="156" t="inlineStr">
        <is>
          <t>DT Hauling</t>
        </is>
      </c>
      <c r="F798" s="156" t="inlineStr"/>
      <c r="G798" s="182" t="n">
        <v>0</v>
      </c>
      <c r="H798" s="182" t="n">
        <v>0</v>
      </c>
      <c r="I798" s="182" t="n">
        <v>12</v>
      </c>
      <c r="J798" s="182" t="n">
        <v>12</v>
      </c>
      <c r="K798" s="182" t="n">
        <v>0</v>
      </c>
      <c r="L798" s="182" t="n">
        <v>12</v>
      </c>
      <c r="M798" s="182" t="n">
        <v>0</v>
      </c>
      <c r="N798" s="182" t="n">
        <v>0</v>
      </c>
      <c r="O798" s="183" t="n">
        <v>0</v>
      </c>
      <c r="P798" s="183" t="n">
        <v>0</v>
      </c>
      <c r="Q798" s="184" t="n">
        <v>0</v>
      </c>
      <c r="R798" s="184" t="n">
        <v>0</v>
      </c>
      <c r="S798" s="183" t="n">
        <v>0</v>
      </c>
      <c r="T798" s="183" t="n">
        <v>0</v>
      </c>
      <c r="U798" s="182" t="n">
        <v>0</v>
      </c>
      <c r="V798" s="182" t="n">
        <v>0</v>
      </c>
      <c r="W798" s="182" t="n">
        <v>0</v>
      </c>
      <c r="X798" s="182" t="n">
        <v>0</v>
      </c>
      <c r="Y798" s="182" t="n">
        <v>0</v>
      </c>
      <c r="Z798" s="182" t="n">
        <v>0</v>
      </c>
      <c r="AA798" s="182" t="n">
        <v>0</v>
      </c>
      <c r="AB798" s="182" t="n">
        <v>0</v>
      </c>
      <c r="AC798" s="182" t="n">
        <v>0</v>
      </c>
      <c r="AD798" s="182" t="n">
        <v>0</v>
      </c>
      <c r="AE798" s="182" t="n">
        <v>0</v>
      </c>
      <c r="AF798" s="182" t="n">
        <v>0</v>
      </c>
      <c r="AG798" s="182" t="n">
        <v>0</v>
      </c>
      <c r="AH798" s="182" t="n">
        <v>0</v>
      </c>
      <c r="AI798" s="182" t="n">
        <v>0</v>
      </c>
      <c r="AJ798" s="182" t="n">
        <v>0</v>
      </c>
      <c r="AK798" s="182" t="n">
        <v>0</v>
      </c>
      <c r="AL798" s="182" t="n">
        <v>0</v>
      </c>
      <c r="AM798" s="182" t="n">
        <v>0</v>
      </c>
      <c r="AN798" s="182" t="n">
        <v>0</v>
      </c>
    </row>
    <row r="799">
      <c r="A799" s="155" t="n">
        <v>46085</v>
      </c>
      <c r="B799" s="156" t="inlineStr">
        <is>
          <t>NS</t>
        </is>
      </c>
      <c r="C799" s="156" t="inlineStr">
        <is>
          <t>HT-407</t>
        </is>
      </c>
      <c r="D799" s="156" t="inlineStr">
        <is>
          <t>SY430</t>
        </is>
      </c>
      <c r="E799" s="156" t="inlineStr">
        <is>
          <t>DT Hauling</t>
        </is>
      </c>
      <c r="F799" s="156" t="inlineStr"/>
      <c r="G799" s="182" t="n">
        <v>0</v>
      </c>
      <c r="H799" s="182" t="n">
        <v>0</v>
      </c>
      <c r="I799" s="182" t="n">
        <v>0</v>
      </c>
      <c r="J799" s="182" t="n">
        <v>0</v>
      </c>
      <c r="K799" s="182" t="n">
        <v>12</v>
      </c>
      <c r="L799" s="182" t="n">
        <v>12</v>
      </c>
      <c r="M799" s="182" t="n">
        <v>0</v>
      </c>
      <c r="N799" s="182" t="n">
        <v>0</v>
      </c>
      <c r="O799" s="183" t="n">
        <v>0</v>
      </c>
      <c r="P799" s="183" t="n">
        <v>0</v>
      </c>
      <c r="Q799" s="184" t="n">
        <v>0</v>
      </c>
      <c r="R799" s="184" t="n">
        <v>0</v>
      </c>
      <c r="S799" s="183" t="n">
        <v>0</v>
      </c>
      <c r="T799" s="183" t="n">
        <v>0</v>
      </c>
      <c r="U799" s="182" t="n">
        <v>0</v>
      </c>
      <c r="V799" s="182" t="n">
        <v>0</v>
      </c>
      <c r="W799" s="182" t="n">
        <v>0</v>
      </c>
      <c r="X799" s="182" t="n">
        <v>1</v>
      </c>
      <c r="Y799" s="182" t="n">
        <v>0</v>
      </c>
      <c r="Z799" s="182" t="n">
        <v>0</v>
      </c>
      <c r="AA799" s="182" t="n">
        <v>0</v>
      </c>
      <c r="AB799" s="182" t="n">
        <v>0</v>
      </c>
      <c r="AC799" s="182" t="n">
        <v>0</v>
      </c>
      <c r="AD799" s="182" t="n">
        <v>0</v>
      </c>
      <c r="AE799" s="182" t="n">
        <v>0</v>
      </c>
      <c r="AF799" s="182" t="n">
        <v>0</v>
      </c>
      <c r="AG799" s="182" t="n">
        <v>0</v>
      </c>
      <c r="AH799" s="182" t="n">
        <v>0</v>
      </c>
      <c r="AI799" s="182" t="n">
        <v>0</v>
      </c>
      <c r="AJ799" s="182" t="n">
        <v>0</v>
      </c>
      <c r="AK799" s="182" t="n">
        <v>10.92</v>
      </c>
      <c r="AL799" s="182" t="n">
        <v>0</v>
      </c>
      <c r="AM799" s="182" t="n">
        <v>0.08</v>
      </c>
      <c r="AN799" s="182" t="n">
        <v>0</v>
      </c>
    </row>
    <row r="800">
      <c r="A800" s="155" t="n">
        <v>46085</v>
      </c>
      <c r="B800" s="156" t="inlineStr">
        <is>
          <t>NS</t>
        </is>
      </c>
      <c r="C800" s="156" t="inlineStr">
        <is>
          <t>HT-414</t>
        </is>
      </c>
      <c r="D800" s="156" t="inlineStr">
        <is>
          <t>SY430</t>
        </is>
      </c>
      <c r="E800" s="156" t="inlineStr">
        <is>
          <t>DT Hauling</t>
        </is>
      </c>
      <c r="F800" s="156" t="inlineStr"/>
      <c r="G800" s="182" t="n">
        <v>0</v>
      </c>
      <c r="H800" s="182" t="n">
        <v>0</v>
      </c>
      <c r="I800" s="182" t="n">
        <v>12</v>
      </c>
      <c r="J800" s="182" t="n">
        <v>12</v>
      </c>
      <c r="K800" s="182" t="n">
        <v>0</v>
      </c>
      <c r="L800" s="182" t="n">
        <v>12</v>
      </c>
      <c r="M800" s="182" t="n">
        <v>0</v>
      </c>
      <c r="N800" s="182" t="n">
        <v>0</v>
      </c>
      <c r="O800" s="183" t="n">
        <v>0</v>
      </c>
      <c r="P800" s="183" t="n">
        <v>0</v>
      </c>
      <c r="Q800" s="184" t="n">
        <v>0</v>
      </c>
      <c r="R800" s="184" t="n">
        <v>0</v>
      </c>
      <c r="S800" s="183" t="n">
        <v>0</v>
      </c>
      <c r="T800" s="183" t="n">
        <v>0</v>
      </c>
      <c r="U800" s="182" t="n">
        <v>0</v>
      </c>
      <c r="V800" s="182" t="n">
        <v>0</v>
      </c>
      <c r="W800" s="182" t="n">
        <v>0</v>
      </c>
      <c r="X800" s="182" t="n">
        <v>0</v>
      </c>
      <c r="Y800" s="182" t="n">
        <v>0</v>
      </c>
      <c r="Z800" s="182" t="n">
        <v>0</v>
      </c>
      <c r="AA800" s="182" t="n">
        <v>0</v>
      </c>
      <c r="AB800" s="182" t="n">
        <v>0</v>
      </c>
      <c r="AC800" s="182" t="n">
        <v>0</v>
      </c>
      <c r="AD800" s="182" t="n">
        <v>0</v>
      </c>
      <c r="AE800" s="182" t="n">
        <v>0</v>
      </c>
      <c r="AF800" s="182" t="n">
        <v>0</v>
      </c>
      <c r="AG800" s="182" t="n">
        <v>0</v>
      </c>
      <c r="AH800" s="182" t="n">
        <v>0</v>
      </c>
      <c r="AI800" s="182" t="n">
        <v>0</v>
      </c>
      <c r="AJ800" s="182" t="n">
        <v>0</v>
      </c>
      <c r="AK800" s="182" t="n">
        <v>0</v>
      </c>
      <c r="AL800" s="182" t="n">
        <v>0</v>
      </c>
      <c r="AM800" s="182" t="n">
        <v>0</v>
      </c>
      <c r="AN800" s="182" t="n">
        <v>0</v>
      </c>
    </row>
    <row r="801">
      <c r="A801" s="155" t="n">
        <v>46085</v>
      </c>
      <c r="B801" s="156" t="inlineStr">
        <is>
          <t>NS</t>
        </is>
      </c>
      <c r="C801" s="156" t="inlineStr">
        <is>
          <t>HT-411</t>
        </is>
      </c>
      <c r="D801" s="156" t="inlineStr">
        <is>
          <t>SY430</t>
        </is>
      </c>
      <c r="E801" s="156" t="inlineStr">
        <is>
          <t>DT Hauling</t>
        </is>
      </c>
      <c r="F801" s="156" t="inlineStr"/>
      <c r="G801" s="182" t="n">
        <v>0</v>
      </c>
      <c r="H801" s="182" t="n">
        <v>0</v>
      </c>
      <c r="I801" s="182" t="n">
        <v>0</v>
      </c>
      <c r="J801" s="182" t="n">
        <v>0</v>
      </c>
      <c r="K801" s="182" t="n">
        <v>12</v>
      </c>
      <c r="L801" s="182" t="n">
        <v>12</v>
      </c>
      <c r="M801" s="182" t="n">
        <v>0</v>
      </c>
      <c r="N801" s="182" t="n">
        <v>0</v>
      </c>
      <c r="O801" s="183" t="n">
        <v>0</v>
      </c>
      <c r="P801" s="183" t="n">
        <v>0</v>
      </c>
      <c r="Q801" s="184" t="n">
        <v>0</v>
      </c>
      <c r="R801" s="184" t="n">
        <v>0</v>
      </c>
      <c r="S801" s="183" t="n">
        <v>0</v>
      </c>
      <c r="T801" s="183" t="n">
        <v>0</v>
      </c>
      <c r="U801" s="182" t="n">
        <v>0</v>
      </c>
      <c r="V801" s="182" t="n">
        <v>0</v>
      </c>
      <c r="W801" s="182" t="n">
        <v>0</v>
      </c>
      <c r="X801" s="182" t="n">
        <v>1</v>
      </c>
      <c r="Y801" s="182" t="n">
        <v>0</v>
      </c>
      <c r="Z801" s="182" t="n">
        <v>0</v>
      </c>
      <c r="AA801" s="182" t="n">
        <v>0</v>
      </c>
      <c r="AB801" s="182" t="n">
        <v>0</v>
      </c>
      <c r="AC801" s="182" t="n">
        <v>0</v>
      </c>
      <c r="AD801" s="182" t="n">
        <v>0</v>
      </c>
      <c r="AE801" s="182" t="n">
        <v>0</v>
      </c>
      <c r="AF801" s="182" t="n">
        <v>0</v>
      </c>
      <c r="AG801" s="182" t="n">
        <v>0</v>
      </c>
      <c r="AH801" s="182" t="n">
        <v>0</v>
      </c>
      <c r="AI801" s="182" t="n">
        <v>0</v>
      </c>
      <c r="AJ801" s="182" t="n">
        <v>0</v>
      </c>
      <c r="AK801" s="182" t="n">
        <v>10.92</v>
      </c>
      <c r="AL801" s="182" t="n">
        <v>0</v>
      </c>
      <c r="AM801" s="182" t="n">
        <v>0.08</v>
      </c>
      <c r="AN801" s="182" t="n">
        <v>0</v>
      </c>
    </row>
    <row r="802">
      <c r="A802" s="155" t="n">
        <v>46085</v>
      </c>
      <c r="B802" s="156" t="inlineStr">
        <is>
          <t>NS</t>
        </is>
      </c>
      <c r="C802" s="156" t="inlineStr">
        <is>
          <t>HT-409</t>
        </is>
      </c>
      <c r="D802" s="156" t="inlineStr">
        <is>
          <t>SY430</t>
        </is>
      </c>
      <c r="E802" s="156" t="inlineStr">
        <is>
          <t>DT Hauling</t>
        </is>
      </c>
      <c r="F802" s="156" t="inlineStr"/>
      <c r="G802" s="182" t="n">
        <v>0</v>
      </c>
      <c r="H802" s="182" t="n">
        <v>0</v>
      </c>
      <c r="I802" s="182" t="n">
        <v>0</v>
      </c>
      <c r="J802" s="182" t="n">
        <v>0</v>
      </c>
      <c r="K802" s="182" t="n">
        <v>12</v>
      </c>
      <c r="L802" s="182" t="n">
        <v>12</v>
      </c>
      <c r="M802" s="182" t="n">
        <v>0</v>
      </c>
      <c r="N802" s="182" t="n">
        <v>0</v>
      </c>
      <c r="O802" s="183" t="n">
        <v>0</v>
      </c>
      <c r="P802" s="183" t="n">
        <v>0</v>
      </c>
      <c r="Q802" s="184" t="n">
        <v>0</v>
      </c>
      <c r="R802" s="184" t="n">
        <v>0</v>
      </c>
      <c r="S802" s="183" t="n">
        <v>0</v>
      </c>
      <c r="T802" s="183" t="n">
        <v>0</v>
      </c>
      <c r="U802" s="182" t="n">
        <v>0</v>
      </c>
      <c r="V802" s="182" t="n">
        <v>0</v>
      </c>
      <c r="W802" s="182" t="n">
        <v>0</v>
      </c>
      <c r="X802" s="182" t="n">
        <v>1</v>
      </c>
      <c r="Y802" s="182" t="n">
        <v>0</v>
      </c>
      <c r="Z802" s="182" t="n">
        <v>0</v>
      </c>
      <c r="AA802" s="182" t="n">
        <v>0</v>
      </c>
      <c r="AB802" s="182" t="n">
        <v>0</v>
      </c>
      <c r="AC802" s="182" t="n">
        <v>0</v>
      </c>
      <c r="AD802" s="182" t="n">
        <v>0</v>
      </c>
      <c r="AE802" s="182" t="n">
        <v>0</v>
      </c>
      <c r="AF802" s="182" t="n">
        <v>0</v>
      </c>
      <c r="AG802" s="182" t="n">
        <v>0</v>
      </c>
      <c r="AH802" s="182" t="n">
        <v>0</v>
      </c>
      <c r="AI802" s="182" t="n">
        <v>0</v>
      </c>
      <c r="AJ802" s="182" t="n">
        <v>0</v>
      </c>
      <c r="AK802" s="182" t="n">
        <v>10.92</v>
      </c>
      <c r="AL802" s="182" t="n">
        <v>0</v>
      </c>
      <c r="AM802" s="182" t="n">
        <v>0.08</v>
      </c>
      <c r="AN802" s="182" t="n">
        <v>0</v>
      </c>
    </row>
    <row r="803">
      <c r="A803" s="155" t="n">
        <v>46085</v>
      </c>
      <c r="B803" s="156" t="inlineStr">
        <is>
          <t>NS</t>
        </is>
      </c>
      <c r="C803" s="156" t="inlineStr">
        <is>
          <t>DH-103</t>
        </is>
      </c>
      <c r="D803" s="156" t="inlineStr">
        <is>
          <t>HINO FM260</t>
        </is>
      </c>
      <c r="E803" s="156" t="inlineStr">
        <is>
          <t>DT Hino</t>
        </is>
      </c>
      <c r="F803" s="156" t="inlineStr"/>
      <c r="G803" s="182" t="n">
        <v>0</v>
      </c>
      <c r="H803" s="182" t="n">
        <v>0</v>
      </c>
      <c r="I803" s="182" t="n">
        <v>0</v>
      </c>
      <c r="J803" s="182" t="n">
        <v>0</v>
      </c>
      <c r="K803" s="182" t="n">
        <v>12</v>
      </c>
      <c r="L803" s="182" t="n">
        <v>12</v>
      </c>
      <c r="M803" s="182" t="n">
        <v>0</v>
      </c>
      <c r="N803" s="182" t="n">
        <v>0</v>
      </c>
      <c r="O803" s="183" t="n">
        <v>0</v>
      </c>
      <c r="P803" s="183" t="n">
        <v>0</v>
      </c>
      <c r="Q803" s="184" t="n">
        <v>0</v>
      </c>
      <c r="R803" s="184" t="n">
        <v>0</v>
      </c>
      <c r="S803" s="183" t="n">
        <v>0</v>
      </c>
      <c r="T803" s="183" t="n">
        <v>0</v>
      </c>
      <c r="U803" s="182" t="n">
        <v>0</v>
      </c>
      <c r="V803" s="182" t="n">
        <v>0</v>
      </c>
      <c r="W803" s="182" t="n">
        <v>0</v>
      </c>
      <c r="X803" s="182" t="n">
        <v>1</v>
      </c>
      <c r="Y803" s="182" t="n">
        <v>0</v>
      </c>
      <c r="Z803" s="182" t="n">
        <v>0</v>
      </c>
      <c r="AA803" s="182" t="n">
        <v>0</v>
      </c>
      <c r="AB803" s="182" t="n">
        <v>0</v>
      </c>
      <c r="AC803" s="182" t="n">
        <v>0</v>
      </c>
      <c r="AD803" s="182" t="n">
        <v>0</v>
      </c>
      <c r="AE803" s="182" t="n">
        <v>0</v>
      </c>
      <c r="AF803" s="182" t="n">
        <v>0</v>
      </c>
      <c r="AG803" s="182" t="n">
        <v>0</v>
      </c>
      <c r="AH803" s="182" t="n">
        <v>0</v>
      </c>
      <c r="AI803" s="182" t="n">
        <v>0</v>
      </c>
      <c r="AJ803" s="182" t="n">
        <v>0</v>
      </c>
      <c r="AK803" s="182" t="n">
        <v>10.92</v>
      </c>
      <c r="AL803" s="182" t="n">
        <v>0</v>
      </c>
      <c r="AM803" s="182" t="n">
        <v>0.08</v>
      </c>
      <c r="AN803" s="182" t="n">
        <v>0</v>
      </c>
    </row>
    <row r="804">
      <c r="A804" s="155" t="n">
        <v>46085</v>
      </c>
      <c r="B804" s="156" t="inlineStr">
        <is>
          <t>NS</t>
        </is>
      </c>
      <c r="C804" s="156" t="inlineStr">
        <is>
          <t>DH-102</t>
        </is>
      </c>
      <c r="D804" s="156" t="inlineStr">
        <is>
          <t>HINO FM260</t>
        </is>
      </c>
      <c r="E804" s="156" t="inlineStr">
        <is>
          <t>DT Hino</t>
        </is>
      </c>
      <c r="F804" s="156" t="inlineStr"/>
      <c r="G804" s="182" t="n">
        <v>0</v>
      </c>
      <c r="H804" s="182" t="n">
        <v>0</v>
      </c>
      <c r="I804" s="182" t="n">
        <v>0</v>
      </c>
      <c r="J804" s="182" t="n">
        <v>0</v>
      </c>
      <c r="K804" s="182" t="n">
        <v>12</v>
      </c>
      <c r="L804" s="182" t="n">
        <v>12</v>
      </c>
      <c r="M804" s="182" t="n">
        <v>0</v>
      </c>
      <c r="N804" s="182" t="n">
        <v>0</v>
      </c>
      <c r="O804" s="183" t="n">
        <v>0</v>
      </c>
      <c r="P804" s="183" t="n">
        <v>0</v>
      </c>
      <c r="Q804" s="184" t="n">
        <v>0</v>
      </c>
      <c r="R804" s="184" t="n">
        <v>0</v>
      </c>
      <c r="S804" s="183" t="n">
        <v>0</v>
      </c>
      <c r="T804" s="183" t="n">
        <v>0</v>
      </c>
      <c r="U804" s="182" t="n">
        <v>0</v>
      </c>
      <c r="V804" s="182" t="n">
        <v>0</v>
      </c>
      <c r="W804" s="182" t="n">
        <v>0</v>
      </c>
      <c r="X804" s="182" t="n">
        <v>1</v>
      </c>
      <c r="Y804" s="182" t="n">
        <v>0</v>
      </c>
      <c r="Z804" s="182" t="n">
        <v>0</v>
      </c>
      <c r="AA804" s="182" t="n">
        <v>0</v>
      </c>
      <c r="AB804" s="182" t="n">
        <v>0</v>
      </c>
      <c r="AC804" s="182" t="n">
        <v>0</v>
      </c>
      <c r="AD804" s="182" t="n">
        <v>0</v>
      </c>
      <c r="AE804" s="182" t="n">
        <v>0</v>
      </c>
      <c r="AF804" s="182" t="n">
        <v>0</v>
      </c>
      <c r="AG804" s="182" t="n">
        <v>0</v>
      </c>
      <c r="AH804" s="182" t="n">
        <v>0</v>
      </c>
      <c r="AI804" s="182" t="n">
        <v>0</v>
      </c>
      <c r="AJ804" s="182" t="n">
        <v>0</v>
      </c>
      <c r="AK804" s="182" t="n">
        <v>10.92</v>
      </c>
      <c r="AL804" s="182" t="n">
        <v>0</v>
      </c>
      <c r="AM804" s="182" t="n">
        <v>0.08</v>
      </c>
      <c r="AN804" s="182" t="n">
        <v>0</v>
      </c>
    </row>
    <row r="805">
      <c r="A805" s="155" t="n">
        <v>46085</v>
      </c>
      <c r="B805" s="156" t="inlineStr">
        <is>
          <t>NS</t>
        </is>
      </c>
      <c r="C805" s="156" t="inlineStr">
        <is>
          <t>DH-101</t>
        </is>
      </c>
      <c r="D805" s="156" t="inlineStr">
        <is>
          <t>HINO FM260</t>
        </is>
      </c>
      <c r="E805" s="156" t="inlineStr">
        <is>
          <t>DT Hino</t>
        </is>
      </c>
      <c r="F805" s="156" t="inlineStr"/>
      <c r="G805" s="182" t="n">
        <v>0</v>
      </c>
      <c r="H805" s="182" t="n">
        <v>0</v>
      </c>
      <c r="I805" s="182" t="n">
        <v>0</v>
      </c>
      <c r="J805" s="182" t="n">
        <v>0</v>
      </c>
      <c r="K805" s="182" t="n">
        <v>12</v>
      </c>
      <c r="L805" s="182" t="n">
        <v>12</v>
      </c>
      <c r="M805" s="182" t="n">
        <v>0</v>
      </c>
      <c r="N805" s="182" t="n">
        <v>0</v>
      </c>
      <c r="O805" s="183" t="n">
        <v>0</v>
      </c>
      <c r="P805" s="183" t="n">
        <v>0</v>
      </c>
      <c r="Q805" s="184" t="n">
        <v>0</v>
      </c>
      <c r="R805" s="184" t="n">
        <v>0</v>
      </c>
      <c r="S805" s="183" t="n">
        <v>0</v>
      </c>
      <c r="T805" s="183" t="n">
        <v>0</v>
      </c>
      <c r="U805" s="182" t="n">
        <v>0</v>
      </c>
      <c r="V805" s="182" t="n">
        <v>0</v>
      </c>
      <c r="W805" s="182" t="n">
        <v>0</v>
      </c>
      <c r="X805" s="182" t="n">
        <v>1</v>
      </c>
      <c r="Y805" s="182" t="n">
        <v>0</v>
      </c>
      <c r="Z805" s="182" t="n">
        <v>0</v>
      </c>
      <c r="AA805" s="182" t="n">
        <v>0</v>
      </c>
      <c r="AB805" s="182" t="n">
        <v>0</v>
      </c>
      <c r="AC805" s="182" t="n">
        <v>0</v>
      </c>
      <c r="AD805" s="182" t="n">
        <v>0</v>
      </c>
      <c r="AE805" s="182" t="n">
        <v>0</v>
      </c>
      <c r="AF805" s="182" t="n">
        <v>0</v>
      </c>
      <c r="AG805" s="182" t="n">
        <v>0</v>
      </c>
      <c r="AH805" s="182" t="n">
        <v>0</v>
      </c>
      <c r="AI805" s="182" t="n">
        <v>0</v>
      </c>
      <c r="AJ805" s="182" t="n">
        <v>0</v>
      </c>
      <c r="AK805" s="182" t="n">
        <v>10.92</v>
      </c>
      <c r="AL805" s="182" t="n">
        <v>0</v>
      </c>
      <c r="AM805" s="182" t="n">
        <v>0.08</v>
      </c>
      <c r="AN805" s="182" t="n">
        <v>0</v>
      </c>
    </row>
    <row r="806">
      <c r="A806" s="155" t="n">
        <v>46085</v>
      </c>
      <c r="B806" s="156" t="inlineStr">
        <is>
          <t>NS</t>
        </is>
      </c>
      <c r="C806" s="156" t="inlineStr">
        <is>
          <t>EX-1251</t>
        </is>
      </c>
      <c r="D806" s="156" t="inlineStr">
        <is>
          <t>SY1250</t>
        </is>
      </c>
      <c r="E806" s="156" t="inlineStr">
        <is>
          <t>Excavator</t>
        </is>
      </c>
      <c r="F806" s="156" t="inlineStr"/>
      <c r="G806" s="182" t="n">
        <v>0</v>
      </c>
      <c r="H806" s="182" t="n">
        <v>0</v>
      </c>
      <c r="I806" s="182" t="n">
        <v>12</v>
      </c>
      <c r="J806" s="182" t="n">
        <v>12</v>
      </c>
      <c r="K806" s="182" t="n">
        <v>0</v>
      </c>
      <c r="L806" s="182" t="n">
        <v>12</v>
      </c>
      <c r="M806" s="182" t="n">
        <v>0</v>
      </c>
      <c r="N806" s="182" t="n">
        <v>0</v>
      </c>
      <c r="O806" s="183" t="n">
        <v>0</v>
      </c>
      <c r="P806" s="183" t="n">
        <v>0</v>
      </c>
      <c r="Q806" s="184" t="n">
        <v>0</v>
      </c>
      <c r="R806" s="184" t="n">
        <v>0</v>
      </c>
      <c r="S806" s="183" t="n">
        <v>0</v>
      </c>
      <c r="T806" s="183" t="n">
        <v>0</v>
      </c>
      <c r="U806" s="182" t="n">
        <v>0</v>
      </c>
      <c r="V806" s="182" t="n">
        <v>0</v>
      </c>
      <c r="W806" s="182" t="n">
        <v>0</v>
      </c>
      <c r="X806" s="182" t="n">
        <v>0</v>
      </c>
      <c r="Y806" s="182" t="n">
        <v>0</v>
      </c>
      <c r="Z806" s="182" t="n">
        <v>0</v>
      </c>
      <c r="AA806" s="182" t="n">
        <v>0</v>
      </c>
      <c r="AB806" s="182" t="n">
        <v>0</v>
      </c>
      <c r="AC806" s="182" t="n">
        <v>0</v>
      </c>
      <c r="AD806" s="182" t="n">
        <v>0</v>
      </c>
      <c r="AE806" s="182" t="n">
        <v>0</v>
      </c>
      <c r="AF806" s="182" t="n">
        <v>0</v>
      </c>
      <c r="AG806" s="182" t="n">
        <v>0</v>
      </c>
      <c r="AH806" s="182" t="n">
        <v>0</v>
      </c>
      <c r="AI806" s="182" t="n">
        <v>0</v>
      </c>
      <c r="AJ806" s="182" t="n">
        <v>0</v>
      </c>
      <c r="AK806" s="182" t="n">
        <v>0</v>
      </c>
      <c r="AL806" s="182" t="n">
        <v>0</v>
      </c>
      <c r="AM806" s="182" t="n">
        <v>0</v>
      </c>
      <c r="AN806" s="182" t="n">
        <v>0</v>
      </c>
    </row>
    <row r="807">
      <c r="A807" s="155" t="n">
        <v>46085</v>
      </c>
      <c r="B807" s="156" t="inlineStr">
        <is>
          <t>NS</t>
        </is>
      </c>
      <c r="C807" s="156" t="inlineStr">
        <is>
          <t>EX-1252</t>
        </is>
      </c>
      <c r="D807" s="156" t="inlineStr">
        <is>
          <t>SY1250</t>
        </is>
      </c>
      <c r="E807" s="156" t="inlineStr">
        <is>
          <t>Excavator</t>
        </is>
      </c>
      <c r="F807" s="156" t="inlineStr"/>
      <c r="G807" s="182" t="n">
        <v>0</v>
      </c>
      <c r="H807" s="182" t="n">
        <v>0</v>
      </c>
      <c r="I807" s="182" t="n">
        <v>12</v>
      </c>
      <c r="J807" s="182" t="n">
        <v>12</v>
      </c>
      <c r="K807" s="182" t="n">
        <v>0</v>
      </c>
      <c r="L807" s="182" t="n">
        <v>12</v>
      </c>
      <c r="M807" s="182" t="n">
        <v>0</v>
      </c>
      <c r="N807" s="182" t="n">
        <v>0</v>
      </c>
      <c r="O807" s="183" t="n">
        <v>0</v>
      </c>
      <c r="P807" s="183" t="n">
        <v>0</v>
      </c>
      <c r="Q807" s="184" t="n">
        <v>0</v>
      </c>
      <c r="R807" s="184" t="n">
        <v>0</v>
      </c>
      <c r="S807" s="183" t="n">
        <v>0</v>
      </c>
      <c r="T807" s="183" t="n">
        <v>0</v>
      </c>
      <c r="U807" s="182" t="n">
        <v>0</v>
      </c>
      <c r="V807" s="182" t="n">
        <v>0</v>
      </c>
      <c r="W807" s="182" t="n">
        <v>0</v>
      </c>
      <c r="X807" s="182" t="n">
        <v>0</v>
      </c>
      <c r="Y807" s="182" t="n">
        <v>0</v>
      </c>
      <c r="Z807" s="182" t="n">
        <v>0</v>
      </c>
      <c r="AA807" s="182" t="n">
        <v>0</v>
      </c>
      <c r="AB807" s="182" t="n">
        <v>0</v>
      </c>
      <c r="AC807" s="182" t="n">
        <v>0</v>
      </c>
      <c r="AD807" s="182" t="n">
        <v>0</v>
      </c>
      <c r="AE807" s="182" t="n">
        <v>0</v>
      </c>
      <c r="AF807" s="182" t="n">
        <v>0</v>
      </c>
      <c r="AG807" s="182" t="n">
        <v>0</v>
      </c>
      <c r="AH807" s="182" t="n">
        <v>0</v>
      </c>
      <c r="AI807" s="182" t="n">
        <v>0</v>
      </c>
      <c r="AJ807" s="182" t="n">
        <v>0</v>
      </c>
      <c r="AK807" s="182" t="n">
        <v>0</v>
      </c>
      <c r="AL807" s="182" t="n">
        <v>0</v>
      </c>
      <c r="AM807" s="182" t="n">
        <v>0</v>
      </c>
      <c r="AN807" s="182" t="n">
        <v>0</v>
      </c>
    </row>
    <row r="808">
      <c r="A808" s="155" t="n">
        <v>46085</v>
      </c>
      <c r="B808" s="156" t="inlineStr">
        <is>
          <t>NS</t>
        </is>
      </c>
      <c r="C808" s="156" t="inlineStr">
        <is>
          <t>EX-2101</t>
        </is>
      </c>
      <c r="D808" s="156" t="inlineStr">
        <is>
          <t>SY2000</t>
        </is>
      </c>
      <c r="E808" s="156" t="inlineStr">
        <is>
          <t>Excavator</t>
        </is>
      </c>
      <c r="F808" s="156" t="inlineStr"/>
      <c r="G808" s="182" t="n">
        <v>0</v>
      </c>
      <c r="H808" s="182" t="n">
        <v>0</v>
      </c>
      <c r="I808" s="182" t="n">
        <v>12</v>
      </c>
      <c r="J808" s="182" t="n">
        <v>12</v>
      </c>
      <c r="K808" s="182" t="n">
        <v>0</v>
      </c>
      <c r="L808" s="182" t="n">
        <v>12</v>
      </c>
      <c r="M808" s="182" t="n">
        <v>0</v>
      </c>
      <c r="N808" s="182" t="n">
        <v>0</v>
      </c>
      <c r="O808" s="183" t="n">
        <v>0</v>
      </c>
      <c r="P808" s="183" t="n">
        <v>0</v>
      </c>
      <c r="Q808" s="184" t="n">
        <v>0</v>
      </c>
      <c r="R808" s="184" t="n">
        <v>0</v>
      </c>
      <c r="S808" s="183" t="n">
        <v>0</v>
      </c>
      <c r="T808" s="183" t="n">
        <v>0</v>
      </c>
      <c r="U808" s="182" t="n">
        <v>0</v>
      </c>
      <c r="V808" s="182" t="n">
        <v>0</v>
      </c>
      <c r="W808" s="182" t="n">
        <v>0</v>
      </c>
      <c r="X808" s="182" t="n">
        <v>0</v>
      </c>
      <c r="Y808" s="182" t="n">
        <v>0</v>
      </c>
      <c r="Z808" s="182" t="n">
        <v>0</v>
      </c>
      <c r="AA808" s="182" t="n">
        <v>0</v>
      </c>
      <c r="AB808" s="182" t="n">
        <v>0</v>
      </c>
      <c r="AC808" s="182" t="n">
        <v>0</v>
      </c>
      <c r="AD808" s="182" t="n">
        <v>0</v>
      </c>
      <c r="AE808" s="182" t="n">
        <v>0</v>
      </c>
      <c r="AF808" s="182" t="n">
        <v>0</v>
      </c>
      <c r="AG808" s="182" t="n">
        <v>0</v>
      </c>
      <c r="AH808" s="182" t="n">
        <v>0</v>
      </c>
      <c r="AI808" s="182" t="n">
        <v>0</v>
      </c>
      <c r="AJ808" s="182" t="n">
        <v>0</v>
      </c>
      <c r="AK808" s="182" t="n">
        <v>0</v>
      </c>
      <c r="AL808" s="182" t="n">
        <v>0</v>
      </c>
      <c r="AM808" s="182" t="n">
        <v>0</v>
      </c>
      <c r="AN808" s="182" t="n">
        <v>0</v>
      </c>
    </row>
    <row r="809">
      <c r="A809" s="155" t="n">
        <v>46085</v>
      </c>
      <c r="B809" s="156" t="inlineStr">
        <is>
          <t>NS</t>
        </is>
      </c>
      <c r="C809" s="156" t="inlineStr">
        <is>
          <t>EX-222</t>
        </is>
      </c>
      <c r="D809" s="156" t="inlineStr">
        <is>
          <t>PC 200-8MI</t>
        </is>
      </c>
      <c r="E809" s="156" t="inlineStr">
        <is>
          <t>Excavator</t>
        </is>
      </c>
      <c r="F809" s="156" t="inlineStr">
        <is>
          <t>Trimming Coal di Stock ROM</t>
        </is>
      </c>
      <c r="G809" s="182" t="n">
        <v>10.48</v>
      </c>
      <c r="H809" s="182" t="n">
        <v>0</v>
      </c>
      <c r="I809" s="182" t="n">
        <v>0</v>
      </c>
      <c r="J809" s="182" t="n">
        <v>0</v>
      </c>
      <c r="K809" s="182" t="n">
        <v>1.52</v>
      </c>
      <c r="L809" s="182" t="n">
        <v>12</v>
      </c>
      <c r="M809" s="182" t="n">
        <v>0</v>
      </c>
      <c r="N809" s="182" t="n">
        <v>0</v>
      </c>
      <c r="O809" s="183" t="n">
        <v>0</v>
      </c>
      <c r="P809" s="183" t="n">
        <v>0</v>
      </c>
      <c r="Q809" s="184" t="n">
        <v>0</v>
      </c>
      <c r="R809" s="184" t="n">
        <v>0</v>
      </c>
      <c r="S809" s="183" t="n">
        <v>0</v>
      </c>
      <c r="T809" s="183" t="n">
        <v>0</v>
      </c>
      <c r="U809" s="182" t="n">
        <v>0</v>
      </c>
      <c r="V809" s="182" t="n">
        <v>0</v>
      </c>
      <c r="W809" s="182" t="n">
        <v>0</v>
      </c>
      <c r="X809" s="182" t="n">
        <v>0.84</v>
      </c>
      <c r="Y809" s="182" t="n">
        <v>0</v>
      </c>
      <c r="Z809" s="182" t="n">
        <v>0</v>
      </c>
      <c r="AA809" s="182" t="n">
        <v>0</v>
      </c>
      <c r="AB809" s="182" t="n">
        <v>0</v>
      </c>
      <c r="AC809" s="182" t="n">
        <v>0</v>
      </c>
      <c r="AD809" s="182" t="n">
        <v>0</v>
      </c>
      <c r="AE809" s="182" t="n">
        <v>0</v>
      </c>
      <c r="AF809" s="182" t="n">
        <v>0</v>
      </c>
      <c r="AG809" s="182" t="n">
        <v>0</v>
      </c>
      <c r="AH809" s="182" t="n">
        <v>0.61</v>
      </c>
      <c r="AI809" s="182" t="n">
        <v>0</v>
      </c>
      <c r="AJ809" s="182" t="n">
        <v>0</v>
      </c>
      <c r="AK809" s="182" t="n">
        <v>0</v>
      </c>
      <c r="AL809" s="182" t="n">
        <v>0</v>
      </c>
      <c r="AM809" s="182" t="n">
        <v>0.07000000000000001</v>
      </c>
      <c r="AN809" s="182" t="n">
        <v>0</v>
      </c>
    </row>
    <row r="810">
      <c r="A810" s="155" t="n">
        <v>46085</v>
      </c>
      <c r="B810" s="156" t="inlineStr">
        <is>
          <t>NS</t>
        </is>
      </c>
      <c r="C810" s="156" t="inlineStr">
        <is>
          <t>EX-225</t>
        </is>
      </c>
      <c r="D810" s="156" t="inlineStr">
        <is>
          <t>PC 200-8</t>
        </is>
      </c>
      <c r="E810" s="156" t="inlineStr">
        <is>
          <t>Excavator</t>
        </is>
      </c>
      <c r="F810" s="156" t="inlineStr"/>
      <c r="G810" s="182" t="n">
        <v>0</v>
      </c>
      <c r="H810" s="182" t="n">
        <v>0</v>
      </c>
      <c r="I810" s="182" t="n">
        <v>12</v>
      </c>
      <c r="J810" s="182" t="n">
        <v>12</v>
      </c>
      <c r="K810" s="182" t="n">
        <v>0</v>
      </c>
      <c r="L810" s="182" t="n">
        <v>12</v>
      </c>
      <c r="M810" s="182" t="n">
        <v>0</v>
      </c>
      <c r="N810" s="182" t="n">
        <v>0</v>
      </c>
      <c r="O810" s="183" t="n">
        <v>0</v>
      </c>
      <c r="P810" s="183" t="n">
        <v>0</v>
      </c>
      <c r="Q810" s="184" t="n">
        <v>0</v>
      </c>
      <c r="R810" s="184" t="n">
        <v>0</v>
      </c>
      <c r="S810" s="183" t="n">
        <v>0</v>
      </c>
      <c r="T810" s="183" t="n">
        <v>0</v>
      </c>
      <c r="U810" s="182" t="n">
        <v>0</v>
      </c>
      <c r="V810" s="182" t="n">
        <v>0</v>
      </c>
      <c r="W810" s="182" t="n">
        <v>0</v>
      </c>
      <c r="X810" s="182" t="n">
        <v>0</v>
      </c>
      <c r="Y810" s="182" t="n">
        <v>0</v>
      </c>
      <c r="Z810" s="182" t="n">
        <v>0</v>
      </c>
      <c r="AA810" s="182" t="n">
        <v>0</v>
      </c>
      <c r="AB810" s="182" t="n">
        <v>0</v>
      </c>
      <c r="AC810" s="182" t="n">
        <v>0</v>
      </c>
      <c r="AD810" s="182" t="n">
        <v>0</v>
      </c>
      <c r="AE810" s="182" t="n">
        <v>0</v>
      </c>
      <c r="AF810" s="182" t="n">
        <v>0</v>
      </c>
      <c r="AG810" s="182" t="n">
        <v>0</v>
      </c>
      <c r="AH810" s="182" t="n">
        <v>0</v>
      </c>
      <c r="AI810" s="182" t="n">
        <v>0</v>
      </c>
      <c r="AJ810" s="182" t="n">
        <v>0</v>
      </c>
      <c r="AK810" s="182" t="n">
        <v>0</v>
      </c>
      <c r="AL810" s="182" t="n">
        <v>0</v>
      </c>
      <c r="AM810" s="182" t="n">
        <v>0</v>
      </c>
      <c r="AN810" s="182" t="n">
        <v>0</v>
      </c>
    </row>
    <row r="811">
      <c r="A811" s="155" t="n">
        <v>46085</v>
      </c>
      <c r="B811" s="156" t="inlineStr">
        <is>
          <t>NS</t>
        </is>
      </c>
      <c r="C811" s="156" t="inlineStr">
        <is>
          <t>EX-223</t>
        </is>
      </c>
      <c r="D811" s="156" t="inlineStr">
        <is>
          <t>PC 200-8MI</t>
        </is>
      </c>
      <c r="E811" s="156" t="inlineStr">
        <is>
          <t>Excavator</t>
        </is>
      </c>
      <c r="F811" s="156" t="inlineStr">
        <is>
          <t>General release air pit</t>
        </is>
      </c>
      <c r="G811" s="182" t="n">
        <v>10.54</v>
      </c>
      <c r="H811" s="182" t="n">
        <v>0</v>
      </c>
      <c r="I811" s="182" t="n">
        <v>0</v>
      </c>
      <c r="J811" s="182" t="n">
        <v>0</v>
      </c>
      <c r="K811" s="182" t="n">
        <v>1.46</v>
      </c>
      <c r="L811" s="182" t="n">
        <v>12</v>
      </c>
      <c r="M811" s="182" t="n">
        <v>0</v>
      </c>
      <c r="N811" s="182" t="n">
        <v>0</v>
      </c>
      <c r="O811" s="183" t="n">
        <v>0</v>
      </c>
      <c r="P811" s="183" t="n">
        <v>0</v>
      </c>
      <c r="Q811" s="184" t="n">
        <v>0</v>
      </c>
      <c r="R811" s="184" t="n">
        <v>0</v>
      </c>
      <c r="S811" s="183" t="n">
        <v>0</v>
      </c>
      <c r="T811" s="183" t="n">
        <v>0</v>
      </c>
      <c r="U811" s="182" t="n">
        <v>0.47</v>
      </c>
      <c r="V811" s="182" t="n">
        <v>0</v>
      </c>
      <c r="W811" s="182" t="n">
        <v>0</v>
      </c>
      <c r="X811" s="182" t="n">
        <v>0.91</v>
      </c>
      <c r="Y811" s="182" t="n">
        <v>0</v>
      </c>
      <c r="Z811" s="182" t="n">
        <v>0</v>
      </c>
      <c r="AA811" s="182" t="n">
        <v>0</v>
      </c>
      <c r="AB811" s="182" t="n">
        <v>0</v>
      </c>
      <c r="AC811" s="182" t="n">
        <v>0</v>
      </c>
      <c r="AD811" s="182" t="n">
        <v>0</v>
      </c>
      <c r="AE811" s="182" t="n">
        <v>0</v>
      </c>
      <c r="AF811" s="182" t="n">
        <v>0</v>
      </c>
      <c r="AG811" s="182" t="n">
        <v>0</v>
      </c>
      <c r="AH811" s="182" t="n">
        <v>0</v>
      </c>
      <c r="AI811" s="182" t="n">
        <v>0</v>
      </c>
      <c r="AJ811" s="182" t="n">
        <v>0</v>
      </c>
      <c r="AK811" s="182" t="n">
        <v>0</v>
      </c>
      <c r="AL811" s="182" t="n">
        <v>0</v>
      </c>
      <c r="AM811" s="182" t="n">
        <v>0.07000000000000001</v>
      </c>
      <c r="AN811" s="182" t="n">
        <v>0</v>
      </c>
    </row>
    <row r="812">
      <c r="A812" s="155" t="n">
        <v>46085</v>
      </c>
      <c r="B812" s="156" t="inlineStr">
        <is>
          <t>NS</t>
        </is>
      </c>
      <c r="C812" s="156" t="inlineStr">
        <is>
          <t>EX-221</t>
        </is>
      </c>
      <c r="D812" s="156" t="inlineStr">
        <is>
          <t>PC 200-8MI</t>
        </is>
      </c>
      <c r="E812" s="156" t="inlineStr">
        <is>
          <t>Excavator</t>
        </is>
      </c>
      <c r="F812" s="156" t="inlineStr"/>
      <c r="G812" s="182" t="n">
        <v>0</v>
      </c>
      <c r="H812" s="182" t="n">
        <v>0</v>
      </c>
      <c r="I812" s="182" t="n">
        <v>0</v>
      </c>
      <c r="J812" s="182" t="n">
        <v>0</v>
      </c>
      <c r="K812" s="182" t="n">
        <v>12</v>
      </c>
      <c r="L812" s="182" t="n">
        <v>12</v>
      </c>
      <c r="M812" s="182" t="n">
        <v>0</v>
      </c>
      <c r="N812" s="182" t="n">
        <v>0</v>
      </c>
      <c r="O812" s="183" t="n">
        <v>0</v>
      </c>
      <c r="P812" s="183" t="n">
        <v>0</v>
      </c>
      <c r="Q812" s="184" t="n">
        <v>0</v>
      </c>
      <c r="R812" s="184" t="n">
        <v>0</v>
      </c>
      <c r="S812" s="183" t="n">
        <v>0</v>
      </c>
      <c r="T812" s="183" t="n">
        <v>0</v>
      </c>
      <c r="U812" s="182" t="n">
        <v>0</v>
      </c>
      <c r="V812" s="182" t="n">
        <v>0</v>
      </c>
      <c r="W812" s="182" t="n">
        <v>0</v>
      </c>
      <c r="X812" s="182" t="n">
        <v>1</v>
      </c>
      <c r="Y812" s="182" t="n">
        <v>0</v>
      </c>
      <c r="Z812" s="182" t="n">
        <v>0</v>
      </c>
      <c r="AA812" s="182" t="n">
        <v>0</v>
      </c>
      <c r="AB812" s="182" t="n">
        <v>0</v>
      </c>
      <c r="AC812" s="182" t="n">
        <v>0</v>
      </c>
      <c r="AD812" s="182" t="n">
        <v>0</v>
      </c>
      <c r="AE812" s="182" t="n">
        <v>0</v>
      </c>
      <c r="AF812" s="182" t="n">
        <v>0</v>
      </c>
      <c r="AG812" s="182" t="n">
        <v>0</v>
      </c>
      <c r="AH812" s="182" t="n">
        <v>0</v>
      </c>
      <c r="AI812" s="182" t="n">
        <v>0</v>
      </c>
      <c r="AJ812" s="182" t="n">
        <v>0</v>
      </c>
      <c r="AK812" s="182" t="n">
        <v>10.92</v>
      </c>
      <c r="AL812" s="182" t="n">
        <v>0</v>
      </c>
      <c r="AM812" s="182" t="n">
        <v>0.08</v>
      </c>
      <c r="AN812" s="182" t="n">
        <v>0</v>
      </c>
    </row>
    <row r="813">
      <c r="A813" s="155" t="n">
        <v>46085</v>
      </c>
      <c r="B813" s="156" t="inlineStr">
        <is>
          <t>NS</t>
        </is>
      </c>
      <c r="C813" s="156" t="inlineStr">
        <is>
          <t>EX-331</t>
        </is>
      </c>
      <c r="D813" s="156" t="inlineStr">
        <is>
          <t>PC 300-8MO</t>
        </is>
      </c>
      <c r="E813" s="156" t="inlineStr">
        <is>
          <t>Excavator</t>
        </is>
      </c>
      <c r="F813" s="156" t="inlineStr"/>
      <c r="G813" s="182" t="n">
        <v>0</v>
      </c>
      <c r="H813" s="182" t="n">
        <v>0</v>
      </c>
      <c r="I813" s="182" t="n">
        <v>12</v>
      </c>
      <c r="J813" s="182" t="n">
        <v>12</v>
      </c>
      <c r="K813" s="182" t="n">
        <v>0</v>
      </c>
      <c r="L813" s="182" t="n">
        <v>12</v>
      </c>
      <c r="M813" s="182" t="n">
        <v>0</v>
      </c>
      <c r="N813" s="182" t="n">
        <v>0</v>
      </c>
      <c r="O813" s="183" t="n">
        <v>0</v>
      </c>
      <c r="P813" s="183" t="n">
        <v>0</v>
      </c>
      <c r="Q813" s="184" t="n">
        <v>0</v>
      </c>
      <c r="R813" s="184" t="n">
        <v>0</v>
      </c>
      <c r="S813" s="183" t="n">
        <v>0</v>
      </c>
      <c r="T813" s="183" t="n">
        <v>0</v>
      </c>
      <c r="U813" s="182" t="n">
        <v>0</v>
      </c>
      <c r="V813" s="182" t="n">
        <v>0</v>
      </c>
      <c r="W813" s="182" t="n">
        <v>0</v>
      </c>
      <c r="X813" s="182" t="n">
        <v>0</v>
      </c>
      <c r="Y813" s="182" t="n">
        <v>0</v>
      </c>
      <c r="Z813" s="182" t="n">
        <v>0</v>
      </c>
      <c r="AA813" s="182" t="n">
        <v>0</v>
      </c>
      <c r="AB813" s="182" t="n">
        <v>0</v>
      </c>
      <c r="AC813" s="182" t="n">
        <v>0</v>
      </c>
      <c r="AD813" s="182" t="n">
        <v>0</v>
      </c>
      <c r="AE813" s="182" t="n">
        <v>0</v>
      </c>
      <c r="AF813" s="182" t="n">
        <v>0</v>
      </c>
      <c r="AG813" s="182" t="n">
        <v>0</v>
      </c>
      <c r="AH813" s="182" t="n">
        <v>0</v>
      </c>
      <c r="AI813" s="182" t="n">
        <v>0</v>
      </c>
      <c r="AJ813" s="182" t="n">
        <v>0</v>
      </c>
      <c r="AK813" s="182" t="n">
        <v>0</v>
      </c>
      <c r="AL813" s="182" t="n">
        <v>0</v>
      </c>
      <c r="AM813" s="182" t="n">
        <v>0</v>
      </c>
      <c r="AN813" s="182" t="n">
        <v>0</v>
      </c>
    </row>
    <row r="814">
      <c r="A814" s="155" t="n">
        <v>46085</v>
      </c>
      <c r="B814" s="156" t="inlineStr">
        <is>
          <t>NS</t>
        </is>
      </c>
      <c r="C814" s="156" t="inlineStr">
        <is>
          <t>EX-334</t>
        </is>
      </c>
      <c r="D814" s="156" t="inlineStr">
        <is>
          <t>PC 300-8MO</t>
        </is>
      </c>
      <c r="E814" s="156" t="inlineStr">
        <is>
          <t>Excavator</t>
        </is>
      </c>
      <c r="F814" s="156" t="inlineStr">
        <is>
          <t>Trimming Coal di Stock ROM</t>
        </is>
      </c>
      <c r="G814" s="182" t="n">
        <v>7.21</v>
      </c>
      <c r="H814" s="182" t="n">
        <v>0</v>
      </c>
      <c r="I814" s="182" t="n">
        <v>4.25</v>
      </c>
      <c r="J814" s="182" t="n">
        <v>4.25</v>
      </c>
      <c r="K814" s="182" t="n">
        <v>0.54</v>
      </c>
      <c r="L814" s="182" t="n">
        <v>12</v>
      </c>
      <c r="M814" s="182" t="n">
        <v>0</v>
      </c>
      <c r="N814" s="182" t="n">
        <v>0</v>
      </c>
      <c r="O814" s="183" t="n">
        <v>0</v>
      </c>
      <c r="P814" s="183" t="n">
        <v>0</v>
      </c>
      <c r="Q814" s="184" t="n">
        <v>0</v>
      </c>
      <c r="R814" s="184" t="n">
        <v>0</v>
      </c>
      <c r="S814" s="183" t="n">
        <v>0</v>
      </c>
      <c r="T814" s="183" t="n">
        <v>0</v>
      </c>
      <c r="U814" s="182" t="n">
        <v>0</v>
      </c>
      <c r="V814" s="182" t="n">
        <v>0</v>
      </c>
      <c r="W814" s="182" t="n">
        <v>0</v>
      </c>
      <c r="X814" s="182" t="n">
        <v>0.48</v>
      </c>
      <c r="Y814" s="182" t="n">
        <v>0</v>
      </c>
      <c r="Z814" s="182" t="n">
        <v>0</v>
      </c>
      <c r="AA814" s="182" t="n">
        <v>0</v>
      </c>
      <c r="AB814" s="182" t="n">
        <v>0</v>
      </c>
      <c r="AC814" s="182" t="n">
        <v>0</v>
      </c>
      <c r="AD814" s="182" t="n">
        <v>0</v>
      </c>
      <c r="AE814" s="182" t="n">
        <v>0</v>
      </c>
      <c r="AF814" s="182" t="n">
        <v>0</v>
      </c>
      <c r="AG814" s="182" t="n">
        <v>0</v>
      </c>
      <c r="AH814" s="182" t="n">
        <v>0</v>
      </c>
      <c r="AI814" s="182" t="n">
        <v>0</v>
      </c>
      <c r="AJ814" s="182" t="n">
        <v>0</v>
      </c>
      <c r="AK814" s="182" t="n">
        <v>0</v>
      </c>
      <c r="AL814" s="182" t="n">
        <v>0</v>
      </c>
      <c r="AM814" s="182" t="n">
        <v>0.06</v>
      </c>
      <c r="AN814" s="182" t="n">
        <v>0</v>
      </c>
    </row>
    <row r="815">
      <c r="A815" s="155" t="n">
        <v>46085</v>
      </c>
      <c r="B815" s="156" t="inlineStr">
        <is>
          <t>NS</t>
        </is>
      </c>
      <c r="C815" s="156" t="inlineStr">
        <is>
          <t>EX-332</t>
        </is>
      </c>
      <c r="D815" s="156" t="inlineStr">
        <is>
          <t>PC 300-8MO</t>
        </is>
      </c>
      <c r="E815" s="156" t="inlineStr">
        <is>
          <t>Excavator</t>
        </is>
      </c>
      <c r="F815" s="156" t="inlineStr"/>
      <c r="G815" s="182" t="n">
        <v>0</v>
      </c>
      <c r="H815" s="182" t="n">
        <v>0</v>
      </c>
      <c r="I815" s="182" t="n">
        <v>12</v>
      </c>
      <c r="J815" s="182" t="n">
        <v>12</v>
      </c>
      <c r="K815" s="182" t="n">
        <v>0</v>
      </c>
      <c r="L815" s="182" t="n">
        <v>12</v>
      </c>
      <c r="M815" s="182" t="n">
        <v>0</v>
      </c>
      <c r="N815" s="182" t="n">
        <v>0</v>
      </c>
      <c r="O815" s="183" t="n">
        <v>0</v>
      </c>
      <c r="P815" s="183" t="n">
        <v>0</v>
      </c>
      <c r="Q815" s="184" t="n">
        <v>0</v>
      </c>
      <c r="R815" s="184" t="n">
        <v>0</v>
      </c>
      <c r="S815" s="183" t="n">
        <v>0</v>
      </c>
      <c r="T815" s="183" t="n">
        <v>0</v>
      </c>
      <c r="U815" s="182" t="n">
        <v>0</v>
      </c>
      <c r="V815" s="182" t="n">
        <v>0</v>
      </c>
      <c r="W815" s="182" t="n">
        <v>0</v>
      </c>
      <c r="X815" s="182" t="n">
        <v>0</v>
      </c>
      <c r="Y815" s="182" t="n">
        <v>0</v>
      </c>
      <c r="Z815" s="182" t="n">
        <v>0</v>
      </c>
      <c r="AA815" s="182" t="n">
        <v>0</v>
      </c>
      <c r="AB815" s="182" t="n">
        <v>0</v>
      </c>
      <c r="AC815" s="182" t="n">
        <v>0</v>
      </c>
      <c r="AD815" s="182" t="n">
        <v>0</v>
      </c>
      <c r="AE815" s="182" t="n">
        <v>0</v>
      </c>
      <c r="AF815" s="182" t="n">
        <v>0</v>
      </c>
      <c r="AG815" s="182" t="n">
        <v>0</v>
      </c>
      <c r="AH815" s="182" t="n">
        <v>0</v>
      </c>
      <c r="AI815" s="182" t="n">
        <v>0</v>
      </c>
      <c r="AJ815" s="182" t="n">
        <v>0</v>
      </c>
      <c r="AK815" s="182" t="n">
        <v>0</v>
      </c>
      <c r="AL815" s="182" t="n">
        <v>0</v>
      </c>
      <c r="AM815" s="182" t="n">
        <v>0</v>
      </c>
      <c r="AN815" s="182" t="n">
        <v>0</v>
      </c>
    </row>
    <row r="816">
      <c r="A816" s="155" t="n">
        <v>46085</v>
      </c>
      <c r="B816" s="156" t="inlineStr">
        <is>
          <t>NS</t>
        </is>
      </c>
      <c r="C816" s="156" t="inlineStr">
        <is>
          <t>EX-333</t>
        </is>
      </c>
      <c r="D816" s="156" t="inlineStr">
        <is>
          <t>PC 300-8MO</t>
        </is>
      </c>
      <c r="E816" s="156" t="inlineStr">
        <is>
          <t>Excavator</t>
        </is>
      </c>
      <c r="F816" s="156" t="inlineStr">
        <is>
          <t>General Perbaikan tanggul</t>
        </is>
      </c>
      <c r="G816" s="182" t="n">
        <v>11.01</v>
      </c>
      <c r="H816" s="182" t="n">
        <v>0</v>
      </c>
      <c r="I816" s="182" t="n">
        <v>0</v>
      </c>
      <c r="J816" s="182" t="n">
        <v>0</v>
      </c>
      <c r="K816" s="182" t="n">
        <v>0.99</v>
      </c>
      <c r="L816" s="182" t="n">
        <v>12</v>
      </c>
      <c r="M816" s="182" t="n">
        <v>0</v>
      </c>
      <c r="N816" s="182" t="n">
        <v>0</v>
      </c>
      <c r="O816" s="183" t="n">
        <v>0</v>
      </c>
      <c r="P816" s="183" t="n">
        <v>0</v>
      </c>
      <c r="Q816" s="184" t="n">
        <v>0</v>
      </c>
      <c r="R816" s="184" t="n">
        <v>0</v>
      </c>
      <c r="S816" s="183" t="n">
        <v>0</v>
      </c>
      <c r="T816" s="183" t="n">
        <v>0</v>
      </c>
      <c r="U816" s="182" t="n">
        <v>0</v>
      </c>
      <c r="V816" s="182" t="n">
        <v>0</v>
      </c>
      <c r="W816" s="182" t="n">
        <v>0</v>
      </c>
      <c r="X816" s="182" t="n">
        <v>0.9</v>
      </c>
      <c r="Y816" s="182" t="n">
        <v>0</v>
      </c>
      <c r="Z816" s="182" t="n">
        <v>0</v>
      </c>
      <c r="AA816" s="182" t="n">
        <v>0</v>
      </c>
      <c r="AB816" s="182" t="n">
        <v>0</v>
      </c>
      <c r="AC816" s="182" t="n">
        <v>0</v>
      </c>
      <c r="AD816" s="182" t="n">
        <v>0</v>
      </c>
      <c r="AE816" s="182" t="n">
        <v>0</v>
      </c>
      <c r="AF816" s="182" t="n">
        <v>0</v>
      </c>
      <c r="AG816" s="182" t="n">
        <v>0</v>
      </c>
      <c r="AH816" s="182" t="n">
        <v>0</v>
      </c>
      <c r="AI816" s="182" t="n">
        <v>0</v>
      </c>
      <c r="AJ816" s="182" t="n">
        <v>0</v>
      </c>
      <c r="AK816" s="182" t="n">
        <v>0</v>
      </c>
      <c r="AL816" s="182" t="n">
        <v>0</v>
      </c>
      <c r="AM816" s="182" t="n">
        <v>0.09</v>
      </c>
      <c r="AN816" s="182" t="n">
        <v>0</v>
      </c>
    </row>
    <row r="817">
      <c r="A817" s="155" t="n">
        <v>46085</v>
      </c>
      <c r="B817" s="156" t="inlineStr">
        <is>
          <t>NS</t>
        </is>
      </c>
      <c r="C817" s="156" t="inlineStr">
        <is>
          <t>EX-336</t>
        </is>
      </c>
      <c r="D817" s="156" t="inlineStr">
        <is>
          <t>PC 300-8MO</t>
        </is>
      </c>
      <c r="E817" s="156" t="inlineStr">
        <is>
          <t>Excavator</t>
        </is>
      </c>
      <c r="F817" s="156" t="inlineStr"/>
      <c r="G817" s="182" t="n">
        <v>0</v>
      </c>
      <c r="H817" s="182" t="n">
        <v>0</v>
      </c>
      <c r="I817" s="182" t="n">
        <v>12</v>
      </c>
      <c r="J817" s="182" t="n">
        <v>12</v>
      </c>
      <c r="K817" s="182" t="n">
        <v>0</v>
      </c>
      <c r="L817" s="182" t="n">
        <v>12</v>
      </c>
      <c r="M817" s="182" t="n">
        <v>0</v>
      </c>
      <c r="N817" s="182" t="n">
        <v>0</v>
      </c>
      <c r="O817" s="183" t="n">
        <v>0</v>
      </c>
      <c r="P817" s="183" t="n">
        <v>0</v>
      </c>
      <c r="Q817" s="184" t="n">
        <v>0</v>
      </c>
      <c r="R817" s="184" t="n">
        <v>0</v>
      </c>
      <c r="S817" s="183" t="n">
        <v>0</v>
      </c>
      <c r="T817" s="183" t="n">
        <v>0</v>
      </c>
      <c r="U817" s="182" t="n">
        <v>0</v>
      </c>
      <c r="V817" s="182" t="n">
        <v>0</v>
      </c>
      <c r="W817" s="182" t="n">
        <v>0</v>
      </c>
      <c r="X817" s="182" t="n">
        <v>0</v>
      </c>
      <c r="Y817" s="182" t="n">
        <v>0</v>
      </c>
      <c r="Z817" s="182" t="n">
        <v>0</v>
      </c>
      <c r="AA817" s="182" t="n">
        <v>0</v>
      </c>
      <c r="AB817" s="182" t="n">
        <v>0</v>
      </c>
      <c r="AC817" s="182" t="n">
        <v>0</v>
      </c>
      <c r="AD817" s="182" t="n">
        <v>0</v>
      </c>
      <c r="AE817" s="182" t="n">
        <v>0</v>
      </c>
      <c r="AF817" s="182" t="n">
        <v>0</v>
      </c>
      <c r="AG817" s="182" t="n">
        <v>0</v>
      </c>
      <c r="AH817" s="182" t="n">
        <v>0</v>
      </c>
      <c r="AI817" s="182" t="n">
        <v>0</v>
      </c>
      <c r="AJ817" s="182" t="n">
        <v>0</v>
      </c>
      <c r="AK817" s="182" t="n">
        <v>0</v>
      </c>
      <c r="AL817" s="182" t="n">
        <v>0</v>
      </c>
      <c r="AM817" s="182" t="n">
        <v>0</v>
      </c>
      <c r="AN817" s="182" t="n">
        <v>0</v>
      </c>
    </row>
    <row r="818">
      <c r="A818" s="155" t="n">
        <v>46085</v>
      </c>
      <c r="B818" s="156" t="inlineStr">
        <is>
          <t>NS</t>
        </is>
      </c>
      <c r="C818" s="156" t="inlineStr">
        <is>
          <t>EX-335</t>
        </is>
      </c>
      <c r="D818" s="156" t="inlineStr">
        <is>
          <t>PC 300-8MO</t>
        </is>
      </c>
      <c r="E818" s="156" t="inlineStr">
        <is>
          <t>Excavator</t>
        </is>
      </c>
      <c r="F818" s="156" t="inlineStr">
        <is>
          <t>Cleaning Coal</t>
        </is>
      </c>
      <c r="G818" s="182" t="n">
        <v>4.89</v>
      </c>
      <c r="H818" s="182" t="n">
        <v>0</v>
      </c>
      <c r="I818" s="182" t="n">
        <v>0</v>
      </c>
      <c r="J818" s="182" t="n">
        <v>0</v>
      </c>
      <c r="K818" s="182" t="n">
        <v>7.11</v>
      </c>
      <c r="L818" s="182" t="n">
        <v>12</v>
      </c>
      <c r="M818" s="182" t="n">
        <v>0</v>
      </c>
      <c r="N818" s="182" t="n">
        <v>0</v>
      </c>
      <c r="O818" s="183" t="n">
        <v>0</v>
      </c>
      <c r="P818" s="183" t="n">
        <v>0</v>
      </c>
      <c r="Q818" s="184" t="n">
        <v>0</v>
      </c>
      <c r="R818" s="184" t="n">
        <v>0</v>
      </c>
      <c r="S818" s="183" t="n">
        <v>0</v>
      </c>
      <c r="T818" s="183" t="n">
        <v>0</v>
      </c>
      <c r="U818" s="182" t="n">
        <v>6</v>
      </c>
      <c r="V818" s="182" t="n">
        <v>0</v>
      </c>
      <c r="W818" s="182" t="n">
        <v>0</v>
      </c>
      <c r="X818" s="182" t="n">
        <v>1.03</v>
      </c>
      <c r="Y818" s="182" t="n">
        <v>0</v>
      </c>
      <c r="Z818" s="182" t="n">
        <v>0</v>
      </c>
      <c r="AA818" s="182" t="n">
        <v>0</v>
      </c>
      <c r="AB818" s="182" t="n">
        <v>0</v>
      </c>
      <c r="AC818" s="182" t="n">
        <v>0</v>
      </c>
      <c r="AD818" s="182" t="n">
        <v>0</v>
      </c>
      <c r="AE818" s="182" t="n">
        <v>0</v>
      </c>
      <c r="AF818" s="182" t="n">
        <v>0</v>
      </c>
      <c r="AG818" s="182" t="n">
        <v>0</v>
      </c>
      <c r="AH818" s="182" t="n">
        <v>0</v>
      </c>
      <c r="AI818" s="182" t="n">
        <v>0</v>
      </c>
      <c r="AJ818" s="182" t="n">
        <v>0</v>
      </c>
      <c r="AK818" s="182" t="n">
        <v>0</v>
      </c>
      <c r="AL818" s="182" t="n">
        <v>0</v>
      </c>
      <c r="AM818" s="182" t="n">
        <v>0.08</v>
      </c>
      <c r="AN818" s="182" t="n">
        <v>0</v>
      </c>
    </row>
    <row r="819">
      <c r="A819" s="155" t="n">
        <v>46085</v>
      </c>
      <c r="B819" s="156" t="inlineStr">
        <is>
          <t>NS</t>
        </is>
      </c>
      <c r="C819" s="156" t="inlineStr">
        <is>
          <t>EX-754</t>
        </is>
      </c>
      <c r="D819" s="156" t="inlineStr">
        <is>
          <t>SY750H-PRO</t>
        </is>
      </c>
      <c r="E819" s="156" t="inlineStr">
        <is>
          <t>Excavator</t>
        </is>
      </c>
      <c r="F819" s="156" t="inlineStr">
        <is>
          <t>Loading OB</t>
        </is>
      </c>
      <c r="G819" s="182" t="n">
        <v>2.63</v>
      </c>
      <c r="H819" s="182" t="n">
        <v>0</v>
      </c>
      <c r="I819" s="182" t="n">
        <v>0</v>
      </c>
      <c r="J819" s="182" t="n">
        <v>0</v>
      </c>
      <c r="K819" s="182" t="n">
        <v>9.369999999999999</v>
      </c>
      <c r="L819" s="182" t="n">
        <v>12</v>
      </c>
      <c r="M819" s="182" t="n">
        <v>2.08</v>
      </c>
      <c r="N819" s="182" t="n">
        <v>0</v>
      </c>
      <c r="O819" s="183" t="n">
        <v>42</v>
      </c>
      <c r="P819" s="183" t="n">
        <v>0</v>
      </c>
      <c r="Q819" s="184" t="n">
        <v>856.8</v>
      </c>
      <c r="R819" s="184" t="n">
        <v>0</v>
      </c>
      <c r="S819" s="183" t="n">
        <v>0</v>
      </c>
      <c r="T819" s="183" t="n">
        <v>0</v>
      </c>
      <c r="U819" s="182" t="n">
        <v>6.21</v>
      </c>
      <c r="V819" s="182" t="n">
        <v>2.05</v>
      </c>
      <c r="W819" s="182" t="n">
        <v>0</v>
      </c>
      <c r="X819" s="182" t="n">
        <v>1.03</v>
      </c>
      <c r="Y819" s="182" t="n">
        <v>0</v>
      </c>
      <c r="Z819" s="182" t="n">
        <v>0</v>
      </c>
      <c r="AA819" s="182" t="n">
        <v>0</v>
      </c>
      <c r="AB819" s="182" t="n">
        <v>0</v>
      </c>
      <c r="AC819" s="182" t="n">
        <v>0</v>
      </c>
      <c r="AD819" s="182" t="n">
        <v>0</v>
      </c>
      <c r="AE819" s="182" t="n">
        <v>0</v>
      </c>
      <c r="AF819" s="182" t="n">
        <v>0</v>
      </c>
      <c r="AG819" s="182" t="n">
        <v>0</v>
      </c>
      <c r="AH819" s="182" t="n">
        <v>0</v>
      </c>
      <c r="AI819" s="182" t="n">
        <v>0</v>
      </c>
      <c r="AJ819" s="182" t="n">
        <v>0</v>
      </c>
      <c r="AK819" s="182" t="n">
        <v>0</v>
      </c>
      <c r="AL819" s="182" t="n">
        <v>0</v>
      </c>
      <c r="AM819" s="182" t="n">
        <v>0.08</v>
      </c>
      <c r="AN819" s="182" t="n">
        <v>0</v>
      </c>
    </row>
    <row r="820">
      <c r="A820" s="155" t="n">
        <v>46085</v>
      </c>
      <c r="B820" s="156" t="inlineStr">
        <is>
          <t>NS</t>
        </is>
      </c>
      <c r="C820" s="156" t="inlineStr">
        <is>
          <t>EX-755</t>
        </is>
      </c>
      <c r="D820" s="156" t="inlineStr">
        <is>
          <t>SY750H-PRO</t>
        </is>
      </c>
      <c r="E820" s="156" t="inlineStr">
        <is>
          <t>Excavator</t>
        </is>
      </c>
      <c r="F820" s="156" t="inlineStr">
        <is>
          <t>Loading OB</t>
        </is>
      </c>
      <c r="G820" s="182" t="n">
        <v>2.12</v>
      </c>
      <c r="H820" s="182" t="n">
        <v>0</v>
      </c>
      <c r="I820" s="182" t="n">
        <v>0</v>
      </c>
      <c r="J820" s="182" t="n">
        <v>0</v>
      </c>
      <c r="K820" s="182" t="n">
        <v>9.880000000000001</v>
      </c>
      <c r="L820" s="182" t="n">
        <v>12</v>
      </c>
      <c r="M820" s="182" t="n">
        <v>1.69</v>
      </c>
      <c r="N820" s="182" t="n">
        <v>0</v>
      </c>
      <c r="O820" s="183" t="n">
        <v>21</v>
      </c>
      <c r="P820" s="183" t="n">
        <v>0</v>
      </c>
      <c r="Q820" s="184" t="n">
        <v>428.4</v>
      </c>
      <c r="R820" s="184" t="n">
        <v>0</v>
      </c>
      <c r="S820" s="183" t="n">
        <v>0</v>
      </c>
      <c r="T820" s="183" t="n">
        <v>0</v>
      </c>
      <c r="U820" s="182" t="n">
        <v>6.06</v>
      </c>
      <c r="V820" s="182" t="n">
        <v>2.75</v>
      </c>
      <c r="W820" s="182" t="n">
        <v>0</v>
      </c>
      <c r="X820" s="182" t="n">
        <v>0.99</v>
      </c>
      <c r="Y820" s="182" t="n">
        <v>0</v>
      </c>
      <c r="Z820" s="182" t="n">
        <v>0</v>
      </c>
      <c r="AA820" s="182" t="n">
        <v>0</v>
      </c>
      <c r="AB820" s="182" t="n">
        <v>0</v>
      </c>
      <c r="AC820" s="182" t="n">
        <v>0</v>
      </c>
      <c r="AD820" s="182" t="n">
        <v>0</v>
      </c>
      <c r="AE820" s="182" t="n">
        <v>0</v>
      </c>
      <c r="AF820" s="182" t="n">
        <v>0</v>
      </c>
      <c r="AG820" s="182" t="n">
        <v>0</v>
      </c>
      <c r="AH820" s="182" t="n">
        <v>0</v>
      </c>
      <c r="AI820" s="182" t="n">
        <v>0</v>
      </c>
      <c r="AJ820" s="182" t="n">
        <v>0</v>
      </c>
      <c r="AK820" s="182" t="n">
        <v>0</v>
      </c>
      <c r="AL820" s="182" t="n">
        <v>0</v>
      </c>
      <c r="AM820" s="182" t="n">
        <v>0.08</v>
      </c>
      <c r="AN820" s="182" t="n">
        <v>0</v>
      </c>
    </row>
    <row r="821">
      <c r="A821" s="155" t="n">
        <v>46085</v>
      </c>
      <c r="B821" s="156" t="inlineStr">
        <is>
          <t>NS</t>
        </is>
      </c>
      <c r="C821" s="156" t="inlineStr">
        <is>
          <t>EX-752</t>
        </is>
      </c>
      <c r="D821" s="156" t="inlineStr">
        <is>
          <t>SY750H-PRO</t>
        </is>
      </c>
      <c r="E821" s="156" t="inlineStr">
        <is>
          <t>Excavator</t>
        </is>
      </c>
      <c r="F821" s="156" t="inlineStr"/>
      <c r="G821" s="182" t="n">
        <v>0</v>
      </c>
      <c r="H821" s="182" t="n">
        <v>0</v>
      </c>
      <c r="I821" s="182" t="n">
        <v>12</v>
      </c>
      <c r="J821" s="182" t="n">
        <v>12</v>
      </c>
      <c r="K821" s="182" t="n">
        <v>0</v>
      </c>
      <c r="L821" s="182" t="n">
        <v>12</v>
      </c>
      <c r="M821" s="182" t="n">
        <v>0</v>
      </c>
      <c r="N821" s="182" t="n">
        <v>0</v>
      </c>
      <c r="O821" s="183" t="n">
        <v>0</v>
      </c>
      <c r="P821" s="183" t="n">
        <v>0</v>
      </c>
      <c r="Q821" s="184" t="n">
        <v>0</v>
      </c>
      <c r="R821" s="184" t="n">
        <v>0</v>
      </c>
      <c r="S821" s="183" t="n">
        <v>0</v>
      </c>
      <c r="T821" s="183" t="n">
        <v>0</v>
      </c>
      <c r="U821" s="182" t="n">
        <v>0</v>
      </c>
      <c r="V821" s="182" t="n">
        <v>0</v>
      </c>
      <c r="W821" s="182" t="n">
        <v>0</v>
      </c>
      <c r="X821" s="182" t="n">
        <v>0</v>
      </c>
      <c r="Y821" s="182" t="n">
        <v>0</v>
      </c>
      <c r="Z821" s="182" t="n">
        <v>0</v>
      </c>
      <c r="AA821" s="182" t="n">
        <v>0</v>
      </c>
      <c r="AB821" s="182" t="n">
        <v>0</v>
      </c>
      <c r="AC821" s="182" t="n">
        <v>0</v>
      </c>
      <c r="AD821" s="182" t="n">
        <v>0</v>
      </c>
      <c r="AE821" s="182" t="n">
        <v>0</v>
      </c>
      <c r="AF821" s="182" t="n">
        <v>0</v>
      </c>
      <c r="AG821" s="182" t="n">
        <v>0</v>
      </c>
      <c r="AH821" s="182" t="n">
        <v>0</v>
      </c>
      <c r="AI821" s="182" t="n">
        <v>0</v>
      </c>
      <c r="AJ821" s="182" t="n">
        <v>0</v>
      </c>
      <c r="AK821" s="182" t="n">
        <v>0</v>
      </c>
      <c r="AL821" s="182" t="n">
        <v>0</v>
      </c>
      <c r="AM821" s="182" t="n">
        <v>0</v>
      </c>
      <c r="AN821" s="182" t="n">
        <v>0</v>
      </c>
    </row>
    <row r="822">
      <c r="A822" s="155" t="n">
        <v>46085</v>
      </c>
      <c r="B822" s="156" t="inlineStr">
        <is>
          <t>NS</t>
        </is>
      </c>
      <c r="C822" s="156" t="inlineStr">
        <is>
          <t>EX-751</t>
        </is>
      </c>
      <c r="D822" s="156" t="inlineStr">
        <is>
          <t>SY750H-PRO</t>
        </is>
      </c>
      <c r="E822" s="156" t="inlineStr">
        <is>
          <t>Excavator</t>
        </is>
      </c>
      <c r="F822" s="156" t="inlineStr"/>
      <c r="G822" s="182" t="n">
        <v>0</v>
      </c>
      <c r="H822" s="182" t="n">
        <v>0</v>
      </c>
      <c r="I822" s="182" t="n">
        <v>12</v>
      </c>
      <c r="J822" s="182" t="n">
        <v>12</v>
      </c>
      <c r="K822" s="182" t="n">
        <v>0</v>
      </c>
      <c r="L822" s="182" t="n">
        <v>12</v>
      </c>
      <c r="M822" s="182" t="n">
        <v>0</v>
      </c>
      <c r="N822" s="182" t="n">
        <v>0</v>
      </c>
      <c r="O822" s="183" t="n">
        <v>0</v>
      </c>
      <c r="P822" s="183" t="n">
        <v>0</v>
      </c>
      <c r="Q822" s="184" t="n">
        <v>0</v>
      </c>
      <c r="R822" s="184" t="n">
        <v>0</v>
      </c>
      <c r="S822" s="183" t="n">
        <v>0</v>
      </c>
      <c r="T822" s="183" t="n">
        <v>0</v>
      </c>
      <c r="U822" s="182" t="n">
        <v>0</v>
      </c>
      <c r="V822" s="182" t="n">
        <v>0</v>
      </c>
      <c r="W822" s="182" t="n">
        <v>0</v>
      </c>
      <c r="X822" s="182" t="n">
        <v>0</v>
      </c>
      <c r="Y822" s="182" t="n">
        <v>0</v>
      </c>
      <c r="Z822" s="182" t="n">
        <v>0</v>
      </c>
      <c r="AA822" s="182" t="n">
        <v>0</v>
      </c>
      <c r="AB822" s="182" t="n">
        <v>0</v>
      </c>
      <c r="AC822" s="182" t="n">
        <v>0</v>
      </c>
      <c r="AD822" s="182" t="n">
        <v>0</v>
      </c>
      <c r="AE822" s="182" t="n">
        <v>0</v>
      </c>
      <c r="AF822" s="182" t="n">
        <v>0</v>
      </c>
      <c r="AG822" s="182" t="n">
        <v>0</v>
      </c>
      <c r="AH822" s="182" t="n">
        <v>0</v>
      </c>
      <c r="AI822" s="182" t="n">
        <v>0</v>
      </c>
      <c r="AJ822" s="182" t="n">
        <v>0</v>
      </c>
      <c r="AK822" s="182" t="n">
        <v>0</v>
      </c>
      <c r="AL822" s="182" t="n">
        <v>0</v>
      </c>
      <c r="AM822" s="182" t="n">
        <v>0</v>
      </c>
      <c r="AN822" s="182" t="n">
        <v>0</v>
      </c>
    </row>
    <row r="823">
      <c r="A823" s="155" t="n">
        <v>46085</v>
      </c>
      <c r="B823" s="156" t="inlineStr">
        <is>
          <t>NS</t>
        </is>
      </c>
      <c r="C823" s="156" t="inlineStr">
        <is>
          <t>EX-753</t>
        </is>
      </c>
      <c r="D823" s="156" t="inlineStr">
        <is>
          <t>SY750H-PRO</t>
        </is>
      </c>
      <c r="E823" s="156" t="inlineStr">
        <is>
          <t>Excavator</t>
        </is>
      </c>
      <c r="F823" s="156" t="inlineStr">
        <is>
          <t>Travel</t>
        </is>
      </c>
      <c r="G823" s="182" t="n">
        <v>0.3</v>
      </c>
      <c r="H823" s="182" t="n">
        <v>0</v>
      </c>
      <c r="I823" s="182" t="n">
        <v>0</v>
      </c>
      <c r="J823" s="182" t="n">
        <v>0</v>
      </c>
      <c r="K823" s="182" t="n">
        <v>11.7</v>
      </c>
      <c r="L823" s="182" t="n">
        <v>12</v>
      </c>
      <c r="M823" s="182" t="n">
        <v>0</v>
      </c>
      <c r="N823" s="182" t="n">
        <v>0</v>
      </c>
      <c r="O823" s="183" t="n">
        <v>0</v>
      </c>
      <c r="P823" s="183" t="n">
        <v>0</v>
      </c>
      <c r="Q823" s="184" t="n">
        <v>0</v>
      </c>
      <c r="R823" s="184" t="n">
        <v>0</v>
      </c>
      <c r="S823" s="183" t="n">
        <v>0</v>
      </c>
      <c r="T823" s="183" t="n">
        <v>0</v>
      </c>
      <c r="U823" s="182" t="n">
        <v>7.42</v>
      </c>
      <c r="V823" s="182" t="n">
        <v>3.2</v>
      </c>
      <c r="W823" s="182" t="n">
        <v>0</v>
      </c>
      <c r="X823" s="182" t="n">
        <v>1</v>
      </c>
      <c r="Y823" s="182" t="n">
        <v>0</v>
      </c>
      <c r="Z823" s="182" t="n">
        <v>0</v>
      </c>
      <c r="AA823" s="182" t="n">
        <v>0</v>
      </c>
      <c r="AB823" s="182" t="n">
        <v>0</v>
      </c>
      <c r="AC823" s="182" t="n">
        <v>0</v>
      </c>
      <c r="AD823" s="182" t="n">
        <v>0</v>
      </c>
      <c r="AE823" s="182" t="n">
        <v>0</v>
      </c>
      <c r="AF823" s="182" t="n">
        <v>0</v>
      </c>
      <c r="AG823" s="182" t="n">
        <v>0</v>
      </c>
      <c r="AH823" s="182" t="n">
        <v>0</v>
      </c>
      <c r="AI823" s="182" t="n">
        <v>0</v>
      </c>
      <c r="AJ823" s="182" t="n">
        <v>0</v>
      </c>
      <c r="AK823" s="182" t="n">
        <v>0</v>
      </c>
      <c r="AL823" s="182" t="n">
        <v>0</v>
      </c>
      <c r="AM823" s="182" t="n">
        <v>0.08</v>
      </c>
      <c r="AN823" s="182" t="n">
        <v>0</v>
      </c>
    </row>
    <row r="824">
      <c r="A824" s="155" t="n">
        <v>46085</v>
      </c>
      <c r="B824" s="156" t="inlineStr">
        <is>
          <t>NS</t>
        </is>
      </c>
      <c r="C824" s="156" t="inlineStr">
        <is>
          <t>GD-012</t>
        </is>
      </c>
      <c r="D824" s="156" t="inlineStr">
        <is>
          <t>STG 230C - 8S</t>
        </is>
      </c>
      <c r="E824" s="156" t="inlineStr">
        <is>
          <t>Grader</t>
        </is>
      </c>
      <c r="F824" s="156" t="inlineStr"/>
      <c r="G824" s="182" t="n">
        <v>0</v>
      </c>
      <c r="H824" s="182" t="n">
        <v>0</v>
      </c>
      <c r="I824" s="182" t="n">
        <v>0</v>
      </c>
      <c r="J824" s="182" t="n">
        <v>0</v>
      </c>
      <c r="K824" s="182" t="n">
        <v>12</v>
      </c>
      <c r="L824" s="182" t="n">
        <v>12</v>
      </c>
      <c r="M824" s="182" t="n">
        <v>0</v>
      </c>
      <c r="N824" s="182" t="n">
        <v>0</v>
      </c>
      <c r="O824" s="183" t="n">
        <v>0</v>
      </c>
      <c r="P824" s="183" t="n">
        <v>0</v>
      </c>
      <c r="Q824" s="184" t="n">
        <v>0</v>
      </c>
      <c r="R824" s="184" t="n">
        <v>0</v>
      </c>
      <c r="S824" s="183" t="n">
        <v>0</v>
      </c>
      <c r="T824" s="183" t="n">
        <v>0</v>
      </c>
      <c r="U824" s="182" t="n">
        <v>0</v>
      </c>
      <c r="V824" s="182" t="n">
        <v>0</v>
      </c>
      <c r="W824" s="182" t="n">
        <v>0</v>
      </c>
      <c r="X824" s="182" t="n">
        <v>1</v>
      </c>
      <c r="Y824" s="182" t="n">
        <v>0</v>
      </c>
      <c r="Z824" s="182" t="n">
        <v>0</v>
      </c>
      <c r="AA824" s="182" t="n">
        <v>0</v>
      </c>
      <c r="AB824" s="182" t="n">
        <v>0</v>
      </c>
      <c r="AC824" s="182" t="n">
        <v>0</v>
      </c>
      <c r="AD824" s="182" t="n">
        <v>0</v>
      </c>
      <c r="AE824" s="182" t="n">
        <v>0</v>
      </c>
      <c r="AF824" s="182" t="n">
        <v>0</v>
      </c>
      <c r="AG824" s="182" t="n">
        <v>0</v>
      </c>
      <c r="AH824" s="182" t="n">
        <v>0</v>
      </c>
      <c r="AI824" s="182" t="n">
        <v>0</v>
      </c>
      <c r="AJ824" s="182" t="n">
        <v>0</v>
      </c>
      <c r="AK824" s="182" t="n">
        <v>10.92</v>
      </c>
      <c r="AL824" s="182" t="n">
        <v>0</v>
      </c>
      <c r="AM824" s="182" t="n">
        <v>0.08</v>
      </c>
      <c r="AN824" s="182" t="n">
        <v>0</v>
      </c>
    </row>
    <row r="825">
      <c r="A825" s="155" t="n">
        <v>46085</v>
      </c>
      <c r="B825" s="156" t="inlineStr">
        <is>
          <t>NS</t>
        </is>
      </c>
      <c r="C825" s="156" t="inlineStr">
        <is>
          <t>GD-011</t>
        </is>
      </c>
      <c r="D825" s="156" t="inlineStr">
        <is>
          <t>STG 230C - 8S</t>
        </is>
      </c>
      <c r="E825" s="156" t="inlineStr">
        <is>
          <t>Grader</t>
        </is>
      </c>
      <c r="F825" s="156" t="inlineStr"/>
      <c r="G825" s="182" t="n">
        <v>0</v>
      </c>
      <c r="H825" s="182" t="n">
        <v>0</v>
      </c>
      <c r="I825" s="182" t="n">
        <v>12</v>
      </c>
      <c r="J825" s="182" t="n">
        <v>12</v>
      </c>
      <c r="K825" s="182" t="n">
        <v>0</v>
      </c>
      <c r="L825" s="182" t="n">
        <v>12</v>
      </c>
      <c r="M825" s="182" t="n">
        <v>0</v>
      </c>
      <c r="N825" s="182" t="n">
        <v>0</v>
      </c>
      <c r="O825" s="183" t="n">
        <v>0</v>
      </c>
      <c r="P825" s="183" t="n">
        <v>0</v>
      </c>
      <c r="Q825" s="184" t="n">
        <v>0</v>
      </c>
      <c r="R825" s="184" t="n">
        <v>0</v>
      </c>
      <c r="S825" s="183" t="n">
        <v>0</v>
      </c>
      <c r="T825" s="183" t="n">
        <v>0</v>
      </c>
      <c r="U825" s="182" t="n">
        <v>0</v>
      </c>
      <c r="V825" s="182" t="n">
        <v>0</v>
      </c>
      <c r="W825" s="182" t="n">
        <v>0</v>
      </c>
      <c r="X825" s="182" t="n">
        <v>0</v>
      </c>
      <c r="Y825" s="182" t="n">
        <v>0</v>
      </c>
      <c r="Z825" s="182" t="n">
        <v>0</v>
      </c>
      <c r="AA825" s="182" t="n">
        <v>0</v>
      </c>
      <c r="AB825" s="182" t="n">
        <v>0</v>
      </c>
      <c r="AC825" s="182" t="n">
        <v>0</v>
      </c>
      <c r="AD825" s="182" t="n">
        <v>0</v>
      </c>
      <c r="AE825" s="182" t="n">
        <v>0</v>
      </c>
      <c r="AF825" s="182" t="n">
        <v>0</v>
      </c>
      <c r="AG825" s="182" t="n">
        <v>0</v>
      </c>
      <c r="AH825" s="182" t="n">
        <v>0</v>
      </c>
      <c r="AI825" s="182" t="n">
        <v>0</v>
      </c>
      <c r="AJ825" s="182" t="n">
        <v>0</v>
      </c>
      <c r="AK825" s="182" t="n">
        <v>0</v>
      </c>
      <c r="AL825" s="182" t="n">
        <v>0</v>
      </c>
      <c r="AM825" s="182" t="n">
        <v>0</v>
      </c>
      <c r="AN825" s="182" t="n">
        <v>0</v>
      </c>
    </row>
    <row r="826">
      <c r="A826" s="155" t="n">
        <v>46085</v>
      </c>
      <c r="B826" s="156" t="inlineStr">
        <is>
          <t>NS</t>
        </is>
      </c>
      <c r="C826" s="156" t="inlineStr">
        <is>
          <t>GD-013</t>
        </is>
      </c>
      <c r="D826" s="156" t="inlineStr">
        <is>
          <t>STG 265C - 10</t>
        </is>
      </c>
      <c r="E826" s="156" t="inlineStr">
        <is>
          <t>Grader</t>
        </is>
      </c>
      <c r="F826" s="156" t="inlineStr">
        <is>
          <t>Road Maintenance</t>
        </is>
      </c>
      <c r="G826" s="182" t="n">
        <v>3.71</v>
      </c>
      <c r="H826" s="182" t="n">
        <v>0</v>
      </c>
      <c r="I826" s="182" t="n">
        <v>0</v>
      </c>
      <c r="J826" s="182" t="n">
        <v>0</v>
      </c>
      <c r="K826" s="182" t="n">
        <v>8.289999999999999</v>
      </c>
      <c r="L826" s="182" t="n">
        <v>12</v>
      </c>
      <c r="M826" s="182" t="n">
        <v>0</v>
      </c>
      <c r="N826" s="182" t="n">
        <v>0</v>
      </c>
      <c r="O826" s="183" t="n">
        <v>0</v>
      </c>
      <c r="P826" s="183" t="n">
        <v>0</v>
      </c>
      <c r="Q826" s="184" t="n">
        <v>0</v>
      </c>
      <c r="R826" s="184" t="n">
        <v>0</v>
      </c>
      <c r="S826" s="183" t="n">
        <v>0</v>
      </c>
      <c r="T826" s="183" t="n">
        <v>0</v>
      </c>
      <c r="U826" s="182" t="n">
        <v>7.16</v>
      </c>
      <c r="V826" s="182" t="n">
        <v>0</v>
      </c>
      <c r="W826" s="182" t="n">
        <v>0</v>
      </c>
      <c r="X826" s="182" t="n">
        <v>1.05</v>
      </c>
      <c r="Y826" s="182" t="n">
        <v>0</v>
      </c>
      <c r="Z826" s="182" t="n">
        <v>0</v>
      </c>
      <c r="AA826" s="182" t="n">
        <v>0</v>
      </c>
      <c r="AB826" s="182" t="n">
        <v>0</v>
      </c>
      <c r="AC826" s="182" t="n">
        <v>0</v>
      </c>
      <c r="AD826" s="182" t="n">
        <v>0</v>
      </c>
      <c r="AE826" s="182" t="n">
        <v>0</v>
      </c>
      <c r="AF826" s="182" t="n">
        <v>0</v>
      </c>
      <c r="AG826" s="182" t="n">
        <v>0</v>
      </c>
      <c r="AH826" s="182" t="n">
        <v>0</v>
      </c>
      <c r="AI826" s="182" t="n">
        <v>0</v>
      </c>
      <c r="AJ826" s="182" t="n">
        <v>0</v>
      </c>
      <c r="AK826" s="182" t="n">
        <v>0</v>
      </c>
      <c r="AL826" s="182" t="n">
        <v>0</v>
      </c>
      <c r="AM826" s="182" t="n">
        <v>0.08</v>
      </c>
      <c r="AN826" s="182" t="n">
        <v>0</v>
      </c>
    </row>
    <row r="827">
      <c r="A827" s="155" t="n">
        <v>46085</v>
      </c>
      <c r="B827" s="156" t="inlineStr">
        <is>
          <t>NS</t>
        </is>
      </c>
      <c r="C827" s="156" t="inlineStr">
        <is>
          <t>GD-014</t>
        </is>
      </c>
      <c r="D827" s="156" t="inlineStr">
        <is>
          <t>STG 335C - 10</t>
        </is>
      </c>
      <c r="E827" s="156" t="inlineStr">
        <is>
          <t>Grader</t>
        </is>
      </c>
      <c r="F827" s="156" t="inlineStr">
        <is>
          <t>Road Maintenance</t>
        </is>
      </c>
      <c r="G827" s="182" t="n">
        <v>3.98</v>
      </c>
      <c r="H827" s="182" t="n">
        <v>0</v>
      </c>
      <c r="I827" s="182" t="n">
        <v>0</v>
      </c>
      <c r="J827" s="182" t="n">
        <v>0</v>
      </c>
      <c r="K827" s="182" t="n">
        <v>8.02</v>
      </c>
      <c r="L827" s="182" t="n">
        <v>12</v>
      </c>
      <c r="M827" s="182" t="n">
        <v>0</v>
      </c>
      <c r="N827" s="182" t="n">
        <v>0</v>
      </c>
      <c r="O827" s="183" t="n">
        <v>0</v>
      </c>
      <c r="P827" s="183" t="n">
        <v>0</v>
      </c>
      <c r="Q827" s="184" t="n">
        <v>0</v>
      </c>
      <c r="R827" s="184" t="n">
        <v>0</v>
      </c>
      <c r="S827" s="183" t="n">
        <v>0</v>
      </c>
      <c r="T827" s="183" t="n">
        <v>0</v>
      </c>
      <c r="U827" s="182" t="n">
        <v>6.92</v>
      </c>
      <c r="V827" s="182" t="n">
        <v>0</v>
      </c>
      <c r="W827" s="182" t="n">
        <v>0</v>
      </c>
      <c r="X827" s="182" t="n">
        <v>1.02</v>
      </c>
      <c r="Y827" s="182" t="n">
        <v>0</v>
      </c>
      <c r="Z827" s="182" t="n">
        <v>0</v>
      </c>
      <c r="AA827" s="182" t="n">
        <v>0</v>
      </c>
      <c r="AB827" s="182" t="n">
        <v>0</v>
      </c>
      <c r="AC827" s="182" t="n">
        <v>0</v>
      </c>
      <c r="AD827" s="182" t="n">
        <v>0</v>
      </c>
      <c r="AE827" s="182" t="n">
        <v>0</v>
      </c>
      <c r="AF827" s="182" t="n">
        <v>0</v>
      </c>
      <c r="AG827" s="182" t="n">
        <v>0</v>
      </c>
      <c r="AH827" s="182" t="n">
        <v>0</v>
      </c>
      <c r="AI827" s="182" t="n">
        <v>0</v>
      </c>
      <c r="AJ827" s="182" t="n">
        <v>0</v>
      </c>
      <c r="AK827" s="182" t="n">
        <v>0</v>
      </c>
      <c r="AL827" s="182" t="n">
        <v>0</v>
      </c>
      <c r="AM827" s="182" t="n">
        <v>0.08</v>
      </c>
      <c r="AN827" s="182" t="n">
        <v>0</v>
      </c>
    </row>
    <row r="828">
      <c r="A828" s="155" t="n">
        <v>46085</v>
      </c>
      <c r="B828" s="156" t="inlineStr">
        <is>
          <t>NS</t>
        </is>
      </c>
      <c r="C828" s="156" t="inlineStr">
        <is>
          <t>DT-809</t>
        </is>
      </c>
      <c r="D828" s="156" t="inlineStr">
        <is>
          <t>SKT 80S</t>
        </is>
      </c>
      <c r="E828" s="156" t="inlineStr">
        <is>
          <t>Hauler</t>
        </is>
      </c>
      <c r="F828" s="156" t="inlineStr"/>
      <c r="G828" s="182" t="n">
        <v>0</v>
      </c>
      <c r="H828" s="182" t="n">
        <v>0</v>
      </c>
      <c r="I828" s="182" t="n">
        <v>0</v>
      </c>
      <c r="J828" s="182" t="n">
        <v>0</v>
      </c>
      <c r="K828" s="182" t="n">
        <v>12</v>
      </c>
      <c r="L828" s="182" t="n">
        <v>12</v>
      </c>
      <c r="M828" s="182" t="n">
        <v>0</v>
      </c>
      <c r="N828" s="182" t="n">
        <v>0</v>
      </c>
      <c r="O828" s="183" t="n">
        <v>0</v>
      </c>
      <c r="P828" s="183" t="n">
        <v>0</v>
      </c>
      <c r="Q828" s="184" t="n">
        <v>0</v>
      </c>
      <c r="R828" s="184" t="n">
        <v>0</v>
      </c>
      <c r="S828" s="183" t="n">
        <v>0</v>
      </c>
      <c r="T828" s="183" t="n">
        <v>0</v>
      </c>
      <c r="U828" s="182" t="n">
        <v>0</v>
      </c>
      <c r="V828" s="182" t="n">
        <v>0</v>
      </c>
      <c r="W828" s="182" t="n">
        <v>0</v>
      </c>
      <c r="X828" s="182" t="n">
        <v>1</v>
      </c>
      <c r="Y828" s="182" t="n">
        <v>0</v>
      </c>
      <c r="Z828" s="182" t="n">
        <v>0</v>
      </c>
      <c r="AA828" s="182" t="n">
        <v>0</v>
      </c>
      <c r="AB828" s="182" t="n">
        <v>0</v>
      </c>
      <c r="AC828" s="182" t="n">
        <v>0</v>
      </c>
      <c r="AD828" s="182" t="n">
        <v>0</v>
      </c>
      <c r="AE828" s="182" t="n">
        <v>0</v>
      </c>
      <c r="AF828" s="182" t="n">
        <v>0</v>
      </c>
      <c r="AG828" s="182" t="n">
        <v>0</v>
      </c>
      <c r="AH828" s="182" t="n">
        <v>0</v>
      </c>
      <c r="AI828" s="182" t="n">
        <v>0</v>
      </c>
      <c r="AJ828" s="182" t="n">
        <v>0</v>
      </c>
      <c r="AK828" s="182" t="n">
        <v>10.92</v>
      </c>
      <c r="AL828" s="182" t="n">
        <v>0</v>
      </c>
      <c r="AM828" s="182" t="n">
        <v>0.08</v>
      </c>
      <c r="AN828" s="182" t="n">
        <v>0</v>
      </c>
    </row>
    <row r="829">
      <c r="A829" s="155" t="n">
        <v>46085</v>
      </c>
      <c r="B829" s="156" t="inlineStr">
        <is>
          <t>NS</t>
        </is>
      </c>
      <c r="C829" s="156" t="inlineStr">
        <is>
          <t>DT-806</t>
        </is>
      </c>
      <c r="D829" s="156" t="inlineStr">
        <is>
          <t>SKT 80S</t>
        </is>
      </c>
      <c r="E829" s="156" t="inlineStr">
        <is>
          <t>Hauler</t>
        </is>
      </c>
      <c r="F829" s="156" t="inlineStr"/>
      <c r="G829" s="182" t="n">
        <v>0</v>
      </c>
      <c r="H829" s="182" t="n">
        <v>0</v>
      </c>
      <c r="I829" s="182" t="n">
        <v>0</v>
      </c>
      <c r="J829" s="182" t="n">
        <v>0</v>
      </c>
      <c r="K829" s="182" t="n">
        <v>12</v>
      </c>
      <c r="L829" s="182" t="n">
        <v>12</v>
      </c>
      <c r="M829" s="182" t="n">
        <v>0</v>
      </c>
      <c r="N829" s="182" t="n">
        <v>0</v>
      </c>
      <c r="O829" s="183" t="n">
        <v>0</v>
      </c>
      <c r="P829" s="183" t="n">
        <v>0</v>
      </c>
      <c r="Q829" s="184" t="n">
        <v>0</v>
      </c>
      <c r="R829" s="184" t="n">
        <v>0</v>
      </c>
      <c r="S829" s="183" t="n">
        <v>0</v>
      </c>
      <c r="T829" s="183" t="n">
        <v>0</v>
      </c>
      <c r="U829" s="182" t="n">
        <v>0</v>
      </c>
      <c r="V829" s="182" t="n">
        <v>0</v>
      </c>
      <c r="W829" s="182" t="n">
        <v>0</v>
      </c>
      <c r="X829" s="182" t="n">
        <v>1</v>
      </c>
      <c r="Y829" s="182" t="n">
        <v>0</v>
      </c>
      <c r="Z829" s="182" t="n">
        <v>0</v>
      </c>
      <c r="AA829" s="182" t="n">
        <v>0</v>
      </c>
      <c r="AB829" s="182" t="n">
        <v>0</v>
      </c>
      <c r="AC829" s="182" t="n">
        <v>0</v>
      </c>
      <c r="AD829" s="182" t="n">
        <v>0</v>
      </c>
      <c r="AE829" s="182" t="n">
        <v>0</v>
      </c>
      <c r="AF829" s="182" t="n">
        <v>0</v>
      </c>
      <c r="AG829" s="182" t="n">
        <v>0</v>
      </c>
      <c r="AH829" s="182" t="n">
        <v>0</v>
      </c>
      <c r="AI829" s="182" t="n">
        <v>0</v>
      </c>
      <c r="AJ829" s="182" t="n">
        <v>0</v>
      </c>
      <c r="AK829" s="182" t="n">
        <v>10.92</v>
      </c>
      <c r="AL829" s="182" t="n">
        <v>0</v>
      </c>
      <c r="AM829" s="182" t="n">
        <v>0.08</v>
      </c>
      <c r="AN829" s="182" t="n">
        <v>0</v>
      </c>
    </row>
    <row r="830">
      <c r="A830" s="155" t="n">
        <v>46085</v>
      </c>
      <c r="B830" s="156" t="inlineStr">
        <is>
          <t>NS</t>
        </is>
      </c>
      <c r="C830" s="156" t="inlineStr">
        <is>
          <t>DT-805</t>
        </is>
      </c>
      <c r="D830" s="156" t="inlineStr">
        <is>
          <t>SKT 80S</t>
        </is>
      </c>
      <c r="E830" s="156" t="inlineStr">
        <is>
          <t>Hauler</t>
        </is>
      </c>
      <c r="F830" s="156" t="inlineStr"/>
      <c r="G830" s="182" t="n">
        <v>0</v>
      </c>
      <c r="H830" s="182" t="n">
        <v>0</v>
      </c>
      <c r="I830" s="182" t="n">
        <v>0</v>
      </c>
      <c r="J830" s="182" t="n">
        <v>0</v>
      </c>
      <c r="K830" s="182" t="n">
        <v>12</v>
      </c>
      <c r="L830" s="182" t="n">
        <v>12</v>
      </c>
      <c r="M830" s="182" t="n">
        <v>0</v>
      </c>
      <c r="N830" s="182" t="n">
        <v>0</v>
      </c>
      <c r="O830" s="183" t="n">
        <v>0</v>
      </c>
      <c r="P830" s="183" t="n">
        <v>0</v>
      </c>
      <c r="Q830" s="184" t="n">
        <v>0</v>
      </c>
      <c r="R830" s="184" t="n">
        <v>0</v>
      </c>
      <c r="S830" s="183" t="n">
        <v>0</v>
      </c>
      <c r="T830" s="183" t="n">
        <v>0</v>
      </c>
      <c r="U830" s="182" t="n">
        <v>0</v>
      </c>
      <c r="V830" s="182" t="n">
        <v>0</v>
      </c>
      <c r="W830" s="182" t="n">
        <v>0</v>
      </c>
      <c r="X830" s="182" t="n">
        <v>1</v>
      </c>
      <c r="Y830" s="182" t="n">
        <v>0</v>
      </c>
      <c r="Z830" s="182" t="n">
        <v>0</v>
      </c>
      <c r="AA830" s="182" t="n">
        <v>0</v>
      </c>
      <c r="AB830" s="182" t="n">
        <v>0</v>
      </c>
      <c r="AC830" s="182" t="n">
        <v>0</v>
      </c>
      <c r="AD830" s="182" t="n">
        <v>0</v>
      </c>
      <c r="AE830" s="182" t="n">
        <v>0</v>
      </c>
      <c r="AF830" s="182" t="n">
        <v>0</v>
      </c>
      <c r="AG830" s="182" t="n">
        <v>0</v>
      </c>
      <c r="AH830" s="182" t="n">
        <v>0</v>
      </c>
      <c r="AI830" s="182" t="n">
        <v>0</v>
      </c>
      <c r="AJ830" s="182" t="n">
        <v>0</v>
      </c>
      <c r="AK830" s="182" t="n">
        <v>10.92</v>
      </c>
      <c r="AL830" s="182" t="n">
        <v>0</v>
      </c>
      <c r="AM830" s="182" t="n">
        <v>0.08</v>
      </c>
      <c r="AN830" s="182" t="n">
        <v>0</v>
      </c>
    </row>
    <row r="831">
      <c r="A831" s="155" t="n">
        <v>46085</v>
      </c>
      <c r="B831" s="156" t="inlineStr">
        <is>
          <t>NS</t>
        </is>
      </c>
      <c r="C831" s="156" t="inlineStr">
        <is>
          <t>DT-801</t>
        </is>
      </c>
      <c r="D831" s="156" t="inlineStr">
        <is>
          <t>SKT 80S</t>
        </is>
      </c>
      <c r="E831" s="156" t="inlineStr">
        <is>
          <t>Hauler</t>
        </is>
      </c>
      <c r="F831" s="156" t="inlineStr"/>
      <c r="G831" s="182" t="n">
        <v>0</v>
      </c>
      <c r="H831" s="182" t="n">
        <v>0</v>
      </c>
      <c r="I831" s="182" t="n">
        <v>0</v>
      </c>
      <c r="J831" s="182" t="n">
        <v>0</v>
      </c>
      <c r="K831" s="182" t="n">
        <v>12</v>
      </c>
      <c r="L831" s="182" t="n">
        <v>12</v>
      </c>
      <c r="M831" s="182" t="n">
        <v>0</v>
      </c>
      <c r="N831" s="182" t="n">
        <v>0</v>
      </c>
      <c r="O831" s="183" t="n">
        <v>0</v>
      </c>
      <c r="P831" s="183" t="n">
        <v>0</v>
      </c>
      <c r="Q831" s="184" t="n">
        <v>0</v>
      </c>
      <c r="R831" s="184" t="n">
        <v>0</v>
      </c>
      <c r="S831" s="183" t="n">
        <v>0</v>
      </c>
      <c r="T831" s="183" t="n">
        <v>0</v>
      </c>
      <c r="U831" s="182" t="n">
        <v>0</v>
      </c>
      <c r="V831" s="182" t="n">
        <v>0</v>
      </c>
      <c r="W831" s="182" t="n">
        <v>0</v>
      </c>
      <c r="X831" s="182" t="n">
        <v>1</v>
      </c>
      <c r="Y831" s="182" t="n">
        <v>0</v>
      </c>
      <c r="Z831" s="182" t="n">
        <v>0</v>
      </c>
      <c r="AA831" s="182" t="n">
        <v>0</v>
      </c>
      <c r="AB831" s="182" t="n">
        <v>0</v>
      </c>
      <c r="AC831" s="182" t="n">
        <v>0</v>
      </c>
      <c r="AD831" s="182" t="n">
        <v>0</v>
      </c>
      <c r="AE831" s="182" t="n">
        <v>0</v>
      </c>
      <c r="AF831" s="182" t="n">
        <v>0</v>
      </c>
      <c r="AG831" s="182" t="n">
        <v>0</v>
      </c>
      <c r="AH831" s="182" t="n">
        <v>0</v>
      </c>
      <c r="AI831" s="182" t="n">
        <v>0</v>
      </c>
      <c r="AJ831" s="182" t="n">
        <v>0</v>
      </c>
      <c r="AK831" s="182" t="n">
        <v>10.92</v>
      </c>
      <c r="AL831" s="182" t="n">
        <v>0</v>
      </c>
      <c r="AM831" s="182" t="n">
        <v>0.08</v>
      </c>
      <c r="AN831" s="182" t="n">
        <v>0</v>
      </c>
    </row>
    <row r="832">
      <c r="A832" s="155" t="n">
        <v>46085</v>
      </c>
      <c r="B832" s="156" t="inlineStr">
        <is>
          <t>NS</t>
        </is>
      </c>
      <c r="C832" s="156" t="inlineStr">
        <is>
          <t>DT-808</t>
        </is>
      </c>
      <c r="D832" s="156" t="inlineStr">
        <is>
          <t>SKT 80S</t>
        </is>
      </c>
      <c r="E832" s="156" t="inlineStr">
        <is>
          <t>Hauler</t>
        </is>
      </c>
      <c r="F832" s="156" t="inlineStr"/>
      <c r="G832" s="182" t="n">
        <v>0</v>
      </c>
      <c r="H832" s="182" t="n">
        <v>0</v>
      </c>
      <c r="I832" s="182" t="n">
        <v>0</v>
      </c>
      <c r="J832" s="182" t="n">
        <v>0</v>
      </c>
      <c r="K832" s="182" t="n">
        <v>12</v>
      </c>
      <c r="L832" s="182" t="n">
        <v>12</v>
      </c>
      <c r="M832" s="182" t="n">
        <v>0</v>
      </c>
      <c r="N832" s="182" t="n">
        <v>0</v>
      </c>
      <c r="O832" s="183" t="n">
        <v>0</v>
      </c>
      <c r="P832" s="183" t="n">
        <v>0</v>
      </c>
      <c r="Q832" s="184" t="n">
        <v>0</v>
      </c>
      <c r="R832" s="184" t="n">
        <v>0</v>
      </c>
      <c r="S832" s="183" t="n">
        <v>0</v>
      </c>
      <c r="T832" s="183" t="n">
        <v>0</v>
      </c>
      <c r="U832" s="182" t="n">
        <v>0</v>
      </c>
      <c r="V832" s="182" t="n">
        <v>0</v>
      </c>
      <c r="W832" s="182" t="n">
        <v>0</v>
      </c>
      <c r="X832" s="182" t="n">
        <v>1</v>
      </c>
      <c r="Y832" s="182" t="n">
        <v>0</v>
      </c>
      <c r="Z832" s="182" t="n">
        <v>0</v>
      </c>
      <c r="AA832" s="182" t="n">
        <v>0</v>
      </c>
      <c r="AB832" s="182" t="n">
        <v>0</v>
      </c>
      <c r="AC832" s="182" t="n">
        <v>0</v>
      </c>
      <c r="AD832" s="182" t="n">
        <v>0</v>
      </c>
      <c r="AE832" s="182" t="n">
        <v>0</v>
      </c>
      <c r="AF832" s="182" t="n">
        <v>0</v>
      </c>
      <c r="AG832" s="182" t="n">
        <v>0</v>
      </c>
      <c r="AH832" s="182" t="n">
        <v>0</v>
      </c>
      <c r="AI832" s="182" t="n">
        <v>0</v>
      </c>
      <c r="AJ832" s="182" t="n">
        <v>0</v>
      </c>
      <c r="AK832" s="182" t="n">
        <v>10.92</v>
      </c>
      <c r="AL832" s="182" t="n">
        <v>0</v>
      </c>
      <c r="AM832" s="182" t="n">
        <v>0.08</v>
      </c>
      <c r="AN832" s="182" t="n">
        <v>0</v>
      </c>
    </row>
    <row r="833">
      <c r="A833" s="155" t="n">
        <v>46085</v>
      </c>
      <c r="B833" s="156" t="inlineStr">
        <is>
          <t>NS</t>
        </is>
      </c>
      <c r="C833" s="156" t="inlineStr">
        <is>
          <t>DT-811</t>
        </is>
      </c>
      <c r="D833" s="156" t="inlineStr">
        <is>
          <t>SKT 80S</t>
        </is>
      </c>
      <c r="E833" s="156" t="inlineStr">
        <is>
          <t>Hauler</t>
        </is>
      </c>
      <c r="F833" s="156" t="inlineStr"/>
      <c r="G833" s="182" t="n">
        <v>0</v>
      </c>
      <c r="H833" s="182" t="n">
        <v>0</v>
      </c>
      <c r="I833" s="182" t="n">
        <v>0</v>
      </c>
      <c r="J833" s="182" t="n">
        <v>0</v>
      </c>
      <c r="K833" s="182" t="n">
        <v>12</v>
      </c>
      <c r="L833" s="182" t="n">
        <v>12</v>
      </c>
      <c r="M833" s="182" t="n">
        <v>0</v>
      </c>
      <c r="N833" s="182" t="n">
        <v>0</v>
      </c>
      <c r="O833" s="183" t="n">
        <v>0</v>
      </c>
      <c r="P833" s="183" t="n">
        <v>0</v>
      </c>
      <c r="Q833" s="184" t="n">
        <v>0</v>
      </c>
      <c r="R833" s="184" t="n">
        <v>0</v>
      </c>
      <c r="S833" s="183" t="n">
        <v>0</v>
      </c>
      <c r="T833" s="183" t="n">
        <v>0</v>
      </c>
      <c r="U833" s="182" t="n">
        <v>0</v>
      </c>
      <c r="V833" s="182" t="n">
        <v>0</v>
      </c>
      <c r="W833" s="182" t="n">
        <v>0</v>
      </c>
      <c r="X833" s="182" t="n">
        <v>1</v>
      </c>
      <c r="Y833" s="182" t="n">
        <v>0</v>
      </c>
      <c r="Z833" s="182" t="n">
        <v>0</v>
      </c>
      <c r="AA833" s="182" t="n">
        <v>0</v>
      </c>
      <c r="AB833" s="182" t="n">
        <v>0</v>
      </c>
      <c r="AC833" s="182" t="n">
        <v>0</v>
      </c>
      <c r="AD833" s="182" t="n">
        <v>0</v>
      </c>
      <c r="AE833" s="182" t="n">
        <v>0</v>
      </c>
      <c r="AF833" s="182" t="n">
        <v>0</v>
      </c>
      <c r="AG833" s="182" t="n">
        <v>0</v>
      </c>
      <c r="AH833" s="182" t="n">
        <v>0</v>
      </c>
      <c r="AI833" s="182" t="n">
        <v>0</v>
      </c>
      <c r="AJ833" s="182" t="n">
        <v>0</v>
      </c>
      <c r="AK833" s="182" t="n">
        <v>10.92</v>
      </c>
      <c r="AL833" s="182" t="n">
        <v>0</v>
      </c>
      <c r="AM833" s="182" t="n">
        <v>0.08</v>
      </c>
      <c r="AN833" s="182" t="n">
        <v>0</v>
      </c>
    </row>
    <row r="834">
      <c r="A834" s="155" t="n">
        <v>46085</v>
      </c>
      <c r="B834" s="156" t="inlineStr">
        <is>
          <t>NS</t>
        </is>
      </c>
      <c r="C834" s="156" t="inlineStr">
        <is>
          <t>DT-802</t>
        </is>
      </c>
      <c r="D834" s="156" t="inlineStr">
        <is>
          <t>SKT 80S</t>
        </is>
      </c>
      <c r="E834" s="156" t="inlineStr">
        <is>
          <t>Hauler</t>
        </is>
      </c>
      <c r="F834" s="156" t="inlineStr"/>
      <c r="G834" s="182" t="n">
        <v>0</v>
      </c>
      <c r="H834" s="182" t="n">
        <v>0</v>
      </c>
      <c r="I834" s="182" t="n">
        <v>0</v>
      </c>
      <c r="J834" s="182" t="n">
        <v>0</v>
      </c>
      <c r="K834" s="182" t="n">
        <v>12</v>
      </c>
      <c r="L834" s="182" t="n">
        <v>12</v>
      </c>
      <c r="M834" s="182" t="n">
        <v>0</v>
      </c>
      <c r="N834" s="182" t="n">
        <v>0</v>
      </c>
      <c r="O834" s="183" t="n">
        <v>0</v>
      </c>
      <c r="P834" s="183" t="n">
        <v>0</v>
      </c>
      <c r="Q834" s="184" t="n">
        <v>0</v>
      </c>
      <c r="R834" s="184" t="n">
        <v>0</v>
      </c>
      <c r="S834" s="183" t="n">
        <v>0</v>
      </c>
      <c r="T834" s="183" t="n">
        <v>0</v>
      </c>
      <c r="U834" s="182" t="n">
        <v>0</v>
      </c>
      <c r="V834" s="182" t="n">
        <v>0</v>
      </c>
      <c r="W834" s="182" t="n">
        <v>0</v>
      </c>
      <c r="X834" s="182" t="n">
        <v>1</v>
      </c>
      <c r="Y834" s="182" t="n">
        <v>0</v>
      </c>
      <c r="Z834" s="182" t="n">
        <v>0</v>
      </c>
      <c r="AA834" s="182" t="n">
        <v>0</v>
      </c>
      <c r="AB834" s="182" t="n">
        <v>0</v>
      </c>
      <c r="AC834" s="182" t="n">
        <v>0</v>
      </c>
      <c r="AD834" s="182" t="n">
        <v>0</v>
      </c>
      <c r="AE834" s="182" t="n">
        <v>0</v>
      </c>
      <c r="AF834" s="182" t="n">
        <v>0</v>
      </c>
      <c r="AG834" s="182" t="n">
        <v>0</v>
      </c>
      <c r="AH834" s="182" t="n">
        <v>0</v>
      </c>
      <c r="AI834" s="182" t="n">
        <v>0</v>
      </c>
      <c r="AJ834" s="182" t="n">
        <v>0</v>
      </c>
      <c r="AK834" s="182" t="n">
        <v>10.92</v>
      </c>
      <c r="AL834" s="182" t="n">
        <v>0</v>
      </c>
      <c r="AM834" s="182" t="n">
        <v>0.08</v>
      </c>
      <c r="AN834" s="182" t="n">
        <v>0</v>
      </c>
    </row>
    <row r="835">
      <c r="A835" s="155" t="n">
        <v>46085</v>
      </c>
      <c r="B835" s="156" t="inlineStr">
        <is>
          <t>NS</t>
        </is>
      </c>
      <c r="C835" s="156" t="inlineStr">
        <is>
          <t>DT-807</t>
        </is>
      </c>
      <c r="D835" s="156" t="inlineStr">
        <is>
          <t>SKT 80S</t>
        </is>
      </c>
      <c r="E835" s="156" t="inlineStr">
        <is>
          <t>Hauler</t>
        </is>
      </c>
      <c r="F835" s="156" t="inlineStr"/>
      <c r="G835" s="182" t="n">
        <v>0</v>
      </c>
      <c r="H835" s="182" t="n">
        <v>0</v>
      </c>
      <c r="I835" s="182" t="n">
        <v>12</v>
      </c>
      <c r="J835" s="182" t="n">
        <v>12</v>
      </c>
      <c r="K835" s="182" t="n">
        <v>0</v>
      </c>
      <c r="L835" s="182" t="n">
        <v>12</v>
      </c>
      <c r="M835" s="182" t="n">
        <v>0</v>
      </c>
      <c r="N835" s="182" t="n">
        <v>0</v>
      </c>
      <c r="O835" s="183" t="n">
        <v>0</v>
      </c>
      <c r="P835" s="183" t="n">
        <v>0</v>
      </c>
      <c r="Q835" s="184" t="n">
        <v>0</v>
      </c>
      <c r="R835" s="184" t="n">
        <v>0</v>
      </c>
      <c r="S835" s="183" t="n">
        <v>0</v>
      </c>
      <c r="T835" s="183" t="n">
        <v>0</v>
      </c>
      <c r="U835" s="182" t="n">
        <v>0</v>
      </c>
      <c r="V835" s="182" t="n">
        <v>0</v>
      </c>
      <c r="W835" s="182" t="n">
        <v>0</v>
      </c>
      <c r="X835" s="182" t="n">
        <v>0</v>
      </c>
      <c r="Y835" s="182" t="n">
        <v>0</v>
      </c>
      <c r="Z835" s="182" t="n">
        <v>0</v>
      </c>
      <c r="AA835" s="182" t="n">
        <v>0</v>
      </c>
      <c r="AB835" s="182" t="n">
        <v>0</v>
      </c>
      <c r="AC835" s="182" t="n">
        <v>0</v>
      </c>
      <c r="AD835" s="182" t="n">
        <v>0</v>
      </c>
      <c r="AE835" s="182" t="n">
        <v>0</v>
      </c>
      <c r="AF835" s="182" t="n">
        <v>0</v>
      </c>
      <c r="AG835" s="182" t="n">
        <v>0</v>
      </c>
      <c r="AH835" s="182" t="n">
        <v>0</v>
      </c>
      <c r="AI835" s="182" t="n">
        <v>0</v>
      </c>
      <c r="AJ835" s="182" t="n">
        <v>0</v>
      </c>
      <c r="AK835" s="182" t="n">
        <v>0</v>
      </c>
      <c r="AL835" s="182" t="n">
        <v>0</v>
      </c>
      <c r="AM835" s="182" t="n">
        <v>0</v>
      </c>
      <c r="AN835" s="182" t="n">
        <v>0</v>
      </c>
    </row>
    <row r="836">
      <c r="A836" s="155" t="n">
        <v>46085</v>
      </c>
      <c r="B836" s="156" t="inlineStr">
        <is>
          <t>NS</t>
        </is>
      </c>
      <c r="C836" s="156" t="inlineStr">
        <is>
          <t>DT-812</t>
        </is>
      </c>
      <c r="D836" s="156" t="inlineStr">
        <is>
          <t>SKT 80S</t>
        </is>
      </c>
      <c r="E836" s="156" t="inlineStr">
        <is>
          <t>Hauler</t>
        </is>
      </c>
      <c r="F836" s="156" t="inlineStr"/>
      <c r="G836" s="182" t="n">
        <v>0</v>
      </c>
      <c r="H836" s="182" t="n">
        <v>0</v>
      </c>
      <c r="I836" s="182" t="n">
        <v>0</v>
      </c>
      <c r="J836" s="182" t="n">
        <v>0</v>
      </c>
      <c r="K836" s="182" t="n">
        <v>12</v>
      </c>
      <c r="L836" s="182" t="n">
        <v>12</v>
      </c>
      <c r="M836" s="182" t="n">
        <v>0</v>
      </c>
      <c r="N836" s="182" t="n">
        <v>0</v>
      </c>
      <c r="O836" s="183" t="n">
        <v>0</v>
      </c>
      <c r="P836" s="183" t="n">
        <v>0</v>
      </c>
      <c r="Q836" s="184" t="n">
        <v>0</v>
      </c>
      <c r="R836" s="184" t="n">
        <v>0</v>
      </c>
      <c r="S836" s="183" t="n">
        <v>0</v>
      </c>
      <c r="T836" s="183" t="n">
        <v>0</v>
      </c>
      <c r="U836" s="182" t="n">
        <v>0</v>
      </c>
      <c r="V836" s="182" t="n">
        <v>0</v>
      </c>
      <c r="W836" s="182" t="n">
        <v>0</v>
      </c>
      <c r="X836" s="182" t="n">
        <v>1</v>
      </c>
      <c r="Y836" s="182" t="n">
        <v>0</v>
      </c>
      <c r="Z836" s="182" t="n">
        <v>0</v>
      </c>
      <c r="AA836" s="182" t="n">
        <v>0</v>
      </c>
      <c r="AB836" s="182" t="n">
        <v>0</v>
      </c>
      <c r="AC836" s="182" t="n">
        <v>0</v>
      </c>
      <c r="AD836" s="182" t="n">
        <v>0</v>
      </c>
      <c r="AE836" s="182" t="n">
        <v>0</v>
      </c>
      <c r="AF836" s="182" t="n">
        <v>0</v>
      </c>
      <c r="AG836" s="182" t="n">
        <v>0</v>
      </c>
      <c r="AH836" s="182" t="n">
        <v>0</v>
      </c>
      <c r="AI836" s="182" t="n">
        <v>0</v>
      </c>
      <c r="AJ836" s="182" t="n">
        <v>0</v>
      </c>
      <c r="AK836" s="182" t="n">
        <v>10.92</v>
      </c>
      <c r="AL836" s="182" t="n">
        <v>0</v>
      </c>
      <c r="AM836" s="182" t="n">
        <v>0.08</v>
      </c>
      <c r="AN836" s="182" t="n">
        <v>0</v>
      </c>
    </row>
    <row r="837">
      <c r="A837" s="155" t="n">
        <v>46085</v>
      </c>
      <c r="B837" s="156" t="inlineStr">
        <is>
          <t>NS</t>
        </is>
      </c>
      <c r="C837" s="156" t="inlineStr">
        <is>
          <t>DT-803</t>
        </is>
      </c>
      <c r="D837" s="156" t="inlineStr">
        <is>
          <t>SKT 80S</t>
        </is>
      </c>
      <c r="E837" s="156" t="inlineStr">
        <is>
          <t>Hauler</t>
        </is>
      </c>
      <c r="F837" s="156" t="inlineStr"/>
      <c r="G837" s="182" t="n">
        <v>0</v>
      </c>
      <c r="H837" s="182" t="n">
        <v>0</v>
      </c>
      <c r="I837" s="182" t="n">
        <v>0</v>
      </c>
      <c r="J837" s="182" t="n">
        <v>0</v>
      </c>
      <c r="K837" s="182" t="n">
        <v>12</v>
      </c>
      <c r="L837" s="182" t="n">
        <v>12</v>
      </c>
      <c r="M837" s="182" t="n">
        <v>0</v>
      </c>
      <c r="N837" s="182" t="n">
        <v>0</v>
      </c>
      <c r="O837" s="183" t="n">
        <v>0</v>
      </c>
      <c r="P837" s="183" t="n">
        <v>0</v>
      </c>
      <c r="Q837" s="184" t="n">
        <v>0</v>
      </c>
      <c r="R837" s="184" t="n">
        <v>0</v>
      </c>
      <c r="S837" s="183" t="n">
        <v>0</v>
      </c>
      <c r="T837" s="183" t="n">
        <v>0</v>
      </c>
      <c r="U837" s="182" t="n">
        <v>0</v>
      </c>
      <c r="V837" s="182" t="n">
        <v>0</v>
      </c>
      <c r="W837" s="182" t="n">
        <v>0</v>
      </c>
      <c r="X837" s="182" t="n">
        <v>1</v>
      </c>
      <c r="Y837" s="182" t="n">
        <v>0</v>
      </c>
      <c r="Z837" s="182" t="n">
        <v>0</v>
      </c>
      <c r="AA837" s="182" t="n">
        <v>0</v>
      </c>
      <c r="AB837" s="182" t="n">
        <v>0</v>
      </c>
      <c r="AC837" s="182" t="n">
        <v>0</v>
      </c>
      <c r="AD837" s="182" t="n">
        <v>0</v>
      </c>
      <c r="AE837" s="182" t="n">
        <v>0</v>
      </c>
      <c r="AF837" s="182" t="n">
        <v>0</v>
      </c>
      <c r="AG837" s="182" t="n">
        <v>0</v>
      </c>
      <c r="AH837" s="182" t="n">
        <v>0</v>
      </c>
      <c r="AI837" s="182" t="n">
        <v>0</v>
      </c>
      <c r="AJ837" s="182" t="n">
        <v>0</v>
      </c>
      <c r="AK837" s="182" t="n">
        <v>10.92</v>
      </c>
      <c r="AL837" s="182" t="n">
        <v>0</v>
      </c>
      <c r="AM837" s="182" t="n">
        <v>0.08</v>
      </c>
      <c r="AN837" s="182" t="n">
        <v>0</v>
      </c>
    </row>
    <row r="838">
      <c r="A838" s="155" t="n">
        <v>46085</v>
      </c>
      <c r="B838" s="156" t="inlineStr">
        <is>
          <t>NS</t>
        </is>
      </c>
      <c r="C838" s="156" t="inlineStr">
        <is>
          <t>DT-810</t>
        </is>
      </c>
      <c r="D838" s="156" t="inlineStr">
        <is>
          <t>SKT 80S</t>
        </is>
      </c>
      <c r="E838" s="156" t="inlineStr">
        <is>
          <t>Hauler</t>
        </is>
      </c>
      <c r="F838" s="156" t="inlineStr"/>
      <c r="G838" s="182" t="n">
        <v>0</v>
      </c>
      <c r="H838" s="182" t="n">
        <v>0</v>
      </c>
      <c r="I838" s="182" t="n">
        <v>0</v>
      </c>
      <c r="J838" s="182" t="n">
        <v>0</v>
      </c>
      <c r="K838" s="182" t="n">
        <v>12</v>
      </c>
      <c r="L838" s="182" t="n">
        <v>12</v>
      </c>
      <c r="M838" s="182" t="n">
        <v>0</v>
      </c>
      <c r="N838" s="182" t="n">
        <v>0</v>
      </c>
      <c r="O838" s="183" t="n">
        <v>0</v>
      </c>
      <c r="P838" s="183" t="n">
        <v>0</v>
      </c>
      <c r="Q838" s="184" t="n">
        <v>0</v>
      </c>
      <c r="R838" s="184" t="n">
        <v>0</v>
      </c>
      <c r="S838" s="183" t="n">
        <v>0</v>
      </c>
      <c r="T838" s="183" t="n">
        <v>0</v>
      </c>
      <c r="U838" s="182" t="n">
        <v>0</v>
      </c>
      <c r="V838" s="182" t="n">
        <v>0</v>
      </c>
      <c r="W838" s="182" t="n">
        <v>0</v>
      </c>
      <c r="X838" s="182" t="n">
        <v>1</v>
      </c>
      <c r="Y838" s="182" t="n">
        <v>0</v>
      </c>
      <c r="Z838" s="182" t="n">
        <v>0</v>
      </c>
      <c r="AA838" s="182" t="n">
        <v>0</v>
      </c>
      <c r="AB838" s="182" t="n">
        <v>0</v>
      </c>
      <c r="AC838" s="182" t="n">
        <v>0</v>
      </c>
      <c r="AD838" s="182" t="n">
        <v>0</v>
      </c>
      <c r="AE838" s="182" t="n">
        <v>0</v>
      </c>
      <c r="AF838" s="182" t="n">
        <v>0</v>
      </c>
      <c r="AG838" s="182" t="n">
        <v>0</v>
      </c>
      <c r="AH838" s="182" t="n">
        <v>0</v>
      </c>
      <c r="AI838" s="182" t="n">
        <v>0</v>
      </c>
      <c r="AJ838" s="182" t="n">
        <v>0</v>
      </c>
      <c r="AK838" s="182" t="n">
        <v>10.92</v>
      </c>
      <c r="AL838" s="182" t="n">
        <v>0</v>
      </c>
      <c r="AM838" s="182" t="n">
        <v>0.08</v>
      </c>
      <c r="AN838" s="182" t="n">
        <v>0</v>
      </c>
    </row>
    <row r="839">
      <c r="A839" s="155" t="n">
        <v>46085</v>
      </c>
      <c r="B839" s="156" t="inlineStr">
        <is>
          <t>NS</t>
        </is>
      </c>
      <c r="C839" s="156" t="inlineStr">
        <is>
          <t>DT-804</t>
        </is>
      </c>
      <c r="D839" s="156" t="inlineStr">
        <is>
          <t>SKT 80S</t>
        </is>
      </c>
      <c r="E839" s="156" t="inlineStr">
        <is>
          <t>Hauler</t>
        </is>
      </c>
      <c r="F839" s="156" t="inlineStr"/>
      <c r="G839" s="182" t="n">
        <v>0</v>
      </c>
      <c r="H839" s="182" t="n">
        <v>0</v>
      </c>
      <c r="I839" s="182" t="n">
        <v>0</v>
      </c>
      <c r="J839" s="182" t="n">
        <v>0</v>
      </c>
      <c r="K839" s="182" t="n">
        <v>12</v>
      </c>
      <c r="L839" s="182" t="n">
        <v>12</v>
      </c>
      <c r="M839" s="182" t="n">
        <v>0</v>
      </c>
      <c r="N839" s="182" t="n">
        <v>0</v>
      </c>
      <c r="O839" s="183" t="n">
        <v>0</v>
      </c>
      <c r="P839" s="183" t="n">
        <v>0</v>
      </c>
      <c r="Q839" s="184" t="n">
        <v>0</v>
      </c>
      <c r="R839" s="184" t="n">
        <v>0</v>
      </c>
      <c r="S839" s="183" t="n">
        <v>0</v>
      </c>
      <c r="T839" s="183" t="n">
        <v>0</v>
      </c>
      <c r="U839" s="182" t="n">
        <v>0</v>
      </c>
      <c r="V839" s="182" t="n">
        <v>0</v>
      </c>
      <c r="W839" s="182" t="n">
        <v>0</v>
      </c>
      <c r="X839" s="182" t="n">
        <v>1</v>
      </c>
      <c r="Y839" s="182" t="n">
        <v>0</v>
      </c>
      <c r="Z839" s="182" t="n">
        <v>0</v>
      </c>
      <c r="AA839" s="182" t="n">
        <v>0</v>
      </c>
      <c r="AB839" s="182" t="n">
        <v>0</v>
      </c>
      <c r="AC839" s="182" t="n">
        <v>0</v>
      </c>
      <c r="AD839" s="182" t="n">
        <v>0</v>
      </c>
      <c r="AE839" s="182" t="n">
        <v>0</v>
      </c>
      <c r="AF839" s="182" t="n">
        <v>0</v>
      </c>
      <c r="AG839" s="182" t="n">
        <v>0</v>
      </c>
      <c r="AH839" s="182" t="n">
        <v>0</v>
      </c>
      <c r="AI839" s="182" t="n">
        <v>0</v>
      </c>
      <c r="AJ839" s="182" t="n">
        <v>0</v>
      </c>
      <c r="AK839" s="182" t="n">
        <v>10.92</v>
      </c>
      <c r="AL839" s="182" t="n">
        <v>0</v>
      </c>
      <c r="AM839" s="182" t="n">
        <v>0.08</v>
      </c>
      <c r="AN839" s="182" t="n">
        <v>0</v>
      </c>
    </row>
    <row r="840">
      <c r="A840" s="155" t="n">
        <v>46085</v>
      </c>
      <c r="B840" s="156" t="inlineStr">
        <is>
          <t>NS</t>
        </is>
      </c>
      <c r="C840" s="156" t="inlineStr">
        <is>
          <t>DT-505</t>
        </is>
      </c>
      <c r="D840" s="156" t="inlineStr">
        <is>
          <t>SKT 105S</t>
        </is>
      </c>
      <c r="E840" s="156" t="inlineStr">
        <is>
          <t>Hauler</t>
        </is>
      </c>
      <c r="F840" s="156" t="inlineStr"/>
      <c r="G840" s="182" t="n">
        <v>0</v>
      </c>
      <c r="H840" s="182" t="n">
        <v>12</v>
      </c>
      <c r="I840" s="182" t="n">
        <v>0</v>
      </c>
      <c r="J840" s="182" t="n">
        <v>12</v>
      </c>
      <c r="K840" s="182" t="n">
        <v>0</v>
      </c>
      <c r="L840" s="182" t="n">
        <v>12</v>
      </c>
      <c r="M840" s="182" t="n">
        <v>0</v>
      </c>
      <c r="N840" s="182" t="n">
        <v>0</v>
      </c>
      <c r="O840" s="183" t="n">
        <v>0</v>
      </c>
      <c r="P840" s="183" t="n">
        <v>0</v>
      </c>
      <c r="Q840" s="184" t="n">
        <v>0</v>
      </c>
      <c r="R840" s="184" t="n">
        <v>0</v>
      </c>
      <c r="S840" s="183" t="n">
        <v>0</v>
      </c>
      <c r="T840" s="183" t="n">
        <v>0</v>
      </c>
      <c r="U840" s="182" t="n">
        <v>0</v>
      </c>
      <c r="V840" s="182" t="n">
        <v>0</v>
      </c>
      <c r="W840" s="182" t="n">
        <v>0</v>
      </c>
      <c r="X840" s="182" t="n">
        <v>0</v>
      </c>
      <c r="Y840" s="182" t="n">
        <v>0</v>
      </c>
      <c r="Z840" s="182" t="n">
        <v>0</v>
      </c>
      <c r="AA840" s="182" t="n">
        <v>0</v>
      </c>
      <c r="AB840" s="182" t="n">
        <v>0</v>
      </c>
      <c r="AC840" s="182" t="n">
        <v>0</v>
      </c>
      <c r="AD840" s="182" t="n">
        <v>0</v>
      </c>
      <c r="AE840" s="182" t="n">
        <v>0</v>
      </c>
      <c r="AF840" s="182" t="n">
        <v>0</v>
      </c>
      <c r="AG840" s="182" t="n">
        <v>0</v>
      </c>
      <c r="AH840" s="182" t="n">
        <v>0</v>
      </c>
      <c r="AI840" s="182" t="n">
        <v>0</v>
      </c>
      <c r="AJ840" s="182" t="n">
        <v>0</v>
      </c>
      <c r="AK840" s="182" t="n">
        <v>0</v>
      </c>
      <c r="AL840" s="182" t="n">
        <v>0</v>
      </c>
      <c r="AM840" s="182" t="n">
        <v>0</v>
      </c>
      <c r="AN840" s="182" t="n">
        <v>0</v>
      </c>
    </row>
    <row r="841">
      <c r="A841" s="155" t="n">
        <v>46085</v>
      </c>
      <c r="B841" s="156" t="inlineStr">
        <is>
          <t>NS</t>
        </is>
      </c>
      <c r="C841" s="156" t="inlineStr">
        <is>
          <t>DT-530</t>
        </is>
      </c>
      <c r="D841" s="156" t="inlineStr">
        <is>
          <t>SKT 105S</t>
        </is>
      </c>
      <c r="E841" s="156" t="inlineStr">
        <is>
          <t>Hauler</t>
        </is>
      </c>
      <c r="F841" s="156" t="inlineStr"/>
      <c r="G841" s="182" t="n">
        <v>0</v>
      </c>
      <c r="H841" s="182" t="n">
        <v>0</v>
      </c>
      <c r="I841" s="182" t="n">
        <v>12</v>
      </c>
      <c r="J841" s="182" t="n">
        <v>12</v>
      </c>
      <c r="K841" s="182" t="n">
        <v>0</v>
      </c>
      <c r="L841" s="182" t="n">
        <v>12</v>
      </c>
      <c r="M841" s="182" t="n">
        <v>0</v>
      </c>
      <c r="N841" s="182" t="n">
        <v>0</v>
      </c>
      <c r="O841" s="183" t="n">
        <v>0</v>
      </c>
      <c r="P841" s="183" t="n">
        <v>0</v>
      </c>
      <c r="Q841" s="184" t="n">
        <v>0</v>
      </c>
      <c r="R841" s="184" t="n">
        <v>0</v>
      </c>
      <c r="S841" s="183" t="n">
        <v>0</v>
      </c>
      <c r="T841" s="183" t="n">
        <v>0</v>
      </c>
      <c r="U841" s="182" t="n">
        <v>0</v>
      </c>
      <c r="V841" s="182" t="n">
        <v>0</v>
      </c>
      <c r="W841" s="182" t="n">
        <v>0</v>
      </c>
      <c r="X841" s="182" t="n">
        <v>0</v>
      </c>
      <c r="Y841" s="182" t="n">
        <v>0</v>
      </c>
      <c r="Z841" s="182" t="n">
        <v>0</v>
      </c>
      <c r="AA841" s="182" t="n">
        <v>0</v>
      </c>
      <c r="AB841" s="182" t="n">
        <v>0</v>
      </c>
      <c r="AC841" s="182" t="n">
        <v>0</v>
      </c>
      <c r="AD841" s="182" t="n">
        <v>0</v>
      </c>
      <c r="AE841" s="182" t="n">
        <v>0</v>
      </c>
      <c r="AF841" s="182" t="n">
        <v>0</v>
      </c>
      <c r="AG841" s="182" t="n">
        <v>0</v>
      </c>
      <c r="AH841" s="182" t="n">
        <v>0</v>
      </c>
      <c r="AI841" s="182" t="n">
        <v>0</v>
      </c>
      <c r="AJ841" s="182" t="n">
        <v>0</v>
      </c>
      <c r="AK841" s="182" t="n">
        <v>0</v>
      </c>
      <c r="AL841" s="182" t="n">
        <v>0</v>
      </c>
      <c r="AM841" s="182" t="n">
        <v>0</v>
      </c>
      <c r="AN841" s="182" t="n">
        <v>0</v>
      </c>
    </row>
    <row r="842">
      <c r="A842" s="155" t="n">
        <v>46085</v>
      </c>
      <c r="B842" s="156" t="inlineStr">
        <is>
          <t>NS</t>
        </is>
      </c>
      <c r="C842" s="156" t="inlineStr">
        <is>
          <t>DT-525</t>
        </is>
      </c>
      <c r="D842" s="156" t="inlineStr">
        <is>
          <t>SKT 105S</t>
        </is>
      </c>
      <c r="E842" s="156" t="inlineStr">
        <is>
          <t>Hauler</t>
        </is>
      </c>
      <c r="F842" s="156" t="inlineStr"/>
      <c r="G842" s="182" t="n">
        <v>0</v>
      </c>
      <c r="H842" s="182" t="n">
        <v>0</v>
      </c>
      <c r="I842" s="182" t="n">
        <v>12</v>
      </c>
      <c r="J842" s="182" t="n">
        <v>12</v>
      </c>
      <c r="K842" s="182" t="n">
        <v>0</v>
      </c>
      <c r="L842" s="182" t="n">
        <v>12</v>
      </c>
      <c r="M842" s="182" t="n">
        <v>0</v>
      </c>
      <c r="N842" s="182" t="n">
        <v>0</v>
      </c>
      <c r="O842" s="183" t="n">
        <v>0</v>
      </c>
      <c r="P842" s="183" t="n">
        <v>0</v>
      </c>
      <c r="Q842" s="184" t="n">
        <v>0</v>
      </c>
      <c r="R842" s="184" t="n">
        <v>0</v>
      </c>
      <c r="S842" s="183" t="n">
        <v>0</v>
      </c>
      <c r="T842" s="183" t="n">
        <v>0</v>
      </c>
      <c r="U842" s="182" t="n">
        <v>0</v>
      </c>
      <c r="V842" s="182" t="n">
        <v>0</v>
      </c>
      <c r="W842" s="182" t="n">
        <v>0</v>
      </c>
      <c r="X842" s="182" t="n">
        <v>0</v>
      </c>
      <c r="Y842" s="182" t="n">
        <v>0</v>
      </c>
      <c r="Z842" s="182" t="n">
        <v>0</v>
      </c>
      <c r="AA842" s="182" t="n">
        <v>0</v>
      </c>
      <c r="AB842" s="182" t="n">
        <v>0</v>
      </c>
      <c r="AC842" s="182" t="n">
        <v>0</v>
      </c>
      <c r="AD842" s="182" t="n">
        <v>0</v>
      </c>
      <c r="AE842" s="182" t="n">
        <v>0</v>
      </c>
      <c r="AF842" s="182" t="n">
        <v>0</v>
      </c>
      <c r="AG842" s="182" t="n">
        <v>0</v>
      </c>
      <c r="AH842" s="182" t="n">
        <v>0</v>
      </c>
      <c r="AI842" s="182" t="n">
        <v>0</v>
      </c>
      <c r="AJ842" s="182" t="n">
        <v>0</v>
      </c>
      <c r="AK842" s="182" t="n">
        <v>0</v>
      </c>
      <c r="AL842" s="182" t="n">
        <v>0</v>
      </c>
      <c r="AM842" s="182" t="n">
        <v>0</v>
      </c>
      <c r="AN842" s="182" t="n">
        <v>0</v>
      </c>
    </row>
    <row r="843">
      <c r="A843" s="155" t="n">
        <v>46085</v>
      </c>
      <c r="B843" s="156" t="inlineStr">
        <is>
          <t>NS</t>
        </is>
      </c>
      <c r="C843" s="156" t="inlineStr">
        <is>
          <t>DT-503</t>
        </is>
      </c>
      <c r="D843" s="156" t="inlineStr">
        <is>
          <t>SKT 105S</t>
        </is>
      </c>
      <c r="E843" s="156" t="inlineStr">
        <is>
          <t>Hauler</t>
        </is>
      </c>
      <c r="F843" s="156" t="inlineStr">
        <is>
          <t>Hauling OB</t>
        </is>
      </c>
      <c r="G843" s="182" t="n">
        <v>1.25</v>
      </c>
      <c r="H843" s="182" t="n">
        <v>0</v>
      </c>
      <c r="I843" s="182" t="n">
        <v>0</v>
      </c>
      <c r="J843" s="182" t="n">
        <v>0</v>
      </c>
      <c r="K843" s="182" t="n">
        <v>10.75</v>
      </c>
      <c r="L843" s="182" t="n">
        <v>12</v>
      </c>
      <c r="M843" s="182" t="n">
        <v>1.25</v>
      </c>
      <c r="N843" s="182" t="n">
        <v>0</v>
      </c>
      <c r="O843" s="183" t="n">
        <v>4</v>
      </c>
      <c r="P843" s="183" t="n">
        <v>0</v>
      </c>
      <c r="Q843" s="184" t="n">
        <v>81.59999999999999</v>
      </c>
      <c r="R843" s="184" t="n">
        <v>0</v>
      </c>
      <c r="S843" s="183" t="n">
        <v>0</v>
      </c>
      <c r="T843" s="183" t="n">
        <v>0</v>
      </c>
      <c r="U843" s="182" t="n">
        <v>6.88</v>
      </c>
      <c r="V843" s="182" t="n">
        <v>2.78</v>
      </c>
      <c r="W843" s="182" t="n">
        <v>0</v>
      </c>
      <c r="X843" s="182" t="n">
        <v>1</v>
      </c>
      <c r="Y843" s="182" t="n">
        <v>0</v>
      </c>
      <c r="Z843" s="182" t="n">
        <v>0</v>
      </c>
      <c r="AA843" s="182" t="n">
        <v>0</v>
      </c>
      <c r="AB843" s="182" t="n">
        <v>0</v>
      </c>
      <c r="AC843" s="182" t="n">
        <v>0</v>
      </c>
      <c r="AD843" s="182" t="n">
        <v>0</v>
      </c>
      <c r="AE843" s="182" t="n">
        <v>0</v>
      </c>
      <c r="AF843" s="182" t="n">
        <v>0</v>
      </c>
      <c r="AG843" s="182" t="n">
        <v>0</v>
      </c>
      <c r="AH843" s="182" t="n">
        <v>0</v>
      </c>
      <c r="AI843" s="182" t="n">
        <v>0</v>
      </c>
      <c r="AJ843" s="182" t="n">
        <v>0</v>
      </c>
      <c r="AK843" s="182" t="n">
        <v>0</v>
      </c>
      <c r="AL843" s="182" t="n">
        <v>0</v>
      </c>
      <c r="AM843" s="182" t="n">
        <v>0.08</v>
      </c>
      <c r="AN843" s="182" t="n">
        <v>0</v>
      </c>
    </row>
    <row r="844">
      <c r="A844" s="155" t="n">
        <v>46085</v>
      </c>
      <c r="B844" s="156" t="inlineStr">
        <is>
          <t>NS</t>
        </is>
      </c>
      <c r="C844" s="156" t="inlineStr">
        <is>
          <t>DT-504</t>
        </is>
      </c>
      <c r="D844" s="156" t="inlineStr">
        <is>
          <t>SKT 105S</t>
        </is>
      </c>
      <c r="E844" s="156" t="inlineStr">
        <is>
          <t>Hauler</t>
        </is>
      </c>
      <c r="F844" s="156" t="inlineStr"/>
      <c r="G844" s="182" t="n">
        <v>0</v>
      </c>
      <c r="H844" s="182" t="n">
        <v>0</v>
      </c>
      <c r="I844" s="182" t="n">
        <v>0</v>
      </c>
      <c r="J844" s="182" t="n">
        <v>0</v>
      </c>
      <c r="K844" s="182" t="n">
        <v>12</v>
      </c>
      <c r="L844" s="182" t="n">
        <v>12</v>
      </c>
      <c r="M844" s="182" t="n">
        <v>0</v>
      </c>
      <c r="N844" s="182" t="n">
        <v>0</v>
      </c>
      <c r="O844" s="183" t="n">
        <v>0</v>
      </c>
      <c r="P844" s="183" t="n">
        <v>0</v>
      </c>
      <c r="Q844" s="184" t="n">
        <v>0</v>
      </c>
      <c r="R844" s="184" t="n">
        <v>0</v>
      </c>
      <c r="S844" s="183" t="n">
        <v>0</v>
      </c>
      <c r="T844" s="183" t="n">
        <v>0</v>
      </c>
      <c r="U844" s="182" t="n">
        <v>7.42</v>
      </c>
      <c r="V844" s="182" t="n">
        <v>0</v>
      </c>
      <c r="W844" s="182" t="n">
        <v>0</v>
      </c>
      <c r="X844" s="182" t="n">
        <v>1</v>
      </c>
      <c r="Y844" s="182" t="n">
        <v>0</v>
      </c>
      <c r="Z844" s="182" t="n">
        <v>0</v>
      </c>
      <c r="AA844" s="182" t="n">
        <v>0</v>
      </c>
      <c r="AB844" s="182" t="n">
        <v>0</v>
      </c>
      <c r="AC844" s="182" t="n">
        <v>0</v>
      </c>
      <c r="AD844" s="182" t="n">
        <v>0</v>
      </c>
      <c r="AE844" s="182" t="n">
        <v>0</v>
      </c>
      <c r="AF844" s="182" t="n">
        <v>0</v>
      </c>
      <c r="AG844" s="182" t="n">
        <v>0</v>
      </c>
      <c r="AH844" s="182" t="n">
        <v>0</v>
      </c>
      <c r="AI844" s="182" t="n">
        <v>3.5</v>
      </c>
      <c r="AJ844" s="182" t="n">
        <v>0</v>
      </c>
      <c r="AK844" s="182" t="n">
        <v>0</v>
      </c>
      <c r="AL844" s="182" t="n">
        <v>0</v>
      </c>
      <c r="AM844" s="182" t="n">
        <v>0.08</v>
      </c>
      <c r="AN844" s="182" t="n">
        <v>0</v>
      </c>
    </row>
    <row r="845">
      <c r="A845" s="155" t="n">
        <v>46085</v>
      </c>
      <c r="B845" s="156" t="inlineStr">
        <is>
          <t>NS</t>
        </is>
      </c>
      <c r="C845" s="156" t="inlineStr">
        <is>
          <t>DT-507</t>
        </is>
      </c>
      <c r="D845" s="156" t="inlineStr">
        <is>
          <t>SKT 105S</t>
        </is>
      </c>
      <c r="E845" s="156" t="inlineStr">
        <is>
          <t>Hauler</t>
        </is>
      </c>
      <c r="F845" s="156" t="inlineStr">
        <is>
          <t>Hauling OB</t>
        </is>
      </c>
      <c r="G845" s="182" t="n">
        <v>1.45</v>
      </c>
      <c r="H845" s="182" t="n">
        <v>0</v>
      </c>
      <c r="I845" s="182" t="n">
        <v>0</v>
      </c>
      <c r="J845" s="182" t="n">
        <v>0</v>
      </c>
      <c r="K845" s="182" t="n">
        <v>10.55</v>
      </c>
      <c r="L845" s="182" t="n">
        <v>12</v>
      </c>
      <c r="M845" s="182" t="n">
        <v>1.45</v>
      </c>
      <c r="N845" s="182" t="n">
        <v>0</v>
      </c>
      <c r="O845" s="183" t="n">
        <v>4</v>
      </c>
      <c r="P845" s="183" t="n">
        <v>0</v>
      </c>
      <c r="Q845" s="184" t="n">
        <v>81.59999999999999</v>
      </c>
      <c r="R845" s="184" t="n">
        <v>0</v>
      </c>
      <c r="S845" s="183" t="n">
        <v>0</v>
      </c>
      <c r="T845" s="183" t="n">
        <v>0</v>
      </c>
      <c r="U845" s="182" t="n">
        <v>6.79</v>
      </c>
      <c r="V845" s="182" t="n">
        <v>2.71</v>
      </c>
      <c r="W845" s="182" t="n">
        <v>0</v>
      </c>
      <c r="X845" s="182" t="n">
        <v>0.98</v>
      </c>
      <c r="Y845" s="182" t="n">
        <v>0</v>
      </c>
      <c r="Z845" s="182" t="n">
        <v>0</v>
      </c>
      <c r="AA845" s="182" t="n">
        <v>0</v>
      </c>
      <c r="AB845" s="182" t="n">
        <v>0</v>
      </c>
      <c r="AC845" s="182" t="n">
        <v>0</v>
      </c>
      <c r="AD845" s="182" t="n">
        <v>0</v>
      </c>
      <c r="AE845" s="182" t="n">
        <v>0</v>
      </c>
      <c r="AF845" s="182" t="n">
        <v>0</v>
      </c>
      <c r="AG845" s="182" t="n">
        <v>0</v>
      </c>
      <c r="AH845" s="182" t="n">
        <v>0</v>
      </c>
      <c r="AI845" s="182" t="n">
        <v>0</v>
      </c>
      <c r="AJ845" s="182" t="n">
        <v>0</v>
      </c>
      <c r="AK845" s="182" t="n">
        <v>0</v>
      </c>
      <c r="AL845" s="182" t="n">
        <v>0</v>
      </c>
      <c r="AM845" s="182" t="n">
        <v>0.08</v>
      </c>
      <c r="AN845" s="182" t="n">
        <v>0</v>
      </c>
    </row>
    <row r="846">
      <c r="A846" s="155" t="n">
        <v>46085</v>
      </c>
      <c r="B846" s="156" t="inlineStr">
        <is>
          <t>NS</t>
        </is>
      </c>
      <c r="C846" s="156" t="inlineStr">
        <is>
          <t>DT-501</t>
        </is>
      </c>
      <c r="D846" s="156" t="inlineStr">
        <is>
          <t>SKT 105S</t>
        </is>
      </c>
      <c r="E846" s="156" t="inlineStr">
        <is>
          <t>Hauler</t>
        </is>
      </c>
      <c r="F846" s="156" t="inlineStr">
        <is>
          <t>Hauling OB</t>
        </is>
      </c>
      <c r="G846" s="182" t="n">
        <v>2.38</v>
      </c>
      <c r="H846" s="182" t="n">
        <v>0</v>
      </c>
      <c r="I846" s="182" t="n">
        <v>0</v>
      </c>
      <c r="J846" s="182" t="n">
        <v>0</v>
      </c>
      <c r="K846" s="182" t="n">
        <v>9.619999999999999</v>
      </c>
      <c r="L846" s="182" t="n">
        <v>12</v>
      </c>
      <c r="M846" s="182" t="n">
        <v>2.38</v>
      </c>
      <c r="N846" s="182" t="n">
        <v>0</v>
      </c>
      <c r="O846" s="183" t="n">
        <v>11</v>
      </c>
      <c r="P846" s="183" t="n">
        <v>0</v>
      </c>
      <c r="Q846" s="184" t="n">
        <v>224.4</v>
      </c>
      <c r="R846" s="184" t="n">
        <v>0</v>
      </c>
      <c r="S846" s="183" t="n">
        <v>0</v>
      </c>
      <c r="T846" s="183" t="n">
        <v>0</v>
      </c>
      <c r="U846" s="182" t="n">
        <v>6.6</v>
      </c>
      <c r="V846" s="182" t="n">
        <v>1.96</v>
      </c>
      <c r="W846" s="182" t="n">
        <v>0</v>
      </c>
      <c r="X846" s="182" t="n">
        <v>0.98</v>
      </c>
      <c r="Y846" s="182" t="n">
        <v>0</v>
      </c>
      <c r="Z846" s="182" t="n">
        <v>0</v>
      </c>
      <c r="AA846" s="182" t="n">
        <v>0</v>
      </c>
      <c r="AB846" s="182" t="n">
        <v>0</v>
      </c>
      <c r="AC846" s="182" t="n">
        <v>0</v>
      </c>
      <c r="AD846" s="182" t="n">
        <v>0</v>
      </c>
      <c r="AE846" s="182" t="n">
        <v>0</v>
      </c>
      <c r="AF846" s="182" t="n">
        <v>0</v>
      </c>
      <c r="AG846" s="182" t="n">
        <v>0</v>
      </c>
      <c r="AH846" s="182" t="n">
        <v>0</v>
      </c>
      <c r="AI846" s="182" t="n">
        <v>0</v>
      </c>
      <c r="AJ846" s="182" t="n">
        <v>0</v>
      </c>
      <c r="AK846" s="182" t="n">
        <v>0</v>
      </c>
      <c r="AL846" s="182" t="n">
        <v>0</v>
      </c>
      <c r="AM846" s="182" t="n">
        <v>0.08</v>
      </c>
      <c r="AN846" s="182" t="n">
        <v>0</v>
      </c>
    </row>
    <row r="847">
      <c r="A847" s="155" t="n">
        <v>46085</v>
      </c>
      <c r="B847" s="156" t="inlineStr">
        <is>
          <t>NS</t>
        </is>
      </c>
      <c r="C847" s="156" t="inlineStr">
        <is>
          <t>DT-518</t>
        </is>
      </c>
      <c r="D847" s="156" t="inlineStr">
        <is>
          <t>SKT 105S</t>
        </is>
      </c>
      <c r="E847" s="156" t="inlineStr">
        <is>
          <t>Hauler</t>
        </is>
      </c>
      <c r="F847" s="156" t="inlineStr"/>
      <c r="G847" s="182" t="n">
        <v>0</v>
      </c>
      <c r="H847" s="182" t="n">
        <v>0</v>
      </c>
      <c r="I847" s="182" t="n">
        <v>0</v>
      </c>
      <c r="J847" s="182" t="n">
        <v>0</v>
      </c>
      <c r="K847" s="182" t="n">
        <v>12</v>
      </c>
      <c r="L847" s="182" t="n">
        <v>12</v>
      </c>
      <c r="M847" s="182" t="n">
        <v>0</v>
      </c>
      <c r="N847" s="182" t="n">
        <v>0</v>
      </c>
      <c r="O847" s="183" t="n">
        <v>0</v>
      </c>
      <c r="P847" s="183" t="n">
        <v>0</v>
      </c>
      <c r="Q847" s="184" t="n">
        <v>0</v>
      </c>
      <c r="R847" s="184" t="n">
        <v>0</v>
      </c>
      <c r="S847" s="183" t="n">
        <v>0</v>
      </c>
      <c r="T847" s="183" t="n">
        <v>0</v>
      </c>
      <c r="U847" s="182" t="n">
        <v>7.42</v>
      </c>
      <c r="V847" s="182" t="n">
        <v>0</v>
      </c>
      <c r="W847" s="182" t="n">
        <v>0</v>
      </c>
      <c r="X847" s="182" t="n">
        <v>1</v>
      </c>
      <c r="Y847" s="182" t="n">
        <v>0</v>
      </c>
      <c r="Z847" s="182" t="n">
        <v>0</v>
      </c>
      <c r="AA847" s="182" t="n">
        <v>0</v>
      </c>
      <c r="AB847" s="182" t="n">
        <v>0</v>
      </c>
      <c r="AC847" s="182" t="n">
        <v>0</v>
      </c>
      <c r="AD847" s="182" t="n">
        <v>0</v>
      </c>
      <c r="AE847" s="182" t="n">
        <v>0</v>
      </c>
      <c r="AF847" s="182" t="n">
        <v>0</v>
      </c>
      <c r="AG847" s="182" t="n">
        <v>0</v>
      </c>
      <c r="AH847" s="182" t="n">
        <v>0</v>
      </c>
      <c r="AI847" s="182" t="n">
        <v>3.5</v>
      </c>
      <c r="AJ847" s="182" t="n">
        <v>0</v>
      </c>
      <c r="AK847" s="182" t="n">
        <v>0</v>
      </c>
      <c r="AL847" s="182" t="n">
        <v>0</v>
      </c>
      <c r="AM847" s="182" t="n">
        <v>0.08</v>
      </c>
      <c r="AN847" s="182" t="n">
        <v>0</v>
      </c>
    </row>
    <row r="848">
      <c r="A848" s="155" t="n">
        <v>46085</v>
      </c>
      <c r="B848" s="156" t="inlineStr">
        <is>
          <t>NS</t>
        </is>
      </c>
      <c r="C848" s="156" t="inlineStr">
        <is>
          <t>DT-514</t>
        </is>
      </c>
      <c r="D848" s="156" t="inlineStr">
        <is>
          <t>SKT 105S</t>
        </is>
      </c>
      <c r="E848" s="156" t="inlineStr">
        <is>
          <t>Hauler</t>
        </is>
      </c>
      <c r="F848" s="156" t="inlineStr"/>
      <c r="G848" s="182" t="n">
        <v>0</v>
      </c>
      <c r="H848" s="182" t="n">
        <v>0</v>
      </c>
      <c r="I848" s="182" t="n">
        <v>12</v>
      </c>
      <c r="J848" s="182" t="n">
        <v>12</v>
      </c>
      <c r="K848" s="182" t="n">
        <v>0</v>
      </c>
      <c r="L848" s="182" t="n">
        <v>12</v>
      </c>
      <c r="M848" s="182" t="n">
        <v>0</v>
      </c>
      <c r="N848" s="182" t="n">
        <v>0</v>
      </c>
      <c r="O848" s="183" t="n">
        <v>0</v>
      </c>
      <c r="P848" s="183" t="n">
        <v>0</v>
      </c>
      <c r="Q848" s="184" t="n">
        <v>0</v>
      </c>
      <c r="R848" s="184" t="n">
        <v>0</v>
      </c>
      <c r="S848" s="183" t="n">
        <v>0</v>
      </c>
      <c r="T848" s="183" t="n">
        <v>0</v>
      </c>
      <c r="U848" s="182" t="n">
        <v>0</v>
      </c>
      <c r="V848" s="182" t="n">
        <v>0</v>
      </c>
      <c r="W848" s="182" t="n">
        <v>0</v>
      </c>
      <c r="X848" s="182" t="n">
        <v>0</v>
      </c>
      <c r="Y848" s="182" t="n">
        <v>0</v>
      </c>
      <c r="Z848" s="182" t="n">
        <v>0</v>
      </c>
      <c r="AA848" s="182" t="n">
        <v>0</v>
      </c>
      <c r="AB848" s="182" t="n">
        <v>0</v>
      </c>
      <c r="AC848" s="182" t="n">
        <v>0</v>
      </c>
      <c r="AD848" s="182" t="n">
        <v>0</v>
      </c>
      <c r="AE848" s="182" t="n">
        <v>0</v>
      </c>
      <c r="AF848" s="182" t="n">
        <v>0</v>
      </c>
      <c r="AG848" s="182" t="n">
        <v>0</v>
      </c>
      <c r="AH848" s="182" t="n">
        <v>0</v>
      </c>
      <c r="AI848" s="182" t="n">
        <v>0</v>
      </c>
      <c r="AJ848" s="182" t="n">
        <v>0</v>
      </c>
      <c r="AK848" s="182" t="n">
        <v>0</v>
      </c>
      <c r="AL848" s="182" t="n">
        <v>0</v>
      </c>
      <c r="AM848" s="182" t="n">
        <v>0</v>
      </c>
      <c r="AN848" s="182" t="n">
        <v>0</v>
      </c>
    </row>
    <row r="849">
      <c r="A849" s="155" t="n">
        <v>46085</v>
      </c>
      <c r="B849" s="156" t="inlineStr">
        <is>
          <t>NS</t>
        </is>
      </c>
      <c r="C849" s="156" t="inlineStr">
        <is>
          <t>DT-523</t>
        </is>
      </c>
      <c r="D849" s="156" t="inlineStr">
        <is>
          <t>SKT 105S</t>
        </is>
      </c>
      <c r="E849" s="156" t="inlineStr">
        <is>
          <t>Hauler</t>
        </is>
      </c>
      <c r="F849" s="156" t="inlineStr"/>
      <c r="G849" s="182" t="n">
        <v>0</v>
      </c>
      <c r="H849" s="182" t="n">
        <v>0</v>
      </c>
      <c r="I849" s="182" t="n">
        <v>12</v>
      </c>
      <c r="J849" s="182" t="n">
        <v>12</v>
      </c>
      <c r="K849" s="182" t="n">
        <v>0</v>
      </c>
      <c r="L849" s="182" t="n">
        <v>12</v>
      </c>
      <c r="M849" s="182" t="n">
        <v>0</v>
      </c>
      <c r="N849" s="182" t="n">
        <v>0</v>
      </c>
      <c r="O849" s="183" t="n">
        <v>0</v>
      </c>
      <c r="P849" s="183" t="n">
        <v>0</v>
      </c>
      <c r="Q849" s="184" t="n">
        <v>0</v>
      </c>
      <c r="R849" s="184" t="n">
        <v>0</v>
      </c>
      <c r="S849" s="183" t="n">
        <v>0</v>
      </c>
      <c r="T849" s="183" t="n">
        <v>0</v>
      </c>
      <c r="U849" s="182" t="n">
        <v>0</v>
      </c>
      <c r="V849" s="182" t="n">
        <v>0</v>
      </c>
      <c r="W849" s="182" t="n">
        <v>0</v>
      </c>
      <c r="X849" s="182" t="n">
        <v>0</v>
      </c>
      <c r="Y849" s="182" t="n">
        <v>0</v>
      </c>
      <c r="Z849" s="182" t="n">
        <v>0</v>
      </c>
      <c r="AA849" s="182" t="n">
        <v>0</v>
      </c>
      <c r="AB849" s="182" t="n">
        <v>0</v>
      </c>
      <c r="AC849" s="182" t="n">
        <v>0</v>
      </c>
      <c r="AD849" s="182" t="n">
        <v>0</v>
      </c>
      <c r="AE849" s="182" t="n">
        <v>0</v>
      </c>
      <c r="AF849" s="182" t="n">
        <v>0</v>
      </c>
      <c r="AG849" s="182" t="n">
        <v>0</v>
      </c>
      <c r="AH849" s="182" t="n">
        <v>0</v>
      </c>
      <c r="AI849" s="182" t="n">
        <v>0</v>
      </c>
      <c r="AJ849" s="182" t="n">
        <v>0</v>
      </c>
      <c r="AK849" s="182" t="n">
        <v>0</v>
      </c>
      <c r="AL849" s="182" t="n">
        <v>0</v>
      </c>
      <c r="AM849" s="182" t="n">
        <v>0</v>
      </c>
      <c r="AN849" s="182" t="n">
        <v>0</v>
      </c>
    </row>
    <row r="850">
      <c r="A850" s="155" t="n">
        <v>46085</v>
      </c>
      <c r="B850" s="156" t="inlineStr">
        <is>
          <t>NS</t>
        </is>
      </c>
      <c r="C850" s="156" t="inlineStr">
        <is>
          <t>DT-519</t>
        </is>
      </c>
      <c r="D850" s="156" t="inlineStr">
        <is>
          <t>SKT 105S</t>
        </is>
      </c>
      <c r="E850" s="156" t="inlineStr">
        <is>
          <t>Hauler</t>
        </is>
      </c>
      <c r="F850" s="156" t="inlineStr"/>
      <c r="G850" s="182" t="n">
        <v>0</v>
      </c>
      <c r="H850" s="182" t="n">
        <v>0</v>
      </c>
      <c r="I850" s="182" t="n">
        <v>12</v>
      </c>
      <c r="J850" s="182" t="n">
        <v>12</v>
      </c>
      <c r="K850" s="182" t="n">
        <v>0</v>
      </c>
      <c r="L850" s="182" t="n">
        <v>12</v>
      </c>
      <c r="M850" s="182" t="n">
        <v>0</v>
      </c>
      <c r="N850" s="182" t="n">
        <v>0</v>
      </c>
      <c r="O850" s="183" t="n">
        <v>0</v>
      </c>
      <c r="P850" s="183" t="n">
        <v>0</v>
      </c>
      <c r="Q850" s="184" t="n">
        <v>0</v>
      </c>
      <c r="R850" s="184" t="n">
        <v>0</v>
      </c>
      <c r="S850" s="183" t="n">
        <v>0</v>
      </c>
      <c r="T850" s="183" t="n">
        <v>0</v>
      </c>
      <c r="U850" s="182" t="n">
        <v>0</v>
      </c>
      <c r="V850" s="182" t="n">
        <v>0</v>
      </c>
      <c r="W850" s="182" t="n">
        <v>0</v>
      </c>
      <c r="X850" s="182" t="n">
        <v>0</v>
      </c>
      <c r="Y850" s="182" t="n">
        <v>0</v>
      </c>
      <c r="Z850" s="182" t="n">
        <v>0</v>
      </c>
      <c r="AA850" s="182" t="n">
        <v>0</v>
      </c>
      <c r="AB850" s="182" t="n">
        <v>0</v>
      </c>
      <c r="AC850" s="182" t="n">
        <v>0</v>
      </c>
      <c r="AD850" s="182" t="n">
        <v>0</v>
      </c>
      <c r="AE850" s="182" t="n">
        <v>0</v>
      </c>
      <c r="AF850" s="182" t="n">
        <v>0</v>
      </c>
      <c r="AG850" s="182" t="n">
        <v>0</v>
      </c>
      <c r="AH850" s="182" t="n">
        <v>0</v>
      </c>
      <c r="AI850" s="182" t="n">
        <v>0</v>
      </c>
      <c r="AJ850" s="182" t="n">
        <v>0</v>
      </c>
      <c r="AK850" s="182" t="n">
        <v>0</v>
      </c>
      <c r="AL850" s="182" t="n">
        <v>0</v>
      </c>
      <c r="AM850" s="182" t="n">
        <v>0</v>
      </c>
      <c r="AN850" s="182" t="n">
        <v>0</v>
      </c>
    </row>
    <row r="851">
      <c r="A851" s="155" t="n">
        <v>46085</v>
      </c>
      <c r="B851" s="156" t="inlineStr">
        <is>
          <t>NS</t>
        </is>
      </c>
      <c r="C851" s="156" t="inlineStr">
        <is>
          <t>DT-527</t>
        </is>
      </c>
      <c r="D851" s="156" t="inlineStr">
        <is>
          <t>SKT 105S</t>
        </is>
      </c>
      <c r="E851" s="156" t="inlineStr">
        <is>
          <t>Hauler</t>
        </is>
      </c>
      <c r="F851" s="156" t="inlineStr">
        <is>
          <t>Hauling OB</t>
        </is>
      </c>
      <c r="G851" s="182" t="n">
        <v>1.23</v>
      </c>
      <c r="H851" s="182" t="n">
        <v>0</v>
      </c>
      <c r="I851" s="182" t="n">
        <v>0</v>
      </c>
      <c r="J851" s="182" t="n">
        <v>0</v>
      </c>
      <c r="K851" s="182" t="n">
        <v>10.77</v>
      </c>
      <c r="L851" s="182" t="n">
        <v>12</v>
      </c>
      <c r="M851" s="182" t="n">
        <v>1.23</v>
      </c>
      <c r="N851" s="182" t="n">
        <v>0</v>
      </c>
      <c r="O851" s="183" t="n">
        <v>5</v>
      </c>
      <c r="P851" s="183" t="n">
        <v>0</v>
      </c>
      <c r="Q851" s="184" t="n">
        <v>102</v>
      </c>
      <c r="R851" s="184" t="n">
        <v>0</v>
      </c>
      <c r="S851" s="183" t="n">
        <v>0</v>
      </c>
      <c r="T851" s="183" t="n">
        <v>0</v>
      </c>
      <c r="U851" s="182" t="n">
        <v>6.78</v>
      </c>
      <c r="V851" s="182" t="n">
        <v>2.87</v>
      </c>
      <c r="W851" s="182" t="n">
        <v>0</v>
      </c>
      <c r="X851" s="182" t="n">
        <v>1.04</v>
      </c>
      <c r="Y851" s="182" t="n">
        <v>0</v>
      </c>
      <c r="Z851" s="182" t="n">
        <v>0</v>
      </c>
      <c r="AA851" s="182" t="n">
        <v>0</v>
      </c>
      <c r="AB851" s="182" t="n">
        <v>0</v>
      </c>
      <c r="AC851" s="182" t="n">
        <v>0</v>
      </c>
      <c r="AD851" s="182" t="n">
        <v>0</v>
      </c>
      <c r="AE851" s="182" t="n">
        <v>0</v>
      </c>
      <c r="AF851" s="182" t="n">
        <v>0</v>
      </c>
      <c r="AG851" s="182" t="n">
        <v>0</v>
      </c>
      <c r="AH851" s="182" t="n">
        <v>0</v>
      </c>
      <c r="AI851" s="182" t="n">
        <v>0</v>
      </c>
      <c r="AJ851" s="182" t="n">
        <v>0</v>
      </c>
      <c r="AK851" s="182" t="n">
        <v>0</v>
      </c>
      <c r="AL851" s="182" t="n">
        <v>0</v>
      </c>
      <c r="AM851" s="182" t="n">
        <v>0.08</v>
      </c>
      <c r="AN851" s="182" t="n">
        <v>0</v>
      </c>
    </row>
    <row r="852">
      <c r="A852" s="155" t="n">
        <v>46085</v>
      </c>
      <c r="B852" s="156" t="inlineStr">
        <is>
          <t>NS</t>
        </is>
      </c>
      <c r="C852" s="156" t="inlineStr">
        <is>
          <t>DT-513</t>
        </is>
      </c>
      <c r="D852" s="156" t="inlineStr">
        <is>
          <t>SKT 105S</t>
        </is>
      </c>
      <c r="E852" s="156" t="inlineStr">
        <is>
          <t>Hauler</t>
        </is>
      </c>
      <c r="F852" s="156" t="inlineStr"/>
      <c r="G852" s="182" t="n">
        <v>0</v>
      </c>
      <c r="H852" s="182" t="n">
        <v>0</v>
      </c>
      <c r="I852" s="182" t="n">
        <v>3.67</v>
      </c>
      <c r="J852" s="182" t="n">
        <v>3.67</v>
      </c>
      <c r="K852" s="182" t="n">
        <v>8.33</v>
      </c>
      <c r="L852" s="182" t="n">
        <v>12</v>
      </c>
      <c r="M852" s="182" t="n">
        <v>0</v>
      </c>
      <c r="N852" s="182" t="n">
        <v>0</v>
      </c>
      <c r="O852" s="183" t="n">
        <v>0</v>
      </c>
      <c r="P852" s="183" t="n">
        <v>0</v>
      </c>
      <c r="Q852" s="184" t="n">
        <v>0</v>
      </c>
      <c r="R852" s="184" t="n">
        <v>0</v>
      </c>
      <c r="S852" s="183" t="n">
        <v>0</v>
      </c>
      <c r="T852" s="183" t="n">
        <v>0</v>
      </c>
      <c r="U852" s="182" t="n">
        <v>7.25</v>
      </c>
      <c r="V852" s="182" t="n">
        <v>0</v>
      </c>
      <c r="W852" s="182" t="n">
        <v>0</v>
      </c>
      <c r="X852" s="182" t="n">
        <v>1</v>
      </c>
      <c r="Y852" s="182" t="n">
        <v>0</v>
      </c>
      <c r="Z852" s="182" t="n">
        <v>0</v>
      </c>
      <c r="AA852" s="182" t="n">
        <v>0</v>
      </c>
      <c r="AB852" s="182" t="n">
        <v>0</v>
      </c>
      <c r="AC852" s="182" t="n">
        <v>0</v>
      </c>
      <c r="AD852" s="182" t="n">
        <v>0</v>
      </c>
      <c r="AE852" s="182" t="n">
        <v>0</v>
      </c>
      <c r="AF852" s="182" t="n">
        <v>0</v>
      </c>
      <c r="AG852" s="182" t="n">
        <v>0</v>
      </c>
      <c r="AH852" s="182" t="n">
        <v>0</v>
      </c>
      <c r="AI852" s="182" t="n">
        <v>0</v>
      </c>
      <c r="AJ852" s="182" t="n">
        <v>0</v>
      </c>
      <c r="AK852" s="182" t="n">
        <v>0</v>
      </c>
      <c r="AL852" s="182" t="n">
        <v>0</v>
      </c>
      <c r="AM852" s="182" t="n">
        <v>0.08</v>
      </c>
      <c r="AN852" s="182" t="n">
        <v>0</v>
      </c>
    </row>
    <row r="853">
      <c r="A853" s="155" t="n">
        <v>46085</v>
      </c>
      <c r="B853" s="156" t="inlineStr">
        <is>
          <t>NS</t>
        </is>
      </c>
      <c r="C853" s="156" t="inlineStr">
        <is>
          <t>DT-512</t>
        </is>
      </c>
      <c r="D853" s="156" t="inlineStr">
        <is>
          <t>SKT 105S</t>
        </is>
      </c>
      <c r="E853" s="156" t="inlineStr">
        <is>
          <t>Hauler</t>
        </is>
      </c>
      <c r="F853" s="156" t="inlineStr"/>
      <c r="G853" s="182" t="n">
        <v>0</v>
      </c>
      <c r="H853" s="182" t="n">
        <v>0</v>
      </c>
      <c r="I853" s="182" t="n">
        <v>0</v>
      </c>
      <c r="J853" s="182" t="n">
        <v>0</v>
      </c>
      <c r="K853" s="182" t="n">
        <v>12</v>
      </c>
      <c r="L853" s="182" t="n">
        <v>12</v>
      </c>
      <c r="M853" s="182" t="n">
        <v>0</v>
      </c>
      <c r="N853" s="182" t="n">
        <v>0</v>
      </c>
      <c r="O853" s="183" t="n">
        <v>0</v>
      </c>
      <c r="P853" s="183" t="n">
        <v>0</v>
      </c>
      <c r="Q853" s="184" t="n">
        <v>0</v>
      </c>
      <c r="R853" s="184" t="n">
        <v>0</v>
      </c>
      <c r="S853" s="183" t="n">
        <v>0</v>
      </c>
      <c r="T853" s="183" t="n">
        <v>0</v>
      </c>
      <c r="U853" s="182" t="n">
        <v>7.42</v>
      </c>
      <c r="V853" s="182" t="n">
        <v>0</v>
      </c>
      <c r="W853" s="182" t="n">
        <v>0</v>
      </c>
      <c r="X853" s="182" t="n">
        <v>1</v>
      </c>
      <c r="Y853" s="182" t="n">
        <v>0</v>
      </c>
      <c r="Z853" s="182" t="n">
        <v>0</v>
      </c>
      <c r="AA853" s="182" t="n">
        <v>0</v>
      </c>
      <c r="AB853" s="182" t="n">
        <v>0</v>
      </c>
      <c r="AC853" s="182" t="n">
        <v>0</v>
      </c>
      <c r="AD853" s="182" t="n">
        <v>0</v>
      </c>
      <c r="AE853" s="182" t="n">
        <v>0</v>
      </c>
      <c r="AF853" s="182" t="n">
        <v>0</v>
      </c>
      <c r="AG853" s="182" t="n">
        <v>0</v>
      </c>
      <c r="AH853" s="182" t="n">
        <v>0</v>
      </c>
      <c r="AI853" s="182" t="n">
        <v>3.5</v>
      </c>
      <c r="AJ853" s="182" t="n">
        <v>0</v>
      </c>
      <c r="AK853" s="182" t="n">
        <v>0</v>
      </c>
      <c r="AL853" s="182" t="n">
        <v>0</v>
      </c>
      <c r="AM853" s="182" t="n">
        <v>0.08</v>
      </c>
      <c r="AN853" s="182" t="n">
        <v>0</v>
      </c>
    </row>
    <row r="854">
      <c r="A854" s="155" t="n">
        <v>46085</v>
      </c>
      <c r="B854" s="156" t="inlineStr">
        <is>
          <t>NS</t>
        </is>
      </c>
      <c r="C854" s="156" t="inlineStr">
        <is>
          <t>DT-522</t>
        </is>
      </c>
      <c r="D854" s="156" t="inlineStr">
        <is>
          <t>SKT 105S</t>
        </is>
      </c>
      <c r="E854" s="156" t="inlineStr">
        <is>
          <t>Hauler</t>
        </is>
      </c>
      <c r="F854" s="156" t="inlineStr"/>
      <c r="G854" s="182" t="n">
        <v>0</v>
      </c>
      <c r="H854" s="182" t="n">
        <v>0</v>
      </c>
      <c r="I854" s="182" t="n">
        <v>0</v>
      </c>
      <c r="J854" s="182" t="n">
        <v>0</v>
      </c>
      <c r="K854" s="182" t="n">
        <v>12</v>
      </c>
      <c r="L854" s="182" t="n">
        <v>12</v>
      </c>
      <c r="M854" s="182" t="n">
        <v>0</v>
      </c>
      <c r="N854" s="182" t="n">
        <v>0</v>
      </c>
      <c r="O854" s="183" t="n">
        <v>0</v>
      </c>
      <c r="P854" s="183" t="n">
        <v>0</v>
      </c>
      <c r="Q854" s="184" t="n">
        <v>0</v>
      </c>
      <c r="R854" s="184" t="n">
        <v>0</v>
      </c>
      <c r="S854" s="183" t="n">
        <v>0</v>
      </c>
      <c r="T854" s="183" t="n">
        <v>0</v>
      </c>
      <c r="U854" s="182" t="n">
        <v>7.42</v>
      </c>
      <c r="V854" s="182" t="n">
        <v>0</v>
      </c>
      <c r="W854" s="182" t="n">
        <v>0</v>
      </c>
      <c r="X854" s="182" t="n">
        <v>1</v>
      </c>
      <c r="Y854" s="182" t="n">
        <v>0</v>
      </c>
      <c r="Z854" s="182" t="n">
        <v>0</v>
      </c>
      <c r="AA854" s="182" t="n">
        <v>0</v>
      </c>
      <c r="AB854" s="182" t="n">
        <v>0</v>
      </c>
      <c r="AC854" s="182" t="n">
        <v>0</v>
      </c>
      <c r="AD854" s="182" t="n">
        <v>0</v>
      </c>
      <c r="AE854" s="182" t="n">
        <v>0</v>
      </c>
      <c r="AF854" s="182" t="n">
        <v>0</v>
      </c>
      <c r="AG854" s="182" t="n">
        <v>0</v>
      </c>
      <c r="AH854" s="182" t="n">
        <v>0</v>
      </c>
      <c r="AI854" s="182" t="n">
        <v>3.5</v>
      </c>
      <c r="AJ854" s="182" t="n">
        <v>0</v>
      </c>
      <c r="AK854" s="182" t="n">
        <v>0</v>
      </c>
      <c r="AL854" s="182" t="n">
        <v>0</v>
      </c>
      <c r="AM854" s="182" t="n">
        <v>0.08</v>
      </c>
      <c r="AN854" s="182" t="n">
        <v>0</v>
      </c>
    </row>
    <row r="855">
      <c r="A855" s="155" t="n">
        <v>46085</v>
      </c>
      <c r="B855" s="156" t="inlineStr">
        <is>
          <t>NS</t>
        </is>
      </c>
      <c r="C855" s="156" t="inlineStr">
        <is>
          <t>DT-517</t>
        </is>
      </c>
      <c r="D855" s="156" t="inlineStr">
        <is>
          <t>SKT 105S</t>
        </is>
      </c>
      <c r="E855" s="156" t="inlineStr">
        <is>
          <t>Hauler</t>
        </is>
      </c>
      <c r="F855" s="156" t="inlineStr"/>
      <c r="G855" s="182" t="n">
        <v>0</v>
      </c>
      <c r="H855" s="182" t="n">
        <v>0</v>
      </c>
      <c r="I855" s="182" t="n">
        <v>0</v>
      </c>
      <c r="J855" s="182" t="n">
        <v>0</v>
      </c>
      <c r="K855" s="182" t="n">
        <v>12</v>
      </c>
      <c r="L855" s="182" t="n">
        <v>12</v>
      </c>
      <c r="M855" s="182" t="n">
        <v>0</v>
      </c>
      <c r="N855" s="182" t="n">
        <v>0</v>
      </c>
      <c r="O855" s="183" t="n">
        <v>0</v>
      </c>
      <c r="P855" s="183" t="n">
        <v>0</v>
      </c>
      <c r="Q855" s="184" t="n">
        <v>0</v>
      </c>
      <c r="R855" s="184" t="n">
        <v>0</v>
      </c>
      <c r="S855" s="183" t="n">
        <v>0</v>
      </c>
      <c r="T855" s="183" t="n">
        <v>0</v>
      </c>
      <c r="U855" s="182" t="n">
        <v>7.42</v>
      </c>
      <c r="V855" s="182" t="n">
        <v>0</v>
      </c>
      <c r="W855" s="182" t="n">
        <v>0</v>
      </c>
      <c r="X855" s="182" t="n">
        <v>1</v>
      </c>
      <c r="Y855" s="182" t="n">
        <v>0</v>
      </c>
      <c r="Z855" s="182" t="n">
        <v>0</v>
      </c>
      <c r="AA855" s="182" t="n">
        <v>0</v>
      </c>
      <c r="AB855" s="182" t="n">
        <v>0</v>
      </c>
      <c r="AC855" s="182" t="n">
        <v>0</v>
      </c>
      <c r="AD855" s="182" t="n">
        <v>0</v>
      </c>
      <c r="AE855" s="182" t="n">
        <v>0</v>
      </c>
      <c r="AF855" s="182" t="n">
        <v>0</v>
      </c>
      <c r="AG855" s="182" t="n">
        <v>0</v>
      </c>
      <c r="AH855" s="182" t="n">
        <v>0</v>
      </c>
      <c r="AI855" s="182" t="n">
        <v>3.5</v>
      </c>
      <c r="AJ855" s="182" t="n">
        <v>0</v>
      </c>
      <c r="AK855" s="182" t="n">
        <v>0</v>
      </c>
      <c r="AL855" s="182" t="n">
        <v>0</v>
      </c>
      <c r="AM855" s="182" t="n">
        <v>0.08</v>
      </c>
      <c r="AN855" s="182" t="n">
        <v>0</v>
      </c>
    </row>
    <row r="856">
      <c r="A856" s="155" t="n">
        <v>46085</v>
      </c>
      <c r="B856" s="156" t="inlineStr">
        <is>
          <t>NS</t>
        </is>
      </c>
      <c r="C856" s="156" t="inlineStr">
        <is>
          <t>DT-510</t>
        </is>
      </c>
      <c r="D856" s="156" t="inlineStr">
        <is>
          <t>SKT 105S</t>
        </is>
      </c>
      <c r="E856" s="156" t="inlineStr">
        <is>
          <t>Hauler</t>
        </is>
      </c>
      <c r="F856" s="156" t="inlineStr">
        <is>
          <t>Hauling OB</t>
        </is>
      </c>
      <c r="G856" s="182" t="n">
        <v>2.13</v>
      </c>
      <c r="H856" s="182" t="n">
        <v>0</v>
      </c>
      <c r="I856" s="182" t="n">
        <v>0</v>
      </c>
      <c r="J856" s="182" t="n">
        <v>0</v>
      </c>
      <c r="K856" s="182" t="n">
        <v>9.869999999999999</v>
      </c>
      <c r="L856" s="182" t="n">
        <v>12</v>
      </c>
      <c r="M856" s="182" t="n">
        <v>2.13</v>
      </c>
      <c r="N856" s="182" t="n">
        <v>0</v>
      </c>
      <c r="O856" s="183" t="n">
        <v>9</v>
      </c>
      <c r="P856" s="183" t="n">
        <v>0</v>
      </c>
      <c r="Q856" s="184" t="n">
        <v>183.6</v>
      </c>
      <c r="R856" s="184" t="n">
        <v>0</v>
      </c>
      <c r="S856" s="183" t="n">
        <v>0</v>
      </c>
      <c r="T856" s="183" t="n">
        <v>0</v>
      </c>
      <c r="U856" s="182" t="n">
        <v>6.83</v>
      </c>
      <c r="V856" s="182" t="n">
        <v>1.97</v>
      </c>
      <c r="W856" s="182" t="n">
        <v>0</v>
      </c>
      <c r="X856" s="182" t="n">
        <v>0.99</v>
      </c>
      <c r="Y856" s="182" t="n">
        <v>0</v>
      </c>
      <c r="Z856" s="182" t="n">
        <v>0</v>
      </c>
      <c r="AA856" s="182" t="n">
        <v>0</v>
      </c>
      <c r="AB856" s="182" t="n">
        <v>0</v>
      </c>
      <c r="AC856" s="182" t="n">
        <v>0</v>
      </c>
      <c r="AD856" s="182" t="n">
        <v>0</v>
      </c>
      <c r="AE856" s="182" t="n">
        <v>0</v>
      </c>
      <c r="AF856" s="182" t="n">
        <v>0</v>
      </c>
      <c r="AG856" s="182" t="n">
        <v>0</v>
      </c>
      <c r="AH856" s="182" t="n">
        <v>0</v>
      </c>
      <c r="AI856" s="182" t="n">
        <v>0</v>
      </c>
      <c r="AJ856" s="182" t="n">
        <v>0</v>
      </c>
      <c r="AK856" s="182" t="n">
        <v>0</v>
      </c>
      <c r="AL856" s="182" t="n">
        <v>0</v>
      </c>
      <c r="AM856" s="182" t="n">
        <v>0.08</v>
      </c>
      <c r="AN856" s="182" t="n">
        <v>0</v>
      </c>
    </row>
    <row r="857">
      <c r="A857" s="155" t="n">
        <v>46085</v>
      </c>
      <c r="B857" s="156" t="inlineStr">
        <is>
          <t>NS</t>
        </is>
      </c>
      <c r="C857" s="156" t="inlineStr">
        <is>
          <t>DT-521</t>
        </is>
      </c>
      <c r="D857" s="156" t="inlineStr">
        <is>
          <t>SKT 105S</t>
        </is>
      </c>
      <c r="E857" s="156" t="inlineStr">
        <is>
          <t>Hauler</t>
        </is>
      </c>
      <c r="F857" s="156" t="inlineStr"/>
      <c r="G857" s="182" t="n">
        <v>0</v>
      </c>
      <c r="H857" s="182" t="n">
        <v>0</v>
      </c>
      <c r="I857" s="182" t="n">
        <v>0</v>
      </c>
      <c r="J857" s="182" t="n">
        <v>0</v>
      </c>
      <c r="K857" s="182" t="n">
        <v>12</v>
      </c>
      <c r="L857" s="182" t="n">
        <v>12</v>
      </c>
      <c r="M857" s="182" t="n">
        <v>0</v>
      </c>
      <c r="N857" s="182" t="n">
        <v>0</v>
      </c>
      <c r="O857" s="183" t="n">
        <v>0</v>
      </c>
      <c r="P857" s="183" t="n">
        <v>0</v>
      </c>
      <c r="Q857" s="184" t="n">
        <v>0</v>
      </c>
      <c r="R857" s="184" t="n">
        <v>0</v>
      </c>
      <c r="S857" s="183" t="n">
        <v>0</v>
      </c>
      <c r="T857" s="183" t="n">
        <v>0</v>
      </c>
      <c r="U857" s="182" t="n">
        <v>7.42</v>
      </c>
      <c r="V857" s="182" t="n">
        <v>0</v>
      </c>
      <c r="W857" s="182" t="n">
        <v>0</v>
      </c>
      <c r="X857" s="182" t="n">
        <v>1</v>
      </c>
      <c r="Y857" s="182" t="n">
        <v>0</v>
      </c>
      <c r="Z857" s="182" t="n">
        <v>0</v>
      </c>
      <c r="AA857" s="182" t="n">
        <v>0</v>
      </c>
      <c r="AB857" s="182" t="n">
        <v>0</v>
      </c>
      <c r="AC857" s="182" t="n">
        <v>0</v>
      </c>
      <c r="AD857" s="182" t="n">
        <v>0</v>
      </c>
      <c r="AE857" s="182" t="n">
        <v>0</v>
      </c>
      <c r="AF857" s="182" t="n">
        <v>0</v>
      </c>
      <c r="AG857" s="182" t="n">
        <v>0</v>
      </c>
      <c r="AH857" s="182" t="n">
        <v>0</v>
      </c>
      <c r="AI857" s="182" t="n">
        <v>3.5</v>
      </c>
      <c r="AJ857" s="182" t="n">
        <v>0</v>
      </c>
      <c r="AK857" s="182" t="n">
        <v>0</v>
      </c>
      <c r="AL857" s="182" t="n">
        <v>0</v>
      </c>
      <c r="AM857" s="182" t="n">
        <v>0.08</v>
      </c>
      <c r="AN857" s="182" t="n">
        <v>0</v>
      </c>
    </row>
    <row r="858">
      <c r="A858" s="155" t="n">
        <v>46085</v>
      </c>
      <c r="B858" s="156" t="inlineStr">
        <is>
          <t>NS</t>
        </is>
      </c>
      <c r="C858" s="156" t="inlineStr">
        <is>
          <t>DT-516</t>
        </is>
      </c>
      <c r="D858" s="156" t="inlineStr">
        <is>
          <t>SKT 105S</t>
        </is>
      </c>
      <c r="E858" s="156" t="inlineStr">
        <is>
          <t>Hauler</t>
        </is>
      </c>
      <c r="F858" s="156" t="inlineStr">
        <is>
          <t>Travel</t>
        </is>
      </c>
      <c r="G858" s="182" t="n">
        <v>0.2</v>
      </c>
      <c r="H858" s="182" t="n">
        <v>0</v>
      </c>
      <c r="I858" s="182" t="n">
        <v>0</v>
      </c>
      <c r="J858" s="182" t="n">
        <v>0</v>
      </c>
      <c r="K858" s="182" t="n">
        <v>11.8</v>
      </c>
      <c r="L858" s="182" t="n">
        <v>12</v>
      </c>
      <c r="M858" s="182" t="n">
        <v>0</v>
      </c>
      <c r="N858" s="182" t="n">
        <v>0</v>
      </c>
      <c r="O858" s="183" t="n">
        <v>0</v>
      </c>
      <c r="P858" s="183" t="n">
        <v>0</v>
      </c>
      <c r="Q858" s="184" t="n">
        <v>0</v>
      </c>
      <c r="R858" s="184" t="n">
        <v>0</v>
      </c>
      <c r="S858" s="183" t="n">
        <v>0</v>
      </c>
      <c r="T858" s="183" t="n">
        <v>0</v>
      </c>
      <c r="U858" s="182" t="n">
        <v>7.42</v>
      </c>
      <c r="V858" s="182" t="n">
        <v>3.3</v>
      </c>
      <c r="W858" s="182" t="n">
        <v>0</v>
      </c>
      <c r="X858" s="182" t="n">
        <v>1</v>
      </c>
      <c r="Y858" s="182" t="n">
        <v>0</v>
      </c>
      <c r="Z858" s="182" t="n">
        <v>0</v>
      </c>
      <c r="AA858" s="182" t="n">
        <v>0</v>
      </c>
      <c r="AB858" s="182" t="n">
        <v>0</v>
      </c>
      <c r="AC858" s="182" t="n">
        <v>0</v>
      </c>
      <c r="AD858" s="182" t="n">
        <v>0</v>
      </c>
      <c r="AE858" s="182" t="n">
        <v>0</v>
      </c>
      <c r="AF858" s="182" t="n">
        <v>0</v>
      </c>
      <c r="AG858" s="182" t="n">
        <v>0</v>
      </c>
      <c r="AH858" s="182" t="n">
        <v>0</v>
      </c>
      <c r="AI858" s="182" t="n">
        <v>0</v>
      </c>
      <c r="AJ858" s="182" t="n">
        <v>0</v>
      </c>
      <c r="AK858" s="182" t="n">
        <v>0</v>
      </c>
      <c r="AL858" s="182" t="n">
        <v>0</v>
      </c>
      <c r="AM858" s="182" t="n">
        <v>0.08</v>
      </c>
      <c r="AN858" s="182" t="n">
        <v>0</v>
      </c>
    </row>
    <row r="859">
      <c r="A859" s="155" t="n">
        <v>46085</v>
      </c>
      <c r="B859" s="156" t="inlineStr">
        <is>
          <t>NS</t>
        </is>
      </c>
      <c r="C859" s="156" t="inlineStr">
        <is>
          <t>DT-506</t>
        </is>
      </c>
      <c r="D859" s="156" t="inlineStr">
        <is>
          <t>SKT 105S</t>
        </is>
      </c>
      <c r="E859" s="156" t="inlineStr">
        <is>
          <t>Hauler</t>
        </is>
      </c>
      <c r="F859" s="156" t="inlineStr">
        <is>
          <t>Hauling OB</t>
        </is>
      </c>
      <c r="G859" s="182" t="n">
        <v>2.22</v>
      </c>
      <c r="H859" s="182" t="n">
        <v>0</v>
      </c>
      <c r="I859" s="182" t="n">
        <v>0</v>
      </c>
      <c r="J859" s="182" t="n">
        <v>0</v>
      </c>
      <c r="K859" s="182" t="n">
        <v>9.779999999999999</v>
      </c>
      <c r="L859" s="182" t="n">
        <v>12</v>
      </c>
      <c r="M859" s="182" t="n">
        <v>2.22</v>
      </c>
      <c r="N859" s="182" t="n">
        <v>0</v>
      </c>
      <c r="O859" s="183" t="n">
        <v>9</v>
      </c>
      <c r="P859" s="183" t="n">
        <v>0</v>
      </c>
      <c r="Q859" s="184" t="n">
        <v>183.6</v>
      </c>
      <c r="R859" s="184" t="n">
        <v>0</v>
      </c>
      <c r="S859" s="183" t="n">
        <v>0</v>
      </c>
      <c r="T859" s="183" t="n">
        <v>0</v>
      </c>
      <c r="U859" s="182" t="n">
        <v>6.74</v>
      </c>
      <c r="V859" s="182" t="n">
        <v>1.98</v>
      </c>
      <c r="W859" s="182" t="n">
        <v>0</v>
      </c>
      <c r="X859" s="182" t="n">
        <v>0.99</v>
      </c>
      <c r="Y859" s="182" t="n">
        <v>0</v>
      </c>
      <c r="Z859" s="182" t="n">
        <v>0</v>
      </c>
      <c r="AA859" s="182" t="n">
        <v>0</v>
      </c>
      <c r="AB859" s="182" t="n">
        <v>0</v>
      </c>
      <c r="AC859" s="182" t="n">
        <v>0</v>
      </c>
      <c r="AD859" s="182" t="n">
        <v>0</v>
      </c>
      <c r="AE859" s="182" t="n">
        <v>0</v>
      </c>
      <c r="AF859" s="182" t="n">
        <v>0</v>
      </c>
      <c r="AG859" s="182" t="n">
        <v>0</v>
      </c>
      <c r="AH859" s="182" t="n">
        <v>0</v>
      </c>
      <c r="AI859" s="182" t="n">
        <v>0</v>
      </c>
      <c r="AJ859" s="182" t="n">
        <v>0</v>
      </c>
      <c r="AK859" s="182" t="n">
        <v>0</v>
      </c>
      <c r="AL859" s="182" t="n">
        <v>0</v>
      </c>
      <c r="AM859" s="182" t="n">
        <v>0.08</v>
      </c>
      <c r="AN859" s="182" t="n">
        <v>0</v>
      </c>
    </row>
    <row r="860">
      <c r="A860" s="155" t="n">
        <v>46085</v>
      </c>
      <c r="B860" s="156" t="inlineStr">
        <is>
          <t>NS</t>
        </is>
      </c>
      <c r="C860" s="156" t="inlineStr">
        <is>
          <t>DT-502</t>
        </is>
      </c>
      <c r="D860" s="156" t="inlineStr">
        <is>
          <t>SKT 105S</t>
        </is>
      </c>
      <c r="E860" s="156" t="inlineStr">
        <is>
          <t>Hauler</t>
        </is>
      </c>
      <c r="F860" s="156" t="inlineStr"/>
      <c r="G860" s="182" t="n">
        <v>0</v>
      </c>
      <c r="H860" s="182" t="n">
        <v>0</v>
      </c>
      <c r="I860" s="182" t="n">
        <v>0</v>
      </c>
      <c r="J860" s="182" t="n">
        <v>0</v>
      </c>
      <c r="K860" s="182" t="n">
        <v>12</v>
      </c>
      <c r="L860" s="182" t="n">
        <v>12</v>
      </c>
      <c r="M860" s="182" t="n">
        <v>0</v>
      </c>
      <c r="N860" s="182" t="n">
        <v>0</v>
      </c>
      <c r="O860" s="183" t="n">
        <v>0</v>
      </c>
      <c r="P860" s="183" t="n">
        <v>0</v>
      </c>
      <c r="Q860" s="184" t="n">
        <v>0</v>
      </c>
      <c r="R860" s="184" t="n">
        <v>0</v>
      </c>
      <c r="S860" s="183" t="n">
        <v>0</v>
      </c>
      <c r="T860" s="183" t="n">
        <v>0</v>
      </c>
      <c r="U860" s="182" t="n">
        <v>7.42</v>
      </c>
      <c r="V860" s="182" t="n">
        <v>0</v>
      </c>
      <c r="W860" s="182" t="n">
        <v>0</v>
      </c>
      <c r="X860" s="182" t="n">
        <v>1</v>
      </c>
      <c r="Y860" s="182" t="n">
        <v>0</v>
      </c>
      <c r="Z860" s="182" t="n">
        <v>0</v>
      </c>
      <c r="AA860" s="182" t="n">
        <v>0</v>
      </c>
      <c r="AB860" s="182" t="n">
        <v>0</v>
      </c>
      <c r="AC860" s="182" t="n">
        <v>0</v>
      </c>
      <c r="AD860" s="182" t="n">
        <v>0</v>
      </c>
      <c r="AE860" s="182" t="n">
        <v>0</v>
      </c>
      <c r="AF860" s="182" t="n">
        <v>0</v>
      </c>
      <c r="AG860" s="182" t="n">
        <v>0</v>
      </c>
      <c r="AH860" s="182" t="n">
        <v>0</v>
      </c>
      <c r="AI860" s="182" t="n">
        <v>3.5</v>
      </c>
      <c r="AJ860" s="182" t="n">
        <v>0</v>
      </c>
      <c r="AK860" s="182" t="n">
        <v>0</v>
      </c>
      <c r="AL860" s="182" t="n">
        <v>0</v>
      </c>
      <c r="AM860" s="182" t="n">
        <v>0.08</v>
      </c>
      <c r="AN860" s="182" t="n">
        <v>0</v>
      </c>
    </row>
    <row r="861">
      <c r="A861" s="155" t="n">
        <v>46085</v>
      </c>
      <c r="B861" s="156" t="inlineStr">
        <is>
          <t>NS</t>
        </is>
      </c>
      <c r="C861" s="156" t="inlineStr">
        <is>
          <t>DT-528</t>
        </is>
      </c>
      <c r="D861" s="156" t="inlineStr">
        <is>
          <t>SKT 105S</t>
        </is>
      </c>
      <c r="E861" s="156" t="inlineStr">
        <is>
          <t>Hauler</t>
        </is>
      </c>
      <c r="F861" s="156" t="inlineStr"/>
      <c r="G861" s="182" t="n">
        <v>0</v>
      </c>
      <c r="H861" s="182" t="n">
        <v>0</v>
      </c>
      <c r="I861" s="182" t="n">
        <v>0</v>
      </c>
      <c r="J861" s="182" t="n">
        <v>0</v>
      </c>
      <c r="K861" s="182" t="n">
        <v>12</v>
      </c>
      <c r="L861" s="182" t="n">
        <v>12</v>
      </c>
      <c r="M861" s="182" t="n">
        <v>0</v>
      </c>
      <c r="N861" s="182" t="n">
        <v>0</v>
      </c>
      <c r="O861" s="183" t="n">
        <v>0</v>
      </c>
      <c r="P861" s="183" t="n">
        <v>0</v>
      </c>
      <c r="Q861" s="184" t="n">
        <v>0</v>
      </c>
      <c r="R861" s="184" t="n">
        <v>0</v>
      </c>
      <c r="S861" s="183" t="n">
        <v>0</v>
      </c>
      <c r="T861" s="183" t="n">
        <v>0</v>
      </c>
      <c r="U861" s="182" t="n">
        <v>7.42</v>
      </c>
      <c r="V861" s="182" t="n">
        <v>3.5</v>
      </c>
      <c r="W861" s="182" t="n">
        <v>0</v>
      </c>
      <c r="X861" s="182" t="n">
        <v>1</v>
      </c>
      <c r="Y861" s="182" t="n">
        <v>0</v>
      </c>
      <c r="Z861" s="182" t="n">
        <v>0</v>
      </c>
      <c r="AA861" s="182" t="n">
        <v>0</v>
      </c>
      <c r="AB861" s="182" t="n">
        <v>0</v>
      </c>
      <c r="AC861" s="182" t="n">
        <v>0</v>
      </c>
      <c r="AD861" s="182" t="n">
        <v>0</v>
      </c>
      <c r="AE861" s="182" t="n">
        <v>0</v>
      </c>
      <c r="AF861" s="182" t="n">
        <v>0</v>
      </c>
      <c r="AG861" s="182" t="n">
        <v>0</v>
      </c>
      <c r="AH861" s="182" t="n">
        <v>0</v>
      </c>
      <c r="AI861" s="182" t="n">
        <v>0</v>
      </c>
      <c r="AJ861" s="182" t="n">
        <v>0</v>
      </c>
      <c r="AK861" s="182" t="n">
        <v>0</v>
      </c>
      <c r="AL861" s="182" t="n">
        <v>0</v>
      </c>
      <c r="AM861" s="182" t="n">
        <v>0.08</v>
      </c>
      <c r="AN861" s="182" t="n">
        <v>0</v>
      </c>
    </row>
    <row r="862">
      <c r="A862" s="155" t="n">
        <v>46085</v>
      </c>
      <c r="B862" s="156" t="inlineStr">
        <is>
          <t>NS</t>
        </is>
      </c>
      <c r="C862" s="156" t="inlineStr">
        <is>
          <t>DT-529</t>
        </is>
      </c>
      <c r="D862" s="156" t="inlineStr">
        <is>
          <t>SKT 105S</t>
        </is>
      </c>
      <c r="E862" s="156" t="inlineStr">
        <is>
          <t>Hauler</t>
        </is>
      </c>
      <c r="F862" s="156" t="inlineStr">
        <is>
          <t>Hauling OB</t>
        </is>
      </c>
      <c r="G862" s="182" t="n">
        <v>1.55</v>
      </c>
      <c r="H862" s="182" t="n">
        <v>0</v>
      </c>
      <c r="I862" s="182" t="n">
        <v>0</v>
      </c>
      <c r="J862" s="182" t="n">
        <v>0</v>
      </c>
      <c r="K862" s="182" t="n">
        <v>10.45</v>
      </c>
      <c r="L862" s="182" t="n">
        <v>12</v>
      </c>
      <c r="M862" s="182" t="n">
        <v>1.54</v>
      </c>
      <c r="N862" s="182" t="n">
        <v>0</v>
      </c>
      <c r="O862" s="183" t="n">
        <v>5</v>
      </c>
      <c r="P862" s="183" t="n">
        <v>0</v>
      </c>
      <c r="Q862" s="184" t="n">
        <v>102</v>
      </c>
      <c r="R862" s="184" t="n">
        <v>0</v>
      </c>
      <c r="S862" s="183" t="n">
        <v>0</v>
      </c>
      <c r="T862" s="183" t="n">
        <v>0</v>
      </c>
      <c r="U862" s="182" t="n">
        <v>7.5</v>
      </c>
      <c r="V862" s="182" t="n">
        <v>1.92</v>
      </c>
      <c r="W862" s="182" t="n">
        <v>0</v>
      </c>
      <c r="X862" s="182" t="n">
        <v>0.96</v>
      </c>
      <c r="Y862" s="182" t="n">
        <v>0</v>
      </c>
      <c r="Z862" s="182" t="n">
        <v>0</v>
      </c>
      <c r="AA862" s="182" t="n">
        <v>0</v>
      </c>
      <c r="AB862" s="182" t="n">
        <v>0</v>
      </c>
      <c r="AC862" s="182" t="n">
        <v>0</v>
      </c>
      <c r="AD862" s="182" t="n">
        <v>0</v>
      </c>
      <c r="AE862" s="182" t="n">
        <v>0</v>
      </c>
      <c r="AF862" s="182" t="n">
        <v>0</v>
      </c>
      <c r="AG862" s="182" t="n">
        <v>0</v>
      </c>
      <c r="AH862" s="182" t="n">
        <v>0</v>
      </c>
      <c r="AI862" s="182" t="n">
        <v>0</v>
      </c>
      <c r="AJ862" s="182" t="n">
        <v>0</v>
      </c>
      <c r="AK862" s="182" t="n">
        <v>0</v>
      </c>
      <c r="AL862" s="182" t="n">
        <v>0</v>
      </c>
      <c r="AM862" s="182" t="n">
        <v>0.08</v>
      </c>
      <c r="AN862" s="182" t="n">
        <v>0</v>
      </c>
    </row>
    <row r="863">
      <c r="A863" s="155" t="n">
        <v>46085</v>
      </c>
      <c r="B863" s="156" t="inlineStr">
        <is>
          <t>NS</t>
        </is>
      </c>
      <c r="C863" s="156" t="inlineStr">
        <is>
          <t>DT-520</t>
        </is>
      </c>
      <c r="D863" s="156" t="inlineStr">
        <is>
          <t>SKT 105S</t>
        </is>
      </c>
      <c r="E863" s="156" t="inlineStr">
        <is>
          <t>Hauler</t>
        </is>
      </c>
      <c r="F863" s="156" t="inlineStr">
        <is>
          <t>Hauling OB</t>
        </is>
      </c>
      <c r="G863" s="182" t="n">
        <v>1.51</v>
      </c>
      <c r="H863" s="182" t="n">
        <v>0</v>
      </c>
      <c r="I863" s="182" t="n">
        <v>0</v>
      </c>
      <c r="J863" s="182" t="n">
        <v>0</v>
      </c>
      <c r="K863" s="182" t="n">
        <v>10.49</v>
      </c>
      <c r="L863" s="182" t="n">
        <v>12</v>
      </c>
      <c r="M863" s="182" t="n">
        <v>1.5</v>
      </c>
      <c r="N863" s="182" t="n">
        <v>0</v>
      </c>
      <c r="O863" s="183" t="n">
        <v>4</v>
      </c>
      <c r="P863" s="183" t="n">
        <v>0</v>
      </c>
      <c r="Q863" s="184" t="n">
        <v>81.59999999999999</v>
      </c>
      <c r="R863" s="184" t="n">
        <v>0</v>
      </c>
      <c r="S863" s="183" t="n">
        <v>0</v>
      </c>
      <c r="T863" s="183" t="n">
        <v>0</v>
      </c>
      <c r="U863" s="182" t="n">
        <v>6.72</v>
      </c>
      <c r="V863" s="182" t="n">
        <v>2.72</v>
      </c>
      <c r="W863" s="182" t="n">
        <v>0</v>
      </c>
      <c r="X863" s="182" t="n">
        <v>0.98</v>
      </c>
      <c r="Y863" s="182" t="n">
        <v>0</v>
      </c>
      <c r="Z863" s="182" t="n">
        <v>0</v>
      </c>
      <c r="AA863" s="182" t="n">
        <v>0</v>
      </c>
      <c r="AB863" s="182" t="n">
        <v>0</v>
      </c>
      <c r="AC863" s="182" t="n">
        <v>0</v>
      </c>
      <c r="AD863" s="182" t="n">
        <v>0</v>
      </c>
      <c r="AE863" s="182" t="n">
        <v>0</v>
      </c>
      <c r="AF863" s="182" t="n">
        <v>0</v>
      </c>
      <c r="AG863" s="182" t="n">
        <v>0</v>
      </c>
      <c r="AH863" s="182" t="n">
        <v>0</v>
      </c>
      <c r="AI863" s="182" t="n">
        <v>0</v>
      </c>
      <c r="AJ863" s="182" t="n">
        <v>0</v>
      </c>
      <c r="AK863" s="182" t="n">
        <v>0</v>
      </c>
      <c r="AL863" s="182" t="n">
        <v>0</v>
      </c>
      <c r="AM863" s="182" t="n">
        <v>0.08</v>
      </c>
      <c r="AN863" s="182" t="n">
        <v>0</v>
      </c>
    </row>
    <row r="864">
      <c r="A864" s="155" t="n">
        <v>46085</v>
      </c>
      <c r="B864" s="156" t="inlineStr">
        <is>
          <t>NS</t>
        </is>
      </c>
      <c r="C864" s="156" t="inlineStr">
        <is>
          <t>DT-511</t>
        </is>
      </c>
      <c r="D864" s="156" t="inlineStr">
        <is>
          <t>SKT 105S</t>
        </is>
      </c>
      <c r="E864" s="156" t="inlineStr">
        <is>
          <t>Hauler</t>
        </is>
      </c>
      <c r="F864" s="156" t="inlineStr"/>
      <c r="G864" s="182" t="n">
        <v>0</v>
      </c>
      <c r="H864" s="182" t="n">
        <v>0</v>
      </c>
      <c r="I864" s="182" t="n">
        <v>12</v>
      </c>
      <c r="J864" s="182" t="n">
        <v>12</v>
      </c>
      <c r="K864" s="182" t="n">
        <v>0</v>
      </c>
      <c r="L864" s="182" t="n">
        <v>12</v>
      </c>
      <c r="M864" s="182" t="n">
        <v>0</v>
      </c>
      <c r="N864" s="182" t="n">
        <v>0</v>
      </c>
      <c r="O864" s="183" t="n">
        <v>0</v>
      </c>
      <c r="P864" s="183" t="n">
        <v>0</v>
      </c>
      <c r="Q864" s="184" t="n">
        <v>0</v>
      </c>
      <c r="R864" s="184" t="n">
        <v>0</v>
      </c>
      <c r="S864" s="183" t="n">
        <v>0</v>
      </c>
      <c r="T864" s="183" t="n">
        <v>0</v>
      </c>
      <c r="U864" s="182" t="n">
        <v>0</v>
      </c>
      <c r="V864" s="182" t="n">
        <v>0</v>
      </c>
      <c r="W864" s="182" t="n">
        <v>0</v>
      </c>
      <c r="X864" s="182" t="n">
        <v>0</v>
      </c>
      <c r="Y864" s="182" t="n">
        <v>0</v>
      </c>
      <c r="Z864" s="182" t="n">
        <v>0</v>
      </c>
      <c r="AA864" s="182" t="n">
        <v>0</v>
      </c>
      <c r="AB864" s="182" t="n">
        <v>0</v>
      </c>
      <c r="AC864" s="182" t="n">
        <v>0</v>
      </c>
      <c r="AD864" s="182" t="n">
        <v>0</v>
      </c>
      <c r="AE864" s="182" t="n">
        <v>0</v>
      </c>
      <c r="AF864" s="182" t="n">
        <v>0</v>
      </c>
      <c r="AG864" s="182" t="n">
        <v>0</v>
      </c>
      <c r="AH864" s="182" t="n">
        <v>0</v>
      </c>
      <c r="AI864" s="182" t="n">
        <v>0</v>
      </c>
      <c r="AJ864" s="182" t="n">
        <v>0</v>
      </c>
      <c r="AK864" s="182" t="n">
        <v>0</v>
      </c>
      <c r="AL864" s="182" t="n">
        <v>0</v>
      </c>
      <c r="AM864" s="182" t="n">
        <v>0</v>
      </c>
      <c r="AN864" s="182" t="n">
        <v>0</v>
      </c>
    </row>
    <row r="865">
      <c r="A865" s="155" t="n">
        <v>46085</v>
      </c>
      <c r="B865" s="156" t="inlineStr">
        <is>
          <t>NS</t>
        </is>
      </c>
      <c r="C865" s="156" t="inlineStr">
        <is>
          <t>DT-509</t>
        </is>
      </c>
      <c r="D865" s="156" t="inlineStr">
        <is>
          <t>SKT 105S</t>
        </is>
      </c>
      <c r="E865" s="156" t="inlineStr">
        <is>
          <t>Hauler</t>
        </is>
      </c>
      <c r="F865" s="156" t="inlineStr"/>
      <c r="G865" s="182" t="n">
        <v>0</v>
      </c>
      <c r="H865" s="182" t="n">
        <v>0</v>
      </c>
      <c r="I865" s="182" t="n">
        <v>12</v>
      </c>
      <c r="J865" s="182" t="n">
        <v>12</v>
      </c>
      <c r="K865" s="182" t="n">
        <v>0</v>
      </c>
      <c r="L865" s="182" t="n">
        <v>12</v>
      </c>
      <c r="M865" s="182" t="n">
        <v>0</v>
      </c>
      <c r="N865" s="182" t="n">
        <v>0</v>
      </c>
      <c r="O865" s="183" t="n">
        <v>0</v>
      </c>
      <c r="P865" s="183" t="n">
        <v>0</v>
      </c>
      <c r="Q865" s="184" t="n">
        <v>0</v>
      </c>
      <c r="R865" s="184" t="n">
        <v>0</v>
      </c>
      <c r="S865" s="183" t="n">
        <v>0</v>
      </c>
      <c r="T865" s="183" t="n">
        <v>0</v>
      </c>
      <c r="U865" s="182" t="n">
        <v>0</v>
      </c>
      <c r="V865" s="182" t="n">
        <v>0</v>
      </c>
      <c r="W865" s="182" t="n">
        <v>0</v>
      </c>
      <c r="X865" s="182" t="n">
        <v>0</v>
      </c>
      <c r="Y865" s="182" t="n">
        <v>0</v>
      </c>
      <c r="Z865" s="182" t="n">
        <v>0</v>
      </c>
      <c r="AA865" s="182" t="n">
        <v>0</v>
      </c>
      <c r="AB865" s="182" t="n">
        <v>0</v>
      </c>
      <c r="AC865" s="182" t="n">
        <v>0</v>
      </c>
      <c r="AD865" s="182" t="n">
        <v>0</v>
      </c>
      <c r="AE865" s="182" t="n">
        <v>0</v>
      </c>
      <c r="AF865" s="182" t="n">
        <v>0</v>
      </c>
      <c r="AG865" s="182" t="n">
        <v>0</v>
      </c>
      <c r="AH865" s="182" t="n">
        <v>0</v>
      </c>
      <c r="AI865" s="182" t="n">
        <v>0</v>
      </c>
      <c r="AJ865" s="182" t="n">
        <v>0</v>
      </c>
      <c r="AK865" s="182" t="n">
        <v>0</v>
      </c>
      <c r="AL865" s="182" t="n">
        <v>0</v>
      </c>
      <c r="AM865" s="182" t="n">
        <v>0</v>
      </c>
      <c r="AN865" s="182" t="n">
        <v>0</v>
      </c>
    </row>
    <row r="866">
      <c r="A866" s="155" t="n">
        <v>46085</v>
      </c>
      <c r="B866" s="156" t="inlineStr">
        <is>
          <t>NS</t>
        </is>
      </c>
      <c r="C866" s="156" t="inlineStr">
        <is>
          <t>DT-526</t>
        </is>
      </c>
      <c r="D866" s="156" t="inlineStr">
        <is>
          <t>SKT 105S</t>
        </is>
      </c>
      <c r="E866" s="156" t="inlineStr">
        <is>
          <t>Hauler</t>
        </is>
      </c>
      <c r="F866" s="156" t="inlineStr"/>
      <c r="G866" s="182" t="n">
        <v>0</v>
      </c>
      <c r="H866" s="182" t="n">
        <v>0</v>
      </c>
      <c r="I866" s="182" t="n">
        <v>0</v>
      </c>
      <c r="J866" s="182" t="n">
        <v>0</v>
      </c>
      <c r="K866" s="182" t="n">
        <v>12</v>
      </c>
      <c r="L866" s="182" t="n">
        <v>12</v>
      </c>
      <c r="M866" s="182" t="n">
        <v>0</v>
      </c>
      <c r="N866" s="182" t="n">
        <v>0</v>
      </c>
      <c r="O866" s="183" t="n">
        <v>0</v>
      </c>
      <c r="P866" s="183" t="n">
        <v>0</v>
      </c>
      <c r="Q866" s="184" t="n">
        <v>0</v>
      </c>
      <c r="R866" s="184" t="n">
        <v>0</v>
      </c>
      <c r="S866" s="183" t="n">
        <v>0</v>
      </c>
      <c r="T866" s="183" t="n">
        <v>0</v>
      </c>
      <c r="U866" s="182" t="n">
        <v>7.42</v>
      </c>
      <c r="V866" s="182" t="n">
        <v>3.5</v>
      </c>
      <c r="W866" s="182" t="n">
        <v>0</v>
      </c>
      <c r="X866" s="182" t="n">
        <v>1</v>
      </c>
      <c r="Y866" s="182" t="n">
        <v>0</v>
      </c>
      <c r="Z866" s="182" t="n">
        <v>0</v>
      </c>
      <c r="AA866" s="182" t="n">
        <v>0</v>
      </c>
      <c r="AB866" s="182" t="n">
        <v>0</v>
      </c>
      <c r="AC866" s="182" t="n">
        <v>0</v>
      </c>
      <c r="AD866" s="182" t="n">
        <v>0</v>
      </c>
      <c r="AE866" s="182" t="n">
        <v>0</v>
      </c>
      <c r="AF866" s="182" t="n">
        <v>0</v>
      </c>
      <c r="AG866" s="182" t="n">
        <v>0</v>
      </c>
      <c r="AH866" s="182" t="n">
        <v>0</v>
      </c>
      <c r="AI866" s="182" t="n">
        <v>0</v>
      </c>
      <c r="AJ866" s="182" t="n">
        <v>0</v>
      </c>
      <c r="AK866" s="182" t="n">
        <v>0</v>
      </c>
      <c r="AL866" s="182" t="n">
        <v>0</v>
      </c>
      <c r="AM866" s="182" t="n">
        <v>0.08</v>
      </c>
      <c r="AN866" s="182" t="n">
        <v>0</v>
      </c>
    </row>
    <row r="867">
      <c r="A867" s="155" t="n">
        <v>46085</v>
      </c>
      <c r="B867" s="156" t="inlineStr">
        <is>
          <t>NS</t>
        </is>
      </c>
      <c r="C867" s="156" t="inlineStr">
        <is>
          <t>DT-508</t>
        </is>
      </c>
      <c r="D867" s="156" t="inlineStr">
        <is>
          <t>SKT 105S</t>
        </is>
      </c>
      <c r="E867" s="156" t="inlineStr">
        <is>
          <t>Hauler</t>
        </is>
      </c>
      <c r="F867" s="156" t="inlineStr">
        <is>
          <t>Hauling OB</t>
        </is>
      </c>
      <c r="G867" s="182" t="n">
        <v>2.28</v>
      </c>
      <c r="H867" s="182" t="n">
        <v>9.720000000000001</v>
      </c>
      <c r="I867" s="182" t="n">
        <v>0</v>
      </c>
      <c r="J867" s="182" t="n">
        <v>9.720000000000001</v>
      </c>
      <c r="K867" s="182" t="n">
        <v>0</v>
      </c>
      <c r="L867" s="182" t="n">
        <v>12</v>
      </c>
      <c r="M867" s="182" t="n">
        <v>2.28</v>
      </c>
      <c r="N867" s="182" t="n">
        <v>0</v>
      </c>
      <c r="O867" s="183" t="n">
        <v>9</v>
      </c>
      <c r="P867" s="183" t="n">
        <v>0</v>
      </c>
      <c r="Q867" s="184" t="n">
        <v>183.6</v>
      </c>
      <c r="R867" s="184" t="n">
        <v>0</v>
      </c>
      <c r="S867" s="183" t="n">
        <v>0</v>
      </c>
      <c r="T867" s="183" t="n">
        <v>0</v>
      </c>
      <c r="U867" s="182" t="n">
        <v>0</v>
      </c>
      <c r="V867" s="182" t="n">
        <v>0</v>
      </c>
      <c r="W867" s="182" t="n">
        <v>0</v>
      </c>
      <c r="X867" s="182" t="n">
        <v>0</v>
      </c>
      <c r="Y867" s="182" t="n">
        <v>0</v>
      </c>
      <c r="Z867" s="182" t="n">
        <v>0</v>
      </c>
      <c r="AA867" s="182" t="n">
        <v>0</v>
      </c>
      <c r="AB867" s="182" t="n">
        <v>0</v>
      </c>
      <c r="AC867" s="182" t="n">
        <v>0</v>
      </c>
      <c r="AD867" s="182" t="n">
        <v>0</v>
      </c>
      <c r="AE867" s="182" t="n">
        <v>0</v>
      </c>
      <c r="AF867" s="182" t="n">
        <v>0</v>
      </c>
      <c r="AG867" s="182" t="n">
        <v>0</v>
      </c>
      <c r="AH867" s="182" t="n">
        <v>0</v>
      </c>
      <c r="AI867" s="182" t="n">
        <v>0</v>
      </c>
      <c r="AJ867" s="182" t="n">
        <v>0</v>
      </c>
      <c r="AK867" s="182" t="n">
        <v>0</v>
      </c>
      <c r="AL867" s="182" t="n">
        <v>0</v>
      </c>
      <c r="AM867" s="182" t="n">
        <v>0</v>
      </c>
      <c r="AN867" s="182" t="n">
        <v>0</v>
      </c>
    </row>
    <row r="868">
      <c r="A868" s="155" t="n">
        <v>46085</v>
      </c>
      <c r="B868" s="156" t="inlineStr">
        <is>
          <t>NS</t>
        </is>
      </c>
      <c r="C868" s="156" t="inlineStr">
        <is>
          <t>DT-515</t>
        </is>
      </c>
      <c r="D868" s="156" t="inlineStr">
        <is>
          <t>SKT 105S</t>
        </is>
      </c>
      <c r="E868" s="156" t="inlineStr">
        <is>
          <t>Hauler</t>
        </is>
      </c>
      <c r="F868" s="156" t="inlineStr"/>
      <c r="G868" s="182" t="n">
        <v>0</v>
      </c>
      <c r="H868" s="182" t="n">
        <v>0</v>
      </c>
      <c r="I868" s="182" t="n">
        <v>0.17</v>
      </c>
      <c r="J868" s="182" t="n">
        <v>0.17</v>
      </c>
      <c r="K868" s="182" t="n">
        <v>11.83</v>
      </c>
      <c r="L868" s="182" t="n">
        <v>12</v>
      </c>
      <c r="M868" s="182" t="n">
        <v>0</v>
      </c>
      <c r="N868" s="182" t="n">
        <v>0</v>
      </c>
      <c r="O868" s="183" t="n">
        <v>0</v>
      </c>
      <c r="P868" s="183" t="n">
        <v>0</v>
      </c>
      <c r="Q868" s="184" t="n">
        <v>0</v>
      </c>
      <c r="R868" s="184" t="n">
        <v>0</v>
      </c>
      <c r="S868" s="183" t="n">
        <v>0</v>
      </c>
      <c r="T868" s="183" t="n">
        <v>0</v>
      </c>
      <c r="U868" s="182" t="n">
        <v>7.42</v>
      </c>
      <c r="V868" s="182" t="n">
        <v>3.33</v>
      </c>
      <c r="W868" s="182" t="n">
        <v>0</v>
      </c>
      <c r="X868" s="182" t="n">
        <v>1</v>
      </c>
      <c r="Y868" s="182" t="n">
        <v>0</v>
      </c>
      <c r="Z868" s="182" t="n">
        <v>0</v>
      </c>
      <c r="AA868" s="182" t="n">
        <v>0</v>
      </c>
      <c r="AB868" s="182" t="n">
        <v>0</v>
      </c>
      <c r="AC868" s="182" t="n">
        <v>0</v>
      </c>
      <c r="AD868" s="182" t="n">
        <v>0</v>
      </c>
      <c r="AE868" s="182" t="n">
        <v>0</v>
      </c>
      <c r="AF868" s="182" t="n">
        <v>0</v>
      </c>
      <c r="AG868" s="182" t="n">
        <v>0</v>
      </c>
      <c r="AH868" s="182" t="n">
        <v>0</v>
      </c>
      <c r="AI868" s="182" t="n">
        <v>0</v>
      </c>
      <c r="AJ868" s="182" t="n">
        <v>0</v>
      </c>
      <c r="AK868" s="182" t="n">
        <v>0</v>
      </c>
      <c r="AL868" s="182" t="n">
        <v>0</v>
      </c>
      <c r="AM868" s="182" t="n">
        <v>0.08</v>
      </c>
      <c r="AN868" s="182" t="n">
        <v>0</v>
      </c>
    </row>
    <row r="869">
      <c r="A869" s="155" t="n">
        <v>46085</v>
      </c>
      <c r="B869" s="156" t="inlineStr">
        <is>
          <t>NS</t>
        </is>
      </c>
      <c r="C869" s="156" t="inlineStr">
        <is>
          <t>DT-524</t>
        </is>
      </c>
      <c r="D869" s="156" t="inlineStr">
        <is>
          <t>SKT 105S</t>
        </is>
      </c>
      <c r="E869" s="156" t="inlineStr">
        <is>
          <t>Hauler</t>
        </is>
      </c>
      <c r="F869" s="156" t="inlineStr"/>
      <c r="G869" s="182" t="n">
        <v>0</v>
      </c>
      <c r="H869" s="182" t="n">
        <v>0</v>
      </c>
      <c r="I869" s="182" t="n">
        <v>0</v>
      </c>
      <c r="J869" s="182" t="n">
        <v>0</v>
      </c>
      <c r="K869" s="182" t="n">
        <v>12</v>
      </c>
      <c r="L869" s="182" t="n">
        <v>12</v>
      </c>
      <c r="M869" s="182" t="n">
        <v>0</v>
      </c>
      <c r="N869" s="182" t="n">
        <v>0</v>
      </c>
      <c r="O869" s="183" t="n">
        <v>0</v>
      </c>
      <c r="P869" s="183" t="n">
        <v>0</v>
      </c>
      <c r="Q869" s="184" t="n">
        <v>0</v>
      </c>
      <c r="R869" s="184" t="n">
        <v>0</v>
      </c>
      <c r="S869" s="183" t="n">
        <v>0</v>
      </c>
      <c r="T869" s="183" t="n">
        <v>0</v>
      </c>
      <c r="U869" s="182" t="n">
        <v>7.42</v>
      </c>
      <c r="V869" s="182" t="n">
        <v>3.5</v>
      </c>
      <c r="W869" s="182" t="n">
        <v>0</v>
      </c>
      <c r="X869" s="182" t="n">
        <v>1</v>
      </c>
      <c r="Y869" s="182" t="n">
        <v>0</v>
      </c>
      <c r="Z869" s="182" t="n">
        <v>0</v>
      </c>
      <c r="AA869" s="182" t="n">
        <v>0</v>
      </c>
      <c r="AB869" s="182" t="n">
        <v>0</v>
      </c>
      <c r="AC869" s="182" t="n">
        <v>0</v>
      </c>
      <c r="AD869" s="182" t="n">
        <v>0</v>
      </c>
      <c r="AE869" s="182" t="n">
        <v>0</v>
      </c>
      <c r="AF869" s="182" t="n">
        <v>0</v>
      </c>
      <c r="AG869" s="182" t="n">
        <v>0</v>
      </c>
      <c r="AH869" s="182" t="n">
        <v>0</v>
      </c>
      <c r="AI869" s="182" t="n">
        <v>0</v>
      </c>
      <c r="AJ869" s="182" t="n">
        <v>0</v>
      </c>
      <c r="AK869" s="182" t="n">
        <v>0</v>
      </c>
      <c r="AL869" s="182" t="n">
        <v>0</v>
      </c>
      <c r="AM869" s="182" t="n">
        <v>0.08</v>
      </c>
      <c r="AN869" s="182" t="n">
        <v>0</v>
      </c>
    </row>
    <row r="870">
      <c r="A870" s="155" t="n">
        <v>46085</v>
      </c>
      <c r="B870" s="156" t="inlineStr">
        <is>
          <t>NS</t>
        </is>
      </c>
      <c r="C870" s="156" t="inlineStr">
        <is>
          <t>DT-341</t>
        </is>
      </c>
      <c r="D870" s="156" t="inlineStr">
        <is>
          <t>SYZ324C-8W</t>
        </is>
      </c>
      <c r="E870" s="156" t="inlineStr">
        <is>
          <t>Hauler</t>
        </is>
      </c>
      <c r="F870" s="156" t="inlineStr"/>
      <c r="G870" s="182" t="n">
        <v>0</v>
      </c>
      <c r="H870" s="182" t="n">
        <v>0</v>
      </c>
      <c r="I870" s="182" t="n">
        <v>0</v>
      </c>
      <c r="J870" s="182" t="n">
        <v>0</v>
      </c>
      <c r="K870" s="182" t="n">
        <v>12</v>
      </c>
      <c r="L870" s="182" t="n">
        <v>12</v>
      </c>
      <c r="M870" s="182" t="n">
        <v>0</v>
      </c>
      <c r="N870" s="182" t="n">
        <v>0</v>
      </c>
      <c r="O870" s="183" t="n">
        <v>0</v>
      </c>
      <c r="P870" s="183" t="n">
        <v>0</v>
      </c>
      <c r="Q870" s="184" t="n">
        <v>0</v>
      </c>
      <c r="R870" s="184" t="n">
        <v>0</v>
      </c>
      <c r="S870" s="183" t="n">
        <v>0</v>
      </c>
      <c r="T870" s="183" t="n">
        <v>0</v>
      </c>
      <c r="U870" s="182" t="n">
        <v>0</v>
      </c>
      <c r="V870" s="182" t="n">
        <v>0</v>
      </c>
      <c r="W870" s="182" t="n">
        <v>0</v>
      </c>
      <c r="X870" s="182" t="n">
        <v>1</v>
      </c>
      <c r="Y870" s="182" t="n">
        <v>0</v>
      </c>
      <c r="Z870" s="182" t="n">
        <v>0</v>
      </c>
      <c r="AA870" s="182" t="n">
        <v>0</v>
      </c>
      <c r="AB870" s="182" t="n">
        <v>0</v>
      </c>
      <c r="AC870" s="182" t="n">
        <v>0</v>
      </c>
      <c r="AD870" s="182" t="n">
        <v>0</v>
      </c>
      <c r="AE870" s="182" t="n">
        <v>0</v>
      </c>
      <c r="AF870" s="182" t="n">
        <v>0</v>
      </c>
      <c r="AG870" s="182" t="n">
        <v>0</v>
      </c>
      <c r="AH870" s="182" t="n">
        <v>0</v>
      </c>
      <c r="AI870" s="182" t="n">
        <v>0</v>
      </c>
      <c r="AJ870" s="182" t="n">
        <v>0</v>
      </c>
      <c r="AK870" s="182" t="n">
        <v>10.92</v>
      </c>
      <c r="AL870" s="182" t="n">
        <v>0</v>
      </c>
      <c r="AM870" s="182" t="n">
        <v>0.08</v>
      </c>
      <c r="AN870" s="182" t="n">
        <v>0</v>
      </c>
    </row>
    <row r="871">
      <c r="A871" s="155" t="n">
        <v>46085</v>
      </c>
      <c r="B871" s="156" t="inlineStr">
        <is>
          <t>NS</t>
        </is>
      </c>
      <c r="C871" s="156" t="inlineStr">
        <is>
          <t>DT-342</t>
        </is>
      </c>
      <c r="D871" s="156" t="inlineStr">
        <is>
          <t>SYZ324C-8W</t>
        </is>
      </c>
      <c r="E871" s="156" t="inlineStr">
        <is>
          <t>Hauler</t>
        </is>
      </c>
      <c r="F871" s="156" t="inlineStr"/>
      <c r="G871" s="182" t="n">
        <v>0</v>
      </c>
      <c r="H871" s="182" t="n">
        <v>0</v>
      </c>
      <c r="I871" s="182" t="n">
        <v>0</v>
      </c>
      <c r="J871" s="182" t="n">
        <v>0</v>
      </c>
      <c r="K871" s="182" t="n">
        <v>12</v>
      </c>
      <c r="L871" s="182" t="n">
        <v>12</v>
      </c>
      <c r="M871" s="182" t="n">
        <v>0</v>
      </c>
      <c r="N871" s="182" t="n">
        <v>0</v>
      </c>
      <c r="O871" s="183" t="n">
        <v>0</v>
      </c>
      <c r="P871" s="183" t="n">
        <v>0</v>
      </c>
      <c r="Q871" s="184" t="n">
        <v>0</v>
      </c>
      <c r="R871" s="184" t="n">
        <v>0</v>
      </c>
      <c r="S871" s="183" t="n">
        <v>0</v>
      </c>
      <c r="T871" s="183" t="n">
        <v>0</v>
      </c>
      <c r="U871" s="182" t="n">
        <v>0</v>
      </c>
      <c r="V871" s="182" t="n">
        <v>0</v>
      </c>
      <c r="W871" s="182" t="n">
        <v>0</v>
      </c>
      <c r="X871" s="182" t="n">
        <v>1</v>
      </c>
      <c r="Y871" s="182" t="n">
        <v>0</v>
      </c>
      <c r="Z871" s="182" t="n">
        <v>0</v>
      </c>
      <c r="AA871" s="182" t="n">
        <v>0</v>
      </c>
      <c r="AB871" s="182" t="n">
        <v>0</v>
      </c>
      <c r="AC871" s="182" t="n">
        <v>0</v>
      </c>
      <c r="AD871" s="182" t="n">
        <v>0</v>
      </c>
      <c r="AE871" s="182" t="n">
        <v>0</v>
      </c>
      <c r="AF871" s="182" t="n">
        <v>0</v>
      </c>
      <c r="AG871" s="182" t="n">
        <v>0</v>
      </c>
      <c r="AH871" s="182" t="n">
        <v>0</v>
      </c>
      <c r="AI871" s="182" t="n">
        <v>0</v>
      </c>
      <c r="AJ871" s="182" t="n">
        <v>0</v>
      </c>
      <c r="AK871" s="182" t="n">
        <v>10.92</v>
      </c>
      <c r="AL871" s="182" t="n">
        <v>0</v>
      </c>
      <c r="AM871" s="182" t="n">
        <v>0.08</v>
      </c>
      <c r="AN871" s="182" t="n">
        <v>0</v>
      </c>
    </row>
    <row r="872">
      <c r="A872" s="155" t="n">
        <v>46085</v>
      </c>
      <c r="B872" s="156" t="inlineStr">
        <is>
          <t>NS</t>
        </is>
      </c>
      <c r="C872" s="156" t="inlineStr">
        <is>
          <t>HD-903</t>
        </is>
      </c>
      <c r="D872" s="156" t="inlineStr">
        <is>
          <t>SRT 95C</t>
        </is>
      </c>
      <c r="E872" s="156" t="inlineStr">
        <is>
          <t>Hauler</t>
        </is>
      </c>
      <c r="F872" s="156" t="inlineStr"/>
      <c r="G872" s="182" t="n">
        <v>0</v>
      </c>
      <c r="H872" s="182" t="n">
        <v>0</v>
      </c>
      <c r="I872" s="182" t="n">
        <v>0</v>
      </c>
      <c r="J872" s="182" t="n">
        <v>0</v>
      </c>
      <c r="K872" s="182" t="n">
        <v>12</v>
      </c>
      <c r="L872" s="182" t="n">
        <v>12</v>
      </c>
      <c r="M872" s="182" t="n">
        <v>0</v>
      </c>
      <c r="N872" s="182" t="n">
        <v>0</v>
      </c>
      <c r="O872" s="183" t="n">
        <v>0</v>
      </c>
      <c r="P872" s="183" t="n">
        <v>0</v>
      </c>
      <c r="Q872" s="184" t="n">
        <v>0</v>
      </c>
      <c r="R872" s="184" t="n">
        <v>0</v>
      </c>
      <c r="S872" s="183" t="n">
        <v>0</v>
      </c>
      <c r="T872" s="183" t="n">
        <v>0</v>
      </c>
      <c r="U872" s="182" t="n">
        <v>7.42</v>
      </c>
      <c r="V872" s="182" t="n">
        <v>0</v>
      </c>
      <c r="W872" s="182" t="n">
        <v>0</v>
      </c>
      <c r="X872" s="182" t="n">
        <v>1</v>
      </c>
      <c r="Y872" s="182" t="n">
        <v>0</v>
      </c>
      <c r="Z872" s="182" t="n">
        <v>0</v>
      </c>
      <c r="AA872" s="182" t="n">
        <v>0</v>
      </c>
      <c r="AB872" s="182" t="n">
        <v>0</v>
      </c>
      <c r="AC872" s="182" t="n">
        <v>0</v>
      </c>
      <c r="AD872" s="182" t="n">
        <v>0</v>
      </c>
      <c r="AE872" s="182" t="n">
        <v>0</v>
      </c>
      <c r="AF872" s="182" t="n">
        <v>0</v>
      </c>
      <c r="AG872" s="182" t="n">
        <v>0</v>
      </c>
      <c r="AH872" s="182" t="n">
        <v>0</v>
      </c>
      <c r="AI872" s="182" t="n">
        <v>3.5</v>
      </c>
      <c r="AJ872" s="182" t="n">
        <v>0</v>
      </c>
      <c r="AK872" s="182" t="n">
        <v>0</v>
      </c>
      <c r="AL872" s="182" t="n">
        <v>0</v>
      </c>
      <c r="AM872" s="182" t="n">
        <v>0.08</v>
      </c>
      <c r="AN872" s="182" t="n">
        <v>0</v>
      </c>
    </row>
    <row r="873">
      <c r="A873" s="155" t="n">
        <v>46085</v>
      </c>
      <c r="B873" s="156" t="inlineStr">
        <is>
          <t>NS</t>
        </is>
      </c>
      <c r="C873" s="156" t="inlineStr">
        <is>
          <t>HD-905</t>
        </is>
      </c>
      <c r="D873" s="156" t="inlineStr">
        <is>
          <t>SRT 95C</t>
        </is>
      </c>
      <c r="E873" s="156" t="inlineStr">
        <is>
          <t>Hauler</t>
        </is>
      </c>
      <c r="F873" s="156" t="inlineStr"/>
      <c r="G873" s="182" t="n">
        <v>0</v>
      </c>
      <c r="H873" s="182" t="n">
        <v>0</v>
      </c>
      <c r="I873" s="182" t="n">
        <v>12</v>
      </c>
      <c r="J873" s="182" t="n">
        <v>12</v>
      </c>
      <c r="K873" s="182" t="n">
        <v>0</v>
      </c>
      <c r="L873" s="182" t="n">
        <v>12</v>
      </c>
      <c r="M873" s="182" t="n">
        <v>0</v>
      </c>
      <c r="N873" s="182" t="n">
        <v>0</v>
      </c>
      <c r="O873" s="183" t="n">
        <v>0</v>
      </c>
      <c r="P873" s="183" t="n">
        <v>0</v>
      </c>
      <c r="Q873" s="184" t="n">
        <v>0</v>
      </c>
      <c r="R873" s="184" t="n">
        <v>0</v>
      </c>
      <c r="S873" s="183" t="n">
        <v>0</v>
      </c>
      <c r="T873" s="183" t="n">
        <v>0</v>
      </c>
      <c r="U873" s="182" t="n">
        <v>0</v>
      </c>
      <c r="V873" s="182" t="n">
        <v>0</v>
      </c>
      <c r="W873" s="182" t="n">
        <v>0</v>
      </c>
      <c r="X873" s="182" t="n">
        <v>0</v>
      </c>
      <c r="Y873" s="182" t="n">
        <v>0</v>
      </c>
      <c r="Z873" s="182" t="n">
        <v>0</v>
      </c>
      <c r="AA873" s="182" t="n">
        <v>0</v>
      </c>
      <c r="AB873" s="182" t="n">
        <v>0</v>
      </c>
      <c r="AC873" s="182" t="n">
        <v>0</v>
      </c>
      <c r="AD873" s="182" t="n">
        <v>0</v>
      </c>
      <c r="AE873" s="182" t="n">
        <v>0</v>
      </c>
      <c r="AF873" s="182" t="n">
        <v>0</v>
      </c>
      <c r="AG873" s="182" t="n">
        <v>0</v>
      </c>
      <c r="AH873" s="182" t="n">
        <v>0</v>
      </c>
      <c r="AI873" s="182" t="n">
        <v>0</v>
      </c>
      <c r="AJ873" s="182" t="n">
        <v>0</v>
      </c>
      <c r="AK873" s="182" t="n">
        <v>0</v>
      </c>
      <c r="AL873" s="182" t="n">
        <v>0</v>
      </c>
      <c r="AM873" s="182" t="n">
        <v>0</v>
      </c>
      <c r="AN873" s="182" t="n">
        <v>0</v>
      </c>
    </row>
    <row r="874">
      <c r="A874" s="155" t="n">
        <v>46085</v>
      </c>
      <c r="B874" s="156" t="inlineStr">
        <is>
          <t>NS</t>
        </is>
      </c>
      <c r="C874" s="156" t="inlineStr">
        <is>
          <t>HD-901</t>
        </is>
      </c>
      <c r="D874" s="156" t="inlineStr">
        <is>
          <t>SRT 95C</t>
        </is>
      </c>
      <c r="E874" s="156" t="inlineStr">
        <is>
          <t>Hauler</t>
        </is>
      </c>
      <c r="F874" s="156" t="inlineStr"/>
      <c r="G874" s="182" t="n">
        <v>0</v>
      </c>
      <c r="H874" s="182" t="n">
        <v>0</v>
      </c>
      <c r="I874" s="182" t="n">
        <v>0</v>
      </c>
      <c r="J874" s="182" t="n">
        <v>0</v>
      </c>
      <c r="K874" s="182" t="n">
        <v>12</v>
      </c>
      <c r="L874" s="182" t="n">
        <v>12</v>
      </c>
      <c r="M874" s="182" t="n">
        <v>0</v>
      </c>
      <c r="N874" s="182" t="n">
        <v>0</v>
      </c>
      <c r="O874" s="183" t="n">
        <v>0</v>
      </c>
      <c r="P874" s="183" t="n">
        <v>0</v>
      </c>
      <c r="Q874" s="184" t="n">
        <v>0</v>
      </c>
      <c r="R874" s="184" t="n">
        <v>0</v>
      </c>
      <c r="S874" s="183" t="n">
        <v>0</v>
      </c>
      <c r="T874" s="183" t="n">
        <v>0</v>
      </c>
      <c r="U874" s="182" t="n">
        <v>7.42</v>
      </c>
      <c r="V874" s="182" t="n">
        <v>0</v>
      </c>
      <c r="W874" s="182" t="n">
        <v>0</v>
      </c>
      <c r="X874" s="182" t="n">
        <v>1</v>
      </c>
      <c r="Y874" s="182" t="n">
        <v>0</v>
      </c>
      <c r="Z874" s="182" t="n">
        <v>0</v>
      </c>
      <c r="AA874" s="182" t="n">
        <v>0</v>
      </c>
      <c r="AB874" s="182" t="n">
        <v>0</v>
      </c>
      <c r="AC874" s="182" t="n">
        <v>0</v>
      </c>
      <c r="AD874" s="182" t="n">
        <v>0</v>
      </c>
      <c r="AE874" s="182" t="n">
        <v>0</v>
      </c>
      <c r="AF874" s="182" t="n">
        <v>0</v>
      </c>
      <c r="AG874" s="182" t="n">
        <v>0</v>
      </c>
      <c r="AH874" s="182" t="n">
        <v>0</v>
      </c>
      <c r="AI874" s="182" t="n">
        <v>3.5</v>
      </c>
      <c r="AJ874" s="182" t="n">
        <v>0</v>
      </c>
      <c r="AK874" s="182" t="n">
        <v>0</v>
      </c>
      <c r="AL874" s="182" t="n">
        <v>0</v>
      </c>
      <c r="AM874" s="182" t="n">
        <v>0.08</v>
      </c>
      <c r="AN874" s="182" t="n">
        <v>0</v>
      </c>
    </row>
    <row r="875">
      <c r="A875" s="155" t="n">
        <v>46085</v>
      </c>
      <c r="B875" s="156" t="inlineStr">
        <is>
          <t>NS</t>
        </is>
      </c>
      <c r="C875" s="156" t="inlineStr">
        <is>
          <t>HD-904</t>
        </is>
      </c>
      <c r="D875" s="156" t="inlineStr">
        <is>
          <t>SRT 95C</t>
        </is>
      </c>
      <c r="E875" s="156" t="inlineStr">
        <is>
          <t>Hauler</t>
        </is>
      </c>
      <c r="F875" s="156" t="inlineStr"/>
      <c r="G875" s="182" t="n">
        <v>0</v>
      </c>
      <c r="H875" s="182" t="n">
        <v>0</v>
      </c>
      <c r="I875" s="182" t="n">
        <v>12</v>
      </c>
      <c r="J875" s="182" t="n">
        <v>12</v>
      </c>
      <c r="K875" s="182" t="n">
        <v>0</v>
      </c>
      <c r="L875" s="182" t="n">
        <v>12</v>
      </c>
      <c r="M875" s="182" t="n">
        <v>0</v>
      </c>
      <c r="N875" s="182" t="n">
        <v>0</v>
      </c>
      <c r="O875" s="183" t="n">
        <v>0</v>
      </c>
      <c r="P875" s="183" t="n">
        <v>0</v>
      </c>
      <c r="Q875" s="184" t="n">
        <v>0</v>
      </c>
      <c r="R875" s="184" t="n">
        <v>0</v>
      </c>
      <c r="S875" s="183" t="n">
        <v>0</v>
      </c>
      <c r="T875" s="183" t="n">
        <v>0</v>
      </c>
      <c r="U875" s="182" t="n">
        <v>0</v>
      </c>
      <c r="V875" s="182" t="n">
        <v>0</v>
      </c>
      <c r="W875" s="182" t="n">
        <v>0</v>
      </c>
      <c r="X875" s="182" t="n">
        <v>0</v>
      </c>
      <c r="Y875" s="182" t="n">
        <v>0</v>
      </c>
      <c r="Z875" s="182" t="n">
        <v>0</v>
      </c>
      <c r="AA875" s="182" t="n">
        <v>0</v>
      </c>
      <c r="AB875" s="182" t="n">
        <v>0</v>
      </c>
      <c r="AC875" s="182" t="n">
        <v>0</v>
      </c>
      <c r="AD875" s="182" t="n">
        <v>0</v>
      </c>
      <c r="AE875" s="182" t="n">
        <v>0</v>
      </c>
      <c r="AF875" s="182" t="n">
        <v>0</v>
      </c>
      <c r="AG875" s="182" t="n">
        <v>0</v>
      </c>
      <c r="AH875" s="182" t="n">
        <v>0</v>
      </c>
      <c r="AI875" s="182" t="n">
        <v>0</v>
      </c>
      <c r="AJ875" s="182" t="n">
        <v>0</v>
      </c>
      <c r="AK875" s="182" t="n">
        <v>0</v>
      </c>
      <c r="AL875" s="182" t="n">
        <v>0</v>
      </c>
      <c r="AM875" s="182" t="n">
        <v>0</v>
      </c>
      <c r="AN875" s="182" t="n">
        <v>0</v>
      </c>
    </row>
    <row r="876">
      <c r="A876" s="155" t="n">
        <v>46085</v>
      </c>
      <c r="B876" s="156" t="inlineStr">
        <is>
          <t>NS</t>
        </is>
      </c>
      <c r="C876" s="156" t="inlineStr">
        <is>
          <t>HD-902</t>
        </is>
      </c>
      <c r="D876" s="156" t="inlineStr">
        <is>
          <t>SRT 95C</t>
        </is>
      </c>
      <c r="E876" s="156" t="inlineStr">
        <is>
          <t>Hauler</t>
        </is>
      </c>
      <c r="F876" s="156" t="inlineStr"/>
      <c r="G876" s="182" t="n">
        <v>0</v>
      </c>
      <c r="H876" s="182" t="n">
        <v>0</v>
      </c>
      <c r="I876" s="182" t="n">
        <v>0</v>
      </c>
      <c r="J876" s="182" t="n">
        <v>0</v>
      </c>
      <c r="K876" s="182" t="n">
        <v>12</v>
      </c>
      <c r="L876" s="182" t="n">
        <v>12</v>
      </c>
      <c r="M876" s="182" t="n">
        <v>0</v>
      </c>
      <c r="N876" s="182" t="n">
        <v>0</v>
      </c>
      <c r="O876" s="183" t="n">
        <v>0</v>
      </c>
      <c r="P876" s="183" t="n">
        <v>0</v>
      </c>
      <c r="Q876" s="184" t="n">
        <v>0</v>
      </c>
      <c r="R876" s="184" t="n">
        <v>0</v>
      </c>
      <c r="S876" s="183" t="n">
        <v>0</v>
      </c>
      <c r="T876" s="183" t="n">
        <v>0</v>
      </c>
      <c r="U876" s="182" t="n">
        <v>7.42</v>
      </c>
      <c r="V876" s="182" t="n">
        <v>0</v>
      </c>
      <c r="W876" s="182" t="n">
        <v>0</v>
      </c>
      <c r="X876" s="182" t="n">
        <v>1</v>
      </c>
      <c r="Y876" s="182" t="n">
        <v>0</v>
      </c>
      <c r="Z876" s="182" t="n">
        <v>0</v>
      </c>
      <c r="AA876" s="182" t="n">
        <v>0</v>
      </c>
      <c r="AB876" s="182" t="n">
        <v>0</v>
      </c>
      <c r="AC876" s="182" t="n">
        <v>0</v>
      </c>
      <c r="AD876" s="182" t="n">
        <v>0</v>
      </c>
      <c r="AE876" s="182" t="n">
        <v>0</v>
      </c>
      <c r="AF876" s="182" t="n">
        <v>0</v>
      </c>
      <c r="AG876" s="182" t="n">
        <v>0</v>
      </c>
      <c r="AH876" s="182" t="n">
        <v>0</v>
      </c>
      <c r="AI876" s="182" t="n">
        <v>3.5</v>
      </c>
      <c r="AJ876" s="182" t="n">
        <v>0</v>
      </c>
      <c r="AK876" s="182" t="n">
        <v>0</v>
      </c>
      <c r="AL876" s="182" t="n">
        <v>0</v>
      </c>
      <c r="AM876" s="182" t="n">
        <v>0.08</v>
      </c>
      <c r="AN876" s="182" t="n">
        <v>0</v>
      </c>
    </row>
    <row r="877">
      <c r="A877" s="155" t="n">
        <v>46085</v>
      </c>
      <c r="B877" s="156" t="inlineStr">
        <is>
          <t>NS</t>
        </is>
      </c>
      <c r="C877" s="156" t="inlineStr">
        <is>
          <t>WL-025</t>
        </is>
      </c>
      <c r="D877" s="156" t="inlineStr">
        <is>
          <t>SANY - Loader</t>
        </is>
      </c>
      <c r="E877" s="156" t="inlineStr">
        <is>
          <t>Loader</t>
        </is>
      </c>
      <c r="F877" s="156" t="inlineStr"/>
      <c r="G877" s="182" t="n">
        <v>0</v>
      </c>
      <c r="H877" s="182" t="n">
        <v>0</v>
      </c>
      <c r="I877" s="182" t="n">
        <v>12</v>
      </c>
      <c r="J877" s="182" t="n">
        <v>12</v>
      </c>
      <c r="K877" s="182" t="n">
        <v>0</v>
      </c>
      <c r="L877" s="182" t="n">
        <v>12</v>
      </c>
      <c r="M877" s="182" t="n">
        <v>0</v>
      </c>
      <c r="N877" s="182" t="n">
        <v>0</v>
      </c>
      <c r="O877" s="183" t="n">
        <v>0</v>
      </c>
      <c r="P877" s="183" t="n">
        <v>0</v>
      </c>
      <c r="Q877" s="184" t="n">
        <v>0</v>
      </c>
      <c r="R877" s="184" t="n">
        <v>0</v>
      </c>
      <c r="S877" s="183" t="n">
        <v>0</v>
      </c>
      <c r="T877" s="183" t="n">
        <v>0</v>
      </c>
      <c r="U877" s="182" t="n">
        <v>0</v>
      </c>
      <c r="V877" s="182" t="n">
        <v>0</v>
      </c>
      <c r="W877" s="182" t="n">
        <v>0</v>
      </c>
      <c r="X877" s="182" t="n">
        <v>0</v>
      </c>
      <c r="Y877" s="182" t="n">
        <v>0</v>
      </c>
      <c r="Z877" s="182" t="n">
        <v>0</v>
      </c>
      <c r="AA877" s="182" t="n">
        <v>0</v>
      </c>
      <c r="AB877" s="182" t="n">
        <v>0</v>
      </c>
      <c r="AC877" s="182" t="n">
        <v>0</v>
      </c>
      <c r="AD877" s="182" t="n">
        <v>0</v>
      </c>
      <c r="AE877" s="182" t="n">
        <v>0</v>
      </c>
      <c r="AF877" s="182" t="n">
        <v>0</v>
      </c>
      <c r="AG877" s="182" t="n">
        <v>0</v>
      </c>
      <c r="AH877" s="182" t="n">
        <v>0</v>
      </c>
      <c r="AI877" s="182" t="n">
        <v>0</v>
      </c>
      <c r="AJ877" s="182" t="n">
        <v>0</v>
      </c>
      <c r="AK877" s="182" t="n">
        <v>0</v>
      </c>
      <c r="AL877" s="182" t="n">
        <v>0</v>
      </c>
      <c r="AM877" s="182" t="n">
        <v>0</v>
      </c>
      <c r="AN877" s="182" t="n">
        <v>0</v>
      </c>
    </row>
    <row r="878">
      <c r="A878" s="155" t="n">
        <v>46085</v>
      </c>
      <c r="B878" s="156" t="inlineStr">
        <is>
          <t>NS</t>
        </is>
      </c>
      <c r="C878" s="156" t="inlineStr">
        <is>
          <t>WL-023</t>
        </is>
      </c>
      <c r="D878" s="156" t="inlineStr">
        <is>
          <t>SANY - Loader</t>
        </is>
      </c>
      <c r="E878" s="156" t="inlineStr">
        <is>
          <t>Loader</t>
        </is>
      </c>
      <c r="F878" s="156" t="inlineStr"/>
      <c r="G878" s="182" t="n">
        <v>0</v>
      </c>
      <c r="H878" s="182" t="n">
        <v>0</v>
      </c>
      <c r="I878" s="182" t="n">
        <v>0</v>
      </c>
      <c r="J878" s="182" t="n">
        <v>0</v>
      </c>
      <c r="K878" s="182" t="n">
        <v>12</v>
      </c>
      <c r="L878" s="182" t="n">
        <v>12</v>
      </c>
      <c r="M878" s="182" t="n">
        <v>0</v>
      </c>
      <c r="N878" s="182" t="n">
        <v>0</v>
      </c>
      <c r="O878" s="183" t="n">
        <v>0</v>
      </c>
      <c r="P878" s="183" t="n">
        <v>0</v>
      </c>
      <c r="Q878" s="184" t="n">
        <v>0</v>
      </c>
      <c r="R878" s="184" t="n">
        <v>0</v>
      </c>
      <c r="S878" s="183" t="n">
        <v>0</v>
      </c>
      <c r="T878" s="183" t="n">
        <v>0</v>
      </c>
      <c r="U878" s="182" t="n">
        <v>0</v>
      </c>
      <c r="V878" s="182" t="n">
        <v>0</v>
      </c>
      <c r="W878" s="182" t="n">
        <v>0</v>
      </c>
      <c r="X878" s="182" t="n">
        <v>1</v>
      </c>
      <c r="Y878" s="182" t="n">
        <v>0</v>
      </c>
      <c r="Z878" s="182" t="n">
        <v>0</v>
      </c>
      <c r="AA878" s="182" t="n">
        <v>0</v>
      </c>
      <c r="AB878" s="182" t="n">
        <v>0</v>
      </c>
      <c r="AC878" s="182" t="n">
        <v>0</v>
      </c>
      <c r="AD878" s="182" t="n">
        <v>0</v>
      </c>
      <c r="AE878" s="182" t="n">
        <v>0</v>
      </c>
      <c r="AF878" s="182" t="n">
        <v>0</v>
      </c>
      <c r="AG878" s="182" t="n">
        <v>0</v>
      </c>
      <c r="AH878" s="182" t="n">
        <v>0</v>
      </c>
      <c r="AI878" s="182" t="n">
        <v>0</v>
      </c>
      <c r="AJ878" s="182" t="n">
        <v>0</v>
      </c>
      <c r="AK878" s="182" t="n">
        <v>10.92</v>
      </c>
      <c r="AL878" s="182" t="n">
        <v>0</v>
      </c>
      <c r="AM878" s="182" t="n">
        <v>0.08</v>
      </c>
      <c r="AN878" s="182" t="n">
        <v>0</v>
      </c>
    </row>
    <row r="879">
      <c r="A879" s="155" t="n">
        <v>46085</v>
      </c>
      <c r="B879" s="156" t="inlineStr">
        <is>
          <t>NS</t>
        </is>
      </c>
      <c r="C879" s="156" t="inlineStr">
        <is>
          <t>WL-021</t>
        </is>
      </c>
      <c r="D879" s="156" t="inlineStr">
        <is>
          <t>SANY - Loader</t>
        </is>
      </c>
      <c r="E879" s="156" t="inlineStr">
        <is>
          <t>Loader</t>
        </is>
      </c>
      <c r="F879" s="156" t="inlineStr"/>
      <c r="G879" s="182" t="n">
        <v>0</v>
      </c>
      <c r="H879" s="182" t="n">
        <v>0</v>
      </c>
      <c r="I879" s="182" t="n">
        <v>12</v>
      </c>
      <c r="J879" s="182" t="n">
        <v>12</v>
      </c>
      <c r="K879" s="182" t="n">
        <v>0</v>
      </c>
      <c r="L879" s="182" t="n">
        <v>12</v>
      </c>
      <c r="M879" s="182" t="n">
        <v>0</v>
      </c>
      <c r="N879" s="182" t="n">
        <v>0</v>
      </c>
      <c r="O879" s="183" t="n">
        <v>0</v>
      </c>
      <c r="P879" s="183" t="n">
        <v>0</v>
      </c>
      <c r="Q879" s="184" t="n">
        <v>0</v>
      </c>
      <c r="R879" s="184" t="n">
        <v>0</v>
      </c>
      <c r="S879" s="183" t="n">
        <v>0</v>
      </c>
      <c r="T879" s="183" t="n">
        <v>0</v>
      </c>
      <c r="U879" s="182" t="n">
        <v>0</v>
      </c>
      <c r="V879" s="182" t="n">
        <v>0</v>
      </c>
      <c r="W879" s="182" t="n">
        <v>0</v>
      </c>
      <c r="X879" s="182" t="n">
        <v>0</v>
      </c>
      <c r="Y879" s="182" t="n">
        <v>0</v>
      </c>
      <c r="Z879" s="182" t="n">
        <v>0</v>
      </c>
      <c r="AA879" s="182" t="n">
        <v>0</v>
      </c>
      <c r="AB879" s="182" t="n">
        <v>0</v>
      </c>
      <c r="AC879" s="182" t="n">
        <v>0</v>
      </c>
      <c r="AD879" s="182" t="n">
        <v>0</v>
      </c>
      <c r="AE879" s="182" t="n">
        <v>0</v>
      </c>
      <c r="AF879" s="182" t="n">
        <v>0</v>
      </c>
      <c r="AG879" s="182" t="n">
        <v>0</v>
      </c>
      <c r="AH879" s="182" t="n">
        <v>0</v>
      </c>
      <c r="AI879" s="182" t="n">
        <v>0</v>
      </c>
      <c r="AJ879" s="182" t="n">
        <v>0</v>
      </c>
      <c r="AK879" s="182" t="n">
        <v>0</v>
      </c>
      <c r="AL879" s="182" t="n">
        <v>0</v>
      </c>
      <c r="AM879" s="182" t="n">
        <v>0</v>
      </c>
      <c r="AN879" s="182" t="n">
        <v>0</v>
      </c>
    </row>
    <row r="880">
      <c r="A880" s="155" t="n">
        <v>46085</v>
      </c>
      <c r="B880" s="156" t="inlineStr">
        <is>
          <t>NS</t>
        </is>
      </c>
      <c r="C880" s="156" t="inlineStr">
        <is>
          <t>WL-022</t>
        </is>
      </c>
      <c r="D880" s="156" t="inlineStr">
        <is>
          <t>SANY - Loader</t>
        </is>
      </c>
      <c r="E880" s="156" t="inlineStr">
        <is>
          <t>Loader</t>
        </is>
      </c>
      <c r="F880" s="156" t="inlineStr">
        <is>
          <t>Support Washing Plant</t>
        </is>
      </c>
      <c r="G880" s="182" t="n">
        <v>2.08</v>
      </c>
      <c r="H880" s="182" t="n">
        <v>0</v>
      </c>
      <c r="I880" s="182" t="n">
        <v>0</v>
      </c>
      <c r="J880" s="182" t="n">
        <v>0</v>
      </c>
      <c r="K880" s="182" t="n">
        <v>9.92</v>
      </c>
      <c r="L880" s="182" t="n">
        <v>12</v>
      </c>
      <c r="M880" s="182" t="n">
        <v>0</v>
      </c>
      <c r="N880" s="182" t="n">
        <v>0</v>
      </c>
      <c r="O880" s="183" t="n">
        <v>0</v>
      </c>
      <c r="P880" s="183" t="n">
        <v>0</v>
      </c>
      <c r="Q880" s="184" t="n">
        <v>0</v>
      </c>
      <c r="R880" s="184" t="n">
        <v>0</v>
      </c>
      <c r="S880" s="183" t="n">
        <v>0</v>
      </c>
      <c r="T880" s="183" t="n">
        <v>0</v>
      </c>
      <c r="U880" s="182" t="n">
        <v>0</v>
      </c>
      <c r="V880" s="182" t="n">
        <v>0</v>
      </c>
      <c r="W880" s="182" t="n">
        <v>0</v>
      </c>
      <c r="X880" s="182" t="n">
        <v>0.97</v>
      </c>
      <c r="Y880" s="182" t="n">
        <v>0</v>
      </c>
      <c r="Z880" s="182" t="n">
        <v>0</v>
      </c>
      <c r="AA880" s="182" t="n">
        <v>0</v>
      </c>
      <c r="AB880" s="182" t="n">
        <v>0</v>
      </c>
      <c r="AC880" s="182" t="n">
        <v>0</v>
      </c>
      <c r="AD880" s="182" t="n">
        <v>0</v>
      </c>
      <c r="AE880" s="182" t="n">
        <v>0</v>
      </c>
      <c r="AF880" s="182" t="n">
        <v>0</v>
      </c>
      <c r="AG880" s="182" t="n">
        <v>0</v>
      </c>
      <c r="AH880" s="182" t="n">
        <v>0</v>
      </c>
      <c r="AI880" s="182" t="n">
        <v>0</v>
      </c>
      <c r="AJ880" s="182" t="n">
        <v>0</v>
      </c>
      <c r="AK880" s="182" t="n">
        <v>8.869999999999999</v>
      </c>
      <c r="AL880" s="182" t="n">
        <v>0</v>
      </c>
      <c r="AM880" s="182" t="n">
        <v>0.08</v>
      </c>
      <c r="AN880" s="182" t="n">
        <v>0</v>
      </c>
    </row>
    <row r="881">
      <c r="A881" s="155" t="n">
        <v>46085</v>
      </c>
      <c r="B881" s="156" t="inlineStr">
        <is>
          <t>NS</t>
        </is>
      </c>
      <c r="C881" s="156" t="inlineStr">
        <is>
          <t>WL-024</t>
        </is>
      </c>
      <c r="D881" s="156" t="inlineStr">
        <is>
          <t>SANY - Loader</t>
        </is>
      </c>
      <c r="E881" s="156" t="inlineStr">
        <is>
          <t>Loader</t>
        </is>
      </c>
      <c r="F881" s="156" t="inlineStr">
        <is>
          <t>Support Washing Plant</t>
        </is>
      </c>
      <c r="G881" s="182" t="n">
        <v>3.13</v>
      </c>
      <c r="H881" s="182" t="n">
        <v>0</v>
      </c>
      <c r="I881" s="182" t="n">
        <v>0</v>
      </c>
      <c r="J881" s="182" t="n">
        <v>0</v>
      </c>
      <c r="K881" s="182" t="n">
        <v>8.869999999999999</v>
      </c>
      <c r="L881" s="182" t="n">
        <v>12</v>
      </c>
      <c r="M881" s="182" t="n">
        <v>0</v>
      </c>
      <c r="N881" s="182" t="n">
        <v>0</v>
      </c>
      <c r="O881" s="183" t="n">
        <v>0</v>
      </c>
      <c r="P881" s="183" t="n">
        <v>0</v>
      </c>
      <c r="Q881" s="184" t="n">
        <v>0</v>
      </c>
      <c r="R881" s="184" t="n">
        <v>0</v>
      </c>
      <c r="S881" s="183" t="n">
        <v>0</v>
      </c>
      <c r="T881" s="183" t="n">
        <v>0</v>
      </c>
      <c r="U881" s="182" t="n">
        <v>0</v>
      </c>
      <c r="V881" s="182" t="n">
        <v>0</v>
      </c>
      <c r="W881" s="182" t="n">
        <v>0</v>
      </c>
      <c r="X881" s="182" t="n">
        <v>0.99</v>
      </c>
      <c r="Y881" s="182" t="n">
        <v>0</v>
      </c>
      <c r="Z881" s="182" t="n">
        <v>0</v>
      </c>
      <c r="AA881" s="182" t="n">
        <v>0</v>
      </c>
      <c r="AB881" s="182" t="n">
        <v>0</v>
      </c>
      <c r="AC881" s="182" t="n">
        <v>0</v>
      </c>
      <c r="AD881" s="182" t="n">
        <v>0</v>
      </c>
      <c r="AE881" s="182" t="n">
        <v>0</v>
      </c>
      <c r="AF881" s="182" t="n">
        <v>0</v>
      </c>
      <c r="AG881" s="182" t="n">
        <v>0</v>
      </c>
      <c r="AH881" s="182" t="n">
        <v>0</v>
      </c>
      <c r="AI881" s="182" t="n">
        <v>0</v>
      </c>
      <c r="AJ881" s="182" t="n">
        <v>0</v>
      </c>
      <c r="AK881" s="182" t="n">
        <v>7.81</v>
      </c>
      <c r="AL881" s="182" t="n">
        <v>0</v>
      </c>
      <c r="AM881" s="182" t="n">
        <v>0.08</v>
      </c>
      <c r="AN881" s="182" t="n">
        <v>0</v>
      </c>
    </row>
    <row r="882">
      <c r="A882" s="155" t="n">
        <v>46086</v>
      </c>
      <c r="B882" s="156" t="inlineStr">
        <is>
          <t>DS</t>
        </is>
      </c>
      <c r="C882" s="156" t="inlineStr">
        <is>
          <t>DZ-034</t>
        </is>
      </c>
      <c r="D882" s="156" t="inlineStr">
        <is>
          <t>D 68ESS-12EO</t>
        </is>
      </c>
      <c r="E882" s="156" t="inlineStr">
        <is>
          <t>Bulldozer</t>
        </is>
      </c>
      <c r="F882" s="156" t="inlineStr">
        <is>
          <t>Support ROM</t>
        </is>
      </c>
      <c r="G882" s="182" t="n">
        <v>6.84</v>
      </c>
      <c r="H882" s="182" t="n">
        <v>0</v>
      </c>
      <c r="I882" s="182" t="n">
        <v>0</v>
      </c>
      <c r="J882" s="182" t="n">
        <v>0</v>
      </c>
      <c r="K882" s="182" t="n">
        <v>5.16</v>
      </c>
      <c r="L882" s="182" t="n">
        <v>12</v>
      </c>
      <c r="M882" s="182" t="n">
        <v>0</v>
      </c>
      <c r="N882" s="182" t="n">
        <v>0</v>
      </c>
      <c r="O882" s="183" t="n">
        <v>0</v>
      </c>
      <c r="P882" s="183" t="n">
        <v>0</v>
      </c>
      <c r="Q882" s="184" t="n">
        <v>0</v>
      </c>
      <c r="R882" s="184" t="n">
        <v>0</v>
      </c>
      <c r="S882" s="183" t="n">
        <v>0</v>
      </c>
      <c r="T882" s="183" t="n">
        <v>0</v>
      </c>
      <c r="U882" s="182" t="n">
        <v>0</v>
      </c>
      <c r="V882" s="182" t="n">
        <v>0</v>
      </c>
      <c r="W882" s="182" t="n">
        <v>0</v>
      </c>
      <c r="X882" s="182" t="n">
        <v>1.08</v>
      </c>
      <c r="Y882" s="182" t="n">
        <v>0</v>
      </c>
      <c r="Z882" s="182" t="n">
        <v>0</v>
      </c>
      <c r="AA882" s="182" t="n">
        <v>0</v>
      </c>
      <c r="AB882" s="182" t="n">
        <v>0</v>
      </c>
      <c r="AC882" s="182" t="n">
        <v>0</v>
      </c>
      <c r="AD882" s="182" t="n">
        <v>0</v>
      </c>
      <c r="AE882" s="182" t="n">
        <v>0</v>
      </c>
      <c r="AF882" s="182" t="n">
        <v>0</v>
      </c>
      <c r="AG882" s="182" t="n">
        <v>0</v>
      </c>
      <c r="AH882" s="182" t="n">
        <v>0</v>
      </c>
      <c r="AI882" s="182" t="n">
        <v>0</v>
      </c>
      <c r="AJ882" s="182" t="n">
        <v>0</v>
      </c>
      <c r="AK882" s="182" t="n">
        <v>4</v>
      </c>
      <c r="AL882" s="182" t="n">
        <v>0</v>
      </c>
      <c r="AM882" s="182" t="n">
        <v>0.09</v>
      </c>
      <c r="AN882" s="182" t="n">
        <v>0</v>
      </c>
    </row>
    <row r="883">
      <c r="A883" s="155" t="n">
        <v>46086</v>
      </c>
      <c r="B883" s="156" t="inlineStr">
        <is>
          <t>DS</t>
        </is>
      </c>
      <c r="C883" s="156" t="inlineStr">
        <is>
          <t>DZ-033</t>
        </is>
      </c>
      <c r="D883" s="156" t="inlineStr">
        <is>
          <t>D 375A-6R</t>
        </is>
      </c>
      <c r="E883" s="156" t="inlineStr">
        <is>
          <t>Bulldozer</t>
        </is>
      </c>
      <c r="F883" s="156" t="inlineStr">
        <is>
          <t>Support Disposal</t>
        </is>
      </c>
      <c r="G883" s="182" t="n">
        <v>6.91</v>
      </c>
      <c r="H883" s="182" t="n">
        <v>0</v>
      </c>
      <c r="I883" s="182" t="n">
        <v>0.45</v>
      </c>
      <c r="J883" s="182" t="n">
        <v>0.45</v>
      </c>
      <c r="K883" s="182" t="n">
        <v>4.64</v>
      </c>
      <c r="L883" s="182" t="n">
        <v>12</v>
      </c>
      <c r="M883" s="182" t="n">
        <v>0</v>
      </c>
      <c r="N883" s="182" t="n">
        <v>0</v>
      </c>
      <c r="O883" s="183" t="n">
        <v>0</v>
      </c>
      <c r="P883" s="183" t="n">
        <v>0</v>
      </c>
      <c r="Q883" s="184" t="n">
        <v>0</v>
      </c>
      <c r="R883" s="184" t="n">
        <v>0</v>
      </c>
      <c r="S883" s="183" t="n">
        <v>0</v>
      </c>
      <c r="T883" s="183" t="n">
        <v>0</v>
      </c>
      <c r="U883" s="182" t="n">
        <v>0</v>
      </c>
      <c r="V883" s="182" t="n">
        <v>0</v>
      </c>
      <c r="W883" s="182" t="n">
        <v>0</v>
      </c>
      <c r="X883" s="182" t="n">
        <v>1.02</v>
      </c>
      <c r="Y883" s="182" t="n">
        <v>0</v>
      </c>
      <c r="Z883" s="182" t="n">
        <v>0</v>
      </c>
      <c r="AA883" s="182" t="n">
        <v>0</v>
      </c>
      <c r="AB883" s="182" t="n">
        <v>0</v>
      </c>
      <c r="AC883" s="182" t="n">
        <v>0</v>
      </c>
      <c r="AD883" s="182" t="n">
        <v>0</v>
      </c>
      <c r="AE883" s="182" t="n">
        <v>0</v>
      </c>
      <c r="AF883" s="182" t="n">
        <v>0</v>
      </c>
      <c r="AG883" s="182" t="n">
        <v>0</v>
      </c>
      <c r="AH883" s="182" t="n">
        <v>0</v>
      </c>
      <c r="AI883" s="182" t="n">
        <v>0</v>
      </c>
      <c r="AJ883" s="182" t="n">
        <v>0</v>
      </c>
      <c r="AK883" s="182" t="n">
        <v>3.54</v>
      </c>
      <c r="AL883" s="182" t="n">
        <v>0</v>
      </c>
      <c r="AM883" s="182" t="n">
        <v>0.08</v>
      </c>
      <c r="AN883" s="182" t="n">
        <v>0</v>
      </c>
    </row>
    <row r="884">
      <c r="A884" s="155" t="n">
        <v>46086</v>
      </c>
      <c r="B884" s="156" t="inlineStr">
        <is>
          <t>DS</t>
        </is>
      </c>
      <c r="C884" s="156" t="inlineStr">
        <is>
          <t>DZ-038</t>
        </is>
      </c>
      <c r="D884" s="156" t="inlineStr">
        <is>
          <t>D 85 ESS-2</t>
        </is>
      </c>
      <c r="E884" s="156" t="inlineStr">
        <is>
          <t>Bulldozer</t>
        </is>
      </c>
      <c r="F884" s="156" t="inlineStr"/>
      <c r="G884" s="182" t="n">
        <v>0</v>
      </c>
      <c r="H884" s="182" t="n">
        <v>0</v>
      </c>
      <c r="I884" s="182" t="n">
        <v>12</v>
      </c>
      <c r="J884" s="182" t="n">
        <v>12</v>
      </c>
      <c r="K884" s="182" t="n">
        <v>0</v>
      </c>
      <c r="L884" s="182" t="n">
        <v>12</v>
      </c>
      <c r="M884" s="182" t="n">
        <v>0</v>
      </c>
      <c r="N884" s="182" t="n">
        <v>0</v>
      </c>
      <c r="O884" s="183" t="n">
        <v>0</v>
      </c>
      <c r="P884" s="183" t="n">
        <v>0</v>
      </c>
      <c r="Q884" s="184" t="n">
        <v>0</v>
      </c>
      <c r="R884" s="184" t="n">
        <v>0</v>
      </c>
      <c r="S884" s="183" t="n">
        <v>0</v>
      </c>
      <c r="T884" s="183" t="n">
        <v>0</v>
      </c>
      <c r="U884" s="182" t="n">
        <v>0</v>
      </c>
      <c r="V884" s="182" t="n">
        <v>0</v>
      </c>
      <c r="W884" s="182" t="n">
        <v>0</v>
      </c>
      <c r="X884" s="182" t="n">
        <v>0</v>
      </c>
      <c r="Y884" s="182" t="n">
        <v>0</v>
      </c>
      <c r="Z884" s="182" t="n">
        <v>0</v>
      </c>
      <c r="AA884" s="182" t="n">
        <v>0</v>
      </c>
      <c r="AB884" s="182" t="n">
        <v>0</v>
      </c>
      <c r="AC884" s="182" t="n">
        <v>0</v>
      </c>
      <c r="AD884" s="182" t="n">
        <v>0</v>
      </c>
      <c r="AE884" s="182" t="n">
        <v>0</v>
      </c>
      <c r="AF884" s="182" t="n">
        <v>0</v>
      </c>
      <c r="AG884" s="182" t="n">
        <v>0</v>
      </c>
      <c r="AH884" s="182" t="n">
        <v>0</v>
      </c>
      <c r="AI884" s="182" t="n">
        <v>0</v>
      </c>
      <c r="AJ884" s="182" t="n">
        <v>0</v>
      </c>
      <c r="AK884" s="182" t="n">
        <v>0</v>
      </c>
      <c r="AL884" s="182" t="n">
        <v>0</v>
      </c>
      <c r="AM884" s="182" t="n">
        <v>0</v>
      </c>
      <c r="AN884" s="182" t="n">
        <v>0</v>
      </c>
    </row>
    <row r="885">
      <c r="A885" s="155" t="n">
        <v>46086</v>
      </c>
      <c r="B885" s="156" t="inlineStr">
        <is>
          <t>DS</t>
        </is>
      </c>
      <c r="C885" s="156" t="inlineStr">
        <is>
          <t>DZ-039</t>
        </is>
      </c>
      <c r="D885" s="156" t="inlineStr">
        <is>
          <t>D 85 ESS-2</t>
        </is>
      </c>
      <c r="E885" s="156" t="inlineStr">
        <is>
          <t>Bulldozer</t>
        </is>
      </c>
      <c r="F885" s="156" t="inlineStr">
        <is>
          <t>Support Disposal</t>
        </is>
      </c>
      <c r="G885" s="182" t="n">
        <v>11.05</v>
      </c>
      <c r="H885" s="182" t="n">
        <v>0</v>
      </c>
      <c r="I885" s="182" t="n">
        <v>0</v>
      </c>
      <c r="J885" s="182" t="n">
        <v>0</v>
      </c>
      <c r="K885" s="182" t="n">
        <v>0.95</v>
      </c>
      <c r="L885" s="182" t="n">
        <v>12</v>
      </c>
      <c r="M885" s="182" t="n">
        <v>0</v>
      </c>
      <c r="N885" s="182" t="n">
        <v>0</v>
      </c>
      <c r="O885" s="183" t="n">
        <v>0</v>
      </c>
      <c r="P885" s="183" t="n">
        <v>0</v>
      </c>
      <c r="Q885" s="184" t="n">
        <v>0</v>
      </c>
      <c r="R885" s="184" t="n">
        <v>0</v>
      </c>
      <c r="S885" s="183" t="n">
        <v>0</v>
      </c>
      <c r="T885" s="183" t="n">
        <v>0</v>
      </c>
      <c r="U885" s="182" t="n">
        <v>0</v>
      </c>
      <c r="V885" s="182" t="n">
        <v>0</v>
      </c>
      <c r="W885" s="182" t="n">
        <v>0</v>
      </c>
      <c r="X885" s="182" t="n">
        <v>0.86</v>
      </c>
      <c r="Y885" s="182" t="n">
        <v>0</v>
      </c>
      <c r="Z885" s="182" t="n">
        <v>0</v>
      </c>
      <c r="AA885" s="182" t="n">
        <v>0</v>
      </c>
      <c r="AB885" s="182" t="n">
        <v>0</v>
      </c>
      <c r="AC885" s="182" t="n">
        <v>0</v>
      </c>
      <c r="AD885" s="182" t="n">
        <v>0</v>
      </c>
      <c r="AE885" s="182" t="n">
        <v>0</v>
      </c>
      <c r="AF885" s="182" t="n">
        <v>0</v>
      </c>
      <c r="AG885" s="182" t="n">
        <v>0</v>
      </c>
      <c r="AH885" s="182" t="n">
        <v>0.02</v>
      </c>
      <c r="AI885" s="182" t="n">
        <v>0</v>
      </c>
      <c r="AJ885" s="182" t="n">
        <v>0</v>
      </c>
      <c r="AK885" s="182" t="n">
        <v>0</v>
      </c>
      <c r="AL885" s="182" t="n">
        <v>0</v>
      </c>
      <c r="AM885" s="182" t="n">
        <v>0.07000000000000001</v>
      </c>
      <c r="AN885" s="182" t="n">
        <v>0</v>
      </c>
    </row>
    <row r="886">
      <c r="A886" s="155" t="n">
        <v>46086</v>
      </c>
      <c r="B886" s="156" t="inlineStr">
        <is>
          <t>DS</t>
        </is>
      </c>
      <c r="C886" s="156" t="inlineStr">
        <is>
          <t>DZ-032</t>
        </is>
      </c>
      <c r="D886" s="156" t="inlineStr">
        <is>
          <t>CAT</t>
        </is>
      </c>
      <c r="E886" s="156" t="inlineStr">
        <is>
          <t>Bulldozer</t>
        </is>
      </c>
      <c r="F886" s="156" t="inlineStr">
        <is>
          <t>Support Front Loading</t>
        </is>
      </c>
      <c r="G886" s="182" t="n">
        <v>10.65</v>
      </c>
      <c r="H886" s="182" t="n">
        <v>0</v>
      </c>
      <c r="I886" s="182" t="n">
        <v>0</v>
      </c>
      <c r="J886" s="182" t="n">
        <v>0</v>
      </c>
      <c r="K886" s="182" t="n">
        <v>1.35</v>
      </c>
      <c r="L886" s="182" t="n">
        <v>12</v>
      </c>
      <c r="M886" s="182" t="n">
        <v>0</v>
      </c>
      <c r="N886" s="182" t="n">
        <v>0</v>
      </c>
      <c r="O886" s="183" t="n">
        <v>0</v>
      </c>
      <c r="P886" s="183" t="n">
        <v>0</v>
      </c>
      <c r="Q886" s="184" t="n">
        <v>0</v>
      </c>
      <c r="R886" s="184" t="n">
        <v>0</v>
      </c>
      <c r="S886" s="183" t="n">
        <v>0</v>
      </c>
      <c r="T886" s="183" t="n">
        <v>0</v>
      </c>
      <c r="U886" s="182" t="n">
        <v>0</v>
      </c>
      <c r="V886" s="182" t="n">
        <v>0</v>
      </c>
      <c r="W886" s="182" t="n">
        <v>0</v>
      </c>
      <c r="X886" s="182" t="n">
        <v>1.21</v>
      </c>
      <c r="Y886" s="182" t="n">
        <v>0</v>
      </c>
      <c r="Z886" s="182" t="n">
        <v>0</v>
      </c>
      <c r="AA886" s="182" t="n">
        <v>0</v>
      </c>
      <c r="AB886" s="182" t="n">
        <v>0</v>
      </c>
      <c r="AC886" s="182" t="n">
        <v>0</v>
      </c>
      <c r="AD886" s="182" t="n">
        <v>0</v>
      </c>
      <c r="AE886" s="182" t="n">
        <v>0</v>
      </c>
      <c r="AF886" s="182" t="n">
        <v>0</v>
      </c>
      <c r="AG886" s="182" t="n">
        <v>0</v>
      </c>
      <c r="AH886" s="182" t="n">
        <v>0</v>
      </c>
      <c r="AI886" s="182" t="n">
        <v>0</v>
      </c>
      <c r="AJ886" s="182" t="n">
        <v>0</v>
      </c>
      <c r="AK886" s="182" t="n">
        <v>0</v>
      </c>
      <c r="AL886" s="182" t="n">
        <v>0</v>
      </c>
      <c r="AM886" s="182" t="n">
        <v>0.14</v>
      </c>
      <c r="AN886" s="182" t="n">
        <v>0</v>
      </c>
    </row>
    <row r="887">
      <c r="A887" s="155" t="n">
        <v>46086</v>
      </c>
      <c r="B887" s="156" t="inlineStr">
        <is>
          <t>DS</t>
        </is>
      </c>
      <c r="C887" s="156" t="inlineStr">
        <is>
          <t>DZ-031</t>
        </is>
      </c>
      <c r="D887" s="156" t="inlineStr">
        <is>
          <t>CAT</t>
        </is>
      </c>
      <c r="E887" s="156" t="inlineStr">
        <is>
          <t>Bulldozer</t>
        </is>
      </c>
      <c r="F887" s="156" t="inlineStr"/>
      <c r="G887" s="182" t="n">
        <v>0</v>
      </c>
      <c r="H887" s="182" t="n">
        <v>0</v>
      </c>
      <c r="I887" s="182" t="n">
        <v>12</v>
      </c>
      <c r="J887" s="182" t="n">
        <v>12</v>
      </c>
      <c r="K887" s="182" t="n">
        <v>0</v>
      </c>
      <c r="L887" s="182" t="n">
        <v>12</v>
      </c>
      <c r="M887" s="182" t="n">
        <v>0</v>
      </c>
      <c r="N887" s="182" t="n">
        <v>0</v>
      </c>
      <c r="O887" s="183" t="n">
        <v>0</v>
      </c>
      <c r="P887" s="183" t="n">
        <v>0</v>
      </c>
      <c r="Q887" s="184" t="n">
        <v>0</v>
      </c>
      <c r="R887" s="184" t="n">
        <v>0</v>
      </c>
      <c r="S887" s="183" t="n">
        <v>0</v>
      </c>
      <c r="T887" s="183" t="n">
        <v>0</v>
      </c>
      <c r="U887" s="182" t="n">
        <v>0</v>
      </c>
      <c r="V887" s="182" t="n">
        <v>0</v>
      </c>
      <c r="W887" s="182" t="n">
        <v>0</v>
      </c>
      <c r="X887" s="182" t="n">
        <v>0</v>
      </c>
      <c r="Y887" s="182" t="n">
        <v>0</v>
      </c>
      <c r="Z887" s="182" t="n">
        <v>0</v>
      </c>
      <c r="AA887" s="182" t="n">
        <v>0</v>
      </c>
      <c r="AB887" s="182" t="n">
        <v>0</v>
      </c>
      <c r="AC887" s="182" t="n">
        <v>0</v>
      </c>
      <c r="AD887" s="182" t="n">
        <v>0</v>
      </c>
      <c r="AE887" s="182" t="n">
        <v>0</v>
      </c>
      <c r="AF887" s="182" t="n">
        <v>0</v>
      </c>
      <c r="AG887" s="182" t="n">
        <v>0</v>
      </c>
      <c r="AH887" s="182" t="n">
        <v>0</v>
      </c>
      <c r="AI887" s="182" t="n">
        <v>0</v>
      </c>
      <c r="AJ887" s="182" t="n">
        <v>0</v>
      </c>
      <c r="AK887" s="182" t="n">
        <v>0</v>
      </c>
      <c r="AL887" s="182" t="n">
        <v>0</v>
      </c>
      <c r="AM887" s="182" t="n">
        <v>0</v>
      </c>
      <c r="AN887" s="182" t="n">
        <v>0</v>
      </c>
    </row>
    <row r="888">
      <c r="A888" s="155" t="n">
        <v>46086</v>
      </c>
      <c r="B888" s="156" t="inlineStr">
        <is>
          <t>DS</t>
        </is>
      </c>
      <c r="C888" s="156" t="inlineStr">
        <is>
          <t>DZ-037</t>
        </is>
      </c>
      <c r="D888" s="156" t="inlineStr">
        <is>
          <t>D 85 ESS-2</t>
        </is>
      </c>
      <c r="E888" s="156" t="inlineStr">
        <is>
          <t>Bulldozer</t>
        </is>
      </c>
      <c r="F888" s="156" t="inlineStr">
        <is>
          <t>Support Disposal</t>
        </is>
      </c>
      <c r="G888" s="182" t="n">
        <v>11.85</v>
      </c>
      <c r="H888" s="182" t="n">
        <v>0</v>
      </c>
      <c r="I888" s="182" t="n">
        <v>0</v>
      </c>
      <c r="J888" s="182" t="n">
        <v>0</v>
      </c>
      <c r="K888" s="182" t="n">
        <v>0.15</v>
      </c>
      <c r="L888" s="182" t="n">
        <v>12</v>
      </c>
      <c r="M888" s="182" t="n">
        <v>0</v>
      </c>
      <c r="N888" s="182" t="n">
        <v>0</v>
      </c>
      <c r="O888" s="183" t="n">
        <v>0</v>
      </c>
      <c r="P888" s="183" t="n">
        <v>0</v>
      </c>
      <c r="Q888" s="184" t="n">
        <v>0</v>
      </c>
      <c r="R888" s="184" t="n">
        <v>0</v>
      </c>
      <c r="S888" s="183" t="n">
        <v>0</v>
      </c>
      <c r="T888" s="183" t="n">
        <v>0</v>
      </c>
      <c r="U888" s="182" t="n">
        <v>0</v>
      </c>
      <c r="V888" s="182" t="n">
        <v>0</v>
      </c>
      <c r="W888" s="182" t="n">
        <v>0</v>
      </c>
      <c r="X888" s="182" t="n">
        <v>0.03</v>
      </c>
      <c r="Y888" s="182" t="n">
        <v>0</v>
      </c>
      <c r="Z888" s="182" t="n">
        <v>0</v>
      </c>
      <c r="AA888" s="182" t="n">
        <v>0</v>
      </c>
      <c r="AB888" s="182" t="n">
        <v>0</v>
      </c>
      <c r="AC888" s="182" t="n">
        <v>0</v>
      </c>
      <c r="AD888" s="182" t="n">
        <v>0</v>
      </c>
      <c r="AE888" s="182" t="n">
        <v>0</v>
      </c>
      <c r="AF888" s="182" t="n">
        <v>0</v>
      </c>
      <c r="AG888" s="182" t="n">
        <v>0</v>
      </c>
      <c r="AH888" s="182" t="n">
        <v>0</v>
      </c>
      <c r="AI888" s="182" t="n">
        <v>0</v>
      </c>
      <c r="AJ888" s="182" t="n">
        <v>0</v>
      </c>
      <c r="AK888" s="182" t="n">
        <v>0</v>
      </c>
      <c r="AL888" s="182" t="n">
        <v>0</v>
      </c>
      <c r="AM888" s="182" t="n">
        <v>0.12</v>
      </c>
      <c r="AN888" s="182" t="n">
        <v>0</v>
      </c>
    </row>
    <row r="889">
      <c r="A889" s="155" t="n">
        <v>46086</v>
      </c>
      <c r="B889" s="156" t="inlineStr">
        <is>
          <t>DS</t>
        </is>
      </c>
      <c r="C889" s="156" t="inlineStr">
        <is>
          <t>DZ-036</t>
        </is>
      </c>
      <c r="D889" s="156" t="inlineStr">
        <is>
          <t>D 85 ESS-2</t>
        </is>
      </c>
      <c r="E889" s="156" t="inlineStr">
        <is>
          <t>Bulldozer</t>
        </is>
      </c>
      <c r="F889" s="156" t="inlineStr"/>
      <c r="G889" s="182" t="n">
        <v>0</v>
      </c>
      <c r="H889" s="182" t="n">
        <v>0</v>
      </c>
      <c r="I889" s="182" t="n">
        <v>0</v>
      </c>
      <c r="J889" s="182" t="n">
        <v>0</v>
      </c>
      <c r="K889" s="182" t="n">
        <v>12</v>
      </c>
      <c r="L889" s="182" t="n">
        <v>12</v>
      </c>
      <c r="M889" s="182" t="n">
        <v>0</v>
      </c>
      <c r="N889" s="182" t="n">
        <v>0</v>
      </c>
      <c r="O889" s="183" t="n">
        <v>0</v>
      </c>
      <c r="P889" s="183" t="n">
        <v>0</v>
      </c>
      <c r="Q889" s="184" t="n">
        <v>0</v>
      </c>
      <c r="R889" s="184" t="n">
        <v>0</v>
      </c>
      <c r="S889" s="183" t="n">
        <v>0</v>
      </c>
      <c r="T889" s="183" t="n">
        <v>0</v>
      </c>
      <c r="U889" s="182" t="n">
        <v>0</v>
      </c>
      <c r="V889" s="182" t="n">
        <v>0</v>
      </c>
      <c r="W889" s="182" t="n">
        <v>0</v>
      </c>
      <c r="X889" s="182" t="n">
        <v>1</v>
      </c>
      <c r="Y889" s="182" t="n">
        <v>0</v>
      </c>
      <c r="Z889" s="182" t="n">
        <v>0</v>
      </c>
      <c r="AA889" s="182" t="n">
        <v>0</v>
      </c>
      <c r="AB889" s="182" t="n">
        <v>0</v>
      </c>
      <c r="AC889" s="182" t="n">
        <v>0</v>
      </c>
      <c r="AD889" s="182" t="n">
        <v>0</v>
      </c>
      <c r="AE889" s="182" t="n">
        <v>0</v>
      </c>
      <c r="AF889" s="182" t="n">
        <v>0</v>
      </c>
      <c r="AG889" s="182" t="n">
        <v>0</v>
      </c>
      <c r="AH889" s="182" t="n">
        <v>0</v>
      </c>
      <c r="AI889" s="182" t="n">
        <v>0</v>
      </c>
      <c r="AJ889" s="182" t="n">
        <v>0</v>
      </c>
      <c r="AK889" s="182" t="n">
        <v>10.92</v>
      </c>
      <c r="AL889" s="182" t="n">
        <v>0</v>
      </c>
      <c r="AM889" s="182" t="n">
        <v>0.08</v>
      </c>
      <c r="AN889" s="182" t="n">
        <v>0</v>
      </c>
    </row>
    <row r="890">
      <c r="A890" s="155" t="n">
        <v>46086</v>
      </c>
      <c r="B890" s="156" t="inlineStr">
        <is>
          <t>DS</t>
        </is>
      </c>
      <c r="C890" s="156" t="inlineStr">
        <is>
          <t>DZ-035</t>
        </is>
      </c>
      <c r="D890" s="156" t="inlineStr">
        <is>
          <t>D 85 ESS-2</t>
        </is>
      </c>
      <c r="E890" s="156" t="inlineStr">
        <is>
          <t>Bulldozer</t>
        </is>
      </c>
      <c r="F890" s="156" t="inlineStr"/>
      <c r="G890" s="182" t="n">
        <v>0</v>
      </c>
      <c r="H890" s="182" t="n">
        <v>0</v>
      </c>
      <c r="I890" s="182" t="n">
        <v>12</v>
      </c>
      <c r="J890" s="182" t="n">
        <v>12</v>
      </c>
      <c r="K890" s="182" t="n">
        <v>0</v>
      </c>
      <c r="L890" s="182" t="n">
        <v>12</v>
      </c>
      <c r="M890" s="182" t="n">
        <v>0</v>
      </c>
      <c r="N890" s="182" t="n">
        <v>0</v>
      </c>
      <c r="O890" s="183" t="n">
        <v>0</v>
      </c>
      <c r="P890" s="183" t="n">
        <v>0</v>
      </c>
      <c r="Q890" s="184" t="n">
        <v>0</v>
      </c>
      <c r="R890" s="184" t="n">
        <v>0</v>
      </c>
      <c r="S890" s="183" t="n">
        <v>0</v>
      </c>
      <c r="T890" s="183" t="n">
        <v>0</v>
      </c>
      <c r="U890" s="182" t="n">
        <v>0</v>
      </c>
      <c r="V890" s="182" t="n">
        <v>0</v>
      </c>
      <c r="W890" s="182" t="n">
        <v>0</v>
      </c>
      <c r="X890" s="182" t="n">
        <v>0</v>
      </c>
      <c r="Y890" s="182" t="n">
        <v>0</v>
      </c>
      <c r="Z890" s="182" t="n">
        <v>0</v>
      </c>
      <c r="AA890" s="182" t="n">
        <v>0</v>
      </c>
      <c r="AB890" s="182" t="n">
        <v>0</v>
      </c>
      <c r="AC890" s="182" t="n">
        <v>0</v>
      </c>
      <c r="AD890" s="182" t="n">
        <v>0</v>
      </c>
      <c r="AE890" s="182" t="n">
        <v>0</v>
      </c>
      <c r="AF890" s="182" t="n">
        <v>0</v>
      </c>
      <c r="AG890" s="182" t="n">
        <v>0</v>
      </c>
      <c r="AH890" s="182" t="n">
        <v>0</v>
      </c>
      <c r="AI890" s="182" t="n">
        <v>0</v>
      </c>
      <c r="AJ890" s="182" t="n">
        <v>0</v>
      </c>
      <c r="AK890" s="182" t="n">
        <v>0</v>
      </c>
      <c r="AL890" s="182" t="n">
        <v>0</v>
      </c>
      <c r="AM890" s="182" t="n">
        <v>0</v>
      </c>
      <c r="AN890" s="182" t="n">
        <v>0</v>
      </c>
    </row>
    <row r="891">
      <c r="A891" s="155" t="n">
        <v>46086</v>
      </c>
      <c r="B891" s="156" t="inlineStr">
        <is>
          <t>DS</t>
        </is>
      </c>
      <c r="C891" s="156" t="inlineStr">
        <is>
          <t>CP-042</t>
        </is>
      </c>
      <c r="D891" s="156" t="inlineStr">
        <is>
          <t>SANY - Compactor</t>
        </is>
      </c>
      <c r="E891" s="156" t="inlineStr">
        <is>
          <t>Compactor</t>
        </is>
      </c>
      <c r="F891" s="156" t="inlineStr"/>
      <c r="G891" s="182" t="n">
        <v>0</v>
      </c>
      <c r="H891" s="182" t="n">
        <v>0</v>
      </c>
      <c r="I891" s="182" t="n">
        <v>1</v>
      </c>
      <c r="J891" s="182" t="n">
        <v>1</v>
      </c>
      <c r="K891" s="182" t="n">
        <v>11</v>
      </c>
      <c r="L891" s="182" t="n">
        <v>12</v>
      </c>
      <c r="M891" s="182" t="n">
        <v>0</v>
      </c>
      <c r="N891" s="182" t="n">
        <v>0</v>
      </c>
      <c r="O891" s="183" t="n">
        <v>0</v>
      </c>
      <c r="P891" s="183" t="n">
        <v>0</v>
      </c>
      <c r="Q891" s="184" t="n">
        <v>0</v>
      </c>
      <c r="R891" s="184" t="n">
        <v>0</v>
      </c>
      <c r="S891" s="183" t="n">
        <v>0</v>
      </c>
      <c r="T891" s="183" t="n">
        <v>0</v>
      </c>
      <c r="U891" s="182" t="n">
        <v>0</v>
      </c>
      <c r="V891" s="182" t="n">
        <v>0</v>
      </c>
      <c r="W891" s="182" t="n">
        <v>0</v>
      </c>
      <c r="X891" s="182" t="n">
        <v>1</v>
      </c>
      <c r="Y891" s="182" t="n">
        <v>0</v>
      </c>
      <c r="Z891" s="182" t="n">
        <v>0</v>
      </c>
      <c r="AA891" s="182" t="n">
        <v>0</v>
      </c>
      <c r="AB891" s="182" t="n">
        <v>0</v>
      </c>
      <c r="AC891" s="182" t="n">
        <v>0</v>
      </c>
      <c r="AD891" s="182" t="n">
        <v>0</v>
      </c>
      <c r="AE891" s="182" t="n">
        <v>0</v>
      </c>
      <c r="AF891" s="182" t="n">
        <v>0</v>
      </c>
      <c r="AG891" s="182" t="n">
        <v>0</v>
      </c>
      <c r="AH891" s="182" t="n">
        <v>0</v>
      </c>
      <c r="AI891" s="182" t="n">
        <v>0</v>
      </c>
      <c r="AJ891" s="182" t="n">
        <v>0</v>
      </c>
      <c r="AK891" s="182" t="n">
        <v>9.92</v>
      </c>
      <c r="AL891" s="182" t="n">
        <v>0</v>
      </c>
      <c r="AM891" s="182" t="n">
        <v>0.08</v>
      </c>
      <c r="AN891" s="182" t="n">
        <v>0</v>
      </c>
    </row>
    <row r="892">
      <c r="A892" s="155" t="n">
        <v>46086</v>
      </c>
      <c r="B892" s="156" t="inlineStr">
        <is>
          <t>DS</t>
        </is>
      </c>
      <c r="C892" s="156" t="inlineStr">
        <is>
          <t>CP-041</t>
        </is>
      </c>
      <c r="D892" s="156" t="inlineStr">
        <is>
          <t>SANY - Compactor</t>
        </is>
      </c>
      <c r="E892" s="156" t="inlineStr">
        <is>
          <t>Compactor</t>
        </is>
      </c>
      <c r="F892" s="156" t="inlineStr">
        <is>
          <t>Support Washing Plant</t>
        </is>
      </c>
      <c r="G892" s="182" t="n">
        <v>8.460000000000001</v>
      </c>
      <c r="H892" s="182" t="n">
        <v>0</v>
      </c>
      <c r="I892" s="182" t="n">
        <v>0</v>
      </c>
      <c r="J892" s="182" t="n">
        <v>0</v>
      </c>
      <c r="K892" s="182" t="n">
        <v>3.54</v>
      </c>
      <c r="L892" s="182" t="n">
        <v>12</v>
      </c>
      <c r="M892" s="182" t="n">
        <v>0</v>
      </c>
      <c r="N892" s="182" t="n">
        <v>0</v>
      </c>
      <c r="O892" s="183" t="n">
        <v>0</v>
      </c>
      <c r="P892" s="183" t="n">
        <v>0</v>
      </c>
      <c r="Q892" s="184" t="n">
        <v>0</v>
      </c>
      <c r="R892" s="184" t="n">
        <v>0</v>
      </c>
      <c r="S892" s="183" t="n">
        <v>0</v>
      </c>
      <c r="T892" s="183" t="n">
        <v>0</v>
      </c>
      <c r="U892" s="182" t="n">
        <v>0</v>
      </c>
      <c r="V892" s="182" t="n">
        <v>0</v>
      </c>
      <c r="W892" s="182" t="n">
        <v>0</v>
      </c>
      <c r="X892" s="182" t="n">
        <v>0.93</v>
      </c>
      <c r="Y892" s="182" t="n">
        <v>0</v>
      </c>
      <c r="Z892" s="182" t="n">
        <v>0</v>
      </c>
      <c r="AA892" s="182" t="n">
        <v>0</v>
      </c>
      <c r="AB892" s="182" t="n">
        <v>0</v>
      </c>
      <c r="AC892" s="182" t="n">
        <v>0</v>
      </c>
      <c r="AD892" s="182" t="n">
        <v>0</v>
      </c>
      <c r="AE892" s="182" t="n">
        <v>0</v>
      </c>
      <c r="AF892" s="182" t="n">
        <v>0</v>
      </c>
      <c r="AG892" s="182" t="n">
        <v>0</v>
      </c>
      <c r="AH892" s="182" t="n">
        <v>0</v>
      </c>
      <c r="AI892" s="182" t="n">
        <v>0</v>
      </c>
      <c r="AJ892" s="182" t="n">
        <v>0</v>
      </c>
      <c r="AK892" s="182" t="n">
        <v>2.53</v>
      </c>
      <c r="AL892" s="182" t="n">
        <v>0</v>
      </c>
      <c r="AM892" s="182" t="n">
        <v>0.07000000000000001</v>
      </c>
      <c r="AN892" s="182" t="n">
        <v>0</v>
      </c>
    </row>
    <row r="893">
      <c r="A893" s="155" t="n">
        <v>46086</v>
      </c>
      <c r="B893" s="156" t="inlineStr">
        <is>
          <t>DS</t>
        </is>
      </c>
      <c r="C893" s="156" t="inlineStr">
        <is>
          <t>HT-418</t>
        </is>
      </c>
      <c r="D893" s="156" t="inlineStr">
        <is>
          <t>SY430</t>
        </is>
      </c>
      <c r="E893" s="156" t="inlineStr">
        <is>
          <t>DT Hauling</t>
        </is>
      </c>
      <c r="F893" s="156" t="inlineStr"/>
      <c r="G893" s="182" t="n">
        <v>0</v>
      </c>
      <c r="H893" s="182" t="n">
        <v>0</v>
      </c>
      <c r="I893" s="182" t="n">
        <v>0</v>
      </c>
      <c r="J893" s="182" t="n">
        <v>0</v>
      </c>
      <c r="K893" s="182" t="n">
        <v>12</v>
      </c>
      <c r="L893" s="182" t="n">
        <v>12</v>
      </c>
      <c r="M893" s="182" t="n">
        <v>0</v>
      </c>
      <c r="N893" s="182" t="n">
        <v>0</v>
      </c>
      <c r="O893" s="183" t="n">
        <v>0</v>
      </c>
      <c r="P893" s="183" t="n">
        <v>0</v>
      </c>
      <c r="Q893" s="184" t="n">
        <v>0</v>
      </c>
      <c r="R893" s="184" t="n">
        <v>0</v>
      </c>
      <c r="S893" s="183" t="n">
        <v>0</v>
      </c>
      <c r="T893" s="183" t="n">
        <v>0</v>
      </c>
      <c r="U893" s="182" t="n">
        <v>0</v>
      </c>
      <c r="V893" s="182" t="n">
        <v>0</v>
      </c>
      <c r="W893" s="182" t="n">
        <v>0</v>
      </c>
      <c r="X893" s="182" t="n">
        <v>1</v>
      </c>
      <c r="Y893" s="182" t="n">
        <v>0</v>
      </c>
      <c r="Z893" s="182" t="n">
        <v>0</v>
      </c>
      <c r="AA893" s="182" t="n">
        <v>0</v>
      </c>
      <c r="AB893" s="182" t="n">
        <v>0</v>
      </c>
      <c r="AC893" s="182" t="n">
        <v>0</v>
      </c>
      <c r="AD893" s="182" t="n">
        <v>0</v>
      </c>
      <c r="AE893" s="182" t="n">
        <v>0</v>
      </c>
      <c r="AF893" s="182" t="n">
        <v>0</v>
      </c>
      <c r="AG893" s="182" t="n">
        <v>0</v>
      </c>
      <c r="AH893" s="182" t="n">
        <v>0</v>
      </c>
      <c r="AI893" s="182" t="n">
        <v>0</v>
      </c>
      <c r="AJ893" s="182" t="n">
        <v>0</v>
      </c>
      <c r="AK893" s="182" t="n">
        <v>10.92</v>
      </c>
      <c r="AL893" s="182" t="n">
        <v>0</v>
      </c>
      <c r="AM893" s="182" t="n">
        <v>0.08</v>
      </c>
      <c r="AN893" s="182" t="n">
        <v>0</v>
      </c>
    </row>
    <row r="894">
      <c r="A894" s="155" t="n">
        <v>46086</v>
      </c>
      <c r="B894" s="156" t="inlineStr">
        <is>
          <t>DS</t>
        </is>
      </c>
      <c r="C894" s="156" t="inlineStr">
        <is>
          <t>HT-404</t>
        </is>
      </c>
      <c r="D894" s="156" t="inlineStr">
        <is>
          <t>SY430</t>
        </is>
      </c>
      <c r="E894" s="156" t="inlineStr">
        <is>
          <t>DT Hauling</t>
        </is>
      </c>
      <c r="F894" s="156" t="inlineStr"/>
      <c r="G894" s="182" t="n">
        <v>0</v>
      </c>
      <c r="H894" s="182" t="n">
        <v>0</v>
      </c>
      <c r="I894" s="182" t="n">
        <v>12</v>
      </c>
      <c r="J894" s="182" t="n">
        <v>12</v>
      </c>
      <c r="K894" s="182" t="n">
        <v>0</v>
      </c>
      <c r="L894" s="182" t="n">
        <v>12</v>
      </c>
      <c r="M894" s="182" t="n">
        <v>0</v>
      </c>
      <c r="N894" s="182" t="n">
        <v>0</v>
      </c>
      <c r="O894" s="183" t="n">
        <v>0</v>
      </c>
      <c r="P894" s="183" t="n">
        <v>0</v>
      </c>
      <c r="Q894" s="184" t="n">
        <v>0</v>
      </c>
      <c r="R894" s="184" t="n">
        <v>0</v>
      </c>
      <c r="S894" s="183" t="n">
        <v>0</v>
      </c>
      <c r="T894" s="183" t="n">
        <v>0</v>
      </c>
      <c r="U894" s="182" t="n">
        <v>0</v>
      </c>
      <c r="V894" s="182" t="n">
        <v>0</v>
      </c>
      <c r="W894" s="182" t="n">
        <v>0</v>
      </c>
      <c r="X894" s="182" t="n">
        <v>0</v>
      </c>
      <c r="Y894" s="182" t="n">
        <v>0</v>
      </c>
      <c r="Z894" s="182" t="n">
        <v>0</v>
      </c>
      <c r="AA894" s="182" t="n">
        <v>0</v>
      </c>
      <c r="AB894" s="182" t="n">
        <v>0</v>
      </c>
      <c r="AC894" s="182" t="n">
        <v>0</v>
      </c>
      <c r="AD894" s="182" t="n">
        <v>0</v>
      </c>
      <c r="AE894" s="182" t="n">
        <v>0</v>
      </c>
      <c r="AF894" s="182" t="n">
        <v>0</v>
      </c>
      <c r="AG894" s="182" t="n">
        <v>0</v>
      </c>
      <c r="AH894" s="182" t="n">
        <v>0</v>
      </c>
      <c r="AI894" s="182" t="n">
        <v>0</v>
      </c>
      <c r="AJ894" s="182" t="n">
        <v>0</v>
      </c>
      <c r="AK894" s="182" t="n">
        <v>0</v>
      </c>
      <c r="AL894" s="182" t="n">
        <v>0</v>
      </c>
      <c r="AM894" s="182" t="n">
        <v>0</v>
      </c>
      <c r="AN894" s="182" t="n">
        <v>0</v>
      </c>
    </row>
    <row r="895">
      <c r="A895" s="155" t="n">
        <v>46086</v>
      </c>
      <c r="B895" s="156" t="inlineStr">
        <is>
          <t>DS</t>
        </is>
      </c>
      <c r="C895" s="156" t="inlineStr">
        <is>
          <t>HT-415</t>
        </is>
      </c>
      <c r="D895" s="156" t="inlineStr">
        <is>
          <t>SY430</t>
        </is>
      </c>
      <c r="E895" s="156" t="inlineStr">
        <is>
          <t>DT Hauling</t>
        </is>
      </c>
      <c r="F895" s="156" t="inlineStr"/>
      <c r="G895" s="182" t="n">
        <v>0</v>
      </c>
      <c r="H895" s="182" t="n">
        <v>0</v>
      </c>
      <c r="I895" s="182" t="n">
        <v>12</v>
      </c>
      <c r="J895" s="182" t="n">
        <v>12</v>
      </c>
      <c r="K895" s="182" t="n">
        <v>0</v>
      </c>
      <c r="L895" s="182" t="n">
        <v>12</v>
      </c>
      <c r="M895" s="182" t="n">
        <v>0</v>
      </c>
      <c r="N895" s="182" t="n">
        <v>0</v>
      </c>
      <c r="O895" s="183" t="n">
        <v>0</v>
      </c>
      <c r="P895" s="183" t="n">
        <v>0</v>
      </c>
      <c r="Q895" s="184" t="n">
        <v>0</v>
      </c>
      <c r="R895" s="184" t="n">
        <v>0</v>
      </c>
      <c r="S895" s="183" t="n">
        <v>0</v>
      </c>
      <c r="T895" s="183" t="n">
        <v>0</v>
      </c>
      <c r="U895" s="182" t="n">
        <v>0</v>
      </c>
      <c r="V895" s="182" t="n">
        <v>0</v>
      </c>
      <c r="W895" s="182" t="n">
        <v>0</v>
      </c>
      <c r="X895" s="182" t="n">
        <v>0</v>
      </c>
      <c r="Y895" s="182" t="n">
        <v>0</v>
      </c>
      <c r="Z895" s="182" t="n">
        <v>0</v>
      </c>
      <c r="AA895" s="182" t="n">
        <v>0</v>
      </c>
      <c r="AB895" s="182" t="n">
        <v>0</v>
      </c>
      <c r="AC895" s="182" t="n">
        <v>0</v>
      </c>
      <c r="AD895" s="182" t="n">
        <v>0</v>
      </c>
      <c r="AE895" s="182" t="n">
        <v>0</v>
      </c>
      <c r="AF895" s="182" t="n">
        <v>0</v>
      </c>
      <c r="AG895" s="182" t="n">
        <v>0</v>
      </c>
      <c r="AH895" s="182" t="n">
        <v>0</v>
      </c>
      <c r="AI895" s="182" t="n">
        <v>0</v>
      </c>
      <c r="AJ895" s="182" t="n">
        <v>0</v>
      </c>
      <c r="AK895" s="182" t="n">
        <v>0</v>
      </c>
      <c r="AL895" s="182" t="n">
        <v>0</v>
      </c>
      <c r="AM895" s="182" t="n">
        <v>0</v>
      </c>
      <c r="AN895" s="182" t="n">
        <v>0</v>
      </c>
    </row>
    <row r="896">
      <c r="A896" s="155" t="n">
        <v>46086</v>
      </c>
      <c r="B896" s="156" t="inlineStr">
        <is>
          <t>DS</t>
        </is>
      </c>
      <c r="C896" s="156" t="inlineStr">
        <is>
          <t>HT-406</t>
        </is>
      </c>
      <c r="D896" s="156" t="inlineStr">
        <is>
          <t>SY430</t>
        </is>
      </c>
      <c r="E896" s="156" t="inlineStr">
        <is>
          <t>DT Hauling</t>
        </is>
      </c>
      <c r="F896" s="156" t="inlineStr"/>
      <c r="G896" s="182" t="n">
        <v>0</v>
      </c>
      <c r="H896" s="182" t="n">
        <v>0</v>
      </c>
      <c r="I896" s="182" t="n">
        <v>12</v>
      </c>
      <c r="J896" s="182" t="n">
        <v>12</v>
      </c>
      <c r="K896" s="182" t="n">
        <v>0</v>
      </c>
      <c r="L896" s="182" t="n">
        <v>12</v>
      </c>
      <c r="M896" s="182" t="n">
        <v>0</v>
      </c>
      <c r="N896" s="182" t="n">
        <v>0</v>
      </c>
      <c r="O896" s="183" t="n">
        <v>0</v>
      </c>
      <c r="P896" s="183" t="n">
        <v>0</v>
      </c>
      <c r="Q896" s="184" t="n">
        <v>0</v>
      </c>
      <c r="R896" s="184" t="n">
        <v>0</v>
      </c>
      <c r="S896" s="183" t="n">
        <v>0</v>
      </c>
      <c r="T896" s="183" t="n">
        <v>0</v>
      </c>
      <c r="U896" s="182" t="n">
        <v>0</v>
      </c>
      <c r="V896" s="182" t="n">
        <v>0</v>
      </c>
      <c r="W896" s="182" t="n">
        <v>0</v>
      </c>
      <c r="X896" s="182" t="n">
        <v>0</v>
      </c>
      <c r="Y896" s="182" t="n">
        <v>0</v>
      </c>
      <c r="Z896" s="182" t="n">
        <v>0</v>
      </c>
      <c r="AA896" s="182" t="n">
        <v>0</v>
      </c>
      <c r="AB896" s="182" t="n">
        <v>0</v>
      </c>
      <c r="AC896" s="182" t="n">
        <v>0</v>
      </c>
      <c r="AD896" s="182" t="n">
        <v>0</v>
      </c>
      <c r="AE896" s="182" t="n">
        <v>0</v>
      </c>
      <c r="AF896" s="182" t="n">
        <v>0</v>
      </c>
      <c r="AG896" s="182" t="n">
        <v>0</v>
      </c>
      <c r="AH896" s="182" t="n">
        <v>0</v>
      </c>
      <c r="AI896" s="182" t="n">
        <v>0</v>
      </c>
      <c r="AJ896" s="182" t="n">
        <v>0</v>
      </c>
      <c r="AK896" s="182" t="n">
        <v>0</v>
      </c>
      <c r="AL896" s="182" t="n">
        <v>0</v>
      </c>
      <c r="AM896" s="182" t="n">
        <v>0</v>
      </c>
      <c r="AN896" s="182" t="n">
        <v>0</v>
      </c>
    </row>
    <row r="897">
      <c r="A897" s="155" t="n">
        <v>46086</v>
      </c>
      <c r="B897" s="156" t="inlineStr">
        <is>
          <t>DS</t>
        </is>
      </c>
      <c r="C897" s="156" t="inlineStr">
        <is>
          <t>HT-405</t>
        </is>
      </c>
      <c r="D897" s="156" t="inlineStr">
        <is>
          <t>SY430</t>
        </is>
      </c>
      <c r="E897" s="156" t="inlineStr">
        <is>
          <t>DT Hauling</t>
        </is>
      </c>
      <c r="F897" s="156" t="inlineStr"/>
      <c r="G897" s="182" t="n">
        <v>0</v>
      </c>
      <c r="H897" s="182" t="n">
        <v>0</v>
      </c>
      <c r="I897" s="182" t="n">
        <v>0</v>
      </c>
      <c r="J897" s="182" t="n">
        <v>0</v>
      </c>
      <c r="K897" s="182" t="n">
        <v>12</v>
      </c>
      <c r="L897" s="182" t="n">
        <v>12</v>
      </c>
      <c r="M897" s="182" t="n">
        <v>0</v>
      </c>
      <c r="N897" s="182" t="n">
        <v>0</v>
      </c>
      <c r="O897" s="183" t="n">
        <v>0</v>
      </c>
      <c r="P897" s="183" t="n">
        <v>0</v>
      </c>
      <c r="Q897" s="184" t="n">
        <v>0</v>
      </c>
      <c r="R897" s="184" t="n">
        <v>0</v>
      </c>
      <c r="S897" s="183" t="n">
        <v>0</v>
      </c>
      <c r="T897" s="183" t="n">
        <v>0</v>
      </c>
      <c r="U897" s="182" t="n">
        <v>0</v>
      </c>
      <c r="V897" s="182" t="n">
        <v>0</v>
      </c>
      <c r="W897" s="182" t="n">
        <v>0</v>
      </c>
      <c r="X897" s="182" t="n">
        <v>1</v>
      </c>
      <c r="Y897" s="182" t="n">
        <v>0</v>
      </c>
      <c r="Z897" s="182" t="n">
        <v>0</v>
      </c>
      <c r="AA897" s="182" t="n">
        <v>0</v>
      </c>
      <c r="AB897" s="182" t="n">
        <v>0</v>
      </c>
      <c r="AC897" s="182" t="n">
        <v>0</v>
      </c>
      <c r="AD897" s="182" t="n">
        <v>0</v>
      </c>
      <c r="AE897" s="182" t="n">
        <v>0</v>
      </c>
      <c r="AF897" s="182" t="n">
        <v>0</v>
      </c>
      <c r="AG897" s="182" t="n">
        <v>0</v>
      </c>
      <c r="AH897" s="182" t="n">
        <v>0</v>
      </c>
      <c r="AI897" s="182" t="n">
        <v>0</v>
      </c>
      <c r="AJ897" s="182" t="n">
        <v>0</v>
      </c>
      <c r="AK897" s="182" t="n">
        <v>10.92</v>
      </c>
      <c r="AL897" s="182" t="n">
        <v>0</v>
      </c>
      <c r="AM897" s="182" t="n">
        <v>0.08</v>
      </c>
      <c r="AN897" s="182" t="n">
        <v>0</v>
      </c>
    </row>
    <row r="898">
      <c r="A898" s="155" t="n">
        <v>46086</v>
      </c>
      <c r="B898" s="156" t="inlineStr">
        <is>
          <t>DS</t>
        </is>
      </c>
      <c r="C898" s="156" t="inlineStr">
        <is>
          <t>HT-417</t>
        </is>
      </c>
      <c r="D898" s="156" t="inlineStr">
        <is>
          <t>SY430</t>
        </is>
      </c>
      <c r="E898" s="156" t="inlineStr">
        <is>
          <t>DT Hauling</t>
        </is>
      </c>
      <c r="F898" s="156" t="inlineStr"/>
      <c r="G898" s="182" t="n">
        <v>0</v>
      </c>
      <c r="H898" s="182" t="n">
        <v>0</v>
      </c>
      <c r="I898" s="182" t="n">
        <v>0</v>
      </c>
      <c r="J898" s="182" t="n">
        <v>0</v>
      </c>
      <c r="K898" s="182" t="n">
        <v>12</v>
      </c>
      <c r="L898" s="182" t="n">
        <v>12</v>
      </c>
      <c r="M898" s="182" t="n">
        <v>0</v>
      </c>
      <c r="N898" s="182" t="n">
        <v>0</v>
      </c>
      <c r="O898" s="183" t="n">
        <v>0</v>
      </c>
      <c r="P898" s="183" t="n">
        <v>0</v>
      </c>
      <c r="Q898" s="184" t="n">
        <v>0</v>
      </c>
      <c r="R898" s="184" t="n">
        <v>0</v>
      </c>
      <c r="S898" s="183" t="n">
        <v>0</v>
      </c>
      <c r="T898" s="183" t="n">
        <v>0</v>
      </c>
      <c r="U898" s="182" t="n">
        <v>0</v>
      </c>
      <c r="V898" s="182" t="n">
        <v>0</v>
      </c>
      <c r="W898" s="182" t="n">
        <v>0</v>
      </c>
      <c r="X898" s="182" t="n">
        <v>1</v>
      </c>
      <c r="Y898" s="182" t="n">
        <v>0</v>
      </c>
      <c r="Z898" s="182" t="n">
        <v>0</v>
      </c>
      <c r="AA898" s="182" t="n">
        <v>0</v>
      </c>
      <c r="AB898" s="182" t="n">
        <v>0</v>
      </c>
      <c r="AC898" s="182" t="n">
        <v>0</v>
      </c>
      <c r="AD898" s="182" t="n">
        <v>0</v>
      </c>
      <c r="AE898" s="182" t="n">
        <v>0</v>
      </c>
      <c r="AF898" s="182" t="n">
        <v>0</v>
      </c>
      <c r="AG898" s="182" t="n">
        <v>0</v>
      </c>
      <c r="AH898" s="182" t="n">
        <v>0</v>
      </c>
      <c r="AI898" s="182" t="n">
        <v>0</v>
      </c>
      <c r="AJ898" s="182" t="n">
        <v>0</v>
      </c>
      <c r="AK898" s="182" t="n">
        <v>10.92</v>
      </c>
      <c r="AL898" s="182" t="n">
        <v>0</v>
      </c>
      <c r="AM898" s="182" t="n">
        <v>0.08</v>
      </c>
      <c r="AN898" s="182" t="n">
        <v>0</v>
      </c>
    </row>
    <row r="899">
      <c r="A899" s="155" t="n">
        <v>46086</v>
      </c>
      <c r="B899" s="156" t="inlineStr">
        <is>
          <t>DS</t>
        </is>
      </c>
      <c r="C899" s="156" t="inlineStr">
        <is>
          <t>HT-401</t>
        </is>
      </c>
      <c r="D899" s="156" t="inlineStr">
        <is>
          <t>SY430</t>
        </is>
      </c>
      <c r="E899" s="156" t="inlineStr">
        <is>
          <t>DT Hauling</t>
        </is>
      </c>
      <c r="F899" s="156" t="inlineStr"/>
      <c r="G899" s="182" t="n">
        <v>0</v>
      </c>
      <c r="H899" s="182" t="n">
        <v>0</v>
      </c>
      <c r="I899" s="182" t="n">
        <v>0</v>
      </c>
      <c r="J899" s="182" t="n">
        <v>0</v>
      </c>
      <c r="K899" s="182" t="n">
        <v>12</v>
      </c>
      <c r="L899" s="182" t="n">
        <v>12</v>
      </c>
      <c r="M899" s="182" t="n">
        <v>0</v>
      </c>
      <c r="N899" s="182" t="n">
        <v>0</v>
      </c>
      <c r="O899" s="183" t="n">
        <v>0</v>
      </c>
      <c r="P899" s="183" t="n">
        <v>0</v>
      </c>
      <c r="Q899" s="184" t="n">
        <v>0</v>
      </c>
      <c r="R899" s="184" t="n">
        <v>0</v>
      </c>
      <c r="S899" s="183" t="n">
        <v>0</v>
      </c>
      <c r="T899" s="183" t="n">
        <v>0</v>
      </c>
      <c r="U899" s="182" t="n">
        <v>0</v>
      </c>
      <c r="V899" s="182" t="n">
        <v>0</v>
      </c>
      <c r="W899" s="182" t="n">
        <v>0</v>
      </c>
      <c r="X899" s="182" t="n">
        <v>1</v>
      </c>
      <c r="Y899" s="182" t="n">
        <v>0</v>
      </c>
      <c r="Z899" s="182" t="n">
        <v>0</v>
      </c>
      <c r="AA899" s="182" t="n">
        <v>0</v>
      </c>
      <c r="AB899" s="182" t="n">
        <v>0</v>
      </c>
      <c r="AC899" s="182" t="n">
        <v>0</v>
      </c>
      <c r="AD899" s="182" t="n">
        <v>0</v>
      </c>
      <c r="AE899" s="182" t="n">
        <v>0</v>
      </c>
      <c r="AF899" s="182" t="n">
        <v>0</v>
      </c>
      <c r="AG899" s="182" t="n">
        <v>0</v>
      </c>
      <c r="AH899" s="182" t="n">
        <v>0</v>
      </c>
      <c r="AI899" s="182" t="n">
        <v>0</v>
      </c>
      <c r="AJ899" s="182" t="n">
        <v>0</v>
      </c>
      <c r="AK899" s="182" t="n">
        <v>10.92</v>
      </c>
      <c r="AL899" s="182" t="n">
        <v>0</v>
      </c>
      <c r="AM899" s="182" t="n">
        <v>0.08</v>
      </c>
      <c r="AN899" s="182" t="n">
        <v>0</v>
      </c>
    </row>
    <row r="900">
      <c r="A900" s="155" t="n">
        <v>46086</v>
      </c>
      <c r="B900" s="156" t="inlineStr">
        <is>
          <t>DS</t>
        </is>
      </c>
      <c r="C900" s="156" t="inlineStr">
        <is>
          <t>HT-410</t>
        </is>
      </c>
      <c r="D900" s="156" t="inlineStr">
        <is>
          <t>SY430</t>
        </is>
      </c>
      <c r="E900" s="156" t="inlineStr">
        <is>
          <t>DT Hauling</t>
        </is>
      </c>
      <c r="F900" s="156" t="inlineStr"/>
      <c r="G900" s="182" t="n">
        <v>0</v>
      </c>
      <c r="H900" s="182" t="n">
        <v>0</v>
      </c>
      <c r="I900" s="182" t="n">
        <v>0</v>
      </c>
      <c r="J900" s="182" t="n">
        <v>0</v>
      </c>
      <c r="K900" s="182" t="n">
        <v>12</v>
      </c>
      <c r="L900" s="182" t="n">
        <v>12</v>
      </c>
      <c r="M900" s="182" t="n">
        <v>0</v>
      </c>
      <c r="N900" s="182" t="n">
        <v>0</v>
      </c>
      <c r="O900" s="183" t="n">
        <v>0</v>
      </c>
      <c r="P900" s="183" t="n">
        <v>0</v>
      </c>
      <c r="Q900" s="184" t="n">
        <v>0</v>
      </c>
      <c r="R900" s="184" t="n">
        <v>0</v>
      </c>
      <c r="S900" s="183" t="n">
        <v>0</v>
      </c>
      <c r="T900" s="183" t="n">
        <v>0</v>
      </c>
      <c r="U900" s="182" t="n">
        <v>0</v>
      </c>
      <c r="V900" s="182" t="n">
        <v>0</v>
      </c>
      <c r="W900" s="182" t="n">
        <v>0</v>
      </c>
      <c r="X900" s="182" t="n">
        <v>1</v>
      </c>
      <c r="Y900" s="182" t="n">
        <v>0</v>
      </c>
      <c r="Z900" s="182" t="n">
        <v>0</v>
      </c>
      <c r="AA900" s="182" t="n">
        <v>0</v>
      </c>
      <c r="AB900" s="182" t="n">
        <v>0</v>
      </c>
      <c r="AC900" s="182" t="n">
        <v>0</v>
      </c>
      <c r="AD900" s="182" t="n">
        <v>0</v>
      </c>
      <c r="AE900" s="182" t="n">
        <v>0</v>
      </c>
      <c r="AF900" s="182" t="n">
        <v>0</v>
      </c>
      <c r="AG900" s="182" t="n">
        <v>0</v>
      </c>
      <c r="AH900" s="182" t="n">
        <v>0</v>
      </c>
      <c r="AI900" s="182" t="n">
        <v>0</v>
      </c>
      <c r="AJ900" s="182" t="n">
        <v>0</v>
      </c>
      <c r="AK900" s="182" t="n">
        <v>10.92</v>
      </c>
      <c r="AL900" s="182" t="n">
        <v>0</v>
      </c>
      <c r="AM900" s="182" t="n">
        <v>0.08</v>
      </c>
      <c r="AN900" s="182" t="n">
        <v>0</v>
      </c>
    </row>
    <row r="901">
      <c r="A901" s="155" t="n">
        <v>46086</v>
      </c>
      <c r="B901" s="156" t="inlineStr">
        <is>
          <t>DS</t>
        </is>
      </c>
      <c r="C901" s="156" t="inlineStr">
        <is>
          <t>HT-402</t>
        </is>
      </c>
      <c r="D901" s="156" t="inlineStr">
        <is>
          <t>SY430</t>
        </is>
      </c>
      <c r="E901" s="156" t="inlineStr">
        <is>
          <t>DT Hauling</t>
        </is>
      </c>
      <c r="F901" s="156" t="inlineStr"/>
      <c r="G901" s="182" t="n">
        <v>0</v>
      </c>
      <c r="H901" s="182" t="n">
        <v>0</v>
      </c>
      <c r="I901" s="182" t="n">
        <v>0</v>
      </c>
      <c r="J901" s="182" t="n">
        <v>0</v>
      </c>
      <c r="K901" s="182" t="n">
        <v>12</v>
      </c>
      <c r="L901" s="182" t="n">
        <v>12</v>
      </c>
      <c r="M901" s="182" t="n">
        <v>0</v>
      </c>
      <c r="N901" s="182" t="n">
        <v>0</v>
      </c>
      <c r="O901" s="183" t="n">
        <v>0</v>
      </c>
      <c r="P901" s="183" t="n">
        <v>0</v>
      </c>
      <c r="Q901" s="184" t="n">
        <v>0</v>
      </c>
      <c r="R901" s="184" t="n">
        <v>0</v>
      </c>
      <c r="S901" s="183" t="n">
        <v>0</v>
      </c>
      <c r="T901" s="183" t="n">
        <v>0</v>
      </c>
      <c r="U901" s="182" t="n">
        <v>0</v>
      </c>
      <c r="V901" s="182" t="n">
        <v>0</v>
      </c>
      <c r="W901" s="182" t="n">
        <v>0</v>
      </c>
      <c r="X901" s="182" t="n">
        <v>1</v>
      </c>
      <c r="Y901" s="182" t="n">
        <v>0</v>
      </c>
      <c r="Z901" s="182" t="n">
        <v>0</v>
      </c>
      <c r="AA901" s="182" t="n">
        <v>0</v>
      </c>
      <c r="AB901" s="182" t="n">
        <v>0</v>
      </c>
      <c r="AC901" s="182" t="n">
        <v>0</v>
      </c>
      <c r="AD901" s="182" t="n">
        <v>0</v>
      </c>
      <c r="AE901" s="182" t="n">
        <v>0</v>
      </c>
      <c r="AF901" s="182" t="n">
        <v>0</v>
      </c>
      <c r="AG901" s="182" t="n">
        <v>0</v>
      </c>
      <c r="AH901" s="182" t="n">
        <v>0</v>
      </c>
      <c r="AI901" s="182" t="n">
        <v>0</v>
      </c>
      <c r="AJ901" s="182" t="n">
        <v>0</v>
      </c>
      <c r="AK901" s="182" t="n">
        <v>10.92</v>
      </c>
      <c r="AL901" s="182" t="n">
        <v>0</v>
      </c>
      <c r="AM901" s="182" t="n">
        <v>0.08</v>
      </c>
      <c r="AN901" s="182" t="n">
        <v>0</v>
      </c>
    </row>
    <row r="902">
      <c r="A902" s="155" t="n">
        <v>46086</v>
      </c>
      <c r="B902" s="156" t="inlineStr">
        <is>
          <t>DS</t>
        </is>
      </c>
      <c r="C902" s="156" t="inlineStr">
        <is>
          <t>HT-419</t>
        </is>
      </c>
      <c r="D902" s="156" t="inlineStr">
        <is>
          <t>SY430</t>
        </is>
      </c>
      <c r="E902" s="156" t="inlineStr">
        <is>
          <t>DT Hauling</t>
        </is>
      </c>
      <c r="F902" s="156" t="inlineStr"/>
      <c r="G902" s="182" t="n">
        <v>0</v>
      </c>
      <c r="H902" s="182" t="n">
        <v>0</v>
      </c>
      <c r="I902" s="182" t="n">
        <v>0</v>
      </c>
      <c r="J902" s="182" t="n">
        <v>0</v>
      </c>
      <c r="K902" s="182" t="n">
        <v>12</v>
      </c>
      <c r="L902" s="182" t="n">
        <v>12</v>
      </c>
      <c r="M902" s="182" t="n">
        <v>0</v>
      </c>
      <c r="N902" s="182" t="n">
        <v>0</v>
      </c>
      <c r="O902" s="183" t="n">
        <v>0</v>
      </c>
      <c r="P902" s="183" t="n">
        <v>0</v>
      </c>
      <c r="Q902" s="184" t="n">
        <v>0</v>
      </c>
      <c r="R902" s="184" t="n">
        <v>0</v>
      </c>
      <c r="S902" s="183" t="n">
        <v>0</v>
      </c>
      <c r="T902" s="183" t="n">
        <v>0</v>
      </c>
      <c r="U902" s="182" t="n">
        <v>0</v>
      </c>
      <c r="V902" s="182" t="n">
        <v>0</v>
      </c>
      <c r="W902" s="182" t="n">
        <v>0</v>
      </c>
      <c r="X902" s="182" t="n">
        <v>1</v>
      </c>
      <c r="Y902" s="182" t="n">
        <v>0</v>
      </c>
      <c r="Z902" s="182" t="n">
        <v>0</v>
      </c>
      <c r="AA902" s="182" t="n">
        <v>0</v>
      </c>
      <c r="AB902" s="182" t="n">
        <v>0</v>
      </c>
      <c r="AC902" s="182" t="n">
        <v>0</v>
      </c>
      <c r="AD902" s="182" t="n">
        <v>0</v>
      </c>
      <c r="AE902" s="182" t="n">
        <v>0</v>
      </c>
      <c r="AF902" s="182" t="n">
        <v>0</v>
      </c>
      <c r="AG902" s="182" t="n">
        <v>0</v>
      </c>
      <c r="AH902" s="182" t="n">
        <v>0</v>
      </c>
      <c r="AI902" s="182" t="n">
        <v>0</v>
      </c>
      <c r="AJ902" s="182" t="n">
        <v>0</v>
      </c>
      <c r="AK902" s="182" t="n">
        <v>10.92</v>
      </c>
      <c r="AL902" s="182" t="n">
        <v>0</v>
      </c>
      <c r="AM902" s="182" t="n">
        <v>0.08</v>
      </c>
      <c r="AN902" s="182" t="n">
        <v>0</v>
      </c>
    </row>
    <row r="903">
      <c r="A903" s="155" t="n">
        <v>46086</v>
      </c>
      <c r="B903" s="156" t="inlineStr">
        <is>
          <t>DS</t>
        </is>
      </c>
      <c r="C903" s="156" t="inlineStr">
        <is>
          <t>HT-416</t>
        </is>
      </c>
      <c r="D903" s="156" t="inlineStr">
        <is>
          <t>SY430</t>
        </is>
      </c>
      <c r="E903" s="156" t="inlineStr">
        <is>
          <t>DT Hauling</t>
        </is>
      </c>
      <c r="F903" s="156" t="inlineStr"/>
      <c r="G903" s="182" t="n">
        <v>0</v>
      </c>
      <c r="H903" s="182" t="n">
        <v>0</v>
      </c>
      <c r="I903" s="182" t="n">
        <v>5</v>
      </c>
      <c r="J903" s="182" t="n">
        <v>5</v>
      </c>
      <c r="K903" s="182" t="n">
        <v>7</v>
      </c>
      <c r="L903" s="182" t="n">
        <v>12</v>
      </c>
      <c r="M903" s="182" t="n">
        <v>0</v>
      </c>
      <c r="N903" s="182" t="n">
        <v>0</v>
      </c>
      <c r="O903" s="183" t="n">
        <v>0</v>
      </c>
      <c r="P903" s="183" t="n">
        <v>0</v>
      </c>
      <c r="Q903" s="184" t="n">
        <v>0</v>
      </c>
      <c r="R903" s="184" t="n">
        <v>0</v>
      </c>
      <c r="S903" s="183" t="n">
        <v>0</v>
      </c>
      <c r="T903" s="183" t="n">
        <v>0</v>
      </c>
      <c r="U903" s="182" t="n">
        <v>0</v>
      </c>
      <c r="V903" s="182" t="n">
        <v>0</v>
      </c>
      <c r="W903" s="182" t="n">
        <v>0</v>
      </c>
      <c r="X903" s="182" t="n">
        <v>1</v>
      </c>
      <c r="Y903" s="182" t="n">
        <v>0</v>
      </c>
      <c r="Z903" s="182" t="n">
        <v>0</v>
      </c>
      <c r="AA903" s="182" t="n">
        <v>0</v>
      </c>
      <c r="AB903" s="182" t="n">
        <v>0</v>
      </c>
      <c r="AC903" s="182" t="n">
        <v>0</v>
      </c>
      <c r="AD903" s="182" t="n">
        <v>0</v>
      </c>
      <c r="AE903" s="182" t="n">
        <v>0</v>
      </c>
      <c r="AF903" s="182" t="n">
        <v>0</v>
      </c>
      <c r="AG903" s="182" t="n">
        <v>0</v>
      </c>
      <c r="AH903" s="182" t="n">
        <v>0</v>
      </c>
      <c r="AI903" s="182" t="n">
        <v>0</v>
      </c>
      <c r="AJ903" s="182" t="n">
        <v>0</v>
      </c>
      <c r="AK903" s="182" t="n">
        <v>5.92</v>
      </c>
      <c r="AL903" s="182" t="n">
        <v>0</v>
      </c>
      <c r="AM903" s="182" t="n">
        <v>0.08</v>
      </c>
      <c r="AN903" s="182" t="n">
        <v>0</v>
      </c>
    </row>
    <row r="904">
      <c r="A904" s="155" t="n">
        <v>46086</v>
      </c>
      <c r="B904" s="156" t="inlineStr">
        <is>
          <t>DS</t>
        </is>
      </c>
      <c r="C904" s="156" t="inlineStr">
        <is>
          <t>HT-420</t>
        </is>
      </c>
      <c r="D904" s="156" t="inlineStr">
        <is>
          <t>SY430</t>
        </is>
      </c>
      <c r="E904" s="156" t="inlineStr">
        <is>
          <t>DT Hauling</t>
        </is>
      </c>
      <c r="F904" s="156" t="inlineStr"/>
      <c r="G904" s="182" t="n">
        <v>0</v>
      </c>
      <c r="H904" s="182" t="n">
        <v>0</v>
      </c>
      <c r="I904" s="182" t="n">
        <v>0</v>
      </c>
      <c r="J904" s="182" t="n">
        <v>0</v>
      </c>
      <c r="K904" s="182" t="n">
        <v>12</v>
      </c>
      <c r="L904" s="182" t="n">
        <v>12</v>
      </c>
      <c r="M904" s="182" t="n">
        <v>0</v>
      </c>
      <c r="N904" s="182" t="n">
        <v>0</v>
      </c>
      <c r="O904" s="183" t="n">
        <v>0</v>
      </c>
      <c r="P904" s="183" t="n">
        <v>0</v>
      </c>
      <c r="Q904" s="184" t="n">
        <v>0</v>
      </c>
      <c r="R904" s="184" t="n">
        <v>0</v>
      </c>
      <c r="S904" s="183" t="n">
        <v>0</v>
      </c>
      <c r="T904" s="183" t="n">
        <v>0</v>
      </c>
      <c r="U904" s="182" t="n">
        <v>0</v>
      </c>
      <c r="V904" s="182" t="n">
        <v>0</v>
      </c>
      <c r="W904" s="182" t="n">
        <v>0</v>
      </c>
      <c r="X904" s="182" t="n">
        <v>1</v>
      </c>
      <c r="Y904" s="182" t="n">
        <v>0</v>
      </c>
      <c r="Z904" s="182" t="n">
        <v>0</v>
      </c>
      <c r="AA904" s="182" t="n">
        <v>0</v>
      </c>
      <c r="AB904" s="182" t="n">
        <v>0</v>
      </c>
      <c r="AC904" s="182" t="n">
        <v>0</v>
      </c>
      <c r="AD904" s="182" t="n">
        <v>0</v>
      </c>
      <c r="AE904" s="182" t="n">
        <v>0</v>
      </c>
      <c r="AF904" s="182" t="n">
        <v>0</v>
      </c>
      <c r="AG904" s="182" t="n">
        <v>0</v>
      </c>
      <c r="AH904" s="182" t="n">
        <v>0</v>
      </c>
      <c r="AI904" s="182" t="n">
        <v>0</v>
      </c>
      <c r="AJ904" s="182" t="n">
        <v>0</v>
      </c>
      <c r="AK904" s="182" t="n">
        <v>10.92</v>
      </c>
      <c r="AL904" s="182" t="n">
        <v>0</v>
      </c>
      <c r="AM904" s="182" t="n">
        <v>0.08</v>
      </c>
      <c r="AN904" s="182" t="n">
        <v>0</v>
      </c>
    </row>
    <row r="905">
      <c r="A905" s="155" t="n">
        <v>46086</v>
      </c>
      <c r="B905" s="156" t="inlineStr">
        <is>
          <t>DS</t>
        </is>
      </c>
      <c r="C905" s="156" t="inlineStr">
        <is>
          <t>HT-403</t>
        </is>
      </c>
      <c r="D905" s="156" t="inlineStr">
        <is>
          <t>SY430</t>
        </is>
      </c>
      <c r="E905" s="156" t="inlineStr">
        <is>
          <t>DT Hauling</t>
        </is>
      </c>
      <c r="F905" s="156" t="inlineStr"/>
      <c r="G905" s="182" t="n">
        <v>0</v>
      </c>
      <c r="H905" s="182" t="n">
        <v>0</v>
      </c>
      <c r="I905" s="182" t="n">
        <v>0</v>
      </c>
      <c r="J905" s="182" t="n">
        <v>0</v>
      </c>
      <c r="K905" s="182" t="n">
        <v>12</v>
      </c>
      <c r="L905" s="182" t="n">
        <v>12</v>
      </c>
      <c r="M905" s="182" t="n">
        <v>0</v>
      </c>
      <c r="N905" s="182" t="n">
        <v>0</v>
      </c>
      <c r="O905" s="183" t="n">
        <v>0</v>
      </c>
      <c r="P905" s="183" t="n">
        <v>0</v>
      </c>
      <c r="Q905" s="184" t="n">
        <v>0</v>
      </c>
      <c r="R905" s="184" t="n">
        <v>0</v>
      </c>
      <c r="S905" s="183" t="n">
        <v>0</v>
      </c>
      <c r="T905" s="183" t="n">
        <v>0</v>
      </c>
      <c r="U905" s="182" t="n">
        <v>0</v>
      </c>
      <c r="V905" s="182" t="n">
        <v>0</v>
      </c>
      <c r="W905" s="182" t="n">
        <v>0</v>
      </c>
      <c r="X905" s="182" t="n">
        <v>1</v>
      </c>
      <c r="Y905" s="182" t="n">
        <v>0</v>
      </c>
      <c r="Z905" s="182" t="n">
        <v>0</v>
      </c>
      <c r="AA905" s="182" t="n">
        <v>0</v>
      </c>
      <c r="AB905" s="182" t="n">
        <v>0</v>
      </c>
      <c r="AC905" s="182" t="n">
        <v>0</v>
      </c>
      <c r="AD905" s="182" t="n">
        <v>0</v>
      </c>
      <c r="AE905" s="182" t="n">
        <v>0</v>
      </c>
      <c r="AF905" s="182" t="n">
        <v>0</v>
      </c>
      <c r="AG905" s="182" t="n">
        <v>0</v>
      </c>
      <c r="AH905" s="182" t="n">
        <v>0</v>
      </c>
      <c r="AI905" s="182" t="n">
        <v>0</v>
      </c>
      <c r="AJ905" s="182" t="n">
        <v>0</v>
      </c>
      <c r="AK905" s="182" t="n">
        <v>10.92</v>
      </c>
      <c r="AL905" s="182" t="n">
        <v>0</v>
      </c>
      <c r="AM905" s="182" t="n">
        <v>0.08</v>
      </c>
      <c r="AN905" s="182" t="n">
        <v>0</v>
      </c>
    </row>
    <row r="906">
      <c r="A906" s="155" t="n">
        <v>46086</v>
      </c>
      <c r="B906" s="156" t="inlineStr">
        <is>
          <t>DS</t>
        </is>
      </c>
      <c r="C906" s="156" t="inlineStr">
        <is>
          <t>HT-408</t>
        </is>
      </c>
      <c r="D906" s="156" t="inlineStr">
        <is>
          <t>SY430</t>
        </is>
      </c>
      <c r="E906" s="156" t="inlineStr">
        <is>
          <t>DT Hauling</t>
        </is>
      </c>
      <c r="F906" s="156" t="inlineStr"/>
      <c r="G906" s="182" t="n">
        <v>0</v>
      </c>
      <c r="H906" s="182" t="n">
        <v>0</v>
      </c>
      <c r="I906" s="182" t="n">
        <v>0</v>
      </c>
      <c r="J906" s="182" t="n">
        <v>0</v>
      </c>
      <c r="K906" s="182" t="n">
        <v>12</v>
      </c>
      <c r="L906" s="182" t="n">
        <v>12</v>
      </c>
      <c r="M906" s="182" t="n">
        <v>0</v>
      </c>
      <c r="N906" s="182" t="n">
        <v>0</v>
      </c>
      <c r="O906" s="183" t="n">
        <v>0</v>
      </c>
      <c r="P906" s="183" t="n">
        <v>0</v>
      </c>
      <c r="Q906" s="184" t="n">
        <v>0</v>
      </c>
      <c r="R906" s="184" t="n">
        <v>0</v>
      </c>
      <c r="S906" s="183" t="n">
        <v>0</v>
      </c>
      <c r="T906" s="183" t="n">
        <v>0</v>
      </c>
      <c r="U906" s="182" t="n">
        <v>0</v>
      </c>
      <c r="V906" s="182" t="n">
        <v>0</v>
      </c>
      <c r="W906" s="182" t="n">
        <v>0</v>
      </c>
      <c r="X906" s="182" t="n">
        <v>1</v>
      </c>
      <c r="Y906" s="182" t="n">
        <v>0</v>
      </c>
      <c r="Z906" s="182" t="n">
        <v>0</v>
      </c>
      <c r="AA906" s="182" t="n">
        <v>0</v>
      </c>
      <c r="AB906" s="182" t="n">
        <v>0</v>
      </c>
      <c r="AC906" s="182" t="n">
        <v>0</v>
      </c>
      <c r="AD906" s="182" t="n">
        <v>0</v>
      </c>
      <c r="AE906" s="182" t="n">
        <v>0</v>
      </c>
      <c r="AF906" s="182" t="n">
        <v>0</v>
      </c>
      <c r="AG906" s="182" t="n">
        <v>0</v>
      </c>
      <c r="AH906" s="182" t="n">
        <v>0</v>
      </c>
      <c r="AI906" s="182" t="n">
        <v>0</v>
      </c>
      <c r="AJ906" s="182" t="n">
        <v>0</v>
      </c>
      <c r="AK906" s="182" t="n">
        <v>10.92</v>
      </c>
      <c r="AL906" s="182" t="n">
        <v>0</v>
      </c>
      <c r="AM906" s="182" t="n">
        <v>0.08</v>
      </c>
      <c r="AN906" s="182" t="n">
        <v>0</v>
      </c>
    </row>
    <row r="907">
      <c r="A907" s="155" t="n">
        <v>46086</v>
      </c>
      <c r="B907" s="156" t="inlineStr">
        <is>
          <t>DS</t>
        </is>
      </c>
      <c r="C907" s="156" t="inlineStr">
        <is>
          <t>HT-412</t>
        </is>
      </c>
      <c r="D907" s="156" t="inlineStr">
        <is>
          <t>SY430</t>
        </is>
      </c>
      <c r="E907" s="156" t="inlineStr">
        <is>
          <t>DT Hauling</t>
        </is>
      </c>
      <c r="F907" s="156" t="inlineStr"/>
      <c r="G907" s="182" t="n">
        <v>0</v>
      </c>
      <c r="H907" s="182" t="n">
        <v>0</v>
      </c>
      <c r="I907" s="182" t="n">
        <v>0</v>
      </c>
      <c r="J907" s="182" t="n">
        <v>0</v>
      </c>
      <c r="K907" s="182" t="n">
        <v>12</v>
      </c>
      <c r="L907" s="182" t="n">
        <v>12</v>
      </c>
      <c r="M907" s="182" t="n">
        <v>0</v>
      </c>
      <c r="N907" s="182" t="n">
        <v>0</v>
      </c>
      <c r="O907" s="183" t="n">
        <v>0</v>
      </c>
      <c r="P907" s="183" t="n">
        <v>0</v>
      </c>
      <c r="Q907" s="184" t="n">
        <v>0</v>
      </c>
      <c r="R907" s="184" t="n">
        <v>0</v>
      </c>
      <c r="S907" s="183" t="n">
        <v>0</v>
      </c>
      <c r="T907" s="183" t="n">
        <v>0</v>
      </c>
      <c r="U907" s="182" t="n">
        <v>0</v>
      </c>
      <c r="V907" s="182" t="n">
        <v>0</v>
      </c>
      <c r="W907" s="182" t="n">
        <v>0</v>
      </c>
      <c r="X907" s="182" t="n">
        <v>1</v>
      </c>
      <c r="Y907" s="182" t="n">
        <v>0</v>
      </c>
      <c r="Z907" s="182" t="n">
        <v>0</v>
      </c>
      <c r="AA907" s="182" t="n">
        <v>0</v>
      </c>
      <c r="AB907" s="182" t="n">
        <v>0</v>
      </c>
      <c r="AC907" s="182" t="n">
        <v>0</v>
      </c>
      <c r="AD907" s="182" t="n">
        <v>0</v>
      </c>
      <c r="AE907" s="182" t="n">
        <v>0</v>
      </c>
      <c r="AF907" s="182" t="n">
        <v>0</v>
      </c>
      <c r="AG907" s="182" t="n">
        <v>0</v>
      </c>
      <c r="AH907" s="182" t="n">
        <v>0</v>
      </c>
      <c r="AI907" s="182" t="n">
        <v>0</v>
      </c>
      <c r="AJ907" s="182" t="n">
        <v>0</v>
      </c>
      <c r="AK907" s="182" t="n">
        <v>10.92</v>
      </c>
      <c r="AL907" s="182" t="n">
        <v>0</v>
      </c>
      <c r="AM907" s="182" t="n">
        <v>0.08</v>
      </c>
      <c r="AN907" s="182" t="n">
        <v>0</v>
      </c>
    </row>
    <row r="908">
      <c r="A908" s="155" t="n">
        <v>46086</v>
      </c>
      <c r="B908" s="156" t="inlineStr">
        <is>
          <t>DS</t>
        </is>
      </c>
      <c r="C908" s="156" t="inlineStr">
        <is>
          <t>HT-413</t>
        </is>
      </c>
      <c r="D908" s="156" t="inlineStr">
        <is>
          <t>SY430</t>
        </is>
      </c>
      <c r="E908" s="156" t="inlineStr">
        <is>
          <t>DT Hauling</t>
        </is>
      </c>
      <c r="F908" s="156" t="inlineStr"/>
      <c r="G908" s="182" t="n">
        <v>0</v>
      </c>
      <c r="H908" s="182" t="n">
        <v>0</v>
      </c>
      <c r="I908" s="182" t="n">
        <v>12</v>
      </c>
      <c r="J908" s="182" t="n">
        <v>12</v>
      </c>
      <c r="K908" s="182" t="n">
        <v>0</v>
      </c>
      <c r="L908" s="182" t="n">
        <v>12</v>
      </c>
      <c r="M908" s="182" t="n">
        <v>0</v>
      </c>
      <c r="N908" s="182" t="n">
        <v>0</v>
      </c>
      <c r="O908" s="183" t="n">
        <v>0</v>
      </c>
      <c r="P908" s="183" t="n">
        <v>0</v>
      </c>
      <c r="Q908" s="184" t="n">
        <v>0</v>
      </c>
      <c r="R908" s="184" t="n">
        <v>0</v>
      </c>
      <c r="S908" s="183" t="n">
        <v>0</v>
      </c>
      <c r="T908" s="183" t="n">
        <v>0</v>
      </c>
      <c r="U908" s="182" t="n">
        <v>0</v>
      </c>
      <c r="V908" s="182" t="n">
        <v>0</v>
      </c>
      <c r="W908" s="182" t="n">
        <v>0</v>
      </c>
      <c r="X908" s="182" t="n">
        <v>0</v>
      </c>
      <c r="Y908" s="182" t="n">
        <v>0</v>
      </c>
      <c r="Z908" s="182" t="n">
        <v>0</v>
      </c>
      <c r="AA908" s="182" t="n">
        <v>0</v>
      </c>
      <c r="AB908" s="182" t="n">
        <v>0</v>
      </c>
      <c r="AC908" s="182" t="n">
        <v>0</v>
      </c>
      <c r="AD908" s="182" t="n">
        <v>0</v>
      </c>
      <c r="AE908" s="182" t="n">
        <v>0</v>
      </c>
      <c r="AF908" s="182" t="n">
        <v>0</v>
      </c>
      <c r="AG908" s="182" t="n">
        <v>0</v>
      </c>
      <c r="AH908" s="182" t="n">
        <v>0</v>
      </c>
      <c r="AI908" s="182" t="n">
        <v>0</v>
      </c>
      <c r="AJ908" s="182" t="n">
        <v>0</v>
      </c>
      <c r="AK908" s="182" t="n">
        <v>0</v>
      </c>
      <c r="AL908" s="182" t="n">
        <v>0</v>
      </c>
      <c r="AM908" s="182" t="n">
        <v>0</v>
      </c>
      <c r="AN908" s="182" t="n">
        <v>0</v>
      </c>
    </row>
    <row r="909">
      <c r="A909" s="155" t="n">
        <v>46086</v>
      </c>
      <c r="B909" s="156" t="inlineStr">
        <is>
          <t>DS</t>
        </is>
      </c>
      <c r="C909" s="156" t="inlineStr">
        <is>
          <t>HT-407</t>
        </is>
      </c>
      <c r="D909" s="156" t="inlineStr">
        <is>
          <t>SY430</t>
        </is>
      </c>
      <c r="E909" s="156" t="inlineStr">
        <is>
          <t>DT Hauling</t>
        </is>
      </c>
      <c r="F909" s="156" t="inlineStr"/>
      <c r="G909" s="182" t="n">
        <v>0</v>
      </c>
      <c r="H909" s="182" t="n">
        <v>0</v>
      </c>
      <c r="I909" s="182" t="n">
        <v>0</v>
      </c>
      <c r="J909" s="182" t="n">
        <v>0</v>
      </c>
      <c r="K909" s="182" t="n">
        <v>12</v>
      </c>
      <c r="L909" s="182" t="n">
        <v>12</v>
      </c>
      <c r="M909" s="182" t="n">
        <v>0</v>
      </c>
      <c r="N909" s="182" t="n">
        <v>0</v>
      </c>
      <c r="O909" s="183" t="n">
        <v>0</v>
      </c>
      <c r="P909" s="183" t="n">
        <v>0</v>
      </c>
      <c r="Q909" s="184" t="n">
        <v>0</v>
      </c>
      <c r="R909" s="184" t="n">
        <v>0</v>
      </c>
      <c r="S909" s="183" t="n">
        <v>0</v>
      </c>
      <c r="T909" s="183" t="n">
        <v>0</v>
      </c>
      <c r="U909" s="182" t="n">
        <v>0</v>
      </c>
      <c r="V909" s="182" t="n">
        <v>0</v>
      </c>
      <c r="W909" s="182" t="n">
        <v>0</v>
      </c>
      <c r="X909" s="182" t="n">
        <v>1</v>
      </c>
      <c r="Y909" s="182" t="n">
        <v>0</v>
      </c>
      <c r="Z909" s="182" t="n">
        <v>0</v>
      </c>
      <c r="AA909" s="182" t="n">
        <v>0</v>
      </c>
      <c r="AB909" s="182" t="n">
        <v>0</v>
      </c>
      <c r="AC909" s="182" t="n">
        <v>0</v>
      </c>
      <c r="AD909" s="182" t="n">
        <v>0</v>
      </c>
      <c r="AE909" s="182" t="n">
        <v>0</v>
      </c>
      <c r="AF909" s="182" t="n">
        <v>0</v>
      </c>
      <c r="AG909" s="182" t="n">
        <v>0</v>
      </c>
      <c r="AH909" s="182" t="n">
        <v>0</v>
      </c>
      <c r="AI909" s="182" t="n">
        <v>0</v>
      </c>
      <c r="AJ909" s="182" t="n">
        <v>0</v>
      </c>
      <c r="AK909" s="182" t="n">
        <v>10.92</v>
      </c>
      <c r="AL909" s="182" t="n">
        <v>0</v>
      </c>
      <c r="AM909" s="182" t="n">
        <v>0.08</v>
      </c>
      <c r="AN909" s="182" t="n">
        <v>0</v>
      </c>
    </row>
    <row r="910">
      <c r="A910" s="155" t="n">
        <v>46086</v>
      </c>
      <c r="B910" s="156" t="inlineStr">
        <is>
          <t>DS</t>
        </is>
      </c>
      <c r="C910" s="156" t="inlineStr">
        <is>
          <t>HT-414</t>
        </is>
      </c>
      <c r="D910" s="156" t="inlineStr">
        <is>
          <t>SY430</t>
        </is>
      </c>
      <c r="E910" s="156" t="inlineStr">
        <is>
          <t>DT Hauling</t>
        </is>
      </c>
      <c r="F910" s="156" t="inlineStr"/>
      <c r="G910" s="182" t="n">
        <v>0</v>
      </c>
      <c r="H910" s="182" t="n">
        <v>0</v>
      </c>
      <c r="I910" s="182" t="n">
        <v>0</v>
      </c>
      <c r="J910" s="182" t="n">
        <v>0</v>
      </c>
      <c r="K910" s="182" t="n">
        <v>12</v>
      </c>
      <c r="L910" s="182" t="n">
        <v>12</v>
      </c>
      <c r="M910" s="182" t="n">
        <v>0</v>
      </c>
      <c r="N910" s="182" t="n">
        <v>0</v>
      </c>
      <c r="O910" s="183" t="n">
        <v>0</v>
      </c>
      <c r="P910" s="183" t="n">
        <v>0</v>
      </c>
      <c r="Q910" s="184" t="n">
        <v>0</v>
      </c>
      <c r="R910" s="184" t="n">
        <v>0</v>
      </c>
      <c r="S910" s="183" t="n">
        <v>0</v>
      </c>
      <c r="T910" s="183" t="n">
        <v>0</v>
      </c>
      <c r="U910" s="182" t="n">
        <v>0</v>
      </c>
      <c r="V910" s="182" t="n">
        <v>0</v>
      </c>
      <c r="W910" s="182" t="n">
        <v>0</v>
      </c>
      <c r="X910" s="182" t="n">
        <v>1</v>
      </c>
      <c r="Y910" s="182" t="n">
        <v>0</v>
      </c>
      <c r="Z910" s="182" t="n">
        <v>0</v>
      </c>
      <c r="AA910" s="182" t="n">
        <v>0</v>
      </c>
      <c r="AB910" s="182" t="n">
        <v>0</v>
      </c>
      <c r="AC910" s="182" t="n">
        <v>0</v>
      </c>
      <c r="AD910" s="182" t="n">
        <v>0</v>
      </c>
      <c r="AE910" s="182" t="n">
        <v>0</v>
      </c>
      <c r="AF910" s="182" t="n">
        <v>0</v>
      </c>
      <c r="AG910" s="182" t="n">
        <v>0</v>
      </c>
      <c r="AH910" s="182" t="n">
        <v>0</v>
      </c>
      <c r="AI910" s="182" t="n">
        <v>0</v>
      </c>
      <c r="AJ910" s="182" t="n">
        <v>0</v>
      </c>
      <c r="AK910" s="182" t="n">
        <v>10.92</v>
      </c>
      <c r="AL910" s="182" t="n">
        <v>0</v>
      </c>
      <c r="AM910" s="182" t="n">
        <v>0.08</v>
      </c>
      <c r="AN910" s="182" t="n">
        <v>0</v>
      </c>
    </row>
    <row r="911">
      <c r="A911" s="155" t="n">
        <v>46086</v>
      </c>
      <c r="B911" s="156" t="inlineStr">
        <is>
          <t>DS</t>
        </is>
      </c>
      <c r="C911" s="156" t="inlineStr">
        <is>
          <t>HT-411</t>
        </is>
      </c>
      <c r="D911" s="156" t="inlineStr">
        <is>
          <t>SY430</t>
        </is>
      </c>
      <c r="E911" s="156" t="inlineStr">
        <is>
          <t>DT Hauling</t>
        </is>
      </c>
      <c r="F911" s="156" t="inlineStr"/>
      <c r="G911" s="182" t="n">
        <v>0</v>
      </c>
      <c r="H911" s="182" t="n">
        <v>0</v>
      </c>
      <c r="I911" s="182" t="n">
        <v>0</v>
      </c>
      <c r="J911" s="182" t="n">
        <v>0</v>
      </c>
      <c r="K911" s="182" t="n">
        <v>12</v>
      </c>
      <c r="L911" s="182" t="n">
        <v>12</v>
      </c>
      <c r="M911" s="182" t="n">
        <v>0</v>
      </c>
      <c r="N911" s="182" t="n">
        <v>0</v>
      </c>
      <c r="O911" s="183" t="n">
        <v>0</v>
      </c>
      <c r="P911" s="183" t="n">
        <v>0</v>
      </c>
      <c r="Q911" s="184" t="n">
        <v>0</v>
      </c>
      <c r="R911" s="184" t="n">
        <v>0</v>
      </c>
      <c r="S911" s="183" t="n">
        <v>0</v>
      </c>
      <c r="T911" s="183" t="n">
        <v>0</v>
      </c>
      <c r="U911" s="182" t="n">
        <v>0</v>
      </c>
      <c r="V911" s="182" t="n">
        <v>0</v>
      </c>
      <c r="W911" s="182" t="n">
        <v>0</v>
      </c>
      <c r="X911" s="182" t="n">
        <v>1</v>
      </c>
      <c r="Y911" s="182" t="n">
        <v>0</v>
      </c>
      <c r="Z911" s="182" t="n">
        <v>0</v>
      </c>
      <c r="AA911" s="182" t="n">
        <v>0</v>
      </c>
      <c r="AB911" s="182" t="n">
        <v>0</v>
      </c>
      <c r="AC911" s="182" t="n">
        <v>0</v>
      </c>
      <c r="AD911" s="182" t="n">
        <v>0</v>
      </c>
      <c r="AE911" s="182" t="n">
        <v>0</v>
      </c>
      <c r="AF911" s="182" t="n">
        <v>0</v>
      </c>
      <c r="AG911" s="182" t="n">
        <v>0</v>
      </c>
      <c r="AH911" s="182" t="n">
        <v>0</v>
      </c>
      <c r="AI911" s="182" t="n">
        <v>0</v>
      </c>
      <c r="AJ911" s="182" t="n">
        <v>0</v>
      </c>
      <c r="AK911" s="182" t="n">
        <v>10.92</v>
      </c>
      <c r="AL911" s="182" t="n">
        <v>0</v>
      </c>
      <c r="AM911" s="182" t="n">
        <v>0.08</v>
      </c>
      <c r="AN911" s="182" t="n">
        <v>0</v>
      </c>
    </row>
    <row r="912">
      <c r="A912" s="155" t="n">
        <v>46086</v>
      </c>
      <c r="B912" s="156" t="inlineStr">
        <is>
          <t>DS</t>
        </is>
      </c>
      <c r="C912" s="156" t="inlineStr">
        <is>
          <t>HT-409</t>
        </is>
      </c>
      <c r="D912" s="156" t="inlineStr">
        <is>
          <t>SY430</t>
        </is>
      </c>
      <c r="E912" s="156" t="inlineStr">
        <is>
          <t>DT Hauling</t>
        </is>
      </c>
      <c r="F912" s="156" t="inlineStr"/>
      <c r="G912" s="182" t="n">
        <v>0</v>
      </c>
      <c r="H912" s="182" t="n">
        <v>0</v>
      </c>
      <c r="I912" s="182" t="n">
        <v>0</v>
      </c>
      <c r="J912" s="182" t="n">
        <v>0</v>
      </c>
      <c r="K912" s="182" t="n">
        <v>12</v>
      </c>
      <c r="L912" s="182" t="n">
        <v>12</v>
      </c>
      <c r="M912" s="182" t="n">
        <v>0</v>
      </c>
      <c r="N912" s="182" t="n">
        <v>0</v>
      </c>
      <c r="O912" s="183" t="n">
        <v>0</v>
      </c>
      <c r="P912" s="183" t="n">
        <v>0</v>
      </c>
      <c r="Q912" s="184" t="n">
        <v>0</v>
      </c>
      <c r="R912" s="184" t="n">
        <v>0</v>
      </c>
      <c r="S912" s="183" t="n">
        <v>0</v>
      </c>
      <c r="T912" s="183" t="n">
        <v>0</v>
      </c>
      <c r="U912" s="182" t="n">
        <v>0</v>
      </c>
      <c r="V912" s="182" t="n">
        <v>0</v>
      </c>
      <c r="W912" s="182" t="n">
        <v>0</v>
      </c>
      <c r="X912" s="182" t="n">
        <v>1</v>
      </c>
      <c r="Y912" s="182" t="n">
        <v>0</v>
      </c>
      <c r="Z912" s="182" t="n">
        <v>0</v>
      </c>
      <c r="AA912" s="182" t="n">
        <v>0</v>
      </c>
      <c r="AB912" s="182" t="n">
        <v>0</v>
      </c>
      <c r="AC912" s="182" t="n">
        <v>0</v>
      </c>
      <c r="AD912" s="182" t="n">
        <v>0</v>
      </c>
      <c r="AE912" s="182" t="n">
        <v>0</v>
      </c>
      <c r="AF912" s="182" t="n">
        <v>0</v>
      </c>
      <c r="AG912" s="182" t="n">
        <v>0</v>
      </c>
      <c r="AH912" s="182" t="n">
        <v>0</v>
      </c>
      <c r="AI912" s="182" t="n">
        <v>0</v>
      </c>
      <c r="AJ912" s="182" t="n">
        <v>0</v>
      </c>
      <c r="AK912" s="182" t="n">
        <v>10.92</v>
      </c>
      <c r="AL912" s="182" t="n">
        <v>0</v>
      </c>
      <c r="AM912" s="182" t="n">
        <v>0.08</v>
      </c>
      <c r="AN912" s="182" t="n">
        <v>0</v>
      </c>
    </row>
    <row r="913">
      <c r="A913" s="155" t="n">
        <v>46086</v>
      </c>
      <c r="B913" s="156" t="inlineStr">
        <is>
          <t>DS</t>
        </is>
      </c>
      <c r="C913" s="156" t="inlineStr">
        <is>
          <t>DH-103</t>
        </is>
      </c>
      <c r="D913" s="156" t="inlineStr">
        <is>
          <t>HINO FM260</t>
        </is>
      </c>
      <c r="E913" s="156" t="inlineStr">
        <is>
          <t>DT Hino</t>
        </is>
      </c>
      <c r="F913" s="156" t="inlineStr"/>
      <c r="G913" s="182" t="n">
        <v>0</v>
      </c>
      <c r="H913" s="182" t="n">
        <v>0</v>
      </c>
      <c r="I913" s="182" t="n">
        <v>12</v>
      </c>
      <c r="J913" s="182" t="n">
        <v>12</v>
      </c>
      <c r="K913" s="182" t="n">
        <v>0</v>
      </c>
      <c r="L913" s="182" t="n">
        <v>12</v>
      </c>
      <c r="M913" s="182" t="n">
        <v>0</v>
      </c>
      <c r="N913" s="182" t="n">
        <v>0</v>
      </c>
      <c r="O913" s="183" t="n">
        <v>0</v>
      </c>
      <c r="P913" s="183" t="n">
        <v>0</v>
      </c>
      <c r="Q913" s="184" t="n">
        <v>0</v>
      </c>
      <c r="R913" s="184" t="n">
        <v>0</v>
      </c>
      <c r="S913" s="183" t="n">
        <v>0</v>
      </c>
      <c r="T913" s="183" t="n">
        <v>0</v>
      </c>
      <c r="U913" s="182" t="n">
        <v>0</v>
      </c>
      <c r="V913" s="182" t="n">
        <v>0</v>
      </c>
      <c r="W913" s="182" t="n">
        <v>0</v>
      </c>
      <c r="X913" s="182" t="n">
        <v>0</v>
      </c>
      <c r="Y913" s="182" t="n">
        <v>0</v>
      </c>
      <c r="Z913" s="182" t="n">
        <v>0</v>
      </c>
      <c r="AA913" s="182" t="n">
        <v>0</v>
      </c>
      <c r="AB913" s="182" t="n">
        <v>0</v>
      </c>
      <c r="AC913" s="182" t="n">
        <v>0</v>
      </c>
      <c r="AD913" s="182" t="n">
        <v>0</v>
      </c>
      <c r="AE913" s="182" t="n">
        <v>0</v>
      </c>
      <c r="AF913" s="182" t="n">
        <v>0</v>
      </c>
      <c r="AG913" s="182" t="n">
        <v>0</v>
      </c>
      <c r="AH913" s="182" t="n">
        <v>0</v>
      </c>
      <c r="AI913" s="182" t="n">
        <v>0</v>
      </c>
      <c r="AJ913" s="182" t="n">
        <v>0</v>
      </c>
      <c r="AK913" s="182" t="n">
        <v>0</v>
      </c>
      <c r="AL913" s="182" t="n">
        <v>0</v>
      </c>
      <c r="AM913" s="182" t="n">
        <v>0</v>
      </c>
      <c r="AN913" s="182" t="n">
        <v>0</v>
      </c>
    </row>
    <row r="914">
      <c r="A914" s="155" t="n">
        <v>46086</v>
      </c>
      <c r="B914" s="156" t="inlineStr">
        <is>
          <t>DS</t>
        </is>
      </c>
      <c r="C914" s="156" t="inlineStr">
        <is>
          <t>DH-102</t>
        </is>
      </c>
      <c r="D914" s="156" t="inlineStr">
        <is>
          <t>HINO FM260</t>
        </is>
      </c>
      <c r="E914" s="156" t="inlineStr">
        <is>
          <t>DT Hino</t>
        </is>
      </c>
      <c r="F914" s="156" t="inlineStr"/>
      <c r="G914" s="182" t="n">
        <v>0</v>
      </c>
      <c r="H914" s="182" t="n">
        <v>0</v>
      </c>
      <c r="I914" s="182" t="n">
        <v>0</v>
      </c>
      <c r="J914" s="182" t="n">
        <v>0</v>
      </c>
      <c r="K914" s="182" t="n">
        <v>12</v>
      </c>
      <c r="L914" s="182" t="n">
        <v>12</v>
      </c>
      <c r="M914" s="182" t="n">
        <v>0</v>
      </c>
      <c r="N914" s="182" t="n">
        <v>0</v>
      </c>
      <c r="O914" s="183" t="n">
        <v>0</v>
      </c>
      <c r="P914" s="183" t="n">
        <v>0</v>
      </c>
      <c r="Q914" s="184" t="n">
        <v>0</v>
      </c>
      <c r="R914" s="184" t="n">
        <v>0</v>
      </c>
      <c r="S914" s="183" t="n">
        <v>0</v>
      </c>
      <c r="T914" s="183" t="n">
        <v>0</v>
      </c>
      <c r="U914" s="182" t="n">
        <v>0</v>
      </c>
      <c r="V914" s="182" t="n">
        <v>0</v>
      </c>
      <c r="W914" s="182" t="n">
        <v>0</v>
      </c>
      <c r="X914" s="182" t="n">
        <v>1</v>
      </c>
      <c r="Y914" s="182" t="n">
        <v>0</v>
      </c>
      <c r="Z914" s="182" t="n">
        <v>0</v>
      </c>
      <c r="AA914" s="182" t="n">
        <v>0</v>
      </c>
      <c r="AB914" s="182" t="n">
        <v>0</v>
      </c>
      <c r="AC914" s="182" t="n">
        <v>0</v>
      </c>
      <c r="AD914" s="182" t="n">
        <v>0</v>
      </c>
      <c r="AE914" s="182" t="n">
        <v>0</v>
      </c>
      <c r="AF914" s="182" t="n">
        <v>0</v>
      </c>
      <c r="AG914" s="182" t="n">
        <v>0</v>
      </c>
      <c r="AH914" s="182" t="n">
        <v>0</v>
      </c>
      <c r="AI914" s="182" t="n">
        <v>0</v>
      </c>
      <c r="AJ914" s="182" t="n">
        <v>0</v>
      </c>
      <c r="AK914" s="182" t="n">
        <v>10.92</v>
      </c>
      <c r="AL914" s="182" t="n">
        <v>0</v>
      </c>
      <c r="AM914" s="182" t="n">
        <v>0.08</v>
      </c>
      <c r="AN914" s="182" t="n">
        <v>0</v>
      </c>
    </row>
    <row r="915">
      <c r="A915" s="155" t="n">
        <v>46086</v>
      </c>
      <c r="B915" s="156" t="inlineStr">
        <is>
          <t>DS</t>
        </is>
      </c>
      <c r="C915" s="156" t="inlineStr">
        <is>
          <t>DH-101</t>
        </is>
      </c>
      <c r="D915" s="156" t="inlineStr">
        <is>
          <t>HINO FM260</t>
        </is>
      </c>
      <c r="E915" s="156" t="inlineStr">
        <is>
          <t>DT Hino</t>
        </is>
      </c>
      <c r="F915" s="156" t="inlineStr"/>
      <c r="G915" s="182" t="n">
        <v>0</v>
      </c>
      <c r="H915" s="182" t="n">
        <v>0</v>
      </c>
      <c r="I915" s="182" t="n">
        <v>0</v>
      </c>
      <c r="J915" s="182" t="n">
        <v>0</v>
      </c>
      <c r="K915" s="182" t="n">
        <v>12</v>
      </c>
      <c r="L915" s="182" t="n">
        <v>12</v>
      </c>
      <c r="M915" s="182" t="n">
        <v>0</v>
      </c>
      <c r="N915" s="182" t="n">
        <v>0</v>
      </c>
      <c r="O915" s="183" t="n">
        <v>0</v>
      </c>
      <c r="P915" s="183" t="n">
        <v>0</v>
      </c>
      <c r="Q915" s="184" t="n">
        <v>0</v>
      </c>
      <c r="R915" s="184" t="n">
        <v>0</v>
      </c>
      <c r="S915" s="183" t="n">
        <v>0</v>
      </c>
      <c r="T915" s="183" t="n">
        <v>0</v>
      </c>
      <c r="U915" s="182" t="n">
        <v>0</v>
      </c>
      <c r="V915" s="182" t="n">
        <v>0</v>
      </c>
      <c r="W915" s="182" t="n">
        <v>0</v>
      </c>
      <c r="X915" s="182" t="n">
        <v>1</v>
      </c>
      <c r="Y915" s="182" t="n">
        <v>0</v>
      </c>
      <c r="Z915" s="182" t="n">
        <v>0</v>
      </c>
      <c r="AA915" s="182" t="n">
        <v>0</v>
      </c>
      <c r="AB915" s="182" t="n">
        <v>0</v>
      </c>
      <c r="AC915" s="182" t="n">
        <v>0</v>
      </c>
      <c r="AD915" s="182" t="n">
        <v>0</v>
      </c>
      <c r="AE915" s="182" t="n">
        <v>0</v>
      </c>
      <c r="AF915" s="182" t="n">
        <v>0</v>
      </c>
      <c r="AG915" s="182" t="n">
        <v>0</v>
      </c>
      <c r="AH915" s="182" t="n">
        <v>0</v>
      </c>
      <c r="AI915" s="182" t="n">
        <v>0</v>
      </c>
      <c r="AJ915" s="182" t="n">
        <v>0</v>
      </c>
      <c r="AK915" s="182" t="n">
        <v>10.92</v>
      </c>
      <c r="AL915" s="182" t="n">
        <v>0</v>
      </c>
      <c r="AM915" s="182" t="n">
        <v>0.08</v>
      </c>
      <c r="AN915" s="182" t="n">
        <v>0</v>
      </c>
    </row>
    <row r="916">
      <c r="A916" s="155" t="n">
        <v>46086</v>
      </c>
      <c r="B916" s="156" t="inlineStr">
        <is>
          <t>DS</t>
        </is>
      </c>
      <c r="C916" s="156" t="inlineStr">
        <is>
          <t>EX-1251</t>
        </is>
      </c>
      <c r="D916" s="156" t="inlineStr">
        <is>
          <t>SY1250</t>
        </is>
      </c>
      <c r="E916" s="156" t="inlineStr">
        <is>
          <t>Excavator</t>
        </is>
      </c>
      <c r="F916" s="156" t="inlineStr">
        <is>
          <t>Loading OB</t>
        </is>
      </c>
      <c r="G916" s="182" t="n">
        <v>11.13</v>
      </c>
      <c r="H916" s="182" t="n">
        <v>0</v>
      </c>
      <c r="I916" s="182" t="n">
        <v>0</v>
      </c>
      <c r="J916" s="182" t="n">
        <v>0</v>
      </c>
      <c r="K916" s="182" t="n">
        <v>0.87</v>
      </c>
      <c r="L916" s="182" t="n">
        <v>12</v>
      </c>
      <c r="M916" s="182" t="n">
        <v>9.93</v>
      </c>
      <c r="N916" s="182" t="n">
        <v>0</v>
      </c>
      <c r="O916" s="183" t="n">
        <v>204</v>
      </c>
      <c r="P916" s="183" t="n">
        <v>0</v>
      </c>
      <c r="Q916" s="184" t="n">
        <v>4161.6</v>
      </c>
      <c r="R916" s="184" t="n">
        <v>0</v>
      </c>
      <c r="S916" s="183" t="n">
        <v>0</v>
      </c>
      <c r="T916" s="183" t="n">
        <v>0</v>
      </c>
      <c r="U916" s="182" t="n">
        <v>0</v>
      </c>
      <c r="V916" s="182" t="n">
        <v>0</v>
      </c>
      <c r="W916" s="182" t="n">
        <v>0</v>
      </c>
      <c r="X916" s="182" t="n">
        <v>0.79</v>
      </c>
      <c r="Y916" s="182" t="n">
        <v>0</v>
      </c>
      <c r="Z916" s="182" t="n">
        <v>0</v>
      </c>
      <c r="AA916" s="182" t="n">
        <v>0</v>
      </c>
      <c r="AB916" s="182" t="n">
        <v>0</v>
      </c>
      <c r="AC916" s="182" t="n">
        <v>0</v>
      </c>
      <c r="AD916" s="182" t="n">
        <v>0</v>
      </c>
      <c r="AE916" s="182" t="n">
        <v>0</v>
      </c>
      <c r="AF916" s="182" t="n">
        <v>0</v>
      </c>
      <c r="AG916" s="182" t="n">
        <v>0</v>
      </c>
      <c r="AH916" s="182" t="n">
        <v>0.02</v>
      </c>
      <c r="AI916" s="182" t="n">
        <v>0</v>
      </c>
      <c r="AJ916" s="182" t="n">
        <v>0</v>
      </c>
      <c r="AK916" s="182" t="n">
        <v>0</v>
      </c>
      <c r="AL916" s="182" t="n">
        <v>0</v>
      </c>
      <c r="AM916" s="182" t="n">
        <v>0.06</v>
      </c>
      <c r="AN916" s="182" t="n">
        <v>0</v>
      </c>
    </row>
    <row r="917">
      <c r="A917" s="155" t="n">
        <v>46086</v>
      </c>
      <c r="B917" s="156" t="inlineStr">
        <is>
          <t>DS</t>
        </is>
      </c>
      <c r="C917" s="156" t="inlineStr">
        <is>
          <t>EX-1252</t>
        </is>
      </c>
      <c r="D917" s="156" t="inlineStr">
        <is>
          <t>SY1250</t>
        </is>
      </c>
      <c r="E917" s="156" t="inlineStr">
        <is>
          <t>Excavator</t>
        </is>
      </c>
      <c r="F917" s="156" t="inlineStr">
        <is>
          <t>Loading Material Blending an</t>
        </is>
      </c>
      <c r="G917" s="182" t="n">
        <v>6.8</v>
      </c>
      <c r="H917" s="182" t="n">
        <v>0</v>
      </c>
      <c r="I917" s="182" t="n">
        <v>4.28</v>
      </c>
      <c r="J917" s="182" t="n">
        <v>4.28</v>
      </c>
      <c r="K917" s="182" t="n">
        <v>0.92</v>
      </c>
      <c r="L917" s="182" t="n">
        <v>12</v>
      </c>
      <c r="M917" s="182" t="n">
        <v>6.21</v>
      </c>
      <c r="N917" s="182" t="n">
        <v>0</v>
      </c>
      <c r="O917" s="183" t="n">
        <v>86</v>
      </c>
      <c r="P917" s="183" t="n">
        <v>0</v>
      </c>
      <c r="Q917" s="184" t="n">
        <v>2027.8</v>
      </c>
      <c r="R917" s="184" t="n">
        <v>0</v>
      </c>
      <c r="S917" s="183" t="n">
        <v>0</v>
      </c>
      <c r="T917" s="183" t="n">
        <v>0</v>
      </c>
      <c r="U917" s="182" t="n">
        <v>0</v>
      </c>
      <c r="V917" s="182" t="n">
        <v>0</v>
      </c>
      <c r="W917" s="182" t="n">
        <v>0</v>
      </c>
      <c r="X917" s="182" t="n">
        <v>0.84</v>
      </c>
      <c r="Y917" s="182" t="n">
        <v>0</v>
      </c>
      <c r="Z917" s="182" t="n">
        <v>0</v>
      </c>
      <c r="AA917" s="182" t="n">
        <v>0</v>
      </c>
      <c r="AB917" s="182" t="n">
        <v>0</v>
      </c>
      <c r="AC917" s="182" t="n">
        <v>0</v>
      </c>
      <c r="AD917" s="182" t="n">
        <v>0</v>
      </c>
      <c r="AE917" s="182" t="n">
        <v>0</v>
      </c>
      <c r="AF917" s="182" t="n">
        <v>0</v>
      </c>
      <c r="AG917" s="182" t="n">
        <v>0</v>
      </c>
      <c r="AH917" s="182" t="n">
        <v>0</v>
      </c>
      <c r="AI917" s="182" t="n">
        <v>0</v>
      </c>
      <c r="AJ917" s="182" t="n">
        <v>0</v>
      </c>
      <c r="AK917" s="182" t="n">
        <v>0</v>
      </c>
      <c r="AL917" s="182" t="n">
        <v>0</v>
      </c>
      <c r="AM917" s="182" t="n">
        <v>0.07000000000000001</v>
      </c>
      <c r="AN917" s="182" t="n">
        <v>0</v>
      </c>
    </row>
    <row r="918">
      <c r="A918" s="155" t="n">
        <v>46086</v>
      </c>
      <c r="B918" s="156" t="inlineStr">
        <is>
          <t>DS</t>
        </is>
      </c>
      <c r="C918" s="156" t="inlineStr">
        <is>
          <t>EX-2101</t>
        </is>
      </c>
      <c r="D918" s="156" t="inlineStr">
        <is>
          <t>SY2000</t>
        </is>
      </c>
      <c r="E918" s="156" t="inlineStr">
        <is>
          <t>Excavator</t>
        </is>
      </c>
      <c r="F918" s="156" t="inlineStr"/>
      <c r="G918" s="182" t="n">
        <v>0</v>
      </c>
      <c r="H918" s="182" t="n">
        <v>0</v>
      </c>
      <c r="I918" s="182" t="n">
        <v>10</v>
      </c>
      <c r="J918" s="182" t="n">
        <v>10</v>
      </c>
      <c r="K918" s="182" t="n">
        <v>2</v>
      </c>
      <c r="L918" s="182" t="n">
        <v>12</v>
      </c>
      <c r="M918" s="182" t="n">
        <v>0</v>
      </c>
      <c r="N918" s="182" t="n">
        <v>0</v>
      </c>
      <c r="O918" s="183" t="n">
        <v>0</v>
      </c>
      <c r="P918" s="183" t="n">
        <v>0</v>
      </c>
      <c r="Q918" s="184" t="n">
        <v>0</v>
      </c>
      <c r="R918" s="184" t="n">
        <v>0</v>
      </c>
      <c r="S918" s="183" t="n">
        <v>0</v>
      </c>
      <c r="T918" s="183" t="n">
        <v>0</v>
      </c>
      <c r="U918" s="182" t="n">
        <v>0</v>
      </c>
      <c r="V918" s="182" t="n">
        <v>0</v>
      </c>
      <c r="W918" s="182" t="n">
        <v>0</v>
      </c>
      <c r="X918" s="182" t="n">
        <v>1</v>
      </c>
      <c r="Y918" s="182" t="n">
        <v>0</v>
      </c>
      <c r="Z918" s="182" t="n">
        <v>0</v>
      </c>
      <c r="AA918" s="182" t="n">
        <v>0</v>
      </c>
      <c r="AB918" s="182" t="n">
        <v>0</v>
      </c>
      <c r="AC918" s="182" t="n">
        <v>0</v>
      </c>
      <c r="AD918" s="182" t="n">
        <v>0</v>
      </c>
      <c r="AE918" s="182" t="n">
        <v>0</v>
      </c>
      <c r="AF918" s="182" t="n">
        <v>0</v>
      </c>
      <c r="AG918" s="182" t="n">
        <v>0</v>
      </c>
      <c r="AH918" s="182" t="n">
        <v>0</v>
      </c>
      <c r="AI918" s="182" t="n">
        <v>0.92</v>
      </c>
      <c r="AJ918" s="182" t="n">
        <v>0</v>
      </c>
      <c r="AK918" s="182" t="n">
        <v>0</v>
      </c>
      <c r="AL918" s="182" t="n">
        <v>0</v>
      </c>
      <c r="AM918" s="182" t="n">
        <v>0.08</v>
      </c>
      <c r="AN918" s="182" t="n">
        <v>0</v>
      </c>
    </row>
    <row r="919">
      <c r="A919" s="155" t="n">
        <v>46086</v>
      </c>
      <c r="B919" s="156" t="inlineStr">
        <is>
          <t>DS</t>
        </is>
      </c>
      <c r="C919" s="156" t="inlineStr">
        <is>
          <t>EX-222</t>
        </is>
      </c>
      <c r="D919" s="156" t="inlineStr">
        <is>
          <t>PC 200-8MI</t>
        </is>
      </c>
      <c r="E919" s="156" t="inlineStr">
        <is>
          <t>Excavator</t>
        </is>
      </c>
      <c r="F919" s="156" t="inlineStr">
        <is>
          <t>Support Washing Plant</t>
        </is>
      </c>
      <c r="G919" s="182" t="n">
        <v>11.01</v>
      </c>
      <c r="H919" s="182" t="n">
        <v>0</v>
      </c>
      <c r="I919" s="182" t="n">
        <v>0</v>
      </c>
      <c r="J919" s="182" t="n">
        <v>0</v>
      </c>
      <c r="K919" s="182" t="n">
        <v>0.99</v>
      </c>
      <c r="L919" s="182" t="n">
        <v>12</v>
      </c>
      <c r="M919" s="182" t="n">
        <v>0</v>
      </c>
      <c r="N919" s="182" t="n">
        <v>0</v>
      </c>
      <c r="O919" s="183" t="n">
        <v>0</v>
      </c>
      <c r="P919" s="183" t="n">
        <v>0</v>
      </c>
      <c r="Q919" s="184" t="n">
        <v>0</v>
      </c>
      <c r="R919" s="184" t="n">
        <v>0</v>
      </c>
      <c r="S919" s="183" t="n">
        <v>0</v>
      </c>
      <c r="T919" s="183" t="n">
        <v>0</v>
      </c>
      <c r="U919" s="182" t="n">
        <v>0</v>
      </c>
      <c r="V919" s="182" t="n">
        <v>0</v>
      </c>
      <c r="W919" s="182" t="n">
        <v>0</v>
      </c>
      <c r="X919" s="182" t="n">
        <v>0.91</v>
      </c>
      <c r="Y919" s="182" t="n">
        <v>0</v>
      </c>
      <c r="Z919" s="182" t="n">
        <v>0</v>
      </c>
      <c r="AA919" s="182" t="n">
        <v>0</v>
      </c>
      <c r="AB919" s="182" t="n">
        <v>0</v>
      </c>
      <c r="AC919" s="182" t="n">
        <v>0</v>
      </c>
      <c r="AD919" s="182" t="n">
        <v>0</v>
      </c>
      <c r="AE919" s="182" t="n">
        <v>0</v>
      </c>
      <c r="AF919" s="182" t="n">
        <v>0</v>
      </c>
      <c r="AG919" s="182" t="n">
        <v>0</v>
      </c>
      <c r="AH919" s="182" t="n">
        <v>0</v>
      </c>
      <c r="AI919" s="182" t="n">
        <v>0</v>
      </c>
      <c r="AJ919" s="182" t="n">
        <v>0</v>
      </c>
      <c r="AK919" s="182" t="n">
        <v>0</v>
      </c>
      <c r="AL919" s="182" t="n">
        <v>0</v>
      </c>
      <c r="AM919" s="182" t="n">
        <v>0.08</v>
      </c>
      <c r="AN919" s="182" t="n">
        <v>0</v>
      </c>
    </row>
    <row r="920">
      <c r="A920" s="155" t="n">
        <v>46086</v>
      </c>
      <c r="B920" s="156" t="inlineStr">
        <is>
          <t>DS</t>
        </is>
      </c>
      <c r="C920" s="156" t="inlineStr">
        <is>
          <t>EX-225</t>
        </is>
      </c>
      <c r="D920" s="156" t="inlineStr">
        <is>
          <t>PC 200-8</t>
        </is>
      </c>
      <c r="E920" s="156" t="inlineStr">
        <is>
          <t>Excavator</t>
        </is>
      </c>
      <c r="F920" s="156" t="inlineStr"/>
      <c r="G920" s="182" t="n">
        <v>0</v>
      </c>
      <c r="H920" s="182" t="n">
        <v>0</v>
      </c>
      <c r="I920" s="182" t="n">
        <v>12</v>
      </c>
      <c r="J920" s="182" t="n">
        <v>12</v>
      </c>
      <c r="K920" s="182" t="n">
        <v>0</v>
      </c>
      <c r="L920" s="182" t="n">
        <v>12</v>
      </c>
      <c r="M920" s="182" t="n">
        <v>0</v>
      </c>
      <c r="N920" s="182" t="n">
        <v>0</v>
      </c>
      <c r="O920" s="183" t="n">
        <v>0</v>
      </c>
      <c r="P920" s="183" t="n">
        <v>0</v>
      </c>
      <c r="Q920" s="184" t="n">
        <v>0</v>
      </c>
      <c r="R920" s="184" t="n">
        <v>0</v>
      </c>
      <c r="S920" s="183" t="n">
        <v>0</v>
      </c>
      <c r="T920" s="183" t="n">
        <v>0</v>
      </c>
      <c r="U920" s="182" t="n">
        <v>0</v>
      </c>
      <c r="V920" s="182" t="n">
        <v>0</v>
      </c>
      <c r="W920" s="182" t="n">
        <v>0</v>
      </c>
      <c r="X920" s="182" t="n">
        <v>0</v>
      </c>
      <c r="Y920" s="182" t="n">
        <v>0</v>
      </c>
      <c r="Z920" s="182" t="n">
        <v>0</v>
      </c>
      <c r="AA920" s="182" t="n">
        <v>0</v>
      </c>
      <c r="AB920" s="182" t="n">
        <v>0</v>
      </c>
      <c r="AC920" s="182" t="n">
        <v>0</v>
      </c>
      <c r="AD920" s="182" t="n">
        <v>0</v>
      </c>
      <c r="AE920" s="182" t="n">
        <v>0</v>
      </c>
      <c r="AF920" s="182" t="n">
        <v>0</v>
      </c>
      <c r="AG920" s="182" t="n">
        <v>0</v>
      </c>
      <c r="AH920" s="182" t="n">
        <v>0</v>
      </c>
      <c r="AI920" s="182" t="n">
        <v>0</v>
      </c>
      <c r="AJ920" s="182" t="n">
        <v>0</v>
      </c>
      <c r="AK920" s="182" t="n">
        <v>0</v>
      </c>
      <c r="AL920" s="182" t="n">
        <v>0</v>
      </c>
      <c r="AM920" s="182" t="n">
        <v>0</v>
      </c>
      <c r="AN920" s="182" t="n">
        <v>0</v>
      </c>
    </row>
    <row r="921">
      <c r="A921" s="155" t="n">
        <v>46086</v>
      </c>
      <c r="B921" s="156" t="inlineStr">
        <is>
          <t>DS</t>
        </is>
      </c>
      <c r="C921" s="156" t="inlineStr">
        <is>
          <t>EX-223</t>
        </is>
      </c>
      <c r="D921" s="156" t="inlineStr">
        <is>
          <t>PC 200-8MI</t>
        </is>
      </c>
      <c r="E921" s="156" t="inlineStr">
        <is>
          <t>Excavator</t>
        </is>
      </c>
      <c r="F921" s="156" t="inlineStr">
        <is>
          <t>Support Washing Plant</t>
        </is>
      </c>
      <c r="G921" s="182" t="n">
        <v>10.9</v>
      </c>
      <c r="H921" s="182" t="n">
        <v>0</v>
      </c>
      <c r="I921" s="182" t="n">
        <v>0</v>
      </c>
      <c r="J921" s="182" t="n">
        <v>0</v>
      </c>
      <c r="K921" s="182" t="n">
        <v>1.1</v>
      </c>
      <c r="L921" s="182" t="n">
        <v>12</v>
      </c>
      <c r="M921" s="182" t="n">
        <v>0</v>
      </c>
      <c r="N921" s="182" t="n">
        <v>0</v>
      </c>
      <c r="O921" s="183" t="n">
        <v>0</v>
      </c>
      <c r="P921" s="183" t="n">
        <v>0</v>
      </c>
      <c r="Q921" s="184" t="n">
        <v>0</v>
      </c>
      <c r="R921" s="184" t="n">
        <v>0</v>
      </c>
      <c r="S921" s="183" t="n">
        <v>0</v>
      </c>
      <c r="T921" s="183" t="n">
        <v>0</v>
      </c>
      <c r="U921" s="182" t="n">
        <v>0</v>
      </c>
      <c r="V921" s="182" t="n">
        <v>0</v>
      </c>
      <c r="W921" s="182" t="n">
        <v>0</v>
      </c>
      <c r="X921" s="182" t="n">
        <v>0.85</v>
      </c>
      <c r="Y921" s="182" t="n">
        <v>0</v>
      </c>
      <c r="Z921" s="182" t="n">
        <v>0</v>
      </c>
      <c r="AA921" s="182" t="n">
        <v>0</v>
      </c>
      <c r="AB921" s="182" t="n">
        <v>0</v>
      </c>
      <c r="AC921" s="182" t="n">
        <v>0</v>
      </c>
      <c r="AD921" s="182" t="n">
        <v>0</v>
      </c>
      <c r="AE921" s="182" t="n">
        <v>0</v>
      </c>
      <c r="AF921" s="182" t="n">
        <v>0</v>
      </c>
      <c r="AG921" s="182" t="n">
        <v>0</v>
      </c>
      <c r="AH921" s="182" t="n">
        <v>0.19</v>
      </c>
      <c r="AI921" s="182" t="n">
        <v>0</v>
      </c>
      <c r="AJ921" s="182" t="n">
        <v>0</v>
      </c>
      <c r="AK921" s="182" t="n">
        <v>0</v>
      </c>
      <c r="AL921" s="182" t="n">
        <v>0</v>
      </c>
      <c r="AM921" s="182" t="n">
        <v>0.07000000000000001</v>
      </c>
      <c r="AN921" s="182" t="n">
        <v>0</v>
      </c>
    </row>
    <row r="922">
      <c r="A922" s="155" t="n">
        <v>46086</v>
      </c>
      <c r="B922" s="156" t="inlineStr">
        <is>
          <t>DS</t>
        </is>
      </c>
      <c r="C922" s="156" t="inlineStr">
        <is>
          <t>EX-221</t>
        </is>
      </c>
      <c r="D922" s="156" t="inlineStr">
        <is>
          <t>PC 200-8MI</t>
        </is>
      </c>
      <c r="E922" s="156" t="inlineStr">
        <is>
          <t>Excavator</t>
        </is>
      </c>
      <c r="F922" s="156" t="inlineStr"/>
      <c r="G922" s="182" t="n">
        <v>0</v>
      </c>
      <c r="H922" s="182" t="n">
        <v>0</v>
      </c>
      <c r="I922" s="182" t="n">
        <v>0</v>
      </c>
      <c r="J922" s="182" t="n">
        <v>0</v>
      </c>
      <c r="K922" s="182" t="n">
        <v>12</v>
      </c>
      <c r="L922" s="182" t="n">
        <v>12</v>
      </c>
      <c r="M922" s="182" t="n">
        <v>0</v>
      </c>
      <c r="N922" s="182" t="n">
        <v>0</v>
      </c>
      <c r="O922" s="183" t="n">
        <v>0</v>
      </c>
      <c r="P922" s="183" t="n">
        <v>0</v>
      </c>
      <c r="Q922" s="184" t="n">
        <v>0</v>
      </c>
      <c r="R922" s="184" t="n">
        <v>0</v>
      </c>
      <c r="S922" s="183" t="n">
        <v>0</v>
      </c>
      <c r="T922" s="183" t="n">
        <v>0</v>
      </c>
      <c r="U922" s="182" t="n">
        <v>0</v>
      </c>
      <c r="V922" s="182" t="n">
        <v>0</v>
      </c>
      <c r="W922" s="182" t="n">
        <v>0</v>
      </c>
      <c r="X922" s="182" t="n">
        <v>1</v>
      </c>
      <c r="Y922" s="182" t="n">
        <v>0</v>
      </c>
      <c r="Z922" s="182" t="n">
        <v>0</v>
      </c>
      <c r="AA922" s="182" t="n">
        <v>0</v>
      </c>
      <c r="AB922" s="182" t="n">
        <v>0</v>
      </c>
      <c r="AC922" s="182" t="n">
        <v>0</v>
      </c>
      <c r="AD922" s="182" t="n">
        <v>0</v>
      </c>
      <c r="AE922" s="182" t="n">
        <v>0</v>
      </c>
      <c r="AF922" s="182" t="n">
        <v>0</v>
      </c>
      <c r="AG922" s="182" t="n">
        <v>0</v>
      </c>
      <c r="AH922" s="182" t="n">
        <v>0</v>
      </c>
      <c r="AI922" s="182" t="n">
        <v>0</v>
      </c>
      <c r="AJ922" s="182" t="n">
        <v>0</v>
      </c>
      <c r="AK922" s="182" t="n">
        <v>10.92</v>
      </c>
      <c r="AL922" s="182" t="n">
        <v>0</v>
      </c>
      <c r="AM922" s="182" t="n">
        <v>0.08</v>
      </c>
      <c r="AN922" s="182" t="n">
        <v>0</v>
      </c>
    </row>
    <row r="923">
      <c r="A923" s="155" t="n">
        <v>46086</v>
      </c>
      <c r="B923" s="156" t="inlineStr">
        <is>
          <t>DS</t>
        </is>
      </c>
      <c r="C923" s="156" t="inlineStr">
        <is>
          <t>EX-331</t>
        </is>
      </c>
      <c r="D923" s="156" t="inlineStr">
        <is>
          <t>PC 300-8MO</t>
        </is>
      </c>
      <c r="E923" s="156" t="inlineStr">
        <is>
          <t>Excavator</t>
        </is>
      </c>
      <c r="F923" s="156" t="inlineStr"/>
      <c r="G923" s="182" t="n">
        <v>0</v>
      </c>
      <c r="H923" s="182" t="n">
        <v>0</v>
      </c>
      <c r="I923" s="182" t="n">
        <v>12</v>
      </c>
      <c r="J923" s="182" t="n">
        <v>12</v>
      </c>
      <c r="K923" s="182" t="n">
        <v>0</v>
      </c>
      <c r="L923" s="182" t="n">
        <v>12</v>
      </c>
      <c r="M923" s="182" t="n">
        <v>0</v>
      </c>
      <c r="N923" s="182" t="n">
        <v>0</v>
      </c>
      <c r="O923" s="183" t="n">
        <v>0</v>
      </c>
      <c r="P923" s="183" t="n">
        <v>0</v>
      </c>
      <c r="Q923" s="184" t="n">
        <v>0</v>
      </c>
      <c r="R923" s="184" t="n">
        <v>0</v>
      </c>
      <c r="S923" s="183" t="n">
        <v>0</v>
      </c>
      <c r="T923" s="183" t="n">
        <v>0</v>
      </c>
      <c r="U923" s="182" t="n">
        <v>0</v>
      </c>
      <c r="V923" s="182" t="n">
        <v>0</v>
      </c>
      <c r="W923" s="182" t="n">
        <v>0</v>
      </c>
      <c r="X923" s="182" t="n">
        <v>0</v>
      </c>
      <c r="Y923" s="182" t="n">
        <v>0</v>
      </c>
      <c r="Z923" s="182" t="n">
        <v>0</v>
      </c>
      <c r="AA923" s="182" t="n">
        <v>0</v>
      </c>
      <c r="AB923" s="182" t="n">
        <v>0</v>
      </c>
      <c r="AC923" s="182" t="n">
        <v>0</v>
      </c>
      <c r="AD923" s="182" t="n">
        <v>0</v>
      </c>
      <c r="AE923" s="182" t="n">
        <v>0</v>
      </c>
      <c r="AF923" s="182" t="n">
        <v>0</v>
      </c>
      <c r="AG923" s="182" t="n">
        <v>0</v>
      </c>
      <c r="AH923" s="182" t="n">
        <v>0</v>
      </c>
      <c r="AI923" s="182" t="n">
        <v>0</v>
      </c>
      <c r="AJ923" s="182" t="n">
        <v>0</v>
      </c>
      <c r="AK923" s="182" t="n">
        <v>0</v>
      </c>
      <c r="AL923" s="182" t="n">
        <v>0</v>
      </c>
      <c r="AM923" s="182" t="n">
        <v>0</v>
      </c>
      <c r="AN923" s="182" t="n">
        <v>0</v>
      </c>
    </row>
    <row r="924">
      <c r="A924" s="155" t="n">
        <v>46086</v>
      </c>
      <c r="B924" s="156" t="inlineStr">
        <is>
          <t>DS</t>
        </is>
      </c>
      <c r="C924" s="156" t="inlineStr">
        <is>
          <t>EX-334</t>
        </is>
      </c>
      <c r="D924" s="156" t="inlineStr">
        <is>
          <t>PC 300-8MO</t>
        </is>
      </c>
      <c r="E924" s="156" t="inlineStr">
        <is>
          <t>Excavator</t>
        </is>
      </c>
      <c r="F924" s="156" t="inlineStr">
        <is>
          <t>Loading &amp; Cleaning Coal</t>
        </is>
      </c>
      <c r="G924" s="182" t="n">
        <v>11.87</v>
      </c>
      <c r="H924" s="182" t="n">
        <v>0</v>
      </c>
      <c r="I924" s="182" t="n">
        <v>0</v>
      </c>
      <c r="J924" s="182" t="n">
        <v>0</v>
      </c>
      <c r="K924" s="182" t="n">
        <v>0.13</v>
      </c>
      <c r="L924" s="182" t="n">
        <v>12</v>
      </c>
      <c r="M924" s="182" t="n">
        <v>0</v>
      </c>
      <c r="N924" s="182" t="n">
        <v>2.97</v>
      </c>
      <c r="O924" s="183" t="n">
        <v>0</v>
      </c>
      <c r="P924" s="183" t="n">
        <v>14</v>
      </c>
      <c r="Q924" s="184" t="n">
        <v>0</v>
      </c>
      <c r="R924" s="184" t="n">
        <v>261.8</v>
      </c>
      <c r="S924" s="183" t="n">
        <v>0</v>
      </c>
      <c r="T924" s="183" t="n">
        <v>0</v>
      </c>
      <c r="U924" s="182" t="n">
        <v>0</v>
      </c>
      <c r="V924" s="182" t="n">
        <v>0</v>
      </c>
      <c r="W924" s="182" t="n">
        <v>0</v>
      </c>
      <c r="X924" s="182" t="n">
        <v>0</v>
      </c>
      <c r="Y924" s="182" t="n">
        <v>0</v>
      </c>
      <c r="Z924" s="182" t="n">
        <v>0</v>
      </c>
      <c r="AA924" s="182" t="n">
        <v>0</v>
      </c>
      <c r="AB924" s="182" t="n">
        <v>0</v>
      </c>
      <c r="AC924" s="182" t="n">
        <v>0</v>
      </c>
      <c r="AD924" s="182" t="n">
        <v>0</v>
      </c>
      <c r="AE924" s="182" t="n">
        <v>0</v>
      </c>
      <c r="AF924" s="182" t="n">
        <v>0</v>
      </c>
      <c r="AG924" s="182" t="n">
        <v>0</v>
      </c>
      <c r="AH924" s="182" t="n">
        <v>0</v>
      </c>
      <c r="AI924" s="182" t="n">
        <v>0</v>
      </c>
      <c r="AJ924" s="182" t="n">
        <v>0</v>
      </c>
      <c r="AK924" s="182" t="n">
        <v>0</v>
      </c>
      <c r="AL924" s="182" t="n">
        <v>0</v>
      </c>
      <c r="AM924" s="182" t="n">
        <v>0</v>
      </c>
      <c r="AN924" s="182" t="n">
        <v>0</v>
      </c>
    </row>
    <row r="925">
      <c r="A925" s="155" t="n">
        <v>46086</v>
      </c>
      <c r="B925" s="156" t="inlineStr">
        <is>
          <t>DS</t>
        </is>
      </c>
      <c r="C925" s="156" t="inlineStr">
        <is>
          <t>EX-332</t>
        </is>
      </c>
      <c r="D925" s="156" t="inlineStr">
        <is>
          <t>PC 300-8MO</t>
        </is>
      </c>
      <c r="E925" s="156" t="inlineStr">
        <is>
          <t>Excavator</t>
        </is>
      </c>
      <c r="F925" s="156" t="inlineStr">
        <is>
          <t>Cleaning Coal</t>
        </is>
      </c>
      <c r="G925" s="182" t="n">
        <v>11.03</v>
      </c>
      <c r="H925" s="182" t="n">
        <v>0</v>
      </c>
      <c r="I925" s="182" t="n">
        <v>0</v>
      </c>
      <c r="J925" s="182" t="n">
        <v>0</v>
      </c>
      <c r="K925" s="182" t="n">
        <v>0.97</v>
      </c>
      <c r="L925" s="182" t="n">
        <v>12</v>
      </c>
      <c r="M925" s="182" t="n">
        <v>0</v>
      </c>
      <c r="N925" s="182" t="n">
        <v>0</v>
      </c>
      <c r="O925" s="183" t="n">
        <v>0</v>
      </c>
      <c r="P925" s="183" t="n">
        <v>0</v>
      </c>
      <c r="Q925" s="184" t="n">
        <v>0</v>
      </c>
      <c r="R925" s="184" t="n">
        <v>0</v>
      </c>
      <c r="S925" s="183" t="n">
        <v>0</v>
      </c>
      <c r="T925" s="183" t="n">
        <v>0</v>
      </c>
      <c r="U925" s="182" t="n">
        <v>0</v>
      </c>
      <c r="V925" s="182" t="n">
        <v>0</v>
      </c>
      <c r="W925" s="182" t="n">
        <v>0</v>
      </c>
      <c r="X925" s="182" t="n">
        <v>0.88</v>
      </c>
      <c r="Y925" s="182" t="n">
        <v>0</v>
      </c>
      <c r="Z925" s="182" t="n">
        <v>0</v>
      </c>
      <c r="AA925" s="182" t="n">
        <v>0</v>
      </c>
      <c r="AB925" s="182" t="n">
        <v>0</v>
      </c>
      <c r="AC925" s="182" t="n">
        <v>0</v>
      </c>
      <c r="AD925" s="182" t="n">
        <v>0</v>
      </c>
      <c r="AE925" s="182" t="n">
        <v>0</v>
      </c>
      <c r="AF925" s="182" t="n">
        <v>0</v>
      </c>
      <c r="AG925" s="182" t="n">
        <v>0</v>
      </c>
      <c r="AH925" s="182" t="n">
        <v>0</v>
      </c>
      <c r="AI925" s="182" t="n">
        <v>0</v>
      </c>
      <c r="AJ925" s="182" t="n">
        <v>0</v>
      </c>
      <c r="AK925" s="182" t="n">
        <v>0</v>
      </c>
      <c r="AL925" s="182" t="n">
        <v>0</v>
      </c>
      <c r="AM925" s="182" t="n">
        <v>0.09</v>
      </c>
      <c r="AN925" s="182" t="n">
        <v>0</v>
      </c>
    </row>
    <row r="926">
      <c r="A926" s="155" t="n">
        <v>46086</v>
      </c>
      <c r="B926" s="156" t="inlineStr">
        <is>
          <t>DS</t>
        </is>
      </c>
      <c r="C926" s="156" t="inlineStr">
        <is>
          <t>EX-333</t>
        </is>
      </c>
      <c r="D926" s="156" t="inlineStr">
        <is>
          <t>PC 300-8MO</t>
        </is>
      </c>
      <c r="E926" s="156" t="inlineStr">
        <is>
          <t>Excavator</t>
        </is>
      </c>
      <c r="F926" s="156" t="inlineStr"/>
      <c r="G926" s="182" t="n">
        <v>0</v>
      </c>
      <c r="H926" s="182" t="n">
        <v>0</v>
      </c>
      <c r="I926" s="182" t="n">
        <v>12</v>
      </c>
      <c r="J926" s="182" t="n">
        <v>12</v>
      </c>
      <c r="K926" s="182" t="n">
        <v>0</v>
      </c>
      <c r="L926" s="182" t="n">
        <v>12</v>
      </c>
      <c r="M926" s="182" t="n">
        <v>0</v>
      </c>
      <c r="N926" s="182" t="n">
        <v>0</v>
      </c>
      <c r="O926" s="183" t="n">
        <v>0</v>
      </c>
      <c r="P926" s="183" t="n">
        <v>0</v>
      </c>
      <c r="Q926" s="184" t="n">
        <v>0</v>
      </c>
      <c r="R926" s="184" t="n">
        <v>0</v>
      </c>
      <c r="S926" s="183" t="n">
        <v>0</v>
      </c>
      <c r="T926" s="183" t="n">
        <v>0</v>
      </c>
      <c r="U926" s="182" t="n">
        <v>0</v>
      </c>
      <c r="V926" s="182" t="n">
        <v>0</v>
      </c>
      <c r="W926" s="182" t="n">
        <v>0</v>
      </c>
      <c r="X926" s="182" t="n">
        <v>0</v>
      </c>
      <c r="Y926" s="182" t="n">
        <v>0</v>
      </c>
      <c r="Z926" s="182" t="n">
        <v>0</v>
      </c>
      <c r="AA926" s="182" t="n">
        <v>0</v>
      </c>
      <c r="AB926" s="182" t="n">
        <v>0</v>
      </c>
      <c r="AC926" s="182" t="n">
        <v>0</v>
      </c>
      <c r="AD926" s="182" t="n">
        <v>0</v>
      </c>
      <c r="AE926" s="182" t="n">
        <v>0</v>
      </c>
      <c r="AF926" s="182" t="n">
        <v>0</v>
      </c>
      <c r="AG926" s="182" t="n">
        <v>0</v>
      </c>
      <c r="AH926" s="182" t="n">
        <v>0</v>
      </c>
      <c r="AI926" s="182" t="n">
        <v>0</v>
      </c>
      <c r="AJ926" s="182" t="n">
        <v>0</v>
      </c>
      <c r="AK926" s="182" t="n">
        <v>0</v>
      </c>
      <c r="AL926" s="182" t="n">
        <v>0</v>
      </c>
      <c r="AM926" s="182" t="n">
        <v>0</v>
      </c>
      <c r="AN926" s="182" t="n">
        <v>0</v>
      </c>
    </row>
    <row r="927">
      <c r="A927" s="155" t="n">
        <v>46086</v>
      </c>
      <c r="B927" s="156" t="inlineStr">
        <is>
          <t>DS</t>
        </is>
      </c>
      <c r="C927" s="156" t="inlineStr">
        <is>
          <t>EX-336</t>
        </is>
      </c>
      <c r="D927" s="156" t="inlineStr">
        <is>
          <t>PC 300-8MO</t>
        </is>
      </c>
      <c r="E927" s="156" t="inlineStr">
        <is>
          <t>Excavator</t>
        </is>
      </c>
      <c r="F927" s="156" t="inlineStr">
        <is>
          <t>Support Washing Plant</t>
        </is>
      </c>
      <c r="G927" s="182" t="n">
        <v>8.880000000000001</v>
      </c>
      <c r="H927" s="182" t="n">
        <v>0</v>
      </c>
      <c r="I927" s="182" t="n">
        <v>0</v>
      </c>
      <c r="J927" s="182" t="n">
        <v>0</v>
      </c>
      <c r="K927" s="182" t="n">
        <v>3.12</v>
      </c>
      <c r="L927" s="182" t="n">
        <v>12</v>
      </c>
      <c r="M927" s="182" t="n">
        <v>0</v>
      </c>
      <c r="N927" s="182" t="n">
        <v>0</v>
      </c>
      <c r="O927" s="183" t="n">
        <v>0</v>
      </c>
      <c r="P927" s="183" t="n">
        <v>0</v>
      </c>
      <c r="Q927" s="184" t="n">
        <v>0</v>
      </c>
      <c r="R927" s="184" t="n">
        <v>0</v>
      </c>
      <c r="S927" s="183" t="n">
        <v>0</v>
      </c>
      <c r="T927" s="183" t="n">
        <v>0</v>
      </c>
      <c r="U927" s="182" t="n">
        <v>0</v>
      </c>
      <c r="V927" s="182" t="n">
        <v>0</v>
      </c>
      <c r="W927" s="182" t="n">
        <v>0</v>
      </c>
      <c r="X927" s="182" t="n">
        <v>1.04</v>
      </c>
      <c r="Y927" s="182" t="n">
        <v>0</v>
      </c>
      <c r="Z927" s="182" t="n">
        <v>0</v>
      </c>
      <c r="AA927" s="182" t="n">
        <v>0</v>
      </c>
      <c r="AB927" s="182" t="n">
        <v>0</v>
      </c>
      <c r="AC927" s="182" t="n">
        <v>0</v>
      </c>
      <c r="AD927" s="182" t="n">
        <v>0</v>
      </c>
      <c r="AE927" s="182" t="n">
        <v>0</v>
      </c>
      <c r="AF927" s="182" t="n">
        <v>0</v>
      </c>
      <c r="AG927" s="182" t="n">
        <v>0</v>
      </c>
      <c r="AH927" s="182" t="n">
        <v>0</v>
      </c>
      <c r="AI927" s="182" t="n">
        <v>0</v>
      </c>
      <c r="AJ927" s="182" t="n">
        <v>0</v>
      </c>
      <c r="AK927" s="182" t="n">
        <v>2</v>
      </c>
      <c r="AL927" s="182" t="n">
        <v>0</v>
      </c>
      <c r="AM927" s="182" t="n">
        <v>0.08</v>
      </c>
      <c r="AN927" s="182" t="n">
        <v>0</v>
      </c>
    </row>
    <row r="928">
      <c r="A928" s="155" t="n">
        <v>46086</v>
      </c>
      <c r="B928" s="156" t="inlineStr">
        <is>
          <t>DS</t>
        </is>
      </c>
      <c r="C928" s="156" t="inlineStr">
        <is>
          <t>EX-335</t>
        </is>
      </c>
      <c r="D928" s="156" t="inlineStr">
        <is>
          <t>PC 300-8MO</t>
        </is>
      </c>
      <c r="E928" s="156" t="inlineStr">
        <is>
          <t>Excavator</t>
        </is>
      </c>
      <c r="F928" s="156" t="inlineStr">
        <is>
          <t>Loading &amp; Cleaning Coal</t>
        </is>
      </c>
      <c r="G928" s="182" t="n">
        <v>11.24</v>
      </c>
      <c r="H928" s="182" t="n">
        <v>0</v>
      </c>
      <c r="I928" s="182" t="n">
        <v>0</v>
      </c>
      <c r="J928" s="182" t="n">
        <v>0</v>
      </c>
      <c r="K928" s="182" t="n">
        <v>0.76</v>
      </c>
      <c r="L928" s="182" t="n">
        <v>12</v>
      </c>
      <c r="M928" s="182" t="n">
        <v>0</v>
      </c>
      <c r="N928" s="182" t="n">
        <v>6.02</v>
      </c>
      <c r="O928" s="183" t="n">
        <v>0</v>
      </c>
      <c r="P928" s="183" t="n">
        <v>55</v>
      </c>
      <c r="Q928" s="184" t="n">
        <v>0</v>
      </c>
      <c r="R928" s="184" t="n">
        <v>1028.5</v>
      </c>
      <c r="S928" s="183" t="n">
        <v>0</v>
      </c>
      <c r="T928" s="183" t="n">
        <v>0</v>
      </c>
      <c r="U928" s="182" t="n">
        <v>0</v>
      </c>
      <c r="V928" s="182" t="n">
        <v>0</v>
      </c>
      <c r="W928" s="182" t="n">
        <v>0</v>
      </c>
      <c r="X928" s="182" t="n">
        <v>0.68</v>
      </c>
      <c r="Y928" s="182" t="n">
        <v>0</v>
      </c>
      <c r="Z928" s="182" t="n">
        <v>0</v>
      </c>
      <c r="AA928" s="182" t="n">
        <v>0</v>
      </c>
      <c r="AB928" s="182" t="n">
        <v>0</v>
      </c>
      <c r="AC928" s="182" t="n">
        <v>0</v>
      </c>
      <c r="AD928" s="182" t="n">
        <v>0</v>
      </c>
      <c r="AE928" s="182" t="n">
        <v>0</v>
      </c>
      <c r="AF928" s="182" t="n">
        <v>0</v>
      </c>
      <c r="AG928" s="182" t="n">
        <v>0</v>
      </c>
      <c r="AH928" s="182" t="n">
        <v>0</v>
      </c>
      <c r="AI928" s="182" t="n">
        <v>0</v>
      </c>
      <c r="AJ928" s="182" t="n">
        <v>0</v>
      </c>
      <c r="AK928" s="182" t="n">
        <v>0</v>
      </c>
      <c r="AL928" s="182" t="n">
        <v>0</v>
      </c>
      <c r="AM928" s="182" t="n">
        <v>0.08</v>
      </c>
      <c r="AN928" s="182" t="n">
        <v>0</v>
      </c>
    </row>
    <row r="929">
      <c r="A929" s="155" t="n">
        <v>46086</v>
      </c>
      <c r="B929" s="156" t="inlineStr">
        <is>
          <t>DS</t>
        </is>
      </c>
      <c r="C929" s="156" t="inlineStr">
        <is>
          <t>EX-754</t>
        </is>
      </c>
      <c r="D929" s="156" t="inlineStr">
        <is>
          <t>SY750H-PRO</t>
        </is>
      </c>
      <c r="E929" s="156" t="inlineStr">
        <is>
          <t>Excavator</t>
        </is>
      </c>
      <c r="F929" s="156" t="inlineStr">
        <is>
          <t>Loading Coal</t>
        </is>
      </c>
      <c r="G929" s="182" t="n">
        <v>7.08</v>
      </c>
      <c r="H929" s="182" t="n">
        <v>3.83</v>
      </c>
      <c r="I929" s="182" t="n">
        <v>0</v>
      </c>
      <c r="J929" s="182" t="n">
        <v>3.83</v>
      </c>
      <c r="K929" s="182" t="n">
        <v>1.09</v>
      </c>
      <c r="L929" s="182" t="n">
        <v>12</v>
      </c>
      <c r="M929" s="182" t="n">
        <v>0</v>
      </c>
      <c r="N929" s="182" t="n">
        <v>7.08</v>
      </c>
      <c r="O929" s="183" t="n">
        <v>0</v>
      </c>
      <c r="P929" s="183" t="n">
        <v>77</v>
      </c>
      <c r="Q929" s="184" t="n">
        <v>0</v>
      </c>
      <c r="R929" s="184" t="n">
        <v>1416.1</v>
      </c>
      <c r="S929" s="183" t="n">
        <v>0</v>
      </c>
      <c r="T929" s="183" t="n">
        <v>0</v>
      </c>
      <c r="U929" s="182" t="n">
        <v>0</v>
      </c>
      <c r="V929" s="182" t="n">
        <v>0</v>
      </c>
      <c r="W929" s="182" t="n">
        <v>0</v>
      </c>
      <c r="X929" s="182" t="n">
        <v>0.73</v>
      </c>
      <c r="Y929" s="182" t="n">
        <v>0</v>
      </c>
      <c r="Z929" s="182" t="n">
        <v>0</v>
      </c>
      <c r="AA929" s="182" t="n">
        <v>0</v>
      </c>
      <c r="AB929" s="182" t="n">
        <v>0</v>
      </c>
      <c r="AC929" s="182" t="n">
        <v>0</v>
      </c>
      <c r="AD929" s="182" t="n">
        <v>0</v>
      </c>
      <c r="AE929" s="182" t="n">
        <v>0</v>
      </c>
      <c r="AF929" s="182" t="n">
        <v>0</v>
      </c>
      <c r="AG929" s="182" t="n">
        <v>0</v>
      </c>
      <c r="AH929" s="182" t="n">
        <v>0.3</v>
      </c>
      <c r="AI929" s="182" t="n">
        <v>0</v>
      </c>
      <c r="AJ929" s="182" t="n">
        <v>0</v>
      </c>
      <c r="AK929" s="182" t="n">
        <v>0</v>
      </c>
      <c r="AL929" s="182" t="n">
        <v>0</v>
      </c>
      <c r="AM929" s="182" t="n">
        <v>0.06</v>
      </c>
      <c r="AN929" s="182" t="n">
        <v>0</v>
      </c>
    </row>
    <row r="930">
      <c r="A930" s="155" t="n">
        <v>46086</v>
      </c>
      <c r="B930" s="156" t="inlineStr">
        <is>
          <t>DS</t>
        </is>
      </c>
      <c r="C930" s="156" t="inlineStr">
        <is>
          <t>EX-755</t>
        </is>
      </c>
      <c r="D930" s="156" t="inlineStr">
        <is>
          <t>SY750H-PRO</t>
        </is>
      </c>
      <c r="E930" s="156" t="inlineStr">
        <is>
          <t>Excavator</t>
        </is>
      </c>
      <c r="F930" s="156" t="inlineStr">
        <is>
          <t>Loading Material Blending &amp; OB</t>
        </is>
      </c>
      <c r="G930" s="182" t="n">
        <v>8.550000000000001</v>
      </c>
      <c r="H930" s="182" t="n">
        <v>0</v>
      </c>
      <c r="I930" s="182" t="n">
        <v>0.17</v>
      </c>
      <c r="J930" s="182" t="n">
        <v>0.17</v>
      </c>
      <c r="K930" s="182" t="n">
        <v>3.28</v>
      </c>
      <c r="L930" s="182" t="n">
        <v>12</v>
      </c>
      <c r="M930" s="182" t="n">
        <v>8.25</v>
      </c>
      <c r="N930" s="182" t="n">
        <v>0</v>
      </c>
      <c r="O930" s="183" t="n">
        <v>120</v>
      </c>
      <c r="P930" s="183" t="n">
        <v>0</v>
      </c>
      <c r="Q930" s="184" t="n">
        <v>2023</v>
      </c>
      <c r="R930" s="184" t="n">
        <v>0</v>
      </c>
      <c r="S930" s="183" t="n">
        <v>0</v>
      </c>
      <c r="T930" s="183" t="n">
        <v>0</v>
      </c>
      <c r="U930" s="182" t="n">
        <v>0</v>
      </c>
      <c r="V930" s="182" t="n">
        <v>0</v>
      </c>
      <c r="W930" s="182" t="n">
        <v>0</v>
      </c>
      <c r="X930" s="182" t="n">
        <v>1.02</v>
      </c>
      <c r="Y930" s="182" t="n">
        <v>0</v>
      </c>
      <c r="Z930" s="182" t="n">
        <v>0</v>
      </c>
      <c r="AA930" s="182" t="n">
        <v>0</v>
      </c>
      <c r="AB930" s="182" t="n">
        <v>0</v>
      </c>
      <c r="AC930" s="182" t="n">
        <v>0</v>
      </c>
      <c r="AD930" s="182" t="n">
        <v>0</v>
      </c>
      <c r="AE930" s="182" t="n">
        <v>0</v>
      </c>
      <c r="AF930" s="182" t="n">
        <v>0</v>
      </c>
      <c r="AG930" s="182" t="n">
        <v>0</v>
      </c>
      <c r="AH930" s="182" t="n">
        <v>0</v>
      </c>
      <c r="AI930" s="182" t="n">
        <v>0</v>
      </c>
      <c r="AJ930" s="182" t="n">
        <v>2.18</v>
      </c>
      <c r="AK930" s="182" t="n">
        <v>0</v>
      </c>
      <c r="AL930" s="182" t="n">
        <v>0</v>
      </c>
      <c r="AM930" s="182" t="n">
        <v>0.08</v>
      </c>
      <c r="AN930" s="182" t="n">
        <v>0</v>
      </c>
    </row>
    <row r="931">
      <c r="A931" s="155" t="n">
        <v>46086</v>
      </c>
      <c r="B931" s="156" t="inlineStr">
        <is>
          <t>DS</t>
        </is>
      </c>
      <c r="C931" s="156" t="inlineStr">
        <is>
          <t>EX-752</t>
        </is>
      </c>
      <c r="D931" s="156" t="inlineStr">
        <is>
          <t>SY750H-PRO</t>
        </is>
      </c>
      <c r="E931" s="156" t="inlineStr">
        <is>
          <t>Excavator</t>
        </is>
      </c>
      <c r="F931" s="156" t="inlineStr"/>
      <c r="G931" s="182" t="n">
        <v>0</v>
      </c>
      <c r="H931" s="182" t="n">
        <v>0</v>
      </c>
      <c r="I931" s="182" t="n">
        <v>12</v>
      </c>
      <c r="J931" s="182" t="n">
        <v>12</v>
      </c>
      <c r="K931" s="182" t="n">
        <v>0</v>
      </c>
      <c r="L931" s="182" t="n">
        <v>12</v>
      </c>
      <c r="M931" s="182" t="n">
        <v>0</v>
      </c>
      <c r="N931" s="182" t="n">
        <v>0</v>
      </c>
      <c r="O931" s="183" t="n">
        <v>0</v>
      </c>
      <c r="P931" s="183" t="n">
        <v>0</v>
      </c>
      <c r="Q931" s="184" t="n">
        <v>0</v>
      </c>
      <c r="R931" s="184" t="n">
        <v>0</v>
      </c>
      <c r="S931" s="183" t="n">
        <v>0</v>
      </c>
      <c r="T931" s="183" t="n">
        <v>0</v>
      </c>
      <c r="U931" s="182" t="n">
        <v>0</v>
      </c>
      <c r="V931" s="182" t="n">
        <v>0</v>
      </c>
      <c r="W931" s="182" t="n">
        <v>0</v>
      </c>
      <c r="X931" s="182" t="n">
        <v>0</v>
      </c>
      <c r="Y931" s="182" t="n">
        <v>0</v>
      </c>
      <c r="Z931" s="182" t="n">
        <v>0</v>
      </c>
      <c r="AA931" s="182" t="n">
        <v>0</v>
      </c>
      <c r="AB931" s="182" t="n">
        <v>0</v>
      </c>
      <c r="AC931" s="182" t="n">
        <v>0</v>
      </c>
      <c r="AD931" s="182" t="n">
        <v>0</v>
      </c>
      <c r="AE931" s="182" t="n">
        <v>0</v>
      </c>
      <c r="AF931" s="182" t="n">
        <v>0</v>
      </c>
      <c r="AG931" s="182" t="n">
        <v>0</v>
      </c>
      <c r="AH931" s="182" t="n">
        <v>0</v>
      </c>
      <c r="AI931" s="182" t="n">
        <v>0</v>
      </c>
      <c r="AJ931" s="182" t="n">
        <v>0</v>
      </c>
      <c r="AK931" s="182" t="n">
        <v>0</v>
      </c>
      <c r="AL931" s="182" t="n">
        <v>0</v>
      </c>
      <c r="AM931" s="182" t="n">
        <v>0</v>
      </c>
      <c r="AN931" s="182" t="n">
        <v>0</v>
      </c>
    </row>
    <row r="932">
      <c r="A932" s="155" t="n">
        <v>46086</v>
      </c>
      <c r="B932" s="156" t="inlineStr">
        <is>
          <t>DS</t>
        </is>
      </c>
      <c r="C932" s="156" t="inlineStr">
        <is>
          <t>EX-751</t>
        </is>
      </c>
      <c r="D932" s="156" t="inlineStr">
        <is>
          <t>SY750H-PRO</t>
        </is>
      </c>
      <c r="E932" s="156" t="inlineStr">
        <is>
          <t>Excavator</t>
        </is>
      </c>
      <c r="F932" s="156" t="inlineStr"/>
      <c r="G932" s="182" t="n">
        <v>0</v>
      </c>
      <c r="H932" s="182" t="n">
        <v>0</v>
      </c>
      <c r="I932" s="182" t="n">
        <v>12</v>
      </c>
      <c r="J932" s="182" t="n">
        <v>12</v>
      </c>
      <c r="K932" s="182" t="n">
        <v>0</v>
      </c>
      <c r="L932" s="182" t="n">
        <v>12</v>
      </c>
      <c r="M932" s="182" t="n">
        <v>0</v>
      </c>
      <c r="N932" s="182" t="n">
        <v>0</v>
      </c>
      <c r="O932" s="183" t="n">
        <v>0</v>
      </c>
      <c r="P932" s="183" t="n">
        <v>0</v>
      </c>
      <c r="Q932" s="184" t="n">
        <v>0</v>
      </c>
      <c r="R932" s="184" t="n">
        <v>0</v>
      </c>
      <c r="S932" s="183" t="n">
        <v>0</v>
      </c>
      <c r="T932" s="183" t="n">
        <v>0</v>
      </c>
      <c r="U932" s="182" t="n">
        <v>0</v>
      </c>
      <c r="V932" s="182" t="n">
        <v>0</v>
      </c>
      <c r="W932" s="182" t="n">
        <v>0</v>
      </c>
      <c r="X932" s="182" t="n">
        <v>0</v>
      </c>
      <c r="Y932" s="182" t="n">
        <v>0</v>
      </c>
      <c r="Z932" s="182" t="n">
        <v>0</v>
      </c>
      <c r="AA932" s="182" t="n">
        <v>0</v>
      </c>
      <c r="AB932" s="182" t="n">
        <v>0</v>
      </c>
      <c r="AC932" s="182" t="n">
        <v>0</v>
      </c>
      <c r="AD932" s="182" t="n">
        <v>0</v>
      </c>
      <c r="AE932" s="182" t="n">
        <v>0</v>
      </c>
      <c r="AF932" s="182" t="n">
        <v>0</v>
      </c>
      <c r="AG932" s="182" t="n">
        <v>0</v>
      </c>
      <c r="AH932" s="182" t="n">
        <v>0</v>
      </c>
      <c r="AI932" s="182" t="n">
        <v>0</v>
      </c>
      <c r="AJ932" s="182" t="n">
        <v>0</v>
      </c>
      <c r="AK932" s="182" t="n">
        <v>0</v>
      </c>
      <c r="AL932" s="182" t="n">
        <v>0</v>
      </c>
      <c r="AM932" s="182" t="n">
        <v>0</v>
      </c>
      <c r="AN932" s="182" t="n">
        <v>0</v>
      </c>
    </row>
    <row r="933">
      <c r="A933" s="155" t="n">
        <v>46086</v>
      </c>
      <c r="B933" s="156" t="inlineStr">
        <is>
          <t>DS</t>
        </is>
      </c>
      <c r="C933" s="156" t="inlineStr">
        <is>
          <t>EX-753</t>
        </is>
      </c>
      <c r="D933" s="156" t="inlineStr">
        <is>
          <t>SY750H-PRO</t>
        </is>
      </c>
      <c r="E933" s="156" t="inlineStr">
        <is>
          <t>Excavator</t>
        </is>
      </c>
      <c r="F933" s="156" t="inlineStr">
        <is>
          <t>Loading Material Longsoran</t>
        </is>
      </c>
      <c r="G933" s="182" t="n">
        <v>8.77</v>
      </c>
      <c r="H933" s="182" t="n">
        <v>0</v>
      </c>
      <c r="I933" s="182" t="n">
        <v>0</v>
      </c>
      <c r="J933" s="182" t="n">
        <v>0</v>
      </c>
      <c r="K933" s="182" t="n">
        <v>3.23</v>
      </c>
      <c r="L933" s="182" t="n">
        <v>12</v>
      </c>
      <c r="M933" s="182" t="n">
        <v>8.220000000000001</v>
      </c>
      <c r="N933" s="182" t="n">
        <v>0</v>
      </c>
      <c r="O933" s="183" t="n">
        <v>137</v>
      </c>
      <c r="P933" s="183" t="n">
        <v>0</v>
      </c>
      <c r="Q933" s="184" t="n">
        <v>2235.8</v>
      </c>
      <c r="R933" s="184" t="n">
        <v>0</v>
      </c>
      <c r="S933" s="183" t="n">
        <v>0</v>
      </c>
      <c r="T933" s="183" t="n">
        <v>0</v>
      </c>
      <c r="U933" s="182" t="n">
        <v>0</v>
      </c>
      <c r="V933" s="182" t="n">
        <v>0</v>
      </c>
      <c r="W933" s="182" t="n">
        <v>0</v>
      </c>
      <c r="X933" s="182" t="n">
        <v>1</v>
      </c>
      <c r="Y933" s="182" t="n">
        <v>0</v>
      </c>
      <c r="Z933" s="182" t="n">
        <v>0.12</v>
      </c>
      <c r="AA933" s="182" t="n">
        <v>0</v>
      </c>
      <c r="AB933" s="182" t="n">
        <v>0</v>
      </c>
      <c r="AC933" s="182" t="n">
        <v>0</v>
      </c>
      <c r="AD933" s="182" t="n">
        <v>0</v>
      </c>
      <c r="AE933" s="182" t="n">
        <v>0</v>
      </c>
      <c r="AF933" s="182" t="n">
        <v>0</v>
      </c>
      <c r="AG933" s="182" t="n">
        <v>0</v>
      </c>
      <c r="AH933" s="182" t="n">
        <v>0</v>
      </c>
      <c r="AI933" s="182" t="n">
        <v>0</v>
      </c>
      <c r="AJ933" s="182" t="n">
        <v>2.03</v>
      </c>
      <c r="AK933" s="182" t="n">
        <v>0</v>
      </c>
      <c r="AL933" s="182" t="n">
        <v>0</v>
      </c>
      <c r="AM933" s="182" t="n">
        <v>0.08</v>
      </c>
      <c r="AN933" s="182" t="n">
        <v>0</v>
      </c>
    </row>
    <row r="934">
      <c r="A934" s="155" t="n">
        <v>46086</v>
      </c>
      <c r="B934" s="156" t="inlineStr">
        <is>
          <t>DS</t>
        </is>
      </c>
      <c r="C934" s="156" t="inlineStr">
        <is>
          <t>GD-012</t>
        </is>
      </c>
      <c r="D934" s="156" t="inlineStr">
        <is>
          <t>STG 230C - 8S</t>
        </is>
      </c>
      <c r="E934" s="156" t="inlineStr">
        <is>
          <t>Grader</t>
        </is>
      </c>
      <c r="F934" s="156" t="inlineStr"/>
      <c r="G934" s="182" t="n">
        <v>0</v>
      </c>
      <c r="H934" s="182" t="n">
        <v>0</v>
      </c>
      <c r="I934" s="182" t="n">
        <v>0</v>
      </c>
      <c r="J934" s="182" t="n">
        <v>0</v>
      </c>
      <c r="K934" s="182" t="n">
        <v>12</v>
      </c>
      <c r="L934" s="182" t="n">
        <v>12</v>
      </c>
      <c r="M934" s="182" t="n">
        <v>0</v>
      </c>
      <c r="N934" s="182" t="n">
        <v>0</v>
      </c>
      <c r="O934" s="183" t="n">
        <v>0</v>
      </c>
      <c r="P934" s="183" t="n">
        <v>0</v>
      </c>
      <c r="Q934" s="184" t="n">
        <v>0</v>
      </c>
      <c r="R934" s="184" t="n">
        <v>0</v>
      </c>
      <c r="S934" s="183" t="n">
        <v>0</v>
      </c>
      <c r="T934" s="183" t="n">
        <v>0</v>
      </c>
      <c r="U934" s="182" t="n">
        <v>0</v>
      </c>
      <c r="V934" s="182" t="n">
        <v>0</v>
      </c>
      <c r="W934" s="182" t="n">
        <v>0</v>
      </c>
      <c r="X934" s="182" t="n">
        <v>1</v>
      </c>
      <c r="Y934" s="182" t="n">
        <v>0</v>
      </c>
      <c r="Z934" s="182" t="n">
        <v>0</v>
      </c>
      <c r="AA934" s="182" t="n">
        <v>0</v>
      </c>
      <c r="AB934" s="182" t="n">
        <v>0</v>
      </c>
      <c r="AC934" s="182" t="n">
        <v>0</v>
      </c>
      <c r="AD934" s="182" t="n">
        <v>0</v>
      </c>
      <c r="AE934" s="182" t="n">
        <v>0</v>
      </c>
      <c r="AF934" s="182" t="n">
        <v>0</v>
      </c>
      <c r="AG934" s="182" t="n">
        <v>0</v>
      </c>
      <c r="AH934" s="182" t="n">
        <v>0</v>
      </c>
      <c r="AI934" s="182" t="n">
        <v>0</v>
      </c>
      <c r="AJ934" s="182" t="n">
        <v>0</v>
      </c>
      <c r="AK934" s="182" t="n">
        <v>10.92</v>
      </c>
      <c r="AL934" s="182" t="n">
        <v>0</v>
      </c>
      <c r="AM934" s="182" t="n">
        <v>0.08</v>
      </c>
      <c r="AN934" s="182" t="n">
        <v>0</v>
      </c>
    </row>
    <row r="935">
      <c r="A935" s="155" t="n">
        <v>46086</v>
      </c>
      <c r="B935" s="156" t="inlineStr">
        <is>
          <t>DS</t>
        </is>
      </c>
      <c r="C935" s="156" t="inlineStr">
        <is>
          <t>GD-011</t>
        </is>
      </c>
      <c r="D935" s="156" t="inlineStr">
        <is>
          <t>STG 230C - 8S</t>
        </is>
      </c>
      <c r="E935" s="156" t="inlineStr">
        <is>
          <t>Grader</t>
        </is>
      </c>
      <c r="F935" s="156" t="inlineStr"/>
      <c r="G935" s="182" t="n">
        <v>0</v>
      </c>
      <c r="H935" s="182" t="n">
        <v>0</v>
      </c>
      <c r="I935" s="182" t="n">
        <v>12</v>
      </c>
      <c r="J935" s="182" t="n">
        <v>12</v>
      </c>
      <c r="K935" s="182" t="n">
        <v>0</v>
      </c>
      <c r="L935" s="182" t="n">
        <v>12</v>
      </c>
      <c r="M935" s="182" t="n">
        <v>0</v>
      </c>
      <c r="N935" s="182" t="n">
        <v>0</v>
      </c>
      <c r="O935" s="183" t="n">
        <v>0</v>
      </c>
      <c r="P935" s="183" t="n">
        <v>0</v>
      </c>
      <c r="Q935" s="184" t="n">
        <v>0</v>
      </c>
      <c r="R935" s="184" t="n">
        <v>0</v>
      </c>
      <c r="S935" s="183" t="n">
        <v>0</v>
      </c>
      <c r="T935" s="183" t="n">
        <v>0</v>
      </c>
      <c r="U935" s="182" t="n">
        <v>0</v>
      </c>
      <c r="V935" s="182" t="n">
        <v>0</v>
      </c>
      <c r="W935" s="182" t="n">
        <v>0</v>
      </c>
      <c r="X935" s="182" t="n">
        <v>0</v>
      </c>
      <c r="Y935" s="182" t="n">
        <v>0</v>
      </c>
      <c r="Z935" s="182" t="n">
        <v>0</v>
      </c>
      <c r="AA935" s="182" t="n">
        <v>0</v>
      </c>
      <c r="AB935" s="182" t="n">
        <v>0</v>
      </c>
      <c r="AC935" s="182" t="n">
        <v>0</v>
      </c>
      <c r="AD935" s="182" t="n">
        <v>0</v>
      </c>
      <c r="AE935" s="182" t="n">
        <v>0</v>
      </c>
      <c r="AF935" s="182" t="n">
        <v>0</v>
      </c>
      <c r="AG935" s="182" t="n">
        <v>0</v>
      </c>
      <c r="AH935" s="182" t="n">
        <v>0</v>
      </c>
      <c r="AI935" s="182" t="n">
        <v>0</v>
      </c>
      <c r="AJ935" s="182" t="n">
        <v>0</v>
      </c>
      <c r="AK935" s="182" t="n">
        <v>0</v>
      </c>
      <c r="AL935" s="182" t="n">
        <v>0</v>
      </c>
      <c r="AM935" s="182" t="n">
        <v>0</v>
      </c>
      <c r="AN935" s="182" t="n">
        <v>0</v>
      </c>
    </row>
    <row r="936">
      <c r="A936" s="155" t="n">
        <v>46086</v>
      </c>
      <c r="B936" s="156" t="inlineStr">
        <is>
          <t>DS</t>
        </is>
      </c>
      <c r="C936" s="156" t="inlineStr">
        <is>
          <t>GD-013</t>
        </is>
      </c>
      <c r="D936" s="156" t="inlineStr">
        <is>
          <t>STG 265C - 10</t>
        </is>
      </c>
      <c r="E936" s="156" t="inlineStr">
        <is>
          <t>Grader</t>
        </is>
      </c>
      <c r="F936" s="156" t="inlineStr">
        <is>
          <t>Road Maintenance</t>
        </is>
      </c>
      <c r="G936" s="182" t="n">
        <v>9.15</v>
      </c>
      <c r="H936" s="182" t="n">
        <v>0</v>
      </c>
      <c r="I936" s="182" t="n">
        <v>0.67</v>
      </c>
      <c r="J936" s="182" t="n">
        <v>0.67</v>
      </c>
      <c r="K936" s="182" t="n">
        <v>2.18</v>
      </c>
      <c r="L936" s="182" t="n">
        <v>12</v>
      </c>
      <c r="M936" s="182" t="n">
        <v>0</v>
      </c>
      <c r="N936" s="182" t="n">
        <v>0</v>
      </c>
      <c r="O936" s="183" t="n">
        <v>0</v>
      </c>
      <c r="P936" s="183" t="n">
        <v>0</v>
      </c>
      <c r="Q936" s="184" t="n">
        <v>0</v>
      </c>
      <c r="R936" s="184" t="n">
        <v>0</v>
      </c>
      <c r="S936" s="183" t="n">
        <v>0</v>
      </c>
      <c r="T936" s="183" t="n">
        <v>0</v>
      </c>
      <c r="U936" s="182" t="n">
        <v>0</v>
      </c>
      <c r="V936" s="182" t="n">
        <v>0</v>
      </c>
      <c r="W936" s="182" t="n">
        <v>0</v>
      </c>
      <c r="X936" s="182" t="n">
        <v>1.07</v>
      </c>
      <c r="Y936" s="182" t="n">
        <v>0</v>
      </c>
      <c r="Z936" s="182" t="n">
        <v>0</v>
      </c>
      <c r="AA936" s="182" t="n">
        <v>0</v>
      </c>
      <c r="AB936" s="182" t="n">
        <v>0</v>
      </c>
      <c r="AC936" s="182" t="n">
        <v>0</v>
      </c>
      <c r="AD936" s="182" t="n">
        <v>0</v>
      </c>
      <c r="AE936" s="182" t="n">
        <v>0</v>
      </c>
      <c r="AF936" s="182" t="n">
        <v>0</v>
      </c>
      <c r="AG936" s="182" t="n">
        <v>0</v>
      </c>
      <c r="AH936" s="182" t="n">
        <v>1.02</v>
      </c>
      <c r="AI936" s="182" t="n">
        <v>0</v>
      </c>
      <c r="AJ936" s="182" t="n">
        <v>0</v>
      </c>
      <c r="AK936" s="182" t="n">
        <v>0</v>
      </c>
      <c r="AL936" s="182" t="n">
        <v>0</v>
      </c>
      <c r="AM936" s="182" t="n">
        <v>0.09</v>
      </c>
      <c r="AN936" s="182" t="n">
        <v>0</v>
      </c>
    </row>
    <row r="937">
      <c r="A937" s="155" t="n">
        <v>46086</v>
      </c>
      <c r="B937" s="156" t="inlineStr">
        <is>
          <t>DS</t>
        </is>
      </c>
      <c r="C937" s="156" t="inlineStr">
        <is>
          <t>GD-014</t>
        </is>
      </c>
      <c r="D937" s="156" t="inlineStr">
        <is>
          <t>STG 335C - 10</t>
        </is>
      </c>
      <c r="E937" s="156" t="inlineStr">
        <is>
          <t>Grader</t>
        </is>
      </c>
      <c r="F937" s="156" t="inlineStr">
        <is>
          <t>Road Maintenance</t>
        </is>
      </c>
      <c r="G937" s="182" t="n">
        <v>6.01</v>
      </c>
      <c r="H937" s="182" t="n">
        <v>0</v>
      </c>
      <c r="I937" s="182" t="n">
        <v>0</v>
      </c>
      <c r="J937" s="182" t="n">
        <v>0</v>
      </c>
      <c r="K937" s="182" t="n">
        <v>5.99</v>
      </c>
      <c r="L937" s="182" t="n">
        <v>12</v>
      </c>
      <c r="M937" s="182" t="n">
        <v>0</v>
      </c>
      <c r="N937" s="182" t="n">
        <v>0</v>
      </c>
      <c r="O937" s="183" t="n">
        <v>0</v>
      </c>
      <c r="P937" s="183" t="n">
        <v>0</v>
      </c>
      <c r="Q937" s="184" t="n">
        <v>0</v>
      </c>
      <c r="R937" s="184" t="n">
        <v>0</v>
      </c>
      <c r="S937" s="183" t="n">
        <v>0</v>
      </c>
      <c r="T937" s="183" t="n">
        <v>0</v>
      </c>
      <c r="U937" s="182" t="n">
        <v>0</v>
      </c>
      <c r="V937" s="182" t="n">
        <v>0</v>
      </c>
      <c r="W937" s="182" t="n">
        <v>0</v>
      </c>
      <c r="X937" s="182" t="n">
        <v>0.98</v>
      </c>
      <c r="Y937" s="182" t="n">
        <v>0</v>
      </c>
      <c r="Z937" s="182" t="n">
        <v>0</v>
      </c>
      <c r="AA937" s="182" t="n">
        <v>0</v>
      </c>
      <c r="AB937" s="182" t="n">
        <v>0</v>
      </c>
      <c r="AC937" s="182" t="n">
        <v>0</v>
      </c>
      <c r="AD937" s="182" t="n">
        <v>0</v>
      </c>
      <c r="AE937" s="182" t="n">
        <v>0</v>
      </c>
      <c r="AF937" s="182" t="n">
        <v>0</v>
      </c>
      <c r="AG937" s="182" t="n">
        <v>0</v>
      </c>
      <c r="AH937" s="182" t="n">
        <v>0</v>
      </c>
      <c r="AI937" s="182" t="n">
        <v>0</v>
      </c>
      <c r="AJ937" s="182" t="n">
        <v>0</v>
      </c>
      <c r="AK937" s="182" t="n">
        <v>4.93</v>
      </c>
      <c r="AL937" s="182" t="n">
        <v>0</v>
      </c>
      <c r="AM937" s="182" t="n">
        <v>0.08</v>
      </c>
      <c r="AN937" s="182" t="n">
        <v>0</v>
      </c>
    </row>
    <row r="938">
      <c r="A938" s="155" t="n">
        <v>46086</v>
      </c>
      <c r="B938" s="156" t="inlineStr">
        <is>
          <t>DS</t>
        </is>
      </c>
      <c r="C938" s="156" t="inlineStr">
        <is>
          <t>DT-809</t>
        </is>
      </c>
      <c r="D938" s="156" t="inlineStr">
        <is>
          <t>SKT 80S</t>
        </is>
      </c>
      <c r="E938" s="156" t="inlineStr">
        <is>
          <t>Hauler</t>
        </is>
      </c>
      <c r="F938" s="156" t="inlineStr"/>
      <c r="G938" s="182" t="n">
        <v>0</v>
      </c>
      <c r="H938" s="182" t="n">
        <v>0</v>
      </c>
      <c r="I938" s="182" t="n">
        <v>0</v>
      </c>
      <c r="J938" s="182" t="n">
        <v>0</v>
      </c>
      <c r="K938" s="182" t="n">
        <v>12</v>
      </c>
      <c r="L938" s="182" t="n">
        <v>12</v>
      </c>
      <c r="M938" s="182" t="n">
        <v>0</v>
      </c>
      <c r="N938" s="182" t="n">
        <v>0</v>
      </c>
      <c r="O938" s="183" t="n">
        <v>0</v>
      </c>
      <c r="P938" s="183" t="n">
        <v>0</v>
      </c>
      <c r="Q938" s="184" t="n">
        <v>0</v>
      </c>
      <c r="R938" s="184" t="n">
        <v>0</v>
      </c>
      <c r="S938" s="183" t="n">
        <v>0</v>
      </c>
      <c r="T938" s="183" t="n">
        <v>0</v>
      </c>
      <c r="U938" s="182" t="n">
        <v>0</v>
      </c>
      <c r="V938" s="182" t="n">
        <v>0</v>
      </c>
      <c r="W938" s="182" t="n">
        <v>0</v>
      </c>
      <c r="X938" s="182" t="n">
        <v>1</v>
      </c>
      <c r="Y938" s="182" t="n">
        <v>0</v>
      </c>
      <c r="Z938" s="182" t="n">
        <v>0</v>
      </c>
      <c r="AA938" s="182" t="n">
        <v>0</v>
      </c>
      <c r="AB938" s="182" t="n">
        <v>0</v>
      </c>
      <c r="AC938" s="182" t="n">
        <v>0</v>
      </c>
      <c r="AD938" s="182" t="n">
        <v>0</v>
      </c>
      <c r="AE938" s="182" t="n">
        <v>0</v>
      </c>
      <c r="AF938" s="182" t="n">
        <v>0</v>
      </c>
      <c r="AG938" s="182" t="n">
        <v>0</v>
      </c>
      <c r="AH938" s="182" t="n">
        <v>0</v>
      </c>
      <c r="AI938" s="182" t="n">
        <v>0</v>
      </c>
      <c r="AJ938" s="182" t="n">
        <v>0</v>
      </c>
      <c r="AK938" s="182" t="n">
        <v>10.92</v>
      </c>
      <c r="AL938" s="182" t="n">
        <v>0</v>
      </c>
      <c r="AM938" s="182" t="n">
        <v>0.08</v>
      </c>
      <c r="AN938" s="182" t="n">
        <v>0</v>
      </c>
    </row>
    <row r="939">
      <c r="A939" s="155" t="n">
        <v>46086</v>
      </c>
      <c r="B939" s="156" t="inlineStr">
        <is>
          <t>DS</t>
        </is>
      </c>
      <c r="C939" s="156" t="inlineStr">
        <is>
          <t>DT-806</t>
        </is>
      </c>
      <c r="D939" s="156" t="inlineStr">
        <is>
          <t>SKT 80S</t>
        </is>
      </c>
      <c r="E939" s="156" t="inlineStr">
        <is>
          <t>Hauler</t>
        </is>
      </c>
      <c r="F939" s="156" t="inlineStr"/>
      <c r="G939" s="182" t="n">
        <v>0</v>
      </c>
      <c r="H939" s="182" t="n">
        <v>0</v>
      </c>
      <c r="I939" s="182" t="n">
        <v>0</v>
      </c>
      <c r="J939" s="182" t="n">
        <v>0</v>
      </c>
      <c r="K939" s="182" t="n">
        <v>12</v>
      </c>
      <c r="L939" s="182" t="n">
        <v>12</v>
      </c>
      <c r="M939" s="182" t="n">
        <v>0</v>
      </c>
      <c r="N939" s="182" t="n">
        <v>0</v>
      </c>
      <c r="O939" s="183" t="n">
        <v>0</v>
      </c>
      <c r="P939" s="183" t="n">
        <v>0</v>
      </c>
      <c r="Q939" s="184" t="n">
        <v>0</v>
      </c>
      <c r="R939" s="184" t="n">
        <v>0</v>
      </c>
      <c r="S939" s="183" t="n">
        <v>0</v>
      </c>
      <c r="T939" s="183" t="n">
        <v>0</v>
      </c>
      <c r="U939" s="182" t="n">
        <v>0</v>
      </c>
      <c r="V939" s="182" t="n">
        <v>0</v>
      </c>
      <c r="W939" s="182" t="n">
        <v>0</v>
      </c>
      <c r="X939" s="182" t="n">
        <v>1</v>
      </c>
      <c r="Y939" s="182" t="n">
        <v>0</v>
      </c>
      <c r="Z939" s="182" t="n">
        <v>0</v>
      </c>
      <c r="AA939" s="182" t="n">
        <v>0</v>
      </c>
      <c r="AB939" s="182" t="n">
        <v>0</v>
      </c>
      <c r="AC939" s="182" t="n">
        <v>0</v>
      </c>
      <c r="AD939" s="182" t="n">
        <v>0</v>
      </c>
      <c r="AE939" s="182" t="n">
        <v>0</v>
      </c>
      <c r="AF939" s="182" t="n">
        <v>0</v>
      </c>
      <c r="AG939" s="182" t="n">
        <v>0</v>
      </c>
      <c r="AH939" s="182" t="n">
        <v>0</v>
      </c>
      <c r="AI939" s="182" t="n">
        <v>0</v>
      </c>
      <c r="AJ939" s="182" t="n">
        <v>0</v>
      </c>
      <c r="AK939" s="182" t="n">
        <v>10.92</v>
      </c>
      <c r="AL939" s="182" t="n">
        <v>0</v>
      </c>
      <c r="AM939" s="182" t="n">
        <v>0.08</v>
      </c>
      <c r="AN939" s="182" t="n">
        <v>0</v>
      </c>
    </row>
    <row r="940">
      <c r="A940" s="155" t="n">
        <v>46086</v>
      </c>
      <c r="B940" s="156" t="inlineStr">
        <is>
          <t>DS</t>
        </is>
      </c>
      <c r="C940" s="156" t="inlineStr">
        <is>
          <t>DT-805</t>
        </is>
      </c>
      <c r="D940" s="156" t="inlineStr">
        <is>
          <t>SKT 80S</t>
        </is>
      </c>
      <c r="E940" s="156" t="inlineStr">
        <is>
          <t>Hauler</t>
        </is>
      </c>
      <c r="F940" s="156" t="inlineStr"/>
      <c r="G940" s="182" t="n">
        <v>0</v>
      </c>
      <c r="H940" s="182" t="n">
        <v>0</v>
      </c>
      <c r="I940" s="182" t="n">
        <v>0</v>
      </c>
      <c r="J940" s="182" t="n">
        <v>0</v>
      </c>
      <c r="K940" s="182" t="n">
        <v>12</v>
      </c>
      <c r="L940" s="182" t="n">
        <v>12</v>
      </c>
      <c r="M940" s="182" t="n">
        <v>0</v>
      </c>
      <c r="N940" s="182" t="n">
        <v>0</v>
      </c>
      <c r="O940" s="183" t="n">
        <v>0</v>
      </c>
      <c r="P940" s="183" t="n">
        <v>0</v>
      </c>
      <c r="Q940" s="184" t="n">
        <v>0</v>
      </c>
      <c r="R940" s="184" t="n">
        <v>0</v>
      </c>
      <c r="S940" s="183" t="n">
        <v>0</v>
      </c>
      <c r="T940" s="183" t="n">
        <v>0</v>
      </c>
      <c r="U940" s="182" t="n">
        <v>0</v>
      </c>
      <c r="V940" s="182" t="n">
        <v>0</v>
      </c>
      <c r="W940" s="182" t="n">
        <v>0</v>
      </c>
      <c r="X940" s="182" t="n">
        <v>1</v>
      </c>
      <c r="Y940" s="182" t="n">
        <v>0</v>
      </c>
      <c r="Z940" s="182" t="n">
        <v>0</v>
      </c>
      <c r="AA940" s="182" t="n">
        <v>0</v>
      </c>
      <c r="AB940" s="182" t="n">
        <v>0</v>
      </c>
      <c r="AC940" s="182" t="n">
        <v>0</v>
      </c>
      <c r="AD940" s="182" t="n">
        <v>0</v>
      </c>
      <c r="AE940" s="182" t="n">
        <v>0</v>
      </c>
      <c r="AF940" s="182" t="n">
        <v>0</v>
      </c>
      <c r="AG940" s="182" t="n">
        <v>0</v>
      </c>
      <c r="AH940" s="182" t="n">
        <v>0</v>
      </c>
      <c r="AI940" s="182" t="n">
        <v>0</v>
      </c>
      <c r="AJ940" s="182" t="n">
        <v>0</v>
      </c>
      <c r="AK940" s="182" t="n">
        <v>10.92</v>
      </c>
      <c r="AL940" s="182" t="n">
        <v>0</v>
      </c>
      <c r="AM940" s="182" t="n">
        <v>0.08</v>
      </c>
      <c r="AN940" s="182" t="n">
        <v>0</v>
      </c>
    </row>
    <row r="941">
      <c r="A941" s="155" t="n">
        <v>46086</v>
      </c>
      <c r="B941" s="156" t="inlineStr">
        <is>
          <t>DS</t>
        </is>
      </c>
      <c r="C941" s="156" t="inlineStr">
        <is>
          <t>DT-801</t>
        </is>
      </c>
      <c r="D941" s="156" t="inlineStr">
        <is>
          <t>SKT 80S</t>
        </is>
      </c>
      <c r="E941" s="156" t="inlineStr">
        <is>
          <t>Hauler</t>
        </is>
      </c>
      <c r="F941" s="156" t="inlineStr"/>
      <c r="G941" s="182" t="n">
        <v>0</v>
      </c>
      <c r="H941" s="182" t="n">
        <v>0</v>
      </c>
      <c r="I941" s="182" t="n">
        <v>0</v>
      </c>
      <c r="J941" s="182" t="n">
        <v>0</v>
      </c>
      <c r="K941" s="182" t="n">
        <v>12</v>
      </c>
      <c r="L941" s="182" t="n">
        <v>12</v>
      </c>
      <c r="M941" s="182" t="n">
        <v>0</v>
      </c>
      <c r="N941" s="182" t="n">
        <v>0</v>
      </c>
      <c r="O941" s="183" t="n">
        <v>0</v>
      </c>
      <c r="P941" s="183" t="n">
        <v>0</v>
      </c>
      <c r="Q941" s="184" t="n">
        <v>0</v>
      </c>
      <c r="R941" s="184" t="n">
        <v>0</v>
      </c>
      <c r="S941" s="183" t="n">
        <v>0</v>
      </c>
      <c r="T941" s="183" t="n">
        <v>0</v>
      </c>
      <c r="U941" s="182" t="n">
        <v>0</v>
      </c>
      <c r="V941" s="182" t="n">
        <v>0</v>
      </c>
      <c r="W941" s="182" t="n">
        <v>0</v>
      </c>
      <c r="X941" s="182" t="n">
        <v>1</v>
      </c>
      <c r="Y941" s="182" t="n">
        <v>0</v>
      </c>
      <c r="Z941" s="182" t="n">
        <v>0</v>
      </c>
      <c r="AA941" s="182" t="n">
        <v>0</v>
      </c>
      <c r="AB941" s="182" t="n">
        <v>0</v>
      </c>
      <c r="AC941" s="182" t="n">
        <v>0</v>
      </c>
      <c r="AD941" s="182" t="n">
        <v>0</v>
      </c>
      <c r="AE941" s="182" t="n">
        <v>0</v>
      </c>
      <c r="AF941" s="182" t="n">
        <v>0</v>
      </c>
      <c r="AG941" s="182" t="n">
        <v>0</v>
      </c>
      <c r="AH941" s="182" t="n">
        <v>0</v>
      </c>
      <c r="AI941" s="182" t="n">
        <v>0</v>
      </c>
      <c r="AJ941" s="182" t="n">
        <v>0</v>
      </c>
      <c r="AK941" s="182" t="n">
        <v>10.92</v>
      </c>
      <c r="AL941" s="182" t="n">
        <v>0</v>
      </c>
      <c r="AM941" s="182" t="n">
        <v>0.08</v>
      </c>
      <c r="AN941" s="182" t="n">
        <v>0</v>
      </c>
    </row>
    <row r="942">
      <c r="A942" s="155" t="n">
        <v>46086</v>
      </c>
      <c r="B942" s="156" t="inlineStr">
        <is>
          <t>DS</t>
        </is>
      </c>
      <c r="C942" s="156" t="inlineStr">
        <is>
          <t>DT-808</t>
        </is>
      </c>
      <c r="D942" s="156" t="inlineStr">
        <is>
          <t>SKT 80S</t>
        </is>
      </c>
      <c r="E942" s="156" t="inlineStr">
        <is>
          <t>Hauler</t>
        </is>
      </c>
      <c r="F942" s="156" t="inlineStr">
        <is>
          <t>Hauling Lumpur dari Washing Plant</t>
        </is>
      </c>
      <c r="G942" s="182" t="n">
        <v>7.34</v>
      </c>
      <c r="H942" s="182" t="n">
        <v>0</v>
      </c>
      <c r="I942" s="182" t="n">
        <v>0</v>
      </c>
      <c r="J942" s="182" t="n">
        <v>0</v>
      </c>
      <c r="K942" s="182" t="n">
        <v>4.66</v>
      </c>
      <c r="L942" s="182" t="n">
        <v>12</v>
      </c>
      <c r="M942" s="182" t="n">
        <v>0</v>
      </c>
      <c r="N942" s="182" t="n">
        <v>0</v>
      </c>
      <c r="O942" s="183" t="n">
        <v>0</v>
      </c>
      <c r="P942" s="183" t="n">
        <v>0</v>
      </c>
      <c r="Q942" s="184" t="n">
        <v>0</v>
      </c>
      <c r="R942" s="184" t="n">
        <v>0</v>
      </c>
      <c r="S942" s="183" t="n">
        <v>0</v>
      </c>
      <c r="T942" s="183" t="n">
        <v>0</v>
      </c>
      <c r="U942" s="182" t="n">
        <v>0</v>
      </c>
      <c r="V942" s="182" t="n">
        <v>0</v>
      </c>
      <c r="W942" s="182" t="n">
        <v>0</v>
      </c>
      <c r="X942" s="182" t="n">
        <v>1.04</v>
      </c>
      <c r="Y942" s="182" t="n">
        <v>0</v>
      </c>
      <c r="Z942" s="182" t="n">
        <v>0</v>
      </c>
      <c r="AA942" s="182" t="n">
        <v>0</v>
      </c>
      <c r="AB942" s="182" t="n">
        <v>0</v>
      </c>
      <c r="AC942" s="182" t="n">
        <v>0</v>
      </c>
      <c r="AD942" s="182" t="n">
        <v>0</v>
      </c>
      <c r="AE942" s="182" t="n">
        <v>0</v>
      </c>
      <c r="AF942" s="182" t="n">
        <v>0</v>
      </c>
      <c r="AG942" s="182" t="n">
        <v>0</v>
      </c>
      <c r="AH942" s="182" t="n">
        <v>0</v>
      </c>
      <c r="AI942" s="182" t="n">
        <v>0</v>
      </c>
      <c r="AJ942" s="182" t="n">
        <v>0</v>
      </c>
      <c r="AK942" s="182" t="n">
        <v>3.54</v>
      </c>
      <c r="AL942" s="182" t="n">
        <v>0</v>
      </c>
      <c r="AM942" s="182" t="n">
        <v>0.08</v>
      </c>
      <c r="AN942" s="182" t="n">
        <v>0</v>
      </c>
    </row>
    <row r="943">
      <c r="A943" s="155" t="n">
        <v>46086</v>
      </c>
      <c r="B943" s="156" t="inlineStr">
        <is>
          <t>DS</t>
        </is>
      </c>
      <c r="C943" s="156" t="inlineStr">
        <is>
          <t>DT-811</t>
        </is>
      </c>
      <c r="D943" s="156" t="inlineStr">
        <is>
          <t>SKT 80S</t>
        </is>
      </c>
      <c r="E943" s="156" t="inlineStr">
        <is>
          <t>Hauler</t>
        </is>
      </c>
      <c r="F943" s="156" t="inlineStr">
        <is>
          <t>Hauling Coal</t>
        </is>
      </c>
      <c r="G943" s="182" t="n">
        <v>0.4</v>
      </c>
      <c r="H943" s="182" t="n">
        <v>0</v>
      </c>
      <c r="I943" s="182" t="n">
        <v>3.2</v>
      </c>
      <c r="J943" s="182" t="n">
        <v>3.2</v>
      </c>
      <c r="K943" s="182" t="n">
        <v>8.4</v>
      </c>
      <c r="L943" s="182" t="n">
        <v>12</v>
      </c>
      <c r="M943" s="182" t="n">
        <v>0</v>
      </c>
      <c r="N943" s="182" t="n">
        <v>0.4</v>
      </c>
      <c r="O943" s="183" t="n">
        <v>0</v>
      </c>
      <c r="P943" s="183" t="n">
        <v>1</v>
      </c>
      <c r="Q943" s="184" t="n">
        <v>0</v>
      </c>
      <c r="R943" s="184" t="n">
        <v>15.3</v>
      </c>
      <c r="S943" s="183" t="n">
        <v>0</v>
      </c>
      <c r="T943" s="183" t="n">
        <v>0</v>
      </c>
      <c r="U943" s="182" t="n">
        <v>0</v>
      </c>
      <c r="V943" s="182" t="n">
        <v>0</v>
      </c>
      <c r="W943" s="182" t="n">
        <v>0</v>
      </c>
      <c r="X943" s="182" t="n">
        <v>1</v>
      </c>
      <c r="Y943" s="182" t="n">
        <v>0</v>
      </c>
      <c r="Z943" s="182" t="n">
        <v>0</v>
      </c>
      <c r="AA943" s="182" t="n">
        <v>0</v>
      </c>
      <c r="AB943" s="182" t="n">
        <v>0</v>
      </c>
      <c r="AC943" s="182" t="n">
        <v>0</v>
      </c>
      <c r="AD943" s="182" t="n">
        <v>0</v>
      </c>
      <c r="AE943" s="182" t="n">
        <v>0</v>
      </c>
      <c r="AF943" s="182" t="n">
        <v>0</v>
      </c>
      <c r="AG943" s="182" t="n">
        <v>0</v>
      </c>
      <c r="AH943" s="182" t="n">
        <v>0</v>
      </c>
      <c r="AI943" s="182" t="n">
        <v>0</v>
      </c>
      <c r="AJ943" s="182" t="n">
        <v>0</v>
      </c>
      <c r="AK943" s="182" t="n">
        <v>7.32</v>
      </c>
      <c r="AL943" s="182" t="n">
        <v>0</v>
      </c>
      <c r="AM943" s="182" t="n">
        <v>0.08</v>
      </c>
      <c r="AN943" s="182" t="n">
        <v>0</v>
      </c>
    </row>
    <row r="944">
      <c r="A944" s="155" t="n">
        <v>46086</v>
      </c>
      <c r="B944" s="156" t="inlineStr">
        <is>
          <t>DS</t>
        </is>
      </c>
      <c r="C944" s="156" t="inlineStr">
        <is>
          <t>DT-802</t>
        </is>
      </c>
      <c r="D944" s="156" t="inlineStr">
        <is>
          <t>SKT 80S</t>
        </is>
      </c>
      <c r="E944" s="156" t="inlineStr">
        <is>
          <t>Hauler</t>
        </is>
      </c>
      <c r="F944" s="156" t="inlineStr"/>
      <c r="G944" s="182" t="n">
        <v>0</v>
      </c>
      <c r="H944" s="182" t="n">
        <v>0</v>
      </c>
      <c r="I944" s="182" t="n">
        <v>12</v>
      </c>
      <c r="J944" s="182" t="n">
        <v>12</v>
      </c>
      <c r="K944" s="182" t="n">
        <v>0</v>
      </c>
      <c r="L944" s="182" t="n">
        <v>12</v>
      </c>
      <c r="M944" s="182" t="n">
        <v>0</v>
      </c>
      <c r="N944" s="182" t="n">
        <v>0</v>
      </c>
      <c r="O944" s="183" t="n">
        <v>0</v>
      </c>
      <c r="P944" s="183" t="n">
        <v>0</v>
      </c>
      <c r="Q944" s="184" t="n">
        <v>0</v>
      </c>
      <c r="R944" s="184" t="n">
        <v>0</v>
      </c>
      <c r="S944" s="183" t="n">
        <v>0</v>
      </c>
      <c r="T944" s="183" t="n">
        <v>0</v>
      </c>
      <c r="U944" s="182" t="n">
        <v>0</v>
      </c>
      <c r="V944" s="182" t="n">
        <v>0</v>
      </c>
      <c r="W944" s="182" t="n">
        <v>0</v>
      </c>
      <c r="X944" s="182" t="n">
        <v>0</v>
      </c>
      <c r="Y944" s="182" t="n">
        <v>0</v>
      </c>
      <c r="Z944" s="182" t="n">
        <v>0</v>
      </c>
      <c r="AA944" s="182" t="n">
        <v>0</v>
      </c>
      <c r="AB944" s="182" t="n">
        <v>0</v>
      </c>
      <c r="AC944" s="182" t="n">
        <v>0</v>
      </c>
      <c r="AD944" s="182" t="n">
        <v>0</v>
      </c>
      <c r="AE944" s="182" t="n">
        <v>0</v>
      </c>
      <c r="AF944" s="182" t="n">
        <v>0</v>
      </c>
      <c r="AG944" s="182" t="n">
        <v>0</v>
      </c>
      <c r="AH944" s="182" t="n">
        <v>0</v>
      </c>
      <c r="AI944" s="182" t="n">
        <v>0</v>
      </c>
      <c r="AJ944" s="182" t="n">
        <v>0</v>
      </c>
      <c r="AK944" s="182" t="n">
        <v>0</v>
      </c>
      <c r="AL944" s="182" t="n">
        <v>0</v>
      </c>
      <c r="AM944" s="182" t="n">
        <v>0</v>
      </c>
      <c r="AN944" s="182" t="n">
        <v>0</v>
      </c>
    </row>
    <row r="945">
      <c r="A945" s="155" t="n">
        <v>46086</v>
      </c>
      <c r="B945" s="156" t="inlineStr">
        <is>
          <t>DS</t>
        </is>
      </c>
      <c r="C945" s="156" t="inlineStr">
        <is>
          <t>DT-807</t>
        </is>
      </c>
      <c r="D945" s="156" t="inlineStr">
        <is>
          <t>SKT 80S</t>
        </is>
      </c>
      <c r="E945" s="156" t="inlineStr">
        <is>
          <t>Hauler</t>
        </is>
      </c>
      <c r="F945" s="156" t="inlineStr"/>
      <c r="G945" s="182" t="n">
        <v>0</v>
      </c>
      <c r="H945" s="182" t="n">
        <v>0</v>
      </c>
      <c r="I945" s="182" t="n">
        <v>4</v>
      </c>
      <c r="J945" s="182" t="n">
        <v>4</v>
      </c>
      <c r="K945" s="182" t="n">
        <v>8</v>
      </c>
      <c r="L945" s="182" t="n">
        <v>12</v>
      </c>
      <c r="M945" s="182" t="n">
        <v>0</v>
      </c>
      <c r="N945" s="182" t="n">
        <v>0</v>
      </c>
      <c r="O945" s="183" t="n">
        <v>0</v>
      </c>
      <c r="P945" s="183" t="n">
        <v>0</v>
      </c>
      <c r="Q945" s="184" t="n">
        <v>0</v>
      </c>
      <c r="R945" s="184" t="n">
        <v>0</v>
      </c>
      <c r="S945" s="183" t="n">
        <v>0</v>
      </c>
      <c r="T945" s="183" t="n">
        <v>0</v>
      </c>
      <c r="U945" s="182" t="n">
        <v>0</v>
      </c>
      <c r="V945" s="182" t="n">
        <v>0</v>
      </c>
      <c r="W945" s="182" t="n">
        <v>0</v>
      </c>
      <c r="X945" s="182" t="n">
        <v>1</v>
      </c>
      <c r="Y945" s="182" t="n">
        <v>0</v>
      </c>
      <c r="Z945" s="182" t="n">
        <v>0</v>
      </c>
      <c r="AA945" s="182" t="n">
        <v>0</v>
      </c>
      <c r="AB945" s="182" t="n">
        <v>0</v>
      </c>
      <c r="AC945" s="182" t="n">
        <v>0</v>
      </c>
      <c r="AD945" s="182" t="n">
        <v>0</v>
      </c>
      <c r="AE945" s="182" t="n">
        <v>0</v>
      </c>
      <c r="AF945" s="182" t="n">
        <v>0</v>
      </c>
      <c r="AG945" s="182" t="n">
        <v>0</v>
      </c>
      <c r="AH945" s="182" t="n">
        <v>0</v>
      </c>
      <c r="AI945" s="182" t="n">
        <v>0</v>
      </c>
      <c r="AJ945" s="182" t="n">
        <v>0</v>
      </c>
      <c r="AK945" s="182" t="n">
        <v>6.92</v>
      </c>
      <c r="AL945" s="182" t="n">
        <v>0</v>
      </c>
      <c r="AM945" s="182" t="n">
        <v>0.08</v>
      </c>
      <c r="AN945" s="182" t="n">
        <v>0</v>
      </c>
    </row>
    <row r="946">
      <c r="A946" s="155" t="n">
        <v>46086</v>
      </c>
      <c r="B946" s="156" t="inlineStr">
        <is>
          <t>DS</t>
        </is>
      </c>
      <c r="C946" s="156" t="inlineStr">
        <is>
          <t>DT-812</t>
        </is>
      </c>
      <c r="D946" s="156" t="inlineStr">
        <is>
          <t>SKT 80S</t>
        </is>
      </c>
      <c r="E946" s="156" t="inlineStr">
        <is>
          <t>Hauler</t>
        </is>
      </c>
      <c r="F946" s="156" t="inlineStr"/>
      <c r="G946" s="182" t="n">
        <v>0</v>
      </c>
      <c r="H946" s="182" t="n">
        <v>0</v>
      </c>
      <c r="I946" s="182" t="n">
        <v>11.03</v>
      </c>
      <c r="J946" s="182" t="n">
        <v>11.03</v>
      </c>
      <c r="K946" s="182" t="n">
        <v>0.97</v>
      </c>
      <c r="L946" s="182" t="n">
        <v>12</v>
      </c>
      <c r="M946" s="182" t="n">
        <v>0</v>
      </c>
      <c r="N946" s="182" t="n">
        <v>0</v>
      </c>
      <c r="O946" s="183" t="n">
        <v>0</v>
      </c>
      <c r="P946" s="183" t="n">
        <v>0</v>
      </c>
      <c r="Q946" s="184" t="n">
        <v>0</v>
      </c>
      <c r="R946" s="184" t="n">
        <v>0</v>
      </c>
      <c r="S946" s="183" t="n">
        <v>0</v>
      </c>
      <c r="T946" s="183" t="n">
        <v>0</v>
      </c>
      <c r="U946" s="182" t="n">
        <v>0</v>
      </c>
      <c r="V946" s="182" t="n">
        <v>0</v>
      </c>
      <c r="W946" s="182" t="n">
        <v>0</v>
      </c>
      <c r="X946" s="182" t="n">
        <v>0.88</v>
      </c>
      <c r="Y946" s="182" t="n">
        <v>0</v>
      </c>
      <c r="Z946" s="182" t="n">
        <v>0</v>
      </c>
      <c r="AA946" s="182" t="n">
        <v>0</v>
      </c>
      <c r="AB946" s="182" t="n">
        <v>0</v>
      </c>
      <c r="AC946" s="182" t="n">
        <v>0</v>
      </c>
      <c r="AD946" s="182" t="n">
        <v>0</v>
      </c>
      <c r="AE946" s="182" t="n">
        <v>0</v>
      </c>
      <c r="AF946" s="182" t="n">
        <v>0</v>
      </c>
      <c r="AG946" s="182" t="n">
        <v>0</v>
      </c>
      <c r="AH946" s="182" t="n">
        <v>0</v>
      </c>
      <c r="AI946" s="182" t="n">
        <v>0</v>
      </c>
      <c r="AJ946" s="182" t="n">
        <v>0</v>
      </c>
      <c r="AK946" s="182" t="n">
        <v>0</v>
      </c>
      <c r="AL946" s="182" t="n">
        <v>0</v>
      </c>
      <c r="AM946" s="182" t="n">
        <v>0.08</v>
      </c>
      <c r="AN946" s="182" t="n">
        <v>0</v>
      </c>
    </row>
    <row r="947">
      <c r="A947" s="155" t="n">
        <v>46086</v>
      </c>
      <c r="B947" s="156" t="inlineStr">
        <is>
          <t>DS</t>
        </is>
      </c>
      <c r="C947" s="156" t="inlineStr">
        <is>
          <t>DT-803</t>
        </is>
      </c>
      <c r="D947" s="156" t="inlineStr">
        <is>
          <t>SKT 80S</t>
        </is>
      </c>
      <c r="E947" s="156" t="inlineStr">
        <is>
          <t>Hauler</t>
        </is>
      </c>
      <c r="F947" s="156" t="inlineStr"/>
      <c r="G947" s="182" t="n">
        <v>0</v>
      </c>
      <c r="H947" s="182" t="n">
        <v>0</v>
      </c>
      <c r="I947" s="182" t="n">
        <v>12</v>
      </c>
      <c r="J947" s="182" t="n">
        <v>12</v>
      </c>
      <c r="K947" s="182" t="n">
        <v>0</v>
      </c>
      <c r="L947" s="182" t="n">
        <v>12</v>
      </c>
      <c r="M947" s="182" t="n">
        <v>0</v>
      </c>
      <c r="N947" s="182" t="n">
        <v>0</v>
      </c>
      <c r="O947" s="183" t="n">
        <v>0</v>
      </c>
      <c r="P947" s="183" t="n">
        <v>0</v>
      </c>
      <c r="Q947" s="184" t="n">
        <v>0</v>
      </c>
      <c r="R947" s="184" t="n">
        <v>0</v>
      </c>
      <c r="S947" s="183" t="n">
        <v>0</v>
      </c>
      <c r="T947" s="183" t="n">
        <v>0</v>
      </c>
      <c r="U947" s="182" t="n">
        <v>0</v>
      </c>
      <c r="V947" s="182" t="n">
        <v>0</v>
      </c>
      <c r="W947" s="182" t="n">
        <v>0</v>
      </c>
      <c r="X947" s="182" t="n">
        <v>0</v>
      </c>
      <c r="Y947" s="182" t="n">
        <v>0</v>
      </c>
      <c r="Z947" s="182" t="n">
        <v>0</v>
      </c>
      <c r="AA947" s="182" t="n">
        <v>0</v>
      </c>
      <c r="AB947" s="182" t="n">
        <v>0</v>
      </c>
      <c r="AC947" s="182" t="n">
        <v>0</v>
      </c>
      <c r="AD947" s="182" t="n">
        <v>0</v>
      </c>
      <c r="AE947" s="182" t="n">
        <v>0</v>
      </c>
      <c r="AF947" s="182" t="n">
        <v>0</v>
      </c>
      <c r="AG947" s="182" t="n">
        <v>0</v>
      </c>
      <c r="AH947" s="182" t="n">
        <v>0</v>
      </c>
      <c r="AI947" s="182" t="n">
        <v>0</v>
      </c>
      <c r="AJ947" s="182" t="n">
        <v>0</v>
      </c>
      <c r="AK947" s="182" t="n">
        <v>0</v>
      </c>
      <c r="AL947" s="182" t="n">
        <v>0</v>
      </c>
      <c r="AM947" s="182" t="n">
        <v>0</v>
      </c>
      <c r="AN947" s="182" t="n">
        <v>0</v>
      </c>
    </row>
    <row r="948">
      <c r="A948" s="155" t="n">
        <v>46086</v>
      </c>
      <c r="B948" s="156" t="inlineStr">
        <is>
          <t>DS</t>
        </is>
      </c>
      <c r="C948" s="156" t="inlineStr">
        <is>
          <t>DT-810</t>
        </is>
      </c>
      <c r="D948" s="156" t="inlineStr">
        <is>
          <t>SKT 80S</t>
        </is>
      </c>
      <c r="E948" s="156" t="inlineStr">
        <is>
          <t>Hauler</t>
        </is>
      </c>
      <c r="F948" s="156" t="inlineStr">
        <is>
          <t>Hauling Lumpur dari Washing Plant&amp; Hauling Coal</t>
        </is>
      </c>
      <c r="G948" s="182" t="n">
        <v>8.23</v>
      </c>
      <c r="H948" s="182" t="n">
        <v>0</v>
      </c>
      <c r="I948" s="182" t="n">
        <v>0</v>
      </c>
      <c r="J948" s="182" t="n">
        <v>0</v>
      </c>
      <c r="K948" s="182" t="n">
        <v>3.77</v>
      </c>
      <c r="L948" s="182" t="n">
        <v>12</v>
      </c>
      <c r="M948" s="182" t="n">
        <v>0</v>
      </c>
      <c r="N948" s="182" t="n">
        <v>1.83</v>
      </c>
      <c r="O948" s="183" t="n">
        <v>0</v>
      </c>
      <c r="P948" s="183" t="n">
        <v>4</v>
      </c>
      <c r="Q948" s="184" t="n">
        <v>0</v>
      </c>
      <c r="R948" s="184" t="n">
        <v>61.2</v>
      </c>
      <c r="S948" s="183" t="n">
        <v>0</v>
      </c>
      <c r="T948" s="183" t="n">
        <v>0</v>
      </c>
      <c r="U948" s="182" t="n">
        <v>0</v>
      </c>
      <c r="V948" s="182" t="n">
        <v>0</v>
      </c>
      <c r="W948" s="182" t="n">
        <v>0</v>
      </c>
      <c r="X948" s="182" t="n">
        <v>0.97</v>
      </c>
      <c r="Y948" s="182" t="n">
        <v>0</v>
      </c>
      <c r="Z948" s="182" t="n">
        <v>0</v>
      </c>
      <c r="AA948" s="182" t="n">
        <v>0</v>
      </c>
      <c r="AB948" s="182" t="n">
        <v>0</v>
      </c>
      <c r="AC948" s="182" t="n">
        <v>0</v>
      </c>
      <c r="AD948" s="182" t="n">
        <v>0</v>
      </c>
      <c r="AE948" s="182" t="n">
        <v>0</v>
      </c>
      <c r="AF948" s="182" t="n">
        <v>0</v>
      </c>
      <c r="AG948" s="182" t="n">
        <v>0</v>
      </c>
      <c r="AH948" s="182" t="n">
        <v>0</v>
      </c>
      <c r="AI948" s="182" t="n">
        <v>0</v>
      </c>
      <c r="AJ948" s="182" t="n">
        <v>0</v>
      </c>
      <c r="AK948" s="182" t="n">
        <v>2.73</v>
      </c>
      <c r="AL948" s="182" t="n">
        <v>0</v>
      </c>
      <c r="AM948" s="182" t="n">
        <v>0.08</v>
      </c>
      <c r="AN948" s="182" t="n">
        <v>0</v>
      </c>
    </row>
    <row r="949">
      <c r="A949" s="155" t="n">
        <v>46086</v>
      </c>
      <c r="B949" s="156" t="inlineStr">
        <is>
          <t>DS</t>
        </is>
      </c>
      <c r="C949" s="156" t="inlineStr">
        <is>
          <t>DT-804</t>
        </is>
      </c>
      <c r="D949" s="156" t="inlineStr">
        <is>
          <t>SKT 80S</t>
        </is>
      </c>
      <c r="E949" s="156" t="inlineStr">
        <is>
          <t>Hauler</t>
        </is>
      </c>
      <c r="F949" s="156" t="inlineStr">
        <is>
          <t>Hauling Lumpur dari Washing Plant</t>
        </is>
      </c>
      <c r="G949" s="182" t="n">
        <v>7.12</v>
      </c>
      <c r="H949" s="182" t="n">
        <v>0</v>
      </c>
      <c r="I949" s="182" t="n">
        <v>0</v>
      </c>
      <c r="J949" s="182" t="n">
        <v>0</v>
      </c>
      <c r="K949" s="182" t="n">
        <v>4.88</v>
      </c>
      <c r="L949" s="182" t="n">
        <v>12</v>
      </c>
      <c r="M949" s="182" t="n">
        <v>0</v>
      </c>
      <c r="N949" s="182" t="n">
        <v>0</v>
      </c>
      <c r="O949" s="183" t="n">
        <v>0</v>
      </c>
      <c r="P949" s="183" t="n">
        <v>0</v>
      </c>
      <c r="Q949" s="184" t="n">
        <v>0</v>
      </c>
      <c r="R949" s="184" t="n">
        <v>0</v>
      </c>
      <c r="S949" s="183" t="n">
        <v>0</v>
      </c>
      <c r="T949" s="183" t="n">
        <v>0</v>
      </c>
      <c r="U949" s="182" t="n">
        <v>0</v>
      </c>
      <c r="V949" s="182" t="n">
        <v>0</v>
      </c>
      <c r="W949" s="182" t="n">
        <v>0</v>
      </c>
      <c r="X949" s="182" t="n">
        <v>1.04</v>
      </c>
      <c r="Y949" s="182" t="n">
        <v>0</v>
      </c>
      <c r="Z949" s="182" t="n">
        <v>0</v>
      </c>
      <c r="AA949" s="182" t="n">
        <v>0</v>
      </c>
      <c r="AB949" s="182" t="n">
        <v>0</v>
      </c>
      <c r="AC949" s="182" t="n">
        <v>0</v>
      </c>
      <c r="AD949" s="182" t="n">
        <v>0</v>
      </c>
      <c r="AE949" s="182" t="n">
        <v>0</v>
      </c>
      <c r="AF949" s="182" t="n">
        <v>0</v>
      </c>
      <c r="AG949" s="182" t="n">
        <v>0</v>
      </c>
      <c r="AH949" s="182" t="n">
        <v>0</v>
      </c>
      <c r="AI949" s="182" t="n">
        <v>0</v>
      </c>
      <c r="AJ949" s="182" t="n">
        <v>0</v>
      </c>
      <c r="AK949" s="182" t="n">
        <v>3.76</v>
      </c>
      <c r="AL949" s="182" t="n">
        <v>0</v>
      </c>
      <c r="AM949" s="182" t="n">
        <v>0.08</v>
      </c>
      <c r="AN949" s="182" t="n">
        <v>0</v>
      </c>
    </row>
    <row r="950">
      <c r="A950" s="155" t="n">
        <v>46086</v>
      </c>
      <c r="B950" s="156" t="inlineStr">
        <is>
          <t>DS</t>
        </is>
      </c>
      <c r="C950" s="156" t="inlineStr">
        <is>
          <t>DT-505</t>
        </is>
      </c>
      <c r="D950" s="156" t="inlineStr">
        <is>
          <t>SKT 105S</t>
        </is>
      </c>
      <c r="E950" s="156" t="inlineStr">
        <is>
          <t>Hauler</t>
        </is>
      </c>
      <c r="F950" s="156" t="inlineStr">
        <is>
          <t>Hauling Material Blendingan , OB &amp; Coal</t>
        </is>
      </c>
      <c r="G950" s="182" t="n">
        <v>10.23</v>
      </c>
      <c r="H950" s="182" t="n">
        <v>0</v>
      </c>
      <c r="I950" s="182" t="n">
        <v>0</v>
      </c>
      <c r="J950" s="182" t="n">
        <v>0</v>
      </c>
      <c r="K950" s="182" t="n">
        <v>1.77</v>
      </c>
      <c r="L950" s="182" t="n">
        <v>12</v>
      </c>
      <c r="M950" s="182" t="n">
        <v>8.26</v>
      </c>
      <c r="N950" s="182" t="n">
        <v>1.97</v>
      </c>
      <c r="O950" s="183" t="n">
        <v>34</v>
      </c>
      <c r="P950" s="183" t="n">
        <v>5</v>
      </c>
      <c r="Q950" s="184" t="n">
        <v>576.5</v>
      </c>
      <c r="R950" s="184" t="n">
        <v>93.5</v>
      </c>
      <c r="S950" s="183" t="n">
        <v>0</v>
      </c>
      <c r="T950" s="183" t="n">
        <v>0</v>
      </c>
      <c r="U950" s="182" t="n">
        <v>0</v>
      </c>
      <c r="V950" s="182" t="n">
        <v>0</v>
      </c>
      <c r="W950" s="182" t="n">
        <v>0</v>
      </c>
      <c r="X950" s="182" t="n">
        <v>1.11</v>
      </c>
      <c r="Y950" s="182" t="n">
        <v>0</v>
      </c>
      <c r="Z950" s="182" t="n">
        <v>0</v>
      </c>
      <c r="AA950" s="182" t="n">
        <v>0</v>
      </c>
      <c r="AB950" s="182" t="n">
        <v>0</v>
      </c>
      <c r="AC950" s="182" t="n">
        <v>0</v>
      </c>
      <c r="AD950" s="182" t="n">
        <v>0</v>
      </c>
      <c r="AE950" s="182" t="n">
        <v>0</v>
      </c>
      <c r="AF950" s="182" t="n">
        <v>0</v>
      </c>
      <c r="AG950" s="182" t="n">
        <v>0</v>
      </c>
      <c r="AH950" s="182" t="n">
        <v>0.58</v>
      </c>
      <c r="AI950" s="182" t="n">
        <v>0</v>
      </c>
      <c r="AJ950" s="182" t="n">
        <v>0</v>
      </c>
      <c r="AK950" s="182" t="n">
        <v>0</v>
      </c>
      <c r="AL950" s="182" t="n">
        <v>0</v>
      </c>
      <c r="AM950" s="182" t="n">
        <v>0.09</v>
      </c>
      <c r="AN950" s="182" t="n">
        <v>0</v>
      </c>
    </row>
    <row r="951">
      <c r="A951" s="155" t="n">
        <v>46086</v>
      </c>
      <c r="B951" s="156" t="inlineStr">
        <is>
          <t>DS</t>
        </is>
      </c>
      <c r="C951" s="156" t="inlineStr">
        <is>
          <t>DT-530</t>
        </is>
      </c>
      <c r="D951" s="156" t="inlineStr">
        <is>
          <t>SKT 105S</t>
        </is>
      </c>
      <c r="E951" s="156" t="inlineStr">
        <is>
          <t>Hauler</t>
        </is>
      </c>
      <c r="F951" s="156" t="inlineStr"/>
      <c r="G951" s="182" t="n">
        <v>0</v>
      </c>
      <c r="H951" s="182" t="n">
        <v>0</v>
      </c>
      <c r="I951" s="182" t="n">
        <v>12</v>
      </c>
      <c r="J951" s="182" t="n">
        <v>12</v>
      </c>
      <c r="K951" s="182" t="n">
        <v>0</v>
      </c>
      <c r="L951" s="182" t="n">
        <v>12</v>
      </c>
      <c r="M951" s="182" t="n">
        <v>0</v>
      </c>
      <c r="N951" s="182" t="n">
        <v>0</v>
      </c>
      <c r="O951" s="183" t="n">
        <v>0</v>
      </c>
      <c r="P951" s="183" t="n">
        <v>0</v>
      </c>
      <c r="Q951" s="184" t="n">
        <v>0</v>
      </c>
      <c r="R951" s="184" t="n">
        <v>0</v>
      </c>
      <c r="S951" s="183" t="n">
        <v>0</v>
      </c>
      <c r="T951" s="183" t="n">
        <v>0</v>
      </c>
      <c r="U951" s="182" t="n">
        <v>0</v>
      </c>
      <c r="V951" s="182" t="n">
        <v>0</v>
      </c>
      <c r="W951" s="182" t="n">
        <v>0</v>
      </c>
      <c r="X951" s="182" t="n">
        <v>0</v>
      </c>
      <c r="Y951" s="182" t="n">
        <v>0</v>
      </c>
      <c r="Z951" s="182" t="n">
        <v>0</v>
      </c>
      <c r="AA951" s="182" t="n">
        <v>0</v>
      </c>
      <c r="AB951" s="182" t="n">
        <v>0</v>
      </c>
      <c r="AC951" s="182" t="n">
        <v>0</v>
      </c>
      <c r="AD951" s="182" t="n">
        <v>0</v>
      </c>
      <c r="AE951" s="182" t="n">
        <v>0</v>
      </c>
      <c r="AF951" s="182" t="n">
        <v>0</v>
      </c>
      <c r="AG951" s="182" t="n">
        <v>0</v>
      </c>
      <c r="AH951" s="182" t="n">
        <v>0</v>
      </c>
      <c r="AI951" s="182" t="n">
        <v>0</v>
      </c>
      <c r="AJ951" s="182" t="n">
        <v>0</v>
      </c>
      <c r="AK951" s="182" t="n">
        <v>0</v>
      </c>
      <c r="AL951" s="182" t="n">
        <v>0</v>
      </c>
      <c r="AM951" s="182" t="n">
        <v>0</v>
      </c>
      <c r="AN951" s="182" t="n">
        <v>0</v>
      </c>
    </row>
    <row r="952">
      <c r="A952" s="155" t="n">
        <v>46086</v>
      </c>
      <c r="B952" s="156" t="inlineStr">
        <is>
          <t>DS</t>
        </is>
      </c>
      <c r="C952" s="156" t="inlineStr">
        <is>
          <t>DT-525</t>
        </is>
      </c>
      <c r="D952" s="156" t="inlineStr">
        <is>
          <t>SKT 105S</t>
        </is>
      </c>
      <c r="E952" s="156" t="inlineStr">
        <is>
          <t>Hauler</t>
        </is>
      </c>
      <c r="F952" s="156" t="inlineStr"/>
      <c r="G952" s="182" t="n">
        <v>0</v>
      </c>
      <c r="H952" s="182" t="n">
        <v>0</v>
      </c>
      <c r="I952" s="182" t="n">
        <v>12</v>
      </c>
      <c r="J952" s="182" t="n">
        <v>12</v>
      </c>
      <c r="K952" s="182" t="n">
        <v>0</v>
      </c>
      <c r="L952" s="182" t="n">
        <v>12</v>
      </c>
      <c r="M952" s="182" t="n">
        <v>0</v>
      </c>
      <c r="N952" s="182" t="n">
        <v>0</v>
      </c>
      <c r="O952" s="183" t="n">
        <v>0</v>
      </c>
      <c r="P952" s="183" t="n">
        <v>0</v>
      </c>
      <c r="Q952" s="184" t="n">
        <v>0</v>
      </c>
      <c r="R952" s="184" t="n">
        <v>0</v>
      </c>
      <c r="S952" s="183" t="n">
        <v>0</v>
      </c>
      <c r="T952" s="183" t="n">
        <v>0</v>
      </c>
      <c r="U952" s="182" t="n">
        <v>0</v>
      </c>
      <c r="V952" s="182" t="n">
        <v>0</v>
      </c>
      <c r="W952" s="182" t="n">
        <v>0</v>
      </c>
      <c r="X952" s="182" t="n">
        <v>0</v>
      </c>
      <c r="Y952" s="182" t="n">
        <v>0</v>
      </c>
      <c r="Z952" s="182" t="n">
        <v>0</v>
      </c>
      <c r="AA952" s="182" t="n">
        <v>0</v>
      </c>
      <c r="AB952" s="182" t="n">
        <v>0</v>
      </c>
      <c r="AC952" s="182" t="n">
        <v>0</v>
      </c>
      <c r="AD952" s="182" t="n">
        <v>0</v>
      </c>
      <c r="AE952" s="182" t="n">
        <v>0</v>
      </c>
      <c r="AF952" s="182" t="n">
        <v>0</v>
      </c>
      <c r="AG952" s="182" t="n">
        <v>0</v>
      </c>
      <c r="AH952" s="182" t="n">
        <v>0</v>
      </c>
      <c r="AI952" s="182" t="n">
        <v>0</v>
      </c>
      <c r="AJ952" s="182" t="n">
        <v>0</v>
      </c>
      <c r="AK952" s="182" t="n">
        <v>0</v>
      </c>
      <c r="AL952" s="182" t="n">
        <v>0</v>
      </c>
      <c r="AM952" s="182" t="n">
        <v>0</v>
      </c>
      <c r="AN952" s="182" t="n">
        <v>0</v>
      </c>
    </row>
    <row r="953">
      <c r="A953" s="155" t="n">
        <v>46086</v>
      </c>
      <c r="B953" s="156" t="inlineStr">
        <is>
          <t>DS</t>
        </is>
      </c>
      <c r="C953" s="156" t="inlineStr">
        <is>
          <t>DT-503</t>
        </is>
      </c>
      <c r="D953" s="156" t="inlineStr">
        <is>
          <t>SKT 105S</t>
        </is>
      </c>
      <c r="E953" s="156" t="inlineStr">
        <is>
          <t>Hauler</t>
        </is>
      </c>
      <c r="F953" s="156" t="inlineStr"/>
      <c r="G953" s="182" t="n">
        <v>0</v>
      </c>
      <c r="H953" s="182" t="n">
        <v>0</v>
      </c>
      <c r="I953" s="182" t="n">
        <v>12</v>
      </c>
      <c r="J953" s="182" t="n">
        <v>12</v>
      </c>
      <c r="K953" s="182" t="n">
        <v>0</v>
      </c>
      <c r="L953" s="182" t="n">
        <v>12</v>
      </c>
      <c r="M953" s="182" t="n">
        <v>0</v>
      </c>
      <c r="N953" s="182" t="n">
        <v>0</v>
      </c>
      <c r="O953" s="183" t="n">
        <v>0</v>
      </c>
      <c r="P953" s="183" t="n">
        <v>0</v>
      </c>
      <c r="Q953" s="184" t="n">
        <v>0</v>
      </c>
      <c r="R953" s="184" t="n">
        <v>0</v>
      </c>
      <c r="S953" s="183" t="n">
        <v>0</v>
      </c>
      <c r="T953" s="183" t="n">
        <v>0</v>
      </c>
      <c r="U953" s="182" t="n">
        <v>0</v>
      </c>
      <c r="V953" s="182" t="n">
        <v>0</v>
      </c>
      <c r="W953" s="182" t="n">
        <v>0</v>
      </c>
      <c r="X953" s="182" t="n">
        <v>0</v>
      </c>
      <c r="Y953" s="182" t="n">
        <v>0</v>
      </c>
      <c r="Z953" s="182" t="n">
        <v>0</v>
      </c>
      <c r="AA953" s="182" t="n">
        <v>0</v>
      </c>
      <c r="AB953" s="182" t="n">
        <v>0</v>
      </c>
      <c r="AC953" s="182" t="n">
        <v>0</v>
      </c>
      <c r="AD953" s="182" t="n">
        <v>0</v>
      </c>
      <c r="AE953" s="182" t="n">
        <v>0</v>
      </c>
      <c r="AF953" s="182" t="n">
        <v>0</v>
      </c>
      <c r="AG953" s="182" t="n">
        <v>0</v>
      </c>
      <c r="AH953" s="182" t="n">
        <v>0</v>
      </c>
      <c r="AI953" s="182" t="n">
        <v>0</v>
      </c>
      <c r="AJ953" s="182" t="n">
        <v>0</v>
      </c>
      <c r="AK953" s="182" t="n">
        <v>0</v>
      </c>
      <c r="AL953" s="182" t="n">
        <v>0</v>
      </c>
      <c r="AM953" s="182" t="n">
        <v>0</v>
      </c>
      <c r="AN953" s="182" t="n">
        <v>0</v>
      </c>
    </row>
    <row r="954">
      <c r="A954" s="155" t="n">
        <v>46086</v>
      </c>
      <c r="B954" s="156" t="inlineStr">
        <is>
          <t>DS</t>
        </is>
      </c>
      <c r="C954" s="156" t="inlineStr">
        <is>
          <t>DT-504</t>
        </is>
      </c>
      <c r="D954" s="156" t="inlineStr">
        <is>
          <t>SKT 105S</t>
        </is>
      </c>
      <c r="E954" s="156" t="inlineStr">
        <is>
          <t>Hauler</t>
        </is>
      </c>
      <c r="F954" s="156" t="inlineStr">
        <is>
          <t>Hauling Material Blendingan , OB &amp; Coal</t>
        </is>
      </c>
      <c r="G954" s="182" t="n">
        <v>10.58</v>
      </c>
      <c r="H954" s="182" t="n">
        <v>0</v>
      </c>
      <c r="I954" s="182" t="n">
        <v>0</v>
      </c>
      <c r="J954" s="182" t="n">
        <v>0</v>
      </c>
      <c r="K954" s="182" t="n">
        <v>1.42</v>
      </c>
      <c r="L954" s="182" t="n">
        <v>12</v>
      </c>
      <c r="M954" s="182" t="n">
        <v>8.529999999999999</v>
      </c>
      <c r="N954" s="182" t="n">
        <v>2.05</v>
      </c>
      <c r="O954" s="183" t="n">
        <v>34</v>
      </c>
      <c r="P954" s="183" t="n">
        <v>5</v>
      </c>
      <c r="Q954" s="184" t="n">
        <v>572.3</v>
      </c>
      <c r="R954" s="184" t="n">
        <v>93.5</v>
      </c>
      <c r="S954" s="183" t="n">
        <v>0</v>
      </c>
      <c r="T954" s="183" t="n">
        <v>0</v>
      </c>
      <c r="U954" s="182" t="n">
        <v>0</v>
      </c>
      <c r="V954" s="182" t="n">
        <v>0</v>
      </c>
      <c r="W954" s="182" t="n">
        <v>0</v>
      </c>
      <c r="X954" s="182" t="n">
        <v>0.84</v>
      </c>
      <c r="Y954" s="182" t="n">
        <v>0</v>
      </c>
      <c r="Z954" s="182" t="n">
        <v>0</v>
      </c>
      <c r="AA954" s="182" t="n">
        <v>0</v>
      </c>
      <c r="AB954" s="182" t="n">
        <v>0</v>
      </c>
      <c r="AC954" s="182" t="n">
        <v>0</v>
      </c>
      <c r="AD954" s="182" t="n">
        <v>0</v>
      </c>
      <c r="AE954" s="182" t="n">
        <v>0</v>
      </c>
      <c r="AF954" s="182" t="n">
        <v>0</v>
      </c>
      <c r="AG954" s="182" t="n">
        <v>0</v>
      </c>
      <c r="AH954" s="182" t="n">
        <v>0.52</v>
      </c>
      <c r="AI954" s="182" t="n">
        <v>0</v>
      </c>
      <c r="AJ954" s="182" t="n">
        <v>0</v>
      </c>
      <c r="AK954" s="182" t="n">
        <v>0</v>
      </c>
      <c r="AL954" s="182" t="n">
        <v>0</v>
      </c>
      <c r="AM954" s="182" t="n">
        <v>0.07000000000000001</v>
      </c>
      <c r="AN954" s="182" t="n">
        <v>0</v>
      </c>
    </row>
    <row r="955">
      <c r="A955" s="155" t="n">
        <v>46086</v>
      </c>
      <c r="B955" s="156" t="inlineStr">
        <is>
          <t>DS</t>
        </is>
      </c>
      <c r="C955" s="156" t="inlineStr">
        <is>
          <t>DT-507</t>
        </is>
      </c>
      <c r="D955" s="156" t="inlineStr">
        <is>
          <t>SKT 105S</t>
        </is>
      </c>
      <c r="E955" s="156" t="inlineStr">
        <is>
          <t>Hauler</t>
        </is>
      </c>
      <c r="F955" s="156" t="inlineStr">
        <is>
          <t>Hauling Material Blendingan , OB &amp; Coal</t>
        </is>
      </c>
      <c r="G955" s="182" t="n">
        <v>9.960000000000001</v>
      </c>
      <c r="H955" s="182" t="n">
        <v>0</v>
      </c>
      <c r="I955" s="182" t="n">
        <v>0</v>
      </c>
      <c r="J955" s="182" t="n">
        <v>0</v>
      </c>
      <c r="K955" s="182" t="n">
        <v>2.04</v>
      </c>
      <c r="L955" s="182" t="n">
        <v>12</v>
      </c>
      <c r="M955" s="182" t="n">
        <v>7.86</v>
      </c>
      <c r="N955" s="182" t="n">
        <v>1.93</v>
      </c>
      <c r="O955" s="183" t="n">
        <v>29</v>
      </c>
      <c r="P955" s="183" t="n">
        <v>5</v>
      </c>
      <c r="Q955" s="184" t="n">
        <v>484.4</v>
      </c>
      <c r="R955" s="184" t="n">
        <v>93.5</v>
      </c>
      <c r="S955" s="183" t="n">
        <v>0</v>
      </c>
      <c r="T955" s="183" t="n">
        <v>0</v>
      </c>
      <c r="U955" s="182" t="n">
        <v>0</v>
      </c>
      <c r="V955" s="182" t="n">
        <v>0</v>
      </c>
      <c r="W955" s="182" t="n">
        <v>0</v>
      </c>
      <c r="X955" s="182" t="n">
        <v>1.2</v>
      </c>
      <c r="Y955" s="182" t="n">
        <v>0</v>
      </c>
      <c r="Z955" s="182" t="n">
        <v>0</v>
      </c>
      <c r="AA955" s="182" t="n">
        <v>0</v>
      </c>
      <c r="AB955" s="182" t="n">
        <v>0</v>
      </c>
      <c r="AC955" s="182" t="n">
        <v>0</v>
      </c>
      <c r="AD955" s="182" t="n">
        <v>0</v>
      </c>
      <c r="AE955" s="182" t="n">
        <v>0</v>
      </c>
      <c r="AF955" s="182" t="n">
        <v>0</v>
      </c>
      <c r="AG955" s="182" t="n">
        <v>0</v>
      </c>
      <c r="AH955" s="182" t="n">
        <v>0.74</v>
      </c>
      <c r="AI955" s="182" t="n">
        <v>0</v>
      </c>
      <c r="AJ955" s="182" t="n">
        <v>0</v>
      </c>
      <c r="AK955" s="182" t="n">
        <v>0</v>
      </c>
      <c r="AL955" s="182" t="n">
        <v>0</v>
      </c>
      <c r="AM955" s="182" t="n">
        <v>0.1</v>
      </c>
      <c r="AN955" s="182" t="n">
        <v>0</v>
      </c>
    </row>
    <row r="956">
      <c r="A956" s="155" t="n">
        <v>46086</v>
      </c>
      <c r="B956" s="156" t="inlineStr">
        <is>
          <t>DS</t>
        </is>
      </c>
      <c r="C956" s="156" t="inlineStr">
        <is>
          <t>DT-501</t>
        </is>
      </c>
      <c r="D956" s="156" t="inlineStr">
        <is>
          <t>SKT 105S</t>
        </is>
      </c>
      <c r="E956" s="156" t="inlineStr">
        <is>
          <t>Hauler</t>
        </is>
      </c>
      <c r="F956" s="156" t="inlineStr"/>
      <c r="G956" s="182" t="n">
        <v>0</v>
      </c>
      <c r="H956" s="182" t="n">
        <v>12</v>
      </c>
      <c r="I956" s="182" t="n">
        <v>0</v>
      </c>
      <c r="J956" s="182" t="n">
        <v>12</v>
      </c>
      <c r="K956" s="182" t="n">
        <v>0</v>
      </c>
      <c r="L956" s="182" t="n">
        <v>12</v>
      </c>
      <c r="M956" s="182" t="n">
        <v>0</v>
      </c>
      <c r="N956" s="182" t="n">
        <v>0</v>
      </c>
      <c r="O956" s="183" t="n">
        <v>0</v>
      </c>
      <c r="P956" s="183" t="n">
        <v>0</v>
      </c>
      <c r="Q956" s="184" t="n">
        <v>0</v>
      </c>
      <c r="R956" s="184" t="n">
        <v>0</v>
      </c>
      <c r="S956" s="183" t="n">
        <v>0</v>
      </c>
      <c r="T956" s="183" t="n">
        <v>0</v>
      </c>
      <c r="U956" s="182" t="n">
        <v>0</v>
      </c>
      <c r="V956" s="182" t="n">
        <v>0</v>
      </c>
      <c r="W956" s="182" t="n">
        <v>0</v>
      </c>
      <c r="X956" s="182" t="n">
        <v>0</v>
      </c>
      <c r="Y956" s="182" t="n">
        <v>0</v>
      </c>
      <c r="Z956" s="182" t="n">
        <v>0</v>
      </c>
      <c r="AA956" s="182" t="n">
        <v>0</v>
      </c>
      <c r="AB956" s="182" t="n">
        <v>0</v>
      </c>
      <c r="AC956" s="182" t="n">
        <v>0</v>
      </c>
      <c r="AD956" s="182" t="n">
        <v>0</v>
      </c>
      <c r="AE956" s="182" t="n">
        <v>0</v>
      </c>
      <c r="AF956" s="182" t="n">
        <v>0</v>
      </c>
      <c r="AG956" s="182" t="n">
        <v>0</v>
      </c>
      <c r="AH956" s="182" t="n">
        <v>0</v>
      </c>
      <c r="AI956" s="182" t="n">
        <v>0</v>
      </c>
      <c r="AJ956" s="182" t="n">
        <v>0</v>
      </c>
      <c r="AK956" s="182" t="n">
        <v>0</v>
      </c>
      <c r="AL956" s="182" t="n">
        <v>0</v>
      </c>
      <c r="AM956" s="182" t="n">
        <v>0</v>
      </c>
      <c r="AN956" s="182" t="n">
        <v>0</v>
      </c>
    </row>
    <row r="957">
      <c r="A957" s="155" t="n">
        <v>46086</v>
      </c>
      <c r="B957" s="156" t="inlineStr">
        <is>
          <t>DS</t>
        </is>
      </c>
      <c r="C957" s="156" t="inlineStr">
        <is>
          <t>DT-518</t>
        </is>
      </c>
      <c r="D957" s="156" t="inlineStr">
        <is>
          <t>SKT 105S</t>
        </is>
      </c>
      <c r="E957" s="156" t="inlineStr">
        <is>
          <t>Hauler</t>
        </is>
      </c>
      <c r="F957" s="156" t="inlineStr">
        <is>
          <t>Hauling Material Longsoran</t>
        </is>
      </c>
      <c r="G957" s="182" t="n">
        <v>8.449999999999999</v>
      </c>
      <c r="H957" s="182" t="n">
        <v>0</v>
      </c>
      <c r="I957" s="182" t="n">
        <v>0.63</v>
      </c>
      <c r="J957" s="182" t="n">
        <v>0.63</v>
      </c>
      <c r="K957" s="182" t="n">
        <v>2.92</v>
      </c>
      <c r="L957" s="182" t="n">
        <v>12</v>
      </c>
      <c r="M957" s="182" t="n">
        <v>8.449999999999999</v>
      </c>
      <c r="N957" s="182" t="n">
        <v>0</v>
      </c>
      <c r="O957" s="183" t="n">
        <v>27</v>
      </c>
      <c r="P957" s="183" t="n">
        <v>0</v>
      </c>
      <c r="Q957" s="184" t="n">
        <v>440.7</v>
      </c>
      <c r="R957" s="184" t="n">
        <v>0</v>
      </c>
      <c r="S957" s="183" t="n">
        <v>0</v>
      </c>
      <c r="T957" s="183" t="n">
        <v>0</v>
      </c>
      <c r="U957" s="182" t="n">
        <v>0</v>
      </c>
      <c r="V957" s="182" t="n">
        <v>0</v>
      </c>
      <c r="W957" s="182" t="n">
        <v>0</v>
      </c>
      <c r="X957" s="182" t="n">
        <v>0.92</v>
      </c>
      <c r="Y957" s="182" t="n">
        <v>0</v>
      </c>
      <c r="Z957" s="182" t="n">
        <v>0</v>
      </c>
      <c r="AA957" s="182" t="n">
        <v>0</v>
      </c>
      <c r="AB957" s="182" t="n">
        <v>0</v>
      </c>
      <c r="AC957" s="182" t="n">
        <v>0</v>
      </c>
      <c r="AD957" s="182" t="n">
        <v>0</v>
      </c>
      <c r="AE957" s="182" t="n">
        <v>0</v>
      </c>
      <c r="AF957" s="182" t="n">
        <v>0</v>
      </c>
      <c r="AG957" s="182" t="n">
        <v>0</v>
      </c>
      <c r="AH957" s="182" t="n">
        <v>0</v>
      </c>
      <c r="AI957" s="182" t="n">
        <v>1.92</v>
      </c>
      <c r="AJ957" s="182" t="n">
        <v>0</v>
      </c>
      <c r="AK957" s="182" t="n">
        <v>0</v>
      </c>
      <c r="AL957" s="182" t="n">
        <v>0</v>
      </c>
      <c r="AM957" s="182" t="n">
        <v>0.07000000000000001</v>
      </c>
      <c r="AN957" s="182" t="n">
        <v>0</v>
      </c>
    </row>
    <row r="958">
      <c r="A958" s="155" t="n">
        <v>46086</v>
      </c>
      <c r="B958" s="156" t="inlineStr">
        <is>
          <t>DS</t>
        </is>
      </c>
      <c r="C958" s="156" t="inlineStr">
        <is>
          <t>DT-514</t>
        </is>
      </c>
      <c r="D958" s="156" t="inlineStr">
        <is>
          <t>SKT 105S</t>
        </is>
      </c>
      <c r="E958" s="156" t="inlineStr">
        <is>
          <t>Hauler</t>
        </is>
      </c>
      <c r="F958" s="156" t="inlineStr">
        <is>
          <t>Hauling Material Longsoran &amp; OB</t>
        </is>
      </c>
      <c r="G958" s="182" t="n">
        <v>9.529999999999999</v>
      </c>
      <c r="H958" s="182" t="n">
        <v>0</v>
      </c>
      <c r="I958" s="182" t="n">
        <v>0</v>
      </c>
      <c r="J958" s="182" t="n">
        <v>0</v>
      </c>
      <c r="K958" s="182" t="n">
        <v>2.47</v>
      </c>
      <c r="L958" s="182" t="n">
        <v>12</v>
      </c>
      <c r="M958" s="182" t="n">
        <v>9.529999999999999</v>
      </c>
      <c r="N958" s="182" t="n">
        <v>0</v>
      </c>
      <c r="O958" s="183" t="n">
        <v>39</v>
      </c>
      <c r="P958" s="183" t="n">
        <v>0</v>
      </c>
      <c r="Q958" s="184" t="n">
        <v>658.6</v>
      </c>
      <c r="R958" s="184" t="n">
        <v>0</v>
      </c>
      <c r="S958" s="183" t="n">
        <v>0</v>
      </c>
      <c r="T958" s="183" t="n">
        <v>0</v>
      </c>
      <c r="U958" s="182" t="n">
        <v>0</v>
      </c>
      <c r="V958" s="182" t="n">
        <v>0</v>
      </c>
      <c r="W958" s="182" t="n">
        <v>0</v>
      </c>
      <c r="X958" s="182" t="n">
        <v>1.03</v>
      </c>
      <c r="Y958" s="182" t="n">
        <v>0</v>
      </c>
      <c r="Z958" s="182" t="n">
        <v>0</v>
      </c>
      <c r="AA958" s="182" t="n">
        <v>0</v>
      </c>
      <c r="AB958" s="182" t="n">
        <v>0</v>
      </c>
      <c r="AC958" s="182" t="n">
        <v>0</v>
      </c>
      <c r="AD958" s="182" t="n">
        <v>0</v>
      </c>
      <c r="AE958" s="182" t="n">
        <v>0</v>
      </c>
      <c r="AF958" s="182" t="n">
        <v>0</v>
      </c>
      <c r="AG958" s="182" t="n">
        <v>0.62</v>
      </c>
      <c r="AH958" s="182" t="n">
        <v>0.74</v>
      </c>
      <c r="AI958" s="182" t="n">
        <v>0</v>
      </c>
      <c r="AJ958" s="182" t="n">
        <v>0</v>
      </c>
      <c r="AK958" s="182" t="n">
        <v>0</v>
      </c>
      <c r="AL958" s="182" t="n">
        <v>0</v>
      </c>
      <c r="AM958" s="182" t="n">
        <v>0.08</v>
      </c>
      <c r="AN958" s="182" t="n">
        <v>0</v>
      </c>
    </row>
    <row r="959">
      <c r="A959" s="155" t="n">
        <v>46086</v>
      </c>
      <c r="B959" s="156" t="inlineStr">
        <is>
          <t>DS</t>
        </is>
      </c>
      <c r="C959" s="156" t="inlineStr">
        <is>
          <t>DT-523</t>
        </is>
      </c>
      <c r="D959" s="156" t="inlineStr">
        <is>
          <t>SKT 105S</t>
        </is>
      </c>
      <c r="E959" s="156" t="inlineStr">
        <is>
          <t>Hauler</t>
        </is>
      </c>
      <c r="F959" s="156" t="inlineStr">
        <is>
          <t>Hauling Material Longsoran &amp; Coal</t>
        </is>
      </c>
      <c r="G959" s="182" t="n">
        <v>10.07</v>
      </c>
      <c r="H959" s="182" t="n">
        <v>0</v>
      </c>
      <c r="I959" s="182" t="n">
        <v>0</v>
      </c>
      <c r="J959" s="182" t="n">
        <v>0</v>
      </c>
      <c r="K959" s="182" t="n">
        <v>1.93</v>
      </c>
      <c r="L959" s="182" t="n">
        <v>12</v>
      </c>
      <c r="M959" s="182" t="n">
        <v>7.93</v>
      </c>
      <c r="N959" s="182" t="n">
        <v>1.97</v>
      </c>
      <c r="O959" s="183" t="n">
        <v>32</v>
      </c>
      <c r="P959" s="183" t="n">
        <v>5</v>
      </c>
      <c r="Q959" s="184" t="n">
        <v>522.2</v>
      </c>
      <c r="R959" s="184" t="n">
        <v>93.5</v>
      </c>
      <c r="S959" s="183" t="n">
        <v>0</v>
      </c>
      <c r="T959" s="183" t="n">
        <v>0</v>
      </c>
      <c r="U959" s="182" t="n">
        <v>0</v>
      </c>
      <c r="V959" s="182" t="n">
        <v>0</v>
      </c>
      <c r="W959" s="182" t="n">
        <v>0</v>
      </c>
      <c r="X959" s="182" t="n">
        <v>1.07</v>
      </c>
      <c r="Y959" s="182" t="n">
        <v>0</v>
      </c>
      <c r="Z959" s="182" t="n">
        <v>0</v>
      </c>
      <c r="AA959" s="182" t="n">
        <v>0</v>
      </c>
      <c r="AB959" s="182" t="n">
        <v>0</v>
      </c>
      <c r="AC959" s="182" t="n">
        <v>0</v>
      </c>
      <c r="AD959" s="182" t="n">
        <v>0</v>
      </c>
      <c r="AE959" s="182" t="n">
        <v>0</v>
      </c>
      <c r="AF959" s="182" t="n">
        <v>0</v>
      </c>
      <c r="AG959" s="182" t="n">
        <v>0</v>
      </c>
      <c r="AH959" s="182" t="n">
        <v>0.77</v>
      </c>
      <c r="AI959" s="182" t="n">
        <v>0</v>
      </c>
      <c r="AJ959" s="182" t="n">
        <v>0</v>
      </c>
      <c r="AK959" s="182" t="n">
        <v>0</v>
      </c>
      <c r="AL959" s="182" t="n">
        <v>0</v>
      </c>
      <c r="AM959" s="182" t="n">
        <v>0.09</v>
      </c>
      <c r="AN959" s="182" t="n">
        <v>0</v>
      </c>
    </row>
    <row r="960">
      <c r="A960" s="155" t="n">
        <v>46086</v>
      </c>
      <c r="B960" s="156" t="inlineStr">
        <is>
          <t>DS</t>
        </is>
      </c>
      <c r="C960" s="156" t="inlineStr">
        <is>
          <t>DT-519</t>
        </is>
      </c>
      <c r="D960" s="156" t="inlineStr">
        <is>
          <t>SKT 105S</t>
        </is>
      </c>
      <c r="E960" s="156" t="inlineStr">
        <is>
          <t>Hauler</t>
        </is>
      </c>
      <c r="F960" s="156" t="inlineStr"/>
      <c r="G960" s="182" t="n">
        <v>0</v>
      </c>
      <c r="H960" s="182" t="n">
        <v>0</v>
      </c>
      <c r="I960" s="182" t="n">
        <v>12</v>
      </c>
      <c r="J960" s="182" t="n">
        <v>12</v>
      </c>
      <c r="K960" s="182" t="n">
        <v>0</v>
      </c>
      <c r="L960" s="182" t="n">
        <v>12</v>
      </c>
      <c r="M960" s="182" t="n">
        <v>0</v>
      </c>
      <c r="N960" s="182" t="n">
        <v>0</v>
      </c>
      <c r="O960" s="183" t="n">
        <v>0</v>
      </c>
      <c r="P960" s="183" t="n">
        <v>0</v>
      </c>
      <c r="Q960" s="184" t="n">
        <v>0</v>
      </c>
      <c r="R960" s="184" t="n">
        <v>0</v>
      </c>
      <c r="S960" s="183" t="n">
        <v>0</v>
      </c>
      <c r="T960" s="183" t="n">
        <v>0</v>
      </c>
      <c r="U960" s="182" t="n">
        <v>0</v>
      </c>
      <c r="V960" s="182" t="n">
        <v>0</v>
      </c>
      <c r="W960" s="182" t="n">
        <v>0</v>
      </c>
      <c r="X960" s="182" t="n">
        <v>0</v>
      </c>
      <c r="Y960" s="182" t="n">
        <v>0</v>
      </c>
      <c r="Z960" s="182" t="n">
        <v>0</v>
      </c>
      <c r="AA960" s="182" t="n">
        <v>0</v>
      </c>
      <c r="AB960" s="182" t="n">
        <v>0</v>
      </c>
      <c r="AC960" s="182" t="n">
        <v>0</v>
      </c>
      <c r="AD960" s="182" t="n">
        <v>0</v>
      </c>
      <c r="AE960" s="182" t="n">
        <v>0</v>
      </c>
      <c r="AF960" s="182" t="n">
        <v>0</v>
      </c>
      <c r="AG960" s="182" t="n">
        <v>0</v>
      </c>
      <c r="AH960" s="182" t="n">
        <v>0</v>
      </c>
      <c r="AI960" s="182" t="n">
        <v>0</v>
      </c>
      <c r="AJ960" s="182" t="n">
        <v>0</v>
      </c>
      <c r="AK960" s="182" t="n">
        <v>0</v>
      </c>
      <c r="AL960" s="182" t="n">
        <v>0</v>
      </c>
      <c r="AM960" s="182" t="n">
        <v>0</v>
      </c>
      <c r="AN960" s="182" t="n">
        <v>0</v>
      </c>
    </row>
    <row r="961">
      <c r="A961" s="155" t="n">
        <v>46086</v>
      </c>
      <c r="B961" s="156" t="inlineStr">
        <is>
          <t>DS</t>
        </is>
      </c>
      <c r="C961" s="156" t="inlineStr">
        <is>
          <t>DT-527</t>
        </is>
      </c>
      <c r="D961" s="156" t="inlineStr">
        <is>
          <t>SKT 105S</t>
        </is>
      </c>
      <c r="E961" s="156" t="inlineStr">
        <is>
          <t>Hauler</t>
        </is>
      </c>
      <c r="F961" s="156" t="inlineStr">
        <is>
          <t>Hauling Material Longsoran</t>
        </is>
      </c>
      <c r="G961" s="182" t="n">
        <v>8.359999999999999</v>
      </c>
      <c r="H961" s="182" t="n">
        <v>0</v>
      </c>
      <c r="I961" s="182" t="n">
        <v>0</v>
      </c>
      <c r="J961" s="182" t="n">
        <v>0</v>
      </c>
      <c r="K961" s="182" t="n">
        <v>3.64</v>
      </c>
      <c r="L961" s="182" t="n">
        <v>12</v>
      </c>
      <c r="M961" s="182" t="n">
        <v>8.359999999999999</v>
      </c>
      <c r="N961" s="182" t="n">
        <v>0</v>
      </c>
      <c r="O961" s="183" t="n">
        <v>35</v>
      </c>
      <c r="P961" s="183" t="n">
        <v>0</v>
      </c>
      <c r="Q961" s="184" t="n">
        <v>571.2</v>
      </c>
      <c r="R961" s="184" t="n">
        <v>0</v>
      </c>
      <c r="S961" s="183" t="n">
        <v>0</v>
      </c>
      <c r="T961" s="183" t="n">
        <v>0</v>
      </c>
      <c r="U961" s="182" t="n">
        <v>0</v>
      </c>
      <c r="V961" s="182" t="n">
        <v>0</v>
      </c>
      <c r="W961" s="182" t="n">
        <v>0</v>
      </c>
      <c r="X961" s="182" t="n">
        <v>1.01</v>
      </c>
      <c r="Y961" s="182" t="n">
        <v>0</v>
      </c>
      <c r="Z961" s="182" t="n">
        <v>0</v>
      </c>
      <c r="AA961" s="182" t="n">
        <v>0</v>
      </c>
      <c r="AB961" s="182" t="n">
        <v>0</v>
      </c>
      <c r="AC961" s="182" t="n">
        <v>0</v>
      </c>
      <c r="AD961" s="182" t="n">
        <v>0</v>
      </c>
      <c r="AE961" s="182" t="n">
        <v>0</v>
      </c>
      <c r="AF961" s="182" t="n">
        <v>0</v>
      </c>
      <c r="AG961" s="182" t="n">
        <v>0</v>
      </c>
      <c r="AH961" s="182" t="n">
        <v>0</v>
      </c>
      <c r="AI961" s="182" t="n">
        <v>2.55</v>
      </c>
      <c r="AJ961" s="182" t="n">
        <v>0</v>
      </c>
      <c r="AK961" s="182" t="n">
        <v>0</v>
      </c>
      <c r="AL961" s="182" t="n">
        <v>0</v>
      </c>
      <c r="AM961" s="182" t="n">
        <v>0.08</v>
      </c>
      <c r="AN961" s="182" t="n">
        <v>0</v>
      </c>
    </row>
    <row r="962">
      <c r="A962" s="155" t="n">
        <v>46086</v>
      </c>
      <c r="B962" s="156" t="inlineStr">
        <is>
          <t>DS</t>
        </is>
      </c>
      <c r="C962" s="156" t="inlineStr">
        <is>
          <t>DT-513</t>
        </is>
      </c>
      <c r="D962" s="156" t="inlineStr">
        <is>
          <t>SKT 105S</t>
        </is>
      </c>
      <c r="E962" s="156" t="inlineStr">
        <is>
          <t>Hauler</t>
        </is>
      </c>
      <c r="F962" s="156" t="inlineStr">
        <is>
          <t>Hauling OB</t>
        </is>
      </c>
      <c r="G962" s="182" t="n">
        <v>6.96</v>
      </c>
      <c r="H962" s="182" t="n">
        <v>0</v>
      </c>
      <c r="I962" s="182" t="n">
        <v>4.3</v>
      </c>
      <c r="J962" s="182" t="n">
        <v>4.3</v>
      </c>
      <c r="K962" s="182" t="n">
        <v>0.74</v>
      </c>
      <c r="L962" s="182" t="n">
        <v>12</v>
      </c>
      <c r="M962" s="182" t="n">
        <v>6.96</v>
      </c>
      <c r="N962" s="182" t="n">
        <v>0</v>
      </c>
      <c r="O962" s="183" t="n">
        <v>20</v>
      </c>
      <c r="P962" s="183" t="n">
        <v>0</v>
      </c>
      <c r="Q962" s="184" t="n">
        <v>408</v>
      </c>
      <c r="R962" s="184" t="n">
        <v>0</v>
      </c>
      <c r="S962" s="183" t="n">
        <v>0</v>
      </c>
      <c r="T962" s="183" t="n">
        <v>0</v>
      </c>
      <c r="U962" s="182" t="n">
        <v>0</v>
      </c>
      <c r="V962" s="182" t="n">
        <v>0</v>
      </c>
      <c r="W962" s="182" t="n">
        <v>0</v>
      </c>
      <c r="X962" s="182" t="n">
        <v>0.67</v>
      </c>
      <c r="Y962" s="182" t="n">
        <v>0</v>
      </c>
      <c r="Z962" s="182" t="n">
        <v>0</v>
      </c>
      <c r="AA962" s="182" t="n">
        <v>0</v>
      </c>
      <c r="AB962" s="182" t="n">
        <v>0</v>
      </c>
      <c r="AC962" s="182" t="n">
        <v>0</v>
      </c>
      <c r="AD962" s="182" t="n">
        <v>0</v>
      </c>
      <c r="AE962" s="182" t="n">
        <v>0</v>
      </c>
      <c r="AF962" s="182" t="n">
        <v>0</v>
      </c>
      <c r="AG962" s="182" t="n">
        <v>0</v>
      </c>
      <c r="AH962" s="182" t="n">
        <v>0</v>
      </c>
      <c r="AI962" s="182" t="n">
        <v>0</v>
      </c>
      <c r="AJ962" s="182" t="n">
        <v>0</v>
      </c>
      <c r="AK962" s="182" t="n">
        <v>0</v>
      </c>
      <c r="AL962" s="182" t="n">
        <v>0</v>
      </c>
      <c r="AM962" s="182" t="n">
        <v>0.07000000000000001</v>
      </c>
      <c r="AN962" s="182" t="n">
        <v>0</v>
      </c>
    </row>
    <row r="963">
      <c r="A963" s="155" t="n">
        <v>46086</v>
      </c>
      <c r="B963" s="156" t="inlineStr">
        <is>
          <t>DS</t>
        </is>
      </c>
      <c r="C963" s="156" t="inlineStr">
        <is>
          <t>DT-512</t>
        </is>
      </c>
      <c r="D963" s="156" t="inlineStr">
        <is>
          <t>SKT 105S</t>
        </is>
      </c>
      <c r="E963" s="156" t="inlineStr">
        <is>
          <t>Hauler</t>
        </is>
      </c>
      <c r="F963" s="156" t="inlineStr">
        <is>
          <t>Hauling Lumpur dari Washing Plant</t>
        </is>
      </c>
      <c r="G963" s="182" t="n">
        <v>3.4</v>
      </c>
      <c r="H963" s="182" t="n">
        <v>0</v>
      </c>
      <c r="I963" s="182" t="n">
        <v>0</v>
      </c>
      <c r="J963" s="182" t="n">
        <v>0</v>
      </c>
      <c r="K963" s="182" t="n">
        <v>8.6</v>
      </c>
      <c r="L963" s="182" t="n">
        <v>12</v>
      </c>
      <c r="M963" s="182" t="n">
        <v>0</v>
      </c>
      <c r="N963" s="182" t="n">
        <v>0</v>
      </c>
      <c r="O963" s="183" t="n">
        <v>0</v>
      </c>
      <c r="P963" s="183" t="n">
        <v>0</v>
      </c>
      <c r="Q963" s="184" t="n">
        <v>0</v>
      </c>
      <c r="R963" s="184" t="n">
        <v>0</v>
      </c>
      <c r="S963" s="183" t="n">
        <v>0</v>
      </c>
      <c r="T963" s="183" t="n">
        <v>0</v>
      </c>
      <c r="U963" s="182" t="n">
        <v>0</v>
      </c>
      <c r="V963" s="182" t="n">
        <v>0</v>
      </c>
      <c r="W963" s="182" t="n">
        <v>0</v>
      </c>
      <c r="X963" s="182" t="n">
        <v>0.93</v>
      </c>
      <c r="Y963" s="182" t="n">
        <v>0</v>
      </c>
      <c r="Z963" s="182" t="n">
        <v>0</v>
      </c>
      <c r="AA963" s="182" t="n">
        <v>0</v>
      </c>
      <c r="AB963" s="182" t="n">
        <v>0</v>
      </c>
      <c r="AC963" s="182" t="n">
        <v>0</v>
      </c>
      <c r="AD963" s="182" t="n">
        <v>0</v>
      </c>
      <c r="AE963" s="182" t="n">
        <v>0</v>
      </c>
      <c r="AF963" s="182" t="n">
        <v>0</v>
      </c>
      <c r="AG963" s="182" t="n">
        <v>0</v>
      </c>
      <c r="AH963" s="182" t="n">
        <v>0</v>
      </c>
      <c r="AI963" s="182" t="n">
        <v>7.59</v>
      </c>
      <c r="AJ963" s="182" t="n">
        <v>0</v>
      </c>
      <c r="AK963" s="182" t="n">
        <v>0</v>
      </c>
      <c r="AL963" s="182" t="n">
        <v>0</v>
      </c>
      <c r="AM963" s="182" t="n">
        <v>0.07000000000000001</v>
      </c>
      <c r="AN963" s="182" t="n">
        <v>0</v>
      </c>
    </row>
    <row r="964">
      <c r="A964" s="155" t="n">
        <v>46086</v>
      </c>
      <c r="B964" s="156" t="inlineStr">
        <is>
          <t>DS</t>
        </is>
      </c>
      <c r="C964" s="156" t="inlineStr">
        <is>
          <t>DT-522</t>
        </is>
      </c>
      <c r="D964" s="156" t="inlineStr">
        <is>
          <t>SKT 105S</t>
        </is>
      </c>
      <c r="E964" s="156" t="inlineStr">
        <is>
          <t>Hauler</t>
        </is>
      </c>
      <c r="F964" s="156" t="inlineStr">
        <is>
          <t>Hauling Coal</t>
        </is>
      </c>
      <c r="G964" s="182" t="n">
        <v>9.33</v>
      </c>
      <c r="H964" s="182" t="n">
        <v>0</v>
      </c>
      <c r="I964" s="182" t="n">
        <v>0</v>
      </c>
      <c r="J964" s="182" t="n">
        <v>0</v>
      </c>
      <c r="K964" s="182" t="n">
        <v>2.67</v>
      </c>
      <c r="L964" s="182" t="n">
        <v>12</v>
      </c>
      <c r="M964" s="182" t="n">
        <v>0</v>
      </c>
      <c r="N964" s="182" t="n">
        <v>9.33</v>
      </c>
      <c r="O964" s="183" t="n">
        <v>0</v>
      </c>
      <c r="P964" s="183" t="n">
        <v>21</v>
      </c>
      <c r="Q964" s="184" t="n">
        <v>0</v>
      </c>
      <c r="R964" s="184" t="n">
        <v>392.7</v>
      </c>
      <c r="S964" s="183" t="n">
        <v>0</v>
      </c>
      <c r="T964" s="183" t="n">
        <v>0</v>
      </c>
      <c r="U964" s="182" t="n">
        <v>0</v>
      </c>
      <c r="V964" s="182" t="n">
        <v>0</v>
      </c>
      <c r="W964" s="182" t="n">
        <v>0</v>
      </c>
      <c r="X964" s="182" t="n">
        <v>0.95</v>
      </c>
      <c r="Y964" s="182" t="n">
        <v>0</v>
      </c>
      <c r="Z964" s="182" t="n">
        <v>0</v>
      </c>
      <c r="AA964" s="182" t="n">
        <v>0</v>
      </c>
      <c r="AB964" s="182" t="n">
        <v>0</v>
      </c>
      <c r="AC964" s="182" t="n">
        <v>0</v>
      </c>
      <c r="AD964" s="182" t="n">
        <v>0</v>
      </c>
      <c r="AE964" s="182" t="n">
        <v>0</v>
      </c>
      <c r="AF964" s="182" t="n">
        <v>0</v>
      </c>
      <c r="AG964" s="182" t="n">
        <v>0.76</v>
      </c>
      <c r="AH964" s="182" t="n">
        <v>0.88</v>
      </c>
      <c r="AI964" s="182" t="n">
        <v>0</v>
      </c>
      <c r="AJ964" s="182" t="n">
        <v>0</v>
      </c>
      <c r="AK964" s="182" t="n">
        <v>0</v>
      </c>
      <c r="AL964" s="182" t="n">
        <v>0</v>
      </c>
      <c r="AM964" s="182" t="n">
        <v>0.08</v>
      </c>
      <c r="AN964" s="182" t="n">
        <v>0</v>
      </c>
    </row>
    <row r="965">
      <c r="A965" s="155" t="n">
        <v>46086</v>
      </c>
      <c r="B965" s="156" t="inlineStr">
        <is>
          <t>DS</t>
        </is>
      </c>
      <c r="C965" s="156" t="inlineStr">
        <is>
          <t>DT-517</t>
        </is>
      </c>
      <c r="D965" s="156" t="inlineStr">
        <is>
          <t>SKT 105S</t>
        </is>
      </c>
      <c r="E965" s="156" t="inlineStr">
        <is>
          <t>Hauler</t>
        </is>
      </c>
      <c r="F965" s="156" t="inlineStr">
        <is>
          <t>Hauling Material Blendingan &amp; Coal</t>
        </is>
      </c>
      <c r="G965" s="182" t="n">
        <v>8.25</v>
      </c>
      <c r="H965" s="182" t="n">
        <v>0</v>
      </c>
      <c r="I965" s="182" t="n">
        <v>2.28</v>
      </c>
      <c r="J965" s="182" t="n">
        <v>2.28</v>
      </c>
      <c r="K965" s="182" t="n">
        <v>1.47</v>
      </c>
      <c r="L965" s="182" t="n">
        <v>12</v>
      </c>
      <c r="M965" s="182" t="n">
        <v>4.64</v>
      </c>
      <c r="N965" s="182" t="n">
        <v>3.61</v>
      </c>
      <c r="O965" s="183" t="n">
        <v>19</v>
      </c>
      <c r="P965" s="183" t="n">
        <v>11</v>
      </c>
      <c r="Q965" s="184" t="n">
        <v>310</v>
      </c>
      <c r="R965" s="184" t="n">
        <v>205.7</v>
      </c>
      <c r="S965" s="183" t="n">
        <v>0</v>
      </c>
      <c r="T965" s="183" t="n">
        <v>0</v>
      </c>
      <c r="U965" s="182" t="n">
        <v>0</v>
      </c>
      <c r="V965" s="182" t="n">
        <v>0</v>
      </c>
      <c r="W965" s="182" t="n">
        <v>0</v>
      </c>
      <c r="X965" s="182" t="n">
        <v>0.85</v>
      </c>
      <c r="Y965" s="182" t="n">
        <v>0</v>
      </c>
      <c r="Z965" s="182" t="n">
        <v>0</v>
      </c>
      <c r="AA965" s="182" t="n">
        <v>0</v>
      </c>
      <c r="AB965" s="182" t="n">
        <v>0</v>
      </c>
      <c r="AC965" s="182" t="n">
        <v>0</v>
      </c>
      <c r="AD965" s="182" t="n">
        <v>0</v>
      </c>
      <c r="AE965" s="182" t="n">
        <v>0</v>
      </c>
      <c r="AF965" s="182" t="n">
        <v>0</v>
      </c>
      <c r="AG965" s="182" t="n">
        <v>0</v>
      </c>
      <c r="AH965" s="182" t="n">
        <v>0.54</v>
      </c>
      <c r="AI965" s="182" t="n">
        <v>0</v>
      </c>
      <c r="AJ965" s="182" t="n">
        <v>0</v>
      </c>
      <c r="AK965" s="182" t="n">
        <v>0</v>
      </c>
      <c r="AL965" s="182" t="n">
        <v>0</v>
      </c>
      <c r="AM965" s="182" t="n">
        <v>0.07000000000000001</v>
      </c>
      <c r="AN965" s="182" t="n">
        <v>0</v>
      </c>
    </row>
    <row r="966">
      <c r="A966" s="155" t="n">
        <v>46086</v>
      </c>
      <c r="B966" s="156" t="inlineStr">
        <is>
          <t>DS</t>
        </is>
      </c>
      <c r="C966" s="156" t="inlineStr">
        <is>
          <t>DT-510</t>
        </is>
      </c>
      <c r="D966" s="156" t="inlineStr">
        <is>
          <t>SKT 105S</t>
        </is>
      </c>
      <c r="E966" s="156" t="inlineStr">
        <is>
          <t>Hauler</t>
        </is>
      </c>
      <c r="F966" s="156" t="inlineStr"/>
      <c r="G966" s="182" t="n">
        <v>0</v>
      </c>
      <c r="H966" s="182" t="n">
        <v>0</v>
      </c>
      <c r="I966" s="182" t="n">
        <v>12</v>
      </c>
      <c r="J966" s="182" t="n">
        <v>12</v>
      </c>
      <c r="K966" s="182" t="n">
        <v>0</v>
      </c>
      <c r="L966" s="182" t="n">
        <v>12</v>
      </c>
      <c r="M966" s="182" t="n">
        <v>0</v>
      </c>
      <c r="N966" s="182" t="n">
        <v>0</v>
      </c>
      <c r="O966" s="183" t="n">
        <v>0</v>
      </c>
      <c r="P966" s="183" t="n">
        <v>0</v>
      </c>
      <c r="Q966" s="184" t="n">
        <v>0</v>
      </c>
      <c r="R966" s="184" t="n">
        <v>0</v>
      </c>
      <c r="S966" s="183" t="n">
        <v>0</v>
      </c>
      <c r="T966" s="183" t="n">
        <v>0</v>
      </c>
      <c r="U966" s="182" t="n">
        <v>0</v>
      </c>
      <c r="V966" s="182" t="n">
        <v>0</v>
      </c>
      <c r="W966" s="182" t="n">
        <v>0</v>
      </c>
      <c r="X966" s="182" t="n">
        <v>0</v>
      </c>
      <c r="Y966" s="182" t="n">
        <v>0</v>
      </c>
      <c r="Z966" s="182" t="n">
        <v>0</v>
      </c>
      <c r="AA966" s="182" t="n">
        <v>0</v>
      </c>
      <c r="AB966" s="182" t="n">
        <v>0</v>
      </c>
      <c r="AC966" s="182" t="n">
        <v>0</v>
      </c>
      <c r="AD966" s="182" t="n">
        <v>0</v>
      </c>
      <c r="AE966" s="182" t="n">
        <v>0</v>
      </c>
      <c r="AF966" s="182" t="n">
        <v>0</v>
      </c>
      <c r="AG966" s="182" t="n">
        <v>0</v>
      </c>
      <c r="AH966" s="182" t="n">
        <v>0</v>
      </c>
      <c r="AI966" s="182" t="n">
        <v>0</v>
      </c>
      <c r="AJ966" s="182" t="n">
        <v>0</v>
      </c>
      <c r="AK966" s="182" t="n">
        <v>0</v>
      </c>
      <c r="AL966" s="182" t="n">
        <v>0</v>
      </c>
      <c r="AM966" s="182" t="n">
        <v>0</v>
      </c>
      <c r="AN966" s="182" t="n">
        <v>0</v>
      </c>
    </row>
    <row r="967">
      <c r="A967" s="155" t="n">
        <v>46086</v>
      </c>
      <c r="B967" s="156" t="inlineStr">
        <is>
          <t>DS</t>
        </is>
      </c>
      <c r="C967" s="156" t="inlineStr">
        <is>
          <t>DT-521</t>
        </is>
      </c>
      <c r="D967" s="156" t="inlineStr">
        <is>
          <t>SKT 105S</t>
        </is>
      </c>
      <c r="E967" s="156" t="inlineStr">
        <is>
          <t>Hauler</t>
        </is>
      </c>
      <c r="F967" s="156" t="inlineStr">
        <is>
          <t>Hauling OB &amp; Coal</t>
        </is>
      </c>
      <c r="G967" s="182" t="n">
        <v>8.050000000000001</v>
      </c>
      <c r="H967" s="182" t="n">
        <v>0</v>
      </c>
      <c r="I967" s="182" t="n">
        <v>0.83</v>
      </c>
      <c r="J967" s="182" t="n">
        <v>0.83</v>
      </c>
      <c r="K967" s="182" t="n">
        <v>3.12</v>
      </c>
      <c r="L967" s="182" t="n">
        <v>12</v>
      </c>
      <c r="M967" s="182" t="n">
        <v>2.98</v>
      </c>
      <c r="N967" s="182" t="n">
        <v>5.07</v>
      </c>
      <c r="O967" s="183" t="n">
        <v>12</v>
      </c>
      <c r="P967" s="183" t="n">
        <v>13</v>
      </c>
      <c r="Q967" s="184" t="n">
        <v>244.8</v>
      </c>
      <c r="R967" s="184" t="n">
        <v>243.1</v>
      </c>
      <c r="S967" s="183" t="n">
        <v>0</v>
      </c>
      <c r="T967" s="183" t="n">
        <v>0</v>
      </c>
      <c r="U967" s="182" t="n">
        <v>0</v>
      </c>
      <c r="V967" s="182" t="n">
        <v>0</v>
      </c>
      <c r="W967" s="182" t="n">
        <v>0</v>
      </c>
      <c r="X967" s="182" t="n">
        <v>1.02</v>
      </c>
      <c r="Y967" s="182" t="n">
        <v>0</v>
      </c>
      <c r="Z967" s="182" t="n">
        <v>0</v>
      </c>
      <c r="AA967" s="182" t="n">
        <v>0</v>
      </c>
      <c r="AB967" s="182" t="n">
        <v>0</v>
      </c>
      <c r="AC967" s="182" t="n">
        <v>0</v>
      </c>
      <c r="AD967" s="182" t="n">
        <v>0</v>
      </c>
      <c r="AE967" s="182" t="n">
        <v>0</v>
      </c>
      <c r="AF967" s="182" t="n">
        <v>0</v>
      </c>
      <c r="AG967" s="182" t="n">
        <v>1.01</v>
      </c>
      <c r="AH967" s="182" t="n">
        <v>1.01</v>
      </c>
      <c r="AI967" s="182" t="n">
        <v>0</v>
      </c>
      <c r="AJ967" s="182" t="n">
        <v>0</v>
      </c>
      <c r="AK967" s="182" t="n">
        <v>0</v>
      </c>
      <c r="AL967" s="182" t="n">
        <v>0</v>
      </c>
      <c r="AM967" s="182" t="n">
        <v>0.08</v>
      </c>
      <c r="AN967" s="182" t="n">
        <v>0</v>
      </c>
    </row>
    <row r="968">
      <c r="A968" s="155" t="n">
        <v>46086</v>
      </c>
      <c r="B968" s="156" t="inlineStr">
        <is>
          <t>DS</t>
        </is>
      </c>
      <c r="C968" s="156" t="inlineStr">
        <is>
          <t>DT-516</t>
        </is>
      </c>
      <c r="D968" s="156" t="inlineStr">
        <is>
          <t>SKT 105S</t>
        </is>
      </c>
      <c r="E968" s="156" t="inlineStr">
        <is>
          <t>Hauler</t>
        </is>
      </c>
      <c r="F968" s="156" t="inlineStr">
        <is>
          <t>Hauling OB</t>
        </is>
      </c>
      <c r="G968" s="182" t="n">
        <v>8.93</v>
      </c>
      <c r="H968" s="182" t="n">
        <v>0</v>
      </c>
      <c r="I968" s="182" t="n">
        <v>2.8</v>
      </c>
      <c r="J968" s="182" t="n">
        <v>2.8</v>
      </c>
      <c r="K968" s="182" t="n">
        <v>0.27</v>
      </c>
      <c r="L968" s="182" t="n">
        <v>12</v>
      </c>
      <c r="M968" s="182" t="n">
        <v>8.93</v>
      </c>
      <c r="N968" s="182" t="n">
        <v>0</v>
      </c>
      <c r="O968" s="183" t="n">
        <v>26</v>
      </c>
      <c r="P968" s="183" t="n">
        <v>0</v>
      </c>
      <c r="Q968" s="184" t="n">
        <v>530.4</v>
      </c>
      <c r="R968" s="184" t="n">
        <v>0</v>
      </c>
      <c r="S968" s="183" t="n">
        <v>0</v>
      </c>
      <c r="T968" s="183" t="n">
        <v>0</v>
      </c>
      <c r="U968" s="182" t="n">
        <v>0</v>
      </c>
      <c r="V968" s="182" t="n">
        <v>0</v>
      </c>
      <c r="W968" s="182" t="n">
        <v>0</v>
      </c>
      <c r="X968" s="182" t="n">
        <v>0.24</v>
      </c>
      <c r="Y968" s="182" t="n">
        <v>0</v>
      </c>
      <c r="Z968" s="182" t="n">
        <v>0</v>
      </c>
      <c r="AA968" s="182" t="n">
        <v>0</v>
      </c>
      <c r="AB968" s="182" t="n">
        <v>0</v>
      </c>
      <c r="AC968" s="182" t="n">
        <v>0</v>
      </c>
      <c r="AD968" s="182" t="n">
        <v>0</v>
      </c>
      <c r="AE968" s="182" t="n">
        <v>0</v>
      </c>
      <c r="AF968" s="182" t="n">
        <v>0</v>
      </c>
      <c r="AG968" s="182" t="n">
        <v>0</v>
      </c>
      <c r="AH968" s="182" t="n">
        <v>0</v>
      </c>
      <c r="AI968" s="182" t="n">
        <v>0</v>
      </c>
      <c r="AJ968" s="182" t="n">
        <v>0</v>
      </c>
      <c r="AK968" s="182" t="n">
        <v>0</v>
      </c>
      <c r="AL968" s="182" t="n">
        <v>0</v>
      </c>
      <c r="AM968" s="182" t="n">
        <v>0.03</v>
      </c>
      <c r="AN968" s="182" t="n">
        <v>0</v>
      </c>
    </row>
    <row r="969">
      <c r="A969" s="155" t="n">
        <v>46086</v>
      </c>
      <c r="B969" s="156" t="inlineStr">
        <is>
          <t>DS</t>
        </is>
      </c>
      <c r="C969" s="156" t="inlineStr">
        <is>
          <t>DT-506</t>
        </is>
      </c>
      <c r="D969" s="156" t="inlineStr">
        <is>
          <t>SKT 105S</t>
        </is>
      </c>
      <c r="E969" s="156" t="inlineStr">
        <is>
          <t>Hauler</t>
        </is>
      </c>
      <c r="F969" s="156" t="inlineStr">
        <is>
          <t>Hauling OB &amp; Coal</t>
        </is>
      </c>
      <c r="G969" s="182" t="n">
        <v>8.84</v>
      </c>
      <c r="H969" s="182" t="n">
        <v>0</v>
      </c>
      <c r="I969" s="182" t="n">
        <v>0.72</v>
      </c>
      <c r="J969" s="182" t="n">
        <v>0.72</v>
      </c>
      <c r="K969" s="182" t="n">
        <v>2.44</v>
      </c>
      <c r="L969" s="182" t="n">
        <v>12</v>
      </c>
      <c r="M969" s="182" t="n">
        <v>1.56</v>
      </c>
      <c r="N969" s="182" t="n">
        <v>7.28</v>
      </c>
      <c r="O969" s="183" t="n">
        <v>7</v>
      </c>
      <c r="P969" s="183" t="n">
        <v>18</v>
      </c>
      <c r="Q969" s="184" t="n">
        <v>142.8</v>
      </c>
      <c r="R969" s="184" t="n">
        <v>336.6</v>
      </c>
      <c r="S969" s="183" t="n">
        <v>0</v>
      </c>
      <c r="T969" s="183" t="n">
        <v>0</v>
      </c>
      <c r="U969" s="182" t="n">
        <v>0</v>
      </c>
      <c r="V969" s="182" t="n">
        <v>0</v>
      </c>
      <c r="W969" s="182" t="n">
        <v>0</v>
      </c>
      <c r="X969" s="182" t="n">
        <v>0.88</v>
      </c>
      <c r="Y969" s="182" t="n">
        <v>0</v>
      </c>
      <c r="Z969" s="182" t="n">
        <v>0</v>
      </c>
      <c r="AA969" s="182" t="n">
        <v>0</v>
      </c>
      <c r="AB969" s="182" t="n">
        <v>0</v>
      </c>
      <c r="AC969" s="182" t="n">
        <v>0</v>
      </c>
      <c r="AD969" s="182" t="n">
        <v>0</v>
      </c>
      <c r="AE969" s="182" t="n">
        <v>0</v>
      </c>
      <c r="AF969" s="182" t="n">
        <v>0</v>
      </c>
      <c r="AG969" s="182" t="n">
        <v>0.7</v>
      </c>
      <c r="AH969" s="182" t="n">
        <v>0.79</v>
      </c>
      <c r="AI969" s="182" t="n">
        <v>0</v>
      </c>
      <c r="AJ969" s="182" t="n">
        <v>0</v>
      </c>
      <c r="AK969" s="182" t="n">
        <v>0</v>
      </c>
      <c r="AL969" s="182" t="n">
        <v>0</v>
      </c>
      <c r="AM969" s="182" t="n">
        <v>0.07000000000000001</v>
      </c>
      <c r="AN969" s="182" t="n">
        <v>0</v>
      </c>
    </row>
    <row r="970">
      <c r="A970" s="155" t="n">
        <v>46086</v>
      </c>
      <c r="B970" s="156" t="inlineStr">
        <is>
          <t>DS</t>
        </is>
      </c>
      <c r="C970" s="156" t="inlineStr">
        <is>
          <t>DT-502</t>
        </is>
      </c>
      <c r="D970" s="156" t="inlineStr">
        <is>
          <t>SKT 105S</t>
        </is>
      </c>
      <c r="E970" s="156" t="inlineStr">
        <is>
          <t>Hauler</t>
        </is>
      </c>
      <c r="F970" s="156" t="inlineStr">
        <is>
          <t>Hauling OB</t>
        </is>
      </c>
      <c r="G970" s="182" t="n">
        <v>10.69</v>
      </c>
      <c r="H970" s="182" t="n">
        <v>0</v>
      </c>
      <c r="I970" s="182" t="n">
        <v>0.5</v>
      </c>
      <c r="J970" s="182" t="n">
        <v>0.5</v>
      </c>
      <c r="K970" s="182" t="n">
        <v>0.8100000000000001</v>
      </c>
      <c r="L970" s="182" t="n">
        <v>12</v>
      </c>
      <c r="M970" s="182" t="n">
        <v>10.69</v>
      </c>
      <c r="N970" s="182" t="n">
        <v>0</v>
      </c>
      <c r="O970" s="183" t="n">
        <v>37</v>
      </c>
      <c r="P970" s="183" t="n">
        <v>0</v>
      </c>
      <c r="Q970" s="184" t="n">
        <v>754.8</v>
      </c>
      <c r="R970" s="184" t="n">
        <v>0</v>
      </c>
      <c r="S970" s="183" t="n">
        <v>0</v>
      </c>
      <c r="T970" s="183" t="n">
        <v>0</v>
      </c>
      <c r="U970" s="182" t="n">
        <v>0</v>
      </c>
      <c r="V970" s="182" t="n">
        <v>0</v>
      </c>
      <c r="W970" s="182" t="n">
        <v>0</v>
      </c>
      <c r="X970" s="182" t="n">
        <v>0.7</v>
      </c>
      <c r="Y970" s="182" t="n">
        <v>0</v>
      </c>
      <c r="Z970" s="182" t="n">
        <v>0</v>
      </c>
      <c r="AA970" s="182" t="n">
        <v>0</v>
      </c>
      <c r="AB970" s="182" t="n">
        <v>0</v>
      </c>
      <c r="AC970" s="182" t="n">
        <v>0</v>
      </c>
      <c r="AD970" s="182" t="n">
        <v>0</v>
      </c>
      <c r="AE970" s="182" t="n">
        <v>0</v>
      </c>
      <c r="AF970" s="182" t="n">
        <v>0</v>
      </c>
      <c r="AG970" s="182" t="n">
        <v>0</v>
      </c>
      <c r="AH970" s="182" t="n">
        <v>0</v>
      </c>
      <c r="AI970" s="182" t="n">
        <v>0</v>
      </c>
      <c r="AJ970" s="182" t="n">
        <v>0</v>
      </c>
      <c r="AK970" s="182" t="n">
        <v>0</v>
      </c>
      <c r="AL970" s="182" t="n">
        <v>0</v>
      </c>
      <c r="AM970" s="182" t="n">
        <v>0.11</v>
      </c>
      <c r="AN970" s="182" t="n">
        <v>0</v>
      </c>
    </row>
    <row r="971">
      <c r="A971" s="155" t="n">
        <v>46086</v>
      </c>
      <c r="B971" s="156" t="inlineStr">
        <is>
          <t>DS</t>
        </is>
      </c>
      <c r="C971" s="156" t="inlineStr">
        <is>
          <t>DT-528</t>
        </is>
      </c>
      <c r="D971" s="156" t="inlineStr">
        <is>
          <t>SKT 105S</t>
        </is>
      </c>
      <c r="E971" s="156" t="inlineStr">
        <is>
          <t>Hauler</t>
        </is>
      </c>
      <c r="F971" s="156" t="inlineStr">
        <is>
          <t>Hauling OB</t>
        </is>
      </c>
      <c r="G971" s="182" t="n">
        <v>10.99</v>
      </c>
      <c r="H971" s="182" t="n">
        <v>0</v>
      </c>
      <c r="I971" s="182" t="n">
        <v>0</v>
      </c>
      <c r="J971" s="182" t="n">
        <v>0</v>
      </c>
      <c r="K971" s="182" t="n">
        <v>1.01</v>
      </c>
      <c r="L971" s="182" t="n">
        <v>12</v>
      </c>
      <c r="M971" s="182" t="n">
        <v>10.99</v>
      </c>
      <c r="N971" s="182" t="n">
        <v>0</v>
      </c>
      <c r="O971" s="183" t="n">
        <v>38</v>
      </c>
      <c r="P971" s="183" t="n">
        <v>0</v>
      </c>
      <c r="Q971" s="184" t="n">
        <v>775.2</v>
      </c>
      <c r="R971" s="184" t="n">
        <v>0</v>
      </c>
      <c r="S971" s="183" t="n">
        <v>0</v>
      </c>
      <c r="T971" s="183" t="n">
        <v>0</v>
      </c>
      <c r="U971" s="182" t="n">
        <v>0</v>
      </c>
      <c r="V971" s="182" t="n">
        <v>0</v>
      </c>
      <c r="W971" s="182" t="n">
        <v>0</v>
      </c>
      <c r="X971" s="182" t="n">
        <v>0.84</v>
      </c>
      <c r="Y971" s="182" t="n">
        <v>0</v>
      </c>
      <c r="Z971" s="182" t="n">
        <v>0</v>
      </c>
      <c r="AA971" s="182" t="n">
        <v>0</v>
      </c>
      <c r="AB971" s="182" t="n">
        <v>0</v>
      </c>
      <c r="AC971" s="182" t="n">
        <v>0</v>
      </c>
      <c r="AD971" s="182" t="n">
        <v>0</v>
      </c>
      <c r="AE971" s="182" t="n">
        <v>0</v>
      </c>
      <c r="AF971" s="182" t="n">
        <v>0</v>
      </c>
      <c r="AG971" s="182" t="n">
        <v>0</v>
      </c>
      <c r="AH971" s="182" t="n">
        <v>0.1</v>
      </c>
      <c r="AI971" s="182" t="n">
        <v>0</v>
      </c>
      <c r="AJ971" s="182" t="n">
        <v>0</v>
      </c>
      <c r="AK971" s="182" t="n">
        <v>0</v>
      </c>
      <c r="AL971" s="182" t="n">
        <v>0</v>
      </c>
      <c r="AM971" s="182" t="n">
        <v>0.07000000000000001</v>
      </c>
      <c r="AN971" s="182" t="n">
        <v>0</v>
      </c>
    </row>
    <row r="972">
      <c r="A972" s="155" t="n">
        <v>46086</v>
      </c>
      <c r="B972" s="156" t="inlineStr">
        <is>
          <t>DS</t>
        </is>
      </c>
      <c r="C972" s="156" t="inlineStr">
        <is>
          <t>DT-529</t>
        </is>
      </c>
      <c r="D972" s="156" t="inlineStr">
        <is>
          <t>SKT 105S</t>
        </is>
      </c>
      <c r="E972" s="156" t="inlineStr">
        <is>
          <t>Hauler</t>
        </is>
      </c>
      <c r="F972" s="156" t="inlineStr"/>
      <c r="G972" s="182" t="n">
        <v>0</v>
      </c>
      <c r="H972" s="182" t="n">
        <v>0</v>
      </c>
      <c r="I972" s="182" t="n">
        <v>12</v>
      </c>
      <c r="J972" s="182" t="n">
        <v>12</v>
      </c>
      <c r="K972" s="182" t="n">
        <v>0</v>
      </c>
      <c r="L972" s="182" t="n">
        <v>12</v>
      </c>
      <c r="M972" s="182" t="n">
        <v>0</v>
      </c>
      <c r="N972" s="182" t="n">
        <v>0</v>
      </c>
      <c r="O972" s="183" t="n">
        <v>0</v>
      </c>
      <c r="P972" s="183" t="n">
        <v>0</v>
      </c>
      <c r="Q972" s="184" t="n">
        <v>0</v>
      </c>
      <c r="R972" s="184" t="n">
        <v>0</v>
      </c>
      <c r="S972" s="183" t="n">
        <v>0</v>
      </c>
      <c r="T972" s="183" t="n">
        <v>0</v>
      </c>
      <c r="U972" s="182" t="n">
        <v>0</v>
      </c>
      <c r="V972" s="182" t="n">
        <v>0</v>
      </c>
      <c r="W972" s="182" t="n">
        <v>0</v>
      </c>
      <c r="X972" s="182" t="n">
        <v>0</v>
      </c>
      <c r="Y972" s="182" t="n">
        <v>0</v>
      </c>
      <c r="Z972" s="182" t="n">
        <v>0</v>
      </c>
      <c r="AA972" s="182" t="n">
        <v>0</v>
      </c>
      <c r="AB972" s="182" t="n">
        <v>0</v>
      </c>
      <c r="AC972" s="182" t="n">
        <v>0</v>
      </c>
      <c r="AD972" s="182" t="n">
        <v>0</v>
      </c>
      <c r="AE972" s="182" t="n">
        <v>0</v>
      </c>
      <c r="AF972" s="182" t="n">
        <v>0</v>
      </c>
      <c r="AG972" s="182" t="n">
        <v>0</v>
      </c>
      <c r="AH972" s="182" t="n">
        <v>0</v>
      </c>
      <c r="AI972" s="182" t="n">
        <v>0</v>
      </c>
      <c r="AJ972" s="182" t="n">
        <v>0</v>
      </c>
      <c r="AK972" s="182" t="n">
        <v>0</v>
      </c>
      <c r="AL972" s="182" t="n">
        <v>0</v>
      </c>
      <c r="AM972" s="182" t="n">
        <v>0</v>
      </c>
      <c r="AN972" s="182" t="n">
        <v>0</v>
      </c>
    </row>
    <row r="973">
      <c r="A973" s="155" t="n">
        <v>46086</v>
      </c>
      <c r="B973" s="156" t="inlineStr">
        <is>
          <t>DS</t>
        </is>
      </c>
      <c r="C973" s="156" t="inlineStr">
        <is>
          <t>DT-520</t>
        </is>
      </c>
      <c r="D973" s="156" t="inlineStr">
        <is>
          <t>SKT 105S</t>
        </is>
      </c>
      <c r="E973" s="156" t="inlineStr">
        <is>
          <t>Hauler</t>
        </is>
      </c>
      <c r="F973" s="156" t="inlineStr">
        <is>
          <t>Hauling Material Blendingan &amp; Coal</t>
        </is>
      </c>
      <c r="G973" s="182" t="n">
        <v>6.89</v>
      </c>
      <c r="H973" s="182" t="n">
        <v>4.1</v>
      </c>
      <c r="I973" s="182" t="n">
        <v>0</v>
      </c>
      <c r="J973" s="182" t="n">
        <v>4.1</v>
      </c>
      <c r="K973" s="182" t="n">
        <v>1.01</v>
      </c>
      <c r="L973" s="182" t="n">
        <v>12</v>
      </c>
      <c r="M973" s="182" t="n">
        <v>4.37</v>
      </c>
      <c r="N973" s="182" t="n">
        <v>2.52</v>
      </c>
      <c r="O973" s="183" t="n">
        <v>19</v>
      </c>
      <c r="P973" s="183" t="n">
        <v>7</v>
      </c>
      <c r="Q973" s="184" t="n">
        <v>310.1</v>
      </c>
      <c r="R973" s="184" t="n">
        <v>130.9</v>
      </c>
      <c r="S973" s="183" t="n">
        <v>0</v>
      </c>
      <c r="T973" s="183" t="n">
        <v>0</v>
      </c>
      <c r="U973" s="182" t="n">
        <v>0</v>
      </c>
      <c r="V973" s="182" t="n">
        <v>0</v>
      </c>
      <c r="W973" s="182" t="n">
        <v>0</v>
      </c>
      <c r="X973" s="182" t="n">
        <v>0.91</v>
      </c>
      <c r="Y973" s="182" t="n">
        <v>0</v>
      </c>
      <c r="Z973" s="182" t="n">
        <v>0</v>
      </c>
      <c r="AA973" s="182" t="n">
        <v>0</v>
      </c>
      <c r="AB973" s="182" t="n">
        <v>0</v>
      </c>
      <c r="AC973" s="182" t="n">
        <v>0</v>
      </c>
      <c r="AD973" s="182" t="n">
        <v>0</v>
      </c>
      <c r="AE973" s="182" t="n">
        <v>0</v>
      </c>
      <c r="AF973" s="182" t="n">
        <v>0</v>
      </c>
      <c r="AG973" s="182" t="n">
        <v>0</v>
      </c>
      <c r="AH973" s="182" t="n">
        <v>0</v>
      </c>
      <c r="AI973" s="182" t="n">
        <v>0</v>
      </c>
      <c r="AJ973" s="182" t="n">
        <v>0</v>
      </c>
      <c r="AK973" s="182" t="n">
        <v>0</v>
      </c>
      <c r="AL973" s="182" t="n">
        <v>0</v>
      </c>
      <c r="AM973" s="182" t="n">
        <v>0.1</v>
      </c>
      <c r="AN973" s="182" t="n">
        <v>0</v>
      </c>
    </row>
    <row r="974">
      <c r="A974" s="155" t="n">
        <v>46086</v>
      </c>
      <c r="B974" s="156" t="inlineStr">
        <is>
          <t>DS</t>
        </is>
      </c>
      <c r="C974" s="156" t="inlineStr">
        <is>
          <t>DT-511</t>
        </is>
      </c>
      <c r="D974" s="156" t="inlineStr">
        <is>
          <t>SKT 105S</t>
        </is>
      </c>
      <c r="E974" s="156" t="inlineStr">
        <is>
          <t>Hauler</t>
        </is>
      </c>
      <c r="F974" s="156" t="inlineStr">
        <is>
          <t>Hauling OB</t>
        </is>
      </c>
      <c r="G974" s="182" t="n">
        <v>10.4</v>
      </c>
      <c r="H974" s="182" t="n">
        <v>0</v>
      </c>
      <c r="I974" s="182" t="n">
        <v>0</v>
      </c>
      <c r="J974" s="182" t="n">
        <v>0</v>
      </c>
      <c r="K974" s="182" t="n">
        <v>1.6</v>
      </c>
      <c r="L974" s="182" t="n">
        <v>12</v>
      </c>
      <c r="M974" s="182" t="n">
        <v>10.4</v>
      </c>
      <c r="N974" s="182" t="n">
        <v>0</v>
      </c>
      <c r="O974" s="183" t="n">
        <v>31</v>
      </c>
      <c r="P974" s="183" t="n">
        <v>0</v>
      </c>
      <c r="Q974" s="184" t="n">
        <v>632.4</v>
      </c>
      <c r="R974" s="184" t="n">
        <v>0</v>
      </c>
      <c r="S974" s="183" t="n">
        <v>0</v>
      </c>
      <c r="T974" s="183" t="n">
        <v>0</v>
      </c>
      <c r="U974" s="182" t="n">
        <v>0</v>
      </c>
      <c r="V974" s="182" t="n">
        <v>0</v>
      </c>
      <c r="W974" s="182" t="n">
        <v>0</v>
      </c>
      <c r="X974" s="182" t="n">
        <v>1.14</v>
      </c>
      <c r="Y974" s="182" t="n">
        <v>0</v>
      </c>
      <c r="Z974" s="182" t="n">
        <v>0</v>
      </c>
      <c r="AA974" s="182" t="n">
        <v>0</v>
      </c>
      <c r="AB974" s="182" t="n">
        <v>0</v>
      </c>
      <c r="AC974" s="182" t="n">
        <v>0</v>
      </c>
      <c r="AD974" s="182" t="n">
        <v>0</v>
      </c>
      <c r="AE974" s="182" t="n">
        <v>0</v>
      </c>
      <c r="AF974" s="182" t="n">
        <v>0</v>
      </c>
      <c r="AG974" s="182" t="n">
        <v>0</v>
      </c>
      <c r="AH974" s="182" t="n">
        <v>0.37</v>
      </c>
      <c r="AI974" s="182" t="n">
        <v>0</v>
      </c>
      <c r="AJ974" s="182" t="n">
        <v>0</v>
      </c>
      <c r="AK974" s="182" t="n">
        <v>0</v>
      </c>
      <c r="AL974" s="182" t="n">
        <v>0</v>
      </c>
      <c r="AM974" s="182" t="n">
        <v>0.09</v>
      </c>
      <c r="AN974" s="182" t="n">
        <v>0</v>
      </c>
    </row>
    <row r="975">
      <c r="A975" s="155" t="n">
        <v>46086</v>
      </c>
      <c r="B975" s="156" t="inlineStr">
        <is>
          <t>DS</t>
        </is>
      </c>
      <c r="C975" s="156" t="inlineStr">
        <is>
          <t>DT-509</t>
        </is>
      </c>
      <c r="D975" s="156" t="inlineStr">
        <is>
          <t>SKT 105S</t>
        </is>
      </c>
      <c r="E975" s="156" t="inlineStr">
        <is>
          <t>Hauler</t>
        </is>
      </c>
      <c r="F975" s="156" t="inlineStr">
        <is>
          <t>Hauling Material Blendingan , OB &amp; Coal</t>
        </is>
      </c>
      <c r="G975" s="182" t="n">
        <v>10.35</v>
      </c>
      <c r="H975" s="182" t="n">
        <v>0</v>
      </c>
      <c r="I975" s="182" t="n">
        <v>0</v>
      </c>
      <c r="J975" s="182" t="n">
        <v>0</v>
      </c>
      <c r="K975" s="182" t="n">
        <v>1.65</v>
      </c>
      <c r="L975" s="182" t="n">
        <v>12</v>
      </c>
      <c r="M975" s="182" t="n">
        <v>8.34</v>
      </c>
      <c r="N975" s="182" t="n">
        <v>2.01</v>
      </c>
      <c r="O975" s="183" t="n">
        <v>29</v>
      </c>
      <c r="P975" s="183" t="n">
        <v>5</v>
      </c>
      <c r="Q975" s="184" t="n">
        <v>492.3</v>
      </c>
      <c r="R975" s="184" t="n">
        <v>93.5</v>
      </c>
      <c r="S975" s="183" t="n">
        <v>0</v>
      </c>
      <c r="T975" s="183" t="n">
        <v>0</v>
      </c>
      <c r="U975" s="182" t="n">
        <v>0</v>
      </c>
      <c r="V975" s="182" t="n">
        <v>0</v>
      </c>
      <c r="W975" s="182" t="n">
        <v>0</v>
      </c>
      <c r="X975" s="182" t="n">
        <v>0.97</v>
      </c>
      <c r="Y975" s="182" t="n">
        <v>0</v>
      </c>
      <c r="Z975" s="182" t="n">
        <v>0</v>
      </c>
      <c r="AA975" s="182" t="n">
        <v>0</v>
      </c>
      <c r="AB975" s="182" t="n">
        <v>0</v>
      </c>
      <c r="AC975" s="182" t="n">
        <v>0</v>
      </c>
      <c r="AD975" s="182" t="n">
        <v>0</v>
      </c>
      <c r="AE975" s="182" t="n">
        <v>0</v>
      </c>
      <c r="AF975" s="182" t="n">
        <v>0</v>
      </c>
      <c r="AG975" s="182" t="n">
        <v>0</v>
      </c>
      <c r="AH975" s="182" t="n">
        <v>0.6</v>
      </c>
      <c r="AI975" s="182" t="n">
        <v>0</v>
      </c>
      <c r="AJ975" s="182" t="n">
        <v>0</v>
      </c>
      <c r="AK975" s="182" t="n">
        <v>0</v>
      </c>
      <c r="AL975" s="182" t="n">
        <v>0</v>
      </c>
      <c r="AM975" s="182" t="n">
        <v>0.08</v>
      </c>
      <c r="AN975" s="182" t="n">
        <v>0</v>
      </c>
    </row>
    <row r="976">
      <c r="A976" s="155" t="n">
        <v>46086</v>
      </c>
      <c r="B976" s="156" t="inlineStr">
        <is>
          <t>DS</t>
        </is>
      </c>
      <c r="C976" s="156" t="inlineStr">
        <is>
          <t>DT-526</t>
        </is>
      </c>
      <c r="D976" s="156" t="inlineStr">
        <is>
          <t>SKT 105S</t>
        </is>
      </c>
      <c r="E976" s="156" t="inlineStr">
        <is>
          <t>Hauler</t>
        </is>
      </c>
      <c r="F976" s="156" t="inlineStr">
        <is>
          <t>Hauling OB</t>
        </is>
      </c>
      <c r="G976" s="182" t="n">
        <v>8.32</v>
      </c>
      <c r="H976" s="182" t="n">
        <v>0</v>
      </c>
      <c r="I976" s="182" t="n">
        <v>2.62</v>
      </c>
      <c r="J976" s="182" t="n">
        <v>2.62</v>
      </c>
      <c r="K976" s="182" t="n">
        <v>1.06</v>
      </c>
      <c r="L976" s="182" t="n">
        <v>12</v>
      </c>
      <c r="M976" s="182" t="n">
        <v>8.32</v>
      </c>
      <c r="N976" s="182" t="n">
        <v>0</v>
      </c>
      <c r="O976" s="183" t="n">
        <v>22</v>
      </c>
      <c r="P976" s="183" t="n">
        <v>0</v>
      </c>
      <c r="Q976" s="184" t="n">
        <v>448.8</v>
      </c>
      <c r="R976" s="184" t="n">
        <v>0</v>
      </c>
      <c r="S976" s="183" t="n">
        <v>0</v>
      </c>
      <c r="T976" s="183" t="n">
        <v>0</v>
      </c>
      <c r="U976" s="182" t="n">
        <v>0</v>
      </c>
      <c r="V976" s="182" t="n">
        <v>0</v>
      </c>
      <c r="W976" s="182" t="n">
        <v>0</v>
      </c>
      <c r="X976" s="182" t="n">
        <v>0.98</v>
      </c>
      <c r="Y976" s="182" t="n">
        <v>0</v>
      </c>
      <c r="Z976" s="182" t="n">
        <v>0</v>
      </c>
      <c r="AA976" s="182" t="n">
        <v>0</v>
      </c>
      <c r="AB976" s="182" t="n">
        <v>0</v>
      </c>
      <c r="AC976" s="182" t="n">
        <v>0</v>
      </c>
      <c r="AD976" s="182" t="n">
        <v>0</v>
      </c>
      <c r="AE976" s="182" t="n">
        <v>0</v>
      </c>
      <c r="AF976" s="182" t="n">
        <v>0</v>
      </c>
      <c r="AG976" s="182" t="n">
        <v>0</v>
      </c>
      <c r="AH976" s="182" t="n">
        <v>0</v>
      </c>
      <c r="AI976" s="182" t="n">
        <v>0</v>
      </c>
      <c r="AJ976" s="182" t="n">
        <v>0</v>
      </c>
      <c r="AK976" s="182" t="n">
        <v>0</v>
      </c>
      <c r="AL976" s="182" t="n">
        <v>0</v>
      </c>
      <c r="AM976" s="182" t="n">
        <v>0.08</v>
      </c>
      <c r="AN976" s="182" t="n">
        <v>0</v>
      </c>
    </row>
    <row r="977">
      <c r="A977" s="155" t="n">
        <v>46086</v>
      </c>
      <c r="B977" s="156" t="inlineStr">
        <is>
          <t>DS</t>
        </is>
      </c>
      <c r="C977" s="156" t="inlineStr">
        <is>
          <t>DT-508</t>
        </is>
      </c>
      <c r="D977" s="156" t="inlineStr">
        <is>
          <t>SKT 105S</t>
        </is>
      </c>
      <c r="E977" s="156" t="inlineStr">
        <is>
          <t>Hauler</t>
        </is>
      </c>
      <c r="F977" s="156" t="inlineStr">
        <is>
          <t>Hauling Material Blendingan &amp; Coal</t>
        </is>
      </c>
      <c r="G977" s="182" t="n">
        <v>4.47</v>
      </c>
      <c r="H977" s="182" t="n">
        <v>0</v>
      </c>
      <c r="I977" s="182" t="n">
        <v>3.5</v>
      </c>
      <c r="J977" s="182" t="n">
        <v>3.5</v>
      </c>
      <c r="K977" s="182" t="n">
        <v>4.03</v>
      </c>
      <c r="L977" s="182" t="n">
        <v>12</v>
      </c>
      <c r="M977" s="182" t="n">
        <v>0.33</v>
      </c>
      <c r="N977" s="182" t="n">
        <v>4.14</v>
      </c>
      <c r="O977" s="183" t="n">
        <v>1</v>
      </c>
      <c r="P977" s="183" t="n">
        <v>10</v>
      </c>
      <c r="Q977" s="184" t="n">
        <v>16.3</v>
      </c>
      <c r="R977" s="184" t="n">
        <v>187</v>
      </c>
      <c r="S977" s="183" t="n">
        <v>0</v>
      </c>
      <c r="T977" s="183" t="n">
        <v>0</v>
      </c>
      <c r="U977" s="182" t="n">
        <v>0</v>
      </c>
      <c r="V977" s="182" t="n">
        <v>0</v>
      </c>
      <c r="W977" s="182" t="n">
        <v>0</v>
      </c>
      <c r="X977" s="182" t="n">
        <v>0.92</v>
      </c>
      <c r="Y977" s="182" t="n">
        <v>0</v>
      </c>
      <c r="Z977" s="182" t="n">
        <v>0</v>
      </c>
      <c r="AA977" s="182" t="n">
        <v>0</v>
      </c>
      <c r="AB977" s="182" t="n">
        <v>0</v>
      </c>
      <c r="AC977" s="182" t="n">
        <v>0</v>
      </c>
      <c r="AD977" s="182" t="n">
        <v>0</v>
      </c>
      <c r="AE977" s="182" t="n">
        <v>0</v>
      </c>
      <c r="AF977" s="182" t="n">
        <v>0</v>
      </c>
      <c r="AG977" s="182" t="n">
        <v>0</v>
      </c>
      <c r="AH977" s="182" t="n">
        <v>0</v>
      </c>
      <c r="AI977" s="182" t="n">
        <v>3.04</v>
      </c>
      <c r="AJ977" s="182" t="n">
        <v>0</v>
      </c>
      <c r="AK977" s="182" t="n">
        <v>0</v>
      </c>
      <c r="AL977" s="182" t="n">
        <v>0</v>
      </c>
      <c r="AM977" s="182" t="n">
        <v>0.07000000000000001</v>
      </c>
      <c r="AN977" s="182" t="n">
        <v>0</v>
      </c>
    </row>
    <row r="978">
      <c r="A978" s="155" t="n">
        <v>46086</v>
      </c>
      <c r="B978" s="156" t="inlineStr">
        <is>
          <t>DS</t>
        </is>
      </c>
      <c r="C978" s="156" t="inlineStr">
        <is>
          <t>DT-515</t>
        </is>
      </c>
      <c r="D978" s="156" t="inlineStr">
        <is>
          <t>SKT 105S</t>
        </is>
      </c>
      <c r="E978" s="156" t="inlineStr">
        <is>
          <t>Hauler</t>
        </is>
      </c>
      <c r="F978" s="156" t="inlineStr">
        <is>
          <t>Hauling Coal</t>
        </is>
      </c>
      <c r="G978" s="182" t="n">
        <v>8.029999999999999</v>
      </c>
      <c r="H978" s="182" t="n">
        <v>0</v>
      </c>
      <c r="I978" s="182" t="n">
        <v>0.28</v>
      </c>
      <c r="J978" s="182" t="n">
        <v>0.28</v>
      </c>
      <c r="K978" s="182" t="n">
        <v>3.69</v>
      </c>
      <c r="L978" s="182" t="n">
        <v>12</v>
      </c>
      <c r="M978" s="182" t="n">
        <v>0</v>
      </c>
      <c r="N978" s="182" t="n">
        <v>8.029999999999999</v>
      </c>
      <c r="O978" s="183" t="n">
        <v>0</v>
      </c>
      <c r="P978" s="183" t="n">
        <v>18</v>
      </c>
      <c r="Q978" s="184" t="n">
        <v>0</v>
      </c>
      <c r="R978" s="184" t="n">
        <v>336.6</v>
      </c>
      <c r="S978" s="183" t="n">
        <v>0</v>
      </c>
      <c r="T978" s="183" t="n">
        <v>0</v>
      </c>
      <c r="U978" s="182" t="n">
        <v>0</v>
      </c>
      <c r="V978" s="182" t="n">
        <v>0</v>
      </c>
      <c r="W978" s="182" t="n">
        <v>0</v>
      </c>
      <c r="X978" s="182" t="n">
        <v>0.97</v>
      </c>
      <c r="Y978" s="182" t="n">
        <v>0</v>
      </c>
      <c r="Z978" s="182" t="n">
        <v>0</v>
      </c>
      <c r="AA978" s="182" t="n">
        <v>0</v>
      </c>
      <c r="AB978" s="182" t="n">
        <v>0</v>
      </c>
      <c r="AC978" s="182" t="n">
        <v>0</v>
      </c>
      <c r="AD978" s="182" t="n">
        <v>0</v>
      </c>
      <c r="AE978" s="182" t="n">
        <v>0</v>
      </c>
      <c r="AF978" s="182" t="n">
        <v>0</v>
      </c>
      <c r="AG978" s="182" t="n">
        <v>0</v>
      </c>
      <c r="AH978" s="182" t="n">
        <v>0</v>
      </c>
      <c r="AI978" s="182" t="n">
        <v>2.64</v>
      </c>
      <c r="AJ978" s="182" t="n">
        <v>0</v>
      </c>
      <c r="AK978" s="182" t="n">
        <v>0</v>
      </c>
      <c r="AL978" s="182" t="n">
        <v>0</v>
      </c>
      <c r="AM978" s="182" t="n">
        <v>0.08</v>
      </c>
      <c r="AN978" s="182" t="n">
        <v>0</v>
      </c>
    </row>
    <row r="979">
      <c r="A979" s="155" t="n">
        <v>46086</v>
      </c>
      <c r="B979" s="156" t="inlineStr">
        <is>
          <t>DS</t>
        </is>
      </c>
      <c r="C979" s="156" t="inlineStr">
        <is>
          <t>DT-524</t>
        </is>
      </c>
      <c r="D979" s="156" t="inlineStr">
        <is>
          <t>SKT 105S</t>
        </is>
      </c>
      <c r="E979" s="156" t="inlineStr">
        <is>
          <t>Hauler</t>
        </is>
      </c>
      <c r="F979" s="156" t="inlineStr">
        <is>
          <t>Hauling Coal</t>
        </is>
      </c>
      <c r="G979" s="182" t="n">
        <v>0.3</v>
      </c>
      <c r="H979" s="182" t="n">
        <v>0</v>
      </c>
      <c r="I979" s="182" t="n">
        <v>11.7</v>
      </c>
      <c r="J979" s="182" t="n">
        <v>11.7</v>
      </c>
      <c r="K979" s="182" t="n">
        <v>0</v>
      </c>
      <c r="L979" s="182" t="n">
        <v>12</v>
      </c>
      <c r="M979" s="182" t="n">
        <v>0</v>
      </c>
      <c r="N979" s="182" t="n">
        <v>0.3</v>
      </c>
      <c r="O979" s="183" t="n">
        <v>0</v>
      </c>
      <c r="P979" s="183" t="n">
        <v>1</v>
      </c>
      <c r="Q979" s="184" t="n">
        <v>0</v>
      </c>
      <c r="R979" s="184" t="n">
        <v>18.7</v>
      </c>
      <c r="S979" s="183" t="n">
        <v>0</v>
      </c>
      <c r="T979" s="183" t="n">
        <v>0</v>
      </c>
      <c r="U979" s="182" t="n">
        <v>0</v>
      </c>
      <c r="V979" s="182" t="n">
        <v>0</v>
      </c>
      <c r="W979" s="182" t="n">
        <v>0</v>
      </c>
      <c r="X979" s="182" t="n">
        <v>0</v>
      </c>
      <c r="Y979" s="182" t="n">
        <v>0</v>
      </c>
      <c r="Z979" s="182" t="n">
        <v>0</v>
      </c>
      <c r="AA979" s="182" t="n">
        <v>0</v>
      </c>
      <c r="AB979" s="182" t="n">
        <v>0</v>
      </c>
      <c r="AC979" s="182" t="n">
        <v>0</v>
      </c>
      <c r="AD979" s="182" t="n">
        <v>0</v>
      </c>
      <c r="AE979" s="182" t="n">
        <v>0</v>
      </c>
      <c r="AF979" s="182" t="n">
        <v>0</v>
      </c>
      <c r="AG979" s="182" t="n">
        <v>0</v>
      </c>
      <c r="AH979" s="182" t="n">
        <v>0</v>
      </c>
      <c r="AI979" s="182" t="n">
        <v>0</v>
      </c>
      <c r="AJ979" s="182" t="n">
        <v>0</v>
      </c>
      <c r="AK979" s="182" t="n">
        <v>0</v>
      </c>
      <c r="AL979" s="182" t="n">
        <v>0</v>
      </c>
      <c r="AM979" s="182" t="n">
        <v>0</v>
      </c>
      <c r="AN979" s="182" t="n">
        <v>0</v>
      </c>
    </row>
    <row r="980">
      <c r="A980" s="155" t="n">
        <v>46086</v>
      </c>
      <c r="B980" s="156" t="inlineStr">
        <is>
          <t>DS</t>
        </is>
      </c>
      <c r="C980" s="156" t="inlineStr">
        <is>
          <t>DT-341</t>
        </is>
      </c>
      <c r="D980" s="156" t="inlineStr">
        <is>
          <t>SYZ324C-8W</t>
        </is>
      </c>
      <c r="E980" s="156" t="inlineStr">
        <is>
          <t>Hauler</t>
        </is>
      </c>
      <c r="F980" s="156" t="inlineStr">
        <is>
          <t>Rehandling Material di Washing Plant</t>
        </is>
      </c>
      <c r="G980" s="182" t="n">
        <v>3.92</v>
      </c>
      <c r="H980" s="182" t="n">
        <v>0</v>
      </c>
      <c r="I980" s="182" t="n">
        <v>0</v>
      </c>
      <c r="J980" s="182" t="n">
        <v>0</v>
      </c>
      <c r="K980" s="182" t="n">
        <v>8.08</v>
      </c>
      <c r="L980" s="182" t="n">
        <v>12</v>
      </c>
      <c r="M980" s="182" t="n">
        <v>0</v>
      </c>
      <c r="N980" s="182" t="n">
        <v>0</v>
      </c>
      <c r="O980" s="183" t="n">
        <v>0</v>
      </c>
      <c r="P980" s="183" t="n">
        <v>0</v>
      </c>
      <c r="Q980" s="184" t="n">
        <v>0</v>
      </c>
      <c r="R980" s="184" t="n">
        <v>0</v>
      </c>
      <c r="S980" s="183" t="n">
        <v>0</v>
      </c>
      <c r="T980" s="183" t="n">
        <v>0</v>
      </c>
      <c r="U980" s="182" t="n">
        <v>0</v>
      </c>
      <c r="V980" s="182" t="n">
        <v>0</v>
      </c>
      <c r="W980" s="182" t="n">
        <v>0</v>
      </c>
      <c r="X980" s="182" t="n">
        <v>1.02</v>
      </c>
      <c r="Y980" s="182" t="n">
        <v>0</v>
      </c>
      <c r="Z980" s="182" t="n">
        <v>0</v>
      </c>
      <c r="AA980" s="182" t="n">
        <v>0</v>
      </c>
      <c r="AB980" s="182" t="n">
        <v>0</v>
      </c>
      <c r="AC980" s="182" t="n">
        <v>0</v>
      </c>
      <c r="AD980" s="182" t="n">
        <v>0</v>
      </c>
      <c r="AE980" s="182" t="n">
        <v>0</v>
      </c>
      <c r="AF980" s="182" t="n">
        <v>0</v>
      </c>
      <c r="AG980" s="182" t="n">
        <v>0</v>
      </c>
      <c r="AH980" s="182" t="n">
        <v>0</v>
      </c>
      <c r="AI980" s="182" t="n">
        <v>0</v>
      </c>
      <c r="AJ980" s="182" t="n">
        <v>0</v>
      </c>
      <c r="AK980" s="182" t="n">
        <v>6.98</v>
      </c>
      <c r="AL980" s="182" t="n">
        <v>0</v>
      </c>
      <c r="AM980" s="182" t="n">
        <v>0.08</v>
      </c>
      <c r="AN980" s="182" t="n">
        <v>0</v>
      </c>
    </row>
    <row r="981">
      <c r="A981" s="155" t="n">
        <v>46086</v>
      </c>
      <c r="B981" s="156" t="inlineStr">
        <is>
          <t>DS</t>
        </is>
      </c>
      <c r="C981" s="156" t="inlineStr">
        <is>
          <t>DT-342</t>
        </is>
      </c>
      <c r="D981" s="156" t="inlineStr">
        <is>
          <t>SYZ324C-8W</t>
        </is>
      </c>
      <c r="E981" s="156" t="inlineStr">
        <is>
          <t>Hauler</t>
        </is>
      </c>
      <c r="F981" s="156" t="inlineStr">
        <is>
          <t>Rehandling Material di Washing Plant</t>
        </is>
      </c>
      <c r="G981" s="182" t="n">
        <v>4.99</v>
      </c>
      <c r="H981" s="182" t="n">
        <v>0</v>
      </c>
      <c r="I981" s="182" t="n">
        <v>0</v>
      </c>
      <c r="J981" s="182" t="n">
        <v>0</v>
      </c>
      <c r="K981" s="182" t="n">
        <v>7.01</v>
      </c>
      <c r="L981" s="182" t="n">
        <v>12</v>
      </c>
      <c r="M981" s="182" t="n">
        <v>0</v>
      </c>
      <c r="N981" s="182" t="n">
        <v>0</v>
      </c>
      <c r="O981" s="183" t="n">
        <v>0</v>
      </c>
      <c r="P981" s="183" t="n">
        <v>0</v>
      </c>
      <c r="Q981" s="184" t="n">
        <v>0</v>
      </c>
      <c r="R981" s="184" t="n">
        <v>0</v>
      </c>
      <c r="S981" s="183" t="n">
        <v>0</v>
      </c>
      <c r="T981" s="183" t="n">
        <v>0</v>
      </c>
      <c r="U981" s="182" t="n">
        <v>0</v>
      </c>
      <c r="V981" s="182" t="n">
        <v>0</v>
      </c>
      <c r="W981" s="182" t="n">
        <v>0</v>
      </c>
      <c r="X981" s="182" t="n">
        <v>1</v>
      </c>
      <c r="Y981" s="182" t="n">
        <v>0</v>
      </c>
      <c r="Z981" s="182" t="n">
        <v>0</v>
      </c>
      <c r="AA981" s="182" t="n">
        <v>0</v>
      </c>
      <c r="AB981" s="182" t="n">
        <v>0</v>
      </c>
      <c r="AC981" s="182" t="n">
        <v>0</v>
      </c>
      <c r="AD981" s="182" t="n">
        <v>0</v>
      </c>
      <c r="AE981" s="182" t="n">
        <v>0</v>
      </c>
      <c r="AF981" s="182" t="n">
        <v>0</v>
      </c>
      <c r="AG981" s="182" t="n">
        <v>0</v>
      </c>
      <c r="AH981" s="182" t="n">
        <v>0</v>
      </c>
      <c r="AI981" s="182" t="n">
        <v>0</v>
      </c>
      <c r="AJ981" s="182" t="n">
        <v>0</v>
      </c>
      <c r="AK981" s="182" t="n">
        <v>5.93</v>
      </c>
      <c r="AL981" s="182" t="n">
        <v>0</v>
      </c>
      <c r="AM981" s="182" t="n">
        <v>0.08</v>
      </c>
      <c r="AN981" s="182" t="n">
        <v>0</v>
      </c>
    </row>
    <row r="982">
      <c r="A982" s="155" t="n">
        <v>46086</v>
      </c>
      <c r="B982" s="156" t="inlineStr">
        <is>
          <t>DS</t>
        </is>
      </c>
      <c r="C982" s="156" t="inlineStr">
        <is>
          <t>HD-903</t>
        </is>
      </c>
      <c r="D982" s="156" t="inlineStr">
        <is>
          <t>SRT 95C</t>
        </is>
      </c>
      <c r="E982" s="156" t="inlineStr">
        <is>
          <t>Hauler</t>
        </is>
      </c>
      <c r="F982" s="156" t="inlineStr"/>
      <c r="G982" s="182" t="n">
        <v>0</v>
      </c>
      <c r="H982" s="182" t="n">
        <v>0</v>
      </c>
      <c r="I982" s="182" t="n">
        <v>12</v>
      </c>
      <c r="J982" s="182" t="n">
        <v>12</v>
      </c>
      <c r="K982" s="182" t="n">
        <v>0</v>
      </c>
      <c r="L982" s="182" t="n">
        <v>12</v>
      </c>
      <c r="M982" s="182" t="n">
        <v>0</v>
      </c>
      <c r="N982" s="182" t="n">
        <v>0</v>
      </c>
      <c r="O982" s="183" t="n">
        <v>0</v>
      </c>
      <c r="P982" s="183" t="n">
        <v>0</v>
      </c>
      <c r="Q982" s="184" t="n">
        <v>0</v>
      </c>
      <c r="R982" s="184" t="n">
        <v>0</v>
      </c>
      <c r="S982" s="183" t="n">
        <v>0</v>
      </c>
      <c r="T982" s="183" t="n">
        <v>0</v>
      </c>
      <c r="U982" s="182" t="n">
        <v>0</v>
      </c>
      <c r="V982" s="182" t="n">
        <v>0</v>
      </c>
      <c r="W982" s="182" t="n">
        <v>0</v>
      </c>
      <c r="X982" s="182" t="n">
        <v>0</v>
      </c>
      <c r="Y982" s="182" t="n">
        <v>0</v>
      </c>
      <c r="Z982" s="182" t="n">
        <v>0</v>
      </c>
      <c r="AA982" s="182" t="n">
        <v>0</v>
      </c>
      <c r="AB982" s="182" t="n">
        <v>0</v>
      </c>
      <c r="AC982" s="182" t="n">
        <v>0</v>
      </c>
      <c r="AD982" s="182" t="n">
        <v>0</v>
      </c>
      <c r="AE982" s="182" t="n">
        <v>0</v>
      </c>
      <c r="AF982" s="182" t="n">
        <v>0</v>
      </c>
      <c r="AG982" s="182" t="n">
        <v>0</v>
      </c>
      <c r="AH982" s="182" t="n">
        <v>0</v>
      </c>
      <c r="AI982" s="182" t="n">
        <v>0</v>
      </c>
      <c r="AJ982" s="182" t="n">
        <v>0</v>
      </c>
      <c r="AK982" s="182" t="n">
        <v>0</v>
      </c>
      <c r="AL982" s="182" t="n">
        <v>0</v>
      </c>
      <c r="AM982" s="182" t="n">
        <v>0</v>
      </c>
      <c r="AN982" s="182" t="n">
        <v>0</v>
      </c>
    </row>
    <row r="983">
      <c r="A983" s="155" t="n">
        <v>46086</v>
      </c>
      <c r="B983" s="156" t="inlineStr">
        <is>
          <t>DS</t>
        </is>
      </c>
      <c r="C983" s="156" t="inlineStr">
        <is>
          <t>HD-905</t>
        </is>
      </c>
      <c r="D983" s="156" t="inlineStr">
        <is>
          <t>SRT 95C</t>
        </is>
      </c>
      <c r="E983" s="156" t="inlineStr">
        <is>
          <t>Hauler</t>
        </is>
      </c>
      <c r="F983" s="156" t="inlineStr">
        <is>
          <t>Hauling Material Blendingan</t>
        </is>
      </c>
      <c r="G983" s="182" t="n">
        <v>2.17</v>
      </c>
      <c r="H983" s="182" t="n">
        <v>0</v>
      </c>
      <c r="I983" s="182" t="n">
        <v>0</v>
      </c>
      <c r="J983" s="182" t="n">
        <v>0</v>
      </c>
      <c r="K983" s="182" t="n">
        <v>9.83</v>
      </c>
      <c r="L983" s="182" t="n">
        <v>12</v>
      </c>
      <c r="M983" s="182" t="n">
        <v>2.01</v>
      </c>
      <c r="N983" s="182" t="n">
        <v>0</v>
      </c>
      <c r="O983" s="183" t="n">
        <v>6</v>
      </c>
      <c r="P983" s="183" t="n">
        <v>0</v>
      </c>
      <c r="Q983" s="184" t="n">
        <v>171.4</v>
      </c>
      <c r="R983" s="184" t="n">
        <v>0</v>
      </c>
      <c r="S983" s="183" t="n">
        <v>0</v>
      </c>
      <c r="T983" s="183" t="n">
        <v>0</v>
      </c>
      <c r="U983" s="182" t="n">
        <v>0</v>
      </c>
      <c r="V983" s="182" t="n">
        <v>0</v>
      </c>
      <c r="W983" s="182" t="n">
        <v>0</v>
      </c>
      <c r="X983" s="182" t="n">
        <v>1</v>
      </c>
      <c r="Y983" s="182" t="n">
        <v>0</v>
      </c>
      <c r="Z983" s="182" t="n">
        <v>0</v>
      </c>
      <c r="AA983" s="182" t="n">
        <v>0</v>
      </c>
      <c r="AB983" s="182" t="n">
        <v>0</v>
      </c>
      <c r="AC983" s="182" t="n">
        <v>0</v>
      </c>
      <c r="AD983" s="182" t="n">
        <v>0</v>
      </c>
      <c r="AE983" s="182" t="n">
        <v>0</v>
      </c>
      <c r="AF983" s="182" t="n">
        <v>0</v>
      </c>
      <c r="AG983" s="182" t="n">
        <v>0</v>
      </c>
      <c r="AH983" s="182" t="n">
        <v>0</v>
      </c>
      <c r="AI983" s="182" t="n">
        <v>8.75</v>
      </c>
      <c r="AJ983" s="182" t="n">
        <v>0</v>
      </c>
      <c r="AK983" s="182" t="n">
        <v>0</v>
      </c>
      <c r="AL983" s="182" t="n">
        <v>0</v>
      </c>
      <c r="AM983" s="182" t="n">
        <v>0.08</v>
      </c>
      <c r="AN983" s="182" t="n">
        <v>0</v>
      </c>
    </row>
    <row r="984">
      <c r="A984" s="155" t="n">
        <v>46086</v>
      </c>
      <c r="B984" s="156" t="inlineStr">
        <is>
          <t>DS</t>
        </is>
      </c>
      <c r="C984" s="156" t="inlineStr">
        <is>
          <t>HD-901</t>
        </is>
      </c>
      <c r="D984" s="156" t="inlineStr">
        <is>
          <t>SRT 95C</t>
        </is>
      </c>
      <c r="E984" s="156" t="inlineStr">
        <is>
          <t>Hauler</t>
        </is>
      </c>
      <c r="F984" s="156" t="inlineStr">
        <is>
          <t>Hauling Material Blendingan</t>
        </is>
      </c>
      <c r="G984" s="182" t="n">
        <v>6.86</v>
      </c>
      <c r="H984" s="182" t="n">
        <v>0</v>
      </c>
      <c r="I984" s="182" t="n">
        <v>0</v>
      </c>
      <c r="J984" s="182" t="n">
        <v>0</v>
      </c>
      <c r="K984" s="182" t="n">
        <v>5.14</v>
      </c>
      <c r="L984" s="182" t="n">
        <v>12</v>
      </c>
      <c r="M984" s="182" t="n">
        <v>6.17</v>
      </c>
      <c r="N984" s="182" t="n">
        <v>0</v>
      </c>
      <c r="O984" s="183" t="n">
        <v>25</v>
      </c>
      <c r="P984" s="183" t="n">
        <v>0</v>
      </c>
      <c r="Q984" s="184" t="n">
        <v>714</v>
      </c>
      <c r="R984" s="184" t="n">
        <v>0</v>
      </c>
      <c r="S984" s="183" t="n">
        <v>0</v>
      </c>
      <c r="T984" s="183" t="n">
        <v>0</v>
      </c>
      <c r="U984" s="182" t="n">
        <v>0</v>
      </c>
      <c r="V984" s="182" t="n">
        <v>0</v>
      </c>
      <c r="W984" s="182" t="n">
        <v>0</v>
      </c>
      <c r="X984" s="182" t="n">
        <v>0.97</v>
      </c>
      <c r="Y984" s="182" t="n">
        <v>0</v>
      </c>
      <c r="Z984" s="182" t="n">
        <v>0</v>
      </c>
      <c r="AA984" s="182" t="n">
        <v>0</v>
      </c>
      <c r="AB984" s="182" t="n">
        <v>0</v>
      </c>
      <c r="AC984" s="182" t="n">
        <v>0</v>
      </c>
      <c r="AD984" s="182" t="n">
        <v>0</v>
      </c>
      <c r="AE984" s="182" t="n">
        <v>0</v>
      </c>
      <c r="AF984" s="182" t="n">
        <v>0</v>
      </c>
      <c r="AG984" s="182" t="n">
        <v>0</v>
      </c>
      <c r="AH984" s="182" t="n">
        <v>0</v>
      </c>
      <c r="AI984" s="182" t="n">
        <v>4.09</v>
      </c>
      <c r="AJ984" s="182" t="n">
        <v>0</v>
      </c>
      <c r="AK984" s="182" t="n">
        <v>0</v>
      </c>
      <c r="AL984" s="182" t="n">
        <v>0</v>
      </c>
      <c r="AM984" s="182" t="n">
        <v>0.08</v>
      </c>
      <c r="AN984" s="182" t="n">
        <v>0</v>
      </c>
    </row>
    <row r="985">
      <c r="A985" s="155" t="n">
        <v>46086</v>
      </c>
      <c r="B985" s="156" t="inlineStr">
        <is>
          <t>DS</t>
        </is>
      </c>
      <c r="C985" s="156" t="inlineStr">
        <is>
          <t>HD-904</t>
        </is>
      </c>
      <c r="D985" s="156" t="inlineStr">
        <is>
          <t>SRT 95C</t>
        </is>
      </c>
      <c r="E985" s="156" t="inlineStr">
        <is>
          <t>Hauler</t>
        </is>
      </c>
      <c r="F985" s="156" t="inlineStr">
        <is>
          <t>Hauling Material Blendingan</t>
        </is>
      </c>
      <c r="G985" s="182" t="n">
        <v>6.73</v>
      </c>
      <c r="H985" s="182" t="n">
        <v>0</v>
      </c>
      <c r="I985" s="182" t="n">
        <v>0</v>
      </c>
      <c r="J985" s="182" t="n">
        <v>0</v>
      </c>
      <c r="K985" s="182" t="n">
        <v>5.27</v>
      </c>
      <c r="L985" s="182" t="n">
        <v>12</v>
      </c>
      <c r="M985" s="182" t="n">
        <v>6.39</v>
      </c>
      <c r="N985" s="182" t="n">
        <v>0</v>
      </c>
      <c r="O985" s="183" t="n">
        <v>24</v>
      </c>
      <c r="P985" s="183" t="n">
        <v>0</v>
      </c>
      <c r="Q985" s="184" t="n">
        <v>685.4</v>
      </c>
      <c r="R985" s="184" t="n">
        <v>0</v>
      </c>
      <c r="S985" s="183" t="n">
        <v>0</v>
      </c>
      <c r="T985" s="183" t="n">
        <v>0</v>
      </c>
      <c r="U985" s="182" t="n">
        <v>0</v>
      </c>
      <c r="V985" s="182" t="n">
        <v>0</v>
      </c>
      <c r="W985" s="182" t="n">
        <v>0</v>
      </c>
      <c r="X985" s="182" t="n">
        <v>0.96</v>
      </c>
      <c r="Y985" s="182" t="n">
        <v>0</v>
      </c>
      <c r="Z985" s="182" t="n">
        <v>0</v>
      </c>
      <c r="AA985" s="182" t="n">
        <v>0</v>
      </c>
      <c r="AB985" s="182" t="n">
        <v>0</v>
      </c>
      <c r="AC985" s="182" t="n">
        <v>0</v>
      </c>
      <c r="AD985" s="182" t="n">
        <v>0</v>
      </c>
      <c r="AE985" s="182" t="n">
        <v>0</v>
      </c>
      <c r="AF985" s="182" t="n">
        <v>0</v>
      </c>
      <c r="AG985" s="182" t="n">
        <v>0</v>
      </c>
      <c r="AH985" s="182" t="n">
        <v>0</v>
      </c>
      <c r="AI985" s="182" t="n">
        <v>4.24</v>
      </c>
      <c r="AJ985" s="182" t="n">
        <v>0</v>
      </c>
      <c r="AK985" s="182" t="n">
        <v>0</v>
      </c>
      <c r="AL985" s="182" t="n">
        <v>0</v>
      </c>
      <c r="AM985" s="182" t="n">
        <v>0.08</v>
      </c>
      <c r="AN985" s="182" t="n">
        <v>0</v>
      </c>
    </row>
    <row r="986">
      <c r="A986" s="155" t="n">
        <v>46086</v>
      </c>
      <c r="B986" s="156" t="inlineStr">
        <is>
          <t>DS</t>
        </is>
      </c>
      <c r="C986" s="156" t="inlineStr">
        <is>
          <t>HD-902</t>
        </is>
      </c>
      <c r="D986" s="156" t="inlineStr">
        <is>
          <t>SRT 95C</t>
        </is>
      </c>
      <c r="E986" s="156" t="inlineStr">
        <is>
          <t>Hauler</t>
        </is>
      </c>
      <c r="F986" s="156" t="inlineStr"/>
      <c r="G986" s="182" t="n">
        <v>0</v>
      </c>
      <c r="H986" s="182" t="n">
        <v>11</v>
      </c>
      <c r="I986" s="182" t="n">
        <v>0</v>
      </c>
      <c r="J986" s="182" t="n">
        <v>11</v>
      </c>
      <c r="K986" s="182" t="n">
        <v>1</v>
      </c>
      <c r="L986" s="182" t="n">
        <v>12</v>
      </c>
      <c r="M986" s="182" t="n">
        <v>0</v>
      </c>
      <c r="N986" s="182" t="n">
        <v>0</v>
      </c>
      <c r="O986" s="183" t="n">
        <v>0</v>
      </c>
      <c r="P986" s="183" t="n">
        <v>0</v>
      </c>
      <c r="Q986" s="184" t="n">
        <v>0</v>
      </c>
      <c r="R986" s="184" t="n">
        <v>0</v>
      </c>
      <c r="S986" s="183" t="n">
        <v>0</v>
      </c>
      <c r="T986" s="183" t="n">
        <v>0</v>
      </c>
      <c r="U986" s="182" t="n">
        <v>0</v>
      </c>
      <c r="V986" s="182" t="n">
        <v>0</v>
      </c>
      <c r="W986" s="182" t="n">
        <v>0</v>
      </c>
      <c r="X986" s="182" t="n">
        <v>0.92</v>
      </c>
      <c r="Y986" s="182" t="n">
        <v>0</v>
      </c>
      <c r="Z986" s="182" t="n">
        <v>0</v>
      </c>
      <c r="AA986" s="182" t="n">
        <v>0</v>
      </c>
      <c r="AB986" s="182" t="n">
        <v>0</v>
      </c>
      <c r="AC986" s="182" t="n">
        <v>0</v>
      </c>
      <c r="AD986" s="182" t="n">
        <v>0</v>
      </c>
      <c r="AE986" s="182" t="n">
        <v>0</v>
      </c>
      <c r="AF986" s="182" t="n">
        <v>0</v>
      </c>
      <c r="AG986" s="182" t="n">
        <v>0</v>
      </c>
      <c r="AH986" s="182" t="n">
        <v>0</v>
      </c>
      <c r="AI986" s="182" t="n">
        <v>0</v>
      </c>
      <c r="AJ986" s="182" t="n">
        <v>0</v>
      </c>
      <c r="AK986" s="182" t="n">
        <v>0</v>
      </c>
      <c r="AL986" s="182" t="n">
        <v>0</v>
      </c>
      <c r="AM986" s="182" t="n">
        <v>0.08</v>
      </c>
      <c r="AN986" s="182" t="n">
        <v>0</v>
      </c>
    </row>
    <row r="987">
      <c r="A987" s="155" t="n">
        <v>46086</v>
      </c>
      <c r="B987" s="156" t="inlineStr">
        <is>
          <t>DS</t>
        </is>
      </c>
      <c r="C987" s="156" t="inlineStr">
        <is>
          <t>WL-025</t>
        </is>
      </c>
      <c r="D987" s="156" t="inlineStr">
        <is>
          <t>SANY - Loader</t>
        </is>
      </c>
      <c r="E987" s="156" t="inlineStr">
        <is>
          <t>Loader</t>
        </is>
      </c>
      <c r="F987" s="156" t="inlineStr"/>
      <c r="G987" s="182" t="n">
        <v>0</v>
      </c>
      <c r="H987" s="182" t="n">
        <v>0</v>
      </c>
      <c r="I987" s="182" t="n">
        <v>0</v>
      </c>
      <c r="J987" s="182" t="n">
        <v>0</v>
      </c>
      <c r="K987" s="182" t="n">
        <v>12</v>
      </c>
      <c r="L987" s="182" t="n">
        <v>12</v>
      </c>
      <c r="M987" s="182" t="n">
        <v>0</v>
      </c>
      <c r="N987" s="182" t="n">
        <v>0</v>
      </c>
      <c r="O987" s="183" t="n">
        <v>0</v>
      </c>
      <c r="P987" s="183" t="n">
        <v>0</v>
      </c>
      <c r="Q987" s="184" t="n">
        <v>0</v>
      </c>
      <c r="R987" s="184" t="n">
        <v>0</v>
      </c>
      <c r="S987" s="183" t="n">
        <v>0</v>
      </c>
      <c r="T987" s="183" t="n">
        <v>0</v>
      </c>
      <c r="U987" s="182" t="n">
        <v>0</v>
      </c>
      <c r="V987" s="182" t="n">
        <v>0</v>
      </c>
      <c r="W987" s="182" t="n">
        <v>0</v>
      </c>
      <c r="X987" s="182" t="n">
        <v>1</v>
      </c>
      <c r="Y987" s="182" t="n">
        <v>0</v>
      </c>
      <c r="Z987" s="182" t="n">
        <v>0</v>
      </c>
      <c r="AA987" s="182" t="n">
        <v>0</v>
      </c>
      <c r="AB987" s="182" t="n">
        <v>0</v>
      </c>
      <c r="AC987" s="182" t="n">
        <v>0</v>
      </c>
      <c r="AD987" s="182" t="n">
        <v>0</v>
      </c>
      <c r="AE987" s="182" t="n">
        <v>0</v>
      </c>
      <c r="AF987" s="182" t="n">
        <v>0</v>
      </c>
      <c r="AG987" s="182" t="n">
        <v>0</v>
      </c>
      <c r="AH987" s="182" t="n">
        <v>0</v>
      </c>
      <c r="AI987" s="182" t="n">
        <v>0</v>
      </c>
      <c r="AJ987" s="182" t="n">
        <v>0</v>
      </c>
      <c r="AK987" s="182" t="n">
        <v>10.92</v>
      </c>
      <c r="AL987" s="182" t="n">
        <v>0</v>
      </c>
      <c r="AM987" s="182" t="n">
        <v>0.08</v>
      </c>
      <c r="AN987" s="182" t="n">
        <v>0</v>
      </c>
    </row>
    <row r="988">
      <c r="A988" s="155" t="n">
        <v>46086</v>
      </c>
      <c r="B988" s="156" t="inlineStr">
        <is>
          <t>DS</t>
        </is>
      </c>
      <c r="C988" s="156" t="inlineStr">
        <is>
          <t>WL-023</t>
        </is>
      </c>
      <c r="D988" s="156" t="inlineStr">
        <is>
          <t>SANY - Loader</t>
        </is>
      </c>
      <c r="E988" s="156" t="inlineStr">
        <is>
          <t>Loader</t>
        </is>
      </c>
      <c r="F988" s="156" t="inlineStr"/>
      <c r="G988" s="182" t="n">
        <v>0</v>
      </c>
      <c r="H988" s="182" t="n">
        <v>0</v>
      </c>
      <c r="I988" s="182" t="n">
        <v>0</v>
      </c>
      <c r="J988" s="182" t="n">
        <v>0</v>
      </c>
      <c r="K988" s="182" t="n">
        <v>12</v>
      </c>
      <c r="L988" s="182" t="n">
        <v>12</v>
      </c>
      <c r="M988" s="182" t="n">
        <v>0</v>
      </c>
      <c r="N988" s="182" t="n">
        <v>0</v>
      </c>
      <c r="O988" s="183" t="n">
        <v>0</v>
      </c>
      <c r="P988" s="183" t="n">
        <v>0</v>
      </c>
      <c r="Q988" s="184" t="n">
        <v>0</v>
      </c>
      <c r="R988" s="184" t="n">
        <v>0</v>
      </c>
      <c r="S988" s="183" t="n">
        <v>0</v>
      </c>
      <c r="T988" s="183" t="n">
        <v>0</v>
      </c>
      <c r="U988" s="182" t="n">
        <v>0</v>
      </c>
      <c r="V988" s="182" t="n">
        <v>0</v>
      </c>
      <c r="W988" s="182" t="n">
        <v>0</v>
      </c>
      <c r="X988" s="182" t="n">
        <v>1</v>
      </c>
      <c r="Y988" s="182" t="n">
        <v>0</v>
      </c>
      <c r="Z988" s="182" t="n">
        <v>0</v>
      </c>
      <c r="AA988" s="182" t="n">
        <v>0</v>
      </c>
      <c r="AB988" s="182" t="n">
        <v>0</v>
      </c>
      <c r="AC988" s="182" t="n">
        <v>0</v>
      </c>
      <c r="AD988" s="182" t="n">
        <v>0</v>
      </c>
      <c r="AE988" s="182" t="n">
        <v>0</v>
      </c>
      <c r="AF988" s="182" t="n">
        <v>0</v>
      </c>
      <c r="AG988" s="182" t="n">
        <v>0</v>
      </c>
      <c r="AH988" s="182" t="n">
        <v>0</v>
      </c>
      <c r="AI988" s="182" t="n">
        <v>0</v>
      </c>
      <c r="AJ988" s="182" t="n">
        <v>0</v>
      </c>
      <c r="AK988" s="182" t="n">
        <v>10.92</v>
      </c>
      <c r="AL988" s="182" t="n">
        <v>0</v>
      </c>
      <c r="AM988" s="182" t="n">
        <v>0.08</v>
      </c>
      <c r="AN988" s="182" t="n">
        <v>0</v>
      </c>
    </row>
    <row r="989">
      <c r="A989" s="155" t="n">
        <v>46086</v>
      </c>
      <c r="B989" s="156" t="inlineStr">
        <is>
          <t>DS</t>
        </is>
      </c>
      <c r="C989" s="156" t="inlineStr">
        <is>
          <t>WL-021</t>
        </is>
      </c>
      <c r="D989" s="156" t="inlineStr">
        <is>
          <t>SANY - Loader</t>
        </is>
      </c>
      <c r="E989" s="156" t="inlineStr">
        <is>
          <t>Loader</t>
        </is>
      </c>
      <c r="F989" s="156" t="inlineStr"/>
      <c r="G989" s="182" t="n">
        <v>0</v>
      </c>
      <c r="H989" s="182" t="n">
        <v>0</v>
      </c>
      <c r="I989" s="182" t="n">
        <v>12</v>
      </c>
      <c r="J989" s="182" t="n">
        <v>12</v>
      </c>
      <c r="K989" s="182" t="n">
        <v>0</v>
      </c>
      <c r="L989" s="182" t="n">
        <v>12</v>
      </c>
      <c r="M989" s="182" t="n">
        <v>0</v>
      </c>
      <c r="N989" s="182" t="n">
        <v>0</v>
      </c>
      <c r="O989" s="183" t="n">
        <v>0</v>
      </c>
      <c r="P989" s="183" t="n">
        <v>0</v>
      </c>
      <c r="Q989" s="184" t="n">
        <v>0</v>
      </c>
      <c r="R989" s="184" t="n">
        <v>0</v>
      </c>
      <c r="S989" s="183" t="n">
        <v>0</v>
      </c>
      <c r="T989" s="183" t="n">
        <v>0</v>
      </c>
      <c r="U989" s="182" t="n">
        <v>0</v>
      </c>
      <c r="V989" s="182" t="n">
        <v>0</v>
      </c>
      <c r="W989" s="182" t="n">
        <v>0</v>
      </c>
      <c r="X989" s="182" t="n">
        <v>0</v>
      </c>
      <c r="Y989" s="182" t="n">
        <v>0</v>
      </c>
      <c r="Z989" s="182" t="n">
        <v>0</v>
      </c>
      <c r="AA989" s="182" t="n">
        <v>0</v>
      </c>
      <c r="AB989" s="182" t="n">
        <v>0</v>
      </c>
      <c r="AC989" s="182" t="n">
        <v>0</v>
      </c>
      <c r="AD989" s="182" t="n">
        <v>0</v>
      </c>
      <c r="AE989" s="182" t="n">
        <v>0</v>
      </c>
      <c r="AF989" s="182" t="n">
        <v>0</v>
      </c>
      <c r="AG989" s="182" t="n">
        <v>0</v>
      </c>
      <c r="AH989" s="182" t="n">
        <v>0</v>
      </c>
      <c r="AI989" s="182" t="n">
        <v>0</v>
      </c>
      <c r="AJ989" s="182" t="n">
        <v>0</v>
      </c>
      <c r="AK989" s="182" t="n">
        <v>0</v>
      </c>
      <c r="AL989" s="182" t="n">
        <v>0</v>
      </c>
      <c r="AM989" s="182" t="n">
        <v>0</v>
      </c>
      <c r="AN989" s="182" t="n">
        <v>0</v>
      </c>
    </row>
    <row r="990">
      <c r="A990" s="155" t="n">
        <v>46086</v>
      </c>
      <c r="B990" s="156" t="inlineStr">
        <is>
          <t>DS</t>
        </is>
      </c>
      <c r="C990" s="156" t="inlineStr">
        <is>
          <t>WL-022</t>
        </is>
      </c>
      <c r="D990" s="156" t="inlineStr">
        <is>
          <t>SANY - Loader</t>
        </is>
      </c>
      <c r="E990" s="156" t="inlineStr">
        <is>
          <t>Loader</t>
        </is>
      </c>
      <c r="F990" s="156" t="inlineStr">
        <is>
          <t>Support Washing Plant</t>
        </is>
      </c>
      <c r="G990" s="182" t="n">
        <v>10.98</v>
      </c>
      <c r="H990" s="182" t="n">
        <v>0</v>
      </c>
      <c r="I990" s="182" t="n">
        <v>0</v>
      </c>
      <c r="J990" s="182" t="n">
        <v>0</v>
      </c>
      <c r="K990" s="182" t="n">
        <v>1.02</v>
      </c>
      <c r="L990" s="182" t="n">
        <v>12</v>
      </c>
      <c r="M990" s="182" t="n">
        <v>0</v>
      </c>
      <c r="N990" s="182" t="n">
        <v>0</v>
      </c>
      <c r="O990" s="183" t="n">
        <v>0</v>
      </c>
      <c r="P990" s="183" t="n">
        <v>0</v>
      </c>
      <c r="Q990" s="184" t="n">
        <v>0</v>
      </c>
      <c r="R990" s="184" t="n">
        <v>0</v>
      </c>
      <c r="S990" s="183" t="n">
        <v>0</v>
      </c>
      <c r="T990" s="183" t="n">
        <v>0</v>
      </c>
      <c r="U990" s="182" t="n">
        <v>0</v>
      </c>
      <c r="V990" s="182" t="n">
        <v>0</v>
      </c>
      <c r="W990" s="182" t="n">
        <v>0</v>
      </c>
      <c r="X990" s="182" t="n">
        <v>0.85</v>
      </c>
      <c r="Y990" s="182" t="n">
        <v>0</v>
      </c>
      <c r="Z990" s="182" t="n">
        <v>0</v>
      </c>
      <c r="AA990" s="182" t="n">
        <v>0</v>
      </c>
      <c r="AB990" s="182" t="n">
        <v>0</v>
      </c>
      <c r="AC990" s="182" t="n">
        <v>0</v>
      </c>
      <c r="AD990" s="182" t="n">
        <v>0</v>
      </c>
      <c r="AE990" s="182" t="n">
        <v>0</v>
      </c>
      <c r="AF990" s="182" t="n">
        <v>0</v>
      </c>
      <c r="AG990" s="182" t="n">
        <v>0</v>
      </c>
      <c r="AH990" s="182" t="n">
        <v>0.1</v>
      </c>
      <c r="AI990" s="182" t="n">
        <v>0</v>
      </c>
      <c r="AJ990" s="182" t="n">
        <v>0</v>
      </c>
      <c r="AK990" s="182" t="n">
        <v>0</v>
      </c>
      <c r="AL990" s="182" t="n">
        <v>0</v>
      </c>
      <c r="AM990" s="182" t="n">
        <v>0.07000000000000001</v>
      </c>
      <c r="AN990" s="182" t="n">
        <v>0</v>
      </c>
    </row>
    <row r="991">
      <c r="A991" s="155" t="n">
        <v>46086</v>
      </c>
      <c r="B991" s="156" t="inlineStr">
        <is>
          <t>DS</t>
        </is>
      </c>
      <c r="C991" s="156" t="inlineStr">
        <is>
          <t>WL-024</t>
        </is>
      </c>
      <c r="D991" s="156" t="inlineStr">
        <is>
          <t>SANY - Loader</t>
        </is>
      </c>
      <c r="E991" s="156" t="inlineStr">
        <is>
          <t>Loader</t>
        </is>
      </c>
      <c r="F991" s="156" t="inlineStr">
        <is>
          <t>Support Washing Plant</t>
        </is>
      </c>
      <c r="G991" s="182" t="n">
        <v>11.78</v>
      </c>
      <c r="H991" s="182" t="n">
        <v>0</v>
      </c>
      <c r="I991" s="182" t="n">
        <v>0</v>
      </c>
      <c r="J991" s="182" t="n">
        <v>0</v>
      </c>
      <c r="K991" s="182" t="n">
        <v>0.22</v>
      </c>
      <c r="L991" s="182" t="n">
        <v>12</v>
      </c>
      <c r="M991" s="182" t="n">
        <v>0</v>
      </c>
      <c r="N991" s="182" t="n">
        <v>0</v>
      </c>
      <c r="O991" s="183" t="n">
        <v>0</v>
      </c>
      <c r="P991" s="183" t="n">
        <v>0</v>
      </c>
      <c r="Q991" s="184" t="n">
        <v>0</v>
      </c>
      <c r="R991" s="184" t="n">
        <v>0</v>
      </c>
      <c r="S991" s="183" t="n">
        <v>0</v>
      </c>
      <c r="T991" s="183" t="n">
        <v>0</v>
      </c>
      <c r="U991" s="182" t="n">
        <v>0</v>
      </c>
      <c r="V991" s="182" t="n">
        <v>0</v>
      </c>
      <c r="W991" s="182" t="n">
        <v>0</v>
      </c>
      <c r="X991" s="182" t="n">
        <v>0.16</v>
      </c>
      <c r="Y991" s="182" t="n">
        <v>0</v>
      </c>
      <c r="Z991" s="182" t="n">
        <v>0</v>
      </c>
      <c r="AA991" s="182" t="n">
        <v>0</v>
      </c>
      <c r="AB991" s="182" t="n">
        <v>0</v>
      </c>
      <c r="AC991" s="182" t="n">
        <v>0</v>
      </c>
      <c r="AD991" s="182" t="n">
        <v>0</v>
      </c>
      <c r="AE991" s="182" t="n">
        <v>0</v>
      </c>
      <c r="AF991" s="182" t="n">
        <v>0</v>
      </c>
      <c r="AG991" s="182" t="n">
        <v>0</v>
      </c>
      <c r="AH991" s="182" t="n">
        <v>0</v>
      </c>
      <c r="AI991" s="182" t="n">
        <v>0</v>
      </c>
      <c r="AJ991" s="182" t="n">
        <v>0</v>
      </c>
      <c r="AK991" s="182" t="n">
        <v>0</v>
      </c>
      <c r="AL991" s="182" t="n">
        <v>0</v>
      </c>
      <c r="AM991" s="182" t="n">
        <v>0.06</v>
      </c>
      <c r="AN991" s="182" t="n">
        <v>0</v>
      </c>
    </row>
    <row r="992">
      <c r="A992" s="155" t="n">
        <v>46086</v>
      </c>
      <c r="B992" s="156" t="inlineStr">
        <is>
          <t>NS</t>
        </is>
      </c>
      <c r="C992" s="156" t="inlineStr">
        <is>
          <t>DZ-034</t>
        </is>
      </c>
      <c r="D992" s="156" t="inlineStr">
        <is>
          <t>D 68ESS-12EO</t>
        </is>
      </c>
      <c r="E992" s="156" t="inlineStr">
        <is>
          <t>Bulldozer</t>
        </is>
      </c>
      <c r="F992" s="156" t="inlineStr">
        <is>
          <t>Trimming Coal di StockROM</t>
        </is>
      </c>
      <c r="G992" s="182" t="n">
        <v>8.41</v>
      </c>
      <c r="H992" s="182" t="n">
        <v>0</v>
      </c>
      <c r="I992" s="182" t="n">
        <v>0</v>
      </c>
      <c r="J992" s="182" t="n">
        <v>0</v>
      </c>
      <c r="K992" s="182" t="n">
        <v>3.59</v>
      </c>
      <c r="L992" s="182" t="n">
        <v>12</v>
      </c>
      <c r="M992" s="182" t="n">
        <v>0</v>
      </c>
      <c r="N992" s="182" t="n">
        <v>0</v>
      </c>
      <c r="O992" s="183" t="n">
        <v>0</v>
      </c>
      <c r="P992" s="183" t="n">
        <v>0</v>
      </c>
      <c r="Q992" s="184" t="n">
        <v>0</v>
      </c>
      <c r="R992" s="184" t="n">
        <v>0</v>
      </c>
      <c r="S992" s="183" t="n">
        <v>0</v>
      </c>
      <c r="T992" s="183" t="n">
        <v>0</v>
      </c>
      <c r="U992" s="182" t="n">
        <v>0</v>
      </c>
      <c r="V992" s="182" t="n">
        <v>0</v>
      </c>
      <c r="W992" s="182" t="n">
        <v>0</v>
      </c>
      <c r="X992" s="182" t="n">
        <v>0.9399999999999999</v>
      </c>
      <c r="Y992" s="182" t="n">
        <v>0</v>
      </c>
      <c r="Z992" s="182" t="n">
        <v>0</v>
      </c>
      <c r="AA992" s="182" t="n">
        <v>0</v>
      </c>
      <c r="AB992" s="182" t="n">
        <v>0</v>
      </c>
      <c r="AC992" s="182" t="n">
        <v>0</v>
      </c>
      <c r="AD992" s="182" t="n">
        <v>0</v>
      </c>
      <c r="AE992" s="182" t="n">
        <v>0</v>
      </c>
      <c r="AF992" s="182" t="n">
        <v>0</v>
      </c>
      <c r="AG992" s="182" t="n">
        <v>0</v>
      </c>
      <c r="AH992" s="182" t="n">
        <v>0</v>
      </c>
      <c r="AI992" s="182" t="n">
        <v>0</v>
      </c>
      <c r="AJ992" s="182" t="n">
        <v>0</v>
      </c>
      <c r="AK992" s="182" t="n">
        <v>2.57</v>
      </c>
      <c r="AL992" s="182" t="n">
        <v>0</v>
      </c>
      <c r="AM992" s="182" t="n">
        <v>0.08</v>
      </c>
      <c r="AN992" s="182" t="n">
        <v>0</v>
      </c>
    </row>
    <row r="993">
      <c r="A993" s="155" t="n">
        <v>46086</v>
      </c>
      <c r="B993" s="156" t="inlineStr">
        <is>
          <t>NS</t>
        </is>
      </c>
      <c r="C993" s="156" t="inlineStr">
        <is>
          <t>DZ-033</t>
        </is>
      </c>
      <c r="D993" s="156" t="inlineStr">
        <is>
          <t>D 375A-6R</t>
        </is>
      </c>
      <c r="E993" s="156" t="inlineStr">
        <is>
          <t>Bulldozer</t>
        </is>
      </c>
      <c r="F993" s="156" t="inlineStr">
        <is>
          <t>Support Disposal</t>
        </is>
      </c>
      <c r="G993" s="182" t="n">
        <v>4.21</v>
      </c>
      <c r="H993" s="182" t="n">
        <v>0</v>
      </c>
      <c r="I993" s="182" t="n">
        <v>0</v>
      </c>
      <c r="J993" s="182" t="n">
        <v>0</v>
      </c>
      <c r="K993" s="182" t="n">
        <v>7.79</v>
      </c>
      <c r="L993" s="182" t="n">
        <v>12</v>
      </c>
      <c r="M993" s="182" t="n">
        <v>0</v>
      </c>
      <c r="N993" s="182" t="n">
        <v>0</v>
      </c>
      <c r="O993" s="183" t="n">
        <v>0</v>
      </c>
      <c r="P993" s="183" t="n">
        <v>0</v>
      </c>
      <c r="Q993" s="184" t="n">
        <v>0</v>
      </c>
      <c r="R993" s="184" t="n">
        <v>0</v>
      </c>
      <c r="S993" s="183" t="n">
        <v>0</v>
      </c>
      <c r="T993" s="183" t="n">
        <v>0</v>
      </c>
      <c r="U993" s="182" t="n">
        <v>4.14</v>
      </c>
      <c r="V993" s="182" t="n">
        <v>0</v>
      </c>
      <c r="W993" s="182" t="n">
        <v>0</v>
      </c>
      <c r="X993" s="182" t="n">
        <v>0.97</v>
      </c>
      <c r="Y993" s="182" t="n">
        <v>0</v>
      </c>
      <c r="Z993" s="182" t="n">
        <v>0</v>
      </c>
      <c r="AA993" s="182" t="n">
        <v>0</v>
      </c>
      <c r="AB993" s="182" t="n">
        <v>0</v>
      </c>
      <c r="AC993" s="182" t="n">
        <v>0</v>
      </c>
      <c r="AD993" s="182" t="n">
        <v>0</v>
      </c>
      <c r="AE993" s="182" t="n">
        <v>0</v>
      </c>
      <c r="AF993" s="182" t="n">
        <v>0</v>
      </c>
      <c r="AG993" s="182" t="n">
        <v>0</v>
      </c>
      <c r="AH993" s="182" t="n">
        <v>0</v>
      </c>
      <c r="AI993" s="182" t="n">
        <v>0</v>
      </c>
      <c r="AJ993" s="182" t="n">
        <v>0</v>
      </c>
      <c r="AK993" s="182" t="n">
        <v>2.6</v>
      </c>
      <c r="AL993" s="182" t="n">
        <v>0</v>
      </c>
      <c r="AM993" s="182" t="n">
        <v>0.08</v>
      </c>
      <c r="AN993" s="182" t="n">
        <v>0</v>
      </c>
    </row>
    <row r="994">
      <c r="A994" s="155" t="n">
        <v>46086</v>
      </c>
      <c r="B994" s="156" t="inlineStr">
        <is>
          <t>NS</t>
        </is>
      </c>
      <c r="C994" s="156" t="inlineStr">
        <is>
          <t>DZ-038</t>
        </is>
      </c>
      <c r="D994" s="156" t="inlineStr">
        <is>
          <t>D 85 ESS-2</t>
        </is>
      </c>
      <c r="E994" s="156" t="inlineStr">
        <is>
          <t>Bulldozer</t>
        </is>
      </c>
      <c r="F994" s="156" t="inlineStr"/>
      <c r="G994" s="182" t="n">
        <v>0</v>
      </c>
      <c r="H994" s="182" t="n">
        <v>0</v>
      </c>
      <c r="I994" s="182" t="n">
        <v>12</v>
      </c>
      <c r="J994" s="182" t="n">
        <v>12</v>
      </c>
      <c r="K994" s="182" t="n">
        <v>0</v>
      </c>
      <c r="L994" s="182" t="n">
        <v>12</v>
      </c>
      <c r="M994" s="182" t="n">
        <v>0</v>
      </c>
      <c r="N994" s="182" t="n">
        <v>0</v>
      </c>
      <c r="O994" s="183" t="n">
        <v>0</v>
      </c>
      <c r="P994" s="183" t="n">
        <v>0</v>
      </c>
      <c r="Q994" s="184" t="n">
        <v>0</v>
      </c>
      <c r="R994" s="184" t="n">
        <v>0</v>
      </c>
      <c r="S994" s="183" t="n">
        <v>0</v>
      </c>
      <c r="T994" s="183" t="n">
        <v>0</v>
      </c>
      <c r="U994" s="182" t="n">
        <v>0</v>
      </c>
      <c r="V994" s="182" t="n">
        <v>0</v>
      </c>
      <c r="W994" s="182" t="n">
        <v>0</v>
      </c>
      <c r="X994" s="182" t="n">
        <v>0</v>
      </c>
      <c r="Y994" s="182" t="n">
        <v>0</v>
      </c>
      <c r="Z994" s="182" t="n">
        <v>0</v>
      </c>
      <c r="AA994" s="182" t="n">
        <v>0</v>
      </c>
      <c r="AB994" s="182" t="n">
        <v>0</v>
      </c>
      <c r="AC994" s="182" t="n">
        <v>0</v>
      </c>
      <c r="AD994" s="182" t="n">
        <v>0</v>
      </c>
      <c r="AE994" s="182" t="n">
        <v>0</v>
      </c>
      <c r="AF994" s="182" t="n">
        <v>0</v>
      </c>
      <c r="AG994" s="182" t="n">
        <v>0</v>
      </c>
      <c r="AH994" s="182" t="n">
        <v>0</v>
      </c>
      <c r="AI994" s="182" t="n">
        <v>0</v>
      </c>
      <c r="AJ994" s="182" t="n">
        <v>0</v>
      </c>
      <c r="AK994" s="182" t="n">
        <v>0</v>
      </c>
      <c r="AL994" s="182" t="n">
        <v>0</v>
      </c>
      <c r="AM994" s="182" t="n">
        <v>0</v>
      </c>
      <c r="AN994" s="182" t="n">
        <v>0</v>
      </c>
    </row>
    <row r="995">
      <c r="A995" s="155" t="n">
        <v>46086</v>
      </c>
      <c r="B995" s="156" t="inlineStr">
        <is>
          <t>NS</t>
        </is>
      </c>
      <c r="C995" s="156" t="inlineStr">
        <is>
          <t>DZ-039</t>
        </is>
      </c>
      <c r="D995" s="156" t="inlineStr">
        <is>
          <t>D 85 ESS-2</t>
        </is>
      </c>
      <c r="E995" s="156" t="inlineStr">
        <is>
          <t>Bulldozer</t>
        </is>
      </c>
      <c r="F995" s="156" t="inlineStr">
        <is>
          <t>Support Disposal</t>
        </is>
      </c>
      <c r="G995" s="182" t="n">
        <v>5.95</v>
      </c>
      <c r="H995" s="182" t="n">
        <v>0</v>
      </c>
      <c r="I995" s="182" t="n">
        <v>0.25</v>
      </c>
      <c r="J995" s="182" t="n">
        <v>0.25</v>
      </c>
      <c r="K995" s="182" t="n">
        <v>5.8</v>
      </c>
      <c r="L995" s="182" t="n">
        <v>12</v>
      </c>
      <c r="M995" s="182" t="n">
        <v>0</v>
      </c>
      <c r="N995" s="182" t="n">
        <v>0</v>
      </c>
      <c r="O995" s="183" t="n">
        <v>0</v>
      </c>
      <c r="P995" s="183" t="n">
        <v>0</v>
      </c>
      <c r="Q995" s="184" t="n">
        <v>0</v>
      </c>
      <c r="R995" s="184" t="n">
        <v>0</v>
      </c>
      <c r="S995" s="183" t="n">
        <v>0</v>
      </c>
      <c r="T995" s="183" t="n">
        <v>0</v>
      </c>
      <c r="U995" s="182" t="n">
        <v>4.36</v>
      </c>
      <c r="V995" s="182" t="n">
        <v>0</v>
      </c>
      <c r="W995" s="182" t="n">
        <v>0</v>
      </c>
      <c r="X995" s="182" t="n">
        <v>1.03</v>
      </c>
      <c r="Y995" s="182" t="n">
        <v>0</v>
      </c>
      <c r="Z995" s="182" t="n">
        <v>0</v>
      </c>
      <c r="AA995" s="182" t="n">
        <v>0</v>
      </c>
      <c r="AB995" s="182" t="n">
        <v>0</v>
      </c>
      <c r="AC995" s="182" t="n">
        <v>0</v>
      </c>
      <c r="AD995" s="182" t="n">
        <v>0</v>
      </c>
      <c r="AE995" s="182" t="n">
        <v>0</v>
      </c>
      <c r="AF995" s="182" t="n">
        <v>0</v>
      </c>
      <c r="AG995" s="182" t="n">
        <v>0</v>
      </c>
      <c r="AH995" s="182" t="n">
        <v>0.33</v>
      </c>
      <c r="AI995" s="182" t="n">
        <v>0</v>
      </c>
      <c r="AJ995" s="182" t="n">
        <v>0</v>
      </c>
      <c r="AK995" s="182" t="n">
        <v>0</v>
      </c>
      <c r="AL995" s="182" t="n">
        <v>0</v>
      </c>
      <c r="AM995" s="182" t="n">
        <v>0.08</v>
      </c>
      <c r="AN995" s="182" t="n">
        <v>0</v>
      </c>
    </row>
    <row r="996">
      <c r="A996" s="155" t="n">
        <v>46086</v>
      </c>
      <c r="B996" s="156" t="inlineStr">
        <is>
          <t>NS</t>
        </is>
      </c>
      <c r="C996" s="156" t="inlineStr">
        <is>
          <t>DZ-032</t>
        </is>
      </c>
      <c r="D996" s="156" t="inlineStr">
        <is>
          <t>CAT</t>
        </is>
      </c>
      <c r="E996" s="156" t="inlineStr">
        <is>
          <t>Bulldozer</t>
        </is>
      </c>
      <c r="F996" s="156" t="inlineStr">
        <is>
          <t>Support Front Loading</t>
        </is>
      </c>
      <c r="G996" s="182" t="n">
        <v>6.67</v>
      </c>
      <c r="H996" s="182" t="n">
        <v>0</v>
      </c>
      <c r="I996" s="182" t="n">
        <v>0</v>
      </c>
      <c r="J996" s="182" t="n">
        <v>0</v>
      </c>
      <c r="K996" s="182" t="n">
        <v>5.33</v>
      </c>
      <c r="L996" s="182" t="n">
        <v>12</v>
      </c>
      <c r="M996" s="182" t="n">
        <v>0</v>
      </c>
      <c r="N996" s="182" t="n">
        <v>0</v>
      </c>
      <c r="O996" s="183" t="n">
        <v>0</v>
      </c>
      <c r="P996" s="183" t="n">
        <v>0</v>
      </c>
      <c r="Q996" s="184" t="n">
        <v>0</v>
      </c>
      <c r="R996" s="184" t="n">
        <v>0</v>
      </c>
      <c r="S996" s="183" t="n">
        <v>0</v>
      </c>
      <c r="T996" s="183" t="n">
        <v>0</v>
      </c>
      <c r="U996" s="182" t="n">
        <v>4.19</v>
      </c>
      <c r="V996" s="182" t="n">
        <v>0</v>
      </c>
      <c r="W996" s="182" t="n">
        <v>0</v>
      </c>
      <c r="X996" s="182" t="n">
        <v>0.99</v>
      </c>
      <c r="Y996" s="182" t="n">
        <v>0</v>
      </c>
      <c r="Z996" s="182" t="n">
        <v>0</v>
      </c>
      <c r="AA996" s="182" t="n">
        <v>0</v>
      </c>
      <c r="AB996" s="182" t="n">
        <v>0</v>
      </c>
      <c r="AC996" s="182" t="n">
        <v>0</v>
      </c>
      <c r="AD996" s="182" t="n">
        <v>0</v>
      </c>
      <c r="AE996" s="182" t="n">
        <v>0</v>
      </c>
      <c r="AF996" s="182" t="n">
        <v>0</v>
      </c>
      <c r="AG996" s="182" t="n">
        <v>0</v>
      </c>
      <c r="AH996" s="182" t="n">
        <v>0.07000000000000001</v>
      </c>
      <c r="AI996" s="182" t="n">
        <v>0</v>
      </c>
      <c r="AJ996" s="182" t="n">
        <v>0</v>
      </c>
      <c r="AK996" s="182" t="n">
        <v>0</v>
      </c>
      <c r="AL996" s="182" t="n">
        <v>0</v>
      </c>
      <c r="AM996" s="182" t="n">
        <v>0.08</v>
      </c>
      <c r="AN996" s="182" t="n">
        <v>0</v>
      </c>
    </row>
    <row r="997">
      <c r="A997" s="155" t="n">
        <v>46086</v>
      </c>
      <c r="B997" s="156" t="inlineStr">
        <is>
          <t>NS</t>
        </is>
      </c>
      <c r="C997" s="156" t="inlineStr">
        <is>
          <t>DZ-031</t>
        </is>
      </c>
      <c r="D997" s="156" t="inlineStr">
        <is>
          <t>CAT</t>
        </is>
      </c>
      <c r="E997" s="156" t="inlineStr">
        <is>
          <t>Bulldozer</t>
        </is>
      </c>
      <c r="F997" s="156" t="inlineStr"/>
      <c r="G997" s="182" t="n">
        <v>0</v>
      </c>
      <c r="H997" s="182" t="n">
        <v>0</v>
      </c>
      <c r="I997" s="182" t="n">
        <v>12</v>
      </c>
      <c r="J997" s="182" t="n">
        <v>12</v>
      </c>
      <c r="K997" s="182" t="n">
        <v>0</v>
      </c>
      <c r="L997" s="182" t="n">
        <v>12</v>
      </c>
      <c r="M997" s="182" t="n">
        <v>0</v>
      </c>
      <c r="N997" s="182" t="n">
        <v>0</v>
      </c>
      <c r="O997" s="183" t="n">
        <v>0</v>
      </c>
      <c r="P997" s="183" t="n">
        <v>0</v>
      </c>
      <c r="Q997" s="184" t="n">
        <v>0</v>
      </c>
      <c r="R997" s="184" t="n">
        <v>0</v>
      </c>
      <c r="S997" s="183" t="n">
        <v>0</v>
      </c>
      <c r="T997" s="183" t="n">
        <v>0</v>
      </c>
      <c r="U997" s="182" t="n">
        <v>0</v>
      </c>
      <c r="V997" s="182" t="n">
        <v>0</v>
      </c>
      <c r="W997" s="182" t="n">
        <v>0</v>
      </c>
      <c r="X997" s="182" t="n">
        <v>0</v>
      </c>
      <c r="Y997" s="182" t="n">
        <v>0</v>
      </c>
      <c r="Z997" s="182" t="n">
        <v>0</v>
      </c>
      <c r="AA997" s="182" t="n">
        <v>0</v>
      </c>
      <c r="AB997" s="182" t="n">
        <v>0</v>
      </c>
      <c r="AC997" s="182" t="n">
        <v>0</v>
      </c>
      <c r="AD997" s="182" t="n">
        <v>0</v>
      </c>
      <c r="AE997" s="182" t="n">
        <v>0</v>
      </c>
      <c r="AF997" s="182" t="n">
        <v>0</v>
      </c>
      <c r="AG997" s="182" t="n">
        <v>0</v>
      </c>
      <c r="AH997" s="182" t="n">
        <v>0</v>
      </c>
      <c r="AI997" s="182" t="n">
        <v>0</v>
      </c>
      <c r="AJ997" s="182" t="n">
        <v>0</v>
      </c>
      <c r="AK997" s="182" t="n">
        <v>0</v>
      </c>
      <c r="AL997" s="182" t="n">
        <v>0</v>
      </c>
      <c r="AM997" s="182" t="n">
        <v>0</v>
      </c>
      <c r="AN997" s="182" t="n">
        <v>0</v>
      </c>
    </row>
    <row r="998">
      <c r="A998" s="155" t="n">
        <v>46086</v>
      </c>
      <c r="B998" s="156" t="inlineStr">
        <is>
          <t>NS</t>
        </is>
      </c>
      <c r="C998" s="156" t="inlineStr">
        <is>
          <t>DZ-037</t>
        </is>
      </c>
      <c r="D998" s="156" t="inlineStr">
        <is>
          <t>D 85 ESS-2</t>
        </is>
      </c>
      <c r="E998" s="156" t="inlineStr">
        <is>
          <t>Bulldozer</t>
        </is>
      </c>
      <c r="F998" s="156" t="inlineStr">
        <is>
          <t>Support Disposal</t>
        </is>
      </c>
      <c r="G998" s="182" t="n">
        <v>10.15</v>
      </c>
      <c r="H998" s="182" t="n">
        <v>0</v>
      </c>
      <c r="I998" s="182" t="n">
        <v>1.33</v>
      </c>
      <c r="J998" s="182" t="n">
        <v>1.33</v>
      </c>
      <c r="K998" s="182" t="n">
        <v>0.52</v>
      </c>
      <c r="L998" s="182" t="n">
        <v>12</v>
      </c>
      <c r="M998" s="182" t="n">
        <v>0</v>
      </c>
      <c r="N998" s="182" t="n">
        <v>0</v>
      </c>
      <c r="O998" s="183" t="n">
        <v>0</v>
      </c>
      <c r="P998" s="183" t="n">
        <v>0</v>
      </c>
      <c r="Q998" s="184" t="n">
        <v>0</v>
      </c>
      <c r="R998" s="184" t="n">
        <v>0</v>
      </c>
      <c r="S998" s="183" t="n">
        <v>0</v>
      </c>
      <c r="T998" s="183" t="n">
        <v>0</v>
      </c>
      <c r="U998" s="182" t="n">
        <v>0.45</v>
      </c>
      <c r="V998" s="182" t="n">
        <v>0</v>
      </c>
      <c r="W998" s="182" t="n">
        <v>0</v>
      </c>
      <c r="X998" s="182" t="n">
        <v>0</v>
      </c>
      <c r="Y998" s="182" t="n">
        <v>0</v>
      </c>
      <c r="Z998" s="182" t="n">
        <v>0</v>
      </c>
      <c r="AA998" s="182" t="n">
        <v>0</v>
      </c>
      <c r="AB998" s="182" t="n">
        <v>0</v>
      </c>
      <c r="AC998" s="182" t="n">
        <v>0</v>
      </c>
      <c r="AD998" s="182" t="n">
        <v>0</v>
      </c>
      <c r="AE998" s="182" t="n">
        <v>0</v>
      </c>
      <c r="AF998" s="182" t="n">
        <v>0</v>
      </c>
      <c r="AG998" s="182" t="n">
        <v>0</v>
      </c>
      <c r="AH998" s="182" t="n">
        <v>0</v>
      </c>
      <c r="AI998" s="182" t="n">
        <v>0</v>
      </c>
      <c r="AJ998" s="182" t="n">
        <v>0</v>
      </c>
      <c r="AK998" s="182" t="n">
        <v>0</v>
      </c>
      <c r="AL998" s="182" t="n">
        <v>0</v>
      </c>
      <c r="AM998" s="182" t="n">
        <v>0.06</v>
      </c>
      <c r="AN998" s="182" t="n">
        <v>0</v>
      </c>
    </row>
    <row r="999">
      <c r="A999" s="155" t="n">
        <v>46086</v>
      </c>
      <c r="B999" s="156" t="inlineStr">
        <is>
          <t>NS</t>
        </is>
      </c>
      <c r="C999" s="156" t="inlineStr">
        <is>
          <t>DZ-036</t>
        </is>
      </c>
      <c r="D999" s="156" t="inlineStr">
        <is>
          <t>D 85 ESS-2</t>
        </is>
      </c>
      <c r="E999" s="156" t="inlineStr">
        <is>
          <t>Bulldozer</t>
        </is>
      </c>
      <c r="F999" s="156" t="inlineStr"/>
      <c r="G999" s="182" t="n">
        <v>0</v>
      </c>
      <c r="H999" s="182" t="n">
        <v>0</v>
      </c>
      <c r="I999" s="182" t="n">
        <v>0</v>
      </c>
      <c r="J999" s="182" t="n">
        <v>0</v>
      </c>
      <c r="K999" s="182" t="n">
        <v>12</v>
      </c>
      <c r="L999" s="182" t="n">
        <v>12</v>
      </c>
      <c r="M999" s="182" t="n">
        <v>0</v>
      </c>
      <c r="N999" s="182" t="n">
        <v>0</v>
      </c>
      <c r="O999" s="183" t="n">
        <v>0</v>
      </c>
      <c r="P999" s="183" t="n">
        <v>0</v>
      </c>
      <c r="Q999" s="184" t="n">
        <v>0</v>
      </c>
      <c r="R999" s="184" t="n">
        <v>0</v>
      </c>
      <c r="S999" s="183" t="n">
        <v>0</v>
      </c>
      <c r="T999" s="183" t="n">
        <v>0</v>
      </c>
      <c r="U999" s="182" t="n">
        <v>0</v>
      </c>
      <c r="V999" s="182" t="n">
        <v>0</v>
      </c>
      <c r="W999" s="182" t="n">
        <v>0</v>
      </c>
      <c r="X999" s="182" t="n">
        <v>1</v>
      </c>
      <c r="Y999" s="182" t="n">
        <v>0</v>
      </c>
      <c r="Z999" s="182" t="n">
        <v>0</v>
      </c>
      <c r="AA999" s="182" t="n">
        <v>0</v>
      </c>
      <c r="AB999" s="182" t="n">
        <v>0</v>
      </c>
      <c r="AC999" s="182" t="n">
        <v>0</v>
      </c>
      <c r="AD999" s="182" t="n">
        <v>0</v>
      </c>
      <c r="AE999" s="182" t="n">
        <v>0</v>
      </c>
      <c r="AF999" s="182" t="n">
        <v>0</v>
      </c>
      <c r="AG999" s="182" t="n">
        <v>0</v>
      </c>
      <c r="AH999" s="182" t="n">
        <v>0</v>
      </c>
      <c r="AI999" s="182" t="n">
        <v>0</v>
      </c>
      <c r="AJ999" s="182" t="n">
        <v>0</v>
      </c>
      <c r="AK999" s="182" t="n">
        <v>10.92</v>
      </c>
      <c r="AL999" s="182" t="n">
        <v>0</v>
      </c>
      <c r="AM999" s="182" t="n">
        <v>0.08</v>
      </c>
      <c r="AN999" s="182" t="n">
        <v>0</v>
      </c>
    </row>
    <row r="1000">
      <c r="A1000" s="155" t="n">
        <v>46086</v>
      </c>
      <c r="B1000" s="156" t="inlineStr">
        <is>
          <t>NS</t>
        </is>
      </c>
      <c r="C1000" s="156" t="inlineStr">
        <is>
          <t>DZ-035</t>
        </is>
      </c>
      <c r="D1000" s="156" t="inlineStr">
        <is>
          <t>D 85 ESS-2</t>
        </is>
      </c>
      <c r="E1000" s="156" t="inlineStr">
        <is>
          <t>Bulldozer</t>
        </is>
      </c>
      <c r="F1000" s="156" t="inlineStr"/>
      <c r="G1000" s="182" t="n">
        <v>0</v>
      </c>
      <c r="H1000" s="182" t="n">
        <v>0</v>
      </c>
      <c r="I1000" s="182" t="n">
        <v>12</v>
      </c>
      <c r="J1000" s="182" t="n">
        <v>12</v>
      </c>
      <c r="K1000" s="182" t="n">
        <v>0</v>
      </c>
      <c r="L1000" s="182" t="n">
        <v>12</v>
      </c>
      <c r="M1000" s="182" t="n">
        <v>0</v>
      </c>
      <c r="N1000" s="182" t="n">
        <v>0</v>
      </c>
      <c r="O1000" s="183" t="n">
        <v>0</v>
      </c>
      <c r="P1000" s="183" t="n">
        <v>0</v>
      </c>
      <c r="Q1000" s="184" t="n">
        <v>0</v>
      </c>
      <c r="R1000" s="184" t="n">
        <v>0</v>
      </c>
      <c r="S1000" s="183" t="n">
        <v>0</v>
      </c>
      <c r="T1000" s="183" t="n">
        <v>0</v>
      </c>
      <c r="U1000" s="182" t="n">
        <v>0</v>
      </c>
      <c r="V1000" s="182" t="n">
        <v>0</v>
      </c>
      <c r="W1000" s="182" t="n">
        <v>0</v>
      </c>
      <c r="X1000" s="182" t="n">
        <v>0</v>
      </c>
      <c r="Y1000" s="182" t="n">
        <v>0</v>
      </c>
      <c r="Z1000" s="182" t="n">
        <v>0</v>
      </c>
      <c r="AA1000" s="182" t="n">
        <v>0</v>
      </c>
      <c r="AB1000" s="182" t="n">
        <v>0</v>
      </c>
      <c r="AC1000" s="182" t="n">
        <v>0</v>
      </c>
      <c r="AD1000" s="182" t="n">
        <v>0</v>
      </c>
      <c r="AE1000" s="182" t="n">
        <v>0</v>
      </c>
      <c r="AF1000" s="182" t="n">
        <v>0</v>
      </c>
      <c r="AG1000" s="182" t="n">
        <v>0</v>
      </c>
      <c r="AH1000" s="182" t="n">
        <v>0</v>
      </c>
      <c r="AI1000" s="182" t="n">
        <v>0</v>
      </c>
      <c r="AJ1000" s="182" t="n">
        <v>0</v>
      </c>
      <c r="AK1000" s="182" t="n">
        <v>0</v>
      </c>
      <c r="AL1000" s="182" t="n">
        <v>0</v>
      </c>
      <c r="AM1000" s="182" t="n">
        <v>0</v>
      </c>
      <c r="AN1000" s="182" t="n">
        <v>0</v>
      </c>
    </row>
    <row r="1001">
      <c r="A1001" s="155" t="n">
        <v>46086</v>
      </c>
      <c r="B1001" s="156" t="inlineStr">
        <is>
          <t>NS</t>
        </is>
      </c>
      <c r="C1001" s="156" t="inlineStr">
        <is>
          <t>CP-042</t>
        </is>
      </c>
      <c r="D1001" s="156" t="inlineStr">
        <is>
          <t>SANY - Compactor</t>
        </is>
      </c>
      <c r="E1001" s="156" t="inlineStr">
        <is>
          <t>Compactor</t>
        </is>
      </c>
      <c r="F1001" s="156" t="inlineStr"/>
      <c r="G1001" s="182" t="n">
        <v>0</v>
      </c>
      <c r="H1001" s="182" t="n">
        <v>0</v>
      </c>
      <c r="I1001" s="182" t="n">
        <v>0</v>
      </c>
      <c r="J1001" s="182" t="n">
        <v>0</v>
      </c>
      <c r="K1001" s="182" t="n">
        <v>12</v>
      </c>
      <c r="L1001" s="182" t="n">
        <v>12</v>
      </c>
      <c r="M1001" s="182" t="n">
        <v>0</v>
      </c>
      <c r="N1001" s="182" t="n">
        <v>0</v>
      </c>
      <c r="O1001" s="183" t="n">
        <v>0</v>
      </c>
      <c r="P1001" s="183" t="n">
        <v>0</v>
      </c>
      <c r="Q1001" s="184" t="n">
        <v>0</v>
      </c>
      <c r="R1001" s="184" t="n">
        <v>0</v>
      </c>
      <c r="S1001" s="183" t="n">
        <v>0</v>
      </c>
      <c r="T1001" s="183" t="n">
        <v>0</v>
      </c>
      <c r="U1001" s="182" t="n">
        <v>0</v>
      </c>
      <c r="V1001" s="182" t="n">
        <v>0</v>
      </c>
      <c r="W1001" s="182" t="n">
        <v>0</v>
      </c>
      <c r="X1001" s="182" t="n">
        <v>1</v>
      </c>
      <c r="Y1001" s="182" t="n">
        <v>0</v>
      </c>
      <c r="Z1001" s="182" t="n">
        <v>0</v>
      </c>
      <c r="AA1001" s="182" t="n">
        <v>0</v>
      </c>
      <c r="AB1001" s="182" t="n">
        <v>0</v>
      </c>
      <c r="AC1001" s="182" t="n">
        <v>0</v>
      </c>
      <c r="AD1001" s="182" t="n">
        <v>0</v>
      </c>
      <c r="AE1001" s="182" t="n">
        <v>0</v>
      </c>
      <c r="AF1001" s="182" t="n">
        <v>0</v>
      </c>
      <c r="AG1001" s="182" t="n">
        <v>0</v>
      </c>
      <c r="AH1001" s="182" t="n">
        <v>0</v>
      </c>
      <c r="AI1001" s="182" t="n">
        <v>0</v>
      </c>
      <c r="AJ1001" s="182" t="n">
        <v>0</v>
      </c>
      <c r="AK1001" s="182" t="n">
        <v>10.92</v>
      </c>
      <c r="AL1001" s="182" t="n">
        <v>0</v>
      </c>
      <c r="AM1001" s="182" t="n">
        <v>0.08</v>
      </c>
      <c r="AN1001" s="182" t="n">
        <v>0</v>
      </c>
    </row>
    <row r="1002">
      <c r="A1002" s="155" t="n">
        <v>46086</v>
      </c>
      <c r="B1002" s="156" t="inlineStr">
        <is>
          <t>NS</t>
        </is>
      </c>
      <c r="C1002" s="156" t="inlineStr">
        <is>
          <t>CP-041</t>
        </is>
      </c>
      <c r="D1002" s="156" t="inlineStr">
        <is>
          <t>SANY - Compactor</t>
        </is>
      </c>
      <c r="E1002" s="156" t="inlineStr">
        <is>
          <t>Compactor</t>
        </is>
      </c>
      <c r="F1002" s="156" t="inlineStr">
        <is>
          <t>Pemadatan di Stock ROM</t>
        </is>
      </c>
      <c r="G1002" s="182" t="n">
        <v>5.52</v>
      </c>
      <c r="H1002" s="182" t="n">
        <v>0</v>
      </c>
      <c r="I1002" s="182" t="n">
        <v>0</v>
      </c>
      <c r="J1002" s="182" t="n">
        <v>0</v>
      </c>
      <c r="K1002" s="182" t="n">
        <v>6.48</v>
      </c>
      <c r="L1002" s="182" t="n">
        <v>12</v>
      </c>
      <c r="M1002" s="182" t="n">
        <v>0</v>
      </c>
      <c r="N1002" s="182" t="n">
        <v>0</v>
      </c>
      <c r="O1002" s="183" t="n">
        <v>0</v>
      </c>
      <c r="P1002" s="183" t="n">
        <v>0</v>
      </c>
      <c r="Q1002" s="184" t="n">
        <v>0</v>
      </c>
      <c r="R1002" s="184" t="n">
        <v>0</v>
      </c>
      <c r="S1002" s="183" t="n">
        <v>0</v>
      </c>
      <c r="T1002" s="183" t="n">
        <v>0</v>
      </c>
      <c r="U1002" s="182" t="n">
        <v>0</v>
      </c>
      <c r="V1002" s="182" t="n">
        <v>0</v>
      </c>
      <c r="W1002" s="182" t="n">
        <v>0</v>
      </c>
      <c r="X1002" s="182" t="n">
        <v>1.01</v>
      </c>
      <c r="Y1002" s="182" t="n">
        <v>0</v>
      </c>
      <c r="Z1002" s="182" t="n">
        <v>0</v>
      </c>
      <c r="AA1002" s="182" t="n">
        <v>0</v>
      </c>
      <c r="AB1002" s="182" t="n">
        <v>0</v>
      </c>
      <c r="AC1002" s="182" t="n">
        <v>0</v>
      </c>
      <c r="AD1002" s="182" t="n">
        <v>0</v>
      </c>
      <c r="AE1002" s="182" t="n">
        <v>0</v>
      </c>
      <c r="AF1002" s="182" t="n">
        <v>0</v>
      </c>
      <c r="AG1002" s="182" t="n">
        <v>0</v>
      </c>
      <c r="AH1002" s="182" t="n">
        <v>0</v>
      </c>
      <c r="AI1002" s="182" t="n">
        <v>0</v>
      </c>
      <c r="AJ1002" s="182" t="n">
        <v>0</v>
      </c>
      <c r="AK1002" s="182" t="n">
        <v>5.39</v>
      </c>
      <c r="AL1002" s="182" t="n">
        <v>0</v>
      </c>
      <c r="AM1002" s="182" t="n">
        <v>0.08</v>
      </c>
      <c r="AN1002" s="182" t="n">
        <v>0</v>
      </c>
    </row>
    <row r="1003">
      <c r="A1003" s="155" t="n">
        <v>46086</v>
      </c>
      <c r="B1003" s="156" t="inlineStr">
        <is>
          <t>NS</t>
        </is>
      </c>
      <c r="C1003" s="156" t="inlineStr">
        <is>
          <t>HT-418</t>
        </is>
      </c>
      <c r="D1003" s="156" t="inlineStr">
        <is>
          <t>SY430</t>
        </is>
      </c>
      <c r="E1003" s="156" t="inlineStr">
        <is>
          <t>DT Hauling</t>
        </is>
      </c>
      <c r="F1003" s="156" t="inlineStr"/>
      <c r="G1003" s="182" t="n">
        <v>0</v>
      </c>
      <c r="H1003" s="182" t="n">
        <v>0</v>
      </c>
      <c r="I1003" s="182" t="n">
        <v>0</v>
      </c>
      <c r="J1003" s="182" t="n">
        <v>0</v>
      </c>
      <c r="K1003" s="182" t="n">
        <v>12</v>
      </c>
      <c r="L1003" s="182" t="n">
        <v>12</v>
      </c>
      <c r="M1003" s="182" t="n">
        <v>0</v>
      </c>
      <c r="N1003" s="182" t="n">
        <v>0</v>
      </c>
      <c r="O1003" s="183" t="n">
        <v>0</v>
      </c>
      <c r="P1003" s="183" t="n">
        <v>0</v>
      </c>
      <c r="Q1003" s="184" t="n">
        <v>0</v>
      </c>
      <c r="R1003" s="184" t="n">
        <v>0</v>
      </c>
      <c r="S1003" s="183" t="n">
        <v>0</v>
      </c>
      <c r="T1003" s="183" t="n">
        <v>0</v>
      </c>
      <c r="U1003" s="182" t="n">
        <v>0</v>
      </c>
      <c r="V1003" s="182" t="n">
        <v>0</v>
      </c>
      <c r="W1003" s="182" t="n">
        <v>0</v>
      </c>
      <c r="X1003" s="182" t="n">
        <v>1</v>
      </c>
      <c r="Y1003" s="182" t="n">
        <v>0</v>
      </c>
      <c r="Z1003" s="182" t="n">
        <v>0</v>
      </c>
      <c r="AA1003" s="182" t="n">
        <v>0</v>
      </c>
      <c r="AB1003" s="182" t="n">
        <v>0</v>
      </c>
      <c r="AC1003" s="182" t="n">
        <v>0</v>
      </c>
      <c r="AD1003" s="182" t="n">
        <v>0</v>
      </c>
      <c r="AE1003" s="182" t="n">
        <v>0</v>
      </c>
      <c r="AF1003" s="182" t="n">
        <v>0</v>
      </c>
      <c r="AG1003" s="182" t="n">
        <v>0</v>
      </c>
      <c r="AH1003" s="182" t="n">
        <v>0</v>
      </c>
      <c r="AI1003" s="182" t="n">
        <v>0</v>
      </c>
      <c r="AJ1003" s="182" t="n">
        <v>0</v>
      </c>
      <c r="AK1003" s="182" t="n">
        <v>10.92</v>
      </c>
      <c r="AL1003" s="182" t="n">
        <v>0</v>
      </c>
      <c r="AM1003" s="182" t="n">
        <v>0.08</v>
      </c>
      <c r="AN1003" s="182" t="n">
        <v>0</v>
      </c>
    </row>
    <row r="1004">
      <c r="A1004" s="155" t="n">
        <v>46086</v>
      </c>
      <c r="B1004" s="156" t="inlineStr">
        <is>
          <t>NS</t>
        </is>
      </c>
      <c r="C1004" s="156" t="inlineStr">
        <is>
          <t>HT-404</t>
        </is>
      </c>
      <c r="D1004" s="156" t="inlineStr">
        <is>
          <t>SY430</t>
        </is>
      </c>
      <c r="E1004" s="156" t="inlineStr">
        <is>
          <t>DT Hauling</t>
        </is>
      </c>
      <c r="F1004" s="156" t="inlineStr"/>
      <c r="G1004" s="182" t="n">
        <v>0</v>
      </c>
      <c r="H1004" s="182" t="n">
        <v>0</v>
      </c>
      <c r="I1004" s="182" t="n">
        <v>12</v>
      </c>
      <c r="J1004" s="182" t="n">
        <v>12</v>
      </c>
      <c r="K1004" s="182" t="n">
        <v>0</v>
      </c>
      <c r="L1004" s="182" t="n">
        <v>12</v>
      </c>
      <c r="M1004" s="182" t="n">
        <v>0</v>
      </c>
      <c r="N1004" s="182" t="n">
        <v>0</v>
      </c>
      <c r="O1004" s="183" t="n">
        <v>0</v>
      </c>
      <c r="P1004" s="183" t="n">
        <v>0</v>
      </c>
      <c r="Q1004" s="184" t="n">
        <v>0</v>
      </c>
      <c r="R1004" s="184" t="n">
        <v>0</v>
      </c>
      <c r="S1004" s="183" t="n">
        <v>0</v>
      </c>
      <c r="T1004" s="183" t="n">
        <v>0</v>
      </c>
      <c r="U1004" s="182" t="n">
        <v>0</v>
      </c>
      <c r="V1004" s="182" t="n">
        <v>0</v>
      </c>
      <c r="W1004" s="182" t="n">
        <v>0</v>
      </c>
      <c r="X1004" s="182" t="n">
        <v>0</v>
      </c>
      <c r="Y1004" s="182" t="n">
        <v>0</v>
      </c>
      <c r="Z1004" s="182" t="n">
        <v>0</v>
      </c>
      <c r="AA1004" s="182" t="n">
        <v>0</v>
      </c>
      <c r="AB1004" s="182" t="n">
        <v>0</v>
      </c>
      <c r="AC1004" s="182" t="n">
        <v>0</v>
      </c>
      <c r="AD1004" s="182" t="n">
        <v>0</v>
      </c>
      <c r="AE1004" s="182" t="n">
        <v>0</v>
      </c>
      <c r="AF1004" s="182" t="n">
        <v>0</v>
      </c>
      <c r="AG1004" s="182" t="n">
        <v>0</v>
      </c>
      <c r="AH1004" s="182" t="n">
        <v>0</v>
      </c>
      <c r="AI1004" s="182" t="n">
        <v>0</v>
      </c>
      <c r="AJ1004" s="182" t="n">
        <v>0</v>
      </c>
      <c r="AK1004" s="182" t="n">
        <v>0</v>
      </c>
      <c r="AL1004" s="182" t="n">
        <v>0</v>
      </c>
      <c r="AM1004" s="182" t="n">
        <v>0</v>
      </c>
      <c r="AN1004" s="182" t="n">
        <v>0</v>
      </c>
    </row>
    <row r="1005">
      <c r="A1005" s="155" t="n">
        <v>46086</v>
      </c>
      <c r="B1005" s="156" t="inlineStr">
        <is>
          <t>NS</t>
        </is>
      </c>
      <c r="C1005" s="156" t="inlineStr">
        <is>
          <t>HT-415</t>
        </is>
      </c>
      <c r="D1005" s="156" t="inlineStr">
        <is>
          <t>SY430</t>
        </is>
      </c>
      <c r="E1005" s="156" t="inlineStr">
        <is>
          <t>DT Hauling</t>
        </is>
      </c>
      <c r="F1005" s="156" t="inlineStr"/>
      <c r="G1005" s="182" t="n">
        <v>0</v>
      </c>
      <c r="H1005" s="182" t="n">
        <v>0</v>
      </c>
      <c r="I1005" s="182" t="n">
        <v>12</v>
      </c>
      <c r="J1005" s="182" t="n">
        <v>12</v>
      </c>
      <c r="K1005" s="182" t="n">
        <v>0</v>
      </c>
      <c r="L1005" s="182" t="n">
        <v>12</v>
      </c>
      <c r="M1005" s="182" t="n">
        <v>0</v>
      </c>
      <c r="N1005" s="182" t="n">
        <v>0</v>
      </c>
      <c r="O1005" s="183" t="n">
        <v>0</v>
      </c>
      <c r="P1005" s="183" t="n">
        <v>0</v>
      </c>
      <c r="Q1005" s="184" t="n">
        <v>0</v>
      </c>
      <c r="R1005" s="184" t="n">
        <v>0</v>
      </c>
      <c r="S1005" s="183" t="n">
        <v>0</v>
      </c>
      <c r="T1005" s="183" t="n">
        <v>0</v>
      </c>
      <c r="U1005" s="182" t="n">
        <v>0</v>
      </c>
      <c r="V1005" s="182" t="n">
        <v>0</v>
      </c>
      <c r="W1005" s="182" t="n">
        <v>0</v>
      </c>
      <c r="X1005" s="182" t="n">
        <v>0</v>
      </c>
      <c r="Y1005" s="182" t="n">
        <v>0</v>
      </c>
      <c r="Z1005" s="182" t="n">
        <v>0</v>
      </c>
      <c r="AA1005" s="182" t="n">
        <v>0</v>
      </c>
      <c r="AB1005" s="182" t="n">
        <v>0</v>
      </c>
      <c r="AC1005" s="182" t="n">
        <v>0</v>
      </c>
      <c r="AD1005" s="182" t="n">
        <v>0</v>
      </c>
      <c r="AE1005" s="182" t="n">
        <v>0</v>
      </c>
      <c r="AF1005" s="182" t="n">
        <v>0</v>
      </c>
      <c r="AG1005" s="182" t="n">
        <v>0</v>
      </c>
      <c r="AH1005" s="182" t="n">
        <v>0</v>
      </c>
      <c r="AI1005" s="182" t="n">
        <v>0</v>
      </c>
      <c r="AJ1005" s="182" t="n">
        <v>0</v>
      </c>
      <c r="AK1005" s="182" t="n">
        <v>0</v>
      </c>
      <c r="AL1005" s="182" t="n">
        <v>0</v>
      </c>
      <c r="AM1005" s="182" t="n">
        <v>0</v>
      </c>
      <c r="AN1005" s="182" t="n">
        <v>0</v>
      </c>
    </row>
    <row r="1006">
      <c r="A1006" s="155" t="n">
        <v>46086</v>
      </c>
      <c r="B1006" s="156" t="inlineStr">
        <is>
          <t>NS</t>
        </is>
      </c>
      <c r="C1006" s="156" t="inlineStr">
        <is>
          <t>HT-406</t>
        </is>
      </c>
      <c r="D1006" s="156" t="inlineStr">
        <is>
          <t>SY430</t>
        </is>
      </c>
      <c r="E1006" s="156" t="inlineStr">
        <is>
          <t>DT Hauling</t>
        </is>
      </c>
      <c r="F1006" s="156" t="inlineStr"/>
      <c r="G1006" s="182" t="n">
        <v>0</v>
      </c>
      <c r="H1006" s="182" t="n">
        <v>0</v>
      </c>
      <c r="I1006" s="182" t="n">
        <v>12</v>
      </c>
      <c r="J1006" s="182" t="n">
        <v>12</v>
      </c>
      <c r="K1006" s="182" t="n">
        <v>0</v>
      </c>
      <c r="L1006" s="182" t="n">
        <v>12</v>
      </c>
      <c r="M1006" s="182" t="n">
        <v>0</v>
      </c>
      <c r="N1006" s="182" t="n">
        <v>0</v>
      </c>
      <c r="O1006" s="183" t="n">
        <v>0</v>
      </c>
      <c r="P1006" s="183" t="n">
        <v>0</v>
      </c>
      <c r="Q1006" s="184" t="n">
        <v>0</v>
      </c>
      <c r="R1006" s="184" t="n">
        <v>0</v>
      </c>
      <c r="S1006" s="183" t="n">
        <v>0</v>
      </c>
      <c r="T1006" s="183" t="n">
        <v>0</v>
      </c>
      <c r="U1006" s="182" t="n">
        <v>0</v>
      </c>
      <c r="V1006" s="182" t="n">
        <v>0</v>
      </c>
      <c r="W1006" s="182" t="n">
        <v>0</v>
      </c>
      <c r="X1006" s="182" t="n">
        <v>0</v>
      </c>
      <c r="Y1006" s="182" t="n">
        <v>0</v>
      </c>
      <c r="Z1006" s="182" t="n">
        <v>0</v>
      </c>
      <c r="AA1006" s="182" t="n">
        <v>0</v>
      </c>
      <c r="AB1006" s="182" t="n">
        <v>0</v>
      </c>
      <c r="AC1006" s="182" t="n">
        <v>0</v>
      </c>
      <c r="AD1006" s="182" t="n">
        <v>0</v>
      </c>
      <c r="AE1006" s="182" t="n">
        <v>0</v>
      </c>
      <c r="AF1006" s="182" t="n">
        <v>0</v>
      </c>
      <c r="AG1006" s="182" t="n">
        <v>0</v>
      </c>
      <c r="AH1006" s="182" t="n">
        <v>0</v>
      </c>
      <c r="AI1006" s="182" t="n">
        <v>0</v>
      </c>
      <c r="AJ1006" s="182" t="n">
        <v>0</v>
      </c>
      <c r="AK1006" s="182" t="n">
        <v>0</v>
      </c>
      <c r="AL1006" s="182" t="n">
        <v>0</v>
      </c>
      <c r="AM1006" s="182" t="n">
        <v>0</v>
      </c>
      <c r="AN1006" s="182" t="n">
        <v>0</v>
      </c>
    </row>
    <row r="1007">
      <c r="A1007" s="155" t="n">
        <v>46086</v>
      </c>
      <c r="B1007" s="156" t="inlineStr">
        <is>
          <t>NS</t>
        </is>
      </c>
      <c r="C1007" s="156" t="inlineStr">
        <is>
          <t>HT-405</t>
        </is>
      </c>
      <c r="D1007" s="156" t="inlineStr">
        <is>
          <t>SY430</t>
        </is>
      </c>
      <c r="E1007" s="156" t="inlineStr">
        <is>
          <t>DT Hauling</t>
        </is>
      </c>
      <c r="F1007" s="156" t="inlineStr"/>
      <c r="G1007" s="182" t="n">
        <v>0</v>
      </c>
      <c r="H1007" s="182" t="n">
        <v>0</v>
      </c>
      <c r="I1007" s="182" t="n">
        <v>0</v>
      </c>
      <c r="J1007" s="182" t="n">
        <v>0</v>
      </c>
      <c r="K1007" s="182" t="n">
        <v>12</v>
      </c>
      <c r="L1007" s="182" t="n">
        <v>12</v>
      </c>
      <c r="M1007" s="182" t="n">
        <v>0</v>
      </c>
      <c r="N1007" s="182" t="n">
        <v>0</v>
      </c>
      <c r="O1007" s="183" t="n">
        <v>0</v>
      </c>
      <c r="P1007" s="183" t="n">
        <v>0</v>
      </c>
      <c r="Q1007" s="184" t="n">
        <v>0</v>
      </c>
      <c r="R1007" s="184" t="n">
        <v>0</v>
      </c>
      <c r="S1007" s="183" t="n">
        <v>0</v>
      </c>
      <c r="T1007" s="183" t="n">
        <v>0</v>
      </c>
      <c r="U1007" s="182" t="n">
        <v>0</v>
      </c>
      <c r="V1007" s="182" t="n">
        <v>0</v>
      </c>
      <c r="W1007" s="182" t="n">
        <v>0</v>
      </c>
      <c r="X1007" s="182" t="n">
        <v>1</v>
      </c>
      <c r="Y1007" s="182" t="n">
        <v>0</v>
      </c>
      <c r="Z1007" s="182" t="n">
        <v>0</v>
      </c>
      <c r="AA1007" s="182" t="n">
        <v>0</v>
      </c>
      <c r="AB1007" s="182" t="n">
        <v>0</v>
      </c>
      <c r="AC1007" s="182" t="n">
        <v>0</v>
      </c>
      <c r="AD1007" s="182" t="n">
        <v>0</v>
      </c>
      <c r="AE1007" s="182" t="n">
        <v>0</v>
      </c>
      <c r="AF1007" s="182" t="n">
        <v>0</v>
      </c>
      <c r="AG1007" s="182" t="n">
        <v>0</v>
      </c>
      <c r="AH1007" s="182" t="n">
        <v>0</v>
      </c>
      <c r="AI1007" s="182" t="n">
        <v>0</v>
      </c>
      <c r="AJ1007" s="182" t="n">
        <v>0</v>
      </c>
      <c r="AK1007" s="182" t="n">
        <v>10.92</v>
      </c>
      <c r="AL1007" s="182" t="n">
        <v>0</v>
      </c>
      <c r="AM1007" s="182" t="n">
        <v>0.08</v>
      </c>
      <c r="AN1007" s="182" t="n">
        <v>0</v>
      </c>
    </row>
    <row r="1008">
      <c r="A1008" s="155" t="n">
        <v>46086</v>
      </c>
      <c r="B1008" s="156" t="inlineStr">
        <is>
          <t>NS</t>
        </is>
      </c>
      <c r="C1008" s="156" t="inlineStr">
        <is>
          <t>HT-417</t>
        </is>
      </c>
      <c r="D1008" s="156" t="inlineStr">
        <is>
          <t>SY430</t>
        </is>
      </c>
      <c r="E1008" s="156" t="inlineStr">
        <is>
          <t>DT Hauling</t>
        </is>
      </c>
      <c r="F1008" s="156" t="inlineStr"/>
      <c r="G1008" s="182" t="n">
        <v>0</v>
      </c>
      <c r="H1008" s="182" t="n">
        <v>0</v>
      </c>
      <c r="I1008" s="182" t="n">
        <v>0</v>
      </c>
      <c r="J1008" s="182" t="n">
        <v>0</v>
      </c>
      <c r="K1008" s="182" t="n">
        <v>12</v>
      </c>
      <c r="L1008" s="182" t="n">
        <v>12</v>
      </c>
      <c r="M1008" s="182" t="n">
        <v>0</v>
      </c>
      <c r="N1008" s="182" t="n">
        <v>0</v>
      </c>
      <c r="O1008" s="183" t="n">
        <v>0</v>
      </c>
      <c r="P1008" s="183" t="n">
        <v>0</v>
      </c>
      <c r="Q1008" s="184" t="n">
        <v>0</v>
      </c>
      <c r="R1008" s="184" t="n">
        <v>0</v>
      </c>
      <c r="S1008" s="183" t="n">
        <v>0</v>
      </c>
      <c r="T1008" s="183" t="n">
        <v>0</v>
      </c>
      <c r="U1008" s="182" t="n">
        <v>0</v>
      </c>
      <c r="V1008" s="182" t="n">
        <v>0</v>
      </c>
      <c r="W1008" s="182" t="n">
        <v>0</v>
      </c>
      <c r="X1008" s="182" t="n">
        <v>1</v>
      </c>
      <c r="Y1008" s="182" t="n">
        <v>0</v>
      </c>
      <c r="Z1008" s="182" t="n">
        <v>0</v>
      </c>
      <c r="AA1008" s="182" t="n">
        <v>0</v>
      </c>
      <c r="AB1008" s="182" t="n">
        <v>0</v>
      </c>
      <c r="AC1008" s="182" t="n">
        <v>0</v>
      </c>
      <c r="AD1008" s="182" t="n">
        <v>0</v>
      </c>
      <c r="AE1008" s="182" t="n">
        <v>0</v>
      </c>
      <c r="AF1008" s="182" t="n">
        <v>0</v>
      </c>
      <c r="AG1008" s="182" t="n">
        <v>0</v>
      </c>
      <c r="AH1008" s="182" t="n">
        <v>0</v>
      </c>
      <c r="AI1008" s="182" t="n">
        <v>0</v>
      </c>
      <c r="AJ1008" s="182" t="n">
        <v>0</v>
      </c>
      <c r="AK1008" s="182" t="n">
        <v>10.92</v>
      </c>
      <c r="AL1008" s="182" t="n">
        <v>0</v>
      </c>
      <c r="AM1008" s="182" t="n">
        <v>0.08</v>
      </c>
      <c r="AN1008" s="182" t="n">
        <v>0</v>
      </c>
    </row>
    <row r="1009">
      <c r="A1009" s="155" t="n">
        <v>46086</v>
      </c>
      <c r="B1009" s="156" t="inlineStr">
        <is>
          <t>NS</t>
        </is>
      </c>
      <c r="C1009" s="156" t="inlineStr">
        <is>
          <t>HT-401</t>
        </is>
      </c>
      <c r="D1009" s="156" t="inlineStr">
        <is>
          <t>SY430</t>
        </is>
      </c>
      <c r="E1009" s="156" t="inlineStr">
        <is>
          <t>DT Hauling</t>
        </is>
      </c>
      <c r="F1009" s="156" t="inlineStr"/>
      <c r="G1009" s="182" t="n">
        <v>0</v>
      </c>
      <c r="H1009" s="182" t="n">
        <v>0</v>
      </c>
      <c r="I1009" s="182" t="n">
        <v>0</v>
      </c>
      <c r="J1009" s="182" t="n">
        <v>0</v>
      </c>
      <c r="K1009" s="182" t="n">
        <v>12</v>
      </c>
      <c r="L1009" s="182" t="n">
        <v>12</v>
      </c>
      <c r="M1009" s="182" t="n">
        <v>0</v>
      </c>
      <c r="N1009" s="182" t="n">
        <v>0</v>
      </c>
      <c r="O1009" s="183" t="n">
        <v>0</v>
      </c>
      <c r="P1009" s="183" t="n">
        <v>0</v>
      </c>
      <c r="Q1009" s="184" t="n">
        <v>0</v>
      </c>
      <c r="R1009" s="184" t="n">
        <v>0</v>
      </c>
      <c r="S1009" s="183" t="n">
        <v>0</v>
      </c>
      <c r="T1009" s="183" t="n">
        <v>0</v>
      </c>
      <c r="U1009" s="182" t="n">
        <v>0</v>
      </c>
      <c r="V1009" s="182" t="n">
        <v>0</v>
      </c>
      <c r="W1009" s="182" t="n">
        <v>0</v>
      </c>
      <c r="X1009" s="182" t="n">
        <v>1</v>
      </c>
      <c r="Y1009" s="182" t="n">
        <v>0</v>
      </c>
      <c r="Z1009" s="182" t="n">
        <v>0</v>
      </c>
      <c r="AA1009" s="182" t="n">
        <v>0</v>
      </c>
      <c r="AB1009" s="182" t="n">
        <v>0</v>
      </c>
      <c r="AC1009" s="182" t="n">
        <v>0</v>
      </c>
      <c r="AD1009" s="182" t="n">
        <v>0</v>
      </c>
      <c r="AE1009" s="182" t="n">
        <v>0</v>
      </c>
      <c r="AF1009" s="182" t="n">
        <v>0</v>
      </c>
      <c r="AG1009" s="182" t="n">
        <v>0</v>
      </c>
      <c r="AH1009" s="182" t="n">
        <v>0</v>
      </c>
      <c r="AI1009" s="182" t="n">
        <v>0</v>
      </c>
      <c r="AJ1009" s="182" t="n">
        <v>0</v>
      </c>
      <c r="AK1009" s="182" t="n">
        <v>10.92</v>
      </c>
      <c r="AL1009" s="182" t="n">
        <v>0</v>
      </c>
      <c r="AM1009" s="182" t="n">
        <v>0.08</v>
      </c>
      <c r="AN1009" s="182" t="n">
        <v>0</v>
      </c>
    </row>
    <row r="1010">
      <c r="A1010" s="155" t="n">
        <v>46086</v>
      </c>
      <c r="B1010" s="156" t="inlineStr">
        <is>
          <t>NS</t>
        </is>
      </c>
      <c r="C1010" s="156" t="inlineStr">
        <is>
          <t>HT-410</t>
        </is>
      </c>
      <c r="D1010" s="156" t="inlineStr">
        <is>
          <t>SY430</t>
        </is>
      </c>
      <c r="E1010" s="156" t="inlineStr">
        <is>
          <t>DT Hauling</t>
        </is>
      </c>
      <c r="F1010" s="156" t="inlineStr"/>
      <c r="G1010" s="182" t="n">
        <v>0</v>
      </c>
      <c r="H1010" s="182" t="n">
        <v>0</v>
      </c>
      <c r="I1010" s="182" t="n">
        <v>0</v>
      </c>
      <c r="J1010" s="182" t="n">
        <v>0</v>
      </c>
      <c r="K1010" s="182" t="n">
        <v>12</v>
      </c>
      <c r="L1010" s="182" t="n">
        <v>12</v>
      </c>
      <c r="M1010" s="182" t="n">
        <v>0</v>
      </c>
      <c r="N1010" s="182" t="n">
        <v>0</v>
      </c>
      <c r="O1010" s="183" t="n">
        <v>0</v>
      </c>
      <c r="P1010" s="183" t="n">
        <v>0</v>
      </c>
      <c r="Q1010" s="184" t="n">
        <v>0</v>
      </c>
      <c r="R1010" s="184" t="n">
        <v>0</v>
      </c>
      <c r="S1010" s="183" t="n">
        <v>0</v>
      </c>
      <c r="T1010" s="183" t="n">
        <v>0</v>
      </c>
      <c r="U1010" s="182" t="n">
        <v>0</v>
      </c>
      <c r="V1010" s="182" t="n">
        <v>0</v>
      </c>
      <c r="W1010" s="182" t="n">
        <v>0</v>
      </c>
      <c r="X1010" s="182" t="n">
        <v>1</v>
      </c>
      <c r="Y1010" s="182" t="n">
        <v>0</v>
      </c>
      <c r="Z1010" s="182" t="n">
        <v>0</v>
      </c>
      <c r="AA1010" s="182" t="n">
        <v>0</v>
      </c>
      <c r="AB1010" s="182" t="n">
        <v>0</v>
      </c>
      <c r="AC1010" s="182" t="n">
        <v>0</v>
      </c>
      <c r="AD1010" s="182" t="n">
        <v>0</v>
      </c>
      <c r="AE1010" s="182" t="n">
        <v>0</v>
      </c>
      <c r="AF1010" s="182" t="n">
        <v>0</v>
      </c>
      <c r="AG1010" s="182" t="n">
        <v>0</v>
      </c>
      <c r="AH1010" s="182" t="n">
        <v>0</v>
      </c>
      <c r="AI1010" s="182" t="n">
        <v>0</v>
      </c>
      <c r="AJ1010" s="182" t="n">
        <v>0</v>
      </c>
      <c r="AK1010" s="182" t="n">
        <v>10.92</v>
      </c>
      <c r="AL1010" s="182" t="n">
        <v>0</v>
      </c>
      <c r="AM1010" s="182" t="n">
        <v>0.08</v>
      </c>
      <c r="AN1010" s="182" t="n">
        <v>0</v>
      </c>
    </row>
    <row r="1011">
      <c r="A1011" s="155" t="n">
        <v>46086</v>
      </c>
      <c r="B1011" s="156" t="inlineStr">
        <is>
          <t>NS</t>
        </is>
      </c>
      <c r="C1011" s="156" t="inlineStr">
        <is>
          <t>HT-402</t>
        </is>
      </c>
      <c r="D1011" s="156" t="inlineStr">
        <is>
          <t>SY430</t>
        </is>
      </c>
      <c r="E1011" s="156" t="inlineStr">
        <is>
          <t>DT Hauling</t>
        </is>
      </c>
      <c r="F1011" s="156" t="inlineStr"/>
      <c r="G1011" s="182" t="n">
        <v>0</v>
      </c>
      <c r="H1011" s="182" t="n">
        <v>0</v>
      </c>
      <c r="I1011" s="182" t="n">
        <v>0</v>
      </c>
      <c r="J1011" s="182" t="n">
        <v>0</v>
      </c>
      <c r="K1011" s="182" t="n">
        <v>12</v>
      </c>
      <c r="L1011" s="182" t="n">
        <v>12</v>
      </c>
      <c r="M1011" s="182" t="n">
        <v>0</v>
      </c>
      <c r="N1011" s="182" t="n">
        <v>0</v>
      </c>
      <c r="O1011" s="183" t="n">
        <v>0</v>
      </c>
      <c r="P1011" s="183" t="n">
        <v>0</v>
      </c>
      <c r="Q1011" s="184" t="n">
        <v>0</v>
      </c>
      <c r="R1011" s="184" t="n">
        <v>0</v>
      </c>
      <c r="S1011" s="183" t="n">
        <v>0</v>
      </c>
      <c r="T1011" s="183" t="n">
        <v>0</v>
      </c>
      <c r="U1011" s="182" t="n">
        <v>0</v>
      </c>
      <c r="V1011" s="182" t="n">
        <v>0</v>
      </c>
      <c r="W1011" s="182" t="n">
        <v>0</v>
      </c>
      <c r="X1011" s="182" t="n">
        <v>1</v>
      </c>
      <c r="Y1011" s="182" t="n">
        <v>0</v>
      </c>
      <c r="Z1011" s="182" t="n">
        <v>0</v>
      </c>
      <c r="AA1011" s="182" t="n">
        <v>0</v>
      </c>
      <c r="AB1011" s="182" t="n">
        <v>0</v>
      </c>
      <c r="AC1011" s="182" t="n">
        <v>0</v>
      </c>
      <c r="AD1011" s="182" t="n">
        <v>0</v>
      </c>
      <c r="AE1011" s="182" t="n">
        <v>0</v>
      </c>
      <c r="AF1011" s="182" t="n">
        <v>0</v>
      </c>
      <c r="AG1011" s="182" t="n">
        <v>0</v>
      </c>
      <c r="AH1011" s="182" t="n">
        <v>0</v>
      </c>
      <c r="AI1011" s="182" t="n">
        <v>0</v>
      </c>
      <c r="AJ1011" s="182" t="n">
        <v>0</v>
      </c>
      <c r="AK1011" s="182" t="n">
        <v>10.92</v>
      </c>
      <c r="AL1011" s="182" t="n">
        <v>0</v>
      </c>
      <c r="AM1011" s="182" t="n">
        <v>0.08</v>
      </c>
      <c r="AN1011" s="182" t="n">
        <v>0</v>
      </c>
    </row>
    <row r="1012">
      <c r="A1012" s="155" t="n">
        <v>46086</v>
      </c>
      <c r="B1012" s="156" t="inlineStr">
        <is>
          <t>NS</t>
        </is>
      </c>
      <c r="C1012" s="156" t="inlineStr">
        <is>
          <t>HT-419</t>
        </is>
      </c>
      <c r="D1012" s="156" t="inlineStr">
        <is>
          <t>SY430</t>
        </is>
      </c>
      <c r="E1012" s="156" t="inlineStr">
        <is>
          <t>DT Hauling</t>
        </is>
      </c>
      <c r="F1012" s="156" t="inlineStr"/>
      <c r="G1012" s="182" t="n">
        <v>0</v>
      </c>
      <c r="H1012" s="182" t="n">
        <v>0</v>
      </c>
      <c r="I1012" s="182" t="n">
        <v>0</v>
      </c>
      <c r="J1012" s="182" t="n">
        <v>0</v>
      </c>
      <c r="K1012" s="182" t="n">
        <v>12</v>
      </c>
      <c r="L1012" s="182" t="n">
        <v>12</v>
      </c>
      <c r="M1012" s="182" t="n">
        <v>0</v>
      </c>
      <c r="N1012" s="182" t="n">
        <v>0</v>
      </c>
      <c r="O1012" s="183" t="n">
        <v>0</v>
      </c>
      <c r="P1012" s="183" t="n">
        <v>0</v>
      </c>
      <c r="Q1012" s="184" t="n">
        <v>0</v>
      </c>
      <c r="R1012" s="184" t="n">
        <v>0</v>
      </c>
      <c r="S1012" s="183" t="n">
        <v>0</v>
      </c>
      <c r="T1012" s="183" t="n">
        <v>0</v>
      </c>
      <c r="U1012" s="182" t="n">
        <v>0</v>
      </c>
      <c r="V1012" s="182" t="n">
        <v>0</v>
      </c>
      <c r="W1012" s="182" t="n">
        <v>0</v>
      </c>
      <c r="X1012" s="182" t="n">
        <v>1</v>
      </c>
      <c r="Y1012" s="182" t="n">
        <v>0</v>
      </c>
      <c r="Z1012" s="182" t="n">
        <v>0</v>
      </c>
      <c r="AA1012" s="182" t="n">
        <v>0</v>
      </c>
      <c r="AB1012" s="182" t="n">
        <v>0</v>
      </c>
      <c r="AC1012" s="182" t="n">
        <v>0</v>
      </c>
      <c r="AD1012" s="182" t="n">
        <v>0</v>
      </c>
      <c r="AE1012" s="182" t="n">
        <v>0</v>
      </c>
      <c r="AF1012" s="182" t="n">
        <v>0</v>
      </c>
      <c r="AG1012" s="182" t="n">
        <v>0</v>
      </c>
      <c r="AH1012" s="182" t="n">
        <v>0</v>
      </c>
      <c r="AI1012" s="182" t="n">
        <v>0</v>
      </c>
      <c r="AJ1012" s="182" t="n">
        <v>0</v>
      </c>
      <c r="AK1012" s="182" t="n">
        <v>10.92</v>
      </c>
      <c r="AL1012" s="182" t="n">
        <v>0</v>
      </c>
      <c r="AM1012" s="182" t="n">
        <v>0.08</v>
      </c>
      <c r="AN1012" s="182" t="n">
        <v>0</v>
      </c>
    </row>
    <row r="1013">
      <c r="A1013" s="155" t="n">
        <v>46086</v>
      </c>
      <c r="B1013" s="156" t="inlineStr">
        <is>
          <t>NS</t>
        </is>
      </c>
      <c r="C1013" s="156" t="inlineStr">
        <is>
          <t>HT-416</t>
        </is>
      </c>
      <c r="D1013" s="156" t="inlineStr">
        <is>
          <t>SY430</t>
        </is>
      </c>
      <c r="E1013" s="156" t="inlineStr">
        <is>
          <t>DT Hauling</t>
        </is>
      </c>
      <c r="F1013" s="156" t="inlineStr"/>
      <c r="G1013" s="182" t="n">
        <v>0</v>
      </c>
      <c r="H1013" s="182" t="n">
        <v>0</v>
      </c>
      <c r="I1013" s="182" t="n">
        <v>12</v>
      </c>
      <c r="J1013" s="182" t="n">
        <v>12</v>
      </c>
      <c r="K1013" s="182" t="n">
        <v>0</v>
      </c>
      <c r="L1013" s="182" t="n">
        <v>12</v>
      </c>
      <c r="M1013" s="182" t="n">
        <v>0</v>
      </c>
      <c r="N1013" s="182" t="n">
        <v>0</v>
      </c>
      <c r="O1013" s="183" t="n">
        <v>0</v>
      </c>
      <c r="P1013" s="183" t="n">
        <v>0</v>
      </c>
      <c r="Q1013" s="184" t="n">
        <v>0</v>
      </c>
      <c r="R1013" s="184" t="n">
        <v>0</v>
      </c>
      <c r="S1013" s="183" t="n">
        <v>0</v>
      </c>
      <c r="T1013" s="183" t="n">
        <v>0</v>
      </c>
      <c r="U1013" s="182" t="n">
        <v>0</v>
      </c>
      <c r="V1013" s="182" t="n">
        <v>0</v>
      </c>
      <c r="W1013" s="182" t="n">
        <v>0</v>
      </c>
      <c r="X1013" s="182" t="n">
        <v>0</v>
      </c>
      <c r="Y1013" s="182" t="n">
        <v>0</v>
      </c>
      <c r="Z1013" s="182" t="n">
        <v>0</v>
      </c>
      <c r="AA1013" s="182" t="n">
        <v>0</v>
      </c>
      <c r="AB1013" s="182" t="n">
        <v>0</v>
      </c>
      <c r="AC1013" s="182" t="n">
        <v>0</v>
      </c>
      <c r="AD1013" s="182" t="n">
        <v>0</v>
      </c>
      <c r="AE1013" s="182" t="n">
        <v>0</v>
      </c>
      <c r="AF1013" s="182" t="n">
        <v>0</v>
      </c>
      <c r="AG1013" s="182" t="n">
        <v>0</v>
      </c>
      <c r="AH1013" s="182" t="n">
        <v>0</v>
      </c>
      <c r="AI1013" s="182" t="n">
        <v>0</v>
      </c>
      <c r="AJ1013" s="182" t="n">
        <v>0</v>
      </c>
      <c r="AK1013" s="182" t="n">
        <v>0</v>
      </c>
      <c r="AL1013" s="182" t="n">
        <v>0</v>
      </c>
      <c r="AM1013" s="182" t="n">
        <v>0</v>
      </c>
      <c r="AN1013" s="182" t="n">
        <v>0</v>
      </c>
    </row>
    <row r="1014">
      <c r="A1014" s="155" t="n">
        <v>46086</v>
      </c>
      <c r="B1014" s="156" t="inlineStr">
        <is>
          <t>NS</t>
        </is>
      </c>
      <c r="C1014" s="156" t="inlineStr">
        <is>
          <t>HT-420</t>
        </is>
      </c>
      <c r="D1014" s="156" t="inlineStr">
        <is>
          <t>SY430</t>
        </is>
      </c>
      <c r="E1014" s="156" t="inlineStr">
        <is>
          <t>DT Hauling</t>
        </is>
      </c>
      <c r="F1014" s="156" t="inlineStr"/>
      <c r="G1014" s="182" t="n">
        <v>0</v>
      </c>
      <c r="H1014" s="182" t="n">
        <v>0</v>
      </c>
      <c r="I1014" s="182" t="n">
        <v>0</v>
      </c>
      <c r="J1014" s="182" t="n">
        <v>0</v>
      </c>
      <c r="K1014" s="182" t="n">
        <v>12</v>
      </c>
      <c r="L1014" s="182" t="n">
        <v>12</v>
      </c>
      <c r="M1014" s="182" t="n">
        <v>0</v>
      </c>
      <c r="N1014" s="182" t="n">
        <v>0</v>
      </c>
      <c r="O1014" s="183" t="n">
        <v>0</v>
      </c>
      <c r="P1014" s="183" t="n">
        <v>0</v>
      </c>
      <c r="Q1014" s="184" t="n">
        <v>0</v>
      </c>
      <c r="R1014" s="184" t="n">
        <v>0</v>
      </c>
      <c r="S1014" s="183" t="n">
        <v>0</v>
      </c>
      <c r="T1014" s="183" t="n">
        <v>0</v>
      </c>
      <c r="U1014" s="182" t="n">
        <v>0</v>
      </c>
      <c r="V1014" s="182" t="n">
        <v>0</v>
      </c>
      <c r="W1014" s="182" t="n">
        <v>0</v>
      </c>
      <c r="X1014" s="182" t="n">
        <v>1</v>
      </c>
      <c r="Y1014" s="182" t="n">
        <v>0</v>
      </c>
      <c r="Z1014" s="182" t="n">
        <v>0</v>
      </c>
      <c r="AA1014" s="182" t="n">
        <v>0</v>
      </c>
      <c r="AB1014" s="182" t="n">
        <v>0</v>
      </c>
      <c r="AC1014" s="182" t="n">
        <v>0</v>
      </c>
      <c r="AD1014" s="182" t="n">
        <v>0</v>
      </c>
      <c r="AE1014" s="182" t="n">
        <v>0</v>
      </c>
      <c r="AF1014" s="182" t="n">
        <v>0</v>
      </c>
      <c r="AG1014" s="182" t="n">
        <v>0</v>
      </c>
      <c r="AH1014" s="182" t="n">
        <v>0</v>
      </c>
      <c r="AI1014" s="182" t="n">
        <v>0</v>
      </c>
      <c r="AJ1014" s="182" t="n">
        <v>0</v>
      </c>
      <c r="AK1014" s="182" t="n">
        <v>10.92</v>
      </c>
      <c r="AL1014" s="182" t="n">
        <v>0</v>
      </c>
      <c r="AM1014" s="182" t="n">
        <v>0.08</v>
      </c>
      <c r="AN1014" s="182" t="n">
        <v>0</v>
      </c>
    </row>
    <row r="1015">
      <c r="A1015" s="155" t="n">
        <v>46086</v>
      </c>
      <c r="B1015" s="156" t="inlineStr">
        <is>
          <t>NS</t>
        </is>
      </c>
      <c r="C1015" s="156" t="inlineStr">
        <is>
          <t>HT-403</t>
        </is>
      </c>
      <c r="D1015" s="156" t="inlineStr">
        <is>
          <t>SY430</t>
        </is>
      </c>
      <c r="E1015" s="156" t="inlineStr">
        <is>
          <t>DT Hauling</t>
        </is>
      </c>
      <c r="F1015" s="156" t="inlineStr"/>
      <c r="G1015" s="182" t="n">
        <v>0</v>
      </c>
      <c r="H1015" s="182" t="n">
        <v>0</v>
      </c>
      <c r="I1015" s="182" t="n">
        <v>0</v>
      </c>
      <c r="J1015" s="182" t="n">
        <v>0</v>
      </c>
      <c r="K1015" s="182" t="n">
        <v>12</v>
      </c>
      <c r="L1015" s="182" t="n">
        <v>12</v>
      </c>
      <c r="M1015" s="182" t="n">
        <v>0</v>
      </c>
      <c r="N1015" s="182" t="n">
        <v>0</v>
      </c>
      <c r="O1015" s="183" t="n">
        <v>0</v>
      </c>
      <c r="P1015" s="183" t="n">
        <v>0</v>
      </c>
      <c r="Q1015" s="184" t="n">
        <v>0</v>
      </c>
      <c r="R1015" s="184" t="n">
        <v>0</v>
      </c>
      <c r="S1015" s="183" t="n">
        <v>0</v>
      </c>
      <c r="T1015" s="183" t="n">
        <v>0</v>
      </c>
      <c r="U1015" s="182" t="n">
        <v>0</v>
      </c>
      <c r="V1015" s="182" t="n">
        <v>0</v>
      </c>
      <c r="W1015" s="182" t="n">
        <v>0</v>
      </c>
      <c r="X1015" s="182" t="n">
        <v>1</v>
      </c>
      <c r="Y1015" s="182" t="n">
        <v>0</v>
      </c>
      <c r="Z1015" s="182" t="n">
        <v>0</v>
      </c>
      <c r="AA1015" s="182" t="n">
        <v>0</v>
      </c>
      <c r="AB1015" s="182" t="n">
        <v>0</v>
      </c>
      <c r="AC1015" s="182" t="n">
        <v>0</v>
      </c>
      <c r="AD1015" s="182" t="n">
        <v>0</v>
      </c>
      <c r="AE1015" s="182" t="n">
        <v>0</v>
      </c>
      <c r="AF1015" s="182" t="n">
        <v>0</v>
      </c>
      <c r="AG1015" s="182" t="n">
        <v>0</v>
      </c>
      <c r="AH1015" s="182" t="n">
        <v>0</v>
      </c>
      <c r="AI1015" s="182" t="n">
        <v>0</v>
      </c>
      <c r="AJ1015" s="182" t="n">
        <v>0</v>
      </c>
      <c r="AK1015" s="182" t="n">
        <v>10.92</v>
      </c>
      <c r="AL1015" s="182" t="n">
        <v>0</v>
      </c>
      <c r="AM1015" s="182" t="n">
        <v>0.08</v>
      </c>
      <c r="AN1015" s="182" t="n">
        <v>0</v>
      </c>
    </row>
    <row r="1016">
      <c r="A1016" s="155" t="n">
        <v>46086</v>
      </c>
      <c r="B1016" s="156" t="inlineStr">
        <is>
          <t>NS</t>
        </is>
      </c>
      <c r="C1016" s="156" t="inlineStr">
        <is>
          <t>HT-408</t>
        </is>
      </c>
      <c r="D1016" s="156" t="inlineStr">
        <is>
          <t>SY430</t>
        </is>
      </c>
      <c r="E1016" s="156" t="inlineStr">
        <is>
          <t>DT Hauling</t>
        </is>
      </c>
      <c r="F1016" s="156" t="inlineStr"/>
      <c r="G1016" s="182" t="n">
        <v>0</v>
      </c>
      <c r="H1016" s="182" t="n">
        <v>0</v>
      </c>
      <c r="I1016" s="182" t="n">
        <v>0</v>
      </c>
      <c r="J1016" s="182" t="n">
        <v>0</v>
      </c>
      <c r="K1016" s="182" t="n">
        <v>12</v>
      </c>
      <c r="L1016" s="182" t="n">
        <v>12</v>
      </c>
      <c r="M1016" s="182" t="n">
        <v>0</v>
      </c>
      <c r="N1016" s="182" t="n">
        <v>0</v>
      </c>
      <c r="O1016" s="183" t="n">
        <v>0</v>
      </c>
      <c r="P1016" s="183" t="n">
        <v>0</v>
      </c>
      <c r="Q1016" s="184" t="n">
        <v>0</v>
      </c>
      <c r="R1016" s="184" t="n">
        <v>0</v>
      </c>
      <c r="S1016" s="183" t="n">
        <v>0</v>
      </c>
      <c r="T1016" s="183" t="n">
        <v>0</v>
      </c>
      <c r="U1016" s="182" t="n">
        <v>0</v>
      </c>
      <c r="V1016" s="182" t="n">
        <v>0</v>
      </c>
      <c r="W1016" s="182" t="n">
        <v>0</v>
      </c>
      <c r="X1016" s="182" t="n">
        <v>1</v>
      </c>
      <c r="Y1016" s="182" t="n">
        <v>0</v>
      </c>
      <c r="Z1016" s="182" t="n">
        <v>0</v>
      </c>
      <c r="AA1016" s="182" t="n">
        <v>0</v>
      </c>
      <c r="AB1016" s="182" t="n">
        <v>0</v>
      </c>
      <c r="AC1016" s="182" t="n">
        <v>0</v>
      </c>
      <c r="AD1016" s="182" t="n">
        <v>0</v>
      </c>
      <c r="AE1016" s="182" t="n">
        <v>0</v>
      </c>
      <c r="AF1016" s="182" t="n">
        <v>0</v>
      </c>
      <c r="AG1016" s="182" t="n">
        <v>0</v>
      </c>
      <c r="AH1016" s="182" t="n">
        <v>0</v>
      </c>
      <c r="AI1016" s="182" t="n">
        <v>0</v>
      </c>
      <c r="AJ1016" s="182" t="n">
        <v>0</v>
      </c>
      <c r="AK1016" s="182" t="n">
        <v>10.92</v>
      </c>
      <c r="AL1016" s="182" t="n">
        <v>0</v>
      </c>
      <c r="AM1016" s="182" t="n">
        <v>0.08</v>
      </c>
      <c r="AN1016" s="182" t="n">
        <v>0</v>
      </c>
    </row>
    <row r="1017">
      <c r="A1017" s="155" t="n">
        <v>46086</v>
      </c>
      <c r="B1017" s="156" t="inlineStr">
        <is>
          <t>NS</t>
        </is>
      </c>
      <c r="C1017" s="156" t="inlineStr">
        <is>
          <t>HT-412</t>
        </is>
      </c>
      <c r="D1017" s="156" t="inlineStr">
        <is>
          <t>SY430</t>
        </is>
      </c>
      <c r="E1017" s="156" t="inlineStr">
        <is>
          <t>DT Hauling</t>
        </is>
      </c>
      <c r="F1017" s="156" t="inlineStr"/>
      <c r="G1017" s="182" t="n">
        <v>0</v>
      </c>
      <c r="H1017" s="182" t="n">
        <v>0</v>
      </c>
      <c r="I1017" s="182" t="n">
        <v>0</v>
      </c>
      <c r="J1017" s="182" t="n">
        <v>0</v>
      </c>
      <c r="K1017" s="182" t="n">
        <v>12</v>
      </c>
      <c r="L1017" s="182" t="n">
        <v>12</v>
      </c>
      <c r="M1017" s="182" t="n">
        <v>0</v>
      </c>
      <c r="N1017" s="182" t="n">
        <v>0</v>
      </c>
      <c r="O1017" s="183" t="n">
        <v>0</v>
      </c>
      <c r="P1017" s="183" t="n">
        <v>0</v>
      </c>
      <c r="Q1017" s="184" t="n">
        <v>0</v>
      </c>
      <c r="R1017" s="184" t="n">
        <v>0</v>
      </c>
      <c r="S1017" s="183" t="n">
        <v>0</v>
      </c>
      <c r="T1017" s="183" t="n">
        <v>0</v>
      </c>
      <c r="U1017" s="182" t="n">
        <v>0</v>
      </c>
      <c r="V1017" s="182" t="n">
        <v>0</v>
      </c>
      <c r="W1017" s="182" t="n">
        <v>0</v>
      </c>
      <c r="X1017" s="182" t="n">
        <v>1</v>
      </c>
      <c r="Y1017" s="182" t="n">
        <v>0</v>
      </c>
      <c r="Z1017" s="182" t="n">
        <v>0</v>
      </c>
      <c r="AA1017" s="182" t="n">
        <v>0</v>
      </c>
      <c r="AB1017" s="182" t="n">
        <v>0</v>
      </c>
      <c r="AC1017" s="182" t="n">
        <v>0</v>
      </c>
      <c r="AD1017" s="182" t="n">
        <v>0</v>
      </c>
      <c r="AE1017" s="182" t="n">
        <v>0</v>
      </c>
      <c r="AF1017" s="182" t="n">
        <v>0</v>
      </c>
      <c r="AG1017" s="182" t="n">
        <v>0</v>
      </c>
      <c r="AH1017" s="182" t="n">
        <v>0</v>
      </c>
      <c r="AI1017" s="182" t="n">
        <v>0</v>
      </c>
      <c r="AJ1017" s="182" t="n">
        <v>0</v>
      </c>
      <c r="AK1017" s="182" t="n">
        <v>10.92</v>
      </c>
      <c r="AL1017" s="182" t="n">
        <v>0</v>
      </c>
      <c r="AM1017" s="182" t="n">
        <v>0.08</v>
      </c>
      <c r="AN1017" s="182" t="n">
        <v>0</v>
      </c>
    </row>
    <row r="1018">
      <c r="A1018" s="155" t="n">
        <v>46086</v>
      </c>
      <c r="B1018" s="156" t="inlineStr">
        <is>
          <t>NS</t>
        </is>
      </c>
      <c r="C1018" s="156" t="inlineStr">
        <is>
          <t>HT-413</t>
        </is>
      </c>
      <c r="D1018" s="156" t="inlineStr">
        <is>
          <t>SY430</t>
        </is>
      </c>
      <c r="E1018" s="156" t="inlineStr">
        <is>
          <t>DT Hauling</t>
        </is>
      </c>
      <c r="F1018" s="156" t="inlineStr"/>
      <c r="G1018" s="182" t="n">
        <v>0</v>
      </c>
      <c r="H1018" s="182" t="n">
        <v>0</v>
      </c>
      <c r="I1018" s="182" t="n">
        <v>12</v>
      </c>
      <c r="J1018" s="182" t="n">
        <v>12</v>
      </c>
      <c r="K1018" s="182" t="n">
        <v>0</v>
      </c>
      <c r="L1018" s="182" t="n">
        <v>12</v>
      </c>
      <c r="M1018" s="182" t="n">
        <v>0</v>
      </c>
      <c r="N1018" s="182" t="n">
        <v>0</v>
      </c>
      <c r="O1018" s="183" t="n">
        <v>0</v>
      </c>
      <c r="P1018" s="183" t="n">
        <v>0</v>
      </c>
      <c r="Q1018" s="184" t="n">
        <v>0</v>
      </c>
      <c r="R1018" s="184" t="n">
        <v>0</v>
      </c>
      <c r="S1018" s="183" t="n">
        <v>0</v>
      </c>
      <c r="T1018" s="183" t="n">
        <v>0</v>
      </c>
      <c r="U1018" s="182" t="n">
        <v>0</v>
      </c>
      <c r="V1018" s="182" t="n">
        <v>0</v>
      </c>
      <c r="W1018" s="182" t="n">
        <v>0</v>
      </c>
      <c r="X1018" s="182" t="n">
        <v>0</v>
      </c>
      <c r="Y1018" s="182" t="n">
        <v>0</v>
      </c>
      <c r="Z1018" s="182" t="n">
        <v>0</v>
      </c>
      <c r="AA1018" s="182" t="n">
        <v>0</v>
      </c>
      <c r="AB1018" s="182" t="n">
        <v>0</v>
      </c>
      <c r="AC1018" s="182" t="n">
        <v>0</v>
      </c>
      <c r="AD1018" s="182" t="n">
        <v>0</v>
      </c>
      <c r="AE1018" s="182" t="n">
        <v>0</v>
      </c>
      <c r="AF1018" s="182" t="n">
        <v>0</v>
      </c>
      <c r="AG1018" s="182" t="n">
        <v>0</v>
      </c>
      <c r="AH1018" s="182" t="n">
        <v>0</v>
      </c>
      <c r="AI1018" s="182" t="n">
        <v>0</v>
      </c>
      <c r="AJ1018" s="182" t="n">
        <v>0</v>
      </c>
      <c r="AK1018" s="182" t="n">
        <v>0</v>
      </c>
      <c r="AL1018" s="182" t="n">
        <v>0</v>
      </c>
      <c r="AM1018" s="182" t="n">
        <v>0</v>
      </c>
      <c r="AN1018" s="182" t="n">
        <v>0</v>
      </c>
    </row>
    <row r="1019">
      <c r="A1019" s="155" t="n">
        <v>46086</v>
      </c>
      <c r="B1019" s="156" t="inlineStr">
        <is>
          <t>NS</t>
        </is>
      </c>
      <c r="C1019" s="156" t="inlineStr">
        <is>
          <t>HT-407</t>
        </is>
      </c>
      <c r="D1019" s="156" t="inlineStr">
        <is>
          <t>SY430</t>
        </is>
      </c>
      <c r="E1019" s="156" t="inlineStr">
        <is>
          <t>DT Hauling</t>
        </is>
      </c>
      <c r="F1019" s="156" t="inlineStr"/>
      <c r="G1019" s="182" t="n">
        <v>0</v>
      </c>
      <c r="H1019" s="182" t="n">
        <v>0</v>
      </c>
      <c r="I1019" s="182" t="n">
        <v>0</v>
      </c>
      <c r="J1019" s="182" t="n">
        <v>0</v>
      </c>
      <c r="K1019" s="182" t="n">
        <v>12</v>
      </c>
      <c r="L1019" s="182" t="n">
        <v>12</v>
      </c>
      <c r="M1019" s="182" t="n">
        <v>0</v>
      </c>
      <c r="N1019" s="182" t="n">
        <v>0</v>
      </c>
      <c r="O1019" s="183" t="n">
        <v>0</v>
      </c>
      <c r="P1019" s="183" t="n">
        <v>0</v>
      </c>
      <c r="Q1019" s="184" t="n">
        <v>0</v>
      </c>
      <c r="R1019" s="184" t="n">
        <v>0</v>
      </c>
      <c r="S1019" s="183" t="n">
        <v>0</v>
      </c>
      <c r="T1019" s="183" t="n">
        <v>0</v>
      </c>
      <c r="U1019" s="182" t="n">
        <v>0</v>
      </c>
      <c r="V1019" s="182" t="n">
        <v>0</v>
      </c>
      <c r="W1019" s="182" t="n">
        <v>0</v>
      </c>
      <c r="X1019" s="182" t="n">
        <v>1</v>
      </c>
      <c r="Y1019" s="182" t="n">
        <v>0</v>
      </c>
      <c r="Z1019" s="182" t="n">
        <v>0</v>
      </c>
      <c r="AA1019" s="182" t="n">
        <v>0</v>
      </c>
      <c r="AB1019" s="182" t="n">
        <v>0</v>
      </c>
      <c r="AC1019" s="182" t="n">
        <v>0</v>
      </c>
      <c r="AD1019" s="182" t="n">
        <v>0</v>
      </c>
      <c r="AE1019" s="182" t="n">
        <v>0</v>
      </c>
      <c r="AF1019" s="182" t="n">
        <v>0</v>
      </c>
      <c r="AG1019" s="182" t="n">
        <v>0</v>
      </c>
      <c r="AH1019" s="182" t="n">
        <v>0</v>
      </c>
      <c r="AI1019" s="182" t="n">
        <v>0</v>
      </c>
      <c r="AJ1019" s="182" t="n">
        <v>0</v>
      </c>
      <c r="AK1019" s="182" t="n">
        <v>10.92</v>
      </c>
      <c r="AL1019" s="182" t="n">
        <v>0</v>
      </c>
      <c r="AM1019" s="182" t="n">
        <v>0.08</v>
      </c>
      <c r="AN1019" s="182" t="n">
        <v>0</v>
      </c>
    </row>
    <row r="1020">
      <c r="A1020" s="155" t="n">
        <v>46086</v>
      </c>
      <c r="B1020" s="156" t="inlineStr">
        <is>
          <t>NS</t>
        </is>
      </c>
      <c r="C1020" s="156" t="inlineStr">
        <is>
          <t>HT-414</t>
        </is>
      </c>
      <c r="D1020" s="156" t="inlineStr">
        <is>
          <t>SY430</t>
        </is>
      </c>
      <c r="E1020" s="156" t="inlineStr">
        <is>
          <t>DT Hauling</t>
        </is>
      </c>
      <c r="F1020" s="156" t="inlineStr"/>
      <c r="G1020" s="182" t="n">
        <v>0</v>
      </c>
      <c r="H1020" s="182" t="n">
        <v>0</v>
      </c>
      <c r="I1020" s="182" t="n">
        <v>0</v>
      </c>
      <c r="J1020" s="182" t="n">
        <v>0</v>
      </c>
      <c r="K1020" s="182" t="n">
        <v>12</v>
      </c>
      <c r="L1020" s="182" t="n">
        <v>12</v>
      </c>
      <c r="M1020" s="182" t="n">
        <v>0</v>
      </c>
      <c r="N1020" s="182" t="n">
        <v>0</v>
      </c>
      <c r="O1020" s="183" t="n">
        <v>0</v>
      </c>
      <c r="P1020" s="183" t="n">
        <v>0</v>
      </c>
      <c r="Q1020" s="184" t="n">
        <v>0</v>
      </c>
      <c r="R1020" s="184" t="n">
        <v>0</v>
      </c>
      <c r="S1020" s="183" t="n">
        <v>0</v>
      </c>
      <c r="T1020" s="183" t="n">
        <v>0</v>
      </c>
      <c r="U1020" s="182" t="n">
        <v>0</v>
      </c>
      <c r="V1020" s="182" t="n">
        <v>0</v>
      </c>
      <c r="W1020" s="182" t="n">
        <v>0</v>
      </c>
      <c r="X1020" s="182" t="n">
        <v>1</v>
      </c>
      <c r="Y1020" s="182" t="n">
        <v>0</v>
      </c>
      <c r="Z1020" s="182" t="n">
        <v>0</v>
      </c>
      <c r="AA1020" s="182" t="n">
        <v>0</v>
      </c>
      <c r="AB1020" s="182" t="n">
        <v>0</v>
      </c>
      <c r="AC1020" s="182" t="n">
        <v>0</v>
      </c>
      <c r="AD1020" s="182" t="n">
        <v>0</v>
      </c>
      <c r="AE1020" s="182" t="n">
        <v>0</v>
      </c>
      <c r="AF1020" s="182" t="n">
        <v>0</v>
      </c>
      <c r="AG1020" s="182" t="n">
        <v>0</v>
      </c>
      <c r="AH1020" s="182" t="n">
        <v>0</v>
      </c>
      <c r="AI1020" s="182" t="n">
        <v>0</v>
      </c>
      <c r="AJ1020" s="182" t="n">
        <v>0</v>
      </c>
      <c r="AK1020" s="182" t="n">
        <v>10.92</v>
      </c>
      <c r="AL1020" s="182" t="n">
        <v>0</v>
      </c>
      <c r="AM1020" s="182" t="n">
        <v>0.08</v>
      </c>
      <c r="AN1020" s="182" t="n">
        <v>0</v>
      </c>
    </row>
    <row r="1021">
      <c r="A1021" s="155" t="n">
        <v>46086</v>
      </c>
      <c r="B1021" s="156" t="inlineStr">
        <is>
          <t>NS</t>
        </is>
      </c>
      <c r="C1021" s="156" t="inlineStr">
        <is>
          <t>HT-411</t>
        </is>
      </c>
      <c r="D1021" s="156" t="inlineStr">
        <is>
          <t>SY430</t>
        </is>
      </c>
      <c r="E1021" s="156" t="inlineStr">
        <is>
          <t>DT Hauling</t>
        </is>
      </c>
      <c r="F1021" s="156" t="inlineStr"/>
      <c r="G1021" s="182" t="n">
        <v>0</v>
      </c>
      <c r="H1021" s="182" t="n">
        <v>0</v>
      </c>
      <c r="I1021" s="182" t="n">
        <v>0</v>
      </c>
      <c r="J1021" s="182" t="n">
        <v>0</v>
      </c>
      <c r="K1021" s="182" t="n">
        <v>12</v>
      </c>
      <c r="L1021" s="182" t="n">
        <v>12</v>
      </c>
      <c r="M1021" s="182" t="n">
        <v>0</v>
      </c>
      <c r="N1021" s="182" t="n">
        <v>0</v>
      </c>
      <c r="O1021" s="183" t="n">
        <v>0</v>
      </c>
      <c r="P1021" s="183" t="n">
        <v>0</v>
      </c>
      <c r="Q1021" s="184" t="n">
        <v>0</v>
      </c>
      <c r="R1021" s="184" t="n">
        <v>0</v>
      </c>
      <c r="S1021" s="183" t="n">
        <v>0</v>
      </c>
      <c r="T1021" s="183" t="n">
        <v>0</v>
      </c>
      <c r="U1021" s="182" t="n">
        <v>0</v>
      </c>
      <c r="V1021" s="182" t="n">
        <v>0</v>
      </c>
      <c r="W1021" s="182" t="n">
        <v>0</v>
      </c>
      <c r="X1021" s="182" t="n">
        <v>1</v>
      </c>
      <c r="Y1021" s="182" t="n">
        <v>0</v>
      </c>
      <c r="Z1021" s="182" t="n">
        <v>0</v>
      </c>
      <c r="AA1021" s="182" t="n">
        <v>0</v>
      </c>
      <c r="AB1021" s="182" t="n">
        <v>0</v>
      </c>
      <c r="AC1021" s="182" t="n">
        <v>0</v>
      </c>
      <c r="AD1021" s="182" t="n">
        <v>0</v>
      </c>
      <c r="AE1021" s="182" t="n">
        <v>0</v>
      </c>
      <c r="AF1021" s="182" t="n">
        <v>0</v>
      </c>
      <c r="AG1021" s="182" t="n">
        <v>0</v>
      </c>
      <c r="AH1021" s="182" t="n">
        <v>0</v>
      </c>
      <c r="AI1021" s="182" t="n">
        <v>0</v>
      </c>
      <c r="AJ1021" s="182" t="n">
        <v>0</v>
      </c>
      <c r="AK1021" s="182" t="n">
        <v>10.92</v>
      </c>
      <c r="AL1021" s="182" t="n">
        <v>0</v>
      </c>
      <c r="AM1021" s="182" t="n">
        <v>0.08</v>
      </c>
      <c r="AN1021" s="182" t="n">
        <v>0</v>
      </c>
    </row>
    <row r="1022">
      <c r="A1022" s="155" t="n">
        <v>46086</v>
      </c>
      <c r="B1022" s="156" t="inlineStr">
        <is>
          <t>NS</t>
        </is>
      </c>
      <c r="C1022" s="156" t="inlineStr">
        <is>
          <t>HT-409</t>
        </is>
      </c>
      <c r="D1022" s="156" t="inlineStr">
        <is>
          <t>SY430</t>
        </is>
      </c>
      <c r="E1022" s="156" t="inlineStr">
        <is>
          <t>DT Hauling</t>
        </is>
      </c>
      <c r="F1022" s="156" t="inlineStr"/>
      <c r="G1022" s="182" t="n">
        <v>0</v>
      </c>
      <c r="H1022" s="182" t="n">
        <v>0</v>
      </c>
      <c r="I1022" s="182" t="n">
        <v>0</v>
      </c>
      <c r="J1022" s="182" t="n">
        <v>0</v>
      </c>
      <c r="K1022" s="182" t="n">
        <v>12</v>
      </c>
      <c r="L1022" s="182" t="n">
        <v>12</v>
      </c>
      <c r="M1022" s="182" t="n">
        <v>0</v>
      </c>
      <c r="N1022" s="182" t="n">
        <v>0</v>
      </c>
      <c r="O1022" s="183" t="n">
        <v>0</v>
      </c>
      <c r="P1022" s="183" t="n">
        <v>0</v>
      </c>
      <c r="Q1022" s="184" t="n">
        <v>0</v>
      </c>
      <c r="R1022" s="184" t="n">
        <v>0</v>
      </c>
      <c r="S1022" s="183" t="n">
        <v>0</v>
      </c>
      <c r="T1022" s="183" t="n">
        <v>0</v>
      </c>
      <c r="U1022" s="182" t="n">
        <v>0</v>
      </c>
      <c r="V1022" s="182" t="n">
        <v>0</v>
      </c>
      <c r="W1022" s="182" t="n">
        <v>0</v>
      </c>
      <c r="X1022" s="182" t="n">
        <v>1</v>
      </c>
      <c r="Y1022" s="182" t="n">
        <v>0</v>
      </c>
      <c r="Z1022" s="182" t="n">
        <v>0</v>
      </c>
      <c r="AA1022" s="182" t="n">
        <v>0</v>
      </c>
      <c r="AB1022" s="182" t="n">
        <v>0</v>
      </c>
      <c r="AC1022" s="182" t="n">
        <v>0</v>
      </c>
      <c r="AD1022" s="182" t="n">
        <v>0</v>
      </c>
      <c r="AE1022" s="182" t="n">
        <v>0</v>
      </c>
      <c r="AF1022" s="182" t="n">
        <v>0</v>
      </c>
      <c r="AG1022" s="182" t="n">
        <v>0</v>
      </c>
      <c r="AH1022" s="182" t="n">
        <v>0</v>
      </c>
      <c r="AI1022" s="182" t="n">
        <v>0</v>
      </c>
      <c r="AJ1022" s="182" t="n">
        <v>0</v>
      </c>
      <c r="AK1022" s="182" t="n">
        <v>10.92</v>
      </c>
      <c r="AL1022" s="182" t="n">
        <v>0</v>
      </c>
      <c r="AM1022" s="182" t="n">
        <v>0.08</v>
      </c>
      <c r="AN1022" s="182" t="n">
        <v>0</v>
      </c>
    </row>
    <row r="1023">
      <c r="A1023" s="155" t="n">
        <v>46086</v>
      </c>
      <c r="B1023" s="156" t="inlineStr">
        <is>
          <t>NS</t>
        </is>
      </c>
      <c r="C1023" s="156" t="inlineStr">
        <is>
          <t>DH-103</t>
        </is>
      </c>
      <c r="D1023" s="156" t="inlineStr">
        <is>
          <t>HINO FM260</t>
        </is>
      </c>
      <c r="E1023" s="156" t="inlineStr">
        <is>
          <t>DT Hino</t>
        </is>
      </c>
      <c r="F1023" s="156" t="inlineStr"/>
      <c r="G1023" s="182" t="n">
        <v>0</v>
      </c>
      <c r="H1023" s="182" t="n">
        <v>0</v>
      </c>
      <c r="I1023" s="182" t="n">
        <v>12</v>
      </c>
      <c r="J1023" s="182" t="n">
        <v>12</v>
      </c>
      <c r="K1023" s="182" t="n">
        <v>0</v>
      </c>
      <c r="L1023" s="182" t="n">
        <v>12</v>
      </c>
      <c r="M1023" s="182" t="n">
        <v>0</v>
      </c>
      <c r="N1023" s="182" t="n">
        <v>0</v>
      </c>
      <c r="O1023" s="183" t="n">
        <v>0</v>
      </c>
      <c r="P1023" s="183" t="n">
        <v>0</v>
      </c>
      <c r="Q1023" s="184" t="n">
        <v>0</v>
      </c>
      <c r="R1023" s="184" t="n">
        <v>0</v>
      </c>
      <c r="S1023" s="183" t="n">
        <v>0</v>
      </c>
      <c r="T1023" s="183" t="n">
        <v>0</v>
      </c>
      <c r="U1023" s="182" t="n">
        <v>0</v>
      </c>
      <c r="V1023" s="182" t="n">
        <v>0</v>
      </c>
      <c r="W1023" s="182" t="n">
        <v>0</v>
      </c>
      <c r="X1023" s="182" t="n">
        <v>0</v>
      </c>
      <c r="Y1023" s="182" t="n">
        <v>0</v>
      </c>
      <c r="Z1023" s="182" t="n">
        <v>0</v>
      </c>
      <c r="AA1023" s="182" t="n">
        <v>0</v>
      </c>
      <c r="AB1023" s="182" t="n">
        <v>0</v>
      </c>
      <c r="AC1023" s="182" t="n">
        <v>0</v>
      </c>
      <c r="AD1023" s="182" t="n">
        <v>0</v>
      </c>
      <c r="AE1023" s="182" t="n">
        <v>0</v>
      </c>
      <c r="AF1023" s="182" t="n">
        <v>0</v>
      </c>
      <c r="AG1023" s="182" t="n">
        <v>0</v>
      </c>
      <c r="AH1023" s="182" t="n">
        <v>0</v>
      </c>
      <c r="AI1023" s="182" t="n">
        <v>0</v>
      </c>
      <c r="AJ1023" s="182" t="n">
        <v>0</v>
      </c>
      <c r="AK1023" s="182" t="n">
        <v>0</v>
      </c>
      <c r="AL1023" s="182" t="n">
        <v>0</v>
      </c>
      <c r="AM1023" s="182" t="n">
        <v>0</v>
      </c>
      <c r="AN1023" s="182" t="n">
        <v>0</v>
      </c>
    </row>
    <row r="1024">
      <c r="A1024" s="155" t="n">
        <v>46086</v>
      </c>
      <c r="B1024" s="156" t="inlineStr">
        <is>
          <t>NS</t>
        </is>
      </c>
      <c r="C1024" s="156" t="inlineStr">
        <is>
          <t>DH-102</t>
        </is>
      </c>
      <c r="D1024" s="156" t="inlineStr">
        <is>
          <t>HINO FM260</t>
        </is>
      </c>
      <c r="E1024" s="156" t="inlineStr">
        <is>
          <t>DT Hino</t>
        </is>
      </c>
      <c r="F1024" s="156" t="inlineStr"/>
      <c r="G1024" s="182" t="n">
        <v>0</v>
      </c>
      <c r="H1024" s="182" t="n">
        <v>0</v>
      </c>
      <c r="I1024" s="182" t="n">
        <v>0</v>
      </c>
      <c r="J1024" s="182" t="n">
        <v>0</v>
      </c>
      <c r="K1024" s="182" t="n">
        <v>12</v>
      </c>
      <c r="L1024" s="182" t="n">
        <v>12</v>
      </c>
      <c r="M1024" s="182" t="n">
        <v>0</v>
      </c>
      <c r="N1024" s="182" t="n">
        <v>0</v>
      </c>
      <c r="O1024" s="183" t="n">
        <v>0</v>
      </c>
      <c r="P1024" s="183" t="n">
        <v>0</v>
      </c>
      <c r="Q1024" s="184" t="n">
        <v>0</v>
      </c>
      <c r="R1024" s="184" t="n">
        <v>0</v>
      </c>
      <c r="S1024" s="183" t="n">
        <v>0</v>
      </c>
      <c r="T1024" s="183" t="n">
        <v>0</v>
      </c>
      <c r="U1024" s="182" t="n">
        <v>0</v>
      </c>
      <c r="V1024" s="182" t="n">
        <v>0</v>
      </c>
      <c r="W1024" s="182" t="n">
        <v>0</v>
      </c>
      <c r="X1024" s="182" t="n">
        <v>1</v>
      </c>
      <c r="Y1024" s="182" t="n">
        <v>0</v>
      </c>
      <c r="Z1024" s="182" t="n">
        <v>0</v>
      </c>
      <c r="AA1024" s="182" t="n">
        <v>0</v>
      </c>
      <c r="AB1024" s="182" t="n">
        <v>0</v>
      </c>
      <c r="AC1024" s="182" t="n">
        <v>0</v>
      </c>
      <c r="AD1024" s="182" t="n">
        <v>0</v>
      </c>
      <c r="AE1024" s="182" t="n">
        <v>0</v>
      </c>
      <c r="AF1024" s="182" t="n">
        <v>0</v>
      </c>
      <c r="AG1024" s="182" t="n">
        <v>0</v>
      </c>
      <c r="AH1024" s="182" t="n">
        <v>0</v>
      </c>
      <c r="AI1024" s="182" t="n">
        <v>0</v>
      </c>
      <c r="AJ1024" s="182" t="n">
        <v>0</v>
      </c>
      <c r="AK1024" s="182" t="n">
        <v>10.92</v>
      </c>
      <c r="AL1024" s="182" t="n">
        <v>0</v>
      </c>
      <c r="AM1024" s="182" t="n">
        <v>0.08</v>
      </c>
      <c r="AN1024" s="182" t="n">
        <v>0</v>
      </c>
    </row>
    <row r="1025">
      <c r="A1025" s="155" t="n">
        <v>46086</v>
      </c>
      <c r="B1025" s="156" t="inlineStr">
        <is>
          <t>NS</t>
        </is>
      </c>
      <c r="C1025" s="156" t="inlineStr">
        <is>
          <t>DH-101</t>
        </is>
      </c>
      <c r="D1025" s="156" t="inlineStr">
        <is>
          <t>HINO FM260</t>
        </is>
      </c>
      <c r="E1025" s="156" t="inlineStr">
        <is>
          <t>DT Hino</t>
        </is>
      </c>
      <c r="F1025" s="156" t="inlineStr"/>
      <c r="G1025" s="182" t="n">
        <v>0</v>
      </c>
      <c r="H1025" s="182" t="n">
        <v>0</v>
      </c>
      <c r="I1025" s="182" t="n">
        <v>0</v>
      </c>
      <c r="J1025" s="182" t="n">
        <v>0</v>
      </c>
      <c r="K1025" s="182" t="n">
        <v>12</v>
      </c>
      <c r="L1025" s="182" t="n">
        <v>12</v>
      </c>
      <c r="M1025" s="182" t="n">
        <v>0</v>
      </c>
      <c r="N1025" s="182" t="n">
        <v>0</v>
      </c>
      <c r="O1025" s="183" t="n">
        <v>0</v>
      </c>
      <c r="P1025" s="183" t="n">
        <v>0</v>
      </c>
      <c r="Q1025" s="184" t="n">
        <v>0</v>
      </c>
      <c r="R1025" s="184" t="n">
        <v>0</v>
      </c>
      <c r="S1025" s="183" t="n">
        <v>0</v>
      </c>
      <c r="T1025" s="183" t="n">
        <v>0</v>
      </c>
      <c r="U1025" s="182" t="n">
        <v>0</v>
      </c>
      <c r="V1025" s="182" t="n">
        <v>0</v>
      </c>
      <c r="W1025" s="182" t="n">
        <v>0</v>
      </c>
      <c r="X1025" s="182" t="n">
        <v>1</v>
      </c>
      <c r="Y1025" s="182" t="n">
        <v>0</v>
      </c>
      <c r="Z1025" s="182" t="n">
        <v>0</v>
      </c>
      <c r="AA1025" s="182" t="n">
        <v>0</v>
      </c>
      <c r="AB1025" s="182" t="n">
        <v>0</v>
      </c>
      <c r="AC1025" s="182" t="n">
        <v>0</v>
      </c>
      <c r="AD1025" s="182" t="n">
        <v>0</v>
      </c>
      <c r="AE1025" s="182" t="n">
        <v>0</v>
      </c>
      <c r="AF1025" s="182" t="n">
        <v>0</v>
      </c>
      <c r="AG1025" s="182" t="n">
        <v>0</v>
      </c>
      <c r="AH1025" s="182" t="n">
        <v>0</v>
      </c>
      <c r="AI1025" s="182" t="n">
        <v>0</v>
      </c>
      <c r="AJ1025" s="182" t="n">
        <v>0</v>
      </c>
      <c r="AK1025" s="182" t="n">
        <v>10.92</v>
      </c>
      <c r="AL1025" s="182" t="n">
        <v>0</v>
      </c>
      <c r="AM1025" s="182" t="n">
        <v>0.08</v>
      </c>
      <c r="AN1025" s="182" t="n">
        <v>0</v>
      </c>
    </row>
    <row r="1026">
      <c r="A1026" s="155" t="n">
        <v>46086</v>
      </c>
      <c r="B1026" s="156" t="inlineStr">
        <is>
          <t>NS</t>
        </is>
      </c>
      <c r="C1026" s="156" t="inlineStr">
        <is>
          <t>EX-1251</t>
        </is>
      </c>
      <c r="D1026" s="156" t="inlineStr">
        <is>
          <t>SY1250</t>
        </is>
      </c>
      <c r="E1026" s="156" t="inlineStr">
        <is>
          <t>Excavator</t>
        </is>
      </c>
      <c r="F1026" s="156" t="inlineStr">
        <is>
          <t>Loading OB</t>
        </is>
      </c>
      <c r="G1026" s="182" t="n">
        <v>7.04</v>
      </c>
      <c r="H1026" s="182" t="n">
        <v>0</v>
      </c>
      <c r="I1026" s="182" t="n">
        <v>0</v>
      </c>
      <c r="J1026" s="182" t="n">
        <v>0</v>
      </c>
      <c r="K1026" s="182" t="n">
        <v>4.96</v>
      </c>
      <c r="L1026" s="182" t="n">
        <v>12</v>
      </c>
      <c r="M1026" s="182" t="n">
        <v>6.77</v>
      </c>
      <c r="N1026" s="182" t="n">
        <v>0</v>
      </c>
      <c r="O1026" s="183" t="n">
        <v>125</v>
      </c>
      <c r="P1026" s="183" t="n">
        <v>0</v>
      </c>
      <c r="Q1026" s="184" t="n">
        <v>2550</v>
      </c>
      <c r="R1026" s="184" t="n">
        <v>0</v>
      </c>
      <c r="S1026" s="183" t="n">
        <v>7</v>
      </c>
      <c r="T1026" s="183" t="n">
        <v>0</v>
      </c>
      <c r="U1026" s="182" t="n">
        <v>3.89</v>
      </c>
      <c r="V1026" s="182" t="n">
        <v>0</v>
      </c>
      <c r="W1026" s="182" t="n">
        <v>0</v>
      </c>
      <c r="X1026" s="182" t="n">
        <v>0.99</v>
      </c>
      <c r="Y1026" s="182" t="n">
        <v>0</v>
      </c>
      <c r="Z1026" s="182" t="n">
        <v>0</v>
      </c>
      <c r="AA1026" s="182" t="n">
        <v>0</v>
      </c>
      <c r="AB1026" s="182" t="n">
        <v>0</v>
      </c>
      <c r="AC1026" s="182" t="n">
        <v>0</v>
      </c>
      <c r="AD1026" s="182" t="n">
        <v>0</v>
      </c>
      <c r="AE1026" s="182" t="n">
        <v>0</v>
      </c>
      <c r="AF1026" s="182" t="n">
        <v>0</v>
      </c>
      <c r="AG1026" s="182" t="n">
        <v>0</v>
      </c>
      <c r="AH1026" s="182" t="n">
        <v>0</v>
      </c>
      <c r="AI1026" s="182" t="n">
        <v>0</v>
      </c>
      <c r="AJ1026" s="182" t="n">
        <v>0</v>
      </c>
      <c r="AK1026" s="182" t="n">
        <v>0</v>
      </c>
      <c r="AL1026" s="182" t="n">
        <v>0</v>
      </c>
      <c r="AM1026" s="182" t="n">
        <v>0.08</v>
      </c>
      <c r="AN1026" s="182" t="n">
        <v>0</v>
      </c>
    </row>
    <row r="1027">
      <c r="A1027" s="155" t="n">
        <v>46086</v>
      </c>
      <c r="B1027" s="156" t="inlineStr">
        <is>
          <t>NS</t>
        </is>
      </c>
      <c r="C1027" s="156" t="inlineStr">
        <is>
          <t>EX-1252</t>
        </is>
      </c>
      <c r="D1027" s="156" t="inlineStr">
        <is>
          <t>SY1250</t>
        </is>
      </c>
      <c r="E1027" s="156" t="inlineStr">
        <is>
          <t>Excavator</t>
        </is>
      </c>
      <c r="F1027" s="156" t="inlineStr">
        <is>
          <t>Loading OB</t>
        </is>
      </c>
      <c r="G1027" s="182" t="n">
        <v>6.95</v>
      </c>
      <c r="H1027" s="182" t="n">
        <v>0</v>
      </c>
      <c r="I1027" s="182" t="n">
        <v>0</v>
      </c>
      <c r="J1027" s="182" t="n">
        <v>0</v>
      </c>
      <c r="K1027" s="182" t="n">
        <v>5.05</v>
      </c>
      <c r="L1027" s="182" t="n">
        <v>12</v>
      </c>
      <c r="M1027" s="182" t="n">
        <v>6.95</v>
      </c>
      <c r="N1027" s="182" t="n">
        <v>0</v>
      </c>
      <c r="O1027" s="183" t="n">
        <v>120</v>
      </c>
      <c r="P1027" s="183" t="n">
        <v>0</v>
      </c>
      <c r="Q1027" s="184" t="n">
        <v>4284</v>
      </c>
      <c r="R1027" s="184" t="n">
        <v>0</v>
      </c>
      <c r="S1027" s="183" t="n">
        <v>0</v>
      </c>
      <c r="T1027" s="183" t="n">
        <v>0</v>
      </c>
      <c r="U1027" s="182" t="n">
        <v>3.91</v>
      </c>
      <c r="V1027" s="182" t="n">
        <v>0</v>
      </c>
      <c r="W1027" s="182" t="n">
        <v>0</v>
      </c>
      <c r="X1027" s="182" t="n">
        <v>1.05</v>
      </c>
      <c r="Y1027" s="182" t="n">
        <v>0</v>
      </c>
      <c r="Z1027" s="182" t="n">
        <v>0</v>
      </c>
      <c r="AA1027" s="182" t="n">
        <v>0</v>
      </c>
      <c r="AB1027" s="182" t="n">
        <v>0</v>
      </c>
      <c r="AC1027" s="182" t="n">
        <v>0</v>
      </c>
      <c r="AD1027" s="182" t="n">
        <v>0</v>
      </c>
      <c r="AE1027" s="182" t="n">
        <v>0</v>
      </c>
      <c r="AF1027" s="182" t="n">
        <v>0</v>
      </c>
      <c r="AG1027" s="182" t="n">
        <v>0</v>
      </c>
      <c r="AH1027" s="182" t="n">
        <v>0</v>
      </c>
      <c r="AI1027" s="182" t="n">
        <v>0</v>
      </c>
      <c r="AJ1027" s="182" t="n">
        <v>0</v>
      </c>
      <c r="AK1027" s="182" t="n">
        <v>0</v>
      </c>
      <c r="AL1027" s="182" t="n">
        <v>0</v>
      </c>
      <c r="AM1027" s="182" t="n">
        <v>0.08</v>
      </c>
      <c r="AN1027" s="182" t="n">
        <v>0</v>
      </c>
    </row>
    <row r="1028">
      <c r="A1028" s="155" t="n">
        <v>46086</v>
      </c>
      <c r="B1028" s="156" t="inlineStr">
        <is>
          <t>NS</t>
        </is>
      </c>
      <c r="C1028" s="156" t="inlineStr">
        <is>
          <t>EX-2101</t>
        </is>
      </c>
      <c r="D1028" s="156" t="inlineStr">
        <is>
          <t>SY2000</t>
        </is>
      </c>
      <c r="E1028" s="156" t="inlineStr">
        <is>
          <t>Excavator</t>
        </is>
      </c>
      <c r="F1028" s="156" t="inlineStr"/>
      <c r="G1028" s="182" t="n">
        <v>0</v>
      </c>
      <c r="H1028" s="182" t="n">
        <v>0</v>
      </c>
      <c r="I1028" s="182" t="n">
        <v>0</v>
      </c>
      <c r="J1028" s="182" t="n">
        <v>0</v>
      </c>
      <c r="K1028" s="182" t="n">
        <v>12</v>
      </c>
      <c r="L1028" s="182" t="n">
        <v>12</v>
      </c>
      <c r="M1028" s="182" t="n">
        <v>0</v>
      </c>
      <c r="N1028" s="182" t="n">
        <v>0</v>
      </c>
      <c r="O1028" s="183" t="n">
        <v>0</v>
      </c>
      <c r="P1028" s="183" t="n">
        <v>0</v>
      </c>
      <c r="Q1028" s="184" t="n">
        <v>0</v>
      </c>
      <c r="R1028" s="184" t="n">
        <v>0</v>
      </c>
      <c r="S1028" s="183" t="n">
        <v>0</v>
      </c>
      <c r="T1028" s="183" t="n">
        <v>0</v>
      </c>
      <c r="U1028" s="182" t="n">
        <v>4.25</v>
      </c>
      <c r="V1028" s="182" t="n">
        <v>0</v>
      </c>
      <c r="W1028" s="182" t="n">
        <v>0</v>
      </c>
      <c r="X1028" s="182" t="n">
        <v>1</v>
      </c>
      <c r="Y1028" s="182" t="n">
        <v>0</v>
      </c>
      <c r="Z1028" s="182" t="n">
        <v>0</v>
      </c>
      <c r="AA1028" s="182" t="n">
        <v>0</v>
      </c>
      <c r="AB1028" s="182" t="n">
        <v>0</v>
      </c>
      <c r="AC1028" s="182" t="n">
        <v>0</v>
      </c>
      <c r="AD1028" s="182" t="n">
        <v>0</v>
      </c>
      <c r="AE1028" s="182" t="n">
        <v>0</v>
      </c>
      <c r="AF1028" s="182" t="n">
        <v>0</v>
      </c>
      <c r="AG1028" s="182" t="n">
        <v>0</v>
      </c>
      <c r="AH1028" s="182" t="n">
        <v>0</v>
      </c>
      <c r="AI1028" s="182" t="n">
        <v>0</v>
      </c>
      <c r="AJ1028" s="182" t="n">
        <v>0</v>
      </c>
      <c r="AK1028" s="182" t="n">
        <v>6.67</v>
      </c>
      <c r="AL1028" s="182" t="n">
        <v>0</v>
      </c>
      <c r="AM1028" s="182" t="n">
        <v>0.08</v>
      </c>
      <c r="AN1028" s="182" t="n">
        <v>0</v>
      </c>
    </row>
    <row r="1029">
      <c r="A1029" s="155" t="n">
        <v>46086</v>
      </c>
      <c r="B1029" s="156" t="inlineStr">
        <is>
          <t>NS</t>
        </is>
      </c>
      <c r="C1029" s="156" t="inlineStr">
        <is>
          <t>EX-222</t>
        </is>
      </c>
      <c r="D1029" s="156" t="inlineStr">
        <is>
          <t>PC 200-8MI</t>
        </is>
      </c>
      <c r="E1029" s="156" t="inlineStr">
        <is>
          <t>Excavator</t>
        </is>
      </c>
      <c r="F1029" s="156" t="inlineStr">
        <is>
          <t>Support Washing Plant</t>
        </is>
      </c>
      <c r="G1029" s="182" t="n">
        <v>9.33</v>
      </c>
      <c r="H1029" s="182" t="n">
        <v>0</v>
      </c>
      <c r="I1029" s="182" t="n">
        <v>0</v>
      </c>
      <c r="J1029" s="182" t="n">
        <v>0</v>
      </c>
      <c r="K1029" s="182" t="n">
        <v>2.67</v>
      </c>
      <c r="L1029" s="182" t="n">
        <v>12</v>
      </c>
      <c r="M1029" s="182" t="n">
        <v>0</v>
      </c>
      <c r="N1029" s="182" t="n">
        <v>0</v>
      </c>
      <c r="O1029" s="183" t="n">
        <v>0</v>
      </c>
      <c r="P1029" s="183" t="n">
        <v>0</v>
      </c>
      <c r="Q1029" s="184" t="n">
        <v>0</v>
      </c>
      <c r="R1029" s="184" t="n">
        <v>0</v>
      </c>
      <c r="S1029" s="183" t="n">
        <v>0</v>
      </c>
      <c r="T1029" s="183" t="n">
        <v>0</v>
      </c>
      <c r="U1029" s="182" t="n">
        <v>0</v>
      </c>
      <c r="V1029" s="182" t="n">
        <v>0</v>
      </c>
      <c r="W1029" s="182" t="n">
        <v>0</v>
      </c>
      <c r="X1029" s="182" t="n">
        <v>0.95</v>
      </c>
      <c r="Y1029" s="182" t="n">
        <v>0</v>
      </c>
      <c r="Z1029" s="182" t="n">
        <v>0</v>
      </c>
      <c r="AA1029" s="182" t="n">
        <v>0</v>
      </c>
      <c r="AB1029" s="182" t="n">
        <v>0</v>
      </c>
      <c r="AC1029" s="182" t="n">
        <v>0</v>
      </c>
      <c r="AD1029" s="182" t="n">
        <v>0</v>
      </c>
      <c r="AE1029" s="182" t="n">
        <v>0</v>
      </c>
      <c r="AF1029" s="182" t="n">
        <v>0</v>
      </c>
      <c r="AG1029" s="182" t="n">
        <v>0</v>
      </c>
      <c r="AH1029" s="182" t="n">
        <v>0</v>
      </c>
      <c r="AI1029" s="182" t="n">
        <v>0</v>
      </c>
      <c r="AJ1029" s="182" t="n">
        <v>0</v>
      </c>
      <c r="AK1029" s="182" t="n">
        <v>1.64</v>
      </c>
      <c r="AL1029" s="182" t="n">
        <v>0</v>
      </c>
      <c r="AM1029" s="182" t="n">
        <v>0.08</v>
      </c>
      <c r="AN1029" s="182" t="n">
        <v>0</v>
      </c>
    </row>
    <row r="1030">
      <c r="A1030" s="155" t="n">
        <v>46086</v>
      </c>
      <c r="B1030" s="156" t="inlineStr">
        <is>
          <t>NS</t>
        </is>
      </c>
      <c r="C1030" s="156" t="inlineStr">
        <is>
          <t>EX-225</t>
        </is>
      </c>
      <c r="D1030" s="156" t="inlineStr">
        <is>
          <t>PC 200-8</t>
        </is>
      </c>
      <c r="E1030" s="156" t="inlineStr">
        <is>
          <t>Excavator</t>
        </is>
      </c>
      <c r="F1030" s="156" t="inlineStr"/>
      <c r="G1030" s="182" t="n">
        <v>0</v>
      </c>
      <c r="H1030" s="182" t="n">
        <v>0</v>
      </c>
      <c r="I1030" s="182" t="n">
        <v>12</v>
      </c>
      <c r="J1030" s="182" t="n">
        <v>12</v>
      </c>
      <c r="K1030" s="182" t="n">
        <v>0</v>
      </c>
      <c r="L1030" s="182" t="n">
        <v>12</v>
      </c>
      <c r="M1030" s="182" t="n">
        <v>0</v>
      </c>
      <c r="N1030" s="182" t="n">
        <v>0</v>
      </c>
      <c r="O1030" s="183" t="n">
        <v>0</v>
      </c>
      <c r="P1030" s="183" t="n">
        <v>0</v>
      </c>
      <c r="Q1030" s="184" t="n">
        <v>0</v>
      </c>
      <c r="R1030" s="184" t="n">
        <v>0</v>
      </c>
      <c r="S1030" s="183" t="n">
        <v>0</v>
      </c>
      <c r="T1030" s="183" t="n">
        <v>0</v>
      </c>
      <c r="U1030" s="182" t="n">
        <v>0</v>
      </c>
      <c r="V1030" s="182" t="n">
        <v>0</v>
      </c>
      <c r="W1030" s="182" t="n">
        <v>0</v>
      </c>
      <c r="X1030" s="182" t="n">
        <v>0</v>
      </c>
      <c r="Y1030" s="182" t="n">
        <v>0</v>
      </c>
      <c r="Z1030" s="182" t="n">
        <v>0</v>
      </c>
      <c r="AA1030" s="182" t="n">
        <v>0</v>
      </c>
      <c r="AB1030" s="182" t="n">
        <v>0</v>
      </c>
      <c r="AC1030" s="182" t="n">
        <v>0</v>
      </c>
      <c r="AD1030" s="182" t="n">
        <v>0</v>
      </c>
      <c r="AE1030" s="182" t="n">
        <v>0</v>
      </c>
      <c r="AF1030" s="182" t="n">
        <v>0</v>
      </c>
      <c r="AG1030" s="182" t="n">
        <v>0</v>
      </c>
      <c r="AH1030" s="182" t="n">
        <v>0</v>
      </c>
      <c r="AI1030" s="182" t="n">
        <v>0</v>
      </c>
      <c r="AJ1030" s="182" t="n">
        <v>0</v>
      </c>
      <c r="AK1030" s="182" t="n">
        <v>0</v>
      </c>
      <c r="AL1030" s="182" t="n">
        <v>0</v>
      </c>
      <c r="AM1030" s="182" t="n">
        <v>0</v>
      </c>
      <c r="AN1030" s="182" t="n">
        <v>0</v>
      </c>
    </row>
    <row r="1031">
      <c r="A1031" s="155" t="n">
        <v>46086</v>
      </c>
      <c r="B1031" s="156" t="inlineStr">
        <is>
          <t>NS</t>
        </is>
      </c>
      <c r="C1031" s="156" t="inlineStr">
        <is>
          <t>EX-223</t>
        </is>
      </c>
      <c r="D1031" s="156" t="inlineStr">
        <is>
          <t>PC 200-8MI</t>
        </is>
      </c>
      <c r="E1031" s="156" t="inlineStr">
        <is>
          <t>Excavator</t>
        </is>
      </c>
      <c r="F1031" s="156" t="inlineStr"/>
      <c r="G1031" s="182" t="n">
        <v>0</v>
      </c>
      <c r="H1031" s="182" t="n">
        <v>0</v>
      </c>
      <c r="I1031" s="182" t="n">
        <v>0</v>
      </c>
      <c r="J1031" s="182" t="n">
        <v>0</v>
      </c>
      <c r="K1031" s="182" t="n">
        <v>12</v>
      </c>
      <c r="L1031" s="182" t="n">
        <v>12</v>
      </c>
      <c r="M1031" s="182" t="n">
        <v>0</v>
      </c>
      <c r="N1031" s="182" t="n">
        <v>0</v>
      </c>
      <c r="O1031" s="183" t="n">
        <v>0</v>
      </c>
      <c r="P1031" s="183" t="n">
        <v>0</v>
      </c>
      <c r="Q1031" s="184" t="n">
        <v>0</v>
      </c>
      <c r="R1031" s="184" t="n">
        <v>0</v>
      </c>
      <c r="S1031" s="183" t="n">
        <v>0</v>
      </c>
      <c r="T1031" s="183" t="n">
        <v>0</v>
      </c>
      <c r="U1031" s="182" t="n">
        <v>4.25</v>
      </c>
      <c r="V1031" s="182" t="n">
        <v>0</v>
      </c>
      <c r="W1031" s="182" t="n">
        <v>0</v>
      </c>
      <c r="X1031" s="182" t="n">
        <v>1</v>
      </c>
      <c r="Y1031" s="182" t="n">
        <v>0</v>
      </c>
      <c r="Z1031" s="182" t="n">
        <v>0</v>
      </c>
      <c r="AA1031" s="182" t="n">
        <v>0</v>
      </c>
      <c r="AB1031" s="182" t="n">
        <v>0</v>
      </c>
      <c r="AC1031" s="182" t="n">
        <v>0</v>
      </c>
      <c r="AD1031" s="182" t="n">
        <v>0</v>
      </c>
      <c r="AE1031" s="182" t="n">
        <v>0</v>
      </c>
      <c r="AF1031" s="182" t="n">
        <v>0</v>
      </c>
      <c r="AG1031" s="182" t="n">
        <v>0</v>
      </c>
      <c r="AH1031" s="182" t="n">
        <v>0</v>
      </c>
      <c r="AI1031" s="182" t="n">
        <v>0</v>
      </c>
      <c r="AJ1031" s="182" t="n">
        <v>0</v>
      </c>
      <c r="AK1031" s="182" t="n">
        <v>6.67</v>
      </c>
      <c r="AL1031" s="182" t="n">
        <v>0</v>
      </c>
      <c r="AM1031" s="182" t="n">
        <v>0.08</v>
      </c>
      <c r="AN1031" s="182" t="n">
        <v>0</v>
      </c>
    </row>
    <row r="1032">
      <c r="A1032" s="155" t="n">
        <v>46086</v>
      </c>
      <c r="B1032" s="156" t="inlineStr">
        <is>
          <t>NS</t>
        </is>
      </c>
      <c r="C1032" s="156" t="inlineStr">
        <is>
          <t>EX-221</t>
        </is>
      </c>
      <c r="D1032" s="156" t="inlineStr">
        <is>
          <t>PC 200-8MI</t>
        </is>
      </c>
      <c r="E1032" s="156" t="inlineStr">
        <is>
          <t>Excavator</t>
        </is>
      </c>
      <c r="F1032" s="156" t="inlineStr"/>
      <c r="G1032" s="182" t="n">
        <v>0</v>
      </c>
      <c r="H1032" s="182" t="n">
        <v>0</v>
      </c>
      <c r="I1032" s="182" t="n">
        <v>0</v>
      </c>
      <c r="J1032" s="182" t="n">
        <v>0</v>
      </c>
      <c r="K1032" s="182" t="n">
        <v>12</v>
      </c>
      <c r="L1032" s="182" t="n">
        <v>12</v>
      </c>
      <c r="M1032" s="182" t="n">
        <v>0</v>
      </c>
      <c r="N1032" s="182" t="n">
        <v>0</v>
      </c>
      <c r="O1032" s="183" t="n">
        <v>0</v>
      </c>
      <c r="P1032" s="183" t="n">
        <v>0</v>
      </c>
      <c r="Q1032" s="184" t="n">
        <v>0</v>
      </c>
      <c r="R1032" s="184" t="n">
        <v>0</v>
      </c>
      <c r="S1032" s="183" t="n">
        <v>0</v>
      </c>
      <c r="T1032" s="183" t="n">
        <v>0</v>
      </c>
      <c r="U1032" s="182" t="n">
        <v>0</v>
      </c>
      <c r="V1032" s="182" t="n">
        <v>0</v>
      </c>
      <c r="W1032" s="182" t="n">
        <v>0</v>
      </c>
      <c r="X1032" s="182" t="n">
        <v>1</v>
      </c>
      <c r="Y1032" s="182" t="n">
        <v>0</v>
      </c>
      <c r="Z1032" s="182" t="n">
        <v>0</v>
      </c>
      <c r="AA1032" s="182" t="n">
        <v>0</v>
      </c>
      <c r="AB1032" s="182" t="n">
        <v>0</v>
      </c>
      <c r="AC1032" s="182" t="n">
        <v>0</v>
      </c>
      <c r="AD1032" s="182" t="n">
        <v>0</v>
      </c>
      <c r="AE1032" s="182" t="n">
        <v>0</v>
      </c>
      <c r="AF1032" s="182" t="n">
        <v>0</v>
      </c>
      <c r="AG1032" s="182" t="n">
        <v>0</v>
      </c>
      <c r="AH1032" s="182" t="n">
        <v>0</v>
      </c>
      <c r="AI1032" s="182" t="n">
        <v>0</v>
      </c>
      <c r="AJ1032" s="182" t="n">
        <v>0</v>
      </c>
      <c r="AK1032" s="182" t="n">
        <v>10.92</v>
      </c>
      <c r="AL1032" s="182" t="n">
        <v>0</v>
      </c>
      <c r="AM1032" s="182" t="n">
        <v>0.08</v>
      </c>
      <c r="AN1032" s="182" t="n">
        <v>0</v>
      </c>
    </row>
    <row r="1033">
      <c r="A1033" s="155" t="n">
        <v>46086</v>
      </c>
      <c r="B1033" s="156" t="inlineStr">
        <is>
          <t>NS</t>
        </is>
      </c>
      <c r="C1033" s="156" t="inlineStr">
        <is>
          <t>EX-331</t>
        </is>
      </c>
      <c r="D1033" s="156" t="inlineStr">
        <is>
          <t>PC 300-8MO</t>
        </is>
      </c>
      <c r="E1033" s="156" t="inlineStr">
        <is>
          <t>Excavator</t>
        </is>
      </c>
      <c r="F1033" s="156" t="inlineStr"/>
      <c r="G1033" s="182" t="n">
        <v>0</v>
      </c>
      <c r="H1033" s="182" t="n">
        <v>0</v>
      </c>
      <c r="I1033" s="182" t="n">
        <v>12</v>
      </c>
      <c r="J1033" s="182" t="n">
        <v>12</v>
      </c>
      <c r="K1033" s="182" t="n">
        <v>0</v>
      </c>
      <c r="L1033" s="182" t="n">
        <v>12</v>
      </c>
      <c r="M1033" s="182" t="n">
        <v>0</v>
      </c>
      <c r="N1033" s="182" t="n">
        <v>0</v>
      </c>
      <c r="O1033" s="183" t="n">
        <v>0</v>
      </c>
      <c r="P1033" s="183" t="n">
        <v>0</v>
      </c>
      <c r="Q1033" s="184" t="n">
        <v>0</v>
      </c>
      <c r="R1033" s="184" t="n">
        <v>0</v>
      </c>
      <c r="S1033" s="183" t="n">
        <v>0</v>
      </c>
      <c r="T1033" s="183" t="n">
        <v>0</v>
      </c>
      <c r="U1033" s="182" t="n">
        <v>0</v>
      </c>
      <c r="V1033" s="182" t="n">
        <v>0</v>
      </c>
      <c r="W1033" s="182" t="n">
        <v>0</v>
      </c>
      <c r="X1033" s="182" t="n">
        <v>0</v>
      </c>
      <c r="Y1033" s="182" t="n">
        <v>0</v>
      </c>
      <c r="Z1033" s="182" t="n">
        <v>0</v>
      </c>
      <c r="AA1033" s="182" t="n">
        <v>0</v>
      </c>
      <c r="AB1033" s="182" t="n">
        <v>0</v>
      </c>
      <c r="AC1033" s="182" t="n">
        <v>0</v>
      </c>
      <c r="AD1033" s="182" t="n">
        <v>0</v>
      </c>
      <c r="AE1033" s="182" t="n">
        <v>0</v>
      </c>
      <c r="AF1033" s="182" t="n">
        <v>0</v>
      </c>
      <c r="AG1033" s="182" t="n">
        <v>0</v>
      </c>
      <c r="AH1033" s="182" t="n">
        <v>0</v>
      </c>
      <c r="AI1033" s="182" t="n">
        <v>0</v>
      </c>
      <c r="AJ1033" s="182" t="n">
        <v>0</v>
      </c>
      <c r="AK1033" s="182" t="n">
        <v>0</v>
      </c>
      <c r="AL1033" s="182" t="n">
        <v>0</v>
      </c>
      <c r="AM1033" s="182" t="n">
        <v>0</v>
      </c>
      <c r="AN1033" s="182" t="n">
        <v>0</v>
      </c>
    </row>
    <row r="1034">
      <c r="A1034" s="155" t="n">
        <v>46086</v>
      </c>
      <c r="B1034" s="156" t="inlineStr">
        <is>
          <t>NS</t>
        </is>
      </c>
      <c r="C1034" s="156" t="inlineStr">
        <is>
          <t>EX-334</t>
        </is>
      </c>
      <c r="D1034" s="156" t="inlineStr">
        <is>
          <t>PC 300-8MO</t>
        </is>
      </c>
      <c r="E1034" s="156" t="inlineStr">
        <is>
          <t>Excavator</t>
        </is>
      </c>
      <c r="F1034" s="156" t="inlineStr">
        <is>
          <t>Loading Coal, Loading Parting &amp; Cleaning Coal</t>
        </is>
      </c>
      <c r="G1034" s="182" t="n">
        <v>10.6</v>
      </c>
      <c r="H1034" s="182" t="n">
        <v>0</v>
      </c>
      <c r="I1034" s="182" t="n">
        <v>0</v>
      </c>
      <c r="J1034" s="182" t="n">
        <v>0</v>
      </c>
      <c r="K1034" s="182" t="n">
        <v>1.4</v>
      </c>
      <c r="L1034" s="182" t="n">
        <v>12</v>
      </c>
      <c r="M1034" s="182" t="n">
        <v>0.6899999999999999</v>
      </c>
      <c r="N1034" s="182" t="n">
        <v>0.3</v>
      </c>
      <c r="O1034" s="183" t="n">
        <v>15</v>
      </c>
      <c r="P1034" s="183" t="n">
        <v>1</v>
      </c>
      <c r="Q1034" s="184" t="n">
        <v>285.6</v>
      </c>
      <c r="R1034" s="184" t="n">
        <v>18.7</v>
      </c>
      <c r="S1034" s="183" t="n">
        <v>0</v>
      </c>
      <c r="T1034" s="183" t="n">
        <v>0</v>
      </c>
      <c r="U1034" s="182" t="n">
        <v>0.24</v>
      </c>
      <c r="V1034" s="182" t="n">
        <v>0</v>
      </c>
      <c r="W1034" s="182" t="n">
        <v>0</v>
      </c>
      <c r="X1034" s="182" t="n">
        <v>1.08</v>
      </c>
      <c r="Y1034" s="182" t="n">
        <v>0</v>
      </c>
      <c r="Z1034" s="182" t="n">
        <v>0</v>
      </c>
      <c r="AA1034" s="182" t="n">
        <v>0</v>
      </c>
      <c r="AB1034" s="182" t="n">
        <v>0</v>
      </c>
      <c r="AC1034" s="182" t="n">
        <v>0</v>
      </c>
      <c r="AD1034" s="182" t="n">
        <v>0</v>
      </c>
      <c r="AE1034" s="182" t="n">
        <v>0</v>
      </c>
      <c r="AF1034" s="182" t="n">
        <v>0</v>
      </c>
      <c r="AG1034" s="182" t="n">
        <v>0</v>
      </c>
      <c r="AH1034" s="182" t="n">
        <v>0</v>
      </c>
      <c r="AI1034" s="182" t="n">
        <v>0</v>
      </c>
      <c r="AJ1034" s="182" t="n">
        <v>0</v>
      </c>
      <c r="AK1034" s="182" t="n">
        <v>0</v>
      </c>
      <c r="AL1034" s="182" t="n">
        <v>0</v>
      </c>
      <c r="AM1034" s="182" t="n">
        <v>0.09</v>
      </c>
      <c r="AN1034" s="182" t="n">
        <v>0</v>
      </c>
    </row>
    <row r="1035">
      <c r="A1035" s="155" t="n">
        <v>46086</v>
      </c>
      <c r="B1035" s="156" t="inlineStr">
        <is>
          <t>NS</t>
        </is>
      </c>
      <c r="C1035" s="156" t="inlineStr">
        <is>
          <t>EX-332</t>
        </is>
      </c>
      <c r="D1035" s="156" t="inlineStr">
        <is>
          <t>PC 300-8MO</t>
        </is>
      </c>
      <c r="E1035" s="156" t="inlineStr">
        <is>
          <t>Excavator</t>
        </is>
      </c>
      <c r="F1035" s="156" t="inlineStr">
        <is>
          <t>Cleaning Coal</t>
        </is>
      </c>
      <c r="G1035" s="182" t="n">
        <v>7.19</v>
      </c>
      <c r="H1035" s="182" t="n">
        <v>0</v>
      </c>
      <c r="I1035" s="182" t="n">
        <v>4.42</v>
      </c>
      <c r="J1035" s="182" t="n">
        <v>4.42</v>
      </c>
      <c r="K1035" s="182" t="n">
        <v>0.39</v>
      </c>
      <c r="L1035" s="182" t="n">
        <v>12</v>
      </c>
      <c r="M1035" s="182" t="n">
        <v>0</v>
      </c>
      <c r="N1035" s="182" t="n">
        <v>0</v>
      </c>
      <c r="O1035" s="183" t="n">
        <v>0</v>
      </c>
      <c r="P1035" s="183" t="n">
        <v>0</v>
      </c>
      <c r="Q1035" s="184" t="n">
        <v>0</v>
      </c>
      <c r="R1035" s="184" t="n">
        <v>0</v>
      </c>
      <c r="S1035" s="183" t="n">
        <v>0</v>
      </c>
      <c r="T1035" s="183" t="n">
        <v>0</v>
      </c>
      <c r="U1035" s="182" t="n">
        <v>0</v>
      </c>
      <c r="V1035" s="182" t="n">
        <v>0</v>
      </c>
      <c r="W1035" s="182" t="n">
        <v>0</v>
      </c>
      <c r="X1035" s="182" t="n">
        <v>0.34</v>
      </c>
      <c r="Y1035" s="182" t="n">
        <v>0</v>
      </c>
      <c r="Z1035" s="182" t="n">
        <v>0</v>
      </c>
      <c r="AA1035" s="182" t="n">
        <v>0</v>
      </c>
      <c r="AB1035" s="182" t="n">
        <v>0</v>
      </c>
      <c r="AC1035" s="182" t="n">
        <v>0</v>
      </c>
      <c r="AD1035" s="182" t="n">
        <v>0</v>
      </c>
      <c r="AE1035" s="182" t="n">
        <v>0</v>
      </c>
      <c r="AF1035" s="182" t="n">
        <v>0</v>
      </c>
      <c r="AG1035" s="182" t="n">
        <v>0</v>
      </c>
      <c r="AH1035" s="182" t="n">
        <v>0</v>
      </c>
      <c r="AI1035" s="182" t="n">
        <v>0</v>
      </c>
      <c r="AJ1035" s="182" t="n">
        <v>0</v>
      </c>
      <c r="AK1035" s="182" t="n">
        <v>0</v>
      </c>
      <c r="AL1035" s="182" t="n">
        <v>0</v>
      </c>
      <c r="AM1035" s="182" t="n">
        <v>0.05</v>
      </c>
      <c r="AN1035" s="182" t="n">
        <v>0</v>
      </c>
    </row>
    <row r="1036">
      <c r="A1036" s="155" t="n">
        <v>46086</v>
      </c>
      <c r="B1036" s="156" t="inlineStr">
        <is>
          <t>NS</t>
        </is>
      </c>
      <c r="C1036" s="156" t="inlineStr">
        <is>
          <t>EX-333</t>
        </is>
      </c>
      <c r="D1036" s="156" t="inlineStr">
        <is>
          <t>PC 300-8MO</t>
        </is>
      </c>
      <c r="E1036" s="156" t="inlineStr">
        <is>
          <t>Excavator</t>
        </is>
      </c>
      <c r="F1036" s="156" t="inlineStr"/>
      <c r="G1036" s="182" t="n">
        <v>0</v>
      </c>
      <c r="H1036" s="182" t="n">
        <v>0</v>
      </c>
      <c r="I1036" s="182" t="n">
        <v>12</v>
      </c>
      <c r="J1036" s="182" t="n">
        <v>12</v>
      </c>
      <c r="K1036" s="182" t="n">
        <v>0</v>
      </c>
      <c r="L1036" s="182" t="n">
        <v>12</v>
      </c>
      <c r="M1036" s="182" t="n">
        <v>0</v>
      </c>
      <c r="N1036" s="182" t="n">
        <v>0</v>
      </c>
      <c r="O1036" s="183" t="n">
        <v>0</v>
      </c>
      <c r="P1036" s="183" t="n">
        <v>0</v>
      </c>
      <c r="Q1036" s="184" t="n">
        <v>0</v>
      </c>
      <c r="R1036" s="184" t="n">
        <v>0</v>
      </c>
      <c r="S1036" s="183" t="n">
        <v>0</v>
      </c>
      <c r="T1036" s="183" t="n">
        <v>0</v>
      </c>
      <c r="U1036" s="182" t="n">
        <v>0</v>
      </c>
      <c r="V1036" s="182" t="n">
        <v>0</v>
      </c>
      <c r="W1036" s="182" t="n">
        <v>0</v>
      </c>
      <c r="X1036" s="182" t="n">
        <v>0</v>
      </c>
      <c r="Y1036" s="182" t="n">
        <v>0</v>
      </c>
      <c r="Z1036" s="182" t="n">
        <v>0</v>
      </c>
      <c r="AA1036" s="182" t="n">
        <v>0</v>
      </c>
      <c r="AB1036" s="182" t="n">
        <v>0</v>
      </c>
      <c r="AC1036" s="182" t="n">
        <v>0</v>
      </c>
      <c r="AD1036" s="182" t="n">
        <v>0</v>
      </c>
      <c r="AE1036" s="182" t="n">
        <v>0</v>
      </c>
      <c r="AF1036" s="182" t="n">
        <v>0</v>
      </c>
      <c r="AG1036" s="182" t="n">
        <v>0</v>
      </c>
      <c r="AH1036" s="182" t="n">
        <v>0</v>
      </c>
      <c r="AI1036" s="182" t="n">
        <v>0</v>
      </c>
      <c r="AJ1036" s="182" t="n">
        <v>0</v>
      </c>
      <c r="AK1036" s="182" t="n">
        <v>0</v>
      </c>
      <c r="AL1036" s="182" t="n">
        <v>0</v>
      </c>
      <c r="AM1036" s="182" t="n">
        <v>0</v>
      </c>
      <c r="AN1036" s="182" t="n">
        <v>0</v>
      </c>
    </row>
    <row r="1037">
      <c r="A1037" s="155" t="n">
        <v>46086</v>
      </c>
      <c r="B1037" s="156" t="inlineStr">
        <is>
          <t>NS</t>
        </is>
      </c>
      <c r="C1037" s="156" t="inlineStr">
        <is>
          <t>EX-336</t>
        </is>
      </c>
      <c r="D1037" s="156" t="inlineStr">
        <is>
          <t>PC 300-8MO</t>
        </is>
      </c>
      <c r="E1037" s="156" t="inlineStr">
        <is>
          <t>Excavator</t>
        </is>
      </c>
      <c r="F1037" s="156" t="inlineStr">
        <is>
          <t>Support Washing Plant</t>
        </is>
      </c>
      <c r="G1037" s="182" t="n">
        <v>12</v>
      </c>
      <c r="H1037" s="182" t="n">
        <v>0</v>
      </c>
      <c r="I1037" s="182" t="n">
        <v>0</v>
      </c>
      <c r="J1037" s="182" t="n">
        <v>0</v>
      </c>
      <c r="K1037" s="182" t="n">
        <v>0</v>
      </c>
      <c r="L1037" s="182" t="n">
        <v>12</v>
      </c>
      <c r="M1037" s="182" t="n">
        <v>0</v>
      </c>
      <c r="N1037" s="182" t="n">
        <v>0</v>
      </c>
      <c r="O1037" s="183" t="n">
        <v>0</v>
      </c>
      <c r="P1037" s="183" t="n">
        <v>0</v>
      </c>
      <c r="Q1037" s="184" t="n">
        <v>0</v>
      </c>
      <c r="R1037" s="184" t="n">
        <v>0</v>
      </c>
      <c r="S1037" s="183" t="n">
        <v>0</v>
      </c>
      <c r="T1037" s="183" t="n">
        <v>0</v>
      </c>
      <c r="U1037" s="182" t="n">
        <v>0</v>
      </c>
      <c r="V1037" s="182" t="n">
        <v>0</v>
      </c>
      <c r="W1037" s="182" t="n">
        <v>0</v>
      </c>
      <c r="X1037" s="182" t="n">
        <v>0</v>
      </c>
      <c r="Y1037" s="182" t="n">
        <v>0</v>
      </c>
      <c r="Z1037" s="182" t="n">
        <v>0</v>
      </c>
      <c r="AA1037" s="182" t="n">
        <v>0</v>
      </c>
      <c r="AB1037" s="182" t="n">
        <v>0</v>
      </c>
      <c r="AC1037" s="182" t="n">
        <v>0</v>
      </c>
      <c r="AD1037" s="182" t="n">
        <v>0</v>
      </c>
      <c r="AE1037" s="182" t="n">
        <v>0</v>
      </c>
      <c r="AF1037" s="182" t="n">
        <v>0</v>
      </c>
      <c r="AG1037" s="182" t="n">
        <v>0</v>
      </c>
      <c r="AH1037" s="182" t="n">
        <v>0</v>
      </c>
      <c r="AI1037" s="182" t="n">
        <v>0</v>
      </c>
      <c r="AJ1037" s="182" t="n">
        <v>0</v>
      </c>
      <c r="AK1037" s="182" t="n">
        <v>0</v>
      </c>
      <c r="AL1037" s="182" t="n">
        <v>0</v>
      </c>
      <c r="AM1037" s="182" t="n">
        <v>0</v>
      </c>
      <c r="AN1037" s="182" t="n">
        <v>0</v>
      </c>
    </row>
    <row r="1038">
      <c r="A1038" s="155" t="n">
        <v>46086</v>
      </c>
      <c r="B1038" s="156" t="inlineStr">
        <is>
          <t>NS</t>
        </is>
      </c>
      <c r="C1038" s="156" t="inlineStr">
        <is>
          <t>EX-335</t>
        </is>
      </c>
      <c r="D1038" s="156" t="inlineStr">
        <is>
          <t>PC 300-8MO</t>
        </is>
      </c>
      <c r="E1038" s="156" t="inlineStr">
        <is>
          <t>Excavator</t>
        </is>
      </c>
      <c r="F1038" s="156" t="inlineStr">
        <is>
          <t>Loading &amp; Cleaning Coal</t>
        </is>
      </c>
      <c r="G1038" s="182" t="n">
        <v>10.16</v>
      </c>
      <c r="H1038" s="182" t="n">
        <v>0</v>
      </c>
      <c r="I1038" s="182" t="n">
        <v>0.25</v>
      </c>
      <c r="J1038" s="182" t="n">
        <v>0.25</v>
      </c>
      <c r="K1038" s="182" t="n">
        <v>1.59</v>
      </c>
      <c r="L1038" s="182" t="n">
        <v>12</v>
      </c>
      <c r="M1038" s="182" t="n">
        <v>0</v>
      </c>
      <c r="N1038" s="182" t="n">
        <v>1.01</v>
      </c>
      <c r="O1038" s="183" t="n">
        <v>0</v>
      </c>
      <c r="P1038" s="183" t="n">
        <v>9</v>
      </c>
      <c r="Q1038" s="184" t="n">
        <v>0</v>
      </c>
      <c r="R1038" s="184" t="n">
        <v>168.3</v>
      </c>
      <c r="S1038" s="183" t="n">
        <v>0</v>
      </c>
      <c r="T1038" s="183" t="n">
        <v>0</v>
      </c>
      <c r="U1038" s="182" t="n">
        <v>0.55</v>
      </c>
      <c r="V1038" s="182" t="n">
        <v>0</v>
      </c>
      <c r="W1038" s="182" t="n">
        <v>0</v>
      </c>
      <c r="X1038" s="182" t="n">
        <v>0.96</v>
      </c>
      <c r="Y1038" s="182" t="n">
        <v>0</v>
      </c>
      <c r="Z1038" s="182" t="n">
        <v>0</v>
      </c>
      <c r="AA1038" s="182" t="n">
        <v>0</v>
      </c>
      <c r="AB1038" s="182" t="n">
        <v>0</v>
      </c>
      <c r="AC1038" s="182" t="n">
        <v>0</v>
      </c>
      <c r="AD1038" s="182" t="n">
        <v>0</v>
      </c>
      <c r="AE1038" s="182" t="n">
        <v>0</v>
      </c>
      <c r="AF1038" s="182" t="n">
        <v>0</v>
      </c>
      <c r="AG1038" s="182" t="n">
        <v>0</v>
      </c>
      <c r="AH1038" s="182" t="n">
        <v>0</v>
      </c>
      <c r="AI1038" s="182" t="n">
        <v>0</v>
      </c>
      <c r="AJ1038" s="182" t="n">
        <v>0</v>
      </c>
      <c r="AK1038" s="182" t="n">
        <v>0</v>
      </c>
      <c r="AL1038" s="182" t="n">
        <v>0</v>
      </c>
      <c r="AM1038" s="182" t="n">
        <v>0.08</v>
      </c>
      <c r="AN1038" s="182" t="n">
        <v>0</v>
      </c>
    </row>
    <row r="1039">
      <c r="A1039" s="155" t="n">
        <v>46086</v>
      </c>
      <c r="B1039" s="156" t="inlineStr">
        <is>
          <t>NS</t>
        </is>
      </c>
      <c r="C1039" s="156" t="inlineStr">
        <is>
          <t>EX-754</t>
        </is>
      </c>
      <c r="D1039" s="156" t="inlineStr">
        <is>
          <t>SY750H-PRO</t>
        </is>
      </c>
      <c r="E1039" s="156" t="inlineStr">
        <is>
          <t>Excavator</t>
        </is>
      </c>
      <c r="F1039" s="156" t="inlineStr">
        <is>
          <t>Loading Coal</t>
        </is>
      </c>
      <c r="G1039" s="182" t="n">
        <v>6.94</v>
      </c>
      <c r="H1039" s="182" t="n">
        <v>0</v>
      </c>
      <c r="I1039" s="182" t="n">
        <v>0</v>
      </c>
      <c r="J1039" s="182" t="n">
        <v>0</v>
      </c>
      <c r="K1039" s="182" t="n">
        <v>5.06</v>
      </c>
      <c r="L1039" s="182" t="n">
        <v>12</v>
      </c>
      <c r="M1039" s="182" t="n">
        <v>0</v>
      </c>
      <c r="N1039" s="182" t="n">
        <v>6.94</v>
      </c>
      <c r="O1039" s="183" t="n">
        <v>0</v>
      </c>
      <c r="P1039" s="183" t="n">
        <v>75</v>
      </c>
      <c r="Q1039" s="184" t="n">
        <v>0</v>
      </c>
      <c r="R1039" s="184" t="n">
        <v>1399.1</v>
      </c>
      <c r="S1039" s="183" t="n">
        <v>0</v>
      </c>
      <c r="T1039" s="183" t="n">
        <v>0</v>
      </c>
      <c r="U1039" s="182" t="n">
        <v>4</v>
      </c>
      <c r="V1039" s="182" t="n">
        <v>0</v>
      </c>
      <c r="W1039" s="182" t="n">
        <v>0</v>
      </c>
      <c r="X1039" s="182" t="n">
        <v>0.98</v>
      </c>
      <c r="Y1039" s="182" t="n">
        <v>0</v>
      </c>
      <c r="Z1039" s="182" t="n">
        <v>0</v>
      </c>
      <c r="AA1039" s="182" t="n">
        <v>0</v>
      </c>
      <c r="AB1039" s="182" t="n">
        <v>0</v>
      </c>
      <c r="AC1039" s="182" t="n">
        <v>0</v>
      </c>
      <c r="AD1039" s="182" t="n">
        <v>0</v>
      </c>
      <c r="AE1039" s="182" t="n">
        <v>0</v>
      </c>
      <c r="AF1039" s="182" t="n">
        <v>0</v>
      </c>
      <c r="AG1039" s="182" t="n">
        <v>0</v>
      </c>
      <c r="AH1039" s="182" t="n">
        <v>0</v>
      </c>
      <c r="AI1039" s="182" t="n">
        <v>0</v>
      </c>
      <c r="AJ1039" s="182" t="n">
        <v>0</v>
      </c>
      <c r="AK1039" s="182" t="n">
        <v>0</v>
      </c>
      <c r="AL1039" s="182" t="n">
        <v>0</v>
      </c>
      <c r="AM1039" s="182" t="n">
        <v>0.08</v>
      </c>
      <c r="AN1039" s="182" t="n">
        <v>0</v>
      </c>
    </row>
    <row r="1040">
      <c r="A1040" s="155" t="n">
        <v>46086</v>
      </c>
      <c r="B1040" s="156" t="inlineStr">
        <is>
          <t>NS</t>
        </is>
      </c>
      <c r="C1040" s="156" t="inlineStr">
        <is>
          <t>EX-755</t>
        </is>
      </c>
      <c r="D1040" s="156" t="inlineStr">
        <is>
          <t>SY750H-PRO</t>
        </is>
      </c>
      <c r="E1040" s="156" t="inlineStr">
        <is>
          <t>Excavator</t>
        </is>
      </c>
      <c r="F1040" s="156" t="inlineStr">
        <is>
          <t>Loading OB</t>
        </is>
      </c>
      <c r="G1040" s="182" t="n">
        <v>4.68</v>
      </c>
      <c r="H1040" s="182" t="n">
        <v>0</v>
      </c>
      <c r="I1040" s="182" t="n">
        <v>0</v>
      </c>
      <c r="J1040" s="182" t="n">
        <v>0</v>
      </c>
      <c r="K1040" s="182" t="n">
        <v>7.32</v>
      </c>
      <c r="L1040" s="182" t="n">
        <v>12</v>
      </c>
      <c r="M1040" s="182" t="n">
        <v>4.6</v>
      </c>
      <c r="N1040" s="182" t="n">
        <v>0</v>
      </c>
      <c r="O1040" s="183" t="n">
        <v>72</v>
      </c>
      <c r="P1040" s="183" t="n">
        <v>0</v>
      </c>
      <c r="Q1040" s="184" t="n">
        <v>1468.8</v>
      </c>
      <c r="R1040" s="184" t="n">
        <v>0</v>
      </c>
      <c r="S1040" s="183" t="n">
        <v>0</v>
      </c>
      <c r="T1040" s="183" t="n">
        <v>0</v>
      </c>
      <c r="U1040" s="182" t="n">
        <v>4.46</v>
      </c>
      <c r="V1040" s="182" t="n">
        <v>0</v>
      </c>
      <c r="W1040" s="182" t="n">
        <v>0</v>
      </c>
      <c r="X1040" s="182" t="n">
        <v>1.05</v>
      </c>
      <c r="Y1040" s="182" t="n">
        <v>0</v>
      </c>
      <c r="Z1040" s="182" t="n">
        <v>0</v>
      </c>
      <c r="AA1040" s="182" t="n">
        <v>0</v>
      </c>
      <c r="AB1040" s="182" t="n">
        <v>0</v>
      </c>
      <c r="AC1040" s="182" t="n">
        <v>0</v>
      </c>
      <c r="AD1040" s="182" t="n">
        <v>0</v>
      </c>
      <c r="AE1040" s="182" t="n">
        <v>0</v>
      </c>
      <c r="AF1040" s="182" t="n">
        <v>0</v>
      </c>
      <c r="AG1040" s="182" t="n">
        <v>0</v>
      </c>
      <c r="AH1040" s="182" t="n">
        <v>0</v>
      </c>
      <c r="AI1040" s="182" t="n">
        <v>1.72</v>
      </c>
      <c r="AJ1040" s="182" t="n">
        <v>0</v>
      </c>
      <c r="AK1040" s="182" t="n">
        <v>0</v>
      </c>
      <c r="AL1040" s="182" t="n">
        <v>0</v>
      </c>
      <c r="AM1040" s="182" t="n">
        <v>0.08</v>
      </c>
      <c r="AN1040" s="182" t="n">
        <v>0</v>
      </c>
    </row>
    <row r="1041">
      <c r="A1041" s="155" t="n">
        <v>46086</v>
      </c>
      <c r="B1041" s="156" t="inlineStr">
        <is>
          <t>NS</t>
        </is>
      </c>
      <c r="C1041" s="156" t="inlineStr">
        <is>
          <t>EX-752</t>
        </is>
      </c>
      <c r="D1041" s="156" t="inlineStr">
        <is>
          <t>SY750H-PRO</t>
        </is>
      </c>
      <c r="E1041" s="156" t="inlineStr">
        <is>
          <t>Excavator</t>
        </is>
      </c>
      <c r="F1041" s="156" t="inlineStr"/>
      <c r="G1041" s="182" t="n">
        <v>0</v>
      </c>
      <c r="H1041" s="182" t="n">
        <v>0</v>
      </c>
      <c r="I1041" s="182" t="n">
        <v>12</v>
      </c>
      <c r="J1041" s="182" t="n">
        <v>12</v>
      </c>
      <c r="K1041" s="182" t="n">
        <v>0</v>
      </c>
      <c r="L1041" s="182" t="n">
        <v>12</v>
      </c>
      <c r="M1041" s="182" t="n">
        <v>0</v>
      </c>
      <c r="N1041" s="182" t="n">
        <v>0</v>
      </c>
      <c r="O1041" s="183" t="n">
        <v>0</v>
      </c>
      <c r="P1041" s="183" t="n">
        <v>0</v>
      </c>
      <c r="Q1041" s="184" t="n">
        <v>0</v>
      </c>
      <c r="R1041" s="184" t="n">
        <v>0</v>
      </c>
      <c r="S1041" s="183" t="n">
        <v>0</v>
      </c>
      <c r="T1041" s="183" t="n">
        <v>0</v>
      </c>
      <c r="U1041" s="182" t="n">
        <v>0</v>
      </c>
      <c r="V1041" s="182" t="n">
        <v>0</v>
      </c>
      <c r="W1041" s="182" t="n">
        <v>0</v>
      </c>
      <c r="X1041" s="182" t="n">
        <v>0</v>
      </c>
      <c r="Y1041" s="182" t="n">
        <v>0</v>
      </c>
      <c r="Z1041" s="182" t="n">
        <v>0</v>
      </c>
      <c r="AA1041" s="182" t="n">
        <v>0</v>
      </c>
      <c r="AB1041" s="182" t="n">
        <v>0</v>
      </c>
      <c r="AC1041" s="182" t="n">
        <v>0</v>
      </c>
      <c r="AD1041" s="182" t="n">
        <v>0</v>
      </c>
      <c r="AE1041" s="182" t="n">
        <v>0</v>
      </c>
      <c r="AF1041" s="182" t="n">
        <v>0</v>
      </c>
      <c r="AG1041" s="182" t="n">
        <v>0</v>
      </c>
      <c r="AH1041" s="182" t="n">
        <v>0</v>
      </c>
      <c r="AI1041" s="182" t="n">
        <v>0</v>
      </c>
      <c r="AJ1041" s="182" t="n">
        <v>0</v>
      </c>
      <c r="AK1041" s="182" t="n">
        <v>0</v>
      </c>
      <c r="AL1041" s="182" t="n">
        <v>0</v>
      </c>
      <c r="AM1041" s="182" t="n">
        <v>0</v>
      </c>
      <c r="AN1041" s="182" t="n">
        <v>0</v>
      </c>
    </row>
    <row r="1042">
      <c r="A1042" s="155" t="n">
        <v>46086</v>
      </c>
      <c r="B1042" s="156" t="inlineStr">
        <is>
          <t>NS</t>
        </is>
      </c>
      <c r="C1042" s="156" t="inlineStr">
        <is>
          <t>EX-751</t>
        </is>
      </c>
      <c r="D1042" s="156" t="inlineStr">
        <is>
          <t>SY750H-PRO</t>
        </is>
      </c>
      <c r="E1042" s="156" t="inlineStr">
        <is>
          <t>Excavator</t>
        </is>
      </c>
      <c r="F1042" s="156" t="inlineStr"/>
      <c r="G1042" s="182" t="n">
        <v>0</v>
      </c>
      <c r="H1042" s="182" t="n">
        <v>0</v>
      </c>
      <c r="I1042" s="182" t="n">
        <v>12</v>
      </c>
      <c r="J1042" s="182" t="n">
        <v>12</v>
      </c>
      <c r="K1042" s="182" t="n">
        <v>0</v>
      </c>
      <c r="L1042" s="182" t="n">
        <v>12</v>
      </c>
      <c r="M1042" s="182" t="n">
        <v>0</v>
      </c>
      <c r="N1042" s="182" t="n">
        <v>0</v>
      </c>
      <c r="O1042" s="183" t="n">
        <v>0</v>
      </c>
      <c r="P1042" s="183" t="n">
        <v>0</v>
      </c>
      <c r="Q1042" s="184" t="n">
        <v>0</v>
      </c>
      <c r="R1042" s="184" t="n">
        <v>0</v>
      </c>
      <c r="S1042" s="183" t="n">
        <v>0</v>
      </c>
      <c r="T1042" s="183" t="n">
        <v>0</v>
      </c>
      <c r="U1042" s="182" t="n">
        <v>0</v>
      </c>
      <c r="V1042" s="182" t="n">
        <v>0</v>
      </c>
      <c r="W1042" s="182" t="n">
        <v>0</v>
      </c>
      <c r="X1042" s="182" t="n">
        <v>0</v>
      </c>
      <c r="Y1042" s="182" t="n">
        <v>0</v>
      </c>
      <c r="Z1042" s="182" t="n">
        <v>0</v>
      </c>
      <c r="AA1042" s="182" t="n">
        <v>0</v>
      </c>
      <c r="AB1042" s="182" t="n">
        <v>0</v>
      </c>
      <c r="AC1042" s="182" t="n">
        <v>0</v>
      </c>
      <c r="AD1042" s="182" t="n">
        <v>0</v>
      </c>
      <c r="AE1042" s="182" t="n">
        <v>0</v>
      </c>
      <c r="AF1042" s="182" t="n">
        <v>0</v>
      </c>
      <c r="AG1042" s="182" t="n">
        <v>0</v>
      </c>
      <c r="AH1042" s="182" t="n">
        <v>0</v>
      </c>
      <c r="AI1042" s="182" t="n">
        <v>0</v>
      </c>
      <c r="AJ1042" s="182" t="n">
        <v>0</v>
      </c>
      <c r="AK1042" s="182" t="n">
        <v>0</v>
      </c>
      <c r="AL1042" s="182" t="n">
        <v>0</v>
      </c>
      <c r="AM1042" s="182" t="n">
        <v>0</v>
      </c>
      <c r="AN1042" s="182" t="n">
        <v>0</v>
      </c>
    </row>
    <row r="1043">
      <c r="A1043" s="155" t="n">
        <v>46086</v>
      </c>
      <c r="B1043" s="156" t="inlineStr">
        <is>
          <t>NS</t>
        </is>
      </c>
      <c r="C1043" s="156" t="inlineStr">
        <is>
          <t>EX-753</t>
        </is>
      </c>
      <c r="D1043" s="156" t="inlineStr">
        <is>
          <t>SY750H-PRO</t>
        </is>
      </c>
      <c r="E1043" s="156" t="inlineStr">
        <is>
          <t>Excavator</t>
        </is>
      </c>
      <c r="F1043" s="156" t="inlineStr">
        <is>
          <t>Loading Lumpur</t>
        </is>
      </c>
      <c r="G1043" s="182" t="n">
        <v>2.03</v>
      </c>
      <c r="H1043" s="182" t="n">
        <v>0</v>
      </c>
      <c r="I1043" s="182" t="n">
        <v>0</v>
      </c>
      <c r="J1043" s="182" t="n">
        <v>0</v>
      </c>
      <c r="K1043" s="182" t="n">
        <v>9.970000000000001</v>
      </c>
      <c r="L1043" s="182" t="n">
        <v>12</v>
      </c>
      <c r="M1043" s="182" t="n">
        <v>2.03</v>
      </c>
      <c r="N1043" s="182" t="n">
        <v>0</v>
      </c>
      <c r="O1043" s="183" t="n">
        <v>12</v>
      </c>
      <c r="P1043" s="183" t="n">
        <v>0</v>
      </c>
      <c r="Q1043" s="184" t="n">
        <v>122.4</v>
      </c>
      <c r="R1043" s="184" t="n">
        <v>0</v>
      </c>
      <c r="S1043" s="183" t="n">
        <v>0</v>
      </c>
      <c r="T1043" s="183" t="n">
        <v>0</v>
      </c>
      <c r="U1043" s="182" t="n">
        <v>4.3</v>
      </c>
      <c r="V1043" s="182" t="n">
        <v>0</v>
      </c>
      <c r="W1043" s="182" t="n">
        <v>0</v>
      </c>
      <c r="X1043" s="182" t="n">
        <v>1.01</v>
      </c>
      <c r="Y1043" s="182" t="n">
        <v>0</v>
      </c>
      <c r="Z1043" s="182" t="n">
        <v>0</v>
      </c>
      <c r="AA1043" s="182" t="n">
        <v>0</v>
      </c>
      <c r="AB1043" s="182" t="n">
        <v>0</v>
      </c>
      <c r="AC1043" s="182" t="n">
        <v>0</v>
      </c>
      <c r="AD1043" s="182" t="n">
        <v>0</v>
      </c>
      <c r="AE1043" s="182" t="n">
        <v>0</v>
      </c>
      <c r="AF1043" s="182" t="n">
        <v>0</v>
      </c>
      <c r="AG1043" s="182" t="n">
        <v>0</v>
      </c>
      <c r="AH1043" s="182" t="n">
        <v>0</v>
      </c>
      <c r="AI1043" s="182" t="n">
        <v>4.58</v>
      </c>
      <c r="AJ1043" s="182" t="n">
        <v>0</v>
      </c>
      <c r="AK1043" s="182" t="n">
        <v>0</v>
      </c>
      <c r="AL1043" s="182" t="n">
        <v>0</v>
      </c>
      <c r="AM1043" s="182" t="n">
        <v>0.08</v>
      </c>
      <c r="AN1043" s="182" t="n">
        <v>0</v>
      </c>
    </row>
    <row r="1044">
      <c r="A1044" s="155" t="n">
        <v>46086</v>
      </c>
      <c r="B1044" s="156" t="inlineStr">
        <is>
          <t>NS</t>
        </is>
      </c>
      <c r="C1044" s="156" t="inlineStr">
        <is>
          <t>GD-012</t>
        </is>
      </c>
      <c r="D1044" s="156" t="inlineStr">
        <is>
          <t>STG 230C - 8S</t>
        </is>
      </c>
      <c r="E1044" s="156" t="inlineStr">
        <is>
          <t>Grader</t>
        </is>
      </c>
      <c r="F1044" s="156" t="inlineStr"/>
      <c r="G1044" s="182" t="n">
        <v>0</v>
      </c>
      <c r="H1044" s="182" t="n">
        <v>0</v>
      </c>
      <c r="I1044" s="182" t="n">
        <v>0</v>
      </c>
      <c r="J1044" s="182" t="n">
        <v>0</v>
      </c>
      <c r="K1044" s="182" t="n">
        <v>12</v>
      </c>
      <c r="L1044" s="182" t="n">
        <v>12</v>
      </c>
      <c r="M1044" s="182" t="n">
        <v>0</v>
      </c>
      <c r="N1044" s="182" t="n">
        <v>0</v>
      </c>
      <c r="O1044" s="183" t="n">
        <v>0</v>
      </c>
      <c r="P1044" s="183" t="n">
        <v>0</v>
      </c>
      <c r="Q1044" s="184" t="n">
        <v>0</v>
      </c>
      <c r="R1044" s="184" t="n">
        <v>0</v>
      </c>
      <c r="S1044" s="183" t="n">
        <v>0</v>
      </c>
      <c r="T1044" s="183" t="n">
        <v>0</v>
      </c>
      <c r="U1044" s="182" t="n">
        <v>4.25</v>
      </c>
      <c r="V1044" s="182" t="n">
        <v>0</v>
      </c>
      <c r="W1044" s="182" t="n">
        <v>0</v>
      </c>
      <c r="X1044" s="182" t="n">
        <v>1</v>
      </c>
      <c r="Y1044" s="182" t="n">
        <v>0</v>
      </c>
      <c r="Z1044" s="182" t="n">
        <v>0</v>
      </c>
      <c r="AA1044" s="182" t="n">
        <v>0</v>
      </c>
      <c r="AB1044" s="182" t="n">
        <v>0</v>
      </c>
      <c r="AC1044" s="182" t="n">
        <v>0</v>
      </c>
      <c r="AD1044" s="182" t="n">
        <v>0</v>
      </c>
      <c r="AE1044" s="182" t="n">
        <v>0</v>
      </c>
      <c r="AF1044" s="182" t="n">
        <v>0</v>
      </c>
      <c r="AG1044" s="182" t="n">
        <v>0</v>
      </c>
      <c r="AH1044" s="182" t="n">
        <v>0</v>
      </c>
      <c r="AI1044" s="182" t="n">
        <v>0</v>
      </c>
      <c r="AJ1044" s="182" t="n">
        <v>0</v>
      </c>
      <c r="AK1044" s="182" t="n">
        <v>6.67</v>
      </c>
      <c r="AL1044" s="182" t="n">
        <v>0</v>
      </c>
      <c r="AM1044" s="182" t="n">
        <v>0.08</v>
      </c>
      <c r="AN1044" s="182" t="n">
        <v>0</v>
      </c>
    </row>
    <row r="1045">
      <c r="A1045" s="155" t="n">
        <v>46086</v>
      </c>
      <c r="B1045" s="156" t="inlineStr">
        <is>
          <t>NS</t>
        </is>
      </c>
      <c r="C1045" s="156" t="inlineStr">
        <is>
          <t>GD-011</t>
        </is>
      </c>
      <c r="D1045" s="156" t="inlineStr">
        <is>
          <t>STG 230C - 8S</t>
        </is>
      </c>
      <c r="E1045" s="156" t="inlineStr">
        <is>
          <t>Grader</t>
        </is>
      </c>
      <c r="F1045" s="156" t="inlineStr"/>
      <c r="G1045" s="182" t="n">
        <v>0</v>
      </c>
      <c r="H1045" s="182" t="n">
        <v>0</v>
      </c>
      <c r="I1045" s="182" t="n">
        <v>12</v>
      </c>
      <c r="J1045" s="182" t="n">
        <v>12</v>
      </c>
      <c r="K1045" s="182" t="n">
        <v>0</v>
      </c>
      <c r="L1045" s="182" t="n">
        <v>12</v>
      </c>
      <c r="M1045" s="182" t="n">
        <v>0</v>
      </c>
      <c r="N1045" s="182" t="n">
        <v>0</v>
      </c>
      <c r="O1045" s="183" t="n">
        <v>0</v>
      </c>
      <c r="P1045" s="183" t="n">
        <v>0</v>
      </c>
      <c r="Q1045" s="184" t="n">
        <v>0</v>
      </c>
      <c r="R1045" s="184" t="n">
        <v>0</v>
      </c>
      <c r="S1045" s="183" t="n">
        <v>0</v>
      </c>
      <c r="T1045" s="183" t="n">
        <v>0</v>
      </c>
      <c r="U1045" s="182" t="n">
        <v>0</v>
      </c>
      <c r="V1045" s="182" t="n">
        <v>0</v>
      </c>
      <c r="W1045" s="182" t="n">
        <v>0</v>
      </c>
      <c r="X1045" s="182" t="n">
        <v>0</v>
      </c>
      <c r="Y1045" s="182" t="n">
        <v>0</v>
      </c>
      <c r="Z1045" s="182" t="n">
        <v>0</v>
      </c>
      <c r="AA1045" s="182" t="n">
        <v>0</v>
      </c>
      <c r="AB1045" s="182" t="n">
        <v>0</v>
      </c>
      <c r="AC1045" s="182" t="n">
        <v>0</v>
      </c>
      <c r="AD1045" s="182" t="n">
        <v>0</v>
      </c>
      <c r="AE1045" s="182" t="n">
        <v>0</v>
      </c>
      <c r="AF1045" s="182" t="n">
        <v>0</v>
      </c>
      <c r="AG1045" s="182" t="n">
        <v>0</v>
      </c>
      <c r="AH1045" s="182" t="n">
        <v>0</v>
      </c>
      <c r="AI1045" s="182" t="n">
        <v>0</v>
      </c>
      <c r="AJ1045" s="182" t="n">
        <v>0</v>
      </c>
      <c r="AK1045" s="182" t="n">
        <v>0</v>
      </c>
      <c r="AL1045" s="182" t="n">
        <v>0</v>
      </c>
      <c r="AM1045" s="182" t="n">
        <v>0</v>
      </c>
      <c r="AN1045" s="182" t="n">
        <v>0</v>
      </c>
    </row>
    <row r="1046">
      <c r="A1046" s="155" t="n">
        <v>46086</v>
      </c>
      <c r="B1046" s="156" t="inlineStr">
        <is>
          <t>NS</t>
        </is>
      </c>
      <c r="C1046" s="156" t="inlineStr">
        <is>
          <t>GD-013</t>
        </is>
      </c>
      <c r="D1046" s="156" t="inlineStr">
        <is>
          <t>STG 265C - 10</t>
        </is>
      </c>
      <c r="E1046" s="156" t="inlineStr">
        <is>
          <t>Grader</t>
        </is>
      </c>
      <c r="F1046" s="156" t="inlineStr"/>
      <c r="G1046" s="182" t="n">
        <v>0</v>
      </c>
      <c r="H1046" s="182" t="n">
        <v>0</v>
      </c>
      <c r="I1046" s="182" t="n">
        <v>0</v>
      </c>
      <c r="J1046" s="182" t="n">
        <v>0</v>
      </c>
      <c r="K1046" s="182" t="n">
        <v>12</v>
      </c>
      <c r="L1046" s="182" t="n">
        <v>12</v>
      </c>
      <c r="M1046" s="182" t="n">
        <v>0</v>
      </c>
      <c r="N1046" s="182" t="n">
        <v>0</v>
      </c>
      <c r="O1046" s="183" t="n">
        <v>0</v>
      </c>
      <c r="P1046" s="183" t="n">
        <v>0</v>
      </c>
      <c r="Q1046" s="184" t="n">
        <v>0</v>
      </c>
      <c r="R1046" s="184" t="n">
        <v>0</v>
      </c>
      <c r="S1046" s="183" t="n">
        <v>0</v>
      </c>
      <c r="T1046" s="183" t="n">
        <v>0</v>
      </c>
      <c r="U1046" s="182" t="n">
        <v>4.25</v>
      </c>
      <c r="V1046" s="182" t="n">
        <v>0</v>
      </c>
      <c r="W1046" s="182" t="n">
        <v>0</v>
      </c>
      <c r="X1046" s="182" t="n">
        <v>1</v>
      </c>
      <c r="Y1046" s="182" t="n">
        <v>0</v>
      </c>
      <c r="Z1046" s="182" t="n">
        <v>0</v>
      </c>
      <c r="AA1046" s="182" t="n">
        <v>0</v>
      </c>
      <c r="AB1046" s="182" t="n">
        <v>0</v>
      </c>
      <c r="AC1046" s="182" t="n">
        <v>0</v>
      </c>
      <c r="AD1046" s="182" t="n">
        <v>0</v>
      </c>
      <c r="AE1046" s="182" t="n">
        <v>0</v>
      </c>
      <c r="AF1046" s="182" t="n">
        <v>0</v>
      </c>
      <c r="AG1046" s="182" t="n">
        <v>0</v>
      </c>
      <c r="AH1046" s="182" t="n">
        <v>0</v>
      </c>
      <c r="AI1046" s="182" t="n">
        <v>0</v>
      </c>
      <c r="AJ1046" s="182" t="n">
        <v>0</v>
      </c>
      <c r="AK1046" s="182" t="n">
        <v>6.67</v>
      </c>
      <c r="AL1046" s="182" t="n">
        <v>0</v>
      </c>
      <c r="AM1046" s="182" t="n">
        <v>0.08</v>
      </c>
      <c r="AN1046" s="182" t="n">
        <v>0</v>
      </c>
    </row>
    <row r="1047">
      <c r="A1047" s="155" t="n">
        <v>46086</v>
      </c>
      <c r="B1047" s="156" t="inlineStr">
        <is>
          <t>NS</t>
        </is>
      </c>
      <c r="C1047" s="156" t="inlineStr">
        <is>
          <t>GD-014</t>
        </is>
      </c>
      <c r="D1047" s="156" t="inlineStr">
        <is>
          <t>STG 335C - 10</t>
        </is>
      </c>
      <c r="E1047" s="156" t="inlineStr">
        <is>
          <t>Grader</t>
        </is>
      </c>
      <c r="F1047" s="156" t="inlineStr">
        <is>
          <t>Road Maintenance</t>
        </is>
      </c>
      <c r="G1047" s="182" t="n">
        <v>7.25</v>
      </c>
      <c r="H1047" s="182" t="n">
        <v>0</v>
      </c>
      <c r="I1047" s="182" t="n">
        <v>0</v>
      </c>
      <c r="J1047" s="182" t="n">
        <v>0</v>
      </c>
      <c r="K1047" s="182" t="n">
        <v>4.75</v>
      </c>
      <c r="L1047" s="182" t="n">
        <v>12</v>
      </c>
      <c r="M1047" s="182" t="n">
        <v>0</v>
      </c>
      <c r="N1047" s="182" t="n">
        <v>0</v>
      </c>
      <c r="O1047" s="183" t="n">
        <v>0</v>
      </c>
      <c r="P1047" s="183" t="n">
        <v>0</v>
      </c>
      <c r="Q1047" s="184" t="n">
        <v>0</v>
      </c>
      <c r="R1047" s="184" t="n">
        <v>0</v>
      </c>
      <c r="S1047" s="183" t="n">
        <v>0</v>
      </c>
      <c r="T1047" s="183" t="n">
        <v>0</v>
      </c>
      <c r="U1047" s="182" t="n">
        <v>3.56</v>
      </c>
      <c r="V1047" s="182" t="n">
        <v>0</v>
      </c>
      <c r="W1047" s="182" t="n">
        <v>0</v>
      </c>
      <c r="X1047" s="182" t="n">
        <v>1.1</v>
      </c>
      <c r="Y1047" s="182" t="n">
        <v>0</v>
      </c>
      <c r="Z1047" s="182" t="n">
        <v>0</v>
      </c>
      <c r="AA1047" s="182" t="n">
        <v>0</v>
      </c>
      <c r="AB1047" s="182" t="n">
        <v>0</v>
      </c>
      <c r="AC1047" s="182" t="n">
        <v>0</v>
      </c>
      <c r="AD1047" s="182" t="n">
        <v>0</v>
      </c>
      <c r="AE1047" s="182" t="n">
        <v>0</v>
      </c>
      <c r="AF1047" s="182" t="n">
        <v>0</v>
      </c>
      <c r="AG1047" s="182" t="n">
        <v>0</v>
      </c>
      <c r="AH1047" s="182" t="n">
        <v>0</v>
      </c>
      <c r="AI1047" s="182" t="n">
        <v>0</v>
      </c>
      <c r="AJ1047" s="182" t="n">
        <v>0</v>
      </c>
      <c r="AK1047" s="182" t="n">
        <v>0</v>
      </c>
      <c r="AL1047" s="182" t="n">
        <v>0</v>
      </c>
      <c r="AM1047" s="182" t="n">
        <v>0.09</v>
      </c>
      <c r="AN1047" s="182" t="n">
        <v>0</v>
      </c>
    </row>
    <row r="1048">
      <c r="A1048" s="155" t="n">
        <v>46086</v>
      </c>
      <c r="B1048" s="156" t="inlineStr">
        <is>
          <t>NS</t>
        </is>
      </c>
      <c r="C1048" s="156" t="inlineStr">
        <is>
          <t>DT-809</t>
        </is>
      </c>
      <c r="D1048" s="156" t="inlineStr">
        <is>
          <t>SKT 80S</t>
        </is>
      </c>
      <c r="E1048" s="156" t="inlineStr">
        <is>
          <t>Hauler</t>
        </is>
      </c>
      <c r="F1048" s="156" t="inlineStr"/>
      <c r="G1048" s="182" t="n">
        <v>0</v>
      </c>
      <c r="H1048" s="182" t="n">
        <v>0</v>
      </c>
      <c r="I1048" s="182" t="n">
        <v>0</v>
      </c>
      <c r="J1048" s="182" t="n">
        <v>0</v>
      </c>
      <c r="K1048" s="182" t="n">
        <v>12</v>
      </c>
      <c r="L1048" s="182" t="n">
        <v>12</v>
      </c>
      <c r="M1048" s="182" t="n">
        <v>0</v>
      </c>
      <c r="N1048" s="182" t="n">
        <v>0</v>
      </c>
      <c r="O1048" s="183" t="n">
        <v>0</v>
      </c>
      <c r="P1048" s="183" t="n">
        <v>0</v>
      </c>
      <c r="Q1048" s="184" t="n">
        <v>0</v>
      </c>
      <c r="R1048" s="184" t="n">
        <v>0</v>
      </c>
      <c r="S1048" s="183" t="n">
        <v>0</v>
      </c>
      <c r="T1048" s="183" t="n">
        <v>0</v>
      </c>
      <c r="U1048" s="182" t="n">
        <v>4.25</v>
      </c>
      <c r="V1048" s="182" t="n">
        <v>0</v>
      </c>
      <c r="W1048" s="182" t="n">
        <v>0</v>
      </c>
      <c r="X1048" s="182" t="n">
        <v>1</v>
      </c>
      <c r="Y1048" s="182" t="n">
        <v>0</v>
      </c>
      <c r="Z1048" s="182" t="n">
        <v>0</v>
      </c>
      <c r="AA1048" s="182" t="n">
        <v>0</v>
      </c>
      <c r="AB1048" s="182" t="n">
        <v>0</v>
      </c>
      <c r="AC1048" s="182" t="n">
        <v>0</v>
      </c>
      <c r="AD1048" s="182" t="n">
        <v>0</v>
      </c>
      <c r="AE1048" s="182" t="n">
        <v>0</v>
      </c>
      <c r="AF1048" s="182" t="n">
        <v>0</v>
      </c>
      <c r="AG1048" s="182" t="n">
        <v>0</v>
      </c>
      <c r="AH1048" s="182" t="n">
        <v>0</v>
      </c>
      <c r="AI1048" s="182" t="n">
        <v>0</v>
      </c>
      <c r="AJ1048" s="182" t="n">
        <v>0</v>
      </c>
      <c r="AK1048" s="182" t="n">
        <v>6.67</v>
      </c>
      <c r="AL1048" s="182" t="n">
        <v>0</v>
      </c>
      <c r="AM1048" s="182" t="n">
        <v>0.08</v>
      </c>
      <c r="AN1048" s="182" t="n">
        <v>0</v>
      </c>
    </row>
    <row r="1049">
      <c r="A1049" s="155" t="n">
        <v>46086</v>
      </c>
      <c r="B1049" s="156" t="inlineStr">
        <is>
          <t>NS</t>
        </is>
      </c>
      <c r="C1049" s="156" t="inlineStr">
        <is>
          <t>DT-806</t>
        </is>
      </c>
      <c r="D1049" s="156" t="inlineStr">
        <is>
          <t>SKT 80S</t>
        </is>
      </c>
      <c r="E1049" s="156" t="inlineStr">
        <is>
          <t>Hauler</t>
        </is>
      </c>
      <c r="F1049" s="156" t="inlineStr"/>
      <c r="G1049" s="182" t="n">
        <v>0</v>
      </c>
      <c r="H1049" s="182" t="n">
        <v>0</v>
      </c>
      <c r="I1049" s="182" t="n">
        <v>0</v>
      </c>
      <c r="J1049" s="182" t="n">
        <v>0</v>
      </c>
      <c r="K1049" s="182" t="n">
        <v>12</v>
      </c>
      <c r="L1049" s="182" t="n">
        <v>12</v>
      </c>
      <c r="M1049" s="182" t="n">
        <v>0</v>
      </c>
      <c r="N1049" s="182" t="n">
        <v>0</v>
      </c>
      <c r="O1049" s="183" t="n">
        <v>0</v>
      </c>
      <c r="P1049" s="183" t="n">
        <v>0</v>
      </c>
      <c r="Q1049" s="184" t="n">
        <v>0</v>
      </c>
      <c r="R1049" s="184" t="n">
        <v>0</v>
      </c>
      <c r="S1049" s="183" t="n">
        <v>0</v>
      </c>
      <c r="T1049" s="183" t="n">
        <v>0</v>
      </c>
      <c r="U1049" s="182" t="n">
        <v>4.25</v>
      </c>
      <c r="V1049" s="182" t="n">
        <v>0</v>
      </c>
      <c r="W1049" s="182" t="n">
        <v>0</v>
      </c>
      <c r="X1049" s="182" t="n">
        <v>1</v>
      </c>
      <c r="Y1049" s="182" t="n">
        <v>0</v>
      </c>
      <c r="Z1049" s="182" t="n">
        <v>0</v>
      </c>
      <c r="AA1049" s="182" t="n">
        <v>0</v>
      </c>
      <c r="AB1049" s="182" t="n">
        <v>0</v>
      </c>
      <c r="AC1049" s="182" t="n">
        <v>0</v>
      </c>
      <c r="AD1049" s="182" t="n">
        <v>0</v>
      </c>
      <c r="AE1049" s="182" t="n">
        <v>0</v>
      </c>
      <c r="AF1049" s="182" t="n">
        <v>0</v>
      </c>
      <c r="AG1049" s="182" t="n">
        <v>0</v>
      </c>
      <c r="AH1049" s="182" t="n">
        <v>0</v>
      </c>
      <c r="AI1049" s="182" t="n">
        <v>0</v>
      </c>
      <c r="AJ1049" s="182" t="n">
        <v>0</v>
      </c>
      <c r="AK1049" s="182" t="n">
        <v>6.67</v>
      </c>
      <c r="AL1049" s="182" t="n">
        <v>0</v>
      </c>
      <c r="AM1049" s="182" t="n">
        <v>0.08</v>
      </c>
      <c r="AN1049" s="182" t="n">
        <v>0</v>
      </c>
    </row>
    <row r="1050">
      <c r="A1050" s="155" t="n">
        <v>46086</v>
      </c>
      <c r="B1050" s="156" t="inlineStr">
        <is>
          <t>NS</t>
        </is>
      </c>
      <c r="C1050" s="156" t="inlineStr">
        <is>
          <t>DT-805</t>
        </is>
      </c>
      <c r="D1050" s="156" t="inlineStr">
        <is>
          <t>SKT 80S</t>
        </is>
      </c>
      <c r="E1050" s="156" t="inlineStr">
        <is>
          <t>Hauler</t>
        </is>
      </c>
      <c r="F1050" s="156" t="inlineStr"/>
      <c r="G1050" s="182" t="n">
        <v>0</v>
      </c>
      <c r="H1050" s="182" t="n">
        <v>0</v>
      </c>
      <c r="I1050" s="182" t="n">
        <v>0</v>
      </c>
      <c r="J1050" s="182" t="n">
        <v>0</v>
      </c>
      <c r="K1050" s="182" t="n">
        <v>12</v>
      </c>
      <c r="L1050" s="182" t="n">
        <v>12</v>
      </c>
      <c r="M1050" s="182" t="n">
        <v>0</v>
      </c>
      <c r="N1050" s="182" t="n">
        <v>0</v>
      </c>
      <c r="O1050" s="183" t="n">
        <v>0</v>
      </c>
      <c r="P1050" s="183" t="n">
        <v>0</v>
      </c>
      <c r="Q1050" s="184" t="n">
        <v>0</v>
      </c>
      <c r="R1050" s="184" t="n">
        <v>0</v>
      </c>
      <c r="S1050" s="183" t="n">
        <v>0</v>
      </c>
      <c r="T1050" s="183" t="n">
        <v>0</v>
      </c>
      <c r="U1050" s="182" t="n">
        <v>4.25</v>
      </c>
      <c r="V1050" s="182" t="n">
        <v>0</v>
      </c>
      <c r="W1050" s="182" t="n">
        <v>0</v>
      </c>
      <c r="X1050" s="182" t="n">
        <v>1</v>
      </c>
      <c r="Y1050" s="182" t="n">
        <v>0</v>
      </c>
      <c r="Z1050" s="182" t="n">
        <v>0</v>
      </c>
      <c r="AA1050" s="182" t="n">
        <v>0</v>
      </c>
      <c r="AB1050" s="182" t="n">
        <v>0</v>
      </c>
      <c r="AC1050" s="182" t="n">
        <v>0</v>
      </c>
      <c r="AD1050" s="182" t="n">
        <v>0</v>
      </c>
      <c r="AE1050" s="182" t="n">
        <v>0</v>
      </c>
      <c r="AF1050" s="182" t="n">
        <v>0</v>
      </c>
      <c r="AG1050" s="182" t="n">
        <v>0</v>
      </c>
      <c r="AH1050" s="182" t="n">
        <v>0</v>
      </c>
      <c r="AI1050" s="182" t="n">
        <v>0</v>
      </c>
      <c r="AJ1050" s="182" t="n">
        <v>0</v>
      </c>
      <c r="AK1050" s="182" t="n">
        <v>6.67</v>
      </c>
      <c r="AL1050" s="182" t="n">
        <v>0</v>
      </c>
      <c r="AM1050" s="182" t="n">
        <v>0.08</v>
      </c>
      <c r="AN1050" s="182" t="n">
        <v>0</v>
      </c>
    </row>
    <row r="1051">
      <c r="A1051" s="155" t="n">
        <v>46086</v>
      </c>
      <c r="B1051" s="156" t="inlineStr">
        <is>
          <t>NS</t>
        </is>
      </c>
      <c r="C1051" s="156" t="inlineStr">
        <is>
          <t>DT-801</t>
        </is>
      </c>
      <c r="D1051" s="156" t="inlineStr">
        <is>
          <t>SKT 80S</t>
        </is>
      </c>
      <c r="E1051" s="156" t="inlineStr">
        <is>
          <t>Hauler</t>
        </is>
      </c>
      <c r="F1051" s="156" t="inlineStr"/>
      <c r="G1051" s="182" t="n">
        <v>0</v>
      </c>
      <c r="H1051" s="182" t="n">
        <v>0</v>
      </c>
      <c r="I1051" s="182" t="n">
        <v>0</v>
      </c>
      <c r="J1051" s="182" t="n">
        <v>0</v>
      </c>
      <c r="K1051" s="182" t="n">
        <v>12</v>
      </c>
      <c r="L1051" s="182" t="n">
        <v>12</v>
      </c>
      <c r="M1051" s="182" t="n">
        <v>0</v>
      </c>
      <c r="N1051" s="182" t="n">
        <v>0</v>
      </c>
      <c r="O1051" s="183" t="n">
        <v>0</v>
      </c>
      <c r="P1051" s="183" t="n">
        <v>0</v>
      </c>
      <c r="Q1051" s="184" t="n">
        <v>0</v>
      </c>
      <c r="R1051" s="184" t="n">
        <v>0</v>
      </c>
      <c r="S1051" s="183" t="n">
        <v>0</v>
      </c>
      <c r="T1051" s="183" t="n">
        <v>0</v>
      </c>
      <c r="U1051" s="182" t="n">
        <v>4.25</v>
      </c>
      <c r="V1051" s="182" t="n">
        <v>0</v>
      </c>
      <c r="W1051" s="182" t="n">
        <v>0</v>
      </c>
      <c r="X1051" s="182" t="n">
        <v>1</v>
      </c>
      <c r="Y1051" s="182" t="n">
        <v>0</v>
      </c>
      <c r="Z1051" s="182" t="n">
        <v>0</v>
      </c>
      <c r="AA1051" s="182" t="n">
        <v>0</v>
      </c>
      <c r="AB1051" s="182" t="n">
        <v>0</v>
      </c>
      <c r="AC1051" s="182" t="n">
        <v>0</v>
      </c>
      <c r="AD1051" s="182" t="n">
        <v>0</v>
      </c>
      <c r="AE1051" s="182" t="n">
        <v>0</v>
      </c>
      <c r="AF1051" s="182" t="n">
        <v>0</v>
      </c>
      <c r="AG1051" s="182" t="n">
        <v>0</v>
      </c>
      <c r="AH1051" s="182" t="n">
        <v>0</v>
      </c>
      <c r="AI1051" s="182" t="n">
        <v>0</v>
      </c>
      <c r="AJ1051" s="182" t="n">
        <v>0</v>
      </c>
      <c r="AK1051" s="182" t="n">
        <v>6.67</v>
      </c>
      <c r="AL1051" s="182" t="n">
        <v>0</v>
      </c>
      <c r="AM1051" s="182" t="n">
        <v>0.08</v>
      </c>
      <c r="AN1051" s="182" t="n">
        <v>0</v>
      </c>
    </row>
    <row r="1052">
      <c r="A1052" s="155" t="n">
        <v>46086</v>
      </c>
      <c r="B1052" s="156" t="inlineStr">
        <is>
          <t>NS</t>
        </is>
      </c>
      <c r="C1052" s="156" t="inlineStr">
        <is>
          <t>DT-808</t>
        </is>
      </c>
      <c r="D1052" s="156" t="inlineStr">
        <is>
          <t>SKT 80S</t>
        </is>
      </c>
      <c r="E1052" s="156" t="inlineStr">
        <is>
          <t>Hauler</t>
        </is>
      </c>
      <c r="F1052" s="156" t="inlineStr"/>
      <c r="G1052" s="182" t="n">
        <v>0</v>
      </c>
      <c r="H1052" s="182" t="n">
        <v>0</v>
      </c>
      <c r="I1052" s="182" t="n">
        <v>0</v>
      </c>
      <c r="J1052" s="182" t="n">
        <v>0</v>
      </c>
      <c r="K1052" s="182" t="n">
        <v>12</v>
      </c>
      <c r="L1052" s="182" t="n">
        <v>12</v>
      </c>
      <c r="M1052" s="182" t="n">
        <v>0</v>
      </c>
      <c r="N1052" s="182" t="n">
        <v>0</v>
      </c>
      <c r="O1052" s="183" t="n">
        <v>0</v>
      </c>
      <c r="P1052" s="183" t="n">
        <v>0</v>
      </c>
      <c r="Q1052" s="184" t="n">
        <v>0</v>
      </c>
      <c r="R1052" s="184" t="n">
        <v>0</v>
      </c>
      <c r="S1052" s="183" t="n">
        <v>0</v>
      </c>
      <c r="T1052" s="183" t="n">
        <v>0</v>
      </c>
      <c r="U1052" s="182" t="n">
        <v>4.25</v>
      </c>
      <c r="V1052" s="182" t="n">
        <v>0</v>
      </c>
      <c r="W1052" s="182" t="n">
        <v>0</v>
      </c>
      <c r="X1052" s="182" t="n">
        <v>1</v>
      </c>
      <c r="Y1052" s="182" t="n">
        <v>0</v>
      </c>
      <c r="Z1052" s="182" t="n">
        <v>0</v>
      </c>
      <c r="AA1052" s="182" t="n">
        <v>0</v>
      </c>
      <c r="AB1052" s="182" t="n">
        <v>0</v>
      </c>
      <c r="AC1052" s="182" t="n">
        <v>0</v>
      </c>
      <c r="AD1052" s="182" t="n">
        <v>0</v>
      </c>
      <c r="AE1052" s="182" t="n">
        <v>0</v>
      </c>
      <c r="AF1052" s="182" t="n">
        <v>0</v>
      </c>
      <c r="AG1052" s="182" t="n">
        <v>0</v>
      </c>
      <c r="AH1052" s="182" t="n">
        <v>0</v>
      </c>
      <c r="AI1052" s="182" t="n">
        <v>0</v>
      </c>
      <c r="AJ1052" s="182" t="n">
        <v>0</v>
      </c>
      <c r="AK1052" s="182" t="n">
        <v>6.67</v>
      </c>
      <c r="AL1052" s="182" t="n">
        <v>0</v>
      </c>
      <c r="AM1052" s="182" t="n">
        <v>0.08</v>
      </c>
      <c r="AN1052" s="182" t="n">
        <v>0</v>
      </c>
    </row>
    <row r="1053">
      <c r="A1053" s="155" t="n">
        <v>46086</v>
      </c>
      <c r="B1053" s="156" t="inlineStr">
        <is>
          <t>NS</t>
        </is>
      </c>
      <c r="C1053" s="156" t="inlineStr">
        <is>
          <t>DT-811</t>
        </is>
      </c>
      <c r="D1053" s="156" t="inlineStr">
        <is>
          <t>SKT 80S</t>
        </is>
      </c>
      <c r="E1053" s="156" t="inlineStr">
        <is>
          <t>Hauler</t>
        </is>
      </c>
      <c r="F1053" s="156" t="inlineStr"/>
      <c r="G1053" s="182" t="n">
        <v>0</v>
      </c>
      <c r="H1053" s="182" t="n">
        <v>0</v>
      </c>
      <c r="I1053" s="182" t="n">
        <v>12</v>
      </c>
      <c r="J1053" s="182" t="n">
        <v>12</v>
      </c>
      <c r="K1053" s="182" t="n">
        <v>0</v>
      </c>
      <c r="L1053" s="182" t="n">
        <v>12</v>
      </c>
      <c r="M1053" s="182" t="n">
        <v>0</v>
      </c>
      <c r="N1053" s="182" t="n">
        <v>0</v>
      </c>
      <c r="O1053" s="183" t="n">
        <v>0</v>
      </c>
      <c r="P1053" s="183" t="n">
        <v>0</v>
      </c>
      <c r="Q1053" s="184" t="n">
        <v>0</v>
      </c>
      <c r="R1053" s="184" t="n">
        <v>0</v>
      </c>
      <c r="S1053" s="183" t="n">
        <v>0</v>
      </c>
      <c r="T1053" s="183" t="n">
        <v>0</v>
      </c>
      <c r="U1053" s="182" t="n">
        <v>0</v>
      </c>
      <c r="V1053" s="182" t="n">
        <v>0</v>
      </c>
      <c r="W1053" s="182" t="n">
        <v>0</v>
      </c>
      <c r="X1053" s="182" t="n">
        <v>0</v>
      </c>
      <c r="Y1053" s="182" t="n">
        <v>0</v>
      </c>
      <c r="Z1053" s="182" t="n">
        <v>0</v>
      </c>
      <c r="AA1053" s="182" t="n">
        <v>0</v>
      </c>
      <c r="AB1053" s="182" t="n">
        <v>0</v>
      </c>
      <c r="AC1053" s="182" t="n">
        <v>0</v>
      </c>
      <c r="AD1053" s="182" t="n">
        <v>0</v>
      </c>
      <c r="AE1053" s="182" t="n">
        <v>0</v>
      </c>
      <c r="AF1053" s="182" t="n">
        <v>0</v>
      </c>
      <c r="AG1053" s="182" t="n">
        <v>0</v>
      </c>
      <c r="AH1053" s="182" t="n">
        <v>0</v>
      </c>
      <c r="AI1053" s="182" t="n">
        <v>0</v>
      </c>
      <c r="AJ1053" s="182" t="n">
        <v>0</v>
      </c>
      <c r="AK1053" s="182" t="n">
        <v>0</v>
      </c>
      <c r="AL1053" s="182" t="n">
        <v>0</v>
      </c>
      <c r="AM1053" s="182" t="n">
        <v>0</v>
      </c>
      <c r="AN1053" s="182" t="n">
        <v>0</v>
      </c>
    </row>
    <row r="1054">
      <c r="A1054" s="155" t="n">
        <v>46086</v>
      </c>
      <c r="B1054" s="156" t="inlineStr">
        <is>
          <t>NS</t>
        </is>
      </c>
      <c r="C1054" s="156" t="inlineStr">
        <is>
          <t>DT-802</t>
        </is>
      </c>
      <c r="D1054" s="156" t="inlineStr">
        <is>
          <t>SKT 80S</t>
        </is>
      </c>
      <c r="E1054" s="156" t="inlineStr">
        <is>
          <t>Hauler</t>
        </is>
      </c>
      <c r="F1054" s="156" t="inlineStr"/>
      <c r="G1054" s="182" t="n">
        <v>0</v>
      </c>
      <c r="H1054" s="182" t="n">
        <v>0</v>
      </c>
      <c r="I1054" s="182" t="n">
        <v>12</v>
      </c>
      <c r="J1054" s="182" t="n">
        <v>12</v>
      </c>
      <c r="K1054" s="182" t="n">
        <v>0</v>
      </c>
      <c r="L1054" s="182" t="n">
        <v>12</v>
      </c>
      <c r="M1054" s="182" t="n">
        <v>0</v>
      </c>
      <c r="N1054" s="182" t="n">
        <v>0</v>
      </c>
      <c r="O1054" s="183" t="n">
        <v>0</v>
      </c>
      <c r="P1054" s="183" t="n">
        <v>0</v>
      </c>
      <c r="Q1054" s="184" t="n">
        <v>0</v>
      </c>
      <c r="R1054" s="184" t="n">
        <v>0</v>
      </c>
      <c r="S1054" s="183" t="n">
        <v>0</v>
      </c>
      <c r="T1054" s="183" t="n">
        <v>0</v>
      </c>
      <c r="U1054" s="182" t="n">
        <v>0</v>
      </c>
      <c r="V1054" s="182" t="n">
        <v>0</v>
      </c>
      <c r="W1054" s="182" t="n">
        <v>0</v>
      </c>
      <c r="X1054" s="182" t="n">
        <v>0</v>
      </c>
      <c r="Y1054" s="182" t="n">
        <v>0</v>
      </c>
      <c r="Z1054" s="182" t="n">
        <v>0</v>
      </c>
      <c r="AA1054" s="182" t="n">
        <v>0</v>
      </c>
      <c r="AB1054" s="182" t="n">
        <v>0</v>
      </c>
      <c r="AC1054" s="182" t="n">
        <v>0</v>
      </c>
      <c r="AD1054" s="182" t="n">
        <v>0</v>
      </c>
      <c r="AE1054" s="182" t="n">
        <v>0</v>
      </c>
      <c r="AF1054" s="182" t="n">
        <v>0</v>
      </c>
      <c r="AG1054" s="182" t="n">
        <v>0</v>
      </c>
      <c r="AH1054" s="182" t="n">
        <v>0</v>
      </c>
      <c r="AI1054" s="182" t="n">
        <v>0</v>
      </c>
      <c r="AJ1054" s="182" t="n">
        <v>0</v>
      </c>
      <c r="AK1054" s="182" t="n">
        <v>0</v>
      </c>
      <c r="AL1054" s="182" t="n">
        <v>0</v>
      </c>
      <c r="AM1054" s="182" t="n">
        <v>0</v>
      </c>
      <c r="AN1054" s="182" t="n">
        <v>0</v>
      </c>
    </row>
    <row r="1055">
      <c r="A1055" s="155" t="n">
        <v>46086</v>
      </c>
      <c r="B1055" s="156" t="inlineStr">
        <is>
          <t>NS</t>
        </is>
      </c>
      <c r="C1055" s="156" t="inlineStr">
        <is>
          <t>DT-807</t>
        </is>
      </c>
      <c r="D1055" s="156" t="inlineStr">
        <is>
          <t>SKT 80S</t>
        </is>
      </c>
      <c r="E1055" s="156" t="inlineStr">
        <is>
          <t>Hauler</t>
        </is>
      </c>
      <c r="F1055" s="156" t="inlineStr"/>
      <c r="G1055" s="182" t="n">
        <v>0</v>
      </c>
      <c r="H1055" s="182" t="n">
        <v>0</v>
      </c>
      <c r="I1055" s="182" t="n">
        <v>0</v>
      </c>
      <c r="J1055" s="182" t="n">
        <v>0</v>
      </c>
      <c r="K1055" s="182" t="n">
        <v>12</v>
      </c>
      <c r="L1055" s="182" t="n">
        <v>12</v>
      </c>
      <c r="M1055" s="182" t="n">
        <v>0</v>
      </c>
      <c r="N1055" s="182" t="n">
        <v>0</v>
      </c>
      <c r="O1055" s="183" t="n">
        <v>0</v>
      </c>
      <c r="P1055" s="183" t="n">
        <v>0</v>
      </c>
      <c r="Q1055" s="184" t="n">
        <v>0</v>
      </c>
      <c r="R1055" s="184" t="n">
        <v>0</v>
      </c>
      <c r="S1055" s="183" t="n">
        <v>0</v>
      </c>
      <c r="T1055" s="183" t="n">
        <v>0</v>
      </c>
      <c r="U1055" s="182" t="n">
        <v>4.25</v>
      </c>
      <c r="V1055" s="182" t="n">
        <v>0</v>
      </c>
      <c r="W1055" s="182" t="n">
        <v>0</v>
      </c>
      <c r="X1055" s="182" t="n">
        <v>1</v>
      </c>
      <c r="Y1055" s="182" t="n">
        <v>0</v>
      </c>
      <c r="Z1055" s="182" t="n">
        <v>0</v>
      </c>
      <c r="AA1055" s="182" t="n">
        <v>0</v>
      </c>
      <c r="AB1055" s="182" t="n">
        <v>0</v>
      </c>
      <c r="AC1055" s="182" t="n">
        <v>0</v>
      </c>
      <c r="AD1055" s="182" t="n">
        <v>0</v>
      </c>
      <c r="AE1055" s="182" t="n">
        <v>0</v>
      </c>
      <c r="AF1055" s="182" t="n">
        <v>0</v>
      </c>
      <c r="AG1055" s="182" t="n">
        <v>0</v>
      </c>
      <c r="AH1055" s="182" t="n">
        <v>0</v>
      </c>
      <c r="AI1055" s="182" t="n">
        <v>0</v>
      </c>
      <c r="AJ1055" s="182" t="n">
        <v>0</v>
      </c>
      <c r="AK1055" s="182" t="n">
        <v>6.67</v>
      </c>
      <c r="AL1055" s="182" t="n">
        <v>0</v>
      </c>
      <c r="AM1055" s="182" t="n">
        <v>0.08</v>
      </c>
      <c r="AN1055" s="182" t="n">
        <v>0</v>
      </c>
    </row>
    <row r="1056">
      <c r="A1056" s="155" t="n">
        <v>46086</v>
      </c>
      <c r="B1056" s="156" t="inlineStr">
        <is>
          <t>NS</t>
        </is>
      </c>
      <c r="C1056" s="156" t="inlineStr">
        <is>
          <t>DT-812</t>
        </is>
      </c>
      <c r="D1056" s="156" t="inlineStr">
        <is>
          <t>SKT 80S</t>
        </is>
      </c>
      <c r="E1056" s="156" t="inlineStr">
        <is>
          <t>Hauler</t>
        </is>
      </c>
      <c r="F1056" s="156" t="inlineStr"/>
      <c r="G1056" s="182" t="n">
        <v>0</v>
      </c>
      <c r="H1056" s="182" t="n">
        <v>0</v>
      </c>
      <c r="I1056" s="182" t="n">
        <v>12</v>
      </c>
      <c r="J1056" s="182" t="n">
        <v>12</v>
      </c>
      <c r="K1056" s="182" t="n">
        <v>0</v>
      </c>
      <c r="L1056" s="182" t="n">
        <v>12</v>
      </c>
      <c r="M1056" s="182" t="n">
        <v>0</v>
      </c>
      <c r="N1056" s="182" t="n">
        <v>0</v>
      </c>
      <c r="O1056" s="183" t="n">
        <v>0</v>
      </c>
      <c r="P1056" s="183" t="n">
        <v>0</v>
      </c>
      <c r="Q1056" s="184" t="n">
        <v>0</v>
      </c>
      <c r="R1056" s="184" t="n">
        <v>0</v>
      </c>
      <c r="S1056" s="183" t="n">
        <v>0</v>
      </c>
      <c r="T1056" s="183" t="n">
        <v>0</v>
      </c>
      <c r="U1056" s="182" t="n">
        <v>0</v>
      </c>
      <c r="V1056" s="182" t="n">
        <v>0</v>
      </c>
      <c r="W1056" s="182" t="n">
        <v>0</v>
      </c>
      <c r="X1056" s="182" t="n">
        <v>0</v>
      </c>
      <c r="Y1056" s="182" t="n">
        <v>0</v>
      </c>
      <c r="Z1056" s="182" t="n">
        <v>0</v>
      </c>
      <c r="AA1056" s="182" t="n">
        <v>0</v>
      </c>
      <c r="AB1056" s="182" t="n">
        <v>0</v>
      </c>
      <c r="AC1056" s="182" t="n">
        <v>0</v>
      </c>
      <c r="AD1056" s="182" t="n">
        <v>0</v>
      </c>
      <c r="AE1056" s="182" t="n">
        <v>0</v>
      </c>
      <c r="AF1056" s="182" t="n">
        <v>0</v>
      </c>
      <c r="AG1056" s="182" t="n">
        <v>0</v>
      </c>
      <c r="AH1056" s="182" t="n">
        <v>0</v>
      </c>
      <c r="AI1056" s="182" t="n">
        <v>0</v>
      </c>
      <c r="AJ1056" s="182" t="n">
        <v>0</v>
      </c>
      <c r="AK1056" s="182" t="n">
        <v>0</v>
      </c>
      <c r="AL1056" s="182" t="n">
        <v>0</v>
      </c>
      <c r="AM1056" s="182" t="n">
        <v>0</v>
      </c>
      <c r="AN1056" s="182" t="n">
        <v>0</v>
      </c>
    </row>
    <row r="1057">
      <c r="A1057" s="155" t="n">
        <v>46086</v>
      </c>
      <c r="B1057" s="156" t="inlineStr">
        <is>
          <t>NS</t>
        </is>
      </c>
      <c r="C1057" s="156" t="inlineStr">
        <is>
          <t>DT-803</t>
        </is>
      </c>
      <c r="D1057" s="156" t="inlineStr">
        <is>
          <t>SKT 80S</t>
        </is>
      </c>
      <c r="E1057" s="156" t="inlineStr">
        <is>
          <t>Hauler</t>
        </is>
      </c>
      <c r="F1057" s="156" t="inlineStr"/>
      <c r="G1057" s="182" t="n">
        <v>0</v>
      </c>
      <c r="H1057" s="182" t="n">
        <v>0</v>
      </c>
      <c r="I1057" s="182" t="n">
        <v>12</v>
      </c>
      <c r="J1057" s="182" t="n">
        <v>12</v>
      </c>
      <c r="K1057" s="182" t="n">
        <v>0</v>
      </c>
      <c r="L1057" s="182" t="n">
        <v>12</v>
      </c>
      <c r="M1057" s="182" t="n">
        <v>0</v>
      </c>
      <c r="N1057" s="182" t="n">
        <v>0</v>
      </c>
      <c r="O1057" s="183" t="n">
        <v>0</v>
      </c>
      <c r="P1057" s="183" t="n">
        <v>0</v>
      </c>
      <c r="Q1057" s="184" t="n">
        <v>0</v>
      </c>
      <c r="R1057" s="184" t="n">
        <v>0</v>
      </c>
      <c r="S1057" s="183" t="n">
        <v>0</v>
      </c>
      <c r="T1057" s="183" t="n">
        <v>0</v>
      </c>
      <c r="U1057" s="182" t="n">
        <v>0</v>
      </c>
      <c r="V1057" s="182" t="n">
        <v>0</v>
      </c>
      <c r="W1057" s="182" t="n">
        <v>0</v>
      </c>
      <c r="X1057" s="182" t="n">
        <v>0</v>
      </c>
      <c r="Y1057" s="182" t="n">
        <v>0</v>
      </c>
      <c r="Z1057" s="182" t="n">
        <v>0</v>
      </c>
      <c r="AA1057" s="182" t="n">
        <v>0</v>
      </c>
      <c r="AB1057" s="182" t="n">
        <v>0</v>
      </c>
      <c r="AC1057" s="182" t="n">
        <v>0</v>
      </c>
      <c r="AD1057" s="182" t="n">
        <v>0</v>
      </c>
      <c r="AE1057" s="182" t="n">
        <v>0</v>
      </c>
      <c r="AF1057" s="182" t="n">
        <v>0</v>
      </c>
      <c r="AG1057" s="182" t="n">
        <v>0</v>
      </c>
      <c r="AH1057" s="182" t="n">
        <v>0</v>
      </c>
      <c r="AI1057" s="182" t="n">
        <v>0</v>
      </c>
      <c r="AJ1057" s="182" t="n">
        <v>0</v>
      </c>
      <c r="AK1057" s="182" t="n">
        <v>0</v>
      </c>
      <c r="AL1057" s="182" t="n">
        <v>0</v>
      </c>
      <c r="AM1057" s="182" t="n">
        <v>0</v>
      </c>
      <c r="AN1057" s="182" t="n">
        <v>0</v>
      </c>
    </row>
    <row r="1058">
      <c r="A1058" s="155" t="n">
        <v>46086</v>
      </c>
      <c r="B1058" s="156" t="inlineStr">
        <is>
          <t>NS</t>
        </is>
      </c>
      <c r="C1058" s="156" t="inlineStr">
        <is>
          <t>DT-810</t>
        </is>
      </c>
      <c r="D1058" s="156" t="inlineStr">
        <is>
          <t>SKT 80S</t>
        </is>
      </c>
      <c r="E1058" s="156" t="inlineStr">
        <is>
          <t>Hauler</t>
        </is>
      </c>
      <c r="F1058" s="156" t="inlineStr">
        <is>
          <t>Hauling Parting &amp; Coal</t>
        </is>
      </c>
      <c r="G1058" s="182" t="n">
        <v>2.84</v>
      </c>
      <c r="H1058" s="182" t="n">
        <v>0</v>
      </c>
      <c r="I1058" s="182" t="n">
        <v>0</v>
      </c>
      <c r="J1058" s="182" t="n">
        <v>0</v>
      </c>
      <c r="K1058" s="182" t="n">
        <v>9.16</v>
      </c>
      <c r="L1058" s="182" t="n">
        <v>12</v>
      </c>
      <c r="M1058" s="182" t="n">
        <v>2.34</v>
      </c>
      <c r="N1058" s="182" t="n">
        <v>0.5</v>
      </c>
      <c r="O1058" s="183" t="n">
        <v>4</v>
      </c>
      <c r="P1058" s="183" t="n">
        <v>1</v>
      </c>
      <c r="Q1058" s="184" t="n">
        <v>68</v>
      </c>
      <c r="R1058" s="184" t="n">
        <v>15.3</v>
      </c>
      <c r="S1058" s="183" t="n">
        <v>0</v>
      </c>
      <c r="T1058" s="183" t="n">
        <v>0</v>
      </c>
      <c r="U1058" s="182" t="n">
        <v>4.06</v>
      </c>
      <c r="V1058" s="182" t="n">
        <v>0</v>
      </c>
      <c r="W1058" s="182" t="n">
        <v>0</v>
      </c>
      <c r="X1058" s="182" t="n">
        <v>0.95</v>
      </c>
      <c r="Y1058" s="182" t="n">
        <v>0</v>
      </c>
      <c r="Z1058" s="182" t="n">
        <v>0</v>
      </c>
      <c r="AA1058" s="182" t="n">
        <v>0</v>
      </c>
      <c r="AB1058" s="182" t="n">
        <v>0</v>
      </c>
      <c r="AC1058" s="182" t="n">
        <v>0</v>
      </c>
      <c r="AD1058" s="182" t="n">
        <v>0</v>
      </c>
      <c r="AE1058" s="182" t="n">
        <v>0</v>
      </c>
      <c r="AF1058" s="182" t="n">
        <v>0</v>
      </c>
      <c r="AG1058" s="182" t="n">
        <v>0</v>
      </c>
      <c r="AH1058" s="182" t="n">
        <v>0</v>
      </c>
      <c r="AI1058" s="182" t="n">
        <v>0</v>
      </c>
      <c r="AJ1058" s="182" t="n">
        <v>0</v>
      </c>
      <c r="AK1058" s="182" t="n">
        <v>4.07</v>
      </c>
      <c r="AL1058" s="182" t="n">
        <v>0</v>
      </c>
      <c r="AM1058" s="182" t="n">
        <v>0.08</v>
      </c>
      <c r="AN1058" s="182" t="n">
        <v>0</v>
      </c>
    </row>
    <row r="1059">
      <c r="A1059" s="155" t="n">
        <v>46086</v>
      </c>
      <c r="B1059" s="156" t="inlineStr">
        <is>
          <t>NS</t>
        </is>
      </c>
      <c r="C1059" s="156" t="inlineStr">
        <is>
          <t>DT-804</t>
        </is>
      </c>
      <c r="D1059" s="156" t="inlineStr">
        <is>
          <t>SKT 80S</t>
        </is>
      </c>
      <c r="E1059" s="156" t="inlineStr">
        <is>
          <t>Hauler</t>
        </is>
      </c>
      <c r="F1059" s="156" t="inlineStr"/>
      <c r="G1059" s="182" t="n">
        <v>0</v>
      </c>
      <c r="H1059" s="182" t="n">
        <v>0</v>
      </c>
      <c r="I1059" s="182" t="n">
        <v>0</v>
      </c>
      <c r="J1059" s="182" t="n">
        <v>0</v>
      </c>
      <c r="K1059" s="182" t="n">
        <v>12</v>
      </c>
      <c r="L1059" s="182" t="n">
        <v>12</v>
      </c>
      <c r="M1059" s="182" t="n">
        <v>0</v>
      </c>
      <c r="N1059" s="182" t="n">
        <v>0</v>
      </c>
      <c r="O1059" s="183" t="n">
        <v>0</v>
      </c>
      <c r="P1059" s="183" t="n">
        <v>0</v>
      </c>
      <c r="Q1059" s="184" t="n">
        <v>0</v>
      </c>
      <c r="R1059" s="184" t="n">
        <v>0</v>
      </c>
      <c r="S1059" s="183" t="n">
        <v>0</v>
      </c>
      <c r="T1059" s="183" t="n">
        <v>0</v>
      </c>
      <c r="U1059" s="182" t="n">
        <v>4.25</v>
      </c>
      <c r="V1059" s="182" t="n">
        <v>0</v>
      </c>
      <c r="W1059" s="182" t="n">
        <v>0</v>
      </c>
      <c r="X1059" s="182" t="n">
        <v>1</v>
      </c>
      <c r="Y1059" s="182" t="n">
        <v>0</v>
      </c>
      <c r="Z1059" s="182" t="n">
        <v>0</v>
      </c>
      <c r="AA1059" s="182" t="n">
        <v>0</v>
      </c>
      <c r="AB1059" s="182" t="n">
        <v>0</v>
      </c>
      <c r="AC1059" s="182" t="n">
        <v>0</v>
      </c>
      <c r="AD1059" s="182" t="n">
        <v>0</v>
      </c>
      <c r="AE1059" s="182" t="n">
        <v>0</v>
      </c>
      <c r="AF1059" s="182" t="n">
        <v>0</v>
      </c>
      <c r="AG1059" s="182" t="n">
        <v>0</v>
      </c>
      <c r="AH1059" s="182" t="n">
        <v>0</v>
      </c>
      <c r="AI1059" s="182" t="n">
        <v>0</v>
      </c>
      <c r="AJ1059" s="182" t="n">
        <v>0</v>
      </c>
      <c r="AK1059" s="182" t="n">
        <v>6.67</v>
      </c>
      <c r="AL1059" s="182" t="n">
        <v>0</v>
      </c>
      <c r="AM1059" s="182" t="n">
        <v>0.08</v>
      </c>
      <c r="AN1059" s="182" t="n">
        <v>0</v>
      </c>
    </row>
    <row r="1060">
      <c r="A1060" s="155" t="n">
        <v>46086</v>
      </c>
      <c r="B1060" s="156" t="inlineStr">
        <is>
          <t>NS</t>
        </is>
      </c>
      <c r="C1060" s="156" t="inlineStr">
        <is>
          <t>DT-505</t>
        </is>
      </c>
      <c r="D1060" s="156" t="inlineStr">
        <is>
          <t>SKT 105S</t>
        </is>
      </c>
      <c r="E1060" s="156" t="inlineStr">
        <is>
          <t>Hauler</t>
        </is>
      </c>
      <c r="F1060" s="156" t="inlineStr">
        <is>
          <t>Hauling OB</t>
        </is>
      </c>
      <c r="G1060" s="182" t="n">
        <v>6.64</v>
      </c>
      <c r="H1060" s="182" t="n">
        <v>0</v>
      </c>
      <c r="I1060" s="182" t="n">
        <v>0</v>
      </c>
      <c r="J1060" s="182" t="n">
        <v>0</v>
      </c>
      <c r="K1060" s="182" t="n">
        <v>5.36</v>
      </c>
      <c r="L1060" s="182" t="n">
        <v>12</v>
      </c>
      <c r="M1060" s="182" t="n">
        <v>6.64</v>
      </c>
      <c r="N1060" s="182" t="n">
        <v>0</v>
      </c>
      <c r="O1060" s="183" t="n">
        <v>18</v>
      </c>
      <c r="P1060" s="183" t="n">
        <v>0</v>
      </c>
      <c r="Q1060" s="184" t="n">
        <v>367.2</v>
      </c>
      <c r="R1060" s="184" t="n">
        <v>0</v>
      </c>
      <c r="S1060" s="183" t="n">
        <v>1</v>
      </c>
      <c r="T1060" s="183" t="n">
        <v>0</v>
      </c>
      <c r="U1060" s="182" t="n">
        <v>4.27</v>
      </c>
      <c r="V1060" s="182" t="n">
        <v>0</v>
      </c>
      <c r="W1060" s="182" t="n">
        <v>0</v>
      </c>
      <c r="X1060" s="182" t="n">
        <v>1.01</v>
      </c>
      <c r="Y1060" s="182" t="n">
        <v>0</v>
      </c>
      <c r="Z1060" s="182" t="n">
        <v>0</v>
      </c>
      <c r="AA1060" s="182" t="n">
        <v>0</v>
      </c>
      <c r="AB1060" s="182" t="n">
        <v>0</v>
      </c>
      <c r="AC1060" s="182" t="n">
        <v>0</v>
      </c>
      <c r="AD1060" s="182" t="n">
        <v>0</v>
      </c>
      <c r="AE1060" s="182" t="n">
        <v>0</v>
      </c>
      <c r="AF1060" s="182" t="n">
        <v>0</v>
      </c>
      <c r="AG1060" s="182" t="n">
        <v>0</v>
      </c>
      <c r="AH1060" s="182" t="n">
        <v>0</v>
      </c>
      <c r="AI1060" s="182" t="n">
        <v>0</v>
      </c>
      <c r="AJ1060" s="182" t="n">
        <v>0</v>
      </c>
      <c r="AK1060" s="182" t="n">
        <v>0</v>
      </c>
      <c r="AL1060" s="182" t="n">
        <v>0</v>
      </c>
      <c r="AM1060" s="182" t="n">
        <v>0.08</v>
      </c>
      <c r="AN1060" s="182" t="n">
        <v>0</v>
      </c>
    </row>
    <row r="1061">
      <c r="A1061" s="155" t="n">
        <v>46086</v>
      </c>
      <c r="B1061" s="156" t="inlineStr">
        <is>
          <t>NS</t>
        </is>
      </c>
      <c r="C1061" s="156" t="inlineStr">
        <is>
          <t>DT-530</t>
        </is>
      </c>
      <c r="D1061" s="156" t="inlineStr">
        <is>
          <t>SKT 105S</t>
        </is>
      </c>
      <c r="E1061" s="156" t="inlineStr">
        <is>
          <t>Hauler</t>
        </is>
      </c>
      <c r="F1061" s="156" t="inlineStr"/>
      <c r="G1061" s="182" t="n">
        <v>0</v>
      </c>
      <c r="H1061" s="182" t="n">
        <v>0</v>
      </c>
      <c r="I1061" s="182" t="n">
        <v>12</v>
      </c>
      <c r="J1061" s="182" t="n">
        <v>12</v>
      </c>
      <c r="K1061" s="182" t="n">
        <v>0</v>
      </c>
      <c r="L1061" s="182" t="n">
        <v>12</v>
      </c>
      <c r="M1061" s="182" t="n">
        <v>0</v>
      </c>
      <c r="N1061" s="182" t="n">
        <v>0</v>
      </c>
      <c r="O1061" s="183" t="n">
        <v>0</v>
      </c>
      <c r="P1061" s="183" t="n">
        <v>0</v>
      </c>
      <c r="Q1061" s="184" t="n">
        <v>0</v>
      </c>
      <c r="R1061" s="184" t="n">
        <v>0</v>
      </c>
      <c r="S1061" s="183" t="n">
        <v>0</v>
      </c>
      <c r="T1061" s="183" t="n">
        <v>0</v>
      </c>
      <c r="U1061" s="182" t="n">
        <v>0</v>
      </c>
      <c r="V1061" s="182" t="n">
        <v>0</v>
      </c>
      <c r="W1061" s="182" t="n">
        <v>0</v>
      </c>
      <c r="X1061" s="182" t="n">
        <v>0</v>
      </c>
      <c r="Y1061" s="182" t="n">
        <v>0</v>
      </c>
      <c r="Z1061" s="182" t="n">
        <v>0</v>
      </c>
      <c r="AA1061" s="182" t="n">
        <v>0</v>
      </c>
      <c r="AB1061" s="182" t="n">
        <v>0</v>
      </c>
      <c r="AC1061" s="182" t="n">
        <v>0</v>
      </c>
      <c r="AD1061" s="182" t="n">
        <v>0</v>
      </c>
      <c r="AE1061" s="182" t="n">
        <v>0</v>
      </c>
      <c r="AF1061" s="182" t="n">
        <v>0</v>
      </c>
      <c r="AG1061" s="182" t="n">
        <v>0</v>
      </c>
      <c r="AH1061" s="182" t="n">
        <v>0</v>
      </c>
      <c r="AI1061" s="182" t="n">
        <v>0</v>
      </c>
      <c r="AJ1061" s="182" t="n">
        <v>0</v>
      </c>
      <c r="AK1061" s="182" t="n">
        <v>0</v>
      </c>
      <c r="AL1061" s="182" t="n">
        <v>0</v>
      </c>
      <c r="AM1061" s="182" t="n">
        <v>0</v>
      </c>
      <c r="AN1061" s="182" t="n">
        <v>0</v>
      </c>
    </row>
    <row r="1062">
      <c r="A1062" s="155" t="n">
        <v>46086</v>
      </c>
      <c r="B1062" s="156" t="inlineStr">
        <is>
          <t>NS</t>
        </is>
      </c>
      <c r="C1062" s="156" t="inlineStr">
        <is>
          <t>DT-525</t>
        </is>
      </c>
      <c r="D1062" s="156" t="inlineStr">
        <is>
          <t>SKT 105S</t>
        </is>
      </c>
      <c r="E1062" s="156" t="inlineStr">
        <is>
          <t>Hauler</t>
        </is>
      </c>
      <c r="F1062" s="156" t="inlineStr"/>
      <c r="G1062" s="182" t="n">
        <v>0</v>
      </c>
      <c r="H1062" s="182" t="n">
        <v>0</v>
      </c>
      <c r="I1062" s="182" t="n">
        <v>12</v>
      </c>
      <c r="J1062" s="182" t="n">
        <v>12</v>
      </c>
      <c r="K1062" s="182" t="n">
        <v>0</v>
      </c>
      <c r="L1062" s="182" t="n">
        <v>12</v>
      </c>
      <c r="M1062" s="182" t="n">
        <v>0</v>
      </c>
      <c r="N1062" s="182" t="n">
        <v>0</v>
      </c>
      <c r="O1062" s="183" t="n">
        <v>0</v>
      </c>
      <c r="P1062" s="183" t="n">
        <v>0</v>
      </c>
      <c r="Q1062" s="184" t="n">
        <v>0</v>
      </c>
      <c r="R1062" s="184" t="n">
        <v>0</v>
      </c>
      <c r="S1062" s="183" t="n">
        <v>0</v>
      </c>
      <c r="T1062" s="183" t="n">
        <v>0</v>
      </c>
      <c r="U1062" s="182" t="n">
        <v>0</v>
      </c>
      <c r="V1062" s="182" t="n">
        <v>0</v>
      </c>
      <c r="W1062" s="182" t="n">
        <v>0</v>
      </c>
      <c r="X1062" s="182" t="n">
        <v>0</v>
      </c>
      <c r="Y1062" s="182" t="n">
        <v>0</v>
      </c>
      <c r="Z1062" s="182" t="n">
        <v>0</v>
      </c>
      <c r="AA1062" s="182" t="n">
        <v>0</v>
      </c>
      <c r="AB1062" s="182" t="n">
        <v>0</v>
      </c>
      <c r="AC1062" s="182" t="n">
        <v>0</v>
      </c>
      <c r="AD1062" s="182" t="n">
        <v>0</v>
      </c>
      <c r="AE1062" s="182" t="n">
        <v>0</v>
      </c>
      <c r="AF1062" s="182" t="n">
        <v>0</v>
      </c>
      <c r="AG1062" s="182" t="n">
        <v>0</v>
      </c>
      <c r="AH1062" s="182" t="n">
        <v>0</v>
      </c>
      <c r="AI1062" s="182" t="n">
        <v>0</v>
      </c>
      <c r="AJ1062" s="182" t="n">
        <v>0</v>
      </c>
      <c r="AK1062" s="182" t="n">
        <v>0</v>
      </c>
      <c r="AL1062" s="182" t="n">
        <v>0</v>
      </c>
      <c r="AM1062" s="182" t="n">
        <v>0</v>
      </c>
      <c r="AN1062" s="182" t="n">
        <v>0</v>
      </c>
    </row>
    <row r="1063">
      <c r="A1063" s="155" t="n">
        <v>46086</v>
      </c>
      <c r="B1063" s="156" t="inlineStr">
        <is>
          <t>NS</t>
        </is>
      </c>
      <c r="C1063" s="156" t="inlineStr">
        <is>
          <t>DT-503</t>
        </is>
      </c>
      <c r="D1063" s="156" t="inlineStr">
        <is>
          <t>SKT 105S</t>
        </is>
      </c>
      <c r="E1063" s="156" t="inlineStr">
        <is>
          <t>Hauler</t>
        </is>
      </c>
      <c r="F1063" s="156" t="inlineStr"/>
      <c r="G1063" s="182" t="n">
        <v>0</v>
      </c>
      <c r="H1063" s="182" t="n">
        <v>0</v>
      </c>
      <c r="I1063" s="182" t="n">
        <v>12</v>
      </c>
      <c r="J1063" s="182" t="n">
        <v>12</v>
      </c>
      <c r="K1063" s="182" t="n">
        <v>0</v>
      </c>
      <c r="L1063" s="182" t="n">
        <v>12</v>
      </c>
      <c r="M1063" s="182" t="n">
        <v>0</v>
      </c>
      <c r="N1063" s="182" t="n">
        <v>0</v>
      </c>
      <c r="O1063" s="183" t="n">
        <v>0</v>
      </c>
      <c r="P1063" s="183" t="n">
        <v>0</v>
      </c>
      <c r="Q1063" s="184" t="n">
        <v>0</v>
      </c>
      <c r="R1063" s="184" t="n">
        <v>0</v>
      </c>
      <c r="S1063" s="183" t="n">
        <v>0</v>
      </c>
      <c r="T1063" s="183" t="n">
        <v>0</v>
      </c>
      <c r="U1063" s="182" t="n">
        <v>0</v>
      </c>
      <c r="V1063" s="182" t="n">
        <v>0</v>
      </c>
      <c r="W1063" s="182" t="n">
        <v>0</v>
      </c>
      <c r="X1063" s="182" t="n">
        <v>0</v>
      </c>
      <c r="Y1063" s="182" t="n">
        <v>0</v>
      </c>
      <c r="Z1063" s="182" t="n">
        <v>0</v>
      </c>
      <c r="AA1063" s="182" t="n">
        <v>0</v>
      </c>
      <c r="AB1063" s="182" t="n">
        <v>0</v>
      </c>
      <c r="AC1063" s="182" t="n">
        <v>0</v>
      </c>
      <c r="AD1063" s="182" t="n">
        <v>0</v>
      </c>
      <c r="AE1063" s="182" t="n">
        <v>0</v>
      </c>
      <c r="AF1063" s="182" t="n">
        <v>0</v>
      </c>
      <c r="AG1063" s="182" t="n">
        <v>0</v>
      </c>
      <c r="AH1063" s="182" t="n">
        <v>0</v>
      </c>
      <c r="AI1063" s="182" t="n">
        <v>0</v>
      </c>
      <c r="AJ1063" s="182" t="n">
        <v>0</v>
      </c>
      <c r="AK1063" s="182" t="n">
        <v>0</v>
      </c>
      <c r="AL1063" s="182" t="n">
        <v>0</v>
      </c>
      <c r="AM1063" s="182" t="n">
        <v>0</v>
      </c>
      <c r="AN1063" s="182" t="n">
        <v>0</v>
      </c>
    </row>
    <row r="1064">
      <c r="A1064" s="155" t="n">
        <v>46086</v>
      </c>
      <c r="B1064" s="156" t="inlineStr">
        <is>
          <t>NS</t>
        </is>
      </c>
      <c r="C1064" s="156" t="inlineStr">
        <is>
          <t>DT-504</t>
        </is>
      </c>
      <c r="D1064" s="156" t="inlineStr">
        <is>
          <t>SKT 105S</t>
        </is>
      </c>
      <c r="E1064" s="156" t="inlineStr">
        <is>
          <t>Hauler</t>
        </is>
      </c>
      <c r="F1064" s="156" t="inlineStr">
        <is>
          <t>Hauling Coal</t>
        </is>
      </c>
      <c r="G1064" s="182" t="n">
        <v>6.97</v>
      </c>
      <c r="H1064" s="182" t="n">
        <v>0</v>
      </c>
      <c r="I1064" s="182" t="n">
        <v>0</v>
      </c>
      <c r="J1064" s="182" t="n">
        <v>0</v>
      </c>
      <c r="K1064" s="182" t="n">
        <v>5.03</v>
      </c>
      <c r="L1064" s="182" t="n">
        <v>12</v>
      </c>
      <c r="M1064" s="182" t="n">
        <v>0</v>
      </c>
      <c r="N1064" s="182" t="n">
        <v>6.97</v>
      </c>
      <c r="O1064" s="183" t="n">
        <v>0</v>
      </c>
      <c r="P1064" s="183" t="n">
        <v>19</v>
      </c>
      <c r="Q1064" s="184" t="n">
        <v>0</v>
      </c>
      <c r="R1064" s="184" t="n">
        <v>355.3</v>
      </c>
      <c r="S1064" s="183" t="n">
        <v>0</v>
      </c>
      <c r="T1064" s="183" t="n">
        <v>0</v>
      </c>
      <c r="U1064" s="182" t="n">
        <v>4.01</v>
      </c>
      <c r="V1064" s="182" t="n">
        <v>0</v>
      </c>
      <c r="W1064" s="182" t="n">
        <v>0</v>
      </c>
      <c r="X1064" s="182" t="n">
        <v>0.95</v>
      </c>
      <c r="Y1064" s="182" t="n">
        <v>0</v>
      </c>
      <c r="Z1064" s="182" t="n">
        <v>0</v>
      </c>
      <c r="AA1064" s="182" t="n">
        <v>0</v>
      </c>
      <c r="AB1064" s="182" t="n">
        <v>0</v>
      </c>
      <c r="AC1064" s="182" t="n">
        <v>0</v>
      </c>
      <c r="AD1064" s="182" t="n">
        <v>0</v>
      </c>
      <c r="AE1064" s="182" t="n">
        <v>0</v>
      </c>
      <c r="AF1064" s="182" t="n">
        <v>0</v>
      </c>
      <c r="AG1064" s="182" t="n">
        <v>0</v>
      </c>
      <c r="AH1064" s="182" t="n">
        <v>0</v>
      </c>
      <c r="AI1064" s="182" t="n">
        <v>0</v>
      </c>
      <c r="AJ1064" s="182" t="n">
        <v>0</v>
      </c>
      <c r="AK1064" s="182" t="n">
        <v>0</v>
      </c>
      <c r="AL1064" s="182" t="n">
        <v>0</v>
      </c>
      <c r="AM1064" s="182" t="n">
        <v>0.08</v>
      </c>
      <c r="AN1064" s="182" t="n">
        <v>0</v>
      </c>
    </row>
    <row r="1065">
      <c r="A1065" s="155" t="n">
        <v>46086</v>
      </c>
      <c r="B1065" s="156" t="inlineStr">
        <is>
          <t>NS</t>
        </is>
      </c>
      <c r="C1065" s="156" t="inlineStr">
        <is>
          <t>DT-507</t>
        </is>
      </c>
      <c r="D1065" s="156" t="inlineStr">
        <is>
          <t>SKT 105S</t>
        </is>
      </c>
      <c r="E1065" s="156" t="inlineStr">
        <is>
          <t>Hauler</t>
        </is>
      </c>
      <c r="F1065" s="156" t="inlineStr">
        <is>
          <t>Hauling Mud &amp; Coal</t>
        </is>
      </c>
      <c r="G1065" s="182" t="n">
        <v>4.06</v>
      </c>
      <c r="H1065" s="182" t="n">
        <v>0</v>
      </c>
      <c r="I1065" s="182" t="n">
        <v>0</v>
      </c>
      <c r="J1065" s="182" t="n">
        <v>0</v>
      </c>
      <c r="K1065" s="182" t="n">
        <v>7.94</v>
      </c>
      <c r="L1065" s="182" t="n">
        <v>12</v>
      </c>
      <c r="M1065" s="182" t="n">
        <v>2.08</v>
      </c>
      <c r="N1065" s="182" t="n">
        <v>1.98</v>
      </c>
      <c r="O1065" s="183" t="n">
        <v>3</v>
      </c>
      <c r="P1065" s="183" t="n">
        <v>5</v>
      </c>
      <c r="Q1065" s="184" t="n">
        <v>30.6</v>
      </c>
      <c r="R1065" s="184" t="n">
        <v>93.5</v>
      </c>
      <c r="S1065" s="183" t="n">
        <v>0</v>
      </c>
      <c r="T1065" s="183" t="n">
        <v>0</v>
      </c>
      <c r="U1065" s="182" t="n">
        <v>4.27</v>
      </c>
      <c r="V1065" s="182" t="n">
        <v>0</v>
      </c>
      <c r="W1065" s="182" t="n">
        <v>0</v>
      </c>
      <c r="X1065" s="182" t="n">
        <v>1.01</v>
      </c>
      <c r="Y1065" s="182" t="n">
        <v>0</v>
      </c>
      <c r="Z1065" s="182" t="n">
        <v>0</v>
      </c>
      <c r="AA1065" s="182" t="n">
        <v>0</v>
      </c>
      <c r="AB1065" s="182" t="n">
        <v>0</v>
      </c>
      <c r="AC1065" s="182" t="n">
        <v>0</v>
      </c>
      <c r="AD1065" s="182" t="n">
        <v>0</v>
      </c>
      <c r="AE1065" s="182" t="n">
        <v>0</v>
      </c>
      <c r="AF1065" s="182" t="n">
        <v>0</v>
      </c>
      <c r="AG1065" s="182" t="n">
        <v>0</v>
      </c>
      <c r="AH1065" s="182" t="n">
        <v>0</v>
      </c>
      <c r="AI1065" s="182" t="n">
        <v>0</v>
      </c>
      <c r="AJ1065" s="182" t="n">
        <v>0</v>
      </c>
      <c r="AK1065" s="182" t="n">
        <v>2.58</v>
      </c>
      <c r="AL1065" s="182" t="n">
        <v>0</v>
      </c>
      <c r="AM1065" s="182" t="n">
        <v>0.08</v>
      </c>
      <c r="AN1065" s="182" t="n">
        <v>0</v>
      </c>
    </row>
    <row r="1066">
      <c r="A1066" s="155" t="n">
        <v>46086</v>
      </c>
      <c r="B1066" s="156" t="inlineStr">
        <is>
          <t>NS</t>
        </is>
      </c>
      <c r="C1066" s="156" t="inlineStr">
        <is>
          <t>DT-501</t>
        </is>
      </c>
      <c r="D1066" s="156" t="inlineStr">
        <is>
          <t>SKT 105S</t>
        </is>
      </c>
      <c r="E1066" s="156" t="inlineStr">
        <is>
          <t>Hauler</t>
        </is>
      </c>
      <c r="F1066" s="156" t="inlineStr"/>
      <c r="G1066" s="182" t="n">
        <v>0</v>
      </c>
      <c r="H1066" s="182" t="n">
        <v>12</v>
      </c>
      <c r="I1066" s="182" t="n">
        <v>0</v>
      </c>
      <c r="J1066" s="182" t="n">
        <v>12</v>
      </c>
      <c r="K1066" s="182" t="n">
        <v>0</v>
      </c>
      <c r="L1066" s="182" t="n">
        <v>12</v>
      </c>
      <c r="M1066" s="182" t="n">
        <v>0</v>
      </c>
      <c r="N1066" s="182" t="n">
        <v>0</v>
      </c>
      <c r="O1066" s="183" t="n">
        <v>0</v>
      </c>
      <c r="P1066" s="183" t="n">
        <v>0</v>
      </c>
      <c r="Q1066" s="184" t="n">
        <v>0</v>
      </c>
      <c r="R1066" s="184" t="n">
        <v>0</v>
      </c>
      <c r="S1066" s="183" t="n">
        <v>0</v>
      </c>
      <c r="T1066" s="183" t="n">
        <v>0</v>
      </c>
      <c r="U1066" s="182" t="n">
        <v>0</v>
      </c>
      <c r="V1066" s="182" t="n">
        <v>0</v>
      </c>
      <c r="W1066" s="182" t="n">
        <v>0</v>
      </c>
      <c r="X1066" s="182" t="n">
        <v>0</v>
      </c>
      <c r="Y1066" s="182" t="n">
        <v>0</v>
      </c>
      <c r="Z1066" s="182" t="n">
        <v>0</v>
      </c>
      <c r="AA1066" s="182" t="n">
        <v>0</v>
      </c>
      <c r="AB1066" s="182" t="n">
        <v>0</v>
      </c>
      <c r="AC1066" s="182" t="n">
        <v>0</v>
      </c>
      <c r="AD1066" s="182" t="n">
        <v>0</v>
      </c>
      <c r="AE1066" s="182" t="n">
        <v>0</v>
      </c>
      <c r="AF1066" s="182" t="n">
        <v>0</v>
      </c>
      <c r="AG1066" s="182" t="n">
        <v>0</v>
      </c>
      <c r="AH1066" s="182" t="n">
        <v>0</v>
      </c>
      <c r="AI1066" s="182" t="n">
        <v>0</v>
      </c>
      <c r="AJ1066" s="182" t="n">
        <v>0</v>
      </c>
      <c r="AK1066" s="182" t="n">
        <v>0</v>
      </c>
      <c r="AL1066" s="182" t="n">
        <v>0</v>
      </c>
      <c r="AM1066" s="182" t="n">
        <v>0</v>
      </c>
      <c r="AN1066" s="182" t="n">
        <v>0</v>
      </c>
    </row>
    <row r="1067">
      <c r="A1067" s="155" t="n">
        <v>46086</v>
      </c>
      <c r="B1067" s="156" t="inlineStr">
        <is>
          <t>NS</t>
        </is>
      </c>
      <c r="C1067" s="156" t="inlineStr">
        <is>
          <t>DT-518</t>
        </is>
      </c>
      <c r="D1067" s="156" t="inlineStr">
        <is>
          <t>SKT 105S</t>
        </is>
      </c>
      <c r="E1067" s="156" t="inlineStr">
        <is>
          <t>Hauler</t>
        </is>
      </c>
      <c r="F1067" s="156" t="inlineStr">
        <is>
          <t>Hauling OB</t>
        </is>
      </c>
      <c r="G1067" s="182" t="n">
        <v>4.25</v>
      </c>
      <c r="H1067" s="182" t="n">
        <v>0</v>
      </c>
      <c r="I1067" s="182" t="n">
        <v>0</v>
      </c>
      <c r="J1067" s="182" t="n">
        <v>0</v>
      </c>
      <c r="K1067" s="182" t="n">
        <v>7.75</v>
      </c>
      <c r="L1067" s="182" t="n">
        <v>12</v>
      </c>
      <c r="M1067" s="182" t="n">
        <v>4.25</v>
      </c>
      <c r="N1067" s="182" t="n">
        <v>0</v>
      </c>
      <c r="O1067" s="183" t="n">
        <v>14</v>
      </c>
      <c r="P1067" s="183" t="n">
        <v>0</v>
      </c>
      <c r="Q1067" s="184" t="n">
        <v>285.6</v>
      </c>
      <c r="R1067" s="184" t="n">
        <v>0</v>
      </c>
      <c r="S1067" s="183" t="n">
        <v>0</v>
      </c>
      <c r="T1067" s="183" t="n">
        <v>0</v>
      </c>
      <c r="U1067" s="182" t="n">
        <v>4.22</v>
      </c>
      <c r="V1067" s="182" t="n">
        <v>0</v>
      </c>
      <c r="W1067" s="182" t="n">
        <v>0</v>
      </c>
      <c r="X1067" s="182" t="n">
        <v>0.99</v>
      </c>
      <c r="Y1067" s="182" t="n">
        <v>0</v>
      </c>
      <c r="Z1067" s="182" t="n">
        <v>0</v>
      </c>
      <c r="AA1067" s="182" t="n">
        <v>0</v>
      </c>
      <c r="AB1067" s="182" t="n">
        <v>0</v>
      </c>
      <c r="AC1067" s="182" t="n">
        <v>0</v>
      </c>
      <c r="AD1067" s="182" t="n">
        <v>0</v>
      </c>
      <c r="AE1067" s="182" t="n">
        <v>0</v>
      </c>
      <c r="AF1067" s="182" t="n">
        <v>0</v>
      </c>
      <c r="AG1067" s="182" t="n">
        <v>0</v>
      </c>
      <c r="AH1067" s="182" t="n">
        <v>0</v>
      </c>
      <c r="AI1067" s="182" t="n">
        <v>0</v>
      </c>
      <c r="AJ1067" s="182" t="n">
        <v>0</v>
      </c>
      <c r="AK1067" s="182" t="n">
        <v>2.45</v>
      </c>
      <c r="AL1067" s="182" t="n">
        <v>0</v>
      </c>
      <c r="AM1067" s="182" t="n">
        <v>0.08</v>
      </c>
      <c r="AN1067" s="182" t="n">
        <v>0</v>
      </c>
    </row>
    <row r="1068">
      <c r="A1068" s="155" t="n">
        <v>46086</v>
      </c>
      <c r="B1068" s="156" t="inlineStr">
        <is>
          <t>NS</t>
        </is>
      </c>
      <c r="C1068" s="156" t="inlineStr">
        <is>
          <t>DT-514</t>
        </is>
      </c>
      <c r="D1068" s="156" t="inlineStr">
        <is>
          <t>SKT 105S</t>
        </is>
      </c>
      <c r="E1068" s="156" t="inlineStr">
        <is>
          <t>Hauler</t>
        </is>
      </c>
      <c r="F1068" s="156" t="inlineStr">
        <is>
          <t>Hauling OB</t>
        </is>
      </c>
      <c r="G1068" s="182" t="n">
        <v>6.42</v>
      </c>
      <c r="H1068" s="182" t="n">
        <v>0</v>
      </c>
      <c r="I1068" s="182" t="n">
        <v>0</v>
      </c>
      <c r="J1068" s="182" t="n">
        <v>0</v>
      </c>
      <c r="K1068" s="182" t="n">
        <v>5.58</v>
      </c>
      <c r="L1068" s="182" t="n">
        <v>12</v>
      </c>
      <c r="M1068" s="182" t="n">
        <v>6.42</v>
      </c>
      <c r="N1068" s="182" t="n">
        <v>0</v>
      </c>
      <c r="O1068" s="183" t="n">
        <v>18</v>
      </c>
      <c r="P1068" s="183" t="n">
        <v>0</v>
      </c>
      <c r="Q1068" s="184" t="n">
        <v>367.2</v>
      </c>
      <c r="R1068" s="184" t="n">
        <v>0</v>
      </c>
      <c r="S1068" s="183" t="n">
        <v>1</v>
      </c>
      <c r="T1068" s="183" t="n">
        <v>0</v>
      </c>
      <c r="U1068" s="182" t="n">
        <v>4.31</v>
      </c>
      <c r="V1068" s="182" t="n">
        <v>0</v>
      </c>
      <c r="W1068" s="182" t="n">
        <v>0</v>
      </c>
      <c r="X1068" s="182" t="n">
        <v>1.01</v>
      </c>
      <c r="Y1068" s="182" t="n">
        <v>0</v>
      </c>
      <c r="Z1068" s="182" t="n">
        <v>0</v>
      </c>
      <c r="AA1068" s="182" t="n">
        <v>0</v>
      </c>
      <c r="AB1068" s="182" t="n">
        <v>0</v>
      </c>
      <c r="AC1068" s="182" t="n">
        <v>0</v>
      </c>
      <c r="AD1068" s="182" t="n">
        <v>0</v>
      </c>
      <c r="AE1068" s="182" t="n">
        <v>0</v>
      </c>
      <c r="AF1068" s="182" t="n">
        <v>0</v>
      </c>
      <c r="AG1068" s="182" t="n">
        <v>0</v>
      </c>
      <c r="AH1068" s="182" t="n">
        <v>0.17</v>
      </c>
      <c r="AI1068" s="182" t="n">
        <v>0</v>
      </c>
      <c r="AJ1068" s="182" t="n">
        <v>0</v>
      </c>
      <c r="AK1068" s="182" t="n">
        <v>0</v>
      </c>
      <c r="AL1068" s="182" t="n">
        <v>0</v>
      </c>
      <c r="AM1068" s="182" t="n">
        <v>0.08</v>
      </c>
      <c r="AN1068" s="182" t="n">
        <v>0</v>
      </c>
    </row>
    <row r="1069">
      <c r="A1069" s="155" t="n">
        <v>46086</v>
      </c>
      <c r="B1069" s="156" t="inlineStr">
        <is>
          <t>NS</t>
        </is>
      </c>
      <c r="C1069" s="156" t="inlineStr">
        <is>
          <t>DT-523</t>
        </is>
      </c>
      <c r="D1069" s="156" t="inlineStr">
        <is>
          <t>SKT 105S</t>
        </is>
      </c>
      <c r="E1069" s="156" t="inlineStr">
        <is>
          <t>Hauler</t>
        </is>
      </c>
      <c r="F1069" s="156" t="inlineStr">
        <is>
          <t>Hauling OB ,  Mud &amp; Coal</t>
        </is>
      </c>
      <c r="G1069" s="182" t="n">
        <v>5.29</v>
      </c>
      <c r="H1069" s="182" t="n">
        <v>0</v>
      </c>
      <c r="I1069" s="182" t="n">
        <v>0</v>
      </c>
      <c r="J1069" s="182" t="n">
        <v>0</v>
      </c>
      <c r="K1069" s="182" t="n">
        <v>6.71</v>
      </c>
      <c r="L1069" s="182" t="n">
        <v>12</v>
      </c>
      <c r="M1069" s="182" t="n">
        <v>3.87</v>
      </c>
      <c r="N1069" s="182" t="n">
        <v>1.42</v>
      </c>
      <c r="O1069" s="183" t="n">
        <v>8</v>
      </c>
      <c r="P1069" s="183" t="n">
        <v>4</v>
      </c>
      <c r="Q1069" s="184" t="n">
        <v>136</v>
      </c>
      <c r="R1069" s="184" t="n">
        <v>74.8</v>
      </c>
      <c r="S1069" s="183" t="n">
        <v>0</v>
      </c>
      <c r="T1069" s="183" t="n">
        <v>0</v>
      </c>
      <c r="U1069" s="182" t="n">
        <v>4.19</v>
      </c>
      <c r="V1069" s="182" t="n">
        <v>0</v>
      </c>
      <c r="W1069" s="182" t="n">
        <v>0</v>
      </c>
      <c r="X1069" s="182" t="n">
        <v>0.99</v>
      </c>
      <c r="Y1069" s="182" t="n">
        <v>0</v>
      </c>
      <c r="Z1069" s="182" t="n">
        <v>0</v>
      </c>
      <c r="AA1069" s="182" t="n">
        <v>0</v>
      </c>
      <c r="AB1069" s="182" t="n">
        <v>0</v>
      </c>
      <c r="AC1069" s="182" t="n">
        <v>0</v>
      </c>
      <c r="AD1069" s="182" t="n">
        <v>0</v>
      </c>
      <c r="AE1069" s="182" t="n">
        <v>0</v>
      </c>
      <c r="AF1069" s="182" t="n">
        <v>0</v>
      </c>
      <c r="AG1069" s="182" t="n">
        <v>0</v>
      </c>
      <c r="AH1069" s="182" t="n">
        <v>0</v>
      </c>
      <c r="AI1069" s="182" t="n">
        <v>0</v>
      </c>
      <c r="AJ1069" s="182" t="n">
        <v>0</v>
      </c>
      <c r="AK1069" s="182" t="n">
        <v>1.45</v>
      </c>
      <c r="AL1069" s="182" t="n">
        <v>0</v>
      </c>
      <c r="AM1069" s="182" t="n">
        <v>0.08</v>
      </c>
      <c r="AN1069" s="182" t="n">
        <v>0</v>
      </c>
    </row>
    <row r="1070">
      <c r="A1070" s="155" t="n">
        <v>46086</v>
      </c>
      <c r="B1070" s="156" t="inlineStr">
        <is>
          <t>NS</t>
        </is>
      </c>
      <c r="C1070" s="156" t="inlineStr">
        <is>
          <t>DT-519</t>
        </is>
      </c>
      <c r="D1070" s="156" t="inlineStr">
        <is>
          <t>SKT 105S</t>
        </is>
      </c>
      <c r="E1070" s="156" t="inlineStr">
        <is>
          <t>Hauler</t>
        </is>
      </c>
      <c r="F1070" s="156" t="inlineStr"/>
      <c r="G1070" s="182" t="n">
        <v>0</v>
      </c>
      <c r="H1070" s="182" t="n">
        <v>0</v>
      </c>
      <c r="I1070" s="182" t="n">
        <v>12</v>
      </c>
      <c r="J1070" s="182" t="n">
        <v>12</v>
      </c>
      <c r="K1070" s="182" t="n">
        <v>0</v>
      </c>
      <c r="L1070" s="182" t="n">
        <v>12</v>
      </c>
      <c r="M1070" s="182" t="n">
        <v>0</v>
      </c>
      <c r="N1070" s="182" t="n">
        <v>0</v>
      </c>
      <c r="O1070" s="183" t="n">
        <v>0</v>
      </c>
      <c r="P1070" s="183" t="n">
        <v>0</v>
      </c>
      <c r="Q1070" s="184" t="n">
        <v>0</v>
      </c>
      <c r="R1070" s="184" t="n">
        <v>0</v>
      </c>
      <c r="S1070" s="183" t="n">
        <v>0</v>
      </c>
      <c r="T1070" s="183" t="n">
        <v>0</v>
      </c>
      <c r="U1070" s="182" t="n">
        <v>0</v>
      </c>
      <c r="V1070" s="182" t="n">
        <v>0</v>
      </c>
      <c r="W1070" s="182" t="n">
        <v>0</v>
      </c>
      <c r="X1070" s="182" t="n">
        <v>0</v>
      </c>
      <c r="Y1070" s="182" t="n">
        <v>0</v>
      </c>
      <c r="Z1070" s="182" t="n">
        <v>0</v>
      </c>
      <c r="AA1070" s="182" t="n">
        <v>0</v>
      </c>
      <c r="AB1070" s="182" t="n">
        <v>0</v>
      </c>
      <c r="AC1070" s="182" t="n">
        <v>0</v>
      </c>
      <c r="AD1070" s="182" t="n">
        <v>0</v>
      </c>
      <c r="AE1070" s="182" t="n">
        <v>0</v>
      </c>
      <c r="AF1070" s="182" t="n">
        <v>0</v>
      </c>
      <c r="AG1070" s="182" t="n">
        <v>0</v>
      </c>
      <c r="AH1070" s="182" t="n">
        <v>0</v>
      </c>
      <c r="AI1070" s="182" t="n">
        <v>0</v>
      </c>
      <c r="AJ1070" s="182" t="n">
        <v>0</v>
      </c>
      <c r="AK1070" s="182" t="n">
        <v>0</v>
      </c>
      <c r="AL1070" s="182" t="n">
        <v>0</v>
      </c>
      <c r="AM1070" s="182" t="n">
        <v>0</v>
      </c>
      <c r="AN1070" s="182" t="n">
        <v>0</v>
      </c>
    </row>
    <row r="1071">
      <c r="A1071" s="155" t="n">
        <v>46086</v>
      </c>
      <c r="B1071" s="156" t="inlineStr">
        <is>
          <t>NS</t>
        </is>
      </c>
      <c r="C1071" s="156" t="inlineStr">
        <is>
          <t>DT-527</t>
        </is>
      </c>
      <c r="D1071" s="156" t="inlineStr">
        <is>
          <t>SKT 105S</t>
        </is>
      </c>
      <c r="E1071" s="156" t="inlineStr">
        <is>
          <t>Hauler</t>
        </is>
      </c>
      <c r="F1071" s="156" t="inlineStr">
        <is>
          <t>Hauling OB</t>
        </is>
      </c>
      <c r="G1071" s="182" t="n">
        <v>7.21</v>
      </c>
      <c r="H1071" s="182" t="n">
        <v>0</v>
      </c>
      <c r="I1071" s="182" t="n">
        <v>0</v>
      </c>
      <c r="J1071" s="182" t="n">
        <v>0</v>
      </c>
      <c r="K1071" s="182" t="n">
        <v>4.79</v>
      </c>
      <c r="L1071" s="182" t="n">
        <v>12</v>
      </c>
      <c r="M1071" s="182" t="n">
        <v>7.21</v>
      </c>
      <c r="N1071" s="182" t="n">
        <v>0</v>
      </c>
      <c r="O1071" s="183" t="n">
        <v>21</v>
      </c>
      <c r="P1071" s="183" t="n">
        <v>0</v>
      </c>
      <c r="Q1071" s="184" t="n">
        <v>428.4</v>
      </c>
      <c r="R1071" s="184" t="n">
        <v>0</v>
      </c>
      <c r="S1071" s="183" t="n">
        <v>1</v>
      </c>
      <c r="T1071" s="183" t="n">
        <v>0</v>
      </c>
      <c r="U1071" s="182" t="n">
        <v>3.81</v>
      </c>
      <c r="V1071" s="182" t="n">
        <v>0</v>
      </c>
      <c r="W1071" s="182" t="n">
        <v>0</v>
      </c>
      <c r="X1071" s="182" t="n">
        <v>0.9</v>
      </c>
      <c r="Y1071" s="182" t="n">
        <v>0</v>
      </c>
      <c r="Z1071" s="182" t="n">
        <v>0</v>
      </c>
      <c r="AA1071" s="182" t="n">
        <v>0</v>
      </c>
      <c r="AB1071" s="182" t="n">
        <v>0</v>
      </c>
      <c r="AC1071" s="182" t="n">
        <v>0</v>
      </c>
      <c r="AD1071" s="182" t="n">
        <v>0</v>
      </c>
      <c r="AE1071" s="182" t="n">
        <v>0</v>
      </c>
      <c r="AF1071" s="182" t="n">
        <v>0</v>
      </c>
      <c r="AG1071" s="182" t="n">
        <v>0</v>
      </c>
      <c r="AH1071" s="182" t="n">
        <v>0</v>
      </c>
      <c r="AI1071" s="182" t="n">
        <v>0</v>
      </c>
      <c r="AJ1071" s="182" t="n">
        <v>0</v>
      </c>
      <c r="AK1071" s="182" t="n">
        <v>0</v>
      </c>
      <c r="AL1071" s="182" t="n">
        <v>0</v>
      </c>
      <c r="AM1071" s="182" t="n">
        <v>0.07000000000000001</v>
      </c>
      <c r="AN1071" s="182" t="n">
        <v>0</v>
      </c>
    </row>
    <row r="1072">
      <c r="A1072" s="155" t="n">
        <v>46086</v>
      </c>
      <c r="B1072" s="156" t="inlineStr">
        <is>
          <t>NS</t>
        </is>
      </c>
      <c r="C1072" s="156" t="inlineStr">
        <is>
          <t>DT-513</t>
        </is>
      </c>
      <c r="D1072" s="156" t="inlineStr">
        <is>
          <t>SKT 105S</t>
        </is>
      </c>
      <c r="E1072" s="156" t="inlineStr">
        <is>
          <t>Hauler</t>
        </is>
      </c>
      <c r="F1072" s="156" t="inlineStr"/>
      <c r="G1072" s="182" t="n">
        <v>0</v>
      </c>
      <c r="H1072" s="182" t="n">
        <v>0</v>
      </c>
      <c r="I1072" s="182" t="n">
        <v>12</v>
      </c>
      <c r="J1072" s="182" t="n">
        <v>12</v>
      </c>
      <c r="K1072" s="182" t="n">
        <v>0</v>
      </c>
      <c r="L1072" s="182" t="n">
        <v>12</v>
      </c>
      <c r="M1072" s="182" t="n">
        <v>0</v>
      </c>
      <c r="N1072" s="182" t="n">
        <v>0</v>
      </c>
      <c r="O1072" s="183" t="n">
        <v>0</v>
      </c>
      <c r="P1072" s="183" t="n">
        <v>0</v>
      </c>
      <c r="Q1072" s="184" t="n">
        <v>0</v>
      </c>
      <c r="R1072" s="184" t="n">
        <v>0</v>
      </c>
      <c r="S1072" s="183" t="n">
        <v>0</v>
      </c>
      <c r="T1072" s="183" t="n">
        <v>0</v>
      </c>
      <c r="U1072" s="182" t="n">
        <v>0</v>
      </c>
      <c r="V1072" s="182" t="n">
        <v>0</v>
      </c>
      <c r="W1072" s="182" t="n">
        <v>0</v>
      </c>
      <c r="X1072" s="182" t="n">
        <v>0</v>
      </c>
      <c r="Y1072" s="182" t="n">
        <v>0</v>
      </c>
      <c r="Z1072" s="182" t="n">
        <v>0</v>
      </c>
      <c r="AA1072" s="182" t="n">
        <v>0</v>
      </c>
      <c r="AB1072" s="182" t="n">
        <v>0</v>
      </c>
      <c r="AC1072" s="182" t="n">
        <v>0</v>
      </c>
      <c r="AD1072" s="182" t="n">
        <v>0</v>
      </c>
      <c r="AE1072" s="182" t="n">
        <v>0</v>
      </c>
      <c r="AF1072" s="182" t="n">
        <v>0</v>
      </c>
      <c r="AG1072" s="182" t="n">
        <v>0</v>
      </c>
      <c r="AH1072" s="182" t="n">
        <v>0</v>
      </c>
      <c r="AI1072" s="182" t="n">
        <v>0</v>
      </c>
      <c r="AJ1072" s="182" t="n">
        <v>0</v>
      </c>
      <c r="AK1072" s="182" t="n">
        <v>0</v>
      </c>
      <c r="AL1072" s="182" t="n">
        <v>0</v>
      </c>
      <c r="AM1072" s="182" t="n">
        <v>0</v>
      </c>
      <c r="AN1072" s="182" t="n">
        <v>0</v>
      </c>
    </row>
    <row r="1073">
      <c r="A1073" s="155" t="n">
        <v>46086</v>
      </c>
      <c r="B1073" s="156" t="inlineStr">
        <is>
          <t>NS</t>
        </is>
      </c>
      <c r="C1073" s="156" t="inlineStr">
        <is>
          <t>DT-512</t>
        </is>
      </c>
      <c r="D1073" s="156" t="inlineStr">
        <is>
          <t>SKT 105S</t>
        </is>
      </c>
      <c r="E1073" s="156" t="inlineStr">
        <is>
          <t>Hauler</t>
        </is>
      </c>
      <c r="F1073" s="156" t="inlineStr"/>
      <c r="G1073" s="182" t="n">
        <v>0</v>
      </c>
      <c r="H1073" s="182" t="n">
        <v>0</v>
      </c>
      <c r="I1073" s="182" t="n">
        <v>0</v>
      </c>
      <c r="J1073" s="182" t="n">
        <v>0</v>
      </c>
      <c r="K1073" s="182" t="n">
        <v>12</v>
      </c>
      <c r="L1073" s="182" t="n">
        <v>12</v>
      </c>
      <c r="M1073" s="182" t="n">
        <v>0</v>
      </c>
      <c r="N1073" s="182" t="n">
        <v>0</v>
      </c>
      <c r="O1073" s="183" t="n">
        <v>0</v>
      </c>
      <c r="P1073" s="183" t="n">
        <v>0</v>
      </c>
      <c r="Q1073" s="184" t="n">
        <v>0</v>
      </c>
      <c r="R1073" s="184" t="n">
        <v>0</v>
      </c>
      <c r="S1073" s="183" t="n">
        <v>0</v>
      </c>
      <c r="T1073" s="183" t="n">
        <v>0</v>
      </c>
      <c r="U1073" s="182" t="n">
        <v>4.25</v>
      </c>
      <c r="V1073" s="182" t="n">
        <v>0</v>
      </c>
      <c r="W1073" s="182" t="n">
        <v>0</v>
      </c>
      <c r="X1073" s="182" t="n">
        <v>1</v>
      </c>
      <c r="Y1073" s="182" t="n">
        <v>0</v>
      </c>
      <c r="Z1073" s="182" t="n">
        <v>0</v>
      </c>
      <c r="AA1073" s="182" t="n">
        <v>0</v>
      </c>
      <c r="AB1073" s="182" t="n">
        <v>0</v>
      </c>
      <c r="AC1073" s="182" t="n">
        <v>0</v>
      </c>
      <c r="AD1073" s="182" t="n">
        <v>0</v>
      </c>
      <c r="AE1073" s="182" t="n">
        <v>0</v>
      </c>
      <c r="AF1073" s="182" t="n">
        <v>0</v>
      </c>
      <c r="AG1073" s="182" t="n">
        <v>0</v>
      </c>
      <c r="AH1073" s="182" t="n">
        <v>0</v>
      </c>
      <c r="AI1073" s="182" t="n">
        <v>6.67</v>
      </c>
      <c r="AJ1073" s="182" t="n">
        <v>0</v>
      </c>
      <c r="AK1073" s="182" t="n">
        <v>0</v>
      </c>
      <c r="AL1073" s="182" t="n">
        <v>0</v>
      </c>
      <c r="AM1073" s="182" t="n">
        <v>0.08</v>
      </c>
      <c r="AN1073" s="182" t="n">
        <v>0</v>
      </c>
    </row>
    <row r="1074">
      <c r="A1074" s="155" t="n">
        <v>46086</v>
      </c>
      <c r="B1074" s="156" t="inlineStr">
        <is>
          <t>NS</t>
        </is>
      </c>
      <c r="C1074" s="156" t="inlineStr">
        <is>
          <t>DT-522</t>
        </is>
      </c>
      <c r="D1074" s="156" t="inlineStr">
        <is>
          <t>SKT 105S</t>
        </is>
      </c>
      <c r="E1074" s="156" t="inlineStr">
        <is>
          <t>Hauler</t>
        </is>
      </c>
      <c r="F1074" s="156" t="inlineStr">
        <is>
          <t>Hauling Coal</t>
        </is>
      </c>
      <c r="G1074" s="182" t="n">
        <v>6.81</v>
      </c>
      <c r="H1074" s="182" t="n">
        <v>0</v>
      </c>
      <c r="I1074" s="182" t="n">
        <v>0</v>
      </c>
      <c r="J1074" s="182" t="n">
        <v>0</v>
      </c>
      <c r="K1074" s="182" t="n">
        <v>5.19</v>
      </c>
      <c r="L1074" s="182" t="n">
        <v>12</v>
      </c>
      <c r="M1074" s="182" t="n">
        <v>0</v>
      </c>
      <c r="N1074" s="182" t="n">
        <v>6.81</v>
      </c>
      <c r="O1074" s="183" t="n">
        <v>0</v>
      </c>
      <c r="P1074" s="183" t="n">
        <v>16</v>
      </c>
      <c r="Q1074" s="184" t="n">
        <v>0</v>
      </c>
      <c r="R1074" s="184" t="n">
        <v>299.2</v>
      </c>
      <c r="S1074" s="183" t="n">
        <v>0</v>
      </c>
      <c r="T1074" s="183" t="n">
        <v>0</v>
      </c>
      <c r="U1074" s="182" t="n">
        <v>4.09</v>
      </c>
      <c r="V1074" s="182" t="n">
        <v>0</v>
      </c>
      <c r="W1074" s="182" t="n">
        <v>0</v>
      </c>
      <c r="X1074" s="182" t="n">
        <v>1.02</v>
      </c>
      <c r="Y1074" s="182" t="n">
        <v>0</v>
      </c>
      <c r="Z1074" s="182" t="n">
        <v>0</v>
      </c>
      <c r="AA1074" s="182" t="n">
        <v>0</v>
      </c>
      <c r="AB1074" s="182" t="n">
        <v>0</v>
      </c>
      <c r="AC1074" s="182" t="n">
        <v>0</v>
      </c>
      <c r="AD1074" s="182" t="n">
        <v>0</v>
      </c>
      <c r="AE1074" s="182" t="n">
        <v>0</v>
      </c>
      <c r="AF1074" s="182" t="n">
        <v>0</v>
      </c>
      <c r="AG1074" s="182" t="n">
        <v>0</v>
      </c>
      <c r="AH1074" s="182" t="n">
        <v>0</v>
      </c>
      <c r="AI1074" s="182" t="n">
        <v>0</v>
      </c>
      <c r="AJ1074" s="182" t="n">
        <v>0</v>
      </c>
      <c r="AK1074" s="182" t="n">
        <v>0</v>
      </c>
      <c r="AL1074" s="182" t="n">
        <v>0</v>
      </c>
      <c r="AM1074" s="182" t="n">
        <v>0.08</v>
      </c>
      <c r="AN1074" s="182" t="n">
        <v>0</v>
      </c>
    </row>
    <row r="1075">
      <c r="A1075" s="155" t="n">
        <v>46086</v>
      </c>
      <c r="B1075" s="156" t="inlineStr">
        <is>
          <t>NS</t>
        </is>
      </c>
      <c r="C1075" s="156" t="inlineStr">
        <is>
          <t>DT-517</t>
        </is>
      </c>
      <c r="D1075" s="156" t="inlineStr">
        <is>
          <t>SKT 105S</t>
        </is>
      </c>
      <c r="E1075" s="156" t="inlineStr">
        <is>
          <t>Hauler</t>
        </is>
      </c>
      <c r="F1075" s="156" t="inlineStr">
        <is>
          <t>Hauling OB</t>
        </is>
      </c>
      <c r="G1075" s="182" t="n">
        <v>4.68</v>
      </c>
      <c r="H1075" s="182" t="n">
        <v>0</v>
      </c>
      <c r="I1075" s="182" t="n">
        <v>0.25</v>
      </c>
      <c r="J1075" s="182" t="n">
        <v>0.25</v>
      </c>
      <c r="K1075" s="182" t="n">
        <v>7.07</v>
      </c>
      <c r="L1075" s="182" t="n">
        <v>12</v>
      </c>
      <c r="M1075" s="182" t="n">
        <v>4.68</v>
      </c>
      <c r="N1075" s="182" t="n">
        <v>0</v>
      </c>
      <c r="O1075" s="183" t="n">
        <v>16</v>
      </c>
      <c r="P1075" s="183" t="n">
        <v>0</v>
      </c>
      <c r="Q1075" s="184" t="n">
        <v>326.4</v>
      </c>
      <c r="R1075" s="184" t="n">
        <v>0</v>
      </c>
      <c r="S1075" s="183" t="n">
        <v>0</v>
      </c>
      <c r="T1075" s="183" t="n">
        <v>0</v>
      </c>
      <c r="U1075" s="182" t="n">
        <v>4.2</v>
      </c>
      <c r="V1075" s="182" t="n">
        <v>0</v>
      </c>
      <c r="W1075" s="182" t="n">
        <v>0</v>
      </c>
      <c r="X1075" s="182" t="n">
        <v>0.99</v>
      </c>
      <c r="Y1075" s="182" t="n">
        <v>0</v>
      </c>
      <c r="Z1075" s="182" t="n">
        <v>0</v>
      </c>
      <c r="AA1075" s="182" t="n">
        <v>0</v>
      </c>
      <c r="AB1075" s="182" t="n">
        <v>0</v>
      </c>
      <c r="AC1075" s="182" t="n">
        <v>0</v>
      </c>
      <c r="AD1075" s="182" t="n">
        <v>0</v>
      </c>
      <c r="AE1075" s="182" t="n">
        <v>0</v>
      </c>
      <c r="AF1075" s="182" t="n">
        <v>0</v>
      </c>
      <c r="AG1075" s="182" t="n">
        <v>0</v>
      </c>
      <c r="AH1075" s="182" t="n">
        <v>0</v>
      </c>
      <c r="AI1075" s="182" t="n">
        <v>0</v>
      </c>
      <c r="AJ1075" s="182" t="n">
        <v>0</v>
      </c>
      <c r="AK1075" s="182" t="n">
        <v>1.8</v>
      </c>
      <c r="AL1075" s="182" t="n">
        <v>0</v>
      </c>
      <c r="AM1075" s="182" t="n">
        <v>0.08</v>
      </c>
      <c r="AN1075" s="182" t="n">
        <v>0</v>
      </c>
    </row>
    <row r="1076">
      <c r="A1076" s="155" t="n">
        <v>46086</v>
      </c>
      <c r="B1076" s="156" t="inlineStr">
        <is>
          <t>NS</t>
        </is>
      </c>
      <c r="C1076" s="156" t="inlineStr">
        <is>
          <t>DT-510</t>
        </is>
      </c>
      <c r="D1076" s="156" t="inlineStr">
        <is>
          <t>SKT 105S</t>
        </is>
      </c>
      <c r="E1076" s="156" t="inlineStr">
        <is>
          <t>Hauler</t>
        </is>
      </c>
      <c r="F1076" s="156" t="inlineStr"/>
      <c r="G1076" s="182" t="n">
        <v>0</v>
      </c>
      <c r="H1076" s="182" t="n">
        <v>0</v>
      </c>
      <c r="I1076" s="182" t="n">
        <v>12</v>
      </c>
      <c r="J1076" s="182" t="n">
        <v>12</v>
      </c>
      <c r="K1076" s="182" t="n">
        <v>0</v>
      </c>
      <c r="L1076" s="182" t="n">
        <v>12</v>
      </c>
      <c r="M1076" s="182" t="n">
        <v>0</v>
      </c>
      <c r="N1076" s="182" t="n">
        <v>0</v>
      </c>
      <c r="O1076" s="183" t="n">
        <v>0</v>
      </c>
      <c r="P1076" s="183" t="n">
        <v>0</v>
      </c>
      <c r="Q1076" s="184" t="n">
        <v>0</v>
      </c>
      <c r="R1076" s="184" t="n">
        <v>0</v>
      </c>
      <c r="S1076" s="183" t="n">
        <v>0</v>
      </c>
      <c r="T1076" s="183" t="n">
        <v>0</v>
      </c>
      <c r="U1076" s="182" t="n">
        <v>0</v>
      </c>
      <c r="V1076" s="182" t="n">
        <v>0</v>
      </c>
      <c r="W1076" s="182" t="n">
        <v>0</v>
      </c>
      <c r="X1076" s="182" t="n">
        <v>0</v>
      </c>
      <c r="Y1076" s="182" t="n">
        <v>0</v>
      </c>
      <c r="Z1076" s="182" t="n">
        <v>0</v>
      </c>
      <c r="AA1076" s="182" t="n">
        <v>0</v>
      </c>
      <c r="AB1076" s="182" t="n">
        <v>0</v>
      </c>
      <c r="AC1076" s="182" t="n">
        <v>0</v>
      </c>
      <c r="AD1076" s="182" t="n">
        <v>0</v>
      </c>
      <c r="AE1076" s="182" t="n">
        <v>0</v>
      </c>
      <c r="AF1076" s="182" t="n">
        <v>0</v>
      </c>
      <c r="AG1076" s="182" t="n">
        <v>0</v>
      </c>
      <c r="AH1076" s="182" t="n">
        <v>0</v>
      </c>
      <c r="AI1076" s="182" t="n">
        <v>0</v>
      </c>
      <c r="AJ1076" s="182" t="n">
        <v>0</v>
      </c>
      <c r="AK1076" s="182" t="n">
        <v>0</v>
      </c>
      <c r="AL1076" s="182" t="n">
        <v>0</v>
      </c>
      <c r="AM1076" s="182" t="n">
        <v>0</v>
      </c>
      <c r="AN1076" s="182" t="n">
        <v>0</v>
      </c>
    </row>
    <row r="1077">
      <c r="A1077" s="155" t="n">
        <v>46086</v>
      </c>
      <c r="B1077" s="156" t="inlineStr">
        <is>
          <t>NS</t>
        </is>
      </c>
      <c r="C1077" s="156" t="inlineStr">
        <is>
          <t>DT-521</t>
        </is>
      </c>
      <c r="D1077" s="156" t="inlineStr">
        <is>
          <t>SKT 105S</t>
        </is>
      </c>
      <c r="E1077" s="156" t="inlineStr">
        <is>
          <t>Hauler</t>
        </is>
      </c>
      <c r="F1077" s="156" t="inlineStr">
        <is>
          <t>Hauling OB</t>
        </is>
      </c>
      <c r="G1077" s="182" t="n">
        <v>6.75</v>
      </c>
      <c r="H1077" s="182" t="n">
        <v>0</v>
      </c>
      <c r="I1077" s="182" t="n">
        <v>0</v>
      </c>
      <c r="J1077" s="182" t="n">
        <v>0</v>
      </c>
      <c r="K1077" s="182" t="n">
        <v>5.25</v>
      </c>
      <c r="L1077" s="182" t="n">
        <v>12</v>
      </c>
      <c r="M1077" s="182" t="n">
        <v>6.75</v>
      </c>
      <c r="N1077" s="182" t="n">
        <v>0</v>
      </c>
      <c r="O1077" s="183" t="n">
        <v>19</v>
      </c>
      <c r="P1077" s="183" t="n">
        <v>0</v>
      </c>
      <c r="Q1077" s="184" t="n">
        <v>387.6</v>
      </c>
      <c r="R1077" s="184" t="n">
        <v>0</v>
      </c>
      <c r="S1077" s="183" t="n">
        <v>1</v>
      </c>
      <c r="T1077" s="183" t="n">
        <v>0</v>
      </c>
      <c r="U1077" s="182" t="n">
        <v>4.16</v>
      </c>
      <c r="V1077" s="182" t="n">
        <v>0</v>
      </c>
      <c r="W1077" s="182" t="n">
        <v>0</v>
      </c>
      <c r="X1077" s="182" t="n">
        <v>1.01</v>
      </c>
      <c r="Y1077" s="182" t="n">
        <v>0</v>
      </c>
      <c r="Z1077" s="182" t="n">
        <v>0</v>
      </c>
      <c r="AA1077" s="182" t="n">
        <v>0</v>
      </c>
      <c r="AB1077" s="182" t="n">
        <v>0</v>
      </c>
      <c r="AC1077" s="182" t="n">
        <v>0</v>
      </c>
      <c r="AD1077" s="182" t="n">
        <v>0</v>
      </c>
      <c r="AE1077" s="182" t="n">
        <v>0</v>
      </c>
      <c r="AF1077" s="182" t="n">
        <v>0</v>
      </c>
      <c r="AG1077" s="182" t="n">
        <v>0</v>
      </c>
      <c r="AH1077" s="182" t="n">
        <v>0</v>
      </c>
      <c r="AI1077" s="182" t="n">
        <v>0</v>
      </c>
      <c r="AJ1077" s="182" t="n">
        <v>0</v>
      </c>
      <c r="AK1077" s="182" t="n">
        <v>0</v>
      </c>
      <c r="AL1077" s="182" t="n">
        <v>0</v>
      </c>
      <c r="AM1077" s="182" t="n">
        <v>0.08</v>
      </c>
      <c r="AN1077" s="182" t="n">
        <v>0</v>
      </c>
    </row>
    <row r="1078">
      <c r="A1078" s="155" t="n">
        <v>46086</v>
      </c>
      <c r="B1078" s="156" t="inlineStr">
        <is>
          <t>NS</t>
        </is>
      </c>
      <c r="C1078" s="156" t="inlineStr">
        <is>
          <t>DT-516</t>
        </is>
      </c>
      <c r="D1078" s="156" t="inlineStr">
        <is>
          <t>SKT 105S</t>
        </is>
      </c>
      <c r="E1078" s="156" t="inlineStr">
        <is>
          <t>Hauler</t>
        </is>
      </c>
      <c r="F1078" s="156" t="inlineStr">
        <is>
          <t>Hauling OB</t>
        </is>
      </c>
      <c r="G1078" s="182" t="n">
        <v>4.01</v>
      </c>
      <c r="H1078" s="182" t="n">
        <v>0</v>
      </c>
      <c r="I1078" s="182" t="n">
        <v>0.75</v>
      </c>
      <c r="J1078" s="182" t="n">
        <v>0.75</v>
      </c>
      <c r="K1078" s="182" t="n">
        <v>7.24</v>
      </c>
      <c r="L1078" s="182" t="n">
        <v>12</v>
      </c>
      <c r="M1078" s="182" t="n">
        <v>4.01</v>
      </c>
      <c r="N1078" s="182" t="n">
        <v>0</v>
      </c>
      <c r="O1078" s="183" t="n">
        <v>18</v>
      </c>
      <c r="P1078" s="183" t="n">
        <v>0</v>
      </c>
      <c r="Q1078" s="184" t="n">
        <v>367.2</v>
      </c>
      <c r="R1078" s="184" t="n">
        <v>0</v>
      </c>
      <c r="S1078" s="183" t="n">
        <v>0</v>
      </c>
      <c r="T1078" s="183" t="n">
        <v>0</v>
      </c>
      <c r="U1078" s="182" t="n">
        <v>4.43</v>
      </c>
      <c r="V1078" s="182" t="n">
        <v>0</v>
      </c>
      <c r="W1078" s="182" t="n">
        <v>0</v>
      </c>
      <c r="X1078" s="182" t="n">
        <v>1.04</v>
      </c>
      <c r="Y1078" s="182" t="n">
        <v>0</v>
      </c>
      <c r="Z1078" s="182" t="n">
        <v>0</v>
      </c>
      <c r="AA1078" s="182" t="n">
        <v>0</v>
      </c>
      <c r="AB1078" s="182" t="n">
        <v>0</v>
      </c>
      <c r="AC1078" s="182" t="n">
        <v>0</v>
      </c>
      <c r="AD1078" s="182" t="n">
        <v>0</v>
      </c>
      <c r="AE1078" s="182" t="n">
        <v>0</v>
      </c>
      <c r="AF1078" s="182" t="n">
        <v>0</v>
      </c>
      <c r="AG1078" s="182" t="n">
        <v>0</v>
      </c>
      <c r="AH1078" s="182" t="n">
        <v>0</v>
      </c>
      <c r="AI1078" s="182" t="n">
        <v>0</v>
      </c>
      <c r="AJ1078" s="182" t="n">
        <v>0</v>
      </c>
      <c r="AK1078" s="182" t="n">
        <v>1.69</v>
      </c>
      <c r="AL1078" s="182" t="n">
        <v>0</v>
      </c>
      <c r="AM1078" s="182" t="n">
        <v>0.08</v>
      </c>
      <c r="AN1078" s="182" t="n">
        <v>0</v>
      </c>
    </row>
    <row r="1079">
      <c r="A1079" s="155" t="n">
        <v>46086</v>
      </c>
      <c r="B1079" s="156" t="inlineStr">
        <is>
          <t>NS</t>
        </is>
      </c>
      <c r="C1079" s="156" t="inlineStr">
        <is>
          <t>DT-506</t>
        </is>
      </c>
      <c r="D1079" s="156" t="inlineStr">
        <is>
          <t>SKT 105S</t>
        </is>
      </c>
      <c r="E1079" s="156" t="inlineStr">
        <is>
          <t>Hauler</t>
        </is>
      </c>
      <c r="F1079" s="156" t="inlineStr">
        <is>
          <t>Hauling Coal</t>
        </is>
      </c>
      <c r="G1079" s="182" t="n">
        <v>7.31</v>
      </c>
      <c r="H1079" s="182" t="n">
        <v>0</v>
      </c>
      <c r="I1079" s="182" t="n">
        <v>0</v>
      </c>
      <c r="J1079" s="182" t="n">
        <v>0</v>
      </c>
      <c r="K1079" s="182" t="n">
        <v>4.69</v>
      </c>
      <c r="L1079" s="182" t="n">
        <v>12</v>
      </c>
      <c r="M1079" s="182" t="n">
        <v>0</v>
      </c>
      <c r="N1079" s="182" t="n">
        <v>7.31</v>
      </c>
      <c r="O1079" s="183" t="n">
        <v>0</v>
      </c>
      <c r="P1079" s="183" t="n">
        <v>18</v>
      </c>
      <c r="Q1079" s="184" t="n">
        <v>0</v>
      </c>
      <c r="R1079" s="184" t="n">
        <v>336.6</v>
      </c>
      <c r="S1079" s="183" t="n">
        <v>0</v>
      </c>
      <c r="T1079" s="183" t="n">
        <v>0</v>
      </c>
      <c r="U1079" s="182" t="n">
        <v>3.61</v>
      </c>
      <c r="V1079" s="182" t="n">
        <v>0</v>
      </c>
      <c r="W1079" s="182" t="n">
        <v>0</v>
      </c>
      <c r="X1079" s="182" t="n">
        <v>1</v>
      </c>
      <c r="Y1079" s="182" t="n">
        <v>0</v>
      </c>
      <c r="Z1079" s="182" t="n">
        <v>0</v>
      </c>
      <c r="AA1079" s="182" t="n">
        <v>0</v>
      </c>
      <c r="AB1079" s="182" t="n">
        <v>0</v>
      </c>
      <c r="AC1079" s="182" t="n">
        <v>0</v>
      </c>
      <c r="AD1079" s="182" t="n">
        <v>0</v>
      </c>
      <c r="AE1079" s="182" t="n">
        <v>0</v>
      </c>
      <c r="AF1079" s="182" t="n">
        <v>0</v>
      </c>
      <c r="AG1079" s="182" t="n">
        <v>0</v>
      </c>
      <c r="AH1079" s="182" t="n">
        <v>0</v>
      </c>
      <c r="AI1079" s="182" t="n">
        <v>0</v>
      </c>
      <c r="AJ1079" s="182" t="n">
        <v>0</v>
      </c>
      <c r="AK1079" s="182" t="n">
        <v>0</v>
      </c>
      <c r="AL1079" s="182" t="n">
        <v>0</v>
      </c>
      <c r="AM1079" s="182" t="n">
        <v>0.08</v>
      </c>
      <c r="AN1079" s="182" t="n">
        <v>0</v>
      </c>
    </row>
    <row r="1080">
      <c r="A1080" s="155" t="n">
        <v>46086</v>
      </c>
      <c r="B1080" s="156" t="inlineStr">
        <is>
          <t>NS</t>
        </is>
      </c>
      <c r="C1080" s="156" t="inlineStr">
        <is>
          <t>DT-502</t>
        </is>
      </c>
      <c r="D1080" s="156" t="inlineStr">
        <is>
          <t>SKT 105S</t>
        </is>
      </c>
      <c r="E1080" s="156" t="inlineStr">
        <is>
          <t>Hauler</t>
        </is>
      </c>
      <c r="F1080" s="156" t="inlineStr">
        <is>
          <t>Hauling Coal</t>
        </is>
      </c>
      <c r="G1080" s="182" t="n">
        <v>6.23</v>
      </c>
      <c r="H1080" s="182" t="n">
        <v>0</v>
      </c>
      <c r="I1080" s="182" t="n">
        <v>0</v>
      </c>
      <c r="J1080" s="182" t="n">
        <v>0</v>
      </c>
      <c r="K1080" s="182" t="n">
        <v>5.77</v>
      </c>
      <c r="L1080" s="182" t="n">
        <v>12</v>
      </c>
      <c r="M1080" s="182" t="n">
        <v>0</v>
      </c>
      <c r="N1080" s="182" t="n">
        <v>6.23</v>
      </c>
      <c r="O1080" s="183" t="n">
        <v>0</v>
      </c>
      <c r="P1080" s="183" t="n">
        <v>15</v>
      </c>
      <c r="Q1080" s="184" t="n">
        <v>0</v>
      </c>
      <c r="R1080" s="184" t="n">
        <v>280.5</v>
      </c>
      <c r="S1080" s="183" t="n">
        <v>0</v>
      </c>
      <c r="T1080" s="183" t="n">
        <v>0</v>
      </c>
      <c r="U1080" s="182" t="n">
        <v>4.38</v>
      </c>
      <c r="V1080" s="182" t="n">
        <v>0</v>
      </c>
      <c r="W1080" s="182" t="n">
        <v>0</v>
      </c>
      <c r="X1080" s="182" t="n">
        <v>1.03</v>
      </c>
      <c r="Y1080" s="182" t="n">
        <v>0</v>
      </c>
      <c r="Z1080" s="182" t="n">
        <v>0</v>
      </c>
      <c r="AA1080" s="182" t="n">
        <v>0</v>
      </c>
      <c r="AB1080" s="182" t="n">
        <v>0</v>
      </c>
      <c r="AC1080" s="182" t="n">
        <v>0</v>
      </c>
      <c r="AD1080" s="182" t="n">
        <v>0</v>
      </c>
      <c r="AE1080" s="182" t="n">
        <v>0</v>
      </c>
      <c r="AF1080" s="182" t="n">
        <v>0</v>
      </c>
      <c r="AG1080" s="182" t="n">
        <v>0</v>
      </c>
      <c r="AH1080" s="182" t="n">
        <v>0.28</v>
      </c>
      <c r="AI1080" s="182" t="n">
        <v>0</v>
      </c>
      <c r="AJ1080" s="182" t="n">
        <v>0</v>
      </c>
      <c r="AK1080" s="182" t="n">
        <v>0</v>
      </c>
      <c r="AL1080" s="182" t="n">
        <v>0</v>
      </c>
      <c r="AM1080" s="182" t="n">
        <v>0.08</v>
      </c>
      <c r="AN1080" s="182" t="n">
        <v>0</v>
      </c>
    </row>
    <row r="1081">
      <c r="A1081" s="155" t="n">
        <v>46086</v>
      </c>
      <c r="B1081" s="156" t="inlineStr">
        <is>
          <t>NS</t>
        </is>
      </c>
      <c r="C1081" s="156" t="inlineStr">
        <is>
          <t>DT-528</t>
        </is>
      </c>
      <c r="D1081" s="156" t="inlineStr">
        <is>
          <t>SKT 105S</t>
        </is>
      </c>
      <c r="E1081" s="156" t="inlineStr">
        <is>
          <t>Hauler</t>
        </is>
      </c>
      <c r="F1081" s="156" t="inlineStr">
        <is>
          <t>Hauling OB</t>
        </is>
      </c>
      <c r="G1081" s="182" t="n">
        <v>7.02</v>
      </c>
      <c r="H1081" s="182" t="n">
        <v>0</v>
      </c>
      <c r="I1081" s="182" t="n">
        <v>0</v>
      </c>
      <c r="J1081" s="182" t="n">
        <v>0</v>
      </c>
      <c r="K1081" s="182" t="n">
        <v>4.98</v>
      </c>
      <c r="L1081" s="182" t="n">
        <v>12</v>
      </c>
      <c r="M1081" s="182" t="n">
        <v>7.02</v>
      </c>
      <c r="N1081" s="182" t="n">
        <v>0</v>
      </c>
      <c r="O1081" s="183" t="n">
        <v>22</v>
      </c>
      <c r="P1081" s="183" t="n">
        <v>0</v>
      </c>
      <c r="Q1081" s="184" t="n">
        <v>448.8</v>
      </c>
      <c r="R1081" s="184" t="n">
        <v>0</v>
      </c>
      <c r="S1081" s="183" t="n">
        <v>1</v>
      </c>
      <c r="T1081" s="183" t="n">
        <v>0</v>
      </c>
      <c r="U1081" s="182" t="n">
        <v>3.93</v>
      </c>
      <c r="V1081" s="182" t="n">
        <v>0</v>
      </c>
      <c r="W1081" s="182" t="n">
        <v>0</v>
      </c>
      <c r="X1081" s="182" t="n">
        <v>0.98</v>
      </c>
      <c r="Y1081" s="182" t="n">
        <v>0</v>
      </c>
      <c r="Z1081" s="182" t="n">
        <v>0</v>
      </c>
      <c r="AA1081" s="182" t="n">
        <v>0</v>
      </c>
      <c r="AB1081" s="182" t="n">
        <v>0</v>
      </c>
      <c r="AC1081" s="182" t="n">
        <v>0</v>
      </c>
      <c r="AD1081" s="182" t="n">
        <v>0</v>
      </c>
      <c r="AE1081" s="182" t="n">
        <v>0</v>
      </c>
      <c r="AF1081" s="182" t="n">
        <v>0</v>
      </c>
      <c r="AG1081" s="182" t="n">
        <v>0</v>
      </c>
      <c r="AH1081" s="182" t="n">
        <v>0</v>
      </c>
      <c r="AI1081" s="182" t="n">
        <v>0</v>
      </c>
      <c r="AJ1081" s="182" t="n">
        <v>0</v>
      </c>
      <c r="AK1081" s="182" t="n">
        <v>0</v>
      </c>
      <c r="AL1081" s="182" t="n">
        <v>0</v>
      </c>
      <c r="AM1081" s="182" t="n">
        <v>0.08</v>
      </c>
      <c r="AN1081" s="182" t="n">
        <v>0</v>
      </c>
    </row>
    <row r="1082">
      <c r="A1082" s="155" t="n">
        <v>46086</v>
      </c>
      <c r="B1082" s="156" t="inlineStr">
        <is>
          <t>NS</t>
        </is>
      </c>
      <c r="C1082" s="156" t="inlineStr">
        <is>
          <t>DT-529</t>
        </is>
      </c>
      <c r="D1082" s="156" t="inlineStr">
        <is>
          <t>SKT 105S</t>
        </is>
      </c>
      <c r="E1082" s="156" t="inlineStr">
        <is>
          <t>Hauler</t>
        </is>
      </c>
      <c r="F1082" s="156" t="inlineStr"/>
      <c r="G1082" s="182" t="n">
        <v>0</v>
      </c>
      <c r="H1082" s="182" t="n">
        <v>0</v>
      </c>
      <c r="I1082" s="182" t="n">
        <v>12</v>
      </c>
      <c r="J1082" s="182" t="n">
        <v>12</v>
      </c>
      <c r="K1082" s="182" t="n">
        <v>0</v>
      </c>
      <c r="L1082" s="182" t="n">
        <v>12</v>
      </c>
      <c r="M1082" s="182" t="n">
        <v>0</v>
      </c>
      <c r="N1082" s="182" t="n">
        <v>0</v>
      </c>
      <c r="O1082" s="183" t="n">
        <v>0</v>
      </c>
      <c r="P1082" s="183" t="n">
        <v>0</v>
      </c>
      <c r="Q1082" s="184" t="n">
        <v>0</v>
      </c>
      <c r="R1082" s="184" t="n">
        <v>0</v>
      </c>
      <c r="S1082" s="183" t="n">
        <v>0</v>
      </c>
      <c r="T1082" s="183" t="n">
        <v>0</v>
      </c>
      <c r="U1082" s="182" t="n">
        <v>0</v>
      </c>
      <c r="V1082" s="182" t="n">
        <v>0</v>
      </c>
      <c r="W1082" s="182" t="n">
        <v>0</v>
      </c>
      <c r="X1082" s="182" t="n">
        <v>0</v>
      </c>
      <c r="Y1082" s="182" t="n">
        <v>0</v>
      </c>
      <c r="Z1082" s="182" t="n">
        <v>0</v>
      </c>
      <c r="AA1082" s="182" t="n">
        <v>0</v>
      </c>
      <c r="AB1082" s="182" t="n">
        <v>0</v>
      </c>
      <c r="AC1082" s="182" t="n">
        <v>0</v>
      </c>
      <c r="AD1082" s="182" t="n">
        <v>0</v>
      </c>
      <c r="AE1082" s="182" t="n">
        <v>0</v>
      </c>
      <c r="AF1082" s="182" t="n">
        <v>0</v>
      </c>
      <c r="AG1082" s="182" t="n">
        <v>0</v>
      </c>
      <c r="AH1082" s="182" t="n">
        <v>0</v>
      </c>
      <c r="AI1082" s="182" t="n">
        <v>0</v>
      </c>
      <c r="AJ1082" s="182" t="n">
        <v>0</v>
      </c>
      <c r="AK1082" s="182" t="n">
        <v>0</v>
      </c>
      <c r="AL1082" s="182" t="n">
        <v>0</v>
      </c>
      <c r="AM1082" s="182" t="n">
        <v>0</v>
      </c>
      <c r="AN1082" s="182" t="n">
        <v>0</v>
      </c>
    </row>
    <row r="1083">
      <c r="A1083" s="155" t="n">
        <v>46086</v>
      </c>
      <c r="B1083" s="156" t="inlineStr">
        <is>
          <t>NS</t>
        </is>
      </c>
      <c r="C1083" s="156" t="inlineStr">
        <is>
          <t>DT-520</t>
        </is>
      </c>
      <c r="D1083" s="156" t="inlineStr">
        <is>
          <t>SKT 105S</t>
        </is>
      </c>
      <c r="E1083" s="156" t="inlineStr">
        <is>
          <t>Hauler</t>
        </is>
      </c>
      <c r="F1083" s="156" t="inlineStr">
        <is>
          <t>Hauling Mud &amp; Coal</t>
        </is>
      </c>
      <c r="G1083" s="182" t="n">
        <v>1.93</v>
      </c>
      <c r="H1083" s="182" t="n">
        <v>2.83</v>
      </c>
      <c r="I1083" s="182" t="n">
        <v>0</v>
      </c>
      <c r="J1083" s="182" t="n">
        <v>2.83</v>
      </c>
      <c r="K1083" s="182" t="n">
        <v>7.24</v>
      </c>
      <c r="L1083" s="182" t="n">
        <v>12</v>
      </c>
      <c r="M1083" s="182" t="n">
        <v>1.5</v>
      </c>
      <c r="N1083" s="182" t="n">
        <v>0.43</v>
      </c>
      <c r="O1083" s="183" t="n">
        <v>2</v>
      </c>
      <c r="P1083" s="183" t="n">
        <v>1</v>
      </c>
      <c r="Q1083" s="184" t="n">
        <v>20.4</v>
      </c>
      <c r="R1083" s="184" t="n">
        <v>18.7</v>
      </c>
      <c r="S1083" s="183" t="n">
        <v>0</v>
      </c>
      <c r="T1083" s="183" t="n">
        <v>0</v>
      </c>
      <c r="U1083" s="182" t="n">
        <v>4.23</v>
      </c>
      <c r="V1083" s="182" t="n">
        <v>0</v>
      </c>
      <c r="W1083" s="182" t="n">
        <v>0</v>
      </c>
      <c r="X1083" s="182" t="n">
        <v>1</v>
      </c>
      <c r="Y1083" s="182" t="n">
        <v>0</v>
      </c>
      <c r="Z1083" s="182" t="n">
        <v>0</v>
      </c>
      <c r="AA1083" s="182" t="n">
        <v>0</v>
      </c>
      <c r="AB1083" s="182" t="n">
        <v>0</v>
      </c>
      <c r="AC1083" s="182" t="n">
        <v>0</v>
      </c>
      <c r="AD1083" s="182" t="n">
        <v>0</v>
      </c>
      <c r="AE1083" s="182" t="n">
        <v>0</v>
      </c>
      <c r="AF1083" s="182" t="n">
        <v>0</v>
      </c>
      <c r="AG1083" s="182" t="n">
        <v>0</v>
      </c>
      <c r="AH1083" s="182" t="n">
        <v>0</v>
      </c>
      <c r="AI1083" s="182" t="n">
        <v>0</v>
      </c>
      <c r="AJ1083" s="182" t="n">
        <v>0</v>
      </c>
      <c r="AK1083" s="182" t="n">
        <v>1.92</v>
      </c>
      <c r="AL1083" s="182" t="n">
        <v>0</v>
      </c>
      <c r="AM1083" s="182" t="n">
        <v>0.08</v>
      </c>
      <c r="AN1083" s="182" t="n">
        <v>0</v>
      </c>
    </row>
    <row r="1084">
      <c r="A1084" s="155" t="n">
        <v>46086</v>
      </c>
      <c r="B1084" s="156" t="inlineStr">
        <is>
          <t>NS</t>
        </is>
      </c>
      <c r="C1084" s="156" t="inlineStr">
        <is>
          <t>DT-511</t>
        </is>
      </c>
      <c r="D1084" s="156" t="inlineStr">
        <is>
          <t>SKT 105S</t>
        </is>
      </c>
      <c r="E1084" s="156" t="inlineStr">
        <is>
          <t>Hauler</t>
        </is>
      </c>
      <c r="F1084" s="156" t="inlineStr">
        <is>
          <t>Hauling OB</t>
        </is>
      </c>
      <c r="G1084" s="182" t="n">
        <v>3.97</v>
      </c>
      <c r="H1084" s="182" t="n">
        <v>0</v>
      </c>
      <c r="I1084" s="182" t="n">
        <v>0</v>
      </c>
      <c r="J1084" s="182" t="n">
        <v>0</v>
      </c>
      <c r="K1084" s="182" t="n">
        <v>8.029999999999999</v>
      </c>
      <c r="L1084" s="182" t="n">
        <v>12</v>
      </c>
      <c r="M1084" s="182" t="n">
        <v>3.8</v>
      </c>
      <c r="N1084" s="182" t="n">
        <v>0</v>
      </c>
      <c r="O1084" s="183" t="n">
        <v>16</v>
      </c>
      <c r="P1084" s="183" t="n">
        <v>0</v>
      </c>
      <c r="Q1084" s="184" t="n">
        <v>326.4</v>
      </c>
      <c r="R1084" s="184" t="n">
        <v>0</v>
      </c>
      <c r="S1084" s="183" t="n">
        <v>0</v>
      </c>
      <c r="T1084" s="183" t="n">
        <v>0</v>
      </c>
      <c r="U1084" s="182" t="n">
        <v>4.32</v>
      </c>
      <c r="V1084" s="182" t="n">
        <v>0</v>
      </c>
      <c r="W1084" s="182" t="n">
        <v>0</v>
      </c>
      <c r="X1084" s="182" t="n">
        <v>1.02</v>
      </c>
      <c r="Y1084" s="182" t="n">
        <v>0</v>
      </c>
      <c r="Z1084" s="182" t="n">
        <v>0</v>
      </c>
      <c r="AA1084" s="182" t="n">
        <v>0</v>
      </c>
      <c r="AB1084" s="182" t="n">
        <v>0</v>
      </c>
      <c r="AC1084" s="182" t="n">
        <v>0</v>
      </c>
      <c r="AD1084" s="182" t="n">
        <v>0</v>
      </c>
      <c r="AE1084" s="182" t="n">
        <v>0</v>
      </c>
      <c r="AF1084" s="182" t="n">
        <v>0</v>
      </c>
      <c r="AG1084" s="182" t="n">
        <v>0</v>
      </c>
      <c r="AH1084" s="182" t="n">
        <v>0</v>
      </c>
      <c r="AI1084" s="182" t="n">
        <v>0</v>
      </c>
      <c r="AJ1084" s="182" t="n">
        <v>0</v>
      </c>
      <c r="AK1084" s="182" t="n">
        <v>2.61</v>
      </c>
      <c r="AL1084" s="182" t="n">
        <v>0</v>
      </c>
      <c r="AM1084" s="182" t="n">
        <v>0.08</v>
      </c>
      <c r="AN1084" s="182" t="n">
        <v>0</v>
      </c>
    </row>
    <row r="1085">
      <c r="A1085" s="155" t="n">
        <v>46086</v>
      </c>
      <c r="B1085" s="156" t="inlineStr">
        <is>
          <t>NS</t>
        </is>
      </c>
      <c r="C1085" s="156" t="inlineStr">
        <is>
          <t>DT-509</t>
        </is>
      </c>
      <c r="D1085" s="156" t="inlineStr">
        <is>
          <t>SKT 105S</t>
        </is>
      </c>
      <c r="E1085" s="156" t="inlineStr">
        <is>
          <t>Hauler</t>
        </is>
      </c>
      <c r="F1085" s="156" t="inlineStr">
        <is>
          <t>Hauling Coal</t>
        </is>
      </c>
      <c r="G1085" s="182" t="n">
        <v>5.1</v>
      </c>
      <c r="H1085" s="182" t="n">
        <v>0</v>
      </c>
      <c r="I1085" s="182" t="n">
        <v>0</v>
      </c>
      <c r="J1085" s="182" t="n">
        <v>0</v>
      </c>
      <c r="K1085" s="182" t="n">
        <v>6.9</v>
      </c>
      <c r="L1085" s="182" t="n">
        <v>12</v>
      </c>
      <c r="M1085" s="182" t="n">
        <v>0</v>
      </c>
      <c r="N1085" s="182" t="n">
        <v>5.1</v>
      </c>
      <c r="O1085" s="183" t="n">
        <v>0</v>
      </c>
      <c r="P1085" s="183" t="n">
        <v>14</v>
      </c>
      <c r="Q1085" s="184" t="n">
        <v>0</v>
      </c>
      <c r="R1085" s="184" t="n">
        <v>261.8</v>
      </c>
      <c r="S1085" s="183" t="n">
        <v>0</v>
      </c>
      <c r="T1085" s="183" t="n">
        <v>0</v>
      </c>
      <c r="U1085" s="182" t="n">
        <v>4.31</v>
      </c>
      <c r="V1085" s="182" t="n">
        <v>0</v>
      </c>
      <c r="W1085" s="182" t="n">
        <v>0</v>
      </c>
      <c r="X1085" s="182" t="n">
        <v>1.01</v>
      </c>
      <c r="Y1085" s="182" t="n">
        <v>0</v>
      </c>
      <c r="Z1085" s="182" t="n">
        <v>0</v>
      </c>
      <c r="AA1085" s="182" t="n">
        <v>0</v>
      </c>
      <c r="AB1085" s="182" t="n">
        <v>0</v>
      </c>
      <c r="AC1085" s="182" t="n">
        <v>0</v>
      </c>
      <c r="AD1085" s="182" t="n">
        <v>0</v>
      </c>
      <c r="AE1085" s="182" t="n">
        <v>0</v>
      </c>
      <c r="AF1085" s="182" t="n">
        <v>0</v>
      </c>
      <c r="AG1085" s="182" t="n">
        <v>0</v>
      </c>
      <c r="AH1085" s="182" t="n">
        <v>0</v>
      </c>
      <c r="AI1085" s="182" t="n">
        <v>0</v>
      </c>
      <c r="AJ1085" s="182" t="n">
        <v>0</v>
      </c>
      <c r="AK1085" s="182" t="n">
        <v>1.49</v>
      </c>
      <c r="AL1085" s="182" t="n">
        <v>0</v>
      </c>
      <c r="AM1085" s="182" t="n">
        <v>0.08</v>
      </c>
      <c r="AN1085" s="182" t="n">
        <v>0</v>
      </c>
    </row>
    <row r="1086">
      <c r="A1086" s="155" t="n">
        <v>46086</v>
      </c>
      <c r="B1086" s="156" t="inlineStr">
        <is>
          <t>NS</t>
        </is>
      </c>
      <c r="C1086" s="156" t="inlineStr">
        <is>
          <t>DT-526</t>
        </is>
      </c>
      <c r="D1086" s="156" t="inlineStr">
        <is>
          <t>SKT 105S</t>
        </is>
      </c>
      <c r="E1086" s="156" t="inlineStr">
        <is>
          <t>Hauler</t>
        </is>
      </c>
      <c r="F1086" s="156" t="inlineStr">
        <is>
          <t>Hauling Mud</t>
        </is>
      </c>
      <c r="G1086" s="182" t="n">
        <v>1.7</v>
      </c>
      <c r="H1086" s="182" t="n">
        <v>0</v>
      </c>
      <c r="I1086" s="182" t="n">
        <v>0.35</v>
      </c>
      <c r="J1086" s="182" t="n">
        <v>0.35</v>
      </c>
      <c r="K1086" s="182" t="n">
        <v>9.949999999999999</v>
      </c>
      <c r="L1086" s="182" t="n">
        <v>12</v>
      </c>
      <c r="M1086" s="182" t="n">
        <v>1.7</v>
      </c>
      <c r="N1086" s="182" t="n">
        <v>0</v>
      </c>
      <c r="O1086" s="183" t="n">
        <v>3</v>
      </c>
      <c r="P1086" s="183" t="n">
        <v>0</v>
      </c>
      <c r="Q1086" s="184" t="n">
        <v>30.6</v>
      </c>
      <c r="R1086" s="184" t="n">
        <v>0</v>
      </c>
      <c r="S1086" s="183" t="n">
        <v>0</v>
      </c>
      <c r="T1086" s="183" t="n">
        <v>0</v>
      </c>
      <c r="U1086" s="182" t="n">
        <v>4.17</v>
      </c>
      <c r="V1086" s="182" t="n">
        <v>0</v>
      </c>
      <c r="W1086" s="182" t="n">
        <v>0</v>
      </c>
      <c r="X1086" s="182" t="n">
        <v>0.98</v>
      </c>
      <c r="Y1086" s="182" t="n">
        <v>0</v>
      </c>
      <c r="Z1086" s="182" t="n">
        <v>0</v>
      </c>
      <c r="AA1086" s="182" t="n">
        <v>0</v>
      </c>
      <c r="AB1086" s="182" t="n">
        <v>0</v>
      </c>
      <c r="AC1086" s="182" t="n">
        <v>0</v>
      </c>
      <c r="AD1086" s="182" t="n">
        <v>0</v>
      </c>
      <c r="AE1086" s="182" t="n">
        <v>0</v>
      </c>
      <c r="AF1086" s="182" t="n">
        <v>0</v>
      </c>
      <c r="AG1086" s="182" t="n">
        <v>0</v>
      </c>
      <c r="AH1086" s="182" t="n">
        <v>0</v>
      </c>
      <c r="AI1086" s="182" t="n">
        <v>0</v>
      </c>
      <c r="AJ1086" s="182" t="n">
        <v>0</v>
      </c>
      <c r="AK1086" s="182" t="n">
        <v>4.73</v>
      </c>
      <c r="AL1086" s="182" t="n">
        <v>0</v>
      </c>
      <c r="AM1086" s="182" t="n">
        <v>0.08</v>
      </c>
      <c r="AN1086" s="182" t="n">
        <v>0</v>
      </c>
    </row>
    <row r="1087">
      <c r="A1087" s="155" t="n">
        <v>46086</v>
      </c>
      <c r="B1087" s="156" t="inlineStr">
        <is>
          <t>NS</t>
        </is>
      </c>
      <c r="C1087" s="156" t="inlineStr">
        <is>
          <t>DT-508</t>
        </is>
      </c>
      <c r="D1087" s="156" t="inlineStr">
        <is>
          <t>SKT 105S</t>
        </is>
      </c>
      <c r="E1087" s="156" t="inlineStr">
        <is>
          <t>Hauler</t>
        </is>
      </c>
      <c r="F1087" s="156" t="inlineStr"/>
      <c r="G1087" s="182" t="n">
        <v>0</v>
      </c>
      <c r="H1087" s="182" t="n">
        <v>0</v>
      </c>
      <c r="I1087" s="182" t="n">
        <v>12</v>
      </c>
      <c r="J1087" s="182" t="n">
        <v>12</v>
      </c>
      <c r="K1087" s="182" t="n">
        <v>0</v>
      </c>
      <c r="L1087" s="182" t="n">
        <v>12</v>
      </c>
      <c r="M1087" s="182" t="n">
        <v>0</v>
      </c>
      <c r="N1087" s="182" t="n">
        <v>0</v>
      </c>
      <c r="O1087" s="183" t="n">
        <v>0</v>
      </c>
      <c r="P1087" s="183" t="n">
        <v>0</v>
      </c>
      <c r="Q1087" s="184" t="n">
        <v>0</v>
      </c>
      <c r="R1087" s="184" t="n">
        <v>0</v>
      </c>
      <c r="S1087" s="183" t="n">
        <v>0</v>
      </c>
      <c r="T1087" s="183" t="n">
        <v>0</v>
      </c>
      <c r="U1087" s="182" t="n">
        <v>0</v>
      </c>
      <c r="V1087" s="182" t="n">
        <v>0</v>
      </c>
      <c r="W1087" s="182" t="n">
        <v>0</v>
      </c>
      <c r="X1087" s="182" t="n">
        <v>0</v>
      </c>
      <c r="Y1087" s="182" t="n">
        <v>0</v>
      </c>
      <c r="Z1087" s="182" t="n">
        <v>0</v>
      </c>
      <c r="AA1087" s="182" t="n">
        <v>0</v>
      </c>
      <c r="AB1087" s="182" t="n">
        <v>0</v>
      </c>
      <c r="AC1087" s="182" t="n">
        <v>0</v>
      </c>
      <c r="AD1087" s="182" t="n">
        <v>0</v>
      </c>
      <c r="AE1087" s="182" t="n">
        <v>0</v>
      </c>
      <c r="AF1087" s="182" t="n">
        <v>0</v>
      </c>
      <c r="AG1087" s="182" t="n">
        <v>0</v>
      </c>
      <c r="AH1087" s="182" t="n">
        <v>0</v>
      </c>
      <c r="AI1087" s="182" t="n">
        <v>0</v>
      </c>
      <c r="AJ1087" s="182" t="n">
        <v>0</v>
      </c>
      <c r="AK1087" s="182" t="n">
        <v>0</v>
      </c>
      <c r="AL1087" s="182" t="n">
        <v>0</v>
      </c>
      <c r="AM1087" s="182" t="n">
        <v>0</v>
      </c>
      <c r="AN1087" s="182" t="n">
        <v>0</v>
      </c>
    </row>
    <row r="1088">
      <c r="A1088" s="155" t="n">
        <v>46086</v>
      </c>
      <c r="B1088" s="156" t="inlineStr">
        <is>
          <t>NS</t>
        </is>
      </c>
      <c r="C1088" s="156" t="inlineStr">
        <is>
          <t>DT-515</t>
        </is>
      </c>
      <c r="D1088" s="156" t="inlineStr">
        <is>
          <t>SKT 105S</t>
        </is>
      </c>
      <c r="E1088" s="156" t="inlineStr">
        <is>
          <t>Hauler</t>
        </is>
      </c>
      <c r="F1088" s="156" t="inlineStr">
        <is>
          <t>Hauling OB</t>
        </is>
      </c>
      <c r="G1088" s="182" t="n">
        <v>6.81</v>
      </c>
      <c r="H1088" s="182" t="n">
        <v>0</v>
      </c>
      <c r="I1088" s="182" t="n">
        <v>0</v>
      </c>
      <c r="J1088" s="182" t="n">
        <v>0</v>
      </c>
      <c r="K1088" s="182" t="n">
        <v>5.19</v>
      </c>
      <c r="L1088" s="182" t="n">
        <v>12</v>
      </c>
      <c r="M1088" s="182" t="n">
        <v>6.81</v>
      </c>
      <c r="N1088" s="182" t="n">
        <v>0</v>
      </c>
      <c r="O1088" s="183" t="n">
        <v>22</v>
      </c>
      <c r="P1088" s="183" t="n">
        <v>0</v>
      </c>
      <c r="Q1088" s="184" t="n">
        <v>448.8</v>
      </c>
      <c r="R1088" s="184" t="n">
        <v>0</v>
      </c>
      <c r="S1088" s="183" t="n">
        <v>1</v>
      </c>
      <c r="T1088" s="183" t="n">
        <v>0</v>
      </c>
      <c r="U1088" s="182" t="n">
        <v>4.13</v>
      </c>
      <c r="V1088" s="182" t="n">
        <v>0</v>
      </c>
      <c r="W1088" s="182" t="n">
        <v>0</v>
      </c>
      <c r="X1088" s="182" t="n">
        <v>0.98</v>
      </c>
      <c r="Y1088" s="182" t="n">
        <v>0</v>
      </c>
      <c r="Z1088" s="182" t="n">
        <v>0</v>
      </c>
      <c r="AA1088" s="182" t="n">
        <v>0</v>
      </c>
      <c r="AB1088" s="182" t="n">
        <v>0</v>
      </c>
      <c r="AC1088" s="182" t="n">
        <v>0</v>
      </c>
      <c r="AD1088" s="182" t="n">
        <v>0</v>
      </c>
      <c r="AE1088" s="182" t="n">
        <v>0</v>
      </c>
      <c r="AF1088" s="182" t="n">
        <v>0</v>
      </c>
      <c r="AG1088" s="182" t="n">
        <v>0</v>
      </c>
      <c r="AH1088" s="182" t="n">
        <v>0</v>
      </c>
      <c r="AI1088" s="182" t="n">
        <v>0</v>
      </c>
      <c r="AJ1088" s="182" t="n">
        <v>0</v>
      </c>
      <c r="AK1088" s="182" t="n">
        <v>0</v>
      </c>
      <c r="AL1088" s="182" t="n">
        <v>0</v>
      </c>
      <c r="AM1088" s="182" t="n">
        <v>0.08</v>
      </c>
      <c r="AN1088" s="182" t="n">
        <v>0</v>
      </c>
    </row>
    <row r="1089">
      <c r="A1089" s="155" t="n">
        <v>46086</v>
      </c>
      <c r="B1089" s="156" t="inlineStr">
        <is>
          <t>NS</t>
        </is>
      </c>
      <c r="C1089" s="156" t="inlineStr">
        <is>
          <t>DT-524</t>
        </is>
      </c>
      <c r="D1089" s="156" t="inlineStr">
        <is>
          <t>SKT 105S</t>
        </is>
      </c>
      <c r="E1089" s="156" t="inlineStr">
        <is>
          <t>Hauler</t>
        </is>
      </c>
      <c r="F1089" s="156" t="inlineStr"/>
      <c r="G1089" s="182" t="n">
        <v>0</v>
      </c>
      <c r="H1089" s="182" t="n">
        <v>0</v>
      </c>
      <c r="I1089" s="182" t="n">
        <v>12</v>
      </c>
      <c r="J1089" s="182" t="n">
        <v>12</v>
      </c>
      <c r="K1089" s="182" t="n">
        <v>0</v>
      </c>
      <c r="L1089" s="182" t="n">
        <v>12</v>
      </c>
      <c r="M1089" s="182" t="n">
        <v>0</v>
      </c>
      <c r="N1089" s="182" t="n">
        <v>0</v>
      </c>
      <c r="O1089" s="183" t="n">
        <v>0</v>
      </c>
      <c r="P1089" s="183" t="n">
        <v>0</v>
      </c>
      <c r="Q1089" s="184" t="n">
        <v>0</v>
      </c>
      <c r="R1089" s="184" t="n">
        <v>0</v>
      </c>
      <c r="S1089" s="183" t="n">
        <v>0</v>
      </c>
      <c r="T1089" s="183" t="n">
        <v>0</v>
      </c>
      <c r="U1089" s="182" t="n">
        <v>0</v>
      </c>
      <c r="V1089" s="182" t="n">
        <v>0</v>
      </c>
      <c r="W1089" s="182" t="n">
        <v>0</v>
      </c>
      <c r="X1089" s="182" t="n">
        <v>0</v>
      </c>
      <c r="Y1089" s="182" t="n">
        <v>0</v>
      </c>
      <c r="Z1089" s="182" t="n">
        <v>0</v>
      </c>
      <c r="AA1089" s="182" t="n">
        <v>0</v>
      </c>
      <c r="AB1089" s="182" t="n">
        <v>0</v>
      </c>
      <c r="AC1089" s="182" t="n">
        <v>0</v>
      </c>
      <c r="AD1089" s="182" t="n">
        <v>0</v>
      </c>
      <c r="AE1089" s="182" t="n">
        <v>0</v>
      </c>
      <c r="AF1089" s="182" t="n">
        <v>0</v>
      </c>
      <c r="AG1089" s="182" t="n">
        <v>0</v>
      </c>
      <c r="AH1089" s="182" t="n">
        <v>0</v>
      </c>
      <c r="AI1089" s="182" t="n">
        <v>0</v>
      </c>
      <c r="AJ1089" s="182" t="n">
        <v>0</v>
      </c>
      <c r="AK1089" s="182" t="n">
        <v>0</v>
      </c>
      <c r="AL1089" s="182" t="n">
        <v>0</v>
      </c>
      <c r="AM1089" s="182" t="n">
        <v>0</v>
      </c>
      <c r="AN1089" s="182" t="n">
        <v>0</v>
      </c>
    </row>
    <row r="1090">
      <c r="A1090" s="155" t="n">
        <v>46086</v>
      </c>
      <c r="B1090" s="156" t="inlineStr">
        <is>
          <t>NS</t>
        </is>
      </c>
      <c r="C1090" s="156" t="inlineStr">
        <is>
          <t>DT-341</t>
        </is>
      </c>
      <c r="D1090" s="156" t="inlineStr">
        <is>
          <t>SYZ324C-8W</t>
        </is>
      </c>
      <c r="E1090" s="156" t="inlineStr">
        <is>
          <t>Hauler</t>
        </is>
      </c>
      <c r="F1090" s="156" t="inlineStr"/>
      <c r="G1090" s="182" t="n">
        <v>0</v>
      </c>
      <c r="H1090" s="182" t="n">
        <v>0</v>
      </c>
      <c r="I1090" s="182" t="n">
        <v>0</v>
      </c>
      <c r="J1090" s="182" t="n">
        <v>0</v>
      </c>
      <c r="K1090" s="182" t="n">
        <v>12</v>
      </c>
      <c r="L1090" s="182" t="n">
        <v>12</v>
      </c>
      <c r="M1090" s="182" t="n">
        <v>0</v>
      </c>
      <c r="N1090" s="182" t="n">
        <v>0</v>
      </c>
      <c r="O1090" s="183" t="n">
        <v>0</v>
      </c>
      <c r="P1090" s="183" t="n">
        <v>0</v>
      </c>
      <c r="Q1090" s="184" t="n">
        <v>0</v>
      </c>
      <c r="R1090" s="184" t="n">
        <v>0</v>
      </c>
      <c r="S1090" s="183" t="n">
        <v>0</v>
      </c>
      <c r="T1090" s="183" t="n">
        <v>0</v>
      </c>
      <c r="U1090" s="182" t="n">
        <v>4.25</v>
      </c>
      <c r="V1090" s="182" t="n">
        <v>0</v>
      </c>
      <c r="W1090" s="182" t="n">
        <v>0</v>
      </c>
      <c r="X1090" s="182" t="n">
        <v>1</v>
      </c>
      <c r="Y1090" s="182" t="n">
        <v>0</v>
      </c>
      <c r="Z1090" s="182" t="n">
        <v>0</v>
      </c>
      <c r="AA1090" s="182" t="n">
        <v>0</v>
      </c>
      <c r="AB1090" s="182" t="n">
        <v>0</v>
      </c>
      <c r="AC1090" s="182" t="n">
        <v>0</v>
      </c>
      <c r="AD1090" s="182" t="n">
        <v>0</v>
      </c>
      <c r="AE1090" s="182" t="n">
        <v>0</v>
      </c>
      <c r="AF1090" s="182" t="n">
        <v>0</v>
      </c>
      <c r="AG1090" s="182" t="n">
        <v>0</v>
      </c>
      <c r="AH1090" s="182" t="n">
        <v>0</v>
      </c>
      <c r="AI1090" s="182" t="n">
        <v>0</v>
      </c>
      <c r="AJ1090" s="182" t="n">
        <v>0</v>
      </c>
      <c r="AK1090" s="182" t="n">
        <v>6.67</v>
      </c>
      <c r="AL1090" s="182" t="n">
        <v>0</v>
      </c>
      <c r="AM1090" s="182" t="n">
        <v>0.08</v>
      </c>
      <c r="AN1090" s="182" t="n">
        <v>0</v>
      </c>
    </row>
    <row r="1091">
      <c r="A1091" s="155" t="n">
        <v>46086</v>
      </c>
      <c r="B1091" s="156" t="inlineStr">
        <is>
          <t>NS</t>
        </is>
      </c>
      <c r="C1091" s="156" t="inlineStr">
        <is>
          <t>DT-342</t>
        </is>
      </c>
      <c r="D1091" s="156" t="inlineStr">
        <is>
          <t>SYZ324C-8W</t>
        </is>
      </c>
      <c r="E1091" s="156" t="inlineStr">
        <is>
          <t>Hauler</t>
        </is>
      </c>
      <c r="F1091" s="156" t="inlineStr"/>
      <c r="G1091" s="182" t="n">
        <v>0</v>
      </c>
      <c r="H1091" s="182" t="n">
        <v>0</v>
      </c>
      <c r="I1091" s="182" t="n">
        <v>0</v>
      </c>
      <c r="J1091" s="182" t="n">
        <v>0</v>
      </c>
      <c r="K1091" s="182" t="n">
        <v>12</v>
      </c>
      <c r="L1091" s="182" t="n">
        <v>12</v>
      </c>
      <c r="M1091" s="182" t="n">
        <v>0</v>
      </c>
      <c r="N1091" s="182" t="n">
        <v>0</v>
      </c>
      <c r="O1091" s="183" t="n">
        <v>0</v>
      </c>
      <c r="P1091" s="183" t="n">
        <v>0</v>
      </c>
      <c r="Q1091" s="184" t="n">
        <v>0</v>
      </c>
      <c r="R1091" s="184" t="n">
        <v>0</v>
      </c>
      <c r="S1091" s="183" t="n">
        <v>0</v>
      </c>
      <c r="T1091" s="183" t="n">
        <v>0</v>
      </c>
      <c r="U1091" s="182" t="n">
        <v>4.25</v>
      </c>
      <c r="V1091" s="182" t="n">
        <v>0</v>
      </c>
      <c r="W1091" s="182" t="n">
        <v>0</v>
      </c>
      <c r="X1091" s="182" t="n">
        <v>1</v>
      </c>
      <c r="Y1091" s="182" t="n">
        <v>0</v>
      </c>
      <c r="Z1091" s="182" t="n">
        <v>0</v>
      </c>
      <c r="AA1091" s="182" t="n">
        <v>0</v>
      </c>
      <c r="AB1091" s="182" t="n">
        <v>0</v>
      </c>
      <c r="AC1091" s="182" t="n">
        <v>0</v>
      </c>
      <c r="AD1091" s="182" t="n">
        <v>0</v>
      </c>
      <c r="AE1091" s="182" t="n">
        <v>0</v>
      </c>
      <c r="AF1091" s="182" t="n">
        <v>0</v>
      </c>
      <c r="AG1091" s="182" t="n">
        <v>0</v>
      </c>
      <c r="AH1091" s="182" t="n">
        <v>0</v>
      </c>
      <c r="AI1091" s="182" t="n">
        <v>0</v>
      </c>
      <c r="AJ1091" s="182" t="n">
        <v>0</v>
      </c>
      <c r="AK1091" s="182" t="n">
        <v>6.67</v>
      </c>
      <c r="AL1091" s="182" t="n">
        <v>0</v>
      </c>
      <c r="AM1091" s="182" t="n">
        <v>0.08</v>
      </c>
      <c r="AN1091" s="182" t="n">
        <v>0</v>
      </c>
    </row>
    <row r="1092">
      <c r="A1092" s="155" t="n">
        <v>46086</v>
      </c>
      <c r="B1092" s="156" t="inlineStr">
        <is>
          <t>NS</t>
        </is>
      </c>
      <c r="C1092" s="156" t="inlineStr">
        <is>
          <t>HD-903</t>
        </is>
      </c>
      <c r="D1092" s="156" t="inlineStr">
        <is>
          <t>SRT 95C</t>
        </is>
      </c>
      <c r="E1092" s="156" t="inlineStr">
        <is>
          <t>Hauler</t>
        </is>
      </c>
      <c r="F1092" s="156" t="inlineStr"/>
      <c r="G1092" s="182" t="n">
        <v>0</v>
      </c>
      <c r="H1092" s="182" t="n">
        <v>0</v>
      </c>
      <c r="I1092" s="182" t="n">
        <v>12</v>
      </c>
      <c r="J1092" s="182" t="n">
        <v>12</v>
      </c>
      <c r="K1092" s="182" t="n">
        <v>0</v>
      </c>
      <c r="L1092" s="182" t="n">
        <v>12</v>
      </c>
      <c r="M1092" s="182" t="n">
        <v>0</v>
      </c>
      <c r="N1092" s="182" t="n">
        <v>0</v>
      </c>
      <c r="O1092" s="183" t="n">
        <v>0</v>
      </c>
      <c r="P1092" s="183" t="n">
        <v>0</v>
      </c>
      <c r="Q1092" s="184" t="n">
        <v>0</v>
      </c>
      <c r="R1092" s="184" t="n">
        <v>0</v>
      </c>
      <c r="S1092" s="183" t="n">
        <v>0</v>
      </c>
      <c r="T1092" s="183" t="n">
        <v>0</v>
      </c>
      <c r="U1092" s="182" t="n">
        <v>0</v>
      </c>
      <c r="V1092" s="182" t="n">
        <v>0</v>
      </c>
      <c r="W1092" s="182" t="n">
        <v>0</v>
      </c>
      <c r="X1092" s="182" t="n">
        <v>0</v>
      </c>
      <c r="Y1092" s="182" t="n">
        <v>0</v>
      </c>
      <c r="Z1092" s="182" t="n">
        <v>0</v>
      </c>
      <c r="AA1092" s="182" t="n">
        <v>0</v>
      </c>
      <c r="AB1092" s="182" t="n">
        <v>0</v>
      </c>
      <c r="AC1092" s="182" t="n">
        <v>0</v>
      </c>
      <c r="AD1092" s="182" t="n">
        <v>0</v>
      </c>
      <c r="AE1092" s="182" t="n">
        <v>0</v>
      </c>
      <c r="AF1092" s="182" t="n">
        <v>0</v>
      </c>
      <c r="AG1092" s="182" t="n">
        <v>0</v>
      </c>
      <c r="AH1092" s="182" t="n">
        <v>0</v>
      </c>
      <c r="AI1092" s="182" t="n">
        <v>0</v>
      </c>
      <c r="AJ1092" s="182" t="n">
        <v>0</v>
      </c>
      <c r="AK1092" s="182" t="n">
        <v>0</v>
      </c>
      <c r="AL1092" s="182" t="n">
        <v>0</v>
      </c>
      <c r="AM1092" s="182" t="n">
        <v>0</v>
      </c>
      <c r="AN1092" s="182" t="n">
        <v>0</v>
      </c>
    </row>
    <row r="1093">
      <c r="A1093" s="155" t="n">
        <v>46086</v>
      </c>
      <c r="B1093" s="156" t="inlineStr">
        <is>
          <t>NS</t>
        </is>
      </c>
      <c r="C1093" s="156" t="inlineStr">
        <is>
          <t>HD-905</t>
        </is>
      </c>
      <c r="D1093" s="156" t="inlineStr">
        <is>
          <t>SRT 95C</t>
        </is>
      </c>
      <c r="E1093" s="156" t="inlineStr">
        <is>
          <t>Hauler</t>
        </is>
      </c>
      <c r="F1093" s="156" t="inlineStr">
        <is>
          <t>Hauling OB</t>
        </is>
      </c>
      <c r="G1093" s="182" t="n">
        <v>6.86</v>
      </c>
      <c r="H1093" s="182" t="n">
        <v>0</v>
      </c>
      <c r="I1093" s="182" t="n">
        <v>0.75</v>
      </c>
      <c r="J1093" s="182" t="n">
        <v>0.75</v>
      </c>
      <c r="K1093" s="182" t="n">
        <v>4.39</v>
      </c>
      <c r="L1093" s="182" t="n">
        <v>12</v>
      </c>
      <c r="M1093" s="182" t="n">
        <v>6.86</v>
      </c>
      <c r="N1093" s="182" t="n">
        <v>0</v>
      </c>
      <c r="O1093" s="183" t="n">
        <v>26</v>
      </c>
      <c r="P1093" s="183" t="n">
        <v>0</v>
      </c>
      <c r="Q1093" s="184" t="n">
        <v>928.2</v>
      </c>
      <c r="R1093" s="184" t="n">
        <v>0</v>
      </c>
      <c r="S1093" s="183" t="n">
        <v>0</v>
      </c>
      <c r="T1093" s="183" t="n">
        <v>0</v>
      </c>
      <c r="U1093" s="182" t="n">
        <v>3.3</v>
      </c>
      <c r="V1093" s="182" t="n">
        <v>0</v>
      </c>
      <c r="W1093" s="182" t="n">
        <v>0</v>
      </c>
      <c r="X1093" s="182" t="n">
        <v>1.01</v>
      </c>
      <c r="Y1093" s="182" t="n">
        <v>0</v>
      </c>
      <c r="Z1093" s="182" t="n">
        <v>0</v>
      </c>
      <c r="AA1093" s="182" t="n">
        <v>0</v>
      </c>
      <c r="AB1093" s="182" t="n">
        <v>0</v>
      </c>
      <c r="AC1093" s="182" t="n">
        <v>0</v>
      </c>
      <c r="AD1093" s="182" t="n">
        <v>0</v>
      </c>
      <c r="AE1093" s="182" t="n">
        <v>0</v>
      </c>
      <c r="AF1093" s="182" t="n">
        <v>0</v>
      </c>
      <c r="AG1093" s="182" t="n">
        <v>0</v>
      </c>
      <c r="AH1093" s="182" t="n">
        <v>0</v>
      </c>
      <c r="AI1093" s="182" t="n">
        <v>0</v>
      </c>
      <c r="AJ1093" s="182" t="n">
        <v>0</v>
      </c>
      <c r="AK1093" s="182" t="n">
        <v>0</v>
      </c>
      <c r="AL1093" s="182" t="n">
        <v>0</v>
      </c>
      <c r="AM1093" s="182" t="n">
        <v>0.08</v>
      </c>
      <c r="AN1093" s="182" t="n">
        <v>0</v>
      </c>
    </row>
    <row r="1094">
      <c r="A1094" s="155" t="n">
        <v>46086</v>
      </c>
      <c r="B1094" s="156" t="inlineStr">
        <is>
          <t>NS</t>
        </is>
      </c>
      <c r="C1094" s="156" t="inlineStr">
        <is>
          <t>HD-901</t>
        </is>
      </c>
      <c r="D1094" s="156" t="inlineStr">
        <is>
          <t>SRT 95C</t>
        </is>
      </c>
      <c r="E1094" s="156" t="inlineStr">
        <is>
          <t>Hauler</t>
        </is>
      </c>
      <c r="F1094" s="156" t="inlineStr">
        <is>
          <t>Hauling OB</t>
        </is>
      </c>
      <c r="G1094" s="182" t="n">
        <v>6.9</v>
      </c>
      <c r="H1094" s="182" t="n">
        <v>0</v>
      </c>
      <c r="I1094" s="182" t="n">
        <v>0.17</v>
      </c>
      <c r="J1094" s="182" t="n">
        <v>0.17</v>
      </c>
      <c r="K1094" s="182" t="n">
        <v>4.93</v>
      </c>
      <c r="L1094" s="182" t="n">
        <v>12</v>
      </c>
      <c r="M1094" s="182" t="n">
        <v>6.9</v>
      </c>
      <c r="N1094" s="182" t="n">
        <v>0</v>
      </c>
      <c r="O1094" s="183" t="n">
        <v>33</v>
      </c>
      <c r="P1094" s="183" t="n">
        <v>0</v>
      </c>
      <c r="Q1094" s="184" t="n">
        <v>1178.1</v>
      </c>
      <c r="R1094" s="184" t="n">
        <v>0</v>
      </c>
      <c r="S1094" s="183" t="n">
        <v>0</v>
      </c>
      <c r="T1094" s="183" t="n">
        <v>0</v>
      </c>
      <c r="U1094" s="182" t="n">
        <v>3.89</v>
      </c>
      <c r="V1094" s="182" t="n">
        <v>0</v>
      </c>
      <c r="W1094" s="182" t="n">
        <v>0</v>
      </c>
      <c r="X1094" s="182" t="n">
        <v>0.96</v>
      </c>
      <c r="Y1094" s="182" t="n">
        <v>0</v>
      </c>
      <c r="Z1094" s="182" t="n">
        <v>0</v>
      </c>
      <c r="AA1094" s="182" t="n">
        <v>0</v>
      </c>
      <c r="AB1094" s="182" t="n">
        <v>0</v>
      </c>
      <c r="AC1094" s="182" t="n">
        <v>0</v>
      </c>
      <c r="AD1094" s="182" t="n">
        <v>0</v>
      </c>
      <c r="AE1094" s="182" t="n">
        <v>0</v>
      </c>
      <c r="AF1094" s="182" t="n">
        <v>0</v>
      </c>
      <c r="AG1094" s="182" t="n">
        <v>0</v>
      </c>
      <c r="AH1094" s="182" t="n">
        <v>0</v>
      </c>
      <c r="AI1094" s="182" t="n">
        <v>0</v>
      </c>
      <c r="AJ1094" s="182" t="n">
        <v>0</v>
      </c>
      <c r="AK1094" s="182" t="n">
        <v>0</v>
      </c>
      <c r="AL1094" s="182" t="n">
        <v>0</v>
      </c>
      <c r="AM1094" s="182" t="n">
        <v>0.08</v>
      </c>
      <c r="AN1094" s="182" t="n">
        <v>0</v>
      </c>
    </row>
    <row r="1095">
      <c r="A1095" s="155" t="n">
        <v>46086</v>
      </c>
      <c r="B1095" s="156" t="inlineStr">
        <is>
          <t>NS</t>
        </is>
      </c>
      <c r="C1095" s="156" t="inlineStr">
        <is>
          <t>HD-904</t>
        </is>
      </c>
      <c r="D1095" s="156" t="inlineStr">
        <is>
          <t>SRT 95C</t>
        </is>
      </c>
      <c r="E1095" s="156" t="inlineStr">
        <is>
          <t>Hauler</t>
        </is>
      </c>
      <c r="F1095" s="156" t="inlineStr">
        <is>
          <t>Hauling OB</t>
        </is>
      </c>
      <c r="G1095" s="182" t="n">
        <v>6.68</v>
      </c>
      <c r="H1095" s="182" t="n">
        <v>0</v>
      </c>
      <c r="I1095" s="182" t="n">
        <v>0</v>
      </c>
      <c r="J1095" s="182" t="n">
        <v>0</v>
      </c>
      <c r="K1095" s="182" t="n">
        <v>5.32</v>
      </c>
      <c r="L1095" s="182" t="n">
        <v>12</v>
      </c>
      <c r="M1095" s="182" t="n">
        <v>6.68</v>
      </c>
      <c r="N1095" s="182" t="n">
        <v>0</v>
      </c>
      <c r="O1095" s="183" t="n">
        <v>34</v>
      </c>
      <c r="P1095" s="183" t="n">
        <v>0</v>
      </c>
      <c r="Q1095" s="184" t="n">
        <v>1213.8</v>
      </c>
      <c r="R1095" s="184" t="n">
        <v>0</v>
      </c>
      <c r="S1095" s="183" t="n">
        <v>0</v>
      </c>
      <c r="T1095" s="183" t="n">
        <v>0</v>
      </c>
      <c r="U1095" s="182" t="n">
        <v>4.19</v>
      </c>
      <c r="V1095" s="182" t="n">
        <v>0</v>
      </c>
      <c r="W1095" s="182" t="n">
        <v>0</v>
      </c>
      <c r="X1095" s="182" t="n">
        <v>0.99</v>
      </c>
      <c r="Y1095" s="182" t="n">
        <v>0</v>
      </c>
      <c r="Z1095" s="182" t="n">
        <v>0</v>
      </c>
      <c r="AA1095" s="182" t="n">
        <v>0</v>
      </c>
      <c r="AB1095" s="182" t="n">
        <v>0</v>
      </c>
      <c r="AC1095" s="182" t="n">
        <v>0</v>
      </c>
      <c r="AD1095" s="182" t="n">
        <v>0</v>
      </c>
      <c r="AE1095" s="182" t="n">
        <v>0</v>
      </c>
      <c r="AF1095" s="182" t="n">
        <v>0</v>
      </c>
      <c r="AG1095" s="182" t="n">
        <v>0</v>
      </c>
      <c r="AH1095" s="182" t="n">
        <v>0.07000000000000001</v>
      </c>
      <c r="AI1095" s="182" t="n">
        <v>0</v>
      </c>
      <c r="AJ1095" s="182" t="n">
        <v>0</v>
      </c>
      <c r="AK1095" s="182" t="n">
        <v>0</v>
      </c>
      <c r="AL1095" s="182" t="n">
        <v>0</v>
      </c>
      <c r="AM1095" s="182" t="n">
        <v>0.08</v>
      </c>
      <c r="AN1095" s="182" t="n">
        <v>0</v>
      </c>
    </row>
    <row r="1096">
      <c r="A1096" s="155" t="n">
        <v>46086</v>
      </c>
      <c r="B1096" s="156" t="inlineStr">
        <is>
          <t>NS</t>
        </is>
      </c>
      <c r="C1096" s="156" t="inlineStr">
        <is>
          <t>HD-902</t>
        </is>
      </c>
      <c r="D1096" s="156" t="inlineStr">
        <is>
          <t>SRT 95C</t>
        </is>
      </c>
      <c r="E1096" s="156" t="inlineStr">
        <is>
          <t>Hauler</t>
        </is>
      </c>
      <c r="F1096" s="156" t="inlineStr">
        <is>
          <t>Hauling OB</t>
        </is>
      </c>
      <c r="G1096" s="182" t="n">
        <v>7.88</v>
      </c>
      <c r="H1096" s="182" t="n">
        <v>0</v>
      </c>
      <c r="I1096" s="182" t="n">
        <v>0</v>
      </c>
      <c r="J1096" s="182" t="n">
        <v>0</v>
      </c>
      <c r="K1096" s="182" t="n">
        <v>4.12</v>
      </c>
      <c r="L1096" s="182" t="n">
        <v>12</v>
      </c>
      <c r="M1096" s="182" t="n">
        <v>7.88</v>
      </c>
      <c r="N1096" s="182" t="n">
        <v>0</v>
      </c>
      <c r="O1096" s="183" t="n">
        <v>25</v>
      </c>
      <c r="P1096" s="183" t="n">
        <v>0</v>
      </c>
      <c r="Q1096" s="184" t="n">
        <v>892.5</v>
      </c>
      <c r="R1096" s="184" t="n">
        <v>0</v>
      </c>
      <c r="S1096" s="183" t="n">
        <v>0</v>
      </c>
      <c r="T1096" s="183" t="n">
        <v>0</v>
      </c>
      <c r="U1096" s="182" t="n">
        <v>3.11</v>
      </c>
      <c r="V1096" s="182" t="n">
        <v>0</v>
      </c>
      <c r="W1096" s="182" t="n">
        <v>0</v>
      </c>
      <c r="X1096" s="182" t="n">
        <v>0.9399999999999999</v>
      </c>
      <c r="Y1096" s="182" t="n">
        <v>0</v>
      </c>
      <c r="Z1096" s="182" t="n">
        <v>0</v>
      </c>
      <c r="AA1096" s="182" t="n">
        <v>0</v>
      </c>
      <c r="AB1096" s="182" t="n">
        <v>0</v>
      </c>
      <c r="AC1096" s="182" t="n">
        <v>0</v>
      </c>
      <c r="AD1096" s="182" t="n">
        <v>0</v>
      </c>
      <c r="AE1096" s="182" t="n">
        <v>0</v>
      </c>
      <c r="AF1096" s="182" t="n">
        <v>0</v>
      </c>
      <c r="AG1096" s="182" t="n">
        <v>0</v>
      </c>
      <c r="AH1096" s="182" t="n">
        <v>0</v>
      </c>
      <c r="AI1096" s="182" t="n">
        <v>0</v>
      </c>
      <c r="AJ1096" s="182" t="n">
        <v>0</v>
      </c>
      <c r="AK1096" s="182" t="n">
        <v>0</v>
      </c>
      <c r="AL1096" s="182" t="n">
        <v>0</v>
      </c>
      <c r="AM1096" s="182" t="n">
        <v>0.07000000000000001</v>
      </c>
      <c r="AN1096" s="182" t="n">
        <v>0</v>
      </c>
    </row>
    <row r="1097">
      <c r="A1097" s="155" t="n">
        <v>46086</v>
      </c>
      <c r="B1097" s="156" t="inlineStr">
        <is>
          <t>NS</t>
        </is>
      </c>
      <c r="C1097" s="156" t="inlineStr">
        <is>
          <t>WL-025</t>
        </is>
      </c>
      <c r="D1097" s="156" t="inlineStr">
        <is>
          <t>SANY - Loader</t>
        </is>
      </c>
      <c r="E1097" s="156" t="inlineStr">
        <is>
          <t>Loader</t>
        </is>
      </c>
      <c r="F1097" s="156" t="inlineStr"/>
      <c r="G1097" s="182" t="n">
        <v>0</v>
      </c>
      <c r="H1097" s="182" t="n">
        <v>0</v>
      </c>
      <c r="I1097" s="182" t="n">
        <v>0</v>
      </c>
      <c r="J1097" s="182" t="n">
        <v>0</v>
      </c>
      <c r="K1097" s="182" t="n">
        <v>12</v>
      </c>
      <c r="L1097" s="182" t="n">
        <v>12</v>
      </c>
      <c r="M1097" s="182" t="n">
        <v>0</v>
      </c>
      <c r="N1097" s="182" t="n">
        <v>0</v>
      </c>
      <c r="O1097" s="183" t="n">
        <v>0</v>
      </c>
      <c r="P1097" s="183" t="n">
        <v>0</v>
      </c>
      <c r="Q1097" s="184" t="n">
        <v>0</v>
      </c>
      <c r="R1097" s="184" t="n">
        <v>0</v>
      </c>
      <c r="S1097" s="183" t="n">
        <v>0</v>
      </c>
      <c r="T1097" s="183" t="n">
        <v>0</v>
      </c>
      <c r="U1097" s="182" t="n">
        <v>0</v>
      </c>
      <c r="V1097" s="182" t="n">
        <v>0</v>
      </c>
      <c r="W1097" s="182" t="n">
        <v>0</v>
      </c>
      <c r="X1097" s="182" t="n">
        <v>1</v>
      </c>
      <c r="Y1097" s="182" t="n">
        <v>0</v>
      </c>
      <c r="Z1097" s="182" t="n">
        <v>0</v>
      </c>
      <c r="AA1097" s="182" t="n">
        <v>0</v>
      </c>
      <c r="AB1097" s="182" t="n">
        <v>0</v>
      </c>
      <c r="AC1097" s="182" t="n">
        <v>0</v>
      </c>
      <c r="AD1097" s="182" t="n">
        <v>0</v>
      </c>
      <c r="AE1097" s="182" t="n">
        <v>0</v>
      </c>
      <c r="AF1097" s="182" t="n">
        <v>0</v>
      </c>
      <c r="AG1097" s="182" t="n">
        <v>0</v>
      </c>
      <c r="AH1097" s="182" t="n">
        <v>0</v>
      </c>
      <c r="AI1097" s="182" t="n">
        <v>0</v>
      </c>
      <c r="AJ1097" s="182" t="n">
        <v>0</v>
      </c>
      <c r="AK1097" s="182" t="n">
        <v>10.92</v>
      </c>
      <c r="AL1097" s="182" t="n">
        <v>0</v>
      </c>
      <c r="AM1097" s="182" t="n">
        <v>0.08</v>
      </c>
      <c r="AN1097" s="182" t="n">
        <v>0</v>
      </c>
    </row>
    <row r="1098">
      <c r="A1098" s="155" t="n">
        <v>46086</v>
      </c>
      <c r="B1098" s="156" t="inlineStr">
        <is>
          <t>NS</t>
        </is>
      </c>
      <c r="C1098" s="156" t="inlineStr">
        <is>
          <t>WL-023</t>
        </is>
      </c>
      <c r="D1098" s="156" t="inlineStr">
        <is>
          <t>SANY - Loader</t>
        </is>
      </c>
      <c r="E1098" s="156" t="inlineStr">
        <is>
          <t>Loader</t>
        </is>
      </c>
      <c r="F1098" s="156" t="inlineStr"/>
      <c r="G1098" s="182" t="n">
        <v>0</v>
      </c>
      <c r="H1098" s="182" t="n">
        <v>0</v>
      </c>
      <c r="I1098" s="182" t="n">
        <v>0</v>
      </c>
      <c r="J1098" s="182" t="n">
        <v>0</v>
      </c>
      <c r="K1098" s="182" t="n">
        <v>12</v>
      </c>
      <c r="L1098" s="182" t="n">
        <v>12</v>
      </c>
      <c r="M1098" s="182" t="n">
        <v>0</v>
      </c>
      <c r="N1098" s="182" t="n">
        <v>0</v>
      </c>
      <c r="O1098" s="183" t="n">
        <v>0</v>
      </c>
      <c r="P1098" s="183" t="n">
        <v>0</v>
      </c>
      <c r="Q1098" s="184" t="n">
        <v>0</v>
      </c>
      <c r="R1098" s="184" t="n">
        <v>0</v>
      </c>
      <c r="S1098" s="183" t="n">
        <v>0</v>
      </c>
      <c r="T1098" s="183" t="n">
        <v>0</v>
      </c>
      <c r="U1098" s="182" t="n">
        <v>0</v>
      </c>
      <c r="V1098" s="182" t="n">
        <v>0</v>
      </c>
      <c r="W1098" s="182" t="n">
        <v>0</v>
      </c>
      <c r="X1098" s="182" t="n">
        <v>1</v>
      </c>
      <c r="Y1098" s="182" t="n">
        <v>0</v>
      </c>
      <c r="Z1098" s="182" t="n">
        <v>0</v>
      </c>
      <c r="AA1098" s="182" t="n">
        <v>0</v>
      </c>
      <c r="AB1098" s="182" t="n">
        <v>0</v>
      </c>
      <c r="AC1098" s="182" t="n">
        <v>0</v>
      </c>
      <c r="AD1098" s="182" t="n">
        <v>0</v>
      </c>
      <c r="AE1098" s="182" t="n">
        <v>0</v>
      </c>
      <c r="AF1098" s="182" t="n">
        <v>0</v>
      </c>
      <c r="AG1098" s="182" t="n">
        <v>0</v>
      </c>
      <c r="AH1098" s="182" t="n">
        <v>0</v>
      </c>
      <c r="AI1098" s="182" t="n">
        <v>0</v>
      </c>
      <c r="AJ1098" s="182" t="n">
        <v>0</v>
      </c>
      <c r="AK1098" s="182" t="n">
        <v>10.92</v>
      </c>
      <c r="AL1098" s="182" t="n">
        <v>0</v>
      </c>
      <c r="AM1098" s="182" t="n">
        <v>0.08</v>
      </c>
      <c r="AN1098" s="182" t="n">
        <v>0</v>
      </c>
    </row>
    <row r="1099">
      <c r="A1099" s="155" t="n">
        <v>46086</v>
      </c>
      <c r="B1099" s="156" t="inlineStr">
        <is>
          <t>NS</t>
        </is>
      </c>
      <c r="C1099" s="156" t="inlineStr">
        <is>
          <t>WL-021</t>
        </is>
      </c>
      <c r="D1099" s="156" t="inlineStr">
        <is>
          <t>SANY - Loader</t>
        </is>
      </c>
      <c r="E1099" s="156" t="inlineStr">
        <is>
          <t>Loader</t>
        </is>
      </c>
      <c r="F1099" s="156" t="inlineStr"/>
      <c r="G1099" s="182" t="n">
        <v>0</v>
      </c>
      <c r="H1099" s="182" t="n">
        <v>0</v>
      </c>
      <c r="I1099" s="182" t="n">
        <v>12</v>
      </c>
      <c r="J1099" s="182" t="n">
        <v>12</v>
      </c>
      <c r="K1099" s="182" t="n">
        <v>0</v>
      </c>
      <c r="L1099" s="182" t="n">
        <v>12</v>
      </c>
      <c r="M1099" s="182" t="n">
        <v>0</v>
      </c>
      <c r="N1099" s="182" t="n">
        <v>0</v>
      </c>
      <c r="O1099" s="183" t="n">
        <v>0</v>
      </c>
      <c r="P1099" s="183" t="n">
        <v>0</v>
      </c>
      <c r="Q1099" s="184" t="n">
        <v>0</v>
      </c>
      <c r="R1099" s="184" t="n">
        <v>0</v>
      </c>
      <c r="S1099" s="183" t="n">
        <v>0</v>
      </c>
      <c r="T1099" s="183" t="n">
        <v>0</v>
      </c>
      <c r="U1099" s="182" t="n">
        <v>0</v>
      </c>
      <c r="V1099" s="182" t="n">
        <v>0</v>
      </c>
      <c r="W1099" s="182" t="n">
        <v>0</v>
      </c>
      <c r="X1099" s="182" t="n">
        <v>0</v>
      </c>
      <c r="Y1099" s="182" t="n">
        <v>0</v>
      </c>
      <c r="Z1099" s="182" t="n">
        <v>0</v>
      </c>
      <c r="AA1099" s="182" t="n">
        <v>0</v>
      </c>
      <c r="AB1099" s="182" t="n">
        <v>0</v>
      </c>
      <c r="AC1099" s="182" t="n">
        <v>0</v>
      </c>
      <c r="AD1099" s="182" t="n">
        <v>0</v>
      </c>
      <c r="AE1099" s="182" t="n">
        <v>0</v>
      </c>
      <c r="AF1099" s="182" t="n">
        <v>0</v>
      </c>
      <c r="AG1099" s="182" t="n">
        <v>0</v>
      </c>
      <c r="AH1099" s="182" t="n">
        <v>0</v>
      </c>
      <c r="AI1099" s="182" t="n">
        <v>0</v>
      </c>
      <c r="AJ1099" s="182" t="n">
        <v>0</v>
      </c>
      <c r="AK1099" s="182" t="n">
        <v>0</v>
      </c>
      <c r="AL1099" s="182" t="n">
        <v>0</v>
      </c>
      <c r="AM1099" s="182" t="n">
        <v>0</v>
      </c>
      <c r="AN1099" s="182" t="n">
        <v>0</v>
      </c>
    </row>
    <row r="1100">
      <c r="A1100" s="155" t="n">
        <v>46086</v>
      </c>
      <c r="B1100" s="156" t="inlineStr">
        <is>
          <t>NS</t>
        </is>
      </c>
      <c r="C1100" s="156" t="inlineStr">
        <is>
          <t>WL-022</t>
        </is>
      </c>
      <c r="D1100" s="156" t="inlineStr">
        <is>
          <t>SANY - Loader</t>
        </is>
      </c>
      <c r="E1100" s="156" t="inlineStr">
        <is>
          <t>Loader</t>
        </is>
      </c>
      <c r="F1100" s="156" t="inlineStr">
        <is>
          <t>Trimming Coal di StockROM</t>
        </is>
      </c>
      <c r="G1100" s="182" t="n">
        <v>10.9</v>
      </c>
      <c r="H1100" s="182" t="n">
        <v>0</v>
      </c>
      <c r="I1100" s="182" t="n">
        <v>0</v>
      </c>
      <c r="J1100" s="182" t="n">
        <v>0</v>
      </c>
      <c r="K1100" s="182" t="n">
        <v>1.1</v>
      </c>
      <c r="L1100" s="182" t="n">
        <v>12</v>
      </c>
      <c r="M1100" s="182" t="n">
        <v>0</v>
      </c>
      <c r="N1100" s="182" t="n">
        <v>0</v>
      </c>
      <c r="O1100" s="183" t="n">
        <v>0</v>
      </c>
      <c r="P1100" s="183" t="n">
        <v>0</v>
      </c>
      <c r="Q1100" s="184" t="n">
        <v>0</v>
      </c>
      <c r="R1100" s="184" t="n">
        <v>0</v>
      </c>
      <c r="S1100" s="183" t="n">
        <v>0</v>
      </c>
      <c r="T1100" s="183" t="n">
        <v>0</v>
      </c>
      <c r="U1100" s="182" t="n">
        <v>0</v>
      </c>
      <c r="V1100" s="182" t="n">
        <v>0</v>
      </c>
      <c r="W1100" s="182" t="n">
        <v>0</v>
      </c>
      <c r="X1100" s="182" t="n">
        <v>0.85</v>
      </c>
      <c r="Y1100" s="182" t="n">
        <v>0</v>
      </c>
      <c r="Z1100" s="182" t="n">
        <v>0</v>
      </c>
      <c r="AA1100" s="182" t="n">
        <v>0</v>
      </c>
      <c r="AB1100" s="182" t="n">
        <v>0</v>
      </c>
      <c r="AC1100" s="182" t="n">
        <v>0</v>
      </c>
      <c r="AD1100" s="182" t="n">
        <v>0</v>
      </c>
      <c r="AE1100" s="182" t="n">
        <v>0</v>
      </c>
      <c r="AF1100" s="182" t="n">
        <v>0</v>
      </c>
      <c r="AG1100" s="182" t="n">
        <v>0</v>
      </c>
      <c r="AH1100" s="182" t="n">
        <v>0</v>
      </c>
      <c r="AI1100" s="182" t="n">
        <v>0</v>
      </c>
      <c r="AJ1100" s="182" t="n">
        <v>0</v>
      </c>
      <c r="AK1100" s="182" t="n">
        <v>0.19</v>
      </c>
      <c r="AL1100" s="182" t="n">
        <v>0</v>
      </c>
      <c r="AM1100" s="182" t="n">
        <v>0.07000000000000001</v>
      </c>
      <c r="AN1100" s="182" t="n">
        <v>0</v>
      </c>
    </row>
    <row r="1101">
      <c r="A1101" s="155" t="n">
        <v>46086</v>
      </c>
      <c r="B1101" s="156" t="inlineStr">
        <is>
          <t>NS</t>
        </is>
      </c>
      <c r="C1101" s="156" t="inlineStr">
        <is>
          <t>WL-024</t>
        </is>
      </c>
      <c r="D1101" s="156" t="inlineStr">
        <is>
          <t>SANY - Loader</t>
        </is>
      </c>
      <c r="E1101" s="156" t="inlineStr">
        <is>
          <t>Loader</t>
        </is>
      </c>
      <c r="F1101" s="156" t="inlineStr">
        <is>
          <t>Produksi Washing Plant</t>
        </is>
      </c>
      <c r="G1101" s="182" t="n">
        <v>11.54</v>
      </c>
      <c r="H1101" s="182" t="n">
        <v>0</v>
      </c>
      <c r="I1101" s="182" t="n">
        <v>0</v>
      </c>
      <c r="J1101" s="182" t="n">
        <v>0</v>
      </c>
      <c r="K1101" s="182" t="n">
        <v>0.46</v>
      </c>
      <c r="L1101" s="182" t="n">
        <v>12</v>
      </c>
      <c r="M1101" s="182" t="n">
        <v>0</v>
      </c>
      <c r="N1101" s="182" t="n">
        <v>0</v>
      </c>
      <c r="O1101" s="183" t="n">
        <v>0</v>
      </c>
      <c r="P1101" s="183" t="n">
        <v>0</v>
      </c>
      <c r="Q1101" s="184" t="n">
        <v>0</v>
      </c>
      <c r="R1101" s="184" t="n">
        <v>0</v>
      </c>
      <c r="S1101" s="183" t="n">
        <v>0</v>
      </c>
      <c r="T1101" s="183" t="n">
        <v>0</v>
      </c>
      <c r="U1101" s="182" t="n">
        <v>0</v>
      </c>
      <c r="V1101" s="182" t="n">
        <v>0</v>
      </c>
      <c r="W1101" s="182" t="n">
        <v>0</v>
      </c>
      <c r="X1101" s="182" t="n">
        <v>0</v>
      </c>
      <c r="Y1101" s="182" t="n">
        <v>0</v>
      </c>
      <c r="Z1101" s="182" t="n">
        <v>0</v>
      </c>
      <c r="AA1101" s="182" t="n">
        <v>0</v>
      </c>
      <c r="AB1101" s="182" t="n">
        <v>0</v>
      </c>
      <c r="AC1101" s="182" t="n">
        <v>0</v>
      </c>
      <c r="AD1101" s="182" t="n">
        <v>0</v>
      </c>
      <c r="AE1101" s="182" t="n">
        <v>0</v>
      </c>
      <c r="AF1101" s="182" t="n">
        <v>0</v>
      </c>
      <c r="AG1101" s="182" t="n">
        <v>0</v>
      </c>
      <c r="AH1101" s="182" t="n">
        <v>0</v>
      </c>
      <c r="AI1101" s="182" t="n">
        <v>0</v>
      </c>
      <c r="AJ1101" s="182" t="n">
        <v>0</v>
      </c>
      <c r="AK1101" s="182" t="n">
        <v>0.28</v>
      </c>
      <c r="AL1101" s="182" t="n">
        <v>0</v>
      </c>
      <c r="AM1101" s="182" t="n">
        <v>0.18</v>
      </c>
      <c r="AN1101" s="182" t="n">
        <v>0</v>
      </c>
    </row>
    <row r="1102">
      <c r="A1102" s="155" t="n">
        <v>46087</v>
      </c>
      <c r="B1102" s="156" t="inlineStr">
        <is>
          <t>DS</t>
        </is>
      </c>
      <c r="C1102" s="156" t="inlineStr">
        <is>
          <t>DZ-034</t>
        </is>
      </c>
      <c r="D1102" s="156" t="inlineStr">
        <is>
          <t>D 68ESS-12EO</t>
        </is>
      </c>
      <c r="E1102" s="156" t="inlineStr">
        <is>
          <t>Bulldozer</t>
        </is>
      </c>
      <c r="F1102" s="156" t="inlineStr">
        <is>
          <t>Support ROM</t>
        </is>
      </c>
      <c r="G1102" s="182" t="n">
        <v>8.640000000000001</v>
      </c>
      <c r="H1102" s="182" t="n">
        <v>0</v>
      </c>
      <c r="I1102" s="182" t="n">
        <v>0</v>
      </c>
      <c r="J1102" s="182" t="n">
        <v>0</v>
      </c>
      <c r="K1102" s="182" t="n">
        <v>3.36</v>
      </c>
      <c r="L1102" s="182" t="n">
        <v>12</v>
      </c>
      <c r="M1102" s="182" t="n">
        <v>0</v>
      </c>
      <c r="N1102" s="182" t="n">
        <v>0</v>
      </c>
      <c r="O1102" s="183" t="n">
        <v>0</v>
      </c>
      <c r="P1102" s="183" t="n">
        <v>0</v>
      </c>
      <c r="Q1102" s="184" t="n">
        <v>0</v>
      </c>
      <c r="R1102" s="184" t="n">
        <v>0</v>
      </c>
      <c r="S1102" s="183" t="n">
        <v>0</v>
      </c>
      <c r="T1102" s="183" t="n">
        <v>0</v>
      </c>
      <c r="U1102" s="182" t="n">
        <v>0</v>
      </c>
      <c r="V1102" s="182" t="n">
        <v>0</v>
      </c>
      <c r="W1102" s="182" t="n">
        <v>0</v>
      </c>
      <c r="X1102" s="182" t="n">
        <v>1.05</v>
      </c>
      <c r="Y1102" s="182" t="n">
        <v>0</v>
      </c>
      <c r="Z1102" s="182" t="n">
        <v>0</v>
      </c>
      <c r="AA1102" s="182" t="n">
        <v>0</v>
      </c>
      <c r="AB1102" s="182" t="n">
        <v>0</v>
      </c>
      <c r="AC1102" s="182" t="n">
        <v>0</v>
      </c>
      <c r="AD1102" s="182" t="n">
        <v>0</v>
      </c>
      <c r="AE1102" s="182" t="n">
        <v>0</v>
      </c>
      <c r="AF1102" s="182" t="n">
        <v>0</v>
      </c>
      <c r="AG1102" s="182" t="n">
        <v>0</v>
      </c>
      <c r="AH1102" s="182" t="n">
        <v>0</v>
      </c>
      <c r="AI1102" s="182" t="n">
        <v>0</v>
      </c>
      <c r="AJ1102" s="182" t="n">
        <v>0</v>
      </c>
      <c r="AK1102" s="182" t="n">
        <v>2.23</v>
      </c>
      <c r="AL1102" s="182" t="n">
        <v>0</v>
      </c>
      <c r="AM1102" s="182" t="n">
        <v>0.08</v>
      </c>
      <c r="AN1102" s="182" t="n">
        <v>0</v>
      </c>
    </row>
    <row r="1103">
      <c r="A1103" s="155" t="n">
        <v>46087</v>
      </c>
      <c r="B1103" s="156" t="inlineStr">
        <is>
          <t>DS</t>
        </is>
      </c>
      <c r="C1103" s="156" t="inlineStr">
        <is>
          <t>DZ-033</t>
        </is>
      </c>
      <c r="D1103" s="156" t="inlineStr">
        <is>
          <t>D 375A-6R</t>
        </is>
      </c>
      <c r="E1103" s="156" t="inlineStr">
        <is>
          <t>Bulldozer</t>
        </is>
      </c>
      <c r="F1103" s="156" t="inlineStr">
        <is>
          <t>Support Disposal</t>
        </is>
      </c>
      <c r="G1103" s="182" t="n">
        <v>4</v>
      </c>
      <c r="H1103" s="182" t="n">
        <v>0</v>
      </c>
      <c r="I1103" s="182" t="n">
        <v>8</v>
      </c>
      <c r="J1103" s="182" t="n">
        <v>8</v>
      </c>
      <c r="K1103" s="182" t="n">
        <v>0</v>
      </c>
      <c r="L1103" s="182" t="n">
        <v>12</v>
      </c>
      <c r="M1103" s="182" t="n">
        <v>0</v>
      </c>
      <c r="N1103" s="182" t="n">
        <v>0</v>
      </c>
      <c r="O1103" s="183" t="n">
        <v>0</v>
      </c>
      <c r="P1103" s="183" t="n">
        <v>0</v>
      </c>
      <c r="Q1103" s="184" t="n">
        <v>0</v>
      </c>
      <c r="R1103" s="184" t="n">
        <v>0</v>
      </c>
      <c r="S1103" s="183" t="n">
        <v>0</v>
      </c>
      <c r="T1103" s="183" t="n">
        <v>0</v>
      </c>
      <c r="U1103" s="182" t="n">
        <v>0</v>
      </c>
      <c r="V1103" s="182" t="n">
        <v>0</v>
      </c>
      <c r="W1103" s="182" t="n">
        <v>0</v>
      </c>
      <c r="X1103" s="182" t="n">
        <v>0</v>
      </c>
      <c r="Y1103" s="182" t="n">
        <v>0</v>
      </c>
      <c r="Z1103" s="182" t="n">
        <v>0</v>
      </c>
      <c r="AA1103" s="182" t="n">
        <v>0</v>
      </c>
      <c r="AB1103" s="182" t="n">
        <v>0</v>
      </c>
      <c r="AC1103" s="182" t="n">
        <v>0</v>
      </c>
      <c r="AD1103" s="182" t="n">
        <v>0</v>
      </c>
      <c r="AE1103" s="182" t="n">
        <v>0</v>
      </c>
      <c r="AF1103" s="182" t="n">
        <v>0</v>
      </c>
      <c r="AG1103" s="182" t="n">
        <v>0</v>
      </c>
      <c r="AH1103" s="182" t="n">
        <v>0</v>
      </c>
      <c r="AI1103" s="182" t="n">
        <v>0</v>
      </c>
      <c r="AJ1103" s="182" t="n">
        <v>0</v>
      </c>
      <c r="AK1103" s="182" t="n">
        <v>0</v>
      </c>
      <c r="AL1103" s="182" t="n">
        <v>0</v>
      </c>
      <c r="AM1103" s="182" t="n">
        <v>0</v>
      </c>
      <c r="AN1103" s="182" t="n">
        <v>0</v>
      </c>
    </row>
    <row r="1104">
      <c r="A1104" s="155" t="n">
        <v>46087</v>
      </c>
      <c r="B1104" s="156" t="inlineStr">
        <is>
          <t>DS</t>
        </is>
      </c>
      <c r="C1104" s="156" t="inlineStr">
        <is>
          <t>DZ-038</t>
        </is>
      </c>
      <c r="D1104" s="156" t="inlineStr">
        <is>
          <t>D 85 ESS-2</t>
        </is>
      </c>
      <c r="E1104" s="156" t="inlineStr">
        <is>
          <t>Bulldozer</t>
        </is>
      </c>
      <c r="F1104" s="156" t="inlineStr"/>
      <c r="G1104" s="182" t="n">
        <v>0</v>
      </c>
      <c r="H1104" s="182" t="n">
        <v>0</v>
      </c>
      <c r="I1104" s="182" t="n">
        <v>12</v>
      </c>
      <c r="J1104" s="182" t="n">
        <v>12</v>
      </c>
      <c r="K1104" s="182" t="n">
        <v>0</v>
      </c>
      <c r="L1104" s="182" t="n">
        <v>12</v>
      </c>
      <c r="M1104" s="182" t="n">
        <v>0</v>
      </c>
      <c r="N1104" s="182" t="n">
        <v>0</v>
      </c>
      <c r="O1104" s="183" t="n">
        <v>0</v>
      </c>
      <c r="P1104" s="183" t="n">
        <v>0</v>
      </c>
      <c r="Q1104" s="184" t="n">
        <v>0</v>
      </c>
      <c r="R1104" s="184" t="n">
        <v>0</v>
      </c>
      <c r="S1104" s="183" t="n">
        <v>0</v>
      </c>
      <c r="T1104" s="183" t="n">
        <v>0</v>
      </c>
      <c r="U1104" s="182" t="n">
        <v>0</v>
      </c>
      <c r="V1104" s="182" t="n">
        <v>0</v>
      </c>
      <c r="W1104" s="182" t="n">
        <v>0</v>
      </c>
      <c r="X1104" s="182" t="n">
        <v>0</v>
      </c>
      <c r="Y1104" s="182" t="n">
        <v>0</v>
      </c>
      <c r="Z1104" s="182" t="n">
        <v>0</v>
      </c>
      <c r="AA1104" s="182" t="n">
        <v>0</v>
      </c>
      <c r="AB1104" s="182" t="n">
        <v>0</v>
      </c>
      <c r="AC1104" s="182" t="n">
        <v>0</v>
      </c>
      <c r="AD1104" s="182" t="n">
        <v>0</v>
      </c>
      <c r="AE1104" s="182" t="n">
        <v>0</v>
      </c>
      <c r="AF1104" s="182" t="n">
        <v>0</v>
      </c>
      <c r="AG1104" s="182" t="n">
        <v>0</v>
      </c>
      <c r="AH1104" s="182" t="n">
        <v>0</v>
      </c>
      <c r="AI1104" s="182" t="n">
        <v>0</v>
      </c>
      <c r="AJ1104" s="182" t="n">
        <v>0</v>
      </c>
      <c r="AK1104" s="182" t="n">
        <v>0</v>
      </c>
      <c r="AL1104" s="182" t="n">
        <v>0</v>
      </c>
      <c r="AM1104" s="182" t="n">
        <v>0</v>
      </c>
      <c r="AN1104" s="182" t="n">
        <v>0</v>
      </c>
    </row>
    <row r="1105">
      <c r="A1105" s="155" t="n">
        <v>46087</v>
      </c>
      <c r="B1105" s="156" t="inlineStr">
        <is>
          <t>DS</t>
        </is>
      </c>
      <c r="C1105" s="156" t="inlineStr">
        <is>
          <t>DZ-039</t>
        </is>
      </c>
      <c r="D1105" s="156" t="inlineStr">
        <is>
          <t>D 85 ESS-2</t>
        </is>
      </c>
      <c r="E1105" s="156" t="inlineStr">
        <is>
          <t>Bulldozer</t>
        </is>
      </c>
      <c r="F1105" s="156" t="inlineStr">
        <is>
          <t>Support Front Loading</t>
        </is>
      </c>
      <c r="G1105" s="182" t="n">
        <v>4.8</v>
      </c>
      <c r="H1105" s="182" t="n">
        <v>0</v>
      </c>
      <c r="I1105" s="182" t="n">
        <v>6.87</v>
      </c>
      <c r="J1105" s="182" t="n">
        <v>6.87</v>
      </c>
      <c r="K1105" s="182" t="n">
        <v>0.33</v>
      </c>
      <c r="L1105" s="182" t="n">
        <v>12</v>
      </c>
      <c r="M1105" s="182" t="n">
        <v>0</v>
      </c>
      <c r="N1105" s="182" t="n">
        <v>0</v>
      </c>
      <c r="O1105" s="183" t="n">
        <v>0</v>
      </c>
      <c r="P1105" s="183" t="n">
        <v>0</v>
      </c>
      <c r="Q1105" s="184" t="n">
        <v>0</v>
      </c>
      <c r="R1105" s="184" t="n">
        <v>0</v>
      </c>
      <c r="S1105" s="183" t="n">
        <v>0</v>
      </c>
      <c r="T1105" s="183" t="n">
        <v>0</v>
      </c>
      <c r="U1105" s="182" t="n">
        <v>0</v>
      </c>
      <c r="V1105" s="182" t="n">
        <v>0</v>
      </c>
      <c r="W1105" s="182" t="n">
        <v>0</v>
      </c>
      <c r="X1105" s="182" t="n">
        <v>0.28</v>
      </c>
      <c r="Y1105" s="182" t="n">
        <v>0</v>
      </c>
      <c r="Z1105" s="182" t="n">
        <v>0</v>
      </c>
      <c r="AA1105" s="182" t="n">
        <v>0</v>
      </c>
      <c r="AB1105" s="182" t="n">
        <v>0</v>
      </c>
      <c r="AC1105" s="182" t="n">
        <v>0</v>
      </c>
      <c r="AD1105" s="182" t="n">
        <v>0</v>
      </c>
      <c r="AE1105" s="182" t="n">
        <v>0</v>
      </c>
      <c r="AF1105" s="182" t="n">
        <v>0</v>
      </c>
      <c r="AG1105" s="182" t="n">
        <v>0</v>
      </c>
      <c r="AH1105" s="182" t="n">
        <v>0</v>
      </c>
      <c r="AI1105" s="182" t="n">
        <v>0</v>
      </c>
      <c r="AJ1105" s="182" t="n">
        <v>0</v>
      </c>
      <c r="AK1105" s="182" t="n">
        <v>0</v>
      </c>
      <c r="AL1105" s="182" t="n">
        <v>0</v>
      </c>
      <c r="AM1105" s="182" t="n">
        <v>0.05</v>
      </c>
      <c r="AN1105" s="182" t="n">
        <v>0</v>
      </c>
    </row>
    <row r="1106">
      <c r="A1106" s="155" t="n">
        <v>46087</v>
      </c>
      <c r="B1106" s="156" t="inlineStr">
        <is>
          <t>DS</t>
        </is>
      </c>
      <c r="C1106" s="156" t="inlineStr">
        <is>
          <t>DZ-032</t>
        </is>
      </c>
      <c r="D1106" s="156" t="inlineStr">
        <is>
          <t>CAT</t>
        </is>
      </c>
      <c r="E1106" s="156" t="inlineStr">
        <is>
          <t>Bulldozer</t>
        </is>
      </c>
      <c r="F1106" s="156" t="inlineStr">
        <is>
          <t>Support Front Loading &amp; Disposal</t>
        </is>
      </c>
      <c r="G1106" s="182" t="n">
        <v>11.66</v>
      </c>
      <c r="H1106" s="182" t="n">
        <v>0</v>
      </c>
      <c r="I1106" s="182" t="n">
        <v>0</v>
      </c>
      <c r="J1106" s="182" t="n">
        <v>0</v>
      </c>
      <c r="K1106" s="182" t="n">
        <v>0.34</v>
      </c>
      <c r="L1106" s="182" t="n">
        <v>12</v>
      </c>
      <c r="M1106" s="182" t="n">
        <v>0</v>
      </c>
      <c r="N1106" s="182" t="n">
        <v>0</v>
      </c>
      <c r="O1106" s="183" t="n">
        <v>0</v>
      </c>
      <c r="P1106" s="183" t="n">
        <v>0</v>
      </c>
      <c r="Q1106" s="184" t="n">
        <v>0</v>
      </c>
      <c r="R1106" s="184" t="n">
        <v>0</v>
      </c>
      <c r="S1106" s="183" t="n">
        <v>0</v>
      </c>
      <c r="T1106" s="183" t="n">
        <v>0</v>
      </c>
      <c r="U1106" s="182" t="n">
        <v>0</v>
      </c>
      <c r="V1106" s="182" t="n">
        <v>0</v>
      </c>
      <c r="W1106" s="182" t="n">
        <v>0</v>
      </c>
      <c r="X1106" s="182" t="n">
        <v>0.27</v>
      </c>
      <c r="Y1106" s="182" t="n">
        <v>0</v>
      </c>
      <c r="Z1106" s="182" t="n">
        <v>0</v>
      </c>
      <c r="AA1106" s="182" t="n">
        <v>0</v>
      </c>
      <c r="AB1106" s="182" t="n">
        <v>0</v>
      </c>
      <c r="AC1106" s="182" t="n">
        <v>0</v>
      </c>
      <c r="AD1106" s="182" t="n">
        <v>0</v>
      </c>
      <c r="AE1106" s="182" t="n">
        <v>0</v>
      </c>
      <c r="AF1106" s="182" t="n">
        <v>0</v>
      </c>
      <c r="AG1106" s="182" t="n">
        <v>0</v>
      </c>
      <c r="AH1106" s="182" t="n">
        <v>0</v>
      </c>
      <c r="AI1106" s="182" t="n">
        <v>0</v>
      </c>
      <c r="AJ1106" s="182" t="n">
        <v>0</v>
      </c>
      <c r="AK1106" s="182" t="n">
        <v>0</v>
      </c>
      <c r="AL1106" s="182" t="n">
        <v>0</v>
      </c>
      <c r="AM1106" s="182" t="n">
        <v>0.07000000000000001</v>
      </c>
      <c r="AN1106" s="182" t="n">
        <v>0</v>
      </c>
    </row>
    <row r="1107">
      <c r="A1107" s="155" t="n">
        <v>46087</v>
      </c>
      <c r="B1107" s="156" t="inlineStr">
        <is>
          <t>DS</t>
        </is>
      </c>
      <c r="C1107" s="156" t="inlineStr">
        <is>
          <t>DZ-031</t>
        </is>
      </c>
      <c r="D1107" s="156" t="inlineStr">
        <is>
          <t>CAT</t>
        </is>
      </c>
      <c r="E1107" s="156" t="inlineStr">
        <is>
          <t>Bulldozer</t>
        </is>
      </c>
      <c r="F1107" s="156" t="inlineStr"/>
      <c r="G1107" s="182" t="n">
        <v>0</v>
      </c>
      <c r="H1107" s="182" t="n">
        <v>0</v>
      </c>
      <c r="I1107" s="182" t="n">
        <v>12</v>
      </c>
      <c r="J1107" s="182" t="n">
        <v>12</v>
      </c>
      <c r="K1107" s="182" t="n">
        <v>0</v>
      </c>
      <c r="L1107" s="182" t="n">
        <v>12</v>
      </c>
      <c r="M1107" s="182" t="n">
        <v>0</v>
      </c>
      <c r="N1107" s="182" t="n">
        <v>0</v>
      </c>
      <c r="O1107" s="183" t="n">
        <v>0</v>
      </c>
      <c r="P1107" s="183" t="n">
        <v>0</v>
      </c>
      <c r="Q1107" s="184" t="n">
        <v>0</v>
      </c>
      <c r="R1107" s="184" t="n">
        <v>0</v>
      </c>
      <c r="S1107" s="183" t="n">
        <v>0</v>
      </c>
      <c r="T1107" s="183" t="n">
        <v>0</v>
      </c>
      <c r="U1107" s="182" t="n">
        <v>0</v>
      </c>
      <c r="V1107" s="182" t="n">
        <v>0</v>
      </c>
      <c r="W1107" s="182" t="n">
        <v>0</v>
      </c>
      <c r="X1107" s="182" t="n">
        <v>0</v>
      </c>
      <c r="Y1107" s="182" t="n">
        <v>0</v>
      </c>
      <c r="Z1107" s="182" t="n">
        <v>0</v>
      </c>
      <c r="AA1107" s="182" t="n">
        <v>0</v>
      </c>
      <c r="AB1107" s="182" t="n">
        <v>0</v>
      </c>
      <c r="AC1107" s="182" t="n">
        <v>0</v>
      </c>
      <c r="AD1107" s="182" t="n">
        <v>0</v>
      </c>
      <c r="AE1107" s="182" t="n">
        <v>0</v>
      </c>
      <c r="AF1107" s="182" t="n">
        <v>0</v>
      </c>
      <c r="AG1107" s="182" t="n">
        <v>0</v>
      </c>
      <c r="AH1107" s="182" t="n">
        <v>0</v>
      </c>
      <c r="AI1107" s="182" t="n">
        <v>0</v>
      </c>
      <c r="AJ1107" s="182" t="n">
        <v>0</v>
      </c>
      <c r="AK1107" s="182" t="n">
        <v>0</v>
      </c>
      <c r="AL1107" s="182" t="n">
        <v>0</v>
      </c>
      <c r="AM1107" s="182" t="n">
        <v>0</v>
      </c>
      <c r="AN1107" s="182" t="n">
        <v>0</v>
      </c>
    </row>
    <row r="1108">
      <c r="A1108" s="155" t="n">
        <v>46087</v>
      </c>
      <c r="B1108" s="156" t="inlineStr">
        <is>
          <t>DS</t>
        </is>
      </c>
      <c r="C1108" s="156" t="inlineStr">
        <is>
          <t>DZ-037</t>
        </is>
      </c>
      <c r="D1108" s="156" t="inlineStr">
        <is>
          <t>D 85 ESS-2</t>
        </is>
      </c>
      <c r="E1108" s="156" t="inlineStr">
        <is>
          <t>Bulldozer</t>
        </is>
      </c>
      <c r="F1108" s="156" t="inlineStr">
        <is>
          <t>Support Disposal</t>
        </is>
      </c>
      <c r="G1108" s="182" t="n">
        <v>11.7</v>
      </c>
      <c r="H1108" s="182" t="n">
        <v>0</v>
      </c>
      <c r="I1108" s="182" t="n">
        <v>0.3</v>
      </c>
      <c r="J1108" s="182" t="n">
        <v>0.3</v>
      </c>
      <c r="K1108" s="182" t="n">
        <v>0</v>
      </c>
      <c r="L1108" s="182" t="n">
        <v>12</v>
      </c>
      <c r="M1108" s="182" t="n">
        <v>0</v>
      </c>
      <c r="N1108" s="182" t="n">
        <v>0</v>
      </c>
      <c r="O1108" s="183" t="n">
        <v>0</v>
      </c>
      <c r="P1108" s="183" t="n">
        <v>0</v>
      </c>
      <c r="Q1108" s="184" t="n">
        <v>0</v>
      </c>
      <c r="R1108" s="184" t="n">
        <v>0</v>
      </c>
      <c r="S1108" s="183" t="n">
        <v>0</v>
      </c>
      <c r="T1108" s="183" t="n">
        <v>0</v>
      </c>
      <c r="U1108" s="182" t="n">
        <v>0</v>
      </c>
      <c r="V1108" s="182" t="n">
        <v>0</v>
      </c>
      <c r="W1108" s="182" t="n">
        <v>0</v>
      </c>
      <c r="X1108" s="182" t="n">
        <v>0</v>
      </c>
      <c r="Y1108" s="182" t="n">
        <v>0</v>
      </c>
      <c r="Z1108" s="182" t="n">
        <v>0</v>
      </c>
      <c r="AA1108" s="182" t="n">
        <v>0</v>
      </c>
      <c r="AB1108" s="182" t="n">
        <v>0</v>
      </c>
      <c r="AC1108" s="182" t="n">
        <v>0</v>
      </c>
      <c r="AD1108" s="182" t="n">
        <v>0</v>
      </c>
      <c r="AE1108" s="182" t="n">
        <v>0</v>
      </c>
      <c r="AF1108" s="182" t="n">
        <v>0</v>
      </c>
      <c r="AG1108" s="182" t="n">
        <v>0</v>
      </c>
      <c r="AH1108" s="182" t="n">
        <v>0</v>
      </c>
      <c r="AI1108" s="182" t="n">
        <v>0</v>
      </c>
      <c r="AJ1108" s="182" t="n">
        <v>0</v>
      </c>
      <c r="AK1108" s="182" t="n">
        <v>0</v>
      </c>
      <c r="AL1108" s="182" t="n">
        <v>0</v>
      </c>
      <c r="AM1108" s="182" t="n">
        <v>0</v>
      </c>
      <c r="AN1108" s="182" t="n">
        <v>0</v>
      </c>
    </row>
    <row r="1109">
      <c r="A1109" s="155" t="n">
        <v>46087</v>
      </c>
      <c r="B1109" s="156" t="inlineStr">
        <is>
          <t>DS</t>
        </is>
      </c>
      <c r="C1109" s="156" t="inlineStr">
        <is>
          <t>DZ-036</t>
        </is>
      </c>
      <c r="D1109" s="156" t="inlineStr">
        <is>
          <t>D 85 ESS-2</t>
        </is>
      </c>
      <c r="E1109" s="156" t="inlineStr">
        <is>
          <t>Bulldozer</t>
        </is>
      </c>
      <c r="F1109" s="156" t="inlineStr"/>
      <c r="G1109" s="182" t="n">
        <v>0</v>
      </c>
      <c r="H1109" s="182" t="n">
        <v>0</v>
      </c>
      <c r="I1109" s="182" t="n">
        <v>0</v>
      </c>
      <c r="J1109" s="182" t="n">
        <v>0</v>
      </c>
      <c r="K1109" s="182" t="n">
        <v>12</v>
      </c>
      <c r="L1109" s="182" t="n">
        <v>12</v>
      </c>
      <c r="M1109" s="182" t="n">
        <v>0</v>
      </c>
      <c r="N1109" s="182" t="n">
        <v>0</v>
      </c>
      <c r="O1109" s="183" t="n">
        <v>0</v>
      </c>
      <c r="P1109" s="183" t="n">
        <v>0</v>
      </c>
      <c r="Q1109" s="184" t="n">
        <v>0</v>
      </c>
      <c r="R1109" s="184" t="n">
        <v>0</v>
      </c>
      <c r="S1109" s="183" t="n">
        <v>0</v>
      </c>
      <c r="T1109" s="183" t="n">
        <v>0</v>
      </c>
      <c r="U1109" s="182" t="n">
        <v>0</v>
      </c>
      <c r="V1109" s="182" t="n">
        <v>0</v>
      </c>
      <c r="W1109" s="182" t="n">
        <v>0</v>
      </c>
      <c r="X1109" s="182" t="n">
        <v>1</v>
      </c>
      <c r="Y1109" s="182" t="n">
        <v>0</v>
      </c>
      <c r="Z1109" s="182" t="n">
        <v>0</v>
      </c>
      <c r="AA1109" s="182" t="n">
        <v>0</v>
      </c>
      <c r="AB1109" s="182" t="n">
        <v>0</v>
      </c>
      <c r="AC1109" s="182" t="n">
        <v>0</v>
      </c>
      <c r="AD1109" s="182" t="n">
        <v>0</v>
      </c>
      <c r="AE1109" s="182" t="n">
        <v>0</v>
      </c>
      <c r="AF1109" s="182" t="n">
        <v>0</v>
      </c>
      <c r="AG1109" s="182" t="n">
        <v>0</v>
      </c>
      <c r="AH1109" s="182" t="n">
        <v>0</v>
      </c>
      <c r="AI1109" s="182" t="n">
        <v>0</v>
      </c>
      <c r="AJ1109" s="182" t="n">
        <v>0</v>
      </c>
      <c r="AK1109" s="182" t="n">
        <v>10.92</v>
      </c>
      <c r="AL1109" s="182" t="n">
        <v>0</v>
      </c>
      <c r="AM1109" s="182" t="n">
        <v>0.08</v>
      </c>
      <c r="AN1109" s="182" t="n">
        <v>0</v>
      </c>
    </row>
    <row r="1110">
      <c r="A1110" s="155" t="n">
        <v>46087</v>
      </c>
      <c r="B1110" s="156" t="inlineStr">
        <is>
          <t>DS</t>
        </is>
      </c>
      <c r="C1110" s="156" t="inlineStr">
        <is>
          <t>DZ-035</t>
        </is>
      </c>
      <c r="D1110" s="156" t="inlineStr">
        <is>
          <t>D 85 ESS-2</t>
        </is>
      </c>
      <c r="E1110" s="156" t="inlineStr">
        <is>
          <t>Bulldozer</t>
        </is>
      </c>
      <c r="F1110" s="156" t="inlineStr"/>
      <c r="G1110" s="182" t="n">
        <v>0</v>
      </c>
      <c r="H1110" s="182" t="n">
        <v>0</v>
      </c>
      <c r="I1110" s="182" t="n">
        <v>12</v>
      </c>
      <c r="J1110" s="182" t="n">
        <v>12</v>
      </c>
      <c r="K1110" s="182" t="n">
        <v>0</v>
      </c>
      <c r="L1110" s="182" t="n">
        <v>12</v>
      </c>
      <c r="M1110" s="182" t="n">
        <v>0</v>
      </c>
      <c r="N1110" s="182" t="n">
        <v>0</v>
      </c>
      <c r="O1110" s="183" t="n">
        <v>0</v>
      </c>
      <c r="P1110" s="183" t="n">
        <v>0</v>
      </c>
      <c r="Q1110" s="184" t="n">
        <v>0</v>
      </c>
      <c r="R1110" s="184" t="n">
        <v>0</v>
      </c>
      <c r="S1110" s="183" t="n">
        <v>0</v>
      </c>
      <c r="T1110" s="183" t="n">
        <v>0</v>
      </c>
      <c r="U1110" s="182" t="n">
        <v>0</v>
      </c>
      <c r="V1110" s="182" t="n">
        <v>0</v>
      </c>
      <c r="W1110" s="182" t="n">
        <v>0</v>
      </c>
      <c r="X1110" s="182" t="n">
        <v>0</v>
      </c>
      <c r="Y1110" s="182" t="n">
        <v>0</v>
      </c>
      <c r="Z1110" s="182" t="n">
        <v>0</v>
      </c>
      <c r="AA1110" s="182" t="n">
        <v>0</v>
      </c>
      <c r="AB1110" s="182" t="n">
        <v>0</v>
      </c>
      <c r="AC1110" s="182" t="n">
        <v>0</v>
      </c>
      <c r="AD1110" s="182" t="n">
        <v>0</v>
      </c>
      <c r="AE1110" s="182" t="n">
        <v>0</v>
      </c>
      <c r="AF1110" s="182" t="n">
        <v>0</v>
      </c>
      <c r="AG1110" s="182" t="n">
        <v>0</v>
      </c>
      <c r="AH1110" s="182" t="n">
        <v>0</v>
      </c>
      <c r="AI1110" s="182" t="n">
        <v>0</v>
      </c>
      <c r="AJ1110" s="182" t="n">
        <v>0</v>
      </c>
      <c r="AK1110" s="182" t="n">
        <v>0</v>
      </c>
      <c r="AL1110" s="182" t="n">
        <v>0</v>
      </c>
      <c r="AM1110" s="182" t="n">
        <v>0</v>
      </c>
      <c r="AN1110" s="182" t="n">
        <v>0</v>
      </c>
    </row>
    <row r="1111">
      <c r="A1111" s="155" t="n">
        <v>46087</v>
      </c>
      <c r="B1111" s="156" t="inlineStr">
        <is>
          <t>DS</t>
        </is>
      </c>
      <c r="C1111" s="156" t="inlineStr">
        <is>
          <t>CP-042</t>
        </is>
      </c>
      <c r="D1111" s="156" t="inlineStr">
        <is>
          <t>SANY - Compactor</t>
        </is>
      </c>
      <c r="E1111" s="156" t="inlineStr">
        <is>
          <t>Compactor</t>
        </is>
      </c>
      <c r="F1111" s="156" t="inlineStr"/>
      <c r="G1111" s="182" t="n">
        <v>0</v>
      </c>
      <c r="H1111" s="182" t="n">
        <v>0</v>
      </c>
      <c r="I1111" s="182" t="n">
        <v>0</v>
      </c>
      <c r="J1111" s="182" t="n">
        <v>0</v>
      </c>
      <c r="K1111" s="182" t="n">
        <v>12</v>
      </c>
      <c r="L1111" s="182" t="n">
        <v>12</v>
      </c>
      <c r="M1111" s="182" t="n">
        <v>0</v>
      </c>
      <c r="N1111" s="182" t="n">
        <v>0</v>
      </c>
      <c r="O1111" s="183" t="n">
        <v>0</v>
      </c>
      <c r="P1111" s="183" t="n">
        <v>0</v>
      </c>
      <c r="Q1111" s="184" t="n">
        <v>0</v>
      </c>
      <c r="R1111" s="184" t="n">
        <v>0</v>
      </c>
      <c r="S1111" s="183" t="n">
        <v>0</v>
      </c>
      <c r="T1111" s="183" t="n">
        <v>0</v>
      </c>
      <c r="U1111" s="182" t="n">
        <v>0</v>
      </c>
      <c r="V1111" s="182" t="n">
        <v>0</v>
      </c>
      <c r="W1111" s="182" t="n">
        <v>0</v>
      </c>
      <c r="X1111" s="182" t="n">
        <v>1</v>
      </c>
      <c r="Y1111" s="182" t="n">
        <v>0</v>
      </c>
      <c r="Z1111" s="182" t="n">
        <v>0</v>
      </c>
      <c r="AA1111" s="182" t="n">
        <v>0</v>
      </c>
      <c r="AB1111" s="182" t="n">
        <v>0</v>
      </c>
      <c r="AC1111" s="182" t="n">
        <v>0</v>
      </c>
      <c r="AD1111" s="182" t="n">
        <v>0</v>
      </c>
      <c r="AE1111" s="182" t="n">
        <v>0</v>
      </c>
      <c r="AF1111" s="182" t="n">
        <v>0</v>
      </c>
      <c r="AG1111" s="182" t="n">
        <v>0</v>
      </c>
      <c r="AH1111" s="182" t="n">
        <v>0</v>
      </c>
      <c r="AI1111" s="182" t="n">
        <v>0</v>
      </c>
      <c r="AJ1111" s="182" t="n">
        <v>0</v>
      </c>
      <c r="AK1111" s="182" t="n">
        <v>10.92</v>
      </c>
      <c r="AL1111" s="182" t="n">
        <v>0</v>
      </c>
      <c r="AM1111" s="182" t="n">
        <v>0.08</v>
      </c>
      <c r="AN1111" s="182" t="n">
        <v>0</v>
      </c>
    </row>
    <row r="1112">
      <c r="A1112" s="155" t="n">
        <v>46087</v>
      </c>
      <c r="B1112" s="156" t="inlineStr">
        <is>
          <t>DS</t>
        </is>
      </c>
      <c r="C1112" s="156" t="inlineStr">
        <is>
          <t>CP-041</t>
        </is>
      </c>
      <c r="D1112" s="156" t="inlineStr">
        <is>
          <t>SANY - Compactor</t>
        </is>
      </c>
      <c r="E1112" s="156" t="inlineStr">
        <is>
          <t>Compactor</t>
        </is>
      </c>
      <c r="F1112" s="156" t="inlineStr">
        <is>
          <t>General Road</t>
        </is>
      </c>
      <c r="G1112" s="182" t="n">
        <v>9.23</v>
      </c>
      <c r="H1112" s="182" t="n">
        <v>0</v>
      </c>
      <c r="I1112" s="182" t="n">
        <v>0</v>
      </c>
      <c r="J1112" s="182" t="n">
        <v>0</v>
      </c>
      <c r="K1112" s="182" t="n">
        <v>2.77</v>
      </c>
      <c r="L1112" s="182" t="n">
        <v>12</v>
      </c>
      <c r="M1112" s="182" t="n">
        <v>0</v>
      </c>
      <c r="N1112" s="182" t="n">
        <v>0</v>
      </c>
      <c r="O1112" s="183" t="n">
        <v>0</v>
      </c>
      <c r="P1112" s="183" t="n">
        <v>0</v>
      </c>
      <c r="Q1112" s="184" t="n">
        <v>0</v>
      </c>
      <c r="R1112" s="184" t="n">
        <v>0</v>
      </c>
      <c r="S1112" s="183" t="n">
        <v>0</v>
      </c>
      <c r="T1112" s="183" t="n">
        <v>0</v>
      </c>
      <c r="U1112" s="182" t="n">
        <v>0</v>
      </c>
      <c r="V1112" s="182" t="n">
        <v>0</v>
      </c>
      <c r="W1112" s="182" t="n">
        <v>0</v>
      </c>
      <c r="X1112" s="182" t="n">
        <v>0.96</v>
      </c>
      <c r="Y1112" s="182" t="n">
        <v>0</v>
      </c>
      <c r="Z1112" s="182" t="n">
        <v>0</v>
      </c>
      <c r="AA1112" s="182" t="n">
        <v>0</v>
      </c>
      <c r="AB1112" s="182" t="n">
        <v>0</v>
      </c>
      <c r="AC1112" s="182" t="n">
        <v>0</v>
      </c>
      <c r="AD1112" s="182" t="n">
        <v>0</v>
      </c>
      <c r="AE1112" s="182" t="n">
        <v>0</v>
      </c>
      <c r="AF1112" s="182" t="n">
        <v>0</v>
      </c>
      <c r="AG1112" s="182" t="n">
        <v>0</v>
      </c>
      <c r="AH1112" s="182" t="n">
        <v>0</v>
      </c>
      <c r="AI1112" s="182" t="n">
        <v>0</v>
      </c>
      <c r="AJ1112" s="182" t="n">
        <v>0</v>
      </c>
      <c r="AK1112" s="182" t="n">
        <v>1.74</v>
      </c>
      <c r="AL1112" s="182" t="n">
        <v>0</v>
      </c>
      <c r="AM1112" s="182" t="n">
        <v>0.08</v>
      </c>
      <c r="AN1112" s="182" t="n">
        <v>0</v>
      </c>
    </row>
    <row r="1113">
      <c r="A1113" s="155" t="n">
        <v>46087</v>
      </c>
      <c r="B1113" s="156" t="inlineStr">
        <is>
          <t>DS</t>
        </is>
      </c>
      <c r="C1113" s="156" t="inlineStr">
        <is>
          <t>HT-418</t>
        </is>
      </c>
      <c r="D1113" s="156" t="inlineStr">
        <is>
          <t>SY430</t>
        </is>
      </c>
      <c r="E1113" s="156" t="inlineStr">
        <is>
          <t>DT Hauling</t>
        </is>
      </c>
      <c r="F1113" s="156" t="inlineStr"/>
      <c r="G1113" s="182" t="n">
        <v>0</v>
      </c>
      <c r="H1113" s="182" t="n">
        <v>0</v>
      </c>
      <c r="I1113" s="182" t="n">
        <v>0</v>
      </c>
      <c r="J1113" s="182" t="n">
        <v>0</v>
      </c>
      <c r="K1113" s="182" t="n">
        <v>12</v>
      </c>
      <c r="L1113" s="182" t="n">
        <v>12</v>
      </c>
      <c r="M1113" s="182" t="n">
        <v>0</v>
      </c>
      <c r="N1113" s="182" t="n">
        <v>0</v>
      </c>
      <c r="O1113" s="183" t="n">
        <v>0</v>
      </c>
      <c r="P1113" s="183" t="n">
        <v>0</v>
      </c>
      <c r="Q1113" s="184" t="n">
        <v>0</v>
      </c>
      <c r="R1113" s="184" t="n">
        <v>0</v>
      </c>
      <c r="S1113" s="183" t="n">
        <v>0</v>
      </c>
      <c r="T1113" s="183" t="n">
        <v>0</v>
      </c>
      <c r="U1113" s="182" t="n">
        <v>0</v>
      </c>
      <c r="V1113" s="182" t="n">
        <v>0</v>
      </c>
      <c r="W1113" s="182" t="n">
        <v>0</v>
      </c>
      <c r="X1113" s="182" t="n">
        <v>1</v>
      </c>
      <c r="Y1113" s="182" t="n">
        <v>0</v>
      </c>
      <c r="Z1113" s="182" t="n">
        <v>0</v>
      </c>
      <c r="AA1113" s="182" t="n">
        <v>0</v>
      </c>
      <c r="AB1113" s="182" t="n">
        <v>0</v>
      </c>
      <c r="AC1113" s="182" t="n">
        <v>0</v>
      </c>
      <c r="AD1113" s="182" t="n">
        <v>0</v>
      </c>
      <c r="AE1113" s="182" t="n">
        <v>0</v>
      </c>
      <c r="AF1113" s="182" t="n">
        <v>0</v>
      </c>
      <c r="AG1113" s="182" t="n">
        <v>0</v>
      </c>
      <c r="AH1113" s="182" t="n">
        <v>0</v>
      </c>
      <c r="AI1113" s="182" t="n">
        <v>0</v>
      </c>
      <c r="AJ1113" s="182" t="n">
        <v>0</v>
      </c>
      <c r="AK1113" s="182" t="n">
        <v>10.92</v>
      </c>
      <c r="AL1113" s="182" t="n">
        <v>0</v>
      </c>
      <c r="AM1113" s="182" t="n">
        <v>0.08</v>
      </c>
      <c r="AN1113" s="182" t="n">
        <v>0</v>
      </c>
    </row>
    <row r="1114">
      <c r="A1114" s="155" t="n">
        <v>46087</v>
      </c>
      <c r="B1114" s="156" t="inlineStr">
        <is>
          <t>DS</t>
        </is>
      </c>
      <c r="C1114" s="156" t="inlineStr">
        <is>
          <t>HT-404</t>
        </is>
      </c>
      <c r="D1114" s="156" t="inlineStr">
        <is>
          <t>SY430</t>
        </is>
      </c>
      <c r="E1114" s="156" t="inlineStr">
        <is>
          <t>DT Hauling</t>
        </is>
      </c>
      <c r="F1114" s="156" t="inlineStr"/>
      <c r="G1114" s="182" t="n">
        <v>0</v>
      </c>
      <c r="H1114" s="182" t="n">
        <v>0</v>
      </c>
      <c r="I1114" s="182" t="n">
        <v>12</v>
      </c>
      <c r="J1114" s="182" t="n">
        <v>12</v>
      </c>
      <c r="K1114" s="182" t="n">
        <v>0</v>
      </c>
      <c r="L1114" s="182" t="n">
        <v>12</v>
      </c>
      <c r="M1114" s="182" t="n">
        <v>0</v>
      </c>
      <c r="N1114" s="182" t="n">
        <v>0</v>
      </c>
      <c r="O1114" s="183" t="n">
        <v>0</v>
      </c>
      <c r="P1114" s="183" t="n">
        <v>0</v>
      </c>
      <c r="Q1114" s="184" t="n">
        <v>0</v>
      </c>
      <c r="R1114" s="184" t="n">
        <v>0</v>
      </c>
      <c r="S1114" s="183" t="n">
        <v>0</v>
      </c>
      <c r="T1114" s="183" t="n">
        <v>0</v>
      </c>
      <c r="U1114" s="182" t="n">
        <v>0</v>
      </c>
      <c r="V1114" s="182" t="n">
        <v>0</v>
      </c>
      <c r="W1114" s="182" t="n">
        <v>0</v>
      </c>
      <c r="X1114" s="182" t="n">
        <v>0</v>
      </c>
      <c r="Y1114" s="182" t="n">
        <v>0</v>
      </c>
      <c r="Z1114" s="182" t="n">
        <v>0</v>
      </c>
      <c r="AA1114" s="182" t="n">
        <v>0</v>
      </c>
      <c r="AB1114" s="182" t="n">
        <v>0</v>
      </c>
      <c r="AC1114" s="182" t="n">
        <v>0</v>
      </c>
      <c r="AD1114" s="182" t="n">
        <v>0</v>
      </c>
      <c r="AE1114" s="182" t="n">
        <v>0</v>
      </c>
      <c r="AF1114" s="182" t="n">
        <v>0</v>
      </c>
      <c r="AG1114" s="182" t="n">
        <v>0</v>
      </c>
      <c r="AH1114" s="182" t="n">
        <v>0</v>
      </c>
      <c r="AI1114" s="182" t="n">
        <v>0</v>
      </c>
      <c r="AJ1114" s="182" t="n">
        <v>0</v>
      </c>
      <c r="AK1114" s="182" t="n">
        <v>0</v>
      </c>
      <c r="AL1114" s="182" t="n">
        <v>0</v>
      </c>
      <c r="AM1114" s="182" t="n">
        <v>0</v>
      </c>
      <c r="AN1114" s="182" t="n">
        <v>0</v>
      </c>
    </row>
    <row r="1115">
      <c r="A1115" s="155" t="n">
        <v>46087</v>
      </c>
      <c r="B1115" s="156" t="inlineStr">
        <is>
          <t>DS</t>
        </is>
      </c>
      <c r="C1115" s="156" t="inlineStr">
        <is>
          <t>HT-415</t>
        </is>
      </c>
      <c r="D1115" s="156" t="inlineStr">
        <is>
          <t>SY430</t>
        </is>
      </c>
      <c r="E1115" s="156" t="inlineStr">
        <is>
          <t>DT Hauling</t>
        </is>
      </c>
      <c r="F1115" s="156" t="inlineStr"/>
      <c r="G1115" s="182" t="n">
        <v>0</v>
      </c>
      <c r="H1115" s="182" t="n">
        <v>0</v>
      </c>
      <c r="I1115" s="182" t="n">
        <v>12</v>
      </c>
      <c r="J1115" s="182" t="n">
        <v>12</v>
      </c>
      <c r="K1115" s="182" t="n">
        <v>0</v>
      </c>
      <c r="L1115" s="182" t="n">
        <v>12</v>
      </c>
      <c r="M1115" s="182" t="n">
        <v>0</v>
      </c>
      <c r="N1115" s="182" t="n">
        <v>0</v>
      </c>
      <c r="O1115" s="183" t="n">
        <v>0</v>
      </c>
      <c r="P1115" s="183" t="n">
        <v>0</v>
      </c>
      <c r="Q1115" s="184" t="n">
        <v>0</v>
      </c>
      <c r="R1115" s="184" t="n">
        <v>0</v>
      </c>
      <c r="S1115" s="183" t="n">
        <v>0</v>
      </c>
      <c r="T1115" s="183" t="n">
        <v>0</v>
      </c>
      <c r="U1115" s="182" t="n">
        <v>0</v>
      </c>
      <c r="V1115" s="182" t="n">
        <v>0</v>
      </c>
      <c r="W1115" s="182" t="n">
        <v>0</v>
      </c>
      <c r="X1115" s="182" t="n">
        <v>0</v>
      </c>
      <c r="Y1115" s="182" t="n">
        <v>0</v>
      </c>
      <c r="Z1115" s="182" t="n">
        <v>0</v>
      </c>
      <c r="AA1115" s="182" t="n">
        <v>0</v>
      </c>
      <c r="AB1115" s="182" t="n">
        <v>0</v>
      </c>
      <c r="AC1115" s="182" t="n">
        <v>0</v>
      </c>
      <c r="AD1115" s="182" t="n">
        <v>0</v>
      </c>
      <c r="AE1115" s="182" t="n">
        <v>0</v>
      </c>
      <c r="AF1115" s="182" t="n">
        <v>0</v>
      </c>
      <c r="AG1115" s="182" t="n">
        <v>0</v>
      </c>
      <c r="AH1115" s="182" t="n">
        <v>0</v>
      </c>
      <c r="AI1115" s="182" t="n">
        <v>0</v>
      </c>
      <c r="AJ1115" s="182" t="n">
        <v>0</v>
      </c>
      <c r="AK1115" s="182" t="n">
        <v>0</v>
      </c>
      <c r="AL1115" s="182" t="n">
        <v>0</v>
      </c>
      <c r="AM1115" s="182" t="n">
        <v>0</v>
      </c>
      <c r="AN1115" s="182" t="n">
        <v>0</v>
      </c>
    </row>
    <row r="1116">
      <c r="A1116" s="155" t="n">
        <v>46087</v>
      </c>
      <c r="B1116" s="156" t="inlineStr">
        <is>
          <t>DS</t>
        </is>
      </c>
      <c r="C1116" s="156" t="inlineStr">
        <is>
          <t>HT-406</t>
        </is>
      </c>
      <c r="D1116" s="156" t="inlineStr">
        <is>
          <t>SY430</t>
        </is>
      </c>
      <c r="E1116" s="156" t="inlineStr">
        <is>
          <t>DT Hauling</t>
        </is>
      </c>
      <c r="F1116" s="156" t="inlineStr"/>
      <c r="G1116" s="182" t="n">
        <v>0</v>
      </c>
      <c r="H1116" s="182" t="n">
        <v>0</v>
      </c>
      <c r="I1116" s="182" t="n">
        <v>12</v>
      </c>
      <c r="J1116" s="182" t="n">
        <v>12</v>
      </c>
      <c r="K1116" s="182" t="n">
        <v>0</v>
      </c>
      <c r="L1116" s="182" t="n">
        <v>12</v>
      </c>
      <c r="M1116" s="182" t="n">
        <v>0</v>
      </c>
      <c r="N1116" s="182" t="n">
        <v>0</v>
      </c>
      <c r="O1116" s="183" t="n">
        <v>0</v>
      </c>
      <c r="P1116" s="183" t="n">
        <v>0</v>
      </c>
      <c r="Q1116" s="184" t="n">
        <v>0</v>
      </c>
      <c r="R1116" s="184" t="n">
        <v>0</v>
      </c>
      <c r="S1116" s="183" t="n">
        <v>0</v>
      </c>
      <c r="T1116" s="183" t="n">
        <v>0</v>
      </c>
      <c r="U1116" s="182" t="n">
        <v>0</v>
      </c>
      <c r="V1116" s="182" t="n">
        <v>0</v>
      </c>
      <c r="W1116" s="182" t="n">
        <v>0</v>
      </c>
      <c r="X1116" s="182" t="n">
        <v>0</v>
      </c>
      <c r="Y1116" s="182" t="n">
        <v>0</v>
      </c>
      <c r="Z1116" s="182" t="n">
        <v>0</v>
      </c>
      <c r="AA1116" s="182" t="n">
        <v>0</v>
      </c>
      <c r="AB1116" s="182" t="n">
        <v>0</v>
      </c>
      <c r="AC1116" s="182" t="n">
        <v>0</v>
      </c>
      <c r="AD1116" s="182" t="n">
        <v>0</v>
      </c>
      <c r="AE1116" s="182" t="n">
        <v>0</v>
      </c>
      <c r="AF1116" s="182" t="n">
        <v>0</v>
      </c>
      <c r="AG1116" s="182" t="n">
        <v>0</v>
      </c>
      <c r="AH1116" s="182" t="n">
        <v>0</v>
      </c>
      <c r="AI1116" s="182" t="n">
        <v>0</v>
      </c>
      <c r="AJ1116" s="182" t="n">
        <v>0</v>
      </c>
      <c r="AK1116" s="182" t="n">
        <v>0</v>
      </c>
      <c r="AL1116" s="182" t="n">
        <v>0</v>
      </c>
      <c r="AM1116" s="182" t="n">
        <v>0</v>
      </c>
      <c r="AN1116" s="182" t="n">
        <v>0</v>
      </c>
    </row>
    <row r="1117">
      <c r="A1117" s="155" t="n">
        <v>46087</v>
      </c>
      <c r="B1117" s="156" t="inlineStr">
        <is>
          <t>DS</t>
        </is>
      </c>
      <c r="C1117" s="156" t="inlineStr">
        <is>
          <t>HT-405</t>
        </is>
      </c>
      <c r="D1117" s="156" t="inlineStr">
        <is>
          <t>SY430</t>
        </is>
      </c>
      <c r="E1117" s="156" t="inlineStr">
        <is>
          <t>DT Hauling</t>
        </is>
      </c>
      <c r="F1117" s="156" t="inlineStr"/>
      <c r="G1117" s="182" t="n">
        <v>0</v>
      </c>
      <c r="H1117" s="182" t="n">
        <v>0</v>
      </c>
      <c r="I1117" s="182" t="n">
        <v>0</v>
      </c>
      <c r="J1117" s="182" t="n">
        <v>0</v>
      </c>
      <c r="K1117" s="182" t="n">
        <v>12</v>
      </c>
      <c r="L1117" s="182" t="n">
        <v>12</v>
      </c>
      <c r="M1117" s="182" t="n">
        <v>0</v>
      </c>
      <c r="N1117" s="182" t="n">
        <v>0</v>
      </c>
      <c r="O1117" s="183" t="n">
        <v>0</v>
      </c>
      <c r="P1117" s="183" t="n">
        <v>0</v>
      </c>
      <c r="Q1117" s="184" t="n">
        <v>0</v>
      </c>
      <c r="R1117" s="184" t="n">
        <v>0</v>
      </c>
      <c r="S1117" s="183" t="n">
        <v>0</v>
      </c>
      <c r="T1117" s="183" t="n">
        <v>0</v>
      </c>
      <c r="U1117" s="182" t="n">
        <v>0</v>
      </c>
      <c r="V1117" s="182" t="n">
        <v>0</v>
      </c>
      <c r="W1117" s="182" t="n">
        <v>0</v>
      </c>
      <c r="X1117" s="182" t="n">
        <v>1</v>
      </c>
      <c r="Y1117" s="182" t="n">
        <v>0</v>
      </c>
      <c r="Z1117" s="182" t="n">
        <v>0</v>
      </c>
      <c r="AA1117" s="182" t="n">
        <v>0</v>
      </c>
      <c r="AB1117" s="182" t="n">
        <v>0</v>
      </c>
      <c r="AC1117" s="182" t="n">
        <v>0</v>
      </c>
      <c r="AD1117" s="182" t="n">
        <v>0</v>
      </c>
      <c r="AE1117" s="182" t="n">
        <v>0</v>
      </c>
      <c r="AF1117" s="182" t="n">
        <v>0</v>
      </c>
      <c r="AG1117" s="182" t="n">
        <v>0</v>
      </c>
      <c r="AH1117" s="182" t="n">
        <v>0</v>
      </c>
      <c r="AI1117" s="182" t="n">
        <v>0</v>
      </c>
      <c r="AJ1117" s="182" t="n">
        <v>0</v>
      </c>
      <c r="AK1117" s="182" t="n">
        <v>10.92</v>
      </c>
      <c r="AL1117" s="182" t="n">
        <v>0</v>
      </c>
      <c r="AM1117" s="182" t="n">
        <v>0.08</v>
      </c>
      <c r="AN1117" s="182" t="n">
        <v>0</v>
      </c>
    </row>
    <row r="1118">
      <c r="A1118" s="155" t="n">
        <v>46087</v>
      </c>
      <c r="B1118" s="156" t="inlineStr">
        <is>
          <t>DS</t>
        </is>
      </c>
      <c r="C1118" s="156" t="inlineStr">
        <is>
          <t>HT-417</t>
        </is>
      </c>
      <c r="D1118" s="156" t="inlineStr">
        <is>
          <t>SY430</t>
        </is>
      </c>
      <c r="E1118" s="156" t="inlineStr">
        <is>
          <t>DT Hauling</t>
        </is>
      </c>
      <c r="F1118" s="156" t="inlineStr"/>
      <c r="G1118" s="182" t="n">
        <v>0</v>
      </c>
      <c r="H1118" s="182" t="n">
        <v>0</v>
      </c>
      <c r="I1118" s="182" t="n">
        <v>0</v>
      </c>
      <c r="J1118" s="182" t="n">
        <v>0</v>
      </c>
      <c r="K1118" s="182" t="n">
        <v>12</v>
      </c>
      <c r="L1118" s="182" t="n">
        <v>12</v>
      </c>
      <c r="M1118" s="182" t="n">
        <v>0</v>
      </c>
      <c r="N1118" s="182" t="n">
        <v>0</v>
      </c>
      <c r="O1118" s="183" t="n">
        <v>0</v>
      </c>
      <c r="P1118" s="183" t="n">
        <v>0</v>
      </c>
      <c r="Q1118" s="184" t="n">
        <v>0</v>
      </c>
      <c r="R1118" s="184" t="n">
        <v>0</v>
      </c>
      <c r="S1118" s="183" t="n">
        <v>0</v>
      </c>
      <c r="T1118" s="183" t="n">
        <v>0</v>
      </c>
      <c r="U1118" s="182" t="n">
        <v>0</v>
      </c>
      <c r="V1118" s="182" t="n">
        <v>0</v>
      </c>
      <c r="W1118" s="182" t="n">
        <v>0</v>
      </c>
      <c r="X1118" s="182" t="n">
        <v>1</v>
      </c>
      <c r="Y1118" s="182" t="n">
        <v>0</v>
      </c>
      <c r="Z1118" s="182" t="n">
        <v>0</v>
      </c>
      <c r="AA1118" s="182" t="n">
        <v>0</v>
      </c>
      <c r="AB1118" s="182" t="n">
        <v>0</v>
      </c>
      <c r="AC1118" s="182" t="n">
        <v>0</v>
      </c>
      <c r="AD1118" s="182" t="n">
        <v>0</v>
      </c>
      <c r="AE1118" s="182" t="n">
        <v>0</v>
      </c>
      <c r="AF1118" s="182" t="n">
        <v>0</v>
      </c>
      <c r="AG1118" s="182" t="n">
        <v>0</v>
      </c>
      <c r="AH1118" s="182" t="n">
        <v>0</v>
      </c>
      <c r="AI1118" s="182" t="n">
        <v>0</v>
      </c>
      <c r="AJ1118" s="182" t="n">
        <v>0</v>
      </c>
      <c r="AK1118" s="182" t="n">
        <v>10.92</v>
      </c>
      <c r="AL1118" s="182" t="n">
        <v>0</v>
      </c>
      <c r="AM1118" s="182" t="n">
        <v>0.08</v>
      </c>
      <c r="AN1118" s="182" t="n">
        <v>0</v>
      </c>
    </row>
    <row r="1119">
      <c r="A1119" s="155" t="n">
        <v>46087</v>
      </c>
      <c r="B1119" s="156" t="inlineStr">
        <is>
          <t>DS</t>
        </is>
      </c>
      <c r="C1119" s="156" t="inlineStr">
        <is>
          <t>HT-401</t>
        </is>
      </c>
      <c r="D1119" s="156" t="inlineStr">
        <is>
          <t>SY430</t>
        </is>
      </c>
      <c r="E1119" s="156" t="inlineStr">
        <is>
          <t>DT Hauling</t>
        </is>
      </c>
      <c r="F1119" s="156" t="inlineStr"/>
      <c r="G1119" s="182" t="n">
        <v>0</v>
      </c>
      <c r="H1119" s="182" t="n">
        <v>0</v>
      </c>
      <c r="I1119" s="182" t="n">
        <v>0</v>
      </c>
      <c r="J1119" s="182" t="n">
        <v>0</v>
      </c>
      <c r="K1119" s="182" t="n">
        <v>12</v>
      </c>
      <c r="L1119" s="182" t="n">
        <v>12</v>
      </c>
      <c r="M1119" s="182" t="n">
        <v>0</v>
      </c>
      <c r="N1119" s="182" t="n">
        <v>0</v>
      </c>
      <c r="O1119" s="183" t="n">
        <v>0</v>
      </c>
      <c r="P1119" s="183" t="n">
        <v>0</v>
      </c>
      <c r="Q1119" s="184" t="n">
        <v>0</v>
      </c>
      <c r="R1119" s="184" t="n">
        <v>0</v>
      </c>
      <c r="S1119" s="183" t="n">
        <v>0</v>
      </c>
      <c r="T1119" s="183" t="n">
        <v>0</v>
      </c>
      <c r="U1119" s="182" t="n">
        <v>0</v>
      </c>
      <c r="V1119" s="182" t="n">
        <v>0</v>
      </c>
      <c r="W1119" s="182" t="n">
        <v>0</v>
      </c>
      <c r="X1119" s="182" t="n">
        <v>1</v>
      </c>
      <c r="Y1119" s="182" t="n">
        <v>0</v>
      </c>
      <c r="Z1119" s="182" t="n">
        <v>0</v>
      </c>
      <c r="AA1119" s="182" t="n">
        <v>0</v>
      </c>
      <c r="AB1119" s="182" t="n">
        <v>0</v>
      </c>
      <c r="AC1119" s="182" t="n">
        <v>0</v>
      </c>
      <c r="AD1119" s="182" t="n">
        <v>0</v>
      </c>
      <c r="AE1119" s="182" t="n">
        <v>0</v>
      </c>
      <c r="AF1119" s="182" t="n">
        <v>0</v>
      </c>
      <c r="AG1119" s="182" t="n">
        <v>0</v>
      </c>
      <c r="AH1119" s="182" t="n">
        <v>0</v>
      </c>
      <c r="AI1119" s="182" t="n">
        <v>0</v>
      </c>
      <c r="AJ1119" s="182" t="n">
        <v>0</v>
      </c>
      <c r="AK1119" s="182" t="n">
        <v>10.92</v>
      </c>
      <c r="AL1119" s="182" t="n">
        <v>0</v>
      </c>
      <c r="AM1119" s="182" t="n">
        <v>0.08</v>
      </c>
      <c r="AN1119" s="182" t="n">
        <v>0</v>
      </c>
    </row>
    <row r="1120">
      <c r="A1120" s="155" t="n">
        <v>46087</v>
      </c>
      <c r="B1120" s="156" t="inlineStr">
        <is>
          <t>DS</t>
        </is>
      </c>
      <c r="C1120" s="156" t="inlineStr">
        <is>
          <t>HT-410</t>
        </is>
      </c>
      <c r="D1120" s="156" t="inlineStr">
        <is>
          <t>SY430</t>
        </is>
      </c>
      <c r="E1120" s="156" t="inlineStr">
        <is>
          <t>DT Hauling</t>
        </is>
      </c>
      <c r="F1120" s="156" t="inlineStr"/>
      <c r="G1120" s="182" t="n">
        <v>0</v>
      </c>
      <c r="H1120" s="182" t="n">
        <v>0</v>
      </c>
      <c r="I1120" s="182" t="n">
        <v>0</v>
      </c>
      <c r="J1120" s="182" t="n">
        <v>0</v>
      </c>
      <c r="K1120" s="182" t="n">
        <v>12</v>
      </c>
      <c r="L1120" s="182" t="n">
        <v>12</v>
      </c>
      <c r="M1120" s="182" t="n">
        <v>0</v>
      </c>
      <c r="N1120" s="182" t="n">
        <v>0</v>
      </c>
      <c r="O1120" s="183" t="n">
        <v>0</v>
      </c>
      <c r="P1120" s="183" t="n">
        <v>0</v>
      </c>
      <c r="Q1120" s="184" t="n">
        <v>0</v>
      </c>
      <c r="R1120" s="184" t="n">
        <v>0</v>
      </c>
      <c r="S1120" s="183" t="n">
        <v>0</v>
      </c>
      <c r="T1120" s="183" t="n">
        <v>0</v>
      </c>
      <c r="U1120" s="182" t="n">
        <v>0</v>
      </c>
      <c r="V1120" s="182" t="n">
        <v>0</v>
      </c>
      <c r="W1120" s="182" t="n">
        <v>0</v>
      </c>
      <c r="X1120" s="182" t="n">
        <v>1</v>
      </c>
      <c r="Y1120" s="182" t="n">
        <v>0</v>
      </c>
      <c r="Z1120" s="182" t="n">
        <v>0</v>
      </c>
      <c r="AA1120" s="182" t="n">
        <v>0</v>
      </c>
      <c r="AB1120" s="182" t="n">
        <v>0</v>
      </c>
      <c r="AC1120" s="182" t="n">
        <v>0</v>
      </c>
      <c r="AD1120" s="182" t="n">
        <v>0</v>
      </c>
      <c r="AE1120" s="182" t="n">
        <v>0</v>
      </c>
      <c r="AF1120" s="182" t="n">
        <v>0</v>
      </c>
      <c r="AG1120" s="182" t="n">
        <v>0</v>
      </c>
      <c r="AH1120" s="182" t="n">
        <v>0</v>
      </c>
      <c r="AI1120" s="182" t="n">
        <v>0</v>
      </c>
      <c r="AJ1120" s="182" t="n">
        <v>0</v>
      </c>
      <c r="AK1120" s="182" t="n">
        <v>10.92</v>
      </c>
      <c r="AL1120" s="182" t="n">
        <v>0</v>
      </c>
      <c r="AM1120" s="182" t="n">
        <v>0.08</v>
      </c>
      <c r="AN1120" s="182" t="n">
        <v>0</v>
      </c>
    </row>
    <row r="1121">
      <c r="A1121" s="155" t="n">
        <v>46087</v>
      </c>
      <c r="B1121" s="156" t="inlineStr">
        <is>
          <t>DS</t>
        </is>
      </c>
      <c r="C1121" s="156" t="inlineStr">
        <is>
          <t>HT-402</t>
        </is>
      </c>
      <c r="D1121" s="156" t="inlineStr">
        <is>
          <t>SY430</t>
        </is>
      </c>
      <c r="E1121" s="156" t="inlineStr">
        <is>
          <t>DT Hauling</t>
        </is>
      </c>
      <c r="F1121" s="156" t="inlineStr"/>
      <c r="G1121" s="182" t="n">
        <v>0</v>
      </c>
      <c r="H1121" s="182" t="n">
        <v>0</v>
      </c>
      <c r="I1121" s="182" t="n">
        <v>7</v>
      </c>
      <c r="J1121" s="182" t="n">
        <v>7</v>
      </c>
      <c r="K1121" s="182" t="n">
        <v>5</v>
      </c>
      <c r="L1121" s="182" t="n">
        <v>12</v>
      </c>
      <c r="M1121" s="182" t="n">
        <v>0</v>
      </c>
      <c r="N1121" s="182" t="n">
        <v>0</v>
      </c>
      <c r="O1121" s="183" t="n">
        <v>0</v>
      </c>
      <c r="P1121" s="183" t="n">
        <v>0</v>
      </c>
      <c r="Q1121" s="184" t="n">
        <v>0</v>
      </c>
      <c r="R1121" s="184" t="n">
        <v>0</v>
      </c>
      <c r="S1121" s="183" t="n">
        <v>0</v>
      </c>
      <c r="T1121" s="183" t="n">
        <v>0</v>
      </c>
      <c r="U1121" s="182" t="n">
        <v>0</v>
      </c>
      <c r="V1121" s="182" t="n">
        <v>0</v>
      </c>
      <c r="W1121" s="182" t="n">
        <v>0</v>
      </c>
      <c r="X1121" s="182" t="n">
        <v>1</v>
      </c>
      <c r="Y1121" s="182" t="n">
        <v>0</v>
      </c>
      <c r="Z1121" s="182" t="n">
        <v>0</v>
      </c>
      <c r="AA1121" s="182" t="n">
        <v>0</v>
      </c>
      <c r="AB1121" s="182" t="n">
        <v>0</v>
      </c>
      <c r="AC1121" s="182" t="n">
        <v>0</v>
      </c>
      <c r="AD1121" s="182" t="n">
        <v>0</v>
      </c>
      <c r="AE1121" s="182" t="n">
        <v>0</v>
      </c>
      <c r="AF1121" s="182" t="n">
        <v>0</v>
      </c>
      <c r="AG1121" s="182" t="n">
        <v>0</v>
      </c>
      <c r="AH1121" s="182" t="n">
        <v>0</v>
      </c>
      <c r="AI1121" s="182" t="n">
        <v>0</v>
      </c>
      <c r="AJ1121" s="182" t="n">
        <v>0</v>
      </c>
      <c r="AK1121" s="182" t="n">
        <v>3.92</v>
      </c>
      <c r="AL1121" s="182" t="n">
        <v>0</v>
      </c>
      <c r="AM1121" s="182" t="n">
        <v>0.08</v>
      </c>
      <c r="AN1121" s="182" t="n">
        <v>0</v>
      </c>
    </row>
    <row r="1122">
      <c r="A1122" s="155" t="n">
        <v>46087</v>
      </c>
      <c r="B1122" s="156" t="inlineStr">
        <is>
          <t>DS</t>
        </is>
      </c>
      <c r="C1122" s="156" t="inlineStr">
        <is>
          <t>HT-419</t>
        </is>
      </c>
      <c r="D1122" s="156" t="inlineStr">
        <is>
          <t>SY430</t>
        </is>
      </c>
      <c r="E1122" s="156" t="inlineStr">
        <is>
          <t>DT Hauling</t>
        </is>
      </c>
      <c r="F1122" s="156" t="inlineStr"/>
      <c r="G1122" s="182" t="n">
        <v>0</v>
      </c>
      <c r="H1122" s="182" t="n">
        <v>0</v>
      </c>
      <c r="I1122" s="182" t="n">
        <v>0</v>
      </c>
      <c r="J1122" s="182" t="n">
        <v>0</v>
      </c>
      <c r="K1122" s="182" t="n">
        <v>12</v>
      </c>
      <c r="L1122" s="182" t="n">
        <v>12</v>
      </c>
      <c r="M1122" s="182" t="n">
        <v>0</v>
      </c>
      <c r="N1122" s="182" t="n">
        <v>0</v>
      </c>
      <c r="O1122" s="183" t="n">
        <v>0</v>
      </c>
      <c r="P1122" s="183" t="n">
        <v>0</v>
      </c>
      <c r="Q1122" s="184" t="n">
        <v>0</v>
      </c>
      <c r="R1122" s="184" t="n">
        <v>0</v>
      </c>
      <c r="S1122" s="183" t="n">
        <v>0</v>
      </c>
      <c r="T1122" s="183" t="n">
        <v>0</v>
      </c>
      <c r="U1122" s="182" t="n">
        <v>0</v>
      </c>
      <c r="V1122" s="182" t="n">
        <v>0</v>
      </c>
      <c r="W1122" s="182" t="n">
        <v>0</v>
      </c>
      <c r="X1122" s="182" t="n">
        <v>1</v>
      </c>
      <c r="Y1122" s="182" t="n">
        <v>0</v>
      </c>
      <c r="Z1122" s="182" t="n">
        <v>0</v>
      </c>
      <c r="AA1122" s="182" t="n">
        <v>0</v>
      </c>
      <c r="AB1122" s="182" t="n">
        <v>0</v>
      </c>
      <c r="AC1122" s="182" t="n">
        <v>0</v>
      </c>
      <c r="AD1122" s="182" t="n">
        <v>0</v>
      </c>
      <c r="AE1122" s="182" t="n">
        <v>0</v>
      </c>
      <c r="AF1122" s="182" t="n">
        <v>0</v>
      </c>
      <c r="AG1122" s="182" t="n">
        <v>0</v>
      </c>
      <c r="AH1122" s="182" t="n">
        <v>0</v>
      </c>
      <c r="AI1122" s="182" t="n">
        <v>0</v>
      </c>
      <c r="AJ1122" s="182" t="n">
        <v>0</v>
      </c>
      <c r="AK1122" s="182" t="n">
        <v>10.92</v>
      </c>
      <c r="AL1122" s="182" t="n">
        <v>0</v>
      </c>
      <c r="AM1122" s="182" t="n">
        <v>0.08</v>
      </c>
      <c r="AN1122" s="182" t="n">
        <v>0</v>
      </c>
    </row>
    <row r="1123">
      <c r="A1123" s="155" t="n">
        <v>46087</v>
      </c>
      <c r="B1123" s="156" t="inlineStr">
        <is>
          <t>DS</t>
        </is>
      </c>
      <c r="C1123" s="156" t="inlineStr">
        <is>
          <t>HT-416</t>
        </is>
      </c>
      <c r="D1123" s="156" t="inlineStr">
        <is>
          <t>SY430</t>
        </is>
      </c>
      <c r="E1123" s="156" t="inlineStr">
        <is>
          <t>DT Hauling</t>
        </is>
      </c>
      <c r="F1123" s="156" t="inlineStr"/>
      <c r="G1123" s="182" t="n">
        <v>0</v>
      </c>
      <c r="H1123" s="182" t="n">
        <v>0</v>
      </c>
      <c r="I1123" s="182" t="n">
        <v>0</v>
      </c>
      <c r="J1123" s="182" t="n">
        <v>0</v>
      </c>
      <c r="K1123" s="182" t="n">
        <v>12</v>
      </c>
      <c r="L1123" s="182" t="n">
        <v>12</v>
      </c>
      <c r="M1123" s="182" t="n">
        <v>0</v>
      </c>
      <c r="N1123" s="182" t="n">
        <v>0</v>
      </c>
      <c r="O1123" s="183" t="n">
        <v>0</v>
      </c>
      <c r="P1123" s="183" t="n">
        <v>0</v>
      </c>
      <c r="Q1123" s="184" t="n">
        <v>0</v>
      </c>
      <c r="R1123" s="184" t="n">
        <v>0</v>
      </c>
      <c r="S1123" s="183" t="n">
        <v>0</v>
      </c>
      <c r="T1123" s="183" t="n">
        <v>0</v>
      </c>
      <c r="U1123" s="182" t="n">
        <v>0</v>
      </c>
      <c r="V1123" s="182" t="n">
        <v>0</v>
      </c>
      <c r="W1123" s="182" t="n">
        <v>0</v>
      </c>
      <c r="X1123" s="182" t="n">
        <v>1</v>
      </c>
      <c r="Y1123" s="182" t="n">
        <v>0</v>
      </c>
      <c r="Z1123" s="182" t="n">
        <v>0</v>
      </c>
      <c r="AA1123" s="182" t="n">
        <v>0</v>
      </c>
      <c r="AB1123" s="182" t="n">
        <v>0</v>
      </c>
      <c r="AC1123" s="182" t="n">
        <v>0</v>
      </c>
      <c r="AD1123" s="182" t="n">
        <v>0</v>
      </c>
      <c r="AE1123" s="182" t="n">
        <v>0</v>
      </c>
      <c r="AF1123" s="182" t="n">
        <v>0</v>
      </c>
      <c r="AG1123" s="182" t="n">
        <v>0</v>
      </c>
      <c r="AH1123" s="182" t="n">
        <v>0</v>
      </c>
      <c r="AI1123" s="182" t="n">
        <v>0</v>
      </c>
      <c r="AJ1123" s="182" t="n">
        <v>0</v>
      </c>
      <c r="AK1123" s="182" t="n">
        <v>10.92</v>
      </c>
      <c r="AL1123" s="182" t="n">
        <v>0</v>
      </c>
      <c r="AM1123" s="182" t="n">
        <v>0.08</v>
      </c>
      <c r="AN1123" s="182" t="n">
        <v>0</v>
      </c>
    </row>
    <row r="1124">
      <c r="A1124" s="155" t="n">
        <v>46087</v>
      </c>
      <c r="B1124" s="156" t="inlineStr">
        <is>
          <t>DS</t>
        </is>
      </c>
      <c r="C1124" s="156" t="inlineStr">
        <is>
          <t>HT-420</t>
        </is>
      </c>
      <c r="D1124" s="156" t="inlineStr">
        <is>
          <t>SY430</t>
        </is>
      </c>
      <c r="E1124" s="156" t="inlineStr">
        <is>
          <t>DT Hauling</t>
        </is>
      </c>
      <c r="F1124" s="156" t="inlineStr"/>
      <c r="G1124" s="182" t="n">
        <v>0</v>
      </c>
      <c r="H1124" s="182" t="n">
        <v>0</v>
      </c>
      <c r="I1124" s="182" t="n">
        <v>12</v>
      </c>
      <c r="J1124" s="182" t="n">
        <v>12</v>
      </c>
      <c r="K1124" s="182" t="n">
        <v>0</v>
      </c>
      <c r="L1124" s="182" t="n">
        <v>12</v>
      </c>
      <c r="M1124" s="182" t="n">
        <v>0</v>
      </c>
      <c r="N1124" s="182" t="n">
        <v>0</v>
      </c>
      <c r="O1124" s="183" t="n">
        <v>0</v>
      </c>
      <c r="P1124" s="183" t="n">
        <v>0</v>
      </c>
      <c r="Q1124" s="184" t="n">
        <v>0</v>
      </c>
      <c r="R1124" s="184" t="n">
        <v>0</v>
      </c>
      <c r="S1124" s="183" t="n">
        <v>0</v>
      </c>
      <c r="T1124" s="183" t="n">
        <v>0</v>
      </c>
      <c r="U1124" s="182" t="n">
        <v>0</v>
      </c>
      <c r="V1124" s="182" t="n">
        <v>0</v>
      </c>
      <c r="W1124" s="182" t="n">
        <v>0</v>
      </c>
      <c r="X1124" s="182" t="n">
        <v>0</v>
      </c>
      <c r="Y1124" s="182" t="n">
        <v>0</v>
      </c>
      <c r="Z1124" s="182" t="n">
        <v>0</v>
      </c>
      <c r="AA1124" s="182" t="n">
        <v>0</v>
      </c>
      <c r="AB1124" s="182" t="n">
        <v>0</v>
      </c>
      <c r="AC1124" s="182" t="n">
        <v>0</v>
      </c>
      <c r="AD1124" s="182" t="n">
        <v>0</v>
      </c>
      <c r="AE1124" s="182" t="n">
        <v>0</v>
      </c>
      <c r="AF1124" s="182" t="n">
        <v>0</v>
      </c>
      <c r="AG1124" s="182" t="n">
        <v>0</v>
      </c>
      <c r="AH1124" s="182" t="n">
        <v>0</v>
      </c>
      <c r="AI1124" s="182" t="n">
        <v>0</v>
      </c>
      <c r="AJ1124" s="182" t="n">
        <v>0</v>
      </c>
      <c r="AK1124" s="182" t="n">
        <v>0</v>
      </c>
      <c r="AL1124" s="182" t="n">
        <v>0</v>
      </c>
      <c r="AM1124" s="182" t="n">
        <v>0</v>
      </c>
      <c r="AN1124" s="182" t="n">
        <v>0</v>
      </c>
    </row>
    <row r="1125">
      <c r="A1125" s="155" t="n">
        <v>46087</v>
      </c>
      <c r="B1125" s="156" t="inlineStr">
        <is>
          <t>DS</t>
        </is>
      </c>
      <c r="C1125" s="156" t="inlineStr">
        <is>
          <t>HT-403</t>
        </is>
      </c>
      <c r="D1125" s="156" t="inlineStr">
        <is>
          <t>SY430</t>
        </is>
      </c>
      <c r="E1125" s="156" t="inlineStr">
        <is>
          <t>DT Hauling</t>
        </is>
      </c>
      <c r="F1125" s="156" t="inlineStr"/>
      <c r="G1125" s="182" t="n">
        <v>0</v>
      </c>
      <c r="H1125" s="182" t="n">
        <v>0</v>
      </c>
      <c r="I1125" s="182" t="n">
        <v>0</v>
      </c>
      <c r="J1125" s="182" t="n">
        <v>0</v>
      </c>
      <c r="K1125" s="182" t="n">
        <v>12</v>
      </c>
      <c r="L1125" s="182" t="n">
        <v>12</v>
      </c>
      <c r="M1125" s="182" t="n">
        <v>0</v>
      </c>
      <c r="N1125" s="182" t="n">
        <v>0</v>
      </c>
      <c r="O1125" s="183" t="n">
        <v>0</v>
      </c>
      <c r="P1125" s="183" t="n">
        <v>0</v>
      </c>
      <c r="Q1125" s="184" t="n">
        <v>0</v>
      </c>
      <c r="R1125" s="184" t="n">
        <v>0</v>
      </c>
      <c r="S1125" s="183" t="n">
        <v>0</v>
      </c>
      <c r="T1125" s="183" t="n">
        <v>0</v>
      </c>
      <c r="U1125" s="182" t="n">
        <v>0</v>
      </c>
      <c r="V1125" s="182" t="n">
        <v>0</v>
      </c>
      <c r="W1125" s="182" t="n">
        <v>0</v>
      </c>
      <c r="X1125" s="182" t="n">
        <v>1</v>
      </c>
      <c r="Y1125" s="182" t="n">
        <v>0</v>
      </c>
      <c r="Z1125" s="182" t="n">
        <v>0</v>
      </c>
      <c r="AA1125" s="182" t="n">
        <v>0</v>
      </c>
      <c r="AB1125" s="182" t="n">
        <v>0</v>
      </c>
      <c r="AC1125" s="182" t="n">
        <v>0</v>
      </c>
      <c r="AD1125" s="182" t="n">
        <v>0</v>
      </c>
      <c r="AE1125" s="182" t="n">
        <v>0</v>
      </c>
      <c r="AF1125" s="182" t="n">
        <v>0</v>
      </c>
      <c r="AG1125" s="182" t="n">
        <v>0</v>
      </c>
      <c r="AH1125" s="182" t="n">
        <v>0</v>
      </c>
      <c r="AI1125" s="182" t="n">
        <v>0</v>
      </c>
      <c r="AJ1125" s="182" t="n">
        <v>0</v>
      </c>
      <c r="AK1125" s="182" t="n">
        <v>10.92</v>
      </c>
      <c r="AL1125" s="182" t="n">
        <v>0</v>
      </c>
      <c r="AM1125" s="182" t="n">
        <v>0.08</v>
      </c>
      <c r="AN1125" s="182" t="n">
        <v>0</v>
      </c>
    </row>
    <row r="1126">
      <c r="A1126" s="155" t="n">
        <v>46087</v>
      </c>
      <c r="B1126" s="156" t="inlineStr">
        <is>
          <t>DS</t>
        </is>
      </c>
      <c r="C1126" s="156" t="inlineStr">
        <is>
          <t>HT-408</t>
        </is>
      </c>
      <c r="D1126" s="156" t="inlineStr">
        <is>
          <t>SY430</t>
        </is>
      </c>
      <c r="E1126" s="156" t="inlineStr">
        <is>
          <t>DT Hauling</t>
        </is>
      </c>
      <c r="F1126" s="156" t="inlineStr"/>
      <c r="G1126" s="182" t="n">
        <v>0</v>
      </c>
      <c r="H1126" s="182" t="n">
        <v>0</v>
      </c>
      <c r="I1126" s="182" t="n">
        <v>0</v>
      </c>
      <c r="J1126" s="182" t="n">
        <v>0</v>
      </c>
      <c r="K1126" s="182" t="n">
        <v>12</v>
      </c>
      <c r="L1126" s="182" t="n">
        <v>12</v>
      </c>
      <c r="M1126" s="182" t="n">
        <v>0</v>
      </c>
      <c r="N1126" s="182" t="n">
        <v>0</v>
      </c>
      <c r="O1126" s="183" t="n">
        <v>0</v>
      </c>
      <c r="P1126" s="183" t="n">
        <v>0</v>
      </c>
      <c r="Q1126" s="184" t="n">
        <v>0</v>
      </c>
      <c r="R1126" s="184" t="n">
        <v>0</v>
      </c>
      <c r="S1126" s="183" t="n">
        <v>0</v>
      </c>
      <c r="T1126" s="183" t="n">
        <v>0</v>
      </c>
      <c r="U1126" s="182" t="n">
        <v>0</v>
      </c>
      <c r="V1126" s="182" t="n">
        <v>0</v>
      </c>
      <c r="W1126" s="182" t="n">
        <v>0</v>
      </c>
      <c r="X1126" s="182" t="n">
        <v>1</v>
      </c>
      <c r="Y1126" s="182" t="n">
        <v>0</v>
      </c>
      <c r="Z1126" s="182" t="n">
        <v>0</v>
      </c>
      <c r="AA1126" s="182" t="n">
        <v>0</v>
      </c>
      <c r="AB1126" s="182" t="n">
        <v>0</v>
      </c>
      <c r="AC1126" s="182" t="n">
        <v>0</v>
      </c>
      <c r="AD1126" s="182" t="n">
        <v>0</v>
      </c>
      <c r="AE1126" s="182" t="n">
        <v>0</v>
      </c>
      <c r="AF1126" s="182" t="n">
        <v>0</v>
      </c>
      <c r="AG1126" s="182" t="n">
        <v>0</v>
      </c>
      <c r="AH1126" s="182" t="n">
        <v>0</v>
      </c>
      <c r="AI1126" s="182" t="n">
        <v>0</v>
      </c>
      <c r="AJ1126" s="182" t="n">
        <v>0</v>
      </c>
      <c r="AK1126" s="182" t="n">
        <v>10.92</v>
      </c>
      <c r="AL1126" s="182" t="n">
        <v>0</v>
      </c>
      <c r="AM1126" s="182" t="n">
        <v>0.08</v>
      </c>
      <c r="AN1126" s="182" t="n">
        <v>0</v>
      </c>
    </row>
    <row r="1127">
      <c r="A1127" s="155" t="n">
        <v>46087</v>
      </c>
      <c r="B1127" s="156" t="inlineStr">
        <is>
          <t>DS</t>
        </is>
      </c>
      <c r="C1127" s="156" t="inlineStr">
        <is>
          <t>HT-412</t>
        </is>
      </c>
      <c r="D1127" s="156" t="inlineStr">
        <is>
          <t>SY430</t>
        </is>
      </c>
      <c r="E1127" s="156" t="inlineStr">
        <is>
          <t>DT Hauling</t>
        </is>
      </c>
      <c r="F1127" s="156" t="inlineStr"/>
      <c r="G1127" s="182" t="n">
        <v>0</v>
      </c>
      <c r="H1127" s="182" t="n">
        <v>0</v>
      </c>
      <c r="I1127" s="182" t="n">
        <v>0</v>
      </c>
      <c r="J1127" s="182" t="n">
        <v>0</v>
      </c>
      <c r="K1127" s="182" t="n">
        <v>12</v>
      </c>
      <c r="L1127" s="182" t="n">
        <v>12</v>
      </c>
      <c r="M1127" s="182" t="n">
        <v>0</v>
      </c>
      <c r="N1127" s="182" t="n">
        <v>0</v>
      </c>
      <c r="O1127" s="183" t="n">
        <v>0</v>
      </c>
      <c r="P1127" s="183" t="n">
        <v>0</v>
      </c>
      <c r="Q1127" s="184" t="n">
        <v>0</v>
      </c>
      <c r="R1127" s="184" t="n">
        <v>0</v>
      </c>
      <c r="S1127" s="183" t="n">
        <v>0</v>
      </c>
      <c r="T1127" s="183" t="n">
        <v>0</v>
      </c>
      <c r="U1127" s="182" t="n">
        <v>0</v>
      </c>
      <c r="V1127" s="182" t="n">
        <v>0</v>
      </c>
      <c r="W1127" s="182" t="n">
        <v>0</v>
      </c>
      <c r="X1127" s="182" t="n">
        <v>1</v>
      </c>
      <c r="Y1127" s="182" t="n">
        <v>0</v>
      </c>
      <c r="Z1127" s="182" t="n">
        <v>0</v>
      </c>
      <c r="AA1127" s="182" t="n">
        <v>0</v>
      </c>
      <c r="AB1127" s="182" t="n">
        <v>0</v>
      </c>
      <c r="AC1127" s="182" t="n">
        <v>0</v>
      </c>
      <c r="AD1127" s="182" t="n">
        <v>0</v>
      </c>
      <c r="AE1127" s="182" t="n">
        <v>0</v>
      </c>
      <c r="AF1127" s="182" t="n">
        <v>0</v>
      </c>
      <c r="AG1127" s="182" t="n">
        <v>0</v>
      </c>
      <c r="AH1127" s="182" t="n">
        <v>0</v>
      </c>
      <c r="AI1127" s="182" t="n">
        <v>0</v>
      </c>
      <c r="AJ1127" s="182" t="n">
        <v>0</v>
      </c>
      <c r="AK1127" s="182" t="n">
        <v>10.92</v>
      </c>
      <c r="AL1127" s="182" t="n">
        <v>0</v>
      </c>
      <c r="AM1127" s="182" t="n">
        <v>0.08</v>
      </c>
      <c r="AN1127" s="182" t="n">
        <v>0</v>
      </c>
    </row>
    <row r="1128">
      <c r="A1128" s="155" t="n">
        <v>46087</v>
      </c>
      <c r="B1128" s="156" t="inlineStr">
        <is>
          <t>DS</t>
        </is>
      </c>
      <c r="C1128" s="156" t="inlineStr">
        <is>
          <t>HT-413</t>
        </is>
      </c>
      <c r="D1128" s="156" t="inlineStr">
        <is>
          <t>SY430</t>
        </is>
      </c>
      <c r="E1128" s="156" t="inlineStr">
        <is>
          <t>DT Hauling</t>
        </is>
      </c>
      <c r="F1128" s="156" t="inlineStr"/>
      <c r="G1128" s="182" t="n">
        <v>0</v>
      </c>
      <c r="H1128" s="182" t="n">
        <v>0</v>
      </c>
      <c r="I1128" s="182" t="n">
        <v>12</v>
      </c>
      <c r="J1128" s="182" t="n">
        <v>12</v>
      </c>
      <c r="K1128" s="182" t="n">
        <v>0</v>
      </c>
      <c r="L1128" s="182" t="n">
        <v>12</v>
      </c>
      <c r="M1128" s="182" t="n">
        <v>0</v>
      </c>
      <c r="N1128" s="182" t="n">
        <v>0</v>
      </c>
      <c r="O1128" s="183" t="n">
        <v>0</v>
      </c>
      <c r="P1128" s="183" t="n">
        <v>0</v>
      </c>
      <c r="Q1128" s="184" t="n">
        <v>0</v>
      </c>
      <c r="R1128" s="184" t="n">
        <v>0</v>
      </c>
      <c r="S1128" s="183" t="n">
        <v>0</v>
      </c>
      <c r="T1128" s="183" t="n">
        <v>0</v>
      </c>
      <c r="U1128" s="182" t="n">
        <v>0</v>
      </c>
      <c r="V1128" s="182" t="n">
        <v>0</v>
      </c>
      <c r="W1128" s="182" t="n">
        <v>0</v>
      </c>
      <c r="X1128" s="182" t="n">
        <v>0</v>
      </c>
      <c r="Y1128" s="182" t="n">
        <v>0</v>
      </c>
      <c r="Z1128" s="182" t="n">
        <v>0</v>
      </c>
      <c r="AA1128" s="182" t="n">
        <v>0</v>
      </c>
      <c r="AB1128" s="182" t="n">
        <v>0</v>
      </c>
      <c r="AC1128" s="182" t="n">
        <v>0</v>
      </c>
      <c r="AD1128" s="182" t="n">
        <v>0</v>
      </c>
      <c r="AE1128" s="182" t="n">
        <v>0</v>
      </c>
      <c r="AF1128" s="182" t="n">
        <v>0</v>
      </c>
      <c r="AG1128" s="182" t="n">
        <v>0</v>
      </c>
      <c r="AH1128" s="182" t="n">
        <v>0</v>
      </c>
      <c r="AI1128" s="182" t="n">
        <v>0</v>
      </c>
      <c r="AJ1128" s="182" t="n">
        <v>0</v>
      </c>
      <c r="AK1128" s="182" t="n">
        <v>0</v>
      </c>
      <c r="AL1128" s="182" t="n">
        <v>0</v>
      </c>
      <c r="AM1128" s="182" t="n">
        <v>0</v>
      </c>
      <c r="AN1128" s="182" t="n">
        <v>0</v>
      </c>
    </row>
    <row r="1129">
      <c r="A1129" s="155" t="n">
        <v>46087</v>
      </c>
      <c r="B1129" s="156" t="inlineStr">
        <is>
          <t>DS</t>
        </is>
      </c>
      <c r="C1129" s="156" t="inlineStr">
        <is>
          <t>HT-407</t>
        </is>
      </c>
      <c r="D1129" s="156" t="inlineStr">
        <is>
          <t>SY430</t>
        </is>
      </c>
      <c r="E1129" s="156" t="inlineStr">
        <is>
          <t>DT Hauling</t>
        </is>
      </c>
      <c r="F1129" s="156" t="inlineStr"/>
      <c r="G1129" s="182" t="n">
        <v>0</v>
      </c>
      <c r="H1129" s="182" t="n">
        <v>0</v>
      </c>
      <c r="I1129" s="182" t="n">
        <v>0</v>
      </c>
      <c r="J1129" s="182" t="n">
        <v>0</v>
      </c>
      <c r="K1129" s="182" t="n">
        <v>12</v>
      </c>
      <c r="L1129" s="182" t="n">
        <v>12</v>
      </c>
      <c r="M1129" s="182" t="n">
        <v>0</v>
      </c>
      <c r="N1129" s="182" t="n">
        <v>0</v>
      </c>
      <c r="O1129" s="183" t="n">
        <v>0</v>
      </c>
      <c r="P1129" s="183" t="n">
        <v>0</v>
      </c>
      <c r="Q1129" s="184" t="n">
        <v>0</v>
      </c>
      <c r="R1129" s="184" t="n">
        <v>0</v>
      </c>
      <c r="S1129" s="183" t="n">
        <v>0</v>
      </c>
      <c r="T1129" s="183" t="n">
        <v>0</v>
      </c>
      <c r="U1129" s="182" t="n">
        <v>0</v>
      </c>
      <c r="V1129" s="182" t="n">
        <v>0</v>
      </c>
      <c r="W1129" s="182" t="n">
        <v>0</v>
      </c>
      <c r="X1129" s="182" t="n">
        <v>1</v>
      </c>
      <c r="Y1129" s="182" t="n">
        <v>0</v>
      </c>
      <c r="Z1129" s="182" t="n">
        <v>0</v>
      </c>
      <c r="AA1129" s="182" t="n">
        <v>0</v>
      </c>
      <c r="AB1129" s="182" t="n">
        <v>0</v>
      </c>
      <c r="AC1129" s="182" t="n">
        <v>0</v>
      </c>
      <c r="AD1129" s="182" t="n">
        <v>0</v>
      </c>
      <c r="AE1129" s="182" t="n">
        <v>0</v>
      </c>
      <c r="AF1129" s="182" t="n">
        <v>0</v>
      </c>
      <c r="AG1129" s="182" t="n">
        <v>0</v>
      </c>
      <c r="AH1129" s="182" t="n">
        <v>0</v>
      </c>
      <c r="AI1129" s="182" t="n">
        <v>0</v>
      </c>
      <c r="AJ1129" s="182" t="n">
        <v>0</v>
      </c>
      <c r="AK1129" s="182" t="n">
        <v>10.92</v>
      </c>
      <c r="AL1129" s="182" t="n">
        <v>0</v>
      </c>
      <c r="AM1129" s="182" t="n">
        <v>0.08</v>
      </c>
      <c r="AN1129" s="182" t="n">
        <v>0</v>
      </c>
    </row>
    <row r="1130">
      <c r="A1130" s="155" t="n">
        <v>46087</v>
      </c>
      <c r="B1130" s="156" t="inlineStr">
        <is>
          <t>DS</t>
        </is>
      </c>
      <c r="C1130" s="156" t="inlineStr">
        <is>
          <t>HT-414</t>
        </is>
      </c>
      <c r="D1130" s="156" t="inlineStr">
        <is>
          <t>SY430</t>
        </is>
      </c>
      <c r="E1130" s="156" t="inlineStr">
        <is>
          <t>DT Hauling</t>
        </is>
      </c>
      <c r="F1130" s="156" t="inlineStr"/>
      <c r="G1130" s="182" t="n">
        <v>0</v>
      </c>
      <c r="H1130" s="182" t="n">
        <v>0</v>
      </c>
      <c r="I1130" s="182" t="n">
        <v>0</v>
      </c>
      <c r="J1130" s="182" t="n">
        <v>0</v>
      </c>
      <c r="K1130" s="182" t="n">
        <v>12</v>
      </c>
      <c r="L1130" s="182" t="n">
        <v>12</v>
      </c>
      <c r="M1130" s="182" t="n">
        <v>0</v>
      </c>
      <c r="N1130" s="182" t="n">
        <v>0</v>
      </c>
      <c r="O1130" s="183" t="n">
        <v>0</v>
      </c>
      <c r="P1130" s="183" t="n">
        <v>0</v>
      </c>
      <c r="Q1130" s="184" t="n">
        <v>0</v>
      </c>
      <c r="R1130" s="184" t="n">
        <v>0</v>
      </c>
      <c r="S1130" s="183" t="n">
        <v>0</v>
      </c>
      <c r="T1130" s="183" t="n">
        <v>0</v>
      </c>
      <c r="U1130" s="182" t="n">
        <v>0</v>
      </c>
      <c r="V1130" s="182" t="n">
        <v>0</v>
      </c>
      <c r="W1130" s="182" t="n">
        <v>0</v>
      </c>
      <c r="X1130" s="182" t="n">
        <v>1</v>
      </c>
      <c r="Y1130" s="182" t="n">
        <v>0</v>
      </c>
      <c r="Z1130" s="182" t="n">
        <v>0</v>
      </c>
      <c r="AA1130" s="182" t="n">
        <v>0</v>
      </c>
      <c r="AB1130" s="182" t="n">
        <v>0</v>
      </c>
      <c r="AC1130" s="182" t="n">
        <v>0</v>
      </c>
      <c r="AD1130" s="182" t="n">
        <v>0</v>
      </c>
      <c r="AE1130" s="182" t="n">
        <v>0</v>
      </c>
      <c r="AF1130" s="182" t="n">
        <v>0</v>
      </c>
      <c r="AG1130" s="182" t="n">
        <v>0</v>
      </c>
      <c r="AH1130" s="182" t="n">
        <v>0</v>
      </c>
      <c r="AI1130" s="182" t="n">
        <v>0</v>
      </c>
      <c r="AJ1130" s="182" t="n">
        <v>0</v>
      </c>
      <c r="AK1130" s="182" t="n">
        <v>10.92</v>
      </c>
      <c r="AL1130" s="182" t="n">
        <v>0</v>
      </c>
      <c r="AM1130" s="182" t="n">
        <v>0.08</v>
      </c>
      <c r="AN1130" s="182" t="n">
        <v>0</v>
      </c>
    </row>
    <row r="1131">
      <c r="A1131" s="155" t="n">
        <v>46087</v>
      </c>
      <c r="B1131" s="156" t="inlineStr">
        <is>
          <t>DS</t>
        </is>
      </c>
      <c r="C1131" s="156" t="inlineStr">
        <is>
          <t>HT-411</t>
        </is>
      </c>
      <c r="D1131" s="156" t="inlineStr">
        <is>
          <t>SY430</t>
        </is>
      </c>
      <c r="E1131" s="156" t="inlineStr">
        <is>
          <t>DT Hauling</t>
        </is>
      </c>
      <c r="F1131" s="156" t="inlineStr"/>
      <c r="G1131" s="182" t="n">
        <v>0</v>
      </c>
      <c r="H1131" s="182" t="n">
        <v>0</v>
      </c>
      <c r="I1131" s="182" t="n">
        <v>0</v>
      </c>
      <c r="J1131" s="182" t="n">
        <v>0</v>
      </c>
      <c r="K1131" s="182" t="n">
        <v>12</v>
      </c>
      <c r="L1131" s="182" t="n">
        <v>12</v>
      </c>
      <c r="M1131" s="182" t="n">
        <v>0</v>
      </c>
      <c r="N1131" s="182" t="n">
        <v>0</v>
      </c>
      <c r="O1131" s="183" t="n">
        <v>0</v>
      </c>
      <c r="P1131" s="183" t="n">
        <v>0</v>
      </c>
      <c r="Q1131" s="184" t="n">
        <v>0</v>
      </c>
      <c r="R1131" s="184" t="n">
        <v>0</v>
      </c>
      <c r="S1131" s="183" t="n">
        <v>0</v>
      </c>
      <c r="T1131" s="183" t="n">
        <v>0</v>
      </c>
      <c r="U1131" s="182" t="n">
        <v>0</v>
      </c>
      <c r="V1131" s="182" t="n">
        <v>0</v>
      </c>
      <c r="W1131" s="182" t="n">
        <v>0</v>
      </c>
      <c r="X1131" s="182" t="n">
        <v>1</v>
      </c>
      <c r="Y1131" s="182" t="n">
        <v>0</v>
      </c>
      <c r="Z1131" s="182" t="n">
        <v>0</v>
      </c>
      <c r="AA1131" s="182" t="n">
        <v>0</v>
      </c>
      <c r="AB1131" s="182" t="n">
        <v>0</v>
      </c>
      <c r="AC1131" s="182" t="n">
        <v>0</v>
      </c>
      <c r="AD1131" s="182" t="n">
        <v>0</v>
      </c>
      <c r="AE1131" s="182" t="n">
        <v>0</v>
      </c>
      <c r="AF1131" s="182" t="n">
        <v>0</v>
      </c>
      <c r="AG1131" s="182" t="n">
        <v>0</v>
      </c>
      <c r="AH1131" s="182" t="n">
        <v>0</v>
      </c>
      <c r="AI1131" s="182" t="n">
        <v>0</v>
      </c>
      <c r="AJ1131" s="182" t="n">
        <v>0</v>
      </c>
      <c r="AK1131" s="182" t="n">
        <v>10.92</v>
      </c>
      <c r="AL1131" s="182" t="n">
        <v>0</v>
      </c>
      <c r="AM1131" s="182" t="n">
        <v>0.08</v>
      </c>
      <c r="AN1131" s="182" t="n">
        <v>0</v>
      </c>
    </row>
    <row r="1132">
      <c r="A1132" s="155" t="n">
        <v>46087</v>
      </c>
      <c r="B1132" s="156" t="inlineStr">
        <is>
          <t>DS</t>
        </is>
      </c>
      <c r="C1132" s="156" t="inlineStr">
        <is>
          <t>HT-409</t>
        </is>
      </c>
      <c r="D1132" s="156" t="inlineStr">
        <is>
          <t>SY430</t>
        </is>
      </c>
      <c r="E1132" s="156" t="inlineStr">
        <is>
          <t>DT Hauling</t>
        </is>
      </c>
      <c r="F1132" s="156" t="inlineStr"/>
      <c r="G1132" s="182" t="n">
        <v>0</v>
      </c>
      <c r="H1132" s="182" t="n">
        <v>0</v>
      </c>
      <c r="I1132" s="182" t="n">
        <v>0</v>
      </c>
      <c r="J1132" s="182" t="n">
        <v>0</v>
      </c>
      <c r="K1132" s="182" t="n">
        <v>12</v>
      </c>
      <c r="L1132" s="182" t="n">
        <v>12</v>
      </c>
      <c r="M1132" s="182" t="n">
        <v>0</v>
      </c>
      <c r="N1132" s="182" t="n">
        <v>0</v>
      </c>
      <c r="O1132" s="183" t="n">
        <v>0</v>
      </c>
      <c r="P1132" s="183" t="n">
        <v>0</v>
      </c>
      <c r="Q1132" s="184" t="n">
        <v>0</v>
      </c>
      <c r="R1132" s="184" t="n">
        <v>0</v>
      </c>
      <c r="S1132" s="183" t="n">
        <v>0</v>
      </c>
      <c r="T1132" s="183" t="n">
        <v>0</v>
      </c>
      <c r="U1132" s="182" t="n">
        <v>0</v>
      </c>
      <c r="V1132" s="182" t="n">
        <v>0</v>
      </c>
      <c r="W1132" s="182" t="n">
        <v>0</v>
      </c>
      <c r="X1132" s="182" t="n">
        <v>1</v>
      </c>
      <c r="Y1132" s="182" t="n">
        <v>0</v>
      </c>
      <c r="Z1132" s="182" t="n">
        <v>0</v>
      </c>
      <c r="AA1132" s="182" t="n">
        <v>0</v>
      </c>
      <c r="AB1132" s="182" t="n">
        <v>0</v>
      </c>
      <c r="AC1132" s="182" t="n">
        <v>0</v>
      </c>
      <c r="AD1132" s="182" t="n">
        <v>0</v>
      </c>
      <c r="AE1132" s="182" t="n">
        <v>0</v>
      </c>
      <c r="AF1132" s="182" t="n">
        <v>0</v>
      </c>
      <c r="AG1132" s="182" t="n">
        <v>0</v>
      </c>
      <c r="AH1132" s="182" t="n">
        <v>0</v>
      </c>
      <c r="AI1132" s="182" t="n">
        <v>0</v>
      </c>
      <c r="AJ1132" s="182" t="n">
        <v>0</v>
      </c>
      <c r="AK1132" s="182" t="n">
        <v>10.92</v>
      </c>
      <c r="AL1132" s="182" t="n">
        <v>0</v>
      </c>
      <c r="AM1132" s="182" t="n">
        <v>0.08</v>
      </c>
      <c r="AN1132" s="182" t="n">
        <v>0</v>
      </c>
    </row>
    <row r="1133">
      <c r="A1133" s="155" t="n">
        <v>46087</v>
      </c>
      <c r="B1133" s="156" t="inlineStr">
        <is>
          <t>DS</t>
        </is>
      </c>
      <c r="C1133" s="156" t="inlineStr">
        <is>
          <t>DH-103</t>
        </is>
      </c>
      <c r="D1133" s="156" t="inlineStr">
        <is>
          <t>HINO FM260</t>
        </is>
      </c>
      <c r="E1133" s="156" t="inlineStr">
        <is>
          <t>DT Hino</t>
        </is>
      </c>
      <c r="F1133" s="156" t="inlineStr"/>
      <c r="G1133" s="182" t="n">
        <v>0</v>
      </c>
      <c r="H1133" s="182" t="n">
        <v>0</v>
      </c>
      <c r="I1133" s="182" t="n">
        <v>12</v>
      </c>
      <c r="J1133" s="182" t="n">
        <v>12</v>
      </c>
      <c r="K1133" s="182" t="n">
        <v>0</v>
      </c>
      <c r="L1133" s="182" t="n">
        <v>12</v>
      </c>
      <c r="M1133" s="182" t="n">
        <v>0</v>
      </c>
      <c r="N1133" s="182" t="n">
        <v>0</v>
      </c>
      <c r="O1133" s="183" t="n">
        <v>0</v>
      </c>
      <c r="P1133" s="183" t="n">
        <v>0</v>
      </c>
      <c r="Q1133" s="184" t="n">
        <v>0</v>
      </c>
      <c r="R1133" s="184" t="n">
        <v>0</v>
      </c>
      <c r="S1133" s="183" t="n">
        <v>0</v>
      </c>
      <c r="T1133" s="183" t="n">
        <v>0</v>
      </c>
      <c r="U1133" s="182" t="n">
        <v>0</v>
      </c>
      <c r="V1133" s="182" t="n">
        <v>0</v>
      </c>
      <c r="W1133" s="182" t="n">
        <v>0</v>
      </c>
      <c r="X1133" s="182" t="n">
        <v>0</v>
      </c>
      <c r="Y1133" s="182" t="n">
        <v>0</v>
      </c>
      <c r="Z1133" s="182" t="n">
        <v>0</v>
      </c>
      <c r="AA1133" s="182" t="n">
        <v>0</v>
      </c>
      <c r="AB1133" s="182" t="n">
        <v>0</v>
      </c>
      <c r="AC1133" s="182" t="n">
        <v>0</v>
      </c>
      <c r="AD1133" s="182" t="n">
        <v>0</v>
      </c>
      <c r="AE1133" s="182" t="n">
        <v>0</v>
      </c>
      <c r="AF1133" s="182" t="n">
        <v>0</v>
      </c>
      <c r="AG1133" s="182" t="n">
        <v>0</v>
      </c>
      <c r="AH1133" s="182" t="n">
        <v>0</v>
      </c>
      <c r="AI1133" s="182" t="n">
        <v>0</v>
      </c>
      <c r="AJ1133" s="182" t="n">
        <v>0</v>
      </c>
      <c r="AK1133" s="182" t="n">
        <v>0</v>
      </c>
      <c r="AL1133" s="182" t="n">
        <v>0</v>
      </c>
      <c r="AM1133" s="182" t="n">
        <v>0</v>
      </c>
      <c r="AN1133" s="182" t="n">
        <v>0</v>
      </c>
    </row>
    <row r="1134">
      <c r="A1134" s="155" t="n">
        <v>46087</v>
      </c>
      <c r="B1134" s="156" t="inlineStr">
        <is>
          <t>DS</t>
        </is>
      </c>
      <c r="C1134" s="156" t="inlineStr">
        <is>
          <t>DH-102</t>
        </is>
      </c>
      <c r="D1134" s="156" t="inlineStr">
        <is>
          <t>HINO FM260</t>
        </is>
      </c>
      <c r="E1134" s="156" t="inlineStr">
        <is>
          <t>DT Hino</t>
        </is>
      </c>
      <c r="F1134" s="156" t="inlineStr"/>
      <c r="G1134" s="182" t="n">
        <v>0</v>
      </c>
      <c r="H1134" s="182" t="n">
        <v>0</v>
      </c>
      <c r="I1134" s="182" t="n">
        <v>0</v>
      </c>
      <c r="J1134" s="182" t="n">
        <v>0</v>
      </c>
      <c r="K1134" s="182" t="n">
        <v>12</v>
      </c>
      <c r="L1134" s="182" t="n">
        <v>12</v>
      </c>
      <c r="M1134" s="182" t="n">
        <v>0</v>
      </c>
      <c r="N1134" s="182" t="n">
        <v>0</v>
      </c>
      <c r="O1134" s="183" t="n">
        <v>0</v>
      </c>
      <c r="P1134" s="183" t="n">
        <v>0</v>
      </c>
      <c r="Q1134" s="184" t="n">
        <v>0</v>
      </c>
      <c r="R1134" s="184" t="n">
        <v>0</v>
      </c>
      <c r="S1134" s="183" t="n">
        <v>0</v>
      </c>
      <c r="T1134" s="183" t="n">
        <v>0</v>
      </c>
      <c r="U1134" s="182" t="n">
        <v>0</v>
      </c>
      <c r="V1134" s="182" t="n">
        <v>0</v>
      </c>
      <c r="W1134" s="182" t="n">
        <v>0</v>
      </c>
      <c r="X1134" s="182" t="n">
        <v>1</v>
      </c>
      <c r="Y1134" s="182" t="n">
        <v>0</v>
      </c>
      <c r="Z1134" s="182" t="n">
        <v>0</v>
      </c>
      <c r="AA1134" s="182" t="n">
        <v>0</v>
      </c>
      <c r="AB1134" s="182" t="n">
        <v>0</v>
      </c>
      <c r="AC1134" s="182" t="n">
        <v>0</v>
      </c>
      <c r="AD1134" s="182" t="n">
        <v>0</v>
      </c>
      <c r="AE1134" s="182" t="n">
        <v>0</v>
      </c>
      <c r="AF1134" s="182" t="n">
        <v>0</v>
      </c>
      <c r="AG1134" s="182" t="n">
        <v>0</v>
      </c>
      <c r="AH1134" s="182" t="n">
        <v>0</v>
      </c>
      <c r="AI1134" s="182" t="n">
        <v>0</v>
      </c>
      <c r="AJ1134" s="182" t="n">
        <v>0</v>
      </c>
      <c r="AK1134" s="182" t="n">
        <v>10.92</v>
      </c>
      <c r="AL1134" s="182" t="n">
        <v>0</v>
      </c>
      <c r="AM1134" s="182" t="n">
        <v>0.08</v>
      </c>
      <c r="AN1134" s="182" t="n">
        <v>0</v>
      </c>
    </row>
    <row r="1135">
      <c r="A1135" s="155" t="n">
        <v>46087</v>
      </c>
      <c r="B1135" s="156" t="inlineStr">
        <is>
          <t>DS</t>
        </is>
      </c>
      <c r="C1135" s="156" t="inlineStr">
        <is>
          <t>DH-101</t>
        </is>
      </c>
      <c r="D1135" s="156" t="inlineStr">
        <is>
          <t>HINO FM260</t>
        </is>
      </c>
      <c r="E1135" s="156" t="inlineStr">
        <is>
          <t>DT Hino</t>
        </is>
      </c>
      <c r="F1135" s="156" t="inlineStr"/>
      <c r="G1135" s="182" t="n">
        <v>0</v>
      </c>
      <c r="H1135" s="182" t="n">
        <v>0</v>
      </c>
      <c r="I1135" s="182" t="n">
        <v>0</v>
      </c>
      <c r="J1135" s="182" t="n">
        <v>0</v>
      </c>
      <c r="K1135" s="182" t="n">
        <v>12</v>
      </c>
      <c r="L1135" s="182" t="n">
        <v>12</v>
      </c>
      <c r="M1135" s="182" t="n">
        <v>0</v>
      </c>
      <c r="N1135" s="182" t="n">
        <v>0</v>
      </c>
      <c r="O1135" s="183" t="n">
        <v>0</v>
      </c>
      <c r="P1135" s="183" t="n">
        <v>0</v>
      </c>
      <c r="Q1135" s="184" t="n">
        <v>0</v>
      </c>
      <c r="R1135" s="184" t="n">
        <v>0</v>
      </c>
      <c r="S1135" s="183" t="n">
        <v>0</v>
      </c>
      <c r="T1135" s="183" t="n">
        <v>0</v>
      </c>
      <c r="U1135" s="182" t="n">
        <v>0</v>
      </c>
      <c r="V1135" s="182" t="n">
        <v>0</v>
      </c>
      <c r="W1135" s="182" t="n">
        <v>0</v>
      </c>
      <c r="X1135" s="182" t="n">
        <v>1</v>
      </c>
      <c r="Y1135" s="182" t="n">
        <v>0</v>
      </c>
      <c r="Z1135" s="182" t="n">
        <v>0</v>
      </c>
      <c r="AA1135" s="182" t="n">
        <v>0</v>
      </c>
      <c r="AB1135" s="182" t="n">
        <v>0</v>
      </c>
      <c r="AC1135" s="182" t="n">
        <v>0</v>
      </c>
      <c r="AD1135" s="182" t="n">
        <v>0</v>
      </c>
      <c r="AE1135" s="182" t="n">
        <v>0</v>
      </c>
      <c r="AF1135" s="182" t="n">
        <v>0</v>
      </c>
      <c r="AG1135" s="182" t="n">
        <v>0</v>
      </c>
      <c r="AH1135" s="182" t="n">
        <v>0</v>
      </c>
      <c r="AI1135" s="182" t="n">
        <v>0</v>
      </c>
      <c r="AJ1135" s="182" t="n">
        <v>0</v>
      </c>
      <c r="AK1135" s="182" t="n">
        <v>10.92</v>
      </c>
      <c r="AL1135" s="182" t="n">
        <v>0</v>
      </c>
      <c r="AM1135" s="182" t="n">
        <v>0.08</v>
      </c>
      <c r="AN1135" s="182" t="n">
        <v>0</v>
      </c>
    </row>
    <row r="1136">
      <c r="A1136" s="155" t="n">
        <v>46087</v>
      </c>
      <c r="B1136" s="156" t="inlineStr">
        <is>
          <t>DS</t>
        </is>
      </c>
      <c r="C1136" s="156" t="inlineStr">
        <is>
          <t>EX-1251</t>
        </is>
      </c>
      <c r="D1136" s="156" t="inlineStr">
        <is>
          <t>SY1250</t>
        </is>
      </c>
      <c r="E1136" s="156" t="inlineStr">
        <is>
          <t>Excavator</t>
        </is>
      </c>
      <c r="F1136" s="156" t="inlineStr"/>
      <c r="G1136" s="182" t="n">
        <v>0</v>
      </c>
      <c r="H1136" s="182" t="n">
        <v>12</v>
      </c>
      <c r="I1136" s="182" t="n">
        <v>0</v>
      </c>
      <c r="J1136" s="182" t="n">
        <v>12</v>
      </c>
      <c r="K1136" s="182" t="n">
        <v>0</v>
      </c>
      <c r="L1136" s="182" t="n">
        <v>12</v>
      </c>
      <c r="M1136" s="182" t="n">
        <v>0</v>
      </c>
      <c r="N1136" s="182" t="n">
        <v>0</v>
      </c>
      <c r="O1136" s="183" t="n">
        <v>0</v>
      </c>
      <c r="P1136" s="183" t="n">
        <v>0</v>
      </c>
      <c r="Q1136" s="184" t="n">
        <v>0</v>
      </c>
      <c r="R1136" s="184" t="n">
        <v>0</v>
      </c>
      <c r="S1136" s="183" t="n">
        <v>0</v>
      </c>
      <c r="T1136" s="183" t="n">
        <v>0</v>
      </c>
      <c r="U1136" s="182" t="n">
        <v>0</v>
      </c>
      <c r="V1136" s="182" t="n">
        <v>0</v>
      </c>
      <c r="W1136" s="182" t="n">
        <v>0</v>
      </c>
      <c r="X1136" s="182" t="n">
        <v>0</v>
      </c>
      <c r="Y1136" s="182" t="n">
        <v>0</v>
      </c>
      <c r="Z1136" s="182" t="n">
        <v>0</v>
      </c>
      <c r="AA1136" s="182" t="n">
        <v>0</v>
      </c>
      <c r="AB1136" s="182" t="n">
        <v>0</v>
      </c>
      <c r="AC1136" s="182" t="n">
        <v>0</v>
      </c>
      <c r="AD1136" s="182" t="n">
        <v>0</v>
      </c>
      <c r="AE1136" s="182" t="n">
        <v>0</v>
      </c>
      <c r="AF1136" s="182" t="n">
        <v>0</v>
      </c>
      <c r="AG1136" s="182" t="n">
        <v>0</v>
      </c>
      <c r="AH1136" s="182" t="n">
        <v>0</v>
      </c>
      <c r="AI1136" s="182" t="n">
        <v>0</v>
      </c>
      <c r="AJ1136" s="182" t="n">
        <v>0</v>
      </c>
      <c r="AK1136" s="182" t="n">
        <v>0</v>
      </c>
      <c r="AL1136" s="182" t="n">
        <v>0</v>
      </c>
      <c r="AM1136" s="182" t="n">
        <v>0</v>
      </c>
      <c r="AN1136" s="182" t="n">
        <v>0</v>
      </c>
    </row>
    <row r="1137">
      <c r="A1137" s="155" t="n">
        <v>46087</v>
      </c>
      <c r="B1137" s="156" t="inlineStr">
        <is>
          <t>DS</t>
        </is>
      </c>
      <c r="C1137" s="156" t="inlineStr">
        <is>
          <t>EX-1252</t>
        </is>
      </c>
      <c r="D1137" s="156" t="inlineStr">
        <is>
          <t>SY1250</t>
        </is>
      </c>
      <c r="E1137" s="156" t="inlineStr">
        <is>
          <t>Excavator</t>
        </is>
      </c>
      <c r="F1137" s="156" t="inlineStr">
        <is>
          <t>Loading OB</t>
        </is>
      </c>
      <c r="G1137" s="182" t="n">
        <v>10.88</v>
      </c>
      <c r="H1137" s="182" t="n">
        <v>0</v>
      </c>
      <c r="I1137" s="182" t="n">
        <v>1</v>
      </c>
      <c r="J1137" s="182" t="n">
        <v>1</v>
      </c>
      <c r="K1137" s="182" t="n">
        <v>0.12</v>
      </c>
      <c r="L1137" s="182" t="n">
        <v>12</v>
      </c>
      <c r="M1137" s="182" t="n">
        <v>10.67</v>
      </c>
      <c r="N1137" s="182" t="n">
        <v>0</v>
      </c>
      <c r="O1137" s="183" t="n">
        <v>177</v>
      </c>
      <c r="P1137" s="183" t="n">
        <v>0</v>
      </c>
      <c r="Q1137" s="184" t="n">
        <v>4957.2</v>
      </c>
      <c r="R1137" s="184" t="n">
        <v>0</v>
      </c>
      <c r="S1137" s="183" t="n">
        <v>0</v>
      </c>
      <c r="T1137" s="183" t="n">
        <v>0</v>
      </c>
      <c r="U1137" s="182" t="n">
        <v>0</v>
      </c>
      <c r="V1137" s="182" t="n">
        <v>0</v>
      </c>
      <c r="W1137" s="182" t="n">
        <v>0</v>
      </c>
      <c r="X1137" s="182" t="n">
        <v>0.1</v>
      </c>
      <c r="Y1137" s="182" t="n">
        <v>0</v>
      </c>
      <c r="Z1137" s="182" t="n">
        <v>0</v>
      </c>
      <c r="AA1137" s="182" t="n">
        <v>0</v>
      </c>
      <c r="AB1137" s="182" t="n">
        <v>0</v>
      </c>
      <c r="AC1137" s="182" t="n">
        <v>0</v>
      </c>
      <c r="AD1137" s="182" t="n">
        <v>0</v>
      </c>
      <c r="AE1137" s="182" t="n">
        <v>0</v>
      </c>
      <c r="AF1137" s="182" t="n">
        <v>0</v>
      </c>
      <c r="AG1137" s="182" t="n">
        <v>0</v>
      </c>
      <c r="AH1137" s="182" t="n">
        <v>0</v>
      </c>
      <c r="AI1137" s="182" t="n">
        <v>0</v>
      </c>
      <c r="AJ1137" s="182" t="n">
        <v>0</v>
      </c>
      <c r="AK1137" s="182" t="n">
        <v>0</v>
      </c>
      <c r="AL1137" s="182" t="n">
        <v>0</v>
      </c>
      <c r="AM1137" s="182" t="n">
        <v>0.02</v>
      </c>
      <c r="AN1137" s="182" t="n">
        <v>0</v>
      </c>
    </row>
    <row r="1138">
      <c r="A1138" s="155" t="n">
        <v>46087</v>
      </c>
      <c r="B1138" s="156" t="inlineStr">
        <is>
          <t>DS</t>
        </is>
      </c>
      <c r="C1138" s="156" t="inlineStr">
        <is>
          <t>EX-2101</t>
        </is>
      </c>
      <c r="D1138" s="156" t="inlineStr">
        <is>
          <t>SY2000</t>
        </is>
      </c>
      <c r="E1138" s="156" t="inlineStr">
        <is>
          <t>Excavator</t>
        </is>
      </c>
      <c r="F1138" s="156" t="inlineStr"/>
      <c r="G1138" s="182" t="n">
        <v>0</v>
      </c>
      <c r="H1138" s="182" t="n">
        <v>0</v>
      </c>
      <c r="I1138" s="182" t="n">
        <v>12</v>
      </c>
      <c r="J1138" s="182" t="n">
        <v>12</v>
      </c>
      <c r="K1138" s="182" t="n">
        <v>0</v>
      </c>
      <c r="L1138" s="182" t="n">
        <v>12</v>
      </c>
      <c r="M1138" s="182" t="n">
        <v>0</v>
      </c>
      <c r="N1138" s="182" t="n">
        <v>0</v>
      </c>
      <c r="O1138" s="183" t="n">
        <v>0</v>
      </c>
      <c r="P1138" s="183" t="n">
        <v>0</v>
      </c>
      <c r="Q1138" s="184" t="n">
        <v>0</v>
      </c>
      <c r="R1138" s="184" t="n">
        <v>0</v>
      </c>
      <c r="S1138" s="183" t="n">
        <v>0</v>
      </c>
      <c r="T1138" s="183" t="n">
        <v>0</v>
      </c>
      <c r="U1138" s="182" t="n">
        <v>0</v>
      </c>
      <c r="V1138" s="182" t="n">
        <v>0</v>
      </c>
      <c r="W1138" s="182" t="n">
        <v>0</v>
      </c>
      <c r="X1138" s="182" t="n">
        <v>0</v>
      </c>
      <c r="Y1138" s="182" t="n">
        <v>0</v>
      </c>
      <c r="Z1138" s="182" t="n">
        <v>0</v>
      </c>
      <c r="AA1138" s="182" t="n">
        <v>0</v>
      </c>
      <c r="AB1138" s="182" t="n">
        <v>0</v>
      </c>
      <c r="AC1138" s="182" t="n">
        <v>0</v>
      </c>
      <c r="AD1138" s="182" t="n">
        <v>0</v>
      </c>
      <c r="AE1138" s="182" t="n">
        <v>0</v>
      </c>
      <c r="AF1138" s="182" t="n">
        <v>0</v>
      </c>
      <c r="AG1138" s="182" t="n">
        <v>0</v>
      </c>
      <c r="AH1138" s="182" t="n">
        <v>0</v>
      </c>
      <c r="AI1138" s="182" t="n">
        <v>0</v>
      </c>
      <c r="AJ1138" s="182" t="n">
        <v>0</v>
      </c>
      <c r="AK1138" s="182" t="n">
        <v>0</v>
      </c>
      <c r="AL1138" s="182" t="n">
        <v>0</v>
      </c>
      <c r="AM1138" s="182" t="n">
        <v>0</v>
      </c>
      <c r="AN1138" s="182" t="n">
        <v>0</v>
      </c>
    </row>
    <row r="1139">
      <c r="A1139" s="155" t="n">
        <v>46087</v>
      </c>
      <c r="B1139" s="156" t="inlineStr">
        <is>
          <t>DS</t>
        </is>
      </c>
      <c r="C1139" s="156" t="inlineStr">
        <is>
          <t>EX-222</t>
        </is>
      </c>
      <c r="D1139" s="156" t="inlineStr">
        <is>
          <t>PC 200-8MI</t>
        </is>
      </c>
      <c r="E1139" s="156" t="inlineStr">
        <is>
          <t>Excavator</t>
        </is>
      </c>
      <c r="F1139" s="156" t="inlineStr">
        <is>
          <t>Support Washing Plant</t>
        </is>
      </c>
      <c r="G1139" s="182" t="n">
        <v>9.44</v>
      </c>
      <c r="H1139" s="182" t="n">
        <v>0</v>
      </c>
      <c r="I1139" s="182" t="n">
        <v>1.48</v>
      </c>
      <c r="J1139" s="182" t="n">
        <v>1.48</v>
      </c>
      <c r="K1139" s="182" t="n">
        <v>1.08</v>
      </c>
      <c r="L1139" s="182" t="n">
        <v>12</v>
      </c>
      <c r="M1139" s="182" t="n">
        <v>0</v>
      </c>
      <c r="N1139" s="182" t="n">
        <v>0</v>
      </c>
      <c r="O1139" s="183" t="n">
        <v>0</v>
      </c>
      <c r="P1139" s="183" t="n">
        <v>0</v>
      </c>
      <c r="Q1139" s="184" t="n">
        <v>0</v>
      </c>
      <c r="R1139" s="184" t="n">
        <v>0</v>
      </c>
      <c r="S1139" s="183" t="n">
        <v>0</v>
      </c>
      <c r="T1139" s="183" t="n">
        <v>0</v>
      </c>
      <c r="U1139" s="182" t="n">
        <v>0</v>
      </c>
      <c r="V1139" s="182" t="n">
        <v>0</v>
      </c>
      <c r="W1139" s="182" t="n">
        <v>0</v>
      </c>
      <c r="X1139" s="182" t="n">
        <v>0.98</v>
      </c>
      <c r="Y1139" s="182" t="n">
        <v>0</v>
      </c>
      <c r="Z1139" s="182" t="n">
        <v>0</v>
      </c>
      <c r="AA1139" s="182" t="n">
        <v>0</v>
      </c>
      <c r="AB1139" s="182" t="n">
        <v>0</v>
      </c>
      <c r="AC1139" s="182" t="n">
        <v>0</v>
      </c>
      <c r="AD1139" s="182" t="n">
        <v>0</v>
      </c>
      <c r="AE1139" s="182" t="n">
        <v>0</v>
      </c>
      <c r="AF1139" s="182" t="n">
        <v>0</v>
      </c>
      <c r="AG1139" s="182" t="n">
        <v>0</v>
      </c>
      <c r="AH1139" s="182" t="n">
        <v>0</v>
      </c>
      <c r="AI1139" s="182" t="n">
        <v>0</v>
      </c>
      <c r="AJ1139" s="182" t="n">
        <v>0</v>
      </c>
      <c r="AK1139" s="182" t="n">
        <v>0</v>
      </c>
      <c r="AL1139" s="182" t="n">
        <v>0</v>
      </c>
      <c r="AM1139" s="182" t="n">
        <v>0.08</v>
      </c>
      <c r="AN1139" s="182" t="n">
        <v>0</v>
      </c>
    </row>
    <row r="1140">
      <c r="A1140" s="155" t="n">
        <v>46087</v>
      </c>
      <c r="B1140" s="156" t="inlineStr">
        <is>
          <t>DS</t>
        </is>
      </c>
      <c r="C1140" s="156" t="inlineStr">
        <is>
          <t>EX-225</t>
        </is>
      </c>
      <c r="D1140" s="156" t="inlineStr">
        <is>
          <t>PC 200-8</t>
        </is>
      </c>
      <c r="E1140" s="156" t="inlineStr">
        <is>
          <t>Excavator</t>
        </is>
      </c>
      <c r="F1140" s="156" t="inlineStr"/>
      <c r="G1140" s="182" t="n">
        <v>0</v>
      </c>
      <c r="H1140" s="182" t="n">
        <v>0</v>
      </c>
      <c r="I1140" s="182" t="n">
        <v>12</v>
      </c>
      <c r="J1140" s="182" t="n">
        <v>12</v>
      </c>
      <c r="K1140" s="182" t="n">
        <v>0</v>
      </c>
      <c r="L1140" s="182" t="n">
        <v>12</v>
      </c>
      <c r="M1140" s="182" t="n">
        <v>0</v>
      </c>
      <c r="N1140" s="182" t="n">
        <v>0</v>
      </c>
      <c r="O1140" s="183" t="n">
        <v>0</v>
      </c>
      <c r="P1140" s="183" t="n">
        <v>0</v>
      </c>
      <c r="Q1140" s="184" t="n">
        <v>0</v>
      </c>
      <c r="R1140" s="184" t="n">
        <v>0</v>
      </c>
      <c r="S1140" s="183" t="n">
        <v>0</v>
      </c>
      <c r="T1140" s="183" t="n">
        <v>0</v>
      </c>
      <c r="U1140" s="182" t="n">
        <v>0</v>
      </c>
      <c r="V1140" s="182" t="n">
        <v>0</v>
      </c>
      <c r="W1140" s="182" t="n">
        <v>0</v>
      </c>
      <c r="X1140" s="182" t="n">
        <v>0</v>
      </c>
      <c r="Y1140" s="182" t="n">
        <v>0</v>
      </c>
      <c r="Z1140" s="182" t="n">
        <v>0</v>
      </c>
      <c r="AA1140" s="182" t="n">
        <v>0</v>
      </c>
      <c r="AB1140" s="182" t="n">
        <v>0</v>
      </c>
      <c r="AC1140" s="182" t="n">
        <v>0</v>
      </c>
      <c r="AD1140" s="182" t="n">
        <v>0</v>
      </c>
      <c r="AE1140" s="182" t="n">
        <v>0</v>
      </c>
      <c r="AF1140" s="182" t="n">
        <v>0</v>
      </c>
      <c r="AG1140" s="182" t="n">
        <v>0</v>
      </c>
      <c r="AH1140" s="182" t="n">
        <v>0</v>
      </c>
      <c r="AI1140" s="182" t="n">
        <v>0</v>
      </c>
      <c r="AJ1140" s="182" t="n">
        <v>0</v>
      </c>
      <c r="AK1140" s="182" t="n">
        <v>0</v>
      </c>
      <c r="AL1140" s="182" t="n">
        <v>0</v>
      </c>
      <c r="AM1140" s="182" t="n">
        <v>0</v>
      </c>
      <c r="AN1140" s="182" t="n">
        <v>0</v>
      </c>
    </row>
    <row r="1141">
      <c r="A1141" s="155" t="n">
        <v>46087</v>
      </c>
      <c r="B1141" s="156" t="inlineStr">
        <is>
          <t>DS</t>
        </is>
      </c>
      <c r="C1141" s="156" t="inlineStr">
        <is>
          <t>EX-223</t>
        </is>
      </c>
      <c r="D1141" s="156" t="inlineStr">
        <is>
          <t>PC 200-8MI</t>
        </is>
      </c>
      <c r="E1141" s="156" t="inlineStr">
        <is>
          <t>Excavator</t>
        </is>
      </c>
      <c r="F1141" s="156" t="inlineStr">
        <is>
          <t>Support Washing Plant</t>
        </is>
      </c>
      <c r="G1141" s="182" t="n">
        <v>9.630000000000001</v>
      </c>
      <c r="H1141" s="182" t="n">
        <v>0</v>
      </c>
      <c r="I1141" s="182" t="n">
        <v>0</v>
      </c>
      <c r="J1141" s="182" t="n">
        <v>0</v>
      </c>
      <c r="K1141" s="182" t="n">
        <v>2.37</v>
      </c>
      <c r="L1141" s="182" t="n">
        <v>12</v>
      </c>
      <c r="M1141" s="182" t="n">
        <v>0</v>
      </c>
      <c r="N1141" s="182" t="n">
        <v>0</v>
      </c>
      <c r="O1141" s="183" t="n">
        <v>0</v>
      </c>
      <c r="P1141" s="183" t="n">
        <v>0</v>
      </c>
      <c r="Q1141" s="184" t="n">
        <v>0</v>
      </c>
      <c r="R1141" s="184" t="n">
        <v>0</v>
      </c>
      <c r="S1141" s="183" t="n">
        <v>0</v>
      </c>
      <c r="T1141" s="183" t="n">
        <v>0</v>
      </c>
      <c r="U1141" s="182" t="n">
        <v>0</v>
      </c>
      <c r="V1141" s="182" t="n">
        <v>0</v>
      </c>
      <c r="W1141" s="182" t="n">
        <v>0</v>
      </c>
      <c r="X1141" s="182" t="n">
        <v>1.08</v>
      </c>
      <c r="Y1141" s="182" t="n">
        <v>0</v>
      </c>
      <c r="Z1141" s="182" t="n">
        <v>0</v>
      </c>
      <c r="AA1141" s="182" t="n">
        <v>0</v>
      </c>
      <c r="AB1141" s="182" t="n">
        <v>0</v>
      </c>
      <c r="AC1141" s="182" t="n">
        <v>0</v>
      </c>
      <c r="AD1141" s="182" t="n">
        <v>0</v>
      </c>
      <c r="AE1141" s="182" t="n">
        <v>0</v>
      </c>
      <c r="AF1141" s="182" t="n">
        <v>0</v>
      </c>
      <c r="AG1141" s="182" t="n">
        <v>0</v>
      </c>
      <c r="AH1141" s="182" t="n">
        <v>0</v>
      </c>
      <c r="AI1141" s="182" t="n">
        <v>0</v>
      </c>
      <c r="AJ1141" s="182" t="n">
        <v>0</v>
      </c>
      <c r="AK1141" s="182" t="n">
        <v>1.21</v>
      </c>
      <c r="AL1141" s="182" t="n">
        <v>0</v>
      </c>
      <c r="AM1141" s="182" t="n">
        <v>0.09</v>
      </c>
      <c r="AN1141" s="182" t="n">
        <v>0</v>
      </c>
    </row>
    <row r="1142">
      <c r="A1142" s="155" t="n">
        <v>46087</v>
      </c>
      <c r="B1142" s="156" t="inlineStr">
        <is>
          <t>DS</t>
        </is>
      </c>
      <c r="C1142" s="156" t="inlineStr">
        <is>
          <t>EX-221</t>
        </is>
      </c>
      <c r="D1142" s="156" t="inlineStr">
        <is>
          <t>PC 200-8MI</t>
        </is>
      </c>
      <c r="E1142" s="156" t="inlineStr">
        <is>
          <t>Excavator</t>
        </is>
      </c>
      <c r="F1142" s="156" t="inlineStr"/>
      <c r="G1142" s="182" t="n">
        <v>0</v>
      </c>
      <c r="H1142" s="182" t="n">
        <v>0</v>
      </c>
      <c r="I1142" s="182" t="n">
        <v>0</v>
      </c>
      <c r="J1142" s="182" t="n">
        <v>0</v>
      </c>
      <c r="K1142" s="182" t="n">
        <v>12</v>
      </c>
      <c r="L1142" s="182" t="n">
        <v>12</v>
      </c>
      <c r="M1142" s="182" t="n">
        <v>0</v>
      </c>
      <c r="N1142" s="182" t="n">
        <v>0</v>
      </c>
      <c r="O1142" s="183" t="n">
        <v>0</v>
      </c>
      <c r="P1142" s="183" t="n">
        <v>0</v>
      </c>
      <c r="Q1142" s="184" t="n">
        <v>0</v>
      </c>
      <c r="R1142" s="184" t="n">
        <v>0</v>
      </c>
      <c r="S1142" s="183" t="n">
        <v>0</v>
      </c>
      <c r="T1142" s="183" t="n">
        <v>0</v>
      </c>
      <c r="U1142" s="182" t="n">
        <v>0</v>
      </c>
      <c r="V1142" s="182" t="n">
        <v>0</v>
      </c>
      <c r="W1142" s="182" t="n">
        <v>0</v>
      </c>
      <c r="X1142" s="182" t="n">
        <v>1</v>
      </c>
      <c r="Y1142" s="182" t="n">
        <v>0</v>
      </c>
      <c r="Z1142" s="182" t="n">
        <v>0</v>
      </c>
      <c r="AA1142" s="182" t="n">
        <v>0</v>
      </c>
      <c r="AB1142" s="182" t="n">
        <v>0</v>
      </c>
      <c r="AC1142" s="182" t="n">
        <v>0</v>
      </c>
      <c r="AD1142" s="182" t="n">
        <v>0</v>
      </c>
      <c r="AE1142" s="182" t="n">
        <v>0</v>
      </c>
      <c r="AF1142" s="182" t="n">
        <v>0</v>
      </c>
      <c r="AG1142" s="182" t="n">
        <v>0</v>
      </c>
      <c r="AH1142" s="182" t="n">
        <v>0</v>
      </c>
      <c r="AI1142" s="182" t="n">
        <v>0</v>
      </c>
      <c r="AJ1142" s="182" t="n">
        <v>0</v>
      </c>
      <c r="AK1142" s="182" t="n">
        <v>10.92</v>
      </c>
      <c r="AL1142" s="182" t="n">
        <v>0</v>
      </c>
      <c r="AM1142" s="182" t="n">
        <v>0.08</v>
      </c>
      <c r="AN1142" s="182" t="n">
        <v>0</v>
      </c>
    </row>
    <row r="1143">
      <c r="A1143" s="155" t="n">
        <v>46087</v>
      </c>
      <c r="B1143" s="156" t="inlineStr">
        <is>
          <t>DS</t>
        </is>
      </c>
      <c r="C1143" s="156" t="inlineStr">
        <is>
          <t>EX-331</t>
        </is>
      </c>
      <c r="D1143" s="156" t="inlineStr">
        <is>
          <t>PC 300-8MO</t>
        </is>
      </c>
      <c r="E1143" s="156" t="inlineStr">
        <is>
          <t>Excavator</t>
        </is>
      </c>
      <c r="F1143" s="156" t="inlineStr"/>
      <c r="G1143" s="182" t="n">
        <v>0</v>
      </c>
      <c r="H1143" s="182" t="n">
        <v>0</v>
      </c>
      <c r="I1143" s="182" t="n">
        <v>12</v>
      </c>
      <c r="J1143" s="182" t="n">
        <v>12</v>
      </c>
      <c r="K1143" s="182" t="n">
        <v>0</v>
      </c>
      <c r="L1143" s="182" t="n">
        <v>12</v>
      </c>
      <c r="M1143" s="182" t="n">
        <v>0</v>
      </c>
      <c r="N1143" s="182" t="n">
        <v>0</v>
      </c>
      <c r="O1143" s="183" t="n">
        <v>0</v>
      </c>
      <c r="P1143" s="183" t="n">
        <v>0</v>
      </c>
      <c r="Q1143" s="184" t="n">
        <v>0</v>
      </c>
      <c r="R1143" s="184" t="n">
        <v>0</v>
      </c>
      <c r="S1143" s="183" t="n">
        <v>0</v>
      </c>
      <c r="T1143" s="183" t="n">
        <v>0</v>
      </c>
      <c r="U1143" s="182" t="n">
        <v>0</v>
      </c>
      <c r="V1143" s="182" t="n">
        <v>0</v>
      </c>
      <c r="W1143" s="182" t="n">
        <v>0</v>
      </c>
      <c r="X1143" s="182" t="n">
        <v>0</v>
      </c>
      <c r="Y1143" s="182" t="n">
        <v>0</v>
      </c>
      <c r="Z1143" s="182" t="n">
        <v>0</v>
      </c>
      <c r="AA1143" s="182" t="n">
        <v>0</v>
      </c>
      <c r="AB1143" s="182" t="n">
        <v>0</v>
      </c>
      <c r="AC1143" s="182" t="n">
        <v>0</v>
      </c>
      <c r="AD1143" s="182" t="n">
        <v>0</v>
      </c>
      <c r="AE1143" s="182" t="n">
        <v>0</v>
      </c>
      <c r="AF1143" s="182" t="n">
        <v>0</v>
      </c>
      <c r="AG1143" s="182" t="n">
        <v>0</v>
      </c>
      <c r="AH1143" s="182" t="n">
        <v>0</v>
      </c>
      <c r="AI1143" s="182" t="n">
        <v>0</v>
      </c>
      <c r="AJ1143" s="182" t="n">
        <v>0</v>
      </c>
      <c r="AK1143" s="182" t="n">
        <v>0</v>
      </c>
      <c r="AL1143" s="182" t="n">
        <v>0</v>
      </c>
      <c r="AM1143" s="182" t="n">
        <v>0</v>
      </c>
      <c r="AN1143" s="182" t="n">
        <v>0</v>
      </c>
    </row>
    <row r="1144">
      <c r="A1144" s="155" t="n">
        <v>46087</v>
      </c>
      <c r="B1144" s="156" t="inlineStr">
        <is>
          <t>DS</t>
        </is>
      </c>
      <c r="C1144" s="156" t="inlineStr">
        <is>
          <t>EX-334</t>
        </is>
      </c>
      <c r="D1144" s="156" t="inlineStr">
        <is>
          <t>PC 300-8MO</t>
        </is>
      </c>
      <c r="E1144" s="156" t="inlineStr">
        <is>
          <t>Excavator</t>
        </is>
      </c>
      <c r="F1144" s="156" t="inlineStr">
        <is>
          <t>Loading &amp; Cleaning Coal</t>
        </is>
      </c>
      <c r="G1144" s="182" t="n">
        <v>11.21</v>
      </c>
      <c r="H1144" s="182" t="n">
        <v>0</v>
      </c>
      <c r="I1144" s="182" t="n">
        <v>0</v>
      </c>
      <c r="J1144" s="182" t="n">
        <v>0</v>
      </c>
      <c r="K1144" s="182" t="n">
        <v>0.79</v>
      </c>
      <c r="L1144" s="182" t="n">
        <v>12</v>
      </c>
      <c r="M1144" s="182" t="n">
        <v>0</v>
      </c>
      <c r="N1144" s="182" t="n">
        <v>10.01</v>
      </c>
      <c r="O1144" s="183" t="n">
        <v>0</v>
      </c>
      <c r="P1144" s="183" t="n">
        <v>82</v>
      </c>
      <c r="Q1144" s="184" t="n">
        <v>0</v>
      </c>
      <c r="R1144" s="184" t="n">
        <v>1533.4</v>
      </c>
      <c r="S1144" s="183" t="n">
        <v>0</v>
      </c>
      <c r="T1144" s="183" t="n">
        <v>0</v>
      </c>
      <c r="U1144" s="182" t="n">
        <v>0</v>
      </c>
      <c r="V1144" s="182" t="n">
        <v>0</v>
      </c>
      <c r="W1144" s="182" t="n">
        <v>0</v>
      </c>
      <c r="X1144" s="182" t="n">
        <v>0.71</v>
      </c>
      <c r="Y1144" s="182" t="n">
        <v>0</v>
      </c>
      <c r="Z1144" s="182" t="n">
        <v>0</v>
      </c>
      <c r="AA1144" s="182" t="n">
        <v>0</v>
      </c>
      <c r="AB1144" s="182" t="n">
        <v>0</v>
      </c>
      <c r="AC1144" s="182" t="n">
        <v>0</v>
      </c>
      <c r="AD1144" s="182" t="n">
        <v>0</v>
      </c>
      <c r="AE1144" s="182" t="n">
        <v>0</v>
      </c>
      <c r="AF1144" s="182" t="n">
        <v>0</v>
      </c>
      <c r="AG1144" s="182" t="n">
        <v>0</v>
      </c>
      <c r="AH1144" s="182" t="n">
        <v>0</v>
      </c>
      <c r="AI1144" s="182" t="n">
        <v>0</v>
      </c>
      <c r="AJ1144" s="182" t="n">
        <v>0</v>
      </c>
      <c r="AK1144" s="182" t="n">
        <v>0</v>
      </c>
      <c r="AL1144" s="182" t="n">
        <v>0</v>
      </c>
      <c r="AM1144" s="182" t="n">
        <v>0.08</v>
      </c>
      <c r="AN1144" s="182" t="n">
        <v>0</v>
      </c>
    </row>
    <row r="1145">
      <c r="A1145" s="155" t="n">
        <v>46087</v>
      </c>
      <c r="B1145" s="156" t="inlineStr">
        <is>
          <t>DS</t>
        </is>
      </c>
      <c r="C1145" s="156" t="inlineStr">
        <is>
          <t>EX-332</t>
        </is>
      </c>
      <c r="D1145" s="156" t="inlineStr">
        <is>
          <t>PC 300-8MO</t>
        </is>
      </c>
      <c r="E1145" s="156" t="inlineStr">
        <is>
          <t>Excavator</t>
        </is>
      </c>
      <c r="F1145" s="156" t="inlineStr">
        <is>
          <t>Cleaning Coal</t>
        </is>
      </c>
      <c r="G1145" s="182" t="n">
        <v>10.06</v>
      </c>
      <c r="H1145" s="182" t="n">
        <v>0</v>
      </c>
      <c r="I1145" s="182" t="n">
        <v>0.17</v>
      </c>
      <c r="J1145" s="182" t="n">
        <v>0.17</v>
      </c>
      <c r="K1145" s="182" t="n">
        <v>1.77</v>
      </c>
      <c r="L1145" s="182" t="n">
        <v>12</v>
      </c>
      <c r="M1145" s="182" t="n">
        <v>0</v>
      </c>
      <c r="N1145" s="182" t="n">
        <v>0</v>
      </c>
      <c r="O1145" s="183" t="n">
        <v>0</v>
      </c>
      <c r="P1145" s="183" t="n">
        <v>0</v>
      </c>
      <c r="Q1145" s="184" t="n">
        <v>0</v>
      </c>
      <c r="R1145" s="184" t="n">
        <v>0</v>
      </c>
      <c r="S1145" s="183" t="n">
        <v>0</v>
      </c>
      <c r="T1145" s="183" t="n">
        <v>0</v>
      </c>
      <c r="U1145" s="182" t="n">
        <v>0</v>
      </c>
      <c r="V1145" s="182" t="n">
        <v>0</v>
      </c>
      <c r="W1145" s="182" t="n">
        <v>0</v>
      </c>
      <c r="X1145" s="182" t="n">
        <v>1.24</v>
      </c>
      <c r="Y1145" s="182" t="n">
        <v>0</v>
      </c>
      <c r="Z1145" s="182" t="n">
        <v>0</v>
      </c>
      <c r="AA1145" s="182" t="n">
        <v>0</v>
      </c>
      <c r="AB1145" s="182" t="n">
        <v>0</v>
      </c>
      <c r="AC1145" s="182" t="n">
        <v>0</v>
      </c>
      <c r="AD1145" s="182" t="n">
        <v>0</v>
      </c>
      <c r="AE1145" s="182" t="n">
        <v>0</v>
      </c>
      <c r="AF1145" s="182" t="n">
        <v>0</v>
      </c>
      <c r="AG1145" s="182" t="n">
        <v>0</v>
      </c>
      <c r="AH1145" s="182" t="n">
        <v>0.43</v>
      </c>
      <c r="AI1145" s="182" t="n">
        <v>0</v>
      </c>
      <c r="AJ1145" s="182" t="n">
        <v>0</v>
      </c>
      <c r="AK1145" s="182" t="n">
        <v>0</v>
      </c>
      <c r="AL1145" s="182" t="n">
        <v>0</v>
      </c>
      <c r="AM1145" s="182" t="n">
        <v>0.1</v>
      </c>
      <c r="AN1145" s="182" t="n">
        <v>0</v>
      </c>
    </row>
    <row r="1146">
      <c r="A1146" s="155" t="n">
        <v>46087</v>
      </c>
      <c r="B1146" s="156" t="inlineStr">
        <is>
          <t>DS</t>
        </is>
      </c>
      <c r="C1146" s="156" t="inlineStr">
        <is>
          <t>EX-333</t>
        </is>
      </c>
      <c r="D1146" s="156" t="inlineStr">
        <is>
          <t>PC 300-8MO</t>
        </is>
      </c>
      <c r="E1146" s="156" t="inlineStr">
        <is>
          <t>Excavator</t>
        </is>
      </c>
      <c r="F1146" s="156" t="inlineStr">
        <is>
          <t>Cleaning Coal</t>
        </is>
      </c>
      <c r="G1146" s="182" t="n">
        <v>10.95</v>
      </c>
      <c r="H1146" s="182" t="n">
        <v>0</v>
      </c>
      <c r="I1146" s="182" t="n">
        <v>1.05</v>
      </c>
      <c r="J1146" s="182" t="n">
        <v>1.05</v>
      </c>
      <c r="K1146" s="182" t="n">
        <v>0</v>
      </c>
      <c r="L1146" s="182" t="n">
        <v>12</v>
      </c>
      <c r="M1146" s="182" t="n">
        <v>0</v>
      </c>
      <c r="N1146" s="182" t="n">
        <v>0</v>
      </c>
      <c r="O1146" s="183" t="n">
        <v>0</v>
      </c>
      <c r="P1146" s="183" t="n">
        <v>0</v>
      </c>
      <c r="Q1146" s="184" t="n">
        <v>0</v>
      </c>
      <c r="R1146" s="184" t="n">
        <v>0</v>
      </c>
      <c r="S1146" s="183" t="n">
        <v>0</v>
      </c>
      <c r="T1146" s="183" t="n">
        <v>0</v>
      </c>
      <c r="U1146" s="182" t="n">
        <v>0</v>
      </c>
      <c r="V1146" s="182" t="n">
        <v>0</v>
      </c>
      <c r="W1146" s="182" t="n">
        <v>0</v>
      </c>
      <c r="X1146" s="182" t="n">
        <v>0</v>
      </c>
      <c r="Y1146" s="182" t="n">
        <v>0</v>
      </c>
      <c r="Z1146" s="182" t="n">
        <v>0</v>
      </c>
      <c r="AA1146" s="182" t="n">
        <v>0</v>
      </c>
      <c r="AB1146" s="182" t="n">
        <v>0</v>
      </c>
      <c r="AC1146" s="182" t="n">
        <v>0</v>
      </c>
      <c r="AD1146" s="182" t="n">
        <v>0</v>
      </c>
      <c r="AE1146" s="182" t="n">
        <v>0</v>
      </c>
      <c r="AF1146" s="182" t="n">
        <v>0</v>
      </c>
      <c r="AG1146" s="182" t="n">
        <v>0</v>
      </c>
      <c r="AH1146" s="182" t="n">
        <v>0</v>
      </c>
      <c r="AI1146" s="182" t="n">
        <v>0</v>
      </c>
      <c r="AJ1146" s="182" t="n">
        <v>0</v>
      </c>
      <c r="AK1146" s="182" t="n">
        <v>0</v>
      </c>
      <c r="AL1146" s="182" t="n">
        <v>0</v>
      </c>
      <c r="AM1146" s="182" t="n">
        <v>0</v>
      </c>
      <c r="AN1146" s="182" t="n">
        <v>0</v>
      </c>
    </row>
    <row r="1147">
      <c r="A1147" s="155" t="n">
        <v>46087</v>
      </c>
      <c r="B1147" s="156" t="inlineStr">
        <is>
          <t>DS</t>
        </is>
      </c>
      <c r="C1147" s="156" t="inlineStr">
        <is>
          <t>EX-336</t>
        </is>
      </c>
      <c r="D1147" s="156" t="inlineStr">
        <is>
          <t>PC 300-8MO</t>
        </is>
      </c>
      <c r="E1147" s="156" t="inlineStr">
        <is>
          <t>Excavator</t>
        </is>
      </c>
      <c r="F1147" s="156" t="inlineStr">
        <is>
          <t>Support Washing Plant</t>
        </is>
      </c>
      <c r="G1147" s="182" t="n">
        <v>9.5</v>
      </c>
      <c r="H1147" s="182" t="n">
        <v>0</v>
      </c>
      <c r="I1147" s="182" t="n">
        <v>0</v>
      </c>
      <c r="J1147" s="182" t="n">
        <v>0</v>
      </c>
      <c r="K1147" s="182" t="n">
        <v>2.5</v>
      </c>
      <c r="L1147" s="182" t="n">
        <v>12</v>
      </c>
      <c r="M1147" s="182" t="n">
        <v>0</v>
      </c>
      <c r="N1147" s="182" t="n">
        <v>0</v>
      </c>
      <c r="O1147" s="183" t="n">
        <v>0</v>
      </c>
      <c r="P1147" s="183" t="n">
        <v>0</v>
      </c>
      <c r="Q1147" s="184" t="n">
        <v>0</v>
      </c>
      <c r="R1147" s="184" t="n">
        <v>0</v>
      </c>
      <c r="S1147" s="183" t="n">
        <v>0</v>
      </c>
      <c r="T1147" s="183" t="n">
        <v>0</v>
      </c>
      <c r="U1147" s="182" t="n">
        <v>0</v>
      </c>
      <c r="V1147" s="182" t="n">
        <v>0</v>
      </c>
      <c r="W1147" s="182" t="n">
        <v>0</v>
      </c>
      <c r="X1147" s="182" t="n">
        <v>0.83</v>
      </c>
      <c r="Y1147" s="182" t="n">
        <v>0</v>
      </c>
      <c r="Z1147" s="182" t="n">
        <v>0</v>
      </c>
      <c r="AA1147" s="182" t="n">
        <v>0</v>
      </c>
      <c r="AB1147" s="182" t="n">
        <v>0</v>
      </c>
      <c r="AC1147" s="182" t="n">
        <v>0</v>
      </c>
      <c r="AD1147" s="182" t="n">
        <v>0</v>
      </c>
      <c r="AE1147" s="182" t="n">
        <v>0</v>
      </c>
      <c r="AF1147" s="182" t="n">
        <v>0</v>
      </c>
      <c r="AG1147" s="182" t="n">
        <v>0</v>
      </c>
      <c r="AH1147" s="182" t="n">
        <v>0</v>
      </c>
      <c r="AI1147" s="182" t="n">
        <v>0</v>
      </c>
      <c r="AJ1147" s="182" t="n">
        <v>0</v>
      </c>
      <c r="AK1147" s="182" t="n">
        <v>1.6</v>
      </c>
      <c r="AL1147" s="182" t="n">
        <v>0</v>
      </c>
      <c r="AM1147" s="182" t="n">
        <v>0.07000000000000001</v>
      </c>
      <c r="AN1147" s="182" t="n">
        <v>0</v>
      </c>
    </row>
    <row r="1148">
      <c r="A1148" s="155" t="n">
        <v>46087</v>
      </c>
      <c r="B1148" s="156" t="inlineStr">
        <is>
          <t>DS</t>
        </is>
      </c>
      <c r="C1148" s="156" t="inlineStr">
        <is>
          <t>EX-335</t>
        </is>
      </c>
      <c r="D1148" s="156" t="inlineStr">
        <is>
          <t>PC 300-8MO</t>
        </is>
      </c>
      <c r="E1148" s="156" t="inlineStr">
        <is>
          <t>Excavator</t>
        </is>
      </c>
      <c r="F1148" s="156" t="inlineStr">
        <is>
          <t>Loading Dirty Coal &amp; Cleaning Coal</t>
        </is>
      </c>
      <c r="G1148" s="182" t="n">
        <v>1.97</v>
      </c>
      <c r="H1148" s="182" t="n">
        <v>0</v>
      </c>
      <c r="I1148" s="182" t="n">
        <v>9</v>
      </c>
      <c r="J1148" s="182" t="n">
        <v>9</v>
      </c>
      <c r="K1148" s="182" t="n">
        <v>1.03</v>
      </c>
      <c r="L1148" s="182" t="n">
        <v>12</v>
      </c>
      <c r="M1148" s="182" t="n">
        <v>0</v>
      </c>
      <c r="N1148" s="182" t="n">
        <v>1.01</v>
      </c>
      <c r="O1148" s="183" t="n">
        <v>0</v>
      </c>
      <c r="P1148" s="183" t="n">
        <v>0</v>
      </c>
      <c r="Q1148" s="184" t="n">
        <v>0</v>
      </c>
      <c r="R1148" s="184" t="n">
        <v>0</v>
      </c>
      <c r="S1148" s="183" t="n">
        <v>0</v>
      </c>
      <c r="T1148" s="183" t="n">
        <v>0</v>
      </c>
      <c r="U1148" s="182" t="n">
        <v>0</v>
      </c>
      <c r="V1148" s="182" t="n">
        <v>0</v>
      </c>
      <c r="W1148" s="182" t="n">
        <v>0</v>
      </c>
      <c r="X1148" s="182" t="n">
        <v>0.95</v>
      </c>
      <c r="Y1148" s="182" t="n">
        <v>0</v>
      </c>
      <c r="Z1148" s="182" t="n">
        <v>0</v>
      </c>
      <c r="AA1148" s="182" t="n">
        <v>0</v>
      </c>
      <c r="AB1148" s="182" t="n">
        <v>0</v>
      </c>
      <c r="AC1148" s="182" t="n">
        <v>0</v>
      </c>
      <c r="AD1148" s="182" t="n">
        <v>0</v>
      </c>
      <c r="AE1148" s="182" t="n">
        <v>0</v>
      </c>
      <c r="AF1148" s="182" t="n">
        <v>0</v>
      </c>
      <c r="AG1148" s="182" t="n">
        <v>0</v>
      </c>
      <c r="AH1148" s="182" t="n">
        <v>0</v>
      </c>
      <c r="AI1148" s="182" t="n">
        <v>0</v>
      </c>
      <c r="AJ1148" s="182" t="n">
        <v>0</v>
      </c>
      <c r="AK1148" s="182" t="n">
        <v>0</v>
      </c>
      <c r="AL1148" s="182" t="n">
        <v>0</v>
      </c>
      <c r="AM1148" s="182" t="n">
        <v>0.08</v>
      </c>
      <c r="AN1148" s="182" t="n">
        <v>0</v>
      </c>
    </row>
    <row r="1149">
      <c r="A1149" s="155" t="n">
        <v>46087</v>
      </c>
      <c r="B1149" s="156" t="inlineStr">
        <is>
          <t>DS</t>
        </is>
      </c>
      <c r="C1149" s="156" t="inlineStr">
        <is>
          <t>EX-754</t>
        </is>
      </c>
      <c r="D1149" s="156" t="inlineStr">
        <is>
          <t>SY750H-PRO</t>
        </is>
      </c>
      <c r="E1149" s="156" t="inlineStr">
        <is>
          <t>Excavator</t>
        </is>
      </c>
      <c r="F1149" s="156" t="inlineStr">
        <is>
          <t>Loading OB</t>
        </is>
      </c>
      <c r="G1149" s="182" t="n">
        <v>6.67</v>
      </c>
      <c r="H1149" s="182" t="n">
        <v>0</v>
      </c>
      <c r="I1149" s="182" t="n">
        <v>4.33</v>
      </c>
      <c r="J1149" s="182" t="n">
        <v>4.33</v>
      </c>
      <c r="K1149" s="182" t="n">
        <v>1</v>
      </c>
      <c r="L1149" s="182" t="n">
        <v>12</v>
      </c>
      <c r="M1149" s="182" t="n">
        <v>6.07</v>
      </c>
      <c r="N1149" s="182" t="n">
        <v>0</v>
      </c>
      <c r="O1149" s="183" t="n">
        <v>72</v>
      </c>
      <c r="P1149" s="183" t="n">
        <v>0</v>
      </c>
      <c r="Q1149" s="184" t="n">
        <v>1468.8</v>
      </c>
      <c r="R1149" s="184" t="n">
        <v>0</v>
      </c>
      <c r="S1149" s="183" t="n">
        <v>0</v>
      </c>
      <c r="T1149" s="183" t="n">
        <v>0</v>
      </c>
      <c r="U1149" s="182" t="n">
        <v>0</v>
      </c>
      <c r="V1149" s="182" t="n">
        <v>0</v>
      </c>
      <c r="W1149" s="182" t="n">
        <v>0</v>
      </c>
      <c r="X1149" s="182" t="n">
        <v>0.92</v>
      </c>
      <c r="Y1149" s="182" t="n">
        <v>0</v>
      </c>
      <c r="Z1149" s="182" t="n">
        <v>0</v>
      </c>
      <c r="AA1149" s="182" t="n">
        <v>0</v>
      </c>
      <c r="AB1149" s="182" t="n">
        <v>0</v>
      </c>
      <c r="AC1149" s="182" t="n">
        <v>0</v>
      </c>
      <c r="AD1149" s="182" t="n">
        <v>0</v>
      </c>
      <c r="AE1149" s="182" t="n">
        <v>0</v>
      </c>
      <c r="AF1149" s="182" t="n">
        <v>0</v>
      </c>
      <c r="AG1149" s="182" t="n">
        <v>0</v>
      </c>
      <c r="AH1149" s="182" t="n">
        <v>0</v>
      </c>
      <c r="AI1149" s="182" t="n">
        <v>0</v>
      </c>
      <c r="AJ1149" s="182" t="n">
        <v>0</v>
      </c>
      <c r="AK1149" s="182" t="n">
        <v>0</v>
      </c>
      <c r="AL1149" s="182" t="n">
        <v>0</v>
      </c>
      <c r="AM1149" s="182" t="n">
        <v>0.07000000000000001</v>
      </c>
      <c r="AN1149" s="182" t="n">
        <v>0</v>
      </c>
    </row>
    <row r="1150">
      <c r="A1150" s="155" t="n">
        <v>46087</v>
      </c>
      <c r="B1150" s="156" t="inlineStr">
        <is>
          <t>DS</t>
        </is>
      </c>
      <c r="C1150" s="156" t="inlineStr">
        <is>
          <t>EX-755</t>
        </is>
      </c>
      <c r="D1150" s="156" t="inlineStr">
        <is>
          <t>SY750H-PRO</t>
        </is>
      </c>
      <c r="E1150" s="156" t="inlineStr">
        <is>
          <t>Excavator</t>
        </is>
      </c>
      <c r="F1150" s="156" t="inlineStr">
        <is>
          <t>Loading OB</t>
        </is>
      </c>
      <c r="G1150" s="182" t="n">
        <v>10.64</v>
      </c>
      <c r="H1150" s="182" t="n">
        <v>0</v>
      </c>
      <c r="I1150" s="182" t="n">
        <v>0</v>
      </c>
      <c r="J1150" s="182" t="n">
        <v>0</v>
      </c>
      <c r="K1150" s="182" t="n">
        <v>1.36</v>
      </c>
      <c r="L1150" s="182" t="n">
        <v>12</v>
      </c>
      <c r="M1150" s="182" t="n">
        <v>10.47</v>
      </c>
      <c r="N1150" s="182" t="n">
        <v>0</v>
      </c>
      <c r="O1150" s="183" t="n">
        <v>161</v>
      </c>
      <c r="P1150" s="183" t="n">
        <v>0</v>
      </c>
      <c r="Q1150" s="184" t="n">
        <v>3284.4</v>
      </c>
      <c r="R1150" s="184" t="n">
        <v>0</v>
      </c>
      <c r="S1150" s="183" t="n">
        <v>0</v>
      </c>
      <c r="T1150" s="183" t="n">
        <v>0</v>
      </c>
      <c r="U1150" s="182" t="n">
        <v>0</v>
      </c>
      <c r="V1150" s="182" t="n">
        <v>0</v>
      </c>
      <c r="W1150" s="182" t="n">
        <v>0</v>
      </c>
      <c r="X1150" s="182" t="n">
        <v>1.11</v>
      </c>
      <c r="Y1150" s="182" t="n">
        <v>0</v>
      </c>
      <c r="Z1150" s="182" t="n">
        <v>0</v>
      </c>
      <c r="AA1150" s="182" t="n">
        <v>0</v>
      </c>
      <c r="AB1150" s="182" t="n">
        <v>0</v>
      </c>
      <c r="AC1150" s="182" t="n">
        <v>0</v>
      </c>
      <c r="AD1150" s="182" t="n">
        <v>0</v>
      </c>
      <c r="AE1150" s="182" t="n">
        <v>0</v>
      </c>
      <c r="AF1150" s="182" t="n">
        <v>0</v>
      </c>
      <c r="AG1150" s="182" t="n">
        <v>0</v>
      </c>
      <c r="AH1150" s="182" t="n">
        <v>0.16</v>
      </c>
      <c r="AI1150" s="182" t="n">
        <v>0</v>
      </c>
      <c r="AJ1150" s="182" t="n">
        <v>0</v>
      </c>
      <c r="AK1150" s="182" t="n">
        <v>0</v>
      </c>
      <c r="AL1150" s="182" t="n">
        <v>0</v>
      </c>
      <c r="AM1150" s="182" t="n">
        <v>0.09</v>
      </c>
      <c r="AN1150" s="182" t="n">
        <v>0</v>
      </c>
    </row>
    <row r="1151">
      <c r="A1151" s="155" t="n">
        <v>46087</v>
      </c>
      <c r="B1151" s="156" t="inlineStr">
        <is>
          <t>DS</t>
        </is>
      </c>
      <c r="C1151" s="156" t="inlineStr">
        <is>
          <t>EX-752</t>
        </is>
      </c>
      <c r="D1151" s="156" t="inlineStr">
        <is>
          <t>SY750H-PRO</t>
        </is>
      </c>
      <c r="E1151" s="156" t="inlineStr">
        <is>
          <t>Excavator</t>
        </is>
      </c>
      <c r="F1151" s="156" t="inlineStr"/>
      <c r="G1151" s="182" t="n">
        <v>0</v>
      </c>
      <c r="H1151" s="182" t="n">
        <v>0</v>
      </c>
      <c r="I1151" s="182" t="n">
        <v>12</v>
      </c>
      <c r="J1151" s="182" t="n">
        <v>12</v>
      </c>
      <c r="K1151" s="182" t="n">
        <v>0</v>
      </c>
      <c r="L1151" s="182" t="n">
        <v>12</v>
      </c>
      <c r="M1151" s="182" t="n">
        <v>0</v>
      </c>
      <c r="N1151" s="182" t="n">
        <v>0</v>
      </c>
      <c r="O1151" s="183" t="n">
        <v>0</v>
      </c>
      <c r="P1151" s="183" t="n">
        <v>0</v>
      </c>
      <c r="Q1151" s="184" t="n">
        <v>0</v>
      </c>
      <c r="R1151" s="184" t="n">
        <v>0</v>
      </c>
      <c r="S1151" s="183" t="n">
        <v>0</v>
      </c>
      <c r="T1151" s="183" t="n">
        <v>0</v>
      </c>
      <c r="U1151" s="182" t="n">
        <v>0</v>
      </c>
      <c r="V1151" s="182" t="n">
        <v>0</v>
      </c>
      <c r="W1151" s="182" t="n">
        <v>0</v>
      </c>
      <c r="X1151" s="182" t="n">
        <v>0</v>
      </c>
      <c r="Y1151" s="182" t="n">
        <v>0</v>
      </c>
      <c r="Z1151" s="182" t="n">
        <v>0</v>
      </c>
      <c r="AA1151" s="182" t="n">
        <v>0</v>
      </c>
      <c r="AB1151" s="182" t="n">
        <v>0</v>
      </c>
      <c r="AC1151" s="182" t="n">
        <v>0</v>
      </c>
      <c r="AD1151" s="182" t="n">
        <v>0</v>
      </c>
      <c r="AE1151" s="182" t="n">
        <v>0</v>
      </c>
      <c r="AF1151" s="182" t="n">
        <v>0</v>
      </c>
      <c r="AG1151" s="182" t="n">
        <v>0</v>
      </c>
      <c r="AH1151" s="182" t="n">
        <v>0</v>
      </c>
      <c r="AI1151" s="182" t="n">
        <v>0</v>
      </c>
      <c r="AJ1151" s="182" t="n">
        <v>0</v>
      </c>
      <c r="AK1151" s="182" t="n">
        <v>0</v>
      </c>
      <c r="AL1151" s="182" t="n">
        <v>0</v>
      </c>
      <c r="AM1151" s="182" t="n">
        <v>0</v>
      </c>
      <c r="AN1151" s="182" t="n">
        <v>0</v>
      </c>
    </row>
    <row r="1152">
      <c r="A1152" s="155" t="n">
        <v>46087</v>
      </c>
      <c r="B1152" s="156" t="inlineStr">
        <is>
          <t>DS</t>
        </is>
      </c>
      <c r="C1152" s="156" t="inlineStr">
        <is>
          <t>EX-751</t>
        </is>
      </c>
      <c r="D1152" s="156" t="inlineStr">
        <is>
          <t>SY750H-PRO</t>
        </is>
      </c>
      <c r="E1152" s="156" t="inlineStr">
        <is>
          <t>Excavator</t>
        </is>
      </c>
      <c r="F1152" s="156" t="inlineStr"/>
      <c r="G1152" s="182" t="n">
        <v>0</v>
      </c>
      <c r="H1152" s="182" t="n">
        <v>0</v>
      </c>
      <c r="I1152" s="182" t="n">
        <v>12</v>
      </c>
      <c r="J1152" s="182" t="n">
        <v>12</v>
      </c>
      <c r="K1152" s="182" t="n">
        <v>0</v>
      </c>
      <c r="L1152" s="182" t="n">
        <v>12</v>
      </c>
      <c r="M1152" s="182" t="n">
        <v>0</v>
      </c>
      <c r="N1152" s="182" t="n">
        <v>0</v>
      </c>
      <c r="O1152" s="183" t="n">
        <v>0</v>
      </c>
      <c r="P1152" s="183" t="n">
        <v>0</v>
      </c>
      <c r="Q1152" s="184" t="n">
        <v>0</v>
      </c>
      <c r="R1152" s="184" t="n">
        <v>0</v>
      </c>
      <c r="S1152" s="183" t="n">
        <v>0</v>
      </c>
      <c r="T1152" s="183" t="n">
        <v>0</v>
      </c>
      <c r="U1152" s="182" t="n">
        <v>0</v>
      </c>
      <c r="V1152" s="182" t="n">
        <v>0</v>
      </c>
      <c r="W1152" s="182" t="n">
        <v>0</v>
      </c>
      <c r="X1152" s="182" t="n">
        <v>0</v>
      </c>
      <c r="Y1152" s="182" t="n">
        <v>0</v>
      </c>
      <c r="Z1152" s="182" t="n">
        <v>0</v>
      </c>
      <c r="AA1152" s="182" t="n">
        <v>0</v>
      </c>
      <c r="AB1152" s="182" t="n">
        <v>0</v>
      </c>
      <c r="AC1152" s="182" t="n">
        <v>0</v>
      </c>
      <c r="AD1152" s="182" t="n">
        <v>0</v>
      </c>
      <c r="AE1152" s="182" t="n">
        <v>0</v>
      </c>
      <c r="AF1152" s="182" t="n">
        <v>0</v>
      </c>
      <c r="AG1152" s="182" t="n">
        <v>0</v>
      </c>
      <c r="AH1152" s="182" t="n">
        <v>0</v>
      </c>
      <c r="AI1152" s="182" t="n">
        <v>0</v>
      </c>
      <c r="AJ1152" s="182" t="n">
        <v>0</v>
      </c>
      <c r="AK1152" s="182" t="n">
        <v>0</v>
      </c>
      <c r="AL1152" s="182" t="n">
        <v>0</v>
      </c>
      <c r="AM1152" s="182" t="n">
        <v>0</v>
      </c>
      <c r="AN1152" s="182" t="n">
        <v>0</v>
      </c>
    </row>
    <row r="1153">
      <c r="A1153" s="155" t="n">
        <v>46087</v>
      </c>
      <c r="B1153" s="156" t="inlineStr">
        <is>
          <t>DS</t>
        </is>
      </c>
      <c r="C1153" s="156" t="inlineStr">
        <is>
          <t>EX-753</t>
        </is>
      </c>
      <c r="D1153" s="156" t="inlineStr">
        <is>
          <t>SY750H-PRO</t>
        </is>
      </c>
      <c r="E1153" s="156" t="inlineStr">
        <is>
          <t>Excavator</t>
        </is>
      </c>
      <c r="F1153" s="156" t="inlineStr">
        <is>
          <t>Loading OB</t>
        </is>
      </c>
      <c r="G1153" s="182" t="n">
        <v>8.67</v>
      </c>
      <c r="H1153" s="182" t="n">
        <v>0</v>
      </c>
      <c r="I1153" s="182" t="n">
        <v>0</v>
      </c>
      <c r="J1153" s="182" t="n">
        <v>0</v>
      </c>
      <c r="K1153" s="182" t="n">
        <v>3.33</v>
      </c>
      <c r="L1153" s="182" t="n">
        <v>12</v>
      </c>
      <c r="M1153" s="182" t="n">
        <v>8.59</v>
      </c>
      <c r="N1153" s="182" t="n">
        <v>0</v>
      </c>
      <c r="O1153" s="183" t="n">
        <v>141</v>
      </c>
      <c r="P1153" s="183" t="n">
        <v>0</v>
      </c>
      <c r="Q1153" s="184" t="n">
        <v>2876.4</v>
      </c>
      <c r="R1153" s="184" t="n">
        <v>0</v>
      </c>
      <c r="S1153" s="183" t="n">
        <v>0</v>
      </c>
      <c r="T1153" s="183" t="n">
        <v>0</v>
      </c>
      <c r="U1153" s="182" t="n">
        <v>0</v>
      </c>
      <c r="V1153" s="182" t="n">
        <v>0</v>
      </c>
      <c r="W1153" s="182" t="n">
        <v>0</v>
      </c>
      <c r="X1153" s="182" t="n">
        <v>1</v>
      </c>
      <c r="Y1153" s="182" t="n">
        <v>0</v>
      </c>
      <c r="Z1153" s="182" t="n">
        <v>0</v>
      </c>
      <c r="AA1153" s="182" t="n">
        <v>0</v>
      </c>
      <c r="AB1153" s="182" t="n">
        <v>0</v>
      </c>
      <c r="AC1153" s="182" t="n">
        <v>0</v>
      </c>
      <c r="AD1153" s="182" t="n">
        <v>2.25</v>
      </c>
      <c r="AE1153" s="182" t="n">
        <v>0</v>
      </c>
      <c r="AF1153" s="182" t="n">
        <v>0</v>
      </c>
      <c r="AG1153" s="182" t="n">
        <v>0</v>
      </c>
      <c r="AH1153" s="182" t="n">
        <v>0</v>
      </c>
      <c r="AI1153" s="182" t="n">
        <v>0</v>
      </c>
      <c r="AJ1153" s="182" t="n">
        <v>0</v>
      </c>
      <c r="AK1153" s="182" t="n">
        <v>0</v>
      </c>
      <c r="AL1153" s="182" t="n">
        <v>0</v>
      </c>
      <c r="AM1153" s="182" t="n">
        <v>0.08</v>
      </c>
      <c r="AN1153" s="182" t="n">
        <v>0</v>
      </c>
    </row>
    <row r="1154">
      <c r="A1154" s="155" t="n">
        <v>46087</v>
      </c>
      <c r="B1154" s="156" t="inlineStr">
        <is>
          <t>DS</t>
        </is>
      </c>
      <c r="C1154" s="156" t="inlineStr">
        <is>
          <t>GD-012</t>
        </is>
      </c>
      <c r="D1154" s="156" t="inlineStr">
        <is>
          <t>STG 230C - 8S</t>
        </is>
      </c>
      <c r="E1154" s="156" t="inlineStr">
        <is>
          <t>Grader</t>
        </is>
      </c>
      <c r="F1154" s="156" t="inlineStr"/>
      <c r="G1154" s="182" t="n">
        <v>0</v>
      </c>
      <c r="H1154" s="182" t="n">
        <v>0</v>
      </c>
      <c r="I1154" s="182" t="n">
        <v>0</v>
      </c>
      <c r="J1154" s="182" t="n">
        <v>0</v>
      </c>
      <c r="K1154" s="182" t="n">
        <v>12</v>
      </c>
      <c r="L1154" s="182" t="n">
        <v>12</v>
      </c>
      <c r="M1154" s="182" t="n">
        <v>0</v>
      </c>
      <c r="N1154" s="182" t="n">
        <v>0</v>
      </c>
      <c r="O1154" s="183" t="n">
        <v>0</v>
      </c>
      <c r="P1154" s="183" t="n">
        <v>0</v>
      </c>
      <c r="Q1154" s="184" t="n">
        <v>0</v>
      </c>
      <c r="R1154" s="184" t="n">
        <v>0</v>
      </c>
      <c r="S1154" s="183" t="n">
        <v>0</v>
      </c>
      <c r="T1154" s="183" t="n">
        <v>0</v>
      </c>
      <c r="U1154" s="182" t="n">
        <v>0</v>
      </c>
      <c r="V1154" s="182" t="n">
        <v>0</v>
      </c>
      <c r="W1154" s="182" t="n">
        <v>0</v>
      </c>
      <c r="X1154" s="182" t="n">
        <v>1</v>
      </c>
      <c r="Y1154" s="182" t="n">
        <v>0</v>
      </c>
      <c r="Z1154" s="182" t="n">
        <v>0</v>
      </c>
      <c r="AA1154" s="182" t="n">
        <v>0</v>
      </c>
      <c r="AB1154" s="182" t="n">
        <v>0</v>
      </c>
      <c r="AC1154" s="182" t="n">
        <v>0</v>
      </c>
      <c r="AD1154" s="182" t="n">
        <v>0</v>
      </c>
      <c r="AE1154" s="182" t="n">
        <v>0</v>
      </c>
      <c r="AF1154" s="182" t="n">
        <v>0</v>
      </c>
      <c r="AG1154" s="182" t="n">
        <v>0</v>
      </c>
      <c r="AH1154" s="182" t="n">
        <v>0</v>
      </c>
      <c r="AI1154" s="182" t="n">
        <v>0</v>
      </c>
      <c r="AJ1154" s="182" t="n">
        <v>0</v>
      </c>
      <c r="AK1154" s="182" t="n">
        <v>10.92</v>
      </c>
      <c r="AL1154" s="182" t="n">
        <v>0</v>
      </c>
      <c r="AM1154" s="182" t="n">
        <v>0.08</v>
      </c>
      <c r="AN1154" s="182" t="n">
        <v>0</v>
      </c>
    </row>
    <row r="1155">
      <c r="A1155" s="155" t="n">
        <v>46087</v>
      </c>
      <c r="B1155" s="156" t="inlineStr">
        <is>
          <t>DS</t>
        </is>
      </c>
      <c r="C1155" s="156" t="inlineStr">
        <is>
          <t>GD-011</t>
        </is>
      </c>
      <c r="D1155" s="156" t="inlineStr">
        <is>
          <t>STG 230C - 8S</t>
        </is>
      </c>
      <c r="E1155" s="156" t="inlineStr">
        <is>
          <t>Grader</t>
        </is>
      </c>
      <c r="F1155" s="156" t="inlineStr"/>
      <c r="G1155" s="182" t="n">
        <v>0</v>
      </c>
      <c r="H1155" s="182" t="n">
        <v>0</v>
      </c>
      <c r="I1155" s="182" t="n">
        <v>12</v>
      </c>
      <c r="J1155" s="182" t="n">
        <v>12</v>
      </c>
      <c r="K1155" s="182" t="n">
        <v>0</v>
      </c>
      <c r="L1155" s="182" t="n">
        <v>12</v>
      </c>
      <c r="M1155" s="182" t="n">
        <v>0</v>
      </c>
      <c r="N1155" s="182" t="n">
        <v>0</v>
      </c>
      <c r="O1155" s="183" t="n">
        <v>0</v>
      </c>
      <c r="P1155" s="183" t="n">
        <v>0</v>
      </c>
      <c r="Q1155" s="184" t="n">
        <v>0</v>
      </c>
      <c r="R1155" s="184" t="n">
        <v>0</v>
      </c>
      <c r="S1155" s="183" t="n">
        <v>0</v>
      </c>
      <c r="T1155" s="183" t="n">
        <v>0</v>
      </c>
      <c r="U1155" s="182" t="n">
        <v>0</v>
      </c>
      <c r="V1155" s="182" t="n">
        <v>0</v>
      </c>
      <c r="W1155" s="182" t="n">
        <v>0</v>
      </c>
      <c r="X1155" s="182" t="n">
        <v>0</v>
      </c>
      <c r="Y1155" s="182" t="n">
        <v>0</v>
      </c>
      <c r="Z1155" s="182" t="n">
        <v>0</v>
      </c>
      <c r="AA1155" s="182" t="n">
        <v>0</v>
      </c>
      <c r="AB1155" s="182" t="n">
        <v>0</v>
      </c>
      <c r="AC1155" s="182" t="n">
        <v>0</v>
      </c>
      <c r="AD1155" s="182" t="n">
        <v>0</v>
      </c>
      <c r="AE1155" s="182" t="n">
        <v>0</v>
      </c>
      <c r="AF1155" s="182" t="n">
        <v>0</v>
      </c>
      <c r="AG1155" s="182" t="n">
        <v>0</v>
      </c>
      <c r="AH1155" s="182" t="n">
        <v>0</v>
      </c>
      <c r="AI1155" s="182" t="n">
        <v>0</v>
      </c>
      <c r="AJ1155" s="182" t="n">
        <v>0</v>
      </c>
      <c r="AK1155" s="182" t="n">
        <v>0</v>
      </c>
      <c r="AL1155" s="182" t="n">
        <v>0</v>
      </c>
      <c r="AM1155" s="182" t="n">
        <v>0</v>
      </c>
      <c r="AN1155" s="182" t="n">
        <v>0</v>
      </c>
    </row>
    <row r="1156">
      <c r="A1156" s="155" t="n">
        <v>46087</v>
      </c>
      <c r="B1156" s="156" t="inlineStr">
        <is>
          <t>DS</t>
        </is>
      </c>
      <c r="C1156" s="156" t="inlineStr">
        <is>
          <t>GD-013</t>
        </is>
      </c>
      <c r="D1156" s="156" t="inlineStr">
        <is>
          <t>STG 265C - 10</t>
        </is>
      </c>
      <c r="E1156" s="156" t="inlineStr">
        <is>
          <t>Grader</t>
        </is>
      </c>
      <c r="F1156" s="156" t="inlineStr">
        <is>
          <t>Road Maintenance</t>
        </is>
      </c>
      <c r="G1156" s="182" t="n">
        <v>9.15</v>
      </c>
      <c r="H1156" s="182" t="n">
        <v>0</v>
      </c>
      <c r="I1156" s="182" t="n">
        <v>0</v>
      </c>
      <c r="J1156" s="182" t="n">
        <v>0</v>
      </c>
      <c r="K1156" s="182" t="n">
        <v>2.85</v>
      </c>
      <c r="L1156" s="182" t="n">
        <v>12</v>
      </c>
      <c r="M1156" s="182" t="n">
        <v>0</v>
      </c>
      <c r="N1156" s="182" t="n">
        <v>0</v>
      </c>
      <c r="O1156" s="183" t="n">
        <v>0</v>
      </c>
      <c r="P1156" s="183" t="n">
        <v>0</v>
      </c>
      <c r="Q1156" s="184" t="n">
        <v>0</v>
      </c>
      <c r="R1156" s="184" t="n">
        <v>0</v>
      </c>
      <c r="S1156" s="183" t="n">
        <v>0</v>
      </c>
      <c r="T1156" s="183" t="n">
        <v>0</v>
      </c>
      <c r="U1156" s="182" t="n">
        <v>0</v>
      </c>
      <c r="V1156" s="182" t="n">
        <v>0</v>
      </c>
      <c r="W1156" s="182" t="n">
        <v>0</v>
      </c>
      <c r="X1156" s="182" t="n">
        <v>1.14</v>
      </c>
      <c r="Y1156" s="182" t="n">
        <v>0</v>
      </c>
      <c r="Z1156" s="182" t="n">
        <v>0</v>
      </c>
      <c r="AA1156" s="182" t="n">
        <v>0</v>
      </c>
      <c r="AB1156" s="182" t="n">
        <v>0</v>
      </c>
      <c r="AC1156" s="182" t="n">
        <v>0</v>
      </c>
      <c r="AD1156" s="182" t="n">
        <v>0</v>
      </c>
      <c r="AE1156" s="182" t="n">
        <v>0</v>
      </c>
      <c r="AF1156" s="182" t="n">
        <v>0</v>
      </c>
      <c r="AG1156" s="182" t="n">
        <v>0</v>
      </c>
      <c r="AH1156" s="182" t="n">
        <v>0</v>
      </c>
      <c r="AI1156" s="182" t="n">
        <v>0</v>
      </c>
      <c r="AJ1156" s="182" t="n">
        <v>0</v>
      </c>
      <c r="AK1156" s="182" t="n">
        <v>1.62</v>
      </c>
      <c r="AL1156" s="182" t="n">
        <v>0</v>
      </c>
      <c r="AM1156" s="182" t="n">
        <v>0.09</v>
      </c>
      <c r="AN1156" s="182" t="n">
        <v>0</v>
      </c>
    </row>
    <row r="1157">
      <c r="A1157" s="155" t="n">
        <v>46087</v>
      </c>
      <c r="B1157" s="156" t="inlineStr">
        <is>
          <t>DS</t>
        </is>
      </c>
      <c r="C1157" s="156" t="inlineStr">
        <is>
          <t>GD-014</t>
        </is>
      </c>
      <c r="D1157" s="156" t="inlineStr">
        <is>
          <t>STG 335C - 10</t>
        </is>
      </c>
      <c r="E1157" s="156" t="inlineStr">
        <is>
          <t>Grader</t>
        </is>
      </c>
      <c r="F1157" s="156" t="inlineStr">
        <is>
          <t>Road Maintenance</t>
        </is>
      </c>
      <c r="G1157" s="182" t="n">
        <v>9.68</v>
      </c>
      <c r="H1157" s="182" t="n">
        <v>0</v>
      </c>
      <c r="I1157" s="182" t="n">
        <v>1.95</v>
      </c>
      <c r="J1157" s="182" t="n">
        <v>1.95</v>
      </c>
      <c r="K1157" s="182" t="n">
        <v>0.37</v>
      </c>
      <c r="L1157" s="182" t="n">
        <v>12</v>
      </c>
      <c r="M1157" s="182" t="n">
        <v>0</v>
      </c>
      <c r="N1157" s="182" t="n">
        <v>0</v>
      </c>
      <c r="O1157" s="183" t="n">
        <v>0</v>
      </c>
      <c r="P1157" s="183" t="n">
        <v>0</v>
      </c>
      <c r="Q1157" s="184" t="n">
        <v>0</v>
      </c>
      <c r="R1157" s="184" t="n">
        <v>0</v>
      </c>
      <c r="S1157" s="183" t="n">
        <v>0</v>
      </c>
      <c r="T1157" s="183" t="n">
        <v>0</v>
      </c>
      <c r="U1157" s="182" t="n">
        <v>0</v>
      </c>
      <c r="V1157" s="182" t="n">
        <v>0</v>
      </c>
      <c r="W1157" s="182" t="n">
        <v>0</v>
      </c>
      <c r="X1157" s="182" t="n">
        <v>0.25</v>
      </c>
      <c r="Y1157" s="182" t="n">
        <v>0</v>
      </c>
      <c r="Z1157" s="182" t="n">
        <v>0</v>
      </c>
      <c r="AA1157" s="182" t="n">
        <v>0</v>
      </c>
      <c r="AB1157" s="182" t="n">
        <v>0</v>
      </c>
      <c r="AC1157" s="182" t="n">
        <v>0</v>
      </c>
      <c r="AD1157" s="182" t="n">
        <v>0</v>
      </c>
      <c r="AE1157" s="182" t="n">
        <v>0</v>
      </c>
      <c r="AF1157" s="182" t="n">
        <v>0</v>
      </c>
      <c r="AG1157" s="182" t="n">
        <v>0</v>
      </c>
      <c r="AH1157" s="182" t="n">
        <v>0</v>
      </c>
      <c r="AI1157" s="182" t="n">
        <v>0</v>
      </c>
      <c r="AJ1157" s="182" t="n">
        <v>0</v>
      </c>
      <c r="AK1157" s="182" t="n">
        <v>0</v>
      </c>
      <c r="AL1157" s="182" t="n">
        <v>0</v>
      </c>
      <c r="AM1157" s="182" t="n">
        <v>0.12</v>
      </c>
      <c r="AN1157" s="182" t="n">
        <v>0</v>
      </c>
    </row>
    <row r="1158">
      <c r="A1158" s="155" t="n">
        <v>46087</v>
      </c>
      <c r="B1158" s="156" t="inlineStr">
        <is>
          <t>DS</t>
        </is>
      </c>
      <c r="C1158" s="156" t="inlineStr">
        <is>
          <t>DT-809</t>
        </is>
      </c>
      <c r="D1158" s="156" t="inlineStr">
        <is>
          <t>SKT 80S</t>
        </is>
      </c>
      <c r="E1158" s="156" t="inlineStr">
        <is>
          <t>Hauler</t>
        </is>
      </c>
      <c r="F1158" s="156" t="inlineStr"/>
      <c r="G1158" s="182" t="n">
        <v>0</v>
      </c>
      <c r="H1158" s="182" t="n">
        <v>0</v>
      </c>
      <c r="I1158" s="182" t="n">
        <v>0</v>
      </c>
      <c r="J1158" s="182" t="n">
        <v>0</v>
      </c>
      <c r="K1158" s="182" t="n">
        <v>12</v>
      </c>
      <c r="L1158" s="182" t="n">
        <v>12</v>
      </c>
      <c r="M1158" s="182" t="n">
        <v>0</v>
      </c>
      <c r="N1158" s="182" t="n">
        <v>0</v>
      </c>
      <c r="O1158" s="183" t="n">
        <v>0</v>
      </c>
      <c r="P1158" s="183" t="n">
        <v>0</v>
      </c>
      <c r="Q1158" s="184" t="n">
        <v>0</v>
      </c>
      <c r="R1158" s="184" t="n">
        <v>0</v>
      </c>
      <c r="S1158" s="183" t="n">
        <v>0</v>
      </c>
      <c r="T1158" s="183" t="n">
        <v>0</v>
      </c>
      <c r="U1158" s="182" t="n">
        <v>0</v>
      </c>
      <c r="V1158" s="182" t="n">
        <v>0</v>
      </c>
      <c r="W1158" s="182" t="n">
        <v>0</v>
      </c>
      <c r="X1158" s="182" t="n">
        <v>1</v>
      </c>
      <c r="Y1158" s="182" t="n">
        <v>0</v>
      </c>
      <c r="Z1158" s="182" t="n">
        <v>0</v>
      </c>
      <c r="AA1158" s="182" t="n">
        <v>0</v>
      </c>
      <c r="AB1158" s="182" t="n">
        <v>0</v>
      </c>
      <c r="AC1158" s="182" t="n">
        <v>0</v>
      </c>
      <c r="AD1158" s="182" t="n">
        <v>0</v>
      </c>
      <c r="AE1158" s="182" t="n">
        <v>0</v>
      </c>
      <c r="AF1158" s="182" t="n">
        <v>0</v>
      </c>
      <c r="AG1158" s="182" t="n">
        <v>0</v>
      </c>
      <c r="AH1158" s="182" t="n">
        <v>0</v>
      </c>
      <c r="AI1158" s="182" t="n">
        <v>0</v>
      </c>
      <c r="AJ1158" s="182" t="n">
        <v>0</v>
      </c>
      <c r="AK1158" s="182" t="n">
        <v>10.92</v>
      </c>
      <c r="AL1158" s="182" t="n">
        <v>0</v>
      </c>
      <c r="AM1158" s="182" t="n">
        <v>0.08</v>
      </c>
      <c r="AN1158" s="182" t="n">
        <v>0</v>
      </c>
    </row>
    <row r="1159">
      <c r="A1159" s="155" t="n">
        <v>46087</v>
      </c>
      <c r="B1159" s="156" t="inlineStr">
        <is>
          <t>DS</t>
        </is>
      </c>
      <c r="C1159" s="156" t="inlineStr">
        <is>
          <t>DT-806</t>
        </is>
      </c>
      <c r="D1159" s="156" t="inlineStr">
        <is>
          <t>SKT 80S</t>
        </is>
      </c>
      <c r="E1159" s="156" t="inlineStr">
        <is>
          <t>Hauler</t>
        </is>
      </c>
      <c r="F1159" s="156" t="inlineStr"/>
      <c r="G1159" s="182" t="n">
        <v>0</v>
      </c>
      <c r="H1159" s="182" t="n">
        <v>0</v>
      </c>
      <c r="I1159" s="182" t="n">
        <v>0</v>
      </c>
      <c r="J1159" s="182" t="n">
        <v>0</v>
      </c>
      <c r="K1159" s="182" t="n">
        <v>12</v>
      </c>
      <c r="L1159" s="182" t="n">
        <v>12</v>
      </c>
      <c r="M1159" s="182" t="n">
        <v>0</v>
      </c>
      <c r="N1159" s="182" t="n">
        <v>0</v>
      </c>
      <c r="O1159" s="183" t="n">
        <v>0</v>
      </c>
      <c r="P1159" s="183" t="n">
        <v>0</v>
      </c>
      <c r="Q1159" s="184" t="n">
        <v>0</v>
      </c>
      <c r="R1159" s="184" t="n">
        <v>0</v>
      </c>
      <c r="S1159" s="183" t="n">
        <v>0</v>
      </c>
      <c r="T1159" s="183" t="n">
        <v>0</v>
      </c>
      <c r="U1159" s="182" t="n">
        <v>0</v>
      </c>
      <c r="V1159" s="182" t="n">
        <v>0</v>
      </c>
      <c r="W1159" s="182" t="n">
        <v>0</v>
      </c>
      <c r="X1159" s="182" t="n">
        <v>1</v>
      </c>
      <c r="Y1159" s="182" t="n">
        <v>0</v>
      </c>
      <c r="Z1159" s="182" t="n">
        <v>0</v>
      </c>
      <c r="AA1159" s="182" t="n">
        <v>0</v>
      </c>
      <c r="AB1159" s="182" t="n">
        <v>0</v>
      </c>
      <c r="AC1159" s="182" t="n">
        <v>0</v>
      </c>
      <c r="AD1159" s="182" t="n">
        <v>0</v>
      </c>
      <c r="AE1159" s="182" t="n">
        <v>0</v>
      </c>
      <c r="AF1159" s="182" t="n">
        <v>0</v>
      </c>
      <c r="AG1159" s="182" t="n">
        <v>0</v>
      </c>
      <c r="AH1159" s="182" t="n">
        <v>0</v>
      </c>
      <c r="AI1159" s="182" t="n">
        <v>0</v>
      </c>
      <c r="AJ1159" s="182" t="n">
        <v>0</v>
      </c>
      <c r="AK1159" s="182" t="n">
        <v>10.92</v>
      </c>
      <c r="AL1159" s="182" t="n">
        <v>0</v>
      </c>
      <c r="AM1159" s="182" t="n">
        <v>0.08</v>
      </c>
      <c r="AN1159" s="182" t="n">
        <v>0</v>
      </c>
    </row>
    <row r="1160">
      <c r="A1160" s="155" t="n">
        <v>46087</v>
      </c>
      <c r="B1160" s="156" t="inlineStr">
        <is>
          <t>DS</t>
        </is>
      </c>
      <c r="C1160" s="156" t="inlineStr">
        <is>
          <t>DT-805</t>
        </is>
      </c>
      <c r="D1160" s="156" t="inlineStr">
        <is>
          <t>SKT 80S</t>
        </is>
      </c>
      <c r="E1160" s="156" t="inlineStr">
        <is>
          <t>Hauler</t>
        </is>
      </c>
      <c r="F1160" s="156" t="inlineStr"/>
      <c r="G1160" s="182" t="n">
        <v>0</v>
      </c>
      <c r="H1160" s="182" t="n">
        <v>0</v>
      </c>
      <c r="I1160" s="182" t="n">
        <v>0</v>
      </c>
      <c r="J1160" s="182" t="n">
        <v>0</v>
      </c>
      <c r="K1160" s="182" t="n">
        <v>12</v>
      </c>
      <c r="L1160" s="182" t="n">
        <v>12</v>
      </c>
      <c r="M1160" s="182" t="n">
        <v>0</v>
      </c>
      <c r="N1160" s="182" t="n">
        <v>0</v>
      </c>
      <c r="O1160" s="183" t="n">
        <v>0</v>
      </c>
      <c r="P1160" s="183" t="n">
        <v>0</v>
      </c>
      <c r="Q1160" s="184" t="n">
        <v>0</v>
      </c>
      <c r="R1160" s="184" t="n">
        <v>0</v>
      </c>
      <c r="S1160" s="183" t="n">
        <v>0</v>
      </c>
      <c r="T1160" s="183" t="n">
        <v>0</v>
      </c>
      <c r="U1160" s="182" t="n">
        <v>0</v>
      </c>
      <c r="V1160" s="182" t="n">
        <v>0</v>
      </c>
      <c r="W1160" s="182" t="n">
        <v>0</v>
      </c>
      <c r="X1160" s="182" t="n">
        <v>1</v>
      </c>
      <c r="Y1160" s="182" t="n">
        <v>0</v>
      </c>
      <c r="Z1160" s="182" t="n">
        <v>0</v>
      </c>
      <c r="AA1160" s="182" t="n">
        <v>0</v>
      </c>
      <c r="AB1160" s="182" t="n">
        <v>0</v>
      </c>
      <c r="AC1160" s="182" t="n">
        <v>0</v>
      </c>
      <c r="AD1160" s="182" t="n">
        <v>0</v>
      </c>
      <c r="AE1160" s="182" t="n">
        <v>0</v>
      </c>
      <c r="AF1160" s="182" t="n">
        <v>0</v>
      </c>
      <c r="AG1160" s="182" t="n">
        <v>0</v>
      </c>
      <c r="AH1160" s="182" t="n">
        <v>0</v>
      </c>
      <c r="AI1160" s="182" t="n">
        <v>0</v>
      </c>
      <c r="AJ1160" s="182" t="n">
        <v>0</v>
      </c>
      <c r="AK1160" s="182" t="n">
        <v>10.92</v>
      </c>
      <c r="AL1160" s="182" t="n">
        <v>0</v>
      </c>
      <c r="AM1160" s="182" t="n">
        <v>0.08</v>
      </c>
      <c r="AN1160" s="182" t="n">
        <v>0</v>
      </c>
    </row>
    <row r="1161">
      <c r="A1161" s="155" t="n">
        <v>46087</v>
      </c>
      <c r="B1161" s="156" t="inlineStr">
        <is>
          <t>DS</t>
        </is>
      </c>
      <c r="C1161" s="156" t="inlineStr">
        <is>
          <t>DT-801</t>
        </is>
      </c>
      <c r="D1161" s="156" t="inlineStr">
        <is>
          <t>SKT 80S</t>
        </is>
      </c>
      <c r="E1161" s="156" t="inlineStr">
        <is>
          <t>Hauler</t>
        </is>
      </c>
      <c r="F1161" s="156" t="inlineStr"/>
      <c r="G1161" s="182" t="n">
        <v>0</v>
      </c>
      <c r="H1161" s="182" t="n">
        <v>0</v>
      </c>
      <c r="I1161" s="182" t="n">
        <v>0</v>
      </c>
      <c r="J1161" s="182" t="n">
        <v>0</v>
      </c>
      <c r="K1161" s="182" t="n">
        <v>12</v>
      </c>
      <c r="L1161" s="182" t="n">
        <v>12</v>
      </c>
      <c r="M1161" s="182" t="n">
        <v>0</v>
      </c>
      <c r="N1161" s="182" t="n">
        <v>0</v>
      </c>
      <c r="O1161" s="183" t="n">
        <v>0</v>
      </c>
      <c r="P1161" s="183" t="n">
        <v>0</v>
      </c>
      <c r="Q1161" s="184" t="n">
        <v>0</v>
      </c>
      <c r="R1161" s="184" t="n">
        <v>0</v>
      </c>
      <c r="S1161" s="183" t="n">
        <v>0</v>
      </c>
      <c r="T1161" s="183" t="n">
        <v>0</v>
      </c>
      <c r="U1161" s="182" t="n">
        <v>0</v>
      </c>
      <c r="V1161" s="182" t="n">
        <v>0</v>
      </c>
      <c r="W1161" s="182" t="n">
        <v>0</v>
      </c>
      <c r="X1161" s="182" t="n">
        <v>1</v>
      </c>
      <c r="Y1161" s="182" t="n">
        <v>0</v>
      </c>
      <c r="Z1161" s="182" t="n">
        <v>0</v>
      </c>
      <c r="AA1161" s="182" t="n">
        <v>0</v>
      </c>
      <c r="AB1161" s="182" t="n">
        <v>0</v>
      </c>
      <c r="AC1161" s="182" t="n">
        <v>0</v>
      </c>
      <c r="AD1161" s="182" t="n">
        <v>0</v>
      </c>
      <c r="AE1161" s="182" t="n">
        <v>0</v>
      </c>
      <c r="AF1161" s="182" t="n">
        <v>0</v>
      </c>
      <c r="AG1161" s="182" t="n">
        <v>0</v>
      </c>
      <c r="AH1161" s="182" t="n">
        <v>0</v>
      </c>
      <c r="AI1161" s="182" t="n">
        <v>0</v>
      </c>
      <c r="AJ1161" s="182" t="n">
        <v>0</v>
      </c>
      <c r="AK1161" s="182" t="n">
        <v>10.92</v>
      </c>
      <c r="AL1161" s="182" t="n">
        <v>0</v>
      </c>
      <c r="AM1161" s="182" t="n">
        <v>0.08</v>
      </c>
      <c r="AN1161" s="182" t="n">
        <v>0</v>
      </c>
    </row>
    <row r="1162">
      <c r="A1162" s="155" t="n">
        <v>46087</v>
      </c>
      <c r="B1162" s="156" t="inlineStr">
        <is>
          <t>DS</t>
        </is>
      </c>
      <c r="C1162" s="156" t="inlineStr">
        <is>
          <t>DT-808</t>
        </is>
      </c>
      <c r="D1162" s="156" t="inlineStr">
        <is>
          <t>SKT 80S</t>
        </is>
      </c>
      <c r="E1162" s="156" t="inlineStr">
        <is>
          <t>Hauler</t>
        </is>
      </c>
      <c r="F1162" s="156" t="inlineStr">
        <is>
          <t>Hauling Lumpur dari Washing Plant</t>
        </is>
      </c>
      <c r="G1162" s="182" t="n">
        <v>6.82</v>
      </c>
      <c r="H1162" s="182" t="n">
        <v>0</v>
      </c>
      <c r="I1162" s="182" t="n">
        <v>0</v>
      </c>
      <c r="J1162" s="182" t="n">
        <v>0</v>
      </c>
      <c r="K1162" s="182" t="n">
        <v>5.18</v>
      </c>
      <c r="L1162" s="182" t="n">
        <v>12</v>
      </c>
      <c r="M1162" s="182" t="n">
        <v>0</v>
      </c>
      <c r="N1162" s="182" t="n">
        <v>0</v>
      </c>
      <c r="O1162" s="183" t="n">
        <v>0</v>
      </c>
      <c r="P1162" s="183" t="n">
        <v>0</v>
      </c>
      <c r="Q1162" s="184" t="n">
        <v>0</v>
      </c>
      <c r="R1162" s="184" t="n">
        <v>0</v>
      </c>
      <c r="S1162" s="183" t="n">
        <v>0</v>
      </c>
      <c r="T1162" s="183" t="n">
        <v>0</v>
      </c>
      <c r="U1162" s="182" t="n">
        <v>0</v>
      </c>
      <c r="V1162" s="182" t="n">
        <v>0</v>
      </c>
      <c r="W1162" s="182" t="n">
        <v>0</v>
      </c>
      <c r="X1162" s="182" t="n">
        <v>1.08</v>
      </c>
      <c r="Y1162" s="182" t="n">
        <v>0</v>
      </c>
      <c r="Z1162" s="182" t="n">
        <v>0</v>
      </c>
      <c r="AA1162" s="182" t="n">
        <v>0</v>
      </c>
      <c r="AB1162" s="182" t="n">
        <v>0</v>
      </c>
      <c r="AC1162" s="182" t="n">
        <v>0</v>
      </c>
      <c r="AD1162" s="182" t="n">
        <v>0</v>
      </c>
      <c r="AE1162" s="182" t="n">
        <v>0</v>
      </c>
      <c r="AF1162" s="182" t="n">
        <v>0</v>
      </c>
      <c r="AG1162" s="182" t="n">
        <v>0</v>
      </c>
      <c r="AH1162" s="182" t="n">
        <v>0</v>
      </c>
      <c r="AI1162" s="182" t="n">
        <v>0</v>
      </c>
      <c r="AJ1162" s="182" t="n">
        <v>0</v>
      </c>
      <c r="AK1162" s="182" t="n">
        <v>4.01</v>
      </c>
      <c r="AL1162" s="182" t="n">
        <v>0</v>
      </c>
      <c r="AM1162" s="182" t="n">
        <v>0.09</v>
      </c>
      <c r="AN1162" s="182" t="n">
        <v>0</v>
      </c>
    </row>
    <row r="1163">
      <c r="A1163" s="155" t="n">
        <v>46087</v>
      </c>
      <c r="B1163" s="156" t="inlineStr">
        <is>
          <t>DS</t>
        </is>
      </c>
      <c r="C1163" s="156" t="inlineStr">
        <is>
          <t>DT-811</t>
        </is>
      </c>
      <c r="D1163" s="156" t="inlineStr">
        <is>
          <t>SKT 80S</t>
        </is>
      </c>
      <c r="E1163" s="156" t="inlineStr">
        <is>
          <t>Hauler</t>
        </is>
      </c>
      <c r="F1163" s="156" t="inlineStr"/>
      <c r="G1163" s="182" t="n">
        <v>0</v>
      </c>
      <c r="H1163" s="182" t="n">
        <v>0</v>
      </c>
      <c r="I1163" s="182" t="n">
        <v>4.25</v>
      </c>
      <c r="J1163" s="182" t="n">
        <v>4.25</v>
      </c>
      <c r="K1163" s="182" t="n">
        <v>7.75</v>
      </c>
      <c r="L1163" s="182" t="n">
        <v>12</v>
      </c>
      <c r="M1163" s="182" t="n">
        <v>0</v>
      </c>
      <c r="N1163" s="182" t="n">
        <v>0</v>
      </c>
      <c r="O1163" s="183" t="n">
        <v>0</v>
      </c>
      <c r="P1163" s="183" t="n">
        <v>0</v>
      </c>
      <c r="Q1163" s="184" t="n">
        <v>0</v>
      </c>
      <c r="R1163" s="184" t="n">
        <v>0</v>
      </c>
      <c r="S1163" s="183" t="n">
        <v>0</v>
      </c>
      <c r="T1163" s="183" t="n">
        <v>0</v>
      </c>
      <c r="U1163" s="182" t="n">
        <v>0</v>
      </c>
      <c r="V1163" s="182" t="n">
        <v>0</v>
      </c>
      <c r="W1163" s="182" t="n">
        <v>0</v>
      </c>
      <c r="X1163" s="182" t="n">
        <v>1</v>
      </c>
      <c r="Y1163" s="182" t="n">
        <v>0</v>
      </c>
      <c r="Z1163" s="182" t="n">
        <v>0</v>
      </c>
      <c r="AA1163" s="182" t="n">
        <v>0</v>
      </c>
      <c r="AB1163" s="182" t="n">
        <v>0</v>
      </c>
      <c r="AC1163" s="182" t="n">
        <v>0</v>
      </c>
      <c r="AD1163" s="182" t="n">
        <v>0</v>
      </c>
      <c r="AE1163" s="182" t="n">
        <v>0</v>
      </c>
      <c r="AF1163" s="182" t="n">
        <v>0</v>
      </c>
      <c r="AG1163" s="182" t="n">
        <v>0</v>
      </c>
      <c r="AH1163" s="182" t="n">
        <v>0</v>
      </c>
      <c r="AI1163" s="182" t="n">
        <v>0</v>
      </c>
      <c r="AJ1163" s="182" t="n">
        <v>0</v>
      </c>
      <c r="AK1163" s="182" t="n">
        <v>6.67</v>
      </c>
      <c r="AL1163" s="182" t="n">
        <v>0</v>
      </c>
      <c r="AM1163" s="182" t="n">
        <v>0.08</v>
      </c>
      <c r="AN1163" s="182" t="n">
        <v>0</v>
      </c>
    </row>
    <row r="1164">
      <c r="A1164" s="155" t="n">
        <v>46087</v>
      </c>
      <c r="B1164" s="156" t="inlineStr">
        <is>
          <t>DS</t>
        </is>
      </c>
      <c r="C1164" s="156" t="inlineStr">
        <is>
          <t>DT-802</t>
        </is>
      </c>
      <c r="D1164" s="156" t="inlineStr">
        <is>
          <t>SKT 80S</t>
        </is>
      </c>
      <c r="E1164" s="156" t="inlineStr">
        <is>
          <t>Hauler</t>
        </is>
      </c>
      <c r="F1164" s="156" t="inlineStr"/>
      <c r="G1164" s="182" t="n">
        <v>0</v>
      </c>
      <c r="H1164" s="182" t="n">
        <v>0</v>
      </c>
      <c r="I1164" s="182" t="n">
        <v>12</v>
      </c>
      <c r="J1164" s="182" t="n">
        <v>12</v>
      </c>
      <c r="K1164" s="182" t="n">
        <v>0</v>
      </c>
      <c r="L1164" s="182" t="n">
        <v>12</v>
      </c>
      <c r="M1164" s="182" t="n">
        <v>0</v>
      </c>
      <c r="N1164" s="182" t="n">
        <v>0</v>
      </c>
      <c r="O1164" s="183" t="n">
        <v>0</v>
      </c>
      <c r="P1164" s="183" t="n">
        <v>0</v>
      </c>
      <c r="Q1164" s="184" t="n">
        <v>0</v>
      </c>
      <c r="R1164" s="184" t="n">
        <v>0</v>
      </c>
      <c r="S1164" s="183" t="n">
        <v>0</v>
      </c>
      <c r="T1164" s="183" t="n">
        <v>0</v>
      </c>
      <c r="U1164" s="182" t="n">
        <v>0</v>
      </c>
      <c r="V1164" s="182" t="n">
        <v>0</v>
      </c>
      <c r="W1164" s="182" t="n">
        <v>0</v>
      </c>
      <c r="X1164" s="182" t="n">
        <v>0</v>
      </c>
      <c r="Y1164" s="182" t="n">
        <v>0</v>
      </c>
      <c r="Z1164" s="182" t="n">
        <v>0</v>
      </c>
      <c r="AA1164" s="182" t="n">
        <v>0</v>
      </c>
      <c r="AB1164" s="182" t="n">
        <v>0</v>
      </c>
      <c r="AC1164" s="182" t="n">
        <v>0</v>
      </c>
      <c r="AD1164" s="182" t="n">
        <v>0</v>
      </c>
      <c r="AE1164" s="182" t="n">
        <v>0</v>
      </c>
      <c r="AF1164" s="182" t="n">
        <v>0</v>
      </c>
      <c r="AG1164" s="182" t="n">
        <v>0</v>
      </c>
      <c r="AH1164" s="182" t="n">
        <v>0</v>
      </c>
      <c r="AI1164" s="182" t="n">
        <v>0</v>
      </c>
      <c r="AJ1164" s="182" t="n">
        <v>0</v>
      </c>
      <c r="AK1164" s="182" t="n">
        <v>0</v>
      </c>
      <c r="AL1164" s="182" t="n">
        <v>0</v>
      </c>
      <c r="AM1164" s="182" t="n">
        <v>0</v>
      </c>
      <c r="AN1164" s="182" t="n">
        <v>0</v>
      </c>
    </row>
    <row r="1165">
      <c r="A1165" s="155" t="n">
        <v>46087</v>
      </c>
      <c r="B1165" s="156" t="inlineStr">
        <is>
          <t>DS</t>
        </is>
      </c>
      <c r="C1165" s="156" t="inlineStr">
        <is>
          <t>DT-807</t>
        </is>
      </c>
      <c r="D1165" s="156" t="inlineStr">
        <is>
          <t>SKT 80S</t>
        </is>
      </c>
      <c r="E1165" s="156" t="inlineStr">
        <is>
          <t>Hauler</t>
        </is>
      </c>
      <c r="F1165" s="156" t="inlineStr"/>
      <c r="G1165" s="182" t="n">
        <v>0</v>
      </c>
      <c r="H1165" s="182" t="n">
        <v>0</v>
      </c>
      <c r="I1165" s="182" t="n">
        <v>12</v>
      </c>
      <c r="J1165" s="182" t="n">
        <v>12</v>
      </c>
      <c r="K1165" s="182" t="n">
        <v>0</v>
      </c>
      <c r="L1165" s="182" t="n">
        <v>12</v>
      </c>
      <c r="M1165" s="182" t="n">
        <v>0</v>
      </c>
      <c r="N1165" s="182" t="n">
        <v>0</v>
      </c>
      <c r="O1165" s="183" t="n">
        <v>0</v>
      </c>
      <c r="P1165" s="183" t="n">
        <v>0</v>
      </c>
      <c r="Q1165" s="184" t="n">
        <v>0</v>
      </c>
      <c r="R1165" s="184" t="n">
        <v>0</v>
      </c>
      <c r="S1165" s="183" t="n">
        <v>0</v>
      </c>
      <c r="T1165" s="183" t="n">
        <v>0</v>
      </c>
      <c r="U1165" s="182" t="n">
        <v>0</v>
      </c>
      <c r="V1165" s="182" t="n">
        <v>0</v>
      </c>
      <c r="W1165" s="182" t="n">
        <v>0</v>
      </c>
      <c r="X1165" s="182" t="n">
        <v>0</v>
      </c>
      <c r="Y1165" s="182" t="n">
        <v>0</v>
      </c>
      <c r="Z1165" s="182" t="n">
        <v>0</v>
      </c>
      <c r="AA1165" s="182" t="n">
        <v>0</v>
      </c>
      <c r="AB1165" s="182" t="n">
        <v>0</v>
      </c>
      <c r="AC1165" s="182" t="n">
        <v>0</v>
      </c>
      <c r="AD1165" s="182" t="n">
        <v>0</v>
      </c>
      <c r="AE1165" s="182" t="n">
        <v>0</v>
      </c>
      <c r="AF1165" s="182" t="n">
        <v>0</v>
      </c>
      <c r="AG1165" s="182" t="n">
        <v>0</v>
      </c>
      <c r="AH1165" s="182" t="n">
        <v>0</v>
      </c>
      <c r="AI1165" s="182" t="n">
        <v>0</v>
      </c>
      <c r="AJ1165" s="182" t="n">
        <v>0</v>
      </c>
      <c r="AK1165" s="182" t="n">
        <v>0</v>
      </c>
      <c r="AL1165" s="182" t="n">
        <v>0</v>
      </c>
      <c r="AM1165" s="182" t="n">
        <v>0</v>
      </c>
      <c r="AN1165" s="182" t="n">
        <v>0</v>
      </c>
    </row>
    <row r="1166">
      <c r="A1166" s="155" t="n">
        <v>46087</v>
      </c>
      <c r="B1166" s="156" t="inlineStr">
        <is>
          <t>DS</t>
        </is>
      </c>
      <c r="C1166" s="156" t="inlineStr">
        <is>
          <t>DT-812</t>
        </is>
      </c>
      <c r="D1166" s="156" t="inlineStr">
        <is>
          <t>SKT 80S</t>
        </is>
      </c>
      <c r="E1166" s="156" t="inlineStr">
        <is>
          <t>Hauler</t>
        </is>
      </c>
      <c r="F1166" s="156" t="inlineStr">
        <is>
          <t>Hauling Lumpur dari Washing Plant</t>
        </is>
      </c>
      <c r="G1166" s="182" t="n">
        <v>7.75</v>
      </c>
      <c r="H1166" s="182" t="n">
        <v>0</v>
      </c>
      <c r="I1166" s="182" t="n">
        <v>0</v>
      </c>
      <c r="J1166" s="182" t="n">
        <v>0</v>
      </c>
      <c r="K1166" s="182" t="n">
        <v>4.25</v>
      </c>
      <c r="L1166" s="182" t="n">
        <v>12</v>
      </c>
      <c r="M1166" s="182" t="n">
        <v>0</v>
      </c>
      <c r="N1166" s="182" t="n">
        <v>0</v>
      </c>
      <c r="O1166" s="183" t="n">
        <v>0</v>
      </c>
      <c r="P1166" s="183" t="n">
        <v>0</v>
      </c>
      <c r="Q1166" s="184" t="n">
        <v>0</v>
      </c>
      <c r="R1166" s="184" t="n">
        <v>0</v>
      </c>
      <c r="S1166" s="183" t="n">
        <v>0</v>
      </c>
      <c r="T1166" s="183" t="n">
        <v>0</v>
      </c>
      <c r="U1166" s="182" t="n">
        <v>0</v>
      </c>
      <c r="V1166" s="182" t="n">
        <v>0</v>
      </c>
      <c r="W1166" s="182" t="n">
        <v>0</v>
      </c>
      <c r="X1166" s="182" t="n">
        <v>0.97</v>
      </c>
      <c r="Y1166" s="182" t="n">
        <v>0</v>
      </c>
      <c r="Z1166" s="182" t="n">
        <v>0</v>
      </c>
      <c r="AA1166" s="182" t="n">
        <v>0</v>
      </c>
      <c r="AB1166" s="182" t="n">
        <v>0</v>
      </c>
      <c r="AC1166" s="182" t="n">
        <v>0</v>
      </c>
      <c r="AD1166" s="182" t="n">
        <v>0</v>
      </c>
      <c r="AE1166" s="182" t="n">
        <v>0</v>
      </c>
      <c r="AF1166" s="182" t="n">
        <v>0</v>
      </c>
      <c r="AG1166" s="182" t="n">
        <v>0</v>
      </c>
      <c r="AH1166" s="182" t="n">
        <v>0</v>
      </c>
      <c r="AI1166" s="182" t="n">
        <v>0</v>
      </c>
      <c r="AJ1166" s="182" t="n">
        <v>0</v>
      </c>
      <c r="AK1166" s="182" t="n">
        <v>3.21</v>
      </c>
      <c r="AL1166" s="182" t="n">
        <v>0</v>
      </c>
      <c r="AM1166" s="182" t="n">
        <v>0.08</v>
      </c>
      <c r="AN1166" s="182" t="n">
        <v>0</v>
      </c>
    </row>
    <row r="1167">
      <c r="A1167" s="155" t="n">
        <v>46087</v>
      </c>
      <c r="B1167" s="156" t="inlineStr">
        <is>
          <t>DS</t>
        </is>
      </c>
      <c r="C1167" s="156" t="inlineStr">
        <is>
          <t>DT-803</t>
        </is>
      </c>
      <c r="D1167" s="156" t="inlineStr">
        <is>
          <t>SKT 80S</t>
        </is>
      </c>
      <c r="E1167" s="156" t="inlineStr">
        <is>
          <t>Hauler</t>
        </is>
      </c>
      <c r="F1167" s="156" t="inlineStr"/>
      <c r="G1167" s="182" t="n">
        <v>0</v>
      </c>
      <c r="H1167" s="182" t="n">
        <v>0</v>
      </c>
      <c r="I1167" s="182" t="n">
        <v>12</v>
      </c>
      <c r="J1167" s="182" t="n">
        <v>12</v>
      </c>
      <c r="K1167" s="182" t="n">
        <v>0</v>
      </c>
      <c r="L1167" s="182" t="n">
        <v>12</v>
      </c>
      <c r="M1167" s="182" t="n">
        <v>0</v>
      </c>
      <c r="N1167" s="182" t="n">
        <v>0</v>
      </c>
      <c r="O1167" s="183" t="n">
        <v>0</v>
      </c>
      <c r="P1167" s="183" t="n">
        <v>0</v>
      </c>
      <c r="Q1167" s="184" t="n">
        <v>0</v>
      </c>
      <c r="R1167" s="184" t="n">
        <v>0</v>
      </c>
      <c r="S1167" s="183" t="n">
        <v>0</v>
      </c>
      <c r="T1167" s="183" t="n">
        <v>0</v>
      </c>
      <c r="U1167" s="182" t="n">
        <v>0</v>
      </c>
      <c r="V1167" s="182" t="n">
        <v>0</v>
      </c>
      <c r="W1167" s="182" t="n">
        <v>0</v>
      </c>
      <c r="X1167" s="182" t="n">
        <v>0</v>
      </c>
      <c r="Y1167" s="182" t="n">
        <v>0</v>
      </c>
      <c r="Z1167" s="182" t="n">
        <v>0</v>
      </c>
      <c r="AA1167" s="182" t="n">
        <v>0</v>
      </c>
      <c r="AB1167" s="182" t="n">
        <v>0</v>
      </c>
      <c r="AC1167" s="182" t="n">
        <v>0</v>
      </c>
      <c r="AD1167" s="182" t="n">
        <v>0</v>
      </c>
      <c r="AE1167" s="182" t="n">
        <v>0</v>
      </c>
      <c r="AF1167" s="182" t="n">
        <v>0</v>
      </c>
      <c r="AG1167" s="182" t="n">
        <v>0</v>
      </c>
      <c r="AH1167" s="182" t="n">
        <v>0</v>
      </c>
      <c r="AI1167" s="182" t="n">
        <v>0</v>
      </c>
      <c r="AJ1167" s="182" t="n">
        <v>0</v>
      </c>
      <c r="AK1167" s="182" t="n">
        <v>0</v>
      </c>
      <c r="AL1167" s="182" t="n">
        <v>0</v>
      </c>
      <c r="AM1167" s="182" t="n">
        <v>0</v>
      </c>
      <c r="AN1167" s="182" t="n">
        <v>0</v>
      </c>
    </row>
    <row r="1168">
      <c r="A1168" s="155" t="n">
        <v>46087</v>
      </c>
      <c r="B1168" s="156" t="inlineStr">
        <is>
          <t>DS</t>
        </is>
      </c>
      <c r="C1168" s="156" t="inlineStr">
        <is>
          <t>DT-810</t>
        </is>
      </c>
      <c r="D1168" s="156" t="inlineStr">
        <is>
          <t>SKT 80S</t>
        </is>
      </c>
      <c r="E1168" s="156" t="inlineStr">
        <is>
          <t>Hauler</t>
        </is>
      </c>
      <c r="F1168" s="156" t="inlineStr">
        <is>
          <t>Hauling Lumpur dari Washing Plant</t>
        </is>
      </c>
      <c r="G1168" s="182" t="n">
        <v>8.74</v>
      </c>
      <c r="H1168" s="182" t="n">
        <v>0</v>
      </c>
      <c r="I1168" s="182" t="n">
        <v>0</v>
      </c>
      <c r="J1168" s="182" t="n">
        <v>0</v>
      </c>
      <c r="K1168" s="182" t="n">
        <v>3.26</v>
      </c>
      <c r="L1168" s="182" t="n">
        <v>12</v>
      </c>
      <c r="M1168" s="182" t="n">
        <v>0</v>
      </c>
      <c r="N1168" s="182" t="n">
        <v>0</v>
      </c>
      <c r="O1168" s="183" t="n">
        <v>0</v>
      </c>
      <c r="P1168" s="183" t="n">
        <v>0</v>
      </c>
      <c r="Q1168" s="184" t="n">
        <v>0</v>
      </c>
      <c r="R1168" s="184" t="n">
        <v>0</v>
      </c>
      <c r="S1168" s="183" t="n">
        <v>0</v>
      </c>
      <c r="T1168" s="183" t="n">
        <v>0</v>
      </c>
      <c r="U1168" s="182" t="n">
        <v>0</v>
      </c>
      <c r="V1168" s="182" t="n">
        <v>0</v>
      </c>
      <c r="W1168" s="182" t="n">
        <v>0</v>
      </c>
      <c r="X1168" s="182" t="n">
        <v>1.05</v>
      </c>
      <c r="Y1168" s="182" t="n">
        <v>0</v>
      </c>
      <c r="Z1168" s="182" t="n">
        <v>0</v>
      </c>
      <c r="AA1168" s="182" t="n">
        <v>0</v>
      </c>
      <c r="AB1168" s="182" t="n">
        <v>0</v>
      </c>
      <c r="AC1168" s="182" t="n">
        <v>0</v>
      </c>
      <c r="AD1168" s="182" t="n">
        <v>0</v>
      </c>
      <c r="AE1168" s="182" t="n">
        <v>0</v>
      </c>
      <c r="AF1168" s="182" t="n">
        <v>0</v>
      </c>
      <c r="AG1168" s="182" t="n">
        <v>0</v>
      </c>
      <c r="AH1168" s="182" t="n">
        <v>0</v>
      </c>
      <c r="AI1168" s="182" t="n">
        <v>0</v>
      </c>
      <c r="AJ1168" s="182" t="n">
        <v>0</v>
      </c>
      <c r="AK1168" s="182" t="n">
        <v>2.12</v>
      </c>
      <c r="AL1168" s="182" t="n">
        <v>0</v>
      </c>
      <c r="AM1168" s="182" t="n">
        <v>0.08</v>
      </c>
      <c r="AN1168" s="182" t="n">
        <v>0</v>
      </c>
    </row>
    <row r="1169">
      <c r="A1169" s="155" t="n">
        <v>46087</v>
      </c>
      <c r="B1169" s="156" t="inlineStr">
        <is>
          <t>DS</t>
        </is>
      </c>
      <c r="C1169" s="156" t="inlineStr">
        <is>
          <t>DT-804</t>
        </is>
      </c>
      <c r="D1169" s="156" t="inlineStr">
        <is>
          <t>SKT 80S</t>
        </is>
      </c>
      <c r="E1169" s="156" t="inlineStr">
        <is>
          <t>Hauler</t>
        </is>
      </c>
      <c r="F1169" s="156" t="inlineStr">
        <is>
          <t>Hauling Lumpur dari Washing Plant</t>
        </is>
      </c>
      <c r="G1169" s="182" t="n">
        <v>7.12</v>
      </c>
      <c r="H1169" s="182" t="n">
        <v>0</v>
      </c>
      <c r="I1169" s="182" t="n">
        <v>0</v>
      </c>
      <c r="J1169" s="182" t="n">
        <v>0</v>
      </c>
      <c r="K1169" s="182" t="n">
        <v>4.88</v>
      </c>
      <c r="L1169" s="182" t="n">
        <v>12</v>
      </c>
      <c r="M1169" s="182" t="n">
        <v>0</v>
      </c>
      <c r="N1169" s="182" t="n">
        <v>0</v>
      </c>
      <c r="O1169" s="183" t="n">
        <v>0</v>
      </c>
      <c r="P1169" s="183" t="n">
        <v>0</v>
      </c>
      <c r="Q1169" s="184" t="n">
        <v>0</v>
      </c>
      <c r="R1169" s="184" t="n">
        <v>0</v>
      </c>
      <c r="S1169" s="183" t="n">
        <v>0</v>
      </c>
      <c r="T1169" s="183" t="n">
        <v>0</v>
      </c>
      <c r="U1169" s="182" t="n">
        <v>0</v>
      </c>
      <c r="V1169" s="182" t="n">
        <v>0</v>
      </c>
      <c r="W1169" s="182" t="n">
        <v>0</v>
      </c>
      <c r="X1169" s="182" t="n">
        <v>1.02</v>
      </c>
      <c r="Y1169" s="182" t="n">
        <v>0</v>
      </c>
      <c r="Z1169" s="182" t="n">
        <v>0</v>
      </c>
      <c r="AA1169" s="182" t="n">
        <v>0</v>
      </c>
      <c r="AB1169" s="182" t="n">
        <v>0</v>
      </c>
      <c r="AC1169" s="182" t="n">
        <v>0</v>
      </c>
      <c r="AD1169" s="182" t="n">
        <v>0</v>
      </c>
      <c r="AE1169" s="182" t="n">
        <v>0</v>
      </c>
      <c r="AF1169" s="182" t="n">
        <v>0</v>
      </c>
      <c r="AG1169" s="182" t="n">
        <v>0</v>
      </c>
      <c r="AH1169" s="182" t="n">
        <v>0</v>
      </c>
      <c r="AI1169" s="182" t="n">
        <v>0</v>
      </c>
      <c r="AJ1169" s="182" t="n">
        <v>0</v>
      </c>
      <c r="AK1169" s="182" t="n">
        <v>3.78</v>
      </c>
      <c r="AL1169" s="182" t="n">
        <v>0</v>
      </c>
      <c r="AM1169" s="182" t="n">
        <v>0.08</v>
      </c>
      <c r="AN1169" s="182" t="n">
        <v>0</v>
      </c>
    </row>
    <row r="1170">
      <c r="A1170" s="155" t="n">
        <v>46087</v>
      </c>
      <c r="B1170" s="156" t="inlineStr">
        <is>
          <t>DS</t>
        </is>
      </c>
      <c r="C1170" s="156" t="inlineStr">
        <is>
          <t>DT-505</t>
        </is>
      </c>
      <c r="D1170" s="156" t="inlineStr">
        <is>
          <t>SKT 105S</t>
        </is>
      </c>
      <c r="E1170" s="156" t="inlineStr">
        <is>
          <t>Hauler</t>
        </is>
      </c>
      <c r="F1170" s="156" t="inlineStr">
        <is>
          <t>Hauling OB &amp; Coal</t>
        </is>
      </c>
      <c r="G1170" s="182" t="n">
        <v>10.67</v>
      </c>
      <c r="H1170" s="182" t="n">
        <v>0</v>
      </c>
      <c r="I1170" s="182" t="n">
        <v>0</v>
      </c>
      <c r="J1170" s="182" t="n">
        <v>0</v>
      </c>
      <c r="K1170" s="182" t="n">
        <v>1.33</v>
      </c>
      <c r="L1170" s="182" t="n">
        <v>12</v>
      </c>
      <c r="M1170" s="182" t="n">
        <v>10.08</v>
      </c>
      <c r="N1170" s="182" t="n">
        <v>0.42</v>
      </c>
      <c r="O1170" s="183" t="n">
        <v>25</v>
      </c>
      <c r="P1170" s="183" t="n">
        <v>1</v>
      </c>
      <c r="Q1170" s="184" t="n">
        <v>510</v>
      </c>
      <c r="R1170" s="184" t="n">
        <v>18.7</v>
      </c>
      <c r="S1170" s="183" t="n">
        <v>0</v>
      </c>
      <c r="T1170" s="183" t="n">
        <v>0</v>
      </c>
      <c r="U1170" s="182" t="n">
        <v>0</v>
      </c>
      <c r="V1170" s="182" t="n">
        <v>0</v>
      </c>
      <c r="W1170" s="182" t="n">
        <v>0</v>
      </c>
      <c r="X1170" s="182" t="n">
        <v>0.95</v>
      </c>
      <c r="Y1170" s="182" t="n">
        <v>0</v>
      </c>
      <c r="Z1170" s="182" t="n">
        <v>0</v>
      </c>
      <c r="AA1170" s="182" t="n">
        <v>0</v>
      </c>
      <c r="AB1170" s="182" t="n">
        <v>0</v>
      </c>
      <c r="AC1170" s="182" t="n">
        <v>0</v>
      </c>
      <c r="AD1170" s="182" t="n">
        <v>0</v>
      </c>
      <c r="AE1170" s="182" t="n">
        <v>0</v>
      </c>
      <c r="AF1170" s="182" t="n">
        <v>0</v>
      </c>
      <c r="AG1170" s="182" t="n">
        <v>0</v>
      </c>
      <c r="AH1170" s="182" t="n">
        <v>0.3</v>
      </c>
      <c r="AI1170" s="182" t="n">
        <v>0</v>
      </c>
      <c r="AJ1170" s="182" t="n">
        <v>0</v>
      </c>
      <c r="AK1170" s="182" t="n">
        <v>0</v>
      </c>
      <c r="AL1170" s="182" t="n">
        <v>0</v>
      </c>
      <c r="AM1170" s="182" t="n">
        <v>0.08</v>
      </c>
      <c r="AN1170" s="182" t="n">
        <v>0</v>
      </c>
    </row>
    <row r="1171">
      <c r="A1171" s="155" t="n">
        <v>46087</v>
      </c>
      <c r="B1171" s="156" t="inlineStr">
        <is>
          <t>DS</t>
        </is>
      </c>
      <c r="C1171" s="156" t="inlineStr">
        <is>
          <t>DT-530</t>
        </is>
      </c>
      <c r="D1171" s="156" t="inlineStr">
        <is>
          <t>SKT 105S</t>
        </is>
      </c>
      <c r="E1171" s="156" t="inlineStr">
        <is>
          <t>Hauler</t>
        </is>
      </c>
      <c r="F1171" s="156" t="inlineStr"/>
      <c r="G1171" s="182" t="n">
        <v>0</v>
      </c>
      <c r="H1171" s="182" t="n">
        <v>0</v>
      </c>
      <c r="I1171" s="182" t="n">
        <v>12</v>
      </c>
      <c r="J1171" s="182" t="n">
        <v>12</v>
      </c>
      <c r="K1171" s="182" t="n">
        <v>0</v>
      </c>
      <c r="L1171" s="182" t="n">
        <v>12</v>
      </c>
      <c r="M1171" s="182" t="n">
        <v>0</v>
      </c>
      <c r="N1171" s="182" t="n">
        <v>0</v>
      </c>
      <c r="O1171" s="183" t="n">
        <v>0</v>
      </c>
      <c r="P1171" s="183" t="n">
        <v>0</v>
      </c>
      <c r="Q1171" s="184" t="n">
        <v>0</v>
      </c>
      <c r="R1171" s="184" t="n">
        <v>0</v>
      </c>
      <c r="S1171" s="183" t="n">
        <v>0</v>
      </c>
      <c r="T1171" s="183" t="n">
        <v>0</v>
      </c>
      <c r="U1171" s="182" t="n">
        <v>0</v>
      </c>
      <c r="V1171" s="182" t="n">
        <v>0</v>
      </c>
      <c r="W1171" s="182" t="n">
        <v>0</v>
      </c>
      <c r="X1171" s="182" t="n">
        <v>0</v>
      </c>
      <c r="Y1171" s="182" t="n">
        <v>0</v>
      </c>
      <c r="Z1171" s="182" t="n">
        <v>0</v>
      </c>
      <c r="AA1171" s="182" t="n">
        <v>0</v>
      </c>
      <c r="AB1171" s="182" t="n">
        <v>0</v>
      </c>
      <c r="AC1171" s="182" t="n">
        <v>0</v>
      </c>
      <c r="AD1171" s="182" t="n">
        <v>0</v>
      </c>
      <c r="AE1171" s="182" t="n">
        <v>0</v>
      </c>
      <c r="AF1171" s="182" t="n">
        <v>0</v>
      </c>
      <c r="AG1171" s="182" t="n">
        <v>0</v>
      </c>
      <c r="AH1171" s="182" t="n">
        <v>0</v>
      </c>
      <c r="AI1171" s="182" t="n">
        <v>0</v>
      </c>
      <c r="AJ1171" s="182" t="n">
        <v>0</v>
      </c>
      <c r="AK1171" s="182" t="n">
        <v>0</v>
      </c>
      <c r="AL1171" s="182" t="n">
        <v>0</v>
      </c>
      <c r="AM1171" s="182" t="n">
        <v>0</v>
      </c>
      <c r="AN1171" s="182" t="n">
        <v>0</v>
      </c>
    </row>
    <row r="1172">
      <c r="A1172" s="155" t="n">
        <v>46087</v>
      </c>
      <c r="B1172" s="156" t="inlineStr">
        <is>
          <t>DS</t>
        </is>
      </c>
      <c r="C1172" s="156" t="inlineStr">
        <is>
          <t>DT-525</t>
        </is>
      </c>
      <c r="D1172" s="156" t="inlineStr">
        <is>
          <t>SKT 105S</t>
        </is>
      </c>
      <c r="E1172" s="156" t="inlineStr">
        <is>
          <t>Hauler</t>
        </is>
      </c>
      <c r="F1172" s="156" t="inlineStr"/>
      <c r="G1172" s="182" t="n">
        <v>0</v>
      </c>
      <c r="H1172" s="182" t="n">
        <v>0</v>
      </c>
      <c r="I1172" s="182" t="n">
        <v>12</v>
      </c>
      <c r="J1172" s="182" t="n">
        <v>12</v>
      </c>
      <c r="K1172" s="182" t="n">
        <v>0</v>
      </c>
      <c r="L1172" s="182" t="n">
        <v>12</v>
      </c>
      <c r="M1172" s="182" t="n">
        <v>0</v>
      </c>
      <c r="N1172" s="182" t="n">
        <v>0</v>
      </c>
      <c r="O1172" s="183" t="n">
        <v>0</v>
      </c>
      <c r="P1172" s="183" t="n">
        <v>0</v>
      </c>
      <c r="Q1172" s="184" t="n">
        <v>0</v>
      </c>
      <c r="R1172" s="184" t="n">
        <v>0</v>
      </c>
      <c r="S1172" s="183" t="n">
        <v>0</v>
      </c>
      <c r="T1172" s="183" t="n">
        <v>0</v>
      </c>
      <c r="U1172" s="182" t="n">
        <v>0</v>
      </c>
      <c r="V1172" s="182" t="n">
        <v>0</v>
      </c>
      <c r="W1172" s="182" t="n">
        <v>0</v>
      </c>
      <c r="X1172" s="182" t="n">
        <v>0</v>
      </c>
      <c r="Y1172" s="182" t="n">
        <v>0</v>
      </c>
      <c r="Z1172" s="182" t="n">
        <v>0</v>
      </c>
      <c r="AA1172" s="182" t="n">
        <v>0</v>
      </c>
      <c r="AB1172" s="182" t="n">
        <v>0</v>
      </c>
      <c r="AC1172" s="182" t="n">
        <v>0</v>
      </c>
      <c r="AD1172" s="182" t="n">
        <v>0</v>
      </c>
      <c r="AE1172" s="182" t="n">
        <v>0</v>
      </c>
      <c r="AF1172" s="182" t="n">
        <v>0</v>
      </c>
      <c r="AG1172" s="182" t="n">
        <v>0</v>
      </c>
      <c r="AH1172" s="182" t="n">
        <v>0</v>
      </c>
      <c r="AI1172" s="182" t="n">
        <v>0</v>
      </c>
      <c r="AJ1172" s="182" t="n">
        <v>0</v>
      </c>
      <c r="AK1172" s="182" t="n">
        <v>0</v>
      </c>
      <c r="AL1172" s="182" t="n">
        <v>0</v>
      </c>
      <c r="AM1172" s="182" t="n">
        <v>0</v>
      </c>
      <c r="AN1172" s="182" t="n">
        <v>0</v>
      </c>
    </row>
    <row r="1173">
      <c r="A1173" s="155" t="n">
        <v>46087</v>
      </c>
      <c r="B1173" s="156" t="inlineStr">
        <is>
          <t>DS</t>
        </is>
      </c>
      <c r="C1173" s="156" t="inlineStr">
        <is>
          <t>DT-503</t>
        </is>
      </c>
      <c r="D1173" s="156" t="inlineStr">
        <is>
          <t>SKT 105S</t>
        </is>
      </c>
      <c r="E1173" s="156" t="inlineStr">
        <is>
          <t>Hauler</t>
        </is>
      </c>
      <c r="F1173" s="156" t="inlineStr">
        <is>
          <t>Hauling OB</t>
        </is>
      </c>
      <c r="G1173" s="182" t="n">
        <v>3.28</v>
      </c>
      <c r="H1173" s="182" t="n">
        <v>0</v>
      </c>
      <c r="I1173" s="182" t="n">
        <v>0.75</v>
      </c>
      <c r="J1173" s="182" t="n">
        <v>0.75</v>
      </c>
      <c r="K1173" s="182" t="n">
        <v>7.97</v>
      </c>
      <c r="L1173" s="182" t="n">
        <v>12</v>
      </c>
      <c r="M1173" s="182" t="n">
        <v>3.28</v>
      </c>
      <c r="N1173" s="182" t="n">
        <v>0</v>
      </c>
      <c r="O1173" s="183" t="n">
        <v>25</v>
      </c>
      <c r="P1173" s="183" t="n">
        <v>0</v>
      </c>
      <c r="Q1173" s="184" t="n">
        <v>510</v>
      </c>
      <c r="R1173" s="184" t="n">
        <v>0</v>
      </c>
      <c r="S1173" s="183" t="n">
        <v>0</v>
      </c>
      <c r="T1173" s="183" t="n">
        <v>0</v>
      </c>
      <c r="U1173" s="182" t="n">
        <v>0</v>
      </c>
      <c r="V1173" s="182" t="n">
        <v>0</v>
      </c>
      <c r="W1173" s="182" t="n">
        <v>0</v>
      </c>
      <c r="X1173" s="182" t="n">
        <v>1.03</v>
      </c>
      <c r="Y1173" s="182" t="n">
        <v>0</v>
      </c>
      <c r="Z1173" s="182" t="n">
        <v>0</v>
      </c>
      <c r="AA1173" s="182" t="n">
        <v>0</v>
      </c>
      <c r="AB1173" s="182" t="n">
        <v>0</v>
      </c>
      <c r="AC1173" s="182" t="n">
        <v>0</v>
      </c>
      <c r="AD1173" s="182" t="n">
        <v>6.86</v>
      </c>
      <c r="AE1173" s="182" t="n">
        <v>0</v>
      </c>
      <c r="AF1173" s="182" t="n">
        <v>0</v>
      </c>
      <c r="AG1173" s="182" t="n">
        <v>0</v>
      </c>
      <c r="AH1173" s="182" t="n">
        <v>0</v>
      </c>
      <c r="AI1173" s="182" t="n">
        <v>0</v>
      </c>
      <c r="AJ1173" s="182" t="n">
        <v>0</v>
      </c>
      <c r="AK1173" s="182" t="n">
        <v>0</v>
      </c>
      <c r="AL1173" s="182" t="n">
        <v>0</v>
      </c>
      <c r="AM1173" s="182" t="n">
        <v>0.08</v>
      </c>
      <c r="AN1173" s="182" t="n">
        <v>0</v>
      </c>
    </row>
    <row r="1174">
      <c r="A1174" s="155" t="n">
        <v>46087</v>
      </c>
      <c r="B1174" s="156" t="inlineStr">
        <is>
          <t>DS</t>
        </is>
      </c>
      <c r="C1174" s="156" t="inlineStr">
        <is>
          <t>DT-504</t>
        </is>
      </c>
      <c r="D1174" s="156" t="inlineStr">
        <is>
          <t>SKT 105S</t>
        </is>
      </c>
      <c r="E1174" s="156" t="inlineStr">
        <is>
          <t>Hauler</t>
        </is>
      </c>
      <c r="F1174" s="156" t="inlineStr">
        <is>
          <t>Hauling OB</t>
        </is>
      </c>
      <c r="G1174" s="182" t="n">
        <v>10.41</v>
      </c>
      <c r="H1174" s="182" t="n">
        <v>0</v>
      </c>
      <c r="I1174" s="182" t="n">
        <v>0</v>
      </c>
      <c r="J1174" s="182" t="n">
        <v>0</v>
      </c>
      <c r="K1174" s="182" t="n">
        <v>1.59</v>
      </c>
      <c r="L1174" s="182" t="n">
        <v>12</v>
      </c>
      <c r="M1174" s="182" t="n">
        <v>10.41</v>
      </c>
      <c r="N1174" s="182" t="n">
        <v>0</v>
      </c>
      <c r="O1174" s="183" t="n">
        <v>29</v>
      </c>
      <c r="P1174" s="183" t="n">
        <v>0</v>
      </c>
      <c r="Q1174" s="184" t="n">
        <v>591.6</v>
      </c>
      <c r="R1174" s="184" t="n">
        <v>0</v>
      </c>
      <c r="S1174" s="183" t="n">
        <v>0</v>
      </c>
      <c r="T1174" s="183" t="n">
        <v>0</v>
      </c>
      <c r="U1174" s="182" t="n">
        <v>0</v>
      </c>
      <c r="V1174" s="182" t="n">
        <v>0</v>
      </c>
      <c r="W1174" s="182" t="n">
        <v>0</v>
      </c>
      <c r="X1174" s="182" t="n">
        <v>1.14</v>
      </c>
      <c r="Y1174" s="182" t="n">
        <v>0</v>
      </c>
      <c r="Z1174" s="182" t="n">
        <v>0</v>
      </c>
      <c r="AA1174" s="182" t="n">
        <v>0</v>
      </c>
      <c r="AB1174" s="182" t="n">
        <v>0</v>
      </c>
      <c r="AC1174" s="182" t="n">
        <v>0</v>
      </c>
      <c r="AD1174" s="182" t="n">
        <v>0</v>
      </c>
      <c r="AE1174" s="182" t="n">
        <v>0</v>
      </c>
      <c r="AF1174" s="182" t="n">
        <v>0</v>
      </c>
      <c r="AG1174" s="182" t="n">
        <v>0</v>
      </c>
      <c r="AH1174" s="182" t="n">
        <v>0.36</v>
      </c>
      <c r="AI1174" s="182" t="n">
        <v>0</v>
      </c>
      <c r="AJ1174" s="182" t="n">
        <v>0</v>
      </c>
      <c r="AK1174" s="182" t="n">
        <v>0</v>
      </c>
      <c r="AL1174" s="182" t="n">
        <v>0</v>
      </c>
      <c r="AM1174" s="182" t="n">
        <v>0.09</v>
      </c>
      <c r="AN1174" s="182" t="n">
        <v>0</v>
      </c>
    </row>
    <row r="1175">
      <c r="A1175" s="155" t="n">
        <v>46087</v>
      </c>
      <c r="B1175" s="156" t="inlineStr">
        <is>
          <t>DS</t>
        </is>
      </c>
      <c r="C1175" s="156" t="inlineStr">
        <is>
          <t>DT-507</t>
        </is>
      </c>
      <c r="D1175" s="156" t="inlineStr">
        <is>
          <t>SKT 105S</t>
        </is>
      </c>
      <c r="E1175" s="156" t="inlineStr">
        <is>
          <t>Hauler</t>
        </is>
      </c>
      <c r="F1175" s="156" t="inlineStr"/>
      <c r="G1175" s="182" t="n">
        <v>0</v>
      </c>
      <c r="H1175" s="182" t="n">
        <v>0</v>
      </c>
      <c r="I1175" s="182" t="n">
        <v>12</v>
      </c>
      <c r="J1175" s="182" t="n">
        <v>12</v>
      </c>
      <c r="K1175" s="182" t="n">
        <v>0</v>
      </c>
      <c r="L1175" s="182" t="n">
        <v>12</v>
      </c>
      <c r="M1175" s="182" t="n">
        <v>0</v>
      </c>
      <c r="N1175" s="182" t="n">
        <v>0</v>
      </c>
      <c r="O1175" s="183" t="n">
        <v>0</v>
      </c>
      <c r="P1175" s="183" t="n">
        <v>0</v>
      </c>
      <c r="Q1175" s="184" t="n">
        <v>0</v>
      </c>
      <c r="R1175" s="184" t="n">
        <v>0</v>
      </c>
      <c r="S1175" s="183" t="n">
        <v>0</v>
      </c>
      <c r="T1175" s="183" t="n">
        <v>0</v>
      </c>
      <c r="U1175" s="182" t="n">
        <v>0</v>
      </c>
      <c r="V1175" s="182" t="n">
        <v>0</v>
      </c>
      <c r="W1175" s="182" t="n">
        <v>0</v>
      </c>
      <c r="X1175" s="182" t="n">
        <v>0</v>
      </c>
      <c r="Y1175" s="182" t="n">
        <v>0</v>
      </c>
      <c r="Z1175" s="182" t="n">
        <v>0</v>
      </c>
      <c r="AA1175" s="182" t="n">
        <v>0</v>
      </c>
      <c r="AB1175" s="182" t="n">
        <v>0</v>
      </c>
      <c r="AC1175" s="182" t="n">
        <v>0</v>
      </c>
      <c r="AD1175" s="182" t="n">
        <v>0</v>
      </c>
      <c r="AE1175" s="182" t="n">
        <v>0</v>
      </c>
      <c r="AF1175" s="182" t="n">
        <v>0</v>
      </c>
      <c r="AG1175" s="182" t="n">
        <v>0</v>
      </c>
      <c r="AH1175" s="182" t="n">
        <v>0</v>
      </c>
      <c r="AI1175" s="182" t="n">
        <v>0</v>
      </c>
      <c r="AJ1175" s="182" t="n">
        <v>0</v>
      </c>
      <c r="AK1175" s="182" t="n">
        <v>0</v>
      </c>
      <c r="AL1175" s="182" t="n">
        <v>0</v>
      </c>
      <c r="AM1175" s="182" t="n">
        <v>0</v>
      </c>
      <c r="AN1175" s="182" t="n">
        <v>0</v>
      </c>
    </row>
    <row r="1176">
      <c r="A1176" s="155" t="n">
        <v>46087</v>
      </c>
      <c r="B1176" s="156" t="inlineStr">
        <is>
          <t>DS</t>
        </is>
      </c>
      <c r="C1176" s="156" t="inlineStr">
        <is>
          <t>DT-501</t>
        </is>
      </c>
      <c r="D1176" s="156" t="inlineStr">
        <is>
          <t>SKT 105S</t>
        </is>
      </c>
      <c r="E1176" s="156" t="inlineStr">
        <is>
          <t>Hauler</t>
        </is>
      </c>
      <c r="F1176" s="156" t="inlineStr">
        <is>
          <t>Hauling OB</t>
        </is>
      </c>
      <c r="G1176" s="182" t="n">
        <v>10.33</v>
      </c>
      <c r="H1176" s="182" t="n">
        <v>0</v>
      </c>
      <c r="I1176" s="182" t="n">
        <v>0</v>
      </c>
      <c r="J1176" s="182" t="n">
        <v>0</v>
      </c>
      <c r="K1176" s="182" t="n">
        <v>1.67</v>
      </c>
      <c r="L1176" s="182" t="n">
        <v>12</v>
      </c>
      <c r="M1176" s="182" t="n">
        <v>10.33</v>
      </c>
      <c r="N1176" s="182" t="n">
        <v>0</v>
      </c>
      <c r="O1176" s="183" t="n">
        <v>30</v>
      </c>
      <c r="P1176" s="183" t="n">
        <v>0</v>
      </c>
      <c r="Q1176" s="184" t="n">
        <v>612</v>
      </c>
      <c r="R1176" s="184" t="n">
        <v>0</v>
      </c>
      <c r="S1176" s="183" t="n">
        <v>0</v>
      </c>
      <c r="T1176" s="183" t="n">
        <v>0</v>
      </c>
      <c r="U1176" s="182" t="n">
        <v>0</v>
      </c>
      <c r="V1176" s="182" t="n">
        <v>0</v>
      </c>
      <c r="W1176" s="182" t="n">
        <v>0</v>
      </c>
      <c r="X1176" s="182" t="n">
        <v>0.88</v>
      </c>
      <c r="Y1176" s="182" t="n">
        <v>0</v>
      </c>
      <c r="Z1176" s="182" t="n">
        <v>0</v>
      </c>
      <c r="AA1176" s="182" t="n">
        <v>0</v>
      </c>
      <c r="AB1176" s="182" t="n">
        <v>0</v>
      </c>
      <c r="AC1176" s="182" t="n">
        <v>0</v>
      </c>
      <c r="AD1176" s="182" t="n">
        <v>0</v>
      </c>
      <c r="AE1176" s="182" t="n">
        <v>0</v>
      </c>
      <c r="AF1176" s="182" t="n">
        <v>0</v>
      </c>
      <c r="AG1176" s="182" t="n">
        <v>0</v>
      </c>
      <c r="AH1176" s="182" t="n">
        <v>0.72</v>
      </c>
      <c r="AI1176" s="182" t="n">
        <v>0</v>
      </c>
      <c r="AJ1176" s="182" t="n">
        <v>0</v>
      </c>
      <c r="AK1176" s="182" t="n">
        <v>0</v>
      </c>
      <c r="AL1176" s="182" t="n">
        <v>0</v>
      </c>
      <c r="AM1176" s="182" t="n">
        <v>0.07000000000000001</v>
      </c>
      <c r="AN1176" s="182" t="n">
        <v>0</v>
      </c>
    </row>
    <row r="1177">
      <c r="A1177" s="155" t="n">
        <v>46087</v>
      </c>
      <c r="B1177" s="156" t="inlineStr">
        <is>
          <t>DS</t>
        </is>
      </c>
      <c r="C1177" s="156" t="inlineStr">
        <is>
          <t>DT-518</t>
        </is>
      </c>
      <c r="D1177" s="156" t="inlineStr">
        <is>
          <t>SKT 105S</t>
        </is>
      </c>
      <c r="E1177" s="156" t="inlineStr">
        <is>
          <t>Hauler</t>
        </is>
      </c>
      <c r="F1177" s="156" t="inlineStr">
        <is>
          <t>Hauling OB &amp; Coal</t>
        </is>
      </c>
      <c r="G1177" s="182" t="n">
        <v>8.74</v>
      </c>
      <c r="H1177" s="182" t="n">
        <v>0</v>
      </c>
      <c r="I1177" s="182" t="n">
        <v>0</v>
      </c>
      <c r="J1177" s="182" t="n">
        <v>0</v>
      </c>
      <c r="K1177" s="182" t="n">
        <v>3.26</v>
      </c>
      <c r="L1177" s="182" t="n">
        <v>12</v>
      </c>
      <c r="M1177" s="182" t="n">
        <v>1.49</v>
      </c>
      <c r="N1177" s="182" t="n">
        <v>7.25</v>
      </c>
      <c r="O1177" s="183" t="n">
        <v>5</v>
      </c>
      <c r="P1177" s="183" t="n">
        <v>15</v>
      </c>
      <c r="Q1177" s="184" t="n">
        <v>102</v>
      </c>
      <c r="R1177" s="184" t="n">
        <v>280.5</v>
      </c>
      <c r="S1177" s="183" t="n">
        <v>0</v>
      </c>
      <c r="T1177" s="183" t="n">
        <v>0</v>
      </c>
      <c r="U1177" s="182" t="n">
        <v>0</v>
      </c>
      <c r="V1177" s="182" t="n">
        <v>0</v>
      </c>
      <c r="W1177" s="182" t="n">
        <v>0</v>
      </c>
      <c r="X1177" s="182" t="n">
        <v>1.02</v>
      </c>
      <c r="Y1177" s="182" t="n">
        <v>0</v>
      </c>
      <c r="Z1177" s="182" t="n">
        <v>0</v>
      </c>
      <c r="AA1177" s="182" t="n">
        <v>0</v>
      </c>
      <c r="AB1177" s="182" t="n">
        <v>0</v>
      </c>
      <c r="AC1177" s="182" t="n">
        <v>0</v>
      </c>
      <c r="AD1177" s="182" t="n">
        <v>2.16</v>
      </c>
      <c r="AE1177" s="182" t="n">
        <v>0</v>
      </c>
      <c r="AF1177" s="182" t="n">
        <v>0</v>
      </c>
      <c r="AG1177" s="182" t="n">
        <v>0</v>
      </c>
      <c r="AH1177" s="182" t="n">
        <v>0</v>
      </c>
      <c r="AI1177" s="182" t="n">
        <v>0</v>
      </c>
      <c r="AJ1177" s="182" t="n">
        <v>0</v>
      </c>
      <c r="AK1177" s="182" t="n">
        <v>0</v>
      </c>
      <c r="AL1177" s="182" t="n">
        <v>0</v>
      </c>
      <c r="AM1177" s="182" t="n">
        <v>0.08</v>
      </c>
      <c r="AN1177" s="182" t="n">
        <v>0</v>
      </c>
    </row>
    <row r="1178">
      <c r="A1178" s="155" t="n">
        <v>46087</v>
      </c>
      <c r="B1178" s="156" t="inlineStr">
        <is>
          <t>DS</t>
        </is>
      </c>
      <c r="C1178" s="156" t="inlineStr">
        <is>
          <t>DT-514</t>
        </is>
      </c>
      <c r="D1178" s="156" t="inlineStr">
        <is>
          <t>SKT 105S</t>
        </is>
      </c>
      <c r="E1178" s="156" t="inlineStr">
        <is>
          <t>Hauler</t>
        </is>
      </c>
      <c r="F1178" s="156" t="inlineStr">
        <is>
          <t>Hauling Coal</t>
        </is>
      </c>
      <c r="G1178" s="182" t="n">
        <v>6.19</v>
      </c>
      <c r="H1178" s="182" t="n">
        <v>0</v>
      </c>
      <c r="I1178" s="182" t="n">
        <v>0</v>
      </c>
      <c r="J1178" s="182" t="n">
        <v>0</v>
      </c>
      <c r="K1178" s="182" t="n">
        <v>5.81</v>
      </c>
      <c r="L1178" s="182" t="n">
        <v>12</v>
      </c>
      <c r="M1178" s="182" t="n">
        <v>0</v>
      </c>
      <c r="N1178" s="182" t="n">
        <v>6.19</v>
      </c>
      <c r="O1178" s="183" t="n">
        <v>0</v>
      </c>
      <c r="P1178" s="183" t="n">
        <v>16</v>
      </c>
      <c r="Q1178" s="184" t="n">
        <v>0</v>
      </c>
      <c r="R1178" s="184" t="n">
        <v>299.2</v>
      </c>
      <c r="S1178" s="183" t="n">
        <v>0</v>
      </c>
      <c r="T1178" s="183" t="n">
        <v>0</v>
      </c>
      <c r="U1178" s="182" t="n">
        <v>0</v>
      </c>
      <c r="V1178" s="182" t="n">
        <v>0</v>
      </c>
      <c r="W1178" s="182" t="n">
        <v>0</v>
      </c>
      <c r="X1178" s="182" t="n">
        <v>0.97</v>
      </c>
      <c r="Y1178" s="182" t="n">
        <v>0</v>
      </c>
      <c r="Z1178" s="182" t="n">
        <v>0</v>
      </c>
      <c r="AA1178" s="182" t="n">
        <v>0</v>
      </c>
      <c r="AB1178" s="182" t="n">
        <v>0</v>
      </c>
      <c r="AC1178" s="182" t="n">
        <v>0</v>
      </c>
      <c r="AD1178" s="182" t="n">
        <v>4.76</v>
      </c>
      <c r="AE1178" s="182" t="n">
        <v>0</v>
      </c>
      <c r="AF1178" s="182" t="n">
        <v>0</v>
      </c>
      <c r="AG1178" s="182" t="n">
        <v>0</v>
      </c>
      <c r="AH1178" s="182" t="n">
        <v>0</v>
      </c>
      <c r="AI1178" s="182" t="n">
        <v>0</v>
      </c>
      <c r="AJ1178" s="182" t="n">
        <v>0</v>
      </c>
      <c r="AK1178" s="182" t="n">
        <v>0</v>
      </c>
      <c r="AL1178" s="182" t="n">
        <v>0</v>
      </c>
      <c r="AM1178" s="182" t="n">
        <v>0.08</v>
      </c>
      <c r="AN1178" s="182" t="n">
        <v>0</v>
      </c>
    </row>
    <row r="1179">
      <c r="A1179" s="155" t="n">
        <v>46087</v>
      </c>
      <c r="B1179" s="156" t="inlineStr">
        <is>
          <t>DS</t>
        </is>
      </c>
      <c r="C1179" s="156" t="inlineStr">
        <is>
          <t>DT-523</t>
        </is>
      </c>
      <c r="D1179" s="156" t="inlineStr">
        <is>
          <t>SKT 105S</t>
        </is>
      </c>
      <c r="E1179" s="156" t="inlineStr">
        <is>
          <t>Hauler</t>
        </is>
      </c>
      <c r="F1179" s="156" t="inlineStr">
        <is>
          <t>Hauling OB &amp; Coal</t>
        </is>
      </c>
      <c r="G1179" s="182" t="n">
        <v>10.48</v>
      </c>
      <c r="H1179" s="182" t="n">
        <v>0</v>
      </c>
      <c r="I1179" s="182" t="n">
        <v>0</v>
      </c>
      <c r="J1179" s="182" t="n">
        <v>0</v>
      </c>
      <c r="K1179" s="182" t="n">
        <v>1.52</v>
      </c>
      <c r="L1179" s="182" t="n">
        <v>12</v>
      </c>
      <c r="M1179" s="182" t="n">
        <v>9.91</v>
      </c>
      <c r="N1179" s="182" t="n">
        <v>0.41</v>
      </c>
      <c r="O1179" s="183" t="n">
        <v>40</v>
      </c>
      <c r="P1179" s="183" t="n">
        <v>1</v>
      </c>
      <c r="Q1179" s="184" t="n">
        <v>816</v>
      </c>
      <c r="R1179" s="184" t="n">
        <v>18.7</v>
      </c>
      <c r="S1179" s="183" t="n">
        <v>0</v>
      </c>
      <c r="T1179" s="183" t="n">
        <v>0</v>
      </c>
      <c r="U1179" s="182" t="n">
        <v>0</v>
      </c>
      <c r="V1179" s="182" t="n">
        <v>0</v>
      </c>
      <c r="W1179" s="182" t="n">
        <v>0</v>
      </c>
      <c r="X1179" s="182" t="n">
        <v>1.17</v>
      </c>
      <c r="Y1179" s="182" t="n">
        <v>0</v>
      </c>
      <c r="Z1179" s="182" t="n">
        <v>0</v>
      </c>
      <c r="AA1179" s="182" t="n">
        <v>0</v>
      </c>
      <c r="AB1179" s="182" t="n">
        <v>0</v>
      </c>
      <c r="AC1179" s="182" t="n">
        <v>0</v>
      </c>
      <c r="AD1179" s="182" t="n">
        <v>0</v>
      </c>
      <c r="AE1179" s="182" t="n">
        <v>0</v>
      </c>
      <c r="AF1179" s="182" t="n">
        <v>0</v>
      </c>
      <c r="AG1179" s="182" t="n">
        <v>0</v>
      </c>
      <c r="AH1179" s="182" t="n">
        <v>0.26</v>
      </c>
      <c r="AI1179" s="182" t="n">
        <v>0</v>
      </c>
      <c r="AJ1179" s="182" t="n">
        <v>0</v>
      </c>
      <c r="AK1179" s="182" t="n">
        <v>0</v>
      </c>
      <c r="AL1179" s="182" t="n">
        <v>0</v>
      </c>
      <c r="AM1179" s="182" t="n">
        <v>0.09</v>
      </c>
      <c r="AN1179" s="182" t="n">
        <v>0</v>
      </c>
    </row>
    <row r="1180">
      <c r="A1180" s="155" t="n">
        <v>46087</v>
      </c>
      <c r="B1180" s="156" t="inlineStr">
        <is>
          <t>DS</t>
        </is>
      </c>
      <c r="C1180" s="156" t="inlineStr">
        <is>
          <t>DT-519</t>
        </is>
      </c>
      <c r="D1180" s="156" t="inlineStr">
        <is>
          <t>SKT 105S</t>
        </is>
      </c>
      <c r="E1180" s="156" t="inlineStr">
        <is>
          <t>Hauler</t>
        </is>
      </c>
      <c r="F1180" s="156" t="inlineStr">
        <is>
          <t>Hauling OB</t>
        </is>
      </c>
      <c r="G1180" s="182" t="n">
        <v>7.19</v>
      </c>
      <c r="H1180" s="182" t="n">
        <v>0</v>
      </c>
      <c r="I1180" s="182" t="n">
        <v>2.75</v>
      </c>
      <c r="J1180" s="182" t="n">
        <v>2.75</v>
      </c>
      <c r="K1180" s="182" t="n">
        <v>2.06</v>
      </c>
      <c r="L1180" s="182" t="n">
        <v>12</v>
      </c>
      <c r="M1180" s="182" t="n">
        <v>7.19</v>
      </c>
      <c r="N1180" s="182" t="n">
        <v>0</v>
      </c>
      <c r="O1180" s="183" t="n">
        <v>29</v>
      </c>
      <c r="P1180" s="183" t="n">
        <v>0</v>
      </c>
      <c r="Q1180" s="184" t="n">
        <v>591.6</v>
      </c>
      <c r="R1180" s="184" t="n">
        <v>0</v>
      </c>
      <c r="S1180" s="183" t="n">
        <v>0</v>
      </c>
      <c r="T1180" s="183" t="n">
        <v>0</v>
      </c>
      <c r="U1180" s="182" t="n">
        <v>0</v>
      </c>
      <c r="V1180" s="182" t="n">
        <v>0</v>
      </c>
      <c r="W1180" s="182" t="n">
        <v>0</v>
      </c>
      <c r="X1180" s="182" t="n">
        <v>0.96</v>
      </c>
      <c r="Y1180" s="182" t="n">
        <v>0</v>
      </c>
      <c r="Z1180" s="182" t="n">
        <v>0</v>
      </c>
      <c r="AA1180" s="182" t="n">
        <v>0</v>
      </c>
      <c r="AB1180" s="182" t="n">
        <v>0</v>
      </c>
      <c r="AC1180" s="182" t="n">
        <v>0</v>
      </c>
      <c r="AD1180" s="182" t="n">
        <v>0</v>
      </c>
      <c r="AE1180" s="182" t="n">
        <v>0</v>
      </c>
      <c r="AF1180" s="182" t="n">
        <v>0.57</v>
      </c>
      <c r="AG1180" s="182" t="n">
        <v>0.45</v>
      </c>
      <c r="AH1180" s="182" t="n">
        <v>0</v>
      </c>
      <c r="AI1180" s="182" t="n">
        <v>0</v>
      </c>
      <c r="AJ1180" s="182" t="n">
        <v>0</v>
      </c>
      <c r="AK1180" s="182" t="n">
        <v>0</v>
      </c>
      <c r="AL1180" s="182" t="n">
        <v>0</v>
      </c>
      <c r="AM1180" s="182" t="n">
        <v>0.08</v>
      </c>
      <c r="AN1180" s="182" t="n">
        <v>0</v>
      </c>
    </row>
    <row r="1181">
      <c r="A1181" s="155" t="n">
        <v>46087</v>
      </c>
      <c r="B1181" s="156" t="inlineStr">
        <is>
          <t>DS</t>
        </is>
      </c>
      <c r="C1181" s="156" t="inlineStr">
        <is>
          <t>DT-527</t>
        </is>
      </c>
      <c r="D1181" s="156" t="inlineStr">
        <is>
          <t>SKT 105S</t>
        </is>
      </c>
      <c r="E1181" s="156" t="inlineStr">
        <is>
          <t>Hauler</t>
        </is>
      </c>
      <c r="F1181" s="156" t="inlineStr">
        <is>
          <t>Hauling Coal</t>
        </is>
      </c>
      <c r="G1181" s="182" t="n">
        <v>4.51</v>
      </c>
      <c r="H1181" s="182" t="n">
        <v>0</v>
      </c>
      <c r="I1181" s="182" t="n">
        <v>1.47</v>
      </c>
      <c r="J1181" s="182" t="n">
        <v>1.47</v>
      </c>
      <c r="K1181" s="182" t="n">
        <v>6.02</v>
      </c>
      <c r="L1181" s="182" t="n">
        <v>12</v>
      </c>
      <c r="M1181" s="182" t="n">
        <v>0</v>
      </c>
      <c r="N1181" s="182" t="n">
        <v>4.51</v>
      </c>
      <c r="O1181" s="183" t="n">
        <v>0</v>
      </c>
      <c r="P1181" s="183" t="n">
        <v>14</v>
      </c>
      <c r="Q1181" s="184" t="n">
        <v>0</v>
      </c>
      <c r="R1181" s="184" t="n">
        <v>261.8</v>
      </c>
      <c r="S1181" s="183" t="n">
        <v>0</v>
      </c>
      <c r="T1181" s="183" t="n">
        <v>0</v>
      </c>
      <c r="U1181" s="182" t="n">
        <v>0</v>
      </c>
      <c r="V1181" s="182" t="n">
        <v>0</v>
      </c>
      <c r="W1181" s="182" t="n">
        <v>0</v>
      </c>
      <c r="X1181" s="182" t="n">
        <v>0.98</v>
      </c>
      <c r="Y1181" s="182" t="n">
        <v>0</v>
      </c>
      <c r="Z1181" s="182" t="n">
        <v>0</v>
      </c>
      <c r="AA1181" s="182" t="n">
        <v>0</v>
      </c>
      <c r="AB1181" s="182" t="n">
        <v>0</v>
      </c>
      <c r="AC1181" s="182" t="n">
        <v>0</v>
      </c>
      <c r="AD1181" s="182" t="n">
        <v>4.96</v>
      </c>
      <c r="AE1181" s="182" t="n">
        <v>0</v>
      </c>
      <c r="AF1181" s="182" t="n">
        <v>0</v>
      </c>
      <c r="AG1181" s="182" t="n">
        <v>0</v>
      </c>
      <c r="AH1181" s="182" t="n">
        <v>0</v>
      </c>
      <c r="AI1181" s="182" t="n">
        <v>0</v>
      </c>
      <c r="AJ1181" s="182" t="n">
        <v>0</v>
      </c>
      <c r="AK1181" s="182" t="n">
        <v>0</v>
      </c>
      <c r="AL1181" s="182" t="n">
        <v>0</v>
      </c>
      <c r="AM1181" s="182" t="n">
        <v>0.08</v>
      </c>
      <c r="AN1181" s="182" t="n">
        <v>0</v>
      </c>
    </row>
    <row r="1182">
      <c r="A1182" s="155" t="n">
        <v>46087</v>
      </c>
      <c r="B1182" s="156" t="inlineStr">
        <is>
          <t>DS</t>
        </is>
      </c>
      <c r="C1182" s="156" t="inlineStr">
        <is>
          <t>DT-513</t>
        </is>
      </c>
      <c r="D1182" s="156" t="inlineStr">
        <is>
          <t>SKT 105S</t>
        </is>
      </c>
      <c r="E1182" s="156" t="inlineStr">
        <is>
          <t>Hauler</t>
        </is>
      </c>
      <c r="F1182" s="156" t="inlineStr"/>
      <c r="G1182" s="182" t="n">
        <v>0</v>
      </c>
      <c r="H1182" s="182" t="n">
        <v>0</v>
      </c>
      <c r="I1182" s="182" t="n">
        <v>12</v>
      </c>
      <c r="J1182" s="182" t="n">
        <v>12</v>
      </c>
      <c r="K1182" s="182" t="n">
        <v>0</v>
      </c>
      <c r="L1182" s="182" t="n">
        <v>12</v>
      </c>
      <c r="M1182" s="182" t="n">
        <v>0</v>
      </c>
      <c r="N1182" s="182" t="n">
        <v>0</v>
      </c>
      <c r="O1182" s="183" t="n">
        <v>0</v>
      </c>
      <c r="P1182" s="183" t="n">
        <v>0</v>
      </c>
      <c r="Q1182" s="184" t="n">
        <v>0</v>
      </c>
      <c r="R1182" s="184" t="n">
        <v>0</v>
      </c>
      <c r="S1182" s="183" t="n">
        <v>0</v>
      </c>
      <c r="T1182" s="183" t="n">
        <v>0</v>
      </c>
      <c r="U1182" s="182" t="n">
        <v>0</v>
      </c>
      <c r="V1182" s="182" t="n">
        <v>0</v>
      </c>
      <c r="W1182" s="182" t="n">
        <v>0</v>
      </c>
      <c r="X1182" s="182" t="n">
        <v>0</v>
      </c>
      <c r="Y1182" s="182" t="n">
        <v>0</v>
      </c>
      <c r="Z1182" s="182" t="n">
        <v>0</v>
      </c>
      <c r="AA1182" s="182" t="n">
        <v>0</v>
      </c>
      <c r="AB1182" s="182" t="n">
        <v>0</v>
      </c>
      <c r="AC1182" s="182" t="n">
        <v>0</v>
      </c>
      <c r="AD1182" s="182" t="n">
        <v>0</v>
      </c>
      <c r="AE1182" s="182" t="n">
        <v>0</v>
      </c>
      <c r="AF1182" s="182" t="n">
        <v>0</v>
      </c>
      <c r="AG1182" s="182" t="n">
        <v>0</v>
      </c>
      <c r="AH1182" s="182" t="n">
        <v>0</v>
      </c>
      <c r="AI1182" s="182" t="n">
        <v>0</v>
      </c>
      <c r="AJ1182" s="182" t="n">
        <v>0</v>
      </c>
      <c r="AK1182" s="182" t="n">
        <v>0</v>
      </c>
      <c r="AL1182" s="182" t="n">
        <v>0</v>
      </c>
      <c r="AM1182" s="182" t="n">
        <v>0</v>
      </c>
      <c r="AN1182" s="182" t="n">
        <v>0</v>
      </c>
    </row>
    <row r="1183">
      <c r="A1183" s="155" t="n">
        <v>46087</v>
      </c>
      <c r="B1183" s="156" t="inlineStr">
        <is>
          <t>DS</t>
        </is>
      </c>
      <c r="C1183" s="156" t="inlineStr">
        <is>
          <t>DT-512</t>
        </is>
      </c>
      <c r="D1183" s="156" t="inlineStr">
        <is>
          <t>SKT 105S</t>
        </is>
      </c>
      <c r="E1183" s="156" t="inlineStr">
        <is>
          <t>Hauler</t>
        </is>
      </c>
      <c r="F1183" s="156" t="inlineStr">
        <is>
          <t>Hauling Coal</t>
        </is>
      </c>
      <c r="G1183" s="182" t="n">
        <v>5.06</v>
      </c>
      <c r="H1183" s="182" t="n">
        <v>0</v>
      </c>
      <c r="I1183" s="182" t="n">
        <v>0</v>
      </c>
      <c r="J1183" s="182" t="n">
        <v>0</v>
      </c>
      <c r="K1183" s="182" t="n">
        <v>6.94</v>
      </c>
      <c r="L1183" s="182" t="n">
        <v>12</v>
      </c>
      <c r="M1183" s="182" t="n">
        <v>0</v>
      </c>
      <c r="N1183" s="182" t="n">
        <v>5.06</v>
      </c>
      <c r="O1183" s="183" t="n">
        <v>0</v>
      </c>
      <c r="P1183" s="183" t="n">
        <v>11</v>
      </c>
      <c r="Q1183" s="184" t="n">
        <v>0</v>
      </c>
      <c r="R1183" s="184" t="n">
        <v>205.7</v>
      </c>
      <c r="S1183" s="183" t="n">
        <v>0</v>
      </c>
      <c r="T1183" s="183" t="n">
        <v>0</v>
      </c>
      <c r="U1183" s="182" t="n">
        <v>0</v>
      </c>
      <c r="V1183" s="182" t="n">
        <v>0</v>
      </c>
      <c r="W1183" s="182" t="n">
        <v>0</v>
      </c>
      <c r="X1183" s="182" t="n">
        <v>0.99</v>
      </c>
      <c r="Y1183" s="182" t="n">
        <v>0</v>
      </c>
      <c r="Z1183" s="182" t="n">
        <v>0</v>
      </c>
      <c r="AA1183" s="182" t="n">
        <v>0</v>
      </c>
      <c r="AB1183" s="182" t="n">
        <v>0</v>
      </c>
      <c r="AC1183" s="182" t="n">
        <v>0</v>
      </c>
      <c r="AD1183" s="182" t="n">
        <v>5.87</v>
      </c>
      <c r="AE1183" s="182" t="n">
        <v>0</v>
      </c>
      <c r="AF1183" s="182" t="n">
        <v>0</v>
      </c>
      <c r="AG1183" s="182" t="n">
        <v>0</v>
      </c>
      <c r="AH1183" s="182" t="n">
        <v>0</v>
      </c>
      <c r="AI1183" s="182" t="n">
        <v>0</v>
      </c>
      <c r="AJ1183" s="182" t="n">
        <v>0</v>
      </c>
      <c r="AK1183" s="182" t="n">
        <v>0</v>
      </c>
      <c r="AL1183" s="182" t="n">
        <v>0</v>
      </c>
      <c r="AM1183" s="182" t="n">
        <v>0.08</v>
      </c>
      <c r="AN1183" s="182" t="n">
        <v>0</v>
      </c>
    </row>
    <row r="1184">
      <c r="A1184" s="155" t="n">
        <v>46087</v>
      </c>
      <c r="B1184" s="156" t="inlineStr">
        <is>
          <t>DS</t>
        </is>
      </c>
      <c r="C1184" s="156" t="inlineStr">
        <is>
          <t>DT-522</t>
        </is>
      </c>
      <c r="D1184" s="156" t="inlineStr">
        <is>
          <t>SKT 105S</t>
        </is>
      </c>
      <c r="E1184" s="156" t="inlineStr">
        <is>
          <t>Hauler</t>
        </is>
      </c>
      <c r="F1184" s="156" t="inlineStr">
        <is>
          <t>Hauling Coal</t>
        </is>
      </c>
      <c r="G1184" s="182" t="n">
        <v>4.44</v>
      </c>
      <c r="H1184" s="182" t="n">
        <v>0</v>
      </c>
      <c r="I1184" s="182" t="n">
        <v>0</v>
      </c>
      <c r="J1184" s="182" t="n">
        <v>0</v>
      </c>
      <c r="K1184" s="182" t="n">
        <v>7.56</v>
      </c>
      <c r="L1184" s="182" t="n">
        <v>12</v>
      </c>
      <c r="M1184" s="182" t="n">
        <v>0</v>
      </c>
      <c r="N1184" s="182" t="n">
        <v>4.44</v>
      </c>
      <c r="O1184" s="183" t="n">
        <v>0</v>
      </c>
      <c r="P1184" s="183" t="n">
        <v>11</v>
      </c>
      <c r="Q1184" s="184" t="n">
        <v>0</v>
      </c>
      <c r="R1184" s="184" t="n">
        <v>205.7</v>
      </c>
      <c r="S1184" s="183" t="n">
        <v>0</v>
      </c>
      <c r="T1184" s="183" t="n">
        <v>0</v>
      </c>
      <c r="U1184" s="182" t="n">
        <v>0</v>
      </c>
      <c r="V1184" s="182" t="n">
        <v>0</v>
      </c>
      <c r="W1184" s="182" t="n">
        <v>0</v>
      </c>
      <c r="X1184" s="182" t="n">
        <v>1.02</v>
      </c>
      <c r="Y1184" s="182" t="n">
        <v>0</v>
      </c>
      <c r="Z1184" s="182" t="n">
        <v>0</v>
      </c>
      <c r="AA1184" s="182" t="n">
        <v>0</v>
      </c>
      <c r="AB1184" s="182" t="n">
        <v>0</v>
      </c>
      <c r="AC1184" s="182" t="n">
        <v>0</v>
      </c>
      <c r="AD1184" s="182" t="n">
        <v>6.46</v>
      </c>
      <c r="AE1184" s="182" t="n">
        <v>0</v>
      </c>
      <c r="AF1184" s="182" t="n">
        <v>0</v>
      </c>
      <c r="AG1184" s="182" t="n">
        <v>0</v>
      </c>
      <c r="AH1184" s="182" t="n">
        <v>0</v>
      </c>
      <c r="AI1184" s="182" t="n">
        <v>0</v>
      </c>
      <c r="AJ1184" s="182" t="n">
        <v>0</v>
      </c>
      <c r="AK1184" s="182" t="n">
        <v>0</v>
      </c>
      <c r="AL1184" s="182" t="n">
        <v>0</v>
      </c>
      <c r="AM1184" s="182" t="n">
        <v>0.08</v>
      </c>
      <c r="AN1184" s="182" t="n">
        <v>0</v>
      </c>
    </row>
    <row r="1185">
      <c r="A1185" s="155" t="n">
        <v>46087</v>
      </c>
      <c r="B1185" s="156" t="inlineStr">
        <is>
          <t>DS</t>
        </is>
      </c>
      <c r="C1185" s="156" t="inlineStr">
        <is>
          <t>DT-517</t>
        </is>
      </c>
      <c r="D1185" s="156" t="inlineStr">
        <is>
          <t>SKT 105S</t>
        </is>
      </c>
      <c r="E1185" s="156" t="inlineStr">
        <is>
          <t>Hauler</t>
        </is>
      </c>
      <c r="F1185" s="156" t="inlineStr">
        <is>
          <t>Hauling OB &amp; Coal</t>
        </is>
      </c>
      <c r="G1185" s="182" t="n">
        <v>8.130000000000001</v>
      </c>
      <c r="H1185" s="182" t="n">
        <v>0</v>
      </c>
      <c r="I1185" s="182" t="n">
        <v>0</v>
      </c>
      <c r="J1185" s="182" t="n">
        <v>0</v>
      </c>
      <c r="K1185" s="182" t="n">
        <v>3.87</v>
      </c>
      <c r="L1185" s="182" t="n">
        <v>12</v>
      </c>
      <c r="M1185" s="182" t="n">
        <v>7.71</v>
      </c>
      <c r="N1185" s="182" t="n">
        <v>0.42</v>
      </c>
      <c r="O1185" s="183" t="n">
        <v>3</v>
      </c>
      <c r="P1185" s="183" t="n">
        <v>1</v>
      </c>
      <c r="Q1185" s="184" t="n">
        <v>61.2</v>
      </c>
      <c r="R1185" s="184" t="n">
        <v>18.7</v>
      </c>
      <c r="S1185" s="183" t="n">
        <v>0</v>
      </c>
      <c r="T1185" s="183" t="n">
        <v>0</v>
      </c>
      <c r="U1185" s="182" t="n">
        <v>0</v>
      </c>
      <c r="V1185" s="182" t="n">
        <v>0</v>
      </c>
      <c r="W1185" s="182" t="n">
        <v>0</v>
      </c>
      <c r="X1185" s="182" t="n">
        <v>0.99</v>
      </c>
      <c r="Y1185" s="182" t="n">
        <v>0</v>
      </c>
      <c r="Z1185" s="182" t="n">
        <v>0</v>
      </c>
      <c r="AA1185" s="182" t="n">
        <v>0</v>
      </c>
      <c r="AB1185" s="182" t="n">
        <v>0</v>
      </c>
      <c r="AC1185" s="182" t="n">
        <v>0</v>
      </c>
      <c r="AD1185" s="182" t="n">
        <v>2.8</v>
      </c>
      <c r="AE1185" s="182" t="n">
        <v>0</v>
      </c>
      <c r="AF1185" s="182" t="n">
        <v>0</v>
      </c>
      <c r="AG1185" s="182" t="n">
        <v>0</v>
      </c>
      <c r="AH1185" s="182" t="n">
        <v>0</v>
      </c>
      <c r="AI1185" s="182" t="n">
        <v>0</v>
      </c>
      <c r="AJ1185" s="182" t="n">
        <v>0</v>
      </c>
      <c r="AK1185" s="182" t="n">
        <v>0</v>
      </c>
      <c r="AL1185" s="182" t="n">
        <v>0</v>
      </c>
      <c r="AM1185" s="182" t="n">
        <v>0.08</v>
      </c>
      <c r="AN1185" s="182" t="n">
        <v>0</v>
      </c>
    </row>
    <row r="1186">
      <c r="A1186" s="155" t="n">
        <v>46087</v>
      </c>
      <c r="B1186" s="156" t="inlineStr">
        <is>
          <t>DS</t>
        </is>
      </c>
      <c r="C1186" s="156" t="inlineStr">
        <is>
          <t>DT-510</t>
        </is>
      </c>
      <c r="D1186" s="156" t="inlineStr">
        <is>
          <t>SKT 105S</t>
        </is>
      </c>
      <c r="E1186" s="156" t="inlineStr">
        <is>
          <t>Hauler</t>
        </is>
      </c>
      <c r="F1186" s="156" t="inlineStr"/>
      <c r="G1186" s="182" t="n">
        <v>0</v>
      </c>
      <c r="H1186" s="182" t="n">
        <v>0</v>
      </c>
      <c r="I1186" s="182" t="n">
        <v>12</v>
      </c>
      <c r="J1186" s="182" t="n">
        <v>12</v>
      </c>
      <c r="K1186" s="182" t="n">
        <v>0</v>
      </c>
      <c r="L1186" s="182" t="n">
        <v>12</v>
      </c>
      <c r="M1186" s="182" t="n">
        <v>0</v>
      </c>
      <c r="N1186" s="182" t="n">
        <v>0</v>
      </c>
      <c r="O1186" s="183" t="n">
        <v>0</v>
      </c>
      <c r="P1186" s="183" t="n">
        <v>0</v>
      </c>
      <c r="Q1186" s="184" t="n">
        <v>0</v>
      </c>
      <c r="R1186" s="184" t="n">
        <v>0</v>
      </c>
      <c r="S1186" s="183" t="n">
        <v>0</v>
      </c>
      <c r="T1186" s="183" t="n">
        <v>0</v>
      </c>
      <c r="U1186" s="182" t="n">
        <v>0</v>
      </c>
      <c r="V1186" s="182" t="n">
        <v>0</v>
      </c>
      <c r="W1186" s="182" t="n">
        <v>0</v>
      </c>
      <c r="X1186" s="182" t="n">
        <v>0</v>
      </c>
      <c r="Y1186" s="182" t="n">
        <v>0</v>
      </c>
      <c r="Z1186" s="182" t="n">
        <v>0</v>
      </c>
      <c r="AA1186" s="182" t="n">
        <v>0</v>
      </c>
      <c r="AB1186" s="182" t="n">
        <v>0</v>
      </c>
      <c r="AC1186" s="182" t="n">
        <v>0</v>
      </c>
      <c r="AD1186" s="182" t="n">
        <v>0</v>
      </c>
      <c r="AE1186" s="182" t="n">
        <v>0</v>
      </c>
      <c r="AF1186" s="182" t="n">
        <v>0</v>
      </c>
      <c r="AG1186" s="182" t="n">
        <v>0</v>
      </c>
      <c r="AH1186" s="182" t="n">
        <v>0</v>
      </c>
      <c r="AI1186" s="182" t="n">
        <v>0</v>
      </c>
      <c r="AJ1186" s="182" t="n">
        <v>0</v>
      </c>
      <c r="AK1186" s="182" t="n">
        <v>0</v>
      </c>
      <c r="AL1186" s="182" t="n">
        <v>0</v>
      </c>
      <c r="AM1186" s="182" t="n">
        <v>0</v>
      </c>
      <c r="AN1186" s="182" t="n">
        <v>0</v>
      </c>
    </row>
    <row r="1187">
      <c r="A1187" s="155" t="n">
        <v>46087</v>
      </c>
      <c r="B1187" s="156" t="inlineStr">
        <is>
          <t>DS</t>
        </is>
      </c>
      <c r="C1187" s="156" t="inlineStr">
        <is>
          <t>DT-521</t>
        </is>
      </c>
      <c r="D1187" s="156" t="inlineStr">
        <is>
          <t>SKT 105S</t>
        </is>
      </c>
      <c r="E1187" s="156" t="inlineStr">
        <is>
          <t>Hauler</t>
        </is>
      </c>
      <c r="F1187" s="156" t="inlineStr">
        <is>
          <t>Hauling OB &amp; Coal</t>
        </is>
      </c>
      <c r="G1187" s="182" t="n">
        <v>9</v>
      </c>
      <c r="H1187" s="182" t="n">
        <v>0</v>
      </c>
      <c r="I1187" s="182" t="n">
        <v>1.05</v>
      </c>
      <c r="J1187" s="182" t="n">
        <v>1.05</v>
      </c>
      <c r="K1187" s="182" t="n">
        <v>1.95</v>
      </c>
      <c r="L1187" s="182" t="n">
        <v>12</v>
      </c>
      <c r="M1187" s="182" t="n">
        <v>8.18</v>
      </c>
      <c r="N1187" s="182" t="n">
        <v>0.82</v>
      </c>
      <c r="O1187" s="183" t="n">
        <v>1</v>
      </c>
      <c r="P1187" s="183" t="n">
        <v>2</v>
      </c>
      <c r="Q1187" s="184" t="n">
        <v>20.4</v>
      </c>
      <c r="R1187" s="184" t="n">
        <v>37.4</v>
      </c>
      <c r="S1187" s="183" t="n">
        <v>0</v>
      </c>
      <c r="T1187" s="183" t="n">
        <v>0</v>
      </c>
      <c r="U1187" s="182" t="n">
        <v>0</v>
      </c>
      <c r="V1187" s="182" t="n">
        <v>0</v>
      </c>
      <c r="W1187" s="182" t="n">
        <v>0</v>
      </c>
      <c r="X1187" s="182" t="n">
        <v>0.8</v>
      </c>
      <c r="Y1187" s="182" t="n">
        <v>0</v>
      </c>
      <c r="Z1187" s="182" t="n">
        <v>0</v>
      </c>
      <c r="AA1187" s="182" t="n">
        <v>0</v>
      </c>
      <c r="AB1187" s="182" t="n">
        <v>0</v>
      </c>
      <c r="AC1187" s="182" t="n">
        <v>0</v>
      </c>
      <c r="AD1187" s="182" t="n">
        <v>0</v>
      </c>
      <c r="AE1187" s="182" t="n">
        <v>0</v>
      </c>
      <c r="AF1187" s="182" t="n">
        <v>0.48</v>
      </c>
      <c r="AG1187" s="182" t="n">
        <v>0.61</v>
      </c>
      <c r="AH1187" s="182" t="n">
        <v>0</v>
      </c>
      <c r="AI1187" s="182" t="n">
        <v>0</v>
      </c>
      <c r="AJ1187" s="182" t="n">
        <v>0</v>
      </c>
      <c r="AK1187" s="182" t="n">
        <v>0</v>
      </c>
      <c r="AL1187" s="182" t="n">
        <v>0</v>
      </c>
      <c r="AM1187" s="182" t="n">
        <v>0.06</v>
      </c>
      <c r="AN1187" s="182" t="n">
        <v>0</v>
      </c>
    </row>
    <row r="1188">
      <c r="A1188" s="155" t="n">
        <v>46087</v>
      </c>
      <c r="B1188" s="156" t="inlineStr">
        <is>
          <t>DS</t>
        </is>
      </c>
      <c r="C1188" s="156" t="inlineStr">
        <is>
          <t>DT-516</t>
        </is>
      </c>
      <c r="D1188" s="156" t="inlineStr">
        <is>
          <t>SKT 105S</t>
        </is>
      </c>
      <c r="E1188" s="156" t="inlineStr">
        <is>
          <t>Hauler</t>
        </is>
      </c>
      <c r="F1188" s="156" t="inlineStr">
        <is>
          <t>Hauling OB</t>
        </is>
      </c>
      <c r="G1188" s="182" t="n">
        <v>3</v>
      </c>
      <c r="H1188" s="182" t="n">
        <v>0</v>
      </c>
      <c r="I1188" s="182" t="n">
        <v>0</v>
      </c>
      <c r="J1188" s="182" t="n">
        <v>0</v>
      </c>
      <c r="K1188" s="182" t="n">
        <v>9</v>
      </c>
      <c r="L1188" s="182" t="n">
        <v>12</v>
      </c>
      <c r="M1188" s="182" t="n">
        <v>3</v>
      </c>
      <c r="N1188" s="182" t="n">
        <v>0</v>
      </c>
      <c r="O1188" s="183" t="n">
        <v>19</v>
      </c>
      <c r="P1188" s="183" t="n">
        <v>0</v>
      </c>
      <c r="Q1188" s="184" t="n">
        <v>387.6</v>
      </c>
      <c r="R1188" s="184" t="n">
        <v>0</v>
      </c>
      <c r="S1188" s="183" t="n">
        <v>0</v>
      </c>
      <c r="T1188" s="183" t="n">
        <v>0</v>
      </c>
      <c r="U1188" s="182" t="n">
        <v>0</v>
      </c>
      <c r="V1188" s="182" t="n">
        <v>0</v>
      </c>
      <c r="W1188" s="182" t="n">
        <v>0</v>
      </c>
      <c r="X1188" s="182" t="n">
        <v>1.06</v>
      </c>
      <c r="Y1188" s="182" t="n">
        <v>0</v>
      </c>
      <c r="Z1188" s="182" t="n">
        <v>0</v>
      </c>
      <c r="AA1188" s="182" t="n">
        <v>0</v>
      </c>
      <c r="AB1188" s="182" t="n">
        <v>0</v>
      </c>
      <c r="AC1188" s="182" t="n">
        <v>0</v>
      </c>
      <c r="AD1188" s="182" t="n">
        <v>7.86</v>
      </c>
      <c r="AE1188" s="182" t="n">
        <v>0</v>
      </c>
      <c r="AF1188" s="182" t="n">
        <v>0</v>
      </c>
      <c r="AG1188" s="182" t="n">
        <v>0</v>
      </c>
      <c r="AH1188" s="182" t="n">
        <v>0</v>
      </c>
      <c r="AI1188" s="182" t="n">
        <v>0</v>
      </c>
      <c r="AJ1188" s="182" t="n">
        <v>0</v>
      </c>
      <c r="AK1188" s="182" t="n">
        <v>0</v>
      </c>
      <c r="AL1188" s="182" t="n">
        <v>0</v>
      </c>
      <c r="AM1188" s="182" t="n">
        <v>0.08</v>
      </c>
      <c r="AN1188" s="182" t="n">
        <v>0</v>
      </c>
    </row>
    <row r="1189">
      <c r="A1189" s="155" t="n">
        <v>46087</v>
      </c>
      <c r="B1189" s="156" t="inlineStr">
        <is>
          <t>DS</t>
        </is>
      </c>
      <c r="C1189" s="156" t="inlineStr">
        <is>
          <t>DT-506</t>
        </is>
      </c>
      <c r="D1189" s="156" t="inlineStr">
        <is>
          <t>SKT 105S</t>
        </is>
      </c>
      <c r="E1189" s="156" t="inlineStr">
        <is>
          <t>Hauler</t>
        </is>
      </c>
      <c r="F1189" s="156" t="inlineStr">
        <is>
          <t>Hauling OB &amp; Coal</t>
        </is>
      </c>
      <c r="G1189" s="182" t="n">
        <v>7.57</v>
      </c>
      <c r="H1189" s="182" t="n">
        <v>0</v>
      </c>
      <c r="I1189" s="182" t="n">
        <v>0</v>
      </c>
      <c r="J1189" s="182" t="n">
        <v>0</v>
      </c>
      <c r="K1189" s="182" t="n">
        <v>4.43</v>
      </c>
      <c r="L1189" s="182" t="n">
        <v>12</v>
      </c>
      <c r="M1189" s="182" t="n">
        <v>6.57</v>
      </c>
      <c r="N1189" s="182" t="n">
        <v>1</v>
      </c>
      <c r="O1189" s="183" t="n">
        <v>16</v>
      </c>
      <c r="P1189" s="183" t="n">
        <v>3</v>
      </c>
      <c r="Q1189" s="184" t="n">
        <v>326.4</v>
      </c>
      <c r="R1189" s="184" t="n">
        <v>56.1</v>
      </c>
      <c r="S1189" s="183" t="n">
        <v>0</v>
      </c>
      <c r="T1189" s="183" t="n">
        <v>0</v>
      </c>
      <c r="U1189" s="182" t="n">
        <v>0</v>
      </c>
      <c r="V1189" s="182" t="n">
        <v>0</v>
      </c>
      <c r="W1189" s="182" t="n">
        <v>0</v>
      </c>
      <c r="X1189" s="182" t="n">
        <v>1.01</v>
      </c>
      <c r="Y1189" s="182" t="n">
        <v>0</v>
      </c>
      <c r="Z1189" s="182" t="n">
        <v>0</v>
      </c>
      <c r="AA1189" s="182" t="n">
        <v>0</v>
      </c>
      <c r="AB1189" s="182" t="n">
        <v>0</v>
      </c>
      <c r="AC1189" s="182" t="n">
        <v>0</v>
      </c>
      <c r="AD1189" s="182" t="n">
        <v>3.34</v>
      </c>
      <c r="AE1189" s="182" t="n">
        <v>0</v>
      </c>
      <c r="AF1189" s="182" t="n">
        <v>0</v>
      </c>
      <c r="AG1189" s="182" t="n">
        <v>0</v>
      </c>
      <c r="AH1189" s="182" t="n">
        <v>0</v>
      </c>
      <c r="AI1189" s="182" t="n">
        <v>0</v>
      </c>
      <c r="AJ1189" s="182" t="n">
        <v>0</v>
      </c>
      <c r="AK1189" s="182" t="n">
        <v>0</v>
      </c>
      <c r="AL1189" s="182" t="n">
        <v>0</v>
      </c>
      <c r="AM1189" s="182" t="n">
        <v>0.08</v>
      </c>
      <c r="AN1189" s="182" t="n">
        <v>0</v>
      </c>
    </row>
    <row r="1190">
      <c r="A1190" s="155" t="n">
        <v>46087</v>
      </c>
      <c r="B1190" s="156" t="inlineStr">
        <is>
          <t>DS</t>
        </is>
      </c>
      <c r="C1190" s="156" t="inlineStr">
        <is>
          <t>DT-502</t>
        </is>
      </c>
      <c r="D1190" s="156" t="inlineStr">
        <is>
          <t>SKT 105S</t>
        </is>
      </c>
      <c r="E1190" s="156" t="inlineStr">
        <is>
          <t>Hauler</t>
        </is>
      </c>
      <c r="F1190" s="156" t="inlineStr">
        <is>
          <t>Hauling OB</t>
        </is>
      </c>
      <c r="G1190" s="182" t="n">
        <v>6.63</v>
      </c>
      <c r="H1190" s="182" t="n">
        <v>0</v>
      </c>
      <c r="I1190" s="182" t="n">
        <v>0</v>
      </c>
      <c r="J1190" s="182" t="n">
        <v>0</v>
      </c>
      <c r="K1190" s="182" t="n">
        <v>5.37</v>
      </c>
      <c r="L1190" s="182" t="n">
        <v>12</v>
      </c>
      <c r="M1190" s="182" t="n">
        <v>6.63</v>
      </c>
      <c r="N1190" s="182" t="n">
        <v>0</v>
      </c>
      <c r="O1190" s="183" t="n">
        <v>19</v>
      </c>
      <c r="P1190" s="183" t="n">
        <v>0</v>
      </c>
      <c r="Q1190" s="184" t="n">
        <v>387.6</v>
      </c>
      <c r="R1190" s="184" t="n">
        <v>0</v>
      </c>
      <c r="S1190" s="183" t="n">
        <v>0</v>
      </c>
      <c r="T1190" s="183" t="n">
        <v>0</v>
      </c>
      <c r="U1190" s="182" t="n">
        <v>0</v>
      </c>
      <c r="V1190" s="182" t="n">
        <v>0</v>
      </c>
      <c r="W1190" s="182" t="n">
        <v>0</v>
      </c>
      <c r="X1190" s="182" t="n">
        <v>0.99</v>
      </c>
      <c r="Y1190" s="182" t="n">
        <v>0</v>
      </c>
      <c r="Z1190" s="182" t="n">
        <v>0</v>
      </c>
      <c r="AA1190" s="182" t="n">
        <v>0</v>
      </c>
      <c r="AB1190" s="182" t="n">
        <v>0</v>
      </c>
      <c r="AC1190" s="182" t="n">
        <v>0</v>
      </c>
      <c r="AD1190" s="182" t="n">
        <v>4.3</v>
      </c>
      <c r="AE1190" s="182" t="n">
        <v>0</v>
      </c>
      <c r="AF1190" s="182" t="n">
        <v>0</v>
      </c>
      <c r="AG1190" s="182" t="n">
        <v>0</v>
      </c>
      <c r="AH1190" s="182" t="n">
        <v>0</v>
      </c>
      <c r="AI1190" s="182" t="n">
        <v>0</v>
      </c>
      <c r="AJ1190" s="182" t="n">
        <v>0</v>
      </c>
      <c r="AK1190" s="182" t="n">
        <v>0</v>
      </c>
      <c r="AL1190" s="182" t="n">
        <v>0</v>
      </c>
      <c r="AM1190" s="182" t="n">
        <v>0.08</v>
      </c>
      <c r="AN1190" s="182" t="n">
        <v>0</v>
      </c>
    </row>
    <row r="1191">
      <c r="A1191" s="155" t="n">
        <v>46087</v>
      </c>
      <c r="B1191" s="156" t="inlineStr">
        <is>
          <t>DS</t>
        </is>
      </c>
      <c r="C1191" s="156" t="inlineStr">
        <is>
          <t>DT-528</t>
        </is>
      </c>
      <c r="D1191" s="156" t="inlineStr">
        <is>
          <t>SKT 105S</t>
        </is>
      </c>
      <c r="E1191" s="156" t="inlineStr">
        <is>
          <t>Hauler</t>
        </is>
      </c>
      <c r="F1191" s="156" t="inlineStr">
        <is>
          <t>Hauling OB &amp; Coal</t>
        </is>
      </c>
      <c r="G1191" s="182" t="n">
        <v>7.82</v>
      </c>
      <c r="H1191" s="182" t="n">
        <v>0</v>
      </c>
      <c r="I1191" s="182" t="n">
        <v>0</v>
      </c>
      <c r="J1191" s="182" t="n">
        <v>0</v>
      </c>
      <c r="K1191" s="182" t="n">
        <v>4.18</v>
      </c>
      <c r="L1191" s="182" t="n">
        <v>12</v>
      </c>
      <c r="M1191" s="182" t="n">
        <v>6.47</v>
      </c>
      <c r="N1191" s="182" t="n">
        <v>1.36</v>
      </c>
      <c r="O1191" s="183" t="n">
        <v>19</v>
      </c>
      <c r="P1191" s="183" t="n">
        <v>5</v>
      </c>
      <c r="Q1191" s="184" t="n">
        <v>387.6</v>
      </c>
      <c r="R1191" s="184" t="n">
        <v>93.5</v>
      </c>
      <c r="S1191" s="183" t="n">
        <v>0</v>
      </c>
      <c r="T1191" s="183" t="n">
        <v>0</v>
      </c>
      <c r="U1191" s="182" t="n">
        <v>0</v>
      </c>
      <c r="V1191" s="182" t="n">
        <v>0</v>
      </c>
      <c r="W1191" s="182" t="n">
        <v>0</v>
      </c>
      <c r="X1191" s="182" t="n">
        <v>0.93</v>
      </c>
      <c r="Y1191" s="182" t="n">
        <v>0</v>
      </c>
      <c r="Z1191" s="182" t="n">
        <v>0</v>
      </c>
      <c r="AA1191" s="182" t="n">
        <v>0</v>
      </c>
      <c r="AB1191" s="182" t="n">
        <v>0</v>
      </c>
      <c r="AC1191" s="182" t="n">
        <v>0</v>
      </c>
      <c r="AD1191" s="182" t="n">
        <v>3.18</v>
      </c>
      <c r="AE1191" s="182" t="n">
        <v>0</v>
      </c>
      <c r="AF1191" s="182" t="n">
        <v>0</v>
      </c>
      <c r="AG1191" s="182" t="n">
        <v>0</v>
      </c>
      <c r="AH1191" s="182" t="n">
        <v>0</v>
      </c>
      <c r="AI1191" s="182" t="n">
        <v>0</v>
      </c>
      <c r="AJ1191" s="182" t="n">
        <v>0</v>
      </c>
      <c r="AK1191" s="182" t="n">
        <v>0</v>
      </c>
      <c r="AL1191" s="182" t="n">
        <v>0</v>
      </c>
      <c r="AM1191" s="182" t="n">
        <v>0.07000000000000001</v>
      </c>
      <c r="AN1191" s="182" t="n">
        <v>0</v>
      </c>
    </row>
    <row r="1192">
      <c r="A1192" s="155" t="n">
        <v>46087</v>
      </c>
      <c r="B1192" s="156" t="inlineStr">
        <is>
          <t>DS</t>
        </is>
      </c>
      <c r="C1192" s="156" t="inlineStr">
        <is>
          <t>DT-529</t>
        </is>
      </c>
      <c r="D1192" s="156" t="inlineStr">
        <is>
          <t>SKT 105S</t>
        </is>
      </c>
      <c r="E1192" s="156" t="inlineStr">
        <is>
          <t>Hauler</t>
        </is>
      </c>
      <c r="F1192" s="156" t="inlineStr">
        <is>
          <t>Hauling OB</t>
        </is>
      </c>
      <c r="G1192" s="182" t="n">
        <v>10.02</v>
      </c>
      <c r="H1192" s="182" t="n">
        <v>0</v>
      </c>
      <c r="I1192" s="182" t="n">
        <v>0</v>
      </c>
      <c r="J1192" s="182" t="n">
        <v>0</v>
      </c>
      <c r="K1192" s="182" t="n">
        <v>1.98</v>
      </c>
      <c r="L1192" s="182" t="n">
        <v>12</v>
      </c>
      <c r="M1192" s="182" t="n">
        <v>10.02</v>
      </c>
      <c r="N1192" s="182" t="n">
        <v>0</v>
      </c>
      <c r="O1192" s="183" t="n">
        <v>34</v>
      </c>
      <c r="P1192" s="183" t="n">
        <v>0</v>
      </c>
      <c r="Q1192" s="184" t="n">
        <v>693.6</v>
      </c>
      <c r="R1192" s="184" t="n">
        <v>0</v>
      </c>
      <c r="S1192" s="183" t="n">
        <v>0</v>
      </c>
      <c r="T1192" s="183" t="n">
        <v>0</v>
      </c>
      <c r="U1192" s="182" t="n">
        <v>0</v>
      </c>
      <c r="V1192" s="182" t="n">
        <v>0</v>
      </c>
      <c r="W1192" s="182" t="n">
        <v>0</v>
      </c>
      <c r="X1192" s="182" t="n">
        <v>1.24</v>
      </c>
      <c r="Y1192" s="182" t="n">
        <v>0</v>
      </c>
      <c r="Z1192" s="182" t="n">
        <v>0</v>
      </c>
      <c r="AA1192" s="182" t="n">
        <v>0</v>
      </c>
      <c r="AB1192" s="182" t="n">
        <v>0</v>
      </c>
      <c r="AC1192" s="182" t="n">
        <v>0</v>
      </c>
      <c r="AD1192" s="182" t="n">
        <v>0</v>
      </c>
      <c r="AE1192" s="182" t="n">
        <v>0</v>
      </c>
      <c r="AF1192" s="182" t="n">
        <v>0</v>
      </c>
      <c r="AG1192" s="182" t="n">
        <v>0</v>
      </c>
      <c r="AH1192" s="182" t="n">
        <v>0.64</v>
      </c>
      <c r="AI1192" s="182" t="n">
        <v>0</v>
      </c>
      <c r="AJ1192" s="182" t="n">
        <v>0</v>
      </c>
      <c r="AK1192" s="182" t="n">
        <v>0</v>
      </c>
      <c r="AL1192" s="182" t="n">
        <v>0</v>
      </c>
      <c r="AM1192" s="182" t="n">
        <v>0.1</v>
      </c>
      <c r="AN1192" s="182" t="n">
        <v>0</v>
      </c>
    </row>
    <row r="1193">
      <c r="A1193" s="155" t="n">
        <v>46087</v>
      </c>
      <c r="B1193" s="156" t="inlineStr">
        <is>
          <t>DS</t>
        </is>
      </c>
      <c r="C1193" s="156" t="inlineStr">
        <is>
          <t>DT-520</t>
        </is>
      </c>
      <c r="D1193" s="156" t="inlineStr">
        <is>
          <t>SKT 105S</t>
        </is>
      </c>
      <c r="E1193" s="156" t="inlineStr">
        <is>
          <t>Hauler</t>
        </is>
      </c>
      <c r="F1193" s="156" t="inlineStr">
        <is>
          <t>Hauling OB &amp; Coal</t>
        </is>
      </c>
      <c r="G1193" s="182" t="n">
        <v>10.31</v>
      </c>
      <c r="H1193" s="182" t="n">
        <v>0</v>
      </c>
      <c r="I1193" s="182" t="n">
        <v>0</v>
      </c>
      <c r="J1193" s="182" t="n">
        <v>0</v>
      </c>
      <c r="K1193" s="182" t="n">
        <v>1.69</v>
      </c>
      <c r="L1193" s="182" t="n">
        <v>12</v>
      </c>
      <c r="M1193" s="182" t="n">
        <v>8.27</v>
      </c>
      <c r="N1193" s="182" t="n">
        <v>2.04</v>
      </c>
      <c r="O1193" s="183" t="n">
        <v>28</v>
      </c>
      <c r="P1193" s="183" t="n">
        <v>6</v>
      </c>
      <c r="Q1193" s="184" t="n">
        <v>571.2</v>
      </c>
      <c r="R1193" s="184" t="n">
        <v>112.2</v>
      </c>
      <c r="S1193" s="183" t="n">
        <v>0</v>
      </c>
      <c r="T1193" s="183" t="n">
        <v>0</v>
      </c>
      <c r="U1193" s="182" t="n">
        <v>0</v>
      </c>
      <c r="V1193" s="182" t="n">
        <v>0</v>
      </c>
      <c r="W1193" s="182" t="n">
        <v>0</v>
      </c>
      <c r="X1193" s="182" t="n">
        <v>0.89</v>
      </c>
      <c r="Y1193" s="182" t="n">
        <v>0</v>
      </c>
      <c r="Z1193" s="182" t="n">
        <v>0</v>
      </c>
      <c r="AA1193" s="182" t="n">
        <v>0</v>
      </c>
      <c r="AB1193" s="182" t="n">
        <v>0</v>
      </c>
      <c r="AC1193" s="182" t="n">
        <v>0</v>
      </c>
      <c r="AD1193" s="182" t="n">
        <v>0</v>
      </c>
      <c r="AE1193" s="182" t="n">
        <v>0</v>
      </c>
      <c r="AF1193" s="182" t="n">
        <v>0</v>
      </c>
      <c r="AG1193" s="182" t="n">
        <v>0</v>
      </c>
      <c r="AH1193" s="182" t="n">
        <v>0.73</v>
      </c>
      <c r="AI1193" s="182" t="n">
        <v>0</v>
      </c>
      <c r="AJ1193" s="182" t="n">
        <v>0</v>
      </c>
      <c r="AK1193" s="182" t="n">
        <v>0</v>
      </c>
      <c r="AL1193" s="182" t="n">
        <v>0</v>
      </c>
      <c r="AM1193" s="182" t="n">
        <v>0.07000000000000001</v>
      </c>
      <c r="AN1193" s="182" t="n">
        <v>0</v>
      </c>
    </row>
    <row r="1194">
      <c r="A1194" s="155" t="n">
        <v>46087</v>
      </c>
      <c r="B1194" s="156" t="inlineStr">
        <is>
          <t>DS</t>
        </is>
      </c>
      <c r="C1194" s="156" t="inlineStr">
        <is>
          <t>DT-511</t>
        </is>
      </c>
      <c r="D1194" s="156" t="inlineStr">
        <is>
          <t>SKT 105S</t>
        </is>
      </c>
      <c r="E1194" s="156" t="inlineStr">
        <is>
          <t>Hauler</t>
        </is>
      </c>
      <c r="F1194" s="156" t="inlineStr">
        <is>
          <t>Hauling OB</t>
        </is>
      </c>
      <c r="G1194" s="182" t="n">
        <v>9.73</v>
      </c>
      <c r="H1194" s="182" t="n">
        <v>0</v>
      </c>
      <c r="I1194" s="182" t="n">
        <v>0</v>
      </c>
      <c r="J1194" s="182" t="n">
        <v>0</v>
      </c>
      <c r="K1194" s="182" t="n">
        <v>2.27</v>
      </c>
      <c r="L1194" s="182" t="n">
        <v>12</v>
      </c>
      <c r="M1194" s="182" t="n">
        <v>9.73</v>
      </c>
      <c r="N1194" s="182" t="n">
        <v>0</v>
      </c>
      <c r="O1194" s="183" t="n">
        <v>36</v>
      </c>
      <c r="P1194" s="183" t="n">
        <v>0</v>
      </c>
      <c r="Q1194" s="184" t="n">
        <v>734.4</v>
      </c>
      <c r="R1194" s="184" t="n">
        <v>0</v>
      </c>
      <c r="S1194" s="183" t="n">
        <v>0</v>
      </c>
      <c r="T1194" s="183" t="n">
        <v>0</v>
      </c>
      <c r="U1194" s="182" t="n">
        <v>0</v>
      </c>
      <c r="V1194" s="182" t="n">
        <v>0</v>
      </c>
      <c r="W1194" s="182" t="n">
        <v>0</v>
      </c>
      <c r="X1194" s="182" t="n">
        <v>1.14</v>
      </c>
      <c r="Y1194" s="182" t="n">
        <v>0</v>
      </c>
      <c r="Z1194" s="182" t="n">
        <v>0</v>
      </c>
      <c r="AA1194" s="182" t="n">
        <v>0</v>
      </c>
      <c r="AB1194" s="182" t="n">
        <v>0</v>
      </c>
      <c r="AC1194" s="182" t="n">
        <v>0</v>
      </c>
      <c r="AD1194" s="182" t="n">
        <v>0</v>
      </c>
      <c r="AE1194" s="182" t="n">
        <v>0</v>
      </c>
      <c r="AF1194" s="182" t="n">
        <v>0</v>
      </c>
      <c r="AG1194" s="182" t="n">
        <v>0</v>
      </c>
      <c r="AH1194" s="182" t="n">
        <v>1.04</v>
      </c>
      <c r="AI1194" s="182" t="n">
        <v>0</v>
      </c>
      <c r="AJ1194" s="182" t="n">
        <v>0</v>
      </c>
      <c r="AK1194" s="182" t="n">
        <v>0</v>
      </c>
      <c r="AL1194" s="182" t="n">
        <v>0</v>
      </c>
      <c r="AM1194" s="182" t="n">
        <v>0.09</v>
      </c>
      <c r="AN1194" s="182" t="n">
        <v>0</v>
      </c>
    </row>
    <row r="1195">
      <c r="A1195" s="155" t="n">
        <v>46087</v>
      </c>
      <c r="B1195" s="156" t="inlineStr">
        <is>
          <t>DS</t>
        </is>
      </c>
      <c r="C1195" s="156" t="inlineStr">
        <is>
          <t>DT-509</t>
        </is>
      </c>
      <c r="D1195" s="156" t="inlineStr">
        <is>
          <t>SKT 105S</t>
        </is>
      </c>
      <c r="E1195" s="156" t="inlineStr">
        <is>
          <t>Hauler</t>
        </is>
      </c>
      <c r="F1195" s="156" t="inlineStr"/>
      <c r="G1195" s="182" t="n">
        <v>0</v>
      </c>
      <c r="H1195" s="182" t="n">
        <v>0</v>
      </c>
      <c r="I1195" s="182" t="n">
        <v>10</v>
      </c>
      <c r="J1195" s="182" t="n">
        <v>10</v>
      </c>
      <c r="K1195" s="182" t="n">
        <v>2</v>
      </c>
      <c r="L1195" s="182" t="n">
        <v>12</v>
      </c>
      <c r="M1195" s="182" t="n">
        <v>0</v>
      </c>
      <c r="N1195" s="182" t="n">
        <v>0</v>
      </c>
      <c r="O1195" s="183" t="n">
        <v>0</v>
      </c>
      <c r="P1195" s="183" t="n">
        <v>0</v>
      </c>
      <c r="Q1195" s="184" t="n">
        <v>0</v>
      </c>
      <c r="R1195" s="184" t="n">
        <v>0</v>
      </c>
      <c r="S1195" s="183" t="n">
        <v>0</v>
      </c>
      <c r="T1195" s="183" t="n">
        <v>0</v>
      </c>
      <c r="U1195" s="182" t="n">
        <v>0</v>
      </c>
      <c r="V1195" s="182" t="n">
        <v>0</v>
      </c>
      <c r="W1195" s="182" t="n">
        <v>0</v>
      </c>
      <c r="X1195" s="182" t="n">
        <v>1</v>
      </c>
      <c r="Y1195" s="182" t="n">
        <v>0</v>
      </c>
      <c r="Z1195" s="182" t="n">
        <v>0</v>
      </c>
      <c r="AA1195" s="182" t="n">
        <v>0</v>
      </c>
      <c r="AB1195" s="182" t="n">
        <v>0</v>
      </c>
      <c r="AC1195" s="182" t="n">
        <v>0</v>
      </c>
      <c r="AD1195" s="182" t="n">
        <v>0</v>
      </c>
      <c r="AE1195" s="182" t="n">
        <v>0</v>
      </c>
      <c r="AF1195" s="182" t="n">
        <v>0</v>
      </c>
      <c r="AG1195" s="182" t="n">
        <v>0</v>
      </c>
      <c r="AH1195" s="182" t="n">
        <v>0.92</v>
      </c>
      <c r="AI1195" s="182" t="n">
        <v>0</v>
      </c>
      <c r="AJ1195" s="182" t="n">
        <v>0</v>
      </c>
      <c r="AK1195" s="182" t="n">
        <v>0</v>
      </c>
      <c r="AL1195" s="182" t="n">
        <v>0</v>
      </c>
      <c r="AM1195" s="182" t="n">
        <v>0.08</v>
      </c>
      <c r="AN1195" s="182" t="n">
        <v>0</v>
      </c>
    </row>
    <row r="1196">
      <c r="A1196" s="155" t="n">
        <v>46087</v>
      </c>
      <c r="B1196" s="156" t="inlineStr">
        <is>
          <t>DS</t>
        </is>
      </c>
      <c r="C1196" s="156" t="inlineStr">
        <is>
          <t>DT-526</t>
        </is>
      </c>
      <c r="D1196" s="156" t="inlineStr">
        <is>
          <t>SKT 105S</t>
        </is>
      </c>
      <c r="E1196" s="156" t="inlineStr">
        <is>
          <t>Hauler</t>
        </is>
      </c>
      <c r="F1196" s="156" t="inlineStr">
        <is>
          <t>Hauling OB &amp; Coal</t>
        </is>
      </c>
      <c r="G1196" s="182" t="n">
        <v>9.43</v>
      </c>
      <c r="H1196" s="182" t="n">
        <v>0</v>
      </c>
      <c r="I1196" s="182" t="n">
        <v>0</v>
      </c>
      <c r="J1196" s="182" t="n">
        <v>0</v>
      </c>
      <c r="K1196" s="182" t="n">
        <v>2.57</v>
      </c>
      <c r="L1196" s="182" t="n">
        <v>12</v>
      </c>
      <c r="M1196" s="182" t="n">
        <v>9</v>
      </c>
      <c r="N1196" s="182" t="n">
        <v>0.42</v>
      </c>
      <c r="O1196" s="183" t="n">
        <v>29</v>
      </c>
      <c r="P1196" s="183" t="n">
        <v>1</v>
      </c>
      <c r="Q1196" s="184" t="n">
        <v>591.6</v>
      </c>
      <c r="R1196" s="184" t="n">
        <v>18.7</v>
      </c>
      <c r="S1196" s="183" t="n">
        <v>0</v>
      </c>
      <c r="T1196" s="183" t="n">
        <v>0</v>
      </c>
      <c r="U1196" s="182" t="n">
        <v>0</v>
      </c>
      <c r="V1196" s="182" t="n">
        <v>0</v>
      </c>
      <c r="W1196" s="182" t="n">
        <v>0</v>
      </c>
      <c r="X1196" s="182" t="n">
        <v>0.99</v>
      </c>
      <c r="Y1196" s="182" t="n">
        <v>0</v>
      </c>
      <c r="Z1196" s="182" t="n">
        <v>0</v>
      </c>
      <c r="AA1196" s="182" t="n">
        <v>0</v>
      </c>
      <c r="AB1196" s="182" t="n">
        <v>0</v>
      </c>
      <c r="AC1196" s="182" t="n">
        <v>0</v>
      </c>
      <c r="AD1196" s="182" t="n">
        <v>0</v>
      </c>
      <c r="AE1196" s="182" t="n">
        <v>0</v>
      </c>
      <c r="AF1196" s="182" t="n">
        <v>0.59</v>
      </c>
      <c r="AG1196" s="182" t="n">
        <v>0.91</v>
      </c>
      <c r="AH1196" s="182" t="n">
        <v>0</v>
      </c>
      <c r="AI1196" s="182" t="n">
        <v>0</v>
      </c>
      <c r="AJ1196" s="182" t="n">
        <v>0</v>
      </c>
      <c r="AK1196" s="182" t="n">
        <v>0</v>
      </c>
      <c r="AL1196" s="182" t="n">
        <v>0</v>
      </c>
      <c r="AM1196" s="182" t="n">
        <v>0.08</v>
      </c>
      <c r="AN1196" s="182" t="n">
        <v>0</v>
      </c>
    </row>
    <row r="1197">
      <c r="A1197" s="155" t="n">
        <v>46087</v>
      </c>
      <c r="B1197" s="156" t="inlineStr">
        <is>
          <t>DS</t>
        </is>
      </c>
      <c r="C1197" s="156" t="inlineStr">
        <is>
          <t>DT-508</t>
        </is>
      </c>
      <c r="D1197" s="156" t="inlineStr">
        <is>
          <t>SKT 105S</t>
        </is>
      </c>
      <c r="E1197" s="156" t="inlineStr">
        <is>
          <t>Hauler</t>
        </is>
      </c>
      <c r="F1197" s="156" t="inlineStr">
        <is>
          <t>Hauling OB</t>
        </is>
      </c>
      <c r="G1197" s="182" t="n">
        <v>11.04</v>
      </c>
      <c r="H1197" s="182" t="n">
        <v>0</v>
      </c>
      <c r="I1197" s="182" t="n">
        <v>0</v>
      </c>
      <c r="J1197" s="182" t="n">
        <v>0</v>
      </c>
      <c r="K1197" s="182" t="n">
        <v>0.96</v>
      </c>
      <c r="L1197" s="182" t="n">
        <v>12</v>
      </c>
      <c r="M1197" s="182" t="n">
        <v>11.04</v>
      </c>
      <c r="N1197" s="182" t="n">
        <v>0</v>
      </c>
      <c r="O1197" s="183" t="n">
        <v>43</v>
      </c>
      <c r="P1197" s="183" t="n">
        <v>0</v>
      </c>
      <c r="Q1197" s="184" t="n">
        <v>877.2</v>
      </c>
      <c r="R1197" s="184" t="n">
        <v>0</v>
      </c>
      <c r="S1197" s="183" t="n">
        <v>0</v>
      </c>
      <c r="T1197" s="183" t="n">
        <v>0</v>
      </c>
      <c r="U1197" s="182" t="n">
        <v>0</v>
      </c>
      <c r="V1197" s="182" t="n">
        <v>0</v>
      </c>
      <c r="W1197" s="182" t="n">
        <v>0</v>
      </c>
      <c r="X1197" s="182" t="n">
        <v>0.6899999999999999</v>
      </c>
      <c r="Y1197" s="182" t="n">
        <v>0</v>
      </c>
      <c r="Z1197" s="182" t="n">
        <v>0</v>
      </c>
      <c r="AA1197" s="182" t="n">
        <v>0</v>
      </c>
      <c r="AB1197" s="182" t="n">
        <v>0</v>
      </c>
      <c r="AC1197" s="182" t="n">
        <v>0</v>
      </c>
      <c r="AD1197" s="182" t="n">
        <v>0</v>
      </c>
      <c r="AE1197" s="182" t="n">
        <v>0</v>
      </c>
      <c r="AF1197" s="182" t="n">
        <v>0</v>
      </c>
      <c r="AG1197" s="182" t="n">
        <v>0</v>
      </c>
      <c r="AH1197" s="182" t="n">
        <v>0.22</v>
      </c>
      <c r="AI1197" s="182" t="n">
        <v>0</v>
      </c>
      <c r="AJ1197" s="182" t="n">
        <v>0</v>
      </c>
      <c r="AK1197" s="182" t="n">
        <v>0</v>
      </c>
      <c r="AL1197" s="182" t="n">
        <v>0</v>
      </c>
      <c r="AM1197" s="182" t="n">
        <v>0.05</v>
      </c>
      <c r="AN1197" s="182" t="n">
        <v>0</v>
      </c>
    </row>
    <row r="1198">
      <c r="A1198" s="155" t="n">
        <v>46087</v>
      </c>
      <c r="B1198" s="156" t="inlineStr">
        <is>
          <t>DS</t>
        </is>
      </c>
      <c r="C1198" s="156" t="inlineStr">
        <is>
          <t>DT-515</t>
        </is>
      </c>
      <c r="D1198" s="156" t="inlineStr">
        <is>
          <t>SKT 105S</t>
        </is>
      </c>
      <c r="E1198" s="156" t="inlineStr">
        <is>
          <t>Hauler</t>
        </is>
      </c>
      <c r="F1198" s="156" t="inlineStr">
        <is>
          <t>Hauling OB</t>
        </is>
      </c>
      <c r="G1198" s="182" t="n">
        <v>8.779999999999999</v>
      </c>
      <c r="H1198" s="182" t="n">
        <v>0</v>
      </c>
      <c r="I1198" s="182" t="n">
        <v>1.7</v>
      </c>
      <c r="J1198" s="182" t="n">
        <v>1.7</v>
      </c>
      <c r="K1198" s="182" t="n">
        <v>1.52</v>
      </c>
      <c r="L1198" s="182" t="n">
        <v>12</v>
      </c>
      <c r="M1198" s="182" t="n">
        <v>8.779999999999999</v>
      </c>
      <c r="N1198" s="182" t="n">
        <v>0</v>
      </c>
      <c r="O1198" s="183" t="n">
        <v>5</v>
      </c>
      <c r="P1198" s="183" t="n">
        <v>0</v>
      </c>
      <c r="Q1198" s="184" t="n">
        <v>102</v>
      </c>
      <c r="R1198" s="184" t="n">
        <v>0</v>
      </c>
      <c r="S1198" s="183" t="n">
        <v>0</v>
      </c>
      <c r="T1198" s="183" t="n">
        <v>0</v>
      </c>
      <c r="U1198" s="182" t="n">
        <v>0</v>
      </c>
      <c r="V1198" s="182" t="n">
        <v>0</v>
      </c>
      <c r="W1198" s="182" t="n">
        <v>0</v>
      </c>
      <c r="X1198" s="182" t="n">
        <v>0.8</v>
      </c>
      <c r="Y1198" s="182" t="n">
        <v>0</v>
      </c>
      <c r="Z1198" s="182" t="n">
        <v>0</v>
      </c>
      <c r="AA1198" s="182" t="n">
        <v>0</v>
      </c>
      <c r="AB1198" s="182" t="n">
        <v>0</v>
      </c>
      <c r="AC1198" s="182" t="n">
        <v>0</v>
      </c>
      <c r="AD1198" s="182" t="n">
        <v>0.66</v>
      </c>
      <c r="AE1198" s="182" t="n">
        <v>0</v>
      </c>
      <c r="AF1198" s="182" t="n">
        <v>0</v>
      </c>
      <c r="AG1198" s="182" t="n">
        <v>0</v>
      </c>
      <c r="AH1198" s="182" t="n">
        <v>0</v>
      </c>
      <c r="AI1198" s="182" t="n">
        <v>0</v>
      </c>
      <c r="AJ1198" s="182" t="n">
        <v>0</v>
      </c>
      <c r="AK1198" s="182" t="n">
        <v>0</v>
      </c>
      <c r="AL1198" s="182" t="n">
        <v>0</v>
      </c>
      <c r="AM1198" s="182" t="n">
        <v>0.06</v>
      </c>
      <c r="AN1198" s="182" t="n">
        <v>0</v>
      </c>
    </row>
    <row r="1199">
      <c r="A1199" s="155" t="n">
        <v>46087</v>
      </c>
      <c r="B1199" s="156" t="inlineStr">
        <is>
          <t>DS</t>
        </is>
      </c>
      <c r="C1199" s="156" t="inlineStr">
        <is>
          <t>DT-524</t>
        </is>
      </c>
      <c r="D1199" s="156" t="inlineStr">
        <is>
          <t>SKT 105S</t>
        </is>
      </c>
      <c r="E1199" s="156" t="inlineStr">
        <is>
          <t>Hauler</t>
        </is>
      </c>
      <c r="F1199" s="156" t="inlineStr">
        <is>
          <t>Hauling OB</t>
        </is>
      </c>
      <c r="G1199" s="182" t="n">
        <v>2.48</v>
      </c>
      <c r="H1199" s="182" t="n">
        <v>0</v>
      </c>
      <c r="I1199" s="182" t="n">
        <v>0</v>
      </c>
      <c r="J1199" s="182" t="n">
        <v>0</v>
      </c>
      <c r="K1199" s="182" t="n">
        <v>9.52</v>
      </c>
      <c r="L1199" s="182" t="n">
        <v>12</v>
      </c>
      <c r="M1199" s="182" t="n">
        <v>2.48</v>
      </c>
      <c r="N1199" s="182" t="n">
        <v>0</v>
      </c>
      <c r="O1199" s="183" t="n">
        <v>10</v>
      </c>
      <c r="P1199" s="183" t="n">
        <v>0</v>
      </c>
      <c r="Q1199" s="184" t="n">
        <v>204</v>
      </c>
      <c r="R1199" s="184" t="n">
        <v>0</v>
      </c>
      <c r="S1199" s="183" t="n">
        <v>0</v>
      </c>
      <c r="T1199" s="183" t="n">
        <v>0</v>
      </c>
      <c r="U1199" s="182" t="n">
        <v>0</v>
      </c>
      <c r="V1199" s="182" t="n">
        <v>0</v>
      </c>
      <c r="W1199" s="182" t="n">
        <v>0</v>
      </c>
      <c r="X1199" s="182" t="n">
        <v>1</v>
      </c>
      <c r="Y1199" s="182" t="n">
        <v>0</v>
      </c>
      <c r="Z1199" s="182" t="n">
        <v>0</v>
      </c>
      <c r="AA1199" s="182" t="n">
        <v>0</v>
      </c>
      <c r="AB1199" s="182" t="n">
        <v>0</v>
      </c>
      <c r="AC1199" s="182" t="n">
        <v>0</v>
      </c>
      <c r="AD1199" s="182" t="n">
        <v>8.44</v>
      </c>
      <c r="AE1199" s="182" t="n">
        <v>0</v>
      </c>
      <c r="AF1199" s="182" t="n">
        <v>0</v>
      </c>
      <c r="AG1199" s="182" t="n">
        <v>0</v>
      </c>
      <c r="AH1199" s="182" t="n">
        <v>0</v>
      </c>
      <c r="AI1199" s="182" t="n">
        <v>0</v>
      </c>
      <c r="AJ1199" s="182" t="n">
        <v>0</v>
      </c>
      <c r="AK1199" s="182" t="n">
        <v>0</v>
      </c>
      <c r="AL1199" s="182" t="n">
        <v>0</v>
      </c>
      <c r="AM1199" s="182" t="n">
        <v>0.08</v>
      </c>
      <c r="AN1199" s="182" t="n">
        <v>0</v>
      </c>
    </row>
    <row r="1200">
      <c r="A1200" s="155" t="n">
        <v>46087</v>
      </c>
      <c r="B1200" s="156" t="inlineStr">
        <is>
          <t>DS</t>
        </is>
      </c>
      <c r="C1200" s="156" t="inlineStr">
        <is>
          <t>DT-341</t>
        </is>
      </c>
      <c r="D1200" s="156" t="inlineStr">
        <is>
          <t>SYZ324C-8W</t>
        </is>
      </c>
      <c r="E1200" s="156" t="inlineStr">
        <is>
          <t>Hauler</t>
        </is>
      </c>
      <c r="F1200" s="156" t="inlineStr">
        <is>
          <t>Rehandling Material di Washing Plant</t>
        </is>
      </c>
      <c r="G1200" s="182" t="n">
        <v>5.43</v>
      </c>
      <c r="H1200" s="182" t="n">
        <v>0</v>
      </c>
      <c r="I1200" s="182" t="n">
        <v>0</v>
      </c>
      <c r="J1200" s="182" t="n">
        <v>0</v>
      </c>
      <c r="K1200" s="182" t="n">
        <v>6.57</v>
      </c>
      <c r="L1200" s="182" t="n">
        <v>12</v>
      </c>
      <c r="M1200" s="182" t="n">
        <v>0</v>
      </c>
      <c r="N1200" s="182" t="n">
        <v>0</v>
      </c>
      <c r="O1200" s="183" t="n">
        <v>0</v>
      </c>
      <c r="P1200" s="183" t="n">
        <v>0</v>
      </c>
      <c r="Q1200" s="184" t="n">
        <v>0</v>
      </c>
      <c r="R1200" s="184" t="n">
        <v>0</v>
      </c>
      <c r="S1200" s="183" t="n">
        <v>0</v>
      </c>
      <c r="T1200" s="183" t="n">
        <v>0</v>
      </c>
      <c r="U1200" s="182" t="n">
        <v>0</v>
      </c>
      <c r="V1200" s="182" t="n">
        <v>0</v>
      </c>
      <c r="W1200" s="182" t="n">
        <v>0</v>
      </c>
      <c r="X1200" s="182" t="n">
        <v>1.06</v>
      </c>
      <c r="Y1200" s="182" t="n">
        <v>0</v>
      </c>
      <c r="Z1200" s="182" t="n">
        <v>0</v>
      </c>
      <c r="AA1200" s="182" t="n">
        <v>0</v>
      </c>
      <c r="AB1200" s="182" t="n">
        <v>0</v>
      </c>
      <c r="AC1200" s="182" t="n">
        <v>0</v>
      </c>
      <c r="AD1200" s="182" t="n">
        <v>0</v>
      </c>
      <c r="AE1200" s="182" t="n">
        <v>0</v>
      </c>
      <c r="AF1200" s="182" t="n">
        <v>0</v>
      </c>
      <c r="AG1200" s="182" t="n">
        <v>0</v>
      </c>
      <c r="AH1200" s="182" t="n">
        <v>0</v>
      </c>
      <c r="AI1200" s="182" t="n">
        <v>0</v>
      </c>
      <c r="AJ1200" s="182" t="n">
        <v>0</v>
      </c>
      <c r="AK1200" s="182" t="n">
        <v>5.43</v>
      </c>
      <c r="AL1200" s="182" t="n">
        <v>0</v>
      </c>
      <c r="AM1200" s="182" t="n">
        <v>0.08</v>
      </c>
      <c r="AN1200" s="182" t="n">
        <v>0</v>
      </c>
    </row>
    <row r="1201">
      <c r="A1201" s="155" t="n">
        <v>46087</v>
      </c>
      <c r="B1201" s="156" t="inlineStr">
        <is>
          <t>DS</t>
        </is>
      </c>
      <c r="C1201" s="156" t="inlineStr">
        <is>
          <t>DT-342</t>
        </is>
      </c>
      <c r="D1201" s="156" t="inlineStr">
        <is>
          <t>SYZ324C-8W</t>
        </is>
      </c>
      <c r="E1201" s="156" t="inlineStr">
        <is>
          <t>Hauler</t>
        </is>
      </c>
      <c r="F1201" s="156" t="inlineStr">
        <is>
          <t>Rehandling Material di Washing Plant</t>
        </is>
      </c>
      <c r="G1201" s="182" t="n">
        <v>5.78</v>
      </c>
      <c r="H1201" s="182" t="n">
        <v>0</v>
      </c>
      <c r="I1201" s="182" t="n">
        <v>0</v>
      </c>
      <c r="J1201" s="182" t="n">
        <v>0</v>
      </c>
      <c r="K1201" s="182" t="n">
        <v>6.22</v>
      </c>
      <c r="L1201" s="182" t="n">
        <v>12</v>
      </c>
      <c r="M1201" s="182" t="n">
        <v>0</v>
      </c>
      <c r="N1201" s="182" t="n">
        <v>0</v>
      </c>
      <c r="O1201" s="183" t="n">
        <v>0</v>
      </c>
      <c r="P1201" s="183" t="n">
        <v>0</v>
      </c>
      <c r="Q1201" s="184" t="n">
        <v>0</v>
      </c>
      <c r="R1201" s="184" t="n">
        <v>0</v>
      </c>
      <c r="S1201" s="183" t="n">
        <v>0</v>
      </c>
      <c r="T1201" s="183" t="n">
        <v>0</v>
      </c>
      <c r="U1201" s="182" t="n">
        <v>0</v>
      </c>
      <c r="V1201" s="182" t="n">
        <v>0</v>
      </c>
      <c r="W1201" s="182" t="n">
        <v>0</v>
      </c>
      <c r="X1201" s="182" t="n">
        <v>0.99</v>
      </c>
      <c r="Y1201" s="182" t="n">
        <v>0</v>
      </c>
      <c r="Z1201" s="182" t="n">
        <v>0</v>
      </c>
      <c r="AA1201" s="182" t="n">
        <v>0</v>
      </c>
      <c r="AB1201" s="182" t="n">
        <v>0</v>
      </c>
      <c r="AC1201" s="182" t="n">
        <v>0</v>
      </c>
      <c r="AD1201" s="182" t="n">
        <v>0</v>
      </c>
      <c r="AE1201" s="182" t="n">
        <v>0</v>
      </c>
      <c r="AF1201" s="182" t="n">
        <v>0</v>
      </c>
      <c r="AG1201" s="182" t="n">
        <v>0</v>
      </c>
      <c r="AH1201" s="182" t="n">
        <v>0</v>
      </c>
      <c r="AI1201" s="182" t="n">
        <v>0</v>
      </c>
      <c r="AJ1201" s="182" t="n">
        <v>0</v>
      </c>
      <c r="AK1201" s="182" t="n">
        <v>5.15</v>
      </c>
      <c r="AL1201" s="182" t="n">
        <v>0</v>
      </c>
      <c r="AM1201" s="182" t="n">
        <v>0.08</v>
      </c>
      <c r="AN1201" s="182" t="n">
        <v>0</v>
      </c>
    </row>
    <row r="1202">
      <c r="A1202" s="155" t="n">
        <v>46087</v>
      </c>
      <c r="B1202" s="156" t="inlineStr">
        <is>
          <t>DS</t>
        </is>
      </c>
      <c r="C1202" s="156" t="inlineStr">
        <is>
          <t>HD-903</t>
        </is>
      </c>
      <c r="D1202" s="156" t="inlineStr">
        <is>
          <t>SRT 95C</t>
        </is>
      </c>
      <c r="E1202" s="156" t="inlineStr">
        <is>
          <t>Hauler</t>
        </is>
      </c>
      <c r="F1202" s="156" t="inlineStr"/>
      <c r="G1202" s="182" t="n">
        <v>0</v>
      </c>
      <c r="H1202" s="182" t="n">
        <v>0</v>
      </c>
      <c r="I1202" s="182" t="n">
        <v>12</v>
      </c>
      <c r="J1202" s="182" t="n">
        <v>12</v>
      </c>
      <c r="K1202" s="182" t="n">
        <v>0</v>
      </c>
      <c r="L1202" s="182" t="n">
        <v>12</v>
      </c>
      <c r="M1202" s="182" t="n">
        <v>0</v>
      </c>
      <c r="N1202" s="182" t="n">
        <v>0</v>
      </c>
      <c r="O1202" s="183" t="n">
        <v>0</v>
      </c>
      <c r="P1202" s="183" t="n">
        <v>0</v>
      </c>
      <c r="Q1202" s="184" t="n">
        <v>0</v>
      </c>
      <c r="R1202" s="184" t="n">
        <v>0</v>
      </c>
      <c r="S1202" s="183" t="n">
        <v>0</v>
      </c>
      <c r="T1202" s="183" t="n">
        <v>0</v>
      </c>
      <c r="U1202" s="182" t="n">
        <v>0</v>
      </c>
      <c r="V1202" s="182" t="n">
        <v>0</v>
      </c>
      <c r="W1202" s="182" t="n">
        <v>0</v>
      </c>
      <c r="X1202" s="182" t="n">
        <v>0</v>
      </c>
      <c r="Y1202" s="182" t="n">
        <v>0</v>
      </c>
      <c r="Z1202" s="182" t="n">
        <v>0</v>
      </c>
      <c r="AA1202" s="182" t="n">
        <v>0</v>
      </c>
      <c r="AB1202" s="182" t="n">
        <v>0</v>
      </c>
      <c r="AC1202" s="182" t="n">
        <v>0</v>
      </c>
      <c r="AD1202" s="182" t="n">
        <v>0</v>
      </c>
      <c r="AE1202" s="182" t="n">
        <v>0</v>
      </c>
      <c r="AF1202" s="182" t="n">
        <v>0</v>
      </c>
      <c r="AG1202" s="182" t="n">
        <v>0</v>
      </c>
      <c r="AH1202" s="182" t="n">
        <v>0</v>
      </c>
      <c r="AI1202" s="182" t="n">
        <v>0</v>
      </c>
      <c r="AJ1202" s="182" t="n">
        <v>0</v>
      </c>
      <c r="AK1202" s="182" t="n">
        <v>0</v>
      </c>
      <c r="AL1202" s="182" t="n">
        <v>0</v>
      </c>
      <c r="AM1202" s="182" t="n">
        <v>0</v>
      </c>
      <c r="AN1202" s="182" t="n">
        <v>0</v>
      </c>
    </row>
    <row r="1203">
      <c r="A1203" s="155" t="n">
        <v>46087</v>
      </c>
      <c r="B1203" s="156" t="inlineStr">
        <is>
          <t>DS</t>
        </is>
      </c>
      <c r="C1203" s="156" t="inlineStr">
        <is>
          <t>HD-905</t>
        </is>
      </c>
      <c r="D1203" s="156" t="inlineStr">
        <is>
          <t>SRT 95C</t>
        </is>
      </c>
      <c r="E1203" s="156" t="inlineStr">
        <is>
          <t>Hauler</t>
        </is>
      </c>
      <c r="F1203" s="156" t="inlineStr">
        <is>
          <t>Hauling OB</t>
        </is>
      </c>
      <c r="G1203" s="182" t="n">
        <v>10.15</v>
      </c>
      <c r="H1203" s="182" t="n">
        <v>0</v>
      </c>
      <c r="I1203" s="182" t="n">
        <v>0</v>
      </c>
      <c r="J1203" s="182" t="n">
        <v>0</v>
      </c>
      <c r="K1203" s="182" t="n">
        <v>1.85</v>
      </c>
      <c r="L1203" s="182" t="n">
        <v>12</v>
      </c>
      <c r="M1203" s="182" t="n">
        <v>10.15</v>
      </c>
      <c r="N1203" s="182" t="n">
        <v>0</v>
      </c>
      <c r="O1203" s="183" t="n">
        <v>40</v>
      </c>
      <c r="P1203" s="183" t="n">
        <v>0</v>
      </c>
      <c r="Q1203" s="184" t="n">
        <v>1428</v>
      </c>
      <c r="R1203" s="184" t="n">
        <v>0</v>
      </c>
      <c r="S1203" s="183" t="n">
        <v>0</v>
      </c>
      <c r="T1203" s="183" t="n">
        <v>0</v>
      </c>
      <c r="U1203" s="182" t="n">
        <v>0</v>
      </c>
      <c r="V1203" s="182" t="n">
        <v>0</v>
      </c>
      <c r="W1203" s="182" t="n">
        <v>0</v>
      </c>
      <c r="X1203" s="182" t="n">
        <v>1.03</v>
      </c>
      <c r="Y1203" s="182" t="n">
        <v>0</v>
      </c>
      <c r="Z1203" s="182" t="n">
        <v>0</v>
      </c>
      <c r="AA1203" s="182" t="n">
        <v>0</v>
      </c>
      <c r="AB1203" s="182" t="n">
        <v>0</v>
      </c>
      <c r="AC1203" s="182" t="n">
        <v>0</v>
      </c>
      <c r="AD1203" s="182" t="n">
        <v>0</v>
      </c>
      <c r="AE1203" s="182" t="n">
        <v>0</v>
      </c>
      <c r="AF1203" s="182" t="n">
        <v>0</v>
      </c>
      <c r="AG1203" s="182" t="n">
        <v>0</v>
      </c>
      <c r="AH1203" s="182" t="n">
        <v>0.74</v>
      </c>
      <c r="AI1203" s="182" t="n">
        <v>0</v>
      </c>
      <c r="AJ1203" s="182" t="n">
        <v>0</v>
      </c>
      <c r="AK1203" s="182" t="n">
        <v>0</v>
      </c>
      <c r="AL1203" s="182" t="n">
        <v>0</v>
      </c>
      <c r="AM1203" s="182" t="n">
        <v>0.08</v>
      </c>
      <c r="AN1203" s="182" t="n">
        <v>0</v>
      </c>
    </row>
    <row r="1204">
      <c r="A1204" s="155" t="n">
        <v>46087</v>
      </c>
      <c r="B1204" s="156" t="inlineStr">
        <is>
          <t>DS</t>
        </is>
      </c>
      <c r="C1204" s="156" t="inlineStr">
        <is>
          <t>HD-901</t>
        </is>
      </c>
      <c r="D1204" s="156" t="inlineStr">
        <is>
          <t>SRT 95C</t>
        </is>
      </c>
      <c r="E1204" s="156" t="inlineStr">
        <is>
          <t>Hauler</t>
        </is>
      </c>
      <c r="F1204" s="156" t="inlineStr"/>
      <c r="G1204" s="182" t="n">
        <v>0</v>
      </c>
      <c r="H1204" s="182" t="n">
        <v>0</v>
      </c>
      <c r="I1204" s="182" t="n">
        <v>0</v>
      </c>
      <c r="J1204" s="182" t="n">
        <v>0</v>
      </c>
      <c r="K1204" s="182" t="n">
        <v>12</v>
      </c>
      <c r="L1204" s="182" t="n">
        <v>12</v>
      </c>
      <c r="M1204" s="182" t="n">
        <v>0</v>
      </c>
      <c r="N1204" s="182" t="n">
        <v>0</v>
      </c>
      <c r="O1204" s="183" t="n">
        <v>0</v>
      </c>
      <c r="P1204" s="183" t="n">
        <v>0</v>
      </c>
      <c r="Q1204" s="184" t="n">
        <v>0</v>
      </c>
      <c r="R1204" s="184" t="n">
        <v>0</v>
      </c>
      <c r="S1204" s="183" t="n">
        <v>0</v>
      </c>
      <c r="T1204" s="183" t="n">
        <v>0</v>
      </c>
      <c r="U1204" s="182" t="n">
        <v>0</v>
      </c>
      <c r="V1204" s="182" t="n">
        <v>0</v>
      </c>
      <c r="W1204" s="182" t="n">
        <v>0</v>
      </c>
      <c r="X1204" s="182" t="n">
        <v>1</v>
      </c>
      <c r="Y1204" s="182" t="n">
        <v>0</v>
      </c>
      <c r="Z1204" s="182" t="n">
        <v>0</v>
      </c>
      <c r="AA1204" s="182" t="n">
        <v>0</v>
      </c>
      <c r="AB1204" s="182" t="n">
        <v>0</v>
      </c>
      <c r="AC1204" s="182" t="n">
        <v>0</v>
      </c>
      <c r="AD1204" s="182" t="n">
        <v>0</v>
      </c>
      <c r="AE1204" s="182" t="n">
        <v>0</v>
      </c>
      <c r="AF1204" s="182" t="n">
        <v>0</v>
      </c>
      <c r="AG1204" s="182" t="n">
        <v>0</v>
      </c>
      <c r="AH1204" s="182" t="n">
        <v>0</v>
      </c>
      <c r="AI1204" s="182" t="n">
        <v>10.92</v>
      </c>
      <c r="AJ1204" s="182" t="n">
        <v>0</v>
      </c>
      <c r="AK1204" s="182" t="n">
        <v>0</v>
      </c>
      <c r="AL1204" s="182" t="n">
        <v>0</v>
      </c>
      <c r="AM1204" s="182" t="n">
        <v>0.08</v>
      </c>
      <c r="AN1204" s="182" t="n">
        <v>0</v>
      </c>
    </row>
    <row r="1205">
      <c r="A1205" s="155" t="n">
        <v>46087</v>
      </c>
      <c r="B1205" s="156" t="inlineStr">
        <is>
          <t>DS</t>
        </is>
      </c>
      <c r="C1205" s="156" t="inlineStr">
        <is>
          <t>HD-904</t>
        </is>
      </c>
      <c r="D1205" s="156" t="inlineStr">
        <is>
          <t>SRT 95C</t>
        </is>
      </c>
      <c r="E1205" s="156" t="inlineStr">
        <is>
          <t>Hauler</t>
        </is>
      </c>
      <c r="F1205" s="156" t="inlineStr"/>
      <c r="G1205" s="182" t="n">
        <v>0</v>
      </c>
      <c r="H1205" s="182" t="n">
        <v>0</v>
      </c>
      <c r="I1205" s="182" t="n">
        <v>0</v>
      </c>
      <c r="J1205" s="182" t="n">
        <v>0</v>
      </c>
      <c r="K1205" s="182" t="n">
        <v>12</v>
      </c>
      <c r="L1205" s="182" t="n">
        <v>12</v>
      </c>
      <c r="M1205" s="182" t="n">
        <v>0</v>
      </c>
      <c r="N1205" s="182" t="n">
        <v>0</v>
      </c>
      <c r="O1205" s="183" t="n">
        <v>0</v>
      </c>
      <c r="P1205" s="183" t="n">
        <v>0</v>
      </c>
      <c r="Q1205" s="184" t="n">
        <v>0</v>
      </c>
      <c r="R1205" s="184" t="n">
        <v>0</v>
      </c>
      <c r="S1205" s="183" t="n">
        <v>0</v>
      </c>
      <c r="T1205" s="183" t="n">
        <v>0</v>
      </c>
      <c r="U1205" s="182" t="n">
        <v>0</v>
      </c>
      <c r="V1205" s="182" t="n">
        <v>0</v>
      </c>
      <c r="W1205" s="182" t="n">
        <v>0</v>
      </c>
      <c r="X1205" s="182" t="n">
        <v>1</v>
      </c>
      <c r="Y1205" s="182" t="n">
        <v>0</v>
      </c>
      <c r="Z1205" s="182" t="n">
        <v>0</v>
      </c>
      <c r="AA1205" s="182" t="n">
        <v>0</v>
      </c>
      <c r="AB1205" s="182" t="n">
        <v>0</v>
      </c>
      <c r="AC1205" s="182" t="n">
        <v>0</v>
      </c>
      <c r="AD1205" s="182" t="n">
        <v>0</v>
      </c>
      <c r="AE1205" s="182" t="n">
        <v>0</v>
      </c>
      <c r="AF1205" s="182" t="n">
        <v>0</v>
      </c>
      <c r="AG1205" s="182" t="n">
        <v>0</v>
      </c>
      <c r="AH1205" s="182" t="n">
        <v>0</v>
      </c>
      <c r="AI1205" s="182" t="n">
        <v>10.92</v>
      </c>
      <c r="AJ1205" s="182" t="n">
        <v>0</v>
      </c>
      <c r="AK1205" s="182" t="n">
        <v>0</v>
      </c>
      <c r="AL1205" s="182" t="n">
        <v>0</v>
      </c>
      <c r="AM1205" s="182" t="n">
        <v>0.08</v>
      </c>
      <c r="AN1205" s="182" t="n">
        <v>0</v>
      </c>
    </row>
    <row r="1206">
      <c r="A1206" s="155" t="n">
        <v>46087</v>
      </c>
      <c r="B1206" s="156" t="inlineStr">
        <is>
          <t>DS</t>
        </is>
      </c>
      <c r="C1206" s="156" t="inlineStr">
        <is>
          <t>HD-902</t>
        </is>
      </c>
      <c r="D1206" s="156" t="inlineStr">
        <is>
          <t>SRT 95C</t>
        </is>
      </c>
      <c r="E1206" s="156" t="inlineStr">
        <is>
          <t>Hauler</t>
        </is>
      </c>
      <c r="F1206" s="156" t="inlineStr">
        <is>
          <t>Hauling OB</t>
        </is>
      </c>
      <c r="G1206" s="182" t="n">
        <v>10.69</v>
      </c>
      <c r="H1206" s="182" t="n">
        <v>0</v>
      </c>
      <c r="I1206" s="182" t="n">
        <v>0</v>
      </c>
      <c r="J1206" s="182" t="n">
        <v>0</v>
      </c>
      <c r="K1206" s="182" t="n">
        <v>1.31</v>
      </c>
      <c r="L1206" s="182" t="n">
        <v>12</v>
      </c>
      <c r="M1206" s="182" t="n">
        <v>10.69</v>
      </c>
      <c r="N1206" s="182" t="n">
        <v>0</v>
      </c>
      <c r="O1206" s="183" t="n">
        <v>41</v>
      </c>
      <c r="P1206" s="183" t="n">
        <v>0</v>
      </c>
      <c r="Q1206" s="184" t="n">
        <v>1463.7</v>
      </c>
      <c r="R1206" s="184" t="n">
        <v>0</v>
      </c>
      <c r="S1206" s="183" t="n">
        <v>0</v>
      </c>
      <c r="T1206" s="183" t="n">
        <v>0</v>
      </c>
      <c r="U1206" s="182" t="n">
        <v>0</v>
      </c>
      <c r="V1206" s="182" t="n">
        <v>0</v>
      </c>
      <c r="W1206" s="182" t="n">
        <v>0</v>
      </c>
      <c r="X1206" s="182" t="n">
        <v>1.09</v>
      </c>
      <c r="Y1206" s="182" t="n">
        <v>0</v>
      </c>
      <c r="Z1206" s="182" t="n">
        <v>0</v>
      </c>
      <c r="AA1206" s="182" t="n">
        <v>0</v>
      </c>
      <c r="AB1206" s="182" t="n">
        <v>0</v>
      </c>
      <c r="AC1206" s="182" t="n">
        <v>0</v>
      </c>
      <c r="AD1206" s="182" t="n">
        <v>0</v>
      </c>
      <c r="AE1206" s="182" t="n">
        <v>0</v>
      </c>
      <c r="AF1206" s="182" t="n">
        <v>0</v>
      </c>
      <c r="AG1206" s="182" t="n">
        <v>0</v>
      </c>
      <c r="AH1206" s="182" t="n">
        <v>0.13</v>
      </c>
      <c r="AI1206" s="182" t="n">
        <v>0</v>
      </c>
      <c r="AJ1206" s="182" t="n">
        <v>0</v>
      </c>
      <c r="AK1206" s="182" t="n">
        <v>0</v>
      </c>
      <c r="AL1206" s="182" t="n">
        <v>0</v>
      </c>
      <c r="AM1206" s="182" t="n">
        <v>0.09</v>
      </c>
      <c r="AN1206" s="182" t="n">
        <v>0</v>
      </c>
    </row>
    <row r="1207">
      <c r="A1207" s="155" t="n">
        <v>46087</v>
      </c>
      <c r="B1207" s="156" t="inlineStr">
        <is>
          <t>DS</t>
        </is>
      </c>
      <c r="C1207" s="156" t="inlineStr">
        <is>
          <t>WL-025</t>
        </is>
      </c>
      <c r="D1207" s="156" t="inlineStr">
        <is>
          <t>SANY - Loader</t>
        </is>
      </c>
      <c r="E1207" s="156" t="inlineStr">
        <is>
          <t>Loader</t>
        </is>
      </c>
      <c r="F1207" s="156" t="inlineStr"/>
      <c r="G1207" s="182" t="n">
        <v>0</v>
      </c>
      <c r="H1207" s="182" t="n">
        <v>0</v>
      </c>
      <c r="I1207" s="182" t="n">
        <v>0</v>
      </c>
      <c r="J1207" s="182" t="n">
        <v>0</v>
      </c>
      <c r="K1207" s="182" t="n">
        <v>12</v>
      </c>
      <c r="L1207" s="182" t="n">
        <v>12</v>
      </c>
      <c r="M1207" s="182" t="n">
        <v>0</v>
      </c>
      <c r="N1207" s="182" t="n">
        <v>0</v>
      </c>
      <c r="O1207" s="183" t="n">
        <v>0</v>
      </c>
      <c r="P1207" s="183" t="n">
        <v>0</v>
      </c>
      <c r="Q1207" s="184" t="n">
        <v>0</v>
      </c>
      <c r="R1207" s="184" t="n">
        <v>0</v>
      </c>
      <c r="S1207" s="183" t="n">
        <v>0</v>
      </c>
      <c r="T1207" s="183" t="n">
        <v>0</v>
      </c>
      <c r="U1207" s="182" t="n">
        <v>0</v>
      </c>
      <c r="V1207" s="182" t="n">
        <v>0</v>
      </c>
      <c r="W1207" s="182" t="n">
        <v>0</v>
      </c>
      <c r="X1207" s="182" t="n">
        <v>1</v>
      </c>
      <c r="Y1207" s="182" t="n">
        <v>0</v>
      </c>
      <c r="Z1207" s="182" t="n">
        <v>0</v>
      </c>
      <c r="AA1207" s="182" t="n">
        <v>0</v>
      </c>
      <c r="AB1207" s="182" t="n">
        <v>0</v>
      </c>
      <c r="AC1207" s="182" t="n">
        <v>0</v>
      </c>
      <c r="AD1207" s="182" t="n">
        <v>0</v>
      </c>
      <c r="AE1207" s="182" t="n">
        <v>0</v>
      </c>
      <c r="AF1207" s="182" t="n">
        <v>0</v>
      </c>
      <c r="AG1207" s="182" t="n">
        <v>0</v>
      </c>
      <c r="AH1207" s="182" t="n">
        <v>0</v>
      </c>
      <c r="AI1207" s="182" t="n">
        <v>0</v>
      </c>
      <c r="AJ1207" s="182" t="n">
        <v>0</v>
      </c>
      <c r="AK1207" s="182" t="n">
        <v>10.92</v>
      </c>
      <c r="AL1207" s="182" t="n">
        <v>0</v>
      </c>
      <c r="AM1207" s="182" t="n">
        <v>0.08</v>
      </c>
      <c r="AN1207" s="182" t="n">
        <v>0</v>
      </c>
    </row>
    <row r="1208">
      <c r="A1208" s="155" t="n">
        <v>46087</v>
      </c>
      <c r="B1208" s="156" t="inlineStr">
        <is>
          <t>DS</t>
        </is>
      </c>
      <c r="C1208" s="156" t="inlineStr">
        <is>
          <t>WL-023</t>
        </is>
      </c>
      <c r="D1208" s="156" t="inlineStr">
        <is>
          <t>SANY - Loader</t>
        </is>
      </c>
      <c r="E1208" s="156" t="inlineStr">
        <is>
          <t>Loader</t>
        </is>
      </c>
      <c r="F1208" s="156" t="inlineStr"/>
      <c r="G1208" s="182" t="n">
        <v>0</v>
      </c>
      <c r="H1208" s="182" t="n">
        <v>0</v>
      </c>
      <c r="I1208" s="182" t="n">
        <v>0</v>
      </c>
      <c r="J1208" s="182" t="n">
        <v>0</v>
      </c>
      <c r="K1208" s="182" t="n">
        <v>12</v>
      </c>
      <c r="L1208" s="182" t="n">
        <v>12</v>
      </c>
      <c r="M1208" s="182" t="n">
        <v>0</v>
      </c>
      <c r="N1208" s="182" t="n">
        <v>0</v>
      </c>
      <c r="O1208" s="183" t="n">
        <v>0</v>
      </c>
      <c r="P1208" s="183" t="n">
        <v>0</v>
      </c>
      <c r="Q1208" s="184" t="n">
        <v>0</v>
      </c>
      <c r="R1208" s="184" t="n">
        <v>0</v>
      </c>
      <c r="S1208" s="183" t="n">
        <v>0</v>
      </c>
      <c r="T1208" s="183" t="n">
        <v>0</v>
      </c>
      <c r="U1208" s="182" t="n">
        <v>0</v>
      </c>
      <c r="V1208" s="182" t="n">
        <v>0</v>
      </c>
      <c r="W1208" s="182" t="n">
        <v>0</v>
      </c>
      <c r="X1208" s="182" t="n">
        <v>1</v>
      </c>
      <c r="Y1208" s="182" t="n">
        <v>0</v>
      </c>
      <c r="Z1208" s="182" t="n">
        <v>0</v>
      </c>
      <c r="AA1208" s="182" t="n">
        <v>0</v>
      </c>
      <c r="AB1208" s="182" t="n">
        <v>0</v>
      </c>
      <c r="AC1208" s="182" t="n">
        <v>0</v>
      </c>
      <c r="AD1208" s="182" t="n">
        <v>0</v>
      </c>
      <c r="AE1208" s="182" t="n">
        <v>0</v>
      </c>
      <c r="AF1208" s="182" t="n">
        <v>0</v>
      </c>
      <c r="AG1208" s="182" t="n">
        <v>0</v>
      </c>
      <c r="AH1208" s="182" t="n">
        <v>0</v>
      </c>
      <c r="AI1208" s="182" t="n">
        <v>0</v>
      </c>
      <c r="AJ1208" s="182" t="n">
        <v>0</v>
      </c>
      <c r="AK1208" s="182" t="n">
        <v>10.92</v>
      </c>
      <c r="AL1208" s="182" t="n">
        <v>0</v>
      </c>
      <c r="AM1208" s="182" t="n">
        <v>0.08</v>
      </c>
      <c r="AN1208" s="182" t="n">
        <v>0</v>
      </c>
    </row>
    <row r="1209">
      <c r="A1209" s="155" t="n">
        <v>46087</v>
      </c>
      <c r="B1209" s="156" t="inlineStr">
        <is>
          <t>DS</t>
        </is>
      </c>
      <c r="C1209" s="156" t="inlineStr">
        <is>
          <t>WL-021</t>
        </is>
      </c>
      <c r="D1209" s="156" t="inlineStr">
        <is>
          <t>SANY - Loader</t>
        </is>
      </c>
      <c r="E1209" s="156" t="inlineStr">
        <is>
          <t>Loader</t>
        </is>
      </c>
      <c r="F1209" s="156" t="inlineStr"/>
      <c r="G1209" s="182" t="n">
        <v>0</v>
      </c>
      <c r="H1209" s="182" t="n">
        <v>0</v>
      </c>
      <c r="I1209" s="182" t="n">
        <v>12</v>
      </c>
      <c r="J1209" s="182" t="n">
        <v>12</v>
      </c>
      <c r="K1209" s="182" t="n">
        <v>0</v>
      </c>
      <c r="L1209" s="182" t="n">
        <v>12</v>
      </c>
      <c r="M1209" s="182" t="n">
        <v>0</v>
      </c>
      <c r="N1209" s="182" t="n">
        <v>0</v>
      </c>
      <c r="O1209" s="183" t="n">
        <v>0</v>
      </c>
      <c r="P1209" s="183" t="n">
        <v>0</v>
      </c>
      <c r="Q1209" s="184" t="n">
        <v>0</v>
      </c>
      <c r="R1209" s="184" t="n">
        <v>0</v>
      </c>
      <c r="S1209" s="183" t="n">
        <v>0</v>
      </c>
      <c r="T1209" s="183" t="n">
        <v>0</v>
      </c>
      <c r="U1209" s="182" t="n">
        <v>0</v>
      </c>
      <c r="V1209" s="182" t="n">
        <v>0</v>
      </c>
      <c r="W1209" s="182" t="n">
        <v>0</v>
      </c>
      <c r="X1209" s="182" t="n">
        <v>0</v>
      </c>
      <c r="Y1209" s="182" t="n">
        <v>0</v>
      </c>
      <c r="Z1209" s="182" t="n">
        <v>0</v>
      </c>
      <c r="AA1209" s="182" t="n">
        <v>0</v>
      </c>
      <c r="AB1209" s="182" t="n">
        <v>0</v>
      </c>
      <c r="AC1209" s="182" t="n">
        <v>0</v>
      </c>
      <c r="AD1209" s="182" t="n">
        <v>0</v>
      </c>
      <c r="AE1209" s="182" t="n">
        <v>0</v>
      </c>
      <c r="AF1209" s="182" t="n">
        <v>0</v>
      </c>
      <c r="AG1209" s="182" t="n">
        <v>0</v>
      </c>
      <c r="AH1209" s="182" t="n">
        <v>0</v>
      </c>
      <c r="AI1209" s="182" t="n">
        <v>0</v>
      </c>
      <c r="AJ1209" s="182" t="n">
        <v>0</v>
      </c>
      <c r="AK1209" s="182" t="n">
        <v>0</v>
      </c>
      <c r="AL1209" s="182" t="n">
        <v>0</v>
      </c>
      <c r="AM1209" s="182" t="n">
        <v>0</v>
      </c>
      <c r="AN1209" s="182" t="n">
        <v>0</v>
      </c>
    </row>
    <row r="1210">
      <c r="A1210" s="155" t="n">
        <v>46087</v>
      </c>
      <c r="B1210" s="156" t="inlineStr">
        <is>
          <t>DS</t>
        </is>
      </c>
      <c r="C1210" s="156" t="inlineStr">
        <is>
          <t>WL-022</t>
        </is>
      </c>
      <c r="D1210" s="156" t="inlineStr">
        <is>
          <t>SANY - Loader</t>
        </is>
      </c>
      <c r="E1210" s="156" t="inlineStr">
        <is>
          <t>Loader</t>
        </is>
      </c>
      <c r="F1210" s="156" t="inlineStr">
        <is>
          <t>Support Washing Plant</t>
        </is>
      </c>
      <c r="G1210" s="182" t="n">
        <v>9.58</v>
      </c>
      <c r="H1210" s="182" t="n">
        <v>0</v>
      </c>
      <c r="I1210" s="182" t="n">
        <v>1.42</v>
      </c>
      <c r="J1210" s="182" t="n">
        <v>1.42</v>
      </c>
      <c r="K1210" s="182" t="n">
        <v>1</v>
      </c>
      <c r="L1210" s="182" t="n">
        <v>12</v>
      </c>
      <c r="M1210" s="182" t="n">
        <v>0</v>
      </c>
      <c r="N1210" s="182" t="n">
        <v>0</v>
      </c>
      <c r="O1210" s="183" t="n">
        <v>0</v>
      </c>
      <c r="P1210" s="183" t="n">
        <v>0</v>
      </c>
      <c r="Q1210" s="184" t="n">
        <v>0</v>
      </c>
      <c r="R1210" s="184" t="n">
        <v>0</v>
      </c>
      <c r="S1210" s="183" t="n">
        <v>0</v>
      </c>
      <c r="T1210" s="183" t="n">
        <v>0</v>
      </c>
      <c r="U1210" s="182" t="n">
        <v>0</v>
      </c>
      <c r="V1210" s="182" t="n">
        <v>0</v>
      </c>
      <c r="W1210" s="182" t="n">
        <v>0</v>
      </c>
      <c r="X1210" s="182" t="n">
        <v>0.85</v>
      </c>
      <c r="Y1210" s="182" t="n">
        <v>0</v>
      </c>
      <c r="Z1210" s="182" t="n">
        <v>0</v>
      </c>
      <c r="AA1210" s="182" t="n">
        <v>0</v>
      </c>
      <c r="AB1210" s="182" t="n">
        <v>0</v>
      </c>
      <c r="AC1210" s="182" t="n">
        <v>0</v>
      </c>
      <c r="AD1210" s="182" t="n">
        <v>0</v>
      </c>
      <c r="AE1210" s="182" t="n">
        <v>0</v>
      </c>
      <c r="AF1210" s="182" t="n">
        <v>0</v>
      </c>
      <c r="AG1210" s="182" t="n">
        <v>0</v>
      </c>
      <c r="AH1210" s="182" t="n">
        <v>0.08</v>
      </c>
      <c r="AI1210" s="182" t="n">
        <v>0</v>
      </c>
      <c r="AJ1210" s="182" t="n">
        <v>0</v>
      </c>
      <c r="AK1210" s="182" t="n">
        <v>0</v>
      </c>
      <c r="AL1210" s="182" t="n">
        <v>0</v>
      </c>
      <c r="AM1210" s="182" t="n">
        <v>0.07000000000000001</v>
      </c>
      <c r="AN1210" s="182" t="n">
        <v>0</v>
      </c>
    </row>
    <row r="1211">
      <c r="A1211" s="155" t="n">
        <v>46087</v>
      </c>
      <c r="B1211" s="156" t="inlineStr">
        <is>
          <t>DS</t>
        </is>
      </c>
      <c r="C1211" s="156" t="inlineStr">
        <is>
          <t>WL-024</t>
        </is>
      </c>
      <c r="D1211" s="156" t="inlineStr">
        <is>
          <t>SANY - Loader</t>
        </is>
      </c>
      <c r="E1211" s="156" t="inlineStr">
        <is>
          <t>Loader</t>
        </is>
      </c>
      <c r="F1211" s="156" t="inlineStr">
        <is>
          <t>Timesheet Kosong</t>
        </is>
      </c>
      <c r="G1211" s="182" t="n">
        <v>4.12</v>
      </c>
      <c r="H1211" s="182" t="n">
        <v>5.5</v>
      </c>
      <c r="I1211" s="182" t="n">
        <v>0</v>
      </c>
      <c r="J1211" s="182" t="n">
        <v>5.5</v>
      </c>
      <c r="K1211" s="182" t="n">
        <v>2.38</v>
      </c>
      <c r="L1211" s="182" t="n">
        <v>12</v>
      </c>
      <c r="M1211" s="182" t="n">
        <v>0</v>
      </c>
      <c r="N1211" s="182" t="n">
        <v>0</v>
      </c>
      <c r="O1211" s="183" t="n">
        <v>0</v>
      </c>
      <c r="P1211" s="183" t="n">
        <v>0</v>
      </c>
      <c r="Q1211" s="184" t="n">
        <v>0</v>
      </c>
      <c r="R1211" s="184" t="n">
        <v>0</v>
      </c>
      <c r="S1211" s="183" t="n">
        <v>0</v>
      </c>
      <c r="T1211" s="183" t="n">
        <v>0</v>
      </c>
      <c r="U1211" s="182" t="n">
        <v>0</v>
      </c>
      <c r="V1211" s="182" t="n">
        <v>0</v>
      </c>
      <c r="W1211" s="182" t="n">
        <v>0</v>
      </c>
      <c r="X1211" s="182" t="n">
        <v>1.03</v>
      </c>
      <c r="Y1211" s="182" t="n">
        <v>0</v>
      </c>
      <c r="Z1211" s="182" t="n">
        <v>0</v>
      </c>
      <c r="AA1211" s="182" t="n">
        <v>0</v>
      </c>
      <c r="AB1211" s="182" t="n">
        <v>0</v>
      </c>
      <c r="AC1211" s="182" t="n">
        <v>0</v>
      </c>
      <c r="AD1211" s="182" t="n">
        <v>0</v>
      </c>
      <c r="AE1211" s="182" t="n">
        <v>0</v>
      </c>
      <c r="AF1211" s="182" t="n">
        <v>0</v>
      </c>
      <c r="AG1211" s="182" t="n">
        <v>0</v>
      </c>
      <c r="AH1211" s="182" t="n">
        <v>0</v>
      </c>
      <c r="AI1211" s="182" t="n">
        <v>0</v>
      </c>
      <c r="AJ1211" s="182" t="n">
        <v>0</v>
      </c>
      <c r="AK1211" s="182" t="n">
        <v>1.26</v>
      </c>
      <c r="AL1211" s="182" t="n">
        <v>0</v>
      </c>
      <c r="AM1211" s="182" t="n">
        <v>0.08</v>
      </c>
      <c r="AN1211" s="182" t="n">
        <v>0</v>
      </c>
    </row>
    <row r="1212">
      <c r="A1212" s="155" t="n">
        <v>46087</v>
      </c>
      <c r="B1212" s="156" t="inlineStr">
        <is>
          <t>NS</t>
        </is>
      </c>
      <c r="C1212" s="156" t="inlineStr">
        <is>
          <t>DZ-034</t>
        </is>
      </c>
      <c r="D1212" s="156" t="inlineStr">
        <is>
          <t>D 68ESS-12EO</t>
        </is>
      </c>
      <c r="E1212" s="156" t="inlineStr">
        <is>
          <t>Bulldozer</t>
        </is>
      </c>
      <c r="F1212" s="156" t="inlineStr">
        <is>
          <t>Support ROM</t>
        </is>
      </c>
      <c r="G1212" s="182" t="n">
        <v>6.67</v>
      </c>
      <c r="H1212" s="182" t="n">
        <v>0</v>
      </c>
      <c r="I1212" s="182" t="n">
        <v>3.33</v>
      </c>
      <c r="J1212" s="182" t="n">
        <v>3.33</v>
      </c>
      <c r="K1212" s="182" t="n">
        <v>2</v>
      </c>
      <c r="L1212" s="182" t="n">
        <v>12</v>
      </c>
      <c r="M1212" s="182" t="n">
        <v>0</v>
      </c>
      <c r="N1212" s="182" t="n">
        <v>0</v>
      </c>
      <c r="O1212" s="183" t="n">
        <v>0</v>
      </c>
      <c r="P1212" s="183" t="n">
        <v>0</v>
      </c>
      <c r="Q1212" s="184" t="n">
        <v>0</v>
      </c>
      <c r="R1212" s="184" t="n">
        <v>0</v>
      </c>
      <c r="S1212" s="183" t="n">
        <v>0</v>
      </c>
      <c r="T1212" s="183" t="n">
        <v>0</v>
      </c>
      <c r="U1212" s="182" t="n">
        <v>0</v>
      </c>
      <c r="V1212" s="182" t="n">
        <v>0</v>
      </c>
      <c r="W1212" s="182" t="n">
        <v>0</v>
      </c>
      <c r="X1212" s="182" t="n">
        <v>1.07</v>
      </c>
      <c r="Y1212" s="182" t="n">
        <v>0</v>
      </c>
      <c r="Z1212" s="182" t="n">
        <v>0</v>
      </c>
      <c r="AA1212" s="182" t="n">
        <v>0</v>
      </c>
      <c r="AB1212" s="182" t="n">
        <v>0</v>
      </c>
      <c r="AC1212" s="182" t="n">
        <v>0</v>
      </c>
      <c r="AD1212" s="182" t="n">
        <v>0</v>
      </c>
      <c r="AE1212" s="182" t="n">
        <v>0</v>
      </c>
      <c r="AF1212" s="182" t="n">
        <v>0</v>
      </c>
      <c r="AG1212" s="182" t="n">
        <v>0</v>
      </c>
      <c r="AH1212" s="182" t="n">
        <v>0.83</v>
      </c>
      <c r="AI1212" s="182" t="n">
        <v>0</v>
      </c>
      <c r="AJ1212" s="182" t="n">
        <v>0</v>
      </c>
      <c r="AK1212" s="182" t="n">
        <v>0</v>
      </c>
      <c r="AL1212" s="182" t="n">
        <v>0</v>
      </c>
      <c r="AM1212" s="182" t="n">
        <v>0.09</v>
      </c>
      <c r="AN1212" s="182" t="n">
        <v>0</v>
      </c>
    </row>
    <row r="1213">
      <c r="A1213" s="155" t="n">
        <v>46087</v>
      </c>
      <c r="B1213" s="156" t="inlineStr">
        <is>
          <t>NS</t>
        </is>
      </c>
      <c r="C1213" s="156" t="inlineStr">
        <is>
          <t>DZ-033</t>
        </is>
      </c>
      <c r="D1213" s="156" t="inlineStr">
        <is>
          <t>D 375A-6R</t>
        </is>
      </c>
      <c r="E1213" s="156" t="inlineStr">
        <is>
          <t>Bulldozer</t>
        </is>
      </c>
      <c r="F1213" s="156" t="inlineStr">
        <is>
          <t>Support Disposal</t>
        </is>
      </c>
      <c r="G1213" s="182" t="n">
        <v>10.23</v>
      </c>
      <c r="H1213" s="182" t="n">
        <v>0</v>
      </c>
      <c r="I1213" s="182" t="n">
        <v>0</v>
      </c>
      <c r="J1213" s="182" t="n">
        <v>0</v>
      </c>
      <c r="K1213" s="182" t="n">
        <v>1.77</v>
      </c>
      <c r="L1213" s="182" t="n">
        <v>12</v>
      </c>
      <c r="M1213" s="182" t="n">
        <v>0</v>
      </c>
      <c r="N1213" s="182" t="n">
        <v>0</v>
      </c>
      <c r="O1213" s="183" t="n">
        <v>0</v>
      </c>
      <c r="P1213" s="183" t="n">
        <v>0</v>
      </c>
      <c r="Q1213" s="184" t="n">
        <v>0</v>
      </c>
      <c r="R1213" s="184" t="n">
        <v>0</v>
      </c>
      <c r="S1213" s="183" t="n">
        <v>0</v>
      </c>
      <c r="T1213" s="183" t="n">
        <v>0</v>
      </c>
      <c r="U1213" s="182" t="n">
        <v>0</v>
      </c>
      <c r="V1213" s="182" t="n">
        <v>0</v>
      </c>
      <c r="W1213" s="182" t="n">
        <v>0</v>
      </c>
      <c r="X1213" s="182" t="n">
        <v>0.89</v>
      </c>
      <c r="Y1213" s="182" t="n">
        <v>0</v>
      </c>
      <c r="Z1213" s="182" t="n">
        <v>0</v>
      </c>
      <c r="AA1213" s="182" t="n">
        <v>0</v>
      </c>
      <c r="AB1213" s="182" t="n">
        <v>0</v>
      </c>
      <c r="AC1213" s="182" t="n">
        <v>0</v>
      </c>
      <c r="AD1213" s="182" t="n">
        <v>0</v>
      </c>
      <c r="AE1213" s="182" t="n">
        <v>0</v>
      </c>
      <c r="AF1213" s="182" t="n">
        <v>0</v>
      </c>
      <c r="AG1213" s="182" t="n">
        <v>0</v>
      </c>
      <c r="AH1213" s="182" t="n">
        <v>0.8100000000000001</v>
      </c>
      <c r="AI1213" s="182" t="n">
        <v>0</v>
      </c>
      <c r="AJ1213" s="182" t="n">
        <v>0</v>
      </c>
      <c r="AK1213" s="182" t="n">
        <v>0</v>
      </c>
      <c r="AL1213" s="182" t="n">
        <v>0</v>
      </c>
      <c r="AM1213" s="182" t="n">
        <v>0.07000000000000001</v>
      </c>
      <c r="AN1213" s="182" t="n">
        <v>0</v>
      </c>
    </row>
    <row r="1214">
      <c r="A1214" s="155" t="n">
        <v>46087</v>
      </c>
      <c r="B1214" s="156" t="inlineStr">
        <is>
          <t>NS</t>
        </is>
      </c>
      <c r="C1214" s="156" t="inlineStr">
        <is>
          <t>DZ-038</t>
        </is>
      </c>
      <c r="D1214" s="156" t="inlineStr">
        <is>
          <t>D 85 ESS-2</t>
        </is>
      </c>
      <c r="E1214" s="156" t="inlineStr">
        <is>
          <t>Bulldozer</t>
        </is>
      </c>
      <c r="F1214" s="156" t="inlineStr"/>
      <c r="G1214" s="182" t="n">
        <v>0</v>
      </c>
      <c r="H1214" s="182" t="n">
        <v>0</v>
      </c>
      <c r="I1214" s="182" t="n">
        <v>12</v>
      </c>
      <c r="J1214" s="182" t="n">
        <v>12</v>
      </c>
      <c r="K1214" s="182" t="n">
        <v>0</v>
      </c>
      <c r="L1214" s="182" t="n">
        <v>12</v>
      </c>
      <c r="M1214" s="182" t="n">
        <v>0</v>
      </c>
      <c r="N1214" s="182" t="n">
        <v>0</v>
      </c>
      <c r="O1214" s="183" t="n">
        <v>0</v>
      </c>
      <c r="P1214" s="183" t="n">
        <v>0</v>
      </c>
      <c r="Q1214" s="184" t="n">
        <v>0</v>
      </c>
      <c r="R1214" s="184" t="n">
        <v>0</v>
      </c>
      <c r="S1214" s="183" t="n">
        <v>0</v>
      </c>
      <c r="T1214" s="183" t="n">
        <v>0</v>
      </c>
      <c r="U1214" s="182" t="n">
        <v>0</v>
      </c>
      <c r="V1214" s="182" t="n">
        <v>0</v>
      </c>
      <c r="W1214" s="182" t="n">
        <v>0</v>
      </c>
      <c r="X1214" s="182" t="n">
        <v>0</v>
      </c>
      <c r="Y1214" s="182" t="n">
        <v>0</v>
      </c>
      <c r="Z1214" s="182" t="n">
        <v>0</v>
      </c>
      <c r="AA1214" s="182" t="n">
        <v>0</v>
      </c>
      <c r="AB1214" s="182" t="n">
        <v>0</v>
      </c>
      <c r="AC1214" s="182" t="n">
        <v>0</v>
      </c>
      <c r="AD1214" s="182" t="n">
        <v>0</v>
      </c>
      <c r="AE1214" s="182" t="n">
        <v>0</v>
      </c>
      <c r="AF1214" s="182" t="n">
        <v>0</v>
      </c>
      <c r="AG1214" s="182" t="n">
        <v>0</v>
      </c>
      <c r="AH1214" s="182" t="n">
        <v>0</v>
      </c>
      <c r="AI1214" s="182" t="n">
        <v>0</v>
      </c>
      <c r="AJ1214" s="182" t="n">
        <v>0</v>
      </c>
      <c r="AK1214" s="182" t="n">
        <v>0</v>
      </c>
      <c r="AL1214" s="182" t="n">
        <v>0</v>
      </c>
      <c r="AM1214" s="182" t="n">
        <v>0</v>
      </c>
      <c r="AN1214" s="182" t="n">
        <v>0</v>
      </c>
    </row>
    <row r="1215">
      <c r="A1215" s="155" t="n">
        <v>46087</v>
      </c>
      <c r="B1215" s="156" t="inlineStr">
        <is>
          <t>NS</t>
        </is>
      </c>
      <c r="C1215" s="156" t="inlineStr">
        <is>
          <t>DZ-039</t>
        </is>
      </c>
      <c r="D1215" s="156" t="inlineStr">
        <is>
          <t>D 85 ESS-2</t>
        </is>
      </c>
      <c r="E1215" s="156" t="inlineStr">
        <is>
          <t>Bulldozer</t>
        </is>
      </c>
      <c r="F1215" s="156" t="inlineStr">
        <is>
          <t>Support Disposal &amp; Front Loading</t>
        </is>
      </c>
      <c r="G1215" s="182" t="n">
        <v>8.9</v>
      </c>
      <c r="H1215" s="182" t="n">
        <v>0</v>
      </c>
      <c r="I1215" s="182" t="n">
        <v>0</v>
      </c>
      <c r="J1215" s="182" t="n">
        <v>0</v>
      </c>
      <c r="K1215" s="182" t="n">
        <v>3.1</v>
      </c>
      <c r="L1215" s="182" t="n">
        <v>12</v>
      </c>
      <c r="M1215" s="182" t="n">
        <v>0</v>
      </c>
      <c r="N1215" s="182" t="n">
        <v>0</v>
      </c>
      <c r="O1215" s="183" t="n">
        <v>0</v>
      </c>
      <c r="P1215" s="183" t="n">
        <v>0</v>
      </c>
      <c r="Q1215" s="184" t="n">
        <v>0</v>
      </c>
      <c r="R1215" s="184" t="n">
        <v>0</v>
      </c>
      <c r="S1215" s="183" t="n">
        <v>0</v>
      </c>
      <c r="T1215" s="183" t="n">
        <v>0</v>
      </c>
      <c r="U1215" s="182" t="n">
        <v>0</v>
      </c>
      <c r="V1215" s="182" t="n">
        <v>0</v>
      </c>
      <c r="W1215" s="182" t="n">
        <v>0</v>
      </c>
      <c r="X1215" s="182" t="n">
        <v>0.97</v>
      </c>
      <c r="Y1215" s="182" t="n">
        <v>0</v>
      </c>
      <c r="Z1215" s="182" t="n">
        <v>0</v>
      </c>
      <c r="AA1215" s="182" t="n">
        <v>0</v>
      </c>
      <c r="AB1215" s="182" t="n">
        <v>0</v>
      </c>
      <c r="AC1215" s="182" t="n">
        <v>0</v>
      </c>
      <c r="AD1215" s="182" t="n">
        <v>0</v>
      </c>
      <c r="AE1215" s="182" t="n">
        <v>0</v>
      </c>
      <c r="AF1215" s="182" t="n">
        <v>0</v>
      </c>
      <c r="AG1215" s="182" t="n">
        <v>0</v>
      </c>
      <c r="AH1215" s="182" t="n">
        <v>0</v>
      </c>
      <c r="AI1215" s="182" t="n">
        <v>0</v>
      </c>
      <c r="AJ1215" s="182" t="n">
        <v>0</v>
      </c>
      <c r="AK1215" s="182" t="n">
        <v>2.05</v>
      </c>
      <c r="AL1215" s="182" t="n">
        <v>0</v>
      </c>
      <c r="AM1215" s="182" t="n">
        <v>0.08</v>
      </c>
      <c r="AN1215" s="182" t="n">
        <v>0</v>
      </c>
    </row>
    <row r="1216">
      <c r="A1216" s="155" t="n">
        <v>46087</v>
      </c>
      <c r="B1216" s="156" t="inlineStr">
        <is>
          <t>NS</t>
        </is>
      </c>
      <c r="C1216" s="156" t="inlineStr">
        <is>
          <t>DZ-032</t>
        </is>
      </c>
      <c r="D1216" s="156" t="inlineStr">
        <is>
          <t>CAT</t>
        </is>
      </c>
      <c r="E1216" s="156" t="inlineStr">
        <is>
          <t>Bulldozer</t>
        </is>
      </c>
      <c r="F1216" s="156" t="inlineStr">
        <is>
          <t>Support Front Loading</t>
        </is>
      </c>
      <c r="G1216" s="182" t="n">
        <v>10.02</v>
      </c>
      <c r="H1216" s="182" t="n">
        <v>0</v>
      </c>
      <c r="I1216" s="182" t="n">
        <v>0</v>
      </c>
      <c r="J1216" s="182" t="n">
        <v>0</v>
      </c>
      <c r="K1216" s="182" t="n">
        <v>1.98</v>
      </c>
      <c r="L1216" s="182" t="n">
        <v>12</v>
      </c>
      <c r="M1216" s="182" t="n">
        <v>0</v>
      </c>
      <c r="N1216" s="182" t="n">
        <v>0</v>
      </c>
      <c r="O1216" s="183" t="n">
        <v>0</v>
      </c>
      <c r="P1216" s="183" t="n">
        <v>0</v>
      </c>
      <c r="Q1216" s="184" t="n">
        <v>0</v>
      </c>
      <c r="R1216" s="184" t="n">
        <v>0</v>
      </c>
      <c r="S1216" s="183" t="n">
        <v>0</v>
      </c>
      <c r="T1216" s="183" t="n">
        <v>0</v>
      </c>
      <c r="U1216" s="182" t="n">
        <v>0</v>
      </c>
      <c r="V1216" s="182" t="n">
        <v>0</v>
      </c>
      <c r="W1216" s="182" t="n">
        <v>0</v>
      </c>
      <c r="X1216" s="182" t="n">
        <v>0.83</v>
      </c>
      <c r="Y1216" s="182" t="n">
        <v>0</v>
      </c>
      <c r="Z1216" s="182" t="n">
        <v>0</v>
      </c>
      <c r="AA1216" s="182" t="n">
        <v>0</v>
      </c>
      <c r="AB1216" s="182" t="n">
        <v>0</v>
      </c>
      <c r="AC1216" s="182" t="n">
        <v>0</v>
      </c>
      <c r="AD1216" s="182" t="n">
        <v>0</v>
      </c>
      <c r="AE1216" s="182" t="n">
        <v>0</v>
      </c>
      <c r="AF1216" s="182" t="n">
        <v>0</v>
      </c>
      <c r="AG1216" s="182" t="n">
        <v>0.49</v>
      </c>
      <c r="AH1216" s="182" t="n">
        <v>0.59</v>
      </c>
      <c r="AI1216" s="182" t="n">
        <v>0</v>
      </c>
      <c r="AJ1216" s="182" t="n">
        <v>0</v>
      </c>
      <c r="AK1216" s="182" t="n">
        <v>0</v>
      </c>
      <c r="AL1216" s="182" t="n">
        <v>0</v>
      </c>
      <c r="AM1216" s="182" t="n">
        <v>0.07000000000000001</v>
      </c>
      <c r="AN1216" s="182" t="n">
        <v>0</v>
      </c>
    </row>
    <row r="1217">
      <c r="A1217" s="155" t="n">
        <v>46087</v>
      </c>
      <c r="B1217" s="156" t="inlineStr">
        <is>
          <t>NS</t>
        </is>
      </c>
      <c r="C1217" s="156" t="inlineStr">
        <is>
          <t>DZ-031</t>
        </is>
      </c>
      <c r="D1217" s="156" t="inlineStr">
        <is>
          <t>CAT</t>
        </is>
      </c>
      <c r="E1217" s="156" t="inlineStr">
        <is>
          <t>Bulldozer</t>
        </is>
      </c>
      <c r="F1217" s="156" t="inlineStr"/>
      <c r="G1217" s="182" t="n">
        <v>0</v>
      </c>
      <c r="H1217" s="182" t="n">
        <v>0</v>
      </c>
      <c r="I1217" s="182" t="n">
        <v>12</v>
      </c>
      <c r="J1217" s="182" t="n">
        <v>12</v>
      </c>
      <c r="K1217" s="182" t="n">
        <v>0</v>
      </c>
      <c r="L1217" s="182" t="n">
        <v>12</v>
      </c>
      <c r="M1217" s="182" t="n">
        <v>0</v>
      </c>
      <c r="N1217" s="182" t="n">
        <v>0</v>
      </c>
      <c r="O1217" s="183" t="n">
        <v>0</v>
      </c>
      <c r="P1217" s="183" t="n">
        <v>0</v>
      </c>
      <c r="Q1217" s="184" t="n">
        <v>0</v>
      </c>
      <c r="R1217" s="184" t="n">
        <v>0</v>
      </c>
      <c r="S1217" s="183" t="n">
        <v>0</v>
      </c>
      <c r="T1217" s="183" t="n">
        <v>0</v>
      </c>
      <c r="U1217" s="182" t="n">
        <v>0</v>
      </c>
      <c r="V1217" s="182" t="n">
        <v>0</v>
      </c>
      <c r="W1217" s="182" t="n">
        <v>0</v>
      </c>
      <c r="X1217" s="182" t="n">
        <v>0</v>
      </c>
      <c r="Y1217" s="182" t="n">
        <v>0</v>
      </c>
      <c r="Z1217" s="182" t="n">
        <v>0</v>
      </c>
      <c r="AA1217" s="182" t="n">
        <v>0</v>
      </c>
      <c r="AB1217" s="182" t="n">
        <v>0</v>
      </c>
      <c r="AC1217" s="182" t="n">
        <v>0</v>
      </c>
      <c r="AD1217" s="182" t="n">
        <v>0</v>
      </c>
      <c r="AE1217" s="182" t="n">
        <v>0</v>
      </c>
      <c r="AF1217" s="182" t="n">
        <v>0</v>
      </c>
      <c r="AG1217" s="182" t="n">
        <v>0</v>
      </c>
      <c r="AH1217" s="182" t="n">
        <v>0</v>
      </c>
      <c r="AI1217" s="182" t="n">
        <v>0</v>
      </c>
      <c r="AJ1217" s="182" t="n">
        <v>0</v>
      </c>
      <c r="AK1217" s="182" t="n">
        <v>0</v>
      </c>
      <c r="AL1217" s="182" t="n">
        <v>0</v>
      </c>
      <c r="AM1217" s="182" t="n">
        <v>0</v>
      </c>
      <c r="AN1217" s="182" t="n">
        <v>0</v>
      </c>
    </row>
    <row r="1218">
      <c r="A1218" s="155" t="n">
        <v>46087</v>
      </c>
      <c r="B1218" s="156" t="inlineStr">
        <is>
          <t>NS</t>
        </is>
      </c>
      <c r="C1218" s="156" t="inlineStr">
        <is>
          <t>DZ-037</t>
        </is>
      </c>
      <c r="D1218" s="156" t="inlineStr">
        <is>
          <t>D 85 ESS-2</t>
        </is>
      </c>
      <c r="E1218" s="156" t="inlineStr">
        <is>
          <t>Bulldozer</t>
        </is>
      </c>
      <c r="F1218" s="156" t="inlineStr">
        <is>
          <t>Support Disposal</t>
        </is>
      </c>
      <c r="G1218" s="182" t="n">
        <v>8.84</v>
      </c>
      <c r="H1218" s="182" t="n">
        <v>0</v>
      </c>
      <c r="I1218" s="182" t="n">
        <v>0.33</v>
      </c>
      <c r="J1218" s="182" t="n">
        <v>0.33</v>
      </c>
      <c r="K1218" s="182" t="n">
        <v>2.83</v>
      </c>
      <c r="L1218" s="182" t="n">
        <v>12</v>
      </c>
      <c r="M1218" s="182" t="n">
        <v>0</v>
      </c>
      <c r="N1218" s="182" t="n">
        <v>0</v>
      </c>
      <c r="O1218" s="183" t="n">
        <v>0</v>
      </c>
      <c r="P1218" s="183" t="n">
        <v>0</v>
      </c>
      <c r="Q1218" s="184" t="n">
        <v>0</v>
      </c>
      <c r="R1218" s="184" t="n">
        <v>0</v>
      </c>
      <c r="S1218" s="183" t="n">
        <v>0</v>
      </c>
      <c r="T1218" s="183" t="n">
        <v>0</v>
      </c>
      <c r="U1218" s="182" t="n">
        <v>0</v>
      </c>
      <c r="V1218" s="182" t="n">
        <v>0</v>
      </c>
      <c r="W1218" s="182" t="n">
        <v>0</v>
      </c>
      <c r="X1218" s="182" t="n">
        <v>1.15</v>
      </c>
      <c r="Y1218" s="182" t="n">
        <v>0</v>
      </c>
      <c r="Z1218" s="182" t="n">
        <v>0</v>
      </c>
      <c r="AA1218" s="182" t="n">
        <v>0</v>
      </c>
      <c r="AB1218" s="182" t="n">
        <v>0</v>
      </c>
      <c r="AC1218" s="182" t="n">
        <v>0</v>
      </c>
      <c r="AD1218" s="182" t="n">
        <v>0</v>
      </c>
      <c r="AE1218" s="182" t="n">
        <v>0</v>
      </c>
      <c r="AF1218" s="182" t="n">
        <v>0</v>
      </c>
      <c r="AG1218" s="182" t="n">
        <v>0.6899999999999999</v>
      </c>
      <c r="AH1218" s="182" t="n">
        <v>0.89</v>
      </c>
      <c r="AI1218" s="182" t="n">
        <v>0</v>
      </c>
      <c r="AJ1218" s="182" t="n">
        <v>0</v>
      </c>
      <c r="AK1218" s="182" t="n">
        <v>0</v>
      </c>
      <c r="AL1218" s="182" t="n">
        <v>0</v>
      </c>
      <c r="AM1218" s="182" t="n">
        <v>0.09</v>
      </c>
      <c r="AN1218" s="182" t="n">
        <v>0</v>
      </c>
    </row>
    <row r="1219">
      <c r="A1219" s="155" t="n">
        <v>46087</v>
      </c>
      <c r="B1219" s="156" t="inlineStr">
        <is>
          <t>NS</t>
        </is>
      </c>
      <c r="C1219" s="156" t="inlineStr">
        <is>
          <t>DZ-036</t>
        </is>
      </c>
      <c r="D1219" s="156" t="inlineStr">
        <is>
          <t>D 85 ESS-2</t>
        </is>
      </c>
      <c r="E1219" s="156" t="inlineStr">
        <is>
          <t>Bulldozer</t>
        </is>
      </c>
      <c r="F1219" s="156" t="inlineStr"/>
      <c r="G1219" s="182" t="n">
        <v>0</v>
      </c>
      <c r="H1219" s="182" t="n">
        <v>0</v>
      </c>
      <c r="I1219" s="182" t="n">
        <v>0</v>
      </c>
      <c r="J1219" s="182" t="n">
        <v>0</v>
      </c>
      <c r="K1219" s="182" t="n">
        <v>12</v>
      </c>
      <c r="L1219" s="182" t="n">
        <v>12</v>
      </c>
      <c r="M1219" s="182" t="n">
        <v>0</v>
      </c>
      <c r="N1219" s="182" t="n">
        <v>0</v>
      </c>
      <c r="O1219" s="183" t="n">
        <v>0</v>
      </c>
      <c r="P1219" s="183" t="n">
        <v>0</v>
      </c>
      <c r="Q1219" s="184" t="n">
        <v>0</v>
      </c>
      <c r="R1219" s="184" t="n">
        <v>0</v>
      </c>
      <c r="S1219" s="183" t="n">
        <v>0</v>
      </c>
      <c r="T1219" s="183" t="n">
        <v>0</v>
      </c>
      <c r="U1219" s="182" t="n">
        <v>0</v>
      </c>
      <c r="V1219" s="182" t="n">
        <v>0</v>
      </c>
      <c r="W1219" s="182" t="n">
        <v>0</v>
      </c>
      <c r="X1219" s="182" t="n">
        <v>1</v>
      </c>
      <c r="Y1219" s="182" t="n">
        <v>0</v>
      </c>
      <c r="Z1219" s="182" t="n">
        <v>0</v>
      </c>
      <c r="AA1219" s="182" t="n">
        <v>0</v>
      </c>
      <c r="AB1219" s="182" t="n">
        <v>0</v>
      </c>
      <c r="AC1219" s="182" t="n">
        <v>0</v>
      </c>
      <c r="AD1219" s="182" t="n">
        <v>0</v>
      </c>
      <c r="AE1219" s="182" t="n">
        <v>0</v>
      </c>
      <c r="AF1219" s="182" t="n">
        <v>0</v>
      </c>
      <c r="AG1219" s="182" t="n">
        <v>0</v>
      </c>
      <c r="AH1219" s="182" t="n">
        <v>0</v>
      </c>
      <c r="AI1219" s="182" t="n">
        <v>0</v>
      </c>
      <c r="AJ1219" s="182" t="n">
        <v>0</v>
      </c>
      <c r="AK1219" s="182" t="n">
        <v>10.92</v>
      </c>
      <c r="AL1219" s="182" t="n">
        <v>0</v>
      </c>
      <c r="AM1219" s="182" t="n">
        <v>0.08</v>
      </c>
      <c r="AN1219" s="182" t="n">
        <v>0</v>
      </c>
    </row>
    <row r="1220">
      <c r="A1220" s="155" t="n">
        <v>46087</v>
      </c>
      <c r="B1220" s="156" t="inlineStr">
        <is>
          <t>NS</t>
        </is>
      </c>
      <c r="C1220" s="156" t="inlineStr">
        <is>
          <t>DZ-035</t>
        </is>
      </c>
      <c r="D1220" s="156" t="inlineStr">
        <is>
          <t>D 85 ESS-2</t>
        </is>
      </c>
      <c r="E1220" s="156" t="inlineStr">
        <is>
          <t>Bulldozer</t>
        </is>
      </c>
      <c r="F1220" s="156" t="inlineStr"/>
      <c r="G1220" s="182" t="n">
        <v>0</v>
      </c>
      <c r="H1220" s="182" t="n">
        <v>0</v>
      </c>
      <c r="I1220" s="182" t="n">
        <v>12</v>
      </c>
      <c r="J1220" s="182" t="n">
        <v>12</v>
      </c>
      <c r="K1220" s="182" t="n">
        <v>0</v>
      </c>
      <c r="L1220" s="182" t="n">
        <v>12</v>
      </c>
      <c r="M1220" s="182" t="n">
        <v>0</v>
      </c>
      <c r="N1220" s="182" t="n">
        <v>0</v>
      </c>
      <c r="O1220" s="183" t="n">
        <v>0</v>
      </c>
      <c r="P1220" s="183" t="n">
        <v>0</v>
      </c>
      <c r="Q1220" s="184" t="n">
        <v>0</v>
      </c>
      <c r="R1220" s="184" t="n">
        <v>0</v>
      </c>
      <c r="S1220" s="183" t="n">
        <v>0</v>
      </c>
      <c r="T1220" s="183" t="n">
        <v>0</v>
      </c>
      <c r="U1220" s="182" t="n">
        <v>0</v>
      </c>
      <c r="V1220" s="182" t="n">
        <v>0</v>
      </c>
      <c r="W1220" s="182" t="n">
        <v>0</v>
      </c>
      <c r="X1220" s="182" t="n">
        <v>0</v>
      </c>
      <c r="Y1220" s="182" t="n">
        <v>0</v>
      </c>
      <c r="Z1220" s="182" t="n">
        <v>0</v>
      </c>
      <c r="AA1220" s="182" t="n">
        <v>0</v>
      </c>
      <c r="AB1220" s="182" t="n">
        <v>0</v>
      </c>
      <c r="AC1220" s="182" t="n">
        <v>0</v>
      </c>
      <c r="AD1220" s="182" t="n">
        <v>0</v>
      </c>
      <c r="AE1220" s="182" t="n">
        <v>0</v>
      </c>
      <c r="AF1220" s="182" t="n">
        <v>0</v>
      </c>
      <c r="AG1220" s="182" t="n">
        <v>0</v>
      </c>
      <c r="AH1220" s="182" t="n">
        <v>0</v>
      </c>
      <c r="AI1220" s="182" t="n">
        <v>0</v>
      </c>
      <c r="AJ1220" s="182" t="n">
        <v>0</v>
      </c>
      <c r="AK1220" s="182" t="n">
        <v>0</v>
      </c>
      <c r="AL1220" s="182" t="n">
        <v>0</v>
      </c>
      <c r="AM1220" s="182" t="n">
        <v>0</v>
      </c>
      <c r="AN1220" s="182" t="n">
        <v>0</v>
      </c>
    </row>
    <row r="1221">
      <c r="A1221" s="155" t="n">
        <v>46087</v>
      </c>
      <c r="B1221" s="156" t="inlineStr">
        <is>
          <t>NS</t>
        </is>
      </c>
      <c r="C1221" s="156" t="inlineStr">
        <is>
          <t>CP-042</t>
        </is>
      </c>
      <c r="D1221" s="156" t="inlineStr">
        <is>
          <t>SANY - Compactor</t>
        </is>
      </c>
      <c r="E1221" s="156" t="inlineStr">
        <is>
          <t>Compactor</t>
        </is>
      </c>
      <c r="F1221" s="156" t="inlineStr"/>
      <c r="G1221" s="182" t="n">
        <v>0</v>
      </c>
      <c r="H1221" s="182" t="n">
        <v>0</v>
      </c>
      <c r="I1221" s="182" t="n">
        <v>0</v>
      </c>
      <c r="J1221" s="182" t="n">
        <v>0</v>
      </c>
      <c r="K1221" s="182" t="n">
        <v>12</v>
      </c>
      <c r="L1221" s="182" t="n">
        <v>12</v>
      </c>
      <c r="M1221" s="182" t="n">
        <v>0</v>
      </c>
      <c r="N1221" s="182" t="n">
        <v>0</v>
      </c>
      <c r="O1221" s="183" t="n">
        <v>0</v>
      </c>
      <c r="P1221" s="183" t="n">
        <v>0</v>
      </c>
      <c r="Q1221" s="184" t="n">
        <v>0</v>
      </c>
      <c r="R1221" s="184" t="n">
        <v>0</v>
      </c>
      <c r="S1221" s="183" t="n">
        <v>0</v>
      </c>
      <c r="T1221" s="183" t="n">
        <v>0</v>
      </c>
      <c r="U1221" s="182" t="n">
        <v>0</v>
      </c>
      <c r="V1221" s="182" t="n">
        <v>0</v>
      </c>
      <c r="W1221" s="182" t="n">
        <v>0</v>
      </c>
      <c r="X1221" s="182" t="n">
        <v>1</v>
      </c>
      <c r="Y1221" s="182" t="n">
        <v>0</v>
      </c>
      <c r="Z1221" s="182" t="n">
        <v>0</v>
      </c>
      <c r="AA1221" s="182" t="n">
        <v>0</v>
      </c>
      <c r="AB1221" s="182" t="n">
        <v>0</v>
      </c>
      <c r="AC1221" s="182" t="n">
        <v>0</v>
      </c>
      <c r="AD1221" s="182" t="n">
        <v>0</v>
      </c>
      <c r="AE1221" s="182" t="n">
        <v>0</v>
      </c>
      <c r="AF1221" s="182" t="n">
        <v>0</v>
      </c>
      <c r="AG1221" s="182" t="n">
        <v>0</v>
      </c>
      <c r="AH1221" s="182" t="n">
        <v>0</v>
      </c>
      <c r="AI1221" s="182" t="n">
        <v>0</v>
      </c>
      <c r="AJ1221" s="182" t="n">
        <v>0</v>
      </c>
      <c r="AK1221" s="182" t="n">
        <v>10.92</v>
      </c>
      <c r="AL1221" s="182" t="n">
        <v>0</v>
      </c>
      <c r="AM1221" s="182" t="n">
        <v>0.08</v>
      </c>
      <c r="AN1221" s="182" t="n">
        <v>0</v>
      </c>
    </row>
    <row r="1222">
      <c r="A1222" s="155" t="n">
        <v>46087</v>
      </c>
      <c r="B1222" s="156" t="inlineStr">
        <is>
          <t>NS</t>
        </is>
      </c>
      <c r="C1222" s="156" t="inlineStr">
        <is>
          <t>CP-041</t>
        </is>
      </c>
      <c r="D1222" s="156" t="inlineStr">
        <is>
          <t>SANY - Compactor</t>
        </is>
      </c>
      <c r="E1222" s="156" t="inlineStr">
        <is>
          <t>Compactor</t>
        </is>
      </c>
      <c r="F1222" s="156" t="inlineStr">
        <is>
          <t>Support ROM</t>
        </is>
      </c>
      <c r="G1222" s="182" t="n">
        <v>7.28</v>
      </c>
      <c r="H1222" s="182" t="n">
        <v>0</v>
      </c>
      <c r="I1222" s="182" t="n">
        <v>0</v>
      </c>
      <c r="J1222" s="182" t="n">
        <v>0</v>
      </c>
      <c r="K1222" s="182" t="n">
        <v>4.72</v>
      </c>
      <c r="L1222" s="182" t="n">
        <v>12</v>
      </c>
      <c r="M1222" s="182" t="n">
        <v>0</v>
      </c>
      <c r="N1222" s="182" t="n">
        <v>0</v>
      </c>
      <c r="O1222" s="183" t="n">
        <v>0</v>
      </c>
      <c r="P1222" s="183" t="n">
        <v>0</v>
      </c>
      <c r="Q1222" s="184" t="n">
        <v>0</v>
      </c>
      <c r="R1222" s="184" t="n">
        <v>0</v>
      </c>
      <c r="S1222" s="183" t="n">
        <v>0</v>
      </c>
      <c r="T1222" s="183" t="n">
        <v>0</v>
      </c>
      <c r="U1222" s="182" t="n">
        <v>0</v>
      </c>
      <c r="V1222" s="182" t="n">
        <v>0</v>
      </c>
      <c r="W1222" s="182" t="n">
        <v>0</v>
      </c>
      <c r="X1222" s="182" t="n">
        <v>1.03</v>
      </c>
      <c r="Y1222" s="182" t="n">
        <v>0</v>
      </c>
      <c r="Z1222" s="182" t="n">
        <v>0</v>
      </c>
      <c r="AA1222" s="182" t="n">
        <v>0</v>
      </c>
      <c r="AB1222" s="182" t="n">
        <v>0</v>
      </c>
      <c r="AC1222" s="182" t="n">
        <v>0</v>
      </c>
      <c r="AD1222" s="182" t="n">
        <v>0</v>
      </c>
      <c r="AE1222" s="182" t="n">
        <v>0</v>
      </c>
      <c r="AF1222" s="182" t="n">
        <v>0</v>
      </c>
      <c r="AG1222" s="182" t="n">
        <v>0</v>
      </c>
      <c r="AH1222" s="182" t="n">
        <v>0</v>
      </c>
      <c r="AI1222" s="182" t="n">
        <v>0</v>
      </c>
      <c r="AJ1222" s="182" t="n">
        <v>0</v>
      </c>
      <c r="AK1222" s="182" t="n">
        <v>3.61</v>
      </c>
      <c r="AL1222" s="182" t="n">
        <v>0</v>
      </c>
      <c r="AM1222" s="182" t="n">
        <v>0.08</v>
      </c>
      <c r="AN1222" s="182" t="n">
        <v>0</v>
      </c>
    </row>
    <row r="1223">
      <c r="A1223" s="155" t="n">
        <v>46087</v>
      </c>
      <c r="B1223" s="156" t="inlineStr">
        <is>
          <t>NS</t>
        </is>
      </c>
      <c r="C1223" s="156" t="inlineStr">
        <is>
          <t>HT-418</t>
        </is>
      </c>
      <c r="D1223" s="156" t="inlineStr">
        <is>
          <t>SY430</t>
        </is>
      </c>
      <c r="E1223" s="156" t="inlineStr">
        <is>
          <t>DT Hauling</t>
        </is>
      </c>
      <c r="F1223" s="156" t="inlineStr"/>
      <c r="G1223" s="182" t="n">
        <v>0</v>
      </c>
      <c r="H1223" s="182" t="n">
        <v>0</v>
      </c>
      <c r="I1223" s="182" t="n">
        <v>0</v>
      </c>
      <c r="J1223" s="182" t="n">
        <v>0</v>
      </c>
      <c r="K1223" s="182" t="n">
        <v>12</v>
      </c>
      <c r="L1223" s="182" t="n">
        <v>12</v>
      </c>
      <c r="M1223" s="182" t="n">
        <v>0</v>
      </c>
      <c r="N1223" s="182" t="n">
        <v>0</v>
      </c>
      <c r="O1223" s="183" t="n">
        <v>0</v>
      </c>
      <c r="P1223" s="183" t="n">
        <v>0</v>
      </c>
      <c r="Q1223" s="184" t="n">
        <v>0</v>
      </c>
      <c r="R1223" s="184" t="n">
        <v>0</v>
      </c>
      <c r="S1223" s="183" t="n">
        <v>0</v>
      </c>
      <c r="T1223" s="183" t="n">
        <v>0</v>
      </c>
      <c r="U1223" s="182" t="n">
        <v>0</v>
      </c>
      <c r="V1223" s="182" t="n">
        <v>0</v>
      </c>
      <c r="W1223" s="182" t="n">
        <v>0</v>
      </c>
      <c r="X1223" s="182" t="n">
        <v>1</v>
      </c>
      <c r="Y1223" s="182" t="n">
        <v>0</v>
      </c>
      <c r="Z1223" s="182" t="n">
        <v>0</v>
      </c>
      <c r="AA1223" s="182" t="n">
        <v>0</v>
      </c>
      <c r="AB1223" s="182" t="n">
        <v>0</v>
      </c>
      <c r="AC1223" s="182" t="n">
        <v>0</v>
      </c>
      <c r="AD1223" s="182" t="n">
        <v>0</v>
      </c>
      <c r="AE1223" s="182" t="n">
        <v>0</v>
      </c>
      <c r="AF1223" s="182" t="n">
        <v>0</v>
      </c>
      <c r="AG1223" s="182" t="n">
        <v>0</v>
      </c>
      <c r="AH1223" s="182" t="n">
        <v>0</v>
      </c>
      <c r="AI1223" s="182" t="n">
        <v>0</v>
      </c>
      <c r="AJ1223" s="182" t="n">
        <v>0</v>
      </c>
      <c r="AK1223" s="182" t="n">
        <v>10.92</v>
      </c>
      <c r="AL1223" s="182" t="n">
        <v>0</v>
      </c>
      <c r="AM1223" s="182" t="n">
        <v>0.08</v>
      </c>
      <c r="AN1223" s="182" t="n">
        <v>0</v>
      </c>
    </row>
    <row r="1224">
      <c r="A1224" s="155" t="n">
        <v>46087</v>
      </c>
      <c r="B1224" s="156" t="inlineStr">
        <is>
          <t>NS</t>
        </is>
      </c>
      <c r="C1224" s="156" t="inlineStr">
        <is>
          <t>HT-404</t>
        </is>
      </c>
      <c r="D1224" s="156" t="inlineStr">
        <is>
          <t>SY430</t>
        </is>
      </c>
      <c r="E1224" s="156" t="inlineStr">
        <is>
          <t>DT Hauling</t>
        </is>
      </c>
      <c r="F1224" s="156" t="inlineStr"/>
      <c r="G1224" s="182" t="n">
        <v>0</v>
      </c>
      <c r="H1224" s="182" t="n">
        <v>0</v>
      </c>
      <c r="I1224" s="182" t="n">
        <v>12</v>
      </c>
      <c r="J1224" s="182" t="n">
        <v>12</v>
      </c>
      <c r="K1224" s="182" t="n">
        <v>0</v>
      </c>
      <c r="L1224" s="182" t="n">
        <v>12</v>
      </c>
      <c r="M1224" s="182" t="n">
        <v>0</v>
      </c>
      <c r="N1224" s="182" t="n">
        <v>0</v>
      </c>
      <c r="O1224" s="183" t="n">
        <v>0</v>
      </c>
      <c r="P1224" s="183" t="n">
        <v>0</v>
      </c>
      <c r="Q1224" s="184" t="n">
        <v>0</v>
      </c>
      <c r="R1224" s="184" t="n">
        <v>0</v>
      </c>
      <c r="S1224" s="183" t="n">
        <v>0</v>
      </c>
      <c r="T1224" s="183" t="n">
        <v>0</v>
      </c>
      <c r="U1224" s="182" t="n">
        <v>0</v>
      </c>
      <c r="V1224" s="182" t="n">
        <v>0</v>
      </c>
      <c r="W1224" s="182" t="n">
        <v>0</v>
      </c>
      <c r="X1224" s="182" t="n">
        <v>0</v>
      </c>
      <c r="Y1224" s="182" t="n">
        <v>0</v>
      </c>
      <c r="Z1224" s="182" t="n">
        <v>0</v>
      </c>
      <c r="AA1224" s="182" t="n">
        <v>0</v>
      </c>
      <c r="AB1224" s="182" t="n">
        <v>0</v>
      </c>
      <c r="AC1224" s="182" t="n">
        <v>0</v>
      </c>
      <c r="AD1224" s="182" t="n">
        <v>0</v>
      </c>
      <c r="AE1224" s="182" t="n">
        <v>0</v>
      </c>
      <c r="AF1224" s="182" t="n">
        <v>0</v>
      </c>
      <c r="AG1224" s="182" t="n">
        <v>0</v>
      </c>
      <c r="AH1224" s="182" t="n">
        <v>0</v>
      </c>
      <c r="AI1224" s="182" t="n">
        <v>0</v>
      </c>
      <c r="AJ1224" s="182" t="n">
        <v>0</v>
      </c>
      <c r="AK1224" s="182" t="n">
        <v>0</v>
      </c>
      <c r="AL1224" s="182" t="n">
        <v>0</v>
      </c>
      <c r="AM1224" s="182" t="n">
        <v>0</v>
      </c>
      <c r="AN1224" s="182" t="n">
        <v>0</v>
      </c>
    </row>
    <row r="1225">
      <c r="A1225" s="155" t="n">
        <v>46087</v>
      </c>
      <c r="B1225" s="156" t="inlineStr">
        <is>
          <t>NS</t>
        </is>
      </c>
      <c r="C1225" s="156" t="inlineStr">
        <is>
          <t>HT-415</t>
        </is>
      </c>
      <c r="D1225" s="156" t="inlineStr">
        <is>
          <t>SY430</t>
        </is>
      </c>
      <c r="E1225" s="156" t="inlineStr">
        <is>
          <t>DT Hauling</t>
        </is>
      </c>
      <c r="F1225" s="156" t="inlineStr"/>
      <c r="G1225" s="182" t="n">
        <v>0</v>
      </c>
      <c r="H1225" s="182" t="n">
        <v>0</v>
      </c>
      <c r="I1225" s="182" t="n">
        <v>12</v>
      </c>
      <c r="J1225" s="182" t="n">
        <v>12</v>
      </c>
      <c r="K1225" s="182" t="n">
        <v>0</v>
      </c>
      <c r="L1225" s="182" t="n">
        <v>12</v>
      </c>
      <c r="M1225" s="182" t="n">
        <v>0</v>
      </c>
      <c r="N1225" s="182" t="n">
        <v>0</v>
      </c>
      <c r="O1225" s="183" t="n">
        <v>0</v>
      </c>
      <c r="P1225" s="183" t="n">
        <v>0</v>
      </c>
      <c r="Q1225" s="184" t="n">
        <v>0</v>
      </c>
      <c r="R1225" s="184" t="n">
        <v>0</v>
      </c>
      <c r="S1225" s="183" t="n">
        <v>0</v>
      </c>
      <c r="T1225" s="183" t="n">
        <v>0</v>
      </c>
      <c r="U1225" s="182" t="n">
        <v>0</v>
      </c>
      <c r="V1225" s="182" t="n">
        <v>0</v>
      </c>
      <c r="W1225" s="182" t="n">
        <v>0</v>
      </c>
      <c r="X1225" s="182" t="n">
        <v>0</v>
      </c>
      <c r="Y1225" s="182" t="n">
        <v>0</v>
      </c>
      <c r="Z1225" s="182" t="n">
        <v>0</v>
      </c>
      <c r="AA1225" s="182" t="n">
        <v>0</v>
      </c>
      <c r="AB1225" s="182" t="n">
        <v>0</v>
      </c>
      <c r="AC1225" s="182" t="n">
        <v>0</v>
      </c>
      <c r="AD1225" s="182" t="n">
        <v>0</v>
      </c>
      <c r="AE1225" s="182" t="n">
        <v>0</v>
      </c>
      <c r="AF1225" s="182" t="n">
        <v>0</v>
      </c>
      <c r="AG1225" s="182" t="n">
        <v>0</v>
      </c>
      <c r="AH1225" s="182" t="n">
        <v>0</v>
      </c>
      <c r="AI1225" s="182" t="n">
        <v>0</v>
      </c>
      <c r="AJ1225" s="182" t="n">
        <v>0</v>
      </c>
      <c r="AK1225" s="182" t="n">
        <v>0</v>
      </c>
      <c r="AL1225" s="182" t="n">
        <v>0</v>
      </c>
      <c r="AM1225" s="182" t="n">
        <v>0</v>
      </c>
      <c r="AN1225" s="182" t="n">
        <v>0</v>
      </c>
    </row>
    <row r="1226">
      <c r="A1226" s="155" t="n">
        <v>46087</v>
      </c>
      <c r="B1226" s="156" t="inlineStr">
        <is>
          <t>NS</t>
        </is>
      </c>
      <c r="C1226" s="156" t="inlineStr">
        <is>
          <t>HT-406</t>
        </is>
      </c>
      <c r="D1226" s="156" t="inlineStr">
        <is>
          <t>SY430</t>
        </is>
      </c>
      <c r="E1226" s="156" t="inlineStr">
        <is>
          <t>DT Hauling</t>
        </is>
      </c>
      <c r="F1226" s="156" t="inlineStr"/>
      <c r="G1226" s="182" t="n">
        <v>0</v>
      </c>
      <c r="H1226" s="182" t="n">
        <v>0</v>
      </c>
      <c r="I1226" s="182" t="n">
        <v>12</v>
      </c>
      <c r="J1226" s="182" t="n">
        <v>12</v>
      </c>
      <c r="K1226" s="182" t="n">
        <v>0</v>
      </c>
      <c r="L1226" s="182" t="n">
        <v>12</v>
      </c>
      <c r="M1226" s="182" t="n">
        <v>0</v>
      </c>
      <c r="N1226" s="182" t="n">
        <v>0</v>
      </c>
      <c r="O1226" s="183" t="n">
        <v>0</v>
      </c>
      <c r="P1226" s="183" t="n">
        <v>0</v>
      </c>
      <c r="Q1226" s="184" t="n">
        <v>0</v>
      </c>
      <c r="R1226" s="184" t="n">
        <v>0</v>
      </c>
      <c r="S1226" s="183" t="n">
        <v>0</v>
      </c>
      <c r="T1226" s="183" t="n">
        <v>0</v>
      </c>
      <c r="U1226" s="182" t="n">
        <v>0</v>
      </c>
      <c r="V1226" s="182" t="n">
        <v>0</v>
      </c>
      <c r="W1226" s="182" t="n">
        <v>0</v>
      </c>
      <c r="X1226" s="182" t="n">
        <v>0</v>
      </c>
      <c r="Y1226" s="182" t="n">
        <v>0</v>
      </c>
      <c r="Z1226" s="182" t="n">
        <v>0</v>
      </c>
      <c r="AA1226" s="182" t="n">
        <v>0</v>
      </c>
      <c r="AB1226" s="182" t="n">
        <v>0</v>
      </c>
      <c r="AC1226" s="182" t="n">
        <v>0</v>
      </c>
      <c r="AD1226" s="182" t="n">
        <v>0</v>
      </c>
      <c r="AE1226" s="182" t="n">
        <v>0</v>
      </c>
      <c r="AF1226" s="182" t="n">
        <v>0</v>
      </c>
      <c r="AG1226" s="182" t="n">
        <v>0</v>
      </c>
      <c r="AH1226" s="182" t="n">
        <v>0</v>
      </c>
      <c r="AI1226" s="182" t="n">
        <v>0</v>
      </c>
      <c r="AJ1226" s="182" t="n">
        <v>0</v>
      </c>
      <c r="AK1226" s="182" t="n">
        <v>0</v>
      </c>
      <c r="AL1226" s="182" t="n">
        <v>0</v>
      </c>
      <c r="AM1226" s="182" t="n">
        <v>0</v>
      </c>
      <c r="AN1226" s="182" t="n">
        <v>0</v>
      </c>
    </row>
    <row r="1227">
      <c r="A1227" s="155" t="n">
        <v>46087</v>
      </c>
      <c r="B1227" s="156" t="inlineStr">
        <is>
          <t>NS</t>
        </is>
      </c>
      <c r="C1227" s="156" t="inlineStr">
        <is>
          <t>HT-405</t>
        </is>
      </c>
      <c r="D1227" s="156" t="inlineStr">
        <is>
          <t>SY430</t>
        </is>
      </c>
      <c r="E1227" s="156" t="inlineStr">
        <is>
          <t>DT Hauling</t>
        </is>
      </c>
      <c r="F1227" s="156" t="inlineStr"/>
      <c r="G1227" s="182" t="n">
        <v>0</v>
      </c>
      <c r="H1227" s="182" t="n">
        <v>0</v>
      </c>
      <c r="I1227" s="182" t="n">
        <v>0</v>
      </c>
      <c r="J1227" s="182" t="n">
        <v>0</v>
      </c>
      <c r="K1227" s="182" t="n">
        <v>12</v>
      </c>
      <c r="L1227" s="182" t="n">
        <v>12</v>
      </c>
      <c r="M1227" s="182" t="n">
        <v>0</v>
      </c>
      <c r="N1227" s="182" t="n">
        <v>0</v>
      </c>
      <c r="O1227" s="183" t="n">
        <v>0</v>
      </c>
      <c r="P1227" s="183" t="n">
        <v>0</v>
      </c>
      <c r="Q1227" s="184" t="n">
        <v>0</v>
      </c>
      <c r="R1227" s="184" t="n">
        <v>0</v>
      </c>
      <c r="S1227" s="183" t="n">
        <v>0</v>
      </c>
      <c r="T1227" s="183" t="n">
        <v>0</v>
      </c>
      <c r="U1227" s="182" t="n">
        <v>0</v>
      </c>
      <c r="V1227" s="182" t="n">
        <v>0</v>
      </c>
      <c r="W1227" s="182" t="n">
        <v>0</v>
      </c>
      <c r="X1227" s="182" t="n">
        <v>1</v>
      </c>
      <c r="Y1227" s="182" t="n">
        <v>0</v>
      </c>
      <c r="Z1227" s="182" t="n">
        <v>0</v>
      </c>
      <c r="AA1227" s="182" t="n">
        <v>0</v>
      </c>
      <c r="AB1227" s="182" t="n">
        <v>0</v>
      </c>
      <c r="AC1227" s="182" t="n">
        <v>0</v>
      </c>
      <c r="AD1227" s="182" t="n">
        <v>0</v>
      </c>
      <c r="AE1227" s="182" t="n">
        <v>0</v>
      </c>
      <c r="AF1227" s="182" t="n">
        <v>0</v>
      </c>
      <c r="AG1227" s="182" t="n">
        <v>0</v>
      </c>
      <c r="AH1227" s="182" t="n">
        <v>0</v>
      </c>
      <c r="AI1227" s="182" t="n">
        <v>0</v>
      </c>
      <c r="AJ1227" s="182" t="n">
        <v>0</v>
      </c>
      <c r="AK1227" s="182" t="n">
        <v>10.92</v>
      </c>
      <c r="AL1227" s="182" t="n">
        <v>0</v>
      </c>
      <c r="AM1227" s="182" t="n">
        <v>0.08</v>
      </c>
      <c r="AN1227" s="182" t="n">
        <v>0</v>
      </c>
    </row>
    <row r="1228">
      <c r="A1228" s="155" t="n">
        <v>46087</v>
      </c>
      <c r="B1228" s="156" t="inlineStr">
        <is>
          <t>NS</t>
        </is>
      </c>
      <c r="C1228" s="156" t="inlineStr">
        <is>
          <t>HT-417</t>
        </is>
      </c>
      <c r="D1228" s="156" t="inlineStr">
        <is>
          <t>SY430</t>
        </is>
      </c>
      <c r="E1228" s="156" t="inlineStr">
        <is>
          <t>DT Hauling</t>
        </is>
      </c>
      <c r="F1228" s="156" t="inlineStr"/>
      <c r="G1228" s="182" t="n">
        <v>0</v>
      </c>
      <c r="H1228" s="182" t="n">
        <v>0</v>
      </c>
      <c r="I1228" s="182" t="n">
        <v>0</v>
      </c>
      <c r="J1228" s="182" t="n">
        <v>0</v>
      </c>
      <c r="K1228" s="182" t="n">
        <v>12</v>
      </c>
      <c r="L1228" s="182" t="n">
        <v>12</v>
      </c>
      <c r="M1228" s="182" t="n">
        <v>0</v>
      </c>
      <c r="N1228" s="182" t="n">
        <v>0</v>
      </c>
      <c r="O1228" s="183" t="n">
        <v>0</v>
      </c>
      <c r="P1228" s="183" t="n">
        <v>0</v>
      </c>
      <c r="Q1228" s="184" t="n">
        <v>0</v>
      </c>
      <c r="R1228" s="184" t="n">
        <v>0</v>
      </c>
      <c r="S1228" s="183" t="n">
        <v>0</v>
      </c>
      <c r="T1228" s="183" t="n">
        <v>0</v>
      </c>
      <c r="U1228" s="182" t="n">
        <v>0</v>
      </c>
      <c r="V1228" s="182" t="n">
        <v>0</v>
      </c>
      <c r="W1228" s="182" t="n">
        <v>0</v>
      </c>
      <c r="X1228" s="182" t="n">
        <v>1</v>
      </c>
      <c r="Y1228" s="182" t="n">
        <v>0</v>
      </c>
      <c r="Z1228" s="182" t="n">
        <v>0</v>
      </c>
      <c r="AA1228" s="182" t="n">
        <v>0</v>
      </c>
      <c r="AB1228" s="182" t="n">
        <v>0</v>
      </c>
      <c r="AC1228" s="182" t="n">
        <v>0</v>
      </c>
      <c r="AD1228" s="182" t="n">
        <v>0</v>
      </c>
      <c r="AE1228" s="182" t="n">
        <v>0</v>
      </c>
      <c r="AF1228" s="182" t="n">
        <v>0</v>
      </c>
      <c r="AG1228" s="182" t="n">
        <v>0</v>
      </c>
      <c r="AH1228" s="182" t="n">
        <v>0</v>
      </c>
      <c r="AI1228" s="182" t="n">
        <v>0</v>
      </c>
      <c r="AJ1228" s="182" t="n">
        <v>0</v>
      </c>
      <c r="AK1228" s="182" t="n">
        <v>10.92</v>
      </c>
      <c r="AL1228" s="182" t="n">
        <v>0</v>
      </c>
      <c r="AM1228" s="182" t="n">
        <v>0.08</v>
      </c>
      <c r="AN1228" s="182" t="n">
        <v>0</v>
      </c>
    </row>
    <row r="1229">
      <c r="A1229" s="155" t="n">
        <v>46087</v>
      </c>
      <c r="B1229" s="156" t="inlineStr">
        <is>
          <t>NS</t>
        </is>
      </c>
      <c r="C1229" s="156" t="inlineStr">
        <is>
          <t>HT-401</t>
        </is>
      </c>
      <c r="D1229" s="156" t="inlineStr">
        <is>
          <t>SY430</t>
        </is>
      </c>
      <c r="E1229" s="156" t="inlineStr">
        <is>
          <t>DT Hauling</t>
        </is>
      </c>
      <c r="F1229" s="156" t="inlineStr"/>
      <c r="G1229" s="182" t="n">
        <v>0</v>
      </c>
      <c r="H1229" s="182" t="n">
        <v>0</v>
      </c>
      <c r="I1229" s="182" t="n">
        <v>0</v>
      </c>
      <c r="J1229" s="182" t="n">
        <v>0</v>
      </c>
      <c r="K1229" s="182" t="n">
        <v>12</v>
      </c>
      <c r="L1229" s="182" t="n">
        <v>12</v>
      </c>
      <c r="M1229" s="182" t="n">
        <v>0</v>
      </c>
      <c r="N1229" s="182" t="n">
        <v>0</v>
      </c>
      <c r="O1229" s="183" t="n">
        <v>0</v>
      </c>
      <c r="P1229" s="183" t="n">
        <v>0</v>
      </c>
      <c r="Q1229" s="184" t="n">
        <v>0</v>
      </c>
      <c r="R1229" s="184" t="n">
        <v>0</v>
      </c>
      <c r="S1229" s="183" t="n">
        <v>0</v>
      </c>
      <c r="T1229" s="183" t="n">
        <v>0</v>
      </c>
      <c r="U1229" s="182" t="n">
        <v>0</v>
      </c>
      <c r="V1229" s="182" t="n">
        <v>0</v>
      </c>
      <c r="W1229" s="182" t="n">
        <v>0</v>
      </c>
      <c r="X1229" s="182" t="n">
        <v>1</v>
      </c>
      <c r="Y1229" s="182" t="n">
        <v>0</v>
      </c>
      <c r="Z1229" s="182" t="n">
        <v>0</v>
      </c>
      <c r="AA1229" s="182" t="n">
        <v>0</v>
      </c>
      <c r="AB1229" s="182" t="n">
        <v>0</v>
      </c>
      <c r="AC1229" s="182" t="n">
        <v>0</v>
      </c>
      <c r="AD1229" s="182" t="n">
        <v>0</v>
      </c>
      <c r="AE1229" s="182" t="n">
        <v>0</v>
      </c>
      <c r="AF1229" s="182" t="n">
        <v>0</v>
      </c>
      <c r="AG1229" s="182" t="n">
        <v>0</v>
      </c>
      <c r="AH1229" s="182" t="n">
        <v>0</v>
      </c>
      <c r="AI1229" s="182" t="n">
        <v>0</v>
      </c>
      <c r="AJ1229" s="182" t="n">
        <v>0</v>
      </c>
      <c r="AK1229" s="182" t="n">
        <v>10.92</v>
      </c>
      <c r="AL1229" s="182" t="n">
        <v>0</v>
      </c>
      <c r="AM1229" s="182" t="n">
        <v>0.08</v>
      </c>
      <c r="AN1229" s="182" t="n">
        <v>0</v>
      </c>
    </row>
    <row r="1230">
      <c r="A1230" s="155" t="n">
        <v>46087</v>
      </c>
      <c r="B1230" s="156" t="inlineStr">
        <is>
          <t>NS</t>
        </is>
      </c>
      <c r="C1230" s="156" t="inlineStr">
        <is>
          <t>HT-410</t>
        </is>
      </c>
      <c r="D1230" s="156" t="inlineStr">
        <is>
          <t>SY430</t>
        </is>
      </c>
      <c r="E1230" s="156" t="inlineStr">
        <is>
          <t>DT Hauling</t>
        </is>
      </c>
      <c r="F1230" s="156" t="inlineStr"/>
      <c r="G1230" s="182" t="n">
        <v>0</v>
      </c>
      <c r="H1230" s="182" t="n">
        <v>0</v>
      </c>
      <c r="I1230" s="182" t="n">
        <v>0</v>
      </c>
      <c r="J1230" s="182" t="n">
        <v>0</v>
      </c>
      <c r="K1230" s="182" t="n">
        <v>12</v>
      </c>
      <c r="L1230" s="182" t="n">
        <v>12</v>
      </c>
      <c r="M1230" s="182" t="n">
        <v>0</v>
      </c>
      <c r="N1230" s="182" t="n">
        <v>0</v>
      </c>
      <c r="O1230" s="183" t="n">
        <v>0</v>
      </c>
      <c r="P1230" s="183" t="n">
        <v>0</v>
      </c>
      <c r="Q1230" s="184" t="n">
        <v>0</v>
      </c>
      <c r="R1230" s="184" t="n">
        <v>0</v>
      </c>
      <c r="S1230" s="183" t="n">
        <v>0</v>
      </c>
      <c r="T1230" s="183" t="n">
        <v>0</v>
      </c>
      <c r="U1230" s="182" t="n">
        <v>0</v>
      </c>
      <c r="V1230" s="182" t="n">
        <v>0</v>
      </c>
      <c r="W1230" s="182" t="n">
        <v>0</v>
      </c>
      <c r="X1230" s="182" t="n">
        <v>1</v>
      </c>
      <c r="Y1230" s="182" t="n">
        <v>0</v>
      </c>
      <c r="Z1230" s="182" t="n">
        <v>0</v>
      </c>
      <c r="AA1230" s="182" t="n">
        <v>0</v>
      </c>
      <c r="AB1230" s="182" t="n">
        <v>0</v>
      </c>
      <c r="AC1230" s="182" t="n">
        <v>0</v>
      </c>
      <c r="AD1230" s="182" t="n">
        <v>0</v>
      </c>
      <c r="AE1230" s="182" t="n">
        <v>0</v>
      </c>
      <c r="AF1230" s="182" t="n">
        <v>0</v>
      </c>
      <c r="AG1230" s="182" t="n">
        <v>0</v>
      </c>
      <c r="AH1230" s="182" t="n">
        <v>0</v>
      </c>
      <c r="AI1230" s="182" t="n">
        <v>0</v>
      </c>
      <c r="AJ1230" s="182" t="n">
        <v>0</v>
      </c>
      <c r="AK1230" s="182" t="n">
        <v>10.92</v>
      </c>
      <c r="AL1230" s="182" t="n">
        <v>0</v>
      </c>
      <c r="AM1230" s="182" t="n">
        <v>0.08</v>
      </c>
      <c r="AN1230" s="182" t="n">
        <v>0</v>
      </c>
    </row>
    <row r="1231">
      <c r="A1231" s="155" t="n">
        <v>46087</v>
      </c>
      <c r="B1231" s="156" t="inlineStr">
        <is>
          <t>NS</t>
        </is>
      </c>
      <c r="C1231" s="156" t="inlineStr">
        <is>
          <t>HT-402</t>
        </is>
      </c>
      <c r="D1231" s="156" t="inlineStr">
        <is>
          <t>SY430</t>
        </is>
      </c>
      <c r="E1231" s="156" t="inlineStr">
        <is>
          <t>DT Hauling</t>
        </is>
      </c>
      <c r="F1231" s="156" t="inlineStr"/>
      <c r="G1231" s="182" t="n">
        <v>0</v>
      </c>
      <c r="H1231" s="182" t="n">
        <v>0</v>
      </c>
      <c r="I1231" s="182" t="n">
        <v>12</v>
      </c>
      <c r="J1231" s="182" t="n">
        <v>12</v>
      </c>
      <c r="K1231" s="182" t="n">
        <v>0</v>
      </c>
      <c r="L1231" s="182" t="n">
        <v>12</v>
      </c>
      <c r="M1231" s="182" t="n">
        <v>0</v>
      </c>
      <c r="N1231" s="182" t="n">
        <v>0</v>
      </c>
      <c r="O1231" s="183" t="n">
        <v>0</v>
      </c>
      <c r="P1231" s="183" t="n">
        <v>0</v>
      </c>
      <c r="Q1231" s="184" t="n">
        <v>0</v>
      </c>
      <c r="R1231" s="184" t="n">
        <v>0</v>
      </c>
      <c r="S1231" s="183" t="n">
        <v>0</v>
      </c>
      <c r="T1231" s="183" t="n">
        <v>0</v>
      </c>
      <c r="U1231" s="182" t="n">
        <v>0</v>
      </c>
      <c r="V1231" s="182" t="n">
        <v>0</v>
      </c>
      <c r="W1231" s="182" t="n">
        <v>0</v>
      </c>
      <c r="X1231" s="182" t="n">
        <v>0</v>
      </c>
      <c r="Y1231" s="182" t="n">
        <v>0</v>
      </c>
      <c r="Z1231" s="182" t="n">
        <v>0</v>
      </c>
      <c r="AA1231" s="182" t="n">
        <v>0</v>
      </c>
      <c r="AB1231" s="182" t="n">
        <v>0</v>
      </c>
      <c r="AC1231" s="182" t="n">
        <v>0</v>
      </c>
      <c r="AD1231" s="182" t="n">
        <v>0</v>
      </c>
      <c r="AE1231" s="182" t="n">
        <v>0</v>
      </c>
      <c r="AF1231" s="182" t="n">
        <v>0</v>
      </c>
      <c r="AG1231" s="182" t="n">
        <v>0</v>
      </c>
      <c r="AH1231" s="182" t="n">
        <v>0</v>
      </c>
      <c r="AI1231" s="182" t="n">
        <v>0</v>
      </c>
      <c r="AJ1231" s="182" t="n">
        <v>0</v>
      </c>
      <c r="AK1231" s="182" t="n">
        <v>0</v>
      </c>
      <c r="AL1231" s="182" t="n">
        <v>0</v>
      </c>
      <c r="AM1231" s="182" t="n">
        <v>0</v>
      </c>
      <c r="AN1231" s="182" t="n">
        <v>0</v>
      </c>
    </row>
    <row r="1232">
      <c r="A1232" s="155" t="n">
        <v>46087</v>
      </c>
      <c r="B1232" s="156" t="inlineStr">
        <is>
          <t>NS</t>
        </is>
      </c>
      <c r="C1232" s="156" t="inlineStr">
        <is>
          <t>HT-419</t>
        </is>
      </c>
      <c r="D1232" s="156" t="inlineStr">
        <is>
          <t>SY430</t>
        </is>
      </c>
      <c r="E1232" s="156" t="inlineStr">
        <is>
          <t>DT Hauling</t>
        </is>
      </c>
      <c r="F1232" s="156" t="inlineStr"/>
      <c r="G1232" s="182" t="n">
        <v>0</v>
      </c>
      <c r="H1232" s="182" t="n">
        <v>0</v>
      </c>
      <c r="I1232" s="182" t="n">
        <v>0</v>
      </c>
      <c r="J1232" s="182" t="n">
        <v>0</v>
      </c>
      <c r="K1232" s="182" t="n">
        <v>12</v>
      </c>
      <c r="L1232" s="182" t="n">
        <v>12</v>
      </c>
      <c r="M1232" s="182" t="n">
        <v>0</v>
      </c>
      <c r="N1232" s="182" t="n">
        <v>0</v>
      </c>
      <c r="O1232" s="183" t="n">
        <v>0</v>
      </c>
      <c r="P1232" s="183" t="n">
        <v>0</v>
      </c>
      <c r="Q1232" s="184" t="n">
        <v>0</v>
      </c>
      <c r="R1232" s="184" t="n">
        <v>0</v>
      </c>
      <c r="S1232" s="183" t="n">
        <v>0</v>
      </c>
      <c r="T1232" s="183" t="n">
        <v>0</v>
      </c>
      <c r="U1232" s="182" t="n">
        <v>0</v>
      </c>
      <c r="V1232" s="182" t="n">
        <v>0</v>
      </c>
      <c r="W1232" s="182" t="n">
        <v>0</v>
      </c>
      <c r="X1232" s="182" t="n">
        <v>1</v>
      </c>
      <c r="Y1232" s="182" t="n">
        <v>0</v>
      </c>
      <c r="Z1232" s="182" t="n">
        <v>0</v>
      </c>
      <c r="AA1232" s="182" t="n">
        <v>0</v>
      </c>
      <c r="AB1232" s="182" t="n">
        <v>0</v>
      </c>
      <c r="AC1232" s="182" t="n">
        <v>0</v>
      </c>
      <c r="AD1232" s="182" t="n">
        <v>0</v>
      </c>
      <c r="AE1232" s="182" t="n">
        <v>0</v>
      </c>
      <c r="AF1232" s="182" t="n">
        <v>0</v>
      </c>
      <c r="AG1232" s="182" t="n">
        <v>0</v>
      </c>
      <c r="AH1232" s="182" t="n">
        <v>0</v>
      </c>
      <c r="AI1232" s="182" t="n">
        <v>0</v>
      </c>
      <c r="AJ1232" s="182" t="n">
        <v>0</v>
      </c>
      <c r="AK1232" s="182" t="n">
        <v>10.92</v>
      </c>
      <c r="AL1232" s="182" t="n">
        <v>0</v>
      </c>
      <c r="AM1232" s="182" t="n">
        <v>0.08</v>
      </c>
      <c r="AN1232" s="182" t="n">
        <v>0</v>
      </c>
    </row>
    <row r="1233">
      <c r="A1233" s="155" t="n">
        <v>46087</v>
      </c>
      <c r="B1233" s="156" t="inlineStr">
        <is>
          <t>NS</t>
        </is>
      </c>
      <c r="C1233" s="156" t="inlineStr">
        <is>
          <t>HT-416</t>
        </is>
      </c>
      <c r="D1233" s="156" t="inlineStr">
        <is>
          <t>SY430</t>
        </is>
      </c>
      <c r="E1233" s="156" t="inlineStr">
        <is>
          <t>DT Hauling</t>
        </is>
      </c>
      <c r="F1233" s="156" t="inlineStr"/>
      <c r="G1233" s="182" t="n">
        <v>0</v>
      </c>
      <c r="H1233" s="182" t="n">
        <v>0</v>
      </c>
      <c r="I1233" s="182" t="n">
        <v>0</v>
      </c>
      <c r="J1233" s="182" t="n">
        <v>0</v>
      </c>
      <c r="K1233" s="182" t="n">
        <v>12</v>
      </c>
      <c r="L1233" s="182" t="n">
        <v>12</v>
      </c>
      <c r="M1233" s="182" t="n">
        <v>0</v>
      </c>
      <c r="N1233" s="182" t="n">
        <v>0</v>
      </c>
      <c r="O1233" s="183" t="n">
        <v>0</v>
      </c>
      <c r="P1233" s="183" t="n">
        <v>0</v>
      </c>
      <c r="Q1233" s="184" t="n">
        <v>0</v>
      </c>
      <c r="R1233" s="184" t="n">
        <v>0</v>
      </c>
      <c r="S1233" s="183" t="n">
        <v>0</v>
      </c>
      <c r="T1233" s="183" t="n">
        <v>0</v>
      </c>
      <c r="U1233" s="182" t="n">
        <v>0</v>
      </c>
      <c r="V1233" s="182" t="n">
        <v>0</v>
      </c>
      <c r="W1233" s="182" t="n">
        <v>0</v>
      </c>
      <c r="X1233" s="182" t="n">
        <v>1</v>
      </c>
      <c r="Y1233" s="182" t="n">
        <v>0</v>
      </c>
      <c r="Z1233" s="182" t="n">
        <v>0</v>
      </c>
      <c r="AA1233" s="182" t="n">
        <v>0</v>
      </c>
      <c r="AB1233" s="182" t="n">
        <v>0</v>
      </c>
      <c r="AC1233" s="182" t="n">
        <v>0</v>
      </c>
      <c r="AD1233" s="182" t="n">
        <v>0</v>
      </c>
      <c r="AE1233" s="182" t="n">
        <v>0</v>
      </c>
      <c r="AF1233" s="182" t="n">
        <v>0</v>
      </c>
      <c r="AG1233" s="182" t="n">
        <v>0</v>
      </c>
      <c r="AH1233" s="182" t="n">
        <v>0</v>
      </c>
      <c r="AI1233" s="182" t="n">
        <v>0</v>
      </c>
      <c r="AJ1233" s="182" t="n">
        <v>0</v>
      </c>
      <c r="AK1233" s="182" t="n">
        <v>10.92</v>
      </c>
      <c r="AL1233" s="182" t="n">
        <v>0</v>
      </c>
      <c r="AM1233" s="182" t="n">
        <v>0.08</v>
      </c>
      <c r="AN1233" s="182" t="n">
        <v>0</v>
      </c>
    </row>
    <row r="1234">
      <c r="A1234" s="155" t="n">
        <v>46087</v>
      </c>
      <c r="B1234" s="156" t="inlineStr">
        <is>
          <t>NS</t>
        </is>
      </c>
      <c r="C1234" s="156" t="inlineStr">
        <is>
          <t>HT-420</t>
        </is>
      </c>
      <c r="D1234" s="156" t="inlineStr">
        <is>
          <t>SY430</t>
        </is>
      </c>
      <c r="E1234" s="156" t="inlineStr">
        <is>
          <t>DT Hauling</t>
        </is>
      </c>
      <c r="F1234" s="156" t="inlineStr"/>
      <c r="G1234" s="182" t="n">
        <v>0</v>
      </c>
      <c r="H1234" s="182" t="n">
        <v>0</v>
      </c>
      <c r="I1234" s="182" t="n">
        <v>1.62</v>
      </c>
      <c r="J1234" s="182" t="n">
        <v>1.62</v>
      </c>
      <c r="K1234" s="182" t="n">
        <v>10.38</v>
      </c>
      <c r="L1234" s="182" t="n">
        <v>12</v>
      </c>
      <c r="M1234" s="182" t="n">
        <v>0</v>
      </c>
      <c r="N1234" s="182" t="n">
        <v>0</v>
      </c>
      <c r="O1234" s="183" t="n">
        <v>0</v>
      </c>
      <c r="P1234" s="183" t="n">
        <v>0</v>
      </c>
      <c r="Q1234" s="184" t="n">
        <v>0</v>
      </c>
      <c r="R1234" s="184" t="n">
        <v>0</v>
      </c>
      <c r="S1234" s="183" t="n">
        <v>0</v>
      </c>
      <c r="T1234" s="183" t="n">
        <v>0</v>
      </c>
      <c r="U1234" s="182" t="n">
        <v>0</v>
      </c>
      <c r="V1234" s="182" t="n">
        <v>0</v>
      </c>
      <c r="W1234" s="182" t="n">
        <v>0</v>
      </c>
      <c r="X1234" s="182" t="n">
        <v>1</v>
      </c>
      <c r="Y1234" s="182" t="n">
        <v>0</v>
      </c>
      <c r="Z1234" s="182" t="n">
        <v>0</v>
      </c>
      <c r="AA1234" s="182" t="n">
        <v>0</v>
      </c>
      <c r="AB1234" s="182" t="n">
        <v>0</v>
      </c>
      <c r="AC1234" s="182" t="n">
        <v>0</v>
      </c>
      <c r="AD1234" s="182" t="n">
        <v>0</v>
      </c>
      <c r="AE1234" s="182" t="n">
        <v>0</v>
      </c>
      <c r="AF1234" s="182" t="n">
        <v>0</v>
      </c>
      <c r="AG1234" s="182" t="n">
        <v>0</v>
      </c>
      <c r="AH1234" s="182" t="n">
        <v>0</v>
      </c>
      <c r="AI1234" s="182" t="n">
        <v>0</v>
      </c>
      <c r="AJ1234" s="182" t="n">
        <v>0</v>
      </c>
      <c r="AK1234" s="182" t="n">
        <v>9.300000000000001</v>
      </c>
      <c r="AL1234" s="182" t="n">
        <v>0</v>
      </c>
      <c r="AM1234" s="182" t="n">
        <v>0.08</v>
      </c>
      <c r="AN1234" s="182" t="n">
        <v>0</v>
      </c>
    </row>
    <row r="1235">
      <c r="A1235" s="155" t="n">
        <v>46087</v>
      </c>
      <c r="B1235" s="156" t="inlineStr">
        <is>
          <t>NS</t>
        </is>
      </c>
      <c r="C1235" s="156" t="inlineStr">
        <is>
          <t>HT-403</t>
        </is>
      </c>
      <c r="D1235" s="156" t="inlineStr">
        <is>
          <t>SY430</t>
        </is>
      </c>
      <c r="E1235" s="156" t="inlineStr">
        <is>
          <t>DT Hauling</t>
        </is>
      </c>
      <c r="F1235" s="156" t="inlineStr"/>
      <c r="G1235" s="182" t="n">
        <v>0</v>
      </c>
      <c r="H1235" s="182" t="n">
        <v>0</v>
      </c>
      <c r="I1235" s="182" t="n">
        <v>0</v>
      </c>
      <c r="J1235" s="182" t="n">
        <v>0</v>
      </c>
      <c r="K1235" s="182" t="n">
        <v>12</v>
      </c>
      <c r="L1235" s="182" t="n">
        <v>12</v>
      </c>
      <c r="M1235" s="182" t="n">
        <v>0</v>
      </c>
      <c r="N1235" s="182" t="n">
        <v>0</v>
      </c>
      <c r="O1235" s="183" t="n">
        <v>0</v>
      </c>
      <c r="P1235" s="183" t="n">
        <v>0</v>
      </c>
      <c r="Q1235" s="184" t="n">
        <v>0</v>
      </c>
      <c r="R1235" s="184" t="n">
        <v>0</v>
      </c>
      <c r="S1235" s="183" t="n">
        <v>0</v>
      </c>
      <c r="T1235" s="183" t="n">
        <v>0</v>
      </c>
      <c r="U1235" s="182" t="n">
        <v>0</v>
      </c>
      <c r="V1235" s="182" t="n">
        <v>0</v>
      </c>
      <c r="W1235" s="182" t="n">
        <v>0</v>
      </c>
      <c r="X1235" s="182" t="n">
        <v>1</v>
      </c>
      <c r="Y1235" s="182" t="n">
        <v>0</v>
      </c>
      <c r="Z1235" s="182" t="n">
        <v>0</v>
      </c>
      <c r="AA1235" s="182" t="n">
        <v>0</v>
      </c>
      <c r="AB1235" s="182" t="n">
        <v>0</v>
      </c>
      <c r="AC1235" s="182" t="n">
        <v>0</v>
      </c>
      <c r="AD1235" s="182" t="n">
        <v>0</v>
      </c>
      <c r="AE1235" s="182" t="n">
        <v>0</v>
      </c>
      <c r="AF1235" s="182" t="n">
        <v>0</v>
      </c>
      <c r="AG1235" s="182" t="n">
        <v>0</v>
      </c>
      <c r="AH1235" s="182" t="n">
        <v>0</v>
      </c>
      <c r="AI1235" s="182" t="n">
        <v>0</v>
      </c>
      <c r="AJ1235" s="182" t="n">
        <v>0</v>
      </c>
      <c r="AK1235" s="182" t="n">
        <v>10.92</v>
      </c>
      <c r="AL1235" s="182" t="n">
        <v>0</v>
      </c>
      <c r="AM1235" s="182" t="n">
        <v>0.08</v>
      </c>
      <c r="AN1235" s="182" t="n">
        <v>0</v>
      </c>
    </row>
    <row r="1236">
      <c r="A1236" s="155" t="n">
        <v>46087</v>
      </c>
      <c r="B1236" s="156" t="inlineStr">
        <is>
          <t>NS</t>
        </is>
      </c>
      <c r="C1236" s="156" t="inlineStr">
        <is>
          <t>HT-408</t>
        </is>
      </c>
      <c r="D1236" s="156" t="inlineStr">
        <is>
          <t>SY430</t>
        </is>
      </c>
      <c r="E1236" s="156" t="inlineStr">
        <is>
          <t>DT Hauling</t>
        </is>
      </c>
      <c r="F1236" s="156" t="inlineStr"/>
      <c r="G1236" s="182" t="n">
        <v>0</v>
      </c>
      <c r="H1236" s="182" t="n">
        <v>0</v>
      </c>
      <c r="I1236" s="182" t="n">
        <v>0</v>
      </c>
      <c r="J1236" s="182" t="n">
        <v>0</v>
      </c>
      <c r="K1236" s="182" t="n">
        <v>12</v>
      </c>
      <c r="L1236" s="182" t="n">
        <v>12</v>
      </c>
      <c r="M1236" s="182" t="n">
        <v>0</v>
      </c>
      <c r="N1236" s="182" t="n">
        <v>0</v>
      </c>
      <c r="O1236" s="183" t="n">
        <v>0</v>
      </c>
      <c r="P1236" s="183" t="n">
        <v>0</v>
      </c>
      <c r="Q1236" s="184" t="n">
        <v>0</v>
      </c>
      <c r="R1236" s="184" t="n">
        <v>0</v>
      </c>
      <c r="S1236" s="183" t="n">
        <v>0</v>
      </c>
      <c r="T1236" s="183" t="n">
        <v>0</v>
      </c>
      <c r="U1236" s="182" t="n">
        <v>0</v>
      </c>
      <c r="V1236" s="182" t="n">
        <v>0</v>
      </c>
      <c r="W1236" s="182" t="n">
        <v>0</v>
      </c>
      <c r="X1236" s="182" t="n">
        <v>1</v>
      </c>
      <c r="Y1236" s="182" t="n">
        <v>0</v>
      </c>
      <c r="Z1236" s="182" t="n">
        <v>0</v>
      </c>
      <c r="AA1236" s="182" t="n">
        <v>0</v>
      </c>
      <c r="AB1236" s="182" t="n">
        <v>0</v>
      </c>
      <c r="AC1236" s="182" t="n">
        <v>0</v>
      </c>
      <c r="AD1236" s="182" t="n">
        <v>0</v>
      </c>
      <c r="AE1236" s="182" t="n">
        <v>0</v>
      </c>
      <c r="AF1236" s="182" t="n">
        <v>0</v>
      </c>
      <c r="AG1236" s="182" t="n">
        <v>0</v>
      </c>
      <c r="AH1236" s="182" t="n">
        <v>0</v>
      </c>
      <c r="AI1236" s="182" t="n">
        <v>0</v>
      </c>
      <c r="AJ1236" s="182" t="n">
        <v>0</v>
      </c>
      <c r="AK1236" s="182" t="n">
        <v>10.92</v>
      </c>
      <c r="AL1236" s="182" t="n">
        <v>0</v>
      </c>
      <c r="AM1236" s="182" t="n">
        <v>0.08</v>
      </c>
      <c r="AN1236" s="182" t="n">
        <v>0</v>
      </c>
    </row>
    <row r="1237">
      <c r="A1237" s="155" t="n">
        <v>46087</v>
      </c>
      <c r="B1237" s="156" t="inlineStr">
        <is>
          <t>NS</t>
        </is>
      </c>
      <c r="C1237" s="156" t="inlineStr">
        <is>
          <t>HT-412</t>
        </is>
      </c>
      <c r="D1237" s="156" t="inlineStr">
        <is>
          <t>SY430</t>
        </is>
      </c>
      <c r="E1237" s="156" t="inlineStr">
        <is>
          <t>DT Hauling</t>
        </is>
      </c>
      <c r="F1237" s="156" t="inlineStr"/>
      <c r="G1237" s="182" t="n">
        <v>0</v>
      </c>
      <c r="H1237" s="182" t="n">
        <v>0</v>
      </c>
      <c r="I1237" s="182" t="n">
        <v>0.17</v>
      </c>
      <c r="J1237" s="182" t="n">
        <v>0.17</v>
      </c>
      <c r="K1237" s="182" t="n">
        <v>11.83</v>
      </c>
      <c r="L1237" s="182" t="n">
        <v>12</v>
      </c>
      <c r="M1237" s="182" t="n">
        <v>0</v>
      </c>
      <c r="N1237" s="182" t="n">
        <v>0</v>
      </c>
      <c r="O1237" s="183" t="n">
        <v>0</v>
      </c>
      <c r="P1237" s="183" t="n">
        <v>0</v>
      </c>
      <c r="Q1237" s="184" t="n">
        <v>0</v>
      </c>
      <c r="R1237" s="184" t="n">
        <v>0</v>
      </c>
      <c r="S1237" s="183" t="n">
        <v>0</v>
      </c>
      <c r="T1237" s="183" t="n">
        <v>0</v>
      </c>
      <c r="U1237" s="182" t="n">
        <v>0</v>
      </c>
      <c r="V1237" s="182" t="n">
        <v>0</v>
      </c>
      <c r="W1237" s="182" t="n">
        <v>0</v>
      </c>
      <c r="X1237" s="182" t="n">
        <v>1</v>
      </c>
      <c r="Y1237" s="182" t="n">
        <v>0</v>
      </c>
      <c r="Z1237" s="182" t="n">
        <v>0</v>
      </c>
      <c r="AA1237" s="182" t="n">
        <v>0</v>
      </c>
      <c r="AB1237" s="182" t="n">
        <v>0</v>
      </c>
      <c r="AC1237" s="182" t="n">
        <v>0</v>
      </c>
      <c r="AD1237" s="182" t="n">
        <v>0</v>
      </c>
      <c r="AE1237" s="182" t="n">
        <v>0</v>
      </c>
      <c r="AF1237" s="182" t="n">
        <v>0</v>
      </c>
      <c r="AG1237" s="182" t="n">
        <v>0</v>
      </c>
      <c r="AH1237" s="182" t="n">
        <v>0</v>
      </c>
      <c r="AI1237" s="182" t="n">
        <v>0</v>
      </c>
      <c r="AJ1237" s="182" t="n">
        <v>0</v>
      </c>
      <c r="AK1237" s="182" t="n">
        <v>10.75</v>
      </c>
      <c r="AL1237" s="182" t="n">
        <v>0</v>
      </c>
      <c r="AM1237" s="182" t="n">
        <v>0.08</v>
      </c>
      <c r="AN1237" s="182" t="n">
        <v>0</v>
      </c>
    </row>
    <row r="1238">
      <c r="A1238" s="155" t="n">
        <v>46087</v>
      </c>
      <c r="B1238" s="156" t="inlineStr">
        <is>
          <t>NS</t>
        </is>
      </c>
      <c r="C1238" s="156" t="inlineStr">
        <is>
          <t>HT-413</t>
        </is>
      </c>
      <c r="D1238" s="156" t="inlineStr">
        <is>
          <t>SY430</t>
        </is>
      </c>
      <c r="E1238" s="156" t="inlineStr">
        <is>
          <t>DT Hauling</t>
        </is>
      </c>
      <c r="F1238" s="156" t="inlineStr"/>
      <c r="G1238" s="182" t="n">
        <v>0</v>
      </c>
      <c r="H1238" s="182" t="n">
        <v>0</v>
      </c>
      <c r="I1238" s="182" t="n">
        <v>12</v>
      </c>
      <c r="J1238" s="182" t="n">
        <v>12</v>
      </c>
      <c r="K1238" s="182" t="n">
        <v>0</v>
      </c>
      <c r="L1238" s="182" t="n">
        <v>12</v>
      </c>
      <c r="M1238" s="182" t="n">
        <v>0</v>
      </c>
      <c r="N1238" s="182" t="n">
        <v>0</v>
      </c>
      <c r="O1238" s="183" t="n">
        <v>0</v>
      </c>
      <c r="P1238" s="183" t="n">
        <v>0</v>
      </c>
      <c r="Q1238" s="184" t="n">
        <v>0</v>
      </c>
      <c r="R1238" s="184" t="n">
        <v>0</v>
      </c>
      <c r="S1238" s="183" t="n">
        <v>0</v>
      </c>
      <c r="T1238" s="183" t="n">
        <v>0</v>
      </c>
      <c r="U1238" s="182" t="n">
        <v>0</v>
      </c>
      <c r="V1238" s="182" t="n">
        <v>0</v>
      </c>
      <c r="W1238" s="182" t="n">
        <v>0</v>
      </c>
      <c r="X1238" s="182" t="n">
        <v>0</v>
      </c>
      <c r="Y1238" s="182" t="n">
        <v>0</v>
      </c>
      <c r="Z1238" s="182" t="n">
        <v>0</v>
      </c>
      <c r="AA1238" s="182" t="n">
        <v>0</v>
      </c>
      <c r="AB1238" s="182" t="n">
        <v>0</v>
      </c>
      <c r="AC1238" s="182" t="n">
        <v>0</v>
      </c>
      <c r="AD1238" s="182" t="n">
        <v>0</v>
      </c>
      <c r="AE1238" s="182" t="n">
        <v>0</v>
      </c>
      <c r="AF1238" s="182" t="n">
        <v>0</v>
      </c>
      <c r="AG1238" s="182" t="n">
        <v>0</v>
      </c>
      <c r="AH1238" s="182" t="n">
        <v>0</v>
      </c>
      <c r="AI1238" s="182" t="n">
        <v>0</v>
      </c>
      <c r="AJ1238" s="182" t="n">
        <v>0</v>
      </c>
      <c r="AK1238" s="182" t="n">
        <v>0</v>
      </c>
      <c r="AL1238" s="182" t="n">
        <v>0</v>
      </c>
      <c r="AM1238" s="182" t="n">
        <v>0</v>
      </c>
      <c r="AN1238" s="182" t="n">
        <v>0</v>
      </c>
    </row>
    <row r="1239">
      <c r="A1239" s="155" t="n">
        <v>46087</v>
      </c>
      <c r="B1239" s="156" t="inlineStr">
        <is>
          <t>NS</t>
        </is>
      </c>
      <c r="C1239" s="156" t="inlineStr">
        <is>
          <t>HT-407</t>
        </is>
      </c>
      <c r="D1239" s="156" t="inlineStr">
        <is>
          <t>SY430</t>
        </is>
      </c>
      <c r="E1239" s="156" t="inlineStr">
        <is>
          <t>DT Hauling</t>
        </is>
      </c>
      <c r="F1239" s="156" t="inlineStr"/>
      <c r="G1239" s="182" t="n">
        <v>0</v>
      </c>
      <c r="H1239" s="182" t="n">
        <v>0</v>
      </c>
      <c r="I1239" s="182" t="n">
        <v>0</v>
      </c>
      <c r="J1239" s="182" t="n">
        <v>0</v>
      </c>
      <c r="K1239" s="182" t="n">
        <v>12</v>
      </c>
      <c r="L1239" s="182" t="n">
        <v>12</v>
      </c>
      <c r="M1239" s="182" t="n">
        <v>0</v>
      </c>
      <c r="N1239" s="182" t="n">
        <v>0</v>
      </c>
      <c r="O1239" s="183" t="n">
        <v>0</v>
      </c>
      <c r="P1239" s="183" t="n">
        <v>0</v>
      </c>
      <c r="Q1239" s="184" t="n">
        <v>0</v>
      </c>
      <c r="R1239" s="184" t="n">
        <v>0</v>
      </c>
      <c r="S1239" s="183" t="n">
        <v>0</v>
      </c>
      <c r="T1239" s="183" t="n">
        <v>0</v>
      </c>
      <c r="U1239" s="182" t="n">
        <v>0</v>
      </c>
      <c r="V1239" s="182" t="n">
        <v>0</v>
      </c>
      <c r="W1239" s="182" t="n">
        <v>0</v>
      </c>
      <c r="X1239" s="182" t="n">
        <v>1</v>
      </c>
      <c r="Y1239" s="182" t="n">
        <v>0</v>
      </c>
      <c r="Z1239" s="182" t="n">
        <v>0</v>
      </c>
      <c r="AA1239" s="182" t="n">
        <v>0</v>
      </c>
      <c r="AB1239" s="182" t="n">
        <v>0</v>
      </c>
      <c r="AC1239" s="182" t="n">
        <v>0</v>
      </c>
      <c r="AD1239" s="182" t="n">
        <v>0</v>
      </c>
      <c r="AE1239" s="182" t="n">
        <v>0</v>
      </c>
      <c r="AF1239" s="182" t="n">
        <v>0</v>
      </c>
      <c r="AG1239" s="182" t="n">
        <v>0</v>
      </c>
      <c r="AH1239" s="182" t="n">
        <v>0</v>
      </c>
      <c r="AI1239" s="182" t="n">
        <v>0</v>
      </c>
      <c r="AJ1239" s="182" t="n">
        <v>0</v>
      </c>
      <c r="AK1239" s="182" t="n">
        <v>10.92</v>
      </c>
      <c r="AL1239" s="182" t="n">
        <v>0</v>
      </c>
      <c r="AM1239" s="182" t="n">
        <v>0.08</v>
      </c>
      <c r="AN1239" s="182" t="n">
        <v>0</v>
      </c>
    </row>
    <row r="1240">
      <c r="A1240" s="155" t="n">
        <v>46087</v>
      </c>
      <c r="B1240" s="156" t="inlineStr">
        <is>
          <t>NS</t>
        </is>
      </c>
      <c r="C1240" s="156" t="inlineStr">
        <is>
          <t>HT-414</t>
        </is>
      </c>
      <c r="D1240" s="156" t="inlineStr">
        <is>
          <t>SY430</t>
        </is>
      </c>
      <c r="E1240" s="156" t="inlineStr">
        <is>
          <t>DT Hauling</t>
        </is>
      </c>
      <c r="F1240" s="156" t="inlineStr"/>
      <c r="G1240" s="182" t="n">
        <v>0</v>
      </c>
      <c r="H1240" s="182" t="n">
        <v>0</v>
      </c>
      <c r="I1240" s="182" t="n">
        <v>0</v>
      </c>
      <c r="J1240" s="182" t="n">
        <v>0</v>
      </c>
      <c r="K1240" s="182" t="n">
        <v>12</v>
      </c>
      <c r="L1240" s="182" t="n">
        <v>12</v>
      </c>
      <c r="M1240" s="182" t="n">
        <v>0</v>
      </c>
      <c r="N1240" s="182" t="n">
        <v>0</v>
      </c>
      <c r="O1240" s="183" t="n">
        <v>0</v>
      </c>
      <c r="P1240" s="183" t="n">
        <v>0</v>
      </c>
      <c r="Q1240" s="184" t="n">
        <v>0</v>
      </c>
      <c r="R1240" s="184" t="n">
        <v>0</v>
      </c>
      <c r="S1240" s="183" t="n">
        <v>0</v>
      </c>
      <c r="T1240" s="183" t="n">
        <v>0</v>
      </c>
      <c r="U1240" s="182" t="n">
        <v>0</v>
      </c>
      <c r="V1240" s="182" t="n">
        <v>0</v>
      </c>
      <c r="W1240" s="182" t="n">
        <v>0</v>
      </c>
      <c r="X1240" s="182" t="n">
        <v>1</v>
      </c>
      <c r="Y1240" s="182" t="n">
        <v>0</v>
      </c>
      <c r="Z1240" s="182" t="n">
        <v>0</v>
      </c>
      <c r="AA1240" s="182" t="n">
        <v>0</v>
      </c>
      <c r="AB1240" s="182" t="n">
        <v>0</v>
      </c>
      <c r="AC1240" s="182" t="n">
        <v>0</v>
      </c>
      <c r="AD1240" s="182" t="n">
        <v>0</v>
      </c>
      <c r="AE1240" s="182" t="n">
        <v>0</v>
      </c>
      <c r="AF1240" s="182" t="n">
        <v>0</v>
      </c>
      <c r="AG1240" s="182" t="n">
        <v>0</v>
      </c>
      <c r="AH1240" s="182" t="n">
        <v>0</v>
      </c>
      <c r="AI1240" s="182" t="n">
        <v>0</v>
      </c>
      <c r="AJ1240" s="182" t="n">
        <v>0</v>
      </c>
      <c r="AK1240" s="182" t="n">
        <v>10.92</v>
      </c>
      <c r="AL1240" s="182" t="n">
        <v>0</v>
      </c>
      <c r="AM1240" s="182" t="n">
        <v>0.08</v>
      </c>
      <c r="AN1240" s="182" t="n">
        <v>0</v>
      </c>
    </row>
    <row r="1241">
      <c r="A1241" s="155" t="n">
        <v>46087</v>
      </c>
      <c r="B1241" s="156" t="inlineStr">
        <is>
          <t>NS</t>
        </is>
      </c>
      <c r="C1241" s="156" t="inlineStr">
        <is>
          <t>HT-411</t>
        </is>
      </c>
      <c r="D1241" s="156" t="inlineStr">
        <is>
          <t>SY430</t>
        </is>
      </c>
      <c r="E1241" s="156" t="inlineStr">
        <is>
          <t>DT Hauling</t>
        </is>
      </c>
      <c r="F1241" s="156" t="inlineStr"/>
      <c r="G1241" s="182" t="n">
        <v>0</v>
      </c>
      <c r="H1241" s="182" t="n">
        <v>0</v>
      </c>
      <c r="I1241" s="182" t="n">
        <v>0</v>
      </c>
      <c r="J1241" s="182" t="n">
        <v>0</v>
      </c>
      <c r="K1241" s="182" t="n">
        <v>12</v>
      </c>
      <c r="L1241" s="182" t="n">
        <v>12</v>
      </c>
      <c r="M1241" s="182" t="n">
        <v>0</v>
      </c>
      <c r="N1241" s="182" t="n">
        <v>0</v>
      </c>
      <c r="O1241" s="183" t="n">
        <v>0</v>
      </c>
      <c r="P1241" s="183" t="n">
        <v>0</v>
      </c>
      <c r="Q1241" s="184" t="n">
        <v>0</v>
      </c>
      <c r="R1241" s="184" t="n">
        <v>0</v>
      </c>
      <c r="S1241" s="183" t="n">
        <v>0</v>
      </c>
      <c r="T1241" s="183" t="n">
        <v>0</v>
      </c>
      <c r="U1241" s="182" t="n">
        <v>0</v>
      </c>
      <c r="V1241" s="182" t="n">
        <v>0</v>
      </c>
      <c r="W1241" s="182" t="n">
        <v>0</v>
      </c>
      <c r="X1241" s="182" t="n">
        <v>1</v>
      </c>
      <c r="Y1241" s="182" t="n">
        <v>0</v>
      </c>
      <c r="Z1241" s="182" t="n">
        <v>0</v>
      </c>
      <c r="AA1241" s="182" t="n">
        <v>0</v>
      </c>
      <c r="AB1241" s="182" t="n">
        <v>0</v>
      </c>
      <c r="AC1241" s="182" t="n">
        <v>0</v>
      </c>
      <c r="AD1241" s="182" t="n">
        <v>0</v>
      </c>
      <c r="AE1241" s="182" t="n">
        <v>0</v>
      </c>
      <c r="AF1241" s="182" t="n">
        <v>0</v>
      </c>
      <c r="AG1241" s="182" t="n">
        <v>0</v>
      </c>
      <c r="AH1241" s="182" t="n">
        <v>0</v>
      </c>
      <c r="AI1241" s="182" t="n">
        <v>0</v>
      </c>
      <c r="AJ1241" s="182" t="n">
        <v>0</v>
      </c>
      <c r="AK1241" s="182" t="n">
        <v>10.92</v>
      </c>
      <c r="AL1241" s="182" t="n">
        <v>0</v>
      </c>
      <c r="AM1241" s="182" t="n">
        <v>0.08</v>
      </c>
      <c r="AN1241" s="182" t="n">
        <v>0</v>
      </c>
    </row>
    <row r="1242">
      <c r="A1242" s="155" t="n">
        <v>46087</v>
      </c>
      <c r="B1242" s="156" t="inlineStr">
        <is>
          <t>NS</t>
        </is>
      </c>
      <c r="C1242" s="156" t="inlineStr">
        <is>
          <t>HT-409</t>
        </is>
      </c>
      <c r="D1242" s="156" t="inlineStr">
        <is>
          <t>SY430</t>
        </is>
      </c>
      <c r="E1242" s="156" t="inlineStr">
        <is>
          <t>DT Hauling</t>
        </is>
      </c>
      <c r="F1242" s="156" t="inlineStr"/>
      <c r="G1242" s="182" t="n">
        <v>0</v>
      </c>
      <c r="H1242" s="182" t="n">
        <v>0</v>
      </c>
      <c r="I1242" s="182" t="n">
        <v>0</v>
      </c>
      <c r="J1242" s="182" t="n">
        <v>0</v>
      </c>
      <c r="K1242" s="182" t="n">
        <v>12</v>
      </c>
      <c r="L1242" s="182" t="n">
        <v>12</v>
      </c>
      <c r="M1242" s="182" t="n">
        <v>0</v>
      </c>
      <c r="N1242" s="182" t="n">
        <v>0</v>
      </c>
      <c r="O1242" s="183" t="n">
        <v>0</v>
      </c>
      <c r="P1242" s="183" t="n">
        <v>0</v>
      </c>
      <c r="Q1242" s="184" t="n">
        <v>0</v>
      </c>
      <c r="R1242" s="184" t="n">
        <v>0</v>
      </c>
      <c r="S1242" s="183" t="n">
        <v>0</v>
      </c>
      <c r="T1242" s="183" t="n">
        <v>0</v>
      </c>
      <c r="U1242" s="182" t="n">
        <v>0</v>
      </c>
      <c r="V1242" s="182" t="n">
        <v>0</v>
      </c>
      <c r="W1242" s="182" t="n">
        <v>0</v>
      </c>
      <c r="X1242" s="182" t="n">
        <v>1</v>
      </c>
      <c r="Y1242" s="182" t="n">
        <v>0</v>
      </c>
      <c r="Z1242" s="182" t="n">
        <v>0</v>
      </c>
      <c r="AA1242" s="182" t="n">
        <v>0</v>
      </c>
      <c r="AB1242" s="182" t="n">
        <v>0</v>
      </c>
      <c r="AC1242" s="182" t="n">
        <v>0</v>
      </c>
      <c r="AD1242" s="182" t="n">
        <v>0</v>
      </c>
      <c r="AE1242" s="182" t="n">
        <v>0</v>
      </c>
      <c r="AF1242" s="182" t="n">
        <v>0</v>
      </c>
      <c r="AG1242" s="182" t="n">
        <v>0</v>
      </c>
      <c r="AH1242" s="182" t="n">
        <v>0</v>
      </c>
      <c r="AI1242" s="182" t="n">
        <v>0</v>
      </c>
      <c r="AJ1242" s="182" t="n">
        <v>0</v>
      </c>
      <c r="AK1242" s="182" t="n">
        <v>10.92</v>
      </c>
      <c r="AL1242" s="182" t="n">
        <v>0</v>
      </c>
      <c r="AM1242" s="182" t="n">
        <v>0.08</v>
      </c>
      <c r="AN1242" s="182" t="n">
        <v>0</v>
      </c>
    </row>
    <row r="1243">
      <c r="A1243" s="155" t="n">
        <v>46087</v>
      </c>
      <c r="B1243" s="156" t="inlineStr">
        <is>
          <t>NS</t>
        </is>
      </c>
      <c r="C1243" s="156" t="inlineStr">
        <is>
          <t>DH-103</t>
        </is>
      </c>
      <c r="D1243" s="156" t="inlineStr">
        <is>
          <t>HINO FM260</t>
        </is>
      </c>
      <c r="E1243" s="156" t="inlineStr">
        <is>
          <t>DT Hino</t>
        </is>
      </c>
      <c r="F1243" s="156" t="inlineStr"/>
      <c r="G1243" s="182" t="n">
        <v>0</v>
      </c>
      <c r="H1243" s="182" t="n">
        <v>0</v>
      </c>
      <c r="I1243" s="182" t="n">
        <v>12</v>
      </c>
      <c r="J1243" s="182" t="n">
        <v>12</v>
      </c>
      <c r="K1243" s="182" t="n">
        <v>0</v>
      </c>
      <c r="L1243" s="182" t="n">
        <v>12</v>
      </c>
      <c r="M1243" s="182" t="n">
        <v>0</v>
      </c>
      <c r="N1243" s="182" t="n">
        <v>0</v>
      </c>
      <c r="O1243" s="183" t="n">
        <v>0</v>
      </c>
      <c r="P1243" s="183" t="n">
        <v>0</v>
      </c>
      <c r="Q1243" s="184" t="n">
        <v>0</v>
      </c>
      <c r="R1243" s="184" t="n">
        <v>0</v>
      </c>
      <c r="S1243" s="183" t="n">
        <v>0</v>
      </c>
      <c r="T1243" s="183" t="n">
        <v>0</v>
      </c>
      <c r="U1243" s="182" t="n">
        <v>0</v>
      </c>
      <c r="V1243" s="182" t="n">
        <v>0</v>
      </c>
      <c r="W1243" s="182" t="n">
        <v>0</v>
      </c>
      <c r="X1243" s="182" t="n">
        <v>0</v>
      </c>
      <c r="Y1243" s="182" t="n">
        <v>0</v>
      </c>
      <c r="Z1243" s="182" t="n">
        <v>0</v>
      </c>
      <c r="AA1243" s="182" t="n">
        <v>0</v>
      </c>
      <c r="AB1243" s="182" t="n">
        <v>0</v>
      </c>
      <c r="AC1243" s="182" t="n">
        <v>0</v>
      </c>
      <c r="AD1243" s="182" t="n">
        <v>0</v>
      </c>
      <c r="AE1243" s="182" t="n">
        <v>0</v>
      </c>
      <c r="AF1243" s="182" t="n">
        <v>0</v>
      </c>
      <c r="AG1243" s="182" t="n">
        <v>0</v>
      </c>
      <c r="AH1243" s="182" t="n">
        <v>0</v>
      </c>
      <c r="AI1243" s="182" t="n">
        <v>0</v>
      </c>
      <c r="AJ1243" s="182" t="n">
        <v>0</v>
      </c>
      <c r="AK1243" s="182" t="n">
        <v>0</v>
      </c>
      <c r="AL1243" s="182" t="n">
        <v>0</v>
      </c>
      <c r="AM1243" s="182" t="n">
        <v>0</v>
      </c>
      <c r="AN1243" s="182" t="n">
        <v>0</v>
      </c>
    </row>
    <row r="1244">
      <c r="A1244" s="155" t="n">
        <v>46087</v>
      </c>
      <c r="B1244" s="156" t="inlineStr">
        <is>
          <t>NS</t>
        </is>
      </c>
      <c r="C1244" s="156" t="inlineStr">
        <is>
          <t>DH-102</t>
        </is>
      </c>
      <c r="D1244" s="156" t="inlineStr">
        <is>
          <t>HINO FM260</t>
        </is>
      </c>
      <c r="E1244" s="156" t="inlineStr">
        <is>
          <t>DT Hino</t>
        </is>
      </c>
      <c r="F1244" s="156" t="inlineStr"/>
      <c r="G1244" s="182" t="n">
        <v>0</v>
      </c>
      <c r="H1244" s="182" t="n">
        <v>0</v>
      </c>
      <c r="I1244" s="182" t="n">
        <v>0</v>
      </c>
      <c r="J1244" s="182" t="n">
        <v>0</v>
      </c>
      <c r="K1244" s="182" t="n">
        <v>12</v>
      </c>
      <c r="L1244" s="182" t="n">
        <v>12</v>
      </c>
      <c r="M1244" s="182" t="n">
        <v>0</v>
      </c>
      <c r="N1244" s="182" t="n">
        <v>0</v>
      </c>
      <c r="O1244" s="183" t="n">
        <v>0</v>
      </c>
      <c r="P1244" s="183" t="n">
        <v>0</v>
      </c>
      <c r="Q1244" s="184" t="n">
        <v>0</v>
      </c>
      <c r="R1244" s="184" t="n">
        <v>0</v>
      </c>
      <c r="S1244" s="183" t="n">
        <v>0</v>
      </c>
      <c r="T1244" s="183" t="n">
        <v>0</v>
      </c>
      <c r="U1244" s="182" t="n">
        <v>0</v>
      </c>
      <c r="V1244" s="182" t="n">
        <v>0</v>
      </c>
      <c r="W1244" s="182" t="n">
        <v>0</v>
      </c>
      <c r="X1244" s="182" t="n">
        <v>1</v>
      </c>
      <c r="Y1244" s="182" t="n">
        <v>0</v>
      </c>
      <c r="Z1244" s="182" t="n">
        <v>0</v>
      </c>
      <c r="AA1244" s="182" t="n">
        <v>0</v>
      </c>
      <c r="AB1244" s="182" t="n">
        <v>0</v>
      </c>
      <c r="AC1244" s="182" t="n">
        <v>0</v>
      </c>
      <c r="AD1244" s="182" t="n">
        <v>0</v>
      </c>
      <c r="AE1244" s="182" t="n">
        <v>0</v>
      </c>
      <c r="AF1244" s="182" t="n">
        <v>0</v>
      </c>
      <c r="AG1244" s="182" t="n">
        <v>0</v>
      </c>
      <c r="AH1244" s="182" t="n">
        <v>0</v>
      </c>
      <c r="AI1244" s="182" t="n">
        <v>0</v>
      </c>
      <c r="AJ1244" s="182" t="n">
        <v>0</v>
      </c>
      <c r="AK1244" s="182" t="n">
        <v>10.92</v>
      </c>
      <c r="AL1244" s="182" t="n">
        <v>0</v>
      </c>
      <c r="AM1244" s="182" t="n">
        <v>0.08</v>
      </c>
      <c r="AN1244" s="182" t="n">
        <v>0</v>
      </c>
    </row>
    <row r="1245">
      <c r="A1245" s="155" t="n">
        <v>46087</v>
      </c>
      <c r="B1245" s="156" t="inlineStr">
        <is>
          <t>NS</t>
        </is>
      </c>
      <c r="C1245" s="156" t="inlineStr">
        <is>
          <t>DH-101</t>
        </is>
      </c>
      <c r="D1245" s="156" t="inlineStr">
        <is>
          <t>HINO FM260</t>
        </is>
      </c>
      <c r="E1245" s="156" t="inlineStr">
        <is>
          <t>DT Hino</t>
        </is>
      </c>
      <c r="F1245" s="156" t="inlineStr"/>
      <c r="G1245" s="182" t="n">
        <v>0</v>
      </c>
      <c r="H1245" s="182" t="n">
        <v>0</v>
      </c>
      <c r="I1245" s="182" t="n">
        <v>0</v>
      </c>
      <c r="J1245" s="182" t="n">
        <v>0</v>
      </c>
      <c r="K1245" s="182" t="n">
        <v>12</v>
      </c>
      <c r="L1245" s="182" t="n">
        <v>12</v>
      </c>
      <c r="M1245" s="182" t="n">
        <v>0</v>
      </c>
      <c r="N1245" s="182" t="n">
        <v>0</v>
      </c>
      <c r="O1245" s="183" t="n">
        <v>0</v>
      </c>
      <c r="P1245" s="183" t="n">
        <v>0</v>
      </c>
      <c r="Q1245" s="184" t="n">
        <v>0</v>
      </c>
      <c r="R1245" s="184" t="n">
        <v>0</v>
      </c>
      <c r="S1245" s="183" t="n">
        <v>0</v>
      </c>
      <c r="T1245" s="183" t="n">
        <v>0</v>
      </c>
      <c r="U1245" s="182" t="n">
        <v>0</v>
      </c>
      <c r="V1245" s="182" t="n">
        <v>0</v>
      </c>
      <c r="W1245" s="182" t="n">
        <v>0</v>
      </c>
      <c r="X1245" s="182" t="n">
        <v>1</v>
      </c>
      <c r="Y1245" s="182" t="n">
        <v>0</v>
      </c>
      <c r="Z1245" s="182" t="n">
        <v>0</v>
      </c>
      <c r="AA1245" s="182" t="n">
        <v>0</v>
      </c>
      <c r="AB1245" s="182" t="n">
        <v>0</v>
      </c>
      <c r="AC1245" s="182" t="n">
        <v>0</v>
      </c>
      <c r="AD1245" s="182" t="n">
        <v>0</v>
      </c>
      <c r="AE1245" s="182" t="n">
        <v>0</v>
      </c>
      <c r="AF1245" s="182" t="n">
        <v>0</v>
      </c>
      <c r="AG1245" s="182" t="n">
        <v>0</v>
      </c>
      <c r="AH1245" s="182" t="n">
        <v>0</v>
      </c>
      <c r="AI1245" s="182" t="n">
        <v>0</v>
      </c>
      <c r="AJ1245" s="182" t="n">
        <v>0</v>
      </c>
      <c r="AK1245" s="182" t="n">
        <v>10.92</v>
      </c>
      <c r="AL1245" s="182" t="n">
        <v>0</v>
      </c>
      <c r="AM1245" s="182" t="n">
        <v>0.08</v>
      </c>
      <c r="AN1245" s="182" t="n">
        <v>0</v>
      </c>
    </row>
    <row r="1246">
      <c r="A1246" s="155" t="n">
        <v>46087</v>
      </c>
      <c r="B1246" s="156" t="inlineStr">
        <is>
          <t>NS</t>
        </is>
      </c>
      <c r="C1246" s="156" t="inlineStr">
        <is>
          <t>EX-1251</t>
        </is>
      </c>
      <c r="D1246" s="156" t="inlineStr">
        <is>
          <t>SY1250</t>
        </is>
      </c>
      <c r="E1246" s="156" t="inlineStr">
        <is>
          <t>Excavator</t>
        </is>
      </c>
      <c r="F1246" s="156" t="inlineStr"/>
      <c r="G1246" s="182" t="n">
        <v>0</v>
      </c>
      <c r="H1246" s="182" t="n">
        <v>12</v>
      </c>
      <c r="I1246" s="182" t="n">
        <v>0</v>
      </c>
      <c r="J1246" s="182" t="n">
        <v>12</v>
      </c>
      <c r="K1246" s="182" t="n">
        <v>0</v>
      </c>
      <c r="L1246" s="182" t="n">
        <v>12</v>
      </c>
      <c r="M1246" s="182" t="n">
        <v>0</v>
      </c>
      <c r="N1246" s="182" t="n">
        <v>0</v>
      </c>
      <c r="O1246" s="183" t="n">
        <v>0</v>
      </c>
      <c r="P1246" s="183" t="n">
        <v>0</v>
      </c>
      <c r="Q1246" s="184" t="n">
        <v>0</v>
      </c>
      <c r="R1246" s="184" t="n">
        <v>0</v>
      </c>
      <c r="S1246" s="183" t="n">
        <v>0</v>
      </c>
      <c r="T1246" s="183" t="n">
        <v>0</v>
      </c>
      <c r="U1246" s="182" t="n">
        <v>0</v>
      </c>
      <c r="V1246" s="182" t="n">
        <v>0</v>
      </c>
      <c r="W1246" s="182" t="n">
        <v>0</v>
      </c>
      <c r="X1246" s="182" t="n">
        <v>0</v>
      </c>
      <c r="Y1246" s="182" t="n">
        <v>0</v>
      </c>
      <c r="Z1246" s="182" t="n">
        <v>0</v>
      </c>
      <c r="AA1246" s="182" t="n">
        <v>0</v>
      </c>
      <c r="AB1246" s="182" t="n">
        <v>0</v>
      </c>
      <c r="AC1246" s="182" t="n">
        <v>0</v>
      </c>
      <c r="AD1246" s="182" t="n">
        <v>0</v>
      </c>
      <c r="AE1246" s="182" t="n">
        <v>0</v>
      </c>
      <c r="AF1246" s="182" t="n">
        <v>0</v>
      </c>
      <c r="AG1246" s="182" t="n">
        <v>0</v>
      </c>
      <c r="AH1246" s="182" t="n">
        <v>0</v>
      </c>
      <c r="AI1246" s="182" t="n">
        <v>0</v>
      </c>
      <c r="AJ1246" s="182" t="n">
        <v>0</v>
      </c>
      <c r="AK1246" s="182" t="n">
        <v>0</v>
      </c>
      <c r="AL1246" s="182" t="n">
        <v>0</v>
      </c>
      <c r="AM1246" s="182" t="n">
        <v>0</v>
      </c>
      <c r="AN1246" s="182" t="n">
        <v>0</v>
      </c>
    </row>
    <row r="1247">
      <c r="A1247" s="155" t="n">
        <v>46087</v>
      </c>
      <c r="B1247" s="156" t="inlineStr">
        <is>
          <t>NS</t>
        </is>
      </c>
      <c r="C1247" s="156" t="inlineStr">
        <is>
          <t>EX-1252</t>
        </is>
      </c>
      <c r="D1247" s="156" t="inlineStr">
        <is>
          <t>SY1250</t>
        </is>
      </c>
      <c r="E1247" s="156" t="inlineStr">
        <is>
          <t>Excavator</t>
        </is>
      </c>
      <c r="F1247" s="156" t="inlineStr">
        <is>
          <t>Loading OB</t>
        </is>
      </c>
      <c r="G1247" s="182" t="n">
        <v>5.8</v>
      </c>
      <c r="H1247" s="182" t="n">
        <v>0</v>
      </c>
      <c r="I1247" s="182" t="n">
        <v>2</v>
      </c>
      <c r="J1247" s="182" t="n">
        <v>2</v>
      </c>
      <c r="K1247" s="182" t="n">
        <v>4.2</v>
      </c>
      <c r="L1247" s="182" t="n">
        <v>12</v>
      </c>
      <c r="M1247" s="182" t="n">
        <v>5.8</v>
      </c>
      <c r="N1247" s="182" t="n">
        <v>0</v>
      </c>
      <c r="O1247" s="183" t="n">
        <v>82</v>
      </c>
      <c r="P1247" s="183" t="n">
        <v>0</v>
      </c>
      <c r="Q1247" s="184" t="n">
        <v>2805</v>
      </c>
      <c r="R1247" s="184" t="n">
        <v>0</v>
      </c>
      <c r="S1247" s="183" t="n">
        <v>0</v>
      </c>
      <c r="T1247" s="183" t="n">
        <v>0</v>
      </c>
      <c r="U1247" s="182" t="n">
        <v>0</v>
      </c>
      <c r="V1247" s="182" t="n">
        <v>0</v>
      </c>
      <c r="W1247" s="182" t="n">
        <v>0</v>
      </c>
      <c r="X1247" s="182" t="n">
        <v>1.05</v>
      </c>
      <c r="Y1247" s="182" t="n">
        <v>0</v>
      </c>
      <c r="Z1247" s="182" t="n">
        <v>0</v>
      </c>
      <c r="AA1247" s="182" t="n">
        <v>0</v>
      </c>
      <c r="AB1247" s="182" t="n">
        <v>0</v>
      </c>
      <c r="AC1247" s="182" t="n">
        <v>0</v>
      </c>
      <c r="AD1247" s="182" t="n">
        <v>0</v>
      </c>
      <c r="AE1247" s="182" t="n">
        <v>0</v>
      </c>
      <c r="AF1247" s="182" t="n">
        <v>0</v>
      </c>
      <c r="AG1247" s="182" t="n">
        <v>0</v>
      </c>
      <c r="AH1247" s="182" t="n">
        <v>0</v>
      </c>
      <c r="AI1247" s="182" t="n">
        <v>0</v>
      </c>
      <c r="AJ1247" s="182" t="n">
        <v>0</v>
      </c>
      <c r="AK1247" s="182" t="n">
        <v>3.07</v>
      </c>
      <c r="AL1247" s="182" t="n">
        <v>0</v>
      </c>
      <c r="AM1247" s="182" t="n">
        <v>0.08</v>
      </c>
      <c r="AN1247" s="182" t="n">
        <v>0</v>
      </c>
    </row>
    <row r="1248">
      <c r="A1248" s="155" t="n">
        <v>46087</v>
      </c>
      <c r="B1248" s="156" t="inlineStr">
        <is>
          <t>NS</t>
        </is>
      </c>
      <c r="C1248" s="156" t="inlineStr">
        <is>
          <t>EX-2101</t>
        </is>
      </c>
      <c r="D1248" s="156" t="inlineStr">
        <is>
          <t>SY2000</t>
        </is>
      </c>
      <c r="E1248" s="156" t="inlineStr">
        <is>
          <t>Excavator</t>
        </is>
      </c>
      <c r="F1248" s="156" t="inlineStr"/>
      <c r="G1248" s="182" t="n">
        <v>0</v>
      </c>
      <c r="H1248" s="182" t="n">
        <v>0</v>
      </c>
      <c r="I1248" s="182" t="n">
        <v>12</v>
      </c>
      <c r="J1248" s="182" t="n">
        <v>12</v>
      </c>
      <c r="K1248" s="182" t="n">
        <v>0</v>
      </c>
      <c r="L1248" s="182" t="n">
        <v>12</v>
      </c>
      <c r="M1248" s="182" t="n">
        <v>0</v>
      </c>
      <c r="N1248" s="182" t="n">
        <v>0</v>
      </c>
      <c r="O1248" s="183" t="n">
        <v>0</v>
      </c>
      <c r="P1248" s="183" t="n">
        <v>0</v>
      </c>
      <c r="Q1248" s="184" t="n">
        <v>0</v>
      </c>
      <c r="R1248" s="184" t="n">
        <v>0</v>
      </c>
      <c r="S1248" s="183" t="n">
        <v>0</v>
      </c>
      <c r="T1248" s="183" t="n">
        <v>0</v>
      </c>
      <c r="U1248" s="182" t="n">
        <v>0</v>
      </c>
      <c r="V1248" s="182" t="n">
        <v>0</v>
      </c>
      <c r="W1248" s="182" t="n">
        <v>0</v>
      </c>
      <c r="X1248" s="182" t="n">
        <v>0</v>
      </c>
      <c r="Y1248" s="182" t="n">
        <v>0</v>
      </c>
      <c r="Z1248" s="182" t="n">
        <v>0</v>
      </c>
      <c r="AA1248" s="182" t="n">
        <v>0</v>
      </c>
      <c r="AB1248" s="182" t="n">
        <v>0</v>
      </c>
      <c r="AC1248" s="182" t="n">
        <v>0</v>
      </c>
      <c r="AD1248" s="182" t="n">
        <v>0</v>
      </c>
      <c r="AE1248" s="182" t="n">
        <v>0</v>
      </c>
      <c r="AF1248" s="182" t="n">
        <v>0</v>
      </c>
      <c r="AG1248" s="182" t="n">
        <v>0</v>
      </c>
      <c r="AH1248" s="182" t="n">
        <v>0</v>
      </c>
      <c r="AI1248" s="182" t="n">
        <v>0</v>
      </c>
      <c r="AJ1248" s="182" t="n">
        <v>0</v>
      </c>
      <c r="AK1248" s="182" t="n">
        <v>0</v>
      </c>
      <c r="AL1248" s="182" t="n">
        <v>0</v>
      </c>
      <c r="AM1248" s="182" t="n">
        <v>0</v>
      </c>
      <c r="AN1248" s="182" t="n">
        <v>0</v>
      </c>
    </row>
    <row r="1249">
      <c r="A1249" s="155" t="n">
        <v>46087</v>
      </c>
      <c r="B1249" s="156" t="inlineStr">
        <is>
          <t>NS</t>
        </is>
      </c>
      <c r="C1249" s="156" t="inlineStr">
        <is>
          <t>EX-222</t>
        </is>
      </c>
      <c r="D1249" s="156" t="inlineStr">
        <is>
          <t>PC 200-8MI</t>
        </is>
      </c>
      <c r="E1249" s="156" t="inlineStr">
        <is>
          <t>Excavator</t>
        </is>
      </c>
      <c r="F1249" s="156" t="inlineStr">
        <is>
          <t>Support Washing Plant</t>
        </is>
      </c>
      <c r="G1249" s="182" t="n">
        <v>10.35</v>
      </c>
      <c r="H1249" s="182" t="n">
        <v>0</v>
      </c>
      <c r="I1249" s="182" t="n">
        <v>0</v>
      </c>
      <c r="J1249" s="182" t="n">
        <v>0</v>
      </c>
      <c r="K1249" s="182" t="n">
        <v>1.65</v>
      </c>
      <c r="L1249" s="182" t="n">
        <v>12</v>
      </c>
      <c r="M1249" s="182" t="n">
        <v>0</v>
      </c>
      <c r="N1249" s="182" t="n">
        <v>0</v>
      </c>
      <c r="O1249" s="183" t="n">
        <v>0</v>
      </c>
      <c r="P1249" s="183" t="n">
        <v>0</v>
      </c>
      <c r="Q1249" s="184" t="n">
        <v>0</v>
      </c>
      <c r="R1249" s="184" t="n">
        <v>0</v>
      </c>
      <c r="S1249" s="183" t="n">
        <v>0</v>
      </c>
      <c r="T1249" s="183" t="n">
        <v>0</v>
      </c>
      <c r="U1249" s="182" t="n">
        <v>0</v>
      </c>
      <c r="V1249" s="182" t="n">
        <v>0</v>
      </c>
      <c r="W1249" s="182" t="n">
        <v>0</v>
      </c>
      <c r="X1249" s="182" t="n">
        <v>0.92</v>
      </c>
      <c r="Y1249" s="182" t="n">
        <v>0</v>
      </c>
      <c r="Z1249" s="182" t="n">
        <v>0</v>
      </c>
      <c r="AA1249" s="182" t="n">
        <v>0</v>
      </c>
      <c r="AB1249" s="182" t="n">
        <v>0</v>
      </c>
      <c r="AC1249" s="182" t="n">
        <v>0</v>
      </c>
      <c r="AD1249" s="182" t="n">
        <v>0</v>
      </c>
      <c r="AE1249" s="182" t="n">
        <v>0.66</v>
      </c>
      <c r="AF1249" s="182" t="n">
        <v>0</v>
      </c>
      <c r="AG1249" s="182" t="n">
        <v>0</v>
      </c>
      <c r="AH1249" s="182" t="n">
        <v>0</v>
      </c>
      <c r="AI1249" s="182" t="n">
        <v>0</v>
      </c>
      <c r="AJ1249" s="182" t="n">
        <v>0</v>
      </c>
      <c r="AK1249" s="182" t="n">
        <v>0</v>
      </c>
      <c r="AL1249" s="182" t="n">
        <v>0</v>
      </c>
      <c r="AM1249" s="182" t="n">
        <v>0.07000000000000001</v>
      </c>
      <c r="AN1249" s="182" t="n">
        <v>0</v>
      </c>
    </row>
    <row r="1250">
      <c r="A1250" s="155" t="n">
        <v>46087</v>
      </c>
      <c r="B1250" s="156" t="inlineStr">
        <is>
          <t>NS</t>
        </is>
      </c>
      <c r="C1250" s="156" t="inlineStr">
        <is>
          <t>EX-225</t>
        </is>
      </c>
      <c r="D1250" s="156" t="inlineStr">
        <is>
          <t>PC 200-8</t>
        </is>
      </c>
      <c r="E1250" s="156" t="inlineStr">
        <is>
          <t>Excavator</t>
        </is>
      </c>
      <c r="F1250" s="156" t="inlineStr"/>
      <c r="G1250" s="182" t="n">
        <v>0</v>
      </c>
      <c r="H1250" s="182" t="n">
        <v>0</v>
      </c>
      <c r="I1250" s="182" t="n">
        <v>12</v>
      </c>
      <c r="J1250" s="182" t="n">
        <v>12</v>
      </c>
      <c r="K1250" s="182" t="n">
        <v>0</v>
      </c>
      <c r="L1250" s="182" t="n">
        <v>12</v>
      </c>
      <c r="M1250" s="182" t="n">
        <v>0</v>
      </c>
      <c r="N1250" s="182" t="n">
        <v>0</v>
      </c>
      <c r="O1250" s="183" t="n">
        <v>0</v>
      </c>
      <c r="P1250" s="183" t="n">
        <v>0</v>
      </c>
      <c r="Q1250" s="184" t="n">
        <v>0</v>
      </c>
      <c r="R1250" s="184" t="n">
        <v>0</v>
      </c>
      <c r="S1250" s="183" t="n">
        <v>0</v>
      </c>
      <c r="T1250" s="183" t="n">
        <v>0</v>
      </c>
      <c r="U1250" s="182" t="n">
        <v>0</v>
      </c>
      <c r="V1250" s="182" t="n">
        <v>0</v>
      </c>
      <c r="W1250" s="182" t="n">
        <v>0</v>
      </c>
      <c r="X1250" s="182" t="n">
        <v>0</v>
      </c>
      <c r="Y1250" s="182" t="n">
        <v>0</v>
      </c>
      <c r="Z1250" s="182" t="n">
        <v>0</v>
      </c>
      <c r="AA1250" s="182" t="n">
        <v>0</v>
      </c>
      <c r="AB1250" s="182" t="n">
        <v>0</v>
      </c>
      <c r="AC1250" s="182" t="n">
        <v>0</v>
      </c>
      <c r="AD1250" s="182" t="n">
        <v>0</v>
      </c>
      <c r="AE1250" s="182" t="n">
        <v>0</v>
      </c>
      <c r="AF1250" s="182" t="n">
        <v>0</v>
      </c>
      <c r="AG1250" s="182" t="n">
        <v>0</v>
      </c>
      <c r="AH1250" s="182" t="n">
        <v>0</v>
      </c>
      <c r="AI1250" s="182" t="n">
        <v>0</v>
      </c>
      <c r="AJ1250" s="182" t="n">
        <v>0</v>
      </c>
      <c r="AK1250" s="182" t="n">
        <v>0</v>
      </c>
      <c r="AL1250" s="182" t="n">
        <v>0</v>
      </c>
      <c r="AM1250" s="182" t="n">
        <v>0</v>
      </c>
      <c r="AN1250" s="182" t="n">
        <v>0</v>
      </c>
    </row>
    <row r="1251">
      <c r="A1251" s="155" t="n">
        <v>46087</v>
      </c>
      <c r="B1251" s="156" t="inlineStr">
        <is>
          <t>NS</t>
        </is>
      </c>
      <c r="C1251" s="156" t="inlineStr">
        <is>
          <t>EX-223</t>
        </is>
      </c>
      <c r="D1251" s="156" t="inlineStr">
        <is>
          <t>PC 200-8MI</t>
        </is>
      </c>
      <c r="E1251" s="156" t="inlineStr">
        <is>
          <t>Excavator</t>
        </is>
      </c>
      <c r="F1251" s="156" t="inlineStr">
        <is>
          <t>Support Washing Plant</t>
        </is>
      </c>
      <c r="G1251" s="182" t="n">
        <v>11.5</v>
      </c>
      <c r="H1251" s="182" t="n">
        <v>0</v>
      </c>
      <c r="I1251" s="182" t="n">
        <v>0.5</v>
      </c>
      <c r="J1251" s="182" t="n">
        <v>0.5</v>
      </c>
      <c r="K1251" s="182" t="n">
        <v>0</v>
      </c>
      <c r="L1251" s="182" t="n">
        <v>12</v>
      </c>
      <c r="M1251" s="182" t="n">
        <v>0</v>
      </c>
      <c r="N1251" s="182" t="n">
        <v>0</v>
      </c>
      <c r="O1251" s="183" t="n">
        <v>0</v>
      </c>
      <c r="P1251" s="183" t="n">
        <v>0</v>
      </c>
      <c r="Q1251" s="184" t="n">
        <v>0</v>
      </c>
      <c r="R1251" s="184" t="n">
        <v>0</v>
      </c>
      <c r="S1251" s="183" t="n">
        <v>0</v>
      </c>
      <c r="T1251" s="183" t="n">
        <v>0</v>
      </c>
      <c r="U1251" s="182" t="n">
        <v>0</v>
      </c>
      <c r="V1251" s="182" t="n">
        <v>0</v>
      </c>
      <c r="W1251" s="182" t="n">
        <v>0</v>
      </c>
      <c r="X1251" s="182" t="n">
        <v>0</v>
      </c>
      <c r="Y1251" s="182" t="n">
        <v>0</v>
      </c>
      <c r="Z1251" s="182" t="n">
        <v>0</v>
      </c>
      <c r="AA1251" s="182" t="n">
        <v>0</v>
      </c>
      <c r="AB1251" s="182" t="n">
        <v>0</v>
      </c>
      <c r="AC1251" s="182" t="n">
        <v>0</v>
      </c>
      <c r="AD1251" s="182" t="n">
        <v>0</v>
      </c>
      <c r="AE1251" s="182" t="n">
        <v>0</v>
      </c>
      <c r="AF1251" s="182" t="n">
        <v>0</v>
      </c>
      <c r="AG1251" s="182" t="n">
        <v>0</v>
      </c>
      <c r="AH1251" s="182" t="n">
        <v>0</v>
      </c>
      <c r="AI1251" s="182" t="n">
        <v>0</v>
      </c>
      <c r="AJ1251" s="182" t="n">
        <v>0</v>
      </c>
      <c r="AK1251" s="182" t="n">
        <v>0</v>
      </c>
      <c r="AL1251" s="182" t="n">
        <v>0</v>
      </c>
      <c r="AM1251" s="182" t="n">
        <v>0</v>
      </c>
      <c r="AN1251" s="182" t="n">
        <v>0</v>
      </c>
    </row>
    <row r="1252">
      <c r="A1252" s="155" t="n">
        <v>46087</v>
      </c>
      <c r="B1252" s="156" t="inlineStr">
        <is>
          <t>NS</t>
        </is>
      </c>
      <c r="C1252" s="156" t="inlineStr">
        <is>
          <t>EX-221</t>
        </is>
      </c>
      <c r="D1252" s="156" t="inlineStr">
        <is>
          <t>PC 200-8MI</t>
        </is>
      </c>
      <c r="E1252" s="156" t="inlineStr">
        <is>
          <t>Excavator</t>
        </is>
      </c>
      <c r="F1252" s="156" t="inlineStr"/>
      <c r="G1252" s="182" t="n">
        <v>0</v>
      </c>
      <c r="H1252" s="182" t="n">
        <v>0</v>
      </c>
      <c r="I1252" s="182" t="n">
        <v>0</v>
      </c>
      <c r="J1252" s="182" t="n">
        <v>0</v>
      </c>
      <c r="K1252" s="182" t="n">
        <v>12</v>
      </c>
      <c r="L1252" s="182" t="n">
        <v>12</v>
      </c>
      <c r="M1252" s="182" t="n">
        <v>0</v>
      </c>
      <c r="N1252" s="182" t="n">
        <v>0</v>
      </c>
      <c r="O1252" s="183" t="n">
        <v>0</v>
      </c>
      <c r="P1252" s="183" t="n">
        <v>0</v>
      </c>
      <c r="Q1252" s="184" t="n">
        <v>0</v>
      </c>
      <c r="R1252" s="184" t="n">
        <v>0</v>
      </c>
      <c r="S1252" s="183" t="n">
        <v>0</v>
      </c>
      <c r="T1252" s="183" t="n">
        <v>0</v>
      </c>
      <c r="U1252" s="182" t="n">
        <v>0</v>
      </c>
      <c r="V1252" s="182" t="n">
        <v>0</v>
      </c>
      <c r="W1252" s="182" t="n">
        <v>0</v>
      </c>
      <c r="X1252" s="182" t="n">
        <v>1</v>
      </c>
      <c r="Y1252" s="182" t="n">
        <v>0</v>
      </c>
      <c r="Z1252" s="182" t="n">
        <v>0</v>
      </c>
      <c r="AA1252" s="182" t="n">
        <v>0</v>
      </c>
      <c r="AB1252" s="182" t="n">
        <v>0</v>
      </c>
      <c r="AC1252" s="182" t="n">
        <v>0</v>
      </c>
      <c r="AD1252" s="182" t="n">
        <v>0</v>
      </c>
      <c r="AE1252" s="182" t="n">
        <v>0</v>
      </c>
      <c r="AF1252" s="182" t="n">
        <v>0</v>
      </c>
      <c r="AG1252" s="182" t="n">
        <v>0</v>
      </c>
      <c r="AH1252" s="182" t="n">
        <v>0</v>
      </c>
      <c r="AI1252" s="182" t="n">
        <v>0</v>
      </c>
      <c r="AJ1252" s="182" t="n">
        <v>0</v>
      </c>
      <c r="AK1252" s="182" t="n">
        <v>10.92</v>
      </c>
      <c r="AL1252" s="182" t="n">
        <v>0</v>
      </c>
      <c r="AM1252" s="182" t="n">
        <v>0.08</v>
      </c>
      <c r="AN1252" s="182" t="n">
        <v>0</v>
      </c>
    </row>
    <row r="1253">
      <c r="A1253" s="155" t="n">
        <v>46087</v>
      </c>
      <c r="B1253" s="156" t="inlineStr">
        <is>
          <t>NS</t>
        </is>
      </c>
      <c r="C1253" s="156" t="inlineStr">
        <is>
          <t>EX-331</t>
        </is>
      </c>
      <c r="D1253" s="156" t="inlineStr">
        <is>
          <t>PC 300-8MO</t>
        </is>
      </c>
      <c r="E1253" s="156" t="inlineStr">
        <is>
          <t>Excavator</t>
        </is>
      </c>
      <c r="F1253" s="156" t="inlineStr"/>
      <c r="G1253" s="182" t="n">
        <v>0</v>
      </c>
      <c r="H1253" s="182" t="n">
        <v>0</v>
      </c>
      <c r="I1253" s="182" t="n">
        <v>12</v>
      </c>
      <c r="J1253" s="182" t="n">
        <v>12</v>
      </c>
      <c r="K1253" s="182" t="n">
        <v>0</v>
      </c>
      <c r="L1253" s="182" t="n">
        <v>12</v>
      </c>
      <c r="M1253" s="182" t="n">
        <v>0</v>
      </c>
      <c r="N1253" s="182" t="n">
        <v>0</v>
      </c>
      <c r="O1253" s="183" t="n">
        <v>0</v>
      </c>
      <c r="P1253" s="183" t="n">
        <v>0</v>
      </c>
      <c r="Q1253" s="184" t="n">
        <v>0</v>
      </c>
      <c r="R1253" s="184" t="n">
        <v>0</v>
      </c>
      <c r="S1253" s="183" t="n">
        <v>0</v>
      </c>
      <c r="T1253" s="183" t="n">
        <v>0</v>
      </c>
      <c r="U1253" s="182" t="n">
        <v>0</v>
      </c>
      <c r="V1253" s="182" t="n">
        <v>0</v>
      </c>
      <c r="W1253" s="182" t="n">
        <v>0</v>
      </c>
      <c r="X1253" s="182" t="n">
        <v>0</v>
      </c>
      <c r="Y1253" s="182" t="n">
        <v>0</v>
      </c>
      <c r="Z1253" s="182" t="n">
        <v>0</v>
      </c>
      <c r="AA1253" s="182" t="n">
        <v>0</v>
      </c>
      <c r="AB1253" s="182" t="n">
        <v>0</v>
      </c>
      <c r="AC1253" s="182" t="n">
        <v>0</v>
      </c>
      <c r="AD1253" s="182" t="n">
        <v>0</v>
      </c>
      <c r="AE1253" s="182" t="n">
        <v>0</v>
      </c>
      <c r="AF1253" s="182" t="n">
        <v>0</v>
      </c>
      <c r="AG1253" s="182" t="n">
        <v>0</v>
      </c>
      <c r="AH1253" s="182" t="n">
        <v>0</v>
      </c>
      <c r="AI1253" s="182" t="n">
        <v>0</v>
      </c>
      <c r="AJ1253" s="182" t="n">
        <v>0</v>
      </c>
      <c r="AK1253" s="182" t="n">
        <v>0</v>
      </c>
      <c r="AL1253" s="182" t="n">
        <v>0</v>
      </c>
      <c r="AM1253" s="182" t="n">
        <v>0</v>
      </c>
      <c r="AN1253" s="182" t="n">
        <v>0</v>
      </c>
    </row>
    <row r="1254">
      <c r="A1254" s="155" t="n">
        <v>46087</v>
      </c>
      <c r="B1254" s="156" t="inlineStr">
        <is>
          <t>NS</t>
        </is>
      </c>
      <c r="C1254" s="156" t="inlineStr">
        <is>
          <t>EX-334</t>
        </is>
      </c>
      <c r="D1254" s="156" t="inlineStr">
        <is>
          <t>PC 300-8MO</t>
        </is>
      </c>
      <c r="E1254" s="156" t="inlineStr">
        <is>
          <t>Excavator</t>
        </is>
      </c>
      <c r="F1254" s="156" t="inlineStr">
        <is>
          <t>Loading Coal, Loading Parting &amp; Cleaning Coal</t>
        </is>
      </c>
      <c r="G1254" s="182" t="n">
        <v>10.76</v>
      </c>
      <c r="H1254" s="182" t="n">
        <v>0</v>
      </c>
      <c r="I1254" s="182" t="n">
        <v>0.17</v>
      </c>
      <c r="J1254" s="182" t="n">
        <v>0.17</v>
      </c>
      <c r="K1254" s="182" t="n">
        <v>1.07</v>
      </c>
      <c r="L1254" s="182" t="n">
        <v>12</v>
      </c>
      <c r="M1254" s="182" t="n">
        <v>1.01</v>
      </c>
      <c r="N1254" s="182" t="n">
        <v>1.01</v>
      </c>
      <c r="O1254" s="183" t="n">
        <v>8</v>
      </c>
      <c r="P1254" s="183" t="n">
        <v>3</v>
      </c>
      <c r="Q1254" s="184" t="n">
        <v>163.2</v>
      </c>
      <c r="R1254" s="184" t="n">
        <v>56.1</v>
      </c>
      <c r="S1254" s="183" t="n">
        <v>0</v>
      </c>
      <c r="T1254" s="183" t="n">
        <v>0</v>
      </c>
      <c r="U1254" s="182" t="n">
        <v>0</v>
      </c>
      <c r="V1254" s="182" t="n">
        <v>0</v>
      </c>
      <c r="W1254" s="182" t="n">
        <v>0</v>
      </c>
      <c r="X1254" s="182" t="n">
        <v>0.87</v>
      </c>
      <c r="Y1254" s="182" t="n">
        <v>0</v>
      </c>
      <c r="Z1254" s="182" t="n">
        <v>0</v>
      </c>
      <c r="AA1254" s="182" t="n">
        <v>0</v>
      </c>
      <c r="AB1254" s="182" t="n">
        <v>0</v>
      </c>
      <c r="AC1254" s="182" t="n">
        <v>0</v>
      </c>
      <c r="AD1254" s="182" t="n">
        <v>0</v>
      </c>
      <c r="AE1254" s="182" t="n">
        <v>0</v>
      </c>
      <c r="AF1254" s="182" t="n">
        <v>0</v>
      </c>
      <c r="AG1254" s="182" t="n">
        <v>0</v>
      </c>
      <c r="AH1254" s="182" t="n">
        <v>0.13</v>
      </c>
      <c r="AI1254" s="182" t="n">
        <v>0</v>
      </c>
      <c r="AJ1254" s="182" t="n">
        <v>0</v>
      </c>
      <c r="AK1254" s="182" t="n">
        <v>0</v>
      </c>
      <c r="AL1254" s="182" t="n">
        <v>0</v>
      </c>
      <c r="AM1254" s="182" t="n">
        <v>0.07000000000000001</v>
      </c>
      <c r="AN1254" s="182" t="n">
        <v>0</v>
      </c>
    </row>
    <row r="1255">
      <c r="A1255" s="155" t="n">
        <v>46087</v>
      </c>
      <c r="B1255" s="156" t="inlineStr">
        <is>
          <t>NS</t>
        </is>
      </c>
      <c r="C1255" s="156" t="inlineStr">
        <is>
          <t>EX-332</t>
        </is>
      </c>
      <c r="D1255" s="156" t="inlineStr">
        <is>
          <t>PC 300-8MO</t>
        </is>
      </c>
      <c r="E1255" s="156" t="inlineStr">
        <is>
          <t>Excavator</t>
        </is>
      </c>
      <c r="F1255" s="156" t="inlineStr">
        <is>
          <t>Cleaning Coal</t>
        </is>
      </c>
      <c r="G1255" s="182" t="n">
        <v>8.44</v>
      </c>
      <c r="H1255" s="182" t="n">
        <v>0</v>
      </c>
      <c r="I1255" s="182" t="n">
        <v>0.92</v>
      </c>
      <c r="J1255" s="182" t="n">
        <v>0.92</v>
      </c>
      <c r="K1255" s="182" t="n">
        <v>2.64</v>
      </c>
      <c r="L1255" s="182" t="n">
        <v>12</v>
      </c>
      <c r="M1255" s="182" t="n">
        <v>0</v>
      </c>
      <c r="N1255" s="182" t="n">
        <v>0</v>
      </c>
      <c r="O1255" s="183" t="n">
        <v>0</v>
      </c>
      <c r="P1255" s="183" t="n">
        <v>0</v>
      </c>
      <c r="Q1255" s="184" t="n">
        <v>0</v>
      </c>
      <c r="R1255" s="184" t="n">
        <v>0</v>
      </c>
      <c r="S1255" s="183" t="n">
        <v>0</v>
      </c>
      <c r="T1255" s="183" t="n">
        <v>0</v>
      </c>
      <c r="U1255" s="182" t="n">
        <v>0</v>
      </c>
      <c r="V1255" s="182" t="n">
        <v>0</v>
      </c>
      <c r="W1255" s="182" t="n">
        <v>0</v>
      </c>
      <c r="X1255" s="182" t="n">
        <v>1.27</v>
      </c>
      <c r="Y1255" s="182" t="n">
        <v>0</v>
      </c>
      <c r="Z1255" s="182" t="n">
        <v>0</v>
      </c>
      <c r="AA1255" s="182" t="n">
        <v>0</v>
      </c>
      <c r="AB1255" s="182" t="n">
        <v>0</v>
      </c>
      <c r="AC1255" s="182" t="n">
        <v>0</v>
      </c>
      <c r="AD1255" s="182" t="n">
        <v>0</v>
      </c>
      <c r="AE1255" s="182" t="n">
        <v>0</v>
      </c>
      <c r="AF1255" s="182" t="n">
        <v>0</v>
      </c>
      <c r="AG1255" s="182" t="n">
        <v>0.63</v>
      </c>
      <c r="AH1255" s="182" t="n">
        <v>0.63</v>
      </c>
      <c r="AI1255" s="182" t="n">
        <v>0</v>
      </c>
      <c r="AJ1255" s="182" t="n">
        <v>0</v>
      </c>
      <c r="AK1255" s="182" t="n">
        <v>0</v>
      </c>
      <c r="AL1255" s="182" t="n">
        <v>0</v>
      </c>
      <c r="AM1255" s="182" t="n">
        <v>0.1</v>
      </c>
      <c r="AN1255" s="182" t="n">
        <v>0</v>
      </c>
    </row>
    <row r="1256">
      <c r="A1256" s="155" t="n">
        <v>46087</v>
      </c>
      <c r="B1256" s="156" t="inlineStr">
        <is>
          <t>NS</t>
        </is>
      </c>
      <c r="C1256" s="156" t="inlineStr">
        <is>
          <t>EX-333</t>
        </is>
      </c>
      <c r="D1256" s="156" t="inlineStr">
        <is>
          <t>PC 300-8MO</t>
        </is>
      </c>
      <c r="E1256" s="156" t="inlineStr">
        <is>
          <t>Excavator</t>
        </is>
      </c>
      <c r="F1256" s="156" t="inlineStr">
        <is>
          <t>Loading &amp; Cleaning Coal</t>
        </is>
      </c>
      <c r="G1256" s="182" t="n">
        <v>4.64</v>
      </c>
      <c r="H1256" s="182" t="n">
        <v>0</v>
      </c>
      <c r="I1256" s="182" t="n">
        <v>7.3</v>
      </c>
      <c r="J1256" s="182" t="n">
        <v>7.3</v>
      </c>
      <c r="K1256" s="182" t="n">
        <v>0.06</v>
      </c>
      <c r="L1256" s="182" t="n">
        <v>12</v>
      </c>
      <c r="M1256" s="182" t="n">
        <v>0</v>
      </c>
      <c r="N1256" s="182" t="n">
        <v>2.96</v>
      </c>
      <c r="O1256" s="183" t="n">
        <v>0</v>
      </c>
      <c r="P1256" s="183" t="n">
        <v>12</v>
      </c>
      <c r="Q1256" s="184" t="n">
        <v>0</v>
      </c>
      <c r="R1256" s="184" t="n">
        <v>224.4</v>
      </c>
      <c r="S1256" s="183" t="n">
        <v>0</v>
      </c>
      <c r="T1256" s="183" t="n">
        <v>0</v>
      </c>
      <c r="U1256" s="182" t="n">
        <v>0</v>
      </c>
      <c r="V1256" s="182" t="n">
        <v>0</v>
      </c>
      <c r="W1256" s="182" t="n">
        <v>0</v>
      </c>
      <c r="X1256" s="182" t="n">
        <v>0</v>
      </c>
      <c r="Y1256" s="182" t="n">
        <v>0</v>
      </c>
      <c r="Z1256" s="182" t="n">
        <v>0</v>
      </c>
      <c r="AA1256" s="182" t="n">
        <v>0</v>
      </c>
      <c r="AB1256" s="182" t="n">
        <v>0</v>
      </c>
      <c r="AC1256" s="182" t="n">
        <v>0</v>
      </c>
      <c r="AD1256" s="182" t="n">
        <v>0</v>
      </c>
      <c r="AE1256" s="182" t="n">
        <v>0</v>
      </c>
      <c r="AF1256" s="182" t="n">
        <v>0</v>
      </c>
      <c r="AG1256" s="182" t="n">
        <v>0</v>
      </c>
      <c r="AH1256" s="182" t="n">
        <v>0</v>
      </c>
      <c r="AI1256" s="182" t="n">
        <v>0</v>
      </c>
      <c r="AJ1256" s="182" t="n">
        <v>0</v>
      </c>
      <c r="AK1256" s="182" t="n">
        <v>0</v>
      </c>
      <c r="AL1256" s="182" t="n">
        <v>0</v>
      </c>
      <c r="AM1256" s="182" t="n">
        <v>0</v>
      </c>
      <c r="AN1256" s="182" t="n">
        <v>0</v>
      </c>
    </row>
    <row r="1257">
      <c r="A1257" s="155" t="n">
        <v>46087</v>
      </c>
      <c r="B1257" s="156" t="inlineStr">
        <is>
          <t>NS</t>
        </is>
      </c>
      <c r="C1257" s="156" t="inlineStr">
        <is>
          <t>EX-336</t>
        </is>
      </c>
      <c r="D1257" s="156" t="inlineStr">
        <is>
          <t>PC 300-8MO</t>
        </is>
      </c>
      <c r="E1257" s="156" t="inlineStr">
        <is>
          <t>Excavator</t>
        </is>
      </c>
      <c r="F1257" s="156" t="inlineStr">
        <is>
          <t>Support ROM</t>
        </is>
      </c>
      <c r="G1257" s="182" t="n">
        <v>11.14</v>
      </c>
      <c r="H1257" s="182" t="n">
        <v>0</v>
      </c>
      <c r="I1257" s="182" t="n">
        <v>0.33</v>
      </c>
      <c r="J1257" s="182" t="n">
        <v>0.33</v>
      </c>
      <c r="K1257" s="182" t="n">
        <v>0.53</v>
      </c>
      <c r="L1257" s="182" t="n">
        <v>12</v>
      </c>
      <c r="M1257" s="182" t="n">
        <v>0</v>
      </c>
      <c r="N1257" s="182" t="n">
        <v>0</v>
      </c>
      <c r="O1257" s="183" t="n">
        <v>0</v>
      </c>
      <c r="P1257" s="183" t="n">
        <v>0</v>
      </c>
      <c r="Q1257" s="184" t="n">
        <v>0</v>
      </c>
      <c r="R1257" s="184" t="n">
        <v>0</v>
      </c>
      <c r="S1257" s="183" t="n">
        <v>0</v>
      </c>
      <c r="T1257" s="183" t="n">
        <v>0</v>
      </c>
      <c r="U1257" s="182" t="n">
        <v>0</v>
      </c>
      <c r="V1257" s="182" t="n">
        <v>0</v>
      </c>
      <c r="W1257" s="182" t="n">
        <v>0</v>
      </c>
      <c r="X1257" s="182" t="n">
        <v>0.47</v>
      </c>
      <c r="Y1257" s="182" t="n">
        <v>0</v>
      </c>
      <c r="Z1257" s="182" t="n">
        <v>0</v>
      </c>
      <c r="AA1257" s="182" t="n">
        <v>0</v>
      </c>
      <c r="AB1257" s="182" t="n">
        <v>0</v>
      </c>
      <c r="AC1257" s="182" t="n">
        <v>0</v>
      </c>
      <c r="AD1257" s="182" t="n">
        <v>0</v>
      </c>
      <c r="AE1257" s="182" t="n">
        <v>0</v>
      </c>
      <c r="AF1257" s="182" t="n">
        <v>0</v>
      </c>
      <c r="AG1257" s="182" t="n">
        <v>0</v>
      </c>
      <c r="AH1257" s="182" t="n">
        <v>0</v>
      </c>
      <c r="AI1257" s="182" t="n">
        <v>0</v>
      </c>
      <c r="AJ1257" s="182" t="n">
        <v>0</v>
      </c>
      <c r="AK1257" s="182" t="n">
        <v>0</v>
      </c>
      <c r="AL1257" s="182" t="n">
        <v>0</v>
      </c>
      <c r="AM1257" s="182" t="n">
        <v>0.06</v>
      </c>
      <c r="AN1257" s="182" t="n">
        <v>0</v>
      </c>
    </row>
    <row r="1258">
      <c r="A1258" s="155" t="n">
        <v>46087</v>
      </c>
      <c r="B1258" s="156" t="inlineStr">
        <is>
          <t>NS</t>
        </is>
      </c>
      <c r="C1258" s="156" t="inlineStr">
        <is>
          <t>EX-335</t>
        </is>
      </c>
      <c r="D1258" s="156" t="inlineStr">
        <is>
          <t>PC 300-8MO</t>
        </is>
      </c>
      <c r="E1258" s="156" t="inlineStr">
        <is>
          <t>Excavator</t>
        </is>
      </c>
      <c r="F1258" s="156" t="inlineStr">
        <is>
          <t>Loading &amp; Cleaning Coal</t>
        </is>
      </c>
      <c r="G1258" s="182" t="n">
        <v>10.76</v>
      </c>
      <c r="H1258" s="182" t="n">
        <v>0</v>
      </c>
      <c r="I1258" s="182" t="n">
        <v>0.17</v>
      </c>
      <c r="J1258" s="182" t="n">
        <v>0.17</v>
      </c>
      <c r="K1258" s="182" t="n">
        <v>1.07</v>
      </c>
      <c r="L1258" s="182" t="n">
        <v>12</v>
      </c>
      <c r="M1258" s="182" t="n">
        <v>0</v>
      </c>
      <c r="N1258" s="182" t="n">
        <v>4.96</v>
      </c>
      <c r="O1258" s="183" t="n">
        <v>0</v>
      </c>
      <c r="P1258" s="183" t="n">
        <v>22</v>
      </c>
      <c r="Q1258" s="184" t="n">
        <v>0</v>
      </c>
      <c r="R1258" s="184" t="n">
        <v>411.4</v>
      </c>
      <c r="S1258" s="183" t="n">
        <v>0</v>
      </c>
      <c r="T1258" s="183" t="n">
        <v>0</v>
      </c>
      <c r="U1258" s="182" t="n">
        <v>0</v>
      </c>
      <c r="V1258" s="182" t="n">
        <v>0</v>
      </c>
      <c r="W1258" s="182" t="n">
        <v>0</v>
      </c>
      <c r="X1258" s="182" t="n">
        <v>0.98</v>
      </c>
      <c r="Y1258" s="182" t="n">
        <v>0</v>
      </c>
      <c r="Z1258" s="182" t="n">
        <v>0</v>
      </c>
      <c r="AA1258" s="182" t="n">
        <v>0</v>
      </c>
      <c r="AB1258" s="182" t="n">
        <v>0</v>
      </c>
      <c r="AC1258" s="182" t="n">
        <v>0</v>
      </c>
      <c r="AD1258" s="182" t="n">
        <v>0</v>
      </c>
      <c r="AE1258" s="182" t="n">
        <v>0</v>
      </c>
      <c r="AF1258" s="182" t="n">
        <v>0</v>
      </c>
      <c r="AG1258" s="182" t="n">
        <v>0</v>
      </c>
      <c r="AH1258" s="182" t="n">
        <v>0</v>
      </c>
      <c r="AI1258" s="182" t="n">
        <v>0</v>
      </c>
      <c r="AJ1258" s="182" t="n">
        <v>0</v>
      </c>
      <c r="AK1258" s="182" t="n">
        <v>0</v>
      </c>
      <c r="AL1258" s="182" t="n">
        <v>0</v>
      </c>
      <c r="AM1258" s="182" t="n">
        <v>0.09</v>
      </c>
      <c r="AN1258" s="182" t="n">
        <v>0</v>
      </c>
    </row>
    <row r="1259">
      <c r="A1259" s="155" t="n">
        <v>46087</v>
      </c>
      <c r="B1259" s="156" t="inlineStr">
        <is>
          <t>NS</t>
        </is>
      </c>
      <c r="C1259" s="156" t="inlineStr">
        <is>
          <t>EX-754</t>
        </is>
      </c>
      <c r="D1259" s="156" t="inlineStr">
        <is>
          <t>SY750H-PRO</t>
        </is>
      </c>
      <c r="E1259" s="156" t="inlineStr">
        <is>
          <t>Excavator</t>
        </is>
      </c>
      <c r="F1259" s="156" t="inlineStr">
        <is>
          <t>Loading OB</t>
        </is>
      </c>
      <c r="G1259" s="182" t="n">
        <v>10.72</v>
      </c>
      <c r="H1259" s="182" t="n">
        <v>0</v>
      </c>
      <c r="I1259" s="182" t="n">
        <v>0</v>
      </c>
      <c r="J1259" s="182" t="n">
        <v>0</v>
      </c>
      <c r="K1259" s="182" t="n">
        <v>1.28</v>
      </c>
      <c r="L1259" s="182" t="n">
        <v>12</v>
      </c>
      <c r="M1259" s="182" t="n">
        <v>10.09</v>
      </c>
      <c r="N1259" s="182" t="n">
        <v>0</v>
      </c>
      <c r="O1259" s="183" t="n">
        <v>151</v>
      </c>
      <c r="P1259" s="183" t="n">
        <v>0</v>
      </c>
      <c r="Q1259" s="184" t="n">
        <v>3080.4</v>
      </c>
      <c r="R1259" s="184" t="n">
        <v>0</v>
      </c>
      <c r="S1259" s="183" t="n">
        <v>0</v>
      </c>
      <c r="T1259" s="183" t="n">
        <v>0</v>
      </c>
      <c r="U1259" s="182" t="n">
        <v>0</v>
      </c>
      <c r="V1259" s="182" t="n">
        <v>0</v>
      </c>
      <c r="W1259" s="182" t="n">
        <v>0</v>
      </c>
      <c r="X1259" s="182" t="n">
        <v>0.96</v>
      </c>
      <c r="Y1259" s="182" t="n">
        <v>0</v>
      </c>
      <c r="Z1259" s="182" t="n">
        <v>0</v>
      </c>
      <c r="AA1259" s="182" t="n">
        <v>0</v>
      </c>
      <c r="AB1259" s="182" t="n">
        <v>0</v>
      </c>
      <c r="AC1259" s="182" t="n">
        <v>0</v>
      </c>
      <c r="AD1259" s="182" t="n">
        <v>0</v>
      </c>
      <c r="AE1259" s="182" t="n">
        <v>0</v>
      </c>
      <c r="AF1259" s="182" t="n">
        <v>0</v>
      </c>
      <c r="AG1259" s="182" t="n">
        <v>0</v>
      </c>
      <c r="AH1259" s="182" t="n">
        <v>0.24</v>
      </c>
      <c r="AI1259" s="182" t="n">
        <v>0</v>
      </c>
      <c r="AJ1259" s="182" t="n">
        <v>0</v>
      </c>
      <c r="AK1259" s="182" t="n">
        <v>0</v>
      </c>
      <c r="AL1259" s="182" t="n">
        <v>0</v>
      </c>
      <c r="AM1259" s="182" t="n">
        <v>0.08</v>
      </c>
      <c r="AN1259" s="182" t="n">
        <v>0</v>
      </c>
    </row>
    <row r="1260">
      <c r="A1260" s="155" t="n">
        <v>46087</v>
      </c>
      <c r="B1260" s="156" t="inlineStr">
        <is>
          <t>NS</t>
        </is>
      </c>
      <c r="C1260" s="156" t="inlineStr">
        <is>
          <t>EX-755</t>
        </is>
      </c>
      <c r="D1260" s="156" t="inlineStr">
        <is>
          <t>SY750H-PRO</t>
        </is>
      </c>
      <c r="E1260" s="156" t="inlineStr">
        <is>
          <t>Excavator</t>
        </is>
      </c>
      <c r="F1260" s="156" t="inlineStr">
        <is>
          <t>Loading Spoil &amp; OB</t>
        </is>
      </c>
      <c r="G1260" s="182" t="n">
        <v>10.44</v>
      </c>
      <c r="H1260" s="182" t="n">
        <v>0</v>
      </c>
      <c r="I1260" s="182" t="n">
        <v>0.17</v>
      </c>
      <c r="J1260" s="182" t="n">
        <v>0.17</v>
      </c>
      <c r="K1260" s="182" t="n">
        <v>1.39</v>
      </c>
      <c r="L1260" s="182" t="n">
        <v>12</v>
      </c>
      <c r="M1260" s="182" t="n">
        <v>4.94</v>
      </c>
      <c r="N1260" s="182" t="n">
        <v>0</v>
      </c>
      <c r="O1260" s="183" t="n">
        <v>71</v>
      </c>
      <c r="P1260" s="183" t="n">
        <v>0</v>
      </c>
      <c r="Q1260" s="184" t="n">
        <v>1448.4</v>
      </c>
      <c r="R1260" s="184" t="n">
        <v>0</v>
      </c>
      <c r="S1260" s="183" t="n">
        <v>69</v>
      </c>
      <c r="T1260" s="183" t="n">
        <v>0</v>
      </c>
      <c r="U1260" s="182" t="n">
        <v>0</v>
      </c>
      <c r="V1260" s="182" t="n">
        <v>0</v>
      </c>
      <c r="W1260" s="182" t="n">
        <v>0</v>
      </c>
      <c r="X1260" s="182" t="n">
        <v>1.16</v>
      </c>
      <c r="Y1260" s="182" t="n">
        <v>0</v>
      </c>
      <c r="Z1260" s="182" t="n">
        <v>0</v>
      </c>
      <c r="AA1260" s="182" t="n">
        <v>0</v>
      </c>
      <c r="AB1260" s="182" t="n">
        <v>0</v>
      </c>
      <c r="AC1260" s="182" t="n">
        <v>0</v>
      </c>
      <c r="AD1260" s="182" t="n">
        <v>0</v>
      </c>
      <c r="AE1260" s="182" t="n">
        <v>0</v>
      </c>
      <c r="AF1260" s="182" t="n">
        <v>0</v>
      </c>
      <c r="AG1260" s="182" t="n">
        <v>0</v>
      </c>
      <c r="AH1260" s="182" t="n">
        <v>0.14</v>
      </c>
      <c r="AI1260" s="182" t="n">
        <v>0</v>
      </c>
      <c r="AJ1260" s="182" t="n">
        <v>0</v>
      </c>
      <c r="AK1260" s="182" t="n">
        <v>0</v>
      </c>
      <c r="AL1260" s="182" t="n">
        <v>0</v>
      </c>
      <c r="AM1260" s="182" t="n">
        <v>0.09</v>
      </c>
      <c r="AN1260" s="182" t="n">
        <v>0</v>
      </c>
    </row>
    <row r="1261">
      <c r="A1261" s="155" t="n">
        <v>46087</v>
      </c>
      <c r="B1261" s="156" t="inlineStr">
        <is>
          <t>NS</t>
        </is>
      </c>
      <c r="C1261" s="156" t="inlineStr">
        <is>
          <t>EX-752</t>
        </is>
      </c>
      <c r="D1261" s="156" t="inlineStr">
        <is>
          <t>SY750H-PRO</t>
        </is>
      </c>
      <c r="E1261" s="156" t="inlineStr">
        <is>
          <t>Excavator</t>
        </is>
      </c>
      <c r="F1261" s="156" t="inlineStr"/>
      <c r="G1261" s="182" t="n">
        <v>0</v>
      </c>
      <c r="H1261" s="182" t="n">
        <v>0</v>
      </c>
      <c r="I1261" s="182" t="n">
        <v>12</v>
      </c>
      <c r="J1261" s="182" t="n">
        <v>12</v>
      </c>
      <c r="K1261" s="182" t="n">
        <v>0</v>
      </c>
      <c r="L1261" s="182" t="n">
        <v>12</v>
      </c>
      <c r="M1261" s="182" t="n">
        <v>0</v>
      </c>
      <c r="N1261" s="182" t="n">
        <v>0</v>
      </c>
      <c r="O1261" s="183" t="n">
        <v>0</v>
      </c>
      <c r="P1261" s="183" t="n">
        <v>0</v>
      </c>
      <c r="Q1261" s="184" t="n">
        <v>0</v>
      </c>
      <c r="R1261" s="184" t="n">
        <v>0</v>
      </c>
      <c r="S1261" s="183" t="n">
        <v>0</v>
      </c>
      <c r="T1261" s="183" t="n">
        <v>0</v>
      </c>
      <c r="U1261" s="182" t="n">
        <v>0</v>
      </c>
      <c r="V1261" s="182" t="n">
        <v>0</v>
      </c>
      <c r="W1261" s="182" t="n">
        <v>0</v>
      </c>
      <c r="X1261" s="182" t="n">
        <v>0</v>
      </c>
      <c r="Y1261" s="182" t="n">
        <v>0</v>
      </c>
      <c r="Z1261" s="182" t="n">
        <v>0</v>
      </c>
      <c r="AA1261" s="182" t="n">
        <v>0</v>
      </c>
      <c r="AB1261" s="182" t="n">
        <v>0</v>
      </c>
      <c r="AC1261" s="182" t="n">
        <v>0</v>
      </c>
      <c r="AD1261" s="182" t="n">
        <v>0</v>
      </c>
      <c r="AE1261" s="182" t="n">
        <v>0</v>
      </c>
      <c r="AF1261" s="182" t="n">
        <v>0</v>
      </c>
      <c r="AG1261" s="182" t="n">
        <v>0</v>
      </c>
      <c r="AH1261" s="182" t="n">
        <v>0</v>
      </c>
      <c r="AI1261" s="182" t="n">
        <v>0</v>
      </c>
      <c r="AJ1261" s="182" t="n">
        <v>0</v>
      </c>
      <c r="AK1261" s="182" t="n">
        <v>0</v>
      </c>
      <c r="AL1261" s="182" t="n">
        <v>0</v>
      </c>
      <c r="AM1261" s="182" t="n">
        <v>0</v>
      </c>
      <c r="AN1261" s="182" t="n">
        <v>0</v>
      </c>
    </row>
    <row r="1262">
      <c r="A1262" s="155" t="n">
        <v>46087</v>
      </c>
      <c r="B1262" s="156" t="inlineStr">
        <is>
          <t>NS</t>
        </is>
      </c>
      <c r="C1262" s="156" t="inlineStr">
        <is>
          <t>EX-751</t>
        </is>
      </c>
      <c r="D1262" s="156" t="inlineStr">
        <is>
          <t>SY750H-PRO</t>
        </is>
      </c>
      <c r="E1262" s="156" t="inlineStr">
        <is>
          <t>Excavator</t>
        </is>
      </c>
      <c r="F1262" s="156" t="inlineStr"/>
      <c r="G1262" s="182" t="n">
        <v>0</v>
      </c>
      <c r="H1262" s="182" t="n">
        <v>0</v>
      </c>
      <c r="I1262" s="182" t="n">
        <v>12</v>
      </c>
      <c r="J1262" s="182" t="n">
        <v>12</v>
      </c>
      <c r="K1262" s="182" t="n">
        <v>0</v>
      </c>
      <c r="L1262" s="182" t="n">
        <v>12</v>
      </c>
      <c r="M1262" s="182" t="n">
        <v>0</v>
      </c>
      <c r="N1262" s="182" t="n">
        <v>0</v>
      </c>
      <c r="O1262" s="183" t="n">
        <v>0</v>
      </c>
      <c r="P1262" s="183" t="n">
        <v>0</v>
      </c>
      <c r="Q1262" s="184" t="n">
        <v>0</v>
      </c>
      <c r="R1262" s="184" t="n">
        <v>0</v>
      </c>
      <c r="S1262" s="183" t="n">
        <v>0</v>
      </c>
      <c r="T1262" s="183" t="n">
        <v>0</v>
      </c>
      <c r="U1262" s="182" t="n">
        <v>0</v>
      </c>
      <c r="V1262" s="182" t="n">
        <v>0</v>
      </c>
      <c r="W1262" s="182" t="n">
        <v>0</v>
      </c>
      <c r="X1262" s="182" t="n">
        <v>0</v>
      </c>
      <c r="Y1262" s="182" t="n">
        <v>0</v>
      </c>
      <c r="Z1262" s="182" t="n">
        <v>0</v>
      </c>
      <c r="AA1262" s="182" t="n">
        <v>0</v>
      </c>
      <c r="AB1262" s="182" t="n">
        <v>0</v>
      </c>
      <c r="AC1262" s="182" t="n">
        <v>0</v>
      </c>
      <c r="AD1262" s="182" t="n">
        <v>0</v>
      </c>
      <c r="AE1262" s="182" t="n">
        <v>0</v>
      </c>
      <c r="AF1262" s="182" t="n">
        <v>0</v>
      </c>
      <c r="AG1262" s="182" t="n">
        <v>0</v>
      </c>
      <c r="AH1262" s="182" t="n">
        <v>0</v>
      </c>
      <c r="AI1262" s="182" t="n">
        <v>0</v>
      </c>
      <c r="AJ1262" s="182" t="n">
        <v>0</v>
      </c>
      <c r="AK1262" s="182" t="n">
        <v>0</v>
      </c>
      <c r="AL1262" s="182" t="n">
        <v>0</v>
      </c>
      <c r="AM1262" s="182" t="n">
        <v>0</v>
      </c>
      <c r="AN1262" s="182" t="n">
        <v>0</v>
      </c>
    </row>
    <row r="1263">
      <c r="A1263" s="155" t="n">
        <v>46087</v>
      </c>
      <c r="B1263" s="156" t="inlineStr">
        <is>
          <t>NS</t>
        </is>
      </c>
      <c r="C1263" s="156" t="inlineStr">
        <is>
          <t>EX-753</t>
        </is>
      </c>
      <c r="D1263" s="156" t="inlineStr">
        <is>
          <t>SY750H-PRO</t>
        </is>
      </c>
      <c r="E1263" s="156" t="inlineStr">
        <is>
          <t>Excavator</t>
        </is>
      </c>
      <c r="F1263" s="156" t="inlineStr">
        <is>
          <t>Loading OB</t>
        </is>
      </c>
      <c r="G1263" s="182" t="n">
        <v>10.95</v>
      </c>
      <c r="H1263" s="182" t="n">
        <v>0</v>
      </c>
      <c r="I1263" s="182" t="n">
        <v>0</v>
      </c>
      <c r="J1263" s="182" t="n">
        <v>0</v>
      </c>
      <c r="K1263" s="182" t="n">
        <v>1.05</v>
      </c>
      <c r="L1263" s="182" t="n">
        <v>12</v>
      </c>
      <c r="M1263" s="182" t="n">
        <v>10.95</v>
      </c>
      <c r="N1263" s="182" t="n">
        <v>0</v>
      </c>
      <c r="O1263" s="183" t="n">
        <v>131</v>
      </c>
      <c r="P1263" s="183" t="n">
        <v>0</v>
      </c>
      <c r="Q1263" s="184" t="n">
        <v>2672.4</v>
      </c>
      <c r="R1263" s="184" t="n">
        <v>0</v>
      </c>
      <c r="S1263" s="183" t="n">
        <v>0</v>
      </c>
      <c r="T1263" s="183" t="n">
        <v>0</v>
      </c>
      <c r="U1263" s="182" t="n">
        <v>0</v>
      </c>
      <c r="V1263" s="182" t="n">
        <v>0</v>
      </c>
      <c r="W1263" s="182" t="n">
        <v>0</v>
      </c>
      <c r="X1263" s="182" t="n">
        <v>0.75</v>
      </c>
      <c r="Y1263" s="182" t="n">
        <v>0</v>
      </c>
      <c r="Z1263" s="182" t="n">
        <v>0</v>
      </c>
      <c r="AA1263" s="182" t="n">
        <v>0</v>
      </c>
      <c r="AB1263" s="182" t="n">
        <v>0</v>
      </c>
      <c r="AC1263" s="182" t="n">
        <v>0</v>
      </c>
      <c r="AD1263" s="182" t="n">
        <v>0</v>
      </c>
      <c r="AE1263" s="182" t="n">
        <v>0</v>
      </c>
      <c r="AF1263" s="182" t="n">
        <v>0</v>
      </c>
      <c r="AG1263" s="182" t="n">
        <v>0</v>
      </c>
      <c r="AH1263" s="182" t="n">
        <v>0.24</v>
      </c>
      <c r="AI1263" s="182" t="n">
        <v>0</v>
      </c>
      <c r="AJ1263" s="182" t="n">
        <v>0</v>
      </c>
      <c r="AK1263" s="182" t="n">
        <v>0</v>
      </c>
      <c r="AL1263" s="182" t="n">
        <v>0</v>
      </c>
      <c r="AM1263" s="182" t="n">
        <v>0.06</v>
      </c>
      <c r="AN1263" s="182" t="n">
        <v>0</v>
      </c>
    </row>
    <row r="1264">
      <c r="A1264" s="155" t="n">
        <v>46087</v>
      </c>
      <c r="B1264" s="156" t="inlineStr">
        <is>
          <t>NS</t>
        </is>
      </c>
      <c r="C1264" s="156" t="inlineStr">
        <is>
          <t>GD-012</t>
        </is>
      </c>
      <c r="D1264" s="156" t="inlineStr">
        <is>
          <t>STG 230C - 8S</t>
        </is>
      </c>
      <c r="E1264" s="156" t="inlineStr">
        <is>
          <t>Grader</t>
        </is>
      </c>
      <c r="F1264" s="156" t="inlineStr"/>
      <c r="G1264" s="182" t="n">
        <v>0</v>
      </c>
      <c r="H1264" s="182" t="n">
        <v>0</v>
      </c>
      <c r="I1264" s="182" t="n">
        <v>0</v>
      </c>
      <c r="J1264" s="182" t="n">
        <v>0</v>
      </c>
      <c r="K1264" s="182" t="n">
        <v>12</v>
      </c>
      <c r="L1264" s="182" t="n">
        <v>12</v>
      </c>
      <c r="M1264" s="182" t="n">
        <v>0</v>
      </c>
      <c r="N1264" s="182" t="n">
        <v>0</v>
      </c>
      <c r="O1264" s="183" t="n">
        <v>0</v>
      </c>
      <c r="P1264" s="183" t="n">
        <v>0</v>
      </c>
      <c r="Q1264" s="184" t="n">
        <v>0</v>
      </c>
      <c r="R1264" s="184" t="n">
        <v>0</v>
      </c>
      <c r="S1264" s="183" t="n">
        <v>0</v>
      </c>
      <c r="T1264" s="183" t="n">
        <v>0</v>
      </c>
      <c r="U1264" s="182" t="n">
        <v>0</v>
      </c>
      <c r="V1264" s="182" t="n">
        <v>0</v>
      </c>
      <c r="W1264" s="182" t="n">
        <v>0</v>
      </c>
      <c r="X1264" s="182" t="n">
        <v>1</v>
      </c>
      <c r="Y1264" s="182" t="n">
        <v>0</v>
      </c>
      <c r="Z1264" s="182" t="n">
        <v>0</v>
      </c>
      <c r="AA1264" s="182" t="n">
        <v>0</v>
      </c>
      <c r="AB1264" s="182" t="n">
        <v>0</v>
      </c>
      <c r="AC1264" s="182" t="n">
        <v>0</v>
      </c>
      <c r="AD1264" s="182" t="n">
        <v>0</v>
      </c>
      <c r="AE1264" s="182" t="n">
        <v>0</v>
      </c>
      <c r="AF1264" s="182" t="n">
        <v>0</v>
      </c>
      <c r="AG1264" s="182" t="n">
        <v>0</v>
      </c>
      <c r="AH1264" s="182" t="n">
        <v>0</v>
      </c>
      <c r="AI1264" s="182" t="n">
        <v>0</v>
      </c>
      <c r="AJ1264" s="182" t="n">
        <v>0</v>
      </c>
      <c r="AK1264" s="182" t="n">
        <v>10.92</v>
      </c>
      <c r="AL1264" s="182" t="n">
        <v>0</v>
      </c>
      <c r="AM1264" s="182" t="n">
        <v>0.08</v>
      </c>
      <c r="AN1264" s="182" t="n">
        <v>0</v>
      </c>
    </row>
    <row r="1265">
      <c r="A1265" s="155" t="n">
        <v>46087</v>
      </c>
      <c r="B1265" s="156" t="inlineStr">
        <is>
          <t>NS</t>
        </is>
      </c>
      <c r="C1265" s="156" t="inlineStr">
        <is>
          <t>GD-011</t>
        </is>
      </c>
      <c r="D1265" s="156" t="inlineStr">
        <is>
          <t>STG 230C - 8S</t>
        </is>
      </c>
      <c r="E1265" s="156" t="inlineStr">
        <is>
          <t>Grader</t>
        </is>
      </c>
      <c r="F1265" s="156" t="inlineStr"/>
      <c r="G1265" s="182" t="n">
        <v>0</v>
      </c>
      <c r="H1265" s="182" t="n">
        <v>0</v>
      </c>
      <c r="I1265" s="182" t="n">
        <v>12</v>
      </c>
      <c r="J1265" s="182" t="n">
        <v>12</v>
      </c>
      <c r="K1265" s="182" t="n">
        <v>0</v>
      </c>
      <c r="L1265" s="182" t="n">
        <v>12</v>
      </c>
      <c r="M1265" s="182" t="n">
        <v>0</v>
      </c>
      <c r="N1265" s="182" t="n">
        <v>0</v>
      </c>
      <c r="O1265" s="183" t="n">
        <v>0</v>
      </c>
      <c r="P1265" s="183" t="n">
        <v>0</v>
      </c>
      <c r="Q1265" s="184" t="n">
        <v>0</v>
      </c>
      <c r="R1265" s="184" t="n">
        <v>0</v>
      </c>
      <c r="S1265" s="183" t="n">
        <v>0</v>
      </c>
      <c r="T1265" s="183" t="n">
        <v>0</v>
      </c>
      <c r="U1265" s="182" t="n">
        <v>0</v>
      </c>
      <c r="V1265" s="182" t="n">
        <v>0</v>
      </c>
      <c r="W1265" s="182" t="n">
        <v>0</v>
      </c>
      <c r="X1265" s="182" t="n">
        <v>0</v>
      </c>
      <c r="Y1265" s="182" t="n">
        <v>0</v>
      </c>
      <c r="Z1265" s="182" t="n">
        <v>0</v>
      </c>
      <c r="AA1265" s="182" t="n">
        <v>0</v>
      </c>
      <c r="AB1265" s="182" t="n">
        <v>0</v>
      </c>
      <c r="AC1265" s="182" t="n">
        <v>0</v>
      </c>
      <c r="AD1265" s="182" t="n">
        <v>0</v>
      </c>
      <c r="AE1265" s="182" t="n">
        <v>0</v>
      </c>
      <c r="AF1265" s="182" t="n">
        <v>0</v>
      </c>
      <c r="AG1265" s="182" t="n">
        <v>0</v>
      </c>
      <c r="AH1265" s="182" t="n">
        <v>0</v>
      </c>
      <c r="AI1265" s="182" t="n">
        <v>0</v>
      </c>
      <c r="AJ1265" s="182" t="n">
        <v>0</v>
      </c>
      <c r="AK1265" s="182" t="n">
        <v>0</v>
      </c>
      <c r="AL1265" s="182" t="n">
        <v>0</v>
      </c>
      <c r="AM1265" s="182" t="n">
        <v>0</v>
      </c>
      <c r="AN1265" s="182" t="n">
        <v>0</v>
      </c>
    </row>
    <row r="1266">
      <c r="A1266" s="155" t="n">
        <v>46087</v>
      </c>
      <c r="B1266" s="156" t="inlineStr">
        <is>
          <t>NS</t>
        </is>
      </c>
      <c r="C1266" s="156" t="inlineStr">
        <is>
          <t>GD-013</t>
        </is>
      </c>
      <c r="D1266" s="156" t="inlineStr">
        <is>
          <t>STG 265C - 10</t>
        </is>
      </c>
      <c r="E1266" s="156" t="inlineStr">
        <is>
          <t>Grader</t>
        </is>
      </c>
      <c r="F1266" s="156" t="inlineStr"/>
      <c r="G1266" s="182" t="n">
        <v>0</v>
      </c>
      <c r="H1266" s="182" t="n">
        <v>0</v>
      </c>
      <c r="I1266" s="182" t="n">
        <v>0</v>
      </c>
      <c r="J1266" s="182" t="n">
        <v>0</v>
      </c>
      <c r="K1266" s="182" t="n">
        <v>12</v>
      </c>
      <c r="L1266" s="182" t="n">
        <v>12</v>
      </c>
      <c r="M1266" s="182" t="n">
        <v>0</v>
      </c>
      <c r="N1266" s="182" t="n">
        <v>0</v>
      </c>
      <c r="O1266" s="183" t="n">
        <v>0</v>
      </c>
      <c r="P1266" s="183" t="n">
        <v>0</v>
      </c>
      <c r="Q1266" s="184" t="n">
        <v>0</v>
      </c>
      <c r="R1266" s="184" t="n">
        <v>0</v>
      </c>
      <c r="S1266" s="183" t="n">
        <v>0</v>
      </c>
      <c r="T1266" s="183" t="n">
        <v>0</v>
      </c>
      <c r="U1266" s="182" t="n">
        <v>0</v>
      </c>
      <c r="V1266" s="182" t="n">
        <v>0</v>
      </c>
      <c r="W1266" s="182" t="n">
        <v>0</v>
      </c>
      <c r="X1266" s="182" t="n">
        <v>1</v>
      </c>
      <c r="Y1266" s="182" t="n">
        <v>0</v>
      </c>
      <c r="Z1266" s="182" t="n">
        <v>0</v>
      </c>
      <c r="AA1266" s="182" t="n">
        <v>0</v>
      </c>
      <c r="AB1266" s="182" t="n">
        <v>0</v>
      </c>
      <c r="AC1266" s="182" t="n">
        <v>0</v>
      </c>
      <c r="AD1266" s="182" t="n">
        <v>0</v>
      </c>
      <c r="AE1266" s="182" t="n">
        <v>0</v>
      </c>
      <c r="AF1266" s="182" t="n">
        <v>0</v>
      </c>
      <c r="AG1266" s="182" t="n">
        <v>0</v>
      </c>
      <c r="AH1266" s="182" t="n">
        <v>0</v>
      </c>
      <c r="AI1266" s="182" t="n">
        <v>0</v>
      </c>
      <c r="AJ1266" s="182" t="n">
        <v>0</v>
      </c>
      <c r="AK1266" s="182" t="n">
        <v>10.92</v>
      </c>
      <c r="AL1266" s="182" t="n">
        <v>0</v>
      </c>
      <c r="AM1266" s="182" t="n">
        <v>0.08</v>
      </c>
      <c r="AN1266" s="182" t="n">
        <v>0</v>
      </c>
    </row>
    <row r="1267">
      <c r="A1267" s="155" t="n">
        <v>46087</v>
      </c>
      <c r="B1267" s="156" t="inlineStr">
        <is>
          <t>NS</t>
        </is>
      </c>
      <c r="C1267" s="156" t="inlineStr">
        <is>
          <t>GD-014</t>
        </is>
      </c>
      <c r="D1267" s="156" t="inlineStr">
        <is>
          <t>STG 335C - 10</t>
        </is>
      </c>
      <c r="E1267" s="156" t="inlineStr">
        <is>
          <t>Grader</t>
        </is>
      </c>
      <c r="F1267" s="156" t="inlineStr">
        <is>
          <t>Road Maintenance</t>
        </is>
      </c>
      <c r="G1267" s="182" t="n">
        <v>10.24</v>
      </c>
      <c r="H1267" s="182" t="n">
        <v>0</v>
      </c>
      <c r="I1267" s="182" t="n">
        <v>0</v>
      </c>
      <c r="J1267" s="182" t="n">
        <v>0</v>
      </c>
      <c r="K1267" s="182" t="n">
        <v>1.76</v>
      </c>
      <c r="L1267" s="182" t="n">
        <v>12</v>
      </c>
      <c r="M1267" s="182" t="n">
        <v>0</v>
      </c>
      <c r="N1267" s="182" t="n">
        <v>0</v>
      </c>
      <c r="O1267" s="183" t="n">
        <v>0</v>
      </c>
      <c r="P1267" s="183" t="n">
        <v>0</v>
      </c>
      <c r="Q1267" s="184" t="n">
        <v>0</v>
      </c>
      <c r="R1267" s="184" t="n">
        <v>0</v>
      </c>
      <c r="S1267" s="183" t="n">
        <v>0</v>
      </c>
      <c r="T1267" s="183" t="n">
        <v>0</v>
      </c>
      <c r="U1267" s="182" t="n">
        <v>0</v>
      </c>
      <c r="V1267" s="182" t="n">
        <v>0</v>
      </c>
      <c r="W1267" s="182" t="n">
        <v>0</v>
      </c>
      <c r="X1267" s="182" t="n">
        <v>1.35</v>
      </c>
      <c r="Y1267" s="182" t="n">
        <v>0</v>
      </c>
      <c r="Z1267" s="182" t="n">
        <v>0</v>
      </c>
      <c r="AA1267" s="182" t="n">
        <v>0</v>
      </c>
      <c r="AB1267" s="182" t="n">
        <v>0</v>
      </c>
      <c r="AC1267" s="182" t="n">
        <v>0</v>
      </c>
      <c r="AD1267" s="182" t="n">
        <v>0</v>
      </c>
      <c r="AE1267" s="182" t="n">
        <v>0</v>
      </c>
      <c r="AF1267" s="182" t="n">
        <v>0</v>
      </c>
      <c r="AG1267" s="182" t="n">
        <v>0</v>
      </c>
      <c r="AH1267" s="182" t="n">
        <v>0.3</v>
      </c>
      <c r="AI1267" s="182" t="n">
        <v>0</v>
      </c>
      <c r="AJ1267" s="182" t="n">
        <v>0</v>
      </c>
      <c r="AK1267" s="182" t="n">
        <v>0</v>
      </c>
      <c r="AL1267" s="182" t="n">
        <v>0</v>
      </c>
      <c r="AM1267" s="182" t="n">
        <v>0.11</v>
      </c>
      <c r="AN1267" s="182" t="n">
        <v>0</v>
      </c>
    </row>
    <row r="1268">
      <c r="A1268" s="155" t="n">
        <v>46087</v>
      </c>
      <c r="B1268" s="156" t="inlineStr">
        <is>
          <t>NS</t>
        </is>
      </c>
      <c r="C1268" s="156" t="inlineStr">
        <is>
          <t>DT-809</t>
        </is>
      </c>
      <c r="D1268" s="156" t="inlineStr">
        <is>
          <t>SKT 80S</t>
        </is>
      </c>
      <c r="E1268" s="156" t="inlineStr">
        <is>
          <t>Hauler</t>
        </is>
      </c>
      <c r="F1268" s="156" t="inlineStr"/>
      <c r="G1268" s="182" t="n">
        <v>0</v>
      </c>
      <c r="H1268" s="182" t="n">
        <v>0</v>
      </c>
      <c r="I1268" s="182" t="n">
        <v>0</v>
      </c>
      <c r="J1268" s="182" t="n">
        <v>0</v>
      </c>
      <c r="K1268" s="182" t="n">
        <v>12</v>
      </c>
      <c r="L1268" s="182" t="n">
        <v>12</v>
      </c>
      <c r="M1268" s="182" t="n">
        <v>0</v>
      </c>
      <c r="N1268" s="182" t="n">
        <v>0</v>
      </c>
      <c r="O1268" s="183" t="n">
        <v>0</v>
      </c>
      <c r="P1268" s="183" t="n">
        <v>0</v>
      </c>
      <c r="Q1268" s="184" t="n">
        <v>0</v>
      </c>
      <c r="R1268" s="184" t="n">
        <v>0</v>
      </c>
      <c r="S1268" s="183" t="n">
        <v>0</v>
      </c>
      <c r="T1268" s="183" t="n">
        <v>0</v>
      </c>
      <c r="U1268" s="182" t="n">
        <v>0</v>
      </c>
      <c r="V1268" s="182" t="n">
        <v>0</v>
      </c>
      <c r="W1268" s="182" t="n">
        <v>0</v>
      </c>
      <c r="X1268" s="182" t="n">
        <v>1</v>
      </c>
      <c r="Y1268" s="182" t="n">
        <v>0</v>
      </c>
      <c r="Z1268" s="182" t="n">
        <v>0</v>
      </c>
      <c r="AA1268" s="182" t="n">
        <v>0</v>
      </c>
      <c r="AB1268" s="182" t="n">
        <v>0</v>
      </c>
      <c r="AC1268" s="182" t="n">
        <v>0</v>
      </c>
      <c r="AD1268" s="182" t="n">
        <v>0</v>
      </c>
      <c r="AE1268" s="182" t="n">
        <v>0</v>
      </c>
      <c r="AF1268" s="182" t="n">
        <v>0</v>
      </c>
      <c r="AG1268" s="182" t="n">
        <v>0</v>
      </c>
      <c r="AH1268" s="182" t="n">
        <v>0</v>
      </c>
      <c r="AI1268" s="182" t="n">
        <v>0</v>
      </c>
      <c r="AJ1268" s="182" t="n">
        <v>0</v>
      </c>
      <c r="AK1268" s="182" t="n">
        <v>10.92</v>
      </c>
      <c r="AL1268" s="182" t="n">
        <v>0</v>
      </c>
      <c r="AM1268" s="182" t="n">
        <v>0.08</v>
      </c>
      <c r="AN1268" s="182" t="n">
        <v>0</v>
      </c>
    </row>
    <row r="1269">
      <c r="A1269" s="155" t="n">
        <v>46087</v>
      </c>
      <c r="B1269" s="156" t="inlineStr">
        <is>
          <t>NS</t>
        </is>
      </c>
      <c r="C1269" s="156" t="inlineStr">
        <is>
          <t>DT-806</t>
        </is>
      </c>
      <c r="D1269" s="156" t="inlineStr">
        <is>
          <t>SKT 80S</t>
        </is>
      </c>
      <c r="E1269" s="156" t="inlineStr">
        <is>
          <t>Hauler</t>
        </is>
      </c>
      <c r="F1269" s="156" t="inlineStr"/>
      <c r="G1269" s="182" t="n">
        <v>0</v>
      </c>
      <c r="H1269" s="182" t="n">
        <v>0</v>
      </c>
      <c r="I1269" s="182" t="n">
        <v>0</v>
      </c>
      <c r="J1269" s="182" t="n">
        <v>0</v>
      </c>
      <c r="K1269" s="182" t="n">
        <v>12</v>
      </c>
      <c r="L1269" s="182" t="n">
        <v>12</v>
      </c>
      <c r="M1269" s="182" t="n">
        <v>0</v>
      </c>
      <c r="N1269" s="182" t="n">
        <v>0</v>
      </c>
      <c r="O1269" s="183" t="n">
        <v>0</v>
      </c>
      <c r="P1269" s="183" t="n">
        <v>0</v>
      </c>
      <c r="Q1269" s="184" t="n">
        <v>0</v>
      </c>
      <c r="R1269" s="184" t="n">
        <v>0</v>
      </c>
      <c r="S1269" s="183" t="n">
        <v>0</v>
      </c>
      <c r="T1269" s="183" t="n">
        <v>0</v>
      </c>
      <c r="U1269" s="182" t="n">
        <v>0</v>
      </c>
      <c r="V1269" s="182" t="n">
        <v>0</v>
      </c>
      <c r="W1269" s="182" t="n">
        <v>0</v>
      </c>
      <c r="X1269" s="182" t="n">
        <v>1</v>
      </c>
      <c r="Y1269" s="182" t="n">
        <v>0</v>
      </c>
      <c r="Z1269" s="182" t="n">
        <v>0</v>
      </c>
      <c r="AA1269" s="182" t="n">
        <v>0</v>
      </c>
      <c r="AB1269" s="182" t="n">
        <v>0</v>
      </c>
      <c r="AC1269" s="182" t="n">
        <v>0</v>
      </c>
      <c r="AD1269" s="182" t="n">
        <v>0</v>
      </c>
      <c r="AE1269" s="182" t="n">
        <v>0</v>
      </c>
      <c r="AF1269" s="182" t="n">
        <v>0</v>
      </c>
      <c r="AG1269" s="182" t="n">
        <v>0</v>
      </c>
      <c r="AH1269" s="182" t="n">
        <v>0</v>
      </c>
      <c r="AI1269" s="182" t="n">
        <v>0</v>
      </c>
      <c r="AJ1269" s="182" t="n">
        <v>0</v>
      </c>
      <c r="AK1269" s="182" t="n">
        <v>10.92</v>
      </c>
      <c r="AL1269" s="182" t="n">
        <v>0</v>
      </c>
      <c r="AM1269" s="182" t="n">
        <v>0.08</v>
      </c>
      <c r="AN1269" s="182" t="n">
        <v>0</v>
      </c>
    </row>
    <row r="1270">
      <c r="A1270" s="155" t="n">
        <v>46087</v>
      </c>
      <c r="B1270" s="156" t="inlineStr">
        <is>
          <t>NS</t>
        </is>
      </c>
      <c r="C1270" s="156" t="inlineStr">
        <is>
          <t>DT-805</t>
        </is>
      </c>
      <c r="D1270" s="156" t="inlineStr">
        <is>
          <t>SKT 80S</t>
        </is>
      </c>
      <c r="E1270" s="156" t="inlineStr">
        <is>
          <t>Hauler</t>
        </is>
      </c>
      <c r="F1270" s="156" t="inlineStr"/>
      <c r="G1270" s="182" t="n">
        <v>0</v>
      </c>
      <c r="H1270" s="182" t="n">
        <v>0</v>
      </c>
      <c r="I1270" s="182" t="n">
        <v>0</v>
      </c>
      <c r="J1270" s="182" t="n">
        <v>0</v>
      </c>
      <c r="K1270" s="182" t="n">
        <v>12</v>
      </c>
      <c r="L1270" s="182" t="n">
        <v>12</v>
      </c>
      <c r="M1270" s="182" t="n">
        <v>0</v>
      </c>
      <c r="N1270" s="182" t="n">
        <v>0</v>
      </c>
      <c r="O1270" s="183" t="n">
        <v>0</v>
      </c>
      <c r="P1270" s="183" t="n">
        <v>0</v>
      </c>
      <c r="Q1270" s="184" t="n">
        <v>0</v>
      </c>
      <c r="R1270" s="184" t="n">
        <v>0</v>
      </c>
      <c r="S1270" s="183" t="n">
        <v>0</v>
      </c>
      <c r="T1270" s="183" t="n">
        <v>0</v>
      </c>
      <c r="U1270" s="182" t="n">
        <v>0</v>
      </c>
      <c r="V1270" s="182" t="n">
        <v>0</v>
      </c>
      <c r="W1270" s="182" t="n">
        <v>0</v>
      </c>
      <c r="X1270" s="182" t="n">
        <v>1</v>
      </c>
      <c r="Y1270" s="182" t="n">
        <v>0</v>
      </c>
      <c r="Z1270" s="182" t="n">
        <v>0</v>
      </c>
      <c r="AA1270" s="182" t="n">
        <v>0</v>
      </c>
      <c r="AB1270" s="182" t="n">
        <v>0</v>
      </c>
      <c r="AC1270" s="182" t="n">
        <v>0</v>
      </c>
      <c r="AD1270" s="182" t="n">
        <v>0</v>
      </c>
      <c r="AE1270" s="182" t="n">
        <v>0</v>
      </c>
      <c r="AF1270" s="182" t="n">
        <v>0</v>
      </c>
      <c r="AG1270" s="182" t="n">
        <v>0</v>
      </c>
      <c r="AH1270" s="182" t="n">
        <v>0</v>
      </c>
      <c r="AI1270" s="182" t="n">
        <v>0</v>
      </c>
      <c r="AJ1270" s="182" t="n">
        <v>0</v>
      </c>
      <c r="AK1270" s="182" t="n">
        <v>10.92</v>
      </c>
      <c r="AL1270" s="182" t="n">
        <v>0</v>
      </c>
      <c r="AM1270" s="182" t="n">
        <v>0.08</v>
      </c>
      <c r="AN1270" s="182" t="n">
        <v>0</v>
      </c>
    </row>
    <row r="1271">
      <c r="A1271" s="155" t="n">
        <v>46087</v>
      </c>
      <c r="B1271" s="156" t="inlineStr">
        <is>
          <t>NS</t>
        </is>
      </c>
      <c r="C1271" s="156" t="inlineStr">
        <is>
          <t>DT-801</t>
        </is>
      </c>
      <c r="D1271" s="156" t="inlineStr">
        <is>
          <t>SKT 80S</t>
        </is>
      </c>
      <c r="E1271" s="156" t="inlineStr">
        <is>
          <t>Hauler</t>
        </is>
      </c>
      <c r="F1271" s="156" t="inlineStr"/>
      <c r="G1271" s="182" t="n">
        <v>0</v>
      </c>
      <c r="H1271" s="182" t="n">
        <v>0</v>
      </c>
      <c r="I1271" s="182" t="n">
        <v>0</v>
      </c>
      <c r="J1271" s="182" t="n">
        <v>0</v>
      </c>
      <c r="K1271" s="182" t="n">
        <v>12</v>
      </c>
      <c r="L1271" s="182" t="n">
        <v>12</v>
      </c>
      <c r="M1271" s="182" t="n">
        <v>0</v>
      </c>
      <c r="N1271" s="182" t="n">
        <v>0</v>
      </c>
      <c r="O1271" s="183" t="n">
        <v>0</v>
      </c>
      <c r="P1271" s="183" t="n">
        <v>0</v>
      </c>
      <c r="Q1271" s="184" t="n">
        <v>0</v>
      </c>
      <c r="R1271" s="184" t="n">
        <v>0</v>
      </c>
      <c r="S1271" s="183" t="n">
        <v>0</v>
      </c>
      <c r="T1271" s="183" t="n">
        <v>0</v>
      </c>
      <c r="U1271" s="182" t="n">
        <v>0</v>
      </c>
      <c r="V1271" s="182" t="n">
        <v>0</v>
      </c>
      <c r="W1271" s="182" t="n">
        <v>0</v>
      </c>
      <c r="X1271" s="182" t="n">
        <v>1</v>
      </c>
      <c r="Y1271" s="182" t="n">
        <v>0</v>
      </c>
      <c r="Z1271" s="182" t="n">
        <v>0</v>
      </c>
      <c r="AA1271" s="182" t="n">
        <v>0</v>
      </c>
      <c r="AB1271" s="182" t="n">
        <v>0</v>
      </c>
      <c r="AC1271" s="182" t="n">
        <v>0</v>
      </c>
      <c r="AD1271" s="182" t="n">
        <v>0</v>
      </c>
      <c r="AE1271" s="182" t="n">
        <v>0</v>
      </c>
      <c r="AF1271" s="182" t="n">
        <v>0</v>
      </c>
      <c r="AG1271" s="182" t="n">
        <v>0</v>
      </c>
      <c r="AH1271" s="182" t="n">
        <v>0</v>
      </c>
      <c r="AI1271" s="182" t="n">
        <v>0</v>
      </c>
      <c r="AJ1271" s="182" t="n">
        <v>0</v>
      </c>
      <c r="AK1271" s="182" t="n">
        <v>10.92</v>
      </c>
      <c r="AL1271" s="182" t="n">
        <v>0</v>
      </c>
      <c r="AM1271" s="182" t="n">
        <v>0.08</v>
      </c>
      <c r="AN1271" s="182" t="n">
        <v>0</v>
      </c>
    </row>
    <row r="1272">
      <c r="A1272" s="155" t="n">
        <v>46087</v>
      </c>
      <c r="B1272" s="156" t="inlineStr">
        <is>
          <t>NS</t>
        </is>
      </c>
      <c r="C1272" s="156" t="inlineStr">
        <is>
          <t>DT-808</t>
        </is>
      </c>
      <c r="D1272" s="156" t="inlineStr">
        <is>
          <t>SKT 80S</t>
        </is>
      </c>
      <c r="E1272" s="156" t="inlineStr">
        <is>
          <t>Hauler</t>
        </is>
      </c>
      <c r="F1272" s="156" t="inlineStr">
        <is>
          <t>Hauling Lumpur dari Washing Plant</t>
        </is>
      </c>
      <c r="G1272" s="182" t="n">
        <v>7.05</v>
      </c>
      <c r="H1272" s="182" t="n">
        <v>0</v>
      </c>
      <c r="I1272" s="182" t="n">
        <v>0.17</v>
      </c>
      <c r="J1272" s="182" t="n">
        <v>0.17</v>
      </c>
      <c r="K1272" s="182" t="n">
        <v>4.78</v>
      </c>
      <c r="L1272" s="182" t="n">
        <v>12</v>
      </c>
      <c r="M1272" s="182" t="n">
        <v>0</v>
      </c>
      <c r="N1272" s="182" t="n">
        <v>0</v>
      </c>
      <c r="O1272" s="183" t="n">
        <v>0</v>
      </c>
      <c r="P1272" s="183" t="n">
        <v>0</v>
      </c>
      <c r="Q1272" s="184" t="n">
        <v>0</v>
      </c>
      <c r="R1272" s="184" t="n">
        <v>0</v>
      </c>
      <c r="S1272" s="183" t="n">
        <v>0</v>
      </c>
      <c r="T1272" s="183" t="n">
        <v>0</v>
      </c>
      <c r="U1272" s="182" t="n">
        <v>0</v>
      </c>
      <c r="V1272" s="182" t="n">
        <v>0</v>
      </c>
      <c r="W1272" s="182" t="n">
        <v>0</v>
      </c>
      <c r="X1272" s="182" t="n">
        <v>0.99</v>
      </c>
      <c r="Y1272" s="182" t="n">
        <v>0</v>
      </c>
      <c r="Z1272" s="182" t="n">
        <v>0</v>
      </c>
      <c r="AA1272" s="182" t="n">
        <v>0</v>
      </c>
      <c r="AB1272" s="182" t="n">
        <v>0</v>
      </c>
      <c r="AC1272" s="182" t="n">
        <v>0</v>
      </c>
      <c r="AD1272" s="182" t="n">
        <v>0</v>
      </c>
      <c r="AE1272" s="182" t="n">
        <v>0</v>
      </c>
      <c r="AF1272" s="182" t="n">
        <v>0</v>
      </c>
      <c r="AG1272" s="182" t="n">
        <v>0</v>
      </c>
      <c r="AH1272" s="182" t="n">
        <v>0</v>
      </c>
      <c r="AI1272" s="182" t="n">
        <v>0</v>
      </c>
      <c r="AJ1272" s="182" t="n">
        <v>0</v>
      </c>
      <c r="AK1272" s="182" t="n">
        <v>3.71</v>
      </c>
      <c r="AL1272" s="182" t="n">
        <v>0</v>
      </c>
      <c r="AM1272" s="182" t="n">
        <v>0.08</v>
      </c>
      <c r="AN1272" s="182" t="n">
        <v>0</v>
      </c>
    </row>
    <row r="1273">
      <c r="A1273" s="155" t="n">
        <v>46087</v>
      </c>
      <c r="B1273" s="156" t="inlineStr">
        <is>
          <t>NS</t>
        </is>
      </c>
      <c r="C1273" s="156" t="inlineStr">
        <is>
          <t>DT-811</t>
        </is>
      </c>
      <c r="D1273" s="156" t="inlineStr">
        <is>
          <t>SKT 80S</t>
        </is>
      </c>
      <c r="E1273" s="156" t="inlineStr">
        <is>
          <t>Hauler</t>
        </is>
      </c>
      <c r="F1273" s="156" t="inlineStr"/>
      <c r="G1273" s="182" t="n">
        <v>0</v>
      </c>
      <c r="H1273" s="182" t="n">
        <v>0</v>
      </c>
      <c r="I1273" s="182" t="n">
        <v>0</v>
      </c>
      <c r="J1273" s="182" t="n">
        <v>0</v>
      </c>
      <c r="K1273" s="182" t="n">
        <v>12</v>
      </c>
      <c r="L1273" s="182" t="n">
        <v>12</v>
      </c>
      <c r="M1273" s="182" t="n">
        <v>0</v>
      </c>
      <c r="N1273" s="182" t="n">
        <v>0</v>
      </c>
      <c r="O1273" s="183" t="n">
        <v>0</v>
      </c>
      <c r="P1273" s="183" t="n">
        <v>0</v>
      </c>
      <c r="Q1273" s="184" t="n">
        <v>0</v>
      </c>
      <c r="R1273" s="184" t="n">
        <v>0</v>
      </c>
      <c r="S1273" s="183" t="n">
        <v>0</v>
      </c>
      <c r="T1273" s="183" t="n">
        <v>0</v>
      </c>
      <c r="U1273" s="182" t="n">
        <v>0</v>
      </c>
      <c r="V1273" s="182" t="n">
        <v>0</v>
      </c>
      <c r="W1273" s="182" t="n">
        <v>0</v>
      </c>
      <c r="X1273" s="182" t="n">
        <v>1</v>
      </c>
      <c r="Y1273" s="182" t="n">
        <v>0</v>
      </c>
      <c r="Z1273" s="182" t="n">
        <v>0</v>
      </c>
      <c r="AA1273" s="182" t="n">
        <v>0</v>
      </c>
      <c r="AB1273" s="182" t="n">
        <v>0</v>
      </c>
      <c r="AC1273" s="182" t="n">
        <v>0</v>
      </c>
      <c r="AD1273" s="182" t="n">
        <v>0</v>
      </c>
      <c r="AE1273" s="182" t="n">
        <v>0</v>
      </c>
      <c r="AF1273" s="182" t="n">
        <v>0</v>
      </c>
      <c r="AG1273" s="182" t="n">
        <v>0</v>
      </c>
      <c r="AH1273" s="182" t="n">
        <v>0</v>
      </c>
      <c r="AI1273" s="182" t="n">
        <v>0</v>
      </c>
      <c r="AJ1273" s="182" t="n">
        <v>0</v>
      </c>
      <c r="AK1273" s="182" t="n">
        <v>10.92</v>
      </c>
      <c r="AL1273" s="182" t="n">
        <v>0</v>
      </c>
      <c r="AM1273" s="182" t="n">
        <v>0.08</v>
      </c>
      <c r="AN1273" s="182" t="n">
        <v>0</v>
      </c>
    </row>
    <row r="1274">
      <c r="A1274" s="155" t="n">
        <v>46087</v>
      </c>
      <c r="B1274" s="156" t="inlineStr">
        <is>
          <t>NS</t>
        </is>
      </c>
      <c r="C1274" s="156" t="inlineStr">
        <is>
          <t>DT-802</t>
        </is>
      </c>
      <c r="D1274" s="156" t="inlineStr">
        <is>
          <t>SKT 80S</t>
        </is>
      </c>
      <c r="E1274" s="156" t="inlineStr">
        <is>
          <t>Hauler</t>
        </is>
      </c>
      <c r="F1274" s="156" t="inlineStr"/>
      <c r="G1274" s="182" t="n">
        <v>0</v>
      </c>
      <c r="H1274" s="182" t="n">
        <v>0</v>
      </c>
      <c r="I1274" s="182" t="n">
        <v>12</v>
      </c>
      <c r="J1274" s="182" t="n">
        <v>12</v>
      </c>
      <c r="K1274" s="182" t="n">
        <v>0</v>
      </c>
      <c r="L1274" s="182" t="n">
        <v>12</v>
      </c>
      <c r="M1274" s="182" t="n">
        <v>0</v>
      </c>
      <c r="N1274" s="182" t="n">
        <v>0</v>
      </c>
      <c r="O1274" s="183" t="n">
        <v>0</v>
      </c>
      <c r="P1274" s="183" t="n">
        <v>0</v>
      </c>
      <c r="Q1274" s="184" t="n">
        <v>0</v>
      </c>
      <c r="R1274" s="184" t="n">
        <v>0</v>
      </c>
      <c r="S1274" s="183" t="n">
        <v>0</v>
      </c>
      <c r="T1274" s="183" t="n">
        <v>0</v>
      </c>
      <c r="U1274" s="182" t="n">
        <v>0</v>
      </c>
      <c r="V1274" s="182" t="n">
        <v>0</v>
      </c>
      <c r="W1274" s="182" t="n">
        <v>0</v>
      </c>
      <c r="X1274" s="182" t="n">
        <v>0</v>
      </c>
      <c r="Y1274" s="182" t="n">
        <v>0</v>
      </c>
      <c r="Z1274" s="182" t="n">
        <v>0</v>
      </c>
      <c r="AA1274" s="182" t="n">
        <v>0</v>
      </c>
      <c r="AB1274" s="182" t="n">
        <v>0</v>
      </c>
      <c r="AC1274" s="182" t="n">
        <v>0</v>
      </c>
      <c r="AD1274" s="182" t="n">
        <v>0</v>
      </c>
      <c r="AE1274" s="182" t="n">
        <v>0</v>
      </c>
      <c r="AF1274" s="182" t="n">
        <v>0</v>
      </c>
      <c r="AG1274" s="182" t="n">
        <v>0</v>
      </c>
      <c r="AH1274" s="182" t="n">
        <v>0</v>
      </c>
      <c r="AI1274" s="182" t="n">
        <v>0</v>
      </c>
      <c r="AJ1274" s="182" t="n">
        <v>0</v>
      </c>
      <c r="AK1274" s="182" t="n">
        <v>0</v>
      </c>
      <c r="AL1274" s="182" t="n">
        <v>0</v>
      </c>
      <c r="AM1274" s="182" t="n">
        <v>0</v>
      </c>
      <c r="AN1274" s="182" t="n">
        <v>0</v>
      </c>
    </row>
    <row r="1275">
      <c r="A1275" s="155" t="n">
        <v>46087</v>
      </c>
      <c r="B1275" s="156" t="inlineStr">
        <is>
          <t>NS</t>
        </is>
      </c>
      <c r="C1275" s="156" t="inlineStr">
        <is>
          <t>DT-807</t>
        </is>
      </c>
      <c r="D1275" s="156" t="inlineStr">
        <is>
          <t>SKT 80S</t>
        </is>
      </c>
      <c r="E1275" s="156" t="inlineStr">
        <is>
          <t>Hauler</t>
        </is>
      </c>
      <c r="F1275" s="156" t="inlineStr"/>
      <c r="G1275" s="182" t="n">
        <v>0</v>
      </c>
      <c r="H1275" s="182" t="n">
        <v>0</v>
      </c>
      <c r="I1275" s="182" t="n">
        <v>12</v>
      </c>
      <c r="J1275" s="182" t="n">
        <v>12</v>
      </c>
      <c r="K1275" s="182" t="n">
        <v>0</v>
      </c>
      <c r="L1275" s="182" t="n">
        <v>12</v>
      </c>
      <c r="M1275" s="182" t="n">
        <v>0</v>
      </c>
      <c r="N1275" s="182" t="n">
        <v>0</v>
      </c>
      <c r="O1275" s="183" t="n">
        <v>0</v>
      </c>
      <c r="P1275" s="183" t="n">
        <v>0</v>
      </c>
      <c r="Q1275" s="184" t="n">
        <v>0</v>
      </c>
      <c r="R1275" s="184" t="n">
        <v>0</v>
      </c>
      <c r="S1275" s="183" t="n">
        <v>0</v>
      </c>
      <c r="T1275" s="183" t="n">
        <v>0</v>
      </c>
      <c r="U1275" s="182" t="n">
        <v>0</v>
      </c>
      <c r="V1275" s="182" t="n">
        <v>0</v>
      </c>
      <c r="W1275" s="182" t="n">
        <v>0</v>
      </c>
      <c r="X1275" s="182" t="n">
        <v>0</v>
      </c>
      <c r="Y1275" s="182" t="n">
        <v>0</v>
      </c>
      <c r="Z1275" s="182" t="n">
        <v>0</v>
      </c>
      <c r="AA1275" s="182" t="n">
        <v>0</v>
      </c>
      <c r="AB1275" s="182" t="n">
        <v>0</v>
      </c>
      <c r="AC1275" s="182" t="n">
        <v>0</v>
      </c>
      <c r="AD1275" s="182" t="n">
        <v>0</v>
      </c>
      <c r="AE1275" s="182" t="n">
        <v>0</v>
      </c>
      <c r="AF1275" s="182" t="n">
        <v>0</v>
      </c>
      <c r="AG1275" s="182" t="n">
        <v>0</v>
      </c>
      <c r="AH1275" s="182" t="n">
        <v>0</v>
      </c>
      <c r="AI1275" s="182" t="n">
        <v>0</v>
      </c>
      <c r="AJ1275" s="182" t="n">
        <v>0</v>
      </c>
      <c r="AK1275" s="182" t="n">
        <v>0</v>
      </c>
      <c r="AL1275" s="182" t="n">
        <v>0</v>
      </c>
      <c r="AM1275" s="182" t="n">
        <v>0</v>
      </c>
      <c r="AN1275" s="182" t="n">
        <v>0</v>
      </c>
    </row>
    <row r="1276">
      <c r="A1276" s="155" t="n">
        <v>46087</v>
      </c>
      <c r="B1276" s="156" t="inlineStr">
        <is>
          <t>NS</t>
        </is>
      </c>
      <c r="C1276" s="156" t="inlineStr">
        <is>
          <t>DT-812</t>
        </is>
      </c>
      <c r="D1276" s="156" t="inlineStr">
        <is>
          <t>SKT 80S</t>
        </is>
      </c>
      <c r="E1276" s="156" t="inlineStr">
        <is>
          <t>Hauler</t>
        </is>
      </c>
      <c r="F1276" s="156" t="inlineStr">
        <is>
          <t>Hauling Lumpur dari Washing Plant</t>
        </is>
      </c>
      <c r="G1276" s="182" t="n">
        <v>0.5</v>
      </c>
      <c r="H1276" s="182" t="n">
        <v>0</v>
      </c>
      <c r="I1276" s="182" t="n">
        <v>0</v>
      </c>
      <c r="J1276" s="182" t="n">
        <v>0</v>
      </c>
      <c r="K1276" s="182" t="n">
        <v>11.5</v>
      </c>
      <c r="L1276" s="182" t="n">
        <v>12</v>
      </c>
      <c r="M1276" s="182" t="n">
        <v>0</v>
      </c>
      <c r="N1276" s="182" t="n">
        <v>0</v>
      </c>
      <c r="O1276" s="183" t="n">
        <v>0</v>
      </c>
      <c r="P1276" s="183" t="n">
        <v>0</v>
      </c>
      <c r="Q1276" s="184" t="n">
        <v>0</v>
      </c>
      <c r="R1276" s="184" t="n">
        <v>0</v>
      </c>
      <c r="S1276" s="183" t="n">
        <v>0</v>
      </c>
      <c r="T1276" s="183" t="n">
        <v>0</v>
      </c>
      <c r="U1276" s="182" t="n">
        <v>0</v>
      </c>
      <c r="V1276" s="182" t="n">
        <v>0</v>
      </c>
      <c r="W1276" s="182" t="n">
        <v>0</v>
      </c>
      <c r="X1276" s="182" t="n">
        <v>1</v>
      </c>
      <c r="Y1276" s="182" t="n">
        <v>0</v>
      </c>
      <c r="Z1276" s="182" t="n">
        <v>0</v>
      </c>
      <c r="AA1276" s="182" t="n">
        <v>0</v>
      </c>
      <c r="AB1276" s="182" t="n">
        <v>0</v>
      </c>
      <c r="AC1276" s="182" t="n">
        <v>0</v>
      </c>
      <c r="AD1276" s="182" t="n">
        <v>0</v>
      </c>
      <c r="AE1276" s="182" t="n">
        <v>0</v>
      </c>
      <c r="AF1276" s="182" t="n">
        <v>0</v>
      </c>
      <c r="AG1276" s="182" t="n">
        <v>0</v>
      </c>
      <c r="AH1276" s="182" t="n">
        <v>0</v>
      </c>
      <c r="AI1276" s="182" t="n">
        <v>0</v>
      </c>
      <c r="AJ1276" s="182" t="n">
        <v>0</v>
      </c>
      <c r="AK1276" s="182" t="n">
        <v>10.42</v>
      </c>
      <c r="AL1276" s="182" t="n">
        <v>0</v>
      </c>
      <c r="AM1276" s="182" t="n">
        <v>0.08</v>
      </c>
      <c r="AN1276" s="182" t="n">
        <v>0</v>
      </c>
    </row>
    <row r="1277">
      <c r="A1277" s="155" t="n">
        <v>46087</v>
      </c>
      <c r="B1277" s="156" t="inlineStr">
        <is>
          <t>NS</t>
        </is>
      </c>
      <c r="C1277" s="156" t="inlineStr">
        <is>
          <t>DT-803</t>
        </is>
      </c>
      <c r="D1277" s="156" t="inlineStr">
        <is>
          <t>SKT 80S</t>
        </is>
      </c>
      <c r="E1277" s="156" t="inlineStr">
        <is>
          <t>Hauler</t>
        </is>
      </c>
      <c r="F1277" s="156" t="inlineStr"/>
      <c r="G1277" s="182" t="n">
        <v>0</v>
      </c>
      <c r="H1277" s="182" t="n">
        <v>0</v>
      </c>
      <c r="I1277" s="182" t="n">
        <v>12</v>
      </c>
      <c r="J1277" s="182" t="n">
        <v>12</v>
      </c>
      <c r="K1277" s="182" t="n">
        <v>0</v>
      </c>
      <c r="L1277" s="182" t="n">
        <v>12</v>
      </c>
      <c r="M1277" s="182" t="n">
        <v>0</v>
      </c>
      <c r="N1277" s="182" t="n">
        <v>0</v>
      </c>
      <c r="O1277" s="183" t="n">
        <v>0</v>
      </c>
      <c r="P1277" s="183" t="n">
        <v>0</v>
      </c>
      <c r="Q1277" s="184" t="n">
        <v>0</v>
      </c>
      <c r="R1277" s="184" t="n">
        <v>0</v>
      </c>
      <c r="S1277" s="183" t="n">
        <v>0</v>
      </c>
      <c r="T1277" s="183" t="n">
        <v>0</v>
      </c>
      <c r="U1277" s="182" t="n">
        <v>0</v>
      </c>
      <c r="V1277" s="182" t="n">
        <v>0</v>
      </c>
      <c r="W1277" s="182" t="n">
        <v>0</v>
      </c>
      <c r="X1277" s="182" t="n">
        <v>0</v>
      </c>
      <c r="Y1277" s="182" t="n">
        <v>0</v>
      </c>
      <c r="Z1277" s="182" t="n">
        <v>0</v>
      </c>
      <c r="AA1277" s="182" t="n">
        <v>0</v>
      </c>
      <c r="AB1277" s="182" t="n">
        <v>0</v>
      </c>
      <c r="AC1277" s="182" t="n">
        <v>0</v>
      </c>
      <c r="AD1277" s="182" t="n">
        <v>0</v>
      </c>
      <c r="AE1277" s="182" t="n">
        <v>0</v>
      </c>
      <c r="AF1277" s="182" t="n">
        <v>0</v>
      </c>
      <c r="AG1277" s="182" t="n">
        <v>0</v>
      </c>
      <c r="AH1277" s="182" t="n">
        <v>0</v>
      </c>
      <c r="AI1277" s="182" t="n">
        <v>0</v>
      </c>
      <c r="AJ1277" s="182" t="n">
        <v>0</v>
      </c>
      <c r="AK1277" s="182" t="n">
        <v>0</v>
      </c>
      <c r="AL1277" s="182" t="n">
        <v>0</v>
      </c>
      <c r="AM1277" s="182" t="n">
        <v>0</v>
      </c>
      <c r="AN1277" s="182" t="n">
        <v>0</v>
      </c>
    </row>
    <row r="1278">
      <c r="A1278" s="155" t="n">
        <v>46087</v>
      </c>
      <c r="B1278" s="156" t="inlineStr">
        <is>
          <t>NS</t>
        </is>
      </c>
      <c r="C1278" s="156" t="inlineStr">
        <is>
          <t>DT-810</t>
        </is>
      </c>
      <c r="D1278" s="156" t="inlineStr">
        <is>
          <t>SKT 80S</t>
        </is>
      </c>
      <c r="E1278" s="156" t="inlineStr">
        <is>
          <t>Hauler</t>
        </is>
      </c>
      <c r="F1278" s="156" t="inlineStr"/>
      <c r="G1278" s="182" t="n">
        <v>0</v>
      </c>
      <c r="H1278" s="182" t="n">
        <v>0</v>
      </c>
      <c r="I1278" s="182" t="n">
        <v>0</v>
      </c>
      <c r="J1278" s="182" t="n">
        <v>0</v>
      </c>
      <c r="K1278" s="182" t="n">
        <v>12</v>
      </c>
      <c r="L1278" s="182" t="n">
        <v>12</v>
      </c>
      <c r="M1278" s="182" t="n">
        <v>0</v>
      </c>
      <c r="N1278" s="182" t="n">
        <v>0</v>
      </c>
      <c r="O1278" s="183" t="n">
        <v>0</v>
      </c>
      <c r="P1278" s="183" t="n">
        <v>0</v>
      </c>
      <c r="Q1278" s="184" t="n">
        <v>0</v>
      </c>
      <c r="R1278" s="184" t="n">
        <v>0</v>
      </c>
      <c r="S1278" s="183" t="n">
        <v>0</v>
      </c>
      <c r="T1278" s="183" t="n">
        <v>0</v>
      </c>
      <c r="U1278" s="182" t="n">
        <v>0</v>
      </c>
      <c r="V1278" s="182" t="n">
        <v>0</v>
      </c>
      <c r="W1278" s="182" t="n">
        <v>0</v>
      </c>
      <c r="X1278" s="182" t="n">
        <v>1</v>
      </c>
      <c r="Y1278" s="182" t="n">
        <v>0</v>
      </c>
      <c r="Z1278" s="182" t="n">
        <v>0</v>
      </c>
      <c r="AA1278" s="182" t="n">
        <v>0</v>
      </c>
      <c r="AB1278" s="182" t="n">
        <v>0</v>
      </c>
      <c r="AC1278" s="182" t="n">
        <v>0</v>
      </c>
      <c r="AD1278" s="182" t="n">
        <v>0</v>
      </c>
      <c r="AE1278" s="182" t="n">
        <v>0</v>
      </c>
      <c r="AF1278" s="182" t="n">
        <v>0</v>
      </c>
      <c r="AG1278" s="182" t="n">
        <v>0</v>
      </c>
      <c r="AH1278" s="182" t="n">
        <v>0</v>
      </c>
      <c r="AI1278" s="182" t="n">
        <v>0</v>
      </c>
      <c r="AJ1278" s="182" t="n">
        <v>0</v>
      </c>
      <c r="AK1278" s="182" t="n">
        <v>10.92</v>
      </c>
      <c r="AL1278" s="182" t="n">
        <v>0</v>
      </c>
      <c r="AM1278" s="182" t="n">
        <v>0.08</v>
      </c>
      <c r="AN1278" s="182" t="n">
        <v>0</v>
      </c>
    </row>
    <row r="1279">
      <c r="A1279" s="155" t="n">
        <v>46087</v>
      </c>
      <c r="B1279" s="156" t="inlineStr">
        <is>
          <t>NS</t>
        </is>
      </c>
      <c r="C1279" s="156" t="inlineStr">
        <is>
          <t>DT-804</t>
        </is>
      </c>
      <c r="D1279" s="156" t="inlineStr">
        <is>
          <t>SKT 80S</t>
        </is>
      </c>
      <c r="E1279" s="156" t="inlineStr">
        <is>
          <t>Hauler</t>
        </is>
      </c>
      <c r="F1279" s="156" t="inlineStr">
        <is>
          <t>Hauling Lumpur dari Washing Plant</t>
        </is>
      </c>
      <c r="G1279" s="182" t="n">
        <v>9.1</v>
      </c>
      <c r="H1279" s="182" t="n">
        <v>0</v>
      </c>
      <c r="I1279" s="182" t="n">
        <v>0.17</v>
      </c>
      <c r="J1279" s="182" t="n">
        <v>0.17</v>
      </c>
      <c r="K1279" s="182" t="n">
        <v>2.73</v>
      </c>
      <c r="L1279" s="182" t="n">
        <v>12</v>
      </c>
      <c r="M1279" s="182" t="n">
        <v>0</v>
      </c>
      <c r="N1279" s="182" t="n">
        <v>0</v>
      </c>
      <c r="O1279" s="183" t="n">
        <v>0</v>
      </c>
      <c r="P1279" s="183" t="n">
        <v>0</v>
      </c>
      <c r="Q1279" s="184" t="n">
        <v>0</v>
      </c>
      <c r="R1279" s="184" t="n">
        <v>0</v>
      </c>
      <c r="S1279" s="183" t="n">
        <v>0</v>
      </c>
      <c r="T1279" s="183" t="n">
        <v>0</v>
      </c>
      <c r="U1279" s="182" t="n">
        <v>0</v>
      </c>
      <c r="V1279" s="182" t="n">
        <v>0</v>
      </c>
      <c r="W1279" s="182" t="n">
        <v>0</v>
      </c>
      <c r="X1279" s="182" t="n">
        <v>0.93</v>
      </c>
      <c r="Y1279" s="182" t="n">
        <v>0</v>
      </c>
      <c r="Z1279" s="182" t="n">
        <v>0</v>
      </c>
      <c r="AA1279" s="182" t="n">
        <v>0</v>
      </c>
      <c r="AB1279" s="182" t="n">
        <v>0</v>
      </c>
      <c r="AC1279" s="182" t="n">
        <v>0</v>
      </c>
      <c r="AD1279" s="182" t="n">
        <v>0</v>
      </c>
      <c r="AE1279" s="182" t="n">
        <v>0</v>
      </c>
      <c r="AF1279" s="182" t="n">
        <v>0</v>
      </c>
      <c r="AG1279" s="182" t="n">
        <v>0.84</v>
      </c>
      <c r="AH1279" s="182" t="n">
        <v>0.89</v>
      </c>
      <c r="AI1279" s="182" t="n">
        <v>0</v>
      </c>
      <c r="AJ1279" s="182" t="n">
        <v>0</v>
      </c>
      <c r="AK1279" s="182" t="n">
        <v>0</v>
      </c>
      <c r="AL1279" s="182" t="n">
        <v>0</v>
      </c>
      <c r="AM1279" s="182" t="n">
        <v>0.07000000000000001</v>
      </c>
      <c r="AN1279" s="182" t="n">
        <v>0</v>
      </c>
    </row>
    <row r="1280">
      <c r="A1280" s="155" t="n">
        <v>46087</v>
      </c>
      <c r="B1280" s="156" t="inlineStr">
        <is>
          <t>NS</t>
        </is>
      </c>
      <c r="C1280" s="156" t="inlineStr">
        <is>
          <t>DT-505</t>
        </is>
      </c>
      <c r="D1280" s="156" t="inlineStr">
        <is>
          <t>SKT 105S</t>
        </is>
      </c>
      <c r="E1280" s="156" t="inlineStr">
        <is>
          <t>Hauler</t>
        </is>
      </c>
      <c r="F1280" s="156" t="inlineStr">
        <is>
          <t>Hauling OB</t>
        </is>
      </c>
      <c r="G1280" s="182" t="n">
        <v>9.77</v>
      </c>
      <c r="H1280" s="182" t="n">
        <v>0</v>
      </c>
      <c r="I1280" s="182" t="n">
        <v>1.83</v>
      </c>
      <c r="J1280" s="182" t="n">
        <v>1.83</v>
      </c>
      <c r="K1280" s="182" t="n">
        <v>0.4</v>
      </c>
      <c r="L1280" s="182" t="n">
        <v>12</v>
      </c>
      <c r="M1280" s="182" t="n">
        <v>9.77</v>
      </c>
      <c r="N1280" s="182" t="n">
        <v>0</v>
      </c>
      <c r="O1280" s="183" t="n">
        <v>29</v>
      </c>
      <c r="P1280" s="183" t="n">
        <v>0</v>
      </c>
      <c r="Q1280" s="184" t="n">
        <v>591.6</v>
      </c>
      <c r="R1280" s="184" t="n">
        <v>0</v>
      </c>
      <c r="S1280" s="183" t="n">
        <v>0</v>
      </c>
      <c r="T1280" s="183" t="n">
        <v>0</v>
      </c>
      <c r="U1280" s="182" t="n">
        <v>0</v>
      </c>
      <c r="V1280" s="182" t="n">
        <v>0</v>
      </c>
      <c r="W1280" s="182" t="n">
        <v>0</v>
      </c>
      <c r="X1280" s="182" t="n">
        <v>0.35</v>
      </c>
      <c r="Y1280" s="182" t="n">
        <v>0</v>
      </c>
      <c r="Z1280" s="182" t="n">
        <v>0</v>
      </c>
      <c r="AA1280" s="182" t="n">
        <v>0</v>
      </c>
      <c r="AB1280" s="182" t="n">
        <v>0</v>
      </c>
      <c r="AC1280" s="182" t="n">
        <v>0</v>
      </c>
      <c r="AD1280" s="182" t="n">
        <v>0</v>
      </c>
      <c r="AE1280" s="182" t="n">
        <v>0</v>
      </c>
      <c r="AF1280" s="182" t="n">
        <v>0</v>
      </c>
      <c r="AG1280" s="182" t="n">
        <v>0</v>
      </c>
      <c r="AH1280" s="182" t="n">
        <v>0</v>
      </c>
      <c r="AI1280" s="182" t="n">
        <v>0</v>
      </c>
      <c r="AJ1280" s="182" t="n">
        <v>0</v>
      </c>
      <c r="AK1280" s="182" t="n">
        <v>0</v>
      </c>
      <c r="AL1280" s="182" t="n">
        <v>0</v>
      </c>
      <c r="AM1280" s="182" t="n">
        <v>0.05</v>
      </c>
      <c r="AN1280" s="182" t="n">
        <v>0</v>
      </c>
    </row>
    <row r="1281">
      <c r="A1281" s="155" t="n">
        <v>46087</v>
      </c>
      <c r="B1281" s="156" t="inlineStr">
        <is>
          <t>NS</t>
        </is>
      </c>
      <c r="C1281" s="156" t="inlineStr">
        <is>
          <t>DT-530</t>
        </is>
      </c>
      <c r="D1281" s="156" t="inlineStr">
        <is>
          <t>SKT 105S</t>
        </is>
      </c>
      <c r="E1281" s="156" t="inlineStr">
        <is>
          <t>Hauler</t>
        </is>
      </c>
      <c r="F1281" s="156" t="inlineStr"/>
      <c r="G1281" s="182" t="n">
        <v>0</v>
      </c>
      <c r="H1281" s="182" t="n">
        <v>0</v>
      </c>
      <c r="I1281" s="182" t="n">
        <v>12</v>
      </c>
      <c r="J1281" s="182" t="n">
        <v>12</v>
      </c>
      <c r="K1281" s="182" t="n">
        <v>0</v>
      </c>
      <c r="L1281" s="182" t="n">
        <v>12</v>
      </c>
      <c r="M1281" s="182" t="n">
        <v>0</v>
      </c>
      <c r="N1281" s="182" t="n">
        <v>0</v>
      </c>
      <c r="O1281" s="183" t="n">
        <v>0</v>
      </c>
      <c r="P1281" s="183" t="n">
        <v>0</v>
      </c>
      <c r="Q1281" s="184" t="n">
        <v>0</v>
      </c>
      <c r="R1281" s="184" t="n">
        <v>0</v>
      </c>
      <c r="S1281" s="183" t="n">
        <v>0</v>
      </c>
      <c r="T1281" s="183" t="n">
        <v>0</v>
      </c>
      <c r="U1281" s="182" t="n">
        <v>0</v>
      </c>
      <c r="V1281" s="182" t="n">
        <v>0</v>
      </c>
      <c r="W1281" s="182" t="n">
        <v>0</v>
      </c>
      <c r="X1281" s="182" t="n">
        <v>0</v>
      </c>
      <c r="Y1281" s="182" t="n">
        <v>0</v>
      </c>
      <c r="Z1281" s="182" t="n">
        <v>0</v>
      </c>
      <c r="AA1281" s="182" t="n">
        <v>0</v>
      </c>
      <c r="AB1281" s="182" t="n">
        <v>0</v>
      </c>
      <c r="AC1281" s="182" t="n">
        <v>0</v>
      </c>
      <c r="AD1281" s="182" t="n">
        <v>0</v>
      </c>
      <c r="AE1281" s="182" t="n">
        <v>0</v>
      </c>
      <c r="AF1281" s="182" t="n">
        <v>0</v>
      </c>
      <c r="AG1281" s="182" t="n">
        <v>0</v>
      </c>
      <c r="AH1281" s="182" t="n">
        <v>0</v>
      </c>
      <c r="AI1281" s="182" t="n">
        <v>0</v>
      </c>
      <c r="AJ1281" s="182" t="n">
        <v>0</v>
      </c>
      <c r="AK1281" s="182" t="n">
        <v>0</v>
      </c>
      <c r="AL1281" s="182" t="n">
        <v>0</v>
      </c>
      <c r="AM1281" s="182" t="n">
        <v>0</v>
      </c>
      <c r="AN1281" s="182" t="n">
        <v>0</v>
      </c>
    </row>
    <row r="1282">
      <c r="A1282" s="155" t="n">
        <v>46087</v>
      </c>
      <c r="B1282" s="156" t="inlineStr">
        <is>
          <t>NS</t>
        </is>
      </c>
      <c r="C1282" s="156" t="inlineStr">
        <is>
          <t>DT-525</t>
        </is>
      </c>
      <c r="D1282" s="156" t="inlineStr">
        <is>
          <t>SKT 105S</t>
        </is>
      </c>
      <c r="E1282" s="156" t="inlineStr">
        <is>
          <t>Hauler</t>
        </is>
      </c>
      <c r="F1282" s="156" t="inlineStr"/>
      <c r="G1282" s="182" t="n">
        <v>0</v>
      </c>
      <c r="H1282" s="182" t="n">
        <v>0</v>
      </c>
      <c r="I1282" s="182" t="n">
        <v>12</v>
      </c>
      <c r="J1282" s="182" t="n">
        <v>12</v>
      </c>
      <c r="K1282" s="182" t="n">
        <v>0</v>
      </c>
      <c r="L1282" s="182" t="n">
        <v>12</v>
      </c>
      <c r="M1282" s="182" t="n">
        <v>0</v>
      </c>
      <c r="N1282" s="182" t="n">
        <v>0</v>
      </c>
      <c r="O1282" s="183" t="n">
        <v>0</v>
      </c>
      <c r="P1282" s="183" t="n">
        <v>0</v>
      </c>
      <c r="Q1282" s="184" t="n">
        <v>0</v>
      </c>
      <c r="R1282" s="184" t="n">
        <v>0</v>
      </c>
      <c r="S1282" s="183" t="n">
        <v>0</v>
      </c>
      <c r="T1282" s="183" t="n">
        <v>0</v>
      </c>
      <c r="U1282" s="182" t="n">
        <v>0</v>
      </c>
      <c r="V1282" s="182" t="n">
        <v>0</v>
      </c>
      <c r="W1282" s="182" t="n">
        <v>0</v>
      </c>
      <c r="X1282" s="182" t="n">
        <v>0</v>
      </c>
      <c r="Y1282" s="182" t="n">
        <v>0</v>
      </c>
      <c r="Z1282" s="182" t="n">
        <v>0</v>
      </c>
      <c r="AA1282" s="182" t="n">
        <v>0</v>
      </c>
      <c r="AB1282" s="182" t="n">
        <v>0</v>
      </c>
      <c r="AC1282" s="182" t="n">
        <v>0</v>
      </c>
      <c r="AD1282" s="182" t="n">
        <v>0</v>
      </c>
      <c r="AE1282" s="182" t="n">
        <v>0</v>
      </c>
      <c r="AF1282" s="182" t="n">
        <v>0</v>
      </c>
      <c r="AG1282" s="182" t="n">
        <v>0</v>
      </c>
      <c r="AH1282" s="182" t="n">
        <v>0</v>
      </c>
      <c r="AI1282" s="182" t="n">
        <v>0</v>
      </c>
      <c r="AJ1282" s="182" t="n">
        <v>0</v>
      </c>
      <c r="AK1282" s="182" t="n">
        <v>0</v>
      </c>
      <c r="AL1282" s="182" t="n">
        <v>0</v>
      </c>
      <c r="AM1282" s="182" t="n">
        <v>0</v>
      </c>
      <c r="AN1282" s="182" t="n">
        <v>0</v>
      </c>
    </row>
    <row r="1283">
      <c r="A1283" s="155" t="n">
        <v>46087</v>
      </c>
      <c r="B1283" s="156" t="inlineStr">
        <is>
          <t>NS</t>
        </is>
      </c>
      <c r="C1283" s="156" t="inlineStr">
        <is>
          <t>DT-503</t>
        </is>
      </c>
      <c r="D1283" s="156" t="inlineStr">
        <is>
          <t>SKT 105S</t>
        </is>
      </c>
      <c r="E1283" s="156" t="inlineStr">
        <is>
          <t>Hauler</t>
        </is>
      </c>
      <c r="F1283" s="156" t="inlineStr"/>
      <c r="G1283" s="182" t="n">
        <v>0</v>
      </c>
      <c r="H1283" s="182" t="n">
        <v>0</v>
      </c>
      <c r="I1283" s="182" t="n">
        <v>0</v>
      </c>
      <c r="J1283" s="182" t="n">
        <v>0</v>
      </c>
      <c r="K1283" s="182" t="n">
        <v>12</v>
      </c>
      <c r="L1283" s="182" t="n">
        <v>12</v>
      </c>
      <c r="M1283" s="182" t="n">
        <v>0</v>
      </c>
      <c r="N1283" s="182" t="n">
        <v>0</v>
      </c>
      <c r="O1283" s="183" t="n">
        <v>0</v>
      </c>
      <c r="P1283" s="183" t="n">
        <v>0</v>
      </c>
      <c r="Q1283" s="184" t="n">
        <v>0</v>
      </c>
      <c r="R1283" s="184" t="n">
        <v>0</v>
      </c>
      <c r="S1283" s="183" t="n">
        <v>0</v>
      </c>
      <c r="T1283" s="183" t="n">
        <v>0</v>
      </c>
      <c r="U1283" s="182" t="n">
        <v>0</v>
      </c>
      <c r="V1283" s="182" t="n">
        <v>0</v>
      </c>
      <c r="W1283" s="182" t="n">
        <v>0</v>
      </c>
      <c r="X1283" s="182" t="n">
        <v>1</v>
      </c>
      <c r="Y1283" s="182" t="n">
        <v>0</v>
      </c>
      <c r="Z1283" s="182" t="n">
        <v>0</v>
      </c>
      <c r="AA1283" s="182" t="n">
        <v>0</v>
      </c>
      <c r="AB1283" s="182" t="n">
        <v>0</v>
      </c>
      <c r="AC1283" s="182" t="n">
        <v>0</v>
      </c>
      <c r="AD1283" s="182" t="n">
        <v>0</v>
      </c>
      <c r="AE1283" s="182" t="n">
        <v>0</v>
      </c>
      <c r="AF1283" s="182" t="n">
        <v>0</v>
      </c>
      <c r="AG1283" s="182" t="n">
        <v>0</v>
      </c>
      <c r="AH1283" s="182" t="n">
        <v>0</v>
      </c>
      <c r="AI1283" s="182" t="n">
        <v>0</v>
      </c>
      <c r="AJ1283" s="182" t="n">
        <v>0</v>
      </c>
      <c r="AK1283" s="182" t="n">
        <v>10.92</v>
      </c>
      <c r="AL1283" s="182" t="n">
        <v>0</v>
      </c>
      <c r="AM1283" s="182" t="n">
        <v>0.08</v>
      </c>
      <c r="AN1283" s="182" t="n">
        <v>0</v>
      </c>
    </row>
    <row r="1284">
      <c r="A1284" s="155" t="n">
        <v>46087</v>
      </c>
      <c r="B1284" s="156" t="inlineStr">
        <is>
          <t>NS</t>
        </is>
      </c>
      <c r="C1284" s="156" t="inlineStr">
        <is>
          <t>DT-504</t>
        </is>
      </c>
      <c r="D1284" s="156" t="inlineStr">
        <is>
          <t>SKT 105S</t>
        </is>
      </c>
      <c r="E1284" s="156" t="inlineStr">
        <is>
          <t>Hauler</t>
        </is>
      </c>
      <c r="F1284" s="156" t="inlineStr">
        <is>
          <t>Hauling OB &amp; Spoil</t>
        </is>
      </c>
      <c r="G1284" s="182" t="n">
        <v>10.25</v>
      </c>
      <c r="H1284" s="182" t="n">
        <v>0</v>
      </c>
      <c r="I1284" s="182" t="n">
        <v>0</v>
      </c>
      <c r="J1284" s="182" t="n">
        <v>0</v>
      </c>
      <c r="K1284" s="182" t="n">
        <v>1.75</v>
      </c>
      <c r="L1284" s="182" t="n">
        <v>12</v>
      </c>
      <c r="M1284" s="182" t="n">
        <v>10.25</v>
      </c>
      <c r="N1284" s="182" t="n">
        <v>0</v>
      </c>
      <c r="O1284" s="183" t="n">
        <v>17</v>
      </c>
      <c r="P1284" s="183" t="n">
        <v>0</v>
      </c>
      <c r="Q1284" s="184" t="n">
        <v>346.8</v>
      </c>
      <c r="R1284" s="184" t="n">
        <v>0</v>
      </c>
      <c r="S1284" s="183" t="n">
        <v>15</v>
      </c>
      <c r="T1284" s="183" t="n">
        <v>0</v>
      </c>
      <c r="U1284" s="182" t="n">
        <v>0</v>
      </c>
      <c r="V1284" s="182" t="n">
        <v>0</v>
      </c>
      <c r="W1284" s="182" t="n">
        <v>0</v>
      </c>
      <c r="X1284" s="182" t="n">
        <v>0.97</v>
      </c>
      <c r="Y1284" s="182" t="n">
        <v>0</v>
      </c>
      <c r="Z1284" s="182" t="n">
        <v>0</v>
      </c>
      <c r="AA1284" s="182" t="n">
        <v>0</v>
      </c>
      <c r="AB1284" s="182" t="n">
        <v>0</v>
      </c>
      <c r="AC1284" s="182" t="n">
        <v>0</v>
      </c>
      <c r="AD1284" s="182" t="n">
        <v>0</v>
      </c>
      <c r="AE1284" s="182" t="n">
        <v>0</v>
      </c>
      <c r="AF1284" s="182" t="n">
        <v>0</v>
      </c>
      <c r="AG1284" s="182" t="n">
        <v>0</v>
      </c>
      <c r="AH1284" s="182" t="n">
        <v>0.7</v>
      </c>
      <c r="AI1284" s="182" t="n">
        <v>0</v>
      </c>
      <c r="AJ1284" s="182" t="n">
        <v>0</v>
      </c>
      <c r="AK1284" s="182" t="n">
        <v>0</v>
      </c>
      <c r="AL1284" s="182" t="n">
        <v>0</v>
      </c>
      <c r="AM1284" s="182" t="n">
        <v>0.08</v>
      </c>
      <c r="AN1284" s="182" t="n">
        <v>0</v>
      </c>
    </row>
    <row r="1285">
      <c r="A1285" s="155" t="n">
        <v>46087</v>
      </c>
      <c r="B1285" s="156" t="inlineStr">
        <is>
          <t>NS</t>
        </is>
      </c>
      <c r="C1285" s="156" t="inlineStr">
        <is>
          <t>DT-507</t>
        </is>
      </c>
      <c r="D1285" s="156" t="inlineStr">
        <is>
          <t>SKT 105S</t>
        </is>
      </c>
      <c r="E1285" s="156" t="inlineStr">
        <is>
          <t>Hauler</t>
        </is>
      </c>
      <c r="F1285" s="156" t="inlineStr"/>
      <c r="G1285" s="182" t="n">
        <v>0</v>
      </c>
      <c r="H1285" s="182" t="n">
        <v>0</v>
      </c>
      <c r="I1285" s="182" t="n">
        <v>12</v>
      </c>
      <c r="J1285" s="182" t="n">
        <v>12</v>
      </c>
      <c r="K1285" s="182" t="n">
        <v>0</v>
      </c>
      <c r="L1285" s="182" t="n">
        <v>12</v>
      </c>
      <c r="M1285" s="182" t="n">
        <v>0</v>
      </c>
      <c r="N1285" s="182" t="n">
        <v>0</v>
      </c>
      <c r="O1285" s="183" t="n">
        <v>0</v>
      </c>
      <c r="P1285" s="183" t="n">
        <v>0</v>
      </c>
      <c r="Q1285" s="184" t="n">
        <v>0</v>
      </c>
      <c r="R1285" s="184" t="n">
        <v>0</v>
      </c>
      <c r="S1285" s="183" t="n">
        <v>0</v>
      </c>
      <c r="T1285" s="183" t="n">
        <v>0</v>
      </c>
      <c r="U1285" s="182" t="n">
        <v>0</v>
      </c>
      <c r="V1285" s="182" t="n">
        <v>0</v>
      </c>
      <c r="W1285" s="182" t="n">
        <v>0</v>
      </c>
      <c r="X1285" s="182" t="n">
        <v>0</v>
      </c>
      <c r="Y1285" s="182" t="n">
        <v>0</v>
      </c>
      <c r="Z1285" s="182" t="n">
        <v>0</v>
      </c>
      <c r="AA1285" s="182" t="n">
        <v>0</v>
      </c>
      <c r="AB1285" s="182" t="n">
        <v>0</v>
      </c>
      <c r="AC1285" s="182" t="n">
        <v>0</v>
      </c>
      <c r="AD1285" s="182" t="n">
        <v>0</v>
      </c>
      <c r="AE1285" s="182" t="n">
        <v>0</v>
      </c>
      <c r="AF1285" s="182" t="n">
        <v>0</v>
      </c>
      <c r="AG1285" s="182" t="n">
        <v>0</v>
      </c>
      <c r="AH1285" s="182" t="n">
        <v>0</v>
      </c>
      <c r="AI1285" s="182" t="n">
        <v>0</v>
      </c>
      <c r="AJ1285" s="182" t="n">
        <v>0</v>
      </c>
      <c r="AK1285" s="182" t="n">
        <v>0</v>
      </c>
      <c r="AL1285" s="182" t="n">
        <v>0</v>
      </c>
      <c r="AM1285" s="182" t="n">
        <v>0</v>
      </c>
      <c r="AN1285" s="182" t="n">
        <v>0</v>
      </c>
    </row>
    <row r="1286">
      <c r="A1286" s="155" t="n">
        <v>46087</v>
      </c>
      <c r="B1286" s="156" t="inlineStr">
        <is>
          <t>NS</t>
        </is>
      </c>
      <c r="C1286" s="156" t="inlineStr">
        <is>
          <t>DT-501</t>
        </is>
      </c>
      <c r="D1286" s="156" t="inlineStr">
        <is>
          <t>SKT 105S</t>
        </is>
      </c>
      <c r="E1286" s="156" t="inlineStr">
        <is>
          <t>Hauler</t>
        </is>
      </c>
      <c r="F1286" s="156" t="inlineStr">
        <is>
          <t>Hauling Lumpur dari Washing Plant</t>
        </is>
      </c>
      <c r="G1286" s="182" t="n">
        <v>3.16</v>
      </c>
      <c r="H1286" s="182" t="n">
        <v>0</v>
      </c>
      <c r="I1286" s="182" t="n">
        <v>0</v>
      </c>
      <c r="J1286" s="182" t="n">
        <v>0</v>
      </c>
      <c r="K1286" s="182" t="n">
        <v>8.84</v>
      </c>
      <c r="L1286" s="182" t="n">
        <v>12</v>
      </c>
      <c r="M1286" s="182" t="n">
        <v>0</v>
      </c>
      <c r="N1286" s="182" t="n">
        <v>0</v>
      </c>
      <c r="O1286" s="183" t="n">
        <v>0</v>
      </c>
      <c r="P1286" s="183" t="n">
        <v>0</v>
      </c>
      <c r="Q1286" s="184" t="n">
        <v>0</v>
      </c>
      <c r="R1286" s="184" t="n">
        <v>0</v>
      </c>
      <c r="S1286" s="183" t="n">
        <v>0</v>
      </c>
      <c r="T1286" s="183" t="n">
        <v>0</v>
      </c>
      <c r="U1286" s="182" t="n">
        <v>0</v>
      </c>
      <c r="V1286" s="182" t="n">
        <v>0</v>
      </c>
      <c r="W1286" s="182" t="n">
        <v>0</v>
      </c>
      <c r="X1286" s="182" t="n">
        <v>0.98</v>
      </c>
      <c r="Y1286" s="182" t="n">
        <v>0</v>
      </c>
      <c r="Z1286" s="182" t="n">
        <v>0</v>
      </c>
      <c r="AA1286" s="182" t="n">
        <v>0</v>
      </c>
      <c r="AB1286" s="182" t="n">
        <v>0</v>
      </c>
      <c r="AC1286" s="182" t="n">
        <v>0</v>
      </c>
      <c r="AD1286" s="182" t="n">
        <v>0</v>
      </c>
      <c r="AE1286" s="182" t="n">
        <v>0</v>
      </c>
      <c r="AF1286" s="182" t="n">
        <v>0</v>
      </c>
      <c r="AG1286" s="182" t="n">
        <v>0</v>
      </c>
      <c r="AH1286" s="182" t="n">
        <v>0</v>
      </c>
      <c r="AI1286" s="182" t="n">
        <v>7.78</v>
      </c>
      <c r="AJ1286" s="182" t="n">
        <v>0</v>
      </c>
      <c r="AK1286" s="182" t="n">
        <v>0</v>
      </c>
      <c r="AL1286" s="182" t="n">
        <v>0</v>
      </c>
      <c r="AM1286" s="182" t="n">
        <v>0.08</v>
      </c>
      <c r="AN1286" s="182" t="n">
        <v>0</v>
      </c>
    </row>
    <row r="1287">
      <c r="A1287" s="155" t="n">
        <v>46087</v>
      </c>
      <c r="B1287" s="156" t="inlineStr">
        <is>
          <t>NS</t>
        </is>
      </c>
      <c r="C1287" s="156" t="inlineStr">
        <is>
          <t>DT-518</t>
        </is>
      </c>
      <c r="D1287" s="156" t="inlineStr">
        <is>
          <t>SKT 105S</t>
        </is>
      </c>
      <c r="E1287" s="156" t="inlineStr">
        <is>
          <t>Hauler</t>
        </is>
      </c>
      <c r="F1287" s="156" t="inlineStr">
        <is>
          <t>Hauling OB &amp; Spoil</t>
        </is>
      </c>
      <c r="G1287" s="182" t="n">
        <v>9.31</v>
      </c>
      <c r="H1287" s="182" t="n">
        <v>0</v>
      </c>
      <c r="I1287" s="182" t="n">
        <v>0</v>
      </c>
      <c r="J1287" s="182" t="n">
        <v>0</v>
      </c>
      <c r="K1287" s="182" t="n">
        <v>2.69</v>
      </c>
      <c r="L1287" s="182" t="n">
        <v>12</v>
      </c>
      <c r="M1287" s="182" t="n">
        <v>9.31</v>
      </c>
      <c r="N1287" s="182" t="n">
        <v>0</v>
      </c>
      <c r="O1287" s="183" t="n">
        <v>17</v>
      </c>
      <c r="P1287" s="183" t="n">
        <v>0</v>
      </c>
      <c r="Q1287" s="184" t="n">
        <v>346.8</v>
      </c>
      <c r="R1287" s="184" t="n">
        <v>0</v>
      </c>
      <c r="S1287" s="183" t="n">
        <v>16</v>
      </c>
      <c r="T1287" s="183" t="n">
        <v>0</v>
      </c>
      <c r="U1287" s="182" t="n">
        <v>0</v>
      </c>
      <c r="V1287" s="182" t="n">
        <v>0</v>
      </c>
      <c r="W1287" s="182" t="n">
        <v>0</v>
      </c>
      <c r="X1287" s="182" t="n">
        <v>1.08</v>
      </c>
      <c r="Y1287" s="182" t="n">
        <v>0</v>
      </c>
      <c r="Z1287" s="182" t="n">
        <v>0</v>
      </c>
      <c r="AA1287" s="182" t="n">
        <v>0</v>
      </c>
      <c r="AB1287" s="182" t="n">
        <v>0</v>
      </c>
      <c r="AC1287" s="182" t="n">
        <v>0</v>
      </c>
      <c r="AD1287" s="182" t="n">
        <v>0</v>
      </c>
      <c r="AE1287" s="182" t="n">
        <v>0</v>
      </c>
      <c r="AF1287" s="182" t="n">
        <v>0</v>
      </c>
      <c r="AG1287" s="182" t="n">
        <v>0.65</v>
      </c>
      <c r="AH1287" s="182" t="n">
        <v>0.88</v>
      </c>
      <c r="AI1287" s="182" t="n">
        <v>0</v>
      </c>
      <c r="AJ1287" s="182" t="n">
        <v>0</v>
      </c>
      <c r="AK1287" s="182" t="n">
        <v>0</v>
      </c>
      <c r="AL1287" s="182" t="n">
        <v>0</v>
      </c>
      <c r="AM1287" s="182" t="n">
        <v>0.09</v>
      </c>
      <c r="AN1287" s="182" t="n">
        <v>0</v>
      </c>
    </row>
    <row r="1288">
      <c r="A1288" s="155" t="n">
        <v>46087</v>
      </c>
      <c r="B1288" s="156" t="inlineStr">
        <is>
          <t>NS</t>
        </is>
      </c>
      <c r="C1288" s="156" t="inlineStr">
        <is>
          <t>DT-514</t>
        </is>
      </c>
      <c r="D1288" s="156" t="inlineStr">
        <is>
          <t>SKT 105S</t>
        </is>
      </c>
      <c r="E1288" s="156" t="inlineStr">
        <is>
          <t>Hauler</t>
        </is>
      </c>
      <c r="F1288" s="156" t="inlineStr">
        <is>
          <t>Hauling OB</t>
        </is>
      </c>
      <c r="G1288" s="182" t="n">
        <v>8</v>
      </c>
      <c r="H1288" s="182" t="n">
        <v>0</v>
      </c>
      <c r="I1288" s="182" t="n">
        <v>0</v>
      </c>
      <c r="J1288" s="182" t="n">
        <v>0</v>
      </c>
      <c r="K1288" s="182" t="n">
        <v>4</v>
      </c>
      <c r="L1288" s="182" t="n">
        <v>12</v>
      </c>
      <c r="M1288" s="182" t="n">
        <v>8</v>
      </c>
      <c r="N1288" s="182" t="n">
        <v>0</v>
      </c>
      <c r="O1288" s="183" t="n">
        <v>31</v>
      </c>
      <c r="P1288" s="183" t="n">
        <v>0</v>
      </c>
      <c r="Q1288" s="184" t="n">
        <v>632.4</v>
      </c>
      <c r="R1288" s="184" t="n">
        <v>0</v>
      </c>
      <c r="S1288" s="183" t="n">
        <v>0</v>
      </c>
      <c r="T1288" s="183" t="n">
        <v>0</v>
      </c>
      <c r="U1288" s="182" t="n">
        <v>0</v>
      </c>
      <c r="V1288" s="182" t="n">
        <v>0</v>
      </c>
      <c r="W1288" s="182" t="n">
        <v>0</v>
      </c>
      <c r="X1288" s="182" t="n">
        <v>1</v>
      </c>
      <c r="Y1288" s="182" t="n">
        <v>0</v>
      </c>
      <c r="Z1288" s="182" t="n">
        <v>0</v>
      </c>
      <c r="AA1288" s="182" t="n">
        <v>0</v>
      </c>
      <c r="AB1288" s="182" t="n">
        <v>0</v>
      </c>
      <c r="AC1288" s="182" t="n">
        <v>0</v>
      </c>
      <c r="AD1288" s="182" t="n">
        <v>0</v>
      </c>
      <c r="AE1288" s="182" t="n">
        <v>0</v>
      </c>
      <c r="AF1288" s="182" t="n">
        <v>0</v>
      </c>
      <c r="AG1288" s="182" t="n">
        <v>0</v>
      </c>
      <c r="AH1288" s="182" t="n">
        <v>0</v>
      </c>
      <c r="AI1288" s="182" t="n">
        <v>2.92</v>
      </c>
      <c r="AJ1288" s="182" t="n">
        <v>0</v>
      </c>
      <c r="AK1288" s="182" t="n">
        <v>0</v>
      </c>
      <c r="AL1288" s="182" t="n">
        <v>0</v>
      </c>
      <c r="AM1288" s="182" t="n">
        <v>0.08</v>
      </c>
      <c r="AN1288" s="182" t="n">
        <v>0</v>
      </c>
    </row>
    <row r="1289">
      <c r="A1289" s="155" t="n">
        <v>46087</v>
      </c>
      <c r="B1289" s="156" t="inlineStr">
        <is>
          <t>NS</t>
        </is>
      </c>
      <c r="C1289" s="156" t="inlineStr">
        <is>
          <t>DT-523</t>
        </is>
      </c>
      <c r="D1289" s="156" t="inlineStr">
        <is>
          <t>SKT 105S</t>
        </is>
      </c>
      <c r="E1289" s="156" t="inlineStr">
        <is>
          <t>Hauler</t>
        </is>
      </c>
      <c r="F1289" s="156" t="inlineStr">
        <is>
          <t>Hauling OB &amp; Spoil</t>
        </is>
      </c>
      <c r="G1289" s="182" t="n">
        <v>9.83</v>
      </c>
      <c r="H1289" s="182" t="n">
        <v>0</v>
      </c>
      <c r="I1289" s="182" t="n">
        <v>0.17</v>
      </c>
      <c r="J1289" s="182" t="n">
        <v>0.17</v>
      </c>
      <c r="K1289" s="182" t="n">
        <v>2</v>
      </c>
      <c r="L1289" s="182" t="n">
        <v>12</v>
      </c>
      <c r="M1289" s="182" t="n">
        <v>9.83</v>
      </c>
      <c r="N1289" s="182" t="n">
        <v>0</v>
      </c>
      <c r="O1289" s="183" t="n">
        <v>17</v>
      </c>
      <c r="P1289" s="183" t="n">
        <v>0</v>
      </c>
      <c r="Q1289" s="184" t="n">
        <v>346.8</v>
      </c>
      <c r="R1289" s="184" t="n">
        <v>0</v>
      </c>
      <c r="S1289" s="183" t="n">
        <v>14</v>
      </c>
      <c r="T1289" s="183" t="n">
        <v>0</v>
      </c>
      <c r="U1289" s="182" t="n">
        <v>0</v>
      </c>
      <c r="V1289" s="182" t="n">
        <v>0</v>
      </c>
      <c r="W1289" s="182" t="n">
        <v>0</v>
      </c>
      <c r="X1289" s="182" t="n">
        <v>0.9399999999999999</v>
      </c>
      <c r="Y1289" s="182" t="n">
        <v>0</v>
      </c>
      <c r="Z1289" s="182" t="n">
        <v>0</v>
      </c>
      <c r="AA1289" s="182" t="n">
        <v>0</v>
      </c>
      <c r="AB1289" s="182" t="n">
        <v>0</v>
      </c>
      <c r="AC1289" s="182" t="n">
        <v>0</v>
      </c>
      <c r="AD1289" s="182" t="n">
        <v>0</v>
      </c>
      <c r="AE1289" s="182" t="n">
        <v>0</v>
      </c>
      <c r="AF1289" s="182" t="n">
        <v>0</v>
      </c>
      <c r="AG1289" s="182" t="n">
        <v>0.5600000000000001</v>
      </c>
      <c r="AH1289" s="182" t="n">
        <v>0.42</v>
      </c>
      <c r="AI1289" s="182" t="n">
        <v>0</v>
      </c>
      <c r="AJ1289" s="182" t="n">
        <v>0</v>
      </c>
      <c r="AK1289" s="182" t="n">
        <v>0</v>
      </c>
      <c r="AL1289" s="182" t="n">
        <v>0</v>
      </c>
      <c r="AM1289" s="182" t="n">
        <v>0.08</v>
      </c>
      <c r="AN1289" s="182" t="n">
        <v>0</v>
      </c>
    </row>
    <row r="1290">
      <c r="A1290" s="155" t="n">
        <v>46087</v>
      </c>
      <c r="B1290" s="156" t="inlineStr">
        <is>
          <t>NS</t>
        </is>
      </c>
      <c r="C1290" s="156" t="inlineStr">
        <is>
          <t>DT-519</t>
        </is>
      </c>
      <c r="D1290" s="156" t="inlineStr">
        <is>
          <t>SKT 105S</t>
        </is>
      </c>
      <c r="E1290" s="156" t="inlineStr">
        <is>
          <t>Hauler</t>
        </is>
      </c>
      <c r="F1290" s="156" t="inlineStr"/>
      <c r="G1290" s="182" t="n">
        <v>0</v>
      </c>
      <c r="H1290" s="182" t="n">
        <v>0</v>
      </c>
      <c r="I1290" s="182" t="n">
        <v>2</v>
      </c>
      <c r="J1290" s="182" t="n">
        <v>2</v>
      </c>
      <c r="K1290" s="182" t="n">
        <v>10</v>
      </c>
      <c r="L1290" s="182" t="n">
        <v>12</v>
      </c>
      <c r="M1290" s="182" t="n">
        <v>0</v>
      </c>
      <c r="N1290" s="182" t="n">
        <v>0</v>
      </c>
      <c r="O1290" s="183" t="n">
        <v>0</v>
      </c>
      <c r="P1290" s="183" t="n">
        <v>0</v>
      </c>
      <c r="Q1290" s="184" t="n">
        <v>0</v>
      </c>
      <c r="R1290" s="184" t="n">
        <v>0</v>
      </c>
      <c r="S1290" s="183" t="n">
        <v>0</v>
      </c>
      <c r="T1290" s="183" t="n">
        <v>0</v>
      </c>
      <c r="U1290" s="182" t="n">
        <v>0</v>
      </c>
      <c r="V1290" s="182" t="n">
        <v>0</v>
      </c>
      <c r="W1290" s="182" t="n">
        <v>0</v>
      </c>
      <c r="X1290" s="182" t="n">
        <v>1</v>
      </c>
      <c r="Y1290" s="182" t="n">
        <v>0</v>
      </c>
      <c r="Z1290" s="182" t="n">
        <v>0</v>
      </c>
      <c r="AA1290" s="182" t="n">
        <v>0</v>
      </c>
      <c r="AB1290" s="182" t="n">
        <v>0</v>
      </c>
      <c r="AC1290" s="182" t="n">
        <v>0</v>
      </c>
      <c r="AD1290" s="182" t="n">
        <v>0</v>
      </c>
      <c r="AE1290" s="182" t="n">
        <v>0</v>
      </c>
      <c r="AF1290" s="182" t="n">
        <v>0</v>
      </c>
      <c r="AG1290" s="182" t="n">
        <v>0</v>
      </c>
      <c r="AH1290" s="182" t="n">
        <v>0</v>
      </c>
      <c r="AI1290" s="182" t="n">
        <v>8.92</v>
      </c>
      <c r="AJ1290" s="182" t="n">
        <v>0</v>
      </c>
      <c r="AK1290" s="182" t="n">
        <v>0</v>
      </c>
      <c r="AL1290" s="182" t="n">
        <v>0</v>
      </c>
      <c r="AM1290" s="182" t="n">
        <v>0.08</v>
      </c>
      <c r="AN1290" s="182" t="n">
        <v>0</v>
      </c>
    </row>
    <row r="1291">
      <c r="A1291" s="155" t="n">
        <v>46087</v>
      </c>
      <c r="B1291" s="156" t="inlineStr">
        <is>
          <t>NS</t>
        </is>
      </c>
      <c r="C1291" s="156" t="inlineStr">
        <is>
          <t>DT-527</t>
        </is>
      </c>
      <c r="D1291" s="156" t="inlineStr">
        <is>
          <t>SKT 105S</t>
        </is>
      </c>
      <c r="E1291" s="156" t="inlineStr">
        <is>
          <t>Hauler</t>
        </is>
      </c>
      <c r="F1291" s="156" t="inlineStr">
        <is>
          <t>Hauling OB</t>
        </is>
      </c>
      <c r="G1291" s="182" t="n">
        <v>1.92</v>
      </c>
      <c r="H1291" s="182" t="n">
        <v>0</v>
      </c>
      <c r="I1291" s="182" t="n">
        <v>0</v>
      </c>
      <c r="J1291" s="182" t="n">
        <v>0</v>
      </c>
      <c r="K1291" s="182" t="n">
        <v>10.08</v>
      </c>
      <c r="L1291" s="182" t="n">
        <v>12</v>
      </c>
      <c r="M1291" s="182" t="n">
        <v>1.92</v>
      </c>
      <c r="N1291" s="182" t="n">
        <v>0</v>
      </c>
      <c r="O1291" s="183" t="n">
        <v>6</v>
      </c>
      <c r="P1291" s="183" t="n">
        <v>0</v>
      </c>
      <c r="Q1291" s="184" t="n">
        <v>122.4</v>
      </c>
      <c r="R1291" s="184" t="n">
        <v>0</v>
      </c>
      <c r="S1291" s="183" t="n">
        <v>0</v>
      </c>
      <c r="T1291" s="183" t="n">
        <v>0</v>
      </c>
      <c r="U1291" s="182" t="n">
        <v>0</v>
      </c>
      <c r="V1291" s="182" t="n">
        <v>0</v>
      </c>
      <c r="W1291" s="182" t="n">
        <v>0</v>
      </c>
      <c r="X1291" s="182" t="n">
        <v>1</v>
      </c>
      <c r="Y1291" s="182" t="n">
        <v>0</v>
      </c>
      <c r="Z1291" s="182" t="n">
        <v>0</v>
      </c>
      <c r="AA1291" s="182" t="n">
        <v>0</v>
      </c>
      <c r="AB1291" s="182" t="n">
        <v>0</v>
      </c>
      <c r="AC1291" s="182" t="n">
        <v>0</v>
      </c>
      <c r="AD1291" s="182" t="n">
        <v>0</v>
      </c>
      <c r="AE1291" s="182" t="n">
        <v>0</v>
      </c>
      <c r="AF1291" s="182" t="n">
        <v>0</v>
      </c>
      <c r="AG1291" s="182" t="n">
        <v>0</v>
      </c>
      <c r="AH1291" s="182" t="n">
        <v>0</v>
      </c>
      <c r="AI1291" s="182" t="n">
        <v>9</v>
      </c>
      <c r="AJ1291" s="182" t="n">
        <v>0</v>
      </c>
      <c r="AK1291" s="182" t="n">
        <v>0</v>
      </c>
      <c r="AL1291" s="182" t="n">
        <v>0</v>
      </c>
      <c r="AM1291" s="182" t="n">
        <v>0.08</v>
      </c>
      <c r="AN1291" s="182" t="n">
        <v>0</v>
      </c>
    </row>
    <row r="1292">
      <c r="A1292" s="155" t="n">
        <v>46087</v>
      </c>
      <c r="B1292" s="156" t="inlineStr">
        <is>
          <t>NS</t>
        </is>
      </c>
      <c r="C1292" s="156" t="inlineStr">
        <is>
          <t>DT-513</t>
        </is>
      </c>
      <c r="D1292" s="156" t="inlineStr">
        <is>
          <t>SKT 105S</t>
        </is>
      </c>
      <c r="E1292" s="156" t="inlineStr">
        <is>
          <t>Hauler</t>
        </is>
      </c>
      <c r="F1292" s="156" t="inlineStr"/>
      <c r="G1292" s="182" t="n">
        <v>0</v>
      </c>
      <c r="H1292" s="182" t="n">
        <v>0</v>
      </c>
      <c r="I1292" s="182" t="n">
        <v>12</v>
      </c>
      <c r="J1292" s="182" t="n">
        <v>12</v>
      </c>
      <c r="K1292" s="182" t="n">
        <v>0</v>
      </c>
      <c r="L1292" s="182" t="n">
        <v>12</v>
      </c>
      <c r="M1292" s="182" t="n">
        <v>0</v>
      </c>
      <c r="N1292" s="182" t="n">
        <v>0</v>
      </c>
      <c r="O1292" s="183" t="n">
        <v>0</v>
      </c>
      <c r="P1292" s="183" t="n">
        <v>0</v>
      </c>
      <c r="Q1292" s="184" t="n">
        <v>0</v>
      </c>
      <c r="R1292" s="184" t="n">
        <v>0</v>
      </c>
      <c r="S1292" s="183" t="n">
        <v>0</v>
      </c>
      <c r="T1292" s="183" t="n">
        <v>0</v>
      </c>
      <c r="U1292" s="182" t="n">
        <v>0</v>
      </c>
      <c r="V1292" s="182" t="n">
        <v>0</v>
      </c>
      <c r="W1292" s="182" t="n">
        <v>0</v>
      </c>
      <c r="X1292" s="182" t="n">
        <v>0</v>
      </c>
      <c r="Y1292" s="182" t="n">
        <v>0</v>
      </c>
      <c r="Z1292" s="182" t="n">
        <v>0</v>
      </c>
      <c r="AA1292" s="182" t="n">
        <v>0</v>
      </c>
      <c r="AB1292" s="182" t="n">
        <v>0</v>
      </c>
      <c r="AC1292" s="182" t="n">
        <v>0</v>
      </c>
      <c r="AD1292" s="182" t="n">
        <v>0</v>
      </c>
      <c r="AE1292" s="182" t="n">
        <v>0</v>
      </c>
      <c r="AF1292" s="182" t="n">
        <v>0</v>
      </c>
      <c r="AG1292" s="182" t="n">
        <v>0</v>
      </c>
      <c r="AH1292" s="182" t="n">
        <v>0</v>
      </c>
      <c r="AI1292" s="182" t="n">
        <v>0</v>
      </c>
      <c r="AJ1292" s="182" t="n">
        <v>0</v>
      </c>
      <c r="AK1292" s="182" t="n">
        <v>0</v>
      </c>
      <c r="AL1292" s="182" t="n">
        <v>0</v>
      </c>
      <c r="AM1292" s="182" t="n">
        <v>0</v>
      </c>
      <c r="AN1292" s="182" t="n">
        <v>0</v>
      </c>
    </row>
    <row r="1293">
      <c r="A1293" s="155" t="n">
        <v>46087</v>
      </c>
      <c r="B1293" s="156" t="inlineStr">
        <is>
          <t>NS</t>
        </is>
      </c>
      <c r="C1293" s="156" t="inlineStr">
        <is>
          <t>DT-512</t>
        </is>
      </c>
      <c r="D1293" s="156" t="inlineStr">
        <is>
          <t>SKT 105S</t>
        </is>
      </c>
      <c r="E1293" s="156" t="inlineStr">
        <is>
          <t>Hauler</t>
        </is>
      </c>
      <c r="F1293" s="156" t="inlineStr">
        <is>
          <t>Hauling OB</t>
        </is>
      </c>
      <c r="G1293" s="182" t="n">
        <v>10.84</v>
      </c>
      <c r="H1293" s="182" t="n">
        <v>0</v>
      </c>
      <c r="I1293" s="182" t="n">
        <v>0</v>
      </c>
      <c r="J1293" s="182" t="n">
        <v>0</v>
      </c>
      <c r="K1293" s="182" t="n">
        <v>1.16</v>
      </c>
      <c r="L1293" s="182" t="n">
        <v>12</v>
      </c>
      <c r="M1293" s="182" t="n">
        <v>10.49</v>
      </c>
      <c r="N1293" s="182" t="n">
        <v>0</v>
      </c>
      <c r="O1293" s="183" t="n">
        <v>31</v>
      </c>
      <c r="P1293" s="183" t="n">
        <v>0</v>
      </c>
      <c r="Q1293" s="184" t="n">
        <v>632.4</v>
      </c>
      <c r="R1293" s="184" t="n">
        <v>0</v>
      </c>
      <c r="S1293" s="183" t="n">
        <v>0</v>
      </c>
      <c r="T1293" s="183" t="n">
        <v>0</v>
      </c>
      <c r="U1293" s="182" t="n">
        <v>0</v>
      </c>
      <c r="V1293" s="182" t="n">
        <v>0</v>
      </c>
      <c r="W1293" s="182" t="n">
        <v>0</v>
      </c>
      <c r="X1293" s="182" t="n">
        <v>0.77</v>
      </c>
      <c r="Y1293" s="182" t="n">
        <v>0</v>
      </c>
      <c r="Z1293" s="182" t="n">
        <v>0</v>
      </c>
      <c r="AA1293" s="182" t="n">
        <v>0</v>
      </c>
      <c r="AB1293" s="182" t="n">
        <v>0</v>
      </c>
      <c r="AC1293" s="182" t="n">
        <v>0</v>
      </c>
      <c r="AD1293" s="182" t="n">
        <v>0</v>
      </c>
      <c r="AE1293" s="182" t="n">
        <v>0</v>
      </c>
      <c r="AF1293" s="182" t="n">
        <v>0</v>
      </c>
      <c r="AG1293" s="182" t="n">
        <v>0</v>
      </c>
      <c r="AH1293" s="182" t="n">
        <v>0.32</v>
      </c>
      <c r="AI1293" s="182" t="n">
        <v>0</v>
      </c>
      <c r="AJ1293" s="182" t="n">
        <v>0</v>
      </c>
      <c r="AK1293" s="182" t="n">
        <v>0</v>
      </c>
      <c r="AL1293" s="182" t="n">
        <v>0</v>
      </c>
      <c r="AM1293" s="182" t="n">
        <v>0.06</v>
      </c>
      <c r="AN1293" s="182" t="n">
        <v>0</v>
      </c>
    </row>
    <row r="1294">
      <c r="A1294" s="155" t="n">
        <v>46087</v>
      </c>
      <c r="B1294" s="156" t="inlineStr">
        <is>
          <t>NS</t>
        </is>
      </c>
      <c r="C1294" s="156" t="inlineStr">
        <is>
          <t>DT-522</t>
        </is>
      </c>
      <c r="D1294" s="156" t="inlineStr">
        <is>
          <t>SKT 105S</t>
        </is>
      </c>
      <c r="E1294" s="156" t="inlineStr">
        <is>
          <t>Hauler</t>
        </is>
      </c>
      <c r="F1294" s="156" t="inlineStr">
        <is>
          <t>Hauling Lumpur dari Washing Plant</t>
        </is>
      </c>
      <c r="G1294" s="182" t="n">
        <v>3.21</v>
      </c>
      <c r="H1294" s="182" t="n">
        <v>0</v>
      </c>
      <c r="I1294" s="182" t="n">
        <v>0</v>
      </c>
      <c r="J1294" s="182" t="n">
        <v>0</v>
      </c>
      <c r="K1294" s="182" t="n">
        <v>8.789999999999999</v>
      </c>
      <c r="L1294" s="182" t="n">
        <v>12</v>
      </c>
      <c r="M1294" s="182" t="n">
        <v>0</v>
      </c>
      <c r="N1294" s="182" t="n">
        <v>0</v>
      </c>
      <c r="O1294" s="183" t="n">
        <v>0</v>
      </c>
      <c r="P1294" s="183" t="n">
        <v>0</v>
      </c>
      <c r="Q1294" s="184" t="n">
        <v>0</v>
      </c>
      <c r="R1294" s="184" t="n">
        <v>0</v>
      </c>
      <c r="S1294" s="183" t="n">
        <v>0</v>
      </c>
      <c r="T1294" s="183" t="n">
        <v>0</v>
      </c>
      <c r="U1294" s="182" t="n">
        <v>0</v>
      </c>
      <c r="V1294" s="182" t="n">
        <v>0</v>
      </c>
      <c r="W1294" s="182" t="n">
        <v>0</v>
      </c>
      <c r="X1294" s="182" t="n">
        <v>1.02</v>
      </c>
      <c r="Y1294" s="182" t="n">
        <v>0</v>
      </c>
      <c r="Z1294" s="182" t="n">
        <v>0</v>
      </c>
      <c r="AA1294" s="182" t="n">
        <v>0</v>
      </c>
      <c r="AB1294" s="182" t="n">
        <v>0</v>
      </c>
      <c r="AC1294" s="182" t="n">
        <v>0</v>
      </c>
      <c r="AD1294" s="182" t="n">
        <v>0</v>
      </c>
      <c r="AE1294" s="182" t="n">
        <v>0</v>
      </c>
      <c r="AF1294" s="182" t="n">
        <v>0</v>
      </c>
      <c r="AG1294" s="182" t="n">
        <v>0</v>
      </c>
      <c r="AH1294" s="182" t="n">
        <v>0</v>
      </c>
      <c r="AI1294" s="182" t="n">
        <v>7.69</v>
      </c>
      <c r="AJ1294" s="182" t="n">
        <v>0</v>
      </c>
      <c r="AK1294" s="182" t="n">
        <v>0</v>
      </c>
      <c r="AL1294" s="182" t="n">
        <v>0</v>
      </c>
      <c r="AM1294" s="182" t="n">
        <v>0.08</v>
      </c>
      <c r="AN1294" s="182" t="n">
        <v>0</v>
      </c>
    </row>
    <row r="1295">
      <c r="A1295" s="155" t="n">
        <v>46087</v>
      </c>
      <c r="B1295" s="156" t="inlineStr">
        <is>
          <t>NS</t>
        </is>
      </c>
      <c r="C1295" s="156" t="inlineStr">
        <is>
          <t>DT-517</t>
        </is>
      </c>
      <c r="D1295" s="156" t="inlineStr">
        <is>
          <t>SKT 105S</t>
        </is>
      </c>
      <c r="E1295" s="156" t="inlineStr">
        <is>
          <t>Hauler</t>
        </is>
      </c>
      <c r="F1295" s="156" t="inlineStr">
        <is>
          <t>Hauling OB</t>
        </is>
      </c>
      <c r="G1295" s="182" t="n">
        <v>11</v>
      </c>
      <c r="H1295" s="182" t="n">
        <v>0</v>
      </c>
      <c r="I1295" s="182" t="n">
        <v>0</v>
      </c>
      <c r="J1295" s="182" t="n">
        <v>0</v>
      </c>
      <c r="K1295" s="182" t="n">
        <v>1</v>
      </c>
      <c r="L1295" s="182" t="n">
        <v>12</v>
      </c>
      <c r="M1295" s="182" t="n">
        <v>11</v>
      </c>
      <c r="N1295" s="182" t="n">
        <v>0</v>
      </c>
      <c r="O1295" s="183" t="n">
        <v>37</v>
      </c>
      <c r="P1295" s="183" t="n">
        <v>0</v>
      </c>
      <c r="Q1295" s="184" t="n">
        <v>754.8</v>
      </c>
      <c r="R1295" s="184" t="n">
        <v>0</v>
      </c>
      <c r="S1295" s="183" t="n">
        <v>0</v>
      </c>
      <c r="T1295" s="183" t="n">
        <v>0</v>
      </c>
      <c r="U1295" s="182" t="n">
        <v>0</v>
      </c>
      <c r="V1295" s="182" t="n">
        <v>0</v>
      </c>
      <c r="W1295" s="182" t="n">
        <v>0</v>
      </c>
      <c r="X1295" s="182" t="n">
        <v>0.91</v>
      </c>
      <c r="Y1295" s="182" t="n">
        <v>0</v>
      </c>
      <c r="Z1295" s="182" t="n">
        <v>0</v>
      </c>
      <c r="AA1295" s="182" t="n">
        <v>0</v>
      </c>
      <c r="AB1295" s="182" t="n">
        <v>0</v>
      </c>
      <c r="AC1295" s="182" t="n">
        <v>0</v>
      </c>
      <c r="AD1295" s="182" t="n">
        <v>0</v>
      </c>
      <c r="AE1295" s="182" t="n">
        <v>0</v>
      </c>
      <c r="AF1295" s="182" t="n">
        <v>0</v>
      </c>
      <c r="AG1295" s="182" t="n">
        <v>0</v>
      </c>
      <c r="AH1295" s="182" t="n">
        <v>0.02</v>
      </c>
      <c r="AI1295" s="182" t="n">
        <v>0</v>
      </c>
      <c r="AJ1295" s="182" t="n">
        <v>0</v>
      </c>
      <c r="AK1295" s="182" t="n">
        <v>0</v>
      </c>
      <c r="AL1295" s="182" t="n">
        <v>0</v>
      </c>
      <c r="AM1295" s="182" t="n">
        <v>0.07000000000000001</v>
      </c>
      <c r="AN1295" s="182" t="n">
        <v>0</v>
      </c>
    </row>
    <row r="1296">
      <c r="A1296" s="155" t="n">
        <v>46087</v>
      </c>
      <c r="B1296" s="156" t="inlineStr">
        <is>
          <t>NS</t>
        </is>
      </c>
      <c r="C1296" s="156" t="inlineStr">
        <is>
          <t>DT-510</t>
        </is>
      </c>
      <c r="D1296" s="156" t="inlineStr">
        <is>
          <t>SKT 105S</t>
        </is>
      </c>
      <c r="E1296" s="156" t="inlineStr">
        <is>
          <t>Hauler</t>
        </is>
      </c>
      <c r="F1296" s="156" t="inlineStr"/>
      <c r="G1296" s="182" t="n">
        <v>0</v>
      </c>
      <c r="H1296" s="182" t="n">
        <v>0</v>
      </c>
      <c r="I1296" s="182" t="n">
        <v>12</v>
      </c>
      <c r="J1296" s="182" t="n">
        <v>12</v>
      </c>
      <c r="K1296" s="182" t="n">
        <v>0</v>
      </c>
      <c r="L1296" s="182" t="n">
        <v>12</v>
      </c>
      <c r="M1296" s="182" t="n">
        <v>0</v>
      </c>
      <c r="N1296" s="182" t="n">
        <v>0</v>
      </c>
      <c r="O1296" s="183" t="n">
        <v>0</v>
      </c>
      <c r="P1296" s="183" t="n">
        <v>0</v>
      </c>
      <c r="Q1296" s="184" t="n">
        <v>0</v>
      </c>
      <c r="R1296" s="184" t="n">
        <v>0</v>
      </c>
      <c r="S1296" s="183" t="n">
        <v>0</v>
      </c>
      <c r="T1296" s="183" t="n">
        <v>0</v>
      </c>
      <c r="U1296" s="182" t="n">
        <v>0</v>
      </c>
      <c r="V1296" s="182" t="n">
        <v>0</v>
      </c>
      <c r="W1296" s="182" t="n">
        <v>0</v>
      </c>
      <c r="X1296" s="182" t="n">
        <v>0</v>
      </c>
      <c r="Y1296" s="182" t="n">
        <v>0</v>
      </c>
      <c r="Z1296" s="182" t="n">
        <v>0</v>
      </c>
      <c r="AA1296" s="182" t="n">
        <v>0</v>
      </c>
      <c r="AB1296" s="182" t="n">
        <v>0</v>
      </c>
      <c r="AC1296" s="182" t="n">
        <v>0</v>
      </c>
      <c r="AD1296" s="182" t="n">
        <v>0</v>
      </c>
      <c r="AE1296" s="182" t="n">
        <v>0</v>
      </c>
      <c r="AF1296" s="182" t="n">
        <v>0</v>
      </c>
      <c r="AG1296" s="182" t="n">
        <v>0</v>
      </c>
      <c r="AH1296" s="182" t="n">
        <v>0</v>
      </c>
      <c r="AI1296" s="182" t="n">
        <v>0</v>
      </c>
      <c r="AJ1296" s="182" t="n">
        <v>0</v>
      </c>
      <c r="AK1296" s="182" t="n">
        <v>0</v>
      </c>
      <c r="AL1296" s="182" t="n">
        <v>0</v>
      </c>
      <c r="AM1296" s="182" t="n">
        <v>0</v>
      </c>
      <c r="AN1296" s="182" t="n">
        <v>0</v>
      </c>
    </row>
    <row r="1297">
      <c r="A1297" s="155" t="n">
        <v>46087</v>
      </c>
      <c r="B1297" s="156" t="inlineStr">
        <is>
          <t>NS</t>
        </is>
      </c>
      <c r="C1297" s="156" t="inlineStr">
        <is>
          <t>DT-521</t>
        </is>
      </c>
      <c r="D1297" s="156" t="inlineStr">
        <is>
          <t>SKT 105S</t>
        </is>
      </c>
      <c r="E1297" s="156" t="inlineStr">
        <is>
          <t>Hauler</t>
        </is>
      </c>
      <c r="F1297" s="156" t="inlineStr">
        <is>
          <t>Hauling OB &amp; Coal</t>
        </is>
      </c>
      <c r="G1297" s="182" t="n">
        <v>5.6</v>
      </c>
      <c r="H1297" s="182" t="n">
        <v>0</v>
      </c>
      <c r="I1297" s="182" t="n">
        <v>0</v>
      </c>
      <c r="J1297" s="182" t="n">
        <v>0</v>
      </c>
      <c r="K1297" s="182" t="n">
        <v>6.4</v>
      </c>
      <c r="L1297" s="182" t="n">
        <v>12</v>
      </c>
      <c r="M1297" s="182" t="n">
        <v>0.24</v>
      </c>
      <c r="N1297" s="182" t="n">
        <v>5.36</v>
      </c>
      <c r="O1297" s="183" t="n">
        <v>1</v>
      </c>
      <c r="P1297" s="183" t="n">
        <v>12</v>
      </c>
      <c r="Q1297" s="184" t="n">
        <v>20.4</v>
      </c>
      <c r="R1297" s="184" t="n">
        <v>224.4</v>
      </c>
      <c r="S1297" s="183" t="n">
        <v>0</v>
      </c>
      <c r="T1297" s="183" t="n">
        <v>0</v>
      </c>
      <c r="U1297" s="182" t="n">
        <v>0</v>
      </c>
      <c r="V1297" s="182" t="n">
        <v>0</v>
      </c>
      <c r="W1297" s="182" t="n">
        <v>0</v>
      </c>
      <c r="X1297" s="182" t="n">
        <v>1.05</v>
      </c>
      <c r="Y1297" s="182" t="n">
        <v>0</v>
      </c>
      <c r="Z1297" s="182" t="n">
        <v>0</v>
      </c>
      <c r="AA1297" s="182" t="n">
        <v>0</v>
      </c>
      <c r="AB1297" s="182" t="n">
        <v>0</v>
      </c>
      <c r="AC1297" s="182" t="n">
        <v>0</v>
      </c>
      <c r="AD1297" s="182" t="n">
        <v>0</v>
      </c>
      <c r="AE1297" s="182" t="n">
        <v>0</v>
      </c>
      <c r="AF1297" s="182" t="n">
        <v>0</v>
      </c>
      <c r="AG1297" s="182" t="n">
        <v>0</v>
      </c>
      <c r="AH1297" s="182" t="n">
        <v>0</v>
      </c>
      <c r="AI1297" s="182" t="n">
        <v>5.27</v>
      </c>
      <c r="AJ1297" s="182" t="n">
        <v>0</v>
      </c>
      <c r="AK1297" s="182" t="n">
        <v>0</v>
      </c>
      <c r="AL1297" s="182" t="n">
        <v>0</v>
      </c>
      <c r="AM1297" s="182" t="n">
        <v>0.08</v>
      </c>
      <c r="AN1297" s="182" t="n">
        <v>0</v>
      </c>
    </row>
    <row r="1298">
      <c r="A1298" s="155" t="n">
        <v>46087</v>
      </c>
      <c r="B1298" s="156" t="inlineStr">
        <is>
          <t>NS</t>
        </is>
      </c>
      <c r="C1298" s="156" t="inlineStr">
        <is>
          <t>DT-516</t>
        </is>
      </c>
      <c r="D1298" s="156" t="inlineStr">
        <is>
          <t>SKT 105S</t>
        </is>
      </c>
      <c r="E1298" s="156" t="inlineStr">
        <is>
          <t>Hauler</t>
        </is>
      </c>
      <c r="F1298" s="156" t="inlineStr">
        <is>
          <t>Hauling Coal</t>
        </is>
      </c>
      <c r="G1298" s="182" t="n">
        <v>1.97</v>
      </c>
      <c r="H1298" s="182" t="n">
        <v>0</v>
      </c>
      <c r="I1298" s="182" t="n">
        <v>0</v>
      </c>
      <c r="J1298" s="182" t="n">
        <v>0</v>
      </c>
      <c r="K1298" s="182" t="n">
        <v>10.03</v>
      </c>
      <c r="L1298" s="182" t="n">
        <v>12</v>
      </c>
      <c r="M1298" s="182" t="n">
        <v>0</v>
      </c>
      <c r="N1298" s="182" t="n">
        <v>1.97</v>
      </c>
      <c r="O1298" s="183" t="n">
        <v>0</v>
      </c>
      <c r="P1298" s="183" t="n">
        <v>7</v>
      </c>
      <c r="Q1298" s="184" t="n">
        <v>0</v>
      </c>
      <c r="R1298" s="184" t="n">
        <v>130.9</v>
      </c>
      <c r="S1298" s="183" t="n">
        <v>0</v>
      </c>
      <c r="T1298" s="183" t="n">
        <v>0</v>
      </c>
      <c r="U1298" s="182" t="n">
        <v>0</v>
      </c>
      <c r="V1298" s="182" t="n">
        <v>0</v>
      </c>
      <c r="W1298" s="182" t="n">
        <v>0</v>
      </c>
      <c r="X1298" s="182" t="n">
        <v>1.02</v>
      </c>
      <c r="Y1298" s="182" t="n">
        <v>0</v>
      </c>
      <c r="Z1298" s="182" t="n">
        <v>0</v>
      </c>
      <c r="AA1298" s="182" t="n">
        <v>0</v>
      </c>
      <c r="AB1298" s="182" t="n">
        <v>0</v>
      </c>
      <c r="AC1298" s="182" t="n">
        <v>0</v>
      </c>
      <c r="AD1298" s="182" t="n">
        <v>0</v>
      </c>
      <c r="AE1298" s="182" t="n">
        <v>0</v>
      </c>
      <c r="AF1298" s="182" t="n">
        <v>0</v>
      </c>
      <c r="AG1298" s="182" t="n">
        <v>0</v>
      </c>
      <c r="AH1298" s="182" t="n">
        <v>0</v>
      </c>
      <c r="AI1298" s="182" t="n">
        <v>8.92</v>
      </c>
      <c r="AJ1298" s="182" t="n">
        <v>0</v>
      </c>
      <c r="AK1298" s="182" t="n">
        <v>0</v>
      </c>
      <c r="AL1298" s="182" t="n">
        <v>0</v>
      </c>
      <c r="AM1298" s="182" t="n">
        <v>0.08</v>
      </c>
      <c r="AN1298" s="182" t="n">
        <v>0</v>
      </c>
    </row>
    <row r="1299">
      <c r="A1299" s="155" t="n">
        <v>46087</v>
      </c>
      <c r="B1299" s="156" t="inlineStr">
        <is>
          <t>NS</t>
        </is>
      </c>
      <c r="C1299" s="156" t="inlineStr">
        <is>
          <t>DT-506</t>
        </is>
      </c>
      <c r="D1299" s="156" t="inlineStr">
        <is>
          <t>SKT 105S</t>
        </is>
      </c>
      <c r="E1299" s="156" t="inlineStr">
        <is>
          <t>Hauler</t>
        </is>
      </c>
      <c r="F1299" s="156" t="inlineStr">
        <is>
          <t>Hauling Coal</t>
        </is>
      </c>
      <c r="G1299" s="182" t="n">
        <v>4.51</v>
      </c>
      <c r="H1299" s="182" t="n">
        <v>0</v>
      </c>
      <c r="I1299" s="182" t="n">
        <v>0</v>
      </c>
      <c r="J1299" s="182" t="n">
        <v>0</v>
      </c>
      <c r="K1299" s="182" t="n">
        <v>7.49</v>
      </c>
      <c r="L1299" s="182" t="n">
        <v>12</v>
      </c>
      <c r="M1299" s="182" t="n">
        <v>0</v>
      </c>
      <c r="N1299" s="182" t="n">
        <v>4.51</v>
      </c>
      <c r="O1299" s="183" t="n">
        <v>0</v>
      </c>
      <c r="P1299" s="183" t="n">
        <v>10</v>
      </c>
      <c r="Q1299" s="184" t="n">
        <v>0</v>
      </c>
      <c r="R1299" s="184" t="n">
        <v>187</v>
      </c>
      <c r="S1299" s="183" t="n">
        <v>0</v>
      </c>
      <c r="T1299" s="183" t="n">
        <v>0</v>
      </c>
      <c r="U1299" s="182" t="n">
        <v>0</v>
      </c>
      <c r="V1299" s="182" t="n">
        <v>0</v>
      </c>
      <c r="W1299" s="182" t="n">
        <v>0</v>
      </c>
      <c r="X1299" s="182" t="n">
        <v>1.07</v>
      </c>
      <c r="Y1299" s="182" t="n">
        <v>0</v>
      </c>
      <c r="Z1299" s="182" t="n">
        <v>0</v>
      </c>
      <c r="AA1299" s="182" t="n">
        <v>0</v>
      </c>
      <c r="AB1299" s="182" t="n">
        <v>0</v>
      </c>
      <c r="AC1299" s="182" t="n">
        <v>0</v>
      </c>
      <c r="AD1299" s="182" t="n">
        <v>0</v>
      </c>
      <c r="AE1299" s="182" t="n">
        <v>0</v>
      </c>
      <c r="AF1299" s="182" t="n">
        <v>0</v>
      </c>
      <c r="AG1299" s="182" t="n">
        <v>0</v>
      </c>
      <c r="AH1299" s="182" t="n">
        <v>0</v>
      </c>
      <c r="AI1299" s="182" t="n">
        <v>6.33</v>
      </c>
      <c r="AJ1299" s="182" t="n">
        <v>0</v>
      </c>
      <c r="AK1299" s="182" t="n">
        <v>0</v>
      </c>
      <c r="AL1299" s="182" t="n">
        <v>0</v>
      </c>
      <c r="AM1299" s="182" t="n">
        <v>0.09</v>
      </c>
      <c r="AN1299" s="182" t="n">
        <v>0</v>
      </c>
    </row>
    <row r="1300">
      <c r="A1300" s="155" t="n">
        <v>46087</v>
      </c>
      <c r="B1300" s="156" t="inlineStr">
        <is>
          <t>NS</t>
        </is>
      </c>
      <c r="C1300" s="156" t="inlineStr">
        <is>
          <t>DT-502</t>
        </is>
      </c>
      <c r="D1300" s="156" t="inlineStr">
        <is>
          <t>SKT 105S</t>
        </is>
      </c>
      <c r="E1300" s="156" t="inlineStr">
        <is>
          <t>Hauler</t>
        </is>
      </c>
      <c r="F1300" s="156" t="inlineStr">
        <is>
          <t>Hauling OB</t>
        </is>
      </c>
      <c r="G1300" s="182" t="n">
        <v>10.53</v>
      </c>
      <c r="H1300" s="182" t="n">
        <v>0</v>
      </c>
      <c r="I1300" s="182" t="n">
        <v>0</v>
      </c>
      <c r="J1300" s="182" t="n">
        <v>0</v>
      </c>
      <c r="K1300" s="182" t="n">
        <v>1.47</v>
      </c>
      <c r="L1300" s="182" t="n">
        <v>12</v>
      </c>
      <c r="M1300" s="182" t="n">
        <v>10.2</v>
      </c>
      <c r="N1300" s="182" t="n">
        <v>0</v>
      </c>
      <c r="O1300" s="183" t="n">
        <v>34</v>
      </c>
      <c r="P1300" s="183" t="n">
        <v>0</v>
      </c>
      <c r="Q1300" s="184" t="n">
        <v>693.6</v>
      </c>
      <c r="R1300" s="184" t="n">
        <v>0</v>
      </c>
      <c r="S1300" s="183" t="n">
        <v>0</v>
      </c>
      <c r="T1300" s="183" t="n">
        <v>0</v>
      </c>
      <c r="U1300" s="182" t="n">
        <v>0</v>
      </c>
      <c r="V1300" s="182" t="n">
        <v>0</v>
      </c>
      <c r="W1300" s="182" t="n">
        <v>0</v>
      </c>
      <c r="X1300" s="182" t="n">
        <v>0.92</v>
      </c>
      <c r="Y1300" s="182" t="n">
        <v>0</v>
      </c>
      <c r="Z1300" s="182" t="n">
        <v>0</v>
      </c>
      <c r="AA1300" s="182" t="n">
        <v>0</v>
      </c>
      <c r="AB1300" s="182" t="n">
        <v>0</v>
      </c>
      <c r="AC1300" s="182" t="n">
        <v>0</v>
      </c>
      <c r="AD1300" s="182" t="n">
        <v>0</v>
      </c>
      <c r="AE1300" s="182" t="n">
        <v>0</v>
      </c>
      <c r="AF1300" s="182" t="n">
        <v>0</v>
      </c>
      <c r="AG1300" s="182" t="n">
        <v>0</v>
      </c>
      <c r="AH1300" s="182" t="n">
        <v>0.48</v>
      </c>
      <c r="AI1300" s="182" t="n">
        <v>0</v>
      </c>
      <c r="AJ1300" s="182" t="n">
        <v>0</v>
      </c>
      <c r="AK1300" s="182" t="n">
        <v>0</v>
      </c>
      <c r="AL1300" s="182" t="n">
        <v>0</v>
      </c>
      <c r="AM1300" s="182" t="n">
        <v>0.07000000000000001</v>
      </c>
      <c r="AN1300" s="182" t="n">
        <v>0</v>
      </c>
    </row>
    <row r="1301">
      <c r="A1301" s="155" t="n">
        <v>46087</v>
      </c>
      <c r="B1301" s="156" t="inlineStr">
        <is>
          <t>NS</t>
        </is>
      </c>
      <c r="C1301" s="156" t="inlineStr">
        <is>
          <t>DT-528</t>
        </is>
      </c>
      <c r="D1301" s="156" t="inlineStr">
        <is>
          <t>SKT 105S</t>
        </is>
      </c>
      <c r="E1301" s="156" t="inlineStr">
        <is>
          <t>Hauler</t>
        </is>
      </c>
      <c r="F1301" s="156" t="inlineStr">
        <is>
          <t>Hauling OB</t>
        </is>
      </c>
      <c r="G1301" s="182" t="n">
        <v>5.69</v>
      </c>
      <c r="H1301" s="182" t="n">
        <v>0</v>
      </c>
      <c r="I1301" s="182" t="n">
        <v>0</v>
      </c>
      <c r="J1301" s="182" t="n">
        <v>0</v>
      </c>
      <c r="K1301" s="182" t="n">
        <v>6.31</v>
      </c>
      <c r="L1301" s="182" t="n">
        <v>12</v>
      </c>
      <c r="M1301" s="182" t="n">
        <v>5.69</v>
      </c>
      <c r="N1301" s="182" t="n">
        <v>0</v>
      </c>
      <c r="O1301" s="183" t="n">
        <v>19</v>
      </c>
      <c r="P1301" s="183" t="n">
        <v>0</v>
      </c>
      <c r="Q1301" s="184" t="n">
        <v>387.6</v>
      </c>
      <c r="R1301" s="184" t="n">
        <v>0</v>
      </c>
      <c r="S1301" s="183" t="n">
        <v>0</v>
      </c>
      <c r="T1301" s="183" t="n">
        <v>0</v>
      </c>
      <c r="U1301" s="182" t="n">
        <v>0</v>
      </c>
      <c r="V1301" s="182" t="n">
        <v>0</v>
      </c>
      <c r="W1301" s="182" t="n">
        <v>0</v>
      </c>
      <c r="X1301" s="182" t="n">
        <v>1.02</v>
      </c>
      <c r="Y1301" s="182" t="n">
        <v>0</v>
      </c>
      <c r="Z1301" s="182" t="n">
        <v>0</v>
      </c>
      <c r="AA1301" s="182" t="n">
        <v>0</v>
      </c>
      <c r="AB1301" s="182" t="n">
        <v>0</v>
      </c>
      <c r="AC1301" s="182" t="n">
        <v>0</v>
      </c>
      <c r="AD1301" s="182" t="n">
        <v>0</v>
      </c>
      <c r="AE1301" s="182" t="n">
        <v>0</v>
      </c>
      <c r="AF1301" s="182" t="n">
        <v>0</v>
      </c>
      <c r="AG1301" s="182" t="n">
        <v>0</v>
      </c>
      <c r="AH1301" s="182" t="n">
        <v>0</v>
      </c>
      <c r="AI1301" s="182" t="n">
        <v>5.21</v>
      </c>
      <c r="AJ1301" s="182" t="n">
        <v>0</v>
      </c>
      <c r="AK1301" s="182" t="n">
        <v>0</v>
      </c>
      <c r="AL1301" s="182" t="n">
        <v>0</v>
      </c>
      <c r="AM1301" s="182" t="n">
        <v>0.08</v>
      </c>
      <c r="AN1301" s="182" t="n">
        <v>0</v>
      </c>
    </row>
    <row r="1302">
      <c r="A1302" s="155" t="n">
        <v>46087</v>
      </c>
      <c r="B1302" s="156" t="inlineStr">
        <is>
          <t>NS</t>
        </is>
      </c>
      <c r="C1302" s="156" t="inlineStr">
        <is>
          <t>DT-529</t>
        </is>
      </c>
      <c r="D1302" s="156" t="inlineStr">
        <is>
          <t>SKT 105S</t>
        </is>
      </c>
      <c r="E1302" s="156" t="inlineStr">
        <is>
          <t>Hauler</t>
        </is>
      </c>
      <c r="F1302" s="156" t="inlineStr">
        <is>
          <t>Hauling OB</t>
        </is>
      </c>
      <c r="G1302" s="182" t="n">
        <v>9.27</v>
      </c>
      <c r="H1302" s="182" t="n">
        <v>0</v>
      </c>
      <c r="I1302" s="182" t="n">
        <v>0</v>
      </c>
      <c r="J1302" s="182" t="n">
        <v>0</v>
      </c>
      <c r="K1302" s="182" t="n">
        <v>2.73</v>
      </c>
      <c r="L1302" s="182" t="n">
        <v>12</v>
      </c>
      <c r="M1302" s="182" t="n">
        <v>9.27</v>
      </c>
      <c r="N1302" s="182" t="n">
        <v>0</v>
      </c>
      <c r="O1302" s="183" t="n">
        <v>31</v>
      </c>
      <c r="P1302" s="183" t="n">
        <v>0</v>
      </c>
      <c r="Q1302" s="184" t="n">
        <v>632.4</v>
      </c>
      <c r="R1302" s="184" t="n">
        <v>0</v>
      </c>
      <c r="S1302" s="183" t="n">
        <v>0</v>
      </c>
      <c r="T1302" s="183" t="n">
        <v>0</v>
      </c>
      <c r="U1302" s="182" t="n">
        <v>0</v>
      </c>
      <c r="V1302" s="182" t="n">
        <v>0</v>
      </c>
      <c r="W1302" s="182" t="n">
        <v>0</v>
      </c>
      <c r="X1302" s="182" t="n">
        <v>0.9399999999999999</v>
      </c>
      <c r="Y1302" s="182" t="n">
        <v>0</v>
      </c>
      <c r="Z1302" s="182" t="n">
        <v>0</v>
      </c>
      <c r="AA1302" s="182" t="n">
        <v>0</v>
      </c>
      <c r="AB1302" s="182" t="n">
        <v>0</v>
      </c>
      <c r="AC1302" s="182" t="n">
        <v>0</v>
      </c>
      <c r="AD1302" s="182" t="n">
        <v>0</v>
      </c>
      <c r="AE1302" s="182" t="n">
        <v>0</v>
      </c>
      <c r="AF1302" s="182" t="n">
        <v>0</v>
      </c>
      <c r="AG1302" s="182" t="n">
        <v>0.85</v>
      </c>
      <c r="AH1302" s="182" t="n">
        <v>0.87</v>
      </c>
      <c r="AI1302" s="182" t="n">
        <v>0</v>
      </c>
      <c r="AJ1302" s="182" t="n">
        <v>0</v>
      </c>
      <c r="AK1302" s="182" t="n">
        <v>0</v>
      </c>
      <c r="AL1302" s="182" t="n">
        <v>0</v>
      </c>
      <c r="AM1302" s="182" t="n">
        <v>0.08</v>
      </c>
      <c r="AN1302" s="182" t="n">
        <v>0</v>
      </c>
    </row>
    <row r="1303">
      <c r="A1303" s="155" t="n">
        <v>46087</v>
      </c>
      <c r="B1303" s="156" t="inlineStr">
        <is>
          <t>NS</t>
        </is>
      </c>
      <c r="C1303" s="156" t="inlineStr">
        <is>
          <t>DT-520</t>
        </is>
      </c>
      <c r="D1303" s="156" t="inlineStr">
        <is>
          <t>SKT 105S</t>
        </is>
      </c>
      <c r="E1303" s="156" t="inlineStr">
        <is>
          <t>Hauler</t>
        </is>
      </c>
      <c r="F1303" s="156" t="inlineStr">
        <is>
          <t>Hauling OB &amp; Spoil</t>
        </is>
      </c>
      <c r="G1303" s="182" t="n">
        <v>9.48</v>
      </c>
      <c r="H1303" s="182" t="n">
        <v>0</v>
      </c>
      <c r="I1303" s="182" t="n">
        <v>0</v>
      </c>
      <c r="J1303" s="182" t="n">
        <v>0</v>
      </c>
      <c r="K1303" s="182" t="n">
        <v>2.52</v>
      </c>
      <c r="L1303" s="182" t="n">
        <v>12</v>
      </c>
      <c r="M1303" s="182" t="n">
        <v>9.48</v>
      </c>
      <c r="N1303" s="182" t="n">
        <v>0</v>
      </c>
      <c r="O1303" s="183" t="n">
        <v>12</v>
      </c>
      <c r="P1303" s="183" t="n">
        <v>0</v>
      </c>
      <c r="Q1303" s="184" t="n">
        <v>244.8</v>
      </c>
      <c r="R1303" s="184" t="n">
        <v>0</v>
      </c>
      <c r="S1303" s="183" t="n">
        <v>15</v>
      </c>
      <c r="T1303" s="183" t="n">
        <v>0</v>
      </c>
      <c r="U1303" s="182" t="n">
        <v>0</v>
      </c>
      <c r="V1303" s="182" t="n">
        <v>0</v>
      </c>
      <c r="W1303" s="182" t="n">
        <v>0</v>
      </c>
      <c r="X1303" s="182" t="n">
        <v>0.87</v>
      </c>
      <c r="Y1303" s="182" t="n">
        <v>0</v>
      </c>
      <c r="Z1303" s="182" t="n">
        <v>0</v>
      </c>
      <c r="AA1303" s="182" t="n">
        <v>0</v>
      </c>
      <c r="AB1303" s="182" t="n">
        <v>0</v>
      </c>
      <c r="AC1303" s="182" t="n">
        <v>0</v>
      </c>
      <c r="AD1303" s="182" t="n">
        <v>0</v>
      </c>
      <c r="AE1303" s="182" t="n">
        <v>0</v>
      </c>
      <c r="AF1303" s="182" t="n">
        <v>0</v>
      </c>
      <c r="AG1303" s="182" t="n">
        <v>0.78</v>
      </c>
      <c r="AH1303" s="182" t="n">
        <v>0.8</v>
      </c>
      <c r="AI1303" s="182" t="n">
        <v>0</v>
      </c>
      <c r="AJ1303" s="182" t="n">
        <v>0</v>
      </c>
      <c r="AK1303" s="182" t="n">
        <v>0</v>
      </c>
      <c r="AL1303" s="182" t="n">
        <v>0</v>
      </c>
      <c r="AM1303" s="182" t="n">
        <v>0.07000000000000001</v>
      </c>
      <c r="AN1303" s="182" t="n">
        <v>0</v>
      </c>
    </row>
    <row r="1304">
      <c r="A1304" s="155" t="n">
        <v>46087</v>
      </c>
      <c r="B1304" s="156" t="inlineStr">
        <is>
          <t>NS</t>
        </is>
      </c>
      <c r="C1304" s="156" t="inlineStr">
        <is>
          <t>DT-511</t>
        </is>
      </c>
      <c r="D1304" s="156" t="inlineStr">
        <is>
          <t>SKT 105S</t>
        </is>
      </c>
      <c r="E1304" s="156" t="inlineStr">
        <is>
          <t>Hauler</t>
        </is>
      </c>
      <c r="F1304" s="156" t="inlineStr">
        <is>
          <t>Hauling OB &amp; Coal</t>
        </is>
      </c>
      <c r="G1304" s="182" t="n">
        <v>6.37</v>
      </c>
      <c r="H1304" s="182" t="n">
        <v>0</v>
      </c>
      <c r="I1304" s="182" t="n">
        <v>0</v>
      </c>
      <c r="J1304" s="182" t="n">
        <v>0</v>
      </c>
      <c r="K1304" s="182" t="n">
        <v>5.63</v>
      </c>
      <c r="L1304" s="182" t="n">
        <v>12</v>
      </c>
      <c r="M1304" s="182" t="n">
        <v>3.19</v>
      </c>
      <c r="N1304" s="182" t="n">
        <v>3.19</v>
      </c>
      <c r="O1304" s="183" t="n">
        <v>7</v>
      </c>
      <c r="P1304" s="183" t="n">
        <v>4</v>
      </c>
      <c r="Q1304" s="184" t="n">
        <v>142.8</v>
      </c>
      <c r="R1304" s="184" t="n">
        <v>74.8</v>
      </c>
      <c r="S1304" s="183" t="n">
        <v>0</v>
      </c>
      <c r="T1304" s="183" t="n">
        <v>0</v>
      </c>
      <c r="U1304" s="182" t="n">
        <v>0</v>
      </c>
      <c r="V1304" s="182" t="n">
        <v>0</v>
      </c>
      <c r="W1304" s="182" t="n">
        <v>0</v>
      </c>
      <c r="X1304" s="182" t="n">
        <v>0.9399999999999999</v>
      </c>
      <c r="Y1304" s="182" t="n">
        <v>0</v>
      </c>
      <c r="Z1304" s="182" t="n">
        <v>0</v>
      </c>
      <c r="AA1304" s="182" t="n">
        <v>0</v>
      </c>
      <c r="AB1304" s="182" t="n">
        <v>0</v>
      </c>
      <c r="AC1304" s="182" t="n">
        <v>0</v>
      </c>
      <c r="AD1304" s="182" t="n">
        <v>0</v>
      </c>
      <c r="AE1304" s="182" t="n">
        <v>0</v>
      </c>
      <c r="AF1304" s="182" t="n">
        <v>0</v>
      </c>
      <c r="AG1304" s="182" t="n">
        <v>0</v>
      </c>
      <c r="AH1304" s="182" t="n">
        <v>0</v>
      </c>
      <c r="AI1304" s="182" t="n">
        <v>4.62</v>
      </c>
      <c r="AJ1304" s="182" t="n">
        <v>0</v>
      </c>
      <c r="AK1304" s="182" t="n">
        <v>0</v>
      </c>
      <c r="AL1304" s="182" t="n">
        <v>0</v>
      </c>
      <c r="AM1304" s="182" t="n">
        <v>0.08</v>
      </c>
      <c r="AN1304" s="182" t="n">
        <v>0</v>
      </c>
    </row>
    <row r="1305">
      <c r="A1305" s="155" t="n">
        <v>46087</v>
      </c>
      <c r="B1305" s="156" t="inlineStr">
        <is>
          <t>NS</t>
        </is>
      </c>
      <c r="C1305" s="156" t="inlineStr">
        <is>
          <t>DT-509</t>
        </is>
      </c>
      <c r="D1305" s="156" t="inlineStr">
        <is>
          <t>SKT 105S</t>
        </is>
      </c>
      <c r="E1305" s="156" t="inlineStr">
        <is>
          <t>Hauler</t>
        </is>
      </c>
      <c r="F1305" s="156" t="inlineStr">
        <is>
          <t>Timesheet Kosong</t>
        </is>
      </c>
      <c r="G1305" s="182" t="n">
        <v>6.25</v>
      </c>
      <c r="H1305" s="182" t="n">
        <v>0</v>
      </c>
      <c r="I1305" s="182" t="n">
        <v>0</v>
      </c>
      <c r="J1305" s="182" t="n">
        <v>0</v>
      </c>
      <c r="K1305" s="182" t="n">
        <v>5.75</v>
      </c>
      <c r="L1305" s="182" t="n">
        <v>12</v>
      </c>
      <c r="M1305" s="182" t="n">
        <v>0</v>
      </c>
      <c r="N1305" s="182" t="n">
        <v>0</v>
      </c>
      <c r="O1305" s="183" t="n">
        <v>0</v>
      </c>
      <c r="P1305" s="183" t="n">
        <v>0</v>
      </c>
      <c r="Q1305" s="184" t="n">
        <v>0</v>
      </c>
      <c r="R1305" s="184" t="n">
        <v>0</v>
      </c>
      <c r="S1305" s="183" t="n">
        <v>0</v>
      </c>
      <c r="T1305" s="183" t="n">
        <v>0</v>
      </c>
      <c r="U1305" s="182" t="n">
        <v>0</v>
      </c>
      <c r="V1305" s="182" t="n">
        <v>0</v>
      </c>
      <c r="W1305" s="182" t="n">
        <v>0</v>
      </c>
      <c r="X1305" s="182" t="n">
        <v>0.97</v>
      </c>
      <c r="Y1305" s="182" t="n">
        <v>0</v>
      </c>
      <c r="Z1305" s="182" t="n">
        <v>0</v>
      </c>
      <c r="AA1305" s="182" t="n">
        <v>0</v>
      </c>
      <c r="AB1305" s="182" t="n">
        <v>0</v>
      </c>
      <c r="AC1305" s="182" t="n">
        <v>0</v>
      </c>
      <c r="AD1305" s="182" t="n">
        <v>0</v>
      </c>
      <c r="AE1305" s="182" t="n">
        <v>0</v>
      </c>
      <c r="AF1305" s="182" t="n">
        <v>0</v>
      </c>
      <c r="AG1305" s="182" t="n">
        <v>0</v>
      </c>
      <c r="AH1305" s="182" t="n">
        <v>0</v>
      </c>
      <c r="AI1305" s="182" t="n">
        <v>4.7</v>
      </c>
      <c r="AJ1305" s="182" t="n">
        <v>0</v>
      </c>
      <c r="AK1305" s="182" t="n">
        <v>0</v>
      </c>
      <c r="AL1305" s="182" t="n">
        <v>0</v>
      </c>
      <c r="AM1305" s="182" t="n">
        <v>0.08</v>
      </c>
      <c r="AN1305" s="182" t="n">
        <v>0</v>
      </c>
    </row>
    <row r="1306">
      <c r="A1306" s="155" t="n">
        <v>46087</v>
      </c>
      <c r="B1306" s="156" t="inlineStr">
        <is>
          <t>NS</t>
        </is>
      </c>
      <c r="C1306" s="156" t="inlineStr">
        <is>
          <t>DT-526</t>
        </is>
      </c>
      <c r="D1306" s="156" t="inlineStr">
        <is>
          <t>SKT 105S</t>
        </is>
      </c>
      <c r="E1306" s="156" t="inlineStr">
        <is>
          <t>Hauler</t>
        </is>
      </c>
      <c r="F1306" s="156" t="inlineStr">
        <is>
          <t>Hauling OB</t>
        </is>
      </c>
      <c r="G1306" s="182" t="n">
        <v>9.390000000000001</v>
      </c>
      <c r="H1306" s="182" t="n">
        <v>0</v>
      </c>
      <c r="I1306" s="182" t="n">
        <v>0.5</v>
      </c>
      <c r="J1306" s="182" t="n">
        <v>0.5</v>
      </c>
      <c r="K1306" s="182" t="n">
        <v>2.11</v>
      </c>
      <c r="L1306" s="182" t="n">
        <v>12</v>
      </c>
      <c r="M1306" s="182" t="n">
        <v>9.390000000000001</v>
      </c>
      <c r="N1306" s="182" t="n">
        <v>0</v>
      </c>
      <c r="O1306" s="183" t="n">
        <v>37</v>
      </c>
      <c r="P1306" s="183" t="n">
        <v>0</v>
      </c>
      <c r="Q1306" s="184" t="n">
        <v>754.8</v>
      </c>
      <c r="R1306" s="184" t="n">
        <v>0</v>
      </c>
      <c r="S1306" s="183" t="n">
        <v>0</v>
      </c>
      <c r="T1306" s="183" t="n">
        <v>0</v>
      </c>
      <c r="U1306" s="182" t="n">
        <v>0</v>
      </c>
      <c r="V1306" s="182" t="n">
        <v>0</v>
      </c>
      <c r="W1306" s="182" t="n">
        <v>0</v>
      </c>
      <c r="X1306" s="182" t="n">
        <v>1.32</v>
      </c>
      <c r="Y1306" s="182" t="n">
        <v>0</v>
      </c>
      <c r="Z1306" s="182" t="n">
        <v>0</v>
      </c>
      <c r="AA1306" s="182" t="n">
        <v>0</v>
      </c>
      <c r="AB1306" s="182" t="n">
        <v>0</v>
      </c>
      <c r="AC1306" s="182" t="n">
        <v>0</v>
      </c>
      <c r="AD1306" s="182" t="n">
        <v>0</v>
      </c>
      <c r="AE1306" s="182" t="n">
        <v>0</v>
      </c>
      <c r="AF1306" s="182" t="n">
        <v>0</v>
      </c>
      <c r="AG1306" s="182" t="n">
        <v>0</v>
      </c>
      <c r="AH1306" s="182" t="n">
        <v>0.6899999999999999</v>
      </c>
      <c r="AI1306" s="182" t="n">
        <v>0</v>
      </c>
      <c r="AJ1306" s="182" t="n">
        <v>0</v>
      </c>
      <c r="AK1306" s="182" t="n">
        <v>0</v>
      </c>
      <c r="AL1306" s="182" t="n">
        <v>0</v>
      </c>
      <c r="AM1306" s="182" t="n">
        <v>0.11</v>
      </c>
      <c r="AN1306" s="182" t="n">
        <v>0</v>
      </c>
    </row>
    <row r="1307">
      <c r="A1307" s="155" t="n">
        <v>46087</v>
      </c>
      <c r="B1307" s="156" t="inlineStr">
        <is>
          <t>NS</t>
        </is>
      </c>
      <c r="C1307" s="156" t="inlineStr">
        <is>
          <t>DT-508</t>
        </is>
      </c>
      <c r="D1307" s="156" t="inlineStr">
        <is>
          <t>SKT 105S</t>
        </is>
      </c>
      <c r="E1307" s="156" t="inlineStr">
        <is>
          <t>Hauler</t>
        </is>
      </c>
      <c r="F1307" s="156" t="inlineStr">
        <is>
          <t>Hauling OB</t>
        </is>
      </c>
      <c r="G1307" s="182" t="n">
        <v>10.46</v>
      </c>
      <c r="H1307" s="182" t="n">
        <v>0</v>
      </c>
      <c r="I1307" s="182" t="n">
        <v>0</v>
      </c>
      <c r="J1307" s="182" t="n">
        <v>0</v>
      </c>
      <c r="K1307" s="182" t="n">
        <v>1.54</v>
      </c>
      <c r="L1307" s="182" t="n">
        <v>12</v>
      </c>
      <c r="M1307" s="182" t="n">
        <v>10.29</v>
      </c>
      <c r="N1307" s="182" t="n">
        <v>0</v>
      </c>
      <c r="O1307" s="183" t="n">
        <v>32</v>
      </c>
      <c r="P1307" s="183" t="n">
        <v>0</v>
      </c>
      <c r="Q1307" s="184" t="n">
        <v>652.8</v>
      </c>
      <c r="R1307" s="184" t="n">
        <v>0</v>
      </c>
      <c r="S1307" s="183" t="n">
        <v>0</v>
      </c>
      <c r="T1307" s="183" t="n">
        <v>0</v>
      </c>
      <c r="U1307" s="182" t="n">
        <v>0</v>
      </c>
      <c r="V1307" s="182" t="n">
        <v>0</v>
      </c>
      <c r="W1307" s="182" t="n">
        <v>0</v>
      </c>
      <c r="X1307" s="182" t="n">
        <v>0.96</v>
      </c>
      <c r="Y1307" s="182" t="n">
        <v>0</v>
      </c>
      <c r="Z1307" s="182" t="n">
        <v>0</v>
      </c>
      <c r="AA1307" s="182" t="n">
        <v>0</v>
      </c>
      <c r="AB1307" s="182" t="n">
        <v>0</v>
      </c>
      <c r="AC1307" s="182" t="n">
        <v>0</v>
      </c>
      <c r="AD1307" s="182" t="n">
        <v>0</v>
      </c>
      <c r="AE1307" s="182" t="n">
        <v>0</v>
      </c>
      <c r="AF1307" s="182" t="n">
        <v>0</v>
      </c>
      <c r="AG1307" s="182" t="n">
        <v>0</v>
      </c>
      <c r="AH1307" s="182" t="n">
        <v>0.5</v>
      </c>
      <c r="AI1307" s="182" t="n">
        <v>0</v>
      </c>
      <c r="AJ1307" s="182" t="n">
        <v>0</v>
      </c>
      <c r="AK1307" s="182" t="n">
        <v>0</v>
      </c>
      <c r="AL1307" s="182" t="n">
        <v>0</v>
      </c>
      <c r="AM1307" s="182" t="n">
        <v>0.08</v>
      </c>
      <c r="AN1307" s="182" t="n">
        <v>0</v>
      </c>
    </row>
    <row r="1308">
      <c r="A1308" s="155" t="n">
        <v>46087</v>
      </c>
      <c r="B1308" s="156" t="inlineStr">
        <is>
          <t>NS</t>
        </is>
      </c>
      <c r="C1308" s="156" t="inlineStr">
        <is>
          <t>DT-515</t>
        </is>
      </c>
      <c r="D1308" s="156" t="inlineStr">
        <is>
          <t>SKT 105S</t>
        </is>
      </c>
      <c r="E1308" s="156" t="inlineStr">
        <is>
          <t>Hauler</t>
        </is>
      </c>
      <c r="F1308" s="156" t="inlineStr">
        <is>
          <t>Hauling OB</t>
        </is>
      </c>
      <c r="G1308" s="182" t="n">
        <v>10.33</v>
      </c>
      <c r="H1308" s="182" t="n">
        <v>0</v>
      </c>
      <c r="I1308" s="182" t="n">
        <v>0</v>
      </c>
      <c r="J1308" s="182" t="n">
        <v>0</v>
      </c>
      <c r="K1308" s="182" t="n">
        <v>1.67</v>
      </c>
      <c r="L1308" s="182" t="n">
        <v>12</v>
      </c>
      <c r="M1308" s="182" t="n">
        <v>10.33</v>
      </c>
      <c r="N1308" s="182" t="n">
        <v>0</v>
      </c>
      <c r="O1308" s="183" t="n">
        <v>32</v>
      </c>
      <c r="P1308" s="183" t="n">
        <v>0</v>
      </c>
      <c r="Q1308" s="184" t="n">
        <v>652.8</v>
      </c>
      <c r="R1308" s="184" t="n">
        <v>0</v>
      </c>
      <c r="S1308" s="183" t="n">
        <v>0</v>
      </c>
      <c r="T1308" s="183" t="n">
        <v>0</v>
      </c>
      <c r="U1308" s="182" t="n">
        <v>0</v>
      </c>
      <c r="V1308" s="182" t="n">
        <v>0</v>
      </c>
      <c r="W1308" s="182" t="n">
        <v>0</v>
      </c>
      <c r="X1308" s="182" t="n">
        <v>1.19</v>
      </c>
      <c r="Y1308" s="182" t="n">
        <v>0</v>
      </c>
      <c r="Z1308" s="182" t="n">
        <v>0</v>
      </c>
      <c r="AA1308" s="182" t="n">
        <v>0</v>
      </c>
      <c r="AB1308" s="182" t="n">
        <v>0</v>
      </c>
      <c r="AC1308" s="182" t="n">
        <v>0</v>
      </c>
      <c r="AD1308" s="182" t="n">
        <v>0</v>
      </c>
      <c r="AE1308" s="182" t="n">
        <v>0</v>
      </c>
      <c r="AF1308" s="182" t="n">
        <v>0</v>
      </c>
      <c r="AG1308" s="182" t="n">
        <v>0</v>
      </c>
      <c r="AH1308" s="182" t="n">
        <v>0.38</v>
      </c>
      <c r="AI1308" s="182" t="n">
        <v>0</v>
      </c>
      <c r="AJ1308" s="182" t="n">
        <v>0</v>
      </c>
      <c r="AK1308" s="182" t="n">
        <v>0</v>
      </c>
      <c r="AL1308" s="182" t="n">
        <v>0</v>
      </c>
      <c r="AM1308" s="182" t="n">
        <v>0.1</v>
      </c>
      <c r="AN1308" s="182" t="n">
        <v>0</v>
      </c>
    </row>
    <row r="1309">
      <c r="A1309" s="155" t="n">
        <v>46087</v>
      </c>
      <c r="B1309" s="156" t="inlineStr">
        <is>
          <t>NS</t>
        </is>
      </c>
      <c r="C1309" s="156" t="inlineStr">
        <is>
          <t>DT-524</t>
        </is>
      </c>
      <c r="D1309" s="156" t="inlineStr">
        <is>
          <t>SKT 105S</t>
        </is>
      </c>
      <c r="E1309" s="156" t="inlineStr">
        <is>
          <t>Hauler</t>
        </is>
      </c>
      <c r="F1309" s="156" t="inlineStr"/>
      <c r="G1309" s="182" t="n">
        <v>0</v>
      </c>
      <c r="H1309" s="182" t="n">
        <v>0</v>
      </c>
      <c r="I1309" s="182" t="n">
        <v>0</v>
      </c>
      <c r="J1309" s="182" t="n">
        <v>0</v>
      </c>
      <c r="K1309" s="182" t="n">
        <v>12</v>
      </c>
      <c r="L1309" s="182" t="n">
        <v>12</v>
      </c>
      <c r="M1309" s="182" t="n">
        <v>0</v>
      </c>
      <c r="N1309" s="182" t="n">
        <v>0</v>
      </c>
      <c r="O1309" s="183" t="n">
        <v>0</v>
      </c>
      <c r="P1309" s="183" t="n">
        <v>0</v>
      </c>
      <c r="Q1309" s="184" t="n">
        <v>0</v>
      </c>
      <c r="R1309" s="184" t="n">
        <v>0</v>
      </c>
      <c r="S1309" s="183" t="n">
        <v>0</v>
      </c>
      <c r="T1309" s="183" t="n">
        <v>0</v>
      </c>
      <c r="U1309" s="182" t="n">
        <v>0</v>
      </c>
      <c r="V1309" s="182" t="n">
        <v>0</v>
      </c>
      <c r="W1309" s="182" t="n">
        <v>0</v>
      </c>
      <c r="X1309" s="182" t="n">
        <v>1</v>
      </c>
      <c r="Y1309" s="182" t="n">
        <v>0</v>
      </c>
      <c r="Z1309" s="182" t="n">
        <v>0</v>
      </c>
      <c r="AA1309" s="182" t="n">
        <v>0</v>
      </c>
      <c r="AB1309" s="182" t="n">
        <v>0</v>
      </c>
      <c r="AC1309" s="182" t="n">
        <v>0</v>
      </c>
      <c r="AD1309" s="182" t="n">
        <v>0</v>
      </c>
      <c r="AE1309" s="182" t="n">
        <v>0</v>
      </c>
      <c r="AF1309" s="182" t="n">
        <v>0</v>
      </c>
      <c r="AG1309" s="182" t="n">
        <v>0</v>
      </c>
      <c r="AH1309" s="182" t="n">
        <v>0</v>
      </c>
      <c r="AI1309" s="182" t="n">
        <v>10.92</v>
      </c>
      <c r="AJ1309" s="182" t="n">
        <v>0</v>
      </c>
      <c r="AK1309" s="182" t="n">
        <v>0</v>
      </c>
      <c r="AL1309" s="182" t="n">
        <v>0</v>
      </c>
      <c r="AM1309" s="182" t="n">
        <v>0.08</v>
      </c>
      <c r="AN1309" s="182" t="n">
        <v>0</v>
      </c>
    </row>
    <row r="1310">
      <c r="A1310" s="155" t="n">
        <v>46087</v>
      </c>
      <c r="B1310" s="156" t="inlineStr">
        <is>
          <t>NS</t>
        </is>
      </c>
      <c r="C1310" s="156" t="inlineStr">
        <is>
          <t>DT-341</t>
        </is>
      </c>
      <c r="D1310" s="156" t="inlineStr">
        <is>
          <t>SYZ324C-8W</t>
        </is>
      </c>
      <c r="E1310" s="156" t="inlineStr">
        <is>
          <t>Hauler</t>
        </is>
      </c>
      <c r="F1310" s="156" t="inlineStr">
        <is>
          <t>Rehandling Material di Washing Plant</t>
        </is>
      </c>
      <c r="G1310" s="182" t="n">
        <v>3.37</v>
      </c>
      <c r="H1310" s="182" t="n">
        <v>0</v>
      </c>
      <c r="I1310" s="182" t="n">
        <v>0</v>
      </c>
      <c r="J1310" s="182" t="n">
        <v>0</v>
      </c>
      <c r="K1310" s="182" t="n">
        <v>8.630000000000001</v>
      </c>
      <c r="L1310" s="182" t="n">
        <v>12</v>
      </c>
      <c r="M1310" s="182" t="n">
        <v>0</v>
      </c>
      <c r="N1310" s="182" t="n">
        <v>0</v>
      </c>
      <c r="O1310" s="183" t="n">
        <v>0</v>
      </c>
      <c r="P1310" s="183" t="n">
        <v>0</v>
      </c>
      <c r="Q1310" s="184" t="n">
        <v>0</v>
      </c>
      <c r="R1310" s="184" t="n">
        <v>0</v>
      </c>
      <c r="S1310" s="183" t="n">
        <v>0</v>
      </c>
      <c r="T1310" s="183" t="n">
        <v>0</v>
      </c>
      <c r="U1310" s="182" t="n">
        <v>0</v>
      </c>
      <c r="V1310" s="182" t="n">
        <v>0</v>
      </c>
      <c r="W1310" s="182" t="n">
        <v>0</v>
      </c>
      <c r="X1310" s="182" t="n">
        <v>1.02</v>
      </c>
      <c r="Y1310" s="182" t="n">
        <v>0</v>
      </c>
      <c r="Z1310" s="182" t="n">
        <v>0</v>
      </c>
      <c r="AA1310" s="182" t="n">
        <v>0</v>
      </c>
      <c r="AB1310" s="182" t="n">
        <v>0</v>
      </c>
      <c r="AC1310" s="182" t="n">
        <v>0</v>
      </c>
      <c r="AD1310" s="182" t="n">
        <v>0</v>
      </c>
      <c r="AE1310" s="182" t="n">
        <v>0</v>
      </c>
      <c r="AF1310" s="182" t="n">
        <v>0</v>
      </c>
      <c r="AG1310" s="182" t="n">
        <v>0</v>
      </c>
      <c r="AH1310" s="182" t="n">
        <v>0</v>
      </c>
      <c r="AI1310" s="182" t="n">
        <v>0</v>
      </c>
      <c r="AJ1310" s="182" t="n">
        <v>0</v>
      </c>
      <c r="AK1310" s="182" t="n">
        <v>7.53</v>
      </c>
      <c r="AL1310" s="182" t="n">
        <v>0</v>
      </c>
      <c r="AM1310" s="182" t="n">
        <v>0.08</v>
      </c>
      <c r="AN1310" s="182" t="n">
        <v>0</v>
      </c>
    </row>
    <row r="1311">
      <c r="A1311" s="155" t="n">
        <v>46087</v>
      </c>
      <c r="B1311" s="156" t="inlineStr">
        <is>
          <t>NS</t>
        </is>
      </c>
      <c r="C1311" s="156" t="inlineStr">
        <is>
          <t>DT-342</t>
        </is>
      </c>
      <c r="D1311" s="156" t="inlineStr">
        <is>
          <t>SYZ324C-8W</t>
        </is>
      </c>
      <c r="E1311" s="156" t="inlineStr">
        <is>
          <t>Hauler</t>
        </is>
      </c>
      <c r="F1311" s="156" t="inlineStr">
        <is>
          <t>Rehandling Material di Washing Plant</t>
        </is>
      </c>
      <c r="G1311" s="182" t="n">
        <v>3.55</v>
      </c>
      <c r="H1311" s="182" t="n">
        <v>0</v>
      </c>
      <c r="I1311" s="182" t="n">
        <v>0</v>
      </c>
      <c r="J1311" s="182" t="n">
        <v>0</v>
      </c>
      <c r="K1311" s="182" t="n">
        <v>8.449999999999999</v>
      </c>
      <c r="L1311" s="182" t="n">
        <v>12</v>
      </c>
      <c r="M1311" s="182" t="n">
        <v>0</v>
      </c>
      <c r="N1311" s="182" t="n">
        <v>0</v>
      </c>
      <c r="O1311" s="183" t="n">
        <v>0</v>
      </c>
      <c r="P1311" s="183" t="n">
        <v>0</v>
      </c>
      <c r="Q1311" s="184" t="n">
        <v>0</v>
      </c>
      <c r="R1311" s="184" t="n">
        <v>0</v>
      </c>
      <c r="S1311" s="183" t="n">
        <v>0</v>
      </c>
      <c r="T1311" s="183" t="n">
        <v>0</v>
      </c>
      <c r="U1311" s="182" t="n">
        <v>0</v>
      </c>
      <c r="V1311" s="182" t="n">
        <v>0</v>
      </c>
      <c r="W1311" s="182" t="n">
        <v>0</v>
      </c>
      <c r="X1311" s="182" t="n">
        <v>1.04</v>
      </c>
      <c r="Y1311" s="182" t="n">
        <v>0</v>
      </c>
      <c r="Z1311" s="182" t="n">
        <v>0</v>
      </c>
      <c r="AA1311" s="182" t="n">
        <v>0</v>
      </c>
      <c r="AB1311" s="182" t="n">
        <v>0</v>
      </c>
      <c r="AC1311" s="182" t="n">
        <v>0</v>
      </c>
      <c r="AD1311" s="182" t="n">
        <v>0</v>
      </c>
      <c r="AE1311" s="182" t="n">
        <v>0</v>
      </c>
      <c r="AF1311" s="182" t="n">
        <v>0</v>
      </c>
      <c r="AG1311" s="182" t="n">
        <v>0</v>
      </c>
      <c r="AH1311" s="182" t="n">
        <v>0</v>
      </c>
      <c r="AI1311" s="182" t="n">
        <v>0</v>
      </c>
      <c r="AJ1311" s="182" t="n">
        <v>0</v>
      </c>
      <c r="AK1311" s="182" t="n">
        <v>7.32</v>
      </c>
      <c r="AL1311" s="182" t="n">
        <v>0</v>
      </c>
      <c r="AM1311" s="182" t="n">
        <v>0.08</v>
      </c>
      <c r="AN1311" s="182" t="n">
        <v>0</v>
      </c>
    </row>
    <row r="1312">
      <c r="A1312" s="155" t="n">
        <v>46087</v>
      </c>
      <c r="B1312" s="156" t="inlineStr">
        <is>
          <t>NS</t>
        </is>
      </c>
      <c r="C1312" s="156" t="inlineStr">
        <is>
          <t>HD-903</t>
        </is>
      </c>
      <c r="D1312" s="156" t="inlineStr">
        <is>
          <t>SRT 95C</t>
        </is>
      </c>
      <c r="E1312" s="156" t="inlineStr">
        <is>
          <t>Hauler</t>
        </is>
      </c>
      <c r="F1312" s="156" t="inlineStr"/>
      <c r="G1312" s="182" t="n">
        <v>0</v>
      </c>
      <c r="H1312" s="182" t="n">
        <v>0</v>
      </c>
      <c r="I1312" s="182" t="n">
        <v>12</v>
      </c>
      <c r="J1312" s="182" t="n">
        <v>12</v>
      </c>
      <c r="K1312" s="182" t="n">
        <v>0</v>
      </c>
      <c r="L1312" s="182" t="n">
        <v>12</v>
      </c>
      <c r="M1312" s="182" t="n">
        <v>0</v>
      </c>
      <c r="N1312" s="182" t="n">
        <v>0</v>
      </c>
      <c r="O1312" s="183" t="n">
        <v>0</v>
      </c>
      <c r="P1312" s="183" t="n">
        <v>0</v>
      </c>
      <c r="Q1312" s="184" t="n">
        <v>0</v>
      </c>
      <c r="R1312" s="184" t="n">
        <v>0</v>
      </c>
      <c r="S1312" s="183" t="n">
        <v>0</v>
      </c>
      <c r="T1312" s="183" t="n">
        <v>0</v>
      </c>
      <c r="U1312" s="182" t="n">
        <v>0</v>
      </c>
      <c r="V1312" s="182" t="n">
        <v>0</v>
      </c>
      <c r="W1312" s="182" t="n">
        <v>0</v>
      </c>
      <c r="X1312" s="182" t="n">
        <v>0</v>
      </c>
      <c r="Y1312" s="182" t="n">
        <v>0</v>
      </c>
      <c r="Z1312" s="182" t="n">
        <v>0</v>
      </c>
      <c r="AA1312" s="182" t="n">
        <v>0</v>
      </c>
      <c r="AB1312" s="182" t="n">
        <v>0</v>
      </c>
      <c r="AC1312" s="182" t="n">
        <v>0</v>
      </c>
      <c r="AD1312" s="182" t="n">
        <v>0</v>
      </c>
      <c r="AE1312" s="182" t="n">
        <v>0</v>
      </c>
      <c r="AF1312" s="182" t="n">
        <v>0</v>
      </c>
      <c r="AG1312" s="182" t="n">
        <v>0</v>
      </c>
      <c r="AH1312" s="182" t="n">
        <v>0</v>
      </c>
      <c r="AI1312" s="182" t="n">
        <v>0</v>
      </c>
      <c r="AJ1312" s="182" t="n">
        <v>0</v>
      </c>
      <c r="AK1312" s="182" t="n">
        <v>0</v>
      </c>
      <c r="AL1312" s="182" t="n">
        <v>0</v>
      </c>
      <c r="AM1312" s="182" t="n">
        <v>0</v>
      </c>
      <c r="AN1312" s="182" t="n">
        <v>0</v>
      </c>
    </row>
    <row r="1313">
      <c r="A1313" s="155" t="n">
        <v>46087</v>
      </c>
      <c r="B1313" s="156" t="inlineStr">
        <is>
          <t>NS</t>
        </is>
      </c>
      <c r="C1313" s="156" t="inlineStr">
        <is>
          <t>HD-905</t>
        </is>
      </c>
      <c r="D1313" s="156" t="inlineStr">
        <is>
          <t>SRT 95C</t>
        </is>
      </c>
      <c r="E1313" s="156" t="inlineStr">
        <is>
          <t>Hauler</t>
        </is>
      </c>
      <c r="F1313" s="156" t="inlineStr">
        <is>
          <t>Hauling OB</t>
        </is>
      </c>
      <c r="G1313" s="182" t="n">
        <v>5.69</v>
      </c>
      <c r="H1313" s="182" t="n">
        <v>0</v>
      </c>
      <c r="I1313" s="182" t="n">
        <v>0</v>
      </c>
      <c r="J1313" s="182" t="n">
        <v>0</v>
      </c>
      <c r="K1313" s="182" t="n">
        <v>6.31</v>
      </c>
      <c r="L1313" s="182" t="n">
        <v>12</v>
      </c>
      <c r="M1313" s="182" t="n">
        <v>5.69</v>
      </c>
      <c r="N1313" s="182" t="n">
        <v>0</v>
      </c>
      <c r="O1313" s="183" t="n">
        <v>25</v>
      </c>
      <c r="P1313" s="183" t="n">
        <v>0</v>
      </c>
      <c r="Q1313" s="184" t="n">
        <v>892.5</v>
      </c>
      <c r="R1313" s="184" t="n">
        <v>0</v>
      </c>
      <c r="S1313" s="183" t="n">
        <v>0</v>
      </c>
      <c r="T1313" s="183" t="n">
        <v>0</v>
      </c>
      <c r="U1313" s="182" t="n">
        <v>0</v>
      </c>
      <c r="V1313" s="182" t="n">
        <v>0</v>
      </c>
      <c r="W1313" s="182" t="n">
        <v>0</v>
      </c>
      <c r="X1313" s="182" t="n">
        <v>0.99</v>
      </c>
      <c r="Y1313" s="182" t="n">
        <v>0</v>
      </c>
      <c r="Z1313" s="182" t="n">
        <v>0</v>
      </c>
      <c r="AA1313" s="182" t="n">
        <v>0</v>
      </c>
      <c r="AB1313" s="182" t="n">
        <v>0</v>
      </c>
      <c r="AC1313" s="182" t="n">
        <v>0</v>
      </c>
      <c r="AD1313" s="182" t="n">
        <v>0</v>
      </c>
      <c r="AE1313" s="182" t="n">
        <v>0</v>
      </c>
      <c r="AF1313" s="182" t="n">
        <v>0</v>
      </c>
      <c r="AG1313" s="182" t="n">
        <v>0</v>
      </c>
      <c r="AH1313" s="182" t="n">
        <v>0</v>
      </c>
      <c r="AI1313" s="182" t="n">
        <v>5.25</v>
      </c>
      <c r="AJ1313" s="182" t="n">
        <v>0</v>
      </c>
      <c r="AK1313" s="182" t="n">
        <v>0</v>
      </c>
      <c r="AL1313" s="182" t="n">
        <v>0</v>
      </c>
      <c r="AM1313" s="182" t="n">
        <v>0.08</v>
      </c>
      <c r="AN1313" s="182" t="n">
        <v>0</v>
      </c>
    </row>
    <row r="1314">
      <c r="A1314" s="155" t="n">
        <v>46087</v>
      </c>
      <c r="B1314" s="156" t="inlineStr">
        <is>
          <t>NS</t>
        </is>
      </c>
      <c r="C1314" s="156" t="inlineStr">
        <is>
          <t>HD-901</t>
        </is>
      </c>
      <c r="D1314" s="156" t="inlineStr">
        <is>
          <t>SRT 95C</t>
        </is>
      </c>
      <c r="E1314" s="156" t="inlineStr">
        <is>
          <t>Hauler</t>
        </is>
      </c>
      <c r="F1314" s="156" t="inlineStr">
        <is>
          <t>Hauling OB</t>
        </is>
      </c>
      <c r="G1314" s="182" t="n">
        <v>5.71</v>
      </c>
      <c r="H1314" s="182" t="n">
        <v>0</v>
      </c>
      <c r="I1314" s="182" t="n">
        <v>0</v>
      </c>
      <c r="J1314" s="182" t="n">
        <v>0</v>
      </c>
      <c r="K1314" s="182" t="n">
        <v>6.29</v>
      </c>
      <c r="L1314" s="182" t="n">
        <v>12</v>
      </c>
      <c r="M1314" s="182" t="n">
        <v>5.71</v>
      </c>
      <c r="N1314" s="182" t="n">
        <v>0</v>
      </c>
      <c r="O1314" s="183" t="n">
        <v>19</v>
      </c>
      <c r="P1314" s="183" t="n">
        <v>0</v>
      </c>
      <c r="Q1314" s="184" t="n">
        <v>678.3</v>
      </c>
      <c r="R1314" s="184" t="n">
        <v>0</v>
      </c>
      <c r="S1314" s="183" t="n">
        <v>0</v>
      </c>
      <c r="T1314" s="183" t="n">
        <v>0</v>
      </c>
      <c r="U1314" s="182" t="n">
        <v>0</v>
      </c>
      <c r="V1314" s="182" t="n">
        <v>0</v>
      </c>
      <c r="W1314" s="182" t="n">
        <v>0</v>
      </c>
      <c r="X1314" s="182" t="n">
        <v>1.05</v>
      </c>
      <c r="Y1314" s="182" t="n">
        <v>0</v>
      </c>
      <c r="Z1314" s="182" t="n">
        <v>0</v>
      </c>
      <c r="AA1314" s="182" t="n">
        <v>0</v>
      </c>
      <c r="AB1314" s="182" t="n">
        <v>0</v>
      </c>
      <c r="AC1314" s="182" t="n">
        <v>0</v>
      </c>
      <c r="AD1314" s="182" t="n">
        <v>0</v>
      </c>
      <c r="AE1314" s="182" t="n">
        <v>0</v>
      </c>
      <c r="AF1314" s="182" t="n">
        <v>0</v>
      </c>
      <c r="AG1314" s="182" t="n">
        <v>0</v>
      </c>
      <c r="AH1314" s="182" t="n">
        <v>0</v>
      </c>
      <c r="AI1314" s="182" t="n">
        <v>5.16</v>
      </c>
      <c r="AJ1314" s="182" t="n">
        <v>0</v>
      </c>
      <c r="AK1314" s="182" t="n">
        <v>0</v>
      </c>
      <c r="AL1314" s="182" t="n">
        <v>0</v>
      </c>
      <c r="AM1314" s="182" t="n">
        <v>0.08</v>
      </c>
      <c r="AN1314" s="182" t="n">
        <v>0</v>
      </c>
    </row>
    <row r="1315">
      <c r="A1315" s="155" t="n">
        <v>46087</v>
      </c>
      <c r="B1315" s="156" t="inlineStr">
        <is>
          <t>NS</t>
        </is>
      </c>
      <c r="C1315" s="156" t="inlineStr">
        <is>
          <t>HD-904</t>
        </is>
      </c>
      <c r="D1315" s="156" t="inlineStr">
        <is>
          <t>SRT 95C</t>
        </is>
      </c>
      <c r="E1315" s="156" t="inlineStr">
        <is>
          <t>Hauler</t>
        </is>
      </c>
      <c r="F1315" s="156" t="inlineStr"/>
      <c r="G1315" s="182" t="n">
        <v>0</v>
      </c>
      <c r="H1315" s="182" t="n">
        <v>0</v>
      </c>
      <c r="I1315" s="182" t="n">
        <v>0</v>
      </c>
      <c r="J1315" s="182" t="n">
        <v>0</v>
      </c>
      <c r="K1315" s="182" t="n">
        <v>12</v>
      </c>
      <c r="L1315" s="182" t="n">
        <v>12</v>
      </c>
      <c r="M1315" s="182" t="n">
        <v>0</v>
      </c>
      <c r="N1315" s="182" t="n">
        <v>0</v>
      </c>
      <c r="O1315" s="183" t="n">
        <v>0</v>
      </c>
      <c r="P1315" s="183" t="n">
        <v>0</v>
      </c>
      <c r="Q1315" s="184" t="n">
        <v>0</v>
      </c>
      <c r="R1315" s="184" t="n">
        <v>0</v>
      </c>
      <c r="S1315" s="183" t="n">
        <v>0</v>
      </c>
      <c r="T1315" s="183" t="n">
        <v>0</v>
      </c>
      <c r="U1315" s="182" t="n">
        <v>0</v>
      </c>
      <c r="V1315" s="182" t="n">
        <v>0</v>
      </c>
      <c r="W1315" s="182" t="n">
        <v>0</v>
      </c>
      <c r="X1315" s="182" t="n">
        <v>1</v>
      </c>
      <c r="Y1315" s="182" t="n">
        <v>0</v>
      </c>
      <c r="Z1315" s="182" t="n">
        <v>0</v>
      </c>
      <c r="AA1315" s="182" t="n">
        <v>0</v>
      </c>
      <c r="AB1315" s="182" t="n">
        <v>0</v>
      </c>
      <c r="AC1315" s="182" t="n">
        <v>0</v>
      </c>
      <c r="AD1315" s="182" t="n">
        <v>0</v>
      </c>
      <c r="AE1315" s="182" t="n">
        <v>0</v>
      </c>
      <c r="AF1315" s="182" t="n">
        <v>0</v>
      </c>
      <c r="AG1315" s="182" t="n">
        <v>0</v>
      </c>
      <c r="AH1315" s="182" t="n">
        <v>0</v>
      </c>
      <c r="AI1315" s="182" t="n">
        <v>10.92</v>
      </c>
      <c r="AJ1315" s="182" t="n">
        <v>0</v>
      </c>
      <c r="AK1315" s="182" t="n">
        <v>0</v>
      </c>
      <c r="AL1315" s="182" t="n">
        <v>0</v>
      </c>
      <c r="AM1315" s="182" t="n">
        <v>0.08</v>
      </c>
      <c r="AN1315" s="182" t="n">
        <v>0</v>
      </c>
    </row>
    <row r="1316">
      <c r="A1316" s="155" t="n">
        <v>46087</v>
      </c>
      <c r="B1316" s="156" t="inlineStr">
        <is>
          <t>NS</t>
        </is>
      </c>
      <c r="C1316" s="156" t="inlineStr">
        <is>
          <t>HD-902</t>
        </is>
      </c>
      <c r="D1316" s="156" t="inlineStr">
        <is>
          <t>SRT 95C</t>
        </is>
      </c>
      <c r="E1316" s="156" t="inlineStr">
        <is>
          <t>Hauler</t>
        </is>
      </c>
      <c r="F1316" s="156" t="inlineStr">
        <is>
          <t>Hauling OB</t>
        </is>
      </c>
      <c r="G1316" s="182" t="n">
        <v>4.78</v>
      </c>
      <c r="H1316" s="182" t="n">
        <v>0</v>
      </c>
      <c r="I1316" s="182" t="n">
        <v>0</v>
      </c>
      <c r="J1316" s="182" t="n">
        <v>0</v>
      </c>
      <c r="K1316" s="182" t="n">
        <v>7.22</v>
      </c>
      <c r="L1316" s="182" t="n">
        <v>12</v>
      </c>
      <c r="M1316" s="182" t="n">
        <v>4.78</v>
      </c>
      <c r="N1316" s="182" t="n">
        <v>0</v>
      </c>
      <c r="O1316" s="183" t="n">
        <v>25</v>
      </c>
      <c r="P1316" s="183" t="n">
        <v>0</v>
      </c>
      <c r="Q1316" s="184" t="n">
        <v>892.5</v>
      </c>
      <c r="R1316" s="184" t="n">
        <v>0</v>
      </c>
      <c r="S1316" s="183" t="n">
        <v>0</v>
      </c>
      <c r="T1316" s="183" t="n">
        <v>0</v>
      </c>
      <c r="U1316" s="182" t="n">
        <v>0</v>
      </c>
      <c r="V1316" s="182" t="n">
        <v>0</v>
      </c>
      <c r="W1316" s="182" t="n">
        <v>0</v>
      </c>
      <c r="X1316" s="182" t="n">
        <v>1.06</v>
      </c>
      <c r="Y1316" s="182" t="n">
        <v>0</v>
      </c>
      <c r="Z1316" s="182" t="n">
        <v>0</v>
      </c>
      <c r="AA1316" s="182" t="n">
        <v>0</v>
      </c>
      <c r="AB1316" s="182" t="n">
        <v>0</v>
      </c>
      <c r="AC1316" s="182" t="n">
        <v>0</v>
      </c>
      <c r="AD1316" s="182" t="n">
        <v>0</v>
      </c>
      <c r="AE1316" s="182" t="n">
        <v>0</v>
      </c>
      <c r="AF1316" s="182" t="n">
        <v>0</v>
      </c>
      <c r="AG1316" s="182" t="n">
        <v>0</v>
      </c>
      <c r="AH1316" s="182" t="n">
        <v>0</v>
      </c>
      <c r="AI1316" s="182" t="n">
        <v>6.07</v>
      </c>
      <c r="AJ1316" s="182" t="n">
        <v>0</v>
      </c>
      <c r="AK1316" s="182" t="n">
        <v>0</v>
      </c>
      <c r="AL1316" s="182" t="n">
        <v>0</v>
      </c>
      <c r="AM1316" s="182" t="n">
        <v>0.08</v>
      </c>
      <c r="AN1316" s="182" t="n">
        <v>0</v>
      </c>
    </row>
    <row r="1317">
      <c r="A1317" s="155" t="n">
        <v>46087</v>
      </c>
      <c r="B1317" s="156" t="inlineStr">
        <is>
          <t>NS</t>
        </is>
      </c>
      <c r="C1317" s="156" t="inlineStr">
        <is>
          <t>WL-025</t>
        </is>
      </c>
      <c r="D1317" s="156" t="inlineStr">
        <is>
          <t>SANY - Loader</t>
        </is>
      </c>
      <c r="E1317" s="156" t="inlineStr">
        <is>
          <t>Loader</t>
        </is>
      </c>
      <c r="F1317" s="156" t="inlineStr"/>
      <c r="G1317" s="182" t="n">
        <v>0</v>
      </c>
      <c r="H1317" s="182" t="n">
        <v>0</v>
      </c>
      <c r="I1317" s="182" t="n">
        <v>0</v>
      </c>
      <c r="J1317" s="182" t="n">
        <v>0</v>
      </c>
      <c r="K1317" s="182" t="n">
        <v>12</v>
      </c>
      <c r="L1317" s="182" t="n">
        <v>12</v>
      </c>
      <c r="M1317" s="182" t="n">
        <v>0</v>
      </c>
      <c r="N1317" s="182" t="n">
        <v>0</v>
      </c>
      <c r="O1317" s="183" t="n">
        <v>0</v>
      </c>
      <c r="P1317" s="183" t="n">
        <v>0</v>
      </c>
      <c r="Q1317" s="184" t="n">
        <v>0</v>
      </c>
      <c r="R1317" s="184" t="n">
        <v>0</v>
      </c>
      <c r="S1317" s="183" t="n">
        <v>0</v>
      </c>
      <c r="T1317" s="183" t="n">
        <v>0</v>
      </c>
      <c r="U1317" s="182" t="n">
        <v>0</v>
      </c>
      <c r="V1317" s="182" t="n">
        <v>0</v>
      </c>
      <c r="W1317" s="182" t="n">
        <v>0</v>
      </c>
      <c r="X1317" s="182" t="n">
        <v>1</v>
      </c>
      <c r="Y1317" s="182" t="n">
        <v>0</v>
      </c>
      <c r="Z1317" s="182" t="n">
        <v>0</v>
      </c>
      <c r="AA1317" s="182" t="n">
        <v>0</v>
      </c>
      <c r="AB1317" s="182" t="n">
        <v>0</v>
      </c>
      <c r="AC1317" s="182" t="n">
        <v>0</v>
      </c>
      <c r="AD1317" s="182" t="n">
        <v>0</v>
      </c>
      <c r="AE1317" s="182" t="n">
        <v>0</v>
      </c>
      <c r="AF1317" s="182" t="n">
        <v>0</v>
      </c>
      <c r="AG1317" s="182" t="n">
        <v>0</v>
      </c>
      <c r="AH1317" s="182" t="n">
        <v>0</v>
      </c>
      <c r="AI1317" s="182" t="n">
        <v>0</v>
      </c>
      <c r="AJ1317" s="182" t="n">
        <v>0</v>
      </c>
      <c r="AK1317" s="182" t="n">
        <v>10.92</v>
      </c>
      <c r="AL1317" s="182" t="n">
        <v>0</v>
      </c>
      <c r="AM1317" s="182" t="n">
        <v>0.08</v>
      </c>
      <c r="AN1317" s="182" t="n">
        <v>0</v>
      </c>
    </row>
    <row r="1318">
      <c r="A1318" s="155" t="n">
        <v>46087</v>
      </c>
      <c r="B1318" s="156" t="inlineStr">
        <is>
          <t>NS</t>
        </is>
      </c>
      <c r="C1318" s="156" t="inlineStr">
        <is>
          <t>WL-023</t>
        </is>
      </c>
      <c r="D1318" s="156" t="inlineStr">
        <is>
          <t>SANY - Loader</t>
        </is>
      </c>
      <c r="E1318" s="156" t="inlineStr">
        <is>
          <t>Loader</t>
        </is>
      </c>
      <c r="F1318" s="156" t="inlineStr"/>
      <c r="G1318" s="182" t="n">
        <v>0</v>
      </c>
      <c r="H1318" s="182" t="n">
        <v>0</v>
      </c>
      <c r="I1318" s="182" t="n">
        <v>0</v>
      </c>
      <c r="J1318" s="182" t="n">
        <v>0</v>
      </c>
      <c r="K1318" s="182" t="n">
        <v>12</v>
      </c>
      <c r="L1318" s="182" t="n">
        <v>12</v>
      </c>
      <c r="M1318" s="182" t="n">
        <v>0</v>
      </c>
      <c r="N1318" s="182" t="n">
        <v>0</v>
      </c>
      <c r="O1318" s="183" t="n">
        <v>0</v>
      </c>
      <c r="P1318" s="183" t="n">
        <v>0</v>
      </c>
      <c r="Q1318" s="184" t="n">
        <v>0</v>
      </c>
      <c r="R1318" s="184" t="n">
        <v>0</v>
      </c>
      <c r="S1318" s="183" t="n">
        <v>0</v>
      </c>
      <c r="T1318" s="183" t="n">
        <v>0</v>
      </c>
      <c r="U1318" s="182" t="n">
        <v>0</v>
      </c>
      <c r="V1318" s="182" t="n">
        <v>0</v>
      </c>
      <c r="W1318" s="182" t="n">
        <v>0</v>
      </c>
      <c r="X1318" s="182" t="n">
        <v>1</v>
      </c>
      <c r="Y1318" s="182" t="n">
        <v>0</v>
      </c>
      <c r="Z1318" s="182" t="n">
        <v>0</v>
      </c>
      <c r="AA1318" s="182" t="n">
        <v>0</v>
      </c>
      <c r="AB1318" s="182" t="n">
        <v>0</v>
      </c>
      <c r="AC1318" s="182" t="n">
        <v>0</v>
      </c>
      <c r="AD1318" s="182" t="n">
        <v>0</v>
      </c>
      <c r="AE1318" s="182" t="n">
        <v>0</v>
      </c>
      <c r="AF1318" s="182" t="n">
        <v>0</v>
      </c>
      <c r="AG1318" s="182" t="n">
        <v>0</v>
      </c>
      <c r="AH1318" s="182" t="n">
        <v>0</v>
      </c>
      <c r="AI1318" s="182" t="n">
        <v>0</v>
      </c>
      <c r="AJ1318" s="182" t="n">
        <v>0</v>
      </c>
      <c r="AK1318" s="182" t="n">
        <v>10.92</v>
      </c>
      <c r="AL1318" s="182" t="n">
        <v>0</v>
      </c>
      <c r="AM1318" s="182" t="n">
        <v>0.08</v>
      </c>
      <c r="AN1318" s="182" t="n">
        <v>0</v>
      </c>
    </row>
    <row r="1319">
      <c r="A1319" s="155" t="n">
        <v>46087</v>
      </c>
      <c r="B1319" s="156" t="inlineStr">
        <is>
          <t>NS</t>
        </is>
      </c>
      <c r="C1319" s="156" t="inlineStr">
        <is>
          <t>WL-021</t>
        </is>
      </c>
      <c r="D1319" s="156" t="inlineStr">
        <is>
          <t>SANY - Loader</t>
        </is>
      </c>
      <c r="E1319" s="156" t="inlineStr">
        <is>
          <t>Loader</t>
        </is>
      </c>
      <c r="F1319" s="156" t="inlineStr"/>
      <c r="G1319" s="182" t="n">
        <v>0</v>
      </c>
      <c r="H1319" s="182" t="n">
        <v>0</v>
      </c>
      <c r="I1319" s="182" t="n">
        <v>12</v>
      </c>
      <c r="J1319" s="182" t="n">
        <v>12</v>
      </c>
      <c r="K1319" s="182" t="n">
        <v>0</v>
      </c>
      <c r="L1319" s="182" t="n">
        <v>12</v>
      </c>
      <c r="M1319" s="182" t="n">
        <v>0</v>
      </c>
      <c r="N1319" s="182" t="n">
        <v>0</v>
      </c>
      <c r="O1319" s="183" t="n">
        <v>0</v>
      </c>
      <c r="P1319" s="183" t="n">
        <v>0</v>
      </c>
      <c r="Q1319" s="184" t="n">
        <v>0</v>
      </c>
      <c r="R1319" s="184" t="n">
        <v>0</v>
      </c>
      <c r="S1319" s="183" t="n">
        <v>0</v>
      </c>
      <c r="T1319" s="183" t="n">
        <v>0</v>
      </c>
      <c r="U1319" s="182" t="n">
        <v>0</v>
      </c>
      <c r="V1319" s="182" t="n">
        <v>0</v>
      </c>
      <c r="W1319" s="182" t="n">
        <v>0</v>
      </c>
      <c r="X1319" s="182" t="n">
        <v>0</v>
      </c>
      <c r="Y1319" s="182" t="n">
        <v>0</v>
      </c>
      <c r="Z1319" s="182" t="n">
        <v>0</v>
      </c>
      <c r="AA1319" s="182" t="n">
        <v>0</v>
      </c>
      <c r="AB1319" s="182" t="n">
        <v>0</v>
      </c>
      <c r="AC1319" s="182" t="n">
        <v>0</v>
      </c>
      <c r="AD1319" s="182" t="n">
        <v>0</v>
      </c>
      <c r="AE1319" s="182" t="n">
        <v>0</v>
      </c>
      <c r="AF1319" s="182" t="n">
        <v>0</v>
      </c>
      <c r="AG1319" s="182" t="n">
        <v>0</v>
      </c>
      <c r="AH1319" s="182" t="n">
        <v>0</v>
      </c>
      <c r="AI1319" s="182" t="n">
        <v>0</v>
      </c>
      <c r="AJ1319" s="182" t="n">
        <v>0</v>
      </c>
      <c r="AK1319" s="182" t="n">
        <v>0</v>
      </c>
      <c r="AL1319" s="182" t="n">
        <v>0</v>
      </c>
      <c r="AM1319" s="182" t="n">
        <v>0</v>
      </c>
      <c r="AN1319" s="182" t="n">
        <v>0</v>
      </c>
    </row>
    <row r="1320">
      <c r="A1320" s="155" t="n">
        <v>46087</v>
      </c>
      <c r="B1320" s="156" t="inlineStr">
        <is>
          <t>NS</t>
        </is>
      </c>
      <c r="C1320" s="156" t="inlineStr">
        <is>
          <t>WL-022</t>
        </is>
      </c>
      <c r="D1320" s="156" t="inlineStr">
        <is>
          <t>SANY - Loader</t>
        </is>
      </c>
      <c r="E1320" s="156" t="inlineStr">
        <is>
          <t>Loader</t>
        </is>
      </c>
      <c r="F1320" s="156" t="inlineStr">
        <is>
          <t>Support Washing Plant</t>
        </is>
      </c>
      <c r="G1320" s="182" t="n">
        <v>10.64</v>
      </c>
      <c r="H1320" s="182" t="n">
        <v>0</v>
      </c>
      <c r="I1320" s="182" t="n">
        <v>0</v>
      </c>
      <c r="J1320" s="182" t="n">
        <v>0</v>
      </c>
      <c r="K1320" s="182" t="n">
        <v>1.36</v>
      </c>
      <c r="L1320" s="182" t="n">
        <v>12</v>
      </c>
      <c r="M1320" s="182" t="n">
        <v>0</v>
      </c>
      <c r="N1320" s="182" t="n">
        <v>0</v>
      </c>
      <c r="O1320" s="183" t="n">
        <v>0</v>
      </c>
      <c r="P1320" s="183" t="n">
        <v>0</v>
      </c>
      <c r="Q1320" s="184" t="n">
        <v>0</v>
      </c>
      <c r="R1320" s="184" t="n">
        <v>0</v>
      </c>
      <c r="S1320" s="183" t="n">
        <v>0</v>
      </c>
      <c r="T1320" s="183" t="n">
        <v>0</v>
      </c>
      <c r="U1320" s="182" t="n">
        <v>0</v>
      </c>
      <c r="V1320" s="182" t="n">
        <v>0</v>
      </c>
      <c r="W1320" s="182" t="n">
        <v>0</v>
      </c>
      <c r="X1320" s="182" t="n">
        <v>1.24</v>
      </c>
      <c r="Y1320" s="182" t="n">
        <v>0</v>
      </c>
      <c r="Z1320" s="182" t="n">
        <v>0</v>
      </c>
      <c r="AA1320" s="182" t="n">
        <v>0</v>
      </c>
      <c r="AB1320" s="182" t="n">
        <v>0</v>
      </c>
      <c r="AC1320" s="182" t="n">
        <v>0</v>
      </c>
      <c r="AD1320" s="182" t="n">
        <v>0</v>
      </c>
      <c r="AE1320" s="182" t="n">
        <v>0</v>
      </c>
      <c r="AF1320" s="182" t="n">
        <v>0</v>
      </c>
      <c r="AG1320" s="182" t="n">
        <v>0</v>
      </c>
      <c r="AH1320" s="182" t="n">
        <v>0.02</v>
      </c>
      <c r="AI1320" s="182" t="n">
        <v>0</v>
      </c>
      <c r="AJ1320" s="182" t="n">
        <v>0</v>
      </c>
      <c r="AK1320" s="182" t="n">
        <v>0</v>
      </c>
      <c r="AL1320" s="182" t="n">
        <v>0</v>
      </c>
      <c r="AM1320" s="182" t="n">
        <v>0.1</v>
      </c>
      <c r="AN1320" s="182" t="n">
        <v>0</v>
      </c>
    </row>
    <row r="1321">
      <c r="A1321" s="155" t="n">
        <v>46087</v>
      </c>
      <c r="B1321" s="156" t="inlineStr">
        <is>
          <t>NS</t>
        </is>
      </c>
      <c r="C1321" s="156" t="inlineStr">
        <is>
          <t>WL-024</t>
        </is>
      </c>
      <c r="D1321" s="156" t="inlineStr">
        <is>
          <t>SANY - Loader</t>
        </is>
      </c>
      <c r="E1321" s="156" t="inlineStr">
        <is>
          <t>Loader</t>
        </is>
      </c>
      <c r="F1321" s="156" t="inlineStr">
        <is>
          <t>Support Washing Plant</t>
        </is>
      </c>
      <c r="G1321" s="182" t="n">
        <v>10.64</v>
      </c>
      <c r="H1321" s="182" t="n">
        <v>0</v>
      </c>
      <c r="I1321" s="182" t="n">
        <v>0</v>
      </c>
      <c r="J1321" s="182" t="n">
        <v>0</v>
      </c>
      <c r="K1321" s="182" t="n">
        <v>1.36</v>
      </c>
      <c r="L1321" s="182" t="n">
        <v>12</v>
      </c>
      <c r="M1321" s="182" t="n">
        <v>0</v>
      </c>
      <c r="N1321" s="182" t="n">
        <v>0</v>
      </c>
      <c r="O1321" s="183" t="n">
        <v>0</v>
      </c>
      <c r="P1321" s="183" t="n">
        <v>0</v>
      </c>
      <c r="Q1321" s="184" t="n">
        <v>0</v>
      </c>
      <c r="R1321" s="184" t="n">
        <v>0</v>
      </c>
      <c r="S1321" s="183" t="n">
        <v>0</v>
      </c>
      <c r="T1321" s="183" t="n">
        <v>0</v>
      </c>
      <c r="U1321" s="182" t="n">
        <v>0</v>
      </c>
      <c r="V1321" s="182" t="n">
        <v>0</v>
      </c>
      <c r="W1321" s="182" t="n">
        <v>0</v>
      </c>
      <c r="X1321" s="182" t="n">
        <v>0.97</v>
      </c>
      <c r="Y1321" s="182" t="n">
        <v>0</v>
      </c>
      <c r="Z1321" s="182" t="n">
        <v>0</v>
      </c>
      <c r="AA1321" s="182" t="n">
        <v>0</v>
      </c>
      <c r="AB1321" s="182" t="n">
        <v>0</v>
      </c>
      <c r="AC1321" s="182" t="n">
        <v>0</v>
      </c>
      <c r="AD1321" s="182" t="n">
        <v>0</v>
      </c>
      <c r="AE1321" s="182" t="n">
        <v>0</v>
      </c>
      <c r="AF1321" s="182" t="n">
        <v>0</v>
      </c>
      <c r="AG1321" s="182" t="n">
        <v>0</v>
      </c>
      <c r="AH1321" s="182" t="n">
        <v>0.31</v>
      </c>
      <c r="AI1321" s="182" t="n">
        <v>0</v>
      </c>
      <c r="AJ1321" s="182" t="n">
        <v>0</v>
      </c>
      <c r="AK1321" s="182" t="n">
        <v>0</v>
      </c>
      <c r="AL1321" s="182" t="n">
        <v>0</v>
      </c>
      <c r="AM1321" s="182" t="n">
        <v>0.08</v>
      </c>
      <c r="AN1321" s="182" t="n">
        <v>0</v>
      </c>
    </row>
    <row r="1322">
      <c r="A1322" s="155" t="n">
        <v>46088</v>
      </c>
      <c r="B1322" s="156" t="inlineStr">
        <is>
          <t>DS</t>
        </is>
      </c>
      <c r="C1322" s="156" t="inlineStr">
        <is>
          <t>DZ-034</t>
        </is>
      </c>
      <c r="D1322" s="156" t="inlineStr">
        <is>
          <t>D 68ESS-12EO</t>
        </is>
      </c>
      <c r="E1322" s="156" t="inlineStr">
        <is>
          <t>Bulldozer</t>
        </is>
      </c>
      <c r="F1322" s="156" t="inlineStr"/>
      <c r="G1322" s="182" t="n">
        <v>0</v>
      </c>
      <c r="H1322" s="182" t="n">
        <v>0</v>
      </c>
      <c r="I1322" s="182" t="n">
        <v>12</v>
      </c>
      <c r="J1322" s="182" t="n">
        <v>12</v>
      </c>
      <c r="K1322" s="182" t="n">
        <v>0</v>
      </c>
      <c r="L1322" s="182" t="n">
        <v>12</v>
      </c>
      <c r="M1322" s="182" t="n">
        <v>0</v>
      </c>
      <c r="N1322" s="182" t="n">
        <v>0</v>
      </c>
      <c r="O1322" s="183" t="n">
        <v>0</v>
      </c>
      <c r="P1322" s="183" t="n">
        <v>0</v>
      </c>
      <c r="Q1322" s="184" t="n">
        <v>0</v>
      </c>
      <c r="R1322" s="184" t="n">
        <v>0</v>
      </c>
      <c r="S1322" s="183" t="n">
        <v>0</v>
      </c>
      <c r="T1322" s="183" t="n">
        <v>0</v>
      </c>
      <c r="U1322" s="182" t="n">
        <v>0</v>
      </c>
      <c r="V1322" s="182" t="n">
        <v>0</v>
      </c>
      <c r="W1322" s="182" t="n">
        <v>0</v>
      </c>
      <c r="X1322" s="182" t="n">
        <v>0</v>
      </c>
      <c r="Y1322" s="182" t="n">
        <v>0</v>
      </c>
      <c r="Z1322" s="182" t="n">
        <v>0</v>
      </c>
      <c r="AA1322" s="182" t="n">
        <v>0</v>
      </c>
      <c r="AB1322" s="182" t="n">
        <v>0</v>
      </c>
      <c r="AC1322" s="182" t="n">
        <v>0</v>
      </c>
      <c r="AD1322" s="182" t="n">
        <v>0</v>
      </c>
      <c r="AE1322" s="182" t="n">
        <v>0</v>
      </c>
      <c r="AF1322" s="182" t="n">
        <v>0</v>
      </c>
      <c r="AG1322" s="182" t="n">
        <v>0</v>
      </c>
      <c r="AH1322" s="182" t="n">
        <v>0</v>
      </c>
      <c r="AI1322" s="182" t="n">
        <v>0</v>
      </c>
      <c r="AJ1322" s="182" t="n">
        <v>0</v>
      </c>
      <c r="AK1322" s="182" t="n">
        <v>0</v>
      </c>
      <c r="AL1322" s="182" t="n">
        <v>0</v>
      </c>
      <c r="AM1322" s="182" t="n">
        <v>0</v>
      </c>
      <c r="AN1322" s="182" t="n">
        <v>0</v>
      </c>
    </row>
    <row r="1323">
      <c r="A1323" s="155" t="n">
        <v>46088</v>
      </c>
      <c r="B1323" s="156" t="inlineStr">
        <is>
          <t>DS</t>
        </is>
      </c>
      <c r="C1323" s="156" t="inlineStr">
        <is>
          <t>DZ-033</t>
        </is>
      </c>
      <c r="D1323" s="156" t="inlineStr">
        <is>
          <t>D 375A-6R</t>
        </is>
      </c>
      <c r="E1323" s="156" t="inlineStr">
        <is>
          <t>Bulldozer</t>
        </is>
      </c>
      <c r="F1323" s="156" t="inlineStr">
        <is>
          <t>Support Disposal</t>
        </is>
      </c>
      <c r="G1323" s="182" t="n">
        <v>9.17</v>
      </c>
      <c r="H1323" s="182" t="n">
        <v>0</v>
      </c>
      <c r="I1323" s="182" t="n">
        <v>2.4</v>
      </c>
      <c r="J1323" s="182" t="n">
        <v>2.4</v>
      </c>
      <c r="K1323" s="182" t="n">
        <v>0.43</v>
      </c>
      <c r="L1323" s="182" t="n">
        <v>12</v>
      </c>
      <c r="M1323" s="182" t="n">
        <v>0</v>
      </c>
      <c r="N1323" s="182" t="n">
        <v>0</v>
      </c>
      <c r="O1323" s="183" t="n">
        <v>0</v>
      </c>
      <c r="P1323" s="183" t="n">
        <v>0</v>
      </c>
      <c r="Q1323" s="184" t="n">
        <v>0</v>
      </c>
      <c r="R1323" s="184" t="n">
        <v>0</v>
      </c>
      <c r="S1323" s="183" t="n">
        <v>0</v>
      </c>
      <c r="T1323" s="183" t="n">
        <v>0</v>
      </c>
      <c r="U1323" s="182" t="n">
        <v>0</v>
      </c>
      <c r="V1323" s="182" t="n">
        <v>0</v>
      </c>
      <c r="W1323" s="182" t="n">
        <v>0</v>
      </c>
      <c r="X1323" s="182" t="n">
        <v>0.37</v>
      </c>
      <c r="Y1323" s="182" t="n">
        <v>0</v>
      </c>
      <c r="Z1323" s="182" t="n">
        <v>0</v>
      </c>
      <c r="AA1323" s="182" t="n">
        <v>0</v>
      </c>
      <c r="AB1323" s="182" t="n">
        <v>0</v>
      </c>
      <c r="AC1323" s="182" t="n">
        <v>0</v>
      </c>
      <c r="AD1323" s="182" t="n">
        <v>0</v>
      </c>
      <c r="AE1323" s="182" t="n">
        <v>0</v>
      </c>
      <c r="AF1323" s="182" t="n">
        <v>0</v>
      </c>
      <c r="AG1323" s="182" t="n">
        <v>0</v>
      </c>
      <c r="AH1323" s="182" t="n">
        <v>0</v>
      </c>
      <c r="AI1323" s="182" t="n">
        <v>0</v>
      </c>
      <c r="AJ1323" s="182" t="n">
        <v>0</v>
      </c>
      <c r="AK1323" s="182" t="n">
        <v>0</v>
      </c>
      <c r="AL1323" s="182" t="n">
        <v>0</v>
      </c>
      <c r="AM1323" s="182" t="n">
        <v>0.06</v>
      </c>
      <c r="AN1323" s="182" t="n">
        <v>0</v>
      </c>
    </row>
    <row r="1324">
      <c r="A1324" s="155" t="n">
        <v>46088</v>
      </c>
      <c r="B1324" s="156" t="inlineStr">
        <is>
          <t>DS</t>
        </is>
      </c>
      <c r="C1324" s="156" t="inlineStr">
        <is>
          <t>DZ-038</t>
        </is>
      </c>
      <c r="D1324" s="156" t="inlineStr">
        <is>
          <t>D 85 ESS-2</t>
        </is>
      </c>
      <c r="E1324" s="156" t="inlineStr">
        <is>
          <t>Bulldozer</t>
        </is>
      </c>
      <c r="F1324" s="156" t="inlineStr">
        <is>
          <t>Support Front Loading</t>
        </is>
      </c>
      <c r="G1324" s="182" t="n">
        <v>4.27</v>
      </c>
      <c r="H1324" s="182" t="n">
        <v>0</v>
      </c>
      <c r="I1324" s="182" t="n">
        <v>2.67</v>
      </c>
      <c r="J1324" s="182" t="n">
        <v>2.67</v>
      </c>
      <c r="K1324" s="182" t="n">
        <v>5.06</v>
      </c>
      <c r="L1324" s="182" t="n">
        <v>12</v>
      </c>
      <c r="M1324" s="182" t="n">
        <v>0</v>
      </c>
      <c r="N1324" s="182" t="n">
        <v>0</v>
      </c>
      <c r="O1324" s="183" t="n">
        <v>0</v>
      </c>
      <c r="P1324" s="183" t="n">
        <v>0</v>
      </c>
      <c r="Q1324" s="184" t="n">
        <v>0</v>
      </c>
      <c r="R1324" s="184" t="n">
        <v>0</v>
      </c>
      <c r="S1324" s="183" t="n">
        <v>0</v>
      </c>
      <c r="T1324" s="183" t="n">
        <v>0</v>
      </c>
      <c r="U1324" s="182" t="n">
        <v>1.26</v>
      </c>
      <c r="V1324" s="182" t="n">
        <v>0</v>
      </c>
      <c r="W1324" s="182" t="n">
        <v>0</v>
      </c>
      <c r="X1324" s="182" t="n">
        <v>0.97</v>
      </c>
      <c r="Y1324" s="182" t="n">
        <v>0</v>
      </c>
      <c r="Z1324" s="182" t="n">
        <v>0</v>
      </c>
      <c r="AA1324" s="182" t="n">
        <v>0</v>
      </c>
      <c r="AB1324" s="182" t="n">
        <v>0</v>
      </c>
      <c r="AC1324" s="182" t="n">
        <v>0</v>
      </c>
      <c r="AD1324" s="182" t="n">
        <v>0</v>
      </c>
      <c r="AE1324" s="182" t="n">
        <v>0</v>
      </c>
      <c r="AF1324" s="182" t="n">
        <v>0</v>
      </c>
      <c r="AG1324" s="182" t="n">
        <v>0</v>
      </c>
      <c r="AH1324" s="182" t="n">
        <v>0</v>
      </c>
      <c r="AI1324" s="182" t="n">
        <v>0</v>
      </c>
      <c r="AJ1324" s="182" t="n">
        <v>0</v>
      </c>
      <c r="AK1324" s="182" t="n">
        <v>2.76</v>
      </c>
      <c r="AL1324" s="182" t="n">
        <v>0</v>
      </c>
      <c r="AM1324" s="182" t="n">
        <v>0.08</v>
      </c>
      <c r="AN1324" s="182" t="n">
        <v>0</v>
      </c>
    </row>
    <row r="1325">
      <c r="A1325" s="155" t="n">
        <v>46088</v>
      </c>
      <c r="B1325" s="156" t="inlineStr">
        <is>
          <t>DS</t>
        </is>
      </c>
      <c r="C1325" s="156" t="inlineStr">
        <is>
          <t>DZ-039</t>
        </is>
      </c>
      <c r="D1325" s="156" t="inlineStr">
        <is>
          <t>D 85 ESS-2</t>
        </is>
      </c>
      <c r="E1325" s="156" t="inlineStr">
        <is>
          <t>Bulldozer</t>
        </is>
      </c>
      <c r="F1325" s="156" t="inlineStr">
        <is>
          <t>Travel ke WS Baru</t>
        </is>
      </c>
      <c r="G1325" s="182" t="n">
        <v>0.5</v>
      </c>
      <c r="H1325" s="182" t="n">
        <v>0</v>
      </c>
      <c r="I1325" s="182" t="n">
        <v>11.42</v>
      </c>
      <c r="J1325" s="182" t="n">
        <v>11.42</v>
      </c>
      <c r="K1325" s="182" t="n">
        <v>0.08</v>
      </c>
      <c r="L1325" s="182" t="n">
        <v>12</v>
      </c>
      <c r="M1325" s="182" t="n">
        <v>0</v>
      </c>
      <c r="N1325" s="182" t="n">
        <v>0</v>
      </c>
      <c r="O1325" s="183" t="n">
        <v>0</v>
      </c>
      <c r="P1325" s="183" t="n">
        <v>0</v>
      </c>
      <c r="Q1325" s="184" t="n">
        <v>0</v>
      </c>
      <c r="R1325" s="184" t="n">
        <v>0</v>
      </c>
      <c r="S1325" s="183" t="n">
        <v>0</v>
      </c>
      <c r="T1325" s="183" t="n">
        <v>0</v>
      </c>
      <c r="U1325" s="182" t="n">
        <v>0</v>
      </c>
      <c r="V1325" s="182" t="n">
        <v>0</v>
      </c>
      <c r="W1325" s="182" t="n">
        <v>0</v>
      </c>
      <c r="X1325" s="182" t="n">
        <v>0</v>
      </c>
      <c r="Y1325" s="182" t="n">
        <v>0</v>
      </c>
      <c r="Z1325" s="182" t="n">
        <v>0</v>
      </c>
      <c r="AA1325" s="182" t="n">
        <v>0</v>
      </c>
      <c r="AB1325" s="182" t="n">
        <v>0</v>
      </c>
      <c r="AC1325" s="182" t="n">
        <v>0</v>
      </c>
      <c r="AD1325" s="182" t="n">
        <v>0</v>
      </c>
      <c r="AE1325" s="182" t="n">
        <v>0</v>
      </c>
      <c r="AF1325" s="182" t="n">
        <v>0</v>
      </c>
      <c r="AG1325" s="182" t="n">
        <v>0</v>
      </c>
      <c r="AH1325" s="182" t="n">
        <v>0</v>
      </c>
      <c r="AI1325" s="182" t="n">
        <v>0</v>
      </c>
      <c r="AJ1325" s="182" t="n">
        <v>0</v>
      </c>
      <c r="AK1325" s="182" t="n">
        <v>0</v>
      </c>
      <c r="AL1325" s="182" t="n">
        <v>0</v>
      </c>
      <c r="AM1325" s="182" t="n">
        <v>0.08</v>
      </c>
      <c r="AN1325" s="182" t="n">
        <v>0</v>
      </c>
    </row>
    <row r="1326">
      <c r="A1326" s="155" t="n">
        <v>46088</v>
      </c>
      <c r="B1326" s="156" t="inlineStr">
        <is>
          <t>DS</t>
        </is>
      </c>
      <c r="C1326" s="156" t="inlineStr">
        <is>
          <t>DZ-032</t>
        </is>
      </c>
      <c r="D1326" s="156" t="inlineStr">
        <is>
          <t>CAT</t>
        </is>
      </c>
      <c r="E1326" s="156" t="inlineStr">
        <is>
          <t>Bulldozer</t>
        </is>
      </c>
      <c r="F1326" s="156" t="inlineStr"/>
      <c r="G1326" s="182" t="n">
        <v>0</v>
      </c>
      <c r="H1326" s="182" t="n">
        <v>0</v>
      </c>
      <c r="I1326" s="182" t="n">
        <v>12</v>
      </c>
      <c r="J1326" s="182" t="n">
        <v>12</v>
      </c>
      <c r="K1326" s="182" t="n">
        <v>0</v>
      </c>
      <c r="L1326" s="182" t="n">
        <v>12</v>
      </c>
      <c r="M1326" s="182" t="n">
        <v>0</v>
      </c>
      <c r="N1326" s="182" t="n">
        <v>0</v>
      </c>
      <c r="O1326" s="183" t="n">
        <v>0</v>
      </c>
      <c r="P1326" s="183" t="n">
        <v>0</v>
      </c>
      <c r="Q1326" s="184" t="n">
        <v>0</v>
      </c>
      <c r="R1326" s="184" t="n">
        <v>0</v>
      </c>
      <c r="S1326" s="183" t="n">
        <v>0</v>
      </c>
      <c r="T1326" s="183" t="n">
        <v>0</v>
      </c>
      <c r="U1326" s="182" t="n">
        <v>0</v>
      </c>
      <c r="V1326" s="182" t="n">
        <v>0</v>
      </c>
      <c r="W1326" s="182" t="n">
        <v>0</v>
      </c>
      <c r="X1326" s="182" t="n">
        <v>0</v>
      </c>
      <c r="Y1326" s="182" t="n">
        <v>0</v>
      </c>
      <c r="Z1326" s="182" t="n">
        <v>0</v>
      </c>
      <c r="AA1326" s="182" t="n">
        <v>0</v>
      </c>
      <c r="AB1326" s="182" t="n">
        <v>0</v>
      </c>
      <c r="AC1326" s="182" t="n">
        <v>0</v>
      </c>
      <c r="AD1326" s="182" t="n">
        <v>0</v>
      </c>
      <c r="AE1326" s="182" t="n">
        <v>0</v>
      </c>
      <c r="AF1326" s="182" t="n">
        <v>0</v>
      </c>
      <c r="AG1326" s="182" t="n">
        <v>0</v>
      </c>
      <c r="AH1326" s="182" t="n">
        <v>0</v>
      </c>
      <c r="AI1326" s="182" t="n">
        <v>0</v>
      </c>
      <c r="AJ1326" s="182" t="n">
        <v>0</v>
      </c>
      <c r="AK1326" s="182" t="n">
        <v>0</v>
      </c>
      <c r="AL1326" s="182" t="n">
        <v>0</v>
      </c>
      <c r="AM1326" s="182" t="n">
        <v>0</v>
      </c>
      <c r="AN1326" s="182" t="n">
        <v>0</v>
      </c>
    </row>
    <row r="1327">
      <c r="A1327" s="155" t="n">
        <v>46088</v>
      </c>
      <c r="B1327" s="156" t="inlineStr">
        <is>
          <t>DS</t>
        </is>
      </c>
      <c r="C1327" s="156" t="inlineStr">
        <is>
          <t>DZ-031</t>
        </is>
      </c>
      <c r="D1327" s="156" t="inlineStr">
        <is>
          <t>CAT</t>
        </is>
      </c>
      <c r="E1327" s="156" t="inlineStr">
        <is>
          <t>Bulldozer</t>
        </is>
      </c>
      <c r="F1327" s="156" t="inlineStr">
        <is>
          <t>Support Front Loading</t>
        </is>
      </c>
      <c r="G1327" s="182" t="n">
        <v>9.16</v>
      </c>
      <c r="H1327" s="182" t="n">
        <v>0</v>
      </c>
      <c r="I1327" s="182" t="n">
        <v>1</v>
      </c>
      <c r="J1327" s="182" t="n">
        <v>1</v>
      </c>
      <c r="K1327" s="182" t="n">
        <v>1.84</v>
      </c>
      <c r="L1327" s="182" t="n">
        <v>12</v>
      </c>
      <c r="M1327" s="182" t="n">
        <v>0</v>
      </c>
      <c r="N1327" s="182" t="n">
        <v>0</v>
      </c>
      <c r="O1327" s="183" t="n">
        <v>0</v>
      </c>
      <c r="P1327" s="183" t="n">
        <v>0</v>
      </c>
      <c r="Q1327" s="184" t="n">
        <v>0</v>
      </c>
      <c r="R1327" s="184" t="n">
        <v>0</v>
      </c>
      <c r="S1327" s="183" t="n">
        <v>0</v>
      </c>
      <c r="T1327" s="183" t="n">
        <v>0</v>
      </c>
      <c r="U1327" s="182" t="n">
        <v>0.6</v>
      </c>
      <c r="V1327" s="182" t="n">
        <v>0</v>
      </c>
      <c r="W1327" s="182" t="n">
        <v>0</v>
      </c>
      <c r="X1327" s="182" t="n">
        <v>1.15</v>
      </c>
      <c r="Y1327" s="182" t="n">
        <v>0</v>
      </c>
      <c r="Z1327" s="182" t="n">
        <v>0</v>
      </c>
      <c r="AA1327" s="182" t="n">
        <v>0</v>
      </c>
      <c r="AB1327" s="182" t="n">
        <v>0</v>
      </c>
      <c r="AC1327" s="182" t="n">
        <v>0</v>
      </c>
      <c r="AD1327" s="182" t="n">
        <v>0</v>
      </c>
      <c r="AE1327" s="182" t="n">
        <v>0</v>
      </c>
      <c r="AF1327" s="182" t="n">
        <v>0</v>
      </c>
      <c r="AG1327" s="182" t="n">
        <v>0</v>
      </c>
      <c r="AH1327" s="182" t="n">
        <v>0</v>
      </c>
      <c r="AI1327" s="182" t="n">
        <v>0</v>
      </c>
      <c r="AJ1327" s="182" t="n">
        <v>0</v>
      </c>
      <c r="AK1327" s="182" t="n">
        <v>0</v>
      </c>
      <c r="AL1327" s="182" t="n">
        <v>0</v>
      </c>
      <c r="AM1327" s="182" t="n">
        <v>0.09</v>
      </c>
      <c r="AN1327" s="182" t="n">
        <v>0</v>
      </c>
    </row>
    <row r="1328">
      <c r="A1328" s="155" t="n">
        <v>46088</v>
      </c>
      <c r="B1328" s="156" t="inlineStr">
        <is>
          <t>DS</t>
        </is>
      </c>
      <c r="C1328" s="156" t="inlineStr">
        <is>
          <t>DZ-037</t>
        </is>
      </c>
      <c r="D1328" s="156" t="inlineStr">
        <is>
          <t>D 85 ESS-2</t>
        </is>
      </c>
      <c r="E1328" s="156" t="inlineStr">
        <is>
          <t>Bulldozer</t>
        </is>
      </c>
      <c r="F1328" s="156" t="inlineStr"/>
      <c r="G1328" s="182" t="n">
        <v>0</v>
      </c>
      <c r="H1328" s="182" t="n">
        <v>0</v>
      </c>
      <c r="I1328" s="182" t="n">
        <v>12</v>
      </c>
      <c r="J1328" s="182" t="n">
        <v>12</v>
      </c>
      <c r="K1328" s="182" t="n">
        <v>0</v>
      </c>
      <c r="L1328" s="182" t="n">
        <v>12</v>
      </c>
      <c r="M1328" s="182" t="n">
        <v>0</v>
      </c>
      <c r="N1328" s="182" t="n">
        <v>0</v>
      </c>
      <c r="O1328" s="183" t="n">
        <v>0</v>
      </c>
      <c r="P1328" s="183" t="n">
        <v>0</v>
      </c>
      <c r="Q1328" s="184" t="n">
        <v>0</v>
      </c>
      <c r="R1328" s="184" t="n">
        <v>0</v>
      </c>
      <c r="S1328" s="183" t="n">
        <v>0</v>
      </c>
      <c r="T1328" s="183" t="n">
        <v>0</v>
      </c>
      <c r="U1328" s="182" t="n">
        <v>0</v>
      </c>
      <c r="V1328" s="182" t="n">
        <v>0</v>
      </c>
      <c r="W1328" s="182" t="n">
        <v>0</v>
      </c>
      <c r="X1328" s="182" t="n">
        <v>0</v>
      </c>
      <c r="Y1328" s="182" t="n">
        <v>0</v>
      </c>
      <c r="Z1328" s="182" t="n">
        <v>0</v>
      </c>
      <c r="AA1328" s="182" t="n">
        <v>0</v>
      </c>
      <c r="AB1328" s="182" t="n">
        <v>0</v>
      </c>
      <c r="AC1328" s="182" t="n">
        <v>0</v>
      </c>
      <c r="AD1328" s="182" t="n">
        <v>0</v>
      </c>
      <c r="AE1328" s="182" t="n">
        <v>0</v>
      </c>
      <c r="AF1328" s="182" t="n">
        <v>0</v>
      </c>
      <c r="AG1328" s="182" t="n">
        <v>0</v>
      </c>
      <c r="AH1328" s="182" t="n">
        <v>0</v>
      </c>
      <c r="AI1328" s="182" t="n">
        <v>0</v>
      </c>
      <c r="AJ1328" s="182" t="n">
        <v>0</v>
      </c>
      <c r="AK1328" s="182" t="n">
        <v>0</v>
      </c>
      <c r="AL1328" s="182" t="n">
        <v>0</v>
      </c>
      <c r="AM1328" s="182" t="n">
        <v>0</v>
      </c>
      <c r="AN1328" s="182" t="n">
        <v>0</v>
      </c>
    </row>
    <row r="1329">
      <c r="A1329" s="155" t="n">
        <v>46088</v>
      </c>
      <c r="B1329" s="156" t="inlineStr">
        <is>
          <t>DS</t>
        </is>
      </c>
      <c r="C1329" s="156" t="inlineStr">
        <is>
          <t>DZ-036</t>
        </is>
      </c>
      <c r="D1329" s="156" t="inlineStr">
        <is>
          <t>D 85 ESS-2</t>
        </is>
      </c>
      <c r="E1329" s="156" t="inlineStr">
        <is>
          <t>Bulldozer</t>
        </is>
      </c>
      <c r="F1329" s="156" t="inlineStr">
        <is>
          <t>General Jetty</t>
        </is>
      </c>
      <c r="G1329" s="182" t="n">
        <v>3.86</v>
      </c>
      <c r="H1329" s="182" t="n">
        <v>0</v>
      </c>
      <c r="I1329" s="182" t="n">
        <v>0</v>
      </c>
      <c r="J1329" s="182" t="n">
        <v>0</v>
      </c>
      <c r="K1329" s="182" t="n">
        <v>8.140000000000001</v>
      </c>
      <c r="L1329" s="182" t="n">
        <v>12</v>
      </c>
      <c r="M1329" s="182" t="n">
        <v>0</v>
      </c>
      <c r="N1329" s="182" t="n">
        <v>0</v>
      </c>
      <c r="O1329" s="183" t="n">
        <v>0</v>
      </c>
      <c r="P1329" s="183" t="n">
        <v>0</v>
      </c>
      <c r="Q1329" s="184" t="n">
        <v>0</v>
      </c>
      <c r="R1329" s="184" t="n">
        <v>0</v>
      </c>
      <c r="S1329" s="183" t="n">
        <v>0</v>
      </c>
      <c r="T1329" s="183" t="n">
        <v>0</v>
      </c>
      <c r="U1329" s="182" t="n">
        <v>0</v>
      </c>
      <c r="V1329" s="182" t="n">
        <v>0</v>
      </c>
      <c r="W1329" s="182" t="n">
        <v>0</v>
      </c>
      <c r="X1329" s="182" t="n">
        <v>0.99</v>
      </c>
      <c r="Y1329" s="182" t="n">
        <v>0</v>
      </c>
      <c r="Z1329" s="182" t="n">
        <v>0</v>
      </c>
      <c r="AA1329" s="182" t="n">
        <v>0</v>
      </c>
      <c r="AB1329" s="182" t="n">
        <v>0</v>
      </c>
      <c r="AC1329" s="182" t="n">
        <v>0</v>
      </c>
      <c r="AD1329" s="182" t="n">
        <v>0</v>
      </c>
      <c r="AE1329" s="182" t="n">
        <v>0</v>
      </c>
      <c r="AF1329" s="182" t="n">
        <v>0</v>
      </c>
      <c r="AG1329" s="182" t="n">
        <v>0</v>
      </c>
      <c r="AH1329" s="182" t="n">
        <v>0</v>
      </c>
      <c r="AI1329" s="182" t="n">
        <v>0</v>
      </c>
      <c r="AJ1329" s="182" t="n">
        <v>0</v>
      </c>
      <c r="AK1329" s="182" t="n">
        <v>7.07</v>
      </c>
      <c r="AL1329" s="182" t="n">
        <v>0</v>
      </c>
      <c r="AM1329" s="182" t="n">
        <v>0.08</v>
      </c>
      <c r="AN1329" s="182" t="n">
        <v>0</v>
      </c>
    </row>
    <row r="1330">
      <c r="A1330" s="155" t="n">
        <v>46088</v>
      </c>
      <c r="B1330" s="156" t="inlineStr">
        <is>
          <t>DS</t>
        </is>
      </c>
      <c r="C1330" s="156" t="inlineStr">
        <is>
          <t>DZ-035</t>
        </is>
      </c>
      <c r="D1330" s="156" t="inlineStr">
        <is>
          <t>D 85 ESS-2</t>
        </is>
      </c>
      <c r="E1330" s="156" t="inlineStr">
        <is>
          <t>Bulldozer</t>
        </is>
      </c>
      <c r="F1330" s="156" t="inlineStr">
        <is>
          <t>Support Disposal</t>
        </is>
      </c>
      <c r="G1330" s="182" t="n">
        <v>9.289999999999999</v>
      </c>
      <c r="H1330" s="182" t="n">
        <v>0</v>
      </c>
      <c r="I1330" s="182" t="n">
        <v>0</v>
      </c>
      <c r="J1330" s="182" t="n">
        <v>0</v>
      </c>
      <c r="K1330" s="182" t="n">
        <v>2.71</v>
      </c>
      <c r="L1330" s="182" t="n">
        <v>12</v>
      </c>
      <c r="M1330" s="182" t="n">
        <v>0</v>
      </c>
      <c r="N1330" s="182" t="n">
        <v>0</v>
      </c>
      <c r="O1330" s="183" t="n">
        <v>0</v>
      </c>
      <c r="P1330" s="183" t="n">
        <v>0</v>
      </c>
      <c r="Q1330" s="184" t="n">
        <v>0</v>
      </c>
      <c r="R1330" s="184" t="n">
        <v>0</v>
      </c>
      <c r="S1330" s="183" t="n">
        <v>0</v>
      </c>
      <c r="T1330" s="183" t="n">
        <v>0</v>
      </c>
      <c r="U1330" s="182" t="n">
        <v>1.21</v>
      </c>
      <c r="V1330" s="182" t="n">
        <v>0</v>
      </c>
      <c r="W1330" s="182" t="n">
        <v>0</v>
      </c>
      <c r="X1330" s="182" t="n">
        <v>0.93</v>
      </c>
      <c r="Y1330" s="182" t="n">
        <v>0</v>
      </c>
      <c r="Z1330" s="182" t="n">
        <v>0</v>
      </c>
      <c r="AA1330" s="182" t="n">
        <v>0</v>
      </c>
      <c r="AB1330" s="182" t="n">
        <v>0</v>
      </c>
      <c r="AC1330" s="182" t="n">
        <v>0</v>
      </c>
      <c r="AD1330" s="182" t="n">
        <v>0</v>
      </c>
      <c r="AE1330" s="182" t="n">
        <v>0</v>
      </c>
      <c r="AF1330" s="182" t="n">
        <v>0</v>
      </c>
      <c r="AG1330" s="182" t="n">
        <v>0</v>
      </c>
      <c r="AH1330" s="182" t="n">
        <v>0</v>
      </c>
      <c r="AI1330" s="182" t="n">
        <v>0</v>
      </c>
      <c r="AJ1330" s="182" t="n">
        <v>0</v>
      </c>
      <c r="AK1330" s="182" t="n">
        <v>0.49</v>
      </c>
      <c r="AL1330" s="182" t="n">
        <v>0</v>
      </c>
      <c r="AM1330" s="182" t="n">
        <v>0.07000000000000001</v>
      </c>
      <c r="AN1330" s="182" t="n">
        <v>0</v>
      </c>
    </row>
    <row r="1331">
      <c r="A1331" s="155" t="n">
        <v>46088</v>
      </c>
      <c r="B1331" s="156" t="inlineStr">
        <is>
          <t>DS</t>
        </is>
      </c>
      <c r="C1331" s="156" t="inlineStr">
        <is>
          <t>CP-042</t>
        </is>
      </c>
      <c r="D1331" s="156" t="inlineStr">
        <is>
          <t>SANY - Compactor</t>
        </is>
      </c>
      <c r="E1331" s="156" t="inlineStr">
        <is>
          <t>Compactor</t>
        </is>
      </c>
      <c r="F1331" s="156" t="inlineStr"/>
      <c r="G1331" s="182" t="n">
        <v>0</v>
      </c>
      <c r="H1331" s="182" t="n">
        <v>0</v>
      </c>
      <c r="I1331" s="182" t="n">
        <v>0</v>
      </c>
      <c r="J1331" s="182" t="n">
        <v>0</v>
      </c>
      <c r="K1331" s="182" t="n">
        <v>12</v>
      </c>
      <c r="L1331" s="182" t="n">
        <v>12</v>
      </c>
      <c r="M1331" s="182" t="n">
        <v>0</v>
      </c>
      <c r="N1331" s="182" t="n">
        <v>0</v>
      </c>
      <c r="O1331" s="183" t="n">
        <v>0</v>
      </c>
      <c r="P1331" s="183" t="n">
        <v>0</v>
      </c>
      <c r="Q1331" s="184" t="n">
        <v>0</v>
      </c>
      <c r="R1331" s="184" t="n">
        <v>0</v>
      </c>
      <c r="S1331" s="183" t="n">
        <v>0</v>
      </c>
      <c r="T1331" s="183" t="n">
        <v>0</v>
      </c>
      <c r="U1331" s="182" t="n">
        <v>0</v>
      </c>
      <c r="V1331" s="182" t="n">
        <v>0</v>
      </c>
      <c r="W1331" s="182" t="n">
        <v>0</v>
      </c>
      <c r="X1331" s="182" t="n">
        <v>1</v>
      </c>
      <c r="Y1331" s="182" t="n">
        <v>0</v>
      </c>
      <c r="Z1331" s="182" t="n">
        <v>0</v>
      </c>
      <c r="AA1331" s="182" t="n">
        <v>0</v>
      </c>
      <c r="AB1331" s="182" t="n">
        <v>0</v>
      </c>
      <c r="AC1331" s="182" t="n">
        <v>0</v>
      </c>
      <c r="AD1331" s="182" t="n">
        <v>0</v>
      </c>
      <c r="AE1331" s="182" t="n">
        <v>0</v>
      </c>
      <c r="AF1331" s="182" t="n">
        <v>0</v>
      </c>
      <c r="AG1331" s="182" t="n">
        <v>0</v>
      </c>
      <c r="AH1331" s="182" t="n">
        <v>0</v>
      </c>
      <c r="AI1331" s="182" t="n">
        <v>0</v>
      </c>
      <c r="AJ1331" s="182" t="n">
        <v>0</v>
      </c>
      <c r="AK1331" s="182" t="n">
        <v>10.92</v>
      </c>
      <c r="AL1331" s="182" t="n">
        <v>0</v>
      </c>
      <c r="AM1331" s="182" t="n">
        <v>0.08</v>
      </c>
      <c r="AN1331" s="182" t="n">
        <v>0</v>
      </c>
    </row>
    <row r="1332">
      <c r="A1332" s="155" t="n">
        <v>46088</v>
      </c>
      <c r="B1332" s="156" t="inlineStr">
        <is>
          <t>DS</t>
        </is>
      </c>
      <c r="C1332" s="156" t="inlineStr">
        <is>
          <t>CP-041</t>
        </is>
      </c>
      <c r="D1332" s="156" t="inlineStr">
        <is>
          <t>SANY - Compactor</t>
        </is>
      </c>
      <c r="E1332" s="156" t="inlineStr">
        <is>
          <t>Compactor</t>
        </is>
      </c>
      <c r="F1332" s="156" t="inlineStr"/>
      <c r="G1332" s="182" t="n">
        <v>0</v>
      </c>
      <c r="H1332" s="182" t="n">
        <v>0</v>
      </c>
      <c r="I1332" s="182" t="n">
        <v>0</v>
      </c>
      <c r="J1332" s="182" t="n">
        <v>0</v>
      </c>
      <c r="K1332" s="182" t="n">
        <v>12</v>
      </c>
      <c r="L1332" s="182" t="n">
        <v>12</v>
      </c>
      <c r="M1332" s="182" t="n">
        <v>0</v>
      </c>
      <c r="N1332" s="182" t="n">
        <v>0</v>
      </c>
      <c r="O1332" s="183" t="n">
        <v>0</v>
      </c>
      <c r="P1332" s="183" t="n">
        <v>0</v>
      </c>
      <c r="Q1332" s="184" t="n">
        <v>0</v>
      </c>
      <c r="R1332" s="184" t="n">
        <v>0</v>
      </c>
      <c r="S1332" s="183" t="n">
        <v>0</v>
      </c>
      <c r="T1332" s="183" t="n">
        <v>0</v>
      </c>
      <c r="U1332" s="182" t="n">
        <v>0</v>
      </c>
      <c r="V1332" s="182" t="n">
        <v>0</v>
      </c>
      <c r="W1332" s="182" t="n">
        <v>0</v>
      </c>
      <c r="X1332" s="182" t="n">
        <v>1</v>
      </c>
      <c r="Y1332" s="182" t="n">
        <v>0</v>
      </c>
      <c r="Z1332" s="182" t="n">
        <v>0</v>
      </c>
      <c r="AA1332" s="182" t="n">
        <v>0</v>
      </c>
      <c r="AB1332" s="182" t="n">
        <v>0</v>
      </c>
      <c r="AC1332" s="182" t="n">
        <v>0</v>
      </c>
      <c r="AD1332" s="182" t="n">
        <v>0</v>
      </c>
      <c r="AE1332" s="182" t="n">
        <v>0</v>
      </c>
      <c r="AF1332" s="182" t="n">
        <v>0</v>
      </c>
      <c r="AG1332" s="182" t="n">
        <v>0</v>
      </c>
      <c r="AH1332" s="182" t="n">
        <v>0</v>
      </c>
      <c r="AI1332" s="182" t="n">
        <v>0</v>
      </c>
      <c r="AJ1332" s="182" t="n">
        <v>0</v>
      </c>
      <c r="AK1332" s="182" t="n">
        <v>10.92</v>
      </c>
      <c r="AL1332" s="182" t="n">
        <v>0</v>
      </c>
      <c r="AM1332" s="182" t="n">
        <v>0.08</v>
      </c>
      <c r="AN1332" s="182" t="n">
        <v>0</v>
      </c>
    </row>
    <row r="1333">
      <c r="A1333" s="155" t="n">
        <v>46088</v>
      </c>
      <c r="B1333" s="156" t="inlineStr">
        <is>
          <t>DS</t>
        </is>
      </c>
      <c r="C1333" s="156" t="inlineStr">
        <is>
          <t>HT-418</t>
        </is>
      </c>
      <c r="D1333" s="156" t="inlineStr">
        <is>
          <t>SY430</t>
        </is>
      </c>
      <c r="E1333" s="156" t="inlineStr">
        <is>
          <t>DT Hauling</t>
        </is>
      </c>
      <c r="F1333" s="156" t="inlineStr">
        <is>
          <t>Hauling Coal ke Jetty</t>
        </is>
      </c>
      <c r="G1333" s="182" t="n">
        <v>5.97</v>
      </c>
      <c r="H1333" s="182" t="n">
        <v>0</v>
      </c>
      <c r="I1333" s="182" t="n">
        <v>0</v>
      </c>
      <c r="J1333" s="182" t="n">
        <v>0</v>
      </c>
      <c r="K1333" s="182" t="n">
        <v>6.03</v>
      </c>
      <c r="L1333" s="182" t="n">
        <v>12</v>
      </c>
      <c r="M1333" s="182" t="n">
        <v>0</v>
      </c>
      <c r="N1333" s="182" t="n">
        <v>0</v>
      </c>
      <c r="O1333" s="183" t="n">
        <v>0</v>
      </c>
      <c r="P1333" s="183" t="n">
        <v>0</v>
      </c>
      <c r="Q1333" s="184" t="n">
        <v>0</v>
      </c>
      <c r="R1333" s="184" t="n">
        <v>0</v>
      </c>
      <c r="S1333" s="183" t="n">
        <v>0</v>
      </c>
      <c r="T1333" s="183" t="n">
        <v>0</v>
      </c>
      <c r="U1333" s="182" t="n">
        <v>0</v>
      </c>
      <c r="V1333" s="182" t="n">
        <v>0</v>
      </c>
      <c r="W1333" s="182" t="n">
        <v>0</v>
      </c>
      <c r="X1333" s="182" t="n">
        <v>1.02</v>
      </c>
      <c r="Y1333" s="182" t="n">
        <v>0</v>
      </c>
      <c r="Z1333" s="182" t="n">
        <v>0</v>
      </c>
      <c r="AA1333" s="182" t="n">
        <v>0</v>
      </c>
      <c r="AB1333" s="182" t="n">
        <v>0</v>
      </c>
      <c r="AC1333" s="182" t="n">
        <v>0</v>
      </c>
      <c r="AD1333" s="182" t="n">
        <v>0</v>
      </c>
      <c r="AE1333" s="182" t="n">
        <v>0</v>
      </c>
      <c r="AF1333" s="182" t="n">
        <v>0</v>
      </c>
      <c r="AG1333" s="182" t="n">
        <v>0</v>
      </c>
      <c r="AH1333" s="182" t="n">
        <v>0</v>
      </c>
      <c r="AI1333" s="182" t="n">
        <v>0</v>
      </c>
      <c r="AJ1333" s="182" t="n">
        <v>0</v>
      </c>
      <c r="AK1333" s="182" t="n">
        <v>4.93</v>
      </c>
      <c r="AL1333" s="182" t="n">
        <v>0</v>
      </c>
      <c r="AM1333" s="182" t="n">
        <v>0.08</v>
      </c>
      <c r="AN1333" s="182" t="n">
        <v>0</v>
      </c>
    </row>
    <row r="1334">
      <c r="A1334" s="155" t="n">
        <v>46088</v>
      </c>
      <c r="B1334" s="156" t="inlineStr">
        <is>
          <t>DS</t>
        </is>
      </c>
      <c r="C1334" s="156" t="inlineStr">
        <is>
          <t>HT-404</t>
        </is>
      </c>
      <c r="D1334" s="156" t="inlineStr">
        <is>
          <t>SY430</t>
        </is>
      </c>
      <c r="E1334" s="156" t="inlineStr">
        <is>
          <t>DT Hauling</t>
        </is>
      </c>
      <c r="F1334" s="156" t="inlineStr">
        <is>
          <t>Hauling Coal ke Jetty</t>
        </is>
      </c>
      <c r="G1334" s="182" t="n">
        <v>8.44</v>
      </c>
      <c r="H1334" s="182" t="n">
        <v>0</v>
      </c>
      <c r="I1334" s="182" t="n">
        <v>0</v>
      </c>
      <c r="J1334" s="182" t="n">
        <v>0</v>
      </c>
      <c r="K1334" s="182" t="n">
        <v>3.56</v>
      </c>
      <c r="L1334" s="182" t="n">
        <v>12</v>
      </c>
      <c r="M1334" s="182" t="n">
        <v>0</v>
      </c>
      <c r="N1334" s="182" t="n">
        <v>0</v>
      </c>
      <c r="O1334" s="183" t="n">
        <v>0</v>
      </c>
      <c r="P1334" s="183" t="n">
        <v>0</v>
      </c>
      <c r="Q1334" s="184" t="n">
        <v>0</v>
      </c>
      <c r="R1334" s="184" t="n">
        <v>0</v>
      </c>
      <c r="S1334" s="183" t="n">
        <v>0</v>
      </c>
      <c r="T1334" s="183" t="n">
        <v>0</v>
      </c>
      <c r="U1334" s="182" t="n">
        <v>0</v>
      </c>
      <c r="V1334" s="182" t="n">
        <v>0</v>
      </c>
      <c r="W1334" s="182" t="n">
        <v>0</v>
      </c>
      <c r="X1334" s="182" t="n">
        <v>0.87</v>
      </c>
      <c r="Y1334" s="182" t="n">
        <v>0</v>
      </c>
      <c r="Z1334" s="182" t="n">
        <v>0</v>
      </c>
      <c r="AA1334" s="182" t="n">
        <v>0</v>
      </c>
      <c r="AB1334" s="182" t="n">
        <v>0</v>
      </c>
      <c r="AC1334" s="182" t="n">
        <v>0</v>
      </c>
      <c r="AD1334" s="182" t="n">
        <v>0</v>
      </c>
      <c r="AE1334" s="182" t="n">
        <v>0</v>
      </c>
      <c r="AF1334" s="182" t="n">
        <v>0</v>
      </c>
      <c r="AG1334" s="182" t="n">
        <v>0</v>
      </c>
      <c r="AH1334" s="182" t="n">
        <v>0</v>
      </c>
      <c r="AI1334" s="182" t="n">
        <v>0</v>
      </c>
      <c r="AJ1334" s="182" t="n">
        <v>0</v>
      </c>
      <c r="AK1334" s="182" t="n">
        <v>2.62</v>
      </c>
      <c r="AL1334" s="182" t="n">
        <v>0</v>
      </c>
      <c r="AM1334" s="182" t="n">
        <v>0.07000000000000001</v>
      </c>
      <c r="AN1334" s="182" t="n">
        <v>0</v>
      </c>
    </row>
    <row r="1335">
      <c r="A1335" s="155" t="n">
        <v>46088</v>
      </c>
      <c r="B1335" s="156" t="inlineStr">
        <is>
          <t>DS</t>
        </is>
      </c>
      <c r="C1335" s="156" t="inlineStr">
        <is>
          <t>HT-415</t>
        </is>
      </c>
      <c r="D1335" s="156" t="inlineStr">
        <is>
          <t>SY430</t>
        </is>
      </c>
      <c r="E1335" s="156" t="inlineStr">
        <is>
          <t>DT Hauling</t>
        </is>
      </c>
      <c r="F1335" s="156" t="inlineStr"/>
      <c r="G1335" s="182" t="n">
        <v>0</v>
      </c>
      <c r="H1335" s="182" t="n">
        <v>0</v>
      </c>
      <c r="I1335" s="182" t="n">
        <v>12</v>
      </c>
      <c r="J1335" s="182" t="n">
        <v>12</v>
      </c>
      <c r="K1335" s="182" t="n">
        <v>0</v>
      </c>
      <c r="L1335" s="182" t="n">
        <v>12</v>
      </c>
      <c r="M1335" s="182" t="n">
        <v>0</v>
      </c>
      <c r="N1335" s="182" t="n">
        <v>0</v>
      </c>
      <c r="O1335" s="183" t="n">
        <v>0</v>
      </c>
      <c r="P1335" s="183" t="n">
        <v>0</v>
      </c>
      <c r="Q1335" s="184" t="n">
        <v>0</v>
      </c>
      <c r="R1335" s="184" t="n">
        <v>0</v>
      </c>
      <c r="S1335" s="183" t="n">
        <v>0</v>
      </c>
      <c r="T1335" s="183" t="n">
        <v>0</v>
      </c>
      <c r="U1335" s="182" t="n">
        <v>0</v>
      </c>
      <c r="V1335" s="182" t="n">
        <v>0</v>
      </c>
      <c r="W1335" s="182" t="n">
        <v>0</v>
      </c>
      <c r="X1335" s="182" t="n">
        <v>0</v>
      </c>
      <c r="Y1335" s="182" t="n">
        <v>0</v>
      </c>
      <c r="Z1335" s="182" t="n">
        <v>0</v>
      </c>
      <c r="AA1335" s="182" t="n">
        <v>0</v>
      </c>
      <c r="AB1335" s="182" t="n">
        <v>0</v>
      </c>
      <c r="AC1335" s="182" t="n">
        <v>0</v>
      </c>
      <c r="AD1335" s="182" t="n">
        <v>0</v>
      </c>
      <c r="AE1335" s="182" t="n">
        <v>0</v>
      </c>
      <c r="AF1335" s="182" t="n">
        <v>0</v>
      </c>
      <c r="AG1335" s="182" t="n">
        <v>0</v>
      </c>
      <c r="AH1335" s="182" t="n">
        <v>0</v>
      </c>
      <c r="AI1335" s="182" t="n">
        <v>0</v>
      </c>
      <c r="AJ1335" s="182" t="n">
        <v>0</v>
      </c>
      <c r="AK1335" s="182" t="n">
        <v>0</v>
      </c>
      <c r="AL1335" s="182" t="n">
        <v>0</v>
      </c>
      <c r="AM1335" s="182" t="n">
        <v>0</v>
      </c>
      <c r="AN1335" s="182" t="n">
        <v>0</v>
      </c>
    </row>
    <row r="1336">
      <c r="A1336" s="155" t="n">
        <v>46088</v>
      </c>
      <c r="B1336" s="156" t="inlineStr">
        <is>
          <t>DS</t>
        </is>
      </c>
      <c r="C1336" s="156" t="inlineStr">
        <is>
          <t>HT-406</t>
        </is>
      </c>
      <c r="D1336" s="156" t="inlineStr">
        <is>
          <t>SY430</t>
        </is>
      </c>
      <c r="E1336" s="156" t="inlineStr">
        <is>
          <t>DT Hauling</t>
        </is>
      </c>
      <c r="F1336" s="156" t="inlineStr"/>
      <c r="G1336" s="182" t="n">
        <v>0</v>
      </c>
      <c r="H1336" s="182" t="n">
        <v>0</v>
      </c>
      <c r="I1336" s="182" t="n">
        <v>12</v>
      </c>
      <c r="J1336" s="182" t="n">
        <v>12</v>
      </c>
      <c r="K1336" s="182" t="n">
        <v>0</v>
      </c>
      <c r="L1336" s="182" t="n">
        <v>12</v>
      </c>
      <c r="M1336" s="182" t="n">
        <v>0</v>
      </c>
      <c r="N1336" s="182" t="n">
        <v>0</v>
      </c>
      <c r="O1336" s="183" t="n">
        <v>0</v>
      </c>
      <c r="P1336" s="183" t="n">
        <v>0</v>
      </c>
      <c r="Q1336" s="184" t="n">
        <v>0</v>
      </c>
      <c r="R1336" s="184" t="n">
        <v>0</v>
      </c>
      <c r="S1336" s="183" t="n">
        <v>0</v>
      </c>
      <c r="T1336" s="183" t="n">
        <v>0</v>
      </c>
      <c r="U1336" s="182" t="n">
        <v>0</v>
      </c>
      <c r="V1336" s="182" t="n">
        <v>0</v>
      </c>
      <c r="W1336" s="182" t="n">
        <v>0</v>
      </c>
      <c r="X1336" s="182" t="n">
        <v>0</v>
      </c>
      <c r="Y1336" s="182" t="n">
        <v>0</v>
      </c>
      <c r="Z1336" s="182" t="n">
        <v>0</v>
      </c>
      <c r="AA1336" s="182" t="n">
        <v>0</v>
      </c>
      <c r="AB1336" s="182" t="n">
        <v>0</v>
      </c>
      <c r="AC1336" s="182" t="n">
        <v>0</v>
      </c>
      <c r="AD1336" s="182" t="n">
        <v>0</v>
      </c>
      <c r="AE1336" s="182" t="n">
        <v>0</v>
      </c>
      <c r="AF1336" s="182" t="n">
        <v>0</v>
      </c>
      <c r="AG1336" s="182" t="n">
        <v>0</v>
      </c>
      <c r="AH1336" s="182" t="n">
        <v>0</v>
      </c>
      <c r="AI1336" s="182" t="n">
        <v>0</v>
      </c>
      <c r="AJ1336" s="182" t="n">
        <v>0</v>
      </c>
      <c r="AK1336" s="182" t="n">
        <v>0</v>
      </c>
      <c r="AL1336" s="182" t="n">
        <v>0</v>
      </c>
      <c r="AM1336" s="182" t="n">
        <v>0</v>
      </c>
      <c r="AN1336" s="182" t="n">
        <v>0</v>
      </c>
    </row>
    <row r="1337">
      <c r="A1337" s="155" t="n">
        <v>46088</v>
      </c>
      <c r="B1337" s="156" t="inlineStr">
        <is>
          <t>DS</t>
        </is>
      </c>
      <c r="C1337" s="156" t="inlineStr">
        <is>
          <t>HT-405</t>
        </is>
      </c>
      <c r="D1337" s="156" t="inlineStr">
        <is>
          <t>SY430</t>
        </is>
      </c>
      <c r="E1337" s="156" t="inlineStr">
        <is>
          <t>DT Hauling</t>
        </is>
      </c>
      <c r="F1337" s="156" t="inlineStr">
        <is>
          <t>Hauling Coal ke Jetty</t>
        </is>
      </c>
      <c r="G1337" s="182" t="n">
        <v>5.92</v>
      </c>
      <c r="H1337" s="182" t="n">
        <v>0</v>
      </c>
      <c r="I1337" s="182" t="n">
        <v>0</v>
      </c>
      <c r="J1337" s="182" t="n">
        <v>0</v>
      </c>
      <c r="K1337" s="182" t="n">
        <v>6.08</v>
      </c>
      <c r="L1337" s="182" t="n">
        <v>12</v>
      </c>
      <c r="M1337" s="182" t="n">
        <v>0</v>
      </c>
      <c r="N1337" s="182" t="n">
        <v>0</v>
      </c>
      <c r="O1337" s="183" t="n">
        <v>0</v>
      </c>
      <c r="P1337" s="183" t="n">
        <v>0</v>
      </c>
      <c r="Q1337" s="184" t="n">
        <v>0</v>
      </c>
      <c r="R1337" s="184" t="n">
        <v>0</v>
      </c>
      <c r="S1337" s="183" t="n">
        <v>0</v>
      </c>
      <c r="T1337" s="183" t="n">
        <v>0</v>
      </c>
      <c r="U1337" s="182" t="n">
        <v>0</v>
      </c>
      <c r="V1337" s="182" t="n">
        <v>0</v>
      </c>
      <c r="W1337" s="182" t="n">
        <v>0</v>
      </c>
      <c r="X1337" s="182" t="n">
        <v>1.03</v>
      </c>
      <c r="Y1337" s="182" t="n">
        <v>0</v>
      </c>
      <c r="Z1337" s="182" t="n">
        <v>0</v>
      </c>
      <c r="AA1337" s="182" t="n">
        <v>0</v>
      </c>
      <c r="AB1337" s="182" t="n">
        <v>0</v>
      </c>
      <c r="AC1337" s="182" t="n">
        <v>0</v>
      </c>
      <c r="AD1337" s="182" t="n">
        <v>0</v>
      </c>
      <c r="AE1337" s="182" t="n">
        <v>0</v>
      </c>
      <c r="AF1337" s="182" t="n">
        <v>0</v>
      </c>
      <c r="AG1337" s="182" t="n">
        <v>0</v>
      </c>
      <c r="AH1337" s="182" t="n">
        <v>0</v>
      </c>
      <c r="AI1337" s="182" t="n">
        <v>0</v>
      </c>
      <c r="AJ1337" s="182" t="n">
        <v>0</v>
      </c>
      <c r="AK1337" s="182" t="n">
        <v>4.97</v>
      </c>
      <c r="AL1337" s="182" t="n">
        <v>0</v>
      </c>
      <c r="AM1337" s="182" t="n">
        <v>0.08</v>
      </c>
      <c r="AN1337" s="182" t="n">
        <v>0</v>
      </c>
    </row>
    <row r="1338">
      <c r="A1338" s="155" t="n">
        <v>46088</v>
      </c>
      <c r="B1338" s="156" t="inlineStr">
        <is>
          <t>DS</t>
        </is>
      </c>
      <c r="C1338" s="156" t="inlineStr">
        <is>
          <t>HT-417</t>
        </is>
      </c>
      <c r="D1338" s="156" t="inlineStr">
        <is>
          <t>SY430</t>
        </is>
      </c>
      <c r="E1338" s="156" t="inlineStr">
        <is>
          <t>DT Hauling</t>
        </is>
      </c>
      <c r="F1338" s="156" t="inlineStr"/>
      <c r="G1338" s="182" t="n">
        <v>0</v>
      </c>
      <c r="H1338" s="182" t="n">
        <v>0</v>
      </c>
      <c r="I1338" s="182" t="n">
        <v>8</v>
      </c>
      <c r="J1338" s="182" t="n">
        <v>8</v>
      </c>
      <c r="K1338" s="182" t="n">
        <v>4</v>
      </c>
      <c r="L1338" s="182" t="n">
        <v>12</v>
      </c>
      <c r="M1338" s="182" t="n">
        <v>0</v>
      </c>
      <c r="N1338" s="182" t="n">
        <v>0</v>
      </c>
      <c r="O1338" s="183" t="n">
        <v>0</v>
      </c>
      <c r="P1338" s="183" t="n">
        <v>0</v>
      </c>
      <c r="Q1338" s="184" t="n">
        <v>0</v>
      </c>
      <c r="R1338" s="184" t="n">
        <v>0</v>
      </c>
      <c r="S1338" s="183" t="n">
        <v>0</v>
      </c>
      <c r="T1338" s="183" t="n">
        <v>0</v>
      </c>
      <c r="U1338" s="182" t="n">
        <v>0</v>
      </c>
      <c r="V1338" s="182" t="n">
        <v>0</v>
      </c>
      <c r="W1338" s="182" t="n">
        <v>0</v>
      </c>
      <c r="X1338" s="182" t="n">
        <v>1</v>
      </c>
      <c r="Y1338" s="182" t="n">
        <v>0</v>
      </c>
      <c r="Z1338" s="182" t="n">
        <v>0</v>
      </c>
      <c r="AA1338" s="182" t="n">
        <v>0</v>
      </c>
      <c r="AB1338" s="182" t="n">
        <v>0</v>
      </c>
      <c r="AC1338" s="182" t="n">
        <v>0</v>
      </c>
      <c r="AD1338" s="182" t="n">
        <v>0</v>
      </c>
      <c r="AE1338" s="182" t="n">
        <v>0</v>
      </c>
      <c r="AF1338" s="182" t="n">
        <v>0</v>
      </c>
      <c r="AG1338" s="182" t="n">
        <v>0</v>
      </c>
      <c r="AH1338" s="182" t="n">
        <v>0</v>
      </c>
      <c r="AI1338" s="182" t="n">
        <v>0</v>
      </c>
      <c r="AJ1338" s="182" t="n">
        <v>0</v>
      </c>
      <c r="AK1338" s="182" t="n">
        <v>2.92</v>
      </c>
      <c r="AL1338" s="182" t="n">
        <v>0</v>
      </c>
      <c r="AM1338" s="182" t="n">
        <v>0.08</v>
      </c>
      <c r="AN1338" s="182" t="n">
        <v>0</v>
      </c>
    </row>
    <row r="1339">
      <c r="A1339" s="155" t="n">
        <v>46088</v>
      </c>
      <c r="B1339" s="156" t="inlineStr">
        <is>
          <t>DS</t>
        </is>
      </c>
      <c r="C1339" s="156" t="inlineStr">
        <is>
          <t>HT-401</t>
        </is>
      </c>
      <c r="D1339" s="156" t="inlineStr">
        <is>
          <t>SY430</t>
        </is>
      </c>
      <c r="E1339" s="156" t="inlineStr">
        <is>
          <t>DT Hauling</t>
        </is>
      </c>
      <c r="F1339" s="156" t="inlineStr"/>
      <c r="G1339" s="182" t="n">
        <v>0</v>
      </c>
      <c r="H1339" s="182" t="n">
        <v>0</v>
      </c>
      <c r="I1339" s="182" t="n">
        <v>0</v>
      </c>
      <c r="J1339" s="182" t="n">
        <v>0</v>
      </c>
      <c r="K1339" s="182" t="n">
        <v>12</v>
      </c>
      <c r="L1339" s="182" t="n">
        <v>12</v>
      </c>
      <c r="M1339" s="182" t="n">
        <v>0</v>
      </c>
      <c r="N1339" s="182" t="n">
        <v>0</v>
      </c>
      <c r="O1339" s="183" t="n">
        <v>0</v>
      </c>
      <c r="P1339" s="183" t="n">
        <v>0</v>
      </c>
      <c r="Q1339" s="184" t="n">
        <v>0</v>
      </c>
      <c r="R1339" s="184" t="n">
        <v>0</v>
      </c>
      <c r="S1339" s="183" t="n">
        <v>0</v>
      </c>
      <c r="T1339" s="183" t="n">
        <v>0</v>
      </c>
      <c r="U1339" s="182" t="n">
        <v>0</v>
      </c>
      <c r="V1339" s="182" t="n">
        <v>0</v>
      </c>
      <c r="W1339" s="182" t="n">
        <v>0</v>
      </c>
      <c r="X1339" s="182" t="n">
        <v>1</v>
      </c>
      <c r="Y1339" s="182" t="n">
        <v>0</v>
      </c>
      <c r="Z1339" s="182" t="n">
        <v>0</v>
      </c>
      <c r="AA1339" s="182" t="n">
        <v>0</v>
      </c>
      <c r="AB1339" s="182" t="n">
        <v>0</v>
      </c>
      <c r="AC1339" s="182" t="n">
        <v>0</v>
      </c>
      <c r="AD1339" s="182" t="n">
        <v>0</v>
      </c>
      <c r="AE1339" s="182" t="n">
        <v>0</v>
      </c>
      <c r="AF1339" s="182" t="n">
        <v>0</v>
      </c>
      <c r="AG1339" s="182" t="n">
        <v>0</v>
      </c>
      <c r="AH1339" s="182" t="n">
        <v>0</v>
      </c>
      <c r="AI1339" s="182" t="n">
        <v>0</v>
      </c>
      <c r="AJ1339" s="182" t="n">
        <v>0</v>
      </c>
      <c r="AK1339" s="182" t="n">
        <v>10.92</v>
      </c>
      <c r="AL1339" s="182" t="n">
        <v>0</v>
      </c>
      <c r="AM1339" s="182" t="n">
        <v>0.08</v>
      </c>
      <c r="AN1339" s="182" t="n">
        <v>0</v>
      </c>
    </row>
    <row r="1340">
      <c r="A1340" s="155" t="n">
        <v>46088</v>
      </c>
      <c r="B1340" s="156" t="inlineStr">
        <is>
          <t>DS</t>
        </is>
      </c>
      <c r="C1340" s="156" t="inlineStr">
        <is>
          <t>HT-410</t>
        </is>
      </c>
      <c r="D1340" s="156" t="inlineStr">
        <is>
          <t>SY430</t>
        </is>
      </c>
      <c r="E1340" s="156" t="inlineStr">
        <is>
          <t>DT Hauling</t>
        </is>
      </c>
      <c r="F1340" s="156" t="inlineStr"/>
      <c r="G1340" s="182" t="n">
        <v>0</v>
      </c>
      <c r="H1340" s="182" t="n">
        <v>0</v>
      </c>
      <c r="I1340" s="182" t="n">
        <v>0</v>
      </c>
      <c r="J1340" s="182" t="n">
        <v>0</v>
      </c>
      <c r="K1340" s="182" t="n">
        <v>12</v>
      </c>
      <c r="L1340" s="182" t="n">
        <v>12</v>
      </c>
      <c r="M1340" s="182" t="n">
        <v>0</v>
      </c>
      <c r="N1340" s="182" t="n">
        <v>0</v>
      </c>
      <c r="O1340" s="183" t="n">
        <v>0</v>
      </c>
      <c r="P1340" s="183" t="n">
        <v>0</v>
      </c>
      <c r="Q1340" s="184" t="n">
        <v>0</v>
      </c>
      <c r="R1340" s="184" t="n">
        <v>0</v>
      </c>
      <c r="S1340" s="183" t="n">
        <v>0</v>
      </c>
      <c r="T1340" s="183" t="n">
        <v>0</v>
      </c>
      <c r="U1340" s="182" t="n">
        <v>0</v>
      </c>
      <c r="V1340" s="182" t="n">
        <v>0</v>
      </c>
      <c r="W1340" s="182" t="n">
        <v>0</v>
      </c>
      <c r="X1340" s="182" t="n">
        <v>1</v>
      </c>
      <c r="Y1340" s="182" t="n">
        <v>0</v>
      </c>
      <c r="Z1340" s="182" t="n">
        <v>0</v>
      </c>
      <c r="AA1340" s="182" t="n">
        <v>0</v>
      </c>
      <c r="AB1340" s="182" t="n">
        <v>0</v>
      </c>
      <c r="AC1340" s="182" t="n">
        <v>0</v>
      </c>
      <c r="AD1340" s="182" t="n">
        <v>0</v>
      </c>
      <c r="AE1340" s="182" t="n">
        <v>0</v>
      </c>
      <c r="AF1340" s="182" t="n">
        <v>0</v>
      </c>
      <c r="AG1340" s="182" t="n">
        <v>0</v>
      </c>
      <c r="AH1340" s="182" t="n">
        <v>0</v>
      </c>
      <c r="AI1340" s="182" t="n">
        <v>0</v>
      </c>
      <c r="AJ1340" s="182" t="n">
        <v>0</v>
      </c>
      <c r="AK1340" s="182" t="n">
        <v>10.92</v>
      </c>
      <c r="AL1340" s="182" t="n">
        <v>0</v>
      </c>
      <c r="AM1340" s="182" t="n">
        <v>0.08</v>
      </c>
      <c r="AN1340" s="182" t="n">
        <v>0</v>
      </c>
    </row>
    <row r="1341">
      <c r="A1341" s="155" t="n">
        <v>46088</v>
      </c>
      <c r="B1341" s="156" t="inlineStr">
        <is>
          <t>DS</t>
        </is>
      </c>
      <c r="C1341" s="156" t="inlineStr">
        <is>
          <t>HT-402</t>
        </is>
      </c>
      <c r="D1341" s="156" t="inlineStr">
        <is>
          <t>SY430</t>
        </is>
      </c>
      <c r="E1341" s="156" t="inlineStr">
        <is>
          <t>DT Hauling</t>
        </is>
      </c>
      <c r="F1341" s="156" t="inlineStr">
        <is>
          <t>Hauling Coal ke Jetty</t>
        </is>
      </c>
      <c r="G1341" s="182" t="n">
        <v>5.64</v>
      </c>
      <c r="H1341" s="182" t="n">
        <v>0</v>
      </c>
      <c r="I1341" s="182" t="n">
        <v>0</v>
      </c>
      <c r="J1341" s="182" t="n">
        <v>0</v>
      </c>
      <c r="K1341" s="182" t="n">
        <v>6.36</v>
      </c>
      <c r="L1341" s="182" t="n">
        <v>12</v>
      </c>
      <c r="M1341" s="182" t="n">
        <v>0</v>
      </c>
      <c r="N1341" s="182" t="n">
        <v>0</v>
      </c>
      <c r="O1341" s="183" t="n">
        <v>0</v>
      </c>
      <c r="P1341" s="183" t="n">
        <v>0</v>
      </c>
      <c r="Q1341" s="184" t="n">
        <v>0</v>
      </c>
      <c r="R1341" s="184" t="n">
        <v>0</v>
      </c>
      <c r="S1341" s="183" t="n">
        <v>0</v>
      </c>
      <c r="T1341" s="183" t="n">
        <v>0</v>
      </c>
      <c r="U1341" s="182" t="n">
        <v>0</v>
      </c>
      <c r="V1341" s="182" t="n">
        <v>0</v>
      </c>
      <c r="W1341" s="182" t="n">
        <v>0</v>
      </c>
      <c r="X1341" s="182" t="n">
        <v>0.98</v>
      </c>
      <c r="Y1341" s="182" t="n">
        <v>0</v>
      </c>
      <c r="Z1341" s="182" t="n">
        <v>0</v>
      </c>
      <c r="AA1341" s="182" t="n">
        <v>0</v>
      </c>
      <c r="AB1341" s="182" t="n">
        <v>0</v>
      </c>
      <c r="AC1341" s="182" t="n">
        <v>0</v>
      </c>
      <c r="AD1341" s="182" t="n">
        <v>0</v>
      </c>
      <c r="AE1341" s="182" t="n">
        <v>0</v>
      </c>
      <c r="AF1341" s="182" t="n">
        <v>0</v>
      </c>
      <c r="AG1341" s="182" t="n">
        <v>0</v>
      </c>
      <c r="AH1341" s="182" t="n">
        <v>0</v>
      </c>
      <c r="AI1341" s="182" t="n">
        <v>0</v>
      </c>
      <c r="AJ1341" s="182" t="n">
        <v>0</v>
      </c>
      <c r="AK1341" s="182" t="n">
        <v>5.3</v>
      </c>
      <c r="AL1341" s="182" t="n">
        <v>0</v>
      </c>
      <c r="AM1341" s="182" t="n">
        <v>0.08</v>
      </c>
      <c r="AN1341" s="182" t="n">
        <v>0</v>
      </c>
    </row>
    <row r="1342">
      <c r="A1342" s="155" t="n">
        <v>46088</v>
      </c>
      <c r="B1342" s="156" t="inlineStr">
        <is>
          <t>DS</t>
        </is>
      </c>
      <c r="C1342" s="156" t="inlineStr">
        <is>
          <t>HT-419</t>
        </is>
      </c>
      <c r="D1342" s="156" t="inlineStr">
        <is>
          <t>SY430</t>
        </is>
      </c>
      <c r="E1342" s="156" t="inlineStr">
        <is>
          <t>DT Hauling</t>
        </is>
      </c>
      <c r="F1342" s="156" t="inlineStr"/>
      <c r="G1342" s="182" t="n">
        <v>0</v>
      </c>
      <c r="H1342" s="182" t="n">
        <v>0</v>
      </c>
      <c r="I1342" s="182" t="n">
        <v>0</v>
      </c>
      <c r="J1342" s="182" t="n">
        <v>0</v>
      </c>
      <c r="K1342" s="182" t="n">
        <v>12</v>
      </c>
      <c r="L1342" s="182" t="n">
        <v>12</v>
      </c>
      <c r="M1342" s="182" t="n">
        <v>0</v>
      </c>
      <c r="N1342" s="182" t="n">
        <v>0</v>
      </c>
      <c r="O1342" s="183" t="n">
        <v>0</v>
      </c>
      <c r="P1342" s="183" t="n">
        <v>0</v>
      </c>
      <c r="Q1342" s="184" t="n">
        <v>0</v>
      </c>
      <c r="R1342" s="184" t="n">
        <v>0</v>
      </c>
      <c r="S1342" s="183" t="n">
        <v>0</v>
      </c>
      <c r="T1342" s="183" t="n">
        <v>0</v>
      </c>
      <c r="U1342" s="182" t="n">
        <v>0</v>
      </c>
      <c r="V1342" s="182" t="n">
        <v>0</v>
      </c>
      <c r="W1342" s="182" t="n">
        <v>0</v>
      </c>
      <c r="X1342" s="182" t="n">
        <v>1</v>
      </c>
      <c r="Y1342" s="182" t="n">
        <v>0</v>
      </c>
      <c r="Z1342" s="182" t="n">
        <v>0</v>
      </c>
      <c r="AA1342" s="182" t="n">
        <v>0</v>
      </c>
      <c r="AB1342" s="182" t="n">
        <v>0</v>
      </c>
      <c r="AC1342" s="182" t="n">
        <v>0</v>
      </c>
      <c r="AD1342" s="182" t="n">
        <v>0</v>
      </c>
      <c r="AE1342" s="182" t="n">
        <v>0</v>
      </c>
      <c r="AF1342" s="182" t="n">
        <v>0</v>
      </c>
      <c r="AG1342" s="182" t="n">
        <v>0</v>
      </c>
      <c r="AH1342" s="182" t="n">
        <v>0</v>
      </c>
      <c r="AI1342" s="182" t="n">
        <v>0</v>
      </c>
      <c r="AJ1342" s="182" t="n">
        <v>0</v>
      </c>
      <c r="AK1342" s="182" t="n">
        <v>10.92</v>
      </c>
      <c r="AL1342" s="182" t="n">
        <v>0</v>
      </c>
      <c r="AM1342" s="182" t="n">
        <v>0.08</v>
      </c>
      <c r="AN1342" s="182" t="n">
        <v>0</v>
      </c>
    </row>
    <row r="1343">
      <c r="A1343" s="155" t="n">
        <v>46088</v>
      </c>
      <c r="B1343" s="156" t="inlineStr">
        <is>
          <t>DS</t>
        </is>
      </c>
      <c r="C1343" s="156" t="inlineStr">
        <is>
          <t>HT-416</t>
        </is>
      </c>
      <c r="D1343" s="156" t="inlineStr">
        <is>
          <t>SY430</t>
        </is>
      </c>
      <c r="E1343" s="156" t="inlineStr">
        <is>
          <t>DT Hauling</t>
        </is>
      </c>
      <c r="F1343" s="156" t="inlineStr">
        <is>
          <t>Hauling Coal ke Jetty</t>
        </is>
      </c>
      <c r="G1343" s="182" t="n">
        <v>5.51</v>
      </c>
      <c r="H1343" s="182" t="n">
        <v>0</v>
      </c>
      <c r="I1343" s="182" t="n">
        <v>0</v>
      </c>
      <c r="J1343" s="182" t="n">
        <v>0</v>
      </c>
      <c r="K1343" s="182" t="n">
        <v>6.49</v>
      </c>
      <c r="L1343" s="182" t="n">
        <v>12</v>
      </c>
      <c r="M1343" s="182" t="n">
        <v>0</v>
      </c>
      <c r="N1343" s="182" t="n">
        <v>0</v>
      </c>
      <c r="O1343" s="183" t="n">
        <v>0</v>
      </c>
      <c r="P1343" s="183" t="n">
        <v>0</v>
      </c>
      <c r="Q1343" s="184" t="n">
        <v>0</v>
      </c>
      <c r="R1343" s="184" t="n">
        <v>0</v>
      </c>
      <c r="S1343" s="183" t="n">
        <v>0</v>
      </c>
      <c r="T1343" s="183" t="n">
        <v>0</v>
      </c>
      <c r="U1343" s="182" t="n">
        <v>0</v>
      </c>
      <c r="V1343" s="182" t="n">
        <v>0</v>
      </c>
      <c r="W1343" s="182" t="n">
        <v>0</v>
      </c>
      <c r="X1343" s="182" t="n">
        <v>1.03</v>
      </c>
      <c r="Y1343" s="182" t="n">
        <v>0</v>
      </c>
      <c r="Z1343" s="182" t="n">
        <v>0</v>
      </c>
      <c r="AA1343" s="182" t="n">
        <v>0</v>
      </c>
      <c r="AB1343" s="182" t="n">
        <v>0</v>
      </c>
      <c r="AC1343" s="182" t="n">
        <v>0</v>
      </c>
      <c r="AD1343" s="182" t="n">
        <v>0</v>
      </c>
      <c r="AE1343" s="182" t="n">
        <v>0</v>
      </c>
      <c r="AF1343" s="182" t="n">
        <v>0</v>
      </c>
      <c r="AG1343" s="182" t="n">
        <v>0</v>
      </c>
      <c r="AH1343" s="182" t="n">
        <v>0</v>
      </c>
      <c r="AI1343" s="182" t="n">
        <v>0</v>
      </c>
      <c r="AJ1343" s="182" t="n">
        <v>0</v>
      </c>
      <c r="AK1343" s="182" t="n">
        <v>5.38</v>
      </c>
      <c r="AL1343" s="182" t="n">
        <v>0</v>
      </c>
      <c r="AM1343" s="182" t="n">
        <v>0.08</v>
      </c>
      <c r="AN1343" s="182" t="n">
        <v>0</v>
      </c>
    </row>
    <row r="1344">
      <c r="A1344" s="155" t="n">
        <v>46088</v>
      </c>
      <c r="B1344" s="156" t="inlineStr">
        <is>
          <t>DS</t>
        </is>
      </c>
      <c r="C1344" s="156" t="inlineStr">
        <is>
          <t>HT-420</t>
        </is>
      </c>
      <c r="D1344" s="156" t="inlineStr">
        <is>
          <t>SY430</t>
        </is>
      </c>
      <c r="E1344" s="156" t="inlineStr">
        <is>
          <t>DT Hauling</t>
        </is>
      </c>
      <c r="F1344" s="156" t="inlineStr">
        <is>
          <t>Hauling Coal ke Jetty</t>
        </is>
      </c>
      <c r="G1344" s="182" t="n">
        <v>6.56</v>
      </c>
      <c r="H1344" s="182" t="n">
        <v>0</v>
      </c>
      <c r="I1344" s="182" t="n">
        <v>0.42</v>
      </c>
      <c r="J1344" s="182" t="n">
        <v>0.42</v>
      </c>
      <c r="K1344" s="182" t="n">
        <v>5.02</v>
      </c>
      <c r="L1344" s="182" t="n">
        <v>12</v>
      </c>
      <c r="M1344" s="182" t="n">
        <v>0</v>
      </c>
      <c r="N1344" s="182" t="n">
        <v>0</v>
      </c>
      <c r="O1344" s="183" t="n">
        <v>0</v>
      </c>
      <c r="P1344" s="183" t="n">
        <v>0</v>
      </c>
      <c r="Q1344" s="184" t="n">
        <v>0</v>
      </c>
      <c r="R1344" s="184" t="n">
        <v>0</v>
      </c>
      <c r="S1344" s="183" t="n">
        <v>0</v>
      </c>
      <c r="T1344" s="183" t="n">
        <v>0</v>
      </c>
      <c r="U1344" s="182" t="n">
        <v>0</v>
      </c>
      <c r="V1344" s="182" t="n">
        <v>0</v>
      </c>
      <c r="W1344" s="182" t="n">
        <v>0</v>
      </c>
      <c r="X1344" s="182" t="n">
        <v>1.03</v>
      </c>
      <c r="Y1344" s="182" t="n">
        <v>0</v>
      </c>
      <c r="Z1344" s="182" t="n">
        <v>0</v>
      </c>
      <c r="AA1344" s="182" t="n">
        <v>0</v>
      </c>
      <c r="AB1344" s="182" t="n">
        <v>0</v>
      </c>
      <c r="AC1344" s="182" t="n">
        <v>0</v>
      </c>
      <c r="AD1344" s="182" t="n">
        <v>0</v>
      </c>
      <c r="AE1344" s="182" t="n">
        <v>0</v>
      </c>
      <c r="AF1344" s="182" t="n">
        <v>0</v>
      </c>
      <c r="AG1344" s="182" t="n">
        <v>0</v>
      </c>
      <c r="AH1344" s="182" t="n">
        <v>0</v>
      </c>
      <c r="AI1344" s="182" t="n">
        <v>0</v>
      </c>
      <c r="AJ1344" s="182" t="n">
        <v>0</v>
      </c>
      <c r="AK1344" s="182" t="n">
        <v>3.91</v>
      </c>
      <c r="AL1344" s="182" t="n">
        <v>0</v>
      </c>
      <c r="AM1344" s="182" t="n">
        <v>0.08</v>
      </c>
      <c r="AN1344" s="182" t="n">
        <v>0</v>
      </c>
    </row>
    <row r="1345">
      <c r="A1345" s="155" t="n">
        <v>46088</v>
      </c>
      <c r="B1345" s="156" t="inlineStr">
        <is>
          <t>DS</t>
        </is>
      </c>
      <c r="C1345" s="156" t="inlineStr">
        <is>
          <t>HT-403</t>
        </is>
      </c>
      <c r="D1345" s="156" t="inlineStr">
        <is>
          <t>SY430</t>
        </is>
      </c>
      <c r="E1345" s="156" t="inlineStr">
        <is>
          <t>DT Hauling</t>
        </is>
      </c>
      <c r="F1345" s="156" t="inlineStr"/>
      <c r="G1345" s="182" t="n">
        <v>0</v>
      </c>
      <c r="H1345" s="182" t="n">
        <v>0</v>
      </c>
      <c r="I1345" s="182" t="n">
        <v>0</v>
      </c>
      <c r="J1345" s="182" t="n">
        <v>0</v>
      </c>
      <c r="K1345" s="182" t="n">
        <v>12</v>
      </c>
      <c r="L1345" s="182" t="n">
        <v>12</v>
      </c>
      <c r="M1345" s="182" t="n">
        <v>0</v>
      </c>
      <c r="N1345" s="182" t="n">
        <v>0</v>
      </c>
      <c r="O1345" s="183" t="n">
        <v>0</v>
      </c>
      <c r="P1345" s="183" t="n">
        <v>0</v>
      </c>
      <c r="Q1345" s="184" t="n">
        <v>0</v>
      </c>
      <c r="R1345" s="184" t="n">
        <v>0</v>
      </c>
      <c r="S1345" s="183" t="n">
        <v>0</v>
      </c>
      <c r="T1345" s="183" t="n">
        <v>0</v>
      </c>
      <c r="U1345" s="182" t="n">
        <v>0</v>
      </c>
      <c r="V1345" s="182" t="n">
        <v>0</v>
      </c>
      <c r="W1345" s="182" t="n">
        <v>0</v>
      </c>
      <c r="X1345" s="182" t="n">
        <v>1</v>
      </c>
      <c r="Y1345" s="182" t="n">
        <v>0</v>
      </c>
      <c r="Z1345" s="182" t="n">
        <v>0</v>
      </c>
      <c r="AA1345" s="182" t="n">
        <v>0</v>
      </c>
      <c r="AB1345" s="182" t="n">
        <v>0</v>
      </c>
      <c r="AC1345" s="182" t="n">
        <v>0</v>
      </c>
      <c r="AD1345" s="182" t="n">
        <v>0</v>
      </c>
      <c r="AE1345" s="182" t="n">
        <v>0</v>
      </c>
      <c r="AF1345" s="182" t="n">
        <v>0</v>
      </c>
      <c r="AG1345" s="182" t="n">
        <v>0</v>
      </c>
      <c r="AH1345" s="182" t="n">
        <v>0</v>
      </c>
      <c r="AI1345" s="182" t="n">
        <v>0</v>
      </c>
      <c r="AJ1345" s="182" t="n">
        <v>0</v>
      </c>
      <c r="AK1345" s="182" t="n">
        <v>10.92</v>
      </c>
      <c r="AL1345" s="182" t="n">
        <v>0</v>
      </c>
      <c r="AM1345" s="182" t="n">
        <v>0.08</v>
      </c>
      <c r="AN1345" s="182" t="n">
        <v>0</v>
      </c>
    </row>
    <row r="1346">
      <c r="A1346" s="155" t="n">
        <v>46088</v>
      </c>
      <c r="B1346" s="156" t="inlineStr">
        <is>
          <t>DS</t>
        </is>
      </c>
      <c r="C1346" s="156" t="inlineStr">
        <is>
          <t>HT-408</t>
        </is>
      </c>
      <c r="D1346" s="156" t="inlineStr">
        <is>
          <t>SY430</t>
        </is>
      </c>
      <c r="E1346" s="156" t="inlineStr">
        <is>
          <t>DT Hauling</t>
        </is>
      </c>
      <c r="F1346" s="156" t="inlineStr"/>
      <c r="G1346" s="182" t="n">
        <v>0</v>
      </c>
      <c r="H1346" s="182" t="n">
        <v>0</v>
      </c>
      <c r="I1346" s="182" t="n">
        <v>0.43</v>
      </c>
      <c r="J1346" s="182" t="n">
        <v>0.43</v>
      </c>
      <c r="K1346" s="182" t="n">
        <v>11.57</v>
      </c>
      <c r="L1346" s="182" t="n">
        <v>12</v>
      </c>
      <c r="M1346" s="182" t="n">
        <v>0</v>
      </c>
      <c r="N1346" s="182" t="n">
        <v>0</v>
      </c>
      <c r="O1346" s="183" t="n">
        <v>0</v>
      </c>
      <c r="P1346" s="183" t="n">
        <v>0</v>
      </c>
      <c r="Q1346" s="184" t="n">
        <v>0</v>
      </c>
      <c r="R1346" s="184" t="n">
        <v>0</v>
      </c>
      <c r="S1346" s="183" t="n">
        <v>0</v>
      </c>
      <c r="T1346" s="183" t="n">
        <v>0</v>
      </c>
      <c r="U1346" s="182" t="n">
        <v>0</v>
      </c>
      <c r="V1346" s="182" t="n">
        <v>0</v>
      </c>
      <c r="W1346" s="182" t="n">
        <v>0</v>
      </c>
      <c r="X1346" s="182" t="n">
        <v>1</v>
      </c>
      <c r="Y1346" s="182" t="n">
        <v>0</v>
      </c>
      <c r="Z1346" s="182" t="n">
        <v>0</v>
      </c>
      <c r="AA1346" s="182" t="n">
        <v>0</v>
      </c>
      <c r="AB1346" s="182" t="n">
        <v>0</v>
      </c>
      <c r="AC1346" s="182" t="n">
        <v>0</v>
      </c>
      <c r="AD1346" s="182" t="n">
        <v>0</v>
      </c>
      <c r="AE1346" s="182" t="n">
        <v>0</v>
      </c>
      <c r="AF1346" s="182" t="n">
        <v>0</v>
      </c>
      <c r="AG1346" s="182" t="n">
        <v>0</v>
      </c>
      <c r="AH1346" s="182" t="n">
        <v>0</v>
      </c>
      <c r="AI1346" s="182" t="n">
        <v>0</v>
      </c>
      <c r="AJ1346" s="182" t="n">
        <v>0</v>
      </c>
      <c r="AK1346" s="182" t="n">
        <v>10.48</v>
      </c>
      <c r="AL1346" s="182" t="n">
        <v>0</v>
      </c>
      <c r="AM1346" s="182" t="n">
        <v>0.08</v>
      </c>
      <c r="AN1346" s="182" t="n">
        <v>0</v>
      </c>
    </row>
    <row r="1347">
      <c r="A1347" s="155" t="n">
        <v>46088</v>
      </c>
      <c r="B1347" s="156" t="inlineStr">
        <is>
          <t>DS</t>
        </is>
      </c>
      <c r="C1347" s="156" t="inlineStr">
        <is>
          <t>HT-412</t>
        </is>
      </c>
      <c r="D1347" s="156" t="inlineStr">
        <is>
          <t>SY430</t>
        </is>
      </c>
      <c r="E1347" s="156" t="inlineStr">
        <is>
          <t>DT Hauling</t>
        </is>
      </c>
      <c r="F1347" s="156" t="inlineStr">
        <is>
          <t>Hauling Coal ke Jetty</t>
        </is>
      </c>
      <c r="G1347" s="182" t="n">
        <v>7.22</v>
      </c>
      <c r="H1347" s="182" t="n">
        <v>0</v>
      </c>
      <c r="I1347" s="182" t="n">
        <v>0</v>
      </c>
      <c r="J1347" s="182" t="n">
        <v>0</v>
      </c>
      <c r="K1347" s="182" t="n">
        <v>4.78</v>
      </c>
      <c r="L1347" s="182" t="n">
        <v>12</v>
      </c>
      <c r="M1347" s="182" t="n">
        <v>0</v>
      </c>
      <c r="N1347" s="182" t="n">
        <v>0</v>
      </c>
      <c r="O1347" s="183" t="n">
        <v>0</v>
      </c>
      <c r="P1347" s="183" t="n">
        <v>0</v>
      </c>
      <c r="Q1347" s="184" t="n">
        <v>0</v>
      </c>
      <c r="R1347" s="184" t="n">
        <v>0</v>
      </c>
      <c r="S1347" s="183" t="n">
        <v>0</v>
      </c>
      <c r="T1347" s="183" t="n">
        <v>0</v>
      </c>
      <c r="U1347" s="182" t="n">
        <v>0</v>
      </c>
      <c r="V1347" s="182" t="n">
        <v>0</v>
      </c>
      <c r="W1347" s="182" t="n">
        <v>0</v>
      </c>
      <c r="X1347" s="182" t="n">
        <v>0.9399999999999999</v>
      </c>
      <c r="Y1347" s="182" t="n">
        <v>0</v>
      </c>
      <c r="Z1347" s="182" t="n">
        <v>0</v>
      </c>
      <c r="AA1347" s="182" t="n">
        <v>0</v>
      </c>
      <c r="AB1347" s="182" t="n">
        <v>0</v>
      </c>
      <c r="AC1347" s="182" t="n">
        <v>0</v>
      </c>
      <c r="AD1347" s="182" t="n">
        <v>0</v>
      </c>
      <c r="AE1347" s="182" t="n">
        <v>0</v>
      </c>
      <c r="AF1347" s="182" t="n">
        <v>0</v>
      </c>
      <c r="AG1347" s="182" t="n">
        <v>0</v>
      </c>
      <c r="AH1347" s="182" t="n">
        <v>0</v>
      </c>
      <c r="AI1347" s="182" t="n">
        <v>0</v>
      </c>
      <c r="AJ1347" s="182" t="n">
        <v>0</v>
      </c>
      <c r="AK1347" s="182" t="n">
        <v>3.77</v>
      </c>
      <c r="AL1347" s="182" t="n">
        <v>0</v>
      </c>
      <c r="AM1347" s="182" t="n">
        <v>0.07000000000000001</v>
      </c>
      <c r="AN1347" s="182" t="n">
        <v>0</v>
      </c>
    </row>
    <row r="1348">
      <c r="A1348" s="155" t="n">
        <v>46088</v>
      </c>
      <c r="B1348" s="156" t="inlineStr">
        <is>
          <t>DS</t>
        </is>
      </c>
      <c r="C1348" s="156" t="inlineStr">
        <is>
          <t>HT-413</t>
        </is>
      </c>
      <c r="D1348" s="156" t="inlineStr">
        <is>
          <t>SY430</t>
        </is>
      </c>
      <c r="E1348" s="156" t="inlineStr">
        <is>
          <t>DT Hauling</t>
        </is>
      </c>
      <c r="F1348" s="156" t="inlineStr"/>
      <c r="G1348" s="182" t="n">
        <v>0</v>
      </c>
      <c r="H1348" s="182" t="n">
        <v>0</v>
      </c>
      <c r="I1348" s="182" t="n">
        <v>12</v>
      </c>
      <c r="J1348" s="182" t="n">
        <v>12</v>
      </c>
      <c r="K1348" s="182" t="n">
        <v>0</v>
      </c>
      <c r="L1348" s="182" t="n">
        <v>12</v>
      </c>
      <c r="M1348" s="182" t="n">
        <v>0</v>
      </c>
      <c r="N1348" s="182" t="n">
        <v>0</v>
      </c>
      <c r="O1348" s="183" t="n">
        <v>0</v>
      </c>
      <c r="P1348" s="183" t="n">
        <v>0</v>
      </c>
      <c r="Q1348" s="184" t="n">
        <v>0</v>
      </c>
      <c r="R1348" s="184" t="n">
        <v>0</v>
      </c>
      <c r="S1348" s="183" t="n">
        <v>0</v>
      </c>
      <c r="T1348" s="183" t="n">
        <v>0</v>
      </c>
      <c r="U1348" s="182" t="n">
        <v>0</v>
      </c>
      <c r="V1348" s="182" t="n">
        <v>0</v>
      </c>
      <c r="W1348" s="182" t="n">
        <v>0</v>
      </c>
      <c r="X1348" s="182" t="n">
        <v>0</v>
      </c>
      <c r="Y1348" s="182" t="n">
        <v>0</v>
      </c>
      <c r="Z1348" s="182" t="n">
        <v>0</v>
      </c>
      <c r="AA1348" s="182" t="n">
        <v>0</v>
      </c>
      <c r="AB1348" s="182" t="n">
        <v>0</v>
      </c>
      <c r="AC1348" s="182" t="n">
        <v>0</v>
      </c>
      <c r="AD1348" s="182" t="n">
        <v>0</v>
      </c>
      <c r="AE1348" s="182" t="n">
        <v>0</v>
      </c>
      <c r="AF1348" s="182" t="n">
        <v>0</v>
      </c>
      <c r="AG1348" s="182" t="n">
        <v>0</v>
      </c>
      <c r="AH1348" s="182" t="n">
        <v>0</v>
      </c>
      <c r="AI1348" s="182" t="n">
        <v>0</v>
      </c>
      <c r="AJ1348" s="182" t="n">
        <v>0</v>
      </c>
      <c r="AK1348" s="182" t="n">
        <v>0</v>
      </c>
      <c r="AL1348" s="182" t="n">
        <v>0</v>
      </c>
      <c r="AM1348" s="182" t="n">
        <v>0</v>
      </c>
      <c r="AN1348" s="182" t="n">
        <v>0</v>
      </c>
    </row>
    <row r="1349">
      <c r="A1349" s="155" t="n">
        <v>46088</v>
      </c>
      <c r="B1349" s="156" t="inlineStr">
        <is>
          <t>DS</t>
        </is>
      </c>
      <c r="C1349" s="156" t="inlineStr">
        <is>
          <t>HT-407</t>
        </is>
      </c>
      <c r="D1349" s="156" t="inlineStr">
        <is>
          <t>SY430</t>
        </is>
      </c>
      <c r="E1349" s="156" t="inlineStr">
        <is>
          <t>DT Hauling</t>
        </is>
      </c>
      <c r="F1349" s="156" t="inlineStr">
        <is>
          <t>Hauling Coal ke Jetty</t>
        </is>
      </c>
      <c r="G1349" s="182" t="n">
        <v>6.11</v>
      </c>
      <c r="H1349" s="182" t="n">
        <v>0</v>
      </c>
      <c r="I1349" s="182" t="n">
        <v>0</v>
      </c>
      <c r="J1349" s="182" t="n">
        <v>0</v>
      </c>
      <c r="K1349" s="182" t="n">
        <v>5.89</v>
      </c>
      <c r="L1349" s="182" t="n">
        <v>12</v>
      </c>
      <c r="M1349" s="182" t="n">
        <v>0</v>
      </c>
      <c r="N1349" s="182" t="n">
        <v>0</v>
      </c>
      <c r="O1349" s="183" t="n">
        <v>0</v>
      </c>
      <c r="P1349" s="183" t="n">
        <v>0</v>
      </c>
      <c r="Q1349" s="184" t="n">
        <v>0</v>
      </c>
      <c r="R1349" s="184" t="n">
        <v>0</v>
      </c>
      <c r="S1349" s="183" t="n">
        <v>0</v>
      </c>
      <c r="T1349" s="183" t="n">
        <v>0</v>
      </c>
      <c r="U1349" s="182" t="n">
        <v>0</v>
      </c>
      <c r="V1349" s="182" t="n">
        <v>0</v>
      </c>
      <c r="W1349" s="182" t="n">
        <v>0</v>
      </c>
      <c r="X1349" s="182" t="n">
        <v>1</v>
      </c>
      <c r="Y1349" s="182" t="n">
        <v>0</v>
      </c>
      <c r="Z1349" s="182" t="n">
        <v>0</v>
      </c>
      <c r="AA1349" s="182" t="n">
        <v>0</v>
      </c>
      <c r="AB1349" s="182" t="n">
        <v>0</v>
      </c>
      <c r="AC1349" s="182" t="n">
        <v>0</v>
      </c>
      <c r="AD1349" s="182" t="n">
        <v>0</v>
      </c>
      <c r="AE1349" s="182" t="n">
        <v>0</v>
      </c>
      <c r="AF1349" s="182" t="n">
        <v>0</v>
      </c>
      <c r="AG1349" s="182" t="n">
        <v>0</v>
      </c>
      <c r="AH1349" s="182" t="n">
        <v>0</v>
      </c>
      <c r="AI1349" s="182" t="n">
        <v>0</v>
      </c>
      <c r="AJ1349" s="182" t="n">
        <v>0</v>
      </c>
      <c r="AK1349" s="182" t="n">
        <v>4.81</v>
      </c>
      <c r="AL1349" s="182" t="n">
        <v>0</v>
      </c>
      <c r="AM1349" s="182" t="n">
        <v>0.08</v>
      </c>
      <c r="AN1349" s="182" t="n">
        <v>0</v>
      </c>
    </row>
    <row r="1350">
      <c r="A1350" s="155" t="n">
        <v>46088</v>
      </c>
      <c r="B1350" s="156" t="inlineStr">
        <is>
          <t>DS</t>
        </is>
      </c>
      <c r="C1350" s="156" t="inlineStr">
        <is>
          <t>HT-414</t>
        </is>
      </c>
      <c r="D1350" s="156" t="inlineStr">
        <is>
          <t>SY430</t>
        </is>
      </c>
      <c r="E1350" s="156" t="inlineStr">
        <is>
          <t>DT Hauling</t>
        </is>
      </c>
      <c r="F1350" s="156" t="inlineStr">
        <is>
          <t>Hauling Coal ke Jetty</t>
        </is>
      </c>
      <c r="G1350" s="182" t="n">
        <v>5.65</v>
      </c>
      <c r="H1350" s="182" t="n">
        <v>0</v>
      </c>
      <c r="I1350" s="182" t="n">
        <v>0.15</v>
      </c>
      <c r="J1350" s="182" t="n">
        <v>0.15</v>
      </c>
      <c r="K1350" s="182" t="n">
        <v>6.2</v>
      </c>
      <c r="L1350" s="182" t="n">
        <v>12</v>
      </c>
      <c r="M1350" s="182" t="n">
        <v>0</v>
      </c>
      <c r="N1350" s="182" t="n">
        <v>0</v>
      </c>
      <c r="O1350" s="183" t="n">
        <v>0</v>
      </c>
      <c r="P1350" s="183" t="n">
        <v>0</v>
      </c>
      <c r="Q1350" s="184" t="n">
        <v>0</v>
      </c>
      <c r="R1350" s="184" t="n">
        <v>0</v>
      </c>
      <c r="S1350" s="183" t="n">
        <v>0</v>
      </c>
      <c r="T1350" s="183" t="n">
        <v>0</v>
      </c>
      <c r="U1350" s="182" t="n">
        <v>0</v>
      </c>
      <c r="V1350" s="182" t="n">
        <v>0</v>
      </c>
      <c r="W1350" s="182" t="n">
        <v>0</v>
      </c>
      <c r="X1350" s="182" t="n">
        <v>0.96</v>
      </c>
      <c r="Y1350" s="182" t="n">
        <v>0</v>
      </c>
      <c r="Z1350" s="182" t="n">
        <v>0</v>
      </c>
      <c r="AA1350" s="182" t="n">
        <v>0</v>
      </c>
      <c r="AB1350" s="182" t="n">
        <v>0</v>
      </c>
      <c r="AC1350" s="182" t="n">
        <v>0</v>
      </c>
      <c r="AD1350" s="182" t="n">
        <v>0</v>
      </c>
      <c r="AE1350" s="182" t="n">
        <v>0</v>
      </c>
      <c r="AF1350" s="182" t="n">
        <v>0</v>
      </c>
      <c r="AG1350" s="182" t="n">
        <v>0</v>
      </c>
      <c r="AH1350" s="182" t="n">
        <v>0</v>
      </c>
      <c r="AI1350" s="182" t="n">
        <v>0</v>
      </c>
      <c r="AJ1350" s="182" t="n">
        <v>0</v>
      </c>
      <c r="AK1350" s="182" t="n">
        <v>5.16</v>
      </c>
      <c r="AL1350" s="182" t="n">
        <v>0</v>
      </c>
      <c r="AM1350" s="182" t="n">
        <v>0.08</v>
      </c>
      <c r="AN1350" s="182" t="n">
        <v>0</v>
      </c>
    </row>
    <row r="1351">
      <c r="A1351" s="155" t="n">
        <v>46088</v>
      </c>
      <c r="B1351" s="156" t="inlineStr">
        <is>
          <t>DS</t>
        </is>
      </c>
      <c r="C1351" s="156" t="inlineStr">
        <is>
          <t>HT-411</t>
        </is>
      </c>
      <c r="D1351" s="156" t="inlineStr">
        <is>
          <t>SY430</t>
        </is>
      </c>
      <c r="E1351" s="156" t="inlineStr">
        <is>
          <t>DT Hauling</t>
        </is>
      </c>
      <c r="F1351" s="156" t="inlineStr">
        <is>
          <t>Hauling Coal ke Jetty</t>
        </is>
      </c>
      <c r="G1351" s="182" t="n">
        <v>7.18</v>
      </c>
      <c r="H1351" s="182" t="n">
        <v>0</v>
      </c>
      <c r="I1351" s="182" t="n">
        <v>0</v>
      </c>
      <c r="J1351" s="182" t="n">
        <v>0</v>
      </c>
      <c r="K1351" s="182" t="n">
        <v>4.82</v>
      </c>
      <c r="L1351" s="182" t="n">
        <v>12</v>
      </c>
      <c r="M1351" s="182" t="n">
        <v>0</v>
      </c>
      <c r="N1351" s="182" t="n">
        <v>0</v>
      </c>
      <c r="O1351" s="183" t="n">
        <v>0</v>
      </c>
      <c r="P1351" s="183" t="n">
        <v>0</v>
      </c>
      <c r="Q1351" s="184" t="n">
        <v>0</v>
      </c>
      <c r="R1351" s="184" t="n">
        <v>0</v>
      </c>
      <c r="S1351" s="183" t="n">
        <v>0</v>
      </c>
      <c r="T1351" s="183" t="n">
        <v>0</v>
      </c>
      <c r="U1351" s="182" t="n">
        <v>0</v>
      </c>
      <c r="V1351" s="182" t="n">
        <v>0</v>
      </c>
      <c r="W1351" s="182" t="n">
        <v>0</v>
      </c>
      <c r="X1351" s="182" t="n">
        <v>0.98</v>
      </c>
      <c r="Y1351" s="182" t="n">
        <v>0</v>
      </c>
      <c r="Z1351" s="182" t="n">
        <v>0</v>
      </c>
      <c r="AA1351" s="182" t="n">
        <v>0</v>
      </c>
      <c r="AB1351" s="182" t="n">
        <v>0</v>
      </c>
      <c r="AC1351" s="182" t="n">
        <v>0</v>
      </c>
      <c r="AD1351" s="182" t="n">
        <v>0</v>
      </c>
      <c r="AE1351" s="182" t="n">
        <v>0</v>
      </c>
      <c r="AF1351" s="182" t="n">
        <v>0</v>
      </c>
      <c r="AG1351" s="182" t="n">
        <v>0</v>
      </c>
      <c r="AH1351" s="182" t="n">
        <v>0</v>
      </c>
      <c r="AI1351" s="182" t="n">
        <v>0</v>
      </c>
      <c r="AJ1351" s="182" t="n">
        <v>0</v>
      </c>
      <c r="AK1351" s="182" t="n">
        <v>3.76</v>
      </c>
      <c r="AL1351" s="182" t="n">
        <v>0</v>
      </c>
      <c r="AM1351" s="182" t="n">
        <v>0.08</v>
      </c>
      <c r="AN1351" s="182" t="n">
        <v>0</v>
      </c>
    </row>
    <row r="1352">
      <c r="A1352" s="155" t="n">
        <v>46088</v>
      </c>
      <c r="B1352" s="156" t="inlineStr">
        <is>
          <t>DS</t>
        </is>
      </c>
      <c r="C1352" s="156" t="inlineStr">
        <is>
          <t>HT-409</t>
        </is>
      </c>
      <c r="D1352" s="156" t="inlineStr">
        <is>
          <t>SY430</t>
        </is>
      </c>
      <c r="E1352" s="156" t="inlineStr">
        <is>
          <t>DT Hauling</t>
        </is>
      </c>
      <c r="F1352" s="156" t="inlineStr">
        <is>
          <t>Hauling Coal ke Jetty</t>
        </is>
      </c>
      <c r="G1352" s="182" t="n">
        <v>5.93</v>
      </c>
      <c r="H1352" s="182" t="n">
        <v>0</v>
      </c>
      <c r="I1352" s="182" t="n">
        <v>0</v>
      </c>
      <c r="J1352" s="182" t="n">
        <v>0</v>
      </c>
      <c r="K1352" s="182" t="n">
        <v>6.07</v>
      </c>
      <c r="L1352" s="182" t="n">
        <v>12</v>
      </c>
      <c r="M1352" s="182" t="n">
        <v>0</v>
      </c>
      <c r="N1352" s="182" t="n">
        <v>0</v>
      </c>
      <c r="O1352" s="183" t="n">
        <v>0</v>
      </c>
      <c r="P1352" s="183" t="n">
        <v>0</v>
      </c>
      <c r="Q1352" s="184" t="n">
        <v>0</v>
      </c>
      <c r="R1352" s="184" t="n">
        <v>0</v>
      </c>
      <c r="S1352" s="183" t="n">
        <v>0</v>
      </c>
      <c r="T1352" s="183" t="n">
        <v>0</v>
      </c>
      <c r="U1352" s="182" t="n">
        <v>0</v>
      </c>
      <c r="V1352" s="182" t="n">
        <v>0</v>
      </c>
      <c r="W1352" s="182" t="n">
        <v>0</v>
      </c>
      <c r="X1352" s="182" t="n">
        <v>1.01</v>
      </c>
      <c r="Y1352" s="182" t="n">
        <v>0</v>
      </c>
      <c r="Z1352" s="182" t="n">
        <v>0</v>
      </c>
      <c r="AA1352" s="182" t="n">
        <v>0</v>
      </c>
      <c r="AB1352" s="182" t="n">
        <v>0</v>
      </c>
      <c r="AC1352" s="182" t="n">
        <v>0</v>
      </c>
      <c r="AD1352" s="182" t="n">
        <v>0</v>
      </c>
      <c r="AE1352" s="182" t="n">
        <v>0</v>
      </c>
      <c r="AF1352" s="182" t="n">
        <v>0</v>
      </c>
      <c r="AG1352" s="182" t="n">
        <v>0</v>
      </c>
      <c r="AH1352" s="182" t="n">
        <v>0</v>
      </c>
      <c r="AI1352" s="182" t="n">
        <v>0</v>
      </c>
      <c r="AJ1352" s="182" t="n">
        <v>0</v>
      </c>
      <c r="AK1352" s="182" t="n">
        <v>4.98</v>
      </c>
      <c r="AL1352" s="182" t="n">
        <v>0</v>
      </c>
      <c r="AM1352" s="182" t="n">
        <v>0.08</v>
      </c>
      <c r="AN1352" s="182" t="n">
        <v>0</v>
      </c>
    </row>
    <row r="1353">
      <c r="A1353" s="155" t="n">
        <v>46088</v>
      </c>
      <c r="B1353" s="156" t="inlineStr">
        <is>
          <t>DS</t>
        </is>
      </c>
      <c r="C1353" s="156" t="inlineStr">
        <is>
          <t>DH-103</t>
        </is>
      </c>
      <c r="D1353" s="156" t="inlineStr">
        <is>
          <t>HINO FM260</t>
        </is>
      </c>
      <c r="E1353" s="156" t="inlineStr">
        <is>
          <t>DT Hino</t>
        </is>
      </c>
      <c r="F1353" s="156" t="inlineStr"/>
      <c r="G1353" s="182" t="n">
        <v>0</v>
      </c>
      <c r="H1353" s="182" t="n">
        <v>0</v>
      </c>
      <c r="I1353" s="182" t="n">
        <v>12</v>
      </c>
      <c r="J1353" s="182" t="n">
        <v>12</v>
      </c>
      <c r="K1353" s="182" t="n">
        <v>0</v>
      </c>
      <c r="L1353" s="182" t="n">
        <v>12</v>
      </c>
      <c r="M1353" s="182" t="n">
        <v>0</v>
      </c>
      <c r="N1353" s="182" t="n">
        <v>0</v>
      </c>
      <c r="O1353" s="183" t="n">
        <v>0</v>
      </c>
      <c r="P1353" s="183" t="n">
        <v>0</v>
      </c>
      <c r="Q1353" s="184" t="n">
        <v>0</v>
      </c>
      <c r="R1353" s="184" t="n">
        <v>0</v>
      </c>
      <c r="S1353" s="183" t="n">
        <v>0</v>
      </c>
      <c r="T1353" s="183" t="n">
        <v>0</v>
      </c>
      <c r="U1353" s="182" t="n">
        <v>0</v>
      </c>
      <c r="V1353" s="182" t="n">
        <v>0</v>
      </c>
      <c r="W1353" s="182" t="n">
        <v>0</v>
      </c>
      <c r="X1353" s="182" t="n">
        <v>0</v>
      </c>
      <c r="Y1353" s="182" t="n">
        <v>0</v>
      </c>
      <c r="Z1353" s="182" t="n">
        <v>0</v>
      </c>
      <c r="AA1353" s="182" t="n">
        <v>0</v>
      </c>
      <c r="AB1353" s="182" t="n">
        <v>0</v>
      </c>
      <c r="AC1353" s="182" t="n">
        <v>0</v>
      </c>
      <c r="AD1353" s="182" t="n">
        <v>0</v>
      </c>
      <c r="AE1353" s="182" t="n">
        <v>0</v>
      </c>
      <c r="AF1353" s="182" t="n">
        <v>0</v>
      </c>
      <c r="AG1353" s="182" t="n">
        <v>0</v>
      </c>
      <c r="AH1353" s="182" t="n">
        <v>0</v>
      </c>
      <c r="AI1353" s="182" t="n">
        <v>0</v>
      </c>
      <c r="AJ1353" s="182" t="n">
        <v>0</v>
      </c>
      <c r="AK1353" s="182" t="n">
        <v>0</v>
      </c>
      <c r="AL1353" s="182" t="n">
        <v>0</v>
      </c>
      <c r="AM1353" s="182" t="n">
        <v>0</v>
      </c>
      <c r="AN1353" s="182" t="n">
        <v>0</v>
      </c>
    </row>
    <row r="1354">
      <c r="A1354" s="155" t="n">
        <v>46088</v>
      </c>
      <c r="B1354" s="156" t="inlineStr">
        <is>
          <t>DS</t>
        </is>
      </c>
      <c r="C1354" s="156" t="inlineStr">
        <is>
          <t>DH-102</t>
        </is>
      </c>
      <c r="D1354" s="156" t="inlineStr">
        <is>
          <t>HINO FM260</t>
        </is>
      </c>
      <c r="E1354" s="156" t="inlineStr">
        <is>
          <t>DT Hino</t>
        </is>
      </c>
      <c r="F1354" s="156" t="inlineStr"/>
      <c r="G1354" s="182" t="n">
        <v>0</v>
      </c>
      <c r="H1354" s="182" t="n">
        <v>0</v>
      </c>
      <c r="I1354" s="182" t="n">
        <v>0</v>
      </c>
      <c r="J1354" s="182" t="n">
        <v>0</v>
      </c>
      <c r="K1354" s="182" t="n">
        <v>12</v>
      </c>
      <c r="L1354" s="182" t="n">
        <v>12</v>
      </c>
      <c r="M1354" s="182" t="n">
        <v>0</v>
      </c>
      <c r="N1354" s="182" t="n">
        <v>0</v>
      </c>
      <c r="O1354" s="183" t="n">
        <v>0</v>
      </c>
      <c r="P1354" s="183" t="n">
        <v>0</v>
      </c>
      <c r="Q1354" s="184" t="n">
        <v>0</v>
      </c>
      <c r="R1354" s="184" t="n">
        <v>0</v>
      </c>
      <c r="S1354" s="183" t="n">
        <v>0</v>
      </c>
      <c r="T1354" s="183" t="n">
        <v>0</v>
      </c>
      <c r="U1354" s="182" t="n">
        <v>0</v>
      </c>
      <c r="V1354" s="182" t="n">
        <v>0</v>
      </c>
      <c r="W1354" s="182" t="n">
        <v>0</v>
      </c>
      <c r="X1354" s="182" t="n">
        <v>1</v>
      </c>
      <c r="Y1354" s="182" t="n">
        <v>0</v>
      </c>
      <c r="Z1354" s="182" t="n">
        <v>0</v>
      </c>
      <c r="AA1354" s="182" t="n">
        <v>0</v>
      </c>
      <c r="AB1354" s="182" t="n">
        <v>0</v>
      </c>
      <c r="AC1354" s="182" t="n">
        <v>0</v>
      </c>
      <c r="AD1354" s="182" t="n">
        <v>0</v>
      </c>
      <c r="AE1354" s="182" t="n">
        <v>0</v>
      </c>
      <c r="AF1354" s="182" t="n">
        <v>0</v>
      </c>
      <c r="AG1354" s="182" t="n">
        <v>0</v>
      </c>
      <c r="AH1354" s="182" t="n">
        <v>0</v>
      </c>
      <c r="AI1354" s="182" t="n">
        <v>0</v>
      </c>
      <c r="AJ1354" s="182" t="n">
        <v>0</v>
      </c>
      <c r="AK1354" s="182" t="n">
        <v>10.92</v>
      </c>
      <c r="AL1354" s="182" t="n">
        <v>0</v>
      </c>
      <c r="AM1354" s="182" t="n">
        <v>0.08</v>
      </c>
      <c r="AN1354" s="182" t="n">
        <v>0</v>
      </c>
    </row>
    <row r="1355">
      <c r="A1355" s="155" t="n">
        <v>46088</v>
      </c>
      <c r="B1355" s="156" t="inlineStr">
        <is>
          <t>DS</t>
        </is>
      </c>
      <c r="C1355" s="156" t="inlineStr">
        <is>
          <t>DH-101</t>
        </is>
      </c>
      <c r="D1355" s="156" t="inlineStr">
        <is>
          <t>HINO FM260</t>
        </is>
      </c>
      <c r="E1355" s="156" t="inlineStr">
        <is>
          <t>DT Hino</t>
        </is>
      </c>
      <c r="F1355" s="156" t="inlineStr"/>
      <c r="G1355" s="182" t="n">
        <v>0</v>
      </c>
      <c r="H1355" s="182" t="n">
        <v>0</v>
      </c>
      <c r="I1355" s="182" t="n">
        <v>0</v>
      </c>
      <c r="J1355" s="182" t="n">
        <v>0</v>
      </c>
      <c r="K1355" s="182" t="n">
        <v>12</v>
      </c>
      <c r="L1355" s="182" t="n">
        <v>12</v>
      </c>
      <c r="M1355" s="182" t="n">
        <v>0</v>
      </c>
      <c r="N1355" s="182" t="n">
        <v>0</v>
      </c>
      <c r="O1355" s="183" t="n">
        <v>0</v>
      </c>
      <c r="P1355" s="183" t="n">
        <v>0</v>
      </c>
      <c r="Q1355" s="184" t="n">
        <v>0</v>
      </c>
      <c r="R1355" s="184" t="n">
        <v>0</v>
      </c>
      <c r="S1355" s="183" t="n">
        <v>0</v>
      </c>
      <c r="T1355" s="183" t="n">
        <v>0</v>
      </c>
      <c r="U1355" s="182" t="n">
        <v>0</v>
      </c>
      <c r="V1355" s="182" t="n">
        <v>0</v>
      </c>
      <c r="W1355" s="182" t="n">
        <v>0</v>
      </c>
      <c r="X1355" s="182" t="n">
        <v>1</v>
      </c>
      <c r="Y1355" s="182" t="n">
        <v>0</v>
      </c>
      <c r="Z1355" s="182" t="n">
        <v>0</v>
      </c>
      <c r="AA1355" s="182" t="n">
        <v>0</v>
      </c>
      <c r="AB1355" s="182" t="n">
        <v>0</v>
      </c>
      <c r="AC1355" s="182" t="n">
        <v>0</v>
      </c>
      <c r="AD1355" s="182" t="n">
        <v>0</v>
      </c>
      <c r="AE1355" s="182" t="n">
        <v>0</v>
      </c>
      <c r="AF1355" s="182" t="n">
        <v>0</v>
      </c>
      <c r="AG1355" s="182" t="n">
        <v>0</v>
      </c>
      <c r="AH1355" s="182" t="n">
        <v>0</v>
      </c>
      <c r="AI1355" s="182" t="n">
        <v>0</v>
      </c>
      <c r="AJ1355" s="182" t="n">
        <v>0</v>
      </c>
      <c r="AK1355" s="182" t="n">
        <v>10.92</v>
      </c>
      <c r="AL1355" s="182" t="n">
        <v>0</v>
      </c>
      <c r="AM1355" s="182" t="n">
        <v>0.08</v>
      </c>
      <c r="AN1355" s="182" t="n">
        <v>0</v>
      </c>
    </row>
    <row r="1356">
      <c r="A1356" s="155" t="n">
        <v>46088</v>
      </c>
      <c r="B1356" s="156" t="inlineStr">
        <is>
          <t>DS</t>
        </is>
      </c>
      <c r="C1356" s="156" t="inlineStr">
        <is>
          <t>EX-1251</t>
        </is>
      </c>
      <c r="D1356" s="156" t="inlineStr">
        <is>
          <t>SY1250</t>
        </is>
      </c>
      <c r="E1356" s="156" t="inlineStr">
        <is>
          <t>Excavator</t>
        </is>
      </c>
      <c r="F1356" s="156" t="inlineStr">
        <is>
          <t>Loading OB</t>
        </is>
      </c>
      <c r="G1356" s="182" t="n">
        <v>8.56</v>
      </c>
      <c r="H1356" s="182" t="n">
        <v>0</v>
      </c>
      <c r="I1356" s="182" t="n">
        <v>0.17</v>
      </c>
      <c r="J1356" s="182" t="n">
        <v>0.17</v>
      </c>
      <c r="K1356" s="182" t="n">
        <v>3.27</v>
      </c>
      <c r="L1356" s="182" t="n">
        <v>12</v>
      </c>
      <c r="M1356" s="182" t="n">
        <v>7.19</v>
      </c>
      <c r="N1356" s="182" t="n">
        <v>0</v>
      </c>
      <c r="O1356" s="183" t="n">
        <v>184</v>
      </c>
      <c r="P1356" s="183" t="n">
        <v>0</v>
      </c>
      <c r="Q1356" s="184" t="n">
        <v>3223.2</v>
      </c>
      <c r="R1356" s="184" t="n">
        <v>0</v>
      </c>
      <c r="S1356" s="183" t="n">
        <v>0</v>
      </c>
      <c r="T1356" s="183" t="n">
        <v>0</v>
      </c>
      <c r="U1356" s="182" t="n">
        <v>1.54</v>
      </c>
      <c r="V1356" s="182" t="n">
        <v>0.45</v>
      </c>
      <c r="W1356" s="182" t="n">
        <v>0</v>
      </c>
      <c r="X1356" s="182" t="n">
        <v>1.18</v>
      </c>
      <c r="Y1356" s="182" t="n">
        <v>0</v>
      </c>
      <c r="Z1356" s="182" t="n">
        <v>0</v>
      </c>
      <c r="AA1356" s="182" t="n">
        <v>0</v>
      </c>
      <c r="AB1356" s="182" t="n">
        <v>0</v>
      </c>
      <c r="AC1356" s="182" t="n">
        <v>0</v>
      </c>
      <c r="AD1356" s="182" t="n">
        <v>0</v>
      </c>
      <c r="AE1356" s="182" t="n">
        <v>0</v>
      </c>
      <c r="AF1356" s="182" t="n">
        <v>0</v>
      </c>
      <c r="AG1356" s="182" t="n">
        <v>0</v>
      </c>
      <c r="AH1356" s="182" t="n">
        <v>0</v>
      </c>
      <c r="AI1356" s="182" t="n">
        <v>0</v>
      </c>
      <c r="AJ1356" s="182" t="n">
        <v>0</v>
      </c>
      <c r="AK1356" s="182" t="n">
        <v>0</v>
      </c>
      <c r="AL1356" s="182" t="n">
        <v>0</v>
      </c>
      <c r="AM1356" s="182" t="n">
        <v>0.09</v>
      </c>
      <c r="AN1356" s="182" t="n">
        <v>0</v>
      </c>
    </row>
    <row r="1357">
      <c r="A1357" s="155" t="n">
        <v>46088</v>
      </c>
      <c r="B1357" s="156" t="inlineStr">
        <is>
          <t>DS</t>
        </is>
      </c>
      <c r="C1357" s="156" t="inlineStr">
        <is>
          <t>EX-1252</t>
        </is>
      </c>
      <c r="D1357" s="156" t="inlineStr">
        <is>
          <t>SY1250</t>
        </is>
      </c>
      <c r="E1357" s="156" t="inlineStr">
        <is>
          <t>Excavator</t>
        </is>
      </c>
      <c r="F1357" s="156" t="inlineStr"/>
      <c r="G1357" s="182" t="n">
        <v>0</v>
      </c>
      <c r="H1357" s="182" t="n">
        <v>0</v>
      </c>
      <c r="I1357" s="182" t="n">
        <v>12</v>
      </c>
      <c r="J1357" s="182" t="n">
        <v>12</v>
      </c>
      <c r="K1357" s="182" t="n">
        <v>0</v>
      </c>
      <c r="L1357" s="182" t="n">
        <v>12</v>
      </c>
      <c r="M1357" s="182" t="n">
        <v>0</v>
      </c>
      <c r="N1357" s="182" t="n">
        <v>0</v>
      </c>
      <c r="O1357" s="183" t="n">
        <v>0</v>
      </c>
      <c r="P1357" s="183" t="n">
        <v>0</v>
      </c>
      <c r="Q1357" s="184" t="n">
        <v>0</v>
      </c>
      <c r="R1357" s="184" t="n">
        <v>0</v>
      </c>
      <c r="S1357" s="183" t="n">
        <v>0</v>
      </c>
      <c r="T1357" s="183" t="n">
        <v>0</v>
      </c>
      <c r="U1357" s="182" t="n">
        <v>0</v>
      </c>
      <c r="V1357" s="182" t="n">
        <v>0</v>
      </c>
      <c r="W1357" s="182" t="n">
        <v>0</v>
      </c>
      <c r="X1357" s="182" t="n">
        <v>0</v>
      </c>
      <c r="Y1357" s="182" t="n">
        <v>0</v>
      </c>
      <c r="Z1357" s="182" t="n">
        <v>0</v>
      </c>
      <c r="AA1357" s="182" t="n">
        <v>0</v>
      </c>
      <c r="AB1357" s="182" t="n">
        <v>0</v>
      </c>
      <c r="AC1357" s="182" t="n">
        <v>0</v>
      </c>
      <c r="AD1357" s="182" t="n">
        <v>0</v>
      </c>
      <c r="AE1357" s="182" t="n">
        <v>0</v>
      </c>
      <c r="AF1357" s="182" t="n">
        <v>0</v>
      </c>
      <c r="AG1357" s="182" t="n">
        <v>0</v>
      </c>
      <c r="AH1357" s="182" t="n">
        <v>0</v>
      </c>
      <c r="AI1357" s="182" t="n">
        <v>0</v>
      </c>
      <c r="AJ1357" s="182" t="n">
        <v>0</v>
      </c>
      <c r="AK1357" s="182" t="n">
        <v>0</v>
      </c>
      <c r="AL1357" s="182" t="n">
        <v>0</v>
      </c>
      <c r="AM1357" s="182" t="n">
        <v>0</v>
      </c>
      <c r="AN1357" s="182" t="n">
        <v>0</v>
      </c>
    </row>
    <row r="1358">
      <c r="A1358" s="155" t="n">
        <v>46088</v>
      </c>
      <c r="B1358" s="156" t="inlineStr">
        <is>
          <t>DS</t>
        </is>
      </c>
      <c r="C1358" s="156" t="inlineStr">
        <is>
          <t>EX-2101</t>
        </is>
      </c>
      <c r="D1358" s="156" t="inlineStr">
        <is>
          <t>SY2000</t>
        </is>
      </c>
      <c r="E1358" s="156" t="inlineStr">
        <is>
          <t>Excavator</t>
        </is>
      </c>
      <c r="F1358" s="156" t="inlineStr">
        <is>
          <t>Loading OB</t>
        </is>
      </c>
      <c r="G1358" s="182" t="n">
        <v>7.42</v>
      </c>
      <c r="H1358" s="182" t="n">
        <v>0</v>
      </c>
      <c r="I1358" s="182" t="n">
        <v>1.5</v>
      </c>
      <c r="J1358" s="182" t="n">
        <v>1.5</v>
      </c>
      <c r="K1358" s="182" t="n">
        <v>3.08</v>
      </c>
      <c r="L1358" s="182" t="n">
        <v>12</v>
      </c>
      <c r="M1358" s="182" t="n">
        <v>7.15</v>
      </c>
      <c r="N1358" s="182" t="n">
        <v>0</v>
      </c>
      <c r="O1358" s="183" t="n">
        <v>103</v>
      </c>
      <c r="P1358" s="183" t="n">
        <v>0</v>
      </c>
      <c r="Q1358" s="184" t="n">
        <v>3615.9</v>
      </c>
      <c r="R1358" s="184" t="n">
        <v>0</v>
      </c>
      <c r="S1358" s="183" t="n">
        <v>0</v>
      </c>
      <c r="T1358" s="183" t="n">
        <v>0</v>
      </c>
      <c r="U1358" s="182" t="n">
        <v>1.15</v>
      </c>
      <c r="V1358" s="182" t="n">
        <v>0.97</v>
      </c>
      <c r="W1358" s="182" t="n">
        <v>0</v>
      </c>
      <c r="X1358" s="182" t="n">
        <v>0.89</v>
      </c>
      <c r="Y1358" s="182" t="n">
        <v>0</v>
      </c>
      <c r="Z1358" s="182" t="n">
        <v>0</v>
      </c>
      <c r="AA1358" s="182" t="n">
        <v>0</v>
      </c>
      <c r="AB1358" s="182" t="n">
        <v>0</v>
      </c>
      <c r="AC1358" s="182" t="n">
        <v>0</v>
      </c>
      <c r="AD1358" s="182" t="n">
        <v>0</v>
      </c>
      <c r="AE1358" s="182" t="n">
        <v>0</v>
      </c>
      <c r="AF1358" s="182" t="n">
        <v>0</v>
      </c>
      <c r="AG1358" s="182" t="n">
        <v>0</v>
      </c>
      <c r="AH1358" s="182" t="n">
        <v>0</v>
      </c>
      <c r="AI1358" s="182" t="n">
        <v>0</v>
      </c>
      <c r="AJ1358" s="182" t="n">
        <v>0</v>
      </c>
      <c r="AK1358" s="182" t="n">
        <v>0</v>
      </c>
      <c r="AL1358" s="182" t="n">
        <v>0</v>
      </c>
      <c r="AM1358" s="182" t="n">
        <v>0.07000000000000001</v>
      </c>
      <c r="AN1358" s="182" t="n">
        <v>0</v>
      </c>
    </row>
    <row r="1359">
      <c r="A1359" s="155" t="n">
        <v>46088</v>
      </c>
      <c r="B1359" s="156" t="inlineStr">
        <is>
          <t>DS</t>
        </is>
      </c>
      <c r="C1359" s="156" t="inlineStr">
        <is>
          <t>EX-222</t>
        </is>
      </c>
      <c r="D1359" s="156" t="inlineStr">
        <is>
          <t>PC 200-8MI</t>
        </is>
      </c>
      <c r="E1359" s="156" t="inlineStr">
        <is>
          <t>Excavator</t>
        </is>
      </c>
      <c r="F1359" s="156" t="inlineStr">
        <is>
          <t>Support Washing Plant</t>
        </is>
      </c>
      <c r="G1359" s="182" t="n">
        <v>11.65</v>
      </c>
      <c r="H1359" s="182" t="n">
        <v>0</v>
      </c>
      <c r="I1359" s="182" t="n">
        <v>0</v>
      </c>
      <c r="J1359" s="182" t="n">
        <v>0</v>
      </c>
      <c r="K1359" s="182" t="n">
        <v>0.35</v>
      </c>
      <c r="L1359" s="182" t="n">
        <v>12</v>
      </c>
      <c r="M1359" s="182" t="n">
        <v>0</v>
      </c>
      <c r="N1359" s="182" t="n">
        <v>0</v>
      </c>
      <c r="O1359" s="183" t="n">
        <v>0</v>
      </c>
      <c r="P1359" s="183" t="n">
        <v>0</v>
      </c>
      <c r="Q1359" s="184" t="n">
        <v>0</v>
      </c>
      <c r="R1359" s="184" t="n">
        <v>0</v>
      </c>
      <c r="S1359" s="183" t="n">
        <v>0</v>
      </c>
      <c r="T1359" s="183" t="n">
        <v>0</v>
      </c>
      <c r="U1359" s="182" t="n">
        <v>0</v>
      </c>
      <c r="V1359" s="182" t="n">
        <v>0</v>
      </c>
      <c r="W1359" s="182" t="n">
        <v>0</v>
      </c>
      <c r="X1359" s="182" t="n">
        <v>0</v>
      </c>
      <c r="Y1359" s="182" t="n">
        <v>0</v>
      </c>
      <c r="Z1359" s="182" t="n">
        <v>0</v>
      </c>
      <c r="AA1359" s="182" t="n">
        <v>0</v>
      </c>
      <c r="AB1359" s="182" t="n">
        <v>0</v>
      </c>
      <c r="AC1359" s="182" t="n">
        <v>0</v>
      </c>
      <c r="AD1359" s="182" t="n">
        <v>0</v>
      </c>
      <c r="AE1359" s="182" t="n">
        <v>0</v>
      </c>
      <c r="AF1359" s="182" t="n">
        <v>0</v>
      </c>
      <c r="AG1359" s="182" t="n">
        <v>0</v>
      </c>
      <c r="AH1359" s="182" t="n">
        <v>0</v>
      </c>
      <c r="AI1359" s="182" t="n">
        <v>0</v>
      </c>
      <c r="AJ1359" s="182" t="n">
        <v>0</v>
      </c>
      <c r="AK1359" s="182" t="n">
        <v>0</v>
      </c>
      <c r="AL1359" s="182" t="n">
        <v>0</v>
      </c>
      <c r="AM1359" s="182" t="n">
        <v>0</v>
      </c>
      <c r="AN1359" s="182" t="n">
        <v>0</v>
      </c>
    </row>
    <row r="1360">
      <c r="A1360" s="155" t="n">
        <v>46088</v>
      </c>
      <c r="B1360" s="156" t="inlineStr">
        <is>
          <t>DS</t>
        </is>
      </c>
      <c r="C1360" s="156" t="inlineStr">
        <is>
          <t>EX-225</t>
        </is>
      </c>
      <c r="D1360" s="156" t="inlineStr">
        <is>
          <t>PC 200-8</t>
        </is>
      </c>
      <c r="E1360" s="156" t="inlineStr">
        <is>
          <t>Excavator</t>
        </is>
      </c>
      <c r="F1360" s="156" t="inlineStr"/>
      <c r="G1360" s="182" t="n">
        <v>0</v>
      </c>
      <c r="H1360" s="182" t="n">
        <v>0</v>
      </c>
      <c r="I1360" s="182" t="n">
        <v>12</v>
      </c>
      <c r="J1360" s="182" t="n">
        <v>12</v>
      </c>
      <c r="K1360" s="182" t="n">
        <v>0</v>
      </c>
      <c r="L1360" s="182" t="n">
        <v>12</v>
      </c>
      <c r="M1360" s="182" t="n">
        <v>0</v>
      </c>
      <c r="N1360" s="182" t="n">
        <v>0</v>
      </c>
      <c r="O1360" s="183" t="n">
        <v>0</v>
      </c>
      <c r="P1360" s="183" t="n">
        <v>0</v>
      </c>
      <c r="Q1360" s="184" t="n">
        <v>0</v>
      </c>
      <c r="R1360" s="184" t="n">
        <v>0</v>
      </c>
      <c r="S1360" s="183" t="n">
        <v>0</v>
      </c>
      <c r="T1360" s="183" t="n">
        <v>0</v>
      </c>
      <c r="U1360" s="182" t="n">
        <v>0</v>
      </c>
      <c r="V1360" s="182" t="n">
        <v>0</v>
      </c>
      <c r="W1360" s="182" t="n">
        <v>0</v>
      </c>
      <c r="X1360" s="182" t="n">
        <v>0</v>
      </c>
      <c r="Y1360" s="182" t="n">
        <v>0</v>
      </c>
      <c r="Z1360" s="182" t="n">
        <v>0</v>
      </c>
      <c r="AA1360" s="182" t="n">
        <v>0</v>
      </c>
      <c r="AB1360" s="182" t="n">
        <v>0</v>
      </c>
      <c r="AC1360" s="182" t="n">
        <v>0</v>
      </c>
      <c r="AD1360" s="182" t="n">
        <v>0</v>
      </c>
      <c r="AE1360" s="182" t="n">
        <v>0</v>
      </c>
      <c r="AF1360" s="182" t="n">
        <v>0</v>
      </c>
      <c r="AG1360" s="182" t="n">
        <v>0</v>
      </c>
      <c r="AH1360" s="182" t="n">
        <v>0</v>
      </c>
      <c r="AI1360" s="182" t="n">
        <v>0</v>
      </c>
      <c r="AJ1360" s="182" t="n">
        <v>0</v>
      </c>
      <c r="AK1360" s="182" t="n">
        <v>0</v>
      </c>
      <c r="AL1360" s="182" t="n">
        <v>0</v>
      </c>
      <c r="AM1360" s="182" t="n">
        <v>0</v>
      </c>
      <c r="AN1360" s="182" t="n">
        <v>0</v>
      </c>
    </row>
    <row r="1361">
      <c r="A1361" s="155" t="n">
        <v>46088</v>
      </c>
      <c r="B1361" s="156" t="inlineStr">
        <is>
          <t>DS</t>
        </is>
      </c>
      <c r="C1361" s="156" t="inlineStr">
        <is>
          <t>EX-223</t>
        </is>
      </c>
      <c r="D1361" s="156" t="inlineStr">
        <is>
          <t>PC 200-8MI</t>
        </is>
      </c>
      <c r="E1361" s="156" t="inlineStr">
        <is>
          <t>Excavator</t>
        </is>
      </c>
      <c r="F1361" s="156" t="inlineStr">
        <is>
          <t>Support WS Lama</t>
        </is>
      </c>
      <c r="G1361" s="182" t="n">
        <v>8.85</v>
      </c>
      <c r="H1361" s="182" t="n">
        <v>0</v>
      </c>
      <c r="I1361" s="182" t="n">
        <v>0</v>
      </c>
      <c r="J1361" s="182" t="n">
        <v>0</v>
      </c>
      <c r="K1361" s="182" t="n">
        <v>3.15</v>
      </c>
      <c r="L1361" s="182" t="n">
        <v>12</v>
      </c>
      <c r="M1361" s="182" t="n">
        <v>0</v>
      </c>
      <c r="N1361" s="182" t="n">
        <v>0</v>
      </c>
      <c r="O1361" s="183" t="n">
        <v>0</v>
      </c>
      <c r="P1361" s="183" t="n">
        <v>0</v>
      </c>
      <c r="Q1361" s="184" t="n">
        <v>0</v>
      </c>
      <c r="R1361" s="184" t="n">
        <v>0</v>
      </c>
      <c r="S1361" s="183" t="n">
        <v>0</v>
      </c>
      <c r="T1361" s="183" t="n">
        <v>0</v>
      </c>
      <c r="U1361" s="182" t="n">
        <v>0</v>
      </c>
      <c r="V1361" s="182" t="n">
        <v>0</v>
      </c>
      <c r="W1361" s="182" t="n">
        <v>0</v>
      </c>
      <c r="X1361" s="182" t="n">
        <v>0.98</v>
      </c>
      <c r="Y1361" s="182" t="n">
        <v>0</v>
      </c>
      <c r="Z1361" s="182" t="n">
        <v>0</v>
      </c>
      <c r="AA1361" s="182" t="n">
        <v>0</v>
      </c>
      <c r="AB1361" s="182" t="n">
        <v>0</v>
      </c>
      <c r="AC1361" s="182" t="n">
        <v>0</v>
      </c>
      <c r="AD1361" s="182" t="n">
        <v>0</v>
      </c>
      <c r="AE1361" s="182" t="n">
        <v>0</v>
      </c>
      <c r="AF1361" s="182" t="n">
        <v>0</v>
      </c>
      <c r="AG1361" s="182" t="n">
        <v>0</v>
      </c>
      <c r="AH1361" s="182" t="n">
        <v>0</v>
      </c>
      <c r="AI1361" s="182" t="n">
        <v>0</v>
      </c>
      <c r="AJ1361" s="182" t="n">
        <v>0</v>
      </c>
      <c r="AK1361" s="182" t="n">
        <v>2.09</v>
      </c>
      <c r="AL1361" s="182" t="n">
        <v>0</v>
      </c>
      <c r="AM1361" s="182" t="n">
        <v>0.08</v>
      </c>
      <c r="AN1361" s="182" t="n">
        <v>0</v>
      </c>
    </row>
    <row r="1362">
      <c r="A1362" s="155" t="n">
        <v>46088</v>
      </c>
      <c r="B1362" s="156" t="inlineStr">
        <is>
          <t>DS</t>
        </is>
      </c>
      <c r="C1362" s="156" t="inlineStr">
        <is>
          <t>EX-221</t>
        </is>
      </c>
      <c r="D1362" s="156" t="inlineStr">
        <is>
          <t>PC 200-8MI</t>
        </is>
      </c>
      <c r="E1362" s="156" t="inlineStr">
        <is>
          <t>Excavator</t>
        </is>
      </c>
      <c r="F1362" s="156" t="inlineStr">
        <is>
          <t>General Jetty</t>
        </is>
      </c>
      <c r="G1362" s="182" t="n">
        <v>6.99</v>
      </c>
      <c r="H1362" s="182" t="n">
        <v>0</v>
      </c>
      <c r="I1362" s="182" t="n">
        <v>0</v>
      </c>
      <c r="J1362" s="182" t="n">
        <v>0</v>
      </c>
      <c r="K1362" s="182" t="n">
        <v>5.01</v>
      </c>
      <c r="L1362" s="182" t="n">
        <v>12</v>
      </c>
      <c r="M1362" s="182" t="n">
        <v>0</v>
      </c>
      <c r="N1362" s="182" t="n">
        <v>0</v>
      </c>
      <c r="O1362" s="183" t="n">
        <v>0</v>
      </c>
      <c r="P1362" s="183" t="n">
        <v>0</v>
      </c>
      <c r="Q1362" s="184" t="n">
        <v>0</v>
      </c>
      <c r="R1362" s="184" t="n">
        <v>0</v>
      </c>
      <c r="S1362" s="183" t="n">
        <v>0</v>
      </c>
      <c r="T1362" s="183" t="n">
        <v>0</v>
      </c>
      <c r="U1362" s="182" t="n">
        <v>0</v>
      </c>
      <c r="V1362" s="182" t="n">
        <v>0</v>
      </c>
      <c r="W1362" s="182" t="n">
        <v>0</v>
      </c>
      <c r="X1362" s="182" t="n">
        <v>1.02</v>
      </c>
      <c r="Y1362" s="182" t="n">
        <v>0</v>
      </c>
      <c r="Z1362" s="182" t="n">
        <v>0</v>
      </c>
      <c r="AA1362" s="182" t="n">
        <v>0</v>
      </c>
      <c r="AB1362" s="182" t="n">
        <v>0</v>
      </c>
      <c r="AC1362" s="182" t="n">
        <v>0</v>
      </c>
      <c r="AD1362" s="182" t="n">
        <v>0</v>
      </c>
      <c r="AE1362" s="182" t="n">
        <v>0</v>
      </c>
      <c r="AF1362" s="182" t="n">
        <v>0</v>
      </c>
      <c r="AG1362" s="182" t="n">
        <v>0</v>
      </c>
      <c r="AH1362" s="182" t="n">
        <v>0</v>
      </c>
      <c r="AI1362" s="182" t="n">
        <v>0</v>
      </c>
      <c r="AJ1362" s="182" t="n">
        <v>0</v>
      </c>
      <c r="AK1362" s="182" t="n">
        <v>3.91</v>
      </c>
      <c r="AL1362" s="182" t="n">
        <v>0</v>
      </c>
      <c r="AM1362" s="182" t="n">
        <v>0.08</v>
      </c>
      <c r="AN1362" s="182" t="n">
        <v>0</v>
      </c>
    </row>
    <row r="1363">
      <c r="A1363" s="155" t="n">
        <v>46088</v>
      </c>
      <c r="B1363" s="156" t="inlineStr">
        <is>
          <t>DS</t>
        </is>
      </c>
      <c r="C1363" s="156" t="inlineStr">
        <is>
          <t>EX-331</t>
        </is>
      </c>
      <c r="D1363" s="156" t="inlineStr">
        <is>
          <t>PC 300-8MO</t>
        </is>
      </c>
      <c r="E1363" s="156" t="inlineStr">
        <is>
          <t>Excavator</t>
        </is>
      </c>
      <c r="F1363" s="156" t="inlineStr"/>
      <c r="G1363" s="182" t="n">
        <v>0</v>
      </c>
      <c r="H1363" s="182" t="n">
        <v>0</v>
      </c>
      <c r="I1363" s="182" t="n">
        <v>12</v>
      </c>
      <c r="J1363" s="182" t="n">
        <v>12</v>
      </c>
      <c r="K1363" s="182" t="n">
        <v>0</v>
      </c>
      <c r="L1363" s="182" t="n">
        <v>12</v>
      </c>
      <c r="M1363" s="182" t="n">
        <v>0</v>
      </c>
      <c r="N1363" s="182" t="n">
        <v>0</v>
      </c>
      <c r="O1363" s="183" t="n">
        <v>0</v>
      </c>
      <c r="P1363" s="183" t="n">
        <v>0</v>
      </c>
      <c r="Q1363" s="184" t="n">
        <v>0</v>
      </c>
      <c r="R1363" s="184" t="n">
        <v>0</v>
      </c>
      <c r="S1363" s="183" t="n">
        <v>0</v>
      </c>
      <c r="T1363" s="183" t="n">
        <v>0</v>
      </c>
      <c r="U1363" s="182" t="n">
        <v>0</v>
      </c>
      <c r="V1363" s="182" t="n">
        <v>0</v>
      </c>
      <c r="W1363" s="182" t="n">
        <v>0</v>
      </c>
      <c r="X1363" s="182" t="n">
        <v>0</v>
      </c>
      <c r="Y1363" s="182" t="n">
        <v>0</v>
      </c>
      <c r="Z1363" s="182" t="n">
        <v>0</v>
      </c>
      <c r="AA1363" s="182" t="n">
        <v>0</v>
      </c>
      <c r="AB1363" s="182" t="n">
        <v>0</v>
      </c>
      <c r="AC1363" s="182" t="n">
        <v>0</v>
      </c>
      <c r="AD1363" s="182" t="n">
        <v>0</v>
      </c>
      <c r="AE1363" s="182" t="n">
        <v>0</v>
      </c>
      <c r="AF1363" s="182" t="n">
        <v>0</v>
      </c>
      <c r="AG1363" s="182" t="n">
        <v>0</v>
      </c>
      <c r="AH1363" s="182" t="n">
        <v>0</v>
      </c>
      <c r="AI1363" s="182" t="n">
        <v>0</v>
      </c>
      <c r="AJ1363" s="182" t="n">
        <v>0</v>
      </c>
      <c r="AK1363" s="182" t="n">
        <v>0</v>
      </c>
      <c r="AL1363" s="182" t="n">
        <v>0</v>
      </c>
      <c r="AM1363" s="182" t="n">
        <v>0</v>
      </c>
      <c r="AN1363" s="182" t="n">
        <v>0</v>
      </c>
    </row>
    <row r="1364">
      <c r="A1364" s="155" t="n">
        <v>46088</v>
      </c>
      <c r="B1364" s="156" t="inlineStr">
        <is>
          <t>DS</t>
        </is>
      </c>
      <c r="C1364" s="156" t="inlineStr">
        <is>
          <t>EX-334</t>
        </is>
      </c>
      <c r="D1364" s="156" t="inlineStr">
        <is>
          <t>PC 300-8MO</t>
        </is>
      </c>
      <c r="E1364" s="156" t="inlineStr">
        <is>
          <t>Excavator</t>
        </is>
      </c>
      <c r="F1364" s="156" t="inlineStr">
        <is>
          <t>Trimming Coal di Stock ROM</t>
        </is>
      </c>
      <c r="G1364" s="182" t="n">
        <v>10.58</v>
      </c>
      <c r="H1364" s="182" t="n">
        <v>1.42</v>
      </c>
      <c r="I1364" s="182" t="n">
        <v>0</v>
      </c>
      <c r="J1364" s="182" t="n">
        <v>1.42</v>
      </c>
      <c r="K1364" s="182" t="n">
        <v>0</v>
      </c>
      <c r="L1364" s="182" t="n">
        <v>12</v>
      </c>
      <c r="M1364" s="182" t="n">
        <v>0</v>
      </c>
      <c r="N1364" s="182" t="n">
        <v>0</v>
      </c>
      <c r="O1364" s="183" t="n">
        <v>0</v>
      </c>
      <c r="P1364" s="183" t="n">
        <v>0</v>
      </c>
      <c r="Q1364" s="184" t="n">
        <v>0</v>
      </c>
      <c r="R1364" s="184" t="n">
        <v>0</v>
      </c>
      <c r="S1364" s="183" t="n">
        <v>0</v>
      </c>
      <c r="T1364" s="183" t="n">
        <v>0</v>
      </c>
      <c r="U1364" s="182" t="n">
        <v>0</v>
      </c>
      <c r="V1364" s="182" t="n">
        <v>0</v>
      </c>
      <c r="W1364" s="182" t="n">
        <v>0</v>
      </c>
      <c r="X1364" s="182" t="n">
        <v>0</v>
      </c>
      <c r="Y1364" s="182" t="n">
        <v>0</v>
      </c>
      <c r="Z1364" s="182" t="n">
        <v>0</v>
      </c>
      <c r="AA1364" s="182" t="n">
        <v>0</v>
      </c>
      <c r="AB1364" s="182" t="n">
        <v>0</v>
      </c>
      <c r="AC1364" s="182" t="n">
        <v>0</v>
      </c>
      <c r="AD1364" s="182" t="n">
        <v>0</v>
      </c>
      <c r="AE1364" s="182" t="n">
        <v>0</v>
      </c>
      <c r="AF1364" s="182" t="n">
        <v>0</v>
      </c>
      <c r="AG1364" s="182" t="n">
        <v>0</v>
      </c>
      <c r="AH1364" s="182" t="n">
        <v>0</v>
      </c>
      <c r="AI1364" s="182" t="n">
        <v>0</v>
      </c>
      <c r="AJ1364" s="182" t="n">
        <v>0</v>
      </c>
      <c r="AK1364" s="182" t="n">
        <v>0</v>
      </c>
      <c r="AL1364" s="182" t="n">
        <v>0</v>
      </c>
      <c r="AM1364" s="182" t="n">
        <v>0</v>
      </c>
      <c r="AN1364" s="182" t="n">
        <v>0</v>
      </c>
    </row>
    <row r="1365">
      <c r="A1365" s="155" t="n">
        <v>46088</v>
      </c>
      <c r="B1365" s="156" t="inlineStr">
        <is>
          <t>DS</t>
        </is>
      </c>
      <c r="C1365" s="156" t="inlineStr">
        <is>
          <t>EX-332</t>
        </is>
      </c>
      <c r="D1365" s="156" t="inlineStr">
        <is>
          <t>PC 300-8MO</t>
        </is>
      </c>
      <c r="E1365" s="156" t="inlineStr">
        <is>
          <t>Excavator</t>
        </is>
      </c>
      <c r="F1365" s="156" t="inlineStr"/>
      <c r="G1365" s="182" t="n">
        <v>0</v>
      </c>
      <c r="H1365" s="182" t="n">
        <v>0</v>
      </c>
      <c r="I1365" s="182" t="n">
        <v>12</v>
      </c>
      <c r="J1365" s="182" t="n">
        <v>12</v>
      </c>
      <c r="K1365" s="182" t="n">
        <v>0</v>
      </c>
      <c r="L1365" s="182" t="n">
        <v>12</v>
      </c>
      <c r="M1365" s="182" t="n">
        <v>0</v>
      </c>
      <c r="N1365" s="182" t="n">
        <v>0</v>
      </c>
      <c r="O1365" s="183" t="n">
        <v>0</v>
      </c>
      <c r="P1365" s="183" t="n">
        <v>0</v>
      </c>
      <c r="Q1365" s="184" t="n">
        <v>0</v>
      </c>
      <c r="R1365" s="184" t="n">
        <v>0</v>
      </c>
      <c r="S1365" s="183" t="n">
        <v>0</v>
      </c>
      <c r="T1365" s="183" t="n">
        <v>0</v>
      </c>
      <c r="U1365" s="182" t="n">
        <v>0</v>
      </c>
      <c r="V1365" s="182" t="n">
        <v>0</v>
      </c>
      <c r="W1365" s="182" t="n">
        <v>0</v>
      </c>
      <c r="X1365" s="182" t="n">
        <v>0</v>
      </c>
      <c r="Y1365" s="182" t="n">
        <v>0</v>
      </c>
      <c r="Z1365" s="182" t="n">
        <v>0</v>
      </c>
      <c r="AA1365" s="182" t="n">
        <v>0</v>
      </c>
      <c r="AB1365" s="182" t="n">
        <v>0</v>
      </c>
      <c r="AC1365" s="182" t="n">
        <v>0</v>
      </c>
      <c r="AD1365" s="182" t="n">
        <v>0</v>
      </c>
      <c r="AE1365" s="182" t="n">
        <v>0</v>
      </c>
      <c r="AF1365" s="182" t="n">
        <v>0</v>
      </c>
      <c r="AG1365" s="182" t="n">
        <v>0</v>
      </c>
      <c r="AH1365" s="182" t="n">
        <v>0</v>
      </c>
      <c r="AI1365" s="182" t="n">
        <v>0</v>
      </c>
      <c r="AJ1365" s="182" t="n">
        <v>0</v>
      </c>
      <c r="AK1365" s="182" t="n">
        <v>0</v>
      </c>
      <c r="AL1365" s="182" t="n">
        <v>0</v>
      </c>
      <c r="AM1365" s="182" t="n">
        <v>0</v>
      </c>
      <c r="AN1365" s="182" t="n">
        <v>0</v>
      </c>
    </row>
    <row r="1366">
      <c r="A1366" s="155" t="n">
        <v>46088</v>
      </c>
      <c r="B1366" s="156" t="inlineStr">
        <is>
          <t>DS</t>
        </is>
      </c>
      <c r="C1366" s="156" t="inlineStr">
        <is>
          <t>EX-333</t>
        </is>
      </c>
      <c r="D1366" s="156" t="inlineStr">
        <is>
          <t>PC 300-8MO</t>
        </is>
      </c>
      <c r="E1366" s="156" t="inlineStr">
        <is>
          <t>Excavator</t>
        </is>
      </c>
      <c r="F1366" s="156" t="inlineStr">
        <is>
          <t>Cleaning Coal</t>
        </is>
      </c>
      <c r="G1366" s="182" t="n">
        <v>9.949999999999999</v>
      </c>
      <c r="H1366" s="182" t="n">
        <v>0</v>
      </c>
      <c r="I1366" s="182" t="n">
        <v>0</v>
      </c>
      <c r="J1366" s="182" t="n">
        <v>0</v>
      </c>
      <c r="K1366" s="182" t="n">
        <v>2.05</v>
      </c>
      <c r="L1366" s="182" t="n">
        <v>12</v>
      </c>
      <c r="M1366" s="182" t="n">
        <v>0</v>
      </c>
      <c r="N1366" s="182" t="n">
        <v>0</v>
      </c>
      <c r="O1366" s="183" t="n">
        <v>0</v>
      </c>
      <c r="P1366" s="183" t="n">
        <v>0</v>
      </c>
      <c r="Q1366" s="184" t="n">
        <v>0</v>
      </c>
      <c r="R1366" s="184" t="n">
        <v>0</v>
      </c>
      <c r="S1366" s="183" t="n">
        <v>0</v>
      </c>
      <c r="T1366" s="183" t="n">
        <v>0</v>
      </c>
      <c r="U1366" s="182" t="n">
        <v>1.09</v>
      </c>
      <c r="V1366" s="182" t="n">
        <v>0</v>
      </c>
      <c r="W1366" s="182" t="n">
        <v>0</v>
      </c>
      <c r="X1366" s="182" t="n">
        <v>0.89</v>
      </c>
      <c r="Y1366" s="182" t="n">
        <v>0</v>
      </c>
      <c r="Z1366" s="182" t="n">
        <v>0</v>
      </c>
      <c r="AA1366" s="182" t="n">
        <v>0</v>
      </c>
      <c r="AB1366" s="182" t="n">
        <v>0</v>
      </c>
      <c r="AC1366" s="182" t="n">
        <v>0</v>
      </c>
      <c r="AD1366" s="182" t="n">
        <v>0</v>
      </c>
      <c r="AE1366" s="182" t="n">
        <v>0</v>
      </c>
      <c r="AF1366" s="182" t="n">
        <v>0</v>
      </c>
      <c r="AG1366" s="182" t="n">
        <v>0</v>
      </c>
      <c r="AH1366" s="182" t="n">
        <v>0</v>
      </c>
      <c r="AI1366" s="182" t="n">
        <v>0</v>
      </c>
      <c r="AJ1366" s="182" t="n">
        <v>0</v>
      </c>
      <c r="AK1366" s="182" t="n">
        <v>0</v>
      </c>
      <c r="AL1366" s="182" t="n">
        <v>0</v>
      </c>
      <c r="AM1366" s="182" t="n">
        <v>0.07000000000000001</v>
      </c>
      <c r="AN1366" s="182" t="n">
        <v>0</v>
      </c>
    </row>
    <row r="1367">
      <c r="A1367" s="155" t="n">
        <v>46088</v>
      </c>
      <c r="B1367" s="156" t="inlineStr">
        <is>
          <t>DS</t>
        </is>
      </c>
      <c r="C1367" s="156" t="inlineStr">
        <is>
          <t>EX-336</t>
        </is>
      </c>
      <c r="D1367" s="156" t="inlineStr">
        <is>
          <t>PC 300-8MO</t>
        </is>
      </c>
      <c r="E1367" s="156" t="inlineStr">
        <is>
          <t>Excavator</t>
        </is>
      </c>
      <c r="F1367" s="156" t="inlineStr">
        <is>
          <t>Cleaning Coal</t>
        </is>
      </c>
      <c r="G1367" s="182" t="n">
        <v>9.4</v>
      </c>
      <c r="H1367" s="182" t="n">
        <v>0</v>
      </c>
      <c r="I1367" s="182" t="n">
        <v>0</v>
      </c>
      <c r="J1367" s="182" t="n">
        <v>0</v>
      </c>
      <c r="K1367" s="182" t="n">
        <v>2.6</v>
      </c>
      <c r="L1367" s="182" t="n">
        <v>12</v>
      </c>
      <c r="M1367" s="182" t="n">
        <v>0</v>
      </c>
      <c r="N1367" s="182" t="n">
        <v>0</v>
      </c>
      <c r="O1367" s="183" t="n">
        <v>0</v>
      </c>
      <c r="P1367" s="183" t="n">
        <v>0</v>
      </c>
      <c r="Q1367" s="184" t="n">
        <v>0</v>
      </c>
      <c r="R1367" s="184" t="n">
        <v>0</v>
      </c>
      <c r="S1367" s="183" t="n">
        <v>0</v>
      </c>
      <c r="T1367" s="183" t="n">
        <v>0</v>
      </c>
      <c r="U1367" s="182" t="n">
        <v>1.2</v>
      </c>
      <c r="V1367" s="182" t="n">
        <v>0</v>
      </c>
      <c r="W1367" s="182" t="n">
        <v>0</v>
      </c>
      <c r="X1367" s="182" t="n">
        <v>1.3</v>
      </c>
      <c r="Y1367" s="182" t="n">
        <v>0</v>
      </c>
      <c r="Z1367" s="182" t="n">
        <v>0</v>
      </c>
      <c r="AA1367" s="182" t="n">
        <v>0</v>
      </c>
      <c r="AB1367" s="182" t="n">
        <v>0</v>
      </c>
      <c r="AC1367" s="182" t="n">
        <v>0</v>
      </c>
      <c r="AD1367" s="182" t="n">
        <v>0</v>
      </c>
      <c r="AE1367" s="182" t="n">
        <v>0</v>
      </c>
      <c r="AF1367" s="182" t="n">
        <v>0</v>
      </c>
      <c r="AG1367" s="182" t="n">
        <v>0</v>
      </c>
      <c r="AH1367" s="182" t="n">
        <v>0</v>
      </c>
      <c r="AI1367" s="182" t="n">
        <v>0</v>
      </c>
      <c r="AJ1367" s="182" t="n">
        <v>0</v>
      </c>
      <c r="AK1367" s="182" t="n">
        <v>0</v>
      </c>
      <c r="AL1367" s="182" t="n">
        <v>0</v>
      </c>
      <c r="AM1367" s="182" t="n">
        <v>0.1</v>
      </c>
      <c r="AN1367" s="182" t="n">
        <v>0</v>
      </c>
    </row>
    <row r="1368">
      <c r="A1368" s="155" t="n">
        <v>46088</v>
      </c>
      <c r="B1368" s="156" t="inlineStr">
        <is>
          <t>DS</t>
        </is>
      </c>
      <c r="C1368" s="156" t="inlineStr">
        <is>
          <t>EX-335</t>
        </is>
      </c>
      <c r="D1368" s="156" t="inlineStr">
        <is>
          <t>PC 300-8MO</t>
        </is>
      </c>
      <c r="E1368" s="156" t="inlineStr">
        <is>
          <t>Excavator</t>
        </is>
      </c>
      <c r="F1368" s="156" t="inlineStr">
        <is>
          <t>Loading Parting &amp; Coal S60 &amp; Cleaning Coal</t>
        </is>
      </c>
      <c r="G1368" s="182" t="n">
        <v>11.28</v>
      </c>
      <c r="H1368" s="182" t="n">
        <v>0</v>
      </c>
      <c r="I1368" s="182" t="n">
        <v>0</v>
      </c>
      <c r="J1368" s="182" t="n">
        <v>0</v>
      </c>
      <c r="K1368" s="182" t="n">
        <v>0.72</v>
      </c>
      <c r="L1368" s="182" t="n">
        <v>12</v>
      </c>
      <c r="M1368" s="182" t="n">
        <v>1.57</v>
      </c>
      <c r="N1368" s="182" t="n">
        <v>5.74</v>
      </c>
      <c r="O1368" s="183" t="n">
        <v>13</v>
      </c>
      <c r="P1368" s="183" t="n">
        <v>42</v>
      </c>
      <c r="Q1368" s="184" t="n">
        <v>207.4</v>
      </c>
      <c r="R1368" s="184" t="n">
        <v>785.4</v>
      </c>
      <c r="S1368" s="183" t="n">
        <v>0</v>
      </c>
      <c r="T1368" s="183" t="n">
        <v>0</v>
      </c>
      <c r="U1368" s="182" t="n">
        <v>0.07000000000000001</v>
      </c>
      <c r="V1368" s="182" t="n">
        <v>0</v>
      </c>
      <c r="W1368" s="182" t="n">
        <v>0</v>
      </c>
      <c r="X1368" s="182" t="n">
        <v>0.6</v>
      </c>
      <c r="Y1368" s="182" t="n">
        <v>0</v>
      </c>
      <c r="Z1368" s="182" t="n">
        <v>0</v>
      </c>
      <c r="AA1368" s="182" t="n">
        <v>0</v>
      </c>
      <c r="AB1368" s="182" t="n">
        <v>0</v>
      </c>
      <c r="AC1368" s="182" t="n">
        <v>0</v>
      </c>
      <c r="AD1368" s="182" t="n">
        <v>0</v>
      </c>
      <c r="AE1368" s="182" t="n">
        <v>0</v>
      </c>
      <c r="AF1368" s="182" t="n">
        <v>0</v>
      </c>
      <c r="AG1368" s="182" t="n">
        <v>0</v>
      </c>
      <c r="AH1368" s="182" t="n">
        <v>0</v>
      </c>
      <c r="AI1368" s="182" t="n">
        <v>0</v>
      </c>
      <c r="AJ1368" s="182" t="n">
        <v>0</v>
      </c>
      <c r="AK1368" s="182" t="n">
        <v>0</v>
      </c>
      <c r="AL1368" s="182" t="n">
        <v>0</v>
      </c>
      <c r="AM1368" s="182" t="n">
        <v>0.05</v>
      </c>
      <c r="AN1368" s="182" t="n">
        <v>0</v>
      </c>
    </row>
    <row r="1369">
      <c r="A1369" s="155" t="n">
        <v>46088</v>
      </c>
      <c r="B1369" s="156" t="inlineStr">
        <is>
          <t>DS</t>
        </is>
      </c>
      <c r="C1369" s="156" t="inlineStr">
        <is>
          <t>EX-754</t>
        </is>
      </c>
      <c r="D1369" s="156" t="inlineStr">
        <is>
          <t>SY750H-PRO</t>
        </is>
      </c>
      <c r="E1369" s="156" t="inlineStr">
        <is>
          <t>Excavator</t>
        </is>
      </c>
      <c r="F1369" s="156" t="inlineStr">
        <is>
          <t>Loading OB</t>
        </is>
      </c>
      <c r="G1369" s="182" t="n">
        <v>5.45</v>
      </c>
      <c r="H1369" s="182" t="n">
        <v>2.67</v>
      </c>
      <c r="I1369" s="182" t="n">
        <v>0.25</v>
      </c>
      <c r="J1369" s="182" t="n">
        <v>2.92</v>
      </c>
      <c r="K1369" s="182" t="n">
        <v>3.63</v>
      </c>
      <c r="L1369" s="182" t="n">
        <v>12</v>
      </c>
      <c r="M1369" s="182" t="n">
        <v>3.34</v>
      </c>
      <c r="N1369" s="182" t="n">
        <v>0</v>
      </c>
      <c r="O1369" s="183" t="n">
        <v>39</v>
      </c>
      <c r="P1369" s="183" t="n">
        <v>0</v>
      </c>
      <c r="Q1369" s="184" t="n">
        <v>795.6</v>
      </c>
      <c r="R1369" s="184" t="n">
        <v>0</v>
      </c>
      <c r="S1369" s="183" t="n">
        <v>0</v>
      </c>
      <c r="T1369" s="183" t="n">
        <v>0</v>
      </c>
      <c r="U1369" s="182" t="n">
        <v>1.24</v>
      </c>
      <c r="V1369" s="182" t="n">
        <v>1.36</v>
      </c>
      <c r="W1369" s="182" t="n">
        <v>0</v>
      </c>
      <c r="X1369" s="182" t="n">
        <v>0.96</v>
      </c>
      <c r="Y1369" s="182" t="n">
        <v>0</v>
      </c>
      <c r="Z1369" s="182" t="n">
        <v>0</v>
      </c>
      <c r="AA1369" s="182" t="n">
        <v>0</v>
      </c>
      <c r="AB1369" s="182" t="n">
        <v>0</v>
      </c>
      <c r="AC1369" s="182" t="n">
        <v>0</v>
      </c>
      <c r="AD1369" s="182" t="n">
        <v>0</v>
      </c>
      <c r="AE1369" s="182" t="n">
        <v>0</v>
      </c>
      <c r="AF1369" s="182" t="n">
        <v>0</v>
      </c>
      <c r="AG1369" s="182" t="n">
        <v>0</v>
      </c>
      <c r="AH1369" s="182" t="n">
        <v>0</v>
      </c>
      <c r="AI1369" s="182" t="n">
        <v>0</v>
      </c>
      <c r="AJ1369" s="182" t="n">
        <v>0</v>
      </c>
      <c r="AK1369" s="182" t="n">
        <v>0</v>
      </c>
      <c r="AL1369" s="182" t="n">
        <v>0</v>
      </c>
      <c r="AM1369" s="182" t="n">
        <v>0.08</v>
      </c>
      <c r="AN1369" s="182" t="n">
        <v>0</v>
      </c>
    </row>
    <row r="1370">
      <c r="A1370" s="155" t="n">
        <v>46088</v>
      </c>
      <c r="B1370" s="156" t="inlineStr">
        <is>
          <t>DS</t>
        </is>
      </c>
      <c r="C1370" s="156" t="inlineStr">
        <is>
          <t>EX-755</t>
        </is>
      </c>
      <c r="D1370" s="156" t="inlineStr">
        <is>
          <t>SY750H-PRO</t>
        </is>
      </c>
      <c r="E1370" s="156" t="inlineStr">
        <is>
          <t>Excavator</t>
        </is>
      </c>
      <c r="F1370" s="156" t="inlineStr">
        <is>
          <t>Loading OB</t>
        </is>
      </c>
      <c r="G1370" s="182" t="n">
        <v>8.550000000000001</v>
      </c>
      <c r="H1370" s="182" t="n">
        <v>0</v>
      </c>
      <c r="I1370" s="182" t="n">
        <v>0</v>
      </c>
      <c r="J1370" s="182" t="n">
        <v>0</v>
      </c>
      <c r="K1370" s="182" t="n">
        <v>3.45</v>
      </c>
      <c r="L1370" s="182" t="n">
        <v>12</v>
      </c>
      <c r="M1370" s="182" t="n">
        <v>7.34</v>
      </c>
      <c r="N1370" s="182" t="n">
        <v>0</v>
      </c>
      <c r="O1370" s="183" t="n">
        <v>134</v>
      </c>
      <c r="P1370" s="183" t="n">
        <v>0</v>
      </c>
      <c r="Q1370" s="184" t="n">
        <v>2733.6</v>
      </c>
      <c r="R1370" s="184" t="n">
        <v>0</v>
      </c>
      <c r="S1370" s="183" t="n">
        <v>0</v>
      </c>
      <c r="T1370" s="183" t="n">
        <v>0</v>
      </c>
      <c r="U1370" s="182" t="n">
        <v>1.34</v>
      </c>
      <c r="V1370" s="182" t="n">
        <v>0.99</v>
      </c>
      <c r="W1370" s="182" t="n">
        <v>0</v>
      </c>
      <c r="X1370" s="182" t="n">
        <v>1.03</v>
      </c>
      <c r="Y1370" s="182" t="n">
        <v>0</v>
      </c>
      <c r="Z1370" s="182" t="n">
        <v>0</v>
      </c>
      <c r="AA1370" s="182" t="n">
        <v>0</v>
      </c>
      <c r="AB1370" s="182" t="n">
        <v>0</v>
      </c>
      <c r="AC1370" s="182" t="n">
        <v>0</v>
      </c>
      <c r="AD1370" s="182" t="n">
        <v>0</v>
      </c>
      <c r="AE1370" s="182" t="n">
        <v>0</v>
      </c>
      <c r="AF1370" s="182" t="n">
        <v>0</v>
      </c>
      <c r="AG1370" s="182" t="n">
        <v>0</v>
      </c>
      <c r="AH1370" s="182" t="n">
        <v>0</v>
      </c>
      <c r="AI1370" s="182" t="n">
        <v>0</v>
      </c>
      <c r="AJ1370" s="182" t="n">
        <v>0</v>
      </c>
      <c r="AK1370" s="182" t="n">
        <v>0</v>
      </c>
      <c r="AL1370" s="182" t="n">
        <v>0</v>
      </c>
      <c r="AM1370" s="182" t="n">
        <v>0.08</v>
      </c>
      <c r="AN1370" s="182" t="n">
        <v>0</v>
      </c>
    </row>
    <row r="1371">
      <c r="A1371" s="155" t="n">
        <v>46088</v>
      </c>
      <c r="B1371" s="156" t="inlineStr">
        <is>
          <t>DS</t>
        </is>
      </c>
      <c r="C1371" s="156" t="inlineStr">
        <is>
          <t>EX-752</t>
        </is>
      </c>
      <c r="D1371" s="156" t="inlineStr">
        <is>
          <t>SY750H-PRO</t>
        </is>
      </c>
      <c r="E1371" s="156" t="inlineStr">
        <is>
          <t>Excavator</t>
        </is>
      </c>
      <c r="F1371" s="156" t="inlineStr"/>
      <c r="G1371" s="182" t="n">
        <v>0</v>
      </c>
      <c r="H1371" s="182" t="n">
        <v>0</v>
      </c>
      <c r="I1371" s="182" t="n">
        <v>12</v>
      </c>
      <c r="J1371" s="182" t="n">
        <v>12</v>
      </c>
      <c r="K1371" s="182" t="n">
        <v>0</v>
      </c>
      <c r="L1371" s="182" t="n">
        <v>12</v>
      </c>
      <c r="M1371" s="182" t="n">
        <v>0</v>
      </c>
      <c r="N1371" s="182" t="n">
        <v>0</v>
      </c>
      <c r="O1371" s="183" t="n">
        <v>0</v>
      </c>
      <c r="P1371" s="183" t="n">
        <v>0</v>
      </c>
      <c r="Q1371" s="184" t="n">
        <v>0</v>
      </c>
      <c r="R1371" s="184" t="n">
        <v>0</v>
      </c>
      <c r="S1371" s="183" t="n">
        <v>0</v>
      </c>
      <c r="T1371" s="183" t="n">
        <v>0</v>
      </c>
      <c r="U1371" s="182" t="n">
        <v>0</v>
      </c>
      <c r="V1371" s="182" t="n">
        <v>0</v>
      </c>
      <c r="W1371" s="182" t="n">
        <v>0</v>
      </c>
      <c r="X1371" s="182" t="n">
        <v>0</v>
      </c>
      <c r="Y1371" s="182" t="n">
        <v>0</v>
      </c>
      <c r="Z1371" s="182" t="n">
        <v>0</v>
      </c>
      <c r="AA1371" s="182" t="n">
        <v>0</v>
      </c>
      <c r="AB1371" s="182" t="n">
        <v>0</v>
      </c>
      <c r="AC1371" s="182" t="n">
        <v>0</v>
      </c>
      <c r="AD1371" s="182" t="n">
        <v>0</v>
      </c>
      <c r="AE1371" s="182" t="n">
        <v>0</v>
      </c>
      <c r="AF1371" s="182" t="n">
        <v>0</v>
      </c>
      <c r="AG1371" s="182" t="n">
        <v>0</v>
      </c>
      <c r="AH1371" s="182" t="n">
        <v>0</v>
      </c>
      <c r="AI1371" s="182" t="n">
        <v>0</v>
      </c>
      <c r="AJ1371" s="182" t="n">
        <v>0</v>
      </c>
      <c r="AK1371" s="182" t="n">
        <v>0</v>
      </c>
      <c r="AL1371" s="182" t="n">
        <v>0</v>
      </c>
      <c r="AM1371" s="182" t="n">
        <v>0</v>
      </c>
      <c r="AN1371" s="182" t="n">
        <v>0</v>
      </c>
    </row>
    <row r="1372">
      <c r="A1372" s="155" t="n">
        <v>46088</v>
      </c>
      <c r="B1372" s="156" t="inlineStr">
        <is>
          <t>DS</t>
        </is>
      </c>
      <c r="C1372" s="156" t="inlineStr">
        <is>
          <t>EX-751</t>
        </is>
      </c>
      <c r="D1372" s="156" t="inlineStr">
        <is>
          <t>SY750H-PRO</t>
        </is>
      </c>
      <c r="E1372" s="156" t="inlineStr">
        <is>
          <t>Excavator</t>
        </is>
      </c>
      <c r="F1372" s="156" t="inlineStr"/>
      <c r="G1372" s="182" t="n">
        <v>0</v>
      </c>
      <c r="H1372" s="182" t="n">
        <v>0</v>
      </c>
      <c r="I1372" s="182" t="n">
        <v>12</v>
      </c>
      <c r="J1372" s="182" t="n">
        <v>12</v>
      </c>
      <c r="K1372" s="182" t="n">
        <v>0</v>
      </c>
      <c r="L1372" s="182" t="n">
        <v>12</v>
      </c>
      <c r="M1372" s="182" t="n">
        <v>0</v>
      </c>
      <c r="N1372" s="182" t="n">
        <v>0</v>
      </c>
      <c r="O1372" s="183" t="n">
        <v>0</v>
      </c>
      <c r="P1372" s="183" t="n">
        <v>0</v>
      </c>
      <c r="Q1372" s="184" t="n">
        <v>0</v>
      </c>
      <c r="R1372" s="184" t="n">
        <v>0</v>
      </c>
      <c r="S1372" s="183" t="n">
        <v>0</v>
      </c>
      <c r="T1372" s="183" t="n">
        <v>0</v>
      </c>
      <c r="U1372" s="182" t="n">
        <v>0</v>
      </c>
      <c r="V1372" s="182" t="n">
        <v>0</v>
      </c>
      <c r="W1372" s="182" t="n">
        <v>0</v>
      </c>
      <c r="X1372" s="182" t="n">
        <v>0</v>
      </c>
      <c r="Y1372" s="182" t="n">
        <v>0</v>
      </c>
      <c r="Z1372" s="182" t="n">
        <v>0</v>
      </c>
      <c r="AA1372" s="182" t="n">
        <v>0</v>
      </c>
      <c r="AB1372" s="182" t="n">
        <v>0</v>
      </c>
      <c r="AC1372" s="182" t="n">
        <v>0</v>
      </c>
      <c r="AD1372" s="182" t="n">
        <v>0</v>
      </c>
      <c r="AE1372" s="182" t="n">
        <v>0</v>
      </c>
      <c r="AF1372" s="182" t="n">
        <v>0</v>
      </c>
      <c r="AG1372" s="182" t="n">
        <v>0</v>
      </c>
      <c r="AH1372" s="182" t="n">
        <v>0</v>
      </c>
      <c r="AI1372" s="182" t="n">
        <v>0</v>
      </c>
      <c r="AJ1372" s="182" t="n">
        <v>0</v>
      </c>
      <c r="AK1372" s="182" t="n">
        <v>0</v>
      </c>
      <c r="AL1372" s="182" t="n">
        <v>0</v>
      </c>
      <c r="AM1372" s="182" t="n">
        <v>0</v>
      </c>
      <c r="AN1372" s="182" t="n">
        <v>0</v>
      </c>
    </row>
    <row r="1373">
      <c r="A1373" s="155" t="n">
        <v>46088</v>
      </c>
      <c r="B1373" s="156" t="inlineStr">
        <is>
          <t>DS</t>
        </is>
      </c>
      <c r="C1373" s="156" t="inlineStr">
        <is>
          <t>EX-753</t>
        </is>
      </c>
      <c r="D1373" s="156" t="inlineStr">
        <is>
          <t>SY750H-PRO</t>
        </is>
      </c>
      <c r="E1373" s="156" t="inlineStr">
        <is>
          <t>Excavator</t>
        </is>
      </c>
      <c r="F1373" s="156" t="inlineStr">
        <is>
          <t>Loading OB</t>
        </is>
      </c>
      <c r="G1373" s="182" t="n">
        <v>8.91</v>
      </c>
      <c r="H1373" s="182" t="n">
        <v>0</v>
      </c>
      <c r="I1373" s="182" t="n">
        <v>0</v>
      </c>
      <c r="J1373" s="182" t="n">
        <v>0</v>
      </c>
      <c r="K1373" s="182" t="n">
        <v>3.09</v>
      </c>
      <c r="L1373" s="182" t="n">
        <v>12</v>
      </c>
      <c r="M1373" s="182" t="n">
        <v>8.32</v>
      </c>
      <c r="N1373" s="182" t="n">
        <v>0</v>
      </c>
      <c r="O1373" s="183" t="n">
        <v>129</v>
      </c>
      <c r="P1373" s="183" t="n">
        <v>0</v>
      </c>
      <c r="Q1373" s="184" t="n">
        <v>2631.6</v>
      </c>
      <c r="R1373" s="184" t="n">
        <v>0</v>
      </c>
      <c r="S1373" s="183" t="n">
        <v>0</v>
      </c>
      <c r="T1373" s="183" t="n">
        <v>0</v>
      </c>
      <c r="U1373" s="182" t="n">
        <v>1.25</v>
      </c>
      <c r="V1373" s="182" t="n">
        <v>0.8100000000000001</v>
      </c>
      <c r="W1373" s="182" t="n">
        <v>0</v>
      </c>
      <c r="X1373" s="182" t="n">
        <v>0.96</v>
      </c>
      <c r="Y1373" s="182" t="n">
        <v>0</v>
      </c>
      <c r="Z1373" s="182" t="n">
        <v>0</v>
      </c>
      <c r="AA1373" s="182" t="n">
        <v>0</v>
      </c>
      <c r="AB1373" s="182" t="n">
        <v>0</v>
      </c>
      <c r="AC1373" s="182" t="n">
        <v>0</v>
      </c>
      <c r="AD1373" s="182" t="n">
        <v>0</v>
      </c>
      <c r="AE1373" s="182" t="n">
        <v>0</v>
      </c>
      <c r="AF1373" s="182" t="n">
        <v>0</v>
      </c>
      <c r="AG1373" s="182" t="n">
        <v>0</v>
      </c>
      <c r="AH1373" s="182" t="n">
        <v>0</v>
      </c>
      <c r="AI1373" s="182" t="n">
        <v>0</v>
      </c>
      <c r="AJ1373" s="182" t="n">
        <v>0</v>
      </c>
      <c r="AK1373" s="182" t="n">
        <v>0</v>
      </c>
      <c r="AL1373" s="182" t="n">
        <v>0</v>
      </c>
      <c r="AM1373" s="182" t="n">
        <v>0.08</v>
      </c>
      <c r="AN1373" s="182" t="n">
        <v>0</v>
      </c>
    </row>
    <row r="1374">
      <c r="A1374" s="155" t="n">
        <v>46088</v>
      </c>
      <c r="B1374" s="156" t="inlineStr">
        <is>
          <t>DS</t>
        </is>
      </c>
      <c r="C1374" s="156" t="inlineStr">
        <is>
          <t>GD-012</t>
        </is>
      </c>
      <c r="D1374" s="156" t="inlineStr">
        <is>
          <t>STG 230C - 8S</t>
        </is>
      </c>
      <c r="E1374" s="156" t="inlineStr">
        <is>
          <t>Grader</t>
        </is>
      </c>
      <c r="F1374" s="156" t="inlineStr"/>
      <c r="G1374" s="182" t="n">
        <v>0</v>
      </c>
      <c r="H1374" s="182" t="n">
        <v>0</v>
      </c>
      <c r="I1374" s="182" t="n">
        <v>0</v>
      </c>
      <c r="J1374" s="182" t="n">
        <v>0</v>
      </c>
      <c r="K1374" s="182" t="n">
        <v>12</v>
      </c>
      <c r="L1374" s="182" t="n">
        <v>12</v>
      </c>
      <c r="M1374" s="182" t="n">
        <v>0</v>
      </c>
      <c r="N1374" s="182" t="n">
        <v>0</v>
      </c>
      <c r="O1374" s="183" t="n">
        <v>0</v>
      </c>
      <c r="P1374" s="183" t="n">
        <v>0</v>
      </c>
      <c r="Q1374" s="184" t="n">
        <v>0</v>
      </c>
      <c r="R1374" s="184" t="n">
        <v>0</v>
      </c>
      <c r="S1374" s="183" t="n">
        <v>0</v>
      </c>
      <c r="T1374" s="183" t="n">
        <v>0</v>
      </c>
      <c r="U1374" s="182" t="n">
        <v>0</v>
      </c>
      <c r="V1374" s="182" t="n">
        <v>0</v>
      </c>
      <c r="W1374" s="182" t="n">
        <v>0</v>
      </c>
      <c r="X1374" s="182" t="n">
        <v>1</v>
      </c>
      <c r="Y1374" s="182" t="n">
        <v>0</v>
      </c>
      <c r="Z1374" s="182" t="n">
        <v>0</v>
      </c>
      <c r="AA1374" s="182" t="n">
        <v>0</v>
      </c>
      <c r="AB1374" s="182" t="n">
        <v>0</v>
      </c>
      <c r="AC1374" s="182" t="n">
        <v>0</v>
      </c>
      <c r="AD1374" s="182" t="n">
        <v>0</v>
      </c>
      <c r="AE1374" s="182" t="n">
        <v>0</v>
      </c>
      <c r="AF1374" s="182" t="n">
        <v>0</v>
      </c>
      <c r="AG1374" s="182" t="n">
        <v>0</v>
      </c>
      <c r="AH1374" s="182" t="n">
        <v>0</v>
      </c>
      <c r="AI1374" s="182" t="n">
        <v>0</v>
      </c>
      <c r="AJ1374" s="182" t="n">
        <v>0</v>
      </c>
      <c r="AK1374" s="182" t="n">
        <v>10.92</v>
      </c>
      <c r="AL1374" s="182" t="n">
        <v>0</v>
      </c>
      <c r="AM1374" s="182" t="n">
        <v>0.08</v>
      </c>
      <c r="AN1374" s="182" t="n">
        <v>0</v>
      </c>
    </row>
    <row r="1375">
      <c r="A1375" s="155" t="n">
        <v>46088</v>
      </c>
      <c r="B1375" s="156" t="inlineStr">
        <is>
          <t>DS</t>
        </is>
      </c>
      <c r="C1375" s="156" t="inlineStr">
        <is>
          <t>GD-011</t>
        </is>
      </c>
      <c r="D1375" s="156" t="inlineStr">
        <is>
          <t>STG 230C - 8S</t>
        </is>
      </c>
      <c r="E1375" s="156" t="inlineStr">
        <is>
          <t>Grader</t>
        </is>
      </c>
      <c r="F1375" s="156" t="inlineStr"/>
      <c r="G1375" s="182" t="n">
        <v>0</v>
      </c>
      <c r="H1375" s="182" t="n">
        <v>0</v>
      </c>
      <c r="I1375" s="182" t="n">
        <v>12</v>
      </c>
      <c r="J1375" s="182" t="n">
        <v>12</v>
      </c>
      <c r="K1375" s="182" t="n">
        <v>0</v>
      </c>
      <c r="L1375" s="182" t="n">
        <v>12</v>
      </c>
      <c r="M1375" s="182" t="n">
        <v>0</v>
      </c>
      <c r="N1375" s="182" t="n">
        <v>0</v>
      </c>
      <c r="O1375" s="183" t="n">
        <v>0</v>
      </c>
      <c r="P1375" s="183" t="n">
        <v>0</v>
      </c>
      <c r="Q1375" s="184" t="n">
        <v>0</v>
      </c>
      <c r="R1375" s="184" t="n">
        <v>0</v>
      </c>
      <c r="S1375" s="183" t="n">
        <v>0</v>
      </c>
      <c r="T1375" s="183" t="n">
        <v>0</v>
      </c>
      <c r="U1375" s="182" t="n">
        <v>0</v>
      </c>
      <c r="V1375" s="182" t="n">
        <v>0</v>
      </c>
      <c r="W1375" s="182" t="n">
        <v>0</v>
      </c>
      <c r="X1375" s="182" t="n">
        <v>0</v>
      </c>
      <c r="Y1375" s="182" t="n">
        <v>0</v>
      </c>
      <c r="Z1375" s="182" t="n">
        <v>0</v>
      </c>
      <c r="AA1375" s="182" t="n">
        <v>0</v>
      </c>
      <c r="AB1375" s="182" t="n">
        <v>0</v>
      </c>
      <c r="AC1375" s="182" t="n">
        <v>0</v>
      </c>
      <c r="AD1375" s="182" t="n">
        <v>0</v>
      </c>
      <c r="AE1375" s="182" t="n">
        <v>0</v>
      </c>
      <c r="AF1375" s="182" t="n">
        <v>0</v>
      </c>
      <c r="AG1375" s="182" t="n">
        <v>0</v>
      </c>
      <c r="AH1375" s="182" t="n">
        <v>0</v>
      </c>
      <c r="AI1375" s="182" t="n">
        <v>0</v>
      </c>
      <c r="AJ1375" s="182" t="n">
        <v>0</v>
      </c>
      <c r="AK1375" s="182" t="n">
        <v>0</v>
      </c>
      <c r="AL1375" s="182" t="n">
        <v>0</v>
      </c>
      <c r="AM1375" s="182" t="n">
        <v>0</v>
      </c>
      <c r="AN1375" s="182" t="n">
        <v>0</v>
      </c>
    </row>
    <row r="1376">
      <c r="A1376" s="155" t="n">
        <v>46088</v>
      </c>
      <c r="B1376" s="156" t="inlineStr">
        <is>
          <t>DS</t>
        </is>
      </c>
      <c r="C1376" s="156" t="inlineStr">
        <is>
          <t>GD-013</t>
        </is>
      </c>
      <c r="D1376" s="156" t="inlineStr">
        <is>
          <t>STG 265C - 10</t>
        </is>
      </c>
      <c r="E1376" s="156" t="inlineStr">
        <is>
          <t>Grader</t>
        </is>
      </c>
      <c r="F1376" s="156" t="inlineStr"/>
      <c r="G1376" s="182" t="n">
        <v>0</v>
      </c>
      <c r="H1376" s="182" t="n">
        <v>0</v>
      </c>
      <c r="I1376" s="182" t="n">
        <v>0</v>
      </c>
      <c r="J1376" s="182" t="n">
        <v>0</v>
      </c>
      <c r="K1376" s="182" t="n">
        <v>12</v>
      </c>
      <c r="L1376" s="182" t="n">
        <v>12</v>
      </c>
      <c r="M1376" s="182" t="n">
        <v>0</v>
      </c>
      <c r="N1376" s="182" t="n">
        <v>0</v>
      </c>
      <c r="O1376" s="183" t="n">
        <v>0</v>
      </c>
      <c r="P1376" s="183" t="n">
        <v>0</v>
      </c>
      <c r="Q1376" s="184" t="n">
        <v>0</v>
      </c>
      <c r="R1376" s="184" t="n">
        <v>0</v>
      </c>
      <c r="S1376" s="183" t="n">
        <v>0</v>
      </c>
      <c r="T1376" s="183" t="n">
        <v>0</v>
      </c>
      <c r="U1376" s="182" t="n">
        <v>0</v>
      </c>
      <c r="V1376" s="182" t="n">
        <v>0</v>
      </c>
      <c r="W1376" s="182" t="n">
        <v>0</v>
      </c>
      <c r="X1376" s="182" t="n">
        <v>1</v>
      </c>
      <c r="Y1376" s="182" t="n">
        <v>0</v>
      </c>
      <c r="Z1376" s="182" t="n">
        <v>0</v>
      </c>
      <c r="AA1376" s="182" t="n">
        <v>0</v>
      </c>
      <c r="AB1376" s="182" t="n">
        <v>0</v>
      </c>
      <c r="AC1376" s="182" t="n">
        <v>0</v>
      </c>
      <c r="AD1376" s="182" t="n">
        <v>0</v>
      </c>
      <c r="AE1376" s="182" t="n">
        <v>0</v>
      </c>
      <c r="AF1376" s="182" t="n">
        <v>0</v>
      </c>
      <c r="AG1376" s="182" t="n">
        <v>0</v>
      </c>
      <c r="AH1376" s="182" t="n">
        <v>0</v>
      </c>
      <c r="AI1376" s="182" t="n">
        <v>0</v>
      </c>
      <c r="AJ1376" s="182" t="n">
        <v>0</v>
      </c>
      <c r="AK1376" s="182" t="n">
        <v>10.92</v>
      </c>
      <c r="AL1376" s="182" t="n">
        <v>0</v>
      </c>
      <c r="AM1376" s="182" t="n">
        <v>0.08</v>
      </c>
      <c r="AN1376" s="182" t="n">
        <v>0</v>
      </c>
    </row>
    <row r="1377">
      <c r="A1377" s="155" t="n">
        <v>46088</v>
      </c>
      <c r="B1377" s="156" t="inlineStr">
        <is>
          <t>DS</t>
        </is>
      </c>
      <c r="C1377" s="156" t="inlineStr">
        <is>
          <t>GD-014</t>
        </is>
      </c>
      <c r="D1377" s="156" t="inlineStr">
        <is>
          <t>STG 335C - 10</t>
        </is>
      </c>
      <c r="E1377" s="156" t="inlineStr">
        <is>
          <t>Grader</t>
        </is>
      </c>
      <c r="F1377" s="156" t="inlineStr">
        <is>
          <t>Road Maintenance</t>
        </is>
      </c>
      <c r="G1377" s="182" t="n">
        <v>10.27</v>
      </c>
      <c r="H1377" s="182" t="n">
        <v>0</v>
      </c>
      <c r="I1377" s="182" t="n">
        <v>0</v>
      </c>
      <c r="J1377" s="182" t="n">
        <v>0</v>
      </c>
      <c r="K1377" s="182" t="n">
        <v>1.73</v>
      </c>
      <c r="L1377" s="182" t="n">
        <v>12</v>
      </c>
      <c r="M1377" s="182" t="n">
        <v>0</v>
      </c>
      <c r="N1377" s="182" t="n">
        <v>0</v>
      </c>
      <c r="O1377" s="183" t="n">
        <v>0</v>
      </c>
      <c r="P1377" s="183" t="n">
        <v>0</v>
      </c>
      <c r="Q1377" s="184" t="n">
        <v>0</v>
      </c>
      <c r="R1377" s="184" t="n">
        <v>0</v>
      </c>
      <c r="S1377" s="183" t="n">
        <v>0</v>
      </c>
      <c r="T1377" s="183" t="n">
        <v>0</v>
      </c>
      <c r="U1377" s="182" t="n">
        <v>0.63</v>
      </c>
      <c r="V1377" s="182" t="n">
        <v>0</v>
      </c>
      <c r="W1377" s="182" t="n">
        <v>0</v>
      </c>
      <c r="X1377" s="182" t="n">
        <v>1.02</v>
      </c>
      <c r="Y1377" s="182" t="n">
        <v>0</v>
      </c>
      <c r="Z1377" s="182" t="n">
        <v>0</v>
      </c>
      <c r="AA1377" s="182" t="n">
        <v>0</v>
      </c>
      <c r="AB1377" s="182" t="n">
        <v>0</v>
      </c>
      <c r="AC1377" s="182" t="n">
        <v>0</v>
      </c>
      <c r="AD1377" s="182" t="n">
        <v>0</v>
      </c>
      <c r="AE1377" s="182" t="n">
        <v>0</v>
      </c>
      <c r="AF1377" s="182" t="n">
        <v>0</v>
      </c>
      <c r="AG1377" s="182" t="n">
        <v>0</v>
      </c>
      <c r="AH1377" s="182" t="n">
        <v>0</v>
      </c>
      <c r="AI1377" s="182" t="n">
        <v>0</v>
      </c>
      <c r="AJ1377" s="182" t="n">
        <v>0</v>
      </c>
      <c r="AK1377" s="182" t="n">
        <v>0</v>
      </c>
      <c r="AL1377" s="182" t="n">
        <v>0</v>
      </c>
      <c r="AM1377" s="182" t="n">
        <v>0.08</v>
      </c>
      <c r="AN1377" s="182" t="n">
        <v>0</v>
      </c>
    </row>
    <row r="1378">
      <c r="A1378" s="155" t="n">
        <v>46088</v>
      </c>
      <c r="B1378" s="156" t="inlineStr">
        <is>
          <t>DS</t>
        </is>
      </c>
      <c r="C1378" s="156" t="inlineStr">
        <is>
          <t>DT-809</t>
        </is>
      </c>
      <c r="D1378" s="156" t="inlineStr">
        <is>
          <t>SKT 80S</t>
        </is>
      </c>
      <c r="E1378" s="156" t="inlineStr">
        <is>
          <t>Hauler</t>
        </is>
      </c>
      <c r="F1378" s="156" t="inlineStr"/>
      <c r="G1378" s="182" t="n">
        <v>0</v>
      </c>
      <c r="H1378" s="182" t="n">
        <v>0</v>
      </c>
      <c r="I1378" s="182" t="n">
        <v>0</v>
      </c>
      <c r="J1378" s="182" t="n">
        <v>0</v>
      </c>
      <c r="K1378" s="182" t="n">
        <v>12</v>
      </c>
      <c r="L1378" s="182" t="n">
        <v>12</v>
      </c>
      <c r="M1378" s="182" t="n">
        <v>0</v>
      </c>
      <c r="N1378" s="182" t="n">
        <v>0</v>
      </c>
      <c r="O1378" s="183" t="n">
        <v>0</v>
      </c>
      <c r="P1378" s="183" t="n">
        <v>0</v>
      </c>
      <c r="Q1378" s="184" t="n">
        <v>0</v>
      </c>
      <c r="R1378" s="184" t="n">
        <v>0</v>
      </c>
      <c r="S1378" s="183" t="n">
        <v>0</v>
      </c>
      <c r="T1378" s="183" t="n">
        <v>0</v>
      </c>
      <c r="U1378" s="182" t="n">
        <v>0</v>
      </c>
      <c r="V1378" s="182" t="n">
        <v>0</v>
      </c>
      <c r="W1378" s="182" t="n">
        <v>0</v>
      </c>
      <c r="X1378" s="182" t="n">
        <v>1</v>
      </c>
      <c r="Y1378" s="182" t="n">
        <v>0</v>
      </c>
      <c r="Z1378" s="182" t="n">
        <v>0</v>
      </c>
      <c r="AA1378" s="182" t="n">
        <v>0</v>
      </c>
      <c r="AB1378" s="182" t="n">
        <v>0</v>
      </c>
      <c r="AC1378" s="182" t="n">
        <v>0</v>
      </c>
      <c r="AD1378" s="182" t="n">
        <v>0</v>
      </c>
      <c r="AE1378" s="182" t="n">
        <v>0</v>
      </c>
      <c r="AF1378" s="182" t="n">
        <v>0</v>
      </c>
      <c r="AG1378" s="182" t="n">
        <v>0</v>
      </c>
      <c r="AH1378" s="182" t="n">
        <v>0</v>
      </c>
      <c r="AI1378" s="182" t="n">
        <v>0</v>
      </c>
      <c r="AJ1378" s="182" t="n">
        <v>0</v>
      </c>
      <c r="AK1378" s="182" t="n">
        <v>10.92</v>
      </c>
      <c r="AL1378" s="182" t="n">
        <v>0</v>
      </c>
      <c r="AM1378" s="182" t="n">
        <v>0.08</v>
      </c>
      <c r="AN1378" s="182" t="n">
        <v>0</v>
      </c>
    </row>
    <row r="1379">
      <c r="A1379" s="155" t="n">
        <v>46088</v>
      </c>
      <c r="B1379" s="156" t="inlineStr">
        <is>
          <t>DS</t>
        </is>
      </c>
      <c r="C1379" s="156" t="inlineStr">
        <is>
          <t>DT-806</t>
        </is>
      </c>
      <c r="D1379" s="156" t="inlineStr">
        <is>
          <t>SKT 80S</t>
        </is>
      </c>
      <c r="E1379" s="156" t="inlineStr">
        <is>
          <t>Hauler</t>
        </is>
      </c>
      <c r="F1379" s="156" t="inlineStr"/>
      <c r="G1379" s="182" t="n">
        <v>0</v>
      </c>
      <c r="H1379" s="182" t="n">
        <v>0</v>
      </c>
      <c r="I1379" s="182" t="n">
        <v>0</v>
      </c>
      <c r="J1379" s="182" t="n">
        <v>0</v>
      </c>
      <c r="K1379" s="182" t="n">
        <v>12</v>
      </c>
      <c r="L1379" s="182" t="n">
        <v>12</v>
      </c>
      <c r="M1379" s="182" t="n">
        <v>0</v>
      </c>
      <c r="N1379" s="182" t="n">
        <v>0</v>
      </c>
      <c r="O1379" s="183" t="n">
        <v>0</v>
      </c>
      <c r="P1379" s="183" t="n">
        <v>0</v>
      </c>
      <c r="Q1379" s="184" t="n">
        <v>0</v>
      </c>
      <c r="R1379" s="184" t="n">
        <v>0</v>
      </c>
      <c r="S1379" s="183" t="n">
        <v>0</v>
      </c>
      <c r="T1379" s="183" t="n">
        <v>0</v>
      </c>
      <c r="U1379" s="182" t="n">
        <v>0</v>
      </c>
      <c r="V1379" s="182" t="n">
        <v>0</v>
      </c>
      <c r="W1379" s="182" t="n">
        <v>0</v>
      </c>
      <c r="X1379" s="182" t="n">
        <v>1</v>
      </c>
      <c r="Y1379" s="182" t="n">
        <v>0</v>
      </c>
      <c r="Z1379" s="182" t="n">
        <v>0</v>
      </c>
      <c r="AA1379" s="182" t="n">
        <v>0</v>
      </c>
      <c r="AB1379" s="182" t="n">
        <v>0</v>
      </c>
      <c r="AC1379" s="182" t="n">
        <v>0</v>
      </c>
      <c r="AD1379" s="182" t="n">
        <v>0</v>
      </c>
      <c r="AE1379" s="182" t="n">
        <v>0</v>
      </c>
      <c r="AF1379" s="182" t="n">
        <v>0</v>
      </c>
      <c r="AG1379" s="182" t="n">
        <v>0</v>
      </c>
      <c r="AH1379" s="182" t="n">
        <v>0</v>
      </c>
      <c r="AI1379" s="182" t="n">
        <v>0</v>
      </c>
      <c r="AJ1379" s="182" t="n">
        <v>0</v>
      </c>
      <c r="AK1379" s="182" t="n">
        <v>10.92</v>
      </c>
      <c r="AL1379" s="182" t="n">
        <v>0</v>
      </c>
      <c r="AM1379" s="182" t="n">
        <v>0.08</v>
      </c>
      <c r="AN1379" s="182" t="n">
        <v>0</v>
      </c>
    </row>
    <row r="1380">
      <c r="A1380" s="155" t="n">
        <v>46088</v>
      </c>
      <c r="B1380" s="156" t="inlineStr">
        <is>
          <t>DS</t>
        </is>
      </c>
      <c r="C1380" s="156" t="inlineStr">
        <is>
          <t>DT-805</t>
        </is>
      </c>
      <c r="D1380" s="156" t="inlineStr">
        <is>
          <t>SKT 80S</t>
        </is>
      </c>
      <c r="E1380" s="156" t="inlineStr">
        <is>
          <t>Hauler</t>
        </is>
      </c>
      <c r="F1380" s="156" t="inlineStr"/>
      <c r="G1380" s="182" t="n">
        <v>0</v>
      </c>
      <c r="H1380" s="182" t="n">
        <v>0</v>
      </c>
      <c r="I1380" s="182" t="n">
        <v>0</v>
      </c>
      <c r="J1380" s="182" t="n">
        <v>0</v>
      </c>
      <c r="K1380" s="182" t="n">
        <v>12</v>
      </c>
      <c r="L1380" s="182" t="n">
        <v>12</v>
      </c>
      <c r="M1380" s="182" t="n">
        <v>0</v>
      </c>
      <c r="N1380" s="182" t="n">
        <v>0</v>
      </c>
      <c r="O1380" s="183" t="n">
        <v>0</v>
      </c>
      <c r="P1380" s="183" t="n">
        <v>0</v>
      </c>
      <c r="Q1380" s="184" t="n">
        <v>0</v>
      </c>
      <c r="R1380" s="184" t="n">
        <v>0</v>
      </c>
      <c r="S1380" s="183" t="n">
        <v>0</v>
      </c>
      <c r="T1380" s="183" t="n">
        <v>0</v>
      </c>
      <c r="U1380" s="182" t="n">
        <v>0</v>
      </c>
      <c r="V1380" s="182" t="n">
        <v>0</v>
      </c>
      <c r="W1380" s="182" t="n">
        <v>0</v>
      </c>
      <c r="X1380" s="182" t="n">
        <v>1</v>
      </c>
      <c r="Y1380" s="182" t="n">
        <v>0</v>
      </c>
      <c r="Z1380" s="182" t="n">
        <v>0</v>
      </c>
      <c r="AA1380" s="182" t="n">
        <v>0</v>
      </c>
      <c r="AB1380" s="182" t="n">
        <v>0</v>
      </c>
      <c r="AC1380" s="182" t="n">
        <v>0</v>
      </c>
      <c r="AD1380" s="182" t="n">
        <v>0</v>
      </c>
      <c r="AE1380" s="182" t="n">
        <v>0</v>
      </c>
      <c r="AF1380" s="182" t="n">
        <v>0</v>
      </c>
      <c r="AG1380" s="182" t="n">
        <v>0</v>
      </c>
      <c r="AH1380" s="182" t="n">
        <v>0</v>
      </c>
      <c r="AI1380" s="182" t="n">
        <v>0</v>
      </c>
      <c r="AJ1380" s="182" t="n">
        <v>0</v>
      </c>
      <c r="AK1380" s="182" t="n">
        <v>10.92</v>
      </c>
      <c r="AL1380" s="182" t="n">
        <v>0</v>
      </c>
      <c r="AM1380" s="182" t="n">
        <v>0.08</v>
      </c>
      <c r="AN1380" s="182" t="n">
        <v>0</v>
      </c>
    </row>
    <row r="1381">
      <c r="A1381" s="155" t="n">
        <v>46088</v>
      </c>
      <c r="B1381" s="156" t="inlineStr">
        <is>
          <t>DS</t>
        </is>
      </c>
      <c r="C1381" s="156" t="inlineStr">
        <is>
          <t>DT-801</t>
        </is>
      </c>
      <c r="D1381" s="156" t="inlineStr">
        <is>
          <t>SKT 80S</t>
        </is>
      </c>
      <c r="E1381" s="156" t="inlineStr">
        <is>
          <t>Hauler</t>
        </is>
      </c>
      <c r="F1381" s="156" t="inlineStr"/>
      <c r="G1381" s="182" t="n">
        <v>0</v>
      </c>
      <c r="H1381" s="182" t="n">
        <v>0</v>
      </c>
      <c r="I1381" s="182" t="n">
        <v>0</v>
      </c>
      <c r="J1381" s="182" t="n">
        <v>0</v>
      </c>
      <c r="K1381" s="182" t="n">
        <v>12</v>
      </c>
      <c r="L1381" s="182" t="n">
        <v>12</v>
      </c>
      <c r="M1381" s="182" t="n">
        <v>0</v>
      </c>
      <c r="N1381" s="182" t="n">
        <v>0</v>
      </c>
      <c r="O1381" s="183" t="n">
        <v>0</v>
      </c>
      <c r="P1381" s="183" t="n">
        <v>0</v>
      </c>
      <c r="Q1381" s="184" t="n">
        <v>0</v>
      </c>
      <c r="R1381" s="184" t="n">
        <v>0</v>
      </c>
      <c r="S1381" s="183" t="n">
        <v>0</v>
      </c>
      <c r="T1381" s="183" t="n">
        <v>0</v>
      </c>
      <c r="U1381" s="182" t="n">
        <v>0</v>
      </c>
      <c r="V1381" s="182" t="n">
        <v>0</v>
      </c>
      <c r="W1381" s="182" t="n">
        <v>0</v>
      </c>
      <c r="X1381" s="182" t="n">
        <v>1</v>
      </c>
      <c r="Y1381" s="182" t="n">
        <v>0</v>
      </c>
      <c r="Z1381" s="182" t="n">
        <v>0</v>
      </c>
      <c r="AA1381" s="182" t="n">
        <v>0</v>
      </c>
      <c r="AB1381" s="182" t="n">
        <v>0</v>
      </c>
      <c r="AC1381" s="182" t="n">
        <v>0</v>
      </c>
      <c r="AD1381" s="182" t="n">
        <v>0</v>
      </c>
      <c r="AE1381" s="182" t="n">
        <v>0</v>
      </c>
      <c r="AF1381" s="182" t="n">
        <v>0</v>
      </c>
      <c r="AG1381" s="182" t="n">
        <v>0</v>
      </c>
      <c r="AH1381" s="182" t="n">
        <v>0</v>
      </c>
      <c r="AI1381" s="182" t="n">
        <v>0</v>
      </c>
      <c r="AJ1381" s="182" t="n">
        <v>0</v>
      </c>
      <c r="AK1381" s="182" t="n">
        <v>10.92</v>
      </c>
      <c r="AL1381" s="182" t="n">
        <v>0</v>
      </c>
      <c r="AM1381" s="182" t="n">
        <v>0.08</v>
      </c>
      <c r="AN1381" s="182" t="n">
        <v>0</v>
      </c>
    </row>
    <row r="1382">
      <c r="A1382" s="155" t="n">
        <v>46088</v>
      </c>
      <c r="B1382" s="156" t="inlineStr">
        <is>
          <t>DS</t>
        </is>
      </c>
      <c r="C1382" s="156" t="inlineStr">
        <is>
          <t>DT-808</t>
        </is>
      </c>
      <c r="D1382" s="156" t="inlineStr">
        <is>
          <t>SKT 80S</t>
        </is>
      </c>
      <c r="E1382" s="156" t="inlineStr">
        <is>
          <t>Hauler</t>
        </is>
      </c>
      <c r="F1382" s="156" t="inlineStr">
        <is>
          <t>Support Lumpur Washing</t>
        </is>
      </c>
      <c r="G1382" s="182" t="n">
        <v>2.09</v>
      </c>
      <c r="H1382" s="182" t="n">
        <v>0</v>
      </c>
      <c r="I1382" s="182" t="n">
        <v>0</v>
      </c>
      <c r="J1382" s="182" t="n">
        <v>0</v>
      </c>
      <c r="K1382" s="182" t="n">
        <v>9.91</v>
      </c>
      <c r="L1382" s="182" t="n">
        <v>12</v>
      </c>
      <c r="M1382" s="182" t="n">
        <v>0</v>
      </c>
      <c r="N1382" s="182" t="n">
        <v>0</v>
      </c>
      <c r="O1382" s="183" t="n">
        <v>0</v>
      </c>
      <c r="P1382" s="183" t="n">
        <v>0</v>
      </c>
      <c r="Q1382" s="184" t="n">
        <v>0</v>
      </c>
      <c r="R1382" s="184" t="n">
        <v>0</v>
      </c>
      <c r="S1382" s="183" t="n">
        <v>0</v>
      </c>
      <c r="T1382" s="183" t="n">
        <v>0</v>
      </c>
      <c r="U1382" s="182" t="n">
        <v>0</v>
      </c>
      <c r="V1382" s="182" t="n">
        <v>0</v>
      </c>
      <c r="W1382" s="182" t="n">
        <v>0</v>
      </c>
      <c r="X1382" s="182" t="n">
        <v>1.02</v>
      </c>
      <c r="Y1382" s="182" t="n">
        <v>0</v>
      </c>
      <c r="Z1382" s="182" t="n">
        <v>0</v>
      </c>
      <c r="AA1382" s="182" t="n">
        <v>0</v>
      </c>
      <c r="AB1382" s="182" t="n">
        <v>0</v>
      </c>
      <c r="AC1382" s="182" t="n">
        <v>0</v>
      </c>
      <c r="AD1382" s="182" t="n">
        <v>0</v>
      </c>
      <c r="AE1382" s="182" t="n">
        <v>0</v>
      </c>
      <c r="AF1382" s="182" t="n">
        <v>0</v>
      </c>
      <c r="AG1382" s="182" t="n">
        <v>0</v>
      </c>
      <c r="AH1382" s="182" t="n">
        <v>0</v>
      </c>
      <c r="AI1382" s="182" t="n">
        <v>0</v>
      </c>
      <c r="AJ1382" s="182" t="n">
        <v>0</v>
      </c>
      <c r="AK1382" s="182" t="n">
        <v>8.81</v>
      </c>
      <c r="AL1382" s="182" t="n">
        <v>0</v>
      </c>
      <c r="AM1382" s="182" t="n">
        <v>0.08</v>
      </c>
      <c r="AN1382" s="182" t="n">
        <v>0</v>
      </c>
    </row>
    <row r="1383">
      <c r="A1383" s="155" t="n">
        <v>46088</v>
      </c>
      <c r="B1383" s="156" t="inlineStr">
        <is>
          <t>DS</t>
        </is>
      </c>
      <c r="C1383" s="156" t="inlineStr">
        <is>
          <t>DT-811</t>
        </is>
      </c>
      <c r="D1383" s="156" t="inlineStr">
        <is>
          <t>SKT 80S</t>
        </is>
      </c>
      <c r="E1383" s="156" t="inlineStr">
        <is>
          <t>Hauler</t>
        </is>
      </c>
      <c r="F1383" s="156" t="inlineStr"/>
      <c r="G1383" s="182" t="n">
        <v>0</v>
      </c>
      <c r="H1383" s="182" t="n">
        <v>0</v>
      </c>
      <c r="I1383" s="182" t="n">
        <v>12</v>
      </c>
      <c r="J1383" s="182" t="n">
        <v>12</v>
      </c>
      <c r="K1383" s="182" t="n">
        <v>0</v>
      </c>
      <c r="L1383" s="182" t="n">
        <v>12</v>
      </c>
      <c r="M1383" s="182" t="n">
        <v>0</v>
      </c>
      <c r="N1383" s="182" t="n">
        <v>0</v>
      </c>
      <c r="O1383" s="183" t="n">
        <v>0</v>
      </c>
      <c r="P1383" s="183" t="n">
        <v>0</v>
      </c>
      <c r="Q1383" s="184" t="n">
        <v>0</v>
      </c>
      <c r="R1383" s="184" t="n">
        <v>0</v>
      </c>
      <c r="S1383" s="183" t="n">
        <v>0</v>
      </c>
      <c r="T1383" s="183" t="n">
        <v>0</v>
      </c>
      <c r="U1383" s="182" t="n">
        <v>0</v>
      </c>
      <c r="V1383" s="182" t="n">
        <v>0</v>
      </c>
      <c r="W1383" s="182" t="n">
        <v>0</v>
      </c>
      <c r="X1383" s="182" t="n">
        <v>0</v>
      </c>
      <c r="Y1383" s="182" t="n">
        <v>0</v>
      </c>
      <c r="Z1383" s="182" t="n">
        <v>0</v>
      </c>
      <c r="AA1383" s="182" t="n">
        <v>0</v>
      </c>
      <c r="AB1383" s="182" t="n">
        <v>0</v>
      </c>
      <c r="AC1383" s="182" t="n">
        <v>0</v>
      </c>
      <c r="AD1383" s="182" t="n">
        <v>0</v>
      </c>
      <c r="AE1383" s="182" t="n">
        <v>0</v>
      </c>
      <c r="AF1383" s="182" t="n">
        <v>0</v>
      </c>
      <c r="AG1383" s="182" t="n">
        <v>0</v>
      </c>
      <c r="AH1383" s="182" t="n">
        <v>0</v>
      </c>
      <c r="AI1383" s="182" t="n">
        <v>0</v>
      </c>
      <c r="AJ1383" s="182" t="n">
        <v>0</v>
      </c>
      <c r="AK1383" s="182" t="n">
        <v>0</v>
      </c>
      <c r="AL1383" s="182" t="n">
        <v>0</v>
      </c>
      <c r="AM1383" s="182" t="n">
        <v>0</v>
      </c>
      <c r="AN1383" s="182" t="n">
        <v>0</v>
      </c>
    </row>
    <row r="1384">
      <c r="A1384" s="155" t="n">
        <v>46088</v>
      </c>
      <c r="B1384" s="156" t="inlineStr">
        <is>
          <t>DS</t>
        </is>
      </c>
      <c r="C1384" s="156" t="inlineStr">
        <is>
          <t>DT-802</t>
        </is>
      </c>
      <c r="D1384" s="156" t="inlineStr">
        <is>
          <t>SKT 80S</t>
        </is>
      </c>
      <c r="E1384" s="156" t="inlineStr">
        <is>
          <t>Hauler</t>
        </is>
      </c>
      <c r="F1384" s="156" t="inlineStr"/>
      <c r="G1384" s="182" t="n">
        <v>0</v>
      </c>
      <c r="H1384" s="182" t="n">
        <v>0</v>
      </c>
      <c r="I1384" s="182" t="n">
        <v>0</v>
      </c>
      <c r="J1384" s="182" t="n">
        <v>0</v>
      </c>
      <c r="K1384" s="182" t="n">
        <v>12</v>
      </c>
      <c r="L1384" s="182" t="n">
        <v>12</v>
      </c>
      <c r="M1384" s="182" t="n">
        <v>0</v>
      </c>
      <c r="N1384" s="182" t="n">
        <v>0</v>
      </c>
      <c r="O1384" s="183" t="n">
        <v>0</v>
      </c>
      <c r="P1384" s="183" t="n">
        <v>0</v>
      </c>
      <c r="Q1384" s="184" t="n">
        <v>0</v>
      </c>
      <c r="R1384" s="184" t="n">
        <v>0</v>
      </c>
      <c r="S1384" s="183" t="n">
        <v>0</v>
      </c>
      <c r="T1384" s="183" t="n">
        <v>0</v>
      </c>
      <c r="U1384" s="182" t="n">
        <v>0</v>
      </c>
      <c r="V1384" s="182" t="n">
        <v>0</v>
      </c>
      <c r="W1384" s="182" t="n">
        <v>0</v>
      </c>
      <c r="X1384" s="182" t="n">
        <v>1</v>
      </c>
      <c r="Y1384" s="182" t="n">
        <v>0</v>
      </c>
      <c r="Z1384" s="182" t="n">
        <v>0</v>
      </c>
      <c r="AA1384" s="182" t="n">
        <v>0</v>
      </c>
      <c r="AB1384" s="182" t="n">
        <v>0</v>
      </c>
      <c r="AC1384" s="182" t="n">
        <v>0</v>
      </c>
      <c r="AD1384" s="182" t="n">
        <v>0</v>
      </c>
      <c r="AE1384" s="182" t="n">
        <v>0</v>
      </c>
      <c r="AF1384" s="182" t="n">
        <v>0</v>
      </c>
      <c r="AG1384" s="182" t="n">
        <v>0</v>
      </c>
      <c r="AH1384" s="182" t="n">
        <v>0</v>
      </c>
      <c r="AI1384" s="182" t="n">
        <v>0</v>
      </c>
      <c r="AJ1384" s="182" t="n">
        <v>0</v>
      </c>
      <c r="AK1384" s="182" t="n">
        <v>10.92</v>
      </c>
      <c r="AL1384" s="182" t="n">
        <v>0</v>
      </c>
      <c r="AM1384" s="182" t="n">
        <v>0.08</v>
      </c>
      <c r="AN1384" s="182" t="n">
        <v>0</v>
      </c>
    </row>
    <row r="1385">
      <c r="A1385" s="155" t="n">
        <v>46088</v>
      </c>
      <c r="B1385" s="156" t="inlineStr">
        <is>
          <t>DS</t>
        </is>
      </c>
      <c r="C1385" s="156" t="inlineStr">
        <is>
          <t>DT-807</t>
        </is>
      </c>
      <c r="D1385" s="156" t="inlineStr">
        <is>
          <t>SKT 80S</t>
        </is>
      </c>
      <c r="E1385" s="156" t="inlineStr">
        <is>
          <t>Hauler</t>
        </is>
      </c>
      <c r="F1385" s="156" t="inlineStr"/>
      <c r="G1385" s="182" t="n">
        <v>0</v>
      </c>
      <c r="H1385" s="182" t="n">
        <v>0</v>
      </c>
      <c r="I1385" s="182" t="n">
        <v>0</v>
      </c>
      <c r="J1385" s="182" t="n">
        <v>0</v>
      </c>
      <c r="K1385" s="182" t="n">
        <v>12</v>
      </c>
      <c r="L1385" s="182" t="n">
        <v>12</v>
      </c>
      <c r="M1385" s="182" t="n">
        <v>0</v>
      </c>
      <c r="N1385" s="182" t="n">
        <v>0</v>
      </c>
      <c r="O1385" s="183" t="n">
        <v>0</v>
      </c>
      <c r="P1385" s="183" t="n">
        <v>0</v>
      </c>
      <c r="Q1385" s="184" t="n">
        <v>0</v>
      </c>
      <c r="R1385" s="184" t="n">
        <v>0</v>
      </c>
      <c r="S1385" s="183" t="n">
        <v>0</v>
      </c>
      <c r="T1385" s="183" t="n">
        <v>0</v>
      </c>
      <c r="U1385" s="182" t="n">
        <v>0</v>
      </c>
      <c r="V1385" s="182" t="n">
        <v>0</v>
      </c>
      <c r="W1385" s="182" t="n">
        <v>0</v>
      </c>
      <c r="X1385" s="182" t="n">
        <v>1</v>
      </c>
      <c r="Y1385" s="182" t="n">
        <v>0</v>
      </c>
      <c r="Z1385" s="182" t="n">
        <v>0</v>
      </c>
      <c r="AA1385" s="182" t="n">
        <v>0</v>
      </c>
      <c r="AB1385" s="182" t="n">
        <v>0</v>
      </c>
      <c r="AC1385" s="182" t="n">
        <v>0</v>
      </c>
      <c r="AD1385" s="182" t="n">
        <v>0</v>
      </c>
      <c r="AE1385" s="182" t="n">
        <v>0</v>
      </c>
      <c r="AF1385" s="182" t="n">
        <v>0</v>
      </c>
      <c r="AG1385" s="182" t="n">
        <v>0</v>
      </c>
      <c r="AH1385" s="182" t="n">
        <v>0</v>
      </c>
      <c r="AI1385" s="182" t="n">
        <v>0</v>
      </c>
      <c r="AJ1385" s="182" t="n">
        <v>0</v>
      </c>
      <c r="AK1385" s="182" t="n">
        <v>10.92</v>
      </c>
      <c r="AL1385" s="182" t="n">
        <v>0</v>
      </c>
      <c r="AM1385" s="182" t="n">
        <v>0.08</v>
      </c>
      <c r="AN1385" s="182" t="n">
        <v>0</v>
      </c>
    </row>
    <row r="1386">
      <c r="A1386" s="155" t="n">
        <v>46088</v>
      </c>
      <c r="B1386" s="156" t="inlineStr">
        <is>
          <t>DS</t>
        </is>
      </c>
      <c r="C1386" s="156" t="inlineStr">
        <is>
          <t>DT-812</t>
        </is>
      </c>
      <c r="D1386" s="156" t="inlineStr">
        <is>
          <t>SKT 80S</t>
        </is>
      </c>
      <c r="E1386" s="156" t="inlineStr">
        <is>
          <t>Hauler</t>
        </is>
      </c>
      <c r="F1386" s="156" t="inlineStr"/>
      <c r="G1386" s="182" t="n">
        <v>0</v>
      </c>
      <c r="H1386" s="182" t="n">
        <v>0</v>
      </c>
      <c r="I1386" s="182" t="n">
        <v>0</v>
      </c>
      <c r="J1386" s="182" t="n">
        <v>0</v>
      </c>
      <c r="K1386" s="182" t="n">
        <v>12</v>
      </c>
      <c r="L1386" s="182" t="n">
        <v>12</v>
      </c>
      <c r="M1386" s="182" t="n">
        <v>0</v>
      </c>
      <c r="N1386" s="182" t="n">
        <v>0</v>
      </c>
      <c r="O1386" s="183" t="n">
        <v>0</v>
      </c>
      <c r="P1386" s="183" t="n">
        <v>0</v>
      </c>
      <c r="Q1386" s="184" t="n">
        <v>0</v>
      </c>
      <c r="R1386" s="184" t="n">
        <v>0</v>
      </c>
      <c r="S1386" s="183" t="n">
        <v>0</v>
      </c>
      <c r="T1386" s="183" t="n">
        <v>0</v>
      </c>
      <c r="U1386" s="182" t="n">
        <v>0</v>
      </c>
      <c r="V1386" s="182" t="n">
        <v>0</v>
      </c>
      <c r="W1386" s="182" t="n">
        <v>0</v>
      </c>
      <c r="X1386" s="182" t="n">
        <v>1</v>
      </c>
      <c r="Y1386" s="182" t="n">
        <v>0</v>
      </c>
      <c r="Z1386" s="182" t="n">
        <v>0</v>
      </c>
      <c r="AA1386" s="182" t="n">
        <v>0</v>
      </c>
      <c r="AB1386" s="182" t="n">
        <v>0</v>
      </c>
      <c r="AC1386" s="182" t="n">
        <v>0</v>
      </c>
      <c r="AD1386" s="182" t="n">
        <v>0</v>
      </c>
      <c r="AE1386" s="182" t="n">
        <v>0</v>
      </c>
      <c r="AF1386" s="182" t="n">
        <v>0</v>
      </c>
      <c r="AG1386" s="182" t="n">
        <v>0</v>
      </c>
      <c r="AH1386" s="182" t="n">
        <v>0</v>
      </c>
      <c r="AI1386" s="182" t="n">
        <v>0</v>
      </c>
      <c r="AJ1386" s="182" t="n">
        <v>0</v>
      </c>
      <c r="AK1386" s="182" t="n">
        <v>10.92</v>
      </c>
      <c r="AL1386" s="182" t="n">
        <v>0</v>
      </c>
      <c r="AM1386" s="182" t="n">
        <v>0.08</v>
      </c>
      <c r="AN1386" s="182" t="n">
        <v>0</v>
      </c>
    </row>
    <row r="1387">
      <c r="A1387" s="155" t="n">
        <v>46088</v>
      </c>
      <c r="B1387" s="156" t="inlineStr">
        <is>
          <t>DS</t>
        </is>
      </c>
      <c r="C1387" s="156" t="inlineStr">
        <is>
          <t>DT-803</t>
        </is>
      </c>
      <c r="D1387" s="156" t="inlineStr">
        <is>
          <t>SKT 80S</t>
        </is>
      </c>
      <c r="E1387" s="156" t="inlineStr">
        <is>
          <t>Hauler</t>
        </is>
      </c>
      <c r="F1387" s="156" t="inlineStr"/>
      <c r="G1387" s="182" t="n">
        <v>0</v>
      </c>
      <c r="H1387" s="182" t="n">
        <v>0</v>
      </c>
      <c r="I1387" s="182" t="n">
        <v>0</v>
      </c>
      <c r="J1387" s="182" t="n">
        <v>0</v>
      </c>
      <c r="K1387" s="182" t="n">
        <v>12</v>
      </c>
      <c r="L1387" s="182" t="n">
        <v>12</v>
      </c>
      <c r="M1387" s="182" t="n">
        <v>0</v>
      </c>
      <c r="N1387" s="182" t="n">
        <v>0</v>
      </c>
      <c r="O1387" s="183" t="n">
        <v>0</v>
      </c>
      <c r="P1387" s="183" t="n">
        <v>0</v>
      </c>
      <c r="Q1387" s="184" t="n">
        <v>0</v>
      </c>
      <c r="R1387" s="184" t="n">
        <v>0</v>
      </c>
      <c r="S1387" s="183" t="n">
        <v>0</v>
      </c>
      <c r="T1387" s="183" t="n">
        <v>0</v>
      </c>
      <c r="U1387" s="182" t="n">
        <v>0</v>
      </c>
      <c r="V1387" s="182" t="n">
        <v>0</v>
      </c>
      <c r="W1387" s="182" t="n">
        <v>0</v>
      </c>
      <c r="X1387" s="182" t="n">
        <v>1</v>
      </c>
      <c r="Y1387" s="182" t="n">
        <v>0</v>
      </c>
      <c r="Z1387" s="182" t="n">
        <v>0</v>
      </c>
      <c r="AA1387" s="182" t="n">
        <v>0</v>
      </c>
      <c r="AB1387" s="182" t="n">
        <v>0</v>
      </c>
      <c r="AC1387" s="182" t="n">
        <v>0</v>
      </c>
      <c r="AD1387" s="182" t="n">
        <v>0</v>
      </c>
      <c r="AE1387" s="182" t="n">
        <v>0</v>
      </c>
      <c r="AF1387" s="182" t="n">
        <v>0</v>
      </c>
      <c r="AG1387" s="182" t="n">
        <v>0</v>
      </c>
      <c r="AH1387" s="182" t="n">
        <v>0</v>
      </c>
      <c r="AI1387" s="182" t="n">
        <v>0</v>
      </c>
      <c r="AJ1387" s="182" t="n">
        <v>0</v>
      </c>
      <c r="AK1387" s="182" t="n">
        <v>10.92</v>
      </c>
      <c r="AL1387" s="182" t="n">
        <v>0</v>
      </c>
      <c r="AM1387" s="182" t="n">
        <v>0.08</v>
      </c>
      <c r="AN1387" s="182" t="n">
        <v>0</v>
      </c>
    </row>
    <row r="1388">
      <c r="A1388" s="155" t="n">
        <v>46088</v>
      </c>
      <c r="B1388" s="156" t="inlineStr">
        <is>
          <t>DS</t>
        </is>
      </c>
      <c r="C1388" s="156" t="inlineStr">
        <is>
          <t>DT-810</t>
        </is>
      </c>
      <c r="D1388" s="156" t="inlineStr">
        <is>
          <t>SKT 80S</t>
        </is>
      </c>
      <c r="E1388" s="156" t="inlineStr">
        <is>
          <t>Hauler</t>
        </is>
      </c>
      <c r="F1388" s="156" t="inlineStr">
        <is>
          <t>Hauling OB</t>
        </is>
      </c>
      <c r="G1388" s="182" t="n">
        <v>1.05</v>
      </c>
      <c r="H1388" s="182" t="n">
        <v>0</v>
      </c>
      <c r="I1388" s="182" t="n">
        <v>0</v>
      </c>
      <c r="J1388" s="182" t="n">
        <v>0</v>
      </c>
      <c r="K1388" s="182" t="n">
        <v>10.95</v>
      </c>
      <c r="L1388" s="182" t="n">
        <v>12</v>
      </c>
      <c r="M1388" s="182" t="n">
        <v>1.05</v>
      </c>
      <c r="N1388" s="182" t="n">
        <v>0</v>
      </c>
      <c r="O1388" s="183" t="n">
        <v>2</v>
      </c>
      <c r="P1388" s="183" t="n">
        <v>0</v>
      </c>
      <c r="Q1388" s="184" t="n">
        <v>27.2</v>
      </c>
      <c r="R1388" s="184" t="n">
        <v>0</v>
      </c>
      <c r="S1388" s="183" t="n">
        <v>0</v>
      </c>
      <c r="T1388" s="183" t="n">
        <v>0</v>
      </c>
      <c r="U1388" s="182" t="n">
        <v>0</v>
      </c>
      <c r="V1388" s="182" t="n">
        <v>0</v>
      </c>
      <c r="W1388" s="182" t="n">
        <v>0</v>
      </c>
      <c r="X1388" s="182" t="n">
        <v>0.98</v>
      </c>
      <c r="Y1388" s="182" t="n">
        <v>0</v>
      </c>
      <c r="Z1388" s="182" t="n">
        <v>0</v>
      </c>
      <c r="AA1388" s="182" t="n">
        <v>0</v>
      </c>
      <c r="AB1388" s="182" t="n">
        <v>0</v>
      </c>
      <c r="AC1388" s="182" t="n">
        <v>0</v>
      </c>
      <c r="AD1388" s="182" t="n">
        <v>0</v>
      </c>
      <c r="AE1388" s="182" t="n">
        <v>0</v>
      </c>
      <c r="AF1388" s="182" t="n">
        <v>0</v>
      </c>
      <c r="AG1388" s="182" t="n">
        <v>0</v>
      </c>
      <c r="AH1388" s="182" t="n">
        <v>0</v>
      </c>
      <c r="AI1388" s="182" t="n">
        <v>0</v>
      </c>
      <c r="AJ1388" s="182" t="n">
        <v>0</v>
      </c>
      <c r="AK1388" s="182" t="n">
        <v>9.890000000000001</v>
      </c>
      <c r="AL1388" s="182" t="n">
        <v>0</v>
      </c>
      <c r="AM1388" s="182" t="n">
        <v>0.08</v>
      </c>
      <c r="AN1388" s="182" t="n">
        <v>0</v>
      </c>
    </row>
    <row r="1389">
      <c r="A1389" s="155" t="n">
        <v>46088</v>
      </c>
      <c r="B1389" s="156" t="inlineStr">
        <is>
          <t>DS</t>
        </is>
      </c>
      <c r="C1389" s="156" t="inlineStr">
        <is>
          <t>DT-804</t>
        </is>
      </c>
      <c r="D1389" s="156" t="inlineStr">
        <is>
          <t>SKT 80S</t>
        </is>
      </c>
      <c r="E1389" s="156" t="inlineStr">
        <is>
          <t>Hauler</t>
        </is>
      </c>
      <c r="F1389" s="156" t="inlineStr">
        <is>
          <t>Support Lumpur Washing</t>
        </is>
      </c>
      <c r="G1389" s="182" t="n">
        <v>2.54</v>
      </c>
      <c r="H1389" s="182" t="n">
        <v>0</v>
      </c>
      <c r="I1389" s="182" t="n">
        <v>0</v>
      </c>
      <c r="J1389" s="182" t="n">
        <v>0</v>
      </c>
      <c r="K1389" s="182" t="n">
        <v>9.460000000000001</v>
      </c>
      <c r="L1389" s="182" t="n">
        <v>12</v>
      </c>
      <c r="M1389" s="182" t="n">
        <v>0</v>
      </c>
      <c r="N1389" s="182" t="n">
        <v>0</v>
      </c>
      <c r="O1389" s="183" t="n">
        <v>0</v>
      </c>
      <c r="P1389" s="183" t="n">
        <v>0</v>
      </c>
      <c r="Q1389" s="184" t="n">
        <v>0</v>
      </c>
      <c r="R1389" s="184" t="n">
        <v>0</v>
      </c>
      <c r="S1389" s="183" t="n">
        <v>0</v>
      </c>
      <c r="T1389" s="183" t="n">
        <v>0</v>
      </c>
      <c r="U1389" s="182" t="n">
        <v>0</v>
      </c>
      <c r="V1389" s="182" t="n">
        <v>0</v>
      </c>
      <c r="W1389" s="182" t="n">
        <v>0</v>
      </c>
      <c r="X1389" s="182" t="n">
        <v>0.99</v>
      </c>
      <c r="Y1389" s="182" t="n">
        <v>0</v>
      </c>
      <c r="Z1389" s="182" t="n">
        <v>0</v>
      </c>
      <c r="AA1389" s="182" t="n">
        <v>0</v>
      </c>
      <c r="AB1389" s="182" t="n">
        <v>0</v>
      </c>
      <c r="AC1389" s="182" t="n">
        <v>0</v>
      </c>
      <c r="AD1389" s="182" t="n">
        <v>0</v>
      </c>
      <c r="AE1389" s="182" t="n">
        <v>0</v>
      </c>
      <c r="AF1389" s="182" t="n">
        <v>0</v>
      </c>
      <c r="AG1389" s="182" t="n">
        <v>0</v>
      </c>
      <c r="AH1389" s="182" t="n">
        <v>0</v>
      </c>
      <c r="AI1389" s="182" t="n">
        <v>0</v>
      </c>
      <c r="AJ1389" s="182" t="n">
        <v>0</v>
      </c>
      <c r="AK1389" s="182" t="n">
        <v>8.4</v>
      </c>
      <c r="AL1389" s="182" t="n">
        <v>0</v>
      </c>
      <c r="AM1389" s="182" t="n">
        <v>0.08</v>
      </c>
      <c r="AN1389" s="182" t="n">
        <v>0</v>
      </c>
    </row>
    <row r="1390">
      <c r="A1390" s="155" t="n">
        <v>46088</v>
      </c>
      <c r="B1390" s="156" t="inlineStr">
        <is>
          <t>DS</t>
        </is>
      </c>
      <c r="C1390" s="156" t="inlineStr">
        <is>
          <t>DT-505</t>
        </is>
      </c>
      <c r="D1390" s="156" t="inlineStr">
        <is>
          <t>SKT 105S</t>
        </is>
      </c>
      <c r="E1390" s="156" t="inlineStr">
        <is>
          <t>Hauler</t>
        </is>
      </c>
      <c r="F1390" s="156" t="inlineStr">
        <is>
          <t>Hauling OB</t>
        </is>
      </c>
      <c r="G1390" s="182" t="n">
        <v>8.43</v>
      </c>
      <c r="H1390" s="182" t="n">
        <v>0</v>
      </c>
      <c r="I1390" s="182" t="n">
        <v>0</v>
      </c>
      <c r="J1390" s="182" t="n">
        <v>0</v>
      </c>
      <c r="K1390" s="182" t="n">
        <v>3.57</v>
      </c>
      <c r="L1390" s="182" t="n">
        <v>12</v>
      </c>
      <c r="M1390" s="182" t="n">
        <v>8.210000000000001</v>
      </c>
      <c r="N1390" s="182" t="n">
        <v>0</v>
      </c>
      <c r="O1390" s="183" t="n">
        <v>31</v>
      </c>
      <c r="P1390" s="183" t="n">
        <v>0</v>
      </c>
      <c r="Q1390" s="184" t="n">
        <v>632.4</v>
      </c>
      <c r="R1390" s="184" t="n">
        <v>0</v>
      </c>
      <c r="S1390" s="183" t="n">
        <v>0</v>
      </c>
      <c r="T1390" s="183" t="n">
        <v>0</v>
      </c>
      <c r="U1390" s="182" t="n">
        <v>1.41</v>
      </c>
      <c r="V1390" s="182" t="n">
        <v>1</v>
      </c>
      <c r="W1390" s="182" t="n">
        <v>0</v>
      </c>
      <c r="X1390" s="182" t="n">
        <v>1.08</v>
      </c>
      <c r="Y1390" s="182" t="n">
        <v>0</v>
      </c>
      <c r="Z1390" s="182" t="n">
        <v>0</v>
      </c>
      <c r="AA1390" s="182" t="n">
        <v>0</v>
      </c>
      <c r="AB1390" s="182" t="n">
        <v>0</v>
      </c>
      <c r="AC1390" s="182" t="n">
        <v>0</v>
      </c>
      <c r="AD1390" s="182" t="n">
        <v>0</v>
      </c>
      <c r="AE1390" s="182" t="n">
        <v>0</v>
      </c>
      <c r="AF1390" s="182" t="n">
        <v>0</v>
      </c>
      <c r="AG1390" s="182" t="n">
        <v>0</v>
      </c>
      <c r="AH1390" s="182" t="n">
        <v>0</v>
      </c>
      <c r="AI1390" s="182" t="n">
        <v>0</v>
      </c>
      <c r="AJ1390" s="182" t="n">
        <v>0</v>
      </c>
      <c r="AK1390" s="182" t="n">
        <v>0</v>
      </c>
      <c r="AL1390" s="182" t="n">
        <v>0</v>
      </c>
      <c r="AM1390" s="182" t="n">
        <v>0.09</v>
      </c>
      <c r="AN1390" s="182" t="n">
        <v>0</v>
      </c>
    </row>
    <row r="1391">
      <c r="A1391" s="155" t="n">
        <v>46088</v>
      </c>
      <c r="B1391" s="156" t="inlineStr">
        <is>
          <t>DS</t>
        </is>
      </c>
      <c r="C1391" s="156" t="inlineStr">
        <is>
          <t>DT-530</t>
        </is>
      </c>
      <c r="D1391" s="156" t="inlineStr">
        <is>
          <t>SKT 105S</t>
        </is>
      </c>
      <c r="E1391" s="156" t="inlineStr">
        <is>
          <t>Hauler</t>
        </is>
      </c>
      <c r="F1391" s="156" t="inlineStr"/>
      <c r="G1391" s="182" t="n">
        <v>0</v>
      </c>
      <c r="H1391" s="182" t="n">
        <v>0</v>
      </c>
      <c r="I1391" s="182" t="n">
        <v>12</v>
      </c>
      <c r="J1391" s="182" t="n">
        <v>12</v>
      </c>
      <c r="K1391" s="182" t="n">
        <v>0</v>
      </c>
      <c r="L1391" s="182" t="n">
        <v>12</v>
      </c>
      <c r="M1391" s="182" t="n">
        <v>0</v>
      </c>
      <c r="N1391" s="182" t="n">
        <v>0</v>
      </c>
      <c r="O1391" s="183" t="n">
        <v>0</v>
      </c>
      <c r="P1391" s="183" t="n">
        <v>0</v>
      </c>
      <c r="Q1391" s="184" t="n">
        <v>0</v>
      </c>
      <c r="R1391" s="184" t="n">
        <v>0</v>
      </c>
      <c r="S1391" s="183" t="n">
        <v>0</v>
      </c>
      <c r="T1391" s="183" t="n">
        <v>0</v>
      </c>
      <c r="U1391" s="182" t="n">
        <v>0</v>
      </c>
      <c r="V1391" s="182" t="n">
        <v>0</v>
      </c>
      <c r="W1391" s="182" t="n">
        <v>0</v>
      </c>
      <c r="X1391" s="182" t="n">
        <v>0</v>
      </c>
      <c r="Y1391" s="182" t="n">
        <v>0</v>
      </c>
      <c r="Z1391" s="182" t="n">
        <v>0</v>
      </c>
      <c r="AA1391" s="182" t="n">
        <v>0</v>
      </c>
      <c r="AB1391" s="182" t="n">
        <v>0</v>
      </c>
      <c r="AC1391" s="182" t="n">
        <v>0</v>
      </c>
      <c r="AD1391" s="182" t="n">
        <v>0</v>
      </c>
      <c r="AE1391" s="182" t="n">
        <v>0</v>
      </c>
      <c r="AF1391" s="182" t="n">
        <v>0</v>
      </c>
      <c r="AG1391" s="182" t="n">
        <v>0</v>
      </c>
      <c r="AH1391" s="182" t="n">
        <v>0</v>
      </c>
      <c r="AI1391" s="182" t="n">
        <v>0</v>
      </c>
      <c r="AJ1391" s="182" t="n">
        <v>0</v>
      </c>
      <c r="AK1391" s="182" t="n">
        <v>0</v>
      </c>
      <c r="AL1391" s="182" t="n">
        <v>0</v>
      </c>
      <c r="AM1391" s="182" t="n">
        <v>0</v>
      </c>
      <c r="AN1391" s="182" t="n">
        <v>0</v>
      </c>
    </row>
    <row r="1392">
      <c r="A1392" s="155" t="n">
        <v>46088</v>
      </c>
      <c r="B1392" s="156" t="inlineStr">
        <is>
          <t>DS</t>
        </is>
      </c>
      <c r="C1392" s="156" t="inlineStr">
        <is>
          <t>DT-525</t>
        </is>
      </c>
      <c r="D1392" s="156" t="inlineStr">
        <is>
          <t>SKT 105S</t>
        </is>
      </c>
      <c r="E1392" s="156" t="inlineStr">
        <is>
          <t>Hauler</t>
        </is>
      </c>
      <c r="F1392" s="156" t="inlineStr"/>
      <c r="G1392" s="182" t="n">
        <v>0</v>
      </c>
      <c r="H1392" s="182" t="n">
        <v>0</v>
      </c>
      <c r="I1392" s="182" t="n">
        <v>12</v>
      </c>
      <c r="J1392" s="182" t="n">
        <v>12</v>
      </c>
      <c r="K1392" s="182" t="n">
        <v>0</v>
      </c>
      <c r="L1392" s="182" t="n">
        <v>12</v>
      </c>
      <c r="M1392" s="182" t="n">
        <v>0</v>
      </c>
      <c r="N1392" s="182" t="n">
        <v>0</v>
      </c>
      <c r="O1392" s="183" t="n">
        <v>0</v>
      </c>
      <c r="P1392" s="183" t="n">
        <v>0</v>
      </c>
      <c r="Q1392" s="184" t="n">
        <v>0</v>
      </c>
      <c r="R1392" s="184" t="n">
        <v>0</v>
      </c>
      <c r="S1392" s="183" t="n">
        <v>0</v>
      </c>
      <c r="T1392" s="183" t="n">
        <v>0</v>
      </c>
      <c r="U1392" s="182" t="n">
        <v>0</v>
      </c>
      <c r="V1392" s="182" t="n">
        <v>0</v>
      </c>
      <c r="W1392" s="182" t="n">
        <v>0</v>
      </c>
      <c r="X1392" s="182" t="n">
        <v>0</v>
      </c>
      <c r="Y1392" s="182" t="n">
        <v>0</v>
      </c>
      <c r="Z1392" s="182" t="n">
        <v>0</v>
      </c>
      <c r="AA1392" s="182" t="n">
        <v>0</v>
      </c>
      <c r="AB1392" s="182" t="n">
        <v>0</v>
      </c>
      <c r="AC1392" s="182" t="n">
        <v>0</v>
      </c>
      <c r="AD1392" s="182" t="n">
        <v>0</v>
      </c>
      <c r="AE1392" s="182" t="n">
        <v>0</v>
      </c>
      <c r="AF1392" s="182" t="n">
        <v>0</v>
      </c>
      <c r="AG1392" s="182" t="n">
        <v>0</v>
      </c>
      <c r="AH1392" s="182" t="n">
        <v>0</v>
      </c>
      <c r="AI1392" s="182" t="n">
        <v>0</v>
      </c>
      <c r="AJ1392" s="182" t="n">
        <v>0</v>
      </c>
      <c r="AK1392" s="182" t="n">
        <v>0</v>
      </c>
      <c r="AL1392" s="182" t="n">
        <v>0</v>
      </c>
      <c r="AM1392" s="182" t="n">
        <v>0</v>
      </c>
      <c r="AN1392" s="182" t="n">
        <v>0</v>
      </c>
    </row>
    <row r="1393">
      <c r="A1393" s="155" t="n">
        <v>46088</v>
      </c>
      <c r="B1393" s="156" t="inlineStr">
        <is>
          <t>DS</t>
        </is>
      </c>
      <c r="C1393" s="156" t="inlineStr">
        <is>
          <t>DT-503</t>
        </is>
      </c>
      <c r="D1393" s="156" t="inlineStr">
        <is>
          <t>SKT 105S</t>
        </is>
      </c>
      <c r="E1393" s="156" t="inlineStr">
        <is>
          <t>Hauler</t>
        </is>
      </c>
      <c r="F1393" s="156" t="inlineStr">
        <is>
          <t>Hauling OB</t>
        </is>
      </c>
      <c r="G1393" s="182" t="n">
        <v>9.23</v>
      </c>
      <c r="H1393" s="182" t="n">
        <v>0</v>
      </c>
      <c r="I1393" s="182" t="n">
        <v>0</v>
      </c>
      <c r="J1393" s="182" t="n">
        <v>0</v>
      </c>
      <c r="K1393" s="182" t="n">
        <v>2.77</v>
      </c>
      <c r="L1393" s="182" t="n">
        <v>12</v>
      </c>
      <c r="M1393" s="182" t="n">
        <v>9.23</v>
      </c>
      <c r="N1393" s="182" t="n">
        <v>0</v>
      </c>
      <c r="O1393" s="183" t="n">
        <v>28</v>
      </c>
      <c r="P1393" s="183" t="n">
        <v>0</v>
      </c>
      <c r="Q1393" s="184" t="n">
        <v>571.2</v>
      </c>
      <c r="R1393" s="184" t="n">
        <v>0</v>
      </c>
      <c r="S1393" s="183" t="n">
        <v>0</v>
      </c>
      <c r="T1393" s="183" t="n">
        <v>0</v>
      </c>
      <c r="U1393" s="182" t="n">
        <v>1.09</v>
      </c>
      <c r="V1393" s="182" t="n">
        <v>0.77</v>
      </c>
      <c r="W1393" s="182" t="n">
        <v>0</v>
      </c>
      <c r="X1393" s="182" t="n">
        <v>0.84</v>
      </c>
      <c r="Y1393" s="182" t="n">
        <v>0</v>
      </c>
      <c r="Z1393" s="182" t="n">
        <v>0</v>
      </c>
      <c r="AA1393" s="182" t="n">
        <v>0</v>
      </c>
      <c r="AB1393" s="182" t="n">
        <v>0</v>
      </c>
      <c r="AC1393" s="182" t="n">
        <v>0</v>
      </c>
      <c r="AD1393" s="182" t="n">
        <v>0</v>
      </c>
      <c r="AE1393" s="182" t="n">
        <v>0</v>
      </c>
      <c r="AF1393" s="182" t="n">
        <v>0</v>
      </c>
      <c r="AG1393" s="182" t="n">
        <v>0</v>
      </c>
      <c r="AH1393" s="182" t="n">
        <v>0</v>
      </c>
      <c r="AI1393" s="182" t="n">
        <v>0</v>
      </c>
      <c r="AJ1393" s="182" t="n">
        <v>0</v>
      </c>
      <c r="AK1393" s="182" t="n">
        <v>0</v>
      </c>
      <c r="AL1393" s="182" t="n">
        <v>0</v>
      </c>
      <c r="AM1393" s="182" t="n">
        <v>0.07000000000000001</v>
      </c>
      <c r="AN1393" s="182" t="n">
        <v>0</v>
      </c>
    </row>
    <row r="1394">
      <c r="A1394" s="155" t="n">
        <v>46088</v>
      </c>
      <c r="B1394" s="156" t="inlineStr">
        <is>
          <t>DS</t>
        </is>
      </c>
      <c r="C1394" s="156" t="inlineStr">
        <is>
          <t>DT-504</t>
        </is>
      </c>
      <c r="D1394" s="156" t="inlineStr">
        <is>
          <t>SKT 105S</t>
        </is>
      </c>
      <c r="E1394" s="156" t="inlineStr">
        <is>
          <t>Hauler</t>
        </is>
      </c>
      <c r="F1394" s="156" t="inlineStr">
        <is>
          <t>Hauling OB</t>
        </is>
      </c>
      <c r="G1394" s="182" t="n">
        <v>3.4</v>
      </c>
      <c r="H1394" s="182" t="n">
        <v>0</v>
      </c>
      <c r="I1394" s="182" t="n">
        <v>0</v>
      </c>
      <c r="J1394" s="182" t="n">
        <v>0</v>
      </c>
      <c r="K1394" s="182" t="n">
        <v>8.6</v>
      </c>
      <c r="L1394" s="182" t="n">
        <v>12</v>
      </c>
      <c r="M1394" s="182" t="n">
        <v>3.28</v>
      </c>
      <c r="N1394" s="182" t="n">
        <v>0</v>
      </c>
      <c r="O1394" s="183" t="n">
        <v>9</v>
      </c>
      <c r="P1394" s="183" t="n">
        <v>0</v>
      </c>
      <c r="Q1394" s="184" t="n">
        <v>183.6</v>
      </c>
      <c r="R1394" s="184" t="n">
        <v>0</v>
      </c>
      <c r="S1394" s="183" t="n">
        <v>0</v>
      </c>
      <c r="T1394" s="183" t="n">
        <v>0</v>
      </c>
      <c r="U1394" s="182" t="n">
        <v>1.3</v>
      </c>
      <c r="V1394" s="182" t="n">
        <v>1</v>
      </c>
      <c r="W1394" s="182" t="n">
        <v>0</v>
      </c>
      <c r="X1394" s="182" t="n">
        <v>1</v>
      </c>
      <c r="Y1394" s="182" t="n">
        <v>0</v>
      </c>
      <c r="Z1394" s="182" t="n">
        <v>0</v>
      </c>
      <c r="AA1394" s="182" t="n">
        <v>0</v>
      </c>
      <c r="AB1394" s="182" t="n">
        <v>0</v>
      </c>
      <c r="AC1394" s="182" t="n">
        <v>0</v>
      </c>
      <c r="AD1394" s="182" t="n">
        <v>0</v>
      </c>
      <c r="AE1394" s="182" t="n">
        <v>0</v>
      </c>
      <c r="AF1394" s="182" t="n">
        <v>0</v>
      </c>
      <c r="AG1394" s="182" t="n">
        <v>0</v>
      </c>
      <c r="AH1394" s="182" t="n">
        <v>0</v>
      </c>
      <c r="AI1394" s="182" t="n">
        <v>5.22</v>
      </c>
      <c r="AJ1394" s="182" t="n">
        <v>0</v>
      </c>
      <c r="AK1394" s="182" t="n">
        <v>0</v>
      </c>
      <c r="AL1394" s="182" t="n">
        <v>0</v>
      </c>
      <c r="AM1394" s="182" t="n">
        <v>0.08</v>
      </c>
      <c r="AN1394" s="182" t="n">
        <v>0</v>
      </c>
    </row>
    <row r="1395">
      <c r="A1395" s="155" t="n">
        <v>46088</v>
      </c>
      <c r="B1395" s="156" t="inlineStr">
        <is>
          <t>DS</t>
        </is>
      </c>
      <c r="C1395" s="156" t="inlineStr">
        <is>
          <t>DT-507</t>
        </is>
      </c>
      <c r="D1395" s="156" t="inlineStr">
        <is>
          <t>SKT 105S</t>
        </is>
      </c>
      <c r="E1395" s="156" t="inlineStr">
        <is>
          <t>Hauler</t>
        </is>
      </c>
      <c r="F1395" s="156" t="inlineStr"/>
      <c r="G1395" s="182" t="n">
        <v>0</v>
      </c>
      <c r="H1395" s="182" t="n">
        <v>0</v>
      </c>
      <c r="I1395" s="182" t="n">
        <v>12</v>
      </c>
      <c r="J1395" s="182" t="n">
        <v>12</v>
      </c>
      <c r="K1395" s="182" t="n">
        <v>0</v>
      </c>
      <c r="L1395" s="182" t="n">
        <v>12</v>
      </c>
      <c r="M1395" s="182" t="n">
        <v>0</v>
      </c>
      <c r="N1395" s="182" t="n">
        <v>0</v>
      </c>
      <c r="O1395" s="183" t="n">
        <v>0</v>
      </c>
      <c r="P1395" s="183" t="n">
        <v>0</v>
      </c>
      <c r="Q1395" s="184" t="n">
        <v>0</v>
      </c>
      <c r="R1395" s="184" t="n">
        <v>0</v>
      </c>
      <c r="S1395" s="183" t="n">
        <v>0</v>
      </c>
      <c r="T1395" s="183" t="n">
        <v>0</v>
      </c>
      <c r="U1395" s="182" t="n">
        <v>0</v>
      </c>
      <c r="V1395" s="182" t="n">
        <v>0</v>
      </c>
      <c r="W1395" s="182" t="n">
        <v>0</v>
      </c>
      <c r="X1395" s="182" t="n">
        <v>0</v>
      </c>
      <c r="Y1395" s="182" t="n">
        <v>0</v>
      </c>
      <c r="Z1395" s="182" t="n">
        <v>0</v>
      </c>
      <c r="AA1395" s="182" t="n">
        <v>0</v>
      </c>
      <c r="AB1395" s="182" t="n">
        <v>0</v>
      </c>
      <c r="AC1395" s="182" t="n">
        <v>0</v>
      </c>
      <c r="AD1395" s="182" t="n">
        <v>0</v>
      </c>
      <c r="AE1395" s="182" t="n">
        <v>0</v>
      </c>
      <c r="AF1395" s="182" t="n">
        <v>0</v>
      </c>
      <c r="AG1395" s="182" t="n">
        <v>0</v>
      </c>
      <c r="AH1395" s="182" t="n">
        <v>0</v>
      </c>
      <c r="AI1395" s="182" t="n">
        <v>0</v>
      </c>
      <c r="AJ1395" s="182" t="n">
        <v>0</v>
      </c>
      <c r="AK1395" s="182" t="n">
        <v>0</v>
      </c>
      <c r="AL1395" s="182" t="n">
        <v>0</v>
      </c>
      <c r="AM1395" s="182" t="n">
        <v>0</v>
      </c>
      <c r="AN1395" s="182" t="n">
        <v>0</v>
      </c>
    </row>
    <row r="1396">
      <c r="A1396" s="155" t="n">
        <v>46088</v>
      </c>
      <c r="B1396" s="156" t="inlineStr">
        <is>
          <t>DS</t>
        </is>
      </c>
      <c r="C1396" s="156" t="inlineStr">
        <is>
          <t>DT-501</t>
        </is>
      </c>
      <c r="D1396" s="156" t="inlineStr">
        <is>
          <t>SKT 105S</t>
        </is>
      </c>
      <c r="E1396" s="156" t="inlineStr">
        <is>
          <t>Hauler</t>
        </is>
      </c>
      <c r="F1396" s="156" t="inlineStr">
        <is>
          <t>Hauling OB &amp; Coal</t>
        </is>
      </c>
      <c r="G1396" s="182" t="n">
        <v>6.35</v>
      </c>
      <c r="H1396" s="182" t="n">
        <v>0</v>
      </c>
      <c r="I1396" s="182" t="n">
        <v>0</v>
      </c>
      <c r="J1396" s="182" t="n">
        <v>0</v>
      </c>
      <c r="K1396" s="182" t="n">
        <v>5.65</v>
      </c>
      <c r="L1396" s="182" t="n">
        <v>12</v>
      </c>
      <c r="M1396" s="182" t="n">
        <v>4.74</v>
      </c>
      <c r="N1396" s="182" t="n">
        <v>1.49</v>
      </c>
      <c r="O1396" s="183" t="n">
        <v>12</v>
      </c>
      <c r="P1396" s="183" t="n">
        <v>5</v>
      </c>
      <c r="Q1396" s="184" t="n">
        <v>244.8</v>
      </c>
      <c r="R1396" s="184" t="n">
        <v>93.5</v>
      </c>
      <c r="S1396" s="183" t="n">
        <v>0</v>
      </c>
      <c r="T1396" s="183" t="n">
        <v>0</v>
      </c>
      <c r="U1396" s="182" t="n">
        <v>1.31</v>
      </c>
      <c r="V1396" s="182" t="n">
        <v>1.01</v>
      </c>
      <c r="W1396" s="182" t="n">
        <v>0</v>
      </c>
      <c r="X1396" s="182" t="n">
        <v>1.01</v>
      </c>
      <c r="Y1396" s="182" t="n">
        <v>0</v>
      </c>
      <c r="Z1396" s="182" t="n">
        <v>0</v>
      </c>
      <c r="AA1396" s="182" t="n">
        <v>0</v>
      </c>
      <c r="AB1396" s="182" t="n">
        <v>0</v>
      </c>
      <c r="AC1396" s="182" t="n">
        <v>0</v>
      </c>
      <c r="AD1396" s="182" t="n">
        <v>0</v>
      </c>
      <c r="AE1396" s="182" t="n">
        <v>0</v>
      </c>
      <c r="AF1396" s="182" t="n">
        <v>0</v>
      </c>
      <c r="AG1396" s="182" t="n">
        <v>0</v>
      </c>
      <c r="AH1396" s="182" t="n">
        <v>0</v>
      </c>
      <c r="AI1396" s="182" t="n">
        <v>2.24</v>
      </c>
      <c r="AJ1396" s="182" t="n">
        <v>0</v>
      </c>
      <c r="AK1396" s="182" t="n">
        <v>0</v>
      </c>
      <c r="AL1396" s="182" t="n">
        <v>0</v>
      </c>
      <c r="AM1396" s="182" t="n">
        <v>0.08</v>
      </c>
      <c r="AN1396" s="182" t="n">
        <v>0</v>
      </c>
    </row>
    <row r="1397">
      <c r="A1397" s="155" t="n">
        <v>46088</v>
      </c>
      <c r="B1397" s="156" t="inlineStr">
        <is>
          <t>DS</t>
        </is>
      </c>
      <c r="C1397" s="156" t="inlineStr">
        <is>
          <t>DT-518</t>
        </is>
      </c>
      <c r="D1397" s="156" t="inlineStr">
        <is>
          <t>SKT 105S</t>
        </is>
      </c>
      <c r="E1397" s="156" t="inlineStr">
        <is>
          <t>Hauler</t>
        </is>
      </c>
      <c r="F1397" s="156" t="inlineStr">
        <is>
          <t>Hauling OB</t>
        </is>
      </c>
      <c r="G1397" s="182" t="n">
        <v>8.35</v>
      </c>
      <c r="H1397" s="182" t="n">
        <v>0</v>
      </c>
      <c r="I1397" s="182" t="n">
        <v>0</v>
      </c>
      <c r="J1397" s="182" t="n">
        <v>0</v>
      </c>
      <c r="K1397" s="182" t="n">
        <v>3.65</v>
      </c>
      <c r="L1397" s="182" t="n">
        <v>12</v>
      </c>
      <c r="M1397" s="182" t="n">
        <v>8.23</v>
      </c>
      <c r="N1397" s="182" t="n">
        <v>0</v>
      </c>
      <c r="O1397" s="183" t="n">
        <v>29</v>
      </c>
      <c r="P1397" s="183" t="n">
        <v>0</v>
      </c>
      <c r="Q1397" s="184" t="n">
        <v>591.6</v>
      </c>
      <c r="R1397" s="184" t="n">
        <v>0</v>
      </c>
      <c r="S1397" s="183" t="n">
        <v>0</v>
      </c>
      <c r="T1397" s="183" t="n">
        <v>0</v>
      </c>
      <c r="U1397" s="182" t="n">
        <v>1.36</v>
      </c>
      <c r="V1397" s="182" t="n">
        <v>1.04</v>
      </c>
      <c r="W1397" s="182" t="n">
        <v>0</v>
      </c>
      <c r="X1397" s="182" t="n">
        <v>1.04</v>
      </c>
      <c r="Y1397" s="182" t="n">
        <v>0</v>
      </c>
      <c r="Z1397" s="182" t="n">
        <v>0</v>
      </c>
      <c r="AA1397" s="182" t="n">
        <v>0</v>
      </c>
      <c r="AB1397" s="182" t="n">
        <v>0</v>
      </c>
      <c r="AC1397" s="182" t="n">
        <v>0</v>
      </c>
      <c r="AD1397" s="182" t="n">
        <v>0</v>
      </c>
      <c r="AE1397" s="182" t="n">
        <v>0</v>
      </c>
      <c r="AF1397" s="182" t="n">
        <v>0</v>
      </c>
      <c r="AG1397" s="182" t="n">
        <v>0</v>
      </c>
      <c r="AH1397" s="182" t="n">
        <v>0.13</v>
      </c>
      <c r="AI1397" s="182" t="n">
        <v>0</v>
      </c>
      <c r="AJ1397" s="182" t="n">
        <v>0</v>
      </c>
      <c r="AK1397" s="182" t="n">
        <v>0</v>
      </c>
      <c r="AL1397" s="182" t="n">
        <v>0</v>
      </c>
      <c r="AM1397" s="182" t="n">
        <v>0.08</v>
      </c>
      <c r="AN1397" s="182" t="n">
        <v>0</v>
      </c>
    </row>
    <row r="1398">
      <c r="A1398" s="155" t="n">
        <v>46088</v>
      </c>
      <c r="B1398" s="156" t="inlineStr">
        <is>
          <t>DS</t>
        </is>
      </c>
      <c r="C1398" s="156" t="inlineStr">
        <is>
          <t>DT-514</t>
        </is>
      </c>
      <c r="D1398" s="156" t="inlineStr">
        <is>
          <t>SKT 105S</t>
        </is>
      </c>
      <c r="E1398" s="156" t="inlineStr">
        <is>
          <t>Hauler</t>
        </is>
      </c>
      <c r="F1398" s="156" t="inlineStr"/>
      <c r="G1398" s="182" t="n">
        <v>0</v>
      </c>
      <c r="H1398" s="182" t="n">
        <v>0</v>
      </c>
      <c r="I1398" s="182" t="n">
        <v>12</v>
      </c>
      <c r="J1398" s="182" t="n">
        <v>12</v>
      </c>
      <c r="K1398" s="182" t="n">
        <v>0</v>
      </c>
      <c r="L1398" s="182" t="n">
        <v>12</v>
      </c>
      <c r="M1398" s="182" t="n">
        <v>0</v>
      </c>
      <c r="N1398" s="182" t="n">
        <v>0</v>
      </c>
      <c r="O1398" s="183" t="n">
        <v>0</v>
      </c>
      <c r="P1398" s="183" t="n">
        <v>0</v>
      </c>
      <c r="Q1398" s="184" t="n">
        <v>0</v>
      </c>
      <c r="R1398" s="184" t="n">
        <v>0</v>
      </c>
      <c r="S1398" s="183" t="n">
        <v>0</v>
      </c>
      <c r="T1398" s="183" t="n">
        <v>0</v>
      </c>
      <c r="U1398" s="182" t="n">
        <v>0</v>
      </c>
      <c r="V1398" s="182" t="n">
        <v>0</v>
      </c>
      <c r="W1398" s="182" t="n">
        <v>0</v>
      </c>
      <c r="X1398" s="182" t="n">
        <v>0</v>
      </c>
      <c r="Y1398" s="182" t="n">
        <v>0</v>
      </c>
      <c r="Z1398" s="182" t="n">
        <v>0</v>
      </c>
      <c r="AA1398" s="182" t="n">
        <v>0</v>
      </c>
      <c r="AB1398" s="182" t="n">
        <v>0</v>
      </c>
      <c r="AC1398" s="182" t="n">
        <v>0</v>
      </c>
      <c r="AD1398" s="182" t="n">
        <v>0</v>
      </c>
      <c r="AE1398" s="182" t="n">
        <v>0</v>
      </c>
      <c r="AF1398" s="182" t="n">
        <v>0</v>
      </c>
      <c r="AG1398" s="182" t="n">
        <v>0</v>
      </c>
      <c r="AH1398" s="182" t="n">
        <v>0</v>
      </c>
      <c r="AI1398" s="182" t="n">
        <v>0</v>
      </c>
      <c r="AJ1398" s="182" t="n">
        <v>0</v>
      </c>
      <c r="AK1398" s="182" t="n">
        <v>0</v>
      </c>
      <c r="AL1398" s="182" t="n">
        <v>0</v>
      </c>
      <c r="AM1398" s="182" t="n">
        <v>0</v>
      </c>
      <c r="AN1398" s="182" t="n">
        <v>0</v>
      </c>
    </row>
    <row r="1399">
      <c r="A1399" s="155" t="n">
        <v>46088</v>
      </c>
      <c r="B1399" s="156" t="inlineStr">
        <is>
          <t>DS</t>
        </is>
      </c>
      <c r="C1399" s="156" t="inlineStr">
        <is>
          <t>DT-523</t>
        </is>
      </c>
      <c r="D1399" s="156" t="inlineStr">
        <is>
          <t>SKT 105S</t>
        </is>
      </c>
      <c r="E1399" s="156" t="inlineStr">
        <is>
          <t>Hauler</t>
        </is>
      </c>
      <c r="F1399" s="156" t="inlineStr">
        <is>
          <t>Hauling OB &amp; Coal</t>
        </is>
      </c>
      <c r="G1399" s="182" t="n">
        <v>1.19</v>
      </c>
      <c r="H1399" s="182" t="n">
        <v>0</v>
      </c>
      <c r="I1399" s="182" t="n">
        <v>7.5</v>
      </c>
      <c r="J1399" s="182" t="n">
        <v>7.5</v>
      </c>
      <c r="K1399" s="182" t="n">
        <v>3.31</v>
      </c>
      <c r="L1399" s="182" t="n">
        <v>12</v>
      </c>
      <c r="M1399" s="182" t="n">
        <v>0.6899999999999999</v>
      </c>
      <c r="N1399" s="182" t="n">
        <v>0.5</v>
      </c>
      <c r="O1399" s="183" t="n">
        <v>3</v>
      </c>
      <c r="P1399" s="183" t="n">
        <v>1</v>
      </c>
      <c r="Q1399" s="184" t="n">
        <v>61.2</v>
      </c>
      <c r="R1399" s="184" t="n">
        <v>18.7</v>
      </c>
      <c r="S1399" s="183" t="n">
        <v>0</v>
      </c>
      <c r="T1399" s="183" t="n">
        <v>0</v>
      </c>
      <c r="U1399" s="182" t="n">
        <v>1.23</v>
      </c>
      <c r="V1399" s="182" t="n">
        <v>1.06</v>
      </c>
      <c r="W1399" s="182" t="n">
        <v>0</v>
      </c>
      <c r="X1399" s="182" t="n">
        <v>0.95</v>
      </c>
      <c r="Y1399" s="182" t="n">
        <v>0</v>
      </c>
      <c r="Z1399" s="182" t="n">
        <v>0</v>
      </c>
      <c r="AA1399" s="182" t="n">
        <v>0</v>
      </c>
      <c r="AB1399" s="182" t="n">
        <v>0</v>
      </c>
      <c r="AC1399" s="182" t="n">
        <v>0</v>
      </c>
      <c r="AD1399" s="182" t="n">
        <v>0</v>
      </c>
      <c r="AE1399" s="182" t="n">
        <v>0</v>
      </c>
      <c r="AF1399" s="182" t="n">
        <v>0</v>
      </c>
      <c r="AG1399" s="182" t="n">
        <v>0</v>
      </c>
      <c r="AH1399" s="182" t="n">
        <v>0</v>
      </c>
      <c r="AI1399" s="182" t="n">
        <v>0</v>
      </c>
      <c r="AJ1399" s="182" t="n">
        <v>0</v>
      </c>
      <c r="AK1399" s="182" t="n">
        <v>0</v>
      </c>
      <c r="AL1399" s="182" t="n">
        <v>0</v>
      </c>
      <c r="AM1399" s="182" t="n">
        <v>0.08</v>
      </c>
      <c r="AN1399" s="182" t="n">
        <v>0</v>
      </c>
    </row>
    <row r="1400">
      <c r="A1400" s="155" t="n">
        <v>46088</v>
      </c>
      <c r="B1400" s="156" t="inlineStr">
        <is>
          <t>DS</t>
        </is>
      </c>
      <c r="C1400" s="156" t="inlineStr">
        <is>
          <t>DT-519</t>
        </is>
      </c>
      <c r="D1400" s="156" t="inlineStr">
        <is>
          <t>SKT 105S</t>
        </is>
      </c>
      <c r="E1400" s="156" t="inlineStr">
        <is>
          <t>Hauler</t>
        </is>
      </c>
      <c r="F1400" s="156" t="inlineStr"/>
      <c r="G1400" s="182" t="n">
        <v>0</v>
      </c>
      <c r="H1400" s="182" t="n">
        <v>0</v>
      </c>
      <c r="I1400" s="182" t="n">
        <v>0</v>
      </c>
      <c r="J1400" s="182" t="n">
        <v>0</v>
      </c>
      <c r="K1400" s="182" t="n">
        <v>12</v>
      </c>
      <c r="L1400" s="182" t="n">
        <v>12</v>
      </c>
      <c r="M1400" s="182" t="n">
        <v>0</v>
      </c>
      <c r="N1400" s="182" t="n">
        <v>0</v>
      </c>
      <c r="O1400" s="183" t="n">
        <v>0</v>
      </c>
      <c r="P1400" s="183" t="n">
        <v>0</v>
      </c>
      <c r="Q1400" s="184" t="n">
        <v>0</v>
      </c>
      <c r="R1400" s="184" t="n">
        <v>0</v>
      </c>
      <c r="S1400" s="183" t="n">
        <v>0</v>
      </c>
      <c r="T1400" s="183" t="n">
        <v>0</v>
      </c>
      <c r="U1400" s="182" t="n">
        <v>0</v>
      </c>
      <c r="V1400" s="182" t="n">
        <v>0</v>
      </c>
      <c r="W1400" s="182" t="n">
        <v>0</v>
      </c>
      <c r="X1400" s="182" t="n">
        <v>1</v>
      </c>
      <c r="Y1400" s="182" t="n">
        <v>0</v>
      </c>
      <c r="Z1400" s="182" t="n">
        <v>0</v>
      </c>
      <c r="AA1400" s="182" t="n">
        <v>0</v>
      </c>
      <c r="AB1400" s="182" t="n">
        <v>0</v>
      </c>
      <c r="AC1400" s="182" t="n">
        <v>0</v>
      </c>
      <c r="AD1400" s="182" t="n">
        <v>0</v>
      </c>
      <c r="AE1400" s="182" t="n">
        <v>0</v>
      </c>
      <c r="AF1400" s="182" t="n">
        <v>0</v>
      </c>
      <c r="AG1400" s="182" t="n">
        <v>0</v>
      </c>
      <c r="AH1400" s="182" t="n">
        <v>0</v>
      </c>
      <c r="AI1400" s="182" t="n">
        <v>0</v>
      </c>
      <c r="AJ1400" s="182" t="n">
        <v>0</v>
      </c>
      <c r="AK1400" s="182" t="n">
        <v>10.92</v>
      </c>
      <c r="AL1400" s="182" t="n">
        <v>0</v>
      </c>
      <c r="AM1400" s="182" t="n">
        <v>0.08</v>
      </c>
      <c r="AN1400" s="182" t="n">
        <v>0</v>
      </c>
    </row>
    <row r="1401">
      <c r="A1401" s="155" t="n">
        <v>46088</v>
      </c>
      <c r="B1401" s="156" t="inlineStr">
        <is>
          <t>DS</t>
        </is>
      </c>
      <c r="C1401" s="156" t="inlineStr">
        <is>
          <t>DT-527</t>
        </is>
      </c>
      <c r="D1401" s="156" t="inlineStr">
        <is>
          <t>SKT 105S</t>
        </is>
      </c>
      <c r="E1401" s="156" t="inlineStr">
        <is>
          <t>Hauler</t>
        </is>
      </c>
      <c r="F1401" s="156" t="inlineStr">
        <is>
          <t>Hauling OB</t>
        </is>
      </c>
      <c r="G1401" s="182" t="n">
        <v>8.49</v>
      </c>
      <c r="H1401" s="182" t="n">
        <v>0</v>
      </c>
      <c r="I1401" s="182" t="n">
        <v>0</v>
      </c>
      <c r="J1401" s="182" t="n">
        <v>0</v>
      </c>
      <c r="K1401" s="182" t="n">
        <v>3.51</v>
      </c>
      <c r="L1401" s="182" t="n">
        <v>12</v>
      </c>
      <c r="M1401" s="182" t="n">
        <v>8.26</v>
      </c>
      <c r="N1401" s="182" t="n">
        <v>0</v>
      </c>
      <c r="O1401" s="183" t="n">
        <v>35</v>
      </c>
      <c r="P1401" s="183" t="n">
        <v>0</v>
      </c>
      <c r="Q1401" s="184" t="n">
        <v>714</v>
      </c>
      <c r="R1401" s="184" t="n">
        <v>0</v>
      </c>
      <c r="S1401" s="183" t="n">
        <v>0</v>
      </c>
      <c r="T1401" s="183" t="n">
        <v>0</v>
      </c>
      <c r="U1401" s="182" t="n">
        <v>1.27</v>
      </c>
      <c r="V1401" s="182" t="n">
        <v>1.19</v>
      </c>
      <c r="W1401" s="182" t="n">
        <v>0</v>
      </c>
      <c r="X1401" s="182" t="n">
        <v>0.97</v>
      </c>
      <c r="Y1401" s="182" t="n">
        <v>0</v>
      </c>
      <c r="Z1401" s="182" t="n">
        <v>0</v>
      </c>
      <c r="AA1401" s="182" t="n">
        <v>0</v>
      </c>
      <c r="AB1401" s="182" t="n">
        <v>0</v>
      </c>
      <c r="AC1401" s="182" t="n">
        <v>0</v>
      </c>
      <c r="AD1401" s="182" t="n">
        <v>0</v>
      </c>
      <c r="AE1401" s="182" t="n">
        <v>0</v>
      </c>
      <c r="AF1401" s="182" t="n">
        <v>0</v>
      </c>
      <c r="AG1401" s="182" t="n">
        <v>0</v>
      </c>
      <c r="AH1401" s="182" t="n">
        <v>0</v>
      </c>
      <c r="AI1401" s="182" t="n">
        <v>0</v>
      </c>
      <c r="AJ1401" s="182" t="n">
        <v>0</v>
      </c>
      <c r="AK1401" s="182" t="n">
        <v>0</v>
      </c>
      <c r="AL1401" s="182" t="n">
        <v>0</v>
      </c>
      <c r="AM1401" s="182" t="n">
        <v>0.08</v>
      </c>
      <c r="AN1401" s="182" t="n">
        <v>0</v>
      </c>
    </row>
    <row r="1402">
      <c r="A1402" s="155" t="n">
        <v>46088</v>
      </c>
      <c r="B1402" s="156" t="inlineStr">
        <is>
          <t>DS</t>
        </is>
      </c>
      <c r="C1402" s="156" t="inlineStr">
        <is>
          <t>DT-513</t>
        </is>
      </c>
      <c r="D1402" s="156" t="inlineStr">
        <is>
          <t>SKT 105S</t>
        </is>
      </c>
      <c r="E1402" s="156" t="inlineStr">
        <is>
          <t>Hauler</t>
        </is>
      </c>
      <c r="F1402" s="156" t="inlineStr">
        <is>
          <t>Hauling OB</t>
        </is>
      </c>
      <c r="G1402" s="182" t="n">
        <v>3.7</v>
      </c>
      <c r="H1402" s="182" t="n">
        <v>0</v>
      </c>
      <c r="I1402" s="182" t="n">
        <v>0</v>
      </c>
      <c r="J1402" s="182" t="n">
        <v>0</v>
      </c>
      <c r="K1402" s="182" t="n">
        <v>8.300000000000001</v>
      </c>
      <c r="L1402" s="182" t="n">
        <v>12</v>
      </c>
      <c r="M1402" s="182" t="n">
        <v>3.7</v>
      </c>
      <c r="N1402" s="182" t="n">
        <v>0</v>
      </c>
      <c r="O1402" s="183" t="n">
        <v>12</v>
      </c>
      <c r="P1402" s="183" t="n">
        <v>0</v>
      </c>
      <c r="Q1402" s="184" t="n">
        <v>244.8</v>
      </c>
      <c r="R1402" s="184" t="n">
        <v>0</v>
      </c>
      <c r="S1402" s="183" t="n">
        <v>0</v>
      </c>
      <c r="T1402" s="183" t="n">
        <v>0</v>
      </c>
      <c r="U1402" s="182" t="n">
        <v>1.33</v>
      </c>
      <c r="V1402" s="182" t="n">
        <v>1.02</v>
      </c>
      <c r="W1402" s="182" t="n">
        <v>0</v>
      </c>
      <c r="X1402" s="182" t="n">
        <v>1.02</v>
      </c>
      <c r="Y1402" s="182" t="n">
        <v>0</v>
      </c>
      <c r="Z1402" s="182" t="n">
        <v>0</v>
      </c>
      <c r="AA1402" s="182" t="n">
        <v>0</v>
      </c>
      <c r="AB1402" s="182" t="n">
        <v>0</v>
      </c>
      <c r="AC1402" s="182" t="n">
        <v>0</v>
      </c>
      <c r="AD1402" s="182" t="n">
        <v>0</v>
      </c>
      <c r="AE1402" s="182" t="n">
        <v>0</v>
      </c>
      <c r="AF1402" s="182" t="n">
        <v>0</v>
      </c>
      <c r="AG1402" s="182" t="n">
        <v>0</v>
      </c>
      <c r="AH1402" s="182" t="n">
        <v>0</v>
      </c>
      <c r="AI1402" s="182" t="n">
        <v>4.84</v>
      </c>
      <c r="AJ1402" s="182" t="n">
        <v>0</v>
      </c>
      <c r="AK1402" s="182" t="n">
        <v>0</v>
      </c>
      <c r="AL1402" s="182" t="n">
        <v>0</v>
      </c>
      <c r="AM1402" s="182" t="n">
        <v>0.08</v>
      </c>
      <c r="AN1402" s="182" t="n">
        <v>0</v>
      </c>
    </row>
    <row r="1403">
      <c r="A1403" s="155" t="n">
        <v>46088</v>
      </c>
      <c r="B1403" s="156" t="inlineStr">
        <is>
          <t>DS</t>
        </is>
      </c>
      <c r="C1403" s="156" t="inlineStr">
        <is>
          <t>DT-512</t>
        </is>
      </c>
      <c r="D1403" s="156" t="inlineStr">
        <is>
          <t>SKT 105S</t>
        </is>
      </c>
      <c r="E1403" s="156" t="inlineStr">
        <is>
          <t>Hauler</t>
        </is>
      </c>
      <c r="F1403" s="156" t="inlineStr">
        <is>
          <t>Hauling OB</t>
        </is>
      </c>
      <c r="G1403" s="182" t="n">
        <v>6.65</v>
      </c>
      <c r="H1403" s="182" t="n">
        <v>0</v>
      </c>
      <c r="I1403" s="182" t="n">
        <v>1.17</v>
      </c>
      <c r="J1403" s="182" t="n">
        <v>1.17</v>
      </c>
      <c r="K1403" s="182" t="n">
        <v>4.18</v>
      </c>
      <c r="L1403" s="182" t="n">
        <v>12</v>
      </c>
      <c r="M1403" s="182" t="n">
        <v>6.42</v>
      </c>
      <c r="N1403" s="182" t="n">
        <v>0</v>
      </c>
      <c r="O1403" s="183" t="n">
        <v>30</v>
      </c>
      <c r="P1403" s="183" t="n">
        <v>0</v>
      </c>
      <c r="Q1403" s="184" t="n">
        <v>612</v>
      </c>
      <c r="R1403" s="184" t="n">
        <v>0</v>
      </c>
      <c r="S1403" s="183" t="n">
        <v>0</v>
      </c>
      <c r="T1403" s="183" t="n">
        <v>0</v>
      </c>
      <c r="U1403" s="182" t="n">
        <v>1.32</v>
      </c>
      <c r="V1403" s="182" t="n">
        <v>1.01</v>
      </c>
      <c r="W1403" s="182" t="n">
        <v>0</v>
      </c>
      <c r="X1403" s="182" t="n">
        <v>1.01</v>
      </c>
      <c r="Y1403" s="182" t="n">
        <v>0</v>
      </c>
      <c r="Z1403" s="182" t="n">
        <v>0</v>
      </c>
      <c r="AA1403" s="182" t="n">
        <v>0</v>
      </c>
      <c r="AB1403" s="182" t="n">
        <v>0</v>
      </c>
      <c r="AC1403" s="182" t="n">
        <v>0</v>
      </c>
      <c r="AD1403" s="182" t="n">
        <v>0</v>
      </c>
      <c r="AE1403" s="182" t="n">
        <v>0</v>
      </c>
      <c r="AF1403" s="182" t="n">
        <v>0</v>
      </c>
      <c r="AG1403" s="182" t="n">
        <v>0</v>
      </c>
      <c r="AH1403" s="182" t="n">
        <v>0.76</v>
      </c>
      <c r="AI1403" s="182" t="n">
        <v>0</v>
      </c>
      <c r="AJ1403" s="182" t="n">
        <v>0</v>
      </c>
      <c r="AK1403" s="182" t="n">
        <v>0</v>
      </c>
      <c r="AL1403" s="182" t="n">
        <v>0</v>
      </c>
      <c r="AM1403" s="182" t="n">
        <v>0.08</v>
      </c>
      <c r="AN1403" s="182" t="n">
        <v>0</v>
      </c>
    </row>
    <row r="1404">
      <c r="A1404" s="155" t="n">
        <v>46088</v>
      </c>
      <c r="B1404" s="156" t="inlineStr">
        <is>
          <t>DS</t>
        </is>
      </c>
      <c r="C1404" s="156" t="inlineStr">
        <is>
          <t>DT-522</t>
        </is>
      </c>
      <c r="D1404" s="156" t="inlineStr">
        <is>
          <t>SKT 105S</t>
        </is>
      </c>
      <c r="E1404" s="156" t="inlineStr">
        <is>
          <t>Hauler</t>
        </is>
      </c>
      <c r="F1404" s="156" t="inlineStr"/>
      <c r="G1404" s="182" t="n">
        <v>0</v>
      </c>
      <c r="H1404" s="182" t="n">
        <v>12</v>
      </c>
      <c r="I1404" s="182" t="n">
        <v>0</v>
      </c>
      <c r="J1404" s="182" t="n">
        <v>12</v>
      </c>
      <c r="K1404" s="182" t="n">
        <v>0</v>
      </c>
      <c r="L1404" s="182" t="n">
        <v>12</v>
      </c>
      <c r="M1404" s="182" t="n">
        <v>0</v>
      </c>
      <c r="N1404" s="182" t="n">
        <v>0</v>
      </c>
      <c r="O1404" s="183" t="n">
        <v>0</v>
      </c>
      <c r="P1404" s="183" t="n">
        <v>0</v>
      </c>
      <c r="Q1404" s="184" t="n">
        <v>0</v>
      </c>
      <c r="R1404" s="184" t="n">
        <v>0</v>
      </c>
      <c r="S1404" s="183" t="n">
        <v>0</v>
      </c>
      <c r="T1404" s="183" t="n">
        <v>0</v>
      </c>
      <c r="U1404" s="182" t="n">
        <v>0</v>
      </c>
      <c r="V1404" s="182" t="n">
        <v>0</v>
      </c>
      <c r="W1404" s="182" t="n">
        <v>0</v>
      </c>
      <c r="X1404" s="182" t="n">
        <v>0</v>
      </c>
      <c r="Y1404" s="182" t="n">
        <v>0</v>
      </c>
      <c r="Z1404" s="182" t="n">
        <v>0</v>
      </c>
      <c r="AA1404" s="182" t="n">
        <v>0</v>
      </c>
      <c r="AB1404" s="182" t="n">
        <v>0</v>
      </c>
      <c r="AC1404" s="182" t="n">
        <v>0</v>
      </c>
      <c r="AD1404" s="182" t="n">
        <v>0</v>
      </c>
      <c r="AE1404" s="182" t="n">
        <v>0</v>
      </c>
      <c r="AF1404" s="182" t="n">
        <v>0</v>
      </c>
      <c r="AG1404" s="182" t="n">
        <v>0</v>
      </c>
      <c r="AH1404" s="182" t="n">
        <v>0</v>
      </c>
      <c r="AI1404" s="182" t="n">
        <v>0</v>
      </c>
      <c r="AJ1404" s="182" t="n">
        <v>0</v>
      </c>
      <c r="AK1404" s="182" t="n">
        <v>0</v>
      </c>
      <c r="AL1404" s="182" t="n">
        <v>0</v>
      </c>
      <c r="AM1404" s="182" t="n">
        <v>0</v>
      </c>
      <c r="AN1404" s="182" t="n">
        <v>0</v>
      </c>
    </row>
    <row r="1405">
      <c r="A1405" s="155" t="n">
        <v>46088</v>
      </c>
      <c r="B1405" s="156" t="inlineStr">
        <is>
          <t>DS</t>
        </is>
      </c>
      <c r="C1405" s="156" t="inlineStr">
        <is>
          <t>DT-517</t>
        </is>
      </c>
      <c r="D1405" s="156" t="inlineStr">
        <is>
          <t>SKT 105S</t>
        </is>
      </c>
      <c r="E1405" s="156" t="inlineStr">
        <is>
          <t>Hauler</t>
        </is>
      </c>
      <c r="F1405" s="156" t="inlineStr"/>
      <c r="G1405" s="182" t="n">
        <v>0</v>
      </c>
      <c r="H1405" s="182" t="n">
        <v>8.5</v>
      </c>
      <c r="I1405" s="182" t="n">
        <v>0.8</v>
      </c>
      <c r="J1405" s="182" t="n">
        <v>9.300000000000001</v>
      </c>
      <c r="K1405" s="182" t="n">
        <v>2.7</v>
      </c>
      <c r="L1405" s="182" t="n">
        <v>12</v>
      </c>
      <c r="M1405" s="182" t="n">
        <v>0</v>
      </c>
      <c r="N1405" s="182" t="n">
        <v>0</v>
      </c>
      <c r="O1405" s="183" t="n">
        <v>0</v>
      </c>
      <c r="P1405" s="183" t="n">
        <v>0</v>
      </c>
      <c r="Q1405" s="184" t="n">
        <v>0</v>
      </c>
      <c r="R1405" s="184" t="n">
        <v>0</v>
      </c>
      <c r="S1405" s="183" t="n">
        <v>0</v>
      </c>
      <c r="T1405" s="183" t="n">
        <v>0</v>
      </c>
      <c r="U1405" s="182" t="n">
        <v>1.3</v>
      </c>
      <c r="V1405" s="182" t="n">
        <v>0.32</v>
      </c>
      <c r="W1405" s="182" t="n">
        <v>0</v>
      </c>
      <c r="X1405" s="182" t="n">
        <v>1</v>
      </c>
      <c r="Y1405" s="182" t="n">
        <v>0</v>
      </c>
      <c r="Z1405" s="182" t="n">
        <v>0</v>
      </c>
      <c r="AA1405" s="182" t="n">
        <v>0</v>
      </c>
      <c r="AB1405" s="182" t="n">
        <v>0</v>
      </c>
      <c r="AC1405" s="182" t="n">
        <v>0</v>
      </c>
      <c r="AD1405" s="182" t="n">
        <v>0</v>
      </c>
      <c r="AE1405" s="182" t="n">
        <v>0</v>
      </c>
      <c r="AF1405" s="182" t="n">
        <v>0</v>
      </c>
      <c r="AG1405" s="182" t="n">
        <v>0</v>
      </c>
      <c r="AH1405" s="182" t="n">
        <v>0</v>
      </c>
      <c r="AI1405" s="182" t="n">
        <v>0</v>
      </c>
      <c r="AJ1405" s="182" t="n">
        <v>0</v>
      </c>
      <c r="AK1405" s="182" t="n">
        <v>0</v>
      </c>
      <c r="AL1405" s="182" t="n">
        <v>0</v>
      </c>
      <c r="AM1405" s="182" t="n">
        <v>0.08</v>
      </c>
      <c r="AN1405" s="182" t="n">
        <v>0</v>
      </c>
    </row>
    <row r="1406">
      <c r="A1406" s="155" t="n">
        <v>46088</v>
      </c>
      <c r="B1406" s="156" t="inlineStr">
        <is>
          <t>DS</t>
        </is>
      </c>
      <c r="C1406" s="156" t="inlineStr">
        <is>
          <t>DT-510</t>
        </is>
      </c>
      <c r="D1406" s="156" t="inlineStr">
        <is>
          <t>SKT 105S</t>
        </is>
      </c>
      <c r="E1406" s="156" t="inlineStr">
        <is>
          <t>Hauler</t>
        </is>
      </c>
      <c r="F1406" s="156" t="inlineStr">
        <is>
          <t>Hauling OB</t>
        </is>
      </c>
      <c r="G1406" s="182" t="n">
        <v>8.4</v>
      </c>
      <c r="H1406" s="182" t="n">
        <v>0</v>
      </c>
      <c r="I1406" s="182" t="n">
        <v>0</v>
      </c>
      <c r="J1406" s="182" t="n">
        <v>0</v>
      </c>
      <c r="K1406" s="182" t="n">
        <v>3.6</v>
      </c>
      <c r="L1406" s="182" t="n">
        <v>12</v>
      </c>
      <c r="M1406" s="182" t="n">
        <v>8.4</v>
      </c>
      <c r="N1406" s="182" t="n">
        <v>0</v>
      </c>
      <c r="O1406" s="183" t="n">
        <v>28</v>
      </c>
      <c r="P1406" s="183" t="n">
        <v>0</v>
      </c>
      <c r="Q1406" s="184" t="n">
        <v>571.2</v>
      </c>
      <c r="R1406" s="184" t="n">
        <v>0</v>
      </c>
      <c r="S1406" s="183" t="n">
        <v>0</v>
      </c>
      <c r="T1406" s="183" t="n">
        <v>0</v>
      </c>
      <c r="U1406" s="182" t="n">
        <v>1.26</v>
      </c>
      <c r="V1406" s="182" t="n">
        <v>1.28</v>
      </c>
      <c r="W1406" s="182" t="n">
        <v>0</v>
      </c>
      <c r="X1406" s="182" t="n">
        <v>0.97</v>
      </c>
      <c r="Y1406" s="182" t="n">
        <v>0</v>
      </c>
      <c r="Z1406" s="182" t="n">
        <v>0</v>
      </c>
      <c r="AA1406" s="182" t="n">
        <v>0</v>
      </c>
      <c r="AB1406" s="182" t="n">
        <v>0</v>
      </c>
      <c r="AC1406" s="182" t="n">
        <v>0</v>
      </c>
      <c r="AD1406" s="182" t="n">
        <v>0</v>
      </c>
      <c r="AE1406" s="182" t="n">
        <v>0</v>
      </c>
      <c r="AF1406" s="182" t="n">
        <v>0</v>
      </c>
      <c r="AG1406" s="182" t="n">
        <v>0</v>
      </c>
      <c r="AH1406" s="182" t="n">
        <v>0</v>
      </c>
      <c r="AI1406" s="182" t="n">
        <v>0</v>
      </c>
      <c r="AJ1406" s="182" t="n">
        <v>0</v>
      </c>
      <c r="AK1406" s="182" t="n">
        <v>0</v>
      </c>
      <c r="AL1406" s="182" t="n">
        <v>0</v>
      </c>
      <c r="AM1406" s="182" t="n">
        <v>0.08</v>
      </c>
      <c r="AN1406" s="182" t="n">
        <v>0</v>
      </c>
    </row>
    <row r="1407">
      <c r="A1407" s="155" t="n">
        <v>46088</v>
      </c>
      <c r="B1407" s="156" t="inlineStr">
        <is>
          <t>DS</t>
        </is>
      </c>
      <c r="C1407" s="156" t="inlineStr">
        <is>
          <t>DT-521</t>
        </is>
      </c>
      <c r="D1407" s="156" t="inlineStr">
        <is>
          <t>SKT 105S</t>
        </is>
      </c>
      <c r="E1407" s="156" t="inlineStr">
        <is>
          <t>Hauler</t>
        </is>
      </c>
      <c r="F1407" s="156" t="inlineStr">
        <is>
          <t>Hauling OB &amp; Coal</t>
        </is>
      </c>
      <c r="G1407" s="182" t="n">
        <v>5.41</v>
      </c>
      <c r="H1407" s="182" t="n">
        <v>0</v>
      </c>
      <c r="I1407" s="182" t="n">
        <v>1.33</v>
      </c>
      <c r="J1407" s="182" t="n">
        <v>1.33</v>
      </c>
      <c r="K1407" s="182" t="n">
        <v>5.26</v>
      </c>
      <c r="L1407" s="182" t="n">
        <v>12</v>
      </c>
      <c r="M1407" s="182" t="n">
        <v>2.61</v>
      </c>
      <c r="N1407" s="182" t="n">
        <v>2.81</v>
      </c>
      <c r="O1407" s="183" t="n">
        <v>7</v>
      </c>
      <c r="P1407" s="183" t="n">
        <v>7</v>
      </c>
      <c r="Q1407" s="184" t="n">
        <v>134.6</v>
      </c>
      <c r="R1407" s="184" t="n">
        <v>130.9</v>
      </c>
      <c r="S1407" s="183" t="n">
        <v>0</v>
      </c>
      <c r="T1407" s="183" t="n">
        <v>0</v>
      </c>
      <c r="U1407" s="182" t="n">
        <v>1.3</v>
      </c>
      <c r="V1407" s="182" t="n">
        <v>2.87</v>
      </c>
      <c r="W1407" s="182" t="n">
        <v>0</v>
      </c>
      <c r="X1407" s="182" t="n">
        <v>1</v>
      </c>
      <c r="Y1407" s="182" t="n">
        <v>0</v>
      </c>
      <c r="Z1407" s="182" t="n">
        <v>0</v>
      </c>
      <c r="AA1407" s="182" t="n">
        <v>0</v>
      </c>
      <c r="AB1407" s="182" t="n">
        <v>0</v>
      </c>
      <c r="AC1407" s="182" t="n">
        <v>0</v>
      </c>
      <c r="AD1407" s="182" t="n">
        <v>0</v>
      </c>
      <c r="AE1407" s="182" t="n">
        <v>0</v>
      </c>
      <c r="AF1407" s="182" t="n">
        <v>0</v>
      </c>
      <c r="AG1407" s="182" t="n">
        <v>0</v>
      </c>
      <c r="AH1407" s="182" t="n">
        <v>0</v>
      </c>
      <c r="AI1407" s="182" t="n">
        <v>0</v>
      </c>
      <c r="AJ1407" s="182" t="n">
        <v>0</v>
      </c>
      <c r="AK1407" s="182" t="n">
        <v>0</v>
      </c>
      <c r="AL1407" s="182" t="n">
        <v>0</v>
      </c>
      <c r="AM1407" s="182" t="n">
        <v>0.08</v>
      </c>
      <c r="AN1407" s="182" t="n">
        <v>0</v>
      </c>
    </row>
    <row r="1408">
      <c r="A1408" s="155" t="n">
        <v>46088</v>
      </c>
      <c r="B1408" s="156" t="inlineStr">
        <is>
          <t>DS</t>
        </is>
      </c>
      <c r="C1408" s="156" t="inlineStr">
        <is>
          <t>DT-516</t>
        </is>
      </c>
      <c r="D1408" s="156" t="inlineStr">
        <is>
          <t>SKT 105S</t>
        </is>
      </c>
      <c r="E1408" s="156" t="inlineStr">
        <is>
          <t>Hauler</t>
        </is>
      </c>
      <c r="F1408" s="156" t="inlineStr">
        <is>
          <t>Hauling OB</t>
        </is>
      </c>
      <c r="G1408" s="182" t="n">
        <v>8.300000000000001</v>
      </c>
      <c r="H1408" s="182" t="n">
        <v>0</v>
      </c>
      <c r="I1408" s="182" t="n">
        <v>0</v>
      </c>
      <c r="J1408" s="182" t="n">
        <v>0</v>
      </c>
      <c r="K1408" s="182" t="n">
        <v>3.7</v>
      </c>
      <c r="L1408" s="182" t="n">
        <v>12</v>
      </c>
      <c r="M1408" s="182" t="n">
        <v>8.300000000000001</v>
      </c>
      <c r="N1408" s="182" t="n">
        <v>0</v>
      </c>
      <c r="O1408" s="183" t="n">
        <v>35</v>
      </c>
      <c r="P1408" s="183" t="n">
        <v>0</v>
      </c>
      <c r="Q1408" s="184" t="n">
        <v>714</v>
      </c>
      <c r="R1408" s="184" t="n">
        <v>0</v>
      </c>
      <c r="S1408" s="183" t="n">
        <v>0</v>
      </c>
      <c r="T1408" s="183" t="n">
        <v>0</v>
      </c>
      <c r="U1408" s="182" t="n">
        <v>1.27</v>
      </c>
      <c r="V1408" s="182" t="n">
        <v>1.38</v>
      </c>
      <c r="W1408" s="182" t="n">
        <v>0</v>
      </c>
      <c r="X1408" s="182" t="n">
        <v>0.97</v>
      </c>
      <c r="Y1408" s="182" t="n">
        <v>0</v>
      </c>
      <c r="Z1408" s="182" t="n">
        <v>0</v>
      </c>
      <c r="AA1408" s="182" t="n">
        <v>0</v>
      </c>
      <c r="AB1408" s="182" t="n">
        <v>0</v>
      </c>
      <c r="AC1408" s="182" t="n">
        <v>0</v>
      </c>
      <c r="AD1408" s="182" t="n">
        <v>0</v>
      </c>
      <c r="AE1408" s="182" t="n">
        <v>0</v>
      </c>
      <c r="AF1408" s="182" t="n">
        <v>0</v>
      </c>
      <c r="AG1408" s="182" t="n">
        <v>0</v>
      </c>
      <c r="AH1408" s="182" t="n">
        <v>0</v>
      </c>
      <c r="AI1408" s="182" t="n">
        <v>0</v>
      </c>
      <c r="AJ1408" s="182" t="n">
        <v>0</v>
      </c>
      <c r="AK1408" s="182" t="n">
        <v>0</v>
      </c>
      <c r="AL1408" s="182" t="n">
        <v>0</v>
      </c>
      <c r="AM1408" s="182" t="n">
        <v>0.08</v>
      </c>
      <c r="AN1408" s="182" t="n">
        <v>0</v>
      </c>
    </row>
    <row r="1409">
      <c r="A1409" s="155" t="n">
        <v>46088</v>
      </c>
      <c r="B1409" s="156" t="inlineStr">
        <is>
          <t>DS</t>
        </is>
      </c>
      <c r="C1409" s="156" t="inlineStr">
        <is>
          <t>DT-506</t>
        </is>
      </c>
      <c r="D1409" s="156" t="inlineStr">
        <is>
          <t>SKT 105S</t>
        </is>
      </c>
      <c r="E1409" s="156" t="inlineStr">
        <is>
          <t>Hauler</t>
        </is>
      </c>
      <c r="F1409" s="156" t="inlineStr">
        <is>
          <t>Hauling OB</t>
        </is>
      </c>
      <c r="G1409" s="182" t="n">
        <v>7.61</v>
      </c>
      <c r="H1409" s="182" t="n">
        <v>0</v>
      </c>
      <c r="I1409" s="182" t="n">
        <v>0</v>
      </c>
      <c r="J1409" s="182" t="n">
        <v>0</v>
      </c>
      <c r="K1409" s="182" t="n">
        <v>4.39</v>
      </c>
      <c r="L1409" s="182" t="n">
        <v>12</v>
      </c>
      <c r="M1409" s="182" t="n">
        <v>7.49</v>
      </c>
      <c r="N1409" s="182" t="n">
        <v>0</v>
      </c>
      <c r="O1409" s="183" t="n">
        <v>30</v>
      </c>
      <c r="P1409" s="183" t="n">
        <v>0</v>
      </c>
      <c r="Q1409" s="184" t="n">
        <v>612</v>
      </c>
      <c r="R1409" s="184" t="n">
        <v>0</v>
      </c>
      <c r="S1409" s="183" t="n">
        <v>0</v>
      </c>
      <c r="T1409" s="183" t="n">
        <v>0</v>
      </c>
      <c r="U1409" s="182" t="n">
        <v>1.3</v>
      </c>
      <c r="V1409" s="182" t="n">
        <v>1</v>
      </c>
      <c r="W1409" s="182" t="n">
        <v>0</v>
      </c>
      <c r="X1409" s="182" t="n">
        <v>1</v>
      </c>
      <c r="Y1409" s="182" t="n">
        <v>0</v>
      </c>
      <c r="Z1409" s="182" t="n">
        <v>0</v>
      </c>
      <c r="AA1409" s="182" t="n">
        <v>0</v>
      </c>
      <c r="AB1409" s="182" t="n">
        <v>0</v>
      </c>
      <c r="AC1409" s="182" t="n">
        <v>0</v>
      </c>
      <c r="AD1409" s="182" t="n">
        <v>0</v>
      </c>
      <c r="AE1409" s="182" t="n">
        <v>0</v>
      </c>
      <c r="AF1409" s="182" t="n">
        <v>0</v>
      </c>
      <c r="AG1409" s="182" t="n">
        <v>0</v>
      </c>
      <c r="AH1409" s="182" t="n">
        <v>0.02</v>
      </c>
      <c r="AI1409" s="182" t="n">
        <v>0</v>
      </c>
      <c r="AJ1409" s="182" t="n">
        <v>0</v>
      </c>
      <c r="AK1409" s="182" t="n">
        <v>1</v>
      </c>
      <c r="AL1409" s="182" t="n">
        <v>0</v>
      </c>
      <c r="AM1409" s="182" t="n">
        <v>0.08</v>
      </c>
      <c r="AN1409" s="182" t="n">
        <v>0</v>
      </c>
    </row>
    <row r="1410">
      <c r="A1410" s="155" t="n">
        <v>46088</v>
      </c>
      <c r="B1410" s="156" t="inlineStr">
        <is>
          <t>DS</t>
        </is>
      </c>
      <c r="C1410" s="156" t="inlineStr">
        <is>
          <t>DT-502</t>
        </is>
      </c>
      <c r="D1410" s="156" t="inlineStr">
        <is>
          <t>SKT 105S</t>
        </is>
      </c>
      <c r="E1410" s="156" t="inlineStr">
        <is>
          <t>Hauler</t>
        </is>
      </c>
      <c r="F1410" s="156" t="inlineStr">
        <is>
          <t>Hauling OB &amp; Coal</t>
        </is>
      </c>
      <c r="G1410" s="182" t="n">
        <v>7.29</v>
      </c>
      <c r="H1410" s="182" t="n">
        <v>0</v>
      </c>
      <c r="I1410" s="182" t="n">
        <v>2.9</v>
      </c>
      <c r="J1410" s="182" t="n">
        <v>2.9</v>
      </c>
      <c r="K1410" s="182" t="n">
        <v>1.81</v>
      </c>
      <c r="L1410" s="182" t="n">
        <v>12</v>
      </c>
      <c r="M1410" s="182" t="n">
        <v>1.42</v>
      </c>
      <c r="N1410" s="182" t="n">
        <v>5.87</v>
      </c>
      <c r="O1410" s="183" t="n">
        <v>4</v>
      </c>
      <c r="P1410" s="183" t="n">
        <v>15</v>
      </c>
      <c r="Q1410" s="184" t="n">
        <v>65.3</v>
      </c>
      <c r="R1410" s="184" t="n">
        <v>280.5</v>
      </c>
      <c r="S1410" s="183" t="n">
        <v>0</v>
      </c>
      <c r="T1410" s="183" t="n">
        <v>0</v>
      </c>
      <c r="U1410" s="182" t="n">
        <v>0.78</v>
      </c>
      <c r="V1410" s="182" t="n">
        <v>0</v>
      </c>
      <c r="W1410" s="182" t="n">
        <v>0</v>
      </c>
      <c r="X1410" s="182" t="n">
        <v>0.95</v>
      </c>
      <c r="Y1410" s="182" t="n">
        <v>0</v>
      </c>
      <c r="Z1410" s="182" t="n">
        <v>0</v>
      </c>
      <c r="AA1410" s="182" t="n">
        <v>0</v>
      </c>
      <c r="AB1410" s="182" t="n">
        <v>0</v>
      </c>
      <c r="AC1410" s="182" t="n">
        <v>0</v>
      </c>
      <c r="AD1410" s="182" t="n">
        <v>0</v>
      </c>
      <c r="AE1410" s="182" t="n">
        <v>0</v>
      </c>
      <c r="AF1410" s="182" t="n">
        <v>0</v>
      </c>
      <c r="AG1410" s="182" t="n">
        <v>0</v>
      </c>
      <c r="AH1410" s="182" t="n">
        <v>0</v>
      </c>
      <c r="AI1410" s="182" t="n">
        <v>0</v>
      </c>
      <c r="AJ1410" s="182" t="n">
        <v>0</v>
      </c>
      <c r="AK1410" s="182" t="n">
        <v>0</v>
      </c>
      <c r="AL1410" s="182" t="n">
        <v>0</v>
      </c>
      <c r="AM1410" s="182" t="n">
        <v>0.08</v>
      </c>
      <c r="AN1410" s="182" t="n">
        <v>0</v>
      </c>
    </row>
    <row r="1411">
      <c r="A1411" s="155" t="n">
        <v>46088</v>
      </c>
      <c r="B1411" s="156" t="inlineStr">
        <is>
          <t>DS</t>
        </is>
      </c>
      <c r="C1411" s="156" t="inlineStr">
        <is>
          <t>DT-528</t>
        </is>
      </c>
      <c r="D1411" s="156" t="inlineStr">
        <is>
          <t>SKT 105S</t>
        </is>
      </c>
      <c r="E1411" s="156" t="inlineStr">
        <is>
          <t>Hauler</t>
        </is>
      </c>
      <c r="F1411" s="156" t="inlineStr">
        <is>
          <t>Hauling OB</t>
        </is>
      </c>
      <c r="G1411" s="182" t="n">
        <v>3.15</v>
      </c>
      <c r="H1411" s="182" t="n">
        <v>0</v>
      </c>
      <c r="I1411" s="182" t="n">
        <v>1.53</v>
      </c>
      <c r="J1411" s="182" t="n">
        <v>1.53</v>
      </c>
      <c r="K1411" s="182" t="n">
        <v>7.32</v>
      </c>
      <c r="L1411" s="182" t="n">
        <v>12</v>
      </c>
      <c r="M1411" s="182" t="n">
        <v>3.15</v>
      </c>
      <c r="N1411" s="182" t="n">
        <v>0</v>
      </c>
      <c r="O1411" s="183" t="n">
        <v>8</v>
      </c>
      <c r="P1411" s="183" t="n">
        <v>0</v>
      </c>
      <c r="Q1411" s="184" t="n">
        <v>163.2</v>
      </c>
      <c r="R1411" s="184" t="n">
        <v>0</v>
      </c>
      <c r="S1411" s="183" t="n">
        <v>0</v>
      </c>
      <c r="T1411" s="183" t="n">
        <v>0</v>
      </c>
      <c r="U1411" s="182" t="n">
        <v>1.26</v>
      </c>
      <c r="V1411" s="182" t="n">
        <v>0.97</v>
      </c>
      <c r="W1411" s="182" t="n">
        <v>0</v>
      </c>
      <c r="X1411" s="182" t="n">
        <v>0.97</v>
      </c>
      <c r="Y1411" s="182" t="n">
        <v>0</v>
      </c>
      <c r="Z1411" s="182" t="n">
        <v>0</v>
      </c>
      <c r="AA1411" s="182" t="n">
        <v>0</v>
      </c>
      <c r="AB1411" s="182" t="n">
        <v>0</v>
      </c>
      <c r="AC1411" s="182" t="n">
        <v>0</v>
      </c>
      <c r="AD1411" s="182" t="n">
        <v>0</v>
      </c>
      <c r="AE1411" s="182" t="n">
        <v>0</v>
      </c>
      <c r="AF1411" s="182" t="n">
        <v>0</v>
      </c>
      <c r="AG1411" s="182" t="n">
        <v>0</v>
      </c>
      <c r="AH1411" s="182" t="n">
        <v>0</v>
      </c>
      <c r="AI1411" s="182" t="n">
        <v>4.04</v>
      </c>
      <c r="AJ1411" s="182" t="n">
        <v>0</v>
      </c>
      <c r="AK1411" s="182" t="n">
        <v>0</v>
      </c>
      <c r="AL1411" s="182" t="n">
        <v>0</v>
      </c>
      <c r="AM1411" s="182" t="n">
        <v>0.08</v>
      </c>
      <c r="AN1411" s="182" t="n">
        <v>0</v>
      </c>
    </row>
    <row r="1412">
      <c r="A1412" s="155" t="n">
        <v>46088</v>
      </c>
      <c r="B1412" s="156" t="inlineStr">
        <is>
          <t>DS</t>
        </is>
      </c>
      <c r="C1412" s="156" t="inlineStr">
        <is>
          <t>DT-529</t>
        </is>
      </c>
      <c r="D1412" s="156" t="inlineStr">
        <is>
          <t>SKT 105S</t>
        </is>
      </c>
      <c r="E1412" s="156" t="inlineStr">
        <is>
          <t>Hauler</t>
        </is>
      </c>
      <c r="F1412" s="156" t="inlineStr">
        <is>
          <t>Hauling OB</t>
        </is>
      </c>
      <c r="G1412" s="182" t="n">
        <v>8.75</v>
      </c>
      <c r="H1412" s="182" t="n">
        <v>0</v>
      </c>
      <c r="I1412" s="182" t="n">
        <v>0</v>
      </c>
      <c r="J1412" s="182" t="n">
        <v>0</v>
      </c>
      <c r="K1412" s="182" t="n">
        <v>3.25</v>
      </c>
      <c r="L1412" s="182" t="n">
        <v>12</v>
      </c>
      <c r="M1412" s="182" t="n">
        <v>8.630000000000001</v>
      </c>
      <c r="N1412" s="182" t="n">
        <v>0</v>
      </c>
      <c r="O1412" s="183" t="n">
        <v>32</v>
      </c>
      <c r="P1412" s="183" t="n">
        <v>0</v>
      </c>
      <c r="Q1412" s="184" t="n">
        <v>567</v>
      </c>
      <c r="R1412" s="184" t="n">
        <v>0</v>
      </c>
      <c r="S1412" s="183" t="n">
        <v>0</v>
      </c>
      <c r="T1412" s="183" t="n">
        <v>0</v>
      </c>
      <c r="U1412" s="182" t="n">
        <v>1.32</v>
      </c>
      <c r="V1412" s="182" t="n">
        <v>0.83</v>
      </c>
      <c r="W1412" s="182" t="n">
        <v>0</v>
      </c>
      <c r="X1412" s="182" t="n">
        <v>1.02</v>
      </c>
      <c r="Y1412" s="182" t="n">
        <v>0</v>
      </c>
      <c r="Z1412" s="182" t="n">
        <v>0</v>
      </c>
      <c r="AA1412" s="182" t="n">
        <v>0</v>
      </c>
      <c r="AB1412" s="182" t="n">
        <v>0</v>
      </c>
      <c r="AC1412" s="182" t="n">
        <v>0</v>
      </c>
      <c r="AD1412" s="182" t="n">
        <v>0</v>
      </c>
      <c r="AE1412" s="182" t="n">
        <v>0</v>
      </c>
      <c r="AF1412" s="182" t="n">
        <v>0</v>
      </c>
      <c r="AG1412" s="182" t="n">
        <v>0</v>
      </c>
      <c r="AH1412" s="182" t="n">
        <v>0</v>
      </c>
      <c r="AI1412" s="182" t="n">
        <v>0</v>
      </c>
      <c r="AJ1412" s="182" t="n">
        <v>0</v>
      </c>
      <c r="AK1412" s="182" t="n">
        <v>0</v>
      </c>
      <c r="AL1412" s="182" t="n">
        <v>0</v>
      </c>
      <c r="AM1412" s="182" t="n">
        <v>0.08</v>
      </c>
      <c r="AN1412" s="182" t="n">
        <v>0</v>
      </c>
    </row>
    <row r="1413">
      <c r="A1413" s="155" t="n">
        <v>46088</v>
      </c>
      <c r="B1413" s="156" t="inlineStr">
        <is>
          <t>DS</t>
        </is>
      </c>
      <c r="C1413" s="156" t="inlineStr">
        <is>
          <t>DT-520</t>
        </is>
      </c>
      <c r="D1413" s="156" t="inlineStr">
        <is>
          <t>SKT 105S</t>
        </is>
      </c>
      <c r="E1413" s="156" t="inlineStr">
        <is>
          <t>Hauler</t>
        </is>
      </c>
      <c r="F1413" s="156" t="inlineStr">
        <is>
          <t>Hauling OB</t>
        </is>
      </c>
      <c r="G1413" s="182" t="n">
        <v>7.1</v>
      </c>
      <c r="H1413" s="182" t="n">
        <v>0</v>
      </c>
      <c r="I1413" s="182" t="n">
        <v>0</v>
      </c>
      <c r="J1413" s="182" t="n">
        <v>0</v>
      </c>
      <c r="K1413" s="182" t="n">
        <v>4.9</v>
      </c>
      <c r="L1413" s="182" t="n">
        <v>12</v>
      </c>
      <c r="M1413" s="182" t="n">
        <v>7.1</v>
      </c>
      <c r="N1413" s="182" t="n">
        <v>0</v>
      </c>
      <c r="O1413" s="183" t="n">
        <v>33</v>
      </c>
      <c r="P1413" s="183" t="n">
        <v>0</v>
      </c>
      <c r="Q1413" s="184" t="n">
        <v>570</v>
      </c>
      <c r="R1413" s="184" t="n">
        <v>0</v>
      </c>
      <c r="S1413" s="183" t="n">
        <v>0</v>
      </c>
      <c r="T1413" s="183" t="n">
        <v>0</v>
      </c>
      <c r="U1413" s="182" t="n">
        <v>1.38</v>
      </c>
      <c r="V1413" s="182" t="n">
        <v>1.07</v>
      </c>
      <c r="W1413" s="182" t="n">
        <v>0</v>
      </c>
      <c r="X1413" s="182" t="n">
        <v>1.07</v>
      </c>
      <c r="Y1413" s="182" t="n">
        <v>0</v>
      </c>
      <c r="Z1413" s="182" t="n">
        <v>0</v>
      </c>
      <c r="AA1413" s="182" t="n">
        <v>0</v>
      </c>
      <c r="AB1413" s="182" t="n">
        <v>0</v>
      </c>
      <c r="AC1413" s="182" t="n">
        <v>0</v>
      </c>
      <c r="AD1413" s="182" t="n">
        <v>0</v>
      </c>
      <c r="AE1413" s="182" t="n">
        <v>0</v>
      </c>
      <c r="AF1413" s="182" t="n">
        <v>0</v>
      </c>
      <c r="AG1413" s="182" t="n">
        <v>0</v>
      </c>
      <c r="AH1413" s="182" t="n">
        <v>0.23</v>
      </c>
      <c r="AI1413" s="182" t="n">
        <v>0</v>
      </c>
      <c r="AJ1413" s="182" t="n">
        <v>0</v>
      </c>
      <c r="AK1413" s="182" t="n">
        <v>1.07</v>
      </c>
      <c r="AL1413" s="182" t="n">
        <v>0</v>
      </c>
      <c r="AM1413" s="182" t="n">
        <v>0.09</v>
      </c>
      <c r="AN1413" s="182" t="n">
        <v>0</v>
      </c>
    </row>
    <row r="1414">
      <c r="A1414" s="155" t="n">
        <v>46088</v>
      </c>
      <c r="B1414" s="156" t="inlineStr">
        <is>
          <t>DS</t>
        </is>
      </c>
      <c r="C1414" s="156" t="inlineStr">
        <is>
          <t>DT-511</t>
        </is>
      </c>
      <c r="D1414" s="156" t="inlineStr">
        <is>
          <t>SKT 105S</t>
        </is>
      </c>
      <c r="E1414" s="156" t="inlineStr">
        <is>
          <t>Hauler</t>
        </is>
      </c>
      <c r="F1414" s="156" t="inlineStr"/>
      <c r="G1414" s="182" t="n">
        <v>0</v>
      </c>
      <c r="H1414" s="182" t="n">
        <v>0</v>
      </c>
      <c r="I1414" s="182" t="n">
        <v>12</v>
      </c>
      <c r="J1414" s="182" t="n">
        <v>12</v>
      </c>
      <c r="K1414" s="182" t="n">
        <v>0</v>
      </c>
      <c r="L1414" s="182" t="n">
        <v>12</v>
      </c>
      <c r="M1414" s="182" t="n">
        <v>0</v>
      </c>
      <c r="N1414" s="182" t="n">
        <v>0</v>
      </c>
      <c r="O1414" s="183" t="n">
        <v>0</v>
      </c>
      <c r="P1414" s="183" t="n">
        <v>0</v>
      </c>
      <c r="Q1414" s="184" t="n">
        <v>0</v>
      </c>
      <c r="R1414" s="184" t="n">
        <v>0</v>
      </c>
      <c r="S1414" s="183" t="n">
        <v>0</v>
      </c>
      <c r="T1414" s="183" t="n">
        <v>0</v>
      </c>
      <c r="U1414" s="182" t="n">
        <v>0</v>
      </c>
      <c r="V1414" s="182" t="n">
        <v>0</v>
      </c>
      <c r="W1414" s="182" t="n">
        <v>0</v>
      </c>
      <c r="X1414" s="182" t="n">
        <v>0</v>
      </c>
      <c r="Y1414" s="182" t="n">
        <v>0</v>
      </c>
      <c r="Z1414" s="182" t="n">
        <v>0</v>
      </c>
      <c r="AA1414" s="182" t="n">
        <v>0</v>
      </c>
      <c r="AB1414" s="182" t="n">
        <v>0</v>
      </c>
      <c r="AC1414" s="182" t="n">
        <v>0</v>
      </c>
      <c r="AD1414" s="182" t="n">
        <v>0</v>
      </c>
      <c r="AE1414" s="182" t="n">
        <v>0</v>
      </c>
      <c r="AF1414" s="182" t="n">
        <v>0</v>
      </c>
      <c r="AG1414" s="182" t="n">
        <v>0</v>
      </c>
      <c r="AH1414" s="182" t="n">
        <v>0</v>
      </c>
      <c r="AI1414" s="182" t="n">
        <v>0</v>
      </c>
      <c r="AJ1414" s="182" t="n">
        <v>0</v>
      </c>
      <c r="AK1414" s="182" t="n">
        <v>0</v>
      </c>
      <c r="AL1414" s="182" t="n">
        <v>0</v>
      </c>
      <c r="AM1414" s="182" t="n">
        <v>0</v>
      </c>
      <c r="AN1414" s="182" t="n">
        <v>0</v>
      </c>
    </row>
    <row r="1415">
      <c r="A1415" s="155" t="n">
        <v>46088</v>
      </c>
      <c r="B1415" s="156" t="inlineStr">
        <is>
          <t>DS</t>
        </is>
      </c>
      <c r="C1415" s="156" t="inlineStr">
        <is>
          <t>DT-509</t>
        </is>
      </c>
      <c r="D1415" s="156" t="inlineStr">
        <is>
          <t>SKT 105S</t>
        </is>
      </c>
      <c r="E1415" s="156" t="inlineStr">
        <is>
          <t>Hauler</t>
        </is>
      </c>
      <c r="F1415" s="156" t="inlineStr"/>
      <c r="G1415" s="182" t="n">
        <v>0</v>
      </c>
      <c r="H1415" s="182" t="n">
        <v>0</v>
      </c>
      <c r="I1415" s="182" t="n">
        <v>12</v>
      </c>
      <c r="J1415" s="182" t="n">
        <v>12</v>
      </c>
      <c r="K1415" s="182" t="n">
        <v>0</v>
      </c>
      <c r="L1415" s="182" t="n">
        <v>12</v>
      </c>
      <c r="M1415" s="182" t="n">
        <v>0</v>
      </c>
      <c r="N1415" s="182" t="n">
        <v>0</v>
      </c>
      <c r="O1415" s="183" t="n">
        <v>0</v>
      </c>
      <c r="P1415" s="183" t="n">
        <v>0</v>
      </c>
      <c r="Q1415" s="184" t="n">
        <v>0</v>
      </c>
      <c r="R1415" s="184" t="n">
        <v>0</v>
      </c>
      <c r="S1415" s="183" t="n">
        <v>0</v>
      </c>
      <c r="T1415" s="183" t="n">
        <v>0</v>
      </c>
      <c r="U1415" s="182" t="n">
        <v>0</v>
      </c>
      <c r="V1415" s="182" t="n">
        <v>0</v>
      </c>
      <c r="W1415" s="182" t="n">
        <v>0</v>
      </c>
      <c r="X1415" s="182" t="n">
        <v>0</v>
      </c>
      <c r="Y1415" s="182" t="n">
        <v>0</v>
      </c>
      <c r="Z1415" s="182" t="n">
        <v>0</v>
      </c>
      <c r="AA1415" s="182" t="n">
        <v>0</v>
      </c>
      <c r="AB1415" s="182" t="n">
        <v>0</v>
      </c>
      <c r="AC1415" s="182" t="n">
        <v>0</v>
      </c>
      <c r="AD1415" s="182" t="n">
        <v>0</v>
      </c>
      <c r="AE1415" s="182" t="n">
        <v>0</v>
      </c>
      <c r="AF1415" s="182" t="n">
        <v>0</v>
      </c>
      <c r="AG1415" s="182" t="n">
        <v>0</v>
      </c>
      <c r="AH1415" s="182" t="n">
        <v>0</v>
      </c>
      <c r="AI1415" s="182" t="n">
        <v>0</v>
      </c>
      <c r="AJ1415" s="182" t="n">
        <v>0</v>
      </c>
      <c r="AK1415" s="182" t="n">
        <v>0</v>
      </c>
      <c r="AL1415" s="182" t="n">
        <v>0</v>
      </c>
      <c r="AM1415" s="182" t="n">
        <v>0</v>
      </c>
      <c r="AN1415" s="182" t="n">
        <v>0</v>
      </c>
    </row>
    <row r="1416">
      <c r="A1416" s="155" t="n">
        <v>46088</v>
      </c>
      <c r="B1416" s="156" t="inlineStr">
        <is>
          <t>DS</t>
        </is>
      </c>
      <c r="C1416" s="156" t="inlineStr">
        <is>
          <t>DT-526</t>
        </is>
      </c>
      <c r="D1416" s="156" t="inlineStr">
        <is>
          <t>SKT 105S</t>
        </is>
      </c>
      <c r="E1416" s="156" t="inlineStr">
        <is>
          <t>Hauler</t>
        </is>
      </c>
      <c r="F1416" s="156" t="inlineStr">
        <is>
          <t>Hauling OB</t>
        </is>
      </c>
      <c r="G1416" s="182" t="n">
        <v>7.69</v>
      </c>
      <c r="H1416" s="182" t="n">
        <v>0</v>
      </c>
      <c r="I1416" s="182" t="n">
        <v>0</v>
      </c>
      <c r="J1416" s="182" t="n">
        <v>0</v>
      </c>
      <c r="K1416" s="182" t="n">
        <v>4.31</v>
      </c>
      <c r="L1416" s="182" t="n">
        <v>12</v>
      </c>
      <c r="M1416" s="182" t="n">
        <v>7.69</v>
      </c>
      <c r="N1416" s="182" t="n">
        <v>0</v>
      </c>
      <c r="O1416" s="183" t="n">
        <v>31</v>
      </c>
      <c r="P1416" s="183" t="n">
        <v>0</v>
      </c>
      <c r="Q1416" s="184" t="n">
        <v>546.9</v>
      </c>
      <c r="R1416" s="184" t="n">
        <v>0</v>
      </c>
      <c r="S1416" s="183" t="n">
        <v>0</v>
      </c>
      <c r="T1416" s="183" t="n">
        <v>0</v>
      </c>
      <c r="U1416" s="182" t="n">
        <v>1.4</v>
      </c>
      <c r="V1416" s="182" t="n">
        <v>1.75</v>
      </c>
      <c r="W1416" s="182" t="n">
        <v>0</v>
      </c>
      <c r="X1416" s="182" t="n">
        <v>1.08</v>
      </c>
      <c r="Y1416" s="182" t="n">
        <v>0</v>
      </c>
      <c r="Z1416" s="182" t="n">
        <v>0</v>
      </c>
      <c r="AA1416" s="182" t="n">
        <v>0</v>
      </c>
      <c r="AB1416" s="182" t="n">
        <v>0</v>
      </c>
      <c r="AC1416" s="182" t="n">
        <v>0</v>
      </c>
      <c r="AD1416" s="182" t="n">
        <v>0</v>
      </c>
      <c r="AE1416" s="182" t="n">
        <v>0</v>
      </c>
      <c r="AF1416" s="182" t="n">
        <v>0</v>
      </c>
      <c r="AG1416" s="182" t="n">
        <v>0</v>
      </c>
      <c r="AH1416" s="182" t="n">
        <v>0</v>
      </c>
      <c r="AI1416" s="182" t="n">
        <v>0</v>
      </c>
      <c r="AJ1416" s="182" t="n">
        <v>0</v>
      </c>
      <c r="AK1416" s="182" t="n">
        <v>0</v>
      </c>
      <c r="AL1416" s="182" t="n">
        <v>0</v>
      </c>
      <c r="AM1416" s="182" t="n">
        <v>0.09</v>
      </c>
      <c r="AN1416" s="182" t="n">
        <v>0</v>
      </c>
    </row>
    <row r="1417">
      <c r="A1417" s="155" t="n">
        <v>46088</v>
      </c>
      <c r="B1417" s="156" t="inlineStr">
        <is>
          <t>DS</t>
        </is>
      </c>
      <c r="C1417" s="156" t="inlineStr">
        <is>
          <t>DT-508</t>
        </is>
      </c>
      <c r="D1417" s="156" t="inlineStr">
        <is>
          <t>SKT 105S</t>
        </is>
      </c>
      <c r="E1417" s="156" t="inlineStr">
        <is>
          <t>Hauler</t>
        </is>
      </c>
      <c r="F1417" s="156" t="inlineStr">
        <is>
          <t>Hauling OB</t>
        </is>
      </c>
      <c r="G1417" s="182" t="n">
        <v>8.630000000000001</v>
      </c>
      <c r="H1417" s="182" t="n">
        <v>0</v>
      </c>
      <c r="I1417" s="182" t="n">
        <v>0</v>
      </c>
      <c r="J1417" s="182" t="n">
        <v>0</v>
      </c>
      <c r="K1417" s="182" t="n">
        <v>3.37</v>
      </c>
      <c r="L1417" s="182" t="n">
        <v>12</v>
      </c>
      <c r="M1417" s="182" t="n">
        <v>8.630000000000001</v>
      </c>
      <c r="N1417" s="182" t="n">
        <v>0</v>
      </c>
      <c r="O1417" s="183" t="n">
        <v>34</v>
      </c>
      <c r="P1417" s="183" t="n">
        <v>0</v>
      </c>
      <c r="Q1417" s="184" t="n">
        <v>598.5</v>
      </c>
      <c r="R1417" s="184" t="n">
        <v>0</v>
      </c>
      <c r="S1417" s="183" t="n">
        <v>0</v>
      </c>
      <c r="T1417" s="183" t="n">
        <v>0</v>
      </c>
      <c r="U1417" s="182" t="n">
        <v>1.29</v>
      </c>
      <c r="V1417" s="182" t="n">
        <v>1.01</v>
      </c>
      <c r="W1417" s="182" t="n">
        <v>0</v>
      </c>
      <c r="X1417" s="182" t="n">
        <v>0.99</v>
      </c>
      <c r="Y1417" s="182" t="n">
        <v>0</v>
      </c>
      <c r="Z1417" s="182" t="n">
        <v>0</v>
      </c>
      <c r="AA1417" s="182" t="n">
        <v>0</v>
      </c>
      <c r="AB1417" s="182" t="n">
        <v>0</v>
      </c>
      <c r="AC1417" s="182" t="n">
        <v>0</v>
      </c>
      <c r="AD1417" s="182" t="n">
        <v>0</v>
      </c>
      <c r="AE1417" s="182" t="n">
        <v>0</v>
      </c>
      <c r="AF1417" s="182" t="n">
        <v>0</v>
      </c>
      <c r="AG1417" s="182" t="n">
        <v>0</v>
      </c>
      <c r="AH1417" s="182" t="n">
        <v>0</v>
      </c>
      <c r="AI1417" s="182" t="n">
        <v>0</v>
      </c>
      <c r="AJ1417" s="182" t="n">
        <v>0</v>
      </c>
      <c r="AK1417" s="182" t="n">
        <v>0</v>
      </c>
      <c r="AL1417" s="182" t="n">
        <v>0</v>
      </c>
      <c r="AM1417" s="182" t="n">
        <v>0.08</v>
      </c>
      <c r="AN1417" s="182" t="n">
        <v>0</v>
      </c>
    </row>
    <row r="1418">
      <c r="A1418" s="155" t="n">
        <v>46088</v>
      </c>
      <c r="B1418" s="156" t="inlineStr">
        <is>
          <t>DS</t>
        </is>
      </c>
      <c r="C1418" s="156" t="inlineStr">
        <is>
          <t>DT-515</t>
        </is>
      </c>
      <c r="D1418" s="156" t="inlineStr">
        <is>
          <t>SKT 105S</t>
        </is>
      </c>
      <c r="E1418" s="156" t="inlineStr">
        <is>
          <t>Hauler</t>
        </is>
      </c>
      <c r="F1418" s="156" t="inlineStr">
        <is>
          <t>Hauling OB</t>
        </is>
      </c>
      <c r="G1418" s="182" t="n">
        <v>8.300000000000001</v>
      </c>
      <c r="H1418" s="182" t="n">
        <v>0</v>
      </c>
      <c r="I1418" s="182" t="n">
        <v>0</v>
      </c>
      <c r="J1418" s="182" t="n">
        <v>0</v>
      </c>
      <c r="K1418" s="182" t="n">
        <v>3.7</v>
      </c>
      <c r="L1418" s="182" t="n">
        <v>12</v>
      </c>
      <c r="M1418" s="182" t="n">
        <v>8.300000000000001</v>
      </c>
      <c r="N1418" s="182" t="n">
        <v>0</v>
      </c>
      <c r="O1418" s="183" t="n">
        <v>35</v>
      </c>
      <c r="P1418" s="183" t="n">
        <v>0</v>
      </c>
      <c r="Q1418" s="184" t="n">
        <v>611.4</v>
      </c>
      <c r="R1418" s="184" t="n">
        <v>0</v>
      </c>
      <c r="S1418" s="183" t="n">
        <v>0</v>
      </c>
      <c r="T1418" s="183" t="n">
        <v>0</v>
      </c>
      <c r="U1418" s="182" t="n">
        <v>1.34</v>
      </c>
      <c r="V1418" s="182" t="n">
        <v>1.25</v>
      </c>
      <c r="W1418" s="182" t="n">
        <v>0</v>
      </c>
      <c r="X1418" s="182" t="n">
        <v>1.03</v>
      </c>
      <c r="Y1418" s="182" t="n">
        <v>0</v>
      </c>
      <c r="Z1418" s="182" t="n">
        <v>0</v>
      </c>
      <c r="AA1418" s="182" t="n">
        <v>0</v>
      </c>
      <c r="AB1418" s="182" t="n">
        <v>0</v>
      </c>
      <c r="AC1418" s="182" t="n">
        <v>0</v>
      </c>
      <c r="AD1418" s="182" t="n">
        <v>0</v>
      </c>
      <c r="AE1418" s="182" t="n">
        <v>0</v>
      </c>
      <c r="AF1418" s="182" t="n">
        <v>0</v>
      </c>
      <c r="AG1418" s="182" t="n">
        <v>0</v>
      </c>
      <c r="AH1418" s="182" t="n">
        <v>0</v>
      </c>
      <c r="AI1418" s="182" t="n">
        <v>0</v>
      </c>
      <c r="AJ1418" s="182" t="n">
        <v>0</v>
      </c>
      <c r="AK1418" s="182" t="n">
        <v>0</v>
      </c>
      <c r="AL1418" s="182" t="n">
        <v>0</v>
      </c>
      <c r="AM1418" s="182" t="n">
        <v>0.08</v>
      </c>
      <c r="AN1418" s="182" t="n">
        <v>0</v>
      </c>
    </row>
    <row r="1419">
      <c r="A1419" s="155" t="n">
        <v>46088</v>
      </c>
      <c r="B1419" s="156" t="inlineStr">
        <is>
          <t>DS</t>
        </is>
      </c>
      <c r="C1419" s="156" t="inlineStr">
        <is>
          <t>DT-524</t>
        </is>
      </c>
      <c r="D1419" s="156" t="inlineStr">
        <is>
          <t>SKT 105S</t>
        </is>
      </c>
      <c r="E1419" s="156" t="inlineStr">
        <is>
          <t>Hauler</t>
        </is>
      </c>
      <c r="F1419" s="156" t="inlineStr">
        <is>
          <t>Hauling OB &amp; Coal</t>
        </is>
      </c>
      <c r="G1419" s="182" t="n">
        <v>6.11</v>
      </c>
      <c r="H1419" s="182" t="n">
        <v>0</v>
      </c>
      <c r="I1419" s="182" t="n">
        <v>0</v>
      </c>
      <c r="J1419" s="182" t="n">
        <v>0</v>
      </c>
      <c r="K1419" s="182" t="n">
        <v>5.89</v>
      </c>
      <c r="L1419" s="182" t="n">
        <v>12</v>
      </c>
      <c r="M1419" s="182" t="n">
        <v>0.57</v>
      </c>
      <c r="N1419" s="182" t="n">
        <v>5.54</v>
      </c>
      <c r="O1419" s="183" t="n">
        <v>4</v>
      </c>
      <c r="P1419" s="183" t="n">
        <v>10</v>
      </c>
      <c r="Q1419" s="184" t="n">
        <v>65.3</v>
      </c>
      <c r="R1419" s="184" t="n">
        <v>187</v>
      </c>
      <c r="S1419" s="183" t="n">
        <v>0</v>
      </c>
      <c r="T1419" s="183" t="n">
        <v>0</v>
      </c>
      <c r="U1419" s="182" t="n">
        <v>1.37</v>
      </c>
      <c r="V1419" s="182" t="n">
        <v>1.05</v>
      </c>
      <c r="W1419" s="182" t="n">
        <v>0</v>
      </c>
      <c r="X1419" s="182" t="n">
        <v>1.05</v>
      </c>
      <c r="Y1419" s="182" t="n">
        <v>0</v>
      </c>
      <c r="Z1419" s="182" t="n">
        <v>0</v>
      </c>
      <c r="AA1419" s="182" t="n">
        <v>0</v>
      </c>
      <c r="AB1419" s="182" t="n">
        <v>0</v>
      </c>
      <c r="AC1419" s="182" t="n">
        <v>0</v>
      </c>
      <c r="AD1419" s="182" t="n">
        <v>0</v>
      </c>
      <c r="AE1419" s="182" t="n">
        <v>0</v>
      </c>
      <c r="AF1419" s="182" t="n">
        <v>0</v>
      </c>
      <c r="AG1419" s="182" t="n">
        <v>0</v>
      </c>
      <c r="AH1419" s="182" t="n">
        <v>0</v>
      </c>
      <c r="AI1419" s="182" t="n">
        <v>0</v>
      </c>
      <c r="AJ1419" s="182" t="n">
        <v>0</v>
      </c>
      <c r="AK1419" s="182" t="n">
        <v>2.33</v>
      </c>
      <c r="AL1419" s="182" t="n">
        <v>0</v>
      </c>
      <c r="AM1419" s="182" t="n">
        <v>0.08</v>
      </c>
      <c r="AN1419" s="182" t="n">
        <v>0</v>
      </c>
    </row>
    <row r="1420">
      <c r="A1420" s="155" t="n">
        <v>46088</v>
      </c>
      <c r="B1420" s="156" t="inlineStr">
        <is>
          <t>DS</t>
        </is>
      </c>
      <c r="C1420" s="156" t="inlineStr">
        <is>
          <t>DT-341</t>
        </is>
      </c>
      <c r="D1420" s="156" t="inlineStr">
        <is>
          <t>SYZ324C-8W</t>
        </is>
      </c>
      <c r="E1420" s="156" t="inlineStr">
        <is>
          <t>Hauler</t>
        </is>
      </c>
      <c r="F1420" s="156" t="inlineStr">
        <is>
          <t>Rehandling Dirty</t>
        </is>
      </c>
      <c r="G1420" s="182" t="n">
        <v>2.24</v>
      </c>
      <c r="H1420" s="182" t="n">
        <v>0</v>
      </c>
      <c r="I1420" s="182" t="n">
        <v>0</v>
      </c>
      <c r="J1420" s="182" t="n">
        <v>0</v>
      </c>
      <c r="K1420" s="182" t="n">
        <v>9.76</v>
      </c>
      <c r="L1420" s="182" t="n">
        <v>12</v>
      </c>
      <c r="M1420" s="182" t="n">
        <v>0</v>
      </c>
      <c r="N1420" s="182" t="n">
        <v>0</v>
      </c>
      <c r="O1420" s="183" t="n">
        <v>0</v>
      </c>
      <c r="P1420" s="183" t="n">
        <v>0</v>
      </c>
      <c r="Q1420" s="184" t="n">
        <v>0</v>
      </c>
      <c r="R1420" s="184" t="n">
        <v>0</v>
      </c>
      <c r="S1420" s="183" t="n">
        <v>0</v>
      </c>
      <c r="T1420" s="183" t="n">
        <v>0</v>
      </c>
      <c r="U1420" s="182" t="n">
        <v>0</v>
      </c>
      <c r="V1420" s="182" t="n">
        <v>0</v>
      </c>
      <c r="W1420" s="182" t="n">
        <v>0</v>
      </c>
      <c r="X1420" s="182" t="n">
        <v>1.01</v>
      </c>
      <c r="Y1420" s="182" t="n">
        <v>0</v>
      </c>
      <c r="Z1420" s="182" t="n">
        <v>0</v>
      </c>
      <c r="AA1420" s="182" t="n">
        <v>0</v>
      </c>
      <c r="AB1420" s="182" t="n">
        <v>0</v>
      </c>
      <c r="AC1420" s="182" t="n">
        <v>0</v>
      </c>
      <c r="AD1420" s="182" t="n">
        <v>0</v>
      </c>
      <c r="AE1420" s="182" t="n">
        <v>0</v>
      </c>
      <c r="AF1420" s="182" t="n">
        <v>0</v>
      </c>
      <c r="AG1420" s="182" t="n">
        <v>0</v>
      </c>
      <c r="AH1420" s="182" t="n">
        <v>0</v>
      </c>
      <c r="AI1420" s="182" t="n">
        <v>0</v>
      </c>
      <c r="AJ1420" s="182" t="n">
        <v>0</v>
      </c>
      <c r="AK1420" s="182" t="n">
        <v>8.67</v>
      </c>
      <c r="AL1420" s="182" t="n">
        <v>0</v>
      </c>
      <c r="AM1420" s="182" t="n">
        <v>0.08</v>
      </c>
      <c r="AN1420" s="182" t="n">
        <v>0</v>
      </c>
    </row>
    <row r="1421">
      <c r="A1421" s="155" t="n">
        <v>46088</v>
      </c>
      <c r="B1421" s="156" t="inlineStr">
        <is>
          <t>DS</t>
        </is>
      </c>
      <c r="C1421" s="156" t="inlineStr">
        <is>
          <t>DT-342</t>
        </is>
      </c>
      <c r="D1421" s="156" t="inlineStr">
        <is>
          <t>SYZ324C-8W</t>
        </is>
      </c>
      <c r="E1421" s="156" t="inlineStr">
        <is>
          <t>Hauler</t>
        </is>
      </c>
      <c r="F1421" s="156" t="inlineStr">
        <is>
          <t>Rehandling Dirty</t>
        </is>
      </c>
      <c r="G1421" s="182" t="n">
        <v>2</v>
      </c>
      <c r="H1421" s="182" t="n">
        <v>0</v>
      </c>
      <c r="I1421" s="182" t="n">
        <v>0</v>
      </c>
      <c r="J1421" s="182" t="n">
        <v>0</v>
      </c>
      <c r="K1421" s="182" t="n">
        <v>10</v>
      </c>
      <c r="L1421" s="182" t="n">
        <v>12</v>
      </c>
      <c r="M1421" s="182" t="n">
        <v>0</v>
      </c>
      <c r="N1421" s="182" t="n">
        <v>0</v>
      </c>
      <c r="O1421" s="183" t="n">
        <v>0</v>
      </c>
      <c r="P1421" s="183" t="n">
        <v>0</v>
      </c>
      <c r="Q1421" s="184" t="n">
        <v>0</v>
      </c>
      <c r="R1421" s="184" t="n">
        <v>0</v>
      </c>
      <c r="S1421" s="183" t="n">
        <v>0</v>
      </c>
      <c r="T1421" s="183" t="n">
        <v>0</v>
      </c>
      <c r="U1421" s="182" t="n">
        <v>0</v>
      </c>
      <c r="V1421" s="182" t="n">
        <v>0</v>
      </c>
      <c r="W1421" s="182" t="n">
        <v>0</v>
      </c>
      <c r="X1421" s="182" t="n">
        <v>1.05</v>
      </c>
      <c r="Y1421" s="182" t="n">
        <v>0</v>
      </c>
      <c r="Z1421" s="182" t="n">
        <v>0</v>
      </c>
      <c r="AA1421" s="182" t="n">
        <v>0</v>
      </c>
      <c r="AB1421" s="182" t="n">
        <v>0</v>
      </c>
      <c r="AC1421" s="182" t="n">
        <v>0</v>
      </c>
      <c r="AD1421" s="182" t="n">
        <v>0</v>
      </c>
      <c r="AE1421" s="182" t="n">
        <v>0</v>
      </c>
      <c r="AF1421" s="182" t="n">
        <v>0</v>
      </c>
      <c r="AG1421" s="182" t="n">
        <v>0</v>
      </c>
      <c r="AH1421" s="182" t="n">
        <v>0</v>
      </c>
      <c r="AI1421" s="182" t="n">
        <v>0</v>
      </c>
      <c r="AJ1421" s="182" t="n">
        <v>0</v>
      </c>
      <c r="AK1421" s="182" t="n">
        <v>8.859999999999999</v>
      </c>
      <c r="AL1421" s="182" t="n">
        <v>0</v>
      </c>
      <c r="AM1421" s="182" t="n">
        <v>0.08</v>
      </c>
      <c r="AN1421" s="182" t="n">
        <v>0</v>
      </c>
    </row>
    <row r="1422">
      <c r="A1422" s="155" t="n">
        <v>46088</v>
      </c>
      <c r="B1422" s="156" t="inlineStr">
        <is>
          <t>DS</t>
        </is>
      </c>
      <c r="C1422" s="156" t="inlineStr">
        <is>
          <t>HD-903</t>
        </is>
      </c>
      <c r="D1422" s="156" t="inlineStr">
        <is>
          <t>SRT 95C</t>
        </is>
      </c>
      <c r="E1422" s="156" t="inlineStr">
        <is>
          <t>Hauler</t>
        </is>
      </c>
      <c r="F1422" s="156" t="inlineStr"/>
      <c r="G1422" s="182" t="n">
        <v>0</v>
      </c>
      <c r="H1422" s="182" t="n">
        <v>0</v>
      </c>
      <c r="I1422" s="182" t="n">
        <v>0</v>
      </c>
      <c r="J1422" s="182" t="n">
        <v>0</v>
      </c>
      <c r="K1422" s="182" t="n">
        <v>12</v>
      </c>
      <c r="L1422" s="182" t="n">
        <v>12</v>
      </c>
      <c r="M1422" s="182" t="n">
        <v>0</v>
      </c>
      <c r="N1422" s="182" t="n">
        <v>0</v>
      </c>
      <c r="O1422" s="183" t="n">
        <v>0</v>
      </c>
      <c r="P1422" s="183" t="n">
        <v>0</v>
      </c>
      <c r="Q1422" s="184" t="n">
        <v>0</v>
      </c>
      <c r="R1422" s="184" t="n">
        <v>0</v>
      </c>
      <c r="S1422" s="183" t="n">
        <v>0</v>
      </c>
      <c r="T1422" s="183" t="n">
        <v>0</v>
      </c>
      <c r="U1422" s="182" t="n">
        <v>0</v>
      </c>
      <c r="V1422" s="182" t="n">
        <v>0</v>
      </c>
      <c r="W1422" s="182" t="n">
        <v>0</v>
      </c>
      <c r="X1422" s="182" t="n">
        <v>1</v>
      </c>
      <c r="Y1422" s="182" t="n">
        <v>0</v>
      </c>
      <c r="Z1422" s="182" t="n">
        <v>0</v>
      </c>
      <c r="AA1422" s="182" t="n">
        <v>0</v>
      </c>
      <c r="AB1422" s="182" t="n">
        <v>0</v>
      </c>
      <c r="AC1422" s="182" t="n">
        <v>0</v>
      </c>
      <c r="AD1422" s="182" t="n">
        <v>0</v>
      </c>
      <c r="AE1422" s="182" t="n">
        <v>10.92</v>
      </c>
      <c r="AF1422" s="182" t="n">
        <v>0</v>
      </c>
      <c r="AG1422" s="182" t="n">
        <v>0</v>
      </c>
      <c r="AH1422" s="182" t="n">
        <v>0</v>
      </c>
      <c r="AI1422" s="182" t="n">
        <v>0</v>
      </c>
      <c r="AJ1422" s="182" t="n">
        <v>0</v>
      </c>
      <c r="AK1422" s="182" t="n">
        <v>0</v>
      </c>
      <c r="AL1422" s="182" t="n">
        <v>0</v>
      </c>
      <c r="AM1422" s="182" t="n">
        <v>0.08</v>
      </c>
      <c r="AN1422" s="182" t="n">
        <v>0</v>
      </c>
    </row>
    <row r="1423">
      <c r="A1423" s="155" t="n">
        <v>46088</v>
      </c>
      <c r="B1423" s="156" t="inlineStr">
        <is>
          <t>DS</t>
        </is>
      </c>
      <c r="C1423" s="156" t="inlineStr">
        <is>
          <t>HD-905</t>
        </is>
      </c>
      <c r="D1423" s="156" t="inlineStr">
        <is>
          <t>SRT 95C</t>
        </is>
      </c>
      <c r="E1423" s="156" t="inlineStr">
        <is>
          <t>Hauler</t>
        </is>
      </c>
      <c r="F1423" s="156" t="inlineStr">
        <is>
          <t>Hauling OB</t>
        </is>
      </c>
      <c r="G1423" s="182" t="n">
        <v>7.12</v>
      </c>
      <c r="H1423" s="182" t="n">
        <v>0</v>
      </c>
      <c r="I1423" s="182" t="n">
        <v>0</v>
      </c>
      <c r="J1423" s="182" t="n">
        <v>0</v>
      </c>
      <c r="K1423" s="182" t="n">
        <v>4.88</v>
      </c>
      <c r="L1423" s="182" t="n">
        <v>12</v>
      </c>
      <c r="M1423" s="182" t="n">
        <v>7.12</v>
      </c>
      <c r="N1423" s="182" t="n">
        <v>0</v>
      </c>
      <c r="O1423" s="183" t="n">
        <v>26</v>
      </c>
      <c r="P1423" s="183" t="n">
        <v>0</v>
      </c>
      <c r="Q1423" s="184" t="n">
        <v>928.2</v>
      </c>
      <c r="R1423" s="184" t="n">
        <v>0</v>
      </c>
      <c r="S1423" s="183" t="n">
        <v>0</v>
      </c>
      <c r="T1423" s="183" t="n">
        <v>0</v>
      </c>
      <c r="U1423" s="182" t="n">
        <v>1.27</v>
      </c>
      <c r="V1423" s="182" t="n">
        <v>0.12</v>
      </c>
      <c r="W1423" s="182" t="n">
        <v>0</v>
      </c>
      <c r="X1423" s="182" t="n">
        <v>0.98</v>
      </c>
      <c r="Y1423" s="182" t="n">
        <v>0</v>
      </c>
      <c r="Z1423" s="182" t="n">
        <v>0</v>
      </c>
      <c r="AA1423" s="182" t="n">
        <v>0</v>
      </c>
      <c r="AB1423" s="182" t="n">
        <v>0</v>
      </c>
      <c r="AC1423" s="182" t="n">
        <v>0</v>
      </c>
      <c r="AD1423" s="182" t="n">
        <v>0</v>
      </c>
      <c r="AE1423" s="182" t="n">
        <v>0</v>
      </c>
      <c r="AF1423" s="182" t="n">
        <v>0</v>
      </c>
      <c r="AG1423" s="182" t="n">
        <v>0</v>
      </c>
      <c r="AH1423" s="182" t="n">
        <v>0</v>
      </c>
      <c r="AI1423" s="182" t="n">
        <v>2.44</v>
      </c>
      <c r="AJ1423" s="182" t="n">
        <v>0</v>
      </c>
      <c r="AK1423" s="182" t="n">
        <v>0</v>
      </c>
      <c r="AL1423" s="182" t="n">
        <v>0</v>
      </c>
      <c r="AM1423" s="182" t="n">
        <v>0.08</v>
      </c>
      <c r="AN1423" s="182" t="n">
        <v>0</v>
      </c>
    </row>
    <row r="1424">
      <c r="A1424" s="155" t="n">
        <v>46088</v>
      </c>
      <c r="B1424" s="156" t="inlineStr">
        <is>
          <t>DS</t>
        </is>
      </c>
      <c r="C1424" s="156" t="inlineStr">
        <is>
          <t>HD-901</t>
        </is>
      </c>
      <c r="D1424" s="156" t="inlineStr">
        <is>
          <t>SRT 95C</t>
        </is>
      </c>
      <c r="E1424" s="156" t="inlineStr">
        <is>
          <t>Hauler</t>
        </is>
      </c>
      <c r="F1424" s="156" t="inlineStr">
        <is>
          <t>Hauling OB</t>
        </is>
      </c>
      <c r="G1424" s="182" t="n">
        <v>5.35</v>
      </c>
      <c r="H1424" s="182" t="n">
        <v>0</v>
      </c>
      <c r="I1424" s="182" t="n">
        <v>0</v>
      </c>
      <c r="J1424" s="182" t="n">
        <v>0</v>
      </c>
      <c r="K1424" s="182" t="n">
        <v>6.65</v>
      </c>
      <c r="L1424" s="182" t="n">
        <v>12</v>
      </c>
      <c r="M1424" s="182" t="n">
        <v>5.35</v>
      </c>
      <c r="N1424" s="182" t="n">
        <v>0</v>
      </c>
      <c r="O1424" s="183" t="n">
        <v>30</v>
      </c>
      <c r="P1424" s="183" t="n">
        <v>0</v>
      </c>
      <c r="Q1424" s="184" t="n">
        <v>1071</v>
      </c>
      <c r="R1424" s="184" t="n">
        <v>0</v>
      </c>
      <c r="S1424" s="183" t="n">
        <v>0</v>
      </c>
      <c r="T1424" s="183" t="n">
        <v>0</v>
      </c>
      <c r="U1424" s="182" t="n">
        <v>1.37</v>
      </c>
      <c r="V1424" s="182" t="n">
        <v>1.5</v>
      </c>
      <c r="W1424" s="182" t="n">
        <v>0</v>
      </c>
      <c r="X1424" s="182" t="n">
        <v>1.06</v>
      </c>
      <c r="Y1424" s="182" t="n">
        <v>0</v>
      </c>
      <c r="Z1424" s="182" t="n">
        <v>0</v>
      </c>
      <c r="AA1424" s="182" t="n">
        <v>0</v>
      </c>
      <c r="AB1424" s="182" t="n">
        <v>0</v>
      </c>
      <c r="AC1424" s="182" t="n">
        <v>0</v>
      </c>
      <c r="AD1424" s="182" t="n">
        <v>0</v>
      </c>
      <c r="AE1424" s="182" t="n">
        <v>0</v>
      </c>
      <c r="AF1424" s="182" t="n">
        <v>0</v>
      </c>
      <c r="AG1424" s="182" t="n">
        <v>0</v>
      </c>
      <c r="AH1424" s="182" t="n">
        <v>0</v>
      </c>
      <c r="AI1424" s="182" t="n">
        <v>2.64</v>
      </c>
      <c r="AJ1424" s="182" t="n">
        <v>0</v>
      </c>
      <c r="AK1424" s="182" t="n">
        <v>0</v>
      </c>
      <c r="AL1424" s="182" t="n">
        <v>0</v>
      </c>
      <c r="AM1424" s="182" t="n">
        <v>0.08</v>
      </c>
      <c r="AN1424" s="182" t="n">
        <v>0</v>
      </c>
    </row>
    <row r="1425">
      <c r="A1425" s="155" t="n">
        <v>46088</v>
      </c>
      <c r="B1425" s="156" t="inlineStr">
        <is>
          <t>DS</t>
        </is>
      </c>
      <c r="C1425" s="156" t="inlineStr">
        <is>
          <t>HD-904</t>
        </is>
      </c>
      <c r="D1425" s="156" t="inlineStr">
        <is>
          <t>SRT 95C</t>
        </is>
      </c>
      <c r="E1425" s="156" t="inlineStr">
        <is>
          <t>Hauler</t>
        </is>
      </c>
      <c r="F1425" s="156" t="inlineStr">
        <is>
          <t>Hauling OB</t>
        </is>
      </c>
      <c r="G1425" s="182" t="n">
        <v>5.69</v>
      </c>
      <c r="H1425" s="182" t="n">
        <v>0</v>
      </c>
      <c r="I1425" s="182" t="n">
        <v>0</v>
      </c>
      <c r="J1425" s="182" t="n">
        <v>0</v>
      </c>
      <c r="K1425" s="182" t="n">
        <v>6.31</v>
      </c>
      <c r="L1425" s="182" t="n">
        <v>12</v>
      </c>
      <c r="M1425" s="182" t="n">
        <v>5.69</v>
      </c>
      <c r="N1425" s="182" t="n">
        <v>0</v>
      </c>
      <c r="O1425" s="183" t="n">
        <v>26</v>
      </c>
      <c r="P1425" s="183" t="n">
        <v>0</v>
      </c>
      <c r="Q1425" s="184" t="n">
        <v>928.2</v>
      </c>
      <c r="R1425" s="184" t="n">
        <v>0</v>
      </c>
      <c r="S1425" s="183" t="n">
        <v>0</v>
      </c>
      <c r="T1425" s="183" t="n">
        <v>0</v>
      </c>
      <c r="U1425" s="182" t="n">
        <v>1.32</v>
      </c>
      <c r="V1425" s="182" t="n">
        <v>1.34</v>
      </c>
      <c r="W1425" s="182" t="n">
        <v>0</v>
      </c>
      <c r="X1425" s="182" t="n">
        <v>1.02</v>
      </c>
      <c r="Y1425" s="182" t="n">
        <v>0</v>
      </c>
      <c r="Z1425" s="182" t="n">
        <v>0</v>
      </c>
      <c r="AA1425" s="182" t="n">
        <v>0</v>
      </c>
      <c r="AB1425" s="182" t="n">
        <v>0</v>
      </c>
      <c r="AC1425" s="182" t="n">
        <v>0</v>
      </c>
      <c r="AD1425" s="182" t="n">
        <v>0</v>
      </c>
      <c r="AE1425" s="182" t="n">
        <v>0</v>
      </c>
      <c r="AF1425" s="182" t="n">
        <v>0</v>
      </c>
      <c r="AG1425" s="182" t="n">
        <v>0</v>
      </c>
      <c r="AH1425" s="182" t="n">
        <v>0</v>
      </c>
      <c r="AI1425" s="182" t="n">
        <v>2.54</v>
      </c>
      <c r="AJ1425" s="182" t="n">
        <v>0</v>
      </c>
      <c r="AK1425" s="182" t="n">
        <v>0</v>
      </c>
      <c r="AL1425" s="182" t="n">
        <v>0</v>
      </c>
      <c r="AM1425" s="182" t="n">
        <v>0.08</v>
      </c>
      <c r="AN1425" s="182" t="n">
        <v>0</v>
      </c>
    </row>
    <row r="1426">
      <c r="A1426" s="155" t="n">
        <v>46088</v>
      </c>
      <c r="B1426" s="156" t="inlineStr">
        <is>
          <t>DS</t>
        </is>
      </c>
      <c r="C1426" s="156" t="inlineStr">
        <is>
          <t>HD-902</t>
        </is>
      </c>
      <c r="D1426" s="156" t="inlineStr">
        <is>
          <t>SRT 95C</t>
        </is>
      </c>
      <c r="E1426" s="156" t="inlineStr">
        <is>
          <t>Hauler</t>
        </is>
      </c>
      <c r="F1426" s="156" t="inlineStr">
        <is>
          <t>Hauling OB</t>
        </is>
      </c>
      <c r="G1426" s="182" t="n">
        <v>6.12</v>
      </c>
      <c r="H1426" s="182" t="n">
        <v>0</v>
      </c>
      <c r="I1426" s="182" t="n">
        <v>0</v>
      </c>
      <c r="J1426" s="182" t="n">
        <v>0</v>
      </c>
      <c r="K1426" s="182" t="n">
        <v>5.88</v>
      </c>
      <c r="L1426" s="182" t="n">
        <v>12</v>
      </c>
      <c r="M1426" s="182" t="n">
        <v>6.12</v>
      </c>
      <c r="N1426" s="182" t="n">
        <v>0</v>
      </c>
      <c r="O1426" s="183" t="n">
        <v>27</v>
      </c>
      <c r="P1426" s="183" t="n">
        <v>0</v>
      </c>
      <c r="Q1426" s="184" t="n">
        <v>963.9</v>
      </c>
      <c r="R1426" s="184" t="n">
        <v>0</v>
      </c>
      <c r="S1426" s="183" t="n">
        <v>0</v>
      </c>
      <c r="T1426" s="183" t="n">
        <v>0</v>
      </c>
      <c r="U1426" s="182" t="n">
        <v>1.34</v>
      </c>
      <c r="V1426" s="182" t="n">
        <v>0.85</v>
      </c>
      <c r="W1426" s="182" t="n">
        <v>0</v>
      </c>
      <c r="X1426" s="182" t="n">
        <v>1.03</v>
      </c>
      <c r="Y1426" s="182" t="n">
        <v>0</v>
      </c>
      <c r="Z1426" s="182" t="n">
        <v>0</v>
      </c>
      <c r="AA1426" s="182" t="n">
        <v>0</v>
      </c>
      <c r="AB1426" s="182" t="n">
        <v>0</v>
      </c>
      <c r="AC1426" s="182" t="n">
        <v>0</v>
      </c>
      <c r="AD1426" s="182" t="n">
        <v>0</v>
      </c>
      <c r="AE1426" s="182" t="n">
        <v>0</v>
      </c>
      <c r="AF1426" s="182" t="n">
        <v>0</v>
      </c>
      <c r="AG1426" s="182" t="n">
        <v>0</v>
      </c>
      <c r="AH1426" s="182" t="n">
        <v>0</v>
      </c>
      <c r="AI1426" s="182" t="n">
        <v>2.58</v>
      </c>
      <c r="AJ1426" s="182" t="n">
        <v>0</v>
      </c>
      <c r="AK1426" s="182" t="n">
        <v>0</v>
      </c>
      <c r="AL1426" s="182" t="n">
        <v>0</v>
      </c>
      <c r="AM1426" s="182" t="n">
        <v>0.08</v>
      </c>
      <c r="AN1426" s="182" t="n">
        <v>0</v>
      </c>
    </row>
    <row r="1427">
      <c r="A1427" s="155" t="n">
        <v>46088</v>
      </c>
      <c r="B1427" s="156" t="inlineStr">
        <is>
          <t>DS</t>
        </is>
      </c>
      <c r="C1427" s="156" t="inlineStr">
        <is>
          <t>WL-025</t>
        </is>
      </c>
      <c r="D1427" s="156" t="inlineStr">
        <is>
          <t>SANY - Loader</t>
        </is>
      </c>
      <c r="E1427" s="156" t="inlineStr">
        <is>
          <t>Loader</t>
        </is>
      </c>
      <c r="F1427" s="156" t="inlineStr">
        <is>
          <t>General Jetty</t>
        </is>
      </c>
      <c r="G1427" s="182" t="n">
        <v>7.87</v>
      </c>
      <c r="H1427" s="182" t="n">
        <v>0</v>
      </c>
      <c r="I1427" s="182" t="n">
        <v>0</v>
      </c>
      <c r="J1427" s="182" t="n">
        <v>0</v>
      </c>
      <c r="K1427" s="182" t="n">
        <v>4.13</v>
      </c>
      <c r="L1427" s="182" t="n">
        <v>12</v>
      </c>
      <c r="M1427" s="182" t="n">
        <v>0</v>
      </c>
      <c r="N1427" s="182" t="n">
        <v>0</v>
      </c>
      <c r="O1427" s="183" t="n">
        <v>0</v>
      </c>
      <c r="P1427" s="183" t="n">
        <v>0</v>
      </c>
      <c r="Q1427" s="184" t="n">
        <v>0</v>
      </c>
      <c r="R1427" s="184" t="n">
        <v>0</v>
      </c>
      <c r="S1427" s="183" t="n">
        <v>0</v>
      </c>
      <c r="T1427" s="183" t="n">
        <v>0</v>
      </c>
      <c r="U1427" s="182" t="n">
        <v>0</v>
      </c>
      <c r="V1427" s="182" t="n">
        <v>0</v>
      </c>
      <c r="W1427" s="182" t="n">
        <v>0</v>
      </c>
      <c r="X1427" s="182" t="n">
        <v>1.03</v>
      </c>
      <c r="Y1427" s="182" t="n">
        <v>0</v>
      </c>
      <c r="Z1427" s="182" t="n">
        <v>0</v>
      </c>
      <c r="AA1427" s="182" t="n">
        <v>0</v>
      </c>
      <c r="AB1427" s="182" t="n">
        <v>0</v>
      </c>
      <c r="AC1427" s="182" t="n">
        <v>0</v>
      </c>
      <c r="AD1427" s="182" t="n">
        <v>0</v>
      </c>
      <c r="AE1427" s="182" t="n">
        <v>0</v>
      </c>
      <c r="AF1427" s="182" t="n">
        <v>0</v>
      </c>
      <c r="AG1427" s="182" t="n">
        <v>0</v>
      </c>
      <c r="AH1427" s="182" t="n">
        <v>0</v>
      </c>
      <c r="AI1427" s="182" t="n">
        <v>0</v>
      </c>
      <c r="AJ1427" s="182" t="n">
        <v>0</v>
      </c>
      <c r="AK1427" s="182" t="n">
        <v>3.01</v>
      </c>
      <c r="AL1427" s="182" t="n">
        <v>0</v>
      </c>
      <c r="AM1427" s="182" t="n">
        <v>0.08</v>
      </c>
      <c r="AN1427" s="182" t="n">
        <v>0</v>
      </c>
    </row>
    <row r="1428">
      <c r="A1428" s="155" t="n">
        <v>46088</v>
      </c>
      <c r="B1428" s="156" t="inlineStr">
        <is>
          <t>DS</t>
        </is>
      </c>
      <c r="C1428" s="156" t="inlineStr">
        <is>
          <t>WL-023</t>
        </is>
      </c>
      <c r="D1428" s="156" t="inlineStr">
        <is>
          <t>SANY - Loader</t>
        </is>
      </c>
      <c r="E1428" s="156" t="inlineStr">
        <is>
          <t>Loader</t>
        </is>
      </c>
      <c r="F1428" s="156" t="inlineStr"/>
      <c r="G1428" s="182" t="n">
        <v>0</v>
      </c>
      <c r="H1428" s="182" t="n">
        <v>0</v>
      </c>
      <c r="I1428" s="182" t="n">
        <v>0</v>
      </c>
      <c r="J1428" s="182" t="n">
        <v>0</v>
      </c>
      <c r="K1428" s="182" t="n">
        <v>12</v>
      </c>
      <c r="L1428" s="182" t="n">
        <v>12</v>
      </c>
      <c r="M1428" s="182" t="n">
        <v>0</v>
      </c>
      <c r="N1428" s="182" t="n">
        <v>0</v>
      </c>
      <c r="O1428" s="183" t="n">
        <v>0</v>
      </c>
      <c r="P1428" s="183" t="n">
        <v>0</v>
      </c>
      <c r="Q1428" s="184" t="n">
        <v>0</v>
      </c>
      <c r="R1428" s="184" t="n">
        <v>0</v>
      </c>
      <c r="S1428" s="183" t="n">
        <v>0</v>
      </c>
      <c r="T1428" s="183" t="n">
        <v>0</v>
      </c>
      <c r="U1428" s="182" t="n">
        <v>0</v>
      </c>
      <c r="V1428" s="182" t="n">
        <v>0</v>
      </c>
      <c r="W1428" s="182" t="n">
        <v>0</v>
      </c>
      <c r="X1428" s="182" t="n">
        <v>1</v>
      </c>
      <c r="Y1428" s="182" t="n">
        <v>0</v>
      </c>
      <c r="Z1428" s="182" t="n">
        <v>0</v>
      </c>
      <c r="AA1428" s="182" t="n">
        <v>0</v>
      </c>
      <c r="AB1428" s="182" t="n">
        <v>0</v>
      </c>
      <c r="AC1428" s="182" t="n">
        <v>0</v>
      </c>
      <c r="AD1428" s="182" t="n">
        <v>0</v>
      </c>
      <c r="AE1428" s="182" t="n">
        <v>0</v>
      </c>
      <c r="AF1428" s="182" t="n">
        <v>0</v>
      </c>
      <c r="AG1428" s="182" t="n">
        <v>0</v>
      </c>
      <c r="AH1428" s="182" t="n">
        <v>0</v>
      </c>
      <c r="AI1428" s="182" t="n">
        <v>0</v>
      </c>
      <c r="AJ1428" s="182" t="n">
        <v>0</v>
      </c>
      <c r="AK1428" s="182" t="n">
        <v>10.92</v>
      </c>
      <c r="AL1428" s="182" t="n">
        <v>0</v>
      </c>
      <c r="AM1428" s="182" t="n">
        <v>0.08</v>
      </c>
      <c r="AN1428" s="182" t="n">
        <v>0</v>
      </c>
    </row>
    <row r="1429">
      <c r="A1429" s="155" t="n">
        <v>46088</v>
      </c>
      <c r="B1429" s="156" t="inlineStr">
        <is>
          <t>DS</t>
        </is>
      </c>
      <c r="C1429" s="156" t="inlineStr">
        <is>
          <t>WL-021</t>
        </is>
      </c>
      <c r="D1429" s="156" t="inlineStr">
        <is>
          <t>SANY - Loader</t>
        </is>
      </c>
      <c r="E1429" s="156" t="inlineStr">
        <is>
          <t>Loader</t>
        </is>
      </c>
      <c r="F1429" s="156" t="inlineStr"/>
      <c r="G1429" s="182" t="n">
        <v>0</v>
      </c>
      <c r="H1429" s="182" t="n">
        <v>0</v>
      </c>
      <c r="I1429" s="182" t="n">
        <v>12</v>
      </c>
      <c r="J1429" s="182" t="n">
        <v>12</v>
      </c>
      <c r="K1429" s="182" t="n">
        <v>0</v>
      </c>
      <c r="L1429" s="182" t="n">
        <v>12</v>
      </c>
      <c r="M1429" s="182" t="n">
        <v>0</v>
      </c>
      <c r="N1429" s="182" t="n">
        <v>0</v>
      </c>
      <c r="O1429" s="183" t="n">
        <v>0</v>
      </c>
      <c r="P1429" s="183" t="n">
        <v>0</v>
      </c>
      <c r="Q1429" s="184" t="n">
        <v>0</v>
      </c>
      <c r="R1429" s="184" t="n">
        <v>0</v>
      </c>
      <c r="S1429" s="183" t="n">
        <v>0</v>
      </c>
      <c r="T1429" s="183" t="n">
        <v>0</v>
      </c>
      <c r="U1429" s="182" t="n">
        <v>0</v>
      </c>
      <c r="V1429" s="182" t="n">
        <v>0</v>
      </c>
      <c r="W1429" s="182" t="n">
        <v>0</v>
      </c>
      <c r="X1429" s="182" t="n">
        <v>0</v>
      </c>
      <c r="Y1429" s="182" t="n">
        <v>0</v>
      </c>
      <c r="Z1429" s="182" t="n">
        <v>0</v>
      </c>
      <c r="AA1429" s="182" t="n">
        <v>0</v>
      </c>
      <c r="AB1429" s="182" t="n">
        <v>0</v>
      </c>
      <c r="AC1429" s="182" t="n">
        <v>0</v>
      </c>
      <c r="AD1429" s="182" t="n">
        <v>0</v>
      </c>
      <c r="AE1429" s="182" t="n">
        <v>0</v>
      </c>
      <c r="AF1429" s="182" t="n">
        <v>0</v>
      </c>
      <c r="AG1429" s="182" t="n">
        <v>0</v>
      </c>
      <c r="AH1429" s="182" t="n">
        <v>0</v>
      </c>
      <c r="AI1429" s="182" t="n">
        <v>0</v>
      </c>
      <c r="AJ1429" s="182" t="n">
        <v>0</v>
      </c>
      <c r="AK1429" s="182" t="n">
        <v>0</v>
      </c>
      <c r="AL1429" s="182" t="n">
        <v>0</v>
      </c>
      <c r="AM1429" s="182" t="n">
        <v>0</v>
      </c>
      <c r="AN1429" s="182" t="n">
        <v>0</v>
      </c>
    </row>
    <row r="1430">
      <c r="A1430" s="155" t="n">
        <v>46088</v>
      </c>
      <c r="B1430" s="156" t="inlineStr">
        <is>
          <t>DS</t>
        </is>
      </c>
      <c r="C1430" s="156" t="inlineStr">
        <is>
          <t>WL-022</t>
        </is>
      </c>
      <c r="D1430" s="156" t="inlineStr">
        <is>
          <t>SANY - Loader</t>
        </is>
      </c>
      <c r="E1430" s="156" t="inlineStr">
        <is>
          <t>Loader</t>
        </is>
      </c>
      <c r="F1430" s="156" t="inlineStr">
        <is>
          <t>Timesheet Kosong</t>
        </is>
      </c>
      <c r="G1430" s="182" t="n">
        <v>2.47</v>
      </c>
      <c r="H1430" s="182" t="n">
        <v>0</v>
      </c>
      <c r="I1430" s="182" t="n">
        <v>0</v>
      </c>
      <c r="J1430" s="182" t="n">
        <v>0</v>
      </c>
      <c r="K1430" s="182" t="n">
        <v>9.529999999999999</v>
      </c>
      <c r="L1430" s="182" t="n">
        <v>12</v>
      </c>
      <c r="M1430" s="182" t="n">
        <v>0</v>
      </c>
      <c r="N1430" s="182" t="n">
        <v>0</v>
      </c>
      <c r="O1430" s="183" t="n">
        <v>0</v>
      </c>
      <c r="P1430" s="183" t="n">
        <v>0</v>
      </c>
      <c r="Q1430" s="184" t="n">
        <v>0</v>
      </c>
      <c r="R1430" s="184" t="n">
        <v>0</v>
      </c>
      <c r="S1430" s="183" t="n">
        <v>0</v>
      </c>
      <c r="T1430" s="183" t="n">
        <v>0</v>
      </c>
      <c r="U1430" s="182" t="n">
        <v>0</v>
      </c>
      <c r="V1430" s="182" t="n">
        <v>0</v>
      </c>
      <c r="W1430" s="182" t="n">
        <v>0</v>
      </c>
      <c r="X1430" s="182" t="n">
        <v>0.97</v>
      </c>
      <c r="Y1430" s="182" t="n">
        <v>0</v>
      </c>
      <c r="Z1430" s="182" t="n">
        <v>0</v>
      </c>
      <c r="AA1430" s="182" t="n">
        <v>0</v>
      </c>
      <c r="AB1430" s="182" t="n">
        <v>0</v>
      </c>
      <c r="AC1430" s="182" t="n">
        <v>0</v>
      </c>
      <c r="AD1430" s="182" t="n">
        <v>0</v>
      </c>
      <c r="AE1430" s="182" t="n">
        <v>0</v>
      </c>
      <c r="AF1430" s="182" t="n">
        <v>0</v>
      </c>
      <c r="AG1430" s="182" t="n">
        <v>0</v>
      </c>
      <c r="AH1430" s="182" t="n">
        <v>0</v>
      </c>
      <c r="AI1430" s="182" t="n">
        <v>0</v>
      </c>
      <c r="AJ1430" s="182" t="n">
        <v>0</v>
      </c>
      <c r="AK1430" s="182" t="n">
        <v>8.48</v>
      </c>
      <c r="AL1430" s="182" t="n">
        <v>0</v>
      </c>
      <c r="AM1430" s="182" t="n">
        <v>0.08</v>
      </c>
      <c r="AN1430" s="182" t="n">
        <v>0</v>
      </c>
    </row>
    <row r="1431">
      <c r="A1431" s="155" t="n">
        <v>46088</v>
      </c>
      <c r="B1431" s="156" t="inlineStr">
        <is>
          <t>DS</t>
        </is>
      </c>
      <c r="C1431" s="156" t="inlineStr">
        <is>
          <t>WL-024</t>
        </is>
      </c>
      <c r="D1431" s="156" t="inlineStr">
        <is>
          <t>SANY - Loader</t>
        </is>
      </c>
      <c r="E1431" s="156" t="inlineStr">
        <is>
          <t>Loader</t>
        </is>
      </c>
      <c r="F1431" s="156" t="inlineStr">
        <is>
          <t>Produksi Washing Plant</t>
        </is>
      </c>
      <c r="G1431" s="182" t="n">
        <v>11.26</v>
      </c>
      <c r="H1431" s="182" t="n">
        <v>0</v>
      </c>
      <c r="I1431" s="182" t="n">
        <v>0</v>
      </c>
      <c r="J1431" s="182" t="n">
        <v>0</v>
      </c>
      <c r="K1431" s="182" t="n">
        <v>0.74</v>
      </c>
      <c r="L1431" s="182" t="n">
        <v>12</v>
      </c>
      <c r="M1431" s="182" t="n">
        <v>0</v>
      </c>
      <c r="N1431" s="182" t="n">
        <v>0</v>
      </c>
      <c r="O1431" s="183" t="n">
        <v>0</v>
      </c>
      <c r="P1431" s="183" t="n">
        <v>0</v>
      </c>
      <c r="Q1431" s="184" t="n">
        <v>0</v>
      </c>
      <c r="R1431" s="184" t="n">
        <v>0</v>
      </c>
      <c r="S1431" s="183" t="n">
        <v>0</v>
      </c>
      <c r="T1431" s="183" t="n">
        <v>0</v>
      </c>
      <c r="U1431" s="182" t="n">
        <v>0</v>
      </c>
      <c r="V1431" s="182" t="n">
        <v>0</v>
      </c>
      <c r="W1431" s="182" t="n">
        <v>0</v>
      </c>
      <c r="X1431" s="182" t="n">
        <v>0.62</v>
      </c>
      <c r="Y1431" s="182" t="n">
        <v>0</v>
      </c>
      <c r="Z1431" s="182" t="n">
        <v>0</v>
      </c>
      <c r="AA1431" s="182" t="n">
        <v>0</v>
      </c>
      <c r="AB1431" s="182" t="n">
        <v>0</v>
      </c>
      <c r="AC1431" s="182" t="n">
        <v>0</v>
      </c>
      <c r="AD1431" s="182" t="n">
        <v>0</v>
      </c>
      <c r="AE1431" s="182" t="n">
        <v>0</v>
      </c>
      <c r="AF1431" s="182" t="n">
        <v>0</v>
      </c>
      <c r="AG1431" s="182" t="n">
        <v>0</v>
      </c>
      <c r="AH1431" s="182" t="n">
        <v>0</v>
      </c>
      <c r="AI1431" s="182" t="n">
        <v>0</v>
      </c>
      <c r="AJ1431" s="182" t="n">
        <v>0</v>
      </c>
      <c r="AK1431" s="182" t="n">
        <v>0</v>
      </c>
      <c r="AL1431" s="182" t="n">
        <v>0</v>
      </c>
      <c r="AM1431" s="182" t="n">
        <v>0.12</v>
      </c>
      <c r="AN1431" s="182" t="n">
        <v>0</v>
      </c>
    </row>
    <row r="1432">
      <c r="A1432" s="155" t="n">
        <v>46088</v>
      </c>
      <c r="B1432" s="156" t="inlineStr">
        <is>
          <t>NS</t>
        </is>
      </c>
      <c r="C1432" s="156" t="inlineStr">
        <is>
          <t>DZ-034</t>
        </is>
      </c>
      <c r="D1432" s="156" t="inlineStr">
        <is>
          <t>D 68ESS-12EO</t>
        </is>
      </c>
      <c r="E1432" s="156" t="inlineStr">
        <is>
          <t>Bulldozer</t>
        </is>
      </c>
      <c r="F1432" s="156" t="inlineStr"/>
      <c r="G1432" s="182" t="n">
        <v>0</v>
      </c>
      <c r="H1432" s="182" t="n">
        <v>0</v>
      </c>
      <c r="I1432" s="182" t="n">
        <v>12</v>
      </c>
      <c r="J1432" s="182" t="n">
        <v>12</v>
      </c>
      <c r="K1432" s="182" t="n">
        <v>0</v>
      </c>
      <c r="L1432" s="182" t="n">
        <v>12</v>
      </c>
      <c r="M1432" s="182" t="n">
        <v>0</v>
      </c>
      <c r="N1432" s="182" t="n">
        <v>0</v>
      </c>
      <c r="O1432" s="183" t="n">
        <v>0</v>
      </c>
      <c r="P1432" s="183" t="n">
        <v>0</v>
      </c>
      <c r="Q1432" s="184" t="n">
        <v>0</v>
      </c>
      <c r="R1432" s="184" t="n">
        <v>0</v>
      </c>
      <c r="S1432" s="183" t="n">
        <v>0</v>
      </c>
      <c r="T1432" s="183" t="n">
        <v>0</v>
      </c>
      <c r="U1432" s="182" t="n">
        <v>0</v>
      </c>
      <c r="V1432" s="182" t="n">
        <v>0</v>
      </c>
      <c r="W1432" s="182" t="n">
        <v>0</v>
      </c>
      <c r="X1432" s="182" t="n">
        <v>0</v>
      </c>
      <c r="Y1432" s="182" t="n">
        <v>0</v>
      </c>
      <c r="Z1432" s="182" t="n">
        <v>0</v>
      </c>
      <c r="AA1432" s="182" t="n">
        <v>0</v>
      </c>
      <c r="AB1432" s="182" t="n">
        <v>0</v>
      </c>
      <c r="AC1432" s="182" t="n">
        <v>0</v>
      </c>
      <c r="AD1432" s="182" t="n">
        <v>0</v>
      </c>
      <c r="AE1432" s="182" t="n">
        <v>0</v>
      </c>
      <c r="AF1432" s="182" t="n">
        <v>0</v>
      </c>
      <c r="AG1432" s="182" t="n">
        <v>0</v>
      </c>
      <c r="AH1432" s="182" t="n">
        <v>0</v>
      </c>
      <c r="AI1432" s="182" t="n">
        <v>0</v>
      </c>
      <c r="AJ1432" s="182" t="n">
        <v>0</v>
      </c>
      <c r="AK1432" s="182" t="n">
        <v>0</v>
      </c>
      <c r="AL1432" s="182" t="n">
        <v>0</v>
      </c>
      <c r="AM1432" s="182" t="n">
        <v>0</v>
      </c>
      <c r="AN1432" s="182" t="n">
        <v>0</v>
      </c>
    </row>
    <row r="1433">
      <c r="A1433" s="155" t="n">
        <v>46088</v>
      </c>
      <c r="B1433" s="156" t="inlineStr">
        <is>
          <t>NS</t>
        </is>
      </c>
      <c r="C1433" s="156" t="inlineStr">
        <is>
          <t>DZ-033</t>
        </is>
      </c>
      <c r="D1433" s="156" t="inlineStr">
        <is>
          <t>D 375A-6R</t>
        </is>
      </c>
      <c r="E1433" s="156" t="inlineStr">
        <is>
          <t>Bulldozer</t>
        </is>
      </c>
      <c r="F1433" s="156" t="inlineStr"/>
      <c r="G1433" s="182" t="n">
        <v>0</v>
      </c>
      <c r="H1433" s="182" t="n">
        <v>0</v>
      </c>
      <c r="I1433" s="182" t="n">
        <v>12</v>
      </c>
      <c r="J1433" s="182" t="n">
        <v>12</v>
      </c>
      <c r="K1433" s="182" t="n">
        <v>0</v>
      </c>
      <c r="L1433" s="182" t="n">
        <v>12</v>
      </c>
      <c r="M1433" s="182" t="n">
        <v>0</v>
      </c>
      <c r="N1433" s="182" t="n">
        <v>0</v>
      </c>
      <c r="O1433" s="183" t="n">
        <v>0</v>
      </c>
      <c r="P1433" s="183" t="n">
        <v>0</v>
      </c>
      <c r="Q1433" s="184" t="n">
        <v>0</v>
      </c>
      <c r="R1433" s="184" t="n">
        <v>0</v>
      </c>
      <c r="S1433" s="183" t="n">
        <v>0</v>
      </c>
      <c r="T1433" s="183" t="n">
        <v>0</v>
      </c>
      <c r="U1433" s="182" t="n">
        <v>0</v>
      </c>
      <c r="V1433" s="182" t="n">
        <v>0</v>
      </c>
      <c r="W1433" s="182" t="n">
        <v>0</v>
      </c>
      <c r="X1433" s="182" t="n">
        <v>0</v>
      </c>
      <c r="Y1433" s="182" t="n">
        <v>0</v>
      </c>
      <c r="Z1433" s="182" t="n">
        <v>0</v>
      </c>
      <c r="AA1433" s="182" t="n">
        <v>0</v>
      </c>
      <c r="AB1433" s="182" t="n">
        <v>0</v>
      </c>
      <c r="AC1433" s="182" t="n">
        <v>0</v>
      </c>
      <c r="AD1433" s="182" t="n">
        <v>0</v>
      </c>
      <c r="AE1433" s="182" t="n">
        <v>0</v>
      </c>
      <c r="AF1433" s="182" t="n">
        <v>0</v>
      </c>
      <c r="AG1433" s="182" t="n">
        <v>0</v>
      </c>
      <c r="AH1433" s="182" t="n">
        <v>0</v>
      </c>
      <c r="AI1433" s="182" t="n">
        <v>0</v>
      </c>
      <c r="AJ1433" s="182" t="n">
        <v>0</v>
      </c>
      <c r="AK1433" s="182" t="n">
        <v>0</v>
      </c>
      <c r="AL1433" s="182" t="n">
        <v>0</v>
      </c>
      <c r="AM1433" s="182" t="n">
        <v>0</v>
      </c>
      <c r="AN1433" s="182" t="n">
        <v>0</v>
      </c>
    </row>
    <row r="1434">
      <c r="A1434" s="155" t="n">
        <v>46088</v>
      </c>
      <c r="B1434" s="156" t="inlineStr">
        <is>
          <t>NS</t>
        </is>
      </c>
      <c r="C1434" s="156" t="inlineStr">
        <is>
          <t>DZ-038</t>
        </is>
      </c>
      <c r="D1434" s="156" t="inlineStr">
        <is>
          <t>D 85 ESS-2</t>
        </is>
      </c>
      <c r="E1434" s="156" t="inlineStr">
        <is>
          <t>Bulldozer</t>
        </is>
      </c>
      <c r="F1434" s="156" t="inlineStr">
        <is>
          <t>Support Disposal</t>
        </is>
      </c>
      <c r="G1434" s="182" t="n">
        <v>3.79</v>
      </c>
      <c r="H1434" s="182" t="n">
        <v>0</v>
      </c>
      <c r="I1434" s="182" t="n">
        <v>2.87</v>
      </c>
      <c r="J1434" s="182" t="n">
        <v>2.87</v>
      </c>
      <c r="K1434" s="182" t="n">
        <v>5.34</v>
      </c>
      <c r="L1434" s="182" t="n">
        <v>12</v>
      </c>
      <c r="M1434" s="182" t="n">
        <v>0</v>
      </c>
      <c r="N1434" s="182" t="n">
        <v>0</v>
      </c>
      <c r="O1434" s="183" t="n">
        <v>0</v>
      </c>
      <c r="P1434" s="183" t="n">
        <v>0</v>
      </c>
      <c r="Q1434" s="184" t="n">
        <v>0</v>
      </c>
      <c r="R1434" s="184" t="n">
        <v>0</v>
      </c>
      <c r="S1434" s="183" t="n">
        <v>0</v>
      </c>
      <c r="T1434" s="183" t="n">
        <v>0</v>
      </c>
      <c r="U1434" s="182" t="n">
        <v>5.26</v>
      </c>
      <c r="V1434" s="182" t="n">
        <v>0</v>
      </c>
      <c r="W1434" s="182" t="n">
        <v>0</v>
      </c>
      <c r="X1434" s="182" t="n">
        <v>0</v>
      </c>
      <c r="Y1434" s="182" t="n">
        <v>0</v>
      </c>
      <c r="Z1434" s="182" t="n">
        <v>0</v>
      </c>
      <c r="AA1434" s="182" t="n">
        <v>0</v>
      </c>
      <c r="AB1434" s="182" t="n">
        <v>0</v>
      </c>
      <c r="AC1434" s="182" t="n">
        <v>0</v>
      </c>
      <c r="AD1434" s="182" t="n">
        <v>0</v>
      </c>
      <c r="AE1434" s="182" t="n">
        <v>0</v>
      </c>
      <c r="AF1434" s="182" t="n">
        <v>0</v>
      </c>
      <c r="AG1434" s="182" t="n">
        <v>0</v>
      </c>
      <c r="AH1434" s="182" t="n">
        <v>0</v>
      </c>
      <c r="AI1434" s="182" t="n">
        <v>0</v>
      </c>
      <c r="AJ1434" s="182" t="n">
        <v>0</v>
      </c>
      <c r="AK1434" s="182" t="n">
        <v>0</v>
      </c>
      <c r="AL1434" s="182" t="n">
        <v>0</v>
      </c>
      <c r="AM1434" s="182" t="n">
        <v>0.08</v>
      </c>
      <c r="AN1434" s="182" t="n">
        <v>0</v>
      </c>
    </row>
    <row r="1435">
      <c r="A1435" s="155" t="n">
        <v>46088</v>
      </c>
      <c r="B1435" s="156" t="inlineStr">
        <is>
          <t>NS</t>
        </is>
      </c>
      <c r="C1435" s="156" t="inlineStr">
        <is>
          <t>DZ-039</t>
        </is>
      </c>
      <c r="D1435" s="156" t="inlineStr">
        <is>
          <t>D 85 ESS-2</t>
        </is>
      </c>
      <c r="E1435" s="156" t="inlineStr">
        <is>
          <t>Bulldozer</t>
        </is>
      </c>
      <c r="F1435" s="156" t="inlineStr"/>
      <c r="G1435" s="182" t="n">
        <v>0</v>
      </c>
      <c r="H1435" s="182" t="n">
        <v>0</v>
      </c>
      <c r="I1435" s="182" t="n">
        <v>12</v>
      </c>
      <c r="J1435" s="182" t="n">
        <v>12</v>
      </c>
      <c r="K1435" s="182" t="n">
        <v>0</v>
      </c>
      <c r="L1435" s="182" t="n">
        <v>12</v>
      </c>
      <c r="M1435" s="182" t="n">
        <v>0</v>
      </c>
      <c r="N1435" s="182" t="n">
        <v>0</v>
      </c>
      <c r="O1435" s="183" t="n">
        <v>0</v>
      </c>
      <c r="P1435" s="183" t="n">
        <v>0</v>
      </c>
      <c r="Q1435" s="184" t="n">
        <v>0</v>
      </c>
      <c r="R1435" s="184" t="n">
        <v>0</v>
      </c>
      <c r="S1435" s="183" t="n">
        <v>0</v>
      </c>
      <c r="T1435" s="183" t="n">
        <v>0</v>
      </c>
      <c r="U1435" s="182" t="n">
        <v>0</v>
      </c>
      <c r="V1435" s="182" t="n">
        <v>0</v>
      </c>
      <c r="W1435" s="182" t="n">
        <v>0</v>
      </c>
      <c r="X1435" s="182" t="n">
        <v>0</v>
      </c>
      <c r="Y1435" s="182" t="n">
        <v>0</v>
      </c>
      <c r="Z1435" s="182" t="n">
        <v>0</v>
      </c>
      <c r="AA1435" s="182" t="n">
        <v>0</v>
      </c>
      <c r="AB1435" s="182" t="n">
        <v>0</v>
      </c>
      <c r="AC1435" s="182" t="n">
        <v>0</v>
      </c>
      <c r="AD1435" s="182" t="n">
        <v>0</v>
      </c>
      <c r="AE1435" s="182" t="n">
        <v>0</v>
      </c>
      <c r="AF1435" s="182" t="n">
        <v>0</v>
      </c>
      <c r="AG1435" s="182" t="n">
        <v>0</v>
      </c>
      <c r="AH1435" s="182" t="n">
        <v>0</v>
      </c>
      <c r="AI1435" s="182" t="n">
        <v>0</v>
      </c>
      <c r="AJ1435" s="182" t="n">
        <v>0</v>
      </c>
      <c r="AK1435" s="182" t="n">
        <v>0</v>
      </c>
      <c r="AL1435" s="182" t="n">
        <v>0</v>
      </c>
      <c r="AM1435" s="182" t="n">
        <v>0</v>
      </c>
      <c r="AN1435" s="182" t="n">
        <v>0</v>
      </c>
    </row>
    <row r="1436">
      <c r="A1436" s="155" t="n">
        <v>46088</v>
      </c>
      <c r="B1436" s="156" t="inlineStr">
        <is>
          <t>NS</t>
        </is>
      </c>
      <c r="C1436" s="156" t="inlineStr">
        <is>
          <t>DZ-032</t>
        </is>
      </c>
      <c r="D1436" s="156" t="inlineStr">
        <is>
          <t>CAT</t>
        </is>
      </c>
      <c r="E1436" s="156" t="inlineStr">
        <is>
          <t>Bulldozer</t>
        </is>
      </c>
      <c r="F1436" s="156" t="inlineStr"/>
      <c r="G1436" s="182" t="n">
        <v>0</v>
      </c>
      <c r="H1436" s="182" t="n">
        <v>0</v>
      </c>
      <c r="I1436" s="182" t="n">
        <v>12</v>
      </c>
      <c r="J1436" s="182" t="n">
        <v>12</v>
      </c>
      <c r="K1436" s="182" t="n">
        <v>0</v>
      </c>
      <c r="L1436" s="182" t="n">
        <v>12</v>
      </c>
      <c r="M1436" s="182" t="n">
        <v>0</v>
      </c>
      <c r="N1436" s="182" t="n">
        <v>0</v>
      </c>
      <c r="O1436" s="183" t="n">
        <v>0</v>
      </c>
      <c r="P1436" s="183" t="n">
        <v>0</v>
      </c>
      <c r="Q1436" s="184" t="n">
        <v>0</v>
      </c>
      <c r="R1436" s="184" t="n">
        <v>0</v>
      </c>
      <c r="S1436" s="183" t="n">
        <v>0</v>
      </c>
      <c r="T1436" s="183" t="n">
        <v>0</v>
      </c>
      <c r="U1436" s="182" t="n">
        <v>0</v>
      </c>
      <c r="V1436" s="182" t="n">
        <v>0</v>
      </c>
      <c r="W1436" s="182" t="n">
        <v>0</v>
      </c>
      <c r="X1436" s="182" t="n">
        <v>0</v>
      </c>
      <c r="Y1436" s="182" t="n">
        <v>0</v>
      </c>
      <c r="Z1436" s="182" t="n">
        <v>0</v>
      </c>
      <c r="AA1436" s="182" t="n">
        <v>0</v>
      </c>
      <c r="AB1436" s="182" t="n">
        <v>0</v>
      </c>
      <c r="AC1436" s="182" t="n">
        <v>0</v>
      </c>
      <c r="AD1436" s="182" t="n">
        <v>0</v>
      </c>
      <c r="AE1436" s="182" t="n">
        <v>0</v>
      </c>
      <c r="AF1436" s="182" t="n">
        <v>0</v>
      </c>
      <c r="AG1436" s="182" t="n">
        <v>0</v>
      </c>
      <c r="AH1436" s="182" t="n">
        <v>0</v>
      </c>
      <c r="AI1436" s="182" t="n">
        <v>0</v>
      </c>
      <c r="AJ1436" s="182" t="n">
        <v>0</v>
      </c>
      <c r="AK1436" s="182" t="n">
        <v>0</v>
      </c>
      <c r="AL1436" s="182" t="n">
        <v>0</v>
      </c>
      <c r="AM1436" s="182" t="n">
        <v>0</v>
      </c>
      <c r="AN1436" s="182" t="n">
        <v>0</v>
      </c>
    </row>
    <row r="1437">
      <c r="A1437" s="155" t="n">
        <v>46088</v>
      </c>
      <c r="B1437" s="156" t="inlineStr">
        <is>
          <t>NS</t>
        </is>
      </c>
      <c r="C1437" s="156" t="inlineStr">
        <is>
          <t>DZ-031</t>
        </is>
      </c>
      <c r="D1437" s="156" t="inlineStr">
        <is>
          <t>CAT</t>
        </is>
      </c>
      <c r="E1437" s="156" t="inlineStr">
        <is>
          <t>Bulldozer</t>
        </is>
      </c>
      <c r="F1437" s="156" t="inlineStr">
        <is>
          <t>Support Front Loading</t>
        </is>
      </c>
      <c r="G1437" s="182" t="n">
        <v>5.31</v>
      </c>
      <c r="H1437" s="182" t="n">
        <v>0</v>
      </c>
      <c r="I1437" s="182" t="n">
        <v>0</v>
      </c>
      <c r="J1437" s="182" t="n">
        <v>0</v>
      </c>
      <c r="K1437" s="182" t="n">
        <v>6.69</v>
      </c>
      <c r="L1437" s="182" t="n">
        <v>12</v>
      </c>
      <c r="M1437" s="182" t="n">
        <v>0</v>
      </c>
      <c r="N1437" s="182" t="n">
        <v>0</v>
      </c>
      <c r="O1437" s="183" t="n">
        <v>0</v>
      </c>
      <c r="P1437" s="183" t="n">
        <v>0</v>
      </c>
      <c r="Q1437" s="184" t="n">
        <v>0</v>
      </c>
      <c r="R1437" s="184" t="n">
        <v>0</v>
      </c>
      <c r="S1437" s="183" t="n">
        <v>0</v>
      </c>
      <c r="T1437" s="183" t="n">
        <v>0</v>
      </c>
      <c r="U1437" s="182" t="n">
        <v>6.61</v>
      </c>
      <c r="V1437" s="182" t="n">
        <v>0</v>
      </c>
      <c r="W1437" s="182" t="n">
        <v>0</v>
      </c>
      <c r="X1437" s="182" t="n">
        <v>0</v>
      </c>
      <c r="Y1437" s="182" t="n">
        <v>0</v>
      </c>
      <c r="Z1437" s="182" t="n">
        <v>0</v>
      </c>
      <c r="AA1437" s="182" t="n">
        <v>0</v>
      </c>
      <c r="AB1437" s="182" t="n">
        <v>0</v>
      </c>
      <c r="AC1437" s="182" t="n">
        <v>0</v>
      </c>
      <c r="AD1437" s="182" t="n">
        <v>0</v>
      </c>
      <c r="AE1437" s="182" t="n">
        <v>0</v>
      </c>
      <c r="AF1437" s="182" t="n">
        <v>0</v>
      </c>
      <c r="AG1437" s="182" t="n">
        <v>0</v>
      </c>
      <c r="AH1437" s="182" t="n">
        <v>0</v>
      </c>
      <c r="AI1437" s="182" t="n">
        <v>0</v>
      </c>
      <c r="AJ1437" s="182" t="n">
        <v>0</v>
      </c>
      <c r="AK1437" s="182" t="n">
        <v>0</v>
      </c>
      <c r="AL1437" s="182" t="n">
        <v>0</v>
      </c>
      <c r="AM1437" s="182" t="n">
        <v>0.08</v>
      </c>
      <c r="AN1437" s="182" t="n">
        <v>0</v>
      </c>
    </row>
    <row r="1438">
      <c r="A1438" s="155" t="n">
        <v>46088</v>
      </c>
      <c r="B1438" s="156" t="inlineStr">
        <is>
          <t>NS</t>
        </is>
      </c>
      <c r="C1438" s="156" t="inlineStr">
        <is>
          <t>DZ-037</t>
        </is>
      </c>
      <c r="D1438" s="156" t="inlineStr">
        <is>
          <t>D 85 ESS-2</t>
        </is>
      </c>
      <c r="E1438" s="156" t="inlineStr">
        <is>
          <t>Bulldozer</t>
        </is>
      </c>
      <c r="F1438" s="156" t="inlineStr"/>
      <c r="G1438" s="182" t="n">
        <v>0</v>
      </c>
      <c r="H1438" s="182" t="n">
        <v>0</v>
      </c>
      <c r="I1438" s="182" t="n">
        <v>12</v>
      </c>
      <c r="J1438" s="182" t="n">
        <v>12</v>
      </c>
      <c r="K1438" s="182" t="n">
        <v>0</v>
      </c>
      <c r="L1438" s="182" t="n">
        <v>12</v>
      </c>
      <c r="M1438" s="182" t="n">
        <v>0</v>
      </c>
      <c r="N1438" s="182" t="n">
        <v>0</v>
      </c>
      <c r="O1438" s="183" t="n">
        <v>0</v>
      </c>
      <c r="P1438" s="183" t="n">
        <v>0</v>
      </c>
      <c r="Q1438" s="184" t="n">
        <v>0</v>
      </c>
      <c r="R1438" s="184" t="n">
        <v>0</v>
      </c>
      <c r="S1438" s="183" t="n">
        <v>0</v>
      </c>
      <c r="T1438" s="183" t="n">
        <v>0</v>
      </c>
      <c r="U1438" s="182" t="n">
        <v>0</v>
      </c>
      <c r="V1438" s="182" t="n">
        <v>0</v>
      </c>
      <c r="W1438" s="182" t="n">
        <v>0</v>
      </c>
      <c r="X1438" s="182" t="n">
        <v>0</v>
      </c>
      <c r="Y1438" s="182" t="n">
        <v>0</v>
      </c>
      <c r="Z1438" s="182" t="n">
        <v>0</v>
      </c>
      <c r="AA1438" s="182" t="n">
        <v>0</v>
      </c>
      <c r="AB1438" s="182" t="n">
        <v>0</v>
      </c>
      <c r="AC1438" s="182" t="n">
        <v>0</v>
      </c>
      <c r="AD1438" s="182" t="n">
        <v>0</v>
      </c>
      <c r="AE1438" s="182" t="n">
        <v>0</v>
      </c>
      <c r="AF1438" s="182" t="n">
        <v>0</v>
      </c>
      <c r="AG1438" s="182" t="n">
        <v>0</v>
      </c>
      <c r="AH1438" s="182" t="n">
        <v>0</v>
      </c>
      <c r="AI1438" s="182" t="n">
        <v>0</v>
      </c>
      <c r="AJ1438" s="182" t="n">
        <v>0</v>
      </c>
      <c r="AK1438" s="182" t="n">
        <v>0</v>
      </c>
      <c r="AL1438" s="182" t="n">
        <v>0</v>
      </c>
      <c r="AM1438" s="182" t="n">
        <v>0</v>
      </c>
      <c r="AN1438" s="182" t="n">
        <v>0</v>
      </c>
    </row>
    <row r="1439">
      <c r="A1439" s="155" t="n">
        <v>46088</v>
      </c>
      <c r="B1439" s="156" t="inlineStr">
        <is>
          <t>NS</t>
        </is>
      </c>
      <c r="C1439" s="156" t="inlineStr">
        <is>
          <t>DZ-036</t>
        </is>
      </c>
      <c r="D1439" s="156" t="inlineStr">
        <is>
          <t>D 85 ESS-2</t>
        </is>
      </c>
      <c r="E1439" s="156" t="inlineStr">
        <is>
          <t>Bulldozer</t>
        </is>
      </c>
      <c r="F1439" s="156" t="inlineStr"/>
      <c r="G1439" s="182" t="n">
        <v>0</v>
      </c>
      <c r="H1439" s="182" t="n">
        <v>0</v>
      </c>
      <c r="I1439" s="182" t="n">
        <v>0</v>
      </c>
      <c r="J1439" s="182" t="n">
        <v>0</v>
      </c>
      <c r="K1439" s="182" t="n">
        <v>12</v>
      </c>
      <c r="L1439" s="182" t="n">
        <v>12</v>
      </c>
      <c r="M1439" s="182" t="n">
        <v>0</v>
      </c>
      <c r="N1439" s="182" t="n">
        <v>0</v>
      </c>
      <c r="O1439" s="183" t="n">
        <v>0</v>
      </c>
      <c r="P1439" s="183" t="n">
        <v>0</v>
      </c>
      <c r="Q1439" s="184" t="n">
        <v>0</v>
      </c>
      <c r="R1439" s="184" t="n">
        <v>0</v>
      </c>
      <c r="S1439" s="183" t="n">
        <v>0</v>
      </c>
      <c r="T1439" s="183" t="n">
        <v>0</v>
      </c>
      <c r="U1439" s="182" t="n">
        <v>0</v>
      </c>
      <c r="V1439" s="182" t="n">
        <v>0</v>
      </c>
      <c r="W1439" s="182" t="n">
        <v>0</v>
      </c>
      <c r="X1439" s="182" t="n">
        <v>1</v>
      </c>
      <c r="Y1439" s="182" t="n">
        <v>0</v>
      </c>
      <c r="Z1439" s="182" t="n">
        <v>0</v>
      </c>
      <c r="AA1439" s="182" t="n">
        <v>0</v>
      </c>
      <c r="AB1439" s="182" t="n">
        <v>0</v>
      </c>
      <c r="AC1439" s="182" t="n">
        <v>0</v>
      </c>
      <c r="AD1439" s="182" t="n">
        <v>0</v>
      </c>
      <c r="AE1439" s="182" t="n">
        <v>0</v>
      </c>
      <c r="AF1439" s="182" t="n">
        <v>0</v>
      </c>
      <c r="AG1439" s="182" t="n">
        <v>0</v>
      </c>
      <c r="AH1439" s="182" t="n">
        <v>0</v>
      </c>
      <c r="AI1439" s="182" t="n">
        <v>0</v>
      </c>
      <c r="AJ1439" s="182" t="n">
        <v>0</v>
      </c>
      <c r="AK1439" s="182" t="n">
        <v>10.92</v>
      </c>
      <c r="AL1439" s="182" t="n">
        <v>0</v>
      </c>
      <c r="AM1439" s="182" t="n">
        <v>0.08</v>
      </c>
      <c r="AN1439" s="182" t="n">
        <v>0</v>
      </c>
    </row>
    <row r="1440">
      <c r="A1440" s="155" t="n">
        <v>46088</v>
      </c>
      <c r="B1440" s="156" t="inlineStr">
        <is>
          <t>NS</t>
        </is>
      </c>
      <c r="C1440" s="156" t="inlineStr">
        <is>
          <t>DZ-035</t>
        </is>
      </c>
      <c r="D1440" s="156" t="inlineStr">
        <is>
          <t>D 85 ESS-2</t>
        </is>
      </c>
      <c r="E1440" s="156" t="inlineStr">
        <is>
          <t>Bulldozer</t>
        </is>
      </c>
      <c r="F1440" s="156" t="inlineStr">
        <is>
          <t>Support Disposal</t>
        </is>
      </c>
      <c r="G1440" s="182" t="n">
        <v>5.92</v>
      </c>
      <c r="H1440" s="182" t="n">
        <v>0</v>
      </c>
      <c r="I1440" s="182" t="n">
        <v>0</v>
      </c>
      <c r="J1440" s="182" t="n">
        <v>0</v>
      </c>
      <c r="K1440" s="182" t="n">
        <v>6.08</v>
      </c>
      <c r="L1440" s="182" t="n">
        <v>12</v>
      </c>
      <c r="M1440" s="182" t="n">
        <v>0</v>
      </c>
      <c r="N1440" s="182" t="n">
        <v>0</v>
      </c>
      <c r="O1440" s="183" t="n">
        <v>0</v>
      </c>
      <c r="P1440" s="183" t="n">
        <v>0</v>
      </c>
      <c r="Q1440" s="184" t="n">
        <v>0</v>
      </c>
      <c r="R1440" s="184" t="n">
        <v>0</v>
      </c>
      <c r="S1440" s="183" t="n">
        <v>0</v>
      </c>
      <c r="T1440" s="183" t="n">
        <v>0</v>
      </c>
      <c r="U1440" s="182" t="n">
        <v>6</v>
      </c>
      <c r="V1440" s="182" t="n">
        <v>0</v>
      </c>
      <c r="W1440" s="182" t="n">
        <v>0</v>
      </c>
      <c r="X1440" s="182" t="n">
        <v>0</v>
      </c>
      <c r="Y1440" s="182" t="n">
        <v>0</v>
      </c>
      <c r="Z1440" s="182" t="n">
        <v>0</v>
      </c>
      <c r="AA1440" s="182" t="n">
        <v>0</v>
      </c>
      <c r="AB1440" s="182" t="n">
        <v>0</v>
      </c>
      <c r="AC1440" s="182" t="n">
        <v>0</v>
      </c>
      <c r="AD1440" s="182" t="n">
        <v>0</v>
      </c>
      <c r="AE1440" s="182" t="n">
        <v>0</v>
      </c>
      <c r="AF1440" s="182" t="n">
        <v>0</v>
      </c>
      <c r="AG1440" s="182" t="n">
        <v>0</v>
      </c>
      <c r="AH1440" s="182" t="n">
        <v>0</v>
      </c>
      <c r="AI1440" s="182" t="n">
        <v>0</v>
      </c>
      <c r="AJ1440" s="182" t="n">
        <v>0</v>
      </c>
      <c r="AK1440" s="182" t="n">
        <v>0</v>
      </c>
      <c r="AL1440" s="182" t="n">
        <v>0</v>
      </c>
      <c r="AM1440" s="182" t="n">
        <v>0.08</v>
      </c>
      <c r="AN1440" s="182" t="n">
        <v>0</v>
      </c>
    </row>
    <row r="1441">
      <c r="A1441" s="155" t="n">
        <v>46088</v>
      </c>
      <c r="B1441" s="156" t="inlineStr">
        <is>
          <t>NS</t>
        </is>
      </c>
      <c r="C1441" s="156" t="inlineStr">
        <is>
          <t>CP-042</t>
        </is>
      </c>
      <c r="D1441" s="156" t="inlineStr">
        <is>
          <t>SANY - Compactor</t>
        </is>
      </c>
      <c r="E1441" s="156" t="inlineStr">
        <is>
          <t>Compactor</t>
        </is>
      </c>
      <c r="F1441" s="156" t="inlineStr"/>
      <c r="G1441" s="182" t="n">
        <v>0</v>
      </c>
      <c r="H1441" s="182" t="n">
        <v>0</v>
      </c>
      <c r="I1441" s="182" t="n">
        <v>0</v>
      </c>
      <c r="J1441" s="182" t="n">
        <v>0</v>
      </c>
      <c r="K1441" s="182" t="n">
        <v>12</v>
      </c>
      <c r="L1441" s="182" t="n">
        <v>12</v>
      </c>
      <c r="M1441" s="182" t="n">
        <v>0</v>
      </c>
      <c r="N1441" s="182" t="n">
        <v>0</v>
      </c>
      <c r="O1441" s="183" t="n">
        <v>0</v>
      </c>
      <c r="P1441" s="183" t="n">
        <v>0</v>
      </c>
      <c r="Q1441" s="184" t="n">
        <v>0</v>
      </c>
      <c r="R1441" s="184" t="n">
        <v>0</v>
      </c>
      <c r="S1441" s="183" t="n">
        <v>0</v>
      </c>
      <c r="T1441" s="183" t="n">
        <v>0</v>
      </c>
      <c r="U1441" s="182" t="n">
        <v>0</v>
      </c>
      <c r="V1441" s="182" t="n">
        <v>0</v>
      </c>
      <c r="W1441" s="182" t="n">
        <v>0</v>
      </c>
      <c r="X1441" s="182" t="n">
        <v>1</v>
      </c>
      <c r="Y1441" s="182" t="n">
        <v>0</v>
      </c>
      <c r="Z1441" s="182" t="n">
        <v>0</v>
      </c>
      <c r="AA1441" s="182" t="n">
        <v>0</v>
      </c>
      <c r="AB1441" s="182" t="n">
        <v>0</v>
      </c>
      <c r="AC1441" s="182" t="n">
        <v>0</v>
      </c>
      <c r="AD1441" s="182" t="n">
        <v>0</v>
      </c>
      <c r="AE1441" s="182" t="n">
        <v>0</v>
      </c>
      <c r="AF1441" s="182" t="n">
        <v>0</v>
      </c>
      <c r="AG1441" s="182" t="n">
        <v>0</v>
      </c>
      <c r="AH1441" s="182" t="n">
        <v>0</v>
      </c>
      <c r="AI1441" s="182" t="n">
        <v>0</v>
      </c>
      <c r="AJ1441" s="182" t="n">
        <v>0</v>
      </c>
      <c r="AK1441" s="182" t="n">
        <v>10.92</v>
      </c>
      <c r="AL1441" s="182" t="n">
        <v>0</v>
      </c>
      <c r="AM1441" s="182" t="n">
        <v>0.08</v>
      </c>
      <c r="AN1441" s="182" t="n">
        <v>0</v>
      </c>
    </row>
    <row r="1442">
      <c r="A1442" s="155" t="n">
        <v>46088</v>
      </c>
      <c r="B1442" s="156" t="inlineStr">
        <is>
          <t>NS</t>
        </is>
      </c>
      <c r="C1442" s="156" t="inlineStr">
        <is>
          <t>CP-041</t>
        </is>
      </c>
      <c r="D1442" s="156" t="inlineStr">
        <is>
          <t>SANY - Compactor</t>
        </is>
      </c>
      <c r="E1442" s="156" t="inlineStr">
        <is>
          <t>Compactor</t>
        </is>
      </c>
      <c r="F1442" s="156" t="inlineStr"/>
      <c r="G1442" s="182" t="n">
        <v>0</v>
      </c>
      <c r="H1442" s="182" t="n">
        <v>0</v>
      </c>
      <c r="I1442" s="182" t="n">
        <v>0</v>
      </c>
      <c r="J1442" s="182" t="n">
        <v>0</v>
      </c>
      <c r="K1442" s="182" t="n">
        <v>12</v>
      </c>
      <c r="L1442" s="182" t="n">
        <v>12</v>
      </c>
      <c r="M1442" s="182" t="n">
        <v>0</v>
      </c>
      <c r="N1442" s="182" t="n">
        <v>0</v>
      </c>
      <c r="O1442" s="183" t="n">
        <v>0</v>
      </c>
      <c r="P1442" s="183" t="n">
        <v>0</v>
      </c>
      <c r="Q1442" s="184" t="n">
        <v>0</v>
      </c>
      <c r="R1442" s="184" t="n">
        <v>0</v>
      </c>
      <c r="S1442" s="183" t="n">
        <v>0</v>
      </c>
      <c r="T1442" s="183" t="n">
        <v>0</v>
      </c>
      <c r="U1442" s="182" t="n">
        <v>0</v>
      </c>
      <c r="V1442" s="182" t="n">
        <v>0</v>
      </c>
      <c r="W1442" s="182" t="n">
        <v>0</v>
      </c>
      <c r="X1442" s="182" t="n">
        <v>1</v>
      </c>
      <c r="Y1442" s="182" t="n">
        <v>0</v>
      </c>
      <c r="Z1442" s="182" t="n">
        <v>0</v>
      </c>
      <c r="AA1442" s="182" t="n">
        <v>0</v>
      </c>
      <c r="AB1442" s="182" t="n">
        <v>0</v>
      </c>
      <c r="AC1442" s="182" t="n">
        <v>0</v>
      </c>
      <c r="AD1442" s="182" t="n">
        <v>0</v>
      </c>
      <c r="AE1442" s="182" t="n">
        <v>0</v>
      </c>
      <c r="AF1442" s="182" t="n">
        <v>0</v>
      </c>
      <c r="AG1442" s="182" t="n">
        <v>0</v>
      </c>
      <c r="AH1442" s="182" t="n">
        <v>0</v>
      </c>
      <c r="AI1442" s="182" t="n">
        <v>0</v>
      </c>
      <c r="AJ1442" s="182" t="n">
        <v>0</v>
      </c>
      <c r="AK1442" s="182" t="n">
        <v>10.92</v>
      </c>
      <c r="AL1442" s="182" t="n">
        <v>0</v>
      </c>
      <c r="AM1442" s="182" t="n">
        <v>0.08</v>
      </c>
      <c r="AN1442" s="182" t="n">
        <v>0</v>
      </c>
    </row>
    <row r="1443">
      <c r="A1443" s="155" t="n">
        <v>46088</v>
      </c>
      <c r="B1443" s="156" t="inlineStr">
        <is>
          <t>NS</t>
        </is>
      </c>
      <c r="C1443" s="156" t="inlineStr">
        <is>
          <t>HT-418</t>
        </is>
      </c>
      <c r="D1443" s="156" t="inlineStr">
        <is>
          <t>SY430</t>
        </is>
      </c>
      <c r="E1443" s="156" t="inlineStr">
        <is>
          <t>DT Hauling</t>
        </is>
      </c>
      <c r="F1443" s="156" t="inlineStr"/>
      <c r="G1443" s="182" t="n">
        <v>0</v>
      </c>
      <c r="H1443" s="182" t="n">
        <v>0</v>
      </c>
      <c r="I1443" s="182" t="n">
        <v>0</v>
      </c>
      <c r="J1443" s="182" t="n">
        <v>0</v>
      </c>
      <c r="K1443" s="182" t="n">
        <v>12</v>
      </c>
      <c r="L1443" s="182" t="n">
        <v>12</v>
      </c>
      <c r="M1443" s="182" t="n">
        <v>0</v>
      </c>
      <c r="N1443" s="182" t="n">
        <v>0</v>
      </c>
      <c r="O1443" s="183" t="n">
        <v>0</v>
      </c>
      <c r="P1443" s="183" t="n">
        <v>0</v>
      </c>
      <c r="Q1443" s="184" t="n">
        <v>0</v>
      </c>
      <c r="R1443" s="184" t="n">
        <v>0</v>
      </c>
      <c r="S1443" s="183" t="n">
        <v>0</v>
      </c>
      <c r="T1443" s="183" t="n">
        <v>0</v>
      </c>
      <c r="U1443" s="182" t="n">
        <v>0</v>
      </c>
      <c r="V1443" s="182" t="n">
        <v>0</v>
      </c>
      <c r="W1443" s="182" t="n">
        <v>0</v>
      </c>
      <c r="X1443" s="182" t="n">
        <v>1</v>
      </c>
      <c r="Y1443" s="182" t="n">
        <v>0</v>
      </c>
      <c r="Z1443" s="182" t="n">
        <v>0</v>
      </c>
      <c r="AA1443" s="182" t="n">
        <v>0</v>
      </c>
      <c r="AB1443" s="182" t="n">
        <v>0</v>
      </c>
      <c r="AC1443" s="182" t="n">
        <v>0</v>
      </c>
      <c r="AD1443" s="182" t="n">
        <v>0</v>
      </c>
      <c r="AE1443" s="182" t="n">
        <v>0</v>
      </c>
      <c r="AF1443" s="182" t="n">
        <v>0</v>
      </c>
      <c r="AG1443" s="182" t="n">
        <v>0</v>
      </c>
      <c r="AH1443" s="182" t="n">
        <v>0</v>
      </c>
      <c r="AI1443" s="182" t="n">
        <v>0</v>
      </c>
      <c r="AJ1443" s="182" t="n">
        <v>0</v>
      </c>
      <c r="AK1443" s="182" t="n">
        <v>10.92</v>
      </c>
      <c r="AL1443" s="182" t="n">
        <v>0</v>
      </c>
      <c r="AM1443" s="182" t="n">
        <v>0.08</v>
      </c>
      <c r="AN1443" s="182" t="n">
        <v>0</v>
      </c>
    </row>
    <row r="1444">
      <c r="A1444" s="155" t="n">
        <v>46088</v>
      </c>
      <c r="B1444" s="156" t="inlineStr">
        <is>
          <t>NS</t>
        </is>
      </c>
      <c r="C1444" s="156" t="inlineStr">
        <is>
          <t>HT-404</t>
        </is>
      </c>
      <c r="D1444" s="156" t="inlineStr">
        <is>
          <t>SY430</t>
        </is>
      </c>
      <c r="E1444" s="156" t="inlineStr">
        <is>
          <t>DT Hauling</t>
        </is>
      </c>
      <c r="F1444" s="156" t="inlineStr">
        <is>
          <t>Hauling Coal ke Jetty</t>
        </is>
      </c>
      <c r="G1444" s="182" t="n">
        <v>0.4</v>
      </c>
      <c r="H1444" s="182" t="n">
        <v>0</v>
      </c>
      <c r="I1444" s="182" t="n">
        <v>11.27</v>
      </c>
      <c r="J1444" s="182" t="n">
        <v>11.27</v>
      </c>
      <c r="K1444" s="182" t="n">
        <v>0.33</v>
      </c>
      <c r="L1444" s="182" t="n">
        <v>12</v>
      </c>
      <c r="M1444" s="182" t="n">
        <v>0</v>
      </c>
      <c r="N1444" s="182" t="n">
        <v>0</v>
      </c>
      <c r="O1444" s="183" t="n">
        <v>0</v>
      </c>
      <c r="P1444" s="183" t="n">
        <v>0</v>
      </c>
      <c r="Q1444" s="184" t="n">
        <v>0</v>
      </c>
      <c r="R1444" s="184" t="n">
        <v>0</v>
      </c>
      <c r="S1444" s="183" t="n">
        <v>0</v>
      </c>
      <c r="T1444" s="183" t="n">
        <v>0</v>
      </c>
      <c r="U1444" s="182" t="n">
        <v>0</v>
      </c>
      <c r="V1444" s="182" t="n">
        <v>0</v>
      </c>
      <c r="W1444" s="182" t="n">
        <v>0</v>
      </c>
      <c r="X1444" s="182" t="n">
        <v>0.25</v>
      </c>
      <c r="Y1444" s="182" t="n">
        <v>0</v>
      </c>
      <c r="Z1444" s="182" t="n">
        <v>0</v>
      </c>
      <c r="AA1444" s="182" t="n">
        <v>0</v>
      </c>
      <c r="AB1444" s="182" t="n">
        <v>0</v>
      </c>
      <c r="AC1444" s="182" t="n">
        <v>0</v>
      </c>
      <c r="AD1444" s="182" t="n">
        <v>0</v>
      </c>
      <c r="AE1444" s="182" t="n">
        <v>0</v>
      </c>
      <c r="AF1444" s="182" t="n">
        <v>0</v>
      </c>
      <c r="AG1444" s="182" t="n">
        <v>0</v>
      </c>
      <c r="AH1444" s="182" t="n">
        <v>0</v>
      </c>
      <c r="AI1444" s="182" t="n">
        <v>0</v>
      </c>
      <c r="AJ1444" s="182" t="n">
        <v>0</v>
      </c>
      <c r="AK1444" s="182" t="n">
        <v>0</v>
      </c>
      <c r="AL1444" s="182" t="n">
        <v>0</v>
      </c>
      <c r="AM1444" s="182" t="n">
        <v>0.08</v>
      </c>
      <c r="AN1444" s="182" t="n">
        <v>0</v>
      </c>
    </row>
    <row r="1445">
      <c r="A1445" s="155" t="n">
        <v>46088</v>
      </c>
      <c r="B1445" s="156" t="inlineStr">
        <is>
          <t>NS</t>
        </is>
      </c>
      <c r="C1445" s="156" t="inlineStr">
        <is>
          <t>HT-415</t>
        </is>
      </c>
      <c r="D1445" s="156" t="inlineStr">
        <is>
          <t>SY430</t>
        </is>
      </c>
      <c r="E1445" s="156" t="inlineStr">
        <is>
          <t>DT Hauling</t>
        </is>
      </c>
      <c r="F1445" s="156" t="inlineStr"/>
      <c r="G1445" s="182" t="n">
        <v>0</v>
      </c>
      <c r="H1445" s="182" t="n">
        <v>0</v>
      </c>
      <c r="I1445" s="182" t="n">
        <v>12</v>
      </c>
      <c r="J1445" s="182" t="n">
        <v>12</v>
      </c>
      <c r="K1445" s="182" t="n">
        <v>0</v>
      </c>
      <c r="L1445" s="182" t="n">
        <v>12</v>
      </c>
      <c r="M1445" s="182" t="n">
        <v>0</v>
      </c>
      <c r="N1445" s="182" t="n">
        <v>0</v>
      </c>
      <c r="O1445" s="183" t="n">
        <v>0</v>
      </c>
      <c r="P1445" s="183" t="n">
        <v>0</v>
      </c>
      <c r="Q1445" s="184" t="n">
        <v>0</v>
      </c>
      <c r="R1445" s="184" t="n">
        <v>0</v>
      </c>
      <c r="S1445" s="183" t="n">
        <v>0</v>
      </c>
      <c r="T1445" s="183" t="n">
        <v>0</v>
      </c>
      <c r="U1445" s="182" t="n">
        <v>0</v>
      </c>
      <c r="V1445" s="182" t="n">
        <v>0</v>
      </c>
      <c r="W1445" s="182" t="n">
        <v>0</v>
      </c>
      <c r="X1445" s="182" t="n">
        <v>0</v>
      </c>
      <c r="Y1445" s="182" t="n">
        <v>0</v>
      </c>
      <c r="Z1445" s="182" t="n">
        <v>0</v>
      </c>
      <c r="AA1445" s="182" t="n">
        <v>0</v>
      </c>
      <c r="AB1445" s="182" t="n">
        <v>0</v>
      </c>
      <c r="AC1445" s="182" t="n">
        <v>0</v>
      </c>
      <c r="AD1445" s="182" t="n">
        <v>0</v>
      </c>
      <c r="AE1445" s="182" t="n">
        <v>0</v>
      </c>
      <c r="AF1445" s="182" t="n">
        <v>0</v>
      </c>
      <c r="AG1445" s="182" t="n">
        <v>0</v>
      </c>
      <c r="AH1445" s="182" t="n">
        <v>0</v>
      </c>
      <c r="AI1445" s="182" t="n">
        <v>0</v>
      </c>
      <c r="AJ1445" s="182" t="n">
        <v>0</v>
      </c>
      <c r="AK1445" s="182" t="n">
        <v>0</v>
      </c>
      <c r="AL1445" s="182" t="n">
        <v>0</v>
      </c>
      <c r="AM1445" s="182" t="n">
        <v>0</v>
      </c>
      <c r="AN1445" s="182" t="n">
        <v>0</v>
      </c>
    </row>
    <row r="1446">
      <c r="A1446" s="155" t="n">
        <v>46088</v>
      </c>
      <c r="B1446" s="156" t="inlineStr">
        <is>
          <t>NS</t>
        </is>
      </c>
      <c r="C1446" s="156" t="inlineStr">
        <is>
          <t>HT-406</t>
        </is>
      </c>
      <c r="D1446" s="156" t="inlineStr">
        <is>
          <t>SY430</t>
        </is>
      </c>
      <c r="E1446" s="156" t="inlineStr">
        <is>
          <t>DT Hauling</t>
        </is>
      </c>
      <c r="F1446" s="156" t="inlineStr"/>
      <c r="G1446" s="182" t="n">
        <v>0</v>
      </c>
      <c r="H1446" s="182" t="n">
        <v>0</v>
      </c>
      <c r="I1446" s="182" t="n">
        <v>12</v>
      </c>
      <c r="J1446" s="182" t="n">
        <v>12</v>
      </c>
      <c r="K1446" s="182" t="n">
        <v>0</v>
      </c>
      <c r="L1446" s="182" t="n">
        <v>12</v>
      </c>
      <c r="M1446" s="182" t="n">
        <v>0</v>
      </c>
      <c r="N1446" s="182" t="n">
        <v>0</v>
      </c>
      <c r="O1446" s="183" t="n">
        <v>0</v>
      </c>
      <c r="P1446" s="183" t="n">
        <v>0</v>
      </c>
      <c r="Q1446" s="184" t="n">
        <v>0</v>
      </c>
      <c r="R1446" s="184" t="n">
        <v>0</v>
      </c>
      <c r="S1446" s="183" t="n">
        <v>0</v>
      </c>
      <c r="T1446" s="183" t="n">
        <v>0</v>
      </c>
      <c r="U1446" s="182" t="n">
        <v>0</v>
      </c>
      <c r="V1446" s="182" t="n">
        <v>0</v>
      </c>
      <c r="W1446" s="182" t="n">
        <v>0</v>
      </c>
      <c r="X1446" s="182" t="n">
        <v>0</v>
      </c>
      <c r="Y1446" s="182" t="n">
        <v>0</v>
      </c>
      <c r="Z1446" s="182" t="n">
        <v>0</v>
      </c>
      <c r="AA1446" s="182" t="n">
        <v>0</v>
      </c>
      <c r="AB1446" s="182" t="n">
        <v>0</v>
      </c>
      <c r="AC1446" s="182" t="n">
        <v>0</v>
      </c>
      <c r="AD1446" s="182" t="n">
        <v>0</v>
      </c>
      <c r="AE1446" s="182" t="n">
        <v>0</v>
      </c>
      <c r="AF1446" s="182" t="n">
        <v>0</v>
      </c>
      <c r="AG1446" s="182" t="n">
        <v>0</v>
      </c>
      <c r="AH1446" s="182" t="n">
        <v>0</v>
      </c>
      <c r="AI1446" s="182" t="n">
        <v>0</v>
      </c>
      <c r="AJ1446" s="182" t="n">
        <v>0</v>
      </c>
      <c r="AK1446" s="182" t="n">
        <v>0</v>
      </c>
      <c r="AL1446" s="182" t="n">
        <v>0</v>
      </c>
      <c r="AM1446" s="182" t="n">
        <v>0</v>
      </c>
      <c r="AN1446" s="182" t="n">
        <v>0</v>
      </c>
    </row>
    <row r="1447">
      <c r="A1447" s="155" t="n">
        <v>46088</v>
      </c>
      <c r="B1447" s="156" t="inlineStr">
        <is>
          <t>NS</t>
        </is>
      </c>
      <c r="C1447" s="156" t="inlineStr">
        <is>
          <t>HT-405</t>
        </is>
      </c>
      <c r="D1447" s="156" t="inlineStr">
        <is>
          <t>SY430</t>
        </is>
      </c>
      <c r="E1447" s="156" t="inlineStr">
        <is>
          <t>DT Hauling</t>
        </is>
      </c>
      <c r="F1447" s="156" t="inlineStr"/>
      <c r="G1447" s="182" t="n">
        <v>0</v>
      </c>
      <c r="H1447" s="182" t="n">
        <v>0</v>
      </c>
      <c r="I1447" s="182" t="n">
        <v>0</v>
      </c>
      <c r="J1447" s="182" t="n">
        <v>0</v>
      </c>
      <c r="K1447" s="182" t="n">
        <v>12</v>
      </c>
      <c r="L1447" s="182" t="n">
        <v>12</v>
      </c>
      <c r="M1447" s="182" t="n">
        <v>0</v>
      </c>
      <c r="N1447" s="182" t="n">
        <v>0</v>
      </c>
      <c r="O1447" s="183" t="n">
        <v>0</v>
      </c>
      <c r="P1447" s="183" t="n">
        <v>0</v>
      </c>
      <c r="Q1447" s="184" t="n">
        <v>0</v>
      </c>
      <c r="R1447" s="184" t="n">
        <v>0</v>
      </c>
      <c r="S1447" s="183" t="n">
        <v>0</v>
      </c>
      <c r="T1447" s="183" t="n">
        <v>0</v>
      </c>
      <c r="U1447" s="182" t="n">
        <v>0</v>
      </c>
      <c r="V1447" s="182" t="n">
        <v>0</v>
      </c>
      <c r="W1447" s="182" t="n">
        <v>0</v>
      </c>
      <c r="X1447" s="182" t="n">
        <v>1</v>
      </c>
      <c r="Y1447" s="182" t="n">
        <v>0</v>
      </c>
      <c r="Z1447" s="182" t="n">
        <v>0</v>
      </c>
      <c r="AA1447" s="182" t="n">
        <v>0</v>
      </c>
      <c r="AB1447" s="182" t="n">
        <v>0</v>
      </c>
      <c r="AC1447" s="182" t="n">
        <v>0</v>
      </c>
      <c r="AD1447" s="182" t="n">
        <v>0</v>
      </c>
      <c r="AE1447" s="182" t="n">
        <v>0</v>
      </c>
      <c r="AF1447" s="182" t="n">
        <v>0</v>
      </c>
      <c r="AG1447" s="182" t="n">
        <v>0</v>
      </c>
      <c r="AH1447" s="182" t="n">
        <v>0</v>
      </c>
      <c r="AI1447" s="182" t="n">
        <v>0</v>
      </c>
      <c r="AJ1447" s="182" t="n">
        <v>0</v>
      </c>
      <c r="AK1447" s="182" t="n">
        <v>10.92</v>
      </c>
      <c r="AL1447" s="182" t="n">
        <v>0</v>
      </c>
      <c r="AM1447" s="182" t="n">
        <v>0.08</v>
      </c>
      <c r="AN1447" s="182" t="n">
        <v>0</v>
      </c>
    </row>
    <row r="1448">
      <c r="A1448" s="155" t="n">
        <v>46088</v>
      </c>
      <c r="B1448" s="156" t="inlineStr">
        <is>
          <t>NS</t>
        </is>
      </c>
      <c r="C1448" s="156" t="inlineStr">
        <is>
          <t>HT-417</t>
        </is>
      </c>
      <c r="D1448" s="156" t="inlineStr">
        <is>
          <t>SY430</t>
        </is>
      </c>
      <c r="E1448" s="156" t="inlineStr">
        <is>
          <t>DT Hauling</t>
        </is>
      </c>
      <c r="F1448" s="156" t="inlineStr"/>
      <c r="G1448" s="182" t="n">
        <v>0</v>
      </c>
      <c r="H1448" s="182" t="n">
        <v>0</v>
      </c>
      <c r="I1448" s="182" t="n">
        <v>0</v>
      </c>
      <c r="J1448" s="182" t="n">
        <v>0</v>
      </c>
      <c r="K1448" s="182" t="n">
        <v>12</v>
      </c>
      <c r="L1448" s="182" t="n">
        <v>12</v>
      </c>
      <c r="M1448" s="182" t="n">
        <v>0</v>
      </c>
      <c r="N1448" s="182" t="n">
        <v>0</v>
      </c>
      <c r="O1448" s="183" t="n">
        <v>0</v>
      </c>
      <c r="P1448" s="183" t="n">
        <v>0</v>
      </c>
      <c r="Q1448" s="184" t="n">
        <v>0</v>
      </c>
      <c r="R1448" s="184" t="n">
        <v>0</v>
      </c>
      <c r="S1448" s="183" t="n">
        <v>0</v>
      </c>
      <c r="T1448" s="183" t="n">
        <v>0</v>
      </c>
      <c r="U1448" s="182" t="n">
        <v>0</v>
      </c>
      <c r="V1448" s="182" t="n">
        <v>0</v>
      </c>
      <c r="W1448" s="182" t="n">
        <v>0</v>
      </c>
      <c r="X1448" s="182" t="n">
        <v>1</v>
      </c>
      <c r="Y1448" s="182" t="n">
        <v>0</v>
      </c>
      <c r="Z1448" s="182" t="n">
        <v>0</v>
      </c>
      <c r="AA1448" s="182" t="n">
        <v>0</v>
      </c>
      <c r="AB1448" s="182" t="n">
        <v>0</v>
      </c>
      <c r="AC1448" s="182" t="n">
        <v>0</v>
      </c>
      <c r="AD1448" s="182" t="n">
        <v>0</v>
      </c>
      <c r="AE1448" s="182" t="n">
        <v>0</v>
      </c>
      <c r="AF1448" s="182" t="n">
        <v>0</v>
      </c>
      <c r="AG1448" s="182" t="n">
        <v>0</v>
      </c>
      <c r="AH1448" s="182" t="n">
        <v>0</v>
      </c>
      <c r="AI1448" s="182" t="n">
        <v>0</v>
      </c>
      <c r="AJ1448" s="182" t="n">
        <v>0</v>
      </c>
      <c r="AK1448" s="182" t="n">
        <v>10.92</v>
      </c>
      <c r="AL1448" s="182" t="n">
        <v>0</v>
      </c>
      <c r="AM1448" s="182" t="n">
        <v>0.08</v>
      </c>
      <c r="AN1448" s="182" t="n">
        <v>0</v>
      </c>
    </row>
    <row r="1449">
      <c r="A1449" s="155" t="n">
        <v>46088</v>
      </c>
      <c r="B1449" s="156" t="inlineStr">
        <is>
          <t>NS</t>
        </is>
      </c>
      <c r="C1449" s="156" t="inlineStr">
        <is>
          <t>HT-401</t>
        </is>
      </c>
      <c r="D1449" s="156" t="inlineStr">
        <is>
          <t>SY430</t>
        </is>
      </c>
      <c r="E1449" s="156" t="inlineStr">
        <is>
          <t>DT Hauling</t>
        </is>
      </c>
      <c r="F1449" s="156" t="inlineStr"/>
      <c r="G1449" s="182" t="n">
        <v>0</v>
      </c>
      <c r="H1449" s="182" t="n">
        <v>0</v>
      </c>
      <c r="I1449" s="182" t="n">
        <v>0</v>
      </c>
      <c r="J1449" s="182" t="n">
        <v>0</v>
      </c>
      <c r="K1449" s="182" t="n">
        <v>12</v>
      </c>
      <c r="L1449" s="182" t="n">
        <v>12</v>
      </c>
      <c r="M1449" s="182" t="n">
        <v>0</v>
      </c>
      <c r="N1449" s="182" t="n">
        <v>0</v>
      </c>
      <c r="O1449" s="183" t="n">
        <v>0</v>
      </c>
      <c r="P1449" s="183" t="n">
        <v>0</v>
      </c>
      <c r="Q1449" s="184" t="n">
        <v>0</v>
      </c>
      <c r="R1449" s="184" t="n">
        <v>0</v>
      </c>
      <c r="S1449" s="183" t="n">
        <v>0</v>
      </c>
      <c r="T1449" s="183" t="n">
        <v>0</v>
      </c>
      <c r="U1449" s="182" t="n">
        <v>0</v>
      </c>
      <c r="V1449" s="182" t="n">
        <v>0</v>
      </c>
      <c r="W1449" s="182" t="n">
        <v>0</v>
      </c>
      <c r="X1449" s="182" t="n">
        <v>1</v>
      </c>
      <c r="Y1449" s="182" t="n">
        <v>0</v>
      </c>
      <c r="Z1449" s="182" t="n">
        <v>0</v>
      </c>
      <c r="AA1449" s="182" t="n">
        <v>0</v>
      </c>
      <c r="AB1449" s="182" t="n">
        <v>0</v>
      </c>
      <c r="AC1449" s="182" t="n">
        <v>0</v>
      </c>
      <c r="AD1449" s="182" t="n">
        <v>0</v>
      </c>
      <c r="AE1449" s="182" t="n">
        <v>0</v>
      </c>
      <c r="AF1449" s="182" t="n">
        <v>0</v>
      </c>
      <c r="AG1449" s="182" t="n">
        <v>0</v>
      </c>
      <c r="AH1449" s="182" t="n">
        <v>0</v>
      </c>
      <c r="AI1449" s="182" t="n">
        <v>0</v>
      </c>
      <c r="AJ1449" s="182" t="n">
        <v>0</v>
      </c>
      <c r="AK1449" s="182" t="n">
        <v>10.92</v>
      </c>
      <c r="AL1449" s="182" t="n">
        <v>0</v>
      </c>
      <c r="AM1449" s="182" t="n">
        <v>0.08</v>
      </c>
      <c r="AN1449" s="182" t="n">
        <v>0</v>
      </c>
    </row>
    <row r="1450">
      <c r="A1450" s="155" t="n">
        <v>46088</v>
      </c>
      <c r="B1450" s="156" t="inlineStr">
        <is>
          <t>NS</t>
        </is>
      </c>
      <c r="C1450" s="156" t="inlineStr">
        <is>
          <t>HT-410</t>
        </is>
      </c>
      <c r="D1450" s="156" t="inlineStr">
        <is>
          <t>SY430</t>
        </is>
      </c>
      <c r="E1450" s="156" t="inlineStr">
        <is>
          <t>DT Hauling</t>
        </is>
      </c>
      <c r="F1450" s="156" t="inlineStr"/>
      <c r="G1450" s="182" t="n">
        <v>0</v>
      </c>
      <c r="H1450" s="182" t="n">
        <v>0</v>
      </c>
      <c r="I1450" s="182" t="n">
        <v>0</v>
      </c>
      <c r="J1450" s="182" t="n">
        <v>0</v>
      </c>
      <c r="K1450" s="182" t="n">
        <v>12</v>
      </c>
      <c r="L1450" s="182" t="n">
        <v>12</v>
      </c>
      <c r="M1450" s="182" t="n">
        <v>0</v>
      </c>
      <c r="N1450" s="182" t="n">
        <v>0</v>
      </c>
      <c r="O1450" s="183" t="n">
        <v>0</v>
      </c>
      <c r="P1450" s="183" t="n">
        <v>0</v>
      </c>
      <c r="Q1450" s="184" t="n">
        <v>0</v>
      </c>
      <c r="R1450" s="184" t="n">
        <v>0</v>
      </c>
      <c r="S1450" s="183" t="n">
        <v>0</v>
      </c>
      <c r="T1450" s="183" t="n">
        <v>0</v>
      </c>
      <c r="U1450" s="182" t="n">
        <v>0</v>
      </c>
      <c r="V1450" s="182" t="n">
        <v>0</v>
      </c>
      <c r="W1450" s="182" t="n">
        <v>0</v>
      </c>
      <c r="X1450" s="182" t="n">
        <v>1</v>
      </c>
      <c r="Y1450" s="182" t="n">
        <v>0</v>
      </c>
      <c r="Z1450" s="182" t="n">
        <v>0</v>
      </c>
      <c r="AA1450" s="182" t="n">
        <v>0</v>
      </c>
      <c r="AB1450" s="182" t="n">
        <v>0</v>
      </c>
      <c r="AC1450" s="182" t="n">
        <v>0</v>
      </c>
      <c r="AD1450" s="182" t="n">
        <v>0</v>
      </c>
      <c r="AE1450" s="182" t="n">
        <v>0</v>
      </c>
      <c r="AF1450" s="182" t="n">
        <v>0</v>
      </c>
      <c r="AG1450" s="182" t="n">
        <v>0</v>
      </c>
      <c r="AH1450" s="182" t="n">
        <v>0</v>
      </c>
      <c r="AI1450" s="182" t="n">
        <v>0</v>
      </c>
      <c r="AJ1450" s="182" t="n">
        <v>0</v>
      </c>
      <c r="AK1450" s="182" t="n">
        <v>10.92</v>
      </c>
      <c r="AL1450" s="182" t="n">
        <v>0</v>
      </c>
      <c r="AM1450" s="182" t="n">
        <v>0.08</v>
      </c>
      <c r="AN1450" s="182" t="n">
        <v>0</v>
      </c>
    </row>
    <row r="1451">
      <c r="A1451" s="155" t="n">
        <v>46088</v>
      </c>
      <c r="B1451" s="156" t="inlineStr">
        <is>
          <t>NS</t>
        </is>
      </c>
      <c r="C1451" s="156" t="inlineStr">
        <is>
          <t>HT-402</t>
        </is>
      </c>
      <c r="D1451" s="156" t="inlineStr">
        <is>
          <t>SY430</t>
        </is>
      </c>
      <c r="E1451" s="156" t="inlineStr">
        <is>
          <t>DT Hauling</t>
        </is>
      </c>
      <c r="F1451" s="156" t="inlineStr">
        <is>
          <t>Hauling Coal ke Jetty</t>
        </is>
      </c>
      <c r="G1451" s="182" t="n">
        <v>4.67</v>
      </c>
      <c r="H1451" s="182" t="n">
        <v>0</v>
      </c>
      <c r="I1451" s="182" t="n">
        <v>0</v>
      </c>
      <c r="J1451" s="182" t="n">
        <v>0</v>
      </c>
      <c r="K1451" s="182" t="n">
        <v>7.33</v>
      </c>
      <c r="L1451" s="182" t="n">
        <v>12</v>
      </c>
      <c r="M1451" s="182" t="n">
        <v>0</v>
      </c>
      <c r="N1451" s="182" t="n">
        <v>0</v>
      </c>
      <c r="O1451" s="183" t="n">
        <v>0</v>
      </c>
      <c r="P1451" s="183" t="n">
        <v>0</v>
      </c>
      <c r="Q1451" s="184" t="n">
        <v>0</v>
      </c>
      <c r="R1451" s="184" t="n">
        <v>0</v>
      </c>
      <c r="S1451" s="183" t="n">
        <v>0</v>
      </c>
      <c r="T1451" s="183" t="n">
        <v>0</v>
      </c>
      <c r="U1451" s="182" t="n">
        <v>0</v>
      </c>
      <c r="V1451" s="182" t="n">
        <v>0</v>
      </c>
      <c r="W1451" s="182" t="n">
        <v>0</v>
      </c>
      <c r="X1451" s="182" t="n">
        <v>0.99</v>
      </c>
      <c r="Y1451" s="182" t="n">
        <v>0</v>
      </c>
      <c r="Z1451" s="182" t="n">
        <v>0</v>
      </c>
      <c r="AA1451" s="182" t="n">
        <v>0</v>
      </c>
      <c r="AB1451" s="182" t="n">
        <v>0</v>
      </c>
      <c r="AC1451" s="182" t="n">
        <v>0</v>
      </c>
      <c r="AD1451" s="182" t="n">
        <v>0</v>
      </c>
      <c r="AE1451" s="182" t="n">
        <v>0</v>
      </c>
      <c r="AF1451" s="182" t="n">
        <v>0</v>
      </c>
      <c r="AG1451" s="182" t="n">
        <v>0</v>
      </c>
      <c r="AH1451" s="182" t="n">
        <v>0</v>
      </c>
      <c r="AI1451" s="182" t="n">
        <v>0</v>
      </c>
      <c r="AJ1451" s="182" t="n">
        <v>0</v>
      </c>
      <c r="AK1451" s="182" t="n">
        <v>6.26</v>
      </c>
      <c r="AL1451" s="182" t="n">
        <v>0</v>
      </c>
      <c r="AM1451" s="182" t="n">
        <v>0.08</v>
      </c>
      <c r="AN1451" s="182" t="n">
        <v>0</v>
      </c>
    </row>
    <row r="1452">
      <c r="A1452" s="155" t="n">
        <v>46088</v>
      </c>
      <c r="B1452" s="156" t="inlineStr">
        <is>
          <t>NS</t>
        </is>
      </c>
      <c r="C1452" s="156" t="inlineStr">
        <is>
          <t>HT-419</t>
        </is>
      </c>
      <c r="D1452" s="156" t="inlineStr">
        <is>
          <t>SY430</t>
        </is>
      </c>
      <c r="E1452" s="156" t="inlineStr">
        <is>
          <t>DT Hauling</t>
        </is>
      </c>
      <c r="F1452" s="156" t="inlineStr"/>
      <c r="G1452" s="182" t="n">
        <v>0</v>
      </c>
      <c r="H1452" s="182" t="n">
        <v>0</v>
      </c>
      <c r="I1452" s="182" t="n">
        <v>0</v>
      </c>
      <c r="J1452" s="182" t="n">
        <v>0</v>
      </c>
      <c r="K1452" s="182" t="n">
        <v>12</v>
      </c>
      <c r="L1452" s="182" t="n">
        <v>12</v>
      </c>
      <c r="M1452" s="182" t="n">
        <v>0</v>
      </c>
      <c r="N1452" s="182" t="n">
        <v>0</v>
      </c>
      <c r="O1452" s="183" t="n">
        <v>0</v>
      </c>
      <c r="P1452" s="183" t="n">
        <v>0</v>
      </c>
      <c r="Q1452" s="184" t="n">
        <v>0</v>
      </c>
      <c r="R1452" s="184" t="n">
        <v>0</v>
      </c>
      <c r="S1452" s="183" t="n">
        <v>0</v>
      </c>
      <c r="T1452" s="183" t="n">
        <v>0</v>
      </c>
      <c r="U1452" s="182" t="n">
        <v>0</v>
      </c>
      <c r="V1452" s="182" t="n">
        <v>0</v>
      </c>
      <c r="W1452" s="182" t="n">
        <v>0</v>
      </c>
      <c r="X1452" s="182" t="n">
        <v>1</v>
      </c>
      <c r="Y1452" s="182" t="n">
        <v>0</v>
      </c>
      <c r="Z1452" s="182" t="n">
        <v>0</v>
      </c>
      <c r="AA1452" s="182" t="n">
        <v>0</v>
      </c>
      <c r="AB1452" s="182" t="n">
        <v>0</v>
      </c>
      <c r="AC1452" s="182" t="n">
        <v>0</v>
      </c>
      <c r="AD1452" s="182" t="n">
        <v>0</v>
      </c>
      <c r="AE1452" s="182" t="n">
        <v>0</v>
      </c>
      <c r="AF1452" s="182" t="n">
        <v>0</v>
      </c>
      <c r="AG1452" s="182" t="n">
        <v>0</v>
      </c>
      <c r="AH1452" s="182" t="n">
        <v>0</v>
      </c>
      <c r="AI1452" s="182" t="n">
        <v>0</v>
      </c>
      <c r="AJ1452" s="182" t="n">
        <v>0</v>
      </c>
      <c r="AK1452" s="182" t="n">
        <v>10.92</v>
      </c>
      <c r="AL1452" s="182" t="n">
        <v>0</v>
      </c>
      <c r="AM1452" s="182" t="n">
        <v>0.08</v>
      </c>
      <c r="AN1452" s="182" t="n">
        <v>0</v>
      </c>
    </row>
    <row r="1453">
      <c r="A1453" s="155" t="n">
        <v>46088</v>
      </c>
      <c r="B1453" s="156" t="inlineStr">
        <is>
          <t>NS</t>
        </is>
      </c>
      <c r="C1453" s="156" t="inlineStr">
        <is>
          <t>HT-416</t>
        </is>
      </c>
      <c r="D1453" s="156" t="inlineStr">
        <is>
          <t>SY430</t>
        </is>
      </c>
      <c r="E1453" s="156" t="inlineStr">
        <is>
          <t>DT Hauling</t>
        </is>
      </c>
      <c r="F1453" s="156" t="inlineStr">
        <is>
          <t>Hauling Coal ke Jetty</t>
        </is>
      </c>
      <c r="G1453" s="182" t="n">
        <v>4.75</v>
      </c>
      <c r="H1453" s="182" t="n">
        <v>0</v>
      </c>
      <c r="I1453" s="182" t="n">
        <v>0</v>
      </c>
      <c r="J1453" s="182" t="n">
        <v>0</v>
      </c>
      <c r="K1453" s="182" t="n">
        <v>7.25</v>
      </c>
      <c r="L1453" s="182" t="n">
        <v>12</v>
      </c>
      <c r="M1453" s="182" t="n">
        <v>0</v>
      </c>
      <c r="N1453" s="182" t="n">
        <v>0</v>
      </c>
      <c r="O1453" s="183" t="n">
        <v>0</v>
      </c>
      <c r="P1453" s="183" t="n">
        <v>0</v>
      </c>
      <c r="Q1453" s="184" t="n">
        <v>0</v>
      </c>
      <c r="R1453" s="184" t="n">
        <v>0</v>
      </c>
      <c r="S1453" s="183" t="n">
        <v>0</v>
      </c>
      <c r="T1453" s="183" t="n">
        <v>0</v>
      </c>
      <c r="U1453" s="182" t="n">
        <v>0</v>
      </c>
      <c r="V1453" s="182" t="n">
        <v>0</v>
      </c>
      <c r="W1453" s="182" t="n">
        <v>0</v>
      </c>
      <c r="X1453" s="182" t="n">
        <v>1.05</v>
      </c>
      <c r="Y1453" s="182" t="n">
        <v>0</v>
      </c>
      <c r="Z1453" s="182" t="n">
        <v>0</v>
      </c>
      <c r="AA1453" s="182" t="n">
        <v>0</v>
      </c>
      <c r="AB1453" s="182" t="n">
        <v>0</v>
      </c>
      <c r="AC1453" s="182" t="n">
        <v>0</v>
      </c>
      <c r="AD1453" s="182" t="n">
        <v>0</v>
      </c>
      <c r="AE1453" s="182" t="n">
        <v>0</v>
      </c>
      <c r="AF1453" s="182" t="n">
        <v>0</v>
      </c>
      <c r="AG1453" s="182" t="n">
        <v>0</v>
      </c>
      <c r="AH1453" s="182" t="n">
        <v>0</v>
      </c>
      <c r="AI1453" s="182" t="n">
        <v>0</v>
      </c>
      <c r="AJ1453" s="182" t="n">
        <v>0</v>
      </c>
      <c r="AK1453" s="182" t="n">
        <v>6.12</v>
      </c>
      <c r="AL1453" s="182" t="n">
        <v>0</v>
      </c>
      <c r="AM1453" s="182" t="n">
        <v>0.08</v>
      </c>
      <c r="AN1453" s="182" t="n">
        <v>0</v>
      </c>
    </row>
    <row r="1454">
      <c r="A1454" s="155" t="n">
        <v>46088</v>
      </c>
      <c r="B1454" s="156" t="inlineStr">
        <is>
          <t>NS</t>
        </is>
      </c>
      <c r="C1454" s="156" t="inlineStr">
        <is>
          <t>HT-420</t>
        </is>
      </c>
      <c r="D1454" s="156" t="inlineStr">
        <is>
          <t>SY430</t>
        </is>
      </c>
      <c r="E1454" s="156" t="inlineStr">
        <is>
          <t>DT Hauling</t>
        </is>
      </c>
      <c r="F1454" s="156" t="inlineStr">
        <is>
          <t>Hauling Coal ke Jetty</t>
        </is>
      </c>
      <c r="G1454" s="182" t="n">
        <v>4.68</v>
      </c>
      <c r="H1454" s="182" t="n">
        <v>0</v>
      </c>
      <c r="I1454" s="182" t="n">
        <v>0</v>
      </c>
      <c r="J1454" s="182" t="n">
        <v>0</v>
      </c>
      <c r="K1454" s="182" t="n">
        <v>7.32</v>
      </c>
      <c r="L1454" s="182" t="n">
        <v>12</v>
      </c>
      <c r="M1454" s="182" t="n">
        <v>0</v>
      </c>
      <c r="N1454" s="182" t="n">
        <v>0</v>
      </c>
      <c r="O1454" s="183" t="n">
        <v>0</v>
      </c>
      <c r="P1454" s="183" t="n">
        <v>0</v>
      </c>
      <c r="Q1454" s="184" t="n">
        <v>0</v>
      </c>
      <c r="R1454" s="184" t="n">
        <v>0</v>
      </c>
      <c r="S1454" s="183" t="n">
        <v>0</v>
      </c>
      <c r="T1454" s="183" t="n">
        <v>0</v>
      </c>
      <c r="U1454" s="182" t="n">
        <v>0</v>
      </c>
      <c r="V1454" s="182" t="n">
        <v>0</v>
      </c>
      <c r="W1454" s="182" t="n">
        <v>0</v>
      </c>
      <c r="X1454" s="182" t="n">
        <v>0.96</v>
      </c>
      <c r="Y1454" s="182" t="n">
        <v>0</v>
      </c>
      <c r="Z1454" s="182" t="n">
        <v>0</v>
      </c>
      <c r="AA1454" s="182" t="n">
        <v>0</v>
      </c>
      <c r="AB1454" s="182" t="n">
        <v>0</v>
      </c>
      <c r="AC1454" s="182" t="n">
        <v>0</v>
      </c>
      <c r="AD1454" s="182" t="n">
        <v>0</v>
      </c>
      <c r="AE1454" s="182" t="n">
        <v>0</v>
      </c>
      <c r="AF1454" s="182" t="n">
        <v>0</v>
      </c>
      <c r="AG1454" s="182" t="n">
        <v>0</v>
      </c>
      <c r="AH1454" s="182" t="n">
        <v>0</v>
      </c>
      <c r="AI1454" s="182" t="n">
        <v>0</v>
      </c>
      <c r="AJ1454" s="182" t="n">
        <v>0</v>
      </c>
      <c r="AK1454" s="182" t="n">
        <v>6.28</v>
      </c>
      <c r="AL1454" s="182" t="n">
        <v>0</v>
      </c>
      <c r="AM1454" s="182" t="n">
        <v>0.08</v>
      </c>
      <c r="AN1454" s="182" t="n">
        <v>0</v>
      </c>
    </row>
    <row r="1455">
      <c r="A1455" s="155" t="n">
        <v>46088</v>
      </c>
      <c r="B1455" s="156" t="inlineStr">
        <is>
          <t>NS</t>
        </is>
      </c>
      <c r="C1455" s="156" t="inlineStr">
        <is>
          <t>HT-403</t>
        </is>
      </c>
      <c r="D1455" s="156" t="inlineStr">
        <is>
          <t>SY430</t>
        </is>
      </c>
      <c r="E1455" s="156" t="inlineStr">
        <is>
          <t>DT Hauling</t>
        </is>
      </c>
      <c r="F1455" s="156" t="inlineStr">
        <is>
          <t>Hauling Coal ke Jetty</t>
        </is>
      </c>
      <c r="G1455" s="182" t="n">
        <v>5.44</v>
      </c>
      <c r="H1455" s="182" t="n">
        <v>0</v>
      </c>
      <c r="I1455" s="182" t="n">
        <v>0.52</v>
      </c>
      <c r="J1455" s="182" t="n">
        <v>0.52</v>
      </c>
      <c r="K1455" s="182" t="n">
        <v>6.04</v>
      </c>
      <c r="L1455" s="182" t="n">
        <v>12</v>
      </c>
      <c r="M1455" s="182" t="n">
        <v>0</v>
      </c>
      <c r="N1455" s="182" t="n">
        <v>0</v>
      </c>
      <c r="O1455" s="183" t="n">
        <v>0</v>
      </c>
      <c r="P1455" s="183" t="n">
        <v>0</v>
      </c>
      <c r="Q1455" s="184" t="n">
        <v>0</v>
      </c>
      <c r="R1455" s="184" t="n">
        <v>0</v>
      </c>
      <c r="S1455" s="183" t="n">
        <v>0</v>
      </c>
      <c r="T1455" s="183" t="n">
        <v>0</v>
      </c>
      <c r="U1455" s="182" t="n">
        <v>0</v>
      </c>
      <c r="V1455" s="182" t="n">
        <v>0</v>
      </c>
      <c r="W1455" s="182" t="n">
        <v>0</v>
      </c>
      <c r="X1455" s="182" t="n">
        <v>0.99</v>
      </c>
      <c r="Y1455" s="182" t="n">
        <v>0</v>
      </c>
      <c r="Z1455" s="182" t="n">
        <v>0</v>
      </c>
      <c r="AA1455" s="182" t="n">
        <v>0</v>
      </c>
      <c r="AB1455" s="182" t="n">
        <v>0</v>
      </c>
      <c r="AC1455" s="182" t="n">
        <v>0</v>
      </c>
      <c r="AD1455" s="182" t="n">
        <v>0</v>
      </c>
      <c r="AE1455" s="182" t="n">
        <v>0</v>
      </c>
      <c r="AF1455" s="182" t="n">
        <v>0</v>
      </c>
      <c r="AG1455" s="182" t="n">
        <v>0</v>
      </c>
      <c r="AH1455" s="182" t="n">
        <v>0</v>
      </c>
      <c r="AI1455" s="182" t="n">
        <v>0</v>
      </c>
      <c r="AJ1455" s="182" t="n">
        <v>0</v>
      </c>
      <c r="AK1455" s="182" t="n">
        <v>4.97</v>
      </c>
      <c r="AL1455" s="182" t="n">
        <v>0</v>
      </c>
      <c r="AM1455" s="182" t="n">
        <v>0.08</v>
      </c>
      <c r="AN1455" s="182" t="n">
        <v>0</v>
      </c>
    </row>
    <row r="1456">
      <c r="A1456" s="155" t="n">
        <v>46088</v>
      </c>
      <c r="B1456" s="156" t="inlineStr">
        <is>
          <t>NS</t>
        </is>
      </c>
      <c r="C1456" s="156" t="inlineStr">
        <is>
          <t>HT-408</t>
        </is>
      </c>
      <c r="D1456" s="156" t="inlineStr">
        <is>
          <t>SY430</t>
        </is>
      </c>
      <c r="E1456" s="156" t="inlineStr">
        <is>
          <t>DT Hauling</t>
        </is>
      </c>
      <c r="F1456" s="156" t="inlineStr">
        <is>
          <t>Hauling Coal ke Jetty</t>
        </is>
      </c>
      <c r="G1456" s="182" t="n">
        <v>1.28</v>
      </c>
      <c r="H1456" s="182" t="n">
        <v>0</v>
      </c>
      <c r="I1456" s="182" t="n">
        <v>10.72</v>
      </c>
      <c r="J1456" s="182" t="n">
        <v>10.72</v>
      </c>
      <c r="K1456" s="182" t="n">
        <v>0</v>
      </c>
      <c r="L1456" s="182" t="n">
        <v>12</v>
      </c>
      <c r="M1456" s="182" t="n">
        <v>0</v>
      </c>
      <c r="N1456" s="182" t="n">
        <v>0</v>
      </c>
      <c r="O1456" s="183" t="n">
        <v>0</v>
      </c>
      <c r="P1456" s="183" t="n">
        <v>0</v>
      </c>
      <c r="Q1456" s="184" t="n">
        <v>0</v>
      </c>
      <c r="R1456" s="184" t="n">
        <v>0</v>
      </c>
      <c r="S1456" s="183" t="n">
        <v>0</v>
      </c>
      <c r="T1456" s="183" t="n">
        <v>0</v>
      </c>
      <c r="U1456" s="182" t="n">
        <v>0</v>
      </c>
      <c r="V1456" s="182" t="n">
        <v>0</v>
      </c>
      <c r="W1456" s="182" t="n">
        <v>0</v>
      </c>
      <c r="X1456" s="182" t="n">
        <v>0</v>
      </c>
      <c r="Y1456" s="182" t="n">
        <v>0</v>
      </c>
      <c r="Z1456" s="182" t="n">
        <v>0</v>
      </c>
      <c r="AA1456" s="182" t="n">
        <v>0</v>
      </c>
      <c r="AB1456" s="182" t="n">
        <v>0</v>
      </c>
      <c r="AC1456" s="182" t="n">
        <v>0</v>
      </c>
      <c r="AD1456" s="182" t="n">
        <v>0</v>
      </c>
      <c r="AE1456" s="182" t="n">
        <v>0</v>
      </c>
      <c r="AF1456" s="182" t="n">
        <v>0</v>
      </c>
      <c r="AG1456" s="182" t="n">
        <v>0</v>
      </c>
      <c r="AH1456" s="182" t="n">
        <v>0</v>
      </c>
      <c r="AI1456" s="182" t="n">
        <v>0</v>
      </c>
      <c r="AJ1456" s="182" t="n">
        <v>0</v>
      </c>
      <c r="AK1456" s="182" t="n">
        <v>0</v>
      </c>
      <c r="AL1456" s="182" t="n">
        <v>0</v>
      </c>
      <c r="AM1456" s="182" t="n">
        <v>0</v>
      </c>
      <c r="AN1456" s="182" t="n">
        <v>0</v>
      </c>
    </row>
    <row r="1457">
      <c r="A1457" s="155" t="n">
        <v>46088</v>
      </c>
      <c r="B1457" s="156" t="inlineStr">
        <is>
          <t>NS</t>
        </is>
      </c>
      <c r="C1457" s="156" t="inlineStr">
        <is>
          <t>HT-412</t>
        </is>
      </c>
      <c r="D1457" s="156" t="inlineStr">
        <is>
          <t>SY430</t>
        </is>
      </c>
      <c r="E1457" s="156" t="inlineStr">
        <is>
          <t>DT Hauling</t>
        </is>
      </c>
      <c r="F1457" s="156" t="inlineStr">
        <is>
          <t>Hauling Coal ke Jetty</t>
        </is>
      </c>
      <c r="G1457" s="182" t="n">
        <v>4.01</v>
      </c>
      <c r="H1457" s="182" t="n">
        <v>0</v>
      </c>
      <c r="I1457" s="182" t="n">
        <v>0</v>
      </c>
      <c r="J1457" s="182" t="n">
        <v>0</v>
      </c>
      <c r="K1457" s="182" t="n">
        <v>7.99</v>
      </c>
      <c r="L1457" s="182" t="n">
        <v>12</v>
      </c>
      <c r="M1457" s="182" t="n">
        <v>0</v>
      </c>
      <c r="N1457" s="182" t="n">
        <v>0</v>
      </c>
      <c r="O1457" s="183" t="n">
        <v>0</v>
      </c>
      <c r="P1457" s="183" t="n">
        <v>0</v>
      </c>
      <c r="Q1457" s="184" t="n">
        <v>0</v>
      </c>
      <c r="R1457" s="184" t="n">
        <v>0</v>
      </c>
      <c r="S1457" s="183" t="n">
        <v>0</v>
      </c>
      <c r="T1457" s="183" t="n">
        <v>0</v>
      </c>
      <c r="U1457" s="182" t="n">
        <v>0</v>
      </c>
      <c r="V1457" s="182" t="n">
        <v>0</v>
      </c>
      <c r="W1457" s="182" t="n">
        <v>0</v>
      </c>
      <c r="X1457" s="182" t="n">
        <v>1.05</v>
      </c>
      <c r="Y1457" s="182" t="n">
        <v>0</v>
      </c>
      <c r="Z1457" s="182" t="n">
        <v>0</v>
      </c>
      <c r="AA1457" s="182" t="n">
        <v>0</v>
      </c>
      <c r="AB1457" s="182" t="n">
        <v>0</v>
      </c>
      <c r="AC1457" s="182" t="n">
        <v>0</v>
      </c>
      <c r="AD1457" s="182" t="n">
        <v>0</v>
      </c>
      <c r="AE1457" s="182" t="n">
        <v>0</v>
      </c>
      <c r="AF1457" s="182" t="n">
        <v>0</v>
      </c>
      <c r="AG1457" s="182" t="n">
        <v>0</v>
      </c>
      <c r="AH1457" s="182" t="n">
        <v>0</v>
      </c>
      <c r="AI1457" s="182" t="n">
        <v>0</v>
      </c>
      <c r="AJ1457" s="182" t="n">
        <v>0</v>
      </c>
      <c r="AK1457" s="182" t="n">
        <v>6.85</v>
      </c>
      <c r="AL1457" s="182" t="n">
        <v>0</v>
      </c>
      <c r="AM1457" s="182" t="n">
        <v>0.08</v>
      </c>
      <c r="AN1457" s="182" t="n">
        <v>0</v>
      </c>
    </row>
    <row r="1458">
      <c r="A1458" s="155" t="n">
        <v>46088</v>
      </c>
      <c r="B1458" s="156" t="inlineStr">
        <is>
          <t>NS</t>
        </is>
      </c>
      <c r="C1458" s="156" t="inlineStr">
        <is>
          <t>HT-413</t>
        </is>
      </c>
      <c r="D1458" s="156" t="inlineStr">
        <is>
          <t>SY430</t>
        </is>
      </c>
      <c r="E1458" s="156" t="inlineStr">
        <is>
          <t>DT Hauling</t>
        </is>
      </c>
      <c r="F1458" s="156" t="inlineStr"/>
      <c r="G1458" s="182" t="n">
        <v>0</v>
      </c>
      <c r="H1458" s="182" t="n">
        <v>0</v>
      </c>
      <c r="I1458" s="182" t="n">
        <v>12</v>
      </c>
      <c r="J1458" s="182" t="n">
        <v>12</v>
      </c>
      <c r="K1458" s="182" t="n">
        <v>0</v>
      </c>
      <c r="L1458" s="182" t="n">
        <v>12</v>
      </c>
      <c r="M1458" s="182" t="n">
        <v>0</v>
      </c>
      <c r="N1458" s="182" t="n">
        <v>0</v>
      </c>
      <c r="O1458" s="183" t="n">
        <v>0</v>
      </c>
      <c r="P1458" s="183" t="n">
        <v>0</v>
      </c>
      <c r="Q1458" s="184" t="n">
        <v>0</v>
      </c>
      <c r="R1458" s="184" t="n">
        <v>0</v>
      </c>
      <c r="S1458" s="183" t="n">
        <v>0</v>
      </c>
      <c r="T1458" s="183" t="n">
        <v>0</v>
      </c>
      <c r="U1458" s="182" t="n">
        <v>0</v>
      </c>
      <c r="V1458" s="182" t="n">
        <v>0</v>
      </c>
      <c r="W1458" s="182" t="n">
        <v>0</v>
      </c>
      <c r="X1458" s="182" t="n">
        <v>0</v>
      </c>
      <c r="Y1458" s="182" t="n">
        <v>0</v>
      </c>
      <c r="Z1458" s="182" t="n">
        <v>0</v>
      </c>
      <c r="AA1458" s="182" t="n">
        <v>0</v>
      </c>
      <c r="AB1458" s="182" t="n">
        <v>0</v>
      </c>
      <c r="AC1458" s="182" t="n">
        <v>0</v>
      </c>
      <c r="AD1458" s="182" t="n">
        <v>0</v>
      </c>
      <c r="AE1458" s="182" t="n">
        <v>0</v>
      </c>
      <c r="AF1458" s="182" t="n">
        <v>0</v>
      </c>
      <c r="AG1458" s="182" t="n">
        <v>0</v>
      </c>
      <c r="AH1458" s="182" t="n">
        <v>0</v>
      </c>
      <c r="AI1458" s="182" t="n">
        <v>0</v>
      </c>
      <c r="AJ1458" s="182" t="n">
        <v>0</v>
      </c>
      <c r="AK1458" s="182" t="n">
        <v>0</v>
      </c>
      <c r="AL1458" s="182" t="n">
        <v>0</v>
      </c>
      <c r="AM1458" s="182" t="n">
        <v>0</v>
      </c>
      <c r="AN1458" s="182" t="n">
        <v>0</v>
      </c>
    </row>
    <row r="1459">
      <c r="A1459" s="155" t="n">
        <v>46088</v>
      </c>
      <c r="B1459" s="156" t="inlineStr">
        <is>
          <t>NS</t>
        </is>
      </c>
      <c r="C1459" s="156" t="inlineStr">
        <is>
          <t>HT-407</t>
        </is>
      </c>
      <c r="D1459" s="156" t="inlineStr">
        <is>
          <t>SY430</t>
        </is>
      </c>
      <c r="E1459" s="156" t="inlineStr">
        <is>
          <t>DT Hauling</t>
        </is>
      </c>
      <c r="F1459" s="156" t="inlineStr">
        <is>
          <t>Hauling Coal ke Jetty</t>
        </is>
      </c>
      <c r="G1459" s="182" t="n">
        <v>4.45</v>
      </c>
      <c r="H1459" s="182" t="n">
        <v>0</v>
      </c>
      <c r="I1459" s="182" t="n">
        <v>0</v>
      </c>
      <c r="J1459" s="182" t="n">
        <v>0</v>
      </c>
      <c r="K1459" s="182" t="n">
        <v>7.55</v>
      </c>
      <c r="L1459" s="182" t="n">
        <v>12</v>
      </c>
      <c r="M1459" s="182" t="n">
        <v>0</v>
      </c>
      <c r="N1459" s="182" t="n">
        <v>0</v>
      </c>
      <c r="O1459" s="183" t="n">
        <v>0</v>
      </c>
      <c r="P1459" s="183" t="n">
        <v>0</v>
      </c>
      <c r="Q1459" s="184" t="n">
        <v>0</v>
      </c>
      <c r="R1459" s="184" t="n">
        <v>0</v>
      </c>
      <c r="S1459" s="183" t="n">
        <v>0</v>
      </c>
      <c r="T1459" s="183" t="n">
        <v>0</v>
      </c>
      <c r="U1459" s="182" t="n">
        <v>0</v>
      </c>
      <c r="V1459" s="182" t="n">
        <v>0</v>
      </c>
      <c r="W1459" s="182" t="n">
        <v>0</v>
      </c>
      <c r="X1459" s="182" t="n">
        <v>0.98</v>
      </c>
      <c r="Y1459" s="182" t="n">
        <v>0</v>
      </c>
      <c r="Z1459" s="182" t="n">
        <v>0</v>
      </c>
      <c r="AA1459" s="182" t="n">
        <v>0</v>
      </c>
      <c r="AB1459" s="182" t="n">
        <v>0</v>
      </c>
      <c r="AC1459" s="182" t="n">
        <v>0</v>
      </c>
      <c r="AD1459" s="182" t="n">
        <v>0</v>
      </c>
      <c r="AE1459" s="182" t="n">
        <v>0</v>
      </c>
      <c r="AF1459" s="182" t="n">
        <v>0</v>
      </c>
      <c r="AG1459" s="182" t="n">
        <v>0</v>
      </c>
      <c r="AH1459" s="182" t="n">
        <v>0</v>
      </c>
      <c r="AI1459" s="182" t="n">
        <v>0</v>
      </c>
      <c r="AJ1459" s="182" t="n">
        <v>0</v>
      </c>
      <c r="AK1459" s="182" t="n">
        <v>6.49</v>
      </c>
      <c r="AL1459" s="182" t="n">
        <v>0</v>
      </c>
      <c r="AM1459" s="182" t="n">
        <v>0.08</v>
      </c>
      <c r="AN1459" s="182" t="n">
        <v>0</v>
      </c>
    </row>
    <row r="1460">
      <c r="A1460" s="155" t="n">
        <v>46088</v>
      </c>
      <c r="B1460" s="156" t="inlineStr">
        <is>
          <t>NS</t>
        </is>
      </c>
      <c r="C1460" s="156" t="inlineStr">
        <is>
          <t>HT-414</t>
        </is>
      </c>
      <c r="D1460" s="156" t="inlineStr">
        <is>
          <t>SY430</t>
        </is>
      </c>
      <c r="E1460" s="156" t="inlineStr">
        <is>
          <t>DT Hauling</t>
        </is>
      </c>
      <c r="F1460" s="156" t="inlineStr">
        <is>
          <t>Hauling Coal ke Jetty</t>
        </is>
      </c>
      <c r="G1460" s="182" t="n">
        <v>5.44</v>
      </c>
      <c r="H1460" s="182" t="n">
        <v>0</v>
      </c>
      <c r="I1460" s="182" t="n">
        <v>0</v>
      </c>
      <c r="J1460" s="182" t="n">
        <v>0</v>
      </c>
      <c r="K1460" s="182" t="n">
        <v>6.56</v>
      </c>
      <c r="L1460" s="182" t="n">
        <v>12</v>
      </c>
      <c r="M1460" s="182" t="n">
        <v>0</v>
      </c>
      <c r="N1460" s="182" t="n">
        <v>0</v>
      </c>
      <c r="O1460" s="183" t="n">
        <v>0</v>
      </c>
      <c r="P1460" s="183" t="n">
        <v>0</v>
      </c>
      <c r="Q1460" s="184" t="n">
        <v>0</v>
      </c>
      <c r="R1460" s="184" t="n">
        <v>0</v>
      </c>
      <c r="S1460" s="183" t="n">
        <v>0</v>
      </c>
      <c r="T1460" s="183" t="n">
        <v>0</v>
      </c>
      <c r="U1460" s="182" t="n">
        <v>0</v>
      </c>
      <c r="V1460" s="182" t="n">
        <v>0</v>
      </c>
      <c r="W1460" s="182" t="n">
        <v>0</v>
      </c>
      <c r="X1460" s="182" t="n">
        <v>0.9399999999999999</v>
      </c>
      <c r="Y1460" s="182" t="n">
        <v>0</v>
      </c>
      <c r="Z1460" s="182" t="n">
        <v>0</v>
      </c>
      <c r="AA1460" s="182" t="n">
        <v>0</v>
      </c>
      <c r="AB1460" s="182" t="n">
        <v>0</v>
      </c>
      <c r="AC1460" s="182" t="n">
        <v>0</v>
      </c>
      <c r="AD1460" s="182" t="n">
        <v>0</v>
      </c>
      <c r="AE1460" s="182" t="n">
        <v>0</v>
      </c>
      <c r="AF1460" s="182" t="n">
        <v>0</v>
      </c>
      <c r="AG1460" s="182" t="n">
        <v>0</v>
      </c>
      <c r="AH1460" s="182" t="n">
        <v>0</v>
      </c>
      <c r="AI1460" s="182" t="n">
        <v>0</v>
      </c>
      <c r="AJ1460" s="182" t="n">
        <v>0</v>
      </c>
      <c r="AK1460" s="182" t="n">
        <v>5.55</v>
      </c>
      <c r="AL1460" s="182" t="n">
        <v>0</v>
      </c>
      <c r="AM1460" s="182" t="n">
        <v>0.07000000000000001</v>
      </c>
      <c r="AN1460" s="182" t="n">
        <v>0</v>
      </c>
    </row>
    <row r="1461">
      <c r="A1461" s="155" t="n">
        <v>46088</v>
      </c>
      <c r="B1461" s="156" t="inlineStr">
        <is>
          <t>NS</t>
        </is>
      </c>
      <c r="C1461" s="156" t="inlineStr">
        <is>
          <t>HT-411</t>
        </is>
      </c>
      <c r="D1461" s="156" t="inlineStr">
        <is>
          <t>SY430</t>
        </is>
      </c>
      <c r="E1461" s="156" t="inlineStr">
        <is>
          <t>DT Hauling</t>
        </is>
      </c>
      <c r="F1461" s="156" t="inlineStr"/>
      <c r="G1461" s="182" t="n">
        <v>0</v>
      </c>
      <c r="H1461" s="182" t="n">
        <v>0</v>
      </c>
      <c r="I1461" s="182" t="n">
        <v>0</v>
      </c>
      <c r="J1461" s="182" t="n">
        <v>0</v>
      </c>
      <c r="K1461" s="182" t="n">
        <v>12</v>
      </c>
      <c r="L1461" s="182" t="n">
        <v>12</v>
      </c>
      <c r="M1461" s="182" t="n">
        <v>0</v>
      </c>
      <c r="N1461" s="182" t="n">
        <v>0</v>
      </c>
      <c r="O1461" s="183" t="n">
        <v>0</v>
      </c>
      <c r="P1461" s="183" t="n">
        <v>0</v>
      </c>
      <c r="Q1461" s="184" t="n">
        <v>0</v>
      </c>
      <c r="R1461" s="184" t="n">
        <v>0</v>
      </c>
      <c r="S1461" s="183" t="n">
        <v>0</v>
      </c>
      <c r="T1461" s="183" t="n">
        <v>0</v>
      </c>
      <c r="U1461" s="182" t="n">
        <v>0</v>
      </c>
      <c r="V1461" s="182" t="n">
        <v>0</v>
      </c>
      <c r="W1461" s="182" t="n">
        <v>0</v>
      </c>
      <c r="X1461" s="182" t="n">
        <v>1</v>
      </c>
      <c r="Y1461" s="182" t="n">
        <v>0</v>
      </c>
      <c r="Z1461" s="182" t="n">
        <v>0</v>
      </c>
      <c r="AA1461" s="182" t="n">
        <v>0</v>
      </c>
      <c r="AB1461" s="182" t="n">
        <v>0</v>
      </c>
      <c r="AC1461" s="182" t="n">
        <v>0</v>
      </c>
      <c r="AD1461" s="182" t="n">
        <v>0</v>
      </c>
      <c r="AE1461" s="182" t="n">
        <v>0</v>
      </c>
      <c r="AF1461" s="182" t="n">
        <v>0</v>
      </c>
      <c r="AG1461" s="182" t="n">
        <v>0</v>
      </c>
      <c r="AH1461" s="182" t="n">
        <v>0</v>
      </c>
      <c r="AI1461" s="182" t="n">
        <v>0</v>
      </c>
      <c r="AJ1461" s="182" t="n">
        <v>0</v>
      </c>
      <c r="AK1461" s="182" t="n">
        <v>10.92</v>
      </c>
      <c r="AL1461" s="182" t="n">
        <v>0</v>
      </c>
      <c r="AM1461" s="182" t="n">
        <v>0.08</v>
      </c>
      <c r="AN1461" s="182" t="n">
        <v>0</v>
      </c>
    </row>
    <row r="1462">
      <c r="A1462" s="155" t="n">
        <v>46088</v>
      </c>
      <c r="B1462" s="156" t="inlineStr">
        <is>
          <t>NS</t>
        </is>
      </c>
      <c r="C1462" s="156" t="inlineStr">
        <is>
          <t>HT-409</t>
        </is>
      </c>
      <c r="D1462" s="156" t="inlineStr">
        <is>
          <t>SY430</t>
        </is>
      </c>
      <c r="E1462" s="156" t="inlineStr">
        <is>
          <t>DT Hauling</t>
        </is>
      </c>
      <c r="F1462" s="156" t="inlineStr">
        <is>
          <t>Hauling Coal ke Jetty</t>
        </is>
      </c>
      <c r="G1462" s="182" t="n">
        <v>4.39</v>
      </c>
      <c r="H1462" s="182" t="n">
        <v>0</v>
      </c>
      <c r="I1462" s="182" t="n">
        <v>0</v>
      </c>
      <c r="J1462" s="182" t="n">
        <v>0</v>
      </c>
      <c r="K1462" s="182" t="n">
        <v>7.61</v>
      </c>
      <c r="L1462" s="182" t="n">
        <v>12</v>
      </c>
      <c r="M1462" s="182" t="n">
        <v>0</v>
      </c>
      <c r="N1462" s="182" t="n">
        <v>0</v>
      </c>
      <c r="O1462" s="183" t="n">
        <v>0</v>
      </c>
      <c r="P1462" s="183" t="n">
        <v>0</v>
      </c>
      <c r="Q1462" s="184" t="n">
        <v>0</v>
      </c>
      <c r="R1462" s="184" t="n">
        <v>0</v>
      </c>
      <c r="S1462" s="183" t="n">
        <v>0</v>
      </c>
      <c r="T1462" s="183" t="n">
        <v>0</v>
      </c>
      <c r="U1462" s="182" t="n">
        <v>0</v>
      </c>
      <c r="V1462" s="182" t="n">
        <v>0</v>
      </c>
      <c r="W1462" s="182" t="n">
        <v>0</v>
      </c>
      <c r="X1462" s="182" t="n">
        <v>1.01</v>
      </c>
      <c r="Y1462" s="182" t="n">
        <v>0</v>
      </c>
      <c r="Z1462" s="182" t="n">
        <v>0</v>
      </c>
      <c r="AA1462" s="182" t="n">
        <v>0</v>
      </c>
      <c r="AB1462" s="182" t="n">
        <v>0</v>
      </c>
      <c r="AC1462" s="182" t="n">
        <v>0</v>
      </c>
      <c r="AD1462" s="182" t="n">
        <v>0</v>
      </c>
      <c r="AE1462" s="182" t="n">
        <v>0</v>
      </c>
      <c r="AF1462" s="182" t="n">
        <v>0</v>
      </c>
      <c r="AG1462" s="182" t="n">
        <v>0</v>
      </c>
      <c r="AH1462" s="182" t="n">
        <v>0</v>
      </c>
      <c r="AI1462" s="182" t="n">
        <v>0</v>
      </c>
      <c r="AJ1462" s="182" t="n">
        <v>0</v>
      </c>
      <c r="AK1462" s="182" t="n">
        <v>6.51</v>
      </c>
      <c r="AL1462" s="182" t="n">
        <v>0</v>
      </c>
      <c r="AM1462" s="182" t="n">
        <v>0.08</v>
      </c>
      <c r="AN1462" s="182" t="n">
        <v>0</v>
      </c>
    </row>
    <row r="1463">
      <c r="A1463" s="155" t="n">
        <v>46088</v>
      </c>
      <c r="B1463" s="156" t="inlineStr">
        <is>
          <t>NS</t>
        </is>
      </c>
      <c r="C1463" s="156" t="inlineStr">
        <is>
          <t>DH-103</t>
        </is>
      </c>
      <c r="D1463" s="156" t="inlineStr">
        <is>
          <t>HINO FM260</t>
        </is>
      </c>
      <c r="E1463" s="156" t="inlineStr">
        <is>
          <t>DT Hino</t>
        </is>
      </c>
      <c r="F1463" s="156" t="inlineStr"/>
      <c r="G1463" s="182" t="n">
        <v>0</v>
      </c>
      <c r="H1463" s="182" t="n">
        <v>0</v>
      </c>
      <c r="I1463" s="182" t="n">
        <v>12</v>
      </c>
      <c r="J1463" s="182" t="n">
        <v>12</v>
      </c>
      <c r="K1463" s="182" t="n">
        <v>0</v>
      </c>
      <c r="L1463" s="182" t="n">
        <v>12</v>
      </c>
      <c r="M1463" s="182" t="n">
        <v>0</v>
      </c>
      <c r="N1463" s="182" t="n">
        <v>0</v>
      </c>
      <c r="O1463" s="183" t="n">
        <v>0</v>
      </c>
      <c r="P1463" s="183" t="n">
        <v>0</v>
      </c>
      <c r="Q1463" s="184" t="n">
        <v>0</v>
      </c>
      <c r="R1463" s="184" t="n">
        <v>0</v>
      </c>
      <c r="S1463" s="183" t="n">
        <v>0</v>
      </c>
      <c r="T1463" s="183" t="n">
        <v>0</v>
      </c>
      <c r="U1463" s="182" t="n">
        <v>0</v>
      </c>
      <c r="V1463" s="182" t="n">
        <v>0</v>
      </c>
      <c r="W1463" s="182" t="n">
        <v>0</v>
      </c>
      <c r="X1463" s="182" t="n">
        <v>0</v>
      </c>
      <c r="Y1463" s="182" t="n">
        <v>0</v>
      </c>
      <c r="Z1463" s="182" t="n">
        <v>0</v>
      </c>
      <c r="AA1463" s="182" t="n">
        <v>0</v>
      </c>
      <c r="AB1463" s="182" t="n">
        <v>0</v>
      </c>
      <c r="AC1463" s="182" t="n">
        <v>0</v>
      </c>
      <c r="AD1463" s="182" t="n">
        <v>0</v>
      </c>
      <c r="AE1463" s="182" t="n">
        <v>0</v>
      </c>
      <c r="AF1463" s="182" t="n">
        <v>0</v>
      </c>
      <c r="AG1463" s="182" t="n">
        <v>0</v>
      </c>
      <c r="AH1463" s="182" t="n">
        <v>0</v>
      </c>
      <c r="AI1463" s="182" t="n">
        <v>0</v>
      </c>
      <c r="AJ1463" s="182" t="n">
        <v>0</v>
      </c>
      <c r="AK1463" s="182" t="n">
        <v>0</v>
      </c>
      <c r="AL1463" s="182" t="n">
        <v>0</v>
      </c>
      <c r="AM1463" s="182" t="n">
        <v>0</v>
      </c>
      <c r="AN1463" s="182" t="n">
        <v>0</v>
      </c>
    </row>
    <row r="1464">
      <c r="A1464" s="155" t="n">
        <v>46088</v>
      </c>
      <c r="B1464" s="156" t="inlineStr">
        <is>
          <t>NS</t>
        </is>
      </c>
      <c r="C1464" s="156" t="inlineStr">
        <is>
          <t>DH-102</t>
        </is>
      </c>
      <c r="D1464" s="156" t="inlineStr">
        <is>
          <t>HINO FM260</t>
        </is>
      </c>
      <c r="E1464" s="156" t="inlineStr">
        <is>
          <t>DT Hino</t>
        </is>
      </c>
      <c r="F1464" s="156" t="inlineStr"/>
      <c r="G1464" s="182" t="n">
        <v>0</v>
      </c>
      <c r="H1464" s="182" t="n">
        <v>0</v>
      </c>
      <c r="I1464" s="182" t="n">
        <v>0</v>
      </c>
      <c r="J1464" s="182" t="n">
        <v>0</v>
      </c>
      <c r="K1464" s="182" t="n">
        <v>12</v>
      </c>
      <c r="L1464" s="182" t="n">
        <v>12</v>
      </c>
      <c r="M1464" s="182" t="n">
        <v>0</v>
      </c>
      <c r="N1464" s="182" t="n">
        <v>0</v>
      </c>
      <c r="O1464" s="183" t="n">
        <v>0</v>
      </c>
      <c r="P1464" s="183" t="n">
        <v>0</v>
      </c>
      <c r="Q1464" s="184" t="n">
        <v>0</v>
      </c>
      <c r="R1464" s="184" t="n">
        <v>0</v>
      </c>
      <c r="S1464" s="183" t="n">
        <v>0</v>
      </c>
      <c r="T1464" s="183" t="n">
        <v>0</v>
      </c>
      <c r="U1464" s="182" t="n">
        <v>0</v>
      </c>
      <c r="V1464" s="182" t="n">
        <v>0</v>
      </c>
      <c r="W1464" s="182" t="n">
        <v>0</v>
      </c>
      <c r="X1464" s="182" t="n">
        <v>1</v>
      </c>
      <c r="Y1464" s="182" t="n">
        <v>0</v>
      </c>
      <c r="Z1464" s="182" t="n">
        <v>0</v>
      </c>
      <c r="AA1464" s="182" t="n">
        <v>0</v>
      </c>
      <c r="AB1464" s="182" t="n">
        <v>0</v>
      </c>
      <c r="AC1464" s="182" t="n">
        <v>0</v>
      </c>
      <c r="AD1464" s="182" t="n">
        <v>0</v>
      </c>
      <c r="AE1464" s="182" t="n">
        <v>0</v>
      </c>
      <c r="AF1464" s="182" t="n">
        <v>0</v>
      </c>
      <c r="AG1464" s="182" t="n">
        <v>0</v>
      </c>
      <c r="AH1464" s="182" t="n">
        <v>0</v>
      </c>
      <c r="AI1464" s="182" t="n">
        <v>0</v>
      </c>
      <c r="AJ1464" s="182" t="n">
        <v>0</v>
      </c>
      <c r="AK1464" s="182" t="n">
        <v>10.92</v>
      </c>
      <c r="AL1464" s="182" t="n">
        <v>0</v>
      </c>
      <c r="AM1464" s="182" t="n">
        <v>0.08</v>
      </c>
      <c r="AN1464" s="182" t="n">
        <v>0</v>
      </c>
    </row>
    <row r="1465">
      <c r="A1465" s="155" t="n">
        <v>46088</v>
      </c>
      <c r="B1465" s="156" t="inlineStr">
        <is>
          <t>NS</t>
        </is>
      </c>
      <c r="C1465" s="156" t="inlineStr">
        <is>
          <t>DH-101</t>
        </is>
      </c>
      <c r="D1465" s="156" t="inlineStr">
        <is>
          <t>HINO FM260</t>
        </is>
      </c>
      <c r="E1465" s="156" t="inlineStr">
        <is>
          <t>DT Hino</t>
        </is>
      </c>
      <c r="F1465" s="156" t="inlineStr"/>
      <c r="G1465" s="182" t="n">
        <v>0</v>
      </c>
      <c r="H1465" s="182" t="n">
        <v>0</v>
      </c>
      <c r="I1465" s="182" t="n">
        <v>0</v>
      </c>
      <c r="J1465" s="182" t="n">
        <v>0</v>
      </c>
      <c r="K1465" s="182" t="n">
        <v>12</v>
      </c>
      <c r="L1465" s="182" t="n">
        <v>12</v>
      </c>
      <c r="M1465" s="182" t="n">
        <v>0</v>
      </c>
      <c r="N1465" s="182" t="n">
        <v>0</v>
      </c>
      <c r="O1465" s="183" t="n">
        <v>0</v>
      </c>
      <c r="P1465" s="183" t="n">
        <v>0</v>
      </c>
      <c r="Q1465" s="184" t="n">
        <v>0</v>
      </c>
      <c r="R1465" s="184" t="n">
        <v>0</v>
      </c>
      <c r="S1465" s="183" t="n">
        <v>0</v>
      </c>
      <c r="T1465" s="183" t="n">
        <v>0</v>
      </c>
      <c r="U1465" s="182" t="n">
        <v>0</v>
      </c>
      <c r="V1465" s="182" t="n">
        <v>0</v>
      </c>
      <c r="W1465" s="182" t="n">
        <v>0</v>
      </c>
      <c r="X1465" s="182" t="n">
        <v>1</v>
      </c>
      <c r="Y1465" s="182" t="n">
        <v>0</v>
      </c>
      <c r="Z1465" s="182" t="n">
        <v>0</v>
      </c>
      <c r="AA1465" s="182" t="n">
        <v>0</v>
      </c>
      <c r="AB1465" s="182" t="n">
        <v>0</v>
      </c>
      <c r="AC1465" s="182" t="n">
        <v>0</v>
      </c>
      <c r="AD1465" s="182" t="n">
        <v>0</v>
      </c>
      <c r="AE1465" s="182" t="n">
        <v>0</v>
      </c>
      <c r="AF1465" s="182" t="n">
        <v>0</v>
      </c>
      <c r="AG1465" s="182" t="n">
        <v>0</v>
      </c>
      <c r="AH1465" s="182" t="n">
        <v>0</v>
      </c>
      <c r="AI1465" s="182" t="n">
        <v>0</v>
      </c>
      <c r="AJ1465" s="182" t="n">
        <v>0</v>
      </c>
      <c r="AK1465" s="182" t="n">
        <v>10.92</v>
      </c>
      <c r="AL1465" s="182" t="n">
        <v>0</v>
      </c>
      <c r="AM1465" s="182" t="n">
        <v>0.08</v>
      </c>
      <c r="AN1465" s="182" t="n">
        <v>0</v>
      </c>
    </row>
    <row r="1466">
      <c r="A1466" s="155" t="n">
        <v>46088</v>
      </c>
      <c r="B1466" s="156" t="inlineStr">
        <is>
          <t>NS</t>
        </is>
      </c>
      <c r="C1466" s="156" t="inlineStr">
        <is>
          <t>EX-1251</t>
        </is>
      </c>
      <c r="D1466" s="156" t="inlineStr">
        <is>
          <t>SY1250</t>
        </is>
      </c>
      <c r="E1466" s="156" t="inlineStr">
        <is>
          <t>Excavator</t>
        </is>
      </c>
      <c r="F1466" s="156" t="inlineStr">
        <is>
          <t>Travel Unit</t>
        </is>
      </c>
      <c r="G1466" s="182" t="n">
        <v>0.9</v>
      </c>
      <c r="H1466" s="182" t="n">
        <v>0</v>
      </c>
      <c r="I1466" s="182" t="n">
        <v>0.08</v>
      </c>
      <c r="J1466" s="182" t="n">
        <v>0.08</v>
      </c>
      <c r="K1466" s="182" t="n">
        <v>11.02</v>
      </c>
      <c r="L1466" s="182" t="n">
        <v>12</v>
      </c>
      <c r="M1466" s="182" t="n">
        <v>0</v>
      </c>
      <c r="N1466" s="182" t="n">
        <v>0</v>
      </c>
      <c r="O1466" s="183" t="n">
        <v>0</v>
      </c>
      <c r="P1466" s="183" t="n">
        <v>0</v>
      </c>
      <c r="Q1466" s="184" t="n">
        <v>0</v>
      </c>
      <c r="R1466" s="184" t="n">
        <v>0</v>
      </c>
      <c r="S1466" s="183" t="n">
        <v>0</v>
      </c>
      <c r="T1466" s="183" t="n">
        <v>0</v>
      </c>
      <c r="U1466" s="182" t="n">
        <v>6.96</v>
      </c>
      <c r="V1466" s="182" t="n">
        <v>3.97</v>
      </c>
      <c r="W1466" s="182" t="n">
        <v>0</v>
      </c>
      <c r="X1466" s="182" t="n">
        <v>0</v>
      </c>
      <c r="Y1466" s="182" t="n">
        <v>0</v>
      </c>
      <c r="Z1466" s="182" t="n">
        <v>0</v>
      </c>
      <c r="AA1466" s="182" t="n">
        <v>0</v>
      </c>
      <c r="AB1466" s="182" t="n">
        <v>0</v>
      </c>
      <c r="AC1466" s="182" t="n">
        <v>0</v>
      </c>
      <c r="AD1466" s="182" t="n">
        <v>0</v>
      </c>
      <c r="AE1466" s="182" t="n">
        <v>0</v>
      </c>
      <c r="AF1466" s="182" t="n">
        <v>0</v>
      </c>
      <c r="AG1466" s="182" t="n">
        <v>0</v>
      </c>
      <c r="AH1466" s="182" t="n">
        <v>0</v>
      </c>
      <c r="AI1466" s="182" t="n">
        <v>0</v>
      </c>
      <c r="AJ1466" s="182" t="n">
        <v>0</v>
      </c>
      <c r="AK1466" s="182" t="n">
        <v>0</v>
      </c>
      <c r="AL1466" s="182" t="n">
        <v>0</v>
      </c>
      <c r="AM1466" s="182" t="n">
        <v>0.08</v>
      </c>
      <c r="AN1466" s="182" t="n">
        <v>0</v>
      </c>
    </row>
    <row r="1467">
      <c r="A1467" s="155" t="n">
        <v>46088</v>
      </c>
      <c r="B1467" s="156" t="inlineStr">
        <is>
          <t>NS</t>
        </is>
      </c>
      <c r="C1467" s="156" t="inlineStr">
        <is>
          <t>EX-1252</t>
        </is>
      </c>
      <c r="D1467" s="156" t="inlineStr">
        <is>
          <t>SY1250</t>
        </is>
      </c>
      <c r="E1467" s="156" t="inlineStr">
        <is>
          <t>Excavator</t>
        </is>
      </c>
      <c r="F1467" s="156" t="inlineStr"/>
      <c r="G1467" s="182" t="n">
        <v>0</v>
      </c>
      <c r="H1467" s="182" t="n">
        <v>0</v>
      </c>
      <c r="I1467" s="182" t="n">
        <v>12</v>
      </c>
      <c r="J1467" s="182" t="n">
        <v>12</v>
      </c>
      <c r="K1467" s="182" t="n">
        <v>0</v>
      </c>
      <c r="L1467" s="182" t="n">
        <v>12</v>
      </c>
      <c r="M1467" s="182" t="n">
        <v>0</v>
      </c>
      <c r="N1467" s="182" t="n">
        <v>0</v>
      </c>
      <c r="O1467" s="183" t="n">
        <v>0</v>
      </c>
      <c r="P1467" s="183" t="n">
        <v>0</v>
      </c>
      <c r="Q1467" s="184" t="n">
        <v>0</v>
      </c>
      <c r="R1467" s="184" t="n">
        <v>0</v>
      </c>
      <c r="S1467" s="183" t="n">
        <v>0</v>
      </c>
      <c r="T1467" s="183" t="n">
        <v>0</v>
      </c>
      <c r="U1467" s="182" t="n">
        <v>0</v>
      </c>
      <c r="V1467" s="182" t="n">
        <v>0</v>
      </c>
      <c r="W1467" s="182" t="n">
        <v>0</v>
      </c>
      <c r="X1467" s="182" t="n">
        <v>0</v>
      </c>
      <c r="Y1467" s="182" t="n">
        <v>0</v>
      </c>
      <c r="Z1467" s="182" t="n">
        <v>0</v>
      </c>
      <c r="AA1467" s="182" t="n">
        <v>0</v>
      </c>
      <c r="AB1467" s="182" t="n">
        <v>0</v>
      </c>
      <c r="AC1467" s="182" t="n">
        <v>0</v>
      </c>
      <c r="AD1467" s="182" t="n">
        <v>0</v>
      </c>
      <c r="AE1467" s="182" t="n">
        <v>0</v>
      </c>
      <c r="AF1467" s="182" t="n">
        <v>0</v>
      </c>
      <c r="AG1467" s="182" t="n">
        <v>0</v>
      </c>
      <c r="AH1467" s="182" t="n">
        <v>0</v>
      </c>
      <c r="AI1467" s="182" t="n">
        <v>0</v>
      </c>
      <c r="AJ1467" s="182" t="n">
        <v>0</v>
      </c>
      <c r="AK1467" s="182" t="n">
        <v>0</v>
      </c>
      <c r="AL1467" s="182" t="n">
        <v>0</v>
      </c>
      <c r="AM1467" s="182" t="n">
        <v>0</v>
      </c>
      <c r="AN1467" s="182" t="n">
        <v>0</v>
      </c>
    </row>
    <row r="1468">
      <c r="A1468" s="155" t="n">
        <v>46088</v>
      </c>
      <c r="B1468" s="156" t="inlineStr">
        <is>
          <t>NS</t>
        </is>
      </c>
      <c r="C1468" s="156" t="inlineStr">
        <is>
          <t>EX-2101</t>
        </is>
      </c>
      <c r="D1468" s="156" t="inlineStr">
        <is>
          <t>SY2000</t>
        </is>
      </c>
      <c r="E1468" s="156" t="inlineStr">
        <is>
          <t>Excavator</t>
        </is>
      </c>
      <c r="F1468" s="156" t="inlineStr"/>
      <c r="G1468" s="182" t="n">
        <v>0</v>
      </c>
      <c r="H1468" s="182" t="n">
        <v>0</v>
      </c>
      <c r="I1468" s="182" t="n">
        <v>0</v>
      </c>
      <c r="J1468" s="182" t="n">
        <v>0</v>
      </c>
      <c r="K1468" s="182" t="n">
        <v>12</v>
      </c>
      <c r="L1468" s="182" t="n">
        <v>12</v>
      </c>
      <c r="M1468" s="182" t="n">
        <v>0</v>
      </c>
      <c r="N1468" s="182" t="n">
        <v>0</v>
      </c>
      <c r="O1468" s="183" t="n">
        <v>0</v>
      </c>
      <c r="P1468" s="183" t="n">
        <v>0</v>
      </c>
      <c r="Q1468" s="184" t="n">
        <v>0</v>
      </c>
      <c r="R1468" s="184" t="n">
        <v>0</v>
      </c>
      <c r="S1468" s="183" t="n">
        <v>0</v>
      </c>
      <c r="T1468" s="183" t="n">
        <v>0</v>
      </c>
      <c r="U1468" s="182" t="n">
        <v>7.05</v>
      </c>
      <c r="V1468" s="182" t="n">
        <v>4.87</v>
      </c>
      <c r="W1468" s="182" t="n">
        <v>0</v>
      </c>
      <c r="X1468" s="182" t="n">
        <v>0</v>
      </c>
      <c r="Y1468" s="182" t="n">
        <v>0</v>
      </c>
      <c r="Z1468" s="182" t="n">
        <v>0</v>
      </c>
      <c r="AA1468" s="182" t="n">
        <v>0</v>
      </c>
      <c r="AB1468" s="182" t="n">
        <v>0</v>
      </c>
      <c r="AC1468" s="182" t="n">
        <v>0</v>
      </c>
      <c r="AD1468" s="182" t="n">
        <v>0</v>
      </c>
      <c r="AE1468" s="182" t="n">
        <v>0</v>
      </c>
      <c r="AF1468" s="182" t="n">
        <v>0</v>
      </c>
      <c r="AG1468" s="182" t="n">
        <v>0</v>
      </c>
      <c r="AH1468" s="182" t="n">
        <v>0</v>
      </c>
      <c r="AI1468" s="182" t="n">
        <v>0</v>
      </c>
      <c r="AJ1468" s="182" t="n">
        <v>0</v>
      </c>
      <c r="AK1468" s="182" t="n">
        <v>0</v>
      </c>
      <c r="AL1468" s="182" t="n">
        <v>0</v>
      </c>
      <c r="AM1468" s="182" t="n">
        <v>0.08</v>
      </c>
      <c r="AN1468" s="182" t="n">
        <v>0</v>
      </c>
    </row>
    <row r="1469">
      <c r="A1469" s="155" t="n">
        <v>46088</v>
      </c>
      <c r="B1469" s="156" t="inlineStr">
        <is>
          <t>NS</t>
        </is>
      </c>
      <c r="C1469" s="156" t="inlineStr">
        <is>
          <t>EX-222</t>
        </is>
      </c>
      <c r="D1469" s="156" t="inlineStr">
        <is>
          <t>PC 200-8MI</t>
        </is>
      </c>
      <c r="E1469" s="156" t="inlineStr">
        <is>
          <t>Excavator</t>
        </is>
      </c>
      <c r="F1469" s="156" t="inlineStr">
        <is>
          <t>Support Washing Plant</t>
        </is>
      </c>
      <c r="G1469" s="182" t="n">
        <v>7.53</v>
      </c>
      <c r="H1469" s="182" t="n">
        <v>0</v>
      </c>
      <c r="I1469" s="182" t="n">
        <v>0</v>
      </c>
      <c r="J1469" s="182" t="n">
        <v>0</v>
      </c>
      <c r="K1469" s="182" t="n">
        <v>4.47</v>
      </c>
      <c r="L1469" s="182" t="n">
        <v>12</v>
      </c>
      <c r="M1469" s="182" t="n">
        <v>0</v>
      </c>
      <c r="N1469" s="182" t="n">
        <v>0</v>
      </c>
      <c r="O1469" s="183" t="n">
        <v>0</v>
      </c>
      <c r="P1469" s="183" t="n">
        <v>0</v>
      </c>
      <c r="Q1469" s="184" t="n">
        <v>0</v>
      </c>
      <c r="R1469" s="184" t="n">
        <v>0</v>
      </c>
      <c r="S1469" s="183" t="n">
        <v>0</v>
      </c>
      <c r="T1469" s="183" t="n">
        <v>0</v>
      </c>
      <c r="U1469" s="182" t="n">
        <v>0</v>
      </c>
      <c r="V1469" s="182" t="n">
        <v>0</v>
      </c>
      <c r="W1469" s="182" t="n">
        <v>0</v>
      </c>
      <c r="X1469" s="182" t="n">
        <v>1.06</v>
      </c>
      <c r="Y1469" s="182" t="n">
        <v>0</v>
      </c>
      <c r="Z1469" s="182" t="n">
        <v>0</v>
      </c>
      <c r="AA1469" s="182" t="n">
        <v>0</v>
      </c>
      <c r="AB1469" s="182" t="n">
        <v>0</v>
      </c>
      <c r="AC1469" s="182" t="n">
        <v>0</v>
      </c>
      <c r="AD1469" s="182" t="n">
        <v>0</v>
      </c>
      <c r="AE1469" s="182" t="n">
        <v>0</v>
      </c>
      <c r="AF1469" s="182" t="n">
        <v>0</v>
      </c>
      <c r="AG1469" s="182" t="n">
        <v>0</v>
      </c>
      <c r="AH1469" s="182" t="n">
        <v>0</v>
      </c>
      <c r="AI1469" s="182" t="n">
        <v>0</v>
      </c>
      <c r="AJ1469" s="182" t="n">
        <v>0</v>
      </c>
      <c r="AK1469" s="182" t="n">
        <v>3.32</v>
      </c>
      <c r="AL1469" s="182" t="n">
        <v>0</v>
      </c>
      <c r="AM1469" s="182" t="n">
        <v>0.09</v>
      </c>
      <c r="AN1469" s="182" t="n">
        <v>0</v>
      </c>
    </row>
    <row r="1470">
      <c r="A1470" s="155" t="n">
        <v>46088</v>
      </c>
      <c r="B1470" s="156" t="inlineStr">
        <is>
          <t>NS</t>
        </is>
      </c>
      <c r="C1470" s="156" t="inlineStr">
        <is>
          <t>EX-225</t>
        </is>
      </c>
      <c r="D1470" s="156" t="inlineStr">
        <is>
          <t>PC 200-8</t>
        </is>
      </c>
      <c r="E1470" s="156" t="inlineStr">
        <is>
          <t>Excavator</t>
        </is>
      </c>
      <c r="F1470" s="156" t="inlineStr"/>
      <c r="G1470" s="182" t="n">
        <v>0</v>
      </c>
      <c r="H1470" s="182" t="n">
        <v>0</v>
      </c>
      <c r="I1470" s="182" t="n">
        <v>12</v>
      </c>
      <c r="J1470" s="182" t="n">
        <v>12</v>
      </c>
      <c r="K1470" s="182" t="n">
        <v>0</v>
      </c>
      <c r="L1470" s="182" t="n">
        <v>12</v>
      </c>
      <c r="M1470" s="182" t="n">
        <v>0</v>
      </c>
      <c r="N1470" s="182" t="n">
        <v>0</v>
      </c>
      <c r="O1470" s="183" t="n">
        <v>0</v>
      </c>
      <c r="P1470" s="183" t="n">
        <v>0</v>
      </c>
      <c r="Q1470" s="184" t="n">
        <v>0</v>
      </c>
      <c r="R1470" s="184" t="n">
        <v>0</v>
      </c>
      <c r="S1470" s="183" t="n">
        <v>0</v>
      </c>
      <c r="T1470" s="183" t="n">
        <v>0</v>
      </c>
      <c r="U1470" s="182" t="n">
        <v>0</v>
      </c>
      <c r="V1470" s="182" t="n">
        <v>0</v>
      </c>
      <c r="W1470" s="182" t="n">
        <v>0</v>
      </c>
      <c r="X1470" s="182" t="n">
        <v>0</v>
      </c>
      <c r="Y1470" s="182" t="n">
        <v>0</v>
      </c>
      <c r="Z1470" s="182" t="n">
        <v>0</v>
      </c>
      <c r="AA1470" s="182" t="n">
        <v>0</v>
      </c>
      <c r="AB1470" s="182" t="n">
        <v>0</v>
      </c>
      <c r="AC1470" s="182" t="n">
        <v>0</v>
      </c>
      <c r="AD1470" s="182" t="n">
        <v>0</v>
      </c>
      <c r="AE1470" s="182" t="n">
        <v>0</v>
      </c>
      <c r="AF1470" s="182" t="n">
        <v>0</v>
      </c>
      <c r="AG1470" s="182" t="n">
        <v>0</v>
      </c>
      <c r="AH1470" s="182" t="n">
        <v>0</v>
      </c>
      <c r="AI1470" s="182" t="n">
        <v>0</v>
      </c>
      <c r="AJ1470" s="182" t="n">
        <v>0</v>
      </c>
      <c r="AK1470" s="182" t="n">
        <v>0</v>
      </c>
      <c r="AL1470" s="182" t="n">
        <v>0</v>
      </c>
      <c r="AM1470" s="182" t="n">
        <v>0</v>
      </c>
      <c r="AN1470" s="182" t="n">
        <v>0</v>
      </c>
    </row>
    <row r="1471">
      <c r="A1471" s="155" t="n">
        <v>46088</v>
      </c>
      <c r="B1471" s="156" t="inlineStr">
        <is>
          <t>NS</t>
        </is>
      </c>
      <c r="C1471" s="156" t="inlineStr">
        <is>
          <t>EX-223</t>
        </is>
      </c>
      <c r="D1471" s="156" t="inlineStr">
        <is>
          <t>PC 200-8MI</t>
        </is>
      </c>
      <c r="E1471" s="156" t="inlineStr">
        <is>
          <t>Excavator</t>
        </is>
      </c>
      <c r="F1471" s="156" t="inlineStr">
        <is>
          <t>Support Washing Plant</t>
        </is>
      </c>
      <c r="G1471" s="182" t="n">
        <v>6.15</v>
      </c>
      <c r="H1471" s="182" t="n">
        <v>0</v>
      </c>
      <c r="I1471" s="182" t="n">
        <v>0</v>
      </c>
      <c r="J1471" s="182" t="n">
        <v>0</v>
      </c>
      <c r="K1471" s="182" t="n">
        <v>5.85</v>
      </c>
      <c r="L1471" s="182" t="n">
        <v>12</v>
      </c>
      <c r="M1471" s="182" t="n">
        <v>0</v>
      </c>
      <c r="N1471" s="182" t="n">
        <v>0</v>
      </c>
      <c r="O1471" s="183" t="n">
        <v>0</v>
      </c>
      <c r="P1471" s="183" t="n">
        <v>0</v>
      </c>
      <c r="Q1471" s="184" t="n">
        <v>0</v>
      </c>
      <c r="R1471" s="184" t="n">
        <v>0</v>
      </c>
      <c r="S1471" s="183" t="n">
        <v>0</v>
      </c>
      <c r="T1471" s="183" t="n">
        <v>0</v>
      </c>
      <c r="U1471" s="182" t="n">
        <v>0</v>
      </c>
      <c r="V1471" s="182" t="n">
        <v>0</v>
      </c>
      <c r="W1471" s="182" t="n">
        <v>0</v>
      </c>
      <c r="X1471" s="182" t="n">
        <v>1.01</v>
      </c>
      <c r="Y1471" s="182" t="n">
        <v>0</v>
      </c>
      <c r="Z1471" s="182" t="n">
        <v>0</v>
      </c>
      <c r="AA1471" s="182" t="n">
        <v>0</v>
      </c>
      <c r="AB1471" s="182" t="n">
        <v>0</v>
      </c>
      <c r="AC1471" s="182" t="n">
        <v>0</v>
      </c>
      <c r="AD1471" s="182" t="n">
        <v>0</v>
      </c>
      <c r="AE1471" s="182" t="n">
        <v>0</v>
      </c>
      <c r="AF1471" s="182" t="n">
        <v>0</v>
      </c>
      <c r="AG1471" s="182" t="n">
        <v>0</v>
      </c>
      <c r="AH1471" s="182" t="n">
        <v>0</v>
      </c>
      <c r="AI1471" s="182" t="n">
        <v>0</v>
      </c>
      <c r="AJ1471" s="182" t="n">
        <v>0</v>
      </c>
      <c r="AK1471" s="182" t="n">
        <v>4.76</v>
      </c>
      <c r="AL1471" s="182" t="n">
        <v>0</v>
      </c>
      <c r="AM1471" s="182" t="n">
        <v>0.08</v>
      </c>
      <c r="AN1471" s="182" t="n">
        <v>0</v>
      </c>
    </row>
    <row r="1472">
      <c r="A1472" s="155" t="n">
        <v>46088</v>
      </c>
      <c r="B1472" s="156" t="inlineStr">
        <is>
          <t>NS</t>
        </is>
      </c>
      <c r="C1472" s="156" t="inlineStr">
        <is>
          <t>EX-221</t>
        </is>
      </c>
      <c r="D1472" s="156" t="inlineStr">
        <is>
          <t>PC 200-8MI</t>
        </is>
      </c>
      <c r="E1472" s="156" t="inlineStr">
        <is>
          <t>Excavator</t>
        </is>
      </c>
      <c r="F1472" s="156" t="inlineStr">
        <is>
          <t>General Jetty</t>
        </is>
      </c>
      <c r="G1472" s="182" t="n">
        <v>4.53</v>
      </c>
      <c r="H1472" s="182" t="n">
        <v>0</v>
      </c>
      <c r="I1472" s="182" t="n">
        <v>0</v>
      </c>
      <c r="J1472" s="182" t="n">
        <v>0</v>
      </c>
      <c r="K1472" s="182" t="n">
        <v>7.47</v>
      </c>
      <c r="L1472" s="182" t="n">
        <v>12</v>
      </c>
      <c r="M1472" s="182" t="n">
        <v>0</v>
      </c>
      <c r="N1472" s="182" t="n">
        <v>0</v>
      </c>
      <c r="O1472" s="183" t="n">
        <v>0</v>
      </c>
      <c r="P1472" s="183" t="n">
        <v>0</v>
      </c>
      <c r="Q1472" s="184" t="n">
        <v>0</v>
      </c>
      <c r="R1472" s="184" t="n">
        <v>0</v>
      </c>
      <c r="S1472" s="183" t="n">
        <v>0</v>
      </c>
      <c r="T1472" s="183" t="n">
        <v>0</v>
      </c>
      <c r="U1472" s="182" t="n">
        <v>0</v>
      </c>
      <c r="V1472" s="182" t="n">
        <v>0</v>
      </c>
      <c r="W1472" s="182" t="n">
        <v>0</v>
      </c>
      <c r="X1472" s="182" t="n">
        <v>1</v>
      </c>
      <c r="Y1472" s="182" t="n">
        <v>0</v>
      </c>
      <c r="Z1472" s="182" t="n">
        <v>0</v>
      </c>
      <c r="AA1472" s="182" t="n">
        <v>0</v>
      </c>
      <c r="AB1472" s="182" t="n">
        <v>0</v>
      </c>
      <c r="AC1472" s="182" t="n">
        <v>0</v>
      </c>
      <c r="AD1472" s="182" t="n">
        <v>0</v>
      </c>
      <c r="AE1472" s="182" t="n">
        <v>0</v>
      </c>
      <c r="AF1472" s="182" t="n">
        <v>0</v>
      </c>
      <c r="AG1472" s="182" t="n">
        <v>0</v>
      </c>
      <c r="AH1472" s="182" t="n">
        <v>0</v>
      </c>
      <c r="AI1472" s="182" t="n">
        <v>0</v>
      </c>
      <c r="AJ1472" s="182" t="n">
        <v>0</v>
      </c>
      <c r="AK1472" s="182" t="n">
        <v>6.39</v>
      </c>
      <c r="AL1472" s="182" t="n">
        <v>0</v>
      </c>
      <c r="AM1472" s="182" t="n">
        <v>0.08</v>
      </c>
      <c r="AN1472" s="182" t="n">
        <v>0</v>
      </c>
    </row>
    <row r="1473">
      <c r="A1473" s="155" t="n">
        <v>46088</v>
      </c>
      <c r="B1473" s="156" t="inlineStr">
        <is>
          <t>NS</t>
        </is>
      </c>
      <c r="C1473" s="156" t="inlineStr">
        <is>
          <t>EX-331</t>
        </is>
      </c>
      <c r="D1473" s="156" t="inlineStr">
        <is>
          <t>PC 300-8MO</t>
        </is>
      </c>
      <c r="E1473" s="156" t="inlineStr">
        <is>
          <t>Excavator</t>
        </is>
      </c>
      <c r="F1473" s="156" t="inlineStr"/>
      <c r="G1473" s="182" t="n">
        <v>0</v>
      </c>
      <c r="H1473" s="182" t="n">
        <v>0</v>
      </c>
      <c r="I1473" s="182" t="n">
        <v>12</v>
      </c>
      <c r="J1473" s="182" t="n">
        <v>12</v>
      </c>
      <c r="K1473" s="182" t="n">
        <v>0</v>
      </c>
      <c r="L1473" s="182" t="n">
        <v>12</v>
      </c>
      <c r="M1473" s="182" t="n">
        <v>0</v>
      </c>
      <c r="N1473" s="182" t="n">
        <v>0</v>
      </c>
      <c r="O1473" s="183" t="n">
        <v>0</v>
      </c>
      <c r="P1473" s="183" t="n">
        <v>0</v>
      </c>
      <c r="Q1473" s="184" t="n">
        <v>0</v>
      </c>
      <c r="R1473" s="184" t="n">
        <v>0</v>
      </c>
      <c r="S1473" s="183" t="n">
        <v>0</v>
      </c>
      <c r="T1473" s="183" t="n">
        <v>0</v>
      </c>
      <c r="U1473" s="182" t="n">
        <v>0</v>
      </c>
      <c r="V1473" s="182" t="n">
        <v>0</v>
      </c>
      <c r="W1473" s="182" t="n">
        <v>0</v>
      </c>
      <c r="X1473" s="182" t="n">
        <v>0</v>
      </c>
      <c r="Y1473" s="182" t="n">
        <v>0</v>
      </c>
      <c r="Z1473" s="182" t="n">
        <v>0</v>
      </c>
      <c r="AA1473" s="182" t="n">
        <v>0</v>
      </c>
      <c r="AB1473" s="182" t="n">
        <v>0</v>
      </c>
      <c r="AC1473" s="182" t="n">
        <v>0</v>
      </c>
      <c r="AD1473" s="182" t="n">
        <v>0</v>
      </c>
      <c r="AE1473" s="182" t="n">
        <v>0</v>
      </c>
      <c r="AF1473" s="182" t="n">
        <v>0</v>
      </c>
      <c r="AG1473" s="182" t="n">
        <v>0</v>
      </c>
      <c r="AH1473" s="182" t="n">
        <v>0</v>
      </c>
      <c r="AI1473" s="182" t="n">
        <v>0</v>
      </c>
      <c r="AJ1473" s="182" t="n">
        <v>0</v>
      </c>
      <c r="AK1473" s="182" t="n">
        <v>0</v>
      </c>
      <c r="AL1473" s="182" t="n">
        <v>0</v>
      </c>
      <c r="AM1473" s="182" t="n">
        <v>0</v>
      </c>
      <c r="AN1473" s="182" t="n">
        <v>0</v>
      </c>
    </row>
    <row r="1474">
      <c r="A1474" s="155" t="n">
        <v>46088</v>
      </c>
      <c r="B1474" s="156" t="inlineStr">
        <is>
          <t>NS</t>
        </is>
      </c>
      <c r="C1474" s="156" t="inlineStr">
        <is>
          <t>EX-334</t>
        </is>
      </c>
      <c r="D1474" s="156" t="inlineStr">
        <is>
          <t>PC 300-8MO</t>
        </is>
      </c>
      <c r="E1474" s="156" t="inlineStr">
        <is>
          <t>Excavator</t>
        </is>
      </c>
      <c r="F1474" s="156" t="inlineStr">
        <is>
          <t>Trimming Coal di Stock ROM</t>
        </is>
      </c>
      <c r="G1474" s="182" t="n">
        <v>6.67</v>
      </c>
      <c r="H1474" s="182" t="n">
        <v>0</v>
      </c>
      <c r="I1474" s="182" t="n">
        <v>0</v>
      </c>
      <c r="J1474" s="182" t="n">
        <v>0</v>
      </c>
      <c r="K1474" s="182" t="n">
        <v>5.33</v>
      </c>
      <c r="L1474" s="182" t="n">
        <v>12</v>
      </c>
      <c r="M1474" s="182" t="n">
        <v>0</v>
      </c>
      <c r="N1474" s="182" t="n">
        <v>0</v>
      </c>
      <c r="O1474" s="183" t="n">
        <v>0</v>
      </c>
      <c r="P1474" s="183" t="n">
        <v>0</v>
      </c>
      <c r="Q1474" s="184" t="n">
        <v>0</v>
      </c>
      <c r="R1474" s="184" t="n">
        <v>0</v>
      </c>
      <c r="S1474" s="183" t="n">
        <v>0</v>
      </c>
      <c r="T1474" s="183" t="n">
        <v>0</v>
      </c>
      <c r="U1474" s="182" t="n">
        <v>0</v>
      </c>
      <c r="V1474" s="182" t="n">
        <v>0</v>
      </c>
      <c r="W1474" s="182" t="n">
        <v>0</v>
      </c>
      <c r="X1474" s="182" t="n">
        <v>0.97</v>
      </c>
      <c r="Y1474" s="182" t="n">
        <v>0</v>
      </c>
      <c r="Z1474" s="182" t="n">
        <v>0</v>
      </c>
      <c r="AA1474" s="182" t="n">
        <v>0</v>
      </c>
      <c r="AB1474" s="182" t="n">
        <v>0</v>
      </c>
      <c r="AC1474" s="182" t="n">
        <v>0</v>
      </c>
      <c r="AD1474" s="182" t="n">
        <v>0</v>
      </c>
      <c r="AE1474" s="182" t="n">
        <v>0</v>
      </c>
      <c r="AF1474" s="182" t="n">
        <v>0</v>
      </c>
      <c r="AG1474" s="182" t="n">
        <v>0</v>
      </c>
      <c r="AH1474" s="182" t="n">
        <v>0</v>
      </c>
      <c r="AI1474" s="182" t="n">
        <v>0</v>
      </c>
      <c r="AJ1474" s="182" t="n">
        <v>0</v>
      </c>
      <c r="AK1474" s="182" t="n">
        <v>4.28</v>
      </c>
      <c r="AL1474" s="182" t="n">
        <v>0</v>
      </c>
      <c r="AM1474" s="182" t="n">
        <v>0.08</v>
      </c>
      <c r="AN1474" s="182" t="n">
        <v>0</v>
      </c>
    </row>
    <row r="1475">
      <c r="A1475" s="155" t="n">
        <v>46088</v>
      </c>
      <c r="B1475" s="156" t="inlineStr">
        <is>
          <t>NS</t>
        </is>
      </c>
      <c r="C1475" s="156" t="inlineStr">
        <is>
          <t>EX-332</t>
        </is>
      </c>
      <c r="D1475" s="156" t="inlineStr">
        <is>
          <t>PC 300-8MO</t>
        </is>
      </c>
      <c r="E1475" s="156" t="inlineStr">
        <is>
          <t>Excavator</t>
        </is>
      </c>
      <c r="F1475" s="156" t="inlineStr"/>
      <c r="G1475" s="182" t="n">
        <v>0</v>
      </c>
      <c r="H1475" s="182" t="n">
        <v>0</v>
      </c>
      <c r="I1475" s="182" t="n">
        <v>12</v>
      </c>
      <c r="J1475" s="182" t="n">
        <v>12</v>
      </c>
      <c r="K1475" s="182" t="n">
        <v>0</v>
      </c>
      <c r="L1475" s="182" t="n">
        <v>12</v>
      </c>
      <c r="M1475" s="182" t="n">
        <v>0</v>
      </c>
      <c r="N1475" s="182" t="n">
        <v>0</v>
      </c>
      <c r="O1475" s="183" t="n">
        <v>0</v>
      </c>
      <c r="P1475" s="183" t="n">
        <v>0</v>
      </c>
      <c r="Q1475" s="184" t="n">
        <v>0</v>
      </c>
      <c r="R1475" s="184" t="n">
        <v>0</v>
      </c>
      <c r="S1475" s="183" t="n">
        <v>0</v>
      </c>
      <c r="T1475" s="183" t="n">
        <v>0</v>
      </c>
      <c r="U1475" s="182" t="n">
        <v>0</v>
      </c>
      <c r="V1475" s="182" t="n">
        <v>0</v>
      </c>
      <c r="W1475" s="182" t="n">
        <v>0</v>
      </c>
      <c r="X1475" s="182" t="n">
        <v>0</v>
      </c>
      <c r="Y1475" s="182" t="n">
        <v>0</v>
      </c>
      <c r="Z1475" s="182" t="n">
        <v>0</v>
      </c>
      <c r="AA1475" s="182" t="n">
        <v>0</v>
      </c>
      <c r="AB1475" s="182" t="n">
        <v>0</v>
      </c>
      <c r="AC1475" s="182" t="n">
        <v>0</v>
      </c>
      <c r="AD1475" s="182" t="n">
        <v>0</v>
      </c>
      <c r="AE1475" s="182" t="n">
        <v>0</v>
      </c>
      <c r="AF1475" s="182" t="n">
        <v>0</v>
      </c>
      <c r="AG1475" s="182" t="n">
        <v>0</v>
      </c>
      <c r="AH1475" s="182" t="n">
        <v>0</v>
      </c>
      <c r="AI1475" s="182" t="n">
        <v>0</v>
      </c>
      <c r="AJ1475" s="182" t="n">
        <v>0</v>
      </c>
      <c r="AK1475" s="182" t="n">
        <v>0</v>
      </c>
      <c r="AL1475" s="182" t="n">
        <v>0</v>
      </c>
      <c r="AM1475" s="182" t="n">
        <v>0</v>
      </c>
      <c r="AN1475" s="182" t="n">
        <v>0</v>
      </c>
    </row>
    <row r="1476">
      <c r="A1476" s="155" t="n">
        <v>46088</v>
      </c>
      <c r="B1476" s="156" t="inlineStr">
        <is>
          <t>NS</t>
        </is>
      </c>
      <c r="C1476" s="156" t="inlineStr">
        <is>
          <t>EX-333</t>
        </is>
      </c>
      <c r="D1476" s="156" t="inlineStr">
        <is>
          <t>PC 300-8MO</t>
        </is>
      </c>
      <c r="E1476" s="156" t="inlineStr">
        <is>
          <t>Excavator</t>
        </is>
      </c>
      <c r="F1476" s="156" t="inlineStr">
        <is>
          <t>Cleaning Coal</t>
        </is>
      </c>
      <c r="G1476" s="182" t="n">
        <v>9.92</v>
      </c>
      <c r="H1476" s="182" t="n">
        <v>0</v>
      </c>
      <c r="I1476" s="182" t="n">
        <v>0.17</v>
      </c>
      <c r="J1476" s="182" t="n">
        <v>0.17</v>
      </c>
      <c r="K1476" s="182" t="n">
        <v>1.91</v>
      </c>
      <c r="L1476" s="182" t="n">
        <v>12</v>
      </c>
      <c r="M1476" s="182" t="n">
        <v>0</v>
      </c>
      <c r="N1476" s="182" t="n">
        <v>0</v>
      </c>
      <c r="O1476" s="183" t="n">
        <v>0</v>
      </c>
      <c r="P1476" s="183" t="n">
        <v>0</v>
      </c>
      <c r="Q1476" s="184" t="n">
        <v>0</v>
      </c>
      <c r="R1476" s="184" t="n">
        <v>0</v>
      </c>
      <c r="S1476" s="183" t="n">
        <v>0</v>
      </c>
      <c r="T1476" s="183" t="n">
        <v>0</v>
      </c>
      <c r="U1476" s="182" t="n">
        <v>0.72</v>
      </c>
      <c r="V1476" s="182" t="n">
        <v>0</v>
      </c>
      <c r="W1476" s="182" t="n">
        <v>0</v>
      </c>
      <c r="X1476" s="182" t="n">
        <v>1.1</v>
      </c>
      <c r="Y1476" s="182" t="n">
        <v>0</v>
      </c>
      <c r="Z1476" s="182" t="n">
        <v>0</v>
      </c>
      <c r="AA1476" s="182" t="n">
        <v>0</v>
      </c>
      <c r="AB1476" s="182" t="n">
        <v>0</v>
      </c>
      <c r="AC1476" s="182" t="n">
        <v>0</v>
      </c>
      <c r="AD1476" s="182" t="n">
        <v>0</v>
      </c>
      <c r="AE1476" s="182" t="n">
        <v>0</v>
      </c>
      <c r="AF1476" s="182" t="n">
        <v>0</v>
      </c>
      <c r="AG1476" s="182" t="n">
        <v>0</v>
      </c>
      <c r="AH1476" s="182" t="n">
        <v>0</v>
      </c>
      <c r="AI1476" s="182" t="n">
        <v>0</v>
      </c>
      <c r="AJ1476" s="182" t="n">
        <v>0</v>
      </c>
      <c r="AK1476" s="182" t="n">
        <v>0</v>
      </c>
      <c r="AL1476" s="182" t="n">
        <v>0</v>
      </c>
      <c r="AM1476" s="182" t="n">
        <v>0.09</v>
      </c>
      <c r="AN1476" s="182" t="n">
        <v>0</v>
      </c>
    </row>
    <row r="1477">
      <c r="A1477" s="155" t="n">
        <v>46088</v>
      </c>
      <c r="B1477" s="156" t="inlineStr">
        <is>
          <t>NS</t>
        </is>
      </c>
      <c r="C1477" s="156" t="inlineStr">
        <is>
          <t>EX-336</t>
        </is>
      </c>
      <c r="D1477" s="156" t="inlineStr">
        <is>
          <t>PC 300-8MO</t>
        </is>
      </c>
      <c r="E1477" s="156" t="inlineStr">
        <is>
          <t>Excavator</t>
        </is>
      </c>
      <c r="F1477" s="156" t="inlineStr">
        <is>
          <t>Cleaning Coal</t>
        </is>
      </c>
      <c r="G1477" s="182" t="n">
        <v>6.75</v>
      </c>
      <c r="H1477" s="182" t="n">
        <v>0</v>
      </c>
      <c r="I1477" s="182" t="n">
        <v>0</v>
      </c>
      <c r="J1477" s="182" t="n">
        <v>0</v>
      </c>
      <c r="K1477" s="182" t="n">
        <v>5.25</v>
      </c>
      <c r="L1477" s="182" t="n">
        <v>12</v>
      </c>
      <c r="M1477" s="182" t="n">
        <v>0</v>
      </c>
      <c r="N1477" s="182" t="n">
        <v>0</v>
      </c>
      <c r="O1477" s="183" t="n">
        <v>0</v>
      </c>
      <c r="P1477" s="183" t="n">
        <v>0</v>
      </c>
      <c r="Q1477" s="184" t="n">
        <v>0</v>
      </c>
      <c r="R1477" s="184" t="n">
        <v>0</v>
      </c>
      <c r="S1477" s="183" t="n">
        <v>0</v>
      </c>
      <c r="T1477" s="183" t="n">
        <v>0</v>
      </c>
      <c r="U1477" s="182" t="n">
        <v>4.12</v>
      </c>
      <c r="V1477" s="182" t="n">
        <v>0</v>
      </c>
      <c r="W1477" s="182" t="n">
        <v>0</v>
      </c>
      <c r="X1477" s="182" t="n">
        <v>1.05</v>
      </c>
      <c r="Y1477" s="182" t="n">
        <v>0</v>
      </c>
      <c r="Z1477" s="182" t="n">
        <v>0</v>
      </c>
      <c r="AA1477" s="182" t="n">
        <v>0</v>
      </c>
      <c r="AB1477" s="182" t="n">
        <v>0</v>
      </c>
      <c r="AC1477" s="182" t="n">
        <v>0</v>
      </c>
      <c r="AD1477" s="182" t="n">
        <v>0</v>
      </c>
      <c r="AE1477" s="182" t="n">
        <v>0</v>
      </c>
      <c r="AF1477" s="182" t="n">
        <v>0</v>
      </c>
      <c r="AG1477" s="182" t="n">
        <v>0</v>
      </c>
      <c r="AH1477" s="182" t="n">
        <v>0</v>
      </c>
      <c r="AI1477" s="182" t="n">
        <v>0</v>
      </c>
      <c r="AJ1477" s="182" t="n">
        <v>0</v>
      </c>
      <c r="AK1477" s="182" t="n">
        <v>0</v>
      </c>
      <c r="AL1477" s="182" t="n">
        <v>0</v>
      </c>
      <c r="AM1477" s="182" t="n">
        <v>0.08</v>
      </c>
      <c r="AN1477" s="182" t="n">
        <v>0</v>
      </c>
    </row>
    <row r="1478">
      <c r="A1478" s="155" t="n">
        <v>46088</v>
      </c>
      <c r="B1478" s="156" t="inlineStr">
        <is>
          <t>NS</t>
        </is>
      </c>
      <c r="C1478" s="156" t="inlineStr">
        <is>
          <t>EX-335</t>
        </is>
      </c>
      <c r="D1478" s="156" t="inlineStr">
        <is>
          <t>PC 300-8MO</t>
        </is>
      </c>
      <c r="E1478" s="156" t="inlineStr">
        <is>
          <t>Excavator</t>
        </is>
      </c>
      <c r="F1478" s="156" t="inlineStr">
        <is>
          <t>General PIT (Release air &amp; perapian tanggul)</t>
        </is>
      </c>
      <c r="G1478" s="182" t="n">
        <v>9.51</v>
      </c>
      <c r="H1478" s="182" t="n">
        <v>0</v>
      </c>
      <c r="I1478" s="182" t="n">
        <v>0</v>
      </c>
      <c r="J1478" s="182" t="n">
        <v>0</v>
      </c>
      <c r="K1478" s="182" t="n">
        <v>2.49</v>
      </c>
      <c r="L1478" s="182" t="n">
        <v>12</v>
      </c>
      <c r="M1478" s="182" t="n">
        <v>0</v>
      </c>
      <c r="N1478" s="182" t="n">
        <v>0</v>
      </c>
      <c r="O1478" s="183" t="n">
        <v>0</v>
      </c>
      <c r="P1478" s="183" t="n">
        <v>0</v>
      </c>
      <c r="Q1478" s="184" t="n">
        <v>0</v>
      </c>
      <c r="R1478" s="184" t="n">
        <v>0</v>
      </c>
      <c r="S1478" s="183" t="n">
        <v>0</v>
      </c>
      <c r="T1478" s="183" t="n">
        <v>0</v>
      </c>
      <c r="U1478" s="182" t="n">
        <v>1.21</v>
      </c>
      <c r="V1478" s="182" t="n">
        <v>0</v>
      </c>
      <c r="W1478" s="182" t="n">
        <v>0</v>
      </c>
      <c r="X1478" s="182" t="n">
        <v>1.19</v>
      </c>
      <c r="Y1478" s="182" t="n">
        <v>0</v>
      </c>
      <c r="Z1478" s="182" t="n">
        <v>0</v>
      </c>
      <c r="AA1478" s="182" t="n">
        <v>0</v>
      </c>
      <c r="AB1478" s="182" t="n">
        <v>0</v>
      </c>
      <c r="AC1478" s="182" t="n">
        <v>0</v>
      </c>
      <c r="AD1478" s="182" t="n">
        <v>0</v>
      </c>
      <c r="AE1478" s="182" t="n">
        <v>0</v>
      </c>
      <c r="AF1478" s="182" t="n">
        <v>0</v>
      </c>
      <c r="AG1478" s="182" t="n">
        <v>0</v>
      </c>
      <c r="AH1478" s="182" t="n">
        <v>0</v>
      </c>
      <c r="AI1478" s="182" t="n">
        <v>0</v>
      </c>
      <c r="AJ1478" s="182" t="n">
        <v>0</v>
      </c>
      <c r="AK1478" s="182" t="n">
        <v>0</v>
      </c>
      <c r="AL1478" s="182" t="n">
        <v>0</v>
      </c>
      <c r="AM1478" s="182" t="n">
        <v>0.09</v>
      </c>
      <c r="AN1478" s="182" t="n">
        <v>0</v>
      </c>
    </row>
    <row r="1479">
      <c r="A1479" s="155" t="n">
        <v>46088</v>
      </c>
      <c r="B1479" s="156" t="inlineStr">
        <is>
          <t>NS</t>
        </is>
      </c>
      <c r="C1479" s="156" t="inlineStr">
        <is>
          <t>EX-754</t>
        </is>
      </c>
      <c r="D1479" s="156" t="inlineStr">
        <is>
          <t>SY750H-PRO</t>
        </is>
      </c>
      <c r="E1479" s="156" t="inlineStr">
        <is>
          <t>Excavator</t>
        </is>
      </c>
      <c r="F1479" s="156" t="inlineStr"/>
      <c r="G1479" s="182" t="n">
        <v>0</v>
      </c>
      <c r="H1479" s="182" t="n">
        <v>0</v>
      </c>
      <c r="I1479" s="182" t="n">
        <v>0</v>
      </c>
      <c r="J1479" s="182" t="n">
        <v>0</v>
      </c>
      <c r="K1479" s="182" t="n">
        <v>12</v>
      </c>
      <c r="L1479" s="182" t="n">
        <v>12</v>
      </c>
      <c r="M1479" s="182" t="n">
        <v>0</v>
      </c>
      <c r="N1479" s="182" t="n">
        <v>0</v>
      </c>
      <c r="O1479" s="183" t="n">
        <v>0</v>
      </c>
      <c r="P1479" s="183" t="n">
        <v>0</v>
      </c>
      <c r="Q1479" s="184" t="n">
        <v>0</v>
      </c>
      <c r="R1479" s="184" t="n">
        <v>0</v>
      </c>
      <c r="S1479" s="183" t="n">
        <v>0</v>
      </c>
      <c r="T1479" s="183" t="n">
        <v>0</v>
      </c>
      <c r="U1479" s="182" t="n">
        <v>7.05</v>
      </c>
      <c r="V1479" s="182" t="n">
        <v>4.87</v>
      </c>
      <c r="W1479" s="182" t="n">
        <v>0</v>
      </c>
      <c r="X1479" s="182" t="n">
        <v>0</v>
      </c>
      <c r="Y1479" s="182" t="n">
        <v>0</v>
      </c>
      <c r="Z1479" s="182" t="n">
        <v>0</v>
      </c>
      <c r="AA1479" s="182" t="n">
        <v>0</v>
      </c>
      <c r="AB1479" s="182" t="n">
        <v>0</v>
      </c>
      <c r="AC1479" s="182" t="n">
        <v>0</v>
      </c>
      <c r="AD1479" s="182" t="n">
        <v>0</v>
      </c>
      <c r="AE1479" s="182" t="n">
        <v>0</v>
      </c>
      <c r="AF1479" s="182" t="n">
        <v>0</v>
      </c>
      <c r="AG1479" s="182" t="n">
        <v>0</v>
      </c>
      <c r="AH1479" s="182" t="n">
        <v>0</v>
      </c>
      <c r="AI1479" s="182" t="n">
        <v>0</v>
      </c>
      <c r="AJ1479" s="182" t="n">
        <v>0</v>
      </c>
      <c r="AK1479" s="182" t="n">
        <v>0</v>
      </c>
      <c r="AL1479" s="182" t="n">
        <v>0</v>
      </c>
      <c r="AM1479" s="182" t="n">
        <v>0.08</v>
      </c>
      <c r="AN1479" s="182" t="n">
        <v>0</v>
      </c>
    </row>
    <row r="1480">
      <c r="A1480" s="155" t="n">
        <v>46088</v>
      </c>
      <c r="B1480" s="156" t="inlineStr">
        <is>
          <t>NS</t>
        </is>
      </c>
      <c r="C1480" s="156" t="inlineStr">
        <is>
          <t>EX-755</t>
        </is>
      </c>
      <c r="D1480" s="156" t="inlineStr">
        <is>
          <t>SY750H-PRO</t>
        </is>
      </c>
      <c r="E1480" s="156" t="inlineStr">
        <is>
          <t>Excavator</t>
        </is>
      </c>
      <c r="F1480" s="156" t="inlineStr">
        <is>
          <t>Loading OB</t>
        </is>
      </c>
      <c r="G1480" s="182" t="n">
        <v>1.58</v>
      </c>
      <c r="H1480" s="182" t="n">
        <v>0</v>
      </c>
      <c r="I1480" s="182" t="n">
        <v>0</v>
      </c>
      <c r="J1480" s="182" t="n">
        <v>0</v>
      </c>
      <c r="K1480" s="182" t="n">
        <v>10.42</v>
      </c>
      <c r="L1480" s="182" t="n">
        <v>12</v>
      </c>
      <c r="M1480" s="182" t="n">
        <v>1.58</v>
      </c>
      <c r="N1480" s="182" t="n">
        <v>0</v>
      </c>
      <c r="O1480" s="183" t="n">
        <v>12</v>
      </c>
      <c r="P1480" s="183" t="n">
        <v>0</v>
      </c>
      <c r="Q1480" s="184" t="n">
        <v>244.8</v>
      </c>
      <c r="R1480" s="184" t="n">
        <v>0</v>
      </c>
      <c r="S1480" s="183" t="n">
        <v>0</v>
      </c>
      <c r="T1480" s="183" t="n">
        <v>0</v>
      </c>
      <c r="U1480" s="182" t="n">
        <v>6.8</v>
      </c>
      <c r="V1480" s="182" t="n">
        <v>3.54</v>
      </c>
      <c r="W1480" s="182" t="n">
        <v>0</v>
      </c>
      <c r="X1480" s="182" t="n">
        <v>0</v>
      </c>
      <c r="Y1480" s="182" t="n">
        <v>0</v>
      </c>
      <c r="Z1480" s="182" t="n">
        <v>0</v>
      </c>
      <c r="AA1480" s="182" t="n">
        <v>0</v>
      </c>
      <c r="AB1480" s="182" t="n">
        <v>0</v>
      </c>
      <c r="AC1480" s="182" t="n">
        <v>0</v>
      </c>
      <c r="AD1480" s="182" t="n">
        <v>0</v>
      </c>
      <c r="AE1480" s="182" t="n">
        <v>0</v>
      </c>
      <c r="AF1480" s="182" t="n">
        <v>0</v>
      </c>
      <c r="AG1480" s="182" t="n">
        <v>0</v>
      </c>
      <c r="AH1480" s="182" t="n">
        <v>0</v>
      </c>
      <c r="AI1480" s="182" t="n">
        <v>0</v>
      </c>
      <c r="AJ1480" s="182" t="n">
        <v>0</v>
      </c>
      <c r="AK1480" s="182" t="n">
        <v>0</v>
      </c>
      <c r="AL1480" s="182" t="n">
        <v>0</v>
      </c>
      <c r="AM1480" s="182" t="n">
        <v>0.08</v>
      </c>
      <c r="AN1480" s="182" t="n">
        <v>0</v>
      </c>
    </row>
    <row r="1481">
      <c r="A1481" s="155" t="n">
        <v>46088</v>
      </c>
      <c r="B1481" s="156" t="inlineStr">
        <is>
          <t>NS</t>
        </is>
      </c>
      <c r="C1481" s="156" t="inlineStr">
        <is>
          <t>EX-752</t>
        </is>
      </c>
      <c r="D1481" s="156" t="inlineStr">
        <is>
          <t>SY750H-PRO</t>
        </is>
      </c>
      <c r="E1481" s="156" t="inlineStr">
        <is>
          <t>Excavator</t>
        </is>
      </c>
      <c r="F1481" s="156" t="inlineStr"/>
      <c r="G1481" s="182" t="n">
        <v>0</v>
      </c>
      <c r="H1481" s="182" t="n">
        <v>0</v>
      </c>
      <c r="I1481" s="182" t="n">
        <v>12</v>
      </c>
      <c r="J1481" s="182" t="n">
        <v>12</v>
      </c>
      <c r="K1481" s="182" t="n">
        <v>0</v>
      </c>
      <c r="L1481" s="182" t="n">
        <v>12</v>
      </c>
      <c r="M1481" s="182" t="n">
        <v>0</v>
      </c>
      <c r="N1481" s="182" t="n">
        <v>0</v>
      </c>
      <c r="O1481" s="183" t="n">
        <v>0</v>
      </c>
      <c r="P1481" s="183" t="n">
        <v>0</v>
      </c>
      <c r="Q1481" s="184" t="n">
        <v>0</v>
      </c>
      <c r="R1481" s="184" t="n">
        <v>0</v>
      </c>
      <c r="S1481" s="183" t="n">
        <v>0</v>
      </c>
      <c r="T1481" s="183" t="n">
        <v>0</v>
      </c>
      <c r="U1481" s="182" t="n">
        <v>0</v>
      </c>
      <c r="V1481" s="182" t="n">
        <v>0</v>
      </c>
      <c r="W1481" s="182" t="n">
        <v>0</v>
      </c>
      <c r="X1481" s="182" t="n">
        <v>0</v>
      </c>
      <c r="Y1481" s="182" t="n">
        <v>0</v>
      </c>
      <c r="Z1481" s="182" t="n">
        <v>0</v>
      </c>
      <c r="AA1481" s="182" t="n">
        <v>0</v>
      </c>
      <c r="AB1481" s="182" t="n">
        <v>0</v>
      </c>
      <c r="AC1481" s="182" t="n">
        <v>0</v>
      </c>
      <c r="AD1481" s="182" t="n">
        <v>0</v>
      </c>
      <c r="AE1481" s="182" t="n">
        <v>0</v>
      </c>
      <c r="AF1481" s="182" t="n">
        <v>0</v>
      </c>
      <c r="AG1481" s="182" t="n">
        <v>0</v>
      </c>
      <c r="AH1481" s="182" t="n">
        <v>0</v>
      </c>
      <c r="AI1481" s="182" t="n">
        <v>0</v>
      </c>
      <c r="AJ1481" s="182" t="n">
        <v>0</v>
      </c>
      <c r="AK1481" s="182" t="n">
        <v>0</v>
      </c>
      <c r="AL1481" s="182" t="n">
        <v>0</v>
      </c>
      <c r="AM1481" s="182" t="n">
        <v>0</v>
      </c>
      <c r="AN1481" s="182" t="n">
        <v>0</v>
      </c>
    </row>
    <row r="1482">
      <c r="A1482" s="155" t="n">
        <v>46088</v>
      </c>
      <c r="B1482" s="156" t="inlineStr">
        <is>
          <t>NS</t>
        </is>
      </c>
      <c r="C1482" s="156" t="inlineStr">
        <is>
          <t>EX-751</t>
        </is>
      </c>
      <c r="D1482" s="156" t="inlineStr">
        <is>
          <t>SY750H-PRO</t>
        </is>
      </c>
      <c r="E1482" s="156" t="inlineStr">
        <is>
          <t>Excavator</t>
        </is>
      </c>
      <c r="F1482" s="156" t="inlineStr"/>
      <c r="G1482" s="182" t="n">
        <v>0</v>
      </c>
      <c r="H1482" s="182" t="n">
        <v>0</v>
      </c>
      <c r="I1482" s="182" t="n">
        <v>12</v>
      </c>
      <c r="J1482" s="182" t="n">
        <v>12</v>
      </c>
      <c r="K1482" s="182" t="n">
        <v>0</v>
      </c>
      <c r="L1482" s="182" t="n">
        <v>12</v>
      </c>
      <c r="M1482" s="182" t="n">
        <v>0</v>
      </c>
      <c r="N1482" s="182" t="n">
        <v>0</v>
      </c>
      <c r="O1482" s="183" t="n">
        <v>0</v>
      </c>
      <c r="P1482" s="183" t="n">
        <v>0</v>
      </c>
      <c r="Q1482" s="184" t="n">
        <v>0</v>
      </c>
      <c r="R1482" s="184" t="n">
        <v>0</v>
      </c>
      <c r="S1482" s="183" t="n">
        <v>0</v>
      </c>
      <c r="T1482" s="183" t="n">
        <v>0</v>
      </c>
      <c r="U1482" s="182" t="n">
        <v>0</v>
      </c>
      <c r="V1482" s="182" t="n">
        <v>0</v>
      </c>
      <c r="W1482" s="182" t="n">
        <v>0</v>
      </c>
      <c r="X1482" s="182" t="n">
        <v>0</v>
      </c>
      <c r="Y1482" s="182" t="n">
        <v>0</v>
      </c>
      <c r="Z1482" s="182" t="n">
        <v>0</v>
      </c>
      <c r="AA1482" s="182" t="n">
        <v>0</v>
      </c>
      <c r="AB1482" s="182" t="n">
        <v>0</v>
      </c>
      <c r="AC1482" s="182" t="n">
        <v>0</v>
      </c>
      <c r="AD1482" s="182" t="n">
        <v>0</v>
      </c>
      <c r="AE1482" s="182" t="n">
        <v>0</v>
      </c>
      <c r="AF1482" s="182" t="n">
        <v>0</v>
      </c>
      <c r="AG1482" s="182" t="n">
        <v>0</v>
      </c>
      <c r="AH1482" s="182" t="n">
        <v>0</v>
      </c>
      <c r="AI1482" s="182" t="n">
        <v>0</v>
      </c>
      <c r="AJ1482" s="182" t="n">
        <v>0</v>
      </c>
      <c r="AK1482" s="182" t="n">
        <v>0</v>
      </c>
      <c r="AL1482" s="182" t="n">
        <v>0</v>
      </c>
      <c r="AM1482" s="182" t="n">
        <v>0</v>
      </c>
      <c r="AN1482" s="182" t="n">
        <v>0</v>
      </c>
    </row>
    <row r="1483">
      <c r="A1483" s="155" t="n">
        <v>46088</v>
      </c>
      <c r="B1483" s="156" t="inlineStr">
        <is>
          <t>NS</t>
        </is>
      </c>
      <c r="C1483" s="156" t="inlineStr">
        <is>
          <t>EX-753</t>
        </is>
      </c>
      <c r="D1483" s="156" t="inlineStr">
        <is>
          <t>SY750H-PRO</t>
        </is>
      </c>
      <c r="E1483" s="156" t="inlineStr">
        <is>
          <t>Excavator</t>
        </is>
      </c>
      <c r="F1483" s="156" t="inlineStr">
        <is>
          <t>Greasing Unit</t>
        </is>
      </c>
      <c r="G1483" s="182" t="n">
        <v>0.3</v>
      </c>
      <c r="H1483" s="182" t="n">
        <v>0</v>
      </c>
      <c r="I1483" s="182" t="n">
        <v>0.17</v>
      </c>
      <c r="J1483" s="182" t="n">
        <v>0.17</v>
      </c>
      <c r="K1483" s="182" t="n">
        <v>11.53</v>
      </c>
      <c r="L1483" s="182" t="n">
        <v>12</v>
      </c>
      <c r="M1483" s="182" t="n">
        <v>0</v>
      </c>
      <c r="N1483" s="182" t="n">
        <v>0</v>
      </c>
      <c r="O1483" s="183" t="n">
        <v>0</v>
      </c>
      <c r="P1483" s="183" t="n">
        <v>0</v>
      </c>
      <c r="Q1483" s="184" t="n">
        <v>0</v>
      </c>
      <c r="R1483" s="184" t="n">
        <v>0</v>
      </c>
      <c r="S1483" s="183" t="n">
        <v>0</v>
      </c>
      <c r="T1483" s="183" t="n">
        <v>0</v>
      </c>
      <c r="U1483" s="182" t="n">
        <v>7.19</v>
      </c>
      <c r="V1483" s="182" t="n">
        <v>4.26</v>
      </c>
      <c r="W1483" s="182" t="n">
        <v>0</v>
      </c>
      <c r="X1483" s="182" t="n">
        <v>0</v>
      </c>
      <c r="Y1483" s="182" t="n">
        <v>0</v>
      </c>
      <c r="Z1483" s="182" t="n">
        <v>0</v>
      </c>
      <c r="AA1483" s="182" t="n">
        <v>0</v>
      </c>
      <c r="AB1483" s="182" t="n">
        <v>0</v>
      </c>
      <c r="AC1483" s="182" t="n">
        <v>0</v>
      </c>
      <c r="AD1483" s="182" t="n">
        <v>0</v>
      </c>
      <c r="AE1483" s="182" t="n">
        <v>0</v>
      </c>
      <c r="AF1483" s="182" t="n">
        <v>0</v>
      </c>
      <c r="AG1483" s="182" t="n">
        <v>0</v>
      </c>
      <c r="AH1483" s="182" t="n">
        <v>0</v>
      </c>
      <c r="AI1483" s="182" t="n">
        <v>0</v>
      </c>
      <c r="AJ1483" s="182" t="n">
        <v>0</v>
      </c>
      <c r="AK1483" s="182" t="n">
        <v>0</v>
      </c>
      <c r="AL1483" s="182" t="n">
        <v>0</v>
      </c>
      <c r="AM1483" s="182" t="n">
        <v>0.08</v>
      </c>
      <c r="AN1483" s="182" t="n">
        <v>0</v>
      </c>
    </row>
    <row r="1484">
      <c r="A1484" s="155" t="n">
        <v>46088</v>
      </c>
      <c r="B1484" s="156" t="inlineStr">
        <is>
          <t>NS</t>
        </is>
      </c>
      <c r="C1484" s="156" t="inlineStr">
        <is>
          <t>GD-012</t>
        </is>
      </c>
      <c r="D1484" s="156" t="inlineStr">
        <is>
          <t>STG 230C - 8S</t>
        </is>
      </c>
      <c r="E1484" s="156" t="inlineStr">
        <is>
          <t>Grader</t>
        </is>
      </c>
      <c r="F1484" s="156" t="inlineStr"/>
      <c r="G1484" s="182" t="n">
        <v>0</v>
      </c>
      <c r="H1484" s="182" t="n">
        <v>0</v>
      </c>
      <c r="I1484" s="182" t="n">
        <v>0</v>
      </c>
      <c r="J1484" s="182" t="n">
        <v>0</v>
      </c>
      <c r="K1484" s="182" t="n">
        <v>12</v>
      </c>
      <c r="L1484" s="182" t="n">
        <v>12</v>
      </c>
      <c r="M1484" s="182" t="n">
        <v>0</v>
      </c>
      <c r="N1484" s="182" t="n">
        <v>0</v>
      </c>
      <c r="O1484" s="183" t="n">
        <v>0</v>
      </c>
      <c r="P1484" s="183" t="n">
        <v>0</v>
      </c>
      <c r="Q1484" s="184" t="n">
        <v>0</v>
      </c>
      <c r="R1484" s="184" t="n">
        <v>0</v>
      </c>
      <c r="S1484" s="183" t="n">
        <v>0</v>
      </c>
      <c r="T1484" s="183" t="n">
        <v>0</v>
      </c>
      <c r="U1484" s="182" t="n">
        <v>0</v>
      </c>
      <c r="V1484" s="182" t="n">
        <v>0</v>
      </c>
      <c r="W1484" s="182" t="n">
        <v>0</v>
      </c>
      <c r="X1484" s="182" t="n">
        <v>1</v>
      </c>
      <c r="Y1484" s="182" t="n">
        <v>0</v>
      </c>
      <c r="Z1484" s="182" t="n">
        <v>0</v>
      </c>
      <c r="AA1484" s="182" t="n">
        <v>0</v>
      </c>
      <c r="AB1484" s="182" t="n">
        <v>0</v>
      </c>
      <c r="AC1484" s="182" t="n">
        <v>0</v>
      </c>
      <c r="AD1484" s="182" t="n">
        <v>0</v>
      </c>
      <c r="AE1484" s="182" t="n">
        <v>0</v>
      </c>
      <c r="AF1484" s="182" t="n">
        <v>0</v>
      </c>
      <c r="AG1484" s="182" t="n">
        <v>0</v>
      </c>
      <c r="AH1484" s="182" t="n">
        <v>0</v>
      </c>
      <c r="AI1484" s="182" t="n">
        <v>0</v>
      </c>
      <c r="AJ1484" s="182" t="n">
        <v>0</v>
      </c>
      <c r="AK1484" s="182" t="n">
        <v>10.92</v>
      </c>
      <c r="AL1484" s="182" t="n">
        <v>0</v>
      </c>
      <c r="AM1484" s="182" t="n">
        <v>0.08</v>
      </c>
      <c r="AN1484" s="182" t="n">
        <v>0</v>
      </c>
    </row>
    <row r="1485">
      <c r="A1485" s="155" t="n">
        <v>46088</v>
      </c>
      <c r="B1485" s="156" t="inlineStr">
        <is>
          <t>NS</t>
        </is>
      </c>
      <c r="C1485" s="156" t="inlineStr">
        <is>
          <t>GD-011</t>
        </is>
      </c>
      <c r="D1485" s="156" t="inlineStr">
        <is>
          <t>STG 230C - 8S</t>
        </is>
      </c>
      <c r="E1485" s="156" t="inlineStr">
        <is>
          <t>Grader</t>
        </is>
      </c>
      <c r="F1485" s="156" t="inlineStr"/>
      <c r="G1485" s="182" t="n">
        <v>0</v>
      </c>
      <c r="H1485" s="182" t="n">
        <v>0</v>
      </c>
      <c r="I1485" s="182" t="n">
        <v>12</v>
      </c>
      <c r="J1485" s="182" t="n">
        <v>12</v>
      </c>
      <c r="K1485" s="182" t="n">
        <v>0</v>
      </c>
      <c r="L1485" s="182" t="n">
        <v>12</v>
      </c>
      <c r="M1485" s="182" t="n">
        <v>0</v>
      </c>
      <c r="N1485" s="182" t="n">
        <v>0</v>
      </c>
      <c r="O1485" s="183" t="n">
        <v>0</v>
      </c>
      <c r="P1485" s="183" t="n">
        <v>0</v>
      </c>
      <c r="Q1485" s="184" t="n">
        <v>0</v>
      </c>
      <c r="R1485" s="184" t="n">
        <v>0</v>
      </c>
      <c r="S1485" s="183" t="n">
        <v>0</v>
      </c>
      <c r="T1485" s="183" t="n">
        <v>0</v>
      </c>
      <c r="U1485" s="182" t="n">
        <v>0</v>
      </c>
      <c r="V1485" s="182" t="n">
        <v>0</v>
      </c>
      <c r="W1485" s="182" t="n">
        <v>0</v>
      </c>
      <c r="X1485" s="182" t="n">
        <v>0</v>
      </c>
      <c r="Y1485" s="182" t="n">
        <v>0</v>
      </c>
      <c r="Z1485" s="182" t="n">
        <v>0</v>
      </c>
      <c r="AA1485" s="182" t="n">
        <v>0</v>
      </c>
      <c r="AB1485" s="182" t="n">
        <v>0</v>
      </c>
      <c r="AC1485" s="182" t="n">
        <v>0</v>
      </c>
      <c r="AD1485" s="182" t="n">
        <v>0</v>
      </c>
      <c r="AE1485" s="182" t="n">
        <v>0</v>
      </c>
      <c r="AF1485" s="182" t="n">
        <v>0</v>
      </c>
      <c r="AG1485" s="182" t="n">
        <v>0</v>
      </c>
      <c r="AH1485" s="182" t="n">
        <v>0</v>
      </c>
      <c r="AI1485" s="182" t="n">
        <v>0</v>
      </c>
      <c r="AJ1485" s="182" t="n">
        <v>0</v>
      </c>
      <c r="AK1485" s="182" t="n">
        <v>0</v>
      </c>
      <c r="AL1485" s="182" t="n">
        <v>0</v>
      </c>
      <c r="AM1485" s="182" t="n">
        <v>0</v>
      </c>
      <c r="AN1485" s="182" t="n">
        <v>0</v>
      </c>
    </row>
    <row r="1486">
      <c r="A1486" s="155" t="n">
        <v>46088</v>
      </c>
      <c r="B1486" s="156" t="inlineStr">
        <is>
          <t>NS</t>
        </is>
      </c>
      <c r="C1486" s="156" t="inlineStr">
        <is>
          <t>GD-013</t>
        </is>
      </c>
      <c r="D1486" s="156" t="inlineStr">
        <is>
          <t>STG 265C - 10</t>
        </is>
      </c>
      <c r="E1486" s="156" t="inlineStr">
        <is>
          <t>Grader</t>
        </is>
      </c>
      <c r="F1486" s="156" t="inlineStr">
        <is>
          <t>Road Maintenance</t>
        </is>
      </c>
      <c r="G1486" s="182" t="n">
        <v>4.06</v>
      </c>
      <c r="H1486" s="182" t="n">
        <v>0</v>
      </c>
      <c r="I1486" s="182" t="n">
        <v>0.62</v>
      </c>
      <c r="J1486" s="182" t="n">
        <v>0.62</v>
      </c>
      <c r="K1486" s="182" t="n">
        <v>7.32</v>
      </c>
      <c r="L1486" s="182" t="n">
        <v>12</v>
      </c>
      <c r="M1486" s="182" t="n">
        <v>0</v>
      </c>
      <c r="N1486" s="182" t="n">
        <v>0</v>
      </c>
      <c r="O1486" s="183" t="n">
        <v>0</v>
      </c>
      <c r="P1486" s="183" t="n">
        <v>0</v>
      </c>
      <c r="Q1486" s="184" t="n">
        <v>0</v>
      </c>
      <c r="R1486" s="184" t="n">
        <v>0</v>
      </c>
      <c r="S1486" s="183" t="n">
        <v>0</v>
      </c>
      <c r="T1486" s="183" t="n">
        <v>0</v>
      </c>
      <c r="U1486" s="182" t="n">
        <v>6.99</v>
      </c>
      <c r="V1486" s="182" t="n">
        <v>0</v>
      </c>
      <c r="W1486" s="182" t="n">
        <v>0</v>
      </c>
      <c r="X1486" s="182" t="n">
        <v>0</v>
      </c>
      <c r="Y1486" s="182" t="n">
        <v>0</v>
      </c>
      <c r="Z1486" s="182" t="n">
        <v>0</v>
      </c>
      <c r="AA1486" s="182" t="n">
        <v>0</v>
      </c>
      <c r="AB1486" s="182" t="n">
        <v>0</v>
      </c>
      <c r="AC1486" s="182" t="n">
        <v>0</v>
      </c>
      <c r="AD1486" s="182" t="n">
        <v>0</v>
      </c>
      <c r="AE1486" s="182" t="n">
        <v>0</v>
      </c>
      <c r="AF1486" s="182" t="n">
        <v>0</v>
      </c>
      <c r="AG1486" s="182" t="n">
        <v>0</v>
      </c>
      <c r="AH1486" s="182" t="n">
        <v>0</v>
      </c>
      <c r="AI1486" s="182" t="n">
        <v>0</v>
      </c>
      <c r="AJ1486" s="182" t="n">
        <v>0</v>
      </c>
      <c r="AK1486" s="182" t="n">
        <v>0.25</v>
      </c>
      <c r="AL1486" s="182" t="n">
        <v>0</v>
      </c>
      <c r="AM1486" s="182" t="n">
        <v>0.08</v>
      </c>
      <c r="AN1486" s="182" t="n">
        <v>0</v>
      </c>
    </row>
    <row r="1487">
      <c r="A1487" s="155" t="n">
        <v>46088</v>
      </c>
      <c r="B1487" s="156" t="inlineStr">
        <is>
          <t>NS</t>
        </is>
      </c>
      <c r="C1487" s="156" t="inlineStr">
        <is>
          <t>GD-014</t>
        </is>
      </c>
      <c r="D1487" s="156" t="inlineStr">
        <is>
          <t>STG 335C - 10</t>
        </is>
      </c>
      <c r="E1487" s="156" t="inlineStr">
        <is>
          <t>Grader</t>
        </is>
      </c>
      <c r="F1487" s="156" t="inlineStr">
        <is>
          <t>Road Maintenance</t>
        </is>
      </c>
      <c r="G1487" s="182" t="n">
        <v>4.52</v>
      </c>
      <c r="H1487" s="182" t="n">
        <v>0</v>
      </c>
      <c r="I1487" s="182" t="n">
        <v>0</v>
      </c>
      <c r="J1487" s="182" t="n">
        <v>0</v>
      </c>
      <c r="K1487" s="182" t="n">
        <v>7.48</v>
      </c>
      <c r="L1487" s="182" t="n">
        <v>12</v>
      </c>
      <c r="M1487" s="182" t="n">
        <v>0</v>
      </c>
      <c r="N1487" s="182" t="n">
        <v>0</v>
      </c>
      <c r="O1487" s="183" t="n">
        <v>0</v>
      </c>
      <c r="P1487" s="183" t="n">
        <v>0</v>
      </c>
      <c r="Q1487" s="184" t="n">
        <v>0</v>
      </c>
      <c r="R1487" s="184" t="n">
        <v>0</v>
      </c>
      <c r="S1487" s="183" t="n">
        <v>0</v>
      </c>
      <c r="T1487" s="183" t="n">
        <v>0</v>
      </c>
      <c r="U1487" s="182" t="n">
        <v>7.03</v>
      </c>
      <c r="V1487" s="182" t="n">
        <v>0</v>
      </c>
      <c r="W1487" s="182" t="n">
        <v>0</v>
      </c>
      <c r="X1487" s="182" t="n">
        <v>0</v>
      </c>
      <c r="Y1487" s="182" t="n">
        <v>0</v>
      </c>
      <c r="Z1487" s="182" t="n">
        <v>0</v>
      </c>
      <c r="AA1487" s="182" t="n">
        <v>0</v>
      </c>
      <c r="AB1487" s="182" t="n">
        <v>0</v>
      </c>
      <c r="AC1487" s="182" t="n">
        <v>0</v>
      </c>
      <c r="AD1487" s="182" t="n">
        <v>0</v>
      </c>
      <c r="AE1487" s="182" t="n">
        <v>0</v>
      </c>
      <c r="AF1487" s="182" t="n">
        <v>0</v>
      </c>
      <c r="AG1487" s="182" t="n">
        <v>0</v>
      </c>
      <c r="AH1487" s="182" t="n">
        <v>0</v>
      </c>
      <c r="AI1487" s="182" t="n">
        <v>0</v>
      </c>
      <c r="AJ1487" s="182" t="n">
        <v>0</v>
      </c>
      <c r="AK1487" s="182" t="n">
        <v>0.37</v>
      </c>
      <c r="AL1487" s="182" t="n">
        <v>0</v>
      </c>
      <c r="AM1487" s="182" t="n">
        <v>0.08</v>
      </c>
      <c r="AN1487" s="182" t="n">
        <v>0</v>
      </c>
    </row>
    <row r="1488">
      <c r="A1488" s="155" t="n">
        <v>46088</v>
      </c>
      <c r="B1488" s="156" t="inlineStr">
        <is>
          <t>NS</t>
        </is>
      </c>
      <c r="C1488" s="156" t="inlineStr">
        <is>
          <t>DT-809</t>
        </is>
      </c>
      <c r="D1488" s="156" t="inlineStr">
        <is>
          <t>SKT 80S</t>
        </is>
      </c>
      <c r="E1488" s="156" t="inlineStr">
        <is>
          <t>Hauler</t>
        </is>
      </c>
      <c r="F1488" s="156" t="inlineStr"/>
      <c r="G1488" s="182" t="n">
        <v>0</v>
      </c>
      <c r="H1488" s="182" t="n">
        <v>0</v>
      </c>
      <c r="I1488" s="182" t="n">
        <v>0</v>
      </c>
      <c r="J1488" s="182" t="n">
        <v>0</v>
      </c>
      <c r="K1488" s="182" t="n">
        <v>12</v>
      </c>
      <c r="L1488" s="182" t="n">
        <v>12</v>
      </c>
      <c r="M1488" s="182" t="n">
        <v>0</v>
      </c>
      <c r="N1488" s="182" t="n">
        <v>0</v>
      </c>
      <c r="O1488" s="183" t="n">
        <v>0</v>
      </c>
      <c r="P1488" s="183" t="n">
        <v>0</v>
      </c>
      <c r="Q1488" s="184" t="n">
        <v>0</v>
      </c>
      <c r="R1488" s="184" t="n">
        <v>0</v>
      </c>
      <c r="S1488" s="183" t="n">
        <v>0</v>
      </c>
      <c r="T1488" s="183" t="n">
        <v>0</v>
      </c>
      <c r="U1488" s="182" t="n">
        <v>0</v>
      </c>
      <c r="V1488" s="182" t="n">
        <v>0</v>
      </c>
      <c r="W1488" s="182" t="n">
        <v>0</v>
      </c>
      <c r="X1488" s="182" t="n">
        <v>1</v>
      </c>
      <c r="Y1488" s="182" t="n">
        <v>0</v>
      </c>
      <c r="Z1488" s="182" t="n">
        <v>0</v>
      </c>
      <c r="AA1488" s="182" t="n">
        <v>0</v>
      </c>
      <c r="AB1488" s="182" t="n">
        <v>0</v>
      </c>
      <c r="AC1488" s="182" t="n">
        <v>0</v>
      </c>
      <c r="AD1488" s="182" t="n">
        <v>0</v>
      </c>
      <c r="AE1488" s="182" t="n">
        <v>0</v>
      </c>
      <c r="AF1488" s="182" t="n">
        <v>0</v>
      </c>
      <c r="AG1488" s="182" t="n">
        <v>0</v>
      </c>
      <c r="AH1488" s="182" t="n">
        <v>0</v>
      </c>
      <c r="AI1488" s="182" t="n">
        <v>0</v>
      </c>
      <c r="AJ1488" s="182" t="n">
        <v>0</v>
      </c>
      <c r="AK1488" s="182" t="n">
        <v>10.92</v>
      </c>
      <c r="AL1488" s="182" t="n">
        <v>0</v>
      </c>
      <c r="AM1488" s="182" t="n">
        <v>0.08</v>
      </c>
      <c r="AN1488" s="182" t="n">
        <v>0</v>
      </c>
    </row>
    <row r="1489">
      <c r="A1489" s="155" t="n">
        <v>46088</v>
      </c>
      <c r="B1489" s="156" t="inlineStr">
        <is>
          <t>NS</t>
        </is>
      </c>
      <c r="C1489" s="156" t="inlineStr">
        <is>
          <t>DT-806</t>
        </is>
      </c>
      <c r="D1489" s="156" t="inlineStr">
        <is>
          <t>SKT 80S</t>
        </is>
      </c>
      <c r="E1489" s="156" t="inlineStr">
        <is>
          <t>Hauler</t>
        </is>
      </c>
      <c r="F1489" s="156" t="inlineStr"/>
      <c r="G1489" s="182" t="n">
        <v>0</v>
      </c>
      <c r="H1489" s="182" t="n">
        <v>0</v>
      </c>
      <c r="I1489" s="182" t="n">
        <v>0</v>
      </c>
      <c r="J1489" s="182" t="n">
        <v>0</v>
      </c>
      <c r="K1489" s="182" t="n">
        <v>12</v>
      </c>
      <c r="L1489" s="182" t="n">
        <v>12</v>
      </c>
      <c r="M1489" s="182" t="n">
        <v>0</v>
      </c>
      <c r="N1489" s="182" t="n">
        <v>0</v>
      </c>
      <c r="O1489" s="183" t="n">
        <v>0</v>
      </c>
      <c r="P1489" s="183" t="n">
        <v>0</v>
      </c>
      <c r="Q1489" s="184" t="n">
        <v>0</v>
      </c>
      <c r="R1489" s="184" t="n">
        <v>0</v>
      </c>
      <c r="S1489" s="183" t="n">
        <v>0</v>
      </c>
      <c r="T1489" s="183" t="n">
        <v>0</v>
      </c>
      <c r="U1489" s="182" t="n">
        <v>0</v>
      </c>
      <c r="V1489" s="182" t="n">
        <v>0</v>
      </c>
      <c r="W1489" s="182" t="n">
        <v>0</v>
      </c>
      <c r="X1489" s="182" t="n">
        <v>1</v>
      </c>
      <c r="Y1489" s="182" t="n">
        <v>0</v>
      </c>
      <c r="Z1489" s="182" t="n">
        <v>0</v>
      </c>
      <c r="AA1489" s="182" t="n">
        <v>0</v>
      </c>
      <c r="AB1489" s="182" t="n">
        <v>0</v>
      </c>
      <c r="AC1489" s="182" t="n">
        <v>0</v>
      </c>
      <c r="AD1489" s="182" t="n">
        <v>0</v>
      </c>
      <c r="AE1489" s="182" t="n">
        <v>0</v>
      </c>
      <c r="AF1489" s="182" t="n">
        <v>0</v>
      </c>
      <c r="AG1489" s="182" t="n">
        <v>0</v>
      </c>
      <c r="AH1489" s="182" t="n">
        <v>0</v>
      </c>
      <c r="AI1489" s="182" t="n">
        <v>0</v>
      </c>
      <c r="AJ1489" s="182" t="n">
        <v>0</v>
      </c>
      <c r="AK1489" s="182" t="n">
        <v>10.92</v>
      </c>
      <c r="AL1489" s="182" t="n">
        <v>0</v>
      </c>
      <c r="AM1489" s="182" t="n">
        <v>0.08</v>
      </c>
      <c r="AN1489" s="182" t="n">
        <v>0</v>
      </c>
    </row>
    <row r="1490">
      <c r="A1490" s="155" t="n">
        <v>46088</v>
      </c>
      <c r="B1490" s="156" t="inlineStr">
        <is>
          <t>NS</t>
        </is>
      </c>
      <c r="C1490" s="156" t="inlineStr">
        <is>
          <t>DT-805</t>
        </is>
      </c>
      <c r="D1490" s="156" t="inlineStr">
        <is>
          <t>SKT 80S</t>
        </is>
      </c>
      <c r="E1490" s="156" t="inlineStr">
        <is>
          <t>Hauler</t>
        </is>
      </c>
      <c r="F1490" s="156" t="inlineStr"/>
      <c r="G1490" s="182" t="n">
        <v>0</v>
      </c>
      <c r="H1490" s="182" t="n">
        <v>0</v>
      </c>
      <c r="I1490" s="182" t="n">
        <v>0</v>
      </c>
      <c r="J1490" s="182" t="n">
        <v>0</v>
      </c>
      <c r="K1490" s="182" t="n">
        <v>12</v>
      </c>
      <c r="L1490" s="182" t="n">
        <v>12</v>
      </c>
      <c r="M1490" s="182" t="n">
        <v>0</v>
      </c>
      <c r="N1490" s="182" t="n">
        <v>0</v>
      </c>
      <c r="O1490" s="183" t="n">
        <v>0</v>
      </c>
      <c r="P1490" s="183" t="n">
        <v>0</v>
      </c>
      <c r="Q1490" s="184" t="n">
        <v>0</v>
      </c>
      <c r="R1490" s="184" t="n">
        <v>0</v>
      </c>
      <c r="S1490" s="183" t="n">
        <v>0</v>
      </c>
      <c r="T1490" s="183" t="n">
        <v>0</v>
      </c>
      <c r="U1490" s="182" t="n">
        <v>0</v>
      </c>
      <c r="V1490" s="182" t="n">
        <v>0</v>
      </c>
      <c r="W1490" s="182" t="n">
        <v>0</v>
      </c>
      <c r="X1490" s="182" t="n">
        <v>1</v>
      </c>
      <c r="Y1490" s="182" t="n">
        <v>0</v>
      </c>
      <c r="Z1490" s="182" t="n">
        <v>0</v>
      </c>
      <c r="AA1490" s="182" t="n">
        <v>0</v>
      </c>
      <c r="AB1490" s="182" t="n">
        <v>0</v>
      </c>
      <c r="AC1490" s="182" t="n">
        <v>0</v>
      </c>
      <c r="AD1490" s="182" t="n">
        <v>0</v>
      </c>
      <c r="AE1490" s="182" t="n">
        <v>0</v>
      </c>
      <c r="AF1490" s="182" t="n">
        <v>0</v>
      </c>
      <c r="AG1490" s="182" t="n">
        <v>0</v>
      </c>
      <c r="AH1490" s="182" t="n">
        <v>0</v>
      </c>
      <c r="AI1490" s="182" t="n">
        <v>0</v>
      </c>
      <c r="AJ1490" s="182" t="n">
        <v>0</v>
      </c>
      <c r="AK1490" s="182" t="n">
        <v>10.92</v>
      </c>
      <c r="AL1490" s="182" t="n">
        <v>0</v>
      </c>
      <c r="AM1490" s="182" t="n">
        <v>0.08</v>
      </c>
      <c r="AN1490" s="182" t="n">
        <v>0</v>
      </c>
    </row>
    <row r="1491">
      <c r="A1491" s="155" t="n">
        <v>46088</v>
      </c>
      <c r="B1491" s="156" t="inlineStr">
        <is>
          <t>NS</t>
        </is>
      </c>
      <c r="C1491" s="156" t="inlineStr">
        <is>
          <t>DT-801</t>
        </is>
      </c>
      <c r="D1491" s="156" t="inlineStr">
        <is>
          <t>SKT 80S</t>
        </is>
      </c>
      <c r="E1491" s="156" t="inlineStr">
        <is>
          <t>Hauler</t>
        </is>
      </c>
      <c r="F1491" s="156" t="inlineStr"/>
      <c r="G1491" s="182" t="n">
        <v>0</v>
      </c>
      <c r="H1491" s="182" t="n">
        <v>0</v>
      </c>
      <c r="I1491" s="182" t="n">
        <v>0</v>
      </c>
      <c r="J1491" s="182" t="n">
        <v>0</v>
      </c>
      <c r="K1491" s="182" t="n">
        <v>12</v>
      </c>
      <c r="L1491" s="182" t="n">
        <v>12</v>
      </c>
      <c r="M1491" s="182" t="n">
        <v>0</v>
      </c>
      <c r="N1491" s="182" t="n">
        <v>0</v>
      </c>
      <c r="O1491" s="183" t="n">
        <v>0</v>
      </c>
      <c r="P1491" s="183" t="n">
        <v>0</v>
      </c>
      <c r="Q1491" s="184" t="n">
        <v>0</v>
      </c>
      <c r="R1491" s="184" t="n">
        <v>0</v>
      </c>
      <c r="S1491" s="183" t="n">
        <v>0</v>
      </c>
      <c r="T1491" s="183" t="n">
        <v>0</v>
      </c>
      <c r="U1491" s="182" t="n">
        <v>0</v>
      </c>
      <c r="V1491" s="182" t="n">
        <v>0</v>
      </c>
      <c r="W1491" s="182" t="n">
        <v>0</v>
      </c>
      <c r="X1491" s="182" t="n">
        <v>1</v>
      </c>
      <c r="Y1491" s="182" t="n">
        <v>0</v>
      </c>
      <c r="Z1491" s="182" t="n">
        <v>0</v>
      </c>
      <c r="AA1491" s="182" t="n">
        <v>0</v>
      </c>
      <c r="AB1491" s="182" t="n">
        <v>0</v>
      </c>
      <c r="AC1491" s="182" t="n">
        <v>0</v>
      </c>
      <c r="AD1491" s="182" t="n">
        <v>0</v>
      </c>
      <c r="AE1491" s="182" t="n">
        <v>0</v>
      </c>
      <c r="AF1491" s="182" t="n">
        <v>0</v>
      </c>
      <c r="AG1491" s="182" t="n">
        <v>0</v>
      </c>
      <c r="AH1491" s="182" t="n">
        <v>0</v>
      </c>
      <c r="AI1491" s="182" t="n">
        <v>0</v>
      </c>
      <c r="AJ1491" s="182" t="n">
        <v>0</v>
      </c>
      <c r="AK1491" s="182" t="n">
        <v>10.92</v>
      </c>
      <c r="AL1491" s="182" t="n">
        <v>0</v>
      </c>
      <c r="AM1491" s="182" t="n">
        <v>0.08</v>
      </c>
      <c r="AN1491" s="182" t="n">
        <v>0</v>
      </c>
    </row>
    <row r="1492">
      <c r="A1492" s="155" t="n">
        <v>46088</v>
      </c>
      <c r="B1492" s="156" t="inlineStr">
        <is>
          <t>NS</t>
        </is>
      </c>
      <c r="C1492" s="156" t="inlineStr">
        <is>
          <t>DT-808</t>
        </is>
      </c>
      <c r="D1492" s="156" t="inlineStr">
        <is>
          <t>SKT 80S</t>
        </is>
      </c>
      <c r="E1492" s="156" t="inlineStr">
        <is>
          <t>Hauler</t>
        </is>
      </c>
      <c r="F1492" s="156" t="inlineStr"/>
      <c r="G1492" s="182" t="n">
        <v>0</v>
      </c>
      <c r="H1492" s="182" t="n">
        <v>0</v>
      </c>
      <c r="I1492" s="182" t="n">
        <v>0</v>
      </c>
      <c r="J1492" s="182" t="n">
        <v>0</v>
      </c>
      <c r="K1492" s="182" t="n">
        <v>12</v>
      </c>
      <c r="L1492" s="182" t="n">
        <v>12</v>
      </c>
      <c r="M1492" s="182" t="n">
        <v>0</v>
      </c>
      <c r="N1492" s="182" t="n">
        <v>0</v>
      </c>
      <c r="O1492" s="183" t="n">
        <v>0</v>
      </c>
      <c r="P1492" s="183" t="n">
        <v>0</v>
      </c>
      <c r="Q1492" s="184" t="n">
        <v>0</v>
      </c>
      <c r="R1492" s="184" t="n">
        <v>0</v>
      </c>
      <c r="S1492" s="183" t="n">
        <v>0</v>
      </c>
      <c r="T1492" s="183" t="n">
        <v>0</v>
      </c>
      <c r="U1492" s="182" t="n">
        <v>0</v>
      </c>
      <c r="V1492" s="182" t="n">
        <v>0</v>
      </c>
      <c r="W1492" s="182" t="n">
        <v>0</v>
      </c>
      <c r="X1492" s="182" t="n">
        <v>1</v>
      </c>
      <c r="Y1492" s="182" t="n">
        <v>0</v>
      </c>
      <c r="Z1492" s="182" t="n">
        <v>0</v>
      </c>
      <c r="AA1492" s="182" t="n">
        <v>0</v>
      </c>
      <c r="AB1492" s="182" t="n">
        <v>0</v>
      </c>
      <c r="AC1492" s="182" t="n">
        <v>0</v>
      </c>
      <c r="AD1492" s="182" t="n">
        <v>0</v>
      </c>
      <c r="AE1492" s="182" t="n">
        <v>0</v>
      </c>
      <c r="AF1492" s="182" t="n">
        <v>0</v>
      </c>
      <c r="AG1492" s="182" t="n">
        <v>0</v>
      </c>
      <c r="AH1492" s="182" t="n">
        <v>0</v>
      </c>
      <c r="AI1492" s="182" t="n">
        <v>0</v>
      </c>
      <c r="AJ1492" s="182" t="n">
        <v>0</v>
      </c>
      <c r="AK1492" s="182" t="n">
        <v>10.92</v>
      </c>
      <c r="AL1492" s="182" t="n">
        <v>0</v>
      </c>
      <c r="AM1492" s="182" t="n">
        <v>0.08</v>
      </c>
      <c r="AN1492" s="182" t="n">
        <v>0</v>
      </c>
    </row>
    <row r="1493">
      <c r="A1493" s="155" t="n">
        <v>46088</v>
      </c>
      <c r="B1493" s="156" t="inlineStr">
        <is>
          <t>NS</t>
        </is>
      </c>
      <c r="C1493" s="156" t="inlineStr">
        <is>
          <t>DT-811</t>
        </is>
      </c>
      <c r="D1493" s="156" t="inlineStr">
        <is>
          <t>SKT 80S</t>
        </is>
      </c>
      <c r="E1493" s="156" t="inlineStr">
        <is>
          <t>Hauler</t>
        </is>
      </c>
      <c r="F1493" s="156" t="inlineStr"/>
      <c r="G1493" s="182" t="n">
        <v>0</v>
      </c>
      <c r="H1493" s="182" t="n">
        <v>0</v>
      </c>
      <c r="I1493" s="182" t="n">
        <v>12</v>
      </c>
      <c r="J1493" s="182" t="n">
        <v>12</v>
      </c>
      <c r="K1493" s="182" t="n">
        <v>0</v>
      </c>
      <c r="L1493" s="182" t="n">
        <v>12</v>
      </c>
      <c r="M1493" s="182" t="n">
        <v>0</v>
      </c>
      <c r="N1493" s="182" t="n">
        <v>0</v>
      </c>
      <c r="O1493" s="183" t="n">
        <v>0</v>
      </c>
      <c r="P1493" s="183" t="n">
        <v>0</v>
      </c>
      <c r="Q1493" s="184" t="n">
        <v>0</v>
      </c>
      <c r="R1493" s="184" t="n">
        <v>0</v>
      </c>
      <c r="S1493" s="183" t="n">
        <v>0</v>
      </c>
      <c r="T1493" s="183" t="n">
        <v>0</v>
      </c>
      <c r="U1493" s="182" t="n">
        <v>0</v>
      </c>
      <c r="V1493" s="182" t="n">
        <v>0</v>
      </c>
      <c r="W1493" s="182" t="n">
        <v>0</v>
      </c>
      <c r="X1493" s="182" t="n">
        <v>0</v>
      </c>
      <c r="Y1493" s="182" t="n">
        <v>0</v>
      </c>
      <c r="Z1493" s="182" t="n">
        <v>0</v>
      </c>
      <c r="AA1493" s="182" t="n">
        <v>0</v>
      </c>
      <c r="AB1493" s="182" t="n">
        <v>0</v>
      </c>
      <c r="AC1493" s="182" t="n">
        <v>0</v>
      </c>
      <c r="AD1493" s="182" t="n">
        <v>0</v>
      </c>
      <c r="AE1493" s="182" t="n">
        <v>0</v>
      </c>
      <c r="AF1493" s="182" t="n">
        <v>0</v>
      </c>
      <c r="AG1493" s="182" t="n">
        <v>0</v>
      </c>
      <c r="AH1493" s="182" t="n">
        <v>0</v>
      </c>
      <c r="AI1493" s="182" t="n">
        <v>0</v>
      </c>
      <c r="AJ1493" s="182" t="n">
        <v>0</v>
      </c>
      <c r="AK1493" s="182" t="n">
        <v>0</v>
      </c>
      <c r="AL1493" s="182" t="n">
        <v>0</v>
      </c>
      <c r="AM1493" s="182" t="n">
        <v>0</v>
      </c>
      <c r="AN1493" s="182" t="n">
        <v>0</v>
      </c>
    </row>
    <row r="1494">
      <c r="A1494" s="155" t="n">
        <v>46088</v>
      </c>
      <c r="B1494" s="156" t="inlineStr">
        <is>
          <t>NS</t>
        </is>
      </c>
      <c r="C1494" s="156" t="inlineStr">
        <is>
          <t>DT-802</t>
        </is>
      </c>
      <c r="D1494" s="156" t="inlineStr">
        <is>
          <t>SKT 80S</t>
        </is>
      </c>
      <c r="E1494" s="156" t="inlineStr">
        <is>
          <t>Hauler</t>
        </is>
      </c>
      <c r="F1494" s="156" t="inlineStr"/>
      <c r="G1494" s="182" t="n">
        <v>0</v>
      </c>
      <c r="H1494" s="182" t="n">
        <v>0</v>
      </c>
      <c r="I1494" s="182" t="n">
        <v>0</v>
      </c>
      <c r="J1494" s="182" t="n">
        <v>0</v>
      </c>
      <c r="K1494" s="182" t="n">
        <v>12</v>
      </c>
      <c r="L1494" s="182" t="n">
        <v>12</v>
      </c>
      <c r="M1494" s="182" t="n">
        <v>0</v>
      </c>
      <c r="N1494" s="182" t="n">
        <v>0</v>
      </c>
      <c r="O1494" s="183" t="n">
        <v>0</v>
      </c>
      <c r="P1494" s="183" t="n">
        <v>0</v>
      </c>
      <c r="Q1494" s="184" t="n">
        <v>0</v>
      </c>
      <c r="R1494" s="184" t="n">
        <v>0</v>
      </c>
      <c r="S1494" s="183" t="n">
        <v>0</v>
      </c>
      <c r="T1494" s="183" t="n">
        <v>0</v>
      </c>
      <c r="U1494" s="182" t="n">
        <v>0</v>
      </c>
      <c r="V1494" s="182" t="n">
        <v>0</v>
      </c>
      <c r="W1494" s="182" t="n">
        <v>0</v>
      </c>
      <c r="X1494" s="182" t="n">
        <v>1</v>
      </c>
      <c r="Y1494" s="182" t="n">
        <v>0</v>
      </c>
      <c r="Z1494" s="182" t="n">
        <v>0</v>
      </c>
      <c r="AA1494" s="182" t="n">
        <v>0</v>
      </c>
      <c r="AB1494" s="182" t="n">
        <v>0</v>
      </c>
      <c r="AC1494" s="182" t="n">
        <v>0</v>
      </c>
      <c r="AD1494" s="182" t="n">
        <v>0</v>
      </c>
      <c r="AE1494" s="182" t="n">
        <v>0</v>
      </c>
      <c r="AF1494" s="182" t="n">
        <v>0</v>
      </c>
      <c r="AG1494" s="182" t="n">
        <v>0</v>
      </c>
      <c r="AH1494" s="182" t="n">
        <v>0</v>
      </c>
      <c r="AI1494" s="182" t="n">
        <v>0</v>
      </c>
      <c r="AJ1494" s="182" t="n">
        <v>0</v>
      </c>
      <c r="AK1494" s="182" t="n">
        <v>10.92</v>
      </c>
      <c r="AL1494" s="182" t="n">
        <v>0</v>
      </c>
      <c r="AM1494" s="182" t="n">
        <v>0.08</v>
      </c>
      <c r="AN1494" s="182" t="n">
        <v>0</v>
      </c>
    </row>
    <row r="1495">
      <c r="A1495" s="155" t="n">
        <v>46088</v>
      </c>
      <c r="B1495" s="156" t="inlineStr">
        <is>
          <t>NS</t>
        </is>
      </c>
      <c r="C1495" s="156" t="inlineStr">
        <is>
          <t>DT-807</t>
        </is>
      </c>
      <c r="D1495" s="156" t="inlineStr">
        <is>
          <t>SKT 80S</t>
        </is>
      </c>
      <c r="E1495" s="156" t="inlineStr">
        <is>
          <t>Hauler</t>
        </is>
      </c>
      <c r="F1495" s="156" t="inlineStr"/>
      <c r="G1495" s="182" t="n">
        <v>0</v>
      </c>
      <c r="H1495" s="182" t="n">
        <v>0</v>
      </c>
      <c r="I1495" s="182" t="n">
        <v>0</v>
      </c>
      <c r="J1495" s="182" t="n">
        <v>0</v>
      </c>
      <c r="K1495" s="182" t="n">
        <v>12</v>
      </c>
      <c r="L1495" s="182" t="n">
        <v>12</v>
      </c>
      <c r="M1495" s="182" t="n">
        <v>0</v>
      </c>
      <c r="N1495" s="182" t="n">
        <v>0</v>
      </c>
      <c r="O1495" s="183" t="n">
        <v>0</v>
      </c>
      <c r="P1495" s="183" t="n">
        <v>0</v>
      </c>
      <c r="Q1495" s="184" t="n">
        <v>0</v>
      </c>
      <c r="R1495" s="184" t="n">
        <v>0</v>
      </c>
      <c r="S1495" s="183" t="n">
        <v>0</v>
      </c>
      <c r="T1495" s="183" t="n">
        <v>0</v>
      </c>
      <c r="U1495" s="182" t="n">
        <v>0</v>
      </c>
      <c r="V1495" s="182" t="n">
        <v>0</v>
      </c>
      <c r="W1495" s="182" t="n">
        <v>0</v>
      </c>
      <c r="X1495" s="182" t="n">
        <v>1</v>
      </c>
      <c r="Y1495" s="182" t="n">
        <v>0</v>
      </c>
      <c r="Z1495" s="182" t="n">
        <v>0</v>
      </c>
      <c r="AA1495" s="182" t="n">
        <v>0</v>
      </c>
      <c r="AB1495" s="182" t="n">
        <v>0</v>
      </c>
      <c r="AC1495" s="182" t="n">
        <v>0</v>
      </c>
      <c r="AD1495" s="182" t="n">
        <v>0</v>
      </c>
      <c r="AE1495" s="182" t="n">
        <v>0</v>
      </c>
      <c r="AF1495" s="182" t="n">
        <v>0</v>
      </c>
      <c r="AG1495" s="182" t="n">
        <v>0</v>
      </c>
      <c r="AH1495" s="182" t="n">
        <v>0</v>
      </c>
      <c r="AI1495" s="182" t="n">
        <v>0</v>
      </c>
      <c r="AJ1495" s="182" t="n">
        <v>0</v>
      </c>
      <c r="AK1495" s="182" t="n">
        <v>10.92</v>
      </c>
      <c r="AL1495" s="182" t="n">
        <v>0</v>
      </c>
      <c r="AM1495" s="182" t="n">
        <v>0.08</v>
      </c>
      <c r="AN1495" s="182" t="n">
        <v>0</v>
      </c>
    </row>
    <row r="1496">
      <c r="A1496" s="155" t="n">
        <v>46088</v>
      </c>
      <c r="B1496" s="156" t="inlineStr">
        <is>
          <t>NS</t>
        </is>
      </c>
      <c r="C1496" s="156" t="inlineStr">
        <is>
          <t>DT-812</t>
        </is>
      </c>
      <c r="D1496" s="156" t="inlineStr">
        <is>
          <t>SKT 80S</t>
        </is>
      </c>
      <c r="E1496" s="156" t="inlineStr">
        <is>
          <t>Hauler</t>
        </is>
      </c>
      <c r="F1496" s="156" t="inlineStr"/>
      <c r="G1496" s="182" t="n">
        <v>0</v>
      </c>
      <c r="H1496" s="182" t="n">
        <v>0</v>
      </c>
      <c r="I1496" s="182" t="n">
        <v>0</v>
      </c>
      <c r="J1496" s="182" t="n">
        <v>0</v>
      </c>
      <c r="K1496" s="182" t="n">
        <v>12</v>
      </c>
      <c r="L1496" s="182" t="n">
        <v>12</v>
      </c>
      <c r="M1496" s="182" t="n">
        <v>0</v>
      </c>
      <c r="N1496" s="182" t="n">
        <v>0</v>
      </c>
      <c r="O1496" s="183" t="n">
        <v>0</v>
      </c>
      <c r="P1496" s="183" t="n">
        <v>0</v>
      </c>
      <c r="Q1496" s="184" t="n">
        <v>0</v>
      </c>
      <c r="R1496" s="184" t="n">
        <v>0</v>
      </c>
      <c r="S1496" s="183" t="n">
        <v>0</v>
      </c>
      <c r="T1496" s="183" t="n">
        <v>0</v>
      </c>
      <c r="U1496" s="182" t="n">
        <v>0</v>
      </c>
      <c r="V1496" s="182" t="n">
        <v>0</v>
      </c>
      <c r="W1496" s="182" t="n">
        <v>0</v>
      </c>
      <c r="X1496" s="182" t="n">
        <v>1</v>
      </c>
      <c r="Y1496" s="182" t="n">
        <v>0</v>
      </c>
      <c r="Z1496" s="182" t="n">
        <v>0</v>
      </c>
      <c r="AA1496" s="182" t="n">
        <v>0</v>
      </c>
      <c r="AB1496" s="182" t="n">
        <v>0</v>
      </c>
      <c r="AC1496" s="182" t="n">
        <v>0</v>
      </c>
      <c r="AD1496" s="182" t="n">
        <v>0</v>
      </c>
      <c r="AE1496" s="182" t="n">
        <v>0</v>
      </c>
      <c r="AF1496" s="182" t="n">
        <v>0</v>
      </c>
      <c r="AG1496" s="182" t="n">
        <v>0</v>
      </c>
      <c r="AH1496" s="182" t="n">
        <v>0</v>
      </c>
      <c r="AI1496" s="182" t="n">
        <v>0</v>
      </c>
      <c r="AJ1496" s="182" t="n">
        <v>0</v>
      </c>
      <c r="AK1496" s="182" t="n">
        <v>10.92</v>
      </c>
      <c r="AL1496" s="182" t="n">
        <v>0</v>
      </c>
      <c r="AM1496" s="182" t="n">
        <v>0.08</v>
      </c>
      <c r="AN1496" s="182" t="n">
        <v>0</v>
      </c>
    </row>
    <row r="1497">
      <c r="A1497" s="155" t="n">
        <v>46088</v>
      </c>
      <c r="B1497" s="156" t="inlineStr">
        <is>
          <t>NS</t>
        </is>
      </c>
      <c r="C1497" s="156" t="inlineStr">
        <is>
          <t>DT-803</t>
        </is>
      </c>
      <c r="D1497" s="156" t="inlineStr">
        <is>
          <t>SKT 80S</t>
        </is>
      </c>
      <c r="E1497" s="156" t="inlineStr">
        <is>
          <t>Hauler</t>
        </is>
      </c>
      <c r="F1497" s="156" t="inlineStr"/>
      <c r="G1497" s="182" t="n">
        <v>0</v>
      </c>
      <c r="H1497" s="182" t="n">
        <v>0</v>
      </c>
      <c r="I1497" s="182" t="n">
        <v>0</v>
      </c>
      <c r="J1497" s="182" t="n">
        <v>0</v>
      </c>
      <c r="K1497" s="182" t="n">
        <v>12</v>
      </c>
      <c r="L1497" s="182" t="n">
        <v>12</v>
      </c>
      <c r="M1497" s="182" t="n">
        <v>0</v>
      </c>
      <c r="N1497" s="182" t="n">
        <v>0</v>
      </c>
      <c r="O1497" s="183" t="n">
        <v>0</v>
      </c>
      <c r="P1497" s="183" t="n">
        <v>0</v>
      </c>
      <c r="Q1497" s="184" t="n">
        <v>0</v>
      </c>
      <c r="R1497" s="184" t="n">
        <v>0</v>
      </c>
      <c r="S1497" s="183" t="n">
        <v>0</v>
      </c>
      <c r="T1497" s="183" t="n">
        <v>0</v>
      </c>
      <c r="U1497" s="182" t="n">
        <v>0</v>
      </c>
      <c r="V1497" s="182" t="n">
        <v>0</v>
      </c>
      <c r="W1497" s="182" t="n">
        <v>0</v>
      </c>
      <c r="X1497" s="182" t="n">
        <v>1</v>
      </c>
      <c r="Y1497" s="182" t="n">
        <v>0</v>
      </c>
      <c r="Z1497" s="182" t="n">
        <v>0</v>
      </c>
      <c r="AA1497" s="182" t="n">
        <v>0</v>
      </c>
      <c r="AB1497" s="182" t="n">
        <v>0</v>
      </c>
      <c r="AC1497" s="182" t="n">
        <v>0</v>
      </c>
      <c r="AD1497" s="182" t="n">
        <v>0</v>
      </c>
      <c r="AE1497" s="182" t="n">
        <v>0</v>
      </c>
      <c r="AF1497" s="182" t="n">
        <v>0</v>
      </c>
      <c r="AG1497" s="182" t="n">
        <v>0</v>
      </c>
      <c r="AH1497" s="182" t="n">
        <v>0</v>
      </c>
      <c r="AI1497" s="182" t="n">
        <v>0</v>
      </c>
      <c r="AJ1497" s="182" t="n">
        <v>0</v>
      </c>
      <c r="AK1497" s="182" t="n">
        <v>10.92</v>
      </c>
      <c r="AL1497" s="182" t="n">
        <v>0</v>
      </c>
      <c r="AM1497" s="182" t="n">
        <v>0.08</v>
      </c>
      <c r="AN1497" s="182" t="n">
        <v>0</v>
      </c>
    </row>
    <row r="1498">
      <c r="A1498" s="155" t="n">
        <v>46088</v>
      </c>
      <c r="B1498" s="156" t="inlineStr">
        <is>
          <t>NS</t>
        </is>
      </c>
      <c r="C1498" s="156" t="inlineStr">
        <is>
          <t>DT-810</t>
        </is>
      </c>
      <c r="D1498" s="156" t="inlineStr">
        <is>
          <t>SKT 80S</t>
        </is>
      </c>
      <c r="E1498" s="156" t="inlineStr">
        <is>
          <t>Hauler</t>
        </is>
      </c>
      <c r="F1498" s="156" t="inlineStr"/>
      <c r="G1498" s="182" t="n">
        <v>0</v>
      </c>
      <c r="H1498" s="182" t="n">
        <v>0</v>
      </c>
      <c r="I1498" s="182" t="n">
        <v>0</v>
      </c>
      <c r="J1498" s="182" t="n">
        <v>0</v>
      </c>
      <c r="K1498" s="182" t="n">
        <v>12</v>
      </c>
      <c r="L1498" s="182" t="n">
        <v>12</v>
      </c>
      <c r="M1498" s="182" t="n">
        <v>0</v>
      </c>
      <c r="N1498" s="182" t="n">
        <v>0</v>
      </c>
      <c r="O1498" s="183" t="n">
        <v>0</v>
      </c>
      <c r="P1498" s="183" t="n">
        <v>0</v>
      </c>
      <c r="Q1498" s="184" t="n">
        <v>0</v>
      </c>
      <c r="R1498" s="184" t="n">
        <v>0</v>
      </c>
      <c r="S1498" s="183" t="n">
        <v>0</v>
      </c>
      <c r="T1498" s="183" t="n">
        <v>0</v>
      </c>
      <c r="U1498" s="182" t="n">
        <v>0</v>
      </c>
      <c r="V1498" s="182" t="n">
        <v>0</v>
      </c>
      <c r="W1498" s="182" t="n">
        <v>0</v>
      </c>
      <c r="X1498" s="182" t="n">
        <v>1</v>
      </c>
      <c r="Y1498" s="182" t="n">
        <v>0</v>
      </c>
      <c r="Z1498" s="182" t="n">
        <v>0</v>
      </c>
      <c r="AA1498" s="182" t="n">
        <v>0</v>
      </c>
      <c r="AB1498" s="182" t="n">
        <v>0</v>
      </c>
      <c r="AC1498" s="182" t="n">
        <v>0</v>
      </c>
      <c r="AD1498" s="182" t="n">
        <v>0</v>
      </c>
      <c r="AE1498" s="182" t="n">
        <v>0</v>
      </c>
      <c r="AF1498" s="182" t="n">
        <v>0</v>
      </c>
      <c r="AG1498" s="182" t="n">
        <v>0</v>
      </c>
      <c r="AH1498" s="182" t="n">
        <v>0</v>
      </c>
      <c r="AI1498" s="182" t="n">
        <v>0</v>
      </c>
      <c r="AJ1498" s="182" t="n">
        <v>0</v>
      </c>
      <c r="AK1498" s="182" t="n">
        <v>10.92</v>
      </c>
      <c r="AL1498" s="182" t="n">
        <v>0</v>
      </c>
      <c r="AM1498" s="182" t="n">
        <v>0.08</v>
      </c>
      <c r="AN1498" s="182" t="n">
        <v>0</v>
      </c>
    </row>
    <row r="1499">
      <c r="A1499" s="155" t="n">
        <v>46088</v>
      </c>
      <c r="B1499" s="156" t="inlineStr">
        <is>
          <t>NS</t>
        </is>
      </c>
      <c r="C1499" s="156" t="inlineStr">
        <is>
          <t>DT-804</t>
        </is>
      </c>
      <c r="D1499" s="156" t="inlineStr">
        <is>
          <t>SKT 80S</t>
        </is>
      </c>
      <c r="E1499" s="156" t="inlineStr">
        <is>
          <t>Hauler</t>
        </is>
      </c>
      <c r="F1499" s="156" t="inlineStr"/>
      <c r="G1499" s="182" t="n">
        <v>0</v>
      </c>
      <c r="H1499" s="182" t="n">
        <v>0</v>
      </c>
      <c r="I1499" s="182" t="n">
        <v>0</v>
      </c>
      <c r="J1499" s="182" t="n">
        <v>0</v>
      </c>
      <c r="K1499" s="182" t="n">
        <v>12</v>
      </c>
      <c r="L1499" s="182" t="n">
        <v>12</v>
      </c>
      <c r="M1499" s="182" t="n">
        <v>0</v>
      </c>
      <c r="N1499" s="182" t="n">
        <v>0</v>
      </c>
      <c r="O1499" s="183" t="n">
        <v>0</v>
      </c>
      <c r="P1499" s="183" t="n">
        <v>0</v>
      </c>
      <c r="Q1499" s="184" t="n">
        <v>0</v>
      </c>
      <c r="R1499" s="184" t="n">
        <v>0</v>
      </c>
      <c r="S1499" s="183" t="n">
        <v>0</v>
      </c>
      <c r="T1499" s="183" t="n">
        <v>0</v>
      </c>
      <c r="U1499" s="182" t="n">
        <v>0</v>
      </c>
      <c r="V1499" s="182" t="n">
        <v>0</v>
      </c>
      <c r="W1499" s="182" t="n">
        <v>0</v>
      </c>
      <c r="X1499" s="182" t="n">
        <v>1</v>
      </c>
      <c r="Y1499" s="182" t="n">
        <v>0</v>
      </c>
      <c r="Z1499" s="182" t="n">
        <v>0</v>
      </c>
      <c r="AA1499" s="182" t="n">
        <v>0</v>
      </c>
      <c r="AB1499" s="182" t="n">
        <v>0</v>
      </c>
      <c r="AC1499" s="182" t="n">
        <v>0</v>
      </c>
      <c r="AD1499" s="182" t="n">
        <v>0</v>
      </c>
      <c r="AE1499" s="182" t="n">
        <v>0</v>
      </c>
      <c r="AF1499" s="182" t="n">
        <v>0</v>
      </c>
      <c r="AG1499" s="182" t="n">
        <v>0</v>
      </c>
      <c r="AH1499" s="182" t="n">
        <v>0</v>
      </c>
      <c r="AI1499" s="182" t="n">
        <v>0</v>
      </c>
      <c r="AJ1499" s="182" t="n">
        <v>0</v>
      </c>
      <c r="AK1499" s="182" t="n">
        <v>10.92</v>
      </c>
      <c r="AL1499" s="182" t="n">
        <v>0</v>
      </c>
      <c r="AM1499" s="182" t="n">
        <v>0.08</v>
      </c>
      <c r="AN1499" s="182" t="n">
        <v>0</v>
      </c>
    </row>
    <row r="1500">
      <c r="A1500" s="155" t="n">
        <v>46088</v>
      </c>
      <c r="B1500" s="156" t="inlineStr">
        <is>
          <t>NS</t>
        </is>
      </c>
      <c r="C1500" s="156" t="inlineStr">
        <is>
          <t>DT-505</t>
        </is>
      </c>
      <c r="D1500" s="156" t="inlineStr">
        <is>
          <t>SKT 105S</t>
        </is>
      </c>
      <c r="E1500" s="156" t="inlineStr">
        <is>
          <t>Hauler</t>
        </is>
      </c>
      <c r="F1500" s="156" t="inlineStr"/>
      <c r="G1500" s="182" t="n">
        <v>0</v>
      </c>
      <c r="H1500" s="182" t="n">
        <v>0</v>
      </c>
      <c r="I1500" s="182" t="n">
        <v>0.08</v>
      </c>
      <c r="J1500" s="182" t="n">
        <v>0.08</v>
      </c>
      <c r="K1500" s="182" t="n">
        <v>11.92</v>
      </c>
      <c r="L1500" s="182" t="n">
        <v>12</v>
      </c>
      <c r="M1500" s="182" t="n">
        <v>0</v>
      </c>
      <c r="N1500" s="182" t="n">
        <v>0</v>
      </c>
      <c r="O1500" s="183" t="n">
        <v>0</v>
      </c>
      <c r="P1500" s="183" t="n">
        <v>0</v>
      </c>
      <c r="Q1500" s="184" t="n">
        <v>0</v>
      </c>
      <c r="R1500" s="184" t="n">
        <v>0</v>
      </c>
      <c r="S1500" s="183" t="n">
        <v>0</v>
      </c>
      <c r="T1500" s="183" t="n">
        <v>0</v>
      </c>
      <c r="U1500" s="182" t="n">
        <v>7.05</v>
      </c>
      <c r="V1500" s="182" t="n">
        <v>4.78</v>
      </c>
      <c r="W1500" s="182" t="n">
        <v>0</v>
      </c>
      <c r="X1500" s="182" t="n">
        <v>0</v>
      </c>
      <c r="Y1500" s="182" t="n">
        <v>0</v>
      </c>
      <c r="Z1500" s="182" t="n">
        <v>0</v>
      </c>
      <c r="AA1500" s="182" t="n">
        <v>0</v>
      </c>
      <c r="AB1500" s="182" t="n">
        <v>0</v>
      </c>
      <c r="AC1500" s="182" t="n">
        <v>0</v>
      </c>
      <c r="AD1500" s="182" t="n">
        <v>0</v>
      </c>
      <c r="AE1500" s="182" t="n">
        <v>0</v>
      </c>
      <c r="AF1500" s="182" t="n">
        <v>0</v>
      </c>
      <c r="AG1500" s="182" t="n">
        <v>0</v>
      </c>
      <c r="AH1500" s="182" t="n">
        <v>0</v>
      </c>
      <c r="AI1500" s="182" t="n">
        <v>0</v>
      </c>
      <c r="AJ1500" s="182" t="n">
        <v>0</v>
      </c>
      <c r="AK1500" s="182" t="n">
        <v>0</v>
      </c>
      <c r="AL1500" s="182" t="n">
        <v>0</v>
      </c>
      <c r="AM1500" s="182" t="n">
        <v>0.08</v>
      </c>
      <c r="AN1500" s="182" t="n">
        <v>0</v>
      </c>
    </row>
    <row r="1501">
      <c r="A1501" s="155" t="n">
        <v>46088</v>
      </c>
      <c r="B1501" s="156" t="inlineStr">
        <is>
          <t>NS</t>
        </is>
      </c>
      <c r="C1501" s="156" t="inlineStr">
        <is>
          <t>DT-530</t>
        </is>
      </c>
      <c r="D1501" s="156" t="inlineStr">
        <is>
          <t>SKT 105S</t>
        </is>
      </c>
      <c r="E1501" s="156" t="inlineStr">
        <is>
          <t>Hauler</t>
        </is>
      </c>
      <c r="F1501" s="156" t="inlineStr"/>
      <c r="G1501" s="182" t="n">
        <v>0</v>
      </c>
      <c r="H1501" s="182" t="n">
        <v>0</v>
      </c>
      <c r="I1501" s="182" t="n">
        <v>12</v>
      </c>
      <c r="J1501" s="182" t="n">
        <v>12</v>
      </c>
      <c r="K1501" s="182" t="n">
        <v>0</v>
      </c>
      <c r="L1501" s="182" t="n">
        <v>12</v>
      </c>
      <c r="M1501" s="182" t="n">
        <v>0</v>
      </c>
      <c r="N1501" s="182" t="n">
        <v>0</v>
      </c>
      <c r="O1501" s="183" t="n">
        <v>0</v>
      </c>
      <c r="P1501" s="183" t="n">
        <v>0</v>
      </c>
      <c r="Q1501" s="184" t="n">
        <v>0</v>
      </c>
      <c r="R1501" s="184" t="n">
        <v>0</v>
      </c>
      <c r="S1501" s="183" t="n">
        <v>0</v>
      </c>
      <c r="T1501" s="183" t="n">
        <v>0</v>
      </c>
      <c r="U1501" s="182" t="n">
        <v>0</v>
      </c>
      <c r="V1501" s="182" t="n">
        <v>0</v>
      </c>
      <c r="W1501" s="182" t="n">
        <v>0</v>
      </c>
      <c r="X1501" s="182" t="n">
        <v>0</v>
      </c>
      <c r="Y1501" s="182" t="n">
        <v>0</v>
      </c>
      <c r="Z1501" s="182" t="n">
        <v>0</v>
      </c>
      <c r="AA1501" s="182" t="n">
        <v>0</v>
      </c>
      <c r="AB1501" s="182" t="n">
        <v>0</v>
      </c>
      <c r="AC1501" s="182" t="n">
        <v>0</v>
      </c>
      <c r="AD1501" s="182" t="n">
        <v>0</v>
      </c>
      <c r="AE1501" s="182" t="n">
        <v>0</v>
      </c>
      <c r="AF1501" s="182" t="n">
        <v>0</v>
      </c>
      <c r="AG1501" s="182" t="n">
        <v>0</v>
      </c>
      <c r="AH1501" s="182" t="n">
        <v>0</v>
      </c>
      <c r="AI1501" s="182" t="n">
        <v>0</v>
      </c>
      <c r="AJ1501" s="182" t="n">
        <v>0</v>
      </c>
      <c r="AK1501" s="182" t="n">
        <v>0</v>
      </c>
      <c r="AL1501" s="182" t="n">
        <v>0</v>
      </c>
      <c r="AM1501" s="182" t="n">
        <v>0</v>
      </c>
      <c r="AN1501" s="182" t="n">
        <v>0</v>
      </c>
    </row>
    <row r="1502">
      <c r="A1502" s="155" t="n">
        <v>46088</v>
      </c>
      <c r="B1502" s="156" t="inlineStr">
        <is>
          <t>NS</t>
        </is>
      </c>
      <c r="C1502" s="156" t="inlineStr">
        <is>
          <t>DT-525</t>
        </is>
      </c>
      <c r="D1502" s="156" t="inlineStr">
        <is>
          <t>SKT 105S</t>
        </is>
      </c>
      <c r="E1502" s="156" t="inlineStr">
        <is>
          <t>Hauler</t>
        </is>
      </c>
      <c r="F1502" s="156" t="inlineStr"/>
      <c r="G1502" s="182" t="n">
        <v>0</v>
      </c>
      <c r="H1502" s="182" t="n">
        <v>0</v>
      </c>
      <c r="I1502" s="182" t="n">
        <v>12</v>
      </c>
      <c r="J1502" s="182" t="n">
        <v>12</v>
      </c>
      <c r="K1502" s="182" t="n">
        <v>0</v>
      </c>
      <c r="L1502" s="182" t="n">
        <v>12</v>
      </c>
      <c r="M1502" s="182" t="n">
        <v>0</v>
      </c>
      <c r="N1502" s="182" t="n">
        <v>0</v>
      </c>
      <c r="O1502" s="183" t="n">
        <v>0</v>
      </c>
      <c r="P1502" s="183" t="n">
        <v>0</v>
      </c>
      <c r="Q1502" s="184" t="n">
        <v>0</v>
      </c>
      <c r="R1502" s="184" t="n">
        <v>0</v>
      </c>
      <c r="S1502" s="183" t="n">
        <v>0</v>
      </c>
      <c r="T1502" s="183" t="n">
        <v>0</v>
      </c>
      <c r="U1502" s="182" t="n">
        <v>0</v>
      </c>
      <c r="V1502" s="182" t="n">
        <v>0</v>
      </c>
      <c r="W1502" s="182" t="n">
        <v>0</v>
      </c>
      <c r="X1502" s="182" t="n">
        <v>0</v>
      </c>
      <c r="Y1502" s="182" t="n">
        <v>0</v>
      </c>
      <c r="Z1502" s="182" t="n">
        <v>0</v>
      </c>
      <c r="AA1502" s="182" t="n">
        <v>0</v>
      </c>
      <c r="AB1502" s="182" t="n">
        <v>0</v>
      </c>
      <c r="AC1502" s="182" t="n">
        <v>0</v>
      </c>
      <c r="AD1502" s="182" t="n">
        <v>0</v>
      </c>
      <c r="AE1502" s="182" t="n">
        <v>0</v>
      </c>
      <c r="AF1502" s="182" t="n">
        <v>0</v>
      </c>
      <c r="AG1502" s="182" t="n">
        <v>0</v>
      </c>
      <c r="AH1502" s="182" t="n">
        <v>0</v>
      </c>
      <c r="AI1502" s="182" t="n">
        <v>0</v>
      </c>
      <c r="AJ1502" s="182" t="n">
        <v>0</v>
      </c>
      <c r="AK1502" s="182" t="n">
        <v>0</v>
      </c>
      <c r="AL1502" s="182" t="n">
        <v>0</v>
      </c>
      <c r="AM1502" s="182" t="n">
        <v>0</v>
      </c>
      <c r="AN1502" s="182" t="n">
        <v>0</v>
      </c>
    </row>
    <row r="1503">
      <c r="A1503" s="155" t="n">
        <v>46088</v>
      </c>
      <c r="B1503" s="156" t="inlineStr">
        <is>
          <t>NS</t>
        </is>
      </c>
      <c r="C1503" s="156" t="inlineStr">
        <is>
          <t>DT-503</t>
        </is>
      </c>
      <c r="D1503" s="156" t="inlineStr">
        <is>
          <t>SKT 105S</t>
        </is>
      </c>
      <c r="E1503" s="156" t="inlineStr">
        <is>
          <t>Hauler</t>
        </is>
      </c>
      <c r="F1503" s="156" t="inlineStr">
        <is>
          <t>Hauling OB</t>
        </is>
      </c>
      <c r="G1503" s="182" t="n">
        <v>1.25</v>
      </c>
      <c r="H1503" s="182" t="n">
        <v>0</v>
      </c>
      <c r="I1503" s="182" t="n">
        <v>0</v>
      </c>
      <c r="J1503" s="182" t="n">
        <v>0</v>
      </c>
      <c r="K1503" s="182" t="n">
        <v>10.75</v>
      </c>
      <c r="L1503" s="182" t="n">
        <v>12</v>
      </c>
      <c r="M1503" s="182" t="n">
        <v>1.25</v>
      </c>
      <c r="N1503" s="182" t="n">
        <v>0</v>
      </c>
      <c r="O1503" s="183" t="n">
        <v>3</v>
      </c>
      <c r="P1503" s="183" t="n">
        <v>0</v>
      </c>
      <c r="Q1503" s="184" t="n">
        <v>61.2</v>
      </c>
      <c r="R1503" s="184" t="n">
        <v>0</v>
      </c>
      <c r="S1503" s="183" t="n">
        <v>0</v>
      </c>
      <c r="T1503" s="183" t="n">
        <v>0</v>
      </c>
      <c r="U1503" s="182" t="n">
        <v>7.15</v>
      </c>
      <c r="V1503" s="182" t="n">
        <v>3.52</v>
      </c>
      <c r="W1503" s="182" t="n">
        <v>0</v>
      </c>
      <c r="X1503" s="182" t="n">
        <v>0</v>
      </c>
      <c r="Y1503" s="182" t="n">
        <v>0</v>
      </c>
      <c r="Z1503" s="182" t="n">
        <v>0</v>
      </c>
      <c r="AA1503" s="182" t="n">
        <v>0</v>
      </c>
      <c r="AB1503" s="182" t="n">
        <v>0</v>
      </c>
      <c r="AC1503" s="182" t="n">
        <v>0</v>
      </c>
      <c r="AD1503" s="182" t="n">
        <v>0</v>
      </c>
      <c r="AE1503" s="182" t="n">
        <v>0</v>
      </c>
      <c r="AF1503" s="182" t="n">
        <v>0</v>
      </c>
      <c r="AG1503" s="182" t="n">
        <v>0</v>
      </c>
      <c r="AH1503" s="182" t="n">
        <v>0</v>
      </c>
      <c r="AI1503" s="182" t="n">
        <v>0</v>
      </c>
      <c r="AJ1503" s="182" t="n">
        <v>0</v>
      </c>
      <c r="AK1503" s="182" t="n">
        <v>0</v>
      </c>
      <c r="AL1503" s="182" t="n">
        <v>0</v>
      </c>
      <c r="AM1503" s="182" t="n">
        <v>0.08</v>
      </c>
      <c r="AN1503" s="182" t="n">
        <v>0</v>
      </c>
    </row>
    <row r="1504">
      <c r="A1504" s="155" t="n">
        <v>46088</v>
      </c>
      <c r="B1504" s="156" t="inlineStr">
        <is>
          <t>NS</t>
        </is>
      </c>
      <c r="C1504" s="156" t="inlineStr">
        <is>
          <t>DT-504</t>
        </is>
      </c>
      <c r="D1504" s="156" t="inlineStr">
        <is>
          <t>SKT 105S</t>
        </is>
      </c>
      <c r="E1504" s="156" t="inlineStr">
        <is>
          <t>Hauler</t>
        </is>
      </c>
      <c r="F1504" s="156" t="inlineStr"/>
      <c r="G1504" s="182" t="n">
        <v>0</v>
      </c>
      <c r="H1504" s="182" t="n">
        <v>0</v>
      </c>
      <c r="I1504" s="182" t="n">
        <v>0</v>
      </c>
      <c r="J1504" s="182" t="n">
        <v>0</v>
      </c>
      <c r="K1504" s="182" t="n">
        <v>12</v>
      </c>
      <c r="L1504" s="182" t="n">
        <v>12</v>
      </c>
      <c r="M1504" s="182" t="n">
        <v>0</v>
      </c>
      <c r="N1504" s="182" t="n">
        <v>0</v>
      </c>
      <c r="O1504" s="183" t="n">
        <v>0</v>
      </c>
      <c r="P1504" s="183" t="n">
        <v>0</v>
      </c>
      <c r="Q1504" s="184" t="n">
        <v>0</v>
      </c>
      <c r="R1504" s="184" t="n">
        <v>0</v>
      </c>
      <c r="S1504" s="183" t="n">
        <v>0</v>
      </c>
      <c r="T1504" s="183" t="n">
        <v>0</v>
      </c>
      <c r="U1504" s="182" t="n">
        <v>7.05</v>
      </c>
      <c r="V1504" s="182" t="n">
        <v>4.87</v>
      </c>
      <c r="W1504" s="182" t="n">
        <v>0</v>
      </c>
      <c r="X1504" s="182" t="n">
        <v>0</v>
      </c>
      <c r="Y1504" s="182" t="n">
        <v>0</v>
      </c>
      <c r="Z1504" s="182" t="n">
        <v>0</v>
      </c>
      <c r="AA1504" s="182" t="n">
        <v>0</v>
      </c>
      <c r="AB1504" s="182" t="n">
        <v>0</v>
      </c>
      <c r="AC1504" s="182" t="n">
        <v>0</v>
      </c>
      <c r="AD1504" s="182" t="n">
        <v>0</v>
      </c>
      <c r="AE1504" s="182" t="n">
        <v>0</v>
      </c>
      <c r="AF1504" s="182" t="n">
        <v>0</v>
      </c>
      <c r="AG1504" s="182" t="n">
        <v>0</v>
      </c>
      <c r="AH1504" s="182" t="n">
        <v>0</v>
      </c>
      <c r="AI1504" s="182" t="n">
        <v>0</v>
      </c>
      <c r="AJ1504" s="182" t="n">
        <v>0</v>
      </c>
      <c r="AK1504" s="182" t="n">
        <v>0</v>
      </c>
      <c r="AL1504" s="182" t="n">
        <v>0</v>
      </c>
      <c r="AM1504" s="182" t="n">
        <v>0.08</v>
      </c>
      <c r="AN1504" s="182" t="n">
        <v>0</v>
      </c>
    </row>
    <row r="1505">
      <c r="A1505" s="155" t="n">
        <v>46088</v>
      </c>
      <c r="B1505" s="156" t="inlineStr">
        <is>
          <t>NS</t>
        </is>
      </c>
      <c r="C1505" s="156" t="inlineStr">
        <is>
          <t>DT-507</t>
        </is>
      </c>
      <c r="D1505" s="156" t="inlineStr">
        <is>
          <t>SKT 105S</t>
        </is>
      </c>
      <c r="E1505" s="156" t="inlineStr">
        <is>
          <t>Hauler</t>
        </is>
      </c>
      <c r="F1505" s="156" t="inlineStr"/>
      <c r="G1505" s="182" t="n">
        <v>0</v>
      </c>
      <c r="H1505" s="182" t="n">
        <v>0</v>
      </c>
      <c r="I1505" s="182" t="n">
        <v>12</v>
      </c>
      <c r="J1505" s="182" t="n">
        <v>12</v>
      </c>
      <c r="K1505" s="182" t="n">
        <v>0</v>
      </c>
      <c r="L1505" s="182" t="n">
        <v>12</v>
      </c>
      <c r="M1505" s="182" t="n">
        <v>0</v>
      </c>
      <c r="N1505" s="182" t="n">
        <v>0</v>
      </c>
      <c r="O1505" s="183" t="n">
        <v>0</v>
      </c>
      <c r="P1505" s="183" t="n">
        <v>0</v>
      </c>
      <c r="Q1505" s="184" t="n">
        <v>0</v>
      </c>
      <c r="R1505" s="184" t="n">
        <v>0</v>
      </c>
      <c r="S1505" s="183" t="n">
        <v>0</v>
      </c>
      <c r="T1505" s="183" t="n">
        <v>0</v>
      </c>
      <c r="U1505" s="182" t="n">
        <v>0</v>
      </c>
      <c r="V1505" s="182" t="n">
        <v>0</v>
      </c>
      <c r="W1505" s="182" t="n">
        <v>0</v>
      </c>
      <c r="X1505" s="182" t="n">
        <v>0</v>
      </c>
      <c r="Y1505" s="182" t="n">
        <v>0</v>
      </c>
      <c r="Z1505" s="182" t="n">
        <v>0</v>
      </c>
      <c r="AA1505" s="182" t="n">
        <v>0</v>
      </c>
      <c r="AB1505" s="182" t="n">
        <v>0</v>
      </c>
      <c r="AC1505" s="182" t="n">
        <v>0</v>
      </c>
      <c r="AD1505" s="182" t="n">
        <v>0</v>
      </c>
      <c r="AE1505" s="182" t="n">
        <v>0</v>
      </c>
      <c r="AF1505" s="182" t="n">
        <v>0</v>
      </c>
      <c r="AG1505" s="182" t="n">
        <v>0</v>
      </c>
      <c r="AH1505" s="182" t="n">
        <v>0</v>
      </c>
      <c r="AI1505" s="182" t="n">
        <v>0</v>
      </c>
      <c r="AJ1505" s="182" t="n">
        <v>0</v>
      </c>
      <c r="AK1505" s="182" t="n">
        <v>0</v>
      </c>
      <c r="AL1505" s="182" t="n">
        <v>0</v>
      </c>
      <c r="AM1505" s="182" t="n">
        <v>0</v>
      </c>
      <c r="AN1505" s="182" t="n">
        <v>0</v>
      </c>
    </row>
    <row r="1506">
      <c r="A1506" s="155" t="n">
        <v>46088</v>
      </c>
      <c r="B1506" s="156" t="inlineStr">
        <is>
          <t>NS</t>
        </is>
      </c>
      <c r="C1506" s="156" t="inlineStr">
        <is>
          <t>DT-501</t>
        </is>
      </c>
      <c r="D1506" s="156" t="inlineStr">
        <is>
          <t>SKT 105S</t>
        </is>
      </c>
      <c r="E1506" s="156" t="inlineStr">
        <is>
          <t>Hauler</t>
        </is>
      </c>
      <c r="F1506" s="156" t="inlineStr"/>
      <c r="G1506" s="182" t="n">
        <v>0</v>
      </c>
      <c r="H1506" s="182" t="n">
        <v>0</v>
      </c>
      <c r="I1506" s="182" t="n">
        <v>0</v>
      </c>
      <c r="J1506" s="182" t="n">
        <v>0</v>
      </c>
      <c r="K1506" s="182" t="n">
        <v>12</v>
      </c>
      <c r="L1506" s="182" t="n">
        <v>12</v>
      </c>
      <c r="M1506" s="182" t="n">
        <v>0</v>
      </c>
      <c r="N1506" s="182" t="n">
        <v>0</v>
      </c>
      <c r="O1506" s="183" t="n">
        <v>0</v>
      </c>
      <c r="P1506" s="183" t="n">
        <v>0</v>
      </c>
      <c r="Q1506" s="184" t="n">
        <v>0</v>
      </c>
      <c r="R1506" s="184" t="n">
        <v>0</v>
      </c>
      <c r="S1506" s="183" t="n">
        <v>0</v>
      </c>
      <c r="T1506" s="183" t="n">
        <v>0</v>
      </c>
      <c r="U1506" s="182" t="n">
        <v>7.05</v>
      </c>
      <c r="V1506" s="182" t="n">
        <v>4.87</v>
      </c>
      <c r="W1506" s="182" t="n">
        <v>0</v>
      </c>
      <c r="X1506" s="182" t="n">
        <v>0</v>
      </c>
      <c r="Y1506" s="182" t="n">
        <v>0</v>
      </c>
      <c r="Z1506" s="182" t="n">
        <v>0</v>
      </c>
      <c r="AA1506" s="182" t="n">
        <v>0</v>
      </c>
      <c r="AB1506" s="182" t="n">
        <v>0</v>
      </c>
      <c r="AC1506" s="182" t="n">
        <v>0</v>
      </c>
      <c r="AD1506" s="182" t="n">
        <v>0</v>
      </c>
      <c r="AE1506" s="182" t="n">
        <v>0</v>
      </c>
      <c r="AF1506" s="182" t="n">
        <v>0</v>
      </c>
      <c r="AG1506" s="182" t="n">
        <v>0</v>
      </c>
      <c r="AH1506" s="182" t="n">
        <v>0</v>
      </c>
      <c r="AI1506" s="182" t="n">
        <v>0</v>
      </c>
      <c r="AJ1506" s="182" t="n">
        <v>0</v>
      </c>
      <c r="AK1506" s="182" t="n">
        <v>0</v>
      </c>
      <c r="AL1506" s="182" t="n">
        <v>0</v>
      </c>
      <c r="AM1506" s="182" t="n">
        <v>0.08</v>
      </c>
      <c r="AN1506" s="182" t="n">
        <v>0</v>
      </c>
    </row>
    <row r="1507">
      <c r="A1507" s="155" t="n">
        <v>46088</v>
      </c>
      <c r="B1507" s="156" t="inlineStr">
        <is>
          <t>NS</t>
        </is>
      </c>
      <c r="C1507" s="156" t="inlineStr">
        <is>
          <t>DT-518</t>
        </is>
      </c>
      <c r="D1507" s="156" t="inlineStr">
        <is>
          <t>SKT 105S</t>
        </is>
      </c>
      <c r="E1507" s="156" t="inlineStr">
        <is>
          <t>Hauler</t>
        </is>
      </c>
      <c r="F1507" s="156" t="inlineStr"/>
      <c r="G1507" s="182" t="n">
        <v>0</v>
      </c>
      <c r="H1507" s="182" t="n">
        <v>0</v>
      </c>
      <c r="I1507" s="182" t="n">
        <v>0</v>
      </c>
      <c r="J1507" s="182" t="n">
        <v>0</v>
      </c>
      <c r="K1507" s="182" t="n">
        <v>12</v>
      </c>
      <c r="L1507" s="182" t="n">
        <v>12</v>
      </c>
      <c r="M1507" s="182" t="n">
        <v>0</v>
      </c>
      <c r="N1507" s="182" t="n">
        <v>0</v>
      </c>
      <c r="O1507" s="183" t="n">
        <v>0</v>
      </c>
      <c r="P1507" s="183" t="n">
        <v>0</v>
      </c>
      <c r="Q1507" s="184" t="n">
        <v>0</v>
      </c>
      <c r="R1507" s="184" t="n">
        <v>0</v>
      </c>
      <c r="S1507" s="183" t="n">
        <v>0</v>
      </c>
      <c r="T1507" s="183" t="n">
        <v>0</v>
      </c>
      <c r="U1507" s="182" t="n">
        <v>7.05</v>
      </c>
      <c r="V1507" s="182" t="n">
        <v>4.87</v>
      </c>
      <c r="W1507" s="182" t="n">
        <v>0</v>
      </c>
      <c r="X1507" s="182" t="n">
        <v>0</v>
      </c>
      <c r="Y1507" s="182" t="n">
        <v>0</v>
      </c>
      <c r="Z1507" s="182" t="n">
        <v>0</v>
      </c>
      <c r="AA1507" s="182" t="n">
        <v>0</v>
      </c>
      <c r="AB1507" s="182" t="n">
        <v>0</v>
      </c>
      <c r="AC1507" s="182" t="n">
        <v>0</v>
      </c>
      <c r="AD1507" s="182" t="n">
        <v>0</v>
      </c>
      <c r="AE1507" s="182" t="n">
        <v>0</v>
      </c>
      <c r="AF1507" s="182" t="n">
        <v>0</v>
      </c>
      <c r="AG1507" s="182" t="n">
        <v>0</v>
      </c>
      <c r="AH1507" s="182" t="n">
        <v>0</v>
      </c>
      <c r="AI1507" s="182" t="n">
        <v>0</v>
      </c>
      <c r="AJ1507" s="182" t="n">
        <v>0</v>
      </c>
      <c r="AK1507" s="182" t="n">
        <v>0</v>
      </c>
      <c r="AL1507" s="182" t="n">
        <v>0</v>
      </c>
      <c r="AM1507" s="182" t="n">
        <v>0.08</v>
      </c>
      <c r="AN1507" s="182" t="n">
        <v>0</v>
      </c>
    </row>
    <row r="1508">
      <c r="A1508" s="155" t="n">
        <v>46088</v>
      </c>
      <c r="B1508" s="156" t="inlineStr">
        <is>
          <t>NS</t>
        </is>
      </c>
      <c r="C1508" s="156" t="inlineStr">
        <is>
          <t>DT-514</t>
        </is>
      </c>
      <c r="D1508" s="156" t="inlineStr">
        <is>
          <t>SKT 105S</t>
        </is>
      </c>
      <c r="E1508" s="156" t="inlineStr">
        <is>
          <t>Hauler</t>
        </is>
      </c>
      <c r="F1508" s="156" t="inlineStr"/>
      <c r="G1508" s="182" t="n">
        <v>0</v>
      </c>
      <c r="H1508" s="182" t="n">
        <v>0</v>
      </c>
      <c r="I1508" s="182" t="n">
        <v>12</v>
      </c>
      <c r="J1508" s="182" t="n">
        <v>12</v>
      </c>
      <c r="K1508" s="182" t="n">
        <v>0</v>
      </c>
      <c r="L1508" s="182" t="n">
        <v>12</v>
      </c>
      <c r="M1508" s="182" t="n">
        <v>0</v>
      </c>
      <c r="N1508" s="182" t="n">
        <v>0</v>
      </c>
      <c r="O1508" s="183" t="n">
        <v>0</v>
      </c>
      <c r="P1508" s="183" t="n">
        <v>0</v>
      </c>
      <c r="Q1508" s="184" t="n">
        <v>0</v>
      </c>
      <c r="R1508" s="184" t="n">
        <v>0</v>
      </c>
      <c r="S1508" s="183" t="n">
        <v>0</v>
      </c>
      <c r="T1508" s="183" t="n">
        <v>0</v>
      </c>
      <c r="U1508" s="182" t="n">
        <v>0</v>
      </c>
      <c r="V1508" s="182" t="n">
        <v>0</v>
      </c>
      <c r="W1508" s="182" t="n">
        <v>0</v>
      </c>
      <c r="X1508" s="182" t="n">
        <v>0</v>
      </c>
      <c r="Y1508" s="182" t="n">
        <v>0</v>
      </c>
      <c r="Z1508" s="182" t="n">
        <v>0</v>
      </c>
      <c r="AA1508" s="182" t="n">
        <v>0</v>
      </c>
      <c r="AB1508" s="182" t="n">
        <v>0</v>
      </c>
      <c r="AC1508" s="182" t="n">
        <v>0</v>
      </c>
      <c r="AD1508" s="182" t="n">
        <v>0</v>
      </c>
      <c r="AE1508" s="182" t="n">
        <v>0</v>
      </c>
      <c r="AF1508" s="182" t="n">
        <v>0</v>
      </c>
      <c r="AG1508" s="182" t="n">
        <v>0</v>
      </c>
      <c r="AH1508" s="182" t="n">
        <v>0</v>
      </c>
      <c r="AI1508" s="182" t="n">
        <v>0</v>
      </c>
      <c r="AJ1508" s="182" t="n">
        <v>0</v>
      </c>
      <c r="AK1508" s="182" t="n">
        <v>0</v>
      </c>
      <c r="AL1508" s="182" t="n">
        <v>0</v>
      </c>
      <c r="AM1508" s="182" t="n">
        <v>0</v>
      </c>
      <c r="AN1508" s="182" t="n">
        <v>0</v>
      </c>
    </row>
    <row r="1509">
      <c r="A1509" s="155" t="n">
        <v>46088</v>
      </c>
      <c r="B1509" s="156" t="inlineStr">
        <is>
          <t>NS</t>
        </is>
      </c>
      <c r="C1509" s="156" t="inlineStr">
        <is>
          <t>DT-523</t>
        </is>
      </c>
      <c r="D1509" s="156" t="inlineStr">
        <is>
          <t>SKT 105S</t>
        </is>
      </c>
      <c r="E1509" s="156" t="inlineStr">
        <is>
          <t>Hauler</t>
        </is>
      </c>
      <c r="F1509" s="156" t="inlineStr"/>
      <c r="G1509" s="182" t="n">
        <v>0</v>
      </c>
      <c r="H1509" s="182" t="n">
        <v>0</v>
      </c>
      <c r="I1509" s="182" t="n">
        <v>12</v>
      </c>
      <c r="J1509" s="182" t="n">
        <v>12</v>
      </c>
      <c r="K1509" s="182" t="n">
        <v>0</v>
      </c>
      <c r="L1509" s="182" t="n">
        <v>12</v>
      </c>
      <c r="M1509" s="182" t="n">
        <v>0</v>
      </c>
      <c r="N1509" s="182" t="n">
        <v>0</v>
      </c>
      <c r="O1509" s="183" t="n">
        <v>0</v>
      </c>
      <c r="P1509" s="183" t="n">
        <v>0</v>
      </c>
      <c r="Q1509" s="184" t="n">
        <v>0</v>
      </c>
      <c r="R1509" s="184" t="n">
        <v>0</v>
      </c>
      <c r="S1509" s="183" t="n">
        <v>0</v>
      </c>
      <c r="T1509" s="183" t="n">
        <v>0</v>
      </c>
      <c r="U1509" s="182" t="n">
        <v>0</v>
      </c>
      <c r="V1509" s="182" t="n">
        <v>0</v>
      </c>
      <c r="W1509" s="182" t="n">
        <v>0</v>
      </c>
      <c r="X1509" s="182" t="n">
        <v>0</v>
      </c>
      <c r="Y1509" s="182" t="n">
        <v>0</v>
      </c>
      <c r="Z1509" s="182" t="n">
        <v>0</v>
      </c>
      <c r="AA1509" s="182" t="n">
        <v>0</v>
      </c>
      <c r="AB1509" s="182" t="n">
        <v>0</v>
      </c>
      <c r="AC1509" s="182" t="n">
        <v>0</v>
      </c>
      <c r="AD1509" s="182" t="n">
        <v>0</v>
      </c>
      <c r="AE1509" s="182" t="n">
        <v>0</v>
      </c>
      <c r="AF1509" s="182" t="n">
        <v>0</v>
      </c>
      <c r="AG1509" s="182" t="n">
        <v>0</v>
      </c>
      <c r="AH1509" s="182" t="n">
        <v>0</v>
      </c>
      <c r="AI1509" s="182" t="n">
        <v>0</v>
      </c>
      <c r="AJ1509" s="182" t="n">
        <v>0</v>
      </c>
      <c r="AK1509" s="182" t="n">
        <v>0</v>
      </c>
      <c r="AL1509" s="182" t="n">
        <v>0</v>
      </c>
      <c r="AM1509" s="182" t="n">
        <v>0</v>
      </c>
      <c r="AN1509" s="182" t="n">
        <v>0</v>
      </c>
    </row>
    <row r="1510">
      <c r="A1510" s="155" t="n">
        <v>46088</v>
      </c>
      <c r="B1510" s="156" t="inlineStr">
        <is>
          <t>NS</t>
        </is>
      </c>
      <c r="C1510" s="156" t="inlineStr">
        <is>
          <t>DT-519</t>
        </is>
      </c>
      <c r="D1510" s="156" t="inlineStr">
        <is>
          <t>SKT 105S</t>
        </is>
      </c>
      <c r="E1510" s="156" t="inlineStr">
        <is>
          <t>Hauler</t>
        </is>
      </c>
      <c r="F1510" s="156" t="inlineStr"/>
      <c r="G1510" s="182" t="n">
        <v>0</v>
      </c>
      <c r="H1510" s="182" t="n">
        <v>0</v>
      </c>
      <c r="I1510" s="182" t="n">
        <v>0</v>
      </c>
      <c r="J1510" s="182" t="n">
        <v>0</v>
      </c>
      <c r="K1510" s="182" t="n">
        <v>12</v>
      </c>
      <c r="L1510" s="182" t="n">
        <v>12</v>
      </c>
      <c r="M1510" s="182" t="n">
        <v>0</v>
      </c>
      <c r="N1510" s="182" t="n">
        <v>0</v>
      </c>
      <c r="O1510" s="183" t="n">
        <v>0</v>
      </c>
      <c r="P1510" s="183" t="n">
        <v>0</v>
      </c>
      <c r="Q1510" s="184" t="n">
        <v>0</v>
      </c>
      <c r="R1510" s="184" t="n">
        <v>0</v>
      </c>
      <c r="S1510" s="183" t="n">
        <v>0</v>
      </c>
      <c r="T1510" s="183" t="n">
        <v>0</v>
      </c>
      <c r="U1510" s="182" t="n">
        <v>0</v>
      </c>
      <c r="V1510" s="182" t="n">
        <v>0</v>
      </c>
      <c r="W1510" s="182" t="n">
        <v>0</v>
      </c>
      <c r="X1510" s="182" t="n">
        <v>1</v>
      </c>
      <c r="Y1510" s="182" t="n">
        <v>0</v>
      </c>
      <c r="Z1510" s="182" t="n">
        <v>0</v>
      </c>
      <c r="AA1510" s="182" t="n">
        <v>0</v>
      </c>
      <c r="AB1510" s="182" t="n">
        <v>0</v>
      </c>
      <c r="AC1510" s="182" t="n">
        <v>0</v>
      </c>
      <c r="AD1510" s="182" t="n">
        <v>0</v>
      </c>
      <c r="AE1510" s="182" t="n">
        <v>0</v>
      </c>
      <c r="AF1510" s="182" t="n">
        <v>0</v>
      </c>
      <c r="AG1510" s="182" t="n">
        <v>0</v>
      </c>
      <c r="AH1510" s="182" t="n">
        <v>0</v>
      </c>
      <c r="AI1510" s="182" t="n">
        <v>0</v>
      </c>
      <c r="AJ1510" s="182" t="n">
        <v>0</v>
      </c>
      <c r="AK1510" s="182" t="n">
        <v>10.92</v>
      </c>
      <c r="AL1510" s="182" t="n">
        <v>0</v>
      </c>
      <c r="AM1510" s="182" t="n">
        <v>0.08</v>
      </c>
      <c r="AN1510" s="182" t="n">
        <v>0</v>
      </c>
    </row>
    <row r="1511">
      <c r="A1511" s="155" t="n">
        <v>46088</v>
      </c>
      <c r="B1511" s="156" t="inlineStr">
        <is>
          <t>NS</t>
        </is>
      </c>
      <c r="C1511" s="156" t="inlineStr">
        <is>
          <t>DT-527</t>
        </is>
      </c>
      <c r="D1511" s="156" t="inlineStr">
        <is>
          <t>SKT 105S</t>
        </is>
      </c>
      <c r="E1511" s="156" t="inlineStr">
        <is>
          <t>Hauler</t>
        </is>
      </c>
      <c r="F1511" s="156" t="inlineStr"/>
      <c r="G1511" s="182" t="n">
        <v>0</v>
      </c>
      <c r="H1511" s="182" t="n">
        <v>0</v>
      </c>
      <c r="I1511" s="182" t="n">
        <v>0</v>
      </c>
      <c r="J1511" s="182" t="n">
        <v>0</v>
      </c>
      <c r="K1511" s="182" t="n">
        <v>12</v>
      </c>
      <c r="L1511" s="182" t="n">
        <v>12</v>
      </c>
      <c r="M1511" s="182" t="n">
        <v>0</v>
      </c>
      <c r="N1511" s="182" t="n">
        <v>0</v>
      </c>
      <c r="O1511" s="183" t="n">
        <v>0</v>
      </c>
      <c r="P1511" s="183" t="n">
        <v>0</v>
      </c>
      <c r="Q1511" s="184" t="n">
        <v>0</v>
      </c>
      <c r="R1511" s="184" t="n">
        <v>0</v>
      </c>
      <c r="S1511" s="183" t="n">
        <v>0</v>
      </c>
      <c r="T1511" s="183" t="n">
        <v>0</v>
      </c>
      <c r="U1511" s="182" t="n">
        <v>7.05</v>
      </c>
      <c r="V1511" s="182" t="n">
        <v>4.87</v>
      </c>
      <c r="W1511" s="182" t="n">
        <v>0</v>
      </c>
      <c r="X1511" s="182" t="n">
        <v>0</v>
      </c>
      <c r="Y1511" s="182" t="n">
        <v>0</v>
      </c>
      <c r="Z1511" s="182" t="n">
        <v>0</v>
      </c>
      <c r="AA1511" s="182" t="n">
        <v>0</v>
      </c>
      <c r="AB1511" s="182" t="n">
        <v>0</v>
      </c>
      <c r="AC1511" s="182" t="n">
        <v>0</v>
      </c>
      <c r="AD1511" s="182" t="n">
        <v>0</v>
      </c>
      <c r="AE1511" s="182" t="n">
        <v>0</v>
      </c>
      <c r="AF1511" s="182" t="n">
        <v>0</v>
      </c>
      <c r="AG1511" s="182" t="n">
        <v>0</v>
      </c>
      <c r="AH1511" s="182" t="n">
        <v>0</v>
      </c>
      <c r="AI1511" s="182" t="n">
        <v>0</v>
      </c>
      <c r="AJ1511" s="182" t="n">
        <v>0</v>
      </c>
      <c r="AK1511" s="182" t="n">
        <v>0</v>
      </c>
      <c r="AL1511" s="182" t="n">
        <v>0</v>
      </c>
      <c r="AM1511" s="182" t="n">
        <v>0.08</v>
      </c>
      <c r="AN1511" s="182" t="n">
        <v>0</v>
      </c>
    </row>
    <row r="1512">
      <c r="A1512" s="155" t="n">
        <v>46088</v>
      </c>
      <c r="B1512" s="156" t="inlineStr">
        <is>
          <t>NS</t>
        </is>
      </c>
      <c r="C1512" s="156" t="inlineStr">
        <is>
          <t>DT-513</t>
        </is>
      </c>
      <c r="D1512" s="156" t="inlineStr">
        <is>
          <t>SKT 105S</t>
        </is>
      </c>
      <c r="E1512" s="156" t="inlineStr">
        <is>
          <t>Hauler</t>
        </is>
      </c>
      <c r="F1512" s="156" t="inlineStr"/>
      <c r="G1512" s="182" t="n">
        <v>0</v>
      </c>
      <c r="H1512" s="182" t="n">
        <v>0</v>
      </c>
      <c r="I1512" s="182" t="n">
        <v>0</v>
      </c>
      <c r="J1512" s="182" t="n">
        <v>0</v>
      </c>
      <c r="K1512" s="182" t="n">
        <v>12</v>
      </c>
      <c r="L1512" s="182" t="n">
        <v>12</v>
      </c>
      <c r="M1512" s="182" t="n">
        <v>0</v>
      </c>
      <c r="N1512" s="182" t="n">
        <v>0</v>
      </c>
      <c r="O1512" s="183" t="n">
        <v>0</v>
      </c>
      <c r="P1512" s="183" t="n">
        <v>0</v>
      </c>
      <c r="Q1512" s="184" t="n">
        <v>0</v>
      </c>
      <c r="R1512" s="184" t="n">
        <v>0</v>
      </c>
      <c r="S1512" s="183" t="n">
        <v>0</v>
      </c>
      <c r="T1512" s="183" t="n">
        <v>0</v>
      </c>
      <c r="U1512" s="182" t="n">
        <v>7.05</v>
      </c>
      <c r="V1512" s="182" t="n">
        <v>4.87</v>
      </c>
      <c r="W1512" s="182" t="n">
        <v>0</v>
      </c>
      <c r="X1512" s="182" t="n">
        <v>0</v>
      </c>
      <c r="Y1512" s="182" t="n">
        <v>0</v>
      </c>
      <c r="Z1512" s="182" t="n">
        <v>0</v>
      </c>
      <c r="AA1512" s="182" t="n">
        <v>0</v>
      </c>
      <c r="AB1512" s="182" t="n">
        <v>0</v>
      </c>
      <c r="AC1512" s="182" t="n">
        <v>0</v>
      </c>
      <c r="AD1512" s="182" t="n">
        <v>0</v>
      </c>
      <c r="AE1512" s="182" t="n">
        <v>0</v>
      </c>
      <c r="AF1512" s="182" t="n">
        <v>0</v>
      </c>
      <c r="AG1512" s="182" t="n">
        <v>0</v>
      </c>
      <c r="AH1512" s="182" t="n">
        <v>0</v>
      </c>
      <c r="AI1512" s="182" t="n">
        <v>0</v>
      </c>
      <c r="AJ1512" s="182" t="n">
        <v>0</v>
      </c>
      <c r="AK1512" s="182" t="n">
        <v>0</v>
      </c>
      <c r="AL1512" s="182" t="n">
        <v>0</v>
      </c>
      <c r="AM1512" s="182" t="n">
        <v>0.08</v>
      </c>
      <c r="AN1512" s="182" t="n">
        <v>0</v>
      </c>
    </row>
    <row r="1513">
      <c r="A1513" s="155" t="n">
        <v>46088</v>
      </c>
      <c r="B1513" s="156" t="inlineStr">
        <is>
          <t>NS</t>
        </is>
      </c>
      <c r="C1513" s="156" t="inlineStr">
        <is>
          <t>DT-512</t>
        </is>
      </c>
      <c r="D1513" s="156" t="inlineStr">
        <is>
          <t>SKT 105S</t>
        </is>
      </c>
      <c r="E1513" s="156" t="inlineStr">
        <is>
          <t>Hauler</t>
        </is>
      </c>
      <c r="F1513" s="156" t="inlineStr"/>
      <c r="G1513" s="182" t="n">
        <v>0</v>
      </c>
      <c r="H1513" s="182" t="n">
        <v>0</v>
      </c>
      <c r="I1513" s="182" t="n">
        <v>0</v>
      </c>
      <c r="J1513" s="182" t="n">
        <v>0</v>
      </c>
      <c r="K1513" s="182" t="n">
        <v>12</v>
      </c>
      <c r="L1513" s="182" t="n">
        <v>12</v>
      </c>
      <c r="M1513" s="182" t="n">
        <v>0</v>
      </c>
      <c r="N1513" s="182" t="n">
        <v>0</v>
      </c>
      <c r="O1513" s="183" t="n">
        <v>0</v>
      </c>
      <c r="P1513" s="183" t="n">
        <v>0</v>
      </c>
      <c r="Q1513" s="184" t="n">
        <v>0</v>
      </c>
      <c r="R1513" s="184" t="n">
        <v>0</v>
      </c>
      <c r="S1513" s="183" t="n">
        <v>0</v>
      </c>
      <c r="T1513" s="183" t="n">
        <v>0</v>
      </c>
      <c r="U1513" s="182" t="n">
        <v>7.05</v>
      </c>
      <c r="V1513" s="182" t="n">
        <v>4.87</v>
      </c>
      <c r="W1513" s="182" t="n">
        <v>0</v>
      </c>
      <c r="X1513" s="182" t="n">
        <v>0</v>
      </c>
      <c r="Y1513" s="182" t="n">
        <v>0</v>
      </c>
      <c r="Z1513" s="182" t="n">
        <v>0</v>
      </c>
      <c r="AA1513" s="182" t="n">
        <v>0</v>
      </c>
      <c r="AB1513" s="182" t="n">
        <v>0</v>
      </c>
      <c r="AC1513" s="182" t="n">
        <v>0</v>
      </c>
      <c r="AD1513" s="182" t="n">
        <v>0</v>
      </c>
      <c r="AE1513" s="182" t="n">
        <v>0</v>
      </c>
      <c r="AF1513" s="182" t="n">
        <v>0</v>
      </c>
      <c r="AG1513" s="182" t="n">
        <v>0</v>
      </c>
      <c r="AH1513" s="182" t="n">
        <v>0</v>
      </c>
      <c r="AI1513" s="182" t="n">
        <v>0</v>
      </c>
      <c r="AJ1513" s="182" t="n">
        <v>0</v>
      </c>
      <c r="AK1513" s="182" t="n">
        <v>0</v>
      </c>
      <c r="AL1513" s="182" t="n">
        <v>0</v>
      </c>
      <c r="AM1513" s="182" t="n">
        <v>0.08</v>
      </c>
      <c r="AN1513" s="182" t="n">
        <v>0</v>
      </c>
    </row>
    <row r="1514">
      <c r="A1514" s="155" t="n">
        <v>46088</v>
      </c>
      <c r="B1514" s="156" t="inlineStr">
        <is>
          <t>NS</t>
        </is>
      </c>
      <c r="C1514" s="156" t="inlineStr">
        <is>
          <t>DT-522</t>
        </is>
      </c>
      <c r="D1514" s="156" t="inlineStr">
        <is>
          <t>SKT 105S</t>
        </is>
      </c>
      <c r="E1514" s="156" t="inlineStr">
        <is>
          <t>Hauler</t>
        </is>
      </c>
      <c r="F1514" s="156" t="inlineStr"/>
      <c r="G1514" s="182" t="n">
        <v>0</v>
      </c>
      <c r="H1514" s="182" t="n">
        <v>12</v>
      </c>
      <c r="I1514" s="182" t="n">
        <v>0</v>
      </c>
      <c r="J1514" s="182" t="n">
        <v>12</v>
      </c>
      <c r="K1514" s="182" t="n">
        <v>0</v>
      </c>
      <c r="L1514" s="182" t="n">
        <v>12</v>
      </c>
      <c r="M1514" s="182" t="n">
        <v>0</v>
      </c>
      <c r="N1514" s="182" t="n">
        <v>0</v>
      </c>
      <c r="O1514" s="183" t="n">
        <v>0</v>
      </c>
      <c r="P1514" s="183" t="n">
        <v>0</v>
      </c>
      <c r="Q1514" s="184" t="n">
        <v>0</v>
      </c>
      <c r="R1514" s="184" t="n">
        <v>0</v>
      </c>
      <c r="S1514" s="183" t="n">
        <v>0</v>
      </c>
      <c r="T1514" s="183" t="n">
        <v>0</v>
      </c>
      <c r="U1514" s="182" t="n">
        <v>0</v>
      </c>
      <c r="V1514" s="182" t="n">
        <v>0</v>
      </c>
      <c r="W1514" s="182" t="n">
        <v>0</v>
      </c>
      <c r="X1514" s="182" t="n">
        <v>0</v>
      </c>
      <c r="Y1514" s="182" t="n">
        <v>0</v>
      </c>
      <c r="Z1514" s="182" t="n">
        <v>0</v>
      </c>
      <c r="AA1514" s="182" t="n">
        <v>0</v>
      </c>
      <c r="AB1514" s="182" t="n">
        <v>0</v>
      </c>
      <c r="AC1514" s="182" t="n">
        <v>0</v>
      </c>
      <c r="AD1514" s="182" t="n">
        <v>0</v>
      </c>
      <c r="AE1514" s="182" t="n">
        <v>0</v>
      </c>
      <c r="AF1514" s="182" t="n">
        <v>0</v>
      </c>
      <c r="AG1514" s="182" t="n">
        <v>0</v>
      </c>
      <c r="AH1514" s="182" t="n">
        <v>0</v>
      </c>
      <c r="AI1514" s="182" t="n">
        <v>0</v>
      </c>
      <c r="AJ1514" s="182" t="n">
        <v>0</v>
      </c>
      <c r="AK1514" s="182" t="n">
        <v>0</v>
      </c>
      <c r="AL1514" s="182" t="n">
        <v>0</v>
      </c>
      <c r="AM1514" s="182" t="n">
        <v>0</v>
      </c>
      <c r="AN1514" s="182" t="n">
        <v>0</v>
      </c>
    </row>
    <row r="1515">
      <c r="A1515" s="155" t="n">
        <v>46088</v>
      </c>
      <c r="B1515" s="156" t="inlineStr">
        <is>
          <t>NS</t>
        </is>
      </c>
      <c r="C1515" s="156" t="inlineStr">
        <is>
          <t>DT-517</t>
        </is>
      </c>
      <c r="D1515" s="156" t="inlineStr">
        <is>
          <t>SKT 105S</t>
        </is>
      </c>
      <c r="E1515" s="156" t="inlineStr">
        <is>
          <t>Hauler</t>
        </is>
      </c>
      <c r="F1515" s="156" t="inlineStr"/>
      <c r="G1515" s="182" t="n">
        <v>0</v>
      </c>
      <c r="H1515" s="182" t="n">
        <v>12</v>
      </c>
      <c r="I1515" s="182" t="n">
        <v>0</v>
      </c>
      <c r="J1515" s="182" t="n">
        <v>12</v>
      </c>
      <c r="K1515" s="182" t="n">
        <v>0</v>
      </c>
      <c r="L1515" s="182" t="n">
        <v>12</v>
      </c>
      <c r="M1515" s="182" t="n">
        <v>0</v>
      </c>
      <c r="N1515" s="182" t="n">
        <v>0</v>
      </c>
      <c r="O1515" s="183" t="n">
        <v>0</v>
      </c>
      <c r="P1515" s="183" t="n">
        <v>0</v>
      </c>
      <c r="Q1515" s="184" t="n">
        <v>0</v>
      </c>
      <c r="R1515" s="184" t="n">
        <v>0</v>
      </c>
      <c r="S1515" s="183" t="n">
        <v>0</v>
      </c>
      <c r="T1515" s="183" t="n">
        <v>0</v>
      </c>
      <c r="U1515" s="182" t="n">
        <v>0</v>
      </c>
      <c r="V1515" s="182" t="n">
        <v>0</v>
      </c>
      <c r="W1515" s="182" t="n">
        <v>0</v>
      </c>
      <c r="X1515" s="182" t="n">
        <v>0</v>
      </c>
      <c r="Y1515" s="182" t="n">
        <v>0</v>
      </c>
      <c r="Z1515" s="182" t="n">
        <v>0</v>
      </c>
      <c r="AA1515" s="182" t="n">
        <v>0</v>
      </c>
      <c r="AB1515" s="182" t="n">
        <v>0</v>
      </c>
      <c r="AC1515" s="182" t="n">
        <v>0</v>
      </c>
      <c r="AD1515" s="182" t="n">
        <v>0</v>
      </c>
      <c r="AE1515" s="182" t="n">
        <v>0</v>
      </c>
      <c r="AF1515" s="182" t="n">
        <v>0</v>
      </c>
      <c r="AG1515" s="182" t="n">
        <v>0</v>
      </c>
      <c r="AH1515" s="182" t="n">
        <v>0</v>
      </c>
      <c r="AI1515" s="182" t="n">
        <v>0</v>
      </c>
      <c r="AJ1515" s="182" t="n">
        <v>0</v>
      </c>
      <c r="AK1515" s="182" t="n">
        <v>0</v>
      </c>
      <c r="AL1515" s="182" t="n">
        <v>0</v>
      </c>
      <c r="AM1515" s="182" t="n">
        <v>0</v>
      </c>
      <c r="AN1515" s="182" t="n">
        <v>0</v>
      </c>
    </row>
    <row r="1516">
      <c r="A1516" s="155" t="n">
        <v>46088</v>
      </c>
      <c r="B1516" s="156" t="inlineStr">
        <is>
          <t>NS</t>
        </is>
      </c>
      <c r="C1516" s="156" t="inlineStr">
        <is>
          <t>DT-510</t>
        </is>
      </c>
      <c r="D1516" s="156" t="inlineStr">
        <is>
          <t>SKT 105S</t>
        </is>
      </c>
      <c r="E1516" s="156" t="inlineStr">
        <is>
          <t>Hauler</t>
        </is>
      </c>
      <c r="F1516" s="156" t="inlineStr"/>
      <c r="G1516" s="182" t="n">
        <v>0</v>
      </c>
      <c r="H1516" s="182" t="n">
        <v>0</v>
      </c>
      <c r="I1516" s="182" t="n">
        <v>0</v>
      </c>
      <c r="J1516" s="182" t="n">
        <v>0</v>
      </c>
      <c r="K1516" s="182" t="n">
        <v>12</v>
      </c>
      <c r="L1516" s="182" t="n">
        <v>12</v>
      </c>
      <c r="M1516" s="182" t="n">
        <v>0</v>
      </c>
      <c r="N1516" s="182" t="n">
        <v>0</v>
      </c>
      <c r="O1516" s="183" t="n">
        <v>0</v>
      </c>
      <c r="P1516" s="183" t="n">
        <v>0</v>
      </c>
      <c r="Q1516" s="184" t="n">
        <v>0</v>
      </c>
      <c r="R1516" s="184" t="n">
        <v>0</v>
      </c>
      <c r="S1516" s="183" t="n">
        <v>0</v>
      </c>
      <c r="T1516" s="183" t="n">
        <v>0</v>
      </c>
      <c r="U1516" s="182" t="n">
        <v>7.05</v>
      </c>
      <c r="V1516" s="182" t="n">
        <v>4.87</v>
      </c>
      <c r="W1516" s="182" t="n">
        <v>0</v>
      </c>
      <c r="X1516" s="182" t="n">
        <v>0</v>
      </c>
      <c r="Y1516" s="182" t="n">
        <v>0</v>
      </c>
      <c r="Z1516" s="182" t="n">
        <v>0</v>
      </c>
      <c r="AA1516" s="182" t="n">
        <v>0</v>
      </c>
      <c r="AB1516" s="182" t="n">
        <v>0</v>
      </c>
      <c r="AC1516" s="182" t="n">
        <v>0</v>
      </c>
      <c r="AD1516" s="182" t="n">
        <v>0</v>
      </c>
      <c r="AE1516" s="182" t="n">
        <v>0</v>
      </c>
      <c r="AF1516" s="182" t="n">
        <v>0</v>
      </c>
      <c r="AG1516" s="182" t="n">
        <v>0</v>
      </c>
      <c r="AH1516" s="182" t="n">
        <v>0</v>
      </c>
      <c r="AI1516" s="182" t="n">
        <v>0</v>
      </c>
      <c r="AJ1516" s="182" t="n">
        <v>0</v>
      </c>
      <c r="AK1516" s="182" t="n">
        <v>0</v>
      </c>
      <c r="AL1516" s="182" t="n">
        <v>0</v>
      </c>
      <c r="AM1516" s="182" t="n">
        <v>0.08</v>
      </c>
      <c r="AN1516" s="182" t="n">
        <v>0</v>
      </c>
    </row>
    <row r="1517">
      <c r="A1517" s="155" t="n">
        <v>46088</v>
      </c>
      <c r="B1517" s="156" t="inlineStr">
        <is>
          <t>NS</t>
        </is>
      </c>
      <c r="C1517" s="156" t="inlineStr">
        <is>
          <t>DT-521</t>
        </is>
      </c>
      <c r="D1517" s="156" t="inlineStr">
        <is>
          <t>SKT 105S</t>
        </is>
      </c>
      <c r="E1517" s="156" t="inlineStr">
        <is>
          <t>Hauler</t>
        </is>
      </c>
      <c r="F1517" s="156" t="inlineStr">
        <is>
          <t>Hauling OB</t>
        </is>
      </c>
      <c r="G1517" s="182" t="n">
        <v>1</v>
      </c>
      <c r="H1517" s="182" t="n">
        <v>0</v>
      </c>
      <c r="I1517" s="182" t="n">
        <v>0</v>
      </c>
      <c r="J1517" s="182" t="n">
        <v>0</v>
      </c>
      <c r="K1517" s="182" t="n">
        <v>11</v>
      </c>
      <c r="L1517" s="182" t="n">
        <v>12</v>
      </c>
      <c r="M1517" s="182" t="n">
        <v>1</v>
      </c>
      <c r="N1517" s="182" t="n">
        <v>0</v>
      </c>
      <c r="O1517" s="183" t="n">
        <v>3</v>
      </c>
      <c r="P1517" s="183" t="n">
        <v>0</v>
      </c>
      <c r="Q1517" s="184" t="n">
        <v>61.2</v>
      </c>
      <c r="R1517" s="184" t="n">
        <v>0</v>
      </c>
      <c r="S1517" s="183" t="n">
        <v>0</v>
      </c>
      <c r="T1517" s="183" t="n">
        <v>0</v>
      </c>
      <c r="U1517" s="182" t="n">
        <v>7.05</v>
      </c>
      <c r="V1517" s="182" t="n">
        <v>3.87</v>
      </c>
      <c r="W1517" s="182" t="n">
        <v>0</v>
      </c>
      <c r="X1517" s="182" t="n">
        <v>0</v>
      </c>
      <c r="Y1517" s="182" t="n">
        <v>0</v>
      </c>
      <c r="Z1517" s="182" t="n">
        <v>0</v>
      </c>
      <c r="AA1517" s="182" t="n">
        <v>0</v>
      </c>
      <c r="AB1517" s="182" t="n">
        <v>0</v>
      </c>
      <c r="AC1517" s="182" t="n">
        <v>0</v>
      </c>
      <c r="AD1517" s="182" t="n">
        <v>0</v>
      </c>
      <c r="AE1517" s="182" t="n">
        <v>0</v>
      </c>
      <c r="AF1517" s="182" t="n">
        <v>0</v>
      </c>
      <c r="AG1517" s="182" t="n">
        <v>0</v>
      </c>
      <c r="AH1517" s="182" t="n">
        <v>0</v>
      </c>
      <c r="AI1517" s="182" t="n">
        <v>0</v>
      </c>
      <c r="AJ1517" s="182" t="n">
        <v>0</v>
      </c>
      <c r="AK1517" s="182" t="n">
        <v>0</v>
      </c>
      <c r="AL1517" s="182" t="n">
        <v>0</v>
      </c>
      <c r="AM1517" s="182" t="n">
        <v>0.08</v>
      </c>
      <c r="AN1517" s="182" t="n">
        <v>0</v>
      </c>
    </row>
    <row r="1518">
      <c r="A1518" s="155" t="n">
        <v>46088</v>
      </c>
      <c r="B1518" s="156" t="inlineStr">
        <is>
          <t>NS</t>
        </is>
      </c>
      <c r="C1518" s="156" t="inlineStr">
        <is>
          <t>DT-516</t>
        </is>
      </c>
      <c r="D1518" s="156" t="inlineStr">
        <is>
          <t>SKT 105S</t>
        </is>
      </c>
      <c r="E1518" s="156" t="inlineStr">
        <is>
          <t>Hauler</t>
        </is>
      </c>
      <c r="F1518" s="156" t="inlineStr"/>
      <c r="G1518" s="182" t="n">
        <v>0</v>
      </c>
      <c r="H1518" s="182" t="n">
        <v>0</v>
      </c>
      <c r="I1518" s="182" t="n">
        <v>0</v>
      </c>
      <c r="J1518" s="182" t="n">
        <v>0</v>
      </c>
      <c r="K1518" s="182" t="n">
        <v>12</v>
      </c>
      <c r="L1518" s="182" t="n">
        <v>12</v>
      </c>
      <c r="M1518" s="182" t="n">
        <v>0</v>
      </c>
      <c r="N1518" s="182" t="n">
        <v>0</v>
      </c>
      <c r="O1518" s="183" t="n">
        <v>0</v>
      </c>
      <c r="P1518" s="183" t="n">
        <v>0</v>
      </c>
      <c r="Q1518" s="184" t="n">
        <v>0</v>
      </c>
      <c r="R1518" s="184" t="n">
        <v>0</v>
      </c>
      <c r="S1518" s="183" t="n">
        <v>0</v>
      </c>
      <c r="T1518" s="183" t="n">
        <v>0</v>
      </c>
      <c r="U1518" s="182" t="n">
        <v>7.05</v>
      </c>
      <c r="V1518" s="182" t="n">
        <v>4.87</v>
      </c>
      <c r="W1518" s="182" t="n">
        <v>0</v>
      </c>
      <c r="X1518" s="182" t="n">
        <v>0</v>
      </c>
      <c r="Y1518" s="182" t="n">
        <v>0</v>
      </c>
      <c r="Z1518" s="182" t="n">
        <v>0</v>
      </c>
      <c r="AA1518" s="182" t="n">
        <v>0</v>
      </c>
      <c r="AB1518" s="182" t="n">
        <v>0</v>
      </c>
      <c r="AC1518" s="182" t="n">
        <v>0</v>
      </c>
      <c r="AD1518" s="182" t="n">
        <v>0</v>
      </c>
      <c r="AE1518" s="182" t="n">
        <v>0</v>
      </c>
      <c r="AF1518" s="182" t="n">
        <v>0</v>
      </c>
      <c r="AG1518" s="182" t="n">
        <v>0</v>
      </c>
      <c r="AH1518" s="182" t="n">
        <v>0</v>
      </c>
      <c r="AI1518" s="182" t="n">
        <v>0</v>
      </c>
      <c r="AJ1518" s="182" t="n">
        <v>0</v>
      </c>
      <c r="AK1518" s="182" t="n">
        <v>0</v>
      </c>
      <c r="AL1518" s="182" t="n">
        <v>0</v>
      </c>
      <c r="AM1518" s="182" t="n">
        <v>0.08</v>
      </c>
      <c r="AN1518" s="182" t="n">
        <v>0</v>
      </c>
    </row>
    <row r="1519">
      <c r="A1519" s="155" t="n">
        <v>46088</v>
      </c>
      <c r="B1519" s="156" t="inlineStr">
        <is>
          <t>NS</t>
        </is>
      </c>
      <c r="C1519" s="156" t="inlineStr">
        <is>
          <t>DT-506</t>
        </is>
      </c>
      <c r="D1519" s="156" t="inlineStr">
        <is>
          <t>SKT 105S</t>
        </is>
      </c>
      <c r="E1519" s="156" t="inlineStr">
        <is>
          <t>Hauler</t>
        </is>
      </c>
      <c r="F1519" s="156" t="inlineStr">
        <is>
          <t>Hauling OB</t>
        </is>
      </c>
      <c r="G1519" s="182" t="n">
        <v>0.93</v>
      </c>
      <c r="H1519" s="182" t="n">
        <v>0</v>
      </c>
      <c r="I1519" s="182" t="n">
        <v>0</v>
      </c>
      <c r="J1519" s="182" t="n">
        <v>0</v>
      </c>
      <c r="K1519" s="182" t="n">
        <v>11.07</v>
      </c>
      <c r="L1519" s="182" t="n">
        <v>12</v>
      </c>
      <c r="M1519" s="182" t="n">
        <v>0.93</v>
      </c>
      <c r="N1519" s="182" t="n">
        <v>0</v>
      </c>
      <c r="O1519" s="183" t="n">
        <v>3</v>
      </c>
      <c r="P1519" s="183" t="n">
        <v>0</v>
      </c>
      <c r="Q1519" s="184" t="n">
        <v>61.2</v>
      </c>
      <c r="R1519" s="184" t="n">
        <v>0</v>
      </c>
      <c r="S1519" s="183" t="n">
        <v>0</v>
      </c>
      <c r="T1519" s="183" t="n">
        <v>0</v>
      </c>
      <c r="U1519" s="182" t="n">
        <v>7.09</v>
      </c>
      <c r="V1519" s="182" t="n">
        <v>3.89</v>
      </c>
      <c r="W1519" s="182" t="n">
        <v>0</v>
      </c>
      <c r="X1519" s="182" t="n">
        <v>0</v>
      </c>
      <c r="Y1519" s="182" t="n">
        <v>0</v>
      </c>
      <c r="Z1519" s="182" t="n">
        <v>0</v>
      </c>
      <c r="AA1519" s="182" t="n">
        <v>0</v>
      </c>
      <c r="AB1519" s="182" t="n">
        <v>0</v>
      </c>
      <c r="AC1519" s="182" t="n">
        <v>0</v>
      </c>
      <c r="AD1519" s="182" t="n">
        <v>0</v>
      </c>
      <c r="AE1519" s="182" t="n">
        <v>0</v>
      </c>
      <c r="AF1519" s="182" t="n">
        <v>0</v>
      </c>
      <c r="AG1519" s="182" t="n">
        <v>0</v>
      </c>
      <c r="AH1519" s="182" t="n">
        <v>0</v>
      </c>
      <c r="AI1519" s="182" t="n">
        <v>0</v>
      </c>
      <c r="AJ1519" s="182" t="n">
        <v>0</v>
      </c>
      <c r="AK1519" s="182" t="n">
        <v>0</v>
      </c>
      <c r="AL1519" s="182" t="n">
        <v>0</v>
      </c>
      <c r="AM1519" s="182" t="n">
        <v>0.08</v>
      </c>
      <c r="AN1519" s="182" t="n">
        <v>0</v>
      </c>
    </row>
    <row r="1520">
      <c r="A1520" s="155" t="n">
        <v>46088</v>
      </c>
      <c r="B1520" s="156" t="inlineStr">
        <is>
          <t>NS</t>
        </is>
      </c>
      <c r="C1520" s="156" t="inlineStr">
        <is>
          <t>DT-502</t>
        </is>
      </c>
      <c r="D1520" s="156" t="inlineStr">
        <is>
          <t>SKT 105S</t>
        </is>
      </c>
      <c r="E1520" s="156" t="inlineStr">
        <is>
          <t>Hauler</t>
        </is>
      </c>
      <c r="F1520" s="156" t="inlineStr"/>
      <c r="G1520" s="182" t="n">
        <v>0</v>
      </c>
      <c r="H1520" s="182" t="n">
        <v>0</v>
      </c>
      <c r="I1520" s="182" t="n">
        <v>12</v>
      </c>
      <c r="J1520" s="182" t="n">
        <v>12</v>
      </c>
      <c r="K1520" s="182" t="n">
        <v>0</v>
      </c>
      <c r="L1520" s="182" t="n">
        <v>12</v>
      </c>
      <c r="M1520" s="182" t="n">
        <v>0</v>
      </c>
      <c r="N1520" s="182" t="n">
        <v>0</v>
      </c>
      <c r="O1520" s="183" t="n">
        <v>0</v>
      </c>
      <c r="P1520" s="183" t="n">
        <v>0</v>
      </c>
      <c r="Q1520" s="184" t="n">
        <v>0</v>
      </c>
      <c r="R1520" s="184" t="n">
        <v>0</v>
      </c>
      <c r="S1520" s="183" t="n">
        <v>0</v>
      </c>
      <c r="T1520" s="183" t="n">
        <v>0</v>
      </c>
      <c r="U1520" s="182" t="n">
        <v>0</v>
      </c>
      <c r="V1520" s="182" t="n">
        <v>0</v>
      </c>
      <c r="W1520" s="182" t="n">
        <v>0</v>
      </c>
      <c r="X1520" s="182" t="n">
        <v>0</v>
      </c>
      <c r="Y1520" s="182" t="n">
        <v>0</v>
      </c>
      <c r="Z1520" s="182" t="n">
        <v>0</v>
      </c>
      <c r="AA1520" s="182" t="n">
        <v>0</v>
      </c>
      <c r="AB1520" s="182" t="n">
        <v>0</v>
      </c>
      <c r="AC1520" s="182" t="n">
        <v>0</v>
      </c>
      <c r="AD1520" s="182" t="n">
        <v>0</v>
      </c>
      <c r="AE1520" s="182" t="n">
        <v>0</v>
      </c>
      <c r="AF1520" s="182" t="n">
        <v>0</v>
      </c>
      <c r="AG1520" s="182" t="n">
        <v>0</v>
      </c>
      <c r="AH1520" s="182" t="n">
        <v>0</v>
      </c>
      <c r="AI1520" s="182" t="n">
        <v>0</v>
      </c>
      <c r="AJ1520" s="182" t="n">
        <v>0</v>
      </c>
      <c r="AK1520" s="182" t="n">
        <v>0</v>
      </c>
      <c r="AL1520" s="182" t="n">
        <v>0</v>
      </c>
      <c r="AM1520" s="182" t="n">
        <v>0</v>
      </c>
      <c r="AN1520" s="182" t="n">
        <v>0</v>
      </c>
    </row>
    <row r="1521">
      <c r="A1521" s="155" t="n">
        <v>46088</v>
      </c>
      <c r="B1521" s="156" t="inlineStr">
        <is>
          <t>NS</t>
        </is>
      </c>
      <c r="C1521" s="156" t="inlineStr">
        <is>
          <t>DT-528</t>
        </is>
      </c>
      <c r="D1521" s="156" t="inlineStr">
        <is>
          <t>SKT 105S</t>
        </is>
      </c>
      <c r="E1521" s="156" t="inlineStr">
        <is>
          <t>Hauler</t>
        </is>
      </c>
      <c r="F1521" s="156" t="inlineStr"/>
      <c r="G1521" s="182" t="n">
        <v>0</v>
      </c>
      <c r="H1521" s="182" t="n">
        <v>0</v>
      </c>
      <c r="I1521" s="182" t="n">
        <v>0</v>
      </c>
      <c r="J1521" s="182" t="n">
        <v>0</v>
      </c>
      <c r="K1521" s="182" t="n">
        <v>12</v>
      </c>
      <c r="L1521" s="182" t="n">
        <v>12</v>
      </c>
      <c r="M1521" s="182" t="n">
        <v>0</v>
      </c>
      <c r="N1521" s="182" t="n">
        <v>0</v>
      </c>
      <c r="O1521" s="183" t="n">
        <v>0</v>
      </c>
      <c r="P1521" s="183" t="n">
        <v>0</v>
      </c>
      <c r="Q1521" s="184" t="n">
        <v>0</v>
      </c>
      <c r="R1521" s="184" t="n">
        <v>0</v>
      </c>
      <c r="S1521" s="183" t="n">
        <v>0</v>
      </c>
      <c r="T1521" s="183" t="n">
        <v>0</v>
      </c>
      <c r="U1521" s="182" t="n">
        <v>7.05</v>
      </c>
      <c r="V1521" s="182" t="n">
        <v>4.87</v>
      </c>
      <c r="W1521" s="182" t="n">
        <v>0</v>
      </c>
      <c r="X1521" s="182" t="n">
        <v>0</v>
      </c>
      <c r="Y1521" s="182" t="n">
        <v>0</v>
      </c>
      <c r="Z1521" s="182" t="n">
        <v>0</v>
      </c>
      <c r="AA1521" s="182" t="n">
        <v>0</v>
      </c>
      <c r="AB1521" s="182" t="n">
        <v>0</v>
      </c>
      <c r="AC1521" s="182" t="n">
        <v>0</v>
      </c>
      <c r="AD1521" s="182" t="n">
        <v>0</v>
      </c>
      <c r="AE1521" s="182" t="n">
        <v>0</v>
      </c>
      <c r="AF1521" s="182" t="n">
        <v>0</v>
      </c>
      <c r="AG1521" s="182" t="n">
        <v>0</v>
      </c>
      <c r="AH1521" s="182" t="n">
        <v>0</v>
      </c>
      <c r="AI1521" s="182" t="n">
        <v>0</v>
      </c>
      <c r="AJ1521" s="182" t="n">
        <v>0</v>
      </c>
      <c r="AK1521" s="182" t="n">
        <v>0</v>
      </c>
      <c r="AL1521" s="182" t="n">
        <v>0</v>
      </c>
      <c r="AM1521" s="182" t="n">
        <v>0.08</v>
      </c>
      <c r="AN1521" s="182" t="n">
        <v>0</v>
      </c>
    </row>
    <row r="1522">
      <c r="A1522" s="155" t="n">
        <v>46088</v>
      </c>
      <c r="B1522" s="156" t="inlineStr">
        <is>
          <t>NS</t>
        </is>
      </c>
      <c r="C1522" s="156" t="inlineStr">
        <is>
          <t>DT-529</t>
        </is>
      </c>
      <c r="D1522" s="156" t="inlineStr">
        <is>
          <t>SKT 105S</t>
        </is>
      </c>
      <c r="E1522" s="156" t="inlineStr">
        <is>
          <t>Hauler</t>
        </is>
      </c>
      <c r="F1522" s="156" t="inlineStr"/>
      <c r="G1522" s="182" t="n">
        <v>0</v>
      </c>
      <c r="H1522" s="182" t="n">
        <v>0</v>
      </c>
      <c r="I1522" s="182" t="n">
        <v>0</v>
      </c>
      <c r="J1522" s="182" t="n">
        <v>0</v>
      </c>
      <c r="K1522" s="182" t="n">
        <v>12</v>
      </c>
      <c r="L1522" s="182" t="n">
        <v>12</v>
      </c>
      <c r="M1522" s="182" t="n">
        <v>0</v>
      </c>
      <c r="N1522" s="182" t="n">
        <v>0</v>
      </c>
      <c r="O1522" s="183" t="n">
        <v>0</v>
      </c>
      <c r="P1522" s="183" t="n">
        <v>0</v>
      </c>
      <c r="Q1522" s="184" t="n">
        <v>0</v>
      </c>
      <c r="R1522" s="184" t="n">
        <v>0</v>
      </c>
      <c r="S1522" s="183" t="n">
        <v>0</v>
      </c>
      <c r="T1522" s="183" t="n">
        <v>0</v>
      </c>
      <c r="U1522" s="182" t="n">
        <v>7.05</v>
      </c>
      <c r="V1522" s="182" t="n">
        <v>4.87</v>
      </c>
      <c r="W1522" s="182" t="n">
        <v>0</v>
      </c>
      <c r="X1522" s="182" t="n">
        <v>0</v>
      </c>
      <c r="Y1522" s="182" t="n">
        <v>0</v>
      </c>
      <c r="Z1522" s="182" t="n">
        <v>0</v>
      </c>
      <c r="AA1522" s="182" t="n">
        <v>0</v>
      </c>
      <c r="AB1522" s="182" t="n">
        <v>0</v>
      </c>
      <c r="AC1522" s="182" t="n">
        <v>0</v>
      </c>
      <c r="AD1522" s="182" t="n">
        <v>0</v>
      </c>
      <c r="AE1522" s="182" t="n">
        <v>0</v>
      </c>
      <c r="AF1522" s="182" t="n">
        <v>0</v>
      </c>
      <c r="AG1522" s="182" t="n">
        <v>0</v>
      </c>
      <c r="AH1522" s="182" t="n">
        <v>0</v>
      </c>
      <c r="AI1522" s="182" t="n">
        <v>0</v>
      </c>
      <c r="AJ1522" s="182" t="n">
        <v>0</v>
      </c>
      <c r="AK1522" s="182" t="n">
        <v>0</v>
      </c>
      <c r="AL1522" s="182" t="n">
        <v>0</v>
      </c>
      <c r="AM1522" s="182" t="n">
        <v>0.08</v>
      </c>
      <c r="AN1522" s="182" t="n">
        <v>0</v>
      </c>
    </row>
    <row r="1523">
      <c r="A1523" s="155" t="n">
        <v>46088</v>
      </c>
      <c r="B1523" s="156" t="inlineStr">
        <is>
          <t>NS</t>
        </is>
      </c>
      <c r="C1523" s="156" t="inlineStr">
        <is>
          <t>DT-520</t>
        </is>
      </c>
      <c r="D1523" s="156" t="inlineStr">
        <is>
          <t>SKT 105S</t>
        </is>
      </c>
      <c r="E1523" s="156" t="inlineStr">
        <is>
          <t>Hauler</t>
        </is>
      </c>
      <c r="F1523" s="156" t="inlineStr"/>
      <c r="G1523" s="182" t="n">
        <v>0</v>
      </c>
      <c r="H1523" s="182" t="n">
        <v>0</v>
      </c>
      <c r="I1523" s="182" t="n">
        <v>0</v>
      </c>
      <c r="J1523" s="182" t="n">
        <v>0</v>
      </c>
      <c r="K1523" s="182" t="n">
        <v>12</v>
      </c>
      <c r="L1523" s="182" t="n">
        <v>12</v>
      </c>
      <c r="M1523" s="182" t="n">
        <v>0</v>
      </c>
      <c r="N1523" s="182" t="n">
        <v>0</v>
      </c>
      <c r="O1523" s="183" t="n">
        <v>0</v>
      </c>
      <c r="P1523" s="183" t="n">
        <v>0</v>
      </c>
      <c r="Q1523" s="184" t="n">
        <v>0</v>
      </c>
      <c r="R1523" s="184" t="n">
        <v>0</v>
      </c>
      <c r="S1523" s="183" t="n">
        <v>0</v>
      </c>
      <c r="T1523" s="183" t="n">
        <v>0</v>
      </c>
      <c r="U1523" s="182" t="n">
        <v>7.05</v>
      </c>
      <c r="V1523" s="182" t="n">
        <v>4.87</v>
      </c>
      <c r="W1523" s="182" t="n">
        <v>0</v>
      </c>
      <c r="X1523" s="182" t="n">
        <v>0</v>
      </c>
      <c r="Y1523" s="182" t="n">
        <v>0</v>
      </c>
      <c r="Z1523" s="182" t="n">
        <v>0</v>
      </c>
      <c r="AA1523" s="182" t="n">
        <v>0</v>
      </c>
      <c r="AB1523" s="182" t="n">
        <v>0</v>
      </c>
      <c r="AC1523" s="182" t="n">
        <v>0</v>
      </c>
      <c r="AD1523" s="182" t="n">
        <v>0</v>
      </c>
      <c r="AE1523" s="182" t="n">
        <v>0</v>
      </c>
      <c r="AF1523" s="182" t="n">
        <v>0</v>
      </c>
      <c r="AG1523" s="182" t="n">
        <v>0</v>
      </c>
      <c r="AH1523" s="182" t="n">
        <v>0</v>
      </c>
      <c r="AI1523" s="182" t="n">
        <v>0</v>
      </c>
      <c r="AJ1523" s="182" t="n">
        <v>0</v>
      </c>
      <c r="AK1523" s="182" t="n">
        <v>0</v>
      </c>
      <c r="AL1523" s="182" t="n">
        <v>0</v>
      </c>
      <c r="AM1523" s="182" t="n">
        <v>0.08</v>
      </c>
      <c r="AN1523" s="182" t="n">
        <v>0</v>
      </c>
    </row>
    <row r="1524">
      <c r="A1524" s="155" t="n">
        <v>46088</v>
      </c>
      <c r="B1524" s="156" t="inlineStr">
        <is>
          <t>NS</t>
        </is>
      </c>
      <c r="C1524" s="156" t="inlineStr">
        <is>
          <t>DT-511</t>
        </is>
      </c>
      <c r="D1524" s="156" t="inlineStr">
        <is>
          <t>SKT 105S</t>
        </is>
      </c>
      <c r="E1524" s="156" t="inlineStr">
        <is>
          <t>Hauler</t>
        </is>
      </c>
      <c r="F1524" s="156" t="inlineStr"/>
      <c r="G1524" s="182" t="n">
        <v>0</v>
      </c>
      <c r="H1524" s="182" t="n">
        <v>0</v>
      </c>
      <c r="I1524" s="182" t="n">
        <v>12</v>
      </c>
      <c r="J1524" s="182" t="n">
        <v>12</v>
      </c>
      <c r="K1524" s="182" t="n">
        <v>0</v>
      </c>
      <c r="L1524" s="182" t="n">
        <v>12</v>
      </c>
      <c r="M1524" s="182" t="n">
        <v>0</v>
      </c>
      <c r="N1524" s="182" t="n">
        <v>0</v>
      </c>
      <c r="O1524" s="183" t="n">
        <v>0</v>
      </c>
      <c r="P1524" s="183" t="n">
        <v>0</v>
      </c>
      <c r="Q1524" s="184" t="n">
        <v>0</v>
      </c>
      <c r="R1524" s="184" t="n">
        <v>0</v>
      </c>
      <c r="S1524" s="183" t="n">
        <v>0</v>
      </c>
      <c r="T1524" s="183" t="n">
        <v>0</v>
      </c>
      <c r="U1524" s="182" t="n">
        <v>0</v>
      </c>
      <c r="V1524" s="182" t="n">
        <v>0</v>
      </c>
      <c r="W1524" s="182" t="n">
        <v>0</v>
      </c>
      <c r="X1524" s="182" t="n">
        <v>0</v>
      </c>
      <c r="Y1524" s="182" t="n">
        <v>0</v>
      </c>
      <c r="Z1524" s="182" t="n">
        <v>0</v>
      </c>
      <c r="AA1524" s="182" t="n">
        <v>0</v>
      </c>
      <c r="AB1524" s="182" t="n">
        <v>0</v>
      </c>
      <c r="AC1524" s="182" t="n">
        <v>0</v>
      </c>
      <c r="AD1524" s="182" t="n">
        <v>0</v>
      </c>
      <c r="AE1524" s="182" t="n">
        <v>0</v>
      </c>
      <c r="AF1524" s="182" t="n">
        <v>0</v>
      </c>
      <c r="AG1524" s="182" t="n">
        <v>0</v>
      </c>
      <c r="AH1524" s="182" t="n">
        <v>0</v>
      </c>
      <c r="AI1524" s="182" t="n">
        <v>0</v>
      </c>
      <c r="AJ1524" s="182" t="n">
        <v>0</v>
      </c>
      <c r="AK1524" s="182" t="n">
        <v>0</v>
      </c>
      <c r="AL1524" s="182" t="n">
        <v>0</v>
      </c>
      <c r="AM1524" s="182" t="n">
        <v>0</v>
      </c>
      <c r="AN1524" s="182" t="n">
        <v>0</v>
      </c>
    </row>
    <row r="1525">
      <c r="A1525" s="155" t="n">
        <v>46088</v>
      </c>
      <c r="B1525" s="156" t="inlineStr">
        <is>
          <t>NS</t>
        </is>
      </c>
      <c r="C1525" s="156" t="inlineStr">
        <is>
          <t>DT-509</t>
        </is>
      </c>
      <c r="D1525" s="156" t="inlineStr">
        <is>
          <t>SKT 105S</t>
        </is>
      </c>
      <c r="E1525" s="156" t="inlineStr">
        <is>
          <t>Hauler</t>
        </is>
      </c>
      <c r="F1525" s="156" t="inlineStr"/>
      <c r="G1525" s="182" t="n">
        <v>0</v>
      </c>
      <c r="H1525" s="182" t="n">
        <v>0</v>
      </c>
      <c r="I1525" s="182" t="n">
        <v>12</v>
      </c>
      <c r="J1525" s="182" t="n">
        <v>12</v>
      </c>
      <c r="K1525" s="182" t="n">
        <v>0</v>
      </c>
      <c r="L1525" s="182" t="n">
        <v>12</v>
      </c>
      <c r="M1525" s="182" t="n">
        <v>0</v>
      </c>
      <c r="N1525" s="182" t="n">
        <v>0</v>
      </c>
      <c r="O1525" s="183" t="n">
        <v>0</v>
      </c>
      <c r="P1525" s="183" t="n">
        <v>0</v>
      </c>
      <c r="Q1525" s="184" t="n">
        <v>0</v>
      </c>
      <c r="R1525" s="184" t="n">
        <v>0</v>
      </c>
      <c r="S1525" s="183" t="n">
        <v>0</v>
      </c>
      <c r="T1525" s="183" t="n">
        <v>0</v>
      </c>
      <c r="U1525" s="182" t="n">
        <v>0</v>
      </c>
      <c r="V1525" s="182" t="n">
        <v>0</v>
      </c>
      <c r="W1525" s="182" t="n">
        <v>0</v>
      </c>
      <c r="X1525" s="182" t="n">
        <v>0</v>
      </c>
      <c r="Y1525" s="182" t="n">
        <v>0</v>
      </c>
      <c r="Z1525" s="182" t="n">
        <v>0</v>
      </c>
      <c r="AA1525" s="182" t="n">
        <v>0</v>
      </c>
      <c r="AB1525" s="182" t="n">
        <v>0</v>
      </c>
      <c r="AC1525" s="182" t="n">
        <v>0</v>
      </c>
      <c r="AD1525" s="182" t="n">
        <v>0</v>
      </c>
      <c r="AE1525" s="182" t="n">
        <v>0</v>
      </c>
      <c r="AF1525" s="182" t="n">
        <v>0</v>
      </c>
      <c r="AG1525" s="182" t="n">
        <v>0</v>
      </c>
      <c r="AH1525" s="182" t="n">
        <v>0</v>
      </c>
      <c r="AI1525" s="182" t="n">
        <v>0</v>
      </c>
      <c r="AJ1525" s="182" t="n">
        <v>0</v>
      </c>
      <c r="AK1525" s="182" t="n">
        <v>0</v>
      </c>
      <c r="AL1525" s="182" t="n">
        <v>0</v>
      </c>
      <c r="AM1525" s="182" t="n">
        <v>0</v>
      </c>
      <c r="AN1525" s="182" t="n">
        <v>0</v>
      </c>
    </row>
    <row r="1526">
      <c r="A1526" s="155" t="n">
        <v>46088</v>
      </c>
      <c r="B1526" s="156" t="inlineStr">
        <is>
          <t>NS</t>
        </is>
      </c>
      <c r="C1526" s="156" t="inlineStr">
        <is>
          <t>DT-526</t>
        </is>
      </c>
      <c r="D1526" s="156" t="inlineStr">
        <is>
          <t>SKT 105S</t>
        </is>
      </c>
      <c r="E1526" s="156" t="inlineStr">
        <is>
          <t>Hauler</t>
        </is>
      </c>
      <c r="F1526" s="156" t="inlineStr"/>
      <c r="G1526" s="182" t="n">
        <v>0</v>
      </c>
      <c r="H1526" s="182" t="n">
        <v>0</v>
      </c>
      <c r="I1526" s="182" t="n">
        <v>0</v>
      </c>
      <c r="J1526" s="182" t="n">
        <v>0</v>
      </c>
      <c r="K1526" s="182" t="n">
        <v>12</v>
      </c>
      <c r="L1526" s="182" t="n">
        <v>12</v>
      </c>
      <c r="M1526" s="182" t="n">
        <v>0</v>
      </c>
      <c r="N1526" s="182" t="n">
        <v>0</v>
      </c>
      <c r="O1526" s="183" t="n">
        <v>0</v>
      </c>
      <c r="P1526" s="183" t="n">
        <v>0</v>
      </c>
      <c r="Q1526" s="184" t="n">
        <v>0</v>
      </c>
      <c r="R1526" s="184" t="n">
        <v>0</v>
      </c>
      <c r="S1526" s="183" t="n">
        <v>0</v>
      </c>
      <c r="T1526" s="183" t="n">
        <v>0</v>
      </c>
      <c r="U1526" s="182" t="n">
        <v>7.05</v>
      </c>
      <c r="V1526" s="182" t="n">
        <v>4.87</v>
      </c>
      <c r="W1526" s="182" t="n">
        <v>0</v>
      </c>
      <c r="X1526" s="182" t="n">
        <v>0</v>
      </c>
      <c r="Y1526" s="182" t="n">
        <v>0</v>
      </c>
      <c r="Z1526" s="182" t="n">
        <v>0</v>
      </c>
      <c r="AA1526" s="182" t="n">
        <v>0</v>
      </c>
      <c r="AB1526" s="182" t="n">
        <v>0</v>
      </c>
      <c r="AC1526" s="182" t="n">
        <v>0</v>
      </c>
      <c r="AD1526" s="182" t="n">
        <v>0</v>
      </c>
      <c r="AE1526" s="182" t="n">
        <v>0</v>
      </c>
      <c r="AF1526" s="182" t="n">
        <v>0</v>
      </c>
      <c r="AG1526" s="182" t="n">
        <v>0</v>
      </c>
      <c r="AH1526" s="182" t="n">
        <v>0</v>
      </c>
      <c r="AI1526" s="182" t="n">
        <v>0</v>
      </c>
      <c r="AJ1526" s="182" t="n">
        <v>0</v>
      </c>
      <c r="AK1526" s="182" t="n">
        <v>0</v>
      </c>
      <c r="AL1526" s="182" t="n">
        <v>0</v>
      </c>
      <c r="AM1526" s="182" t="n">
        <v>0.08</v>
      </c>
      <c r="AN1526" s="182" t="n">
        <v>0</v>
      </c>
    </row>
    <row r="1527">
      <c r="A1527" s="155" t="n">
        <v>46088</v>
      </c>
      <c r="B1527" s="156" t="inlineStr">
        <is>
          <t>NS</t>
        </is>
      </c>
      <c r="C1527" s="156" t="inlineStr">
        <is>
          <t>DT-508</t>
        </is>
      </c>
      <c r="D1527" s="156" t="inlineStr">
        <is>
          <t>SKT 105S</t>
        </is>
      </c>
      <c r="E1527" s="156" t="inlineStr">
        <is>
          <t>Hauler</t>
        </is>
      </c>
      <c r="F1527" s="156" t="inlineStr"/>
      <c r="G1527" s="182" t="n">
        <v>0</v>
      </c>
      <c r="H1527" s="182" t="n">
        <v>0</v>
      </c>
      <c r="I1527" s="182" t="n">
        <v>0.08</v>
      </c>
      <c r="J1527" s="182" t="n">
        <v>0.08</v>
      </c>
      <c r="K1527" s="182" t="n">
        <v>11.92</v>
      </c>
      <c r="L1527" s="182" t="n">
        <v>12</v>
      </c>
      <c r="M1527" s="182" t="n">
        <v>0</v>
      </c>
      <c r="N1527" s="182" t="n">
        <v>0</v>
      </c>
      <c r="O1527" s="183" t="n">
        <v>0</v>
      </c>
      <c r="P1527" s="183" t="n">
        <v>0</v>
      </c>
      <c r="Q1527" s="184" t="n">
        <v>0</v>
      </c>
      <c r="R1527" s="184" t="n">
        <v>0</v>
      </c>
      <c r="S1527" s="183" t="n">
        <v>0</v>
      </c>
      <c r="T1527" s="183" t="n">
        <v>0</v>
      </c>
      <c r="U1527" s="182" t="n">
        <v>7.05</v>
      </c>
      <c r="V1527" s="182" t="n">
        <v>4.78</v>
      </c>
      <c r="W1527" s="182" t="n">
        <v>0</v>
      </c>
      <c r="X1527" s="182" t="n">
        <v>0</v>
      </c>
      <c r="Y1527" s="182" t="n">
        <v>0</v>
      </c>
      <c r="Z1527" s="182" t="n">
        <v>0</v>
      </c>
      <c r="AA1527" s="182" t="n">
        <v>0</v>
      </c>
      <c r="AB1527" s="182" t="n">
        <v>0</v>
      </c>
      <c r="AC1527" s="182" t="n">
        <v>0</v>
      </c>
      <c r="AD1527" s="182" t="n">
        <v>0</v>
      </c>
      <c r="AE1527" s="182" t="n">
        <v>0</v>
      </c>
      <c r="AF1527" s="182" t="n">
        <v>0</v>
      </c>
      <c r="AG1527" s="182" t="n">
        <v>0</v>
      </c>
      <c r="AH1527" s="182" t="n">
        <v>0</v>
      </c>
      <c r="AI1527" s="182" t="n">
        <v>0</v>
      </c>
      <c r="AJ1527" s="182" t="n">
        <v>0</v>
      </c>
      <c r="AK1527" s="182" t="n">
        <v>0</v>
      </c>
      <c r="AL1527" s="182" t="n">
        <v>0</v>
      </c>
      <c r="AM1527" s="182" t="n">
        <v>0.08</v>
      </c>
      <c r="AN1527" s="182" t="n">
        <v>0</v>
      </c>
    </row>
    <row r="1528">
      <c r="A1528" s="155" t="n">
        <v>46088</v>
      </c>
      <c r="B1528" s="156" t="inlineStr">
        <is>
          <t>NS</t>
        </is>
      </c>
      <c r="C1528" s="156" t="inlineStr">
        <is>
          <t>DT-515</t>
        </is>
      </c>
      <c r="D1528" s="156" t="inlineStr">
        <is>
          <t>SKT 105S</t>
        </is>
      </c>
      <c r="E1528" s="156" t="inlineStr">
        <is>
          <t>Hauler</t>
        </is>
      </c>
      <c r="F1528" s="156" t="inlineStr"/>
      <c r="G1528" s="182" t="n">
        <v>0</v>
      </c>
      <c r="H1528" s="182" t="n">
        <v>0</v>
      </c>
      <c r="I1528" s="182" t="n">
        <v>0</v>
      </c>
      <c r="J1528" s="182" t="n">
        <v>0</v>
      </c>
      <c r="K1528" s="182" t="n">
        <v>12</v>
      </c>
      <c r="L1528" s="182" t="n">
        <v>12</v>
      </c>
      <c r="M1528" s="182" t="n">
        <v>0</v>
      </c>
      <c r="N1528" s="182" t="n">
        <v>0</v>
      </c>
      <c r="O1528" s="183" t="n">
        <v>0</v>
      </c>
      <c r="P1528" s="183" t="n">
        <v>0</v>
      </c>
      <c r="Q1528" s="184" t="n">
        <v>0</v>
      </c>
      <c r="R1528" s="184" t="n">
        <v>0</v>
      </c>
      <c r="S1528" s="183" t="n">
        <v>0</v>
      </c>
      <c r="T1528" s="183" t="n">
        <v>0</v>
      </c>
      <c r="U1528" s="182" t="n">
        <v>7.05</v>
      </c>
      <c r="V1528" s="182" t="n">
        <v>4.87</v>
      </c>
      <c r="W1528" s="182" t="n">
        <v>0</v>
      </c>
      <c r="X1528" s="182" t="n">
        <v>0</v>
      </c>
      <c r="Y1528" s="182" t="n">
        <v>0</v>
      </c>
      <c r="Z1528" s="182" t="n">
        <v>0</v>
      </c>
      <c r="AA1528" s="182" t="n">
        <v>0</v>
      </c>
      <c r="AB1528" s="182" t="n">
        <v>0</v>
      </c>
      <c r="AC1528" s="182" t="n">
        <v>0</v>
      </c>
      <c r="AD1528" s="182" t="n">
        <v>0</v>
      </c>
      <c r="AE1528" s="182" t="n">
        <v>0</v>
      </c>
      <c r="AF1528" s="182" t="n">
        <v>0</v>
      </c>
      <c r="AG1528" s="182" t="n">
        <v>0</v>
      </c>
      <c r="AH1528" s="182" t="n">
        <v>0</v>
      </c>
      <c r="AI1528" s="182" t="n">
        <v>0</v>
      </c>
      <c r="AJ1528" s="182" t="n">
        <v>0</v>
      </c>
      <c r="AK1528" s="182" t="n">
        <v>0</v>
      </c>
      <c r="AL1528" s="182" t="n">
        <v>0</v>
      </c>
      <c r="AM1528" s="182" t="n">
        <v>0.08</v>
      </c>
      <c r="AN1528" s="182" t="n">
        <v>0</v>
      </c>
    </row>
    <row r="1529">
      <c r="A1529" s="155" t="n">
        <v>46088</v>
      </c>
      <c r="B1529" s="156" t="inlineStr">
        <is>
          <t>NS</t>
        </is>
      </c>
      <c r="C1529" s="156" t="inlineStr">
        <is>
          <t>DT-524</t>
        </is>
      </c>
      <c r="D1529" s="156" t="inlineStr">
        <is>
          <t>SKT 105S</t>
        </is>
      </c>
      <c r="E1529" s="156" t="inlineStr">
        <is>
          <t>Hauler</t>
        </is>
      </c>
      <c r="F1529" s="156" t="inlineStr">
        <is>
          <t>Hauling OB</t>
        </is>
      </c>
      <c r="G1529" s="182" t="n">
        <v>1.9</v>
      </c>
      <c r="H1529" s="182" t="n">
        <v>0</v>
      </c>
      <c r="I1529" s="182" t="n">
        <v>0</v>
      </c>
      <c r="J1529" s="182" t="n">
        <v>0</v>
      </c>
      <c r="K1529" s="182" t="n">
        <v>10.1</v>
      </c>
      <c r="L1529" s="182" t="n">
        <v>12</v>
      </c>
      <c r="M1529" s="182" t="n">
        <v>1.9</v>
      </c>
      <c r="N1529" s="182" t="n">
        <v>0</v>
      </c>
      <c r="O1529" s="183" t="n">
        <v>4</v>
      </c>
      <c r="P1529" s="183" t="n">
        <v>0</v>
      </c>
      <c r="Q1529" s="184" t="n">
        <v>81.59999999999999</v>
      </c>
      <c r="R1529" s="184" t="n">
        <v>0</v>
      </c>
      <c r="S1529" s="183" t="n">
        <v>0</v>
      </c>
      <c r="T1529" s="183" t="n">
        <v>0</v>
      </c>
      <c r="U1529" s="182" t="n">
        <v>6.78</v>
      </c>
      <c r="V1529" s="182" t="n">
        <v>3.24</v>
      </c>
      <c r="W1529" s="182" t="n">
        <v>0</v>
      </c>
      <c r="X1529" s="182" t="n">
        <v>0</v>
      </c>
      <c r="Y1529" s="182" t="n">
        <v>0</v>
      </c>
      <c r="Z1529" s="182" t="n">
        <v>0</v>
      </c>
      <c r="AA1529" s="182" t="n">
        <v>0</v>
      </c>
      <c r="AB1529" s="182" t="n">
        <v>0</v>
      </c>
      <c r="AC1529" s="182" t="n">
        <v>0</v>
      </c>
      <c r="AD1529" s="182" t="n">
        <v>0</v>
      </c>
      <c r="AE1529" s="182" t="n">
        <v>0</v>
      </c>
      <c r="AF1529" s="182" t="n">
        <v>0</v>
      </c>
      <c r="AG1529" s="182" t="n">
        <v>0</v>
      </c>
      <c r="AH1529" s="182" t="n">
        <v>0</v>
      </c>
      <c r="AI1529" s="182" t="n">
        <v>0</v>
      </c>
      <c r="AJ1529" s="182" t="n">
        <v>0</v>
      </c>
      <c r="AK1529" s="182" t="n">
        <v>0</v>
      </c>
      <c r="AL1529" s="182" t="n">
        <v>0</v>
      </c>
      <c r="AM1529" s="182" t="n">
        <v>0.08</v>
      </c>
      <c r="AN1529" s="182" t="n">
        <v>0</v>
      </c>
    </row>
    <row r="1530">
      <c r="A1530" s="155" t="n">
        <v>46088</v>
      </c>
      <c r="B1530" s="156" t="inlineStr">
        <is>
          <t>NS</t>
        </is>
      </c>
      <c r="C1530" s="156" t="inlineStr">
        <is>
          <t>DT-341</t>
        </is>
      </c>
      <c r="D1530" s="156" t="inlineStr">
        <is>
          <t>SYZ324C-8W</t>
        </is>
      </c>
      <c r="E1530" s="156" t="inlineStr">
        <is>
          <t>Hauler</t>
        </is>
      </c>
      <c r="F1530" s="156" t="inlineStr"/>
      <c r="G1530" s="182" t="n">
        <v>0</v>
      </c>
      <c r="H1530" s="182" t="n">
        <v>0</v>
      </c>
      <c r="I1530" s="182" t="n">
        <v>0</v>
      </c>
      <c r="J1530" s="182" t="n">
        <v>0</v>
      </c>
      <c r="K1530" s="182" t="n">
        <v>12</v>
      </c>
      <c r="L1530" s="182" t="n">
        <v>12</v>
      </c>
      <c r="M1530" s="182" t="n">
        <v>0</v>
      </c>
      <c r="N1530" s="182" t="n">
        <v>0</v>
      </c>
      <c r="O1530" s="183" t="n">
        <v>0</v>
      </c>
      <c r="P1530" s="183" t="n">
        <v>0</v>
      </c>
      <c r="Q1530" s="184" t="n">
        <v>0</v>
      </c>
      <c r="R1530" s="184" t="n">
        <v>0</v>
      </c>
      <c r="S1530" s="183" t="n">
        <v>0</v>
      </c>
      <c r="T1530" s="183" t="n">
        <v>0</v>
      </c>
      <c r="U1530" s="182" t="n">
        <v>0</v>
      </c>
      <c r="V1530" s="182" t="n">
        <v>0</v>
      </c>
      <c r="W1530" s="182" t="n">
        <v>0</v>
      </c>
      <c r="X1530" s="182" t="n">
        <v>1</v>
      </c>
      <c r="Y1530" s="182" t="n">
        <v>0</v>
      </c>
      <c r="Z1530" s="182" t="n">
        <v>0</v>
      </c>
      <c r="AA1530" s="182" t="n">
        <v>0</v>
      </c>
      <c r="AB1530" s="182" t="n">
        <v>0</v>
      </c>
      <c r="AC1530" s="182" t="n">
        <v>0</v>
      </c>
      <c r="AD1530" s="182" t="n">
        <v>0</v>
      </c>
      <c r="AE1530" s="182" t="n">
        <v>0</v>
      </c>
      <c r="AF1530" s="182" t="n">
        <v>0</v>
      </c>
      <c r="AG1530" s="182" t="n">
        <v>0</v>
      </c>
      <c r="AH1530" s="182" t="n">
        <v>0</v>
      </c>
      <c r="AI1530" s="182" t="n">
        <v>0</v>
      </c>
      <c r="AJ1530" s="182" t="n">
        <v>0</v>
      </c>
      <c r="AK1530" s="182" t="n">
        <v>10.92</v>
      </c>
      <c r="AL1530" s="182" t="n">
        <v>0</v>
      </c>
      <c r="AM1530" s="182" t="n">
        <v>0.08</v>
      </c>
      <c r="AN1530" s="182" t="n">
        <v>0</v>
      </c>
    </row>
    <row r="1531">
      <c r="A1531" s="155" t="n">
        <v>46088</v>
      </c>
      <c r="B1531" s="156" t="inlineStr">
        <is>
          <t>NS</t>
        </is>
      </c>
      <c r="C1531" s="156" t="inlineStr">
        <is>
          <t>DT-342</t>
        </is>
      </c>
      <c r="D1531" s="156" t="inlineStr">
        <is>
          <t>SYZ324C-8W</t>
        </is>
      </c>
      <c r="E1531" s="156" t="inlineStr">
        <is>
          <t>Hauler</t>
        </is>
      </c>
      <c r="F1531" s="156" t="inlineStr"/>
      <c r="G1531" s="182" t="n">
        <v>0</v>
      </c>
      <c r="H1531" s="182" t="n">
        <v>0</v>
      </c>
      <c r="I1531" s="182" t="n">
        <v>0</v>
      </c>
      <c r="J1531" s="182" t="n">
        <v>0</v>
      </c>
      <c r="K1531" s="182" t="n">
        <v>12</v>
      </c>
      <c r="L1531" s="182" t="n">
        <v>12</v>
      </c>
      <c r="M1531" s="182" t="n">
        <v>0</v>
      </c>
      <c r="N1531" s="182" t="n">
        <v>0</v>
      </c>
      <c r="O1531" s="183" t="n">
        <v>0</v>
      </c>
      <c r="P1531" s="183" t="n">
        <v>0</v>
      </c>
      <c r="Q1531" s="184" t="n">
        <v>0</v>
      </c>
      <c r="R1531" s="184" t="n">
        <v>0</v>
      </c>
      <c r="S1531" s="183" t="n">
        <v>0</v>
      </c>
      <c r="T1531" s="183" t="n">
        <v>0</v>
      </c>
      <c r="U1531" s="182" t="n">
        <v>0</v>
      </c>
      <c r="V1531" s="182" t="n">
        <v>0</v>
      </c>
      <c r="W1531" s="182" t="n">
        <v>0</v>
      </c>
      <c r="X1531" s="182" t="n">
        <v>1</v>
      </c>
      <c r="Y1531" s="182" t="n">
        <v>0</v>
      </c>
      <c r="Z1531" s="182" t="n">
        <v>0</v>
      </c>
      <c r="AA1531" s="182" t="n">
        <v>0</v>
      </c>
      <c r="AB1531" s="182" t="n">
        <v>0</v>
      </c>
      <c r="AC1531" s="182" t="n">
        <v>0</v>
      </c>
      <c r="AD1531" s="182" t="n">
        <v>0</v>
      </c>
      <c r="AE1531" s="182" t="n">
        <v>0</v>
      </c>
      <c r="AF1531" s="182" t="n">
        <v>0</v>
      </c>
      <c r="AG1531" s="182" t="n">
        <v>0</v>
      </c>
      <c r="AH1531" s="182" t="n">
        <v>0</v>
      </c>
      <c r="AI1531" s="182" t="n">
        <v>0</v>
      </c>
      <c r="AJ1531" s="182" t="n">
        <v>0</v>
      </c>
      <c r="AK1531" s="182" t="n">
        <v>10.92</v>
      </c>
      <c r="AL1531" s="182" t="n">
        <v>0</v>
      </c>
      <c r="AM1531" s="182" t="n">
        <v>0.08</v>
      </c>
      <c r="AN1531" s="182" t="n">
        <v>0</v>
      </c>
    </row>
    <row r="1532">
      <c r="A1532" s="155" t="n">
        <v>46088</v>
      </c>
      <c r="B1532" s="156" t="inlineStr">
        <is>
          <t>NS</t>
        </is>
      </c>
      <c r="C1532" s="156" t="inlineStr">
        <is>
          <t>HD-903</t>
        </is>
      </c>
      <c r="D1532" s="156" t="inlineStr">
        <is>
          <t>SRT 95C</t>
        </is>
      </c>
      <c r="E1532" s="156" t="inlineStr">
        <is>
          <t>Hauler</t>
        </is>
      </c>
      <c r="F1532" s="156" t="inlineStr"/>
      <c r="G1532" s="182" t="n">
        <v>0</v>
      </c>
      <c r="H1532" s="182" t="n">
        <v>0</v>
      </c>
      <c r="I1532" s="182" t="n">
        <v>0</v>
      </c>
      <c r="J1532" s="182" t="n">
        <v>0</v>
      </c>
      <c r="K1532" s="182" t="n">
        <v>12</v>
      </c>
      <c r="L1532" s="182" t="n">
        <v>12</v>
      </c>
      <c r="M1532" s="182" t="n">
        <v>0</v>
      </c>
      <c r="N1532" s="182" t="n">
        <v>0</v>
      </c>
      <c r="O1532" s="183" t="n">
        <v>0</v>
      </c>
      <c r="P1532" s="183" t="n">
        <v>0</v>
      </c>
      <c r="Q1532" s="184" t="n">
        <v>0</v>
      </c>
      <c r="R1532" s="184" t="n">
        <v>0</v>
      </c>
      <c r="S1532" s="183" t="n">
        <v>0</v>
      </c>
      <c r="T1532" s="183" t="n">
        <v>0</v>
      </c>
      <c r="U1532" s="182" t="n">
        <v>7.05</v>
      </c>
      <c r="V1532" s="182" t="n">
        <v>4.87</v>
      </c>
      <c r="W1532" s="182" t="n">
        <v>0</v>
      </c>
      <c r="X1532" s="182" t="n">
        <v>0</v>
      </c>
      <c r="Y1532" s="182" t="n">
        <v>0</v>
      </c>
      <c r="Z1532" s="182" t="n">
        <v>0</v>
      </c>
      <c r="AA1532" s="182" t="n">
        <v>0</v>
      </c>
      <c r="AB1532" s="182" t="n">
        <v>0</v>
      </c>
      <c r="AC1532" s="182" t="n">
        <v>0</v>
      </c>
      <c r="AD1532" s="182" t="n">
        <v>0</v>
      </c>
      <c r="AE1532" s="182" t="n">
        <v>0</v>
      </c>
      <c r="AF1532" s="182" t="n">
        <v>0</v>
      </c>
      <c r="AG1532" s="182" t="n">
        <v>0</v>
      </c>
      <c r="AH1532" s="182" t="n">
        <v>0</v>
      </c>
      <c r="AI1532" s="182" t="n">
        <v>0</v>
      </c>
      <c r="AJ1532" s="182" t="n">
        <v>0</v>
      </c>
      <c r="AK1532" s="182" t="n">
        <v>0</v>
      </c>
      <c r="AL1532" s="182" t="n">
        <v>0</v>
      </c>
      <c r="AM1532" s="182" t="n">
        <v>0.08</v>
      </c>
      <c r="AN1532" s="182" t="n">
        <v>0</v>
      </c>
    </row>
    <row r="1533">
      <c r="A1533" s="155" t="n">
        <v>46088</v>
      </c>
      <c r="B1533" s="156" t="inlineStr">
        <is>
          <t>NS</t>
        </is>
      </c>
      <c r="C1533" s="156" t="inlineStr">
        <is>
          <t>HD-905</t>
        </is>
      </c>
      <c r="D1533" s="156" t="inlineStr">
        <is>
          <t>SRT 95C</t>
        </is>
      </c>
      <c r="E1533" s="156" t="inlineStr">
        <is>
          <t>Hauler</t>
        </is>
      </c>
      <c r="F1533" s="156" t="inlineStr"/>
      <c r="G1533" s="182" t="n">
        <v>0</v>
      </c>
      <c r="H1533" s="182" t="n">
        <v>0</v>
      </c>
      <c r="I1533" s="182" t="n">
        <v>0</v>
      </c>
      <c r="J1533" s="182" t="n">
        <v>0</v>
      </c>
      <c r="K1533" s="182" t="n">
        <v>12</v>
      </c>
      <c r="L1533" s="182" t="n">
        <v>12</v>
      </c>
      <c r="M1533" s="182" t="n">
        <v>0</v>
      </c>
      <c r="N1533" s="182" t="n">
        <v>0</v>
      </c>
      <c r="O1533" s="183" t="n">
        <v>0</v>
      </c>
      <c r="P1533" s="183" t="n">
        <v>0</v>
      </c>
      <c r="Q1533" s="184" t="n">
        <v>0</v>
      </c>
      <c r="R1533" s="184" t="n">
        <v>0</v>
      </c>
      <c r="S1533" s="183" t="n">
        <v>0</v>
      </c>
      <c r="T1533" s="183" t="n">
        <v>0</v>
      </c>
      <c r="U1533" s="182" t="n">
        <v>7.05</v>
      </c>
      <c r="V1533" s="182" t="n">
        <v>4.87</v>
      </c>
      <c r="W1533" s="182" t="n">
        <v>0</v>
      </c>
      <c r="X1533" s="182" t="n">
        <v>0</v>
      </c>
      <c r="Y1533" s="182" t="n">
        <v>0</v>
      </c>
      <c r="Z1533" s="182" t="n">
        <v>0</v>
      </c>
      <c r="AA1533" s="182" t="n">
        <v>0</v>
      </c>
      <c r="AB1533" s="182" t="n">
        <v>0</v>
      </c>
      <c r="AC1533" s="182" t="n">
        <v>0</v>
      </c>
      <c r="AD1533" s="182" t="n">
        <v>0</v>
      </c>
      <c r="AE1533" s="182" t="n">
        <v>0</v>
      </c>
      <c r="AF1533" s="182" t="n">
        <v>0</v>
      </c>
      <c r="AG1533" s="182" t="n">
        <v>0</v>
      </c>
      <c r="AH1533" s="182" t="n">
        <v>0</v>
      </c>
      <c r="AI1533" s="182" t="n">
        <v>0</v>
      </c>
      <c r="AJ1533" s="182" t="n">
        <v>0</v>
      </c>
      <c r="AK1533" s="182" t="n">
        <v>0</v>
      </c>
      <c r="AL1533" s="182" t="n">
        <v>0</v>
      </c>
      <c r="AM1533" s="182" t="n">
        <v>0.08</v>
      </c>
      <c r="AN1533" s="182" t="n">
        <v>0</v>
      </c>
    </row>
    <row r="1534">
      <c r="A1534" s="155" t="n">
        <v>46088</v>
      </c>
      <c r="B1534" s="156" t="inlineStr">
        <is>
          <t>NS</t>
        </is>
      </c>
      <c r="C1534" s="156" t="inlineStr">
        <is>
          <t>HD-901</t>
        </is>
      </c>
      <c r="D1534" s="156" t="inlineStr">
        <is>
          <t>SRT 95C</t>
        </is>
      </c>
      <c r="E1534" s="156" t="inlineStr">
        <is>
          <t>Hauler</t>
        </is>
      </c>
      <c r="F1534" s="156" t="inlineStr"/>
      <c r="G1534" s="182" t="n">
        <v>0</v>
      </c>
      <c r="H1534" s="182" t="n">
        <v>0</v>
      </c>
      <c r="I1534" s="182" t="n">
        <v>0</v>
      </c>
      <c r="J1534" s="182" t="n">
        <v>0</v>
      </c>
      <c r="K1534" s="182" t="n">
        <v>12</v>
      </c>
      <c r="L1534" s="182" t="n">
        <v>12</v>
      </c>
      <c r="M1534" s="182" t="n">
        <v>0</v>
      </c>
      <c r="N1534" s="182" t="n">
        <v>0</v>
      </c>
      <c r="O1534" s="183" t="n">
        <v>0</v>
      </c>
      <c r="P1534" s="183" t="n">
        <v>0</v>
      </c>
      <c r="Q1534" s="184" t="n">
        <v>0</v>
      </c>
      <c r="R1534" s="184" t="n">
        <v>0</v>
      </c>
      <c r="S1534" s="183" t="n">
        <v>0</v>
      </c>
      <c r="T1534" s="183" t="n">
        <v>0</v>
      </c>
      <c r="U1534" s="182" t="n">
        <v>7.05</v>
      </c>
      <c r="V1534" s="182" t="n">
        <v>4.87</v>
      </c>
      <c r="W1534" s="182" t="n">
        <v>0</v>
      </c>
      <c r="X1534" s="182" t="n">
        <v>0</v>
      </c>
      <c r="Y1534" s="182" t="n">
        <v>0</v>
      </c>
      <c r="Z1534" s="182" t="n">
        <v>0</v>
      </c>
      <c r="AA1534" s="182" t="n">
        <v>0</v>
      </c>
      <c r="AB1534" s="182" t="n">
        <v>0</v>
      </c>
      <c r="AC1534" s="182" t="n">
        <v>0</v>
      </c>
      <c r="AD1534" s="182" t="n">
        <v>0</v>
      </c>
      <c r="AE1534" s="182" t="n">
        <v>0</v>
      </c>
      <c r="AF1534" s="182" t="n">
        <v>0</v>
      </c>
      <c r="AG1534" s="182" t="n">
        <v>0</v>
      </c>
      <c r="AH1534" s="182" t="n">
        <v>0</v>
      </c>
      <c r="AI1534" s="182" t="n">
        <v>0</v>
      </c>
      <c r="AJ1534" s="182" t="n">
        <v>0</v>
      </c>
      <c r="AK1534" s="182" t="n">
        <v>0</v>
      </c>
      <c r="AL1534" s="182" t="n">
        <v>0</v>
      </c>
      <c r="AM1534" s="182" t="n">
        <v>0.08</v>
      </c>
      <c r="AN1534" s="182" t="n">
        <v>0</v>
      </c>
    </row>
    <row r="1535">
      <c r="A1535" s="155" t="n">
        <v>46088</v>
      </c>
      <c r="B1535" s="156" t="inlineStr">
        <is>
          <t>NS</t>
        </is>
      </c>
      <c r="C1535" s="156" t="inlineStr">
        <is>
          <t>HD-904</t>
        </is>
      </c>
      <c r="D1535" s="156" t="inlineStr">
        <is>
          <t>SRT 95C</t>
        </is>
      </c>
      <c r="E1535" s="156" t="inlineStr">
        <is>
          <t>Hauler</t>
        </is>
      </c>
      <c r="F1535" s="156" t="inlineStr"/>
      <c r="G1535" s="182" t="n">
        <v>0</v>
      </c>
      <c r="H1535" s="182" t="n">
        <v>0</v>
      </c>
      <c r="I1535" s="182" t="n">
        <v>0</v>
      </c>
      <c r="J1535" s="182" t="n">
        <v>0</v>
      </c>
      <c r="K1535" s="182" t="n">
        <v>12</v>
      </c>
      <c r="L1535" s="182" t="n">
        <v>12</v>
      </c>
      <c r="M1535" s="182" t="n">
        <v>0</v>
      </c>
      <c r="N1535" s="182" t="n">
        <v>0</v>
      </c>
      <c r="O1535" s="183" t="n">
        <v>0</v>
      </c>
      <c r="P1535" s="183" t="n">
        <v>0</v>
      </c>
      <c r="Q1535" s="184" t="n">
        <v>0</v>
      </c>
      <c r="R1535" s="184" t="n">
        <v>0</v>
      </c>
      <c r="S1535" s="183" t="n">
        <v>0</v>
      </c>
      <c r="T1535" s="183" t="n">
        <v>0</v>
      </c>
      <c r="U1535" s="182" t="n">
        <v>7.05</v>
      </c>
      <c r="V1535" s="182" t="n">
        <v>4.87</v>
      </c>
      <c r="W1535" s="182" t="n">
        <v>0</v>
      </c>
      <c r="X1535" s="182" t="n">
        <v>0</v>
      </c>
      <c r="Y1535" s="182" t="n">
        <v>0</v>
      </c>
      <c r="Z1535" s="182" t="n">
        <v>0</v>
      </c>
      <c r="AA1535" s="182" t="n">
        <v>0</v>
      </c>
      <c r="AB1535" s="182" t="n">
        <v>0</v>
      </c>
      <c r="AC1535" s="182" t="n">
        <v>0</v>
      </c>
      <c r="AD1535" s="182" t="n">
        <v>0</v>
      </c>
      <c r="AE1535" s="182" t="n">
        <v>0</v>
      </c>
      <c r="AF1535" s="182" t="n">
        <v>0</v>
      </c>
      <c r="AG1535" s="182" t="n">
        <v>0</v>
      </c>
      <c r="AH1535" s="182" t="n">
        <v>0</v>
      </c>
      <c r="AI1535" s="182" t="n">
        <v>0</v>
      </c>
      <c r="AJ1535" s="182" t="n">
        <v>0</v>
      </c>
      <c r="AK1535" s="182" t="n">
        <v>0</v>
      </c>
      <c r="AL1535" s="182" t="n">
        <v>0</v>
      </c>
      <c r="AM1535" s="182" t="n">
        <v>0.08</v>
      </c>
      <c r="AN1535" s="182" t="n">
        <v>0</v>
      </c>
    </row>
    <row r="1536">
      <c r="A1536" s="155" t="n">
        <v>46088</v>
      </c>
      <c r="B1536" s="156" t="inlineStr">
        <is>
          <t>NS</t>
        </is>
      </c>
      <c r="C1536" s="156" t="inlineStr">
        <is>
          <t>HD-902</t>
        </is>
      </c>
      <c r="D1536" s="156" t="inlineStr">
        <is>
          <t>SRT 95C</t>
        </is>
      </c>
      <c r="E1536" s="156" t="inlineStr">
        <is>
          <t>Hauler</t>
        </is>
      </c>
      <c r="F1536" s="156" t="inlineStr"/>
      <c r="G1536" s="182" t="n">
        <v>0</v>
      </c>
      <c r="H1536" s="182" t="n">
        <v>0</v>
      </c>
      <c r="I1536" s="182" t="n">
        <v>0</v>
      </c>
      <c r="J1536" s="182" t="n">
        <v>0</v>
      </c>
      <c r="K1536" s="182" t="n">
        <v>12</v>
      </c>
      <c r="L1536" s="182" t="n">
        <v>12</v>
      </c>
      <c r="M1536" s="182" t="n">
        <v>0</v>
      </c>
      <c r="N1536" s="182" t="n">
        <v>0</v>
      </c>
      <c r="O1536" s="183" t="n">
        <v>0</v>
      </c>
      <c r="P1536" s="183" t="n">
        <v>0</v>
      </c>
      <c r="Q1536" s="184" t="n">
        <v>0</v>
      </c>
      <c r="R1536" s="184" t="n">
        <v>0</v>
      </c>
      <c r="S1536" s="183" t="n">
        <v>0</v>
      </c>
      <c r="T1536" s="183" t="n">
        <v>0</v>
      </c>
      <c r="U1536" s="182" t="n">
        <v>7.05</v>
      </c>
      <c r="V1536" s="182" t="n">
        <v>4.87</v>
      </c>
      <c r="W1536" s="182" t="n">
        <v>0</v>
      </c>
      <c r="X1536" s="182" t="n">
        <v>0</v>
      </c>
      <c r="Y1536" s="182" t="n">
        <v>0</v>
      </c>
      <c r="Z1536" s="182" t="n">
        <v>0</v>
      </c>
      <c r="AA1536" s="182" t="n">
        <v>0</v>
      </c>
      <c r="AB1536" s="182" t="n">
        <v>0</v>
      </c>
      <c r="AC1536" s="182" t="n">
        <v>0</v>
      </c>
      <c r="AD1536" s="182" t="n">
        <v>0</v>
      </c>
      <c r="AE1536" s="182" t="n">
        <v>0</v>
      </c>
      <c r="AF1536" s="182" t="n">
        <v>0</v>
      </c>
      <c r="AG1536" s="182" t="n">
        <v>0</v>
      </c>
      <c r="AH1536" s="182" t="n">
        <v>0</v>
      </c>
      <c r="AI1536" s="182" t="n">
        <v>0</v>
      </c>
      <c r="AJ1536" s="182" t="n">
        <v>0</v>
      </c>
      <c r="AK1536" s="182" t="n">
        <v>0</v>
      </c>
      <c r="AL1536" s="182" t="n">
        <v>0</v>
      </c>
      <c r="AM1536" s="182" t="n">
        <v>0.08</v>
      </c>
      <c r="AN1536" s="182" t="n">
        <v>0</v>
      </c>
    </row>
    <row r="1537">
      <c r="A1537" s="155" t="n">
        <v>46088</v>
      </c>
      <c r="B1537" s="156" t="inlineStr">
        <is>
          <t>NS</t>
        </is>
      </c>
      <c r="C1537" s="156" t="inlineStr">
        <is>
          <t>WL-025</t>
        </is>
      </c>
      <c r="D1537" s="156" t="inlineStr">
        <is>
          <t>SANY - Loader</t>
        </is>
      </c>
      <c r="E1537" s="156" t="inlineStr">
        <is>
          <t>Loader</t>
        </is>
      </c>
      <c r="F1537" s="156" t="inlineStr"/>
      <c r="G1537" s="182" t="n">
        <v>0</v>
      </c>
      <c r="H1537" s="182" t="n">
        <v>0</v>
      </c>
      <c r="I1537" s="182" t="n">
        <v>0</v>
      </c>
      <c r="J1537" s="182" t="n">
        <v>0</v>
      </c>
      <c r="K1537" s="182" t="n">
        <v>12</v>
      </c>
      <c r="L1537" s="182" t="n">
        <v>12</v>
      </c>
      <c r="M1537" s="182" t="n">
        <v>0</v>
      </c>
      <c r="N1537" s="182" t="n">
        <v>0</v>
      </c>
      <c r="O1537" s="183" t="n">
        <v>0</v>
      </c>
      <c r="P1537" s="183" t="n">
        <v>0</v>
      </c>
      <c r="Q1537" s="184" t="n">
        <v>0</v>
      </c>
      <c r="R1537" s="184" t="n">
        <v>0</v>
      </c>
      <c r="S1537" s="183" t="n">
        <v>0</v>
      </c>
      <c r="T1537" s="183" t="n">
        <v>0</v>
      </c>
      <c r="U1537" s="182" t="n">
        <v>0</v>
      </c>
      <c r="V1537" s="182" t="n">
        <v>0</v>
      </c>
      <c r="W1537" s="182" t="n">
        <v>0</v>
      </c>
      <c r="X1537" s="182" t="n">
        <v>1</v>
      </c>
      <c r="Y1537" s="182" t="n">
        <v>0</v>
      </c>
      <c r="Z1537" s="182" t="n">
        <v>0</v>
      </c>
      <c r="AA1537" s="182" t="n">
        <v>0</v>
      </c>
      <c r="AB1537" s="182" t="n">
        <v>0</v>
      </c>
      <c r="AC1537" s="182" t="n">
        <v>0</v>
      </c>
      <c r="AD1537" s="182" t="n">
        <v>0</v>
      </c>
      <c r="AE1537" s="182" t="n">
        <v>0</v>
      </c>
      <c r="AF1537" s="182" t="n">
        <v>0</v>
      </c>
      <c r="AG1537" s="182" t="n">
        <v>0</v>
      </c>
      <c r="AH1537" s="182" t="n">
        <v>0</v>
      </c>
      <c r="AI1537" s="182" t="n">
        <v>0</v>
      </c>
      <c r="AJ1537" s="182" t="n">
        <v>0</v>
      </c>
      <c r="AK1537" s="182" t="n">
        <v>10.92</v>
      </c>
      <c r="AL1537" s="182" t="n">
        <v>0</v>
      </c>
      <c r="AM1537" s="182" t="n">
        <v>0.08</v>
      </c>
      <c r="AN1537" s="182" t="n">
        <v>0</v>
      </c>
    </row>
    <row r="1538">
      <c r="A1538" s="155" t="n">
        <v>46088</v>
      </c>
      <c r="B1538" s="156" t="inlineStr">
        <is>
          <t>NS</t>
        </is>
      </c>
      <c r="C1538" s="156" t="inlineStr">
        <is>
          <t>WL-023</t>
        </is>
      </c>
      <c r="D1538" s="156" t="inlineStr">
        <is>
          <t>SANY - Loader</t>
        </is>
      </c>
      <c r="E1538" s="156" t="inlineStr">
        <is>
          <t>Loader</t>
        </is>
      </c>
      <c r="F1538" s="156" t="inlineStr">
        <is>
          <t>Trimming Coal di Jetty</t>
        </is>
      </c>
      <c r="G1538" s="182" t="n">
        <v>6.41</v>
      </c>
      <c r="H1538" s="182" t="n">
        <v>0</v>
      </c>
      <c r="I1538" s="182" t="n">
        <v>0</v>
      </c>
      <c r="J1538" s="182" t="n">
        <v>0</v>
      </c>
      <c r="K1538" s="182" t="n">
        <v>5.59</v>
      </c>
      <c r="L1538" s="182" t="n">
        <v>12</v>
      </c>
      <c r="M1538" s="182" t="n">
        <v>0</v>
      </c>
      <c r="N1538" s="182" t="n">
        <v>0</v>
      </c>
      <c r="O1538" s="183" t="n">
        <v>0</v>
      </c>
      <c r="P1538" s="183" t="n">
        <v>0</v>
      </c>
      <c r="Q1538" s="184" t="n">
        <v>0</v>
      </c>
      <c r="R1538" s="184" t="n">
        <v>0</v>
      </c>
      <c r="S1538" s="183" t="n">
        <v>0</v>
      </c>
      <c r="T1538" s="183" t="n">
        <v>0</v>
      </c>
      <c r="U1538" s="182" t="n">
        <v>0</v>
      </c>
      <c r="V1538" s="182" t="n">
        <v>0</v>
      </c>
      <c r="W1538" s="182" t="n">
        <v>0</v>
      </c>
      <c r="X1538" s="182" t="n">
        <v>0.96</v>
      </c>
      <c r="Y1538" s="182" t="n">
        <v>0</v>
      </c>
      <c r="Z1538" s="182" t="n">
        <v>0</v>
      </c>
      <c r="AA1538" s="182" t="n">
        <v>0</v>
      </c>
      <c r="AB1538" s="182" t="n">
        <v>0</v>
      </c>
      <c r="AC1538" s="182" t="n">
        <v>0</v>
      </c>
      <c r="AD1538" s="182" t="n">
        <v>0</v>
      </c>
      <c r="AE1538" s="182" t="n">
        <v>0</v>
      </c>
      <c r="AF1538" s="182" t="n">
        <v>0</v>
      </c>
      <c r="AG1538" s="182" t="n">
        <v>0</v>
      </c>
      <c r="AH1538" s="182" t="n">
        <v>0</v>
      </c>
      <c r="AI1538" s="182" t="n">
        <v>0</v>
      </c>
      <c r="AJ1538" s="182" t="n">
        <v>0</v>
      </c>
      <c r="AK1538" s="182" t="n">
        <v>4.55</v>
      </c>
      <c r="AL1538" s="182" t="n">
        <v>0</v>
      </c>
      <c r="AM1538" s="182" t="n">
        <v>0.08</v>
      </c>
      <c r="AN1538" s="182" t="n">
        <v>0</v>
      </c>
    </row>
    <row r="1539">
      <c r="A1539" s="155" t="n">
        <v>46088</v>
      </c>
      <c r="B1539" s="156" t="inlineStr">
        <is>
          <t>NS</t>
        </is>
      </c>
      <c r="C1539" s="156" t="inlineStr">
        <is>
          <t>WL-021</t>
        </is>
      </c>
      <c r="D1539" s="156" t="inlineStr">
        <is>
          <t>SANY - Loader</t>
        </is>
      </c>
      <c r="E1539" s="156" t="inlineStr">
        <is>
          <t>Loader</t>
        </is>
      </c>
      <c r="F1539" s="156" t="inlineStr"/>
      <c r="G1539" s="182" t="n">
        <v>0</v>
      </c>
      <c r="H1539" s="182" t="n">
        <v>0</v>
      </c>
      <c r="I1539" s="182" t="n">
        <v>12</v>
      </c>
      <c r="J1539" s="182" t="n">
        <v>12</v>
      </c>
      <c r="K1539" s="182" t="n">
        <v>0</v>
      </c>
      <c r="L1539" s="182" t="n">
        <v>12</v>
      </c>
      <c r="M1539" s="182" t="n">
        <v>0</v>
      </c>
      <c r="N1539" s="182" t="n">
        <v>0</v>
      </c>
      <c r="O1539" s="183" t="n">
        <v>0</v>
      </c>
      <c r="P1539" s="183" t="n">
        <v>0</v>
      </c>
      <c r="Q1539" s="184" t="n">
        <v>0</v>
      </c>
      <c r="R1539" s="184" t="n">
        <v>0</v>
      </c>
      <c r="S1539" s="183" t="n">
        <v>0</v>
      </c>
      <c r="T1539" s="183" t="n">
        <v>0</v>
      </c>
      <c r="U1539" s="182" t="n">
        <v>0</v>
      </c>
      <c r="V1539" s="182" t="n">
        <v>0</v>
      </c>
      <c r="W1539" s="182" t="n">
        <v>0</v>
      </c>
      <c r="X1539" s="182" t="n">
        <v>0</v>
      </c>
      <c r="Y1539" s="182" t="n">
        <v>0</v>
      </c>
      <c r="Z1539" s="182" t="n">
        <v>0</v>
      </c>
      <c r="AA1539" s="182" t="n">
        <v>0</v>
      </c>
      <c r="AB1539" s="182" t="n">
        <v>0</v>
      </c>
      <c r="AC1539" s="182" t="n">
        <v>0</v>
      </c>
      <c r="AD1539" s="182" t="n">
        <v>0</v>
      </c>
      <c r="AE1539" s="182" t="n">
        <v>0</v>
      </c>
      <c r="AF1539" s="182" t="n">
        <v>0</v>
      </c>
      <c r="AG1539" s="182" t="n">
        <v>0</v>
      </c>
      <c r="AH1539" s="182" t="n">
        <v>0</v>
      </c>
      <c r="AI1539" s="182" t="n">
        <v>0</v>
      </c>
      <c r="AJ1539" s="182" t="n">
        <v>0</v>
      </c>
      <c r="AK1539" s="182" t="n">
        <v>0</v>
      </c>
      <c r="AL1539" s="182" t="n">
        <v>0</v>
      </c>
      <c r="AM1539" s="182" t="n">
        <v>0</v>
      </c>
      <c r="AN1539" s="182" t="n">
        <v>0</v>
      </c>
    </row>
    <row r="1540">
      <c r="A1540" s="155" t="n">
        <v>46088</v>
      </c>
      <c r="B1540" s="156" t="inlineStr">
        <is>
          <t>NS</t>
        </is>
      </c>
      <c r="C1540" s="156" t="inlineStr">
        <is>
          <t>WL-022</t>
        </is>
      </c>
      <c r="D1540" s="156" t="inlineStr">
        <is>
          <t>SANY - Loader</t>
        </is>
      </c>
      <c r="E1540" s="156" t="inlineStr">
        <is>
          <t>Loader</t>
        </is>
      </c>
      <c r="F1540" s="156" t="inlineStr">
        <is>
          <t>Rehandling Dirty &amp; Trimming Coal di Stock ROM</t>
        </is>
      </c>
      <c r="G1540" s="182" t="n">
        <v>11.25</v>
      </c>
      <c r="H1540" s="182" t="n">
        <v>0</v>
      </c>
      <c r="I1540" s="182" t="n">
        <v>0</v>
      </c>
      <c r="J1540" s="182" t="n">
        <v>0</v>
      </c>
      <c r="K1540" s="182" t="n">
        <v>0.75</v>
      </c>
      <c r="L1540" s="182" t="n">
        <v>12</v>
      </c>
      <c r="M1540" s="182" t="n">
        <v>0</v>
      </c>
      <c r="N1540" s="182" t="n">
        <v>0</v>
      </c>
      <c r="O1540" s="183" t="n">
        <v>0</v>
      </c>
      <c r="P1540" s="183" t="n">
        <v>0</v>
      </c>
      <c r="Q1540" s="184" t="n">
        <v>0</v>
      </c>
      <c r="R1540" s="184" t="n">
        <v>0</v>
      </c>
      <c r="S1540" s="183" t="n">
        <v>0</v>
      </c>
      <c r="T1540" s="183" t="n">
        <v>0</v>
      </c>
      <c r="U1540" s="182" t="n">
        <v>0</v>
      </c>
      <c r="V1540" s="182" t="n">
        <v>0</v>
      </c>
      <c r="W1540" s="182" t="n">
        <v>0</v>
      </c>
      <c r="X1540" s="182" t="n">
        <v>0.6899999999999999</v>
      </c>
      <c r="Y1540" s="182" t="n">
        <v>0</v>
      </c>
      <c r="Z1540" s="182" t="n">
        <v>0</v>
      </c>
      <c r="AA1540" s="182" t="n">
        <v>0</v>
      </c>
      <c r="AB1540" s="182" t="n">
        <v>0</v>
      </c>
      <c r="AC1540" s="182" t="n">
        <v>0</v>
      </c>
      <c r="AD1540" s="182" t="n">
        <v>0</v>
      </c>
      <c r="AE1540" s="182" t="n">
        <v>0</v>
      </c>
      <c r="AF1540" s="182" t="n">
        <v>0</v>
      </c>
      <c r="AG1540" s="182" t="n">
        <v>0</v>
      </c>
      <c r="AH1540" s="182" t="n">
        <v>0</v>
      </c>
      <c r="AI1540" s="182" t="n">
        <v>0</v>
      </c>
      <c r="AJ1540" s="182" t="n">
        <v>0</v>
      </c>
      <c r="AK1540" s="182" t="n">
        <v>0</v>
      </c>
      <c r="AL1540" s="182" t="n">
        <v>0</v>
      </c>
      <c r="AM1540" s="182" t="n">
        <v>0.06</v>
      </c>
      <c r="AN1540" s="182" t="n">
        <v>0</v>
      </c>
    </row>
    <row r="1541">
      <c r="A1541" s="155" t="n">
        <v>46088</v>
      </c>
      <c r="B1541" s="156" t="inlineStr">
        <is>
          <t>NS</t>
        </is>
      </c>
      <c r="C1541" s="156" t="inlineStr">
        <is>
          <t>WL-024</t>
        </is>
      </c>
      <c r="D1541" s="156" t="inlineStr">
        <is>
          <t>SANY - Loader</t>
        </is>
      </c>
      <c r="E1541" s="156" t="inlineStr">
        <is>
          <t>Loader</t>
        </is>
      </c>
      <c r="F1541" s="156" t="inlineStr">
        <is>
          <t>Support Washing Plant</t>
        </is>
      </c>
      <c r="G1541" s="182" t="n">
        <v>10.65</v>
      </c>
      <c r="H1541" s="182" t="n">
        <v>0</v>
      </c>
      <c r="I1541" s="182" t="n">
        <v>0</v>
      </c>
      <c r="J1541" s="182" t="n">
        <v>0</v>
      </c>
      <c r="K1541" s="182" t="n">
        <v>1.35</v>
      </c>
      <c r="L1541" s="182" t="n">
        <v>12</v>
      </c>
      <c r="M1541" s="182" t="n">
        <v>0</v>
      </c>
      <c r="N1541" s="182" t="n">
        <v>0</v>
      </c>
      <c r="O1541" s="183" t="n">
        <v>0</v>
      </c>
      <c r="P1541" s="183" t="n">
        <v>0</v>
      </c>
      <c r="Q1541" s="184" t="n">
        <v>0</v>
      </c>
      <c r="R1541" s="184" t="n">
        <v>0</v>
      </c>
      <c r="S1541" s="183" t="n">
        <v>0</v>
      </c>
      <c r="T1541" s="183" t="n">
        <v>0</v>
      </c>
      <c r="U1541" s="182" t="n">
        <v>0</v>
      </c>
      <c r="V1541" s="182" t="n">
        <v>0</v>
      </c>
      <c r="W1541" s="182" t="n">
        <v>0</v>
      </c>
      <c r="X1541" s="182" t="n">
        <v>1.04</v>
      </c>
      <c r="Y1541" s="182" t="n">
        <v>0</v>
      </c>
      <c r="Z1541" s="182" t="n">
        <v>0</v>
      </c>
      <c r="AA1541" s="182" t="n">
        <v>0</v>
      </c>
      <c r="AB1541" s="182" t="n">
        <v>0</v>
      </c>
      <c r="AC1541" s="182" t="n">
        <v>0</v>
      </c>
      <c r="AD1541" s="182" t="n">
        <v>0</v>
      </c>
      <c r="AE1541" s="182" t="n">
        <v>0</v>
      </c>
      <c r="AF1541" s="182" t="n">
        <v>0</v>
      </c>
      <c r="AG1541" s="182" t="n">
        <v>0</v>
      </c>
      <c r="AH1541" s="182" t="n">
        <v>0</v>
      </c>
      <c r="AI1541" s="182" t="n">
        <v>0</v>
      </c>
      <c r="AJ1541" s="182" t="n">
        <v>0</v>
      </c>
      <c r="AK1541" s="182" t="n">
        <v>0.23</v>
      </c>
      <c r="AL1541" s="182" t="n">
        <v>0</v>
      </c>
      <c r="AM1541" s="182" t="n">
        <v>0.08</v>
      </c>
      <c r="AN1541" s="182" t="n">
        <v>0</v>
      </c>
    </row>
    <row r="1542">
      <c r="A1542" s="155" t="n">
        <v>46089</v>
      </c>
      <c r="B1542" s="156" t="inlineStr">
        <is>
          <t>DS</t>
        </is>
      </c>
      <c r="C1542" s="156" t="inlineStr">
        <is>
          <t>DZ-034</t>
        </is>
      </c>
      <c r="D1542" s="156" t="inlineStr">
        <is>
          <t>D 68ESS-12EO</t>
        </is>
      </c>
      <c r="E1542" s="156" t="inlineStr">
        <is>
          <t>Bulldozer</t>
        </is>
      </c>
      <c r="F1542" s="156" t="inlineStr">
        <is>
          <t>Support ROM</t>
        </is>
      </c>
      <c r="G1542" s="182" t="n">
        <v>8.029999999999999</v>
      </c>
      <c r="H1542" s="182" t="n">
        <v>0</v>
      </c>
      <c r="I1542" s="182" t="n">
        <v>0</v>
      </c>
      <c r="J1542" s="182" t="n">
        <v>0</v>
      </c>
      <c r="K1542" s="182" t="n">
        <v>3.97</v>
      </c>
      <c r="L1542" s="182" t="n">
        <v>12</v>
      </c>
      <c r="M1542" s="182" t="n">
        <v>0</v>
      </c>
      <c r="N1542" s="182" t="n">
        <v>0</v>
      </c>
      <c r="O1542" s="183" t="n">
        <v>0</v>
      </c>
      <c r="P1542" s="183" t="n">
        <v>0</v>
      </c>
      <c r="Q1542" s="184" t="n">
        <v>0</v>
      </c>
      <c r="R1542" s="184" t="n">
        <v>0</v>
      </c>
      <c r="S1542" s="183" t="n">
        <v>0</v>
      </c>
      <c r="T1542" s="183" t="n">
        <v>0</v>
      </c>
      <c r="U1542" s="182" t="n">
        <v>0</v>
      </c>
      <c r="V1542" s="182" t="n">
        <v>0</v>
      </c>
      <c r="W1542" s="182" t="n">
        <v>0</v>
      </c>
      <c r="X1542" s="182" t="n">
        <v>1.02</v>
      </c>
      <c r="Y1542" s="182" t="n">
        <v>0</v>
      </c>
      <c r="Z1542" s="182" t="n">
        <v>0</v>
      </c>
      <c r="AA1542" s="182" t="n">
        <v>0</v>
      </c>
      <c r="AB1542" s="182" t="n">
        <v>0</v>
      </c>
      <c r="AC1542" s="182" t="n">
        <v>0</v>
      </c>
      <c r="AD1542" s="182" t="n">
        <v>0</v>
      </c>
      <c r="AE1542" s="182" t="n">
        <v>0</v>
      </c>
      <c r="AF1542" s="182" t="n">
        <v>0</v>
      </c>
      <c r="AG1542" s="182" t="n">
        <v>0</v>
      </c>
      <c r="AH1542" s="182" t="n">
        <v>0</v>
      </c>
      <c r="AI1542" s="182" t="n">
        <v>0</v>
      </c>
      <c r="AJ1542" s="182" t="n">
        <v>0</v>
      </c>
      <c r="AK1542" s="182" t="n">
        <v>2.87</v>
      </c>
      <c r="AL1542" s="182" t="n">
        <v>0</v>
      </c>
      <c r="AM1542" s="182" t="n">
        <v>0.08</v>
      </c>
      <c r="AN1542" s="182" t="n">
        <v>0</v>
      </c>
    </row>
    <row r="1543">
      <c r="A1543" s="155" t="n">
        <v>46089</v>
      </c>
      <c r="B1543" s="156" t="inlineStr">
        <is>
          <t>DS</t>
        </is>
      </c>
      <c r="C1543" s="156" t="inlineStr">
        <is>
          <t>DZ-033</t>
        </is>
      </c>
      <c r="D1543" s="156" t="inlineStr">
        <is>
          <t>D 375A-6R</t>
        </is>
      </c>
      <c r="E1543" s="156" t="inlineStr">
        <is>
          <t>Bulldozer</t>
        </is>
      </c>
      <c r="F1543" s="156" t="inlineStr">
        <is>
          <t>Support Disposal</t>
        </is>
      </c>
      <c r="G1543" s="182" t="n">
        <v>10.74</v>
      </c>
      <c r="H1543" s="182" t="n">
        <v>0</v>
      </c>
      <c r="I1543" s="182" t="n">
        <v>0</v>
      </c>
      <c r="J1543" s="182" t="n">
        <v>0</v>
      </c>
      <c r="K1543" s="182" t="n">
        <v>1.26</v>
      </c>
      <c r="L1543" s="182" t="n">
        <v>12</v>
      </c>
      <c r="M1543" s="182" t="n">
        <v>0</v>
      </c>
      <c r="N1543" s="182" t="n">
        <v>0</v>
      </c>
      <c r="O1543" s="183" t="n">
        <v>0</v>
      </c>
      <c r="P1543" s="183" t="n">
        <v>0</v>
      </c>
      <c r="Q1543" s="184" t="n">
        <v>0</v>
      </c>
      <c r="R1543" s="184" t="n">
        <v>0</v>
      </c>
      <c r="S1543" s="183" t="n">
        <v>0</v>
      </c>
      <c r="T1543" s="183" t="n">
        <v>0</v>
      </c>
      <c r="U1543" s="182" t="n">
        <v>0</v>
      </c>
      <c r="V1543" s="182" t="n">
        <v>0</v>
      </c>
      <c r="W1543" s="182" t="n">
        <v>0</v>
      </c>
      <c r="X1543" s="182" t="n">
        <v>1.16</v>
      </c>
      <c r="Y1543" s="182" t="n">
        <v>0</v>
      </c>
      <c r="Z1543" s="182" t="n">
        <v>0</v>
      </c>
      <c r="AA1543" s="182" t="n">
        <v>0</v>
      </c>
      <c r="AB1543" s="182" t="n">
        <v>0</v>
      </c>
      <c r="AC1543" s="182" t="n">
        <v>0</v>
      </c>
      <c r="AD1543" s="182" t="n">
        <v>0</v>
      </c>
      <c r="AE1543" s="182" t="n">
        <v>0</v>
      </c>
      <c r="AF1543" s="182" t="n">
        <v>0</v>
      </c>
      <c r="AG1543" s="182" t="n">
        <v>0</v>
      </c>
      <c r="AH1543" s="182" t="n">
        <v>0</v>
      </c>
      <c r="AI1543" s="182" t="n">
        <v>0</v>
      </c>
      <c r="AJ1543" s="182" t="n">
        <v>0</v>
      </c>
      <c r="AK1543" s="182" t="n">
        <v>0</v>
      </c>
      <c r="AL1543" s="182" t="n">
        <v>0</v>
      </c>
      <c r="AM1543" s="182" t="n">
        <v>0.1</v>
      </c>
      <c r="AN1543" s="182" t="n">
        <v>0</v>
      </c>
    </row>
    <row r="1544">
      <c r="A1544" s="155" t="n">
        <v>46089</v>
      </c>
      <c r="B1544" s="156" t="inlineStr">
        <is>
          <t>DS</t>
        </is>
      </c>
      <c r="C1544" s="156" t="inlineStr">
        <is>
          <t>DZ-038</t>
        </is>
      </c>
      <c r="D1544" s="156" t="inlineStr">
        <is>
          <t>D 85 ESS-2</t>
        </is>
      </c>
      <c r="E1544" s="156" t="inlineStr">
        <is>
          <t>Bulldozer</t>
        </is>
      </c>
      <c r="F1544" s="156" t="inlineStr"/>
      <c r="G1544" s="182" t="n">
        <v>0</v>
      </c>
      <c r="H1544" s="182" t="n">
        <v>0</v>
      </c>
      <c r="I1544" s="182" t="n">
        <v>12</v>
      </c>
      <c r="J1544" s="182" t="n">
        <v>12</v>
      </c>
      <c r="K1544" s="182" t="n">
        <v>0</v>
      </c>
      <c r="L1544" s="182" t="n">
        <v>12</v>
      </c>
      <c r="M1544" s="182" t="n">
        <v>0</v>
      </c>
      <c r="N1544" s="182" t="n">
        <v>0</v>
      </c>
      <c r="O1544" s="183" t="n">
        <v>0</v>
      </c>
      <c r="P1544" s="183" t="n">
        <v>0</v>
      </c>
      <c r="Q1544" s="184" t="n">
        <v>0</v>
      </c>
      <c r="R1544" s="184" t="n">
        <v>0</v>
      </c>
      <c r="S1544" s="183" t="n">
        <v>0</v>
      </c>
      <c r="T1544" s="183" t="n">
        <v>0</v>
      </c>
      <c r="U1544" s="182" t="n">
        <v>0</v>
      </c>
      <c r="V1544" s="182" t="n">
        <v>0</v>
      </c>
      <c r="W1544" s="182" t="n">
        <v>0</v>
      </c>
      <c r="X1544" s="182" t="n">
        <v>0</v>
      </c>
      <c r="Y1544" s="182" t="n">
        <v>0</v>
      </c>
      <c r="Z1544" s="182" t="n">
        <v>0</v>
      </c>
      <c r="AA1544" s="182" t="n">
        <v>0</v>
      </c>
      <c r="AB1544" s="182" t="n">
        <v>0</v>
      </c>
      <c r="AC1544" s="182" t="n">
        <v>0</v>
      </c>
      <c r="AD1544" s="182" t="n">
        <v>0</v>
      </c>
      <c r="AE1544" s="182" t="n">
        <v>0</v>
      </c>
      <c r="AF1544" s="182" t="n">
        <v>0</v>
      </c>
      <c r="AG1544" s="182" t="n">
        <v>0</v>
      </c>
      <c r="AH1544" s="182" t="n">
        <v>0</v>
      </c>
      <c r="AI1544" s="182" t="n">
        <v>0</v>
      </c>
      <c r="AJ1544" s="182" t="n">
        <v>0</v>
      </c>
      <c r="AK1544" s="182" t="n">
        <v>0</v>
      </c>
      <c r="AL1544" s="182" t="n">
        <v>0</v>
      </c>
      <c r="AM1544" s="182" t="n">
        <v>0</v>
      </c>
      <c r="AN1544" s="182" t="n">
        <v>0</v>
      </c>
    </row>
    <row r="1545">
      <c r="A1545" s="155" t="n">
        <v>46089</v>
      </c>
      <c r="B1545" s="156" t="inlineStr">
        <is>
          <t>DS</t>
        </is>
      </c>
      <c r="C1545" s="156" t="inlineStr">
        <is>
          <t>DZ-039</t>
        </is>
      </c>
      <c r="D1545" s="156" t="inlineStr">
        <is>
          <t>D 85 ESS-2</t>
        </is>
      </c>
      <c r="E1545" s="156" t="inlineStr">
        <is>
          <t>Bulldozer</t>
        </is>
      </c>
      <c r="F1545" s="156" t="inlineStr">
        <is>
          <t>Support Front Loading</t>
        </is>
      </c>
      <c r="G1545" s="182" t="n">
        <v>11.45</v>
      </c>
      <c r="H1545" s="182" t="n">
        <v>0</v>
      </c>
      <c r="I1545" s="182" t="n">
        <v>0</v>
      </c>
      <c r="J1545" s="182" t="n">
        <v>0</v>
      </c>
      <c r="K1545" s="182" t="n">
        <v>0.55</v>
      </c>
      <c r="L1545" s="182" t="n">
        <v>12</v>
      </c>
      <c r="M1545" s="182" t="n">
        <v>0</v>
      </c>
      <c r="N1545" s="182" t="n">
        <v>0</v>
      </c>
      <c r="O1545" s="183" t="n">
        <v>0</v>
      </c>
      <c r="P1545" s="183" t="n">
        <v>0</v>
      </c>
      <c r="Q1545" s="184" t="n">
        <v>0</v>
      </c>
      <c r="R1545" s="184" t="n">
        <v>0</v>
      </c>
      <c r="S1545" s="183" t="n">
        <v>0</v>
      </c>
      <c r="T1545" s="183" t="n">
        <v>0</v>
      </c>
      <c r="U1545" s="182" t="n">
        <v>0</v>
      </c>
      <c r="V1545" s="182" t="n">
        <v>0</v>
      </c>
      <c r="W1545" s="182" t="n">
        <v>0</v>
      </c>
      <c r="X1545" s="182" t="n">
        <v>0.5</v>
      </c>
      <c r="Y1545" s="182" t="n">
        <v>0</v>
      </c>
      <c r="Z1545" s="182" t="n">
        <v>0</v>
      </c>
      <c r="AA1545" s="182" t="n">
        <v>0</v>
      </c>
      <c r="AB1545" s="182" t="n">
        <v>0</v>
      </c>
      <c r="AC1545" s="182" t="n">
        <v>0</v>
      </c>
      <c r="AD1545" s="182" t="n">
        <v>0</v>
      </c>
      <c r="AE1545" s="182" t="n">
        <v>0</v>
      </c>
      <c r="AF1545" s="182" t="n">
        <v>0</v>
      </c>
      <c r="AG1545" s="182" t="n">
        <v>0</v>
      </c>
      <c r="AH1545" s="182" t="n">
        <v>0</v>
      </c>
      <c r="AI1545" s="182" t="n">
        <v>0</v>
      </c>
      <c r="AJ1545" s="182" t="n">
        <v>0</v>
      </c>
      <c r="AK1545" s="182" t="n">
        <v>0</v>
      </c>
      <c r="AL1545" s="182" t="n">
        <v>0</v>
      </c>
      <c r="AM1545" s="182" t="n">
        <v>0.05</v>
      </c>
      <c r="AN1545" s="182" t="n">
        <v>0</v>
      </c>
    </row>
    <row r="1546">
      <c r="A1546" s="155" t="n">
        <v>46089</v>
      </c>
      <c r="B1546" s="156" t="inlineStr">
        <is>
          <t>DS</t>
        </is>
      </c>
      <c r="C1546" s="156" t="inlineStr">
        <is>
          <t>DZ-032</t>
        </is>
      </c>
      <c r="D1546" s="156" t="inlineStr">
        <is>
          <t>CAT</t>
        </is>
      </c>
      <c r="E1546" s="156" t="inlineStr">
        <is>
          <t>Bulldozer</t>
        </is>
      </c>
      <c r="F1546" s="156" t="inlineStr">
        <is>
          <t>Support Front Loading</t>
        </is>
      </c>
      <c r="G1546" s="182" t="n">
        <v>10.32</v>
      </c>
      <c r="H1546" s="182" t="n">
        <v>0</v>
      </c>
      <c r="I1546" s="182" t="n">
        <v>0.6</v>
      </c>
      <c r="J1546" s="182" t="n">
        <v>0.6</v>
      </c>
      <c r="K1546" s="182" t="n">
        <v>1.08</v>
      </c>
      <c r="L1546" s="182" t="n">
        <v>12</v>
      </c>
      <c r="M1546" s="182" t="n">
        <v>0</v>
      </c>
      <c r="N1546" s="182" t="n">
        <v>0</v>
      </c>
      <c r="O1546" s="183" t="n">
        <v>0</v>
      </c>
      <c r="P1546" s="183" t="n">
        <v>0</v>
      </c>
      <c r="Q1546" s="184" t="n">
        <v>0</v>
      </c>
      <c r="R1546" s="184" t="n">
        <v>0</v>
      </c>
      <c r="S1546" s="183" t="n">
        <v>0</v>
      </c>
      <c r="T1546" s="183" t="n">
        <v>0</v>
      </c>
      <c r="U1546" s="182" t="n">
        <v>0</v>
      </c>
      <c r="V1546" s="182" t="n">
        <v>0</v>
      </c>
      <c r="W1546" s="182" t="n">
        <v>0</v>
      </c>
      <c r="X1546" s="182" t="n">
        <v>0.83</v>
      </c>
      <c r="Y1546" s="182" t="n">
        <v>0</v>
      </c>
      <c r="Z1546" s="182" t="n">
        <v>0</v>
      </c>
      <c r="AA1546" s="182" t="n">
        <v>0</v>
      </c>
      <c r="AB1546" s="182" t="n">
        <v>0</v>
      </c>
      <c r="AC1546" s="182" t="n">
        <v>0</v>
      </c>
      <c r="AD1546" s="182" t="n">
        <v>0</v>
      </c>
      <c r="AE1546" s="182" t="n">
        <v>0</v>
      </c>
      <c r="AF1546" s="182" t="n">
        <v>0</v>
      </c>
      <c r="AG1546" s="182" t="n">
        <v>0</v>
      </c>
      <c r="AH1546" s="182" t="n">
        <v>0.18</v>
      </c>
      <c r="AI1546" s="182" t="n">
        <v>0</v>
      </c>
      <c r="AJ1546" s="182" t="n">
        <v>0</v>
      </c>
      <c r="AK1546" s="182" t="n">
        <v>0</v>
      </c>
      <c r="AL1546" s="182" t="n">
        <v>0</v>
      </c>
      <c r="AM1546" s="182" t="n">
        <v>0.07000000000000001</v>
      </c>
      <c r="AN1546" s="182" t="n">
        <v>0</v>
      </c>
    </row>
    <row r="1547">
      <c r="A1547" s="155" t="n">
        <v>46089</v>
      </c>
      <c r="B1547" s="156" t="inlineStr">
        <is>
          <t>DS</t>
        </is>
      </c>
      <c r="C1547" s="156" t="inlineStr">
        <is>
          <t>DZ-031</t>
        </is>
      </c>
      <c r="D1547" s="156" t="inlineStr">
        <is>
          <t>CAT</t>
        </is>
      </c>
      <c r="E1547" s="156" t="inlineStr">
        <is>
          <t>Bulldozer</t>
        </is>
      </c>
      <c r="F1547" s="156" t="inlineStr"/>
      <c r="G1547" s="182" t="n">
        <v>0</v>
      </c>
      <c r="H1547" s="182" t="n">
        <v>0</v>
      </c>
      <c r="I1547" s="182" t="n">
        <v>12</v>
      </c>
      <c r="J1547" s="182" t="n">
        <v>12</v>
      </c>
      <c r="K1547" s="182" t="n">
        <v>0</v>
      </c>
      <c r="L1547" s="182" t="n">
        <v>12</v>
      </c>
      <c r="M1547" s="182" t="n">
        <v>0</v>
      </c>
      <c r="N1547" s="182" t="n">
        <v>0</v>
      </c>
      <c r="O1547" s="183" t="n">
        <v>0</v>
      </c>
      <c r="P1547" s="183" t="n">
        <v>0</v>
      </c>
      <c r="Q1547" s="184" t="n">
        <v>0</v>
      </c>
      <c r="R1547" s="184" t="n">
        <v>0</v>
      </c>
      <c r="S1547" s="183" t="n">
        <v>0</v>
      </c>
      <c r="T1547" s="183" t="n">
        <v>0</v>
      </c>
      <c r="U1547" s="182" t="n">
        <v>0</v>
      </c>
      <c r="V1547" s="182" t="n">
        <v>0</v>
      </c>
      <c r="W1547" s="182" t="n">
        <v>0</v>
      </c>
      <c r="X1547" s="182" t="n">
        <v>0</v>
      </c>
      <c r="Y1547" s="182" t="n">
        <v>0</v>
      </c>
      <c r="Z1547" s="182" t="n">
        <v>0</v>
      </c>
      <c r="AA1547" s="182" t="n">
        <v>0</v>
      </c>
      <c r="AB1547" s="182" t="n">
        <v>0</v>
      </c>
      <c r="AC1547" s="182" t="n">
        <v>0</v>
      </c>
      <c r="AD1547" s="182" t="n">
        <v>0</v>
      </c>
      <c r="AE1547" s="182" t="n">
        <v>0</v>
      </c>
      <c r="AF1547" s="182" t="n">
        <v>0</v>
      </c>
      <c r="AG1547" s="182" t="n">
        <v>0</v>
      </c>
      <c r="AH1547" s="182" t="n">
        <v>0</v>
      </c>
      <c r="AI1547" s="182" t="n">
        <v>0</v>
      </c>
      <c r="AJ1547" s="182" t="n">
        <v>0</v>
      </c>
      <c r="AK1547" s="182" t="n">
        <v>0</v>
      </c>
      <c r="AL1547" s="182" t="n">
        <v>0</v>
      </c>
      <c r="AM1547" s="182" t="n">
        <v>0</v>
      </c>
      <c r="AN1547" s="182" t="n">
        <v>0</v>
      </c>
    </row>
    <row r="1548">
      <c r="A1548" s="155" t="n">
        <v>46089</v>
      </c>
      <c r="B1548" s="156" t="inlineStr">
        <is>
          <t>DS</t>
        </is>
      </c>
      <c r="C1548" s="156" t="inlineStr">
        <is>
          <t>DZ-037</t>
        </is>
      </c>
      <c r="D1548" s="156" t="inlineStr">
        <is>
          <t>D 85 ESS-2</t>
        </is>
      </c>
      <c r="E1548" s="156" t="inlineStr">
        <is>
          <t>Bulldozer</t>
        </is>
      </c>
      <c r="F1548" s="156" t="inlineStr">
        <is>
          <t>Support Disposal</t>
        </is>
      </c>
      <c r="G1548" s="182" t="n">
        <v>10.17</v>
      </c>
      <c r="H1548" s="182" t="n">
        <v>0</v>
      </c>
      <c r="I1548" s="182" t="n">
        <v>0.83</v>
      </c>
      <c r="J1548" s="182" t="n">
        <v>0.83</v>
      </c>
      <c r="K1548" s="182" t="n">
        <v>1</v>
      </c>
      <c r="L1548" s="182" t="n">
        <v>12</v>
      </c>
      <c r="M1548" s="182" t="n">
        <v>0</v>
      </c>
      <c r="N1548" s="182" t="n">
        <v>0</v>
      </c>
      <c r="O1548" s="183" t="n">
        <v>0</v>
      </c>
      <c r="P1548" s="183" t="n">
        <v>0</v>
      </c>
      <c r="Q1548" s="184" t="n">
        <v>0</v>
      </c>
      <c r="R1548" s="184" t="n">
        <v>0</v>
      </c>
      <c r="S1548" s="183" t="n">
        <v>0</v>
      </c>
      <c r="T1548" s="183" t="n">
        <v>0</v>
      </c>
      <c r="U1548" s="182" t="n">
        <v>0</v>
      </c>
      <c r="V1548" s="182" t="n">
        <v>0</v>
      </c>
      <c r="W1548" s="182" t="n">
        <v>0</v>
      </c>
      <c r="X1548" s="182" t="n">
        <v>0.91</v>
      </c>
      <c r="Y1548" s="182" t="n">
        <v>0</v>
      </c>
      <c r="Z1548" s="182" t="n">
        <v>0</v>
      </c>
      <c r="AA1548" s="182" t="n">
        <v>0</v>
      </c>
      <c r="AB1548" s="182" t="n">
        <v>0</v>
      </c>
      <c r="AC1548" s="182" t="n">
        <v>0</v>
      </c>
      <c r="AD1548" s="182" t="n">
        <v>0</v>
      </c>
      <c r="AE1548" s="182" t="n">
        <v>0</v>
      </c>
      <c r="AF1548" s="182" t="n">
        <v>0</v>
      </c>
      <c r="AG1548" s="182" t="n">
        <v>0</v>
      </c>
      <c r="AH1548" s="182" t="n">
        <v>0</v>
      </c>
      <c r="AI1548" s="182" t="n">
        <v>0</v>
      </c>
      <c r="AJ1548" s="182" t="n">
        <v>0</v>
      </c>
      <c r="AK1548" s="182" t="n">
        <v>0</v>
      </c>
      <c r="AL1548" s="182" t="n">
        <v>0</v>
      </c>
      <c r="AM1548" s="182" t="n">
        <v>0.08</v>
      </c>
      <c r="AN1548" s="182" t="n">
        <v>0</v>
      </c>
    </row>
    <row r="1549">
      <c r="A1549" s="155" t="n">
        <v>46089</v>
      </c>
      <c r="B1549" s="156" t="inlineStr">
        <is>
          <t>DS</t>
        </is>
      </c>
      <c r="C1549" s="156" t="inlineStr">
        <is>
          <t>DZ-036</t>
        </is>
      </c>
      <c r="D1549" s="156" t="inlineStr">
        <is>
          <t>D 85 ESS-2</t>
        </is>
      </c>
      <c r="E1549" s="156" t="inlineStr">
        <is>
          <t>Bulldozer</t>
        </is>
      </c>
      <c r="F1549" s="156" t="inlineStr"/>
      <c r="G1549" s="182" t="n">
        <v>0</v>
      </c>
      <c r="H1549" s="182" t="n">
        <v>0</v>
      </c>
      <c r="I1549" s="182" t="n">
        <v>0</v>
      </c>
      <c r="J1549" s="182" t="n">
        <v>0</v>
      </c>
      <c r="K1549" s="182" t="n">
        <v>12</v>
      </c>
      <c r="L1549" s="182" t="n">
        <v>12</v>
      </c>
      <c r="M1549" s="182" t="n">
        <v>0</v>
      </c>
      <c r="N1549" s="182" t="n">
        <v>0</v>
      </c>
      <c r="O1549" s="183" t="n">
        <v>0</v>
      </c>
      <c r="P1549" s="183" t="n">
        <v>0</v>
      </c>
      <c r="Q1549" s="184" t="n">
        <v>0</v>
      </c>
      <c r="R1549" s="184" t="n">
        <v>0</v>
      </c>
      <c r="S1549" s="183" t="n">
        <v>0</v>
      </c>
      <c r="T1549" s="183" t="n">
        <v>0</v>
      </c>
      <c r="U1549" s="182" t="n">
        <v>0</v>
      </c>
      <c r="V1549" s="182" t="n">
        <v>0</v>
      </c>
      <c r="W1549" s="182" t="n">
        <v>0</v>
      </c>
      <c r="X1549" s="182" t="n">
        <v>1</v>
      </c>
      <c r="Y1549" s="182" t="n">
        <v>0</v>
      </c>
      <c r="Z1549" s="182" t="n">
        <v>0</v>
      </c>
      <c r="AA1549" s="182" t="n">
        <v>0</v>
      </c>
      <c r="AB1549" s="182" t="n">
        <v>0</v>
      </c>
      <c r="AC1549" s="182" t="n">
        <v>0</v>
      </c>
      <c r="AD1549" s="182" t="n">
        <v>0</v>
      </c>
      <c r="AE1549" s="182" t="n">
        <v>0</v>
      </c>
      <c r="AF1549" s="182" t="n">
        <v>0</v>
      </c>
      <c r="AG1549" s="182" t="n">
        <v>0</v>
      </c>
      <c r="AH1549" s="182" t="n">
        <v>0</v>
      </c>
      <c r="AI1549" s="182" t="n">
        <v>0</v>
      </c>
      <c r="AJ1549" s="182" t="n">
        <v>0</v>
      </c>
      <c r="AK1549" s="182" t="n">
        <v>10.92</v>
      </c>
      <c r="AL1549" s="182" t="n">
        <v>0</v>
      </c>
      <c r="AM1549" s="182" t="n">
        <v>0.08</v>
      </c>
      <c r="AN1549" s="182" t="n">
        <v>0</v>
      </c>
    </row>
    <row r="1550">
      <c r="A1550" s="155" t="n">
        <v>46089</v>
      </c>
      <c r="B1550" s="156" t="inlineStr">
        <is>
          <t>DS</t>
        </is>
      </c>
      <c r="C1550" s="156" t="inlineStr">
        <is>
          <t>DZ-035</t>
        </is>
      </c>
      <c r="D1550" s="156" t="inlineStr">
        <is>
          <t>D 85 ESS-2</t>
        </is>
      </c>
      <c r="E1550" s="156" t="inlineStr">
        <is>
          <t>Bulldozer</t>
        </is>
      </c>
      <c r="F1550" s="156" t="inlineStr"/>
      <c r="G1550" s="182" t="n">
        <v>0</v>
      </c>
      <c r="H1550" s="182" t="n">
        <v>0</v>
      </c>
      <c r="I1550" s="182" t="n">
        <v>12</v>
      </c>
      <c r="J1550" s="182" t="n">
        <v>12</v>
      </c>
      <c r="K1550" s="182" t="n">
        <v>0</v>
      </c>
      <c r="L1550" s="182" t="n">
        <v>12</v>
      </c>
      <c r="M1550" s="182" t="n">
        <v>0</v>
      </c>
      <c r="N1550" s="182" t="n">
        <v>0</v>
      </c>
      <c r="O1550" s="183" t="n">
        <v>0</v>
      </c>
      <c r="P1550" s="183" t="n">
        <v>0</v>
      </c>
      <c r="Q1550" s="184" t="n">
        <v>0</v>
      </c>
      <c r="R1550" s="184" t="n">
        <v>0</v>
      </c>
      <c r="S1550" s="183" t="n">
        <v>0</v>
      </c>
      <c r="T1550" s="183" t="n">
        <v>0</v>
      </c>
      <c r="U1550" s="182" t="n">
        <v>0</v>
      </c>
      <c r="V1550" s="182" t="n">
        <v>0</v>
      </c>
      <c r="W1550" s="182" t="n">
        <v>0</v>
      </c>
      <c r="X1550" s="182" t="n">
        <v>0</v>
      </c>
      <c r="Y1550" s="182" t="n">
        <v>0</v>
      </c>
      <c r="Z1550" s="182" t="n">
        <v>0</v>
      </c>
      <c r="AA1550" s="182" t="n">
        <v>0</v>
      </c>
      <c r="AB1550" s="182" t="n">
        <v>0</v>
      </c>
      <c r="AC1550" s="182" t="n">
        <v>0</v>
      </c>
      <c r="AD1550" s="182" t="n">
        <v>0</v>
      </c>
      <c r="AE1550" s="182" t="n">
        <v>0</v>
      </c>
      <c r="AF1550" s="182" t="n">
        <v>0</v>
      </c>
      <c r="AG1550" s="182" t="n">
        <v>0</v>
      </c>
      <c r="AH1550" s="182" t="n">
        <v>0</v>
      </c>
      <c r="AI1550" s="182" t="n">
        <v>0</v>
      </c>
      <c r="AJ1550" s="182" t="n">
        <v>0</v>
      </c>
      <c r="AK1550" s="182" t="n">
        <v>0</v>
      </c>
      <c r="AL1550" s="182" t="n">
        <v>0</v>
      </c>
      <c r="AM1550" s="182" t="n">
        <v>0</v>
      </c>
      <c r="AN1550" s="182" t="n">
        <v>0</v>
      </c>
    </row>
    <row r="1551">
      <c r="A1551" s="155" t="n">
        <v>46089</v>
      </c>
      <c r="B1551" s="156" t="inlineStr">
        <is>
          <t>DS</t>
        </is>
      </c>
      <c r="C1551" s="156" t="inlineStr">
        <is>
          <t>CP-042</t>
        </is>
      </c>
      <c r="D1551" s="156" t="inlineStr">
        <is>
          <t>SANY - Compactor</t>
        </is>
      </c>
      <c r="E1551" s="156" t="inlineStr">
        <is>
          <t>Compactor</t>
        </is>
      </c>
      <c r="F1551" s="156" t="inlineStr"/>
      <c r="G1551" s="182" t="n">
        <v>0</v>
      </c>
      <c r="H1551" s="182" t="n">
        <v>0</v>
      </c>
      <c r="I1551" s="182" t="n">
        <v>0</v>
      </c>
      <c r="J1551" s="182" t="n">
        <v>0</v>
      </c>
      <c r="K1551" s="182" t="n">
        <v>12</v>
      </c>
      <c r="L1551" s="182" t="n">
        <v>12</v>
      </c>
      <c r="M1551" s="182" t="n">
        <v>0</v>
      </c>
      <c r="N1551" s="182" t="n">
        <v>0</v>
      </c>
      <c r="O1551" s="183" t="n">
        <v>0</v>
      </c>
      <c r="P1551" s="183" t="n">
        <v>0</v>
      </c>
      <c r="Q1551" s="184" t="n">
        <v>0</v>
      </c>
      <c r="R1551" s="184" t="n">
        <v>0</v>
      </c>
      <c r="S1551" s="183" t="n">
        <v>0</v>
      </c>
      <c r="T1551" s="183" t="n">
        <v>0</v>
      </c>
      <c r="U1551" s="182" t="n">
        <v>0</v>
      </c>
      <c r="V1551" s="182" t="n">
        <v>0</v>
      </c>
      <c r="W1551" s="182" t="n">
        <v>0</v>
      </c>
      <c r="X1551" s="182" t="n">
        <v>1</v>
      </c>
      <c r="Y1551" s="182" t="n">
        <v>0</v>
      </c>
      <c r="Z1551" s="182" t="n">
        <v>0</v>
      </c>
      <c r="AA1551" s="182" t="n">
        <v>0</v>
      </c>
      <c r="AB1551" s="182" t="n">
        <v>0</v>
      </c>
      <c r="AC1551" s="182" t="n">
        <v>0</v>
      </c>
      <c r="AD1551" s="182" t="n">
        <v>0</v>
      </c>
      <c r="AE1551" s="182" t="n">
        <v>0</v>
      </c>
      <c r="AF1551" s="182" t="n">
        <v>0</v>
      </c>
      <c r="AG1551" s="182" t="n">
        <v>0</v>
      </c>
      <c r="AH1551" s="182" t="n">
        <v>0</v>
      </c>
      <c r="AI1551" s="182" t="n">
        <v>0</v>
      </c>
      <c r="AJ1551" s="182" t="n">
        <v>0</v>
      </c>
      <c r="AK1551" s="182" t="n">
        <v>10.92</v>
      </c>
      <c r="AL1551" s="182" t="n">
        <v>0</v>
      </c>
      <c r="AM1551" s="182" t="n">
        <v>0.08</v>
      </c>
      <c r="AN1551" s="182" t="n">
        <v>0</v>
      </c>
    </row>
    <row r="1552">
      <c r="A1552" s="155" t="n">
        <v>46089</v>
      </c>
      <c r="B1552" s="156" t="inlineStr">
        <is>
          <t>DS</t>
        </is>
      </c>
      <c r="C1552" s="156" t="inlineStr">
        <is>
          <t>CP-041</t>
        </is>
      </c>
      <c r="D1552" s="156" t="inlineStr">
        <is>
          <t>SANY - Compactor</t>
        </is>
      </c>
      <c r="E1552" s="156" t="inlineStr">
        <is>
          <t>Compactor</t>
        </is>
      </c>
      <c r="F1552" s="156" t="inlineStr">
        <is>
          <t>Timesheet Kosong</t>
        </is>
      </c>
      <c r="G1552" s="182" t="n">
        <v>4.72</v>
      </c>
      <c r="H1552" s="182" t="n">
        <v>0</v>
      </c>
      <c r="I1552" s="182" t="n">
        <v>0</v>
      </c>
      <c r="J1552" s="182" t="n">
        <v>0</v>
      </c>
      <c r="K1552" s="182" t="n">
        <v>7.28</v>
      </c>
      <c r="L1552" s="182" t="n">
        <v>12</v>
      </c>
      <c r="M1552" s="182" t="n">
        <v>0</v>
      </c>
      <c r="N1552" s="182" t="n">
        <v>0</v>
      </c>
      <c r="O1552" s="183" t="n">
        <v>0</v>
      </c>
      <c r="P1552" s="183" t="n">
        <v>0</v>
      </c>
      <c r="Q1552" s="184" t="n">
        <v>0</v>
      </c>
      <c r="R1552" s="184" t="n">
        <v>0</v>
      </c>
      <c r="S1552" s="183" t="n">
        <v>0</v>
      </c>
      <c r="T1552" s="183" t="n">
        <v>0</v>
      </c>
      <c r="U1552" s="182" t="n">
        <v>0</v>
      </c>
      <c r="V1552" s="182" t="n">
        <v>0</v>
      </c>
      <c r="W1552" s="182" t="n">
        <v>0</v>
      </c>
      <c r="X1552" s="182" t="n">
        <v>0.96</v>
      </c>
      <c r="Y1552" s="182" t="n">
        <v>0</v>
      </c>
      <c r="Z1552" s="182" t="n">
        <v>0</v>
      </c>
      <c r="AA1552" s="182" t="n">
        <v>0</v>
      </c>
      <c r="AB1552" s="182" t="n">
        <v>0</v>
      </c>
      <c r="AC1552" s="182" t="n">
        <v>0</v>
      </c>
      <c r="AD1552" s="182" t="n">
        <v>0</v>
      </c>
      <c r="AE1552" s="182" t="n">
        <v>0</v>
      </c>
      <c r="AF1552" s="182" t="n">
        <v>0</v>
      </c>
      <c r="AG1552" s="182" t="n">
        <v>0</v>
      </c>
      <c r="AH1552" s="182" t="n">
        <v>0</v>
      </c>
      <c r="AI1552" s="182" t="n">
        <v>0</v>
      </c>
      <c r="AJ1552" s="182" t="n">
        <v>0</v>
      </c>
      <c r="AK1552" s="182" t="n">
        <v>6.25</v>
      </c>
      <c r="AL1552" s="182" t="n">
        <v>0</v>
      </c>
      <c r="AM1552" s="182" t="n">
        <v>0.08</v>
      </c>
      <c r="AN1552" s="182" t="n">
        <v>0</v>
      </c>
    </row>
    <row r="1553">
      <c r="A1553" s="155" t="n">
        <v>46089</v>
      </c>
      <c r="B1553" s="156" t="inlineStr">
        <is>
          <t>DS</t>
        </is>
      </c>
      <c r="C1553" s="156" t="inlineStr">
        <is>
          <t>HT-418</t>
        </is>
      </c>
      <c r="D1553" s="156" t="inlineStr">
        <is>
          <t>SY430</t>
        </is>
      </c>
      <c r="E1553" s="156" t="inlineStr">
        <is>
          <t>DT Hauling</t>
        </is>
      </c>
      <c r="F1553" s="156" t="inlineStr"/>
      <c r="G1553" s="182" t="n">
        <v>0</v>
      </c>
      <c r="H1553" s="182" t="n">
        <v>0</v>
      </c>
      <c r="I1553" s="182" t="n">
        <v>0</v>
      </c>
      <c r="J1553" s="182" t="n">
        <v>0</v>
      </c>
      <c r="K1553" s="182" t="n">
        <v>12</v>
      </c>
      <c r="L1553" s="182" t="n">
        <v>12</v>
      </c>
      <c r="M1553" s="182" t="n">
        <v>0</v>
      </c>
      <c r="N1553" s="182" t="n">
        <v>0</v>
      </c>
      <c r="O1553" s="183" t="n">
        <v>0</v>
      </c>
      <c r="P1553" s="183" t="n">
        <v>0</v>
      </c>
      <c r="Q1553" s="184" t="n">
        <v>0</v>
      </c>
      <c r="R1553" s="184" t="n">
        <v>0</v>
      </c>
      <c r="S1553" s="183" t="n">
        <v>0</v>
      </c>
      <c r="T1553" s="183" t="n">
        <v>0</v>
      </c>
      <c r="U1553" s="182" t="n">
        <v>0</v>
      </c>
      <c r="V1553" s="182" t="n">
        <v>0</v>
      </c>
      <c r="W1553" s="182" t="n">
        <v>0</v>
      </c>
      <c r="X1553" s="182" t="n">
        <v>1</v>
      </c>
      <c r="Y1553" s="182" t="n">
        <v>0</v>
      </c>
      <c r="Z1553" s="182" t="n">
        <v>0</v>
      </c>
      <c r="AA1553" s="182" t="n">
        <v>0</v>
      </c>
      <c r="AB1553" s="182" t="n">
        <v>0</v>
      </c>
      <c r="AC1553" s="182" t="n">
        <v>0</v>
      </c>
      <c r="AD1553" s="182" t="n">
        <v>0</v>
      </c>
      <c r="AE1553" s="182" t="n">
        <v>0</v>
      </c>
      <c r="AF1553" s="182" t="n">
        <v>0</v>
      </c>
      <c r="AG1553" s="182" t="n">
        <v>0</v>
      </c>
      <c r="AH1553" s="182" t="n">
        <v>0</v>
      </c>
      <c r="AI1553" s="182" t="n">
        <v>0</v>
      </c>
      <c r="AJ1553" s="182" t="n">
        <v>0</v>
      </c>
      <c r="AK1553" s="182" t="n">
        <v>10.92</v>
      </c>
      <c r="AL1553" s="182" t="n">
        <v>0</v>
      </c>
      <c r="AM1553" s="182" t="n">
        <v>0.08</v>
      </c>
      <c r="AN1553" s="182" t="n">
        <v>0</v>
      </c>
    </row>
    <row r="1554">
      <c r="A1554" s="155" t="n">
        <v>46089</v>
      </c>
      <c r="B1554" s="156" t="inlineStr">
        <is>
          <t>DS</t>
        </is>
      </c>
      <c r="C1554" s="156" t="inlineStr">
        <is>
          <t>HT-404</t>
        </is>
      </c>
      <c r="D1554" s="156" t="inlineStr">
        <is>
          <t>SY430</t>
        </is>
      </c>
      <c r="E1554" s="156" t="inlineStr">
        <is>
          <t>DT Hauling</t>
        </is>
      </c>
      <c r="F1554" s="156" t="inlineStr"/>
      <c r="G1554" s="182" t="n">
        <v>0</v>
      </c>
      <c r="H1554" s="182" t="n">
        <v>0</v>
      </c>
      <c r="I1554" s="182" t="n">
        <v>12</v>
      </c>
      <c r="J1554" s="182" t="n">
        <v>12</v>
      </c>
      <c r="K1554" s="182" t="n">
        <v>0</v>
      </c>
      <c r="L1554" s="182" t="n">
        <v>12</v>
      </c>
      <c r="M1554" s="182" t="n">
        <v>0</v>
      </c>
      <c r="N1554" s="182" t="n">
        <v>0</v>
      </c>
      <c r="O1554" s="183" t="n">
        <v>0</v>
      </c>
      <c r="P1554" s="183" t="n">
        <v>0</v>
      </c>
      <c r="Q1554" s="184" t="n">
        <v>0</v>
      </c>
      <c r="R1554" s="184" t="n">
        <v>0</v>
      </c>
      <c r="S1554" s="183" t="n">
        <v>0</v>
      </c>
      <c r="T1554" s="183" t="n">
        <v>0</v>
      </c>
      <c r="U1554" s="182" t="n">
        <v>0</v>
      </c>
      <c r="V1554" s="182" t="n">
        <v>0</v>
      </c>
      <c r="W1554" s="182" t="n">
        <v>0</v>
      </c>
      <c r="X1554" s="182" t="n">
        <v>0</v>
      </c>
      <c r="Y1554" s="182" t="n">
        <v>0</v>
      </c>
      <c r="Z1554" s="182" t="n">
        <v>0</v>
      </c>
      <c r="AA1554" s="182" t="n">
        <v>0</v>
      </c>
      <c r="AB1554" s="182" t="n">
        <v>0</v>
      </c>
      <c r="AC1554" s="182" t="n">
        <v>0</v>
      </c>
      <c r="AD1554" s="182" t="n">
        <v>0</v>
      </c>
      <c r="AE1554" s="182" t="n">
        <v>0</v>
      </c>
      <c r="AF1554" s="182" t="n">
        <v>0</v>
      </c>
      <c r="AG1554" s="182" t="n">
        <v>0</v>
      </c>
      <c r="AH1554" s="182" t="n">
        <v>0</v>
      </c>
      <c r="AI1554" s="182" t="n">
        <v>0</v>
      </c>
      <c r="AJ1554" s="182" t="n">
        <v>0</v>
      </c>
      <c r="AK1554" s="182" t="n">
        <v>0</v>
      </c>
      <c r="AL1554" s="182" t="n">
        <v>0</v>
      </c>
      <c r="AM1554" s="182" t="n">
        <v>0</v>
      </c>
      <c r="AN1554" s="182" t="n">
        <v>0</v>
      </c>
    </row>
    <row r="1555">
      <c r="A1555" s="155" t="n">
        <v>46089</v>
      </c>
      <c r="B1555" s="156" t="inlineStr">
        <is>
          <t>DS</t>
        </is>
      </c>
      <c r="C1555" s="156" t="inlineStr">
        <is>
          <t>HT-415</t>
        </is>
      </c>
      <c r="D1555" s="156" t="inlineStr">
        <is>
          <t>SY430</t>
        </is>
      </c>
      <c r="E1555" s="156" t="inlineStr">
        <is>
          <t>DT Hauling</t>
        </is>
      </c>
      <c r="F1555" s="156" t="inlineStr"/>
      <c r="G1555" s="182" t="n">
        <v>0</v>
      </c>
      <c r="H1555" s="182" t="n">
        <v>0</v>
      </c>
      <c r="I1555" s="182" t="n">
        <v>12</v>
      </c>
      <c r="J1555" s="182" t="n">
        <v>12</v>
      </c>
      <c r="K1555" s="182" t="n">
        <v>0</v>
      </c>
      <c r="L1555" s="182" t="n">
        <v>12</v>
      </c>
      <c r="M1555" s="182" t="n">
        <v>0</v>
      </c>
      <c r="N1555" s="182" t="n">
        <v>0</v>
      </c>
      <c r="O1555" s="183" t="n">
        <v>0</v>
      </c>
      <c r="P1555" s="183" t="n">
        <v>0</v>
      </c>
      <c r="Q1555" s="184" t="n">
        <v>0</v>
      </c>
      <c r="R1555" s="184" t="n">
        <v>0</v>
      </c>
      <c r="S1555" s="183" t="n">
        <v>0</v>
      </c>
      <c r="T1555" s="183" t="n">
        <v>0</v>
      </c>
      <c r="U1555" s="182" t="n">
        <v>0</v>
      </c>
      <c r="V1555" s="182" t="n">
        <v>0</v>
      </c>
      <c r="W1555" s="182" t="n">
        <v>0</v>
      </c>
      <c r="X1555" s="182" t="n">
        <v>0</v>
      </c>
      <c r="Y1555" s="182" t="n">
        <v>0</v>
      </c>
      <c r="Z1555" s="182" t="n">
        <v>0</v>
      </c>
      <c r="AA1555" s="182" t="n">
        <v>0</v>
      </c>
      <c r="AB1555" s="182" t="n">
        <v>0</v>
      </c>
      <c r="AC1555" s="182" t="n">
        <v>0</v>
      </c>
      <c r="AD1555" s="182" t="n">
        <v>0</v>
      </c>
      <c r="AE1555" s="182" t="n">
        <v>0</v>
      </c>
      <c r="AF1555" s="182" t="n">
        <v>0</v>
      </c>
      <c r="AG1555" s="182" t="n">
        <v>0</v>
      </c>
      <c r="AH1555" s="182" t="n">
        <v>0</v>
      </c>
      <c r="AI1555" s="182" t="n">
        <v>0</v>
      </c>
      <c r="AJ1555" s="182" t="n">
        <v>0</v>
      </c>
      <c r="AK1555" s="182" t="n">
        <v>0</v>
      </c>
      <c r="AL1555" s="182" t="n">
        <v>0</v>
      </c>
      <c r="AM1555" s="182" t="n">
        <v>0</v>
      </c>
      <c r="AN1555" s="182" t="n">
        <v>0</v>
      </c>
    </row>
    <row r="1556">
      <c r="A1556" s="155" t="n">
        <v>46089</v>
      </c>
      <c r="B1556" s="156" t="inlineStr">
        <is>
          <t>DS</t>
        </is>
      </c>
      <c r="C1556" s="156" t="inlineStr">
        <is>
          <t>HT-406</t>
        </is>
      </c>
      <c r="D1556" s="156" t="inlineStr">
        <is>
          <t>SY430</t>
        </is>
      </c>
      <c r="E1556" s="156" t="inlineStr">
        <is>
          <t>DT Hauling</t>
        </is>
      </c>
      <c r="F1556" s="156" t="inlineStr"/>
      <c r="G1556" s="182" t="n">
        <v>0</v>
      </c>
      <c r="H1556" s="182" t="n">
        <v>0</v>
      </c>
      <c r="I1556" s="182" t="n">
        <v>12</v>
      </c>
      <c r="J1556" s="182" t="n">
        <v>12</v>
      </c>
      <c r="K1556" s="182" t="n">
        <v>0</v>
      </c>
      <c r="L1556" s="182" t="n">
        <v>12</v>
      </c>
      <c r="M1556" s="182" t="n">
        <v>0</v>
      </c>
      <c r="N1556" s="182" t="n">
        <v>0</v>
      </c>
      <c r="O1556" s="183" t="n">
        <v>0</v>
      </c>
      <c r="P1556" s="183" t="n">
        <v>0</v>
      </c>
      <c r="Q1556" s="184" t="n">
        <v>0</v>
      </c>
      <c r="R1556" s="184" t="n">
        <v>0</v>
      </c>
      <c r="S1556" s="183" t="n">
        <v>0</v>
      </c>
      <c r="T1556" s="183" t="n">
        <v>0</v>
      </c>
      <c r="U1556" s="182" t="n">
        <v>0</v>
      </c>
      <c r="V1556" s="182" t="n">
        <v>0</v>
      </c>
      <c r="W1556" s="182" t="n">
        <v>0</v>
      </c>
      <c r="X1556" s="182" t="n">
        <v>0</v>
      </c>
      <c r="Y1556" s="182" t="n">
        <v>0</v>
      </c>
      <c r="Z1556" s="182" t="n">
        <v>0</v>
      </c>
      <c r="AA1556" s="182" t="n">
        <v>0</v>
      </c>
      <c r="AB1556" s="182" t="n">
        <v>0</v>
      </c>
      <c r="AC1556" s="182" t="n">
        <v>0</v>
      </c>
      <c r="AD1556" s="182" t="n">
        <v>0</v>
      </c>
      <c r="AE1556" s="182" t="n">
        <v>0</v>
      </c>
      <c r="AF1556" s="182" t="n">
        <v>0</v>
      </c>
      <c r="AG1556" s="182" t="n">
        <v>0</v>
      </c>
      <c r="AH1556" s="182" t="n">
        <v>0</v>
      </c>
      <c r="AI1556" s="182" t="n">
        <v>0</v>
      </c>
      <c r="AJ1556" s="182" t="n">
        <v>0</v>
      </c>
      <c r="AK1556" s="182" t="n">
        <v>0</v>
      </c>
      <c r="AL1556" s="182" t="n">
        <v>0</v>
      </c>
      <c r="AM1556" s="182" t="n">
        <v>0</v>
      </c>
      <c r="AN1556" s="182" t="n">
        <v>0</v>
      </c>
    </row>
    <row r="1557">
      <c r="A1557" s="155" t="n">
        <v>46089</v>
      </c>
      <c r="B1557" s="156" t="inlineStr">
        <is>
          <t>DS</t>
        </is>
      </c>
      <c r="C1557" s="156" t="inlineStr">
        <is>
          <t>HT-405</t>
        </is>
      </c>
      <c r="D1557" s="156" t="inlineStr">
        <is>
          <t>SY430</t>
        </is>
      </c>
      <c r="E1557" s="156" t="inlineStr">
        <is>
          <t>DT Hauling</t>
        </is>
      </c>
      <c r="F1557" s="156" t="inlineStr"/>
      <c r="G1557" s="182" t="n">
        <v>0</v>
      </c>
      <c r="H1557" s="182" t="n">
        <v>0</v>
      </c>
      <c r="I1557" s="182" t="n">
        <v>0</v>
      </c>
      <c r="J1557" s="182" t="n">
        <v>0</v>
      </c>
      <c r="K1557" s="182" t="n">
        <v>12</v>
      </c>
      <c r="L1557" s="182" t="n">
        <v>12</v>
      </c>
      <c r="M1557" s="182" t="n">
        <v>0</v>
      </c>
      <c r="N1557" s="182" t="n">
        <v>0</v>
      </c>
      <c r="O1557" s="183" t="n">
        <v>0</v>
      </c>
      <c r="P1557" s="183" t="n">
        <v>0</v>
      </c>
      <c r="Q1557" s="184" t="n">
        <v>0</v>
      </c>
      <c r="R1557" s="184" t="n">
        <v>0</v>
      </c>
      <c r="S1557" s="183" t="n">
        <v>0</v>
      </c>
      <c r="T1557" s="183" t="n">
        <v>0</v>
      </c>
      <c r="U1557" s="182" t="n">
        <v>0</v>
      </c>
      <c r="V1557" s="182" t="n">
        <v>0</v>
      </c>
      <c r="W1557" s="182" t="n">
        <v>0</v>
      </c>
      <c r="X1557" s="182" t="n">
        <v>1</v>
      </c>
      <c r="Y1557" s="182" t="n">
        <v>0</v>
      </c>
      <c r="Z1557" s="182" t="n">
        <v>0</v>
      </c>
      <c r="AA1557" s="182" t="n">
        <v>0</v>
      </c>
      <c r="AB1557" s="182" t="n">
        <v>0</v>
      </c>
      <c r="AC1557" s="182" t="n">
        <v>0</v>
      </c>
      <c r="AD1557" s="182" t="n">
        <v>0</v>
      </c>
      <c r="AE1557" s="182" t="n">
        <v>0</v>
      </c>
      <c r="AF1557" s="182" t="n">
        <v>0</v>
      </c>
      <c r="AG1557" s="182" t="n">
        <v>0</v>
      </c>
      <c r="AH1557" s="182" t="n">
        <v>0</v>
      </c>
      <c r="AI1557" s="182" t="n">
        <v>0</v>
      </c>
      <c r="AJ1557" s="182" t="n">
        <v>0</v>
      </c>
      <c r="AK1557" s="182" t="n">
        <v>10.92</v>
      </c>
      <c r="AL1557" s="182" t="n">
        <v>0</v>
      </c>
      <c r="AM1557" s="182" t="n">
        <v>0.08</v>
      </c>
      <c r="AN1557" s="182" t="n">
        <v>0</v>
      </c>
    </row>
    <row r="1558">
      <c r="A1558" s="155" t="n">
        <v>46089</v>
      </c>
      <c r="B1558" s="156" t="inlineStr">
        <is>
          <t>DS</t>
        </is>
      </c>
      <c r="C1558" s="156" t="inlineStr">
        <is>
          <t>HT-417</t>
        </is>
      </c>
      <c r="D1558" s="156" t="inlineStr">
        <is>
          <t>SY430</t>
        </is>
      </c>
      <c r="E1558" s="156" t="inlineStr">
        <is>
          <t>DT Hauling</t>
        </is>
      </c>
      <c r="F1558" s="156" t="inlineStr"/>
      <c r="G1558" s="182" t="n">
        <v>0</v>
      </c>
      <c r="H1558" s="182" t="n">
        <v>0</v>
      </c>
      <c r="I1558" s="182" t="n">
        <v>0</v>
      </c>
      <c r="J1558" s="182" t="n">
        <v>0</v>
      </c>
      <c r="K1558" s="182" t="n">
        <v>12</v>
      </c>
      <c r="L1558" s="182" t="n">
        <v>12</v>
      </c>
      <c r="M1558" s="182" t="n">
        <v>0</v>
      </c>
      <c r="N1558" s="182" t="n">
        <v>0</v>
      </c>
      <c r="O1558" s="183" t="n">
        <v>0</v>
      </c>
      <c r="P1558" s="183" t="n">
        <v>0</v>
      </c>
      <c r="Q1558" s="184" t="n">
        <v>0</v>
      </c>
      <c r="R1558" s="184" t="n">
        <v>0</v>
      </c>
      <c r="S1558" s="183" t="n">
        <v>0</v>
      </c>
      <c r="T1558" s="183" t="n">
        <v>0</v>
      </c>
      <c r="U1558" s="182" t="n">
        <v>0</v>
      </c>
      <c r="V1558" s="182" t="n">
        <v>0</v>
      </c>
      <c r="W1558" s="182" t="n">
        <v>0</v>
      </c>
      <c r="X1558" s="182" t="n">
        <v>1</v>
      </c>
      <c r="Y1558" s="182" t="n">
        <v>0</v>
      </c>
      <c r="Z1558" s="182" t="n">
        <v>0</v>
      </c>
      <c r="AA1558" s="182" t="n">
        <v>0</v>
      </c>
      <c r="AB1558" s="182" t="n">
        <v>0</v>
      </c>
      <c r="AC1558" s="182" t="n">
        <v>0</v>
      </c>
      <c r="AD1558" s="182" t="n">
        <v>0</v>
      </c>
      <c r="AE1558" s="182" t="n">
        <v>0</v>
      </c>
      <c r="AF1558" s="182" t="n">
        <v>0</v>
      </c>
      <c r="AG1558" s="182" t="n">
        <v>0</v>
      </c>
      <c r="AH1558" s="182" t="n">
        <v>0</v>
      </c>
      <c r="AI1558" s="182" t="n">
        <v>0</v>
      </c>
      <c r="AJ1558" s="182" t="n">
        <v>0</v>
      </c>
      <c r="AK1558" s="182" t="n">
        <v>10.92</v>
      </c>
      <c r="AL1558" s="182" t="n">
        <v>0</v>
      </c>
      <c r="AM1558" s="182" t="n">
        <v>0.08</v>
      </c>
      <c r="AN1558" s="182" t="n">
        <v>0</v>
      </c>
    </row>
    <row r="1559">
      <c r="A1559" s="155" t="n">
        <v>46089</v>
      </c>
      <c r="B1559" s="156" t="inlineStr">
        <is>
          <t>DS</t>
        </is>
      </c>
      <c r="C1559" s="156" t="inlineStr">
        <is>
          <t>HT-401</t>
        </is>
      </c>
      <c r="D1559" s="156" t="inlineStr">
        <is>
          <t>SY430</t>
        </is>
      </c>
      <c r="E1559" s="156" t="inlineStr">
        <is>
          <t>DT Hauling</t>
        </is>
      </c>
      <c r="F1559" s="156" t="inlineStr"/>
      <c r="G1559" s="182" t="n">
        <v>0</v>
      </c>
      <c r="H1559" s="182" t="n">
        <v>0</v>
      </c>
      <c r="I1559" s="182" t="n">
        <v>0</v>
      </c>
      <c r="J1559" s="182" t="n">
        <v>0</v>
      </c>
      <c r="K1559" s="182" t="n">
        <v>12</v>
      </c>
      <c r="L1559" s="182" t="n">
        <v>12</v>
      </c>
      <c r="M1559" s="182" t="n">
        <v>0</v>
      </c>
      <c r="N1559" s="182" t="n">
        <v>0</v>
      </c>
      <c r="O1559" s="183" t="n">
        <v>0</v>
      </c>
      <c r="P1559" s="183" t="n">
        <v>0</v>
      </c>
      <c r="Q1559" s="184" t="n">
        <v>0</v>
      </c>
      <c r="R1559" s="184" t="n">
        <v>0</v>
      </c>
      <c r="S1559" s="183" t="n">
        <v>0</v>
      </c>
      <c r="T1559" s="183" t="n">
        <v>0</v>
      </c>
      <c r="U1559" s="182" t="n">
        <v>0</v>
      </c>
      <c r="V1559" s="182" t="n">
        <v>0</v>
      </c>
      <c r="W1559" s="182" t="n">
        <v>0</v>
      </c>
      <c r="X1559" s="182" t="n">
        <v>1</v>
      </c>
      <c r="Y1559" s="182" t="n">
        <v>0</v>
      </c>
      <c r="Z1559" s="182" t="n">
        <v>0</v>
      </c>
      <c r="AA1559" s="182" t="n">
        <v>0</v>
      </c>
      <c r="AB1559" s="182" t="n">
        <v>0</v>
      </c>
      <c r="AC1559" s="182" t="n">
        <v>0</v>
      </c>
      <c r="AD1559" s="182" t="n">
        <v>0</v>
      </c>
      <c r="AE1559" s="182" t="n">
        <v>0</v>
      </c>
      <c r="AF1559" s="182" t="n">
        <v>0</v>
      </c>
      <c r="AG1559" s="182" t="n">
        <v>0</v>
      </c>
      <c r="AH1559" s="182" t="n">
        <v>0</v>
      </c>
      <c r="AI1559" s="182" t="n">
        <v>0</v>
      </c>
      <c r="AJ1559" s="182" t="n">
        <v>0</v>
      </c>
      <c r="AK1559" s="182" t="n">
        <v>10.92</v>
      </c>
      <c r="AL1559" s="182" t="n">
        <v>0</v>
      </c>
      <c r="AM1559" s="182" t="n">
        <v>0.08</v>
      </c>
      <c r="AN1559" s="182" t="n">
        <v>0</v>
      </c>
    </row>
    <row r="1560">
      <c r="A1560" s="155" t="n">
        <v>46089</v>
      </c>
      <c r="B1560" s="156" t="inlineStr">
        <is>
          <t>DS</t>
        </is>
      </c>
      <c r="C1560" s="156" t="inlineStr">
        <is>
          <t>HT-410</t>
        </is>
      </c>
      <c r="D1560" s="156" t="inlineStr">
        <is>
          <t>SY430</t>
        </is>
      </c>
      <c r="E1560" s="156" t="inlineStr">
        <is>
          <t>DT Hauling</t>
        </is>
      </c>
      <c r="F1560" s="156" t="inlineStr"/>
      <c r="G1560" s="182" t="n">
        <v>0</v>
      </c>
      <c r="H1560" s="182" t="n">
        <v>0</v>
      </c>
      <c r="I1560" s="182" t="n">
        <v>0</v>
      </c>
      <c r="J1560" s="182" t="n">
        <v>0</v>
      </c>
      <c r="K1560" s="182" t="n">
        <v>12</v>
      </c>
      <c r="L1560" s="182" t="n">
        <v>12</v>
      </c>
      <c r="M1560" s="182" t="n">
        <v>0</v>
      </c>
      <c r="N1560" s="182" t="n">
        <v>0</v>
      </c>
      <c r="O1560" s="183" t="n">
        <v>0</v>
      </c>
      <c r="P1560" s="183" t="n">
        <v>0</v>
      </c>
      <c r="Q1560" s="184" t="n">
        <v>0</v>
      </c>
      <c r="R1560" s="184" t="n">
        <v>0</v>
      </c>
      <c r="S1560" s="183" t="n">
        <v>0</v>
      </c>
      <c r="T1560" s="183" t="n">
        <v>0</v>
      </c>
      <c r="U1560" s="182" t="n">
        <v>0</v>
      </c>
      <c r="V1560" s="182" t="n">
        <v>0</v>
      </c>
      <c r="W1560" s="182" t="n">
        <v>0</v>
      </c>
      <c r="X1560" s="182" t="n">
        <v>1</v>
      </c>
      <c r="Y1560" s="182" t="n">
        <v>0</v>
      </c>
      <c r="Z1560" s="182" t="n">
        <v>0</v>
      </c>
      <c r="AA1560" s="182" t="n">
        <v>0</v>
      </c>
      <c r="AB1560" s="182" t="n">
        <v>0</v>
      </c>
      <c r="AC1560" s="182" t="n">
        <v>0</v>
      </c>
      <c r="AD1560" s="182" t="n">
        <v>0</v>
      </c>
      <c r="AE1560" s="182" t="n">
        <v>0</v>
      </c>
      <c r="AF1560" s="182" t="n">
        <v>0</v>
      </c>
      <c r="AG1560" s="182" t="n">
        <v>0</v>
      </c>
      <c r="AH1560" s="182" t="n">
        <v>0</v>
      </c>
      <c r="AI1560" s="182" t="n">
        <v>0</v>
      </c>
      <c r="AJ1560" s="182" t="n">
        <v>0</v>
      </c>
      <c r="AK1560" s="182" t="n">
        <v>10.92</v>
      </c>
      <c r="AL1560" s="182" t="n">
        <v>0</v>
      </c>
      <c r="AM1560" s="182" t="n">
        <v>0.08</v>
      </c>
      <c r="AN1560" s="182" t="n">
        <v>0</v>
      </c>
    </row>
    <row r="1561">
      <c r="A1561" s="155" t="n">
        <v>46089</v>
      </c>
      <c r="B1561" s="156" t="inlineStr">
        <is>
          <t>DS</t>
        </is>
      </c>
      <c r="C1561" s="156" t="inlineStr">
        <is>
          <t>HT-402</t>
        </is>
      </c>
      <c r="D1561" s="156" t="inlineStr">
        <is>
          <t>SY430</t>
        </is>
      </c>
      <c r="E1561" s="156" t="inlineStr">
        <is>
          <t>DT Hauling</t>
        </is>
      </c>
      <c r="F1561" s="156" t="inlineStr"/>
      <c r="G1561" s="182" t="n">
        <v>0</v>
      </c>
      <c r="H1561" s="182" t="n">
        <v>0</v>
      </c>
      <c r="I1561" s="182" t="n">
        <v>0</v>
      </c>
      <c r="J1561" s="182" t="n">
        <v>0</v>
      </c>
      <c r="K1561" s="182" t="n">
        <v>12</v>
      </c>
      <c r="L1561" s="182" t="n">
        <v>12</v>
      </c>
      <c r="M1561" s="182" t="n">
        <v>0</v>
      </c>
      <c r="N1561" s="182" t="n">
        <v>0</v>
      </c>
      <c r="O1561" s="183" t="n">
        <v>0</v>
      </c>
      <c r="P1561" s="183" t="n">
        <v>0</v>
      </c>
      <c r="Q1561" s="184" t="n">
        <v>0</v>
      </c>
      <c r="R1561" s="184" t="n">
        <v>0</v>
      </c>
      <c r="S1561" s="183" t="n">
        <v>0</v>
      </c>
      <c r="T1561" s="183" t="n">
        <v>0</v>
      </c>
      <c r="U1561" s="182" t="n">
        <v>0</v>
      </c>
      <c r="V1561" s="182" t="n">
        <v>0</v>
      </c>
      <c r="W1561" s="182" t="n">
        <v>0</v>
      </c>
      <c r="X1561" s="182" t="n">
        <v>1</v>
      </c>
      <c r="Y1561" s="182" t="n">
        <v>0</v>
      </c>
      <c r="Z1561" s="182" t="n">
        <v>0</v>
      </c>
      <c r="AA1561" s="182" t="n">
        <v>0</v>
      </c>
      <c r="AB1561" s="182" t="n">
        <v>0</v>
      </c>
      <c r="AC1561" s="182" t="n">
        <v>0</v>
      </c>
      <c r="AD1561" s="182" t="n">
        <v>0</v>
      </c>
      <c r="AE1561" s="182" t="n">
        <v>0</v>
      </c>
      <c r="AF1561" s="182" t="n">
        <v>0</v>
      </c>
      <c r="AG1561" s="182" t="n">
        <v>0</v>
      </c>
      <c r="AH1561" s="182" t="n">
        <v>0</v>
      </c>
      <c r="AI1561" s="182" t="n">
        <v>0</v>
      </c>
      <c r="AJ1561" s="182" t="n">
        <v>0</v>
      </c>
      <c r="AK1561" s="182" t="n">
        <v>10.92</v>
      </c>
      <c r="AL1561" s="182" t="n">
        <v>0</v>
      </c>
      <c r="AM1561" s="182" t="n">
        <v>0.08</v>
      </c>
      <c r="AN1561" s="182" t="n">
        <v>0</v>
      </c>
    </row>
    <row r="1562">
      <c r="A1562" s="155" t="n">
        <v>46089</v>
      </c>
      <c r="B1562" s="156" t="inlineStr">
        <is>
          <t>DS</t>
        </is>
      </c>
      <c r="C1562" s="156" t="inlineStr">
        <is>
          <t>HT-419</t>
        </is>
      </c>
      <c r="D1562" s="156" t="inlineStr">
        <is>
          <t>SY430</t>
        </is>
      </c>
      <c r="E1562" s="156" t="inlineStr">
        <is>
          <t>DT Hauling</t>
        </is>
      </c>
      <c r="F1562" s="156" t="inlineStr"/>
      <c r="G1562" s="182" t="n">
        <v>0</v>
      </c>
      <c r="H1562" s="182" t="n">
        <v>0</v>
      </c>
      <c r="I1562" s="182" t="n">
        <v>0</v>
      </c>
      <c r="J1562" s="182" t="n">
        <v>0</v>
      </c>
      <c r="K1562" s="182" t="n">
        <v>12</v>
      </c>
      <c r="L1562" s="182" t="n">
        <v>12</v>
      </c>
      <c r="M1562" s="182" t="n">
        <v>0</v>
      </c>
      <c r="N1562" s="182" t="n">
        <v>0</v>
      </c>
      <c r="O1562" s="183" t="n">
        <v>0</v>
      </c>
      <c r="P1562" s="183" t="n">
        <v>0</v>
      </c>
      <c r="Q1562" s="184" t="n">
        <v>0</v>
      </c>
      <c r="R1562" s="184" t="n">
        <v>0</v>
      </c>
      <c r="S1562" s="183" t="n">
        <v>0</v>
      </c>
      <c r="T1562" s="183" t="n">
        <v>0</v>
      </c>
      <c r="U1562" s="182" t="n">
        <v>0</v>
      </c>
      <c r="V1562" s="182" t="n">
        <v>0</v>
      </c>
      <c r="W1562" s="182" t="n">
        <v>0</v>
      </c>
      <c r="X1562" s="182" t="n">
        <v>1</v>
      </c>
      <c r="Y1562" s="182" t="n">
        <v>0</v>
      </c>
      <c r="Z1562" s="182" t="n">
        <v>0</v>
      </c>
      <c r="AA1562" s="182" t="n">
        <v>0</v>
      </c>
      <c r="AB1562" s="182" t="n">
        <v>0</v>
      </c>
      <c r="AC1562" s="182" t="n">
        <v>0</v>
      </c>
      <c r="AD1562" s="182" t="n">
        <v>0</v>
      </c>
      <c r="AE1562" s="182" t="n">
        <v>0</v>
      </c>
      <c r="AF1562" s="182" t="n">
        <v>0</v>
      </c>
      <c r="AG1562" s="182" t="n">
        <v>0</v>
      </c>
      <c r="AH1562" s="182" t="n">
        <v>0</v>
      </c>
      <c r="AI1562" s="182" t="n">
        <v>0</v>
      </c>
      <c r="AJ1562" s="182" t="n">
        <v>0</v>
      </c>
      <c r="AK1562" s="182" t="n">
        <v>10.92</v>
      </c>
      <c r="AL1562" s="182" t="n">
        <v>0</v>
      </c>
      <c r="AM1562" s="182" t="n">
        <v>0.08</v>
      </c>
      <c r="AN1562" s="182" t="n">
        <v>0</v>
      </c>
    </row>
    <row r="1563">
      <c r="A1563" s="155" t="n">
        <v>46089</v>
      </c>
      <c r="B1563" s="156" t="inlineStr">
        <is>
          <t>DS</t>
        </is>
      </c>
      <c r="C1563" s="156" t="inlineStr">
        <is>
          <t>HT-416</t>
        </is>
      </c>
      <c r="D1563" s="156" t="inlineStr">
        <is>
          <t>SY430</t>
        </is>
      </c>
      <c r="E1563" s="156" t="inlineStr">
        <is>
          <t>DT Hauling</t>
        </is>
      </c>
      <c r="F1563" s="156" t="inlineStr"/>
      <c r="G1563" s="182" t="n">
        <v>0</v>
      </c>
      <c r="H1563" s="182" t="n">
        <v>0</v>
      </c>
      <c r="I1563" s="182" t="n">
        <v>0</v>
      </c>
      <c r="J1563" s="182" t="n">
        <v>0</v>
      </c>
      <c r="K1563" s="182" t="n">
        <v>12</v>
      </c>
      <c r="L1563" s="182" t="n">
        <v>12</v>
      </c>
      <c r="M1563" s="182" t="n">
        <v>0</v>
      </c>
      <c r="N1563" s="182" t="n">
        <v>0</v>
      </c>
      <c r="O1563" s="183" t="n">
        <v>0</v>
      </c>
      <c r="P1563" s="183" t="n">
        <v>0</v>
      </c>
      <c r="Q1563" s="184" t="n">
        <v>0</v>
      </c>
      <c r="R1563" s="184" t="n">
        <v>0</v>
      </c>
      <c r="S1563" s="183" t="n">
        <v>0</v>
      </c>
      <c r="T1563" s="183" t="n">
        <v>0</v>
      </c>
      <c r="U1563" s="182" t="n">
        <v>0</v>
      </c>
      <c r="V1563" s="182" t="n">
        <v>0</v>
      </c>
      <c r="W1563" s="182" t="n">
        <v>0</v>
      </c>
      <c r="X1563" s="182" t="n">
        <v>1</v>
      </c>
      <c r="Y1563" s="182" t="n">
        <v>0</v>
      </c>
      <c r="Z1563" s="182" t="n">
        <v>0</v>
      </c>
      <c r="AA1563" s="182" t="n">
        <v>0</v>
      </c>
      <c r="AB1563" s="182" t="n">
        <v>0</v>
      </c>
      <c r="AC1563" s="182" t="n">
        <v>0</v>
      </c>
      <c r="AD1563" s="182" t="n">
        <v>0</v>
      </c>
      <c r="AE1563" s="182" t="n">
        <v>0</v>
      </c>
      <c r="AF1563" s="182" t="n">
        <v>0</v>
      </c>
      <c r="AG1563" s="182" t="n">
        <v>0</v>
      </c>
      <c r="AH1563" s="182" t="n">
        <v>0</v>
      </c>
      <c r="AI1563" s="182" t="n">
        <v>0</v>
      </c>
      <c r="AJ1563" s="182" t="n">
        <v>0</v>
      </c>
      <c r="AK1563" s="182" t="n">
        <v>10.92</v>
      </c>
      <c r="AL1563" s="182" t="n">
        <v>0</v>
      </c>
      <c r="AM1563" s="182" t="n">
        <v>0.08</v>
      </c>
      <c r="AN1563" s="182" t="n">
        <v>0</v>
      </c>
    </row>
    <row r="1564">
      <c r="A1564" s="155" t="n">
        <v>46089</v>
      </c>
      <c r="B1564" s="156" t="inlineStr">
        <is>
          <t>DS</t>
        </is>
      </c>
      <c r="C1564" s="156" t="inlineStr">
        <is>
          <t>HT-420</t>
        </is>
      </c>
      <c r="D1564" s="156" t="inlineStr">
        <is>
          <t>SY430</t>
        </is>
      </c>
      <c r="E1564" s="156" t="inlineStr">
        <is>
          <t>DT Hauling</t>
        </is>
      </c>
      <c r="F1564" s="156" t="inlineStr"/>
      <c r="G1564" s="182" t="n">
        <v>0</v>
      </c>
      <c r="H1564" s="182" t="n">
        <v>0</v>
      </c>
      <c r="I1564" s="182" t="n">
        <v>0</v>
      </c>
      <c r="J1564" s="182" t="n">
        <v>0</v>
      </c>
      <c r="K1564" s="182" t="n">
        <v>12</v>
      </c>
      <c r="L1564" s="182" t="n">
        <v>12</v>
      </c>
      <c r="M1564" s="182" t="n">
        <v>0</v>
      </c>
      <c r="N1564" s="182" t="n">
        <v>0</v>
      </c>
      <c r="O1564" s="183" t="n">
        <v>0</v>
      </c>
      <c r="P1564" s="183" t="n">
        <v>0</v>
      </c>
      <c r="Q1564" s="184" t="n">
        <v>0</v>
      </c>
      <c r="R1564" s="184" t="n">
        <v>0</v>
      </c>
      <c r="S1564" s="183" t="n">
        <v>0</v>
      </c>
      <c r="T1564" s="183" t="n">
        <v>0</v>
      </c>
      <c r="U1564" s="182" t="n">
        <v>0</v>
      </c>
      <c r="V1564" s="182" t="n">
        <v>0</v>
      </c>
      <c r="W1564" s="182" t="n">
        <v>0</v>
      </c>
      <c r="X1564" s="182" t="n">
        <v>1</v>
      </c>
      <c r="Y1564" s="182" t="n">
        <v>0</v>
      </c>
      <c r="Z1564" s="182" t="n">
        <v>0</v>
      </c>
      <c r="AA1564" s="182" t="n">
        <v>0</v>
      </c>
      <c r="AB1564" s="182" t="n">
        <v>0</v>
      </c>
      <c r="AC1564" s="182" t="n">
        <v>0</v>
      </c>
      <c r="AD1564" s="182" t="n">
        <v>0</v>
      </c>
      <c r="AE1564" s="182" t="n">
        <v>0</v>
      </c>
      <c r="AF1564" s="182" t="n">
        <v>0</v>
      </c>
      <c r="AG1564" s="182" t="n">
        <v>0</v>
      </c>
      <c r="AH1564" s="182" t="n">
        <v>0</v>
      </c>
      <c r="AI1564" s="182" t="n">
        <v>0</v>
      </c>
      <c r="AJ1564" s="182" t="n">
        <v>0</v>
      </c>
      <c r="AK1564" s="182" t="n">
        <v>10.92</v>
      </c>
      <c r="AL1564" s="182" t="n">
        <v>0</v>
      </c>
      <c r="AM1564" s="182" t="n">
        <v>0.08</v>
      </c>
      <c r="AN1564" s="182" t="n">
        <v>0</v>
      </c>
    </row>
    <row r="1565">
      <c r="A1565" s="155" t="n">
        <v>46089</v>
      </c>
      <c r="B1565" s="156" t="inlineStr">
        <is>
          <t>DS</t>
        </is>
      </c>
      <c r="C1565" s="156" t="inlineStr">
        <is>
          <t>HT-403</t>
        </is>
      </c>
      <c r="D1565" s="156" t="inlineStr">
        <is>
          <t>SY430</t>
        </is>
      </c>
      <c r="E1565" s="156" t="inlineStr">
        <is>
          <t>DT Hauling</t>
        </is>
      </c>
      <c r="F1565" s="156" t="inlineStr"/>
      <c r="G1565" s="182" t="n">
        <v>0</v>
      </c>
      <c r="H1565" s="182" t="n">
        <v>0</v>
      </c>
      <c r="I1565" s="182" t="n">
        <v>0</v>
      </c>
      <c r="J1565" s="182" t="n">
        <v>0</v>
      </c>
      <c r="K1565" s="182" t="n">
        <v>12</v>
      </c>
      <c r="L1565" s="182" t="n">
        <v>12</v>
      </c>
      <c r="M1565" s="182" t="n">
        <v>0</v>
      </c>
      <c r="N1565" s="182" t="n">
        <v>0</v>
      </c>
      <c r="O1565" s="183" t="n">
        <v>0</v>
      </c>
      <c r="P1565" s="183" t="n">
        <v>0</v>
      </c>
      <c r="Q1565" s="184" t="n">
        <v>0</v>
      </c>
      <c r="R1565" s="184" t="n">
        <v>0</v>
      </c>
      <c r="S1565" s="183" t="n">
        <v>0</v>
      </c>
      <c r="T1565" s="183" t="n">
        <v>0</v>
      </c>
      <c r="U1565" s="182" t="n">
        <v>0</v>
      </c>
      <c r="V1565" s="182" t="n">
        <v>0</v>
      </c>
      <c r="W1565" s="182" t="n">
        <v>0</v>
      </c>
      <c r="X1565" s="182" t="n">
        <v>1</v>
      </c>
      <c r="Y1565" s="182" t="n">
        <v>0</v>
      </c>
      <c r="Z1565" s="182" t="n">
        <v>0</v>
      </c>
      <c r="AA1565" s="182" t="n">
        <v>0</v>
      </c>
      <c r="AB1565" s="182" t="n">
        <v>0</v>
      </c>
      <c r="AC1565" s="182" t="n">
        <v>0</v>
      </c>
      <c r="AD1565" s="182" t="n">
        <v>0</v>
      </c>
      <c r="AE1565" s="182" t="n">
        <v>0</v>
      </c>
      <c r="AF1565" s="182" t="n">
        <v>0</v>
      </c>
      <c r="AG1565" s="182" t="n">
        <v>0</v>
      </c>
      <c r="AH1565" s="182" t="n">
        <v>0</v>
      </c>
      <c r="AI1565" s="182" t="n">
        <v>0</v>
      </c>
      <c r="AJ1565" s="182" t="n">
        <v>0</v>
      </c>
      <c r="AK1565" s="182" t="n">
        <v>10.92</v>
      </c>
      <c r="AL1565" s="182" t="n">
        <v>0</v>
      </c>
      <c r="AM1565" s="182" t="n">
        <v>0.08</v>
      </c>
      <c r="AN1565" s="182" t="n">
        <v>0</v>
      </c>
    </row>
    <row r="1566">
      <c r="A1566" s="155" t="n">
        <v>46089</v>
      </c>
      <c r="B1566" s="156" t="inlineStr">
        <is>
          <t>DS</t>
        </is>
      </c>
      <c r="C1566" s="156" t="inlineStr">
        <is>
          <t>HT-408</t>
        </is>
      </c>
      <c r="D1566" s="156" t="inlineStr">
        <is>
          <t>SY430</t>
        </is>
      </c>
      <c r="E1566" s="156" t="inlineStr">
        <is>
          <t>DT Hauling</t>
        </is>
      </c>
      <c r="F1566" s="156" t="inlineStr"/>
      <c r="G1566" s="182" t="n">
        <v>0</v>
      </c>
      <c r="H1566" s="182" t="n">
        <v>0</v>
      </c>
      <c r="I1566" s="182" t="n">
        <v>3</v>
      </c>
      <c r="J1566" s="182" t="n">
        <v>3</v>
      </c>
      <c r="K1566" s="182" t="n">
        <v>9</v>
      </c>
      <c r="L1566" s="182" t="n">
        <v>12</v>
      </c>
      <c r="M1566" s="182" t="n">
        <v>0</v>
      </c>
      <c r="N1566" s="182" t="n">
        <v>0</v>
      </c>
      <c r="O1566" s="183" t="n">
        <v>0</v>
      </c>
      <c r="P1566" s="183" t="n">
        <v>0</v>
      </c>
      <c r="Q1566" s="184" t="n">
        <v>0</v>
      </c>
      <c r="R1566" s="184" t="n">
        <v>0</v>
      </c>
      <c r="S1566" s="183" t="n">
        <v>0</v>
      </c>
      <c r="T1566" s="183" t="n">
        <v>0</v>
      </c>
      <c r="U1566" s="182" t="n">
        <v>0</v>
      </c>
      <c r="V1566" s="182" t="n">
        <v>0</v>
      </c>
      <c r="W1566" s="182" t="n">
        <v>0</v>
      </c>
      <c r="X1566" s="182" t="n">
        <v>1</v>
      </c>
      <c r="Y1566" s="182" t="n">
        <v>0</v>
      </c>
      <c r="Z1566" s="182" t="n">
        <v>0</v>
      </c>
      <c r="AA1566" s="182" t="n">
        <v>0</v>
      </c>
      <c r="AB1566" s="182" t="n">
        <v>0</v>
      </c>
      <c r="AC1566" s="182" t="n">
        <v>0</v>
      </c>
      <c r="AD1566" s="182" t="n">
        <v>0</v>
      </c>
      <c r="AE1566" s="182" t="n">
        <v>0</v>
      </c>
      <c r="AF1566" s="182" t="n">
        <v>0</v>
      </c>
      <c r="AG1566" s="182" t="n">
        <v>0</v>
      </c>
      <c r="AH1566" s="182" t="n">
        <v>0</v>
      </c>
      <c r="AI1566" s="182" t="n">
        <v>0</v>
      </c>
      <c r="AJ1566" s="182" t="n">
        <v>0</v>
      </c>
      <c r="AK1566" s="182" t="n">
        <v>7.92</v>
      </c>
      <c r="AL1566" s="182" t="n">
        <v>0</v>
      </c>
      <c r="AM1566" s="182" t="n">
        <v>0.08</v>
      </c>
      <c r="AN1566" s="182" t="n">
        <v>0</v>
      </c>
    </row>
    <row r="1567">
      <c r="A1567" s="155" t="n">
        <v>46089</v>
      </c>
      <c r="B1567" s="156" t="inlineStr">
        <is>
          <t>DS</t>
        </is>
      </c>
      <c r="C1567" s="156" t="inlineStr">
        <is>
          <t>HT-412</t>
        </is>
      </c>
      <c r="D1567" s="156" t="inlineStr">
        <is>
          <t>SY430</t>
        </is>
      </c>
      <c r="E1567" s="156" t="inlineStr">
        <is>
          <t>DT Hauling</t>
        </is>
      </c>
      <c r="F1567" s="156" t="inlineStr"/>
      <c r="G1567" s="182" t="n">
        <v>0</v>
      </c>
      <c r="H1567" s="182" t="n">
        <v>0</v>
      </c>
      <c r="I1567" s="182" t="n">
        <v>0</v>
      </c>
      <c r="J1567" s="182" t="n">
        <v>0</v>
      </c>
      <c r="K1567" s="182" t="n">
        <v>12</v>
      </c>
      <c r="L1567" s="182" t="n">
        <v>12</v>
      </c>
      <c r="M1567" s="182" t="n">
        <v>0</v>
      </c>
      <c r="N1567" s="182" t="n">
        <v>0</v>
      </c>
      <c r="O1567" s="183" t="n">
        <v>0</v>
      </c>
      <c r="P1567" s="183" t="n">
        <v>0</v>
      </c>
      <c r="Q1567" s="184" t="n">
        <v>0</v>
      </c>
      <c r="R1567" s="184" t="n">
        <v>0</v>
      </c>
      <c r="S1567" s="183" t="n">
        <v>0</v>
      </c>
      <c r="T1567" s="183" t="n">
        <v>0</v>
      </c>
      <c r="U1567" s="182" t="n">
        <v>0</v>
      </c>
      <c r="V1567" s="182" t="n">
        <v>0</v>
      </c>
      <c r="W1567" s="182" t="n">
        <v>0</v>
      </c>
      <c r="X1567" s="182" t="n">
        <v>1</v>
      </c>
      <c r="Y1567" s="182" t="n">
        <v>0</v>
      </c>
      <c r="Z1567" s="182" t="n">
        <v>0</v>
      </c>
      <c r="AA1567" s="182" t="n">
        <v>0</v>
      </c>
      <c r="AB1567" s="182" t="n">
        <v>0</v>
      </c>
      <c r="AC1567" s="182" t="n">
        <v>0</v>
      </c>
      <c r="AD1567" s="182" t="n">
        <v>0</v>
      </c>
      <c r="AE1567" s="182" t="n">
        <v>0</v>
      </c>
      <c r="AF1567" s="182" t="n">
        <v>0</v>
      </c>
      <c r="AG1567" s="182" t="n">
        <v>0</v>
      </c>
      <c r="AH1567" s="182" t="n">
        <v>0</v>
      </c>
      <c r="AI1567" s="182" t="n">
        <v>0</v>
      </c>
      <c r="AJ1567" s="182" t="n">
        <v>0</v>
      </c>
      <c r="AK1567" s="182" t="n">
        <v>10.92</v>
      </c>
      <c r="AL1567" s="182" t="n">
        <v>0</v>
      </c>
      <c r="AM1567" s="182" t="n">
        <v>0.08</v>
      </c>
      <c r="AN1567" s="182" t="n">
        <v>0</v>
      </c>
    </row>
    <row r="1568">
      <c r="A1568" s="155" t="n">
        <v>46089</v>
      </c>
      <c r="B1568" s="156" t="inlineStr">
        <is>
          <t>DS</t>
        </is>
      </c>
      <c r="C1568" s="156" t="inlineStr">
        <is>
          <t>HT-413</t>
        </is>
      </c>
      <c r="D1568" s="156" t="inlineStr">
        <is>
          <t>SY430</t>
        </is>
      </c>
      <c r="E1568" s="156" t="inlineStr">
        <is>
          <t>DT Hauling</t>
        </is>
      </c>
      <c r="F1568" s="156" t="inlineStr"/>
      <c r="G1568" s="182" t="n">
        <v>0</v>
      </c>
      <c r="H1568" s="182" t="n">
        <v>0</v>
      </c>
      <c r="I1568" s="182" t="n">
        <v>12</v>
      </c>
      <c r="J1568" s="182" t="n">
        <v>12</v>
      </c>
      <c r="K1568" s="182" t="n">
        <v>0</v>
      </c>
      <c r="L1568" s="182" t="n">
        <v>12</v>
      </c>
      <c r="M1568" s="182" t="n">
        <v>0</v>
      </c>
      <c r="N1568" s="182" t="n">
        <v>0</v>
      </c>
      <c r="O1568" s="183" t="n">
        <v>0</v>
      </c>
      <c r="P1568" s="183" t="n">
        <v>0</v>
      </c>
      <c r="Q1568" s="184" t="n">
        <v>0</v>
      </c>
      <c r="R1568" s="184" t="n">
        <v>0</v>
      </c>
      <c r="S1568" s="183" t="n">
        <v>0</v>
      </c>
      <c r="T1568" s="183" t="n">
        <v>0</v>
      </c>
      <c r="U1568" s="182" t="n">
        <v>0</v>
      </c>
      <c r="V1568" s="182" t="n">
        <v>0</v>
      </c>
      <c r="W1568" s="182" t="n">
        <v>0</v>
      </c>
      <c r="X1568" s="182" t="n">
        <v>0</v>
      </c>
      <c r="Y1568" s="182" t="n">
        <v>0</v>
      </c>
      <c r="Z1568" s="182" t="n">
        <v>0</v>
      </c>
      <c r="AA1568" s="182" t="n">
        <v>0</v>
      </c>
      <c r="AB1568" s="182" t="n">
        <v>0</v>
      </c>
      <c r="AC1568" s="182" t="n">
        <v>0</v>
      </c>
      <c r="AD1568" s="182" t="n">
        <v>0</v>
      </c>
      <c r="AE1568" s="182" t="n">
        <v>0</v>
      </c>
      <c r="AF1568" s="182" t="n">
        <v>0</v>
      </c>
      <c r="AG1568" s="182" t="n">
        <v>0</v>
      </c>
      <c r="AH1568" s="182" t="n">
        <v>0</v>
      </c>
      <c r="AI1568" s="182" t="n">
        <v>0</v>
      </c>
      <c r="AJ1568" s="182" t="n">
        <v>0</v>
      </c>
      <c r="AK1568" s="182" t="n">
        <v>0</v>
      </c>
      <c r="AL1568" s="182" t="n">
        <v>0</v>
      </c>
      <c r="AM1568" s="182" t="n">
        <v>0</v>
      </c>
      <c r="AN1568" s="182" t="n">
        <v>0</v>
      </c>
    </row>
    <row r="1569">
      <c r="A1569" s="155" t="n">
        <v>46089</v>
      </c>
      <c r="B1569" s="156" t="inlineStr">
        <is>
          <t>DS</t>
        </is>
      </c>
      <c r="C1569" s="156" t="inlineStr">
        <is>
          <t>HT-407</t>
        </is>
      </c>
      <c r="D1569" s="156" t="inlineStr">
        <is>
          <t>SY430</t>
        </is>
      </c>
      <c r="E1569" s="156" t="inlineStr">
        <is>
          <t>DT Hauling</t>
        </is>
      </c>
      <c r="F1569" s="156" t="inlineStr"/>
      <c r="G1569" s="182" t="n">
        <v>0</v>
      </c>
      <c r="H1569" s="182" t="n">
        <v>0</v>
      </c>
      <c r="I1569" s="182" t="n">
        <v>0</v>
      </c>
      <c r="J1569" s="182" t="n">
        <v>0</v>
      </c>
      <c r="K1569" s="182" t="n">
        <v>12</v>
      </c>
      <c r="L1569" s="182" t="n">
        <v>12</v>
      </c>
      <c r="M1569" s="182" t="n">
        <v>0</v>
      </c>
      <c r="N1569" s="182" t="n">
        <v>0</v>
      </c>
      <c r="O1569" s="183" t="n">
        <v>0</v>
      </c>
      <c r="P1569" s="183" t="n">
        <v>0</v>
      </c>
      <c r="Q1569" s="184" t="n">
        <v>0</v>
      </c>
      <c r="R1569" s="184" t="n">
        <v>0</v>
      </c>
      <c r="S1569" s="183" t="n">
        <v>0</v>
      </c>
      <c r="T1569" s="183" t="n">
        <v>0</v>
      </c>
      <c r="U1569" s="182" t="n">
        <v>0</v>
      </c>
      <c r="V1569" s="182" t="n">
        <v>0</v>
      </c>
      <c r="W1569" s="182" t="n">
        <v>0</v>
      </c>
      <c r="X1569" s="182" t="n">
        <v>1</v>
      </c>
      <c r="Y1569" s="182" t="n">
        <v>0</v>
      </c>
      <c r="Z1569" s="182" t="n">
        <v>0</v>
      </c>
      <c r="AA1569" s="182" t="n">
        <v>0</v>
      </c>
      <c r="AB1569" s="182" t="n">
        <v>0</v>
      </c>
      <c r="AC1569" s="182" t="n">
        <v>0</v>
      </c>
      <c r="AD1569" s="182" t="n">
        <v>0</v>
      </c>
      <c r="AE1569" s="182" t="n">
        <v>0</v>
      </c>
      <c r="AF1569" s="182" t="n">
        <v>0</v>
      </c>
      <c r="AG1569" s="182" t="n">
        <v>0</v>
      </c>
      <c r="AH1569" s="182" t="n">
        <v>0</v>
      </c>
      <c r="AI1569" s="182" t="n">
        <v>0</v>
      </c>
      <c r="AJ1569" s="182" t="n">
        <v>0</v>
      </c>
      <c r="AK1569" s="182" t="n">
        <v>10.92</v>
      </c>
      <c r="AL1569" s="182" t="n">
        <v>0</v>
      </c>
      <c r="AM1569" s="182" t="n">
        <v>0.08</v>
      </c>
      <c r="AN1569" s="182" t="n">
        <v>0</v>
      </c>
    </row>
    <row r="1570">
      <c r="A1570" s="155" t="n">
        <v>46089</v>
      </c>
      <c r="B1570" s="156" t="inlineStr">
        <is>
          <t>DS</t>
        </is>
      </c>
      <c r="C1570" s="156" t="inlineStr">
        <is>
          <t>HT-414</t>
        </is>
      </c>
      <c r="D1570" s="156" t="inlineStr">
        <is>
          <t>SY430</t>
        </is>
      </c>
      <c r="E1570" s="156" t="inlineStr">
        <is>
          <t>DT Hauling</t>
        </is>
      </c>
      <c r="F1570" s="156" t="inlineStr"/>
      <c r="G1570" s="182" t="n">
        <v>0</v>
      </c>
      <c r="H1570" s="182" t="n">
        <v>0</v>
      </c>
      <c r="I1570" s="182" t="n">
        <v>2</v>
      </c>
      <c r="J1570" s="182" t="n">
        <v>2</v>
      </c>
      <c r="K1570" s="182" t="n">
        <v>10</v>
      </c>
      <c r="L1570" s="182" t="n">
        <v>12</v>
      </c>
      <c r="M1570" s="182" t="n">
        <v>0</v>
      </c>
      <c r="N1570" s="182" t="n">
        <v>0</v>
      </c>
      <c r="O1570" s="183" t="n">
        <v>0</v>
      </c>
      <c r="P1570" s="183" t="n">
        <v>0</v>
      </c>
      <c r="Q1570" s="184" t="n">
        <v>0</v>
      </c>
      <c r="R1570" s="184" t="n">
        <v>0</v>
      </c>
      <c r="S1570" s="183" t="n">
        <v>0</v>
      </c>
      <c r="T1570" s="183" t="n">
        <v>0</v>
      </c>
      <c r="U1570" s="182" t="n">
        <v>0</v>
      </c>
      <c r="V1570" s="182" t="n">
        <v>0</v>
      </c>
      <c r="W1570" s="182" t="n">
        <v>0</v>
      </c>
      <c r="X1570" s="182" t="n">
        <v>1</v>
      </c>
      <c r="Y1570" s="182" t="n">
        <v>0</v>
      </c>
      <c r="Z1570" s="182" t="n">
        <v>0</v>
      </c>
      <c r="AA1570" s="182" t="n">
        <v>0</v>
      </c>
      <c r="AB1570" s="182" t="n">
        <v>0</v>
      </c>
      <c r="AC1570" s="182" t="n">
        <v>0</v>
      </c>
      <c r="AD1570" s="182" t="n">
        <v>0</v>
      </c>
      <c r="AE1570" s="182" t="n">
        <v>0</v>
      </c>
      <c r="AF1570" s="182" t="n">
        <v>0</v>
      </c>
      <c r="AG1570" s="182" t="n">
        <v>0</v>
      </c>
      <c r="AH1570" s="182" t="n">
        <v>0</v>
      </c>
      <c r="AI1570" s="182" t="n">
        <v>0</v>
      </c>
      <c r="AJ1570" s="182" t="n">
        <v>0</v>
      </c>
      <c r="AK1570" s="182" t="n">
        <v>8.92</v>
      </c>
      <c r="AL1570" s="182" t="n">
        <v>0</v>
      </c>
      <c r="AM1570" s="182" t="n">
        <v>0.08</v>
      </c>
      <c r="AN1570" s="182" t="n">
        <v>0</v>
      </c>
    </row>
    <row r="1571">
      <c r="A1571" s="155" t="n">
        <v>46089</v>
      </c>
      <c r="B1571" s="156" t="inlineStr">
        <is>
          <t>DS</t>
        </is>
      </c>
      <c r="C1571" s="156" t="inlineStr">
        <is>
          <t>HT-411</t>
        </is>
      </c>
      <c r="D1571" s="156" t="inlineStr">
        <is>
          <t>SY430</t>
        </is>
      </c>
      <c r="E1571" s="156" t="inlineStr">
        <is>
          <t>DT Hauling</t>
        </is>
      </c>
      <c r="F1571" s="156" t="inlineStr"/>
      <c r="G1571" s="182" t="n">
        <v>0</v>
      </c>
      <c r="H1571" s="182" t="n">
        <v>0</v>
      </c>
      <c r="I1571" s="182" t="n">
        <v>0</v>
      </c>
      <c r="J1571" s="182" t="n">
        <v>0</v>
      </c>
      <c r="K1571" s="182" t="n">
        <v>12</v>
      </c>
      <c r="L1571" s="182" t="n">
        <v>12</v>
      </c>
      <c r="M1571" s="182" t="n">
        <v>0</v>
      </c>
      <c r="N1571" s="182" t="n">
        <v>0</v>
      </c>
      <c r="O1571" s="183" t="n">
        <v>0</v>
      </c>
      <c r="P1571" s="183" t="n">
        <v>0</v>
      </c>
      <c r="Q1571" s="184" t="n">
        <v>0</v>
      </c>
      <c r="R1571" s="184" t="n">
        <v>0</v>
      </c>
      <c r="S1571" s="183" t="n">
        <v>0</v>
      </c>
      <c r="T1571" s="183" t="n">
        <v>0</v>
      </c>
      <c r="U1571" s="182" t="n">
        <v>0</v>
      </c>
      <c r="V1571" s="182" t="n">
        <v>0</v>
      </c>
      <c r="W1571" s="182" t="n">
        <v>0</v>
      </c>
      <c r="X1571" s="182" t="n">
        <v>1</v>
      </c>
      <c r="Y1571" s="182" t="n">
        <v>0</v>
      </c>
      <c r="Z1571" s="182" t="n">
        <v>0</v>
      </c>
      <c r="AA1571" s="182" t="n">
        <v>0</v>
      </c>
      <c r="AB1571" s="182" t="n">
        <v>0</v>
      </c>
      <c r="AC1571" s="182" t="n">
        <v>0</v>
      </c>
      <c r="AD1571" s="182" t="n">
        <v>0</v>
      </c>
      <c r="AE1571" s="182" t="n">
        <v>0</v>
      </c>
      <c r="AF1571" s="182" t="n">
        <v>0</v>
      </c>
      <c r="AG1571" s="182" t="n">
        <v>0</v>
      </c>
      <c r="AH1571" s="182" t="n">
        <v>0</v>
      </c>
      <c r="AI1571" s="182" t="n">
        <v>0</v>
      </c>
      <c r="AJ1571" s="182" t="n">
        <v>0</v>
      </c>
      <c r="AK1571" s="182" t="n">
        <v>10.92</v>
      </c>
      <c r="AL1571" s="182" t="n">
        <v>0</v>
      </c>
      <c r="AM1571" s="182" t="n">
        <v>0.08</v>
      </c>
      <c r="AN1571" s="182" t="n">
        <v>0</v>
      </c>
    </row>
    <row r="1572">
      <c r="A1572" s="155" t="n">
        <v>46089</v>
      </c>
      <c r="B1572" s="156" t="inlineStr">
        <is>
          <t>DS</t>
        </is>
      </c>
      <c r="C1572" s="156" t="inlineStr">
        <is>
          <t>HT-409</t>
        </is>
      </c>
      <c r="D1572" s="156" t="inlineStr">
        <is>
          <t>SY430</t>
        </is>
      </c>
      <c r="E1572" s="156" t="inlineStr">
        <is>
          <t>DT Hauling</t>
        </is>
      </c>
      <c r="F1572" s="156" t="inlineStr"/>
      <c r="G1572" s="182" t="n">
        <v>0</v>
      </c>
      <c r="H1572" s="182" t="n">
        <v>0</v>
      </c>
      <c r="I1572" s="182" t="n">
        <v>0</v>
      </c>
      <c r="J1572" s="182" t="n">
        <v>0</v>
      </c>
      <c r="K1572" s="182" t="n">
        <v>12</v>
      </c>
      <c r="L1572" s="182" t="n">
        <v>12</v>
      </c>
      <c r="M1572" s="182" t="n">
        <v>0</v>
      </c>
      <c r="N1572" s="182" t="n">
        <v>0</v>
      </c>
      <c r="O1572" s="183" t="n">
        <v>0</v>
      </c>
      <c r="P1572" s="183" t="n">
        <v>0</v>
      </c>
      <c r="Q1572" s="184" t="n">
        <v>0</v>
      </c>
      <c r="R1572" s="184" t="n">
        <v>0</v>
      </c>
      <c r="S1572" s="183" t="n">
        <v>0</v>
      </c>
      <c r="T1572" s="183" t="n">
        <v>0</v>
      </c>
      <c r="U1572" s="182" t="n">
        <v>0</v>
      </c>
      <c r="V1572" s="182" t="n">
        <v>0</v>
      </c>
      <c r="W1572" s="182" t="n">
        <v>0</v>
      </c>
      <c r="X1572" s="182" t="n">
        <v>1</v>
      </c>
      <c r="Y1572" s="182" t="n">
        <v>0</v>
      </c>
      <c r="Z1572" s="182" t="n">
        <v>0</v>
      </c>
      <c r="AA1572" s="182" t="n">
        <v>0</v>
      </c>
      <c r="AB1572" s="182" t="n">
        <v>0</v>
      </c>
      <c r="AC1572" s="182" t="n">
        <v>0</v>
      </c>
      <c r="AD1572" s="182" t="n">
        <v>0</v>
      </c>
      <c r="AE1572" s="182" t="n">
        <v>0</v>
      </c>
      <c r="AF1572" s="182" t="n">
        <v>0</v>
      </c>
      <c r="AG1572" s="182" t="n">
        <v>0</v>
      </c>
      <c r="AH1572" s="182" t="n">
        <v>0</v>
      </c>
      <c r="AI1572" s="182" t="n">
        <v>0</v>
      </c>
      <c r="AJ1572" s="182" t="n">
        <v>0</v>
      </c>
      <c r="AK1572" s="182" t="n">
        <v>10.92</v>
      </c>
      <c r="AL1572" s="182" t="n">
        <v>0</v>
      </c>
      <c r="AM1572" s="182" t="n">
        <v>0.08</v>
      </c>
      <c r="AN1572" s="182" t="n">
        <v>0</v>
      </c>
    </row>
    <row r="1573">
      <c r="A1573" s="155" t="n">
        <v>46089</v>
      </c>
      <c r="B1573" s="156" t="inlineStr">
        <is>
          <t>DS</t>
        </is>
      </c>
      <c r="C1573" s="156" t="inlineStr">
        <is>
          <t>DH-103</t>
        </is>
      </c>
      <c r="D1573" s="156" t="inlineStr">
        <is>
          <t>HINO FM260</t>
        </is>
      </c>
      <c r="E1573" s="156" t="inlineStr">
        <is>
          <t>DT Hino</t>
        </is>
      </c>
      <c r="F1573" s="156" t="inlineStr"/>
      <c r="G1573" s="182" t="n">
        <v>0</v>
      </c>
      <c r="H1573" s="182" t="n">
        <v>0</v>
      </c>
      <c r="I1573" s="182" t="n">
        <v>12</v>
      </c>
      <c r="J1573" s="182" t="n">
        <v>12</v>
      </c>
      <c r="K1573" s="182" t="n">
        <v>0</v>
      </c>
      <c r="L1573" s="182" t="n">
        <v>12</v>
      </c>
      <c r="M1573" s="182" t="n">
        <v>0</v>
      </c>
      <c r="N1573" s="182" t="n">
        <v>0</v>
      </c>
      <c r="O1573" s="183" t="n">
        <v>0</v>
      </c>
      <c r="P1573" s="183" t="n">
        <v>0</v>
      </c>
      <c r="Q1573" s="184" t="n">
        <v>0</v>
      </c>
      <c r="R1573" s="184" t="n">
        <v>0</v>
      </c>
      <c r="S1573" s="183" t="n">
        <v>0</v>
      </c>
      <c r="T1573" s="183" t="n">
        <v>0</v>
      </c>
      <c r="U1573" s="182" t="n">
        <v>0</v>
      </c>
      <c r="V1573" s="182" t="n">
        <v>0</v>
      </c>
      <c r="W1573" s="182" t="n">
        <v>0</v>
      </c>
      <c r="X1573" s="182" t="n">
        <v>0</v>
      </c>
      <c r="Y1573" s="182" t="n">
        <v>0</v>
      </c>
      <c r="Z1573" s="182" t="n">
        <v>0</v>
      </c>
      <c r="AA1573" s="182" t="n">
        <v>0</v>
      </c>
      <c r="AB1573" s="182" t="n">
        <v>0</v>
      </c>
      <c r="AC1573" s="182" t="n">
        <v>0</v>
      </c>
      <c r="AD1573" s="182" t="n">
        <v>0</v>
      </c>
      <c r="AE1573" s="182" t="n">
        <v>0</v>
      </c>
      <c r="AF1573" s="182" t="n">
        <v>0</v>
      </c>
      <c r="AG1573" s="182" t="n">
        <v>0</v>
      </c>
      <c r="AH1573" s="182" t="n">
        <v>0</v>
      </c>
      <c r="AI1573" s="182" t="n">
        <v>0</v>
      </c>
      <c r="AJ1573" s="182" t="n">
        <v>0</v>
      </c>
      <c r="AK1573" s="182" t="n">
        <v>0</v>
      </c>
      <c r="AL1573" s="182" t="n">
        <v>0</v>
      </c>
      <c r="AM1573" s="182" t="n">
        <v>0</v>
      </c>
      <c r="AN1573" s="182" t="n">
        <v>0</v>
      </c>
    </row>
    <row r="1574">
      <c r="A1574" s="155" t="n">
        <v>46089</v>
      </c>
      <c r="B1574" s="156" t="inlineStr">
        <is>
          <t>DS</t>
        </is>
      </c>
      <c r="C1574" s="156" t="inlineStr">
        <is>
          <t>DH-102</t>
        </is>
      </c>
      <c r="D1574" s="156" t="inlineStr">
        <is>
          <t>HINO FM260</t>
        </is>
      </c>
      <c r="E1574" s="156" t="inlineStr">
        <is>
          <t>DT Hino</t>
        </is>
      </c>
      <c r="F1574" s="156" t="inlineStr"/>
      <c r="G1574" s="182" t="n">
        <v>0</v>
      </c>
      <c r="H1574" s="182" t="n">
        <v>0</v>
      </c>
      <c r="I1574" s="182" t="n">
        <v>0</v>
      </c>
      <c r="J1574" s="182" t="n">
        <v>0</v>
      </c>
      <c r="K1574" s="182" t="n">
        <v>12</v>
      </c>
      <c r="L1574" s="182" t="n">
        <v>12</v>
      </c>
      <c r="M1574" s="182" t="n">
        <v>0</v>
      </c>
      <c r="N1574" s="182" t="n">
        <v>0</v>
      </c>
      <c r="O1574" s="183" t="n">
        <v>0</v>
      </c>
      <c r="P1574" s="183" t="n">
        <v>0</v>
      </c>
      <c r="Q1574" s="184" t="n">
        <v>0</v>
      </c>
      <c r="R1574" s="184" t="n">
        <v>0</v>
      </c>
      <c r="S1574" s="183" t="n">
        <v>0</v>
      </c>
      <c r="T1574" s="183" t="n">
        <v>0</v>
      </c>
      <c r="U1574" s="182" t="n">
        <v>0</v>
      </c>
      <c r="V1574" s="182" t="n">
        <v>0</v>
      </c>
      <c r="W1574" s="182" t="n">
        <v>0</v>
      </c>
      <c r="X1574" s="182" t="n">
        <v>1</v>
      </c>
      <c r="Y1574" s="182" t="n">
        <v>0</v>
      </c>
      <c r="Z1574" s="182" t="n">
        <v>0</v>
      </c>
      <c r="AA1574" s="182" t="n">
        <v>0</v>
      </c>
      <c r="AB1574" s="182" t="n">
        <v>0</v>
      </c>
      <c r="AC1574" s="182" t="n">
        <v>0</v>
      </c>
      <c r="AD1574" s="182" t="n">
        <v>0</v>
      </c>
      <c r="AE1574" s="182" t="n">
        <v>0</v>
      </c>
      <c r="AF1574" s="182" t="n">
        <v>0</v>
      </c>
      <c r="AG1574" s="182" t="n">
        <v>0</v>
      </c>
      <c r="AH1574" s="182" t="n">
        <v>0</v>
      </c>
      <c r="AI1574" s="182" t="n">
        <v>0</v>
      </c>
      <c r="AJ1574" s="182" t="n">
        <v>0</v>
      </c>
      <c r="AK1574" s="182" t="n">
        <v>10.92</v>
      </c>
      <c r="AL1574" s="182" t="n">
        <v>0</v>
      </c>
      <c r="AM1574" s="182" t="n">
        <v>0.08</v>
      </c>
      <c r="AN1574" s="182" t="n">
        <v>0</v>
      </c>
    </row>
    <row r="1575">
      <c r="A1575" s="155" t="n">
        <v>46089</v>
      </c>
      <c r="B1575" s="156" t="inlineStr">
        <is>
          <t>DS</t>
        </is>
      </c>
      <c r="C1575" s="156" t="inlineStr">
        <is>
          <t>DH-101</t>
        </is>
      </c>
      <c r="D1575" s="156" t="inlineStr">
        <is>
          <t>HINO FM260</t>
        </is>
      </c>
      <c r="E1575" s="156" t="inlineStr">
        <is>
          <t>DT Hino</t>
        </is>
      </c>
      <c r="F1575" s="156" t="inlineStr"/>
      <c r="G1575" s="182" t="n">
        <v>0</v>
      </c>
      <c r="H1575" s="182" t="n">
        <v>0</v>
      </c>
      <c r="I1575" s="182" t="n">
        <v>0</v>
      </c>
      <c r="J1575" s="182" t="n">
        <v>0</v>
      </c>
      <c r="K1575" s="182" t="n">
        <v>12</v>
      </c>
      <c r="L1575" s="182" t="n">
        <v>12</v>
      </c>
      <c r="M1575" s="182" t="n">
        <v>0</v>
      </c>
      <c r="N1575" s="182" t="n">
        <v>0</v>
      </c>
      <c r="O1575" s="183" t="n">
        <v>0</v>
      </c>
      <c r="P1575" s="183" t="n">
        <v>0</v>
      </c>
      <c r="Q1575" s="184" t="n">
        <v>0</v>
      </c>
      <c r="R1575" s="184" t="n">
        <v>0</v>
      </c>
      <c r="S1575" s="183" t="n">
        <v>0</v>
      </c>
      <c r="T1575" s="183" t="n">
        <v>0</v>
      </c>
      <c r="U1575" s="182" t="n">
        <v>0</v>
      </c>
      <c r="V1575" s="182" t="n">
        <v>0</v>
      </c>
      <c r="W1575" s="182" t="n">
        <v>0</v>
      </c>
      <c r="X1575" s="182" t="n">
        <v>1</v>
      </c>
      <c r="Y1575" s="182" t="n">
        <v>0</v>
      </c>
      <c r="Z1575" s="182" t="n">
        <v>0</v>
      </c>
      <c r="AA1575" s="182" t="n">
        <v>0</v>
      </c>
      <c r="AB1575" s="182" t="n">
        <v>0</v>
      </c>
      <c r="AC1575" s="182" t="n">
        <v>0</v>
      </c>
      <c r="AD1575" s="182" t="n">
        <v>0</v>
      </c>
      <c r="AE1575" s="182" t="n">
        <v>0</v>
      </c>
      <c r="AF1575" s="182" t="n">
        <v>0</v>
      </c>
      <c r="AG1575" s="182" t="n">
        <v>0</v>
      </c>
      <c r="AH1575" s="182" t="n">
        <v>0</v>
      </c>
      <c r="AI1575" s="182" t="n">
        <v>0</v>
      </c>
      <c r="AJ1575" s="182" t="n">
        <v>0</v>
      </c>
      <c r="AK1575" s="182" t="n">
        <v>10.92</v>
      </c>
      <c r="AL1575" s="182" t="n">
        <v>0</v>
      </c>
      <c r="AM1575" s="182" t="n">
        <v>0.08</v>
      </c>
      <c r="AN1575" s="182" t="n">
        <v>0</v>
      </c>
    </row>
    <row r="1576">
      <c r="A1576" s="155" t="n">
        <v>46089</v>
      </c>
      <c r="B1576" s="156" t="inlineStr">
        <is>
          <t>DS</t>
        </is>
      </c>
      <c r="C1576" s="156" t="inlineStr">
        <is>
          <t>EX-1251</t>
        </is>
      </c>
      <c r="D1576" s="156" t="inlineStr">
        <is>
          <t>SY1250</t>
        </is>
      </c>
      <c r="E1576" s="156" t="inlineStr">
        <is>
          <t>Excavator</t>
        </is>
      </c>
      <c r="F1576" s="156" t="inlineStr">
        <is>
          <t>Loading Material Longsoran</t>
        </is>
      </c>
      <c r="G1576" s="182" t="n">
        <v>4.56</v>
      </c>
      <c r="H1576" s="182" t="n">
        <v>0</v>
      </c>
      <c r="I1576" s="182" t="n">
        <v>4.42</v>
      </c>
      <c r="J1576" s="182" t="n">
        <v>4.42</v>
      </c>
      <c r="K1576" s="182" t="n">
        <v>3.02</v>
      </c>
      <c r="L1576" s="182" t="n">
        <v>12</v>
      </c>
      <c r="M1576" s="182" t="n">
        <v>4.56</v>
      </c>
      <c r="N1576" s="182" t="n">
        <v>0</v>
      </c>
      <c r="O1576" s="183" t="n">
        <v>84</v>
      </c>
      <c r="P1576" s="183" t="n">
        <v>0</v>
      </c>
      <c r="Q1576" s="184" t="n">
        <v>856.8</v>
      </c>
      <c r="R1576" s="184" t="n">
        <v>0</v>
      </c>
      <c r="S1576" s="183" t="n">
        <v>0</v>
      </c>
      <c r="T1576" s="183" t="n">
        <v>0</v>
      </c>
      <c r="U1576" s="182" t="n">
        <v>0</v>
      </c>
      <c r="V1576" s="182" t="n">
        <v>0</v>
      </c>
      <c r="W1576" s="182" t="n">
        <v>0</v>
      </c>
      <c r="X1576" s="182" t="n">
        <v>1</v>
      </c>
      <c r="Y1576" s="182" t="n">
        <v>0</v>
      </c>
      <c r="Z1576" s="182" t="n">
        <v>0</v>
      </c>
      <c r="AA1576" s="182" t="n">
        <v>0</v>
      </c>
      <c r="AB1576" s="182" t="n">
        <v>0</v>
      </c>
      <c r="AC1576" s="182" t="n">
        <v>0</v>
      </c>
      <c r="AD1576" s="182" t="n">
        <v>0</v>
      </c>
      <c r="AE1576" s="182" t="n">
        <v>0</v>
      </c>
      <c r="AF1576" s="182" t="n">
        <v>0</v>
      </c>
      <c r="AG1576" s="182" t="n">
        <v>0</v>
      </c>
      <c r="AH1576" s="182" t="n">
        <v>0</v>
      </c>
      <c r="AI1576" s="182" t="n">
        <v>0</v>
      </c>
      <c r="AJ1576" s="182" t="n">
        <v>0</v>
      </c>
      <c r="AK1576" s="182" t="n">
        <v>1.94</v>
      </c>
      <c r="AL1576" s="182" t="n">
        <v>0</v>
      </c>
      <c r="AM1576" s="182" t="n">
        <v>0.08</v>
      </c>
      <c r="AN1576" s="182" t="n">
        <v>0</v>
      </c>
    </row>
    <row r="1577">
      <c r="A1577" s="155" t="n">
        <v>46089</v>
      </c>
      <c r="B1577" s="156" t="inlineStr">
        <is>
          <t>DS</t>
        </is>
      </c>
      <c r="C1577" s="156" t="inlineStr">
        <is>
          <t>EX-1252</t>
        </is>
      </c>
      <c r="D1577" s="156" t="inlineStr">
        <is>
          <t>SY1250</t>
        </is>
      </c>
      <c r="E1577" s="156" t="inlineStr">
        <is>
          <t>Excavator</t>
        </is>
      </c>
      <c r="F1577" s="156" t="inlineStr">
        <is>
          <t>Loading Material Campuran (OB &amp; Spoil)</t>
        </is>
      </c>
      <c r="G1577" s="182" t="n">
        <v>10.72</v>
      </c>
      <c r="H1577" s="182" t="n">
        <v>0</v>
      </c>
      <c r="I1577" s="182" t="n">
        <v>0</v>
      </c>
      <c r="J1577" s="182" t="n">
        <v>0</v>
      </c>
      <c r="K1577" s="182" t="n">
        <v>1.28</v>
      </c>
      <c r="L1577" s="182" t="n">
        <v>12</v>
      </c>
      <c r="M1577" s="182" t="n">
        <v>10.64</v>
      </c>
      <c r="N1577" s="182" t="n">
        <v>0</v>
      </c>
      <c r="O1577" s="183" t="n">
        <v>180</v>
      </c>
      <c r="P1577" s="183" t="n">
        <v>0</v>
      </c>
      <c r="Q1577" s="184" t="n">
        <v>2463.3</v>
      </c>
      <c r="R1577" s="184" t="n">
        <v>0</v>
      </c>
      <c r="S1577" s="183" t="n">
        <v>0</v>
      </c>
      <c r="T1577" s="183" t="n">
        <v>0</v>
      </c>
      <c r="U1577" s="182" t="n">
        <v>0</v>
      </c>
      <c r="V1577" s="182" t="n">
        <v>0</v>
      </c>
      <c r="W1577" s="182" t="n">
        <v>0</v>
      </c>
      <c r="X1577" s="182" t="n">
        <v>0.92</v>
      </c>
      <c r="Y1577" s="182" t="n">
        <v>0</v>
      </c>
      <c r="Z1577" s="182" t="n">
        <v>0</v>
      </c>
      <c r="AA1577" s="182" t="n">
        <v>0</v>
      </c>
      <c r="AB1577" s="182" t="n">
        <v>0</v>
      </c>
      <c r="AC1577" s="182" t="n">
        <v>0</v>
      </c>
      <c r="AD1577" s="182" t="n">
        <v>0</v>
      </c>
      <c r="AE1577" s="182" t="n">
        <v>0</v>
      </c>
      <c r="AF1577" s="182" t="n">
        <v>0</v>
      </c>
      <c r="AG1577" s="182" t="n">
        <v>0</v>
      </c>
      <c r="AH1577" s="182" t="n">
        <v>0.29</v>
      </c>
      <c r="AI1577" s="182" t="n">
        <v>0</v>
      </c>
      <c r="AJ1577" s="182" t="n">
        <v>0</v>
      </c>
      <c r="AK1577" s="182" t="n">
        <v>0</v>
      </c>
      <c r="AL1577" s="182" t="n">
        <v>0</v>
      </c>
      <c r="AM1577" s="182" t="n">
        <v>0.07000000000000001</v>
      </c>
      <c r="AN1577" s="182" t="n">
        <v>0</v>
      </c>
    </row>
    <row r="1578">
      <c r="A1578" s="155" t="n">
        <v>46089</v>
      </c>
      <c r="B1578" s="156" t="inlineStr">
        <is>
          <t>DS</t>
        </is>
      </c>
      <c r="C1578" s="156" t="inlineStr">
        <is>
          <t>EX-2101</t>
        </is>
      </c>
      <c r="D1578" s="156" t="inlineStr">
        <is>
          <t>SY2000</t>
        </is>
      </c>
      <c r="E1578" s="156" t="inlineStr">
        <is>
          <t>Excavator</t>
        </is>
      </c>
      <c r="F1578" s="156" t="inlineStr"/>
      <c r="G1578" s="182" t="n">
        <v>0</v>
      </c>
      <c r="H1578" s="182" t="n">
        <v>0</v>
      </c>
      <c r="I1578" s="182" t="n">
        <v>12</v>
      </c>
      <c r="J1578" s="182" t="n">
        <v>12</v>
      </c>
      <c r="K1578" s="182" t="n">
        <v>0</v>
      </c>
      <c r="L1578" s="182" t="n">
        <v>12</v>
      </c>
      <c r="M1578" s="182" t="n">
        <v>0</v>
      </c>
      <c r="N1578" s="182" t="n">
        <v>0</v>
      </c>
      <c r="O1578" s="183" t="n">
        <v>0</v>
      </c>
      <c r="P1578" s="183" t="n">
        <v>0</v>
      </c>
      <c r="Q1578" s="184" t="n">
        <v>0</v>
      </c>
      <c r="R1578" s="184" t="n">
        <v>0</v>
      </c>
      <c r="S1578" s="183" t="n">
        <v>0</v>
      </c>
      <c r="T1578" s="183" t="n">
        <v>0</v>
      </c>
      <c r="U1578" s="182" t="n">
        <v>0</v>
      </c>
      <c r="V1578" s="182" t="n">
        <v>0</v>
      </c>
      <c r="W1578" s="182" t="n">
        <v>0</v>
      </c>
      <c r="X1578" s="182" t="n">
        <v>0</v>
      </c>
      <c r="Y1578" s="182" t="n">
        <v>0</v>
      </c>
      <c r="Z1578" s="182" t="n">
        <v>0</v>
      </c>
      <c r="AA1578" s="182" t="n">
        <v>0</v>
      </c>
      <c r="AB1578" s="182" t="n">
        <v>0</v>
      </c>
      <c r="AC1578" s="182" t="n">
        <v>0</v>
      </c>
      <c r="AD1578" s="182" t="n">
        <v>0</v>
      </c>
      <c r="AE1578" s="182" t="n">
        <v>0</v>
      </c>
      <c r="AF1578" s="182" t="n">
        <v>0</v>
      </c>
      <c r="AG1578" s="182" t="n">
        <v>0</v>
      </c>
      <c r="AH1578" s="182" t="n">
        <v>0</v>
      </c>
      <c r="AI1578" s="182" t="n">
        <v>0</v>
      </c>
      <c r="AJ1578" s="182" t="n">
        <v>0</v>
      </c>
      <c r="AK1578" s="182" t="n">
        <v>0</v>
      </c>
      <c r="AL1578" s="182" t="n">
        <v>0</v>
      </c>
      <c r="AM1578" s="182" t="n">
        <v>0</v>
      </c>
      <c r="AN1578" s="182" t="n">
        <v>0</v>
      </c>
    </row>
    <row r="1579">
      <c r="A1579" s="155" t="n">
        <v>46089</v>
      </c>
      <c r="B1579" s="156" t="inlineStr">
        <is>
          <t>DS</t>
        </is>
      </c>
      <c r="C1579" s="156" t="inlineStr">
        <is>
          <t>EX-222</t>
        </is>
      </c>
      <c r="D1579" s="156" t="inlineStr">
        <is>
          <t>PC 200-8MI</t>
        </is>
      </c>
      <c r="E1579" s="156" t="inlineStr">
        <is>
          <t>Excavator</t>
        </is>
      </c>
      <c r="F1579" s="156" t="inlineStr">
        <is>
          <t>Support Washing Plant</t>
        </is>
      </c>
      <c r="G1579" s="182" t="n">
        <v>10.27</v>
      </c>
      <c r="H1579" s="182" t="n">
        <v>0</v>
      </c>
      <c r="I1579" s="182" t="n">
        <v>0</v>
      </c>
      <c r="J1579" s="182" t="n">
        <v>0</v>
      </c>
      <c r="K1579" s="182" t="n">
        <v>1.73</v>
      </c>
      <c r="L1579" s="182" t="n">
        <v>12</v>
      </c>
      <c r="M1579" s="182" t="n">
        <v>0</v>
      </c>
      <c r="N1579" s="182" t="n">
        <v>0</v>
      </c>
      <c r="O1579" s="183" t="n">
        <v>0</v>
      </c>
      <c r="P1579" s="183" t="n">
        <v>0</v>
      </c>
      <c r="Q1579" s="184" t="n">
        <v>0</v>
      </c>
      <c r="R1579" s="184" t="n">
        <v>0</v>
      </c>
      <c r="S1579" s="183" t="n">
        <v>0</v>
      </c>
      <c r="T1579" s="183" t="n">
        <v>0</v>
      </c>
      <c r="U1579" s="182" t="n">
        <v>0</v>
      </c>
      <c r="V1579" s="182" t="n">
        <v>0</v>
      </c>
      <c r="W1579" s="182" t="n">
        <v>0</v>
      </c>
      <c r="X1579" s="182" t="n">
        <v>0.79</v>
      </c>
      <c r="Y1579" s="182" t="n">
        <v>0</v>
      </c>
      <c r="Z1579" s="182" t="n">
        <v>0</v>
      </c>
      <c r="AA1579" s="182" t="n">
        <v>0</v>
      </c>
      <c r="AB1579" s="182" t="n">
        <v>0</v>
      </c>
      <c r="AC1579" s="182" t="n">
        <v>0</v>
      </c>
      <c r="AD1579" s="182" t="n">
        <v>0</v>
      </c>
      <c r="AE1579" s="182" t="n">
        <v>0</v>
      </c>
      <c r="AF1579" s="182" t="n">
        <v>0</v>
      </c>
      <c r="AG1579" s="182" t="n">
        <v>0</v>
      </c>
      <c r="AH1579" s="182" t="n">
        <v>0</v>
      </c>
      <c r="AI1579" s="182" t="n">
        <v>0</v>
      </c>
      <c r="AJ1579" s="182" t="n">
        <v>0</v>
      </c>
      <c r="AK1579" s="182" t="n">
        <v>0.88</v>
      </c>
      <c r="AL1579" s="182" t="n">
        <v>0</v>
      </c>
      <c r="AM1579" s="182" t="n">
        <v>0.06</v>
      </c>
      <c r="AN1579" s="182" t="n">
        <v>0</v>
      </c>
    </row>
    <row r="1580">
      <c r="A1580" s="155" t="n">
        <v>46089</v>
      </c>
      <c r="B1580" s="156" t="inlineStr">
        <is>
          <t>DS</t>
        </is>
      </c>
      <c r="C1580" s="156" t="inlineStr">
        <is>
          <t>EX-225</t>
        </is>
      </c>
      <c r="D1580" s="156" t="inlineStr">
        <is>
          <t>PC 200-8</t>
        </is>
      </c>
      <c r="E1580" s="156" t="inlineStr">
        <is>
          <t>Excavator</t>
        </is>
      </c>
      <c r="F1580" s="156" t="inlineStr"/>
      <c r="G1580" s="182" t="n">
        <v>0</v>
      </c>
      <c r="H1580" s="182" t="n">
        <v>0</v>
      </c>
      <c r="I1580" s="182" t="n">
        <v>12</v>
      </c>
      <c r="J1580" s="182" t="n">
        <v>12</v>
      </c>
      <c r="K1580" s="182" t="n">
        <v>0</v>
      </c>
      <c r="L1580" s="182" t="n">
        <v>12</v>
      </c>
      <c r="M1580" s="182" t="n">
        <v>0</v>
      </c>
      <c r="N1580" s="182" t="n">
        <v>0</v>
      </c>
      <c r="O1580" s="183" t="n">
        <v>0</v>
      </c>
      <c r="P1580" s="183" t="n">
        <v>0</v>
      </c>
      <c r="Q1580" s="184" t="n">
        <v>0</v>
      </c>
      <c r="R1580" s="184" t="n">
        <v>0</v>
      </c>
      <c r="S1580" s="183" t="n">
        <v>0</v>
      </c>
      <c r="T1580" s="183" t="n">
        <v>0</v>
      </c>
      <c r="U1580" s="182" t="n">
        <v>0</v>
      </c>
      <c r="V1580" s="182" t="n">
        <v>0</v>
      </c>
      <c r="W1580" s="182" t="n">
        <v>0</v>
      </c>
      <c r="X1580" s="182" t="n">
        <v>0</v>
      </c>
      <c r="Y1580" s="182" t="n">
        <v>0</v>
      </c>
      <c r="Z1580" s="182" t="n">
        <v>0</v>
      </c>
      <c r="AA1580" s="182" t="n">
        <v>0</v>
      </c>
      <c r="AB1580" s="182" t="n">
        <v>0</v>
      </c>
      <c r="AC1580" s="182" t="n">
        <v>0</v>
      </c>
      <c r="AD1580" s="182" t="n">
        <v>0</v>
      </c>
      <c r="AE1580" s="182" t="n">
        <v>0</v>
      </c>
      <c r="AF1580" s="182" t="n">
        <v>0</v>
      </c>
      <c r="AG1580" s="182" t="n">
        <v>0</v>
      </c>
      <c r="AH1580" s="182" t="n">
        <v>0</v>
      </c>
      <c r="AI1580" s="182" t="n">
        <v>0</v>
      </c>
      <c r="AJ1580" s="182" t="n">
        <v>0</v>
      </c>
      <c r="AK1580" s="182" t="n">
        <v>0</v>
      </c>
      <c r="AL1580" s="182" t="n">
        <v>0</v>
      </c>
      <c r="AM1580" s="182" t="n">
        <v>0</v>
      </c>
      <c r="AN1580" s="182" t="n">
        <v>0</v>
      </c>
    </row>
    <row r="1581">
      <c r="A1581" s="155" t="n">
        <v>46089</v>
      </c>
      <c r="B1581" s="156" t="inlineStr">
        <is>
          <t>DS</t>
        </is>
      </c>
      <c r="C1581" s="156" t="inlineStr">
        <is>
          <t>EX-223</t>
        </is>
      </c>
      <c r="D1581" s="156" t="inlineStr">
        <is>
          <t>PC 200-8MI</t>
        </is>
      </c>
      <c r="E1581" s="156" t="inlineStr">
        <is>
          <t>Excavator</t>
        </is>
      </c>
      <c r="F1581" s="156" t="inlineStr">
        <is>
          <t>Support Washing Plant</t>
        </is>
      </c>
      <c r="G1581" s="182" t="n">
        <v>9.710000000000001</v>
      </c>
      <c r="H1581" s="182" t="n">
        <v>0</v>
      </c>
      <c r="I1581" s="182" t="n">
        <v>0</v>
      </c>
      <c r="J1581" s="182" t="n">
        <v>0</v>
      </c>
      <c r="K1581" s="182" t="n">
        <v>2.29</v>
      </c>
      <c r="L1581" s="182" t="n">
        <v>12</v>
      </c>
      <c r="M1581" s="182" t="n">
        <v>0</v>
      </c>
      <c r="N1581" s="182" t="n">
        <v>0</v>
      </c>
      <c r="O1581" s="183" t="n">
        <v>0</v>
      </c>
      <c r="P1581" s="183" t="n">
        <v>0</v>
      </c>
      <c r="Q1581" s="184" t="n">
        <v>0</v>
      </c>
      <c r="R1581" s="184" t="n">
        <v>0</v>
      </c>
      <c r="S1581" s="183" t="n">
        <v>0</v>
      </c>
      <c r="T1581" s="183" t="n">
        <v>0</v>
      </c>
      <c r="U1581" s="182" t="n">
        <v>0</v>
      </c>
      <c r="V1581" s="182" t="n">
        <v>0</v>
      </c>
      <c r="W1581" s="182" t="n">
        <v>0</v>
      </c>
      <c r="X1581" s="182" t="n">
        <v>1.04</v>
      </c>
      <c r="Y1581" s="182" t="n">
        <v>0</v>
      </c>
      <c r="Z1581" s="182" t="n">
        <v>0</v>
      </c>
      <c r="AA1581" s="182" t="n">
        <v>0</v>
      </c>
      <c r="AB1581" s="182" t="n">
        <v>0</v>
      </c>
      <c r="AC1581" s="182" t="n">
        <v>0</v>
      </c>
      <c r="AD1581" s="182" t="n">
        <v>0</v>
      </c>
      <c r="AE1581" s="182" t="n">
        <v>0</v>
      </c>
      <c r="AF1581" s="182" t="n">
        <v>0</v>
      </c>
      <c r="AG1581" s="182" t="n">
        <v>0</v>
      </c>
      <c r="AH1581" s="182" t="n">
        <v>0</v>
      </c>
      <c r="AI1581" s="182" t="n">
        <v>0</v>
      </c>
      <c r="AJ1581" s="182" t="n">
        <v>0</v>
      </c>
      <c r="AK1581" s="182" t="n">
        <v>1.17</v>
      </c>
      <c r="AL1581" s="182" t="n">
        <v>0</v>
      </c>
      <c r="AM1581" s="182" t="n">
        <v>0.08</v>
      </c>
      <c r="AN1581" s="182" t="n">
        <v>0</v>
      </c>
    </row>
    <row r="1582">
      <c r="A1582" s="155" t="n">
        <v>46089</v>
      </c>
      <c r="B1582" s="156" t="inlineStr">
        <is>
          <t>DS</t>
        </is>
      </c>
      <c r="C1582" s="156" t="inlineStr">
        <is>
          <t>EX-221</t>
        </is>
      </c>
      <c r="D1582" s="156" t="inlineStr">
        <is>
          <t>PC 200-8MI</t>
        </is>
      </c>
      <c r="E1582" s="156" t="inlineStr">
        <is>
          <t>Excavator</t>
        </is>
      </c>
      <c r="F1582" s="156" t="inlineStr"/>
      <c r="G1582" s="182" t="n">
        <v>0</v>
      </c>
      <c r="H1582" s="182" t="n">
        <v>0</v>
      </c>
      <c r="I1582" s="182" t="n">
        <v>0</v>
      </c>
      <c r="J1582" s="182" t="n">
        <v>0</v>
      </c>
      <c r="K1582" s="182" t="n">
        <v>12</v>
      </c>
      <c r="L1582" s="182" t="n">
        <v>12</v>
      </c>
      <c r="M1582" s="182" t="n">
        <v>0</v>
      </c>
      <c r="N1582" s="182" t="n">
        <v>0</v>
      </c>
      <c r="O1582" s="183" t="n">
        <v>0</v>
      </c>
      <c r="P1582" s="183" t="n">
        <v>0</v>
      </c>
      <c r="Q1582" s="184" t="n">
        <v>0</v>
      </c>
      <c r="R1582" s="184" t="n">
        <v>0</v>
      </c>
      <c r="S1582" s="183" t="n">
        <v>0</v>
      </c>
      <c r="T1582" s="183" t="n">
        <v>0</v>
      </c>
      <c r="U1582" s="182" t="n">
        <v>0</v>
      </c>
      <c r="V1582" s="182" t="n">
        <v>0</v>
      </c>
      <c r="W1582" s="182" t="n">
        <v>0</v>
      </c>
      <c r="X1582" s="182" t="n">
        <v>1</v>
      </c>
      <c r="Y1582" s="182" t="n">
        <v>0</v>
      </c>
      <c r="Z1582" s="182" t="n">
        <v>0</v>
      </c>
      <c r="AA1582" s="182" t="n">
        <v>0</v>
      </c>
      <c r="AB1582" s="182" t="n">
        <v>0</v>
      </c>
      <c r="AC1582" s="182" t="n">
        <v>0</v>
      </c>
      <c r="AD1582" s="182" t="n">
        <v>0</v>
      </c>
      <c r="AE1582" s="182" t="n">
        <v>0</v>
      </c>
      <c r="AF1582" s="182" t="n">
        <v>0</v>
      </c>
      <c r="AG1582" s="182" t="n">
        <v>0</v>
      </c>
      <c r="AH1582" s="182" t="n">
        <v>0</v>
      </c>
      <c r="AI1582" s="182" t="n">
        <v>0</v>
      </c>
      <c r="AJ1582" s="182" t="n">
        <v>0</v>
      </c>
      <c r="AK1582" s="182" t="n">
        <v>10.92</v>
      </c>
      <c r="AL1582" s="182" t="n">
        <v>0</v>
      </c>
      <c r="AM1582" s="182" t="n">
        <v>0.08</v>
      </c>
      <c r="AN1582" s="182" t="n">
        <v>0</v>
      </c>
    </row>
    <row r="1583">
      <c r="A1583" s="155" t="n">
        <v>46089</v>
      </c>
      <c r="B1583" s="156" t="inlineStr">
        <is>
          <t>DS</t>
        </is>
      </c>
      <c r="C1583" s="156" t="inlineStr">
        <is>
          <t>EX-331</t>
        </is>
      </c>
      <c r="D1583" s="156" t="inlineStr">
        <is>
          <t>PC 300-8MO</t>
        </is>
      </c>
      <c r="E1583" s="156" t="inlineStr">
        <is>
          <t>Excavator</t>
        </is>
      </c>
      <c r="F1583" s="156" t="inlineStr"/>
      <c r="G1583" s="182" t="n">
        <v>0</v>
      </c>
      <c r="H1583" s="182" t="n">
        <v>0</v>
      </c>
      <c r="I1583" s="182" t="n">
        <v>12</v>
      </c>
      <c r="J1583" s="182" t="n">
        <v>12</v>
      </c>
      <c r="K1583" s="182" t="n">
        <v>0</v>
      </c>
      <c r="L1583" s="182" t="n">
        <v>12</v>
      </c>
      <c r="M1583" s="182" t="n">
        <v>0</v>
      </c>
      <c r="N1583" s="182" t="n">
        <v>0</v>
      </c>
      <c r="O1583" s="183" t="n">
        <v>0</v>
      </c>
      <c r="P1583" s="183" t="n">
        <v>0</v>
      </c>
      <c r="Q1583" s="184" t="n">
        <v>0</v>
      </c>
      <c r="R1583" s="184" t="n">
        <v>0</v>
      </c>
      <c r="S1583" s="183" t="n">
        <v>0</v>
      </c>
      <c r="T1583" s="183" t="n">
        <v>0</v>
      </c>
      <c r="U1583" s="182" t="n">
        <v>0</v>
      </c>
      <c r="V1583" s="182" t="n">
        <v>0</v>
      </c>
      <c r="W1583" s="182" t="n">
        <v>0</v>
      </c>
      <c r="X1583" s="182" t="n">
        <v>0</v>
      </c>
      <c r="Y1583" s="182" t="n">
        <v>0</v>
      </c>
      <c r="Z1583" s="182" t="n">
        <v>0</v>
      </c>
      <c r="AA1583" s="182" t="n">
        <v>0</v>
      </c>
      <c r="AB1583" s="182" t="n">
        <v>0</v>
      </c>
      <c r="AC1583" s="182" t="n">
        <v>0</v>
      </c>
      <c r="AD1583" s="182" t="n">
        <v>0</v>
      </c>
      <c r="AE1583" s="182" t="n">
        <v>0</v>
      </c>
      <c r="AF1583" s="182" t="n">
        <v>0</v>
      </c>
      <c r="AG1583" s="182" t="n">
        <v>0</v>
      </c>
      <c r="AH1583" s="182" t="n">
        <v>0</v>
      </c>
      <c r="AI1583" s="182" t="n">
        <v>0</v>
      </c>
      <c r="AJ1583" s="182" t="n">
        <v>0</v>
      </c>
      <c r="AK1583" s="182" t="n">
        <v>0</v>
      </c>
      <c r="AL1583" s="182" t="n">
        <v>0</v>
      </c>
      <c r="AM1583" s="182" t="n">
        <v>0</v>
      </c>
      <c r="AN1583" s="182" t="n">
        <v>0</v>
      </c>
    </row>
    <row r="1584">
      <c r="A1584" s="155" t="n">
        <v>46089</v>
      </c>
      <c r="B1584" s="156" t="inlineStr">
        <is>
          <t>DS</t>
        </is>
      </c>
      <c r="C1584" s="156" t="inlineStr">
        <is>
          <t>EX-334</t>
        </is>
      </c>
      <c r="D1584" s="156" t="inlineStr">
        <is>
          <t>PC 300-8MO</t>
        </is>
      </c>
      <c r="E1584" s="156" t="inlineStr">
        <is>
          <t>Excavator</t>
        </is>
      </c>
      <c r="F1584" s="156" t="inlineStr">
        <is>
          <t>Loading Parting &amp; Cleaning Coal</t>
        </is>
      </c>
      <c r="G1584" s="182" t="n">
        <v>10.88</v>
      </c>
      <c r="H1584" s="182" t="n">
        <v>0</v>
      </c>
      <c r="I1584" s="182" t="n">
        <v>0</v>
      </c>
      <c r="J1584" s="182" t="n">
        <v>0</v>
      </c>
      <c r="K1584" s="182" t="n">
        <v>1.12</v>
      </c>
      <c r="L1584" s="182" t="n">
        <v>12</v>
      </c>
      <c r="M1584" s="182" t="n">
        <v>2.94</v>
      </c>
      <c r="N1584" s="182" t="n">
        <v>0</v>
      </c>
      <c r="O1584" s="183" t="n">
        <v>16</v>
      </c>
      <c r="P1584" s="183" t="n">
        <v>0</v>
      </c>
      <c r="Q1584" s="184" t="n">
        <v>326.4</v>
      </c>
      <c r="R1584" s="184" t="n">
        <v>0</v>
      </c>
      <c r="S1584" s="183" t="n">
        <v>0</v>
      </c>
      <c r="T1584" s="183" t="n">
        <v>0</v>
      </c>
      <c r="U1584" s="182" t="n">
        <v>0</v>
      </c>
      <c r="V1584" s="182" t="n">
        <v>0</v>
      </c>
      <c r="W1584" s="182" t="n">
        <v>0</v>
      </c>
      <c r="X1584" s="182" t="n">
        <v>1.02</v>
      </c>
      <c r="Y1584" s="182" t="n">
        <v>0</v>
      </c>
      <c r="Z1584" s="182" t="n">
        <v>0</v>
      </c>
      <c r="AA1584" s="182" t="n">
        <v>0</v>
      </c>
      <c r="AB1584" s="182" t="n">
        <v>0</v>
      </c>
      <c r="AC1584" s="182" t="n">
        <v>0</v>
      </c>
      <c r="AD1584" s="182" t="n">
        <v>0</v>
      </c>
      <c r="AE1584" s="182" t="n">
        <v>0</v>
      </c>
      <c r="AF1584" s="182" t="n">
        <v>0</v>
      </c>
      <c r="AG1584" s="182" t="n">
        <v>0</v>
      </c>
      <c r="AH1584" s="182" t="n">
        <v>0</v>
      </c>
      <c r="AI1584" s="182" t="n">
        <v>0</v>
      </c>
      <c r="AJ1584" s="182" t="n">
        <v>0</v>
      </c>
      <c r="AK1584" s="182" t="n">
        <v>0</v>
      </c>
      <c r="AL1584" s="182" t="n">
        <v>0</v>
      </c>
      <c r="AM1584" s="182" t="n">
        <v>0.1</v>
      </c>
      <c r="AN1584" s="182" t="n">
        <v>0</v>
      </c>
    </row>
    <row r="1585">
      <c r="A1585" s="155" t="n">
        <v>46089</v>
      </c>
      <c r="B1585" s="156" t="inlineStr">
        <is>
          <t>DS</t>
        </is>
      </c>
      <c r="C1585" s="156" t="inlineStr">
        <is>
          <t>EX-332</t>
        </is>
      </c>
      <c r="D1585" s="156" t="inlineStr">
        <is>
          <t>PC 300-8MO</t>
        </is>
      </c>
      <c r="E1585" s="156" t="inlineStr">
        <is>
          <t>Excavator</t>
        </is>
      </c>
      <c r="F1585" s="156" t="inlineStr">
        <is>
          <t>Cleaning Coal</t>
        </is>
      </c>
      <c r="G1585" s="182" t="n">
        <v>10.14</v>
      </c>
      <c r="H1585" s="182" t="n">
        <v>0</v>
      </c>
      <c r="I1585" s="182" t="n">
        <v>1.37</v>
      </c>
      <c r="J1585" s="182" t="n">
        <v>1.37</v>
      </c>
      <c r="K1585" s="182" t="n">
        <v>0.49</v>
      </c>
      <c r="L1585" s="182" t="n">
        <v>12</v>
      </c>
      <c r="M1585" s="182" t="n">
        <v>0</v>
      </c>
      <c r="N1585" s="182" t="n">
        <v>0</v>
      </c>
      <c r="O1585" s="183" t="n">
        <v>0</v>
      </c>
      <c r="P1585" s="183" t="n">
        <v>0</v>
      </c>
      <c r="Q1585" s="184" t="n">
        <v>0</v>
      </c>
      <c r="R1585" s="184" t="n">
        <v>0</v>
      </c>
      <c r="S1585" s="183" t="n">
        <v>0</v>
      </c>
      <c r="T1585" s="183" t="n">
        <v>0</v>
      </c>
      <c r="U1585" s="182" t="n">
        <v>0</v>
      </c>
      <c r="V1585" s="182" t="n">
        <v>0</v>
      </c>
      <c r="W1585" s="182" t="n">
        <v>0</v>
      </c>
      <c r="X1585" s="182" t="n">
        <v>0.19</v>
      </c>
      <c r="Y1585" s="182" t="n">
        <v>0</v>
      </c>
      <c r="Z1585" s="182" t="n">
        <v>0</v>
      </c>
      <c r="AA1585" s="182" t="n">
        <v>0</v>
      </c>
      <c r="AB1585" s="182" t="n">
        <v>0</v>
      </c>
      <c r="AC1585" s="182" t="n">
        <v>0</v>
      </c>
      <c r="AD1585" s="182" t="n">
        <v>0</v>
      </c>
      <c r="AE1585" s="182" t="n">
        <v>0</v>
      </c>
      <c r="AF1585" s="182" t="n">
        <v>0</v>
      </c>
      <c r="AG1585" s="182" t="n">
        <v>0</v>
      </c>
      <c r="AH1585" s="182" t="n">
        <v>0</v>
      </c>
      <c r="AI1585" s="182" t="n">
        <v>0</v>
      </c>
      <c r="AJ1585" s="182" t="n">
        <v>0</v>
      </c>
      <c r="AK1585" s="182" t="n">
        <v>0</v>
      </c>
      <c r="AL1585" s="182" t="n">
        <v>0</v>
      </c>
      <c r="AM1585" s="182" t="n">
        <v>0.3</v>
      </c>
      <c r="AN1585" s="182" t="n">
        <v>0</v>
      </c>
    </row>
    <row r="1586">
      <c r="A1586" s="155" t="n">
        <v>46089</v>
      </c>
      <c r="B1586" s="156" t="inlineStr">
        <is>
          <t>DS</t>
        </is>
      </c>
      <c r="C1586" s="156" t="inlineStr">
        <is>
          <t>EX-333</t>
        </is>
      </c>
      <c r="D1586" s="156" t="inlineStr">
        <is>
          <t>PC 300-8MO</t>
        </is>
      </c>
      <c r="E1586" s="156" t="inlineStr">
        <is>
          <t>Excavator</t>
        </is>
      </c>
      <c r="F1586" s="156" t="inlineStr"/>
      <c r="G1586" s="182" t="n">
        <v>0</v>
      </c>
      <c r="H1586" s="182" t="n">
        <v>0</v>
      </c>
      <c r="I1586" s="182" t="n">
        <v>12</v>
      </c>
      <c r="J1586" s="182" t="n">
        <v>12</v>
      </c>
      <c r="K1586" s="182" t="n">
        <v>0</v>
      </c>
      <c r="L1586" s="182" t="n">
        <v>12</v>
      </c>
      <c r="M1586" s="182" t="n">
        <v>0</v>
      </c>
      <c r="N1586" s="182" t="n">
        <v>0</v>
      </c>
      <c r="O1586" s="183" t="n">
        <v>0</v>
      </c>
      <c r="P1586" s="183" t="n">
        <v>0</v>
      </c>
      <c r="Q1586" s="184" t="n">
        <v>0</v>
      </c>
      <c r="R1586" s="184" t="n">
        <v>0</v>
      </c>
      <c r="S1586" s="183" t="n">
        <v>0</v>
      </c>
      <c r="T1586" s="183" t="n">
        <v>0</v>
      </c>
      <c r="U1586" s="182" t="n">
        <v>0</v>
      </c>
      <c r="V1586" s="182" t="n">
        <v>0</v>
      </c>
      <c r="W1586" s="182" t="n">
        <v>0</v>
      </c>
      <c r="X1586" s="182" t="n">
        <v>0</v>
      </c>
      <c r="Y1586" s="182" t="n">
        <v>0</v>
      </c>
      <c r="Z1586" s="182" t="n">
        <v>0</v>
      </c>
      <c r="AA1586" s="182" t="n">
        <v>0</v>
      </c>
      <c r="AB1586" s="182" t="n">
        <v>0</v>
      </c>
      <c r="AC1586" s="182" t="n">
        <v>0</v>
      </c>
      <c r="AD1586" s="182" t="n">
        <v>0</v>
      </c>
      <c r="AE1586" s="182" t="n">
        <v>0</v>
      </c>
      <c r="AF1586" s="182" t="n">
        <v>0</v>
      </c>
      <c r="AG1586" s="182" t="n">
        <v>0</v>
      </c>
      <c r="AH1586" s="182" t="n">
        <v>0</v>
      </c>
      <c r="AI1586" s="182" t="n">
        <v>0</v>
      </c>
      <c r="AJ1586" s="182" t="n">
        <v>0</v>
      </c>
      <c r="AK1586" s="182" t="n">
        <v>0</v>
      </c>
      <c r="AL1586" s="182" t="n">
        <v>0</v>
      </c>
      <c r="AM1586" s="182" t="n">
        <v>0</v>
      </c>
      <c r="AN1586" s="182" t="n">
        <v>0</v>
      </c>
    </row>
    <row r="1587">
      <c r="A1587" s="155" t="n">
        <v>46089</v>
      </c>
      <c r="B1587" s="156" t="inlineStr">
        <is>
          <t>DS</t>
        </is>
      </c>
      <c r="C1587" s="156" t="inlineStr">
        <is>
          <t>EX-336</t>
        </is>
      </c>
      <c r="D1587" s="156" t="inlineStr">
        <is>
          <t>PC 300-8MO</t>
        </is>
      </c>
      <c r="E1587" s="156" t="inlineStr">
        <is>
          <t>Excavator</t>
        </is>
      </c>
      <c r="F1587" s="156" t="inlineStr">
        <is>
          <t>Support Washing Plant</t>
        </is>
      </c>
      <c r="G1587" s="182" t="n">
        <v>10.81</v>
      </c>
      <c r="H1587" s="182" t="n">
        <v>0</v>
      </c>
      <c r="I1587" s="182" t="n">
        <v>0</v>
      </c>
      <c r="J1587" s="182" t="n">
        <v>0</v>
      </c>
      <c r="K1587" s="182" t="n">
        <v>1.19</v>
      </c>
      <c r="L1587" s="182" t="n">
        <v>12</v>
      </c>
      <c r="M1587" s="182" t="n">
        <v>0</v>
      </c>
      <c r="N1587" s="182" t="n">
        <v>0</v>
      </c>
      <c r="O1587" s="183" t="n">
        <v>0</v>
      </c>
      <c r="P1587" s="183" t="n">
        <v>0</v>
      </c>
      <c r="Q1587" s="184" t="n">
        <v>0</v>
      </c>
      <c r="R1587" s="184" t="n">
        <v>0</v>
      </c>
      <c r="S1587" s="183" t="n">
        <v>0</v>
      </c>
      <c r="T1587" s="183" t="n">
        <v>0</v>
      </c>
      <c r="U1587" s="182" t="n">
        <v>0</v>
      </c>
      <c r="V1587" s="182" t="n">
        <v>0</v>
      </c>
      <c r="W1587" s="182" t="n">
        <v>0</v>
      </c>
      <c r="X1587" s="182" t="n">
        <v>1.09</v>
      </c>
      <c r="Y1587" s="182" t="n">
        <v>0</v>
      </c>
      <c r="Z1587" s="182" t="n">
        <v>0</v>
      </c>
      <c r="AA1587" s="182" t="n">
        <v>0</v>
      </c>
      <c r="AB1587" s="182" t="n">
        <v>0</v>
      </c>
      <c r="AC1587" s="182" t="n">
        <v>0</v>
      </c>
      <c r="AD1587" s="182" t="n">
        <v>0</v>
      </c>
      <c r="AE1587" s="182" t="n">
        <v>0</v>
      </c>
      <c r="AF1587" s="182" t="n">
        <v>0</v>
      </c>
      <c r="AG1587" s="182" t="n">
        <v>0</v>
      </c>
      <c r="AH1587" s="182" t="n">
        <v>0</v>
      </c>
      <c r="AI1587" s="182" t="n">
        <v>0</v>
      </c>
      <c r="AJ1587" s="182" t="n">
        <v>0</v>
      </c>
      <c r="AK1587" s="182" t="n">
        <v>0</v>
      </c>
      <c r="AL1587" s="182" t="n">
        <v>0</v>
      </c>
      <c r="AM1587" s="182" t="n">
        <v>0.1</v>
      </c>
      <c r="AN1587" s="182" t="n">
        <v>0</v>
      </c>
    </row>
    <row r="1588">
      <c r="A1588" s="155" t="n">
        <v>46089</v>
      </c>
      <c r="B1588" s="156" t="inlineStr">
        <is>
          <t>DS</t>
        </is>
      </c>
      <c r="C1588" s="156" t="inlineStr">
        <is>
          <t>EX-335</t>
        </is>
      </c>
      <c r="D1588" s="156" t="inlineStr">
        <is>
          <t>PC 300-8MO</t>
        </is>
      </c>
      <c r="E1588" s="156" t="inlineStr">
        <is>
          <t>Excavator</t>
        </is>
      </c>
      <c r="F1588" s="156" t="inlineStr">
        <is>
          <t>Loading &amp; Cleaning Coal</t>
        </is>
      </c>
      <c r="G1588" s="182" t="n">
        <v>10.47</v>
      </c>
      <c r="H1588" s="182" t="n">
        <v>0</v>
      </c>
      <c r="I1588" s="182" t="n">
        <v>0</v>
      </c>
      <c r="J1588" s="182" t="n">
        <v>0</v>
      </c>
      <c r="K1588" s="182" t="n">
        <v>1.53</v>
      </c>
      <c r="L1588" s="182" t="n">
        <v>12</v>
      </c>
      <c r="M1588" s="182" t="n">
        <v>0</v>
      </c>
      <c r="N1588" s="182" t="n">
        <v>6.98</v>
      </c>
      <c r="O1588" s="183" t="n">
        <v>0</v>
      </c>
      <c r="P1588" s="183" t="n">
        <v>45</v>
      </c>
      <c r="Q1588" s="184" t="n">
        <v>0</v>
      </c>
      <c r="R1588" s="184" t="n">
        <v>838.1</v>
      </c>
      <c r="S1588" s="183" t="n">
        <v>0</v>
      </c>
      <c r="T1588" s="183" t="n">
        <v>0</v>
      </c>
      <c r="U1588" s="182" t="n">
        <v>0</v>
      </c>
      <c r="V1588" s="182" t="n">
        <v>0</v>
      </c>
      <c r="W1588" s="182" t="n">
        <v>0</v>
      </c>
      <c r="X1588" s="182" t="n">
        <v>1.02</v>
      </c>
      <c r="Y1588" s="182" t="n">
        <v>0</v>
      </c>
      <c r="Z1588" s="182" t="n">
        <v>0</v>
      </c>
      <c r="AA1588" s="182" t="n">
        <v>0</v>
      </c>
      <c r="AB1588" s="182" t="n">
        <v>0</v>
      </c>
      <c r="AC1588" s="182" t="n">
        <v>0</v>
      </c>
      <c r="AD1588" s="182" t="n">
        <v>0</v>
      </c>
      <c r="AE1588" s="182" t="n">
        <v>0</v>
      </c>
      <c r="AF1588" s="182" t="n">
        <v>0</v>
      </c>
      <c r="AG1588" s="182" t="n">
        <v>0</v>
      </c>
      <c r="AH1588" s="182" t="n">
        <v>0.43</v>
      </c>
      <c r="AI1588" s="182" t="n">
        <v>0</v>
      </c>
      <c r="AJ1588" s="182" t="n">
        <v>0</v>
      </c>
      <c r="AK1588" s="182" t="n">
        <v>0</v>
      </c>
      <c r="AL1588" s="182" t="n">
        <v>0</v>
      </c>
      <c r="AM1588" s="182" t="n">
        <v>0.08</v>
      </c>
      <c r="AN1588" s="182" t="n">
        <v>0</v>
      </c>
    </row>
    <row r="1589">
      <c r="A1589" s="155" t="n">
        <v>46089</v>
      </c>
      <c r="B1589" s="156" t="inlineStr">
        <is>
          <t>DS</t>
        </is>
      </c>
      <c r="C1589" s="156" t="inlineStr">
        <is>
          <t>EX-754</t>
        </is>
      </c>
      <c r="D1589" s="156" t="inlineStr">
        <is>
          <t>SY750H-PRO</t>
        </is>
      </c>
      <c r="E1589" s="156" t="inlineStr">
        <is>
          <t>Excavator</t>
        </is>
      </c>
      <c r="F1589" s="156" t="inlineStr">
        <is>
          <t>Loading Material Longsoran</t>
        </is>
      </c>
      <c r="G1589" s="182" t="n">
        <v>10.4</v>
      </c>
      <c r="H1589" s="182" t="n">
        <v>0</v>
      </c>
      <c r="I1589" s="182" t="n">
        <v>0.17</v>
      </c>
      <c r="J1589" s="182" t="n">
        <v>0.17</v>
      </c>
      <c r="K1589" s="182" t="n">
        <v>1.43</v>
      </c>
      <c r="L1589" s="182" t="n">
        <v>12</v>
      </c>
      <c r="M1589" s="182" t="n">
        <v>10.17</v>
      </c>
      <c r="N1589" s="182" t="n">
        <v>0</v>
      </c>
      <c r="O1589" s="183" t="n">
        <v>175</v>
      </c>
      <c r="P1589" s="183" t="n">
        <v>0</v>
      </c>
      <c r="Q1589" s="184" t="n">
        <v>1785</v>
      </c>
      <c r="R1589" s="184" t="n">
        <v>0</v>
      </c>
      <c r="S1589" s="183" t="n">
        <v>0</v>
      </c>
      <c r="T1589" s="183" t="n">
        <v>0</v>
      </c>
      <c r="U1589" s="182" t="n">
        <v>0</v>
      </c>
      <c r="V1589" s="182" t="n">
        <v>0</v>
      </c>
      <c r="W1589" s="182" t="n">
        <v>0</v>
      </c>
      <c r="X1589" s="182" t="n">
        <v>0.97</v>
      </c>
      <c r="Y1589" s="182" t="n">
        <v>0</v>
      </c>
      <c r="Z1589" s="182" t="n">
        <v>0</v>
      </c>
      <c r="AA1589" s="182" t="n">
        <v>0</v>
      </c>
      <c r="AB1589" s="182" t="n">
        <v>0</v>
      </c>
      <c r="AC1589" s="182" t="n">
        <v>0</v>
      </c>
      <c r="AD1589" s="182" t="n">
        <v>0</v>
      </c>
      <c r="AE1589" s="182" t="n">
        <v>0</v>
      </c>
      <c r="AF1589" s="182" t="n">
        <v>0</v>
      </c>
      <c r="AG1589" s="182" t="n">
        <v>0</v>
      </c>
      <c r="AH1589" s="182" t="n">
        <v>0.38</v>
      </c>
      <c r="AI1589" s="182" t="n">
        <v>0</v>
      </c>
      <c r="AJ1589" s="182" t="n">
        <v>0</v>
      </c>
      <c r="AK1589" s="182" t="n">
        <v>0</v>
      </c>
      <c r="AL1589" s="182" t="n">
        <v>0</v>
      </c>
      <c r="AM1589" s="182" t="n">
        <v>0.08</v>
      </c>
      <c r="AN1589" s="182" t="n">
        <v>0</v>
      </c>
    </row>
    <row r="1590">
      <c r="A1590" s="155" t="n">
        <v>46089</v>
      </c>
      <c r="B1590" s="156" t="inlineStr">
        <is>
          <t>DS</t>
        </is>
      </c>
      <c r="C1590" s="156" t="inlineStr">
        <is>
          <t>EX-755</t>
        </is>
      </c>
      <c r="D1590" s="156" t="inlineStr">
        <is>
          <t>SY750H-PRO</t>
        </is>
      </c>
      <c r="E1590" s="156" t="inlineStr">
        <is>
          <t>Excavator</t>
        </is>
      </c>
      <c r="F1590" s="156" t="inlineStr">
        <is>
          <t>Loading Material Campuran &amp; OB (Blastingan)</t>
        </is>
      </c>
      <c r="G1590" s="182" t="n">
        <v>10.8</v>
      </c>
      <c r="H1590" s="182" t="n">
        <v>0</v>
      </c>
      <c r="I1590" s="182" t="n">
        <v>0</v>
      </c>
      <c r="J1590" s="182" t="n">
        <v>0</v>
      </c>
      <c r="K1590" s="182" t="n">
        <v>1.2</v>
      </c>
      <c r="L1590" s="182" t="n">
        <v>12</v>
      </c>
      <c r="M1590" s="182" t="n">
        <v>10.27</v>
      </c>
      <c r="N1590" s="182" t="n">
        <v>0</v>
      </c>
      <c r="O1590" s="183" t="n">
        <v>137</v>
      </c>
      <c r="P1590" s="183" t="n">
        <v>0</v>
      </c>
      <c r="Q1590" s="184" t="n">
        <v>1851.3</v>
      </c>
      <c r="R1590" s="184" t="n">
        <v>0</v>
      </c>
      <c r="S1590" s="183" t="n">
        <v>0</v>
      </c>
      <c r="T1590" s="183" t="n">
        <v>0</v>
      </c>
      <c r="U1590" s="182" t="n">
        <v>0</v>
      </c>
      <c r="V1590" s="182" t="n">
        <v>0</v>
      </c>
      <c r="W1590" s="182" t="n">
        <v>0</v>
      </c>
      <c r="X1590" s="182" t="n">
        <v>0.82</v>
      </c>
      <c r="Y1590" s="182" t="n">
        <v>0</v>
      </c>
      <c r="Z1590" s="182" t="n">
        <v>0</v>
      </c>
      <c r="AA1590" s="182" t="n">
        <v>0</v>
      </c>
      <c r="AB1590" s="182" t="n">
        <v>0</v>
      </c>
      <c r="AC1590" s="182" t="n">
        <v>0</v>
      </c>
      <c r="AD1590" s="182" t="n">
        <v>0</v>
      </c>
      <c r="AE1590" s="182" t="n">
        <v>0</v>
      </c>
      <c r="AF1590" s="182" t="n">
        <v>0</v>
      </c>
      <c r="AG1590" s="182" t="n">
        <v>0</v>
      </c>
      <c r="AH1590" s="182" t="n">
        <v>0.31</v>
      </c>
      <c r="AI1590" s="182" t="n">
        <v>0</v>
      </c>
      <c r="AJ1590" s="182" t="n">
        <v>0</v>
      </c>
      <c r="AK1590" s="182" t="n">
        <v>0</v>
      </c>
      <c r="AL1590" s="182" t="n">
        <v>0</v>
      </c>
      <c r="AM1590" s="182" t="n">
        <v>0.07000000000000001</v>
      </c>
      <c r="AN1590" s="182" t="n">
        <v>0</v>
      </c>
    </row>
    <row r="1591">
      <c r="A1591" s="155" t="n">
        <v>46089</v>
      </c>
      <c r="B1591" s="156" t="inlineStr">
        <is>
          <t>DS</t>
        </is>
      </c>
      <c r="C1591" s="156" t="inlineStr">
        <is>
          <t>EX-752</t>
        </is>
      </c>
      <c r="D1591" s="156" t="inlineStr">
        <is>
          <t>SY750H-PRO</t>
        </is>
      </c>
      <c r="E1591" s="156" t="inlineStr">
        <is>
          <t>Excavator</t>
        </is>
      </c>
      <c r="F1591" s="156" t="inlineStr"/>
      <c r="G1591" s="182" t="n">
        <v>0</v>
      </c>
      <c r="H1591" s="182" t="n">
        <v>0</v>
      </c>
      <c r="I1591" s="182" t="n">
        <v>12</v>
      </c>
      <c r="J1591" s="182" t="n">
        <v>12</v>
      </c>
      <c r="K1591" s="182" t="n">
        <v>0</v>
      </c>
      <c r="L1591" s="182" t="n">
        <v>12</v>
      </c>
      <c r="M1591" s="182" t="n">
        <v>0</v>
      </c>
      <c r="N1591" s="182" t="n">
        <v>0</v>
      </c>
      <c r="O1591" s="183" t="n">
        <v>0</v>
      </c>
      <c r="P1591" s="183" t="n">
        <v>0</v>
      </c>
      <c r="Q1591" s="184" t="n">
        <v>0</v>
      </c>
      <c r="R1591" s="184" t="n">
        <v>0</v>
      </c>
      <c r="S1591" s="183" t="n">
        <v>0</v>
      </c>
      <c r="T1591" s="183" t="n">
        <v>0</v>
      </c>
      <c r="U1591" s="182" t="n">
        <v>0</v>
      </c>
      <c r="V1591" s="182" t="n">
        <v>0</v>
      </c>
      <c r="W1591" s="182" t="n">
        <v>0</v>
      </c>
      <c r="X1591" s="182" t="n">
        <v>0</v>
      </c>
      <c r="Y1591" s="182" t="n">
        <v>0</v>
      </c>
      <c r="Z1591" s="182" t="n">
        <v>0</v>
      </c>
      <c r="AA1591" s="182" t="n">
        <v>0</v>
      </c>
      <c r="AB1591" s="182" t="n">
        <v>0</v>
      </c>
      <c r="AC1591" s="182" t="n">
        <v>0</v>
      </c>
      <c r="AD1591" s="182" t="n">
        <v>0</v>
      </c>
      <c r="AE1591" s="182" t="n">
        <v>0</v>
      </c>
      <c r="AF1591" s="182" t="n">
        <v>0</v>
      </c>
      <c r="AG1591" s="182" t="n">
        <v>0</v>
      </c>
      <c r="AH1591" s="182" t="n">
        <v>0</v>
      </c>
      <c r="AI1591" s="182" t="n">
        <v>0</v>
      </c>
      <c r="AJ1591" s="182" t="n">
        <v>0</v>
      </c>
      <c r="AK1591" s="182" t="n">
        <v>0</v>
      </c>
      <c r="AL1591" s="182" t="n">
        <v>0</v>
      </c>
      <c r="AM1591" s="182" t="n">
        <v>0</v>
      </c>
      <c r="AN1591" s="182" t="n">
        <v>0</v>
      </c>
    </row>
    <row r="1592">
      <c r="A1592" s="155" t="n">
        <v>46089</v>
      </c>
      <c r="B1592" s="156" t="inlineStr">
        <is>
          <t>DS</t>
        </is>
      </c>
      <c r="C1592" s="156" t="inlineStr">
        <is>
          <t>EX-751</t>
        </is>
      </c>
      <c r="D1592" s="156" t="inlineStr">
        <is>
          <t>SY750H-PRO</t>
        </is>
      </c>
      <c r="E1592" s="156" t="inlineStr">
        <is>
          <t>Excavator</t>
        </is>
      </c>
      <c r="F1592" s="156" t="inlineStr"/>
      <c r="G1592" s="182" t="n">
        <v>0</v>
      </c>
      <c r="H1592" s="182" t="n">
        <v>0</v>
      </c>
      <c r="I1592" s="182" t="n">
        <v>12</v>
      </c>
      <c r="J1592" s="182" t="n">
        <v>12</v>
      </c>
      <c r="K1592" s="182" t="n">
        <v>0</v>
      </c>
      <c r="L1592" s="182" t="n">
        <v>12</v>
      </c>
      <c r="M1592" s="182" t="n">
        <v>0</v>
      </c>
      <c r="N1592" s="182" t="n">
        <v>0</v>
      </c>
      <c r="O1592" s="183" t="n">
        <v>0</v>
      </c>
      <c r="P1592" s="183" t="n">
        <v>0</v>
      </c>
      <c r="Q1592" s="184" t="n">
        <v>0</v>
      </c>
      <c r="R1592" s="184" t="n">
        <v>0</v>
      </c>
      <c r="S1592" s="183" t="n">
        <v>0</v>
      </c>
      <c r="T1592" s="183" t="n">
        <v>0</v>
      </c>
      <c r="U1592" s="182" t="n">
        <v>0</v>
      </c>
      <c r="V1592" s="182" t="n">
        <v>0</v>
      </c>
      <c r="W1592" s="182" t="n">
        <v>0</v>
      </c>
      <c r="X1592" s="182" t="n">
        <v>0</v>
      </c>
      <c r="Y1592" s="182" t="n">
        <v>0</v>
      </c>
      <c r="Z1592" s="182" t="n">
        <v>0</v>
      </c>
      <c r="AA1592" s="182" t="n">
        <v>0</v>
      </c>
      <c r="AB1592" s="182" t="n">
        <v>0</v>
      </c>
      <c r="AC1592" s="182" t="n">
        <v>0</v>
      </c>
      <c r="AD1592" s="182" t="n">
        <v>0</v>
      </c>
      <c r="AE1592" s="182" t="n">
        <v>0</v>
      </c>
      <c r="AF1592" s="182" t="n">
        <v>0</v>
      </c>
      <c r="AG1592" s="182" t="n">
        <v>0</v>
      </c>
      <c r="AH1592" s="182" t="n">
        <v>0</v>
      </c>
      <c r="AI1592" s="182" t="n">
        <v>0</v>
      </c>
      <c r="AJ1592" s="182" t="n">
        <v>0</v>
      </c>
      <c r="AK1592" s="182" t="n">
        <v>0</v>
      </c>
      <c r="AL1592" s="182" t="n">
        <v>0</v>
      </c>
      <c r="AM1592" s="182" t="n">
        <v>0</v>
      </c>
      <c r="AN1592" s="182" t="n">
        <v>0</v>
      </c>
    </row>
    <row r="1593">
      <c r="A1593" s="155" t="n">
        <v>46089</v>
      </c>
      <c r="B1593" s="156" t="inlineStr">
        <is>
          <t>DS</t>
        </is>
      </c>
      <c r="C1593" s="156" t="inlineStr">
        <is>
          <t>EX-753</t>
        </is>
      </c>
      <c r="D1593" s="156" t="inlineStr">
        <is>
          <t>SY750H-PRO</t>
        </is>
      </c>
      <c r="E1593" s="156" t="inlineStr">
        <is>
          <t>Excavator</t>
        </is>
      </c>
      <c r="F1593" s="156" t="inlineStr">
        <is>
          <t>Loading Material Longsoran</t>
        </is>
      </c>
      <c r="G1593" s="182" t="n">
        <v>10.31</v>
      </c>
      <c r="H1593" s="182" t="n">
        <v>0</v>
      </c>
      <c r="I1593" s="182" t="n">
        <v>0.17</v>
      </c>
      <c r="J1593" s="182" t="n">
        <v>0.17</v>
      </c>
      <c r="K1593" s="182" t="n">
        <v>1.52</v>
      </c>
      <c r="L1593" s="182" t="n">
        <v>12</v>
      </c>
      <c r="M1593" s="182" t="n">
        <v>9.25</v>
      </c>
      <c r="N1593" s="182" t="n">
        <v>0</v>
      </c>
      <c r="O1593" s="183" t="n">
        <v>132</v>
      </c>
      <c r="P1593" s="183" t="n">
        <v>0</v>
      </c>
      <c r="Q1593" s="184" t="n">
        <v>1346.4</v>
      </c>
      <c r="R1593" s="184" t="n">
        <v>0</v>
      </c>
      <c r="S1593" s="183" t="n">
        <v>0</v>
      </c>
      <c r="T1593" s="183" t="n">
        <v>0</v>
      </c>
      <c r="U1593" s="182" t="n">
        <v>0</v>
      </c>
      <c r="V1593" s="182" t="n">
        <v>0</v>
      </c>
      <c r="W1593" s="182" t="n">
        <v>0</v>
      </c>
      <c r="X1593" s="182" t="n">
        <v>1.09</v>
      </c>
      <c r="Y1593" s="182" t="n">
        <v>0</v>
      </c>
      <c r="Z1593" s="182" t="n">
        <v>0</v>
      </c>
      <c r="AA1593" s="182" t="n">
        <v>0</v>
      </c>
      <c r="AB1593" s="182" t="n">
        <v>0</v>
      </c>
      <c r="AC1593" s="182" t="n">
        <v>0</v>
      </c>
      <c r="AD1593" s="182" t="n">
        <v>0</v>
      </c>
      <c r="AE1593" s="182" t="n">
        <v>0</v>
      </c>
      <c r="AF1593" s="182" t="n">
        <v>0</v>
      </c>
      <c r="AG1593" s="182" t="n">
        <v>0</v>
      </c>
      <c r="AH1593" s="182" t="n">
        <v>0.35</v>
      </c>
      <c r="AI1593" s="182" t="n">
        <v>0</v>
      </c>
      <c r="AJ1593" s="182" t="n">
        <v>0</v>
      </c>
      <c r="AK1593" s="182" t="n">
        <v>0</v>
      </c>
      <c r="AL1593" s="182" t="n">
        <v>0</v>
      </c>
      <c r="AM1593" s="182" t="n">
        <v>0.09</v>
      </c>
      <c r="AN1593" s="182" t="n">
        <v>0</v>
      </c>
    </row>
    <row r="1594">
      <c r="A1594" s="155" t="n">
        <v>46089</v>
      </c>
      <c r="B1594" s="156" t="inlineStr">
        <is>
          <t>DS</t>
        </is>
      </c>
      <c r="C1594" s="156" t="inlineStr">
        <is>
          <t>GD-012</t>
        </is>
      </c>
      <c r="D1594" s="156" t="inlineStr">
        <is>
          <t>STG 230C - 8S</t>
        </is>
      </c>
      <c r="E1594" s="156" t="inlineStr">
        <is>
          <t>Grader</t>
        </is>
      </c>
      <c r="F1594" s="156" t="inlineStr"/>
      <c r="G1594" s="182" t="n">
        <v>0</v>
      </c>
      <c r="H1594" s="182" t="n">
        <v>0</v>
      </c>
      <c r="I1594" s="182" t="n">
        <v>0</v>
      </c>
      <c r="J1594" s="182" t="n">
        <v>0</v>
      </c>
      <c r="K1594" s="182" t="n">
        <v>12</v>
      </c>
      <c r="L1594" s="182" t="n">
        <v>12</v>
      </c>
      <c r="M1594" s="182" t="n">
        <v>0</v>
      </c>
      <c r="N1594" s="182" t="n">
        <v>0</v>
      </c>
      <c r="O1594" s="183" t="n">
        <v>0</v>
      </c>
      <c r="P1594" s="183" t="n">
        <v>0</v>
      </c>
      <c r="Q1594" s="184" t="n">
        <v>0</v>
      </c>
      <c r="R1594" s="184" t="n">
        <v>0</v>
      </c>
      <c r="S1594" s="183" t="n">
        <v>0</v>
      </c>
      <c r="T1594" s="183" t="n">
        <v>0</v>
      </c>
      <c r="U1594" s="182" t="n">
        <v>0</v>
      </c>
      <c r="V1594" s="182" t="n">
        <v>0</v>
      </c>
      <c r="W1594" s="182" t="n">
        <v>0</v>
      </c>
      <c r="X1594" s="182" t="n">
        <v>1</v>
      </c>
      <c r="Y1594" s="182" t="n">
        <v>0</v>
      </c>
      <c r="Z1594" s="182" t="n">
        <v>0</v>
      </c>
      <c r="AA1594" s="182" t="n">
        <v>0</v>
      </c>
      <c r="AB1594" s="182" t="n">
        <v>0</v>
      </c>
      <c r="AC1594" s="182" t="n">
        <v>0</v>
      </c>
      <c r="AD1594" s="182" t="n">
        <v>0</v>
      </c>
      <c r="AE1594" s="182" t="n">
        <v>0</v>
      </c>
      <c r="AF1594" s="182" t="n">
        <v>0</v>
      </c>
      <c r="AG1594" s="182" t="n">
        <v>0</v>
      </c>
      <c r="AH1594" s="182" t="n">
        <v>0</v>
      </c>
      <c r="AI1594" s="182" t="n">
        <v>0</v>
      </c>
      <c r="AJ1594" s="182" t="n">
        <v>0</v>
      </c>
      <c r="AK1594" s="182" t="n">
        <v>10.92</v>
      </c>
      <c r="AL1594" s="182" t="n">
        <v>0</v>
      </c>
      <c r="AM1594" s="182" t="n">
        <v>0.08</v>
      </c>
      <c r="AN1594" s="182" t="n">
        <v>0</v>
      </c>
    </row>
    <row r="1595">
      <c r="A1595" s="155" t="n">
        <v>46089</v>
      </c>
      <c r="B1595" s="156" t="inlineStr">
        <is>
          <t>DS</t>
        </is>
      </c>
      <c r="C1595" s="156" t="inlineStr">
        <is>
          <t>GD-011</t>
        </is>
      </c>
      <c r="D1595" s="156" t="inlineStr">
        <is>
          <t>STG 230C - 8S</t>
        </is>
      </c>
      <c r="E1595" s="156" t="inlineStr">
        <is>
          <t>Grader</t>
        </is>
      </c>
      <c r="F1595" s="156" t="inlineStr"/>
      <c r="G1595" s="182" t="n">
        <v>0</v>
      </c>
      <c r="H1595" s="182" t="n">
        <v>0</v>
      </c>
      <c r="I1595" s="182" t="n">
        <v>12</v>
      </c>
      <c r="J1595" s="182" t="n">
        <v>12</v>
      </c>
      <c r="K1595" s="182" t="n">
        <v>0</v>
      </c>
      <c r="L1595" s="182" t="n">
        <v>12</v>
      </c>
      <c r="M1595" s="182" t="n">
        <v>0</v>
      </c>
      <c r="N1595" s="182" t="n">
        <v>0</v>
      </c>
      <c r="O1595" s="183" t="n">
        <v>0</v>
      </c>
      <c r="P1595" s="183" t="n">
        <v>0</v>
      </c>
      <c r="Q1595" s="184" t="n">
        <v>0</v>
      </c>
      <c r="R1595" s="184" t="n">
        <v>0</v>
      </c>
      <c r="S1595" s="183" t="n">
        <v>0</v>
      </c>
      <c r="T1595" s="183" t="n">
        <v>0</v>
      </c>
      <c r="U1595" s="182" t="n">
        <v>0</v>
      </c>
      <c r="V1595" s="182" t="n">
        <v>0</v>
      </c>
      <c r="W1595" s="182" t="n">
        <v>0</v>
      </c>
      <c r="X1595" s="182" t="n">
        <v>0</v>
      </c>
      <c r="Y1595" s="182" t="n">
        <v>0</v>
      </c>
      <c r="Z1595" s="182" t="n">
        <v>0</v>
      </c>
      <c r="AA1595" s="182" t="n">
        <v>0</v>
      </c>
      <c r="AB1595" s="182" t="n">
        <v>0</v>
      </c>
      <c r="AC1595" s="182" t="n">
        <v>0</v>
      </c>
      <c r="AD1595" s="182" t="n">
        <v>0</v>
      </c>
      <c r="AE1595" s="182" t="n">
        <v>0</v>
      </c>
      <c r="AF1595" s="182" t="n">
        <v>0</v>
      </c>
      <c r="AG1595" s="182" t="n">
        <v>0</v>
      </c>
      <c r="AH1595" s="182" t="n">
        <v>0</v>
      </c>
      <c r="AI1595" s="182" t="n">
        <v>0</v>
      </c>
      <c r="AJ1595" s="182" t="n">
        <v>0</v>
      </c>
      <c r="AK1595" s="182" t="n">
        <v>0</v>
      </c>
      <c r="AL1595" s="182" t="n">
        <v>0</v>
      </c>
      <c r="AM1595" s="182" t="n">
        <v>0</v>
      </c>
      <c r="AN1595" s="182" t="n">
        <v>0</v>
      </c>
    </row>
    <row r="1596">
      <c r="A1596" s="155" t="n">
        <v>46089</v>
      </c>
      <c r="B1596" s="156" t="inlineStr">
        <is>
          <t>DS</t>
        </is>
      </c>
      <c r="C1596" s="156" t="inlineStr">
        <is>
          <t>GD-013</t>
        </is>
      </c>
      <c r="D1596" s="156" t="inlineStr">
        <is>
          <t>STG 265C - 10</t>
        </is>
      </c>
      <c r="E1596" s="156" t="inlineStr">
        <is>
          <t>Grader</t>
        </is>
      </c>
      <c r="F1596" s="156" t="inlineStr"/>
      <c r="G1596" s="182" t="n">
        <v>0</v>
      </c>
      <c r="H1596" s="182" t="n">
        <v>0</v>
      </c>
      <c r="I1596" s="182" t="n">
        <v>0.33</v>
      </c>
      <c r="J1596" s="182" t="n">
        <v>0.33</v>
      </c>
      <c r="K1596" s="182" t="n">
        <v>11.67</v>
      </c>
      <c r="L1596" s="182" t="n">
        <v>12</v>
      </c>
      <c r="M1596" s="182" t="n">
        <v>0</v>
      </c>
      <c r="N1596" s="182" t="n">
        <v>0</v>
      </c>
      <c r="O1596" s="183" t="n">
        <v>0</v>
      </c>
      <c r="P1596" s="183" t="n">
        <v>0</v>
      </c>
      <c r="Q1596" s="184" t="n">
        <v>0</v>
      </c>
      <c r="R1596" s="184" t="n">
        <v>0</v>
      </c>
      <c r="S1596" s="183" t="n">
        <v>0</v>
      </c>
      <c r="T1596" s="183" t="n">
        <v>0</v>
      </c>
      <c r="U1596" s="182" t="n">
        <v>0</v>
      </c>
      <c r="V1596" s="182" t="n">
        <v>0</v>
      </c>
      <c r="W1596" s="182" t="n">
        <v>0</v>
      </c>
      <c r="X1596" s="182" t="n">
        <v>1</v>
      </c>
      <c r="Y1596" s="182" t="n">
        <v>0</v>
      </c>
      <c r="Z1596" s="182" t="n">
        <v>0</v>
      </c>
      <c r="AA1596" s="182" t="n">
        <v>0</v>
      </c>
      <c r="AB1596" s="182" t="n">
        <v>0</v>
      </c>
      <c r="AC1596" s="182" t="n">
        <v>0</v>
      </c>
      <c r="AD1596" s="182" t="n">
        <v>0</v>
      </c>
      <c r="AE1596" s="182" t="n">
        <v>0</v>
      </c>
      <c r="AF1596" s="182" t="n">
        <v>0</v>
      </c>
      <c r="AG1596" s="182" t="n">
        <v>0</v>
      </c>
      <c r="AH1596" s="182" t="n">
        <v>0</v>
      </c>
      <c r="AI1596" s="182" t="n">
        <v>0</v>
      </c>
      <c r="AJ1596" s="182" t="n">
        <v>0</v>
      </c>
      <c r="AK1596" s="182" t="n">
        <v>10.58</v>
      </c>
      <c r="AL1596" s="182" t="n">
        <v>0</v>
      </c>
      <c r="AM1596" s="182" t="n">
        <v>0.08</v>
      </c>
      <c r="AN1596" s="182" t="n">
        <v>0</v>
      </c>
    </row>
    <row r="1597">
      <c r="A1597" s="155" t="n">
        <v>46089</v>
      </c>
      <c r="B1597" s="156" t="inlineStr">
        <is>
          <t>DS</t>
        </is>
      </c>
      <c r="C1597" s="156" t="inlineStr">
        <is>
          <t>GD-014</t>
        </is>
      </c>
      <c r="D1597" s="156" t="inlineStr">
        <is>
          <t>STG 335C - 10</t>
        </is>
      </c>
      <c r="E1597" s="156" t="inlineStr">
        <is>
          <t>Grader</t>
        </is>
      </c>
      <c r="F1597" s="156" t="inlineStr">
        <is>
          <t>Road Maintenance</t>
        </is>
      </c>
      <c r="G1597" s="182" t="n">
        <v>10.67</v>
      </c>
      <c r="H1597" s="182" t="n">
        <v>0</v>
      </c>
      <c r="I1597" s="182" t="n">
        <v>0</v>
      </c>
      <c r="J1597" s="182" t="n">
        <v>0</v>
      </c>
      <c r="K1597" s="182" t="n">
        <v>1.33</v>
      </c>
      <c r="L1597" s="182" t="n">
        <v>12</v>
      </c>
      <c r="M1597" s="182" t="n">
        <v>0</v>
      </c>
      <c r="N1597" s="182" t="n">
        <v>0</v>
      </c>
      <c r="O1597" s="183" t="n">
        <v>0</v>
      </c>
      <c r="P1597" s="183" t="n">
        <v>0</v>
      </c>
      <c r="Q1597" s="184" t="n">
        <v>0</v>
      </c>
      <c r="R1597" s="184" t="n">
        <v>0</v>
      </c>
      <c r="S1597" s="183" t="n">
        <v>0</v>
      </c>
      <c r="T1597" s="183" t="n">
        <v>0</v>
      </c>
      <c r="U1597" s="182" t="n">
        <v>0</v>
      </c>
      <c r="V1597" s="182" t="n">
        <v>0</v>
      </c>
      <c r="W1597" s="182" t="n">
        <v>0</v>
      </c>
      <c r="X1597" s="182" t="n">
        <v>0.9399999999999999</v>
      </c>
      <c r="Y1597" s="182" t="n">
        <v>0</v>
      </c>
      <c r="Z1597" s="182" t="n">
        <v>0</v>
      </c>
      <c r="AA1597" s="182" t="n">
        <v>0</v>
      </c>
      <c r="AB1597" s="182" t="n">
        <v>0</v>
      </c>
      <c r="AC1597" s="182" t="n">
        <v>0</v>
      </c>
      <c r="AD1597" s="182" t="n">
        <v>0</v>
      </c>
      <c r="AE1597" s="182" t="n">
        <v>0</v>
      </c>
      <c r="AF1597" s="182" t="n">
        <v>0</v>
      </c>
      <c r="AG1597" s="182" t="n">
        <v>0</v>
      </c>
      <c r="AH1597" s="182" t="n">
        <v>0.31</v>
      </c>
      <c r="AI1597" s="182" t="n">
        <v>0</v>
      </c>
      <c r="AJ1597" s="182" t="n">
        <v>0</v>
      </c>
      <c r="AK1597" s="182" t="n">
        <v>0</v>
      </c>
      <c r="AL1597" s="182" t="n">
        <v>0</v>
      </c>
      <c r="AM1597" s="182" t="n">
        <v>0.08</v>
      </c>
      <c r="AN1597" s="182" t="n">
        <v>0</v>
      </c>
    </row>
    <row r="1598">
      <c r="A1598" s="155" t="n">
        <v>46089</v>
      </c>
      <c r="B1598" s="156" t="inlineStr">
        <is>
          <t>DS</t>
        </is>
      </c>
      <c r="C1598" s="156" t="inlineStr">
        <is>
          <t>DT-809</t>
        </is>
      </c>
      <c r="D1598" s="156" t="inlineStr">
        <is>
          <t>SKT 80S</t>
        </is>
      </c>
      <c r="E1598" s="156" t="inlineStr">
        <is>
          <t>Hauler</t>
        </is>
      </c>
      <c r="F1598" s="156" t="inlineStr"/>
      <c r="G1598" s="182" t="n">
        <v>0</v>
      </c>
      <c r="H1598" s="182" t="n">
        <v>0</v>
      </c>
      <c r="I1598" s="182" t="n">
        <v>0</v>
      </c>
      <c r="J1598" s="182" t="n">
        <v>0</v>
      </c>
      <c r="K1598" s="182" t="n">
        <v>12</v>
      </c>
      <c r="L1598" s="182" t="n">
        <v>12</v>
      </c>
      <c r="M1598" s="182" t="n">
        <v>0</v>
      </c>
      <c r="N1598" s="182" t="n">
        <v>0</v>
      </c>
      <c r="O1598" s="183" t="n">
        <v>0</v>
      </c>
      <c r="P1598" s="183" t="n">
        <v>0</v>
      </c>
      <c r="Q1598" s="184" t="n">
        <v>0</v>
      </c>
      <c r="R1598" s="184" t="n">
        <v>0</v>
      </c>
      <c r="S1598" s="183" t="n">
        <v>0</v>
      </c>
      <c r="T1598" s="183" t="n">
        <v>0</v>
      </c>
      <c r="U1598" s="182" t="n">
        <v>0</v>
      </c>
      <c r="V1598" s="182" t="n">
        <v>0</v>
      </c>
      <c r="W1598" s="182" t="n">
        <v>0</v>
      </c>
      <c r="X1598" s="182" t="n">
        <v>1</v>
      </c>
      <c r="Y1598" s="182" t="n">
        <v>0</v>
      </c>
      <c r="Z1598" s="182" t="n">
        <v>0</v>
      </c>
      <c r="AA1598" s="182" t="n">
        <v>0</v>
      </c>
      <c r="AB1598" s="182" t="n">
        <v>0</v>
      </c>
      <c r="AC1598" s="182" t="n">
        <v>0</v>
      </c>
      <c r="AD1598" s="182" t="n">
        <v>0</v>
      </c>
      <c r="AE1598" s="182" t="n">
        <v>0</v>
      </c>
      <c r="AF1598" s="182" t="n">
        <v>0</v>
      </c>
      <c r="AG1598" s="182" t="n">
        <v>0</v>
      </c>
      <c r="AH1598" s="182" t="n">
        <v>0</v>
      </c>
      <c r="AI1598" s="182" t="n">
        <v>0</v>
      </c>
      <c r="AJ1598" s="182" t="n">
        <v>0</v>
      </c>
      <c r="AK1598" s="182" t="n">
        <v>10.92</v>
      </c>
      <c r="AL1598" s="182" t="n">
        <v>0</v>
      </c>
      <c r="AM1598" s="182" t="n">
        <v>0.08</v>
      </c>
      <c r="AN1598" s="182" t="n">
        <v>0</v>
      </c>
    </row>
    <row r="1599">
      <c r="A1599" s="155" t="n">
        <v>46089</v>
      </c>
      <c r="B1599" s="156" t="inlineStr">
        <is>
          <t>DS</t>
        </is>
      </c>
      <c r="C1599" s="156" t="inlineStr">
        <is>
          <t>DT-806</t>
        </is>
      </c>
      <c r="D1599" s="156" t="inlineStr">
        <is>
          <t>SKT 80S</t>
        </is>
      </c>
      <c r="E1599" s="156" t="inlineStr">
        <is>
          <t>Hauler</t>
        </is>
      </c>
      <c r="F1599" s="156" t="inlineStr"/>
      <c r="G1599" s="182" t="n">
        <v>0</v>
      </c>
      <c r="H1599" s="182" t="n">
        <v>0</v>
      </c>
      <c r="I1599" s="182" t="n">
        <v>0</v>
      </c>
      <c r="J1599" s="182" t="n">
        <v>0</v>
      </c>
      <c r="K1599" s="182" t="n">
        <v>12</v>
      </c>
      <c r="L1599" s="182" t="n">
        <v>12</v>
      </c>
      <c r="M1599" s="182" t="n">
        <v>0</v>
      </c>
      <c r="N1599" s="182" t="n">
        <v>0</v>
      </c>
      <c r="O1599" s="183" t="n">
        <v>0</v>
      </c>
      <c r="P1599" s="183" t="n">
        <v>0</v>
      </c>
      <c r="Q1599" s="184" t="n">
        <v>0</v>
      </c>
      <c r="R1599" s="184" t="n">
        <v>0</v>
      </c>
      <c r="S1599" s="183" t="n">
        <v>0</v>
      </c>
      <c r="T1599" s="183" t="n">
        <v>0</v>
      </c>
      <c r="U1599" s="182" t="n">
        <v>0</v>
      </c>
      <c r="V1599" s="182" t="n">
        <v>0</v>
      </c>
      <c r="W1599" s="182" t="n">
        <v>0</v>
      </c>
      <c r="X1599" s="182" t="n">
        <v>1</v>
      </c>
      <c r="Y1599" s="182" t="n">
        <v>0</v>
      </c>
      <c r="Z1599" s="182" t="n">
        <v>0</v>
      </c>
      <c r="AA1599" s="182" t="n">
        <v>0</v>
      </c>
      <c r="AB1599" s="182" t="n">
        <v>0</v>
      </c>
      <c r="AC1599" s="182" t="n">
        <v>0</v>
      </c>
      <c r="AD1599" s="182" t="n">
        <v>0</v>
      </c>
      <c r="AE1599" s="182" t="n">
        <v>0</v>
      </c>
      <c r="AF1599" s="182" t="n">
        <v>0</v>
      </c>
      <c r="AG1599" s="182" t="n">
        <v>0</v>
      </c>
      <c r="AH1599" s="182" t="n">
        <v>0</v>
      </c>
      <c r="AI1599" s="182" t="n">
        <v>0</v>
      </c>
      <c r="AJ1599" s="182" t="n">
        <v>0</v>
      </c>
      <c r="AK1599" s="182" t="n">
        <v>10.92</v>
      </c>
      <c r="AL1599" s="182" t="n">
        <v>0</v>
      </c>
      <c r="AM1599" s="182" t="n">
        <v>0.08</v>
      </c>
      <c r="AN1599" s="182" t="n">
        <v>0</v>
      </c>
    </row>
    <row r="1600">
      <c r="A1600" s="155" t="n">
        <v>46089</v>
      </c>
      <c r="B1600" s="156" t="inlineStr">
        <is>
          <t>DS</t>
        </is>
      </c>
      <c r="C1600" s="156" t="inlineStr">
        <is>
          <t>DT-805</t>
        </is>
      </c>
      <c r="D1600" s="156" t="inlineStr">
        <is>
          <t>SKT 80S</t>
        </is>
      </c>
      <c r="E1600" s="156" t="inlineStr">
        <is>
          <t>Hauler</t>
        </is>
      </c>
      <c r="F1600" s="156" t="inlineStr"/>
      <c r="G1600" s="182" t="n">
        <v>0</v>
      </c>
      <c r="H1600" s="182" t="n">
        <v>0</v>
      </c>
      <c r="I1600" s="182" t="n">
        <v>0</v>
      </c>
      <c r="J1600" s="182" t="n">
        <v>0</v>
      </c>
      <c r="K1600" s="182" t="n">
        <v>12</v>
      </c>
      <c r="L1600" s="182" t="n">
        <v>12</v>
      </c>
      <c r="M1600" s="182" t="n">
        <v>0</v>
      </c>
      <c r="N1600" s="182" t="n">
        <v>0</v>
      </c>
      <c r="O1600" s="183" t="n">
        <v>0</v>
      </c>
      <c r="P1600" s="183" t="n">
        <v>0</v>
      </c>
      <c r="Q1600" s="184" t="n">
        <v>0</v>
      </c>
      <c r="R1600" s="184" t="n">
        <v>0</v>
      </c>
      <c r="S1600" s="183" t="n">
        <v>0</v>
      </c>
      <c r="T1600" s="183" t="n">
        <v>0</v>
      </c>
      <c r="U1600" s="182" t="n">
        <v>0</v>
      </c>
      <c r="V1600" s="182" t="n">
        <v>0</v>
      </c>
      <c r="W1600" s="182" t="n">
        <v>0</v>
      </c>
      <c r="X1600" s="182" t="n">
        <v>1</v>
      </c>
      <c r="Y1600" s="182" t="n">
        <v>0</v>
      </c>
      <c r="Z1600" s="182" t="n">
        <v>0</v>
      </c>
      <c r="AA1600" s="182" t="n">
        <v>0</v>
      </c>
      <c r="AB1600" s="182" t="n">
        <v>0</v>
      </c>
      <c r="AC1600" s="182" t="n">
        <v>0</v>
      </c>
      <c r="AD1600" s="182" t="n">
        <v>0</v>
      </c>
      <c r="AE1600" s="182" t="n">
        <v>0</v>
      </c>
      <c r="AF1600" s="182" t="n">
        <v>0</v>
      </c>
      <c r="AG1600" s="182" t="n">
        <v>0</v>
      </c>
      <c r="AH1600" s="182" t="n">
        <v>0</v>
      </c>
      <c r="AI1600" s="182" t="n">
        <v>0</v>
      </c>
      <c r="AJ1600" s="182" t="n">
        <v>0</v>
      </c>
      <c r="AK1600" s="182" t="n">
        <v>10.92</v>
      </c>
      <c r="AL1600" s="182" t="n">
        <v>0</v>
      </c>
      <c r="AM1600" s="182" t="n">
        <v>0.08</v>
      </c>
      <c r="AN1600" s="182" t="n">
        <v>0</v>
      </c>
    </row>
    <row r="1601">
      <c r="A1601" s="155" t="n">
        <v>46089</v>
      </c>
      <c r="B1601" s="156" t="inlineStr">
        <is>
          <t>DS</t>
        </is>
      </c>
      <c r="C1601" s="156" t="inlineStr">
        <is>
          <t>DT-801</t>
        </is>
      </c>
      <c r="D1601" s="156" t="inlineStr">
        <is>
          <t>SKT 80S</t>
        </is>
      </c>
      <c r="E1601" s="156" t="inlineStr">
        <is>
          <t>Hauler</t>
        </is>
      </c>
      <c r="F1601" s="156" t="inlineStr"/>
      <c r="G1601" s="182" t="n">
        <v>0</v>
      </c>
      <c r="H1601" s="182" t="n">
        <v>0</v>
      </c>
      <c r="I1601" s="182" t="n">
        <v>0</v>
      </c>
      <c r="J1601" s="182" t="n">
        <v>0</v>
      </c>
      <c r="K1601" s="182" t="n">
        <v>12</v>
      </c>
      <c r="L1601" s="182" t="n">
        <v>12</v>
      </c>
      <c r="M1601" s="182" t="n">
        <v>0</v>
      </c>
      <c r="N1601" s="182" t="n">
        <v>0</v>
      </c>
      <c r="O1601" s="183" t="n">
        <v>0</v>
      </c>
      <c r="P1601" s="183" t="n">
        <v>0</v>
      </c>
      <c r="Q1601" s="184" t="n">
        <v>0</v>
      </c>
      <c r="R1601" s="184" t="n">
        <v>0</v>
      </c>
      <c r="S1601" s="183" t="n">
        <v>0</v>
      </c>
      <c r="T1601" s="183" t="n">
        <v>0</v>
      </c>
      <c r="U1601" s="182" t="n">
        <v>0</v>
      </c>
      <c r="V1601" s="182" t="n">
        <v>0</v>
      </c>
      <c r="W1601" s="182" t="n">
        <v>0</v>
      </c>
      <c r="X1601" s="182" t="n">
        <v>1</v>
      </c>
      <c r="Y1601" s="182" t="n">
        <v>0</v>
      </c>
      <c r="Z1601" s="182" t="n">
        <v>0</v>
      </c>
      <c r="AA1601" s="182" t="n">
        <v>0</v>
      </c>
      <c r="AB1601" s="182" t="n">
        <v>0</v>
      </c>
      <c r="AC1601" s="182" t="n">
        <v>0</v>
      </c>
      <c r="AD1601" s="182" t="n">
        <v>0</v>
      </c>
      <c r="AE1601" s="182" t="n">
        <v>0</v>
      </c>
      <c r="AF1601" s="182" t="n">
        <v>0</v>
      </c>
      <c r="AG1601" s="182" t="n">
        <v>0</v>
      </c>
      <c r="AH1601" s="182" t="n">
        <v>0</v>
      </c>
      <c r="AI1601" s="182" t="n">
        <v>0</v>
      </c>
      <c r="AJ1601" s="182" t="n">
        <v>0</v>
      </c>
      <c r="AK1601" s="182" t="n">
        <v>10.92</v>
      </c>
      <c r="AL1601" s="182" t="n">
        <v>0</v>
      </c>
      <c r="AM1601" s="182" t="n">
        <v>0.08</v>
      </c>
      <c r="AN1601" s="182" t="n">
        <v>0</v>
      </c>
    </row>
    <row r="1602">
      <c r="A1602" s="155" t="n">
        <v>46089</v>
      </c>
      <c r="B1602" s="156" t="inlineStr">
        <is>
          <t>DS</t>
        </is>
      </c>
      <c r="C1602" s="156" t="inlineStr">
        <is>
          <t>DT-808</t>
        </is>
      </c>
      <c r="D1602" s="156" t="inlineStr">
        <is>
          <t>SKT 80S</t>
        </is>
      </c>
      <c r="E1602" s="156" t="inlineStr">
        <is>
          <t>Hauler</t>
        </is>
      </c>
      <c r="F1602" s="156" t="inlineStr">
        <is>
          <t>Hauling Lumpur dari Washing Plant</t>
        </is>
      </c>
      <c r="G1602" s="182" t="n">
        <v>9.029999999999999</v>
      </c>
      <c r="H1602" s="182" t="n">
        <v>0</v>
      </c>
      <c r="I1602" s="182" t="n">
        <v>0</v>
      </c>
      <c r="J1602" s="182" t="n">
        <v>0</v>
      </c>
      <c r="K1602" s="182" t="n">
        <v>2.97</v>
      </c>
      <c r="L1602" s="182" t="n">
        <v>12</v>
      </c>
      <c r="M1602" s="182" t="n">
        <v>0</v>
      </c>
      <c r="N1602" s="182" t="n">
        <v>0</v>
      </c>
      <c r="O1602" s="183" t="n">
        <v>0</v>
      </c>
      <c r="P1602" s="183" t="n">
        <v>0</v>
      </c>
      <c r="Q1602" s="184" t="n">
        <v>0</v>
      </c>
      <c r="R1602" s="184" t="n">
        <v>0</v>
      </c>
      <c r="S1602" s="183" t="n">
        <v>0</v>
      </c>
      <c r="T1602" s="183" t="n">
        <v>0</v>
      </c>
      <c r="U1602" s="182" t="n">
        <v>0</v>
      </c>
      <c r="V1602" s="182" t="n">
        <v>0</v>
      </c>
      <c r="W1602" s="182" t="n">
        <v>0</v>
      </c>
      <c r="X1602" s="182" t="n">
        <v>1.06</v>
      </c>
      <c r="Y1602" s="182" t="n">
        <v>0</v>
      </c>
      <c r="Z1602" s="182" t="n">
        <v>0</v>
      </c>
      <c r="AA1602" s="182" t="n">
        <v>0</v>
      </c>
      <c r="AB1602" s="182" t="n">
        <v>0</v>
      </c>
      <c r="AC1602" s="182" t="n">
        <v>0</v>
      </c>
      <c r="AD1602" s="182" t="n">
        <v>0</v>
      </c>
      <c r="AE1602" s="182" t="n">
        <v>0</v>
      </c>
      <c r="AF1602" s="182" t="n">
        <v>0</v>
      </c>
      <c r="AG1602" s="182" t="n">
        <v>0</v>
      </c>
      <c r="AH1602" s="182" t="n">
        <v>0</v>
      </c>
      <c r="AI1602" s="182" t="n">
        <v>0</v>
      </c>
      <c r="AJ1602" s="182" t="n">
        <v>0</v>
      </c>
      <c r="AK1602" s="182" t="n">
        <v>1.82</v>
      </c>
      <c r="AL1602" s="182" t="n">
        <v>0</v>
      </c>
      <c r="AM1602" s="182" t="n">
        <v>0.08</v>
      </c>
      <c r="AN1602" s="182" t="n">
        <v>0</v>
      </c>
    </row>
    <row r="1603">
      <c r="A1603" s="155" t="n">
        <v>46089</v>
      </c>
      <c r="B1603" s="156" t="inlineStr">
        <is>
          <t>DS</t>
        </is>
      </c>
      <c r="C1603" s="156" t="inlineStr">
        <is>
          <t>DT-811</t>
        </is>
      </c>
      <c r="D1603" s="156" t="inlineStr">
        <is>
          <t>SKT 80S</t>
        </is>
      </c>
      <c r="E1603" s="156" t="inlineStr">
        <is>
          <t>Hauler</t>
        </is>
      </c>
      <c r="F1603" s="156" t="inlineStr"/>
      <c r="G1603" s="182" t="n">
        <v>0</v>
      </c>
      <c r="H1603" s="182" t="n">
        <v>0</v>
      </c>
      <c r="I1603" s="182" t="n">
        <v>0</v>
      </c>
      <c r="J1603" s="182" t="n">
        <v>0</v>
      </c>
      <c r="K1603" s="182" t="n">
        <v>12</v>
      </c>
      <c r="L1603" s="182" t="n">
        <v>12</v>
      </c>
      <c r="M1603" s="182" t="n">
        <v>0</v>
      </c>
      <c r="N1603" s="182" t="n">
        <v>0</v>
      </c>
      <c r="O1603" s="183" t="n">
        <v>0</v>
      </c>
      <c r="P1603" s="183" t="n">
        <v>0</v>
      </c>
      <c r="Q1603" s="184" t="n">
        <v>0</v>
      </c>
      <c r="R1603" s="184" t="n">
        <v>0</v>
      </c>
      <c r="S1603" s="183" t="n">
        <v>0</v>
      </c>
      <c r="T1603" s="183" t="n">
        <v>0</v>
      </c>
      <c r="U1603" s="182" t="n">
        <v>0</v>
      </c>
      <c r="V1603" s="182" t="n">
        <v>0</v>
      </c>
      <c r="W1603" s="182" t="n">
        <v>0</v>
      </c>
      <c r="X1603" s="182" t="n">
        <v>1</v>
      </c>
      <c r="Y1603" s="182" t="n">
        <v>0</v>
      </c>
      <c r="Z1603" s="182" t="n">
        <v>0</v>
      </c>
      <c r="AA1603" s="182" t="n">
        <v>0</v>
      </c>
      <c r="AB1603" s="182" t="n">
        <v>0</v>
      </c>
      <c r="AC1603" s="182" t="n">
        <v>0</v>
      </c>
      <c r="AD1603" s="182" t="n">
        <v>0</v>
      </c>
      <c r="AE1603" s="182" t="n">
        <v>0</v>
      </c>
      <c r="AF1603" s="182" t="n">
        <v>0</v>
      </c>
      <c r="AG1603" s="182" t="n">
        <v>0</v>
      </c>
      <c r="AH1603" s="182" t="n">
        <v>0</v>
      </c>
      <c r="AI1603" s="182" t="n">
        <v>0</v>
      </c>
      <c r="AJ1603" s="182" t="n">
        <v>0</v>
      </c>
      <c r="AK1603" s="182" t="n">
        <v>10.92</v>
      </c>
      <c r="AL1603" s="182" t="n">
        <v>0</v>
      </c>
      <c r="AM1603" s="182" t="n">
        <v>0.08</v>
      </c>
      <c r="AN1603" s="182" t="n">
        <v>0</v>
      </c>
    </row>
    <row r="1604">
      <c r="A1604" s="155" t="n">
        <v>46089</v>
      </c>
      <c r="B1604" s="156" t="inlineStr">
        <is>
          <t>DS</t>
        </is>
      </c>
      <c r="C1604" s="156" t="inlineStr">
        <is>
          <t>DT-802</t>
        </is>
      </c>
      <c r="D1604" s="156" t="inlineStr">
        <is>
          <t>SKT 80S</t>
        </is>
      </c>
      <c r="E1604" s="156" t="inlineStr">
        <is>
          <t>Hauler</t>
        </is>
      </c>
      <c r="F1604" s="156" t="inlineStr"/>
      <c r="G1604" s="182" t="n">
        <v>0</v>
      </c>
      <c r="H1604" s="182" t="n">
        <v>0</v>
      </c>
      <c r="I1604" s="182" t="n">
        <v>12</v>
      </c>
      <c r="J1604" s="182" t="n">
        <v>12</v>
      </c>
      <c r="K1604" s="182" t="n">
        <v>0</v>
      </c>
      <c r="L1604" s="182" t="n">
        <v>12</v>
      </c>
      <c r="M1604" s="182" t="n">
        <v>0</v>
      </c>
      <c r="N1604" s="182" t="n">
        <v>0</v>
      </c>
      <c r="O1604" s="183" t="n">
        <v>0</v>
      </c>
      <c r="P1604" s="183" t="n">
        <v>0</v>
      </c>
      <c r="Q1604" s="184" t="n">
        <v>0</v>
      </c>
      <c r="R1604" s="184" t="n">
        <v>0</v>
      </c>
      <c r="S1604" s="183" t="n">
        <v>0</v>
      </c>
      <c r="T1604" s="183" t="n">
        <v>0</v>
      </c>
      <c r="U1604" s="182" t="n">
        <v>0</v>
      </c>
      <c r="V1604" s="182" t="n">
        <v>0</v>
      </c>
      <c r="W1604" s="182" t="n">
        <v>0</v>
      </c>
      <c r="X1604" s="182" t="n">
        <v>0</v>
      </c>
      <c r="Y1604" s="182" t="n">
        <v>0</v>
      </c>
      <c r="Z1604" s="182" t="n">
        <v>0</v>
      </c>
      <c r="AA1604" s="182" t="n">
        <v>0</v>
      </c>
      <c r="AB1604" s="182" t="n">
        <v>0</v>
      </c>
      <c r="AC1604" s="182" t="n">
        <v>0</v>
      </c>
      <c r="AD1604" s="182" t="n">
        <v>0</v>
      </c>
      <c r="AE1604" s="182" t="n">
        <v>0</v>
      </c>
      <c r="AF1604" s="182" t="n">
        <v>0</v>
      </c>
      <c r="AG1604" s="182" t="n">
        <v>0</v>
      </c>
      <c r="AH1604" s="182" t="n">
        <v>0</v>
      </c>
      <c r="AI1604" s="182" t="n">
        <v>0</v>
      </c>
      <c r="AJ1604" s="182" t="n">
        <v>0</v>
      </c>
      <c r="AK1604" s="182" t="n">
        <v>0</v>
      </c>
      <c r="AL1604" s="182" t="n">
        <v>0</v>
      </c>
      <c r="AM1604" s="182" t="n">
        <v>0</v>
      </c>
      <c r="AN1604" s="182" t="n">
        <v>0</v>
      </c>
    </row>
    <row r="1605">
      <c r="A1605" s="155" t="n">
        <v>46089</v>
      </c>
      <c r="B1605" s="156" t="inlineStr">
        <is>
          <t>DS</t>
        </is>
      </c>
      <c r="C1605" s="156" t="inlineStr">
        <is>
          <t>DT-807</t>
        </is>
      </c>
      <c r="D1605" s="156" t="inlineStr">
        <is>
          <t>SKT 80S</t>
        </is>
      </c>
      <c r="E1605" s="156" t="inlineStr">
        <is>
          <t>Hauler</t>
        </is>
      </c>
      <c r="F1605" s="156" t="inlineStr"/>
      <c r="G1605" s="182" t="n">
        <v>0</v>
      </c>
      <c r="H1605" s="182" t="n">
        <v>0</v>
      </c>
      <c r="I1605" s="182" t="n">
        <v>12</v>
      </c>
      <c r="J1605" s="182" t="n">
        <v>12</v>
      </c>
      <c r="K1605" s="182" t="n">
        <v>0</v>
      </c>
      <c r="L1605" s="182" t="n">
        <v>12</v>
      </c>
      <c r="M1605" s="182" t="n">
        <v>0</v>
      </c>
      <c r="N1605" s="182" t="n">
        <v>0</v>
      </c>
      <c r="O1605" s="183" t="n">
        <v>0</v>
      </c>
      <c r="P1605" s="183" t="n">
        <v>0</v>
      </c>
      <c r="Q1605" s="184" t="n">
        <v>0</v>
      </c>
      <c r="R1605" s="184" t="n">
        <v>0</v>
      </c>
      <c r="S1605" s="183" t="n">
        <v>0</v>
      </c>
      <c r="T1605" s="183" t="n">
        <v>0</v>
      </c>
      <c r="U1605" s="182" t="n">
        <v>0</v>
      </c>
      <c r="V1605" s="182" t="n">
        <v>0</v>
      </c>
      <c r="W1605" s="182" t="n">
        <v>0</v>
      </c>
      <c r="X1605" s="182" t="n">
        <v>0</v>
      </c>
      <c r="Y1605" s="182" t="n">
        <v>0</v>
      </c>
      <c r="Z1605" s="182" t="n">
        <v>0</v>
      </c>
      <c r="AA1605" s="182" t="n">
        <v>0</v>
      </c>
      <c r="AB1605" s="182" t="n">
        <v>0</v>
      </c>
      <c r="AC1605" s="182" t="n">
        <v>0</v>
      </c>
      <c r="AD1605" s="182" t="n">
        <v>0</v>
      </c>
      <c r="AE1605" s="182" t="n">
        <v>0</v>
      </c>
      <c r="AF1605" s="182" t="n">
        <v>0</v>
      </c>
      <c r="AG1605" s="182" t="n">
        <v>0</v>
      </c>
      <c r="AH1605" s="182" t="n">
        <v>0</v>
      </c>
      <c r="AI1605" s="182" t="n">
        <v>0</v>
      </c>
      <c r="AJ1605" s="182" t="n">
        <v>0</v>
      </c>
      <c r="AK1605" s="182" t="n">
        <v>0</v>
      </c>
      <c r="AL1605" s="182" t="n">
        <v>0</v>
      </c>
      <c r="AM1605" s="182" t="n">
        <v>0</v>
      </c>
      <c r="AN1605" s="182" t="n">
        <v>0</v>
      </c>
    </row>
    <row r="1606">
      <c r="A1606" s="155" t="n">
        <v>46089</v>
      </c>
      <c r="B1606" s="156" t="inlineStr">
        <is>
          <t>DS</t>
        </is>
      </c>
      <c r="C1606" s="156" t="inlineStr">
        <is>
          <t>DT-812</t>
        </is>
      </c>
      <c r="D1606" s="156" t="inlineStr">
        <is>
          <t>SKT 80S</t>
        </is>
      </c>
      <c r="E1606" s="156" t="inlineStr">
        <is>
          <t>Hauler</t>
        </is>
      </c>
      <c r="F1606" s="156" t="inlineStr">
        <is>
          <t>Hauling Lumpur dari Washing Plant &amp; Hauling Coal</t>
        </is>
      </c>
      <c r="G1606" s="182" t="n">
        <v>7.16</v>
      </c>
      <c r="H1606" s="182" t="n">
        <v>0</v>
      </c>
      <c r="I1606" s="182" t="n">
        <v>0</v>
      </c>
      <c r="J1606" s="182" t="n">
        <v>0</v>
      </c>
      <c r="K1606" s="182" t="n">
        <v>4.84</v>
      </c>
      <c r="L1606" s="182" t="n">
        <v>12</v>
      </c>
      <c r="M1606" s="182" t="n">
        <v>0</v>
      </c>
      <c r="N1606" s="182" t="n">
        <v>0.42</v>
      </c>
      <c r="O1606" s="183" t="n">
        <v>0</v>
      </c>
      <c r="P1606" s="183" t="n">
        <v>1</v>
      </c>
      <c r="Q1606" s="184" t="n">
        <v>0</v>
      </c>
      <c r="R1606" s="184" t="n">
        <v>15.3</v>
      </c>
      <c r="S1606" s="183" t="n">
        <v>0</v>
      </c>
      <c r="T1606" s="183" t="n">
        <v>0</v>
      </c>
      <c r="U1606" s="182" t="n">
        <v>0</v>
      </c>
      <c r="V1606" s="182" t="n">
        <v>0</v>
      </c>
      <c r="W1606" s="182" t="n">
        <v>0</v>
      </c>
      <c r="X1606" s="182" t="n">
        <v>0.99</v>
      </c>
      <c r="Y1606" s="182" t="n">
        <v>0</v>
      </c>
      <c r="Z1606" s="182" t="n">
        <v>0</v>
      </c>
      <c r="AA1606" s="182" t="n">
        <v>0</v>
      </c>
      <c r="AB1606" s="182" t="n">
        <v>0</v>
      </c>
      <c r="AC1606" s="182" t="n">
        <v>0</v>
      </c>
      <c r="AD1606" s="182" t="n">
        <v>0</v>
      </c>
      <c r="AE1606" s="182" t="n">
        <v>0</v>
      </c>
      <c r="AF1606" s="182" t="n">
        <v>0</v>
      </c>
      <c r="AG1606" s="182" t="n">
        <v>0</v>
      </c>
      <c r="AH1606" s="182" t="n">
        <v>0</v>
      </c>
      <c r="AI1606" s="182" t="n">
        <v>0</v>
      </c>
      <c r="AJ1606" s="182" t="n">
        <v>0</v>
      </c>
      <c r="AK1606" s="182" t="n">
        <v>3.77</v>
      </c>
      <c r="AL1606" s="182" t="n">
        <v>0</v>
      </c>
      <c r="AM1606" s="182" t="n">
        <v>0.08</v>
      </c>
      <c r="AN1606" s="182" t="n">
        <v>0</v>
      </c>
    </row>
    <row r="1607">
      <c r="A1607" s="155" t="n">
        <v>46089</v>
      </c>
      <c r="B1607" s="156" t="inlineStr">
        <is>
          <t>DS</t>
        </is>
      </c>
      <c r="C1607" s="156" t="inlineStr">
        <is>
          <t>DT-803</t>
        </is>
      </c>
      <c r="D1607" s="156" t="inlineStr">
        <is>
          <t>SKT 80S</t>
        </is>
      </c>
      <c r="E1607" s="156" t="inlineStr">
        <is>
          <t>Hauler</t>
        </is>
      </c>
      <c r="F1607" s="156" t="inlineStr"/>
      <c r="G1607" s="182" t="n">
        <v>0</v>
      </c>
      <c r="H1607" s="182" t="n">
        <v>0</v>
      </c>
      <c r="I1607" s="182" t="n">
        <v>12</v>
      </c>
      <c r="J1607" s="182" t="n">
        <v>12</v>
      </c>
      <c r="K1607" s="182" t="n">
        <v>0</v>
      </c>
      <c r="L1607" s="182" t="n">
        <v>12</v>
      </c>
      <c r="M1607" s="182" t="n">
        <v>0</v>
      </c>
      <c r="N1607" s="182" t="n">
        <v>0</v>
      </c>
      <c r="O1607" s="183" t="n">
        <v>0</v>
      </c>
      <c r="P1607" s="183" t="n">
        <v>0</v>
      </c>
      <c r="Q1607" s="184" t="n">
        <v>0</v>
      </c>
      <c r="R1607" s="184" t="n">
        <v>0</v>
      </c>
      <c r="S1607" s="183" t="n">
        <v>0</v>
      </c>
      <c r="T1607" s="183" t="n">
        <v>0</v>
      </c>
      <c r="U1607" s="182" t="n">
        <v>0</v>
      </c>
      <c r="V1607" s="182" t="n">
        <v>0</v>
      </c>
      <c r="W1607" s="182" t="n">
        <v>0</v>
      </c>
      <c r="X1607" s="182" t="n">
        <v>0</v>
      </c>
      <c r="Y1607" s="182" t="n">
        <v>0</v>
      </c>
      <c r="Z1607" s="182" t="n">
        <v>0</v>
      </c>
      <c r="AA1607" s="182" t="n">
        <v>0</v>
      </c>
      <c r="AB1607" s="182" t="n">
        <v>0</v>
      </c>
      <c r="AC1607" s="182" t="n">
        <v>0</v>
      </c>
      <c r="AD1607" s="182" t="n">
        <v>0</v>
      </c>
      <c r="AE1607" s="182" t="n">
        <v>0</v>
      </c>
      <c r="AF1607" s="182" t="n">
        <v>0</v>
      </c>
      <c r="AG1607" s="182" t="n">
        <v>0</v>
      </c>
      <c r="AH1607" s="182" t="n">
        <v>0</v>
      </c>
      <c r="AI1607" s="182" t="n">
        <v>0</v>
      </c>
      <c r="AJ1607" s="182" t="n">
        <v>0</v>
      </c>
      <c r="AK1607" s="182" t="n">
        <v>0</v>
      </c>
      <c r="AL1607" s="182" t="n">
        <v>0</v>
      </c>
      <c r="AM1607" s="182" t="n">
        <v>0</v>
      </c>
      <c r="AN1607" s="182" t="n">
        <v>0</v>
      </c>
    </row>
    <row r="1608">
      <c r="A1608" s="155" t="n">
        <v>46089</v>
      </c>
      <c r="B1608" s="156" t="inlineStr">
        <is>
          <t>DS</t>
        </is>
      </c>
      <c r="C1608" s="156" t="inlineStr">
        <is>
          <t>DT-810</t>
        </is>
      </c>
      <c r="D1608" s="156" t="inlineStr">
        <is>
          <t>SKT 80S</t>
        </is>
      </c>
      <c r="E1608" s="156" t="inlineStr">
        <is>
          <t>Hauler</t>
        </is>
      </c>
      <c r="F1608" s="156" t="inlineStr">
        <is>
          <t>Hauling Lumpur dari Washing Plant</t>
        </is>
      </c>
      <c r="G1608" s="182" t="n">
        <v>6.67</v>
      </c>
      <c r="H1608" s="182" t="n">
        <v>0</v>
      </c>
      <c r="I1608" s="182" t="n">
        <v>0.8</v>
      </c>
      <c r="J1608" s="182" t="n">
        <v>0.8</v>
      </c>
      <c r="K1608" s="182" t="n">
        <v>4.53</v>
      </c>
      <c r="L1608" s="182" t="n">
        <v>12</v>
      </c>
      <c r="M1608" s="182" t="n">
        <v>0</v>
      </c>
      <c r="N1608" s="182" t="n">
        <v>0</v>
      </c>
      <c r="O1608" s="183" t="n">
        <v>0</v>
      </c>
      <c r="P1608" s="183" t="n">
        <v>0</v>
      </c>
      <c r="Q1608" s="184" t="n">
        <v>0</v>
      </c>
      <c r="R1608" s="184" t="n">
        <v>0</v>
      </c>
      <c r="S1608" s="183" t="n">
        <v>0</v>
      </c>
      <c r="T1608" s="183" t="n">
        <v>0</v>
      </c>
      <c r="U1608" s="182" t="n">
        <v>0</v>
      </c>
      <c r="V1608" s="182" t="n">
        <v>0</v>
      </c>
      <c r="W1608" s="182" t="n">
        <v>0</v>
      </c>
      <c r="X1608" s="182" t="n">
        <v>1.05</v>
      </c>
      <c r="Y1608" s="182" t="n">
        <v>0</v>
      </c>
      <c r="Z1608" s="182" t="n">
        <v>0</v>
      </c>
      <c r="AA1608" s="182" t="n">
        <v>0</v>
      </c>
      <c r="AB1608" s="182" t="n">
        <v>0</v>
      </c>
      <c r="AC1608" s="182" t="n">
        <v>0</v>
      </c>
      <c r="AD1608" s="182" t="n">
        <v>0</v>
      </c>
      <c r="AE1608" s="182" t="n">
        <v>0</v>
      </c>
      <c r="AF1608" s="182" t="n">
        <v>0</v>
      </c>
      <c r="AG1608" s="182" t="n">
        <v>0</v>
      </c>
      <c r="AH1608" s="182" t="n">
        <v>0</v>
      </c>
      <c r="AI1608" s="182" t="n">
        <v>0</v>
      </c>
      <c r="AJ1608" s="182" t="n">
        <v>0</v>
      </c>
      <c r="AK1608" s="182" t="n">
        <v>3.39</v>
      </c>
      <c r="AL1608" s="182" t="n">
        <v>0</v>
      </c>
      <c r="AM1608" s="182" t="n">
        <v>0.08</v>
      </c>
      <c r="AN1608" s="182" t="n">
        <v>0</v>
      </c>
    </row>
    <row r="1609">
      <c r="A1609" s="155" t="n">
        <v>46089</v>
      </c>
      <c r="B1609" s="156" t="inlineStr">
        <is>
          <t>DS</t>
        </is>
      </c>
      <c r="C1609" s="156" t="inlineStr">
        <is>
          <t>DT-804</t>
        </is>
      </c>
      <c r="D1609" s="156" t="inlineStr">
        <is>
          <t>SKT 80S</t>
        </is>
      </c>
      <c r="E1609" s="156" t="inlineStr">
        <is>
          <t>Hauler</t>
        </is>
      </c>
      <c r="F1609" s="156" t="inlineStr">
        <is>
          <t>Hauling Lumpur dari Washing Plant</t>
        </is>
      </c>
      <c r="G1609" s="182" t="n">
        <v>9.59</v>
      </c>
      <c r="H1609" s="182" t="n">
        <v>0</v>
      </c>
      <c r="I1609" s="182" t="n">
        <v>0</v>
      </c>
      <c r="J1609" s="182" t="n">
        <v>0</v>
      </c>
      <c r="K1609" s="182" t="n">
        <v>2.41</v>
      </c>
      <c r="L1609" s="182" t="n">
        <v>12</v>
      </c>
      <c r="M1609" s="182" t="n">
        <v>0</v>
      </c>
      <c r="N1609" s="182" t="n">
        <v>0</v>
      </c>
      <c r="O1609" s="183" t="n">
        <v>0</v>
      </c>
      <c r="P1609" s="183" t="n">
        <v>0</v>
      </c>
      <c r="Q1609" s="184" t="n">
        <v>0</v>
      </c>
      <c r="R1609" s="184" t="n">
        <v>0</v>
      </c>
      <c r="S1609" s="183" t="n">
        <v>0</v>
      </c>
      <c r="T1609" s="183" t="n">
        <v>0</v>
      </c>
      <c r="U1609" s="182" t="n">
        <v>0</v>
      </c>
      <c r="V1609" s="182" t="n">
        <v>0</v>
      </c>
      <c r="W1609" s="182" t="n">
        <v>0</v>
      </c>
      <c r="X1609" s="182" t="n">
        <v>1</v>
      </c>
      <c r="Y1609" s="182" t="n">
        <v>0</v>
      </c>
      <c r="Z1609" s="182" t="n">
        <v>0</v>
      </c>
      <c r="AA1609" s="182" t="n">
        <v>0</v>
      </c>
      <c r="AB1609" s="182" t="n">
        <v>0</v>
      </c>
      <c r="AC1609" s="182" t="n">
        <v>0</v>
      </c>
      <c r="AD1609" s="182" t="n">
        <v>0</v>
      </c>
      <c r="AE1609" s="182" t="n">
        <v>0</v>
      </c>
      <c r="AF1609" s="182" t="n">
        <v>0</v>
      </c>
      <c r="AG1609" s="182" t="n">
        <v>0</v>
      </c>
      <c r="AH1609" s="182" t="n">
        <v>0</v>
      </c>
      <c r="AI1609" s="182" t="n">
        <v>0</v>
      </c>
      <c r="AJ1609" s="182" t="n">
        <v>0</v>
      </c>
      <c r="AK1609" s="182" t="n">
        <v>1.33</v>
      </c>
      <c r="AL1609" s="182" t="n">
        <v>0</v>
      </c>
      <c r="AM1609" s="182" t="n">
        <v>0.08</v>
      </c>
      <c r="AN1609" s="182" t="n">
        <v>0</v>
      </c>
    </row>
    <row r="1610">
      <c r="A1610" s="155" t="n">
        <v>46089</v>
      </c>
      <c r="B1610" s="156" t="inlineStr">
        <is>
          <t>DS</t>
        </is>
      </c>
      <c r="C1610" s="156" t="inlineStr">
        <is>
          <t>DT-505</t>
        </is>
      </c>
      <c r="D1610" s="156" t="inlineStr">
        <is>
          <t>SKT 105S</t>
        </is>
      </c>
      <c r="E1610" s="156" t="inlineStr">
        <is>
          <t>Hauler</t>
        </is>
      </c>
      <c r="F1610" s="156" t="inlineStr">
        <is>
          <t>Hauling Material Longsoran</t>
        </is>
      </c>
      <c r="G1610" s="182" t="n">
        <v>6.53</v>
      </c>
      <c r="H1610" s="182" t="n">
        <v>0</v>
      </c>
      <c r="I1610" s="182" t="n">
        <v>0.5</v>
      </c>
      <c r="J1610" s="182" t="n">
        <v>0.5</v>
      </c>
      <c r="K1610" s="182" t="n">
        <v>4.97</v>
      </c>
      <c r="L1610" s="182" t="n">
        <v>12</v>
      </c>
      <c r="M1610" s="182" t="n">
        <v>6.53</v>
      </c>
      <c r="N1610" s="182" t="n">
        <v>0</v>
      </c>
      <c r="O1610" s="183" t="n">
        <v>37</v>
      </c>
      <c r="P1610" s="183" t="n">
        <v>0</v>
      </c>
      <c r="Q1610" s="184" t="n">
        <v>377.4</v>
      </c>
      <c r="R1610" s="184" t="n">
        <v>0</v>
      </c>
      <c r="S1610" s="183" t="n">
        <v>0</v>
      </c>
      <c r="T1610" s="183" t="n">
        <v>0</v>
      </c>
      <c r="U1610" s="182" t="n">
        <v>0</v>
      </c>
      <c r="V1610" s="182" t="n">
        <v>0</v>
      </c>
      <c r="W1610" s="182" t="n">
        <v>0</v>
      </c>
      <c r="X1610" s="182" t="n">
        <v>1.06</v>
      </c>
      <c r="Y1610" s="182" t="n">
        <v>0</v>
      </c>
      <c r="Z1610" s="182" t="n">
        <v>0</v>
      </c>
      <c r="AA1610" s="182" t="n">
        <v>0</v>
      </c>
      <c r="AB1610" s="182" t="n">
        <v>0</v>
      </c>
      <c r="AC1610" s="182" t="n">
        <v>0</v>
      </c>
      <c r="AD1610" s="182" t="n">
        <v>0</v>
      </c>
      <c r="AE1610" s="182" t="n">
        <v>0</v>
      </c>
      <c r="AF1610" s="182" t="n">
        <v>0</v>
      </c>
      <c r="AG1610" s="182" t="n">
        <v>0</v>
      </c>
      <c r="AH1610" s="182" t="n">
        <v>0</v>
      </c>
      <c r="AI1610" s="182" t="n">
        <v>3.83</v>
      </c>
      <c r="AJ1610" s="182" t="n">
        <v>0</v>
      </c>
      <c r="AK1610" s="182" t="n">
        <v>0</v>
      </c>
      <c r="AL1610" s="182" t="n">
        <v>0</v>
      </c>
      <c r="AM1610" s="182" t="n">
        <v>0.08</v>
      </c>
      <c r="AN1610" s="182" t="n">
        <v>0</v>
      </c>
    </row>
    <row r="1611">
      <c r="A1611" s="155" t="n">
        <v>46089</v>
      </c>
      <c r="B1611" s="156" t="inlineStr">
        <is>
          <t>DS</t>
        </is>
      </c>
      <c r="C1611" s="156" t="inlineStr">
        <is>
          <t>DT-530</t>
        </is>
      </c>
      <c r="D1611" s="156" t="inlineStr">
        <is>
          <t>SKT 105S</t>
        </is>
      </c>
      <c r="E1611" s="156" t="inlineStr">
        <is>
          <t>Hauler</t>
        </is>
      </c>
      <c r="F1611" s="156" t="inlineStr"/>
      <c r="G1611" s="182" t="n">
        <v>0</v>
      </c>
      <c r="H1611" s="182" t="n">
        <v>0</v>
      </c>
      <c r="I1611" s="182" t="n">
        <v>12</v>
      </c>
      <c r="J1611" s="182" t="n">
        <v>12</v>
      </c>
      <c r="K1611" s="182" t="n">
        <v>0</v>
      </c>
      <c r="L1611" s="182" t="n">
        <v>12</v>
      </c>
      <c r="M1611" s="182" t="n">
        <v>0</v>
      </c>
      <c r="N1611" s="182" t="n">
        <v>0</v>
      </c>
      <c r="O1611" s="183" t="n">
        <v>0</v>
      </c>
      <c r="P1611" s="183" t="n">
        <v>0</v>
      </c>
      <c r="Q1611" s="184" t="n">
        <v>0</v>
      </c>
      <c r="R1611" s="184" t="n">
        <v>0</v>
      </c>
      <c r="S1611" s="183" t="n">
        <v>0</v>
      </c>
      <c r="T1611" s="183" t="n">
        <v>0</v>
      </c>
      <c r="U1611" s="182" t="n">
        <v>0</v>
      </c>
      <c r="V1611" s="182" t="n">
        <v>0</v>
      </c>
      <c r="W1611" s="182" t="n">
        <v>0</v>
      </c>
      <c r="X1611" s="182" t="n">
        <v>0</v>
      </c>
      <c r="Y1611" s="182" t="n">
        <v>0</v>
      </c>
      <c r="Z1611" s="182" t="n">
        <v>0</v>
      </c>
      <c r="AA1611" s="182" t="n">
        <v>0</v>
      </c>
      <c r="AB1611" s="182" t="n">
        <v>0</v>
      </c>
      <c r="AC1611" s="182" t="n">
        <v>0</v>
      </c>
      <c r="AD1611" s="182" t="n">
        <v>0</v>
      </c>
      <c r="AE1611" s="182" t="n">
        <v>0</v>
      </c>
      <c r="AF1611" s="182" t="n">
        <v>0</v>
      </c>
      <c r="AG1611" s="182" t="n">
        <v>0</v>
      </c>
      <c r="AH1611" s="182" t="n">
        <v>0</v>
      </c>
      <c r="AI1611" s="182" t="n">
        <v>0</v>
      </c>
      <c r="AJ1611" s="182" t="n">
        <v>0</v>
      </c>
      <c r="AK1611" s="182" t="n">
        <v>0</v>
      </c>
      <c r="AL1611" s="182" t="n">
        <v>0</v>
      </c>
      <c r="AM1611" s="182" t="n">
        <v>0</v>
      </c>
      <c r="AN1611" s="182" t="n">
        <v>0</v>
      </c>
    </row>
    <row r="1612">
      <c r="A1612" s="155" t="n">
        <v>46089</v>
      </c>
      <c r="B1612" s="156" t="inlineStr">
        <is>
          <t>DS</t>
        </is>
      </c>
      <c r="C1612" s="156" t="inlineStr">
        <is>
          <t>DT-525</t>
        </is>
      </c>
      <c r="D1612" s="156" t="inlineStr">
        <is>
          <t>SKT 105S</t>
        </is>
      </c>
      <c r="E1612" s="156" t="inlineStr">
        <is>
          <t>Hauler</t>
        </is>
      </c>
      <c r="F1612" s="156" t="inlineStr"/>
      <c r="G1612" s="182" t="n">
        <v>0</v>
      </c>
      <c r="H1612" s="182" t="n">
        <v>0</v>
      </c>
      <c r="I1612" s="182" t="n">
        <v>12</v>
      </c>
      <c r="J1612" s="182" t="n">
        <v>12</v>
      </c>
      <c r="K1612" s="182" t="n">
        <v>0</v>
      </c>
      <c r="L1612" s="182" t="n">
        <v>12</v>
      </c>
      <c r="M1612" s="182" t="n">
        <v>0</v>
      </c>
      <c r="N1612" s="182" t="n">
        <v>0</v>
      </c>
      <c r="O1612" s="183" t="n">
        <v>0</v>
      </c>
      <c r="P1612" s="183" t="n">
        <v>0</v>
      </c>
      <c r="Q1612" s="184" t="n">
        <v>0</v>
      </c>
      <c r="R1612" s="184" t="n">
        <v>0</v>
      </c>
      <c r="S1612" s="183" t="n">
        <v>0</v>
      </c>
      <c r="T1612" s="183" t="n">
        <v>0</v>
      </c>
      <c r="U1612" s="182" t="n">
        <v>0</v>
      </c>
      <c r="V1612" s="182" t="n">
        <v>0</v>
      </c>
      <c r="W1612" s="182" t="n">
        <v>0</v>
      </c>
      <c r="X1612" s="182" t="n">
        <v>0</v>
      </c>
      <c r="Y1612" s="182" t="n">
        <v>0</v>
      </c>
      <c r="Z1612" s="182" t="n">
        <v>0</v>
      </c>
      <c r="AA1612" s="182" t="n">
        <v>0</v>
      </c>
      <c r="AB1612" s="182" t="n">
        <v>0</v>
      </c>
      <c r="AC1612" s="182" t="n">
        <v>0</v>
      </c>
      <c r="AD1612" s="182" t="n">
        <v>0</v>
      </c>
      <c r="AE1612" s="182" t="n">
        <v>0</v>
      </c>
      <c r="AF1612" s="182" t="n">
        <v>0</v>
      </c>
      <c r="AG1612" s="182" t="n">
        <v>0</v>
      </c>
      <c r="AH1612" s="182" t="n">
        <v>0</v>
      </c>
      <c r="AI1612" s="182" t="n">
        <v>0</v>
      </c>
      <c r="AJ1612" s="182" t="n">
        <v>0</v>
      </c>
      <c r="AK1612" s="182" t="n">
        <v>0</v>
      </c>
      <c r="AL1612" s="182" t="n">
        <v>0</v>
      </c>
      <c r="AM1612" s="182" t="n">
        <v>0</v>
      </c>
      <c r="AN1612" s="182" t="n">
        <v>0</v>
      </c>
    </row>
    <row r="1613">
      <c r="A1613" s="155" t="n">
        <v>46089</v>
      </c>
      <c r="B1613" s="156" t="inlineStr">
        <is>
          <t>DS</t>
        </is>
      </c>
      <c r="C1613" s="156" t="inlineStr">
        <is>
          <t>DT-503</t>
        </is>
      </c>
      <c r="D1613" s="156" t="inlineStr">
        <is>
          <t>SKT 105S</t>
        </is>
      </c>
      <c r="E1613" s="156" t="inlineStr">
        <is>
          <t>Hauler</t>
        </is>
      </c>
      <c r="F1613" s="156" t="inlineStr">
        <is>
          <t>Hauling Material Longsoran</t>
        </is>
      </c>
      <c r="G1613" s="182" t="n">
        <v>10.81</v>
      </c>
      <c r="H1613" s="182" t="n">
        <v>0</v>
      </c>
      <c r="I1613" s="182" t="n">
        <v>0.38</v>
      </c>
      <c r="J1613" s="182" t="n">
        <v>0.38</v>
      </c>
      <c r="K1613" s="182" t="n">
        <v>0.8100000000000001</v>
      </c>
      <c r="L1613" s="182" t="n">
        <v>12</v>
      </c>
      <c r="M1613" s="182" t="n">
        <v>10.81</v>
      </c>
      <c r="N1613" s="182" t="n">
        <v>0</v>
      </c>
      <c r="O1613" s="183" t="n">
        <v>42</v>
      </c>
      <c r="P1613" s="183" t="n">
        <v>0</v>
      </c>
      <c r="Q1613" s="184" t="n">
        <v>428.4</v>
      </c>
      <c r="R1613" s="184" t="n">
        <v>0</v>
      </c>
      <c r="S1613" s="183" t="n">
        <v>0</v>
      </c>
      <c r="T1613" s="183" t="n">
        <v>0</v>
      </c>
      <c r="U1613" s="182" t="n">
        <v>0</v>
      </c>
      <c r="V1613" s="182" t="n">
        <v>0</v>
      </c>
      <c r="W1613" s="182" t="n">
        <v>0</v>
      </c>
      <c r="X1613" s="182" t="n">
        <v>0.72</v>
      </c>
      <c r="Y1613" s="182" t="n">
        <v>0</v>
      </c>
      <c r="Z1613" s="182" t="n">
        <v>0</v>
      </c>
      <c r="AA1613" s="182" t="n">
        <v>0</v>
      </c>
      <c r="AB1613" s="182" t="n">
        <v>0</v>
      </c>
      <c r="AC1613" s="182" t="n">
        <v>0</v>
      </c>
      <c r="AD1613" s="182" t="n">
        <v>0</v>
      </c>
      <c r="AE1613" s="182" t="n">
        <v>0</v>
      </c>
      <c r="AF1613" s="182" t="n">
        <v>0</v>
      </c>
      <c r="AG1613" s="182" t="n">
        <v>0</v>
      </c>
      <c r="AH1613" s="182" t="n">
        <v>0</v>
      </c>
      <c r="AI1613" s="182" t="n">
        <v>0</v>
      </c>
      <c r="AJ1613" s="182" t="n">
        <v>0</v>
      </c>
      <c r="AK1613" s="182" t="n">
        <v>0</v>
      </c>
      <c r="AL1613" s="182" t="n">
        <v>0</v>
      </c>
      <c r="AM1613" s="182" t="n">
        <v>0.08</v>
      </c>
      <c r="AN1613" s="182" t="n">
        <v>0</v>
      </c>
    </row>
    <row r="1614">
      <c r="A1614" s="155" t="n">
        <v>46089</v>
      </c>
      <c r="B1614" s="156" t="inlineStr">
        <is>
          <t>DS</t>
        </is>
      </c>
      <c r="C1614" s="156" t="inlineStr">
        <is>
          <t>DT-504</t>
        </is>
      </c>
      <c r="D1614" s="156" t="inlineStr">
        <is>
          <t>SKT 105S</t>
        </is>
      </c>
      <c r="E1614" s="156" t="inlineStr">
        <is>
          <t>Hauler</t>
        </is>
      </c>
      <c r="F1614" s="156" t="inlineStr">
        <is>
          <t>Hauling Material Longsoran</t>
        </is>
      </c>
      <c r="G1614" s="182" t="n">
        <v>10.79</v>
      </c>
      <c r="H1614" s="182" t="n">
        <v>0</v>
      </c>
      <c r="I1614" s="182" t="n">
        <v>0</v>
      </c>
      <c r="J1614" s="182" t="n">
        <v>0</v>
      </c>
      <c r="K1614" s="182" t="n">
        <v>1.21</v>
      </c>
      <c r="L1614" s="182" t="n">
        <v>12</v>
      </c>
      <c r="M1614" s="182" t="n">
        <v>10.79</v>
      </c>
      <c r="N1614" s="182" t="n">
        <v>0</v>
      </c>
      <c r="O1614" s="183" t="n">
        <v>38</v>
      </c>
      <c r="P1614" s="183" t="n">
        <v>0</v>
      </c>
      <c r="Q1614" s="184" t="n">
        <v>387.6</v>
      </c>
      <c r="R1614" s="184" t="n">
        <v>0</v>
      </c>
      <c r="S1614" s="183" t="n">
        <v>0</v>
      </c>
      <c r="T1614" s="183" t="n">
        <v>0</v>
      </c>
      <c r="U1614" s="182" t="n">
        <v>0</v>
      </c>
      <c r="V1614" s="182" t="n">
        <v>0</v>
      </c>
      <c r="W1614" s="182" t="n">
        <v>0</v>
      </c>
      <c r="X1614" s="182" t="n">
        <v>0.8100000000000001</v>
      </c>
      <c r="Y1614" s="182" t="n">
        <v>0</v>
      </c>
      <c r="Z1614" s="182" t="n">
        <v>0</v>
      </c>
      <c r="AA1614" s="182" t="n">
        <v>0</v>
      </c>
      <c r="AB1614" s="182" t="n">
        <v>0</v>
      </c>
      <c r="AC1614" s="182" t="n">
        <v>0</v>
      </c>
      <c r="AD1614" s="182" t="n">
        <v>0</v>
      </c>
      <c r="AE1614" s="182" t="n">
        <v>0</v>
      </c>
      <c r="AF1614" s="182" t="n">
        <v>0</v>
      </c>
      <c r="AG1614" s="182" t="n">
        <v>0</v>
      </c>
      <c r="AH1614" s="182" t="n">
        <v>0.34</v>
      </c>
      <c r="AI1614" s="182" t="n">
        <v>0</v>
      </c>
      <c r="AJ1614" s="182" t="n">
        <v>0</v>
      </c>
      <c r="AK1614" s="182" t="n">
        <v>0</v>
      </c>
      <c r="AL1614" s="182" t="n">
        <v>0</v>
      </c>
      <c r="AM1614" s="182" t="n">
        <v>0.06</v>
      </c>
      <c r="AN1614" s="182" t="n">
        <v>0</v>
      </c>
    </row>
    <row r="1615">
      <c r="A1615" s="155" t="n">
        <v>46089</v>
      </c>
      <c r="B1615" s="156" t="inlineStr">
        <is>
          <t>DS</t>
        </is>
      </c>
      <c r="C1615" s="156" t="inlineStr">
        <is>
          <t>DT-507</t>
        </is>
      </c>
      <c r="D1615" s="156" t="inlineStr">
        <is>
          <t>SKT 105S</t>
        </is>
      </c>
      <c r="E1615" s="156" t="inlineStr">
        <is>
          <t>Hauler</t>
        </is>
      </c>
      <c r="F1615" s="156" t="inlineStr">
        <is>
          <t>Hauling Material Campuran &amp; OB (Blastingan)</t>
        </is>
      </c>
      <c r="G1615" s="182" t="n">
        <v>6.37</v>
      </c>
      <c r="H1615" s="182" t="n">
        <v>0</v>
      </c>
      <c r="I1615" s="182" t="n">
        <v>4</v>
      </c>
      <c r="J1615" s="182" t="n">
        <v>4</v>
      </c>
      <c r="K1615" s="182" t="n">
        <v>1.63</v>
      </c>
      <c r="L1615" s="182" t="n">
        <v>12</v>
      </c>
      <c r="M1615" s="182" t="n">
        <v>6.37</v>
      </c>
      <c r="N1615" s="182" t="n">
        <v>0</v>
      </c>
      <c r="O1615" s="183" t="n">
        <v>18</v>
      </c>
      <c r="P1615" s="183" t="n">
        <v>0</v>
      </c>
      <c r="Q1615" s="184" t="n">
        <v>280.2</v>
      </c>
      <c r="R1615" s="184" t="n">
        <v>0</v>
      </c>
      <c r="S1615" s="183" t="n">
        <v>0</v>
      </c>
      <c r="T1615" s="183" t="n">
        <v>0</v>
      </c>
      <c r="U1615" s="182" t="n">
        <v>0</v>
      </c>
      <c r="V1615" s="182" t="n">
        <v>0</v>
      </c>
      <c r="W1615" s="182" t="n">
        <v>0</v>
      </c>
      <c r="X1615" s="182" t="n">
        <v>1.25</v>
      </c>
      <c r="Y1615" s="182" t="n">
        <v>0</v>
      </c>
      <c r="Z1615" s="182" t="n">
        <v>0</v>
      </c>
      <c r="AA1615" s="182" t="n">
        <v>0</v>
      </c>
      <c r="AB1615" s="182" t="n">
        <v>0</v>
      </c>
      <c r="AC1615" s="182" t="n">
        <v>0</v>
      </c>
      <c r="AD1615" s="182" t="n">
        <v>0</v>
      </c>
      <c r="AE1615" s="182" t="n">
        <v>0</v>
      </c>
      <c r="AF1615" s="182" t="n">
        <v>0</v>
      </c>
      <c r="AG1615" s="182" t="n">
        <v>0</v>
      </c>
      <c r="AH1615" s="182" t="n">
        <v>0.28</v>
      </c>
      <c r="AI1615" s="182" t="n">
        <v>0</v>
      </c>
      <c r="AJ1615" s="182" t="n">
        <v>0</v>
      </c>
      <c r="AK1615" s="182" t="n">
        <v>0</v>
      </c>
      <c r="AL1615" s="182" t="n">
        <v>0</v>
      </c>
      <c r="AM1615" s="182" t="n">
        <v>0.1</v>
      </c>
      <c r="AN1615" s="182" t="n">
        <v>0</v>
      </c>
    </row>
    <row r="1616">
      <c r="A1616" s="155" t="n">
        <v>46089</v>
      </c>
      <c r="B1616" s="156" t="inlineStr">
        <is>
          <t>DS</t>
        </is>
      </c>
      <c r="C1616" s="156" t="inlineStr">
        <is>
          <t>DT-501</t>
        </is>
      </c>
      <c r="D1616" s="156" t="inlineStr">
        <is>
          <t>SKT 105S</t>
        </is>
      </c>
      <c r="E1616" s="156" t="inlineStr">
        <is>
          <t>Hauler</t>
        </is>
      </c>
      <c r="F1616" s="156" t="inlineStr">
        <is>
          <t>Hauling Material Campuran &amp; OB (Blastingan)</t>
        </is>
      </c>
      <c r="G1616" s="182" t="n">
        <v>1.82</v>
      </c>
      <c r="H1616" s="182" t="n">
        <v>9.800000000000001</v>
      </c>
      <c r="I1616" s="182" t="n">
        <v>0</v>
      </c>
      <c r="J1616" s="182" t="n">
        <v>9.800000000000001</v>
      </c>
      <c r="K1616" s="182" t="n">
        <v>0.38</v>
      </c>
      <c r="L1616" s="182" t="n">
        <v>12</v>
      </c>
      <c r="M1616" s="182" t="n">
        <v>1.82</v>
      </c>
      <c r="N1616" s="182" t="n">
        <v>0</v>
      </c>
      <c r="O1616" s="183" t="n">
        <v>6</v>
      </c>
      <c r="P1616" s="183" t="n">
        <v>0</v>
      </c>
      <c r="Q1616" s="184" t="n">
        <v>61.2</v>
      </c>
      <c r="R1616" s="184" t="n">
        <v>0</v>
      </c>
      <c r="S1616" s="183" t="n">
        <v>0</v>
      </c>
      <c r="T1616" s="183" t="n">
        <v>0</v>
      </c>
      <c r="U1616" s="182" t="n">
        <v>0</v>
      </c>
      <c r="V1616" s="182" t="n">
        <v>0</v>
      </c>
      <c r="W1616" s="182" t="n">
        <v>0</v>
      </c>
      <c r="X1616" s="182" t="n">
        <v>0</v>
      </c>
      <c r="Y1616" s="182" t="n">
        <v>0</v>
      </c>
      <c r="Z1616" s="182" t="n">
        <v>0</v>
      </c>
      <c r="AA1616" s="182" t="n">
        <v>0</v>
      </c>
      <c r="AB1616" s="182" t="n">
        <v>0</v>
      </c>
      <c r="AC1616" s="182" t="n">
        <v>0</v>
      </c>
      <c r="AD1616" s="182" t="n">
        <v>0</v>
      </c>
      <c r="AE1616" s="182" t="n">
        <v>0</v>
      </c>
      <c r="AF1616" s="182" t="n">
        <v>0</v>
      </c>
      <c r="AG1616" s="182" t="n">
        <v>0</v>
      </c>
      <c r="AH1616" s="182" t="n">
        <v>0</v>
      </c>
      <c r="AI1616" s="182" t="n">
        <v>0</v>
      </c>
      <c r="AJ1616" s="182" t="n">
        <v>0</v>
      </c>
      <c r="AK1616" s="182" t="n">
        <v>0</v>
      </c>
      <c r="AL1616" s="182" t="n">
        <v>0</v>
      </c>
      <c r="AM1616" s="182" t="n">
        <v>0</v>
      </c>
      <c r="AN1616" s="182" t="n">
        <v>0</v>
      </c>
    </row>
    <row r="1617">
      <c r="A1617" s="155" t="n">
        <v>46089</v>
      </c>
      <c r="B1617" s="156" t="inlineStr">
        <is>
          <t>DS</t>
        </is>
      </c>
      <c r="C1617" s="156" t="inlineStr">
        <is>
          <t>DT-518</t>
        </is>
      </c>
      <c r="D1617" s="156" t="inlineStr">
        <is>
          <t>SKT 105S</t>
        </is>
      </c>
      <c r="E1617" s="156" t="inlineStr">
        <is>
          <t>Hauler</t>
        </is>
      </c>
      <c r="F1617" s="156" t="inlineStr">
        <is>
          <t>Hauling Material Longsoran, Material Campuran  &amp; OB (Blastingan)</t>
        </is>
      </c>
      <c r="G1617" s="182" t="n">
        <v>9.43</v>
      </c>
      <c r="H1617" s="182" t="n">
        <v>0</v>
      </c>
      <c r="I1617" s="182" t="n">
        <v>0.42</v>
      </c>
      <c r="J1617" s="182" t="n">
        <v>0.42</v>
      </c>
      <c r="K1617" s="182" t="n">
        <v>2.15</v>
      </c>
      <c r="L1617" s="182" t="n">
        <v>12</v>
      </c>
      <c r="M1617" s="182" t="n">
        <v>9.43</v>
      </c>
      <c r="N1617" s="182" t="n">
        <v>0</v>
      </c>
      <c r="O1617" s="183" t="n">
        <v>34</v>
      </c>
      <c r="P1617" s="183" t="n">
        <v>0</v>
      </c>
      <c r="Q1617" s="184" t="n">
        <v>458.7</v>
      </c>
      <c r="R1617" s="184" t="n">
        <v>0</v>
      </c>
      <c r="S1617" s="183" t="n">
        <v>0</v>
      </c>
      <c r="T1617" s="183" t="n">
        <v>0</v>
      </c>
      <c r="U1617" s="182" t="n">
        <v>0</v>
      </c>
      <c r="V1617" s="182" t="n">
        <v>0</v>
      </c>
      <c r="W1617" s="182" t="n">
        <v>0</v>
      </c>
      <c r="X1617" s="182" t="n">
        <v>1.09</v>
      </c>
      <c r="Y1617" s="182" t="n">
        <v>0</v>
      </c>
      <c r="Z1617" s="182" t="n">
        <v>0</v>
      </c>
      <c r="AA1617" s="182" t="n">
        <v>0</v>
      </c>
      <c r="AB1617" s="182" t="n">
        <v>0</v>
      </c>
      <c r="AC1617" s="182" t="n">
        <v>0</v>
      </c>
      <c r="AD1617" s="182" t="n">
        <v>0</v>
      </c>
      <c r="AE1617" s="182" t="n">
        <v>0</v>
      </c>
      <c r="AF1617" s="182" t="n">
        <v>0</v>
      </c>
      <c r="AG1617" s="182" t="n">
        <v>0</v>
      </c>
      <c r="AH1617" s="182" t="n">
        <v>0.98</v>
      </c>
      <c r="AI1617" s="182" t="n">
        <v>0</v>
      </c>
      <c r="AJ1617" s="182" t="n">
        <v>0</v>
      </c>
      <c r="AK1617" s="182" t="n">
        <v>0</v>
      </c>
      <c r="AL1617" s="182" t="n">
        <v>0</v>
      </c>
      <c r="AM1617" s="182" t="n">
        <v>0.09</v>
      </c>
      <c r="AN1617" s="182" t="n">
        <v>0</v>
      </c>
    </row>
    <row r="1618">
      <c r="A1618" s="155" t="n">
        <v>46089</v>
      </c>
      <c r="B1618" s="156" t="inlineStr">
        <is>
          <t>DS</t>
        </is>
      </c>
      <c r="C1618" s="156" t="inlineStr">
        <is>
          <t>DT-514</t>
        </is>
      </c>
      <c r="D1618" s="156" t="inlineStr">
        <is>
          <t>SKT 105S</t>
        </is>
      </c>
      <c r="E1618" s="156" t="inlineStr">
        <is>
          <t>Hauler</t>
        </is>
      </c>
      <c r="F1618" s="156" t="inlineStr">
        <is>
          <t>Hauling Material Campuran &amp; OB (Blastingan)</t>
        </is>
      </c>
      <c r="G1618" s="182" t="n">
        <v>10.85</v>
      </c>
      <c r="H1618" s="182" t="n">
        <v>0</v>
      </c>
      <c r="I1618" s="182" t="n">
        <v>0</v>
      </c>
      <c r="J1618" s="182" t="n">
        <v>0</v>
      </c>
      <c r="K1618" s="182" t="n">
        <v>1.15</v>
      </c>
      <c r="L1618" s="182" t="n">
        <v>12</v>
      </c>
      <c r="M1618" s="182" t="n">
        <v>10.85</v>
      </c>
      <c r="N1618" s="182" t="n">
        <v>0</v>
      </c>
      <c r="O1618" s="183" t="n">
        <v>36</v>
      </c>
      <c r="P1618" s="183" t="n">
        <v>0</v>
      </c>
      <c r="Q1618" s="184" t="n">
        <v>475.2</v>
      </c>
      <c r="R1618" s="184" t="n">
        <v>0</v>
      </c>
      <c r="S1618" s="183" t="n">
        <v>0</v>
      </c>
      <c r="T1618" s="183" t="n">
        <v>0</v>
      </c>
      <c r="U1618" s="182" t="n">
        <v>0</v>
      </c>
      <c r="V1618" s="182" t="n">
        <v>0</v>
      </c>
      <c r="W1618" s="182" t="n">
        <v>0</v>
      </c>
      <c r="X1618" s="182" t="n">
        <v>0.77</v>
      </c>
      <c r="Y1618" s="182" t="n">
        <v>0</v>
      </c>
      <c r="Z1618" s="182" t="n">
        <v>0</v>
      </c>
      <c r="AA1618" s="182" t="n">
        <v>0</v>
      </c>
      <c r="AB1618" s="182" t="n">
        <v>0</v>
      </c>
      <c r="AC1618" s="182" t="n">
        <v>0</v>
      </c>
      <c r="AD1618" s="182" t="n">
        <v>0</v>
      </c>
      <c r="AE1618" s="182" t="n">
        <v>0</v>
      </c>
      <c r="AF1618" s="182" t="n">
        <v>0</v>
      </c>
      <c r="AG1618" s="182" t="n">
        <v>0</v>
      </c>
      <c r="AH1618" s="182" t="n">
        <v>0.32</v>
      </c>
      <c r="AI1618" s="182" t="n">
        <v>0</v>
      </c>
      <c r="AJ1618" s="182" t="n">
        <v>0</v>
      </c>
      <c r="AK1618" s="182" t="n">
        <v>0</v>
      </c>
      <c r="AL1618" s="182" t="n">
        <v>0</v>
      </c>
      <c r="AM1618" s="182" t="n">
        <v>0.06</v>
      </c>
      <c r="AN1618" s="182" t="n">
        <v>0</v>
      </c>
    </row>
    <row r="1619">
      <c r="A1619" s="155" t="n">
        <v>46089</v>
      </c>
      <c r="B1619" s="156" t="inlineStr">
        <is>
          <t>DS</t>
        </is>
      </c>
      <c r="C1619" s="156" t="inlineStr">
        <is>
          <t>DT-523</t>
        </is>
      </c>
      <c r="D1619" s="156" t="inlineStr">
        <is>
          <t>SKT 105S</t>
        </is>
      </c>
      <c r="E1619" s="156" t="inlineStr">
        <is>
          <t>Hauler</t>
        </is>
      </c>
      <c r="F1619" s="156" t="inlineStr">
        <is>
          <t>Hauling Material Longsoran</t>
        </is>
      </c>
      <c r="G1619" s="182" t="n">
        <v>4.79</v>
      </c>
      <c r="H1619" s="182" t="n">
        <v>0</v>
      </c>
      <c r="I1619" s="182" t="n">
        <v>0.17</v>
      </c>
      <c r="J1619" s="182" t="n">
        <v>0.17</v>
      </c>
      <c r="K1619" s="182" t="n">
        <v>7.04</v>
      </c>
      <c r="L1619" s="182" t="n">
        <v>12</v>
      </c>
      <c r="M1619" s="182" t="n">
        <v>4.79</v>
      </c>
      <c r="N1619" s="182" t="n">
        <v>0</v>
      </c>
      <c r="O1619" s="183" t="n">
        <v>14</v>
      </c>
      <c r="P1619" s="183" t="n">
        <v>0</v>
      </c>
      <c r="Q1619" s="184" t="n">
        <v>142.8</v>
      </c>
      <c r="R1619" s="184" t="n">
        <v>0</v>
      </c>
      <c r="S1619" s="183" t="n">
        <v>0</v>
      </c>
      <c r="T1619" s="183" t="n">
        <v>0</v>
      </c>
      <c r="U1619" s="182" t="n">
        <v>0</v>
      </c>
      <c r="V1619" s="182" t="n">
        <v>0</v>
      </c>
      <c r="W1619" s="182" t="n">
        <v>0</v>
      </c>
      <c r="X1619" s="182" t="n">
        <v>1.02</v>
      </c>
      <c r="Y1619" s="182" t="n">
        <v>0</v>
      </c>
      <c r="Z1619" s="182" t="n">
        <v>0</v>
      </c>
      <c r="AA1619" s="182" t="n">
        <v>0</v>
      </c>
      <c r="AB1619" s="182" t="n">
        <v>0</v>
      </c>
      <c r="AC1619" s="182" t="n">
        <v>0</v>
      </c>
      <c r="AD1619" s="182" t="n">
        <v>0</v>
      </c>
      <c r="AE1619" s="182" t="n">
        <v>0</v>
      </c>
      <c r="AF1619" s="182" t="n">
        <v>0</v>
      </c>
      <c r="AG1619" s="182" t="n">
        <v>0</v>
      </c>
      <c r="AH1619" s="182" t="n">
        <v>0</v>
      </c>
      <c r="AI1619" s="182" t="n">
        <v>4.06</v>
      </c>
      <c r="AJ1619" s="182" t="n">
        <v>0</v>
      </c>
      <c r="AK1619" s="182" t="n">
        <v>1.88</v>
      </c>
      <c r="AL1619" s="182" t="n">
        <v>0</v>
      </c>
      <c r="AM1619" s="182" t="n">
        <v>0.08</v>
      </c>
      <c r="AN1619" s="182" t="n">
        <v>0</v>
      </c>
    </row>
    <row r="1620">
      <c r="A1620" s="155" t="n">
        <v>46089</v>
      </c>
      <c r="B1620" s="156" t="inlineStr">
        <is>
          <t>DS</t>
        </is>
      </c>
      <c r="C1620" s="156" t="inlineStr">
        <is>
          <t>DT-519</t>
        </is>
      </c>
      <c r="D1620" s="156" t="inlineStr">
        <is>
          <t>SKT 105S</t>
        </is>
      </c>
      <c r="E1620" s="156" t="inlineStr">
        <is>
          <t>Hauler</t>
        </is>
      </c>
      <c r="F1620" s="156" t="inlineStr"/>
      <c r="G1620" s="182" t="n">
        <v>0</v>
      </c>
      <c r="H1620" s="182" t="n">
        <v>0</v>
      </c>
      <c r="I1620" s="182" t="n">
        <v>12</v>
      </c>
      <c r="J1620" s="182" t="n">
        <v>12</v>
      </c>
      <c r="K1620" s="182" t="n">
        <v>0</v>
      </c>
      <c r="L1620" s="182" t="n">
        <v>12</v>
      </c>
      <c r="M1620" s="182" t="n">
        <v>0</v>
      </c>
      <c r="N1620" s="182" t="n">
        <v>0</v>
      </c>
      <c r="O1620" s="183" t="n">
        <v>0</v>
      </c>
      <c r="P1620" s="183" t="n">
        <v>0</v>
      </c>
      <c r="Q1620" s="184" t="n">
        <v>0</v>
      </c>
      <c r="R1620" s="184" t="n">
        <v>0</v>
      </c>
      <c r="S1620" s="183" t="n">
        <v>0</v>
      </c>
      <c r="T1620" s="183" t="n">
        <v>0</v>
      </c>
      <c r="U1620" s="182" t="n">
        <v>0</v>
      </c>
      <c r="V1620" s="182" t="n">
        <v>0</v>
      </c>
      <c r="W1620" s="182" t="n">
        <v>0</v>
      </c>
      <c r="X1620" s="182" t="n">
        <v>0</v>
      </c>
      <c r="Y1620" s="182" t="n">
        <v>0</v>
      </c>
      <c r="Z1620" s="182" t="n">
        <v>0</v>
      </c>
      <c r="AA1620" s="182" t="n">
        <v>0</v>
      </c>
      <c r="AB1620" s="182" t="n">
        <v>0</v>
      </c>
      <c r="AC1620" s="182" t="n">
        <v>0</v>
      </c>
      <c r="AD1620" s="182" t="n">
        <v>0</v>
      </c>
      <c r="AE1620" s="182" t="n">
        <v>0</v>
      </c>
      <c r="AF1620" s="182" t="n">
        <v>0</v>
      </c>
      <c r="AG1620" s="182" t="n">
        <v>0</v>
      </c>
      <c r="AH1620" s="182" t="n">
        <v>0</v>
      </c>
      <c r="AI1620" s="182" t="n">
        <v>0</v>
      </c>
      <c r="AJ1620" s="182" t="n">
        <v>0</v>
      </c>
      <c r="AK1620" s="182" t="n">
        <v>0</v>
      </c>
      <c r="AL1620" s="182" t="n">
        <v>0</v>
      </c>
      <c r="AM1620" s="182" t="n">
        <v>0</v>
      </c>
      <c r="AN1620" s="182" t="n">
        <v>0</v>
      </c>
    </row>
    <row r="1621">
      <c r="A1621" s="155" t="n">
        <v>46089</v>
      </c>
      <c r="B1621" s="156" t="inlineStr">
        <is>
          <t>DS</t>
        </is>
      </c>
      <c r="C1621" s="156" t="inlineStr">
        <is>
          <t>DT-527</t>
        </is>
      </c>
      <c r="D1621" s="156" t="inlineStr">
        <is>
          <t>SKT 105S</t>
        </is>
      </c>
      <c r="E1621" s="156" t="inlineStr">
        <is>
          <t>Hauler</t>
        </is>
      </c>
      <c r="F1621" s="156" t="inlineStr"/>
      <c r="G1621" s="182" t="n">
        <v>0</v>
      </c>
      <c r="H1621" s="182" t="n">
        <v>8.75</v>
      </c>
      <c r="I1621" s="182" t="n">
        <v>0</v>
      </c>
      <c r="J1621" s="182" t="n">
        <v>8.75</v>
      </c>
      <c r="K1621" s="182" t="n">
        <v>3.25</v>
      </c>
      <c r="L1621" s="182" t="n">
        <v>12</v>
      </c>
      <c r="M1621" s="182" t="n">
        <v>0</v>
      </c>
      <c r="N1621" s="182" t="n">
        <v>0</v>
      </c>
      <c r="O1621" s="183" t="n">
        <v>0</v>
      </c>
      <c r="P1621" s="183" t="n">
        <v>0</v>
      </c>
      <c r="Q1621" s="184" t="n">
        <v>0</v>
      </c>
      <c r="R1621" s="184" t="n">
        <v>0</v>
      </c>
      <c r="S1621" s="183" t="n">
        <v>0</v>
      </c>
      <c r="T1621" s="183" t="n">
        <v>0</v>
      </c>
      <c r="U1621" s="182" t="n">
        <v>0</v>
      </c>
      <c r="V1621" s="182" t="n">
        <v>0</v>
      </c>
      <c r="W1621" s="182" t="n">
        <v>0</v>
      </c>
      <c r="X1621" s="182" t="n">
        <v>1</v>
      </c>
      <c r="Y1621" s="182" t="n">
        <v>0</v>
      </c>
      <c r="Z1621" s="182" t="n">
        <v>0</v>
      </c>
      <c r="AA1621" s="182" t="n">
        <v>0</v>
      </c>
      <c r="AB1621" s="182" t="n">
        <v>0</v>
      </c>
      <c r="AC1621" s="182" t="n">
        <v>0</v>
      </c>
      <c r="AD1621" s="182" t="n">
        <v>0</v>
      </c>
      <c r="AE1621" s="182" t="n">
        <v>0</v>
      </c>
      <c r="AF1621" s="182" t="n">
        <v>0</v>
      </c>
      <c r="AG1621" s="182" t="n">
        <v>0</v>
      </c>
      <c r="AH1621" s="182" t="n">
        <v>0</v>
      </c>
      <c r="AI1621" s="182" t="n">
        <v>2.17</v>
      </c>
      <c r="AJ1621" s="182" t="n">
        <v>0</v>
      </c>
      <c r="AK1621" s="182" t="n">
        <v>0</v>
      </c>
      <c r="AL1621" s="182" t="n">
        <v>0</v>
      </c>
      <c r="AM1621" s="182" t="n">
        <v>0.08</v>
      </c>
      <c r="AN1621" s="182" t="n">
        <v>0</v>
      </c>
    </row>
    <row r="1622">
      <c r="A1622" s="155" t="n">
        <v>46089</v>
      </c>
      <c r="B1622" s="156" t="inlineStr">
        <is>
          <t>DS</t>
        </is>
      </c>
      <c r="C1622" s="156" t="inlineStr">
        <is>
          <t>DT-513</t>
        </is>
      </c>
      <c r="D1622" s="156" t="inlineStr">
        <is>
          <t>SKT 105S</t>
        </is>
      </c>
      <c r="E1622" s="156" t="inlineStr">
        <is>
          <t>Hauler</t>
        </is>
      </c>
      <c r="F1622" s="156" t="inlineStr">
        <is>
          <t>Hauling Material Longsoran</t>
        </is>
      </c>
      <c r="G1622" s="182" t="n">
        <v>0.7</v>
      </c>
      <c r="H1622" s="182" t="n">
        <v>0</v>
      </c>
      <c r="I1622" s="182" t="n">
        <v>11.3</v>
      </c>
      <c r="J1622" s="182" t="n">
        <v>11.3</v>
      </c>
      <c r="K1622" s="182" t="n">
        <v>0</v>
      </c>
      <c r="L1622" s="182" t="n">
        <v>12</v>
      </c>
      <c r="M1622" s="182" t="n">
        <v>0.7</v>
      </c>
      <c r="N1622" s="182" t="n">
        <v>0</v>
      </c>
      <c r="O1622" s="183" t="n">
        <v>2</v>
      </c>
      <c r="P1622" s="183" t="n">
        <v>0</v>
      </c>
      <c r="Q1622" s="184" t="n">
        <v>20.4</v>
      </c>
      <c r="R1622" s="184" t="n">
        <v>0</v>
      </c>
      <c r="S1622" s="183" t="n">
        <v>0</v>
      </c>
      <c r="T1622" s="183" t="n">
        <v>0</v>
      </c>
      <c r="U1622" s="182" t="n">
        <v>0</v>
      </c>
      <c r="V1622" s="182" t="n">
        <v>0</v>
      </c>
      <c r="W1622" s="182" t="n">
        <v>0</v>
      </c>
      <c r="X1622" s="182" t="n">
        <v>0</v>
      </c>
      <c r="Y1622" s="182" t="n">
        <v>0</v>
      </c>
      <c r="Z1622" s="182" t="n">
        <v>0</v>
      </c>
      <c r="AA1622" s="182" t="n">
        <v>0</v>
      </c>
      <c r="AB1622" s="182" t="n">
        <v>0</v>
      </c>
      <c r="AC1622" s="182" t="n">
        <v>0</v>
      </c>
      <c r="AD1622" s="182" t="n">
        <v>0</v>
      </c>
      <c r="AE1622" s="182" t="n">
        <v>0</v>
      </c>
      <c r="AF1622" s="182" t="n">
        <v>0</v>
      </c>
      <c r="AG1622" s="182" t="n">
        <v>0</v>
      </c>
      <c r="AH1622" s="182" t="n">
        <v>0</v>
      </c>
      <c r="AI1622" s="182" t="n">
        <v>0</v>
      </c>
      <c r="AJ1622" s="182" t="n">
        <v>0</v>
      </c>
      <c r="AK1622" s="182" t="n">
        <v>0</v>
      </c>
      <c r="AL1622" s="182" t="n">
        <v>0</v>
      </c>
      <c r="AM1622" s="182" t="n">
        <v>0</v>
      </c>
      <c r="AN1622" s="182" t="n">
        <v>0</v>
      </c>
    </row>
    <row r="1623">
      <c r="A1623" s="155" t="n">
        <v>46089</v>
      </c>
      <c r="B1623" s="156" t="inlineStr">
        <is>
          <t>DS</t>
        </is>
      </c>
      <c r="C1623" s="156" t="inlineStr">
        <is>
          <t>DT-512</t>
        </is>
      </c>
      <c r="D1623" s="156" t="inlineStr">
        <is>
          <t>SKT 105S</t>
        </is>
      </c>
      <c r="E1623" s="156" t="inlineStr">
        <is>
          <t>Hauler</t>
        </is>
      </c>
      <c r="F1623" s="156" t="inlineStr">
        <is>
          <t>Hauling Material Longsoran</t>
        </is>
      </c>
      <c r="G1623" s="182" t="n">
        <v>10.68</v>
      </c>
      <c r="H1623" s="182" t="n">
        <v>0</v>
      </c>
      <c r="I1623" s="182" t="n">
        <v>0</v>
      </c>
      <c r="J1623" s="182" t="n">
        <v>0</v>
      </c>
      <c r="K1623" s="182" t="n">
        <v>1.32</v>
      </c>
      <c r="L1623" s="182" t="n">
        <v>12</v>
      </c>
      <c r="M1623" s="182" t="n">
        <v>10.68</v>
      </c>
      <c r="N1623" s="182" t="n">
        <v>0</v>
      </c>
      <c r="O1623" s="183" t="n">
        <v>35</v>
      </c>
      <c r="P1623" s="183" t="n">
        <v>0</v>
      </c>
      <c r="Q1623" s="184" t="n">
        <v>357</v>
      </c>
      <c r="R1623" s="184" t="n">
        <v>0</v>
      </c>
      <c r="S1623" s="183" t="n">
        <v>0</v>
      </c>
      <c r="T1623" s="183" t="n">
        <v>0</v>
      </c>
      <c r="U1623" s="182" t="n">
        <v>0</v>
      </c>
      <c r="V1623" s="182" t="n">
        <v>0</v>
      </c>
      <c r="W1623" s="182" t="n">
        <v>0</v>
      </c>
      <c r="X1623" s="182" t="n">
        <v>0.78</v>
      </c>
      <c r="Y1623" s="182" t="n">
        <v>0</v>
      </c>
      <c r="Z1623" s="182" t="n">
        <v>0</v>
      </c>
      <c r="AA1623" s="182" t="n">
        <v>0</v>
      </c>
      <c r="AB1623" s="182" t="n">
        <v>0</v>
      </c>
      <c r="AC1623" s="182" t="n">
        <v>0</v>
      </c>
      <c r="AD1623" s="182" t="n">
        <v>0</v>
      </c>
      <c r="AE1623" s="182" t="n">
        <v>0</v>
      </c>
      <c r="AF1623" s="182" t="n">
        <v>0</v>
      </c>
      <c r="AG1623" s="182" t="n">
        <v>0</v>
      </c>
      <c r="AH1623" s="182" t="n">
        <v>0.48</v>
      </c>
      <c r="AI1623" s="182" t="n">
        <v>0</v>
      </c>
      <c r="AJ1623" s="182" t="n">
        <v>0</v>
      </c>
      <c r="AK1623" s="182" t="n">
        <v>0</v>
      </c>
      <c r="AL1623" s="182" t="n">
        <v>0</v>
      </c>
      <c r="AM1623" s="182" t="n">
        <v>0.06</v>
      </c>
      <c r="AN1623" s="182" t="n">
        <v>0</v>
      </c>
    </row>
    <row r="1624">
      <c r="A1624" s="155" t="n">
        <v>46089</v>
      </c>
      <c r="B1624" s="156" t="inlineStr">
        <is>
          <t>DS</t>
        </is>
      </c>
      <c r="C1624" s="156" t="inlineStr">
        <is>
          <t>DT-522</t>
        </is>
      </c>
      <c r="D1624" s="156" t="inlineStr">
        <is>
          <t>SKT 105S</t>
        </is>
      </c>
      <c r="E1624" s="156" t="inlineStr">
        <is>
          <t>Hauler</t>
        </is>
      </c>
      <c r="F1624" s="156" t="inlineStr">
        <is>
          <t>Hauling Material Longsoran</t>
        </is>
      </c>
      <c r="G1624" s="182" t="n">
        <v>9.94</v>
      </c>
      <c r="H1624" s="182" t="n">
        <v>0</v>
      </c>
      <c r="I1624" s="182" t="n">
        <v>0</v>
      </c>
      <c r="J1624" s="182" t="n">
        <v>0</v>
      </c>
      <c r="K1624" s="182" t="n">
        <v>2.06</v>
      </c>
      <c r="L1624" s="182" t="n">
        <v>12</v>
      </c>
      <c r="M1624" s="182" t="n">
        <v>9.94</v>
      </c>
      <c r="N1624" s="182" t="n">
        <v>0</v>
      </c>
      <c r="O1624" s="183" t="n">
        <v>34</v>
      </c>
      <c r="P1624" s="183" t="n">
        <v>0</v>
      </c>
      <c r="Q1624" s="184" t="n">
        <v>346.8</v>
      </c>
      <c r="R1624" s="184" t="n">
        <v>0</v>
      </c>
      <c r="S1624" s="183" t="n">
        <v>0</v>
      </c>
      <c r="T1624" s="183" t="n">
        <v>0</v>
      </c>
      <c r="U1624" s="182" t="n">
        <v>0</v>
      </c>
      <c r="V1624" s="182" t="n">
        <v>0</v>
      </c>
      <c r="W1624" s="182" t="n">
        <v>0</v>
      </c>
      <c r="X1624" s="182" t="n">
        <v>1.29</v>
      </c>
      <c r="Y1624" s="182" t="n">
        <v>0</v>
      </c>
      <c r="Z1624" s="182" t="n">
        <v>0</v>
      </c>
      <c r="AA1624" s="182" t="n">
        <v>0</v>
      </c>
      <c r="AB1624" s="182" t="n">
        <v>0</v>
      </c>
      <c r="AC1624" s="182" t="n">
        <v>0</v>
      </c>
      <c r="AD1624" s="182" t="n">
        <v>0</v>
      </c>
      <c r="AE1624" s="182" t="n">
        <v>0</v>
      </c>
      <c r="AF1624" s="182" t="n">
        <v>0</v>
      </c>
      <c r="AG1624" s="182" t="n">
        <v>0</v>
      </c>
      <c r="AH1624" s="182" t="n">
        <v>0.67</v>
      </c>
      <c r="AI1624" s="182" t="n">
        <v>0</v>
      </c>
      <c r="AJ1624" s="182" t="n">
        <v>0</v>
      </c>
      <c r="AK1624" s="182" t="n">
        <v>0</v>
      </c>
      <c r="AL1624" s="182" t="n">
        <v>0</v>
      </c>
      <c r="AM1624" s="182" t="n">
        <v>0.1</v>
      </c>
      <c r="AN1624" s="182" t="n">
        <v>0</v>
      </c>
    </row>
    <row r="1625">
      <c r="A1625" s="155" t="n">
        <v>46089</v>
      </c>
      <c r="B1625" s="156" t="inlineStr">
        <is>
          <t>DS</t>
        </is>
      </c>
      <c r="C1625" s="156" t="inlineStr">
        <is>
          <t>DT-517</t>
        </is>
      </c>
      <c r="D1625" s="156" t="inlineStr">
        <is>
          <t>SKT 105S</t>
        </is>
      </c>
      <c r="E1625" s="156" t="inlineStr">
        <is>
          <t>Hauler</t>
        </is>
      </c>
      <c r="F1625" s="156" t="inlineStr">
        <is>
          <t>Hauling Material Longsoran</t>
        </is>
      </c>
      <c r="G1625" s="182" t="n">
        <v>10.43</v>
      </c>
      <c r="H1625" s="182" t="n">
        <v>0</v>
      </c>
      <c r="I1625" s="182" t="n">
        <v>0</v>
      </c>
      <c r="J1625" s="182" t="n">
        <v>0</v>
      </c>
      <c r="K1625" s="182" t="n">
        <v>1.57</v>
      </c>
      <c r="L1625" s="182" t="n">
        <v>12</v>
      </c>
      <c r="M1625" s="182" t="n">
        <v>10.26</v>
      </c>
      <c r="N1625" s="182" t="n">
        <v>0</v>
      </c>
      <c r="O1625" s="183" t="n">
        <v>35</v>
      </c>
      <c r="P1625" s="183" t="n">
        <v>0</v>
      </c>
      <c r="Q1625" s="184" t="n">
        <v>357</v>
      </c>
      <c r="R1625" s="184" t="n">
        <v>0</v>
      </c>
      <c r="S1625" s="183" t="n">
        <v>0</v>
      </c>
      <c r="T1625" s="183" t="n">
        <v>0</v>
      </c>
      <c r="U1625" s="182" t="n">
        <v>0</v>
      </c>
      <c r="V1625" s="182" t="n">
        <v>0</v>
      </c>
      <c r="W1625" s="182" t="n">
        <v>0</v>
      </c>
      <c r="X1625" s="182" t="n">
        <v>0.92</v>
      </c>
      <c r="Y1625" s="182" t="n">
        <v>0</v>
      </c>
      <c r="Z1625" s="182" t="n">
        <v>0</v>
      </c>
      <c r="AA1625" s="182" t="n">
        <v>0</v>
      </c>
      <c r="AB1625" s="182" t="n">
        <v>0</v>
      </c>
      <c r="AC1625" s="182" t="n">
        <v>0</v>
      </c>
      <c r="AD1625" s="182" t="n">
        <v>0</v>
      </c>
      <c r="AE1625" s="182" t="n">
        <v>0</v>
      </c>
      <c r="AF1625" s="182" t="n">
        <v>0</v>
      </c>
      <c r="AG1625" s="182" t="n">
        <v>0</v>
      </c>
      <c r="AH1625" s="182" t="n">
        <v>0.57</v>
      </c>
      <c r="AI1625" s="182" t="n">
        <v>0</v>
      </c>
      <c r="AJ1625" s="182" t="n">
        <v>0</v>
      </c>
      <c r="AK1625" s="182" t="n">
        <v>0</v>
      </c>
      <c r="AL1625" s="182" t="n">
        <v>0</v>
      </c>
      <c r="AM1625" s="182" t="n">
        <v>0.07000000000000001</v>
      </c>
      <c r="AN1625" s="182" t="n">
        <v>0</v>
      </c>
    </row>
    <row r="1626">
      <c r="A1626" s="155" t="n">
        <v>46089</v>
      </c>
      <c r="B1626" s="156" t="inlineStr">
        <is>
          <t>DS</t>
        </is>
      </c>
      <c r="C1626" s="156" t="inlineStr">
        <is>
          <t>DT-510</t>
        </is>
      </c>
      <c r="D1626" s="156" t="inlineStr">
        <is>
          <t>SKT 105S</t>
        </is>
      </c>
      <c r="E1626" s="156" t="inlineStr">
        <is>
          <t>Hauler</t>
        </is>
      </c>
      <c r="F1626" s="156" t="inlineStr"/>
      <c r="G1626" s="182" t="n">
        <v>0</v>
      </c>
      <c r="H1626" s="182" t="n">
        <v>0</v>
      </c>
      <c r="I1626" s="182" t="n">
        <v>12</v>
      </c>
      <c r="J1626" s="182" t="n">
        <v>12</v>
      </c>
      <c r="K1626" s="182" t="n">
        <v>0</v>
      </c>
      <c r="L1626" s="182" t="n">
        <v>12</v>
      </c>
      <c r="M1626" s="182" t="n">
        <v>0</v>
      </c>
      <c r="N1626" s="182" t="n">
        <v>0</v>
      </c>
      <c r="O1626" s="183" t="n">
        <v>0</v>
      </c>
      <c r="P1626" s="183" t="n">
        <v>0</v>
      </c>
      <c r="Q1626" s="184" t="n">
        <v>0</v>
      </c>
      <c r="R1626" s="184" t="n">
        <v>0</v>
      </c>
      <c r="S1626" s="183" t="n">
        <v>0</v>
      </c>
      <c r="T1626" s="183" t="n">
        <v>0</v>
      </c>
      <c r="U1626" s="182" t="n">
        <v>0</v>
      </c>
      <c r="V1626" s="182" t="n">
        <v>0</v>
      </c>
      <c r="W1626" s="182" t="n">
        <v>0</v>
      </c>
      <c r="X1626" s="182" t="n">
        <v>0</v>
      </c>
      <c r="Y1626" s="182" t="n">
        <v>0</v>
      </c>
      <c r="Z1626" s="182" t="n">
        <v>0</v>
      </c>
      <c r="AA1626" s="182" t="n">
        <v>0</v>
      </c>
      <c r="AB1626" s="182" t="n">
        <v>0</v>
      </c>
      <c r="AC1626" s="182" t="n">
        <v>0</v>
      </c>
      <c r="AD1626" s="182" t="n">
        <v>0</v>
      </c>
      <c r="AE1626" s="182" t="n">
        <v>0</v>
      </c>
      <c r="AF1626" s="182" t="n">
        <v>0</v>
      </c>
      <c r="AG1626" s="182" t="n">
        <v>0</v>
      </c>
      <c r="AH1626" s="182" t="n">
        <v>0</v>
      </c>
      <c r="AI1626" s="182" t="n">
        <v>0</v>
      </c>
      <c r="AJ1626" s="182" t="n">
        <v>0</v>
      </c>
      <c r="AK1626" s="182" t="n">
        <v>0</v>
      </c>
      <c r="AL1626" s="182" t="n">
        <v>0</v>
      </c>
      <c r="AM1626" s="182" t="n">
        <v>0</v>
      </c>
      <c r="AN1626" s="182" t="n">
        <v>0</v>
      </c>
    </row>
    <row r="1627">
      <c r="A1627" s="155" t="n">
        <v>46089</v>
      </c>
      <c r="B1627" s="156" t="inlineStr">
        <is>
          <t>DS</t>
        </is>
      </c>
      <c r="C1627" s="156" t="inlineStr">
        <is>
          <t>DT-521</t>
        </is>
      </c>
      <c r="D1627" s="156" t="inlineStr">
        <is>
          <t>SKT 105S</t>
        </is>
      </c>
      <c r="E1627" s="156" t="inlineStr">
        <is>
          <t>Hauler</t>
        </is>
      </c>
      <c r="F1627" s="156" t="inlineStr">
        <is>
          <t>Hauling Material Longsoran</t>
        </is>
      </c>
      <c r="G1627" s="182" t="n">
        <v>4.11</v>
      </c>
      <c r="H1627" s="182" t="n">
        <v>0</v>
      </c>
      <c r="I1627" s="182" t="n">
        <v>4.83</v>
      </c>
      <c r="J1627" s="182" t="n">
        <v>4.83</v>
      </c>
      <c r="K1627" s="182" t="n">
        <v>3.06</v>
      </c>
      <c r="L1627" s="182" t="n">
        <v>12</v>
      </c>
      <c r="M1627" s="182" t="n">
        <v>4.11</v>
      </c>
      <c r="N1627" s="182" t="n">
        <v>0</v>
      </c>
      <c r="O1627" s="183" t="n">
        <v>12</v>
      </c>
      <c r="P1627" s="183" t="n">
        <v>0</v>
      </c>
      <c r="Q1627" s="184" t="n">
        <v>122.4</v>
      </c>
      <c r="R1627" s="184" t="n">
        <v>0</v>
      </c>
      <c r="S1627" s="183" t="n">
        <v>0</v>
      </c>
      <c r="T1627" s="183" t="n">
        <v>0</v>
      </c>
      <c r="U1627" s="182" t="n">
        <v>0</v>
      </c>
      <c r="V1627" s="182" t="n">
        <v>0</v>
      </c>
      <c r="W1627" s="182" t="n">
        <v>0</v>
      </c>
      <c r="X1627" s="182" t="n">
        <v>1</v>
      </c>
      <c r="Y1627" s="182" t="n">
        <v>0</v>
      </c>
      <c r="Z1627" s="182" t="n">
        <v>0</v>
      </c>
      <c r="AA1627" s="182" t="n">
        <v>0</v>
      </c>
      <c r="AB1627" s="182" t="n">
        <v>0</v>
      </c>
      <c r="AC1627" s="182" t="n">
        <v>0</v>
      </c>
      <c r="AD1627" s="182" t="n">
        <v>0</v>
      </c>
      <c r="AE1627" s="182" t="n">
        <v>0</v>
      </c>
      <c r="AF1627" s="182" t="n">
        <v>0</v>
      </c>
      <c r="AG1627" s="182" t="n">
        <v>0.99</v>
      </c>
      <c r="AH1627" s="182" t="n">
        <v>0.99</v>
      </c>
      <c r="AI1627" s="182" t="n">
        <v>0</v>
      </c>
      <c r="AJ1627" s="182" t="n">
        <v>0</v>
      </c>
      <c r="AK1627" s="182" t="n">
        <v>0</v>
      </c>
      <c r="AL1627" s="182" t="n">
        <v>0</v>
      </c>
      <c r="AM1627" s="182" t="n">
        <v>0.08</v>
      </c>
      <c r="AN1627" s="182" t="n">
        <v>0</v>
      </c>
    </row>
    <row r="1628">
      <c r="A1628" s="155" t="n">
        <v>46089</v>
      </c>
      <c r="B1628" s="156" t="inlineStr">
        <is>
          <t>DS</t>
        </is>
      </c>
      <c r="C1628" s="156" t="inlineStr">
        <is>
          <t>DT-516</t>
        </is>
      </c>
      <c r="D1628" s="156" t="inlineStr">
        <is>
          <t>SKT 105S</t>
        </is>
      </c>
      <c r="E1628" s="156" t="inlineStr">
        <is>
          <t>Hauler</t>
        </is>
      </c>
      <c r="F1628" s="156" t="inlineStr">
        <is>
          <t>Hauling Material Longsoran</t>
        </is>
      </c>
      <c r="G1628" s="182" t="n">
        <v>10.42</v>
      </c>
      <c r="H1628" s="182" t="n">
        <v>0</v>
      </c>
      <c r="I1628" s="182" t="n">
        <v>0</v>
      </c>
      <c r="J1628" s="182" t="n">
        <v>0</v>
      </c>
      <c r="K1628" s="182" t="n">
        <v>1.58</v>
      </c>
      <c r="L1628" s="182" t="n">
        <v>12</v>
      </c>
      <c r="M1628" s="182" t="n">
        <v>10.25</v>
      </c>
      <c r="N1628" s="182" t="n">
        <v>0</v>
      </c>
      <c r="O1628" s="183" t="n">
        <v>36</v>
      </c>
      <c r="P1628" s="183" t="n">
        <v>0</v>
      </c>
      <c r="Q1628" s="184" t="n">
        <v>367.2</v>
      </c>
      <c r="R1628" s="184" t="n">
        <v>0</v>
      </c>
      <c r="S1628" s="183" t="n">
        <v>0</v>
      </c>
      <c r="T1628" s="183" t="n">
        <v>0</v>
      </c>
      <c r="U1628" s="182" t="n">
        <v>0</v>
      </c>
      <c r="V1628" s="182" t="n">
        <v>0</v>
      </c>
      <c r="W1628" s="182" t="n">
        <v>0</v>
      </c>
      <c r="X1628" s="182" t="n">
        <v>0.93</v>
      </c>
      <c r="Y1628" s="182" t="n">
        <v>0</v>
      </c>
      <c r="Z1628" s="182" t="n">
        <v>0</v>
      </c>
      <c r="AA1628" s="182" t="n">
        <v>0</v>
      </c>
      <c r="AB1628" s="182" t="n">
        <v>0</v>
      </c>
      <c r="AC1628" s="182" t="n">
        <v>0</v>
      </c>
      <c r="AD1628" s="182" t="n">
        <v>0</v>
      </c>
      <c r="AE1628" s="182" t="n">
        <v>0</v>
      </c>
      <c r="AF1628" s="182" t="n">
        <v>0</v>
      </c>
      <c r="AG1628" s="182" t="n">
        <v>0</v>
      </c>
      <c r="AH1628" s="182" t="n">
        <v>0.58</v>
      </c>
      <c r="AI1628" s="182" t="n">
        <v>0</v>
      </c>
      <c r="AJ1628" s="182" t="n">
        <v>0</v>
      </c>
      <c r="AK1628" s="182" t="n">
        <v>0</v>
      </c>
      <c r="AL1628" s="182" t="n">
        <v>0</v>
      </c>
      <c r="AM1628" s="182" t="n">
        <v>0.07000000000000001</v>
      </c>
      <c r="AN1628" s="182" t="n">
        <v>0</v>
      </c>
    </row>
    <row r="1629">
      <c r="A1629" s="155" t="n">
        <v>46089</v>
      </c>
      <c r="B1629" s="156" t="inlineStr">
        <is>
          <t>DS</t>
        </is>
      </c>
      <c r="C1629" s="156" t="inlineStr">
        <is>
          <t>DT-506</t>
        </is>
      </c>
      <c r="D1629" s="156" t="inlineStr">
        <is>
          <t>SKT 105S</t>
        </is>
      </c>
      <c r="E1629" s="156" t="inlineStr">
        <is>
          <t>Hauler</t>
        </is>
      </c>
      <c r="F1629" s="156" t="inlineStr">
        <is>
          <t>Hauling Material Campuran &amp; OB (Blastingan)</t>
        </is>
      </c>
      <c r="G1629" s="182" t="n">
        <v>4.82</v>
      </c>
      <c r="H1629" s="182" t="n">
        <v>0</v>
      </c>
      <c r="I1629" s="182" t="n">
        <v>7</v>
      </c>
      <c r="J1629" s="182" t="n">
        <v>7</v>
      </c>
      <c r="K1629" s="182" t="n">
        <v>0.18</v>
      </c>
      <c r="L1629" s="182" t="n">
        <v>12</v>
      </c>
      <c r="M1629" s="182" t="n">
        <v>4.82</v>
      </c>
      <c r="N1629" s="182" t="n">
        <v>0</v>
      </c>
      <c r="O1629" s="183" t="n">
        <v>13</v>
      </c>
      <c r="P1629" s="183" t="n">
        <v>0</v>
      </c>
      <c r="Q1629" s="184" t="n">
        <v>132.6</v>
      </c>
      <c r="R1629" s="184" t="n">
        <v>0</v>
      </c>
      <c r="S1629" s="183" t="n">
        <v>0</v>
      </c>
      <c r="T1629" s="183" t="n">
        <v>0</v>
      </c>
      <c r="U1629" s="182" t="n">
        <v>0</v>
      </c>
      <c r="V1629" s="182" t="n">
        <v>0</v>
      </c>
      <c r="W1629" s="182" t="n">
        <v>0</v>
      </c>
      <c r="X1629" s="182" t="n">
        <v>0</v>
      </c>
      <c r="Y1629" s="182" t="n">
        <v>0</v>
      </c>
      <c r="Z1629" s="182" t="n">
        <v>0</v>
      </c>
      <c r="AA1629" s="182" t="n">
        <v>0</v>
      </c>
      <c r="AB1629" s="182" t="n">
        <v>0</v>
      </c>
      <c r="AC1629" s="182" t="n">
        <v>0</v>
      </c>
      <c r="AD1629" s="182" t="n">
        <v>0</v>
      </c>
      <c r="AE1629" s="182" t="n">
        <v>0</v>
      </c>
      <c r="AF1629" s="182" t="n">
        <v>0</v>
      </c>
      <c r="AG1629" s="182" t="n">
        <v>0</v>
      </c>
      <c r="AH1629" s="182" t="n">
        <v>0</v>
      </c>
      <c r="AI1629" s="182" t="n">
        <v>0</v>
      </c>
      <c r="AJ1629" s="182" t="n">
        <v>0</v>
      </c>
      <c r="AK1629" s="182" t="n">
        <v>0</v>
      </c>
      <c r="AL1629" s="182" t="n">
        <v>0</v>
      </c>
      <c r="AM1629" s="182" t="n">
        <v>0</v>
      </c>
      <c r="AN1629" s="182" t="n">
        <v>0</v>
      </c>
    </row>
    <row r="1630">
      <c r="A1630" s="155" t="n">
        <v>46089</v>
      </c>
      <c r="B1630" s="156" t="inlineStr">
        <is>
          <t>DS</t>
        </is>
      </c>
      <c r="C1630" s="156" t="inlineStr">
        <is>
          <t>DT-502</t>
        </is>
      </c>
      <c r="D1630" s="156" t="inlineStr">
        <is>
          <t>SKT 105S</t>
        </is>
      </c>
      <c r="E1630" s="156" t="inlineStr">
        <is>
          <t>Hauler</t>
        </is>
      </c>
      <c r="F1630" s="156" t="inlineStr">
        <is>
          <t>Hauling Material Longsoran, Material Campuran (OB&amp; Spoil)</t>
        </is>
      </c>
      <c r="G1630" s="182" t="n">
        <v>10.97</v>
      </c>
      <c r="H1630" s="182" t="n">
        <v>0</v>
      </c>
      <c r="I1630" s="182" t="n">
        <v>0</v>
      </c>
      <c r="J1630" s="182" t="n">
        <v>0</v>
      </c>
      <c r="K1630" s="182" t="n">
        <v>1.03</v>
      </c>
      <c r="L1630" s="182" t="n">
        <v>12</v>
      </c>
      <c r="M1630" s="182" t="n">
        <v>10.97</v>
      </c>
      <c r="N1630" s="182" t="n">
        <v>0</v>
      </c>
      <c r="O1630" s="183" t="n">
        <v>47</v>
      </c>
      <c r="P1630" s="183" t="n">
        <v>0</v>
      </c>
      <c r="Q1630" s="184" t="n">
        <v>479.4</v>
      </c>
      <c r="R1630" s="184" t="n">
        <v>0</v>
      </c>
      <c r="S1630" s="183" t="n">
        <v>0</v>
      </c>
      <c r="T1630" s="183" t="n">
        <v>0</v>
      </c>
      <c r="U1630" s="182" t="n">
        <v>0</v>
      </c>
      <c r="V1630" s="182" t="n">
        <v>0</v>
      </c>
      <c r="W1630" s="182" t="n">
        <v>0</v>
      </c>
      <c r="X1630" s="182" t="n">
        <v>0.9399999999999999</v>
      </c>
      <c r="Y1630" s="182" t="n">
        <v>0</v>
      </c>
      <c r="Z1630" s="182" t="n">
        <v>0</v>
      </c>
      <c r="AA1630" s="182" t="n">
        <v>0</v>
      </c>
      <c r="AB1630" s="182" t="n">
        <v>0</v>
      </c>
      <c r="AC1630" s="182" t="n">
        <v>0</v>
      </c>
      <c r="AD1630" s="182" t="n">
        <v>0</v>
      </c>
      <c r="AE1630" s="182" t="n">
        <v>0</v>
      </c>
      <c r="AF1630" s="182" t="n">
        <v>0</v>
      </c>
      <c r="AG1630" s="182" t="n">
        <v>0</v>
      </c>
      <c r="AH1630" s="182" t="n">
        <v>0</v>
      </c>
      <c r="AI1630" s="182" t="n">
        <v>0</v>
      </c>
      <c r="AJ1630" s="182" t="n">
        <v>0</v>
      </c>
      <c r="AK1630" s="182" t="n">
        <v>0</v>
      </c>
      <c r="AL1630" s="182" t="n">
        <v>0</v>
      </c>
      <c r="AM1630" s="182" t="n">
        <v>0.09</v>
      </c>
      <c r="AN1630" s="182" t="n">
        <v>0</v>
      </c>
    </row>
    <row r="1631">
      <c r="A1631" s="155" t="n">
        <v>46089</v>
      </c>
      <c r="B1631" s="156" t="inlineStr">
        <is>
          <t>DS</t>
        </is>
      </c>
      <c r="C1631" s="156" t="inlineStr">
        <is>
          <t>DT-528</t>
        </is>
      </c>
      <c r="D1631" s="156" t="inlineStr">
        <is>
          <t>SKT 105S</t>
        </is>
      </c>
      <c r="E1631" s="156" t="inlineStr">
        <is>
          <t>Hauler</t>
        </is>
      </c>
      <c r="F1631" s="156" t="inlineStr">
        <is>
          <t>Hauling Material Campuran &amp; OB (Blastingan), Coal</t>
        </is>
      </c>
      <c r="G1631" s="182" t="n">
        <v>7.88</v>
      </c>
      <c r="H1631" s="182" t="n">
        <v>0</v>
      </c>
      <c r="I1631" s="182" t="n">
        <v>0</v>
      </c>
      <c r="J1631" s="182" t="n">
        <v>0</v>
      </c>
      <c r="K1631" s="182" t="n">
        <v>4.12</v>
      </c>
      <c r="L1631" s="182" t="n">
        <v>12</v>
      </c>
      <c r="M1631" s="182" t="n">
        <v>1.95</v>
      </c>
      <c r="N1631" s="182" t="n">
        <v>5.94</v>
      </c>
      <c r="O1631" s="183" t="n">
        <v>9</v>
      </c>
      <c r="P1631" s="183" t="n">
        <v>18</v>
      </c>
      <c r="Q1631" s="184" t="n">
        <v>183.6</v>
      </c>
      <c r="R1631" s="184" t="n">
        <v>336.6</v>
      </c>
      <c r="S1631" s="183" t="n">
        <v>0</v>
      </c>
      <c r="T1631" s="183" t="n">
        <v>0</v>
      </c>
      <c r="U1631" s="182" t="n">
        <v>0</v>
      </c>
      <c r="V1631" s="182" t="n">
        <v>0</v>
      </c>
      <c r="W1631" s="182" t="n">
        <v>0</v>
      </c>
      <c r="X1631" s="182" t="n">
        <v>1.06</v>
      </c>
      <c r="Y1631" s="182" t="n">
        <v>0</v>
      </c>
      <c r="Z1631" s="182" t="n">
        <v>0</v>
      </c>
      <c r="AA1631" s="182" t="n">
        <v>0</v>
      </c>
      <c r="AB1631" s="182" t="n">
        <v>0</v>
      </c>
      <c r="AC1631" s="182" t="n">
        <v>0</v>
      </c>
      <c r="AD1631" s="182" t="n">
        <v>0</v>
      </c>
      <c r="AE1631" s="182" t="n">
        <v>2.98</v>
      </c>
      <c r="AF1631" s="182" t="n">
        <v>0</v>
      </c>
      <c r="AG1631" s="182" t="n">
        <v>0</v>
      </c>
      <c r="AH1631" s="182" t="n">
        <v>0</v>
      </c>
      <c r="AI1631" s="182" t="n">
        <v>0</v>
      </c>
      <c r="AJ1631" s="182" t="n">
        <v>0</v>
      </c>
      <c r="AK1631" s="182" t="n">
        <v>0</v>
      </c>
      <c r="AL1631" s="182" t="n">
        <v>0</v>
      </c>
      <c r="AM1631" s="182" t="n">
        <v>0.08</v>
      </c>
      <c r="AN1631" s="182" t="n">
        <v>0</v>
      </c>
    </row>
    <row r="1632">
      <c r="A1632" s="155" t="n">
        <v>46089</v>
      </c>
      <c r="B1632" s="156" t="inlineStr">
        <is>
          <t>DS</t>
        </is>
      </c>
      <c r="C1632" s="156" t="inlineStr">
        <is>
          <t>DT-529</t>
        </is>
      </c>
      <c r="D1632" s="156" t="inlineStr">
        <is>
          <t>SKT 105S</t>
        </is>
      </c>
      <c r="E1632" s="156" t="inlineStr">
        <is>
          <t>Hauler</t>
        </is>
      </c>
      <c r="F1632" s="156" t="inlineStr">
        <is>
          <t>Hauling Material Longsoran</t>
        </is>
      </c>
      <c r="G1632" s="182" t="n">
        <v>7.3</v>
      </c>
      <c r="H1632" s="182" t="n">
        <v>0</v>
      </c>
      <c r="I1632" s="182" t="n">
        <v>4.08</v>
      </c>
      <c r="J1632" s="182" t="n">
        <v>4.08</v>
      </c>
      <c r="K1632" s="182" t="n">
        <v>0.62</v>
      </c>
      <c r="L1632" s="182" t="n">
        <v>12</v>
      </c>
      <c r="M1632" s="182" t="n">
        <v>7.3</v>
      </c>
      <c r="N1632" s="182" t="n">
        <v>0</v>
      </c>
      <c r="O1632" s="183" t="n">
        <v>24</v>
      </c>
      <c r="P1632" s="183" t="n">
        <v>0</v>
      </c>
      <c r="Q1632" s="184" t="n">
        <v>244.8</v>
      </c>
      <c r="R1632" s="184" t="n">
        <v>0</v>
      </c>
      <c r="S1632" s="183" t="n">
        <v>0</v>
      </c>
      <c r="T1632" s="183" t="n">
        <v>0</v>
      </c>
      <c r="U1632" s="182" t="n">
        <v>0</v>
      </c>
      <c r="V1632" s="182" t="n">
        <v>0</v>
      </c>
      <c r="W1632" s="182" t="n">
        <v>0</v>
      </c>
      <c r="X1632" s="182" t="n">
        <v>0.55</v>
      </c>
      <c r="Y1632" s="182" t="n">
        <v>0</v>
      </c>
      <c r="Z1632" s="182" t="n">
        <v>0</v>
      </c>
      <c r="AA1632" s="182" t="n">
        <v>0</v>
      </c>
      <c r="AB1632" s="182" t="n">
        <v>0</v>
      </c>
      <c r="AC1632" s="182" t="n">
        <v>0</v>
      </c>
      <c r="AD1632" s="182" t="n">
        <v>0</v>
      </c>
      <c r="AE1632" s="182" t="n">
        <v>0</v>
      </c>
      <c r="AF1632" s="182" t="n">
        <v>0</v>
      </c>
      <c r="AG1632" s="182" t="n">
        <v>0</v>
      </c>
      <c r="AH1632" s="182" t="n">
        <v>0</v>
      </c>
      <c r="AI1632" s="182" t="n">
        <v>0</v>
      </c>
      <c r="AJ1632" s="182" t="n">
        <v>0</v>
      </c>
      <c r="AK1632" s="182" t="n">
        <v>0</v>
      </c>
      <c r="AL1632" s="182" t="n">
        <v>0</v>
      </c>
      <c r="AM1632" s="182" t="n">
        <v>0.06</v>
      </c>
      <c r="AN1632" s="182" t="n">
        <v>0</v>
      </c>
    </row>
    <row r="1633">
      <c r="A1633" s="155" t="n">
        <v>46089</v>
      </c>
      <c r="B1633" s="156" t="inlineStr">
        <is>
          <t>DS</t>
        </is>
      </c>
      <c r="C1633" s="156" t="inlineStr">
        <is>
          <t>DT-520</t>
        </is>
      </c>
      <c r="D1633" s="156" t="inlineStr">
        <is>
          <t>SKT 105S</t>
        </is>
      </c>
      <c r="E1633" s="156" t="inlineStr">
        <is>
          <t>Hauler</t>
        </is>
      </c>
      <c r="F1633" s="156" t="inlineStr">
        <is>
          <t>Hauling Material Campuran &amp; OB (Blastingan)</t>
        </is>
      </c>
      <c r="G1633" s="182" t="n">
        <v>10.21</v>
      </c>
      <c r="H1633" s="182" t="n">
        <v>0</v>
      </c>
      <c r="I1633" s="182" t="n">
        <v>0</v>
      </c>
      <c r="J1633" s="182" t="n">
        <v>0</v>
      </c>
      <c r="K1633" s="182" t="n">
        <v>1.79</v>
      </c>
      <c r="L1633" s="182" t="n">
        <v>12</v>
      </c>
      <c r="M1633" s="182" t="n">
        <v>10.21</v>
      </c>
      <c r="N1633" s="182" t="n">
        <v>0</v>
      </c>
      <c r="O1633" s="183" t="n">
        <v>33</v>
      </c>
      <c r="P1633" s="183" t="n">
        <v>0</v>
      </c>
      <c r="Q1633" s="184" t="n">
        <v>431.3</v>
      </c>
      <c r="R1633" s="184" t="n">
        <v>0</v>
      </c>
      <c r="S1633" s="183" t="n">
        <v>0</v>
      </c>
      <c r="T1633" s="183" t="n">
        <v>0</v>
      </c>
      <c r="U1633" s="182" t="n">
        <v>0</v>
      </c>
      <c r="V1633" s="182" t="n">
        <v>0</v>
      </c>
      <c r="W1633" s="182" t="n">
        <v>0</v>
      </c>
      <c r="X1633" s="182" t="n">
        <v>1.12</v>
      </c>
      <c r="Y1633" s="182" t="n">
        <v>0</v>
      </c>
      <c r="Z1633" s="182" t="n">
        <v>0</v>
      </c>
      <c r="AA1633" s="182" t="n">
        <v>0</v>
      </c>
      <c r="AB1633" s="182" t="n">
        <v>0</v>
      </c>
      <c r="AC1633" s="182" t="n">
        <v>0</v>
      </c>
      <c r="AD1633" s="182" t="n">
        <v>0</v>
      </c>
      <c r="AE1633" s="182" t="n">
        <v>0</v>
      </c>
      <c r="AF1633" s="182" t="n">
        <v>0</v>
      </c>
      <c r="AG1633" s="182" t="n">
        <v>0</v>
      </c>
      <c r="AH1633" s="182" t="n">
        <v>0.58</v>
      </c>
      <c r="AI1633" s="182" t="n">
        <v>0</v>
      </c>
      <c r="AJ1633" s="182" t="n">
        <v>0</v>
      </c>
      <c r="AK1633" s="182" t="n">
        <v>0</v>
      </c>
      <c r="AL1633" s="182" t="n">
        <v>0</v>
      </c>
      <c r="AM1633" s="182" t="n">
        <v>0.09</v>
      </c>
      <c r="AN1633" s="182" t="n">
        <v>0</v>
      </c>
    </row>
    <row r="1634">
      <c r="A1634" s="155" t="n">
        <v>46089</v>
      </c>
      <c r="B1634" s="156" t="inlineStr">
        <is>
          <t>DS</t>
        </is>
      </c>
      <c r="C1634" s="156" t="inlineStr">
        <is>
          <t>DT-511</t>
        </is>
      </c>
      <c r="D1634" s="156" t="inlineStr">
        <is>
          <t>SKT 105S</t>
        </is>
      </c>
      <c r="E1634" s="156" t="inlineStr">
        <is>
          <t>Hauler</t>
        </is>
      </c>
      <c r="F1634" s="156" t="inlineStr">
        <is>
          <t>Hauling Material Longsoran, Material Campuran (OB&amp; Spoil), Coal</t>
        </is>
      </c>
      <c r="G1634" s="182" t="n">
        <v>10.27</v>
      </c>
      <c r="H1634" s="182" t="n">
        <v>0</v>
      </c>
      <c r="I1634" s="182" t="n">
        <v>0</v>
      </c>
      <c r="J1634" s="182" t="n">
        <v>0</v>
      </c>
      <c r="K1634" s="182" t="n">
        <v>1.73</v>
      </c>
      <c r="L1634" s="182" t="n">
        <v>12</v>
      </c>
      <c r="M1634" s="182" t="n">
        <v>8.279999999999999</v>
      </c>
      <c r="N1634" s="182" t="n">
        <v>1.99</v>
      </c>
      <c r="O1634" s="183" t="n">
        <v>26</v>
      </c>
      <c r="P1634" s="183" t="n">
        <v>6</v>
      </c>
      <c r="Q1634" s="184" t="n">
        <v>318.2</v>
      </c>
      <c r="R1634" s="184" t="n">
        <v>112.2</v>
      </c>
      <c r="S1634" s="183" t="n">
        <v>0</v>
      </c>
      <c r="T1634" s="183" t="n">
        <v>0</v>
      </c>
      <c r="U1634" s="182" t="n">
        <v>0</v>
      </c>
      <c r="V1634" s="182" t="n">
        <v>0</v>
      </c>
      <c r="W1634" s="182" t="n">
        <v>0</v>
      </c>
      <c r="X1634" s="182" t="n">
        <v>1.02</v>
      </c>
      <c r="Y1634" s="182" t="n">
        <v>0</v>
      </c>
      <c r="Z1634" s="182" t="n">
        <v>0</v>
      </c>
      <c r="AA1634" s="182" t="n">
        <v>0</v>
      </c>
      <c r="AB1634" s="182" t="n">
        <v>0</v>
      </c>
      <c r="AC1634" s="182" t="n">
        <v>0</v>
      </c>
      <c r="AD1634" s="182" t="n">
        <v>0</v>
      </c>
      <c r="AE1634" s="182" t="n">
        <v>0</v>
      </c>
      <c r="AF1634" s="182" t="n">
        <v>0</v>
      </c>
      <c r="AG1634" s="182" t="n">
        <v>0</v>
      </c>
      <c r="AH1634" s="182" t="n">
        <v>0.63</v>
      </c>
      <c r="AI1634" s="182" t="n">
        <v>0</v>
      </c>
      <c r="AJ1634" s="182" t="n">
        <v>0</v>
      </c>
      <c r="AK1634" s="182" t="n">
        <v>0</v>
      </c>
      <c r="AL1634" s="182" t="n">
        <v>0</v>
      </c>
      <c r="AM1634" s="182" t="n">
        <v>0.08</v>
      </c>
      <c r="AN1634" s="182" t="n">
        <v>0</v>
      </c>
    </row>
    <row r="1635">
      <c r="A1635" s="155" t="n">
        <v>46089</v>
      </c>
      <c r="B1635" s="156" t="inlineStr">
        <is>
          <t>DS</t>
        </is>
      </c>
      <c r="C1635" s="156" t="inlineStr">
        <is>
          <t>DT-509</t>
        </is>
      </c>
      <c r="D1635" s="156" t="inlineStr">
        <is>
          <t>SKT 105S</t>
        </is>
      </c>
      <c r="E1635" s="156" t="inlineStr">
        <is>
          <t>Hauler</t>
        </is>
      </c>
      <c r="F1635" s="156" t="inlineStr">
        <is>
          <t>Hauling Material Longsoran</t>
        </is>
      </c>
      <c r="G1635" s="182" t="n">
        <v>5.8</v>
      </c>
      <c r="H1635" s="182" t="n">
        <v>0</v>
      </c>
      <c r="I1635" s="182" t="n">
        <v>6.2</v>
      </c>
      <c r="J1635" s="182" t="n">
        <v>6.2</v>
      </c>
      <c r="K1635" s="182" t="n">
        <v>0</v>
      </c>
      <c r="L1635" s="182" t="n">
        <v>12</v>
      </c>
      <c r="M1635" s="182" t="n">
        <v>5.8</v>
      </c>
      <c r="N1635" s="182" t="n">
        <v>0</v>
      </c>
      <c r="O1635" s="183" t="n">
        <v>10</v>
      </c>
      <c r="P1635" s="183" t="n">
        <v>0</v>
      </c>
      <c r="Q1635" s="184" t="n">
        <v>102</v>
      </c>
      <c r="R1635" s="184" t="n">
        <v>0</v>
      </c>
      <c r="S1635" s="183" t="n">
        <v>0</v>
      </c>
      <c r="T1635" s="183" t="n">
        <v>0</v>
      </c>
      <c r="U1635" s="182" t="n">
        <v>0</v>
      </c>
      <c r="V1635" s="182" t="n">
        <v>0</v>
      </c>
      <c r="W1635" s="182" t="n">
        <v>0</v>
      </c>
      <c r="X1635" s="182" t="n">
        <v>0</v>
      </c>
      <c r="Y1635" s="182" t="n">
        <v>0</v>
      </c>
      <c r="Z1635" s="182" t="n">
        <v>0</v>
      </c>
      <c r="AA1635" s="182" t="n">
        <v>0</v>
      </c>
      <c r="AB1635" s="182" t="n">
        <v>0</v>
      </c>
      <c r="AC1635" s="182" t="n">
        <v>0</v>
      </c>
      <c r="AD1635" s="182" t="n">
        <v>0</v>
      </c>
      <c r="AE1635" s="182" t="n">
        <v>0</v>
      </c>
      <c r="AF1635" s="182" t="n">
        <v>0</v>
      </c>
      <c r="AG1635" s="182" t="n">
        <v>0</v>
      </c>
      <c r="AH1635" s="182" t="n">
        <v>0</v>
      </c>
      <c r="AI1635" s="182" t="n">
        <v>0</v>
      </c>
      <c r="AJ1635" s="182" t="n">
        <v>0</v>
      </c>
      <c r="AK1635" s="182" t="n">
        <v>0</v>
      </c>
      <c r="AL1635" s="182" t="n">
        <v>0</v>
      </c>
      <c r="AM1635" s="182" t="n">
        <v>0</v>
      </c>
      <c r="AN1635" s="182" t="n">
        <v>0</v>
      </c>
    </row>
    <row r="1636">
      <c r="A1636" s="155" t="n">
        <v>46089</v>
      </c>
      <c r="B1636" s="156" t="inlineStr">
        <is>
          <t>DS</t>
        </is>
      </c>
      <c r="C1636" s="156" t="inlineStr">
        <is>
          <t>DT-526</t>
        </is>
      </c>
      <c r="D1636" s="156" t="inlineStr">
        <is>
          <t>SKT 105S</t>
        </is>
      </c>
      <c r="E1636" s="156" t="inlineStr">
        <is>
          <t>Hauler</t>
        </is>
      </c>
      <c r="F1636" s="156" t="inlineStr">
        <is>
          <t>Hauling Material  Campuran (OB &amp; Spoil), Coal</t>
        </is>
      </c>
      <c r="G1636" s="182" t="n">
        <v>1.99</v>
      </c>
      <c r="H1636" s="182" t="n">
        <v>0</v>
      </c>
      <c r="I1636" s="182" t="n">
        <v>9.800000000000001</v>
      </c>
      <c r="J1636" s="182" t="n">
        <v>9.800000000000001</v>
      </c>
      <c r="K1636" s="182" t="n">
        <v>0.21</v>
      </c>
      <c r="L1636" s="182" t="n">
        <v>12</v>
      </c>
      <c r="M1636" s="182" t="n">
        <v>1.26</v>
      </c>
      <c r="N1636" s="182" t="n">
        <v>0.72</v>
      </c>
      <c r="O1636" s="183" t="n">
        <v>7</v>
      </c>
      <c r="P1636" s="183" t="n">
        <v>2</v>
      </c>
      <c r="Q1636" s="184" t="n">
        <v>95.2</v>
      </c>
      <c r="R1636" s="184" t="n">
        <v>37.4</v>
      </c>
      <c r="S1636" s="183" t="n">
        <v>0</v>
      </c>
      <c r="T1636" s="183" t="n">
        <v>0</v>
      </c>
      <c r="U1636" s="182" t="n">
        <v>0</v>
      </c>
      <c r="V1636" s="182" t="n">
        <v>0</v>
      </c>
      <c r="W1636" s="182" t="n">
        <v>0</v>
      </c>
      <c r="X1636" s="182" t="n">
        <v>0</v>
      </c>
      <c r="Y1636" s="182" t="n">
        <v>0</v>
      </c>
      <c r="Z1636" s="182" t="n">
        <v>0</v>
      </c>
      <c r="AA1636" s="182" t="n">
        <v>0</v>
      </c>
      <c r="AB1636" s="182" t="n">
        <v>0</v>
      </c>
      <c r="AC1636" s="182" t="n">
        <v>0</v>
      </c>
      <c r="AD1636" s="182" t="n">
        <v>0</v>
      </c>
      <c r="AE1636" s="182" t="n">
        <v>0</v>
      </c>
      <c r="AF1636" s="182" t="n">
        <v>0</v>
      </c>
      <c r="AG1636" s="182" t="n">
        <v>0</v>
      </c>
      <c r="AH1636" s="182" t="n">
        <v>0</v>
      </c>
      <c r="AI1636" s="182" t="n">
        <v>0</v>
      </c>
      <c r="AJ1636" s="182" t="n">
        <v>0</v>
      </c>
      <c r="AK1636" s="182" t="n">
        <v>0</v>
      </c>
      <c r="AL1636" s="182" t="n">
        <v>0</v>
      </c>
      <c r="AM1636" s="182" t="n">
        <v>0</v>
      </c>
      <c r="AN1636" s="182" t="n">
        <v>0</v>
      </c>
    </row>
    <row r="1637">
      <c r="A1637" s="155" t="n">
        <v>46089</v>
      </c>
      <c r="B1637" s="156" t="inlineStr">
        <is>
          <t>DS</t>
        </is>
      </c>
      <c r="C1637" s="156" t="inlineStr">
        <is>
          <t>DT-508</t>
        </is>
      </c>
      <c r="D1637" s="156" t="inlineStr">
        <is>
          <t>SKT 105S</t>
        </is>
      </c>
      <c r="E1637" s="156" t="inlineStr">
        <is>
          <t>Hauler</t>
        </is>
      </c>
      <c r="F1637" s="156" t="inlineStr">
        <is>
          <t>Hauling Material Longsoran, Material Campuran (OB&amp; Spoil)</t>
        </is>
      </c>
      <c r="G1637" s="182" t="n">
        <v>10.49</v>
      </c>
      <c r="H1637" s="182" t="n">
        <v>0</v>
      </c>
      <c r="I1637" s="182" t="n">
        <v>0</v>
      </c>
      <c r="J1637" s="182" t="n">
        <v>0</v>
      </c>
      <c r="K1637" s="182" t="n">
        <v>1.51</v>
      </c>
      <c r="L1637" s="182" t="n">
        <v>12</v>
      </c>
      <c r="M1637" s="182" t="n">
        <v>10.49</v>
      </c>
      <c r="N1637" s="182" t="n">
        <v>0</v>
      </c>
      <c r="O1637" s="183" t="n">
        <v>44</v>
      </c>
      <c r="P1637" s="183" t="n">
        <v>0</v>
      </c>
      <c r="Q1637" s="184" t="n">
        <v>448.8</v>
      </c>
      <c r="R1637" s="184" t="n">
        <v>0</v>
      </c>
      <c r="S1637" s="183" t="n">
        <v>0</v>
      </c>
      <c r="T1637" s="183" t="n">
        <v>0</v>
      </c>
      <c r="U1637" s="182" t="n">
        <v>0</v>
      </c>
      <c r="V1637" s="182" t="n">
        <v>0</v>
      </c>
      <c r="W1637" s="182" t="n">
        <v>0</v>
      </c>
      <c r="X1637" s="182" t="n">
        <v>1.16</v>
      </c>
      <c r="Y1637" s="182" t="n">
        <v>0</v>
      </c>
      <c r="Z1637" s="182" t="n">
        <v>0</v>
      </c>
      <c r="AA1637" s="182" t="n">
        <v>0</v>
      </c>
      <c r="AB1637" s="182" t="n">
        <v>0</v>
      </c>
      <c r="AC1637" s="182" t="n">
        <v>0</v>
      </c>
      <c r="AD1637" s="182" t="n">
        <v>0</v>
      </c>
      <c r="AE1637" s="182" t="n">
        <v>0</v>
      </c>
      <c r="AF1637" s="182" t="n">
        <v>0</v>
      </c>
      <c r="AG1637" s="182" t="n">
        <v>0</v>
      </c>
      <c r="AH1637" s="182" t="n">
        <v>0.26</v>
      </c>
      <c r="AI1637" s="182" t="n">
        <v>0</v>
      </c>
      <c r="AJ1637" s="182" t="n">
        <v>0</v>
      </c>
      <c r="AK1637" s="182" t="n">
        <v>0</v>
      </c>
      <c r="AL1637" s="182" t="n">
        <v>0</v>
      </c>
      <c r="AM1637" s="182" t="n">
        <v>0.09</v>
      </c>
      <c r="AN1637" s="182" t="n">
        <v>0</v>
      </c>
    </row>
    <row r="1638">
      <c r="A1638" s="155" t="n">
        <v>46089</v>
      </c>
      <c r="B1638" s="156" t="inlineStr">
        <is>
          <t>DS</t>
        </is>
      </c>
      <c r="C1638" s="156" t="inlineStr">
        <is>
          <t>DT-515</t>
        </is>
      </c>
      <c r="D1638" s="156" t="inlineStr">
        <is>
          <t>SKT 105S</t>
        </is>
      </c>
      <c r="E1638" s="156" t="inlineStr">
        <is>
          <t>Hauler</t>
        </is>
      </c>
      <c r="F1638" s="156" t="inlineStr">
        <is>
          <t>Hauling Parting &amp; Coal</t>
        </is>
      </c>
      <c r="G1638" s="182" t="n">
        <v>9.279999999999999</v>
      </c>
      <c r="H1638" s="182" t="n">
        <v>0</v>
      </c>
      <c r="I1638" s="182" t="n">
        <v>0</v>
      </c>
      <c r="J1638" s="182" t="n">
        <v>0</v>
      </c>
      <c r="K1638" s="182" t="n">
        <v>2.72</v>
      </c>
      <c r="L1638" s="182" t="n">
        <v>12</v>
      </c>
      <c r="M1638" s="182" t="n">
        <v>2.04</v>
      </c>
      <c r="N1638" s="182" t="n">
        <v>7.24</v>
      </c>
      <c r="O1638" s="183" t="n">
        <v>6</v>
      </c>
      <c r="P1638" s="183" t="n">
        <v>20</v>
      </c>
      <c r="Q1638" s="184" t="n">
        <v>122.4</v>
      </c>
      <c r="R1638" s="184" t="n">
        <v>374</v>
      </c>
      <c r="S1638" s="183" t="n">
        <v>0</v>
      </c>
      <c r="T1638" s="183" t="n">
        <v>0</v>
      </c>
      <c r="U1638" s="182" t="n">
        <v>0</v>
      </c>
      <c r="V1638" s="182" t="n">
        <v>0</v>
      </c>
      <c r="W1638" s="182" t="n">
        <v>0</v>
      </c>
      <c r="X1638" s="182" t="n">
        <v>0.9399999999999999</v>
      </c>
      <c r="Y1638" s="182" t="n">
        <v>0</v>
      </c>
      <c r="Z1638" s="182" t="n">
        <v>0</v>
      </c>
      <c r="AA1638" s="182" t="n">
        <v>0</v>
      </c>
      <c r="AB1638" s="182" t="n">
        <v>0</v>
      </c>
      <c r="AC1638" s="182" t="n">
        <v>0</v>
      </c>
      <c r="AD1638" s="182" t="n">
        <v>0</v>
      </c>
      <c r="AE1638" s="182" t="n">
        <v>0</v>
      </c>
      <c r="AF1638" s="182" t="n">
        <v>0</v>
      </c>
      <c r="AG1638" s="182" t="n">
        <v>0.84</v>
      </c>
      <c r="AH1638" s="182" t="n">
        <v>0.86</v>
      </c>
      <c r="AI1638" s="182" t="n">
        <v>0</v>
      </c>
      <c r="AJ1638" s="182" t="n">
        <v>0</v>
      </c>
      <c r="AK1638" s="182" t="n">
        <v>0</v>
      </c>
      <c r="AL1638" s="182" t="n">
        <v>0</v>
      </c>
      <c r="AM1638" s="182" t="n">
        <v>0.08</v>
      </c>
      <c r="AN1638" s="182" t="n">
        <v>0</v>
      </c>
    </row>
    <row r="1639">
      <c r="A1639" s="155" t="n">
        <v>46089</v>
      </c>
      <c r="B1639" s="156" t="inlineStr">
        <is>
          <t>DS</t>
        </is>
      </c>
      <c r="C1639" s="156" t="inlineStr">
        <is>
          <t>DT-524</t>
        </is>
      </c>
      <c r="D1639" s="156" t="inlineStr">
        <is>
          <t>SKT 105S</t>
        </is>
      </c>
      <c r="E1639" s="156" t="inlineStr">
        <is>
          <t>Hauler</t>
        </is>
      </c>
      <c r="F1639" s="156" t="inlineStr">
        <is>
          <t>Hauling Material Longsoran, Material Campuran (OB&amp; Spoil)</t>
        </is>
      </c>
      <c r="G1639" s="182" t="n">
        <v>9.99</v>
      </c>
      <c r="H1639" s="182" t="n">
        <v>0</v>
      </c>
      <c r="I1639" s="182" t="n">
        <v>0</v>
      </c>
      <c r="J1639" s="182" t="n">
        <v>0</v>
      </c>
      <c r="K1639" s="182" t="n">
        <v>2.01</v>
      </c>
      <c r="L1639" s="182" t="n">
        <v>12</v>
      </c>
      <c r="M1639" s="182" t="n">
        <v>9.99</v>
      </c>
      <c r="N1639" s="182" t="n">
        <v>0</v>
      </c>
      <c r="O1639" s="183" t="n">
        <v>46</v>
      </c>
      <c r="P1639" s="183" t="n">
        <v>0</v>
      </c>
      <c r="Q1639" s="184" t="n">
        <v>469.2</v>
      </c>
      <c r="R1639" s="184" t="n">
        <v>0</v>
      </c>
      <c r="S1639" s="183" t="n">
        <v>0</v>
      </c>
      <c r="T1639" s="183" t="n">
        <v>0</v>
      </c>
      <c r="U1639" s="182" t="n">
        <v>0</v>
      </c>
      <c r="V1639" s="182" t="n">
        <v>0</v>
      </c>
      <c r="W1639" s="182" t="n">
        <v>0</v>
      </c>
      <c r="X1639" s="182" t="n">
        <v>0.96</v>
      </c>
      <c r="Y1639" s="182" t="n">
        <v>0</v>
      </c>
      <c r="Z1639" s="182" t="n">
        <v>0</v>
      </c>
      <c r="AA1639" s="182" t="n">
        <v>0</v>
      </c>
      <c r="AB1639" s="182" t="n">
        <v>0</v>
      </c>
      <c r="AC1639" s="182" t="n">
        <v>0</v>
      </c>
      <c r="AD1639" s="182" t="n">
        <v>0</v>
      </c>
      <c r="AE1639" s="182" t="n">
        <v>0</v>
      </c>
      <c r="AF1639" s="182" t="n">
        <v>0</v>
      </c>
      <c r="AG1639" s="182" t="n">
        <v>0.57</v>
      </c>
      <c r="AH1639" s="182" t="n">
        <v>0.4</v>
      </c>
      <c r="AI1639" s="182" t="n">
        <v>0</v>
      </c>
      <c r="AJ1639" s="182" t="n">
        <v>0</v>
      </c>
      <c r="AK1639" s="182" t="n">
        <v>0</v>
      </c>
      <c r="AL1639" s="182" t="n">
        <v>0</v>
      </c>
      <c r="AM1639" s="182" t="n">
        <v>0.08</v>
      </c>
      <c r="AN1639" s="182" t="n">
        <v>0</v>
      </c>
    </row>
    <row r="1640">
      <c r="A1640" s="155" t="n">
        <v>46089</v>
      </c>
      <c r="B1640" s="156" t="inlineStr">
        <is>
          <t>DS</t>
        </is>
      </c>
      <c r="C1640" s="156" t="inlineStr">
        <is>
          <t>DT-341</t>
        </is>
      </c>
      <c r="D1640" s="156" t="inlineStr">
        <is>
          <t>SYZ324C-8W</t>
        </is>
      </c>
      <c r="E1640" s="156" t="inlineStr">
        <is>
          <t>Hauler</t>
        </is>
      </c>
      <c r="F1640" s="156" t="inlineStr">
        <is>
          <t>Rehandling Material di Washing Plant</t>
        </is>
      </c>
      <c r="G1640" s="182" t="n">
        <v>5.37</v>
      </c>
      <c r="H1640" s="182" t="n">
        <v>5.3</v>
      </c>
      <c r="I1640" s="182" t="n">
        <v>0</v>
      </c>
      <c r="J1640" s="182" t="n">
        <v>5.3</v>
      </c>
      <c r="K1640" s="182" t="n">
        <v>1.33</v>
      </c>
      <c r="L1640" s="182" t="n">
        <v>12</v>
      </c>
      <c r="M1640" s="182" t="n">
        <v>0</v>
      </c>
      <c r="N1640" s="182" t="n">
        <v>0</v>
      </c>
      <c r="O1640" s="183" t="n">
        <v>0</v>
      </c>
      <c r="P1640" s="183" t="n">
        <v>0</v>
      </c>
      <c r="Q1640" s="184" t="n">
        <v>0</v>
      </c>
      <c r="R1640" s="184" t="n">
        <v>0</v>
      </c>
      <c r="S1640" s="183" t="n">
        <v>0</v>
      </c>
      <c r="T1640" s="183" t="n">
        <v>0</v>
      </c>
      <c r="U1640" s="182" t="n">
        <v>0</v>
      </c>
      <c r="V1640" s="182" t="n">
        <v>0</v>
      </c>
      <c r="W1640" s="182" t="n">
        <v>0</v>
      </c>
      <c r="X1640" s="182" t="n">
        <v>0.89</v>
      </c>
      <c r="Y1640" s="182" t="n">
        <v>0</v>
      </c>
      <c r="Z1640" s="182" t="n">
        <v>0</v>
      </c>
      <c r="AA1640" s="182" t="n">
        <v>0</v>
      </c>
      <c r="AB1640" s="182" t="n">
        <v>0</v>
      </c>
      <c r="AC1640" s="182" t="n">
        <v>0</v>
      </c>
      <c r="AD1640" s="182" t="n">
        <v>0</v>
      </c>
      <c r="AE1640" s="182" t="n">
        <v>0</v>
      </c>
      <c r="AF1640" s="182" t="n">
        <v>0</v>
      </c>
      <c r="AG1640" s="182" t="n">
        <v>0</v>
      </c>
      <c r="AH1640" s="182" t="n">
        <v>0</v>
      </c>
      <c r="AI1640" s="182" t="n">
        <v>0</v>
      </c>
      <c r="AJ1640" s="182" t="n">
        <v>0</v>
      </c>
      <c r="AK1640" s="182" t="n">
        <v>0.37</v>
      </c>
      <c r="AL1640" s="182" t="n">
        <v>0</v>
      </c>
      <c r="AM1640" s="182" t="n">
        <v>0.07000000000000001</v>
      </c>
      <c r="AN1640" s="182" t="n">
        <v>0</v>
      </c>
    </row>
    <row r="1641">
      <c r="A1641" s="155" t="n">
        <v>46089</v>
      </c>
      <c r="B1641" s="156" t="inlineStr">
        <is>
          <t>DS</t>
        </is>
      </c>
      <c r="C1641" s="156" t="inlineStr">
        <is>
          <t>DT-342</t>
        </is>
      </c>
      <c r="D1641" s="156" t="inlineStr">
        <is>
          <t>SYZ324C-8W</t>
        </is>
      </c>
      <c r="E1641" s="156" t="inlineStr">
        <is>
          <t>Hauler</t>
        </is>
      </c>
      <c r="F1641" s="156" t="inlineStr">
        <is>
          <t>Rehandling Material di Washing Plant</t>
        </is>
      </c>
      <c r="G1641" s="182" t="n">
        <v>5.24</v>
      </c>
      <c r="H1641" s="182" t="n">
        <v>0</v>
      </c>
      <c r="I1641" s="182" t="n">
        <v>0</v>
      </c>
      <c r="J1641" s="182" t="n">
        <v>0</v>
      </c>
      <c r="K1641" s="182" t="n">
        <v>6.76</v>
      </c>
      <c r="L1641" s="182" t="n">
        <v>12</v>
      </c>
      <c r="M1641" s="182" t="n">
        <v>0</v>
      </c>
      <c r="N1641" s="182" t="n">
        <v>0</v>
      </c>
      <c r="O1641" s="183" t="n">
        <v>0</v>
      </c>
      <c r="P1641" s="183" t="n">
        <v>0</v>
      </c>
      <c r="Q1641" s="184" t="n">
        <v>0</v>
      </c>
      <c r="R1641" s="184" t="n">
        <v>0</v>
      </c>
      <c r="S1641" s="183" t="n">
        <v>0</v>
      </c>
      <c r="T1641" s="183" t="n">
        <v>0</v>
      </c>
      <c r="U1641" s="182" t="n">
        <v>0</v>
      </c>
      <c r="V1641" s="182" t="n">
        <v>0</v>
      </c>
      <c r="W1641" s="182" t="n">
        <v>0</v>
      </c>
      <c r="X1641" s="182" t="n">
        <v>0.99</v>
      </c>
      <c r="Y1641" s="182" t="n">
        <v>0</v>
      </c>
      <c r="Z1641" s="182" t="n">
        <v>0</v>
      </c>
      <c r="AA1641" s="182" t="n">
        <v>0</v>
      </c>
      <c r="AB1641" s="182" t="n">
        <v>0</v>
      </c>
      <c r="AC1641" s="182" t="n">
        <v>0</v>
      </c>
      <c r="AD1641" s="182" t="n">
        <v>0</v>
      </c>
      <c r="AE1641" s="182" t="n">
        <v>0</v>
      </c>
      <c r="AF1641" s="182" t="n">
        <v>0</v>
      </c>
      <c r="AG1641" s="182" t="n">
        <v>0</v>
      </c>
      <c r="AH1641" s="182" t="n">
        <v>0</v>
      </c>
      <c r="AI1641" s="182" t="n">
        <v>0</v>
      </c>
      <c r="AJ1641" s="182" t="n">
        <v>0</v>
      </c>
      <c r="AK1641" s="182" t="n">
        <v>5.69</v>
      </c>
      <c r="AL1641" s="182" t="n">
        <v>0</v>
      </c>
      <c r="AM1641" s="182" t="n">
        <v>0.08</v>
      </c>
      <c r="AN1641" s="182" t="n">
        <v>0</v>
      </c>
    </row>
    <row r="1642">
      <c r="A1642" s="155" t="n">
        <v>46089</v>
      </c>
      <c r="B1642" s="156" t="inlineStr">
        <is>
          <t>DS</t>
        </is>
      </c>
      <c r="C1642" s="156" t="inlineStr">
        <is>
          <t>HD-903</t>
        </is>
      </c>
      <c r="D1642" s="156" t="inlineStr">
        <is>
          <t>SRT 95C</t>
        </is>
      </c>
      <c r="E1642" s="156" t="inlineStr">
        <is>
          <t>Hauler</t>
        </is>
      </c>
      <c r="F1642" s="156" t="inlineStr"/>
      <c r="G1642" s="182" t="n">
        <v>0</v>
      </c>
      <c r="H1642" s="182" t="n">
        <v>0</v>
      </c>
      <c r="I1642" s="182" t="n">
        <v>12</v>
      </c>
      <c r="J1642" s="182" t="n">
        <v>12</v>
      </c>
      <c r="K1642" s="182" t="n">
        <v>0</v>
      </c>
      <c r="L1642" s="182" t="n">
        <v>12</v>
      </c>
      <c r="M1642" s="182" t="n">
        <v>0</v>
      </c>
      <c r="N1642" s="182" t="n">
        <v>0</v>
      </c>
      <c r="O1642" s="183" t="n">
        <v>0</v>
      </c>
      <c r="P1642" s="183" t="n">
        <v>0</v>
      </c>
      <c r="Q1642" s="184" t="n">
        <v>0</v>
      </c>
      <c r="R1642" s="184" t="n">
        <v>0</v>
      </c>
      <c r="S1642" s="183" t="n">
        <v>0</v>
      </c>
      <c r="T1642" s="183" t="n">
        <v>0</v>
      </c>
      <c r="U1642" s="182" t="n">
        <v>0</v>
      </c>
      <c r="V1642" s="182" t="n">
        <v>0</v>
      </c>
      <c r="W1642" s="182" t="n">
        <v>0</v>
      </c>
      <c r="X1642" s="182" t="n">
        <v>0</v>
      </c>
      <c r="Y1642" s="182" t="n">
        <v>0</v>
      </c>
      <c r="Z1642" s="182" t="n">
        <v>0</v>
      </c>
      <c r="AA1642" s="182" t="n">
        <v>0</v>
      </c>
      <c r="AB1642" s="182" t="n">
        <v>0</v>
      </c>
      <c r="AC1642" s="182" t="n">
        <v>0</v>
      </c>
      <c r="AD1642" s="182" t="n">
        <v>0</v>
      </c>
      <c r="AE1642" s="182" t="n">
        <v>0</v>
      </c>
      <c r="AF1642" s="182" t="n">
        <v>0</v>
      </c>
      <c r="AG1642" s="182" t="n">
        <v>0</v>
      </c>
      <c r="AH1642" s="182" t="n">
        <v>0</v>
      </c>
      <c r="AI1642" s="182" t="n">
        <v>0</v>
      </c>
      <c r="AJ1642" s="182" t="n">
        <v>0</v>
      </c>
      <c r="AK1642" s="182" t="n">
        <v>0</v>
      </c>
      <c r="AL1642" s="182" t="n">
        <v>0</v>
      </c>
      <c r="AM1642" s="182" t="n">
        <v>0</v>
      </c>
      <c r="AN1642" s="182" t="n">
        <v>0</v>
      </c>
    </row>
    <row r="1643">
      <c r="A1643" s="155" t="n">
        <v>46089</v>
      </c>
      <c r="B1643" s="156" t="inlineStr">
        <is>
          <t>DS</t>
        </is>
      </c>
      <c r="C1643" s="156" t="inlineStr">
        <is>
          <t>HD-905</t>
        </is>
      </c>
      <c r="D1643" s="156" t="inlineStr">
        <is>
          <t>SRT 95C</t>
        </is>
      </c>
      <c r="E1643" s="156" t="inlineStr">
        <is>
          <t>Hauler</t>
        </is>
      </c>
      <c r="F1643" s="156" t="inlineStr">
        <is>
          <t>Hauling Material  Campuran (OB &amp; Spoil)</t>
        </is>
      </c>
      <c r="G1643" s="182" t="n">
        <v>4.77</v>
      </c>
      <c r="H1643" s="182" t="n">
        <v>0</v>
      </c>
      <c r="I1643" s="182" t="n">
        <v>0</v>
      </c>
      <c r="J1643" s="182" t="n">
        <v>0</v>
      </c>
      <c r="K1643" s="182" t="n">
        <v>7.23</v>
      </c>
      <c r="L1643" s="182" t="n">
        <v>12</v>
      </c>
      <c r="M1643" s="182" t="n">
        <v>4.77</v>
      </c>
      <c r="N1643" s="182" t="n">
        <v>0</v>
      </c>
      <c r="O1643" s="183" t="n">
        <v>19</v>
      </c>
      <c r="P1643" s="183" t="n">
        <v>0</v>
      </c>
      <c r="Q1643" s="184" t="n">
        <v>339.1</v>
      </c>
      <c r="R1643" s="184" t="n">
        <v>0</v>
      </c>
      <c r="S1643" s="183" t="n">
        <v>0</v>
      </c>
      <c r="T1643" s="183" t="n">
        <v>0</v>
      </c>
      <c r="U1643" s="182" t="n">
        <v>0</v>
      </c>
      <c r="V1643" s="182" t="n">
        <v>0</v>
      </c>
      <c r="W1643" s="182" t="n">
        <v>0</v>
      </c>
      <c r="X1643" s="182" t="n">
        <v>1.02</v>
      </c>
      <c r="Y1643" s="182" t="n">
        <v>0</v>
      </c>
      <c r="Z1643" s="182" t="n">
        <v>0</v>
      </c>
      <c r="AA1643" s="182" t="n">
        <v>0</v>
      </c>
      <c r="AB1643" s="182" t="n">
        <v>0</v>
      </c>
      <c r="AC1643" s="182" t="n">
        <v>0</v>
      </c>
      <c r="AD1643" s="182" t="n">
        <v>0</v>
      </c>
      <c r="AE1643" s="182" t="n">
        <v>0</v>
      </c>
      <c r="AF1643" s="182" t="n">
        <v>0</v>
      </c>
      <c r="AG1643" s="182" t="n">
        <v>0</v>
      </c>
      <c r="AH1643" s="182" t="n">
        <v>0</v>
      </c>
      <c r="AI1643" s="182" t="n">
        <v>6.13</v>
      </c>
      <c r="AJ1643" s="182" t="n">
        <v>0</v>
      </c>
      <c r="AK1643" s="182" t="n">
        <v>0</v>
      </c>
      <c r="AL1643" s="182" t="n">
        <v>0</v>
      </c>
      <c r="AM1643" s="182" t="n">
        <v>0.08</v>
      </c>
      <c r="AN1643" s="182" t="n">
        <v>0</v>
      </c>
    </row>
    <row r="1644">
      <c r="A1644" s="155" t="n">
        <v>46089</v>
      </c>
      <c r="B1644" s="156" t="inlineStr">
        <is>
          <t>DS</t>
        </is>
      </c>
      <c r="C1644" s="156" t="inlineStr">
        <is>
          <t>HD-901</t>
        </is>
      </c>
      <c r="D1644" s="156" t="inlineStr">
        <is>
          <t>SRT 95C</t>
        </is>
      </c>
      <c r="E1644" s="156" t="inlineStr">
        <is>
          <t>Hauler</t>
        </is>
      </c>
      <c r="F1644" s="156" t="inlineStr">
        <is>
          <t>Hauling Material  Campuran (OB &amp; Spoil)</t>
        </is>
      </c>
      <c r="G1644" s="182" t="n">
        <v>9.859999999999999</v>
      </c>
      <c r="H1644" s="182" t="n">
        <v>0</v>
      </c>
      <c r="I1644" s="182" t="n">
        <v>0</v>
      </c>
      <c r="J1644" s="182" t="n">
        <v>0</v>
      </c>
      <c r="K1644" s="182" t="n">
        <v>2.14</v>
      </c>
      <c r="L1644" s="182" t="n">
        <v>12</v>
      </c>
      <c r="M1644" s="182" t="n">
        <v>9.69</v>
      </c>
      <c r="N1644" s="182" t="n">
        <v>0</v>
      </c>
      <c r="O1644" s="183" t="n">
        <v>49</v>
      </c>
      <c r="P1644" s="183" t="n">
        <v>0</v>
      </c>
      <c r="Q1644" s="184" t="n">
        <v>874.6</v>
      </c>
      <c r="R1644" s="184" t="n">
        <v>0</v>
      </c>
      <c r="S1644" s="183" t="n">
        <v>0</v>
      </c>
      <c r="T1644" s="183" t="n">
        <v>0</v>
      </c>
      <c r="U1644" s="182" t="n">
        <v>0</v>
      </c>
      <c r="V1644" s="182" t="n">
        <v>0</v>
      </c>
      <c r="W1644" s="182" t="n">
        <v>0</v>
      </c>
      <c r="X1644" s="182" t="n">
        <v>0.97</v>
      </c>
      <c r="Y1644" s="182" t="n">
        <v>0</v>
      </c>
      <c r="Z1644" s="182" t="n">
        <v>0</v>
      </c>
      <c r="AA1644" s="182" t="n">
        <v>0</v>
      </c>
      <c r="AB1644" s="182" t="n">
        <v>0</v>
      </c>
      <c r="AC1644" s="182" t="n">
        <v>0</v>
      </c>
      <c r="AD1644" s="182" t="n">
        <v>0</v>
      </c>
      <c r="AE1644" s="182" t="n">
        <v>0</v>
      </c>
      <c r="AF1644" s="182" t="n">
        <v>0</v>
      </c>
      <c r="AG1644" s="182" t="n">
        <v>0.58</v>
      </c>
      <c r="AH1644" s="182" t="n">
        <v>0.51</v>
      </c>
      <c r="AI1644" s="182" t="n">
        <v>0</v>
      </c>
      <c r="AJ1644" s="182" t="n">
        <v>0</v>
      </c>
      <c r="AK1644" s="182" t="n">
        <v>0</v>
      </c>
      <c r="AL1644" s="182" t="n">
        <v>0</v>
      </c>
      <c r="AM1644" s="182" t="n">
        <v>0.08</v>
      </c>
      <c r="AN1644" s="182" t="n">
        <v>0</v>
      </c>
    </row>
    <row r="1645">
      <c r="A1645" s="155" t="n">
        <v>46089</v>
      </c>
      <c r="B1645" s="156" t="inlineStr">
        <is>
          <t>DS</t>
        </is>
      </c>
      <c r="C1645" s="156" t="inlineStr">
        <is>
          <t>HD-904</t>
        </is>
      </c>
      <c r="D1645" s="156" t="inlineStr">
        <is>
          <t>SRT 95C</t>
        </is>
      </c>
      <c r="E1645" s="156" t="inlineStr">
        <is>
          <t>Hauler</t>
        </is>
      </c>
      <c r="F1645" s="156" t="inlineStr">
        <is>
          <t>Hauling Material  Campuran (OB &amp; Spoil)</t>
        </is>
      </c>
      <c r="G1645" s="182" t="n">
        <v>4.51</v>
      </c>
      <c r="H1645" s="182" t="n">
        <v>0</v>
      </c>
      <c r="I1645" s="182" t="n">
        <v>0</v>
      </c>
      <c r="J1645" s="182" t="n">
        <v>0</v>
      </c>
      <c r="K1645" s="182" t="n">
        <v>7.49</v>
      </c>
      <c r="L1645" s="182" t="n">
        <v>12</v>
      </c>
      <c r="M1645" s="182" t="n">
        <v>4.51</v>
      </c>
      <c r="N1645" s="182" t="n">
        <v>0</v>
      </c>
      <c r="O1645" s="183" t="n">
        <v>17</v>
      </c>
      <c r="P1645" s="183" t="n">
        <v>0</v>
      </c>
      <c r="Q1645" s="184" t="n">
        <v>303.4</v>
      </c>
      <c r="R1645" s="184" t="n">
        <v>0</v>
      </c>
      <c r="S1645" s="183" t="n">
        <v>0</v>
      </c>
      <c r="T1645" s="183" t="n">
        <v>0</v>
      </c>
      <c r="U1645" s="182" t="n">
        <v>0</v>
      </c>
      <c r="V1645" s="182" t="n">
        <v>0</v>
      </c>
      <c r="W1645" s="182" t="n">
        <v>0</v>
      </c>
      <c r="X1645" s="182" t="n">
        <v>1.03</v>
      </c>
      <c r="Y1645" s="182" t="n">
        <v>0</v>
      </c>
      <c r="Z1645" s="182" t="n">
        <v>0</v>
      </c>
      <c r="AA1645" s="182" t="n">
        <v>0</v>
      </c>
      <c r="AB1645" s="182" t="n">
        <v>0</v>
      </c>
      <c r="AC1645" s="182" t="n">
        <v>0</v>
      </c>
      <c r="AD1645" s="182" t="n">
        <v>0</v>
      </c>
      <c r="AE1645" s="182" t="n">
        <v>0</v>
      </c>
      <c r="AF1645" s="182" t="n">
        <v>0</v>
      </c>
      <c r="AG1645" s="182" t="n">
        <v>0</v>
      </c>
      <c r="AH1645" s="182" t="n">
        <v>0</v>
      </c>
      <c r="AI1645" s="182" t="n">
        <v>6.38</v>
      </c>
      <c r="AJ1645" s="182" t="n">
        <v>0</v>
      </c>
      <c r="AK1645" s="182" t="n">
        <v>0</v>
      </c>
      <c r="AL1645" s="182" t="n">
        <v>0</v>
      </c>
      <c r="AM1645" s="182" t="n">
        <v>0.08</v>
      </c>
      <c r="AN1645" s="182" t="n">
        <v>0</v>
      </c>
    </row>
    <row r="1646">
      <c r="A1646" s="155" t="n">
        <v>46089</v>
      </c>
      <c r="B1646" s="156" t="inlineStr">
        <is>
          <t>DS</t>
        </is>
      </c>
      <c r="C1646" s="156" t="inlineStr">
        <is>
          <t>HD-902</t>
        </is>
      </c>
      <c r="D1646" s="156" t="inlineStr">
        <is>
          <t>SRT 95C</t>
        </is>
      </c>
      <c r="E1646" s="156" t="inlineStr">
        <is>
          <t>Hauler</t>
        </is>
      </c>
      <c r="F1646" s="156" t="inlineStr"/>
      <c r="G1646" s="182" t="n">
        <v>0</v>
      </c>
      <c r="H1646" s="182" t="n">
        <v>12</v>
      </c>
      <c r="I1646" s="182" t="n">
        <v>0</v>
      </c>
      <c r="J1646" s="182" t="n">
        <v>12</v>
      </c>
      <c r="K1646" s="182" t="n">
        <v>0</v>
      </c>
      <c r="L1646" s="182" t="n">
        <v>12</v>
      </c>
      <c r="M1646" s="182" t="n">
        <v>0</v>
      </c>
      <c r="N1646" s="182" t="n">
        <v>0</v>
      </c>
      <c r="O1646" s="183" t="n">
        <v>0</v>
      </c>
      <c r="P1646" s="183" t="n">
        <v>0</v>
      </c>
      <c r="Q1646" s="184" t="n">
        <v>0</v>
      </c>
      <c r="R1646" s="184" t="n">
        <v>0</v>
      </c>
      <c r="S1646" s="183" t="n">
        <v>0</v>
      </c>
      <c r="T1646" s="183" t="n">
        <v>0</v>
      </c>
      <c r="U1646" s="182" t="n">
        <v>0</v>
      </c>
      <c r="V1646" s="182" t="n">
        <v>0</v>
      </c>
      <c r="W1646" s="182" t="n">
        <v>0</v>
      </c>
      <c r="X1646" s="182" t="n">
        <v>0</v>
      </c>
      <c r="Y1646" s="182" t="n">
        <v>0</v>
      </c>
      <c r="Z1646" s="182" t="n">
        <v>0</v>
      </c>
      <c r="AA1646" s="182" t="n">
        <v>0</v>
      </c>
      <c r="AB1646" s="182" t="n">
        <v>0</v>
      </c>
      <c r="AC1646" s="182" t="n">
        <v>0</v>
      </c>
      <c r="AD1646" s="182" t="n">
        <v>0</v>
      </c>
      <c r="AE1646" s="182" t="n">
        <v>0</v>
      </c>
      <c r="AF1646" s="182" t="n">
        <v>0</v>
      </c>
      <c r="AG1646" s="182" t="n">
        <v>0</v>
      </c>
      <c r="AH1646" s="182" t="n">
        <v>0</v>
      </c>
      <c r="AI1646" s="182" t="n">
        <v>0</v>
      </c>
      <c r="AJ1646" s="182" t="n">
        <v>0</v>
      </c>
      <c r="AK1646" s="182" t="n">
        <v>0</v>
      </c>
      <c r="AL1646" s="182" t="n">
        <v>0</v>
      </c>
      <c r="AM1646" s="182" t="n">
        <v>0</v>
      </c>
      <c r="AN1646" s="182" t="n">
        <v>0</v>
      </c>
    </row>
    <row r="1647">
      <c r="A1647" s="155" t="n">
        <v>46089</v>
      </c>
      <c r="B1647" s="156" t="inlineStr">
        <is>
          <t>DS</t>
        </is>
      </c>
      <c r="C1647" s="156" t="inlineStr">
        <is>
          <t>WL-025</t>
        </is>
      </c>
      <c r="D1647" s="156" t="inlineStr">
        <is>
          <t>SANY - Loader</t>
        </is>
      </c>
      <c r="E1647" s="156" t="inlineStr">
        <is>
          <t>Loader</t>
        </is>
      </c>
      <c r="F1647" s="156" t="inlineStr"/>
      <c r="G1647" s="182" t="n">
        <v>0</v>
      </c>
      <c r="H1647" s="182" t="n">
        <v>0</v>
      </c>
      <c r="I1647" s="182" t="n">
        <v>0</v>
      </c>
      <c r="J1647" s="182" t="n">
        <v>0</v>
      </c>
      <c r="K1647" s="182" t="n">
        <v>12</v>
      </c>
      <c r="L1647" s="182" t="n">
        <v>12</v>
      </c>
      <c r="M1647" s="182" t="n">
        <v>0</v>
      </c>
      <c r="N1647" s="182" t="n">
        <v>0</v>
      </c>
      <c r="O1647" s="183" t="n">
        <v>0</v>
      </c>
      <c r="P1647" s="183" t="n">
        <v>0</v>
      </c>
      <c r="Q1647" s="184" t="n">
        <v>0</v>
      </c>
      <c r="R1647" s="184" t="n">
        <v>0</v>
      </c>
      <c r="S1647" s="183" t="n">
        <v>0</v>
      </c>
      <c r="T1647" s="183" t="n">
        <v>0</v>
      </c>
      <c r="U1647" s="182" t="n">
        <v>0</v>
      </c>
      <c r="V1647" s="182" t="n">
        <v>0</v>
      </c>
      <c r="W1647" s="182" t="n">
        <v>0</v>
      </c>
      <c r="X1647" s="182" t="n">
        <v>1</v>
      </c>
      <c r="Y1647" s="182" t="n">
        <v>0</v>
      </c>
      <c r="Z1647" s="182" t="n">
        <v>0</v>
      </c>
      <c r="AA1647" s="182" t="n">
        <v>0</v>
      </c>
      <c r="AB1647" s="182" t="n">
        <v>0</v>
      </c>
      <c r="AC1647" s="182" t="n">
        <v>0</v>
      </c>
      <c r="AD1647" s="182" t="n">
        <v>0</v>
      </c>
      <c r="AE1647" s="182" t="n">
        <v>0</v>
      </c>
      <c r="AF1647" s="182" t="n">
        <v>0</v>
      </c>
      <c r="AG1647" s="182" t="n">
        <v>0</v>
      </c>
      <c r="AH1647" s="182" t="n">
        <v>0</v>
      </c>
      <c r="AI1647" s="182" t="n">
        <v>0</v>
      </c>
      <c r="AJ1647" s="182" t="n">
        <v>0</v>
      </c>
      <c r="AK1647" s="182" t="n">
        <v>10.92</v>
      </c>
      <c r="AL1647" s="182" t="n">
        <v>0</v>
      </c>
      <c r="AM1647" s="182" t="n">
        <v>0.08</v>
      </c>
      <c r="AN1647" s="182" t="n">
        <v>0</v>
      </c>
    </row>
    <row r="1648">
      <c r="A1648" s="155" t="n">
        <v>46089</v>
      </c>
      <c r="B1648" s="156" t="inlineStr">
        <is>
          <t>DS</t>
        </is>
      </c>
      <c r="C1648" s="156" t="inlineStr">
        <is>
          <t>WL-023</t>
        </is>
      </c>
      <c r="D1648" s="156" t="inlineStr">
        <is>
          <t>SANY - Loader</t>
        </is>
      </c>
      <c r="E1648" s="156" t="inlineStr">
        <is>
          <t>Loader</t>
        </is>
      </c>
      <c r="F1648" s="156" t="inlineStr"/>
      <c r="G1648" s="182" t="n">
        <v>0</v>
      </c>
      <c r="H1648" s="182" t="n">
        <v>0</v>
      </c>
      <c r="I1648" s="182" t="n">
        <v>0</v>
      </c>
      <c r="J1648" s="182" t="n">
        <v>0</v>
      </c>
      <c r="K1648" s="182" t="n">
        <v>12</v>
      </c>
      <c r="L1648" s="182" t="n">
        <v>12</v>
      </c>
      <c r="M1648" s="182" t="n">
        <v>0</v>
      </c>
      <c r="N1648" s="182" t="n">
        <v>0</v>
      </c>
      <c r="O1648" s="183" t="n">
        <v>0</v>
      </c>
      <c r="P1648" s="183" t="n">
        <v>0</v>
      </c>
      <c r="Q1648" s="184" t="n">
        <v>0</v>
      </c>
      <c r="R1648" s="184" t="n">
        <v>0</v>
      </c>
      <c r="S1648" s="183" t="n">
        <v>0</v>
      </c>
      <c r="T1648" s="183" t="n">
        <v>0</v>
      </c>
      <c r="U1648" s="182" t="n">
        <v>0</v>
      </c>
      <c r="V1648" s="182" t="n">
        <v>0</v>
      </c>
      <c r="W1648" s="182" t="n">
        <v>0</v>
      </c>
      <c r="X1648" s="182" t="n">
        <v>1</v>
      </c>
      <c r="Y1648" s="182" t="n">
        <v>0</v>
      </c>
      <c r="Z1648" s="182" t="n">
        <v>0</v>
      </c>
      <c r="AA1648" s="182" t="n">
        <v>0</v>
      </c>
      <c r="AB1648" s="182" t="n">
        <v>0</v>
      </c>
      <c r="AC1648" s="182" t="n">
        <v>0</v>
      </c>
      <c r="AD1648" s="182" t="n">
        <v>0</v>
      </c>
      <c r="AE1648" s="182" t="n">
        <v>0</v>
      </c>
      <c r="AF1648" s="182" t="n">
        <v>0</v>
      </c>
      <c r="AG1648" s="182" t="n">
        <v>0</v>
      </c>
      <c r="AH1648" s="182" t="n">
        <v>0</v>
      </c>
      <c r="AI1648" s="182" t="n">
        <v>0</v>
      </c>
      <c r="AJ1648" s="182" t="n">
        <v>0</v>
      </c>
      <c r="AK1648" s="182" t="n">
        <v>10.92</v>
      </c>
      <c r="AL1648" s="182" t="n">
        <v>0</v>
      </c>
      <c r="AM1648" s="182" t="n">
        <v>0.08</v>
      </c>
      <c r="AN1648" s="182" t="n">
        <v>0</v>
      </c>
    </row>
    <row r="1649">
      <c r="A1649" s="155" t="n">
        <v>46089</v>
      </c>
      <c r="B1649" s="156" t="inlineStr">
        <is>
          <t>DS</t>
        </is>
      </c>
      <c r="C1649" s="156" t="inlineStr">
        <is>
          <t>WL-021</t>
        </is>
      </c>
      <c r="D1649" s="156" t="inlineStr">
        <is>
          <t>SANY - Loader</t>
        </is>
      </c>
      <c r="E1649" s="156" t="inlineStr">
        <is>
          <t>Loader</t>
        </is>
      </c>
      <c r="F1649" s="156" t="inlineStr"/>
      <c r="G1649" s="182" t="n">
        <v>0</v>
      </c>
      <c r="H1649" s="182" t="n">
        <v>0</v>
      </c>
      <c r="I1649" s="182" t="n">
        <v>12</v>
      </c>
      <c r="J1649" s="182" t="n">
        <v>12</v>
      </c>
      <c r="K1649" s="182" t="n">
        <v>0</v>
      </c>
      <c r="L1649" s="182" t="n">
        <v>12</v>
      </c>
      <c r="M1649" s="182" t="n">
        <v>0</v>
      </c>
      <c r="N1649" s="182" t="n">
        <v>0</v>
      </c>
      <c r="O1649" s="183" t="n">
        <v>0</v>
      </c>
      <c r="P1649" s="183" t="n">
        <v>0</v>
      </c>
      <c r="Q1649" s="184" t="n">
        <v>0</v>
      </c>
      <c r="R1649" s="184" t="n">
        <v>0</v>
      </c>
      <c r="S1649" s="183" t="n">
        <v>0</v>
      </c>
      <c r="T1649" s="183" t="n">
        <v>0</v>
      </c>
      <c r="U1649" s="182" t="n">
        <v>0</v>
      </c>
      <c r="V1649" s="182" t="n">
        <v>0</v>
      </c>
      <c r="W1649" s="182" t="n">
        <v>0</v>
      </c>
      <c r="X1649" s="182" t="n">
        <v>0</v>
      </c>
      <c r="Y1649" s="182" t="n">
        <v>0</v>
      </c>
      <c r="Z1649" s="182" t="n">
        <v>0</v>
      </c>
      <c r="AA1649" s="182" t="n">
        <v>0</v>
      </c>
      <c r="AB1649" s="182" t="n">
        <v>0</v>
      </c>
      <c r="AC1649" s="182" t="n">
        <v>0</v>
      </c>
      <c r="AD1649" s="182" t="n">
        <v>0</v>
      </c>
      <c r="AE1649" s="182" t="n">
        <v>0</v>
      </c>
      <c r="AF1649" s="182" t="n">
        <v>0</v>
      </c>
      <c r="AG1649" s="182" t="n">
        <v>0</v>
      </c>
      <c r="AH1649" s="182" t="n">
        <v>0</v>
      </c>
      <c r="AI1649" s="182" t="n">
        <v>0</v>
      </c>
      <c r="AJ1649" s="182" t="n">
        <v>0</v>
      </c>
      <c r="AK1649" s="182" t="n">
        <v>0</v>
      </c>
      <c r="AL1649" s="182" t="n">
        <v>0</v>
      </c>
      <c r="AM1649" s="182" t="n">
        <v>0</v>
      </c>
      <c r="AN1649" s="182" t="n">
        <v>0</v>
      </c>
    </row>
    <row r="1650">
      <c r="A1650" s="155" t="n">
        <v>46089</v>
      </c>
      <c r="B1650" s="156" t="inlineStr">
        <is>
          <t>DS</t>
        </is>
      </c>
      <c r="C1650" s="156" t="inlineStr">
        <is>
          <t>WL-022</t>
        </is>
      </c>
      <c r="D1650" s="156" t="inlineStr">
        <is>
          <t>SANY - Loader</t>
        </is>
      </c>
      <c r="E1650" s="156" t="inlineStr">
        <is>
          <t>Loader</t>
        </is>
      </c>
      <c r="F1650" s="156" t="inlineStr">
        <is>
          <t>Support Washing Plant</t>
        </is>
      </c>
      <c r="G1650" s="182" t="n">
        <v>9.24</v>
      </c>
      <c r="H1650" s="182" t="n">
        <v>0</v>
      </c>
      <c r="I1650" s="182" t="n">
        <v>0</v>
      </c>
      <c r="J1650" s="182" t="n">
        <v>0</v>
      </c>
      <c r="K1650" s="182" t="n">
        <v>2.76</v>
      </c>
      <c r="L1650" s="182" t="n">
        <v>12</v>
      </c>
      <c r="M1650" s="182" t="n">
        <v>0</v>
      </c>
      <c r="N1650" s="182" t="n">
        <v>0</v>
      </c>
      <c r="O1650" s="183" t="n">
        <v>0</v>
      </c>
      <c r="P1650" s="183" t="n">
        <v>0</v>
      </c>
      <c r="Q1650" s="184" t="n">
        <v>0</v>
      </c>
      <c r="R1650" s="184" t="n">
        <v>0</v>
      </c>
      <c r="S1650" s="183" t="n">
        <v>0</v>
      </c>
      <c r="T1650" s="183" t="n">
        <v>0</v>
      </c>
      <c r="U1650" s="182" t="n">
        <v>0</v>
      </c>
      <c r="V1650" s="182" t="n">
        <v>0</v>
      </c>
      <c r="W1650" s="182" t="n">
        <v>0</v>
      </c>
      <c r="X1650" s="182" t="n">
        <v>1.1</v>
      </c>
      <c r="Y1650" s="182" t="n">
        <v>0</v>
      </c>
      <c r="Z1650" s="182" t="n">
        <v>0</v>
      </c>
      <c r="AA1650" s="182" t="n">
        <v>0</v>
      </c>
      <c r="AB1650" s="182" t="n">
        <v>0</v>
      </c>
      <c r="AC1650" s="182" t="n">
        <v>0</v>
      </c>
      <c r="AD1650" s="182" t="n">
        <v>0</v>
      </c>
      <c r="AE1650" s="182" t="n">
        <v>0</v>
      </c>
      <c r="AF1650" s="182" t="n">
        <v>0</v>
      </c>
      <c r="AG1650" s="182" t="n">
        <v>0</v>
      </c>
      <c r="AH1650" s="182" t="n">
        <v>0</v>
      </c>
      <c r="AI1650" s="182" t="n">
        <v>0</v>
      </c>
      <c r="AJ1650" s="182" t="n">
        <v>0</v>
      </c>
      <c r="AK1650" s="182" t="n">
        <v>1.57</v>
      </c>
      <c r="AL1650" s="182" t="n">
        <v>0</v>
      </c>
      <c r="AM1650" s="182" t="n">
        <v>0.09</v>
      </c>
      <c r="AN1650" s="182" t="n">
        <v>0</v>
      </c>
    </row>
    <row r="1651">
      <c r="A1651" s="155" t="n">
        <v>46089</v>
      </c>
      <c r="B1651" s="156" t="inlineStr">
        <is>
          <t>DS</t>
        </is>
      </c>
      <c r="C1651" s="156" t="inlineStr">
        <is>
          <t>WL-024</t>
        </is>
      </c>
      <c r="D1651" s="156" t="inlineStr">
        <is>
          <t>SANY - Loader</t>
        </is>
      </c>
      <c r="E1651" s="156" t="inlineStr">
        <is>
          <t>Loader</t>
        </is>
      </c>
      <c r="F1651" s="156" t="inlineStr">
        <is>
          <t>Support Washing Plant</t>
        </is>
      </c>
      <c r="G1651" s="182" t="n">
        <v>11.9</v>
      </c>
      <c r="H1651" s="182" t="n">
        <v>0</v>
      </c>
      <c r="I1651" s="182" t="n">
        <v>0</v>
      </c>
      <c r="J1651" s="182" t="n">
        <v>0</v>
      </c>
      <c r="K1651" s="182" t="n">
        <v>0.1</v>
      </c>
      <c r="L1651" s="182" t="n">
        <v>12</v>
      </c>
      <c r="M1651" s="182" t="n">
        <v>0</v>
      </c>
      <c r="N1651" s="182" t="n">
        <v>0</v>
      </c>
      <c r="O1651" s="183" t="n">
        <v>0</v>
      </c>
      <c r="P1651" s="183" t="n">
        <v>0</v>
      </c>
      <c r="Q1651" s="184" t="n">
        <v>0</v>
      </c>
      <c r="R1651" s="184" t="n">
        <v>0</v>
      </c>
      <c r="S1651" s="183" t="n">
        <v>0</v>
      </c>
      <c r="T1651" s="183" t="n">
        <v>0</v>
      </c>
      <c r="U1651" s="182" t="n">
        <v>0</v>
      </c>
      <c r="V1651" s="182" t="n">
        <v>0</v>
      </c>
      <c r="W1651" s="182" t="n">
        <v>0</v>
      </c>
      <c r="X1651" s="182" t="n">
        <v>0.06</v>
      </c>
      <c r="Y1651" s="182" t="n">
        <v>0</v>
      </c>
      <c r="Z1651" s="182" t="n">
        <v>0</v>
      </c>
      <c r="AA1651" s="182" t="n">
        <v>0</v>
      </c>
      <c r="AB1651" s="182" t="n">
        <v>0</v>
      </c>
      <c r="AC1651" s="182" t="n">
        <v>0</v>
      </c>
      <c r="AD1651" s="182" t="n">
        <v>0</v>
      </c>
      <c r="AE1651" s="182" t="n">
        <v>0</v>
      </c>
      <c r="AF1651" s="182" t="n">
        <v>0</v>
      </c>
      <c r="AG1651" s="182" t="n">
        <v>0</v>
      </c>
      <c r="AH1651" s="182" t="n">
        <v>0</v>
      </c>
      <c r="AI1651" s="182" t="n">
        <v>0</v>
      </c>
      <c r="AJ1651" s="182" t="n">
        <v>0</v>
      </c>
      <c r="AK1651" s="182" t="n">
        <v>0</v>
      </c>
      <c r="AL1651" s="182" t="n">
        <v>0</v>
      </c>
      <c r="AM1651" s="182" t="n">
        <v>0.04</v>
      </c>
      <c r="AN1651" s="182" t="n">
        <v>0</v>
      </c>
    </row>
    <row r="1652">
      <c r="A1652" s="155" t="n">
        <v>46089</v>
      </c>
      <c r="B1652" s="156" t="inlineStr">
        <is>
          <t>NS</t>
        </is>
      </c>
      <c r="C1652" s="156" t="inlineStr">
        <is>
          <t>DZ-034</t>
        </is>
      </c>
      <c r="D1652" s="156" t="inlineStr">
        <is>
          <t>D 68ESS-12EO</t>
        </is>
      </c>
      <c r="E1652" s="156" t="inlineStr">
        <is>
          <t>Bulldozer</t>
        </is>
      </c>
      <c r="F1652" s="156" t="inlineStr">
        <is>
          <t>Timesheet Kosong</t>
        </is>
      </c>
      <c r="G1652" s="182" t="n">
        <v>8.710000000000001</v>
      </c>
      <c r="H1652" s="182" t="n">
        <v>0</v>
      </c>
      <c r="I1652" s="182" t="n">
        <v>0</v>
      </c>
      <c r="J1652" s="182" t="n">
        <v>0</v>
      </c>
      <c r="K1652" s="182" t="n">
        <v>3.29</v>
      </c>
      <c r="L1652" s="182" t="n">
        <v>12</v>
      </c>
      <c r="M1652" s="182" t="n">
        <v>0</v>
      </c>
      <c r="N1652" s="182" t="n">
        <v>0</v>
      </c>
      <c r="O1652" s="183" t="n">
        <v>0</v>
      </c>
      <c r="P1652" s="183" t="n">
        <v>0</v>
      </c>
      <c r="Q1652" s="184" t="n">
        <v>0</v>
      </c>
      <c r="R1652" s="184" t="n">
        <v>0</v>
      </c>
      <c r="S1652" s="183" t="n">
        <v>0</v>
      </c>
      <c r="T1652" s="183" t="n">
        <v>0</v>
      </c>
      <c r="U1652" s="182" t="n">
        <v>0</v>
      </c>
      <c r="V1652" s="182" t="n">
        <v>0</v>
      </c>
      <c r="W1652" s="182" t="n">
        <v>0</v>
      </c>
      <c r="X1652" s="182" t="n">
        <v>0.9399999999999999</v>
      </c>
      <c r="Y1652" s="182" t="n">
        <v>0</v>
      </c>
      <c r="Z1652" s="182" t="n">
        <v>0</v>
      </c>
      <c r="AA1652" s="182" t="n">
        <v>0</v>
      </c>
      <c r="AB1652" s="182" t="n">
        <v>0</v>
      </c>
      <c r="AC1652" s="182" t="n">
        <v>0</v>
      </c>
      <c r="AD1652" s="182" t="n">
        <v>0</v>
      </c>
      <c r="AE1652" s="182" t="n">
        <v>0</v>
      </c>
      <c r="AF1652" s="182" t="n">
        <v>0</v>
      </c>
      <c r="AG1652" s="182" t="n">
        <v>0</v>
      </c>
      <c r="AH1652" s="182" t="n">
        <v>0</v>
      </c>
      <c r="AI1652" s="182" t="n">
        <v>0</v>
      </c>
      <c r="AJ1652" s="182" t="n">
        <v>0</v>
      </c>
      <c r="AK1652" s="182" t="n">
        <v>2.27</v>
      </c>
      <c r="AL1652" s="182" t="n">
        <v>0</v>
      </c>
      <c r="AM1652" s="182" t="n">
        <v>0.08</v>
      </c>
      <c r="AN1652" s="182" t="n">
        <v>0</v>
      </c>
    </row>
    <row r="1653">
      <c r="A1653" s="155" t="n">
        <v>46089</v>
      </c>
      <c r="B1653" s="156" t="inlineStr">
        <is>
          <t>NS</t>
        </is>
      </c>
      <c r="C1653" s="156" t="inlineStr">
        <is>
          <t>DZ-033</t>
        </is>
      </c>
      <c r="D1653" s="156" t="inlineStr">
        <is>
          <t>D 375A-6R</t>
        </is>
      </c>
      <c r="E1653" s="156" t="inlineStr">
        <is>
          <t>Bulldozer</t>
        </is>
      </c>
      <c r="F1653" s="156" t="inlineStr">
        <is>
          <t>Support Disposal</t>
        </is>
      </c>
      <c r="G1653" s="182" t="n">
        <v>9.109999999999999</v>
      </c>
      <c r="H1653" s="182" t="n">
        <v>0</v>
      </c>
      <c r="I1653" s="182" t="n">
        <v>0</v>
      </c>
      <c r="J1653" s="182" t="n">
        <v>0</v>
      </c>
      <c r="K1653" s="182" t="n">
        <v>2.89</v>
      </c>
      <c r="L1653" s="182" t="n">
        <v>12</v>
      </c>
      <c r="M1653" s="182" t="n">
        <v>0</v>
      </c>
      <c r="N1653" s="182" t="n">
        <v>0</v>
      </c>
      <c r="O1653" s="183" t="n">
        <v>0</v>
      </c>
      <c r="P1653" s="183" t="n">
        <v>0</v>
      </c>
      <c r="Q1653" s="184" t="n">
        <v>0</v>
      </c>
      <c r="R1653" s="184" t="n">
        <v>0</v>
      </c>
      <c r="S1653" s="183" t="n">
        <v>0</v>
      </c>
      <c r="T1653" s="183" t="n">
        <v>0</v>
      </c>
      <c r="U1653" s="182" t="n">
        <v>0.6899999999999999</v>
      </c>
      <c r="V1653" s="182" t="n">
        <v>0</v>
      </c>
      <c r="W1653" s="182" t="n">
        <v>0</v>
      </c>
      <c r="X1653" s="182" t="n">
        <v>0.96</v>
      </c>
      <c r="Y1653" s="182" t="n">
        <v>0</v>
      </c>
      <c r="Z1653" s="182" t="n">
        <v>0</v>
      </c>
      <c r="AA1653" s="182" t="n">
        <v>0</v>
      </c>
      <c r="AB1653" s="182" t="n">
        <v>0</v>
      </c>
      <c r="AC1653" s="182" t="n">
        <v>0</v>
      </c>
      <c r="AD1653" s="182" t="n">
        <v>0</v>
      </c>
      <c r="AE1653" s="182" t="n">
        <v>0</v>
      </c>
      <c r="AF1653" s="182" t="n">
        <v>0</v>
      </c>
      <c r="AG1653" s="182" t="n">
        <v>0</v>
      </c>
      <c r="AH1653" s="182" t="n">
        <v>0</v>
      </c>
      <c r="AI1653" s="182" t="n">
        <v>0</v>
      </c>
      <c r="AJ1653" s="182" t="n">
        <v>0</v>
      </c>
      <c r="AK1653" s="182" t="n">
        <v>1.16</v>
      </c>
      <c r="AL1653" s="182" t="n">
        <v>0</v>
      </c>
      <c r="AM1653" s="182" t="n">
        <v>0.08</v>
      </c>
      <c r="AN1653" s="182" t="n">
        <v>0</v>
      </c>
    </row>
    <row r="1654">
      <c r="A1654" s="155" t="n">
        <v>46089</v>
      </c>
      <c r="B1654" s="156" t="inlineStr">
        <is>
          <t>NS</t>
        </is>
      </c>
      <c r="C1654" s="156" t="inlineStr">
        <is>
          <t>DZ-038</t>
        </is>
      </c>
      <c r="D1654" s="156" t="inlineStr">
        <is>
          <t>D 85 ESS-2</t>
        </is>
      </c>
      <c r="E1654" s="156" t="inlineStr">
        <is>
          <t>Bulldozer</t>
        </is>
      </c>
      <c r="F1654" s="156" t="inlineStr"/>
      <c r="G1654" s="182" t="n">
        <v>0</v>
      </c>
      <c r="H1654" s="182" t="n">
        <v>0</v>
      </c>
      <c r="I1654" s="182" t="n">
        <v>12</v>
      </c>
      <c r="J1654" s="182" t="n">
        <v>12</v>
      </c>
      <c r="K1654" s="182" t="n">
        <v>0</v>
      </c>
      <c r="L1654" s="182" t="n">
        <v>12</v>
      </c>
      <c r="M1654" s="182" t="n">
        <v>0</v>
      </c>
      <c r="N1654" s="182" t="n">
        <v>0</v>
      </c>
      <c r="O1654" s="183" t="n">
        <v>0</v>
      </c>
      <c r="P1654" s="183" t="n">
        <v>0</v>
      </c>
      <c r="Q1654" s="184" t="n">
        <v>0</v>
      </c>
      <c r="R1654" s="184" t="n">
        <v>0</v>
      </c>
      <c r="S1654" s="183" t="n">
        <v>0</v>
      </c>
      <c r="T1654" s="183" t="n">
        <v>0</v>
      </c>
      <c r="U1654" s="182" t="n">
        <v>0</v>
      </c>
      <c r="V1654" s="182" t="n">
        <v>0</v>
      </c>
      <c r="W1654" s="182" t="n">
        <v>0</v>
      </c>
      <c r="X1654" s="182" t="n">
        <v>0</v>
      </c>
      <c r="Y1654" s="182" t="n">
        <v>0</v>
      </c>
      <c r="Z1654" s="182" t="n">
        <v>0</v>
      </c>
      <c r="AA1654" s="182" t="n">
        <v>0</v>
      </c>
      <c r="AB1654" s="182" t="n">
        <v>0</v>
      </c>
      <c r="AC1654" s="182" t="n">
        <v>0</v>
      </c>
      <c r="AD1654" s="182" t="n">
        <v>0</v>
      </c>
      <c r="AE1654" s="182" t="n">
        <v>0</v>
      </c>
      <c r="AF1654" s="182" t="n">
        <v>0</v>
      </c>
      <c r="AG1654" s="182" t="n">
        <v>0</v>
      </c>
      <c r="AH1654" s="182" t="n">
        <v>0</v>
      </c>
      <c r="AI1654" s="182" t="n">
        <v>0</v>
      </c>
      <c r="AJ1654" s="182" t="n">
        <v>0</v>
      </c>
      <c r="AK1654" s="182" t="n">
        <v>0</v>
      </c>
      <c r="AL1654" s="182" t="n">
        <v>0</v>
      </c>
      <c r="AM1654" s="182" t="n">
        <v>0</v>
      </c>
      <c r="AN1654" s="182" t="n">
        <v>0</v>
      </c>
    </row>
    <row r="1655">
      <c r="A1655" s="155" t="n">
        <v>46089</v>
      </c>
      <c r="B1655" s="156" t="inlineStr">
        <is>
          <t>NS</t>
        </is>
      </c>
      <c r="C1655" s="156" t="inlineStr">
        <is>
          <t>DZ-039</t>
        </is>
      </c>
      <c r="D1655" s="156" t="inlineStr">
        <is>
          <t>D 85 ESS-2</t>
        </is>
      </c>
      <c r="E1655" s="156" t="inlineStr">
        <is>
          <t>Bulldozer</t>
        </is>
      </c>
      <c r="F1655" s="156" t="inlineStr">
        <is>
          <t>Support Front Loading</t>
        </is>
      </c>
      <c r="G1655" s="182" t="n">
        <v>7.34</v>
      </c>
      <c r="H1655" s="182" t="n">
        <v>0</v>
      </c>
      <c r="I1655" s="182" t="n">
        <v>0</v>
      </c>
      <c r="J1655" s="182" t="n">
        <v>0</v>
      </c>
      <c r="K1655" s="182" t="n">
        <v>4.66</v>
      </c>
      <c r="L1655" s="182" t="n">
        <v>12</v>
      </c>
      <c r="M1655" s="182" t="n">
        <v>0</v>
      </c>
      <c r="N1655" s="182" t="n">
        <v>0</v>
      </c>
      <c r="O1655" s="183" t="n">
        <v>0</v>
      </c>
      <c r="P1655" s="183" t="n">
        <v>0</v>
      </c>
      <c r="Q1655" s="184" t="n">
        <v>0</v>
      </c>
      <c r="R1655" s="184" t="n">
        <v>0</v>
      </c>
      <c r="S1655" s="183" t="n">
        <v>0</v>
      </c>
      <c r="T1655" s="183" t="n">
        <v>0</v>
      </c>
      <c r="U1655" s="182" t="n">
        <v>0.78</v>
      </c>
      <c r="V1655" s="182" t="n">
        <v>0</v>
      </c>
      <c r="W1655" s="182" t="n">
        <v>0</v>
      </c>
      <c r="X1655" s="182" t="n">
        <v>1.08</v>
      </c>
      <c r="Y1655" s="182" t="n">
        <v>0</v>
      </c>
      <c r="Z1655" s="182" t="n">
        <v>0</v>
      </c>
      <c r="AA1655" s="182" t="n">
        <v>0</v>
      </c>
      <c r="AB1655" s="182" t="n">
        <v>0</v>
      </c>
      <c r="AC1655" s="182" t="n">
        <v>0</v>
      </c>
      <c r="AD1655" s="182" t="n">
        <v>0</v>
      </c>
      <c r="AE1655" s="182" t="n">
        <v>0</v>
      </c>
      <c r="AF1655" s="182" t="n">
        <v>0</v>
      </c>
      <c r="AG1655" s="182" t="n">
        <v>0</v>
      </c>
      <c r="AH1655" s="182" t="n">
        <v>0</v>
      </c>
      <c r="AI1655" s="182" t="n">
        <v>0</v>
      </c>
      <c r="AJ1655" s="182" t="n">
        <v>0</v>
      </c>
      <c r="AK1655" s="182" t="n">
        <v>2.71</v>
      </c>
      <c r="AL1655" s="182" t="n">
        <v>0</v>
      </c>
      <c r="AM1655" s="182" t="n">
        <v>0.09</v>
      </c>
      <c r="AN1655" s="182" t="n">
        <v>0</v>
      </c>
    </row>
    <row r="1656">
      <c r="A1656" s="155" t="n">
        <v>46089</v>
      </c>
      <c r="B1656" s="156" t="inlineStr">
        <is>
          <t>NS</t>
        </is>
      </c>
      <c r="C1656" s="156" t="inlineStr">
        <is>
          <t>DZ-032</t>
        </is>
      </c>
      <c r="D1656" s="156" t="inlineStr">
        <is>
          <t>CAT</t>
        </is>
      </c>
      <c r="E1656" s="156" t="inlineStr">
        <is>
          <t>Bulldozer</t>
        </is>
      </c>
      <c r="F1656" s="156" t="inlineStr">
        <is>
          <t>Support Front Loading</t>
        </is>
      </c>
      <c r="G1656" s="182" t="n">
        <v>6.95</v>
      </c>
      <c r="H1656" s="182" t="n">
        <v>0</v>
      </c>
      <c r="I1656" s="182" t="n">
        <v>0.08</v>
      </c>
      <c r="J1656" s="182" t="n">
        <v>0.08</v>
      </c>
      <c r="K1656" s="182" t="n">
        <v>4.97</v>
      </c>
      <c r="L1656" s="182" t="n">
        <v>12</v>
      </c>
      <c r="M1656" s="182" t="n">
        <v>0</v>
      </c>
      <c r="N1656" s="182" t="n">
        <v>0</v>
      </c>
      <c r="O1656" s="183" t="n">
        <v>0</v>
      </c>
      <c r="P1656" s="183" t="n">
        <v>0</v>
      </c>
      <c r="Q1656" s="184" t="n">
        <v>0</v>
      </c>
      <c r="R1656" s="184" t="n">
        <v>0</v>
      </c>
      <c r="S1656" s="183" t="n">
        <v>0</v>
      </c>
      <c r="T1656" s="183" t="n">
        <v>0</v>
      </c>
      <c r="U1656" s="182" t="n">
        <v>0.77</v>
      </c>
      <c r="V1656" s="182" t="n">
        <v>0</v>
      </c>
      <c r="W1656" s="182" t="n">
        <v>0</v>
      </c>
      <c r="X1656" s="182" t="n">
        <v>1.08</v>
      </c>
      <c r="Y1656" s="182" t="n">
        <v>0</v>
      </c>
      <c r="Z1656" s="182" t="n">
        <v>0</v>
      </c>
      <c r="AA1656" s="182" t="n">
        <v>0</v>
      </c>
      <c r="AB1656" s="182" t="n">
        <v>0</v>
      </c>
      <c r="AC1656" s="182" t="n">
        <v>0</v>
      </c>
      <c r="AD1656" s="182" t="n">
        <v>0</v>
      </c>
      <c r="AE1656" s="182" t="n">
        <v>0</v>
      </c>
      <c r="AF1656" s="182" t="n">
        <v>0</v>
      </c>
      <c r="AG1656" s="182" t="n">
        <v>0</v>
      </c>
      <c r="AH1656" s="182" t="n">
        <v>0</v>
      </c>
      <c r="AI1656" s="182" t="n">
        <v>0</v>
      </c>
      <c r="AJ1656" s="182" t="n">
        <v>0</v>
      </c>
      <c r="AK1656" s="182" t="n">
        <v>3.02</v>
      </c>
      <c r="AL1656" s="182" t="n">
        <v>0</v>
      </c>
      <c r="AM1656" s="182" t="n">
        <v>0.09</v>
      </c>
      <c r="AN1656" s="182" t="n">
        <v>0</v>
      </c>
    </row>
    <row r="1657">
      <c r="A1657" s="155" t="n">
        <v>46089</v>
      </c>
      <c r="B1657" s="156" t="inlineStr">
        <is>
          <t>NS</t>
        </is>
      </c>
      <c r="C1657" s="156" t="inlineStr">
        <is>
          <t>DZ-031</t>
        </is>
      </c>
      <c r="D1657" s="156" t="inlineStr">
        <is>
          <t>CAT</t>
        </is>
      </c>
      <c r="E1657" s="156" t="inlineStr">
        <is>
          <t>Bulldozer</t>
        </is>
      </c>
      <c r="F1657" s="156" t="inlineStr"/>
      <c r="G1657" s="182" t="n">
        <v>0</v>
      </c>
      <c r="H1657" s="182" t="n">
        <v>0</v>
      </c>
      <c r="I1657" s="182" t="n">
        <v>12</v>
      </c>
      <c r="J1657" s="182" t="n">
        <v>12</v>
      </c>
      <c r="K1657" s="182" t="n">
        <v>0</v>
      </c>
      <c r="L1657" s="182" t="n">
        <v>12</v>
      </c>
      <c r="M1657" s="182" t="n">
        <v>0</v>
      </c>
      <c r="N1657" s="182" t="n">
        <v>0</v>
      </c>
      <c r="O1657" s="183" t="n">
        <v>0</v>
      </c>
      <c r="P1657" s="183" t="n">
        <v>0</v>
      </c>
      <c r="Q1657" s="184" t="n">
        <v>0</v>
      </c>
      <c r="R1657" s="184" t="n">
        <v>0</v>
      </c>
      <c r="S1657" s="183" t="n">
        <v>0</v>
      </c>
      <c r="T1657" s="183" t="n">
        <v>0</v>
      </c>
      <c r="U1657" s="182" t="n">
        <v>0</v>
      </c>
      <c r="V1657" s="182" t="n">
        <v>0</v>
      </c>
      <c r="W1657" s="182" t="n">
        <v>0</v>
      </c>
      <c r="X1657" s="182" t="n">
        <v>0</v>
      </c>
      <c r="Y1657" s="182" t="n">
        <v>0</v>
      </c>
      <c r="Z1657" s="182" t="n">
        <v>0</v>
      </c>
      <c r="AA1657" s="182" t="n">
        <v>0</v>
      </c>
      <c r="AB1657" s="182" t="n">
        <v>0</v>
      </c>
      <c r="AC1657" s="182" t="n">
        <v>0</v>
      </c>
      <c r="AD1657" s="182" t="n">
        <v>0</v>
      </c>
      <c r="AE1657" s="182" t="n">
        <v>0</v>
      </c>
      <c r="AF1657" s="182" t="n">
        <v>0</v>
      </c>
      <c r="AG1657" s="182" t="n">
        <v>0</v>
      </c>
      <c r="AH1657" s="182" t="n">
        <v>0</v>
      </c>
      <c r="AI1657" s="182" t="n">
        <v>0</v>
      </c>
      <c r="AJ1657" s="182" t="n">
        <v>0</v>
      </c>
      <c r="AK1657" s="182" t="n">
        <v>0</v>
      </c>
      <c r="AL1657" s="182" t="n">
        <v>0</v>
      </c>
      <c r="AM1657" s="182" t="n">
        <v>0</v>
      </c>
      <c r="AN1657" s="182" t="n">
        <v>0</v>
      </c>
    </row>
    <row r="1658">
      <c r="A1658" s="155" t="n">
        <v>46089</v>
      </c>
      <c r="B1658" s="156" t="inlineStr">
        <is>
          <t>NS</t>
        </is>
      </c>
      <c r="C1658" s="156" t="inlineStr">
        <is>
          <t>DZ-037</t>
        </is>
      </c>
      <c r="D1658" s="156" t="inlineStr">
        <is>
          <t>D 85 ESS-2</t>
        </is>
      </c>
      <c r="E1658" s="156" t="inlineStr">
        <is>
          <t>Bulldozer</t>
        </is>
      </c>
      <c r="F1658" s="156" t="inlineStr">
        <is>
          <t>Support Disposal</t>
        </is>
      </c>
      <c r="G1658" s="182" t="n">
        <v>9.380000000000001</v>
      </c>
      <c r="H1658" s="182" t="n">
        <v>0</v>
      </c>
      <c r="I1658" s="182" t="n">
        <v>0</v>
      </c>
      <c r="J1658" s="182" t="n">
        <v>0</v>
      </c>
      <c r="K1658" s="182" t="n">
        <v>2.62</v>
      </c>
      <c r="L1658" s="182" t="n">
        <v>12</v>
      </c>
      <c r="M1658" s="182" t="n">
        <v>0</v>
      </c>
      <c r="N1658" s="182" t="n">
        <v>0</v>
      </c>
      <c r="O1658" s="183" t="n">
        <v>0</v>
      </c>
      <c r="P1658" s="183" t="n">
        <v>0</v>
      </c>
      <c r="Q1658" s="184" t="n">
        <v>0</v>
      </c>
      <c r="R1658" s="184" t="n">
        <v>0</v>
      </c>
      <c r="S1658" s="183" t="n">
        <v>0</v>
      </c>
      <c r="T1658" s="183" t="n">
        <v>0</v>
      </c>
      <c r="U1658" s="182" t="n">
        <v>0.75</v>
      </c>
      <c r="V1658" s="182" t="n">
        <v>0</v>
      </c>
      <c r="W1658" s="182" t="n">
        <v>0</v>
      </c>
      <c r="X1658" s="182" t="n">
        <v>1.05</v>
      </c>
      <c r="Y1658" s="182" t="n">
        <v>0</v>
      </c>
      <c r="Z1658" s="182" t="n">
        <v>0</v>
      </c>
      <c r="AA1658" s="182" t="n">
        <v>0</v>
      </c>
      <c r="AB1658" s="182" t="n">
        <v>0</v>
      </c>
      <c r="AC1658" s="182" t="n">
        <v>0</v>
      </c>
      <c r="AD1658" s="182" t="n">
        <v>0</v>
      </c>
      <c r="AE1658" s="182" t="n">
        <v>0</v>
      </c>
      <c r="AF1658" s="182" t="n">
        <v>0</v>
      </c>
      <c r="AG1658" s="182" t="n">
        <v>0</v>
      </c>
      <c r="AH1658" s="182" t="n">
        <v>0.73</v>
      </c>
      <c r="AI1658" s="182" t="n">
        <v>0</v>
      </c>
      <c r="AJ1658" s="182" t="n">
        <v>0</v>
      </c>
      <c r="AK1658" s="182" t="n">
        <v>0</v>
      </c>
      <c r="AL1658" s="182" t="n">
        <v>0</v>
      </c>
      <c r="AM1658" s="182" t="n">
        <v>0.08</v>
      </c>
      <c r="AN1658" s="182" t="n">
        <v>0</v>
      </c>
    </row>
    <row r="1659">
      <c r="A1659" s="155" t="n">
        <v>46089</v>
      </c>
      <c r="B1659" s="156" t="inlineStr">
        <is>
          <t>NS</t>
        </is>
      </c>
      <c r="C1659" s="156" t="inlineStr">
        <is>
          <t>DZ-036</t>
        </is>
      </c>
      <c r="D1659" s="156" t="inlineStr">
        <is>
          <t>D 85 ESS-2</t>
        </is>
      </c>
      <c r="E1659" s="156" t="inlineStr">
        <is>
          <t>Bulldozer</t>
        </is>
      </c>
      <c r="F1659" s="156" t="inlineStr"/>
      <c r="G1659" s="182" t="n">
        <v>0</v>
      </c>
      <c r="H1659" s="182" t="n">
        <v>0</v>
      </c>
      <c r="I1659" s="182" t="n">
        <v>0</v>
      </c>
      <c r="J1659" s="182" t="n">
        <v>0</v>
      </c>
      <c r="K1659" s="182" t="n">
        <v>12</v>
      </c>
      <c r="L1659" s="182" t="n">
        <v>12</v>
      </c>
      <c r="M1659" s="182" t="n">
        <v>0</v>
      </c>
      <c r="N1659" s="182" t="n">
        <v>0</v>
      </c>
      <c r="O1659" s="183" t="n">
        <v>0</v>
      </c>
      <c r="P1659" s="183" t="n">
        <v>0</v>
      </c>
      <c r="Q1659" s="184" t="n">
        <v>0</v>
      </c>
      <c r="R1659" s="184" t="n">
        <v>0</v>
      </c>
      <c r="S1659" s="183" t="n">
        <v>0</v>
      </c>
      <c r="T1659" s="183" t="n">
        <v>0</v>
      </c>
      <c r="U1659" s="182" t="n">
        <v>0</v>
      </c>
      <c r="V1659" s="182" t="n">
        <v>0</v>
      </c>
      <c r="W1659" s="182" t="n">
        <v>0</v>
      </c>
      <c r="X1659" s="182" t="n">
        <v>1</v>
      </c>
      <c r="Y1659" s="182" t="n">
        <v>0</v>
      </c>
      <c r="Z1659" s="182" t="n">
        <v>0</v>
      </c>
      <c r="AA1659" s="182" t="n">
        <v>0</v>
      </c>
      <c r="AB1659" s="182" t="n">
        <v>0</v>
      </c>
      <c r="AC1659" s="182" t="n">
        <v>0</v>
      </c>
      <c r="AD1659" s="182" t="n">
        <v>0</v>
      </c>
      <c r="AE1659" s="182" t="n">
        <v>0</v>
      </c>
      <c r="AF1659" s="182" t="n">
        <v>0</v>
      </c>
      <c r="AG1659" s="182" t="n">
        <v>0</v>
      </c>
      <c r="AH1659" s="182" t="n">
        <v>0</v>
      </c>
      <c r="AI1659" s="182" t="n">
        <v>0</v>
      </c>
      <c r="AJ1659" s="182" t="n">
        <v>0</v>
      </c>
      <c r="AK1659" s="182" t="n">
        <v>10.92</v>
      </c>
      <c r="AL1659" s="182" t="n">
        <v>0</v>
      </c>
      <c r="AM1659" s="182" t="n">
        <v>0.08</v>
      </c>
      <c r="AN1659" s="182" t="n">
        <v>0</v>
      </c>
    </row>
    <row r="1660">
      <c r="A1660" s="155" t="n">
        <v>46089</v>
      </c>
      <c r="B1660" s="156" t="inlineStr">
        <is>
          <t>NS</t>
        </is>
      </c>
      <c r="C1660" s="156" t="inlineStr">
        <is>
          <t>DZ-035</t>
        </is>
      </c>
      <c r="D1660" s="156" t="inlineStr">
        <is>
          <t>D 85 ESS-2</t>
        </is>
      </c>
      <c r="E1660" s="156" t="inlineStr">
        <is>
          <t>Bulldozer</t>
        </is>
      </c>
      <c r="F1660" s="156" t="inlineStr"/>
      <c r="G1660" s="182" t="n">
        <v>0</v>
      </c>
      <c r="H1660" s="182" t="n">
        <v>0</v>
      </c>
      <c r="I1660" s="182" t="n">
        <v>12</v>
      </c>
      <c r="J1660" s="182" t="n">
        <v>12</v>
      </c>
      <c r="K1660" s="182" t="n">
        <v>0</v>
      </c>
      <c r="L1660" s="182" t="n">
        <v>12</v>
      </c>
      <c r="M1660" s="182" t="n">
        <v>0</v>
      </c>
      <c r="N1660" s="182" t="n">
        <v>0</v>
      </c>
      <c r="O1660" s="183" t="n">
        <v>0</v>
      </c>
      <c r="P1660" s="183" t="n">
        <v>0</v>
      </c>
      <c r="Q1660" s="184" t="n">
        <v>0</v>
      </c>
      <c r="R1660" s="184" t="n">
        <v>0</v>
      </c>
      <c r="S1660" s="183" t="n">
        <v>0</v>
      </c>
      <c r="T1660" s="183" t="n">
        <v>0</v>
      </c>
      <c r="U1660" s="182" t="n">
        <v>0</v>
      </c>
      <c r="V1660" s="182" t="n">
        <v>0</v>
      </c>
      <c r="W1660" s="182" t="n">
        <v>0</v>
      </c>
      <c r="X1660" s="182" t="n">
        <v>0</v>
      </c>
      <c r="Y1660" s="182" t="n">
        <v>0</v>
      </c>
      <c r="Z1660" s="182" t="n">
        <v>0</v>
      </c>
      <c r="AA1660" s="182" t="n">
        <v>0</v>
      </c>
      <c r="AB1660" s="182" t="n">
        <v>0</v>
      </c>
      <c r="AC1660" s="182" t="n">
        <v>0</v>
      </c>
      <c r="AD1660" s="182" t="n">
        <v>0</v>
      </c>
      <c r="AE1660" s="182" t="n">
        <v>0</v>
      </c>
      <c r="AF1660" s="182" t="n">
        <v>0</v>
      </c>
      <c r="AG1660" s="182" t="n">
        <v>0</v>
      </c>
      <c r="AH1660" s="182" t="n">
        <v>0</v>
      </c>
      <c r="AI1660" s="182" t="n">
        <v>0</v>
      </c>
      <c r="AJ1660" s="182" t="n">
        <v>0</v>
      </c>
      <c r="AK1660" s="182" t="n">
        <v>0</v>
      </c>
      <c r="AL1660" s="182" t="n">
        <v>0</v>
      </c>
      <c r="AM1660" s="182" t="n">
        <v>0</v>
      </c>
      <c r="AN1660" s="182" t="n">
        <v>0</v>
      </c>
    </row>
    <row r="1661">
      <c r="A1661" s="155" t="n">
        <v>46089</v>
      </c>
      <c r="B1661" s="156" t="inlineStr">
        <is>
          <t>NS</t>
        </is>
      </c>
      <c r="C1661" s="156" t="inlineStr">
        <is>
          <t>CP-042</t>
        </is>
      </c>
      <c r="D1661" s="156" t="inlineStr">
        <is>
          <t>SANY - Compactor</t>
        </is>
      </c>
      <c r="E1661" s="156" t="inlineStr">
        <is>
          <t>Compactor</t>
        </is>
      </c>
      <c r="F1661" s="156" t="inlineStr"/>
      <c r="G1661" s="182" t="n">
        <v>0</v>
      </c>
      <c r="H1661" s="182" t="n">
        <v>0</v>
      </c>
      <c r="I1661" s="182" t="n">
        <v>0</v>
      </c>
      <c r="J1661" s="182" t="n">
        <v>0</v>
      </c>
      <c r="K1661" s="182" t="n">
        <v>12</v>
      </c>
      <c r="L1661" s="182" t="n">
        <v>12</v>
      </c>
      <c r="M1661" s="182" t="n">
        <v>0</v>
      </c>
      <c r="N1661" s="182" t="n">
        <v>0</v>
      </c>
      <c r="O1661" s="183" t="n">
        <v>0</v>
      </c>
      <c r="P1661" s="183" t="n">
        <v>0</v>
      </c>
      <c r="Q1661" s="184" t="n">
        <v>0</v>
      </c>
      <c r="R1661" s="184" t="n">
        <v>0</v>
      </c>
      <c r="S1661" s="183" t="n">
        <v>0</v>
      </c>
      <c r="T1661" s="183" t="n">
        <v>0</v>
      </c>
      <c r="U1661" s="182" t="n">
        <v>0</v>
      </c>
      <c r="V1661" s="182" t="n">
        <v>0</v>
      </c>
      <c r="W1661" s="182" t="n">
        <v>0</v>
      </c>
      <c r="X1661" s="182" t="n">
        <v>1</v>
      </c>
      <c r="Y1661" s="182" t="n">
        <v>0</v>
      </c>
      <c r="Z1661" s="182" t="n">
        <v>0</v>
      </c>
      <c r="AA1661" s="182" t="n">
        <v>0</v>
      </c>
      <c r="AB1661" s="182" t="n">
        <v>0</v>
      </c>
      <c r="AC1661" s="182" t="n">
        <v>0</v>
      </c>
      <c r="AD1661" s="182" t="n">
        <v>0</v>
      </c>
      <c r="AE1661" s="182" t="n">
        <v>0</v>
      </c>
      <c r="AF1661" s="182" t="n">
        <v>0</v>
      </c>
      <c r="AG1661" s="182" t="n">
        <v>0</v>
      </c>
      <c r="AH1661" s="182" t="n">
        <v>0</v>
      </c>
      <c r="AI1661" s="182" t="n">
        <v>0</v>
      </c>
      <c r="AJ1661" s="182" t="n">
        <v>0</v>
      </c>
      <c r="AK1661" s="182" t="n">
        <v>10.92</v>
      </c>
      <c r="AL1661" s="182" t="n">
        <v>0</v>
      </c>
      <c r="AM1661" s="182" t="n">
        <v>0.08</v>
      </c>
      <c r="AN1661" s="182" t="n">
        <v>0</v>
      </c>
    </row>
    <row r="1662">
      <c r="A1662" s="155" t="n">
        <v>46089</v>
      </c>
      <c r="B1662" s="156" t="inlineStr">
        <is>
          <t>NS</t>
        </is>
      </c>
      <c r="C1662" s="156" t="inlineStr">
        <is>
          <t>CP-041</t>
        </is>
      </c>
      <c r="D1662" s="156" t="inlineStr">
        <is>
          <t>SANY - Compactor</t>
        </is>
      </c>
      <c r="E1662" s="156" t="inlineStr">
        <is>
          <t>Compactor</t>
        </is>
      </c>
      <c r="F1662" s="156" t="inlineStr">
        <is>
          <t>General Road</t>
        </is>
      </c>
      <c r="G1662" s="182" t="n">
        <v>9.83</v>
      </c>
      <c r="H1662" s="182" t="n">
        <v>0</v>
      </c>
      <c r="I1662" s="182" t="n">
        <v>0</v>
      </c>
      <c r="J1662" s="182" t="n">
        <v>0</v>
      </c>
      <c r="K1662" s="182" t="n">
        <v>2.17</v>
      </c>
      <c r="L1662" s="182" t="n">
        <v>12</v>
      </c>
      <c r="M1662" s="182" t="n">
        <v>0</v>
      </c>
      <c r="N1662" s="182" t="n">
        <v>0</v>
      </c>
      <c r="O1662" s="183" t="n">
        <v>0</v>
      </c>
      <c r="P1662" s="183" t="n">
        <v>0</v>
      </c>
      <c r="Q1662" s="184" t="n">
        <v>0</v>
      </c>
      <c r="R1662" s="184" t="n">
        <v>0</v>
      </c>
      <c r="S1662" s="183" t="n">
        <v>0</v>
      </c>
      <c r="T1662" s="183" t="n">
        <v>0</v>
      </c>
      <c r="U1662" s="182" t="n">
        <v>0.68</v>
      </c>
      <c r="V1662" s="182" t="n">
        <v>0</v>
      </c>
      <c r="W1662" s="182" t="n">
        <v>0</v>
      </c>
      <c r="X1662" s="182" t="n">
        <v>0.9399999999999999</v>
      </c>
      <c r="Y1662" s="182" t="n">
        <v>0</v>
      </c>
      <c r="Z1662" s="182" t="n">
        <v>0</v>
      </c>
      <c r="AA1662" s="182" t="n">
        <v>0</v>
      </c>
      <c r="AB1662" s="182" t="n">
        <v>0</v>
      </c>
      <c r="AC1662" s="182" t="n">
        <v>0</v>
      </c>
      <c r="AD1662" s="182" t="n">
        <v>0</v>
      </c>
      <c r="AE1662" s="182" t="n">
        <v>0</v>
      </c>
      <c r="AF1662" s="182" t="n">
        <v>0</v>
      </c>
      <c r="AG1662" s="182" t="n">
        <v>0</v>
      </c>
      <c r="AH1662" s="182" t="n">
        <v>0.47</v>
      </c>
      <c r="AI1662" s="182" t="n">
        <v>0</v>
      </c>
      <c r="AJ1662" s="182" t="n">
        <v>0</v>
      </c>
      <c r="AK1662" s="182" t="n">
        <v>0</v>
      </c>
      <c r="AL1662" s="182" t="n">
        <v>0</v>
      </c>
      <c r="AM1662" s="182" t="n">
        <v>0.08</v>
      </c>
      <c r="AN1662" s="182" t="n">
        <v>0</v>
      </c>
    </row>
    <row r="1663">
      <c r="A1663" s="155" t="n">
        <v>46089</v>
      </c>
      <c r="B1663" s="156" t="inlineStr">
        <is>
          <t>NS</t>
        </is>
      </c>
      <c r="C1663" s="156" t="inlineStr">
        <is>
          <t>HT-418</t>
        </is>
      </c>
      <c r="D1663" s="156" t="inlineStr">
        <is>
          <t>SY430</t>
        </is>
      </c>
      <c r="E1663" s="156" t="inlineStr">
        <is>
          <t>DT Hauling</t>
        </is>
      </c>
      <c r="F1663" s="156" t="inlineStr"/>
      <c r="G1663" s="182" t="n">
        <v>0</v>
      </c>
      <c r="H1663" s="182" t="n">
        <v>0</v>
      </c>
      <c r="I1663" s="182" t="n">
        <v>0</v>
      </c>
      <c r="J1663" s="182" t="n">
        <v>0</v>
      </c>
      <c r="K1663" s="182" t="n">
        <v>12</v>
      </c>
      <c r="L1663" s="182" t="n">
        <v>12</v>
      </c>
      <c r="M1663" s="182" t="n">
        <v>0</v>
      </c>
      <c r="N1663" s="182" t="n">
        <v>0</v>
      </c>
      <c r="O1663" s="183" t="n">
        <v>0</v>
      </c>
      <c r="P1663" s="183" t="n">
        <v>0</v>
      </c>
      <c r="Q1663" s="184" t="n">
        <v>0</v>
      </c>
      <c r="R1663" s="184" t="n">
        <v>0</v>
      </c>
      <c r="S1663" s="183" t="n">
        <v>0</v>
      </c>
      <c r="T1663" s="183" t="n">
        <v>0</v>
      </c>
      <c r="U1663" s="182" t="n">
        <v>0</v>
      </c>
      <c r="V1663" s="182" t="n">
        <v>0</v>
      </c>
      <c r="W1663" s="182" t="n">
        <v>0</v>
      </c>
      <c r="X1663" s="182" t="n">
        <v>1</v>
      </c>
      <c r="Y1663" s="182" t="n">
        <v>0</v>
      </c>
      <c r="Z1663" s="182" t="n">
        <v>0</v>
      </c>
      <c r="AA1663" s="182" t="n">
        <v>0</v>
      </c>
      <c r="AB1663" s="182" t="n">
        <v>0</v>
      </c>
      <c r="AC1663" s="182" t="n">
        <v>0</v>
      </c>
      <c r="AD1663" s="182" t="n">
        <v>0</v>
      </c>
      <c r="AE1663" s="182" t="n">
        <v>0</v>
      </c>
      <c r="AF1663" s="182" t="n">
        <v>0</v>
      </c>
      <c r="AG1663" s="182" t="n">
        <v>0</v>
      </c>
      <c r="AH1663" s="182" t="n">
        <v>0</v>
      </c>
      <c r="AI1663" s="182" t="n">
        <v>0</v>
      </c>
      <c r="AJ1663" s="182" t="n">
        <v>0</v>
      </c>
      <c r="AK1663" s="182" t="n">
        <v>10.92</v>
      </c>
      <c r="AL1663" s="182" t="n">
        <v>0</v>
      </c>
      <c r="AM1663" s="182" t="n">
        <v>0.08</v>
      </c>
      <c r="AN1663" s="182" t="n">
        <v>0</v>
      </c>
    </row>
    <row r="1664">
      <c r="A1664" s="155" t="n">
        <v>46089</v>
      </c>
      <c r="B1664" s="156" t="inlineStr">
        <is>
          <t>NS</t>
        </is>
      </c>
      <c r="C1664" s="156" t="inlineStr">
        <is>
          <t>HT-404</t>
        </is>
      </c>
      <c r="D1664" s="156" t="inlineStr">
        <is>
          <t>SY430</t>
        </is>
      </c>
      <c r="E1664" s="156" t="inlineStr">
        <is>
          <t>DT Hauling</t>
        </is>
      </c>
      <c r="F1664" s="156" t="inlineStr"/>
      <c r="G1664" s="182" t="n">
        <v>0</v>
      </c>
      <c r="H1664" s="182" t="n">
        <v>0</v>
      </c>
      <c r="I1664" s="182" t="n">
        <v>12</v>
      </c>
      <c r="J1664" s="182" t="n">
        <v>12</v>
      </c>
      <c r="K1664" s="182" t="n">
        <v>0</v>
      </c>
      <c r="L1664" s="182" t="n">
        <v>12</v>
      </c>
      <c r="M1664" s="182" t="n">
        <v>0</v>
      </c>
      <c r="N1664" s="182" t="n">
        <v>0</v>
      </c>
      <c r="O1664" s="183" t="n">
        <v>0</v>
      </c>
      <c r="P1664" s="183" t="n">
        <v>0</v>
      </c>
      <c r="Q1664" s="184" t="n">
        <v>0</v>
      </c>
      <c r="R1664" s="184" t="n">
        <v>0</v>
      </c>
      <c r="S1664" s="183" t="n">
        <v>0</v>
      </c>
      <c r="T1664" s="183" t="n">
        <v>0</v>
      </c>
      <c r="U1664" s="182" t="n">
        <v>0</v>
      </c>
      <c r="V1664" s="182" t="n">
        <v>0</v>
      </c>
      <c r="W1664" s="182" t="n">
        <v>0</v>
      </c>
      <c r="X1664" s="182" t="n">
        <v>0</v>
      </c>
      <c r="Y1664" s="182" t="n">
        <v>0</v>
      </c>
      <c r="Z1664" s="182" t="n">
        <v>0</v>
      </c>
      <c r="AA1664" s="182" t="n">
        <v>0</v>
      </c>
      <c r="AB1664" s="182" t="n">
        <v>0</v>
      </c>
      <c r="AC1664" s="182" t="n">
        <v>0</v>
      </c>
      <c r="AD1664" s="182" t="n">
        <v>0</v>
      </c>
      <c r="AE1664" s="182" t="n">
        <v>0</v>
      </c>
      <c r="AF1664" s="182" t="n">
        <v>0</v>
      </c>
      <c r="AG1664" s="182" t="n">
        <v>0</v>
      </c>
      <c r="AH1664" s="182" t="n">
        <v>0</v>
      </c>
      <c r="AI1664" s="182" t="n">
        <v>0</v>
      </c>
      <c r="AJ1664" s="182" t="n">
        <v>0</v>
      </c>
      <c r="AK1664" s="182" t="n">
        <v>0</v>
      </c>
      <c r="AL1664" s="182" t="n">
        <v>0</v>
      </c>
      <c r="AM1664" s="182" t="n">
        <v>0</v>
      </c>
      <c r="AN1664" s="182" t="n">
        <v>0</v>
      </c>
    </row>
    <row r="1665">
      <c r="A1665" s="155" t="n">
        <v>46089</v>
      </c>
      <c r="B1665" s="156" t="inlineStr">
        <is>
          <t>NS</t>
        </is>
      </c>
      <c r="C1665" s="156" t="inlineStr">
        <is>
          <t>HT-415</t>
        </is>
      </c>
      <c r="D1665" s="156" t="inlineStr">
        <is>
          <t>SY430</t>
        </is>
      </c>
      <c r="E1665" s="156" t="inlineStr">
        <is>
          <t>DT Hauling</t>
        </is>
      </c>
      <c r="F1665" s="156" t="inlineStr"/>
      <c r="G1665" s="182" t="n">
        <v>0</v>
      </c>
      <c r="H1665" s="182" t="n">
        <v>0</v>
      </c>
      <c r="I1665" s="182" t="n">
        <v>12</v>
      </c>
      <c r="J1665" s="182" t="n">
        <v>12</v>
      </c>
      <c r="K1665" s="182" t="n">
        <v>0</v>
      </c>
      <c r="L1665" s="182" t="n">
        <v>12</v>
      </c>
      <c r="M1665" s="182" t="n">
        <v>0</v>
      </c>
      <c r="N1665" s="182" t="n">
        <v>0</v>
      </c>
      <c r="O1665" s="183" t="n">
        <v>0</v>
      </c>
      <c r="P1665" s="183" t="n">
        <v>0</v>
      </c>
      <c r="Q1665" s="184" t="n">
        <v>0</v>
      </c>
      <c r="R1665" s="184" t="n">
        <v>0</v>
      </c>
      <c r="S1665" s="183" t="n">
        <v>0</v>
      </c>
      <c r="T1665" s="183" t="n">
        <v>0</v>
      </c>
      <c r="U1665" s="182" t="n">
        <v>0</v>
      </c>
      <c r="V1665" s="182" t="n">
        <v>0</v>
      </c>
      <c r="W1665" s="182" t="n">
        <v>0</v>
      </c>
      <c r="X1665" s="182" t="n">
        <v>0</v>
      </c>
      <c r="Y1665" s="182" t="n">
        <v>0</v>
      </c>
      <c r="Z1665" s="182" t="n">
        <v>0</v>
      </c>
      <c r="AA1665" s="182" t="n">
        <v>0</v>
      </c>
      <c r="AB1665" s="182" t="n">
        <v>0</v>
      </c>
      <c r="AC1665" s="182" t="n">
        <v>0</v>
      </c>
      <c r="AD1665" s="182" t="n">
        <v>0</v>
      </c>
      <c r="AE1665" s="182" t="n">
        <v>0</v>
      </c>
      <c r="AF1665" s="182" t="n">
        <v>0</v>
      </c>
      <c r="AG1665" s="182" t="n">
        <v>0</v>
      </c>
      <c r="AH1665" s="182" t="n">
        <v>0</v>
      </c>
      <c r="AI1665" s="182" t="n">
        <v>0</v>
      </c>
      <c r="AJ1665" s="182" t="n">
        <v>0</v>
      </c>
      <c r="AK1665" s="182" t="n">
        <v>0</v>
      </c>
      <c r="AL1665" s="182" t="n">
        <v>0</v>
      </c>
      <c r="AM1665" s="182" t="n">
        <v>0</v>
      </c>
      <c r="AN1665" s="182" t="n">
        <v>0</v>
      </c>
    </row>
    <row r="1666">
      <c r="A1666" s="155" t="n">
        <v>46089</v>
      </c>
      <c r="B1666" s="156" t="inlineStr">
        <is>
          <t>NS</t>
        </is>
      </c>
      <c r="C1666" s="156" t="inlineStr">
        <is>
          <t>HT-406</t>
        </is>
      </c>
      <c r="D1666" s="156" t="inlineStr">
        <is>
          <t>SY430</t>
        </is>
      </c>
      <c r="E1666" s="156" t="inlineStr">
        <is>
          <t>DT Hauling</t>
        </is>
      </c>
      <c r="F1666" s="156" t="inlineStr"/>
      <c r="G1666" s="182" t="n">
        <v>0</v>
      </c>
      <c r="H1666" s="182" t="n">
        <v>0</v>
      </c>
      <c r="I1666" s="182" t="n">
        <v>12</v>
      </c>
      <c r="J1666" s="182" t="n">
        <v>12</v>
      </c>
      <c r="K1666" s="182" t="n">
        <v>0</v>
      </c>
      <c r="L1666" s="182" t="n">
        <v>12</v>
      </c>
      <c r="M1666" s="182" t="n">
        <v>0</v>
      </c>
      <c r="N1666" s="182" t="n">
        <v>0</v>
      </c>
      <c r="O1666" s="183" t="n">
        <v>0</v>
      </c>
      <c r="P1666" s="183" t="n">
        <v>0</v>
      </c>
      <c r="Q1666" s="184" t="n">
        <v>0</v>
      </c>
      <c r="R1666" s="184" t="n">
        <v>0</v>
      </c>
      <c r="S1666" s="183" t="n">
        <v>0</v>
      </c>
      <c r="T1666" s="183" t="n">
        <v>0</v>
      </c>
      <c r="U1666" s="182" t="n">
        <v>0</v>
      </c>
      <c r="V1666" s="182" t="n">
        <v>0</v>
      </c>
      <c r="W1666" s="182" t="n">
        <v>0</v>
      </c>
      <c r="X1666" s="182" t="n">
        <v>0</v>
      </c>
      <c r="Y1666" s="182" t="n">
        <v>0</v>
      </c>
      <c r="Z1666" s="182" t="n">
        <v>0</v>
      </c>
      <c r="AA1666" s="182" t="n">
        <v>0</v>
      </c>
      <c r="AB1666" s="182" t="n">
        <v>0</v>
      </c>
      <c r="AC1666" s="182" t="n">
        <v>0</v>
      </c>
      <c r="AD1666" s="182" t="n">
        <v>0</v>
      </c>
      <c r="AE1666" s="182" t="n">
        <v>0</v>
      </c>
      <c r="AF1666" s="182" t="n">
        <v>0</v>
      </c>
      <c r="AG1666" s="182" t="n">
        <v>0</v>
      </c>
      <c r="AH1666" s="182" t="n">
        <v>0</v>
      </c>
      <c r="AI1666" s="182" t="n">
        <v>0</v>
      </c>
      <c r="AJ1666" s="182" t="n">
        <v>0</v>
      </c>
      <c r="AK1666" s="182" t="n">
        <v>0</v>
      </c>
      <c r="AL1666" s="182" t="n">
        <v>0</v>
      </c>
      <c r="AM1666" s="182" t="n">
        <v>0</v>
      </c>
      <c r="AN1666" s="182" t="n">
        <v>0</v>
      </c>
    </row>
    <row r="1667">
      <c r="A1667" s="155" t="n">
        <v>46089</v>
      </c>
      <c r="B1667" s="156" t="inlineStr">
        <is>
          <t>NS</t>
        </is>
      </c>
      <c r="C1667" s="156" t="inlineStr">
        <is>
          <t>HT-405</t>
        </is>
      </c>
      <c r="D1667" s="156" t="inlineStr">
        <is>
          <t>SY430</t>
        </is>
      </c>
      <c r="E1667" s="156" t="inlineStr">
        <is>
          <t>DT Hauling</t>
        </is>
      </c>
      <c r="F1667" s="156" t="inlineStr"/>
      <c r="G1667" s="182" t="n">
        <v>0</v>
      </c>
      <c r="H1667" s="182" t="n">
        <v>0</v>
      </c>
      <c r="I1667" s="182" t="n">
        <v>0</v>
      </c>
      <c r="J1667" s="182" t="n">
        <v>0</v>
      </c>
      <c r="K1667" s="182" t="n">
        <v>12</v>
      </c>
      <c r="L1667" s="182" t="n">
        <v>12</v>
      </c>
      <c r="M1667" s="182" t="n">
        <v>0</v>
      </c>
      <c r="N1667" s="182" t="n">
        <v>0</v>
      </c>
      <c r="O1667" s="183" t="n">
        <v>0</v>
      </c>
      <c r="P1667" s="183" t="n">
        <v>0</v>
      </c>
      <c r="Q1667" s="184" t="n">
        <v>0</v>
      </c>
      <c r="R1667" s="184" t="n">
        <v>0</v>
      </c>
      <c r="S1667" s="183" t="n">
        <v>0</v>
      </c>
      <c r="T1667" s="183" t="n">
        <v>0</v>
      </c>
      <c r="U1667" s="182" t="n">
        <v>0</v>
      </c>
      <c r="V1667" s="182" t="n">
        <v>0</v>
      </c>
      <c r="W1667" s="182" t="n">
        <v>0</v>
      </c>
      <c r="X1667" s="182" t="n">
        <v>1</v>
      </c>
      <c r="Y1667" s="182" t="n">
        <v>0</v>
      </c>
      <c r="Z1667" s="182" t="n">
        <v>0</v>
      </c>
      <c r="AA1667" s="182" t="n">
        <v>0</v>
      </c>
      <c r="AB1667" s="182" t="n">
        <v>0</v>
      </c>
      <c r="AC1667" s="182" t="n">
        <v>0</v>
      </c>
      <c r="AD1667" s="182" t="n">
        <v>0</v>
      </c>
      <c r="AE1667" s="182" t="n">
        <v>0</v>
      </c>
      <c r="AF1667" s="182" t="n">
        <v>0</v>
      </c>
      <c r="AG1667" s="182" t="n">
        <v>0</v>
      </c>
      <c r="AH1667" s="182" t="n">
        <v>0</v>
      </c>
      <c r="AI1667" s="182" t="n">
        <v>0</v>
      </c>
      <c r="AJ1667" s="182" t="n">
        <v>0</v>
      </c>
      <c r="AK1667" s="182" t="n">
        <v>10.92</v>
      </c>
      <c r="AL1667" s="182" t="n">
        <v>0</v>
      </c>
      <c r="AM1667" s="182" t="n">
        <v>0.08</v>
      </c>
      <c r="AN1667" s="182" t="n">
        <v>0</v>
      </c>
    </row>
    <row r="1668">
      <c r="A1668" s="155" t="n">
        <v>46089</v>
      </c>
      <c r="B1668" s="156" t="inlineStr">
        <is>
          <t>NS</t>
        </is>
      </c>
      <c r="C1668" s="156" t="inlineStr">
        <is>
          <t>HT-417</t>
        </is>
      </c>
      <c r="D1668" s="156" t="inlineStr">
        <is>
          <t>SY430</t>
        </is>
      </c>
      <c r="E1668" s="156" t="inlineStr">
        <is>
          <t>DT Hauling</t>
        </is>
      </c>
      <c r="F1668" s="156" t="inlineStr"/>
      <c r="G1668" s="182" t="n">
        <v>0</v>
      </c>
      <c r="H1668" s="182" t="n">
        <v>0</v>
      </c>
      <c r="I1668" s="182" t="n">
        <v>0</v>
      </c>
      <c r="J1668" s="182" t="n">
        <v>0</v>
      </c>
      <c r="K1668" s="182" t="n">
        <v>12</v>
      </c>
      <c r="L1668" s="182" t="n">
        <v>12</v>
      </c>
      <c r="M1668" s="182" t="n">
        <v>0</v>
      </c>
      <c r="N1668" s="182" t="n">
        <v>0</v>
      </c>
      <c r="O1668" s="183" t="n">
        <v>0</v>
      </c>
      <c r="P1668" s="183" t="n">
        <v>0</v>
      </c>
      <c r="Q1668" s="184" t="n">
        <v>0</v>
      </c>
      <c r="R1668" s="184" t="n">
        <v>0</v>
      </c>
      <c r="S1668" s="183" t="n">
        <v>0</v>
      </c>
      <c r="T1668" s="183" t="n">
        <v>0</v>
      </c>
      <c r="U1668" s="182" t="n">
        <v>0</v>
      </c>
      <c r="V1668" s="182" t="n">
        <v>0</v>
      </c>
      <c r="W1668" s="182" t="n">
        <v>0</v>
      </c>
      <c r="X1668" s="182" t="n">
        <v>1</v>
      </c>
      <c r="Y1668" s="182" t="n">
        <v>0</v>
      </c>
      <c r="Z1668" s="182" t="n">
        <v>0</v>
      </c>
      <c r="AA1668" s="182" t="n">
        <v>0</v>
      </c>
      <c r="AB1668" s="182" t="n">
        <v>0</v>
      </c>
      <c r="AC1668" s="182" t="n">
        <v>0</v>
      </c>
      <c r="AD1668" s="182" t="n">
        <v>0</v>
      </c>
      <c r="AE1668" s="182" t="n">
        <v>0</v>
      </c>
      <c r="AF1668" s="182" t="n">
        <v>0</v>
      </c>
      <c r="AG1668" s="182" t="n">
        <v>0</v>
      </c>
      <c r="AH1668" s="182" t="n">
        <v>0</v>
      </c>
      <c r="AI1668" s="182" t="n">
        <v>0</v>
      </c>
      <c r="AJ1668" s="182" t="n">
        <v>0</v>
      </c>
      <c r="AK1668" s="182" t="n">
        <v>10.92</v>
      </c>
      <c r="AL1668" s="182" t="n">
        <v>0</v>
      </c>
      <c r="AM1668" s="182" t="n">
        <v>0.08</v>
      </c>
      <c r="AN1668" s="182" t="n">
        <v>0</v>
      </c>
    </row>
    <row r="1669">
      <c r="A1669" s="155" t="n">
        <v>46089</v>
      </c>
      <c r="B1669" s="156" t="inlineStr">
        <is>
          <t>NS</t>
        </is>
      </c>
      <c r="C1669" s="156" t="inlineStr">
        <is>
          <t>HT-401</t>
        </is>
      </c>
      <c r="D1669" s="156" t="inlineStr">
        <is>
          <t>SY430</t>
        </is>
      </c>
      <c r="E1669" s="156" t="inlineStr">
        <is>
          <t>DT Hauling</t>
        </is>
      </c>
      <c r="F1669" s="156" t="inlineStr"/>
      <c r="G1669" s="182" t="n">
        <v>0</v>
      </c>
      <c r="H1669" s="182" t="n">
        <v>0</v>
      </c>
      <c r="I1669" s="182" t="n">
        <v>0</v>
      </c>
      <c r="J1669" s="182" t="n">
        <v>0</v>
      </c>
      <c r="K1669" s="182" t="n">
        <v>12</v>
      </c>
      <c r="L1669" s="182" t="n">
        <v>12</v>
      </c>
      <c r="M1669" s="182" t="n">
        <v>0</v>
      </c>
      <c r="N1669" s="182" t="n">
        <v>0</v>
      </c>
      <c r="O1669" s="183" t="n">
        <v>0</v>
      </c>
      <c r="P1669" s="183" t="n">
        <v>0</v>
      </c>
      <c r="Q1669" s="184" t="n">
        <v>0</v>
      </c>
      <c r="R1669" s="184" t="n">
        <v>0</v>
      </c>
      <c r="S1669" s="183" t="n">
        <v>0</v>
      </c>
      <c r="T1669" s="183" t="n">
        <v>0</v>
      </c>
      <c r="U1669" s="182" t="n">
        <v>0</v>
      </c>
      <c r="V1669" s="182" t="n">
        <v>0</v>
      </c>
      <c r="W1669" s="182" t="n">
        <v>0</v>
      </c>
      <c r="X1669" s="182" t="n">
        <v>1</v>
      </c>
      <c r="Y1669" s="182" t="n">
        <v>0</v>
      </c>
      <c r="Z1669" s="182" t="n">
        <v>0</v>
      </c>
      <c r="AA1669" s="182" t="n">
        <v>0</v>
      </c>
      <c r="AB1669" s="182" t="n">
        <v>0</v>
      </c>
      <c r="AC1669" s="182" t="n">
        <v>0</v>
      </c>
      <c r="AD1669" s="182" t="n">
        <v>0</v>
      </c>
      <c r="AE1669" s="182" t="n">
        <v>0</v>
      </c>
      <c r="AF1669" s="182" t="n">
        <v>0</v>
      </c>
      <c r="AG1669" s="182" t="n">
        <v>0</v>
      </c>
      <c r="AH1669" s="182" t="n">
        <v>0</v>
      </c>
      <c r="AI1669" s="182" t="n">
        <v>0</v>
      </c>
      <c r="AJ1669" s="182" t="n">
        <v>0</v>
      </c>
      <c r="AK1669" s="182" t="n">
        <v>10.92</v>
      </c>
      <c r="AL1669" s="182" t="n">
        <v>0</v>
      </c>
      <c r="AM1669" s="182" t="n">
        <v>0.08</v>
      </c>
      <c r="AN1669" s="182" t="n">
        <v>0</v>
      </c>
    </row>
    <row r="1670">
      <c r="A1670" s="155" t="n">
        <v>46089</v>
      </c>
      <c r="B1670" s="156" t="inlineStr">
        <is>
          <t>NS</t>
        </is>
      </c>
      <c r="C1670" s="156" t="inlineStr">
        <is>
          <t>HT-410</t>
        </is>
      </c>
      <c r="D1670" s="156" t="inlineStr">
        <is>
          <t>SY430</t>
        </is>
      </c>
      <c r="E1670" s="156" t="inlineStr">
        <is>
          <t>DT Hauling</t>
        </is>
      </c>
      <c r="F1670" s="156" t="inlineStr"/>
      <c r="G1670" s="182" t="n">
        <v>0</v>
      </c>
      <c r="H1670" s="182" t="n">
        <v>0</v>
      </c>
      <c r="I1670" s="182" t="n">
        <v>0</v>
      </c>
      <c r="J1670" s="182" t="n">
        <v>0</v>
      </c>
      <c r="K1670" s="182" t="n">
        <v>12</v>
      </c>
      <c r="L1670" s="182" t="n">
        <v>12</v>
      </c>
      <c r="M1670" s="182" t="n">
        <v>0</v>
      </c>
      <c r="N1670" s="182" t="n">
        <v>0</v>
      </c>
      <c r="O1670" s="183" t="n">
        <v>0</v>
      </c>
      <c r="P1670" s="183" t="n">
        <v>0</v>
      </c>
      <c r="Q1670" s="184" t="n">
        <v>0</v>
      </c>
      <c r="R1670" s="184" t="n">
        <v>0</v>
      </c>
      <c r="S1670" s="183" t="n">
        <v>0</v>
      </c>
      <c r="T1670" s="183" t="n">
        <v>0</v>
      </c>
      <c r="U1670" s="182" t="n">
        <v>0</v>
      </c>
      <c r="V1670" s="182" t="n">
        <v>0</v>
      </c>
      <c r="W1670" s="182" t="n">
        <v>0</v>
      </c>
      <c r="X1670" s="182" t="n">
        <v>1</v>
      </c>
      <c r="Y1670" s="182" t="n">
        <v>0</v>
      </c>
      <c r="Z1670" s="182" t="n">
        <v>0</v>
      </c>
      <c r="AA1670" s="182" t="n">
        <v>0</v>
      </c>
      <c r="AB1670" s="182" t="n">
        <v>0</v>
      </c>
      <c r="AC1670" s="182" t="n">
        <v>0</v>
      </c>
      <c r="AD1670" s="182" t="n">
        <v>0</v>
      </c>
      <c r="AE1670" s="182" t="n">
        <v>0</v>
      </c>
      <c r="AF1670" s="182" t="n">
        <v>0</v>
      </c>
      <c r="AG1670" s="182" t="n">
        <v>0</v>
      </c>
      <c r="AH1670" s="182" t="n">
        <v>0</v>
      </c>
      <c r="AI1670" s="182" t="n">
        <v>0</v>
      </c>
      <c r="AJ1670" s="182" t="n">
        <v>0</v>
      </c>
      <c r="AK1670" s="182" t="n">
        <v>10.92</v>
      </c>
      <c r="AL1670" s="182" t="n">
        <v>0</v>
      </c>
      <c r="AM1670" s="182" t="n">
        <v>0.08</v>
      </c>
      <c r="AN1670" s="182" t="n">
        <v>0</v>
      </c>
    </row>
    <row r="1671">
      <c r="A1671" s="155" t="n">
        <v>46089</v>
      </c>
      <c r="B1671" s="156" t="inlineStr">
        <is>
          <t>NS</t>
        </is>
      </c>
      <c r="C1671" s="156" t="inlineStr">
        <is>
          <t>HT-402</t>
        </is>
      </c>
      <c r="D1671" s="156" t="inlineStr">
        <is>
          <t>SY430</t>
        </is>
      </c>
      <c r="E1671" s="156" t="inlineStr">
        <is>
          <t>DT Hauling</t>
        </is>
      </c>
      <c r="F1671" s="156" t="inlineStr"/>
      <c r="G1671" s="182" t="n">
        <v>0</v>
      </c>
      <c r="H1671" s="182" t="n">
        <v>0</v>
      </c>
      <c r="I1671" s="182" t="n">
        <v>0</v>
      </c>
      <c r="J1671" s="182" t="n">
        <v>0</v>
      </c>
      <c r="K1671" s="182" t="n">
        <v>12</v>
      </c>
      <c r="L1671" s="182" t="n">
        <v>12</v>
      </c>
      <c r="M1671" s="182" t="n">
        <v>0</v>
      </c>
      <c r="N1671" s="182" t="n">
        <v>0</v>
      </c>
      <c r="O1671" s="183" t="n">
        <v>0</v>
      </c>
      <c r="P1671" s="183" t="n">
        <v>0</v>
      </c>
      <c r="Q1671" s="184" t="n">
        <v>0</v>
      </c>
      <c r="R1671" s="184" t="n">
        <v>0</v>
      </c>
      <c r="S1671" s="183" t="n">
        <v>0</v>
      </c>
      <c r="T1671" s="183" t="n">
        <v>0</v>
      </c>
      <c r="U1671" s="182" t="n">
        <v>0</v>
      </c>
      <c r="V1671" s="182" t="n">
        <v>0</v>
      </c>
      <c r="W1671" s="182" t="n">
        <v>0</v>
      </c>
      <c r="X1671" s="182" t="n">
        <v>1</v>
      </c>
      <c r="Y1671" s="182" t="n">
        <v>0</v>
      </c>
      <c r="Z1671" s="182" t="n">
        <v>0</v>
      </c>
      <c r="AA1671" s="182" t="n">
        <v>0</v>
      </c>
      <c r="AB1671" s="182" t="n">
        <v>0</v>
      </c>
      <c r="AC1671" s="182" t="n">
        <v>0</v>
      </c>
      <c r="AD1671" s="182" t="n">
        <v>0</v>
      </c>
      <c r="AE1671" s="182" t="n">
        <v>0</v>
      </c>
      <c r="AF1671" s="182" t="n">
        <v>0</v>
      </c>
      <c r="AG1671" s="182" t="n">
        <v>0</v>
      </c>
      <c r="AH1671" s="182" t="n">
        <v>0</v>
      </c>
      <c r="AI1671" s="182" t="n">
        <v>0</v>
      </c>
      <c r="AJ1671" s="182" t="n">
        <v>0</v>
      </c>
      <c r="AK1671" s="182" t="n">
        <v>10.92</v>
      </c>
      <c r="AL1671" s="182" t="n">
        <v>0</v>
      </c>
      <c r="AM1671" s="182" t="n">
        <v>0.08</v>
      </c>
      <c r="AN1671" s="182" t="n">
        <v>0</v>
      </c>
    </row>
    <row r="1672">
      <c r="A1672" s="155" t="n">
        <v>46089</v>
      </c>
      <c r="B1672" s="156" t="inlineStr">
        <is>
          <t>NS</t>
        </is>
      </c>
      <c r="C1672" s="156" t="inlineStr">
        <is>
          <t>HT-419</t>
        </is>
      </c>
      <c r="D1672" s="156" t="inlineStr">
        <is>
          <t>SY430</t>
        </is>
      </c>
      <c r="E1672" s="156" t="inlineStr">
        <is>
          <t>DT Hauling</t>
        </is>
      </c>
      <c r="F1672" s="156" t="inlineStr"/>
      <c r="G1672" s="182" t="n">
        <v>0</v>
      </c>
      <c r="H1672" s="182" t="n">
        <v>0</v>
      </c>
      <c r="I1672" s="182" t="n">
        <v>0</v>
      </c>
      <c r="J1672" s="182" t="n">
        <v>0</v>
      </c>
      <c r="K1672" s="182" t="n">
        <v>12</v>
      </c>
      <c r="L1672" s="182" t="n">
        <v>12</v>
      </c>
      <c r="M1672" s="182" t="n">
        <v>0</v>
      </c>
      <c r="N1672" s="182" t="n">
        <v>0</v>
      </c>
      <c r="O1672" s="183" t="n">
        <v>0</v>
      </c>
      <c r="P1672" s="183" t="n">
        <v>0</v>
      </c>
      <c r="Q1672" s="184" t="n">
        <v>0</v>
      </c>
      <c r="R1672" s="184" t="n">
        <v>0</v>
      </c>
      <c r="S1672" s="183" t="n">
        <v>0</v>
      </c>
      <c r="T1672" s="183" t="n">
        <v>0</v>
      </c>
      <c r="U1672" s="182" t="n">
        <v>0</v>
      </c>
      <c r="V1672" s="182" t="n">
        <v>0</v>
      </c>
      <c r="W1672" s="182" t="n">
        <v>0</v>
      </c>
      <c r="X1672" s="182" t="n">
        <v>1</v>
      </c>
      <c r="Y1672" s="182" t="n">
        <v>0</v>
      </c>
      <c r="Z1672" s="182" t="n">
        <v>0</v>
      </c>
      <c r="AA1672" s="182" t="n">
        <v>0</v>
      </c>
      <c r="AB1672" s="182" t="n">
        <v>0</v>
      </c>
      <c r="AC1672" s="182" t="n">
        <v>0</v>
      </c>
      <c r="AD1672" s="182" t="n">
        <v>0</v>
      </c>
      <c r="AE1672" s="182" t="n">
        <v>0</v>
      </c>
      <c r="AF1672" s="182" t="n">
        <v>0</v>
      </c>
      <c r="AG1672" s="182" t="n">
        <v>0</v>
      </c>
      <c r="AH1672" s="182" t="n">
        <v>0</v>
      </c>
      <c r="AI1672" s="182" t="n">
        <v>0</v>
      </c>
      <c r="AJ1672" s="182" t="n">
        <v>0</v>
      </c>
      <c r="AK1672" s="182" t="n">
        <v>10.92</v>
      </c>
      <c r="AL1672" s="182" t="n">
        <v>0</v>
      </c>
      <c r="AM1672" s="182" t="n">
        <v>0.08</v>
      </c>
      <c r="AN1672" s="182" t="n">
        <v>0</v>
      </c>
    </row>
    <row r="1673">
      <c r="A1673" s="155" t="n">
        <v>46089</v>
      </c>
      <c r="B1673" s="156" t="inlineStr">
        <is>
          <t>NS</t>
        </is>
      </c>
      <c r="C1673" s="156" t="inlineStr">
        <is>
          <t>HT-416</t>
        </is>
      </c>
      <c r="D1673" s="156" t="inlineStr">
        <is>
          <t>SY430</t>
        </is>
      </c>
      <c r="E1673" s="156" t="inlineStr">
        <is>
          <t>DT Hauling</t>
        </is>
      </c>
      <c r="F1673" s="156" t="inlineStr"/>
      <c r="G1673" s="182" t="n">
        <v>0</v>
      </c>
      <c r="H1673" s="182" t="n">
        <v>0</v>
      </c>
      <c r="I1673" s="182" t="n">
        <v>0</v>
      </c>
      <c r="J1673" s="182" t="n">
        <v>0</v>
      </c>
      <c r="K1673" s="182" t="n">
        <v>12</v>
      </c>
      <c r="L1673" s="182" t="n">
        <v>12</v>
      </c>
      <c r="M1673" s="182" t="n">
        <v>0</v>
      </c>
      <c r="N1673" s="182" t="n">
        <v>0</v>
      </c>
      <c r="O1673" s="183" t="n">
        <v>0</v>
      </c>
      <c r="P1673" s="183" t="n">
        <v>0</v>
      </c>
      <c r="Q1673" s="184" t="n">
        <v>0</v>
      </c>
      <c r="R1673" s="184" t="n">
        <v>0</v>
      </c>
      <c r="S1673" s="183" t="n">
        <v>0</v>
      </c>
      <c r="T1673" s="183" t="n">
        <v>0</v>
      </c>
      <c r="U1673" s="182" t="n">
        <v>0</v>
      </c>
      <c r="V1673" s="182" t="n">
        <v>0</v>
      </c>
      <c r="W1673" s="182" t="n">
        <v>0</v>
      </c>
      <c r="X1673" s="182" t="n">
        <v>1</v>
      </c>
      <c r="Y1673" s="182" t="n">
        <v>0</v>
      </c>
      <c r="Z1673" s="182" t="n">
        <v>0</v>
      </c>
      <c r="AA1673" s="182" t="n">
        <v>0</v>
      </c>
      <c r="AB1673" s="182" t="n">
        <v>0</v>
      </c>
      <c r="AC1673" s="182" t="n">
        <v>0</v>
      </c>
      <c r="AD1673" s="182" t="n">
        <v>0</v>
      </c>
      <c r="AE1673" s="182" t="n">
        <v>0</v>
      </c>
      <c r="AF1673" s="182" t="n">
        <v>0</v>
      </c>
      <c r="AG1673" s="182" t="n">
        <v>0</v>
      </c>
      <c r="AH1673" s="182" t="n">
        <v>0</v>
      </c>
      <c r="AI1673" s="182" t="n">
        <v>0</v>
      </c>
      <c r="AJ1673" s="182" t="n">
        <v>0</v>
      </c>
      <c r="AK1673" s="182" t="n">
        <v>10.92</v>
      </c>
      <c r="AL1673" s="182" t="n">
        <v>0</v>
      </c>
      <c r="AM1673" s="182" t="n">
        <v>0.08</v>
      </c>
      <c r="AN1673" s="182" t="n">
        <v>0</v>
      </c>
    </row>
    <row r="1674">
      <c r="A1674" s="155" t="n">
        <v>46089</v>
      </c>
      <c r="B1674" s="156" t="inlineStr">
        <is>
          <t>NS</t>
        </is>
      </c>
      <c r="C1674" s="156" t="inlineStr">
        <is>
          <t>HT-420</t>
        </is>
      </c>
      <c r="D1674" s="156" t="inlineStr">
        <is>
          <t>SY430</t>
        </is>
      </c>
      <c r="E1674" s="156" t="inlineStr">
        <is>
          <t>DT Hauling</t>
        </is>
      </c>
      <c r="F1674" s="156" t="inlineStr"/>
      <c r="G1674" s="182" t="n">
        <v>0</v>
      </c>
      <c r="H1674" s="182" t="n">
        <v>0</v>
      </c>
      <c r="I1674" s="182" t="n">
        <v>0</v>
      </c>
      <c r="J1674" s="182" t="n">
        <v>0</v>
      </c>
      <c r="K1674" s="182" t="n">
        <v>12</v>
      </c>
      <c r="L1674" s="182" t="n">
        <v>12</v>
      </c>
      <c r="M1674" s="182" t="n">
        <v>0</v>
      </c>
      <c r="N1674" s="182" t="n">
        <v>0</v>
      </c>
      <c r="O1674" s="183" t="n">
        <v>0</v>
      </c>
      <c r="P1674" s="183" t="n">
        <v>0</v>
      </c>
      <c r="Q1674" s="184" t="n">
        <v>0</v>
      </c>
      <c r="R1674" s="184" t="n">
        <v>0</v>
      </c>
      <c r="S1674" s="183" t="n">
        <v>0</v>
      </c>
      <c r="T1674" s="183" t="n">
        <v>0</v>
      </c>
      <c r="U1674" s="182" t="n">
        <v>0</v>
      </c>
      <c r="V1674" s="182" t="n">
        <v>0</v>
      </c>
      <c r="W1674" s="182" t="n">
        <v>0</v>
      </c>
      <c r="X1674" s="182" t="n">
        <v>1</v>
      </c>
      <c r="Y1674" s="182" t="n">
        <v>0</v>
      </c>
      <c r="Z1674" s="182" t="n">
        <v>0</v>
      </c>
      <c r="AA1674" s="182" t="n">
        <v>0</v>
      </c>
      <c r="AB1674" s="182" t="n">
        <v>0</v>
      </c>
      <c r="AC1674" s="182" t="n">
        <v>0</v>
      </c>
      <c r="AD1674" s="182" t="n">
        <v>0</v>
      </c>
      <c r="AE1674" s="182" t="n">
        <v>0</v>
      </c>
      <c r="AF1674" s="182" t="n">
        <v>0</v>
      </c>
      <c r="AG1674" s="182" t="n">
        <v>0</v>
      </c>
      <c r="AH1674" s="182" t="n">
        <v>0</v>
      </c>
      <c r="AI1674" s="182" t="n">
        <v>0</v>
      </c>
      <c r="AJ1674" s="182" t="n">
        <v>0</v>
      </c>
      <c r="AK1674" s="182" t="n">
        <v>10.92</v>
      </c>
      <c r="AL1674" s="182" t="n">
        <v>0</v>
      </c>
      <c r="AM1674" s="182" t="n">
        <v>0.08</v>
      </c>
      <c r="AN1674" s="182" t="n">
        <v>0</v>
      </c>
    </row>
    <row r="1675">
      <c r="A1675" s="155" t="n">
        <v>46089</v>
      </c>
      <c r="B1675" s="156" t="inlineStr">
        <is>
          <t>NS</t>
        </is>
      </c>
      <c r="C1675" s="156" t="inlineStr">
        <is>
          <t>HT-403</t>
        </is>
      </c>
      <c r="D1675" s="156" t="inlineStr">
        <is>
          <t>SY430</t>
        </is>
      </c>
      <c r="E1675" s="156" t="inlineStr">
        <is>
          <t>DT Hauling</t>
        </is>
      </c>
      <c r="F1675" s="156" t="inlineStr"/>
      <c r="G1675" s="182" t="n">
        <v>0</v>
      </c>
      <c r="H1675" s="182" t="n">
        <v>0</v>
      </c>
      <c r="I1675" s="182" t="n">
        <v>0</v>
      </c>
      <c r="J1675" s="182" t="n">
        <v>0</v>
      </c>
      <c r="K1675" s="182" t="n">
        <v>12</v>
      </c>
      <c r="L1675" s="182" t="n">
        <v>12</v>
      </c>
      <c r="M1675" s="182" t="n">
        <v>0</v>
      </c>
      <c r="N1675" s="182" t="n">
        <v>0</v>
      </c>
      <c r="O1675" s="183" t="n">
        <v>0</v>
      </c>
      <c r="P1675" s="183" t="n">
        <v>0</v>
      </c>
      <c r="Q1675" s="184" t="n">
        <v>0</v>
      </c>
      <c r="R1675" s="184" t="n">
        <v>0</v>
      </c>
      <c r="S1675" s="183" t="n">
        <v>0</v>
      </c>
      <c r="T1675" s="183" t="n">
        <v>0</v>
      </c>
      <c r="U1675" s="182" t="n">
        <v>0</v>
      </c>
      <c r="V1675" s="182" t="n">
        <v>0</v>
      </c>
      <c r="W1675" s="182" t="n">
        <v>0</v>
      </c>
      <c r="X1675" s="182" t="n">
        <v>1</v>
      </c>
      <c r="Y1675" s="182" t="n">
        <v>0</v>
      </c>
      <c r="Z1675" s="182" t="n">
        <v>0</v>
      </c>
      <c r="AA1675" s="182" t="n">
        <v>0</v>
      </c>
      <c r="AB1675" s="182" t="n">
        <v>0</v>
      </c>
      <c r="AC1675" s="182" t="n">
        <v>0</v>
      </c>
      <c r="AD1675" s="182" t="n">
        <v>0</v>
      </c>
      <c r="AE1675" s="182" t="n">
        <v>0</v>
      </c>
      <c r="AF1675" s="182" t="n">
        <v>0</v>
      </c>
      <c r="AG1675" s="182" t="n">
        <v>0</v>
      </c>
      <c r="AH1675" s="182" t="n">
        <v>0</v>
      </c>
      <c r="AI1675" s="182" t="n">
        <v>0</v>
      </c>
      <c r="AJ1675" s="182" t="n">
        <v>0</v>
      </c>
      <c r="AK1675" s="182" t="n">
        <v>10.92</v>
      </c>
      <c r="AL1675" s="182" t="n">
        <v>0</v>
      </c>
      <c r="AM1675" s="182" t="n">
        <v>0.08</v>
      </c>
      <c r="AN1675" s="182" t="n">
        <v>0</v>
      </c>
    </row>
    <row r="1676">
      <c r="A1676" s="155" t="n">
        <v>46089</v>
      </c>
      <c r="B1676" s="156" t="inlineStr">
        <is>
          <t>NS</t>
        </is>
      </c>
      <c r="C1676" s="156" t="inlineStr">
        <is>
          <t>HT-408</t>
        </is>
      </c>
      <c r="D1676" s="156" t="inlineStr">
        <is>
          <t>SY430</t>
        </is>
      </c>
      <c r="E1676" s="156" t="inlineStr">
        <is>
          <t>DT Hauling</t>
        </is>
      </c>
      <c r="F1676" s="156" t="inlineStr"/>
      <c r="G1676" s="182" t="n">
        <v>0</v>
      </c>
      <c r="H1676" s="182" t="n">
        <v>0</v>
      </c>
      <c r="I1676" s="182" t="n">
        <v>0</v>
      </c>
      <c r="J1676" s="182" t="n">
        <v>0</v>
      </c>
      <c r="K1676" s="182" t="n">
        <v>12</v>
      </c>
      <c r="L1676" s="182" t="n">
        <v>12</v>
      </c>
      <c r="M1676" s="182" t="n">
        <v>0</v>
      </c>
      <c r="N1676" s="182" t="n">
        <v>0</v>
      </c>
      <c r="O1676" s="183" t="n">
        <v>0</v>
      </c>
      <c r="P1676" s="183" t="n">
        <v>0</v>
      </c>
      <c r="Q1676" s="184" t="n">
        <v>0</v>
      </c>
      <c r="R1676" s="184" t="n">
        <v>0</v>
      </c>
      <c r="S1676" s="183" t="n">
        <v>0</v>
      </c>
      <c r="T1676" s="183" t="n">
        <v>0</v>
      </c>
      <c r="U1676" s="182" t="n">
        <v>0</v>
      </c>
      <c r="V1676" s="182" t="n">
        <v>0</v>
      </c>
      <c r="W1676" s="182" t="n">
        <v>0</v>
      </c>
      <c r="X1676" s="182" t="n">
        <v>1</v>
      </c>
      <c r="Y1676" s="182" t="n">
        <v>0</v>
      </c>
      <c r="Z1676" s="182" t="n">
        <v>0</v>
      </c>
      <c r="AA1676" s="182" t="n">
        <v>0</v>
      </c>
      <c r="AB1676" s="182" t="n">
        <v>0</v>
      </c>
      <c r="AC1676" s="182" t="n">
        <v>0</v>
      </c>
      <c r="AD1676" s="182" t="n">
        <v>0</v>
      </c>
      <c r="AE1676" s="182" t="n">
        <v>0</v>
      </c>
      <c r="AF1676" s="182" t="n">
        <v>0</v>
      </c>
      <c r="AG1676" s="182" t="n">
        <v>0</v>
      </c>
      <c r="AH1676" s="182" t="n">
        <v>0</v>
      </c>
      <c r="AI1676" s="182" t="n">
        <v>0</v>
      </c>
      <c r="AJ1676" s="182" t="n">
        <v>0</v>
      </c>
      <c r="AK1676" s="182" t="n">
        <v>10.92</v>
      </c>
      <c r="AL1676" s="182" t="n">
        <v>0</v>
      </c>
      <c r="AM1676" s="182" t="n">
        <v>0.08</v>
      </c>
      <c r="AN1676" s="182" t="n">
        <v>0</v>
      </c>
    </row>
    <row r="1677">
      <c r="A1677" s="155" t="n">
        <v>46089</v>
      </c>
      <c r="B1677" s="156" t="inlineStr">
        <is>
          <t>NS</t>
        </is>
      </c>
      <c r="C1677" s="156" t="inlineStr">
        <is>
          <t>HT-412</t>
        </is>
      </c>
      <c r="D1677" s="156" t="inlineStr">
        <is>
          <t>SY430</t>
        </is>
      </c>
      <c r="E1677" s="156" t="inlineStr">
        <is>
          <t>DT Hauling</t>
        </is>
      </c>
      <c r="F1677" s="156" t="inlineStr"/>
      <c r="G1677" s="182" t="n">
        <v>0</v>
      </c>
      <c r="H1677" s="182" t="n">
        <v>0</v>
      </c>
      <c r="I1677" s="182" t="n">
        <v>0</v>
      </c>
      <c r="J1677" s="182" t="n">
        <v>0</v>
      </c>
      <c r="K1677" s="182" t="n">
        <v>12</v>
      </c>
      <c r="L1677" s="182" t="n">
        <v>12</v>
      </c>
      <c r="M1677" s="182" t="n">
        <v>0</v>
      </c>
      <c r="N1677" s="182" t="n">
        <v>0</v>
      </c>
      <c r="O1677" s="183" t="n">
        <v>0</v>
      </c>
      <c r="P1677" s="183" t="n">
        <v>0</v>
      </c>
      <c r="Q1677" s="184" t="n">
        <v>0</v>
      </c>
      <c r="R1677" s="184" t="n">
        <v>0</v>
      </c>
      <c r="S1677" s="183" t="n">
        <v>0</v>
      </c>
      <c r="T1677" s="183" t="n">
        <v>0</v>
      </c>
      <c r="U1677" s="182" t="n">
        <v>0</v>
      </c>
      <c r="V1677" s="182" t="n">
        <v>0</v>
      </c>
      <c r="W1677" s="182" t="n">
        <v>0</v>
      </c>
      <c r="X1677" s="182" t="n">
        <v>1</v>
      </c>
      <c r="Y1677" s="182" t="n">
        <v>0</v>
      </c>
      <c r="Z1677" s="182" t="n">
        <v>0</v>
      </c>
      <c r="AA1677" s="182" t="n">
        <v>0</v>
      </c>
      <c r="AB1677" s="182" t="n">
        <v>0</v>
      </c>
      <c r="AC1677" s="182" t="n">
        <v>0</v>
      </c>
      <c r="AD1677" s="182" t="n">
        <v>0</v>
      </c>
      <c r="AE1677" s="182" t="n">
        <v>0</v>
      </c>
      <c r="AF1677" s="182" t="n">
        <v>0</v>
      </c>
      <c r="AG1677" s="182" t="n">
        <v>0</v>
      </c>
      <c r="AH1677" s="182" t="n">
        <v>0</v>
      </c>
      <c r="AI1677" s="182" t="n">
        <v>0</v>
      </c>
      <c r="AJ1677" s="182" t="n">
        <v>0</v>
      </c>
      <c r="AK1677" s="182" t="n">
        <v>10.92</v>
      </c>
      <c r="AL1677" s="182" t="n">
        <v>0</v>
      </c>
      <c r="AM1677" s="182" t="n">
        <v>0.08</v>
      </c>
      <c r="AN1677" s="182" t="n">
        <v>0</v>
      </c>
    </row>
    <row r="1678">
      <c r="A1678" s="155" t="n">
        <v>46089</v>
      </c>
      <c r="B1678" s="156" t="inlineStr">
        <is>
          <t>NS</t>
        </is>
      </c>
      <c r="C1678" s="156" t="inlineStr">
        <is>
          <t>HT-413</t>
        </is>
      </c>
      <c r="D1678" s="156" t="inlineStr">
        <is>
          <t>SY430</t>
        </is>
      </c>
      <c r="E1678" s="156" t="inlineStr">
        <is>
          <t>DT Hauling</t>
        </is>
      </c>
      <c r="F1678" s="156" t="inlineStr"/>
      <c r="G1678" s="182" t="n">
        <v>0</v>
      </c>
      <c r="H1678" s="182" t="n">
        <v>0</v>
      </c>
      <c r="I1678" s="182" t="n">
        <v>12</v>
      </c>
      <c r="J1678" s="182" t="n">
        <v>12</v>
      </c>
      <c r="K1678" s="182" t="n">
        <v>0</v>
      </c>
      <c r="L1678" s="182" t="n">
        <v>12</v>
      </c>
      <c r="M1678" s="182" t="n">
        <v>0</v>
      </c>
      <c r="N1678" s="182" t="n">
        <v>0</v>
      </c>
      <c r="O1678" s="183" t="n">
        <v>0</v>
      </c>
      <c r="P1678" s="183" t="n">
        <v>0</v>
      </c>
      <c r="Q1678" s="184" t="n">
        <v>0</v>
      </c>
      <c r="R1678" s="184" t="n">
        <v>0</v>
      </c>
      <c r="S1678" s="183" t="n">
        <v>0</v>
      </c>
      <c r="T1678" s="183" t="n">
        <v>0</v>
      </c>
      <c r="U1678" s="182" t="n">
        <v>0</v>
      </c>
      <c r="V1678" s="182" t="n">
        <v>0</v>
      </c>
      <c r="W1678" s="182" t="n">
        <v>0</v>
      </c>
      <c r="X1678" s="182" t="n">
        <v>0</v>
      </c>
      <c r="Y1678" s="182" t="n">
        <v>0</v>
      </c>
      <c r="Z1678" s="182" t="n">
        <v>0</v>
      </c>
      <c r="AA1678" s="182" t="n">
        <v>0</v>
      </c>
      <c r="AB1678" s="182" t="n">
        <v>0</v>
      </c>
      <c r="AC1678" s="182" t="n">
        <v>0</v>
      </c>
      <c r="AD1678" s="182" t="n">
        <v>0</v>
      </c>
      <c r="AE1678" s="182" t="n">
        <v>0</v>
      </c>
      <c r="AF1678" s="182" t="n">
        <v>0</v>
      </c>
      <c r="AG1678" s="182" t="n">
        <v>0</v>
      </c>
      <c r="AH1678" s="182" t="n">
        <v>0</v>
      </c>
      <c r="AI1678" s="182" t="n">
        <v>0</v>
      </c>
      <c r="AJ1678" s="182" t="n">
        <v>0</v>
      </c>
      <c r="AK1678" s="182" t="n">
        <v>0</v>
      </c>
      <c r="AL1678" s="182" t="n">
        <v>0</v>
      </c>
      <c r="AM1678" s="182" t="n">
        <v>0</v>
      </c>
      <c r="AN1678" s="182" t="n">
        <v>0</v>
      </c>
    </row>
    <row r="1679">
      <c r="A1679" s="155" t="n">
        <v>46089</v>
      </c>
      <c r="B1679" s="156" t="inlineStr">
        <is>
          <t>NS</t>
        </is>
      </c>
      <c r="C1679" s="156" t="inlineStr">
        <is>
          <t>HT-407</t>
        </is>
      </c>
      <c r="D1679" s="156" t="inlineStr">
        <is>
          <t>SY430</t>
        </is>
      </c>
      <c r="E1679" s="156" t="inlineStr">
        <is>
          <t>DT Hauling</t>
        </is>
      </c>
      <c r="F1679" s="156" t="inlineStr"/>
      <c r="G1679" s="182" t="n">
        <v>0</v>
      </c>
      <c r="H1679" s="182" t="n">
        <v>0</v>
      </c>
      <c r="I1679" s="182" t="n">
        <v>0</v>
      </c>
      <c r="J1679" s="182" t="n">
        <v>0</v>
      </c>
      <c r="K1679" s="182" t="n">
        <v>12</v>
      </c>
      <c r="L1679" s="182" t="n">
        <v>12</v>
      </c>
      <c r="M1679" s="182" t="n">
        <v>0</v>
      </c>
      <c r="N1679" s="182" t="n">
        <v>0</v>
      </c>
      <c r="O1679" s="183" t="n">
        <v>0</v>
      </c>
      <c r="P1679" s="183" t="n">
        <v>0</v>
      </c>
      <c r="Q1679" s="184" t="n">
        <v>0</v>
      </c>
      <c r="R1679" s="184" t="n">
        <v>0</v>
      </c>
      <c r="S1679" s="183" t="n">
        <v>0</v>
      </c>
      <c r="T1679" s="183" t="n">
        <v>0</v>
      </c>
      <c r="U1679" s="182" t="n">
        <v>0</v>
      </c>
      <c r="V1679" s="182" t="n">
        <v>0</v>
      </c>
      <c r="W1679" s="182" t="n">
        <v>0</v>
      </c>
      <c r="X1679" s="182" t="n">
        <v>1</v>
      </c>
      <c r="Y1679" s="182" t="n">
        <v>0</v>
      </c>
      <c r="Z1679" s="182" t="n">
        <v>0</v>
      </c>
      <c r="AA1679" s="182" t="n">
        <v>0</v>
      </c>
      <c r="AB1679" s="182" t="n">
        <v>0</v>
      </c>
      <c r="AC1679" s="182" t="n">
        <v>0</v>
      </c>
      <c r="AD1679" s="182" t="n">
        <v>0</v>
      </c>
      <c r="AE1679" s="182" t="n">
        <v>0</v>
      </c>
      <c r="AF1679" s="182" t="n">
        <v>0</v>
      </c>
      <c r="AG1679" s="182" t="n">
        <v>0</v>
      </c>
      <c r="AH1679" s="182" t="n">
        <v>0</v>
      </c>
      <c r="AI1679" s="182" t="n">
        <v>0</v>
      </c>
      <c r="AJ1679" s="182" t="n">
        <v>0</v>
      </c>
      <c r="AK1679" s="182" t="n">
        <v>10.92</v>
      </c>
      <c r="AL1679" s="182" t="n">
        <v>0</v>
      </c>
      <c r="AM1679" s="182" t="n">
        <v>0.08</v>
      </c>
      <c r="AN1679" s="182" t="n">
        <v>0</v>
      </c>
    </row>
    <row r="1680">
      <c r="A1680" s="155" t="n">
        <v>46089</v>
      </c>
      <c r="B1680" s="156" t="inlineStr">
        <is>
          <t>NS</t>
        </is>
      </c>
      <c r="C1680" s="156" t="inlineStr">
        <is>
          <t>HT-414</t>
        </is>
      </c>
      <c r="D1680" s="156" t="inlineStr">
        <is>
          <t>SY430</t>
        </is>
      </c>
      <c r="E1680" s="156" t="inlineStr">
        <is>
          <t>DT Hauling</t>
        </is>
      </c>
      <c r="F1680" s="156" t="inlineStr"/>
      <c r="G1680" s="182" t="n">
        <v>0</v>
      </c>
      <c r="H1680" s="182" t="n">
        <v>0</v>
      </c>
      <c r="I1680" s="182" t="n">
        <v>0.25</v>
      </c>
      <c r="J1680" s="182" t="n">
        <v>0.25</v>
      </c>
      <c r="K1680" s="182" t="n">
        <v>11.75</v>
      </c>
      <c r="L1680" s="182" t="n">
        <v>12</v>
      </c>
      <c r="M1680" s="182" t="n">
        <v>0</v>
      </c>
      <c r="N1680" s="182" t="n">
        <v>0</v>
      </c>
      <c r="O1680" s="183" t="n">
        <v>0</v>
      </c>
      <c r="P1680" s="183" t="n">
        <v>0</v>
      </c>
      <c r="Q1680" s="184" t="n">
        <v>0</v>
      </c>
      <c r="R1680" s="184" t="n">
        <v>0</v>
      </c>
      <c r="S1680" s="183" t="n">
        <v>0</v>
      </c>
      <c r="T1680" s="183" t="n">
        <v>0</v>
      </c>
      <c r="U1680" s="182" t="n">
        <v>0</v>
      </c>
      <c r="V1680" s="182" t="n">
        <v>0</v>
      </c>
      <c r="W1680" s="182" t="n">
        <v>0</v>
      </c>
      <c r="X1680" s="182" t="n">
        <v>1</v>
      </c>
      <c r="Y1680" s="182" t="n">
        <v>0</v>
      </c>
      <c r="Z1680" s="182" t="n">
        <v>0</v>
      </c>
      <c r="AA1680" s="182" t="n">
        <v>0</v>
      </c>
      <c r="AB1680" s="182" t="n">
        <v>0</v>
      </c>
      <c r="AC1680" s="182" t="n">
        <v>0</v>
      </c>
      <c r="AD1680" s="182" t="n">
        <v>0</v>
      </c>
      <c r="AE1680" s="182" t="n">
        <v>0</v>
      </c>
      <c r="AF1680" s="182" t="n">
        <v>0</v>
      </c>
      <c r="AG1680" s="182" t="n">
        <v>0</v>
      </c>
      <c r="AH1680" s="182" t="n">
        <v>0</v>
      </c>
      <c r="AI1680" s="182" t="n">
        <v>0</v>
      </c>
      <c r="AJ1680" s="182" t="n">
        <v>0</v>
      </c>
      <c r="AK1680" s="182" t="n">
        <v>10.67</v>
      </c>
      <c r="AL1680" s="182" t="n">
        <v>0</v>
      </c>
      <c r="AM1680" s="182" t="n">
        <v>0.08</v>
      </c>
      <c r="AN1680" s="182" t="n">
        <v>0</v>
      </c>
    </row>
    <row r="1681">
      <c r="A1681" s="155" t="n">
        <v>46089</v>
      </c>
      <c r="B1681" s="156" t="inlineStr">
        <is>
          <t>NS</t>
        </is>
      </c>
      <c r="C1681" s="156" t="inlineStr">
        <is>
          <t>HT-411</t>
        </is>
      </c>
      <c r="D1681" s="156" t="inlineStr">
        <is>
          <t>SY430</t>
        </is>
      </c>
      <c r="E1681" s="156" t="inlineStr">
        <is>
          <t>DT Hauling</t>
        </is>
      </c>
      <c r="F1681" s="156" t="inlineStr"/>
      <c r="G1681" s="182" t="n">
        <v>0</v>
      </c>
      <c r="H1681" s="182" t="n">
        <v>0</v>
      </c>
      <c r="I1681" s="182" t="n">
        <v>0</v>
      </c>
      <c r="J1681" s="182" t="n">
        <v>0</v>
      </c>
      <c r="K1681" s="182" t="n">
        <v>12</v>
      </c>
      <c r="L1681" s="182" t="n">
        <v>12</v>
      </c>
      <c r="M1681" s="182" t="n">
        <v>0</v>
      </c>
      <c r="N1681" s="182" t="n">
        <v>0</v>
      </c>
      <c r="O1681" s="183" t="n">
        <v>0</v>
      </c>
      <c r="P1681" s="183" t="n">
        <v>0</v>
      </c>
      <c r="Q1681" s="184" t="n">
        <v>0</v>
      </c>
      <c r="R1681" s="184" t="n">
        <v>0</v>
      </c>
      <c r="S1681" s="183" t="n">
        <v>0</v>
      </c>
      <c r="T1681" s="183" t="n">
        <v>0</v>
      </c>
      <c r="U1681" s="182" t="n">
        <v>0</v>
      </c>
      <c r="V1681" s="182" t="n">
        <v>0</v>
      </c>
      <c r="W1681" s="182" t="n">
        <v>0</v>
      </c>
      <c r="X1681" s="182" t="n">
        <v>1</v>
      </c>
      <c r="Y1681" s="182" t="n">
        <v>0</v>
      </c>
      <c r="Z1681" s="182" t="n">
        <v>0</v>
      </c>
      <c r="AA1681" s="182" t="n">
        <v>0</v>
      </c>
      <c r="AB1681" s="182" t="n">
        <v>0</v>
      </c>
      <c r="AC1681" s="182" t="n">
        <v>0</v>
      </c>
      <c r="AD1681" s="182" t="n">
        <v>0</v>
      </c>
      <c r="AE1681" s="182" t="n">
        <v>0</v>
      </c>
      <c r="AF1681" s="182" t="n">
        <v>0</v>
      </c>
      <c r="AG1681" s="182" t="n">
        <v>0</v>
      </c>
      <c r="AH1681" s="182" t="n">
        <v>0</v>
      </c>
      <c r="AI1681" s="182" t="n">
        <v>0</v>
      </c>
      <c r="AJ1681" s="182" t="n">
        <v>0</v>
      </c>
      <c r="AK1681" s="182" t="n">
        <v>10.92</v>
      </c>
      <c r="AL1681" s="182" t="n">
        <v>0</v>
      </c>
      <c r="AM1681" s="182" t="n">
        <v>0.08</v>
      </c>
      <c r="AN1681" s="182" t="n">
        <v>0</v>
      </c>
    </row>
    <row r="1682">
      <c r="A1682" s="155" t="n">
        <v>46089</v>
      </c>
      <c r="B1682" s="156" t="inlineStr">
        <is>
          <t>NS</t>
        </is>
      </c>
      <c r="C1682" s="156" t="inlineStr">
        <is>
          <t>HT-409</t>
        </is>
      </c>
      <c r="D1682" s="156" t="inlineStr">
        <is>
          <t>SY430</t>
        </is>
      </c>
      <c r="E1682" s="156" t="inlineStr">
        <is>
          <t>DT Hauling</t>
        </is>
      </c>
      <c r="F1682" s="156" t="inlineStr"/>
      <c r="G1682" s="182" t="n">
        <v>0</v>
      </c>
      <c r="H1682" s="182" t="n">
        <v>0</v>
      </c>
      <c r="I1682" s="182" t="n">
        <v>0</v>
      </c>
      <c r="J1682" s="182" t="n">
        <v>0</v>
      </c>
      <c r="K1682" s="182" t="n">
        <v>12</v>
      </c>
      <c r="L1682" s="182" t="n">
        <v>12</v>
      </c>
      <c r="M1682" s="182" t="n">
        <v>0</v>
      </c>
      <c r="N1682" s="182" t="n">
        <v>0</v>
      </c>
      <c r="O1682" s="183" t="n">
        <v>0</v>
      </c>
      <c r="P1682" s="183" t="n">
        <v>0</v>
      </c>
      <c r="Q1682" s="184" t="n">
        <v>0</v>
      </c>
      <c r="R1682" s="184" t="n">
        <v>0</v>
      </c>
      <c r="S1682" s="183" t="n">
        <v>0</v>
      </c>
      <c r="T1682" s="183" t="n">
        <v>0</v>
      </c>
      <c r="U1682" s="182" t="n">
        <v>0</v>
      </c>
      <c r="V1682" s="182" t="n">
        <v>0</v>
      </c>
      <c r="W1682" s="182" t="n">
        <v>0</v>
      </c>
      <c r="X1682" s="182" t="n">
        <v>1</v>
      </c>
      <c r="Y1682" s="182" t="n">
        <v>0</v>
      </c>
      <c r="Z1682" s="182" t="n">
        <v>0</v>
      </c>
      <c r="AA1682" s="182" t="n">
        <v>0</v>
      </c>
      <c r="AB1682" s="182" t="n">
        <v>0</v>
      </c>
      <c r="AC1682" s="182" t="n">
        <v>0</v>
      </c>
      <c r="AD1682" s="182" t="n">
        <v>0</v>
      </c>
      <c r="AE1682" s="182" t="n">
        <v>0</v>
      </c>
      <c r="AF1682" s="182" t="n">
        <v>0</v>
      </c>
      <c r="AG1682" s="182" t="n">
        <v>0</v>
      </c>
      <c r="AH1682" s="182" t="n">
        <v>0</v>
      </c>
      <c r="AI1682" s="182" t="n">
        <v>0</v>
      </c>
      <c r="AJ1682" s="182" t="n">
        <v>0</v>
      </c>
      <c r="AK1682" s="182" t="n">
        <v>10.92</v>
      </c>
      <c r="AL1682" s="182" t="n">
        <v>0</v>
      </c>
      <c r="AM1682" s="182" t="n">
        <v>0.08</v>
      </c>
      <c r="AN1682" s="182" t="n">
        <v>0</v>
      </c>
    </row>
    <row r="1683">
      <c r="A1683" s="155" t="n">
        <v>46089</v>
      </c>
      <c r="B1683" s="156" t="inlineStr">
        <is>
          <t>NS</t>
        </is>
      </c>
      <c r="C1683" s="156" t="inlineStr">
        <is>
          <t>DH-103</t>
        </is>
      </c>
      <c r="D1683" s="156" t="inlineStr">
        <is>
          <t>HINO FM260</t>
        </is>
      </c>
      <c r="E1683" s="156" t="inlineStr">
        <is>
          <t>DT Hino</t>
        </is>
      </c>
      <c r="F1683" s="156" t="inlineStr"/>
      <c r="G1683" s="182" t="n">
        <v>0</v>
      </c>
      <c r="H1683" s="182" t="n">
        <v>0</v>
      </c>
      <c r="I1683" s="182" t="n">
        <v>12</v>
      </c>
      <c r="J1683" s="182" t="n">
        <v>12</v>
      </c>
      <c r="K1683" s="182" t="n">
        <v>0</v>
      </c>
      <c r="L1683" s="182" t="n">
        <v>12</v>
      </c>
      <c r="M1683" s="182" t="n">
        <v>0</v>
      </c>
      <c r="N1683" s="182" t="n">
        <v>0</v>
      </c>
      <c r="O1683" s="183" t="n">
        <v>0</v>
      </c>
      <c r="P1683" s="183" t="n">
        <v>0</v>
      </c>
      <c r="Q1683" s="184" t="n">
        <v>0</v>
      </c>
      <c r="R1683" s="184" t="n">
        <v>0</v>
      </c>
      <c r="S1683" s="183" t="n">
        <v>0</v>
      </c>
      <c r="T1683" s="183" t="n">
        <v>0</v>
      </c>
      <c r="U1683" s="182" t="n">
        <v>0</v>
      </c>
      <c r="V1683" s="182" t="n">
        <v>0</v>
      </c>
      <c r="W1683" s="182" t="n">
        <v>0</v>
      </c>
      <c r="X1683" s="182" t="n">
        <v>0</v>
      </c>
      <c r="Y1683" s="182" t="n">
        <v>0</v>
      </c>
      <c r="Z1683" s="182" t="n">
        <v>0</v>
      </c>
      <c r="AA1683" s="182" t="n">
        <v>0</v>
      </c>
      <c r="AB1683" s="182" t="n">
        <v>0</v>
      </c>
      <c r="AC1683" s="182" t="n">
        <v>0</v>
      </c>
      <c r="AD1683" s="182" t="n">
        <v>0</v>
      </c>
      <c r="AE1683" s="182" t="n">
        <v>0</v>
      </c>
      <c r="AF1683" s="182" t="n">
        <v>0</v>
      </c>
      <c r="AG1683" s="182" t="n">
        <v>0</v>
      </c>
      <c r="AH1683" s="182" t="n">
        <v>0</v>
      </c>
      <c r="AI1683" s="182" t="n">
        <v>0</v>
      </c>
      <c r="AJ1683" s="182" t="n">
        <v>0</v>
      </c>
      <c r="AK1683" s="182" t="n">
        <v>0</v>
      </c>
      <c r="AL1683" s="182" t="n">
        <v>0</v>
      </c>
      <c r="AM1683" s="182" t="n">
        <v>0</v>
      </c>
      <c r="AN1683" s="182" t="n">
        <v>0</v>
      </c>
    </row>
    <row r="1684">
      <c r="A1684" s="155" t="n">
        <v>46089</v>
      </c>
      <c r="B1684" s="156" t="inlineStr">
        <is>
          <t>NS</t>
        </is>
      </c>
      <c r="C1684" s="156" t="inlineStr">
        <is>
          <t>DH-102</t>
        </is>
      </c>
      <c r="D1684" s="156" t="inlineStr">
        <is>
          <t>HINO FM260</t>
        </is>
      </c>
      <c r="E1684" s="156" t="inlineStr">
        <is>
          <t>DT Hino</t>
        </is>
      </c>
      <c r="F1684" s="156" t="inlineStr"/>
      <c r="G1684" s="182" t="n">
        <v>0</v>
      </c>
      <c r="H1684" s="182" t="n">
        <v>0</v>
      </c>
      <c r="I1684" s="182" t="n">
        <v>0</v>
      </c>
      <c r="J1684" s="182" t="n">
        <v>0</v>
      </c>
      <c r="K1684" s="182" t="n">
        <v>12</v>
      </c>
      <c r="L1684" s="182" t="n">
        <v>12</v>
      </c>
      <c r="M1684" s="182" t="n">
        <v>0</v>
      </c>
      <c r="N1684" s="182" t="n">
        <v>0</v>
      </c>
      <c r="O1684" s="183" t="n">
        <v>0</v>
      </c>
      <c r="P1684" s="183" t="n">
        <v>0</v>
      </c>
      <c r="Q1684" s="184" t="n">
        <v>0</v>
      </c>
      <c r="R1684" s="184" t="n">
        <v>0</v>
      </c>
      <c r="S1684" s="183" t="n">
        <v>0</v>
      </c>
      <c r="T1684" s="183" t="n">
        <v>0</v>
      </c>
      <c r="U1684" s="182" t="n">
        <v>0</v>
      </c>
      <c r="V1684" s="182" t="n">
        <v>0</v>
      </c>
      <c r="W1684" s="182" t="n">
        <v>0</v>
      </c>
      <c r="X1684" s="182" t="n">
        <v>1</v>
      </c>
      <c r="Y1684" s="182" t="n">
        <v>0</v>
      </c>
      <c r="Z1684" s="182" t="n">
        <v>0</v>
      </c>
      <c r="AA1684" s="182" t="n">
        <v>0</v>
      </c>
      <c r="AB1684" s="182" t="n">
        <v>0</v>
      </c>
      <c r="AC1684" s="182" t="n">
        <v>0</v>
      </c>
      <c r="AD1684" s="182" t="n">
        <v>0</v>
      </c>
      <c r="AE1684" s="182" t="n">
        <v>0</v>
      </c>
      <c r="AF1684" s="182" t="n">
        <v>0</v>
      </c>
      <c r="AG1684" s="182" t="n">
        <v>0</v>
      </c>
      <c r="AH1684" s="182" t="n">
        <v>0</v>
      </c>
      <c r="AI1684" s="182" t="n">
        <v>0</v>
      </c>
      <c r="AJ1684" s="182" t="n">
        <v>0</v>
      </c>
      <c r="AK1684" s="182" t="n">
        <v>10.92</v>
      </c>
      <c r="AL1684" s="182" t="n">
        <v>0</v>
      </c>
      <c r="AM1684" s="182" t="n">
        <v>0.08</v>
      </c>
      <c r="AN1684" s="182" t="n">
        <v>0</v>
      </c>
    </row>
    <row r="1685">
      <c r="A1685" s="155" t="n">
        <v>46089</v>
      </c>
      <c r="B1685" s="156" t="inlineStr">
        <is>
          <t>NS</t>
        </is>
      </c>
      <c r="C1685" s="156" t="inlineStr">
        <is>
          <t>DH-101</t>
        </is>
      </c>
      <c r="D1685" s="156" t="inlineStr">
        <is>
          <t>HINO FM260</t>
        </is>
      </c>
      <c r="E1685" s="156" t="inlineStr">
        <is>
          <t>DT Hino</t>
        </is>
      </c>
      <c r="F1685" s="156" t="inlineStr"/>
      <c r="G1685" s="182" t="n">
        <v>0</v>
      </c>
      <c r="H1685" s="182" t="n">
        <v>0</v>
      </c>
      <c r="I1685" s="182" t="n">
        <v>0</v>
      </c>
      <c r="J1685" s="182" t="n">
        <v>0</v>
      </c>
      <c r="K1685" s="182" t="n">
        <v>12</v>
      </c>
      <c r="L1685" s="182" t="n">
        <v>12</v>
      </c>
      <c r="M1685" s="182" t="n">
        <v>0</v>
      </c>
      <c r="N1685" s="182" t="n">
        <v>0</v>
      </c>
      <c r="O1685" s="183" t="n">
        <v>0</v>
      </c>
      <c r="P1685" s="183" t="n">
        <v>0</v>
      </c>
      <c r="Q1685" s="184" t="n">
        <v>0</v>
      </c>
      <c r="R1685" s="184" t="n">
        <v>0</v>
      </c>
      <c r="S1685" s="183" t="n">
        <v>0</v>
      </c>
      <c r="T1685" s="183" t="n">
        <v>0</v>
      </c>
      <c r="U1685" s="182" t="n">
        <v>0</v>
      </c>
      <c r="V1685" s="182" t="n">
        <v>0</v>
      </c>
      <c r="W1685" s="182" t="n">
        <v>0</v>
      </c>
      <c r="X1685" s="182" t="n">
        <v>1</v>
      </c>
      <c r="Y1685" s="182" t="n">
        <v>0</v>
      </c>
      <c r="Z1685" s="182" t="n">
        <v>0</v>
      </c>
      <c r="AA1685" s="182" t="n">
        <v>0</v>
      </c>
      <c r="AB1685" s="182" t="n">
        <v>0</v>
      </c>
      <c r="AC1685" s="182" t="n">
        <v>0</v>
      </c>
      <c r="AD1685" s="182" t="n">
        <v>0</v>
      </c>
      <c r="AE1685" s="182" t="n">
        <v>0</v>
      </c>
      <c r="AF1685" s="182" t="n">
        <v>0</v>
      </c>
      <c r="AG1685" s="182" t="n">
        <v>0</v>
      </c>
      <c r="AH1685" s="182" t="n">
        <v>0</v>
      </c>
      <c r="AI1685" s="182" t="n">
        <v>0</v>
      </c>
      <c r="AJ1685" s="182" t="n">
        <v>0</v>
      </c>
      <c r="AK1685" s="182" t="n">
        <v>10.92</v>
      </c>
      <c r="AL1685" s="182" t="n">
        <v>0</v>
      </c>
      <c r="AM1685" s="182" t="n">
        <v>0.08</v>
      </c>
      <c r="AN1685" s="182" t="n">
        <v>0</v>
      </c>
    </row>
    <row r="1686">
      <c r="A1686" s="155" t="n">
        <v>46089</v>
      </c>
      <c r="B1686" s="156" t="inlineStr">
        <is>
          <t>NS</t>
        </is>
      </c>
      <c r="C1686" s="156" t="inlineStr">
        <is>
          <t>EX-1251</t>
        </is>
      </c>
      <c r="D1686" s="156" t="inlineStr">
        <is>
          <t>SY1250</t>
        </is>
      </c>
      <c r="E1686" s="156" t="inlineStr">
        <is>
          <t>Excavator</t>
        </is>
      </c>
      <c r="F1686" s="156" t="inlineStr">
        <is>
          <t>LoadingOB</t>
        </is>
      </c>
      <c r="G1686" s="182" t="n">
        <v>6.83</v>
      </c>
      <c r="H1686" s="182" t="n">
        <v>0</v>
      </c>
      <c r="I1686" s="182" t="n">
        <v>0.17</v>
      </c>
      <c r="J1686" s="182" t="n">
        <v>0.17</v>
      </c>
      <c r="K1686" s="182" t="n">
        <v>5</v>
      </c>
      <c r="L1686" s="182" t="n">
        <v>12</v>
      </c>
      <c r="M1686" s="182" t="n">
        <v>6.52</v>
      </c>
      <c r="N1686" s="182" t="n">
        <v>0</v>
      </c>
      <c r="O1686" s="183" t="n">
        <v>89</v>
      </c>
      <c r="P1686" s="183" t="n">
        <v>0</v>
      </c>
      <c r="Q1686" s="184" t="n">
        <v>1815.6</v>
      </c>
      <c r="R1686" s="184" t="n">
        <v>0</v>
      </c>
      <c r="S1686" s="183" t="n">
        <v>0</v>
      </c>
      <c r="T1686" s="183" t="n">
        <v>0</v>
      </c>
      <c r="U1686" s="182" t="n">
        <v>0.64</v>
      </c>
      <c r="V1686" s="182" t="n">
        <v>0.55</v>
      </c>
      <c r="W1686" s="182" t="n">
        <v>0</v>
      </c>
      <c r="X1686" s="182" t="n">
        <v>0.89</v>
      </c>
      <c r="Y1686" s="182" t="n">
        <v>0</v>
      </c>
      <c r="Z1686" s="182" t="n">
        <v>0</v>
      </c>
      <c r="AA1686" s="182" t="n">
        <v>0</v>
      </c>
      <c r="AB1686" s="182" t="n">
        <v>0</v>
      </c>
      <c r="AC1686" s="182" t="n">
        <v>0</v>
      </c>
      <c r="AD1686" s="182" t="n">
        <v>0</v>
      </c>
      <c r="AE1686" s="182" t="n">
        <v>0</v>
      </c>
      <c r="AF1686" s="182" t="n">
        <v>0</v>
      </c>
      <c r="AG1686" s="182" t="n">
        <v>0</v>
      </c>
      <c r="AH1686" s="182" t="n">
        <v>0</v>
      </c>
      <c r="AI1686" s="182" t="n">
        <v>0</v>
      </c>
      <c r="AJ1686" s="182" t="n">
        <v>0</v>
      </c>
      <c r="AK1686" s="182" t="n">
        <v>2.84</v>
      </c>
      <c r="AL1686" s="182" t="n">
        <v>0</v>
      </c>
      <c r="AM1686" s="182" t="n">
        <v>0.07000000000000001</v>
      </c>
      <c r="AN1686" s="182" t="n">
        <v>0</v>
      </c>
    </row>
    <row r="1687">
      <c r="A1687" s="155" t="n">
        <v>46089</v>
      </c>
      <c r="B1687" s="156" t="inlineStr">
        <is>
          <t>NS</t>
        </is>
      </c>
      <c r="C1687" s="156" t="inlineStr">
        <is>
          <t>EX-1252</t>
        </is>
      </c>
      <c r="D1687" s="156" t="inlineStr">
        <is>
          <t>SY1250</t>
        </is>
      </c>
      <c r="E1687" s="156" t="inlineStr">
        <is>
          <t>Excavator</t>
        </is>
      </c>
      <c r="F1687" s="156" t="inlineStr">
        <is>
          <t>LoadingOB</t>
        </is>
      </c>
      <c r="G1687" s="182" t="n">
        <v>10.05</v>
      </c>
      <c r="H1687" s="182" t="n">
        <v>0</v>
      </c>
      <c r="I1687" s="182" t="n">
        <v>0</v>
      </c>
      <c r="J1687" s="182" t="n">
        <v>0</v>
      </c>
      <c r="K1687" s="182" t="n">
        <v>1.95</v>
      </c>
      <c r="L1687" s="182" t="n">
        <v>12</v>
      </c>
      <c r="M1687" s="182" t="n">
        <v>10.05</v>
      </c>
      <c r="N1687" s="182" t="n">
        <v>0</v>
      </c>
      <c r="O1687" s="183" t="n">
        <v>0</v>
      </c>
      <c r="P1687" s="183" t="n">
        <v>0</v>
      </c>
      <c r="Q1687" s="184" t="n">
        <v>0</v>
      </c>
      <c r="R1687" s="184" t="n">
        <v>0</v>
      </c>
      <c r="S1687" s="183" t="n">
        <v>0</v>
      </c>
      <c r="T1687" s="183" t="n">
        <v>0</v>
      </c>
      <c r="U1687" s="182" t="n">
        <v>0.72</v>
      </c>
      <c r="V1687" s="182" t="n">
        <v>0</v>
      </c>
      <c r="W1687" s="182" t="n">
        <v>0</v>
      </c>
      <c r="X1687" s="182" t="n">
        <v>1.01</v>
      </c>
      <c r="Y1687" s="182" t="n">
        <v>0</v>
      </c>
      <c r="Z1687" s="182" t="n">
        <v>0</v>
      </c>
      <c r="AA1687" s="182" t="n">
        <v>0</v>
      </c>
      <c r="AB1687" s="182" t="n">
        <v>0</v>
      </c>
      <c r="AC1687" s="182" t="n">
        <v>0</v>
      </c>
      <c r="AD1687" s="182" t="n">
        <v>0</v>
      </c>
      <c r="AE1687" s="182" t="n">
        <v>0</v>
      </c>
      <c r="AF1687" s="182" t="n">
        <v>0</v>
      </c>
      <c r="AG1687" s="182" t="n">
        <v>0</v>
      </c>
      <c r="AH1687" s="182" t="n">
        <v>0.14</v>
      </c>
      <c r="AI1687" s="182" t="n">
        <v>0</v>
      </c>
      <c r="AJ1687" s="182" t="n">
        <v>0</v>
      </c>
      <c r="AK1687" s="182" t="n">
        <v>0</v>
      </c>
      <c r="AL1687" s="182" t="n">
        <v>0</v>
      </c>
      <c r="AM1687" s="182" t="n">
        <v>0.08</v>
      </c>
      <c r="AN1687" s="182" t="n">
        <v>0</v>
      </c>
    </row>
    <row r="1688">
      <c r="A1688" s="155" t="n">
        <v>46089</v>
      </c>
      <c r="B1688" s="156" t="inlineStr">
        <is>
          <t>NS</t>
        </is>
      </c>
      <c r="C1688" s="156" t="inlineStr">
        <is>
          <t>EX-2101</t>
        </is>
      </c>
      <c r="D1688" s="156" t="inlineStr">
        <is>
          <t>SY2000</t>
        </is>
      </c>
      <c r="E1688" s="156" t="inlineStr">
        <is>
          <t>Excavator</t>
        </is>
      </c>
      <c r="F1688" s="156" t="inlineStr"/>
      <c r="G1688" s="182" t="n">
        <v>0</v>
      </c>
      <c r="H1688" s="182" t="n">
        <v>0</v>
      </c>
      <c r="I1688" s="182" t="n">
        <v>12</v>
      </c>
      <c r="J1688" s="182" t="n">
        <v>12</v>
      </c>
      <c r="K1688" s="182" t="n">
        <v>0</v>
      </c>
      <c r="L1688" s="182" t="n">
        <v>12</v>
      </c>
      <c r="M1688" s="182" t="n">
        <v>0</v>
      </c>
      <c r="N1688" s="182" t="n">
        <v>0</v>
      </c>
      <c r="O1688" s="183" t="n">
        <v>135</v>
      </c>
      <c r="P1688" s="183" t="n">
        <v>0</v>
      </c>
      <c r="Q1688" s="184" t="n">
        <v>4819.5</v>
      </c>
      <c r="R1688" s="184" t="n">
        <v>0</v>
      </c>
      <c r="S1688" s="183" t="n">
        <v>0</v>
      </c>
      <c r="T1688" s="183" t="n">
        <v>0</v>
      </c>
      <c r="U1688" s="182" t="n">
        <v>0</v>
      </c>
      <c r="V1688" s="182" t="n">
        <v>0</v>
      </c>
      <c r="W1688" s="182" t="n">
        <v>0</v>
      </c>
      <c r="X1688" s="182" t="n">
        <v>0</v>
      </c>
      <c r="Y1688" s="182" t="n">
        <v>0</v>
      </c>
      <c r="Z1688" s="182" t="n">
        <v>0</v>
      </c>
      <c r="AA1688" s="182" t="n">
        <v>0</v>
      </c>
      <c r="AB1688" s="182" t="n">
        <v>0</v>
      </c>
      <c r="AC1688" s="182" t="n">
        <v>0</v>
      </c>
      <c r="AD1688" s="182" t="n">
        <v>0</v>
      </c>
      <c r="AE1688" s="182" t="n">
        <v>0</v>
      </c>
      <c r="AF1688" s="182" t="n">
        <v>0</v>
      </c>
      <c r="AG1688" s="182" t="n">
        <v>0</v>
      </c>
      <c r="AH1688" s="182" t="n">
        <v>0</v>
      </c>
      <c r="AI1688" s="182" t="n">
        <v>0</v>
      </c>
      <c r="AJ1688" s="182" t="n">
        <v>0</v>
      </c>
      <c r="AK1688" s="182" t="n">
        <v>0</v>
      </c>
      <c r="AL1688" s="182" t="n">
        <v>0</v>
      </c>
      <c r="AM1688" s="182" t="n">
        <v>0</v>
      </c>
      <c r="AN1688" s="182" t="n">
        <v>0</v>
      </c>
    </row>
    <row r="1689">
      <c r="A1689" s="155" t="n">
        <v>46089</v>
      </c>
      <c r="B1689" s="156" t="inlineStr">
        <is>
          <t>NS</t>
        </is>
      </c>
      <c r="C1689" s="156" t="inlineStr">
        <is>
          <t>EX-222</t>
        </is>
      </c>
      <c r="D1689" s="156" t="inlineStr">
        <is>
          <t>PC 200-8MI</t>
        </is>
      </c>
      <c r="E1689" s="156" t="inlineStr">
        <is>
          <t>Excavator</t>
        </is>
      </c>
      <c r="F1689" s="156" t="inlineStr">
        <is>
          <t>Timesheet Kosong</t>
        </is>
      </c>
      <c r="G1689" s="182" t="n">
        <v>8.51</v>
      </c>
      <c r="H1689" s="182" t="n">
        <v>0</v>
      </c>
      <c r="I1689" s="182" t="n">
        <v>0.59</v>
      </c>
      <c r="J1689" s="182" t="n">
        <v>0.59</v>
      </c>
      <c r="K1689" s="182" t="n">
        <v>2.9</v>
      </c>
      <c r="L1689" s="182" t="n">
        <v>12</v>
      </c>
      <c r="M1689" s="182" t="n">
        <v>0</v>
      </c>
      <c r="N1689" s="182" t="n">
        <v>0</v>
      </c>
      <c r="O1689" s="183" t="n">
        <v>0</v>
      </c>
      <c r="P1689" s="183" t="n">
        <v>0</v>
      </c>
      <c r="Q1689" s="184" t="n">
        <v>0</v>
      </c>
      <c r="R1689" s="184" t="n">
        <v>0</v>
      </c>
      <c r="S1689" s="183" t="n">
        <v>0</v>
      </c>
      <c r="T1689" s="183" t="n">
        <v>0</v>
      </c>
      <c r="U1689" s="182" t="n">
        <v>0</v>
      </c>
      <c r="V1689" s="182" t="n">
        <v>0</v>
      </c>
      <c r="W1689" s="182" t="n">
        <v>0</v>
      </c>
      <c r="X1689" s="182" t="n">
        <v>0.96</v>
      </c>
      <c r="Y1689" s="182" t="n">
        <v>0</v>
      </c>
      <c r="Z1689" s="182" t="n">
        <v>0</v>
      </c>
      <c r="AA1689" s="182" t="n">
        <v>0</v>
      </c>
      <c r="AB1689" s="182" t="n">
        <v>0</v>
      </c>
      <c r="AC1689" s="182" t="n">
        <v>0</v>
      </c>
      <c r="AD1689" s="182" t="n">
        <v>0</v>
      </c>
      <c r="AE1689" s="182" t="n">
        <v>0</v>
      </c>
      <c r="AF1689" s="182" t="n">
        <v>0</v>
      </c>
      <c r="AG1689" s="182" t="n">
        <v>0</v>
      </c>
      <c r="AH1689" s="182" t="n">
        <v>0</v>
      </c>
      <c r="AI1689" s="182" t="n">
        <v>0</v>
      </c>
      <c r="AJ1689" s="182" t="n">
        <v>0</v>
      </c>
      <c r="AK1689" s="182" t="n">
        <v>1.86</v>
      </c>
      <c r="AL1689" s="182" t="n">
        <v>0</v>
      </c>
      <c r="AM1689" s="182" t="n">
        <v>0.08</v>
      </c>
      <c r="AN1689" s="182" t="n">
        <v>0</v>
      </c>
    </row>
    <row r="1690">
      <c r="A1690" s="155" t="n">
        <v>46089</v>
      </c>
      <c r="B1690" s="156" t="inlineStr">
        <is>
          <t>NS</t>
        </is>
      </c>
      <c r="C1690" s="156" t="inlineStr">
        <is>
          <t>EX-225</t>
        </is>
      </c>
      <c r="D1690" s="156" t="inlineStr">
        <is>
          <t>PC 200-8</t>
        </is>
      </c>
      <c r="E1690" s="156" t="inlineStr">
        <is>
          <t>Excavator</t>
        </is>
      </c>
      <c r="F1690" s="156" t="inlineStr"/>
      <c r="G1690" s="182" t="n">
        <v>0</v>
      </c>
      <c r="H1690" s="182" t="n">
        <v>0</v>
      </c>
      <c r="I1690" s="182" t="n">
        <v>12</v>
      </c>
      <c r="J1690" s="182" t="n">
        <v>12</v>
      </c>
      <c r="K1690" s="182" t="n">
        <v>0</v>
      </c>
      <c r="L1690" s="182" t="n">
        <v>12</v>
      </c>
      <c r="M1690" s="182" t="n">
        <v>0</v>
      </c>
      <c r="N1690" s="182" t="n">
        <v>0</v>
      </c>
      <c r="O1690" s="183" t="n">
        <v>0</v>
      </c>
      <c r="P1690" s="183" t="n">
        <v>0</v>
      </c>
      <c r="Q1690" s="184" t="n">
        <v>0</v>
      </c>
      <c r="R1690" s="184" t="n">
        <v>0</v>
      </c>
      <c r="S1690" s="183" t="n">
        <v>0</v>
      </c>
      <c r="T1690" s="183" t="n">
        <v>0</v>
      </c>
      <c r="U1690" s="182" t="n">
        <v>0</v>
      </c>
      <c r="V1690" s="182" t="n">
        <v>0</v>
      </c>
      <c r="W1690" s="182" t="n">
        <v>0</v>
      </c>
      <c r="X1690" s="182" t="n">
        <v>0</v>
      </c>
      <c r="Y1690" s="182" t="n">
        <v>0</v>
      </c>
      <c r="Z1690" s="182" t="n">
        <v>0</v>
      </c>
      <c r="AA1690" s="182" t="n">
        <v>0</v>
      </c>
      <c r="AB1690" s="182" t="n">
        <v>0</v>
      </c>
      <c r="AC1690" s="182" t="n">
        <v>0</v>
      </c>
      <c r="AD1690" s="182" t="n">
        <v>0</v>
      </c>
      <c r="AE1690" s="182" t="n">
        <v>0</v>
      </c>
      <c r="AF1690" s="182" t="n">
        <v>0</v>
      </c>
      <c r="AG1690" s="182" t="n">
        <v>0</v>
      </c>
      <c r="AH1690" s="182" t="n">
        <v>0</v>
      </c>
      <c r="AI1690" s="182" t="n">
        <v>0</v>
      </c>
      <c r="AJ1690" s="182" t="n">
        <v>0</v>
      </c>
      <c r="AK1690" s="182" t="n">
        <v>0</v>
      </c>
      <c r="AL1690" s="182" t="n">
        <v>0</v>
      </c>
      <c r="AM1690" s="182" t="n">
        <v>0</v>
      </c>
      <c r="AN1690" s="182" t="n">
        <v>0</v>
      </c>
    </row>
    <row r="1691">
      <c r="A1691" s="155" t="n">
        <v>46089</v>
      </c>
      <c r="B1691" s="156" t="inlineStr">
        <is>
          <t>NS</t>
        </is>
      </c>
      <c r="C1691" s="156" t="inlineStr">
        <is>
          <t>EX-223</t>
        </is>
      </c>
      <c r="D1691" s="156" t="inlineStr">
        <is>
          <t>PC 200-8MI</t>
        </is>
      </c>
      <c r="E1691" s="156" t="inlineStr">
        <is>
          <t>Excavator</t>
        </is>
      </c>
      <c r="F1691" s="156" t="inlineStr"/>
      <c r="G1691" s="182" t="n">
        <v>0</v>
      </c>
      <c r="H1691" s="182" t="n">
        <v>0</v>
      </c>
      <c r="I1691" s="182" t="n">
        <v>0</v>
      </c>
      <c r="J1691" s="182" t="n">
        <v>0</v>
      </c>
      <c r="K1691" s="182" t="n">
        <v>12</v>
      </c>
      <c r="L1691" s="182" t="n">
        <v>12</v>
      </c>
      <c r="M1691" s="182" t="n">
        <v>0</v>
      </c>
      <c r="N1691" s="182" t="n">
        <v>0</v>
      </c>
      <c r="O1691" s="183" t="n">
        <v>0</v>
      </c>
      <c r="P1691" s="183" t="n">
        <v>0</v>
      </c>
      <c r="Q1691" s="184" t="n">
        <v>0</v>
      </c>
      <c r="R1691" s="184" t="n">
        <v>0</v>
      </c>
      <c r="S1691" s="183" t="n">
        <v>0</v>
      </c>
      <c r="T1691" s="183" t="n">
        <v>0</v>
      </c>
      <c r="U1691" s="182" t="n">
        <v>0.72</v>
      </c>
      <c r="V1691" s="182" t="n">
        <v>0</v>
      </c>
      <c r="W1691" s="182" t="n">
        <v>0</v>
      </c>
      <c r="X1691" s="182" t="n">
        <v>1</v>
      </c>
      <c r="Y1691" s="182" t="n">
        <v>0</v>
      </c>
      <c r="Z1691" s="182" t="n">
        <v>0</v>
      </c>
      <c r="AA1691" s="182" t="n">
        <v>0</v>
      </c>
      <c r="AB1691" s="182" t="n">
        <v>0</v>
      </c>
      <c r="AC1691" s="182" t="n">
        <v>0</v>
      </c>
      <c r="AD1691" s="182" t="n">
        <v>0</v>
      </c>
      <c r="AE1691" s="182" t="n">
        <v>0</v>
      </c>
      <c r="AF1691" s="182" t="n">
        <v>0</v>
      </c>
      <c r="AG1691" s="182" t="n">
        <v>0</v>
      </c>
      <c r="AH1691" s="182" t="n">
        <v>0</v>
      </c>
      <c r="AI1691" s="182" t="n">
        <v>0</v>
      </c>
      <c r="AJ1691" s="182" t="n">
        <v>0</v>
      </c>
      <c r="AK1691" s="182" t="n">
        <v>10.2</v>
      </c>
      <c r="AL1691" s="182" t="n">
        <v>0</v>
      </c>
      <c r="AM1691" s="182" t="n">
        <v>0.08</v>
      </c>
      <c r="AN1691" s="182" t="n">
        <v>0</v>
      </c>
    </row>
    <row r="1692">
      <c r="A1692" s="155" t="n">
        <v>46089</v>
      </c>
      <c r="B1692" s="156" t="inlineStr">
        <is>
          <t>NS</t>
        </is>
      </c>
      <c r="C1692" s="156" t="inlineStr">
        <is>
          <t>EX-221</t>
        </is>
      </c>
      <c r="D1692" s="156" t="inlineStr">
        <is>
          <t>PC 200-8MI</t>
        </is>
      </c>
      <c r="E1692" s="156" t="inlineStr">
        <is>
          <t>Excavator</t>
        </is>
      </c>
      <c r="F1692" s="156" t="inlineStr"/>
      <c r="G1692" s="182" t="n">
        <v>0</v>
      </c>
      <c r="H1692" s="182" t="n">
        <v>0</v>
      </c>
      <c r="I1692" s="182" t="n">
        <v>0</v>
      </c>
      <c r="J1692" s="182" t="n">
        <v>0</v>
      </c>
      <c r="K1692" s="182" t="n">
        <v>12</v>
      </c>
      <c r="L1692" s="182" t="n">
        <v>12</v>
      </c>
      <c r="M1692" s="182" t="n">
        <v>0</v>
      </c>
      <c r="N1692" s="182" t="n">
        <v>0</v>
      </c>
      <c r="O1692" s="183" t="n">
        <v>0</v>
      </c>
      <c r="P1692" s="183" t="n">
        <v>0</v>
      </c>
      <c r="Q1692" s="184" t="n">
        <v>0</v>
      </c>
      <c r="R1692" s="184" t="n">
        <v>0</v>
      </c>
      <c r="S1692" s="183" t="n">
        <v>0</v>
      </c>
      <c r="T1692" s="183" t="n">
        <v>0</v>
      </c>
      <c r="U1692" s="182" t="n">
        <v>0</v>
      </c>
      <c r="V1692" s="182" t="n">
        <v>0</v>
      </c>
      <c r="W1692" s="182" t="n">
        <v>0</v>
      </c>
      <c r="X1692" s="182" t="n">
        <v>1</v>
      </c>
      <c r="Y1692" s="182" t="n">
        <v>0</v>
      </c>
      <c r="Z1692" s="182" t="n">
        <v>0</v>
      </c>
      <c r="AA1692" s="182" t="n">
        <v>0</v>
      </c>
      <c r="AB1692" s="182" t="n">
        <v>0</v>
      </c>
      <c r="AC1692" s="182" t="n">
        <v>0</v>
      </c>
      <c r="AD1692" s="182" t="n">
        <v>0</v>
      </c>
      <c r="AE1692" s="182" t="n">
        <v>0</v>
      </c>
      <c r="AF1692" s="182" t="n">
        <v>0</v>
      </c>
      <c r="AG1692" s="182" t="n">
        <v>0</v>
      </c>
      <c r="AH1692" s="182" t="n">
        <v>0</v>
      </c>
      <c r="AI1692" s="182" t="n">
        <v>0</v>
      </c>
      <c r="AJ1692" s="182" t="n">
        <v>0</v>
      </c>
      <c r="AK1692" s="182" t="n">
        <v>10.92</v>
      </c>
      <c r="AL1692" s="182" t="n">
        <v>0</v>
      </c>
      <c r="AM1692" s="182" t="n">
        <v>0.08</v>
      </c>
      <c r="AN1692" s="182" t="n">
        <v>0</v>
      </c>
    </row>
    <row r="1693">
      <c r="A1693" s="155" t="n">
        <v>46089</v>
      </c>
      <c r="B1693" s="156" t="inlineStr">
        <is>
          <t>NS</t>
        </is>
      </c>
      <c r="C1693" s="156" t="inlineStr">
        <is>
          <t>EX-331</t>
        </is>
      </c>
      <c r="D1693" s="156" t="inlineStr">
        <is>
          <t>PC 300-8MO</t>
        </is>
      </c>
      <c r="E1693" s="156" t="inlineStr">
        <is>
          <t>Excavator</t>
        </is>
      </c>
      <c r="F1693" s="156" t="inlineStr"/>
      <c r="G1693" s="182" t="n">
        <v>0</v>
      </c>
      <c r="H1693" s="182" t="n">
        <v>0</v>
      </c>
      <c r="I1693" s="182" t="n">
        <v>12</v>
      </c>
      <c r="J1693" s="182" t="n">
        <v>12</v>
      </c>
      <c r="K1693" s="182" t="n">
        <v>0</v>
      </c>
      <c r="L1693" s="182" t="n">
        <v>12</v>
      </c>
      <c r="M1693" s="182" t="n">
        <v>0</v>
      </c>
      <c r="N1693" s="182" t="n">
        <v>0</v>
      </c>
      <c r="O1693" s="183" t="n">
        <v>0</v>
      </c>
      <c r="P1693" s="183" t="n">
        <v>0</v>
      </c>
      <c r="Q1693" s="184" t="n">
        <v>0</v>
      </c>
      <c r="R1693" s="184" t="n">
        <v>0</v>
      </c>
      <c r="S1693" s="183" t="n">
        <v>0</v>
      </c>
      <c r="T1693" s="183" t="n">
        <v>0</v>
      </c>
      <c r="U1693" s="182" t="n">
        <v>0</v>
      </c>
      <c r="V1693" s="182" t="n">
        <v>0</v>
      </c>
      <c r="W1693" s="182" t="n">
        <v>0</v>
      </c>
      <c r="X1693" s="182" t="n">
        <v>0</v>
      </c>
      <c r="Y1693" s="182" t="n">
        <v>0</v>
      </c>
      <c r="Z1693" s="182" t="n">
        <v>0</v>
      </c>
      <c r="AA1693" s="182" t="n">
        <v>0</v>
      </c>
      <c r="AB1693" s="182" t="n">
        <v>0</v>
      </c>
      <c r="AC1693" s="182" t="n">
        <v>0</v>
      </c>
      <c r="AD1693" s="182" t="n">
        <v>0</v>
      </c>
      <c r="AE1693" s="182" t="n">
        <v>0</v>
      </c>
      <c r="AF1693" s="182" t="n">
        <v>0</v>
      </c>
      <c r="AG1693" s="182" t="n">
        <v>0</v>
      </c>
      <c r="AH1693" s="182" t="n">
        <v>0</v>
      </c>
      <c r="AI1693" s="182" t="n">
        <v>0</v>
      </c>
      <c r="AJ1693" s="182" t="n">
        <v>0</v>
      </c>
      <c r="AK1693" s="182" t="n">
        <v>0</v>
      </c>
      <c r="AL1693" s="182" t="n">
        <v>0</v>
      </c>
      <c r="AM1693" s="182" t="n">
        <v>0</v>
      </c>
      <c r="AN1693" s="182" t="n">
        <v>0</v>
      </c>
    </row>
    <row r="1694">
      <c r="A1694" s="155" t="n">
        <v>46089</v>
      </c>
      <c r="B1694" s="156" t="inlineStr">
        <is>
          <t>NS</t>
        </is>
      </c>
      <c r="C1694" s="156" t="inlineStr">
        <is>
          <t>EX-334</t>
        </is>
      </c>
      <c r="D1694" s="156" t="inlineStr">
        <is>
          <t>PC 300-8MO</t>
        </is>
      </c>
      <c r="E1694" s="156" t="inlineStr">
        <is>
          <t>Excavator</t>
        </is>
      </c>
      <c r="F1694" s="156" t="inlineStr">
        <is>
          <t>Cleaning Coal</t>
        </is>
      </c>
      <c r="G1694" s="182" t="n">
        <v>11.59</v>
      </c>
      <c r="H1694" s="182" t="n">
        <v>0</v>
      </c>
      <c r="I1694" s="182" t="n">
        <v>0</v>
      </c>
      <c r="J1694" s="182" t="n">
        <v>0</v>
      </c>
      <c r="K1694" s="182" t="n">
        <v>0.41</v>
      </c>
      <c r="L1694" s="182" t="n">
        <v>12</v>
      </c>
      <c r="M1694" s="182" t="n">
        <v>0</v>
      </c>
      <c r="N1694" s="182" t="n">
        <v>0</v>
      </c>
      <c r="O1694" s="183" t="n">
        <v>0</v>
      </c>
      <c r="P1694" s="183" t="n">
        <v>0</v>
      </c>
      <c r="Q1694" s="184" t="n">
        <v>0</v>
      </c>
      <c r="R1694" s="184" t="n">
        <v>0</v>
      </c>
      <c r="S1694" s="183" t="n">
        <v>0</v>
      </c>
      <c r="T1694" s="183" t="n">
        <v>0</v>
      </c>
      <c r="U1694" s="182" t="n">
        <v>0</v>
      </c>
      <c r="V1694" s="182" t="n">
        <v>0</v>
      </c>
      <c r="W1694" s="182" t="n">
        <v>0</v>
      </c>
      <c r="X1694" s="182" t="n">
        <v>0.25</v>
      </c>
      <c r="Y1694" s="182" t="n">
        <v>0</v>
      </c>
      <c r="Z1694" s="182" t="n">
        <v>0</v>
      </c>
      <c r="AA1694" s="182" t="n">
        <v>0</v>
      </c>
      <c r="AB1694" s="182" t="n">
        <v>0</v>
      </c>
      <c r="AC1694" s="182" t="n">
        <v>0</v>
      </c>
      <c r="AD1694" s="182" t="n">
        <v>0</v>
      </c>
      <c r="AE1694" s="182" t="n">
        <v>0</v>
      </c>
      <c r="AF1694" s="182" t="n">
        <v>0</v>
      </c>
      <c r="AG1694" s="182" t="n">
        <v>0</v>
      </c>
      <c r="AH1694" s="182" t="n">
        <v>0</v>
      </c>
      <c r="AI1694" s="182" t="n">
        <v>0</v>
      </c>
      <c r="AJ1694" s="182" t="n">
        <v>0</v>
      </c>
      <c r="AK1694" s="182" t="n">
        <v>0</v>
      </c>
      <c r="AL1694" s="182" t="n">
        <v>0</v>
      </c>
      <c r="AM1694" s="182" t="n">
        <v>0.16</v>
      </c>
      <c r="AN1694" s="182" t="n">
        <v>0</v>
      </c>
    </row>
    <row r="1695">
      <c r="A1695" s="155" t="n">
        <v>46089</v>
      </c>
      <c r="B1695" s="156" t="inlineStr">
        <is>
          <t>NS</t>
        </is>
      </c>
      <c r="C1695" s="156" t="inlineStr">
        <is>
          <t>EX-332</t>
        </is>
      </c>
      <c r="D1695" s="156" t="inlineStr">
        <is>
          <t>PC 300-8MO</t>
        </is>
      </c>
      <c r="E1695" s="156" t="inlineStr">
        <is>
          <t>Excavator</t>
        </is>
      </c>
      <c r="F1695" s="156" t="inlineStr">
        <is>
          <t>Loading &amp; Cleaning Coal</t>
        </is>
      </c>
      <c r="G1695" s="182" t="n">
        <v>10.17</v>
      </c>
      <c r="H1695" s="182" t="n">
        <v>0</v>
      </c>
      <c r="I1695" s="182" t="n">
        <v>0</v>
      </c>
      <c r="J1695" s="182" t="n">
        <v>0</v>
      </c>
      <c r="K1695" s="182" t="n">
        <v>1.83</v>
      </c>
      <c r="L1695" s="182" t="n">
        <v>12</v>
      </c>
      <c r="M1695" s="182" t="n">
        <v>0</v>
      </c>
      <c r="N1695" s="182" t="n">
        <v>4.84</v>
      </c>
      <c r="O1695" s="183" t="n">
        <v>0</v>
      </c>
      <c r="P1695" s="183" t="n">
        <v>32</v>
      </c>
      <c r="Q1695" s="184" t="n">
        <v>0</v>
      </c>
      <c r="R1695" s="184" t="n">
        <v>598.4</v>
      </c>
      <c r="S1695" s="183" t="n">
        <v>0</v>
      </c>
      <c r="T1695" s="183" t="n">
        <v>0</v>
      </c>
      <c r="U1695" s="182" t="n">
        <v>0.51</v>
      </c>
      <c r="V1695" s="182" t="n">
        <v>0</v>
      </c>
      <c r="W1695" s="182" t="n">
        <v>0</v>
      </c>
      <c r="X1695" s="182" t="n">
        <v>1.22</v>
      </c>
      <c r="Y1695" s="182" t="n">
        <v>0</v>
      </c>
      <c r="Z1695" s="182" t="n">
        <v>0</v>
      </c>
      <c r="AA1695" s="182" t="n">
        <v>0</v>
      </c>
      <c r="AB1695" s="182" t="n">
        <v>0</v>
      </c>
      <c r="AC1695" s="182" t="n">
        <v>0</v>
      </c>
      <c r="AD1695" s="182" t="n">
        <v>0</v>
      </c>
      <c r="AE1695" s="182" t="n">
        <v>0</v>
      </c>
      <c r="AF1695" s="182" t="n">
        <v>0</v>
      </c>
      <c r="AG1695" s="182" t="n">
        <v>0</v>
      </c>
      <c r="AH1695" s="182" t="n">
        <v>0</v>
      </c>
      <c r="AI1695" s="182" t="n">
        <v>0</v>
      </c>
      <c r="AJ1695" s="182" t="n">
        <v>0</v>
      </c>
      <c r="AK1695" s="182" t="n">
        <v>0</v>
      </c>
      <c r="AL1695" s="182" t="n">
        <v>0</v>
      </c>
      <c r="AM1695" s="182" t="n">
        <v>0.1</v>
      </c>
      <c r="AN1695" s="182" t="n">
        <v>0</v>
      </c>
    </row>
    <row r="1696">
      <c r="A1696" s="155" t="n">
        <v>46089</v>
      </c>
      <c r="B1696" s="156" t="inlineStr">
        <is>
          <t>NS</t>
        </is>
      </c>
      <c r="C1696" s="156" t="inlineStr">
        <is>
          <t>EX-333</t>
        </is>
      </c>
      <c r="D1696" s="156" t="inlineStr">
        <is>
          <t>PC 300-8MO</t>
        </is>
      </c>
      <c r="E1696" s="156" t="inlineStr">
        <is>
          <t>Excavator</t>
        </is>
      </c>
      <c r="F1696" s="156" t="inlineStr"/>
      <c r="G1696" s="182" t="n">
        <v>0</v>
      </c>
      <c r="H1696" s="182" t="n">
        <v>0</v>
      </c>
      <c r="I1696" s="182" t="n">
        <v>12</v>
      </c>
      <c r="J1696" s="182" t="n">
        <v>12</v>
      </c>
      <c r="K1696" s="182" t="n">
        <v>0</v>
      </c>
      <c r="L1696" s="182" t="n">
        <v>12</v>
      </c>
      <c r="M1696" s="182" t="n">
        <v>0</v>
      </c>
      <c r="N1696" s="182" t="n">
        <v>0</v>
      </c>
      <c r="O1696" s="183" t="n">
        <v>0</v>
      </c>
      <c r="P1696" s="183" t="n">
        <v>0</v>
      </c>
      <c r="Q1696" s="184" t="n">
        <v>0</v>
      </c>
      <c r="R1696" s="184" t="n">
        <v>0</v>
      </c>
      <c r="S1696" s="183" t="n">
        <v>0</v>
      </c>
      <c r="T1696" s="183" t="n">
        <v>0</v>
      </c>
      <c r="U1696" s="182" t="n">
        <v>0</v>
      </c>
      <c r="V1696" s="182" t="n">
        <v>0</v>
      </c>
      <c r="W1696" s="182" t="n">
        <v>0</v>
      </c>
      <c r="X1696" s="182" t="n">
        <v>0</v>
      </c>
      <c r="Y1696" s="182" t="n">
        <v>0</v>
      </c>
      <c r="Z1696" s="182" t="n">
        <v>0</v>
      </c>
      <c r="AA1696" s="182" t="n">
        <v>0</v>
      </c>
      <c r="AB1696" s="182" t="n">
        <v>0</v>
      </c>
      <c r="AC1696" s="182" t="n">
        <v>0</v>
      </c>
      <c r="AD1696" s="182" t="n">
        <v>0</v>
      </c>
      <c r="AE1696" s="182" t="n">
        <v>0</v>
      </c>
      <c r="AF1696" s="182" t="n">
        <v>0</v>
      </c>
      <c r="AG1696" s="182" t="n">
        <v>0</v>
      </c>
      <c r="AH1696" s="182" t="n">
        <v>0</v>
      </c>
      <c r="AI1696" s="182" t="n">
        <v>0</v>
      </c>
      <c r="AJ1696" s="182" t="n">
        <v>0</v>
      </c>
      <c r="AK1696" s="182" t="n">
        <v>0</v>
      </c>
      <c r="AL1696" s="182" t="n">
        <v>0</v>
      </c>
      <c r="AM1696" s="182" t="n">
        <v>0</v>
      </c>
      <c r="AN1696" s="182" t="n">
        <v>0</v>
      </c>
    </row>
    <row r="1697">
      <c r="A1697" s="155" t="n">
        <v>46089</v>
      </c>
      <c r="B1697" s="156" t="inlineStr">
        <is>
          <t>NS</t>
        </is>
      </c>
      <c r="C1697" s="156" t="inlineStr">
        <is>
          <t>EX-336</t>
        </is>
      </c>
      <c r="D1697" s="156" t="inlineStr">
        <is>
          <t>PC 300-8MO</t>
        </is>
      </c>
      <c r="E1697" s="156" t="inlineStr">
        <is>
          <t>Excavator</t>
        </is>
      </c>
      <c r="F1697" s="156" t="inlineStr">
        <is>
          <t>Support Washing Plant</t>
        </is>
      </c>
      <c r="G1697" s="182" t="n">
        <v>10.99</v>
      </c>
      <c r="H1697" s="182" t="n">
        <v>0</v>
      </c>
      <c r="I1697" s="182" t="n">
        <v>0</v>
      </c>
      <c r="J1697" s="182" t="n">
        <v>0</v>
      </c>
      <c r="K1697" s="182" t="n">
        <v>1.01</v>
      </c>
      <c r="L1697" s="182" t="n">
        <v>12</v>
      </c>
      <c r="M1697" s="182" t="n">
        <v>0</v>
      </c>
      <c r="N1697" s="182" t="n">
        <v>0</v>
      </c>
      <c r="O1697" s="183" t="n">
        <v>0</v>
      </c>
      <c r="P1697" s="183" t="n">
        <v>0</v>
      </c>
      <c r="Q1697" s="184" t="n">
        <v>0</v>
      </c>
      <c r="R1697" s="184" t="n">
        <v>0</v>
      </c>
      <c r="S1697" s="183" t="n">
        <v>0</v>
      </c>
      <c r="T1697" s="183" t="n">
        <v>0</v>
      </c>
      <c r="U1697" s="182" t="n">
        <v>0</v>
      </c>
      <c r="V1697" s="182" t="n">
        <v>0</v>
      </c>
      <c r="W1697" s="182" t="n">
        <v>0</v>
      </c>
      <c r="X1697" s="182" t="n">
        <v>0.93</v>
      </c>
      <c r="Y1697" s="182" t="n">
        <v>0</v>
      </c>
      <c r="Z1697" s="182" t="n">
        <v>0</v>
      </c>
      <c r="AA1697" s="182" t="n">
        <v>0</v>
      </c>
      <c r="AB1697" s="182" t="n">
        <v>0</v>
      </c>
      <c r="AC1697" s="182" t="n">
        <v>0</v>
      </c>
      <c r="AD1697" s="182" t="n">
        <v>0</v>
      </c>
      <c r="AE1697" s="182" t="n">
        <v>0</v>
      </c>
      <c r="AF1697" s="182" t="n">
        <v>0</v>
      </c>
      <c r="AG1697" s="182" t="n">
        <v>0</v>
      </c>
      <c r="AH1697" s="182" t="n">
        <v>0</v>
      </c>
      <c r="AI1697" s="182" t="n">
        <v>0</v>
      </c>
      <c r="AJ1697" s="182" t="n">
        <v>0</v>
      </c>
      <c r="AK1697" s="182" t="n">
        <v>0</v>
      </c>
      <c r="AL1697" s="182" t="n">
        <v>0</v>
      </c>
      <c r="AM1697" s="182" t="n">
        <v>0.08</v>
      </c>
      <c r="AN1697" s="182" t="n">
        <v>0</v>
      </c>
    </row>
    <row r="1698">
      <c r="A1698" s="155" t="n">
        <v>46089</v>
      </c>
      <c r="B1698" s="156" t="inlineStr">
        <is>
          <t>NS</t>
        </is>
      </c>
      <c r="C1698" s="156" t="inlineStr">
        <is>
          <t>EX-335</t>
        </is>
      </c>
      <c r="D1698" s="156" t="inlineStr">
        <is>
          <t>PC 300-8MO</t>
        </is>
      </c>
      <c r="E1698" s="156" t="inlineStr">
        <is>
          <t>Excavator</t>
        </is>
      </c>
      <c r="F1698" s="156" t="inlineStr">
        <is>
          <t>Loading &amp; Cleaning Coal</t>
        </is>
      </c>
      <c r="G1698" s="182" t="n">
        <v>9.779999999999999</v>
      </c>
      <c r="H1698" s="182" t="n">
        <v>0</v>
      </c>
      <c r="I1698" s="182" t="n">
        <v>0</v>
      </c>
      <c r="J1698" s="182" t="n">
        <v>0</v>
      </c>
      <c r="K1698" s="182" t="n">
        <v>2.22</v>
      </c>
      <c r="L1698" s="182" t="n">
        <v>12</v>
      </c>
      <c r="M1698" s="182" t="n">
        <v>0</v>
      </c>
      <c r="N1698" s="182" t="n">
        <v>1.96</v>
      </c>
      <c r="O1698" s="183" t="n">
        <v>0</v>
      </c>
      <c r="P1698" s="183" t="n">
        <v>9</v>
      </c>
      <c r="Q1698" s="184" t="n">
        <v>0</v>
      </c>
      <c r="R1698" s="184" t="n">
        <v>141.1</v>
      </c>
      <c r="S1698" s="183" t="n">
        <v>0</v>
      </c>
      <c r="T1698" s="183" t="n">
        <v>0</v>
      </c>
      <c r="U1698" s="182" t="n">
        <v>0.8</v>
      </c>
      <c r="V1698" s="182" t="n">
        <v>0</v>
      </c>
      <c r="W1698" s="182" t="n">
        <v>0</v>
      </c>
      <c r="X1698" s="182" t="n">
        <v>1.11</v>
      </c>
      <c r="Y1698" s="182" t="n">
        <v>0</v>
      </c>
      <c r="Z1698" s="182" t="n">
        <v>0</v>
      </c>
      <c r="AA1698" s="182" t="n">
        <v>0</v>
      </c>
      <c r="AB1698" s="182" t="n">
        <v>0</v>
      </c>
      <c r="AC1698" s="182" t="n">
        <v>0</v>
      </c>
      <c r="AD1698" s="182" t="n">
        <v>0</v>
      </c>
      <c r="AE1698" s="182" t="n">
        <v>0</v>
      </c>
      <c r="AF1698" s="182" t="n">
        <v>0</v>
      </c>
      <c r="AG1698" s="182" t="n">
        <v>0</v>
      </c>
      <c r="AH1698" s="182" t="n">
        <v>0.22</v>
      </c>
      <c r="AI1698" s="182" t="n">
        <v>0</v>
      </c>
      <c r="AJ1698" s="182" t="n">
        <v>0</v>
      </c>
      <c r="AK1698" s="182" t="n">
        <v>0</v>
      </c>
      <c r="AL1698" s="182" t="n">
        <v>0</v>
      </c>
      <c r="AM1698" s="182" t="n">
        <v>0.09</v>
      </c>
      <c r="AN1698" s="182" t="n">
        <v>0</v>
      </c>
    </row>
    <row r="1699">
      <c r="A1699" s="155" t="n">
        <v>46089</v>
      </c>
      <c r="B1699" s="156" t="inlineStr">
        <is>
          <t>NS</t>
        </is>
      </c>
      <c r="C1699" s="156" t="inlineStr">
        <is>
          <t>EX-754</t>
        </is>
      </c>
      <c r="D1699" s="156" t="inlineStr">
        <is>
          <t>SY750H-PRO</t>
        </is>
      </c>
      <c r="E1699" s="156" t="inlineStr">
        <is>
          <t>Excavator</t>
        </is>
      </c>
      <c r="F1699" s="156" t="inlineStr">
        <is>
          <t>LoadingOB</t>
        </is>
      </c>
      <c r="G1699" s="182" t="n">
        <v>9.210000000000001</v>
      </c>
      <c r="H1699" s="182" t="n">
        <v>0</v>
      </c>
      <c r="I1699" s="182" t="n">
        <v>0</v>
      </c>
      <c r="J1699" s="182" t="n">
        <v>0</v>
      </c>
      <c r="K1699" s="182" t="n">
        <v>2.79</v>
      </c>
      <c r="L1699" s="182" t="n">
        <v>12</v>
      </c>
      <c r="M1699" s="182" t="n">
        <v>9.210000000000001</v>
      </c>
      <c r="N1699" s="182" t="n">
        <v>0</v>
      </c>
      <c r="O1699" s="183" t="n">
        <v>143</v>
      </c>
      <c r="P1699" s="183" t="n">
        <v>0</v>
      </c>
      <c r="Q1699" s="184" t="n">
        <v>2917.2</v>
      </c>
      <c r="R1699" s="184" t="n">
        <v>0</v>
      </c>
      <c r="S1699" s="183" t="n">
        <v>0</v>
      </c>
      <c r="T1699" s="183" t="n">
        <v>0</v>
      </c>
      <c r="U1699" s="182" t="n">
        <v>0.72</v>
      </c>
      <c r="V1699" s="182" t="n">
        <v>0.62</v>
      </c>
      <c r="W1699" s="182" t="n">
        <v>0</v>
      </c>
      <c r="X1699" s="182" t="n">
        <v>1</v>
      </c>
      <c r="Y1699" s="182" t="n">
        <v>0</v>
      </c>
      <c r="Z1699" s="182" t="n">
        <v>0</v>
      </c>
      <c r="AA1699" s="182" t="n">
        <v>0</v>
      </c>
      <c r="AB1699" s="182" t="n">
        <v>0</v>
      </c>
      <c r="AC1699" s="182" t="n">
        <v>0</v>
      </c>
      <c r="AD1699" s="182" t="n">
        <v>0</v>
      </c>
      <c r="AE1699" s="182" t="n">
        <v>0</v>
      </c>
      <c r="AF1699" s="182" t="n">
        <v>0</v>
      </c>
      <c r="AG1699" s="182" t="n">
        <v>0</v>
      </c>
      <c r="AH1699" s="182" t="n">
        <v>0.37</v>
      </c>
      <c r="AI1699" s="182" t="n">
        <v>0</v>
      </c>
      <c r="AJ1699" s="182" t="n">
        <v>0</v>
      </c>
      <c r="AK1699" s="182" t="n">
        <v>0</v>
      </c>
      <c r="AL1699" s="182" t="n">
        <v>0</v>
      </c>
      <c r="AM1699" s="182" t="n">
        <v>0.08</v>
      </c>
      <c r="AN1699" s="182" t="n">
        <v>0</v>
      </c>
    </row>
    <row r="1700">
      <c r="A1700" s="155" t="n">
        <v>46089</v>
      </c>
      <c r="B1700" s="156" t="inlineStr">
        <is>
          <t>NS</t>
        </is>
      </c>
      <c r="C1700" s="156" t="inlineStr">
        <is>
          <t>EX-755</t>
        </is>
      </c>
      <c r="D1700" s="156" t="inlineStr">
        <is>
          <t>SY750H-PRO</t>
        </is>
      </c>
      <c r="E1700" s="156" t="inlineStr">
        <is>
          <t>Excavator</t>
        </is>
      </c>
      <c r="F1700" s="156" t="inlineStr">
        <is>
          <t>LoadingOB</t>
        </is>
      </c>
      <c r="G1700" s="182" t="n">
        <v>9.869999999999999</v>
      </c>
      <c r="H1700" s="182" t="n">
        <v>0</v>
      </c>
      <c r="I1700" s="182" t="n">
        <v>0</v>
      </c>
      <c r="J1700" s="182" t="n">
        <v>0</v>
      </c>
      <c r="K1700" s="182" t="n">
        <v>2.13</v>
      </c>
      <c r="L1700" s="182" t="n">
        <v>12</v>
      </c>
      <c r="M1700" s="182" t="n">
        <v>9.449999999999999</v>
      </c>
      <c r="N1700" s="182" t="n">
        <v>0</v>
      </c>
      <c r="O1700" s="183" t="n">
        <v>125</v>
      </c>
      <c r="P1700" s="183" t="n">
        <v>0</v>
      </c>
      <c r="Q1700" s="184" t="n">
        <v>2550</v>
      </c>
      <c r="R1700" s="184" t="n">
        <v>0</v>
      </c>
      <c r="S1700" s="183" t="n">
        <v>0</v>
      </c>
      <c r="T1700" s="183" t="n">
        <v>0</v>
      </c>
      <c r="U1700" s="182" t="n">
        <v>0.74</v>
      </c>
      <c r="V1700" s="182" t="n">
        <v>0.29</v>
      </c>
      <c r="W1700" s="182" t="n">
        <v>0</v>
      </c>
      <c r="X1700" s="182" t="n">
        <v>1.02</v>
      </c>
      <c r="Y1700" s="182" t="n">
        <v>0</v>
      </c>
      <c r="Z1700" s="182" t="n">
        <v>0</v>
      </c>
      <c r="AA1700" s="182" t="n">
        <v>0</v>
      </c>
      <c r="AB1700" s="182" t="n">
        <v>0</v>
      </c>
      <c r="AC1700" s="182" t="n">
        <v>0</v>
      </c>
      <c r="AD1700" s="182" t="n">
        <v>0</v>
      </c>
      <c r="AE1700" s="182" t="n">
        <v>0</v>
      </c>
      <c r="AF1700" s="182" t="n">
        <v>0</v>
      </c>
      <c r="AG1700" s="182" t="n">
        <v>0</v>
      </c>
      <c r="AH1700" s="182" t="n">
        <v>0</v>
      </c>
      <c r="AI1700" s="182" t="n">
        <v>0</v>
      </c>
      <c r="AJ1700" s="182" t="n">
        <v>0</v>
      </c>
      <c r="AK1700" s="182" t="n">
        <v>0</v>
      </c>
      <c r="AL1700" s="182" t="n">
        <v>0</v>
      </c>
      <c r="AM1700" s="182" t="n">
        <v>0.08</v>
      </c>
      <c r="AN1700" s="182" t="n">
        <v>0</v>
      </c>
    </row>
    <row r="1701">
      <c r="A1701" s="155" t="n">
        <v>46089</v>
      </c>
      <c r="B1701" s="156" t="inlineStr">
        <is>
          <t>NS</t>
        </is>
      </c>
      <c r="C1701" s="156" t="inlineStr">
        <is>
          <t>EX-752</t>
        </is>
      </c>
      <c r="D1701" s="156" t="inlineStr">
        <is>
          <t>SY750H-PRO</t>
        </is>
      </c>
      <c r="E1701" s="156" t="inlineStr">
        <is>
          <t>Excavator</t>
        </is>
      </c>
      <c r="F1701" s="156" t="inlineStr"/>
      <c r="G1701" s="182" t="n">
        <v>0</v>
      </c>
      <c r="H1701" s="182" t="n">
        <v>0</v>
      </c>
      <c r="I1701" s="182" t="n">
        <v>12</v>
      </c>
      <c r="J1701" s="182" t="n">
        <v>12</v>
      </c>
      <c r="K1701" s="182" t="n">
        <v>0</v>
      </c>
      <c r="L1701" s="182" t="n">
        <v>12</v>
      </c>
      <c r="M1701" s="182" t="n">
        <v>0</v>
      </c>
      <c r="N1701" s="182" t="n">
        <v>0</v>
      </c>
      <c r="O1701" s="183" t="n">
        <v>0</v>
      </c>
      <c r="P1701" s="183" t="n">
        <v>0</v>
      </c>
      <c r="Q1701" s="184" t="n">
        <v>0</v>
      </c>
      <c r="R1701" s="184" t="n">
        <v>0</v>
      </c>
      <c r="S1701" s="183" t="n">
        <v>0</v>
      </c>
      <c r="T1701" s="183" t="n">
        <v>0</v>
      </c>
      <c r="U1701" s="182" t="n">
        <v>0</v>
      </c>
      <c r="V1701" s="182" t="n">
        <v>0</v>
      </c>
      <c r="W1701" s="182" t="n">
        <v>0</v>
      </c>
      <c r="X1701" s="182" t="n">
        <v>0</v>
      </c>
      <c r="Y1701" s="182" t="n">
        <v>0</v>
      </c>
      <c r="Z1701" s="182" t="n">
        <v>0</v>
      </c>
      <c r="AA1701" s="182" t="n">
        <v>0</v>
      </c>
      <c r="AB1701" s="182" t="n">
        <v>0</v>
      </c>
      <c r="AC1701" s="182" t="n">
        <v>0</v>
      </c>
      <c r="AD1701" s="182" t="n">
        <v>0</v>
      </c>
      <c r="AE1701" s="182" t="n">
        <v>0</v>
      </c>
      <c r="AF1701" s="182" t="n">
        <v>0</v>
      </c>
      <c r="AG1701" s="182" t="n">
        <v>0</v>
      </c>
      <c r="AH1701" s="182" t="n">
        <v>0</v>
      </c>
      <c r="AI1701" s="182" t="n">
        <v>0</v>
      </c>
      <c r="AJ1701" s="182" t="n">
        <v>0</v>
      </c>
      <c r="AK1701" s="182" t="n">
        <v>0</v>
      </c>
      <c r="AL1701" s="182" t="n">
        <v>0</v>
      </c>
      <c r="AM1701" s="182" t="n">
        <v>0</v>
      </c>
      <c r="AN1701" s="182" t="n">
        <v>0</v>
      </c>
    </row>
    <row r="1702">
      <c r="A1702" s="155" t="n">
        <v>46089</v>
      </c>
      <c r="B1702" s="156" t="inlineStr">
        <is>
          <t>NS</t>
        </is>
      </c>
      <c r="C1702" s="156" t="inlineStr">
        <is>
          <t>EX-751</t>
        </is>
      </c>
      <c r="D1702" s="156" t="inlineStr">
        <is>
          <t>SY750H-PRO</t>
        </is>
      </c>
      <c r="E1702" s="156" t="inlineStr">
        <is>
          <t>Excavator</t>
        </is>
      </c>
      <c r="F1702" s="156" t="inlineStr"/>
      <c r="G1702" s="182" t="n">
        <v>0</v>
      </c>
      <c r="H1702" s="182" t="n">
        <v>0</v>
      </c>
      <c r="I1702" s="182" t="n">
        <v>12</v>
      </c>
      <c r="J1702" s="182" t="n">
        <v>12</v>
      </c>
      <c r="K1702" s="182" t="n">
        <v>0</v>
      </c>
      <c r="L1702" s="182" t="n">
        <v>12</v>
      </c>
      <c r="M1702" s="182" t="n">
        <v>0</v>
      </c>
      <c r="N1702" s="182" t="n">
        <v>0</v>
      </c>
      <c r="O1702" s="183" t="n">
        <v>0</v>
      </c>
      <c r="P1702" s="183" t="n">
        <v>0</v>
      </c>
      <c r="Q1702" s="184" t="n">
        <v>0</v>
      </c>
      <c r="R1702" s="184" t="n">
        <v>0</v>
      </c>
      <c r="S1702" s="183" t="n">
        <v>0</v>
      </c>
      <c r="T1702" s="183" t="n">
        <v>0</v>
      </c>
      <c r="U1702" s="182" t="n">
        <v>0</v>
      </c>
      <c r="V1702" s="182" t="n">
        <v>0</v>
      </c>
      <c r="W1702" s="182" t="n">
        <v>0</v>
      </c>
      <c r="X1702" s="182" t="n">
        <v>0</v>
      </c>
      <c r="Y1702" s="182" t="n">
        <v>0</v>
      </c>
      <c r="Z1702" s="182" t="n">
        <v>0</v>
      </c>
      <c r="AA1702" s="182" t="n">
        <v>0</v>
      </c>
      <c r="AB1702" s="182" t="n">
        <v>0</v>
      </c>
      <c r="AC1702" s="182" t="n">
        <v>0</v>
      </c>
      <c r="AD1702" s="182" t="n">
        <v>0</v>
      </c>
      <c r="AE1702" s="182" t="n">
        <v>0</v>
      </c>
      <c r="AF1702" s="182" t="n">
        <v>0</v>
      </c>
      <c r="AG1702" s="182" t="n">
        <v>0</v>
      </c>
      <c r="AH1702" s="182" t="n">
        <v>0</v>
      </c>
      <c r="AI1702" s="182" t="n">
        <v>0</v>
      </c>
      <c r="AJ1702" s="182" t="n">
        <v>0</v>
      </c>
      <c r="AK1702" s="182" t="n">
        <v>0</v>
      </c>
      <c r="AL1702" s="182" t="n">
        <v>0</v>
      </c>
      <c r="AM1702" s="182" t="n">
        <v>0</v>
      </c>
      <c r="AN1702" s="182" t="n">
        <v>0</v>
      </c>
    </row>
    <row r="1703">
      <c r="A1703" s="155" t="n">
        <v>46089</v>
      </c>
      <c r="B1703" s="156" t="inlineStr">
        <is>
          <t>NS</t>
        </is>
      </c>
      <c r="C1703" s="156" t="inlineStr">
        <is>
          <t>EX-753</t>
        </is>
      </c>
      <c r="D1703" s="156" t="inlineStr">
        <is>
          <t>SY750H-PRO</t>
        </is>
      </c>
      <c r="E1703" s="156" t="inlineStr">
        <is>
          <t>Excavator</t>
        </is>
      </c>
      <c r="F1703" s="156" t="inlineStr">
        <is>
          <t>LoadingOB</t>
        </is>
      </c>
      <c r="G1703" s="182" t="n">
        <v>8.970000000000001</v>
      </c>
      <c r="H1703" s="182" t="n">
        <v>0</v>
      </c>
      <c r="I1703" s="182" t="n">
        <v>0.34</v>
      </c>
      <c r="J1703" s="182" t="n">
        <v>0.34</v>
      </c>
      <c r="K1703" s="182" t="n">
        <v>2.69</v>
      </c>
      <c r="L1703" s="182" t="n">
        <v>12</v>
      </c>
      <c r="M1703" s="182" t="n">
        <v>8.66</v>
      </c>
      <c r="N1703" s="182" t="n">
        <v>0</v>
      </c>
      <c r="O1703" s="183" t="n">
        <v>127</v>
      </c>
      <c r="P1703" s="183" t="n">
        <v>0</v>
      </c>
      <c r="Q1703" s="184" t="n">
        <v>2590.8</v>
      </c>
      <c r="R1703" s="184" t="n">
        <v>0</v>
      </c>
      <c r="S1703" s="183" t="n">
        <v>0</v>
      </c>
      <c r="T1703" s="183" t="n">
        <v>0</v>
      </c>
      <c r="U1703" s="182" t="n">
        <v>0.83</v>
      </c>
      <c r="V1703" s="182" t="n">
        <v>0.6</v>
      </c>
      <c r="W1703" s="182" t="n">
        <v>0</v>
      </c>
      <c r="X1703" s="182" t="n">
        <v>1.16</v>
      </c>
      <c r="Y1703" s="182" t="n">
        <v>0</v>
      </c>
      <c r="Z1703" s="182" t="n">
        <v>0</v>
      </c>
      <c r="AA1703" s="182" t="n">
        <v>0</v>
      </c>
      <c r="AB1703" s="182" t="n">
        <v>0</v>
      </c>
      <c r="AC1703" s="182" t="n">
        <v>0</v>
      </c>
      <c r="AD1703" s="182" t="n">
        <v>0</v>
      </c>
      <c r="AE1703" s="182" t="n">
        <v>0</v>
      </c>
      <c r="AF1703" s="182" t="n">
        <v>0</v>
      </c>
      <c r="AG1703" s="182" t="n">
        <v>0</v>
      </c>
      <c r="AH1703" s="182" t="n">
        <v>0</v>
      </c>
      <c r="AI1703" s="182" t="n">
        <v>0</v>
      </c>
      <c r="AJ1703" s="182" t="n">
        <v>0</v>
      </c>
      <c r="AK1703" s="182" t="n">
        <v>0</v>
      </c>
      <c r="AL1703" s="182" t="n">
        <v>0</v>
      </c>
      <c r="AM1703" s="182" t="n">
        <v>0.09</v>
      </c>
      <c r="AN1703" s="182" t="n">
        <v>0</v>
      </c>
    </row>
    <row r="1704">
      <c r="A1704" s="155" t="n">
        <v>46089</v>
      </c>
      <c r="B1704" s="156" t="inlineStr">
        <is>
          <t>NS</t>
        </is>
      </c>
      <c r="C1704" s="156" t="inlineStr">
        <is>
          <t>GD-012</t>
        </is>
      </c>
      <c r="D1704" s="156" t="inlineStr">
        <is>
          <t>STG 230C - 8S</t>
        </is>
      </c>
      <c r="E1704" s="156" t="inlineStr">
        <is>
          <t>Grader</t>
        </is>
      </c>
      <c r="F1704" s="156" t="inlineStr"/>
      <c r="G1704" s="182" t="n">
        <v>0</v>
      </c>
      <c r="H1704" s="182" t="n">
        <v>0</v>
      </c>
      <c r="I1704" s="182" t="n">
        <v>0</v>
      </c>
      <c r="J1704" s="182" t="n">
        <v>0</v>
      </c>
      <c r="K1704" s="182" t="n">
        <v>12</v>
      </c>
      <c r="L1704" s="182" t="n">
        <v>12</v>
      </c>
      <c r="M1704" s="182" t="n">
        <v>0</v>
      </c>
      <c r="N1704" s="182" t="n">
        <v>0</v>
      </c>
      <c r="O1704" s="183" t="n">
        <v>0</v>
      </c>
      <c r="P1704" s="183" t="n">
        <v>0</v>
      </c>
      <c r="Q1704" s="184" t="n">
        <v>0</v>
      </c>
      <c r="R1704" s="184" t="n">
        <v>0</v>
      </c>
      <c r="S1704" s="183" t="n">
        <v>0</v>
      </c>
      <c r="T1704" s="183" t="n">
        <v>0</v>
      </c>
      <c r="U1704" s="182" t="n">
        <v>0</v>
      </c>
      <c r="V1704" s="182" t="n">
        <v>0</v>
      </c>
      <c r="W1704" s="182" t="n">
        <v>0</v>
      </c>
      <c r="X1704" s="182" t="n">
        <v>1</v>
      </c>
      <c r="Y1704" s="182" t="n">
        <v>0</v>
      </c>
      <c r="Z1704" s="182" t="n">
        <v>0</v>
      </c>
      <c r="AA1704" s="182" t="n">
        <v>0</v>
      </c>
      <c r="AB1704" s="182" t="n">
        <v>0</v>
      </c>
      <c r="AC1704" s="182" t="n">
        <v>0</v>
      </c>
      <c r="AD1704" s="182" t="n">
        <v>0</v>
      </c>
      <c r="AE1704" s="182" t="n">
        <v>0</v>
      </c>
      <c r="AF1704" s="182" t="n">
        <v>0</v>
      </c>
      <c r="AG1704" s="182" t="n">
        <v>0</v>
      </c>
      <c r="AH1704" s="182" t="n">
        <v>0</v>
      </c>
      <c r="AI1704" s="182" t="n">
        <v>0</v>
      </c>
      <c r="AJ1704" s="182" t="n">
        <v>0</v>
      </c>
      <c r="AK1704" s="182" t="n">
        <v>10.92</v>
      </c>
      <c r="AL1704" s="182" t="n">
        <v>0</v>
      </c>
      <c r="AM1704" s="182" t="n">
        <v>0.08</v>
      </c>
      <c r="AN1704" s="182" t="n">
        <v>0</v>
      </c>
    </row>
    <row r="1705">
      <c r="A1705" s="155" t="n">
        <v>46089</v>
      </c>
      <c r="B1705" s="156" t="inlineStr">
        <is>
          <t>NS</t>
        </is>
      </c>
      <c r="C1705" s="156" t="inlineStr">
        <is>
          <t>GD-011</t>
        </is>
      </c>
      <c r="D1705" s="156" t="inlineStr">
        <is>
          <t>STG 230C - 8S</t>
        </is>
      </c>
      <c r="E1705" s="156" t="inlineStr">
        <is>
          <t>Grader</t>
        </is>
      </c>
      <c r="F1705" s="156" t="inlineStr"/>
      <c r="G1705" s="182" t="n">
        <v>0</v>
      </c>
      <c r="H1705" s="182" t="n">
        <v>0</v>
      </c>
      <c r="I1705" s="182" t="n">
        <v>12</v>
      </c>
      <c r="J1705" s="182" t="n">
        <v>12</v>
      </c>
      <c r="K1705" s="182" t="n">
        <v>0</v>
      </c>
      <c r="L1705" s="182" t="n">
        <v>12</v>
      </c>
      <c r="M1705" s="182" t="n">
        <v>0</v>
      </c>
      <c r="N1705" s="182" t="n">
        <v>0</v>
      </c>
      <c r="O1705" s="183" t="n">
        <v>0</v>
      </c>
      <c r="P1705" s="183" t="n">
        <v>0</v>
      </c>
      <c r="Q1705" s="184" t="n">
        <v>0</v>
      </c>
      <c r="R1705" s="184" t="n">
        <v>0</v>
      </c>
      <c r="S1705" s="183" t="n">
        <v>0</v>
      </c>
      <c r="T1705" s="183" t="n">
        <v>0</v>
      </c>
      <c r="U1705" s="182" t="n">
        <v>0</v>
      </c>
      <c r="V1705" s="182" t="n">
        <v>0</v>
      </c>
      <c r="W1705" s="182" t="n">
        <v>0</v>
      </c>
      <c r="X1705" s="182" t="n">
        <v>0</v>
      </c>
      <c r="Y1705" s="182" t="n">
        <v>0</v>
      </c>
      <c r="Z1705" s="182" t="n">
        <v>0</v>
      </c>
      <c r="AA1705" s="182" t="n">
        <v>0</v>
      </c>
      <c r="AB1705" s="182" t="n">
        <v>0</v>
      </c>
      <c r="AC1705" s="182" t="n">
        <v>0</v>
      </c>
      <c r="AD1705" s="182" t="n">
        <v>0</v>
      </c>
      <c r="AE1705" s="182" t="n">
        <v>0</v>
      </c>
      <c r="AF1705" s="182" t="n">
        <v>0</v>
      </c>
      <c r="AG1705" s="182" t="n">
        <v>0</v>
      </c>
      <c r="AH1705" s="182" t="n">
        <v>0</v>
      </c>
      <c r="AI1705" s="182" t="n">
        <v>0</v>
      </c>
      <c r="AJ1705" s="182" t="n">
        <v>0</v>
      </c>
      <c r="AK1705" s="182" t="n">
        <v>0</v>
      </c>
      <c r="AL1705" s="182" t="n">
        <v>0</v>
      </c>
      <c r="AM1705" s="182" t="n">
        <v>0</v>
      </c>
      <c r="AN1705" s="182" t="n">
        <v>0</v>
      </c>
    </row>
    <row r="1706">
      <c r="A1706" s="155" t="n">
        <v>46089</v>
      </c>
      <c r="B1706" s="156" t="inlineStr">
        <is>
          <t>NS</t>
        </is>
      </c>
      <c r="C1706" s="156" t="inlineStr">
        <is>
          <t>GD-013</t>
        </is>
      </c>
      <c r="D1706" s="156" t="inlineStr">
        <is>
          <t>STG 265C - 10</t>
        </is>
      </c>
      <c r="E1706" s="156" t="inlineStr">
        <is>
          <t>Grader</t>
        </is>
      </c>
      <c r="F1706" s="156" t="inlineStr">
        <is>
          <t>Road Maintenance</t>
        </is>
      </c>
      <c r="G1706" s="182" t="n">
        <v>8.35</v>
      </c>
      <c r="H1706" s="182" t="n">
        <v>0</v>
      </c>
      <c r="I1706" s="182" t="n">
        <v>0.25</v>
      </c>
      <c r="J1706" s="182" t="n">
        <v>0.25</v>
      </c>
      <c r="K1706" s="182" t="n">
        <v>3.4</v>
      </c>
      <c r="L1706" s="182" t="n">
        <v>12</v>
      </c>
      <c r="M1706" s="182" t="n">
        <v>0</v>
      </c>
      <c r="N1706" s="182" t="n">
        <v>0</v>
      </c>
      <c r="O1706" s="183" t="n">
        <v>0</v>
      </c>
      <c r="P1706" s="183" t="n">
        <v>0</v>
      </c>
      <c r="Q1706" s="184" t="n">
        <v>0</v>
      </c>
      <c r="R1706" s="184" t="n">
        <v>0</v>
      </c>
      <c r="S1706" s="183" t="n">
        <v>0</v>
      </c>
      <c r="T1706" s="183" t="n">
        <v>0</v>
      </c>
      <c r="U1706" s="182" t="n">
        <v>0.6899999999999999</v>
      </c>
      <c r="V1706" s="182" t="n">
        <v>0</v>
      </c>
      <c r="W1706" s="182" t="n">
        <v>0</v>
      </c>
      <c r="X1706" s="182" t="n">
        <v>0.96</v>
      </c>
      <c r="Y1706" s="182" t="n">
        <v>0</v>
      </c>
      <c r="Z1706" s="182" t="n">
        <v>0</v>
      </c>
      <c r="AA1706" s="182" t="n">
        <v>0</v>
      </c>
      <c r="AB1706" s="182" t="n">
        <v>0</v>
      </c>
      <c r="AC1706" s="182" t="n">
        <v>0</v>
      </c>
      <c r="AD1706" s="182" t="n">
        <v>0</v>
      </c>
      <c r="AE1706" s="182" t="n">
        <v>0</v>
      </c>
      <c r="AF1706" s="182" t="n">
        <v>0</v>
      </c>
      <c r="AG1706" s="182" t="n">
        <v>0</v>
      </c>
      <c r="AH1706" s="182" t="n">
        <v>0</v>
      </c>
      <c r="AI1706" s="182" t="n">
        <v>0</v>
      </c>
      <c r="AJ1706" s="182" t="n">
        <v>0</v>
      </c>
      <c r="AK1706" s="182" t="n">
        <v>1.68</v>
      </c>
      <c r="AL1706" s="182" t="n">
        <v>0</v>
      </c>
      <c r="AM1706" s="182" t="n">
        <v>0.08</v>
      </c>
      <c r="AN1706" s="182" t="n">
        <v>0</v>
      </c>
    </row>
    <row r="1707">
      <c r="A1707" s="155" t="n">
        <v>46089</v>
      </c>
      <c r="B1707" s="156" t="inlineStr">
        <is>
          <t>NS</t>
        </is>
      </c>
      <c r="C1707" s="156" t="inlineStr">
        <is>
          <t>GD-014</t>
        </is>
      </c>
      <c r="D1707" s="156" t="inlineStr">
        <is>
          <t>STG 335C - 10</t>
        </is>
      </c>
      <c r="E1707" s="156" t="inlineStr">
        <is>
          <t>Grader</t>
        </is>
      </c>
      <c r="F1707" s="156" t="inlineStr">
        <is>
          <t>Road Maintenance</t>
        </is>
      </c>
      <c r="G1707" s="182" t="n">
        <v>10.92</v>
      </c>
      <c r="H1707" s="182" t="n">
        <v>0</v>
      </c>
      <c r="I1707" s="182" t="n">
        <v>0</v>
      </c>
      <c r="J1707" s="182" t="n">
        <v>0</v>
      </c>
      <c r="K1707" s="182" t="n">
        <v>1.08</v>
      </c>
      <c r="L1707" s="182" t="n">
        <v>12</v>
      </c>
      <c r="M1707" s="182" t="n">
        <v>0</v>
      </c>
      <c r="N1707" s="182" t="n">
        <v>0</v>
      </c>
      <c r="O1707" s="183" t="n">
        <v>0</v>
      </c>
      <c r="P1707" s="183" t="n">
        <v>0</v>
      </c>
      <c r="Q1707" s="184" t="n">
        <v>0</v>
      </c>
      <c r="R1707" s="184" t="n">
        <v>0</v>
      </c>
      <c r="S1707" s="183" t="n">
        <v>0</v>
      </c>
      <c r="T1707" s="183" t="n">
        <v>0</v>
      </c>
      <c r="U1707" s="182" t="n">
        <v>0.1</v>
      </c>
      <c r="V1707" s="182" t="n">
        <v>0</v>
      </c>
      <c r="W1707" s="182" t="n">
        <v>0</v>
      </c>
      <c r="X1707" s="182" t="n">
        <v>0.91</v>
      </c>
      <c r="Y1707" s="182" t="n">
        <v>0</v>
      </c>
      <c r="Z1707" s="182" t="n">
        <v>0</v>
      </c>
      <c r="AA1707" s="182" t="n">
        <v>0</v>
      </c>
      <c r="AB1707" s="182" t="n">
        <v>0</v>
      </c>
      <c r="AC1707" s="182" t="n">
        <v>0</v>
      </c>
      <c r="AD1707" s="182" t="n">
        <v>0</v>
      </c>
      <c r="AE1707" s="182" t="n">
        <v>0</v>
      </c>
      <c r="AF1707" s="182" t="n">
        <v>0</v>
      </c>
      <c r="AG1707" s="182" t="n">
        <v>0</v>
      </c>
      <c r="AH1707" s="182" t="n">
        <v>0</v>
      </c>
      <c r="AI1707" s="182" t="n">
        <v>0</v>
      </c>
      <c r="AJ1707" s="182" t="n">
        <v>0</v>
      </c>
      <c r="AK1707" s="182" t="n">
        <v>0</v>
      </c>
      <c r="AL1707" s="182" t="n">
        <v>0</v>
      </c>
      <c r="AM1707" s="182" t="n">
        <v>0.07000000000000001</v>
      </c>
      <c r="AN1707" s="182" t="n">
        <v>0</v>
      </c>
    </row>
    <row r="1708">
      <c r="A1708" s="155" t="n">
        <v>46089</v>
      </c>
      <c r="B1708" s="156" t="inlineStr">
        <is>
          <t>NS</t>
        </is>
      </c>
      <c r="C1708" s="156" t="inlineStr">
        <is>
          <t>DT-809</t>
        </is>
      </c>
      <c r="D1708" s="156" t="inlineStr">
        <is>
          <t>SKT 80S</t>
        </is>
      </c>
      <c r="E1708" s="156" t="inlineStr">
        <is>
          <t>Hauler</t>
        </is>
      </c>
      <c r="F1708" s="156" t="inlineStr"/>
      <c r="G1708" s="182" t="n">
        <v>0</v>
      </c>
      <c r="H1708" s="182" t="n">
        <v>0</v>
      </c>
      <c r="I1708" s="182" t="n">
        <v>0</v>
      </c>
      <c r="J1708" s="182" t="n">
        <v>0</v>
      </c>
      <c r="K1708" s="182" t="n">
        <v>12</v>
      </c>
      <c r="L1708" s="182" t="n">
        <v>12</v>
      </c>
      <c r="M1708" s="182" t="n">
        <v>0</v>
      </c>
      <c r="N1708" s="182" t="n">
        <v>0</v>
      </c>
      <c r="O1708" s="183" t="n">
        <v>0</v>
      </c>
      <c r="P1708" s="183" t="n">
        <v>0</v>
      </c>
      <c r="Q1708" s="184" t="n">
        <v>0</v>
      </c>
      <c r="R1708" s="184" t="n">
        <v>0</v>
      </c>
      <c r="S1708" s="183" t="n">
        <v>0</v>
      </c>
      <c r="T1708" s="183" t="n">
        <v>0</v>
      </c>
      <c r="U1708" s="182" t="n">
        <v>0.72</v>
      </c>
      <c r="V1708" s="182" t="n">
        <v>0</v>
      </c>
      <c r="W1708" s="182" t="n">
        <v>0</v>
      </c>
      <c r="X1708" s="182" t="n">
        <v>1</v>
      </c>
      <c r="Y1708" s="182" t="n">
        <v>0</v>
      </c>
      <c r="Z1708" s="182" t="n">
        <v>0</v>
      </c>
      <c r="AA1708" s="182" t="n">
        <v>0</v>
      </c>
      <c r="AB1708" s="182" t="n">
        <v>0</v>
      </c>
      <c r="AC1708" s="182" t="n">
        <v>0</v>
      </c>
      <c r="AD1708" s="182" t="n">
        <v>0</v>
      </c>
      <c r="AE1708" s="182" t="n">
        <v>0</v>
      </c>
      <c r="AF1708" s="182" t="n">
        <v>0</v>
      </c>
      <c r="AG1708" s="182" t="n">
        <v>0</v>
      </c>
      <c r="AH1708" s="182" t="n">
        <v>0</v>
      </c>
      <c r="AI1708" s="182" t="n">
        <v>0</v>
      </c>
      <c r="AJ1708" s="182" t="n">
        <v>0</v>
      </c>
      <c r="AK1708" s="182" t="n">
        <v>10.2</v>
      </c>
      <c r="AL1708" s="182" t="n">
        <v>0</v>
      </c>
      <c r="AM1708" s="182" t="n">
        <v>0.08</v>
      </c>
      <c r="AN1708" s="182" t="n">
        <v>0</v>
      </c>
    </row>
    <row r="1709">
      <c r="A1709" s="155" t="n">
        <v>46089</v>
      </c>
      <c r="B1709" s="156" t="inlineStr">
        <is>
          <t>NS</t>
        </is>
      </c>
      <c r="C1709" s="156" t="inlineStr">
        <is>
          <t>DT-806</t>
        </is>
      </c>
      <c r="D1709" s="156" t="inlineStr">
        <is>
          <t>SKT 80S</t>
        </is>
      </c>
      <c r="E1709" s="156" t="inlineStr">
        <is>
          <t>Hauler</t>
        </is>
      </c>
      <c r="F1709" s="156" t="inlineStr"/>
      <c r="G1709" s="182" t="n">
        <v>0</v>
      </c>
      <c r="H1709" s="182" t="n">
        <v>0</v>
      </c>
      <c r="I1709" s="182" t="n">
        <v>0</v>
      </c>
      <c r="J1709" s="182" t="n">
        <v>0</v>
      </c>
      <c r="K1709" s="182" t="n">
        <v>12</v>
      </c>
      <c r="L1709" s="182" t="n">
        <v>12</v>
      </c>
      <c r="M1709" s="182" t="n">
        <v>0</v>
      </c>
      <c r="N1709" s="182" t="n">
        <v>0</v>
      </c>
      <c r="O1709" s="183" t="n">
        <v>0</v>
      </c>
      <c r="P1709" s="183" t="n">
        <v>0</v>
      </c>
      <c r="Q1709" s="184" t="n">
        <v>0</v>
      </c>
      <c r="R1709" s="184" t="n">
        <v>0</v>
      </c>
      <c r="S1709" s="183" t="n">
        <v>0</v>
      </c>
      <c r="T1709" s="183" t="n">
        <v>0</v>
      </c>
      <c r="U1709" s="182" t="n">
        <v>0.72</v>
      </c>
      <c r="V1709" s="182" t="n">
        <v>0</v>
      </c>
      <c r="W1709" s="182" t="n">
        <v>0</v>
      </c>
      <c r="X1709" s="182" t="n">
        <v>1</v>
      </c>
      <c r="Y1709" s="182" t="n">
        <v>0</v>
      </c>
      <c r="Z1709" s="182" t="n">
        <v>0</v>
      </c>
      <c r="AA1709" s="182" t="n">
        <v>0</v>
      </c>
      <c r="AB1709" s="182" t="n">
        <v>0</v>
      </c>
      <c r="AC1709" s="182" t="n">
        <v>0</v>
      </c>
      <c r="AD1709" s="182" t="n">
        <v>0</v>
      </c>
      <c r="AE1709" s="182" t="n">
        <v>0</v>
      </c>
      <c r="AF1709" s="182" t="n">
        <v>0</v>
      </c>
      <c r="AG1709" s="182" t="n">
        <v>0</v>
      </c>
      <c r="AH1709" s="182" t="n">
        <v>0</v>
      </c>
      <c r="AI1709" s="182" t="n">
        <v>0</v>
      </c>
      <c r="AJ1709" s="182" t="n">
        <v>0</v>
      </c>
      <c r="AK1709" s="182" t="n">
        <v>10.2</v>
      </c>
      <c r="AL1709" s="182" t="n">
        <v>0</v>
      </c>
      <c r="AM1709" s="182" t="n">
        <v>0.08</v>
      </c>
      <c r="AN1709" s="182" t="n">
        <v>0</v>
      </c>
    </row>
    <row r="1710">
      <c r="A1710" s="155" t="n">
        <v>46089</v>
      </c>
      <c r="B1710" s="156" t="inlineStr">
        <is>
          <t>NS</t>
        </is>
      </c>
      <c r="C1710" s="156" t="inlineStr">
        <is>
          <t>DT-805</t>
        </is>
      </c>
      <c r="D1710" s="156" t="inlineStr">
        <is>
          <t>SKT 80S</t>
        </is>
      </c>
      <c r="E1710" s="156" t="inlineStr">
        <is>
          <t>Hauler</t>
        </is>
      </c>
      <c r="F1710" s="156" t="inlineStr"/>
      <c r="G1710" s="182" t="n">
        <v>0</v>
      </c>
      <c r="H1710" s="182" t="n">
        <v>0</v>
      </c>
      <c r="I1710" s="182" t="n">
        <v>0</v>
      </c>
      <c r="J1710" s="182" t="n">
        <v>0</v>
      </c>
      <c r="K1710" s="182" t="n">
        <v>12</v>
      </c>
      <c r="L1710" s="182" t="n">
        <v>12</v>
      </c>
      <c r="M1710" s="182" t="n">
        <v>0</v>
      </c>
      <c r="N1710" s="182" t="n">
        <v>0</v>
      </c>
      <c r="O1710" s="183" t="n">
        <v>0</v>
      </c>
      <c r="P1710" s="183" t="n">
        <v>0</v>
      </c>
      <c r="Q1710" s="184" t="n">
        <v>0</v>
      </c>
      <c r="R1710" s="184" t="n">
        <v>0</v>
      </c>
      <c r="S1710" s="183" t="n">
        <v>0</v>
      </c>
      <c r="T1710" s="183" t="n">
        <v>0</v>
      </c>
      <c r="U1710" s="182" t="n">
        <v>0.72</v>
      </c>
      <c r="V1710" s="182" t="n">
        <v>0</v>
      </c>
      <c r="W1710" s="182" t="n">
        <v>0</v>
      </c>
      <c r="X1710" s="182" t="n">
        <v>1</v>
      </c>
      <c r="Y1710" s="182" t="n">
        <v>0</v>
      </c>
      <c r="Z1710" s="182" t="n">
        <v>0</v>
      </c>
      <c r="AA1710" s="182" t="n">
        <v>0</v>
      </c>
      <c r="AB1710" s="182" t="n">
        <v>0</v>
      </c>
      <c r="AC1710" s="182" t="n">
        <v>0</v>
      </c>
      <c r="AD1710" s="182" t="n">
        <v>0</v>
      </c>
      <c r="AE1710" s="182" t="n">
        <v>0</v>
      </c>
      <c r="AF1710" s="182" t="n">
        <v>0</v>
      </c>
      <c r="AG1710" s="182" t="n">
        <v>0</v>
      </c>
      <c r="AH1710" s="182" t="n">
        <v>0</v>
      </c>
      <c r="AI1710" s="182" t="n">
        <v>0</v>
      </c>
      <c r="AJ1710" s="182" t="n">
        <v>0</v>
      </c>
      <c r="AK1710" s="182" t="n">
        <v>10.2</v>
      </c>
      <c r="AL1710" s="182" t="n">
        <v>0</v>
      </c>
      <c r="AM1710" s="182" t="n">
        <v>0.08</v>
      </c>
      <c r="AN1710" s="182" t="n">
        <v>0</v>
      </c>
    </row>
    <row r="1711">
      <c r="A1711" s="155" t="n">
        <v>46089</v>
      </c>
      <c r="B1711" s="156" t="inlineStr">
        <is>
          <t>NS</t>
        </is>
      </c>
      <c r="C1711" s="156" t="inlineStr">
        <is>
          <t>DT-801</t>
        </is>
      </c>
      <c r="D1711" s="156" t="inlineStr">
        <is>
          <t>SKT 80S</t>
        </is>
      </c>
      <c r="E1711" s="156" t="inlineStr">
        <is>
          <t>Hauler</t>
        </is>
      </c>
      <c r="F1711" s="156" t="inlineStr"/>
      <c r="G1711" s="182" t="n">
        <v>0</v>
      </c>
      <c r="H1711" s="182" t="n">
        <v>0</v>
      </c>
      <c r="I1711" s="182" t="n">
        <v>0</v>
      </c>
      <c r="J1711" s="182" t="n">
        <v>0</v>
      </c>
      <c r="K1711" s="182" t="n">
        <v>12</v>
      </c>
      <c r="L1711" s="182" t="n">
        <v>12</v>
      </c>
      <c r="M1711" s="182" t="n">
        <v>0</v>
      </c>
      <c r="N1711" s="182" t="n">
        <v>0</v>
      </c>
      <c r="O1711" s="183" t="n">
        <v>0</v>
      </c>
      <c r="P1711" s="183" t="n">
        <v>0</v>
      </c>
      <c r="Q1711" s="184" t="n">
        <v>0</v>
      </c>
      <c r="R1711" s="184" t="n">
        <v>0</v>
      </c>
      <c r="S1711" s="183" t="n">
        <v>0</v>
      </c>
      <c r="T1711" s="183" t="n">
        <v>0</v>
      </c>
      <c r="U1711" s="182" t="n">
        <v>0.72</v>
      </c>
      <c r="V1711" s="182" t="n">
        <v>0</v>
      </c>
      <c r="W1711" s="182" t="n">
        <v>0</v>
      </c>
      <c r="X1711" s="182" t="n">
        <v>1</v>
      </c>
      <c r="Y1711" s="182" t="n">
        <v>0</v>
      </c>
      <c r="Z1711" s="182" t="n">
        <v>0</v>
      </c>
      <c r="AA1711" s="182" t="n">
        <v>0</v>
      </c>
      <c r="AB1711" s="182" t="n">
        <v>0</v>
      </c>
      <c r="AC1711" s="182" t="n">
        <v>0</v>
      </c>
      <c r="AD1711" s="182" t="n">
        <v>0</v>
      </c>
      <c r="AE1711" s="182" t="n">
        <v>0</v>
      </c>
      <c r="AF1711" s="182" t="n">
        <v>0</v>
      </c>
      <c r="AG1711" s="182" t="n">
        <v>0</v>
      </c>
      <c r="AH1711" s="182" t="n">
        <v>0</v>
      </c>
      <c r="AI1711" s="182" t="n">
        <v>0</v>
      </c>
      <c r="AJ1711" s="182" t="n">
        <v>0</v>
      </c>
      <c r="AK1711" s="182" t="n">
        <v>10.2</v>
      </c>
      <c r="AL1711" s="182" t="n">
        <v>0</v>
      </c>
      <c r="AM1711" s="182" t="n">
        <v>0.08</v>
      </c>
      <c r="AN1711" s="182" t="n">
        <v>0</v>
      </c>
    </row>
    <row r="1712">
      <c r="A1712" s="155" t="n">
        <v>46089</v>
      </c>
      <c r="B1712" s="156" t="inlineStr">
        <is>
          <t>NS</t>
        </is>
      </c>
      <c r="C1712" s="156" t="inlineStr">
        <is>
          <t>DT-808</t>
        </is>
      </c>
      <c r="D1712" s="156" t="inlineStr">
        <is>
          <t>SKT 80S</t>
        </is>
      </c>
      <c r="E1712" s="156" t="inlineStr">
        <is>
          <t>Hauler</t>
        </is>
      </c>
      <c r="F1712" s="156" t="inlineStr">
        <is>
          <t>Hauling Lumpur dari Washing Plant</t>
        </is>
      </c>
      <c r="G1712" s="182" t="n">
        <v>5.11</v>
      </c>
      <c r="H1712" s="182" t="n">
        <v>0</v>
      </c>
      <c r="I1712" s="182" t="n">
        <v>0</v>
      </c>
      <c r="J1712" s="182" t="n">
        <v>0</v>
      </c>
      <c r="K1712" s="182" t="n">
        <v>6.89</v>
      </c>
      <c r="L1712" s="182" t="n">
        <v>12</v>
      </c>
      <c r="M1712" s="182" t="n">
        <v>0</v>
      </c>
      <c r="N1712" s="182" t="n">
        <v>0</v>
      </c>
      <c r="O1712" s="183" t="n">
        <v>0</v>
      </c>
      <c r="P1712" s="183" t="n">
        <v>0</v>
      </c>
      <c r="Q1712" s="184" t="n">
        <v>0</v>
      </c>
      <c r="R1712" s="184" t="n">
        <v>0</v>
      </c>
      <c r="S1712" s="183" t="n">
        <v>0</v>
      </c>
      <c r="T1712" s="183" t="n">
        <v>0</v>
      </c>
      <c r="U1712" s="182" t="n">
        <v>0.75</v>
      </c>
      <c r="V1712" s="182" t="n">
        <v>0</v>
      </c>
      <c r="W1712" s="182" t="n">
        <v>0</v>
      </c>
      <c r="X1712" s="182" t="n">
        <v>1.04</v>
      </c>
      <c r="Y1712" s="182" t="n">
        <v>0</v>
      </c>
      <c r="Z1712" s="182" t="n">
        <v>0</v>
      </c>
      <c r="AA1712" s="182" t="n">
        <v>0</v>
      </c>
      <c r="AB1712" s="182" t="n">
        <v>0</v>
      </c>
      <c r="AC1712" s="182" t="n">
        <v>0</v>
      </c>
      <c r="AD1712" s="182" t="n">
        <v>0</v>
      </c>
      <c r="AE1712" s="182" t="n">
        <v>0</v>
      </c>
      <c r="AF1712" s="182" t="n">
        <v>0</v>
      </c>
      <c r="AG1712" s="182" t="n">
        <v>0</v>
      </c>
      <c r="AH1712" s="182" t="n">
        <v>0</v>
      </c>
      <c r="AI1712" s="182" t="n">
        <v>0</v>
      </c>
      <c r="AJ1712" s="182" t="n">
        <v>0</v>
      </c>
      <c r="AK1712" s="182" t="n">
        <v>5.01</v>
      </c>
      <c r="AL1712" s="182" t="n">
        <v>0</v>
      </c>
      <c r="AM1712" s="182" t="n">
        <v>0.08</v>
      </c>
      <c r="AN1712" s="182" t="n">
        <v>0</v>
      </c>
    </row>
    <row r="1713">
      <c r="A1713" s="155" t="n">
        <v>46089</v>
      </c>
      <c r="B1713" s="156" t="inlineStr">
        <is>
          <t>NS</t>
        </is>
      </c>
      <c r="C1713" s="156" t="inlineStr">
        <is>
          <t>DT-811</t>
        </is>
      </c>
      <c r="D1713" s="156" t="inlineStr">
        <is>
          <t>SKT 80S</t>
        </is>
      </c>
      <c r="E1713" s="156" t="inlineStr">
        <is>
          <t>Hauler</t>
        </is>
      </c>
      <c r="F1713" s="156" t="inlineStr">
        <is>
          <t>Timesheet Kosong</t>
        </is>
      </c>
      <c r="G1713" s="182" t="n">
        <v>2.86</v>
      </c>
      <c r="H1713" s="182" t="n">
        <v>0</v>
      </c>
      <c r="I1713" s="182" t="n">
        <v>0</v>
      </c>
      <c r="J1713" s="182" t="n">
        <v>0</v>
      </c>
      <c r="K1713" s="182" t="n">
        <v>9.140000000000001</v>
      </c>
      <c r="L1713" s="182" t="n">
        <v>12</v>
      </c>
      <c r="M1713" s="182" t="n">
        <v>0</v>
      </c>
      <c r="N1713" s="182" t="n">
        <v>0</v>
      </c>
      <c r="O1713" s="183" t="n">
        <v>0</v>
      </c>
      <c r="P1713" s="183" t="n">
        <v>0</v>
      </c>
      <c r="Q1713" s="184" t="n">
        <v>0</v>
      </c>
      <c r="R1713" s="184" t="n">
        <v>0</v>
      </c>
      <c r="S1713" s="183" t="n">
        <v>0</v>
      </c>
      <c r="T1713" s="183" t="n">
        <v>0</v>
      </c>
      <c r="U1713" s="182" t="n">
        <v>0.7</v>
      </c>
      <c r="V1713" s="182" t="n">
        <v>0</v>
      </c>
      <c r="W1713" s="182" t="n">
        <v>0</v>
      </c>
      <c r="X1713" s="182" t="n">
        <v>0.97</v>
      </c>
      <c r="Y1713" s="182" t="n">
        <v>0</v>
      </c>
      <c r="Z1713" s="182" t="n">
        <v>0</v>
      </c>
      <c r="AA1713" s="182" t="n">
        <v>0</v>
      </c>
      <c r="AB1713" s="182" t="n">
        <v>0</v>
      </c>
      <c r="AC1713" s="182" t="n">
        <v>0</v>
      </c>
      <c r="AD1713" s="182" t="n">
        <v>0</v>
      </c>
      <c r="AE1713" s="182" t="n">
        <v>0</v>
      </c>
      <c r="AF1713" s="182" t="n">
        <v>0</v>
      </c>
      <c r="AG1713" s="182" t="n">
        <v>0</v>
      </c>
      <c r="AH1713" s="182" t="n">
        <v>0</v>
      </c>
      <c r="AI1713" s="182" t="n">
        <v>0</v>
      </c>
      <c r="AJ1713" s="182" t="n">
        <v>0</v>
      </c>
      <c r="AK1713" s="182" t="n">
        <v>7.39</v>
      </c>
      <c r="AL1713" s="182" t="n">
        <v>0</v>
      </c>
      <c r="AM1713" s="182" t="n">
        <v>0.08</v>
      </c>
      <c r="AN1713" s="182" t="n">
        <v>0</v>
      </c>
    </row>
    <row r="1714">
      <c r="A1714" s="155" t="n">
        <v>46089</v>
      </c>
      <c r="B1714" s="156" t="inlineStr">
        <is>
          <t>NS</t>
        </is>
      </c>
      <c r="C1714" s="156" t="inlineStr">
        <is>
          <t>DT-802</t>
        </is>
      </c>
      <c r="D1714" s="156" t="inlineStr">
        <is>
          <t>SKT 80S</t>
        </is>
      </c>
      <c r="E1714" s="156" t="inlineStr">
        <is>
          <t>Hauler</t>
        </is>
      </c>
      <c r="F1714" s="156" t="inlineStr"/>
      <c r="G1714" s="182" t="n">
        <v>0</v>
      </c>
      <c r="H1714" s="182" t="n">
        <v>0</v>
      </c>
      <c r="I1714" s="182" t="n">
        <v>12</v>
      </c>
      <c r="J1714" s="182" t="n">
        <v>12</v>
      </c>
      <c r="K1714" s="182" t="n">
        <v>0</v>
      </c>
      <c r="L1714" s="182" t="n">
        <v>12</v>
      </c>
      <c r="M1714" s="182" t="n">
        <v>0</v>
      </c>
      <c r="N1714" s="182" t="n">
        <v>0</v>
      </c>
      <c r="O1714" s="183" t="n">
        <v>0</v>
      </c>
      <c r="P1714" s="183" t="n">
        <v>0</v>
      </c>
      <c r="Q1714" s="184" t="n">
        <v>0</v>
      </c>
      <c r="R1714" s="184" t="n">
        <v>0</v>
      </c>
      <c r="S1714" s="183" t="n">
        <v>0</v>
      </c>
      <c r="T1714" s="183" t="n">
        <v>0</v>
      </c>
      <c r="U1714" s="182" t="n">
        <v>0</v>
      </c>
      <c r="V1714" s="182" t="n">
        <v>0</v>
      </c>
      <c r="W1714" s="182" t="n">
        <v>0</v>
      </c>
      <c r="X1714" s="182" t="n">
        <v>0</v>
      </c>
      <c r="Y1714" s="182" t="n">
        <v>0</v>
      </c>
      <c r="Z1714" s="182" t="n">
        <v>0</v>
      </c>
      <c r="AA1714" s="182" t="n">
        <v>0</v>
      </c>
      <c r="AB1714" s="182" t="n">
        <v>0</v>
      </c>
      <c r="AC1714" s="182" t="n">
        <v>0</v>
      </c>
      <c r="AD1714" s="182" t="n">
        <v>0</v>
      </c>
      <c r="AE1714" s="182" t="n">
        <v>0</v>
      </c>
      <c r="AF1714" s="182" t="n">
        <v>0</v>
      </c>
      <c r="AG1714" s="182" t="n">
        <v>0</v>
      </c>
      <c r="AH1714" s="182" t="n">
        <v>0</v>
      </c>
      <c r="AI1714" s="182" t="n">
        <v>0</v>
      </c>
      <c r="AJ1714" s="182" t="n">
        <v>0</v>
      </c>
      <c r="AK1714" s="182" t="n">
        <v>0</v>
      </c>
      <c r="AL1714" s="182" t="n">
        <v>0</v>
      </c>
      <c r="AM1714" s="182" t="n">
        <v>0</v>
      </c>
      <c r="AN1714" s="182" t="n">
        <v>0</v>
      </c>
    </row>
    <row r="1715">
      <c r="A1715" s="155" t="n">
        <v>46089</v>
      </c>
      <c r="B1715" s="156" t="inlineStr">
        <is>
          <t>NS</t>
        </is>
      </c>
      <c r="C1715" s="156" t="inlineStr">
        <is>
          <t>DT-807</t>
        </is>
      </c>
      <c r="D1715" s="156" t="inlineStr">
        <is>
          <t>SKT 80S</t>
        </is>
      </c>
      <c r="E1715" s="156" t="inlineStr">
        <is>
          <t>Hauler</t>
        </is>
      </c>
      <c r="F1715" s="156" t="inlineStr"/>
      <c r="G1715" s="182" t="n">
        <v>0</v>
      </c>
      <c r="H1715" s="182" t="n">
        <v>0</v>
      </c>
      <c r="I1715" s="182" t="n">
        <v>12</v>
      </c>
      <c r="J1715" s="182" t="n">
        <v>12</v>
      </c>
      <c r="K1715" s="182" t="n">
        <v>0</v>
      </c>
      <c r="L1715" s="182" t="n">
        <v>12</v>
      </c>
      <c r="M1715" s="182" t="n">
        <v>0</v>
      </c>
      <c r="N1715" s="182" t="n">
        <v>0</v>
      </c>
      <c r="O1715" s="183" t="n">
        <v>0</v>
      </c>
      <c r="P1715" s="183" t="n">
        <v>0</v>
      </c>
      <c r="Q1715" s="184" t="n">
        <v>0</v>
      </c>
      <c r="R1715" s="184" t="n">
        <v>0</v>
      </c>
      <c r="S1715" s="183" t="n">
        <v>0</v>
      </c>
      <c r="T1715" s="183" t="n">
        <v>0</v>
      </c>
      <c r="U1715" s="182" t="n">
        <v>0</v>
      </c>
      <c r="V1715" s="182" t="n">
        <v>0</v>
      </c>
      <c r="W1715" s="182" t="n">
        <v>0</v>
      </c>
      <c r="X1715" s="182" t="n">
        <v>0</v>
      </c>
      <c r="Y1715" s="182" t="n">
        <v>0</v>
      </c>
      <c r="Z1715" s="182" t="n">
        <v>0</v>
      </c>
      <c r="AA1715" s="182" t="n">
        <v>0</v>
      </c>
      <c r="AB1715" s="182" t="n">
        <v>0</v>
      </c>
      <c r="AC1715" s="182" t="n">
        <v>0</v>
      </c>
      <c r="AD1715" s="182" t="n">
        <v>0</v>
      </c>
      <c r="AE1715" s="182" t="n">
        <v>0</v>
      </c>
      <c r="AF1715" s="182" t="n">
        <v>0</v>
      </c>
      <c r="AG1715" s="182" t="n">
        <v>0</v>
      </c>
      <c r="AH1715" s="182" t="n">
        <v>0</v>
      </c>
      <c r="AI1715" s="182" t="n">
        <v>0</v>
      </c>
      <c r="AJ1715" s="182" t="n">
        <v>0</v>
      </c>
      <c r="AK1715" s="182" t="n">
        <v>0</v>
      </c>
      <c r="AL1715" s="182" t="n">
        <v>0</v>
      </c>
      <c r="AM1715" s="182" t="n">
        <v>0</v>
      </c>
      <c r="AN1715" s="182" t="n">
        <v>0</v>
      </c>
    </row>
    <row r="1716">
      <c r="A1716" s="155" t="n">
        <v>46089</v>
      </c>
      <c r="B1716" s="156" t="inlineStr">
        <is>
          <t>NS</t>
        </is>
      </c>
      <c r="C1716" s="156" t="inlineStr">
        <is>
          <t>DT-812</t>
        </is>
      </c>
      <c r="D1716" s="156" t="inlineStr">
        <is>
          <t>SKT 80S</t>
        </is>
      </c>
      <c r="E1716" s="156" t="inlineStr">
        <is>
          <t>Hauler</t>
        </is>
      </c>
      <c r="F1716" s="156" t="inlineStr">
        <is>
          <t>Hauling Lumpur dari Washing Plant</t>
        </is>
      </c>
      <c r="G1716" s="182" t="n">
        <v>3.2</v>
      </c>
      <c r="H1716" s="182" t="n">
        <v>0</v>
      </c>
      <c r="I1716" s="182" t="n">
        <v>0</v>
      </c>
      <c r="J1716" s="182" t="n">
        <v>0</v>
      </c>
      <c r="K1716" s="182" t="n">
        <v>8.800000000000001</v>
      </c>
      <c r="L1716" s="182" t="n">
        <v>12</v>
      </c>
      <c r="M1716" s="182" t="n">
        <v>0</v>
      </c>
      <c r="N1716" s="182" t="n">
        <v>0</v>
      </c>
      <c r="O1716" s="183" t="n">
        <v>0</v>
      </c>
      <c r="P1716" s="183" t="n">
        <v>0</v>
      </c>
      <c r="Q1716" s="184" t="n">
        <v>0</v>
      </c>
      <c r="R1716" s="184" t="n">
        <v>0</v>
      </c>
      <c r="S1716" s="183" t="n">
        <v>0</v>
      </c>
      <c r="T1716" s="183" t="n">
        <v>0</v>
      </c>
      <c r="U1716" s="182" t="n">
        <v>0.6899999999999999</v>
      </c>
      <c r="V1716" s="182" t="n">
        <v>0</v>
      </c>
      <c r="W1716" s="182" t="n">
        <v>0</v>
      </c>
      <c r="X1716" s="182" t="n">
        <v>0.96</v>
      </c>
      <c r="Y1716" s="182" t="n">
        <v>0</v>
      </c>
      <c r="Z1716" s="182" t="n">
        <v>0</v>
      </c>
      <c r="AA1716" s="182" t="n">
        <v>0</v>
      </c>
      <c r="AB1716" s="182" t="n">
        <v>0</v>
      </c>
      <c r="AC1716" s="182" t="n">
        <v>0</v>
      </c>
      <c r="AD1716" s="182" t="n">
        <v>0</v>
      </c>
      <c r="AE1716" s="182" t="n">
        <v>0</v>
      </c>
      <c r="AF1716" s="182" t="n">
        <v>0</v>
      </c>
      <c r="AG1716" s="182" t="n">
        <v>0</v>
      </c>
      <c r="AH1716" s="182" t="n">
        <v>0</v>
      </c>
      <c r="AI1716" s="182" t="n">
        <v>0</v>
      </c>
      <c r="AJ1716" s="182" t="n">
        <v>0</v>
      </c>
      <c r="AK1716" s="182" t="n">
        <v>7.08</v>
      </c>
      <c r="AL1716" s="182" t="n">
        <v>0</v>
      </c>
      <c r="AM1716" s="182" t="n">
        <v>0.08</v>
      </c>
      <c r="AN1716" s="182" t="n">
        <v>0</v>
      </c>
    </row>
    <row r="1717">
      <c r="A1717" s="155" t="n">
        <v>46089</v>
      </c>
      <c r="B1717" s="156" t="inlineStr">
        <is>
          <t>NS</t>
        </is>
      </c>
      <c r="C1717" s="156" t="inlineStr">
        <is>
          <t>DT-803</t>
        </is>
      </c>
      <c r="D1717" s="156" t="inlineStr">
        <is>
          <t>SKT 80S</t>
        </is>
      </c>
      <c r="E1717" s="156" t="inlineStr">
        <is>
          <t>Hauler</t>
        </is>
      </c>
      <c r="F1717" s="156" t="inlineStr"/>
      <c r="G1717" s="182" t="n">
        <v>0</v>
      </c>
      <c r="H1717" s="182" t="n">
        <v>0</v>
      </c>
      <c r="I1717" s="182" t="n">
        <v>12</v>
      </c>
      <c r="J1717" s="182" t="n">
        <v>12</v>
      </c>
      <c r="K1717" s="182" t="n">
        <v>0</v>
      </c>
      <c r="L1717" s="182" t="n">
        <v>12</v>
      </c>
      <c r="M1717" s="182" t="n">
        <v>0</v>
      </c>
      <c r="N1717" s="182" t="n">
        <v>0</v>
      </c>
      <c r="O1717" s="183" t="n">
        <v>0</v>
      </c>
      <c r="P1717" s="183" t="n">
        <v>0</v>
      </c>
      <c r="Q1717" s="184" t="n">
        <v>0</v>
      </c>
      <c r="R1717" s="184" t="n">
        <v>0</v>
      </c>
      <c r="S1717" s="183" t="n">
        <v>0</v>
      </c>
      <c r="T1717" s="183" t="n">
        <v>0</v>
      </c>
      <c r="U1717" s="182" t="n">
        <v>0</v>
      </c>
      <c r="V1717" s="182" t="n">
        <v>0</v>
      </c>
      <c r="W1717" s="182" t="n">
        <v>0</v>
      </c>
      <c r="X1717" s="182" t="n">
        <v>0</v>
      </c>
      <c r="Y1717" s="182" t="n">
        <v>0</v>
      </c>
      <c r="Z1717" s="182" t="n">
        <v>0</v>
      </c>
      <c r="AA1717" s="182" t="n">
        <v>0</v>
      </c>
      <c r="AB1717" s="182" t="n">
        <v>0</v>
      </c>
      <c r="AC1717" s="182" t="n">
        <v>0</v>
      </c>
      <c r="AD1717" s="182" t="n">
        <v>0</v>
      </c>
      <c r="AE1717" s="182" t="n">
        <v>0</v>
      </c>
      <c r="AF1717" s="182" t="n">
        <v>0</v>
      </c>
      <c r="AG1717" s="182" t="n">
        <v>0</v>
      </c>
      <c r="AH1717" s="182" t="n">
        <v>0</v>
      </c>
      <c r="AI1717" s="182" t="n">
        <v>0</v>
      </c>
      <c r="AJ1717" s="182" t="n">
        <v>0</v>
      </c>
      <c r="AK1717" s="182" t="n">
        <v>0</v>
      </c>
      <c r="AL1717" s="182" t="n">
        <v>0</v>
      </c>
      <c r="AM1717" s="182" t="n">
        <v>0</v>
      </c>
      <c r="AN1717" s="182" t="n">
        <v>0</v>
      </c>
    </row>
    <row r="1718">
      <c r="A1718" s="155" t="n">
        <v>46089</v>
      </c>
      <c r="B1718" s="156" t="inlineStr">
        <is>
          <t>NS</t>
        </is>
      </c>
      <c r="C1718" s="156" t="inlineStr">
        <is>
          <t>DT-810</t>
        </is>
      </c>
      <c r="D1718" s="156" t="inlineStr">
        <is>
          <t>SKT 80S</t>
        </is>
      </c>
      <c r="E1718" s="156" t="inlineStr">
        <is>
          <t>Hauler</t>
        </is>
      </c>
      <c r="F1718" s="156" t="inlineStr">
        <is>
          <t>Hauling Coal</t>
        </is>
      </c>
      <c r="G1718" s="182" t="n">
        <v>4.16</v>
      </c>
      <c r="H1718" s="182" t="n">
        <v>0</v>
      </c>
      <c r="I1718" s="182" t="n">
        <v>0</v>
      </c>
      <c r="J1718" s="182" t="n">
        <v>0</v>
      </c>
      <c r="K1718" s="182" t="n">
        <v>7.84</v>
      </c>
      <c r="L1718" s="182" t="n">
        <v>12</v>
      </c>
      <c r="M1718" s="182" t="n">
        <v>0</v>
      </c>
      <c r="N1718" s="182" t="n">
        <v>4.16</v>
      </c>
      <c r="O1718" s="183" t="n">
        <v>0</v>
      </c>
      <c r="P1718" s="183" t="n">
        <v>8</v>
      </c>
      <c r="Q1718" s="184" t="n">
        <v>0</v>
      </c>
      <c r="R1718" s="184" t="n">
        <v>122.4</v>
      </c>
      <c r="S1718" s="183" t="n">
        <v>0</v>
      </c>
      <c r="T1718" s="183" t="n">
        <v>0</v>
      </c>
      <c r="U1718" s="182" t="n">
        <v>0.71</v>
      </c>
      <c r="V1718" s="182" t="n">
        <v>0</v>
      </c>
      <c r="W1718" s="182" t="n">
        <v>0</v>
      </c>
      <c r="X1718" s="182" t="n">
        <v>0.99</v>
      </c>
      <c r="Y1718" s="182" t="n">
        <v>0</v>
      </c>
      <c r="Z1718" s="182" t="n">
        <v>0</v>
      </c>
      <c r="AA1718" s="182" t="n">
        <v>0</v>
      </c>
      <c r="AB1718" s="182" t="n">
        <v>0</v>
      </c>
      <c r="AC1718" s="182" t="n">
        <v>0</v>
      </c>
      <c r="AD1718" s="182" t="n">
        <v>0</v>
      </c>
      <c r="AE1718" s="182" t="n">
        <v>0</v>
      </c>
      <c r="AF1718" s="182" t="n">
        <v>0</v>
      </c>
      <c r="AG1718" s="182" t="n">
        <v>0</v>
      </c>
      <c r="AH1718" s="182" t="n">
        <v>0</v>
      </c>
      <c r="AI1718" s="182" t="n">
        <v>0</v>
      </c>
      <c r="AJ1718" s="182" t="n">
        <v>0</v>
      </c>
      <c r="AK1718" s="182" t="n">
        <v>6.05</v>
      </c>
      <c r="AL1718" s="182" t="n">
        <v>0</v>
      </c>
      <c r="AM1718" s="182" t="n">
        <v>0.08</v>
      </c>
      <c r="AN1718" s="182" t="n">
        <v>0</v>
      </c>
    </row>
    <row r="1719">
      <c r="A1719" s="155" t="n">
        <v>46089</v>
      </c>
      <c r="B1719" s="156" t="inlineStr">
        <is>
          <t>NS</t>
        </is>
      </c>
      <c r="C1719" s="156" t="inlineStr">
        <is>
          <t>DT-804</t>
        </is>
      </c>
      <c r="D1719" s="156" t="inlineStr">
        <is>
          <t>SKT 80S</t>
        </is>
      </c>
      <c r="E1719" s="156" t="inlineStr">
        <is>
          <t>Hauler</t>
        </is>
      </c>
      <c r="F1719" s="156" t="inlineStr">
        <is>
          <t>Hauling Lumpur dari Washing Plant</t>
        </is>
      </c>
      <c r="G1719" s="182" t="n">
        <v>5.36</v>
      </c>
      <c r="H1719" s="182" t="n">
        <v>0</v>
      </c>
      <c r="I1719" s="182" t="n">
        <v>0</v>
      </c>
      <c r="J1719" s="182" t="n">
        <v>0</v>
      </c>
      <c r="K1719" s="182" t="n">
        <v>6.64</v>
      </c>
      <c r="L1719" s="182" t="n">
        <v>12</v>
      </c>
      <c r="M1719" s="182" t="n">
        <v>0</v>
      </c>
      <c r="N1719" s="182" t="n">
        <v>0</v>
      </c>
      <c r="O1719" s="183" t="n">
        <v>0</v>
      </c>
      <c r="P1719" s="183" t="n">
        <v>0</v>
      </c>
      <c r="Q1719" s="184" t="n">
        <v>0</v>
      </c>
      <c r="R1719" s="184" t="n">
        <v>0</v>
      </c>
      <c r="S1719" s="183" t="n">
        <v>0</v>
      </c>
      <c r="T1719" s="183" t="n">
        <v>0</v>
      </c>
      <c r="U1719" s="182" t="n">
        <v>0.6899999999999999</v>
      </c>
      <c r="V1719" s="182" t="n">
        <v>0</v>
      </c>
      <c r="W1719" s="182" t="n">
        <v>0</v>
      </c>
      <c r="X1719" s="182" t="n">
        <v>0.96</v>
      </c>
      <c r="Y1719" s="182" t="n">
        <v>0</v>
      </c>
      <c r="Z1719" s="182" t="n">
        <v>0</v>
      </c>
      <c r="AA1719" s="182" t="n">
        <v>0</v>
      </c>
      <c r="AB1719" s="182" t="n">
        <v>0</v>
      </c>
      <c r="AC1719" s="182" t="n">
        <v>0</v>
      </c>
      <c r="AD1719" s="182" t="n">
        <v>0</v>
      </c>
      <c r="AE1719" s="182" t="n">
        <v>0</v>
      </c>
      <c r="AF1719" s="182" t="n">
        <v>0</v>
      </c>
      <c r="AG1719" s="182" t="n">
        <v>0</v>
      </c>
      <c r="AH1719" s="182" t="n">
        <v>0</v>
      </c>
      <c r="AI1719" s="182" t="n">
        <v>0</v>
      </c>
      <c r="AJ1719" s="182" t="n">
        <v>0</v>
      </c>
      <c r="AK1719" s="182" t="n">
        <v>4.91</v>
      </c>
      <c r="AL1719" s="182" t="n">
        <v>0</v>
      </c>
      <c r="AM1719" s="182" t="n">
        <v>0.08</v>
      </c>
      <c r="AN1719" s="182" t="n">
        <v>0</v>
      </c>
    </row>
    <row r="1720">
      <c r="A1720" s="155" t="n">
        <v>46089</v>
      </c>
      <c r="B1720" s="156" t="inlineStr">
        <is>
          <t>NS</t>
        </is>
      </c>
      <c r="C1720" s="156" t="inlineStr">
        <is>
          <t>DT-505</t>
        </is>
      </c>
      <c r="D1720" s="156" t="inlineStr">
        <is>
          <t>SKT 105S</t>
        </is>
      </c>
      <c r="E1720" s="156" t="inlineStr">
        <is>
          <t>Hauler</t>
        </is>
      </c>
      <c r="F1720" s="156" t="inlineStr">
        <is>
          <t>Hauling OB &amp; Coal</t>
        </is>
      </c>
      <c r="G1720" s="182" t="n">
        <v>11.73</v>
      </c>
      <c r="H1720" s="182" t="n">
        <v>0</v>
      </c>
      <c r="I1720" s="182" t="n">
        <v>0.17</v>
      </c>
      <c r="J1720" s="182" t="n">
        <v>0.17</v>
      </c>
      <c r="K1720" s="182" t="n">
        <v>0.1</v>
      </c>
      <c r="L1720" s="182" t="n">
        <v>12</v>
      </c>
      <c r="M1720" s="182" t="n">
        <v>2.26</v>
      </c>
      <c r="N1720" s="182" t="n">
        <v>9.48</v>
      </c>
      <c r="O1720" s="183" t="n">
        <v>9</v>
      </c>
      <c r="P1720" s="183" t="n">
        <v>18</v>
      </c>
      <c r="Q1720" s="184" t="n">
        <v>183.6</v>
      </c>
      <c r="R1720" s="184" t="n">
        <v>336.6</v>
      </c>
      <c r="S1720" s="183" t="n">
        <v>0</v>
      </c>
      <c r="T1720" s="183" t="n">
        <v>0</v>
      </c>
      <c r="U1720" s="182" t="n">
        <v>0</v>
      </c>
      <c r="V1720" s="182" t="n">
        <v>0</v>
      </c>
      <c r="W1720" s="182" t="n">
        <v>0</v>
      </c>
      <c r="X1720" s="182" t="n">
        <v>0.04</v>
      </c>
      <c r="Y1720" s="182" t="n">
        <v>0</v>
      </c>
      <c r="Z1720" s="182" t="n">
        <v>0</v>
      </c>
      <c r="AA1720" s="182" t="n">
        <v>0</v>
      </c>
      <c r="AB1720" s="182" t="n">
        <v>0</v>
      </c>
      <c r="AC1720" s="182" t="n">
        <v>0</v>
      </c>
      <c r="AD1720" s="182" t="n">
        <v>0</v>
      </c>
      <c r="AE1720" s="182" t="n">
        <v>0</v>
      </c>
      <c r="AF1720" s="182" t="n">
        <v>0</v>
      </c>
      <c r="AG1720" s="182" t="n">
        <v>0</v>
      </c>
      <c r="AH1720" s="182" t="n">
        <v>0</v>
      </c>
      <c r="AI1720" s="182" t="n">
        <v>0</v>
      </c>
      <c r="AJ1720" s="182" t="n">
        <v>0</v>
      </c>
      <c r="AK1720" s="182" t="n">
        <v>0</v>
      </c>
      <c r="AL1720" s="182" t="n">
        <v>0</v>
      </c>
      <c r="AM1720" s="182" t="n">
        <v>0.06</v>
      </c>
      <c r="AN1720" s="182" t="n">
        <v>0</v>
      </c>
    </row>
    <row r="1721">
      <c r="A1721" s="155" t="n">
        <v>46089</v>
      </c>
      <c r="B1721" s="156" t="inlineStr">
        <is>
          <t>NS</t>
        </is>
      </c>
      <c r="C1721" s="156" t="inlineStr">
        <is>
          <t>DT-530</t>
        </is>
      </c>
      <c r="D1721" s="156" t="inlineStr">
        <is>
          <t>SKT 105S</t>
        </is>
      </c>
      <c r="E1721" s="156" t="inlineStr">
        <is>
          <t>Hauler</t>
        </is>
      </c>
      <c r="F1721" s="156" t="inlineStr"/>
      <c r="G1721" s="182" t="n">
        <v>0</v>
      </c>
      <c r="H1721" s="182" t="n">
        <v>0</v>
      </c>
      <c r="I1721" s="182" t="n">
        <v>12</v>
      </c>
      <c r="J1721" s="182" t="n">
        <v>12</v>
      </c>
      <c r="K1721" s="182" t="n">
        <v>0</v>
      </c>
      <c r="L1721" s="182" t="n">
        <v>12</v>
      </c>
      <c r="M1721" s="182" t="n">
        <v>0</v>
      </c>
      <c r="N1721" s="182" t="n">
        <v>0</v>
      </c>
      <c r="O1721" s="183" t="n">
        <v>0</v>
      </c>
      <c r="P1721" s="183" t="n">
        <v>0</v>
      </c>
      <c r="Q1721" s="184" t="n">
        <v>0</v>
      </c>
      <c r="R1721" s="184" t="n">
        <v>0</v>
      </c>
      <c r="S1721" s="183" t="n">
        <v>0</v>
      </c>
      <c r="T1721" s="183" t="n">
        <v>0</v>
      </c>
      <c r="U1721" s="182" t="n">
        <v>0</v>
      </c>
      <c r="V1721" s="182" t="n">
        <v>0</v>
      </c>
      <c r="W1721" s="182" t="n">
        <v>0</v>
      </c>
      <c r="X1721" s="182" t="n">
        <v>0</v>
      </c>
      <c r="Y1721" s="182" t="n">
        <v>0</v>
      </c>
      <c r="Z1721" s="182" t="n">
        <v>0</v>
      </c>
      <c r="AA1721" s="182" t="n">
        <v>0</v>
      </c>
      <c r="AB1721" s="182" t="n">
        <v>0</v>
      </c>
      <c r="AC1721" s="182" t="n">
        <v>0</v>
      </c>
      <c r="AD1721" s="182" t="n">
        <v>0</v>
      </c>
      <c r="AE1721" s="182" t="n">
        <v>0</v>
      </c>
      <c r="AF1721" s="182" t="n">
        <v>0</v>
      </c>
      <c r="AG1721" s="182" t="n">
        <v>0</v>
      </c>
      <c r="AH1721" s="182" t="n">
        <v>0</v>
      </c>
      <c r="AI1721" s="182" t="n">
        <v>0</v>
      </c>
      <c r="AJ1721" s="182" t="n">
        <v>0</v>
      </c>
      <c r="AK1721" s="182" t="n">
        <v>0</v>
      </c>
      <c r="AL1721" s="182" t="n">
        <v>0</v>
      </c>
      <c r="AM1721" s="182" t="n">
        <v>0</v>
      </c>
      <c r="AN1721" s="182" t="n">
        <v>0</v>
      </c>
    </row>
    <row r="1722">
      <c r="A1722" s="155" t="n">
        <v>46089</v>
      </c>
      <c r="B1722" s="156" t="inlineStr">
        <is>
          <t>NS</t>
        </is>
      </c>
      <c r="C1722" s="156" t="inlineStr">
        <is>
          <t>DT-525</t>
        </is>
      </c>
      <c r="D1722" s="156" t="inlineStr">
        <is>
          <t>SKT 105S</t>
        </is>
      </c>
      <c r="E1722" s="156" t="inlineStr">
        <is>
          <t>Hauler</t>
        </is>
      </c>
      <c r="F1722" s="156" t="inlineStr"/>
      <c r="G1722" s="182" t="n">
        <v>0</v>
      </c>
      <c r="H1722" s="182" t="n">
        <v>0</v>
      </c>
      <c r="I1722" s="182" t="n">
        <v>12</v>
      </c>
      <c r="J1722" s="182" t="n">
        <v>12</v>
      </c>
      <c r="K1722" s="182" t="n">
        <v>0</v>
      </c>
      <c r="L1722" s="182" t="n">
        <v>12</v>
      </c>
      <c r="M1722" s="182" t="n">
        <v>0</v>
      </c>
      <c r="N1722" s="182" t="n">
        <v>0</v>
      </c>
      <c r="O1722" s="183" t="n">
        <v>0</v>
      </c>
      <c r="P1722" s="183" t="n">
        <v>0</v>
      </c>
      <c r="Q1722" s="184" t="n">
        <v>0</v>
      </c>
      <c r="R1722" s="184" t="n">
        <v>0</v>
      </c>
      <c r="S1722" s="183" t="n">
        <v>0</v>
      </c>
      <c r="T1722" s="183" t="n">
        <v>0</v>
      </c>
      <c r="U1722" s="182" t="n">
        <v>0</v>
      </c>
      <c r="V1722" s="182" t="n">
        <v>0</v>
      </c>
      <c r="W1722" s="182" t="n">
        <v>0</v>
      </c>
      <c r="X1722" s="182" t="n">
        <v>0</v>
      </c>
      <c r="Y1722" s="182" t="n">
        <v>0</v>
      </c>
      <c r="Z1722" s="182" t="n">
        <v>0</v>
      </c>
      <c r="AA1722" s="182" t="n">
        <v>0</v>
      </c>
      <c r="AB1722" s="182" t="n">
        <v>0</v>
      </c>
      <c r="AC1722" s="182" t="n">
        <v>0</v>
      </c>
      <c r="AD1722" s="182" t="n">
        <v>0</v>
      </c>
      <c r="AE1722" s="182" t="n">
        <v>0</v>
      </c>
      <c r="AF1722" s="182" t="n">
        <v>0</v>
      </c>
      <c r="AG1722" s="182" t="n">
        <v>0</v>
      </c>
      <c r="AH1722" s="182" t="n">
        <v>0</v>
      </c>
      <c r="AI1722" s="182" t="n">
        <v>0</v>
      </c>
      <c r="AJ1722" s="182" t="n">
        <v>0</v>
      </c>
      <c r="AK1722" s="182" t="n">
        <v>0</v>
      </c>
      <c r="AL1722" s="182" t="n">
        <v>0</v>
      </c>
      <c r="AM1722" s="182" t="n">
        <v>0</v>
      </c>
      <c r="AN1722" s="182" t="n">
        <v>0</v>
      </c>
    </row>
    <row r="1723">
      <c r="A1723" s="155" t="n">
        <v>46089</v>
      </c>
      <c r="B1723" s="156" t="inlineStr">
        <is>
          <t>NS</t>
        </is>
      </c>
      <c r="C1723" s="156" t="inlineStr">
        <is>
          <t>DT-503</t>
        </is>
      </c>
      <c r="D1723" s="156" t="inlineStr">
        <is>
          <t>SKT 105S</t>
        </is>
      </c>
      <c r="E1723" s="156" t="inlineStr">
        <is>
          <t>Hauler</t>
        </is>
      </c>
      <c r="F1723" s="156" t="inlineStr">
        <is>
          <t>Hauling OB</t>
        </is>
      </c>
      <c r="G1723" s="182" t="n">
        <v>0.5</v>
      </c>
      <c r="H1723" s="182" t="n">
        <v>0</v>
      </c>
      <c r="I1723" s="182" t="n">
        <v>11</v>
      </c>
      <c r="J1723" s="182" t="n">
        <v>11</v>
      </c>
      <c r="K1723" s="182" t="n">
        <v>0.5</v>
      </c>
      <c r="L1723" s="182" t="n">
        <v>12</v>
      </c>
      <c r="M1723" s="182" t="n">
        <v>0.5</v>
      </c>
      <c r="N1723" s="182" t="n">
        <v>0</v>
      </c>
      <c r="O1723" s="183" t="n">
        <v>2</v>
      </c>
      <c r="P1723" s="183" t="n">
        <v>0</v>
      </c>
      <c r="Q1723" s="184" t="n">
        <v>40.8</v>
      </c>
      <c r="R1723" s="184" t="n">
        <v>0</v>
      </c>
      <c r="S1723" s="183" t="n">
        <v>0</v>
      </c>
      <c r="T1723" s="183" t="n">
        <v>0</v>
      </c>
      <c r="U1723" s="182" t="n">
        <v>0</v>
      </c>
      <c r="V1723" s="182" t="n">
        <v>0</v>
      </c>
      <c r="W1723" s="182" t="n">
        <v>0</v>
      </c>
      <c r="X1723" s="182" t="n">
        <v>0.42</v>
      </c>
      <c r="Y1723" s="182" t="n">
        <v>0</v>
      </c>
      <c r="Z1723" s="182" t="n">
        <v>0</v>
      </c>
      <c r="AA1723" s="182" t="n">
        <v>0</v>
      </c>
      <c r="AB1723" s="182" t="n">
        <v>0</v>
      </c>
      <c r="AC1723" s="182" t="n">
        <v>0</v>
      </c>
      <c r="AD1723" s="182" t="n">
        <v>0</v>
      </c>
      <c r="AE1723" s="182" t="n">
        <v>0</v>
      </c>
      <c r="AF1723" s="182" t="n">
        <v>0</v>
      </c>
      <c r="AG1723" s="182" t="n">
        <v>0</v>
      </c>
      <c r="AH1723" s="182" t="n">
        <v>0</v>
      </c>
      <c r="AI1723" s="182" t="n">
        <v>0</v>
      </c>
      <c r="AJ1723" s="182" t="n">
        <v>0</v>
      </c>
      <c r="AK1723" s="182" t="n">
        <v>0</v>
      </c>
      <c r="AL1723" s="182" t="n">
        <v>0</v>
      </c>
      <c r="AM1723" s="182" t="n">
        <v>0.08</v>
      </c>
      <c r="AN1723" s="182" t="n">
        <v>0</v>
      </c>
    </row>
    <row r="1724">
      <c r="A1724" s="155" t="n">
        <v>46089</v>
      </c>
      <c r="B1724" s="156" t="inlineStr">
        <is>
          <t>NS</t>
        </is>
      </c>
      <c r="C1724" s="156" t="inlineStr">
        <is>
          <t>DT-504</t>
        </is>
      </c>
      <c r="D1724" s="156" t="inlineStr">
        <is>
          <t>SKT 105S</t>
        </is>
      </c>
      <c r="E1724" s="156" t="inlineStr">
        <is>
          <t>Hauler</t>
        </is>
      </c>
      <c r="F1724" s="156" t="inlineStr">
        <is>
          <t>Hauling OB</t>
        </is>
      </c>
      <c r="G1724" s="182" t="n">
        <v>5.57</v>
      </c>
      <c r="H1724" s="182" t="n">
        <v>0</v>
      </c>
      <c r="I1724" s="182" t="n">
        <v>0</v>
      </c>
      <c r="J1724" s="182" t="n">
        <v>0</v>
      </c>
      <c r="K1724" s="182" t="n">
        <v>6.43</v>
      </c>
      <c r="L1724" s="182" t="n">
        <v>12</v>
      </c>
      <c r="M1724" s="182" t="n">
        <v>5.57</v>
      </c>
      <c r="N1724" s="182" t="n">
        <v>0</v>
      </c>
      <c r="O1724" s="183" t="n">
        <v>14</v>
      </c>
      <c r="P1724" s="183" t="n">
        <v>0</v>
      </c>
      <c r="Q1724" s="184" t="n">
        <v>285.6</v>
      </c>
      <c r="R1724" s="184" t="n">
        <v>0</v>
      </c>
      <c r="S1724" s="183" t="n">
        <v>0</v>
      </c>
      <c r="T1724" s="183" t="n">
        <v>0</v>
      </c>
      <c r="U1724" s="182" t="n">
        <v>0.76</v>
      </c>
      <c r="V1724" s="182" t="n">
        <v>0.65</v>
      </c>
      <c r="W1724" s="182" t="n">
        <v>0</v>
      </c>
      <c r="X1724" s="182" t="n">
        <v>1.05</v>
      </c>
      <c r="Y1724" s="182" t="n">
        <v>0</v>
      </c>
      <c r="Z1724" s="182" t="n">
        <v>0</v>
      </c>
      <c r="AA1724" s="182" t="n">
        <v>0</v>
      </c>
      <c r="AB1724" s="182" t="n">
        <v>0</v>
      </c>
      <c r="AC1724" s="182" t="n">
        <v>0</v>
      </c>
      <c r="AD1724" s="182" t="n">
        <v>0</v>
      </c>
      <c r="AE1724" s="182" t="n">
        <v>0</v>
      </c>
      <c r="AF1724" s="182" t="n">
        <v>0</v>
      </c>
      <c r="AG1724" s="182" t="n">
        <v>0</v>
      </c>
      <c r="AH1724" s="182" t="n">
        <v>0</v>
      </c>
      <c r="AI1724" s="182" t="n">
        <v>0</v>
      </c>
      <c r="AJ1724" s="182" t="n">
        <v>0</v>
      </c>
      <c r="AK1724" s="182" t="n">
        <v>3.88</v>
      </c>
      <c r="AL1724" s="182" t="n">
        <v>0</v>
      </c>
      <c r="AM1724" s="182" t="n">
        <v>0.08</v>
      </c>
      <c r="AN1724" s="182" t="n">
        <v>0</v>
      </c>
    </row>
    <row r="1725">
      <c r="A1725" s="155" t="n">
        <v>46089</v>
      </c>
      <c r="B1725" s="156" t="inlineStr">
        <is>
          <t>NS</t>
        </is>
      </c>
      <c r="C1725" s="156" t="inlineStr">
        <is>
          <t>DT-507</t>
        </is>
      </c>
      <c r="D1725" s="156" t="inlineStr">
        <is>
          <t>SKT 105S</t>
        </is>
      </c>
      <c r="E1725" s="156" t="inlineStr">
        <is>
          <t>Hauler</t>
        </is>
      </c>
      <c r="F1725" s="156" t="inlineStr">
        <is>
          <t>Hauling OB</t>
        </is>
      </c>
      <c r="G1725" s="182" t="n">
        <v>6.29</v>
      </c>
      <c r="H1725" s="182" t="n">
        <v>0</v>
      </c>
      <c r="I1725" s="182" t="n">
        <v>0</v>
      </c>
      <c r="J1725" s="182" t="n">
        <v>0</v>
      </c>
      <c r="K1725" s="182" t="n">
        <v>5.71</v>
      </c>
      <c r="L1725" s="182" t="n">
        <v>12</v>
      </c>
      <c r="M1725" s="182" t="n">
        <v>6.29</v>
      </c>
      <c r="N1725" s="182" t="n">
        <v>0</v>
      </c>
      <c r="O1725" s="183" t="n">
        <v>19</v>
      </c>
      <c r="P1725" s="183" t="n">
        <v>0</v>
      </c>
      <c r="Q1725" s="184" t="n">
        <v>387.6</v>
      </c>
      <c r="R1725" s="184" t="n">
        <v>0</v>
      </c>
      <c r="S1725" s="183" t="n">
        <v>0</v>
      </c>
      <c r="T1725" s="183" t="n">
        <v>0</v>
      </c>
      <c r="U1725" s="182" t="n">
        <v>0.7</v>
      </c>
      <c r="V1725" s="182" t="n">
        <v>0.6</v>
      </c>
      <c r="W1725" s="182" t="n">
        <v>0</v>
      </c>
      <c r="X1725" s="182" t="n">
        <v>0.97</v>
      </c>
      <c r="Y1725" s="182" t="n">
        <v>0</v>
      </c>
      <c r="Z1725" s="182" t="n">
        <v>0</v>
      </c>
      <c r="AA1725" s="182" t="n">
        <v>0</v>
      </c>
      <c r="AB1725" s="182" t="n">
        <v>0</v>
      </c>
      <c r="AC1725" s="182" t="n">
        <v>0</v>
      </c>
      <c r="AD1725" s="182" t="n">
        <v>0</v>
      </c>
      <c r="AE1725" s="182" t="n">
        <v>0</v>
      </c>
      <c r="AF1725" s="182" t="n">
        <v>0</v>
      </c>
      <c r="AG1725" s="182" t="n">
        <v>0</v>
      </c>
      <c r="AH1725" s="182" t="n">
        <v>0</v>
      </c>
      <c r="AI1725" s="182" t="n">
        <v>0</v>
      </c>
      <c r="AJ1725" s="182" t="n">
        <v>0</v>
      </c>
      <c r="AK1725" s="182" t="n">
        <v>3.37</v>
      </c>
      <c r="AL1725" s="182" t="n">
        <v>0</v>
      </c>
      <c r="AM1725" s="182" t="n">
        <v>0.08</v>
      </c>
      <c r="AN1725" s="182" t="n">
        <v>0</v>
      </c>
    </row>
    <row r="1726">
      <c r="A1726" s="155" t="n">
        <v>46089</v>
      </c>
      <c r="B1726" s="156" t="inlineStr">
        <is>
          <t>NS</t>
        </is>
      </c>
      <c r="C1726" s="156" t="inlineStr">
        <is>
          <t>DT-501</t>
        </is>
      </c>
      <c r="D1726" s="156" t="inlineStr">
        <is>
          <t>SKT 105S</t>
        </is>
      </c>
      <c r="E1726" s="156" t="inlineStr">
        <is>
          <t>Hauler</t>
        </is>
      </c>
      <c r="F1726" s="156" t="inlineStr"/>
      <c r="G1726" s="182" t="n">
        <v>0</v>
      </c>
      <c r="H1726" s="182" t="n">
        <v>12</v>
      </c>
      <c r="I1726" s="182" t="n">
        <v>0</v>
      </c>
      <c r="J1726" s="182" t="n">
        <v>12</v>
      </c>
      <c r="K1726" s="182" t="n">
        <v>0</v>
      </c>
      <c r="L1726" s="182" t="n">
        <v>12</v>
      </c>
      <c r="M1726" s="182" t="n">
        <v>0</v>
      </c>
      <c r="N1726" s="182" t="n">
        <v>0</v>
      </c>
      <c r="O1726" s="183" t="n">
        <v>0</v>
      </c>
      <c r="P1726" s="183" t="n">
        <v>0</v>
      </c>
      <c r="Q1726" s="184" t="n">
        <v>0</v>
      </c>
      <c r="R1726" s="184" t="n">
        <v>0</v>
      </c>
      <c r="S1726" s="183" t="n">
        <v>0</v>
      </c>
      <c r="T1726" s="183" t="n">
        <v>0</v>
      </c>
      <c r="U1726" s="182" t="n">
        <v>0</v>
      </c>
      <c r="V1726" s="182" t="n">
        <v>0</v>
      </c>
      <c r="W1726" s="182" t="n">
        <v>0</v>
      </c>
      <c r="X1726" s="182" t="n">
        <v>0</v>
      </c>
      <c r="Y1726" s="182" t="n">
        <v>0</v>
      </c>
      <c r="Z1726" s="182" t="n">
        <v>0</v>
      </c>
      <c r="AA1726" s="182" t="n">
        <v>0</v>
      </c>
      <c r="AB1726" s="182" t="n">
        <v>0</v>
      </c>
      <c r="AC1726" s="182" t="n">
        <v>0</v>
      </c>
      <c r="AD1726" s="182" t="n">
        <v>0</v>
      </c>
      <c r="AE1726" s="182" t="n">
        <v>0</v>
      </c>
      <c r="AF1726" s="182" t="n">
        <v>0</v>
      </c>
      <c r="AG1726" s="182" t="n">
        <v>0</v>
      </c>
      <c r="AH1726" s="182" t="n">
        <v>0</v>
      </c>
      <c r="AI1726" s="182" t="n">
        <v>0</v>
      </c>
      <c r="AJ1726" s="182" t="n">
        <v>0</v>
      </c>
      <c r="AK1726" s="182" t="n">
        <v>0</v>
      </c>
      <c r="AL1726" s="182" t="n">
        <v>0</v>
      </c>
      <c r="AM1726" s="182" t="n">
        <v>0</v>
      </c>
      <c r="AN1726" s="182" t="n">
        <v>0</v>
      </c>
    </row>
    <row r="1727">
      <c r="A1727" s="155" t="n">
        <v>46089</v>
      </c>
      <c r="B1727" s="156" t="inlineStr">
        <is>
          <t>NS</t>
        </is>
      </c>
      <c r="C1727" s="156" t="inlineStr">
        <is>
          <t>DT-518</t>
        </is>
      </c>
      <c r="D1727" s="156" t="inlineStr">
        <is>
          <t>SKT 105S</t>
        </is>
      </c>
      <c r="E1727" s="156" t="inlineStr">
        <is>
          <t>Hauler</t>
        </is>
      </c>
      <c r="F1727" s="156" t="inlineStr">
        <is>
          <t>Hauling OB</t>
        </is>
      </c>
      <c r="G1727" s="182" t="n">
        <v>9.81</v>
      </c>
      <c r="H1727" s="182" t="n">
        <v>0</v>
      </c>
      <c r="I1727" s="182" t="n">
        <v>0</v>
      </c>
      <c r="J1727" s="182" t="n">
        <v>0</v>
      </c>
      <c r="K1727" s="182" t="n">
        <v>2.19</v>
      </c>
      <c r="L1727" s="182" t="n">
        <v>12</v>
      </c>
      <c r="M1727" s="182" t="n">
        <v>9.81</v>
      </c>
      <c r="N1727" s="182" t="n">
        <v>0</v>
      </c>
      <c r="O1727" s="183" t="n">
        <v>29</v>
      </c>
      <c r="P1727" s="183" t="n">
        <v>0</v>
      </c>
      <c r="Q1727" s="184" t="n">
        <v>591.6</v>
      </c>
      <c r="R1727" s="184" t="n">
        <v>0</v>
      </c>
      <c r="S1727" s="183" t="n">
        <v>0</v>
      </c>
      <c r="T1727" s="183" t="n">
        <v>0</v>
      </c>
      <c r="U1727" s="182" t="n">
        <v>0.6899999999999999</v>
      </c>
      <c r="V1727" s="182" t="n">
        <v>0.48</v>
      </c>
      <c r="W1727" s="182" t="n">
        <v>0</v>
      </c>
      <c r="X1727" s="182" t="n">
        <v>0.95</v>
      </c>
      <c r="Y1727" s="182" t="n">
        <v>0</v>
      </c>
      <c r="Z1727" s="182" t="n">
        <v>0</v>
      </c>
      <c r="AA1727" s="182" t="n">
        <v>0</v>
      </c>
      <c r="AB1727" s="182" t="n">
        <v>0</v>
      </c>
      <c r="AC1727" s="182" t="n">
        <v>0</v>
      </c>
      <c r="AD1727" s="182" t="n">
        <v>0</v>
      </c>
      <c r="AE1727" s="182" t="n">
        <v>0</v>
      </c>
      <c r="AF1727" s="182" t="n">
        <v>0</v>
      </c>
      <c r="AG1727" s="182" t="n">
        <v>0</v>
      </c>
      <c r="AH1727" s="182" t="n">
        <v>0</v>
      </c>
      <c r="AI1727" s="182" t="n">
        <v>0</v>
      </c>
      <c r="AJ1727" s="182" t="n">
        <v>0</v>
      </c>
      <c r="AK1727" s="182" t="n">
        <v>0</v>
      </c>
      <c r="AL1727" s="182" t="n">
        <v>0</v>
      </c>
      <c r="AM1727" s="182" t="n">
        <v>0.08</v>
      </c>
      <c r="AN1727" s="182" t="n">
        <v>0</v>
      </c>
    </row>
    <row r="1728">
      <c r="A1728" s="155" t="n">
        <v>46089</v>
      </c>
      <c r="B1728" s="156" t="inlineStr">
        <is>
          <t>NS</t>
        </is>
      </c>
      <c r="C1728" s="156" t="inlineStr">
        <is>
          <t>DT-514</t>
        </is>
      </c>
      <c r="D1728" s="156" t="inlineStr">
        <is>
          <t>SKT 105S</t>
        </is>
      </c>
      <c r="E1728" s="156" t="inlineStr">
        <is>
          <t>Hauler</t>
        </is>
      </c>
      <c r="F1728" s="156" t="inlineStr">
        <is>
          <t>Hauling OB</t>
        </is>
      </c>
      <c r="G1728" s="182" t="n">
        <v>9.52</v>
      </c>
      <c r="H1728" s="182" t="n">
        <v>0</v>
      </c>
      <c r="I1728" s="182" t="n">
        <v>0</v>
      </c>
      <c r="J1728" s="182" t="n">
        <v>0</v>
      </c>
      <c r="K1728" s="182" t="n">
        <v>2.48</v>
      </c>
      <c r="L1728" s="182" t="n">
        <v>12</v>
      </c>
      <c r="M1728" s="182" t="n">
        <v>9.52</v>
      </c>
      <c r="N1728" s="182" t="n">
        <v>0</v>
      </c>
      <c r="O1728" s="183" t="n">
        <v>32</v>
      </c>
      <c r="P1728" s="183" t="n">
        <v>0</v>
      </c>
      <c r="Q1728" s="184" t="n">
        <v>652.8</v>
      </c>
      <c r="R1728" s="184" t="n">
        <v>0</v>
      </c>
      <c r="S1728" s="183" t="n">
        <v>0</v>
      </c>
      <c r="T1728" s="183" t="n">
        <v>0</v>
      </c>
      <c r="U1728" s="182" t="n">
        <v>0.89</v>
      </c>
      <c r="V1728" s="182" t="n">
        <v>0</v>
      </c>
      <c r="W1728" s="182" t="n">
        <v>0</v>
      </c>
      <c r="X1728" s="182" t="n">
        <v>1.24</v>
      </c>
      <c r="Y1728" s="182" t="n">
        <v>0</v>
      </c>
      <c r="Z1728" s="182" t="n">
        <v>0</v>
      </c>
      <c r="AA1728" s="182" t="n">
        <v>0</v>
      </c>
      <c r="AB1728" s="182" t="n">
        <v>0</v>
      </c>
      <c r="AC1728" s="182" t="n">
        <v>0</v>
      </c>
      <c r="AD1728" s="182" t="n">
        <v>0</v>
      </c>
      <c r="AE1728" s="182" t="n">
        <v>0</v>
      </c>
      <c r="AF1728" s="182" t="n">
        <v>0</v>
      </c>
      <c r="AG1728" s="182" t="n">
        <v>0</v>
      </c>
      <c r="AH1728" s="182" t="n">
        <v>0.25</v>
      </c>
      <c r="AI1728" s="182" t="n">
        <v>0</v>
      </c>
      <c r="AJ1728" s="182" t="n">
        <v>0</v>
      </c>
      <c r="AK1728" s="182" t="n">
        <v>0</v>
      </c>
      <c r="AL1728" s="182" t="n">
        <v>0</v>
      </c>
      <c r="AM1728" s="182" t="n">
        <v>0.1</v>
      </c>
      <c r="AN1728" s="182" t="n">
        <v>0</v>
      </c>
    </row>
    <row r="1729">
      <c r="A1729" s="155" t="n">
        <v>46089</v>
      </c>
      <c r="B1729" s="156" t="inlineStr">
        <is>
          <t>NS</t>
        </is>
      </c>
      <c r="C1729" s="156" t="inlineStr">
        <is>
          <t>DT-523</t>
        </is>
      </c>
      <c r="D1729" s="156" t="inlineStr">
        <is>
          <t>SKT 105S</t>
        </is>
      </c>
      <c r="E1729" s="156" t="inlineStr">
        <is>
          <t>Hauler</t>
        </is>
      </c>
      <c r="F1729" s="156" t="inlineStr">
        <is>
          <t>Hauling OB</t>
        </is>
      </c>
      <c r="G1729" s="182" t="n">
        <v>6.04</v>
      </c>
      <c r="H1729" s="182" t="n">
        <v>0</v>
      </c>
      <c r="I1729" s="182" t="n">
        <v>0</v>
      </c>
      <c r="J1729" s="182" t="n">
        <v>0</v>
      </c>
      <c r="K1729" s="182" t="n">
        <v>5.96</v>
      </c>
      <c r="L1729" s="182" t="n">
        <v>12</v>
      </c>
      <c r="M1729" s="182" t="n">
        <v>6.04</v>
      </c>
      <c r="N1729" s="182" t="n">
        <v>0</v>
      </c>
      <c r="O1729" s="183" t="n">
        <v>16</v>
      </c>
      <c r="P1729" s="183" t="n">
        <v>0</v>
      </c>
      <c r="Q1729" s="184" t="n">
        <v>326.4</v>
      </c>
      <c r="R1729" s="184" t="n">
        <v>0</v>
      </c>
      <c r="S1729" s="183" t="n">
        <v>0</v>
      </c>
      <c r="T1729" s="183" t="n">
        <v>0</v>
      </c>
      <c r="U1729" s="182" t="n">
        <v>0.72</v>
      </c>
      <c r="V1729" s="182" t="n">
        <v>0.62</v>
      </c>
      <c r="W1729" s="182" t="n">
        <v>0</v>
      </c>
      <c r="X1729" s="182" t="n">
        <v>0.99</v>
      </c>
      <c r="Y1729" s="182" t="n">
        <v>0</v>
      </c>
      <c r="Z1729" s="182" t="n">
        <v>0</v>
      </c>
      <c r="AA1729" s="182" t="n">
        <v>0</v>
      </c>
      <c r="AB1729" s="182" t="n">
        <v>0</v>
      </c>
      <c r="AC1729" s="182" t="n">
        <v>0</v>
      </c>
      <c r="AD1729" s="182" t="n">
        <v>0</v>
      </c>
      <c r="AE1729" s="182" t="n">
        <v>0</v>
      </c>
      <c r="AF1729" s="182" t="n">
        <v>0</v>
      </c>
      <c r="AG1729" s="182" t="n">
        <v>0</v>
      </c>
      <c r="AH1729" s="182" t="n">
        <v>0</v>
      </c>
      <c r="AI1729" s="182" t="n">
        <v>0</v>
      </c>
      <c r="AJ1729" s="182" t="n">
        <v>0</v>
      </c>
      <c r="AK1729" s="182" t="n">
        <v>3.56</v>
      </c>
      <c r="AL1729" s="182" t="n">
        <v>0</v>
      </c>
      <c r="AM1729" s="182" t="n">
        <v>0.08</v>
      </c>
      <c r="AN1729" s="182" t="n">
        <v>0</v>
      </c>
    </row>
    <row r="1730">
      <c r="A1730" s="155" t="n">
        <v>46089</v>
      </c>
      <c r="B1730" s="156" t="inlineStr">
        <is>
          <t>NS</t>
        </is>
      </c>
      <c r="C1730" s="156" t="inlineStr">
        <is>
          <t>DT-519</t>
        </is>
      </c>
      <c r="D1730" s="156" t="inlineStr">
        <is>
          <t>SKT 105S</t>
        </is>
      </c>
      <c r="E1730" s="156" t="inlineStr">
        <is>
          <t>Hauler</t>
        </is>
      </c>
      <c r="F1730" s="156" t="inlineStr"/>
      <c r="G1730" s="182" t="n">
        <v>0</v>
      </c>
      <c r="H1730" s="182" t="n">
        <v>0</v>
      </c>
      <c r="I1730" s="182" t="n">
        <v>12</v>
      </c>
      <c r="J1730" s="182" t="n">
        <v>12</v>
      </c>
      <c r="K1730" s="182" t="n">
        <v>0</v>
      </c>
      <c r="L1730" s="182" t="n">
        <v>12</v>
      </c>
      <c r="M1730" s="182" t="n">
        <v>0</v>
      </c>
      <c r="N1730" s="182" t="n">
        <v>0</v>
      </c>
      <c r="O1730" s="183" t="n">
        <v>0</v>
      </c>
      <c r="P1730" s="183" t="n">
        <v>0</v>
      </c>
      <c r="Q1730" s="184" t="n">
        <v>0</v>
      </c>
      <c r="R1730" s="184" t="n">
        <v>0</v>
      </c>
      <c r="S1730" s="183" t="n">
        <v>0</v>
      </c>
      <c r="T1730" s="183" t="n">
        <v>0</v>
      </c>
      <c r="U1730" s="182" t="n">
        <v>0</v>
      </c>
      <c r="V1730" s="182" t="n">
        <v>0</v>
      </c>
      <c r="W1730" s="182" t="n">
        <v>0</v>
      </c>
      <c r="X1730" s="182" t="n">
        <v>0</v>
      </c>
      <c r="Y1730" s="182" t="n">
        <v>0</v>
      </c>
      <c r="Z1730" s="182" t="n">
        <v>0</v>
      </c>
      <c r="AA1730" s="182" t="n">
        <v>0</v>
      </c>
      <c r="AB1730" s="182" t="n">
        <v>0</v>
      </c>
      <c r="AC1730" s="182" t="n">
        <v>0</v>
      </c>
      <c r="AD1730" s="182" t="n">
        <v>0</v>
      </c>
      <c r="AE1730" s="182" t="n">
        <v>0</v>
      </c>
      <c r="AF1730" s="182" t="n">
        <v>0</v>
      </c>
      <c r="AG1730" s="182" t="n">
        <v>0</v>
      </c>
      <c r="AH1730" s="182" t="n">
        <v>0</v>
      </c>
      <c r="AI1730" s="182" t="n">
        <v>0</v>
      </c>
      <c r="AJ1730" s="182" t="n">
        <v>0</v>
      </c>
      <c r="AK1730" s="182" t="n">
        <v>0</v>
      </c>
      <c r="AL1730" s="182" t="n">
        <v>0</v>
      </c>
      <c r="AM1730" s="182" t="n">
        <v>0</v>
      </c>
      <c r="AN1730" s="182" t="n">
        <v>0</v>
      </c>
    </row>
    <row r="1731">
      <c r="A1731" s="155" t="n">
        <v>46089</v>
      </c>
      <c r="B1731" s="156" t="inlineStr">
        <is>
          <t>NS</t>
        </is>
      </c>
      <c r="C1731" s="156" t="inlineStr">
        <is>
          <t>DT-527</t>
        </is>
      </c>
      <c r="D1731" s="156" t="inlineStr">
        <is>
          <t>SKT 105S</t>
        </is>
      </c>
      <c r="E1731" s="156" t="inlineStr">
        <is>
          <t>Hauler</t>
        </is>
      </c>
      <c r="F1731" s="156" t="inlineStr">
        <is>
          <t>Hauling OB</t>
        </is>
      </c>
      <c r="G1731" s="182" t="n">
        <v>8.1</v>
      </c>
      <c r="H1731" s="182" t="n">
        <v>0</v>
      </c>
      <c r="I1731" s="182" t="n">
        <v>0</v>
      </c>
      <c r="J1731" s="182" t="n">
        <v>0</v>
      </c>
      <c r="K1731" s="182" t="n">
        <v>3.9</v>
      </c>
      <c r="L1731" s="182" t="n">
        <v>12</v>
      </c>
      <c r="M1731" s="182" t="n">
        <v>8.1</v>
      </c>
      <c r="N1731" s="182" t="n">
        <v>0</v>
      </c>
      <c r="O1731" s="183" t="n">
        <v>27</v>
      </c>
      <c r="P1731" s="183" t="n">
        <v>0</v>
      </c>
      <c r="Q1731" s="184" t="n">
        <v>550.8</v>
      </c>
      <c r="R1731" s="184" t="n">
        <v>0</v>
      </c>
      <c r="S1731" s="183" t="n">
        <v>0</v>
      </c>
      <c r="T1731" s="183" t="n">
        <v>0</v>
      </c>
      <c r="U1731" s="182" t="n">
        <v>0.78</v>
      </c>
      <c r="V1731" s="182" t="n">
        <v>0.67</v>
      </c>
      <c r="W1731" s="182" t="n">
        <v>0</v>
      </c>
      <c r="X1731" s="182" t="n">
        <v>1.08</v>
      </c>
      <c r="Y1731" s="182" t="n">
        <v>0</v>
      </c>
      <c r="Z1731" s="182" t="n">
        <v>0</v>
      </c>
      <c r="AA1731" s="182" t="n">
        <v>0</v>
      </c>
      <c r="AB1731" s="182" t="n">
        <v>0</v>
      </c>
      <c r="AC1731" s="182" t="n">
        <v>0</v>
      </c>
      <c r="AD1731" s="182" t="n">
        <v>0</v>
      </c>
      <c r="AE1731" s="182" t="n">
        <v>0</v>
      </c>
      <c r="AF1731" s="182" t="n">
        <v>0</v>
      </c>
      <c r="AG1731" s="182" t="n">
        <v>0.65</v>
      </c>
      <c r="AH1731" s="182" t="n">
        <v>0.63</v>
      </c>
      <c r="AI1731" s="182" t="n">
        <v>0</v>
      </c>
      <c r="AJ1731" s="182" t="n">
        <v>0</v>
      </c>
      <c r="AK1731" s="182" t="n">
        <v>0</v>
      </c>
      <c r="AL1731" s="182" t="n">
        <v>0</v>
      </c>
      <c r="AM1731" s="182" t="n">
        <v>0.09</v>
      </c>
      <c r="AN1731" s="182" t="n">
        <v>0</v>
      </c>
    </row>
    <row r="1732">
      <c r="A1732" s="155" t="n">
        <v>46089</v>
      </c>
      <c r="B1732" s="156" t="inlineStr">
        <is>
          <t>NS</t>
        </is>
      </c>
      <c r="C1732" s="156" t="inlineStr">
        <is>
          <t>DT-513</t>
        </is>
      </c>
      <c r="D1732" s="156" t="inlineStr">
        <is>
          <t>SKT 105S</t>
        </is>
      </c>
      <c r="E1732" s="156" t="inlineStr">
        <is>
          <t>Hauler</t>
        </is>
      </c>
      <c r="F1732" s="156" t="inlineStr"/>
      <c r="G1732" s="182" t="n">
        <v>0</v>
      </c>
      <c r="H1732" s="182" t="n">
        <v>0</v>
      </c>
      <c r="I1732" s="182" t="n">
        <v>12</v>
      </c>
      <c r="J1732" s="182" t="n">
        <v>12</v>
      </c>
      <c r="K1732" s="182" t="n">
        <v>0</v>
      </c>
      <c r="L1732" s="182" t="n">
        <v>12</v>
      </c>
      <c r="M1732" s="182" t="n">
        <v>0</v>
      </c>
      <c r="N1732" s="182" t="n">
        <v>0</v>
      </c>
      <c r="O1732" s="183" t="n">
        <v>0</v>
      </c>
      <c r="P1732" s="183" t="n">
        <v>0</v>
      </c>
      <c r="Q1732" s="184" t="n">
        <v>0</v>
      </c>
      <c r="R1732" s="184" t="n">
        <v>0</v>
      </c>
      <c r="S1732" s="183" t="n">
        <v>0</v>
      </c>
      <c r="T1732" s="183" t="n">
        <v>0</v>
      </c>
      <c r="U1732" s="182" t="n">
        <v>0</v>
      </c>
      <c r="V1732" s="182" t="n">
        <v>0</v>
      </c>
      <c r="W1732" s="182" t="n">
        <v>0</v>
      </c>
      <c r="X1732" s="182" t="n">
        <v>0</v>
      </c>
      <c r="Y1732" s="182" t="n">
        <v>0</v>
      </c>
      <c r="Z1732" s="182" t="n">
        <v>0</v>
      </c>
      <c r="AA1732" s="182" t="n">
        <v>0</v>
      </c>
      <c r="AB1732" s="182" t="n">
        <v>0</v>
      </c>
      <c r="AC1732" s="182" t="n">
        <v>0</v>
      </c>
      <c r="AD1732" s="182" t="n">
        <v>0</v>
      </c>
      <c r="AE1732" s="182" t="n">
        <v>0</v>
      </c>
      <c r="AF1732" s="182" t="n">
        <v>0</v>
      </c>
      <c r="AG1732" s="182" t="n">
        <v>0</v>
      </c>
      <c r="AH1732" s="182" t="n">
        <v>0</v>
      </c>
      <c r="AI1732" s="182" t="n">
        <v>0</v>
      </c>
      <c r="AJ1732" s="182" t="n">
        <v>0</v>
      </c>
      <c r="AK1732" s="182" t="n">
        <v>0</v>
      </c>
      <c r="AL1732" s="182" t="n">
        <v>0</v>
      </c>
      <c r="AM1732" s="182" t="n">
        <v>0</v>
      </c>
      <c r="AN1732" s="182" t="n">
        <v>0</v>
      </c>
    </row>
    <row r="1733">
      <c r="A1733" s="155" t="n">
        <v>46089</v>
      </c>
      <c r="B1733" s="156" t="inlineStr">
        <is>
          <t>NS</t>
        </is>
      </c>
      <c r="C1733" s="156" t="inlineStr">
        <is>
          <t>DT-512</t>
        </is>
      </c>
      <c r="D1733" s="156" t="inlineStr">
        <is>
          <t>SKT 105S</t>
        </is>
      </c>
      <c r="E1733" s="156" t="inlineStr">
        <is>
          <t>Hauler</t>
        </is>
      </c>
      <c r="F1733" s="156" t="inlineStr">
        <is>
          <t>Hauling OB</t>
        </is>
      </c>
      <c r="G1733" s="182" t="n">
        <v>9.85</v>
      </c>
      <c r="H1733" s="182" t="n">
        <v>0</v>
      </c>
      <c r="I1733" s="182" t="n">
        <v>0</v>
      </c>
      <c r="J1733" s="182" t="n">
        <v>0</v>
      </c>
      <c r="K1733" s="182" t="n">
        <v>2.15</v>
      </c>
      <c r="L1733" s="182" t="n">
        <v>12</v>
      </c>
      <c r="M1733" s="182" t="n">
        <v>9.85</v>
      </c>
      <c r="N1733" s="182" t="n">
        <v>0</v>
      </c>
      <c r="O1733" s="183" t="n">
        <v>30</v>
      </c>
      <c r="P1733" s="183" t="n">
        <v>0</v>
      </c>
      <c r="Q1733" s="184" t="n">
        <v>612</v>
      </c>
      <c r="R1733" s="184" t="n">
        <v>0</v>
      </c>
      <c r="S1733" s="183" t="n">
        <v>0</v>
      </c>
      <c r="T1733" s="183" t="n">
        <v>0</v>
      </c>
      <c r="U1733" s="182" t="n">
        <v>0.7</v>
      </c>
      <c r="V1733" s="182" t="n">
        <v>0.39</v>
      </c>
      <c r="W1733" s="182" t="n">
        <v>0</v>
      </c>
      <c r="X1733" s="182" t="n">
        <v>0.98</v>
      </c>
      <c r="Y1733" s="182" t="n">
        <v>0</v>
      </c>
      <c r="Z1733" s="182" t="n">
        <v>0</v>
      </c>
      <c r="AA1733" s="182" t="n">
        <v>0</v>
      </c>
      <c r="AB1733" s="182" t="n">
        <v>0</v>
      </c>
      <c r="AC1733" s="182" t="n">
        <v>0</v>
      </c>
      <c r="AD1733" s="182" t="n">
        <v>0</v>
      </c>
      <c r="AE1733" s="182" t="n">
        <v>0</v>
      </c>
      <c r="AF1733" s="182" t="n">
        <v>0</v>
      </c>
      <c r="AG1733" s="182" t="n">
        <v>0</v>
      </c>
      <c r="AH1733" s="182" t="n">
        <v>0</v>
      </c>
      <c r="AI1733" s="182" t="n">
        <v>0</v>
      </c>
      <c r="AJ1733" s="182" t="n">
        <v>0</v>
      </c>
      <c r="AK1733" s="182" t="n">
        <v>0</v>
      </c>
      <c r="AL1733" s="182" t="n">
        <v>0</v>
      </c>
      <c r="AM1733" s="182" t="n">
        <v>0.08</v>
      </c>
      <c r="AN1733" s="182" t="n">
        <v>0</v>
      </c>
    </row>
    <row r="1734">
      <c r="A1734" s="155" t="n">
        <v>46089</v>
      </c>
      <c r="B1734" s="156" t="inlineStr">
        <is>
          <t>NS</t>
        </is>
      </c>
      <c r="C1734" s="156" t="inlineStr">
        <is>
          <t>DT-522</t>
        </is>
      </c>
      <c r="D1734" s="156" t="inlineStr">
        <is>
          <t>SKT 105S</t>
        </is>
      </c>
      <c r="E1734" s="156" t="inlineStr">
        <is>
          <t>Hauler</t>
        </is>
      </c>
      <c r="F1734" s="156" t="inlineStr">
        <is>
          <t>Hauling OB</t>
        </is>
      </c>
      <c r="G1734" s="182" t="n">
        <v>6.22</v>
      </c>
      <c r="H1734" s="182" t="n">
        <v>0</v>
      </c>
      <c r="I1734" s="182" t="n">
        <v>1</v>
      </c>
      <c r="J1734" s="182" t="n">
        <v>1</v>
      </c>
      <c r="K1734" s="182" t="n">
        <v>4.78</v>
      </c>
      <c r="L1734" s="182" t="n">
        <v>12</v>
      </c>
      <c r="M1734" s="182" t="n">
        <v>6.22</v>
      </c>
      <c r="N1734" s="182" t="n">
        <v>0</v>
      </c>
      <c r="O1734" s="183" t="n">
        <v>25</v>
      </c>
      <c r="P1734" s="183" t="n">
        <v>0</v>
      </c>
      <c r="Q1734" s="184" t="n">
        <v>510</v>
      </c>
      <c r="R1734" s="184" t="n">
        <v>0</v>
      </c>
      <c r="S1734" s="183" t="n">
        <v>0</v>
      </c>
      <c r="T1734" s="183" t="n">
        <v>0</v>
      </c>
      <c r="U1734" s="182" t="n">
        <v>0.78</v>
      </c>
      <c r="V1734" s="182" t="n">
        <v>0.67</v>
      </c>
      <c r="W1734" s="182" t="n">
        <v>0</v>
      </c>
      <c r="X1734" s="182" t="n">
        <v>1.09</v>
      </c>
      <c r="Y1734" s="182" t="n">
        <v>0</v>
      </c>
      <c r="Z1734" s="182" t="n">
        <v>0</v>
      </c>
      <c r="AA1734" s="182" t="n">
        <v>0</v>
      </c>
      <c r="AB1734" s="182" t="n">
        <v>0</v>
      </c>
      <c r="AC1734" s="182" t="n">
        <v>0</v>
      </c>
      <c r="AD1734" s="182" t="n">
        <v>0</v>
      </c>
      <c r="AE1734" s="182" t="n">
        <v>0</v>
      </c>
      <c r="AF1734" s="182" t="n">
        <v>0</v>
      </c>
      <c r="AG1734" s="182" t="n">
        <v>0</v>
      </c>
      <c r="AH1734" s="182" t="n">
        <v>0</v>
      </c>
      <c r="AI1734" s="182" t="n">
        <v>2.15</v>
      </c>
      <c r="AJ1734" s="182" t="n">
        <v>0</v>
      </c>
      <c r="AK1734" s="182" t="n">
        <v>0</v>
      </c>
      <c r="AL1734" s="182" t="n">
        <v>0</v>
      </c>
      <c r="AM1734" s="182" t="n">
        <v>0.09</v>
      </c>
      <c r="AN1734" s="182" t="n">
        <v>0</v>
      </c>
    </row>
    <row r="1735">
      <c r="A1735" s="155" t="n">
        <v>46089</v>
      </c>
      <c r="B1735" s="156" t="inlineStr">
        <is>
          <t>NS</t>
        </is>
      </c>
      <c r="C1735" s="156" t="inlineStr">
        <is>
          <t>DT-517</t>
        </is>
      </c>
      <c r="D1735" s="156" t="inlineStr">
        <is>
          <t>SKT 105S</t>
        </is>
      </c>
      <c r="E1735" s="156" t="inlineStr">
        <is>
          <t>Hauler</t>
        </is>
      </c>
      <c r="F1735" s="156" t="inlineStr">
        <is>
          <t>Hauling OB</t>
        </is>
      </c>
      <c r="G1735" s="182" t="n">
        <v>8.93</v>
      </c>
      <c r="H1735" s="182" t="n">
        <v>0</v>
      </c>
      <c r="I1735" s="182" t="n">
        <v>0</v>
      </c>
      <c r="J1735" s="182" t="n">
        <v>0</v>
      </c>
      <c r="K1735" s="182" t="n">
        <v>3.07</v>
      </c>
      <c r="L1735" s="182" t="n">
        <v>12</v>
      </c>
      <c r="M1735" s="182" t="n">
        <v>8.93</v>
      </c>
      <c r="N1735" s="182" t="n">
        <v>0</v>
      </c>
      <c r="O1735" s="183" t="n">
        <v>23</v>
      </c>
      <c r="P1735" s="183" t="n">
        <v>0</v>
      </c>
      <c r="Q1735" s="184" t="n">
        <v>469.2</v>
      </c>
      <c r="R1735" s="184" t="n">
        <v>0</v>
      </c>
      <c r="S1735" s="183" t="n">
        <v>0</v>
      </c>
      <c r="T1735" s="183" t="n">
        <v>0</v>
      </c>
      <c r="U1735" s="182" t="n">
        <v>0.74</v>
      </c>
      <c r="V1735" s="182" t="n">
        <v>0.63</v>
      </c>
      <c r="W1735" s="182" t="n">
        <v>0</v>
      </c>
      <c r="X1735" s="182" t="n">
        <v>1.02</v>
      </c>
      <c r="Y1735" s="182" t="n">
        <v>0</v>
      </c>
      <c r="Z1735" s="182" t="n">
        <v>0</v>
      </c>
      <c r="AA1735" s="182" t="n">
        <v>0</v>
      </c>
      <c r="AB1735" s="182" t="n">
        <v>0</v>
      </c>
      <c r="AC1735" s="182" t="n">
        <v>0</v>
      </c>
      <c r="AD1735" s="182" t="n">
        <v>0</v>
      </c>
      <c r="AE1735" s="182" t="n">
        <v>0</v>
      </c>
      <c r="AF1735" s="182" t="n">
        <v>0</v>
      </c>
      <c r="AG1735" s="182" t="n">
        <v>0</v>
      </c>
      <c r="AH1735" s="182" t="n">
        <v>0.59</v>
      </c>
      <c r="AI1735" s="182" t="n">
        <v>0</v>
      </c>
      <c r="AJ1735" s="182" t="n">
        <v>0</v>
      </c>
      <c r="AK1735" s="182" t="n">
        <v>0</v>
      </c>
      <c r="AL1735" s="182" t="n">
        <v>0</v>
      </c>
      <c r="AM1735" s="182" t="n">
        <v>0.08</v>
      </c>
      <c r="AN1735" s="182" t="n">
        <v>0</v>
      </c>
    </row>
    <row r="1736">
      <c r="A1736" s="155" t="n">
        <v>46089</v>
      </c>
      <c r="B1736" s="156" t="inlineStr">
        <is>
          <t>NS</t>
        </is>
      </c>
      <c r="C1736" s="156" t="inlineStr">
        <is>
          <t>DT-510</t>
        </is>
      </c>
      <c r="D1736" s="156" t="inlineStr">
        <is>
          <t>SKT 105S</t>
        </is>
      </c>
      <c r="E1736" s="156" t="inlineStr">
        <is>
          <t>Hauler</t>
        </is>
      </c>
      <c r="F1736" s="156" t="inlineStr"/>
      <c r="G1736" s="182" t="n">
        <v>0</v>
      </c>
      <c r="H1736" s="182" t="n">
        <v>0</v>
      </c>
      <c r="I1736" s="182" t="n">
        <v>12</v>
      </c>
      <c r="J1736" s="182" t="n">
        <v>12</v>
      </c>
      <c r="K1736" s="182" t="n">
        <v>0</v>
      </c>
      <c r="L1736" s="182" t="n">
        <v>12</v>
      </c>
      <c r="M1736" s="182" t="n">
        <v>0</v>
      </c>
      <c r="N1736" s="182" t="n">
        <v>0</v>
      </c>
      <c r="O1736" s="183" t="n">
        <v>0</v>
      </c>
      <c r="P1736" s="183" t="n">
        <v>0</v>
      </c>
      <c r="Q1736" s="184" t="n">
        <v>0</v>
      </c>
      <c r="R1736" s="184" t="n">
        <v>0</v>
      </c>
      <c r="S1736" s="183" t="n">
        <v>0</v>
      </c>
      <c r="T1736" s="183" t="n">
        <v>0</v>
      </c>
      <c r="U1736" s="182" t="n">
        <v>0</v>
      </c>
      <c r="V1736" s="182" t="n">
        <v>0</v>
      </c>
      <c r="W1736" s="182" t="n">
        <v>0</v>
      </c>
      <c r="X1736" s="182" t="n">
        <v>0</v>
      </c>
      <c r="Y1736" s="182" t="n">
        <v>0</v>
      </c>
      <c r="Z1736" s="182" t="n">
        <v>0</v>
      </c>
      <c r="AA1736" s="182" t="n">
        <v>0</v>
      </c>
      <c r="AB1736" s="182" t="n">
        <v>0</v>
      </c>
      <c r="AC1736" s="182" t="n">
        <v>0</v>
      </c>
      <c r="AD1736" s="182" t="n">
        <v>0</v>
      </c>
      <c r="AE1736" s="182" t="n">
        <v>0</v>
      </c>
      <c r="AF1736" s="182" t="n">
        <v>0</v>
      </c>
      <c r="AG1736" s="182" t="n">
        <v>0</v>
      </c>
      <c r="AH1736" s="182" t="n">
        <v>0</v>
      </c>
      <c r="AI1736" s="182" t="n">
        <v>0</v>
      </c>
      <c r="AJ1736" s="182" t="n">
        <v>0</v>
      </c>
      <c r="AK1736" s="182" t="n">
        <v>0</v>
      </c>
      <c r="AL1736" s="182" t="n">
        <v>0</v>
      </c>
      <c r="AM1736" s="182" t="n">
        <v>0</v>
      </c>
      <c r="AN1736" s="182" t="n">
        <v>0</v>
      </c>
    </row>
    <row r="1737">
      <c r="A1737" s="155" t="n">
        <v>46089</v>
      </c>
      <c r="B1737" s="156" t="inlineStr">
        <is>
          <t>NS</t>
        </is>
      </c>
      <c r="C1737" s="156" t="inlineStr">
        <is>
          <t>DT-521</t>
        </is>
      </c>
      <c r="D1737" s="156" t="inlineStr">
        <is>
          <t>SKT 105S</t>
        </is>
      </c>
      <c r="E1737" s="156" t="inlineStr">
        <is>
          <t>Hauler</t>
        </is>
      </c>
      <c r="F1737" s="156" t="inlineStr">
        <is>
          <t>Hauling OB &amp; Coal</t>
        </is>
      </c>
      <c r="G1737" s="182" t="n">
        <v>9.08</v>
      </c>
      <c r="H1737" s="182" t="n">
        <v>0</v>
      </c>
      <c r="I1737" s="182" t="n">
        <v>0</v>
      </c>
      <c r="J1737" s="182" t="n">
        <v>0</v>
      </c>
      <c r="K1737" s="182" t="n">
        <v>2.92</v>
      </c>
      <c r="L1737" s="182" t="n">
        <v>12</v>
      </c>
      <c r="M1737" s="182" t="n">
        <v>2.59</v>
      </c>
      <c r="N1737" s="182" t="n">
        <v>6.48</v>
      </c>
      <c r="O1737" s="183" t="n">
        <v>11</v>
      </c>
      <c r="P1737" s="183" t="n">
        <v>19</v>
      </c>
      <c r="Q1737" s="184" t="n">
        <v>224.4</v>
      </c>
      <c r="R1737" s="184" t="n">
        <v>355.3</v>
      </c>
      <c r="S1737" s="183" t="n">
        <v>0</v>
      </c>
      <c r="T1737" s="183" t="n">
        <v>0</v>
      </c>
      <c r="U1737" s="182" t="n">
        <v>0.72</v>
      </c>
      <c r="V1737" s="182" t="n">
        <v>0.62</v>
      </c>
      <c r="W1737" s="182" t="n">
        <v>0</v>
      </c>
      <c r="X1737" s="182" t="n">
        <v>1.01</v>
      </c>
      <c r="Y1737" s="182" t="n">
        <v>0</v>
      </c>
      <c r="Z1737" s="182" t="n">
        <v>0</v>
      </c>
      <c r="AA1737" s="182" t="n">
        <v>0</v>
      </c>
      <c r="AB1737" s="182" t="n">
        <v>0</v>
      </c>
      <c r="AC1737" s="182" t="n">
        <v>0</v>
      </c>
      <c r="AD1737" s="182" t="n">
        <v>0</v>
      </c>
      <c r="AE1737" s="182" t="n">
        <v>0</v>
      </c>
      <c r="AF1737" s="182" t="n">
        <v>0</v>
      </c>
      <c r="AG1737" s="182" t="n">
        <v>0</v>
      </c>
      <c r="AH1737" s="182" t="n">
        <v>0.48</v>
      </c>
      <c r="AI1737" s="182" t="n">
        <v>0</v>
      </c>
      <c r="AJ1737" s="182" t="n">
        <v>0</v>
      </c>
      <c r="AK1737" s="182" t="n">
        <v>0</v>
      </c>
      <c r="AL1737" s="182" t="n">
        <v>0</v>
      </c>
      <c r="AM1737" s="182" t="n">
        <v>0.08</v>
      </c>
      <c r="AN1737" s="182" t="n">
        <v>0</v>
      </c>
    </row>
    <row r="1738">
      <c r="A1738" s="155" t="n">
        <v>46089</v>
      </c>
      <c r="B1738" s="156" t="inlineStr">
        <is>
          <t>NS</t>
        </is>
      </c>
      <c r="C1738" s="156" t="inlineStr">
        <is>
          <t>DT-516</t>
        </is>
      </c>
      <c r="D1738" s="156" t="inlineStr">
        <is>
          <t>SKT 105S</t>
        </is>
      </c>
      <c r="E1738" s="156" t="inlineStr">
        <is>
          <t>Hauler</t>
        </is>
      </c>
      <c r="F1738" s="156" t="inlineStr">
        <is>
          <t>Hauling OB</t>
        </is>
      </c>
      <c r="G1738" s="182" t="n">
        <v>5.82</v>
      </c>
      <c r="H1738" s="182" t="n">
        <v>0</v>
      </c>
      <c r="I1738" s="182" t="n">
        <v>0</v>
      </c>
      <c r="J1738" s="182" t="n">
        <v>0</v>
      </c>
      <c r="K1738" s="182" t="n">
        <v>6.18</v>
      </c>
      <c r="L1738" s="182" t="n">
        <v>12</v>
      </c>
      <c r="M1738" s="182" t="n">
        <v>5.82</v>
      </c>
      <c r="N1738" s="182" t="n">
        <v>0</v>
      </c>
      <c r="O1738" s="183" t="n">
        <v>18</v>
      </c>
      <c r="P1738" s="183" t="n">
        <v>0</v>
      </c>
      <c r="Q1738" s="184" t="n">
        <v>367.2</v>
      </c>
      <c r="R1738" s="184" t="n">
        <v>0</v>
      </c>
      <c r="S1738" s="183" t="n">
        <v>0</v>
      </c>
      <c r="T1738" s="183" t="n">
        <v>0</v>
      </c>
      <c r="U1738" s="182" t="n">
        <v>0.75</v>
      </c>
      <c r="V1738" s="182" t="n">
        <v>0.65</v>
      </c>
      <c r="W1738" s="182" t="n">
        <v>0</v>
      </c>
      <c r="X1738" s="182" t="n">
        <v>1.05</v>
      </c>
      <c r="Y1738" s="182" t="n">
        <v>0</v>
      </c>
      <c r="Z1738" s="182" t="n">
        <v>0</v>
      </c>
      <c r="AA1738" s="182" t="n">
        <v>0</v>
      </c>
      <c r="AB1738" s="182" t="n">
        <v>0</v>
      </c>
      <c r="AC1738" s="182" t="n">
        <v>0</v>
      </c>
      <c r="AD1738" s="182" t="n">
        <v>0</v>
      </c>
      <c r="AE1738" s="182" t="n">
        <v>0</v>
      </c>
      <c r="AF1738" s="182" t="n">
        <v>0</v>
      </c>
      <c r="AG1738" s="182" t="n">
        <v>0</v>
      </c>
      <c r="AH1738" s="182" t="n">
        <v>0</v>
      </c>
      <c r="AI1738" s="182" t="n">
        <v>0</v>
      </c>
      <c r="AJ1738" s="182" t="n">
        <v>0</v>
      </c>
      <c r="AK1738" s="182" t="n">
        <v>3.65</v>
      </c>
      <c r="AL1738" s="182" t="n">
        <v>0</v>
      </c>
      <c r="AM1738" s="182" t="n">
        <v>0.08</v>
      </c>
      <c r="AN1738" s="182" t="n">
        <v>0</v>
      </c>
    </row>
    <row r="1739">
      <c r="A1739" s="155" t="n">
        <v>46089</v>
      </c>
      <c r="B1739" s="156" t="inlineStr">
        <is>
          <t>NS</t>
        </is>
      </c>
      <c r="C1739" s="156" t="inlineStr">
        <is>
          <t>DT-506</t>
        </is>
      </c>
      <c r="D1739" s="156" t="inlineStr">
        <is>
          <t>SKT 105S</t>
        </is>
      </c>
      <c r="E1739" s="156" t="inlineStr">
        <is>
          <t>Hauler</t>
        </is>
      </c>
      <c r="F1739" s="156" t="inlineStr"/>
      <c r="G1739" s="182" t="n">
        <v>0</v>
      </c>
      <c r="H1739" s="182" t="n">
        <v>0</v>
      </c>
      <c r="I1739" s="182" t="n">
        <v>12</v>
      </c>
      <c r="J1739" s="182" t="n">
        <v>12</v>
      </c>
      <c r="K1739" s="182" t="n">
        <v>0</v>
      </c>
      <c r="L1739" s="182" t="n">
        <v>12</v>
      </c>
      <c r="M1739" s="182" t="n">
        <v>0</v>
      </c>
      <c r="N1739" s="182" t="n">
        <v>0</v>
      </c>
      <c r="O1739" s="183" t="n">
        <v>0</v>
      </c>
      <c r="P1739" s="183" t="n">
        <v>0</v>
      </c>
      <c r="Q1739" s="184" t="n">
        <v>0</v>
      </c>
      <c r="R1739" s="184" t="n">
        <v>0</v>
      </c>
      <c r="S1739" s="183" t="n">
        <v>0</v>
      </c>
      <c r="T1739" s="183" t="n">
        <v>0</v>
      </c>
      <c r="U1739" s="182" t="n">
        <v>0</v>
      </c>
      <c r="V1739" s="182" t="n">
        <v>0</v>
      </c>
      <c r="W1739" s="182" t="n">
        <v>0</v>
      </c>
      <c r="X1739" s="182" t="n">
        <v>0</v>
      </c>
      <c r="Y1739" s="182" t="n">
        <v>0</v>
      </c>
      <c r="Z1739" s="182" t="n">
        <v>0</v>
      </c>
      <c r="AA1739" s="182" t="n">
        <v>0</v>
      </c>
      <c r="AB1739" s="182" t="n">
        <v>0</v>
      </c>
      <c r="AC1739" s="182" t="n">
        <v>0</v>
      </c>
      <c r="AD1739" s="182" t="n">
        <v>0</v>
      </c>
      <c r="AE1739" s="182" t="n">
        <v>0</v>
      </c>
      <c r="AF1739" s="182" t="n">
        <v>0</v>
      </c>
      <c r="AG1739" s="182" t="n">
        <v>0</v>
      </c>
      <c r="AH1739" s="182" t="n">
        <v>0</v>
      </c>
      <c r="AI1739" s="182" t="n">
        <v>0</v>
      </c>
      <c r="AJ1739" s="182" t="n">
        <v>0</v>
      </c>
      <c r="AK1739" s="182" t="n">
        <v>0</v>
      </c>
      <c r="AL1739" s="182" t="n">
        <v>0</v>
      </c>
      <c r="AM1739" s="182" t="n">
        <v>0</v>
      </c>
      <c r="AN1739" s="182" t="n">
        <v>0</v>
      </c>
    </row>
    <row r="1740">
      <c r="A1740" s="155" t="n">
        <v>46089</v>
      </c>
      <c r="B1740" s="156" t="inlineStr">
        <is>
          <t>NS</t>
        </is>
      </c>
      <c r="C1740" s="156" t="inlineStr">
        <is>
          <t>DT-502</t>
        </is>
      </c>
      <c r="D1740" s="156" t="inlineStr">
        <is>
          <t>SKT 105S</t>
        </is>
      </c>
      <c r="E1740" s="156" t="inlineStr">
        <is>
          <t>Hauler</t>
        </is>
      </c>
      <c r="F1740" s="156" t="inlineStr">
        <is>
          <t>Hauling OB</t>
        </is>
      </c>
      <c r="G1740" s="182" t="n">
        <v>9.33</v>
      </c>
      <c r="H1740" s="182" t="n">
        <v>0</v>
      </c>
      <c r="I1740" s="182" t="n">
        <v>0</v>
      </c>
      <c r="J1740" s="182" t="n">
        <v>0</v>
      </c>
      <c r="K1740" s="182" t="n">
        <v>2.67</v>
      </c>
      <c r="L1740" s="182" t="n">
        <v>12</v>
      </c>
      <c r="M1740" s="182" t="n">
        <v>9.33</v>
      </c>
      <c r="N1740" s="182" t="n">
        <v>0</v>
      </c>
      <c r="O1740" s="183" t="n">
        <v>29</v>
      </c>
      <c r="P1740" s="183" t="n">
        <v>0</v>
      </c>
      <c r="Q1740" s="184" t="n">
        <v>591.6</v>
      </c>
      <c r="R1740" s="184" t="n">
        <v>0</v>
      </c>
      <c r="S1740" s="183" t="n">
        <v>0</v>
      </c>
      <c r="T1740" s="183" t="n">
        <v>0</v>
      </c>
      <c r="U1740" s="182" t="n">
        <v>0.6</v>
      </c>
      <c r="V1740" s="182" t="n">
        <v>0.52</v>
      </c>
      <c r="W1740" s="182" t="n">
        <v>0</v>
      </c>
      <c r="X1740" s="182" t="n">
        <v>0.83</v>
      </c>
      <c r="Y1740" s="182" t="n">
        <v>0</v>
      </c>
      <c r="Z1740" s="182" t="n">
        <v>0</v>
      </c>
      <c r="AA1740" s="182" t="n">
        <v>0</v>
      </c>
      <c r="AB1740" s="182" t="n">
        <v>0</v>
      </c>
      <c r="AC1740" s="182" t="n">
        <v>0</v>
      </c>
      <c r="AD1740" s="182" t="n">
        <v>0</v>
      </c>
      <c r="AE1740" s="182" t="n">
        <v>0</v>
      </c>
      <c r="AF1740" s="182" t="n">
        <v>0</v>
      </c>
      <c r="AG1740" s="182" t="n">
        <v>0</v>
      </c>
      <c r="AH1740" s="182" t="n">
        <v>0.65</v>
      </c>
      <c r="AI1740" s="182" t="n">
        <v>0</v>
      </c>
      <c r="AJ1740" s="182" t="n">
        <v>0</v>
      </c>
      <c r="AK1740" s="182" t="n">
        <v>0</v>
      </c>
      <c r="AL1740" s="182" t="n">
        <v>0</v>
      </c>
      <c r="AM1740" s="182" t="n">
        <v>0.07000000000000001</v>
      </c>
      <c r="AN1740" s="182" t="n">
        <v>0</v>
      </c>
    </row>
    <row r="1741">
      <c r="A1741" s="155" t="n">
        <v>46089</v>
      </c>
      <c r="B1741" s="156" t="inlineStr">
        <is>
          <t>NS</t>
        </is>
      </c>
      <c r="C1741" s="156" t="inlineStr">
        <is>
          <t>DT-528</t>
        </is>
      </c>
      <c r="D1741" s="156" t="inlineStr">
        <is>
          <t>SKT 105S</t>
        </is>
      </c>
      <c r="E1741" s="156" t="inlineStr">
        <is>
          <t>Hauler</t>
        </is>
      </c>
      <c r="F1741" s="156" t="inlineStr">
        <is>
          <t>Hauling OB</t>
        </is>
      </c>
      <c r="G1741" s="182" t="n">
        <v>6.04</v>
      </c>
      <c r="H1741" s="182" t="n">
        <v>0</v>
      </c>
      <c r="I1741" s="182" t="n">
        <v>0</v>
      </c>
      <c r="J1741" s="182" t="n">
        <v>0</v>
      </c>
      <c r="K1741" s="182" t="n">
        <v>5.96</v>
      </c>
      <c r="L1741" s="182" t="n">
        <v>12</v>
      </c>
      <c r="M1741" s="182" t="n">
        <v>6.04</v>
      </c>
      <c r="N1741" s="182" t="n">
        <v>0</v>
      </c>
      <c r="O1741" s="183" t="n">
        <v>18</v>
      </c>
      <c r="P1741" s="183" t="n">
        <v>0</v>
      </c>
      <c r="Q1741" s="184" t="n">
        <v>367.2</v>
      </c>
      <c r="R1741" s="184" t="n">
        <v>0</v>
      </c>
      <c r="S1741" s="183" t="n">
        <v>0</v>
      </c>
      <c r="T1741" s="183" t="n">
        <v>0</v>
      </c>
      <c r="U1741" s="182" t="n">
        <v>0.75</v>
      </c>
      <c r="V1741" s="182" t="n">
        <v>0.65</v>
      </c>
      <c r="W1741" s="182" t="n">
        <v>0</v>
      </c>
      <c r="X1741" s="182" t="n">
        <v>1.05</v>
      </c>
      <c r="Y1741" s="182" t="n">
        <v>0</v>
      </c>
      <c r="Z1741" s="182" t="n">
        <v>0</v>
      </c>
      <c r="AA1741" s="182" t="n">
        <v>0</v>
      </c>
      <c r="AB1741" s="182" t="n">
        <v>0</v>
      </c>
      <c r="AC1741" s="182" t="n">
        <v>0</v>
      </c>
      <c r="AD1741" s="182" t="n">
        <v>0</v>
      </c>
      <c r="AE1741" s="182" t="n">
        <v>0</v>
      </c>
      <c r="AF1741" s="182" t="n">
        <v>0</v>
      </c>
      <c r="AG1741" s="182" t="n">
        <v>0</v>
      </c>
      <c r="AH1741" s="182" t="n">
        <v>0</v>
      </c>
      <c r="AI1741" s="182" t="n">
        <v>0</v>
      </c>
      <c r="AJ1741" s="182" t="n">
        <v>0</v>
      </c>
      <c r="AK1741" s="182" t="n">
        <v>3.43</v>
      </c>
      <c r="AL1741" s="182" t="n">
        <v>0</v>
      </c>
      <c r="AM1741" s="182" t="n">
        <v>0.08</v>
      </c>
      <c r="AN1741" s="182" t="n">
        <v>0</v>
      </c>
    </row>
    <row r="1742">
      <c r="A1742" s="155" t="n">
        <v>46089</v>
      </c>
      <c r="B1742" s="156" t="inlineStr">
        <is>
          <t>NS</t>
        </is>
      </c>
      <c r="C1742" s="156" t="inlineStr">
        <is>
          <t>DT-529</t>
        </is>
      </c>
      <c r="D1742" s="156" t="inlineStr">
        <is>
          <t>SKT 105S</t>
        </is>
      </c>
      <c r="E1742" s="156" t="inlineStr">
        <is>
          <t>Hauler</t>
        </is>
      </c>
      <c r="F1742" s="156" t="inlineStr"/>
      <c r="G1742" s="182" t="n">
        <v>0</v>
      </c>
      <c r="H1742" s="182" t="n">
        <v>0</v>
      </c>
      <c r="I1742" s="182" t="n">
        <v>12</v>
      </c>
      <c r="J1742" s="182" t="n">
        <v>12</v>
      </c>
      <c r="K1742" s="182" t="n">
        <v>0</v>
      </c>
      <c r="L1742" s="182" t="n">
        <v>12</v>
      </c>
      <c r="M1742" s="182" t="n">
        <v>0</v>
      </c>
      <c r="N1742" s="182" t="n">
        <v>0</v>
      </c>
      <c r="O1742" s="183" t="n">
        <v>0</v>
      </c>
      <c r="P1742" s="183" t="n">
        <v>0</v>
      </c>
      <c r="Q1742" s="184" t="n">
        <v>0</v>
      </c>
      <c r="R1742" s="184" t="n">
        <v>0</v>
      </c>
      <c r="S1742" s="183" t="n">
        <v>0</v>
      </c>
      <c r="T1742" s="183" t="n">
        <v>0</v>
      </c>
      <c r="U1742" s="182" t="n">
        <v>0</v>
      </c>
      <c r="V1742" s="182" t="n">
        <v>0</v>
      </c>
      <c r="W1742" s="182" t="n">
        <v>0</v>
      </c>
      <c r="X1742" s="182" t="n">
        <v>0</v>
      </c>
      <c r="Y1742" s="182" t="n">
        <v>0</v>
      </c>
      <c r="Z1742" s="182" t="n">
        <v>0</v>
      </c>
      <c r="AA1742" s="182" t="n">
        <v>0</v>
      </c>
      <c r="AB1742" s="182" t="n">
        <v>0</v>
      </c>
      <c r="AC1742" s="182" t="n">
        <v>0</v>
      </c>
      <c r="AD1742" s="182" t="n">
        <v>0</v>
      </c>
      <c r="AE1742" s="182" t="n">
        <v>0</v>
      </c>
      <c r="AF1742" s="182" t="n">
        <v>0</v>
      </c>
      <c r="AG1742" s="182" t="n">
        <v>0</v>
      </c>
      <c r="AH1742" s="182" t="n">
        <v>0</v>
      </c>
      <c r="AI1742" s="182" t="n">
        <v>0</v>
      </c>
      <c r="AJ1742" s="182" t="n">
        <v>0</v>
      </c>
      <c r="AK1742" s="182" t="n">
        <v>0</v>
      </c>
      <c r="AL1742" s="182" t="n">
        <v>0</v>
      </c>
      <c r="AM1742" s="182" t="n">
        <v>0</v>
      </c>
      <c r="AN1742" s="182" t="n">
        <v>0</v>
      </c>
    </row>
    <row r="1743">
      <c r="A1743" s="155" t="n">
        <v>46089</v>
      </c>
      <c r="B1743" s="156" t="inlineStr">
        <is>
          <t>NS</t>
        </is>
      </c>
      <c r="C1743" s="156" t="inlineStr">
        <is>
          <t>DT-520</t>
        </is>
      </c>
      <c r="D1743" s="156" t="inlineStr">
        <is>
          <t>SKT 105S</t>
        </is>
      </c>
      <c r="E1743" s="156" t="inlineStr">
        <is>
          <t>Hauler</t>
        </is>
      </c>
      <c r="F1743" s="156" t="inlineStr">
        <is>
          <t>Hauling OB</t>
        </is>
      </c>
      <c r="G1743" s="182" t="n">
        <v>5.93</v>
      </c>
      <c r="H1743" s="182" t="n">
        <v>0</v>
      </c>
      <c r="I1743" s="182" t="n">
        <v>0</v>
      </c>
      <c r="J1743" s="182" t="n">
        <v>0</v>
      </c>
      <c r="K1743" s="182" t="n">
        <v>6.07</v>
      </c>
      <c r="L1743" s="182" t="n">
        <v>12</v>
      </c>
      <c r="M1743" s="182" t="n">
        <v>5.93</v>
      </c>
      <c r="N1743" s="182" t="n">
        <v>0</v>
      </c>
      <c r="O1743" s="183" t="n">
        <v>16</v>
      </c>
      <c r="P1743" s="183" t="n">
        <v>0</v>
      </c>
      <c r="Q1743" s="184" t="n">
        <v>326.4</v>
      </c>
      <c r="R1743" s="184" t="n">
        <v>0</v>
      </c>
      <c r="S1743" s="183" t="n">
        <v>0</v>
      </c>
      <c r="T1743" s="183" t="n">
        <v>0</v>
      </c>
      <c r="U1743" s="182" t="n">
        <v>0.75</v>
      </c>
      <c r="V1743" s="182" t="n">
        <v>0.65</v>
      </c>
      <c r="W1743" s="182" t="n">
        <v>0</v>
      </c>
      <c r="X1743" s="182" t="n">
        <v>1.05</v>
      </c>
      <c r="Y1743" s="182" t="n">
        <v>0</v>
      </c>
      <c r="Z1743" s="182" t="n">
        <v>0</v>
      </c>
      <c r="AA1743" s="182" t="n">
        <v>0</v>
      </c>
      <c r="AB1743" s="182" t="n">
        <v>0</v>
      </c>
      <c r="AC1743" s="182" t="n">
        <v>0</v>
      </c>
      <c r="AD1743" s="182" t="n">
        <v>0</v>
      </c>
      <c r="AE1743" s="182" t="n">
        <v>0</v>
      </c>
      <c r="AF1743" s="182" t="n">
        <v>0</v>
      </c>
      <c r="AG1743" s="182" t="n">
        <v>0</v>
      </c>
      <c r="AH1743" s="182" t="n">
        <v>0</v>
      </c>
      <c r="AI1743" s="182" t="n">
        <v>0</v>
      </c>
      <c r="AJ1743" s="182" t="n">
        <v>0</v>
      </c>
      <c r="AK1743" s="182" t="n">
        <v>3.54</v>
      </c>
      <c r="AL1743" s="182" t="n">
        <v>0</v>
      </c>
      <c r="AM1743" s="182" t="n">
        <v>0.08</v>
      </c>
      <c r="AN1743" s="182" t="n">
        <v>0</v>
      </c>
    </row>
    <row r="1744">
      <c r="A1744" s="155" t="n">
        <v>46089</v>
      </c>
      <c r="B1744" s="156" t="inlineStr">
        <is>
          <t>NS</t>
        </is>
      </c>
      <c r="C1744" s="156" t="inlineStr">
        <is>
          <t>DT-511</t>
        </is>
      </c>
      <c r="D1744" s="156" t="inlineStr">
        <is>
          <t>SKT 105S</t>
        </is>
      </c>
      <c r="E1744" s="156" t="inlineStr">
        <is>
          <t>Hauler</t>
        </is>
      </c>
      <c r="F1744" s="156" t="inlineStr">
        <is>
          <t>Hauling OB &amp; Coal</t>
        </is>
      </c>
      <c r="G1744" s="182" t="n">
        <v>8.85</v>
      </c>
      <c r="H1744" s="182" t="n">
        <v>0</v>
      </c>
      <c r="I1744" s="182" t="n">
        <v>0</v>
      </c>
      <c r="J1744" s="182" t="n">
        <v>0</v>
      </c>
      <c r="K1744" s="182" t="n">
        <v>3.15</v>
      </c>
      <c r="L1744" s="182" t="n">
        <v>12</v>
      </c>
      <c r="M1744" s="182" t="n">
        <v>8.43</v>
      </c>
      <c r="N1744" s="182" t="n">
        <v>0.42</v>
      </c>
      <c r="O1744" s="183" t="n">
        <v>28</v>
      </c>
      <c r="P1744" s="183" t="n">
        <v>1</v>
      </c>
      <c r="Q1744" s="184" t="n">
        <v>571.2</v>
      </c>
      <c r="R1744" s="184" t="n">
        <v>18.7</v>
      </c>
      <c r="S1744" s="183" t="n">
        <v>0</v>
      </c>
      <c r="T1744" s="183" t="n">
        <v>0</v>
      </c>
      <c r="U1744" s="182" t="n">
        <v>0.73</v>
      </c>
      <c r="V1744" s="182" t="n">
        <v>0.63</v>
      </c>
      <c r="W1744" s="182" t="n">
        <v>0</v>
      </c>
      <c r="X1744" s="182" t="n">
        <v>1.02</v>
      </c>
      <c r="Y1744" s="182" t="n">
        <v>0</v>
      </c>
      <c r="Z1744" s="182" t="n">
        <v>0</v>
      </c>
      <c r="AA1744" s="182" t="n">
        <v>0</v>
      </c>
      <c r="AB1744" s="182" t="n">
        <v>0</v>
      </c>
      <c r="AC1744" s="182" t="n">
        <v>0</v>
      </c>
      <c r="AD1744" s="182" t="n">
        <v>0</v>
      </c>
      <c r="AE1744" s="182" t="n">
        <v>0</v>
      </c>
      <c r="AF1744" s="182" t="n">
        <v>0</v>
      </c>
      <c r="AG1744" s="182" t="n">
        <v>0</v>
      </c>
      <c r="AH1744" s="182" t="n">
        <v>0.6899999999999999</v>
      </c>
      <c r="AI1744" s="182" t="n">
        <v>0</v>
      </c>
      <c r="AJ1744" s="182" t="n">
        <v>0</v>
      </c>
      <c r="AK1744" s="182" t="n">
        <v>0</v>
      </c>
      <c r="AL1744" s="182" t="n">
        <v>0</v>
      </c>
      <c r="AM1744" s="182" t="n">
        <v>0.08</v>
      </c>
      <c r="AN1744" s="182" t="n">
        <v>0</v>
      </c>
    </row>
    <row r="1745">
      <c r="A1745" s="155" t="n">
        <v>46089</v>
      </c>
      <c r="B1745" s="156" t="inlineStr">
        <is>
          <t>NS</t>
        </is>
      </c>
      <c r="C1745" s="156" t="inlineStr">
        <is>
          <t>DT-509</t>
        </is>
      </c>
      <c r="D1745" s="156" t="inlineStr">
        <is>
          <t>SKT 105S</t>
        </is>
      </c>
      <c r="E1745" s="156" t="inlineStr">
        <is>
          <t>Hauler</t>
        </is>
      </c>
      <c r="F1745" s="156" t="inlineStr">
        <is>
          <t>Hauling OB</t>
        </is>
      </c>
      <c r="G1745" s="182" t="n">
        <v>9.59</v>
      </c>
      <c r="H1745" s="182" t="n">
        <v>0</v>
      </c>
      <c r="I1745" s="182" t="n">
        <v>0</v>
      </c>
      <c r="J1745" s="182" t="n">
        <v>0</v>
      </c>
      <c r="K1745" s="182" t="n">
        <v>2.41</v>
      </c>
      <c r="L1745" s="182" t="n">
        <v>12</v>
      </c>
      <c r="M1745" s="182" t="n">
        <v>9.59</v>
      </c>
      <c r="N1745" s="182" t="n">
        <v>0</v>
      </c>
      <c r="O1745" s="183" t="n">
        <v>41</v>
      </c>
      <c r="P1745" s="183" t="n">
        <v>0</v>
      </c>
      <c r="Q1745" s="184" t="n">
        <v>836.4</v>
      </c>
      <c r="R1745" s="184" t="n">
        <v>0</v>
      </c>
      <c r="S1745" s="183" t="n">
        <v>0</v>
      </c>
      <c r="T1745" s="183" t="n">
        <v>0</v>
      </c>
      <c r="U1745" s="182" t="n">
        <v>0.67</v>
      </c>
      <c r="V1745" s="182" t="n">
        <v>0.57</v>
      </c>
      <c r="W1745" s="182" t="n">
        <v>0</v>
      </c>
      <c r="X1745" s="182" t="n">
        <v>0.93</v>
      </c>
      <c r="Y1745" s="182" t="n">
        <v>0</v>
      </c>
      <c r="Z1745" s="182" t="n">
        <v>0</v>
      </c>
      <c r="AA1745" s="182" t="n">
        <v>0</v>
      </c>
      <c r="AB1745" s="182" t="n">
        <v>0</v>
      </c>
      <c r="AC1745" s="182" t="n">
        <v>0</v>
      </c>
      <c r="AD1745" s="182" t="n">
        <v>0</v>
      </c>
      <c r="AE1745" s="182" t="n">
        <v>0</v>
      </c>
      <c r="AF1745" s="182" t="n">
        <v>0</v>
      </c>
      <c r="AG1745" s="182" t="n">
        <v>0</v>
      </c>
      <c r="AH1745" s="182" t="n">
        <v>0.17</v>
      </c>
      <c r="AI1745" s="182" t="n">
        <v>0</v>
      </c>
      <c r="AJ1745" s="182" t="n">
        <v>0</v>
      </c>
      <c r="AK1745" s="182" t="n">
        <v>0</v>
      </c>
      <c r="AL1745" s="182" t="n">
        <v>0</v>
      </c>
      <c r="AM1745" s="182" t="n">
        <v>0.07000000000000001</v>
      </c>
      <c r="AN1745" s="182" t="n">
        <v>0</v>
      </c>
    </row>
    <row r="1746">
      <c r="A1746" s="155" t="n">
        <v>46089</v>
      </c>
      <c r="B1746" s="156" t="inlineStr">
        <is>
          <t>NS</t>
        </is>
      </c>
      <c r="C1746" s="156" t="inlineStr">
        <is>
          <t>DT-526</t>
        </is>
      </c>
      <c r="D1746" s="156" t="inlineStr">
        <is>
          <t>SKT 105S</t>
        </is>
      </c>
      <c r="E1746" s="156" t="inlineStr">
        <is>
          <t>Hauler</t>
        </is>
      </c>
      <c r="F1746" s="156" t="inlineStr">
        <is>
          <t>Hauling OB</t>
        </is>
      </c>
      <c r="G1746" s="182" t="n">
        <v>3.43</v>
      </c>
      <c r="H1746" s="182" t="n">
        <v>0</v>
      </c>
      <c r="I1746" s="182" t="n">
        <v>0.35</v>
      </c>
      <c r="J1746" s="182" t="n">
        <v>0.35</v>
      </c>
      <c r="K1746" s="182" t="n">
        <v>8.220000000000001</v>
      </c>
      <c r="L1746" s="182" t="n">
        <v>12</v>
      </c>
      <c r="M1746" s="182" t="n">
        <v>3.43</v>
      </c>
      <c r="N1746" s="182" t="n">
        <v>0</v>
      </c>
      <c r="O1746" s="183" t="n">
        <v>8</v>
      </c>
      <c r="P1746" s="183" t="n">
        <v>0</v>
      </c>
      <c r="Q1746" s="184" t="n">
        <v>163.2</v>
      </c>
      <c r="R1746" s="184" t="n">
        <v>0</v>
      </c>
      <c r="S1746" s="183" t="n">
        <v>0</v>
      </c>
      <c r="T1746" s="183" t="n">
        <v>0</v>
      </c>
      <c r="U1746" s="182" t="n">
        <v>0.72</v>
      </c>
      <c r="V1746" s="182" t="n">
        <v>0.62</v>
      </c>
      <c r="W1746" s="182" t="n">
        <v>0</v>
      </c>
      <c r="X1746" s="182" t="n">
        <v>1</v>
      </c>
      <c r="Y1746" s="182" t="n">
        <v>0</v>
      </c>
      <c r="Z1746" s="182" t="n">
        <v>0</v>
      </c>
      <c r="AA1746" s="182" t="n">
        <v>0</v>
      </c>
      <c r="AB1746" s="182" t="n">
        <v>0</v>
      </c>
      <c r="AC1746" s="182" t="n">
        <v>0</v>
      </c>
      <c r="AD1746" s="182" t="n">
        <v>0</v>
      </c>
      <c r="AE1746" s="182" t="n">
        <v>0</v>
      </c>
      <c r="AF1746" s="182" t="n">
        <v>0</v>
      </c>
      <c r="AG1746" s="182" t="n">
        <v>0</v>
      </c>
      <c r="AH1746" s="182" t="n">
        <v>0</v>
      </c>
      <c r="AI1746" s="182" t="n">
        <v>5.81</v>
      </c>
      <c r="AJ1746" s="182" t="n">
        <v>0</v>
      </c>
      <c r="AK1746" s="182" t="n">
        <v>0</v>
      </c>
      <c r="AL1746" s="182" t="n">
        <v>0</v>
      </c>
      <c r="AM1746" s="182" t="n">
        <v>0.08</v>
      </c>
      <c r="AN1746" s="182" t="n">
        <v>0</v>
      </c>
    </row>
    <row r="1747">
      <c r="A1747" s="155" t="n">
        <v>46089</v>
      </c>
      <c r="B1747" s="156" t="inlineStr">
        <is>
          <t>NS</t>
        </is>
      </c>
      <c r="C1747" s="156" t="inlineStr">
        <is>
          <t>DT-508</t>
        </is>
      </c>
      <c r="D1747" s="156" t="inlineStr">
        <is>
          <t>SKT 105S</t>
        </is>
      </c>
      <c r="E1747" s="156" t="inlineStr">
        <is>
          <t>Hauler</t>
        </is>
      </c>
      <c r="F1747" s="156" t="inlineStr">
        <is>
          <t>Hauling OB</t>
        </is>
      </c>
      <c r="G1747" s="182" t="n">
        <v>9.630000000000001</v>
      </c>
      <c r="H1747" s="182" t="n">
        <v>0</v>
      </c>
      <c r="I1747" s="182" t="n">
        <v>0</v>
      </c>
      <c r="J1747" s="182" t="n">
        <v>0</v>
      </c>
      <c r="K1747" s="182" t="n">
        <v>2.37</v>
      </c>
      <c r="L1747" s="182" t="n">
        <v>12</v>
      </c>
      <c r="M1747" s="182" t="n">
        <v>9.630000000000001</v>
      </c>
      <c r="N1747" s="182" t="n">
        <v>0</v>
      </c>
      <c r="O1747" s="183" t="n">
        <v>27</v>
      </c>
      <c r="P1747" s="183" t="n">
        <v>0</v>
      </c>
      <c r="Q1747" s="184" t="n">
        <v>550.8</v>
      </c>
      <c r="R1747" s="184" t="n">
        <v>0</v>
      </c>
      <c r="S1747" s="183" t="n">
        <v>0</v>
      </c>
      <c r="T1747" s="183" t="n">
        <v>0</v>
      </c>
      <c r="U1747" s="182" t="n">
        <v>0.66</v>
      </c>
      <c r="V1747" s="182" t="n">
        <v>0.57</v>
      </c>
      <c r="W1747" s="182" t="n">
        <v>0</v>
      </c>
      <c r="X1747" s="182" t="n">
        <v>0.91</v>
      </c>
      <c r="Y1747" s="182" t="n">
        <v>0</v>
      </c>
      <c r="Z1747" s="182" t="n">
        <v>0</v>
      </c>
      <c r="AA1747" s="182" t="n">
        <v>0</v>
      </c>
      <c r="AB1747" s="182" t="n">
        <v>0</v>
      </c>
      <c r="AC1747" s="182" t="n">
        <v>0</v>
      </c>
      <c r="AD1747" s="182" t="n">
        <v>0</v>
      </c>
      <c r="AE1747" s="182" t="n">
        <v>0</v>
      </c>
      <c r="AF1747" s="182" t="n">
        <v>0</v>
      </c>
      <c r="AG1747" s="182" t="n">
        <v>0</v>
      </c>
      <c r="AH1747" s="182" t="n">
        <v>0.16</v>
      </c>
      <c r="AI1747" s="182" t="n">
        <v>0</v>
      </c>
      <c r="AJ1747" s="182" t="n">
        <v>0</v>
      </c>
      <c r="AK1747" s="182" t="n">
        <v>0</v>
      </c>
      <c r="AL1747" s="182" t="n">
        <v>0</v>
      </c>
      <c r="AM1747" s="182" t="n">
        <v>0.07000000000000001</v>
      </c>
      <c r="AN1747" s="182" t="n">
        <v>0</v>
      </c>
    </row>
    <row r="1748">
      <c r="A1748" s="155" t="n">
        <v>46089</v>
      </c>
      <c r="B1748" s="156" t="inlineStr">
        <is>
          <t>NS</t>
        </is>
      </c>
      <c r="C1748" s="156" t="inlineStr">
        <is>
          <t>DT-515</t>
        </is>
      </c>
      <c r="D1748" s="156" t="inlineStr">
        <is>
          <t>SKT 105S</t>
        </is>
      </c>
      <c r="E1748" s="156" t="inlineStr">
        <is>
          <t>Hauler</t>
        </is>
      </c>
      <c r="F1748" s="156" t="inlineStr">
        <is>
          <t>Hauling OB</t>
        </is>
      </c>
      <c r="G1748" s="182" t="n">
        <v>7.59</v>
      </c>
      <c r="H1748" s="182" t="n">
        <v>0</v>
      </c>
      <c r="I1748" s="182" t="n">
        <v>0</v>
      </c>
      <c r="J1748" s="182" t="n">
        <v>0</v>
      </c>
      <c r="K1748" s="182" t="n">
        <v>4.41</v>
      </c>
      <c r="L1748" s="182" t="n">
        <v>12</v>
      </c>
      <c r="M1748" s="182" t="n">
        <v>7.59</v>
      </c>
      <c r="N1748" s="182" t="n">
        <v>0</v>
      </c>
      <c r="O1748" s="183" t="n">
        <v>27</v>
      </c>
      <c r="P1748" s="183" t="n">
        <v>0</v>
      </c>
      <c r="Q1748" s="184" t="n">
        <v>550.8</v>
      </c>
      <c r="R1748" s="184" t="n">
        <v>0</v>
      </c>
      <c r="S1748" s="183" t="n">
        <v>0</v>
      </c>
      <c r="T1748" s="183" t="n">
        <v>0</v>
      </c>
      <c r="U1748" s="182" t="n">
        <v>0.71</v>
      </c>
      <c r="V1748" s="182" t="n">
        <v>0.61</v>
      </c>
      <c r="W1748" s="182" t="n">
        <v>0</v>
      </c>
      <c r="X1748" s="182" t="n">
        <v>0.98</v>
      </c>
      <c r="Y1748" s="182" t="n">
        <v>0</v>
      </c>
      <c r="Z1748" s="182" t="n">
        <v>0</v>
      </c>
      <c r="AA1748" s="182" t="n">
        <v>0</v>
      </c>
      <c r="AB1748" s="182" t="n">
        <v>0</v>
      </c>
      <c r="AC1748" s="182" t="n">
        <v>0</v>
      </c>
      <c r="AD1748" s="182" t="n">
        <v>0</v>
      </c>
      <c r="AE1748" s="182" t="n">
        <v>0</v>
      </c>
      <c r="AF1748" s="182" t="n">
        <v>0</v>
      </c>
      <c r="AG1748" s="182" t="n">
        <v>0</v>
      </c>
      <c r="AH1748" s="182" t="n">
        <v>0</v>
      </c>
      <c r="AI1748" s="182" t="n">
        <v>2.04</v>
      </c>
      <c r="AJ1748" s="182" t="n">
        <v>0</v>
      </c>
      <c r="AK1748" s="182" t="n">
        <v>0</v>
      </c>
      <c r="AL1748" s="182" t="n">
        <v>0</v>
      </c>
      <c r="AM1748" s="182" t="n">
        <v>0.08</v>
      </c>
      <c r="AN1748" s="182" t="n">
        <v>0</v>
      </c>
    </row>
    <row r="1749">
      <c r="A1749" s="155" t="n">
        <v>46089</v>
      </c>
      <c r="B1749" s="156" t="inlineStr">
        <is>
          <t>NS</t>
        </is>
      </c>
      <c r="C1749" s="156" t="inlineStr">
        <is>
          <t>DT-524</t>
        </is>
      </c>
      <c r="D1749" s="156" t="inlineStr">
        <is>
          <t>SKT 105S</t>
        </is>
      </c>
      <c r="E1749" s="156" t="inlineStr">
        <is>
          <t>Hauler</t>
        </is>
      </c>
      <c r="F1749" s="156" t="inlineStr">
        <is>
          <t>Hauling OB</t>
        </is>
      </c>
      <c r="G1749" s="182" t="n">
        <v>9.65</v>
      </c>
      <c r="H1749" s="182" t="n">
        <v>0</v>
      </c>
      <c r="I1749" s="182" t="n">
        <v>2.13</v>
      </c>
      <c r="J1749" s="182" t="n">
        <v>2.13</v>
      </c>
      <c r="K1749" s="182" t="n">
        <v>0.22</v>
      </c>
      <c r="L1749" s="182" t="n">
        <v>12</v>
      </c>
      <c r="M1749" s="182" t="n">
        <v>9.65</v>
      </c>
      <c r="N1749" s="182" t="n">
        <v>0</v>
      </c>
      <c r="O1749" s="183" t="n">
        <v>28</v>
      </c>
      <c r="P1749" s="183" t="n">
        <v>0</v>
      </c>
      <c r="Q1749" s="184" t="n">
        <v>571.2</v>
      </c>
      <c r="R1749" s="184" t="n">
        <v>0</v>
      </c>
      <c r="S1749" s="183" t="n">
        <v>0</v>
      </c>
      <c r="T1749" s="183" t="n">
        <v>0</v>
      </c>
      <c r="U1749" s="182" t="n">
        <v>0</v>
      </c>
      <c r="V1749" s="182" t="n">
        <v>0</v>
      </c>
      <c r="W1749" s="182" t="n">
        <v>0</v>
      </c>
      <c r="X1749" s="182" t="n">
        <v>0</v>
      </c>
      <c r="Y1749" s="182" t="n">
        <v>0</v>
      </c>
      <c r="Z1749" s="182" t="n">
        <v>0</v>
      </c>
      <c r="AA1749" s="182" t="n">
        <v>0</v>
      </c>
      <c r="AB1749" s="182" t="n">
        <v>0</v>
      </c>
      <c r="AC1749" s="182" t="n">
        <v>0</v>
      </c>
      <c r="AD1749" s="182" t="n">
        <v>0</v>
      </c>
      <c r="AE1749" s="182" t="n">
        <v>0</v>
      </c>
      <c r="AF1749" s="182" t="n">
        <v>0</v>
      </c>
      <c r="AG1749" s="182" t="n">
        <v>0</v>
      </c>
      <c r="AH1749" s="182" t="n">
        <v>0.15</v>
      </c>
      <c r="AI1749" s="182" t="n">
        <v>0</v>
      </c>
      <c r="AJ1749" s="182" t="n">
        <v>0</v>
      </c>
      <c r="AK1749" s="182" t="n">
        <v>0</v>
      </c>
      <c r="AL1749" s="182" t="n">
        <v>0</v>
      </c>
      <c r="AM1749" s="182" t="n">
        <v>0.07000000000000001</v>
      </c>
      <c r="AN1749" s="182" t="n">
        <v>0</v>
      </c>
    </row>
    <row r="1750">
      <c r="A1750" s="155" t="n">
        <v>46089</v>
      </c>
      <c r="B1750" s="156" t="inlineStr">
        <is>
          <t>NS</t>
        </is>
      </c>
      <c r="C1750" s="156" t="inlineStr">
        <is>
          <t>DT-341</t>
        </is>
      </c>
      <c r="D1750" s="156" t="inlineStr">
        <is>
          <t>SYZ324C-8W</t>
        </is>
      </c>
      <c r="E1750" s="156" t="inlineStr">
        <is>
          <t>Hauler</t>
        </is>
      </c>
      <c r="F1750" s="156" t="inlineStr">
        <is>
          <t>Rehandling Material di Washing Plant</t>
        </is>
      </c>
      <c r="G1750" s="182" t="n">
        <v>5.16</v>
      </c>
      <c r="H1750" s="182" t="n">
        <v>0</v>
      </c>
      <c r="I1750" s="182" t="n">
        <v>0</v>
      </c>
      <c r="J1750" s="182" t="n">
        <v>0</v>
      </c>
      <c r="K1750" s="182" t="n">
        <v>6.84</v>
      </c>
      <c r="L1750" s="182" t="n">
        <v>12</v>
      </c>
      <c r="M1750" s="182" t="n">
        <v>0</v>
      </c>
      <c r="N1750" s="182" t="n">
        <v>0</v>
      </c>
      <c r="O1750" s="183" t="n">
        <v>0</v>
      </c>
      <c r="P1750" s="183" t="n">
        <v>0</v>
      </c>
      <c r="Q1750" s="184" t="n">
        <v>0</v>
      </c>
      <c r="R1750" s="184" t="n">
        <v>0</v>
      </c>
      <c r="S1750" s="183" t="n">
        <v>0</v>
      </c>
      <c r="T1750" s="183" t="n">
        <v>0</v>
      </c>
      <c r="U1750" s="182" t="n">
        <v>0</v>
      </c>
      <c r="V1750" s="182" t="n">
        <v>0</v>
      </c>
      <c r="W1750" s="182" t="n">
        <v>0</v>
      </c>
      <c r="X1750" s="182" t="n">
        <v>0.99</v>
      </c>
      <c r="Y1750" s="182" t="n">
        <v>0</v>
      </c>
      <c r="Z1750" s="182" t="n">
        <v>0</v>
      </c>
      <c r="AA1750" s="182" t="n">
        <v>0</v>
      </c>
      <c r="AB1750" s="182" t="n">
        <v>0</v>
      </c>
      <c r="AC1750" s="182" t="n">
        <v>0</v>
      </c>
      <c r="AD1750" s="182" t="n">
        <v>0</v>
      </c>
      <c r="AE1750" s="182" t="n">
        <v>0</v>
      </c>
      <c r="AF1750" s="182" t="n">
        <v>0</v>
      </c>
      <c r="AG1750" s="182" t="n">
        <v>0</v>
      </c>
      <c r="AH1750" s="182" t="n">
        <v>0</v>
      </c>
      <c r="AI1750" s="182" t="n">
        <v>0</v>
      </c>
      <c r="AJ1750" s="182" t="n">
        <v>0</v>
      </c>
      <c r="AK1750" s="182" t="n">
        <v>5.77</v>
      </c>
      <c r="AL1750" s="182" t="n">
        <v>0</v>
      </c>
      <c r="AM1750" s="182" t="n">
        <v>0.08</v>
      </c>
      <c r="AN1750" s="182" t="n">
        <v>0</v>
      </c>
    </row>
    <row r="1751">
      <c r="A1751" s="155" t="n">
        <v>46089</v>
      </c>
      <c r="B1751" s="156" t="inlineStr">
        <is>
          <t>NS</t>
        </is>
      </c>
      <c r="C1751" s="156" t="inlineStr">
        <is>
          <t>DT-342</t>
        </is>
      </c>
      <c r="D1751" s="156" t="inlineStr">
        <is>
          <t>SYZ324C-8W</t>
        </is>
      </c>
      <c r="E1751" s="156" t="inlineStr">
        <is>
          <t>Hauler</t>
        </is>
      </c>
      <c r="F1751" s="156" t="inlineStr">
        <is>
          <t>Rehandling Material di Washing Plant</t>
        </is>
      </c>
      <c r="G1751" s="182" t="n">
        <v>4.57</v>
      </c>
      <c r="H1751" s="182" t="n">
        <v>0</v>
      </c>
      <c r="I1751" s="182" t="n">
        <v>0</v>
      </c>
      <c r="J1751" s="182" t="n">
        <v>0</v>
      </c>
      <c r="K1751" s="182" t="n">
        <v>7.43</v>
      </c>
      <c r="L1751" s="182" t="n">
        <v>12</v>
      </c>
      <c r="M1751" s="182" t="n">
        <v>0</v>
      </c>
      <c r="N1751" s="182" t="n">
        <v>0</v>
      </c>
      <c r="O1751" s="183" t="n">
        <v>0</v>
      </c>
      <c r="P1751" s="183" t="n">
        <v>0</v>
      </c>
      <c r="Q1751" s="184" t="n">
        <v>0</v>
      </c>
      <c r="R1751" s="184" t="n">
        <v>0</v>
      </c>
      <c r="S1751" s="183" t="n">
        <v>0</v>
      </c>
      <c r="T1751" s="183" t="n">
        <v>0</v>
      </c>
      <c r="U1751" s="182" t="n">
        <v>0</v>
      </c>
      <c r="V1751" s="182" t="n">
        <v>0</v>
      </c>
      <c r="W1751" s="182" t="n">
        <v>0</v>
      </c>
      <c r="X1751" s="182" t="n">
        <v>1</v>
      </c>
      <c r="Y1751" s="182" t="n">
        <v>0</v>
      </c>
      <c r="Z1751" s="182" t="n">
        <v>0</v>
      </c>
      <c r="AA1751" s="182" t="n">
        <v>0</v>
      </c>
      <c r="AB1751" s="182" t="n">
        <v>0</v>
      </c>
      <c r="AC1751" s="182" t="n">
        <v>0</v>
      </c>
      <c r="AD1751" s="182" t="n">
        <v>0</v>
      </c>
      <c r="AE1751" s="182" t="n">
        <v>0</v>
      </c>
      <c r="AF1751" s="182" t="n">
        <v>0</v>
      </c>
      <c r="AG1751" s="182" t="n">
        <v>0</v>
      </c>
      <c r="AH1751" s="182" t="n">
        <v>0</v>
      </c>
      <c r="AI1751" s="182" t="n">
        <v>0</v>
      </c>
      <c r="AJ1751" s="182" t="n">
        <v>0</v>
      </c>
      <c r="AK1751" s="182" t="n">
        <v>6.35</v>
      </c>
      <c r="AL1751" s="182" t="n">
        <v>0</v>
      </c>
      <c r="AM1751" s="182" t="n">
        <v>0.08</v>
      </c>
      <c r="AN1751" s="182" t="n">
        <v>0</v>
      </c>
    </row>
    <row r="1752">
      <c r="A1752" s="155" t="n">
        <v>46089</v>
      </c>
      <c r="B1752" s="156" t="inlineStr">
        <is>
          <t>NS</t>
        </is>
      </c>
      <c r="C1752" s="156" t="inlineStr">
        <is>
          <t>HD-903</t>
        </is>
      </c>
      <c r="D1752" s="156" t="inlineStr">
        <is>
          <t>SRT 95C</t>
        </is>
      </c>
      <c r="E1752" s="156" t="inlineStr">
        <is>
          <t>Hauler</t>
        </is>
      </c>
      <c r="F1752" s="156" t="inlineStr"/>
      <c r="G1752" s="182" t="n">
        <v>0</v>
      </c>
      <c r="H1752" s="182" t="n">
        <v>0</v>
      </c>
      <c r="I1752" s="182" t="n">
        <v>12</v>
      </c>
      <c r="J1752" s="182" t="n">
        <v>12</v>
      </c>
      <c r="K1752" s="182" t="n">
        <v>0</v>
      </c>
      <c r="L1752" s="182" t="n">
        <v>12</v>
      </c>
      <c r="M1752" s="182" t="n">
        <v>0</v>
      </c>
      <c r="N1752" s="182" t="n">
        <v>0</v>
      </c>
      <c r="O1752" s="183" t="n">
        <v>0</v>
      </c>
      <c r="P1752" s="183" t="n">
        <v>0</v>
      </c>
      <c r="Q1752" s="184" t="n">
        <v>0</v>
      </c>
      <c r="R1752" s="184" t="n">
        <v>0</v>
      </c>
      <c r="S1752" s="183" t="n">
        <v>0</v>
      </c>
      <c r="T1752" s="183" t="n">
        <v>0</v>
      </c>
      <c r="U1752" s="182" t="n">
        <v>0</v>
      </c>
      <c r="V1752" s="182" t="n">
        <v>0</v>
      </c>
      <c r="W1752" s="182" t="n">
        <v>0</v>
      </c>
      <c r="X1752" s="182" t="n">
        <v>0</v>
      </c>
      <c r="Y1752" s="182" t="n">
        <v>0</v>
      </c>
      <c r="Z1752" s="182" t="n">
        <v>0</v>
      </c>
      <c r="AA1752" s="182" t="n">
        <v>0</v>
      </c>
      <c r="AB1752" s="182" t="n">
        <v>0</v>
      </c>
      <c r="AC1752" s="182" t="n">
        <v>0</v>
      </c>
      <c r="AD1752" s="182" t="n">
        <v>0</v>
      </c>
      <c r="AE1752" s="182" t="n">
        <v>0</v>
      </c>
      <c r="AF1752" s="182" t="n">
        <v>0</v>
      </c>
      <c r="AG1752" s="182" t="n">
        <v>0</v>
      </c>
      <c r="AH1752" s="182" t="n">
        <v>0</v>
      </c>
      <c r="AI1752" s="182" t="n">
        <v>0</v>
      </c>
      <c r="AJ1752" s="182" t="n">
        <v>0</v>
      </c>
      <c r="AK1752" s="182" t="n">
        <v>0</v>
      </c>
      <c r="AL1752" s="182" t="n">
        <v>0</v>
      </c>
      <c r="AM1752" s="182" t="n">
        <v>0</v>
      </c>
      <c r="AN1752" s="182" t="n">
        <v>0</v>
      </c>
    </row>
    <row r="1753">
      <c r="A1753" s="155" t="n">
        <v>46089</v>
      </c>
      <c r="B1753" s="156" t="inlineStr">
        <is>
          <t>NS</t>
        </is>
      </c>
      <c r="C1753" s="156" t="inlineStr">
        <is>
          <t>HD-905</t>
        </is>
      </c>
      <c r="D1753" s="156" t="inlineStr">
        <is>
          <t>SRT 95C</t>
        </is>
      </c>
      <c r="E1753" s="156" t="inlineStr">
        <is>
          <t>Hauler</t>
        </is>
      </c>
      <c r="F1753" s="156" t="inlineStr">
        <is>
          <t>Hauling OB</t>
        </is>
      </c>
      <c r="G1753" s="182" t="n">
        <v>10.3</v>
      </c>
      <c r="H1753" s="182" t="n">
        <v>0</v>
      </c>
      <c r="I1753" s="182" t="n">
        <v>0</v>
      </c>
      <c r="J1753" s="182" t="n">
        <v>0</v>
      </c>
      <c r="K1753" s="182" t="n">
        <v>1.7</v>
      </c>
      <c r="L1753" s="182" t="n">
        <v>12</v>
      </c>
      <c r="M1753" s="182" t="n">
        <v>10.3</v>
      </c>
      <c r="N1753" s="182" t="n">
        <v>0</v>
      </c>
      <c r="O1753" s="183" t="n">
        <v>38</v>
      </c>
      <c r="P1753" s="183" t="n">
        <v>0</v>
      </c>
      <c r="Q1753" s="184" t="n">
        <v>1356.6</v>
      </c>
      <c r="R1753" s="184" t="n">
        <v>0</v>
      </c>
      <c r="S1753" s="183" t="n">
        <v>0</v>
      </c>
      <c r="T1753" s="183" t="n">
        <v>0</v>
      </c>
      <c r="U1753" s="182" t="n">
        <v>0.5600000000000001</v>
      </c>
      <c r="V1753" s="182" t="n">
        <v>0.31</v>
      </c>
      <c r="W1753" s="182" t="n">
        <v>0</v>
      </c>
      <c r="X1753" s="182" t="n">
        <v>0.77</v>
      </c>
      <c r="Y1753" s="182" t="n">
        <v>0</v>
      </c>
      <c r="Z1753" s="182" t="n">
        <v>0</v>
      </c>
      <c r="AA1753" s="182" t="n">
        <v>0</v>
      </c>
      <c r="AB1753" s="182" t="n">
        <v>0</v>
      </c>
      <c r="AC1753" s="182" t="n">
        <v>0</v>
      </c>
      <c r="AD1753" s="182" t="n">
        <v>0</v>
      </c>
      <c r="AE1753" s="182" t="n">
        <v>0</v>
      </c>
      <c r="AF1753" s="182" t="n">
        <v>0</v>
      </c>
      <c r="AG1753" s="182" t="n">
        <v>0</v>
      </c>
      <c r="AH1753" s="182" t="n">
        <v>0</v>
      </c>
      <c r="AI1753" s="182" t="n">
        <v>0</v>
      </c>
      <c r="AJ1753" s="182" t="n">
        <v>0</v>
      </c>
      <c r="AK1753" s="182" t="n">
        <v>0</v>
      </c>
      <c r="AL1753" s="182" t="n">
        <v>0</v>
      </c>
      <c r="AM1753" s="182" t="n">
        <v>0.06</v>
      </c>
      <c r="AN1753" s="182" t="n">
        <v>0</v>
      </c>
    </row>
    <row r="1754">
      <c r="A1754" s="155" t="n">
        <v>46089</v>
      </c>
      <c r="B1754" s="156" t="inlineStr">
        <is>
          <t>NS</t>
        </is>
      </c>
      <c r="C1754" s="156" t="inlineStr">
        <is>
          <t>HD-901</t>
        </is>
      </c>
      <c r="D1754" s="156" t="inlineStr">
        <is>
          <t>SRT 95C</t>
        </is>
      </c>
      <c r="E1754" s="156" t="inlineStr">
        <is>
          <t>Hauler</t>
        </is>
      </c>
      <c r="F1754" s="156" t="inlineStr">
        <is>
          <t>Hauling OB</t>
        </is>
      </c>
      <c r="G1754" s="182" t="n">
        <v>9.640000000000001</v>
      </c>
      <c r="H1754" s="182" t="n">
        <v>0</v>
      </c>
      <c r="I1754" s="182" t="n">
        <v>0</v>
      </c>
      <c r="J1754" s="182" t="n">
        <v>0</v>
      </c>
      <c r="K1754" s="182" t="n">
        <v>2.36</v>
      </c>
      <c r="L1754" s="182" t="n">
        <v>12</v>
      </c>
      <c r="M1754" s="182" t="n">
        <v>9.640000000000001</v>
      </c>
      <c r="N1754" s="182" t="n">
        <v>0</v>
      </c>
      <c r="O1754" s="183" t="n">
        <v>43</v>
      </c>
      <c r="P1754" s="183" t="n">
        <v>0</v>
      </c>
      <c r="Q1754" s="184" t="n">
        <v>1535.1</v>
      </c>
      <c r="R1754" s="184" t="n">
        <v>0</v>
      </c>
      <c r="S1754" s="183" t="n">
        <v>0</v>
      </c>
      <c r="T1754" s="183" t="n">
        <v>0</v>
      </c>
      <c r="U1754" s="182" t="n">
        <v>0.74</v>
      </c>
      <c r="V1754" s="182" t="n">
        <v>0.51</v>
      </c>
      <c r="W1754" s="182" t="n">
        <v>0</v>
      </c>
      <c r="X1754" s="182" t="n">
        <v>1.03</v>
      </c>
      <c r="Y1754" s="182" t="n">
        <v>0</v>
      </c>
      <c r="Z1754" s="182" t="n">
        <v>0</v>
      </c>
      <c r="AA1754" s="182" t="n">
        <v>0</v>
      </c>
      <c r="AB1754" s="182" t="n">
        <v>0</v>
      </c>
      <c r="AC1754" s="182" t="n">
        <v>0</v>
      </c>
      <c r="AD1754" s="182" t="n">
        <v>0</v>
      </c>
      <c r="AE1754" s="182" t="n">
        <v>0</v>
      </c>
      <c r="AF1754" s="182" t="n">
        <v>0</v>
      </c>
      <c r="AG1754" s="182" t="n">
        <v>0</v>
      </c>
      <c r="AH1754" s="182" t="n">
        <v>0</v>
      </c>
      <c r="AI1754" s="182" t="n">
        <v>0</v>
      </c>
      <c r="AJ1754" s="182" t="n">
        <v>0</v>
      </c>
      <c r="AK1754" s="182" t="n">
        <v>0</v>
      </c>
      <c r="AL1754" s="182" t="n">
        <v>0</v>
      </c>
      <c r="AM1754" s="182" t="n">
        <v>0.08</v>
      </c>
      <c r="AN1754" s="182" t="n">
        <v>0</v>
      </c>
    </row>
    <row r="1755">
      <c r="A1755" s="155" t="n">
        <v>46089</v>
      </c>
      <c r="B1755" s="156" t="inlineStr">
        <is>
          <t>NS</t>
        </is>
      </c>
      <c r="C1755" s="156" t="inlineStr">
        <is>
          <t>HD-904</t>
        </is>
      </c>
      <c r="D1755" s="156" t="inlineStr">
        <is>
          <t>SRT 95C</t>
        </is>
      </c>
      <c r="E1755" s="156" t="inlineStr">
        <is>
          <t>Hauler</t>
        </is>
      </c>
      <c r="F1755" s="156" t="inlineStr">
        <is>
          <t>Hauling OB</t>
        </is>
      </c>
      <c r="G1755" s="182" t="n">
        <v>9.300000000000001</v>
      </c>
      <c r="H1755" s="182" t="n">
        <v>0</v>
      </c>
      <c r="I1755" s="182" t="n">
        <v>0</v>
      </c>
      <c r="J1755" s="182" t="n">
        <v>0</v>
      </c>
      <c r="K1755" s="182" t="n">
        <v>2.7</v>
      </c>
      <c r="L1755" s="182" t="n">
        <v>12</v>
      </c>
      <c r="M1755" s="182" t="n">
        <v>9.300000000000001</v>
      </c>
      <c r="N1755" s="182" t="n">
        <v>0</v>
      </c>
      <c r="O1755" s="183" t="n">
        <v>43</v>
      </c>
      <c r="P1755" s="183" t="n">
        <v>0</v>
      </c>
      <c r="Q1755" s="184" t="n">
        <v>1535.1</v>
      </c>
      <c r="R1755" s="184" t="n">
        <v>0</v>
      </c>
      <c r="S1755" s="183" t="n">
        <v>0</v>
      </c>
      <c r="T1755" s="183" t="n">
        <v>0</v>
      </c>
      <c r="U1755" s="182" t="n">
        <v>0.85</v>
      </c>
      <c r="V1755" s="182" t="n">
        <v>0.59</v>
      </c>
      <c r="W1755" s="182" t="n">
        <v>0</v>
      </c>
      <c r="X1755" s="182" t="n">
        <v>1.17</v>
      </c>
      <c r="Y1755" s="182" t="n">
        <v>0</v>
      </c>
      <c r="Z1755" s="182" t="n">
        <v>0</v>
      </c>
      <c r="AA1755" s="182" t="n">
        <v>0</v>
      </c>
      <c r="AB1755" s="182" t="n">
        <v>0</v>
      </c>
      <c r="AC1755" s="182" t="n">
        <v>0</v>
      </c>
      <c r="AD1755" s="182" t="n">
        <v>0</v>
      </c>
      <c r="AE1755" s="182" t="n">
        <v>0</v>
      </c>
      <c r="AF1755" s="182" t="n">
        <v>0</v>
      </c>
      <c r="AG1755" s="182" t="n">
        <v>0</v>
      </c>
      <c r="AH1755" s="182" t="n">
        <v>0</v>
      </c>
      <c r="AI1755" s="182" t="n">
        <v>0</v>
      </c>
      <c r="AJ1755" s="182" t="n">
        <v>0</v>
      </c>
      <c r="AK1755" s="182" t="n">
        <v>0</v>
      </c>
      <c r="AL1755" s="182" t="n">
        <v>0</v>
      </c>
      <c r="AM1755" s="182" t="n">
        <v>0.09</v>
      </c>
      <c r="AN1755" s="182" t="n">
        <v>0</v>
      </c>
    </row>
    <row r="1756">
      <c r="A1756" s="155" t="n">
        <v>46089</v>
      </c>
      <c r="B1756" s="156" t="inlineStr">
        <is>
          <t>NS</t>
        </is>
      </c>
      <c r="C1756" s="156" t="inlineStr">
        <is>
          <t>HD-902</t>
        </is>
      </c>
      <c r="D1756" s="156" t="inlineStr">
        <is>
          <t>SRT 95C</t>
        </is>
      </c>
      <c r="E1756" s="156" t="inlineStr">
        <is>
          <t>Hauler</t>
        </is>
      </c>
      <c r="F1756" s="156" t="inlineStr"/>
      <c r="G1756" s="182" t="n">
        <v>0</v>
      </c>
      <c r="H1756" s="182" t="n">
        <v>12</v>
      </c>
      <c r="I1756" s="182" t="n">
        <v>0</v>
      </c>
      <c r="J1756" s="182" t="n">
        <v>12</v>
      </c>
      <c r="K1756" s="182" t="n">
        <v>0</v>
      </c>
      <c r="L1756" s="182" t="n">
        <v>12</v>
      </c>
      <c r="M1756" s="182" t="n">
        <v>0</v>
      </c>
      <c r="N1756" s="182" t="n">
        <v>0</v>
      </c>
      <c r="O1756" s="183" t="n">
        <v>0</v>
      </c>
      <c r="P1756" s="183" t="n">
        <v>0</v>
      </c>
      <c r="Q1756" s="184" t="n">
        <v>0</v>
      </c>
      <c r="R1756" s="184" t="n">
        <v>0</v>
      </c>
      <c r="S1756" s="183" t="n">
        <v>0</v>
      </c>
      <c r="T1756" s="183" t="n">
        <v>0</v>
      </c>
      <c r="U1756" s="182" t="n">
        <v>0</v>
      </c>
      <c r="V1756" s="182" t="n">
        <v>0</v>
      </c>
      <c r="W1756" s="182" t="n">
        <v>0</v>
      </c>
      <c r="X1756" s="182" t="n">
        <v>0</v>
      </c>
      <c r="Y1756" s="182" t="n">
        <v>0</v>
      </c>
      <c r="Z1756" s="182" t="n">
        <v>0</v>
      </c>
      <c r="AA1756" s="182" t="n">
        <v>0</v>
      </c>
      <c r="AB1756" s="182" t="n">
        <v>0</v>
      </c>
      <c r="AC1756" s="182" t="n">
        <v>0</v>
      </c>
      <c r="AD1756" s="182" t="n">
        <v>0</v>
      </c>
      <c r="AE1756" s="182" t="n">
        <v>0</v>
      </c>
      <c r="AF1756" s="182" t="n">
        <v>0</v>
      </c>
      <c r="AG1756" s="182" t="n">
        <v>0</v>
      </c>
      <c r="AH1756" s="182" t="n">
        <v>0</v>
      </c>
      <c r="AI1756" s="182" t="n">
        <v>0</v>
      </c>
      <c r="AJ1756" s="182" t="n">
        <v>0</v>
      </c>
      <c r="AK1756" s="182" t="n">
        <v>0</v>
      </c>
      <c r="AL1756" s="182" t="n">
        <v>0</v>
      </c>
      <c r="AM1756" s="182" t="n">
        <v>0</v>
      </c>
      <c r="AN1756" s="182" t="n">
        <v>0</v>
      </c>
    </row>
    <row r="1757">
      <c r="A1757" s="155" t="n">
        <v>46089</v>
      </c>
      <c r="B1757" s="156" t="inlineStr">
        <is>
          <t>NS</t>
        </is>
      </c>
      <c r="C1757" s="156" t="inlineStr">
        <is>
          <t>WL-025</t>
        </is>
      </c>
      <c r="D1757" s="156" t="inlineStr">
        <is>
          <t>SANY - Loader</t>
        </is>
      </c>
      <c r="E1757" s="156" t="inlineStr">
        <is>
          <t>Loader</t>
        </is>
      </c>
      <c r="F1757" s="156" t="inlineStr"/>
      <c r="G1757" s="182" t="n">
        <v>0</v>
      </c>
      <c r="H1757" s="182" t="n">
        <v>0</v>
      </c>
      <c r="I1757" s="182" t="n">
        <v>0</v>
      </c>
      <c r="J1757" s="182" t="n">
        <v>0</v>
      </c>
      <c r="K1757" s="182" t="n">
        <v>12</v>
      </c>
      <c r="L1757" s="182" t="n">
        <v>12</v>
      </c>
      <c r="M1757" s="182" t="n">
        <v>0</v>
      </c>
      <c r="N1757" s="182" t="n">
        <v>0</v>
      </c>
      <c r="O1757" s="183" t="n">
        <v>0</v>
      </c>
      <c r="P1757" s="183" t="n">
        <v>0</v>
      </c>
      <c r="Q1757" s="184" t="n">
        <v>0</v>
      </c>
      <c r="R1757" s="184" t="n">
        <v>0</v>
      </c>
      <c r="S1757" s="183" t="n">
        <v>0</v>
      </c>
      <c r="T1757" s="183" t="n">
        <v>0</v>
      </c>
      <c r="U1757" s="182" t="n">
        <v>0</v>
      </c>
      <c r="V1757" s="182" t="n">
        <v>0</v>
      </c>
      <c r="W1757" s="182" t="n">
        <v>0</v>
      </c>
      <c r="X1757" s="182" t="n">
        <v>1</v>
      </c>
      <c r="Y1757" s="182" t="n">
        <v>0</v>
      </c>
      <c r="Z1757" s="182" t="n">
        <v>0</v>
      </c>
      <c r="AA1757" s="182" t="n">
        <v>0</v>
      </c>
      <c r="AB1757" s="182" t="n">
        <v>0</v>
      </c>
      <c r="AC1757" s="182" t="n">
        <v>0</v>
      </c>
      <c r="AD1757" s="182" t="n">
        <v>0</v>
      </c>
      <c r="AE1757" s="182" t="n">
        <v>0</v>
      </c>
      <c r="AF1757" s="182" t="n">
        <v>0</v>
      </c>
      <c r="AG1757" s="182" t="n">
        <v>0</v>
      </c>
      <c r="AH1757" s="182" t="n">
        <v>0</v>
      </c>
      <c r="AI1757" s="182" t="n">
        <v>0</v>
      </c>
      <c r="AJ1757" s="182" t="n">
        <v>0</v>
      </c>
      <c r="AK1757" s="182" t="n">
        <v>10.92</v>
      </c>
      <c r="AL1757" s="182" t="n">
        <v>0</v>
      </c>
      <c r="AM1757" s="182" t="n">
        <v>0.08</v>
      </c>
      <c r="AN1757" s="182" t="n">
        <v>0</v>
      </c>
    </row>
    <row r="1758">
      <c r="A1758" s="155" t="n">
        <v>46089</v>
      </c>
      <c r="B1758" s="156" t="inlineStr">
        <is>
          <t>NS</t>
        </is>
      </c>
      <c r="C1758" s="156" t="inlineStr">
        <is>
          <t>WL-023</t>
        </is>
      </c>
      <c r="D1758" s="156" t="inlineStr">
        <is>
          <t>SANY - Loader</t>
        </is>
      </c>
      <c r="E1758" s="156" t="inlineStr">
        <is>
          <t>Loader</t>
        </is>
      </c>
      <c r="F1758" s="156" t="inlineStr"/>
      <c r="G1758" s="182" t="n">
        <v>0</v>
      </c>
      <c r="H1758" s="182" t="n">
        <v>0</v>
      </c>
      <c r="I1758" s="182" t="n">
        <v>0</v>
      </c>
      <c r="J1758" s="182" t="n">
        <v>0</v>
      </c>
      <c r="K1758" s="182" t="n">
        <v>12</v>
      </c>
      <c r="L1758" s="182" t="n">
        <v>12</v>
      </c>
      <c r="M1758" s="182" t="n">
        <v>0</v>
      </c>
      <c r="N1758" s="182" t="n">
        <v>0</v>
      </c>
      <c r="O1758" s="183" t="n">
        <v>0</v>
      </c>
      <c r="P1758" s="183" t="n">
        <v>0</v>
      </c>
      <c r="Q1758" s="184" t="n">
        <v>0</v>
      </c>
      <c r="R1758" s="184" t="n">
        <v>0</v>
      </c>
      <c r="S1758" s="183" t="n">
        <v>0</v>
      </c>
      <c r="T1758" s="183" t="n">
        <v>0</v>
      </c>
      <c r="U1758" s="182" t="n">
        <v>0</v>
      </c>
      <c r="V1758" s="182" t="n">
        <v>0</v>
      </c>
      <c r="W1758" s="182" t="n">
        <v>0</v>
      </c>
      <c r="X1758" s="182" t="n">
        <v>1</v>
      </c>
      <c r="Y1758" s="182" t="n">
        <v>0</v>
      </c>
      <c r="Z1758" s="182" t="n">
        <v>0</v>
      </c>
      <c r="AA1758" s="182" t="n">
        <v>0</v>
      </c>
      <c r="AB1758" s="182" t="n">
        <v>0</v>
      </c>
      <c r="AC1758" s="182" t="n">
        <v>0</v>
      </c>
      <c r="AD1758" s="182" t="n">
        <v>0</v>
      </c>
      <c r="AE1758" s="182" t="n">
        <v>0</v>
      </c>
      <c r="AF1758" s="182" t="n">
        <v>0</v>
      </c>
      <c r="AG1758" s="182" t="n">
        <v>0</v>
      </c>
      <c r="AH1758" s="182" t="n">
        <v>0</v>
      </c>
      <c r="AI1758" s="182" t="n">
        <v>0</v>
      </c>
      <c r="AJ1758" s="182" t="n">
        <v>0</v>
      </c>
      <c r="AK1758" s="182" t="n">
        <v>10.92</v>
      </c>
      <c r="AL1758" s="182" t="n">
        <v>0</v>
      </c>
      <c r="AM1758" s="182" t="n">
        <v>0.08</v>
      </c>
      <c r="AN1758" s="182" t="n">
        <v>0</v>
      </c>
    </row>
    <row r="1759">
      <c r="A1759" s="155" t="n">
        <v>46089</v>
      </c>
      <c r="B1759" s="156" t="inlineStr">
        <is>
          <t>NS</t>
        </is>
      </c>
      <c r="C1759" s="156" t="inlineStr">
        <is>
          <t>WL-021</t>
        </is>
      </c>
      <c r="D1759" s="156" t="inlineStr">
        <is>
          <t>SANY - Loader</t>
        </is>
      </c>
      <c r="E1759" s="156" t="inlineStr">
        <is>
          <t>Loader</t>
        </is>
      </c>
      <c r="F1759" s="156" t="inlineStr"/>
      <c r="G1759" s="182" t="n">
        <v>0</v>
      </c>
      <c r="H1759" s="182" t="n">
        <v>0</v>
      </c>
      <c r="I1759" s="182" t="n">
        <v>12</v>
      </c>
      <c r="J1759" s="182" t="n">
        <v>12</v>
      </c>
      <c r="K1759" s="182" t="n">
        <v>0</v>
      </c>
      <c r="L1759" s="182" t="n">
        <v>12</v>
      </c>
      <c r="M1759" s="182" t="n">
        <v>0</v>
      </c>
      <c r="N1759" s="182" t="n">
        <v>0</v>
      </c>
      <c r="O1759" s="183" t="n">
        <v>0</v>
      </c>
      <c r="P1759" s="183" t="n">
        <v>0</v>
      </c>
      <c r="Q1759" s="184" t="n">
        <v>0</v>
      </c>
      <c r="R1759" s="184" t="n">
        <v>0</v>
      </c>
      <c r="S1759" s="183" t="n">
        <v>0</v>
      </c>
      <c r="T1759" s="183" t="n">
        <v>0</v>
      </c>
      <c r="U1759" s="182" t="n">
        <v>0</v>
      </c>
      <c r="V1759" s="182" t="n">
        <v>0</v>
      </c>
      <c r="W1759" s="182" t="n">
        <v>0</v>
      </c>
      <c r="X1759" s="182" t="n">
        <v>0</v>
      </c>
      <c r="Y1759" s="182" t="n">
        <v>0</v>
      </c>
      <c r="Z1759" s="182" t="n">
        <v>0</v>
      </c>
      <c r="AA1759" s="182" t="n">
        <v>0</v>
      </c>
      <c r="AB1759" s="182" t="n">
        <v>0</v>
      </c>
      <c r="AC1759" s="182" t="n">
        <v>0</v>
      </c>
      <c r="AD1759" s="182" t="n">
        <v>0</v>
      </c>
      <c r="AE1759" s="182" t="n">
        <v>0</v>
      </c>
      <c r="AF1759" s="182" t="n">
        <v>0</v>
      </c>
      <c r="AG1759" s="182" t="n">
        <v>0</v>
      </c>
      <c r="AH1759" s="182" t="n">
        <v>0</v>
      </c>
      <c r="AI1759" s="182" t="n">
        <v>0</v>
      </c>
      <c r="AJ1759" s="182" t="n">
        <v>0</v>
      </c>
      <c r="AK1759" s="182" t="n">
        <v>0</v>
      </c>
      <c r="AL1759" s="182" t="n">
        <v>0</v>
      </c>
      <c r="AM1759" s="182" t="n">
        <v>0</v>
      </c>
      <c r="AN1759" s="182" t="n">
        <v>0</v>
      </c>
    </row>
    <row r="1760">
      <c r="A1760" s="155" t="n">
        <v>46089</v>
      </c>
      <c r="B1760" s="156" t="inlineStr">
        <is>
          <t>NS</t>
        </is>
      </c>
      <c r="C1760" s="156" t="inlineStr">
        <is>
          <t>WL-022</t>
        </is>
      </c>
      <c r="D1760" s="156" t="inlineStr">
        <is>
          <t>SANY - Loader</t>
        </is>
      </c>
      <c r="E1760" s="156" t="inlineStr">
        <is>
          <t>Loader</t>
        </is>
      </c>
      <c r="F1760" s="156" t="inlineStr">
        <is>
          <t>Support Washing Plant</t>
        </is>
      </c>
      <c r="G1760" s="182" t="n">
        <v>10.36</v>
      </c>
      <c r="H1760" s="182" t="n">
        <v>0</v>
      </c>
      <c r="I1760" s="182" t="n">
        <v>0</v>
      </c>
      <c r="J1760" s="182" t="n">
        <v>0</v>
      </c>
      <c r="K1760" s="182" t="n">
        <v>1.64</v>
      </c>
      <c r="L1760" s="182" t="n">
        <v>12</v>
      </c>
      <c r="M1760" s="182" t="n">
        <v>0</v>
      </c>
      <c r="N1760" s="182" t="n">
        <v>0</v>
      </c>
      <c r="O1760" s="183" t="n">
        <v>0</v>
      </c>
      <c r="P1760" s="183" t="n">
        <v>0</v>
      </c>
      <c r="Q1760" s="184" t="n">
        <v>0</v>
      </c>
      <c r="R1760" s="184" t="n">
        <v>0</v>
      </c>
      <c r="S1760" s="183" t="n">
        <v>0</v>
      </c>
      <c r="T1760" s="183" t="n">
        <v>0</v>
      </c>
      <c r="U1760" s="182" t="n">
        <v>0.53</v>
      </c>
      <c r="V1760" s="182" t="n">
        <v>0</v>
      </c>
      <c r="W1760" s="182" t="n">
        <v>0</v>
      </c>
      <c r="X1760" s="182" t="n">
        <v>1.02</v>
      </c>
      <c r="Y1760" s="182" t="n">
        <v>0</v>
      </c>
      <c r="Z1760" s="182" t="n">
        <v>0</v>
      </c>
      <c r="AA1760" s="182" t="n">
        <v>0</v>
      </c>
      <c r="AB1760" s="182" t="n">
        <v>0</v>
      </c>
      <c r="AC1760" s="182" t="n">
        <v>0</v>
      </c>
      <c r="AD1760" s="182" t="n">
        <v>0</v>
      </c>
      <c r="AE1760" s="182" t="n">
        <v>0</v>
      </c>
      <c r="AF1760" s="182" t="n">
        <v>0</v>
      </c>
      <c r="AG1760" s="182" t="n">
        <v>0</v>
      </c>
      <c r="AH1760" s="182" t="n">
        <v>0</v>
      </c>
      <c r="AI1760" s="182" t="n">
        <v>0</v>
      </c>
      <c r="AJ1760" s="182" t="n">
        <v>0</v>
      </c>
      <c r="AK1760" s="182" t="n">
        <v>0</v>
      </c>
      <c r="AL1760" s="182" t="n">
        <v>0</v>
      </c>
      <c r="AM1760" s="182" t="n">
        <v>0.08</v>
      </c>
      <c r="AN1760" s="182" t="n">
        <v>0</v>
      </c>
    </row>
    <row r="1761">
      <c r="A1761" s="155" t="n">
        <v>46089</v>
      </c>
      <c r="B1761" s="156" t="inlineStr">
        <is>
          <t>NS</t>
        </is>
      </c>
      <c r="C1761" s="156" t="inlineStr">
        <is>
          <t>WL-024</t>
        </is>
      </c>
      <c r="D1761" s="156" t="inlineStr">
        <is>
          <t>SANY - Loader</t>
        </is>
      </c>
      <c r="E1761" s="156" t="inlineStr">
        <is>
          <t>Loader</t>
        </is>
      </c>
      <c r="F1761" s="156" t="inlineStr">
        <is>
          <t>Support Washing Plant</t>
        </is>
      </c>
      <c r="G1761" s="182" t="n">
        <v>10.85</v>
      </c>
      <c r="H1761" s="182" t="n">
        <v>0</v>
      </c>
      <c r="I1761" s="182" t="n">
        <v>0</v>
      </c>
      <c r="J1761" s="182" t="n">
        <v>0</v>
      </c>
      <c r="K1761" s="182" t="n">
        <v>1.15</v>
      </c>
      <c r="L1761" s="182" t="n">
        <v>12</v>
      </c>
      <c r="M1761" s="182" t="n">
        <v>0</v>
      </c>
      <c r="N1761" s="182" t="n">
        <v>0</v>
      </c>
      <c r="O1761" s="183" t="n">
        <v>0</v>
      </c>
      <c r="P1761" s="183" t="n">
        <v>0</v>
      </c>
      <c r="Q1761" s="184" t="n">
        <v>0</v>
      </c>
      <c r="R1761" s="184" t="n">
        <v>0</v>
      </c>
      <c r="S1761" s="183" t="n">
        <v>0</v>
      </c>
      <c r="T1761" s="183" t="n">
        <v>0</v>
      </c>
      <c r="U1761" s="182" t="n">
        <v>0.19</v>
      </c>
      <c r="V1761" s="182" t="n">
        <v>0</v>
      </c>
      <c r="W1761" s="182" t="n">
        <v>0</v>
      </c>
      <c r="X1761" s="182" t="n">
        <v>0.88</v>
      </c>
      <c r="Y1761" s="182" t="n">
        <v>0</v>
      </c>
      <c r="Z1761" s="182" t="n">
        <v>0</v>
      </c>
      <c r="AA1761" s="182" t="n">
        <v>0</v>
      </c>
      <c r="AB1761" s="182" t="n">
        <v>0</v>
      </c>
      <c r="AC1761" s="182" t="n">
        <v>0</v>
      </c>
      <c r="AD1761" s="182" t="n">
        <v>0</v>
      </c>
      <c r="AE1761" s="182" t="n">
        <v>0</v>
      </c>
      <c r="AF1761" s="182" t="n">
        <v>0</v>
      </c>
      <c r="AG1761" s="182" t="n">
        <v>0</v>
      </c>
      <c r="AH1761" s="182" t="n">
        <v>0</v>
      </c>
      <c r="AI1761" s="182" t="n">
        <v>0</v>
      </c>
      <c r="AJ1761" s="182" t="n">
        <v>0</v>
      </c>
      <c r="AK1761" s="182" t="n">
        <v>0</v>
      </c>
      <c r="AL1761" s="182" t="n">
        <v>0</v>
      </c>
      <c r="AM1761" s="182" t="n">
        <v>0.07000000000000001</v>
      </c>
      <c r="AN1761" s="182" t="n">
        <v>0</v>
      </c>
    </row>
    <row r="1762">
      <c r="A1762" s="155" t="n">
        <v>46090</v>
      </c>
      <c r="B1762" s="156" t="inlineStr">
        <is>
          <t>DS</t>
        </is>
      </c>
      <c r="C1762" s="156" t="inlineStr">
        <is>
          <t>DZ-034</t>
        </is>
      </c>
      <c r="D1762" s="156" t="inlineStr">
        <is>
          <t>D 68ESS-12EO</t>
        </is>
      </c>
      <c r="E1762" s="156" t="inlineStr">
        <is>
          <t>Bulldozer</t>
        </is>
      </c>
      <c r="F1762" s="156" t="inlineStr">
        <is>
          <t>Dozing Stock ROM Dirty</t>
        </is>
      </c>
      <c r="G1762" s="182" t="n">
        <v>9.619999999999999</v>
      </c>
      <c r="H1762" s="182" t="n">
        <v>0</v>
      </c>
      <c r="I1762" s="182" t="n">
        <v>0</v>
      </c>
      <c r="J1762" s="182" t="n">
        <v>0</v>
      </c>
      <c r="K1762" s="182" t="n">
        <v>2.38</v>
      </c>
      <c r="L1762" s="182" t="n">
        <v>12</v>
      </c>
      <c r="M1762" s="182" t="n">
        <v>0</v>
      </c>
      <c r="N1762" s="182" t="n">
        <v>0</v>
      </c>
      <c r="O1762" s="183" t="n">
        <v>0</v>
      </c>
      <c r="P1762" s="183" t="n">
        <v>0</v>
      </c>
      <c r="Q1762" s="184" t="n">
        <v>0</v>
      </c>
      <c r="R1762" s="184" t="n">
        <v>0</v>
      </c>
      <c r="S1762" s="183" t="n">
        <v>0</v>
      </c>
      <c r="T1762" s="183" t="n">
        <v>0</v>
      </c>
      <c r="U1762" s="182" t="n">
        <v>0</v>
      </c>
      <c r="V1762" s="182" t="n">
        <v>0</v>
      </c>
      <c r="W1762" s="182" t="n">
        <v>0</v>
      </c>
      <c r="X1762" s="182" t="n">
        <v>0.88</v>
      </c>
      <c r="Y1762" s="182" t="n">
        <v>0</v>
      </c>
      <c r="Z1762" s="182" t="n">
        <v>0</v>
      </c>
      <c r="AA1762" s="182" t="n">
        <v>0</v>
      </c>
      <c r="AB1762" s="182" t="n">
        <v>0</v>
      </c>
      <c r="AC1762" s="182" t="n">
        <v>0</v>
      </c>
      <c r="AD1762" s="182" t="n">
        <v>0</v>
      </c>
      <c r="AE1762" s="182" t="n">
        <v>0</v>
      </c>
      <c r="AF1762" s="182" t="n">
        <v>0</v>
      </c>
      <c r="AG1762" s="182" t="n">
        <v>0</v>
      </c>
      <c r="AH1762" s="182" t="n">
        <v>0</v>
      </c>
      <c r="AI1762" s="182" t="n">
        <v>0</v>
      </c>
      <c r="AJ1762" s="182" t="n">
        <v>0</v>
      </c>
      <c r="AK1762" s="182" t="n">
        <v>1.43</v>
      </c>
      <c r="AL1762" s="182" t="n">
        <v>0</v>
      </c>
      <c r="AM1762" s="182" t="n">
        <v>0.07000000000000001</v>
      </c>
      <c r="AN1762" s="182" t="n">
        <v>0</v>
      </c>
    </row>
    <row r="1763">
      <c r="A1763" s="155" t="n">
        <v>46090</v>
      </c>
      <c r="B1763" s="156" t="inlineStr">
        <is>
          <t>DS</t>
        </is>
      </c>
      <c r="C1763" s="156" t="inlineStr">
        <is>
          <t>DZ-033</t>
        </is>
      </c>
      <c r="D1763" s="156" t="inlineStr">
        <is>
          <t>D 375A-6R</t>
        </is>
      </c>
      <c r="E1763" s="156" t="inlineStr">
        <is>
          <t>Bulldozer</t>
        </is>
      </c>
      <c r="F1763" s="156" t="inlineStr">
        <is>
          <t>Support Disposal</t>
        </is>
      </c>
      <c r="G1763" s="182" t="n">
        <v>7.9</v>
      </c>
      <c r="H1763" s="182" t="n">
        <v>0</v>
      </c>
      <c r="I1763" s="182" t="n">
        <v>3.92</v>
      </c>
      <c r="J1763" s="182" t="n">
        <v>3.92</v>
      </c>
      <c r="K1763" s="182" t="n">
        <v>0.18</v>
      </c>
      <c r="L1763" s="182" t="n">
        <v>12</v>
      </c>
      <c r="M1763" s="182" t="n">
        <v>0</v>
      </c>
      <c r="N1763" s="182" t="n">
        <v>0</v>
      </c>
      <c r="O1763" s="183" t="n">
        <v>0</v>
      </c>
      <c r="P1763" s="183" t="n">
        <v>0</v>
      </c>
      <c r="Q1763" s="184" t="n">
        <v>0</v>
      </c>
      <c r="R1763" s="184" t="n">
        <v>0</v>
      </c>
      <c r="S1763" s="183" t="n">
        <v>0</v>
      </c>
      <c r="T1763" s="183" t="n">
        <v>0</v>
      </c>
      <c r="U1763" s="182" t="n">
        <v>0</v>
      </c>
      <c r="V1763" s="182" t="n">
        <v>0</v>
      </c>
      <c r="W1763" s="182" t="n">
        <v>0</v>
      </c>
      <c r="X1763" s="182" t="n">
        <v>0</v>
      </c>
      <c r="Y1763" s="182" t="n">
        <v>0</v>
      </c>
      <c r="Z1763" s="182" t="n">
        <v>0</v>
      </c>
      <c r="AA1763" s="182" t="n">
        <v>0</v>
      </c>
      <c r="AB1763" s="182" t="n">
        <v>0</v>
      </c>
      <c r="AC1763" s="182" t="n">
        <v>0</v>
      </c>
      <c r="AD1763" s="182" t="n">
        <v>0</v>
      </c>
      <c r="AE1763" s="182" t="n">
        <v>0</v>
      </c>
      <c r="AF1763" s="182" t="n">
        <v>0</v>
      </c>
      <c r="AG1763" s="182" t="n">
        <v>0</v>
      </c>
      <c r="AH1763" s="182" t="n">
        <v>0</v>
      </c>
      <c r="AI1763" s="182" t="n">
        <v>0</v>
      </c>
      <c r="AJ1763" s="182" t="n">
        <v>0</v>
      </c>
      <c r="AK1763" s="182" t="n">
        <v>0</v>
      </c>
      <c r="AL1763" s="182" t="n">
        <v>0</v>
      </c>
      <c r="AM1763" s="182" t="n">
        <v>0.18</v>
      </c>
      <c r="AN1763" s="182" t="n">
        <v>0</v>
      </c>
    </row>
    <row r="1764">
      <c r="A1764" s="155" t="n">
        <v>46090</v>
      </c>
      <c r="B1764" s="156" t="inlineStr">
        <is>
          <t>DS</t>
        </is>
      </c>
      <c r="C1764" s="156" t="inlineStr">
        <is>
          <t>DZ-038</t>
        </is>
      </c>
      <c r="D1764" s="156" t="inlineStr">
        <is>
          <t>D 85 ESS-2</t>
        </is>
      </c>
      <c r="E1764" s="156" t="inlineStr">
        <is>
          <t>Bulldozer</t>
        </is>
      </c>
      <c r="F1764" s="156" t="inlineStr"/>
      <c r="G1764" s="182" t="n">
        <v>0</v>
      </c>
      <c r="H1764" s="182" t="n">
        <v>0</v>
      </c>
      <c r="I1764" s="182" t="n">
        <v>12</v>
      </c>
      <c r="J1764" s="182" t="n">
        <v>12</v>
      </c>
      <c r="K1764" s="182" t="n">
        <v>0</v>
      </c>
      <c r="L1764" s="182" t="n">
        <v>12</v>
      </c>
      <c r="M1764" s="182" t="n">
        <v>0</v>
      </c>
      <c r="N1764" s="182" t="n">
        <v>0</v>
      </c>
      <c r="O1764" s="183" t="n">
        <v>0</v>
      </c>
      <c r="P1764" s="183" t="n">
        <v>0</v>
      </c>
      <c r="Q1764" s="184" t="n">
        <v>0</v>
      </c>
      <c r="R1764" s="184" t="n">
        <v>0</v>
      </c>
      <c r="S1764" s="183" t="n">
        <v>0</v>
      </c>
      <c r="T1764" s="183" t="n">
        <v>0</v>
      </c>
      <c r="U1764" s="182" t="n">
        <v>0</v>
      </c>
      <c r="V1764" s="182" t="n">
        <v>0</v>
      </c>
      <c r="W1764" s="182" t="n">
        <v>0</v>
      </c>
      <c r="X1764" s="182" t="n">
        <v>0</v>
      </c>
      <c r="Y1764" s="182" t="n">
        <v>0</v>
      </c>
      <c r="Z1764" s="182" t="n">
        <v>0</v>
      </c>
      <c r="AA1764" s="182" t="n">
        <v>0</v>
      </c>
      <c r="AB1764" s="182" t="n">
        <v>0</v>
      </c>
      <c r="AC1764" s="182" t="n">
        <v>0</v>
      </c>
      <c r="AD1764" s="182" t="n">
        <v>0</v>
      </c>
      <c r="AE1764" s="182" t="n">
        <v>0</v>
      </c>
      <c r="AF1764" s="182" t="n">
        <v>0</v>
      </c>
      <c r="AG1764" s="182" t="n">
        <v>0</v>
      </c>
      <c r="AH1764" s="182" t="n">
        <v>0</v>
      </c>
      <c r="AI1764" s="182" t="n">
        <v>0</v>
      </c>
      <c r="AJ1764" s="182" t="n">
        <v>0</v>
      </c>
      <c r="AK1764" s="182" t="n">
        <v>0</v>
      </c>
      <c r="AL1764" s="182" t="n">
        <v>0</v>
      </c>
      <c r="AM1764" s="182" t="n">
        <v>0</v>
      </c>
      <c r="AN1764" s="182" t="n">
        <v>0</v>
      </c>
    </row>
    <row r="1765">
      <c r="A1765" s="155" t="n">
        <v>46090</v>
      </c>
      <c r="B1765" s="156" t="inlineStr">
        <is>
          <t>DS</t>
        </is>
      </c>
      <c r="C1765" s="156" t="inlineStr">
        <is>
          <t>DZ-039</t>
        </is>
      </c>
      <c r="D1765" s="156" t="inlineStr">
        <is>
          <t>D 85 ESS-2</t>
        </is>
      </c>
      <c r="E1765" s="156" t="inlineStr">
        <is>
          <t>Bulldozer</t>
        </is>
      </c>
      <c r="F1765" s="156" t="inlineStr">
        <is>
          <t>Support Front Loading</t>
        </is>
      </c>
      <c r="G1765" s="182" t="n">
        <v>1.56</v>
      </c>
      <c r="H1765" s="182" t="n">
        <v>0</v>
      </c>
      <c r="I1765" s="182" t="n">
        <v>10.12</v>
      </c>
      <c r="J1765" s="182" t="n">
        <v>10.12</v>
      </c>
      <c r="K1765" s="182" t="n">
        <v>0.32</v>
      </c>
      <c r="L1765" s="182" t="n">
        <v>12</v>
      </c>
      <c r="M1765" s="182" t="n">
        <v>0</v>
      </c>
      <c r="N1765" s="182" t="n">
        <v>0</v>
      </c>
      <c r="O1765" s="183" t="n">
        <v>0</v>
      </c>
      <c r="P1765" s="183" t="n">
        <v>0</v>
      </c>
      <c r="Q1765" s="184" t="n">
        <v>0</v>
      </c>
      <c r="R1765" s="184" t="n">
        <v>0</v>
      </c>
      <c r="S1765" s="183" t="n">
        <v>0</v>
      </c>
      <c r="T1765" s="183" t="n">
        <v>0</v>
      </c>
      <c r="U1765" s="182" t="n">
        <v>0</v>
      </c>
      <c r="V1765" s="182" t="n">
        <v>0</v>
      </c>
      <c r="W1765" s="182" t="n">
        <v>0</v>
      </c>
      <c r="X1765" s="182" t="n">
        <v>0</v>
      </c>
      <c r="Y1765" s="182" t="n">
        <v>0</v>
      </c>
      <c r="Z1765" s="182" t="n">
        <v>0</v>
      </c>
      <c r="AA1765" s="182" t="n">
        <v>0</v>
      </c>
      <c r="AB1765" s="182" t="n">
        <v>0</v>
      </c>
      <c r="AC1765" s="182" t="n">
        <v>0</v>
      </c>
      <c r="AD1765" s="182" t="n">
        <v>0</v>
      </c>
      <c r="AE1765" s="182" t="n">
        <v>0</v>
      </c>
      <c r="AF1765" s="182" t="n">
        <v>0</v>
      </c>
      <c r="AG1765" s="182" t="n">
        <v>0</v>
      </c>
      <c r="AH1765" s="182" t="n">
        <v>0</v>
      </c>
      <c r="AI1765" s="182" t="n">
        <v>0</v>
      </c>
      <c r="AJ1765" s="182" t="n">
        <v>0</v>
      </c>
      <c r="AK1765" s="182" t="n">
        <v>0</v>
      </c>
      <c r="AL1765" s="182" t="n">
        <v>0</v>
      </c>
      <c r="AM1765" s="182" t="n">
        <v>0.32</v>
      </c>
      <c r="AN1765" s="182" t="n">
        <v>0</v>
      </c>
    </row>
    <row r="1766">
      <c r="A1766" s="155" t="n">
        <v>46090</v>
      </c>
      <c r="B1766" s="156" t="inlineStr">
        <is>
          <t>DS</t>
        </is>
      </c>
      <c r="C1766" s="156" t="inlineStr">
        <is>
          <t>DZ-032</t>
        </is>
      </c>
      <c r="D1766" s="156" t="inlineStr">
        <is>
          <t>CAT</t>
        </is>
      </c>
      <c r="E1766" s="156" t="inlineStr">
        <is>
          <t>Bulldozer</t>
        </is>
      </c>
      <c r="F1766" s="156" t="inlineStr">
        <is>
          <t>Groundtest Support Front</t>
        </is>
      </c>
      <c r="G1766" s="182" t="n">
        <v>10.12</v>
      </c>
      <c r="H1766" s="182" t="n">
        <v>0</v>
      </c>
      <c r="I1766" s="182" t="n">
        <v>1.8</v>
      </c>
      <c r="J1766" s="182" t="n">
        <v>1.8</v>
      </c>
      <c r="K1766" s="182" t="n">
        <v>0.08</v>
      </c>
      <c r="L1766" s="182" t="n">
        <v>12</v>
      </c>
      <c r="M1766" s="182" t="n">
        <v>0</v>
      </c>
      <c r="N1766" s="182" t="n">
        <v>0</v>
      </c>
      <c r="O1766" s="183" t="n">
        <v>0</v>
      </c>
      <c r="P1766" s="183" t="n">
        <v>0</v>
      </c>
      <c r="Q1766" s="184" t="n">
        <v>0</v>
      </c>
      <c r="R1766" s="184" t="n">
        <v>0</v>
      </c>
      <c r="S1766" s="183" t="n">
        <v>0</v>
      </c>
      <c r="T1766" s="183" t="n">
        <v>0</v>
      </c>
      <c r="U1766" s="182" t="n">
        <v>0</v>
      </c>
      <c r="V1766" s="182" t="n">
        <v>0</v>
      </c>
      <c r="W1766" s="182" t="n">
        <v>0</v>
      </c>
      <c r="X1766" s="182" t="n">
        <v>0</v>
      </c>
      <c r="Y1766" s="182" t="n">
        <v>0</v>
      </c>
      <c r="Z1766" s="182" t="n">
        <v>0</v>
      </c>
      <c r="AA1766" s="182" t="n">
        <v>0</v>
      </c>
      <c r="AB1766" s="182" t="n">
        <v>0</v>
      </c>
      <c r="AC1766" s="182" t="n">
        <v>0</v>
      </c>
      <c r="AD1766" s="182" t="n">
        <v>0</v>
      </c>
      <c r="AE1766" s="182" t="n">
        <v>0</v>
      </c>
      <c r="AF1766" s="182" t="n">
        <v>0</v>
      </c>
      <c r="AG1766" s="182" t="n">
        <v>0</v>
      </c>
      <c r="AH1766" s="182" t="n">
        <v>0</v>
      </c>
      <c r="AI1766" s="182" t="n">
        <v>0</v>
      </c>
      <c r="AJ1766" s="182" t="n">
        <v>0</v>
      </c>
      <c r="AK1766" s="182" t="n">
        <v>0</v>
      </c>
      <c r="AL1766" s="182" t="n">
        <v>0</v>
      </c>
      <c r="AM1766" s="182" t="n">
        <v>0</v>
      </c>
      <c r="AN1766" s="182" t="n">
        <v>0</v>
      </c>
    </row>
    <row r="1767">
      <c r="A1767" s="155" t="n">
        <v>46090</v>
      </c>
      <c r="B1767" s="156" t="inlineStr">
        <is>
          <t>DS</t>
        </is>
      </c>
      <c r="C1767" s="156" t="inlineStr">
        <is>
          <t>DZ-031</t>
        </is>
      </c>
      <c r="D1767" s="156" t="inlineStr">
        <is>
          <t>CAT</t>
        </is>
      </c>
      <c r="E1767" s="156" t="inlineStr">
        <is>
          <t>Bulldozer</t>
        </is>
      </c>
      <c r="F1767" s="156" t="inlineStr">
        <is>
          <t>Support Front Loading</t>
        </is>
      </c>
      <c r="G1767" s="182" t="n">
        <v>2.51</v>
      </c>
      <c r="H1767" s="182" t="n">
        <v>0</v>
      </c>
      <c r="I1767" s="182" t="n">
        <v>9.32</v>
      </c>
      <c r="J1767" s="182" t="n">
        <v>9.32</v>
      </c>
      <c r="K1767" s="182" t="n">
        <v>0.17</v>
      </c>
      <c r="L1767" s="182" t="n">
        <v>12</v>
      </c>
      <c r="M1767" s="182" t="n">
        <v>0</v>
      </c>
      <c r="N1767" s="182" t="n">
        <v>0</v>
      </c>
      <c r="O1767" s="183" t="n">
        <v>0</v>
      </c>
      <c r="P1767" s="183" t="n">
        <v>0</v>
      </c>
      <c r="Q1767" s="184" t="n">
        <v>0</v>
      </c>
      <c r="R1767" s="184" t="n">
        <v>0</v>
      </c>
      <c r="S1767" s="183" t="n">
        <v>0</v>
      </c>
      <c r="T1767" s="183" t="n">
        <v>0</v>
      </c>
      <c r="U1767" s="182" t="n">
        <v>0</v>
      </c>
      <c r="V1767" s="182" t="n">
        <v>0</v>
      </c>
      <c r="W1767" s="182" t="n">
        <v>0</v>
      </c>
      <c r="X1767" s="182" t="n">
        <v>0</v>
      </c>
      <c r="Y1767" s="182" t="n">
        <v>0</v>
      </c>
      <c r="Z1767" s="182" t="n">
        <v>0</v>
      </c>
      <c r="AA1767" s="182" t="n">
        <v>0</v>
      </c>
      <c r="AB1767" s="182" t="n">
        <v>0</v>
      </c>
      <c r="AC1767" s="182" t="n">
        <v>0</v>
      </c>
      <c r="AD1767" s="182" t="n">
        <v>0</v>
      </c>
      <c r="AE1767" s="182" t="n">
        <v>0</v>
      </c>
      <c r="AF1767" s="182" t="n">
        <v>0</v>
      </c>
      <c r="AG1767" s="182" t="n">
        <v>0</v>
      </c>
      <c r="AH1767" s="182" t="n">
        <v>0</v>
      </c>
      <c r="AI1767" s="182" t="n">
        <v>0</v>
      </c>
      <c r="AJ1767" s="182" t="n">
        <v>0</v>
      </c>
      <c r="AK1767" s="182" t="n">
        <v>0.13</v>
      </c>
      <c r="AL1767" s="182" t="n">
        <v>0</v>
      </c>
      <c r="AM1767" s="182" t="n">
        <v>0.04</v>
      </c>
      <c r="AN1767" s="182" t="n">
        <v>0</v>
      </c>
    </row>
    <row r="1768">
      <c r="A1768" s="155" t="n">
        <v>46090</v>
      </c>
      <c r="B1768" s="156" t="inlineStr">
        <is>
          <t>DS</t>
        </is>
      </c>
      <c r="C1768" s="156" t="inlineStr">
        <is>
          <t>DZ-037</t>
        </is>
      </c>
      <c r="D1768" s="156" t="inlineStr">
        <is>
          <t>D 85 ESS-2</t>
        </is>
      </c>
      <c r="E1768" s="156" t="inlineStr">
        <is>
          <t>Bulldozer</t>
        </is>
      </c>
      <c r="F1768" s="156" t="inlineStr"/>
      <c r="G1768" s="182" t="n">
        <v>0</v>
      </c>
      <c r="H1768" s="182" t="n">
        <v>0</v>
      </c>
      <c r="I1768" s="182" t="n">
        <v>12</v>
      </c>
      <c r="J1768" s="182" t="n">
        <v>12</v>
      </c>
      <c r="K1768" s="182" t="n">
        <v>0</v>
      </c>
      <c r="L1768" s="182" t="n">
        <v>12</v>
      </c>
      <c r="M1768" s="182" t="n">
        <v>0</v>
      </c>
      <c r="N1768" s="182" t="n">
        <v>0</v>
      </c>
      <c r="O1768" s="183" t="n">
        <v>0</v>
      </c>
      <c r="P1768" s="183" t="n">
        <v>0</v>
      </c>
      <c r="Q1768" s="184" t="n">
        <v>0</v>
      </c>
      <c r="R1768" s="184" t="n">
        <v>0</v>
      </c>
      <c r="S1768" s="183" t="n">
        <v>0</v>
      </c>
      <c r="T1768" s="183" t="n">
        <v>0</v>
      </c>
      <c r="U1768" s="182" t="n">
        <v>0</v>
      </c>
      <c r="V1768" s="182" t="n">
        <v>0</v>
      </c>
      <c r="W1768" s="182" t="n">
        <v>0</v>
      </c>
      <c r="X1768" s="182" t="n">
        <v>0</v>
      </c>
      <c r="Y1768" s="182" t="n">
        <v>0</v>
      </c>
      <c r="Z1768" s="182" t="n">
        <v>0</v>
      </c>
      <c r="AA1768" s="182" t="n">
        <v>0</v>
      </c>
      <c r="AB1768" s="182" t="n">
        <v>0</v>
      </c>
      <c r="AC1768" s="182" t="n">
        <v>0</v>
      </c>
      <c r="AD1768" s="182" t="n">
        <v>0</v>
      </c>
      <c r="AE1768" s="182" t="n">
        <v>0</v>
      </c>
      <c r="AF1768" s="182" t="n">
        <v>0</v>
      </c>
      <c r="AG1768" s="182" t="n">
        <v>0</v>
      </c>
      <c r="AH1768" s="182" t="n">
        <v>0</v>
      </c>
      <c r="AI1768" s="182" t="n">
        <v>0</v>
      </c>
      <c r="AJ1768" s="182" t="n">
        <v>0</v>
      </c>
      <c r="AK1768" s="182" t="n">
        <v>0</v>
      </c>
      <c r="AL1768" s="182" t="n">
        <v>0</v>
      </c>
      <c r="AM1768" s="182" t="n">
        <v>0</v>
      </c>
      <c r="AN1768" s="182" t="n">
        <v>0</v>
      </c>
    </row>
    <row r="1769">
      <c r="A1769" s="155" t="n">
        <v>46090</v>
      </c>
      <c r="B1769" s="156" t="inlineStr">
        <is>
          <t>DS</t>
        </is>
      </c>
      <c r="C1769" s="156" t="inlineStr">
        <is>
          <t>DZ-036</t>
        </is>
      </c>
      <c r="D1769" s="156" t="inlineStr">
        <is>
          <t>D 85 ESS-2</t>
        </is>
      </c>
      <c r="E1769" s="156" t="inlineStr">
        <is>
          <t>Bulldozer</t>
        </is>
      </c>
      <c r="F1769" s="156" t="inlineStr">
        <is>
          <t>Support Jetty</t>
        </is>
      </c>
      <c r="G1769" s="182" t="n">
        <v>8.58</v>
      </c>
      <c r="H1769" s="182" t="n">
        <v>0</v>
      </c>
      <c r="I1769" s="182" t="n">
        <v>0</v>
      </c>
      <c r="J1769" s="182" t="n">
        <v>0</v>
      </c>
      <c r="K1769" s="182" t="n">
        <v>3.42</v>
      </c>
      <c r="L1769" s="182" t="n">
        <v>12</v>
      </c>
      <c r="M1769" s="182" t="n">
        <v>0</v>
      </c>
      <c r="N1769" s="182" t="n">
        <v>0</v>
      </c>
      <c r="O1769" s="183" t="n">
        <v>0</v>
      </c>
      <c r="P1769" s="183" t="n">
        <v>0</v>
      </c>
      <c r="Q1769" s="184" t="n">
        <v>0</v>
      </c>
      <c r="R1769" s="184" t="n">
        <v>0</v>
      </c>
      <c r="S1769" s="183" t="n">
        <v>0</v>
      </c>
      <c r="T1769" s="183" t="n">
        <v>0</v>
      </c>
      <c r="U1769" s="182" t="n">
        <v>0</v>
      </c>
      <c r="V1769" s="182" t="n">
        <v>0</v>
      </c>
      <c r="W1769" s="182" t="n">
        <v>0</v>
      </c>
      <c r="X1769" s="182" t="n">
        <v>1.07</v>
      </c>
      <c r="Y1769" s="182" t="n">
        <v>0</v>
      </c>
      <c r="Z1769" s="182" t="n">
        <v>0</v>
      </c>
      <c r="AA1769" s="182" t="n">
        <v>0</v>
      </c>
      <c r="AB1769" s="182" t="n">
        <v>0</v>
      </c>
      <c r="AC1769" s="182" t="n">
        <v>0</v>
      </c>
      <c r="AD1769" s="182" t="n">
        <v>0</v>
      </c>
      <c r="AE1769" s="182" t="n">
        <v>0</v>
      </c>
      <c r="AF1769" s="182" t="n">
        <v>0</v>
      </c>
      <c r="AG1769" s="182" t="n">
        <v>0</v>
      </c>
      <c r="AH1769" s="182" t="n">
        <v>0</v>
      </c>
      <c r="AI1769" s="182" t="n">
        <v>0</v>
      </c>
      <c r="AJ1769" s="182" t="n">
        <v>0</v>
      </c>
      <c r="AK1769" s="182" t="n">
        <v>2.27</v>
      </c>
      <c r="AL1769" s="182" t="n">
        <v>0</v>
      </c>
      <c r="AM1769" s="182" t="n">
        <v>0.09</v>
      </c>
      <c r="AN1769" s="182" t="n">
        <v>0</v>
      </c>
    </row>
    <row r="1770">
      <c r="A1770" s="155" t="n">
        <v>46090</v>
      </c>
      <c r="B1770" s="156" t="inlineStr">
        <is>
          <t>DS</t>
        </is>
      </c>
      <c r="C1770" s="156" t="inlineStr">
        <is>
          <t>DZ-035</t>
        </is>
      </c>
      <c r="D1770" s="156" t="inlineStr">
        <is>
          <t>D 85 ESS-2</t>
        </is>
      </c>
      <c r="E1770" s="156" t="inlineStr">
        <is>
          <t>Bulldozer</t>
        </is>
      </c>
      <c r="F1770" s="156" t="inlineStr"/>
      <c r="G1770" s="182" t="n">
        <v>0</v>
      </c>
      <c r="H1770" s="182" t="n">
        <v>0</v>
      </c>
      <c r="I1770" s="182" t="n">
        <v>12</v>
      </c>
      <c r="J1770" s="182" t="n">
        <v>12</v>
      </c>
      <c r="K1770" s="182" t="n">
        <v>0</v>
      </c>
      <c r="L1770" s="182" t="n">
        <v>12</v>
      </c>
      <c r="M1770" s="182" t="n">
        <v>0</v>
      </c>
      <c r="N1770" s="182" t="n">
        <v>0</v>
      </c>
      <c r="O1770" s="183" t="n">
        <v>0</v>
      </c>
      <c r="P1770" s="183" t="n">
        <v>0</v>
      </c>
      <c r="Q1770" s="184" t="n">
        <v>0</v>
      </c>
      <c r="R1770" s="184" t="n">
        <v>0</v>
      </c>
      <c r="S1770" s="183" t="n">
        <v>0</v>
      </c>
      <c r="T1770" s="183" t="n">
        <v>0</v>
      </c>
      <c r="U1770" s="182" t="n">
        <v>0</v>
      </c>
      <c r="V1770" s="182" t="n">
        <v>0</v>
      </c>
      <c r="W1770" s="182" t="n">
        <v>0</v>
      </c>
      <c r="X1770" s="182" t="n">
        <v>0</v>
      </c>
      <c r="Y1770" s="182" t="n">
        <v>0</v>
      </c>
      <c r="Z1770" s="182" t="n">
        <v>0</v>
      </c>
      <c r="AA1770" s="182" t="n">
        <v>0</v>
      </c>
      <c r="AB1770" s="182" t="n">
        <v>0</v>
      </c>
      <c r="AC1770" s="182" t="n">
        <v>0</v>
      </c>
      <c r="AD1770" s="182" t="n">
        <v>0</v>
      </c>
      <c r="AE1770" s="182" t="n">
        <v>0</v>
      </c>
      <c r="AF1770" s="182" t="n">
        <v>0</v>
      </c>
      <c r="AG1770" s="182" t="n">
        <v>0</v>
      </c>
      <c r="AH1770" s="182" t="n">
        <v>0</v>
      </c>
      <c r="AI1770" s="182" t="n">
        <v>0</v>
      </c>
      <c r="AJ1770" s="182" t="n">
        <v>0</v>
      </c>
      <c r="AK1770" s="182" t="n">
        <v>0</v>
      </c>
      <c r="AL1770" s="182" t="n">
        <v>0</v>
      </c>
      <c r="AM1770" s="182" t="n">
        <v>0</v>
      </c>
      <c r="AN1770" s="182" t="n">
        <v>0</v>
      </c>
    </row>
    <row r="1771">
      <c r="A1771" s="155" t="n">
        <v>46090</v>
      </c>
      <c r="B1771" s="156" t="inlineStr">
        <is>
          <t>DS</t>
        </is>
      </c>
      <c r="C1771" s="156" t="inlineStr">
        <is>
          <t>CP-042</t>
        </is>
      </c>
      <c r="D1771" s="156" t="inlineStr">
        <is>
          <t>SANY - Compactor</t>
        </is>
      </c>
      <c r="E1771" s="156" t="inlineStr">
        <is>
          <t>Compactor</t>
        </is>
      </c>
      <c r="F1771" s="156" t="inlineStr"/>
      <c r="G1771" s="182" t="n">
        <v>0</v>
      </c>
      <c r="H1771" s="182" t="n">
        <v>0</v>
      </c>
      <c r="I1771" s="182" t="n">
        <v>0</v>
      </c>
      <c r="J1771" s="182" t="n">
        <v>0</v>
      </c>
      <c r="K1771" s="182" t="n">
        <v>12</v>
      </c>
      <c r="L1771" s="182" t="n">
        <v>12</v>
      </c>
      <c r="M1771" s="182" t="n">
        <v>0</v>
      </c>
      <c r="N1771" s="182" t="n">
        <v>0</v>
      </c>
      <c r="O1771" s="183" t="n">
        <v>0</v>
      </c>
      <c r="P1771" s="183" t="n">
        <v>0</v>
      </c>
      <c r="Q1771" s="184" t="n">
        <v>0</v>
      </c>
      <c r="R1771" s="184" t="n">
        <v>0</v>
      </c>
      <c r="S1771" s="183" t="n">
        <v>0</v>
      </c>
      <c r="T1771" s="183" t="n">
        <v>0</v>
      </c>
      <c r="U1771" s="182" t="n">
        <v>0</v>
      </c>
      <c r="V1771" s="182" t="n">
        <v>0</v>
      </c>
      <c r="W1771" s="182" t="n">
        <v>0</v>
      </c>
      <c r="X1771" s="182" t="n">
        <v>1</v>
      </c>
      <c r="Y1771" s="182" t="n">
        <v>0</v>
      </c>
      <c r="Z1771" s="182" t="n">
        <v>0</v>
      </c>
      <c r="AA1771" s="182" t="n">
        <v>0</v>
      </c>
      <c r="AB1771" s="182" t="n">
        <v>0</v>
      </c>
      <c r="AC1771" s="182" t="n">
        <v>0</v>
      </c>
      <c r="AD1771" s="182" t="n">
        <v>0</v>
      </c>
      <c r="AE1771" s="182" t="n">
        <v>0</v>
      </c>
      <c r="AF1771" s="182" t="n">
        <v>0</v>
      </c>
      <c r="AG1771" s="182" t="n">
        <v>0</v>
      </c>
      <c r="AH1771" s="182" t="n">
        <v>0</v>
      </c>
      <c r="AI1771" s="182" t="n">
        <v>0</v>
      </c>
      <c r="AJ1771" s="182" t="n">
        <v>0</v>
      </c>
      <c r="AK1771" s="182" t="n">
        <v>10.92</v>
      </c>
      <c r="AL1771" s="182" t="n">
        <v>0</v>
      </c>
      <c r="AM1771" s="182" t="n">
        <v>0.08</v>
      </c>
      <c r="AN1771" s="182" t="n">
        <v>0</v>
      </c>
    </row>
    <row r="1772">
      <c r="A1772" s="155" t="n">
        <v>46090</v>
      </c>
      <c r="B1772" s="156" t="inlineStr">
        <is>
          <t>DS</t>
        </is>
      </c>
      <c r="C1772" s="156" t="inlineStr">
        <is>
          <t>CP-041</t>
        </is>
      </c>
      <c r="D1772" s="156" t="inlineStr">
        <is>
          <t>SANY - Compactor</t>
        </is>
      </c>
      <c r="E1772" s="156" t="inlineStr">
        <is>
          <t>Compactor</t>
        </is>
      </c>
      <c r="F1772" s="156" t="inlineStr">
        <is>
          <t>HM Loncat</t>
        </is>
      </c>
      <c r="G1772" s="182" t="n">
        <v>9.390000000000001</v>
      </c>
      <c r="H1772" s="182" t="n">
        <v>0</v>
      </c>
      <c r="I1772" s="182" t="n">
        <v>0</v>
      </c>
      <c r="J1772" s="182" t="n">
        <v>0</v>
      </c>
      <c r="K1772" s="182" t="n">
        <v>2.61</v>
      </c>
      <c r="L1772" s="182" t="n">
        <v>12</v>
      </c>
      <c r="M1772" s="182" t="n">
        <v>0</v>
      </c>
      <c r="N1772" s="182" t="n">
        <v>0</v>
      </c>
      <c r="O1772" s="183" t="n">
        <v>0</v>
      </c>
      <c r="P1772" s="183" t="n">
        <v>0</v>
      </c>
      <c r="Q1772" s="184" t="n">
        <v>0</v>
      </c>
      <c r="R1772" s="184" t="n">
        <v>0</v>
      </c>
      <c r="S1772" s="183" t="n">
        <v>0</v>
      </c>
      <c r="T1772" s="183" t="n">
        <v>0</v>
      </c>
      <c r="U1772" s="182" t="n">
        <v>0</v>
      </c>
      <c r="V1772" s="182" t="n">
        <v>0</v>
      </c>
      <c r="W1772" s="182" t="n">
        <v>0</v>
      </c>
      <c r="X1772" s="182" t="n">
        <v>0.9</v>
      </c>
      <c r="Y1772" s="182" t="n">
        <v>0</v>
      </c>
      <c r="Z1772" s="182" t="n">
        <v>0</v>
      </c>
      <c r="AA1772" s="182" t="n">
        <v>0</v>
      </c>
      <c r="AB1772" s="182" t="n">
        <v>0</v>
      </c>
      <c r="AC1772" s="182" t="n">
        <v>0</v>
      </c>
      <c r="AD1772" s="182" t="n">
        <v>0</v>
      </c>
      <c r="AE1772" s="182" t="n">
        <v>0</v>
      </c>
      <c r="AF1772" s="182" t="n">
        <v>0</v>
      </c>
      <c r="AG1772" s="182" t="n">
        <v>0</v>
      </c>
      <c r="AH1772" s="182" t="n">
        <v>0</v>
      </c>
      <c r="AI1772" s="182" t="n">
        <v>0</v>
      </c>
      <c r="AJ1772" s="182" t="n">
        <v>0</v>
      </c>
      <c r="AK1772" s="182" t="n">
        <v>1.64</v>
      </c>
      <c r="AL1772" s="182" t="n">
        <v>0</v>
      </c>
      <c r="AM1772" s="182" t="n">
        <v>0.07000000000000001</v>
      </c>
      <c r="AN1772" s="182" t="n">
        <v>0</v>
      </c>
    </row>
    <row r="1773">
      <c r="A1773" s="155" t="n">
        <v>46090</v>
      </c>
      <c r="B1773" s="156" t="inlineStr">
        <is>
          <t>DS</t>
        </is>
      </c>
      <c r="C1773" s="156" t="inlineStr">
        <is>
          <t>HT-418</t>
        </is>
      </c>
      <c r="D1773" s="156" t="inlineStr">
        <is>
          <t>SY430</t>
        </is>
      </c>
      <c r="E1773" s="156" t="inlineStr">
        <is>
          <t>DT Hauling</t>
        </is>
      </c>
      <c r="F1773" s="156" t="inlineStr"/>
      <c r="G1773" s="182" t="n">
        <v>0</v>
      </c>
      <c r="H1773" s="182" t="n">
        <v>0</v>
      </c>
      <c r="I1773" s="182" t="n">
        <v>0</v>
      </c>
      <c r="J1773" s="182" t="n">
        <v>0</v>
      </c>
      <c r="K1773" s="182" t="n">
        <v>12</v>
      </c>
      <c r="L1773" s="182" t="n">
        <v>12</v>
      </c>
      <c r="M1773" s="182" t="n">
        <v>0</v>
      </c>
      <c r="N1773" s="182" t="n">
        <v>0</v>
      </c>
      <c r="O1773" s="183" t="n">
        <v>0</v>
      </c>
      <c r="P1773" s="183" t="n">
        <v>0</v>
      </c>
      <c r="Q1773" s="184" t="n">
        <v>0</v>
      </c>
      <c r="R1773" s="184" t="n">
        <v>0</v>
      </c>
      <c r="S1773" s="183" t="n">
        <v>0</v>
      </c>
      <c r="T1773" s="183" t="n">
        <v>0</v>
      </c>
      <c r="U1773" s="182" t="n">
        <v>0</v>
      </c>
      <c r="V1773" s="182" t="n">
        <v>0</v>
      </c>
      <c r="W1773" s="182" t="n">
        <v>0</v>
      </c>
      <c r="X1773" s="182" t="n">
        <v>1</v>
      </c>
      <c r="Y1773" s="182" t="n">
        <v>0</v>
      </c>
      <c r="Z1773" s="182" t="n">
        <v>0</v>
      </c>
      <c r="AA1773" s="182" t="n">
        <v>0</v>
      </c>
      <c r="AB1773" s="182" t="n">
        <v>0</v>
      </c>
      <c r="AC1773" s="182" t="n">
        <v>0</v>
      </c>
      <c r="AD1773" s="182" t="n">
        <v>0</v>
      </c>
      <c r="AE1773" s="182" t="n">
        <v>0</v>
      </c>
      <c r="AF1773" s="182" t="n">
        <v>0</v>
      </c>
      <c r="AG1773" s="182" t="n">
        <v>0</v>
      </c>
      <c r="AH1773" s="182" t="n">
        <v>0</v>
      </c>
      <c r="AI1773" s="182" t="n">
        <v>0</v>
      </c>
      <c r="AJ1773" s="182" t="n">
        <v>0</v>
      </c>
      <c r="AK1773" s="182" t="n">
        <v>10.92</v>
      </c>
      <c r="AL1773" s="182" t="n">
        <v>0</v>
      </c>
      <c r="AM1773" s="182" t="n">
        <v>0.08</v>
      </c>
      <c r="AN1773" s="182" t="n">
        <v>0</v>
      </c>
    </row>
    <row r="1774">
      <c r="A1774" s="155" t="n">
        <v>46090</v>
      </c>
      <c r="B1774" s="156" t="inlineStr">
        <is>
          <t>DS</t>
        </is>
      </c>
      <c r="C1774" s="156" t="inlineStr">
        <is>
          <t>HT-404</t>
        </is>
      </c>
      <c r="D1774" s="156" t="inlineStr">
        <is>
          <t>SY430</t>
        </is>
      </c>
      <c r="E1774" s="156" t="inlineStr">
        <is>
          <t>DT Hauling</t>
        </is>
      </c>
      <c r="F1774" s="156" t="inlineStr"/>
      <c r="G1774" s="182" t="n">
        <v>0</v>
      </c>
      <c r="H1774" s="182" t="n">
        <v>0</v>
      </c>
      <c r="I1774" s="182" t="n">
        <v>12</v>
      </c>
      <c r="J1774" s="182" t="n">
        <v>12</v>
      </c>
      <c r="K1774" s="182" t="n">
        <v>0</v>
      </c>
      <c r="L1774" s="182" t="n">
        <v>12</v>
      </c>
      <c r="M1774" s="182" t="n">
        <v>0</v>
      </c>
      <c r="N1774" s="182" t="n">
        <v>0</v>
      </c>
      <c r="O1774" s="183" t="n">
        <v>0</v>
      </c>
      <c r="P1774" s="183" t="n">
        <v>0</v>
      </c>
      <c r="Q1774" s="184" t="n">
        <v>0</v>
      </c>
      <c r="R1774" s="184" t="n">
        <v>0</v>
      </c>
      <c r="S1774" s="183" t="n">
        <v>0</v>
      </c>
      <c r="T1774" s="183" t="n">
        <v>0</v>
      </c>
      <c r="U1774" s="182" t="n">
        <v>0</v>
      </c>
      <c r="V1774" s="182" t="n">
        <v>0</v>
      </c>
      <c r="W1774" s="182" t="n">
        <v>0</v>
      </c>
      <c r="X1774" s="182" t="n">
        <v>0</v>
      </c>
      <c r="Y1774" s="182" t="n">
        <v>0</v>
      </c>
      <c r="Z1774" s="182" t="n">
        <v>0</v>
      </c>
      <c r="AA1774" s="182" t="n">
        <v>0</v>
      </c>
      <c r="AB1774" s="182" t="n">
        <v>0</v>
      </c>
      <c r="AC1774" s="182" t="n">
        <v>0</v>
      </c>
      <c r="AD1774" s="182" t="n">
        <v>0</v>
      </c>
      <c r="AE1774" s="182" t="n">
        <v>0</v>
      </c>
      <c r="AF1774" s="182" t="n">
        <v>0</v>
      </c>
      <c r="AG1774" s="182" t="n">
        <v>0</v>
      </c>
      <c r="AH1774" s="182" t="n">
        <v>0</v>
      </c>
      <c r="AI1774" s="182" t="n">
        <v>0</v>
      </c>
      <c r="AJ1774" s="182" t="n">
        <v>0</v>
      </c>
      <c r="AK1774" s="182" t="n">
        <v>0</v>
      </c>
      <c r="AL1774" s="182" t="n">
        <v>0</v>
      </c>
      <c r="AM1774" s="182" t="n">
        <v>0</v>
      </c>
      <c r="AN1774" s="182" t="n">
        <v>0</v>
      </c>
    </row>
    <row r="1775">
      <c r="A1775" s="155" t="n">
        <v>46090</v>
      </c>
      <c r="B1775" s="156" t="inlineStr">
        <is>
          <t>DS</t>
        </is>
      </c>
      <c r="C1775" s="156" t="inlineStr">
        <is>
          <t>HT-415</t>
        </is>
      </c>
      <c r="D1775" s="156" t="inlineStr">
        <is>
          <t>SY430</t>
        </is>
      </c>
      <c r="E1775" s="156" t="inlineStr">
        <is>
          <t>DT Hauling</t>
        </is>
      </c>
      <c r="F1775" s="156" t="inlineStr"/>
      <c r="G1775" s="182" t="n">
        <v>0</v>
      </c>
      <c r="H1775" s="182" t="n">
        <v>0</v>
      </c>
      <c r="I1775" s="182" t="n">
        <v>12</v>
      </c>
      <c r="J1775" s="182" t="n">
        <v>12</v>
      </c>
      <c r="K1775" s="182" t="n">
        <v>0</v>
      </c>
      <c r="L1775" s="182" t="n">
        <v>12</v>
      </c>
      <c r="M1775" s="182" t="n">
        <v>0</v>
      </c>
      <c r="N1775" s="182" t="n">
        <v>0</v>
      </c>
      <c r="O1775" s="183" t="n">
        <v>0</v>
      </c>
      <c r="P1775" s="183" t="n">
        <v>0</v>
      </c>
      <c r="Q1775" s="184" t="n">
        <v>0</v>
      </c>
      <c r="R1775" s="184" t="n">
        <v>0</v>
      </c>
      <c r="S1775" s="183" t="n">
        <v>0</v>
      </c>
      <c r="T1775" s="183" t="n">
        <v>0</v>
      </c>
      <c r="U1775" s="182" t="n">
        <v>0</v>
      </c>
      <c r="V1775" s="182" t="n">
        <v>0</v>
      </c>
      <c r="W1775" s="182" t="n">
        <v>0</v>
      </c>
      <c r="X1775" s="182" t="n">
        <v>0</v>
      </c>
      <c r="Y1775" s="182" t="n">
        <v>0</v>
      </c>
      <c r="Z1775" s="182" t="n">
        <v>0</v>
      </c>
      <c r="AA1775" s="182" t="n">
        <v>0</v>
      </c>
      <c r="AB1775" s="182" t="n">
        <v>0</v>
      </c>
      <c r="AC1775" s="182" t="n">
        <v>0</v>
      </c>
      <c r="AD1775" s="182" t="n">
        <v>0</v>
      </c>
      <c r="AE1775" s="182" t="n">
        <v>0</v>
      </c>
      <c r="AF1775" s="182" t="n">
        <v>0</v>
      </c>
      <c r="AG1775" s="182" t="n">
        <v>0</v>
      </c>
      <c r="AH1775" s="182" t="n">
        <v>0</v>
      </c>
      <c r="AI1775" s="182" t="n">
        <v>0</v>
      </c>
      <c r="AJ1775" s="182" t="n">
        <v>0</v>
      </c>
      <c r="AK1775" s="182" t="n">
        <v>0</v>
      </c>
      <c r="AL1775" s="182" t="n">
        <v>0</v>
      </c>
      <c r="AM1775" s="182" t="n">
        <v>0</v>
      </c>
      <c r="AN1775" s="182" t="n">
        <v>0</v>
      </c>
    </row>
    <row r="1776">
      <c r="A1776" s="155" t="n">
        <v>46090</v>
      </c>
      <c r="B1776" s="156" t="inlineStr">
        <is>
          <t>DS</t>
        </is>
      </c>
      <c r="C1776" s="156" t="inlineStr">
        <is>
          <t>HT-406</t>
        </is>
      </c>
      <c r="D1776" s="156" t="inlineStr">
        <is>
          <t>SY430</t>
        </is>
      </c>
      <c r="E1776" s="156" t="inlineStr">
        <is>
          <t>DT Hauling</t>
        </is>
      </c>
      <c r="F1776" s="156" t="inlineStr"/>
      <c r="G1776" s="182" t="n">
        <v>0</v>
      </c>
      <c r="H1776" s="182" t="n">
        <v>0</v>
      </c>
      <c r="I1776" s="182" t="n">
        <v>12</v>
      </c>
      <c r="J1776" s="182" t="n">
        <v>12</v>
      </c>
      <c r="K1776" s="182" t="n">
        <v>0</v>
      </c>
      <c r="L1776" s="182" t="n">
        <v>12</v>
      </c>
      <c r="M1776" s="182" t="n">
        <v>0</v>
      </c>
      <c r="N1776" s="182" t="n">
        <v>0</v>
      </c>
      <c r="O1776" s="183" t="n">
        <v>0</v>
      </c>
      <c r="P1776" s="183" t="n">
        <v>0</v>
      </c>
      <c r="Q1776" s="184" t="n">
        <v>0</v>
      </c>
      <c r="R1776" s="184" t="n">
        <v>0</v>
      </c>
      <c r="S1776" s="183" t="n">
        <v>0</v>
      </c>
      <c r="T1776" s="183" t="n">
        <v>0</v>
      </c>
      <c r="U1776" s="182" t="n">
        <v>0</v>
      </c>
      <c r="V1776" s="182" t="n">
        <v>0</v>
      </c>
      <c r="W1776" s="182" t="n">
        <v>0</v>
      </c>
      <c r="X1776" s="182" t="n">
        <v>0</v>
      </c>
      <c r="Y1776" s="182" t="n">
        <v>0</v>
      </c>
      <c r="Z1776" s="182" t="n">
        <v>0</v>
      </c>
      <c r="AA1776" s="182" t="n">
        <v>0</v>
      </c>
      <c r="AB1776" s="182" t="n">
        <v>0</v>
      </c>
      <c r="AC1776" s="182" t="n">
        <v>0</v>
      </c>
      <c r="AD1776" s="182" t="n">
        <v>0</v>
      </c>
      <c r="AE1776" s="182" t="n">
        <v>0</v>
      </c>
      <c r="AF1776" s="182" t="n">
        <v>0</v>
      </c>
      <c r="AG1776" s="182" t="n">
        <v>0</v>
      </c>
      <c r="AH1776" s="182" t="n">
        <v>0</v>
      </c>
      <c r="AI1776" s="182" t="n">
        <v>0</v>
      </c>
      <c r="AJ1776" s="182" t="n">
        <v>0</v>
      </c>
      <c r="AK1776" s="182" t="n">
        <v>0</v>
      </c>
      <c r="AL1776" s="182" t="n">
        <v>0</v>
      </c>
      <c r="AM1776" s="182" t="n">
        <v>0</v>
      </c>
      <c r="AN1776" s="182" t="n">
        <v>0</v>
      </c>
    </row>
    <row r="1777">
      <c r="A1777" s="155" t="n">
        <v>46090</v>
      </c>
      <c r="B1777" s="156" t="inlineStr">
        <is>
          <t>DS</t>
        </is>
      </c>
      <c r="C1777" s="156" t="inlineStr">
        <is>
          <t>HT-405</t>
        </is>
      </c>
      <c r="D1777" s="156" t="inlineStr">
        <is>
          <t>SY430</t>
        </is>
      </c>
      <c r="E1777" s="156" t="inlineStr">
        <is>
          <t>DT Hauling</t>
        </is>
      </c>
      <c r="F1777" s="156" t="inlineStr"/>
      <c r="G1777" s="182" t="n">
        <v>0</v>
      </c>
      <c r="H1777" s="182" t="n">
        <v>0</v>
      </c>
      <c r="I1777" s="182" t="n">
        <v>0</v>
      </c>
      <c r="J1777" s="182" t="n">
        <v>0</v>
      </c>
      <c r="K1777" s="182" t="n">
        <v>12</v>
      </c>
      <c r="L1777" s="182" t="n">
        <v>12</v>
      </c>
      <c r="M1777" s="182" t="n">
        <v>0</v>
      </c>
      <c r="N1777" s="182" t="n">
        <v>0</v>
      </c>
      <c r="O1777" s="183" t="n">
        <v>0</v>
      </c>
      <c r="P1777" s="183" t="n">
        <v>0</v>
      </c>
      <c r="Q1777" s="184" t="n">
        <v>0</v>
      </c>
      <c r="R1777" s="184" t="n">
        <v>0</v>
      </c>
      <c r="S1777" s="183" t="n">
        <v>0</v>
      </c>
      <c r="T1777" s="183" t="n">
        <v>0</v>
      </c>
      <c r="U1777" s="182" t="n">
        <v>0</v>
      </c>
      <c r="V1777" s="182" t="n">
        <v>0</v>
      </c>
      <c r="W1777" s="182" t="n">
        <v>0</v>
      </c>
      <c r="X1777" s="182" t="n">
        <v>1</v>
      </c>
      <c r="Y1777" s="182" t="n">
        <v>0</v>
      </c>
      <c r="Z1777" s="182" t="n">
        <v>0</v>
      </c>
      <c r="AA1777" s="182" t="n">
        <v>0</v>
      </c>
      <c r="AB1777" s="182" t="n">
        <v>0</v>
      </c>
      <c r="AC1777" s="182" t="n">
        <v>0</v>
      </c>
      <c r="AD1777" s="182" t="n">
        <v>0</v>
      </c>
      <c r="AE1777" s="182" t="n">
        <v>0</v>
      </c>
      <c r="AF1777" s="182" t="n">
        <v>0</v>
      </c>
      <c r="AG1777" s="182" t="n">
        <v>0</v>
      </c>
      <c r="AH1777" s="182" t="n">
        <v>0</v>
      </c>
      <c r="AI1777" s="182" t="n">
        <v>0</v>
      </c>
      <c r="AJ1777" s="182" t="n">
        <v>0</v>
      </c>
      <c r="AK1777" s="182" t="n">
        <v>10.92</v>
      </c>
      <c r="AL1777" s="182" t="n">
        <v>0</v>
      </c>
      <c r="AM1777" s="182" t="n">
        <v>0.08</v>
      </c>
      <c r="AN1777" s="182" t="n">
        <v>0</v>
      </c>
    </row>
    <row r="1778">
      <c r="A1778" s="155" t="n">
        <v>46090</v>
      </c>
      <c r="B1778" s="156" t="inlineStr">
        <is>
          <t>DS</t>
        </is>
      </c>
      <c r="C1778" s="156" t="inlineStr">
        <is>
          <t>HT-417</t>
        </is>
      </c>
      <c r="D1778" s="156" t="inlineStr">
        <is>
          <t>SY430</t>
        </is>
      </c>
      <c r="E1778" s="156" t="inlineStr">
        <is>
          <t>DT Hauling</t>
        </is>
      </c>
      <c r="F1778" s="156" t="inlineStr"/>
      <c r="G1778" s="182" t="n">
        <v>0</v>
      </c>
      <c r="H1778" s="182" t="n">
        <v>0</v>
      </c>
      <c r="I1778" s="182" t="n">
        <v>0</v>
      </c>
      <c r="J1778" s="182" t="n">
        <v>0</v>
      </c>
      <c r="K1778" s="182" t="n">
        <v>12</v>
      </c>
      <c r="L1778" s="182" t="n">
        <v>12</v>
      </c>
      <c r="M1778" s="182" t="n">
        <v>0</v>
      </c>
      <c r="N1778" s="182" t="n">
        <v>0</v>
      </c>
      <c r="O1778" s="183" t="n">
        <v>0</v>
      </c>
      <c r="P1778" s="183" t="n">
        <v>0</v>
      </c>
      <c r="Q1778" s="184" t="n">
        <v>0</v>
      </c>
      <c r="R1778" s="184" t="n">
        <v>0</v>
      </c>
      <c r="S1778" s="183" t="n">
        <v>0</v>
      </c>
      <c r="T1778" s="183" t="n">
        <v>0</v>
      </c>
      <c r="U1778" s="182" t="n">
        <v>0</v>
      </c>
      <c r="V1778" s="182" t="n">
        <v>0</v>
      </c>
      <c r="W1778" s="182" t="n">
        <v>0</v>
      </c>
      <c r="X1778" s="182" t="n">
        <v>1</v>
      </c>
      <c r="Y1778" s="182" t="n">
        <v>0</v>
      </c>
      <c r="Z1778" s="182" t="n">
        <v>0</v>
      </c>
      <c r="AA1778" s="182" t="n">
        <v>0</v>
      </c>
      <c r="AB1778" s="182" t="n">
        <v>0</v>
      </c>
      <c r="AC1778" s="182" t="n">
        <v>0</v>
      </c>
      <c r="AD1778" s="182" t="n">
        <v>0</v>
      </c>
      <c r="AE1778" s="182" t="n">
        <v>0</v>
      </c>
      <c r="AF1778" s="182" t="n">
        <v>0</v>
      </c>
      <c r="AG1778" s="182" t="n">
        <v>0</v>
      </c>
      <c r="AH1778" s="182" t="n">
        <v>0</v>
      </c>
      <c r="AI1778" s="182" t="n">
        <v>0</v>
      </c>
      <c r="AJ1778" s="182" t="n">
        <v>0</v>
      </c>
      <c r="AK1778" s="182" t="n">
        <v>10.92</v>
      </c>
      <c r="AL1778" s="182" t="n">
        <v>0</v>
      </c>
      <c r="AM1778" s="182" t="n">
        <v>0.08</v>
      </c>
      <c r="AN1778" s="182" t="n">
        <v>0</v>
      </c>
    </row>
    <row r="1779">
      <c r="A1779" s="155" t="n">
        <v>46090</v>
      </c>
      <c r="B1779" s="156" t="inlineStr">
        <is>
          <t>DS</t>
        </is>
      </c>
      <c r="C1779" s="156" t="inlineStr">
        <is>
          <t>HT-401</t>
        </is>
      </c>
      <c r="D1779" s="156" t="inlineStr">
        <is>
          <t>SY430</t>
        </is>
      </c>
      <c r="E1779" s="156" t="inlineStr">
        <is>
          <t>DT Hauling</t>
        </is>
      </c>
      <c r="F1779" s="156" t="inlineStr"/>
      <c r="G1779" s="182" t="n">
        <v>0</v>
      </c>
      <c r="H1779" s="182" t="n">
        <v>0</v>
      </c>
      <c r="I1779" s="182" t="n">
        <v>0</v>
      </c>
      <c r="J1779" s="182" t="n">
        <v>0</v>
      </c>
      <c r="K1779" s="182" t="n">
        <v>12</v>
      </c>
      <c r="L1779" s="182" t="n">
        <v>12</v>
      </c>
      <c r="M1779" s="182" t="n">
        <v>0</v>
      </c>
      <c r="N1779" s="182" t="n">
        <v>0</v>
      </c>
      <c r="O1779" s="183" t="n">
        <v>0</v>
      </c>
      <c r="P1779" s="183" t="n">
        <v>0</v>
      </c>
      <c r="Q1779" s="184" t="n">
        <v>0</v>
      </c>
      <c r="R1779" s="184" t="n">
        <v>0</v>
      </c>
      <c r="S1779" s="183" t="n">
        <v>0</v>
      </c>
      <c r="T1779" s="183" t="n">
        <v>0</v>
      </c>
      <c r="U1779" s="182" t="n">
        <v>0</v>
      </c>
      <c r="V1779" s="182" t="n">
        <v>0</v>
      </c>
      <c r="W1779" s="182" t="n">
        <v>0</v>
      </c>
      <c r="X1779" s="182" t="n">
        <v>1</v>
      </c>
      <c r="Y1779" s="182" t="n">
        <v>0</v>
      </c>
      <c r="Z1779" s="182" t="n">
        <v>0</v>
      </c>
      <c r="AA1779" s="182" t="n">
        <v>0</v>
      </c>
      <c r="AB1779" s="182" t="n">
        <v>0</v>
      </c>
      <c r="AC1779" s="182" t="n">
        <v>0</v>
      </c>
      <c r="AD1779" s="182" t="n">
        <v>0</v>
      </c>
      <c r="AE1779" s="182" t="n">
        <v>0</v>
      </c>
      <c r="AF1779" s="182" t="n">
        <v>0</v>
      </c>
      <c r="AG1779" s="182" t="n">
        <v>0</v>
      </c>
      <c r="AH1779" s="182" t="n">
        <v>0</v>
      </c>
      <c r="AI1779" s="182" t="n">
        <v>0</v>
      </c>
      <c r="AJ1779" s="182" t="n">
        <v>0</v>
      </c>
      <c r="AK1779" s="182" t="n">
        <v>10.92</v>
      </c>
      <c r="AL1779" s="182" t="n">
        <v>0</v>
      </c>
      <c r="AM1779" s="182" t="n">
        <v>0.08</v>
      </c>
      <c r="AN1779" s="182" t="n">
        <v>0</v>
      </c>
    </row>
    <row r="1780">
      <c r="A1780" s="155" t="n">
        <v>46090</v>
      </c>
      <c r="B1780" s="156" t="inlineStr">
        <is>
          <t>DS</t>
        </is>
      </c>
      <c r="C1780" s="156" t="inlineStr">
        <is>
          <t>HT-410</t>
        </is>
      </c>
      <c r="D1780" s="156" t="inlineStr">
        <is>
          <t>SY430</t>
        </is>
      </c>
      <c r="E1780" s="156" t="inlineStr">
        <is>
          <t>DT Hauling</t>
        </is>
      </c>
      <c r="F1780" s="156" t="inlineStr"/>
      <c r="G1780" s="182" t="n">
        <v>0</v>
      </c>
      <c r="H1780" s="182" t="n">
        <v>0</v>
      </c>
      <c r="I1780" s="182" t="n">
        <v>0</v>
      </c>
      <c r="J1780" s="182" t="n">
        <v>0</v>
      </c>
      <c r="K1780" s="182" t="n">
        <v>12</v>
      </c>
      <c r="L1780" s="182" t="n">
        <v>12</v>
      </c>
      <c r="M1780" s="182" t="n">
        <v>0</v>
      </c>
      <c r="N1780" s="182" t="n">
        <v>0</v>
      </c>
      <c r="O1780" s="183" t="n">
        <v>0</v>
      </c>
      <c r="P1780" s="183" t="n">
        <v>0</v>
      </c>
      <c r="Q1780" s="184" t="n">
        <v>0</v>
      </c>
      <c r="R1780" s="184" t="n">
        <v>0</v>
      </c>
      <c r="S1780" s="183" t="n">
        <v>0</v>
      </c>
      <c r="T1780" s="183" t="n">
        <v>0</v>
      </c>
      <c r="U1780" s="182" t="n">
        <v>0</v>
      </c>
      <c r="V1780" s="182" t="n">
        <v>0</v>
      </c>
      <c r="W1780" s="182" t="n">
        <v>0</v>
      </c>
      <c r="X1780" s="182" t="n">
        <v>1</v>
      </c>
      <c r="Y1780" s="182" t="n">
        <v>0</v>
      </c>
      <c r="Z1780" s="182" t="n">
        <v>0</v>
      </c>
      <c r="AA1780" s="182" t="n">
        <v>0</v>
      </c>
      <c r="AB1780" s="182" t="n">
        <v>0</v>
      </c>
      <c r="AC1780" s="182" t="n">
        <v>0</v>
      </c>
      <c r="AD1780" s="182" t="n">
        <v>0</v>
      </c>
      <c r="AE1780" s="182" t="n">
        <v>0</v>
      </c>
      <c r="AF1780" s="182" t="n">
        <v>0</v>
      </c>
      <c r="AG1780" s="182" t="n">
        <v>0</v>
      </c>
      <c r="AH1780" s="182" t="n">
        <v>0</v>
      </c>
      <c r="AI1780" s="182" t="n">
        <v>0</v>
      </c>
      <c r="AJ1780" s="182" t="n">
        <v>0</v>
      </c>
      <c r="AK1780" s="182" t="n">
        <v>10.92</v>
      </c>
      <c r="AL1780" s="182" t="n">
        <v>0</v>
      </c>
      <c r="AM1780" s="182" t="n">
        <v>0.08</v>
      </c>
      <c r="AN1780" s="182" t="n">
        <v>0</v>
      </c>
    </row>
    <row r="1781">
      <c r="A1781" s="155" t="n">
        <v>46090</v>
      </c>
      <c r="B1781" s="156" t="inlineStr">
        <is>
          <t>DS</t>
        </is>
      </c>
      <c r="C1781" s="156" t="inlineStr">
        <is>
          <t>HT-402</t>
        </is>
      </c>
      <c r="D1781" s="156" t="inlineStr">
        <is>
          <t>SY430</t>
        </is>
      </c>
      <c r="E1781" s="156" t="inlineStr">
        <is>
          <t>DT Hauling</t>
        </is>
      </c>
      <c r="F1781" s="156" t="inlineStr"/>
      <c r="G1781" s="182" t="n">
        <v>0</v>
      </c>
      <c r="H1781" s="182" t="n">
        <v>0</v>
      </c>
      <c r="I1781" s="182" t="n">
        <v>12</v>
      </c>
      <c r="J1781" s="182" t="n">
        <v>12</v>
      </c>
      <c r="K1781" s="182" t="n">
        <v>0</v>
      </c>
      <c r="L1781" s="182" t="n">
        <v>12</v>
      </c>
      <c r="M1781" s="182" t="n">
        <v>0</v>
      </c>
      <c r="N1781" s="182" t="n">
        <v>0</v>
      </c>
      <c r="O1781" s="183" t="n">
        <v>0</v>
      </c>
      <c r="P1781" s="183" t="n">
        <v>0</v>
      </c>
      <c r="Q1781" s="184" t="n">
        <v>0</v>
      </c>
      <c r="R1781" s="184" t="n">
        <v>0</v>
      </c>
      <c r="S1781" s="183" t="n">
        <v>0</v>
      </c>
      <c r="T1781" s="183" t="n">
        <v>0</v>
      </c>
      <c r="U1781" s="182" t="n">
        <v>0</v>
      </c>
      <c r="V1781" s="182" t="n">
        <v>0</v>
      </c>
      <c r="W1781" s="182" t="n">
        <v>0</v>
      </c>
      <c r="X1781" s="182" t="n">
        <v>0</v>
      </c>
      <c r="Y1781" s="182" t="n">
        <v>0</v>
      </c>
      <c r="Z1781" s="182" t="n">
        <v>0</v>
      </c>
      <c r="AA1781" s="182" t="n">
        <v>0</v>
      </c>
      <c r="AB1781" s="182" t="n">
        <v>0</v>
      </c>
      <c r="AC1781" s="182" t="n">
        <v>0</v>
      </c>
      <c r="AD1781" s="182" t="n">
        <v>0</v>
      </c>
      <c r="AE1781" s="182" t="n">
        <v>0</v>
      </c>
      <c r="AF1781" s="182" t="n">
        <v>0</v>
      </c>
      <c r="AG1781" s="182" t="n">
        <v>0</v>
      </c>
      <c r="AH1781" s="182" t="n">
        <v>0</v>
      </c>
      <c r="AI1781" s="182" t="n">
        <v>0</v>
      </c>
      <c r="AJ1781" s="182" t="n">
        <v>0</v>
      </c>
      <c r="AK1781" s="182" t="n">
        <v>0</v>
      </c>
      <c r="AL1781" s="182" t="n">
        <v>0</v>
      </c>
      <c r="AM1781" s="182" t="n">
        <v>0</v>
      </c>
      <c r="AN1781" s="182" t="n">
        <v>0</v>
      </c>
    </row>
    <row r="1782">
      <c r="A1782" s="155" t="n">
        <v>46090</v>
      </c>
      <c r="B1782" s="156" t="inlineStr">
        <is>
          <t>DS</t>
        </is>
      </c>
      <c r="C1782" s="156" t="inlineStr">
        <is>
          <t>HT-419</t>
        </is>
      </c>
      <c r="D1782" s="156" t="inlineStr">
        <is>
          <t>SY430</t>
        </is>
      </c>
      <c r="E1782" s="156" t="inlineStr">
        <is>
          <t>DT Hauling</t>
        </is>
      </c>
      <c r="F1782" s="156" t="inlineStr"/>
      <c r="G1782" s="182" t="n">
        <v>0</v>
      </c>
      <c r="H1782" s="182" t="n">
        <v>0</v>
      </c>
      <c r="I1782" s="182" t="n">
        <v>0</v>
      </c>
      <c r="J1782" s="182" t="n">
        <v>0</v>
      </c>
      <c r="K1782" s="182" t="n">
        <v>12</v>
      </c>
      <c r="L1782" s="182" t="n">
        <v>12</v>
      </c>
      <c r="M1782" s="182" t="n">
        <v>0</v>
      </c>
      <c r="N1782" s="182" t="n">
        <v>0</v>
      </c>
      <c r="O1782" s="183" t="n">
        <v>0</v>
      </c>
      <c r="P1782" s="183" t="n">
        <v>0</v>
      </c>
      <c r="Q1782" s="184" t="n">
        <v>0</v>
      </c>
      <c r="R1782" s="184" t="n">
        <v>0</v>
      </c>
      <c r="S1782" s="183" t="n">
        <v>0</v>
      </c>
      <c r="T1782" s="183" t="n">
        <v>0</v>
      </c>
      <c r="U1782" s="182" t="n">
        <v>0</v>
      </c>
      <c r="V1782" s="182" t="n">
        <v>0</v>
      </c>
      <c r="W1782" s="182" t="n">
        <v>0</v>
      </c>
      <c r="X1782" s="182" t="n">
        <v>1</v>
      </c>
      <c r="Y1782" s="182" t="n">
        <v>0</v>
      </c>
      <c r="Z1782" s="182" t="n">
        <v>0</v>
      </c>
      <c r="AA1782" s="182" t="n">
        <v>0</v>
      </c>
      <c r="AB1782" s="182" t="n">
        <v>0</v>
      </c>
      <c r="AC1782" s="182" t="n">
        <v>0</v>
      </c>
      <c r="AD1782" s="182" t="n">
        <v>0</v>
      </c>
      <c r="AE1782" s="182" t="n">
        <v>0</v>
      </c>
      <c r="AF1782" s="182" t="n">
        <v>0</v>
      </c>
      <c r="AG1782" s="182" t="n">
        <v>0</v>
      </c>
      <c r="AH1782" s="182" t="n">
        <v>0</v>
      </c>
      <c r="AI1782" s="182" t="n">
        <v>0</v>
      </c>
      <c r="AJ1782" s="182" t="n">
        <v>0</v>
      </c>
      <c r="AK1782" s="182" t="n">
        <v>10.92</v>
      </c>
      <c r="AL1782" s="182" t="n">
        <v>0</v>
      </c>
      <c r="AM1782" s="182" t="n">
        <v>0.08</v>
      </c>
      <c r="AN1782" s="182" t="n">
        <v>0</v>
      </c>
    </row>
    <row r="1783">
      <c r="A1783" s="155" t="n">
        <v>46090</v>
      </c>
      <c r="B1783" s="156" t="inlineStr">
        <is>
          <t>DS</t>
        </is>
      </c>
      <c r="C1783" s="156" t="inlineStr">
        <is>
          <t>HT-416</t>
        </is>
      </c>
      <c r="D1783" s="156" t="inlineStr">
        <is>
          <t>SY430</t>
        </is>
      </c>
      <c r="E1783" s="156" t="inlineStr">
        <is>
          <t>DT Hauling</t>
        </is>
      </c>
      <c r="F1783" s="156" t="inlineStr"/>
      <c r="G1783" s="182" t="n">
        <v>0</v>
      </c>
      <c r="H1783" s="182" t="n">
        <v>0</v>
      </c>
      <c r="I1783" s="182" t="n">
        <v>0.17</v>
      </c>
      <c r="J1783" s="182" t="n">
        <v>0.17</v>
      </c>
      <c r="K1783" s="182" t="n">
        <v>11.83</v>
      </c>
      <c r="L1783" s="182" t="n">
        <v>12</v>
      </c>
      <c r="M1783" s="182" t="n">
        <v>0</v>
      </c>
      <c r="N1783" s="182" t="n">
        <v>0</v>
      </c>
      <c r="O1783" s="183" t="n">
        <v>0</v>
      </c>
      <c r="P1783" s="183" t="n">
        <v>0</v>
      </c>
      <c r="Q1783" s="184" t="n">
        <v>0</v>
      </c>
      <c r="R1783" s="184" t="n">
        <v>0</v>
      </c>
      <c r="S1783" s="183" t="n">
        <v>0</v>
      </c>
      <c r="T1783" s="183" t="n">
        <v>0</v>
      </c>
      <c r="U1783" s="182" t="n">
        <v>0</v>
      </c>
      <c r="V1783" s="182" t="n">
        <v>0</v>
      </c>
      <c r="W1783" s="182" t="n">
        <v>0</v>
      </c>
      <c r="X1783" s="182" t="n">
        <v>1</v>
      </c>
      <c r="Y1783" s="182" t="n">
        <v>0</v>
      </c>
      <c r="Z1783" s="182" t="n">
        <v>0</v>
      </c>
      <c r="AA1783" s="182" t="n">
        <v>0</v>
      </c>
      <c r="AB1783" s="182" t="n">
        <v>0</v>
      </c>
      <c r="AC1783" s="182" t="n">
        <v>0</v>
      </c>
      <c r="AD1783" s="182" t="n">
        <v>0</v>
      </c>
      <c r="AE1783" s="182" t="n">
        <v>0</v>
      </c>
      <c r="AF1783" s="182" t="n">
        <v>0</v>
      </c>
      <c r="AG1783" s="182" t="n">
        <v>0</v>
      </c>
      <c r="AH1783" s="182" t="n">
        <v>0</v>
      </c>
      <c r="AI1783" s="182" t="n">
        <v>0</v>
      </c>
      <c r="AJ1783" s="182" t="n">
        <v>0</v>
      </c>
      <c r="AK1783" s="182" t="n">
        <v>10.75</v>
      </c>
      <c r="AL1783" s="182" t="n">
        <v>0</v>
      </c>
      <c r="AM1783" s="182" t="n">
        <v>0.08</v>
      </c>
      <c r="AN1783" s="182" t="n">
        <v>0</v>
      </c>
    </row>
    <row r="1784">
      <c r="A1784" s="155" t="n">
        <v>46090</v>
      </c>
      <c r="B1784" s="156" t="inlineStr">
        <is>
          <t>DS</t>
        </is>
      </c>
      <c r="C1784" s="156" t="inlineStr">
        <is>
          <t>HT-420</t>
        </is>
      </c>
      <c r="D1784" s="156" t="inlineStr">
        <is>
          <t>SY430</t>
        </is>
      </c>
      <c r="E1784" s="156" t="inlineStr">
        <is>
          <t>DT Hauling</t>
        </is>
      </c>
      <c r="F1784" s="156" t="inlineStr"/>
      <c r="G1784" s="182" t="n">
        <v>0</v>
      </c>
      <c r="H1784" s="182" t="n">
        <v>0</v>
      </c>
      <c r="I1784" s="182" t="n">
        <v>0</v>
      </c>
      <c r="J1784" s="182" t="n">
        <v>0</v>
      </c>
      <c r="K1784" s="182" t="n">
        <v>12</v>
      </c>
      <c r="L1784" s="182" t="n">
        <v>12</v>
      </c>
      <c r="M1784" s="182" t="n">
        <v>0</v>
      </c>
      <c r="N1784" s="182" t="n">
        <v>0</v>
      </c>
      <c r="O1784" s="183" t="n">
        <v>0</v>
      </c>
      <c r="P1784" s="183" t="n">
        <v>0</v>
      </c>
      <c r="Q1784" s="184" t="n">
        <v>0</v>
      </c>
      <c r="R1784" s="184" t="n">
        <v>0</v>
      </c>
      <c r="S1784" s="183" t="n">
        <v>0</v>
      </c>
      <c r="T1784" s="183" t="n">
        <v>0</v>
      </c>
      <c r="U1784" s="182" t="n">
        <v>0</v>
      </c>
      <c r="V1784" s="182" t="n">
        <v>0</v>
      </c>
      <c r="W1784" s="182" t="n">
        <v>0</v>
      </c>
      <c r="X1784" s="182" t="n">
        <v>1</v>
      </c>
      <c r="Y1784" s="182" t="n">
        <v>0</v>
      </c>
      <c r="Z1784" s="182" t="n">
        <v>0</v>
      </c>
      <c r="AA1784" s="182" t="n">
        <v>0</v>
      </c>
      <c r="AB1784" s="182" t="n">
        <v>0</v>
      </c>
      <c r="AC1784" s="182" t="n">
        <v>0</v>
      </c>
      <c r="AD1784" s="182" t="n">
        <v>0</v>
      </c>
      <c r="AE1784" s="182" t="n">
        <v>0</v>
      </c>
      <c r="AF1784" s="182" t="n">
        <v>0</v>
      </c>
      <c r="AG1784" s="182" t="n">
        <v>0</v>
      </c>
      <c r="AH1784" s="182" t="n">
        <v>0</v>
      </c>
      <c r="AI1784" s="182" t="n">
        <v>0</v>
      </c>
      <c r="AJ1784" s="182" t="n">
        <v>0</v>
      </c>
      <c r="AK1784" s="182" t="n">
        <v>10.92</v>
      </c>
      <c r="AL1784" s="182" t="n">
        <v>0</v>
      </c>
      <c r="AM1784" s="182" t="n">
        <v>0.08</v>
      </c>
      <c r="AN1784" s="182" t="n">
        <v>0</v>
      </c>
    </row>
    <row r="1785">
      <c r="A1785" s="155" t="n">
        <v>46090</v>
      </c>
      <c r="B1785" s="156" t="inlineStr">
        <is>
          <t>DS</t>
        </is>
      </c>
      <c r="C1785" s="156" t="inlineStr">
        <is>
          <t>HT-403</t>
        </is>
      </c>
      <c r="D1785" s="156" t="inlineStr">
        <is>
          <t>SY430</t>
        </is>
      </c>
      <c r="E1785" s="156" t="inlineStr">
        <is>
          <t>DT Hauling</t>
        </is>
      </c>
      <c r="F1785" s="156" t="inlineStr"/>
      <c r="G1785" s="182" t="n">
        <v>0</v>
      </c>
      <c r="H1785" s="182" t="n">
        <v>0</v>
      </c>
      <c r="I1785" s="182" t="n">
        <v>0</v>
      </c>
      <c r="J1785" s="182" t="n">
        <v>0</v>
      </c>
      <c r="K1785" s="182" t="n">
        <v>12</v>
      </c>
      <c r="L1785" s="182" t="n">
        <v>12</v>
      </c>
      <c r="M1785" s="182" t="n">
        <v>0</v>
      </c>
      <c r="N1785" s="182" t="n">
        <v>0</v>
      </c>
      <c r="O1785" s="183" t="n">
        <v>0</v>
      </c>
      <c r="P1785" s="183" t="n">
        <v>0</v>
      </c>
      <c r="Q1785" s="184" t="n">
        <v>0</v>
      </c>
      <c r="R1785" s="184" t="n">
        <v>0</v>
      </c>
      <c r="S1785" s="183" t="n">
        <v>0</v>
      </c>
      <c r="T1785" s="183" t="n">
        <v>0</v>
      </c>
      <c r="U1785" s="182" t="n">
        <v>0</v>
      </c>
      <c r="V1785" s="182" t="n">
        <v>0</v>
      </c>
      <c r="W1785" s="182" t="n">
        <v>0</v>
      </c>
      <c r="X1785" s="182" t="n">
        <v>1</v>
      </c>
      <c r="Y1785" s="182" t="n">
        <v>0</v>
      </c>
      <c r="Z1785" s="182" t="n">
        <v>0</v>
      </c>
      <c r="AA1785" s="182" t="n">
        <v>0</v>
      </c>
      <c r="AB1785" s="182" t="n">
        <v>0</v>
      </c>
      <c r="AC1785" s="182" t="n">
        <v>0</v>
      </c>
      <c r="AD1785" s="182" t="n">
        <v>0</v>
      </c>
      <c r="AE1785" s="182" t="n">
        <v>0</v>
      </c>
      <c r="AF1785" s="182" t="n">
        <v>0</v>
      </c>
      <c r="AG1785" s="182" t="n">
        <v>0</v>
      </c>
      <c r="AH1785" s="182" t="n">
        <v>0</v>
      </c>
      <c r="AI1785" s="182" t="n">
        <v>0</v>
      </c>
      <c r="AJ1785" s="182" t="n">
        <v>0</v>
      </c>
      <c r="AK1785" s="182" t="n">
        <v>10.92</v>
      </c>
      <c r="AL1785" s="182" t="n">
        <v>0</v>
      </c>
      <c r="AM1785" s="182" t="n">
        <v>0.08</v>
      </c>
      <c r="AN1785" s="182" t="n">
        <v>0</v>
      </c>
    </row>
    <row r="1786">
      <c r="A1786" s="155" t="n">
        <v>46090</v>
      </c>
      <c r="B1786" s="156" t="inlineStr">
        <is>
          <t>DS</t>
        </is>
      </c>
      <c r="C1786" s="156" t="inlineStr">
        <is>
          <t>HT-408</t>
        </is>
      </c>
      <c r="D1786" s="156" t="inlineStr">
        <is>
          <t>SY430</t>
        </is>
      </c>
      <c r="E1786" s="156" t="inlineStr">
        <is>
          <t>DT Hauling</t>
        </is>
      </c>
      <c r="F1786" s="156" t="inlineStr"/>
      <c r="G1786" s="182" t="n">
        <v>0</v>
      </c>
      <c r="H1786" s="182" t="n">
        <v>0</v>
      </c>
      <c r="I1786" s="182" t="n">
        <v>12</v>
      </c>
      <c r="J1786" s="182" t="n">
        <v>12</v>
      </c>
      <c r="K1786" s="182" t="n">
        <v>0</v>
      </c>
      <c r="L1786" s="182" t="n">
        <v>12</v>
      </c>
      <c r="M1786" s="182" t="n">
        <v>0</v>
      </c>
      <c r="N1786" s="182" t="n">
        <v>0</v>
      </c>
      <c r="O1786" s="183" t="n">
        <v>0</v>
      </c>
      <c r="P1786" s="183" t="n">
        <v>0</v>
      </c>
      <c r="Q1786" s="184" t="n">
        <v>0</v>
      </c>
      <c r="R1786" s="184" t="n">
        <v>0</v>
      </c>
      <c r="S1786" s="183" t="n">
        <v>0</v>
      </c>
      <c r="T1786" s="183" t="n">
        <v>0</v>
      </c>
      <c r="U1786" s="182" t="n">
        <v>0</v>
      </c>
      <c r="V1786" s="182" t="n">
        <v>0</v>
      </c>
      <c r="W1786" s="182" t="n">
        <v>0</v>
      </c>
      <c r="X1786" s="182" t="n">
        <v>0</v>
      </c>
      <c r="Y1786" s="182" t="n">
        <v>0</v>
      </c>
      <c r="Z1786" s="182" t="n">
        <v>0</v>
      </c>
      <c r="AA1786" s="182" t="n">
        <v>0</v>
      </c>
      <c r="AB1786" s="182" t="n">
        <v>0</v>
      </c>
      <c r="AC1786" s="182" t="n">
        <v>0</v>
      </c>
      <c r="AD1786" s="182" t="n">
        <v>0</v>
      </c>
      <c r="AE1786" s="182" t="n">
        <v>0</v>
      </c>
      <c r="AF1786" s="182" t="n">
        <v>0</v>
      </c>
      <c r="AG1786" s="182" t="n">
        <v>0</v>
      </c>
      <c r="AH1786" s="182" t="n">
        <v>0</v>
      </c>
      <c r="AI1786" s="182" t="n">
        <v>0</v>
      </c>
      <c r="AJ1786" s="182" t="n">
        <v>0</v>
      </c>
      <c r="AK1786" s="182" t="n">
        <v>0</v>
      </c>
      <c r="AL1786" s="182" t="n">
        <v>0</v>
      </c>
      <c r="AM1786" s="182" t="n">
        <v>0</v>
      </c>
      <c r="AN1786" s="182" t="n">
        <v>0</v>
      </c>
    </row>
    <row r="1787">
      <c r="A1787" s="155" t="n">
        <v>46090</v>
      </c>
      <c r="B1787" s="156" t="inlineStr">
        <is>
          <t>DS</t>
        </is>
      </c>
      <c r="C1787" s="156" t="inlineStr">
        <is>
          <t>HT-412</t>
        </is>
      </c>
      <c r="D1787" s="156" t="inlineStr">
        <is>
          <t>SY430</t>
        </is>
      </c>
      <c r="E1787" s="156" t="inlineStr">
        <is>
          <t>DT Hauling</t>
        </is>
      </c>
      <c r="F1787" s="156" t="inlineStr">
        <is>
          <t>Travel ke WS</t>
        </is>
      </c>
      <c r="G1787" s="182" t="n">
        <v>0.5</v>
      </c>
      <c r="H1787" s="182" t="n">
        <v>11.22</v>
      </c>
      <c r="I1787" s="182" t="n">
        <v>0</v>
      </c>
      <c r="J1787" s="182" t="n">
        <v>11.22</v>
      </c>
      <c r="K1787" s="182" t="n">
        <v>0.28</v>
      </c>
      <c r="L1787" s="182" t="n">
        <v>12</v>
      </c>
      <c r="M1787" s="182" t="n">
        <v>0</v>
      </c>
      <c r="N1787" s="182" t="n">
        <v>0</v>
      </c>
      <c r="O1787" s="183" t="n">
        <v>0</v>
      </c>
      <c r="P1787" s="183" t="n">
        <v>0</v>
      </c>
      <c r="Q1787" s="184" t="n">
        <v>0</v>
      </c>
      <c r="R1787" s="184" t="n">
        <v>0</v>
      </c>
      <c r="S1787" s="183" t="n">
        <v>0</v>
      </c>
      <c r="T1787" s="183" t="n">
        <v>0</v>
      </c>
      <c r="U1787" s="182" t="n">
        <v>0</v>
      </c>
      <c r="V1787" s="182" t="n">
        <v>0</v>
      </c>
      <c r="W1787" s="182" t="n">
        <v>0</v>
      </c>
      <c r="X1787" s="182" t="n">
        <v>0</v>
      </c>
      <c r="Y1787" s="182" t="n">
        <v>0</v>
      </c>
      <c r="Z1787" s="182" t="n">
        <v>0</v>
      </c>
      <c r="AA1787" s="182" t="n">
        <v>0</v>
      </c>
      <c r="AB1787" s="182" t="n">
        <v>0</v>
      </c>
      <c r="AC1787" s="182" t="n">
        <v>0</v>
      </c>
      <c r="AD1787" s="182" t="n">
        <v>0</v>
      </c>
      <c r="AE1787" s="182" t="n">
        <v>0</v>
      </c>
      <c r="AF1787" s="182" t="n">
        <v>0</v>
      </c>
      <c r="AG1787" s="182" t="n">
        <v>0</v>
      </c>
      <c r="AH1787" s="182" t="n">
        <v>0</v>
      </c>
      <c r="AI1787" s="182" t="n">
        <v>0</v>
      </c>
      <c r="AJ1787" s="182" t="n">
        <v>0</v>
      </c>
      <c r="AK1787" s="182" t="n">
        <v>0.2</v>
      </c>
      <c r="AL1787" s="182" t="n">
        <v>0</v>
      </c>
      <c r="AM1787" s="182" t="n">
        <v>0.08</v>
      </c>
      <c r="AN1787" s="182" t="n">
        <v>0</v>
      </c>
    </row>
    <row r="1788">
      <c r="A1788" s="155" t="n">
        <v>46090</v>
      </c>
      <c r="B1788" s="156" t="inlineStr">
        <is>
          <t>DS</t>
        </is>
      </c>
      <c r="C1788" s="156" t="inlineStr">
        <is>
          <t>HT-413</t>
        </is>
      </c>
      <c r="D1788" s="156" t="inlineStr">
        <is>
          <t>SY430</t>
        </is>
      </c>
      <c r="E1788" s="156" t="inlineStr">
        <is>
          <t>DT Hauling</t>
        </is>
      </c>
      <c r="F1788" s="156" t="inlineStr"/>
      <c r="G1788" s="182" t="n">
        <v>0</v>
      </c>
      <c r="H1788" s="182" t="n">
        <v>0</v>
      </c>
      <c r="I1788" s="182" t="n">
        <v>12</v>
      </c>
      <c r="J1788" s="182" t="n">
        <v>12</v>
      </c>
      <c r="K1788" s="182" t="n">
        <v>0</v>
      </c>
      <c r="L1788" s="182" t="n">
        <v>12</v>
      </c>
      <c r="M1788" s="182" t="n">
        <v>0</v>
      </c>
      <c r="N1788" s="182" t="n">
        <v>0</v>
      </c>
      <c r="O1788" s="183" t="n">
        <v>0</v>
      </c>
      <c r="P1788" s="183" t="n">
        <v>0</v>
      </c>
      <c r="Q1788" s="184" t="n">
        <v>0</v>
      </c>
      <c r="R1788" s="184" t="n">
        <v>0</v>
      </c>
      <c r="S1788" s="183" t="n">
        <v>0</v>
      </c>
      <c r="T1788" s="183" t="n">
        <v>0</v>
      </c>
      <c r="U1788" s="182" t="n">
        <v>0</v>
      </c>
      <c r="V1788" s="182" t="n">
        <v>0</v>
      </c>
      <c r="W1788" s="182" t="n">
        <v>0</v>
      </c>
      <c r="X1788" s="182" t="n">
        <v>0</v>
      </c>
      <c r="Y1788" s="182" t="n">
        <v>0</v>
      </c>
      <c r="Z1788" s="182" t="n">
        <v>0</v>
      </c>
      <c r="AA1788" s="182" t="n">
        <v>0</v>
      </c>
      <c r="AB1788" s="182" t="n">
        <v>0</v>
      </c>
      <c r="AC1788" s="182" t="n">
        <v>0</v>
      </c>
      <c r="AD1788" s="182" t="n">
        <v>0</v>
      </c>
      <c r="AE1788" s="182" t="n">
        <v>0</v>
      </c>
      <c r="AF1788" s="182" t="n">
        <v>0</v>
      </c>
      <c r="AG1788" s="182" t="n">
        <v>0</v>
      </c>
      <c r="AH1788" s="182" t="n">
        <v>0</v>
      </c>
      <c r="AI1788" s="182" t="n">
        <v>0</v>
      </c>
      <c r="AJ1788" s="182" t="n">
        <v>0</v>
      </c>
      <c r="AK1788" s="182" t="n">
        <v>0</v>
      </c>
      <c r="AL1788" s="182" t="n">
        <v>0</v>
      </c>
      <c r="AM1788" s="182" t="n">
        <v>0</v>
      </c>
      <c r="AN1788" s="182" t="n">
        <v>0</v>
      </c>
    </row>
    <row r="1789">
      <c r="A1789" s="155" t="n">
        <v>46090</v>
      </c>
      <c r="B1789" s="156" t="inlineStr">
        <is>
          <t>DS</t>
        </is>
      </c>
      <c r="C1789" s="156" t="inlineStr">
        <is>
          <t>HT-407</t>
        </is>
      </c>
      <c r="D1789" s="156" t="inlineStr">
        <is>
          <t>SY430</t>
        </is>
      </c>
      <c r="E1789" s="156" t="inlineStr">
        <is>
          <t>DT Hauling</t>
        </is>
      </c>
      <c r="F1789" s="156" t="inlineStr"/>
      <c r="G1789" s="182" t="n">
        <v>0</v>
      </c>
      <c r="H1789" s="182" t="n">
        <v>0</v>
      </c>
      <c r="I1789" s="182" t="n">
        <v>0</v>
      </c>
      <c r="J1789" s="182" t="n">
        <v>0</v>
      </c>
      <c r="K1789" s="182" t="n">
        <v>12</v>
      </c>
      <c r="L1789" s="182" t="n">
        <v>12</v>
      </c>
      <c r="M1789" s="182" t="n">
        <v>0</v>
      </c>
      <c r="N1789" s="182" t="n">
        <v>0</v>
      </c>
      <c r="O1789" s="183" t="n">
        <v>0</v>
      </c>
      <c r="P1789" s="183" t="n">
        <v>0</v>
      </c>
      <c r="Q1789" s="184" t="n">
        <v>0</v>
      </c>
      <c r="R1789" s="184" t="n">
        <v>0</v>
      </c>
      <c r="S1789" s="183" t="n">
        <v>0</v>
      </c>
      <c r="T1789" s="183" t="n">
        <v>0</v>
      </c>
      <c r="U1789" s="182" t="n">
        <v>0</v>
      </c>
      <c r="V1789" s="182" t="n">
        <v>0</v>
      </c>
      <c r="W1789" s="182" t="n">
        <v>0</v>
      </c>
      <c r="X1789" s="182" t="n">
        <v>1</v>
      </c>
      <c r="Y1789" s="182" t="n">
        <v>0</v>
      </c>
      <c r="Z1789" s="182" t="n">
        <v>0</v>
      </c>
      <c r="AA1789" s="182" t="n">
        <v>0</v>
      </c>
      <c r="AB1789" s="182" t="n">
        <v>0</v>
      </c>
      <c r="AC1789" s="182" t="n">
        <v>0</v>
      </c>
      <c r="AD1789" s="182" t="n">
        <v>0</v>
      </c>
      <c r="AE1789" s="182" t="n">
        <v>0</v>
      </c>
      <c r="AF1789" s="182" t="n">
        <v>0</v>
      </c>
      <c r="AG1789" s="182" t="n">
        <v>0</v>
      </c>
      <c r="AH1789" s="182" t="n">
        <v>0</v>
      </c>
      <c r="AI1789" s="182" t="n">
        <v>0</v>
      </c>
      <c r="AJ1789" s="182" t="n">
        <v>0</v>
      </c>
      <c r="AK1789" s="182" t="n">
        <v>10.92</v>
      </c>
      <c r="AL1789" s="182" t="n">
        <v>0</v>
      </c>
      <c r="AM1789" s="182" t="n">
        <v>0.08</v>
      </c>
      <c r="AN1789" s="182" t="n">
        <v>0</v>
      </c>
    </row>
    <row r="1790">
      <c r="A1790" s="155" t="n">
        <v>46090</v>
      </c>
      <c r="B1790" s="156" t="inlineStr">
        <is>
          <t>DS</t>
        </is>
      </c>
      <c r="C1790" s="156" t="inlineStr">
        <is>
          <t>HT-414</t>
        </is>
      </c>
      <c r="D1790" s="156" t="inlineStr">
        <is>
          <t>SY430</t>
        </is>
      </c>
      <c r="E1790" s="156" t="inlineStr">
        <is>
          <t>DT Hauling</t>
        </is>
      </c>
      <c r="F1790" s="156" t="inlineStr"/>
      <c r="G1790" s="182" t="n">
        <v>0</v>
      </c>
      <c r="H1790" s="182" t="n">
        <v>0</v>
      </c>
      <c r="I1790" s="182" t="n">
        <v>0</v>
      </c>
      <c r="J1790" s="182" t="n">
        <v>0</v>
      </c>
      <c r="K1790" s="182" t="n">
        <v>12</v>
      </c>
      <c r="L1790" s="182" t="n">
        <v>12</v>
      </c>
      <c r="M1790" s="182" t="n">
        <v>0</v>
      </c>
      <c r="N1790" s="182" t="n">
        <v>0</v>
      </c>
      <c r="O1790" s="183" t="n">
        <v>0</v>
      </c>
      <c r="P1790" s="183" t="n">
        <v>0</v>
      </c>
      <c r="Q1790" s="184" t="n">
        <v>0</v>
      </c>
      <c r="R1790" s="184" t="n">
        <v>0</v>
      </c>
      <c r="S1790" s="183" t="n">
        <v>0</v>
      </c>
      <c r="T1790" s="183" t="n">
        <v>0</v>
      </c>
      <c r="U1790" s="182" t="n">
        <v>0</v>
      </c>
      <c r="V1790" s="182" t="n">
        <v>0</v>
      </c>
      <c r="W1790" s="182" t="n">
        <v>0</v>
      </c>
      <c r="X1790" s="182" t="n">
        <v>1</v>
      </c>
      <c r="Y1790" s="182" t="n">
        <v>0</v>
      </c>
      <c r="Z1790" s="182" t="n">
        <v>0</v>
      </c>
      <c r="AA1790" s="182" t="n">
        <v>0</v>
      </c>
      <c r="AB1790" s="182" t="n">
        <v>0</v>
      </c>
      <c r="AC1790" s="182" t="n">
        <v>0</v>
      </c>
      <c r="AD1790" s="182" t="n">
        <v>0</v>
      </c>
      <c r="AE1790" s="182" t="n">
        <v>0</v>
      </c>
      <c r="AF1790" s="182" t="n">
        <v>0</v>
      </c>
      <c r="AG1790" s="182" t="n">
        <v>0</v>
      </c>
      <c r="AH1790" s="182" t="n">
        <v>0</v>
      </c>
      <c r="AI1790" s="182" t="n">
        <v>0</v>
      </c>
      <c r="AJ1790" s="182" t="n">
        <v>0</v>
      </c>
      <c r="AK1790" s="182" t="n">
        <v>10.92</v>
      </c>
      <c r="AL1790" s="182" t="n">
        <v>0</v>
      </c>
      <c r="AM1790" s="182" t="n">
        <v>0.08</v>
      </c>
      <c r="AN1790" s="182" t="n">
        <v>0</v>
      </c>
    </row>
    <row r="1791">
      <c r="A1791" s="155" t="n">
        <v>46090</v>
      </c>
      <c r="B1791" s="156" t="inlineStr">
        <is>
          <t>DS</t>
        </is>
      </c>
      <c r="C1791" s="156" t="inlineStr">
        <is>
          <t>HT-411</t>
        </is>
      </c>
      <c r="D1791" s="156" t="inlineStr">
        <is>
          <t>SY430</t>
        </is>
      </c>
      <c r="E1791" s="156" t="inlineStr">
        <is>
          <t>DT Hauling</t>
        </is>
      </c>
      <c r="F1791" s="156" t="inlineStr"/>
      <c r="G1791" s="182" t="n">
        <v>0</v>
      </c>
      <c r="H1791" s="182" t="n">
        <v>0</v>
      </c>
      <c r="I1791" s="182" t="n">
        <v>0</v>
      </c>
      <c r="J1791" s="182" t="n">
        <v>0</v>
      </c>
      <c r="K1791" s="182" t="n">
        <v>12</v>
      </c>
      <c r="L1791" s="182" t="n">
        <v>12</v>
      </c>
      <c r="M1791" s="182" t="n">
        <v>0</v>
      </c>
      <c r="N1791" s="182" t="n">
        <v>0</v>
      </c>
      <c r="O1791" s="183" t="n">
        <v>0</v>
      </c>
      <c r="P1791" s="183" t="n">
        <v>0</v>
      </c>
      <c r="Q1791" s="184" t="n">
        <v>0</v>
      </c>
      <c r="R1791" s="184" t="n">
        <v>0</v>
      </c>
      <c r="S1791" s="183" t="n">
        <v>0</v>
      </c>
      <c r="T1791" s="183" t="n">
        <v>0</v>
      </c>
      <c r="U1791" s="182" t="n">
        <v>0</v>
      </c>
      <c r="V1791" s="182" t="n">
        <v>0</v>
      </c>
      <c r="W1791" s="182" t="n">
        <v>0</v>
      </c>
      <c r="X1791" s="182" t="n">
        <v>1</v>
      </c>
      <c r="Y1791" s="182" t="n">
        <v>0</v>
      </c>
      <c r="Z1791" s="182" t="n">
        <v>0</v>
      </c>
      <c r="AA1791" s="182" t="n">
        <v>0</v>
      </c>
      <c r="AB1791" s="182" t="n">
        <v>0</v>
      </c>
      <c r="AC1791" s="182" t="n">
        <v>0</v>
      </c>
      <c r="AD1791" s="182" t="n">
        <v>0</v>
      </c>
      <c r="AE1791" s="182" t="n">
        <v>0</v>
      </c>
      <c r="AF1791" s="182" t="n">
        <v>0</v>
      </c>
      <c r="AG1791" s="182" t="n">
        <v>0</v>
      </c>
      <c r="AH1791" s="182" t="n">
        <v>0</v>
      </c>
      <c r="AI1791" s="182" t="n">
        <v>0</v>
      </c>
      <c r="AJ1791" s="182" t="n">
        <v>0</v>
      </c>
      <c r="AK1791" s="182" t="n">
        <v>10.92</v>
      </c>
      <c r="AL1791" s="182" t="n">
        <v>0</v>
      </c>
      <c r="AM1791" s="182" t="n">
        <v>0.08</v>
      </c>
      <c r="AN1791" s="182" t="n">
        <v>0</v>
      </c>
    </row>
    <row r="1792">
      <c r="A1792" s="155" t="n">
        <v>46090</v>
      </c>
      <c r="B1792" s="156" t="inlineStr">
        <is>
          <t>DS</t>
        </is>
      </c>
      <c r="C1792" s="156" t="inlineStr">
        <is>
          <t>HT-409</t>
        </is>
      </c>
      <c r="D1792" s="156" t="inlineStr">
        <is>
          <t>SY430</t>
        </is>
      </c>
      <c r="E1792" s="156" t="inlineStr">
        <is>
          <t>DT Hauling</t>
        </is>
      </c>
      <c r="F1792" s="156" t="inlineStr"/>
      <c r="G1792" s="182" t="n">
        <v>0</v>
      </c>
      <c r="H1792" s="182" t="n">
        <v>0</v>
      </c>
      <c r="I1792" s="182" t="n">
        <v>0</v>
      </c>
      <c r="J1792" s="182" t="n">
        <v>0</v>
      </c>
      <c r="K1792" s="182" t="n">
        <v>12</v>
      </c>
      <c r="L1792" s="182" t="n">
        <v>12</v>
      </c>
      <c r="M1792" s="182" t="n">
        <v>0</v>
      </c>
      <c r="N1792" s="182" t="n">
        <v>0</v>
      </c>
      <c r="O1792" s="183" t="n">
        <v>0</v>
      </c>
      <c r="P1792" s="183" t="n">
        <v>0</v>
      </c>
      <c r="Q1792" s="184" t="n">
        <v>0</v>
      </c>
      <c r="R1792" s="184" t="n">
        <v>0</v>
      </c>
      <c r="S1792" s="183" t="n">
        <v>0</v>
      </c>
      <c r="T1792" s="183" t="n">
        <v>0</v>
      </c>
      <c r="U1792" s="182" t="n">
        <v>0</v>
      </c>
      <c r="V1792" s="182" t="n">
        <v>0</v>
      </c>
      <c r="W1792" s="182" t="n">
        <v>0</v>
      </c>
      <c r="X1792" s="182" t="n">
        <v>1</v>
      </c>
      <c r="Y1792" s="182" t="n">
        <v>0</v>
      </c>
      <c r="Z1792" s="182" t="n">
        <v>0</v>
      </c>
      <c r="AA1792" s="182" t="n">
        <v>0</v>
      </c>
      <c r="AB1792" s="182" t="n">
        <v>0</v>
      </c>
      <c r="AC1792" s="182" t="n">
        <v>0</v>
      </c>
      <c r="AD1792" s="182" t="n">
        <v>0</v>
      </c>
      <c r="AE1792" s="182" t="n">
        <v>0</v>
      </c>
      <c r="AF1792" s="182" t="n">
        <v>0</v>
      </c>
      <c r="AG1792" s="182" t="n">
        <v>0</v>
      </c>
      <c r="AH1792" s="182" t="n">
        <v>0</v>
      </c>
      <c r="AI1792" s="182" t="n">
        <v>0</v>
      </c>
      <c r="AJ1792" s="182" t="n">
        <v>0</v>
      </c>
      <c r="AK1792" s="182" t="n">
        <v>10.92</v>
      </c>
      <c r="AL1792" s="182" t="n">
        <v>0</v>
      </c>
      <c r="AM1792" s="182" t="n">
        <v>0.08</v>
      </c>
      <c r="AN1792" s="182" t="n">
        <v>0</v>
      </c>
    </row>
    <row r="1793">
      <c r="A1793" s="155" t="n">
        <v>46090</v>
      </c>
      <c r="B1793" s="156" t="inlineStr">
        <is>
          <t>DS</t>
        </is>
      </c>
      <c r="C1793" s="156" t="inlineStr">
        <is>
          <t>DH-103</t>
        </is>
      </c>
      <c r="D1793" s="156" t="inlineStr">
        <is>
          <t>HINO FM260</t>
        </is>
      </c>
      <c r="E1793" s="156" t="inlineStr">
        <is>
          <t>DT Hino</t>
        </is>
      </c>
      <c r="F1793" s="156" t="inlineStr"/>
      <c r="G1793" s="182" t="n">
        <v>0</v>
      </c>
      <c r="H1793" s="182" t="n">
        <v>0</v>
      </c>
      <c r="I1793" s="182" t="n">
        <v>12</v>
      </c>
      <c r="J1793" s="182" t="n">
        <v>12</v>
      </c>
      <c r="K1793" s="182" t="n">
        <v>0</v>
      </c>
      <c r="L1793" s="182" t="n">
        <v>12</v>
      </c>
      <c r="M1793" s="182" t="n">
        <v>0</v>
      </c>
      <c r="N1793" s="182" t="n">
        <v>0</v>
      </c>
      <c r="O1793" s="183" t="n">
        <v>0</v>
      </c>
      <c r="P1793" s="183" t="n">
        <v>0</v>
      </c>
      <c r="Q1793" s="184" t="n">
        <v>0</v>
      </c>
      <c r="R1793" s="184" t="n">
        <v>0</v>
      </c>
      <c r="S1793" s="183" t="n">
        <v>0</v>
      </c>
      <c r="T1793" s="183" t="n">
        <v>0</v>
      </c>
      <c r="U1793" s="182" t="n">
        <v>0</v>
      </c>
      <c r="V1793" s="182" t="n">
        <v>0</v>
      </c>
      <c r="W1793" s="182" t="n">
        <v>0</v>
      </c>
      <c r="X1793" s="182" t="n">
        <v>0</v>
      </c>
      <c r="Y1793" s="182" t="n">
        <v>0</v>
      </c>
      <c r="Z1793" s="182" t="n">
        <v>0</v>
      </c>
      <c r="AA1793" s="182" t="n">
        <v>0</v>
      </c>
      <c r="AB1793" s="182" t="n">
        <v>0</v>
      </c>
      <c r="AC1793" s="182" t="n">
        <v>0</v>
      </c>
      <c r="AD1793" s="182" t="n">
        <v>0</v>
      </c>
      <c r="AE1793" s="182" t="n">
        <v>0</v>
      </c>
      <c r="AF1793" s="182" t="n">
        <v>0</v>
      </c>
      <c r="AG1793" s="182" t="n">
        <v>0</v>
      </c>
      <c r="AH1793" s="182" t="n">
        <v>0</v>
      </c>
      <c r="AI1793" s="182" t="n">
        <v>0</v>
      </c>
      <c r="AJ1793" s="182" t="n">
        <v>0</v>
      </c>
      <c r="AK1793" s="182" t="n">
        <v>0</v>
      </c>
      <c r="AL1793" s="182" t="n">
        <v>0</v>
      </c>
      <c r="AM1793" s="182" t="n">
        <v>0</v>
      </c>
      <c r="AN1793" s="182" t="n">
        <v>0</v>
      </c>
    </row>
    <row r="1794">
      <c r="A1794" s="155" t="n">
        <v>46090</v>
      </c>
      <c r="B1794" s="156" t="inlineStr">
        <is>
          <t>DS</t>
        </is>
      </c>
      <c r="C1794" s="156" t="inlineStr">
        <is>
          <t>DH-102</t>
        </is>
      </c>
      <c r="D1794" s="156" t="inlineStr">
        <is>
          <t>HINO FM260</t>
        </is>
      </c>
      <c r="E1794" s="156" t="inlineStr">
        <is>
          <t>DT Hino</t>
        </is>
      </c>
      <c r="F1794" s="156" t="inlineStr"/>
      <c r="G1794" s="182" t="n">
        <v>0</v>
      </c>
      <c r="H1794" s="182" t="n">
        <v>0</v>
      </c>
      <c r="I1794" s="182" t="n">
        <v>0</v>
      </c>
      <c r="J1794" s="182" t="n">
        <v>0</v>
      </c>
      <c r="K1794" s="182" t="n">
        <v>12</v>
      </c>
      <c r="L1794" s="182" t="n">
        <v>12</v>
      </c>
      <c r="M1794" s="182" t="n">
        <v>0</v>
      </c>
      <c r="N1794" s="182" t="n">
        <v>0</v>
      </c>
      <c r="O1794" s="183" t="n">
        <v>0</v>
      </c>
      <c r="P1794" s="183" t="n">
        <v>0</v>
      </c>
      <c r="Q1794" s="184" t="n">
        <v>0</v>
      </c>
      <c r="R1794" s="184" t="n">
        <v>0</v>
      </c>
      <c r="S1794" s="183" t="n">
        <v>0</v>
      </c>
      <c r="T1794" s="183" t="n">
        <v>0</v>
      </c>
      <c r="U1794" s="182" t="n">
        <v>0</v>
      </c>
      <c r="V1794" s="182" t="n">
        <v>0</v>
      </c>
      <c r="W1794" s="182" t="n">
        <v>0</v>
      </c>
      <c r="X1794" s="182" t="n">
        <v>1</v>
      </c>
      <c r="Y1794" s="182" t="n">
        <v>0</v>
      </c>
      <c r="Z1794" s="182" t="n">
        <v>0</v>
      </c>
      <c r="AA1794" s="182" t="n">
        <v>0</v>
      </c>
      <c r="AB1794" s="182" t="n">
        <v>0</v>
      </c>
      <c r="AC1794" s="182" t="n">
        <v>0</v>
      </c>
      <c r="AD1794" s="182" t="n">
        <v>0</v>
      </c>
      <c r="AE1794" s="182" t="n">
        <v>0</v>
      </c>
      <c r="AF1794" s="182" t="n">
        <v>0</v>
      </c>
      <c r="AG1794" s="182" t="n">
        <v>0</v>
      </c>
      <c r="AH1794" s="182" t="n">
        <v>0</v>
      </c>
      <c r="AI1794" s="182" t="n">
        <v>0</v>
      </c>
      <c r="AJ1794" s="182" t="n">
        <v>0</v>
      </c>
      <c r="AK1794" s="182" t="n">
        <v>10.92</v>
      </c>
      <c r="AL1794" s="182" t="n">
        <v>0</v>
      </c>
      <c r="AM1794" s="182" t="n">
        <v>0.08</v>
      </c>
      <c r="AN1794" s="182" t="n">
        <v>0</v>
      </c>
    </row>
    <row r="1795">
      <c r="A1795" s="155" t="n">
        <v>46090</v>
      </c>
      <c r="B1795" s="156" t="inlineStr">
        <is>
          <t>DS</t>
        </is>
      </c>
      <c r="C1795" s="156" t="inlineStr">
        <is>
          <t>DH-101</t>
        </is>
      </c>
      <c r="D1795" s="156" t="inlineStr">
        <is>
          <t>HINO FM260</t>
        </is>
      </c>
      <c r="E1795" s="156" t="inlineStr">
        <is>
          <t>DT Hino</t>
        </is>
      </c>
      <c r="F1795" s="156" t="inlineStr"/>
      <c r="G1795" s="182" t="n">
        <v>0</v>
      </c>
      <c r="H1795" s="182" t="n">
        <v>0</v>
      </c>
      <c r="I1795" s="182" t="n">
        <v>0</v>
      </c>
      <c r="J1795" s="182" t="n">
        <v>0</v>
      </c>
      <c r="K1795" s="182" t="n">
        <v>12</v>
      </c>
      <c r="L1795" s="182" t="n">
        <v>12</v>
      </c>
      <c r="M1795" s="182" t="n">
        <v>0</v>
      </c>
      <c r="N1795" s="182" t="n">
        <v>0</v>
      </c>
      <c r="O1795" s="183" t="n">
        <v>0</v>
      </c>
      <c r="P1795" s="183" t="n">
        <v>0</v>
      </c>
      <c r="Q1795" s="184" t="n">
        <v>0</v>
      </c>
      <c r="R1795" s="184" t="n">
        <v>0</v>
      </c>
      <c r="S1795" s="183" t="n">
        <v>0</v>
      </c>
      <c r="T1795" s="183" t="n">
        <v>0</v>
      </c>
      <c r="U1795" s="182" t="n">
        <v>0</v>
      </c>
      <c r="V1795" s="182" t="n">
        <v>0</v>
      </c>
      <c r="W1795" s="182" t="n">
        <v>0</v>
      </c>
      <c r="X1795" s="182" t="n">
        <v>1</v>
      </c>
      <c r="Y1795" s="182" t="n">
        <v>0</v>
      </c>
      <c r="Z1795" s="182" t="n">
        <v>0</v>
      </c>
      <c r="AA1795" s="182" t="n">
        <v>0</v>
      </c>
      <c r="AB1795" s="182" t="n">
        <v>0</v>
      </c>
      <c r="AC1795" s="182" t="n">
        <v>0</v>
      </c>
      <c r="AD1795" s="182" t="n">
        <v>0</v>
      </c>
      <c r="AE1795" s="182" t="n">
        <v>0</v>
      </c>
      <c r="AF1795" s="182" t="n">
        <v>0</v>
      </c>
      <c r="AG1795" s="182" t="n">
        <v>0</v>
      </c>
      <c r="AH1795" s="182" t="n">
        <v>0</v>
      </c>
      <c r="AI1795" s="182" t="n">
        <v>0</v>
      </c>
      <c r="AJ1795" s="182" t="n">
        <v>0</v>
      </c>
      <c r="AK1795" s="182" t="n">
        <v>10.92</v>
      </c>
      <c r="AL1795" s="182" t="n">
        <v>0</v>
      </c>
      <c r="AM1795" s="182" t="n">
        <v>0.08</v>
      </c>
      <c r="AN1795" s="182" t="n">
        <v>0</v>
      </c>
    </row>
    <row r="1796">
      <c r="A1796" s="155" t="n">
        <v>46090</v>
      </c>
      <c r="B1796" s="156" t="inlineStr">
        <is>
          <t>DS</t>
        </is>
      </c>
      <c r="C1796" s="156" t="inlineStr">
        <is>
          <t>EX-1251</t>
        </is>
      </c>
      <c r="D1796" s="156" t="inlineStr">
        <is>
          <t>SY1250</t>
        </is>
      </c>
      <c r="E1796" s="156" t="inlineStr">
        <is>
          <t>Excavator</t>
        </is>
      </c>
      <c r="F1796" s="156" t="inlineStr">
        <is>
          <t>Loading OB &amp; Spoil</t>
        </is>
      </c>
      <c r="G1796" s="182" t="n">
        <v>7.47</v>
      </c>
      <c r="H1796" s="182" t="n">
        <v>0</v>
      </c>
      <c r="I1796" s="182" t="n">
        <v>0</v>
      </c>
      <c r="J1796" s="182" t="n">
        <v>0</v>
      </c>
      <c r="K1796" s="182" t="n">
        <v>4.53</v>
      </c>
      <c r="L1796" s="182" t="n">
        <v>12</v>
      </c>
      <c r="M1796" s="182" t="n">
        <v>5.9</v>
      </c>
      <c r="N1796" s="182" t="n">
        <v>0</v>
      </c>
      <c r="O1796" s="183" t="n">
        <v>90</v>
      </c>
      <c r="P1796" s="183" t="n">
        <v>0</v>
      </c>
      <c r="Q1796" s="184" t="n">
        <v>1836</v>
      </c>
      <c r="R1796" s="184" t="n">
        <v>0</v>
      </c>
      <c r="S1796" s="183" t="n">
        <v>0</v>
      </c>
      <c r="T1796" s="183" t="n">
        <v>0</v>
      </c>
      <c r="U1796" s="182" t="n">
        <v>0</v>
      </c>
      <c r="V1796" s="182" t="n">
        <v>0</v>
      </c>
      <c r="W1796" s="182" t="n">
        <v>0</v>
      </c>
      <c r="X1796" s="182" t="n">
        <v>1.03</v>
      </c>
      <c r="Y1796" s="182" t="n">
        <v>0</v>
      </c>
      <c r="Z1796" s="182" t="n">
        <v>0</v>
      </c>
      <c r="AA1796" s="182" t="n">
        <v>0</v>
      </c>
      <c r="AB1796" s="182" t="n">
        <v>0</v>
      </c>
      <c r="AC1796" s="182" t="n">
        <v>0</v>
      </c>
      <c r="AD1796" s="182" t="n">
        <v>3.19</v>
      </c>
      <c r="AE1796" s="182" t="n">
        <v>0</v>
      </c>
      <c r="AF1796" s="182" t="n">
        <v>0</v>
      </c>
      <c r="AG1796" s="182" t="n">
        <v>0</v>
      </c>
      <c r="AH1796" s="182" t="n">
        <v>0.23</v>
      </c>
      <c r="AI1796" s="182" t="n">
        <v>0</v>
      </c>
      <c r="AJ1796" s="182" t="n">
        <v>0</v>
      </c>
      <c r="AK1796" s="182" t="n">
        <v>0</v>
      </c>
      <c r="AL1796" s="182" t="n">
        <v>0</v>
      </c>
      <c r="AM1796" s="182" t="n">
        <v>0.08</v>
      </c>
      <c r="AN1796" s="182" t="n">
        <v>0</v>
      </c>
    </row>
    <row r="1797">
      <c r="A1797" s="155" t="n">
        <v>46090</v>
      </c>
      <c r="B1797" s="156" t="inlineStr">
        <is>
          <t>DS</t>
        </is>
      </c>
      <c r="C1797" s="156" t="inlineStr">
        <is>
          <t>EX-1252</t>
        </is>
      </c>
      <c r="D1797" s="156" t="inlineStr">
        <is>
          <t>SY1250</t>
        </is>
      </c>
      <c r="E1797" s="156" t="inlineStr">
        <is>
          <t>Excavator</t>
        </is>
      </c>
      <c r="F1797" s="156" t="inlineStr"/>
      <c r="G1797" s="182" t="n">
        <v>0</v>
      </c>
      <c r="H1797" s="182" t="n">
        <v>0</v>
      </c>
      <c r="I1797" s="182" t="n">
        <v>9.42</v>
      </c>
      <c r="J1797" s="182" t="n">
        <v>9.42</v>
      </c>
      <c r="K1797" s="182" t="n">
        <v>2.58</v>
      </c>
      <c r="L1797" s="182" t="n">
        <v>12</v>
      </c>
      <c r="M1797" s="182" t="n">
        <v>0</v>
      </c>
      <c r="N1797" s="182" t="n">
        <v>0</v>
      </c>
      <c r="O1797" s="183" t="n">
        <v>0</v>
      </c>
      <c r="P1797" s="183" t="n">
        <v>0</v>
      </c>
      <c r="Q1797" s="184" t="n">
        <v>0</v>
      </c>
      <c r="R1797" s="184" t="n">
        <v>0</v>
      </c>
      <c r="S1797" s="183" t="n">
        <v>0</v>
      </c>
      <c r="T1797" s="183" t="n">
        <v>0</v>
      </c>
      <c r="U1797" s="182" t="n">
        <v>0</v>
      </c>
      <c r="V1797" s="182" t="n">
        <v>0</v>
      </c>
      <c r="W1797" s="182" t="n">
        <v>0</v>
      </c>
      <c r="X1797" s="182" t="n">
        <v>0</v>
      </c>
      <c r="Y1797" s="182" t="n">
        <v>0</v>
      </c>
      <c r="Z1797" s="182" t="n">
        <v>0</v>
      </c>
      <c r="AA1797" s="182" t="n">
        <v>0</v>
      </c>
      <c r="AB1797" s="182" t="n">
        <v>0</v>
      </c>
      <c r="AC1797" s="182" t="n">
        <v>0</v>
      </c>
      <c r="AD1797" s="182" t="n">
        <v>2.5</v>
      </c>
      <c r="AE1797" s="182" t="n">
        <v>0</v>
      </c>
      <c r="AF1797" s="182" t="n">
        <v>0</v>
      </c>
      <c r="AG1797" s="182" t="n">
        <v>0</v>
      </c>
      <c r="AH1797" s="182" t="n">
        <v>0</v>
      </c>
      <c r="AI1797" s="182" t="n">
        <v>0</v>
      </c>
      <c r="AJ1797" s="182" t="n">
        <v>0</v>
      </c>
      <c r="AK1797" s="182" t="n">
        <v>0</v>
      </c>
      <c r="AL1797" s="182" t="n">
        <v>0</v>
      </c>
      <c r="AM1797" s="182" t="n">
        <v>0.08</v>
      </c>
      <c r="AN1797" s="182" t="n">
        <v>0</v>
      </c>
    </row>
    <row r="1798">
      <c r="A1798" s="155" t="n">
        <v>46090</v>
      </c>
      <c r="B1798" s="156" t="inlineStr">
        <is>
          <t>DS</t>
        </is>
      </c>
      <c r="C1798" s="156" t="inlineStr">
        <is>
          <t>EX-2101</t>
        </is>
      </c>
      <c r="D1798" s="156" t="inlineStr">
        <is>
          <t>SY2000</t>
        </is>
      </c>
      <c r="E1798" s="156" t="inlineStr">
        <is>
          <t>Excavator</t>
        </is>
      </c>
      <c r="F1798" s="156" t="inlineStr"/>
      <c r="G1798" s="182" t="n">
        <v>0</v>
      </c>
      <c r="H1798" s="182" t="n">
        <v>0</v>
      </c>
      <c r="I1798" s="182" t="n">
        <v>12</v>
      </c>
      <c r="J1798" s="182" t="n">
        <v>12</v>
      </c>
      <c r="K1798" s="182" t="n">
        <v>0</v>
      </c>
      <c r="L1798" s="182" t="n">
        <v>12</v>
      </c>
      <c r="M1798" s="182" t="n">
        <v>0</v>
      </c>
      <c r="N1798" s="182" t="n">
        <v>0</v>
      </c>
      <c r="O1798" s="183" t="n">
        <v>0</v>
      </c>
      <c r="P1798" s="183" t="n">
        <v>0</v>
      </c>
      <c r="Q1798" s="184" t="n">
        <v>0</v>
      </c>
      <c r="R1798" s="184" t="n">
        <v>0</v>
      </c>
      <c r="S1798" s="183" t="n">
        <v>0</v>
      </c>
      <c r="T1798" s="183" t="n">
        <v>0</v>
      </c>
      <c r="U1798" s="182" t="n">
        <v>0</v>
      </c>
      <c r="V1798" s="182" t="n">
        <v>0</v>
      </c>
      <c r="W1798" s="182" t="n">
        <v>0</v>
      </c>
      <c r="X1798" s="182" t="n">
        <v>0</v>
      </c>
      <c r="Y1798" s="182" t="n">
        <v>0</v>
      </c>
      <c r="Z1798" s="182" t="n">
        <v>0</v>
      </c>
      <c r="AA1798" s="182" t="n">
        <v>0</v>
      </c>
      <c r="AB1798" s="182" t="n">
        <v>0</v>
      </c>
      <c r="AC1798" s="182" t="n">
        <v>0</v>
      </c>
      <c r="AD1798" s="182" t="n">
        <v>0</v>
      </c>
      <c r="AE1798" s="182" t="n">
        <v>0</v>
      </c>
      <c r="AF1798" s="182" t="n">
        <v>0</v>
      </c>
      <c r="AG1798" s="182" t="n">
        <v>0</v>
      </c>
      <c r="AH1798" s="182" t="n">
        <v>0</v>
      </c>
      <c r="AI1798" s="182" t="n">
        <v>0</v>
      </c>
      <c r="AJ1798" s="182" t="n">
        <v>0</v>
      </c>
      <c r="AK1798" s="182" t="n">
        <v>0</v>
      </c>
      <c r="AL1798" s="182" t="n">
        <v>0</v>
      </c>
      <c r="AM1798" s="182" t="n">
        <v>0</v>
      </c>
      <c r="AN1798" s="182" t="n">
        <v>0</v>
      </c>
    </row>
    <row r="1799">
      <c r="A1799" s="155" t="n">
        <v>46090</v>
      </c>
      <c r="B1799" s="156" t="inlineStr">
        <is>
          <t>DS</t>
        </is>
      </c>
      <c r="C1799" s="156" t="inlineStr">
        <is>
          <t>EX-222</t>
        </is>
      </c>
      <c r="D1799" s="156" t="inlineStr">
        <is>
          <t>PC 200-8MI</t>
        </is>
      </c>
      <c r="E1799" s="156" t="inlineStr">
        <is>
          <t>Excavator</t>
        </is>
      </c>
      <c r="F1799" s="156" t="inlineStr">
        <is>
          <t>Support Washing Plant</t>
        </is>
      </c>
      <c r="G1799" s="182" t="n">
        <v>11.83</v>
      </c>
      <c r="H1799" s="182" t="n">
        <v>0</v>
      </c>
      <c r="I1799" s="182" t="n">
        <v>0</v>
      </c>
      <c r="J1799" s="182" t="n">
        <v>0</v>
      </c>
      <c r="K1799" s="182" t="n">
        <v>0.17</v>
      </c>
      <c r="L1799" s="182" t="n">
        <v>12</v>
      </c>
      <c r="M1799" s="182" t="n">
        <v>0</v>
      </c>
      <c r="N1799" s="182" t="n">
        <v>0</v>
      </c>
      <c r="O1799" s="183" t="n">
        <v>0</v>
      </c>
      <c r="P1799" s="183" t="n">
        <v>0</v>
      </c>
      <c r="Q1799" s="184" t="n">
        <v>0</v>
      </c>
      <c r="R1799" s="184" t="n">
        <v>0</v>
      </c>
      <c r="S1799" s="183" t="n">
        <v>0</v>
      </c>
      <c r="T1799" s="183" t="n">
        <v>0</v>
      </c>
      <c r="U1799" s="182" t="n">
        <v>0</v>
      </c>
      <c r="V1799" s="182" t="n">
        <v>0</v>
      </c>
      <c r="W1799" s="182" t="n">
        <v>0</v>
      </c>
      <c r="X1799" s="182" t="n">
        <v>0.14</v>
      </c>
      <c r="Y1799" s="182" t="n">
        <v>0</v>
      </c>
      <c r="Z1799" s="182" t="n">
        <v>0</v>
      </c>
      <c r="AA1799" s="182" t="n">
        <v>0</v>
      </c>
      <c r="AB1799" s="182" t="n">
        <v>0</v>
      </c>
      <c r="AC1799" s="182" t="n">
        <v>0</v>
      </c>
      <c r="AD1799" s="182" t="n">
        <v>0</v>
      </c>
      <c r="AE1799" s="182" t="n">
        <v>0</v>
      </c>
      <c r="AF1799" s="182" t="n">
        <v>0</v>
      </c>
      <c r="AG1799" s="182" t="n">
        <v>0</v>
      </c>
      <c r="AH1799" s="182" t="n">
        <v>0</v>
      </c>
      <c r="AI1799" s="182" t="n">
        <v>0</v>
      </c>
      <c r="AJ1799" s="182" t="n">
        <v>0</v>
      </c>
      <c r="AK1799" s="182" t="n">
        <v>0</v>
      </c>
      <c r="AL1799" s="182" t="n">
        <v>0</v>
      </c>
      <c r="AM1799" s="182" t="n">
        <v>0.03</v>
      </c>
      <c r="AN1799" s="182" t="n">
        <v>0</v>
      </c>
    </row>
    <row r="1800">
      <c r="A1800" s="155" t="n">
        <v>46090</v>
      </c>
      <c r="B1800" s="156" t="inlineStr">
        <is>
          <t>DS</t>
        </is>
      </c>
      <c r="C1800" s="156" t="inlineStr">
        <is>
          <t>EX-225</t>
        </is>
      </c>
      <c r="D1800" s="156" t="inlineStr">
        <is>
          <t>PC 200-8</t>
        </is>
      </c>
      <c r="E1800" s="156" t="inlineStr">
        <is>
          <t>Excavator</t>
        </is>
      </c>
      <c r="F1800" s="156" t="inlineStr"/>
      <c r="G1800" s="182" t="n">
        <v>0</v>
      </c>
      <c r="H1800" s="182" t="n">
        <v>0</v>
      </c>
      <c r="I1800" s="182" t="n">
        <v>12</v>
      </c>
      <c r="J1800" s="182" t="n">
        <v>12</v>
      </c>
      <c r="K1800" s="182" t="n">
        <v>0</v>
      </c>
      <c r="L1800" s="182" t="n">
        <v>12</v>
      </c>
      <c r="M1800" s="182" t="n">
        <v>0</v>
      </c>
      <c r="N1800" s="182" t="n">
        <v>0</v>
      </c>
      <c r="O1800" s="183" t="n">
        <v>0</v>
      </c>
      <c r="P1800" s="183" t="n">
        <v>0</v>
      </c>
      <c r="Q1800" s="184" t="n">
        <v>0</v>
      </c>
      <c r="R1800" s="184" t="n">
        <v>0</v>
      </c>
      <c r="S1800" s="183" t="n">
        <v>0</v>
      </c>
      <c r="T1800" s="183" t="n">
        <v>0</v>
      </c>
      <c r="U1800" s="182" t="n">
        <v>0</v>
      </c>
      <c r="V1800" s="182" t="n">
        <v>0</v>
      </c>
      <c r="W1800" s="182" t="n">
        <v>0</v>
      </c>
      <c r="X1800" s="182" t="n">
        <v>0</v>
      </c>
      <c r="Y1800" s="182" t="n">
        <v>0</v>
      </c>
      <c r="Z1800" s="182" t="n">
        <v>0</v>
      </c>
      <c r="AA1800" s="182" t="n">
        <v>0</v>
      </c>
      <c r="AB1800" s="182" t="n">
        <v>0</v>
      </c>
      <c r="AC1800" s="182" t="n">
        <v>0</v>
      </c>
      <c r="AD1800" s="182" t="n">
        <v>0</v>
      </c>
      <c r="AE1800" s="182" t="n">
        <v>0</v>
      </c>
      <c r="AF1800" s="182" t="n">
        <v>0</v>
      </c>
      <c r="AG1800" s="182" t="n">
        <v>0</v>
      </c>
      <c r="AH1800" s="182" t="n">
        <v>0</v>
      </c>
      <c r="AI1800" s="182" t="n">
        <v>0</v>
      </c>
      <c r="AJ1800" s="182" t="n">
        <v>0</v>
      </c>
      <c r="AK1800" s="182" t="n">
        <v>0</v>
      </c>
      <c r="AL1800" s="182" t="n">
        <v>0</v>
      </c>
      <c r="AM1800" s="182" t="n">
        <v>0</v>
      </c>
      <c r="AN1800" s="182" t="n">
        <v>0</v>
      </c>
    </row>
    <row r="1801">
      <c r="A1801" s="155" t="n">
        <v>46090</v>
      </c>
      <c r="B1801" s="156" t="inlineStr">
        <is>
          <t>DS</t>
        </is>
      </c>
      <c r="C1801" s="156" t="inlineStr">
        <is>
          <t>EX-223</t>
        </is>
      </c>
      <c r="D1801" s="156" t="inlineStr">
        <is>
          <t>PC 200-8MI</t>
        </is>
      </c>
      <c r="E1801" s="156" t="inlineStr">
        <is>
          <t>Excavator</t>
        </is>
      </c>
      <c r="F1801" s="156" t="inlineStr">
        <is>
          <t>Support Washing Plant</t>
        </is>
      </c>
      <c r="G1801" s="182" t="n">
        <v>9.59</v>
      </c>
      <c r="H1801" s="182" t="n">
        <v>0</v>
      </c>
      <c r="I1801" s="182" t="n">
        <v>0</v>
      </c>
      <c r="J1801" s="182" t="n">
        <v>0</v>
      </c>
      <c r="K1801" s="182" t="n">
        <v>2.41</v>
      </c>
      <c r="L1801" s="182" t="n">
        <v>12</v>
      </c>
      <c r="M1801" s="182" t="n">
        <v>0</v>
      </c>
      <c r="N1801" s="182" t="n">
        <v>0</v>
      </c>
      <c r="O1801" s="183" t="n">
        <v>0</v>
      </c>
      <c r="P1801" s="183" t="n">
        <v>0</v>
      </c>
      <c r="Q1801" s="184" t="n">
        <v>0</v>
      </c>
      <c r="R1801" s="184" t="n">
        <v>0</v>
      </c>
      <c r="S1801" s="183" t="n">
        <v>0</v>
      </c>
      <c r="T1801" s="183" t="n">
        <v>0</v>
      </c>
      <c r="U1801" s="182" t="n">
        <v>0</v>
      </c>
      <c r="V1801" s="182" t="n">
        <v>0</v>
      </c>
      <c r="W1801" s="182" t="n">
        <v>0</v>
      </c>
      <c r="X1801" s="182" t="n">
        <v>1.05</v>
      </c>
      <c r="Y1801" s="182" t="n">
        <v>0</v>
      </c>
      <c r="Z1801" s="182" t="n">
        <v>0</v>
      </c>
      <c r="AA1801" s="182" t="n">
        <v>0</v>
      </c>
      <c r="AB1801" s="182" t="n">
        <v>0</v>
      </c>
      <c r="AC1801" s="182" t="n">
        <v>0</v>
      </c>
      <c r="AD1801" s="182" t="n">
        <v>0</v>
      </c>
      <c r="AE1801" s="182" t="n">
        <v>0</v>
      </c>
      <c r="AF1801" s="182" t="n">
        <v>0</v>
      </c>
      <c r="AG1801" s="182" t="n">
        <v>0</v>
      </c>
      <c r="AH1801" s="182" t="n">
        <v>0</v>
      </c>
      <c r="AI1801" s="182" t="n">
        <v>0</v>
      </c>
      <c r="AJ1801" s="182" t="n">
        <v>0</v>
      </c>
      <c r="AK1801" s="182" t="n">
        <v>1.28</v>
      </c>
      <c r="AL1801" s="182" t="n">
        <v>0</v>
      </c>
      <c r="AM1801" s="182" t="n">
        <v>0.08</v>
      </c>
      <c r="AN1801" s="182" t="n">
        <v>0</v>
      </c>
    </row>
    <row r="1802">
      <c r="A1802" s="155" t="n">
        <v>46090</v>
      </c>
      <c r="B1802" s="156" t="inlineStr">
        <is>
          <t>DS</t>
        </is>
      </c>
      <c r="C1802" s="156" t="inlineStr">
        <is>
          <t>EX-221</t>
        </is>
      </c>
      <c r="D1802" s="156" t="inlineStr">
        <is>
          <t>PC 200-8MI</t>
        </is>
      </c>
      <c r="E1802" s="156" t="inlineStr">
        <is>
          <t>Excavator</t>
        </is>
      </c>
      <c r="F1802" s="156" t="inlineStr">
        <is>
          <t>Barging</t>
        </is>
      </c>
      <c r="G1802" s="182" t="n">
        <v>8.109999999999999</v>
      </c>
      <c r="H1802" s="182" t="n">
        <v>0</v>
      </c>
      <c r="I1802" s="182" t="n">
        <v>0</v>
      </c>
      <c r="J1802" s="182" t="n">
        <v>0</v>
      </c>
      <c r="K1802" s="182" t="n">
        <v>3.89</v>
      </c>
      <c r="L1802" s="182" t="n">
        <v>12</v>
      </c>
      <c r="M1802" s="182" t="n">
        <v>0</v>
      </c>
      <c r="N1802" s="182" t="n">
        <v>0</v>
      </c>
      <c r="O1802" s="183" t="n">
        <v>0</v>
      </c>
      <c r="P1802" s="183" t="n">
        <v>0</v>
      </c>
      <c r="Q1802" s="184" t="n">
        <v>0</v>
      </c>
      <c r="R1802" s="184" t="n">
        <v>0</v>
      </c>
      <c r="S1802" s="183" t="n">
        <v>0</v>
      </c>
      <c r="T1802" s="183" t="n">
        <v>0</v>
      </c>
      <c r="U1802" s="182" t="n">
        <v>0</v>
      </c>
      <c r="V1802" s="182" t="n">
        <v>0</v>
      </c>
      <c r="W1802" s="182" t="n">
        <v>0</v>
      </c>
      <c r="X1802" s="182" t="n">
        <v>1.08</v>
      </c>
      <c r="Y1802" s="182" t="n">
        <v>0</v>
      </c>
      <c r="Z1802" s="182" t="n">
        <v>0</v>
      </c>
      <c r="AA1802" s="182" t="n">
        <v>0</v>
      </c>
      <c r="AB1802" s="182" t="n">
        <v>0</v>
      </c>
      <c r="AC1802" s="182" t="n">
        <v>0</v>
      </c>
      <c r="AD1802" s="182" t="n">
        <v>0</v>
      </c>
      <c r="AE1802" s="182" t="n">
        <v>0</v>
      </c>
      <c r="AF1802" s="182" t="n">
        <v>0</v>
      </c>
      <c r="AG1802" s="182" t="n">
        <v>0</v>
      </c>
      <c r="AH1802" s="182" t="n">
        <v>0</v>
      </c>
      <c r="AI1802" s="182" t="n">
        <v>0</v>
      </c>
      <c r="AJ1802" s="182" t="n">
        <v>0</v>
      </c>
      <c r="AK1802" s="182" t="n">
        <v>2.72</v>
      </c>
      <c r="AL1802" s="182" t="n">
        <v>0</v>
      </c>
      <c r="AM1802" s="182" t="n">
        <v>0.09</v>
      </c>
      <c r="AN1802" s="182" t="n">
        <v>0</v>
      </c>
    </row>
    <row r="1803">
      <c r="A1803" s="155" t="n">
        <v>46090</v>
      </c>
      <c r="B1803" s="156" t="inlineStr">
        <is>
          <t>DS</t>
        </is>
      </c>
      <c r="C1803" s="156" t="inlineStr">
        <is>
          <t>EX-331</t>
        </is>
      </c>
      <c r="D1803" s="156" t="inlineStr">
        <is>
          <t>PC 300-8MO</t>
        </is>
      </c>
      <c r="E1803" s="156" t="inlineStr">
        <is>
          <t>Excavator</t>
        </is>
      </c>
      <c r="F1803" s="156" t="inlineStr"/>
      <c r="G1803" s="182" t="n">
        <v>0</v>
      </c>
      <c r="H1803" s="182" t="n">
        <v>0</v>
      </c>
      <c r="I1803" s="182" t="n">
        <v>12</v>
      </c>
      <c r="J1803" s="182" t="n">
        <v>12</v>
      </c>
      <c r="K1803" s="182" t="n">
        <v>0</v>
      </c>
      <c r="L1803" s="182" t="n">
        <v>12</v>
      </c>
      <c r="M1803" s="182" t="n">
        <v>0</v>
      </c>
      <c r="N1803" s="182" t="n">
        <v>0</v>
      </c>
      <c r="O1803" s="183" t="n">
        <v>0</v>
      </c>
      <c r="P1803" s="183" t="n">
        <v>0</v>
      </c>
      <c r="Q1803" s="184" t="n">
        <v>0</v>
      </c>
      <c r="R1803" s="184" t="n">
        <v>0</v>
      </c>
      <c r="S1803" s="183" t="n">
        <v>0</v>
      </c>
      <c r="T1803" s="183" t="n">
        <v>0</v>
      </c>
      <c r="U1803" s="182" t="n">
        <v>0</v>
      </c>
      <c r="V1803" s="182" t="n">
        <v>0</v>
      </c>
      <c r="W1803" s="182" t="n">
        <v>0</v>
      </c>
      <c r="X1803" s="182" t="n">
        <v>0</v>
      </c>
      <c r="Y1803" s="182" t="n">
        <v>0</v>
      </c>
      <c r="Z1803" s="182" t="n">
        <v>0</v>
      </c>
      <c r="AA1803" s="182" t="n">
        <v>0</v>
      </c>
      <c r="AB1803" s="182" t="n">
        <v>0</v>
      </c>
      <c r="AC1803" s="182" t="n">
        <v>0</v>
      </c>
      <c r="AD1803" s="182" t="n">
        <v>0</v>
      </c>
      <c r="AE1803" s="182" t="n">
        <v>0</v>
      </c>
      <c r="AF1803" s="182" t="n">
        <v>0</v>
      </c>
      <c r="AG1803" s="182" t="n">
        <v>0</v>
      </c>
      <c r="AH1803" s="182" t="n">
        <v>0</v>
      </c>
      <c r="AI1803" s="182" t="n">
        <v>0</v>
      </c>
      <c r="AJ1803" s="182" t="n">
        <v>0</v>
      </c>
      <c r="AK1803" s="182" t="n">
        <v>0</v>
      </c>
      <c r="AL1803" s="182" t="n">
        <v>0</v>
      </c>
      <c r="AM1803" s="182" t="n">
        <v>0</v>
      </c>
      <c r="AN1803" s="182" t="n">
        <v>0</v>
      </c>
    </row>
    <row r="1804">
      <c r="A1804" s="155" t="n">
        <v>46090</v>
      </c>
      <c r="B1804" s="156" t="inlineStr">
        <is>
          <t>DS</t>
        </is>
      </c>
      <c r="C1804" s="156" t="inlineStr">
        <is>
          <t>EX-334</t>
        </is>
      </c>
      <c r="D1804" s="156" t="inlineStr">
        <is>
          <t>PC 300-8MO</t>
        </is>
      </c>
      <c r="E1804" s="156" t="inlineStr">
        <is>
          <t>Excavator</t>
        </is>
      </c>
      <c r="F1804" s="156" t="inlineStr">
        <is>
          <t>Coal Cleaning</t>
        </is>
      </c>
      <c r="G1804" s="182" t="n">
        <v>11.58</v>
      </c>
      <c r="H1804" s="182" t="n">
        <v>0</v>
      </c>
      <c r="I1804" s="182" t="n">
        <v>0.42</v>
      </c>
      <c r="J1804" s="182" t="n">
        <v>0.42</v>
      </c>
      <c r="K1804" s="182" t="n">
        <v>0</v>
      </c>
      <c r="L1804" s="182" t="n">
        <v>12</v>
      </c>
      <c r="M1804" s="182" t="n">
        <v>0</v>
      </c>
      <c r="N1804" s="182" t="n">
        <v>0</v>
      </c>
      <c r="O1804" s="183" t="n">
        <v>0</v>
      </c>
      <c r="P1804" s="183" t="n">
        <v>0</v>
      </c>
      <c r="Q1804" s="184" t="n">
        <v>0</v>
      </c>
      <c r="R1804" s="184" t="n">
        <v>0</v>
      </c>
      <c r="S1804" s="183" t="n">
        <v>0</v>
      </c>
      <c r="T1804" s="183" t="n">
        <v>0</v>
      </c>
      <c r="U1804" s="182" t="n">
        <v>0</v>
      </c>
      <c r="V1804" s="182" t="n">
        <v>0</v>
      </c>
      <c r="W1804" s="182" t="n">
        <v>0</v>
      </c>
      <c r="X1804" s="182" t="n">
        <v>0</v>
      </c>
      <c r="Y1804" s="182" t="n">
        <v>0</v>
      </c>
      <c r="Z1804" s="182" t="n">
        <v>0</v>
      </c>
      <c r="AA1804" s="182" t="n">
        <v>0</v>
      </c>
      <c r="AB1804" s="182" t="n">
        <v>0</v>
      </c>
      <c r="AC1804" s="182" t="n">
        <v>0</v>
      </c>
      <c r="AD1804" s="182" t="n">
        <v>0</v>
      </c>
      <c r="AE1804" s="182" t="n">
        <v>0</v>
      </c>
      <c r="AF1804" s="182" t="n">
        <v>0</v>
      </c>
      <c r="AG1804" s="182" t="n">
        <v>0</v>
      </c>
      <c r="AH1804" s="182" t="n">
        <v>0</v>
      </c>
      <c r="AI1804" s="182" t="n">
        <v>0</v>
      </c>
      <c r="AJ1804" s="182" t="n">
        <v>0</v>
      </c>
      <c r="AK1804" s="182" t="n">
        <v>0</v>
      </c>
      <c r="AL1804" s="182" t="n">
        <v>0</v>
      </c>
      <c r="AM1804" s="182" t="n">
        <v>0</v>
      </c>
      <c r="AN1804" s="182" t="n">
        <v>0</v>
      </c>
    </row>
    <row r="1805">
      <c r="A1805" s="155" t="n">
        <v>46090</v>
      </c>
      <c r="B1805" s="156" t="inlineStr">
        <is>
          <t>DS</t>
        </is>
      </c>
      <c r="C1805" s="156" t="inlineStr">
        <is>
          <t>EX-332</t>
        </is>
      </c>
      <c r="D1805" s="156" t="inlineStr">
        <is>
          <t>PC 300-8MO</t>
        </is>
      </c>
      <c r="E1805" s="156" t="inlineStr">
        <is>
          <t>Excavator</t>
        </is>
      </c>
      <c r="F1805" s="156" t="inlineStr">
        <is>
          <t>Coal Cleaning S45</t>
        </is>
      </c>
      <c r="G1805" s="182" t="n">
        <v>8.74</v>
      </c>
      <c r="H1805" s="182" t="n">
        <v>0</v>
      </c>
      <c r="I1805" s="182" t="n">
        <v>3.02</v>
      </c>
      <c r="J1805" s="182" t="n">
        <v>3.02</v>
      </c>
      <c r="K1805" s="182" t="n">
        <v>0.24</v>
      </c>
      <c r="L1805" s="182" t="n">
        <v>12</v>
      </c>
      <c r="M1805" s="182" t="n">
        <v>0</v>
      </c>
      <c r="N1805" s="182" t="n">
        <v>0</v>
      </c>
      <c r="O1805" s="183" t="n">
        <v>0</v>
      </c>
      <c r="P1805" s="183" t="n">
        <v>0</v>
      </c>
      <c r="Q1805" s="184" t="n">
        <v>0</v>
      </c>
      <c r="R1805" s="184" t="n">
        <v>0</v>
      </c>
      <c r="S1805" s="183" t="n">
        <v>0</v>
      </c>
      <c r="T1805" s="183" t="n">
        <v>0</v>
      </c>
      <c r="U1805" s="182" t="n">
        <v>0</v>
      </c>
      <c r="V1805" s="182" t="n">
        <v>0</v>
      </c>
      <c r="W1805" s="182" t="n">
        <v>0</v>
      </c>
      <c r="X1805" s="182" t="n">
        <v>0</v>
      </c>
      <c r="Y1805" s="182" t="n">
        <v>0</v>
      </c>
      <c r="Z1805" s="182" t="n">
        <v>0</v>
      </c>
      <c r="AA1805" s="182" t="n">
        <v>0</v>
      </c>
      <c r="AB1805" s="182" t="n">
        <v>0</v>
      </c>
      <c r="AC1805" s="182" t="n">
        <v>0</v>
      </c>
      <c r="AD1805" s="182" t="n">
        <v>0</v>
      </c>
      <c r="AE1805" s="182" t="n">
        <v>0</v>
      </c>
      <c r="AF1805" s="182" t="n">
        <v>0</v>
      </c>
      <c r="AG1805" s="182" t="n">
        <v>0</v>
      </c>
      <c r="AH1805" s="182" t="n">
        <v>0</v>
      </c>
      <c r="AI1805" s="182" t="n">
        <v>0</v>
      </c>
      <c r="AJ1805" s="182" t="n">
        <v>0</v>
      </c>
      <c r="AK1805" s="182" t="n">
        <v>0</v>
      </c>
      <c r="AL1805" s="182" t="n">
        <v>0</v>
      </c>
      <c r="AM1805" s="182" t="n">
        <v>0.24</v>
      </c>
      <c r="AN1805" s="182" t="n">
        <v>0</v>
      </c>
    </row>
    <row r="1806">
      <c r="A1806" s="155" t="n">
        <v>46090</v>
      </c>
      <c r="B1806" s="156" t="inlineStr">
        <is>
          <t>DS</t>
        </is>
      </c>
      <c r="C1806" s="156" t="inlineStr">
        <is>
          <t>EX-333</t>
        </is>
      </c>
      <c r="D1806" s="156" t="inlineStr">
        <is>
          <t>PC 300-8MO</t>
        </is>
      </c>
      <c r="E1806" s="156" t="inlineStr">
        <is>
          <t>Excavator</t>
        </is>
      </c>
      <c r="F1806" s="156" t="inlineStr">
        <is>
          <t>Loading Coal S60 &amp; Parting</t>
        </is>
      </c>
      <c r="G1806" s="182" t="n">
        <v>11.48</v>
      </c>
      <c r="H1806" s="182" t="n">
        <v>0</v>
      </c>
      <c r="I1806" s="182" t="n">
        <v>0</v>
      </c>
      <c r="J1806" s="182" t="n">
        <v>0</v>
      </c>
      <c r="K1806" s="182" t="n">
        <v>0.52</v>
      </c>
      <c r="L1806" s="182" t="n">
        <v>12</v>
      </c>
      <c r="M1806" s="182" t="n">
        <v>0</v>
      </c>
      <c r="N1806" s="182" t="n">
        <v>1.78</v>
      </c>
      <c r="O1806" s="183" t="n">
        <v>7</v>
      </c>
      <c r="P1806" s="183" t="n">
        <v>9</v>
      </c>
      <c r="Q1806" s="184" t="n">
        <v>114.2</v>
      </c>
      <c r="R1806" s="184" t="n">
        <v>168.3</v>
      </c>
      <c r="S1806" s="183" t="n">
        <v>0</v>
      </c>
      <c r="T1806" s="183" t="n">
        <v>0</v>
      </c>
      <c r="U1806" s="182" t="n">
        <v>0</v>
      </c>
      <c r="V1806" s="182" t="n">
        <v>0</v>
      </c>
      <c r="W1806" s="182" t="n">
        <v>0</v>
      </c>
      <c r="X1806" s="182" t="n">
        <v>0.31</v>
      </c>
      <c r="Y1806" s="182" t="n">
        <v>0</v>
      </c>
      <c r="Z1806" s="182" t="n">
        <v>0</v>
      </c>
      <c r="AA1806" s="182" t="n">
        <v>0</v>
      </c>
      <c r="AB1806" s="182" t="n">
        <v>0</v>
      </c>
      <c r="AC1806" s="182" t="n">
        <v>0</v>
      </c>
      <c r="AD1806" s="182" t="n">
        <v>0</v>
      </c>
      <c r="AE1806" s="182" t="n">
        <v>0</v>
      </c>
      <c r="AF1806" s="182" t="n">
        <v>0</v>
      </c>
      <c r="AG1806" s="182" t="n">
        <v>0</v>
      </c>
      <c r="AH1806" s="182" t="n">
        <v>0</v>
      </c>
      <c r="AI1806" s="182" t="n">
        <v>0</v>
      </c>
      <c r="AJ1806" s="182" t="n">
        <v>0</v>
      </c>
      <c r="AK1806" s="182" t="n">
        <v>0</v>
      </c>
      <c r="AL1806" s="182" t="n">
        <v>0</v>
      </c>
      <c r="AM1806" s="182" t="n">
        <v>0.21</v>
      </c>
      <c r="AN1806" s="182" t="n">
        <v>0</v>
      </c>
    </row>
    <row r="1807">
      <c r="A1807" s="155" t="n">
        <v>46090</v>
      </c>
      <c r="B1807" s="156" t="inlineStr">
        <is>
          <t>DS</t>
        </is>
      </c>
      <c r="C1807" s="156" t="inlineStr">
        <is>
          <t>EX-336</t>
        </is>
      </c>
      <c r="D1807" s="156" t="inlineStr">
        <is>
          <t>PC 300-8MO</t>
        </is>
      </c>
      <c r="E1807" s="156" t="inlineStr">
        <is>
          <t>Excavator</t>
        </is>
      </c>
      <c r="F1807" s="156" t="inlineStr"/>
      <c r="G1807" s="182" t="n">
        <v>0</v>
      </c>
      <c r="H1807" s="182" t="n">
        <v>0</v>
      </c>
      <c r="I1807" s="182" t="n">
        <v>12</v>
      </c>
      <c r="J1807" s="182" t="n">
        <v>12</v>
      </c>
      <c r="K1807" s="182" t="n">
        <v>0</v>
      </c>
      <c r="L1807" s="182" t="n">
        <v>12</v>
      </c>
      <c r="M1807" s="182" t="n">
        <v>0</v>
      </c>
      <c r="N1807" s="182" t="n">
        <v>0</v>
      </c>
      <c r="O1807" s="183" t="n">
        <v>0</v>
      </c>
      <c r="P1807" s="183" t="n">
        <v>0</v>
      </c>
      <c r="Q1807" s="184" t="n">
        <v>0</v>
      </c>
      <c r="R1807" s="184" t="n">
        <v>0</v>
      </c>
      <c r="S1807" s="183" t="n">
        <v>0</v>
      </c>
      <c r="T1807" s="183" t="n">
        <v>0</v>
      </c>
      <c r="U1807" s="182" t="n">
        <v>0</v>
      </c>
      <c r="V1807" s="182" t="n">
        <v>0</v>
      </c>
      <c r="W1807" s="182" t="n">
        <v>0</v>
      </c>
      <c r="X1807" s="182" t="n">
        <v>0</v>
      </c>
      <c r="Y1807" s="182" t="n">
        <v>0</v>
      </c>
      <c r="Z1807" s="182" t="n">
        <v>0</v>
      </c>
      <c r="AA1807" s="182" t="n">
        <v>0</v>
      </c>
      <c r="AB1807" s="182" t="n">
        <v>0</v>
      </c>
      <c r="AC1807" s="182" t="n">
        <v>0</v>
      </c>
      <c r="AD1807" s="182" t="n">
        <v>0</v>
      </c>
      <c r="AE1807" s="182" t="n">
        <v>0</v>
      </c>
      <c r="AF1807" s="182" t="n">
        <v>0</v>
      </c>
      <c r="AG1807" s="182" t="n">
        <v>0</v>
      </c>
      <c r="AH1807" s="182" t="n">
        <v>0</v>
      </c>
      <c r="AI1807" s="182" t="n">
        <v>0</v>
      </c>
      <c r="AJ1807" s="182" t="n">
        <v>0</v>
      </c>
      <c r="AK1807" s="182" t="n">
        <v>0</v>
      </c>
      <c r="AL1807" s="182" t="n">
        <v>0</v>
      </c>
      <c r="AM1807" s="182" t="n">
        <v>0</v>
      </c>
      <c r="AN1807" s="182" t="n">
        <v>0</v>
      </c>
    </row>
    <row r="1808">
      <c r="A1808" s="155" t="n">
        <v>46090</v>
      </c>
      <c r="B1808" s="156" t="inlineStr">
        <is>
          <t>DS</t>
        </is>
      </c>
      <c r="C1808" s="156" t="inlineStr">
        <is>
          <t>EX-335</t>
        </is>
      </c>
      <c r="D1808" s="156" t="inlineStr">
        <is>
          <t>PC 300-8MO</t>
        </is>
      </c>
      <c r="E1808" s="156" t="inlineStr">
        <is>
          <t>Excavator</t>
        </is>
      </c>
      <c r="F1808" s="156" t="inlineStr"/>
      <c r="G1808" s="182" t="n">
        <v>0</v>
      </c>
      <c r="H1808" s="182" t="n">
        <v>0</v>
      </c>
      <c r="I1808" s="182" t="n">
        <v>12</v>
      </c>
      <c r="J1808" s="182" t="n">
        <v>12</v>
      </c>
      <c r="K1808" s="182" t="n">
        <v>0</v>
      </c>
      <c r="L1808" s="182" t="n">
        <v>12</v>
      </c>
      <c r="M1808" s="182" t="n">
        <v>0</v>
      </c>
      <c r="N1808" s="182" t="n">
        <v>0</v>
      </c>
      <c r="O1808" s="183" t="n">
        <v>0</v>
      </c>
      <c r="P1808" s="183" t="n">
        <v>0</v>
      </c>
      <c r="Q1808" s="184" t="n">
        <v>0</v>
      </c>
      <c r="R1808" s="184" t="n">
        <v>0</v>
      </c>
      <c r="S1808" s="183" t="n">
        <v>0</v>
      </c>
      <c r="T1808" s="183" t="n">
        <v>0</v>
      </c>
      <c r="U1808" s="182" t="n">
        <v>0</v>
      </c>
      <c r="V1808" s="182" t="n">
        <v>0</v>
      </c>
      <c r="W1808" s="182" t="n">
        <v>0</v>
      </c>
      <c r="X1808" s="182" t="n">
        <v>0</v>
      </c>
      <c r="Y1808" s="182" t="n">
        <v>0</v>
      </c>
      <c r="Z1808" s="182" t="n">
        <v>0</v>
      </c>
      <c r="AA1808" s="182" t="n">
        <v>0</v>
      </c>
      <c r="AB1808" s="182" t="n">
        <v>0</v>
      </c>
      <c r="AC1808" s="182" t="n">
        <v>0</v>
      </c>
      <c r="AD1808" s="182" t="n">
        <v>0</v>
      </c>
      <c r="AE1808" s="182" t="n">
        <v>0</v>
      </c>
      <c r="AF1808" s="182" t="n">
        <v>0</v>
      </c>
      <c r="AG1808" s="182" t="n">
        <v>0</v>
      </c>
      <c r="AH1808" s="182" t="n">
        <v>0</v>
      </c>
      <c r="AI1808" s="182" t="n">
        <v>0</v>
      </c>
      <c r="AJ1808" s="182" t="n">
        <v>0</v>
      </c>
      <c r="AK1808" s="182" t="n">
        <v>0</v>
      </c>
      <c r="AL1808" s="182" t="n">
        <v>0</v>
      </c>
      <c r="AM1808" s="182" t="n">
        <v>0</v>
      </c>
      <c r="AN1808" s="182" t="n">
        <v>0</v>
      </c>
    </row>
    <row r="1809">
      <c r="A1809" s="155" t="n">
        <v>46090</v>
      </c>
      <c r="B1809" s="156" t="inlineStr">
        <is>
          <t>DS</t>
        </is>
      </c>
      <c r="C1809" s="156" t="inlineStr">
        <is>
          <t>EX-754</t>
        </is>
      </c>
      <c r="D1809" s="156" t="inlineStr">
        <is>
          <t>SY750H-PRO</t>
        </is>
      </c>
      <c r="E1809" s="156" t="inlineStr">
        <is>
          <t>Excavator</t>
        </is>
      </c>
      <c r="F1809" s="156" t="inlineStr">
        <is>
          <t>Loading OB &amp; Coal S60 // General Perapian Jalan</t>
        </is>
      </c>
      <c r="G1809" s="182" t="n">
        <v>7.38</v>
      </c>
      <c r="H1809" s="182" t="n">
        <v>0</v>
      </c>
      <c r="I1809" s="182" t="n">
        <v>0</v>
      </c>
      <c r="J1809" s="182" t="n">
        <v>0</v>
      </c>
      <c r="K1809" s="182" t="n">
        <v>4.62</v>
      </c>
      <c r="L1809" s="182" t="n">
        <v>12</v>
      </c>
      <c r="M1809" s="182" t="n">
        <v>0.49</v>
      </c>
      <c r="N1809" s="182" t="n">
        <v>3.4</v>
      </c>
      <c r="O1809" s="183" t="n">
        <v>9</v>
      </c>
      <c r="P1809" s="183" t="n">
        <v>42</v>
      </c>
      <c r="Q1809" s="184" t="n">
        <v>183.6</v>
      </c>
      <c r="R1809" s="184" t="n">
        <v>785.4</v>
      </c>
      <c r="S1809" s="183" t="n">
        <v>0</v>
      </c>
      <c r="T1809" s="183" t="n">
        <v>0</v>
      </c>
      <c r="U1809" s="182" t="n">
        <v>0</v>
      </c>
      <c r="V1809" s="182" t="n">
        <v>0</v>
      </c>
      <c r="W1809" s="182" t="n">
        <v>0</v>
      </c>
      <c r="X1809" s="182" t="n">
        <v>1.05</v>
      </c>
      <c r="Y1809" s="182" t="n">
        <v>0</v>
      </c>
      <c r="Z1809" s="182" t="n">
        <v>0</v>
      </c>
      <c r="AA1809" s="182" t="n">
        <v>0</v>
      </c>
      <c r="AB1809" s="182" t="n">
        <v>0</v>
      </c>
      <c r="AC1809" s="182" t="n">
        <v>0</v>
      </c>
      <c r="AD1809" s="182" t="n">
        <v>3.49</v>
      </c>
      <c r="AE1809" s="182" t="n">
        <v>0</v>
      </c>
      <c r="AF1809" s="182" t="n">
        <v>0</v>
      </c>
      <c r="AG1809" s="182" t="n">
        <v>0</v>
      </c>
      <c r="AH1809" s="182" t="n">
        <v>0</v>
      </c>
      <c r="AI1809" s="182" t="n">
        <v>0</v>
      </c>
      <c r="AJ1809" s="182" t="n">
        <v>0</v>
      </c>
      <c r="AK1809" s="182" t="n">
        <v>0</v>
      </c>
      <c r="AL1809" s="182" t="n">
        <v>0</v>
      </c>
      <c r="AM1809" s="182" t="n">
        <v>0.08</v>
      </c>
      <c r="AN1809" s="182" t="n">
        <v>0</v>
      </c>
    </row>
    <row r="1810">
      <c r="A1810" s="155" t="n">
        <v>46090</v>
      </c>
      <c r="B1810" s="156" t="inlineStr">
        <is>
          <t>DS</t>
        </is>
      </c>
      <c r="C1810" s="156" t="inlineStr">
        <is>
          <t>EX-755</t>
        </is>
      </c>
      <c r="D1810" s="156" t="inlineStr">
        <is>
          <t>SY750H-PRO</t>
        </is>
      </c>
      <c r="E1810" s="156" t="inlineStr">
        <is>
          <t>Excavator</t>
        </is>
      </c>
      <c r="F1810" s="156" t="inlineStr">
        <is>
          <t>Loading OB</t>
        </is>
      </c>
      <c r="G1810" s="182" t="n">
        <v>6.8</v>
      </c>
      <c r="H1810" s="182" t="n">
        <v>0</v>
      </c>
      <c r="I1810" s="182" t="n">
        <v>0</v>
      </c>
      <c r="J1810" s="182" t="n">
        <v>0</v>
      </c>
      <c r="K1810" s="182" t="n">
        <v>5.2</v>
      </c>
      <c r="L1810" s="182" t="n">
        <v>12</v>
      </c>
      <c r="M1810" s="182" t="n">
        <v>5.64</v>
      </c>
      <c r="N1810" s="182" t="n">
        <v>0</v>
      </c>
      <c r="O1810" s="183" t="n">
        <v>83</v>
      </c>
      <c r="P1810" s="183" t="n">
        <v>0</v>
      </c>
      <c r="Q1810" s="184" t="n">
        <v>1693.2</v>
      </c>
      <c r="R1810" s="184" t="n">
        <v>0</v>
      </c>
      <c r="S1810" s="183" t="n">
        <v>0</v>
      </c>
      <c r="T1810" s="183" t="n">
        <v>0</v>
      </c>
      <c r="U1810" s="182" t="n">
        <v>0</v>
      </c>
      <c r="V1810" s="182" t="n">
        <v>0</v>
      </c>
      <c r="W1810" s="182" t="n">
        <v>0</v>
      </c>
      <c r="X1810" s="182" t="n">
        <v>0.93</v>
      </c>
      <c r="Y1810" s="182" t="n">
        <v>0</v>
      </c>
      <c r="Z1810" s="182" t="n">
        <v>0.16</v>
      </c>
      <c r="AA1810" s="182" t="n">
        <v>0</v>
      </c>
      <c r="AB1810" s="182" t="n">
        <v>0</v>
      </c>
      <c r="AC1810" s="182" t="n">
        <v>0.31</v>
      </c>
      <c r="AD1810" s="182" t="n">
        <v>3.29</v>
      </c>
      <c r="AE1810" s="182" t="n">
        <v>0</v>
      </c>
      <c r="AF1810" s="182" t="n">
        <v>0</v>
      </c>
      <c r="AG1810" s="182" t="n">
        <v>0</v>
      </c>
      <c r="AH1810" s="182" t="n">
        <v>0.44</v>
      </c>
      <c r="AI1810" s="182" t="n">
        <v>0</v>
      </c>
      <c r="AJ1810" s="182" t="n">
        <v>0</v>
      </c>
      <c r="AK1810" s="182" t="n">
        <v>0</v>
      </c>
      <c r="AL1810" s="182" t="n">
        <v>0</v>
      </c>
      <c r="AM1810" s="182" t="n">
        <v>0.07000000000000001</v>
      </c>
      <c r="AN1810" s="182" t="n">
        <v>0</v>
      </c>
    </row>
    <row r="1811">
      <c r="A1811" s="155" t="n">
        <v>46090</v>
      </c>
      <c r="B1811" s="156" t="inlineStr">
        <is>
          <t>DS</t>
        </is>
      </c>
      <c r="C1811" s="156" t="inlineStr">
        <is>
          <t>EX-752</t>
        </is>
      </c>
      <c r="D1811" s="156" t="inlineStr">
        <is>
          <t>SY750H-PRO</t>
        </is>
      </c>
      <c r="E1811" s="156" t="inlineStr">
        <is>
          <t>Excavator</t>
        </is>
      </c>
      <c r="F1811" s="156" t="inlineStr"/>
      <c r="G1811" s="182" t="n">
        <v>0</v>
      </c>
      <c r="H1811" s="182" t="n">
        <v>0</v>
      </c>
      <c r="I1811" s="182" t="n">
        <v>12</v>
      </c>
      <c r="J1811" s="182" t="n">
        <v>12</v>
      </c>
      <c r="K1811" s="182" t="n">
        <v>0</v>
      </c>
      <c r="L1811" s="182" t="n">
        <v>12</v>
      </c>
      <c r="M1811" s="182" t="n">
        <v>0</v>
      </c>
      <c r="N1811" s="182" t="n">
        <v>0</v>
      </c>
      <c r="O1811" s="183" t="n">
        <v>0</v>
      </c>
      <c r="P1811" s="183" t="n">
        <v>0</v>
      </c>
      <c r="Q1811" s="184" t="n">
        <v>0</v>
      </c>
      <c r="R1811" s="184" t="n">
        <v>0</v>
      </c>
      <c r="S1811" s="183" t="n">
        <v>0</v>
      </c>
      <c r="T1811" s="183" t="n">
        <v>0</v>
      </c>
      <c r="U1811" s="182" t="n">
        <v>0</v>
      </c>
      <c r="V1811" s="182" t="n">
        <v>0</v>
      </c>
      <c r="W1811" s="182" t="n">
        <v>0</v>
      </c>
      <c r="X1811" s="182" t="n">
        <v>0</v>
      </c>
      <c r="Y1811" s="182" t="n">
        <v>0</v>
      </c>
      <c r="Z1811" s="182" t="n">
        <v>0</v>
      </c>
      <c r="AA1811" s="182" t="n">
        <v>0</v>
      </c>
      <c r="AB1811" s="182" t="n">
        <v>0</v>
      </c>
      <c r="AC1811" s="182" t="n">
        <v>0</v>
      </c>
      <c r="AD1811" s="182" t="n">
        <v>0</v>
      </c>
      <c r="AE1811" s="182" t="n">
        <v>0</v>
      </c>
      <c r="AF1811" s="182" t="n">
        <v>0</v>
      </c>
      <c r="AG1811" s="182" t="n">
        <v>0</v>
      </c>
      <c r="AH1811" s="182" t="n">
        <v>0</v>
      </c>
      <c r="AI1811" s="182" t="n">
        <v>0</v>
      </c>
      <c r="AJ1811" s="182" t="n">
        <v>0</v>
      </c>
      <c r="AK1811" s="182" t="n">
        <v>0</v>
      </c>
      <c r="AL1811" s="182" t="n">
        <v>0</v>
      </c>
      <c r="AM1811" s="182" t="n">
        <v>0</v>
      </c>
      <c r="AN1811" s="182" t="n">
        <v>0</v>
      </c>
    </row>
    <row r="1812">
      <c r="A1812" s="155" t="n">
        <v>46090</v>
      </c>
      <c r="B1812" s="156" t="inlineStr">
        <is>
          <t>DS</t>
        </is>
      </c>
      <c r="C1812" s="156" t="inlineStr">
        <is>
          <t>EX-751</t>
        </is>
      </c>
      <c r="D1812" s="156" t="inlineStr">
        <is>
          <t>SY750H-PRO</t>
        </is>
      </c>
      <c r="E1812" s="156" t="inlineStr">
        <is>
          <t>Excavator</t>
        </is>
      </c>
      <c r="F1812" s="156" t="inlineStr"/>
      <c r="G1812" s="182" t="n">
        <v>0</v>
      </c>
      <c r="H1812" s="182" t="n">
        <v>0</v>
      </c>
      <c r="I1812" s="182" t="n">
        <v>12</v>
      </c>
      <c r="J1812" s="182" t="n">
        <v>12</v>
      </c>
      <c r="K1812" s="182" t="n">
        <v>0</v>
      </c>
      <c r="L1812" s="182" t="n">
        <v>12</v>
      </c>
      <c r="M1812" s="182" t="n">
        <v>0</v>
      </c>
      <c r="N1812" s="182" t="n">
        <v>0</v>
      </c>
      <c r="O1812" s="183" t="n">
        <v>0</v>
      </c>
      <c r="P1812" s="183" t="n">
        <v>0</v>
      </c>
      <c r="Q1812" s="184" t="n">
        <v>0</v>
      </c>
      <c r="R1812" s="184" t="n">
        <v>0</v>
      </c>
      <c r="S1812" s="183" t="n">
        <v>0</v>
      </c>
      <c r="T1812" s="183" t="n">
        <v>0</v>
      </c>
      <c r="U1812" s="182" t="n">
        <v>0</v>
      </c>
      <c r="V1812" s="182" t="n">
        <v>0</v>
      </c>
      <c r="W1812" s="182" t="n">
        <v>0</v>
      </c>
      <c r="X1812" s="182" t="n">
        <v>0</v>
      </c>
      <c r="Y1812" s="182" t="n">
        <v>0</v>
      </c>
      <c r="Z1812" s="182" t="n">
        <v>0</v>
      </c>
      <c r="AA1812" s="182" t="n">
        <v>0</v>
      </c>
      <c r="AB1812" s="182" t="n">
        <v>0</v>
      </c>
      <c r="AC1812" s="182" t="n">
        <v>0</v>
      </c>
      <c r="AD1812" s="182" t="n">
        <v>0</v>
      </c>
      <c r="AE1812" s="182" t="n">
        <v>0</v>
      </c>
      <c r="AF1812" s="182" t="n">
        <v>0</v>
      </c>
      <c r="AG1812" s="182" t="n">
        <v>0</v>
      </c>
      <c r="AH1812" s="182" t="n">
        <v>0</v>
      </c>
      <c r="AI1812" s="182" t="n">
        <v>0</v>
      </c>
      <c r="AJ1812" s="182" t="n">
        <v>0</v>
      </c>
      <c r="AK1812" s="182" t="n">
        <v>0</v>
      </c>
      <c r="AL1812" s="182" t="n">
        <v>0</v>
      </c>
      <c r="AM1812" s="182" t="n">
        <v>0</v>
      </c>
      <c r="AN1812" s="182" t="n">
        <v>0</v>
      </c>
    </row>
    <row r="1813">
      <c r="A1813" s="155" t="n">
        <v>46090</v>
      </c>
      <c r="B1813" s="156" t="inlineStr">
        <is>
          <t>DS</t>
        </is>
      </c>
      <c r="C1813" s="156" t="inlineStr">
        <is>
          <t>EX-753</t>
        </is>
      </c>
      <c r="D1813" s="156" t="inlineStr">
        <is>
          <t>SY750H-PRO</t>
        </is>
      </c>
      <c r="E1813" s="156" t="inlineStr">
        <is>
          <t>Excavator</t>
        </is>
      </c>
      <c r="F1813" s="156" t="inlineStr">
        <is>
          <t>Loading Coal &amp; OB</t>
        </is>
      </c>
      <c r="G1813" s="182" t="n">
        <v>5.41</v>
      </c>
      <c r="H1813" s="182" t="n">
        <v>0</v>
      </c>
      <c r="I1813" s="182" t="n">
        <v>1.4</v>
      </c>
      <c r="J1813" s="182" t="n">
        <v>1.4</v>
      </c>
      <c r="K1813" s="182" t="n">
        <v>5.19</v>
      </c>
      <c r="L1813" s="182" t="n">
        <v>12</v>
      </c>
      <c r="M1813" s="182" t="n">
        <v>4.67</v>
      </c>
      <c r="N1813" s="182" t="n">
        <v>0.17</v>
      </c>
      <c r="O1813" s="183" t="n">
        <v>57</v>
      </c>
      <c r="P1813" s="183" t="n">
        <v>2</v>
      </c>
      <c r="Q1813" s="184" t="n">
        <v>1162.8</v>
      </c>
      <c r="R1813" s="184" t="n">
        <v>37.4</v>
      </c>
      <c r="S1813" s="183" t="n">
        <v>0</v>
      </c>
      <c r="T1813" s="183" t="n">
        <v>0</v>
      </c>
      <c r="U1813" s="182" t="n">
        <v>0</v>
      </c>
      <c r="V1813" s="182" t="n">
        <v>0</v>
      </c>
      <c r="W1813" s="182" t="n">
        <v>0</v>
      </c>
      <c r="X1813" s="182" t="n">
        <v>0.98</v>
      </c>
      <c r="Y1813" s="182" t="n">
        <v>0</v>
      </c>
      <c r="Z1813" s="182" t="n">
        <v>0.15</v>
      </c>
      <c r="AA1813" s="182" t="n">
        <v>0</v>
      </c>
      <c r="AB1813" s="182" t="n">
        <v>0</v>
      </c>
      <c r="AC1813" s="182" t="n">
        <v>0</v>
      </c>
      <c r="AD1813" s="182" t="n">
        <v>3.46</v>
      </c>
      <c r="AE1813" s="182" t="n">
        <v>0</v>
      </c>
      <c r="AF1813" s="182" t="n">
        <v>0</v>
      </c>
      <c r="AG1813" s="182" t="n">
        <v>0</v>
      </c>
      <c r="AH1813" s="182" t="n">
        <v>0.53</v>
      </c>
      <c r="AI1813" s="182" t="n">
        <v>0</v>
      </c>
      <c r="AJ1813" s="182" t="n">
        <v>0</v>
      </c>
      <c r="AK1813" s="182" t="n">
        <v>0</v>
      </c>
      <c r="AL1813" s="182" t="n">
        <v>0</v>
      </c>
      <c r="AM1813" s="182" t="n">
        <v>0.08</v>
      </c>
      <c r="AN1813" s="182" t="n">
        <v>0</v>
      </c>
    </row>
    <row r="1814">
      <c r="A1814" s="155" t="n">
        <v>46090</v>
      </c>
      <c r="B1814" s="156" t="inlineStr">
        <is>
          <t>DS</t>
        </is>
      </c>
      <c r="C1814" s="156" t="inlineStr">
        <is>
          <t>GD-012</t>
        </is>
      </c>
      <c r="D1814" s="156" t="inlineStr">
        <is>
          <t>STG 230C - 8S</t>
        </is>
      </c>
      <c r="E1814" s="156" t="inlineStr">
        <is>
          <t>Grader</t>
        </is>
      </c>
      <c r="F1814" s="156" t="inlineStr"/>
      <c r="G1814" s="182" t="n">
        <v>0</v>
      </c>
      <c r="H1814" s="182" t="n">
        <v>0</v>
      </c>
      <c r="I1814" s="182" t="n">
        <v>0</v>
      </c>
      <c r="J1814" s="182" t="n">
        <v>0</v>
      </c>
      <c r="K1814" s="182" t="n">
        <v>12</v>
      </c>
      <c r="L1814" s="182" t="n">
        <v>12</v>
      </c>
      <c r="M1814" s="182" t="n">
        <v>0</v>
      </c>
      <c r="N1814" s="182" t="n">
        <v>0</v>
      </c>
      <c r="O1814" s="183" t="n">
        <v>0</v>
      </c>
      <c r="P1814" s="183" t="n">
        <v>0</v>
      </c>
      <c r="Q1814" s="184" t="n">
        <v>0</v>
      </c>
      <c r="R1814" s="184" t="n">
        <v>0</v>
      </c>
      <c r="S1814" s="183" t="n">
        <v>0</v>
      </c>
      <c r="T1814" s="183" t="n">
        <v>0</v>
      </c>
      <c r="U1814" s="182" t="n">
        <v>0</v>
      </c>
      <c r="V1814" s="182" t="n">
        <v>0</v>
      </c>
      <c r="W1814" s="182" t="n">
        <v>0</v>
      </c>
      <c r="X1814" s="182" t="n">
        <v>1</v>
      </c>
      <c r="Y1814" s="182" t="n">
        <v>0</v>
      </c>
      <c r="Z1814" s="182" t="n">
        <v>0</v>
      </c>
      <c r="AA1814" s="182" t="n">
        <v>0</v>
      </c>
      <c r="AB1814" s="182" t="n">
        <v>0</v>
      </c>
      <c r="AC1814" s="182" t="n">
        <v>0</v>
      </c>
      <c r="AD1814" s="182" t="n">
        <v>0</v>
      </c>
      <c r="AE1814" s="182" t="n">
        <v>0</v>
      </c>
      <c r="AF1814" s="182" t="n">
        <v>0</v>
      </c>
      <c r="AG1814" s="182" t="n">
        <v>0</v>
      </c>
      <c r="AH1814" s="182" t="n">
        <v>0</v>
      </c>
      <c r="AI1814" s="182" t="n">
        <v>0</v>
      </c>
      <c r="AJ1814" s="182" t="n">
        <v>0</v>
      </c>
      <c r="AK1814" s="182" t="n">
        <v>10.92</v>
      </c>
      <c r="AL1814" s="182" t="n">
        <v>0</v>
      </c>
      <c r="AM1814" s="182" t="n">
        <v>0.08</v>
      </c>
      <c r="AN1814" s="182" t="n">
        <v>0</v>
      </c>
    </row>
    <row r="1815">
      <c r="A1815" s="155" t="n">
        <v>46090</v>
      </c>
      <c r="B1815" s="156" t="inlineStr">
        <is>
          <t>DS</t>
        </is>
      </c>
      <c r="C1815" s="156" t="inlineStr">
        <is>
          <t>GD-011</t>
        </is>
      </c>
      <c r="D1815" s="156" t="inlineStr">
        <is>
          <t>STG 230C - 8S</t>
        </is>
      </c>
      <c r="E1815" s="156" t="inlineStr">
        <is>
          <t>Grader</t>
        </is>
      </c>
      <c r="F1815" s="156" t="inlineStr"/>
      <c r="G1815" s="182" t="n">
        <v>0</v>
      </c>
      <c r="H1815" s="182" t="n">
        <v>0</v>
      </c>
      <c r="I1815" s="182" t="n">
        <v>12</v>
      </c>
      <c r="J1815" s="182" t="n">
        <v>12</v>
      </c>
      <c r="K1815" s="182" t="n">
        <v>0</v>
      </c>
      <c r="L1815" s="182" t="n">
        <v>12</v>
      </c>
      <c r="M1815" s="182" t="n">
        <v>0</v>
      </c>
      <c r="N1815" s="182" t="n">
        <v>0</v>
      </c>
      <c r="O1815" s="183" t="n">
        <v>0</v>
      </c>
      <c r="P1815" s="183" t="n">
        <v>0</v>
      </c>
      <c r="Q1815" s="184" t="n">
        <v>0</v>
      </c>
      <c r="R1815" s="184" t="n">
        <v>0</v>
      </c>
      <c r="S1815" s="183" t="n">
        <v>0</v>
      </c>
      <c r="T1815" s="183" t="n">
        <v>0</v>
      </c>
      <c r="U1815" s="182" t="n">
        <v>0</v>
      </c>
      <c r="V1815" s="182" t="n">
        <v>0</v>
      </c>
      <c r="W1815" s="182" t="n">
        <v>0</v>
      </c>
      <c r="X1815" s="182" t="n">
        <v>0</v>
      </c>
      <c r="Y1815" s="182" t="n">
        <v>0</v>
      </c>
      <c r="Z1815" s="182" t="n">
        <v>0</v>
      </c>
      <c r="AA1815" s="182" t="n">
        <v>0</v>
      </c>
      <c r="AB1815" s="182" t="n">
        <v>0</v>
      </c>
      <c r="AC1815" s="182" t="n">
        <v>0</v>
      </c>
      <c r="AD1815" s="182" t="n">
        <v>0</v>
      </c>
      <c r="AE1815" s="182" t="n">
        <v>0</v>
      </c>
      <c r="AF1815" s="182" t="n">
        <v>0</v>
      </c>
      <c r="AG1815" s="182" t="n">
        <v>0</v>
      </c>
      <c r="AH1815" s="182" t="n">
        <v>0</v>
      </c>
      <c r="AI1815" s="182" t="n">
        <v>0</v>
      </c>
      <c r="AJ1815" s="182" t="n">
        <v>0</v>
      </c>
      <c r="AK1815" s="182" t="n">
        <v>0</v>
      </c>
      <c r="AL1815" s="182" t="n">
        <v>0</v>
      </c>
      <c r="AM1815" s="182" t="n">
        <v>0</v>
      </c>
      <c r="AN1815" s="182" t="n">
        <v>0</v>
      </c>
    </row>
    <row r="1816">
      <c r="A1816" s="155" t="n">
        <v>46090</v>
      </c>
      <c r="B1816" s="156" t="inlineStr">
        <is>
          <t>DS</t>
        </is>
      </c>
      <c r="C1816" s="156" t="inlineStr">
        <is>
          <t>GD-013</t>
        </is>
      </c>
      <c r="D1816" s="156" t="inlineStr">
        <is>
          <t>STG 265C - 10</t>
        </is>
      </c>
      <c r="E1816" s="156" t="inlineStr">
        <is>
          <t>Grader</t>
        </is>
      </c>
      <c r="F1816" s="156" t="inlineStr">
        <is>
          <t>Road Maintenance</t>
        </is>
      </c>
      <c r="G1816" s="182" t="n">
        <v>10.91</v>
      </c>
      <c r="H1816" s="182" t="n">
        <v>0</v>
      </c>
      <c r="I1816" s="182" t="n">
        <v>0</v>
      </c>
      <c r="J1816" s="182" t="n">
        <v>0</v>
      </c>
      <c r="K1816" s="182" t="n">
        <v>1.09</v>
      </c>
      <c r="L1816" s="182" t="n">
        <v>12</v>
      </c>
      <c r="M1816" s="182" t="n">
        <v>0</v>
      </c>
      <c r="N1816" s="182" t="n">
        <v>0</v>
      </c>
      <c r="O1816" s="183" t="n">
        <v>0</v>
      </c>
      <c r="P1816" s="183" t="n">
        <v>0</v>
      </c>
      <c r="Q1816" s="184" t="n">
        <v>0</v>
      </c>
      <c r="R1816" s="184" t="n">
        <v>0</v>
      </c>
      <c r="S1816" s="183" t="n">
        <v>0</v>
      </c>
      <c r="T1816" s="183" t="n">
        <v>0</v>
      </c>
      <c r="U1816" s="182" t="n">
        <v>0</v>
      </c>
      <c r="V1816" s="182" t="n">
        <v>0</v>
      </c>
      <c r="W1816" s="182" t="n">
        <v>0</v>
      </c>
      <c r="X1816" s="182" t="n">
        <v>1</v>
      </c>
      <c r="Y1816" s="182" t="n">
        <v>0</v>
      </c>
      <c r="Z1816" s="182" t="n">
        <v>0</v>
      </c>
      <c r="AA1816" s="182" t="n">
        <v>0</v>
      </c>
      <c r="AB1816" s="182" t="n">
        <v>0</v>
      </c>
      <c r="AC1816" s="182" t="n">
        <v>0</v>
      </c>
      <c r="AD1816" s="182" t="n">
        <v>0</v>
      </c>
      <c r="AE1816" s="182" t="n">
        <v>0</v>
      </c>
      <c r="AF1816" s="182" t="n">
        <v>0</v>
      </c>
      <c r="AG1816" s="182" t="n">
        <v>0</v>
      </c>
      <c r="AH1816" s="182" t="n">
        <v>0</v>
      </c>
      <c r="AI1816" s="182" t="n">
        <v>0</v>
      </c>
      <c r="AJ1816" s="182" t="n">
        <v>0</v>
      </c>
      <c r="AK1816" s="182" t="n">
        <v>0</v>
      </c>
      <c r="AL1816" s="182" t="n">
        <v>0</v>
      </c>
      <c r="AM1816" s="182" t="n">
        <v>0.09</v>
      </c>
      <c r="AN1816" s="182" t="n">
        <v>0</v>
      </c>
    </row>
    <row r="1817">
      <c r="A1817" s="155" t="n">
        <v>46090</v>
      </c>
      <c r="B1817" s="156" t="inlineStr">
        <is>
          <t>DS</t>
        </is>
      </c>
      <c r="C1817" s="156" t="inlineStr">
        <is>
          <t>GD-014</t>
        </is>
      </c>
      <c r="D1817" s="156" t="inlineStr">
        <is>
          <t>STG 335C - 10</t>
        </is>
      </c>
      <c r="E1817" s="156" t="inlineStr">
        <is>
          <t>Grader</t>
        </is>
      </c>
      <c r="F1817" s="156" t="inlineStr">
        <is>
          <t>Road Maintenance</t>
        </is>
      </c>
      <c r="G1817" s="182" t="n">
        <v>3.39</v>
      </c>
      <c r="H1817" s="182" t="n">
        <v>0</v>
      </c>
      <c r="I1817" s="182" t="n">
        <v>5.42</v>
      </c>
      <c r="J1817" s="182" t="n">
        <v>5.42</v>
      </c>
      <c r="K1817" s="182" t="n">
        <v>3.19</v>
      </c>
      <c r="L1817" s="182" t="n">
        <v>12</v>
      </c>
      <c r="M1817" s="182" t="n">
        <v>0</v>
      </c>
      <c r="N1817" s="182" t="n">
        <v>0</v>
      </c>
      <c r="O1817" s="183" t="n">
        <v>0</v>
      </c>
      <c r="P1817" s="183" t="n">
        <v>0</v>
      </c>
      <c r="Q1817" s="184" t="n">
        <v>0</v>
      </c>
      <c r="R1817" s="184" t="n">
        <v>0</v>
      </c>
      <c r="S1817" s="183" t="n">
        <v>0</v>
      </c>
      <c r="T1817" s="183" t="n">
        <v>0</v>
      </c>
      <c r="U1817" s="182" t="n">
        <v>0</v>
      </c>
      <c r="V1817" s="182" t="n">
        <v>0</v>
      </c>
      <c r="W1817" s="182" t="n">
        <v>0</v>
      </c>
      <c r="X1817" s="182" t="n">
        <v>0.92</v>
      </c>
      <c r="Y1817" s="182" t="n">
        <v>0</v>
      </c>
      <c r="Z1817" s="182" t="n">
        <v>0</v>
      </c>
      <c r="AA1817" s="182" t="n">
        <v>0</v>
      </c>
      <c r="AB1817" s="182" t="n">
        <v>0</v>
      </c>
      <c r="AC1817" s="182" t="n">
        <v>0</v>
      </c>
      <c r="AD1817" s="182" t="n">
        <v>0</v>
      </c>
      <c r="AE1817" s="182" t="n">
        <v>0</v>
      </c>
      <c r="AF1817" s="182" t="n">
        <v>0</v>
      </c>
      <c r="AG1817" s="182" t="n">
        <v>0</v>
      </c>
      <c r="AH1817" s="182" t="n">
        <v>0</v>
      </c>
      <c r="AI1817" s="182" t="n">
        <v>0</v>
      </c>
      <c r="AJ1817" s="182" t="n">
        <v>0</v>
      </c>
      <c r="AK1817" s="182" t="n">
        <v>2.2</v>
      </c>
      <c r="AL1817" s="182" t="n">
        <v>0</v>
      </c>
      <c r="AM1817" s="182" t="n">
        <v>0.07000000000000001</v>
      </c>
      <c r="AN1817" s="182" t="n">
        <v>0</v>
      </c>
    </row>
    <row r="1818">
      <c r="A1818" s="155" t="n">
        <v>46090</v>
      </c>
      <c r="B1818" s="156" t="inlineStr">
        <is>
          <t>DS</t>
        </is>
      </c>
      <c r="C1818" s="156" t="inlineStr">
        <is>
          <t>DT-809</t>
        </is>
      </c>
      <c r="D1818" s="156" t="inlineStr">
        <is>
          <t>SKT 80S</t>
        </is>
      </c>
      <c r="E1818" s="156" t="inlineStr">
        <is>
          <t>Hauler</t>
        </is>
      </c>
      <c r="F1818" s="156" t="inlineStr"/>
      <c r="G1818" s="182" t="n">
        <v>0</v>
      </c>
      <c r="H1818" s="182" t="n">
        <v>0</v>
      </c>
      <c r="I1818" s="182" t="n">
        <v>12</v>
      </c>
      <c r="J1818" s="182" t="n">
        <v>12</v>
      </c>
      <c r="K1818" s="182" t="n">
        <v>0</v>
      </c>
      <c r="L1818" s="182" t="n">
        <v>12</v>
      </c>
      <c r="M1818" s="182" t="n">
        <v>0</v>
      </c>
      <c r="N1818" s="182" t="n">
        <v>0</v>
      </c>
      <c r="O1818" s="183" t="n">
        <v>0</v>
      </c>
      <c r="P1818" s="183" t="n">
        <v>0</v>
      </c>
      <c r="Q1818" s="184" t="n">
        <v>0</v>
      </c>
      <c r="R1818" s="184" t="n">
        <v>0</v>
      </c>
      <c r="S1818" s="183" t="n">
        <v>0</v>
      </c>
      <c r="T1818" s="183" t="n">
        <v>0</v>
      </c>
      <c r="U1818" s="182" t="n">
        <v>0</v>
      </c>
      <c r="V1818" s="182" t="n">
        <v>0</v>
      </c>
      <c r="W1818" s="182" t="n">
        <v>0</v>
      </c>
      <c r="X1818" s="182" t="n">
        <v>0</v>
      </c>
      <c r="Y1818" s="182" t="n">
        <v>0</v>
      </c>
      <c r="Z1818" s="182" t="n">
        <v>0</v>
      </c>
      <c r="AA1818" s="182" t="n">
        <v>0</v>
      </c>
      <c r="AB1818" s="182" t="n">
        <v>0</v>
      </c>
      <c r="AC1818" s="182" t="n">
        <v>0</v>
      </c>
      <c r="AD1818" s="182" t="n">
        <v>0</v>
      </c>
      <c r="AE1818" s="182" t="n">
        <v>0</v>
      </c>
      <c r="AF1818" s="182" t="n">
        <v>0</v>
      </c>
      <c r="AG1818" s="182" t="n">
        <v>0</v>
      </c>
      <c r="AH1818" s="182" t="n">
        <v>0</v>
      </c>
      <c r="AI1818" s="182" t="n">
        <v>0</v>
      </c>
      <c r="AJ1818" s="182" t="n">
        <v>0</v>
      </c>
      <c r="AK1818" s="182" t="n">
        <v>0</v>
      </c>
      <c r="AL1818" s="182" t="n">
        <v>0</v>
      </c>
      <c r="AM1818" s="182" t="n">
        <v>0</v>
      </c>
      <c r="AN1818" s="182" t="n">
        <v>0</v>
      </c>
    </row>
    <row r="1819">
      <c r="A1819" s="155" t="n">
        <v>46090</v>
      </c>
      <c r="B1819" s="156" t="inlineStr">
        <is>
          <t>DS</t>
        </is>
      </c>
      <c r="C1819" s="156" t="inlineStr">
        <is>
          <t>DT-806</t>
        </is>
      </c>
      <c r="D1819" s="156" t="inlineStr">
        <is>
          <t>SKT 80S</t>
        </is>
      </c>
      <c r="E1819" s="156" t="inlineStr">
        <is>
          <t>Hauler</t>
        </is>
      </c>
      <c r="F1819" s="156" t="inlineStr"/>
      <c r="G1819" s="182" t="n">
        <v>0</v>
      </c>
      <c r="H1819" s="182" t="n">
        <v>0</v>
      </c>
      <c r="I1819" s="182" t="n">
        <v>12</v>
      </c>
      <c r="J1819" s="182" t="n">
        <v>12</v>
      </c>
      <c r="K1819" s="182" t="n">
        <v>0</v>
      </c>
      <c r="L1819" s="182" t="n">
        <v>12</v>
      </c>
      <c r="M1819" s="182" t="n">
        <v>0</v>
      </c>
      <c r="N1819" s="182" t="n">
        <v>0</v>
      </c>
      <c r="O1819" s="183" t="n">
        <v>0</v>
      </c>
      <c r="P1819" s="183" t="n">
        <v>0</v>
      </c>
      <c r="Q1819" s="184" t="n">
        <v>0</v>
      </c>
      <c r="R1819" s="184" t="n">
        <v>0</v>
      </c>
      <c r="S1819" s="183" t="n">
        <v>0</v>
      </c>
      <c r="T1819" s="183" t="n">
        <v>0</v>
      </c>
      <c r="U1819" s="182" t="n">
        <v>0</v>
      </c>
      <c r="V1819" s="182" t="n">
        <v>0</v>
      </c>
      <c r="W1819" s="182" t="n">
        <v>0</v>
      </c>
      <c r="X1819" s="182" t="n">
        <v>0</v>
      </c>
      <c r="Y1819" s="182" t="n">
        <v>0</v>
      </c>
      <c r="Z1819" s="182" t="n">
        <v>0</v>
      </c>
      <c r="AA1819" s="182" t="n">
        <v>0</v>
      </c>
      <c r="AB1819" s="182" t="n">
        <v>0</v>
      </c>
      <c r="AC1819" s="182" t="n">
        <v>0</v>
      </c>
      <c r="AD1819" s="182" t="n">
        <v>0</v>
      </c>
      <c r="AE1819" s="182" t="n">
        <v>0</v>
      </c>
      <c r="AF1819" s="182" t="n">
        <v>0</v>
      </c>
      <c r="AG1819" s="182" t="n">
        <v>0</v>
      </c>
      <c r="AH1819" s="182" t="n">
        <v>0</v>
      </c>
      <c r="AI1819" s="182" t="n">
        <v>0</v>
      </c>
      <c r="AJ1819" s="182" t="n">
        <v>0</v>
      </c>
      <c r="AK1819" s="182" t="n">
        <v>0</v>
      </c>
      <c r="AL1819" s="182" t="n">
        <v>0</v>
      </c>
      <c r="AM1819" s="182" t="n">
        <v>0</v>
      </c>
      <c r="AN1819" s="182" t="n">
        <v>0</v>
      </c>
    </row>
    <row r="1820">
      <c r="A1820" s="155" t="n">
        <v>46090</v>
      </c>
      <c r="B1820" s="156" t="inlineStr">
        <is>
          <t>DS</t>
        </is>
      </c>
      <c r="C1820" s="156" t="inlineStr">
        <is>
          <t>DT-805</t>
        </is>
      </c>
      <c r="D1820" s="156" t="inlineStr">
        <is>
          <t>SKT 80S</t>
        </is>
      </c>
      <c r="E1820" s="156" t="inlineStr">
        <is>
          <t>Hauler</t>
        </is>
      </c>
      <c r="F1820" s="156" t="inlineStr"/>
      <c r="G1820" s="182" t="n">
        <v>0</v>
      </c>
      <c r="H1820" s="182" t="n">
        <v>0</v>
      </c>
      <c r="I1820" s="182" t="n">
        <v>12</v>
      </c>
      <c r="J1820" s="182" t="n">
        <v>12</v>
      </c>
      <c r="K1820" s="182" t="n">
        <v>0</v>
      </c>
      <c r="L1820" s="182" t="n">
        <v>12</v>
      </c>
      <c r="M1820" s="182" t="n">
        <v>0</v>
      </c>
      <c r="N1820" s="182" t="n">
        <v>0</v>
      </c>
      <c r="O1820" s="183" t="n">
        <v>0</v>
      </c>
      <c r="P1820" s="183" t="n">
        <v>0</v>
      </c>
      <c r="Q1820" s="184" t="n">
        <v>0</v>
      </c>
      <c r="R1820" s="184" t="n">
        <v>0</v>
      </c>
      <c r="S1820" s="183" t="n">
        <v>0</v>
      </c>
      <c r="T1820" s="183" t="n">
        <v>0</v>
      </c>
      <c r="U1820" s="182" t="n">
        <v>0</v>
      </c>
      <c r="V1820" s="182" t="n">
        <v>0</v>
      </c>
      <c r="W1820" s="182" t="n">
        <v>0</v>
      </c>
      <c r="X1820" s="182" t="n">
        <v>0</v>
      </c>
      <c r="Y1820" s="182" t="n">
        <v>0</v>
      </c>
      <c r="Z1820" s="182" t="n">
        <v>0</v>
      </c>
      <c r="AA1820" s="182" t="n">
        <v>0</v>
      </c>
      <c r="AB1820" s="182" t="n">
        <v>0</v>
      </c>
      <c r="AC1820" s="182" t="n">
        <v>0</v>
      </c>
      <c r="AD1820" s="182" t="n">
        <v>0</v>
      </c>
      <c r="AE1820" s="182" t="n">
        <v>0</v>
      </c>
      <c r="AF1820" s="182" t="n">
        <v>0</v>
      </c>
      <c r="AG1820" s="182" t="n">
        <v>0</v>
      </c>
      <c r="AH1820" s="182" t="n">
        <v>0</v>
      </c>
      <c r="AI1820" s="182" t="n">
        <v>0</v>
      </c>
      <c r="AJ1820" s="182" t="n">
        <v>0</v>
      </c>
      <c r="AK1820" s="182" t="n">
        <v>0</v>
      </c>
      <c r="AL1820" s="182" t="n">
        <v>0</v>
      </c>
      <c r="AM1820" s="182" t="n">
        <v>0</v>
      </c>
      <c r="AN1820" s="182" t="n">
        <v>0</v>
      </c>
    </row>
    <row r="1821">
      <c r="A1821" s="155" t="n">
        <v>46090</v>
      </c>
      <c r="B1821" s="156" t="inlineStr">
        <is>
          <t>DS</t>
        </is>
      </c>
      <c r="C1821" s="156" t="inlineStr">
        <is>
          <t>DT-801</t>
        </is>
      </c>
      <c r="D1821" s="156" t="inlineStr">
        <is>
          <t>SKT 80S</t>
        </is>
      </c>
      <c r="E1821" s="156" t="inlineStr">
        <is>
          <t>Hauler</t>
        </is>
      </c>
      <c r="F1821" s="156" t="inlineStr"/>
      <c r="G1821" s="182" t="n">
        <v>0</v>
      </c>
      <c r="H1821" s="182" t="n">
        <v>0</v>
      </c>
      <c r="I1821" s="182" t="n">
        <v>12</v>
      </c>
      <c r="J1821" s="182" t="n">
        <v>12</v>
      </c>
      <c r="K1821" s="182" t="n">
        <v>0</v>
      </c>
      <c r="L1821" s="182" t="n">
        <v>12</v>
      </c>
      <c r="M1821" s="182" t="n">
        <v>0</v>
      </c>
      <c r="N1821" s="182" t="n">
        <v>0</v>
      </c>
      <c r="O1821" s="183" t="n">
        <v>0</v>
      </c>
      <c r="P1821" s="183" t="n">
        <v>0</v>
      </c>
      <c r="Q1821" s="184" t="n">
        <v>0</v>
      </c>
      <c r="R1821" s="184" t="n">
        <v>0</v>
      </c>
      <c r="S1821" s="183" t="n">
        <v>0</v>
      </c>
      <c r="T1821" s="183" t="n">
        <v>0</v>
      </c>
      <c r="U1821" s="182" t="n">
        <v>0</v>
      </c>
      <c r="V1821" s="182" t="n">
        <v>0</v>
      </c>
      <c r="W1821" s="182" t="n">
        <v>0</v>
      </c>
      <c r="X1821" s="182" t="n">
        <v>0</v>
      </c>
      <c r="Y1821" s="182" t="n">
        <v>0</v>
      </c>
      <c r="Z1821" s="182" t="n">
        <v>0</v>
      </c>
      <c r="AA1821" s="182" t="n">
        <v>0</v>
      </c>
      <c r="AB1821" s="182" t="n">
        <v>0</v>
      </c>
      <c r="AC1821" s="182" t="n">
        <v>0</v>
      </c>
      <c r="AD1821" s="182" t="n">
        <v>0</v>
      </c>
      <c r="AE1821" s="182" t="n">
        <v>0</v>
      </c>
      <c r="AF1821" s="182" t="n">
        <v>0</v>
      </c>
      <c r="AG1821" s="182" t="n">
        <v>0</v>
      </c>
      <c r="AH1821" s="182" t="n">
        <v>0</v>
      </c>
      <c r="AI1821" s="182" t="n">
        <v>0</v>
      </c>
      <c r="AJ1821" s="182" t="n">
        <v>0</v>
      </c>
      <c r="AK1821" s="182" t="n">
        <v>0</v>
      </c>
      <c r="AL1821" s="182" t="n">
        <v>0</v>
      </c>
      <c r="AM1821" s="182" t="n">
        <v>0</v>
      </c>
      <c r="AN1821" s="182" t="n">
        <v>0</v>
      </c>
    </row>
    <row r="1822">
      <c r="A1822" s="155" t="n">
        <v>46090</v>
      </c>
      <c r="B1822" s="156" t="inlineStr">
        <is>
          <t>DS</t>
        </is>
      </c>
      <c r="C1822" s="156" t="inlineStr">
        <is>
          <t>DT-808</t>
        </is>
      </c>
      <c r="D1822" s="156" t="inlineStr">
        <is>
          <t>SKT 80S</t>
        </is>
      </c>
      <c r="E1822" s="156" t="inlineStr">
        <is>
          <t>Hauler</t>
        </is>
      </c>
      <c r="F1822" s="156" t="inlineStr">
        <is>
          <t>Rehandling Lumpur WP</t>
        </is>
      </c>
      <c r="G1822" s="182" t="n">
        <v>2.44</v>
      </c>
      <c r="H1822" s="182" t="n">
        <v>0</v>
      </c>
      <c r="I1822" s="182" t="n">
        <v>0</v>
      </c>
      <c r="J1822" s="182" t="n">
        <v>0</v>
      </c>
      <c r="K1822" s="182" t="n">
        <v>9.56</v>
      </c>
      <c r="L1822" s="182" t="n">
        <v>12</v>
      </c>
      <c r="M1822" s="182" t="n">
        <v>0</v>
      </c>
      <c r="N1822" s="182" t="n">
        <v>0</v>
      </c>
      <c r="O1822" s="183" t="n">
        <v>0</v>
      </c>
      <c r="P1822" s="183" t="n">
        <v>0</v>
      </c>
      <c r="Q1822" s="184" t="n">
        <v>0</v>
      </c>
      <c r="R1822" s="184" t="n">
        <v>0</v>
      </c>
      <c r="S1822" s="183" t="n">
        <v>0</v>
      </c>
      <c r="T1822" s="183" t="n">
        <v>0</v>
      </c>
      <c r="U1822" s="182" t="n">
        <v>0</v>
      </c>
      <c r="V1822" s="182" t="n">
        <v>0</v>
      </c>
      <c r="W1822" s="182" t="n">
        <v>0</v>
      </c>
      <c r="X1822" s="182" t="n">
        <v>0.98</v>
      </c>
      <c r="Y1822" s="182" t="n">
        <v>0</v>
      </c>
      <c r="Z1822" s="182" t="n">
        <v>0.07000000000000001</v>
      </c>
      <c r="AA1822" s="182" t="n">
        <v>0</v>
      </c>
      <c r="AB1822" s="182" t="n">
        <v>0</v>
      </c>
      <c r="AC1822" s="182" t="n">
        <v>0</v>
      </c>
      <c r="AD1822" s="182" t="n">
        <v>0</v>
      </c>
      <c r="AE1822" s="182" t="n">
        <v>0</v>
      </c>
      <c r="AF1822" s="182" t="n">
        <v>0</v>
      </c>
      <c r="AG1822" s="182" t="n">
        <v>0</v>
      </c>
      <c r="AH1822" s="182" t="n">
        <v>0</v>
      </c>
      <c r="AI1822" s="182" t="n">
        <v>0</v>
      </c>
      <c r="AJ1822" s="182" t="n">
        <v>0</v>
      </c>
      <c r="AK1822" s="182" t="n">
        <v>8.44</v>
      </c>
      <c r="AL1822" s="182" t="n">
        <v>0</v>
      </c>
      <c r="AM1822" s="182" t="n">
        <v>0.08</v>
      </c>
      <c r="AN1822" s="182" t="n">
        <v>0</v>
      </c>
    </row>
    <row r="1823">
      <c r="A1823" s="155" t="n">
        <v>46090</v>
      </c>
      <c r="B1823" s="156" t="inlineStr">
        <is>
          <t>DS</t>
        </is>
      </c>
      <c r="C1823" s="156" t="inlineStr">
        <is>
          <t>DT-811</t>
        </is>
      </c>
      <c r="D1823" s="156" t="inlineStr">
        <is>
          <t>SKT 80S</t>
        </is>
      </c>
      <c r="E1823" s="156" t="inlineStr">
        <is>
          <t>Hauler</t>
        </is>
      </c>
      <c r="F1823" s="156" t="inlineStr"/>
      <c r="G1823" s="182" t="n">
        <v>0</v>
      </c>
      <c r="H1823" s="182" t="n">
        <v>0</v>
      </c>
      <c r="I1823" s="182" t="n">
        <v>7.88</v>
      </c>
      <c r="J1823" s="182" t="n">
        <v>7.88</v>
      </c>
      <c r="K1823" s="182" t="n">
        <v>4.12</v>
      </c>
      <c r="L1823" s="182" t="n">
        <v>12</v>
      </c>
      <c r="M1823" s="182" t="n">
        <v>0</v>
      </c>
      <c r="N1823" s="182" t="n">
        <v>0</v>
      </c>
      <c r="O1823" s="183" t="n">
        <v>0</v>
      </c>
      <c r="P1823" s="183" t="n">
        <v>0</v>
      </c>
      <c r="Q1823" s="184" t="n">
        <v>0</v>
      </c>
      <c r="R1823" s="184" t="n">
        <v>0</v>
      </c>
      <c r="S1823" s="183" t="n">
        <v>0</v>
      </c>
      <c r="T1823" s="183" t="n">
        <v>0</v>
      </c>
      <c r="U1823" s="182" t="n">
        <v>0</v>
      </c>
      <c r="V1823" s="182" t="n">
        <v>0</v>
      </c>
      <c r="W1823" s="182" t="n">
        <v>0</v>
      </c>
      <c r="X1823" s="182" t="n">
        <v>0</v>
      </c>
      <c r="Y1823" s="182" t="n">
        <v>0</v>
      </c>
      <c r="Z1823" s="182" t="n">
        <v>0</v>
      </c>
      <c r="AA1823" s="182" t="n">
        <v>0</v>
      </c>
      <c r="AB1823" s="182" t="n">
        <v>0</v>
      </c>
      <c r="AC1823" s="182" t="n">
        <v>0</v>
      </c>
      <c r="AD1823" s="182" t="n">
        <v>0</v>
      </c>
      <c r="AE1823" s="182" t="n">
        <v>0</v>
      </c>
      <c r="AF1823" s="182" t="n">
        <v>0</v>
      </c>
      <c r="AG1823" s="182" t="n">
        <v>0</v>
      </c>
      <c r="AH1823" s="182" t="n">
        <v>0</v>
      </c>
      <c r="AI1823" s="182" t="n">
        <v>0</v>
      </c>
      <c r="AJ1823" s="182" t="n">
        <v>0</v>
      </c>
      <c r="AK1823" s="182" t="n">
        <v>4.03</v>
      </c>
      <c r="AL1823" s="182" t="n">
        <v>0</v>
      </c>
      <c r="AM1823" s="182" t="n">
        <v>0.08</v>
      </c>
      <c r="AN1823" s="182" t="n">
        <v>0</v>
      </c>
    </row>
    <row r="1824">
      <c r="A1824" s="155" t="n">
        <v>46090</v>
      </c>
      <c r="B1824" s="156" t="inlineStr">
        <is>
          <t>DS</t>
        </is>
      </c>
      <c r="C1824" s="156" t="inlineStr">
        <is>
          <t>DT-802</t>
        </is>
      </c>
      <c r="D1824" s="156" t="inlineStr">
        <is>
          <t>SKT 80S</t>
        </is>
      </c>
      <c r="E1824" s="156" t="inlineStr">
        <is>
          <t>Hauler</t>
        </is>
      </c>
      <c r="F1824" s="156" t="inlineStr"/>
      <c r="G1824" s="182" t="n">
        <v>0</v>
      </c>
      <c r="H1824" s="182" t="n">
        <v>0</v>
      </c>
      <c r="I1824" s="182" t="n">
        <v>0</v>
      </c>
      <c r="J1824" s="182" t="n">
        <v>0</v>
      </c>
      <c r="K1824" s="182" t="n">
        <v>12</v>
      </c>
      <c r="L1824" s="182" t="n">
        <v>12</v>
      </c>
      <c r="M1824" s="182" t="n">
        <v>0</v>
      </c>
      <c r="N1824" s="182" t="n">
        <v>0</v>
      </c>
      <c r="O1824" s="183" t="n">
        <v>0</v>
      </c>
      <c r="P1824" s="183" t="n">
        <v>0</v>
      </c>
      <c r="Q1824" s="184" t="n">
        <v>0</v>
      </c>
      <c r="R1824" s="184" t="n">
        <v>0</v>
      </c>
      <c r="S1824" s="183" t="n">
        <v>0</v>
      </c>
      <c r="T1824" s="183" t="n">
        <v>0</v>
      </c>
      <c r="U1824" s="182" t="n">
        <v>0</v>
      </c>
      <c r="V1824" s="182" t="n">
        <v>0</v>
      </c>
      <c r="W1824" s="182" t="n">
        <v>0</v>
      </c>
      <c r="X1824" s="182" t="n">
        <v>1</v>
      </c>
      <c r="Y1824" s="182" t="n">
        <v>0</v>
      </c>
      <c r="Z1824" s="182" t="n">
        <v>0</v>
      </c>
      <c r="AA1824" s="182" t="n">
        <v>0</v>
      </c>
      <c r="AB1824" s="182" t="n">
        <v>0</v>
      </c>
      <c r="AC1824" s="182" t="n">
        <v>0</v>
      </c>
      <c r="AD1824" s="182" t="n">
        <v>0</v>
      </c>
      <c r="AE1824" s="182" t="n">
        <v>0</v>
      </c>
      <c r="AF1824" s="182" t="n">
        <v>0</v>
      </c>
      <c r="AG1824" s="182" t="n">
        <v>0</v>
      </c>
      <c r="AH1824" s="182" t="n">
        <v>0</v>
      </c>
      <c r="AI1824" s="182" t="n">
        <v>0</v>
      </c>
      <c r="AJ1824" s="182" t="n">
        <v>0</v>
      </c>
      <c r="AK1824" s="182" t="n">
        <v>10.92</v>
      </c>
      <c r="AL1824" s="182" t="n">
        <v>0</v>
      </c>
      <c r="AM1824" s="182" t="n">
        <v>0.08</v>
      </c>
      <c r="AN1824" s="182" t="n">
        <v>0</v>
      </c>
    </row>
    <row r="1825">
      <c r="A1825" s="155" t="n">
        <v>46090</v>
      </c>
      <c r="B1825" s="156" t="inlineStr">
        <is>
          <t>DS</t>
        </is>
      </c>
      <c r="C1825" s="156" t="inlineStr">
        <is>
          <t>DT-807</t>
        </is>
      </c>
      <c r="D1825" s="156" t="inlineStr">
        <is>
          <t>SKT 80S</t>
        </is>
      </c>
      <c r="E1825" s="156" t="inlineStr">
        <is>
          <t>Hauler</t>
        </is>
      </c>
      <c r="F1825" s="156" t="inlineStr">
        <is>
          <t>Rehandling Coal WP</t>
        </is>
      </c>
      <c r="G1825" s="182" t="n">
        <v>3.42</v>
      </c>
      <c r="H1825" s="182" t="n">
        <v>0</v>
      </c>
      <c r="I1825" s="182" t="n">
        <v>0</v>
      </c>
      <c r="J1825" s="182" t="n">
        <v>0</v>
      </c>
      <c r="K1825" s="182" t="n">
        <v>8.58</v>
      </c>
      <c r="L1825" s="182" t="n">
        <v>12</v>
      </c>
      <c r="M1825" s="182" t="n">
        <v>0</v>
      </c>
      <c r="N1825" s="182" t="n">
        <v>0</v>
      </c>
      <c r="O1825" s="183" t="n">
        <v>0</v>
      </c>
      <c r="P1825" s="183" t="n">
        <v>0</v>
      </c>
      <c r="Q1825" s="184" t="n">
        <v>0</v>
      </c>
      <c r="R1825" s="184" t="n">
        <v>0</v>
      </c>
      <c r="S1825" s="183" t="n">
        <v>0</v>
      </c>
      <c r="T1825" s="183" t="n">
        <v>0</v>
      </c>
      <c r="U1825" s="182" t="n">
        <v>0</v>
      </c>
      <c r="V1825" s="182" t="n">
        <v>0</v>
      </c>
      <c r="W1825" s="182" t="n">
        <v>0</v>
      </c>
      <c r="X1825" s="182" t="n">
        <v>1.05</v>
      </c>
      <c r="Y1825" s="182" t="n">
        <v>0</v>
      </c>
      <c r="Z1825" s="182" t="n">
        <v>0</v>
      </c>
      <c r="AA1825" s="182" t="n">
        <v>0</v>
      </c>
      <c r="AB1825" s="182" t="n">
        <v>0</v>
      </c>
      <c r="AC1825" s="182" t="n">
        <v>0</v>
      </c>
      <c r="AD1825" s="182" t="n">
        <v>0</v>
      </c>
      <c r="AE1825" s="182" t="n">
        <v>0</v>
      </c>
      <c r="AF1825" s="182" t="n">
        <v>0</v>
      </c>
      <c r="AG1825" s="182" t="n">
        <v>0</v>
      </c>
      <c r="AH1825" s="182" t="n">
        <v>0</v>
      </c>
      <c r="AI1825" s="182" t="n">
        <v>0</v>
      </c>
      <c r="AJ1825" s="182" t="n">
        <v>0</v>
      </c>
      <c r="AK1825" s="182" t="n">
        <v>7.45</v>
      </c>
      <c r="AL1825" s="182" t="n">
        <v>0</v>
      </c>
      <c r="AM1825" s="182" t="n">
        <v>0.08</v>
      </c>
      <c r="AN1825" s="182" t="n">
        <v>0</v>
      </c>
    </row>
    <row r="1826">
      <c r="A1826" s="155" t="n">
        <v>46090</v>
      </c>
      <c r="B1826" s="156" t="inlineStr">
        <is>
          <t>DS</t>
        </is>
      </c>
      <c r="C1826" s="156" t="inlineStr">
        <is>
          <t>DT-812</t>
        </is>
      </c>
      <c r="D1826" s="156" t="inlineStr">
        <is>
          <t>SKT 80S</t>
        </is>
      </c>
      <c r="E1826" s="156" t="inlineStr">
        <is>
          <t>Hauler</t>
        </is>
      </c>
      <c r="F1826" s="156" t="inlineStr">
        <is>
          <t>Rehandling Lumpur WP</t>
        </is>
      </c>
      <c r="G1826" s="182" t="n">
        <v>3.8</v>
      </c>
      <c r="H1826" s="182" t="n">
        <v>0</v>
      </c>
      <c r="I1826" s="182" t="n">
        <v>8.199999999999999</v>
      </c>
      <c r="J1826" s="182" t="n">
        <v>8.199999999999999</v>
      </c>
      <c r="K1826" s="182" t="n">
        <v>0</v>
      </c>
      <c r="L1826" s="182" t="n">
        <v>12</v>
      </c>
      <c r="M1826" s="182" t="n">
        <v>0</v>
      </c>
      <c r="N1826" s="182" t="n">
        <v>0</v>
      </c>
      <c r="O1826" s="183" t="n">
        <v>0</v>
      </c>
      <c r="P1826" s="183" t="n">
        <v>0</v>
      </c>
      <c r="Q1826" s="184" t="n">
        <v>0</v>
      </c>
      <c r="R1826" s="184" t="n">
        <v>0</v>
      </c>
      <c r="S1826" s="183" t="n">
        <v>0</v>
      </c>
      <c r="T1826" s="183" t="n">
        <v>0</v>
      </c>
      <c r="U1826" s="182" t="n">
        <v>0</v>
      </c>
      <c r="V1826" s="182" t="n">
        <v>0</v>
      </c>
      <c r="W1826" s="182" t="n">
        <v>0</v>
      </c>
      <c r="X1826" s="182" t="n">
        <v>0</v>
      </c>
      <c r="Y1826" s="182" t="n">
        <v>0</v>
      </c>
      <c r="Z1826" s="182" t="n">
        <v>0</v>
      </c>
      <c r="AA1826" s="182" t="n">
        <v>0</v>
      </c>
      <c r="AB1826" s="182" t="n">
        <v>0</v>
      </c>
      <c r="AC1826" s="182" t="n">
        <v>0</v>
      </c>
      <c r="AD1826" s="182" t="n">
        <v>0</v>
      </c>
      <c r="AE1826" s="182" t="n">
        <v>0</v>
      </c>
      <c r="AF1826" s="182" t="n">
        <v>0</v>
      </c>
      <c r="AG1826" s="182" t="n">
        <v>0</v>
      </c>
      <c r="AH1826" s="182" t="n">
        <v>0</v>
      </c>
      <c r="AI1826" s="182" t="n">
        <v>0</v>
      </c>
      <c r="AJ1826" s="182" t="n">
        <v>0</v>
      </c>
      <c r="AK1826" s="182" t="n">
        <v>0</v>
      </c>
      <c r="AL1826" s="182" t="n">
        <v>0</v>
      </c>
      <c r="AM1826" s="182" t="n">
        <v>0</v>
      </c>
      <c r="AN1826" s="182" t="n">
        <v>0</v>
      </c>
    </row>
    <row r="1827">
      <c r="A1827" s="155" t="n">
        <v>46090</v>
      </c>
      <c r="B1827" s="156" t="inlineStr">
        <is>
          <t>DS</t>
        </is>
      </c>
      <c r="C1827" s="156" t="inlineStr">
        <is>
          <t>DT-803</t>
        </is>
      </c>
      <c r="D1827" s="156" t="inlineStr">
        <is>
          <t>SKT 80S</t>
        </is>
      </c>
      <c r="E1827" s="156" t="inlineStr">
        <is>
          <t>Hauler</t>
        </is>
      </c>
      <c r="F1827" s="156" t="inlineStr"/>
      <c r="G1827" s="182" t="n">
        <v>0</v>
      </c>
      <c r="H1827" s="182" t="n">
        <v>0</v>
      </c>
      <c r="I1827" s="182" t="n">
        <v>0</v>
      </c>
      <c r="J1827" s="182" t="n">
        <v>0</v>
      </c>
      <c r="K1827" s="182" t="n">
        <v>12</v>
      </c>
      <c r="L1827" s="182" t="n">
        <v>12</v>
      </c>
      <c r="M1827" s="182" t="n">
        <v>0</v>
      </c>
      <c r="N1827" s="182" t="n">
        <v>0</v>
      </c>
      <c r="O1827" s="183" t="n">
        <v>0</v>
      </c>
      <c r="P1827" s="183" t="n">
        <v>0</v>
      </c>
      <c r="Q1827" s="184" t="n">
        <v>0</v>
      </c>
      <c r="R1827" s="184" t="n">
        <v>0</v>
      </c>
      <c r="S1827" s="183" t="n">
        <v>0</v>
      </c>
      <c r="T1827" s="183" t="n">
        <v>0</v>
      </c>
      <c r="U1827" s="182" t="n">
        <v>0</v>
      </c>
      <c r="V1827" s="182" t="n">
        <v>0</v>
      </c>
      <c r="W1827" s="182" t="n">
        <v>0</v>
      </c>
      <c r="X1827" s="182" t="n">
        <v>1</v>
      </c>
      <c r="Y1827" s="182" t="n">
        <v>0</v>
      </c>
      <c r="Z1827" s="182" t="n">
        <v>0</v>
      </c>
      <c r="AA1827" s="182" t="n">
        <v>0</v>
      </c>
      <c r="AB1827" s="182" t="n">
        <v>0</v>
      </c>
      <c r="AC1827" s="182" t="n">
        <v>0</v>
      </c>
      <c r="AD1827" s="182" t="n">
        <v>0</v>
      </c>
      <c r="AE1827" s="182" t="n">
        <v>0</v>
      </c>
      <c r="AF1827" s="182" t="n">
        <v>0</v>
      </c>
      <c r="AG1827" s="182" t="n">
        <v>0</v>
      </c>
      <c r="AH1827" s="182" t="n">
        <v>0</v>
      </c>
      <c r="AI1827" s="182" t="n">
        <v>0</v>
      </c>
      <c r="AJ1827" s="182" t="n">
        <v>0</v>
      </c>
      <c r="AK1827" s="182" t="n">
        <v>10.92</v>
      </c>
      <c r="AL1827" s="182" t="n">
        <v>0</v>
      </c>
      <c r="AM1827" s="182" t="n">
        <v>0.08</v>
      </c>
      <c r="AN1827" s="182" t="n">
        <v>0</v>
      </c>
    </row>
    <row r="1828">
      <c r="A1828" s="155" t="n">
        <v>46090</v>
      </c>
      <c r="B1828" s="156" t="inlineStr">
        <is>
          <t>DS</t>
        </is>
      </c>
      <c r="C1828" s="156" t="inlineStr">
        <is>
          <t>DT-810</t>
        </is>
      </c>
      <c r="D1828" s="156" t="inlineStr">
        <is>
          <t>SKT 80S</t>
        </is>
      </c>
      <c r="E1828" s="156" t="inlineStr">
        <is>
          <t>Hauler</t>
        </is>
      </c>
      <c r="F1828" s="156" t="inlineStr">
        <is>
          <t>Rehandling Tailing WP</t>
        </is>
      </c>
      <c r="G1828" s="182" t="n">
        <v>3.19</v>
      </c>
      <c r="H1828" s="182" t="n">
        <v>0</v>
      </c>
      <c r="I1828" s="182" t="n">
        <v>0</v>
      </c>
      <c r="J1828" s="182" t="n">
        <v>0</v>
      </c>
      <c r="K1828" s="182" t="n">
        <v>8.81</v>
      </c>
      <c r="L1828" s="182" t="n">
        <v>12</v>
      </c>
      <c r="M1828" s="182" t="n">
        <v>0</v>
      </c>
      <c r="N1828" s="182" t="n">
        <v>0</v>
      </c>
      <c r="O1828" s="183" t="n">
        <v>0</v>
      </c>
      <c r="P1828" s="183" t="n">
        <v>0</v>
      </c>
      <c r="Q1828" s="184" t="n">
        <v>0</v>
      </c>
      <c r="R1828" s="184" t="n">
        <v>0</v>
      </c>
      <c r="S1828" s="183" t="n">
        <v>0</v>
      </c>
      <c r="T1828" s="183" t="n">
        <v>0</v>
      </c>
      <c r="U1828" s="182" t="n">
        <v>0</v>
      </c>
      <c r="V1828" s="182" t="n">
        <v>0</v>
      </c>
      <c r="W1828" s="182" t="n">
        <v>0</v>
      </c>
      <c r="X1828" s="182" t="n">
        <v>0.99</v>
      </c>
      <c r="Y1828" s="182" t="n">
        <v>0</v>
      </c>
      <c r="Z1828" s="182" t="n">
        <v>0</v>
      </c>
      <c r="AA1828" s="182" t="n">
        <v>0</v>
      </c>
      <c r="AB1828" s="182" t="n">
        <v>0</v>
      </c>
      <c r="AC1828" s="182" t="n">
        <v>0</v>
      </c>
      <c r="AD1828" s="182" t="n">
        <v>0</v>
      </c>
      <c r="AE1828" s="182" t="n">
        <v>0</v>
      </c>
      <c r="AF1828" s="182" t="n">
        <v>0</v>
      </c>
      <c r="AG1828" s="182" t="n">
        <v>0</v>
      </c>
      <c r="AH1828" s="182" t="n">
        <v>0</v>
      </c>
      <c r="AI1828" s="182" t="n">
        <v>0</v>
      </c>
      <c r="AJ1828" s="182" t="n">
        <v>0</v>
      </c>
      <c r="AK1828" s="182" t="n">
        <v>7.74</v>
      </c>
      <c r="AL1828" s="182" t="n">
        <v>0</v>
      </c>
      <c r="AM1828" s="182" t="n">
        <v>0.08</v>
      </c>
      <c r="AN1828" s="182" t="n">
        <v>0</v>
      </c>
    </row>
    <row r="1829">
      <c r="A1829" s="155" t="n">
        <v>46090</v>
      </c>
      <c r="B1829" s="156" t="inlineStr">
        <is>
          <t>DS</t>
        </is>
      </c>
      <c r="C1829" s="156" t="inlineStr">
        <is>
          <t>DT-804</t>
        </is>
      </c>
      <c r="D1829" s="156" t="inlineStr">
        <is>
          <t>SKT 80S</t>
        </is>
      </c>
      <c r="E1829" s="156" t="inlineStr">
        <is>
          <t>Hauler</t>
        </is>
      </c>
      <c r="F1829" s="156" t="inlineStr">
        <is>
          <t>Rehandling Lumpur WP</t>
        </is>
      </c>
      <c r="G1829" s="182" t="n">
        <v>1.75</v>
      </c>
      <c r="H1829" s="182" t="n">
        <v>0</v>
      </c>
      <c r="I1829" s="182" t="n">
        <v>0</v>
      </c>
      <c r="J1829" s="182" t="n">
        <v>0</v>
      </c>
      <c r="K1829" s="182" t="n">
        <v>10.25</v>
      </c>
      <c r="L1829" s="182" t="n">
        <v>12</v>
      </c>
      <c r="M1829" s="182" t="n">
        <v>0</v>
      </c>
      <c r="N1829" s="182" t="n">
        <v>0</v>
      </c>
      <c r="O1829" s="183" t="n">
        <v>0</v>
      </c>
      <c r="P1829" s="183" t="n">
        <v>0</v>
      </c>
      <c r="Q1829" s="184" t="n">
        <v>0</v>
      </c>
      <c r="R1829" s="184" t="n">
        <v>0</v>
      </c>
      <c r="S1829" s="183" t="n">
        <v>0</v>
      </c>
      <c r="T1829" s="183" t="n">
        <v>0</v>
      </c>
      <c r="U1829" s="182" t="n">
        <v>0</v>
      </c>
      <c r="V1829" s="182" t="n">
        <v>0</v>
      </c>
      <c r="W1829" s="182" t="n">
        <v>0</v>
      </c>
      <c r="X1829" s="182" t="n">
        <v>1</v>
      </c>
      <c r="Y1829" s="182" t="n">
        <v>0</v>
      </c>
      <c r="Z1829" s="182" t="n">
        <v>0</v>
      </c>
      <c r="AA1829" s="182" t="n">
        <v>0</v>
      </c>
      <c r="AB1829" s="182" t="n">
        <v>0</v>
      </c>
      <c r="AC1829" s="182" t="n">
        <v>0</v>
      </c>
      <c r="AD1829" s="182" t="n">
        <v>0</v>
      </c>
      <c r="AE1829" s="182" t="n">
        <v>0</v>
      </c>
      <c r="AF1829" s="182" t="n">
        <v>0</v>
      </c>
      <c r="AG1829" s="182" t="n">
        <v>0</v>
      </c>
      <c r="AH1829" s="182" t="n">
        <v>0</v>
      </c>
      <c r="AI1829" s="182" t="n">
        <v>0</v>
      </c>
      <c r="AJ1829" s="182" t="n">
        <v>0</v>
      </c>
      <c r="AK1829" s="182" t="n">
        <v>9.16</v>
      </c>
      <c r="AL1829" s="182" t="n">
        <v>0</v>
      </c>
      <c r="AM1829" s="182" t="n">
        <v>0.08</v>
      </c>
      <c r="AN1829" s="182" t="n">
        <v>0</v>
      </c>
    </row>
    <row r="1830">
      <c r="A1830" s="155" t="n">
        <v>46090</v>
      </c>
      <c r="B1830" s="156" t="inlineStr">
        <is>
          <t>DS</t>
        </is>
      </c>
      <c r="C1830" s="156" t="inlineStr">
        <is>
          <t>DT-505</t>
        </is>
      </c>
      <c r="D1830" s="156" t="inlineStr">
        <is>
          <t>SKT 105S</t>
        </is>
      </c>
      <c r="E1830" s="156" t="inlineStr">
        <is>
          <t>Hauler</t>
        </is>
      </c>
      <c r="F1830" s="156" t="inlineStr">
        <is>
          <t>Hauling OB &amp; Coal</t>
        </is>
      </c>
      <c r="G1830" s="182" t="n">
        <v>2.54</v>
      </c>
      <c r="H1830" s="182" t="n">
        <v>0</v>
      </c>
      <c r="I1830" s="182" t="n">
        <v>0.28</v>
      </c>
      <c r="J1830" s="182" t="n">
        <v>0.28</v>
      </c>
      <c r="K1830" s="182" t="n">
        <v>9.18</v>
      </c>
      <c r="L1830" s="182" t="n">
        <v>12</v>
      </c>
      <c r="M1830" s="182" t="n">
        <v>2.24</v>
      </c>
      <c r="N1830" s="182" t="n">
        <v>0.3</v>
      </c>
      <c r="O1830" s="183" t="n">
        <v>4</v>
      </c>
      <c r="P1830" s="183" t="n">
        <v>1</v>
      </c>
      <c r="Q1830" s="184" t="n">
        <v>81.59999999999999</v>
      </c>
      <c r="R1830" s="184" t="n">
        <v>18.7</v>
      </c>
      <c r="S1830" s="183" t="n">
        <v>0</v>
      </c>
      <c r="T1830" s="183" t="n">
        <v>0</v>
      </c>
      <c r="U1830" s="182" t="n">
        <v>0</v>
      </c>
      <c r="V1830" s="182" t="n">
        <v>0</v>
      </c>
      <c r="W1830" s="182" t="n">
        <v>0</v>
      </c>
      <c r="X1830" s="182" t="n">
        <v>1.03</v>
      </c>
      <c r="Y1830" s="182" t="n">
        <v>0</v>
      </c>
      <c r="Z1830" s="182" t="n">
        <v>0.07000000000000001</v>
      </c>
      <c r="AA1830" s="182" t="n">
        <v>0</v>
      </c>
      <c r="AB1830" s="182" t="n">
        <v>0</v>
      </c>
      <c r="AC1830" s="182" t="n">
        <v>0</v>
      </c>
      <c r="AD1830" s="182" t="n">
        <v>0</v>
      </c>
      <c r="AE1830" s="182" t="n">
        <v>0</v>
      </c>
      <c r="AF1830" s="182" t="n">
        <v>0</v>
      </c>
      <c r="AG1830" s="182" t="n">
        <v>0</v>
      </c>
      <c r="AH1830" s="182" t="n">
        <v>0.51</v>
      </c>
      <c r="AI1830" s="182" t="n">
        <v>0</v>
      </c>
      <c r="AJ1830" s="182" t="n">
        <v>0</v>
      </c>
      <c r="AK1830" s="182" t="n">
        <v>7.48</v>
      </c>
      <c r="AL1830" s="182" t="n">
        <v>0</v>
      </c>
      <c r="AM1830" s="182" t="n">
        <v>0.08</v>
      </c>
      <c r="AN1830" s="182" t="n">
        <v>0</v>
      </c>
    </row>
    <row r="1831">
      <c r="A1831" s="155" t="n">
        <v>46090</v>
      </c>
      <c r="B1831" s="156" t="inlineStr">
        <is>
          <t>DS</t>
        </is>
      </c>
      <c r="C1831" s="156" t="inlineStr">
        <is>
          <t>DT-530</t>
        </is>
      </c>
      <c r="D1831" s="156" t="inlineStr">
        <is>
          <t>SKT 105S</t>
        </is>
      </c>
      <c r="E1831" s="156" t="inlineStr">
        <is>
          <t>Hauler</t>
        </is>
      </c>
      <c r="F1831" s="156" t="inlineStr"/>
      <c r="G1831" s="182" t="n">
        <v>0</v>
      </c>
      <c r="H1831" s="182" t="n">
        <v>0</v>
      </c>
      <c r="I1831" s="182" t="n">
        <v>12</v>
      </c>
      <c r="J1831" s="182" t="n">
        <v>12</v>
      </c>
      <c r="K1831" s="182" t="n">
        <v>0</v>
      </c>
      <c r="L1831" s="182" t="n">
        <v>12</v>
      </c>
      <c r="M1831" s="182" t="n">
        <v>0</v>
      </c>
      <c r="N1831" s="182" t="n">
        <v>0</v>
      </c>
      <c r="O1831" s="183" t="n">
        <v>0</v>
      </c>
      <c r="P1831" s="183" t="n">
        <v>0</v>
      </c>
      <c r="Q1831" s="184" t="n">
        <v>0</v>
      </c>
      <c r="R1831" s="184" t="n">
        <v>0</v>
      </c>
      <c r="S1831" s="183" t="n">
        <v>0</v>
      </c>
      <c r="T1831" s="183" t="n">
        <v>0</v>
      </c>
      <c r="U1831" s="182" t="n">
        <v>0</v>
      </c>
      <c r="V1831" s="182" t="n">
        <v>0</v>
      </c>
      <c r="W1831" s="182" t="n">
        <v>0</v>
      </c>
      <c r="X1831" s="182" t="n">
        <v>0</v>
      </c>
      <c r="Y1831" s="182" t="n">
        <v>0</v>
      </c>
      <c r="Z1831" s="182" t="n">
        <v>0</v>
      </c>
      <c r="AA1831" s="182" t="n">
        <v>0</v>
      </c>
      <c r="AB1831" s="182" t="n">
        <v>0</v>
      </c>
      <c r="AC1831" s="182" t="n">
        <v>0</v>
      </c>
      <c r="AD1831" s="182" t="n">
        <v>0</v>
      </c>
      <c r="AE1831" s="182" t="n">
        <v>0</v>
      </c>
      <c r="AF1831" s="182" t="n">
        <v>0</v>
      </c>
      <c r="AG1831" s="182" t="n">
        <v>0</v>
      </c>
      <c r="AH1831" s="182" t="n">
        <v>0</v>
      </c>
      <c r="AI1831" s="182" t="n">
        <v>0</v>
      </c>
      <c r="AJ1831" s="182" t="n">
        <v>0</v>
      </c>
      <c r="AK1831" s="182" t="n">
        <v>0</v>
      </c>
      <c r="AL1831" s="182" t="n">
        <v>0</v>
      </c>
      <c r="AM1831" s="182" t="n">
        <v>0</v>
      </c>
      <c r="AN1831" s="182" t="n">
        <v>0</v>
      </c>
    </row>
    <row r="1832">
      <c r="A1832" s="155" t="n">
        <v>46090</v>
      </c>
      <c r="B1832" s="156" t="inlineStr">
        <is>
          <t>DS</t>
        </is>
      </c>
      <c r="C1832" s="156" t="inlineStr">
        <is>
          <t>DT-525</t>
        </is>
      </c>
      <c r="D1832" s="156" t="inlineStr">
        <is>
          <t>SKT 105S</t>
        </is>
      </c>
      <c r="E1832" s="156" t="inlineStr">
        <is>
          <t>Hauler</t>
        </is>
      </c>
      <c r="F1832" s="156" t="inlineStr"/>
      <c r="G1832" s="182" t="n">
        <v>0</v>
      </c>
      <c r="H1832" s="182" t="n">
        <v>0</v>
      </c>
      <c r="I1832" s="182" t="n">
        <v>12</v>
      </c>
      <c r="J1832" s="182" t="n">
        <v>12</v>
      </c>
      <c r="K1832" s="182" t="n">
        <v>0</v>
      </c>
      <c r="L1832" s="182" t="n">
        <v>12</v>
      </c>
      <c r="M1832" s="182" t="n">
        <v>0</v>
      </c>
      <c r="N1832" s="182" t="n">
        <v>0</v>
      </c>
      <c r="O1832" s="183" t="n">
        <v>0</v>
      </c>
      <c r="P1832" s="183" t="n">
        <v>0</v>
      </c>
      <c r="Q1832" s="184" t="n">
        <v>0</v>
      </c>
      <c r="R1832" s="184" t="n">
        <v>0</v>
      </c>
      <c r="S1832" s="183" t="n">
        <v>0</v>
      </c>
      <c r="T1832" s="183" t="n">
        <v>0</v>
      </c>
      <c r="U1832" s="182" t="n">
        <v>0</v>
      </c>
      <c r="V1832" s="182" t="n">
        <v>0</v>
      </c>
      <c r="W1832" s="182" t="n">
        <v>0</v>
      </c>
      <c r="X1832" s="182" t="n">
        <v>0</v>
      </c>
      <c r="Y1832" s="182" t="n">
        <v>0</v>
      </c>
      <c r="Z1832" s="182" t="n">
        <v>0</v>
      </c>
      <c r="AA1832" s="182" t="n">
        <v>0</v>
      </c>
      <c r="AB1832" s="182" t="n">
        <v>0</v>
      </c>
      <c r="AC1832" s="182" t="n">
        <v>0</v>
      </c>
      <c r="AD1832" s="182" t="n">
        <v>0</v>
      </c>
      <c r="AE1832" s="182" t="n">
        <v>0</v>
      </c>
      <c r="AF1832" s="182" t="n">
        <v>0</v>
      </c>
      <c r="AG1832" s="182" t="n">
        <v>0</v>
      </c>
      <c r="AH1832" s="182" t="n">
        <v>0</v>
      </c>
      <c r="AI1832" s="182" t="n">
        <v>0</v>
      </c>
      <c r="AJ1832" s="182" t="n">
        <v>0</v>
      </c>
      <c r="AK1832" s="182" t="n">
        <v>0</v>
      </c>
      <c r="AL1832" s="182" t="n">
        <v>0</v>
      </c>
      <c r="AM1832" s="182" t="n">
        <v>0</v>
      </c>
      <c r="AN1832" s="182" t="n">
        <v>0</v>
      </c>
    </row>
    <row r="1833">
      <c r="A1833" s="155" t="n">
        <v>46090</v>
      </c>
      <c r="B1833" s="156" t="inlineStr">
        <is>
          <t>DS</t>
        </is>
      </c>
      <c r="C1833" s="156" t="inlineStr">
        <is>
          <t>DT-503</t>
        </is>
      </c>
      <c r="D1833" s="156" t="inlineStr">
        <is>
          <t>SKT 105S</t>
        </is>
      </c>
      <c r="E1833" s="156" t="inlineStr">
        <is>
          <t>Hauler</t>
        </is>
      </c>
      <c r="F1833" s="156" t="inlineStr">
        <is>
          <t>Hauling OB &amp; Spoil</t>
        </is>
      </c>
      <c r="G1833" s="182" t="n">
        <v>6.93</v>
      </c>
      <c r="H1833" s="182" t="n">
        <v>0</v>
      </c>
      <c r="I1833" s="182" t="n">
        <v>0</v>
      </c>
      <c r="J1833" s="182" t="n">
        <v>0</v>
      </c>
      <c r="K1833" s="182" t="n">
        <v>5.07</v>
      </c>
      <c r="L1833" s="182" t="n">
        <v>12</v>
      </c>
      <c r="M1833" s="182" t="n">
        <v>6.21</v>
      </c>
      <c r="N1833" s="182" t="n">
        <v>0</v>
      </c>
      <c r="O1833" s="183" t="n">
        <v>16</v>
      </c>
      <c r="P1833" s="183" t="n">
        <v>0</v>
      </c>
      <c r="Q1833" s="184" t="n">
        <v>326.4</v>
      </c>
      <c r="R1833" s="184" t="n">
        <v>0</v>
      </c>
      <c r="S1833" s="183" t="n">
        <v>0</v>
      </c>
      <c r="T1833" s="183" t="n">
        <v>0</v>
      </c>
      <c r="U1833" s="182" t="n">
        <v>0</v>
      </c>
      <c r="V1833" s="182" t="n">
        <v>0</v>
      </c>
      <c r="W1833" s="182" t="n">
        <v>0</v>
      </c>
      <c r="X1833" s="182" t="n">
        <v>0.97</v>
      </c>
      <c r="Y1833" s="182" t="n">
        <v>0</v>
      </c>
      <c r="Z1833" s="182" t="n">
        <v>0</v>
      </c>
      <c r="AA1833" s="182" t="n">
        <v>0</v>
      </c>
      <c r="AB1833" s="182" t="n">
        <v>0</v>
      </c>
      <c r="AC1833" s="182" t="n">
        <v>0.32</v>
      </c>
      <c r="AD1833" s="182" t="n">
        <v>3.02</v>
      </c>
      <c r="AE1833" s="182" t="n">
        <v>0</v>
      </c>
      <c r="AF1833" s="182" t="n">
        <v>0</v>
      </c>
      <c r="AG1833" s="182" t="n">
        <v>0</v>
      </c>
      <c r="AH1833" s="182" t="n">
        <v>0.66</v>
      </c>
      <c r="AI1833" s="182" t="n">
        <v>0</v>
      </c>
      <c r="AJ1833" s="182" t="n">
        <v>0</v>
      </c>
      <c r="AK1833" s="182" t="n">
        <v>0</v>
      </c>
      <c r="AL1833" s="182" t="n">
        <v>0</v>
      </c>
      <c r="AM1833" s="182" t="n">
        <v>0.08</v>
      </c>
      <c r="AN1833" s="182" t="n">
        <v>0</v>
      </c>
    </row>
    <row r="1834">
      <c r="A1834" s="155" t="n">
        <v>46090</v>
      </c>
      <c r="B1834" s="156" t="inlineStr">
        <is>
          <t>DS</t>
        </is>
      </c>
      <c r="C1834" s="156" t="inlineStr">
        <is>
          <t>DT-504</t>
        </is>
      </c>
      <c r="D1834" s="156" t="inlineStr">
        <is>
          <t>SKT 105S</t>
        </is>
      </c>
      <c r="E1834" s="156" t="inlineStr">
        <is>
          <t>Hauler</t>
        </is>
      </c>
      <c r="F1834" s="156" t="inlineStr">
        <is>
          <t>Hauling Coal &amp; Parting</t>
        </is>
      </c>
      <c r="G1834" s="182" t="n">
        <v>7.4</v>
      </c>
      <c r="H1834" s="182" t="n">
        <v>0</v>
      </c>
      <c r="I1834" s="182" t="n">
        <v>0.25</v>
      </c>
      <c r="J1834" s="182" t="n">
        <v>0.25</v>
      </c>
      <c r="K1834" s="182" t="n">
        <v>4.35</v>
      </c>
      <c r="L1834" s="182" t="n">
        <v>12</v>
      </c>
      <c r="M1834" s="182" t="n">
        <v>1.79</v>
      </c>
      <c r="N1834" s="182" t="n">
        <v>5.36</v>
      </c>
      <c r="O1834" s="183" t="n">
        <v>3</v>
      </c>
      <c r="P1834" s="183" t="n">
        <v>15</v>
      </c>
      <c r="Q1834" s="184" t="n">
        <v>49</v>
      </c>
      <c r="R1834" s="184" t="n">
        <v>280.5</v>
      </c>
      <c r="S1834" s="183" t="n">
        <v>0</v>
      </c>
      <c r="T1834" s="183" t="n">
        <v>0</v>
      </c>
      <c r="U1834" s="182" t="n">
        <v>0</v>
      </c>
      <c r="V1834" s="182" t="n">
        <v>0</v>
      </c>
      <c r="W1834" s="182" t="n">
        <v>0</v>
      </c>
      <c r="X1834" s="182" t="n">
        <v>0.9</v>
      </c>
      <c r="Y1834" s="182" t="n">
        <v>0</v>
      </c>
      <c r="Z1834" s="182" t="n">
        <v>0.06</v>
      </c>
      <c r="AA1834" s="182" t="n">
        <v>0</v>
      </c>
      <c r="AB1834" s="182" t="n">
        <v>0</v>
      </c>
      <c r="AC1834" s="182" t="n">
        <v>0.3</v>
      </c>
      <c r="AD1834" s="182" t="n">
        <v>2.98</v>
      </c>
      <c r="AE1834" s="182" t="n">
        <v>0</v>
      </c>
      <c r="AF1834" s="182" t="n">
        <v>0</v>
      </c>
      <c r="AG1834" s="182" t="n">
        <v>0</v>
      </c>
      <c r="AH1834" s="182" t="n">
        <v>0.04</v>
      </c>
      <c r="AI1834" s="182" t="n">
        <v>0</v>
      </c>
      <c r="AJ1834" s="182" t="n">
        <v>0</v>
      </c>
      <c r="AK1834" s="182" t="n">
        <v>0</v>
      </c>
      <c r="AL1834" s="182" t="n">
        <v>0</v>
      </c>
      <c r="AM1834" s="182" t="n">
        <v>0.07000000000000001</v>
      </c>
      <c r="AN1834" s="182" t="n">
        <v>0</v>
      </c>
    </row>
    <row r="1835">
      <c r="A1835" s="155" t="n">
        <v>46090</v>
      </c>
      <c r="B1835" s="156" t="inlineStr">
        <is>
          <t>DS</t>
        </is>
      </c>
      <c r="C1835" s="156" t="inlineStr">
        <is>
          <t>DT-507</t>
        </is>
      </c>
      <c r="D1835" s="156" t="inlineStr">
        <is>
          <t>SKT 105S</t>
        </is>
      </c>
      <c r="E1835" s="156" t="inlineStr">
        <is>
          <t>Hauler</t>
        </is>
      </c>
      <c r="F1835" s="156" t="inlineStr"/>
      <c r="G1835" s="182" t="n">
        <v>0</v>
      </c>
      <c r="H1835" s="182" t="n">
        <v>0</v>
      </c>
      <c r="I1835" s="182" t="n">
        <v>12</v>
      </c>
      <c r="J1835" s="182" t="n">
        <v>12</v>
      </c>
      <c r="K1835" s="182" t="n">
        <v>0</v>
      </c>
      <c r="L1835" s="182" t="n">
        <v>12</v>
      </c>
      <c r="M1835" s="182" t="n">
        <v>0</v>
      </c>
      <c r="N1835" s="182" t="n">
        <v>0</v>
      </c>
      <c r="O1835" s="183" t="n">
        <v>0</v>
      </c>
      <c r="P1835" s="183" t="n">
        <v>0</v>
      </c>
      <c r="Q1835" s="184" t="n">
        <v>0</v>
      </c>
      <c r="R1835" s="184" t="n">
        <v>0</v>
      </c>
      <c r="S1835" s="183" t="n">
        <v>0</v>
      </c>
      <c r="T1835" s="183" t="n">
        <v>0</v>
      </c>
      <c r="U1835" s="182" t="n">
        <v>0</v>
      </c>
      <c r="V1835" s="182" t="n">
        <v>0</v>
      </c>
      <c r="W1835" s="182" t="n">
        <v>0</v>
      </c>
      <c r="X1835" s="182" t="n">
        <v>0</v>
      </c>
      <c r="Y1835" s="182" t="n">
        <v>0</v>
      </c>
      <c r="Z1835" s="182" t="n">
        <v>0</v>
      </c>
      <c r="AA1835" s="182" t="n">
        <v>0</v>
      </c>
      <c r="AB1835" s="182" t="n">
        <v>0</v>
      </c>
      <c r="AC1835" s="182" t="n">
        <v>0</v>
      </c>
      <c r="AD1835" s="182" t="n">
        <v>0</v>
      </c>
      <c r="AE1835" s="182" t="n">
        <v>0</v>
      </c>
      <c r="AF1835" s="182" t="n">
        <v>0</v>
      </c>
      <c r="AG1835" s="182" t="n">
        <v>0</v>
      </c>
      <c r="AH1835" s="182" t="n">
        <v>0</v>
      </c>
      <c r="AI1835" s="182" t="n">
        <v>0</v>
      </c>
      <c r="AJ1835" s="182" t="n">
        <v>0</v>
      </c>
      <c r="AK1835" s="182" t="n">
        <v>0</v>
      </c>
      <c r="AL1835" s="182" t="n">
        <v>0</v>
      </c>
      <c r="AM1835" s="182" t="n">
        <v>0</v>
      </c>
      <c r="AN1835" s="182" t="n">
        <v>0</v>
      </c>
    </row>
    <row r="1836">
      <c r="A1836" s="155" t="n">
        <v>46090</v>
      </c>
      <c r="B1836" s="156" t="inlineStr">
        <is>
          <t>DS</t>
        </is>
      </c>
      <c r="C1836" s="156" t="inlineStr">
        <is>
          <t>DT-501</t>
        </is>
      </c>
      <c r="D1836" s="156" t="inlineStr">
        <is>
          <t>SKT 105S</t>
        </is>
      </c>
      <c r="E1836" s="156" t="inlineStr">
        <is>
          <t>Hauler</t>
        </is>
      </c>
      <c r="F1836" s="156" t="inlineStr">
        <is>
          <t>Hauling Coal &amp; OB</t>
        </is>
      </c>
      <c r="G1836" s="182" t="n">
        <v>3.44</v>
      </c>
      <c r="H1836" s="182" t="n">
        <v>0</v>
      </c>
      <c r="I1836" s="182" t="n">
        <v>0</v>
      </c>
      <c r="J1836" s="182" t="n">
        <v>0</v>
      </c>
      <c r="K1836" s="182" t="n">
        <v>8.56</v>
      </c>
      <c r="L1836" s="182" t="n">
        <v>12</v>
      </c>
      <c r="M1836" s="182" t="n">
        <v>3.11</v>
      </c>
      <c r="N1836" s="182" t="n">
        <v>0.32</v>
      </c>
      <c r="O1836" s="183" t="n">
        <v>12</v>
      </c>
      <c r="P1836" s="183" t="n">
        <v>1</v>
      </c>
      <c r="Q1836" s="184" t="n">
        <v>244.8</v>
      </c>
      <c r="R1836" s="184" t="n">
        <v>18.7</v>
      </c>
      <c r="S1836" s="183" t="n">
        <v>0</v>
      </c>
      <c r="T1836" s="183" t="n">
        <v>0</v>
      </c>
      <c r="U1836" s="182" t="n">
        <v>0</v>
      </c>
      <c r="V1836" s="182" t="n">
        <v>0</v>
      </c>
      <c r="W1836" s="182" t="n">
        <v>0</v>
      </c>
      <c r="X1836" s="182" t="n">
        <v>1.01</v>
      </c>
      <c r="Y1836" s="182" t="n">
        <v>0</v>
      </c>
      <c r="Z1836" s="182" t="n">
        <v>0</v>
      </c>
      <c r="AA1836" s="182" t="n">
        <v>0</v>
      </c>
      <c r="AB1836" s="182" t="n">
        <v>0</v>
      </c>
      <c r="AC1836" s="182" t="n">
        <v>0.33</v>
      </c>
      <c r="AD1836" s="182" t="n">
        <v>3.55</v>
      </c>
      <c r="AE1836" s="182" t="n">
        <v>0</v>
      </c>
      <c r="AF1836" s="182" t="n">
        <v>0</v>
      </c>
      <c r="AG1836" s="182" t="n">
        <v>0.55</v>
      </c>
      <c r="AH1836" s="182" t="n">
        <v>0.86</v>
      </c>
      <c r="AI1836" s="182" t="n">
        <v>2.17</v>
      </c>
      <c r="AJ1836" s="182" t="n">
        <v>0</v>
      </c>
      <c r="AK1836" s="182" t="n">
        <v>0</v>
      </c>
      <c r="AL1836" s="182" t="n">
        <v>0</v>
      </c>
      <c r="AM1836" s="182" t="n">
        <v>0.08</v>
      </c>
      <c r="AN1836" s="182" t="n">
        <v>0</v>
      </c>
    </row>
    <row r="1837">
      <c r="A1837" s="155" t="n">
        <v>46090</v>
      </c>
      <c r="B1837" s="156" t="inlineStr">
        <is>
          <t>DS</t>
        </is>
      </c>
      <c r="C1837" s="156" t="inlineStr">
        <is>
          <t>DT-518</t>
        </is>
      </c>
      <c r="D1837" s="156" t="inlineStr">
        <is>
          <t>SKT 105S</t>
        </is>
      </c>
      <c r="E1837" s="156" t="inlineStr">
        <is>
          <t>Hauler</t>
        </is>
      </c>
      <c r="F1837" s="156" t="inlineStr"/>
      <c r="G1837" s="182" t="n">
        <v>0</v>
      </c>
      <c r="H1837" s="182" t="n">
        <v>0</v>
      </c>
      <c r="I1837" s="182" t="n">
        <v>12</v>
      </c>
      <c r="J1837" s="182" t="n">
        <v>12</v>
      </c>
      <c r="K1837" s="182" t="n">
        <v>0</v>
      </c>
      <c r="L1837" s="182" t="n">
        <v>12</v>
      </c>
      <c r="M1837" s="182" t="n">
        <v>0</v>
      </c>
      <c r="N1837" s="182" t="n">
        <v>0</v>
      </c>
      <c r="O1837" s="183" t="n">
        <v>0</v>
      </c>
      <c r="P1837" s="183" t="n">
        <v>0</v>
      </c>
      <c r="Q1837" s="184" t="n">
        <v>0</v>
      </c>
      <c r="R1837" s="184" t="n">
        <v>0</v>
      </c>
      <c r="S1837" s="183" t="n">
        <v>0</v>
      </c>
      <c r="T1837" s="183" t="n">
        <v>0</v>
      </c>
      <c r="U1837" s="182" t="n">
        <v>0</v>
      </c>
      <c r="V1837" s="182" t="n">
        <v>0</v>
      </c>
      <c r="W1837" s="182" t="n">
        <v>0</v>
      </c>
      <c r="X1837" s="182" t="n">
        <v>0</v>
      </c>
      <c r="Y1837" s="182" t="n">
        <v>0</v>
      </c>
      <c r="Z1837" s="182" t="n">
        <v>0</v>
      </c>
      <c r="AA1837" s="182" t="n">
        <v>0</v>
      </c>
      <c r="AB1837" s="182" t="n">
        <v>0</v>
      </c>
      <c r="AC1837" s="182" t="n">
        <v>0</v>
      </c>
      <c r="AD1837" s="182" t="n">
        <v>0</v>
      </c>
      <c r="AE1837" s="182" t="n">
        <v>0</v>
      </c>
      <c r="AF1837" s="182" t="n">
        <v>0</v>
      </c>
      <c r="AG1837" s="182" t="n">
        <v>0</v>
      </c>
      <c r="AH1837" s="182" t="n">
        <v>0</v>
      </c>
      <c r="AI1837" s="182" t="n">
        <v>0</v>
      </c>
      <c r="AJ1837" s="182" t="n">
        <v>0</v>
      </c>
      <c r="AK1837" s="182" t="n">
        <v>0</v>
      </c>
      <c r="AL1837" s="182" t="n">
        <v>0</v>
      </c>
      <c r="AM1837" s="182" t="n">
        <v>0</v>
      </c>
      <c r="AN1837" s="182" t="n">
        <v>0</v>
      </c>
    </row>
    <row r="1838">
      <c r="A1838" s="155" t="n">
        <v>46090</v>
      </c>
      <c r="B1838" s="156" t="inlineStr">
        <is>
          <t>DS</t>
        </is>
      </c>
      <c r="C1838" s="156" t="inlineStr">
        <is>
          <t>DT-514</t>
        </is>
      </c>
      <c r="D1838" s="156" t="inlineStr">
        <is>
          <t>SKT 105S</t>
        </is>
      </c>
      <c r="E1838" s="156" t="inlineStr">
        <is>
          <t>Hauler</t>
        </is>
      </c>
      <c r="F1838" s="156" t="inlineStr"/>
      <c r="G1838" s="182" t="n">
        <v>0</v>
      </c>
      <c r="H1838" s="182" t="n">
        <v>0</v>
      </c>
      <c r="I1838" s="182" t="n">
        <v>8.15</v>
      </c>
      <c r="J1838" s="182" t="n">
        <v>8.15</v>
      </c>
      <c r="K1838" s="182" t="n">
        <v>3.85</v>
      </c>
      <c r="L1838" s="182" t="n">
        <v>12</v>
      </c>
      <c r="M1838" s="182" t="n">
        <v>0</v>
      </c>
      <c r="N1838" s="182" t="n">
        <v>0</v>
      </c>
      <c r="O1838" s="183" t="n">
        <v>0</v>
      </c>
      <c r="P1838" s="183" t="n">
        <v>0</v>
      </c>
      <c r="Q1838" s="184" t="n">
        <v>0</v>
      </c>
      <c r="R1838" s="184" t="n">
        <v>0</v>
      </c>
      <c r="S1838" s="183" t="n">
        <v>0</v>
      </c>
      <c r="T1838" s="183" t="n">
        <v>0</v>
      </c>
      <c r="U1838" s="182" t="n">
        <v>0</v>
      </c>
      <c r="V1838" s="182" t="n">
        <v>0</v>
      </c>
      <c r="W1838" s="182" t="n">
        <v>0</v>
      </c>
      <c r="X1838" s="182" t="n">
        <v>0</v>
      </c>
      <c r="Y1838" s="182" t="n">
        <v>0</v>
      </c>
      <c r="Z1838" s="182" t="n">
        <v>0</v>
      </c>
      <c r="AA1838" s="182" t="n">
        <v>0</v>
      </c>
      <c r="AB1838" s="182" t="n">
        <v>0</v>
      </c>
      <c r="AC1838" s="182" t="n">
        <v>0</v>
      </c>
      <c r="AD1838" s="182" t="n">
        <v>0</v>
      </c>
      <c r="AE1838" s="182" t="n">
        <v>0</v>
      </c>
      <c r="AF1838" s="182" t="n">
        <v>0</v>
      </c>
      <c r="AG1838" s="182" t="n">
        <v>0</v>
      </c>
      <c r="AH1838" s="182" t="n">
        <v>0</v>
      </c>
      <c r="AI1838" s="182" t="n">
        <v>0</v>
      </c>
      <c r="AJ1838" s="182" t="n">
        <v>0</v>
      </c>
      <c r="AK1838" s="182" t="n">
        <v>3.77</v>
      </c>
      <c r="AL1838" s="182" t="n">
        <v>0</v>
      </c>
      <c r="AM1838" s="182" t="n">
        <v>0.08</v>
      </c>
      <c r="AN1838" s="182" t="n">
        <v>0</v>
      </c>
    </row>
    <row r="1839">
      <c r="A1839" s="155" t="n">
        <v>46090</v>
      </c>
      <c r="B1839" s="156" t="inlineStr">
        <is>
          <t>DS</t>
        </is>
      </c>
      <c r="C1839" s="156" t="inlineStr">
        <is>
          <t>DT-523</t>
        </is>
      </c>
      <c r="D1839" s="156" t="inlineStr">
        <is>
          <t>SKT 105S</t>
        </is>
      </c>
      <c r="E1839" s="156" t="inlineStr">
        <is>
          <t>Hauler</t>
        </is>
      </c>
      <c r="F1839" s="156" t="inlineStr">
        <is>
          <t>Hauling OB</t>
        </is>
      </c>
      <c r="G1839" s="182" t="n">
        <v>6.25</v>
      </c>
      <c r="H1839" s="182" t="n">
        <v>0</v>
      </c>
      <c r="I1839" s="182" t="n">
        <v>0</v>
      </c>
      <c r="J1839" s="182" t="n">
        <v>0</v>
      </c>
      <c r="K1839" s="182" t="n">
        <v>5.75</v>
      </c>
      <c r="L1839" s="182" t="n">
        <v>12</v>
      </c>
      <c r="M1839" s="182" t="n">
        <v>6.13</v>
      </c>
      <c r="N1839" s="182" t="n">
        <v>0</v>
      </c>
      <c r="O1839" s="183" t="n">
        <v>15</v>
      </c>
      <c r="P1839" s="183" t="n">
        <v>0</v>
      </c>
      <c r="Q1839" s="184" t="n">
        <v>306</v>
      </c>
      <c r="R1839" s="184" t="n">
        <v>0</v>
      </c>
      <c r="S1839" s="183" t="n">
        <v>0</v>
      </c>
      <c r="T1839" s="183" t="n">
        <v>0</v>
      </c>
      <c r="U1839" s="182" t="n">
        <v>0</v>
      </c>
      <c r="V1839" s="182" t="n">
        <v>0</v>
      </c>
      <c r="W1839" s="182" t="n">
        <v>0</v>
      </c>
      <c r="X1839" s="182" t="n">
        <v>1.01</v>
      </c>
      <c r="Y1839" s="182" t="n">
        <v>0</v>
      </c>
      <c r="Z1839" s="182" t="n">
        <v>0.07000000000000001</v>
      </c>
      <c r="AA1839" s="182" t="n">
        <v>0</v>
      </c>
      <c r="AB1839" s="182" t="n">
        <v>0</v>
      </c>
      <c r="AC1839" s="182" t="n">
        <v>0.33</v>
      </c>
      <c r="AD1839" s="182" t="n">
        <v>3.55</v>
      </c>
      <c r="AE1839" s="182" t="n">
        <v>0</v>
      </c>
      <c r="AF1839" s="182" t="n">
        <v>0</v>
      </c>
      <c r="AG1839" s="182" t="n">
        <v>0</v>
      </c>
      <c r="AH1839" s="182" t="n">
        <v>0.71</v>
      </c>
      <c r="AI1839" s="182" t="n">
        <v>0</v>
      </c>
      <c r="AJ1839" s="182" t="n">
        <v>0</v>
      </c>
      <c r="AK1839" s="182" t="n">
        <v>0</v>
      </c>
      <c r="AL1839" s="182" t="n">
        <v>0</v>
      </c>
      <c r="AM1839" s="182" t="n">
        <v>0.08</v>
      </c>
      <c r="AN1839" s="182" t="n">
        <v>0</v>
      </c>
    </row>
    <row r="1840">
      <c r="A1840" s="155" t="n">
        <v>46090</v>
      </c>
      <c r="B1840" s="156" t="inlineStr">
        <is>
          <t>DS</t>
        </is>
      </c>
      <c r="C1840" s="156" t="inlineStr">
        <is>
          <t>DT-519</t>
        </is>
      </c>
      <c r="D1840" s="156" t="inlineStr">
        <is>
          <t>SKT 105S</t>
        </is>
      </c>
      <c r="E1840" s="156" t="inlineStr">
        <is>
          <t>Hauler</t>
        </is>
      </c>
      <c r="F1840" s="156" t="inlineStr"/>
      <c r="G1840" s="182" t="n">
        <v>0</v>
      </c>
      <c r="H1840" s="182" t="n">
        <v>0</v>
      </c>
      <c r="I1840" s="182" t="n">
        <v>7.83</v>
      </c>
      <c r="J1840" s="182" t="n">
        <v>7.83</v>
      </c>
      <c r="K1840" s="182" t="n">
        <v>4.17</v>
      </c>
      <c r="L1840" s="182" t="n">
        <v>12</v>
      </c>
      <c r="M1840" s="182" t="n">
        <v>0</v>
      </c>
      <c r="N1840" s="182" t="n">
        <v>0</v>
      </c>
      <c r="O1840" s="183" t="n">
        <v>0</v>
      </c>
      <c r="P1840" s="183" t="n">
        <v>0</v>
      </c>
      <c r="Q1840" s="184" t="n">
        <v>0</v>
      </c>
      <c r="R1840" s="184" t="n">
        <v>0</v>
      </c>
      <c r="S1840" s="183" t="n">
        <v>0</v>
      </c>
      <c r="T1840" s="183" t="n">
        <v>0</v>
      </c>
      <c r="U1840" s="182" t="n">
        <v>0</v>
      </c>
      <c r="V1840" s="182" t="n">
        <v>0</v>
      </c>
      <c r="W1840" s="182" t="n">
        <v>0</v>
      </c>
      <c r="X1840" s="182" t="n">
        <v>0</v>
      </c>
      <c r="Y1840" s="182" t="n">
        <v>0</v>
      </c>
      <c r="Z1840" s="182" t="n">
        <v>0</v>
      </c>
      <c r="AA1840" s="182" t="n">
        <v>0</v>
      </c>
      <c r="AB1840" s="182" t="n">
        <v>0</v>
      </c>
      <c r="AC1840" s="182" t="n">
        <v>0</v>
      </c>
      <c r="AD1840" s="182" t="n">
        <v>0</v>
      </c>
      <c r="AE1840" s="182" t="n">
        <v>0</v>
      </c>
      <c r="AF1840" s="182" t="n">
        <v>0</v>
      </c>
      <c r="AG1840" s="182" t="n">
        <v>0</v>
      </c>
      <c r="AH1840" s="182" t="n">
        <v>0</v>
      </c>
      <c r="AI1840" s="182" t="n">
        <v>0</v>
      </c>
      <c r="AJ1840" s="182" t="n">
        <v>0</v>
      </c>
      <c r="AK1840" s="182" t="n">
        <v>4.08</v>
      </c>
      <c r="AL1840" s="182" t="n">
        <v>0</v>
      </c>
      <c r="AM1840" s="182" t="n">
        <v>0.08</v>
      </c>
      <c r="AN1840" s="182" t="n">
        <v>0</v>
      </c>
    </row>
    <row r="1841">
      <c r="A1841" s="155" t="n">
        <v>46090</v>
      </c>
      <c r="B1841" s="156" t="inlineStr">
        <is>
          <t>DS</t>
        </is>
      </c>
      <c r="C1841" s="156" t="inlineStr">
        <is>
          <t>DT-527</t>
        </is>
      </c>
      <c r="D1841" s="156" t="inlineStr">
        <is>
          <t>SKT 105S</t>
        </is>
      </c>
      <c r="E1841" s="156" t="inlineStr">
        <is>
          <t>Hauler</t>
        </is>
      </c>
      <c r="F1841" s="156" t="inlineStr">
        <is>
          <t>Hauling Coal &amp; OB</t>
        </is>
      </c>
      <c r="G1841" s="182" t="n">
        <v>5.06</v>
      </c>
      <c r="H1841" s="182" t="n">
        <v>0</v>
      </c>
      <c r="I1841" s="182" t="n">
        <v>0</v>
      </c>
      <c r="J1841" s="182" t="n">
        <v>0</v>
      </c>
      <c r="K1841" s="182" t="n">
        <v>6.94</v>
      </c>
      <c r="L1841" s="182" t="n">
        <v>12</v>
      </c>
      <c r="M1841" s="182" t="n">
        <v>4.69</v>
      </c>
      <c r="N1841" s="182" t="n">
        <v>0.37</v>
      </c>
      <c r="O1841" s="183" t="n">
        <v>12</v>
      </c>
      <c r="P1841" s="183" t="n">
        <v>1</v>
      </c>
      <c r="Q1841" s="184" t="n">
        <v>244.8</v>
      </c>
      <c r="R1841" s="184" t="n">
        <v>18.7</v>
      </c>
      <c r="S1841" s="183" t="n">
        <v>0</v>
      </c>
      <c r="T1841" s="183" t="n">
        <v>0</v>
      </c>
      <c r="U1841" s="182" t="n">
        <v>0</v>
      </c>
      <c r="V1841" s="182" t="n">
        <v>0</v>
      </c>
      <c r="W1841" s="182" t="n">
        <v>0</v>
      </c>
      <c r="X1841" s="182" t="n">
        <v>0.93</v>
      </c>
      <c r="Y1841" s="182" t="n">
        <v>0</v>
      </c>
      <c r="Z1841" s="182" t="n">
        <v>0.06</v>
      </c>
      <c r="AA1841" s="182" t="n">
        <v>0</v>
      </c>
      <c r="AB1841" s="182" t="n">
        <v>0</v>
      </c>
      <c r="AC1841" s="182" t="n">
        <v>0.31</v>
      </c>
      <c r="AD1841" s="182" t="n">
        <v>3.27</v>
      </c>
      <c r="AE1841" s="182" t="n">
        <v>0</v>
      </c>
      <c r="AF1841" s="182" t="n">
        <v>0</v>
      </c>
      <c r="AG1841" s="182" t="n">
        <v>0</v>
      </c>
      <c r="AH1841" s="182" t="n">
        <v>0.31</v>
      </c>
      <c r="AI1841" s="182" t="n">
        <v>1.99</v>
      </c>
      <c r="AJ1841" s="182" t="n">
        <v>0</v>
      </c>
      <c r="AK1841" s="182" t="n">
        <v>0</v>
      </c>
      <c r="AL1841" s="182" t="n">
        <v>0</v>
      </c>
      <c r="AM1841" s="182" t="n">
        <v>0.07000000000000001</v>
      </c>
      <c r="AN1841" s="182" t="n">
        <v>0</v>
      </c>
    </row>
    <row r="1842">
      <c r="A1842" s="155" t="n">
        <v>46090</v>
      </c>
      <c r="B1842" s="156" t="inlineStr">
        <is>
          <t>DS</t>
        </is>
      </c>
      <c r="C1842" s="156" t="inlineStr">
        <is>
          <t>DT-513</t>
        </is>
      </c>
      <c r="D1842" s="156" t="inlineStr">
        <is>
          <t>SKT 105S</t>
        </is>
      </c>
      <c r="E1842" s="156" t="inlineStr">
        <is>
          <t>Hauler</t>
        </is>
      </c>
      <c r="F1842" s="156" t="inlineStr">
        <is>
          <t>Hauling OB &amp; Rehandling</t>
        </is>
      </c>
      <c r="G1842" s="182" t="n">
        <v>2.62</v>
      </c>
      <c r="H1842" s="182" t="n">
        <v>0</v>
      </c>
      <c r="I1842" s="182" t="n">
        <v>4.18</v>
      </c>
      <c r="J1842" s="182" t="n">
        <v>4.18</v>
      </c>
      <c r="K1842" s="182" t="n">
        <v>5.2</v>
      </c>
      <c r="L1842" s="182" t="n">
        <v>12</v>
      </c>
      <c r="M1842" s="182" t="n">
        <v>0.41</v>
      </c>
      <c r="N1842" s="182" t="n">
        <v>0</v>
      </c>
      <c r="O1842" s="183" t="n">
        <v>2</v>
      </c>
      <c r="P1842" s="183" t="n">
        <v>0</v>
      </c>
      <c r="Q1842" s="184" t="n">
        <v>40.8</v>
      </c>
      <c r="R1842" s="184" t="n">
        <v>0</v>
      </c>
      <c r="S1842" s="183" t="n">
        <v>0</v>
      </c>
      <c r="T1842" s="183" t="n">
        <v>0</v>
      </c>
      <c r="U1842" s="182" t="n">
        <v>0</v>
      </c>
      <c r="V1842" s="182" t="n">
        <v>0</v>
      </c>
      <c r="W1842" s="182" t="n">
        <v>0</v>
      </c>
      <c r="X1842" s="182" t="n">
        <v>0</v>
      </c>
      <c r="Y1842" s="182" t="n">
        <v>0</v>
      </c>
      <c r="Z1842" s="182" t="n">
        <v>0.08</v>
      </c>
      <c r="AA1842" s="182" t="n">
        <v>0</v>
      </c>
      <c r="AB1842" s="182" t="n">
        <v>0</v>
      </c>
      <c r="AC1842" s="182" t="n">
        <v>0.36</v>
      </c>
      <c r="AD1842" s="182" t="n">
        <v>3.58</v>
      </c>
      <c r="AE1842" s="182" t="n">
        <v>0</v>
      </c>
      <c r="AF1842" s="182" t="n">
        <v>0</v>
      </c>
      <c r="AG1842" s="182" t="n">
        <v>0.18</v>
      </c>
      <c r="AH1842" s="182" t="n">
        <v>0.92</v>
      </c>
      <c r="AI1842" s="182" t="n">
        <v>0</v>
      </c>
      <c r="AJ1842" s="182" t="n">
        <v>0</v>
      </c>
      <c r="AK1842" s="182" t="n">
        <v>0</v>
      </c>
      <c r="AL1842" s="182" t="n">
        <v>0</v>
      </c>
      <c r="AM1842" s="182" t="n">
        <v>0.09</v>
      </c>
      <c r="AN1842" s="182" t="n">
        <v>0</v>
      </c>
    </row>
    <row r="1843">
      <c r="A1843" s="155" t="n">
        <v>46090</v>
      </c>
      <c r="B1843" s="156" t="inlineStr">
        <is>
          <t>DS</t>
        </is>
      </c>
      <c r="C1843" s="156" t="inlineStr">
        <is>
          <t>DT-512</t>
        </is>
      </c>
      <c r="D1843" s="156" t="inlineStr">
        <is>
          <t>SKT 105S</t>
        </is>
      </c>
      <c r="E1843" s="156" t="inlineStr">
        <is>
          <t>Hauler</t>
        </is>
      </c>
      <c r="F1843" s="156" t="inlineStr">
        <is>
          <t>Hauling OB, Spoil &amp; Coal</t>
        </is>
      </c>
      <c r="G1843" s="182" t="n">
        <v>5.63</v>
      </c>
      <c r="H1843" s="182" t="n">
        <v>0</v>
      </c>
      <c r="I1843" s="182" t="n">
        <v>0</v>
      </c>
      <c r="J1843" s="182" t="n">
        <v>0</v>
      </c>
      <c r="K1843" s="182" t="n">
        <v>6.37</v>
      </c>
      <c r="L1843" s="182" t="n">
        <v>12</v>
      </c>
      <c r="M1843" s="182" t="n">
        <v>1.66</v>
      </c>
      <c r="N1843" s="182" t="n">
        <v>3.97</v>
      </c>
      <c r="O1843" s="183" t="n">
        <v>2</v>
      </c>
      <c r="P1843" s="183" t="n">
        <v>11</v>
      </c>
      <c r="Q1843" s="184" t="n">
        <v>40.8</v>
      </c>
      <c r="R1843" s="184" t="n">
        <v>205.7</v>
      </c>
      <c r="S1843" s="183" t="n">
        <v>0</v>
      </c>
      <c r="T1843" s="183" t="n">
        <v>0</v>
      </c>
      <c r="U1843" s="182" t="n">
        <v>0</v>
      </c>
      <c r="V1843" s="182" t="n">
        <v>0</v>
      </c>
      <c r="W1843" s="182" t="n">
        <v>0</v>
      </c>
      <c r="X1843" s="182" t="n">
        <v>0.9399999999999999</v>
      </c>
      <c r="Y1843" s="182" t="n">
        <v>0</v>
      </c>
      <c r="Z1843" s="182" t="n">
        <v>0.07000000000000001</v>
      </c>
      <c r="AA1843" s="182" t="n">
        <v>0</v>
      </c>
      <c r="AB1843" s="182" t="n">
        <v>0</v>
      </c>
      <c r="AC1843" s="182" t="n">
        <v>0.31</v>
      </c>
      <c r="AD1843" s="182" t="n">
        <v>3.11</v>
      </c>
      <c r="AE1843" s="182" t="n">
        <v>0</v>
      </c>
      <c r="AF1843" s="182" t="n">
        <v>0</v>
      </c>
      <c r="AG1843" s="182" t="n">
        <v>0</v>
      </c>
      <c r="AH1843" s="182" t="n">
        <v>0.47</v>
      </c>
      <c r="AI1843" s="182" t="n">
        <v>0</v>
      </c>
      <c r="AJ1843" s="182" t="n">
        <v>0</v>
      </c>
      <c r="AK1843" s="182" t="n">
        <v>1.41</v>
      </c>
      <c r="AL1843" s="182" t="n">
        <v>0</v>
      </c>
      <c r="AM1843" s="182" t="n">
        <v>0.07000000000000001</v>
      </c>
      <c r="AN1843" s="182" t="n">
        <v>0</v>
      </c>
    </row>
    <row r="1844">
      <c r="A1844" s="155" t="n">
        <v>46090</v>
      </c>
      <c r="B1844" s="156" t="inlineStr">
        <is>
          <t>DS</t>
        </is>
      </c>
      <c r="C1844" s="156" t="inlineStr">
        <is>
          <t>DT-522</t>
        </is>
      </c>
      <c r="D1844" s="156" t="inlineStr">
        <is>
          <t>SKT 105S</t>
        </is>
      </c>
      <c r="E1844" s="156" t="inlineStr">
        <is>
          <t>Hauler</t>
        </is>
      </c>
      <c r="F1844" s="156" t="inlineStr">
        <is>
          <t>Hauling OB &amp; Spoil</t>
        </is>
      </c>
      <c r="G1844" s="182" t="n">
        <v>6.93</v>
      </c>
      <c r="H1844" s="182" t="n">
        <v>0</v>
      </c>
      <c r="I1844" s="182" t="n">
        <v>0</v>
      </c>
      <c r="J1844" s="182" t="n">
        <v>0</v>
      </c>
      <c r="K1844" s="182" t="n">
        <v>5.07</v>
      </c>
      <c r="L1844" s="182" t="n">
        <v>12</v>
      </c>
      <c r="M1844" s="182" t="n">
        <v>5.89</v>
      </c>
      <c r="N1844" s="182" t="n">
        <v>0</v>
      </c>
      <c r="O1844" s="183" t="n">
        <v>17</v>
      </c>
      <c r="P1844" s="183" t="n">
        <v>0</v>
      </c>
      <c r="Q1844" s="184" t="n">
        <v>346.8</v>
      </c>
      <c r="R1844" s="184" t="n">
        <v>0</v>
      </c>
      <c r="S1844" s="183" t="n">
        <v>0</v>
      </c>
      <c r="T1844" s="183" t="n">
        <v>0</v>
      </c>
      <c r="U1844" s="182" t="n">
        <v>0</v>
      </c>
      <c r="V1844" s="182" t="n">
        <v>0</v>
      </c>
      <c r="W1844" s="182" t="n">
        <v>0</v>
      </c>
      <c r="X1844" s="182" t="n">
        <v>1.01</v>
      </c>
      <c r="Y1844" s="182" t="n">
        <v>0</v>
      </c>
      <c r="Z1844" s="182" t="n">
        <v>0.07000000000000001</v>
      </c>
      <c r="AA1844" s="182" t="n">
        <v>0</v>
      </c>
      <c r="AB1844" s="182" t="n">
        <v>0</v>
      </c>
      <c r="AC1844" s="182" t="n">
        <v>0.33</v>
      </c>
      <c r="AD1844" s="182" t="n">
        <v>3.14</v>
      </c>
      <c r="AE1844" s="182" t="n">
        <v>0</v>
      </c>
      <c r="AF1844" s="182" t="n">
        <v>0</v>
      </c>
      <c r="AG1844" s="182" t="n">
        <v>0</v>
      </c>
      <c r="AH1844" s="182" t="n">
        <v>0.43</v>
      </c>
      <c r="AI1844" s="182" t="n">
        <v>0</v>
      </c>
      <c r="AJ1844" s="182" t="n">
        <v>0</v>
      </c>
      <c r="AK1844" s="182" t="n">
        <v>0</v>
      </c>
      <c r="AL1844" s="182" t="n">
        <v>0</v>
      </c>
      <c r="AM1844" s="182" t="n">
        <v>0.08</v>
      </c>
      <c r="AN1844" s="182" t="n">
        <v>0</v>
      </c>
    </row>
    <row r="1845">
      <c r="A1845" s="155" t="n">
        <v>46090</v>
      </c>
      <c r="B1845" s="156" t="inlineStr">
        <is>
          <t>DS</t>
        </is>
      </c>
      <c r="C1845" s="156" t="inlineStr">
        <is>
          <t>DT-517</t>
        </is>
      </c>
      <c r="D1845" s="156" t="inlineStr">
        <is>
          <t>SKT 105S</t>
        </is>
      </c>
      <c r="E1845" s="156" t="inlineStr">
        <is>
          <t>Hauler</t>
        </is>
      </c>
      <c r="F1845" s="156" t="inlineStr">
        <is>
          <t>Hauling OB, Spoil &amp; Coal</t>
        </is>
      </c>
      <c r="G1845" s="182" t="n">
        <v>6.78</v>
      </c>
      <c r="H1845" s="182" t="n">
        <v>0</v>
      </c>
      <c r="I1845" s="182" t="n">
        <v>0</v>
      </c>
      <c r="J1845" s="182" t="n">
        <v>0</v>
      </c>
      <c r="K1845" s="182" t="n">
        <v>5.22</v>
      </c>
      <c r="L1845" s="182" t="n">
        <v>12</v>
      </c>
      <c r="M1845" s="182" t="n">
        <v>2.99</v>
      </c>
      <c r="N1845" s="182" t="n">
        <v>3.32</v>
      </c>
      <c r="O1845" s="183" t="n">
        <v>7</v>
      </c>
      <c r="P1845" s="183" t="n">
        <v>10</v>
      </c>
      <c r="Q1845" s="184" t="n">
        <v>142.8</v>
      </c>
      <c r="R1845" s="184" t="n">
        <v>187</v>
      </c>
      <c r="S1845" s="183" t="n">
        <v>0</v>
      </c>
      <c r="T1845" s="183" t="n">
        <v>0</v>
      </c>
      <c r="U1845" s="182" t="n">
        <v>0</v>
      </c>
      <c r="V1845" s="182" t="n">
        <v>0</v>
      </c>
      <c r="W1845" s="182" t="n">
        <v>0</v>
      </c>
      <c r="X1845" s="182" t="n">
        <v>1</v>
      </c>
      <c r="Y1845" s="182" t="n">
        <v>0</v>
      </c>
      <c r="Z1845" s="182" t="n">
        <v>0</v>
      </c>
      <c r="AA1845" s="182" t="n">
        <v>0</v>
      </c>
      <c r="AB1845" s="182" t="n">
        <v>0</v>
      </c>
      <c r="AC1845" s="182" t="n">
        <v>0.33</v>
      </c>
      <c r="AD1845" s="182" t="n">
        <v>3.33</v>
      </c>
      <c r="AE1845" s="182" t="n">
        <v>0</v>
      </c>
      <c r="AF1845" s="182" t="n">
        <v>0</v>
      </c>
      <c r="AG1845" s="182" t="n">
        <v>0</v>
      </c>
      <c r="AH1845" s="182" t="n">
        <v>0.47</v>
      </c>
      <c r="AI1845" s="182" t="n">
        <v>0</v>
      </c>
      <c r="AJ1845" s="182" t="n">
        <v>0</v>
      </c>
      <c r="AK1845" s="182" t="n">
        <v>0</v>
      </c>
      <c r="AL1845" s="182" t="n">
        <v>0</v>
      </c>
      <c r="AM1845" s="182" t="n">
        <v>0.08</v>
      </c>
      <c r="AN1845" s="182" t="n">
        <v>0</v>
      </c>
    </row>
    <row r="1846">
      <c r="A1846" s="155" t="n">
        <v>46090</v>
      </c>
      <c r="B1846" s="156" t="inlineStr">
        <is>
          <t>DS</t>
        </is>
      </c>
      <c r="C1846" s="156" t="inlineStr">
        <is>
          <t>DT-510</t>
        </is>
      </c>
      <c r="D1846" s="156" t="inlineStr">
        <is>
          <t>SKT 105S</t>
        </is>
      </c>
      <c r="E1846" s="156" t="inlineStr">
        <is>
          <t>Hauler</t>
        </is>
      </c>
      <c r="F1846" s="156" t="inlineStr">
        <is>
          <t>Hauling Coal &amp; Parting</t>
        </is>
      </c>
      <c r="G1846" s="182" t="n">
        <v>5.37</v>
      </c>
      <c r="H1846" s="182" t="n">
        <v>0</v>
      </c>
      <c r="I1846" s="182" t="n">
        <v>0</v>
      </c>
      <c r="J1846" s="182" t="n">
        <v>0</v>
      </c>
      <c r="K1846" s="182" t="n">
        <v>6.63</v>
      </c>
      <c r="L1846" s="182" t="n">
        <v>12</v>
      </c>
      <c r="M1846" s="182" t="n">
        <v>0.89</v>
      </c>
      <c r="N1846" s="182" t="n">
        <v>4.48</v>
      </c>
      <c r="O1846" s="183" t="n">
        <v>6</v>
      </c>
      <c r="P1846" s="183" t="n">
        <v>14</v>
      </c>
      <c r="Q1846" s="184" t="n">
        <v>106.1</v>
      </c>
      <c r="R1846" s="184" t="n">
        <v>261.8</v>
      </c>
      <c r="S1846" s="183" t="n">
        <v>0</v>
      </c>
      <c r="T1846" s="183" t="n">
        <v>0</v>
      </c>
      <c r="U1846" s="182" t="n">
        <v>0</v>
      </c>
      <c r="V1846" s="182" t="n">
        <v>0</v>
      </c>
      <c r="W1846" s="182" t="n">
        <v>0</v>
      </c>
      <c r="X1846" s="182" t="n">
        <v>1.04</v>
      </c>
      <c r="Y1846" s="182" t="n">
        <v>0</v>
      </c>
      <c r="Z1846" s="182" t="n">
        <v>0.07000000000000001</v>
      </c>
      <c r="AA1846" s="182" t="n">
        <v>0</v>
      </c>
      <c r="AB1846" s="182" t="n">
        <v>0</v>
      </c>
      <c r="AC1846" s="182" t="n">
        <v>0.34</v>
      </c>
      <c r="AD1846" s="182" t="n">
        <v>3.44</v>
      </c>
      <c r="AE1846" s="182" t="n">
        <v>0</v>
      </c>
      <c r="AF1846" s="182" t="n">
        <v>0</v>
      </c>
      <c r="AG1846" s="182" t="n">
        <v>0</v>
      </c>
      <c r="AH1846" s="182" t="n">
        <v>0.52</v>
      </c>
      <c r="AI1846" s="182" t="n">
        <v>0</v>
      </c>
      <c r="AJ1846" s="182" t="n">
        <v>0</v>
      </c>
      <c r="AK1846" s="182" t="n">
        <v>1.14</v>
      </c>
      <c r="AL1846" s="182" t="n">
        <v>0</v>
      </c>
      <c r="AM1846" s="182" t="n">
        <v>0.08</v>
      </c>
      <c r="AN1846" s="182" t="n">
        <v>0</v>
      </c>
    </row>
    <row r="1847">
      <c r="A1847" s="155" t="n">
        <v>46090</v>
      </c>
      <c r="B1847" s="156" t="inlineStr">
        <is>
          <t>DS</t>
        </is>
      </c>
      <c r="C1847" s="156" t="inlineStr">
        <is>
          <t>DT-521</t>
        </is>
      </c>
      <c r="D1847" s="156" t="inlineStr">
        <is>
          <t>SKT 105S</t>
        </is>
      </c>
      <c r="E1847" s="156" t="inlineStr">
        <is>
          <t>Hauler</t>
        </is>
      </c>
      <c r="F1847" s="156" t="inlineStr">
        <is>
          <t>Hauling OB &amp; Spoil</t>
        </is>
      </c>
      <c r="G1847" s="182" t="n">
        <v>7.03</v>
      </c>
      <c r="H1847" s="182" t="n">
        <v>0</v>
      </c>
      <c r="I1847" s="182" t="n">
        <v>0</v>
      </c>
      <c r="J1847" s="182" t="n">
        <v>0</v>
      </c>
      <c r="K1847" s="182" t="n">
        <v>4.97</v>
      </c>
      <c r="L1847" s="182" t="n">
        <v>12</v>
      </c>
      <c r="M1847" s="182" t="n">
        <v>6.32</v>
      </c>
      <c r="N1847" s="182" t="n">
        <v>0</v>
      </c>
      <c r="O1847" s="183" t="n">
        <v>18</v>
      </c>
      <c r="P1847" s="183" t="n">
        <v>0</v>
      </c>
      <c r="Q1847" s="184" t="n">
        <v>367.2</v>
      </c>
      <c r="R1847" s="184" t="n">
        <v>0</v>
      </c>
      <c r="S1847" s="183" t="n">
        <v>0</v>
      </c>
      <c r="T1847" s="183" t="n">
        <v>0</v>
      </c>
      <c r="U1847" s="182" t="n">
        <v>0</v>
      </c>
      <c r="V1847" s="182" t="n">
        <v>0</v>
      </c>
      <c r="W1847" s="182" t="n">
        <v>0</v>
      </c>
      <c r="X1847" s="182" t="n">
        <v>0.97</v>
      </c>
      <c r="Y1847" s="182" t="n">
        <v>0</v>
      </c>
      <c r="Z1847" s="182" t="n">
        <v>0.07000000000000001</v>
      </c>
      <c r="AA1847" s="182" t="n">
        <v>0</v>
      </c>
      <c r="AB1847" s="182" t="n">
        <v>0</v>
      </c>
      <c r="AC1847" s="182" t="n">
        <v>0.32</v>
      </c>
      <c r="AD1847" s="182" t="n">
        <v>3.02</v>
      </c>
      <c r="AE1847" s="182" t="n">
        <v>0</v>
      </c>
      <c r="AF1847" s="182" t="n">
        <v>0</v>
      </c>
      <c r="AG1847" s="182" t="n">
        <v>0</v>
      </c>
      <c r="AH1847" s="182" t="n">
        <v>0.51</v>
      </c>
      <c r="AI1847" s="182" t="n">
        <v>0</v>
      </c>
      <c r="AJ1847" s="182" t="n">
        <v>0</v>
      </c>
      <c r="AK1847" s="182" t="n">
        <v>0</v>
      </c>
      <c r="AL1847" s="182" t="n">
        <v>0</v>
      </c>
      <c r="AM1847" s="182" t="n">
        <v>0.08</v>
      </c>
      <c r="AN1847" s="182" t="n">
        <v>0</v>
      </c>
    </row>
    <row r="1848">
      <c r="A1848" s="155" t="n">
        <v>46090</v>
      </c>
      <c r="B1848" s="156" t="inlineStr">
        <is>
          <t>DS</t>
        </is>
      </c>
      <c r="C1848" s="156" t="inlineStr">
        <is>
          <t>DT-516</t>
        </is>
      </c>
      <c r="D1848" s="156" t="inlineStr">
        <is>
          <t>SKT 105S</t>
        </is>
      </c>
      <c r="E1848" s="156" t="inlineStr">
        <is>
          <t>Hauler</t>
        </is>
      </c>
      <c r="F1848" s="156" t="inlineStr">
        <is>
          <t>Hauling OB</t>
        </is>
      </c>
      <c r="G1848" s="182" t="n">
        <v>5.93</v>
      </c>
      <c r="H1848" s="182" t="n">
        <v>0</v>
      </c>
      <c r="I1848" s="182" t="n">
        <v>0</v>
      </c>
      <c r="J1848" s="182" t="n">
        <v>0</v>
      </c>
      <c r="K1848" s="182" t="n">
        <v>6.07</v>
      </c>
      <c r="L1848" s="182" t="n">
        <v>12</v>
      </c>
      <c r="M1848" s="182" t="n">
        <v>5.82</v>
      </c>
      <c r="N1848" s="182" t="n">
        <v>0</v>
      </c>
      <c r="O1848" s="183" t="n">
        <v>15</v>
      </c>
      <c r="P1848" s="183" t="n">
        <v>0</v>
      </c>
      <c r="Q1848" s="184" t="n">
        <v>306</v>
      </c>
      <c r="R1848" s="184" t="n">
        <v>0</v>
      </c>
      <c r="S1848" s="183" t="n">
        <v>0</v>
      </c>
      <c r="T1848" s="183" t="n">
        <v>0</v>
      </c>
      <c r="U1848" s="182" t="n">
        <v>0</v>
      </c>
      <c r="V1848" s="182" t="n">
        <v>0</v>
      </c>
      <c r="W1848" s="182" t="n">
        <v>0</v>
      </c>
      <c r="X1848" s="182" t="n">
        <v>1.03</v>
      </c>
      <c r="Y1848" s="182" t="n">
        <v>0</v>
      </c>
      <c r="Z1848" s="182" t="n">
        <v>0.07000000000000001</v>
      </c>
      <c r="AA1848" s="182" t="n">
        <v>0</v>
      </c>
      <c r="AB1848" s="182" t="n">
        <v>0</v>
      </c>
      <c r="AC1848" s="182" t="n">
        <v>0.34</v>
      </c>
      <c r="AD1848" s="182" t="n">
        <v>3.62</v>
      </c>
      <c r="AE1848" s="182" t="n">
        <v>0</v>
      </c>
      <c r="AF1848" s="182" t="n">
        <v>0</v>
      </c>
      <c r="AG1848" s="182" t="n">
        <v>0</v>
      </c>
      <c r="AH1848" s="182" t="n">
        <v>0.93</v>
      </c>
      <c r="AI1848" s="182" t="n">
        <v>0</v>
      </c>
      <c r="AJ1848" s="182" t="n">
        <v>0</v>
      </c>
      <c r="AK1848" s="182" t="n">
        <v>0</v>
      </c>
      <c r="AL1848" s="182" t="n">
        <v>0</v>
      </c>
      <c r="AM1848" s="182" t="n">
        <v>0.08</v>
      </c>
      <c r="AN1848" s="182" t="n">
        <v>0</v>
      </c>
    </row>
    <row r="1849">
      <c r="A1849" s="155" t="n">
        <v>46090</v>
      </c>
      <c r="B1849" s="156" t="inlineStr">
        <is>
          <t>DS</t>
        </is>
      </c>
      <c r="C1849" s="156" t="inlineStr">
        <is>
          <t>DT-506</t>
        </is>
      </c>
      <c r="D1849" s="156" t="inlineStr">
        <is>
          <t>SKT 105S</t>
        </is>
      </c>
      <c r="E1849" s="156" t="inlineStr">
        <is>
          <t>Hauler</t>
        </is>
      </c>
      <c r="F1849" s="156" t="inlineStr">
        <is>
          <t>Hauling OB</t>
        </is>
      </c>
      <c r="G1849" s="182" t="n">
        <v>6.73</v>
      </c>
      <c r="H1849" s="182" t="n">
        <v>0</v>
      </c>
      <c r="I1849" s="182" t="n">
        <v>0</v>
      </c>
      <c r="J1849" s="182" t="n">
        <v>0</v>
      </c>
      <c r="K1849" s="182" t="n">
        <v>5.27</v>
      </c>
      <c r="L1849" s="182" t="n">
        <v>12</v>
      </c>
      <c r="M1849" s="182" t="n">
        <v>6.73</v>
      </c>
      <c r="N1849" s="182" t="n">
        <v>0</v>
      </c>
      <c r="O1849" s="183" t="n">
        <v>19</v>
      </c>
      <c r="P1849" s="183" t="n">
        <v>0</v>
      </c>
      <c r="Q1849" s="184" t="n">
        <v>387.6</v>
      </c>
      <c r="R1849" s="184" t="n">
        <v>0</v>
      </c>
      <c r="S1849" s="183" t="n">
        <v>0</v>
      </c>
      <c r="T1849" s="183" t="n">
        <v>0</v>
      </c>
      <c r="U1849" s="182" t="n">
        <v>0</v>
      </c>
      <c r="V1849" s="182" t="n">
        <v>0</v>
      </c>
      <c r="W1849" s="182" t="n">
        <v>0</v>
      </c>
      <c r="X1849" s="182" t="n">
        <v>0.92</v>
      </c>
      <c r="Y1849" s="182" t="n">
        <v>0</v>
      </c>
      <c r="Z1849" s="182" t="n">
        <v>0.06</v>
      </c>
      <c r="AA1849" s="182" t="n">
        <v>0</v>
      </c>
      <c r="AB1849" s="182" t="n">
        <v>0</v>
      </c>
      <c r="AC1849" s="182" t="n">
        <v>0.31</v>
      </c>
      <c r="AD1849" s="182" t="n">
        <v>3.25</v>
      </c>
      <c r="AE1849" s="182" t="n">
        <v>0</v>
      </c>
      <c r="AF1849" s="182" t="n">
        <v>0</v>
      </c>
      <c r="AG1849" s="182" t="n">
        <v>0</v>
      </c>
      <c r="AH1849" s="182" t="n">
        <v>0.65</v>
      </c>
      <c r="AI1849" s="182" t="n">
        <v>0</v>
      </c>
      <c r="AJ1849" s="182" t="n">
        <v>0</v>
      </c>
      <c r="AK1849" s="182" t="n">
        <v>0</v>
      </c>
      <c r="AL1849" s="182" t="n">
        <v>0</v>
      </c>
      <c r="AM1849" s="182" t="n">
        <v>0.07000000000000001</v>
      </c>
      <c r="AN1849" s="182" t="n">
        <v>0</v>
      </c>
    </row>
    <row r="1850">
      <c r="A1850" s="155" t="n">
        <v>46090</v>
      </c>
      <c r="B1850" s="156" t="inlineStr">
        <is>
          <t>DS</t>
        </is>
      </c>
      <c r="C1850" s="156" t="inlineStr">
        <is>
          <t>DT-502</t>
        </is>
      </c>
      <c r="D1850" s="156" t="inlineStr">
        <is>
          <t>SKT 105S</t>
        </is>
      </c>
      <c r="E1850" s="156" t="inlineStr">
        <is>
          <t>Hauler</t>
        </is>
      </c>
      <c r="F1850" s="156" t="inlineStr">
        <is>
          <t>HM Loncat</t>
        </is>
      </c>
      <c r="G1850" s="182" t="n">
        <v>1.59</v>
      </c>
      <c r="H1850" s="182" t="n">
        <v>0</v>
      </c>
      <c r="I1850" s="182" t="n">
        <v>8.65</v>
      </c>
      <c r="J1850" s="182" t="n">
        <v>8.65</v>
      </c>
      <c r="K1850" s="182" t="n">
        <v>1.76</v>
      </c>
      <c r="L1850" s="182" t="n">
        <v>12</v>
      </c>
      <c r="M1850" s="182" t="n">
        <v>0</v>
      </c>
      <c r="N1850" s="182" t="n">
        <v>0</v>
      </c>
      <c r="O1850" s="183" t="n">
        <v>0</v>
      </c>
      <c r="P1850" s="183" t="n">
        <v>0</v>
      </c>
      <c r="Q1850" s="184" t="n">
        <v>0</v>
      </c>
      <c r="R1850" s="184" t="n">
        <v>0</v>
      </c>
      <c r="S1850" s="183" t="n">
        <v>0</v>
      </c>
      <c r="T1850" s="183" t="n">
        <v>0</v>
      </c>
      <c r="U1850" s="182" t="n">
        <v>0</v>
      </c>
      <c r="V1850" s="182" t="n">
        <v>0</v>
      </c>
      <c r="W1850" s="182" t="n">
        <v>0</v>
      </c>
      <c r="X1850" s="182" t="n">
        <v>0</v>
      </c>
      <c r="Y1850" s="182" t="n">
        <v>0</v>
      </c>
      <c r="Z1850" s="182" t="n">
        <v>0</v>
      </c>
      <c r="AA1850" s="182" t="n">
        <v>0</v>
      </c>
      <c r="AB1850" s="182" t="n">
        <v>0</v>
      </c>
      <c r="AC1850" s="182" t="n">
        <v>0</v>
      </c>
      <c r="AD1850" s="182" t="n">
        <v>1.66</v>
      </c>
      <c r="AE1850" s="182" t="n">
        <v>0</v>
      </c>
      <c r="AF1850" s="182" t="n">
        <v>0</v>
      </c>
      <c r="AG1850" s="182" t="n">
        <v>0</v>
      </c>
      <c r="AH1850" s="182" t="n">
        <v>0</v>
      </c>
      <c r="AI1850" s="182" t="n">
        <v>0</v>
      </c>
      <c r="AJ1850" s="182" t="n">
        <v>0</v>
      </c>
      <c r="AK1850" s="182" t="n">
        <v>0</v>
      </c>
      <c r="AL1850" s="182" t="n">
        <v>0</v>
      </c>
      <c r="AM1850" s="182" t="n">
        <v>0.1</v>
      </c>
      <c r="AN1850" s="182" t="n">
        <v>0</v>
      </c>
    </row>
    <row r="1851">
      <c r="A1851" s="155" t="n">
        <v>46090</v>
      </c>
      <c r="B1851" s="156" t="inlineStr">
        <is>
          <t>DS</t>
        </is>
      </c>
      <c r="C1851" s="156" t="inlineStr">
        <is>
          <t>DT-528</t>
        </is>
      </c>
      <c r="D1851" s="156" t="inlineStr">
        <is>
          <t>SKT 105S</t>
        </is>
      </c>
      <c r="E1851" s="156" t="inlineStr">
        <is>
          <t>Hauler</t>
        </is>
      </c>
      <c r="F1851" s="156" t="inlineStr">
        <is>
          <t>Hauling OB &amp; Spoil</t>
        </is>
      </c>
      <c r="G1851" s="182" t="n">
        <v>6.81</v>
      </c>
      <c r="H1851" s="182" t="n">
        <v>0</v>
      </c>
      <c r="I1851" s="182" t="n">
        <v>0</v>
      </c>
      <c r="J1851" s="182" t="n">
        <v>0</v>
      </c>
      <c r="K1851" s="182" t="n">
        <v>5.19</v>
      </c>
      <c r="L1851" s="182" t="n">
        <v>12</v>
      </c>
      <c r="M1851" s="182" t="n">
        <v>5.86</v>
      </c>
      <c r="N1851" s="182" t="n">
        <v>0</v>
      </c>
      <c r="O1851" s="183" t="n">
        <v>17</v>
      </c>
      <c r="P1851" s="183" t="n">
        <v>0</v>
      </c>
      <c r="Q1851" s="184" t="n">
        <v>346.8</v>
      </c>
      <c r="R1851" s="184" t="n">
        <v>0</v>
      </c>
      <c r="S1851" s="183" t="n">
        <v>0</v>
      </c>
      <c r="T1851" s="183" t="n">
        <v>0</v>
      </c>
      <c r="U1851" s="182" t="n">
        <v>0</v>
      </c>
      <c r="V1851" s="182" t="n">
        <v>0</v>
      </c>
      <c r="W1851" s="182" t="n">
        <v>0</v>
      </c>
      <c r="X1851" s="182" t="n">
        <v>0.98</v>
      </c>
      <c r="Y1851" s="182" t="n">
        <v>0</v>
      </c>
      <c r="Z1851" s="182" t="n">
        <v>0</v>
      </c>
      <c r="AA1851" s="182" t="n">
        <v>0</v>
      </c>
      <c r="AB1851" s="182" t="n">
        <v>0</v>
      </c>
      <c r="AC1851" s="182" t="n">
        <v>0.32</v>
      </c>
      <c r="AD1851" s="182" t="n">
        <v>3.04</v>
      </c>
      <c r="AE1851" s="182" t="n">
        <v>0</v>
      </c>
      <c r="AF1851" s="182" t="n">
        <v>0</v>
      </c>
      <c r="AG1851" s="182" t="n">
        <v>0</v>
      </c>
      <c r="AH1851" s="182" t="n">
        <v>0.76</v>
      </c>
      <c r="AI1851" s="182" t="n">
        <v>0</v>
      </c>
      <c r="AJ1851" s="182" t="n">
        <v>0</v>
      </c>
      <c r="AK1851" s="182" t="n">
        <v>0</v>
      </c>
      <c r="AL1851" s="182" t="n">
        <v>0</v>
      </c>
      <c r="AM1851" s="182" t="n">
        <v>0.08</v>
      </c>
      <c r="AN1851" s="182" t="n">
        <v>0</v>
      </c>
    </row>
    <row r="1852">
      <c r="A1852" s="155" t="n">
        <v>46090</v>
      </c>
      <c r="B1852" s="156" t="inlineStr">
        <is>
          <t>DS</t>
        </is>
      </c>
      <c r="C1852" s="156" t="inlineStr">
        <is>
          <t>DT-529</t>
        </is>
      </c>
      <c r="D1852" s="156" t="inlineStr">
        <is>
          <t>SKT 105S</t>
        </is>
      </c>
      <c r="E1852" s="156" t="inlineStr">
        <is>
          <t>Hauler</t>
        </is>
      </c>
      <c r="F1852" s="156" t="inlineStr"/>
      <c r="G1852" s="182" t="n">
        <v>0</v>
      </c>
      <c r="H1852" s="182" t="n">
        <v>0</v>
      </c>
      <c r="I1852" s="182" t="n">
        <v>4.17</v>
      </c>
      <c r="J1852" s="182" t="n">
        <v>4.17</v>
      </c>
      <c r="K1852" s="182" t="n">
        <v>7.83</v>
      </c>
      <c r="L1852" s="182" t="n">
        <v>12</v>
      </c>
      <c r="M1852" s="182" t="n">
        <v>0</v>
      </c>
      <c r="N1852" s="182" t="n">
        <v>0</v>
      </c>
      <c r="O1852" s="183" t="n">
        <v>0</v>
      </c>
      <c r="P1852" s="183" t="n">
        <v>0</v>
      </c>
      <c r="Q1852" s="184" t="n">
        <v>0</v>
      </c>
      <c r="R1852" s="184" t="n">
        <v>0</v>
      </c>
      <c r="S1852" s="183" t="n">
        <v>0</v>
      </c>
      <c r="T1852" s="183" t="n">
        <v>0</v>
      </c>
      <c r="U1852" s="182" t="n">
        <v>0</v>
      </c>
      <c r="V1852" s="182" t="n">
        <v>0</v>
      </c>
      <c r="W1852" s="182" t="n">
        <v>0</v>
      </c>
      <c r="X1852" s="182" t="n">
        <v>1</v>
      </c>
      <c r="Y1852" s="182" t="n">
        <v>0</v>
      </c>
      <c r="Z1852" s="182" t="n">
        <v>0</v>
      </c>
      <c r="AA1852" s="182" t="n">
        <v>0</v>
      </c>
      <c r="AB1852" s="182" t="n">
        <v>0</v>
      </c>
      <c r="AC1852" s="182" t="n">
        <v>0</v>
      </c>
      <c r="AD1852" s="182" t="n">
        <v>6.75</v>
      </c>
      <c r="AE1852" s="182" t="n">
        <v>0</v>
      </c>
      <c r="AF1852" s="182" t="n">
        <v>0</v>
      </c>
      <c r="AG1852" s="182" t="n">
        <v>0</v>
      </c>
      <c r="AH1852" s="182" t="n">
        <v>0</v>
      </c>
      <c r="AI1852" s="182" t="n">
        <v>0</v>
      </c>
      <c r="AJ1852" s="182" t="n">
        <v>0</v>
      </c>
      <c r="AK1852" s="182" t="n">
        <v>0</v>
      </c>
      <c r="AL1852" s="182" t="n">
        <v>0</v>
      </c>
      <c r="AM1852" s="182" t="n">
        <v>0.08</v>
      </c>
      <c r="AN1852" s="182" t="n">
        <v>0</v>
      </c>
    </row>
    <row r="1853">
      <c r="A1853" s="155" t="n">
        <v>46090</v>
      </c>
      <c r="B1853" s="156" t="inlineStr">
        <is>
          <t>DS</t>
        </is>
      </c>
      <c r="C1853" s="156" t="inlineStr">
        <is>
          <t>DT-520</t>
        </is>
      </c>
      <c r="D1853" s="156" t="inlineStr">
        <is>
          <t>SKT 105S</t>
        </is>
      </c>
      <c r="E1853" s="156" t="inlineStr">
        <is>
          <t>Hauler</t>
        </is>
      </c>
      <c r="F1853" s="156" t="inlineStr">
        <is>
          <t>Hauling OB &amp; Spoil</t>
        </is>
      </c>
      <c r="G1853" s="182" t="n">
        <v>6.56</v>
      </c>
      <c r="H1853" s="182" t="n">
        <v>0</v>
      </c>
      <c r="I1853" s="182" t="n">
        <v>0.5</v>
      </c>
      <c r="J1853" s="182" t="n">
        <v>0.5</v>
      </c>
      <c r="K1853" s="182" t="n">
        <v>4.94</v>
      </c>
      <c r="L1853" s="182" t="n">
        <v>12</v>
      </c>
      <c r="M1853" s="182" t="n">
        <v>5.68</v>
      </c>
      <c r="N1853" s="182" t="n">
        <v>0</v>
      </c>
      <c r="O1853" s="183" t="n">
        <v>19</v>
      </c>
      <c r="P1853" s="183" t="n">
        <v>0</v>
      </c>
      <c r="Q1853" s="184" t="n">
        <v>387.6</v>
      </c>
      <c r="R1853" s="184" t="n">
        <v>0</v>
      </c>
      <c r="S1853" s="183" t="n">
        <v>0</v>
      </c>
      <c r="T1853" s="183" t="n">
        <v>0</v>
      </c>
      <c r="U1853" s="182" t="n">
        <v>0</v>
      </c>
      <c r="V1853" s="182" t="n">
        <v>0</v>
      </c>
      <c r="W1853" s="182" t="n">
        <v>0</v>
      </c>
      <c r="X1853" s="182" t="n">
        <v>1.07</v>
      </c>
      <c r="Y1853" s="182" t="n">
        <v>0</v>
      </c>
      <c r="Z1853" s="182" t="n">
        <v>0.08</v>
      </c>
      <c r="AA1853" s="182" t="n">
        <v>0</v>
      </c>
      <c r="AB1853" s="182" t="n">
        <v>0</v>
      </c>
      <c r="AC1853" s="182" t="n">
        <v>0.35</v>
      </c>
      <c r="AD1853" s="182" t="n">
        <v>3.33</v>
      </c>
      <c r="AE1853" s="182" t="n">
        <v>0</v>
      </c>
      <c r="AF1853" s="182" t="n">
        <v>0</v>
      </c>
      <c r="AG1853" s="182" t="n">
        <v>0</v>
      </c>
      <c r="AH1853" s="182" t="n">
        <v>0.02</v>
      </c>
      <c r="AI1853" s="182" t="n">
        <v>0</v>
      </c>
      <c r="AJ1853" s="182" t="n">
        <v>0</v>
      </c>
      <c r="AK1853" s="182" t="n">
        <v>0</v>
      </c>
      <c r="AL1853" s="182" t="n">
        <v>0</v>
      </c>
      <c r="AM1853" s="182" t="n">
        <v>0.09</v>
      </c>
      <c r="AN1853" s="182" t="n">
        <v>0</v>
      </c>
    </row>
    <row r="1854">
      <c r="A1854" s="155" t="n">
        <v>46090</v>
      </c>
      <c r="B1854" s="156" t="inlineStr">
        <is>
          <t>DS</t>
        </is>
      </c>
      <c r="C1854" s="156" t="inlineStr">
        <is>
          <t>DT-511</t>
        </is>
      </c>
      <c r="D1854" s="156" t="inlineStr">
        <is>
          <t>SKT 105S</t>
        </is>
      </c>
      <c r="E1854" s="156" t="inlineStr">
        <is>
          <t>Hauler</t>
        </is>
      </c>
      <c r="F1854" s="156" t="inlineStr">
        <is>
          <t>Hauling OB</t>
        </is>
      </c>
      <c r="G1854" s="182" t="n">
        <v>4.57</v>
      </c>
      <c r="H1854" s="182" t="n">
        <v>0</v>
      </c>
      <c r="I1854" s="182" t="n">
        <v>0</v>
      </c>
      <c r="J1854" s="182" t="n">
        <v>0</v>
      </c>
      <c r="K1854" s="182" t="n">
        <v>7.43</v>
      </c>
      <c r="L1854" s="182" t="n">
        <v>12</v>
      </c>
      <c r="M1854" s="182" t="n">
        <v>4.57</v>
      </c>
      <c r="N1854" s="182" t="n">
        <v>0</v>
      </c>
      <c r="O1854" s="183" t="n">
        <v>18</v>
      </c>
      <c r="P1854" s="183" t="n">
        <v>0</v>
      </c>
      <c r="Q1854" s="184" t="n">
        <v>367.2</v>
      </c>
      <c r="R1854" s="184" t="n">
        <v>0</v>
      </c>
      <c r="S1854" s="183" t="n">
        <v>0</v>
      </c>
      <c r="T1854" s="183" t="n">
        <v>0</v>
      </c>
      <c r="U1854" s="182" t="n">
        <v>0</v>
      </c>
      <c r="V1854" s="182" t="n">
        <v>0</v>
      </c>
      <c r="W1854" s="182" t="n">
        <v>0</v>
      </c>
      <c r="X1854" s="182" t="n">
        <v>0.99</v>
      </c>
      <c r="Y1854" s="182" t="n">
        <v>0</v>
      </c>
      <c r="Z1854" s="182" t="n">
        <v>0.07000000000000001</v>
      </c>
      <c r="AA1854" s="182" t="n">
        <v>0</v>
      </c>
      <c r="AB1854" s="182" t="n">
        <v>0</v>
      </c>
      <c r="AC1854" s="182" t="n">
        <v>0.33</v>
      </c>
      <c r="AD1854" s="182" t="n">
        <v>3.5</v>
      </c>
      <c r="AE1854" s="182" t="n">
        <v>0</v>
      </c>
      <c r="AF1854" s="182" t="n">
        <v>0</v>
      </c>
      <c r="AG1854" s="182" t="n">
        <v>0</v>
      </c>
      <c r="AH1854" s="182" t="n">
        <v>0.34</v>
      </c>
      <c r="AI1854" s="182" t="n">
        <v>2.13</v>
      </c>
      <c r="AJ1854" s="182" t="n">
        <v>0</v>
      </c>
      <c r="AK1854" s="182" t="n">
        <v>0</v>
      </c>
      <c r="AL1854" s="182" t="n">
        <v>0</v>
      </c>
      <c r="AM1854" s="182" t="n">
        <v>0.08</v>
      </c>
      <c r="AN1854" s="182" t="n">
        <v>0</v>
      </c>
    </row>
    <row r="1855">
      <c r="A1855" s="155" t="n">
        <v>46090</v>
      </c>
      <c r="B1855" s="156" t="inlineStr">
        <is>
          <t>DS</t>
        </is>
      </c>
      <c r="C1855" s="156" t="inlineStr">
        <is>
          <t>DT-509</t>
        </is>
      </c>
      <c r="D1855" s="156" t="inlineStr">
        <is>
          <t>SKT 105S</t>
        </is>
      </c>
      <c r="E1855" s="156" t="inlineStr">
        <is>
          <t>Hauler</t>
        </is>
      </c>
      <c r="F1855" s="156" t="inlineStr"/>
      <c r="G1855" s="182" t="n">
        <v>0</v>
      </c>
      <c r="H1855" s="182" t="n">
        <v>0</v>
      </c>
      <c r="I1855" s="182" t="n">
        <v>12</v>
      </c>
      <c r="J1855" s="182" t="n">
        <v>12</v>
      </c>
      <c r="K1855" s="182" t="n">
        <v>0</v>
      </c>
      <c r="L1855" s="182" t="n">
        <v>12</v>
      </c>
      <c r="M1855" s="182" t="n">
        <v>0</v>
      </c>
      <c r="N1855" s="182" t="n">
        <v>0</v>
      </c>
      <c r="O1855" s="183" t="n">
        <v>0</v>
      </c>
      <c r="P1855" s="183" t="n">
        <v>0</v>
      </c>
      <c r="Q1855" s="184" t="n">
        <v>0</v>
      </c>
      <c r="R1855" s="184" t="n">
        <v>0</v>
      </c>
      <c r="S1855" s="183" t="n">
        <v>0</v>
      </c>
      <c r="T1855" s="183" t="n">
        <v>0</v>
      </c>
      <c r="U1855" s="182" t="n">
        <v>0</v>
      </c>
      <c r="V1855" s="182" t="n">
        <v>0</v>
      </c>
      <c r="W1855" s="182" t="n">
        <v>0</v>
      </c>
      <c r="X1855" s="182" t="n">
        <v>0</v>
      </c>
      <c r="Y1855" s="182" t="n">
        <v>0</v>
      </c>
      <c r="Z1855" s="182" t="n">
        <v>0</v>
      </c>
      <c r="AA1855" s="182" t="n">
        <v>0</v>
      </c>
      <c r="AB1855" s="182" t="n">
        <v>0</v>
      </c>
      <c r="AC1855" s="182" t="n">
        <v>0</v>
      </c>
      <c r="AD1855" s="182" t="n">
        <v>0</v>
      </c>
      <c r="AE1855" s="182" t="n">
        <v>0</v>
      </c>
      <c r="AF1855" s="182" t="n">
        <v>0</v>
      </c>
      <c r="AG1855" s="182" t="n">
        <v>0</v>
      </c>
      <c r="AH1855" s="182" t="n">
        <v>0</v>
      </c>
      <c r="AI1855" s="182" t="n">
        <v>0</v>
      </c>
      <c r="AJ1855" s="182" t="n">
        <v>0</v>
      </c>
      <c r="AK1855" s="182" t="n">
        <v>0</v>
      </c>
      <c r="AL1855" s="182" t="n">
        <v>0</v>
      </c>
      <c r="AM1855" s="182" t="n">
        <v>0</v>
      </c>
      <c r="AN1855" s="182" t="n">
        <v>0</v>
      </c>
    </row>
    <row r="1856">
      <c r="A1856" s="155" t="n">
        <v>46090</v>
      </c>
      <c r="B1856" s="156" t="inlineStr">
        <is>
          <t>DS</t>
        </is>
      </c>
      <c r="C1856" s="156" t="inlineStr">
        <is>
          <t>DT-526</t>
        </is>
      </c>
      <c r="D1856" s="156" t="inlineStr">
        <is>
          <t>SKT 105S</t>
        </is>
      </c>
      <c r="E1856" s="156" t="inlineStr">
        <is>
          <t>Hauler</t>
        </is>
      </c>
      <c r="F1856" s="156" t="inlineStr">
        <is>
          <t>Hauling OB</t>
        </is>
      </c>
      <c r="G1856" s="182" t="n">
        <v>4.22</v>
      </c>
      <c r="H1856" s="182" t="n">
        <v>0</v>
      </c>
      <c r="I1856" s="182" t="n">
        <v>0</v>
      </c>
      <c r="J1856" s="182" t="n">
        <v>0</v>
      </c>
      <c r="K1856" s="182" t="n">
        <v>7.78</v>
      </c>
      <c r="L1856" s="182" t="n">
        <v>12</v>
      </c>
      <c r="M1856" s="182" t="n">
        <v>4.22</v>
      </c>
      <c r="N1856" s="182" t="n">
        <v>0</v>
      </c>
      <c r="O1856" s="183" t="n">
        <v>15</v>
      </c>
      <c r="P1856" s="183" t="n">
        <v>0</v>
      </c>
      <c r="Q1856" s="184" t="n">
        <v>306</v>
      </c>
      <c r="R1856" s="184" t="n">
        <v>0</v>
      </c>
      <c r="S1856" s="183" t="n">
        <v>0</v>
      </c>
      <c r="T1856" s="183" t="n">
        <v>0</v>
      </c>
      <c r="U1856" s="182" t="n">
        <v>0</v>
      </c>
      <c r="V1856" s="182" t="n">
        <v>0</v>
      </c>
      <c r="W1856" s="182" t="n">
        <v>0</v>
      </c>
      <c r="X1856" s="182" t="n">
        <v>1.02</v>
      </c>
      <c r="Y1856" s="182" t="n">
        <v>0</v>
      </c>
      <c r="Z1856" s="182" t="n">
        <v>0.07000000000000001</v>
      </c>
      <c r="AA1856" s="182" t="n">
        <v>0</v>
      </c>
      <c r="AB1856" s="182" t="n">
        <v>0</v>
      </c>
      <c r="AC1856" s="182" t="n">
        <v>0.34</v>
      </c>
      <c r="AD1856" s="182" t="n">
        <v>3.61</v>
      </c>
      <c r="AE1856" s="182" t="n">
        <v>0</v>
      </c>
      <c r="AF1856" s="182" t="n">
        <v>0</v>
      </c>
      <c r="AG1856" s="182" t="n">
        <v>0</v>
      </c>
      <c r="AH1856" s="182" t="n">
        <v>0.45</v>
      </c>
      <c r="AI1856" s="182" t="n">
        <v>2.2</v>
      </c>
      <c r="AJ1856" s="182" t="n">
        <v>0</v>
      </c>
      <c r="AK1856" s="182" t="n">
        <v>0</v>
      </c>
      <c r="AL1856" s="182" t="n">
        <v>0</v>
      </c>
      <c r="AM1856" s="182" t="n">
        <v>0.08</v>
      </c>
      <c r="AN1856" s="182" t="n">
        <v>0</v>
      </c>
    </row>
    <row r="1857">
      <c r="A1857" s="155" t="n">
        <v>46090</v>
      </c>
      <c r="B1857" s="156" t="inlineStr">
        <is>
          <t>DS</t>
        </is>
      </c>
      <c r="C1857" s="156" t="inlineStr">
        <is>
          <t>DT-508</t>
        </is>
      </c>
      <c r="D1857" s="156" t="inlineStr">
        <is>
          <t>SKT 105S</t>
        </is>
      </c>
      <c r="E1857" s="156" t="inlineStr">
        <is>
          <t>Hauler</t>
        </is>
      </c>
      <c r="F1857" s="156" t="inlineStr">
        <is>
          <t>Hauling OB</t>
        </is>
      </c>
      <c r="G1857" s="182" t="n">
        <v>5.85</v>
      </c>
      <c r="H1857" s="182" t="n">
        <v>0</v>
      </c>
      <c r="I1857" s="182" t="n">
        <v>0</v>
      </c>
      <c r="J1857" s="182" t="n">
        <v>0</v>
      </c>
      <c r="K1857" s="182" t="n">
        <v>6.15</v>
      </c>
      <c r="L1857" s="182" t="n">
        <v>12</v>
      </c>
      <c r="M1857" s="182" t="n">
        <v>5.85</v>
      </c>
      <c r="N1857" s="182" t="n">
        <v>0</v>
      </c>
      <c r="O1857" s="183" t="n">
        <v>17</v>
      </c>
      <c r="P1857" s="183" t="n">
        <v>0</v>
      </c>
      <c r="Q1857" s="184" t="n">
        <v>346.8</v>
      </c>
      <c r="R1857" s="184" t="n">
        <v>0</v>
      </c>
      <c r="S1857" s="183" t="n">
        <v>0</v>
      </c>
      <c r="T1857" s="183" t="n">
        <v>0</v>
      </c>
      <c r="U1857" s="182" t="n">
        <v>0</v>
      </c>
      <c r="V1857" s="182" t="n">
        <v>0</v>
      </c>
      <c r="W1857" s="182" t="n">
        <v>0</v>
      </c>
      <c r="X1857" s="182" t="n">
        <v>1.03</v>
      </c>
      <c r="Y1857" s="182" t="n">
        <v>0</v>
      </c>
      <c r="Z1857" s="182" t="n">
        <v>0</v>
      </c>
      <c r="AA1857" s="182" t="n">
        <v>0</v>
      </c>
      <c r="AB1857" s="182" t="n">
        <v>0</v>
      </c>
      <c r="AC1857" s="182" t="n">
        <v>0.34</v>
      </c>
      <c r="AD1857" s="182" t="n">
        <v>3.61</v>
      </c>
      <c r="AE1857" s="182" t="n">
        <v>0</v>
      </c>
      <c r="AF1857" s="182" t="n">
        <v>0</v>
      </c>
      <c r="AG1857" s="182" t="n">
        <v>0.62</v>
      </c>
      <c r="AH1857" s="182" t="n">
        <v>0.48</v>
      </c>
      <c r="AI1857" s="182" t="n">
        <v>0</v>
      </c>
      <c r="AJ1857" s="182" t="n">
        <v>0</v>
      </c>
      <c r="AK1857" s="182" t="n">
        <v>0</v>
      </c>
      <c r="AL1857" s="182" t="n">
        <v>0</v>
      </c>
      <c r="AM1857" s="182" t="n">
        <v>0.08</v>
      </c>
      <c r="AN1857" s="182" t="n">
        <v>0</v>
      </c>
    </row>
    <row r="1858">
      <c r="A1858" s="155" t="n">
        <v>46090</v>
      </c>
      <c r="B1858" s="156" t="inlineStr">
        <is>
          <t>DS</t>
        </is>
      </c>
      <c r="C1858" s="156" t="inlineStr">
        <is>
          <t>DT-515</t>
        </is>
      </c>
      <c r="D1858" s="156" t="inlineStr">
        <is>
          <t>SKT 105S</t>
        </is>
      </c>
      <c r="E1858" s="156" t="inlineStr">
        <is>
          <t>Hauler</t>
        </is>
      </c>
      <c r="F1858" s="156" t="inlineStr">
        <is>
          <t>HM Loncat</t>
        </is>
      </c>
      <c r="G1858" s="182" t="n">
        <v>2.09</v>
      </c>
      <c r="H1858" s="182" t="n">
        <v>9.800000000000001</v>
      </c>
      <c r="I1858" s="182" t="n">
        <v>0</v>
      </c>
      <c r="J1858" s="182" t="n">
        <v>9.800000000000001</v>
      </c>
      <c r="K1858" s="182" t="n">
        <v>0.11</v>
      </c>
      <c r="L1858" s="182" t="n">
        <v>12</v>
      </c>
      <c r="M1858" s="182" t="n">
        <v>0</v>
      </c>
      <c r="N1858" s="182" t="n">
        <v>0</v>
      </c>
      <c r="O1858" s="183" t="n">
        <v>0</v>
      </c>
      <c r="P1858" s="183" t="n">
        <v>0</v>
      </c>
      <c r="Q1858" s="184" t="n">
        <v>0</v>
      </c>
      <c r="R1858" s="184" t="n">
        <v>0</v>
      </c>
      <c r="S1858" s="183" t="n">
        <v>0</v>
      </c>
      <c r="T1858" s="183" t="n">
        <v>0</v>
      </c>
      <c r="U1858" s="182" t="n">
        <v>0</v>
      </c>
      <c r="V1858" s="182" t="n">
        <v>0</v>
      </c>
      <c r="W1858" s="182" t="n">
        <v>0</v>
      </c>
      <c r="X1858" s="182" t="n">
        <v>0</v>
      </c>
      <c r="Y1858" s="182" t="n">
        <v>0</v>
      </c>
      <c r="Z1858" s="182" t="n">
        <v>0</v>
      </c>
      <c r="AA1858" s="182" t="n">
        <v>0</v>
      </c>
      <c r="AB1858" s="182" t="n">
        <v>0</v>
      </c>
      <c r="AC1858" s="182" t="n">
        <v>0</v>
      </c>
      <c r="AD1858" s="182" t="n">
        <v>0</v>
      </c>
      <c r="AE1858" s="182" t="n">
        <v>0</v>
      </c>
      <c r="AF1858" s="182" t="n">
        <v>0</v>
      </c>
      <c r="AG1858" s="182" t="n">
        <v>0</v>
      </c>
      <c r="AH1858" s="182" t="n">
        <v>0</v>
      </c>
      <c r="AI1858" s="182" t="n">
        <v>0</v>
      </c>
      <c r="AJ1858" s="182" t="n">
        <v>0</v>
      </c>
      <c r="AK1858" s="182" t="n">
        <v>0</v>
      </c>
      <c r="AL1858" s="182" t="n">
        <v>0</v>
      </c>
      <c r="AM1858" s="182" t="n">
        <v>0</v>
      </c>
      <c r="AN1858" s="182" t="n">
        <v>0</v>
      </c>
    </row>
    <row r="1859">
      <c r="A1859" s="155" t="n">
        <v>46090</v>
      </c>
      <c r="B1859" s="156" t="inlineStr">
        <is>
          <t>DS</t>
        </is>
      </c>
      <c r="C1859" s="156" t="inlineStr">
        <is>
          <t>DT-524</t>
        </is>
      </c>
      <c r="D1859" s="156" t="inlineStr">
        <is>
          <t>SKT 105S</t>
        </is>
      </c>
      <c r="E1859" s="156" t="inlineStr">
        <is>
          <t>Hauler</t>
        </is>
      </c>
      <c r="F1859" s="156" t="inlineStr"/>
      <c r="G1859" s="182" t="n">
        <v>0</v>
      </c>
      <c r="H1859" s="182" t="n">
        <v>0</v>
      </c>
      <c r="I1859" s="182" t="n">
        <v>12</v>
      </c>
      <c r="J1859" s="182" t="n">
        <v>12</v>
      </c>
      <c r="K1859" s="182" t="n">
        <v>0</v>
      </c>
      <c r="L1859" s="182" t="n">
        <v>12</v>
      </c>
      <c r="M1859" s="182" t="n">
        <v>0</v>
      </c>
      <c r="N1859" s="182" t="n">
        <v>0</v>
      </c>
      <c r="O1859" s="183" t="n">
        <v>0</v>
      </c>
      <c r="P1859" s="183" t="n">
        <v>0</v>
      </c>
      <c r="Q1859" s="184" t="n">
        <v>0</v>
      </c>
      <c r="R1859" s="184" t="n">
        <v>0</v>
      </c>
      <c r="S1859" s="183" t="n">
        <v>0</v>
      </c>
      <c r="T1859" s="183" t="n">
        <v>0</v>
      </c>
      <c r="U1859" s="182" t="n">
        <v>0</v>
      </c>
      <c r="V1859" s="182" t="n">
        <v>0</v>
      </c>
      <c r="W1859" s="182" t="n">
        <v>0</v>
      </c>
      <c r="X1859" s="182" t="n">
        <v>0</v>
      </c>
      <c r="Y1859" s="182" t="n">
        <v>0</v>
      </c>
      <c r="Z1859" s="182" t="n">
        <v>0</v>
      </c>
      <c r="AA1859" s="182" t="n">
        <v>0</v>
      </c>
      <c r="AB1859" s="182" t="n">
        <v>0</v>
      </c>
      <c r="AC1859" s="182" t="n">
        <v>0</v>
      </c>
      <c r="AD1859" s="182" t="n">
        <v>0</v>
      </c>
      <c r="AE1859" s="182" t="n">
        <v>0</v>
      </c>
      <c r="AF1859" s="182" t="n">
        <v>0</v>
      </c>
      <c r="AG1859" s="182" t="n">
        <v>0</v>
      </c>
      <c r="AH1859" s="182" t="n">
        <v>0</v>
      </c>
      <c r="AI1859" s="182" t="n">
        <v>0</v>
      </c>
      <c r="AJ1859" s="182" t="n">
        <v>0</v>
      </c>
      <c r="AK1859" s="182" t="n">
        <v>0</v>
      </c>
      <c r="AL1859" s="182" t="n">
        <v>0</v>
      </c>
      <c r="AM1859" s="182" t="n">
        <v>0</v>
      </c>
      <c r="AN1859" s="182" t="n">
        <v>0</v>
      </c>
    </row>
    <row r="1860">
      <c r="A1860" s="155" t="n">
        <v>46090</v>
      </c>
      <c r="B1860" s="156" t="inlineStr">
        <is>
          <t>DS</t>
        </is>
      </c>
      <c r="C1860" s="156" t="inlineStr">
        <is>
          <t>DT-341</t>
        </is>
      </c>
      <c r="D1860" s="156" t="inlineStr">
        <is>
          <t>SYZ324C-8W</t>
        </is>
      </c>
      <c r="E1860" s="156" t="inlineStr">
        <is>
          <t>Hauler</t>
        </is>
      </c>
      <c r="F1860" s="156" t="inlineStr">
        <is>
          <t>Rehandling Material di Washing Plant</t>
        </is>
      </c>
      <c r="G1860" s="182" t="n">
        <v>8.699999999999999</v>
      </c>
      <c r="H1860" s="182" t="n">
        <v>0</v>
      </c>
      <c r="I1860" s="182" t="n">
        <v>0</v>
      </c>
      <c r="J1860" s="182" t="n">
        <v>0</v>
      </c>
      <c r="K1860" s="182" t="n">
        <v>3.3</v>
      </c>
      <c r="L1860" s="182" t="n">
        <v>12</v>
      </c>
      <c r="M1860" s="182" t="n">
        <v>0</v>
      </c>
      <c r="N1860" s="182" t="n">
        <v>0</v>
      </c>
      <c r="O1860" s="183" t="n">
        <v>0</v>
      </c>
      <c r="P1860" s="183" t="n">
        <v>0</v>
      </c>
      <c r="Q1860" s="184" t="n">
        <v>0</v>
      </c>
      <c r="R1860" s="184" t="n">
        <v>0</v>
      </c>
      <c r="S1860" s="183" t="n">
        <v>0</v>
      </c>
      <c r="T1860" s="183" t="n">
        <v>0</v>
      </c>
      <c r="U1860" s="182" t="n">
        <v>0</v>
      </c>
      <c r="V1860" s="182" t="n">
        <v>0</v>
      </c>
      <c r="W1860" s="182" t="n">
        <v>0</v>
      </c>
      <c r="X1860" s="182" t="n">
        <v>1.06</v>
      </c>
      <c r="Y1860" s="182" t="n">
        <v>0</v>
      </c>
      <c r="Z1860" s="182" t="n">
        <v>0</v>
      </c>
      <c r="AA1860" s="182" t="n">
        <v>0</v>
      </c>
      <c r="AB1860" s="182" t="n">
        <v>0</v>
      </c>
      <c r="AC1860" s="182" t="n">
        <v>0</v>
      </c>
      <c r="AD1860" s="182" t="n">
        <v>0</v>
      </c>
      <c r="AE1860" s="182" t="n">
        <v>0</v>
      </c>
      <c r="AF1860" s="182" t="n">
        <v>0</v>
      </c>
      <c r="AG1860" s="182" t="n">
        <v>0</v>
      </c>
      <c r="AH1860" s="182" t="n">
        <v>0</v>
      </c>
      <c r="AI1860" s="182" t="n">
        <v>0</v>
      </c>
      <c r="AJ1860" s="182" t="n">
        <v>0</v>
      </c>
      <c r="AK1860" s="182" t="n">
        <v>2.15</v>
      </c>
      <c r="AL1860" s="182" t="n">
        <v>0</v>
      </c>
      <c r="AM1860" s="182" t="n">
        <v>0.09</v>
      </c>
      <c r="AN1860" s="182" t="n">
        <v>0</v>
      </c>
    </row>
    <row r="1861">
      <c r="A1861" s="155" t="n">
        <v>46090</v>
      </c>
      <c r="B1861" s="156" t="inlineStr">
        <is>
          <t>DS</t>
        </is>
      </c>
      <c r="C1861" s="156" t="inlineStr">
        <is>
          <t>DT-342</t>
        </is>
      </c>
      <c r="D1861" s="156" t="inlineStr">
        <is>
          <t>SYZ324C-8W</t>
        </is>
      </c>
      <c r="E1861" s="156" t="inlineStr">
        <is>
          <t>Hauler</t>
        </is>
      </c>
      <c r="F1861" s="156" t="inlineStr">
        <is>
          <t>Rehandling Material di Washing Plant</t>
        </is>
      </c>
      <c r="G1861" s="182" t="n">
        <v>6.45</v>
      </c>
      <c r="H1861" s="182" t="n">
        <v>3.1</v>
      </c>
      <c r="I1861" s="182" t="n">
        <v>0</v>
      </c>
      <c r="J1861" s="182" t="n">
        <v>3.1</v>
      </c>
      <c r="K1861" s="182" t="n">
        <v>2.45</v>
      </c>
      <c r="L1861" s="182" t="n">
        <v>12</v>
      </c>
      <c r="M1861" s="182" t="n">
        <v>0</v>
      </c>
      <c r="N1861" s="182" t="n">
        <v>0</v>
      </c>
      <c r="O1861" s="183" t="n">
        <v>0</v>
      </c>
      <c r="P1861" s="183" t="n">
        <v>0</v>
      </c>
      <c r="Q1861" s="184" t="n">
        <v>0</v>
      </c>
      <c r="R1861" s="184" t="n">
        <v>0</v>
      </c>
      <c r="S1861" s="183" t="n">
        <v>0</v>
      </c>
      <c r="T1861" s="183" t="n">
        <v>0</v>
      </c>
      <c r="U1861" s="182" t="n">
        <v>0</v>
      </c>
      <c r="V1861" s="182" t="n">
        <v>0</v>
      </c>
      <c r="W1861" s="182" t="n">
        <v>0</v>
      </c>
      <c r="X1861" s="182" t="n">
        <v>0.84</v>
      </c>
      <c r="Y1861" s="182" t="n">
        <v>0</v>
      </c>
      <c r="Z1861" s="182" t="n">
        <v>0</v>
      </c>
      <c r="AA1861" s="182" t="n">
        <v>0</v>
      </c>
      <c r="AB1861" s="182" t="n">
        <v>0</v>
      </c>
      <c r="AC1861" s="182" t="n">
        <v>0</v>
      </c>
      <c r="AD1861" s="182" t="n">
        <v>0</v>
      </c>
      <c r="AE1861" s="182" t="n">
        <v>0</v>
      </c>
      <c r="AF1861" s="182" t="n">
        <v>0</v>
      </c>
      <c r="AG1861" s="182" t="n">
        <v>0</v>
      </c>
      <c r="AH1861" s="182" t="n">
        <v>0</v>
      </c>
      <c r="AI1861" s="182" t="n">
        <v>0</v>
      </c>
      <c r="AJ1861" s="182" t="n">
        <v>0</v>
      </c>
      <c r="AK1861" s="182" t="n">
        <v>1.54</v>
      </c>
      <c r="AL1861" s="182" t="n">
        <v>0</v>
      </c>
      <c r="AM1861" s="182" t="n">
        <v>0.07000000000000001</v>
      </c>
      <c r="AN1861" s="182" t="n">
        <v>0</v>
      </c>
    </row>
    <row r="1862">
      <c r="A1862" s="155" t="n">
        <v>46090</v>
      </c>
      <c r="B1862" s="156" t="inlineStr">
        <is>
          <t>DS</t>
        </is>
      </c>
      <c r="C1862" s="156" t="inlineStr">
        <is>
          <t>HD-903</t>
        </is>
      </c>
      <c r="D1862" s="156" t="inlineStr">
        <is>
          <t>SRT 95C</t>
        </is>
      </c>
      <c r="E1862" s="156" t="inlineStr">
        <is>
          <t>Hauler</t>
        </is>
      </c>
      <c r="F1862" s="156" t="inlineStr"/>
      <c r="G1862" s="182" t="n">
        <v>0</v>
      </c>
      <c r="H1862" s="182" t="n">
        <v>0</v>
      </c>
      <c r="I1862" s="182" t="n">
        <v>12</v>
      </c>
      <c r="J1862" s="182" t="n">
        <v>12</v>
      </c>
      <c r="K1862" s="182" t="n">
        <v>0</v>
      </c>
      <c r="L1862" s="182" t="n">
        <v>12</v>
      </c>
      <c r="M1862" s="182" t="n">
        <v>0</v>
      </c>
      <c r="N1862" s="182" t="n">
        <v>0</v>
      </c>
      <c r="O1862" s="183" t="n">
        <v>0</v>
      </c>
      <c r="P1862" s="183" t="n">
        <v>0</v>
      </c>
      <c r="Q1862" s="184" t="n">
        <v>0</v>
      </c>
      <c r="R1862" s="184" t="n">
        <v>0</v>
      </c>
      <c r="S1862" s="183" t="n">
        <v>0</v>
      </c>
      <c r="T1862" s="183" t="n">
        <v>0</v>
      </c>
      <c r="U1862" s="182" t="n">
        <v>0</v>
      </c>
      <c r="V1862" s="182" t="n">
        <v>0</v>
      </c>
      <c r="W1862" s="182" t="n">
        <v>0</v>
      </c>
      <c r="X1862" s="182" t="n">
        <v>0</v>
      </c>
      <c r="Y1862" s="182" t="n">
        <v>0</v>
      </c>
      <c r="Z1862" s="182" t="n">
        <v>0</v>
      </c>
      <c r="AA1862" s="182" t="n">
        <v>0</v>
      </c>
      <c r="AB1862" s="182" t="n">
        <v>0</v>
      </c>
      <c r="AC1862" s="182" t="n">
        <v>0</v>
      </c>
      <c r="AD1862" s="182" t="n">
        <v>0</v>
      </c>
      <c r="AE1862" s="182" t="n">
        <v>0</v>
      </c>
      <c r="AF1862" s="182" t="n">
        <v>0</v>
      </c>
      <c r="AG1862" s="182" t="n">
        <v>0</v>
      </c>
      <c r="AH1862" s="182" t="n">
        <v>0</v>
      </c>
      <c r="AI1862" s="182" t="n">
        <v>0</v>
      </c>
      <c r="AJ1862" s="182" t="n">
        <v>0</v>
      </c>
      <c r="AK1862" s="182" t="n">
        <v>0</v>
      </c>
      <c r="AL1862" s="182" t="n">
        <v>0</v>
      </c>
      <c r="AM1862" s="182" t="n">
        <v>0</v>
      </c>
      <c r="AN1862" s="182" t="n">
        <v>0</v>
      </c>
    </row>
    <row r="1863">
      <c r="A1863" s="155" t="n">
        <v>46090</v>
      </c>
      <c r="B1863" s="156" t="inlineStr">
        <is>
          <t>DS</t>
        </is>
      </c>
      <c r="C1863" s="156" t="inlineStr">
        <is>
          <t>HD-905</t>
        </is>
      </c>
      <c r="D1863" s="156" t="inlineStr">
        <is>
          <t>SRT 95C</t>
        </is>
      </c>
      <c r="E1863" s="156" t="inlineStr">
        <is>
          <t>Hauler</t>
        </is>
      </c>
      <c r="F1863" s="156" t="inlineStr"/>
      <c r="G1863" s="182" t="n">
        <v>0</v>
      </c>
      <c r="H1863" s="182" t="n">
        <v>0</v>
      </c>
      <c r="I1863" s="182" t="n">
        <v>0</v>
      </c>
      <c r="J1863" s="182" t="n">
        <v>0</v>
      </c>
      <c r="K1863" s="182" t="n">
        <v>12</v>
      </c>
      <c r="L1863" s="182" t="n">
        <v>12</v>
      </c>
      <c r="M1863" s="182" t="n">
        <v>0</v>
      </c>
      <c r="N1863" s="182" t="n">
        <v>0</v>
      </c>
      <c r="O1863" s="183" t="n">
        <v>0</v>
      </c>
      <c r="P1863" s="183" t="n">
        <v>0</v>
      </c>
      <c r="Q1863" s="184" t="n">
        <v>0</v>
      </c>
      <c r="R1863" s="184" t="n">
        <v>0</v>
      </c>
      <c r="S1863" s="183" t="n">
        <v>0</v>
      </c>
      <c r="T1863" s="183" t="n">
        <v>0</v>
      </c>
      <c r="U1863" s="182" t="n">
        <v>0</v>
      </c>
      <c r="V1863" s="182" t="n">
        <v>0</v>
      </c>
      <c r="W1863" s="182" t="n">
        <v>0</v>
      </c>
      <c r="X1863" s="182" t="n">
        <v>1</v>
      </c>
      <c r="Y1863" s="182" t="n">
        <v>0</v>
      </c>
      <c r="Z1863" s="182" t="n">
        <v>0</v>
      </c>
      <c r="AA1863" s="182" t="n">
        <v>0</v>
      </c>
      <c r="AB1863" s="182" t="n">
        <v>0</v>
      </c>
      <c r="AC1863" s="182" t="n">
        <v>0</v>
      </c>
      <c r="AD1863" s="182" t="n">
        <v>0</v>
      </c>
      <c r="AE1863" s="182" t="n">
        <v>0</v>
      </c>
      <c r="AF1863" s="182" t="n">
        <v>0</v>
      </c>
      <c r="AG1863" s="182" t="n">
        <v>0</v>
      </c>
      <c r="AH1863" s="182" t="n">
        <v>0</v>
      </c>
      <c r="AI1863" s="182" t="n">
        <v>10.92</v>
      </c>
      <c r="AJ1863" s="182" t="n">
        <v>0</v>
      </c>
      <c r="AK1863" s="182" t="n">
        <v>0</v>
      </c>
      <c r="AL1863" s="182" t="n">
        <v>0</v>
      </c>
      <c r="AM1863" s="182" t="n">
        <v>0.08</v>
      </c>
      <c r="AN1863" s="182" t="n">
        <v>0</v>
      </c>
    </row>
    <row r="1864">
      <c r="A1864" s="155" t="n">
        <v>46090</v>
      </c>
      <c r="B1864" s="156" t="inlineStr">
        <is>
          <t>DS</t>
        </is>
      </c>
      <c r="C1864" s="156" t="inlineStr">
        <is>
          <t>HD-901</t>
        </is>
      </c>
      <c r="D1864" s="156" t="inlineStr">
        <is>
          <t>SRT 95C</t>
        </is>
      </c>
      <c r="E1864" s="156" t="inlineStr">
        <is>
          <t>Hauler</t>
        </is>
      </c>
      <c r="F1864" s="156" t="inlineStr"/>
      <c r="G1864" s="182" t="n">
        <v>0</v>
      </c>
      <c r="H1864" s="182" t="n">
        <v>0</v>
      </c>
      <c r="I1864" s="182" t="n">
        <v>0.17</v>
      </c>
      <c r="J1864" s="182" t="n">
        <v>0.17</v>
      </c>
      <c r="K1864" s="182" t="n">
        <v>11.83</v>
      </c>
      <c r="L1864" s="182" t="n">
        <v>12</v>
      </c>
      <c r="M1864" s="182" t="n">
        <v>0</v>
      </c>
      <c r="N1864" s="182" t="n">
        <v>0</v>
      </c>
      <c r="O1864" s="183" t="n">
        <v>0</v>
      </c>
      <c r="P1864" s="183" t="n">
        <v>0</v>
      </c>
      <c r="Q1864" s="184" t="n">
        <v>0</v>
      </c>
      <c r="R1864" s="184" t="n">
        <v>0</v>
      </c>
      <c r="S1864" s="183" t="n">
        <v>0</v>
      </c>
      <c r="T1864" s="183" t="n">
        <v>0</v>
      </c>
      <c r="U1864" s="182" t="n">
        <v>0</v>
      </c>
      <c r="V1864" s="182" t="n">
        <v>0</v>
      </c>
      <c r="W1864" s="182" t="n">
        <v>0</v>
      </c>
      <c r="X1864" s="182" t="n">
        <v>1</v>
      </c>
      <c r="Y1864" s="182" t="n">
        <v>0</v>
      </c>
      <c r="Z1864" s="182" t="n">
        <v>0</v>
      </c>
      <c r="AA1864" s="182" t="n">
        <v>0</v>
      </c>
      <c r="AB1864" s="182" t="n">
        <v>0</v>
      </c>
      <c r="AC1864" s="182" t="n">
        <v>0</v>
      </c>
      <c r="AD1864" s="182" t="n">
        <v>0</v>
      </c>
      <c r="AE1864" s="182" t="n">
        <v>0</v>
      </c>
      <c r="AF1864" s="182" t="n">
        <v>0</v>
      </c>
      <c r="AG1864" s="182" t="n">
        <v>0</v>
      </c>
      <c r="AH1864" s="182" t="n">
        <v>0</v>
      </c>
      <c r="AI1864" s="182" t="n">
        <v>10.75</v>
      </c>
      <c r="AJ1864" s="182" t="n">
        <v>0</v>
      </c>
      <c r="AK1864" s="182" t="n">
        <v>0</v>
      </c>
      <c r="AL1864" s="182" t="n">
        <v>0</v>
      </c>
      <c r="AM1864" s="182" t="n">
        <v>0.08</v>
      </c>
      <c r="AN1864" s="182" t="n">
        <v>0</v>
      </c>
    </row>
    <row r="1865">
      <c r="A1865" s="155" t="n">
        <v>46090</v>
      </c>
      <c r="B1865" s="156" t="inlineStr">
        <is>
          <t>DS</t>
        </is>
      </c>
      <c r="C1865" s="156" t="inlineStr">
        <is>
          <t>HD-904</t>
        </is>
      </c>
      <c r="D1865" s="156" t="inlineStr">
        <is>
          <t>SRT 95C</t>
        </is>
      </c>
      <c r="E1865" s="156" t="inlineStr">
        <is>
          <t>Hauler</t>
        </is>
      </c>
      <c r="F1865" s="156" t="inlineStr"/>
      <c r="G1865" s="182" t="n">
        <v>0</v>
      </c>
      <c r="H1865" s="182" t="n">
        <v>0</v>
      </c>
      <c r="I1865" s="182" t="n">
        <v>0</v>
      </c>
      <c r="J1865" s="182" t="n">
        <v>0</v>
      </c>
      <c r="K1865" s="182" t="n">
        <v>12</v>
      </c>
      <c r="L1865" s="182" t="n">
        <v>12</v>
      </c>
      <c r="M1865" s="182" t="n">
        <v>0</v>
      </c>
      <c r="N1865" s="182" t="n">
        <v>0</v>
      </c>
      <c r="O1865" s="183" t="n">
        <v>0</v>
      </c>
      <c r="P1865" s="183" t="n">
        <v>0</v>
      </c>
      <c r="Q1865" s="184" t="n">
        <v>0</v>
      </c>
      <c r="R1865" s="184" t="n">
        <v>0</v>
      </c>
      <c r="S1865" s="183" t="n">
        <v>0</v>
      </c>
      <c r="T1865" s="183" t="n">
        <v>0</v>
      </c>
      <c r="U1865" s="182" t="n">
        <v>0</v>
      </c>
      <c r="V1865" s="182" t="n">
        <v>0</v>
      </c>
      <c r="W1865" s="182" t="n">
        <v>0</v>
      </c>
      <c r="X1865" s="182" t="n">
        <v>1</v>
      </c>
      <c r="Y1865" s="182" t="n">
        <v>0</v>
      </c>
      <c r="Z1865" s="182" t="n">
        <v>0</v>
      </c>
      <c r="AA1865" s="182" t="n">
        <v>0</v>
      </c>
      <c r="AB1865" s="182" t="n">
        <v>0</v>
      </c>
      <c r="AC1865" s="182" t="n">
        <v>0</v>
      </c>
      <c r="AD1865" s="182" t="n">
        <v>0</v>
      </c>
      <c r="AE1865" s="182" t="n">
        <v>0</v>
      </c>
      <c r="AF1865" s="182" t="n">
        <v>0</v>
      </c>
      <c r="AG1865" s="182" t="n">
        <v>0</v>
      </c>
      <c r="AH1865" s="182" t="n">
        <v>0</v>
      </c>
      <c r="AI1865" s="182" t="n">
        <v>10.92</v>
      </c>
      <c r="AJ1865" s="182" t="n">
        <v>0</v>
      </c>
      <c r="AK1865" s="182" t="n">
        <v>0</v>
      </c>
      <c r="AL1865" s="182" t="n">
        <v>0</v>
      </c>
      <c r="AM1865" s="182" t="n">
        <v>0.08</v>
      </c>
      <c r="AN1865" s="182" t="n">
        <v>0</v>
      </c>
    </row>
    <row r="1866">
      <c r="A1866" s="155" t="n">
        <v>46090</v>
      </c>
      <c r="B1866" s="156" t="inlineStr">
        <is>
          <t>DS</t>
        </is>
      </c>
      <c r="C1866" s="156" t="inlineStr">
        <is>
          <t>HD-902</t>
        </is>
      </c>
      <c r="D1866" s="156" t="inlineStr">
        <is>
          <t>SRT 95C</t>
        </is>
      </c>
      <c r="E1866" s="156" t="inlineStr">
        <is>
          <t>Hauler</t>
        </is>
      </c>
      <c r="F1866" s="156" t="inlineStr"/>
      <c r="G1866" s="182" t="n">
        <v>0</v>
      </c>
      <c r="H1866" s="182" t="n">
        <v>0</v>
      </c>
      <c r="I1866" s="182" t="n">
        <v>0</v>
      </c>
      <c r="J1866" s="182" t="n">
        <v>0</v>
      </c>
      <c r="K1866" s="182" t="n">
        <v>12</v>
      </c>
      <c r="L1866" s="182" t="n">
        <v>12</v>
      </c>
      <c r="M1866" s="182" t="n">
        <v>0</v>
      </c>
      <c r="N1866" s="182" t="n">
        <v>0</v>
      </c>
      <c r="O1866" s="183" t="n">
        <v>0</v>
      </c>
      <c r="P1866" s="183" t="n">
        <v>0</v>
      </c>
      <c r="Q1866" s="184" t="n">
        <v>0</v>
      </c>
      <c r="R1866" s="184" t="n">
        <v>0</v>
      </c>
      <c r="S1866" s="183" t="n">
        <v>0</v>
      </c>
      <c r="T1866" s="183" t="n">
        <v>0</v>
      </c>
      <c r="U1866" s="182" t="n">
        <v>0</v>
      </c>
      <c r="V1866" s="182" t="n">
        <v>0</v>
      </c>
      <c r="W1866" s="182" t="n">
        <v>0</v>
      </c>
      <c r="X1866" s="182" t="n">
        <v>1</v>
      </c>
      <c r="Y1866" s="182" t="n">
        <v>0</v>
      </c>
      <c r="Z1866" s="182" t="n">
        <v>0</v>
      </c>
      <c r="AA1866" s="182" t="n">
        <v>0</v>
      </c>
      <c r="AB1866" s="182" t="n">
        <v>0</v>
      </c>
      <c r="AC1866" s="182" t="n">
        <v>0</v>
      </c>
      <c r="AD1866" s="182" t="n">
        <v>0</v>
      </c>
      <c r="AE1866" s="182" t="n">
        <v>0</v>
      </c>
      <c r="AF1866" s="182" t="n">
        <v>0</v>
      </c>
      <c r="AG1866" s="182" t="n">
        <v>0</v>
      </c>
      <c r="AH1866" s="182" t="n">
        <v>0</v>
      </c>
      <c r="AI1866" s="182" t="n">
        <v>10.92</v>
      </c>
      <c r="AJ1866" s="182" t="n">
        <v>0</v>
      </c>
      <c r="AK1866" s="182" t="n">
        <v>0</v>
      </c>
      <c r="AL1866" s="182" t="n">
        <v>0</v>
      </c>
      <c r="AM1866" s="182" t="n">
        <v>0.08</v>
      </c>
      <c r="AN1866" s="182" t="n">
        <v>0</v>
      </c>
    </row>
    <row r="1867">
      <c r="A1867" s="155" t="n">
        <v>46090</v>
      </c>
      <c r="B1867" s="156" t="inlineStr">
        <is>
          <t>DS</t>
        </is>
      </c>
      <c r="C1867" s="156" t="inlineStr">
        <is>
          <t>WL-025</t>
        </is>
      </c>
      <c r="D1867" s="156" t="inlineStr">
        <is>
          <t>SANY - Loader</t>
        </is>
      </c>
      <c r="E1867" s="156" t="inlineStr">
        <is>
          <t>Loader</t>
        </is>
      </c>
      <c r="F1867" s="156" t="inlineStr"/>
      <c r="G1867" s="182" t="n">
        <v>0</v>
      </c>
      <c r="H1867" s="182" t="n">
        <v>0</v>
      </c>
      <c r="I1867" s="182" t="n">
        <v>0</v>
      </c>
      <c r="J1867" s="182" t="n">
        <v>0</v>
      </c>
      <c r="K1867" s="182" t="n">
        <v>12</v>
      </c>
      <c r="L1867" s="182" t="n">
        <v>12</v>
      </c>
      <c r="M1867" s="182" t="n">
        <v>0</v>
      </c>
      <c r="N1867" s="182" t="n">
        <v>0</v>
      </c>
      <c r="O1867" s="183" t="n">
        <v>0</v>
      </c>
      <c r="P1867" s="183" t="n">
        <v>0</v>
      </c>
      <c r="Q1867" s="184" t="n">
        <v>0</v>
      </c>
      <c r="R1867" s="184" t="n">
        <v>0</v>
      </c>
      <c r="S1867" s="183" t="n">
        <v>0</v>
      </c>
      <c r="T1867" s="183" t="n">
        <v>0</v>
      </c>
      <c r="U1867" s="182" t="n">
        <v>0</v>
      </c>
      <c r="V1867" s="182" t="n">
        <v>0</v>
      </c>
      <c r="W1867" s="182" t="n">
        <v>0</v>
      </c>
      <c r="X1867" s="182" t="n">
        <v>1</v>
      </c>
      <c r="Y1867" s="182" t="n">
        <v>0</v>
      </c>
      <c r="Z1867" s="182" t="n">
        <v>0</v>
      </c>
      <c r="AA1867" s="182" t="n">
        <v>0</v>
      </c>
      <c r="AB1867" s="182" t="n">
        <v>0</v>
      </c>
      <c r="AC1867" s="182" t="n">
        <v>0</v>
      </c>
      <c r="AD1867" s="182" t="n">
        <v>0</v>
      </c>
      <c r="AE1867" s="182" t="n">
        <v>0</v>
      </c>
      <c r="AF1867" s="182" t="n">
        <v>0</v>
      </c>
      <c r="AG1867" s="182" t="n">
        <v>0</v>
      </c>
      <c r="AH1867" s="182" t="n">
        <v>0</v>
      </c>
      <c r="AI1867" s="182" t="n">
        <v>0</v>
      </c>
      <c r="AJ1867" s="182" t="n">
        <v>0</v>
      </c>
      <c r="AK1867" s="182" t="n">
        <v>10.92</v>
      </c>
      <c r="AL1867" s="182" t="n">
        <v>0</v>
      </c>
      <c r="AM1867" s="182" t="n">
        <v>0.08</v>
      </c>
      <c r="AN1867" s="182" t="n">
        <v>0</v>
      </c>
    </row>
    <row r="1868">
      <c r="A1868" s="155" t="n">
        <v>46090</v>
      </c>
      <c r="B1868" s="156" t="inlineStr">
        <is>
          <t>DS</t>
        </is>
      </c>
      <c r="C1868" s="156" t="inlineStr">
        <is>
          <t>WL-023</t>
        </is>
      </c>
      <c r="D1868" s="156" t="inlineStr">
        <is>
          <t>SANY - Loader</t>
        </is>
      </c>
      <c r="E1868" s="156" t="inlineStr">
        <is>
          <t>Loader</t>
        </is>
      </c>
      <c r="F1868" s="156" t="inlineStr">
        <is>
          <t>Barging</t>
        </is>
      </c>
      <c r="G1868" s="182" t="n">
        <v>9.98</v>
      </c>
      <c r="H1868" s="182" t="n">
        <v>0</v>
      </c>
      <c r="I1868" s="182" t="n">
        <v>0</v>
      </c>
      <c r="J1868" s="182" t="n">
        <v>0</v>
      </c>
      <c r="K1868" s="182" t="n">
        <v>2.02</v>
      </c>
      <c r="L1868" s="182" t="n">
        <v>12</v>
      </c>
      <c r="M1868" s="182" t="n">
        <v>0</v>
      </c>
      <c r="N1868" s="182" t="n">
        <v>0</v>
      </c>
      <c r="O1868" s="183" t="n">
        <v>0</v>
      </c>
      <c r="P1868" s="183" t="n">
        <v>0</v>
      </c>
      <c r="Q1868" s="184" t="n">
        <v>0</v>
      </c>
      <c r="R1868" s="184" t="n">
        <v>0</v>
      </c>
      <c r="S1868" s="183" t="n">
        <v>0</v>
      </c>
      <c r="T1868" s="183" t="n">
        <v>0</v>
      </c>
      <c r="U1868" s="182" t="n">
        <v>0</v>
      </c>
      <c r="V1868" s="182" t="n">
        <v>0</v>
      </c>
      <c r="W1868" s="182" t="n">
        <v>0</v>
      </c>
      <c r="X1868" s="182" t="n">
        <v>1.06</v>
      </c>
      <c r="Y1868" s="182" t="n">
        <v>0</v>
      </c>
      <c r="Z1868" s="182" t="n">
        <v>0</v>
      </c>
      <c r="AA1868" s="182" t="n">
        <v>0</v>
      </c>
      <c r="AB1868" s="182" t="n">
        <v>0</v>
      </c>
      <c r="AC1868" s="182" t="n">
        <v>0</v>
      </c>
      <c r="AD1868" s="182" t="n">
        <v>0</v>
      </c>
      <c r="AE1868" s="182" t="n">
        <v>0</v>
      </c>
      <c r="AF1868" s="182" t="n">
        <v>0</v>
      </c>
      <c r="AG1868" s="182" t="n">
        <v>0</v>
      </c>
      <c r="AH1868" s="182" t="n">
        <v>0</v>
      </c>
      <c r="AI1868" s="182" t="n">
        <v>0</v>
      </c>
      <c r="AJ1868" s="182" t="n">
        <v>0</v>
      </c>
      <c r="AK1868" s="182" t="n">
        <v>0.87</v>
      </c>
      <c r="AL1868" s="182" t="n">
        <v>0</v>
      </c>
      <c r="AM1868" s="182" t="n">
        <v>0.09</v>
      </c>
      <c r="AN1868" s="182" t="n">
        <v>0</v>
      </c>
    </row>
    <row r="1869">
      <c r="A1869" s="155" t="n">
        <v>46090</v>
      </c>
      <c r="B1869" s="156" t="inlineStr">
        <is>
          <t>DS</t>
        </is>
      </c>
      <c r="C1869" s="156" t="inlineStr">
        <is>
          <t>WL-021</t>
        </is>
      </c>
      <c r="D1869" s="156" t="inlineStr">
        <is>
          <t>SANY - Loader</t>
        </is>
      </c>
      <c r="E1869" s="156" t="inlineStr">
        <is>
          <t>Loader</t>
        </is>
      </c>
      <c r="F1869" s="156" t="inlineStr"/>
      <c r="G1869" s="182" t="n">
        <v>0</v>
      </c>
      <c r="H1869" s="182" t="n">
        <v>0</v>
      </c>
      <c r="I1869" s="182" t="n">
        <v>12</v>
      </c>
      <c r="J1869" s="182" t="n">
        <v>12</v>
      </c>
      <c r="K1869" s="182" t="n">
        <v>0</v>
      </c>
      <c r="L1869" s="182" t="n">
        <v>12</v>
      </c>
      <c r="M1869" s="182" t="n">
        <v>0</v>
      </c>
      <c r="N1869" s="182" t="n">
        <v>0</v>
      </c>
      <c r="O1869" s="183" t="n">
        <v>0</v>
      </c>
      <c r="P1869" s="183" t="n">
        <v>0</v>
      </c>
      <c r="Q1869" s="184" t="n">
        <v>0</v>
      </c>
      <c r="R1869" s="184" t="n">
        <v>0</v>
      </c>
      <c r="S1869" s="183" t="n">
        <v>0</v>
      </c>
      <c r="T1869" s="183" t="n">
        <v>0</v>
      </c>
      <c r="U1869" s="182" t="n">
        <v>0</v>
      </c>
      <c r="V1869" s="182" t="n">
        <v>0</v>
      </c>
      <c r="W1869" s="182" t="n">
        <v>0</v>
      </c>
      <c r="X1869" s="182" t="n">
        <v>0</v>
      </c>
      <c r="Y1869" s="182" t="n">
        <v>0</v>
      </c>
      <c r="Z1869" s="182" t="n">
        <v>0</v>
      </c>
      <c r="AA1869" s="182" t="n">
        <v>0</v>
      </c>
      <c r="AB1869" s="182" t="n">
        <v>0</v>
      </c>
      <c r="AC1869" s="182" t="n">
        <v>0</v>
      </c>
      <c r="AD1869" s="182" t="n">
        <v>0</v>
      </c>
      <c r="AE1869" s="182" t="n">
        <v>0</v>
      </c>
      <c r="AF1869" s="182" t="n">
        <v>0</v>
      </c>
      <c r="AG1869" s="182" t="n">
        <v>0</v>
      </c>
      <c r="AH1869" s="182" t="n">
        <v>0</v>
      </c>
      <c r="AI1869" s="182" t="n">
        <v>0</v>
      </c>
      <c r="AJ1869" s="182" t="n">
        <v>0</v>
      </c>
      <c r="AK1869" s="182" t="n">
        <v>0</v>
      </c>
      <c r="AL1869" s="182" t="n">
        <v>0</v>
      </c>
      <c r="AM1869" s="182" t="n">
        <v>0</v>
      </c>
      <c r="AN1869" s="182" t="n">
        <v>0</v>
      </c>
    </row>
    <row r="1870">
      <c r="A1870" s="155" t="n">
        <v>46090</v>
      </c>
      <c r="B1870" s="156" t="inlineStr">
        <is>
          <t>DS</t>
        </is>
      </c>
      <c r="C1870" s="156" t="inlineStr">
        <is>
          <t>WL-022</t>
        </is>
      </c>
      <c r="D1870" s="156" t="inlineStr">
        <is>
          <t>SANY - Loader</t>
        </is>
      </c>
      <c r="E1870" s="156" t="inlineStr">
        <is>
          <t>Loader</t>
        </is>
      </c>
      <c r="F1870" s="156" t="inlineStr">
        <is>
          <t>Support Washing Plant</t>
        </is>
      </c>
      <c r="G1870" s="182" t="n">
        <v>11.22</v>
      </c>
      <c r="H1870" s="182" t="n">
        <v>0</v>
      </c>
      <c r="I1870" s="182" t="n">
        <v>0</v>
      </c>
      <c r="J1870" s="182" t="n">
        <v>0</v>
      </c>
      <c r="K1870" s="182" t="n">
        <v>0.78</v>
      </c>
      <c r="L1870" s="182" t="n">
        <v>12</v>
      </c>
      <c r="M1870" s="182" t="n">
        <v>0</v>
      </c>
      <c r="N1870" s="182" t="n">
        <v>0</v>
      </c>
      <c r="O1870" s="183" t="n">
        <v>0</v>
      </c>
      <c r="P1870" s="183" t="n">
        <v>0</v>
      </c>
      <c r="Q1870" s="184" t="n">
        <v>0</v>
      </c>
      <c r="R1870" s="184" t="n">
        <v>0</v>
      </c>
      <c r="S1870" s="183" t="n">
        <v>0</v>
      </c>
      <c r="T1870" s="183" t="n">
        <v>0</v>
      </c>
      <c r="U1870" s="182" t="n">
        <v>0</v>
      </c>
      <c r="V1870" s="182" t="n">
        <v>0</v>
      </c>
      <c r="W1870" s="182" t="n">
        <v>0</v>
      </c>
      <c r="X1870" s="182" t="n">
        <v>0.66</v>
      </c>
      <c r="Y1870" s="182" t="n">
        <v>0</v>
      </c>
      <c r="Z1870" s="182" t="n">
        <v>0</v>
      </c>
      <c r="AA1870" s="182" t="n">
        <v>0</v>
      </c>
      <c r="AB1870" s="182" t="n">
        <v>0</v>
      </c>
      <c r="AC1870" s="182" t="n">
        <v>0</v>
      </c>
      <c r="AD1870" s="182" t="n">
        <v>0</v>
      </c>
      <c r="AE1870" s="182" t="n">
        <v>0</v>
      </c>
      <c r="AF1870" s="182" t="n">
        <v>0</v>
      </c>
      <c r="AG1870" s="182" t="n">
        <v>0</v>
      </c>
      <c r="AH1870" s="182" t="n">
        <v>0</v>
      </c>
      <c r="AI1870" s="182" t="n">
        <v>0</v>
      </c>
      <c r="AJ1870" s="182" t="n">
        <v>0</v>
      </c>
      <c r="AK1870" s="182" t="n">
        <v>0</v>
      </c>
      <c r="AL1870" s="182" t="n">
        <v>0</v>
      </c>
      <c r="AM1870" s="182" t="n">
        <v>0.12</v>
      </c>
      <c r="AN1870" s="182" t="n">
        <v>0</v>
      </c>
    </row>
    <row r="1871">
      <c r="A1871" s="155" t="n">
        <v>46090</v>
      </c>
      <c r="B1871" s="156" t="inlineStr">
        <is>
          <t>DS</t>
        </is>
      </c>
      <c r="C1871" s="156" t="inlineStr">
        <is>
          <t>WL-024</t>
        </is>
      </c>
      <c r="D1871" s="156" t="inlineStr">
        <is>
          <t>SANY - Loader</t>
        </is>
      </c>
      <c r="E1871" s="156" t="inlineStr">
        <is>
          <t>Loader</t>
        </is>
      </c>
      <c r="F1871" s="156" t="inlineStr">
        <is>
          <t>Support Washing Plant</t>
        </is>
      </c>
      <c r="G1871" s="182" t="n">
        <v>11.61</v>
      </c>
      <c r="H1871" s="182" t="n">
        <v>0</v>
      </c>
      <c r="I1871" s="182" t="n">
        <v>0</v>
      </c>
      <c r="J1871" s="182" t="n">
        <v>0</v>
      </c>
      <c r="K1871" s="182" t="n">
        <v>0.39</v>
      </c>
      <c r="L1871" s="182" t="n">
        <v>12</v>
      </c>
      <c r="M1871" s="182" t="n">
        <v>0</v>
      </c>
      <c r="N1871" s="182" t="n">
        <v>0</v>
      </c>
      <c r="O1871" s="183" t="n">
        <v>0</v>
      </c>
      <c r="P1871" s="183" t="n">
        <v>0</v>
      </c>
      <c r="Q1871" s="184" t="n">
        <v>0</v>
      </c>
      <c r="R1871" s="184" t="n">
        <v>0</v>
      </c>
      <c r="S1871" s="183" t="n">
        <v>0</v>
      </c>
      <c r="T1871" s="183" t="n">
        <v>0</v>
      </c>
      <c r="U1871" s="182" t="n">
        <v>0</v>
      </c>
      <c r="V1871" s="182" t="n">
        <v>0</v>
      </c>
      <c r="W1871" s="182" t="n">
        <v>0</v>
      </c>
      <c r="X1871" s="182" t="n">
        <v>0.31</v>
      </c>
      <c r="Y1871" s="182" t="n">
        <v>0</v>
      </c>
      <c r="Z1871" s="182" t="n">
        <v>0</v>
      </c>
      <c r="AA1871" s="182" t="n">
        <v>0</v>
      </c>
      <c r="AB1871" s="182" t="n">
        <v>0</v>
      </c>
      <c r="AC1871" s="182" t="n">
        <v>0</v>
      </c>
      <c r="AD1871" s="182" t="n">
        <v>0</v>
      </c>
      <c r="AE1871" s="182" t="n">
        <v>0</v>
      </c>
      <c r="AF1871" s="182" t="n">
        <v>0</v>
      </c>
      <c r="AG1871" s="182" t="n">
        <v>0</v>
      </c>
      <c r="AH1871" s="182" t="n">
        <v>0</v>
      </c>
      <c r="AI1871" s="182" t="n">
        <v>0</v>
      </c>
      <c r="AJ1871" s="182" t="n">
        <v>0</v>
      </c>
      <c r="AK1871" s="182" t="n">
        <v>0</v>
      </c>
      <c r="AL1871" s="182" t="n">
        <v>0</v>
      </c>
      <c r="AM1871" s="182" t="n">
        <v>0.08</v>
      </c>
      <c r="AN1871" s="182" t="n">
        <v>0</v>
      </c>
    </row>
    <row r="1872">
      <c r="A1872" s="155" t="n">
        <v>46090</v>
      </c>
      <c r="B1872" s="156" t="inlineStr">
        <is>
          <t>NS</t>
        </is>
      </c>
      <c r="C1872" s="156" t="inlineStr">
        <is>
          <t>DZ-034</t>
        </is>
      </c>
      <c r="D1872" s="156" t="inlineStr">
        <is>
          <t>D 68ESS-12EO</t>
        </is>
      </c>
      <c r="E1872" s="156" t="inlineStr">
        <is>
          <t>Bulldozer</t>
        </is>
      </c>
      <c r="F1872" s="156" t="inlineStr">
        <is>
          <t>Support Washing Plant</t>
        </is>
      </c>
      <c r="G1872" s="182" t="n">
        <v>8.81</v>
      </c>
      <c r="H1872" s="182" t="n">
        <v>0</v>
      </c>
      <c r="I1872" s="182" t="n">
        <v>1</v>
      </c>
      <c r="J1872" s="182" t="n">
        <v>1</v>
      </c>
      <c r="K1872" s="182" t="n">
        <v>2.19</v>
      </c>
      <c r="L1872" s="182" t="n">
        <v>12</v>
      </c>
      <c r="M1872" s="182" t="n">
        <v>0</v>
      </c>
      <c r="N1872" s="182" t="n">
        <v>0</v>
      </c>
      <c r="O1872" s="183" t="n">
        <v>0</v>
      </c>
      <c r="P1872" s="183" t="n">
        <v>0</v>
      </c>
      <c r="Q1872" s="184" t="n">
        <v>0</v>
      </c>
      <c r="R1872" s="184" t="n">
        <v>0</v>
      </c>
      <c r="S1872" s="183" t="n">
        <v>0</v>
      </c>
      <c r="T1872" s="183" t="n">
        <v>0</v>
      </c>
      <c r="U1872" s="182" t="n">
        <v>0</v>
      </c>
      <c r="V1872" s="182" t="n">
        <v>0</v>
      </c>
      <c r="W1872" s="182" t="n">
        <v>0</v>
      </c>
      <c r="X1872" s="182" t="n">
        <v>0.88</v>
      </c>
      <c r="Y1872" s="182" t="n">
        <v>0</v>
      </c>
      <c r="Z1872" s="182" t="n">
        <v>0</v>
      </c>
      <c r="AA1872" s="182" t="n">
        <v>0</v>
      </c>
      <c r="AB1872" s="182" t="n">
        <v>0</v>
      </c>
      <c r="AC1872" s="182" t="n">
        <v>0</v>
      </c>
      <c r="AD1872" s="182" t="n">
        <v>0</v>
      </c>
      <c r="AE1872" s="182" t="n">
        <v>0</v>
      </c>
      <c r="AF1872" s="182" t="n">
        <v>0</v>
      </c>
      <c r="AG1872" s="182" t="n">
        <v>0</v>
      </c>
      <c r="AH1872" s="182" t="n">
        <v>0</v>
      </c>
      <c r="AI1872" s="182" t="n">
        <v>0</v>
      </c>
      <c r="AJ1872" s="182" t="n">
        <v>0</v>
      </c>
      <c r="AK1872" s="182" t="n">
        <v>1.24</v>
      </c>
      <c r="AL1872" s="182" t="n">
        <v>0</v>
      </c>
      <c r="AM1872" s="182" t="n">
        <v>0.07000000000000001</v>
      </c>
      <c r="AN1872" s="182" t="n">
        <v>0</v>
      </c>
    </row>
    <row r="1873">
      <c r="A1873" s="155" t="n">
        <v>46090</v>
      </c>
      <c r="B1873" s="156" t="inlineStr">
        <is>
          <t>NS</t>
        </is>
      </c>
      <c r="C1873" s="156" t="inlineStr">
        <is>
          <t>DZ-033</t>
        </is>
      </c>
      <c r="D1873" s="156" t="inlineStr">
        <is>
          <t>D 375A-6R</t>
        </is>
      </c>
      <c r="E1873" s="156" t="inlineStr">
        <is>
          <t>Bulldozer</t>
        </is>
      </c>
      <c r="F1873" s="156" t="inlineStr">
        <is>
          <t>Support Disposal</t>
        </is>
      </c>
      <c r="G1873" s="182" t="n">
        <v>9.59</v>
      </c>
      <c r="H1873" s="182" t="n">
        <v>0</v>
      </c>
      <c r="I1873" s="182" t="n">
        <v>1.75</v>
      </c>
      <c r="J1873" s="182" t="n">
        <v>1.75</v>
      </c>
      <c r="K1873" s="182" t="n">
        <v>0.66</v>
      </c>
      <c r="L1873" s="182" t="n">
        <v>12</v>
      </c>
      <c r="M1873" s="182" t="n">
        <v>0</v>
      </c>
      <c r="N1873" s="182" t="n">
        <v>0</v>
      </c>
      <c r="O1873" s="183" t="n">
        <v>0</v>
      </c>
      <c r="P1873" s="183" t="n">
        <v>0</v>
      </c>
      <c r="Q1873" s="184" t="n">
        <v>0</v>
      </c>
      <c r="R1873" s="184" t="n">
        <v>0</v>
      </c>
      <c r="S1873" s="183" t="n">
        <v>0</v>
      </c>
      <c r="T1873" s="183" t="n">
        <v>0</v>
      </c>
      <c r="U1873" s="182" t="n">
        <v>0</v>
      </c>
      <c r="V1873" s="182" t="n">
        <v>0</v>
      </c>
      <c r="W1873" s="182" t="n">
        <v>0</v>
      </c>
      <c r="X1873" s="182" t="n">
        <v>0</v>
      </c>
      <c r="Y1873" s="182" t="n">
        <v>0</v>
      </c>
      <c r="Z1873" s="182" t="n">
        <v>0</v>
      </c>
      <c r="AA1873" s="182" t="n">
        <v>0</v>
      </c>
      <c r="AB1873" s="182" t="n">
        <v>0</v>
      </c>
      <c r="AC1873" s="182" t="n">
        <v>0</v>
      </c>
      <c r="AD1873" s="182" t="n">
        <v>0</v>
      </c>
      <c r="AE1873" s="182" t="n">
        <v>0</v>
      </c>
      <c r="AF1873" s="182" t="n">
        <v>0</v>
      </c>
      <c r="AG1873" s="182" t="n">
        <v>0</v>
      </c>
      <c r="AH1873" s="182" t="n">
        <v>0</v>
      </c>
      <c r="AI1873" s="182" t="n">
        <v>0</v>
      </c>
      <c r="AJ1873" s="182" t="n">
        <v>0</v>
      </c>
      <c r="AK1873" s="182" t="n">
        <v>0.45</v>
      </c>
      <c r="AL1873" s="182" t="n">
        <v>0</v>
      </c>
      <c r="AM1873" s="182" t="n">
        <v>0.21</v>
      </c>
      <c r="AN1873" s="182" t="n">
        <v>0</v>
      </c>
    </row>
    <row r="1874">
      <c r="A1874" s="155" t="n">
        <v>46090</v>
      </c>
      <c r="B1874" s="156" t="inlineStr">
        <is>
          <t>NS</t>
        </is>
      </c>
      <c r="C1874" s="156" t="inlineStr">
        <is>
          <t>DZ-038</t>
        </is>
      </c>
      <c r="D1874" s="156" t="inlineStr">
        <is>
          <t>D 85 ESS-2</t>
        </is>
      </c>
      <c r="E1874" s="156" t="inlineStr">
        <is>
          <t>Bulldozer</t>
        </is>
      </c>
      <c r="F1874" s="156" t="inlineStr"/>
      <c r="G1874" s="182" t="n">
        <v>0</v>
      </c>
      <c r="H1874" s="182" t="n">
        <v>0</v>
      </c>
      <c r="I1874" s="182" t="n">
        <v>12</v>
      </c>
      <c r="J1874" s="182" t="n">
        <v>12</v>
      </c>
      <c r="K1874" s="182" t="n">
        <v>0</v>
      </c>
      <c r="L1874" s="182" t="n">
        <v>12</v>
      </c>
      <c r="M1874" s="182" t="n">
        <v>0</v>
      </c>
      <c r="N1874" s="182" t="n">
        <v>0</v>
      </c>
      <c r="O1874" s="183" t="n">
        <v>0</v>
      </c>
      <c r="P1874" s="183" t="n">
        <v>0</v>
      </c>
      <c r="Q1874" s="184" t="n">
        <v>0</v>
      </c>
      <c r="R1874" s="184" t="n">
        <v>0</v>
      </c>
      <c r="S1874" s="183" t="n">
        <v>0</v>
      </c>
      <c r="T1874" s="183" t="n">
        <v>0</v>
      </c>
      <c r="U1874" s="182" t="n">
        <v>0</v>
      </c>
      <c r="V1874" s="182" t="n">
        <v>0</v>
      </c>
      <c r="W1874" s="182" t="n">
        <v>0</v>
      </c>
      <c r="X1874" s="182" t="n">
        <v>0</v>
      </c>
      <c r="Y1874" s="182" t="n">
        <v>0</v>
      </c>
      <c r="Z1874" s="182" t="n">
        <v>0</v>
      </c>
      <c r="AA1874" s="182" t="n">
        <v>0</v>
      </c>
      <c r="AB1874" s="182" t="n">
        <v>0</v>
      </c>
      <c r="AC1874" s="182" t="n">
        <v>0</v>
      </c>
      <c r="AD1874" s="182" t="n">
        <v>0</v>
      </c>
      <c r="AE1874" s="182" t="n">
        <v>0</v>
      </c>
      <c r="AF1874" s="182" t="n">
        <v>0</v>
      </c>
      <c r="AG1874" s="182" t="n">
        <v>0</v>
      </c>
      <c r="AH1874" s="182" t="n">
        <v>0</v>
      </c>
      <c r="AI1874" s="182" t="n">
        <v>0</v>
      </c>
      <c r="AJ1874" s="182" t="n">
        <v>0</v>
      </c>
      <c r="AK1874" s="182" t="n">
        <v>0</v>
      </c>
      <c r="AL1874" s="182" t="n">
        <v>0</v>
      </c>
      <c r="AM1874" s="182" t="n">
        <v>0</v>
      </c>
      <c r="AN1874" s="182" t="n">
        <v>0</v>
      </c>
    </row>
    <row r="1875">
      <c r="A1875" s="155" t="n">
        <v>46090</v>
      </c>
      <c r="B1875" s="156" t="inlineStr">
        <is>
          <t>NS</t>
        </is>
      </c>
      <c r="C1875" s="156" t="inlineStr">
        <is>
          <t>DZ-039</t>
        </is>
      </c>
      <c r="D1875" s="156" t="inlineStr">
        <is>
          <t>D 85 ESS-2</t>
        </is>
      </c>
      <c r="E1875" s="156" t="inlineStr">
        <is>
          <t>Bulldozer</t>
        </is>
      </c>
      <c r="F1875" s="156" t="inlineStr"/>
      <c r="G1875" s="182" t="n">
        <v>0</v>
      </c>
      <c r="H1875" s="182" t="n">
        <v>0</v>
      </c>
      <c r="I1875" s="182" t="n">
        <v>12</v>
      </c>
      <c r="J1875" s="182" t="n">
        <v>12</v>
      </c>
      <c r="K1875" s="182" t="n">
        <v>0</v>
      </c>
      <c r="L1875" s="182" t="n">
        <v>12</v>
      </c>
      <c r="M1875" s="182" t="n">
        <v>0</v>
      </c>
      <c r="N1875" s="182" t="n">
        <v>0</v>
      </c>
      <c r="O1875" s="183" t="n">
        <v>0</v>
      </c>
      <c r="P1875" s="183" t="n">
        <v>0</v>
      </c>
      <c r="Q1875" s="184" t="n">
        <v>0</v>
      </c>
      <c r="R1875" s="184" t="n">
        <v>0</v>
      </c>
      <c r="S1875" s="183" t="n">
        <v>0</v>
      </c>
      <c r="T1875" s="183" t="n">
        <v>0</v>
      </c>
      <c r="U1875" s="182" t="n">
        <v>0</v>
      </c>
      <c r="V1875" s="182" t="n">
        <v>0</v>
      </c>
      <c r="W1875" s="182" t="n">
        <v>0</v>
      </c>
      <c r="X1875" s="182" t="n">
        <v>0</v>
      </c>
      <c r="Y1875" s="182" t="n">
        <v>0</v>
      </c>
      <c r="Z1875" s="182" t="n">
        <v>0</v>
      </c>
      <c r="AA1875" s="182" t="n">
        <v>0</v>
      </c>
      <c r="AB1875" s="182" t="n">
        <v>0</v>
      </c>
      <c r="AC1875" s="182" t="n">
        <v>0</v>
      </c>
      <c r="AD1875" s="182" t="n">
        <v>0</v>
      </c>
      <c r="AE1875" s="182" t="n">
        <v>0</v>
      </c>
      <c r="AF1875" s="182" t="n">
        <v>0</v>
      </c>
      <c r="AG1875" s="182" t="n">
        <v>0</v>
      </c>
      <c r="AH1875" s="182" t="n">
        <v>0</v>
      </c>
      <c r="AI1875" s="182" t="n">
        <v>0</v>
      </c>
      <c r="AJ1875" s="182" t="n">
        <v>0</v>
      </c>
      <c r="AK1875" s="182" t="n">
        <v>0</v>
      </c>
      <c r="AL1875" s="182" t="n">
        <v>0</v>
      </c>
      <c r="AM1875" s="182" t="n">
        <v>0</v>
      </c>
      <c r="AN1875" s="182" t="n">
        <v>0</v>
      </c>
    </row>
    <row r="1876">
      <c r="A1876" s="155" t="n">
        <v>46090</v>
      </c>
      <c r="B1876" s="156" t="inlineStr">
        <is>
          <t>NS</t>
        </is>
      </c>
      <c r="C1876" s="156" t="inlineStr">
        <is>
          <t>DZ-032</t>
        </is>
      </c>
      <c r="D1876" s="156" t="inlineStr">
        <is>
          <t>CAT</t>
        </is>
      </c>
      <c r="E1876" s="156" t="inlineStr">
        <is>
          <t>Bulldozer</t>
        </is>
      </c>
      <c r="F1876" s="156" t="inlineStr">
        <is>
          <t>Support Front Loading</t>
        </is>
      </c>
      <c r="G1876" s="182" t="n">
        <v>8.06</v>
      </c>
      <c r="H1876" s="182" t="n">
        <v>0</v>
      </c>
      <c r="I1876" s="182" t="n">
        <v>1.58</v>
      </c>
      <c r="J1876" s="182" t="n">
        <v>1.58</v>
      </c>
      <c r="K1876" s="182" t="n">
        <v>2.36</v>
      </c>
      <c r="L1876" s="182" t="n">
        <v>12</v>
      </c>
      <c r="M1876" s="182" t="n">
        <v>0</v>
      </c>
      <c r="N1876" s="182" t="n">
        <v>0</v>
      </c>
      <c r="O1876" s="183" t="n">
        <v>0</v>
      </c>
      <c r="P1876" s="183" t="n">
        <v>0</v>
      </c>
      <c r="Q1876" s="184" t="n">
        <v>0</v>
      </c>
      <c r="R1876" s="184" t="n">
        <v>0</v>
      </c>
      <c r="S1876" s="183" t="n">
        <v>0</v>
      </c>
      <c r="T1876" s="183" t="n">
        <v>0</v>
      </c>
      <c r="U1876" s="182" t="n">
        <v>0</v>
      </c>
      <c r="V1876" s="182" t="n">
        <v>0</v>
      </c>
      <c r="W1876" s="182" t="n">
        <v>0</v>
      </c>
      <c r="X1876" s="182" t="n">
        <v>1.06</v>
      </c>
      <c r="Y1876" s="182" t="n">
        <v>0</v>
      </c>
      <c r="Z1876" s="182" t="n">
        <v>0</v>
      </c>
      <c r="AA1876" s="182" t="n">
        <v>0</v>
      </c>
      <c r="AB1876" s="182" t="n">
        <v>0</v>
      </c>
      <c r="AC1876" s="182" t="n">
        <v>0</v>
      </c>
      <c r="AD1876" s="182" t="n">
        <v>0</v>
      </c>
      <c r="AE1876" s="182" t="n">
        <v>0</v>
      </c>
      <c r="AF1876" s="182" t="n">
        <v>0</v>
      </c>
      <c r="AG1876" s="182" t="n">
        <v>0</v>
      </c>
      <c r="AH1876" s="182" t="n">
        <v>0</v>
      </c>
      <c r="AI1876" s="182" t="n">
        <v>0</v>
      </c>
      <c r="AJ1876" s="182" t="n">
        <v>0</v>
      </c>
      <c r="AK1876" s="182" t="n">
        <v>1.2</v>
      </c>
      <c r="AL1876" s="182" t="n">
        <v>0</v>
      </c>
      <c r="AM1876" s="182" t="n">
        <v>0.09</v>
      </c>
      <c r="AN1876" s="182" t="n">
        <v>0</v>
      </c>
    </row>
    <row r="1877">
      <c r="A1877" s="155" t="n">
        <v>46090</v>
      </c>
      <c r="B1877" s="156" t="inlineStr">
        <is>
          <t>NS</t>
        </is>
      </c>
      <c r="C1877" s="156" t="inlineStr">
        <is>
          <t>DZ-031</t>
        </is>
      </c>
      <c r="D1877" s="156" t="inlineStr">
        <is>
          <t>CAT</t>
        </is>
      </c>
      <c r="E1877" s="156" t="inlineStr">
        <is>
          <t>Bulldozer</t>
        </is>
      </c>
      <c r="F1877" s="156" t="inlineStr"/>
      <c r="G1877" s="182" t="n">
        <v>0</v>
      </c>
      <c r="H1877" s="182" t="n">
        <v>0</v>
      </c>
      <c r="I1877" s="182" t="n">
        <v>12</v>
      </c>
      <c r="J1877" s="182" t="n">
        <v>12</v>
      </c>
      <c r="K1877" s="182" t="n">
        <v>0</v>
      </c>
      <c r="L1877" s="182" t="n">
        <v>12</v>
      </c>
      <c r="M1877" s="182" t="n">
        <v>0</v>
      </c>
      <c r="N1877" s="182" t="n">
        <v>0</v>
      </c>
      <c r="O1877" s="183" t="n">
        <v>0</v>
      </c>
      <c r="P1877" s="183" t="n">
        <v>0</v>
      </c>
      <c r="Q1877" s="184" t="n">
        <v>0</v>
      </c>
      <c r="R1877" s="184" t="n">
        <v>0</v>
      </c>
      <c r="S1877" s="183" t="n">
        <v>0</v>
      </c>
      <c r="T1877" s="183" t="n">
        <v>0</v>
      </c>
      <c r="U1877" s="182" t="n">
        <v>0</v>
      </c>
      <c r="V1877" s="182" t="n">
        <v>0</v>
      </c>
      <c r="W1877" s="182" t="n">
        <v>0</v>
      </c>
      <c r="X1877" s="182" t="n">
        <v>0</v>
      </c>
      <c r="Y1877" s="182" t="n">
        <v>0</v>
      </c>
      <c r="Z1877" s="182" t="n">
        <v>0</v>
      </c>
      <c r="AA1877" s="182" t="n">
        <v>0</v>
      </c>
      <c r="AB1877" s="182" t="n">
        <v>0</v>
      </c>
      <c r="AC1877" s="182" t="n">
        <v>0</v>
      </c>
      <c r="AD1877" s="182" t="n">
        <v>0</v>
      </c>
      <c r="AE1877" s="182" t="n">
        <v>0</v>
      </c>
      <c r="AF1877" s="182" t="n">
        <v>0</v>
      </c>
      <c r="AG1877" s="182" t="n">
        <v>0</v>
      </c>
      <c r="AH1877" s="182" t="n">
        <v>0</v>
      </c>
      <c r="AI1877" s="182" t="n">
        <v>0</v>
      </c>
      <c r="AJ1877" s="182" t="n">
        <v>0</v>
      </c>
      <c r="AK1877" s="182" t="n">
        <v>0</v>
      </c>
      <c r="AL1877" s="182" t="n">
        <v>0</v>
      </c>
      <c r="AM1877" s="182" t="n">
        <v>0</v>
      </c>
      <c r="AN1877" s="182" t="n">
        <v>0</v>
      </c>
    </row>
    <row r="1878">
      <c r="A1878" s="155" t="n">
        <v>46090</v>
      </c>
      <c r="B1878" s="156" t="inlineStr">
        <is>
          <t>NS</t>
        </is>
      </c>
      <c r="C1878" s="156" t="inlineStr">
        <is>
          <t>DZ-037</t>
        </is>
      </c>
      <c r="D1878" s="156" t="inlineStr">
        <is>
          <t>D 85 ESS-2</t>
        </is>
      </c>
      <c r="E1878" s="156" t="inlineStr">
        <is>
          <t>Bulldozer</t>
        </is>
      </c>
      <c r="F1878" s="156" t="inlineStr"/>
      <c r="G1878" s="182" t="n">
        <v>0</v>
      </c>
      <c r="H1878" s="182" t="n">
        <v>0</v>
      </c>
      <c r="I1878" s="182" t="n">
        <v>12</v>
      </c>
      <c r="J1878" s="182" t="n">
        <v>12</v>
      </c>
      <c r="K1878" s="182" t="n">
        <v>0</v>
      </c>
      <c r="L1878" s="182" t="n">
        <v>12</v>
      </c>
      <c r="M1878" s="182" t="n">
        <v>0</v>
      </c>
      <c r="N1878" s="182" t="n">
        <v>0</v>
      </c>
      <c r="O1878" s="183" t="n">
        <v>0</v>
      </c>
      <c r="P1878" s="183" t="n">
        <v>0</v>
      </c>
      <c r="Q1878" s="184" t="n">
        <v>0</v>
      </c>
      <c r="R1878" s="184" t="n">
        <v>0</v>
      </c>
      <c r="S1878" s="183" t="n">
        <v>0</v>
      </c>
      <c r="T1878" s="183" t="n">
        <v>0</v>
      </c>
      <c r="U1878" s="182" t="n">
        <v>0</v>
      </c>
      <c r="V1878" s="182" t="n">
        <v>0</v>
      </c>
      <c r="W1878" s="182" t="n">
        <v>0</v>
      </c>
      <c r="X1878" s="182" t="n">
        <v>0</v>
      </c>
      <c r="Y1878" s="182" t="n">
        <v>0</v>
      </c>
      <c r="Z1878" s="182" t="n">
        <v>0</v>
      </c>
      <c r="AA1878" s="182" t="n">
        <v>0</v>
      </c>
      <c r="AB1878" s="182" t="n">
        <v>0</v>
      </c>
      <c r="AC1878" s="182" t="n">
        <v>0</v>
      </c>
      <c r="AD1878" s="182" t="n">
        <v>0</v>
      </c>
      <c r="AE1878" s="182" t="n">
        <v>0</v>
      </c>
      <c r="AF1878" s="182" t="n">
        <v>0</v>
      </c>
      <c r="AG1878" s="182" t="n">
        <v>0</v>
      </c>
      <c r="AH1878" s="182" t="n">
        <v>0</v>
      </c>
      <c r="AI1878" s="182" t="n">
        <v>0</v>
      </c>
      <c r="AJ1878" s="182" t="n">
        <v>0</v>
      </c>
      <c r="AK1878" s="182" t="n">
        <v>0</v>
      </c>
      <c r="AL1878" s="182" t="n">
        <v>0</v>
      </c>
      <c r="AM1878" s="182" t="n">
        <v>0</v>
      </c>
      <c r="AN1878" s="182" t="n">
        <v>0</v>
      </c>
    </row>
    <row r="1879">
      <c r="A1879" s="155" t="n">
        <v>46090</v>
      </c>
      <c r="B1879" s="156" t="inlineStr">
        <is>
          <t>NS</t>
        </is>
      </c>
      <c r="C1879" s="156" t="inlineStr">
        <is>
          <t>DZ-036</t>
        </is>
      </c>
      <c r="D1879" s="156" t="inlineStr">
        <is>
          <t>D 85 ESS-2</t>
        </is>
      </c>
      <c r="E1879" s="156" t="inlineStr">
        <is>
          <t>Bulldozer</t>
        </is>
      </c>
      <c r="F1879" s="156" t="inlineStr">
        <is>
          <t>Timesheet Kosong</t>
        </is>
      </c>
      <c r="G1879" s="182" t="n">
        <v>1.32</v>
      </c>
      <c r="H1879" s="182" t="n">
        <v>0</v>
      </c>
      <c r="I1879" s="182" t="n">
        <v>0</v>
      </c>
      <c r="J1879" s="182" t="n">
        <v>0</v>
      </c>
      <c r="K1879" s="182" t="n">
        <v>10.68</v>
      </c>
      <c r="L1879" s="182" t="n">
        <v>12</v>
      </c>
      <c r="M1879" s="182" t="n">
        <v>0</v>
      </c>
      <c r="N1879" s="182" t="n">
        <v>0</v>
      </c>
      <c r="O1879" s="183" t="n">
        <v>0</v>
      </c>
      <c r="P1879" s="183" t="n">
        <v>0</v>
      </c>
      <c r="Q1879" s="184" t="n">
        <v>0</v>
      </c>
      <c r="R1879" s="184" t="n">
        <v>0</v>
      </c>
      <c r="S1879" s="183" t="n">
        <v>0</v>
      </c>
      <c r="T1879" s="183" t="n">
        <v>0</v>
      </c>
      <c r="U1879" s="182" t="n">
        <v>0</v>
      </c>
      <c r="V1879" s="182" t="n">
        <v>0</v>
      </c>
      <c r="W1879" s="182" t="n">
        <v>0</v>
      </c>
      <c r="X1879" s="182" t="n">
        <v>0.98</v>
      </c>
      <c r="Y1879" s="182" t="n">
        <v>0</v>
      </c>
      <c r="Z1879" s="182" t="n">
        <v>0</v>
      </c>
      <c r="AA1879" s="182" t="n">
        <v>0</v>
      </c>
      <c r="AB1879" s="182" t="n">
        <v>0</v>
      </c>
      <c r="AC1879" s="182" t="n">
        <v>0</v>
      </c>
      <c r="AD1879" s="182" t="n">
        <v>0</v>
      </c>
      <c r="AE1879" s="182" t="n">
        <v>0</v>
      </c>
      <c r="AF1879" s="182" t="n">
        <v>0</v>
      </c>
      <c r="AG1879" s="182" t="n">
        <v>0</v>
      </c>
      <c r="AH1879" s="182" t="n">
        <v>0</v>
      </c>
      <c r="AI1879" s="182" t="n">
        <v>0</v>
      </c>
      <c r="AJ1879" s="182" t="n">
        <v>0</v>
      </c>
      <c r="AK1879" s="182" t="n">
        <v>9.619999999999999</v>
      </c>
      <c r="AL1879" s="182" t="n">
        <v>0</v>
      </c>
      <c r="AM1879" s="182" t="n">
        <v>0.08</v>
      </c>
      <c r="AN1879" s="182" t="n">
        <v>0</v>
      </c>
    </row>
    <row r="1880">
      <c r="A1880" s="155" t="n">
        <v>46090</v>
      </c>
      <c r="B1880" s="156" t="inlineStr">
        <is>
          <t>NS</t>
        </is>
      </c>
      <c r="C1880" s="156" t="inlineStr">
        <is>
          <t>DZ-035</t>
        </is>
      </c>
      <c r="D1880" s="156" t="inlineStr">
        <is>
          <t>D 85 ESS-2</t>
        </is>
      </c>
      <c r="E1880" s="156" t="inlineStr">
        <is>
          <t>Bulldozer</t>
        </is>
      </c>
      <c r="F1880" s="156" t="inlineStr"/>
      <c r="G1880" s="182" t="n">
        <v>0</v>
      </c>
      <c r="H1880" s="182" t="n">
        <v>0</v>
      </c>
      <c r="I1880" s="182" t="n">
        <v>12</v>
      </c>
      <c r="J1880" s="182" t="n">
        <v>12</v>
      </c>
      <c r="K1880" s="182" t="n">
        <v>0</v>
      </c>
      <c r="L1880" s="182" t="n">
        <v>12</v>
      </c>
      <c r="M1880" s="182" t="n">
        <v>0</v>
      </c>
      <c r="N1880" s="182" t="n">
        <v>0</v>
      </c>
      <c r="O1880" s="183" t="n">
        <v>0</v>
      </c>
      <c r="P1880" s="183" t="n">
        <v>0</v>
      </c>
      <c r="Q1880" s="184" t="n">
        <v>0</v>
      </c>
      <c r="R1880" s="184" t="n">
        <v>0</v>
      </c>
      <c r="S1880" s="183" t="n">
        <v>0</v>
      </c>
      <c r="T1880" s="183" t="n">
        <v>0</v>
      </c>
      <c r="U1880" s="182" t="n">
        <v>0</v>
      </c>
      <c r="V1880" s="182" t="n">
        <v>0</v>
      </c>
      <c r="W1880" s="182" t="n">
        <v>0</v>
      </c>
      <c r="X1880" s="182" t="n">
        <v>0</v>
      </c>
      <c r="Y1880" s="182" t="n">
        <v>0</v>
      </c>
      <c r="Z1880" s="182" t="n">
        <v>0</v>
      </c>
      <c r="AA1880" s="182" t="n">
        <v>0</v>
      </c>
      <c r="AB1880" s="182" t="n">
        <v>0</v>
      </c>
      <c r="AC1880" s="182" t="n">
        <v>0</v>
      </c>
      <c r="AD1880" s="182" t="n">
        <v>0</v>
      </c>
      <c r="AE1880" s="182" t="n">
        <v>0</v>
      </c>
      <c r="AF1880" s="182" t="n">
        <v>0</v>
      </c>
      <c r="AG1880" s="182" t="n">
        <v>0</v>
      </c>
      <c r="AH1880" s="182" t="n">
        <v>0</v>
      </c>
      <c r="AI1880" s="182" t="n">
        <v>0</v>
      </c>
      <c r="AJ1880" s="182" t="n">
        <v>0</v>
      </c>
      <c r="AK1880" s="182" t="n">
        <v>0</v>
      </c>
      <c r="AL1880" s="182" t="n">
        <v>0</v>
      </c>
      <c r="AM1880" s="182" t="n">
        <v>0</v>
      </c>
      <c r="AN1880" s="182" t="n">
        <v>0</v>
      </c>
    </row>
    <row r="1881">
      <c r="A1881" s="155" t="n">
        <v>46090</v>
      </c>
      <c r="B1881" s="156" t="inlineStr">
        <is>
          <t>NS</t>
        </is>
      </c>
      <c r="C1881" s="156" t="inlineStr">
        <is>
          <t>CP-042</t>
        </is>
      </c>
      <c r="D1881" s="156" t="inlineStr">
        <is>
          <t>SANY - Compactor</t>
        </is>
      </c>
      <c r="E1881" s="156" t="inlineStr">
        <is>
          <t>Compactor</t>
        </is>
      </c>
      <c r="F1881" s="156" t="inlineStr"/>
      <c r="G1881" s="182" t="n">
        <v>0</v>
      </c>
      <c r="H1881" s="182" t="n">
        <v>0</v>
      </c>
      <c r="I1881" s="182" t="n">
        <v>0</v>
      </c>
      <c r="J1881" s="182" t="n">
        <v>0</v>
      </c>
      <c r="K1881" s="182" t="n">
        <v>12</v>
      </c>
      <c r="L1881" s="182" t="n">
        <v>12</v>
      </c>
      <c r="M1881" s="182" t="n">
        <v>0</v>
      </c>
      <c r="N1881" s="182" t="n">
        <v>0</v>
      </c>
      <c r="O1881" s="183" t="n">
        <v>0</v>
      </c>
      <c r="P1881" s="183" t="n">
        <v>0</v>
      </c>
      <c r="Q1881" s="184" t="n">
        <v>0</v>
      </c>
      <c r="R1881" s="184" t="n">
        <v>0</v>
      </c>
      <c r="S1881" s="183" t="n">
        <v>0</v>
      </c>
      <c r="T1881" s="183" t="n">
        <v>0</v>
      </c>
      <c r="U1881" s="182" t="n">
        <v>0</v>
      </c>
      <c r="V1881" s="182" t="n">
        <v>0</v>
      </c>
      <c r="W1881" s="182" t="n">
        <v>0</v>
      </c>
      <c r="X1881" s="182" t="n">
        <v>1</v>
      </c>
      <c r="Y1881" s="182" t="n">
        <v>0</v>
      </c>
      <c r="Z1881" s="182" t="n">
        <v>0</v>
      </c>
      <c r="AA1881" s="182" t="n">
        <v>0</v>
      </c>
      <c r="AB1881" s="182" t="n">
        <v>0</v>
      </c>
      <c r="AC1881" s="182" t="n">
        <v>0</v>
      </c>
      <c r="AD1881" s="182" t="n">
        <v>0</v>
      </c>
      <c r="AE1881" s="182" t="n">
        <v>0</v>
      </c>
      <c r="AF1881" s="182" t="n">
        <v>0</v>
      </c>
      <c r="AG1881" s="182" t="n">
        <v>0</v>
      </c>
      <c r="AH1881" s="182" t="n">
        <v>0</v>
      </c>
      <c r="AI1881" s="182" t="n">
        <v>0</v>
      </c>
      <c r="AJ1881" s="182" t="n">
        <v>0</v>
      </c>
      <c r="AK1881" s="182" t="n">
        <v>10.92</v>
      </c>
      <c r="AL1881" s="182" t="n">
        <v>0</v>
      </c>
      <c r="AM1881" s="182" t="n">
        <v>0.08</v>
      </c>
      <c r="AN1881" s="182" t="n">
        <v>0</v>
      </c>
    </row>
    <row r="1882">
      <c r="A1882" s="155" t="n">
        <v>46090</v>
      </c>
      <c r="B1882" s="156" t="inlineStr">
        <is>
          <t>NS</t>
        </is>
      </c>
      <c r="C1882" s="156" t="inlineStr">
        <is>
          <t>CP-041</t>
        </is>
      </c>
      <c r="D1882" s="156" t="inlineStr">
        <is>
          <t>SANY - Compactor</t>
        </is>
      </c>
      <c r="E1882" s="156" t="inlineStr">
        <is>
          <t>Compactor</t>
        </is>
      </c>
      <c r="F1882" s="156" t="inlineStr"/>
      <c r="G1882" s="182" t="n">
        <v>0</v>
      </c>
      <c r="H1882" s="182" t="n">
        <v>0</v>
      </c>
      <c r="I1882" s="182" t="n">
        <v>0</v>
      </c>
      <c r="J1882" s="182" t="n">
        <v>0</v>
      </c>
      <c r="K1882" s="182" t="n">
        <v>12</v>
      </c>
      <c r="L1882" s="182" t="n">
        <v>12</v>
      </c>
      <c r="M1882" s="182" t="n">
        <v>0</v>
      </c>
      <c r="N1882" s="182" t="n">
        <v>0</v>
      </c>
      <c r="O1882" s="183" t="n">
        <v>0</v>
      </c>
      <c r="P1882" s="183" t="n">
        <v>0</v>
      </c>
      <c r="Q1882" s="184" t="n">
        <v>0</v>
      </c>
      <c r="R1882" s="184" t="n">
        <v>0</v>
      </c>
      <c r="S1882" s="183" t="n">
        <v>0</v>
      </c>
      <c r="T1882" s="183" t="n">
        <v>0</v>
      </c>
      <c r="U1882" s="182" t="n">
        <v>0</v>
      </c>
      <c r="V1882" s="182" t="n">
        <v>0</v>
      </c>
      <c r="W1882" s="182" t="n">
        <v>0</v>
      </c>
      <c r="X1882" s="182" t="n">
        <v>1</v>
      </c>
      <c r="Y1882" s="182" t="n">
        <v>0</v>
      </c>
      <c r="Z1882" s="182" t="n">
        <v>0</v>
      </c>
      <c r="AA1882" s="182" t="n">
        <v>0</v>
      </c>
      <c r="AB1882" s="182" t="n">
        <v>0</v>
      </c>
      <c r="AC1882" s="182" t="n">
        <v>0</v>
      </c>
      <c r="AD1882" s="182" t="n">
        <v>0</v>
      </c>
      <c r="AE1882" s="182" t="n">
        <v>10.92</v>
      </c>
      <c r="AF1882" s="182" t="n">
        <v>0</v>
      </c>
      <c r="AG1882" s="182" t="n">
        <v>0</v>
      </c>
      <c r="AH1882" s="182" t="n">
        <v>0</v>
      </c>
      <c r="AI1882" s="182" t="n">
        <v>0</v>
      </c>
      <c r="AJ1882" s="182" t="n">
        <v>0</v>
      </c>
      <c r="AK1882" s="182" t="n">
        <v>0</v>
      </c>
      <c r="AL1882" s="182" t="n">
        <v>0</v>
      </c>
      <c r="AM1882" s="182" t="n">
        <v>0.08</v>
      </c>
      <c r="AN1882" s="182" t="n">
        <v>0</v>
      </c>
    </row>
    <row r="1883">
      <c r="A1883" s="155" t="n">
        <v>46090</v>
      </c>
      <c r="B1883" s="156" t="inlineStr">
        <is>
          <t>NS</t>
        </is>
      </c>
      <c r="C1883" s="156" t="inlineStr">
        <is>
          <t>HT-418</t>
        </is>
      </c>
      <c r="D1883" s="156" t="inlineStr">
        <is>
          <t>SY430</t>
        </is>
      </c>
      <c r="E1883" s="156" t="inlineStr">
        <is>
          <t>DT Hauling</t>
        </is>
      </c>
      <c r="F1883" s="156" t="inlineStr"/>
      <c r="G1883" s="182" t="n">
        <v>0</v>
      </c>
      <c r="H1883" s="182" t="n">
        <v>0</v>
      </c>
      <c r="I1883" s="182" t="n">
        <v>0</v>
      </c>
      <c r="J1883" s="182" t="n">
        <v>0</v>
      </c>
      <c r="K1883" s="182" t="n">
        <v>12</v>
      </c>
      <c r="L1883" s="182" t="n">
        <v>12</v>
      </c>
      <c r="M1883" s="182" t="n">
        <v>0</v>
      </c>
      <c r="N1883" s="182" t="n">
        <v>0</v>
      </c>
      <c r="O1883" s="183" t="n">
        <v>0</v>
      </c>
      <c r="P1883" s="183" t="n">
        <v>0</v>
      </c>
      <c r="Q1883" s="184" t="n">
        <v>0</v>
      </c>
      <c r="R1883" s="184" t="n">
        <v>0</v>
      </c>
      <c r="S1883" s="183" t="n">
        <v>0</v>
      </c>
      <c r="T1883" s="183" t="n">
        <v>0</v>
      </c>
      <c r="U1883" s="182" t="n">
        <v>0</v>
      </c>
      <c r="V1883" s="182" t="n">
        <v>0</v>
      </c>
      <c r="W1883" s="182" t="n">
        <v>0</v>
      </c>
      <c r="X1883" s="182" t="n">
        <v>1</v>
      </c>
      <c r="Y1883" s="182" t="n">
        <v>0</v>
      </c>
      <c r="Z1883" s="182" t="n">
        <v>0</v>
      </c>
      <c r="AA1883" s="182" t="n">
        <v>0</v>
      </c>
      <c r="AB1883" s="182" t="n">
        <v>0</v>
      </c>
      <c r="AC1883" s="182" t="n">
        <v>0</v>
      </c>
      <c r="AD1883" s="182" t="n">
        <v>0</v>
      </c>
      <c r="AE1883" s="182" t="n">
        <v>0</v>
      </c>
      <c r="AF1883" s="182" t="n">
        <v>0</v>
      </c>
      <c r="AG1883" s="182" t="n">
        <v>0</v>
      </c>
      <c r="AH1883" s="182" t="n">
        <v>0</v>
      </c>
      <c r="AI1883" s="182" t="n">
        <v>0</v>
      </c>
      <c r="AJ1883" s="182" t="n">
        <v>0</v>
      </c>
      <c r="AK1883" s="182" t="n">
        <v>10.92</v>
      </c>
      <c r="AL1883" s="182" t="n">
        <v>0</v>
      </c>
      <c r="AM1883" s="182" t="n">
        <v>0.08</v>
      </c>
      <c r="AN1883" s="182" t="n">
        <v>0</v>
      </c>
    </row>
    <row r="1884">
      <c r="A1884" s="155" t="n">
        <v>46090</v>
      </c>
      <c r="B1884" s="156" t="inlineStr">
        <is>
          <t>NS</t>
        </is>
      </c>
      <c r="C1884" s="156" t="inlineStr">
        <is>
          <t>HT-404</t>
        </is>
      </c>
      <c r="D1884" s="156" t="inlineStr">
        <is>
          <t>SY430</t>
        </is>
      </c>
      <c r="E1884" s="156" t="inlineStr">
        <is>
          <t>DT Hauling</t>
        </is>
      </c>
      <c r="F1884" s="156" t="inlineStr"/>
      <c r="G1884" s="182" t="n">
        <v>0</v>
      </c>
      <c r="H1884" s="182" t="n">
        <v>0</v>
      </c>
      <c r="I1884" s="182" t="n">
        <v>12</v>
      </c>
      <c r="J1884" s="182" t="n">
        <v>12</v>
      </c>
      <c r="K1884" s="182" t="n">
        <v>0</v>
      </c>
      <c r="L1884" s="182" t="n">
        <v>12</v>
      </c>
      <c r="M1884" s="182" t="n">
        <v>0</v>
      </c>
      <c r="N1884" s="182" t="n">
        <v>0</v>
      </c>
      <c r="O1884" s="183" t="n">
        <v>0</v>
      </c>
      <c r="P1884" s="183" t="n">
        <v>0</v>
      </c>
      <c r="Q1884" s="184" t="n">
        <v>0</v>
      </c>
      <c r="R1884" s="184" t="n">
        <v>0</v>
      </c>
      <c r="S1884" s="183" t="n">
        <v>0</v>
      </c>
      <c r="T1884" s="183" t="n">
        <v>0</v>
      </c>
      <c r="U1884" s="182" t="n">
        <v>0</v>
      </c>
      <c r="V1884" s="182" t="n">
        <v>0</v>
      </c>
      <c r="W1884" s="182" t="n">
        <v>0</v>
      </c>
      <c r="X1884" s="182" t="n">
        <v>0</v>
      </c>
      <c r="Y1884" s="182" t="n">
        <v>0</v>
      </c>
      <c r="Z1884" s="182" t="n">
        <v>0</v>
      </c>
      <c r="AA1884" s="182" t="n">
        <v>0</v>
      </c>
      <c r="AB1884" s="182" t="n">
        <v>0</v>
      </c>
      <c r="AC1884" s="182" t="n">
        <v>0</v>
      </c>
      <c r="AD1884" s="182" t="n">
        <v>0</v>
      </c>
      <c r="AE1884" s="182" t="n">
        <v>0</v>
      </c>
      <c r="AF1884" s="182" t="n">
        <v>0</v>
      </c>
      <c r="AG1884" s="182" t="n">
        <v>0</v>
      </c>
      <c r="AH1884" s="182" t="n">
        <v>0</v>
      </c>
      <c r="AI1884" s="182" t="n">
        <v>0</v>
      </c>
      <c r="AJ1884" s="182" t="n">
        <v>0</v>
      </c>
      <c r="AK1884" s="182" t="n">
        <v>0</v>
      </c>
      <c r="AL1884" s="182" t="n">
        <v>0</v>
      </c>
      <c r="AM1884" s="182" t="n">
        <v>0</v>
      </c>
      <c r="AN1884" s="182" t="n">
        <v>0</v>
      </c>
    </row>
    <row r="1885">
      <c r="A1885" s="155" t="n">
        <v>46090</v>
      </c>
      <c r="B1885" s="156" t="inlineStr">
        <is>
          <t>NS</t>
        </is>
      </c>
      <c r="C1885" s="156" t="inlineStr">
        <is>
          <t>HT-415</t>
        </is>
      </c>
      <c r="D1885" s="156" t="inlineStr">
        <is>
          <t>SY430</t>
        </is>
      </c>
      <c r="E1885" s="156" t="inlineStr">
        <is>
          <t>DT Hauling</t>
        </is>
      </c>
      <c r="F1885" s="156" t="inlineStr"/>
      <c r="G1885" s="182" t="n">
        <v>0</v>
      </c>
      <c r="H1885" s="182" t="n">
        <v>0</v>
      </c>
      <c r="I1885" s="182" t="n">
        <v>12</v>
      </c>
      <c r="J1885" s="182" t="n">
        <v>12</v>
      </c>
      <c r="K1885" s="182" t="n">
        <v>0</v>
      </c>
      <c r="L1885" s="182" t="n">
        <v>12</v>
      </c>
      <c r="M1885" s="182" t="n">
        <v>0</v>
      </c>
      <c r="N1885" s="182" t="n">
        <v>0</v>
      </c>
      <c r="O1885" s="183" t="n">
        <v>0</v>
      </c>
      <c r="P1885" s="183" t="n">
        <v>0</v>
      </c>
      <c r="Q1885" s="184" t="n">
        <v>0</v>
      </c>
      <c r="R1885" s="184" t="n">
        <v>0</v>
      </c>
      <c r="S1885" s="183" t="n">
        <v>0</v>
      </c>
      <c r="T1885" s="183" t="n">
        <v>0</v>
      </c>
      <c r="U1885" s="182" t="n">
        <v>0</v>
      </c>
      <c r="V1885" s="182" t="n">
        <v>0</v>
      </c>
      <c r="W1885" s="182" t="n">
        <v>0</v>
      </c>
      <c r="X1885" s="182" t="n">
        <v>0</v>
      </c>
      <c r="Y1885" s="182" t="n">
        <v>0</v>
      </c>
      <c r="Z1885" s="182" t="n">
        <v>0</v>
      </c>
      <c r="AA1885" s="182" t="n">
        <v>0</v>
      </c>
      <c r="AB1885" s="182" t="n">
        <v>0</v>
      </c>
      <c r="AC1885" s="182" t="n">
        <v>0</v>
      </c>
      <c r="AD1885" s="182" t="n">
        <v>0</v>
      </c>
      <c r="AE1885" s="182" t="n">
        <v>0</v>
      </c>
      <c r="AF1885" s="182" t="n">
        <v>0</v>
      </c>
      <c r="AG1885" s="182" t="n">
        <v>0</v>
      </c>
      <c r="AH1885" s="182" t="n">
        <v>0</v>
      </c>
      <c r="AI1885" s="182" t="n">
        <v>0</v>
      </c>
      <c r="AJ1885" s="182" t="n">
        <v>0</v>
      </c>
      <c r="AK1885" s="182" t="n">
        <v>0</v>
      </c>
      <c r="AL1885" s="182" t="n">
        <v>0</v>
      </c>
      <c r="AM1885" s="182" t="n">
        <v>0</v>
      </c>
      <c r="AN1885" s="182" t="n">
        <v>0</v>
      </c>
    </row>
    <row r="1886">
      <c r="A1886" s="155" t="n">
        <v>46090</v>
      </c>
      <c r="B1886" s="156" t="inlineStr">
        <is>
          <t>NS</t>
        </is>
      </c>
      <c r="C1886" s="156" t="inlineStr">
        <is>
          <t>HT-406</t>
        </is>
      </c>
      <c r="D1886" s="156" t="inlineStr">
        <is>
          <t>SY430</t>
        </is>
      </c>
      <c r="E1886" s="156" t="inlineStr">
        <is>
          <t>DT Hauling</t>
        </is>
      </c>
      <c r="F1886" s="156" t="inlineStr"/>
      <c r="G1886" s="182" t="n">
        <v>0</v>
      </c>
      <c r="H1886" s="182" t="n">
        <v>0</v>
      </c>
      <c r="I1886" s="182" t="n">
        <v>12</v>
      </c>
      <c r="J1886" s="182" t="n">
        <v>12</v>
      </c>
      <c r="K1886" s="182" t="n">
        <v>0</v>
      </c>
      <c r="L1886" s="182" t="n">
        <v>12</v>
      </c>
      <c r="M1886" s="182" t="n">
        <v>0</v>
      </c>
      <c r="N1886" s="182" t="n">
        <v>0</v>
      </c>
      <c r="O1886" s="183" t="n">
        <v>0</v>
      </c>
      <c r="P1886" s="183" t="n">
        <v>0</v>
      </c>
      <c r="Q1886" s="184" t="n">
        <v>0</v>
      </c>
      <c r="R1886" s="184" t="n">
        <v>0</v>
      </c>
      <c r="S1886" s="183" t="n">
        <v>0</v>
      </c>
      <c r="T1886" s="183" t="n">
        <v>0</v>
      </c>
      <c r="U1886" s="182" t="n">
        <v>0</v>
      </c>
      <c r="V1886" s="182" t="n">
        <v>0</v>
      </c>
      <c r="W1886" s="182" t="n">
        <v>0</v>
      </c>
      <c r="X1886" s="182" t="n">
        <v>0</v>
      </c>
      <c r="Y1886" s="182" t="n">
        <v>0</v>
      </c>
      <c r="Z1886" s="182" t="n">
        <v>0</v>
      </c>
      <c r="AA1886" s="182" t="n">
        <v>0</v>
      </c>
      <c r="AB1886" s="182" t="n">
        <v>0</v>
      </c>
      <c r="AC1886" s="182" t="n">
        <v>0</v>
      </c>
      <c r="AD1886" s="182" t="n">
        <v>0</v>
      </c>
      <c r="AE1886" s="182" t="n">
        <v>0</v>
      </c>
      <c r="AF1886" s="182" t="n">
        <v>0</v>
      </c>
      <c r="AG1886" s="182" t="n">
        <v>0</v>
      </c>
      <c r="AH1886" s="182" t="n">
        <v>0</v>
      </c>
      <c r="AI1886" s="182" t="n">
        <v>0</v>
      </c>
      <c r="AJ1886" s="182" t="n">
        <v>0</v>
      </c>
      <c r="AK1886" s="182" t="n">
        <v>0</v>
      </c>
      <c r="AL1886" s="182" t="n">
        <v>0</v>
      </c>
      <c r="AM1886" s="182" t="n">
        <v>0</v>
      </c>
      <c r="AN1886" s="182" t="n">
        <v>0</v>
      </c>
    </row>
    <row r="1887">
      <c r="A1887" s="155" t="n">
        <v>46090</v>
      </c>
      <c r="B1887" s="156" t="inlineStr">
        <is>
          <t>NS</t>
        </is>
      </c>
      <c r="C1887" s="156" t="inlineStr">
        <is>
          <t>HT-405</t>
        </is>
      </c>
      <c r="D1887" s="156" t="inlineStr">
        <is>
          <t>SY430</t>
        </is>
      </c>
      <c r="E1887" s="156" t="inlineStr">
        <is>
          <t>DT Hauling</t>
        </is>
      </c>
      <c r="F1887" s="156" t="inlineStr"/>
      <c r="G1887" s="182" t="n">
        <v>0</v>
      </c>
      <c r="H1887" s="182" t="n">
        <v>0</v>
      </c>
      <c r="I1887" s="182" t="n">
        <v>0</v>
      </c>
      <c r="J1887" s="182" t="n">
        <v>0</v>
      </c>
      <c r="K1887" s="182" t="n">
        <v>12</v>
      </c>
      <c r="L1887" s="182" t="n">
        <v>12</v>
      </c>
      <c r="M1887" s="182" t="n">
        <v>0</v>
      </c>
      <c r="N1887" s="182" t="n">
        <v>0</v>
      </c>
      <c r="O1887" s="183" t="n">
        <v>0</v>
      </c>
      <c r="P1887" s="183" t="n">
        <v>0</v>
      </c>
      <c r="Q1887" s="184" t="n">
        <v>0</v>
      </c>
      <c r="R1887" s="184" t="n">
        <v>0</v>
      </c>
      <c r="S1887" s="183" t="n">
        <v>0</v>
      </c>
      <c r="T1887" s="183" t="n">
        <v>0</v>
      </c>
      <c r="U1887" s="182" t="n">
        <v>0</v>
      </c>
      <c r="V1887" s="182" t="n">
        <v>0</v>
      </c>
      <c r="W1887" s="182" t="n">
        <v>0</v>
      </c>
      <c r="X1887" s="182" t="n">
        <v>1</v>
      </c>
      <c r="Y1887" s="182" t="n">
        <v>0</v>
      </c>
      <c r="Z1887" s="182" t="n">
        <v>0</v>
      </c>
      <c r="AA1887" s="182" t="n">
        <v>0</v>
      </c>
      <c r="AB1887" s="182" t="n">
        <v>0</v>
      </c>
      <c r="AC1887" s="182" t="n">
        <v>0</v>
      </c>
      <c r="AD1887" s="182" t="n">
        <v>0</v>
      </c>
      <c r="AE1887" s="182" t="n">
        <v>0</v>
      </c>
      <c r="AF1887" s="182" t="n">
        <v>0</v>
      </c>
      <c r="AG1887" s="182" t="n">
        <v>0</v>
      </c>
      <c r="AH1887" s="182" t="n">
        <v>0</v>
      </c>
      <c r="AI1887" s="182" t="n">
        <v>0</v>
      </c>
      <c r="AJ1887" s="182" t="n">
        <v>0</v>
      </c>
      <c r="AK1887" s="182" t="n">
        <v>10.92</v>
      </c>
      <c r="AL1887" s="182" t="n">
        <v>0</v>
      </c>
      <c r="AM1887" s="182" t="n">
        <v>0.08</v>
      </c>
      <c r="AN1887" s="182" t="n">
        <v>0</v>
      </c>
    </row>
    <row r="1888">
      <c r="A1888" s="155" t="n">
        <v>46090</v>
      </c>
      <c r="B1888" s="156" t="inlineStr">
        <is>
          <t>NS</t>
        </is>
      </c>
      <c r="C1888" s="156" t="inlineStr">
        <is>
          <t>HT-417</t>
        </is>
      </c>
      <c r="D1888" s="156" t="inlineStr">
        <is>
          <t>SY430</t>
        </is>
      </c>
      <c r="E1888" s="156" t="inlineStr">
        <is>
          <t>DT Hauling</t>
        </is>
      </c>
      <c r="F1888" s="156" t="inlineStr"/>
      <c r="G1888" s="182" t="n">
        <v>0</v>
      </c>
      <c r="H1888" s="182" t="n">
        <v>0</v>
      </c>
      <c r="I1888" s="182" t="n">
        <v>0</v>
      </c>
      <c r="J1888" s="182" t="n">
        <v>0</v>
      </c>
      <c r="K1888" s="182" t="n">
        <v>12</v>
      </c>
      <c r="L1888" s="182" t="n">
        <v>12</v>
      </c>
      <c r="M1888" s="182" t="n">
        <v>0</v>
      </c>
      <c r="N1888" s="182" t="n">
        <v>0</v>
      </c>
      <c r="O1888" s="183" t="n">
        <v>0</v>
      </c>
      <c r="P1888" s="183" t="n">
        <v>0</v>
      </c>
      <c r="Q1888" s="184" t="n">
        <v>0</v>
      </c>
      <c r="R1888" s="184" t="n">
        <v>0</v>
      </c>
      <c r="S1888" s="183" t="n">
        <v>0</v>
      </c>
      <c r="T1888" s="183" t="n">
        <v>0</v>
      </c>
      <c r="U1888" s="182" t="n">
        <v>0</v>
      </c>
      <c r="V1888" s="182" t="n">
        <v>0</v>
      </c>
      <c r="W1888" s="182" t="n">
        <v>0</v>
      </c>
      <c r="X1888" s="182" t="n">
        <v>1</v>
      </c>
      <c r="Y1888" s="182" t="n">
        <v>0</v>
      </c>
      <c r="Z1888" s="182" t="n">
        <v>0</v>
      </c>
      <c r="AA1888" s="182" t="n">
        <v>0</v>
      </c>
      <c r="AB1888" s="182" t="n">
        <v>0</v>
      </c>
      <c r="AC1888" s="182" t="n">
        <v>0</v>
      </c>
      <c r="AD1888" s="182" t="n">
        <v>0</v>
      </c>
      <c r="AE1888" s="182" t="n">
        <v>0</v>
      </c>
      <c r="AF1888" s="182" t="n">
        <v>0</v>
      </c>
      <c r="AG1888" s="182" t="n">
        <v>0</v>
      </c>
      <c r="AH1888" s="182" t="n">
        <v>0</v>
      </c>
      <c r="AI1888" s="182" t="n">
        <v>0</v>
      </c>
      <c r="AJ1888" s="182" t="n">
        <v>0</v>
      </c>
      <c r="AK1888" s="182" t="n">
        <v>10.92</v>
      </c>
      <c r="AL1888" s="182" t="n">
        <v>0</v>
      </c>
      <c r="AM1888" s="182" t="n">
        <v>0.08</v>
      </c>
      <c r="AN1888" s="182" t="n">
        <v>0</v>
      </c>
    </row>
    <row r="1889">
      <c r="A1889" s="155" t="n">
        <v>46090</v>
      </c>
      <c r="B1889" s="156" t="inlineStr">
        <is>
          <t>NS</t>
        </is>
      </c>
      <c r="C1889" s="156" t="inlineStr">
        <is>
          <t>HT-401</t>
        </is>
      </c>
      <c r="D1889" s="156" t="inlineStr">
        <is>
          <t>SY430</t>
        </is>
      </c>
      <c r="E1889" s="156" t="inlineStr">
        <is>
          <t>DT Hauling</t>
        </is>
      </c>
      <c r="F1889" s="156" t="inlineStr"/>
      <c r="G1889" s="182" t="n">
        <v>0</v>
      </c>
      <c r="H1889" s="182" t="n">
        <v>0</v>
      </c>
      <c r="I1889" s="182" t="n">
        <v>0</v>
      </c>
      <c r="J1889" s="182" t="n">
        <v>0</v>
      </c>
      <c r="K1889" s="182" t="n">
        <v>12</v>
      </c>
      <c r="L1889" s="182" t="n">
        <v>12</v>
      </c>
      <c r="M1889" s="182" t="n">
        <v>0</v>
      </c>
      <c r="N1889" s="182" t="n">
        <v>0</v>
      </c>
      <c r="O1889" s="183" t="n">
        <v>0</v>
      </c>
      <c r="P1889" s="183" t="n">
        <v>0</v>
      </c>
      <c r="Q1889" s="184" t="n">
        <v>0</v>
      </c>
      <c r="R1889" s="184" t="n">
        <v>0</v>
      </c>
      <c r="S1889" s="183" t="n">
        <v>0</v>
      </c>
      <c r="T1889" s="183" t="n">
        <v>0</v>
      </c>
      <c r="U1889" s="182" t="n">
        <v>0</v>
      </c>
      <c r="V1889" s="182" t="n">
        <v>0</v>
      </c>
      <c r="W1889" s="182" t="n">
        <v>0</v>
      </c>
      <c r="X1889" s="182" t="n">
        <v>1</v>
      </c>
      <c r="Y1889" s="182" t="n">
        <v>0</v>
      </c>
      <c r="Z1889" s="182" t="n">
        <v>0</v>
      </c>
      <c r="AA1889" s="182" t="n">
        <v>0</v>
      </c>
      <c r="AB1889" s="182" t="n">
        <v>0</v>
      </c>
      <c r="AC1889" s="182" t="n">
        <v>0</v>
      </c>
      <c r="AD1889" s="182" t="n">
        <v>0</v>
      </c>
      <c r="AE1889" s="182" t="n">
        <v>0</v>
      </c>
      <c r="AF1889" s="182" t="n">
        <v>0</v>
      </c>
      <c r="AG1889" s="182" t="n">
        <v>0</v>
      </c>
      <c r="AH1889" s="182" t="n">
        <v>0</v>
      </c>
      <c r="AI1889" s="182" t="n">
        <v>0</v>
      </c>
      <c r="AJ1889" s="182" t="n">
        <v>0</v>
      </c>
      <c r="AK1889" s="182" t="n">
        <v>10.92</v>
      </c>
      <c r="AL1889" s="182" t="n">
        <v>0</v>
      </c>
      <c r="AM1889" s="182" t="n">
        <v>0.08</v>
      </c>
      <c r="AN1889" s="182" t="n">
        <v>0</v>
      </c>
    </row>
    <row r="1890">
      <c r="A1890" s="155" t="n">
        <v>46090</v>
      </c>
      <c r="B1890" s="156" t="inlineStr">
        <is>
          <t>NS</t>
        </is>
      </c>
      <c r="C1890" s="156" t="inlineStr">
        <is>
          <t>HT-410</t>
        </is>
      </c>
      <c r="D1890" s="156" t="inlineStr">
        <is>
          <t>SY430</t>
        </is>
      </c>
      <c r="E1890" s="156" t="inlineStr">
        <is>
          <t>DT Hauling</t>
        </is>
      </c>
      <c r="F1890" s="156" t="inlineStr"/>
      <c r="G1890" s="182" t="n">
        <v>0</v>
      </c>
      <c r="H1890" s="182" t="n">
        <v>0</v>
      </c>
      <c r="I1890" s="182" t="n">
        <v>0</v>
      </c>
      <c r="J1890" s="182" t="n">
        <v>0</v>
      </c>
      <c r="K1890" s="182" t="n">
        <v>12</v>
      </c>
      <c r="L1890" s="182" t="n">
        <v>12</v>
      </c>
      <c r="M1890" s="182" t="n">
        <v>0</v>
      </c>
      <c r="N1890" s="182" t="n">
        <v>0</v>
      </c>
      <c r="O1890" s="183" t="n">
        <v>0</v>
      </c>
      <c r="P1890" s="183" t="n">
        <v>0</v>
      </c>
      <c r="Q1890" s="184" t="n">
        <v>0</v>
      </c>
      <c r="R1890" s="184" t="n">
        <v>0</v>
      </c>
      <c r="S1890" s="183" t="n">
        <v>0</v>
      </c>
      <c r="T1890" s="183" t="n">
        <v>0</v>
      </c>
      <c r="U1890" s="182" t="n">
        <v>0</v>
      </c>
      <c r="V1890" s="182" t="n">
        <v>0</v>
      </c>
      <c r="W1890" s="182" t="n">
        <v>0</v>
      </c>
      <c r="X1890" s="182" t="n">
        <v>1</v>
      </c>
      <c r="Y1890" s="182" t="n">
        <v>0</v>
      </c>
      <c r="Z1890" s="182" t="n">
        <v>0</v>
      </c>
      <c r="AA1890" s="182" t="n">
        <v>0</v>
      </c>
      <c r="AB1890" s="182" t="n">
        <v>0</v>
      </c>
      <c r="AC1890" s="182" t="n">
        <v>0</v>
      </c>
      <c r="AD1890" s="182" t="n">
        <v>0</v>
      </c>
      <c r="AE1890" s="182" t="n">
        <v>0</v>
      </c>
      <c r="AF1890" s="182" t="n">
        <v>0</v>
      </c>
      <c r="AG1890" s="182" t="n">
        <v>0</v>
      </c>
      <c r="AH1890" s="182" t="n">
        <v>0</v>
      </c>
      <c r="AI1890" s="182" t="n">
        <v>0</v>
      </c>
      <c r="AJ1890" s="182" t="n">
        <v>0</v>
      </c>
      <c r="AK1890" s="182" t="n">
        <v>10.92</v>
      </c>
      <c r="AL1890" s="182" t="n">
        <v>0</v>
      </c>
      <c r="AM1890" s="182" t="n">
        <v>0.08</v>
      </c>
      <c r="AN1890" s="182" t="n">
        <v>0</v>
      </c>
    </row>
    <row r="1891">
      <c r="A1891" s="155" t="n">
        <v>46090</v>
      </c>
      <c r="B1891" s="156" t="inlineStr">
        <is>
          <t>NS</t>
        </is>
      </c>
      <c r="C1891" s="156" t="inlineStr">
        <is>
          <t>HT-402</t>
        </is>
      </c>
      <c r="D1891" s="156" t="inlineStr">
        <is>
          <t>SY430</t>
        </is>
      </c>
      <c r="E1891" s="156" t="inlineStr">
        <is>
          <t>DT Hauling</t>
        </is>
      </c>
      <c r="F1891" s="156" t="inlineStr"/>
      <c r="G1891" s="182" t="n">
        <v>0</v>
      </c>
      <c r="H1891" s="182" t="n">
        <v>0</v>
      </c>
      <c r="I1891" s="182" t="n">
        <v>12</v>
      </c>
      <c r="J1891" s="182" t="n">
        <v>12</v>
      </c>
      <c r="K1891" s="182" t="n">
        <v>0</v>
      </c>
      <c r="L1891" s="182" t="n">
        <v>12</v>
      </c>
      <c r="M1891" s="182" t="n">
        <v>0</v>
      </c>
      <c r="N1891" s="182" t="n">
        <v>0</v>
      </c>
      <c r="O1891" s="183" t="n">
        <v>0</v>
      </c>
      <c r="P1891" s="183" t="n">
        <v>0</v>
      </c>
      <c r="Q1891" s="184" t="n">
        <v>0</v>
      </c>
      <c r="R1891" s="184" t="n">
        <v>0</v>
      </c>
      <c r="S1891" s="183" t="n">
        <v>0</v>
      </c>
      <c r="T1891" s="183" t="n">
        <v>0</v>
      </c>
      <c r="U1891" s="182" t="n">
        <v>0</v>
      </c>
      <c r="V1891" s="182" t="n">
        <v>0</v>
      </c>
      <c r="W1891" s="182" t="n">
        <v>0</v>
      </c>
      <c r="X1891" s="182" t="n">
        <v>0</v>
      </c>
      <c r="Y1891" s="182" t="n">
        <v>0</v>
      </c>
      <c r="Z1891" s="182" t="n">
        <v>0</v>
      </c>
      <c r="AA1891" s="182" t="n">
        <v>0</v>
      </c>
      <c r="AB1891" s="182" t="n">
        <v>0</v>
      </c>
      <c r="AC1891" s="182" t="n">
        <v>0</v>
      </c>
      <c r="AD1891" s="182" t="n">
        <v>0</v>
      </c>
      <c r="AE1891" s="182" t="n">
        <v>0</v>
      </c>
      <c r="AF1891" s="182" t="n">
        <v>0</v>
      </c>
      <c r="AG1891" s="182" t="n">
        <v>0</v>
      </c>
      <c r="AH1891" s="182" t="n">
        <v>0</v>
      </c>
      <c r="AI1891" s="182" t="n">
        <v>0</v>
      </c>
      <c r="AJ1891" s="182" t="n">
        <v>0</v>
      </c>
      <c r="AK1891" s="182" t="n">
        <v>0</v>
      </c>
      <c r="AL1891" s="182" t="n">
        <v>0</v>
      </c>
      <c r="AM1891" s="182" t="n">
        <v>0</v>
      </c>
      <c r="AN1891" s="182" t="n">
        <v>0</v>
      </c>
    </row>
    <row r="1892">
      <c r="A1892" s="155" t="n">
        <v>46090</v>
      </c>
      <c r="B1892" s="156" t="inlineStr">
        <is>
          <t>NS</t>
        </is>
      </c>
      <c r="C1892" s="156" t="inlineStr">
        <is>
          <t>HT-419</t>
        </is>
      </c>
      <c r="D1892" s="156" t="inlineStr">
        <is>
          <t>SY430</t>
        </is>
      </c>
      <c r="E1892" s="156" t="inlineStr">
        <is>
          <t>DT Hauling</t>
        </is>
      </c>
      <c r="F1892" s="156" t="inlineStr"/>
      <c r="G1892" s="182" t="n">
        <v>0</v>
      </c>
      <c r="H1892" s="182" t="n">
        <v>0</v>
      </c>
      <c r="I1892" s="182" t="n">
        <v>0</v>
      </c>
      <c r="J1892" s="182" t="n">
        <v>0</v>
      </c>
      <c r="K1892" s="182" t="n">
        <v>12</v>
      </c>
      <c r="L1892" s="182" t="n">
        <v>12</v>
      </c>
      <c r="M1892" s="182" t="n">
        <v>0</v>
      </c>
      <c r="N1892" s="182" t="n">
        <v>0</v>
      </c>
      <c r="O1892" s="183" t="n">
        <v>0</v>
      </c>
      <c r="P1892" s="183" t="n">
        <v>0</v>
      </c>
      <c r="Q1892" s="184" t="n">
        <v>0</v>
      </c>
      <c r="R1892" s="184" t="n">
        <v>0</v>
      </c>
      <c r="S1892" s="183" t="n">
        <v>0</v>
      </c>
      <c r="T1892" s="183" t="n">
        <v>0</v>
      </c>
      <c r="U1892" s="182" t="n">
        <v>0</v>
      </c>
      <c r="V1892" s="182" t="n">
        <v>0</v>
      </c>
      <c r="W1892" s="182" t="n">
        <v>0</v>
      </c>
      <c r="X1892" s="182" t="n">
        <v>1</v>
      </c>
      <c r="Y1892" s="182" t="n">
        <v>0</v>
      </c>
      <c r="Z1892" s="182" t="n">
        <v>0</v>
      </c>
      <c r="AA1892" s="182" t="n">
        <v>0</v>
      </c>
      <c r="AB1892" s="182" t="n">
        <v>0</v>
      </c>
      <c r="AC1892" s="182" t="n">
        <v>0</v>
      </c>
      <c r="AD1892" s="182" t="n">
        <v>0</v>
      </c>
      <c r="AE1892" s="182" t="n">
        <v>0</v>
      </c>
      <c r="AF1892" s="182" t="n">
        <v>0</v>
      </c>
      <c r="AG1892" s="182" t="n">
        <v>0</v>
      </c>
      <c r="AH1892" s="182" t="n">
        <v>0</v>
      </c>
      <c r="AI1892" s="182" t="n">
        <v>0</v>
      </c>
      <c r="AJ1892" s="182" t="n">
        <v>0</v>
      </c>
      <c r="AK1892" s="182" t="n">
        <v>10.92</v>
      </c>
      <c r="AL1892" s="182" t="n">
        <v>0</v>
      </c>
      <c r="AM1892" s="182" t="n">
        <v>0.08</v>
      </c>
      <c r="AN1892" s="182" t="n">
        <v>0</v>
      </c>
    </row>
    <row r="1893">
      <c r="A1893" s="155" t="n">
        <v>46090</v>
      </c>
      <c r="B1893" s="156" t="inlineStr">
        <is>
          <t>NS</t>
        </is>
      </c>
      <c r="C1893" s="156" t="inlineStr">
        <is>
          <t>HT-416</t>
        </is>
      </c>
      <c r="D1893" s="156" t="inlineStr">
        <is>
          <t>SY430</t>
        </is>
      </c>
      <c r="E1893" s="156" t="inlineStr">
        <is>
          <t>DT Hauling</t>
        </is>
      </c>
      <c r="F1893" s="156" t="inlineStr"/>
      <c r="G1893" s="182" t="n">
        <v>0</v>
      </c>
      <c r="H1893" s="182" t="n">
        <v>0</v>
      </c>
      <c r="I1893" s="182" t="n">
        <v>0</v>
      </c>
      <c r="J1893" s="182" t="n">
        <v>0</v>
      </c>
      <c r="K1893" s="182" t="n">
        <v>12</v>
      </c>
      <c r="L1893" s="182" t="n">
        <v>12</v>
      </c>
      <c r="M1893" s="182" t="n">
        <v>0</v>
      </c>
      <c r="N1893" s="182" t="n">
        <v>0</v>
      </c>
      <c r="O1893" s="183" t="n">
        <v>0</v>
      </c>
      <c r="P1893" s="183" t="n">
        <v>0</v>
      </c>
      <c r="Q1893" s="184" t="n">
        <v>0</v>
      </c>
      <c r="R1893" s="184" t="n">
        <v>0</v>
      </c>
      <c r="S1893" s="183" t="n">
        <v>0</v>
      </c>
      <c r="T1893" s="183" t="n">
        <v>0</v>
      </c>
      <c r="U1893" s="182" t="n">
        <v>0</v>
      </c>
      <c r="V1893" s="182" t="n">
        <v>0</v>
      </c>
      <c r="W1893" s="182" t="n">
        <v>0</v>
      </c>
      <c r="X1893" s="182" t="n">
        <v>1</v>
      </c>
      <c r="Y1893" s="182" t="n">
        <v>0</v>
      </c>
      <c r="Z1893" s="182" t="n">
        <v>0</v>
      </c>
      <c r="AA1893" s="182" t="n">
        <v>0</v>
      </c>
      <c r="AB1893" s="182" t="n">
        <v>0</v>
      </c>
      <c r="AC1893" s="182" t="n">
        <v>0</v>
      </c>
      <c r="AD1893" s="182" t="n">
        <v>0</v>
      </c>
      <c r="AE1893" s="182" t="n">
        <v>0</v>
      </c>
      <c r="AF1893" s="182" t="n">
        <v>0</v>
      </c>
      <c r="AG1893" s="182" t="n">
        <v>0</v>
      </c>
      <c r="AH1893" s="182" t="n">
        <v>0</v>
      </c>
      <c r="AI1893" s="182" t="n">
        <v>0</v>
      </c>
      <c r="AJ1893" s="182" t="n">
        <v>0</v>
      </c>
      <c r="AK1893" s="182" t="n">
        <v>10.92</v>
      </c>
      <c r="AL1893" s="182" t="n">
        <v>0</v>
      </c>
      <c r="AM1893" s="182" t="n">
        <v>0.08</v>
      </c>
      <c r="AN1893" s="182" t="n">
        <v>0</v>
      </c>
    </row>
    <row r="1894">
      <c r="A1894" s="155" t="n">
        <v>46090</v>
      </c>
      <c r="B1894" s="156" t="inlineStr">
        <is>
          <t>NS</t>
        </is>
      </c>
      <c r="C1894" s="156" t="inlineStr">
        <is>
          <t>HT-420</t>
        </is>
      </c>
      <c r="D1894" s="156" t="inlineStr">
        <is>
          <t>SY430</t>
        </is>
      </c>
      <c r="E1894" s="156" t="inlineStr">
        <is>
          <t>DT Hauling</t>
        </is>
      </c>
      <c r="F1894" s="156" t="inlineStr"/>
      <c r="G1894" s="182" t="n">
        <v>0</v>
      </c>
      <c r="H1894" s="182" t="n">
        <v>0</v>
      </c>
      <c r="I1894" s="182" t="n">
        <v>0</v>
      </c>
      <c r="J1894" s="182" t="n">
        <v>0</v>
      </c>
      <c r="K1894" s="182" t="n">
        <v>12</v>
      </c>
      <c r="L1894" s="182" t="n">
        <v>12</v>
      </c>
      <c r="M1894" s="182" t="n">
        <v>0</v>
      </c>
      <c r="N1894" s="182" t="n">
        <v>0</v>
      </c>
      <c r="O1894" s="183" t="n">
        <v>0</v>
      </c>
      <c r="P1894" s="183" t="n">
        <v>0</v>
      </c>
      <c r="Q1894" s="184" t="n">
        <v>0</v>
      </c>
      <c r="R1894" s="184" t="n">
        <v>0</v>
      </c>
      <c r="S1894" s="183" t="n">
        <v>0</v>
      </c>
      <c r="T1894" s="183" t="n">
        <v>0</v>
      </c>
      <c r="U1894" s="182" t="n">
        <v>0</v>
      </c>
      <c r="V1894" s="182" t="n">
        <v>0</v>
      </c>
      <c r="W1894" s="182" t="n">
        <v>0</v>
      </c>
      <c r="X1894" s="182" t="n">
        <v>1</v>
      </c>
      <c r="Y1894" s="182" t="n">
        <v>0</v>
      </c>
      <c r="Z1894" s="182" t="n">
        <v>0</v>
      </c>
      <c r="AA1894" s="182" t="n">
        <v>0</v>
      </c>
      <c r="AB1894" s="182" t="n">
        <v>0</v>
      </c>
      <c r="AC1894" s="182" t="n">
        <v>0</v>
      </c>
      <c r="AD1894" s="182" t="n">
        <v>0</v>
      </c>
      <c r="AE1894" s="182" t="n">
        <v>0</v>
      </c>
      <c r="AF1894" s="182" t="n">
        <v>0</v>
      </c>
      <c r="AG1894" s="182" t="n">
        <v>0</v>
      </c>
      <c r="AH1894" s="182" t="n">
        <v>0</v>
      </c>
      <c r="AI1894" s="182" t="n">
        <v>0</v>
      </c>
      <c r="AJ1894" s="182" t="n">
        <v>0</v>
      </c>
      <c r="AK1894" s="182" t="n">
        <v>10.92</v>
      </c>
      <c r="AL1894" s="182" t="n">
        <v>0</v>
      </c>
      <c r="AM1894" s="182" t="n">
        <v>0.08</v>
      </c>
      <c r="AN1894" s="182" t="n">
        <v>0</v>
      </c>
    </row>
    <row r="1895">
      <c r="A1895" s="155" t="n">
        <v>46090</v>
      </c>
      <c r="B1895" s="156" t="inlineStr">
        <is>
          <t>NS</t>
        </is>
      </c>
      <c r="C1895" s="156" t="inlineStr">
        <is>
          <t>HT-403</t>
        </is>
      </c>
      <c r="D1895" s="156" t="inlineStr">
        <is>
          <t>SY430</t>
        </is>
      </c>
      <c r="E1895" s="156" t="inlineStr">
        <is>
          <t>DT Hauling</t>
        </is>
      </c>
      <c r="F1895" s="156" t="inlineStr"/>
      <c r="G1895" s="182" t="n">
        <v>0</v>
      </c>
      <c r="H1895" s="182" t="n">
        <v>0</v>
      </c>
      <c r="I1895" s="182" t="n">
        <v>0</v>
      </c>
      <c r="J1895" s="182" t="n">
        <v>0</v>
      </c>
      <c r="K1895" s="182" t="n">
        <v>12</v>
      </c>
      <c r="L1895" s="182" t="n">
        <v>12</v>
      </c>
      <c r="M1895" s="182" t="n">
        <v>0</v>
      </c>
      <c r="N1895" s="182" t="n">
        <v>0</v>
      </c>
      <c r="O1895" s="183" t="n">
        <v>0</v>
      </c>
      <c r="P1895" s="183" t="n">
        <v>0</v>
      </c>
      <c r="Q1895" s="184" t="n">
        <v>0</v>
      </c>
      <c r="R1895" s="184" t="n">
        <v>0</v>
      </c>
      <c r="S1895" s="183" t="n">
        <v>0</v>
      </c>
      <c r="T1895" s="183" t="n">
        <v>0</v>
      </c>
      <c r="U1895" s="182" t="n">
        <v>0</v>
      </c>
      <c r="V1895" s="182" t="n">
        <v>0</v>
      </c>
      <c r="W1895" s="182" t="n">
        <v>0</v>
      </c>
      <c r="X1895" s="182" t="n">
        <v>1</v>
      </c>
      <c r="Y1895" s="182" t="n">
        <v>0</v>
      </c>
      <c r="Z1895" s="182" t="n">
        <v>0</v>
      </c>
      <c r="AA1895" s="182" t="n">
        <v>0</v>
      </c>
      <c r="AB1895" s="182" t="n">
        <v>0</v>
      </c>
      <c r="AC1895" s="182" t="n">
        <v>0</v>
      </c>
      <c r="AD1895" s="182" t="n">
        <v>0</v>
      </c>
      <c r="AE1895" s="182" t="n">
        <v>0</v>
      </c>
      <c r="AF1895" s="182" t="n">
        <v>0</v>
      </c>
      <c r="AG1895" s="182" t="n">
        <v>0</v>
      </c>
      <c r="AH1895" s="182" t="n">
        <v>0</v>
      </c>
      <c r="AI1895" s="182" t="n">
        <v>0</v>
      </c>
      <c r="AJ1895" s="182" t="n">
        <v>0</v>
      </c>
      <c r="AK1895" s="182" t="n">
        <v>10.92</v>
      </c>
      <c r="AL1895" s="182" t="n">
        <v>0</v>
      </c>
      <c r="AM1895" s="182" t="n">
        <v>0.08</v>
      </c>
      <c r="AN1895" s="182" t="n">
        <v>0</v>
      </c>
    </row>
    <row r="1896">
      <c r="A1896" s="155" t="n">
        <v>46090</v>
      </c>
      <c r="B1896" s="156" t="inlineStr">
        <is>
          <t>NS</t>
        </is>
      </c>
      <c r="C1896" s="156" t="inlineStr">
        <is>
          <t>HT-408</t>
        </is>
      </c>
      <c r="D1896" s="156" t="inlineStr">
        <is>
          <t>SY430</t>
        </is>
      </c>
      <c r="E1896" s="156" t="inlineStr">
        <is>
          <t>DT Hauling</t>
        </is>
      </c>
      <c r="F1896" s="156" t="inlineStr"/>
      <c r="G1896" s="182" t="n">
        <v>0</v>
      </c>
      <c r="H1896" s="182" t="n">
        <v>0</v>
      </c>
      <c r="I1896" s="182" t="n">
        <v>12</v>
      </c>
      <c r="J1896" s="182" t="n">
        <v>12</v>
      </c>
      <c r="K1896" s="182" t="n">
        <v>0</v>
      </c>
      <c r="L1896" s="182" t="n">
        <v>12</v>
      </c>
      <c r="M1896" s="182" t="n">
        <v>0</v>
      </c>
      <c r="N1896" s="182" t="n">
        <v>0</v>
      </c>
      <c r="O1896" s="183" t="n">
        <v>0</v>
      </c>
      <c r="P1896" s="183" t="n">
        <v>0</v>
      </c>
      <c r="Q1896" s="184" t="n">
        <v>0</v>
      </c>
      <c r="R1896" s="184" t="n">
        <v>0</v>
      </c>
      <c r="S1896" s="183" t="n">
        <v>0</v>
      </c>
      <c r="T1896" s="183" t="n">
        <v>0</v>
      </c>
      <c r="U1896" s="182" t="n">
        <v>0</v>
      </c>
      <c r="V1896" s="182" t="n">
        <v>0</v>
      </c>
      <c r="W1896" s="182" t="n">
        <v>0</v>
      </c>
      <c r="X1896" s="182" t="n">
        <v>0</v>
      </c>
      <c r="Y1896" s="182" t="n">
        <v>0</v>
      </c>
      <c r="Z1896" s="182" t="n">
        <v>0</v>
      </c>
      <c r="AA1896" s="182" t="n">
        <v>0</v>
      </c>
      <c r="AB1896" s="182" t="n">
        <v>0</v>
      </c>
      <c r="AC1896" s="182" t="n">
        <v>0</v>
      </c>
      <c r="AD1896" s="182" t="n">
        <v>0</v>
      </c>
      <c r="AE1896" s="182" t="n">
        <v>0</v>
      </c>
      <c r="AF1896" s="182" t="n">
        <v>0</v>
      </c>
      <c r="AG1896" s="182" t="n">
        <v>0</v>
      </c>
      <c r="AH1896" s="182" t="n">
        <v>0</v>
      </c>
      <c r="AI1896" s="182" t="n">
        <v>0</v>
      </c>
      <c r="AJ1896" s="182" t="n">
        <v>0</v>
      </c>
      <c r="AK1896" s="182" t="n">
        <v>0</v>
      </c>
      <c r="AL1896" s="182" t="n">
        <v>0</v>
      </c>
      <c r="AM1896" s="182" t="n">
        <v>0</v>
      </c>
      <c r="AN1896" s="182" t="n">
        <v>0</v>
      </c>
    </row>
    <row r="1897">
      <c r="A1897" s="155" t="n">
        <v>46090</v>
      </c>
      <c r="B1897" s="156" t="inlineStr">
        <is>
          <t>NS</t>
        </is>
      </c>
      <c r="C1897" s="156" t="inlineStr">
        <is>
          <t>HT-412</t>
        </is>
      </c>
      <c r="D1897" s="156" t="inlineStr">
        <is>
          <t>SY430</t>
        </is>
      </c>
      <c r="E1897" s="156" t="inlineStr">
        <is>
          <t>DT Hauling</t>
        </is>
      </c>
      <c r="F1897" s="156" t="inlineStr"/>
      <c r="G1897" s="182" t="n">
        <v>0</v>
      </c>
      <c r="H1897" s="182" t="n">
        <v>12</v>
      </c>
      <c r="I1897" s="182" t="n">
        <v>0</v>
      </c>
      <c r="J1897" s="182" t="n">
        <v>12</v>
      </c>
      <c r="K1897" s="182" t="n">
        <v>0</v>
      </c>
      <c r="L1897" s="182" t="n">
        <v>12</v>
      </c>
      <c r="M1897" s="182" t="n">
        <v>0</v>
      </c>
      <c r="N1897" s="182" t="n">
        <v>0</v>
      </c>
      <c r="O1897" s="183" t="n">
        <v>0</v>
      </c>
      <c r="P1897" s="183" t="n">
        <v>0</v>
      </c>
      <c r="Q1897" s="184" t="n">
        <v>0</v>
      </c>
      <c r="R1897" s="184" t="n">
        <v>0</v>
      </c>
      <c r="S1897" s="183" t="n">
        <v>0</v>
      </c>
      <c r="T1897" s="183" t="n">
        <v>0</v>
      </c>
      <c r="U1897" s="182" t="n">
        <v>0</v>
      </c>
      <c r="V1897" s="182" t="n">
        <v>0</v>
      </c>
      <c r="W1897" s="182" t="n">
        <v>0</v>
      </c>
      <c r="X1897" s="182" t="n">
        <v>0</v>
      </c>
      <c r="Y1897" s="182" t="n">
        <v>0</v>
      </c>
      <c r="Z1897" s="182" t="n">
        <v>0</v>
      </c>
      <c r="AA1897" s="182" t="n">
        <v>0</v>
      </c>
      <c r="AB1897" s="182" t="n">
        <v>0</v>
      </c>
      <c r="AC1897" s="182" t="n">
        <v>0</v>
      </c>
      <c r="AD1897" s="182" t="n">
        <v>0</v>
      </c>
      <c r="AE1897" s="182" t="n">
        <v>0</v>
      </c>
      <c r="AF1897" s="182" t="n">
        <v>0</v>
      </c>
      <c r="AG1897" s="182" t="n">
        <v>0</v>
      </c>
      <c r="AH1897" s="182" t="n">
        <v>0</v>
      </c>
      <c r="AI1897" s="182" t="n">
        <v>0</v>
      </c>
      <c r="AJ1897" s="182" t="n">
        <v>0</v>
      </c>
      <c r="AK1897" s="182" t="n">
        <v>0</v>
      </c>
      <c r="AL1897" s="182" t="n">
        <v>0</v>
      </c>
      <c r="AM1897" s="182" t="n">
        <v>0</v>
      </c>
      <c r="AN1897" s="182" t="n">
        <v>0</v>
      </c>
    </row>
    <row r="1898">
      <c r="A1898" s="155" t="n">
        <v>46090</v>
      </c>
      <c r="B1898" s="156" t="inlineStr">
        <is>
          <t>NS</t>
        </is>
      </c>
      <c r="C1898" s="156" t="inlineStr">
        <is>
          <t>HT-413</t>
        </is>
      </c>
      <c r="D1898" s="156" t="inlineStr">
        <is>
          <t>SY430</t>
        </is>
      </c>
      <c r="E1898" s="156" t="inlineStr">
        <is>
          <t>DT Hauling</t>
        </is>
      </c>
      <c r="F1898" s="156" t="inlineStr"/>
      <c r="G1898" s="182" t="n">
        <v>0</v>
      </c>
      <c r="H1898" s="182" t="n">
        <v>0</v>
      </c>
      <c r="I1898" s="182" t="n">
        <v>12</v>
      </c>
      <c r="J1898" s="182" t="n">
        <v>12</v>
      </c>
      <c r="K1898" s="182" t="n">
        <v>0</v>
      </c>
      <c r="L1898" s="182" t="n">
        <v>12</v>
      </c>
      <c r="M1898" s="182" t="n">
        <v>0</v>
      </c>
      <c r="N1898" s="182" t="n">
        <v>0</v>
      </c>
      <c r="O1898" s="183" t="n">
        <v>0</v>
      </c>
      <c r="P1898" s="183" t="n">
        <v>0</v>
      </c>
      <c r="Q1898" s="184" t="n">
        <v>0</v>
      </c>
      <c r="R1898" s="184" t="n">
        <v>0</v>
      </c>
      <c r="S1898" s="183" t="n">
        <v>0</v>
      </c>
      <c r="T1898" s="183" t="n">
        <v>0</v>
      </c>
      <c r="U1898" s="182" t="n">
        <v>0</v>
      </c>
      <c r="V1898" s="182" t="n">
        <v>0</v>
      </c>
      <c r="W1898" s="182" t="n">
        <v>0</v>
      </c>
      <c r="X1898" s="182" t="n">
        <v>0</v>
      </c>
      <c r="Y1898" s="182" t="n">
        <v>0</v>
      </c>
      <c r="Z1898" s="182" t="n">
        <v>0</v>
      </c>
      <c r="AA1898" s="182" t="n">
        <v>0</v>
      </c>
      <c r="AB1898" s="182" t="n">
        <v>0</v>
      </c>
      <c r="AC1898" s="182" t="n">
        <v>0</v>
      </c>
      <c r="AD1898" s="182" t="n">
        <v>0</v>
      </c>
      <c r="AE1898" s="182" t="n">
        <v>0</v>
      </c>
      <c r="AF1898" s="182" t="n">
        <v>0</v>
      </c>
      <c r="AG1898" s="182" t="n">
        <v>0</v>
      </c>
      <c r="AH1898" s="182" t="n">
        <v>0</v>
      </c>
      <c r="AI1898" s="182" t="n">
        <v>0</v>
      </c>
      <c r="AJ1898" s="182" t="n">
        <v>0</v>
      </c>
      <c r="AK1898" s="182" t="n">
        <v>0</v>
      </c>
      <c r="AL1898" s="182" t="n">
        <v>0</v>
      </c>
      <c r="AM1898" s="182" t="n">
        <v>0</v>
      </c>
      <c r="AN1898" s="182" t="n">
        <v>0</v>
      </c>
    </row>
    <row r="1899">
      <c r="A1899" s="155" t="n">
        <v>46090</v>
      </c>
      <c r="B1899" s="156" t="inlineStr">
        <is>
          <t>NS</t>
        </is>
      </c>
      <c r="C1899" s="156" t="inlineStr">
        <is>
          <t>HT-407</t>
        </is>
      </c>
      <c r="D1899" s="156" t="inlineStr">
        <is>
          <t>SY430</t>
        </is>
      </c>
      <c r="E1899" s="156" t="inlineStr">
        <is>
          <t>DT Hauling</t>
        </is>
      </c>
      <c r="F1899" s="156" t="inlineStr"/>
      <c r="G1899" s="182" t="n">
        <v>0</v>
      </c>
      <c r="H1899" s="182" t="n">
        <v>0</v>
      </c>
      <c r="I1899" s="182" t="n">
        <v>0</v>
      </c>
      <c r="J1899" s="182" t="n">
        <v>0</v>
      </c>
      <c r="K1899" s="182" t="n">
        <v>12</v>
      </c>
      <c r="L1899" s="182" t="n">
        <v>12</v>
      </c>
      <c r="M1899" s="182" t="n">
        <v>0</v>
      </c>
      <c r="N1899" s="182" t="n">
        <v>0</v>
      </c>
      <c r="O1899" s="183" t="n">
        <v>0</v>
      </c>
      <c r="P1899" s="183" t="n">
        <v>0</v>
      </c>
      <c r="Q1899" s="184" t="n">
        <v>0</v>
      </c>
      <c r="R1899" s="184" t="n">
        <v>0</v>
      </c>
      <c r="S1899" s="183" t="n">
        <v>0</v>
      </c>
      <c r="T1899" s="183" t="n">
        <v>0</v>
      </c>
      <c r="U1899" s="182" t="n">
        <v>0</v>
      </c>
      <c r="V1899" s="182" t="n">
        <v>0</v>
      </c>
      <c r="W1899" s="182" t="n">
        <v>0</v>
      </c>
      <c r="X1899" s="182" t="n">
        <v>1</v>
      </c>
      <c r="Y1899" s="182" t="n">
        <v>0</v>
      </c>
      <c r="Z1899" s="182" t="n">
        <v>0</v>
      </c>
      <c r="AA1899" s="182" t="n">
        <v>0</v>
      </c>
      <c r="AB1899" s="182" t="n">
        <v>0</v>
      </c>
      <c r="AC1899" s="182" t="n">
        <v>0</v>
      </c>
      <c r="AD1899" s="182" t="n">
        <v>0</v>
      </c>
      <c r="AE1899" s="182" t="n">
        <v>0</v>
      </c>
      <c r="AF1899" s="182" t="n">
        <v>0</v>
      </c>
      <c r="AG1899" s="182" t="n">
        <v>0</v>
      </c>
      <c r="AH1899" s="182" t="n">
        <v>0</v>
      </c>
      <c r="AI1899" s="182" t="n">
        <v>0</v>
      </c>
      <c r="AJ1899" s="182" t="n">
        <v>0</v>
      </c>
      <c r="AK1899" s="182" t="n">
        <v>10.92</v>
      </c>
      <c r="AL1899" s="182" t="n">
        <v>0</v>
      </c>
      <c r="AM1899" s="182" t="n">
        <v>0.08</v>
      </c>
      <c r="AN1899" s="182" t="n">
        <v>0</v>
      </c>
    </row>
    <row r="1900">
      <c r="A1900" s="155" t="n">
        <v>46090</v>
      </c>
      <c r="B1900" s="156" t="inlineStr">
        <is>
          <t>NS</t>
        </is>
      </c>
      <c r="C1900" s="156" t="inlineStr">
        <is>
          <t>HT-414</t>
        </is>
      </c>
      <c r="D1900" s="156" t="inlineStr">
        <is>
          <t>SY430</t>
        </is>
      </c>
      <c r="E1900" s="156" t="inlineStr">
        <is>
          <t>DT Hauling</t>
        </is>
      </c>
      <c r="F1900" s="156" t="inlineStr"/>
      <c r="G1900" s="182" t="n">
        <v>0</v>
      </c>
      <c r="H1900" s="182" t="n">
        <v>0</v>
      </c>
      <c r="I1900" s="182" t="n">
        <v>0</v>
      </c>
      <c r="J1900" s="182" t="n">
        <v>0</v>
      </c>
      <c r="K1900" s="182" t="n">
        <v>12</v>
      </c>
      <c r="L1900" s="182" t="n">
        <v>12</v>
      </c>
      <c r="M1900" s="182" t="n">
        <v>0</v>
      </c>
      <c r="N1900" s="182" t="n">
        <v>0</v>
      </c>
      <c r="O1900" s="183" t="n">
        <v>0</v>
      </c>
      <c r="P1900" s="183" t="n">
        <v>0</v>
      </c>
      <c r="Q1900" s="184" t="n">
        <v>0</v>
      </c>
      <c r="R1900" s="184" t="n">
        <v>0</v>
      </c>
      <c r="S1900" s="183" t="n">
        <v>0</v>
      </c>
      <c r="T1900" s="183" t="n">
        <v>0</v>
      </c>
      <c r="U1900" s="182" t="n">
        <v>0</v>
      </c>
      <c r="V1900" s="182" t="n">
        <v>0</v>
      </c>
      <c r="W1900" s="182" t="n">
        <v>0</v>
      </c>
      <c r="X1900" s="182" t="n">
        <v>1</v>
      </c>
      <c r="Y1900" s="182" t="n">
        <v>0</v>
      </c>
      <c r="Z1900" s="182" t="n">
        <v>0</v>
      </c>
      <c r="AA1900" s="182" t="n">
        <v>0</v>
      </c>
      <c r="AB1900" s="182" t="n">
        <v>0</v>
      </c>
      <c r="AC1900" s="182" t="n">
        <v>0</v>
      </c>
      <c r="AD1900" s="182" t="n">
        <v>0</v>
      </c>
      <c r="AE1900" s="182" t="n">
        <v>0</v>
      </c>
      <c r="AF1900" s="182" t="n">
        <v>0</v>
      </c>
      <c r="AG1900" s="182" t="n">
        <v>0</v>
      </c>
      <c r="AH1900" s="182" t="n">
        <v>0</v>
      </c>
      <c r="AI1900" s="182" t="n">
        <v>0</v>
      </c>
      <c r="AJ1900" s="182" t="n">
        <v>0</v>
      </c>
      <c r="AK1900" s="182" t="n">
        <v>10.92</v>
      </c>
      <c r="AL1900" s="182" t="n">
        <v>0</v>
      </c>
      <c r="AM1900" s="182" t="n">
        <v>0.08</v>
      </c>
      <c r="AN1900" s="182" t="n">
        <v>0</v>
      </c>
    </row>
    <row r="1901">
      <c r="A1901" s="155" t="n">
        <v>46090</v>
      </c>
      <c r="B1901" s="156" t="inlineStr">
        <is>
          <t>NS</t>
        </is>
      </c>
      <c r="C1901" s="156" t="inlineStr">
        <is>
          <t>HT-411</t>
        </is>
      </c>
      <c r="D1901" s="156" t="inlineStr">
        <is>
          <t>SY430</t>
        </is>
      </c>
      <c r="E1901" s="156" t="inlineStr">
        <is>
          <t>DT Hauling</t>
        </is>
      </c>
      <c r="F1901" s="156" t="inlineStr"/>
      <c r="G1901" s="182" t="n">
        <v>0</v>
      </c>
      <c r="H1901" s="182" t="n">
        <v>0</v>
      </c>
      <c r="I1901" s="182" t="n">
        <v>0</v>
      </c>
      <c r="J1901" s="182" t="n">
        <v>0</v>
      </c>
      <c r="K1901" s="182" t="n">
        <v>12</v>
      </c>
      <c r="L1901" s="182" t="n">
        <v>12</v>
      </c>
      <c r="M1901" s="182" t="n">
        <v>0</v>
      </c>
      <c r="N1901" s="182" t="n">
        <v>0</v>
      </c>
      <c r="O1901" s="183" t="n">
        <v>0</v>
      </c>
      <c r="P1901" s="183" t="n">
        <v>0</v>
      </c>
      <c r="Q1901" s="184" t="n">
        <v>0</v>
      </c>
      <c r="R1901" s="184" t="n">
        <v>0</v>
      </c>
      <c r="S1901" s="183" t="n">
        <v>0</v>
      </c>
      <c r="T1901" s="183" t="n">
        <v>0</v>
      </c>
      <c r="U1901" s="182" t="n">
        <v>0</v>
      </c>
      <c r="V1901" s="182" t="n">
        <v>0</v>
      </c>
      <c r="W1901" s="182" t="n">
        <v>0</v>
      </c>
      <c r="X1901" s="182" t="n">
        <v>1</v>
      </c>
      <c r="Y1901" s="182" t="n">
        <v>0</v>
      </c>
      <c r="Z1901" s="182" t="n">
        <v>0</v>
      </c>
      <c r="AA1901" s="182" t="n">
        <v>0</v>
      </c>
      <c r="AB1901" s="182" t="n">
        <v>0</v>
      </c>
      <c r="AC1901" s="182" t="n">
        <v>0</v>
      </c>
      <c r="AD1901" s="182" t="n">
        <v>0</v>
      </c>
      <c r="AE1901" s="182" t="n">
        <v>0</v>
      </c>
      <c r="AF1901" s="182" t="n">
        <v>0</v>
      </c>
      <c r="AG1901" s="182" t="n">
        <v>0</v>
      </c>
      <c r="AH1901" s="182" t="n">
        <v>0</v>
      </c>
      <c r="AI1901" s="182" t="n">
        <v>0</v>
      </c>
      <c r="AJ1901" s="182" t="n">
        <v>0</v>
      </c>
      <c r="AK1901" s="182" t="n">
        <v>10.92</v>
      </c>
      <c r="AL1901" s="182" t="n">
        <v>0</v>
      </c>
      <c r="AM1901" s="182" t="n">
        <v>0.08</v>
      </c>
      <c r="AN1901" s="182" t="n">
        <v>0</v>
      </c>
    </row>
    <row r="1902">
      <c r="A1902" s="155" t="n">
        <v>46090</v>
      </c>
      <c r="B1902" s="156" t="inlineStr">
        <is>
          <t>NS</t>
        </is>
      </c>
      <c r="C1902" s="156" t="inlineStr">
        <is>
          <t>HT-409</t>
        </is>
      </c>
      <c r="D1902" s="156" t="inlineStr">
        <is>
          <t>SY430</t>
        </is>
      </c>
      <c r="E1902" s="156" t="inlineStr">
        <is>
          <t>DT Hauling</t>
        </is>
      </c>
      <c r="F1902" s="156" t="inlineStr"/>
      <c r="G1902" s="182" t="n">
        <v>0</v>
      </c>
      <c r="H1902" s="182" t="n">
        <v>0</v>
      </c>
      <c r="I1902" s="182" t="n">
        <v>0</v>
      </c>
      <c r="J1902" s="182" t="n">
        <v>0</v>
      </c>
      <c r="K1902" s="182" t="n">
        <v>12</v>
      </c>
      <c r="L1902" s="182" t="n">
        <v>12</v>
      </c>
      <c r="M1902" s="182" t="n">
        <v>0</v>
      </c>
      <c r="N1902" s="182" t="n">
        <v>0</v>
      </c>
      <c r="O1902" s="183" t="n">
        <v>0</v>
      </c>
      <c r="P1902" s="183" t="n">
        <v>0</v>
      </c>
      <c r="Q1902" s="184" t="n">
        <v>0</v>
      </c>
      <c r="R1902" s="184" t="n">
        <v>0</v>
      </c>
      <c r="S1902" s="183" t="n">
        <v>0</v>
      </c>
      <c r="T1902" s="183" t="n">
        <v>0</v>
      </c>
      <c r="U1902" s="182" t="n">
        <v>0</v>
      </c>
      <c r="V1902" s="182" t="n">
        <v>0</v>
      </c>
      <c r="W1902" s="182" t="n">
        <v>0</v>
      </c>
      <c r="X1902" s="182" t="n">
        <v>1</v>
      </c>
      <c r="Y1902" s="182" t="n">
        <v>0</v>
      </c>
      <c r="Z1902" s="182" t="n">
        <v>0</v>
      </c>
      <c r="AA1902" s="182" t="n">
        <v>0</v>
      </c>
      <c r="AB1902" s="182" t="n">
        <v>0</v>
      </c>
      <c r="AC1902" s="182" t="n">
        <v>0</v>
      </c>
      <c r="AD1902" s="182" t="n">
        <v>0</v>
      </c>
      <c r="AE1902" s="182" t="n">
        <v>0</v>
      </c>
      <c r="AF1902" s="182" t="n">
        <v>0</v>
      </c>
      <c r="AG1902" s="182" t="n">
        <v>0</v>
      </c>
      <c r="AH1902" s="182" t="n">
        <v>0</v>
      </c>
      <c r="AI1902" s="182" t="n">
        <v>0</v>
      </c>
      <c r="AJ1902" s="182" t="n">
        <v>0</v>
      </c>
      <c r="AK1902" s="182" t="n">
        <v>10.92</v>
      </c>
      <c r="AL1902" s="182" t="n">
        <v>0</v>
      </c>
      <c r="AM1902" s="182" t="n">
        <v>0.08</v>
      </c>
      <c r="AN1902" s="182" t="n">
        <v>0</v>
      </c>
    </row>
    <row r="1903">
      <c r="A1903" s="155" t="n">
        <v>46090</v>
      </c>
      <c r="B1903" s="156" t="inlineStr">
        <is>
          <t>NS</t>
        </is>
      </c>
      <c r="C1903" s="156" t="inlineStr">
        <is>
          <t>DH-103</t>
        </is>
      </c>
      <c r="D1903" s="156" t="inlineStr">
        <is>
          <t>HINO FM260</t>
        </is>
      </c>
      <c r="E1903" s="156" t="inlineStr">
        <is>
          <t>DT Hino</t>
        </is>
      </c>
      <c r="F1903" s="156" t="inlineStr"/>
      <c r="G1903" s="182" t="n">
        <v>0</v>
      </c>
      <c r="H1903" s="182" t="n">
        <v>0</v>
      </c>
      <c r="I1903" s="182" t="n">
        <v>12</v>
      </c>
      <c r="J1903" s="182" t="n">
        <v>12</v>
      </c>
      <c r="K1903" s="182" t="n">
        <v>0</v>
      </c>
      <c r="L1903" s="182" t="n">
        <v>12</v>
      </c>
      <c r="M1903" s="182" t="n">
        <v>0</v>
      </c>
      <c r="N1903" s="182" t="n">
        <v>0</v>
      </c>
      <c r="O1903" s="183" t="n">
        <v>0</v>
      </c>
      <c r="P1903" s="183" t="n">
        <v>0</v>
      </c>
      <c r="Q1903" s="184" t="n">
        <v>0</v>
      </c>
      <c r="R1903" s="184" t="n">
        <v>0</v>
      </c>
      <c r="S1903" s="183" t="n">
        <v>0</v>
      </c>
      <c r="T1903" s="183" t="n">
        <v>0</v>
      </c>
      <c r="U1903" s="182" t="n">
        <v>0</v>
      </c>
      <c r="V1903" s="182" t="n">
        <v>0</v>
      </c>
      <c r="W1903" s="182" t="n">
        <v>0</v>
      </c>
      <c r="X1903" s="182" t="n">
        <v>0</v>
      </c>
      <c r="Y1903" s="182" t="n">
        <v>0</v>
      </c>
      <c r="Z1903" s="182" t="n">
        <v>0</v>
      </c>
      <c r="AA1903" s="182" t="n">
        <v>0</v>
      </c>
      <c r="AB1903" s="182" t="n">
        <v>0</v>
      </c>
      <c r="AC1903" s="182" t="n">
        <v>0</v>
      </c>
      <c r="AD1903" s="182" t="n">
        <v>0</v>
      </c>
      <c r="AE1903" s="182" t="n">
        <v>0</v>
      </c>
      <c r="AF1903" s="182" t="n">
        <v>0</v>
      </c>
      <c r="AG1903" s="182" t="n">
        <v>0</v>
      </c>
      <c r="AH1903" s="182" t="n">
        <v>0</v>
      </c>
      <c r="AI1903" s="182" t="n">
        <v>0</v>
      </c>
      <c r="AJ1903" s="182" t="n">
        <v>0</v>
      </c>
      <c r="AK1903" s="182" t="n">
        <v>0</v>
      </c>
      <c r="AL1903" s="182" t="n">
        <v>0</v>
      </c>
      <c r="AM1903" s="182" t="n">
        <v>0</v>
      </c>
      <c r="AN1903" s="182" t="n">
        <v>0</v>
      </c>
    </row>
    <row r="1904">
      <c r="A1904" s="155" t="n">
        <v>46090</v>
      </c>
      <c r="B1904" s="156" t="inlineStr">
        <is>
          <t>NS</t>
        </is>
      </c>
      <c r="C1904" s="156" t="inlineStr">
        <is>
          <t>DH-102</t>
        </is>
      </c>
      <c r="D1904" s="156" t="inlineStr">
        <is>
          <t>HINO FM260</t>
        </is>
      </c>
      <c r="E1904" s="156" t="inlineStr">
        <is>
          <t>DT Hino</t>
        </is>
      </c>
      <c r="F1904" s="156" t="inlineStr"/>
      <c r="G1904" s="182" t="n">
        <v>0</v>
      </c>
      <c r="H1904" s="182" t="n">
        <v>0</v>
      </c>
      <c r="I1904" s="182" t="n">
        <v>0</v>
      </c>
      <c r="J1904" s="182" t="n">
        <v>0</v>
      </c>
      <c r="K1904" s="182" t="n">
        <v>12</v>
      </c>
      <c r="L1904" s="182" t="n">
        <v>12</v>
      </c>
      <c r="M1904" s="182" t="n">
        <v>0</v>
      </c>
      <c r="N1904" s="182" t="n">
        <v>0</v>
      </c>
      <c r="O1904" s="183" t="n">
        <v>0</v>
      </c>
      <c r="P1904" s="183" t="n">
        <v>0</v>
      </c>
      <c r="Q1904" s="184" t="n">
        <v>0</v>
      </c>
      <c r="R1904" s="184" t="n">
        <v>0</v>
      </c>
      <c r="S1904" s="183" t="n">
        <v>0</v>
      </c>
      <c r="T1904" s="183" t="n">
        <v>0</v>
      </c>
      <c r="U1904" s="182" t="n">
        <v>0</v>
      </c>
      <c r="V1904" s="182" t="n">
        <v>0</v>
      </c>
      <c r="W1904" s="182" t="n">
        <v>0</v>
      </c>
      <c r="X1904" s="182" t="n">
        <v>1</v>
      </c>
      <c r="Y1904" s="182" t="n">
        <v>0</v>
      </c>
      <c r="Z1904" s="182" t="n">
        <v>0</v>
      </c>
      <c r="AA1904" s="182" t="n">
        <v>0</v>
      </c>
      <c r="AB1904" s="182" t="n">
        <v>0</v>
      </c>
      <c r="AC1904" s="182" t="n">
        <v>0</v>
      </c>
      <c r="AD1904" s="182" t="n">
        <v>0</v>
      </c>
      <c r="AE1904" s="182" t="n">
        <v>0</v>
      </c>
      <c r="AF1904" s="182" t="n">
        <v>0</v>
      </c>
      <c r="AG1904" s="182" t="n">
        <v>0</v>
      </c>
      <c r="AH1904" s="182" t="n">
        <v>0</v>
      </c>
      <c r="AI1904" s="182" t="n">
        <v>0</v>
      </c>
      <c r="AJ1904" s="182" t="n">
        <v>0</v>
      </c>
      <c r="AK1904" s="182" t="n">
        <v>10.92</v>
      </c>
      <c r="AL1904" s="182" t="n">
        <v>0</v>
      </c>
      <c r="AM1904" s="182" t="n">
        <v>0.08</v>
      </c>
      <c r="AN1904" s="182" t="n">
        <v>0</v>
      </c>
    </row>
    <row r="1905">
      <c r="A1905" s="155" t="n">
        <v>46090</v>
      </c>
      <c r="B1905" s="156" t="inlineStr">
        <is>
          <t>NS</t>
        </is>
      </c>
      <c r="C1905" s="156" t="inlineStr">
        <is>
          <t>DH-101</t>
        </is>
      </c>
      <c r="D1905" s="156" t="inlineStr">
        <is>
          <t>HINO FM260</t>
        </is>
      </c>
      <c r="E1905" s="156" t="inlineStr">
        <is>
          <t>DT Hino</t>
        </is>
      </c>
      <c r="F1905" s="156" t="inlineStr"/>
      <c r="G1905" s="182" t="n">
        <v>0</v>
      </c>
      <c r="H1905" s="182" t="n">
        <v>0</v>
      </c>
      <c r="I1905" s="182" t="n">
        <v>0</v>
      </c>
      <c r="J1905" s="182" t="n">
        <v>0</v>
      </c>
      <c r="K1905" s="182" t="n">
        <v>12</v>
      </c>
      <c r="L1905" s="182" t="n">
        <v>12</v>
      </c>
      <c r="M1905" s="182" t="n">
        <v>0</v>
      </c>
      <c r="N1905" s="182" t="n">
        <v>0</v>
      </c>
      <c r="O1905" s="183" t="n">
        <v>0</v>
      </c>
      <c r="P1905" s="183" t="n">
        <v>0</v>
      </c>
      <c r="Q1905" s="184" t="n">
        <v>0</v>
      </c>
      <c r="R1905" s="184" t="n">
        <v>0</v>
      </c>
      <c r="S1905" s="183" t="n">
        <v>0</v>
      </c>
      <c r="T1905" s="183" t="n">
        <v>0</v>
      </c>
      <c r="U1905" s="182" t="n">
        <v>0</v>
      </c>
      <c r="V1905" s="182" t="n">
        <v>0</v>
      </c>
      <c r="W1905" s="182" t="n">
        <v>0</v>
      </c>
      <c r="X1905" s="182" t="n">
        <v>1</v>
      </c>
      <c r="Y1905" s="182" t="n">
        <v>0</v>
      </c>
      <c r="Z1905" s="182" t="n">
        <v>0</v>
      </c>
      <c r="AA1905" s="182" t="n">
        <v>0</v>
      </c>
      <c r="AB1905" s="182" t="n">
        <v>0</v>
      </c>
      <c r="AC1905" s="182" t="n">
        <v>0</v>
      </c>
      <c r="AD1905" s="182" t="n">
        <v>0</v>
      </c>
      <c r="AE1905" s="182" t="n">
        <v>0</v>
      </c>
      <c r="AF1905" s="182" t="n">
        <v>0</v>
      </c>
      <c r="AG1905" s="182" t="n">
        <v>0</v>
      </c>
      <c r="AH1905" s="182" t="n">
        <v>0</v>
      </c>
      <c r="AI1905" s="182" t="n">
        <v>0</v>
      </c>
      <c r="AJ1905" s="182" t="n">
        <v>0</v>
      </c>
      <c r="AK1905" s="182" t="n">
        <v>10.92</v>
      </c>
      <c r="AL1905" s="182" t="n">
        <v>0</v>
      </c>
      <c r="AM1905" s="182" t="n">
        <v>0.08</v>
      </c>
      <c r="AN1905" s="182" t="n">
        <v>0</v>
      </c>
    </row>
    <row r="1906">
      <c r="A1906" s="155" t="n">
        <v>46090</v>
      </c>
      <c r="B1906" s="156" t="inlineStr">
        <is>
          <t>NS</t>
        </is>
      </c>
      <c r="C1906" s="156" t="inlineStr">
        <is>
          <t>EX-1251</t>
        </is>
      </c>
      <c r="D1906" s="156" t="inlineStr">
        <is>
          <t>SY1250</t>
        </is>
      </c>
      <c r="E1906" s="156" t="inlineStr">
        <is>
          <t>Excavator</t>
        </is>
      </c>
      <c r="F1906" s="156" t="inlineStr">
        <is>
          <t>Loading OB</t>
        </is>
      </c>
      <c r="G1906" s="182" t="n">
        <v>10.04</v>
      </c>
      <c r="H1906" s="182" t="n">
        <v>0</v>
      </c>
      <c r="I1906" s="182" t="n">
        <v>0</v>
      </c>
      <c r="J1906" s="182" t="n">
        <v>0</v>
      </c>
      <c r="K1906" s="182" t="n">
        <v>1.96</v>
      </c>
      <c r="L1906" s="182" t="n">
        <v>12</v>
      </c>
      <c r="M1906" s="182" t="n">
        <v>9.550000000000001</v>
      </c>
      <c r="N1906" s="182" t="n">
        <v>0</v>
      </c>
      <c r="O1906" s="183" t="n">
        <v>213</v>
      </c>
      <c r="P1906" s="183" t="n">
        <v>0</v>
      </c>
      <c r="Q1906" s="184" t="n">
        <v>4345.2</v>
      </c>
      <c r="R1906" s="184" t="n">
        <v>0</v>
      </c>
      <c r="S1906" s="183" t="n">
        <v>0</v>
      </c>
      <c r="T1906" s="183" t="n">
        <v>0</v>
      </c>
      <c r="U1906" s="182" t="n">
        <v>0</v>
      </c>
      <c r="V1906" s="182" t="n">
        <v>0</v>
      </c>
      <c r="W1906" s="182" t="n">
        <v>0</v>
      </c>
      <c r="X1906" s="182" t="n">
        <v>1.11</v>
      </c>
      <c r="Y1906" s="182" t="n">
        <v>0</v>
      </c>
      <c r="Z1906" s="182" t="n">
        <v>0</v>
      </c>
      <c r="AA1906" s="182" t="n">
        <v>0</v>
      </c>
      <c r="AB1906" s="182" t="n">
        <v>0</v>
      </c>
      <c r="AC1906" s="182" t="n">
        <v>0</v>
      </c>
      <c r="AD1906" s="182" t="n">
        <v>0</v>
      </c>
      <c r="AE1906" s="182" t="n">
        <v>0</v>
      </c>
      <c r="AF1906" s="182" t="n">
        <v>0</v>
      </c>
      <c r="AG1906" s="182" t="n">
        <v>0</v>
      </c>
      <c r="AH1906" s="182" t="n">
        <v>0.76</v>
      </c>
      <c r="AI1906" s="182" t="n">
        <v>0</v>
      </c>
      <c r="AJ1906" s="182" t="n">
        <v>0</v>
      </c>
      <c r="AK1906" s="182" t="n">
        <v>0</v>
      </c>
      <c r="AL1906" s="182" t="n">
        <v>0</v>
      </c>
      <c r="AM1906" s="182" t="n">
        <v>0.09</v>
      </c>
      <c r="AN1906" s="182" t="n">
        <v>0</v>
      </c>
    </row>
    <row r="1907">
      <c r="A1907" s="155" t="n">
        <v>46090</v>
      </c>
      <c r="B1907" s="156" t="inlineStr">
        <is>
          <t>NS</t>
        </is>
      </c>
      <c r="C1907" s="156" t="inlineStr">
        <is>
          <t>EX-1252</t>
        </is>
      </c>
      <c r="D1907" s="156" t="inlineStr">
        <is>
          <t>SY1250</t>
        </is>
      </c>
      <c r="E1907" s="156" t="inlineStr">
        <is>
          <t>Excavator</t>
        </is>
      </c>
      <c r="F1907" s="156" t="inlineStr">
        <is>
          <t>Loading OB</t>
        </is>
      </c>
      <c r="G1907" s="182" t="n">
        <v>1.26</v>
      </c>
      <c r="H1907" s="182" t="n">
        <v>0</v>
      </c>
      <c r="I1907" s="182" t="n">
        <v>8.33</v>
      </c>
      <c r="J1907" s="182" t="n">
        <v>8.33</v>
      </c>
      <c r="K1907" s="182" t="n">
        <v>2.41</v>
      </c>
      <c r="L1907" s="182" t="n">
        <v>12</v>
      </c>
      <c r="M1907" s="182" t="n">
        <v>1.23</v>
      </c>
      <c r="N1907" s="182" t="n">
        <v>0</v>
      </c>
      <c r="O1907" s="183" t="n">
        <v>8</v>
      </c>
      <c r="P1907" s="183" t="n">
        <v>0</v>
      </c>
      <c r="Q1907" s="184" t="n">
        <v>239.7</v>
      </c>
      <c r="R1907" s="184" t="n">
        <v>0</v>
      </c>
      <c r="S1907" s="183" t="n">
        <v>0</v>
      </c>
      <c r="T1907" s="183" t="n">
        <v>0</v>
      </c>
      <c r="U1907" s="182" t="n">
        <v>0</v>
      </c>
      <c r="V1907" s="182" t="n">
        <v>0</v>
      </c>
      <c r="W1907" s="182" t="n">
        <v>0</v>
      </c>
      <c r="X1907" s="182" t="n">
        <v>0</v>
      </c>
      <c r="Y1907" s="182" t="n">
        <v>0</v>
      </c>
      <c r="Z1907" s="182" t="n">
        <v>0</v>
      </c>
      <c r="AA1907" s="182" t="n">
        <v>0</v>
      </c>
      <c r="AB1907" s="182" t="n">
        <v>0</v>
      </c>
      <c r="AC1907" s="182" t="n">
        <v>0</v>
      </c>
      <c r="AD1907" s="182" t="n">
        <v>2.32</v>
      </c>
      <c r="AE1907" s="182" t="n">
        <v>0</v>
      </c>
      <c r="AF1907" s="182" t="n">
        <v>0</v>
      </c>
      <c r="AG1907" s="182" t="n">
        <v>0</v>
      </c>
      <c r="AH1907" s="182" t="n">
        <v>0</v>
      </c>
      <c r="AI1907" s="182" t="n">
        <v>0</v>
      </c>
      <c r="AJ1907" s="182" t="n">
        <v>0</v>
      </c>
      <c r="AK1907" s="182" t="n">
        <v>0</v>
      </c>
      <c r="AL1907" s="182" t="n">
        <v>0</v>
      </c>
      <c r="AM1907" s="182" t="n">
        <v>0.08</v>
      </c>
      <c r="AN1907" s="182" t="n">
        <v>0</v>
      </c>
    </row>
    <row r="1908">
      <c r="A1908" s="155" t="n">
        <v>46090</v>
      </c>
      <c r="B1908" s="156" t="inlineStr">
        <is>
          <t>NS</t>
        </is>
      </c>
      <c r="C1908" s="156" t="inlineStr">
        <is>
          <t>EX-2101</t>
        </is>
      </c>
      <c r="D1908" s="156" t="inlineStr">
        <is>
          <t>SY2000</t>
        </is>
      </c>
      <c r="E1908" s="156" t="inlineStr">
        <is>
          <t>Excavator</t>
        </is>
      </c>
      <c r="F1908" s="156" t="inlineStr"/>
      <c r="G1908" s="182" t="n">
        <v>0</v>
      </c>
      <c r="H1908" s="182" t="n">
        <v>0</v>
      </c>
      <c r="I1908" s="182" t="n">
        <v>12</v>
      </c>
      <c r="J1908" s="182" t="n">
        <v>12</v>
      </c>
      <c r="K1908" s="182" t="n">
        <v>0</v>
      </c>
      <c r="L1908" s="182" t="n">
        <v>12</v>
      </c>
      <c r="M1908" s="182" t="n">
        <v>0</v>
      </c>
      <c r="N1908" s="182" t="n">
        <v>0</v>
      </c>
      <c r="O1908" s="183" t="n">
        <v>0</v>
      </c>
      <c r="P1908" s="183" t="n">
        <v>0</v>
      </c>
      <c r="Q1908" s="184" t="n">
        <v>0</v>
      </c>
      <c r="R1908" s="184" t="n">
        <v>0</v>
      </c>
      <c r="S1908" s="183" t="n">
        <v>0</v>
      </c>
      <c r="T1908" s="183" t="n">
        <v>0</v>
      </c>
      <c r="U1908" s="182" t="n">
        <v>0</v>
      </c>
      <c r="V1908" s="182" t="n">
        <v>0</v>
      </c>
      <c r="W1908" s="182" t="n">
        <v>0</v>
      </c>
      <c r="X1908" s="182" t="n">
        <v>0</v>
      </c>
      <c r="Y1908" s="182" t="n">
        <v>0</v>
      </c>
      <c r="Z1908" s="182" t="n">
        <v>0</v>
      </c>
      <c r="AA1908" s="182" t="n">
        <v>0</v>
      </c>
      <c r="AB1908" s="182" t="n">
        <v>0</v>
      </c>
      <c r="AC1908" s="182" t="n">
        <v>0</v>
      </c>
      <c r="AD1908" s="182" t="n">
        <v>0</v>
      </c>
      <c r="AE1908" s="182" t="n">
        <v>0</v>
      </c>
      <c r="AF1908" s="182" t="n">
        <v>0</v>
      </c>
      <c r="AG1908" s="182" t="n">
        <v>0</v>
      </c>
      <c r="AH1908" s="182" t="n">
        <v>0</v>
      </c>
      <c r="AI1908" s="182" t="n">
        <v>0</v>
      </c>
      <c r="AJ1908" s="182" t="n">
        <v>0</v>
      </c>
      <c r="AK1908" s="182" t="n">
        <v>0</v>
      </c>
      <c r="AL1908" s="182" t="n">
        <v>0</v>
      </c>
      <c r="AM1908" s="182" t="n">
        <v>0</v>
      </c>
      <c r="AN1908" s="182" t="n">
        <v>0</v>
      </c>
    </row>
    <row r="1909">
      <c r="A1909" s="155" t="n">
        <v>46090</v>
      </c>
      <c r="B1909" s="156" t="inlineStr">
        <is>
          <t>NS</t>
        </is>
      </c>
      <c r="C1909" s="156" t="inlineStr">
        <is>
          <t>EX-222</t>
        </is>
      </c>
      <c r="D1909" s="156" t="inlineStr">
        <is>
          <t>PC 200-8MI</t>
        </is>
      </c>
      <c r="E1909" s="156" t="inlineStr">
        <is>
          <t>Excavator</t>
        </is>
      </c>
      <c r="F1909" s="156" t="inlineStr">
        <is>
          <t>Support Washing Plant</t>
        </is>
      </c>
      <c r="G1909" s="182" t="n">
        <v>11.77</v>
      </c>
      <c r="H1909" s="182" t="n">
        <v>0</v>
      </c>
      <c r="I1909" s="182" t="n">
        <v>0</v>
      </c>
      <c r="J1909" s="182" t="n">
        <v>0</v>
      </c>
      <c r="K1909" s="182" t="n">
        <v>0.23</v>
      </c>
      <c r="L1909" s="182" t="n">
        <v>12</v>
      </c>
      <c r="M1909" s="182" t="n">
        <v>0</v>
      </c>
      <c r="N1909" s="182" t="n">
        <v>0</v>
      </c>
      <c r="O1909" s="183" t="n">
        <v>0</v>
      </c>
      <c r="P1909" s="183" t="n">
        <v>0</v>
      </c>
      <c r="Q1909" s="184" t="n">
        <v>0</v>
      </c>
      <c r="R1909" s="184" t="n">
        <v>0</v>
      </c>
      <c r="S1909" s="183" t="n">
        <v>0</v>
      </c>
      <c r="T1909" s="183" t="n">
        <v>0</v>
      </c>
      <c r="U1909" s="182" t="n">
        <v>0</v>
      </c>
      <c r="V1909" s="182" t="n">
        <v>0</v>
      </c>
      <c r="W1909" s="182" t="n">
        <v>0</v>
      </c>
      <c r="X1909" s="182" t="n">
        <v>0.14</v>
      </c>
      <c r="Y1909" s="182" t="n">
        <v>0</v>
      </c>
      <c r="Z1909" s="182" t="n">
        <v>0</v>
      </c>
      <c r="AA1909" s="182" t="n">
        <v>0</v>
      </c>
      <c r="AB1909" s="182" t="n">
        <v>0</v>
      </c>
      <c r="AC1909" s="182" t="n">
        <v>0</v>
      </c>
      <c r="AD1909" s="182" t="n">
        <v>0</v>
      </c>
      <c r="AE1909" s="182" t="n">
        <v>0</v>
      </c>
      <c r="AF1909" s="182" t="n">
        <v>0</v>
      </c>
      <c r="AG1909" s="182" t="n">
        <v>0</v>
      </c>
      <c r="AH1909" s="182" t="n">
        <v>0</v>
      </c>
      <c r="AI1909" s="182" t="n">
        <v>0</v>
      </c>
      <c r="AJ1909" s="182" t="n">
        <v>0</v>
      </c>
      <c r="AK1909" s="182" t="n">
        <v>0</v>
      </c>
      <c r="AL1909" s="182" t="n">
        <v>0</v>
      </c>
      <c r="AM1909" s="182" t="n">
        <v>0.09</v>
      </c>
      <c r="AN1909" s="182" t="n">
        <v>0</v>
      </c>
    </row>
    <row r="1910">
      <c r="A1910" s="155" t="n">
        <v>46090</v>
      </c>
      <c r="B1910" s="156" t="inlineStr">
        <is>
          <t>NS</t>
        </is>
      </c>
      <c r="C1910" s="156" t="inlineStr">
        <is>
          <t>EX-225</t>
        </is>
      </c>
      <c r="D1910" s="156" t="inlineStr">
        <is>
          <t>PC 200-8</t>
        </is>
      </c>
      <c r="E1910" s="156" t="inlineStr">
        <is>
          <t>Excavator</t>
        </is>
      </c>
      <c r="F1910" s="156" t="inlineStr"/>
      <c r="G1910" s="182" t="n">
        <v>0</v>
      </c>
      <c r="H1910" s="182" t="n">
        <v>0</v>
      </c>
      <c r="I1910" s="182" t="n">
        <v>12</v>
      </c>
      <c r="J1910" s="182" t="n">
        <v>12</v>
      </c>
      <c r="K1910" s="182" t="n">
        <v>0</v>
      </c>
      <c r="L1910" s="182" t="n">
        <v>12</v>
      </c>
      <c r="M1910" s="182" t="n">
        <v>0</v>
      </c>
      <c r="N1910" s="182" t="n">
        <v>0</v>
      </c>
      <c r="O1910" s="183" t="n">
        <v>0</v>
      </c>
      <c r="P1910" s="183" t="n">
        <v>0</v>
      </c>
      <c r="Q1910" s="184" t="n">
        <v>0</v>
      </c>
      <c r="R1910" s="184" t="n">
        <v>0</v>
      </c>
      <c r="S1910" s="183" t="n">
        <v>0</v>
      </c>
      <c r="T1910" s="183" t="n">
        <v>0</v>
      </c>
      <c r="U1910" s="182" t="n">
        <v>0</v>
      </c>
      <c r="V1910" s="182" t="n">
        <v>0</v>
      </c>
      <c r="W1910" s="182" t="n">
        <v>0</v>
      </c>
      <c r="X1910" s="182" t="n">
        <v>0</v>
      </c>
      <c r="Y1910" s="182" t="n">
        <v>0</v>
      </c>
      <c r="Z1910" s="182" t="n">
        <v>0</v>
      </c>
      <c r="AA1910" s="182" t="n">
        <v>0</v>
      </c>
      <c r="AB1910" s="182" t="n">
        <v>0</v>
      </c>
      <c r="AC1910" s="182" t="n">
        <v>0</v>
      </c>
      <c r="AD1910" s="182" t="n">
        <v>0</v>
      </c>
      <c r="AE1910" s="182" t="n">
        <v>0</v>
      </c>
      <c r="AF1910" s="182" t="n">
        <v>0</v>
      </c>
      <c r="AG1910" s="182" t="n">
        <v>0</v>
      </c>
      <c r="AH1910" s="182" t="n">
        <v>0</v>
      </c>
      <c r="AI1910" s="182" t="n">
        <v>0</v>
      </c>
      <c r="AJ1910" s="182" t="n">
        <v>0</v>
      </c>
      <c r="AK1910" s="182" t="n">
        <v>0</v>
      </c>
      <c r="AL1910" s="182" t="n">
        <v>0</v>
      </c>
      <c r="AM1910" s="182" t="n">
        <v>0</v>
      </c>
      <c r="AN1910" s="182" t="n">
        <v>0</v>
      </c>
    </row>
    <row r="1911">
      <c r="A1911" s="155" t="n">
        <v>46090</v>
      </c>
      <c r="B1911" s="156" t="inlineStr">
        <is>
          <t>NS</t>
        </is>
      </c>
      <c r="C1911" s="156" t="inlineStr">
        <is>
          <t>EX-223</t>
        </is>
      </c>
      <c r="D1911" s="156" t="inlineStr">
        <is>
          <t>PC 200-8MI</t>
        </is>
      </c>
      <c r="E1911" s="156" t="inlineStr">
        <is>
          <t>Excavator</t>
        </is>
      </c>
      <c r="F1911" s="156" t="inlineStr">
        <is>
          <t>Support Washing Plant</t>
        </is>
      </c>
      <c r="G1911" s="182" t="n">
        <v>10.73</v>
      </c>
      <c r="H1911" s="182" t="n">
        <v>0</v>
      </c>
      <c r="I1911" s="182" t="n">
        <v>0</v>
      </c>
      <c r="J1911" s="182" t="n">
        <v>0</v>
      </c>
      <c r="K1911" s="182" t="n">
        <v>1.27</v>
      </c>
      <c r="L1911" s="182" t="n">
        <v>12</v>
      </c>
      <c r="M1911" s="182" t="n">
        <v>0</v>
      </c>
      <c r="N1911" s="182" t="n">
        <v>0</v>
      </c>
      <c r="O1911" s="183" t="n">
        <v>0</v>
      </c>
      <c r="P1911" s="183" t="n">
        <v>0</v>
      </c>
      <c r="Q1911" s="184" t="n">
        <v>0</v>
      </c>
      <c r="R1911" s="184" t="n">
        <v>0</v>
      </c>
      <c r="S1911" s="183" t="n">
        <v>0</v>
      </c>
      <c r="T1911" s="183" t="n">
        <v>0</v>
      </c>
      <c r="U1911" s="182" t="n">
        <v>0</v>
      </c>
      <c r="V1911" s="182" t="n">
        <v>0</v>
      </c>
      <c r="W1911" s="182" t="n">
        <v>0</v>
      </c>
      <c r="X1911" s="182" t="n">
        <v>1.15</v>
      </c>
      <c r="Y1911" s="182" t="n">
        <v>0</v>
      </c>
      <c r="Z1911" s="182" t="n">
        <v>0</v>
      </c>
      <c r="AA1911" s="182" t="n">
        <v>0</v>
      </c>
      <c r="AB1911" s="182" t="n">
        <v>0</v>
      </c>
      <c r="AC1911" s="182" t="n">
        <v>0</v>
      </c>
      <c r="AD1911" s="182" t="n">
        <v>0</v>
      </c>
      <c r="AE1911" s="182" t="n">
        <v>0</v>
      </c>
      <c r="AF1911" s="182" t="n">
        <v>0</v>
      </c>
      <c r="AG1911" s="182" t="n">
        <v>0</v>
      </c>
      <c r="AH1911" s="182" t="n">
        <v>0</v>
      </c>
      <c r="AI1911" s="182" t="n">
        <v>0</v>
      </c>
      <c r="AJ1911" s="182" t="n">
        <v>0</v>
      </c>
      <c r="AK1911" s="182" t="n">
        <v>0.02</v>
      </c>
      <c r="AL1911" s="182" t="n">
        <v>0</v>
      </c>
      <c r="AM1911" s="182" t="n">
        <v>0.09</v>
      </c>
      <c r="AN1911" s="182" t="n">
        <v>0</v>
      </c>
    </row>
    <row r="1912">
      <c r="A1912" s="155" t="n">
        <v>46090</v>
      </c>
      <c r="B1912" s="156" t="inlineStr">
        <is>
          <t>NS</t>
        </is>
      </c>
      <c r="C1912" s="156" t="inlineStr">
        <is>
          <t>EX-221</t>
        </is>
      </c>
      <c r="D1912" s="156" t="inlineStr">
        <is>
          <t>PC 200-8MI</t>
        </is>
      </c>
      <c r="E1912" s="156" t="inlineStr">
        <is>
          <t>Excavator</t>
        </is>
      </c>
      <c r="F1912" s="156" t="inlineStr">
        <is>
          <t>Support Jetty</t>
        </is>
      </c>
      <c r="G1912" s="182" t="n">
        <v>6.49</v>
      </c>
      <c r="H1912" s="182" t="n">
        <v>0</v>
      </c>
      <c r="I1912" s="182" t="n">
        <v>0</v>
      </c>
      <c r="J1912" s="182" t="n">
        <v>0</v>
      </c>
      <c r="K1912" s="182" t="n">
        <v>5.51</v>
      </c>
      <c r="L1912" s="182" t="n">
        <v>12</v>
      </c>
      <c r="M1912" s="182" t="n">
        <v>0</v>
      </c>
      <c r="N1912" s="182" t="n">
        <v>0</v>
      </c>
      <c r="O1912" s="183" t="n">
        <v>0</v>
      </c>
      <c r="P1912" s="183" t="n">
        <v>0</v>
      </c>
      <c r="Q1912" s="184" t="n">
        <v>0</v>
      </c>
      <c r="R1912" s="184" t="n">
        <v>0</v>
      </c>
      <c r="S1912" s="183" t="n">
        <v>0</v>
      </c>
      <c r="T1912" s="183" t="n">
        <v>0</v>
      </c>
      <c r="U1912" s="182" t="n">
        <v>0</v>
      </c>
      <c r="V1912" s="182" t="n">
        <v>0</v>
      </c>
      <c r="W1912" s="182" t="n">
        <v>0</v>
      </c>
      <c r="X1912" s="182" t="n">
        <v>0.98</v>
      </c>
      <c r="Y1912" s="182" t="n">
        <v>0</v>
      </c>
      <c r="Z1912" s="182" t="n">
        <v>0</v>
      </c>
      <c r="AA1912" s="182" t="n">
        <v>0</v>
      </c>
      <c r="AB1912" s="182" t="n">
        <v>0</v>
      </c>
      <c r="AC1912" s="182" t="n">
        <v>0</v>
      </c>
      <c r="AD1912" s="182" t="n">
        <v>0</v>
      </c>
      <c r="AE1912" s="182" t="n">
        <v>0</v>
      </c>
      <c r="AF1912" s="182" t="n">
        <v>0</v>
      </c>
      <c r="AG1912" s="182" t="n">
        <v>0</v>
      </c>
      <c r="AH1912" s="182" t="n">
        <v>0</v>
      </c>
      <c r="AI1912" s="182" t="n">
        <v>0</v>
      </c>
      <c r="AJ1912" s="182" t="n">
        <v>0</v>
      </c>
      <c r="AK1912" s="182" t="n">
        <v>4.45</v>
      </c>
      <c r="AL1912" s="182" t="n">
        <v>0</v>
      </c>
      <c r="AM1912" s="182" t="n">
        <v>0.08</v>
      </c>
      <c r="AN1912" s="182" t="n">
        <v>0</v>
      </c>
    </row>
    <row r="1913">
      <c r="A1913" s="155" t="n">
        <v>46090</v>
      </c>
      <c r="B1913" s="156" t="inlineStr">
        <is>
          <t>NS</t>
        </is>
      </c>
      <c r="C1913" s="156" t="inlineStr">
        <is>
          <t>EX-331</t>
        </is>
      </c>
      <c r="D1913" s="156" t="inlineStr">
        <is>
          <t>PC 300-8MO</t>
        </is>
      </c>
      <c r="E1913" s="156" t="inlineStr">
        <is>
          <t>Excavator</t>
        </is>
      </c>
      <c r="F1913" s="156" t="inlineStr"/>
      <c r="G1913" s="182" t="n">
        <v>0</v>
      </c>
      <c r="H1913" s="182" t="n">
        <v>0</v>
      </c>
      <c r="I1913" s="182" t="n">
        <v>12</v>
      </c>
      <c r="J1913" s="182" t="n">
        <v>12</v>
      </c>
      <c r="K1913" s="182" t="n">
        <v>0</v>
      </c>
      <c r="L1913" s="182" t="n">
        <v>12</v>
      </c>
      <c r="M1913" s="182" t="n">
        <v>0</v>
      </c>
      <c r="N1913" s="182" t="n">
        <v>0</v>
      </c>
      <c r="O1913" s="183" t="n">
        <v>0</v>
      </c>
      <c r="P1913" s="183" t="n">
        <v>0</v>
      </c>
      <c r="Q1913" s="184" t="n">
        <v>0</v>
      </c>
      <c r="R1913" s="184" t="n">
        <v>0</v>
      </c>
      <c r="S1913" s="183" t="n">
        <v>0</v>
      </c>
      <c r="T1913" s="183" t="n">
        <v>0</v>
      </c>
      <c r="U1913" s="182" t="n">
        <v>0</v>
      </c>
      <c r="V1913" s="182" t="n">
        <v>0</v>
      </c>
      <c r="W1913" s="182" t="n">
        <v>0</v>
      </c>
      <c r="X1913" s="182" t="n">
        <v>0</v>
      </c>
      <c r="Y1913" s="182" t="n">
        <v>0</v>
      </c>
      <c r="Z1913" s="182" t="n">
        <v>0</v>
      </c>
      <c r="AA1913" s="182" t="n">
        <v>0</v>
      </c>
      <c r="AB1913" s="182" t="n">
        <v>0</v>
      </c>
      <c r="AC1913" s="182" t="n">
        <v>0</v>
      </c>
      <c r="AD1913" s="182" t="n">
        <v>0</v>
      </c>
      <c r="AE1913" s="182" t="n">
        <v>0</v>
      </c>
      <c r="AF1913" s="182" t="n">
        <v>0</v>
      </c>
      <c r="AG1913" s="182" t="n">
        <v>0</v>
      </c>
      <c r="AH1913" s="182" t="n">
        <v>0</v>
      </c>
      <c r="AI1913" s="182" t="n">
        <v>0</v>
      </c>
      <c r="AJ1913" s="182" t="n">
        <v>0</v>
      </c>
      <c r="AK1913" s="182" t="n">
        <v>0</v>
      </c>
      <c r="AL1913" s="182" t="n">
        <v>0</v>
      </c>
      <c r="AM1913" s="182" t="n">
        <v>0</v>
      </c>
      <c r="AN1913" s="182" t="n">
        <v>0</v>
      </c>
    </row>
    <row r="1914">
      <c r="A1914" s="155" t="n">
        <v>46090</v>
      </c>
      <c r="B1914" s="156" t="inlineStr">
        <is>
          <t>NS</t>
        </is>
      </c>
      <c r="C1914" s="156" t="inlineStr">
        <is>
          <t>EX-334</t>
        </is>
      </c>
      <c r="D1914" s="156" t="inlineStr">
        <is>
          <t>PC 300-8MO</t>
        </is>
      </c>
      <c r="E1914" s="156" t="inlineStr">
        <is>
          <t>Excavator</t>
        </is>
      </c>
      <c r="F1914" s="156" t="inlineStr">
        <is>
          <t>Loading Dirty S45</t>
        </is>
      </c>
      <c r="G1914" s="182" t="n">
        <v>9.970000000000001</v>
      </c>
      <c r="H1914" s="182" t="n">
        <v>0</v>
      </c>
      <c r="I1914" s="182" t="n">
        <v>1.82</v>
      </c>
      <c r="J1914" s="182" t="n">
        <v>1.82</v>
      </c>
      <c r="K1914" s="182" t="n">
        <v>0.21</v>
      </c>
      <c r="L1914" s="182" t="n">
        <v>12</v>
      </c>
      <c r="M1914" s="182" t="n">
        <v>0</v>
      </c>
      <c r="N1914" s="182" t="n">
        <v>2.64</v>
      </c>
      <c r="O1914" s="183" t="n">
        <v>0</v>
      </c>
      <c r="P1914" s="183" t="n">
        <v>8</v>
      </c>
      <c r="Q1914" s="184" t="n">
        <v>0</v>
      </c>
      <c r="R1914" s="184" t="n">
        <v>149.6</v>
      </c>
      <c r="S1914" s="183" t="n">
        <v>0</v>
      </c>
      <c r="T1914" s="183" t="n">
        <v>0</v>
      </c>
      <c r="U1914" s="182" t="n">
        <v>0</v>
      </c>
      <c r="V1914" s="182" t="n">
        <v>0</v>
      </c>
      <c r="W1914" s="182" t="n">
        <v>0</v>
      </c>
      <c r="X1914" s="182" t="n">
        <v>0</v>
      </c>
      <c r="Y1914" s="182" t="n">
        <v>0</v>
      </c>
      <c r="Z1914" s="182" t="n">
        <v>0</v>
      </c>
      <c r="AA1914" s="182" t="n">
        <v>0</v>
      </c>
      <c r="AB1914" s="182" t="n">
        <v>0</v>
      </c>
      <c r="AC1914" s="182" t="n">
        <v>0</v>
      </c>
      <c r="AD1914" s="182" t="n">
        <v>0</v>
      </c>
      <c r="AE1914" s="182" t="n">
        <v>0</v>
      </c>
      <c r="AF1914" s="182" t="n">
        <v>0</v>
      </c>
      <c r="AG1914" s="182" t="n">
        <v>0</v>
      </c>
      <c r="AH1914" s="182" t="n">
        <v>0</v>
      </c>
      <c r="AI1914" s="182" t="n">
        <v>0</v>
      </c>
      <c r="AJ1914" s="182" t="n">
        <v>0</v>
      </c>
      <c r="AK1914" s="182" t="n">
        <v>0</v>
      </c>
      <c r="AL1914" s="182" t="n">
        <v>0</v>
      </c>
      <c r="AM1914" s="182" t="n">
        <v>0.21</v>
      </c>
      <c r="AN1914" s="182" t="n">
        <v>0</v>
      </c>
    </row>
    <row r="1915">
      <c r="A1915" s="155" t="n">
        <v>46090</v>
      </c>
      <c r="B1915" s="156" t="inlineStr">
        <is>
          <t>NS</t>
        </is>
      </c>
      <c r="C1915" s="156" t="inlineStr">
        <is>
          <t>EX-332</t>
        </is>
      </c>
      <c r="D1915" s="156" t="inlineStr">
        <is>
          <t>PC 300-8MO</t>
        </is>
      </c>
      <c r="E1915" s="156" t="inlineStr">
        <is>
          <t>Excavator</t>
        </is>
      </c>
      <c r="F1915" s="156" t="inlineStr">
        <is>
          <t>Coal Cleaning</t>
        </is>
      </c>
      <c r="G1915" s="182" t="n">
        <v>2.89</v>
      </c>
      <c r="H1915" s="182" t="n">
        <v>0</v>
      </c>
      <c r="I1915" s="182" t="n">
        <v>8.92</v>
      </c>
      <c r="J1915" s="182" t="n">
        <v>8.92</v>
      </c>
      <c r="K1915" s="182" t="n">
        <v>0.19</v>
      </c>
      <c r="L1915" s="182" t="n">
        <v>12</v>
      </c>
      <c r="M1915" s="182" t="n">
        <v>0</v>
      </c>
      <c r="N1915" s="182" t="n">
        <v>0</v>
      </c>
      <c r="O1915" s="183" t="n">
        <v>0</v>
      </c>
      <c r="P1915" s="183" t="n">
        <v>0</v>
      </c>
      <c r="Q1915" s="184" t="n">
        <v>0</v>
      </c>
      <c r="R1915" s="184" t="n">
        <v>0</v>
      </c>
      <c r="S1915" s="183" t="n">
        <v>0</v>
      </c>
      <c r="T1915" s="183" t="n">
        <v>0</v>
      </c>
      <c r="U1915" s="182" t="n">
        <v>0</v>
      </c>
      <c r="V1915" s="182" t="n">
        <v>0</v>
      </c>
      <c r="W1915" s="182" t="n">
        <v>0</v>
      </c>
      <c r="X1915" s="182" t="n">
        <v>0</v>
      </c>
      <c r="Y1915" s="182" t="n">
        <v>0</v>
      </c>
      <c r="Z1915" s="182" t="n">
        <v>0</v>
      </c>
      <c r="AA1915" s="182" t="n">
        <v>0</v>
      </c>
      <c r="AB1915" s="182" t="n">
        <v>0</v>
      </c>
      <c r="AC1915" s="182" t="n">
        <v>0</v>
      </c>
      <c r="AD1915" s="182" t="n">
        <v>0</v>
      </c>
      <c r="AE1915" s="182" t="n">
        <v>0</v>
      </c>
      <c r="AF1915" s="182" t="n">
        <v>0</v>
      </c>
      <c r="AG1915" s="182" t="n">
        <v>0</v>
      </c>
      <c r="AH1915" s="182" t="n">
        <v>0</v>
      </c>
      <c r="AI1915" s="182" t="n">
        <v>0</v>
      </c>
      <c r="AJ1915" s="182" t="n">
        <v>0</v>
      </c>
      <c r="AK1915" s="182" t="n">
        <v>0</v>
      </c>
      <c r="AL1915" s="182" t="n">
        <v>0</v>
      </c>
      <c r="AM1915" s="182" t="n">
        <v>0.19</v>
      </c>
      <c r="AN1915" s="182" t="n">
        <v>0</v>
      </c>
    </row>
    <row r="1916">
      <c r="A1916" s="155" t="n">
        <v>46090</v>
      </c>
      <c r="B1916" s="156" t="inlineStr">
        <is>
          <t>NS</t>
        </is>
      </c>
      <c r="C1916" s="156" t="inlineStr">
        <is>
          <t>EX-333</t>
        </is>
      </c>
      <c r="D1916" s="156" t="inlineStr">
        <is>
          <t>PC 300-8MO</t>
        </is>
      </c>
      <c r="E1916" s="156" t="inlineStr">
        <is>
          <t>Excavator</t>
        </is>
      </c>
      <c r="F1916" s="156" t="inlineStr">
        <is>
          <t>Loading S60</t>
        </is>
      </c>
      <c r="G1916" s="182" t="n">
        <v>11.42</v>
      </c>
      <c r="H1916" s="182" t="n">
        <v>0</v>
      </c>
      <c r="I1916" s="182" t="n">
        <v>0</v>
      </c>
      <c r="J1916" s="182" t="n">
        <v>0</v>
      </c>
      <c r="K1916" s="182" t="n">
        <v>0.58</v>
      </c>
      <c r="L1916" s="182" t="n">
        <v>12</v>
      </c>
      <c r="M1916" s="182" t="n">
        <v>0</v>
      </c>
      <c r="N1916" s="182" t="n">
        <v>0.34</v>
      </c>
      <c r="O1916" s="183" t="n">
        <v>0</v>
      </c>
      <c r="P1916" s="183" t="n">
        <v>1</v>
      </c>
      <c r="Q1916" s="184" t="n">
        <v>0</v>
      </c>
      <c r="R1916" s="184" t="n">
        <v>18.7</v>
      </c>
      <c r="S1916" s="183" t="n">
        <v>0</v>
      </c>
      <c r="T1916" s="183" t="n">
        <v>0</v>
      </c>
      <c r="U1916" s="182" t="n">
        <v>0</v>
      </c>
      <c r="V1916" s="182" t="n">
        <v>0</v>
      </c>
      <c r="W1916" s="182" t="n">
        <v>0</v>
      </c>
      <c r="X1916" s="182" t="n">
        <v>0.52</v>
      </c>
      <c r="Y1916" s="182" t="n">
        <v>0</v>
      </c>
      <c r="Z1916" s="182" t="n">
        <v>0</v>
      </c>
      <c r="AA1916" s="182" t="n">
        <v>0</v>
      </c>
      <c r="AB1916" s="182" t="n">
        <v>0</v>
      </c>
      <c r="AC1916" s="182" t="n">
        <v>0</v>
      </c>
      <c r="AD1916" s="182" t="n">
        <v>0</v>
      </c>
      <c r="AE1916" s="182" t="n">
        <v>0</v>
      </c>
      <c r="AF1916" s="182" t="n">
        <v>0</v>
      </c>
      <c r="AG1916" s="182" t="n">
        <v>0</v>
      </c>
      <c r="AH1916" s="182" t="n">
        <v>0</v>
      </c>
      <c r="AI1916" s="182" t="n">
        <v>0</v>
      </c>
      <c r="AJ1916" s="182" t="n">
        <v>0</v>
      </c>
      <c r="AK1916" s="182" t="n">
        <v>0</v>
      </c>
      <c r="AL1916" s="182" t="n">
        <v>0</v>
      </c>
      <c r="AM1916" s="182" t="n">
        <v>0.06</v>
      </c>
      <c r="AN1916" s="182" t="n">
        <v>0</v>
      </c>
    </row>
    <row r="1917">
      <c r="A1917" s="155" t="n">
        <v>46090</v>
      </c>
      <c r="B1917" s="156" t="inlineStr">
        <is>
          <t>NS</t>
        </is>
      </c>
      <c r="C1917" s="156" t="inlineStr">
        <is>
          <t>EX-336</t>
        </is>
      </c>
      <c r="D1917" s="156" t="inlineStr">
        <is>
          <t>PC 300-8MO</t>
        </is>
      </c>
      <c r="E1917" s="156" t="inlineStr">
        <is>
          <t>Excavator</t>
        </is>
      </c>
      <c r="F1917" s="156" t="inlineStr"/>
      <c r="G1917" s="182" t="n">
        <v>0</v>
      </c>
      <c r="H1917" s="182" t="n">
        <v>0</v>
      </c>
      <c r="I1917" s="182" t="n">
        <v>12</v>
      </c>
      <c r="J1917" s="182" t="n">
        <v>12</v>
      </c>
      <c r="K1917" s="182" t="n">
        <v>0</v>
      </c>
      <c r="L1917" s="182" t="n">
        <v>12</v>
      </c>
      <c r="M1917" s="182" t="n">
        <v>0</v>
      </c>
      <c r="N1917" s="182" t="n">
        <v>0</v>
      </c>
      <c r="O1917" s="183" t="n">
        <v>0</v>
      </c>
      <c r="P1917" s="183" t="n">
        <v>0</v>
      </c>
      <c r="Q1917" s="184" t="n">
        <v>0</v>
      </c>
      <c r="R1917" s="184" t="n">
        <v>0</v>
      </c>
      <c r="S1917" s="183" t="n">
        <v>0</v>
      </c>
      <c r="T1917" s="183" t="n">
        <v>0</v>
      </c>
      <c r="U1917" s="182" t="n">
        <v>0</v>
      </c>
      <c r="V1917" s="182" t="n">
        <v>0</v>
      </c>
      <c r="W1917" s="182" t="n">
        <v>0</v>
      </c>
      <c r="X1917" s="182" t="n">
        <v>0</v>
      </c>
      <c r="Y1917" s="182" t="n">
        <v>0</v>
      </c>
      <c r="Z1917" s="182" t="n">
        <v>0</v>
      </c>
      <c r="AA1917" s="182" t="n">
        <v>0</v>
      </c>
      <c r="AB1917" s="182" t="n">
        <v>0</v>
      </c>
      <c r="AC1917" s="182" t="n">
        <v>0</v>
      </c>
      <c r="AD1917" s="182" t="n">
        <v>0</v>
      </c>
      <c r="AE1917" s="182" t="n">
        <v>0</v>
      </c>
      <c r="AF1917" s="182" t="n">
        <v>0</v>
      </c>
      <c r="AG1917" s="182" t="n">
        <v>0</v>
      </c>
      <c r="AH1917" s="182" t="n">
        <v>0</v>
      </c>
      <c r="AI1917" s="182" t="n">
        <v>0</v>
      </c>
      <c r="AJ1917" s="182" t="n">
        <v>0</v>
      </c>
      <c r="AK1917" s="182" t="n">
        <v>0</v>
      </c>
      <c r="AL1917" s="182" t="n">
        <v>0</v>
      </c>
      <c r="AM1917" s="182" t="n">
        <v>0</v>
      </c>
      <c r="AN1917" s="182" t="n">
        <v>0</v>
      </c>
    </row>
    <row r="1918">
      <c r="A1918" s="155" t="n">
        <v>46090</v>
      </c>
      <c r="B1918" s="156" t="inlineStr">
        <is>
          <t>NS</t>
        </is>
      </c>
      <c r="C1918" s="156" t="inlineStr">
        <is>
          <t>EX-335</t>
        </is>
      </c>
      <c r="D1918" s="156" t="inlineStr">
        <is>
          <t>PC 300-8MO</t>
        </is>
      </c>
      <c r="E1918" s="156" t="inlineStr">
        <is>
          <t>Excavator</t>
        </is>
      </c>
      <c r="F1918" s="156" t="inlineStr"/>
      <c r="G1918" s="182" t="n">
        <v>0</v>
      </c>
      <c r="H1918" s="182" t="n">
        <v>0</v>
      </c>
      <c r="I1918" s="182" t="n">
        <v>12</v>
      </c>
      <c r="J1918" s="182" t="n">
        <v>12</v>
      </c>
      <c r="K1918" s="182" t="n">
        <v>0</v>
      </c>
      <c r="L1918" s="182" t="n">
        <v>12</v>
      </c>
      <c r="M1918" s="182" t="n">
        <v>0</v>
      </c>
      <c r="N1918" s="182" t="n">
        <v>0</v>
      </c>
      <c r="O1918" s="183" t="n">
        <v>0</v>
      </c>
      <c r="P1918" s="183" t="n">
        <v>0</v>
      </c>
      <c r="Q1918" s="184" t="n">
        <v>0</v>
      </c>
      <c r="R1918" s="184" t="n">
        <v>0</v>
      </c>
      <c r="S1918" s="183" t="n">
        <v>0</v>
      </c>
      <c r="T1918" s="183" t="n">
        <v>0</v>
      </c>
      <c r="U1918" s="182" t="n">
        <v>0</v>
      </c>
      <c r="V1918" s="182" t="n">
        <v>0</v>
      </c>
      <c r="W1918" s="182" t="n">
        <v>0</v>
      </c>
      <c r="X1918" s="182" t="n">
        <v>0</v>
      </c>
      <c r="Y1918" s="182" t="n">
        <v>0</v>
      </c>
      <c r="Z1918" s="182" t="n">
        <v>0</v>
      </c>
      <c r="AA1918" s="182" t="n">
        <v>0</v>
      </c>
      <c r="AB1918" s="182" t="n">
        <v>0</v>
      </c>
      <c r="AC1918" s="182" t="n">
        <v>0</v>
      </c>
      <c r="AD1918" s="182" t="n">
        <v>0</v>
      </c>
      <c r="AE1918" s="182" t="n">
        <v>0</v>
      </c>
      <c r="AF1918" s="182" t="n">
        <v>0</v>
      </c>
      <c r="AG1918" s="182" t="n">
        <v>0</v>
      </c>
      <c r="AH1918" s="182" t="n">
        <v>0</v>
      </c>
      <c r="AI1918" s="182" t="n">
        <v>0</v>
      </c>
      <c r="AJ1918" s="182" t="n">
        <v>0</v>
      </c>
      <c r="AK1918" s="182" t="n">
        <v>0</v>
      </c>
      <c r="AL1918" s="182" t="n">
        <v>0</v>
      </c>
      <c r="AM1918" s="182" t="n">
        <v>0</v>
      </c>
      <c r="AN1918" s="182" t="n">
        <v>0</v>
      </c>
    </row>
    <row r="1919">
      <c r="A1919" s="155" t="n">
        <v>46090</v>
      </c>
      <c r="B1919" s="156" t="inlineStr">
        <is>
          <t>NS</t>
        </is>
      </c>
      <c r="C1919" s="156" t="inlineStr">
        <is>
          <t>EX-754</t>
        </is>
      </c>
      <c r="D1919" s="156" t="inlineStr">
        <is>
          <t>SY750H-PRO</t>
        </is>
      </c>
      <c r="E1919" s="156" t="inlineStr">
        <is>
          <t>Excavator</t>
        </is>
      </c>
      <c r="F1919" s="156" t="inlineStr">
        <is>
          <t>Loading Coal S60 &amp; OB</t>
        </is>
      </c>
      <c r="G1919" s="182" t="n">
        <v>5.73</v>
      </c>
      <c r="H1919" s="182" t="n">
        <v>0</v>
      </c>
      <c r="I1919" s="182" t="n">
        <v>4.5</v>
      </c>
      <c r="J1919" s="182" t="n">
        <v>4.5</v>
      </c>
      <c r="K1919" s="182" t="n">
        <v>1.77</v>
      </c>
      <c r="L1919" s="182" t="n">
        <v>12</v>
      </c>
      <c r="M1919" s="182" t="n">
        <v>1.75</v>
      </c>
      <c r="N1919" s="182" t="n">
        <v>3.4</v>
      </c>
      <c r="O1919" s="183" t="n">
        <v>18</v>
      </c>
      <c r="P1919" s="183" t="n">
        <v>36</v>
      </c>
      <c r="Q1919" s="184" t="n">
        <v>367.2</v>
      </c>
      <c r="R1919" s="184" t="n">
        <v>673.2</v>
      </c>
      <c r="S1919" s="183" t="n">
        <v>0</v>
      </c>
      <c r="T1919" s="183" t="n">
        <v>0</v>
      </c>
      <c r="U1919" s="182" t="n">
        <v>0</v>
      </c>
      <c r="V1919" s="182" t="n">
        <v>0</v>
      </c>
      <c r="W1919" s="182" t="n">
        <v>0</v>
      </c>
      <c r="X1919" s="182" t="n">
        <v>0</v>
      </c>
      <c r="Y1919" s="182" t="n">
        <v>0</v>
      </c>
      <c r="Z1919" s="182" t="n">
        <v>0</v>
      </c>
      <c r="AA1919" s="182" t="n">
        <v>0</v>
      </c>
      <c r="AB1919" s="182" t="n">
        <v>0</v>
      </c>
      <c r="AC1919" s="182" t="n">
        <v>0</v>
      </c>
      <c r="AD1919" s="182" t="n">
        <v>0</v>
      </c>
      <c r="AE1919" s="182" t="n">
        <v>0</v>
      </c>
      <c r="AF1919" s="182" t="n">
        <v>0</v>
      </c>
      <c r="AG1919" s="182" t="n">
        <v>1.02</v>
      </c>
      <c r="AH1919" s="182" t="n">
        <v>0.65</v>
      </c>
      <c r="AI1919" s="182" t="n">
        <v>0</v>
      </c>
      <c r="AJ1919" s="182" t="n">
        <v>0</v>
      </c>
      <c r="AK1919" s="182" t="n">
        <v>0</v>
      </c>
      <c r="AL1919" s="182" t="n">
        <v>0</v>
      </c>
      <c r="AM1919" s="182" t="n">
        <v>0.09</v>
      </c>
      <c r="AN1919" s="182" t="n">
        <v>0</v>
      </c>
    </row>
    <row r="1920">
      <c r="A1920" s="155" t="n">
        <v>46090</v>
      </c>
      <c r="B1920" s="156" t="inlineStr">
        <is>
          <t>NS</t>
        </is>
      </c>
      <c r="C1920" s="156" t="inlineStr">
        <is>
          <t>EX-755</t>
        </is>
      </c>
      <c r="D1920" s="156" t="inlineStr">
        <is>
          <t>SY750H-PRO</t>
        </is>
      </c>
      <c r="E1920" s="156" t="inlineStr">
        <is>
          <t>Excavator</t>
        </is>
      </c>
      <c r="F1920" s="156" t="inlineStr">
        <is>
          <t>Loading OB</t>
        </is>
      </c>
      <c r="G1920" s="182" t="n">
        <v>10.51</v>
      </c>
      <c r="H1920" s="182" t="n">
        <v>0</v>
      </c>
      <c r="I1920" s="182" t="n">
        <v>0</v>
      </c>
      <c r="J1920" s="182" t="n">
        <v>0</v>
      </c>
      <c r="K1920" s="182" t="n">
        <v>1.49</v>
      </c>
      <c r="L1920" s="182" t="n">
        <v>12</v>
      </c>
      <c r="M1920" s="182" t="n">
        <v>10.38</v>
      </c>
      <c r="N1920" s="182" t="n">
        <v>0</v>
      </c>
      <c r="O1920" s="183" t="n">
        <v>129</v>
      </c>
      <c r="P1920" s="183" t="n">
        <v>0</v>
      </c>
      <c r="Q1920" s="184" t="n">
        <v>2631.6</v>
      </c>
      <c r="R1920" s="184" t="n">
        <v>0</v>
      </c>
      <c r="S1920" s="183" t="n">
        <v>0</v>
      </c>
      <c r="T1920" s="183" t="n">
        <v>0</v>
      </c>
      <c r="U1920" s="182" t="n">
        <v>0</v>
      </c>
      <c r="V1920" s="182" t="n">
        <v>0</v>
      </c>
      <c r="W1920" s="182" t="n">
        <v>0</v>
      </c>
      <c r="X1920" s="182" t="n">
        <v>0.9</v>
      </c>
      <c r="Y1920" s="182" t="n">
        <v>0</v>
      </c>
      <c r="Z1920" s="182" t="n">
        <v>0</v>
      </c>
      <c r="AA1920" s="182" t="n">
        <v>0</v>
      </c>
      <c r="AB1920" s="182" t="n">
        <v>0</v>
      </c>
      <c r="AC1920" s="182" t="n">
        <v>0</v>
      </c>
      <c r="AD1920" s="182" t="n">
        <v>0</v>
      </c>
      <c r="AE1920" s="182" t="n">
        <v>0</v>
      </c>
      <c r="AF1920" s="182" t="n">
        <v>0</v>
      </c>
      <c r="AG1920" s="182" t="n">
        <v>0</v>
      </c>
      <c r="AH1920" s="182" t="n">
        <v>0.52</v>
      </c>
      <c r="AI1920" s="182" t="n">
        <v>0</v>
      </c>
      <c r="AJ1920" s="182" t="n">
        <v>0</v>
      </c>
      <c r="AK1920" s="182" t="n">
        <v>0</v>
      </c>
      <c r="AL1920" s="182" t="n">
        <v>0</v>
      </c>
      <c r="AM1920" s="182" t="n">
        <v>0.07000000000000001</v>
      </c>
      <c r="AN1920" s="182" t="n">
        <v>0</v>
      </c>
    </row>
    <row r="1921">
      <c r="A1921" s="155" t="n">
        <v>46090</v>
      </c>
      <c r="B1921" s="156" t="inlineStr">
        <is>
          <t>NS</t>
        </is>
      </c>
      <c r="C1921" s="156" t="inlineStr">
        <is>
          <t>EX-752</t>
        </is>
      </c>
      <c r="D1921" s="156" t="inlineStr">
        <is>
          <t>SY750H-PRO</t>
        </is>
      </c>
      <c r="E1921" s="156" t="inlineStr">
        <is>
          <t>Excavator</t>
        </is>
      </c>
      <c r="F1921" s="156" t="inlineStr"/>
      <c r="G1921" s="182" t="n">
        <v>0</v>
      </c>
      <c r="H1921" s="182" t="n">
        <v>0</v>
      </c>
      <c r="I1921" s="182" t="n">
        <v>12</v>
      </c>
      <c r="J1921" s="182" t="n">
        <v>12</v>
      </c>
      <c r="K1921" s="182" t="n">
        <v>0</v>
      </c>
      <c r="L1921" s="182" t="n">
        <v>12</v>
      </c>
      <c r="M1921" s="182" t="n">
        <v>0</v>
      </c>
      <c r="N1921" s="182" t="n">
        <v>0</v>
      </c>
      <c r="O1921" s="183" t="n">
        <v>0</v>
      </c>
      <c r="P1921" s="183" t="n">
        <v>0</v>
      </c>
      <c r="Q1921" s="184" t="n">
        <v>0</v>
      </c>
      <c r="R1921" s="184" t="n">
        <v>0</v>
      </c>
      <c r="S1921" s="183" t="n">
        <v>0</v>
      </c>
      <c r="T1921" s="183" t="n">
        <v>0</v>
      </c>
      <c r="U1921" s="182" t="n">
        <v>0</v>
      </c>
      <c r="V1921" s="182" t="n">
        <v>0</v>
      </c>
      <c r="W1921" s="182" t="n">
        <v>0</v>
      </c>
      <c r="X1921" s="182" t="n">
        <v>0</v>
      </c>
      <c r="Y1921" s="182" t="n">
        <v>0</v>
      </c>
      <c r="Z1921" s="182" t="n">
        <v>0</v>
      </c>
      <c r="AA1921" s="182" t="n">
        <v>0</v>
      </c>
      <c r="AB1921" s="182" t="n">
        <v>0</v>
      </c>
      <c r="AC1921" s="182" t="n">
        <v>0</v>
      </c>
      <c r="AD1921" s="182" t="n">
        <v>0</v>
      </c>
      <c r="AE1921" s="182" t="n">
        <v>0</v>
      </c>
      <c r="AF1921" s="182" t="n">
        <v>0</v>
      </c>
      <c r="AG1921" s="182" t="n">
        <v>0</v>
      </c>
      <c r="AH1921" s="182" t="n">
        <v>0</v>
      </c>
      <c r="AI1921" s="182" t="n">
        <v>0</v>
      </c>
      <c r="AJ1921" s="182" t="n">
        <v>0</v>
      </c>
      <c r="AK1921" s="182" t="n">
        <v>0</v>
      </c>
      <c r="AL1921" s="182" t="n">
        <v>0</v>
      </c>
      <c r="AM1921" s="182" t="n">
        <v>0</v>
      </c>
      <c r="AN1921" s="182" t="n">
        <v>0</v>
      </c>
    </row>
    <row r="1922">
      <c r="A1922" s="155" t="n">
        <v>46090</v>
      </c>
      <c r="B1922" s="156" t="inlineStr">
        <is>
          <t>NS</t>
        </is>
      </c>
      <c r="C1922" s="156" t="inlineStr">
        <is>
          <t>EX-751</t>
        </is>
      </c>
      <c r="D1922" s="156" t="inlineStr">
        <is>
          <t>SY750H-PRO</t>
        </is>
      </c>
      <c r="E1922" s="156" t="inlineStr">
        <is>
          <t>Excavator</t>
        </is>
      </c>
      <c r="F1922" s="156" t="inlineStr"/>
      <c r="G1922" s="182" t="n">
        <v>0</v>
      </c>
      <c r="H1922" s="182" t="n">
        <v>0</v>
      </c>
      <c r="I1922" s="182" t="n">
        <v>12</v>
      </c>
      <c r="J1922" s="182" t="n">
        <v>12</v>
      </c>
      <c r="K1922" s="182" t="n">
        <v>0</v>
      </c>
      <c r="L1922" s="182" t="n">
        <v>12</v>
      </c>
      <c r="M1922" s="182" t="n">
        <v>0</v>
      </c>
      <c r="N1922" s="182" t="n">
        <v>0</v>
      </c>
      <c r="O1922" s="183" t="n">
        <v>0</v>
      </c>
      <c r="P1922" s="183" t="n">
        <v>0</v>
      </c>
      <c r="Q1922" s="184" t="n">
        <v>0</v>
      </c>
      <c r="R1922" s="184" t="n">
        <v>0</v>
      </c>
      <c r="S1922" s="183" t="n">
        <v>0</v>
      </c>
      <c r="T1922" s="183" t="n">
        <v>0</v>
      </c>
      <c r="U1922" s="182" t="n">
        <v>0</v>
      </c>
      <c r="V1922" s="182" t="n">
        <v>0</v>
      </c>
      <c r="W1922" s="182" t="n">
        <v>0</v>
      </c>
      <c r="X1922" s="182" t="n">
        <v>0</v>
      </c>
      <c r="Y1922" s="182" t="n">
        <v>0</v>
      </c>
      <c r="Z1922" s="182" t="n">
        <v>0</v>
      </c>
      <c r="AA1922" s="182" t="n">
        <v>0</v>
      </c>
      <c r="AB1922" s="182" t="n">
        <v>0</v>
      </c>
      <c r="AC1922" s="182" t="n">
        <v>0</v>
      </c>
      <c r="AD1922" s="182" t="n">
        <v>0</v>
      </c>
      <c r="AE1922" s="182" t="n">
        <v>0</v>
      </c>
      <c r="AF1922" s="182" t="n">
        <v>0</v>
      </c>
      <c r="AG1922" s="182" t="n">
        <v>0</v>
      </c>
      <c r="AH1922" s="182" t="n">
        <v>0</v>
      </c>
      <c r="AI1922" s="182" t="n">
        <v>0</v>
      </c>
      <c r="AJ1922" s="182" t="n">
        <v>0</v>
      </c>
      <c r="AK1922" s="182" t="n">
        <v>0</v>
      </c>
      <c r="AL1922" s="182" t="n">
        <v>0</v>
      </c>
      <c r="AM1922" s="182" t="n">
        <v>0</v>
      </c>
      <c r="AN1922" s="182" t="n">
        <v>0</v>
      </c>
    </row>
    <row r="1923">
      <c r="A1923" s="155" t="n">
        <v>46090</v>
      </c>
      <c r="B1923" s="156" t="inlineStr">
        <is>
          <t>NS</t>
        </is>
      </c>
      <c r="C1923" s="156" t="inlineStr">
        <is>
          <t>EX-753</t>
        </is>
      </c>
      <c r="D1923" s="156" t="inlineStr">
        <is>
          <t>SY750H-PRO</t>
        </is>
      </c>
      <c r="E1923" s="156" t="inlineStr">
        <is>
          <t>Excavator</t>
        </is>
      </c>
      <c r="F1923" s="156" t="inlineStr">
        <is>
          <t>Loading  Coal S45 &amp; OB</t>
        </is>
      </c>
      <c r="G1923" s="182" t="n">
        <v>10.67</v>
      </c>
      <c r="H1923" s="182" t="n">
        <v>0</v>
      </c>
      <c r="I1923" s="182" t="n">
        <v>0</v>
      </c>
      <c r="J1923" s="182" t="n">
        <v>0</v>
      </c>
      <c r="K1923" s="182" t="n">
        <v>1.33</v>
      </c>
      <c r="L1923" s="182" t="n">
        <v>12</v>
      </c>
      <c r="M1923" s="182" t="n">
        <v>2.08</v>
      </c>
      <c r="N1923" s="182" t="n">
        <v>8.130000000000001</v>
      </c>
      <c r="O1923" s="183" t="n">
        <v>35</v>
      </c>
      <c r="P1923" s="183" t="n">
        <v>89</v>
      </c>
      <c r="Q1923" s="184" t="n">
        <v>714</v>
      </c>
      <c r="R1923" s="184" t="n">
        <v>1664.3</v>
      </c>
      <c r="S1923" s="183" t="n">
        <v>0</v>
      </c>
      <c r="T1923" s="183" t="n">
        <v>0</v>
      </c>
      <c r="U1923" s="182" t="n">
        <v>0</v>
      </c>
      <c r="V1923" s="182" t="n">
        <v>0</v>
      </c>
      <c r="W1923" s="182" t="n">
        <v>0</v>
      </c>
      <c r="X1923" s="182" t="n">
        <v>0.77</v>
      </c>
      <c r="Y1923" s="182" t="n">
        <v>0</v>
      </c>
      <c r="Z1923" s="182" t="n">
        <v>0</v>
      </c>
      <c r="AA1923" s="182" t="n">
        <v>0</v>
      </c>
      <c r="AB1923" s="182" t="n">
        <v>0</v>
      </c>
      <c r="AC1923" s="182" t="n">
        <v>0</v>
      </c>
      <c r="AD1923" s="182" t="n">
        <v>0</v>
      </c>
      <c r="AE1923" s="182" t="n">
        <v>0</v>
      </c>
      <c r="AF1923" s="182" t="n">
        <v>0</v>
      </c>
      <c r="AG1923" s="182" t="n">
        <v>0</v>
      </c>
      <c r="AH1923" s="182" t="n">
        <v>0.49</v>
      </c>
      <c r="AI1923" s="182" t="n">
        <v>0</v>
      </c>
      <c r="AJ1923" s="182" t="n">
        <v>0</v>
      </c>
      <c r="AK1923" s="182" t="n">
        <v>0</v>
      </c>
      <c r="AL1923" s="182" t="n">
        <v>0</v>
      </c>
      <c r="AM1923" s="182" t="n">
        <v>0.06</v>
      </c>
      <c r="AN1923" s="182" t="n">
        <v>0</v>
      </c>
    </row>
    <row r="1924">
      <c r="A1924" s="155" t="n">
        <v>46090</v>
      </c>
      <c r="B1924" s="156" t="inlineStr">
        <is>
          <t>NS</t>
        </is>
      </c>
      <c r="C1924" s="156" t="inlineStr">
        <is>
          <t>GD-012</t>
        </is>
      </c>
      <c r="D1924" s="156" t="inlineStr">
        <is>
          <t>STG 230C - 8S</t>
        </is>
      </c>
      <c r="E1924" s="156" t="inlineStr">
        <is>
          <t>Grader</t>
        </is>
      </c>
      <c r="F1924" s="156" t="inlineStr"/>
      <c r="G1924" s="182" t="n">
        <v>0</v>
      </c>
      <c r="H1924" s="182" t="n">
        <v>0</v>
      </c>
      <c r="I1924" s="182" t="n">
        <v>0</v>
      </c>
      <c r="J1924" s="182" t="n">
        <v>0</v>
      </c>
      <c r="K1924" s="182" t="n">
        <v>12</v>
      </c>
      <c r="L1924" s="182" t="n">
        <v>12</v>
      </c>
      <c r="M1924" s="182" t="n">
        <v>0</v>
      </c>
      <c r="N1924" s="182" t="n">
        <v>0</v>
      </c>
      <c r="O1924" s="183" t="n">
        <v>0</v>
      </c>
      <c r="P1924" s="183" t="n">
        <v>0</v>
      </c>
      <c r="Q1924" s="184" t="n">
        <v>0</v>
      </c>
      <c r="R1924" s="184" t="n">
        <v>0</v>
      </c>
      <c r="S1924" s="183" t="n">
        <v>0</v>
      </c>
      <c r="T1924" s="183" t="n">
        <v>0</v>
      </c>
      <c r="U1924" s="182" t="n">
        <v>0</v>
      </c>
      <c r="V1924" s="182" t="n">
        <v>0</v>
      </c>
      <c r="W1924" s="182" t="n">
        <v>0</v>
      </c>
      <c r="X1924" s="182" t="n">
        <v>1</v>
      </c>
      <c r="Y1924" s="182" t="n">
        <v>0</v>
      </c>
      <c r="Z1924" s="182" t="n">
        <v>0</v>
      </c>
      <c r="AA1924" s="182" t="n">
        <v>0</v>
      </c>
      <c r="AB1924" s="182" t="n">
        <v>0</v>
      </c>
      <c r="AC1924" s="182" t="n">
        <v>0</v>
      </c>
      <c r="AD1924" s="182" t="n">
        <v>0</v>
      </c>
      <c r="AE1924" s="182" t="n">
        <v>0</v>
      </c>
      <c r="AF1924" s="182" t="n">
        <v>0</v>
      </c>
      <c r="AG1924" s="182" t="n">
        <v>0</v>
      </c>
      <c r="AH1924" s="182" t="n">
        <v>0</v>
      </c>
      <c r="AI1924" s="182" t="n">
        <v>0</v>
      </c>
      <c r="AJ1924" s="182" t="n">
        <v>0</v>
      </c>
      <c r="AK1924" s="182" t="n">
        <v>10.92</v>
      </c>
      <c r="AL1924" s="182" t="n">
        <v>0</v>
      </c>
      <c r="AM1924" s="182" t="n">
        <v>0.08</v>
      </c>
      <c r="AN1924" s="182" t="n">
        <v>0</v>
      </c>
    </row>
    <row r="1925">
      <c r="A1925" s="155" t="n">
        <v>46090</v>
      </c>
      <c r="B1925" s="156" t="inlineStr">
        <is>
          <t>NS</t>
        </is>
      </c>
      <c r="C1925" s="156" t="inlineStr">
        <is>
          <t>GD-011</t>
        </is>
      </c>
      <c r="D1925" s="156" t="inlineStr">
        <is>
          <t>STG 230C - 8S</t>
        </is>
      </c>
      <c r="E1925" s="156" t="inlineStr">
        <is>
          <t>Grader</t>
        </is>
      </c>
      <c r="F1925" s="156" t="inlineStr"/>
      <c r="G1925" s="182" t="n">
        <v>0</v>
      </c>
      <c r="H1925" s="182" t="n">
        <v>0</v>
      </c>
      <c r="I1925" s="182" t="n">
        <v>12</v>
      </c>
      <c r="J1925" s="182" t="n">
        <v>12</v>
      </c>
      <c r="K1925" s="182" t="n">
        <v>0</v>
      </c>
      <c r="L1925" s="182" t="n">
        <v>12</v>
      </c>
      <c r="M1925" s="182" t="n">
        <v>0</v>
      </c>
      <c r="N1925" s="182" t="n">
        <v>0</v>
      </c>
      <c r="O1925" s="183" t="n">
        <v>0</v>
      </c>
      <c r="P1925" s="183" t="n">
        <v>0</v>
      </c>
      <c r="Q1925" s="184" t="n">
        <v>0</v>
      </c>
      <c r="R1925" s="184" t="n">
        <v>0</v>
      </c>
      <c r="S1925" s="183" t="n">
        <v>0</v>
      </c>
      <c r="T1925" s="183" t="n">
        <v>0</v>
      </c>
      <c r="U1925" s="182" t="n">
        <v>0</v>
      </c>
      <c r="V1925" s="182" t="n">
        <v>0</v>
      </c>
      <c r="W1925" s="182" t="n">
        <v>0</v>
      </c>
      <c r="X1925" s="182" t="n">
        <v>0</v>
      </c>
      <c r="Y1925" s="182" t="n">
        <v>0</v>
      </c>
      <c r="Z1925" s="182" t="n">
        <v>0</v>
      </c>
      <c r="AA1925" s="182" t="n">
        <v>0</v>
      </c>
      <c r="AB1925" s="182" t="n">
        <v>0</v>
      </c>
      <c r="AC1925" s="182" t="n">
        <v>0</v>
      </c>
      <c r="AD1925" s="182" t="n">
        <v>0</v>
      </c>
      <c r="AE1925" s="182" t="n">
        <v>0</v>
      </c>
      <c r="AF1925" s="182" t="n">
        <v>0</v>
      </c>
      <c r="AG1925" s="182" t="n">
        <v>0</v>
      </c>
      <c r="AH1925" s="182" t="n">
        <v>0</v>
      </c>
      <c r="AI1925" s="182" t="n">
        <v>0</v>
      </c>
      <c r="AJ1925" s="182" t="n">
        <v>0</v>
      </c>
      <c r="AK1925" s="182" t="n">
        <v>0</v>
      </c>
      <c r="AL1925" s="182" t="n">
        <v>0</v>
      </c>
      <c r="AM1925" s="182" t="n">
        <v>0</v>
      </c>
      <c r="AN1925" s="182" t="n">
        <v>0</v>
      </c>
    </row>
    <row r="1926">
      <c r="A1926" s="155" t="n">
        <v>46090</v>
      </c>
      <c r="B1926" s="156" t="inlineStr">
        <is>
          <t>NS</t>
        </is>
      </c>
      <c r="C1926" s="156" t="inlineStr">
        <is>
          <t>GD-013</t>
        </is>
      </c>
      <c r="D1926" s="156" t="inlineStr">
        <is>
          <t>STG 265C - 10</t>
        </is>
      </c>
      <c r="E1926" s="156" t="inlineStr">
        <is>
          <t>Grader</t>
        </is>
      </c>
      <c r="F1926" s="156" t="inlineStr">
        <is>
          <t>Road Maintenance</t>
        </is>
      </c>
      <c r="G1926" s="182" t="n">
        <v>6.77</v>
      </c>
      <c r="H1926" s="182" t="n">
        <v>0</v>
      </c>
      <c r="I1926" s="182" t="n">
        <v>0</v>
      </c>
      <c r="J1926" s="182" t="n">
        <v>0</v>
      </c>
      <c r="K1926" s="182" t="n">
        <v>5.23</v>
      </c>
      <c r="L1926" s="182" t="n">
        <v>12</v>
      </c>
      <c r="M1926" s="182" t="n">
        <v>0</v>
      </c>
      <c r="N1926" s="182" t="n">
        <v>0</v>
      </c>
      <c r="O1926" s="183" t="n">
        <v>0</v>
      </c>
      <c r="P1926" s="183" t="n">
        <v>0</v>
      </c>
      <c r="Q1926" s="184" t="n">
        <v>0</v>
      </c>
      <c r="R1926" s="184" t="n">
        <v>0</v>
      </c>
      <c r="S1926" s="183" t="n">
        <v>0</v>
      </c>
      <c r="T1926" s="183" t="n">
        <v>0</v>
      </c>
      <c r="U1926" s="182" t="n">
        <v>0</v>
      </c>
      <c r="V1926" s="182" t="n">
        <v>0</v>
      </c>
      <c r="W1926" s="182" t="n">
        <v>0</v>
      </c>
      <c r="X1926" s="182" t="n">
        <v>0.9</v>
      </c>
      <c r="Y1926" s="182" t="n">
        <v>0</v>
      </c>
      <c r="Z1926" s="182" t="n">
        <v>0</v>
      </c>
      <c r="AA1926" s="182" t="n">
        <v>0</v>
      </c>
      <c r="AB1926" s="182" t="n">
        <v>0</v>
      </c>
      <c r="AC1926" s="182" t="n">
        <v>0</v>
      </c>
      <c r="AD1926" s="182" t="n">
        <v>0</v>
      </c>
      <c r="AE1926" s="182" t="n">
        <v>0</v>
      </c>
      <c r="AF1926" s="182" t="n">
        <v>0</v>
      </c>
      <c r="AG1926" s="182" t="n">
        <v>0</v>
      </c>
      <c r="AH1926" s="182" t="n">
        <v>0</v>
      </c>
      <c r="AI1926" s="182" t="n">
        <v>0</v>
      </c>
      <c r="AJ1926" s="182" t="n">
        <v>0</v>
      </c>
      <c r="AK1926" s="182" t="n">
        <v>4.26</v>
      </c>
      <c r="AL1926" s="182" t="n">
        <v>0</v>
      </c>
      <c r="AM1926" s="182" t="n">
        <v>0.07000000000000001</v>
      </c>
      <c r="AN1926" s="182" t="n">
        <v>0</v>
      </c>
    </row>
    <row r="1927">
      <c r="A1927" s="155" t="n">
        <v>46090</v>
      </c>
      <c r="B1927" s="156" t="inlineStr">
        <is>
          <t>NS</t>
        </is>
      </c>
      <c r="C1927" s="156" t="inlineStr">
        <is>
          <t>GD-014</t>
        </is>
      </c>
      <c r="D1927" s="156" t="inlineStr">
        <is>
          <t>STG 335C - 10</t>
        </is>
      </c>
      <c r="E1927" s="156" t="inlineStr">
        <is>
          <t>Grader</t>
        </is>
      </c>
      <c r="F1927" s="156" t="inlineStr">
        <is>
          <t>Road Maintenance</t>
        </is>
      </c>
      <c r="G1927" s="182" t="n">
        <v>10.69</v>
      </c>
      <c r="H1927" s="182" t="n">
        <v>0</v>
      </c>
      <c r="I1927" s="182" t="n">
        <v>0</v>
      </c>
      <c r="J1927" s="182" t="n">
        <v>0</v>
      </c>
      <c r="K1927" s="182" t="n">
        <v>1.31</v>
      </c>
      <c r="L1927" s="182" t="n">
        <v>12</v>
      </c>
      <c r="M1927" s="182" t="n">
        <v>0</v>
      </c>
      <c r="N1927" s="182" t="n">
        <v>0</v>
      </c>
      <c r="O1927" s="183" t="n">
        <v>0</v>
      </c>
      <c r="P1927" s="183" t="n">
        <v>0</v>
      </c>
      <c r="Q1927" s="184" t="n">
        <v>0</v>
      </c>
      <c r="R1927" s="184" t="n">
        <v>0</v>
      </c>
      <c r="S1927" s="183" t="n">
        <v>0</v>
      </c>
      <c r="T1927" s="183" t="n">
        <v>0</v>
      </c>
      <c r="U1927" s="182" t="n">
        <v>0</v>
      </c>
      <c r="V1927" s="182" t="n">
        <v>0</v>
      </c>
      <c r="W1927" s="182" t="n">
        <v>0</v>
      </c>
      <c r="X1927" s="182" t="n">
        <v>0.87</v>
      </c>
      <c r="Y1927" s="182" t="n">
        <v>0</v>
      </c>
      <c r="Z1927" s="182" t="n">
        <v>0</v>
      </c>
      <c r="AA1927" s="182" t="n">
        <v>0</v>
      </c>
      <c r="AB1927" s="182" t="n">
        <v>0</v>
      </c>
      <c r="AC1927" s="182" t="n">
        <v>0</v>
      </c>
      <c r="AD1927" s="182" t="n">
        <v>0</v>
      </c>
      <c r="AE1927" s="182" t="n">
        <v>0</v>
      </c>
      <c r="AF1927" s="182" t="n">
        <v>0</v>
      </c>
      <c r="AG1927" s="182" t="n">
        <v>0</v>
      </c>
      <c r="AH1927" s="182" t="n">
        <v>0</v>
      </c>
      <c r="AI1927" s="182" t="n">
        <v>0</v>
      </c>
      <c r="AJ1927" s="182" t="n">
        <v>0</v>
      </c>
      <c r="AK1927" s="182" t="n">
        <v>0.37</v>
      </c>
      <c r="AL1927" s="182" t="n">
        <v>0</v>
      </c>
      <c r="AM1927" s="182" t="n">
        <v>0.07000000000000001</v>
      </c>
      <c r="AN1927" s="182" t="n">
        <v>0</v>
      </c>
    </row>
    <row r="1928">
      <c r="A1928" s="155" t="n">
        <v>46090</v>
      </c>
      <c r="B1928" s="156" t="inlineStr">
        <is>
          <t>NS</t>
        </is>
      </c>
      <c r="C1928" s="156" t="inlineStr">
        <is>
          <t>DT-809</t>
        </is>
      </c>
      <c r="D1928" s="156" t="inlineStr">
        <is>
          <t>SKT 80S</t>
        </is>
      </c>
      <c r="E1928" s="156" t="inlineStr">
        <is>
          <t>Hauler</t>
        </is>
      </c>
      <c r="F1928" s="156" t="inlineStr"/>
      <c r="G1928" s="182" t="n">
        <v>0</v>
      </c>
      <c r="H1928" s="182" t="n">
        <v>0</v>
      </c>
      <c r="I1928" s="182" t="n">
        <v>12</v>
      </c>
      <c r="J1928" s="182" t="n">
        <v>12</v>
      </c>
      <c r="K1928" s="182" t="n">
        <v>0</v>
      </c>
      <c r="L1928" s="182" t="n">
        <v>12</v>
      </c>
      <c r="M1928" s="182" t="n">
        <v>0</v>
      </c>
      <c r="N1928" s="182" t="n">
        <v>0</v>
      </c>
      <c r="O1928" s="183" t="n">
        <v>0</v>
      </c>
      <c r="P1928" s="183" t="n">
        <v>0</v>
      </c>
      <c r="Q1928" s="184" t="n">
        <v>0</v>
      </c>
      <c r="R1928" s="184" t="n">
        <v>0</v>
      </c>
      <c r="S1928" s="183" t="n">
        <v>0</v>
      </c>
      <c r="T1928" s="183" t="n">
        <v>0</v>
      </c>
      <c r="U1928" s="182" t="n">
        <v>0</v>
      </c>
      <c r="V1928" s="182" t="n">
        <v>0</v>
      </c>
      <c r="W1928" s="182" t="n">
        <v>0</v>
      </c>
      <c r="X1928" s="182" t="n">
        <v>0</v>
      </c>
      <c r="Y1928" s="182" t="n">
        <v>0</v>
      </c>
      <c r="Z1928" s="182" t="n">
        <v>0</v>
      </c>
      <c r="AA1928" s="182" t="n">
        <v>0</v>
      </c>
      <c r="AB1928" s="182" t="n">
        <v>0</v>
      </c>
      <c r="AC1928" s="182" t="n">
        <v>0</v>
      </c>
      <c r="AD1928" s="182" t="n">
        <v>0</v>
      </c>
      <c r="AE1928" s="182" t="n">
        <v>0</v>
      </c>
      <c r="AF1928" s="182" t="n">
        <v>0</v>
      </c>
      <c r="AG1928" s="182" t="n">
        <v>0</v>
      </c>
      <c r="AH1928" s="182" t="n">
        <v>0</v>
      </c>
      <c r="AI1928" s="182" t="n">
        <v>0</v>
      </c>
      <c r="AJ1928" s="182" t="n">
        <v>0</v>
      </c>
      <c r="AK1928" s="182" t="n">
        <v>0</v>
      </c>
      <c r="AL1928" s="182" t="n">
        <v>0</v>
      </c>
      <c r="AM1928" s="182" t="n">
        <v>0</v>
      </c>
      <c r="AN1928" s="182" t="n">
        <v>0</v>
      </c>
    </row>
    <row r="1929">
      <c r="A1929" s="155" t="n">
        <v>46090</v>
      </c>
      <c r="B1929" s="156" t="inlineStr">
        <is>
          <t>NS</t>
        </is>
      </c>
      <c r="C1929" s="156" t="inlineStr">
        <is>
          <t>DT-806</t>
        </is>
      </c>
      <c r="D1929" s="156" t="inlineStr">
        <is>
          <t>SKT 80S</t>
        </is>
      </c>
      <c r="E1929" s="156" t="inlineStr">
        <is>
          <t>Hauler</t>
        </is>
      </c>
      <c r="F1929" s="156" t="inlineStr"/>
      <c r="G1929" s="182" t="n">
        <v>0</v>
      </c>
      <c r="H1929" s="182" t="n">
        <v>0</v>
      </c>
      <c r="I1929" s="182" t="n">
        <v>12</v>
      </c>
      <c r="J1929" s="182" t="n">
        <v>12</v>
      </c>
      <c r="K1929" s="182" t="n">
        <v>0</v>
      </c>
      <c r="L1929" s="182" t="n">
        <v>12</v>
      </c>
      <c r="M1929" s="182" t="n">
        <v>0</v>
      </c>
      <c r="N1929" s="182" t="n">
        <v>0</v>
      </c>
      <c r="O1929" s="183" t="n">
        <v>0</v>
      </c>
      <c r="P1929" s="183" t="n">
        <v>0</v>
      </c>
      <c r="Q1929" s="184" t="n">
        <v>0</v>
      </c>
      <c r="R1929" s="184" t="n">
        <v>0</v>
      </c>
      <c r="S1929" s="183" t="n">
        <v>0</v>
      </c>
      <c r="T1929" s="183" t="n">
        <v>0</v>
      </c>
      <c r="U1929" s="182" t="n">
        <v>0</v>
      </c>
      <c r="V1929" s="182" t="n">
        <v>0</v>
      </c>
      <c r="W1929" s="182" t="n">
        <v>0</v>
      </c>
      <c r="X1929" s="182" t="n">
        <v>0</v>
      </c>
      <c r="Y1929" s="182" t="n">
        <v>0</v>
      </c>
      <c r="Z1929" s="182" t="n">
        <v>0</v>
      </c>
      <c r="AA1929" s="182" t="n">
        <v>0</v>
      </c>
      <c r="AB1929" s="182" t="n">
        <v>0</v>
      </c>
      <c r="AC1929" s="182" t="n">
        <v>0</v>
      </c>
      <c r="AD1929" s="182" t="n">
        <v>0</v>
      </c>
      <c r="AE1929" s="182" t="n">
        <v>0</v>
      </c>
      <c r="AF1929" s="182" t="n">
        <v>0</v>
      </c>
      <c r="AG1929" s="182" t="n">
        <v>0</v>
      </c>
      <c r="AH1929" s="182" t="n">
        <v>0</v>
      </c>
      <c r="AI1929" s="182" t="n">
        <v>0</v>
      </c>
      <c r="AJ1929" s="182" t="n">
        <v>0</v>
      </c>
      <c r="AK1929" s="182" t="n">
        <v>0</v>
      </c>
      <c r="AL1929" s="182" t="n">
        <v>0</v>
      </c>
      <c r="AM1929" s="182" t="n">
        <v>0</v>
      </c>
      <c r="AN1929" s="182" t="n">
        <v>0</v>
      </c>
    </row>
    <row r="1930">
      <c r="A1930" s="155" t="n">
        <v>46090</v>
      </c>
      <c r="B1930" s="156" t="inlineStr">
        <is>
          <t>NS</t>
        </is>
      </c>
      <c r="C1930" s="156" t="inlineStr">
        <is>
          <t>DT-805</t>
        </is>
      </c>
      <c r="D1930" s="156" t="inlineStr">
        <is>
          <t>SKT 80S</t>
        </is>
      </c>
      <c r="E1930" s="156" t="inlineStr">
        <is>
          <t>Hauler</t>
        </is>
      </c>
      <c r="F1930" s="156" t="inlineStr"/>
      <c r="G1930" s="182" t="n">
        <v>0</v>
      </c>
      <c r="H1930" s="182" t="n">
        <v>0</v>
      </c>
      <c r="I1930" s="182" t="n">
        <v>12</v>
      </c>
      <c r="J1930" s="182" t="n">
        <v>12</v>
      </c>
      <c r="K1930" s="182" t="n">
        <v>0</v>
      </c>
      <c r="L1930" s="182" t="n">
        <v>12</v>
      </c>
      <c r="M1930" s="182" t="n">
        <v>0</v>
      </c>
      <c r="N1930" s="182" t="n">
        <v>0</v>
      </c>
      <c r="O1930" s="183" t="n">
        <v>0</v>
      </c>
      <c r="P1930" s="183" t="n">
        <v>0</v>
      </c>
      <c r="Q1930" s="184" t="n">
        <v>0</v>
      </c>
      <c r="R1930" s="184" t="n">
        <v>0</v>
      </c>
      <c r="S1930" s="183" t="n">
        <v>0</v>
      </c>
      <c r="T1930" s="183" t="n">
        <v>0</v>
      </c>
      <c r="U1930" s="182" t="n">
        <v>0</v>
      </c>
      <c r="V1930" s="182" t="n">
        <v>0</v>
      </c>
      <c r="W1930" s="182" t="n">
        <v>0</v>
      </c>
      <c r="X1930" s="182" t="n">
        <v>0</v>
      </c>
      <c r="Y1930" s="182" t="n">
        <v>0</v>
      </c>
      <c r="Z1930" s="182" t="n">
        <v>0</v>
      </c>
      <c r="AA1930" s="182" t="n">
        <v>0</v>
      </c>
      <c r="AB1930" s="182" t="n">
        <v>0</v>
      </c>
      <c r="AC1930" s="182" t="n">
        <v>0</v>
      </c>
      <c r="AD1930" s="182" t="n">
        <v>0</v>
      </c>
      <c r="AE1930" s="182" t="n">
        <v>0</v>
      </c>
      <c r="AF1930" s="182" t="n">
        <v>0</v>
      </c>
      <c r="AG1930" s="182" t="n">
        <v>0</v>
      </c>
      <c r="AH1930" s="182" t="n">
        <v>0</v>
      </c>
      <c r="AI1930" s="182" t="n">
        <v>0</v>
      </c>
      <c r="AJ1930" s="182" t="n">
        <v>0</v>
      </c>
      <c r="AK1930" s="182" t="n">
        <v>0</v>
      </c>
      <c r="AL1930" s="182" t="n">
        <v>0</v>
      </c>
      <c r="AM1930" s="182" t="n">
        <v>0</v>
      </c>
      <c r="AN1930" s="182" t="n">
        <v>0</v>
      </c>
    </row>
    <row r="1931">
      <c r="A1931" s="155" t="n">
        <v>46090</v>
      </c>
      <c r="B1931" s="156" t="inlineStr">
        <is>
          <t>NS</t>
        </is>
      </c>
      <c r="C1931" s="156" t="inlineStr">
        <is>
          <t>DT-801</t>
        </is>
      </c>
      <c r="D1931" s="156" t="inlineStr">
        <is>
          <t>SKT 80S</t>
        </is>
      </c>
      <c r="E1931" s="156" t="inlineStr">
        <is>
          <t>Hauler</t>
        </is>
      </c>
      <c r="F1931" s="156" t="inlineStr"/>
      <c r="G1931" s="182" t="n">
        <v>0</v>
      </c>
      <c r="H1931" s="182" t="n">
        <v>0</v>
      </c>
      <c r="I1931" s="182" t="n">
        <v>12</v>
      </c>
      <c r="J1931" s="182" t="n">
        <v>12</v>
      </c>
      <c r="K1931" s="182" t="n">
        <v>0</v>
      </c>
      <c r="L1931" s="182" t="n">
        <v>12</v>
      </c>
      <c r="M1931" s="182" t="n">
        <v>0</v>
      </c>
      <c r="N1931" s="182" t="n">
        <v>0</v>
      </c>
      <c r="O1931" s="183" t="n">
        <v>0</v>
      </c>
      <c r="P1931" s="183" t="n">
        <v>0</v>
      </c>
      <c r="Q1931" s="184" t="n">
        <v>0</v>
      </c>
      <c r="R1931" s="184" t="n">
        <v>0</v>
      </c>
      <c r="S1931" s="183" t="n">
        <v>0</v>
      </c>
      <c r="T1931" s="183" t="n">
        <v>0</v>
      </c>
      <c r="U1931" s="182" t="n">
        <v>0</v>
      </c>
      <c r="V1931" s="182" t="n">
        <v>0</v>
      </c>
      <c r="W1931" s="182" t="n">
        <v>0</v>
      </c>
      <c r="X1931" s="182" t="n">
        <v>0</v>
      </c>
      <c r="Y1931" s="182" t="n">
        <v>0</v>
      </c>
      <c r="Z1931" s="182" t="n">
        <v>0</v>
      </c>
      <c r="AA1931" s="182" t="n">
        <v>0</v>
      </c>
      <c r="AB1931" s="182" t="n">
        <v>0</v>
      </c>
      <c r="AC1931" s="182" t="n">
        <v>0</v>
      </c>
      <c r="AD1931" s="182" t="n">
        <v>0</v>
      </c>
      <c r="AE1931" s="182" t="n">
        <v>0</v>
      </c>
      <c r="AF1931" s="182" t="n">
        <v>0</v>
      </c>
      <c r="AG1931" s="182" t="n">
        <v>0</v>
      </c>
      <c r="AH1931" s="182" t="n">
        <v>0</v>
      </c>
      <c r="AI1931" s="182" t="n">
        <v>0</v>
      </c>
      <c r="AJ1931" s="182" t="n">
        <v>0</v>
      </c>
      <c r="AK1931" s="182" t="n">
        <v>0</v>
      </c>
      <c r="AL1931" s="182" t="n">
        <v>0</v>
      </c>
      <c r="AM1931" s="182" t="n">
        <v>0</v>
      </c>
      <c r="AN1931" s="182" t="n">
        <v>0</v>
      </c>
    </row>
    <row r="1932">
      <c r="A1932" s="155" t="n">
        <v>46090</v>
      </c>
      <c r="B1932" s="156" t="inlineStr">
        <is>
          <t>NS</t>
        </is>
      </c>
      <c r="C1932" s="156" t="inlineStr">
        <is>
          <t>DT-808</t>
        </is>
      </c>
      <c r="D1932" s="156" t="inlineStr">
        <is>
          <t>SKT 80S</t>
        </is>
      </c>
      <c r="E1932" s="156" t="inlineStr">
        <is>
          <t>Hauler</t>
        </is>
      </c>
      <c r="F1932" s="156" t="inlineStr"/>
      <c r="G1932" s="182" t="n">
        <v>0</v>
      </c>
      <c r="H1932" s="182" t="n">
        <v>0</v>
      </c>
      <c r="I1932" s="182" t="n">
        <v>0</v>
      </c>
      <c r="J1932" s="182" t="n">
        <v>0</v>
      </c>
      <c r="K1932" s="182" t="n">
        <v>12</v>
      </c>
      <c r="L1932" s="182" t="n">
        <v>12</v>
      </c>
      <c r="M1932" s="182" t="n">
        <v>0</v>
      </c>
      <c r="N1932" s="182" t="n">
        <v>0</v>
      </c>
      <c r="O1932" s="183" t="n">
        <v>0</v>
      </c>
      <c r="P1932" s="183" t="n">
        <v>0</v>
      </c>
      <c r="Q1932" s="184" t="n">
        <v>0</v>
      </c>
      <c r="R1932" s="184" t="n">
        <v>0</v>
      </c>
      <c r="S1932" s="183" t="n">
        <v>0</v>
      </c>
      <c r="T1932" s="183" t="n">
        <v>0</v>
      </c>
      <c r="U1932" s="182" t="n">
        <v>0</v>
      </c>
      <c r="V1932" s="182" t="n">
        <v>0</v>
      </c>
      <c r="W1932" s="182" t="n">
        <v>0</v>
      </c>
      <c r="X1932" s="182" t="n">
        <v>1</v>
      </c>
      <c r="Y1932" s="182" t="n">
        <v>0</v>
      </c>
      <c r="Z1932" s="182" t="n">
        <v>0</v>
      </c>
      <c r="AA1932" s="182" t="n">
        <v>0</v>
      </c>
      <c r="AB1932" s="182" t="n">
        <v>0</v>
      </c>
      <c r="AC1932" s="182" t="n">
        <v>0</v>
      </c>
      <c r="AD1932" s="182" t="n">
        <v>0</v>
      </c>
      <c r="AE1932" s="182" t="n">
        <v>0</v>
      </c>
      <c r="AF1932" s="182" t="n">
        <v>0</v>
      </c>
      <c r="AG1932" s="182" t="n">
        <v>0</v>
      </c>
      <c r="AH1932" s="182" t="n">
        <v>0</v>
      </c>
      <c r="AI1932" s="182" t="n">
        <v>0</v>
      </c>
      <c r="AJ1932" s="182" t="n">
        <v>0</v>
      </c>
      <c r="AK1932" s="182" t="n">
        <v>10.92</v>
      </c>
      <c r="AL1932" s="182" t="n">
        <v>0</v>
      </c>
      <c r="AM1932" s="182" t="n">
        <v>0.08</v>
      </c>
      <c r="AN1932" s="182" t="n">
        <v>0</v>
      </c>
    </row>
    <row r="1933">
      <c r="A1933" s="155" t="n">
        <v>46090</v>
      </c>
      <c r="B1933" s="156" t="inlineStr">
        <is>
          <t>NS</t>
        </is>
      </c>
      <c r="C1933" s="156" t="inlineStr">
        <is>
          <t>DT-811</t>
        </is>
      </c>
      <c r="D1933" s="156" t="inlineStr">
        <is>
          <t>SKT 80S</t>
        </is>
      </c>
      <c r="E1933" s="156" t="inlineStr">
        <is>
          <t>Hauler</t>
        </is>
      </c>
      <c r="F1933" s="156" t="inlineStr"/>
      <c r="G1933" s="182" t="n">
        <v>0</v>
      </c>
      <c r="H1933" s="182" t="n">
        <v>0</v>
      </c>
      <c r="I1933" s="182" t="n">
        <v>12</v>
      </c>
      <c r="J1933" s="182" t="n">
        <v>12</v>
      </c>
      <c r="K1933" s="182" t="n">
        <v>0</v>
      </c>
      <c r="L1933" s="182" t="n">
        <v>12</v>
      </c>
      <c r="M1933" s="182" t="n">
        <v>0</v>
      </c>
      <c r="N1933" s="182" t="n">
        <v>0</v>
      </c>
      <c r="O1933" s="183" t="n">
        <v>0</v>
      </c>
      <c r="P1933" s="183" t="n">
        <v>0</v>
      </c>
      <c r="Q1933" s="184" t="n">
        <v>0</v>
      </c>
      <c r="R1933" s="184" t="n">
        <v>0</v>
      </c>
      <c r="S1933" s="183" t="n">
        <v>0</v>
      </c>
      <c r="T1933" s="183" t="n">
        <v>0</v>
      </c>
      <c r="U1933" s="182" t="n">
        <v>0</v>
      </c>
      <c r="V1933" s="182" t="n">
        <v>0</v>
      </c>
      <c r="W1933" s="182" t="n">
        <v>0</v>
      </c>
      <c r="X1933" s="182" t="n">
        <v>0</v>
      </c>
      <c r="Y1933" s="182" t="n">
        <v>0</v>
      </c>
      <c r="Z1933" s="182" t="n">
        <v>0</v>
      </c>
      <c r="AA1933" s="182" t="n">
        <v>0</v>
      </c>
      <c r="AB1933" s="182" t="n">
        <v>0</v>
      </c>
      <c r="AC1933" s="182" t="n">
        <v>0</v>
      </c>
      <c r="AD1933" s="182" t="n">
        <v>0</v>
      </c>
      <c r="AE1933" s="182" t="n">
        <v>0</v>
      </c>
      <c r="AF1933" s="182" t="n">
        <v>0</v>
      </c>
      <c r="AG1933" s="182" t="n">
        <v>0</v>
      </c>
      <c r="AH1933" s="182" t="n">
        <v>0</v>
      </c>
      <c r="AI1933" s="182" t="n">
        <v>0</v>
      </c>
      <c r="AJ1933" s="182" t="n">
        <v>0</v>
      </c>
      <c r="AK1933" s="182" t="n">
        <v>0</v>
      </c>
      <c r="AL1933" s="182" t="n">
        <v>0</v>
      </c>
      <c r="AM1933" s="182" t="n">
        <v>0</v>
      </c>
      <c r="AN1933" s="182" t="n">
        <v>0</v>
      </c>
    </row>
    <row r="1934">
      <c r="A1934" s="155" t="n">
        <v>46090</v>
      </c>
      <c r="B1934" s="156" t="inlineStr">
        <is>
          <t>NS</t>
        </is>
      </c>
      <c r="C1934" s="156" t="inlineStr">
        <is>
          <t>DT-802</t>
        </is>
      </c>
      <c r="D1934" s="156" t="inlineStr">
        <is>
          <t>SKT 80S</t>
        </is>
      </c>
      <c r="E1934" s="156" t="inlineStr">
        <is>
          <t>Hauler</t>
        </is>
      </c>
      <c r="F1934" s="156" t="inlineStr"/>
      <c r="G1934" s="182" t="n">
        <v>0</v>
      </c>
      <c r="H1934" s="182" t="n">
        <v>0</v>
      </c>
      <c r="I1934" s="182" t="n">
        <v>0</v>
      </c>
      <c r="J1934" s="182" t="n">
        <v>0</v>
      </c>
      <c r="K1934" s="182" t="n">
        <v>12</v>
      </c>
      <c r="L1934" s="182" t="n">
        <v>12</v>
      </c>
      <c r="M1934" s="182" t="n">
        <v>0</v>
      </c>
      <c r="N1934" s="182" t="n">
        <v>0</v>
      </c>
      <c r="O1934" s="183" t="n">
        <v>0</v>
      </c>
      <c r="P1934" s="183" t="n">
        <v>0</v>
      </c>
      <c r="Q1934" s="184" t="n">
        <v>0</v>
      </c>
      <c r="R1934" s="184" t="n">
        <v>0</v>
      </c>
      <c r="S1934" s="183" t="n">
        <v>0</v>
      </c>
      <c r="T1934" s="183" t="n">
        <v>0</v>
      </c>
      <c r="U1934" s="182" t="n">
        <v>0</v>
      </c>
      <c r="V1934" s="182" t="n">
        <v>0</v>
      </c>
      <c r="W1934" s="182" t="n">
        <v>0</v>
      </c>
      <c r="X1934" s="182" t="n">
        <v>1</v>
      </c>
      <c r="Y1934" s="182" t="n">
        <v>0</v>
      </c>
      <c r="Z1934" s="182" t="n">
        <v>0</v>
      </c>
      <c r="AA1934" s="182" t="n">
        <v>0</v>
      </c>
      <c r="AB1934" s="182" t="n">
        <v>0</v>
      </c>
      <c r="AC1934" s="182" t="n">
        <v>0</v>
      </c>
      <c r="AD1934" s="182" t="n">
        <v>0</v>
      </c>
      <c r="AE1934" s="182" t="n">
        <v>0</v>
      </c>
      <c r="AF1934" s="182" t="n">
        <v>0</v>
      </c>
      <c r="AG1934" s="182" t="n">
        <v>0</v>
      </c>
      <c r="AH1934" s="182" t="n">
        <v>0</v>
      </c>
      <c r="AI1934" s="182" t="n">
        <v>0</v>
      </c>
      <c r="AJ1934" s="182" t="n">
        <v>0</v>
      </c>
      <c r="AK1934" s="182" t="n">
        <v>10.92</v>
      </c>
      <c r="AL1934" s="182" t="n">
        <v>0</v>
      </c>
      <c r="AM1934" s="182" t="n">
        <v>0.08</v>
      </c>
      <c r="AN1934" s="182" t="n">
        <v>0</v>
      </c>
    </row>
    <row r="1935">
      <c r="A1935" s="155" t="n">
        <v>46090</v>
      </c>
      <c r="B1935" s="156" t="inlineStr">
        <is>
          <t>NS</t>
        </is>
      </c>
      <c r="C1935" s="156" t="inlineStr">
        <is>
          <t>DT-807</t>
        </is>
      </c>
      <c r="D1935" s="156" t="inlineStr">
        <is>
          <t>SKT 80S</t>
        </is>
      </c>
      <c r="E1935" s="156" t="inlineStr">
        <is>
          <t>Hauler</t>
        </is>
      </c>
      <c r="F1935" s="156" t="inlineStr"/>
      <c r="G1935" s="182" t="n">
        <v>0</v>
      </c>
      <c r="H1935" s="182" t="n">
        <v>0</v>
      </c>
      <c r="I1935" s="182" t="n">
        <v>0</v>
      </c>
      <c r="J1935" s="182" t="n">
        <v>0</v>
      </c>
      <c r="K1935" s="182" t="n">
        <v>12</v>
      </c>
      <c r="L1935" s="182" t="n">
        <v>12</v>
      </c>
      <c r="M1935" s="182" t="n">
        <v>0</v>
      </c>
      <c r="N1935" s="182" t="n">
        <v>0</v>
      </c>
      <c r="O1935" s="183" t="n">
        <v>0</v>
      </c>
      <c r="P1935" s="183" t="n">
        <v>0</v>
      </c>
      <c r="Q1935" s="184" t="n">
        <v>0</v>
      </c>
      <c r="R1935" s="184" t="n">
        <v>0</v>
      </c>
      <c r="S1935" s="183" t="n">
        <v>0</v>
      </c>
      <c r="T1935" s="183" t="n">
        <v>0</v>
      </c>
      <c r="U1935" s="182" t="n">
        <v>0</v>
      </c>
      <c r="V1935" s="182" t="n">
        <v>0</v>
      </c>
      <c r="W1935" s="182" t="n">
        <v>0</v>
      </c>
      <c r="X1935" s="182" t="n">
        <v>1</v>
      </c>
      <c r="Y1935" s="182" t="n">
        <v>0</v>
      </c>
      <c r="Z1935" s="182" t="n">
        <v>0</v>
      </c>
      <c r="AA1935" s="182" t="n">
        <v>0</v>
      </c>
      <c r="AB1935" s="182" t="n">
        <v>0</v>
      </c>
      <c r="AC1935" s="182" t="n">
        <v>0</v>
      </c>
      <c r="AD1935" s="182" t="n">
        <v>0</v>
      </c>
      <c r="AE1935" s="182" t="n">
        <v>0</v>
      </c>
      <c r="AF1935" s="182" t="n">
        <v>0</v>
      </c>
      <c r="AG1935" s="182" t="n">
        <v>0</v>
      </c>
      <c r="AH1935" s="182" t="n">
        <v>0</v>
      </c>
      <c r="AI1935" s="182" t="n">
        <v>0</v>
      </c>
      <c r="AJ1935" s="182" t="n">
        <v>0</v>
      </c>
      <c r="AK1935" s="182" t="n">
        <v>10.92</v>
      </c>
      <c r="AL1935" s="182" t="n">
        <v>0</v>
      </c>
      <c r="AM1935" s="182" t="n">
        <v>0.08</v>
      </c>
      <c r="AN1935" s="182" t="n">
        <v>0</v>
      </c>
    </row>
    <row r="1936">
      <c r="A1936" s="155" t="n">
        <v>46090</v>
      </c>
      <c r="B1936" s="156" t="inlineStr">
        <is>
          <t>NS</t>
        </is>
      </c>
      <c r="C1936" s="156" t="inlineStr">
        <is>
          <t>DT-812</t>
        </is>
      </c>
      <c r="D1936" s="156" t="inlineStr">
        <is>
          <t>SKT 80S</t>
        </is>
      </c>
      <c r="E1936" s="156" t="inlineStr">
        <is>
          <t>Hauler</t>
        </is>
      </c>
      <c r="F1936" s="156" t="inlineStr"/>
      <c r="G1936" s="182" t="n">
        <v>0</v>
      </c>
      <c r="H1936" s="182" t="n">
        <v>0</v>
      </c>
      <c r="I1936" s="182" t="n">
        <v>0.67</v>
      </c>
      <c r="J1936" s="182" t="n">
        <v>0.67</v>
      </c>
      <c r="K1936" s="182" t="n">
        <v>11.33</v>
      </c>
      <c r="L1936" s="182" t="n">
        <v>12</v>
      </c>
      <c r="M1936" s="182" t="n">
        <v>0</v>
      </c>
      <c r="N1936" s="182" t="n">
        <v>0</v>
      </c>
      <c r="O1936" s="183" t="n">
        <v>0</v>
      </c>
      <c r="P1936" s="183" t="n">
        <v>0</v>
      </c>
      <c r="Q1936" s="184" t="n">
        <v>0</v>
      </c>
      <c r="R1936" s="184" t="n">
        <v>0</v>
      </c>
      <c r="S1936" s="183" t="n">
        <v>0</v>
      </c>
      <c r="T1936" s="183" t="n">
        <v>0</v>
      </c>
      <c r="U1936" s="182" t="n">
        <v>0</v>
      </c>
      <c r="V1936" s="182" t="n">
        <v>0</v>
      </c>
      <c r="W1936" s="182" t="n">
        <v>0</v>
      </c>
      <c r="X1936" s="182" t="n">
        <v>1</v>
      </c>
      <c r="Y1936" s="182" t="n">
        <v>0</v>
      </c>
      <c r="Z1936" s="182" t="n">
        <v>0</v>
      </c>
      <c r="AA1936" s="182" t="n">
        <v>0</v>
      </c>
      <c r="AB1936" s="182" t="n">
        <v>0</v>
      </c>
      <c r="AC1936" s="182" t="n">
        <v>0</v>
      </c>
      <c r="AD1936" s="182" t="n">
        <v>0</v>
      </c>
      <c r="AE1936" s="182" t="n">
        <v>0</v>
      </c>
      <c r="AF1936" s="182" t="n">
        <v>0</v>
      </c>
      <c r="AG1936" s="182" t="n">
        <v>0</v>
      </c>
      <c r="AH1936" s="182" t="n">
        <v>0</v>
      </c>
      <c r="AI1936" s="182" t="n">
        <v>0</v>
      </c>
      <c r="AJ1936" s="182" t="n">
        <v>0</v>
      </c>
      <c r="AK1936" s="182" t="n">
        <v>10.25</v>
      </c>
      <c r="AL1936" s="182" t="n">
        <v>0</v>
      </c>
      <c r="AM1936" s="182" t="n">
        <v>0.08</v>
      </c>
      <c r="AN1936" s="182" t="n">
        <v>0</v>
      </c>
    </row>
    <row r="1937">
      <c r="A1937" s="155" t="n">
        <v>46090</v>
      </c>
      <c r="B1937" s="156" t="inlineStr">
        <is>
          <t>NS</t>
        </is>
      </c>
      <c r="C1937" s="156" t="inlineStr">
        <is>
          <t>DT-803</t>
        </is>
      </c>
      <c r="D1937" s="156" t="inlineStr">
        <is>
          <t>SKT 80S</t>
        </is>
      </c>
      <c r="E1937" s="156" t="inlineStr">
        <is>
          <t>Hauler</t>
        </is>
      </c>
      <c r="F1937" s="156" t="inlineStr"/>
      <c r="G1937" s="182" t="n">
        <v>0</v>
      </c>
      <c r="H1937" s="182" t="n">
        <v>0</v>
      </c>
      <c r="I1937" s="182" t="n">
        <v>0</v>
      </c>
      <c r="J1937" s="182" t="n">
        <v>0</v>
      </c>
      <c r="K1937" s="182" t="n">
        <v>12</v>
      </c>
      <c r="L1937" s="182" t="n">
        <v>12</v>
      </c>
      <c r="M1937" s="182" t="n">
        <v>0</v>
      </c>
      <c r="N1937" s="182" t="n">
        <v>0</v>
      </c>
      <c r="O1937" s="183" t="n">
        <v>0</v>
      </c>
      <c r="P1937" s="183" t="n">
        <v>0</v>
      </c>
      <c r="Q1937" s="184" t="n">
        <v>0</v>
      </c>
      <c r="R1937" s="184" t="n">
        <v>0</v>
      </c>
      <c r="S1937" s="183" t="n">
        <v>0</v>
      </c>
      <c r="T1937" s="183" t="n">
        <v>0</v>
      </c>
      <c r="U1937" s="182" t="n">
        <v>0</v>
      </c>
      <c r="V1937" s="182" t="n">
        <v>0</v>
      </c>
      <c r="W1937" s="182" t="n">
        <v>0</v>
      </c>
      <c r="X1937" s="182" t="n">
        <v>1</v>
      </c>
      <c r="Y1937" s="182" t="n">
        <v>0</v>
      </c>
      <c r="Z1937" s="182" t="n">
        <v>0</v>
      </c>
      <c r="AA1937" s="182" t="n">
        <v>0</v>
      </c>
      <c r="AB1937" s="182" t="n">
        <v>0</v>
      </c>
      <c r="AC1937" s="182" t="n">
        <v>0</v>
      </c>
      <c r="AD1937" s="182" t="n">
        <v>0</v>
      </c>
      <c r="AE1937" s="182" t="n">
        <v>0</v>
      </c>
      <c r="AF1937" s="182" t="n">
        <v>0</v>
      </c>
      <c r="AG1937" s="182" t="n">
        <v>0</v>
      </c>
      <c r="AH1937" s="182" t="n">
        <v>0</v>
      </c>
      <c r="AI1937" s="182" t="n">
        <v>0</v>
      </c>
      <c r="AJ1937" s="182" t="n">
        <v>0</v>
      </c>
      <c r="AK1937" s="182" t="n">
        <v>10.92</v>
      </c>
      <c r="AL1937" s="182" t="n">
        <v>0</v>
      </c>
      <c r="AM1937" s="182" t="n">
        <v>0.08</v>
      </c>
      <c r="AN1937" s="182" t="n">
        <v>0</v>
      </c>
    </row>
    <row r="1938">
      <c r="A1938" s="155" t="n">
        <v>46090</v>
      </c>
      <c r="B1938" s="156" t="inlineStr">
        <is>
          <t>NS</t>
        </is>
      </c>
      <c r="C1938" s="156" t="inlineStr">
        <is>
          <t>DT-810</t>
        </is>
      </c>
      <c r="D1938" s="156" t="inlineStr">
        <is>
          <t>SKT 80S</t>
        </is>
      </c>
      <c r="E1938" s="156" t="inlineStr">
        <is>
          <t>Hauler</t>
        </is>
      </c>
      <c r="F1938" s="156" t="inlineStr"/>
      <c r="G1938" s="182" t="n">
        <v>0</v>
      </c>
      <c r="H1938" s="182" t="n">
        <v>0</v>
      </c>
      <c r="I1938" s="182" t="n">
        <v>0</v>
      </c>
      <c r="J1938" s="182" t="n">
        <v>0</v>
      </c>
      <c r="K1938" s="182" t="n">
        <v>12</v>
      </c>
      <c r="L1938" s="182" t="n">
        <v>12</v>
      </c>
      <c r="M1938" s="182" t="n">
        <v>0</v>
      </c>
      <c r="N1938" s="182" t="n">
        <v>0</v>
      </c>
      <c r="O1938" s="183" t="n">
        <v>0</v>
      </c>
      <c r="P1938" s="183" t="n">
        <v>0</v>
      </c>
      <c r="Q1938" s="184" t="n">
        <v>0</v>
      </c>
      <c r="R1938" s="184" t="n">
        <v>0</v>
      </c>
      <c r="S1938" s="183" t="n">
        <v>0</v>
      </c>
      <c r="T1938" s="183" t="n">
        <v>0</v>
      </c>
      <c r="U1938" s="182" t="n">
        <v>0</v>
      </c>
      <c r="V1938" s="182" t="n">
        <v>0</v>
      </c>
      <c r="W1938" s="182" t="n">
        <v>0</v>
      </c>
      <c r="X1938" s="182" t="n">
        <v>1</v>
      </c>
      <c r="Y1938" s="182" t="n">
        <v>0</v>
      </c>
      <c r="Z1938" s="182" t="n">
        <v>0</v>
      </c>
      <c r="AA1938" s="182" t="n">
        <v>0</v>
      </c>
      <c r="AB1938" s="182" t="n">
        <v>0</v>
      </c>
      <c r="AC1938" s="182" t="n">
        <v>0</v>
      </c>
      <c r="AD1938" s="182" t="n">
        <v>0</v>
      </c>
      <c r="AE1938" s="182" t="n">
        <v>0</v>
      </c>
      <c r="AF1938" s="182" t="n">
        <v>0</v>
      </c>
      <c r="AG1938" s="182" t="n">
        <v>0</v>
      </c>
      <c r="AH1938" s="182" t="n">
        <v>0</v>
      </c>
      <c r="AI1938" s="182" t="n">
        <v>0</v>
      </c>
      <c r="AJ1938" s="182" t="n">
        <v>0</v>
      </c>
      <c r="AK1938" s="182" t="n">
        <v>10.92</v>
      </c>
      <c r="AL1938" s="182" t="n">
        <v>0</v>
      </c>
      <c r="AM1938" s="182" t="n">
        <v>0.08</v>
      </c>
      <c r="AN1938" s="182" t="n">
        <v>0</v>
      </c>
    </row>
    <row r="1939">
      <c r="A1939" s="155" t="n">
        <v>46090</v>
      </c>
      <c r="B1939" s="156" t="inlineStr">
        <is>
          <t>NS</t>
        </is>
      </c>
      <c r="C1939" s="156" t="inlineStr">
        <is>
          <t>DT-804</t>
        </is>
      </c>
      <c r="D1939" s="156" t="inlineStr">
        <is>
          <t>SKT 80S</t>
        </is>
      </c>
      <c r="E1939" s="156" t="inlineStr">
        <is>
          <t>Hauler</t>
        </is>
      </c>
      <c r="F1939" s="156" t="inlineStr"/>
      <c r="G1939" s="182" t="n">
        <v>0</v>
      </c>
      <c r="H1939" s="182" t="n">
        <v>0</v>
      </c>
      <c r="I1939" s="182" t="n">
        <v>0</v>
      </c>
      <c r="J1939" s="182" t="n">
        <v>0</v>
      </c>
      <c r="K1939" s="182" t="n">
        <v>12</v>
      </c>
      <c r="L1939" s="182" t="n">
        <v>12</v>
      </c>
      <c r="M1939" s="182" t="n">
        <v>0</v>
      </c>
      <c r="N1939" s="182" t="n">
        <v>0</v>
      </c>
      <c r="O1939" s="183" t="n">
        <v>0</v>
      </c>
      <c r="P1939" s="183" t="n">
        <v>0</v>
      </c>
      <c r="Q1939" s="184" t="n">
        <v>0</v>
      </c>
      <c r="R1939" s="184" t="n">
        <v>0</v>
      </c>
      <c r="S1939" s="183" t="n">
        <v>0</v>
      </c>
      <c r="T1939" s="183" t="n">
        <v>0</v>
      </c>
      <c r="U1939" s="182" t="n">
        <v>0</v>
      </c>
      <c r="V1939" s="182" t="n">
        <v>0</v>
      </c>
      <c r="W1939" s="182" t="n">
        <v>0</v>
      </c>
      <c r="X1939" s="182" t="n">
        <v>1</v>
      </c>
      <c r="Y1939" s="182" t="n">
        <v>0</v>
      </c>
      <c r="Z1939" s="182" t="n">
        <v>0</v>
      </c>
      <c r="AA1939" s="182" t="n">
        <v>0</v>
      </c>
      <c r="AB1939" s="182" t="n">
        <v>0</v>
      </c>
      <c r="AC1939" s="182" t="n">
        <v>0</v>
      </c>
      <c r="AD1939" s="182" t="n">
        <v>0</v>
      </c>
      <c r="AE1939" s="182" t="n">
        <v>0</v>
      </c>
      <c r="AF1939" s="182" t="n">
        <v>0</v>
      </c>
      <c r="AG1939" s="182" t="n">
        <v>0</v>
      </c>
      <c r="AH1939" s="182" t="n">
        <v>0</v>
      </c>
      <c r="AI1939" s="182" t="n">
        <v>0</v>
      </c>
      <c r="AJ1939" s="182" t="n">
        <v>0</v>
      </c>
      <c r="AK1939" s="182" t="n">
        <v>10.92</v>
      </c>
      <c r="AL1939" s="182" t="n">
        <v>0</v>
      </c>
      <c r="AM1939" s="182" t="n">
        <v>0.08</v>
      </c>
      <c r="AN1939" s="182" t="n">
        <v>0</v>
      </c>
    </row>
    <row r="1940">
      <c r="A1940" s="155" t="n">
        <v>46090</v>
      </c>
      <c r="B1940" s="156" t="inlineStr">
        <is>
          <t>NS</t>
        </is>
      </c>
      <c r="C1940" s="156" t="inlineStr">
        <is>
          <t>DT-505</t>
        </is>
      </c>
      <c r="D1940" s="156" t="inlineStr">
        <is>
          <t>SKT 105S</t>
        </is>
      </c>
      <c r="E1940" s="156" t="inlineStr">
        <is>
          <t>Hauler</t>
        </is>
      </c>
      <c r="F1940" s="156" t="inlineStr">
        <is>
          <t>Hauling OB</t>
        </is>
      </c>
      <c r="G1940" s="182" t="n">
        <v>9.85</v>
      </c>
      <c r="H1940" s="182" t="n">
        <v>0</v>
      </c>
      <c r="I1940" s="182" t="n">
        <v>0</v>
      </c>
      <c r="J1940" s="182" t="n">
        <v>0</v>
      </c>
      <c r="K1940" s="182" t="n">
        <v>2.15</v>
      </c>
      <c r="L1940" s="182" t="n">
        <v>12</v>
      </c>
      <c r="M1940" s="182" t="n">
        <v>9.85</v>
      </c>
      <c r="N1940" s="182" t="n">
        <v>0</v>
      </c>
      <c r="O1940" s="183" t="n">
        <v>31</v>
      </c>
      <c r="P1940" s="183" t="n">
        <v>0</v>
      </c>
      <c r="Q1940" s="184" t="n">
        <v>632.4</v>
      </c>
      <c r="R1940" s="184" t="n">
        <v>0</v>
      </c>
      <c r="S1940" s="183" t="n">
        <v>0</v>
      </c>
      <c r="T1940" s="183" t="n">
        <v>0</v>
      </c>
      <c r="U1940" s="182" t="n">
        <v>0</v>
      </c>
      <c r="V1940" s="182" t="n">
        <v>0</v>
      </c>
      <c r="W1940" s="182" t="n">
        <v>0</v>
      </c>
      <c r="X1940" s="182" t="n">
        <v>1.19</v>
      </c>
      <c r="Y1940" s="182" t="n">
        <v>0</v>
      </c>
      <c r="Z1940" s="182" t="n">
        <v>0.08</v>
      </c>
      <c r="AA1940" s="182" t="n">
        <v>0</v>
      </c>
      <c r="AB1940" s="182" t="n">
        <v>0</v>
      </c>
      <c r="AC1940" s="182" t="n">
        <v>0</v>
      </c>
      <c r="AD1940" s="182" t="n">
        <v>0</v>
      </c>
      <c r="AE1940" s="182" t="n">
        <v>0</v>
      </c>
      <c r="AF1940" s="182" t="n">
        <v>0</v>
      </c>
      <c r="AG1940" s="182" t="n">
        <v>0.3</v>
      </c>
      <c r="AH1940" s="182" t="n">
        <v>0.48</v>
      </c>
      <c r="AI1940" s="182" t="n">
        <v>0</v>
      </c>
      <c r="AJ1940" s="182" t="n">
        <v>0</v>
      </c>
      <c r="AK1940" s="182" t="n">
        <v>0</v>
      </c>
      <c r="AL1940" s="182" t="n">
        <v>0</v>
      </c>
      <c r="AM1940" s="182" t="n">
        <v>0.1</v>
      </c>
      <c r="AN1940" s="182" t="n">
        <v>0</v>
      </c>
    </row>
    <row r="1941">
      <c r="A1941" s="155" t="n">
        <v>46090</v>
      </c>
      <c r="B1941" s="156" t="inlineStr">
        <is>
          <t>NS</t>
        </is>
      </c>
      <c r="C1941" s="156" t="inlineStr">
        <is>
          <t>DT-530</t>
        </is>
      </c>
      <c r="D1941" s="156" t="inlineStr">
        <is>
          <t>SKT 105S</t>
        </is>
      </c>
      <c r="E1941" s="156" t="inlineStr">
        <is>
          <t>Hauler</t>
        </is>
      </c>
      <c r="F1941" s="156" t="inlineStr"/>
      <c r="G1941" s="182" t="n">
        <v>0</v>
      </c>
      <c r="H1941" s="182" t="n">
        <v>0</v>
      </c>
      <c r="I1941" s="182" t="n">
        <v>12</v>
      </c>
      <c r="J1941" s="182" t="n">
        <v>12</v>
      </c>
      <c r="K1941" s="182" t="n">
        <v>0</v>
      </c>
      <c r="L1941" s="182" t="n">
        <v>12</v>
      </c>
      <c r="M1941" s="182" t="n">
        <v>0</v>
      </c>
      <c r="N1941" s="182" t="n">
        <v>0</v>
      </c>
      <c r="O1941" s="183" t="n">
        <v>0</v>
      </c>
      <c r="P1941" s="183" t="n">
        <v>0</v>
      </c>
      <c r="Q1941" s="184" t="n">
        <v>0</v>
      </c>
      <c r="R1941" s="184" t="n">
        <v>0</v>
      </c>
      <c r="S1941" s="183" t="n">
        <v>0</v>
      </c>
      <c r="T1941" s="183" t="n">
        <v>0</v>
      </c>
      <c r="U1941" s="182" t="n">
        <v>0</v>
      </c>
      <c r="V1941" s="182" t="n">
        <v>0</v>
      </c>
      <c r="W1941" s="182" t="n">
        <v>0</v>
      </c>
      <c r="X1941" s="182" t="n">
        <v>0</v>
      </c>
      <c r="Y1941" s="182" t="n">
        <v>0</v>
      </c>
      <c r="Z1941" s="182" t="n">
        <v>0</v>
      </c>
      <c r="AA1941" s="182" t="n">
        <v>0</v>
      </c>
      <c r="AB1941" s="182" t="n">
        <v>0</v>
      </c>
      <c r="AC1941" s="182" t="n">
        <v>0</v>
      </c>
      <c r="AD1941" s="182" t="n">
        <v>0</v>
      </c>
      <c r="AE1941" s="182" t="n">
        <v>0</v>
      </c>
      <c r="AF1941" s="182" t="n">
        <v>0</v>
      </c>
      <c r="AG1941" s="182" t="n">
        <v>0</v>
      </c>
      <c r="AH1941" s="182" t="n">
        <v>0</v>
      </c>
      <c r="AI1941" s="182" t="n">
        <v>0</v>
      </c>
      <c r="AJ1941" s="182" t="n">
        <v>0</v>
      </c>
      <c r="AK1941" s="182" t="n">
        <v>0</v>
      </c>
      <c r="AL1941" s="182" t="n">
        <v>0</v>
      </c>
      <c r="AM1941" s="182" t="n">
        <v>0</v>
      </c>
      <c r="AN1941" s="182" t="n">
        <v>0</v>
      </c>
    </row>
    <row r="1942">
      <c r="A1942" s="155" t="n">
        <v>46090</v>
      </c>
      <c r="B1942" s="156" t="inlineStr">
        <is>
          <t>NS</t>
        </is>
      </c>
      <c r="C1942" s="156" t="inlineStr">
        <is>
          <t>DT-525</t>
        </is>
      </c>
      <c r="D1942" s="156" t="inlineStr">
        <is>
          <t>SKT 105S</t>
        </is>
      </c>
      <c r="E1942" s="156" t="inlineStr">
        <is>
          <t>Hauler</t>
        </is>
      </c>
      <c r="F1942" s="156" t="inlineStr"/>
      <c r="G1942" s="182" t="n">
        <v>0</v>
      </c>
      <c r="H1942" s="182" t="n">
        <v>0</v>
      </c>
      <c r="I1942" s="182" t="n">
        <v>12</v>
      </c>
      <c r="J1942" s="182" t="n">
        <v>12</v>
      </c>
      <c r="K1942" s="182" t="n">
        <v>0</v>
      </c>
      <c r="L1942" s="182" t="n">
        <v>12</v>
      </c>
      <c r="M1942" s="182" t="n">
        <v>0</v>
      </c>
      <c r="N1942" s="182" t="n">
        <v>0</v>
      </c>
      <c r="O1942" s="183" t="n">
        <v>0</v>
      </c>
      <c r="P1942" s="183" t="n">
        <v>0</v>
      </c>
      <c r="Q1942" s="184" t="n">
        <v>0</v>
      </c>
      <c r="R1942" s="184" t="n">
        <v>0</v>
      </c>
      <c r="S1942" s="183" t="n">
        <v>0</v>
      </c>
      <c r="T1942" s="183" t="n">
        <v>0</v>
      </c>
      <c r="U1942" s="182" t="n">
        <v>0</v>
      </c>
      <c r="V1942" s="182" t="n">
        <v>0</v>
      </c>
      <c r="W1942" s="182" t="n">
        <v>0</v>
      </c>
      <c r="X1942" s="182" t="n">
        <v>0</v>
      </c>
      <c r="Y1942" s="182" t="n">
        <v>0</v>
      </c>
      <c r="Z1942" s="182" t="n">
        <v>0</v>
      </c>
      <c r="AA1942" s="182" t="n">
        <v>0</v>
      </c>
      <c r="AB1942" s="182" t="n">
        <v>0</v>
      </c>
      <c r="AC1942" s="182" t="n">
        <v>0</v>
      </c>
      <c r="AD1942" s="182" t="n">
        <v>0</v>
      </c>
      <c r="AE1942" s="182" t="n">
        <v>0</v>
      </c>
      <c r="AF1942" s="182" t="n">
        <v>0</v>
      </c>
      <c r="AG1942" s="182" t="n">
        <v>0</v>
      </c>
      <c r="AH1942" s="182" t="n">
        <v>0</v>
      </c>
      <c r="AI1942" s="182" t="n">
        <v>0</v>
      </c>
      <c r="AJ1942" s="182" t="n">
        <v>0</v>
      </c>
      <c r="AK1942" s="182" t="n">
        <v>0</v>
      </c>
      <c r="AL1942" s="182" t="n">
        <v>0</v>
      </c>
      <c r="AM1942" s="182" t="n">
        <v>0</v>
      </c>
      <c r="AN1942" s="182" t="n">
        <v>0</v>
      </c>
    </row>
    <row r="1943">
      <c r="A1943" s="155" t="n">
        <v>46090</v>
      </c>
      <c r="B1943" s="156" t="inlineStr">
        <is>
          <t>NS</t>
        </is>
      </c>
      <c r="C1943" s="156" t="inlineStr">
        <is>
          <t>DT-503</t>
        </is>
      </c>
      <c r="D1943" s="156" t="inlineStr">
        <is>
          <t>SKT 105S</t>
        </is>
      </c>
      <c r="E1943" s="156" t="inlineStr">
        <is>
          <t>Hauler</t>
        </is>
      </c>
      <c r="F1943" s="156" t="inlineStr">
        <is>
          <t>Hauling OB</t>
        </is>
      </c>
      <c r="G1943" s="182" t="n">
        <v>9.890000000000001</v>
      </c>
      <c r="H1943" s="182" t="n">
        <v>0</v>
      </c>
      <c r="I1943" s="182" t="n">
        <v>0</v>
      </c>
      <c r="J1943" s="182" t="n">
        <v>0</v>
      </c>
      <c r="K1943" s="182" t="n">
        <v>2.11</v>
      </c>
      <c r="L1943" s="182" t="n">
        <v>12</v>
      </c>
      <c r="M1943" s="182" t="n">
        <v>9.890000000000001</v>
      </c>
      <c r="N1943" s="182" t="n">
        <v>0</v>
      </c>
      <c r="O1943" s="183" t="n">
        <v>36</v>
      </c>
      <c r="P1943" s="183" t="n">
        <v>0</v>
      </c>
      <c r="Q1943" s="184" t="n">
        <v>734.4</v>
      </c>
      <c r="R1943" s="184" t="n">
        <v>0</v>
      </c>
      <c r="S1943" s="183" t="n">
        <v>0</v>
      </c>
      <c r="T1943" s="183" t="n">
        <v>0</v>
      </c>
      <c r="U1943" s="182" t="n">
        <v>0</v>
      </c>
      <c r="V1943" s="182" t="n">
        <v>0</v>
      </c>
      <c r="W1943" s="182" t="n">
        <v>0</v>
      </c>
      <c r="X1943" s="182" t="n">
        <v>1</v>
      </c>
      <c r="Y1943" s="182" t="n">
        <v>0</v>
      </c>
      <c r="Z1943" s="182" t="n">
        <v>0</v>
      </c>
      <c r="AA1943" s="182" t="n">
        <v>0</v>
      </c>
      <c r="AB1943" s="182" t="n">
        <v>0</v>
      </c>
      <c r="AC1943" s="182" t="n">
        <v>0</v>
      </c>
      <c r="AD1943" s="182" t="n">
        <v>0</v>
      </c>
      <c r="AE1943" s="182" t="n">
        <v>0</v>
      </c>
      <c r="AF1943" s="182" t="n">
        <v>0</v>
      </c>
      <c r="AG1943" s="182" t="n">
        <v>0.23</v>
      </c>
      <c r="AH1943" s="182" t="n">
        <v>0.78</v>
      </c>
      <c r="AI1943" s="182" t="n">
        <v>0</v>
      </c>
      <c r="AJ1943" s="182" t="n">
        <v>0</v>
      </c>
      <c r="AK1943" s="182" t="n">
        <v>0</v>
      </c>
      <c r="AL1943" s="182" t="n">
        <v>0</v>
      </c>
      <c r="AM1943" s="182" t="n">
        <v>0.08</v>
      </c>
      <c r="AN1943" s="182" t="n">
        <v>0</v>
      </c>
    </row>
    <row r="1944">
      <c r="A1944" s="155" t="n">
        <v>46090</v>
      </c>
      <c r="B1944" s="156" t="inlineStr">
        <is>
          <t>NS</t>
        </is>
      </c>
      <c r="C1944" s="156" t="inlineStr">
        <is>
          <t>DT-504</t>
        </is>
      </c>
      <c r="D1944" s="156" t="inlineStr">
        <is>
          <t>SKT 105S</t>
        </is>
      </c>
      <c r="E1944" s="156" t="inlineStr">
        <is>
          <t>Hauler</t>
        </is>
      </c>
      <c r="F1944" s="156" t="inlineStr">
        <is>
          <t>Hauling OB</t>
        </is>
      </c>
      <c r="G1944" s="182" t="n">
        <v>9.43</v>
      </c>
      <c r="H1944" s="182" t="n">
        <v>0</v>
      </c>
      <c r="I1944" s="182" t="n">
        <v>0.5</v>
      </c>
      <c r="J1944" s="182" t="n">
        <v>0.5</v>
      </c>
      <c r="K1944" s="182" t="n">
        <v>2.07</v>
      </c>
      <c r="L1944" s="182" t="n">
        <v>12</v>
      </c>
      <c r="M1944" s="182" t="n">
        <v>9.43</v>
      </c>
      <c r="N1944" s="182" t="n">
        <v>0</v>
      </c>
      <c r="O1944" s="183" t="n">
        <v>31</v>
      </c>
      <c r="P1944" s="183" t="n">
        <v>0</v>
      </c>
      <c r="Q1944" s="184" t="n">
        <v>632.4</v>
      </c>
      <c r="R1944" s="184" t="n">
        <v>0</v>
      </c>
      <c r="S1944" s="183" t="n">
        <v>0</v>
      </c>
      <c r="T1944" s="183" t="n">
        <v>0</v>
      </c>
      <c r="U1944" s="182" t="n">
        <v>0</v>
      </c>
      <c r="V1944" s="182" t="n">
        <v>0</v>
      </c>
      <c r="W1944" s="182" t="n">
        <v>0</v>
      </c>
      <c r="X1944" s="182" t="n">
        <v>1.03</v>
      </c>
      <c r="Y1944" s="182" t="n">
        <v>0</v>
      </c>
      <c r="Z1944" s="182" t="n">
        <v>0.07000000000000001</v>
      </c>
      <c r="AA1944" s="182" t="n">
        <v>0</v>
      </c>
      <c r="AB1944" s="182" t="n">
        <v>0</v>
      </c>
      <c r="AC1944" s="182" t="n">
        <v>0</v>
      </c>
      <c r="AD1944" s="182" t="n">
        <v>0</v>
      </c>
      <c r="AE1944" s="182" t="n">
        <v>0</v>
      </c>
      <c r="AF1944" s="182" t="n">
        <v>0</v>
      </c>
      <c r="AG1944" s="182" t="n">
        <v>0.18</v>
      </c>
      <c r="AH1944" s="182" t="n">
        <v>0.7</v>
      </c>
      <c r="AI1944" s="182" t="n">
        <v>0</v>
      </c>
      <c r="AJ1944" s="182" t="n">
        <v>0</v>
      </c>
      <c r="AK1944" s="182" t="n">
        <v>0</v>
      </c>
      <c r="AL1944" s="182" t="n">
        <v>0</v>
      </c>
      <c r="AM1944" s="182" t="n">
        <v>0.08</v>
      </c>
      <c r="AN1944" s="182" t="n">
        <v>0</v>
      </c>
    </row>
    <row r="1945">
      <c r="A1945" s="155" t="n">
        <v>46090</v>
      </c>
      <c r="B1945" s="156" t="inlineStr">
        <is>
          <t>NS</t>
        </is>
      </c>
      <c r="C1945" s="156" t="inlineStr">
        <is>
          <t>DT-507</t>
        </is>
      </c>
      <c r="D1945" s="156" t="inlineStr">
        <is>
          <t>SKT 105S</t>
        </is>
      </c>
      <c r="E1945" s="156" t="inlineStr">
        <is>
          <t>Hauler</t>
        </is>
      </c>
      <c r="F1945" s="156" t="inlineStr"/>
      <c r="G1945" s="182" t="n">
        <v>0</v>
      </c>
      <c r="H1945" s="182" t="n">
        <v>0</v>
      </c>
      <c r="I1945" s="182" t="n">
        <v>12</v>
      </c>
      <c r="J1945" s="182" t="n">
        <v>12</v>
      </c>
      <c r="K1945" s="182" t="n">
        <v>0</v>
      </c>
      <c r="L1945" s="182" t="n">
        <v>12</v>
      </c>
      <c r="M1945" s="182" t="n">
        <v>0</v>
      </c>
      <c r="N1945" s="182" t="n">
        <v>0</v>
      </c>
      <c r="O1945" s="183" t="n">
        <v>0</v>
      </c>
      <c r="P1945" s="183" t="n">
        <v>0</v>
      </c>
      <c r="Q1945" s="184" t="n">
        <v>0</v>
      </c>
      <c r="R1945" s="184" t="n">
        <v>0</v>
      </c>
      <c r="S1945" s="183" t="n">
        <v>0</v>
      </c>
      <c r="T1945" s="183" t="n">
        <v>0</v>
      </c>
      <c r="U1945" s="182" t="n">
        <v>0</v>
      </c>
      <c r="V1945" s="182" t="n">
        <v>0</v>
      </c>
      <c r="W1945" s="182" t="n">
        <v>0</v>
      </c>
      <c r="X1945" s="182" t="n">
        <v>0</v>
      </c>
      <c r="Y1945" s="182" t="n">
        <v>0</v>
      </c>
      <c r="Z1945" s="182" t="n">
        <v>0</v>
      </c>
      <c r="AA1945" s="182" t="n">
        <v>0</v>
      </c>
      <c r="AB1945" s="182" t="n">
        <v>0</v>
      </c>
      <c r="AC1945" s="182" t="n">
        <v>0</v>
      </c>
      <c r="AD1945" s="182" t="n">
        <v>0</v>
      </c>
      <c r="AE1945" s="182" t="n">
        <v>0</v>
      </c>
      <c r="AF1945" s="182" t="n">
        <v>0</v>
      </c>
      <c r="AG1945" s="182" t="n">
        <v>0</v>
      </c>
      <c r="AH1945" s="182" t="n">
        <v>0</v>
      </c>
      <c r="AI1945" s="182" t="n">
        <v>0</v>
      </c>
      <c r="AJ1945" s="182" t="n">
        <v>0</v>
      </c>
      <c r="AK1945" s="182" t="n">
        <v>0</v>
      </c>
      <c r="AL1945" s="182" t="n">
        <v>0</v>
      </c>
      <c r="AM1945" s="182" t="n">
        <v>0</v>
      </c>
      <c r="AN1945" s="182" t="n">
        <v>0</v>
      </c>
    </row>
    <row r="1946">
      <c r="A1946" s="155" t="n">
        <v>46090</v>
      </c>
      <c r="B1946" s="156" t="inlineStr">
        <is>
          <t>NS</t>
        </is>
      </c>
      <c r="C1946" s="156" t="inlineStr">
        <is>
          <t>DT-501</t>
        </is>
      </c>
      <c r="D1946" s="156" t="inlineStr">
        <is>
          <t>SKT 105S</t>
        </is>
      </c>
      <c r="E1946" s="156" t="inlineStr">
        <is>
          <t>Hauler</t>
        </is>
      </c>
      <c r="F1946" s="156" t="inlineStr">
        <is>
          <t>Hauling Coal &amp; OB</t>
        </is>
      </c>
      <c r="G1946" s="182" t="n">
        <v>6.41</v>
      </c>
      <c r="H1946" s="182" t="n">
        <v>0</v>
      </c>
      <c r="I1946" s="182" t="n">
        <v>0</v>
      </c>
      <c r="J1946" s="182" t="n">
        <v>0</v>
      </c>
      <c r="K1946" s="182" t="n">
        <v>5.59</v>
      </c>
      <c r="L1946" s="182" t="n">
        <v>12</v>
      </c>
      <c r="M1946" s="182" t="n">
        <v>3.26</v>
      </c>
      <c r="N1946" s="182" t="n">
        <v>3.15</v>
      </c>
      <c r="O1946" s="183" t="n">
        <v>5</v>
      </c>
      <c r="P1946" s="183" t="n">
        <v>8</v>
      </c>
      <c r="Q1946" s="184" t="n">
        <v>102</v>
      </c>
      <c r="R1946" s="184" t="n">
        <v>149.6</v>
      </c>
      <c r="S1946" s="183" t="n">
        <v>0</v>
      </c>
      <c r="T1946" s="183" t="n">
        <v>0</v>
      </c>
      <c r="U1946" s="182" t="n">
        <v>0</v>
      </c>
      <c r="V1946" s="182" t="n">
        <v>0</v>
      </c>
      <c r="W1946" s="182" t="n">
        <v>0</v>
      </c>
      <c r="X1946" s="182" t="n">
        <v>0</v>
      </c>
      <c r="Y1946" s="182" t="n">
        <v>0</v>
      </c>
      <c r="Z1946" s="182" t="n">
        <v>0.07000000000000001</v>
      </c>
      <c r="AA1946" s="182" t="n">
        <v>0</v>
      </c>
      <c r="AB1946" s="182" t="n">
        <v>0</v>
      </c>
      <c r="AC1946" s="182" t="n">
        <v>0</v>
      </c>
      <c r="AD1946" s="182" t="n">
        <v>0</v>
      </c>
      <c r="AE1946" s="182" t="n">
        <v>0</v>
      </c>
      <c r="AF1946" s="182" t="n">
        <v>0</v>
      </c>
      <c r="AG1946" s="182" t="n">
        <v>0.71</v>
      </c>
      <c r="AH1946" s="182" t="n">
        <v>0.47</v>
      </c>
      <c r="AI1946" s="182" t="n">
        <v>4.26</v>
      </c>
      <c r="AJ1946" s="182" t="n">
        <v>0</v>
      </c>
      <c r="AK1946" s="182" t="n">
        <v>0</v>
      </c>
      <c r="AL1946" s="182" t="n">
        <v>0</v>
      </c>
      <c r="AM1946" s="182" t="n">
        <v>0.08</v>
      </c>
      <c r="AN1946" s="182" t="n">
        <v>0</v>
      </c>
    </row>
    <row r="1947">
      <c r="A1947" s="155" t="n">
        <v>46090</v>
      </c>
      <c r="B1947" s="156" t="inlineStr">
        <is>
          <t>NS</t>
        </is>
      </c>
      <c r="C1947" s="156" t="inlineStr">
        <is>
          <t>DT-518</t>
        </is>
      </c>
      <c r="D1947" s="156" t="inlineStr">
        <is>
          <t>SKT 105S</t>
        </is>
      </c>
      <c r="E1947" s="156" t="inlineStr">
        <is>
          <t>Hauler</t>
        </is>
      </c>
      <c r="F1947" s="156" t="inlineStr">
        <is>
          <t>Hauling Coal Dirty S45 // S60 Pro</t>
        </is>
      </c>
      <c r="G1947" s="182" t="n">
        <v>1.35</v>
      </c>
      <c r="H1947" s="182" t="n">
        <v>0</v>
      </c>
      <c r="I1947" s="182" t="n">
        <v>6.75</v>
      </c>
      <c r="J1947" s="182" t="n">
        <v>6.75</v>
      </c>
      <c r="K1947" s="182" t="n">
        <v>3.9</v>
      </c>
      <c r="L1947" s="182" t="n">
        <v>12</v>
      </c>
      <c r="M1947" s="182" t="n">
        <v>0.79</v>
      </c>
      <c r="N1947" s="182" t="n">
        <v>0.57</v>
      </c>
      <c r="O1947" s="183" t="n">
        <v>2</v>
      </c>
      <c r="P1947" s="183" t="n">
        <v>2</v>
      </c>
      <c r="Q1947" s="184" t="n">
        <v>40.8</v>
      </c>
      <c r="R1947" s="184" t="n">
        <v>37.4</v>
      </c>
      <c r="S1947" s="183" t="n">
        <v>0</v>
      </c>
      <c r="T1947" s="183" t="n">
        <v>0</v>
      </c>
      <c r="U1947" s="182" t="n">
        <v>0</v>
      </c>
      <c r="V1947" s="182" t="n">
        <v>0</v>
      </c>
      <c r="W1947" s="182" t="n">
        <v>0</v>
      </c>
      <c r="X1947" s="182" t="n">
        <v>0.27</v>
      </c>
      <c r="Y1947" s="182" t="n">
        <v>0</v>
      </c>
      <c r="Z1947" s="182" t="n">
        <v>0</v>
      </c>
      <c r="AA1947" s="182" t="n">
        <v>0</v>
      </c>
      <c r="AB1947" s="182" t="n">
        <v>0</v>
      </c>
      <c r="AC1947" s="182" t="n">
        <v>0</v>
      </c>
      <c r="AD1947" s="182" t="n">
        <v>0</v>
      </c>
      <c r="AE1947" s="182" t="n">
        <v>0</v>
      </c>
      <c r="AF1947" s="182" t="n">
        <v>0</v>
      </c>
      <c r="AG1947" s="182" t="n">
        <v>0</v>
      </c>
      <c r="AH1947" s="182" t="n">
        <v>0.53</v>
      </c>
      <c r="AI1947" s="182" t="n">
        <v>0</v>
      </c>
      <c r="AJ1947" s="182" t="n">
        <v>0</v>
      </c>
      <c r="AK1947" s="182" t="n">
        <v>3.01</v>
      </c>
      <c r="AL1947" s="182" t="n">
        <v>0</v>
      </c>
      <c r="AM1947" s="182" t="n">
        <v>0.09</v>
      </c>
      <c r="AN1947" s="182" t="n">
        <v>0</v>
      </c>
    </row>
    <row r="1948">
      <c r="A1948" s="155" t="n">
        <v>46090</v>
      </c>
      <c r="B1948" s="156" t="inlineStr">
        <is>
          <t>NS</t>
        </is>
      </c>
      <c r="C1948" s="156" t="inlineStr">
        <is>
          <t>DT-514</t>
        </is>
      </c>
      <c r="D1948" s="156" t="inlineStr">
        <is>
          <t>SKT 105S</t>
        </is>
      </c>
      <c r="E1948" s="156" t="inlineStr">
        <is>
          <t>Hauler</t>
        </is>
      </c>
      <c r="F1948" s="156" t="inlineStr">
        <is>
          <t>Hauling Coal Dirty S45 &amp; OB</t>
        </is>
      </c>
      <c r="G1948" s="182" t="n">
        <v>6.82</v>
      </c>
      <c r="H1948" s="182" t="n">
        <v>0</v>
      </c>
      <c r="I1948" s="182" t="n">
        <v>0</v>
      </c>
      <c r="J1948" s="182" t="n">
        <v>0</v>
      </c>
      <c r="K1948" s="182" t="n">
        <v>5.18</v>
      </c>
      <c r="L1948" s="182" t="n">
        <v>12</v>
      </c>
      <c r="M1948" s="182" t="n">
        <v>3.33</v>
      </c>
      <c r="N1948" s="182" t="n">
        <v>3.49</v>
      </c>
      <c r="O1948" s="183" t="n">
        <v>7</v>
      </c>
      <c r="P1948" s="183" t="n">
        <v>11</v>
      </c>
      <c r="Q1948" s="184" t="n">
        <v>142.8</v>
      </c>
      <c r="R1948" s="184" t="n">
        <v>205.7</v>
      </c>
      <c r="S1948" s="183" t="n">
        <v>0</v>
      </c>
      <c r="T1948" s="183" t="n">
        <v>0</v>
      </c>
      <c r="U1948" s="182" t="n">
        <v>0</v>
      </c>
      <c r="V1948" s="182" t="n">
        <v>0</v>
      </c>
      <c r="W1948" s="182" t="n">
        <v>0</v>
      </c>
      <c r="X1948" s="182" t="n">
        <v>0.9399999999999999</v>
      </c>
      <c r="Y1948" s="182" t="n">
        <v>0</v>
      </c>
      <c r="Z1948" s="182" t="n">
        <v>0.07000000000000001</v>
      </c>
      <c r="AA1948" s="182" t="n">
        <v>0</v>
      </c>
      <c r="AB1948" s="182" t="n">
        <v>0</v>
      </c>
      <c r="AC1948" s="182" t="n">
        <v>0</v>
      </c>
      <c r="AD1948" s="182" t="n">
        <v>0</v>
      </c>
      <c r="AE1948" s="182" t="n">
        <v>0</v>
      </c>
      <c r="AF1948" s="182" t="n">
        <v>0</v>
      </c>
      <c r="AG1948" s="182" t="n">
        <v>0</v>
      </c>
      <c r="AH1948" s="182" t="n">
        <v>0.47</v>
      </c>
      <c r="AI1948" s="182" t="n">
        <v>0</v>
      </c>
      <c r="AJ1948" s="182" t="n">
        <v>0</v>
      </c>
      <c r="AK1948" s="182" t="n">
        <v>3.63</v>
      </c>
      <c r="AL1948" s="182" t="n">
        <v>0</v>
      </c>
      <c r="AM1948" s="182" t="n">
        <v>0.08</v>
      </c>
      <c r="AN1948" s="182" t="n">
        <v>0</v>
      </c>
    </row>
    <row r="1949">
      <c r="A1949" s="155" t="n">
        <v>46090</v>
      </c>
      <c r="B1949" s="156" t="inlineStr">
        <is>
          <t>NS</t>
        </is>
      </c>
      <c r="C1949" s="156" t="inlineStr">
        <is>
          <t>DT-523</t>
        </is>
      </c>
      <c r="D1949" s="156" t="inlineStr">
        <is>
          <t>SKT 105S</t>
        </is>
      </c>
      <c r="E1949" s="156" t="inlineStr">
        <is>
          <t>Hauler</t>
        </is>
      </c>
      <c r="F1949" s="156" t="inlineStr">
        <is>
          <t>Hauling Coal S45 &amp; OB</t>
        </is>
      </c>
      <c r="G1949" s="182" t="n">
        <v>10.3</v>
      </c>
      <c r="H1949" s="182" t="n">
        <v>0</v>
      </c>
      <c r="I1949" s="182" t="n">
        <v>0</v>
      </c>
      <c r="J1949" s="182" t="n">
        <v>0</v>
      </c>
      <c r="K1949" s="182" t="n">
        <v>1.7</v>
      </c>
      <c r="L1949" s="182" t="n">
        <v>12</v>
      </c>
      <c r="M1949" s="182" t="n">
        <v>3.57</v>
      </c>
      <c r="N1949" s="182" t="n">
        <v>6.74</v>
      </c>
      <c r="O1949" s="183" t="n">
        <v>9</v>
      </c>
      <c r="P1949" s="183" t="n">
        <v>19</v>
      </c>
      <c r="Q1949" s="184" t="n">
        <v>183.6</v>
      </c>
      <c r="R1949" s="184" t="n">
        <v>355.3</v>
      </c>
      <c r="S1949" s="183" t="n">
        <v>0</v>
      </c>
      <c r="T1949" s="183" t="n">
        <v>0</v>
      </c>
      <c r="U1949" s="182" t="n">
        <v>0</v>
      </c>
      <c r="V1949" s="182" t="n">
        <v>0</v>
      </c>
      <c r="W1949" s="182" t="n">
        <v>0</v>
      </c>
      <c r="X1949" s="182" t="n">
        <v>0.9399999999999999</v>
      </c>
      <c r="Y1949" s="182" t="n">
        <v>0</v>
      </c>
      <c r="Z1949" s="182" t="n">
        <v>0.07000000000000001</v>
      </c>
      <c r="AA1949" s="182" t="n">
        <v>0</v>
      </c>
      <c r="AB1949" s="182" t="n">
        <v>0</v>
      </c>
      <c r="AC1949" s="182" t="n">
        <v>0</v>
      </c>
      <c r="AD1949" s="182" t="n">
        <v>0</v>
      </c>
      <c r="AE1949" s="182" t="n">
        <v>0</v>
      </c>
      <c r="AF1949" s="182" t="n">
        <v>0</v>
      </c>
      <c r="AG1949" s="182" t="n">
        <v>0</v>
      </c>
      <c r="AH1949" s="182" t="n">
        <v>0.61</v>
      </c>
      <c r="AI1949" s="182" t="n">
        <v>0</v>
      </c>
      <c r="AJ1949" s="182" t="n">
        <v>0</v>
      </c>
      <c r="AK1949" s="182" t="n">
        <v>0</v>
      </c>
      <c r="AL1949" s="182" t="n">
        <v>0</v>
      </c>
      <c r="AM1949" s="182" t="n">
        <v>0.08</v>
      </c>
      <c r="AN1949" s="182" t="n">
        <v>0</v>
      </c>
    </row>
    <row r="1950">
      <c r="A1950" s="155" t="n">
        <v>46090</v>
      </c>
      <c r="B1950" s="156" t="inlineStr">
        <is>
          <t>NS</t>
        </is>
      </c>
      <c r="C1950" s="156" t="inlineStr">
        <is>
          <t>DT-519</t>
        </is>
      </c>
      <c r="D1950" s="156" t="inlineStr">
        <is>
          <t>SKT 105S</t>
        </is>
      </c>
      <c r="E1950" s="156" t="inlineStr">
        <is>
          <t>Hauler</t>
        </is>
      </c>
      <c r="F1950" s="156" t="inlineStr"/>
      <c r="G1950" s="182" t="n">
        <v>0</v>
      </c>
      <c r="H1950" s="182" t="n">
        <v>0</v>
      </c>
      <c r="I1950" s="182" t="n">
        <v>12</v>
      </c>
      <c r="J1950" s="182" t="n">
        <v>12</v>
      </c>
      <c r="K1950" s="182" t="n">
        <v>0</v>
      </c>
      <c r="L1950" s="182" t="n">
        <v>12</v>
      </c>
      <c r="M1950" s="182" t="n">
        <v>0</v>
      </c>
      <c r="N1950" s="182" t="n">
        <v>0</v>
      </c>
      <c r="O1950" s="183" t="n">
        <v>0</v>
      </c>
      <c r="P1950" s="183" t="n">
        <v>0</v>
      </c>
      <c r="Q1950" s="184" t="n">
        <v>0</v>
      </c>
      <c r="R1950" s="184" t="n">
        <v>0</v>
      </c>
      <c r="S1950" s="183" t="n">
        <v>0</v>
      </c>
      <c r="T1950" s="183" t="n">
        <v>0</v>
      </c>
      <c r="U1950" s="182" t="n">
        <v>0</v>
      </c>
      <c r="V1950" s="182" t="n">
        <v>0</v>
      </c>
      <c r="W1950" s="182" t="n">
        <v>0</v>
      </c>
      <c r="X1950" s="182" t="n">
        <v>0</v>
      </c>
      <c r="Y1950" s="182" t="n">
        <v>0</v>
      </c>
      <c r="Z1950" s="182" t="n">
        <v>0</v>
      </c>
      <c r="AA1950" s="182" t="n">
        <v>0</v>
      </c>
      <c r="AB1950" s="182" t="n">
        <v>0</v>
      </c>
      <c r="AC1950" s="182" t="n">
        <v>0</v>
      </c>
      <c r="AD1950" s="182" t="n">
        <v>0</v>
      </c>
      <c r="AE1950" s="182" t="n">
        <v>0</v>
      </c>
      <c r="AF1950" s="182" t="n">
        <v>0</v>
      </c>
      <c r="AG1950" s="182" t="n">
        <v>0</v>
      </c>
      <c r="AH1950" s="182" t="n">
        <v>0</v>
      </c>
      <c r="AI1950" s="182" t="n">
        <v>0</v>
      </c>
      <c r="AJ1950" s="182" t="n">
        <v>0</v>
      </c>
      <c r="AK1950" s="182" t="n">
        <v>0</v>
      </c>
      <c r="AL1950" s="182" t="n">
        <v>0</v>
      </c>
      <c r="AM1950" s="182" t="n">
        <v>0</v>
      </c>
      <c r="AN1950" s="182" t="n">
        <v>0</v>
      </c>
    </row>
    <row r="1951">
      <c r="A1951" s="155" t="n">
        <v>46090</v>
      </c>
      <c r="B1951" s="156" t="inlineStr">
        <is>
          <t>NS</t>
        </is>
      </c>
      <c r="C1951" s="156" t="inlineStr">
        <is>
          <t>DT-527</t>
        </is>
      </c>
      <c r="D1951" s="156" t="inlineStr">
        <is>
          <t>SKT 105S</t>
        </is>
      </c>
      <c r="E1951" s="156" t="inlineStr">
        <is>
          <t>Hauler</t>
        </is>
      </c>
      <c r="F1951" s="156" t="inlineStr">
        <is>
          <t>Hauling Coal &amp; OB</t>
        </is>
      </c>
      <c r="G1951" s="182" t="n">
        <v>5.66</v>
      </c>
      <c r="H1951" s="182" t="n">
        <v>0</v>
      </c>
      <c r="I1951" s="182" t="n">
        <v>0</v>
      </c>
      <c r="J1951" s="182" t="n">
        <v>0</v>
      </c>
      <c r="K1951" s="182" t="n">
        <v>6.34</v>
      </c>
      <c r="L1951" s="182" t="n">
        <v>12</v>
      </c>
      <c r="M1951" s="182" t="n">
        <v>2.14</v>
      </c>
      <c r="N1951" s="182" t="n">
        <v>3.52</v>
      </c>
      <c r="O1951" s="183" t="n">
        <v>9</v>
      </c>
      <c r="P1951" s="183" t="n">
        <v>12</v>
      </c>
      <c r="Q1951" s="184" t="n">
        <v>183.6</v>
      </c>
      <c r="R1951" s="184" t="n">
        <v>224.4</v>
      </c>
      <c r="S1951" s="183" t="n">
        <v>0</v>
      </c>
      <c r="T1951" s="183" t="n">
        <v>0</v>
      </c>
      <c r="U1951" s="182" t="n">
        <v>0</v>
      </c>
      <c r="V1951" s="182" t="n">
        <v>0</v>
      </c>
      <c r="W1951" s="182" t="n">
        <v>0</v>
      </c>
      <c r="X1951" s="182" t="n">
        <v>1.04</v>
      </c>
      <c r="Y1951" s="182" t="n">
        <v>0</v>
      </c>
      <c r="Z1951" s="182" t="n">
        <v>0.07000000000000001</v>
      </c>
      <c r="AA1951" s="182" t="n">
        <v>0</v>
      </c>
      <c r="AB1951" s="182" t="n">
        <v>0</v>
      </c>
      <c r="AC1951" s="182" t="n">
        <v>0</v>
      </c>
      <c r="AD1951" s="182" t="n">
        <v>0</v>
      </c>
      <c r="AE1951" s="182" t="n">
        <v>0</v>
      </c>
      <c r="AF1951" s="182" t="n">
        <v>0</v>
      </c>
      <c r="AG1951" s="182" t="n">
        <v>0</v>
      </c>
      <c r="AH1951" s="182" t="n">
        <v>0.47</v>
      </c>
      <c r="AI1951" s="182" t="n">
        <v>4.68</v>
      </c>
      <c r="AJ1951" s="182" t="n">
        <v>0</v>
      </c>
      <c r="AK1951" s="182" t="n">
        <v>0</v>
      </c>
      <c r="AL1951" s="182" t="n">
        <v>0</v>
      </c>
      <c r="AM1951" s="182" t="n">
        <v>0.08</v>
      </c>
      <c r="AN1951" s="182" t="n">
        <v>0</v>
      </c>
    </row>
    <row r="1952">
      <c r="A1952" s="155" t="n">
        <v>46090</v>
      </c>
      <c r="B1952" s="156" t="inlineStr">
        <is>
          <t>NS</t>
        </is>
      </c>
      <c r="C1952" s="156" t="inlineStr">
        <is>
          <t>DT-513</t>
        </is>
      </c>
      <c r="D1952" s="156" t="inlineStr">
        <is>
          <t>SKT 105S</t>
        </is>
      </c>
      <c r="E1952" s="156" t="inlineStr">
        <is>
          <t>Hauler</t>
        </is>
      </c>
      <c r="F1952" s="156" t="inlineStr">
        <is>
          <t>Hauling OB</t>
        </is>
      </c>
      <c r="G1952" s="182" t="n">
        <v>7.07</v>
      </c>
      <c r="H1952" s="182" t="n">
        <v>0</v>
      </c>
      <c r="I1952" s="182" t="n">
        <v>3</v>
      </c>
      <c r="J1952" s="182" t="n">
        <v>3</v>
      </c>
      <c r="K1952" s="182" t="n">
        <v>1.93</v>
      </c>
      <c r="L1952" s="182" t="n">
        <v>12</v>
      </c>
      <c r="M1952" s="182" t="n">
        <v>7.07</v>
      </c>
      <c r="N1952" s="182" t="n">
        <v>0</v>
      </c>
      <c r="O1952" s="183" t="n">
        <v>20</v>
      </c>
      <c r="P1952" s="183" t="n">
        <v>0</v>
      </c>
      <c r="Q1952" s="184" t="n">
        <v>408</v>
      </c>
      <c r="R1952" s="184" t="n">
        <v>0</v>
      </c>
      <c r="S1952" s="183" t="n">
        <v>0</v>
      </c>
      <c r="T1952" s="183" t="n">
        <v>0</v>
      </c>
      <c r="U1952" s="182" t="n">
        <v>0</v>
      </c>
      <c r="V1952" s="182" t="n">
        <v>0</v>
      </c>
      <c r="W1952" s="182" t="n">
        <v>0</v>
      </c>
      <c r="X1952" s="182" t="n">
        <v>0.92</v>
      </c>
      <c r="Y1952" s="182" t="n">
        <v>0</v>
      </c>
      <c r="Z1952" s="182" t="n">
        <v>0.06</v>
      </c>
      <c r="AA1952" s="182" t="n">
        <v>0</v>
      </c>
      <c r="AB1952" s="182" t="n">
        <v>0</v>
      </c>
      <c r="AC1952" s="182" t="n">
        <v>0</v>
      </c>
      <c r="AD1952" s="182" t="n">
        <v>0</v>
      </c>
      <c r="AE1952" s="182" t="n">
        <v>0</v>
      </c>
      <c r="AF1952" s="182" t="n">
        <v>0</v>
      </c>
      <c r="AG1952" s="182" t="n">
        <v>0.23</v>
      </c>
      <c r="AH1952" s="182" t="n">
        <v>0.64</v>
      </c>
      <c r="AI1952" s="182" t="n">
        <v>0</v>
      </c>
      <c r="AJ1952" s="182" t="n">
        <v>0</v>
      </c>
      <c r="AK1952" s="182" t="n">
        <v>0</v>
      </c>
      <c r="AL1952" s="182" t="n">
        <v>0</v>
      </c>
      <c r="AM1952" s="182" t="n">
        <v>0.07000000000000001</v>
      </c>
      <c r="AN1952" s="182" t="n">
        <v>0</v>
      </c>
    </row>
    <row r="1953">
      <c r="A1953" s="155" t="n">
        <v>46090</v>
      </c>
      <c r="B1953" s="156" t="inlineStr">
        <is>
          <t>NS</t>
        </is>
      </c>
      <c r="C1953" s="156" t="inlineStr">
        <is>
          <t>DT-512</t>
        </is>
      </c>
      <c r="D1953" s="156" t="inlineStr">
        <is>
          <t>SKT 105S</t>
        </is>
      </c>
      <c r="E1953" s="156" t="inlineStr">
        <is>
          <t>Hauler</t>
        </is>
      </c>
      <c r="F1953" s="156" t="inlineStr">
        <is>
          <t>Hauling OB</t>
        </is>
      </c>
      <c r="G1953" s="182" t="n">
        <v>3.52</v>
      </c>
      <c r="H1953" s="182" t="n">
        <v>0</v>
      </c>
      <c r="I1953" s="182" t="n">
        <v>0.42</v>
      </c>
      <c r="J1953" s="182" t="n">
        <v>0.42</v>
      </c>
      <c r="K1953" s="182" t="n">
        <v>8.06</v>
      </c>
      <c r="L1953" s="182" t="n">
        <v>12</v>
      </c>
      <c r="M1953" s="182" t="n">
        <v>3.52</v>
      </c>
      <c r="N1953" s="182" t="n">
        <v>0</v>
      </c>
      <c r="O1953" s="183" t="n">
        <v>11</v>
      </c>
      <c r="P1953" s="183" t="n">
        <v>0</v>
      </c>
      <c r="Q1953" s="184" t="n">
        <v>224.4</v>
      </c>
      <c r="R1953" s="184" t="n">
        <v>0</v>
      </c>
      <c r="S1953" s="183" t="n">
        <v>0</v>
      </c>
      <c r="T1953" s="183" t="n">
        <v>0</v>
      </c>
      <c r="U1953" s="182" t="n">
        <v>0</v>
      </c>
      <c r="V1953" s="182" t="n">
        <v>0</v>
      </c>
      <c r="W1953" s="182" t="n">
        <v>0</v>
      </c>
      <c r="X1953" s="182" t="n">
        <v>1.02</v>
      </c>
      <c r="Y1953" s="182" t="n">
        <v>0</v>
      </c>
      <c r="Z1953" s="182" t="n">
        <v>0.07000000000000001</v>
      </c>
      <c r="AA1953" s="182" t="n">
        <v>0</v>
      </c>
      <c r="AB1953" s="182" t="n">
        <v>0</v>
      </c>
      <c r="AC1953" s="182" t="n">
        <v>0</v>
      </c>
      <c r="AD1953" s="182" t="n">
        <v>0</v>
      </c>
      <c r="AE1953" s="182" t="n">
        <v>0</v>
      </c>
      <c r="AF1953" s="182" t="n">
        <v>0</v>
      </c>
      <c r="AG1953" s="182" t="n">
        <v>0.43</v>
      </c>
      <c r="AH1953" s="182" t="n">
        <v>0.33</v>
      </c>
      <c r="AI1953" s="182" t="n">
        <v>0</v>
      </c>
      <c r="AJ1953" s="182" t="n">
        <v>0</v>
      </c>
      <c r="AK1953" s="182" t="n">
        <v>6.14</v>
      </c>
      <c r="AL1953" s="182" t="n">
        <v>0</v>
      </c>
      <c r="AM1953" s="182" t="n">
        <v>0.08</v>
      </c>
      <c r="AN1953" s="182" t="n">
        <v>0</v>
      </c>
    </row>
    <row r="1954">
      <c r="A1954" s="155" t="n">
        <v>46090</v>
      </c>
      <c r="B1954" s="156" t="inlineStr">
        <is>
          <t>NS</t>
        </is>
      </c>
      <c r="C1954" s="156" t="inlineStr">
        <is>
          <t>DT-522</t>
        </is>
      </c>
      <c r="D1954" s="156" t="inlineStr">
        <is>
          <t>SKT 105S</t>
        </is>
      </c>
      <c r="E1954" s="156" t="inlineStr">
        <is>
          <t>Hauler</t>
        </is>
      </c>
      <c r="F1954" s="156" t="inlineStr">
        <is>
          <t>Hauling Coal &amp; OB</t>
        </is>
      </c>
      <c r="G1954" s="182" t="n">
        <v>6.06</v>
      </c>
      <c r="H1954" s="182" t="n">
        <v>0</v>
      </c>
      <c r="I1954" s="182" t="n">
        <v>0</v>
      </c>
      <c r="J1954" s="182" t="n">
        <v>0</v>
      </c>
      <c r="K1954" s="182" t="n">
        <v>5.94</v>
      </c>
      <c r="L1954" s="182" t="n">
        <v>12</v>
      </c>
      <c r="M1954" s="182" t="n">
        <v>2.75</v>
      </c>
      <c r="N1954" s="182" t="n">
        <v>3.31</v>
      </c>
      <c r="O1954" s="183" t="n">
        <v>9</v>
      </c>
      <c r="P1954" s="183" t="n">
        <v>11</v>
      </c>
      <c r="Q1954" s="184" t="n">
        <v>183.6</v>
      </c>
      <c r="R1954" s="184" t="n">
        <v>205.7</v>
      </c>
      <c r="S1954" s="183" t="n">
        <v>0</v>
      </c>
      <c r="T1954" s="183" t="n">
        <v>0</v>
      </c>
      <c r="U1954" s="182" t="n">
        <v>0</v>
      </c>
      <c r="V1954" s="182" t="n">
        <v>0</v>
      </c>
      <c r="W1954" s="182" t="n">
        <v>0</v>
      </c>
      <c r="X1954" s="182" t="n">
        <v>1.01</v>
      </c>
      <c r="Y1954" s="182" t="n">
        <v>0</v>
      </c>
      <c r="Z1954" s="182" t="n">
        <v>0.07000000000000001</v>
      </c>
      <c r="AA1954" s="182" t="n">
        <v>0</v>
      </c>
      <c r="AB1954" s="182" t="n">
        <v>0</v>
      </c>
      <c r="AC1954" s="182" t="n">
        <v>0</v>
      </c>
      <c r="AD1954" s="182" t="n">
        <v>0</v>
      </c>
      <c r="AE1954" s="182" t="n">
        <v>0</v>
      </c>
      <c r="AF1954" s="182" t="n">
        <v>0</v>
      </c>
      <c r="AG1954" s="182" t="n">
        <v>0</v>
      </c>
      <c r="AH1954" s="182" t="n">
        <v>0.25</v>
      </c>
      <c r="AI1954" s="182" t="n">
        <v>4.53</v>
      </c>
      <c r="AJ1954" s="182" t="n">
        <v>0</v>
      </c>
      <c r="AK1954" s="182" t="n">
        <v>0</v>
      </c>
      <c r="AL1954" s="182" t="n">
        <v>0</v>
      </c>
      <c r="AM1954" s="182" t="n">
        <v>0.08</v>
      </c>
      <c r="AN1954" s="182" t="n">
        <v>0</v>
      </c>
    </row>
    <row r="1955">
      <c r="A1955" s="155" t="n">
        <v>46090</v>
      </c>
      <c r="B1955" s="156" t="inlineStr">
        <is>
          <t>NS</t>
        </is>
      </c>
      <c r="C1955" s="156" t="inlineStr">
        <is>
          <t>DT-517</t>
        </is>
      </c>
      <c r="D1955" s="156" t="inlineStr">
        <is>
          <t>SKT 105S</t>
        </is>
      </c>
      <c r="E1955" s="156" t="inlineStr">
        <is>
          <t>Hauler</t>
        </is>
      </c>
      <c r="F1955" s="156" t="inlineStr">
        <is>
          <t>Hauling OB</t>
        </is>
      </c>
      <c r="G1955" s="182" t="n">
        <v>10.26</v>
      </c>
      <c r="H1955" s="182" t="n">
        <v>0</v>
      </c>
      <c r="I1955" s="182" t="n">
        <v>0</v>
      </c>
      <c r="J1955" s="182" t="n">
        <v>0</v>
      </c>
      <c r="K1955" s="182" t="n">
        <v>1.74</v>
      </c>
      <c r="L1955" s="182" t="n">
        <v>12</v>
      </c>
      <c r="M1955" s="182" t="n">
        <v>10.26</v>
      </c>
      <c r="N1955" s="182" t="n">
        <v>0</v>
      </c>
      <c r="O1955" s="183" t="n">
        <v>38</v>
      </c>
      <c r="P1955" s="183" t="n">
        <v>0</v>
      </c>
      <c r="Q1955" s="184" t="n">
        <v>775.2</v>
      </c>
      <c r="R1955" s="184" t="n">
        <v>0</v>
      </c>
      <c r="S1955" s="183" t="n">
        <v>0</v>
      </c>
      <c r="T1955" s="183" t="n">
        <v>0</v>
      </c>
      <c r="U1955" s="182" t="n">
        <v>0</v>
      </c>
      <c r="V1955" s="182" t="n">
        <v>0</v>
      </c>
      <c r="W1955" s="182" t="n">
        <v>0</v>
      </c>
      <c r="X1955" s="182" t="n">
        <v>1.02</v>
      </c>
      <c r="Y1955" s="182" t="n">
        <v>0</v>
      </c>
      <c r="Z1955" s="182" t="n">
        <v>0</v>
      </c>
      <c r="AA1955" s="182" t="n">
        <v>0</v>
      </c>
      <c r="AB1955" s="182" t="n">
        <v>0</v>
      </c>
      <c r="AC1955" s="182" t="n">
        <v>0</v>
      </c>
      <c r="AD1955" s="182" t="n">
        <v>0</v>
      </c>
      <c r="AE1955" s="182" t="n">
        <v>0</v>
      </c>
      <c r="AF1955" s="182" t="n">
        <v>0</v>
      </c>
      <c r="AG1955" s="182" t="n">
        <v>0.17</v>
      </c>
      <c r="AH1955" s="182" t="n">
        <v>0.46</v>
      </c>
      <c r="AI1955" s="182" t="n">
        <v>0</v>
      </c>
      <c r="AJ1955" s="182" t="n">
        <v>0</v>
      </c>
      <c r="AK1955" s="182" t="n">
        <v>0</v>
      </c>
      <c r="AL1955" s="182" t="n">
        <v>0</v>
      </c>
      <c r="AM1955" s="182" t="n">
        <v>0.08</v>
      </c>
      <c r="AN1955" s="182" t="n">
        <v>0</v>
      </c>
    </row>
    <row r="1956">
      <c r="A1956" s="155" t="n">
        <v>46090</v>
      </c>
      <c r="B1956" s="156" t="inlineStr">
        <is>
          <t>NS</t>
        </is>
      </c>
      <c r="C1956" s="156" t="inlineStr">
        <is>
          <t>DT-510</t>
        </is>
      </c>
      <c r="D1956" s="156" t="inlineStr">
        <is>
          <t>SKT 105S</t>
        </is>
      </c>
      <c r="E1956" s="156" t="inlineStr">
        <is>
          <t>Hauler</t>
        </is>
      </c>
      <c r="F1956" s="156" t="inlineStr">
        <is>
          <t>Hauling OB</t>
        </is>
      </c>
      <c r="G1956" s="182" t="n">
        <v>5.98</v>
      </c>
      <c r="H1956" s="182" t="n">
        <v>0</v>
      </c>
      <c r="I1956" s="182" t="n">
        <v>0</v>
      </c>
      <c r="J1956" s="182" t="n">
        <v>0</v>
      </c>
      <c r="K1956" s="182" t="n">
        <v>6.02</v>
      </c>
      <c r="L1956" s="182" t="n">
        <v>12</v>
      </c>
      <c r="M1956" s="182" t="n">
        <v>5.98</v>
      </c>
      <c r="N1956" s="182" t="n">
        <v>0</v>
      </c>
      <c r="O1956" s="183" t="n">
        <v>19</v>
      </c>
      <c r="P1956" s="183" t="n">
        <v>0</v>
      </c>
      <c r="Q1956" s="184" t="n">
        <v>387.6</v>
      </c>
      <c r="R1956" s="184" t="n">
        <v>0</v>
      </c>
      <c r="S1956" s="183" t="n">
        <v>0</v>
      </c>
      <c r="T1956" s="183" t="n">
        <v>0</v>
      </c>
      <c r="U1956" s="182" t="n">
        <v>0</v>
      </c>
      <c r="V1956" s="182" t="n">
        <v>0</v>
      </c>
      <c r="W1956" s="182" t="n">
        <v>0</v>
      </c>
      <c r="X1956" s="182" t="n">
        <v>1.04</v>
      </c>
      <c r="Y1956" s="182" t="n">
        <v>0</v>
      </c>
      <c r="Z1956" s="182" t="n">
        <v>0</v>
      </c>
      <c r="AA1956" s="182" t="n">
        <v>0</v>
      </c>
      <c r="AB1956" s="182" t="n">
        <v>0</v>
      </c>
      <c r="AC1956" s="182" t="n">
        <v>0</v>
      </c>
      <c r="AD1956" s="182" t="n">
        <v>0</v>
      </c>
      <c r="AE1956" s="182" t="n">
        <v>0</v>
      </c>
      <c r="AF1956" s="182" t="n">
        <v>0</v>
      </c>
      <c r="AG1956" s="182" t="n">
        <v>0.1</v>
      </c>
      <c r="AH1956" s="182" t="n">
        <v>0.78</v>
      </c>
      <c r="AI1956" s="182" t="n">
        <v>0</v>
      </c>
      <c r="AJ1956" s="182" t="n">
        <v>0</v>
      </c>
      <c r="AK1956" s="182" t="n">
        <v>4.02</v>
      </c>
      <c r="AL1956" s="182" t="n">
        <v>0</v>
      </c>
      <c r="AM1956" s="182" t="n">
        <v>0.08</v>
      </c>
      <c r="AN1956" s="182" t="n">
        <v>0</v>
      </c>
    </row>
    <row r="1957">
      <c r="A1957" s="155" t="n">
        <v>46090</v>
      </c>
      <c r="B1957" s="156" t="inlineStr">
        <is>
          <t>NS</t>
        </is>
      </c>
      <c r="C1957" s="156" t="inlineStr">
        <is>
          <t>DT-521</t>
        </is>
      </c>
      <c r="D1957" s="156" t="inlineStr">
        <is>
          <t>SKT 105S</t>
        </is>
      </c>
      <c r="E1957" s="156" t="inlineStr">
        <is>
          <t>Hauler</t>
        </is>
      </c>
      <c r="F1957" s="156" t="inlineStr">
        <is>
          <t>Hauling OB</t>
        </is>
      </c>
      <c r="G1957" s="182" t="n">
        <v>10.22</v>
      </c>
      <c r="H1957" s="182" t="n">
        <v>0</v>
      </c>
      <c r="I1957" s="182" t="n">
        <v>0</v>
      </c>
      <c r="J1957" s="182" t="n">
        <v>0</v>
      </c>
      <c r="K1957" s="182" t="n">
        <v>1.78</v>
      </c>
      <c r="L1957" s="182" t="n">
        <v>12</v>
      </c>
      <c r="M1957" s="182" t="n">
        <v>10.22</v>
      </c>
      <c r="N1957" s="182" t="n">
        <v>0</v>
      </c>
      <c r="O1957" s="183" t="n">
        <v>31</v>
      </c>
      <c r="P1957" s="183" t="n">
        <v>0</v>
      </c>
      <c r="Q1957" s="184" t="n">
        <v>632.4</v>
      </c>
      <c r="R1957" s="184" t="n">
        <v>0</v>
      </c>
      <c r="S1957" s="183" t="n">
        <v>0</v>
      </c>
      <c r="T1957" s="183" t="n">
        <v>0</v>
      </c>
      <c r="U1957" s="182" t="n">
        <v>0</v>
      </c>
      <c r="V1957" s="182" t="n">
        <v>0</v>
      </c>
      <c r="W1957" s="182" t="n">
        <v>0</v>
      </c>
      <c r="X1957" s="182" t="n">
        <v>0.8100000000000001</v>
      </c>
      <c r="Y1957" s="182" t="n">
        <v>0</v>
      </c>
      <c r="Z1957" s="182" t="n">
        <v>0</v>
      </c>
      <c r="AA1957" s="182" t="n">
        <v>0</v>
      </c>
      <c r="AB1957" s="182" t="n">
        <v>0</v>
      </c>
      <c r="AC1957" s="182" t="n">
        <v>0</v>
      </c>
      <c r="AD1957" s="182" t="n">
        <v>0</v>
      </c>
      <c r="AE1957" s="182" t="n">
        <v>0</v>
      </c>
      <c r="AF1957" s="182" t="n">
        <v>0</v>
      </c>
      <c r="AG1957" s="182" t="n">
        <v>0.23</v>
      </c>
      <c r="AH1957" s="182" t="n">
        <v>0.67</v>
      </c>
      <c r="AI1957" s="182" t="n">
        <v>0</v>
      </c>
      <c r="AJ1957" s="182" t="n">
        <v>0</v>
      </c>
      <c r="AK1957" s="182" t="n">
        <v>0</v>
      </c>
      <c r="AL1957" s="182" t="n">
        <v>0</v>
      </c>
      <c r="AM1957" s="182" t="n">
        <v>0.06</v>
      </c>
      <c r="AN1957" s="182" t="n">
        <v>0</v>
      </c>
    </row>
    <row r="1958">
      <c r="A1958" s="155" t="n">
        <v>46090</v>
      </c>
      <c r="B1958" s="156" t="inlineStr">
        <is>
          <t>NS</t>
        </is>
      </c>
      <c r="C1958" s="156" t="inlineStr">
        <is>
          <t>DT-516</t>
        </is>
      </c>
      <c r="D1958" s="156" t="inlineStr">
        <is>
          <t>SKT 105S</t>
        </is>
      </c>
      <c r="E1958" s="156" t="inlineStr">
        <is>
          <t>Hauler</t>
        </is>
      </c>
      <c r="F1958" s="156" t="inlineStr">
        <is>
          <t>Hauling Coal S45 &amp; OB</t>
        </is>
      </c>
      <c r="G1958" s="182" t="n">
        <v>6.11</v>
      </c>
      <c r="H1958" s="182" t="n">
        <v>0</v>
      </c>
      <c r="I1958" s="182" t="n">
        <v>0</v>
      </c>
      <c r="J1958" s="182" t="n">
        <v>0</v>
      </c>
      <c r="K1958" s="182" t="n">
        <v>5.89</v>
      </c>
      <c r="L1958" s="182" t="n">
        <v>12</v>
      </c>
      <c r="M1958" s="182" t="n">
        <v>2.49</v>
      </c>
      <c r="N1958" s="182" t="n">
        <v>3.62</v>
      </c>
      <c r="O1958" s="183" t="n">
        <v>7</v>
      </c>
      <c r="P1958" s="183" t="n">
        <v>10</v>
      </c>
      <c r="Q1958" s="184" t="n">
        <v>142.8</v>
      </c>
      <c r="R1958" s="184" t="n">
        <v>187</v>
      </c>
      <c r="S1958" s="183" t="n">
        <v>0</v>
      </c>
      <c r="T1958" s="183" t="n">
        <v>0</v>
      </c>
      <c r="U1958" s="182" t="n">
        <v>0</v>
      </c>
      <c r="V1958" s="182" t="n">
        <v>0</v>
      </c>
      <c r="W1958" s="182" t="n">
        <v>0</v>
      </c>
      <c r="X1958" s="182" t="n">
        <v>1.02</v>
      </c>
      <c r="Y1958" s="182" t="n">
        <v>0</v>
      </c>
      <c r="Z1958" s="182" t="n">
        <v>0</v>
      </c>
      <c r="AA1958" s="182" t="n">
        <v>0</v>
      </c>
      <c r="AB1958" s="182" t="n">
        <v>0</v>
      </c>
      <c r="AC1958" s="182" t="n">
        <v>0</v>
      </c>
      <c r="AD1958" s="182" t="n">
        <v>0</v>
      </c>
      <c r="AE1958" s="182" t="n">
        <v>0</v>
      </c>
      <c r="AF1958" s="182" t="n">
        <v>0</v>
      </c>
      <c r="AG1958" s="182" t="n">
        <v>0</v>
      </c>
      <c r="AH1958" s="182" t="n">
        <v>0.51</v>
      </c>
      <c r="AI1958" s="182" t="n">
        <v>0</v>
      </c>
      <c r="AJ1958" s="182" t="n">
        <v>0</v>
      </c>
      <c r="AK1958" s="182" t="n">
        <v>4.29</v>
      </c>
      <c r="AL1958" s="182" t="n">
        <v>0</v>
      </c>
      <c r="AM1958" s="182" t="n">
        <v>0.08</v>
      </c>
      <c r="AN1958" s="182" t="n">
        <v>0</v>
      </c>
    </row>
    <row r="1959">
      <c r="A1959" s="155" t="n">
        <v>46090</v>
      </c>
      <c r="B1959" s="156" t="inlineStr">
        <is>
          <t>NS</t>
        </is>
      </c>
      <c r="C1959" s="156" t="inlineStr">
        <is>
          <t>DT-506</t>
        </is>
      </c>
      <c r="D1959" s="156" t="inlineStr">
        <is>
          <t>SKT 105S</t>
        </is>
      </c>
      <c r="E1959" s="156" t="inlineStr">
        <is>
          <t>Hauler</t>
        </is>
      </c>
      <c r="F1959" s="156" t="inlineStr">
        <is>
          <t>Hauling Coal S45</t>
        </is>
      </c>
      <c r="G1959" s="182" t="n">
        <v>4.44</v>
      </c>
      <c r="H1959" s="182" t="n">
        <v>0</v>
      </c>
      <c r="I1959" s="182" t="n">
        <v>0</v>
      </c>
      <c r="J1959" s="182" t="n">
        <v>0</v>
      </c>
      <c r="K1959" s="182" t="n">
        <v>7.56</v>
      </c>
      <c r="L1959" s="182" t="n">
        <v>12</v>
      </c>
      <c r="M1959" s="182" t="n">
        <v>0</v>
      </c>
      <c r="N1959" s="182" t="n">
        <v>4.44</v>
      </c>
      <c r="O1959" s="183" t="n">
        <v>0</v>
      </c>
      <c r="P1959" s="183" t="n">
        <v>12</v>
      </c>
      <c r="Q1959" s="184" t="n">
        <v>0</v>
      </c>
      <c r="R1959" s="184" t="n">
        <v>224.4</v>
      </c>
      <c r="S1959" s="183" t="n">
        <v>0</v>
      </c>
      <c r="T1959" s="183" t="n">
        <v>0</v>
      </c>
      <c r="U1959" s="182" t="n">
        <v>0</v>
      </c>
      <c r="V1959" s="182" t="n">
        <v>0</v>
      </c>
      <c r="W1959" s="182" t="n">
        <v>0</v>
      </c>
      <c r="X1959" s="182" t="n">
        <v>1.04</v>
      </c>
      <c r="Y1959" s="182" t="n">
        <v>0</v>
      </c>
      <c r="Z1959" s="182" t="n">
        <v>0.07000000000000001</v>
      </c>
      <c r="AA1959" s="182" t="n">
        <v>0</v>
      </c>
      <c r="AB1959" s="182" t="n">
        <v>0</v>
      </c>
      <c r="AC1959" s="182" t="n">
        <v>0</v>
      </c>
      <c r="AD1959" s="182" t="n">
        <v>0</v>
      </c>
      <c r="AE1959" s="182" t="n">
        <v>0</v>
      </c>
      <c r="AF1959" s="182" t="n">
        <v>0</v>
      </c>
      <c r="AG1959" s="182" t="n">
        <v>0</v>
      </c>
      <c r="AH1959" s="182" t="n">
        <v>0.16</v>
      </c>
      <c r="AI1959" s="182" t="n">
        <v>0</v>
      </c>
      <c r="AJ1959" s="182" t="n">
        <v>0</v>
      </c>
      <c r="AK1959" s="182" t="n">
        <v>6.21</v>
      </c>
      <c r="AL1959" s="182" t="n">
        <v>0</v>
      </c>
      <c r="AM1959" s="182" t="n">
        <v>0.08</v>
      </c>
      <c r="AN1959" s="182" t="n">
        <v>0</v>
      </c>
    </row>
    <row r="1960">
      <c r="A1960" s="155" t="n">
        <v>46090</v>
      </c>
      <c r="B1960" s="156" t="inlineStr">
        <is>
          <t>NS</t>
        </is>
      </c>
      <c r="C1960" s="156" t="inlineStr">
        <is>
          <t>DT-502</t>
        </is>
      </c>
      <c r="D1960" s="156" t="inlineStr">
        <is>
          <t>SKT 105S</t>
        </is>
      </c>
      <c r="E1960" s="156" t="inlineStr">
        <is>
          <t>Hauler</t>
        </is>
      </c>
      <c r="F1960" s="156" t="inlineStr">
        <is>
          <t>Hauling Coal &amp; OB</t>
        </is>
      </c>
      <c r="G1960" s="182" t="n">
        <v>5.94</v>
      </c>
      <c r="H1960" s="182" t="n">
        <v>0</v>
      </c>
      <c r="I1960" s="182" t="n">
        <v>0</v>
      </c>
      <c r="J1960" s="182" t="n">
        <v>0</v>
      </c>
      <c r="K1960" s="182" t="n">
        <v>6.06</v>
      </c>
      <c r="L1960" s="182" t="n">
        <v>12</v>
      </c>
      <c r="M1960" s="182" t="n">
        <v>2.11</v>
      </c>
      <c r="N1960" s="182" t="n">
        <v>3.82</v>
      </c>
      <c r="O1960" s="183" t="n">
        <v>7</v>
      </c>
      <c r="P1960" s="183" t="n">
        <v>12</v>
      </c>
      <c r="Q1960" s="184" t="n">
        <v>142.8</v>
      </c>
      <c r="R1960" s="184" t="n">
        <v>224.4</v>
      </c>
      <c r="S1960" s="183" t="n">
        <v>0</v>
      </c>
      <c r="T1960" s="183" t="n">
        <v>0</v>
      </c>
      <c r="U1960" s="182" t="n">
        <v>0</v>
      </c>
      <c r="V1960" s="182" t="n">
        <v>0</v>
      </c>
      <c r="W1960" s="182" t="n">
        <v>0</v>
      </c>
      <c r="X1960" s="182" t="n">
        <v>0.96</v>
      </c>
      <c r="Y1960" s="182" t="n">
        <v>0</v>
      </c>
      <c r="Z1960" s="182" t="n">
        <v>0.07000000000000001</v>
      </c>
      <c r="AA1960" s="182" t="n">
        <v>0</v>
      </c>
      <c r="AB1960" s="182" t="n">
        <v>0</v>
      </c>
      <c r="AC1960" s="182" t="n">
        <v>0</v>
      </c>
      <c r="AD1960" s="182" t="n">
        <v>0</v>
      </c>
      <c r="AE1960" s="182" t="n">
        <v>0</v>
      </c>
      <c r="AF1960" s="182" t="n">
        <v>0</v>
      </c>
      <c r="AG1960" s="182" t="n">
        <v>0</v>
      </c>
      <c r="AH1960" s="182" t="n">
        <v>0.63</v>
      </c>
      <c r="AI1960" s="182" t="n">
        <v>4.33</v>
      </c>
      <c r="AJ1960" s="182" t="n">
        <v>0</v>
      </c>
      <c r="AK1960" s="182" t="n">
        <v>0</v>
      </c>
      <c r="AL1960" s="182" t="n">
        <v>0</v>
      </c>
      <c r="AM1960" s="182" t="n">
        <v>0.08</v>
      </c>
      <c r="AN1960" s="182" t="n">
        <v>0</v>
      </c>
    </row>
    <row r="1961">
      <c r="A1961" s="155" t="n">
        <v>46090</v>
      </c>
      <c r="B1961" s="156" t="inlineStr">
        <is>
          <t>NS</t>
        </is>
      </c>
      <c r="C1961" s="156" t="inlineStr">
        <is>
          <t>DT-528</t>
        </is>
      </c>
      <c r="D1961" s="156" t="inlineStr">
        <is>
          <t>SKT 105S</t>
        </is>
      </c>
      <c r="E1961" s="156" t="inlineStr">
        <is>
          <t>Hauler</t>
        </is>
      </c>
      <c r="F1961" s="156" t="inlineStr">
        <is>
          <t>Hauling OB</t>
        </is>
      </c>
      <c r="G1961" s="182" t="n">
        <v>10.2</v>
      </c>
      <c r="H1961" s="182" t="n">
        <v>0</v>
      </c>
      <c r="I1961" s="182" t="n">
        <v>0</v>
      </c>
      <c r="J1961" s="182" t="n">
        <v>0</v>
      </c>
      <c r="K1961" s="182" t="n">
        <v>1.8</v>
      </c>
      <c r="L1961" s="182" t="n">
        <v>12</v>
      </c>
      <c r="M1961" s="182" t="n">
        <v>10.2</v>
      </c>
      <c r="N1961" s="182" t="n">
        <v>0</v>
      </c>
      <c r="O1961" s="183" t="n">
        <v>36</v>
      </c>
      <c r="P1961" s="183" t="n">
        <v>0</v>
      </c>
      <c r="Q1961" s="184" t="n">
        <v>734.4</v>
      </c>
      <c r="R1961" s="184" t="n">
        <v>0</v>
      </c>
      <c r="S1961" s="183" t="n">
        <v>0</v>
      </c>
      <c r="T1961" s="183" t="n">
        <v>0</v>
      </c>
      <c r="U1961" s="182" t="n">
        <v>0</v>
      </c>
      <c r="V1961" s="182" t="n">
        <v>0</v>
      </c>
      <c r="W1961" s="182" t="n">
        <v>0</v>
      </c>
      <c r="X1961" s="182" t="n">
        <v>0.86</v>
      </c>
      <c r="Y1961" s="182" t="n">
        <v>0</v>
      </c>
      <c r="Z1961" s="182" t="n">
        <v>0</v>
      </c>
      <c r="AA1961" s="182" t="n">
        <v>0</v>
      </c>
      <c r="AB1961" s="182" t="n">
        <v>0</v>
      </c>
      <c r="AC1961" s="182" t="n">
        <v>0</v>
      </c>
      <c r="AD1961" s="182" t="n">
        <v>0</v>
      </c>
      <c r="AE1961" s="182" t="n">
        <v>0</v>
      </c>
      <c r="AF1961" s="182" t="n">
        <v>0</v>
      </c>
      <c r="AG1961" s="182" t="n">
        <v>0.09</v>
      </c>
      <c r="AH1961" s="182" t="n">
        <v>0.79</v>
      </c>
      <c r="AI1961" s="182" t="n">
        <v>0</v>
      </c>
      <c r="AJ1961" s="182" t="n">
        <v>0</v>
      </c>
      <c r="AK1961" s="182" t="n">
        <v>0</v>
      </c>
      <c r="AL1961" s="182" t="n">
        <v>0</v>
      </c>
      <c r="AM1961" s="182" t="n">
        <v>0.07000000000000001</v>
      </c>
      <c r="AN1961" s="182" t="n">
        <v>0</v>
      </c>
    </row>
    <row r="1962">
      <c r="A1962" s="155" t="n">
        <v>46090</v>
      </c>
      <c r="B1962" s="156" t="inlineStr">
        <is>
          <t>NS</t>
        </is>
      </c>
      <c r="C1962" s="156" t="inlineStr">
        <is>
          <t>DT-529</t>
        </is>
      </c>
      <c r="D1962" s="156" t="inlineStr">
        <is>
          <t>SKT 105S</t>
        </is>
      </c>
      <c r="E1962" s="156" t="inlineStr">
        <is>
          <t>Hauler</t>
        </is>
      </c>
      <c r="F1962" s="156" t="inlineStr">
        <is>
          <t>Hauling OB</t>
        </is>
      </c>
      <c r="G1962" s="182" t="n">
        <v>5.77</v>
      </c>
      <c r="H1962" s="182" t="n">
        <v>0</v>
      </c>
      <c r="I1962" s="182" t="n">
        <v>0</v>
      </c>
      <c r="J1962" s="182" t="n">
        <v>0</v>
      </c>
      <c r="K1962" s="182" t="n">
        <v>6.23</v>
      </c>
      <c r="L1962" s="182" t="n">
        <v>12</v>
      </c>
      <c r="M1962" s="182" t="n">
        <v>5.77</v>
      </c>
      <c r="N1962" s="182" t="n">
        <v>0</v>
      </c>
      <c r="O1962" s="183" t="n">
        <v>16</v>
      </c>
      <c r="P1962" s="183" t="n">
        <v>0</v>
      </c>
      <c r="Q1962" s="184" t="n">
        <v>326.4</v>
      </c>
      <c r="R1962" s="184" t="n">
        <v>0</v>
      </c>
      <c r="S1962" s="183" t="n">
        <v>0</v>
      </c>
      <c r="T1962" s="183" t="n">
        <v>0</v>
      </c>
      <c r="U1962" s="182" t="n">
        <v>0</v>
      </c>
      <c r="V1962" s="182" t="n">
        <v>0</v>
      </c>
      <c r="W1962" s="182" t="n">
        <v>0</v>
      </c>
      <c r="X1962" s="182" t="n">
        <v>0.99</v>
      </c>
      <c r="Y1962" s="182" t="n">
        <v>0</v>
      </c>
      <c r="Z1962" s="182" t="n">
        <v>0.07000000000000001</v>
      </c>
      <c r="AA1962" s="182" t="n">
        <v>0</v>
      </c>
      <c r="AB1962" s="182" t="n">
        <v>0</v>
      </c>
      <c r="AC1962" s="182" t="n">
        <v>0</v>
      </c>
      <c r="AD1962" s="182" t="n">
        <v>0</v>
      </c>
      <c r="AE1962" s="182" t="n">
        <v>0</v>
      </c>
      <c r="AF1962" s="182" t="n">
        <v>0</v>
      </c>
      <c r="AG1962" s="182" t="n">
        <v>0.15</v>
      </c>
      <c r="AH1962" s="182" t="n">
        <v>0</v>
      </c>
      <c r="AI1962" s="182" t="n">
        <v>0</v>
      </c>
      <c r="AJ1962" s="182" t="n">
        <v>0</v>
      </c>
      <c r="AK1962" s="182" t="n">
        <v>4.94</v>
      </c>
      <c r="AL1962" s="182" t="n">
        <v>0</v>
      </c>
      <c r="AM1962" s="182" t="n">
        <v>0.08</v>
      </c>
      <c r="AN1962" s="182" t="n">
        <v>0</v>
      </c>
    </row>
    <row r="1963">
      <c r="A1963" s="155" t="n">
        <v>46090</v>
      </c>
      <c r="B1963" s="156" t="inlineStr">
        <is>
          <t>NS</t>
        </is>
      </c>
      <c r="C1963" s="156" t="inlineStr">
        <is>
          <t>DT-520</t>
        </is>
      </c>
      <c r="D1963" s="156" t="inlineStr">
        <is>
          <t>SKT 105S</t>
        </is>
      </c>
      <c r="E1963" s="156" t="inlineStr">
        <is>
          <t>Hauler</t>
        </is>
      </c>
      <c r="F1963" s="156" t="inlineStr">
        <is>
          <t>Hauling Coal S45 &amp; OB</t>
        </is>
      </c>
      <c r="G1963" s="182" t="n">
        <v>10.39</v>
      </c>
      <c r="H1963" s="182" t="n">
        <v>0</v>
      </c>
      <c r="I1963" s="182" t="n">
        <v>0</v>
      </c>
      <c r="J1963" s="182" t="n">
        <v>0</v>
      </c>
      <c r="K1963" s="182" t="n">
        <v>1.61</v>
      </c>
      <c r="L1963" s="182" t="n">
        <v>12</v>
      </c>
      <c r="M1963" s="182" t="n">
        <v>1.64</v>
      </c>
      <c r="N1963" s="182" t="n">
        <v>8.74</v>
      </c>
      <c r="O1963" s="183" t="n">
        <v>8</v>
      </c>
      <c r="P1963" s="183" t="n">
        <v>25</v>
      </c>
      <c r="Q1963" s="184" t="n">
        <v>163.2</v>
      </c>
      <c r="R1963" s="184" t="n">
        <v>467.5</v>
      </c>
      <c r="S1963" s="183" t="n">
        <v>0</v>
      </c>
      <c r="T1963" s="183" t="n">
        <v>0</v>
      </c>
      <c r="U1963" s="182" t="n">
        <v>0</v>
      </c>
      <c r="V1963" s="182" t="n">
        <v>0</v>
      </c>
      <c r="W1963" s="182" t="n">
        <v>0</v>
      </c>
      <c r="X1963" s="182" t="n">
        <v>0.95</v>
      </c>
      <c r="Y1963" s="182" t="n">
        <v>0</v>
      </c>
      <c r="Z1963" s="182" t="n">
        <v>0.07000000000000001</v>
      </c>
      <c r="AA1963" s="182" t="n">
        <v>0</v>
      </c>
      <c r="AB1963" s="182" t="n">
        <v>0</v>
      </c>
      <c r="AC1963" s="182" t="n">
        <v>0</v>
      </c>
      <c r="AD1963" s="182" t="n">
        <v>0</v>
      </c>
      <c r="AE1963" s="182" t="n">
        <v>0</v>
      </c>
      <c r="AF1963" s="182" t="n">
        <v>0</v>
      </c>
      <c r="AG1963" s="182" t="n">
        <v>0</v>
      </c>
      <c r="AH1963" s="182" t="n">
        <v>0.52</v>
      </c>
      <c r="AI1963" s="182" t="n">
        <v>0</v>
      </c>
      <c r="AJ1963" s="182" t="n">
        <v>0</v>
      </c>
      <c r="AK1963" s="182" t="n">
        <v>0</v>
      </c>
      <c r="AL1963" s="182" t="n">
        <v>0</v>
      </c>
      <c r="AM1963" s="182" t="n">
        <v>0.08</v>
      </c>
      <c r="AN1963" s="182" t="n">
        <v>0</v>
      </c>
    </row>
    <row r="1964">
      <c r="A1964" s="155" t="n">
        <v>46090</v>
      </c>
      <c r="B1964" s="156" t="inlineStr">
        <is>
          <t>NS</t>
        </is>
      </c>
      <c r="C1964" s="156" t="inlineStr">
        <is>
          <t>DT-511</t>
        </is>
      </c>
      <c r="D1964" s="156" t="inlineStr">
        <is>
          <t>SKT 105S</t>
        </is>
      </c>
      <c r="E1964" s="156" t="inlineStr">
        <is>
          <t>Hauler</t>
        </is>
      </c>
      <c r="F1964" s="156" t="inlineStr">
        <is>
          <t>Hauling OB</t>
        </is>
      </c>
      <c r="G1964" s="182" t="n">
        <v>0.95</v>
      </c>
      <c r="H1964" s="182" t="n">
        <v>0</v>
      </c>
      <c r="I1964" s="182" t="n">
        <v>11.02</v>
      </c>
      <c r="J1964" s="182" t="n">
        <v>11.02</v>
      </c>
      <c r="K1964" s="182" t="n">
        <v>0.03</v>
      </c>
      <c r="L1964" s="182" t="n">
        <v>12</v>
      </c>
      <c r="M1964" s="182" t="n">
        <v>0.95</v>
      </c>
      <c r="N1964" s="182" t="n">
        <v>0</v>
      </c>
      <c r="O1964" s="183" t="n">
        <v>1</v>
      </c>
      <c r="P1964" s="183" t="n">
        <v>0</v>
      </c>
      <c r="Q1964" s="184" t="n">
        <v>20.4</v>
      </c>
      <c r="R1964" s="184" t="n">
        <v>0</v>
      </c>
      <c r="S1964" s="183" t="n">
        <v>0</v>
      </c>
      <c r="T1964" s="183" t="n">
        <v>0</v>
      </c>
      <c r="U1964" s="182" t="n">
        <v>0</v>
      </c>
      <c r="V1964" s="182" t="n">
        <v>0</v>
      </c>
      <c r="W1964" s="182" t="n">
        <v>0</v>
      </c>
      <c r="X1964" s="182" t="n">
        <v>0</v>
      </c>
      <c r="Y1964" s="182" t="n">
        <v>0</v>
      </c>
      <c r="Z1964" s="182" t="n">
        <v>0</v>
      </c>
      <c r="AA1964" s="182" t="n">
        <v>0</v>
      </c>
      <c r="AB1964" s="182" t="n">
        <v>0</v>
      </c>
      <c r="AC1964" s="182" t="n">
        <v>0</v>
      </c>
      <c r="AD1964" s="182" t="n">
        <v>0</v>
      </c>
      <c r="AE1964" s="182" t="n">
        <v>0</v>
      </c>
      <c r="AF1964" s="182" t="n">
        <v>0</v>
      </c>
      <c r="AG1964" s="182" t="n">
        <v>0</v>
      </c>
      <c r="AH1964" s="182" t="n">
        <v>0</v>
      </c>
      <c r="AI1964" s="182" t="n">
        <v>0</v>
      </c>
      <c r="AJ1964" s="182" t="n">
        <v>0</v>
      </c>
      <c r="AK1964" s="182" t="n">
        <v>0</v>
      </c>
      <c r="AL1964" s="182" t="n">
        <v>0</v>
      </c>
      <c r="AM1964" s="182" t="n">
        <v>0.03</v>
      </c>
      <c r="AN1964" s="182" t="n">
        <v>-0</v>
      </c>
    </row>
    <row r="1965">
      <c r="A1965" s="155" t="n">
        <v>46090</v>
      </c>
      <c r="B1965" s="156" t="inlineStr">
        <is>
          <t>NS</t>
        </is>
      </c>
      <c r="C1965" s="156" t="inlineStr">
        <is>
          <t>DT-509</t>
        </is>
      </c>
      <c r="D1965" s="156" t="inlineStr">
        <is>
          <t>SKT 105S</t>
        </is>
      </c>
      <c r="E1965" s="156" t="inlineStr">
        <is>
          <t>Hauler</t>
        </is>
      </c>
      <c r="F1965" s="156" t="inlineStr"/>
      <c r="G1965" s="182" t="n">
        <v>0</v>
      </c>
      <c r="H1965" s="182" t="n">
        <v>0</v>
      </c>
      <c r="I1965" s="182" t="n">
        <v>12</v>
      </c>
      <c r="J1965" s="182" t="n">
        <v>12</v>
      </c>
      <c r="K1965" s="182" t="n">
        <v>0</v>
      </c>
      <c r="L1965" s="182" t="n">
        <v>12</v>
      </c>
      <c r="M1965" s="182" t="n">
        <v>0</v>
      </c>
      <c r="N1965" s="182" t="n">
        <v>0</v>
      </c>
      <c r="O1965" s="183" t="n">
        <v>0</v>
      </c>
      <c r="P1965" s="183" t="n">
        <v>0</v>
      </c>
      <c r="Q1965" s="184" t="n">
        <v>0</v>
      </c>
      <c r="R1965" s="184" t="n">
        <v>0</v>
      </c>
      <c r="S1965" s="183" t="n">
        <v>0</v>
      </c>
      <c r="T1965" s="183" t="n">
        <v>0</v>
      </c>
      <c r="U1965" s="182" t="n">
        <v>0</v>
      </c>
      <c r="V1965" s="182" t="n">
        <v>0</v>
      </c>
      <c r="W1965" s="182" t="n">
        <v>0</v>
      </c>
      <c r="X1965" s="182" t="n">
        <v>0</v>
      </c>
      <c r="Y1965" s="182" t="n">
        <v>0</v>
      </c>
      <c r="Z1965" s="182" t="n">
        <v>0</v>
      </c>
      <c r="AA1965" s="182" t="n">
        <v>0</v>
      </c>
      <c r="AB1965" s="182" t="n">
        <v>0</v>
      </c>
      <c r="AC1965" s="182" t="n">
        <v>0</v>
      </c>
      <c r="AD1965" s="182" t="n">
        <v>0</v>
      </c>
      <c r="AE1965" s="182" t="n">
        <v>0</v>
      </c>
      <c r="AF1965" s="182" t="n">
        <v>0</v>
      </c>
      <c r="AG1965" s="182" t="n">
        <v>0</v>
      </c>
      <c r="AH1965" s="182" t="n">
        <v>0</v>
      </c>
      <c r="AI1965" s="182" t="n">
        <v>0</v>
      </c>
      <c r="AJ1965" s="182" t="n">
        <v>0</v>
      </c>
      <c r="AK1965" s="182" t="n">
        <v>0</v>
      </c>
      <c r="AL1965" s="182" t="n">
        <v>0</v>
      </c>
      <c r="AM1965" s="182" t="n">
        <v>0</v>
      </c>
      <c r="AN1965" s="182" t="n">
        <v>0</v>
      </c>
    </row>
    <row r="1966">
      <c r="A1966" s="155" t="n">
        <v>46090</v>
      </c>
      <c r="B1966" s="156" t="inlineStr">
        <is>
          <t>NS</t>
        </is>
      </c>
      <c r="C1966" s="156" t="inlineStr">
        <is>
          <t>DT-526</t>
        </is>
      </c>
      <c r="D1966" s="156" t="inlineStr">
        <is>
          <t>SKT 105S</t>
        </is>
      </c>
      <c r="E1966" s="156" t="inlineStr">
        <is>
          <t>Hauler</t>
        </is>
      </c>
      <c r="F1966" s="156" t="inlineStr">
        <is>
          <t>Hauling Coal S45</t>
        </is>
      </c>
      <c r="G1966" s="182" t="n">
        <v>4.44</v>
      </c>
      <c r="H1966" s="182" t="n">
        <v>0</v>
      </c>
      <c r="I1966" s="182" t="n">
        <v>0</v>
      </c>
      <c r="J1966" s="182" t="n">
        <v>0</v>
      </c>
      <c r="K1966" s="182" t="n">
        <v>7.56</v>
      </c>
      <c r="L1966" s="182" t="n">
        <v>12</v>
      </c>
      <c r="M1966" s="182" t="n">
        <v>0</v>
      </c>
      <c r="N1966" s="182" t="n">
        <v>4.44</v>
      </c>
      <c r="O1966" s="183" t="n">
        <v>0</v>
      </c>
      <c r="P1966" s="183" t="n">
        <v>13</v>
      </c>
      <c r="Q1966" s="184" t="n">
        <v>0</v>
      </c>
      <c r="R1966" s="184" t="n">
        <v>243.1</v>
      </c>
      <c r="S1966" s="183" t="n">
        <v>0</v>
      </c>
      <c r="T1966" s="183" t="n">
        <v>0</v>
      </c>
      <c r="U1966" s="182" t="n">
        <v>0</v>
      </c>
      <c r="V1966" s="182" t="n">
        <v>0</v>
      </c>
      <c r="W1966" s="182" t="n">
        <v>0</v>
      </c>
      <c r="X1966" s="182" t="n">
        <v>0.98</v>
      </c>
      <c r="Y1966" s="182" t="n">
        <v>0</v>
      </c>
      <c r="Z1966" s="182" t="n">
        <v>0.07000000000000001</v>
      </c>
      <c r="AA1966" s="182" t="n">
        <v>0</v>
      </c>
      <c r="AB1966" s="182" t="n">
        <v>0</v>
      </c>
      <c r="AC1966" s="182" t="n">
        <v>0</v>
      </c>
      <c r="AD1966" s="182" t="n">
        <v>0</v>
      </c>
      <c r="AE1966" s="182" t="n">
        <v>0</v>
      </c>
      <c r="AF1966" s="182" t="n">
        <v>0</v>
      </c>
      <c r="AG1966" s="182" t="n">
        <v>0</v>
      </c>
      <c r="AH1966" s="182" t="n">
        <v>0.54</v>
      </c>
      <c r="AI1966" s="182" t="n">
        <v>0</v>
      </c>
      <c r="AJ1966" s="182" t="n">
        <v>0</v>
      </c>
      <c r="AK1966" s="182" t="n">
        <v>5.89</v>
      </c>
      <c r="AL1966" s="182" t="n">
        <v>0</v>
      </c>
      <c r="AM1966" s="182" t="n">
        <v>0.08</v>
      </c>
      <c r="AN1966" s="182" t="n">
        <v>0</v>
      </c>
    </row>
    <row r="1967">
      <c r="A1967" s="155" t="n">
        <v>46090</v>
      </c>
      <c r="B1967" s="156" t="inlineStr">
        <is>
          <t>NS</t>
        </is>
      </c>
      <c r="C1967" s="156" t="inlineStr">
        <is>
          <t>DT-508</t>
        </is>
      </c>
      <c r="D1967" s="156" t="inlineStr">
        <is>
          <t>SKT 105S</t>
        </is>
      </c>
      <c r="E1967" s="156" t="inlineStr">
        <is>
          <t>Hauler</t>
        </is>
      </c>
      <c r="F1967" s="156" t="inlineStr">
        <is>
          <t>Hauling OB</t>
        </is>
      </c>
      <c r="G1967" s="182" t="n">
        <v>10.47</v>
      </c>
      <c r="H1967" s="182" t="n">
        <v>0</v>
      </c>
      <c r="I1967" s="182" t="n">
        <v>0</v>
      </c>
      <c r="J1967" s="182" t="n">
        <v>0</v>
      </c>
      <c r="K1967" s="182" t="n">
        <v>1.53</v>
      </c>
      <c r="L1967" s="182" t="n">
        <v>12</v>
      </c>
      <c r="M1967" s="182" t="n">
        <v>10.47</v>
      </c>
      <c r="N1967" s="182" t="n">
        <v>0</v>
      </c>
      <c r="O1967" s="183" t="n">
        <v>39</v>
      </c>
      <c r="P1967" s="183" t="n">
        <v>0</v>
      </c>
      <c r="Q1967" s="184" t="n">
        <v>795.6</v>
      </c>
      <c r="R1967" s="184" t="n">
        <v>0</v>
      </c>
      <c r="S1967" s="183" t="n">
        <v>0</v>
      </c>
      <c r="T1967" s="183" t="n">
        <v>0</v>
      </c>
      <c r="U1967" s="182" t="n">
        <v>0</v>
      </c>
      <c r="V1967" s="182" t="n">
        <v>0</v>
      </c>
      <c r="W1967" s="182" t="n">
        <v>0</v>
      </c>
      <c r="X1967" s="182" t="n">
        <v>0.96</v>
      </c>
      <c r="Y1967" s="182" t="n">
        <v>0</v>
      </c>
      <c r="Z1967" s="182" t="n">
        <v>0.07000000000000001</v>
      </c>
      <c r="AA1967" s="182" t="n">
        <v>0</v>
      </c>
      <c r="AB1967" s="182" t="n">
        <v>0</v>
      </c>
      <c r="AC1967" s="182" t="n">
        <v>0</v>
      </c>
      <c r="AD1967" s="182" t="n">
        <v>0</v>
      </c>
      <c r="AE1967" s="182" t="n">
        <v>0</v>
      </c>
      <c r="AF1967" s="182" t="n">
        <v>0</v>
      </c>
      <c r="AG1967" s="182" t="n">
        <v>0</v>
      </c>
      <c r="AH1967" s="182" t="n">
        <v>0.43</v>
      </c>
      <c r="AI1967" s="182" t="n">
        <v>0</v>
      </c>
      <c r="AJ1967" s="182" t="n">
        <v>0</v>
      </c>
      <c r="AK1967" s="182" t="n">
        <v>0</v>
      </c>
      <c r="AL1967" s="182" t="n">
        <v>0</v>
      </c>
      <c r="AM1967" s="182" t="n">
        <v>0.08</v>
      </c>
      <c r="AN1967" s="182" t="n">
        <v>0</v>
      </c>
    </row>
    <row r="1968">
      <c r="A1968" s="155" t="n">
        <v>46090</v>
      </c>
      <c r="B1968" s="156" t="inlineStr">
        <is>
          <t>NS</t>
        </is>
      </c>
      <c r="C1968" s="156" t="inlineStr">
        <is>
          <t>DT-515</t>
        </is>
      </c>
      <c r="D1968" s="156" t="inlineStr">
        <is>
          <t>SKT 105S</t>
        </is>
      </c>
      <c r="E1968" s="156" t="inlineStr">
        <is>
          <t>Hauler</t>
        </is>
      </c>
      <c r="F1968" s="156" t="inlineStr">
        <is>
          <t>Hauling OB</t>
        </is>
      </c>
      <c r="G1968" s="182" t="n">
        <v>6.74</v>
      </c>
      <c r="H1968" s="182" t="n">
        <v>0.67</v>
      </c>
      <c r="I1968" s="182" t="n">
        <v>0</v>
      </c>
      <c r="J1968" s="182" t="n">
        <v>0.67</v>
      </c>
      <c r="K1968" s="182" t="n">
        <v>4.59</v>
      </c>
      <c r="L1968" s="182" t="n">
        <v>12</v>
      </c>
      <c r="M1968" s="182" t="n">
        <v>6.74</v>
      </c>
      <c r="N1968" s="182" t="n">
        <v>0</v>
      </c>
      <c r="O1968" s="183" t="n">
        <v>25</v>
      </c>
      <c r="P1968" s="183" t="n">
        <v>0</v>
      </c>
      <c r="Q1968" s="184" t="n">
        <v>510</v>
      </c>
      <c r="R1968" s="184" t="n">
        <v>0</v>
      </c>
      <c r="S1968" s="183" t="n">
        <v>0</v>
      </c>
      <c r="T1968" s="183" t="n">
        <v>0</v>
      </c>
      <c r="U1968" s="182" t="n">
        <v>0</v>
      </c>
      <c r="V1968" s="182" t="n">
        <v>0</v>
      </c>
      <c r="W1968" s="182" t="n">
        <v>0</v>
      </c>
      <c r="X1968" s="182" t="n">
        <v>1.04</v>
      </c>
      <c r="Y1968" s="182" t="n">
        <v>0</v>
      </c>
      <c r="Z1968" s="182" t="n">
        <v>0</v>
      </c>
      <c r="AA1968" s="182" t="n">
        <v>0</v>
      </c>
      <c r="AB1968" s="182" t="n">
        <v>0</v>
      </c>
      <c r="AC1968" s="182" t="n">
        <v>0</v>
      </c>
      <c r="AD1968" s="182" t="n">
        <v>0</v>
      </c>
      <c r="AE1968" s="182" t="n">
        <v>0</v>
      </c>
      <c r="AF1968" s="182" t="n">
        <v>0</v>
      </c>
      <c r="AG1968" s="182" t="n">
        <v>0.52</v>
      </c>
      <c r="AH1968" s="182" t="n">
        <v>0.88</v>
      </c>
      <c r="AI1968" s="182" t="n">
        <v>0</v>
      </c>
      <c r="AJ1968" s="182" t="n">
        <v>0</v>
      </c>
      <c r="AK1968" s="182" t="n">
        <v>2.07</v>
      </c>
      <c r="AL1968" s="182" t="n">
        <v>0</v>
      </c>
      <c r="AM1968" s="182" t="n">
        <v>0.08</v>
      </c>
      <c r="AN1968" s="182" t="n">
        <v>0</v>
      </c>
    </row>
    <row r="1969">
      <c r="A1969" s="155" t="n">
        <v>46090</v>
      </c>
      <c r="B1969" s="156" t="inlineStr">
        <is>
          <t>NS</t>
        </is>
      </c>
      <c r="C1969" s="156" t="inlineStr">
        <is>
          <t>DT-524</t>
        </is>
      </c>
      <c r="D1969" s="156" t="inlineStr">
        <is>
          <t>SKT 105S</t>
        </is>
      </c>
      <c r="E1969" s="156" t="inlineStr">
        <is>
          <t>Hauler</t>
        </is>
      </c>
      <c r="F1969" s="156" t="inlineStr"/>
      <c r="G1969" s="182" t="n">
        <v>0</v>
      </c>
      <c r="H1969" s="182" t="n">
        <v>0</v>
      </c>
      <c r="I1969" s="182" t="n">
        <v>12</v>
      </c>
      <c r="J1969" s="182" t="n">
        <v>12</v>
      </c>
      <c r="K1969" s="182" t="n">
        <v>0</v>
      </c>
      <c r="L1969" s="182" t="n">
        <v>12</v>
      </c>
      <c r="M1969" s="182" t="n">
        <v>0</v>
      </c>
      <c r="N1969" s="182" t="n">
        <v>0</v>
      </c>
      <c r="O1969" s="183" t="n">
        <v>0</v>
      </c>
      <c r="P1969" s="183" t="n">
        <v>0</v>
      </c>
      <c r="Q1969" s="184" t="n">
        <v>0</v>
      </c>
      <c r="R1969" s="184" t="n">
        <v>0</v>
      </c>
      <c r="S1969" s="183" t="n">
        <v>0</v>
      </c>
      <c r="T1969" s="183" t="n">
        <v>0</v>
      </c>
      <c r="U1969" s="182" t="n">
        <v>0</v>
      </c>
      <c r="V1969" s="182" t="n">
        <v>0</v>
      </c>
      <c r="W1969" s="182" t="n">
        <v>0</v>
      </c>
      <c r="X1969" s="182" t="n">
        <v>0</v>
      </c>
      <c r="Y1969" s="182" t="n">
        <v>0</v>
      </c>
      <c r="Z1969" s="182" t="n">
        <v>0</v>
      </c>
      <c r="AA1969" s="182" t="n">
        <v>0</v>
      </c>
      <c r="AB1969" s="182" t="n">
        <v>0</v>
      </c>
      <c r="AC1969" s="182" t="n">
        <v>0</v>
      </c>
      <c r="AD1969" s="182" t="n">
        <v>0</v>
      </c>
      <c r="AE1969" s="182" t="n">
        <v>0</v>
      </c>
      <c r="AF1969" s="182" t="n">
        <v>0</v>
      </c>
      <c r="AG1969" s="182" t="n">
        <v>0</v>
      </c>
      <c r="AH1969" s="182" t="n">
        <v>0</v>
      </c>
      <c r="AI1969" s="182" t="n">
        <v>0</v>
      </c>
      <c r="AJ1969" s="182" t="n">
        <v>0</v>
      </c>
      <c r="AK1969" s="182" t="n">
        <v>0</v>
      </c>
      <c r="AL1969" s="182" t="n">
        <v>0</v>
      </c>
      <c r="AM1969" s="182" t="n">
        <v>0</v>
      </c>
      <c r="AN1969" s="182" t="n">
        <v>0</v>
      </c>
    </row>
    <row r="1970">
      <c r="A1970" s="155" t="n">
        <v>46090</v>
      </c>
      <c r="B1970" s="156" t="inlineStr">
        <is>
          <t>NS</t>
        </is>
      </c>
      <c r="C1970" s="156" t="inlineStr">
        <is>
          <t>DT-341</t>
        </is>
      </c>
      <c r="D1970" s="156" t="inlineStr">
        <is>
          <t>SYZ324C-8W</t>
        </is>
      </c>
      <c r="E1970" s="156" t="inlineStr">
        <is>
          <t>Hauler</t>
        </is>
      </c>
      <c r="F1970" s="156" t="inlineStr">
        <is>
          <t>Rehandling Material di Washing Plant</t>
        </is>
      </c>
      <c r="G1970" s="182" t="n">
        <v>9.359999999999999</v>
      </c>
      <c r="H1970" s="182" t="n">
        <v>0</v>
      </c>
      <c r="I1970" s="182" t="n">
        <v>0</v>
      </c>
      <c r="J1970" s="182" t="n">
        <v>0</v>
      </c>
      <c r="K1970" s="182" t="n">
        <v>2.64</v>
      </c>
      <c r="L1970" s="182" t="n">
        <v>12</v>
      </c>
      <c r="M1970" s="182" t="n">
        <v>0</v>
      </c>
      <c r="N1970" s="182" t="n">
        <v>0</v>
      </c>
      <c r="O1970" s="183" t="n">
        <v>0</v>
      </c>
      <c r="P1970" s="183" t="n">
        <v>0</v>
      </c>
      <c r="Q1970" s="184" t="n">
        <v>0</v>
      </c>
      <c r="R1970" s="184" t="n">
        <v>0</v>
      </c>
      <c r="S1970" s="183" t="n">
        <v>0</v>
      </c>
      <c r="T1970" s="183" t="n">
        <v>0</v>
      </c>
      <c r="U1970" s="182" t="n">
        <v>0</v>
      </c>
      <c r="V1970" s="182" t="n">
        <v>0</v>
      </c>
      <c r="W1970" s="182" t="n">
        <v>0</v>
      </c>
      <c r="X1970" s="182" t="n">
        <v>1.02</v>
      </c>
      <c r="Y1970" s="182" t="n">
        <v>0</v>
      </c>
      <c r="Z1970" s="182" t="n">
        <v>0</v>
      </c>
      <c r="AA1970" s="182" t="n">
        <v>0</v>
      </c>
      <c r="AB1970" s="182" t="n">
        <v>0</v>
      </c>
      <c r="AC1970" s="182" t="n">
        <v>0</v>
      </c>
      <c r="AD1970" s="182" t="n">
        <v>0</v>
      </c>
      <c r="AE1970" s="182" t="n">
        <v>0</v>
      </c>
      <c r="AF1970" s="182" t="n">
        <v>0</v>
      </c>
      <c r="AG1970" s="182" t="n">
        <v>0</v>
      </c>
      <c r="AH1970" s="182" t="n">
        <v>0</v>
      </c>
      <c r="AI1970" s="182" t="n">
        <v>0</v>
      </c>
      <c r="AJ1970" s="182" t="n">
        <v>0</v>
      </c>
      <c r="AK1970" s="182" t="n">
        <v>1.54</v>
      </c>
      <c r="AL1970" s="182" t="n">
        <v>0</v>
      </c>
      <c r="AM1970" s="182" t="n">
        <v>0.08</v>
      </c>
      <c r="AN1970" s="182" t="n">
        <v>0</v>
      </c>
    </row>
    <row r="1971">
      <c r="A1971" s="155" t="n">
        <v>46090</v>
      </c>
      <c r="B1971" s="156" t="inlineStr">
        <is>
          <t>NS</t>
        </is>
      </c>
      <c r="C1971" s="156" t="inlineStr">
        <is>
          <t>DT-342</t>
        </is>
      </c>
      <c r="D1971" s="156" t="inlineStr">
        <is>
          <t>SYZ324C-8W</t>
        </is>
      </c>
      <c r="E1971" s="156" t="inlineStr">
        <is>
          <t>Hauler</t>
        </is>
      </c>
      <c r="F1971" s="156" t="inlineStr">
        <is>
          <t>Rehandling Material di Washing Plant</t>
        </is>
      </c>
      <c r="G1971" s="182" t="n">
        <v>9.640000000000001</v>
      </c>
      <c r="H1971" s="182" t="n">
        <v>0</v>
      </c>
      <c r="I1971" s="182" t="n">
        <v>0</v>
      </c>
      <c r="J1971" s="182" t="n">
        <v>0</v>
      </c>
      <c r="K1971" s="182" t="n">
        <v>2.36</v>
      </c>
      <c r="L1971" s="182" t="n">
        <v>12</v>
      </c>
      <c r="M1971" s="182" t="n">
        <v>0</v>
      </c>
      <c r="N1971" s="182" t="n">
        <v>0</v>
      </c>
      <c r="O1971" s="183" t="n">
        <v>0</v>
      </c>
      <c r="P1971" s="183" t="n">
        <v>0</v>
      </c>
      <c r="Q1971" s="184" t="n">
        <v>0</v>
      </c>
      <c r="R1971" s="184" t="n">
        <v>0</v>
      </c>
      <c r="S1971" s="183" t="n">
        <v>0</v>
      </c>
      <c r="T1971" s="183" t="n">
        <v>0</v>
      </c>
      <c r="U1971" s="182" t="n">
        <v>0</v>
      </c>
      <c r="V1971" s="182" t="n">
        <v>0</v>
      </c>
      <c r="W1971" s="182" t="n">
        <v>0</v>
      </c>
      <c r="X1971" s="182" t="n">
        <v>0.9399999999999999</v>
      </c>
      <c r="Y1971" s="182" t="n">
        <v>0</v>
      </c>
      <c r="Z1971" s="182" t="n">
        <v>0</v>
      </c>
      <c r="AA1971" s="182" t="n">
        <v>0</v>
      </c>
      <c r="AB1971" s="182" t="n">
        <v>0</v>
      </c>
      <c r="AC1971" s="182" t="n">
        <v>0</v>
      </c>
      <c r="AD1971" s="182" t="n">
        <v>0</v>
      </c>
      <c r="AE1971" s="182" t="n">
        <v>0</v>
      </c>
      <c r="AF1971" s="182" t="n">
        <v>0</v>
      </c>
      <c r="AG1971" s="182" t="n">
        <v>0</v>
      </c>
      <c r="AH1971" s="182" t="n">
        <v>0</v>
      </c>
      <c r="AI1971" s="182" t="n">
        <v>0</v>
      </c>
      <c r="AJ1971" s="182" t="n">
        <v>0</v>
      </c>
      <c r="AK1971" s="182" t="n">
        <v>1.34</v>
      </c>
      <c r="AL1971" s="182" t="n">
        <v>0</v>
      </c>
      <c r="AM1971" s="182" t="n">
        <v>0.08</v>
      </c>
      <c r="AN1971" s="182" t="n">
        <v>0</v>
      </c>
    </row>
    <row r="1972">
      <c r="A1972" s="155" t="n">
        <v>46090</v>
      </c>
      <c r="B1972" s="156" t="inlineStr">
        <is>
          <t>NS</t>
        </is>
      </c>
      <c r="C1972" s="156" t="inlineStr">
        <is>
          <t>HD-903</t>
        </is>
      </c>
      <c r="D1972" s="156" t="inlineStr">
        <is>
          <t>SRT 95C</t>
        </is>
      </c>
      <c r="E1972" s="156" t="inlineStr">
        <is>
          <t>Hauler</t>
        </is>
      </c>
      <c r="F1972" s="156" t="inlineStr"/>
      <c r="G1972" s="182" t="n">
        <v>0</v>
      </c>
      <c r="H1972" s="182" t="n">
        <v>0</v>
      </c>
      <c r="I1972" s="182" t="n">
        <v>12</v>
      </c>
      <c r="J1972" s="182" t="n">
        <v>12</v>
      </c>
      <c r="K1972" s="182" t="n">
        <v>0</v>
      </c>
      <c r="L1972" s="182" t="n">
        <v>12</v>
      </c>
      <c r="M1972" s="182" t="n">
        <v>0</v>
      </c>
      <c r="N1972" s="182" t="n">
        <v>0</v>
      </c>
      <c r="O1972" s="183" t="n">
        <v>0</v>
      </c>
      <c r="P1972" s="183" t="n">
        <v>0</v>
      </c>
      <c r="Q1972" s="184" t="n">
        <v>0</v>
      </c>
      <c r="R1972" s="184" t="n">
        <v>0</v>
      </c>
      <c r="S1972" s="183" t="n">
        <v>0</v>
      </c>
      <c r="T1972" s="183" t="n">
        <v>0</v>
      </c>
      <c r="U1972" s="182" t="n">
        <v>0</v>
      </c>
      <c r="V1972" s="182" t="n">
        <v>0</v>
      </c>
      <c r="W1972" s="182" t="n">
        <v>0</v>
      </c>
      <c r="X1972" s="182" t="n">
        <v>0</v>
      </c>
      <c r="Y1972" s="182" t="n">
        <v>0</v>
      </c>
      <c r="Z1972" s="182" t="n">
        <v>0</v>
      </c>
      <c r="AA1972" s="182" t="n">
        <v>0</v>
      </c>
      <c r="AB1972" s="182" t="n">
        <v>0</v>
      </c>
      <c r="AC1972" s="182" t="n">
        <v>0</v>
      </c>
      <c r="AD1972" s="182" t="n">
        <v>0</v>
      </c>
      <c r="AE1972" s="182" t="n">
        <v>0</v>
      </c>
      <c r="AF1972" s="182" t="n">
        <v>0</v>
      </c>
      <c r="AG1972" s="182" t="n">
        <v>0</v>
      </c>
      <c r="AH1972" s="182" t="n">
        <v>0</v>
      </c>
      <c r="AI1972" s="182" t="n">
        <v>0</v>
      </c>
      <c r="AJ1972" s="182" t="n">
        <v>0</v>
      </c>
      <c r="AK1972" s="182" t="n">
        <v>0</v>
      </c>
      <c r="AL1972" s="182" t="n">
        <v>0</v>
      </c>
      <c r="AM1972" s="182" t="n">
        <v>0</v>
      </c>
      <c r="AN1972" s="182" t="n">
        <v>0</v>
      </c>
    </row>
    <row r="1973">
      <c r="A1973" s="155" t="n">
        <v>46090</v>
      </c>
      <c r="B1973" s="156" t="inlineStr">
        <is>
          <t>NS</t>
        </is>
      </c>
      <c r="C1973" s="156" t="inlineStr">
        <is>
          <t>HD-905</t>
        </is>
      </c>
      <c r="D1973" s="156" t="inlineStr">
        <is>
          <t>SRT 95C</t>
        </is>
      </c>
      <c r="E1973" s="156" t="inlineStr">
        <is>
          <t>Hauler</t>
        </is>
      </c>
      <c r="F1973" s="156" t="inlineStr">
        <is>
          <t>Hauling OB</t>
        </is>
      </c>
      <c r="G1973" s="182" t="n">
        <v>1.11</v>
      </c>
      <c r="H1973" s="182" t="n">
        <v>0</v>
      </c>
      <c r="I1973" s="182" t="n">
        <v>0</v>
      </c>
      <c r="J1973" s="182" t="n">
        <v>0</v>
      </c>
      <c r="K1973" s="182" t="n">
        <v>10.89</v>
      </c>
      <c r="L1973" s="182" t="n">
        <v>12</v>
      </c>
      <c r="M1973" s="182" t="n">
        <v>1.11</v>
      </c>
      <c r="N1973" s="182" t="n">
        <v>0</v>
      </c>
      <c r="O1973" s="183" t="n">
        <v>3</v>
      </c>
      <c r="P1973" s="183" t="n">
        <v>0</v>
      </c>
      <c r="Q1973" s="184" t="n">
        <v>107.1</v>
      </c>
      <c r="R1973" s="184" t="n">
        <v>0</v>
      </c>
      <c r="S1973" s="183" t="n">
        <v>0</v>
      </c>
      <c r="T1973" s="183" t="n">
        <v>0</v>
      </c>
      <c r="U1973" s="182" t="n">
        <v>0</v>
      </c>
      <c r="V1973" s="182" t="n">
        <v>0</v>
      </c>
      <c r="W1973" s="182" t="n">
        <v>0</v>
      </c>
      <c r="X1973" s="182" t="n">
        <v>0.99</v>
      </c>
      <c r="Y1973" s="182" t="n">
        <v>0</v>
      </c>
      <c r="Z1973" s="182" t="n">
        <v>0</v>
      </c>
      <c r="AA1973" s="182" t="n">
        <v>0</v>
      </c>
      <c r="AB1973" s="182" t="n">
        <v>0</v>
      </c>
      <c r="AC1973" s="182" t="n">
        <v>0</v>
      </c>
      <c r="AD1973" s="182" t="n">
        <v>0</v>
      </c>
      <c r="AE1973" s="182" t="n">
        <v>0</v>
      </c>
      <c r="AF1973" s="182" t="n">
        <v>0</v>
      </c>
      <c r="AG1973" s="182" t="n">
        <v>0</v>
      </c>
      <c r="AH1973" s="182" t="n">
        <v>0</v>
      </c>
      <c r="AI1973" s="182" t="n">
        <v>9.82</v>
      </c>
      <c r="AJ1973" s="182" t="n">
        <v>0</v>
      </c>
      <c r="AK1973" s="182" t="n">
        <v>0</v>
      </c>
      <c r="AL1973" s="182" t="n">
        <v>0</v>
      </c>
      <c r="AM1973" s="182" t="n">
        <v>0.08</v>
      </c>
      <c r="AN1973" s="182" t="n">
        <v>0</v>
      </c>
    </row>
    <row r="1974">
      <c r="A1974" s="155" t="n">
        <v>46090</v>
      </c>
      <c r="B1974" s="156" t="inlineStr">
        <is>
          <t>NS</t>
        </is>
      </c>
      <c r="C1974" s="156" t="inlineStr">
        <is>
          <t>HD-901</t>
        </is>
      </c>
      <c r="D1974" s="156" t="inlineStr">
        <is>
          <t>SRT 95C</t>
        </is>
      </c>
      <c r="E1974" s="156" t="inlineStr">
        <is>
          <t>Hauler</t>
        </is>
      </c>
      <c r="F1974" s="156" t="inlineStr">
        <is>
          <t>Hauling OB</t>
        </is>
      </c>
      <c r="G1974" s="182" t="n">
        <v>0.2</v>
      </c>
      <c r="H1974" s="182" t="n">
        <v>0</v>
      </c>
      <c r="I1974" s="182" t="n">
        <v>0</v>
      </c>
      <c r="J1974" s="182" t="n">
        <v>0</v>
      </c>
      <c r="K1974" s="182" t="n">
        <v>11.8</v>
      </c>
      <c r="L1974" s="182" t="n">
        <v>12</v>
      </c>
      <c r="M1974" s="182" t="n">
        <v>0.2</v>
      </c>
      <c r="N1974" s="182" t="n">
        <v>0</v>
      </c>
      <c r="O1974" s="183" t="n">
        <v>1</v>
      </c>
      <c r="P1974" s="183" t="n">
        <v>0</v>
      </c>
      <c r="Q1974" s="184" t="n">
        <v>35.7</v>
      </c>
      <c r="R1974" s="184" t="n">
        <v>0</v>
      </c>
      <c r="S1974" s="183" t="n">
        <v>0</v>
      </c>
      <c r="T1974" s="183" t="n">
        <v>0</v>
      </c>
      <c r="U1974" s="182" t="n">
        <v>0</v>
      </c>
      <c r="V1974" s="182" t="n">
        <v>0</v>
      </c>
      <c r="W1974" s="182" t="n">
        <v>0</v>
      </c>
      <c r="X1974" s="182" t="n">
        <v>1</v>
      </c>
      <c r="Y1974" s="182" t="n">
        <v>0</v>
      </c>
      <c r="Z1974" s="182" t="n">
        <v>0</v>
      </c>
      <c r="AA1974" s="182" t="n">
        <v>0</v>
      </c>
      <c r="AB1974" s="182" t="n">
        <v>0</v>
      </c>
      <c r="AC1974" s="182" t="n">
        <v>0</v>
      </c>
      <c r="AD1974" s="182" t="n">
        <v>0</v>
      </c>
      <c r="AE1974" s="182" t="n">
        <v>0</v>
      </c>
      <c r="AF1974" s="182" t="n">
        <v>0</v>
      </c>
      <c r="AG1974" s="182" t="n">
        <v>0</v>
      </c>
      <c r="AH1974" s="182" t="n">
        <v>0</v>
      </c>
      <c r="AI1974" s="182" t="n">
        <v>10.72</v>
      </c>
      <c r="AJ1974" s="182" t="n">
        <v>0</v>
      </c>
      <c r="AK1974" s="182" t="n">
        <v>0</v>
      </c>
      <c r="AL1974" s="182" t="n">
        <v>0</v>
      </c>
      <c r="AM1974" s="182" t="n">
        <v>0.08</v>
      </c>
      <c r="AN1974" s="182" t="n">
        <v>0</v>
      </c>
    </row>
    <row r="1975">
      <c r="A1975" s="155" t="n">
        <v>46090</v>
      </c>
      <c r="B1975" s="156" t="inlineStr">
        <is>
          <t>NS</t>
        </is>
      </c>
      <c r="C1975" s="156" t="inlineStr">
        <is>
          <t>HD-904</t>
        </is>
      </c>
      <c r="D1975" s="156" t="inlineStr">
        <is>
          <t>SRT 95C</t>
        </is>
      </c>
      <c r="E1975" s="156" t="inlineStr">
        <is>
          <t>Hauler</t>
        </is>
      </c>
      <c r="F1975" s="156" t="inlineStr"/>
      <c r="G1975" s="182" t="n">
        <v>0</v>
      </c>
      <c r="H1975" s="182" t="n">
        <v>0</v>
      </c>
      <c r="I1975" s="182" t="n">
        <v>0</v>
      </c>
      <c r="J1975" s="182" t="n">
        <v>0</v>
      </c>
      <c r="K1975" s="182" t="n">
        <v>12</v>
      </c>
      <c r="L1975" s="182" t="n">
        <v>12</v>
      </c>
      <c r="M1975" s="182" t="n">
        <v>0</v>
      </c>
      <c r="N1975" s="182" t="n">
        <v>0</v>
      </c>
      <c r="O1975" s="183" t="n">
        <v>0</v>
      </c>
      <c r="P1975" s="183" t="n">
        <v>0</v>
      </c>
      <c r="Q1975" s="184" t="n">
        <v>0</v>
      </c>
      <c r="R1975" s="184" t="n">
        <v>0</v>
      </c>
      <c r="S1975" s="183" t="n">
        <v>0</v>
      </c>
      <c r="T1975" s="183" t="n">
        <v>0</v>
      </c>
      <c r="U1975" s="182" t="n">
        <v>0</v>
      </c>
      <c r="V1975" s="182" t="n">
        <v>0</v>
      </c>
      <c r="W1975" s="182" t="n">
        <v>0</v>
      </c>
      <c r="X1975" s="182" t="n">
        <v>1</v>
      </c>
      <c r="Y1975" s="182" t="n">
        <v>0</v>
      </c>
      <c r="Z1975" s="182" t="n">
        <v>0</v>
      </c>
      <c r="AA1975" s="182" t="n">
        <v>0</v>
      </c>
      <c r="AB1975" s="182" t="n">
        <v>0</v>
      </c>
      <c r="AC1975" s="182" t="n">
        <v>0</v>
      </c>
      <c r="AD1975" s="182" t="n">
        <v>0</v>
      </c>
      <c r="AE1975" s="182" t="n">
        <v>0</v>
      </c>
      <c r="AF1975" s="182" t="n">
        <v>0</v>
      </c>
      <c r="AG1975" s="182" t="n">
        <v>0</v>
      </c>
      <c r="AH1975" s="182" t="n">
        <v>0</v>
      </c>
      <c r="AI1975" s="182" t="n">
        <v>10.92</v>
      </c>
      <c r="AJ1975" s="182" t="n">
        <v>0</v>
      </c>
      <c r="AK1975" s="182" t="n">
        <v>0</v>
      </c>
      <c r="AL1975" s="182" t="n">
        <v>0</v>
      </c>
      <c r="AM1975" s="182" t="n">
        <v>0.08</v>
      </c>
      <c r="AN1975" s="182" t="n">
        <v>0</v>
      </c>
    </row>
    <row r="1976">
      <c r="A1976" s="155" t="n">
        <v>46090</v>
      </c>
      <c r="B1976" s="156" t="inlineStr">
        <is>
          <t>NS</t>
        </is>
      </c>
      <c r="C1976" s="156" t="inlineStr">
        <is>
          <t>HD-902</t>
        </is>
      </c>
      <c r="D1976" s="156" t="inlineStr">
        <is>
          <t>SRT 95C</t>
        </is>
      </c>
      <c r="E1976" s="156" t="inlineStr">
        <is>
          <t>Hauler</t>
        </is>
      </c>
      <c r="F1976" s="156" t="inlineStr">
        <is>
          <t>Hauling OB</t>
        </is>
      </c>
      <c r="G1976" s="182" t="n">
        <v>1</v>
      </c>
      <c r="H1976" s="182" t="n">
        <v>0</v>
      </c>
      <c r="I1976" s="182" t="n">
        <v>0</v>
      </c>
      <c r="J1976" s="182" t="n">
        <v>0</v>
      </c>
      <c r="K1976" s="182" t="n">
        <v>11</v>
      </c>
      <c r="L1976" s="182" t="n">
        <v>12</v>
      </c>
      <c r="M1976" s="182" t="n">
        <v>0.88</v>
      </c>
      <c r="N1976" s="182" t="n">
        <v>0</v>
      </c>
      <c r="O1976" s="183" t="n">
        <v>1</v>
      </c>
      <c r="P1976" s="183" t="n">
        <v>0</v>
      </c>
      <c r="Q1976" s="184" t="n">
        <v>35.7</v>
      </c>
      <c r="R1976" s="184" t="n">
        <v>0</v>
      </c>
      <c r="S1976" s="183" t="n">
        <v>0</v>
      </c>
      <c r="T1976" s="183" t="n">
        <v>0</v>
      </c>
      <c r="U1976" s="182" t="n">
        <v>0</v>
      </c>
      <c r="V1976" s="182" t="n">
        <v>0</v>
      </c>
      <c r="W1976" s="182" t="n">
        <v>0</v>
      </c>
      <c r="X1976" s="182" t="n">
        <v>1</v>
      </c>
      <c r="Y1976" s="182" t="n">
        <v>0</v>
      </c>
      <c r="Z1976" s="182" t="n">
        <v>0</v>
      </c>
      <c r="AA1976" s="182" t="n">
        <v>0</v>
      </c>
      <c r="AB1976" s="182" t="n">
        <v>0</v>
      </c>
      <c r="AC1976" s="182" t="n">
        <v>0</v>
      </c>
      <c r="AD1976" s="182" t="n">
        <v>0</v>
      </c>
      <c r="AE1976" s="182" t="n">
        <v>0</v>
      </c>
      <c r="AF1976" s="182" t="n">
        <v>0</v>
      </c>
      <c r="AG1976" s="182" t="n">
        <v>0</v>
      </c>
      <c r="AH1976" s="182" t="n">
        <v>0</v>
      </c>
      <c r="AI1976" s="182" t="n">
        <v>9.92</v>
      </c>
      <c r="AJ1976" s="182" t="n">
        <v>0</v>
      </c>
      <c r="AK1976" s="182" t="n">
        <v>0</v>
      </c>
      <c r="AL1976" s="182" t="n">
        <v>0</v>
      </c>
      <c r="AM1976" s="182" t="n">
        <v>0.08</v>
      </c>
      <c r="AN1976" s="182" t="n">
        <v>0</v>
      </c>
    </row>
    <row r="1977">
      <c r="A1977" s="155" t="n">
        <v>46090</v>
      </c>
      <c r="B1977" s="156" t="inlineStr">
        <is>
          <t>NS</t>
        </is>
      </c>
      <c r="C1977" s="156" t="inlineStr">
        <is>
          <t>WL-025</t>
        </is>
      </c>
      <c r="D1977" s="156" t="inlineStr">
        <is>
          <t>SANY - Loader</t>
        </is>
      </c>
      <c r="E1977" s="156" t="inlineStr">
        <is>
          <t>Loader</t>
        </is>
      </c>
      <c r="F1977" s="156" t="inlineStr">
        <is>
          <t>Support Jetty</t>
        </is>
      </c>
      <c r="G1977" s="182" t="n">
        <v>4.01</v>
      </c>
      <c r="H1977" s="182" t="n">
        <v>0</v>
      </c>
      <c r="I1977" s="182" t="n">
        <v>0</v>
      </c>
      <c r="J1977" s="182" t="n">
        <v>0</v>
      </c>
      <c r="K1977" s="182" t="n">
        <v>7.99</v>
      </c>
      <c r="L1977" s="182" t="n">
        <v>12</v>
      </c>
      <c r="M1977" s="182" t="n">
        <v>0</v>
      </c>
      <c r="N1977" s="182" t="n">
        <v>0</v>
      </c>
      <c r="O1977" s="183" t="n">
        <v>0</v>
      </c>
      <c r="P1977" s="183" t="n">
        <v>0</v>
      </c>
      <c r="Q1977" s="184" t="n">
        <v>0</v>
      </c>
      <c r="R1977" s="184" t="n">
        <v>0</v>
      </c>
      <c r="S1977" s="183" t="n">
        <v>0</v>
      </c>
      <c r="T1977" s="183" t="n">
        <v>0</v>
      </c>
      <c r="U1977" s="182" t="n">
        <v>0</v>
      </c>
      <c r="V1977" s="182" t="n">
        <v>0</v>
      </c>
      <c r="W1977" s="182" t="n">
        <v>0</v>
      </c>
      <c r="X1977" s="182" t="n">
        <v>1.01</v>
      </c>
      <c r="Y1977" s="182" t="n">
        <v>0</v>
      </c>
      <c r="Z1977" s="182" t="n">
        <v>0</v>
      </c>
      <c r="AA1977" s="182" t="n">
        <v>0</v>
      </c>
      <c r="AB1977" s="182" t="n">
        <v>0</v>
      </c>
      <c r="AC1977" s="182" t="n">
        <v>0</v>
      </c>
      <c r="AD1977" s="182" t="n">
        <v>0</v>
      </c>
      <c r="AE1977" s="182" t="n">
        <v>0</v>
      </c>
      <c r="AF1977" s="182" t="n">
        <v>0</v>
      </c>
      <c r="AG1977" s="182" t="n">
        <v>0</v>
      </c>
      <c r="AH1977" s="182" t="n">
        <v>0</v>
      </c>
      <c r="AI1977" s="182" t="n">
        <v>0</v>
      </c>
      <c r="AJ1977" s="182" t="n">
        <v>0</v>
      </c>
      <c r="AK1977" s="182" t="n">
        <v>6.9</v>
      </c>
      <c r="AL1977" s="182" t="n">
        <v>0</v>
      </c>
      <c r="AM1977" s="182" t="n">
        <v>0.08</v>
      </c>
      <c r="AN1977" s="182" t="n">
        <v>0</v>
      </c>
    </row>
    <row r="1978">
      <c r="A1978" s="155" t="n">
        <v>46090</v>
      </c>
      <c r="B1978" s="156" t="inlineStr">
        <is>
          <t>NS</t>
        </is>
      </c>
      <c r="C1978" s="156" t="inlineStr">
        <is>
          <t>WL-023</t>
        </is>
      </c>
      <c r="D1978" s="156" t="inlineStr">
        <is>
          <t>SANY - Loader</t>
        </is>
      </c>
      <c r="E1978" s="156" t="inlineStr">
        <is>
          <t>Loader</t>
        </is>
      </c>
      <c r="F1978" s="156" t="inlineStr">
        <is>
          <t>Support Jetty</t>
        </is>
      </c>
      <c r="G1978" s="182" t="n">
        <v>4.55</v>
      </c>
      <c r="H1978" s="182" t="n">
        <v>0</v>
      </c>
      <c r="I1978" s="182" t="n">
        <v>0</v>
      </c>
      <c r="J1978" s="182" t="n">
        <v>0</v>
      </c>
      <c r="K1978" s="182" t="n">
        <v>7.45</v>
      </c>
      <c r="L1978" s="182" t="n">
        <v>12</v>
      </c>
      <c r="M1978" s="182" t="n">
        <v>0</v>
      </c>
      <c r="N1978" s="182" t="n">
        <v>0</v>
      </c>
      <c r="O1978" s="183" t="n">
        <v>0</v>
      </c>
      <c r="P1978" s="183" t="n">
        <v>0</v>
      </c>
      <c r="Q1978" s="184" t="n">
        <v>0</v>
      </c>
      <c r="R1978" s="184" t="n">
        <v>0</v>
      </c>
      <c r="S1978" s="183" t="n">
        <v>0</v>
      </c>
      <c r="T1978" s="183" t="n">
        <v>0</v>
      </c>
      <c r="U1978" s="182" t="n">
        <v>0</v>
      </c>
      <c r="V1978" s="182" t="n">
        <v>0</v>
      </c>
      <c r="W1978" s="182" t="n">
        <v>0</v>
      </c>
      <c r="X1978" s="182" t="n">
        <v>1.06</v>
      </c>
      <c r="Y1978" s="182" t="n">
        <v>0</v>
      </c>
      <c r="Z1978" s="182" t="n">
        <v>0</v>
      </c>
      <c r="AA1978" s="182" t="n">
        <v>0</v>
      </c>
      <c r="AB1978" s="182" t="n">
        <v>0</v>
      </c>
      <c r="AC1978" s="182" t="n">
        <v>0</v>
      </c>
      <c r="AD1978" s="182" t="n">
        <v>0</v>
      </c>
      <c r="AE1978" s="182" t="n">
        <v>0</v>
      </c>
      <c r="AF1978" s="182" t="n">
        <v>0</v>
      </c>
      <c r="AG1978" s="182" t="n">
        <v>0</v>
      </c>
      <c r="AH1978" s="182" t="n">
        <v>0</v>
      </c>
      <c r="AI1978" s="182" t="n">
        <v>0</v>
      </c>
      <c r="AJ1978" s="182" t="n">
        <v>0</v>
      </c>
      <c r="AK1978" s="182" t="n">
        <v>6.3</v>
      </c>
      <c r="AL1978" s="182" t="n">
        <v>0</v>
      </c>
      <c r="AM1978" s="182" t="n">
        <v>0.09</v>
      </c>
      <c r="AN1978" s="182" t="n">
        <v>0</v>
      </c>
    </row>
    <row r="1979">
      <c r="A1979" s="155" t="n">
        <v>46090</v>
      </c>
      <c r="B1979" s="156" t="inlineStr">
        <is>
          <t>NS</t>
        </is>
      </c>
      <c r="C1979" s="156" t="inlineStr">
        <is>
          <t>WL-021</t>
        </is>
      </c>
      <c r="D1979" s="156" t="inlineStr">
        <is>
          <t>SANY - Loader</t>
        </is>
      </c>
      <c r="E1979" s="156" t="inlineStr">
        <is>
          <t>Loader</t>
        </is>
      </c>
      <c r="F1979" s="156" t="inlineStr"/>
      <c r="G1979" s="182" t="n">
        <v>0</v>
      </c>
      <c r="H1979" s="182" t="n">
        <v>0</v>
      </c>
      <c r="I1979" s="182" t="n">
        <v>12</v>
      </c>
      <c r="J1979" s="182" t="n">
        <v>12</v>
      </c>
      <c r="K1979" s="182" t="n">
        <v>0</v>
      </c>
      <c r="L1979" s="182" t="n">
        <v>12</v>
      </c>
      <c r="M1979" s="182" t="n">
        <v>0</v>
      </c>
      <c r="N1979" s="182" t="n">
        <v>0</v>
      </c>
      <c r="O1979" s="183" t="n">
        <v>0</v>
      </c>
      <c r="P1979" s="183" t="n">
        <v>0</v>
      </c>
      <c r="Q1979" s="184" t="n">
        <v>0</v>
      </c>
      <c r="R1979" s="184" t="n">
        <v>0</v>
      </c>
      <c r="S1979" s="183" t="n">
        <v>0</v>
      </c>
      <c r="T1979" s="183" t="n">
        <v>0</v>
      </c>
      <c r="U1979" s="182" t="n">
        <v>0</v>
      </c>
      <c r="V1979" s="182" t="n">
        <v>0</v>
      </c>
      <c r="W1979" s="182" t="n">
        <v>0</v>
      </c>
      <c r="X1979" s="182" t="n">
        <v>0</v>
      </c>
      <c r="Y1979" s="182" t="n">
        <v>0</v>
      </c>
      <c r="Z1979" s="182" t="n">
        <v>0</v>
      </c>
      <c r="AA1979" s="182" t="n">
        <v>0</v>
      </c>
      <c r="AB1979" s="182" t="n">
        <v>0</v>
      </c>
      <c r="AC1979" s="182" t="n">
        <v>0</v>
      </c>
      <c r="AD1979" s="182" t="n">
        <v>0</v>
      </c>
      <c r="AE1979" s="182" t="n">
        <v>0</v>
      </c>
      <c r="AF1979" s="182" t="n">
        <v>0</v>
      </c>
      <c r="AG1979" s="182" t="n">
        <v>0</v>
      </c>
      <c r="AH1979" s="182" t="n">
        <v>0</v>
      </c>
      <c r="AI1979" s="182" t="n">
        <v>0</v>
      </c>
      <c r="AJ1979" s="182" t="n">
        <v>0</v>
      </c>
      <c r="AK1979" s="182" t="n">
        <v>0</v>
      </c>
      <c r="AL1979" s="182" t="n">
        <v>0</v>
      </c>
      <c r="AM1979" s="182" t="n">
        <v>0</v>
      </c>
      <c r="AN1979" s="182" t="n">
        <v>0</v>
      </c>
    </row>
    <row r="1980">
      <c r="A1980" s="155" t="n">
        <v>46090</v>
      </c>
      <c r="B1980" s="156" t="inlineStr">
        <is>
          <t>NS</t>
        </is>
      </c>
      <c r="C1980" s="156" t="inlineStr">
        <is>
          <t>WL-022</t>
        </is>
      </c>
      <c r="D1980" s="156" t="inlineStr">
        <is>
          <t>SANY - Loader</t>
        </is>
      </c>
      <c r="E1980" s="156" t="inlineStr">
        <is>
          <t>Loader</t>
        </is>
      </c>
      <c r="F1980" s="156" t="inlineStr">
        <is>
          <t>Timesheet Kosong</t>
        </is>
      </c>
      <c r="G1980" s="182" t="n">
        <v>4.17</v>
      </c>
      <c r="H1980" s="182" t="n">
        <v>0</v>
      </c>
      <c r="I1980" s="182" t="n">
        <v>0</v>
      </c>
      <c r="J1980" s="182" t="n">
        <v>0</v>
      </c>
      <c r="K1980" s="182" t="n">
        <v>7.83</v>
      </c>
      <c r="L1980" s="182" t="n">
        <v>12</v>
      </c>
      <c r="M1980" s="182" t="n">
        <v>0</v>
      </c>
      <c r="N1980" s="182" t="n">
        <v>0</v>
      </c>
      <c r="O1980" s="183" t="n">
        <v>0</v>
      </c>
      <c r="P1980" s="183" t="n">
        <v>0</v>
      </c>
      <c r="Q1980" s="184" t="n">
        <v>0</v>
      </c>
      <c r="R1980" s="184" t="n">
        <v>0</v>
      </c>
      <c r="S1980" s="183" t="n">
        <v>0</v>
      </c>
      <c r="T1980" s="183" t="n">
        <v>0</v>
      </c>
      <c r="U1980" s="182" t="n">
        <v>0</v>
      </c>
      <c r="V1980" s="182" t="n">
        <v>0</v>
      </c>
      <c r="W1980" s="182" t="n">
        <v>0</v>
      </c>
      <c r="X1980" s="182" t="n">
        <v>0.98</v>
      </c>
      <c r="Y1980" s="182" t="n">
        <v>0</v>
      </c>
      <c r="Z1980" s="182" t="n">
        <v>0</v>
      </c>
      <c r="AA1980" s="182" t="n">
        <v>0</v>
      </c>
      <c r="AB1980" s="182" t="n">
        <v>0</v>
      </c>
      <c r="AC1980" s="182" t="n">
        <v>0</v>
      </c>
      <c r="AD1980" s="182" t="n">
        <v>0</v>
      </c>
      <c r="AE1980" s="182" t="n">
        <v>0</v>
      </c>
      <c r="AF1980" s="182" t="n">
        <v>0</v>
      </c>
      <c r="AG1980" s="182" t="n">
        <v>0</v>
      </c>
      <c r="AH1980" s="182" t="n">
        <v>0</v>
      </c>
      <c r="AI1980" s="182" t="n">
        <v>0</v>
      </c>
      <c r="AJ1980" s="182" t="n">
        <v>0</v>
      </c>
      <c r="AK1980" s="182" t="n">
        <v>6.77</v>
      </c>
      <c r="AL1980" s="182" t="n">
        <v>0</v>
      </c>
      <c r="AM1980" s="182" t="n">
        <v>0.08</v>
      </c>
      <c r="AN1980" s="182" t="n">
        <v>0</v>
      </c>
    </row>
    <row r="1981">
      <c r="A1981" s="155" t="n">
        <v>46090</v>
      </c>
      <c r="B1981" s="156" t="inlineStr">
        <is>
          <t>NS</t>
        </is>
      </c>
      <c r="C1981" s="156" t="inlineStr">
        <is>
          <t>WL-024</t>
        </is>
      </c>
      <c r="D1981" s="156" t="inlineStr">
        <is>
          <t>SANY - Loader</t>
        </is>
      </c>
      <c r="E1981" s="156" t="inlineStr">
        <is>
          <t>Loader</t>
        </is>
      </c>
      <c r="F1981" s="156" t="inlineStr">
        <is>
          <t>Support Washing Plant</t>
        </is>
      </c>
      <c r="G1981" s="182" t="n">
        <v>11.07</v>
      </c>
      <c r="H1981" s="182" t="n">
        <v>0</v>
      </c>
      <c r="I1981" s="182" t="n">
        <v>0</v>
      </c>
      <c r="J1981" s="182" t="n">
        <v>0</v>
      </c>
      <c r="K1981" s="182" t="n">
        <v>0.93</v>
      </c>
      <c r="L1981" s="182" t="n">
        <v>12</v>
      </c>
      <c r="M1981" s="182" t="n">
        <v>0</v>
      </c>
      <c r="N1981" s="182" t="n">
        <v>0</v>
      </c>
      <c r="O1981" s="183" t="n">
        <v>0</v>
      </c>
      <c r="P1981" s="183" t="n">
        <v>0</v>
      </c>
      <c r="Q1981" s="184" t="n">
        <v>0</v>
      </c>
      <c r="R1981" s="184" t="n">
        <v>0</v>
      </c>
      <c r="S1981" s="183" t="n">
        <v>0</v>
      </c>
      <c r="T1981" s="183" t="n">
        <v>0</v>
      </c>
      <c r="U1981" s="182" t="n">
        <v>0</v>
      </c>
      <c r="V1981" s="182" t="n">
        <v>0</v>
      </c>
      <c r="W1981" s="182" t="n">
        <v>0</v>
      </c>
      <c r="X1981" s="182" t="n">
        <v>0.86</v>
      </c>
      <c r="Y1981" s="182" t="n">
        <v>0</v>
      </c>
      <c r="Z1981" s="182" t="n">
        <v>0</v>
      </c>
      <c r="AA1981" s="182" t="n">
        <v>0</v>
      </c>
      <c r="AB1981" s="182" t="n">
        <v>0</v>
      </c>
      <c r="AC1981" s="182" t="n">
        <v>0</v>
      </c>
      <c r="AD1981" s="182" t="n">
        <v>0</v>
      </c>
      <c r="AE1981" s="182" t="n">
        <v>0</v>
      </c>
      <c r="AF1981" s="182" t="n">
        <v>0</v>
      </c>
      <c r="AG1981" s="182" t="n">
        <v>0</v>
      </c>
      <c r="AH1981" s="182" t="n">
        <v>0</v>
      </c>
      <c r="AI1981" s="182" t="n">
        <v>0</v>
      </c>
      <c r="AJ1981" s="182" t="n">
        <v>0</v>
      </c>
      <c r="AK1981" s="182" t="n">
        <v>0</v>
      </c>
      <c r="AL1981" s="182" t="n">
        <v>0</v>
      </c>
      <c r="AM1981" s="182" t="n">
        <v>0.07000000000000001</v>
      </c>
      <c r="AN1981" s="182" t="n">
        <v>0</v>
      </c>
    </row>
    <row r="1982">
      <c r="A1982" s="155" t="n">
        <v>46091</v>
      </c>
      <c r="B1982" s="156" t="inlineStr">
        <is>
          <t>DS</t>
        </is>
      </c>
      <c r="C1982" s="156" t="inlineStr">
        <is>
          <t>DZ-034</t>
        </is>
      </c>
      <c r="D1982" s="156" t="inlineStr">
        <is>
          <t>D 68ESS-12EO</t>
        </is>
      </c>
      <c r="E1982" s="156" t="inlineStr">
        <is>
          <t>Bulldozer</t>
        </is>
      </c>
      <c r="F1982" s="156" t="inlineStr"/>
      <c r="G1982" s="182" t="n">
        <v>0</v>
      </c>
      <c r="H1982" s="182" t="n">
        <v>0</v>
      </c>
      <c r="I1982" s="182" t="n">
        <v>12</v>
      </c>
      <c r="J1982" s="182" t="n">
        <v>12</v>
      </c>
      <c r="K1982" s="182" t="n">
        <v>0</v>
      </c>
      <c r="L1982" s="182" t="n">
        <v>12</v>
      </c>
      <c r="M1982" s="182" t="n">
        <v>0</v>
      </c>
      <c r="N1982" s="182" t="n">
        <v>0</v>
      </c>
      <c r="O1982" s="183" t="n">
        <v>0</v>
      </c>
      <c r="P1982" s="183" t="n">
        <v>0</v>
      </c>
      <c r="Q1982" s="184" t="n">
        <v>0</v>
      </c>
      <c r="R1982" s="184" t="n">
        <v>0</v>
      </c>
      <c r="S1982" s="183" t="n">
        <v>0</v>
      </c>
      <c r="T1982" s="183" t="n">
        <v>0</v>
      </c>
      <c r="U1982" s="182" t="n">
        <v>0</v>
      </c>
      <c r="V1982" s="182" t="n">
        <v>0</v>
      </c>
      <c r="W1982" s="182" t="n">
        <v>0</v>
      </c>
      <c r="X1982" s="182" t="n">
        <v>0</v>
      </c>
      <c r="Y1982" s="182" t="n">
        <v>0</v>
      </c>
      <c r="Z1982" s="182" t="n">
        <v>0</v>
      </c>
      <c r="AA1982" s="182" t="n">
        <v>0</v>
      </c>
      <c r="AB1982" s="182" t="n">
        <v>0</v>
      </c>
      <c r="AC1982" s="182" t="n">
        <v>0</v>
      </c>
      <c r="AD1982" s="182" t="n">
        <v>0</v>
      </c>
      <c r="AE1982" s="182" t="n">
        <v>0</v>
      </c>
      <c r="AF1982" s="182" t="n">
        <v>0</v>
      </c>
      <c r="AG1982" s="182" t="n">
        <v>0</v>
      </c>
      <c r="AH1982" s="182" t="n">
        <v>0</v>
      </c>
      <c r="AI1982" s="182" t="n">
        <v>0</v>
      </c>
      <c r="AJ1982" s="182" t="n">
        <v>0</v>
      </c>
      <c r="AK1982" s="182" t="n">
        <v>0</v>
      </c>
      <c r="AL1982" s="182" t="n">
        <v>0</v>
      </c>
      <c r="AM1982" s="182" t="n">
        <v>0</v>
      </c>
      <c r="AN1982" s="182" t="n">
        <v>0</v>
      </c>
    </row>
    <row r="1983">
      <c r="A1983" s="155" t="n">
        <v>46091</v>
      </c>
      <c r="B1983" s="156" t="inlineStr">
        <is>
          <t>DS</t>
        </is>
      </c>
      <c r="C1983" s="156" t="inlineStr">
        <is>
          <t>DZ-033</t>
        </is>
      </c>
      <c r="D1983" s="156" t="inlineStr">
        <is>
          <t>D 375A-6R</t>
        </is>
      </c>
      <c r="E1983" s="156" t="inlineStr">
        <is>
          <t>Bulldozer</t>
        </is>
      </c>
      <c r="F1983" s="156" t="inlineStr">
        <is>
          <t>Support Disposal</t>
        </is>
      </c>
      <c r="G1983" s="182" t="n">
        <v>5.95</v>
      </c>
      <c r="H1983" s="182" t="n">
        <v>0</v>
      </c>
      <c r="I1983" s="182" t="n">
        <v>0.33</v>
      </c>
      <c r="J1983" s="182" t="n">
        <v>0.33</v>
      </c>
      <c r="K1983" s="182" t="n">
        <v>5.72</v>
      </c>
      <c r="L1983" s="182" t="n">
        <v>12</v>
      </c>
      <c r="M1983" s="182" t="n">
        <v>0</v>
      </c>
      <c r="N1983" s="182" t="n">
        <v>0</v>
      </c>
      <c r="O1983" s="183" t="n">
        <v>0</v>
      </c>
      <c r="P1983" s="183" t="n">
        <v>0</v>
      </c>
      <c r="Q1983" s="184" t="n">
        <v>0</v>
      </c>
      <c r="R1983" s="184" t="n">
        <v>0</v>
      </c>
      <c r="S1983" s="183" t="n">
        <v>0</v>
      </c>
      <c r="T1983" s="183" t="n">
        <v>0</v>
      </c>
      <c r="U1983" s="182" t="n">
        <v>2.59</v>
      </c>
      <c r="V1983" s="182" t="n">
        <v>0.51</v>
      </c>
      <c r="W1983" s="182" t="n">
        <v>0</v>
      </c>
      <c r="X1983" s="182" t="n">
        <v>1.01</v>
      </c>
      <c r="Y1983" s="182" t="n">
        <v>0.5</v>
      </c>
      <c r="Z1983" s="182" t="n">
        <v>0</v>
      </c>
      <c r="AA1983" s="182" t="n">
        <v>0</v>
      </c>
      <c r="AB1983" s="182" t="n">
        <v>1.01</v>
      </c>
      <c r="AC1983" s="182" t="n">
        <v>0</v>
      </c>
      <c r="AD1983" s="182" t="n">
        <v>0</v>
      </c>
      <c r="AE1983" s="182" t="n">
        <v>0</v>
      </c>
      <c r="AF1983" s="182" t="n">
        <v>0</v>
      </c>
      <c r="AG1983" s="182" t="n">
        <v>0</v>
      </c>
      <c r="AH1983" s="182" t="n">
        <v>0</v>
      </c>
      <c r="AI1983" s="182" t="n">
        <v>0</v>
      </c>
      <c r="AJ1983" s="182" t="n">
        <v>0</v>
      </c>
      <c r="AK1983" s="182" t="n">
        <v>0</v>
      </c>
      <c r="AL1983" s="182" t="n">
        <v>0</v>
      </c>
      <c r="AM1983" s="182" t="n">
        <v>0.08</v>
      </c>
      <c r="AN1983" s="182" t="n">
        <v>0</v>
      </c>
    </row>
    <row r="1984">
      <c r="A1984" s="155" t="n">
        <v>46091</v>
      </c>
      <c r="B1984" s="156" t="inlineStr">
        <is>
          <t>DS</t>
        </is>
      </c>
      <c r="C1984" s="156" t="inlineStr">
        <is>
          <t>DZ-038</t>
        </is>
      </c>
      <c r="D1984" s="156" t="inlineStr">
        <is>
          <t>D 85 ESS-2</t>
        </is>
      </c>
      <c r="E1984" s="156" t="inlineStr">
        <is>
          <t>Bulldozer</t>
        </is>
      </c>
      <c r="F1984" s="156" t="inlineStr">
        <is>
          <t>Support Disposal</t>
        </is>
      </c>
      <c r="G1984" s="182" t="n">
        <v>4.74</v>
      </c>
      <c r="H1984" s="182" t="n">
        <v>0</v>
      </c>
      <c r="I1984" s="182" t="n">
        <v>0</v>
      </c>
      <c r="J1984" s="182" t="n">
        <v>0</v>
      </c>
      <c r="K1984" s="182" t="n">
        <v>7.26</v>
      </c>
      <c r="L1984" s="182" t="n">
        <v>12</v>
      </c>
      <c r="M1984" s="182" t="n">
        <v>0</v>
      </c>
      <c r="N1984" s="182" t="n">
        <v>0</v>
      </c>
      <c r="O1984" s="183" t="n">
        <v>0</v>
      </c>
      <c r="P1984" s="183" t="n">
        <v>0</v>
      </c>
      <c r="Q1984" s="184" t="n">
        <v>0</v>
      </c>
      <c r="R1984" s="184" t="n">
        <v>0</v>
      </c>
      <c r="S1984" s="183" t="n">
        <v>0</v>
      </c>
      <c r="T1984" s="183" t="n">
        <v>0</v>
      </c>
      <c r="U1984" s="182" t="n">
        <v>2.67</v>
      </c>
      <c r="V1984" s="182" t="n">
        <v>1.92</v>
      </c>
      <c r="W1984" s="182" t="n">
        <v>0</v>
      </c>
      <c r="X1984" s="182" t="n">
        <v>1.04</v>
      </c>
      <c r="Y1984" s="182" t="n">
        <v>0.52</v>
      </c>
      <c r="Z1984" s="182" t="n">
        <v>0</v>
      </c>
      <c r="AA1984" s="182" t="n">
        <v>0</v>
      </c>
      <c r="AB1984" s="182" t="n">
        <v>1.04</v>
      </c>
      <c r="AC1984" s="182" t="n">
        <v>0</v>
      </c>
      <c r="AD1984" s="182" t="n">
        <v>0</v>
      </c>
      <c r="AE1984" s="182" t="n">
        <v>0</v>
      </c>
      <c r="AF1984" s="182" t="n">
        <v>0</v>
      </c>
      <c r="AG1984" s="182" t="n">
        <v>0</v>
      </c>
      <c r="AH1984" s="182" t="n">
        <v>0</v>
      </c>
      <c r="AI1984" s="182" t="n">
        <v>0</v>
      </c>
      <c r="AJ1984" s="182" t="n">
        <v>0</v>
      </c>
      <c r="AK1984" s="182" t="n">
        <v>0</v>
      </c>
      <c r="AL1984" s="182" t="n">
        <v>0</v>
      </c>
      <c r="AM1984" s="182" t="n">
        <v>0.08</v>
      </c>
      <c r="AN1984" s="182" t="n">
        <v>0</v>
      </c>
    </row>
    <row r="1985">
      <c r="A1985" s="155" t="n">
        <v>46091</v>
      </c>
      <c r="B1985" s="156" t="inlineStr">
        <is>
          <t>DS</t>
        </is>
      </c>
      <c r="C1985" s="156" t="inlineStr">
        <is>
          <t>DZ-039</t>
        </is>
      </c>
      <c r="D1985" s="156" t="inlineStr">
        <is>
          <t>D 85 ESS-2</t>
        </is>
      </c>
      <c r="E1985" s="156" t="inlineStr">
        <is>
          <t>Bulldozer</t>
        </is>
      </c>
      <c r="F1985" s="156" t="inlineStr">
        <is>
          <t>Support Disposal</t>
        </is>
      </c>
      <c r="G1985" s="182" t="n">
        <v>5.88</v>
      </c>
      <c r="H1985" s="182" t="n">
        <v>0</v>
      </c>
      <c r="I1985" s="182" t="n">
        <v>0.17</v>
      </c>
      <c r="J1985" s="182" t="n">
        <v>0.17</v>
      </c>
      <c r="K1985" s="182" t="n">
        <v>5.95</v>
      </c>
      <c r="L1985" s="182" t="n">
        <v>12</v>
      </c>
      <c r="M1985" s="182" t="n">
        <v>0</v>
      </c>
      <c r="N1985" s="182" t="n">
        <v>0</v>
      </c>
      <c r="O1985" s="183" t="n">
        <v>0</v>
      </c>
      <c r="P1985" s="183" t="n">
        <v>0</v>
      </c>
      <c r="Q1985" s="184" t="n">
        <v>0</v>
      </c>
      <c r="R1985" s="184" t="n">
        <v>0</v>
      </c>
      <c r="S1985" s="183" t="n">
        <v>0</v>
      </c>
      <c r="T1985" s="183" t="n">
        <v>0</v>
      </c>
      <c r="U1985" s="182" t="n">
        <v>2.72</v>
      </c>
      <c r="V1985" s="182" t="n">
        <v>0.51</v>
      </c>
      <c r="W1985" s="182" t="n">
        <v>0</v>
      </c>
      <c r="X1985" s="182" t="n">
        <v>1.06</v>
      </c>
      <c r="Y1985" s="182" t="n">
        <v>0.53</v>
      </c>
      <c r="Z1985" s="182" t="n">
        <v>0</v>
      </c>
      <c r="AA1985" s="182" t="n">
        <v>0</v>
      </c>
      <c r="AB1985" s="182" t="n">
        <v>1.06</v>
      </c>
      <c r="AC1985" s="182" t="n">
        <v>0</v>
      </c>
      <c r="AD1985" s="182" t="n">
        <v>0</v>
      </c>
      <c r="AE1985" s="182" t="n">
        <v>0</v>
      </c>
      <c r="AF1985" s="182" t="n">
        <v>0</v>
      </c>
      <c r="AG1985" s="182" t="n">
        <v>0</v>
      </c>
      <c r="AH1985" s="182" t="n">
        <v>0</v>
      </c>
      <c r="AI1985" s="182" t="n">
        <v>0</v>
      </c>
      <c r="AJ1985" s="182" t="n">
        <v>0</v>
      </c>
      <c r="AK1985" s="182" t="n">
        <v>0</v>
      </c>
      <c r="AL1985" s="182" t="n">
        <v>0</v>
      </c>
      <c r="AM1985" s="182" t="n">
        <v>0.08</v>
      </c>
      <c r="AN1985" s="182" t="n">
        <v>0</v>
      </c>
    </row>
    <row r="1986">
      <c r="A1986" s="155" t="n">
        <v>46091</v>
      </c>
      <c r="B1986" s="156" t="inlineStr">
        <is>
          <t>DS</t>
        </is>
      </c>
      <c r="C1986" s="156" t="inlineStr">
        <is>
          <t>DZ-032</t>
        </is>
      </c>
      <c r="D1986" s="156" t="inlineStr">
        <is>
          <t>CAT</t>
        </is>
      </c>
      <c r="E1986" s="156" t="inlineStr">
        <is>
          <t>Bulldozer</t>
        </is>
      </c>
      <c r="F1986" s="156" t="inlineStr">
        <is>
          <t>Support Front Loading</t>
        </is>
      </c>
      <c r="G1986" s="182" t="n">
        <v>6.57</v>
      </c>
      <c r="H1986" s="182" t="n">
        <v>0</v>
      </c>
      <c r="I1986" s="182" t="n">
        <v>0.17</v>
      </c>
      <c r="J1986" s="182" t="n">
        <v>0.17</v>
      </c>
      <c r="K1986" s="182" t="n">
        <v>5.26</v>
      </c>
      <c r="L1986" s="182" t="n">
        <v>12</v>
      </c>
      <c r="M1986" s="182" t="n">
        <v>0</v>
      </c>
      <c r="N1986" s="182" t="n">
        <v>0</v>
      </c>
      <c r="O1986" s="183" t="n">
        <v>0</v>
      </c>
      <c r="P1986" s="183" t="n">
        <v>0</v>
      </c>
      <c r="Q1986" s="184" t="n">
        <v>0</v>
      </c>
      <c r="R1986" s="184" t="n">
        <v>0</v>
      </c>
      <c r="S1986" s="183" t="n">
        <v>0</v>
      </c>
      <c r="T1986" s="183" t="n">
        <v>0</v>
      </c>
      <c r="U1986" s="182" t="n">
        <v>2.61</v>
      </c>
      <c r="V1986" s="182" t="n">
        <v>0</v>
      </c>
      <c r="W1986" s="182" t="n">
        <v>0</v>
      </c>
      <c r="X1986" s="182" t="n">
        <v>1.03</v>
      </c>
      <c r="Y1986" s="182" t="n">
        <v>0.51</v>
      </c>
      <c r="Z1986" s="182" t="n">
        <v>0</v>
      </c>
      <c r="AA1986" s="182" t="n">
        <v>0</v>
      </c>
      <c r="AB1986" s="182" t="n">
        <v>1.03</v>
      </c>
      <c r="AC1986" s="182" t="n">
        <v>0</v>
      </c>
      <c r="AD1986" s="182" t="n">
        <v>0</v>
      </c>
      <c r="AE1986" s="182" t="n">
        <v>0</v>
      </c>
      <c r="AF1986" s="182" t="n">
        <v>0</v>
      </c>
      <c r="AG1986" s="182" t="n">
        <v>0</v>
      </c>
      <c r="AH1986" s="182" t="n">
        <v>0</v>
      </c>
      <c r="AI1986" s="182" t="n">
        <v>0</v>
      </c>
      <c r="AJ1986" s="182" t="n">
        <v>0</v>
      </c>
      <c r="AK1986" s="182" t="n">
        <v>0</v>
      </c>
      <c r="AL1986" s="182" t="n">
        <v>0</v>
      </c>
      <c r="AM1986" s="182" t="n">
        <v>0.08</v>
      </c>
      <c r="AN1986" s="182" t="n">
        <v>0</v>
      </c>
    </row>
    <row r="1987">
      <c r="A1987" s="155" t="n">
        <v>46091</v>
      </c>
      <c r="B1987" s="156" t="inlineStr">
        <is>
          <t>DS</t>
        </is>
      </c>
      <c r="C1987" s="156" t="inlineStr">
        <is>
          <t>DZ-031</t>
        </is>
      </c>
      <c r="D1987" s="156" t="inlineStr">
        <is>
          <t>CAT</t>
        </is>
      </c>
      <c r="E1987" s="156" t="inlineStr">
        <is>
          <t>Bulldozer</t>
        </is>
      </c>
      <c r="F1987" s="156" t="inlineStr"/>
      <c r="G1987" s="182" t="n">
        <v>0</v>
      </c>
      <c r="H1987" s="182" t="n">
        <v>0</v>
      </c>
      <c r="I1987" s="182" t="n">
        <v>7.5</v>
      </c>
      <c r="J1987" s="182" t="n">
        <v>7.5</v>
      </c>
      <c r="K1987" s="182" t="n">
        <v>4.5</v>
      </c>
      <c r="L1987" s="182" t="n">
        <v>12</v>
      </c>
      <c r="M1987" s="182" t="n">
        <v>0</v>
      </c>
      <c r="N1987" s="182" t="n">
        <v>0</v>
      </c>
      <c r="O1987" s="183" t="n">
        <v>0</v>
      </c>
      <c r="P1987" s="183" t="n">
        <v>0</v>
      </c>
      <c r="Q1987" s="184" t="n">
        <v>0</v>
      </c>
      <c r="R1987" s="184" t="n">
        <v>0</v>
      </c>
      <c r="S1987" s="183" t="n">
        <v>0</v>
      </c>
      <c r="T1987" s="183" t="n">
        <v>0</v>
      </c>
      <c r="U1987" s="182" t="n">
        <v>1.92</v>
      </c>
      <c r="V1987" s="182" t="n">
        <v>0</v>
      </c>
      <c r="W1987" s="182" t="n">
        <v>0</v>
      </c>
      <c r="X1987" s="182" t="n">
        <v>1</v>
      </c>
      <c r="Y1987" s="182" t="n">
        <v>0.5</v>
      </c>
      <c r="Z1987" s="182" t="n">
        <v>0</v>
      </c>
      <c r="AA1987" s="182" t="n">
        <v>0</v>
      </c>
      <c r="AB1987" s="182" t="n">
        <v>1</v>
      </c>
      <c r="AC1987" s="182" t="n">
        <v>0</v>
      </c>
      <c r="AD1987" s="182" t="n">
        <v>0</v>
      </c>
      <c r="AE1987" s="182" t="n">
        <v>0</v>
      </c>
      <c r="AF1987" s="182" t="n">
        <v>0</v>
      </c>
      <c r="AG1987" s="182" t="n">
        <v>0</v>
      </c>
      <c r="AH1987" s="182" t="n">
        <v>0</v>
      </c>
      <c r="AI1987" s="182" t="n">
        <v>0</v>
      </c>
      <c r="AJ1987" s="182" t="n">
        <v>0</v>
      </c>
      <c r="AK1987" s="182" t="n">
        <v>0</v>
      </c>
      <c r="AL1987" s="182" t="n">
        <v>0</v>
      </c>
      <c r="AM1987" s="182" t="n">
        <v>0.08</v>
      </c>
      <c r="AN1987" s="182" t="n">
        <v>0</v>
      </c>
    </row>
    <row r="1988">
      <c r="A1988" s="155" t="n">
        <v>46091</v>
      </c>
      <c r="B1988" s="156" t="inlineStr">
        <is>
          <t>DS</t>
        </is>
      </c>
      <c r="C1988" s="156" t="inlineStr">
        <is>
          <t>DZ-037</t>
        </is>
      </c>
      <c r="D1988" s="156" t="inlineStr">
        <is>
          <t>D 85 ESS-2</t>
        </is>
      </c>
      <c r="E1988" s="156" t="inlineStr">
        <is>
          <t>Bulldozer</t>
        </is>
      </c>
      <c r="F1988" s="156" t="inlineStr"/>
      <c r="G1988" s="182" t="n">
        <v>0</v>
      </c>
      <c r="H1988" s="182" t="n">
        <v>0</v>
      </c>
      <c r="I1988" s="182" t="n">
        <v>12</v>
      </c>
      <c r="J1988" s="182" t="n">
        <v>12</v>
      </c>
      <c r="K1988" s="182" t="n">
        <v>0</v>
      </c>
      <c r="L1988" s="182" t="n">
        <v>12</v>
      </c>
      <c r="M1988" s="182" t="n">
        <v>0</v>
      </c>
      <c r="N1988" s="182" t="n">
        <v>0</v>
      </c>
      <c r="O1988" s="183" t="n">
        <v>0</v>
      </c>
      <c r="P1988" s="183" t="n">
        <v>0</v>
      </c>
      <c r="Q1988" s="184" t="n">
        <v>0</v>
      </c>
      <c r="R1988" s="184" t="n">
        <v>0</v>
      </c>
      <c r="S1988" s="183" t="n">
        <v>0</v>
      </c>
      <c r="T1988" s="183" t="n">
        <v>0</v>
      </c>
      <c r="U1988" s="182" t="n">
        <v>0</v>
      </c>
      <c r="V1988" s="182" t="n">
        <v>0</v>
      </c>
      <c r="W1988" s="182" t="n">
        <v>0</v>
      </c>
      <c r="X1988" s="182" t="n">
        <v>0</v>
      </c>
      <c r="Y1988" s="182" t="n">
        <v>0</v>
      </c>
      <c r="Z1988" s="182" t="n">
        <v>0</v>
      </c>
      <c r="AA1988" s="182" t="n">
        <v>0</v>
      </c>
      <c r="AB1988" s="182" t="n">
        <v>0</v>
      </c>
      <c r="AC1988" s="182" t="n">
        <v>0</v>
      </c>
      <c r="AD1988" s="182" t="n">
        <v>0</v>
      </c>
      <c r="AE1988" s="182" t="n">
        <v>0</v>
      </c>
      <c r="AF1988" s="182" t="n">
        <v>0</v>
      </c>
      <c r="AG1988" s="182" t="n">
        <v>0</v>
      </c>
      <c r="AH1988" s="182" t="n">
        <v>0</v>
      </c>
      <c r="AI1988" s="182" t="n">
        <v>0</v>
      </c>
      <c r="AJ1988" s="182" t="n">
        <v>0</v>
      </c>
      <c r="AK1988" s="182" t="n">
        <v>0</v>
      </c>
      <c r="AL1988" s="182" t="n">
        <v>0</v>
      </c>
      <c r="AM1988" s="182" t="n">
        <v>0</v>
      </c>
      <c r="AN1988" s="182" t="n">
        <v>0</v>
      </c>
    </row>
    <row r="1989">
      <c r="A1989" s="155" t="n">
        <v>46091</v>
      </c>
      <c r="B1989" s="156" t="inlineStr">
        <is>
          <t>DS</t>
        </is>
      </c>
      <c r="C1989" s="156" t="inlineStr">
        <is>
          <t>DZ-036</t>
        </is>
      </c>
      <c r="D1989" s="156" t="inlineStr">
        <is>
          <t>D 85 ESS-2</t>
        </is>
      </c>
      <c r="E1989" s="156" t="inlineStr">
        <is>
          <t>Bulldozer</t>
        </is>
      </c>
      <c r="F1989" s="156" t="inlineStr"/>
      <c r="G1989" s="182" t="n">
        <v>0</v>
      </c>
      <c r="H1989" s="182" t="n">
        <v>0</v>
      </c>
      <c r="I1989" s="182" t="n">
        <v>0</v>
      </c>
      <c r="J1989" s="182" t="n">
        <v>0</v>
      </c>
      <c r="K1989" s="182" t="n">
        <v>12</v>
      </c>
      <c r="L1989" s="182" t="n">
        <v>12</v>
      </c>
      <c r="M1989" s="182" t="n">
        <v>0</v>
      </c>
      <c r="N1989" s="182" t="n">
        <v>0</v>
      </c>
      <c r="O1989" s="183" t="n">
        <v>0</v>
      </c>
      <c r="P1989" s="183" t="n">
        <v>0</v>
      </c>
      <c r="Q1989" s="184" t="n">
        <v>0</v>
      </c>
      <c r="R1989" s="184" t="n">
        <v>0</v>
      </c>
      <c r="S1989" s="183" t="n">
        <v>0</v>
      </c>
      <c r="T1989" s="183" t="n">
        <v>0</v>
      </c>
      <c r="U1989" s="182" t="n">
        <v>0</v>
      </c>
      <c r="V1989" s="182" t="n">
        <v>0</v>
      </c>
      <c r="W1989" s="182" t="n">
        <v>0</v>
      </c>
      <c r="X1989" s="182" t="n">
        <v>1</v>
      </c>
      <c r="Y1989" s="182" t="n">
        <v>0.5</v>
      </c>
      <c r="Z1989" s="182" t="n">
        <v>0</v>
      </c>
      <c r="AA1989" s="182" t="n">
        <v>0</v>
      </c>
      <c r="AB1989" s="182" t="n">
        <v>1</v>
      </c>
      <c r="AC1989" s="182" t="n">
        <v>0</v>
      </c>
      <c r="AD1989" s="182" t="n">
        <v>0</v>
      </c>
      <c r="AE1989" s="182" t="n">
        <v>0</v>
      </c>
      <c r="AF1989" s="182" t="n">
        <v>0</v>
      </c>
      <c r="AG1989" s="182" t="n">
        <v>0</v>
      </c>
      <c r="AH1989" s="182" t="n">
        <v>0</v>
      </c>
      <c r="AI1989" s="182" t="n">
        <v>0</v>
      </c>
      <c r="AJ1989" s="182" t="n">
        <v>0</v>
      </c>
      <c r="AK1989" s="182" t="n">
        <v>9.42</v>
      </c>
      <c r="AL1989" s="182" t="n">
        <v>0</v>
      </c>
      <c r="AM1989" s="182" t="n">
        <v>0.08</v>
      </c>
      <c r="AN1989" s="182" t="n">
        <v>0</v>
      </c>
    </row>
    <row r="1990">
      <c r="A1990" s="155" t="n">
        <v>46091</v>
      </c>
      <c r="B1990" s="156" t="inlineStr">
        <is>
          <t>DS</t>
        </is>
      </c>
      <c r="C1990" s="156" t="inlineStr">
        <is>
          <t>DZ-035</t>
        </is>
      </c>
      <c r="D1990" s="156" t="inlineStr">
        <is>
          <t>D 85 ESS-2</t>
        </is>
      </c>
      <c r="E1990" s="156" t="inlineStr">
        <is>
          <t>Bulldozer</t>
        </is>
      </c>
      <c r="F1990" s="156" t="inlineStr">
        <is>
          <t>Support Front Loading</t>
        </is>
      </c>
      <c r="G1990" s="182" t="n">
        <v>5.02</v>
      </c>
      <c r="H1990" s="182" t="n">
        <v>0</v>
      </c>
      <c r="I1990" s="182" t="n">
        <v>5</v>
      </c>
      <c r="J1990" s="182" t="n">
        <v>5</v>
      </c>
      <c r="K1990" s="182" t="n">
        <v>1.98</v>
      </c>
      <c r="L1990" s="182" t="n">
        <v>12</v>
      </c>
      <c r="M1990" s="182" t="n">
        <v>0</v>
      </c>
      <c r="N1990" s="182" t="n">
        <v>0</v>
      </c>
      <c r="O1990" s="183" t="n">
        <v>0</v>
      </c>
      <c r="P1990" s="183" t="n">
        <v>0</v>
      </c>
      <c r="Q1990" s="184" t="n">
        <v>0</v>
      </c>
      <c r="R1990" s="184" t="n">
        <v>0</v>
      </c>
      <c r="S1990" s="183" t="n">
        <v>0</v>
      </c>
      <c r="T1990" s="183" t="n">
        <v>0</v>
      </c>
      <c r="U1990" s="182" t="n">
        <v>0.49</v>
      </c>
      <c r="V1990" s="182" t="n">
        <v>0</v>
      </c>
      <c r="W1990" s="182" t="n">
        <v>0</v>
      </c>
      <c r="X1990" s="182" t="n">
        <v>0</v>
      </c>
      <c r="Y1990" s="182" t="n">
        <v>0.49</v>
      </c>
      <c r="Z1990" s="182" t="n">
        <v>0</v>
      </c>
      <c r="AA1990" s="182" t="n">
        <v>0</v>
      </c>
      <c r="AB1990" s="182" t="n">
        <v>0.99</v>
      </c>
      <c r="AC1990" s="182" t="n">
        <v>0</v>
      </c>
      <c r="AD1990" s="182" t="n">
        <v>0</v>
      </c>
      <c r="AE1990" s="182" t="n">
        <v>0</v>
      </c>
      <c r="AF1990" s="182" t="n">
        <v>0</v>
      </c>
      <c r="AG1990" s="182" t="n">
        <v>0</v>
      </c>
      <c r="AH1990" s="182" t="n">
        <v>0</v>
      </c>
      <c r="AI1990" s="182" t="n">
        <v>0</v>
      </c>
      <c r="AJ1990" s="182" t="n">
        <v>0</v>
      </c>
      <c r="AK1990" s="182" t="n">
        <v>0</v>
      </c>
      <c r="AL1990" s="182" t="n">
        <v>0</v>
      </c>
      <c r="AM1990" s="182" t="n">
        <v>0</v>
      </c>
      <c r="AN1990" s="182" t="n">
        <v>0</v>
      </c>
    </row>
    <row r="1991">
      <c r="A1991" s="155" t="n">
        <v>46091</v>
      </c>
      <c r="B1991" s="156" t="inlineStr">
        <is>
          <t>DS</t>
        </is>
      </c>
      <c r="C1991" s="156" t="inlineStr">
        <is>
          <t>CP-042</t>
        </is>
      </c>
      <c r="D1991" s="156" t="inlineStr">
        <is>
          <t>SANY - Compactor</t>
        </is>
      </c>
      <c r="E1991" s="156" t="inlineStr">
        <is>
          <t>Compactor</t>
        </is>
      </c>
      <c r="F1991" s="156" t="inlineStr"/>
      <c r="G1991" s="182" t="n">
        <v>0</v>
      </c>
      <c r="H1991" s="182" t="n">
        <v>0</v>
      </c>
      <c r="I1991" s="182" t="n">
        <v>0</v>
      </c>
      <c r="J1991" s="182" t="n">
        <v>0</v>
      </c>
      <c r="K1991" s="182" t="n">
        <v>12</v>
      </c>
      <c r="L1991" s="182" t="n">
        <v>12</v>
      </c>
      <c r="M1991" s="182" t="n">
        <v>0</v>
      </c>
      <c r="N1991" s="182" t="n">
        <v>0</v>
      </c>
      <c r="O1991" s="183" t="n">
        <v>0</v>
      </c>
      <c r="P1991" s="183" t="n">
        <v>0</v>
      </c>
      <c r="Q1991" s="184" t="n">
        <v>0</v>
      </c>
      <c r="R1991" s="184" t="n">
        <v>0</v>
      </c>
      <c r="S1991" s="183" t="n">
        <v>0</v>
      </c>
      <c r="T1991" s="183" t="n">
        <v>0</v>
      </c>
      <c r="U1991" s="182" t="n">
        <v>0</v>
      </c>
      <c r="V1991" s="182" t="n">
        <v>0</v>
      </c>
      <c r="W1991" s="182" t="n">
        <v>0</v>
      </c>
      <c r="X1991" s="182" t="n">
        <v>1</v>
      </c>
      <c r="Y1991" s="182" t="n">
        <v>0.5</v>
      </c>
      <c r="Z1991" s="182" t="n">
        <v>0</v>
      </c>
      <c r="AA1991" s="182" t="n">
        <v>0</v>
      </c>
      <c r="AB1991" s="182" t="n">
        <v>1</v>
      </c>
      <c r="AC1991" s="182" t="n">
        <v>0</v>
      </c>
      <c r="AD1991" s="182" t="n">
        <v>0</v>
      </c>
      <c r="AE1991" s="182" t="n">
        <v>0</v>
      </c>
      <c r="AF1991" s="182" t="n">
        <v>0</v>
      </c>
      <c r="AG1991" s="182" t="n">
        <v>0</v>
      </c>
      <c r="AH1991" s="182" t="n">
        <v>0</v>
      </c>
      <c r="AI1991" s="182" t="n">
        <v>0</v>
      </c>
      <c r="AJ1991" s="182" t="n">
        <v>0</v>
      </c>
      <c r="AK1991" s="182" t="n">
        <v>9.42</v>
      </c>
      <c r="AL1991" s="182" t="n">
        <v>0</v>
      </c>
      <c r="AM1991" s="182" t="n">
        <v>0.08</v>
      </c>
      <c r="AN1991" s="182" t="n">
        <v>0</v>
      </c>
    </row>
    <row r="1992">
      <c r="A1992" s="155" t="n">
        <v>46091</v>
      </c>
      <c r="B1992" s="156" t="inlineStr">
        <is>
          <t>DS</t>
        </is>
      </c>
      <c r="C1992" s="156" t="inlineStr">
        <is>
          <t>CP-041</t>
        </is>
      </c>
      <c r="D1992" s="156" t="inlineStr">
        <is>
          <t>SANY - Compactor</t>
        </is>
      </c>
      <c r="E1992" s="156" t="inlineStr">
        <is>
          <t>Compactor</t>
        </is>
      </c>
      <c r="F1992" s="156" t="inlineStr"/>
      <c r="G1992" s="182" t="n">
        <v>0</v>
      </c>
      <c r="H1992" s="182" t="n">
        <v>0</v>
      </c>
      <c r="I1992" s="182" t="n">
        <v>0</v>
      </c>
      <c r="J1992" s="182" t="n">
        <v>0</v>
      </c>
      <c r="K1992" s="182" t="n">
        <v>12</v>
      </c>
      <c r="L1992" s="182" t="n">
        <v>12</v>
      </c>
      <c r="M1992" s="182" t="n">
        <v>0</v>
      </c>
      <c r="N1992" s="182" t="n">
        <v>0</v>
      </c>
      <c r="O1992" s="183" t="n">
        <v>0</v>
      </c>
      <c r="P1992" s="183" t="n">
        <v>0</v>
      </c>
      <c r="Q1992" s="184" t="n">
        <v>0</v>
      </c>
      <c r="R1992" s="184" t="n">
        <v>0</v>
      </c>
      <c r="S1992" s="183" t="n">
        <v>0</v>
      </c>
      <c r="T1992" s="183" t="n">
        <v>0</v>
      </c>
      <c r="U1992" s="182" t="n">
        <v>0</v>
      </c>
      <c r="V1992" s="182" t="n">
        <v>0</v>
      </c>
      <c r="W1992" s="182" t="n">
        <v>0</v>
      </c>
      <c r="X1992" s="182" t="n">
        <v>1</v>
      </c>
      <c r="Y1992" s="182" t="n">
        <v>0.5</v>
      </c>
      <c r="Z1992" s="182" t="n">
        <v>0</v>
      </c>
      <c r="AA1992" s="182" t="n">
        <v>0</v>
      </c>
      <c r="AB1992" s="182" t="n">
        <v>1</v>
      </c>
      <c r="AC1992" s="182" t="n">
        <v>0</v>
      </c>
      <c r="AD1992" s="182" t="n">
        <v>0</v>
      </c>
      <c r="AE1992" s="182" t="n">
        <v>0</v>
      </c>
      <c r="AF1992" s="182" t="n">
        <v>0</v>
      </c>
      <c r="AG1992" s="182" t="n">
        <v>0</v>
      </c>
      <c r="AH1992" s="182" t="n">
        <v>0</v>
      </c>
      <c r="AI1992" s="182" t="n">
        <v>0</v>
      </c>
      <c r="AJ1992" s="182" t="n">
        <v>0</v>
      </c>
      <c r="AK1992" s="182" t="n">
        <v>9.42</v>
      </c>
      <c r="AL1992" s="182" t="n">
        <v>0</v>
      </c>
      <c r="AM1992" s="182" t="n">
        <v>0.08</v>
      </c>
      <c r="AN1992" s="182" t="n">
        <v>0</v>
      </c>
    </row>
    <row r="1993">
      <c r="A1993" s="155" t="n">
        <v>46091</v>
      </c>
      <c r="B1993" s="156" t="inlineStr">
        <is>
          <t>DS</t>
        </is>
      </c>
      <c r="C1993" s="156" t="inlineStr">
        <is>
          <t>HT-418</t>
        </is>
      </c>
      <c r="D1993" s="156" t="inlineStr">
        <is>
          <t>SY430</t>
        </is>
      </c>
      <c r="E1993" s="156" t="inlineStr">
        <is>
          <t>DT Hauling</t>
        </is>
      </c>
      <c r="F1993" s="156" t="inlineStr"/>
      <c r="G1993" s="182" t="n">
        <v>0</v>
      </c>
      <c r="H1993" s="182" t="n">
        <v>0</v>
      </c>
      <c r="I1993" s="182" t="n">
        <v>0</v>
      </c>
      <c r="J1993" s="182" t="n">
        <v>0</v>
      </c>
      <c r="K1993" s="182" t="n">
        <v>12</v>
      </c>
      <c r="L1993" s="182" t="n">
        <v>12</v>
      </c>
      <c r="M1993" s="182" t="n">
        <v>0</v>
      </c>
      <c r="N1993" s="182" t="n">
        <v>0</v>
      </c>
      <c r="O1993" s="183" t="n">
        <v>0</v>
      </c>
      <c r="P1993" s="183" t="n">
        <v>0</v>
      </c>
      <c r="Q1993" s="184" t="n">
        <v>0</v>
      </c>
      <c r="R1993" s="184" t="n">
        <v>0</v>
      </c>
      <c r="S1993" s="183" t="n">
        <v>0</v>
      </c>
      <c r="T1993" s="183" t="n">
        <v>0</v>
      </c>
      <c r="U1993" s="182" t="n">
        <v>0</v>
      </c>
      <c r="V1993" s="182" t="n">
        <v>0</v>
      </c>
      <c r="W1993" s="182" t="n">
        <v>0</v>
      </c>
      <c r="X1993" s="182" t="n">
        <v>1</v>
      </c>
      <c r="Y1993" s="182" t="n">
        <v>0.5</v>
      </c>
      <c r="Z1993" s="182" t="n">
        <v>0</v>
      </c>
      <c r="AA1993" s="182" t="n">
        <v>0</v>
      </c>
      <c r="AB1993" s="182" t="n">
        <v>1</v>
      </c>
      <c r="AC1993" s="182" t="n">
        <v>0</v>
      </c>
      <c r="AD1993" s="182" t="n">
        <v>0</v>
      </c>
      <c r="AE1993" s="182" t="n">
        <v>0</v>
      </c>
      <c r="AF1993" s="182" t="n">
        <v>0</v>
      </c>
      <c r="AG1993" s="182" t="n">
        <v>0</v>
      </c>
      <c r="AH1993" s="182" t="n">
        <v>0</v>
      </c>
      <c r="AI1993" s="182" t="n">
        <v>0</v>
      </c>
      <c r="AJ1993" s="182" t="n">
        <v>0</v>
      </c>
      <c r="AK1993" s="182" t="n">
        <v>9.42</v>
      </c>
      <c r="AL1993" s="182" t="n">
        <v>0</v>
      </c>
      <c r="AM1993" s="182" t="n">
        <v>0.08</v>
      </c>
      <c r="AN1993" s="182" t="n">
        <v>0</v>
      </c>
    </row>
    <row r="1994">
      <c r="A1994" s="155" t="n">
        <v>46091</v>
      </c>
      <c r="B1994" s="156" t="inlineStr">
        <is>
          <t>DS</t>
        </is>
      </c>
      <c r="C1994" s="156" t="inlineStr">
        <is>
          <t>HT-404</t>
        </is>
      </c>
      <c r="D1994" s="156" t="inlineStr">
        <is>
          <t>SY430</t>
        </is>
      </c>
      <c r="E1994" s="156" t="inlineStr">
        <is>
          <t>DT Hauling</t>
        </is>
      </c>
      <c r="F1994" s="156" t="inlineStr"/>
      <c r="G1994" s="182" t="n">
        <v>0</v>
      </c>
      <c r="H1994" s="182" t="n">
        <v>0</v>
      </c>
      <c r="I1994" s="182" t="n">
        <v>0</v>
      </c>
      <c r="J1994" s="182" t="n">
        <v>0</v>
      </c>
      <c r="K1994" s="182" t="n">
        <v>12</v>
      </c>
      <c r="L1994" s="182" t="n">
        <v>12</v>
      </c>
      <c r="M1994" s="182" t="n">
        <v>0</v>
      </c>
      <c r="N1994" s="182" t="n">
        <v>0</v>
      </c>
      <c r="O1994" s="183" t="n">
        <v>0</v>
      </c>
      <c r="P1994" s="183" t="n">
        <v>0</v>
      </c>
      <c r="Q1994" s="184" t="n">
        <v>0</v>
      </c>
      <c r="R1994" s="184" t="n">
        <v>0</v>
      </c>
      <c r="S1994" s="183" t="n">
        <v>0</v>
      </c>
      <c r="T1994" s="183" t="n">
        <v>0</v>
      </c>
      <c r="U1994" s="182" t="n">
        <v>0</v>
      </c>
      <c r="V1994" s="182" t="n">
        <v>0</v>
      </c>
      <c r="W1994" s="182" t="n">
        <v>0</v>
      </c>
      <c r="X1994" s="182" t="n">
        <v>1</v>
      </c>
      <c r="Y1994" s="182" t="n">
        <v>0.5</v>
      </c>
      <c r="Z1994" s="182" t="n">
        <v>0</v>
      </c>
      <c r="AA1994" s="182" t="n">
        <v>0</v>
      </c>
      <c r="AB1994" s="182" t="n">
        <v>1</v>
      </c>
      <c r="AC1994" s="182" t="n">
        <v>0</v>
      </c>
      <c r="AD1994" s="182" t="n">
        <v>0</v>
      </c>
      <c r="AE1994" s="182" t="n">
        <v>0</v>
      </c>
      <c r="AF1994" s="182" t="n">
        <v>0</v>
      </c>
      <c r="AG1994" s="182" t="n">
        <v>0</v>
      </c>
      <c r="AH1994" s="182" t="n">
        <v>0</v>
      </c>
      <c r="AI1994" s="182" t="n">
        <v>0</v>
      </c>
      <c r="AJ1994" s="182" t="n">
        <v>0</v>
      </c>
      <c r="AK1994" s="182" t="n">
        <v>9.42</v>
      </c>
      <c r="AL1994" s="182" t="n">
        <v>0</v>
      </c>
      <c r="AM1994" s="182" t="n">
        <v>0.08</v>
      </c>
      <c r="AN1994" s="182" t="n">
        <v>0</v>
      </c>
    </row>
    <row r="1995">
      <c r="A1995" s="155" t="n">
        <v>46091</v>
      </c>
      <c r="B1995" s="156" t="inlineStr">
        <is>
          <t>DS</t>
        </is>
      </c>
      <c r="C1995" s="156" t="inlineStr">
        <is>
          <t>HT-415</t>
        </is>
      </c>
      <c r="D1995" s="156" t="inlineStr">
        <is>
          <t>SY430</t>
        </is>
      </c>
      <c r="E1995" s="156" t="inlineStr">
        <is>
          <t>DT Hauling</t>
        </is>
      </c>
      <c r="F1995" s="156" t="inlineStr"/>
      <c r="G1995" s="182" t="n">
        <v>0</v>
      </c>
      <c r="H1995" s="182" t="n">
        <v>0</v>
      </c>
      <c r="I1995" s="182" t="n">
        <v>12</v>
      </c>
      <c r="J1995" s="182" t="n">
        <v>12</v>
      </c>
      <c r="K1995" s="182" t="n">
        <v>0</v>
      </c>
      <c r="L1995" s="182" t="n">
        <v>12</v>
      </c>
      <c r="M1995" s="182" t="n">
        <v>0</v>
      </c>
      <c r="N1995" s="182" t="n">
        <v>0</v>
      </c>
      <c r="O1995" s="183" t="n">
        <v>0</v>
      </c>
      <c r="P1995" s="183" t="n">
        <v>0</v>
      </c>
      <c r="Q1995" s="184" t="n">
        <v>0</v>
      </c>
      <c r="R1995" s="184" t="n">
        <v>0</v>
      </c>
      <c r="S1995" s="183" t="n">
        <v>0</v>
      </c>
      <c r="T1995" s="183" t="n">
        <v>0</v>
      </c>
      <c r="U1995" s="182" t="n">
        <v>0</v>
      </c>
      <c r="V1995" s="182" t="n">
        <v>0</v>
      </c>
      <c r="W1995" s="182" t="n">
        <v>0</v>
      </c>
      <c r="X1995" s="182" t="n">
        <v>0</v>
      </c>
      <c r="Y1995" s="182" t="n">
        <v>0</v>
      </c>
      <c r="Z1995" s="182" t="n">
        <v>0</v>
      </c>
      <c r="AA1995" s="182" t="n">
        <v>0</v>
      </c>
      <c r="AB1995" s="182" t="n">
        <v>0</v>
      </c>
      <c r="AC1995" s="182" t="n">
        <v>0</v>
      </c>
      <c r="AD1995" s="182" t="n">
        <v>0</v>
      </c>
      <c r="AE1995" s="182" t="n">
        <v>0</v>
      </c>
      <c r="AF1995" s="182" t="n">
        <v>0</v>
      </c>
      <c r="AG1995" s="182" t="n">
        <v>0</v>
      </c>
      <c r="AH1995" s="182" t="n">
        <v>0</v>
      </c>
      <c r="AI1995" s="182" t="n">
        <v>0</v>
      </c>
      <c r="AJ1995" s="182" t="n">
        <v>0</v>
      </c>
      <c r="AK1995" s="182" t="n">
        <v>0</v>
      </c>
      <c r="AL1995" s="182" t="n">
        <v>0</v>
      </c>
      <c r="AM1995" s="182" t="n">
        <v>0</v>
      </c>
      <c r="AN1995" s="182" t="n">
        <v>0</v>
      </c>
    </row>
    <row r="1996">
      <c r="A1996" s="155" t="n">
        <v>46091</v>
      </c>
      <c r="B1996" s="156" t="inlineStr">
        <is>
          <t>DS</t>
        </is>
      </c>
      <c r="C1996" s="156" t="inlineStr">
        <is>
          <t>HT-406</t>
        </is>
      </c>
      <c r="D1996" s="156" t="inlineStr">
        <is>
          <t>SY430</t>
        </is>
      </c>
      <c r="E1996" s="156" t="inlineStr">
        <is>
          <t>DT Hauling</t>
        </is>
      </c>
      <c r="F1996" s="156" t="inlineStr"/>
      <c r="G1996" s="182" t="n">
        <v>0</v>
      </c>
      <c r="H1996" s="182" t="n">
        <v>0</v>
      </c>
      <c r="I1996" s="182" t="n">
        <v>0</v>
      </c>
      <c r="J1996" s="182" t="n">
        <v>0</v>
      </c>
      <c r="K1996" s="182" t="n">
        <v>12</v>
      </c>
      <c r="L1996" s="182" t="n">
        <v>12</v>
      </c>
      <c r="M1996" s="182" t="n">
        <v>0</v>
      </c>
      <c r="N1996" s="182" t="n">
        <v>0</v>
      </c>
      <c r="O1996" s="183" t="n">
        <v>0</v>
      </c>
      <c r="P1996" s="183" t="n">
        <v>0</v>
      </c>
      <c r="Q1996" s="184" t="n">
        <v>0</v>
      </c>
      <c r="R1996" s="184" t="n">
        <v>0</v>
      </c>
      <c r="S1996" s="183" t="n">
        <v>0</v>
      </c>
      <c r="T1996" s="183" t="n">
        <v>0</v>
      </c>
      <c r="U1996" s="182" t="n">
        <v>0</v>
      </c>
      <c r="V1996" s="182" t="n">
        <v>0</v>
      </c>
      <c r="W1996" s="182" t="n">
        <v>0</v>
      </c>
      <c r="X1996" s="182" t="n">
        <v>1</v>
      </c>
      <c r="Y1996" s="182" t="n">
        <v>0.5</v>
      </c>
      <c r="Z1996" s="182" t="n">
        <v>0</v>
      </c>
      <c r="AA1996" s="182" t="n">
        <v>0</v>
      </c>
      <c r="AB1996" s="182" t="n">
        <v>1</v>
      </c>
      <c r="AC1996" s="182" t="n">
        <v>0</v>
      </c>
      <c r="AD1996" s="182" t="n">
        <v>0</v>
      </c>
      <c r="AE1996" s="182" t="n">
        <v>0</v>
      </c>
      <c r="AF1996" s="182" t="n">
        <v>0</v>
      </c>
      <c r="AG1996" s="182" t="n">
        <v>0</v>
      </c>
      <c r="AH1996" s="182" t="n">
        <v>0</v>
      </c>
      <c r="AI1996" s="182" t="n">
        <v>0</v>
      </c>
      <c r="AJ1996" s="182" t="n">
        <v>0</v>
      </c>
      <c r="AK1996" s="182" t="n">
        <v>9.42</v>
      </c>
      <c r="AL1996" s="182" t="n">
        <v>0</v>
      </c>
      <c r="AM1996" s="182" t="n">
        <v>0.08</v>
      </c>
      <c r="AN1996" s="182" t="n">
        <v>0</v>
      </c>
    </row>
    <row r="1997">
      <c r="A1997" s="155" t="n">
        <v>46091</v>
      </c>
      <c r="B1997" s="156" t="inlineStr">
        <is>
          <t>DS</t>
        </is>
      </c>
      <c r="C1997" s="156" t="inlineStr">
        <is>
          <t>HT-405</t>
        </is>
      </c>
      <c r="D1997" s="156" t="inlineStr">
        <is>
          <t>SY430</t>
        </is>
      </c>
      <c r="E1997" s="156" t="inlineStr">
        <is>
          <t>DT Hauling</t>
        </is>
      </c>
      <c r="F1997" s="156" t="inlineStr"/>
      <c r="G1997" s="182" t="n">
        <v>0</v>
      </c>
      <c r="H1997" s="182" t="n">
        <v>0</v>
      </c>
      <c r="I1997" s="182" t="n">
        <v>12</v>
      </c>
      <c r="J1997" s="182" t="n">
        <v>12</v>
      </c>
      <c r="K1997" s="182" t="n">
        <v>0</v>
      </c>
      <c r="L1997" s="182" t="n">
        <v>12</v>
      </c>
      <c r="M1997" s="182" t="n">
        <v>0</v>
      </c>
      <c r="N1997" s="182" t="n">
        <v>0</v>
      </c>
      <c r="O1997" s="183" t="n">
        <v>0</v>
      </c>
      <c r="P1997" s="183" t="n">
        <v>0</v>
      </c>
      <c r="Q1997" s="184" t="n">
        <v>0</v>
      </c>
      <c r="R1997" s="184" t="n">
        <v>0</v>
      </c>
      <c r="S1997" s="183" t="n">
        <v>0</v>
      </c>
      <c r="T1997" s="183" t="n">
        <v>0</v>
      </c>
      <c r="U1997" s="182" t="n">
        <v>0</v>
      </c>
      <c r="V1997" s="182" t="n">
        <v>0</v>
      </c>
      <c r="W1997" s="182" t="n">
        <v>0</v>
      </c>
      <c r="X1997" s="182" t="n">
        <v>0</v>
      </c>
      <c r="Y1997" s="182" t="n">
        <v>0</v>
      </c>
      <c r="Z1997" s="182" t="n">
        <v>0</v>
      </c>
      <c r="AA1997" s="182" t="n">
        <v>0</v>
      </c>
      <c r="AB1997" s="182" t="n">
        <v>0</v>
      </c>
      <c r="AC1997" s="182" t="n">
        <v>0</v>
      </c>
      <c r="AD1997" s="182" t="n">
        <v>0</v>
      </c>
      <c r="AE1997" s="182" t="n">
        <v>0</v>
      </c>
      <c r="AF1997" s="182" t="n">
        <v>0</v>
      </c>
      <c r="AG1997" s="182" t="n">
        <v>0</v>
      </c>
      <c r="AH1997" s="182" t="n">
        <v>0</v>
      </c>
      <c r="AI1997" s="182" t="n">
        <v>0</v>
      </c>
      <c r="AJ1997" s="182" t="n">
        <v>0</v>
      </c>
      <c r="AK1997" s="182" t="n">
        <v>0</v>
      </c>
      <c r="AL1997" s="182" t="n">
        <v>0</v>
      </c>
      <c r="AM1997" s="182" t="n">
        <v>0</v>
      </c>
      <c r="AN1997" s="182" t="n">
        <v>0</v>
      </c>
    </row>
    <row r="1998">
      <c r="A1998" s="155" t="n">
        <v>46091</v>
      </c>
      <c r="B1998" s="156" t="inlineStr">
        <is>
          <t>DS</t>
        </is>
      </c>
      <c r="C1998" s="156" t="inlineStr">
        <is>
          <t>HT-417</t>
        </is>
      </c>
      <c r="D1998" s="156" t="inlineStr">
        <is>
          <t>SY430</t>
        </is>
      </c>
      <c r="E1998" s="156" t="inlineStr">
        <is>
          <t>DT Hauling</t>
        </is>
      </c>
      <c r="F1998" s="156" t="inlineStr"/>
      <c r="G1998" s="182" t="n">
        <v>0</v>
      </c>
      <c r="H1998" s="182" t="n">
        <v>0</v>
      </c>
      <c r="I1998" s="182" t="n">
        <v>0</v>
      </c>
      <c r="J1998" s="182" t="n">
        <v>0</v>
      </c>
      <c r="K1998" s="182" t="n">
        <v>12</v>
      </c>
      <c r="L1998" s="182" t="n">
        <v>12</v>
      </c>
      <c r="M1998" s="182" t="n">
        <v>0</v>
      </c>
      <c r="N1998" s="182" t="n">
        <v>0</v>
      </c>
      <c r="O1998" s="183" t="n">
        <v>0</v>
      </c>
      <c r="P1998" s="183" t="n">
        <v>0</v>
      </c>
      <c r="Q1998" s="184" t="n">
        <v>0</v>
      </c>
      <c r="R1998" s="184" t="n">
        <v>0</v>
      </c>
      <c r="S1998" s="183" t="n">
        <v>0</v>
      </c>
      <c r="T1998" s="183" t="n">
        <v>0</v>
      </c>
      <c r="U1998" s="182" t="n">
        <v>0</v>
      </c>
      <c r="V1998" s="182" t="n">
        <v>0</v>
      </c>
      <c r="W1998" s="182" t="n">
        <v>0</v>
      </c>
      <c r="X1998" s="182" t="n">
        <v>1</v>
      </c>
      <c r="Y1998" s="182" t="n">
        <v>0.5</v>
      </c>
      <c r="Z1998" s="182" t="n">
        <v>0</v>
      </c>
      <c r="AA1998" s="182" t="n">
        <v>0</v>
      </c>
      <c r="AB1998" s="182" t="n">
        <v>1</v>
      </c>
      <c r="AC1998" s="182" t="n">
        <v>0</v>
      </c>
      <c r="AD1998" s="182" t="n">
        <v>0</v>
      </c>
      <c r="AE1998" s="182" t="n">
        <v>0</v>
      </c>
      <c r="AF1998" s="182" t="n">
        <v>0</v>
      </c>
      <c r="AG1998" s="182" t="n">
        <v>0</v>
      </c>
      <c r="AH1998" s="182" t="n">
        <v>0</v>
      </c>
      <c r="AI1998" s="182" t="n">
        <v>0</v>
      </c>
      <c r="AJ1998" s="182" t="n">
        <v>0</v>
      </c>
      <c r="AK1998" s="182" t="n">
        <v>9.42</v>
      </c>
      <c r="AL1998" s="182" t="n">
        <v>0</v>
      </c>
      <c r="AM1998" s="182" t="n">
        <v>0.08</v>
      </c>
      <c r="AN1998" s="182" t="n">
        <v>0</v>
      </c>
    </row>
    <row r="1999">
      <c r="A1999" s="155" t="n">
        <v>46091</v>
      </c>
      <c r="B1999" s="156" t="inlineStr">
        <is>
          <t>DS</t>
        </is>
      </c>
      <c r="C1999" s="156" t="inlineStr">
        <is>
          <t>HT-401</t>
        </is>
      </c>
      <c r="D1999" s="156" t="inlineStr">
        <is>
          <t>SY430</t>
        </is>
      </c>
      <c r="E1999" s="156" t="inlineStr">
        <is>
          <t>DT Hauling</t>
        </is>
      </c>
      <c r="F1999" s="156" t="inlineStr"/>
      <c r="G1999" s="182" t="n">
        <v>0</v>
      </c>
      <c r="H1999" s="182" t="n">
        <v>0</v>
      </c>
      <c r="I1999" s="182" t="n">
        <v>0</v>
      </c>
      <c r="J1999" s="182" t="n">
        <v>0</v>
      </c>
      <c r="K1999" s="182" t="n">
        <v>12</v>
      </c>
      <c r="L1999" s="182" t="n">
        <v>12</v>
      </c>
      <c r="M1999" s="182" t="n">
        <v>0</v>
      </c>
      <c r="N1999" s="182" t="n">
        <v>0</v>
      </c>
      <c r="O1999" s="183" t="n">
        <v>0</v>
      </c>
      <c r="P1999" s="183" t="n">
        <v>0</v>
      </c>
      <c r="Q1999" s="184" t="n">
        <v>0</v>
      </c>
      <c r="R1999" s="184" t="n">
        <v>0</v>
      </c>
      <c r="S1999" s="183" t="n">
        <v>0</v>
      </c>
      <c r="T1999" s="183" t="n">
        <v>0</v>
      </c>
      <c r="U1999" s="182" t="n">
        <v>0</v>
      </c>
      <c r="V1999" s="182" t="n">
        <v>0</v>
      </c>
      <c r="W1999" s="182" t="n">
        <v>0</v>
      </c>
      <c r="X1999" s="182" t="n">
        <v>1</v>
      </c>
      <c r="Y1999" s="182" t="n">
        <v>0.5</v>
      </c>
      <c r="Z1999" s="182" t="n">
        <v>0</v>
      </c>
      <c r="AA1999" s="182" t="n">
        <v>0</v>
      </c>
      <c r="AB1999" s="182" t="n">
        <v>1</v>
      </c>
      <c r="AC1999" s="182" t="n">
        <v>0</v>
      </c>
      <c r="AD1999" s="182" t="n">
        <v>0</v>
      </c>
      <c r="AE1999" s="182" t="n">
        <v>0</v>
      </c>
      <c r="AF1999" s="182" t="n">
        <v>0</v>
      </c>
      <c r="AG1999" s="182" t="n">
        <v>0</v>
      </c>
      <c r="AH1999" s="182" t="n">
        <v>0</v>
      </c>
      <c r="AI1999" s="182" t="n">
        <v>0</v>
      </c>
      <c r="AJ1999" s="182" t="n">
        <v>0</v>
      </c>
      <c r="AK1999" s="182" t="n">
        <v>9.42</v>
      </c>
      <c r="AL1999" s="182" t="n">
        <v>0</v>
      </c>
      <c r="AM1999" s="182" t="n">
        <v>0.08</v>
      </c>
      <c r="AN1999" s="182" t="n">
        <v>0</v>
      </c>
    </row>
    <row r="2000">
      <c r="A2000" s="155" t="n">
        <v>46091</v>
      </c>
      <c r="B2000" s="156" t="inlineStr">
        <is>
          <t>DS</t>
        </is>
      </c>
      <c r="C2000" s="156" t="inlineStr">
        <is>
          <t>HT-410</t>
        </is>
      </c>
      <c r="D2000" s="156" t="inlineStr">
        <is>
          <t>SY430</t>
        </is>
      </c>
      <c r="E2000" s="156" t="inlineStr">
        <is>
          <t>DT Hauling</t>
        </is>
      </c>
      <c r="F2000" s="156" t="inlineStr"/>
      <c r="G2000" s="182" t="n">
        <v>0</v>
      </c>
      <c r="H2000" s="182" t="n">
        <v>0</v>
      </c>
      <c r="I2000" s="182" t="n">
        <v>0</v>
      </c>
      <c r="J2000" s="182" t="n">
        <v>0</v>
      </c>
      <c r="K2000" s="182" t="n">
        <v>12</v>
      </c>
      <c r="L2000" s="182" t="n">
        <v>12</v>
      </c>
      <c r="M2000" s="182" t="n">
        <v>0</v>
      </c>
      <c r="N2000" s="182" t="n">
        <v>0</v>
      </c>
      <c r="O2000" s="183" t="n">
        <v>0</v>
      </c>
      <c r="P2000" s="183" t="n">
        <v>0</v>
      </c>
      <c r="Q2000" s="184" t="n">
        <v>0</v>
      </c>
      <c r="R2000" s="184" t="n">
        <v>0</v>
      </c>
      <c r="S2000" s="183" t="n">
        <v>0</v>
      </c>
      <c r="T2000" s="183" t="n">
        <v>0</v>
      </c>
      <c r="U2000" s="182" t="n">
        <v>0</v>
      </c>
      <c r="V2000" s="182" t="n">
        <v>0</v>
      </c>
      <c r="W2000" s="182" t="n">
        <v>0</v>
      </c>
      <c r="X2000" s="182" t="n">
        <v>1</v>
      </c>
      <c r="Y2000" s="182" t="n">
        <v>0.5</v>
      </c>
      <c r="Z2000" s="182" t="n">
        <v>0</v>
      </c>
      <c r="AA2000" s="182" t="n">
        <v>0</v>
      </c>
      <c r="AB2000" s="182" t="n">
        <v>1</v>
      </c>
      <c r="AC2000" s="182" t="n">
        <v>0</v>
      </c>
      <c r="AD2000" s="182" t="n">
        <v>0</v>
      </c>
      <c r="AE2000" s="182" t="n">
        <v>0</v>
      </c>
      <c r="AF2000" s="182" t="n">
        <v>0</v>
      </c>
      <c r="AG2000" s="182" t="n">
        <v>0</v>
      </c>
      <c r="AH2000" s="182" t="n">
        <v>0</v>
      </c>
      <c r="AI2000" s="182" t="n">
        <v>0</v>
      </c>
      <c r="AJ2000" s="182" t="n">
        <v>0</v>
      </c>
      <c r="AK2000" s="182" t="n">
        <v>9.42</v>
      </c>
      <c r="AL2000" s="182" t="n">
        <v>0</v>
      </c>
      <c r="AM2000" s="182" t="n">
        <v>0.08</v>
      </c>
      <c r="AN2000" s="182" t="n">
        <v>0</v>
      </c>
    </row>
    <row r="2001">
      <c r="A2001" s="155" t="n">
        <v>46091</v>
      </c>
      <c r="B2001" s="156" t="inlineStr">
        <is>
          <t>DS</t>
        </is>
      </c>
      <c r="C2001" s="156" t="inlineStr">
        <is>
          <t>HT-402</t>
        </is>
      </c>
      <c r="D2001" s="156" t="inlineStr">
        <is>
          <t>SY430</t>
        </is>
      </c>
      <c r="E2001" s="156" t="inlineStr">
        <is>
          <t>DT Hauling</t>
        </is>
      </c>
      <c r="F2001" s="156" t="inlineStr"/>
      <c r="G2001" s="182" t="n">
        <v>0</v>
      </c>
      <c r="H2001" s="182" t="n">
        <v>0</v>
      </c>
      <c r="I2001" s="182" t="n">
        <v>12</v>
      </c>
      <c r="J2001" s="182" t="n">
        <v>12</v>
      </c>
      <c r="K2001" s="182" t="n">
        <v>0</v>
      </c>
      <c r="L2001" s="182" t="n">
        <v>12</v>
      </c>
      <c r="M2001" s="182" t="n">
        <v>0</v>
      </c>
      <c r="N2001" s="182" t="n">
        <v>0</v>
      </c>
      <c r="O2001" s="183" t="n">
        <v>0</v>
      </c>
      <c r="P2001" s="183" t="n">
        <v>0</v>
      </c>
      <c r="Q2001" s="184" t="n">
        <v>0</v>
      </c>
      <c r="R2001" s="184" t="n">
        <v>0</v>
      </c>
      <c r="S2001" s="183" t="n">
        <v>0</v>
      </c>
      <c r="T2001" s="183" t="n">
        <v>0</v>
      </c>
      <c r="U2001" s="182" t="n">
        <v>0</v>
      </c>
      <c r="V2001" s="182" t="n">
        <v>0</v>
      </c>
      <c r="W2001" s="182" t="n">
        <v>0</v>
      </c>
      <c r="X2001" s="182" t="n">
        <v>0</v>
      </c>
      <c r="Y2001" s="182" t="n">
        <v>0</v>
      </c>
      <c r="Z2001" s="182" t="n">
        <v>0</v>
      </c>
      <c r="AA2001" s="182" t="n">
        <v>0</v>
      </c>
      <c r="AB2001" s="182" t="n">
        <v>0</v>
      </c>
      <c r="AC2001" s="182" t="n">
        <v>0</v>
      </c>
      <c r="AD2001" s="182" t="n">
        <v>0</v>
      </c>
      <c r="AE2001" s="182" t="n">
        <v>0</v>
      </c>
      <c r="AF2001" s="182" t="n">
        <v>0</v>
      </c>
      <c r="AG2001" s="182" t="n">
        <v>0</v>
      </c>
      <c r="AH2001" s="182" t="n">
        <v>0</v>
      </c>
      <c r="AI2001" s="182" t="n">
        <v>0</v>
      </c>
      <c r="AJ2001" s="182" t="n">
        <v>0</v>
      </c>
      <c r="AK2001" s="182" t="n">
        <v>0</v>
      </c>
      <c r="AL2001" s="182" t="n">
        <v>0</v>
      </c>
      <c r="AM2001" s="182" t="n">
        <v>0</v>
      </c>
      <c r="AN2001" s="182" t="n">
        <v>0</v>
      </c>
    </row>
    <row r="2002">
      <c r="A2002" s="155" t="n">
        <v>46091</v>
      </c>
      <c r="B2002" s="156" t="inlineStr">
        <is>
          <t>DS</t>
        </is>
      </c>
      <c r="C2002" s="156" t="inlineStr">
        <is>
          <t>HT-419</t>
        </is>
      </c>
      <c r="D2002" s="156" t="inlineStr">
        <is>
          <t>SY430</t>
        </is>
      </c>
      <c r="E2002" s="156" t="inlineStr">
        <is>
          <t>DT Hauling</t>
        </is>
      </c>
      <c r="F2002" s="156" t="inlineStr"/>
      <c r="G2002" s="182" t="n">
        <v>0</v>
      </c>
      <c r="H2002" s="182" t="n">
        <v>0</v>
      </c>
      <c r="I2002" s="182" t="n">
        <v>12</v>
      </c>
      <c r="J2002" s="182" t="n">
        <v>12</v>
      </c>
      <c r="K2002" s="182" t="n">
        <v>0</v>
      </c>
      <c r="L2002" s="182" t="n">
        <v>12</v>
      </c>
      <c r="M2002" s="182" t="n">
        <v>0</v>
      </c>
      <c r="N2002" s="182" t="n">
        <v>0</v>
      </c>
      <c r="O2002" s="183" t="n">
        <v>0</v>
      </c>
      <c r="P2002" s="183" t="n">
        <v>0</v>
      </c>
      <c r="Q2002" s="184" t="n">
        <v>0</v>
      </c>
      <c r="R2002" s="184" t="n">
        <v>0</v>
      </c>
      <c r="S2002" s="183" t="n">
        <v>0</v>
      </c>
      <c r="T2002" s="183" t="n">
        <v>0</v>
      </c>
      <c r="U2002" s="182" t="n">
        <v>0</v>
      </c>
      <c r="V2002" s="182" t="n">
        <v>0</v>
      </c>
      <c r="W2002" s="182" t="n">
        <v>0</v>
      </c>
      <c r="X2002" s="182" t="n">
        <v>0</v>
      </c>
      <c r="Y2002" s="182" t="n">
        <v>0</v>
      </c>
      <c r="Z2002" s="182" t="n">
        <v>0</v>
      </c>
      <c r="AA2002" s="182" t="n">
        <v>0</v>
      </c>
      <c r="AB2002" s="182" t="n">
        <v>0</v>
      </c>
      <c r="AC2002" s="182" t="n">
        <v>0</v>
      </c>
      <c r="AD2002" s="182" t="n">
        <v>0</v>
      </c>
      <c r="AE2002" s="182" t="n">
        <v>0</v>
      </c>
      <c r="AF2002" s="182" t="n">
        <v>0</v>
      </c>
      <c r="AG2002" s="182" t="n">
        <v>0</v>
      </c>
      <c r="AH2002" s="182" t="n">
        <v>0</v>
      </c>
      <c r="AI2002" s="182" t="n">
        <v>0</v>
      </c>
      <c r="AJ2002" s="182" t="n">
        <v>0</v>
      </c>
      <c r="AK2002" s="182" t="n">
        <v>0</v>
      </c>
      <c r="AL2002" s="182" t="n">
        <v>0</v>
      </c>
      <c r="AM2002" s="182" t="n">
        <v>0</v>
      </c>
      <c r="AN2002" s="182" t="n">
        <v>0</v>
      </c>
    </row>
    <row r="2003">
      <c r="A2003" s="155" t="n">
        <v>46091</v>
      </c>
      <c r="B2003" s="156" t="inlineStr">
        <is>
          <t>DS</t>
        </is>
      </c>
      <c r="C2003" s="156" t="inlineStr">
        <is>
          <t>HT-416</t>
        </is>
      </c>
      <c r="D2003" s="156" t="inlineStr">
        <is>
          <t>SY430</t>
        </is>
      </c>
      <c r="E2003" s="156" t="inlineStr">
        <is>
          <t>DT Hauling</t>
        </is>
      </c>
      <c r="F2003" s="156" t="inlineStr"/>
      <c r="G2003" s="182" t="n">
        <v>0</v>
      </c>
      <c r="H2003" s="182" t="n">
        <v>0</v>
      </c>
      <c r="I2003" s="182" t="n">
        <v>0</v>
      </c>
      <c r="J2003" s="182" t="n">
        <v>0</v>
      </c>
      <c r="K2003" s="182" t="n">
        <v>12</v>
      </c>
      <c r="L2003" s="182" t="n">
        <v>12</v>
      </c>
      <c r="M2003" s="182" t="n">
        <v>0</v>
      </c>
      <c r="N2003" s="182" t="n">
        <v>0</v>
      </c>
      <c r="O2003" s="183" t="n">
        <v>0</v>
      </c>
      <c r="P2003" s="183" t="n">
        <v>0</v>
      </c>
      <c r="Q2003" s="184" t="n">
        <v>0</v>
      </c>
      <c r="R2003" s="184" t="n">
        <v>0</v>
      </c>
      <c r="S2003" s="183" t="n">
        <v>0</v>
      </c>
      <c r="T2003" s="183" t="n">
        <v>0</v>
      </c>
      <c r="U2003" s="182" t="n">
        <v>0</v>
      </c>
      <c r="V2003" s="182" t="n">
        <v>0</v>
      </c>
      <c r="W2003" s="182" t="n">
        <v>0</v>
      </c>
      <c r="X2003" s="182" t="n">
        <v>1</v>
      </c>
      <c r="Y2003" s="182" t="n">
        <v>0.5</v>
      </c>
      <c r="Z2003" s="182" t="n">
        <v>0</v>
      </c>
      <c r="AA2003" s="182" t="n">
        <v>0</v>
      </c>
      <c r="AB2003" s="182" t="n">
        <v>1</v>
      </c>
      <c r="AC2003" s="182" t="n">
        <v>0</v>
      </c>
      <c r="AD2003" s="182" t="n">
        <v>0</v>
      </c>
      <c r="AE2003" s="182" t="n">
        <v>0</v>
      </c>
      <c r="AF2003" s="182" t="n">
        <v>0</v>
      </c>
      <c r="AG2003" s="182" t="n">
        <v>0</v>
      </c>
      <c r="AH2003" s="182" t="n">
        <v>0</v>
      </c>
      <c r="AI2003" s="182" t="n">
        <v>0</v>
      </c>
      <c r="AJ2003" s="182" t="n">
        <v>0</v>
      </c>
      <c r="AK2003" s="182" t="n">
        <v>9.42</v>
      </c>
      <c r="AL2003" s="182" t="n">
        <v>0</v>
      </c>
      <c r="AM2003" s="182" t="n">
        <v>0.08</v>
      </c>
      <c r="AN2003" s="182" t="n">
        <v>0</v>
      </c>
    </row>
    <row r="2004">
      <c r="A2004" s="155" t="n">
        <v>46091</v>
      </c>
      <c r="B2004" s="156" t="inlineStr">
        <is>
          <t>DS</t>
        </is>
      </c>
      <c r="C2004" s="156" t="inlineStr">
        <is>
          <t>HT-420</t>
        </is>
      </c>
      <c r="D2004" s="156" t="inlineStr">
        <is>
          <t>SY430</t>
        </is>
      </c>
      <c r="E2004" s="156" t="inlineStr">
        <is>
          <t>DT Hauling</t>
        </is>
      </c>
      <c r="F2004" s="156" t="inlineStr"/>
      <c r="G2004" s="182" t="n">
        <v>0</v>
      </c>
      <c r="H2004" s="182" t="n">
        <v>0</v>
      </c>
      <c r="I2004" s="182" t="n">
        <v>0</v>
      </c>
      <c r="J2004" s="182" t="n">
        <v>0</v>
      </c>
      <c r="K2004" s="182" t="n">
        <v>12</v>
      </c>
      <c r="L2004" s="182" t="n">
        <v>12</v>
      </c>
      <c r="M2004" s="182" t="n">
        <v>0</v>
      </c>
      <c r="N2004" s="182" t="n">
        <v>0</v>
      </c>
      <c r="O2004" s="183" t="n">
        <v>0</v>
      </c>
      <c r="P2004" s="183" t="n">
        <v>0</v>
      </c>
      <c r="Q2004" s="184" t="n">
        <v>0</v>
      </c>
      <c r="R2004" s="184" t="n">
        <v>0</v>
      </c>
      <c r="S2004" s="183" t="n">
        <v>0</v>
      </c>
      <c r="T2004" s="183" t="n">
        <v>0</v>
      </c>
      <c r="U2004" s="182" t="n">
        <v>0</v>
      </c>
      <c r="V2004" s="182" t="n">
        <v>0</v>
      </c>
      <c r="W2004" s="182" t="n">
        <v>0</v>
      </c>
      <c r="X2004" s="182" t="n">
        <v>1</v>
      </c>
      <c r="Y2004" s="182" t="n">
        <v>0.5</v>
      </c>
      <c r="Z2004" s="182" t="n">
        <v>0</v>
      </c>
      <c r="AA2004" s="182" t="n">
        <v>0</v>
      </c>
      <c r="AB2004" s="182" t="n">
        <v>1</v>
      </c>
      <c r="AC2004" s="182" t="n">
        <v>0</v>
      </c>
      <c r="AD2004" s="182" t="n">
        <v>0</v>
      </c>
      <c r="AE2004" s="182" t="n">
        <v>0</v>
      </c>
      <c r="AF2004" s="182" t="n">
        <v>0</v>
      </c>
      <c r="AG2004" s="182" t="n">
        <v>0</v>
      </c>
      <c r="AH2004" s="182" t="n">
        <v>0</v>
      </c>
      <c r="AI2004" s="182" t="n">
        <v>0</v>
      </c>
      <c r="AJ2004" s="182" t="n">
        <v>0</v>
      </c>
      <c r="AK2004" s="182" t="n">
        <v>9.42</v>
      </c>
      <c r="AL2004" s="182" t="n">
        <v>0</v>
      </c>
      <c r="AM2004" s="182" t="n">
        <v>0.08</v>
      </c>
      <c r="AN2004" s="182" t="n">
        <v>0</v>
      </c>
    </row>
    <row r="2005">
      <c r="A2005" s="155" t="n">
        <v>46091</v>
      </c>
      <c r="B2005" s="156" t="inlineStr">
        <is>
          <t>DS</t>
        </is>
      </c>
      <c r="C2005" s="156" t="inlineStr">
        <is>
          <t>HT-403</t>
        </is>
      </c>
      <c r="D2005" s="156" t="inlineStr">
        <is>
          <t>SY430</t>
        </is>
      </c>
      <c r="E2005" s="156" t="inlineStr">
        <is>
          <t>DT Hauling</t>
        </is>
      </c>
      <c r="F2005" s="156" t="inlineStr"/>
      <c r="G2005" s="182" t="n">
        <v>0</v>
      </c>
      <c r="H2005" s="182" t="n">
        <v>0</v>
      </c>
      <c r="I2005" s="182" t="n">
        <v>0</v>
      </c>
      <c r="J2005" s="182" t="n">
        <v>0</v>
      </c>
      <c r="K2005" s="182" t="n">
        <v>12</v>
      </c>
      <c r="L2005" s="182" t="n">
        <v>12</v>
      </c>
      <c r="M2005" s="182" t="n">
        <v>0</v>
      </c>
      <c r="N2005" s="182" t="n">
        <v>0</v>
      </c>
      <c r="O2005" s="183" t="n">
        <v>0</v>
      </c>
      <c r="P2005" s="183" t="n">
        <v>0</v>
      </c>
      <c r="Q2005" s="184" t="n">
        <v>0</v>
      </c>
      <c r="R2005" s="184" t="n">
        <v>0</v>
      </c>
      <c r="S2005" s="183" t="n">
        <v>0</v>
      </c>
      <c r="T2005" s="183" t="n">
        <v>0</v>
      </c>
      <c r="U2005" s="182" t="n">
        <v>0</v>
      </c>
      <c r="V2005" s="182" t="n">
        <v>0</v>
      </c>
      <c r="W2005" s="182" t="n">
        <v>0</v>
      </c>
      <c r="X2005" s="182" t="n">
        <v>1</v>
      </c>
      <c r="Y2005" s="182" t="n">
        <v>0.5</v>
      </c>
      <c r="Z2005" s="182" t="n">
        <v>0</v>
      </c>
      <c r="AA2005" s="182" t="n">
        <v>0</v>
      </c>
      <c r="AB2005" s="182" t="n">
        <v>1</v>
      </c>
      <c r="AC2005" s="182" t="n">
        <v>0</v>
      </c>
      <c r="AD2005" s="182" t="n">
        <v>0</v>
      </c>
      <c r="AE2005" s="182" t="n">
        <v>0</v>
      </c>
      <c r="AF2005" s="182" t="n">
        <v>0</v>
      </c>
      <c r="AG2005" s="182" t="n">
        <v>0</v>
      </c>
      <c r="AH2005" s="182" t="n">
        <v>0</v>
      </c>
      <c r="AI2005" s="182" t="n">
        <v>0</v>
      </c>
      <c r="AJ2005" s="182" t="n">
        <v>0</v>
      </c>
      <c r="AK2005" s="182" t="n">
        <v>9.42</v>
      </c>
      <c r="AL2005" s="182" t="n">
        <v>0</v>
      </c>
      <c r="AM2005" s="182" t="n">
        <v>0.08</v>
      </c>
      <c r="AN2005" s="182" t="n">
        <v>0</v>
      </c>
    </row>
    <row r="2006">
      <c r="A2006" s="155" t="n">
        <v>46091</v>
      </c>
      <c r="B2006" s="156" t="inlineStr">
        <is>
          <t>DS</t>
        </is>
      </c>
      <c r="C2006" s="156" t="inlineStr">
        <is>
          <t>HT-408</t>
        </is>
      </c>
      <c r="D2006" s="156" t="inlineStr">
        <is>
          <t>SY430</t>
        </is>
      </c>
      <c r="E2006" s="156" t="inlineStr">
        <is>
          <t>DT Hauling</t>
        </is>
      </c>
      <c r="F2006" s="156" t="inlineStr"/>
      <c r="G2006" s="182" t="n">
        <v>0</v>
      </c>
      <c r="H2006" s="182" t="n">
        <v>0</v>
      </c>
      <c r="I2006" s="182" t="n">
        <v>0</v>
      </c>
      <c r="J2006" s="182" t="n">
        <v>0</v>
      </c>
      <c r="K2006" s="182" t="n">
        <v>12</v>
      </c>
      <c r="L2006" s="182" t="n">
        <v>12</v>
      </c>
      <c r="M2006" s="182" t="n">
        <v>0</v>
      </c>
      <c r="N2006" s="182" t="n">
        <v>0</v>
      </c>
      <c r="O2006" s="183" t="n">
        <v>0</v>
      </c>
      <c r="P2006" s="183" t="n">
        <v>0</v>
      </c>
      <c r="Q2006" s="184" t="n">
        <v>0</v>
      </c>
      <c r="R2006" s="184" t="n">
        <v>0</v>
      </c>
      <c r="S2006" s="183" t="n">
        <v>0</v>
      </c>
      <c r="T2006" s="183" t="n">
        <v>0</v>
      </c>
      <c r="U2006" s="182" t="n">
        <v>0</v>
      </c>
      <c r="V2006" s="182" t="n">
        <v>0</v>
      </c>
      <c r="W2006" s="182" t="n">
        <v>0</v>
      </c>
      <c r="X2006" s="182" t="n">
        <v>1</v>
      </c>
      <c r="Y2006" s="182" t="n">
        <v>0.5</v>
      </c>
      <c r="Z2006" s="182" t="n">
        <v>0</v>
      </c>
      <c r="AA2006" s="182" t="n">
        <v>0</v>
      </c>
      <c r="AB2006" s="182" t="n">
        <v>1</v>
      </c>
      <c r="AC2006" s="182" t="n">
        <v>0</v>
      </c>
      <c r="AD2006" s="182" t="n">
        <v>0</v>
      </c>
      <c r="AE2006" s="182" t="n">
        <v>0</v>
      </c>
      <c r="AF2006" s="182" t="n">
        <v>0</v>
      </c>
      <c r="AG2006" s="182" t="n">
        <v>0</v>
      </c>
      <c r="AH2006" s="182" t="n">
        <v>0</v>
      </c>
      <c r="AI2006" s="182" t="n">
        <v>0</v>
      </c>
      <c r="AJ2006" s="182" t="n">
        <v>0</v>
      </c>
      <c r="AK2006" s="182" t="n">
        <v>9.42</v>
      </c>
      <c r="AL2006" s="182" t="n">
        <v>0</v>
      </c>
      <c r="AM2006" s="182" t="n">
        <v>0.08</v>
      </c>
      <c r="AN2006" s="182" t="n">
        <v>0</v>
      </c>
    </row>
    <row r="2007">
      <c r="A2007" s="155" t="n">
        <v>46091</v>
      </c>
      <c r="B2007" s="156" t="inlineStr">
        <is>
          <t>DS</t>
        </is>
      </c>
      <c r="C2007" s="156" t="inlineStr">
        <is>
          <t>HT-412</t>
        </is>
      </c>
      <c r="D2007" s="156" t="inlineStr">
        <is>
          <t>SY430</t>
        </is>
      </c>
      <c r="E2007" s="156" t="inlineStr">
        <is>
          <t>DT Hauling</t>
        </is>
      </c>
      <c r="F2007" s="156" t="inlineStr"/>
      <c r="G2007" s="182" t="n">
        <v>0</v>
      </c>
      <c r="H2007" s="182" t="n">
        <v>0</v>
      </c>
      <c r="I2007" s="182" t="n">
        <v>0</v>
      </c>
      <c r="J2007" s="182" t="n">
        <v>0</v>
      </c>
      <c r="K2007" s="182" t="n">
        <v>12</v>
      </c>
      <c r="L2007" s="182" t="n">
        <v>12</v>
      </c>
      <c r="M2007" s="182" t="n">
        <v>0</v>
      </c>
      <c r="N2007" s="182" t="n">
        <v>0</v>
      </c>
      <c r="O2007" s="183" t="n">
        <v>0</v>
      </c>
      <c r="P2007" s="183" t="n">
        <v>0</v>
      </c>
      <c r="Q2007" s="184" t="n">
        <v>0</v>
      </c>
      <c r="R2007" s="184" t="n">
        <v>0</v>
      </c>
      <c r="S2007" s="183" t="n">
        <v>0</v>
      </c>
      <c r="T2007" s="183" t="n">
        <v>0</v>
      </c>
      <c r="U2007" s="182" t="n">
        <v>0</v>
      </c>
      <c r="V2007" s="182" t="n">
        <v>0</v>
      </c>
      <c r="W2007" s="182" t="n">
        <v>0</v>
      </c>
      <c r="X2007" s="182" t="n">
        <v>1</v>
      </c>
      <c r="Y2007" s="182" t="n">
        <v>0.5</v>
      </c>
      <c r="Z2007" s="182" t="n">
        <v>0</v>
      </c>
      <c r="AA2007" s="182" t="n">
        <v>0</v>
      </c>
      <c r="AB2007" s="182" t="n">
        <v>1</v>
      </c>
      <c r="AC2007" s="182" t="n">
        <v>0</v>
      </c>
      <c r="AD2007" s="182" t="n">
        <v>0</v>
      </c>
      <c r="AE2007" s="182" t="n">
        <v>0</v>
      </c>
      <c r="AF2007" s="182" t="n">
        <v>0</v>
      </c>
      <c r="AG2007" s="182" t="n">
        <v>0</v>
      </c>
      <c r="AH2007" s="182" t="n">
        <v>0</v>
      </c>
      <c r="AI2007" s="182" t="n">
        <v>0</v>
      </c>
      <c r="AJ2007" s="182" t="n">
        <v>0</v>
      </c>
      <c r="AK2007" s="182" t="n">
        <v>9.42</v>
      </c>
      <c r="AL2007" s="182" t="n">
        <v>0</v>
      </c>
      <c r="AM2007" s="182" t="n">
        <v>0.08</v>
      </c>
      <c r="AN2007" s="182" t="n">
        <v>0</v>
      </c>
    </row>
    <row r="2008">
      <c r="A2008" s="155" t="n">
        <v>46091</v>
      </c>
      <c r="B2008" s="156" t="inlineStr">
        <is>
          <t>DS</t>
        </is>
      </c>
      <c r="C2008" s="156" t="inlineStr">
        <is>
          <t>HT-413</t>
        </is>
      </c>
      <c r="D2008" s="156" t="inlineStr">
        <is>
          <t>SY430</t>
        </is>
      </c>
      <c r="E2008" s="156" t="inlineStr">
        <is>
          <t>DT Hauling</t>
        </is>
      </c>
      <c r="F2008" s="156" t="inlineStr"/>
      <c r="G2008" s="182" t="n">
        <v>0</v>
      </c>
      <c r="H2008" s="182" t="n">
        <v>0</v>
      </c>
      <c r="I2008" s="182" t="n">
        <v>12</v>
      </c>
      <c r="J2008" s="182" t="n">
        <v>12</v>
      </c>
      <c r="K2008" s="182" t="n">
        <v>0</v>
      </c>
      <c r="L2008" s="182" t="n">
        <v>12</v>
      </c>
      <c r="M2008" s="182" t="n">
        <v>0</v>
      </c>
      <c r="N2008" s="182" t="n">
        <v>0</v>
      </c>
      <c r="O2008" s="183" t="n">
        <v>0</v>
      </c>
      <c r="P2008" s="183" t="n">
        <v>0</v>
      </c>
      <c r="Q2008" s="184" t="n">
        <v>0</v>
      </c>
      <c r="R2008" s="184" t="n">
        <v>0</v>
      </c>
      <c r="S2008" s="183" t="n">
        <v>0</v>
      </c>
      <c r="T2008" s="183" t="n">
        <v>0</v>
      </c>
      <c r="U2008" s="182" t="n">
        <v>0</v>
      </c>
      <c r="V2008" s="182" t="n">
        <v>0</v>
      </c>
      <c r="W2008" s="182" t="n">
        <v>0</v>
      </c>
      <c r="X2008" s="182" t="n">
        <v>0</v>
      </c>
      <c r="Y2008" s="182" t="n">
        <v>0</v>
      </c>
      <c r="Z2008" s="182" t="n">
        <v>0</v>
      </c>
      <c r="AA2008" s="182" t="n">
        <v>0</v>
      </c>
      <c r="AB2008" s="182" t="n">
        <v>0</v>
      </c>
      <c r="AC2008" s="182" t="n">
        <v>0</v>
      </c>
      <c r="AD2008" s="182" t="n">
        <v>0</v>
      </c>
      <c r="AE2008" s="182" t="n">
        <v>0</v>
      </c>
      <c r="AF2008" s="182" t="n">
        <v>0</v>
      </c>
      <c r="AG2008" s="182" t="n">
        <v>0</v>
      </c>
      <c r="AH2008" s="182" t="n">
        <v>0</v>
      </c>
      <c r="AI2008" s="182" t="n">
        <v>0</v>
      </c>
      <c r="AJ2008" s="182" t="n">
        <v>0</v>
      </c>
      <c r="AK2008" s="182" t="n">
        <v>0</v>
      </c>
      <c r="AL2008" s="182" t="n">
        <v>0</v>
      </c>
      <c r="AM2008" s="182" t="n">
        <v>0</v>
      </c>
      <c r="AN2008" s="182" t="n">
        <v>0</v>
      </c>
    </row>
    <row r="2009">
      <c r="A2009" s="155" t="n">
        <v>46091</v>
      </c>
      <c r="B2009" s="156" t="inlineStr">
        <is>
          <t>DS</t>
        </is>
      </c>
      <c r="C2009" s="156" t="inlineStr">
        <is>
          <t>HT-407</t>
        </is>
      </c>
      <c r="D2009" s="156" t="inlineStr">
        <is>
          <t>SY430</t>
        </is>
      </c>
      <c r="E2009" s="156" t="inlineStr">
        <is>
          <t>DT Hauling</t>
        </is>
      </c>
      <c r="F2009" s="156" t="inlineStr"/>
      <c r="G2009" s="182" t="n">
        <v>0</v>
      </c>
      <c r="H2009" s="182" t="n">
        <v>0</v>
      </c>
      <c r="I2009" s="182" t="n">
        <v>0</v>
      </c>
      <c r="J2009" s="182" t="n">
        <v>0</v>
      </c>
      <c r="K2009" s="182" t="n">
        <v>12</v>
      </c>
      <c r="L2009" s="182" t="n">
        <v>12</v>
      </c>
      <c r="M2009" s="182" t="n">
        <v>0</v>
      </c>
      <c r="N2009" s="182" t="n">
        <v>0</v>
      </c>
      <c r="O2009" s="183" t="n">
        <v>0</v>
      </c>
      <c r="P2009" s="183" t="n">
        <v>0</v>
      </c>
      <c r="Q2009" s="184" t="n">
        <v>0</v>
      </c>
      <c r="R2009" s="184" t="n">
        <v>0</v>
      </c>
      <c r="S2009" s="183" t="n">
        <v>0</v>
      </c>
      <c r="T2009" s="183" t="n">
        <v>0</v>
      </c>
      <c r="U2009" s="182" t="n">
        <v>0</v>
      </c>
      <c r="V2009" s="182" t="n">
        <v>0</v>
      </c>
      <c r="W2009" s="182" t="n">
        <v>0</v>
      </c>
      <c r="X2009" s="182" t="n">
        <v>1</v>
      </c>
      <c r="Y2009" s="182" t="n">
        <v>0.5</v>
      </c>
      <c r="Z2009" s="182" t="n">
        <v>0</v>
      </c>
      <c r="AA2009" s="182" t="n">
        <v>0</v>
      </c>
      <c r="AB2009" s="182" t="n">
        <v>1</v>
      </c>
      <c r="AC2009" s="182" t="n">
        <v>0</v>
      </c>
      <c r="AD2009" s="182" t="n">
        <v>0</v>
      </c>
      <c r="AE2009" s="182" t="n">
        <v>0</v>
      </c>
      <c r="AF2009" s="182" t="n">
        <v>0</v>
      </c>
      <c r="AG2009" s="182" t="n">
        <v>0</v>
      </c>
      <c r="AH2009" s="182" t="n">
        <v>0</v>
      </c>
      <c r="AI2009" s="182" t="n">
        <v>0</v>
      </c>
      <c r="AJ2009" s="182" t="n">
        <v>0</v>
      </c>
      <c r="AK2009" s="182" t="n">
        <v>9.42</v>
      </c>
      <c r="AL2009" s="182" t="n">
        <v>0</v>
      </c>
      <c r="AM2009" s="182" t="n">
        <v>0.08</v>
      </c>
      <c r="AN2009" s="182" t="n">
        <v>0</v>
      </c>
    </row>
    <row r="2010">
      <c r="A2010" s="155" t="n">
        <v>46091</v>
      </c>
      <c r="B2010" s="156" t="inlineStr">
        <is>
          <t>DS</t>
        </is>
      </c>
      <c r="C2010" s="156" t="inlineStr">
        <is>
          <t>HT-414</t>
        </is>
      </c>
      <c r="D2010" s="156" t="inlineStr">
        <is>
          <t>SY430</t>
        </is>
      </c>
      <c r="E2010" s="156" t="inlineStr">
        <is>
          <t>DT Hauling</t>
        </is>
      </c>
      <c r="F2010" s="156" t="inlineStr"/>
      <c r="G2010" s="182" t="n">
        <v>0</v>
      </c>
      <c r="H2010" s="182" t="n">
        <v>0</v>
      </c>
      <c r="I2010" s="182" t="n">
        <v>0</v>
      </c>
      <c r="J2010" s="182" t="n">
        <v>0</v>
      </c>
      <c r="K2010" s="182" t="n">
        <v>12</v>
      </c>
      <c r="L2010" s="182" t="n">
        <v>12</v>
      </c>
      <c r="M2010" s="182" t="n">
        <v>0</v>
      </c>
      <c r="N2010" s="182" t="n">
        <v>0</v>
      </c>
      <c r="O2010" s="183" t="n">
        <v>0</v>
      </c>
      <c r="P2010" s="183" t="n">
        <v>0</v>
      </c>
      <c r="Q2010" s="184" t="n">
        <v>0</v>
      </c>
      <c r="R2010" s="184" t="n">
        <v>0</v>
      </c>
      <c r="S2010" s="183" t="n">
        <v>0</v>
      </c>
      <c r="T2010" s="183" t="n">
        <v>0</v>
      </c>
      <c r="U2010" s="182" t="n">
        <v>0</v>
      </c>
      <c r="V2010" s="182" t="n">
        <v>0</v>
      </c>
      <c r="W2010" s="182" t="n">
        <v>0</v>
      </c>
      <c r="X2010" s="182" t="n">
        <v>1</v>
      </c>
      <c r="Y2010" s="182" t="n">
        <v>0.5</v>
      </c>
      <c r="Z2010" s="182" t="n">
        <v>0</v>
      </c>
      <c r="AA2010" s="182" t="n">
        <v>0</v>
      </c>
      <c r="AB2010" s="182" t="n">
        <v>1</v>
      </c>
      <c r="AC2010" s="182" t="n">
        <v>0</v>
      </c>
      <c r="AD2010" s="182" t="n">
        <v>0</v>
      </c>
      <c r="AE2010" s="182" t="n">
        <v>0</v>
      </c>
      <c r="AF2010" s="182" t="n">
        <v>0</v>
      </c>
      <c r="AG2010" s="182" t="n">
        <v>0</v>
      </c>
      <c r="AH2010" s="182" t="n">
        <v>0</v>
      </c>
      <c r="AI2010" s="182" t="n">
        <v>0</v>
      </c>
      <c r="AJ2010" s="182" t="n">
        <v>0</v>
      </c>
      <c r="AK2010" s="182" t="n">
        <v>9.42</v>
      </c>
      <c r="AL2010" s="182" t="n">
        <v>0</v>
      </c>
      <c r="AM2010" s="182" t="n">
        <v>0.08</v>
      </c>
      <c r="AN2010" s="182" t="n">
        <v>0</v>
      </c>
    </row>
    <row r="2011">
      <c r="A2011" s="155" t="n">
        <v>46091</v>
      </c>
      <c r="B2011" s="156" t="inlineStr">
        <is>
          <t>DS</t>
        </is>
      </c>
      <c r="C2011" s="156" t="inlineStr">
        <is>
          <t>HT-411</t>
        </is>
      </c>
      <c r="D2011" s="156" t="inlineStr">
        <is>
          <t>SY430</t>
        </is>
      </c>
      <c r="E2011" s="156" t="inlineStr">
        <is>
          <t>DT Hauling</t>
        </is>
      </c>
      <c r="F2011" s="156" t="inlineStr"/>
      <c r="G2011" s="182" t="n">
        <v>0</v>
      </c>
      <c r="H2011" s="182" t="n">
        <v>0</v>
      </c>
      <c r="I2011" s="182" t="n">
        <v>0</v>
      </c>
      <c r="J2011" s="182" t="n">
        <v>0</v>
      </c>
      <c r="K2011" s="182" t="n">
        <v>12</v>
      </c>
      <c r="L2011" s="182" t="n">
        <v>12</v>
      </c>
      <c r="M2011" s="182" t="n">
        <v>0</v>
      </c>
      <c r="N2011" s="182" t="n">
        <v>0</v>
      </c>
      <c r="O2011" s="183" t="n">
        <v>0</v>
      </c>
      <c r="P2011" s="183" t="n">
        <v>0</v>
      </c>
      <c r="Q2011" s="184" t="n">
        <v>0</v>
      </c>
      <c r="R2011" s="184" t="n">
        <v>0</v>
      </c>
      <c r="S2011" s="183" t="n">
        <v>0</v>
      </c>
      <c r="T2011" s="183" t="n">
        <v>0</v>
      </c>
      <c r="U2011" s="182" t="n">
        <v>0</v>
      </c>
      <c r="V2011" s="182" t="n">
        <v>0</v>
      </c>
      <c r="W2011" s="182" t="n">
        <v>0</v>
      </c>
      <c r="X2011" s="182" t="n">
        <v>1</v>
      </c>
      <c r="Y2011" s="182" t="n">
        <v>0.5</v>
      </c>
      <c r="Z2011" s="182" t="n">
        <v>0</v>
      </c>
      <c r="AA2011" s="182" t="n">
        <v>0</v>
      </c>
      <c r="AB2011" s="182" t="n">
        <v>1</v>
      </c>
      <c r="AC2011" s="182" t="n">
        <v>0</v>
      </c>
      <c r="AD2011" s="182" t="n">
        <v>0</v>
      </c>
      <c r="AE2011" s="182" t="n">
        <v>0</v>
      </c>
      <c r="AF2011" s="182" t="n">
        <v>0</v>
      </c>
      <c r="AG2011" s="182" t="n">
        <v>0</v>
      </c>
      <c r="AH2011" s="182" t="n">
        <v>0</v>
      </c>
      <c r="AI2011" s="182" t="n">
        <v>0</v>
      </c>
      <c r="AJ2011" s="182" t="n">
        <v>0</v>
      </c>
      <c r="AK2011" s="182" t="n">
        <v>9.42</v>
      </c>
      <c r="AL2011" s="182" t="n">
        <v>0</v>
      </c>
      <c r="AM2011" s="182" t="n">
        <v>0.08</v>
      </c>
      <c r="AN2011" s="182" t="n">
        <v>0</v>
      </c>
    </row>
    <row r="2012">
      <c r="A2012" s="155" t="n">
        <v>46091</v>
      </c>
      <c r="B2012" s="156" t="inlineStr">
        <is>
          <t>DS</t>
        </is>
      </c>
      <c r="C2012" s="156" t="inlineStr">
        <is>
          <t>HT-409</t>
        </is>
      </c>
      <c r="D2012" s="156" t="inlineStr">
        <is>
          <t>SY430</t>
        </is>
      </c>
      <c r="E2012" s="156" t="inlineStr">
        <is>
          <t>DT Hauling</t>
        </is>
      </c>
      <c r="F2012" s="156" t="inlineStr"/>
      <c r="G2012" s="182" t="n">
        <v>0</v>
      </c>
      <c r="H2012" s="182" t="n">
        <v>0</v>
      </c>
      <c r="I2012" s="182" t="n">
        <v>10</v>
      </c>
      <c r="J2012" s="182" t="n">
        <v>10</v>
      </c>
      <c r="K2012" s="182" t="n">
        <v>2</v>
      </c>
      <c r="L2012" s="182" t="n">
        <v>12</v>
      </c>
      <c r="M2012" s="182" t="n">
        <v>0</v>
      </c>
      <c r="N2012" s="182" t="n">
        <v>0</v>
      </c>
      <c r="O2012" s="183" t="n">
        <v>0</v>
      </c>
      <c r="P2012" s="183" t="n">
        <v>0</v>
      </c>
      <c r="Q2012" s="184" t="n">
        <v>0</v>
      </c>
      <c r="R2012" s="184" t="n">
        <v>0</v>
      </c>
      <c r="S2012" s="183" t="n">
        <v>0</v>
      </c>
      <c r="T2012" s="183" t="n">
        <v>0</v>
      </c>
      <c r="U2012" s="182" t="n">
        <v>0.5</v>
      </c>
      <c r="V2012" s="182" t="n">
        <v>0</v>
      </c>
      <c r="W2012" s="182" t="n">
        <v>0</v>
      </c>
      <c r="X2012" s="182" t="n">
        <v>0</v>
      </c>
      <c r="Y2012" s="182" t="n">
        <v>0.5</v>
      </c>
      <c r="Z2012" s="182" t="n">
        <v>0</v>
      </c>
      <c r="AA2012" s="182" t="n">
        <v>0</v>
      </c>
      <c r="AB2012" s="182" t="n">
        <v>1</v>
      </c>
      <c r="AC2012" s="182" t="n">
        <v>0</v>
      </c>
      <c r="AD2012" s="182" t="n">
        <v>0</v>
      </c>
      <c r="AE2012" s="182" t="n">
        <v>0</v>
      </c>
      <c r="AF2012" s="182" t="n">
        <v>0</v>
      </c>
      <c r="AG2012" s="182" t="n">
        <v>0</v>
      </c>
      <c r="AH2012" s="182" t="n">
        <v>0</v>
      </c>
      <c r="AI2012" s="182" t="n">
        <v>0</v>
      </c>
      <c r="AJ2012" s="182" t="n">
        <v>0</v>
      </c>
      <c r="AK2012" s="182" t="n">
        <v>0</v>
      </c>
      <c r="AL2012" s="182" t="n">
        <v>0</v>
      </c>
      <c r="AM2012" s="182" t="n">
        <v>0</v>
      </c>
      <c r="AN2012" s="182" t="n">
        <v>0</v>
      </c>
    </row>
    <row r="2013">
      <c r="A2013" s="155" t="n">
        <v>46091</v>
      </c>
      <c r="B2013" s="156" t="inlineStr">
        <is>
          <t>DS</t>
        </is>
      </c>
      <c r="C2013" s="156" t="inlineStr">
        <is>
          <t>DH-103</t>
        </is>
      </c>
      <c r="D2013" s="156" t="inlineStr">
        <is>
          <t>HINO FM260</t>
        </is>
      </c>
      <c r="E2013" s="156" t="inlineStr">
        <is>
          <t>DT Hino</t>
        </is>
      </c>
      <c r="F2013" s="156" t="inlineStr"/>
      <c r="G2013" s="182" t="n">
        <v>0</v>
      </c>
      <c r="H2013" s="182" t="n">
        <v>0</v>
      </c>
      <c r="I2013" s="182" t="n">
        <v>0</v>
      </c>
      <c r="J2013" s="182" t="n">
        <v>0</v>
      </c>
      <c r="K2013" s="182" t="n">
        <v>12</v>
      </c>
      <c r="L2013" s="182" t="n">
        <v>12</v>
      </c>
      <c r="M2013" s="182" t="n">
        <v>0</v>
      </c>
      <c r="N2013" s="182" t="n">
        <v>0</v>
      </c>
      <c r="O2013" s="183" t="n">
        <v>0</v>
      </c>
      <c r="P2013" s="183" t="n">
        <v>0</v>
      </c>
      <c r="Q2013" s="184" t="n">
        <v>0</v>
      </c>
      <c r="R2013" s="184" t="n">
        <v>0</v>
      </c>
      <c r="S2013" s="183" t="n">
        <v>0</v>
      </c>
      <c r="T2013" s="183" t="n">
        <v>0</v>
      </c>
      <c r="U2013" s="182" t="n">
        <v>0</v>
      </c>
      <c r="V2013" s="182" t="n">
        <v>0</v>
      </c>
      <c r="W2013" s="182" t="n">
        <v>0</v>
      </c>
      <c r="X2013" s="182" t="n">
        <v>1</v>
      </c>
      <c r="Y2013" s="182" t="n">
        <v>0.5</v>
      </c>
      <c r="Z2013" s="182" t="n">
        <v>0</v>
      </c>
      <c r="AA2013" s="182" t="n">
        <v>0</v>
      </c>
      <c r="AB2013" s="182" t="n">
        <v>1</v>
      </c>
      <c r="AC2013" s="182" t="n">
        <v>0</v>
      </c>
      <c r="AD2013" s="182" t="n">
        <v>0</v>
      </c>
      <c r="AE2013" s="182" t="n">
        <v>0</v>
      </c>
      <c r="AF2013" s="182" t="n">
        <v>0</v>
      </c>
      <c r="AG2013" s="182" t="n">
        <v>0</v>
      </c>
      <c r="AH2013" s="182" t="n">
        <v>0</v>
      </c>
      <c r="AI2013" s="182" t="n">
        <v>0</v>
      </c>
      <c r="AJ2013" s="182" t="n">
        <v>0</v>
      </c>
      <c r="AK2013" s="182" t="n">
        <v>9.42</v>
      </c>
      <c r="AL2013" s="182" t="n">
        <v>0</v>
      </c>
      <c r="AM2013" s="182" t="n">
        <v>0.08</v>
      </c>
      <c r="AN2013" s="182" t="n">
        <v>0</v>
      </c>
    </row>
    <row r="2014">
      <c r="A2014" s="155" t="n">
        <v>46091</v>
      </c>
      <c r="B2014" s="156" t="inlineStr">
        <is>
          <t>DS</t>
        </is>
      </c>
      <c r="C2014" s="156" t="inlineStr">
        <is>
          <t>DH-102</t>
        </is>
      </c>
      <c r="D2014" s="156" t="inlineStr">
        <is>
          <t>HINO FM260</t>
        </is>
      </c>
      <c r="E2014" s="156" t="inlineStr">
        <is>
          <t>DT Hino</t>
        </is>
      </c>
      <c r="F2014" s="156" t="inlineStr"/>
      <c r="G2014" s="182" t="n">
        <v>0</v>
      </c>
      <c r="H2014" s="182" t="n">
        <v>0</v>
      </c>
      <c r="I2014" s="182" t="n">
        <v>0</v>
      </c>
      <c r="J2014" s="182" t="n">
        <v>0</v>
      </c>
      <c r="K2014" s="182" t="n">
        <v>12</v>
      </c>
      <c r="L2014" s="182" t="n">
        <v>12</v>
      </c>
      <c r="M2014" s="182" t="n">
        <v>0</v>
      </c>
      <c r="N2014" s="182" t="n">
        <v>0</v>
      </c>
      <c r="O2014" s="183" t="n">
        <v>0</v>
      </c>
      <c r="P2014" s="183" t="n">
        <v>0</v>
      </c>
      <c r="Q2014" s="184" t="n">
        <v>0</v>
      </c>
      <c r="R2014" s="184" t="n">
        <v>0</v>
      </c>
      <c r="S2014" s="183" t="n">
        <v>0</v>
      </c>
      <c r="T2014" s="183" t="n">
        <v>0</v>
      </c>
      <c r="U2014" s="182" t="n">
        <v>0</v>
      </c>
      <c r="V2014" s="182" t="n">
        <v>0</v>
      </c>
      <c r="W2014" s="182" t="n">
        <v>0</v>
      </c>
      <c r="X2014" s="182" t="n">
        <v>1</v>
      </c>
      <c r="Y2014" s="182" t="n">
        <v>0.5</v>
      </c>
      <c r="Z2014" s="182" t="n">
        <v>0</v>
      </c>
      <c r="AA2014" s="182" t="n">
        <v>0</v>
      </c>
      <c r="AB2014" s="182" t="n">
        <v>1</v>
      </c>
      <c r="AC2014" s="182" t="n">
        <v>0</v>
      </c>
      <c r="AD2014" s="182" t="n">
        <v>0</v>
      </c>
      <c r="AE2014" s="182" t="n">
        <v>0</v>
      </c>
      <c r="AF2014" s="182" t="n">
        <v>0</v>
      </c>
      <c r="AG2014" s="182" t="n">
        <v>0</v>
      </c>
      <c r="AH2014" s="182" t="n">
        <v>0</v>
      </c>
      <c r="AI2014" s="182" t="n">
        <v>0</v>
      </c>
      <c r="AJ2014" s="182" t="n">
        <v>0</v>
      </c>
      <c r="AK2014" s="182" t="n">
        <v>9.42</v>
      </c>
      <c r="AL2014" s="182" t="n">
        <v>0</v>
      </c>
      <c r="AM2014" s="182" t="n">
        <v>0.08</v>
      </c>
      <c r="AN2014" s="182" t="n">
        <v>0</v>
      </c>
    </row>
    <row r="2015">
      <c r="A2015" s="155" t="n">
        <v>46091</v>
      </c>
      <c r="B2015" s="156" t="inlineStr">
        <is>
          <t>DS</t>
        </is>
      </c>
      <c r="C2015" s="156" t="inlineStr">
        <is>
          <t>DH-101</t>
        </is>
      </c>
      <c r="D2015" s="156" t="inlineStr">
        <is>
          <t>HINO FM260</t>
        </is>
      </c>
      <c r="E2015" s="156" t="inlineStr">
        <is>
          <t>DT Hino</t>
        </is>
      </c>
      <c r="F2015" s="156" t="inlineStr"/>
      <c r="G2015" s="182" t="n">
        <v>0</v>
      </c>
      <c r="H2015" s="182" t="n">
        <v>0</v>
      </c>
      <c r="I2015" s="182" t="n">
        <v>0</v>
      </c>
      <c r="J2015" s="182" t="n">
        <v>0</v>
      </c>
      <c r="K2015" s="182" t="n">
        <v>12</v>
      </c>
      <c r="L2015" s="182" t="n">
        <v>12</v>
      </c>
      <c r="M2015" s="182" t="n">
        <v>0</v>
      </c>
      <c r="N2015" s="182" t="n">
        <v>0</v>
      </c>
      <c r="O2015" s="183" t="n">
        <v>0</v>
      </c>
      <c r="P2015" s="183" t="n">
        <v>0</v>
      </c>
      <c r="Q2015" s="184" t="n">
        <v>0</v>
      </c>
      <c r="R2015" s="184" t="n">
        <v>0</v>
      </c>
      <c r="S2015" s="183" t="n">
        <v>0</v>
      </c>
      <c r="T2015" s="183" t="n">
        <v>0</v>
      </c>
      <c r="U2015" s="182" t="n">
        <v>0</v>
      </c>
      <c r="V2015" s="182" t="n">
        <v>0</v>
      </c>
      <c r="W2015" s="182" t="n">
        <v>0</v>
      </c>
      <c r="X2015" s="182" t="n">
        <v>1</v>
      </c>
      <c r="Y2015" s="182" t="n">
        <v>0.5</v>
      </c>
      <c r="Z2015" s="182" t="n">
        <v>0</v>
      </c>
      <c r="AA2015" s="182" t="n">
        <v>0</v>
      </c>
      <c r="AB2015" s="182" t="n">
        <v>1</v>
      </c>
      <c r="AC2015" s="182" t="n">
        <v>0</v>
      </c>
      <c r="AD2015" s="182" t="n">
        <v>0</v>
      </c>
      <c r="AE2015" s="182" t="n">
        <v>0</v>
      </c>
      <c r="AF2015" s="182" t="n">
        <v>0</v>
      </c>
      <c r="AG2015" s="182" t="n">
        <v>0</v>
      </c>
      <c r="AH2015" s="182" t="n">
        <v>0</v>
      </c>
      <c r="AI2015" s="182" t="n">
        <v>0</v>
      </c>
      <c r="AJ2015" s="182" t="n">
        <v>0</v>
      </c>
      <c r="AK2015" s="182" t="n">
        <v>9.42</v>
      </c>
      <c r="AL2015" s="182" t="n">
        <v>0</v>
      </c>
      <c r="AM2015" s="182" t="n">
        <v>0.08</v>
      </c>
      <c r="AN2015" s="182" t="n">
        <v>0</v>
      </c>
    </row>
    <row r="2016">
      <c r="A2016" s="155" t="n">
        <v>46091</v>
      </c>
      <c r="B2016" s="156" t="inlineStr">
        <is>
          <t>DS</t>
        </is>
      </c>
      <c r="C2016" s="156" t="inlineStr">
        <is>
          <t>EX-1251</t>
        </is>
      </c>
      <c r="D2016" s="156" t="inlineStr">
        <is>
          <t>SY1250</t>
        </is>
      </c>
      <c r="E2016" s="156" t="inlineStr">
        <is>
          <t>Excavator</t>
        </is>
      </c>
      <c r="F2016" s="156" t="inlineStr">
        <is>
          <t>Loading OB</t>
        </is>
      </c>
      <c r="G2016" s="182" t="n">
        <v>4.23</v>
      </c>
      <c r="H2016" s="182" t="n">
        <v>0</v>
      </c>
      <c r="I2016" s="182" t="n">
        <v>0</v>
      </c>
      <c r="J2016" s="182" t="n">
        <v>0</v>
      </c>
      <c r="K2016" s="182" t="n">
        <v>7.77</v>
      </c>
      <c r="L2016" s="182" t="n">
        <v>12</v>
      </c>
      <c r="M2016" s="182" t="n">
        <v>3.15</v>
      </c>
      <c r="N2016" s="182" t="n">
        <v>0</v>
      </c>
      <c r="O2016" s="183" t="n">
        <v>80</v>
      </c>
      <c r="P2016" s="183" t="n">
        <v>0</v>
      </c>
      <c r="Q2016" s="184" t="n">
        <v>1632</v>
      </c>
      <c r="R2016" s="184" t="n">
        <v>0</v>
      </c>
      <c r="S2016" s="183" t="n">
        <v>0</v>
      </c>
      <c r="T2016" s="183" t="n">
        <v>0</v>
      </c>
      <c r="U2016" s="182" t="n">
        <v>2.64</v>
      </c>
      <c r="V2016" s="182" t="n">
        <v>2.48</v>
      </c>
      <c r="W2016" s="182" t="n">
        <v>0</v>
      </c>
      <c r="X2016" s="182" t="n">
        <v>1.03</v>
      </c>
      <c r="Y2016" s="182" t="n">
        <v>0.51</v>
      </c>
      <c r="Z2016" s="182" t="n">
        <v>0</v>
      </c>
      <c r="AA2016" s="182" t="n">
        <v>0</v>
      </c>
      <c r="AB2016" s="182" t="n">
        <v>1.03</v>
      </c>
      <c r="AC2016" s="182" t="n">
        <v>0</v>
      </c>
      <c r="AD2016" s="182" t="n">
        <v>0</v>
      </c>
      <c r="AE2016" s="182" t="n">
        <v>0</v>
      </c>
      <c r="AF2016" s="182" t="n">
        <v>0</v>
      </c>
      <c r="AG2016" s="182" t="n">
        <v>0</v>
      </c>
      <c r="AH2016" s="182" t="n">
        <v>0</v>
      </c>
      <c r="AI2016" s="182" t="n">
        <v>0</v>
      </c>
      <c r="AJ2016" s="182" t="n">
        <v>0</v>
      </c>
      <c r="AK2016" s="182" t="n">
        <v>0</v>
      </c>
      <c r="AL2016" s="182" t="n">
        <v>0</v>
      </c>
      <c r="AM2016" s="182" t="n">
        <v>0.08</v>
      </c>
      <c r="AN2016" s="182" t="n">
        <v>0</v>
      </c>
    </row>
    <row r="2017">
      <c r="A2017" s="155" t="n">
        <v>46091</v>
      </c>
      <c r="B2017" s="156" t="inlineStr">
        <is>
          <t>DS</t>
        </is>
      </c>
      <c r="C2017" s="156" t="inlineStr">
        <is>
          <t>EX-1252</t>
        </is>
      </c>
      <c r="D2017" s="156" t="inlineStr">
        <is>
          <t>SY1250</t>
        </is>
      </c>
      <c r="E2017" s="156" t="inlineStr">
        <is>
          <t>Excavator</t>
        </is>
      </c>
      <c r="F2017" s="156" t="inlineStr"/>
      <c r="G2017" s="182" t="n">
        <v>0</v>
      </c>
      <c r="H2017" s="182" t="n">
        <v>0</v>
      </c>
      <c r="I2017" s="182" t="n">
        <v>12</v>
      </c>
      <c r="J2017" s="182" t="n">
        <v>12</v>
      </c>
      <c r="K2017" s="182" t="n">
        <v>0</v>
      </c>
      <c r="L2017" s="182" t="n">
        <v>12</v>
      </c>
      <c r="M2017" s="182" t="n">
        <v>0</v>
      </c>
      <c r="N2017" s="182" t="n">
        <v>0</v>
      </c>
      <c r="O2017" s="183" t="n">
        <v>0</v>
      </c>
      <c r="P2017" s="183" t="n">
        <v>0</v>
      </c>
      <c r="Q2017" s="184" t="n">
        <v>0</v>
      </c>
      <c r="R2017" s="184" t="n">
        <v>0</v>
      </c>
      <c r="S2017" s="183" t="n">
        <v>0</v>
      </c>
      <c r="T2017" s="183" t="n">
        <v>0</v>
      </c>
      <c r="U2017" s="182" t="n">
        <v>0</v>
      </c>
      <c r="V2017" s="182" t="n">
        <v>0</v>
      </c>
      <c r="W2017" s="182" t="n">
        <v>0</v>
      </c>
      <c r="X2017" s="182" t="n">
        <v>0</v>
      </c>
      <c r="Y2017" s="182" t="n">
        <v>0</v>
      </c>
      <c r="Z2017" s="182" t="n">
        <v>0</v>
      </c>
      <c r="AA2017" s="182" t="n">
        <v>0</v>
      </c>
      <c r="AB2017" s="182" t="n">
        <v>0</v>
      </c>
      <c r="AC2017" s="182" t="n">
        <v>0</v>
      </c>
      <c r="AD2017" s="182" t="n">
        <v>0</v>
      </c>
      <c r="AE2017" s="182" t="n">
        <v>0</v>
      </c>
      <c r="AF2017" s="182" t="n">
        <v>0</v>
      </c>
      <c r="AG2017" s="182" t="n">
        <v>0</v>
      </c>
      <c r="AH2017" s="182" t="n">
        <v>0</v>
      </c>
      <c r="AI2017" s="182" t="n">
        <v>0</v>
      </c>
      <c r="AJ2017" s="182" t="n">
        <v>0</v>
      </c>
      <c r="AK2017" s="182" t="n">
        <v>0</v>
      </c>
      <c r="AL2017" s="182" t="n">
        <v>0</v>
      </c>
      <c r="AM2017" s="182" t="n">
        <v>0</v>
      </c>
      <c r="AN2017" s="182" t="n">
        <v>0</v>
      </c>
    </row>
    <row r="2018">
      <c r="A2018" s="155" t="n">
        <v>46091</v>
      </c>
      <c r="B2018" s="156" t="inlineStr">
        <is>
          <t>DS</t>
        </is>
      </c>
      <c r="C2018" s="156" t="inlineStr">
        <is>
          <t>EX-2101</t>
        </is>
      </c>
      <c r="D2018" s="156" t="inlineStr">
        <is>
          <t>SY2000</t>
        </is>
      </c>
      <c r="E2018" s="156" t="inlineStr">
        <is>
          <t>Excavator</t>
        </is>
      </c>
      <c r="F2018" s="156" t="inlineStr">
        <is>
          <t>Loading OB</t>
        </is>
      </c>
      <c r="G2018" s="182" t="n">
        <v>4.02</v>
      </c>
      <c r="H2018" s="182" t="n">
        <v>0</v>
      </c>
      <c r="I2018" s="182" t="n">
        <v>0</v>
      </c>
      <c r="J2018" s="182" t="n">
        <v>0</v>
      </c>
      <c r="K2018" s="182" t="n">
        <v>7.98</v>
      </c>
      <c r="L2018" s="182" t="n">
        <v>12</v>
      </c>
      <c r="M2018" s="182" t="n">
        <v>4.02</v>
      </c>
      <c r="N2018" s="182" t="n">
        <v>0</v>
      </c>
      <c r="O2018" s="183" t="n">
        <v>102</v>
      </c>
      <c r="P2018" s="183" t="n">
        <v>0</v>
      </c>
      <c r="Q2018" s="184" t="n">
        <v>3014.1</v>
      </c>
      <c r="R2018" s="184" t="n">
        <v>0</v>
      </c>
      <c r="S2018" s="183" t="n">
        <v>0</v>
      </c>
      <c r="T2018" s="183" t="n">
        <v>0</v>
      </c>
      <c r="U2018" s="182" t="n">
        <v>2.6</v>
      </c>
      <c r="V2018" s="182" t="n">
        <v>2.78</v>
      </c>
      <c r="W2018" s="182" t="n">
        <v>0</v>
      </c>
      <c r="X2018" s="182" t="n">
        <v>1.01</v>
      </c>
      <c r="Y2018" s="182" t="n">
        <v>0.51</v>
      </c>
      <c r="Z2018" s="182" t="n">
        <v>0</v>
      </c>
      <c r="AA2018" s="182" t="n">
        <v>0</v>
      </c>
      <c r="AB2018" s="182" t="n">
        <v>1.01</v>
      </c>
      <c r="AC2018" s="182" t="n">
        <v>0</v>
      </c>
      <c r="AD2018" s="182" t="n">
        <v>0</v>
      </c>
      <c r="AE2018" s="182" t="n">
        <v>0</v>
      </c>
      <c r="AF2018" s="182" t="n">
        <v>0</v>
      </c>
      <c r="AG2018" s="182" t="n">
        <v>0</v>
      </c>
      <c r="AH2018" s="182" t="n">
        <v>0</v>
      </c>
      <c r="AI2018" s="182" t="n">
        <v>0</v>
      </c>
      <c r="AJ2018" s="182" t="n">
        <v>0</v>
      </c>
      <c r="AK2018" s="182" t="n">
        <v>0</v>
      </c>
      <c r="AL2018" s="182" t="n">
        <v>0</v>
      </c>
      <c r="AM2018" s="182" t="n">
        <v>0.08</v>
      </c>
      <c r="AN2018" s="182" t="n">
        <v>0</v>
      </c>
    </row>
    <row r="2019">
      <c r="A2019" s="155" t="n">
        <v>46091</v>
      </c>
      <c r="B2019" s="156" t="inlineStr">
        <is>
          <t>DS</t>
        </is>
      </c>
      <c r="C2019" s="156" t="inlineStr">
        <is>
          <t>EX-222</t>
        </is>
      </c>
      <c r="D2019" s="156" t="inlineStr">
        <is>
          <t>PC 200-8MI</t>
        </is>
      </c>
      <c r="E2019" s="156" t="inlineStr">
        <is>
          <t>Excavator</t>
        </is>
      </c>
      <c r="F2019" s="156" t="inlineStr">
        <is>
          <t>Support Washing Plant</t>
        </is>
      </c>
      <c r="G2019" s="182" t="n">
        <v>11.76</v>
      </c>
      <c r="H2019" s="182" t="n">
        <v>0</v>
      </c>
      <c r="I2019" s="182" t="n">
        <v>0</v>
      </c>
      <c r="J2019" s="182" t="n">
        <v>0</v>
      </c>
      <c r="K2019" s="182" t="n">
        <v>0.24</v>
      </c>
      <c r="L2019" s="182" t="n">
        <v>12</v>
      </c>
      <c r="M2019" s="182" t="n">
        <v>0</v>
      </c>
      <c r="N2019" s="182" t="n">
        <v>0</v>
      </c>
      <c r="O2019" s="183" t="n">
        <v>0</v>
      </c>
      <c r="P2019" s="183" t="n">
        <v>0</v>
      </c>
      <c r="Q2019" s="184" t="n">
        <v>0</v>
      </c>
      <c r="R2019" s="184" t="n">
        <v>0</v>
      </c>
      <c r="S2019" s="183" t="n">
        <v>0</v>
      </c>
      <c r="T2019" s="183" t="n">
        <v>0</v>
      </c>
      <c r="U2019" s="182" t="n">
        <v>0</v>
      </c>
      <c r="V2019" s="182" t="n">
        <v>0</v>
      </c>
      <c r="W2019" s="182" t="n">
        <v>0</v>
      </c>
      <c r="X2019" s="182" t="n">
        <v>0</v>
      </c>
      <c r="Y2019" s="182" t="n">
        <v>0</v>
      </c>
      <c r="Z2019" s="182" t="n">
        <v>0</v>
      </c>
      <c r="AA2019" s="182" t="n">
        <v>0</v>
      </c>
      <c r="AB2019" s="182" t="n">
        <v>0</v>
      </c>
      <c r="AC2019" s="182" t="n">
        <v>0</v>
      </c>
      <c r="AD2019" s="182" t="n">
        <v>0</v>
      </c>
      <c r="AE2019" s="182" t="n">
        <v>0</v>
      </c>
      <c r="AF2019" s="182" t="n">
        <v>0</v>
      </c>
      <c r="AG2019" s="182" t="n">
        <v>0</v>
      </c>
      <c r="AH2019" s="182" t="n">
        <v>0</v>
      </c>
      <c r="AI2019" s="182" t="n">
        <v>0</v>
      </c>
      <c r="AJ2019" s="182" t="n">
        <v>0</v>
      </c>
      <c r="AK2019" s="182" t="n">
        <v>0</v>
      </c>
      <c r="AL2019" s="182" t="n">
        <v>0</v>
      </c>
      <c r="AM2019" s="182" t="n">
        <v>0</v>
      </c>
      <c r="AN2019" s="182" t="n">
        <v>0</v>
      </c>
    </row>
    <row r="2020">
      <c r="A2020" s="155" t="n">
        <v>46091</v>
      </c>
      <c r="B2020" s="156" t="inlineStr">
        <is>
          <t>DS</t>
        </is>
      </c>
      <c r="C2020" s="156" t="inlineStr">
        <is>
          <t>EX-225</t>
        </is>
      </c>
      <c r="D2020" s="156" t="inlineStr">
        <is>
          <t>PC 200-8</t>
        </is>
      </c>
      <c r="E2020" s="156" t="inlineStr">
        <is>
          <t>Excavator</t>
        </is>
      </c>
      <c r="F2020" s="156" t="inlineStr"/>
      <c r="G2020" s="182" t="n">
        <v>0</v>
      </c>
      <c r="H2020" s="182" t="n">
        <v>0</v>
      </c>
      <c r="I2020" s="182" t="n">
        <v>12</v>
      </c>
      <c r="J2020" s="182" t="n">
        <v>12</v>
      </c>
      <c r="K2020" s="182" t="n">
        <v>0</v>
      </c>
      <c r="L2020" s="182" t="n">
        <v>12</v>
      </c>
      <c r="M2020" s="182" t="n">
        <v>0</v>
      </c>
      <c r="N2020" s="182" t="n">
        <v>0</v>
      </c>
      <c r="O2020" s="183" t="n">
        <v>0</v>
      </c>
      <c r="P2020" s="183" t="n">
        <v>0</v>
      </c>
      <c r="Q2020" s="184" t="n">
        <v>0</v>
      </c>
      <c r="R2020" s="184" t="n">
        <v>0</v>
      </c>
      <c r="S2020" s="183" t="n">
        <v>0</v>
      </c>
      <c r="T2020" s="183" t="n">
        <v>0</v>
      </c>
      <c r="U2020" s="182" t="n">
        <v>0</v>
      </c>
      <c r="V2020" s="182" t="n">
        <v>0</v>
      </c>
      <c r="W2020" s="182" t="n">
        <v>0</v>
      </c>
      <c r="X2020" s="182" t="n">
        <v>0</v>
      </c>
      <c r="Y2020" s="182" t="n">
        <v>0</v>
      </c>
      <c r="Z2020" s="182" t="n">
        <v>0</v>
      </c>
      <c r="AA2020" s="182" t="n">
        <v>0</v>
      </c>
      <c r="AB2020" s="182" t="n">
        <v>0</v>
      </c>
      <c r="AC2020" s="182" t="n">
        <v>0</v>
      </c>
      <c r="AD2020" s="182" t="n">
        <v>0</v>
      </c>
      <c r="AE2020" s="182" t="n">
        <v>0</v>
      </c>
      <c r="AF2020" s="182" t="n">
        <v>0</v>
      </c>
      <c r="AG2020" s="182" t="n">
        <v>0</v>
      </c>
      <c r="AH2020" s="182" t="n">
        <v>0</v>
      </c>
      <c r="AI2020" s="182" t="n">
        <v>0</v>
      </c>
      <c r="AJ2020" s="182" t="n">
        <v>0</v>
      </c>
      <c r="AK2020" s="182" t="n">
        <v>0</v>
      </c>
      <c r="AL2020" s="182" t="n">
        <v>0</v>
      </c>
      <c r="AM2020" s="182" t="n">
        <v>0</v>
      </c>
      <c r="AN2020" s="182" t="n">
        <v>0</v>
      </c>
    </row>
    <row r="2021">
      <c r="A2021" s="155" t="n">
        <v>46091</v>
      </c>
      <c r="B2021" s="156" t="inlineStr">
        <is>
          <t>DS</t>
        </is>
      </c>
      <c r="C2021" s="156" t="inlineStr">
        <is>
          <t>EX-223</t>
        </is>
      </c>
      <c r="D2021" s="156" t="inlineStr">
        <is>
          <t>PC 200-8MI</t>
        </is>
      </c>
      <c r="E2021" s="156" t="inlineStr">
        <is>
          <t>Excavator</t>
        </is>
      </c>
      <c r="F2021" s="156" t="inlineStr">
        <is>
          <t>Support Washing Plant</t>
        </is>
      </c>
      <c r="G2021" s="182" t="n">
        <v>11.27</v>
      </c>
      <c r="H2021" s="182" t="n">
        <v>0</v>
      </c>
      <c r="I2021" s="182" t="n">
        <v>0</v>
      </c>
      <c r="J2021" s="182" t="n">
        <v>0</v>
      </c>
      <c r="K2021" s="182" t="n">
        <v>0.73</v>
      </c>
      <c r="L2021" s="182" t="n">
        <v>12</v>
      </c>
      <c r="M2021" s="182" t="n">
        <v>0</v>
      </c>
      <c r="N2021" s="182" t="n">
        <v>0</v>
      </c>
      <c r="O2021" s="183" t="n">
        <v>0</v>
      </c>
      <c r="P2021" s="183" t="n">
        <v>0</v>
      </c>
      <c r="Q2021" s="184" t="n">
        <v>0</v>
      </c>
      <c r="R2021" s="184" t="n">
        <v>0</v>
      </c>
      <c r="S2021" s="183" t="n">
        <v>0</v>
      </c>
      <c r="T2021" s="183" t="n">
        <v>0</v>
      </c>
      <c r="U2021" s="182" t="n">
        <v>0</v>
      </c>
      <c r="V2021" s="182" t="n">
        <v>0</v>
      </c>
      <c r="W2021" s="182" t="n">
        <v>0</v>
      </c>
      <c r="X2021" s="182" t="n">
        <v>0</v>
      </c>
      <c r="Y2021" s="182" t="n">
        <v>0.73</v>
      </c>
      <c r="Z2021" s="182" t="n">
        <v>0</v>
      </c>
      <c r="AA2021" s="182" t="n">
        <v>0</v>
      </c>
      <c r="AB2021" s="182" t="n">
        <v>0</v>
      </c>
      <c r="AC2021" s="182" t="n">
        <v>0</v>
      </c>
      <c r="AD2021" s="182" t="n">
        <v>0</v>
      </c>
      <c r="AE2021" s="182" t="n">
        <v>0</v>
      </c>
      <c r="AF2021" s="182" t="n">
        <v>0</v>
      </c>
      <c r="AG2021" s="182" t="n">
        <v>0</v>
      </c>
      <c r="AH2021" s="182" t="n">
        <v>0</v>
      </c>
      <c r="AI2021" s="182" t="n">
        <v>0</v>
      </c>
      <c r="AJ2021" s="182" t="n">
        <v>0</v>
      </c>
      <c r="AK2021" s="182" t="n">
        <v>0</v>
      </c>
      <c r="AL2021" s="182" t="n">
        <v>0</v>
      </c>
      <c r="AM2021" s="182" t="n">
        <v>0</v>
      </c>
      <c r="AN2021" s="182" t="n">
        <v>0</v>
      </c>
    </row>
    <row r="2022">
      <c r="A2022" s="155" t="n">
        <v>46091</v>
      </c>
      <c r="B2022" s="156" t="inlineStr">
        <is>
          <t>DS</t>
        </is>
      </c>
      <c r="C2022" s="156" t="inlineStr">
        <is>
          <t>EX-221</t>
        </is>
      </c>
      <c r="D2022" s="156" t="inlineStr">
        <is>
          <t>PC 200-8MI</t>
        </is>
      </c>
      <c r="E2022" s="156" t="inlineStr">
        <is>
          <t>Excavator</t>
        </is>
      </c>
      <c r="F2022" s="156" t="inlineStr">
        <is>
          <t>General Jetty</t>
        </is>
      </c>
      <c r="G2022" s="182" t="n">
        <v>2.62</v>
      </c>
      <c r="H2022" s="182" t="n">
        <v>0</v>
      </c>
      <c r="I2022" s="182" t="n">
        <v>0</v>
      </c>
      <c r="J2022" s="182" t="n">
        <v>0</v>
      </c>
      <c r="K2022" s="182" t="n">
        <v>9.380000000000001</v>
      </c>
      <c r="L2022" s="182" t="n">
        <v>12</v>
      </c>
      <c r="M2022" s="182" t="n">
        <v>0</v>
      </c>
      <c r="N2022" s="182" t="n">
        <v>0</v>
      </c>
      <c r="O2022" s="183" t="n">
        <v>0</v>
      </c>
      <c r="P2022" s="183" t="n">
        <v>0</v>
      </c>
      <c r="Q2022" s="184" t="n">
        <v>0</v>
      </c>
      <c r="R2022" s="184" t="n">
        <v>0</v>
      </c>
      <c r="S2022" s="183" t="n">
        <v>0</v>
      </c>
      <c r="T2022" s="183" t="n">
        <v>0</v>
      </c>
      <c r="U2022" s="182" t="n">
        <v>0</v>
      </c>
      <c r="V2022" s="182" t="n">
        <v>0</v>
      </c>
      <c r="W2022" s="182" t="n">
        <v>0</v>
      </c>
      <c r="X2022" s="182" t="n">
        <v>0.98</v>
      </c>
      <c r="Y2022" s="182" t="n">
        <v>0.49</v>
      </c>
      <c r="Z2022" s="182" t="n">
        <v>0</v>
      </c>
      <c r="AA2022" s="182" t="n">
        <v>0</v>
      </c>
      <c r="AB2022" s="182" t="n">
        <v>0.98</v>
      </c>
      <c r="AC2022" s="182" t="n">
        <v>0</v>
      </c>
      <c r="AD2022" s="182" t="n">
        <v>0</v>
      </c>
      <c r="AE2022" s="182" t="n">
        <v>0</v>
      </c>
      <c r="AF2022" s="182" t="n">
        <v>0</v>
      </c>
      <c r="AG2022" s="182" t="n">
        <v>0</v>
      </c>
      <c r="AH2022" s="182" t="n">
        <v>0</v>
      </c>
      <c r="AI2022" s="182" t="n">
        <v>0</v>
      </c>
      <c r="AJ2022" s="182" t="n">
        <v>0</v>
      </c>
      <c r="AK2022" s="182" t="n">
        <v>6.86</v>
      </c>
      <c r="AL2022" s="182" t="n">
        <v>0</v>
      </c>
      <c r="AM2022" s="182" t="n">
        <v>0.08</v>
      </c>
      <c r="AN2022" s="182" t="n">
        <v>0</v>
      </c>
    </row>
    <row r="2023">
      <c r="A2023" s="155" t="n">
        <v>46091</v>
      </c>
      <c r="B2023" s="156" t="inlineStr">
        <is>
          <t>DS</t>
        </is>
      </c>
      <c r="C2023" s="156" t="inlineStr">
        <is>
          <t>EX-331</t>
        </is>
      </c>
      <c r="D2023" s="156" t="inlineStr">
        <is>
          <t>PC 300-8MO</t>
        </is>
      </c>
      <c r="E2023" s="156" t="inlineStr">
        <is>
          <t>Excavator</t>
        </is>
      </c>
      <c r="F2023" s="156" t="inlineStr"/>
      <c r="G2023" s="182" t="n">
        <v>0</v>
      </c>
      <c r="H2023" s="182" t="n">
        <v>0</v>
      </c>
      <c r="I2023" s="182" t="n">
        <v>12</v>
      </c>
      <c r="J2023" s="182" t="n">
        <v>12</v>
      </c>
      <c r="K2023" s="182" t="n">
        <v>0</v>
      </c>
      <c r="L2023" s="182" t="n">
        <v>12</v>
      </c>
      <c r="M2023" s="182" t="n">
        <v>0</v>
      </c>
      <c r="N2023" s="182" t="n">
        <v>0</v>
      </c>
      <c r="O2023" s="183" t="n">
        <v>0</v>
      </c>
      <c r="P2023" s="183" t="n">
        <v>0</v>
      </c>
      <c r="Q2023" s="184" t="n">
        <v>0</v>
      </c>
      <c r="R2023" s="184" t="n">
        <v>0</v>
      </c>
      <c r="S2023" s="183" t="n">
        <v>0</v>
      </c>
      <c r="T2023" s="183" t="n">
        <v>0</v>
      </c>
      <c r="U2023" s="182" t="n">
        <v>0</v>
      </c>
      <c r="V2023" s="182" t="n">
        <v>0</v>
      </c>
      <c r="W2023" s="182" t="n">
        <v>0</v>
      </c>
      <c r="X2023" s="182" t="n">
        <v>0</v>
      </c>
      <c r="Y2023" s="182" t="n">
        <v>0</v>
      </c>
      <c r="Z2023" s="182" t="n">
        <v>0</v>
      </c>
      <c r="AA2023" s="182" t="n">
        <v>0</v>
      </c>
      <c r="AB2023" s="182" t="n">
        <v>0</v>
      </c>
      <c r="AC2023" s="182" t="n">
        <v>0</v>
      </c>
      <c r="AD2023" s="182" t="n">
        <v>0</v>
      </c>
      <c r="AE2023" s="182" t="n">
        <v>0</v>
      </c>
      <c r="AF2023" s="182" t="n">
        <v>0</v>
      </c>
      <c r="AG2023" s="182" t="n">
        <v>0</v>
      </c>
      <c r="AH2023" s="182" t="n">
        <v>0</v>
      </c>
      <c r="AI2023" s="182" t="n">
        <v>0</v>
      </c>
      <c r="AJ2023" s="182" t="n">
        <v>0</v>
      </c>
      <c r="AK2023" s="182" t="n">
        <v>0</v>
      </c>
      <c r="AL2023" s="182" t="n">
        <v>0</v>
      </c>
      <c r="AM2023" s="182" t="n">
        <v>0</v>
      </c>
      <c r="AN2023" s="182" t="n">
        <v>0</v>
      </c>
    </row>
    <row r="2024">
      <c r="A2024" s="155" t="n">
        <v>46091</v>
      </c>
      <c r="B2024" s="156" t="inlineStr">
        <is>
          <t>DS</t>
        </is>
      </c>
      <c r="C2024" s="156" t="inlineStr">
        <is>
          <t>EX-334</t>
        </is>
      </c>
      <c r="D2024" s="156" t="inlineStr">
        <is>
          <t>PC 300-8MO</t>
        </is>
      </c>
      <c r="E2024" s="156" t="inlineStr">
        <is>
          <t>Excavator</t>
        </is>
      </c>
      <c r="F2024" s="156" t="inlineStr">
        <is>
          <t>Cleaning Coal</t>
        </is>
      </c>
      <c r="G2024" s="182" t="n">
        <v>8.19</v>
      </c>
      <c r="H2024" s="182" t="n">
        <v>0</v>
      </c>
      <c r="I2024" s="182" t="n">
        <v>0</v>
      </c>
      <c r="J2024" s="182" t="n">
        <v>0</v>
      </c>
      <c r="K2024" s="182" t="n">
        <v>3.81</v>
      </c>
      <c r="L2024" s="182" t="n">
        <v>12</v>
      </c>
      <c r="M2024" s="182" t="n">
        <v>0</v>
      </c>
      <c r="N2024" s="182" t="n">
        <v>0</v>
      </c>
      <c r="O2024" s="183" t="n">
        <v>0</v>
      </c>
      <c r="P2024" s="183" t="n">
        <v>0</v>
      </c>
      <c r="Q2024" s="184" t="n">
        <v>0</v>
      </c>
      <c r="R2024" s="184" t="n">
        <v>0</v>
      </c>
      <c r="S2024" s="183" t="n">
        <v>0</v>
      </c>
      <c r="T2024" s="183" t="n">
        <v>0</v>
      </c>
      <c r="U2024" s="182" t="n">
        <v>1</v>
      </c>
      <c r="V2024" s="182" t="n">
        <v>0</v>
      </c>
      <c r="W2024" s="182" t="n">
        <v>0</v>
      </c>
      <c r="X2024" s="182" t="n">
        <v>1.09</v>
      </c>
      <c r="Y2024" s="182" t="n">
        <v>0.54</v>
      </c>
      <c r="Z2024" s="182" t="n">
        <v>0</v>
      </c>
      <c r="AA2024" s="182" t="n">
        <v>0</v>
      </c>
      <c r="AB2024" s="182" t="n">
        <v>1.09</v>
      </c>
      <c r="AC2024" s="182" t="n">
        <v>0</v>
      </c>
      <c r="AD2024" s="182" t="n">
        <v>0</v>
      </c>
      <c r="AE2024" s="182" t="n">
        <v>0</v>
      </c>
      <c r="AF2024" s="182" t="n">
        <v>0</v>
      </c>
      <c r="AG2024" s="182" t="n">
        <v>0</v>
      </c>
      <c r="AH2024" s="182" t="n">
        <v>0</v>
      </c>
      <c r="AI2024" s="182" t="n">
        <v>0</v>
      </c>
      <c r="AJ2024" s="182" t="n">
        <v>0</v>
      </c>
      <c r="AK2024" s="182" t="n">
        <v>0</v>
      </c>
      <c r="AL2024" s="182" t="n">
        <v>0</v>
      </c>
      <c r="AM2024" s="182" t="n">
        <v>0.09</v>
      </c>
      <c r="AN2024" s="182" t="n">
        <v>0</v>
      </c>
    </row>
    <row r="2025">
      <c r="A2025" s="155" t="n">
        <v>46091</v>
      </c>
      <c r="B2025" s="156" t="inlineStr">
        <is>
          <t>DS</t>
        </is>
      </c>
      <c r="C2025" s="156" t="inlineStr">
        <is>
          <t>EX-332</t>
        </is>
      </c>
      <c r="D2025" s="156" t="inlineStr">
        <is>
          <t>PC 300-8MO</t>
        </is>
      </c>
      <c r="E2025" s="156" t="inlineStr">
        <is>
          <t>Excavator</t>
        </is>
      </c>
      <c r="F2025" s="156" t="inlineStr"/>
      <c r="G2025" s="182" t="n">
        <v>0</v>
      </c>
      <c r="H2025" s="182" t="n">
        <v>0</v>
      </c>
      <c r="I2025" s="182" t="n">
        <v>12</v>
      </c>
      <c r="J2025" s="182" t="n">
        <v>12</v>
      </c>
      <c r="K2025" s="182" t="n">
        <v>0</v>
      </c>
      <c r="L2025" s="182" t="n">
        <v>12</v>
      </c>
      <c r="M2025" s="182" t="n">
        <v>0</v>
      </c>
      <c r="N2025" s="182" t="n">
        <v>0</v>
      </c>
      <c r="O2025" s="183" t="n">
        <v>0</v>
      </c>
      <c r="P2025" s="183" t="n">
        <v>0</v>
      </c>
      <c r="Q2025" s="184" t="n">
        <v>0</v>
      </c>
      <c r="R2025" s="184" t="n">
        <v>0</v>
      </c>
      <c r="S2025" s="183" t="n">
        <v>0</v>
      </c>
      <c r="T2025" s="183" t="n">
        <v>0</v>
      </c>
      <c r="U2025" s="182" t="n">
        <v>0</v>
      </c>
      <c r="V2025" s="182" t="n">
        <v>0</v>
      </c>
      <c r="W2025" s="182" t="n">
        <v>0</v>
      </c>
      <c r="X2025" s="182" t="n">
        <v>0</v>
      </c>
      <c r="Y2025" s="182" t="n">
        <v>0</v>
      </c>
      <c r="Z2025" s="182" t="n">
        <v>0</v>
      </c>
      <c r="AA2025" s="182" t="n">
        <v>0</v>
      </c>
      <c r="AB2025" s="182" t="n">
        <v>0</v>
      </c>
      <c r="AC2025" s="182" t="n">
        <v>0</v>
      </c>
      <c r="AD2025" s="182" t="n">
        <v>0</v>
      </c>
      <c r="AE2025" s="182" t="n">
        <v>0</v>
      </c>
      <c r="AF2025" s="182" t="n">
        <v>0</v>
      </c>
      <c r="AG2025" s="182" t="n">
        <v>0</v>
      </c>
      <c r="AH2025" s="182" t="n">
        <v>0</v>
      </c>
      <c r="AI2025" s="182" t="n">
        <v>0</v>
      </c>
      <c r="AJ2025" s="182" t="n">
        <v>0</v>
      </c>
      <c r="AK2025" s="182" t="n">
        <v>0</v>
      </c>
      <c r="AL2025" s="182" t="n">
        <v>0</v>
      </c>
      <c r="AM2025" s="182" t="n">
        <v>0</v>
      </c>
      <c r="AN2025" s="182" t="n">
        <v>0</v>
      </c>
    </row>
    <row r="2026">
      <c r="A2026" s="155" t="n">
        <v>46091</v>
      </c>
      <c r="B2026" s="156" t="inlineStr">
        <is>
          <t>DS</t>
        </is>
      </c>
      <c r="C2026" s="156" t="inlineStr">
        <is>
          <t>EX-333</t>
        </is>
      </c>
      <c r="D2026" s="156" t="inlineStr">
        <is>
          <t>PC 300-8MO</t>
        </is>
      </c>
      <c r="E2026" s="156" t="inlineStr">
        <is>
          <t>Excavator</t>
        </is>
      </c>
      <c r="F2026" s="156" t="inlineStr">
        <is>
          <t>Cleaning Coal</t>
        </is>
      </c>
      <c r="G2026" s="182" t="n">
        <v>7.34</v>
      </c>
      <c r="H2026" s="182" t="n">
        <v>0</v>
      </c>
      <c r="I2026" s="182" t="n">
        <v>0.75</v>
      </c>
      <c r="J2026" s="182" t="n">
        <v>0.75</v>
      </c>
      <c r="K2026" s="182" t="n">
        <v>3.91</v>
      </c>
      <c r="L2026" s="182" t="n">
        <v>12</v>
      </c>
      <c r="M2026" s="182" t="n">
        <v>0</v>
      </c>
      <c r="N2026" s="182" t="n">
        <v>0</v>
      </c>
      <c r="O2026" s="183" t="n">
        <v>0</v>
      </c>
      <c r="P2026" s="183" t="n">
        <v>0</v>
      </c>
      <c r="Q2026" s="184" t="n">
        <v>0</v>
      </c>
      <c r="R2026" s="184" t="n">
        <v>0</v>
      </c>
      <c r="S2026" s="183" t="n">
        <v>0</v>
      </c>
      <c r="T2026" s="183" t="n">
        <v>0</v>
      </c>
      <c r="U2026" s="182" t="n">
        <v>1.29</v>
      </c>
      <c r="V2026" s="182" t="n">
        <v>0</v>
      </c>
      <c r="W2026" s="182" t="n">
        <v>0</v>
      </c>
      <c r="X2026" s="182" t="n">
        <v>1.02</v>
      </c>
      <c r="Y2026" s="182" t="n">
        <v>0.51</v>
      </c>
      <c r="Z2026" s="182" t="n">
        <v>0</v>
      </c>
      <c r="AA2026" s="182" t="n">
        <v>0</v>
      </c>
      <c r="AB2026" s="182" t="n">
        <v>1.02</v>
      </c>
      <c r="AC2026" s="182" t="n">
        <v>0</v>
      </c>
      <c r="AD2026" s="182" t="n">
        <v>0</v>
      </c>
      <c r="AE2026" s="182" t="n">
        <v>0</v>
      </c>
      <c r="AF2026" s="182" t="n">
        <v>0</v>
      </c>
      <c r="AG2026" s="182" t="n">
        <v>0</v>
      </c>
      <c r="AH2026" s="182" t="n">
        <v>0</v>
      </c>
      <c r="AI2026" s="182" t="n">
        <v>0</v>
      </c>
      <c r="AJ2026" s="182" t="n">
        <v>0</v>
      </c>
      <c r="AK2026" s="182" t="n">
        <v>0</v>
      </c>
      <c r="AL2026" s="182" t="n">
        <v>0</v>
      </c>
      <c r="AM2026" s="182" t="n">
        <v>0.08</v>
      </c>
      <c r="AN2026" s="182" t="n">
        <v>0</v>
      </c>
    </row>
    <row r="2027">
      <c r="A2027" s="155" t="n">
        <v>46091</v>
      </c>
      <c r="B2027" s="156" t="inlineStr">
        <is>
          <t>DS</t>
        </is>
      </c>
      <c r="C2027" s="156" t="inlineStr">
        <is>
          <t>EX-336</t>
        </is>
      </c>
      <c r="D2027" s="156" t="inlineStr">
        <is>
          <t>PC 300-8MO</t>
        </is>
      </c>
      <c r="E2027" s="156" t="inlineStr">
        <is>
          <t>Excavator</t>
        </is>
      </c>
      <c r="F2027" s="156" t="inlineStr">
        <is>
          <t>Loading Coal &amp; Cleaning Coal</t>
        </is>
      </c>
      <c r="G2027" s="182" t="n">
        <v>10.11</v>
      </c>
      <c r="H2027" s="182" t="n">
        <v>0</v>
      </c>
      <c r="I2027" s="182" t="n">
        <v>0</v>
      </c>
      <c r="J2027" s="182" t="n">
        <v>0</v>
      </c>
      <c r="K2027" s="182" t="n">
        <v>1.89</v>
      </c>
      <c r="L2027" s="182" t="n">
        <v>12</v>
      </c>
      <c r="M2027" s="182" t="n">
        <v>0</v>
      </c>
      <c r="N2027" s="182" t="n">
        <v>1.72</v>
      </c>
      <c r="O2027" s="183" t="n">
        <v>0</v>
      </c>
      <c r="P2027" s="183" t="n">
        <v>11</v>
      </c>
      <c r="Q2027" s="184" t="n">
        <v>0</v>
      </c>
      <c r="R2027" s="184" t="n">
        <v>192.1</v>
      </c>
      <c r="S2027" s="183" t="n">
        <v>0</v>
      </c>
      <c r="T2027" s="183" t="n">
        <v>0</v>
      </c>
      <c r="U2027" s="182" t="n">
        <v>0</v>
      </c>
      <c r="V2027" s="182" t="n">
        <v>0</v>
      </c>
      <c r="W2027" s="182" t="n">
        <v>0</v>
      </c>
      <c r="X2027" s="182" t="n">
        <v>0.47</v>
      </c>
      <c r="Y2027" s="182" t="n">
        <v>0.47</v>
      </c>
      <c r="Z2027" s="182" t="n">
        <v>0</v>
      </c>
      <c r="AA2027" s="182" t="n">
        <v>0</v>
      </c>
      <c r="AB2027" s="182" t="n">
        <v>0.9399999999999999</v>
      </c>
      <c r="AC2027" s="182" t="n">
        <v>0</v>
      </c>
      <c r="AD2027" s="182" t="n">
        <v>0</v>
      </c>
      <c r="AE2027" s="182" t="n">
        <v>0</v>
      </c>
      <c r="AF2027" s="182" t="n">
        <v>0</v>
      </c>
      <c r="AG2027" s="182" t="n">
        <v>0</v>
      </c>
      <c r="AH2027" s="182" t="n">
        <v>0</v>
      </c>
      <c r="AI2027" s="182" t="n">
        <v>0</v>
      </c>
      <c r="AJ2027" s="182" t="n">
        <v>0</v>
      </c>
      <c r="AK2027" s="182" t="n">
        <v>0</v>
      </c>
      <c r="AL2027" s="182" t="n">
        <v>0</v>
      </c>
      <c r="AM2027" s="182" t="n">
        <v>0</v>
      </c>
      <c r="AN2027" s="182" t="n">
        <v>0</v>
      </c>
    </row>
    <row r="2028">
      <c r="A2028" s="155" t="n">
        <v>46091</v>
      </c>
      <c r="B2028" s="156" t="inlineStr">
        <is>
          <t>DS</t>
        </is>
      </c>
      <c r="C2028" s="156" t="inlineStr">
        <is>
          <t>EX-335</t>
        </is>
      </c>
      <c r="D2028" s="156" t="inlineStr">
        <is>
          <t>PC 300-8MO</t>
        </is>
      </c>
      <c r="E2028" s="156" t="inlineStr">
        <is>
          <t>Excavator</t>
        </is>
      </c>
      <c r="F2028" s="156" t="inlineStr"/>
      <c r="G2028" s="182" t="n">
        <v>0</v>
      </c>
      <c r="H2028" s="182" t="n">
        <v>0</v>
      </c>
      <c r="I2028" s="182" t="n">
        <v>12</v>
      </c>
      <c r="J2028" s="182" t="n">
        <v>12</v>
      </c>
      <c r="K2028" s="182" t="n">
        <v>0</v>
      </c>
      <c r="L2028" s="182" t="n">
        <v>12</v>
      </c>
      <c r="M2028" s="182" t="n">
        <v>0</v>
      </c>
      <c r="N2028" s="182" t="n">
        <v>0</v>
      </c>
      <c r="O2028" s="183" t="n">
        <v>0</v>
      </c>
      <c r="P2028" s="183" t="n">
        <v>0</v>
      </c>
      <c r="Q2028" s="184" t="n">
        <v>0</v>
      </c>
      <c r="R2028" s="184" t="n">
        <v>0</v>
      </c>
      <c r="S2028" s="183" t="n">
        <v>0</v>
      </c>
      <c r="T2028" s="183" t="n">
        <v>0</v>
      </c>
      <c r="U2028" s="182" t="n">
        <v>0</v>
      </c>
      <c r="V2028" s="182" t="n">
        <v>0</v>
      </c>
      <c r="W2028" s="182" t="n">
        <v>0</v>
      </c>
      <c r="X2028" s="182" t="n">
        <v>0</v>
      </c>
      <c r="Y2028" s="182" t="n">
        <v>0</v>
      </c>
      <c r="Z2028" s="182" t="n">
        <v>0</v>
      </c>
      <c r="AA2028" s="182" t="n">
        <v>0</v>
      </c>
      <c r="AB2028" s="182" t="n">
        <v>0</v>
      </c>
      <c r="AC2028" s="182" t="n">
        <v>0</v>
      </c>
      <c r="AD2028" s="182" t="n">
        <v>0</v>
      </c>
      <c r="AE2028" s="182" t="n">
        <v>0</v>
      </c>
      <c r="AF2028" s="182" t="n">
        <v>0</v>
      </c>
      <c r="AG2028" s="182" t="n">
        <v>0</v>
      </c>
      <c r="AH2028" s="182" t="n">
        <v>0</v>
      </c>
      <c r="AI2028" s="182" t="n">
        <v>0</v>
      </c>
      <c r="AJ2028" s="182" t="n">
        <v>0</v>
      </c>
      <c r="AK2028" s="182" t="n">
        <v>0</v>
      </c>
      <c r="AL2028" s="182" t="n">
        <v>0</v>
      </c>
      <c r="AM2028" s="182" t="n">
        <v>0</v>
      </c>
      <c r="AN2028" s="182" t="n">
        <v>0</v>
      </c>
    </row>
    <row r="2029">
      <c r="A2029" s="155" t="n">
        <v>46091</v>
      </c>
      <c r="B2029" s="156" t="inlineStr">
        <is>
          <t>DS</t>
        </is>
      </c>
      <c r="C2029" s="156" t="inlineStr">
        <is>
          <t>EX-754</t>
        </is>
      </c>
      <c r="D2029" s="156" t="inlineStr">
        <is>
          <t>SY750H-PRO</t>
        </is>
      </c>
      <c r="E2029" s="156" t="inlineStr">
        <is>
          <t>Excavator</t>
        </is>
      </c>
      <c r="F2029" s="156" t="inlineStr"/>
      <c r="G2029" s="182" t="n">
        <v>0</v>
      </c>
      <c r="H2029" s="182" t="n">
        <v>0</v>
      </c>
      <c r="I2029" s="182" t="n">
        <v>7.83</v>
      </c>
      <c r="J2029" s="182" t="n">
        <v>7.83</v>
      </c>
      <c r="K2029" s="182" t="n">
        <v>4.17</v>
      </c>
      <c r="L2029" s="182" t="n">
        <v>12</v>
      </c>
      <c r="M2029" s="182" t="n">
        <v>0</v>
      </c>
      <c r="N2029" s="182" t="n">
        <v>0</v>
      </c>
      <c r="O2029" s="183" t="n">
        <v>0</v>
      </c>
      <c r="P2029" s="183" t="n">
        <v>0</v>
      </c>
      <c r="Q2029" s="184" t="n">
        <v>0</v>
      </c>
      <c r="R2029" s="184" t="n">
        <v>0</v>
      </c>
      <c r="S2029" s="183" t="n">
        <v>0</v>
      </c>
      <c r="T2029" s="183" t="n">
        <v>0</v>
      </c>
      <c r="U2029" s="182" t="n">
        <v>1.58</v>
      </c>
      <c r="V2029" s="182" t="n">
        <v>0</v>
      </c>
      <c r="W2029" s="182" t="n">
        <v>0</v>
      </c>
      <c r="X2029" s="182" t="n">
        <v>1</v>
      </c>
      <c r="Y2029" s="182" t="n">
        <v>0.5</v>
      </c>
      <c r="Z2029" s="182" t="n">
        <v>0</v>
      </c>
      <c r="AA2029" s="182" t="n">
        <v>0</v>
      </c>
      <c r="AB2029" s="182" t="n">
        <v>1</v>
      </c>
      <c r="AC2029" s="182" t="n">
        <v>0</v>
      </c>
      <c r="AD2029" s="182" t="n">
        <v>0</v>
      </c>
      <c r="AE2029" s="182" t="n">
        <v>0</v>
      </c>
      <c r="AF2029" s="182" t="n">
        <v>0</v>
      </c>
      <c r="AG2029" s="182" t="n">
        <v>0</v>
      </c>
      <c r="AH2029" s="182" t="n">
        <v>0</v>
      </c>
      <c r="AI2029" s="182" t="n">
        <v>0</v>
      </c>
      <c r="AJ2029" s="182" t="n">
        <v>0</v>
      </c>
      <c r="AK2029" s="182" t="n">
        <v>0</v>
      </c>
      <c r="AL2029" s="182" t="n">
        <v>0</v>
      </c>
      <c r="AM2029" s="182" t="n">
        <v>0.08</v>
      </c>
      <c r="AN2029" s="182" t="n">
        <v>0</v>
      </c>
    </row>
    <row r="2030">
      <c r="A2030" s="155" t="n">
        <v>46091</v>
      </c>
      <c r="B2030" s="156" t="inlineStr">
        <is>
          <t>DS</t>
        </is>
      </c>
      <c r="C2030" s="156" t="inlineStr">
        <is>
          <t>EX-755</t>
        </is>
      </c>
      <c r="D2030" s="156" t="inlineStr">
        <is>
          <t>SY750H-PRO</t>
        </is>
      </c>
      <c r="E2030" s="156" t="inlineStr">
        <is>
          <t>Excavator</t>
        </is>
      </c>
      <c r="F2030" s="156" t="inlineStr">
        <is>
          <t>Loading OB</t>
        </is>
      </c>
      <c r="G2030" s="182" t="n">
        <v>4.89</v>
      </c>
      <c r="H2030" s="182" t="n">
        <v>0</v>
      </c>
      <c r="I2030" s="182" t="n">
        <v>0.17</v>
      </c>
      <c r="J2030" s="182" t="n">
        <v>0.17</v>
      </c>
      <c r="K2030" s="182" t="n">
        <v>6.94</v>
      </c>
      <c r="L2030" s="182" t="n">
        <v>12</v>
      </c>
      <c r="M2030" s="182" t="n">
        <v>2.81</v>
      </c>
      <c r="N2030" s="182" t="n">
        <v>0</v>
      </c>
      <c r="O2030" s="183" t="n">
        <v>54</v>
      </c>
      <c r="P2030" s="183" t="n">
        <v>0</v>
      </c>
      <c r="Q2030" s="184" t="n">
        <v>1101.6</v>
      </c>
      <c r="R2030" s="184" t="n">
        <v>0</v>
      </c>
      <c r="S2030" s="183" t="n">
        <v>0</v>
      </c>
      <c r="T2030" s="183" t="n">
        <v>0</v>
      </c>
      <c r="U2030" s="182" t="n">
        <v>2.65</v>
      </c>
      <c r="V2030" s="182" t="n">
        <v>1.64</v>
      </c>
      <c r="W2030" s="182" t="n">
        <v>0</v>
      </c>
      <c r="X2030" s="182" t="n">
        <v>1.03</v>
      </c>
      <c r="Y2030" s="182" t="n">
        <v>0.51</v>
      </c>
      <c r="Z2030" s="182" t="n">
        <v>0</v>
      </c>
      <c r="AA2030" s="182" t="n">
        <v>0</v>
      </c>
      <c r="AB2030" s="182" t="n">
        <v>1.03</v>
      </c>
      <c r="AC2030" s="182" t="n">
        <v>0</v>
      </c>
      <c r="AD2030" s="182" t="n">
        <v>0</v>
      </c>
      <c r="AE2030" s="182" t="n">
        <v>0</v>
      </c>
      <c r="AF2030" s="182" t="n">
        <v>0</v>
      </c>
      <c r="AG2030" s="182" t="n">
        <v>0</v>
      </c>
      <c r="AH2030" s="182" t="n">
        <v>0</v>
      </c>
      <c r="AI2030" s="182" t="n">
        <v>0</v>
      </c>
      <c r="AJ2030" s="182" t="n">
        <v>0</v>
      </c>
      <c r="AK2030" s="182" t="n">
        <v>0</v>
      </c>
      <c r="AL2030" s="182" t="n">
        <v>0</v>
      </c>
      <c r="AM2030" s="182" t="n">
        <v>0.08</v>
      </c>
      <c r="AN2030" s="182" t="n">
        <v>0</v>
      </c>
    </row>
    <row r="2031">
      <c r="A2031" s="155" t="n">
        <v>46091</v>
      </c>
      <c r="B2031" s="156" t="inlineStr">
        <is>
          <t>DS</t>
        </is>
      </c>
      <c r="C2031" s="156" t="inlineStr">
        <is>
          <t>EX-752</t>
        </is>
      </c>
      <c r="D2031" s="156" t="inlineStr">
        <is>
          <t>SY750H-PRO</t>
        </is>
      </c>
      <c r="E2031" s="156" t="inlineStr">
        <is>
          <t>Excavator</t>
        </is>
      </c>
      <c r="F2031" s="156" t="inlineStr"/>
      <c r="G2031" s="182" t="n">
        <v>0</v>
      </c>
      <c r="H2031" s="182" t="n">
        <v>0</v>
      </c>
      <c r="I2031" s="182" t="n">
        <v>12</v>
      </c>
      <c r="J2031" s="182" t="n">
        <v>12</v>
      </c>
      <c r="K2031" s="182" t="n">
        <v>0</v>
      </c>
      <c r="L2031" s="182" t="n">
        <v>12</v>
      </c>
      <c r="M2031" s="182" t="n">
        <v>0</v>
      </c>
      <c r="N2031" s="182" t="n">
        <v>0</v>
      </c>
      <c r="O2031" s="183" t="n">
        <v>0</v>
      </c>
      <c r="P2031" s="183" t="n">
        <v>0</v>
      </c>
      <c r="Q2031" s="184" t="n">
        <v>0</v>
      </c>
      <c r="R2031" s="184" t="n">
        <v>0</v>
      </c>
      <c r="S2031" s="183" t="n">
        <v>0</v>
      </c>
      <c r="T2031" s="183" t="n">
        <v>0</v>
      </c>
      <c r="U2031" s="182" t="n">
        <v>0</v>
      </c>
      <c r="V2031" s="182" t="n">
        <v>0</v>
      </c>
      <c r="W2031" s="182" t="n">
        <v>0</v>
      </c>
      <c r="X2031" s="182" t="n">
        <v>0</v>
      </c>
      <c r="Y2031" s="182" t="n">
        <v>0</v>
      </c>
      <c r="Z2031" s="182" t="n">
        <v>0</v>
      </c>
      <c r="AA2031" s="182" t="n">
        <v>0</v>
      </c>
      <c r="AB2031" s="182" t="n">
        <v>0</v>
      </c>
      <c r="AC2031" s="182" t="n">
        <v>0</v>
      </c>
      <c r="AD2031" s="182" t="n">
        <v>0</v>
      </c>
      <c r="AE2031" s="182" t="n">
        <v>0</v>
      </c>
      <c r="AF2031" s="182" t="n">
        <v>0</v>
      </c>
      <c r="AG2031" s="182" t="n">
        <v>0</v>
      </c>
      <c r="AH2031" s="182" t="n">
        <v>0</v>
      </c>
      <c r="AI2031" s="182" t="n">
        <v>0</v>
      </c>
      <c r="AJ2031" s="182" t="n">
        <v>0</v>
      </c>
      <c r="AK2031" s="182" t="n">
        <v>0</v>
      </c>
      <c r="AL2031" s="182" t="n">
        <v>0</v>
      </c>
      <c r="AM2031" s="182" t="n">
        <v>0</v>
      </c>
      <c r="AN2031" s="182" t="n">
        <v>0</v>
      </c>
    </row>
    <row r="2032">
      <c r="A2032" s="155" t="n">
        <v>46091</v>
      </c>
      <c r="B2032" s="156" t="inlineStr">
        <is>
          <t>DS</t>
        </is>
      </c>
      <c r="C2032" s="156" t="inlineStr">
        <is>
          <t>EX-751</t>
        </is>
      </c>
      <c r="D2032" s="156" t="inlineStr">
        <is>
          <t>SY750H-PRO</t>
        </is>
      </c>
      <c r="E2032" s="156" t="inlineStr">
        <is>
          <t>Excavator</t>
        </is>
      </c>
      <c r="F2032" s="156" t="inlineStr"/>
      <c r="G2032" s="182" t="n">
        <v>0</v>
      </c>
      <c r="H2032" s="182" t="n">
        <v>0</v>
      </c>
      <c r="I2032" s="182" t="n">
        <v>12</v>
      </c>
      <c r="J2032" s="182" t="n">
        <v>12</v>
      </c>
      <c r="K2032" s="182" t="n">
        <v>0</v>
      </c>
      <c r="L2032" s="182" t="n">
        <v>12</v>
      </c>
      <c r="M2032" s="182" t="n">
        <v>0</v>
      </c>
      <c r="N2032" s="182" t="n">
        <v>0</v>
      </c>
      <c r="O2032" s="183" t="n">
        <v>0</v>
      </c>
      <c r="P2032" s="183" t="n">
        <v>0</v>
      </c>
      <c r="Q2032" s="184" t="n">
        <v>0</v>
      </c>
      <c r="R2032" s="184" t="n">
        <v>0</v>
      </c>
      <c r="S2032" s="183" t="n">
        <v>0</v>
      </c>
      <c r="T2032" s="183" t="n">
        <v>0</v>
      </c>
      <c r="U2032" s="182" t="n">
        <v>0</v>
      </c>
      <c r="V2032" s="182" t="n">
        <v>0</v>
      </c>
      <c r="W2032" s="182" t="n">
        <v>0</v>
      </c>
      <c r="X2032" s="182" t="n">
        <v>0</v>
      </c>
      <c r="Y2032" s="182" t="n">
        <v>0</v>
      </c>
      <c r="Z2032" s="182" t="n">
        <v>0</v>
      </c>
      <c r="AA2032" s="182" t="n">
        <v>0</v>
      </c>
      <c r="AB2032" s="182" t="n">
        <v>0</v>
      </c>
      <c r="AC2032" s="182" t="n">
        <v>0</v>
      </c>
      <c r="AD2032" s="182" t="n">
        <v>0</v>
      </c>
      <c r="AE2032" s="182" t="n">
        <v>0</v>
      </c>
      <c r="AF2032" s="182" t="n">
        <v>0</v>
      </c>
      <c r="AG2032" s="182" t="n">
        <v>0</v>
      </c>
      <c r="AH2032" s="182" t="n">
        <v>0</v>
      </c>
      <c r="AI2032" s="182" t="n">
        <v>0</v>
      </c>
      <c r="AJ2032" s="182" t="n">
        <v>0</v>
      </c>
      <c r="AK2032" s="182" t="n">
        <v>0</v>
      </c>
      <c r="AL2032" s="182" t="n">
        <v>0</v>
      </c>
      <c r="AM2032" s="182" t="n">
        <v>0</v>
      </c>
      <c r="AN2032" s="182" t="n">
        <v>0</v>
      </c>
    </row>
    <row r="2033">
      <c r="A2033" s="155" t="n">
        <v>46091</v>
      </c>
      <c r="B2033" s="156" t="inlineStr">
        <is>
          <t>DS</t>
        </is>
      </c>
      <c r="C2033" s="156" t="inlineStr">
        <is>
          <t>EX-753</t>
        </is>
      </c>
      <c r="D2033" s="156" t="inlineStr">
        <is>
          <t>SY750H-PRO</t>
        </is>
      </c>
      <c r="E2033" s="156" t="inlineStr">
        <is>
          <t>Excavator</t>
        </is>
      </c>
      <c r="F2033" s="156" t="inlineStr">
        <is>
          <t>Loading Spoil di WS Baru</t>
        </is>
      </c>
      <c r="G2033" s="182" t="n">
        <v>3.55</v>
      </c>
      <c r="H2033" s="182" t="n">
        <v>0</v>
      </c>
      <c r="I2033" s="182" t="n">
        <v>0</v>
      </c>
      <c r="J2033" s="182" t="n">
        <v>0</v>
      </c>
      <c r="K2033" s="182" t="n">
        <v>8.449999999999999</v>
      </c>
      <c r="L2033" s="182" t="n">
        <v>12</v>
      </c>
      <c r="M2033" s="182" t="n">
        <v>0</v>
      </c>
      <c r="N2033" s="182" t="n">
        <v>0</v>
      </c>
      <c r="O2033" s="183" t="n">
        <v>0</v>
      </c>
      <c r="P2033" s="183" t="n">
        <v>0</v>
      </c>
      <c r="Q2033" s="184" t="n">
        <v>0</v>
      </c>
      <c r="R2033" s="184" t="n">
        <v>0</v>
      </c>
      <c r="S2033" s="183" t="n">
        <v>0</v>
      </c>
      <c r="T2033" s="183" t="n">
        <v>0</v>
      </c>
      <c r="U2033" s="182" t="n">
        <v>2.59</v>
      </c>
      <c r="V2033" s="182" t="n">
        <v>0</v>
      </c>
      <c r="W2033" s="182" t="n">
        <v>0</v>
      </c>
      <c r="X2033" s="182" t="n">
        <v>1.01</v>
      </c>
      <c r="Y2033" s="182" t="n">
        <v>0.5</v>
      </c>
      <c r="Z2033" s="182" t="n">
        <v>0</v>
      </c>
      <c r="AA2033" s="182" t="n">
        <v>0</v>
      </c>
      <c r="AB2033" s="182" t="n">
        <v>1.01</v>
      </c>
      <c r="AC2033" s="182" t="n">
        <v>0</v>
      </c>
      <c r="AD2033" s="182" t="n">
        <v>0</v>
      </c>
      <c r="AE2033" s="182" t="n">
        <v>0</v>
      </c>
      <c r="AF2033" s="182" t="n">
        <v>0</v>
      </c>
      <c r="AG2033" s="182" t="n">
        <v>0</v>
      </c>
      <c r="AH2033" s="182" t="n">
        <v>0</v>
      </c>
      <c r="AI2033" s="182" t="n">
        <v>0</v>
      </c>
      <c r="AJ2033" s="182" t="n">
        <v>0</v>
      </c>
      <c r="AK2033" s="182" t="n">
        <v>3.27</v>
      </c>
      <c r="AL2033" s="182" t="n">
        <v>0</v>
      </c>
      <c r="AM2033" s="182" t="n">
        <v>0.08</v>
      </c>
      <c r="AN2033" s="182" t="n">
        <v>0</v>
      </c>
    </row>
    <row r="2034">
      <c r="A2034" s="155" t="n">
        <v>46091</v>
      </c>
      <c r="B2034" s="156" t="inlineStr">
        <is>
          <t>DS</t>
        </is>
      </c>
      <c r="C2034" s="156" t="inlineStr">
        <is>
          <t>GD-012</t>
        </is>
      </c>
      <c r="D2034" s="156" t="inlineStr">
        <is>
          <t>STG 230C - 8S</t>
        </is>
      </c>
      <c r="E2034" s="156" t="inlineStr">
        <is>
          <t>Grader</t>
        </is>
      </c>
      <c r="F2034" s="156" t="inlineStr"/>
      <c r="G2034" s="182" t="n">
        <v>0</v>
      </c>
      <c r="H2034" s="182" t="n">
        <v>0</v>
      </c>
      <c r="I2034" s="182" t="n">
        <v>0</v>
      </c>
      <c r="J2034" s="182" t="n">
        <v>0</v>
      </c>
      <c r="K2034" s="182" t="n">
        <v>12</v>
      </c>
      <c r="L2034" s="182" t="n">
        <v>12</v>
      </c>
      <c r="M2034" s="182" t="n">
        <v>0</v>
      </c>
      <c r="N2034" s="182" t="n">
        <v>0</v>
      </c>
      <c r="O2034" s="183" t="n">
        <v>0</v>
      </c>
      <c r="P2034" s="183" t="n">
        <v>0</v>
      </c>
      <c r="Q2034" s="184" t="n">
        <v>0</v>
      </c>
      <c r="R2034" s="184" t="n">
        <v>0</v>
      </c>
      <c r="S2034" s="183" t="n">
        <v>0</v>
      </c>
      <c r="T2034" s="183" t="n">
        <v>0</v>
      </c>
      <c r="U2034" s="182" t="n">
        <v>0</v>
      </c>
      <c r="V2034" s="182" t="n">
        <v>0</v>
      </c>
      <c r="W2034" s="182" t="n">
        <v>0</v>
      </c>
      <c r="X2034" s="182" t="n">
        <v>1</v>
      </c>
      <c r="Y2034" s="182" t="n">
        <v>0.5</v>
      </c>
      <c r="Z2034" s="182" t="n">
        <v>0</v>
      </c>
      <c r="AA2034" s="182" t="n">
        <v>0</v>
      </c>
      <c r="AB2034" s="182" t="n">
        <v>1</v>
      </c>
      <c r="AC2034" s="182" t="n">
        <v>0</v>
      </c>
      <c r="AD2034" s="182" t="n">
        <v>0</v>
      </c>
      <c r="AE2034" s="182" t="n">
        <v>0</v>
      </c>
      <c r="AF2034" s="182" t="n">
        <v>0</v>
      </c>
      <c r="AG2034" s="182" t="n">
        <v>0</v>
      </c>
      <c r="AH2034" s="182" t="n">
        <v>0</v>
      </c>
      <c r="AI2034" s="182" t="n">
        <v>0</v>
      </c>
      <c r="AJ2034" s="182" t="n">
        <v>0</v>
      </c>
      <c r="AK2034" s="182" t="n">
        <v>9.42</v>
      </c>
      <c r="AL2034" s="182" t="n">
        <v>0</v>
      </c>
      <c r="AM2034" s="182" t="n">
        <v>0.08</v>
      </c>
      <c r="AN2034" s="182" t="n">
        <v>0</v>
      </c>
    </row>
    <row r="2035">
      <c r="A2035" s="155" t="n">
        <v>46091</v>
      </c>
      <c r="B2035" s="156" t="inlineStr">
        <is>
          <t>DS</t>
        </is>
      </c>
      <c r="C2035" s="156" t="inlineStr">
        <is>
          <t>GD-011</t>
        </is>
      </c>
      <c r="D2035" s="156" t="inlineStr">
        <is>
          <t>STG 230C - 8S</t>
        </is>
      </c>
      <c r="E2035" s="156" t="inlineStr">
        <is>
          <t>Grader</t>
        </is>
      </c>
      <c r="F2035" s="156" t="inlineStr"/>
      <c r="G2035" s="182" t="n">
        <v>0</v>
      </c>
      <c r="H2035" s="182" t="n">
        <v>0</v>
      </c>
      <c r="I2035" s="182" t="n">
        <v>12</v>
      </c>
      <c r="J2035" s="182" t="n">
        <v>12</v>
      </c>
      <c r="K2035" s="182" t="n">
        <v>0</v>
      </c>
      <c r="L2035" s="182" t="n">
        <v>12</v>
      </c>
      <c r="M2035" s="182" t="n">
        <v>0</v>
      </c>
      <c r="N2035" s="182" t="n">
        <v>0</v>
      </c>
      <c r="O2035" s="183" t="n">
        <v>0</v>
      </c>
      <c r="P2035" s="183" t="n">
        <v>0</v>
      </c>
      <c r="Q2035" s="184" t="n">
        <v>0</v>
      </c>
      <c r="R2035" s="184" t="n">
        <v>0</v>
      </c>
      <c r="S2035" s="183" t="n">
        <v>0</v>
      </c>
      <c r="T2035" s="183" t="n">
        <v>0</v>
      </c>
      <c r="U2035" s="182" t="n">
        <v>0</v>
      </c>
      <c r="V2035" s="182" t="n">
        <v>0</v>
      </c>
      <c r="W2035" s="182" t="n">
        <v>0</v>
      </c>
      <c r="X2035" s="182" t="n">
        <v>0</v>
      </c>
      <c r="Y2035" s="182" t="n">
        <v>0</v>
      </c>
      <c r="Z2035" s="182" t="n">
        <v>0</v>
      </c>
      <c r="AA2035" s="182" t="n">
        <v>0</v>
      </c>
      <c r="AB2035" s="182" t="n">
        <v>0</v>
      </c>
      <c r="AC2035" s="182" t="n">
        <v>0</v>
      </c>
      <c r="AD2035" s="182" t="n">
        <v>0</v>
      </c>
      <c r="AE2035" s="182" t="n">
        <v>0</v>
      </c>
      <c r="AF2035" s="182" t="n">
        <v>0</v>
      </c>
      <c r="AG2035" s="182" t="n">
        <v>0</v>
      </c>
      <c r="AH2035" s="182" t="n">
        <v>0</v>
      </c>
      <c r="AI2035" s="182" t="n">
        <v>0</v>
      </c>
      <c r="AJ2035" s="182" t="n">
        <v>0</v>
      </c>
      <c r="AK2035" s="182" t="n">
        <v>0</v>
      </c>
      <c r="AL2035" s="182" t="n">
        <v>0</v>
      </c>
      <c r="AM2035" s="182" t="n">
        <v>0</v>
      </c>
      <c r="AN2035" s="182" t="n">
        <v>0</v>
      </c>
    </row>
    <row r="2036">
      <c r="A2036" s="155" t="n">
        <v>46091</v>
      </c>
      <c r="B2036" s="156" t="inlineStr">
        <is>
          <t>DS</t>
        </is>
      </c>
      <c r="C2036" s="156" t="inlineStr">
        <is>
          <t>GD-013</t>
        </is>
      </c>
      <c r="D2036" s="156" t="inlineStr">
        <is>
          <t>STG 265C - 10</t>
        </is>
      </c>
      <c r="E2036" s="156" t="inlineStr">
        <is>
          <t>Grader</t>
        </is>
      </c>
      <c r="F2036" s="156" t="inlineStr">
        <is>
          <t>Road Maintenance</t>
        </is>
      </c>
      <c r="G2036" s="182" t="n">
        <v>6.55</v>
      </c>
      <c r="H2036" s="182" t="n">
        <v>0</v>
      </c>
      <c r="I2036" s="182" t="n">
        <v>5</v>
      </c>
      <c r="J2036" s="182" t="n">
        <v>5</v>
      </c>
      <c r="K2036" s="182" t="n">
        <v>0.45</v>
      </c>
      <c r="L2036" s="182" t="n">
        <v>12</v>
      </c>
      <c r="M2036" s="182" t="n">
        <v>0</v>
      </c>
      <c r="N2036" s="182" t="n">
        <v>0</v>
      </c>
      <c r="O2036" s="183" t="n">
        <v>0</v>
      </c>
      <c r="P2036" s="183" t="n">
        <v>0</v>
      </c>
      <c r="Q2036" s="184" t="n">
        <v>0</v>
      </c>
      <c r="R2036" s="184" t="n">
        <v>0</v>
      </c>
      <c r="S2036" s="183" t="n">
        <v>0</v>
      </c>
      <c r="T2036" s="183" t="n">
        <v>0</v>
      </c>
      <c r="U2036" s="182" t="n">
        <v>0</v>
      </c>
      <c r="V2036" s="182" t="n">
        <v>0</v>
      </c>
      <c r="W2036" s="182" t="n">
        <v>0</v>
      </c>
      <c r="X2036" s="182" t="n">
        <v>0</v>
      </c>
      <c r="Y2036" s="182" t="n">
        <v>0</v>
      </c>
      <c r="Z2036" s="182" t="n">
        <v>0</v>
      </c>
      <c r="AA2036" s="182" t="n">
        <v>0</v>
      </c>
      <c r="AB2036" s="182" t="n">
        <v>0.45</v>
      </c>
      <c r="AC2036" s="182" t="n">
        <v>0</v>
      </c>
      <c r="AD2036" s="182" t="n">
        <v>0</v>
      </c>
      <c r="AE2036" s="182" t="n">
        <v>0</v>
      </c>
      <c r="AF2036" s="182" t="n">
        <v>0</v>
      </c>
      <c r="AG2036" s="182" t="n">
        <v>0</v>
      </c>
      <c r="AH2036" s="182" t="n">
        <v>0</v>
      </c>
      <c r="AI2036" s="182" t="n">
        <v>0</v>
      </c>
      <c r="AJ2036" s="182" t="n">
        <v>0</v>
      </c>
      <c r="AK2036" s="182" t="n">
        <v>0</v>
      </c>
      <c r="AL2036" s="182" t="n">
        <v>0</v>
      </c>
      <c r="AM2036" s="182" t="n">
        <v>0</v>
      </c>
      <c r="AN2036" s="182" t="n">
        <v>0</v>
      </c>
    </row>
    <row r="2037">
      <c r="A2037" s="155" t="n">
        <v>46091</v>
      </c>
      <c r="B2037" s="156" t="inlineStr">
        <is>
          <t>DS</t>
        </is>
      </c>
      <c r="C2037" s="156" t="inlineStr">
        <is>
          <t>GD-014</t>
        </is>
      </c>
      <c r="D2037" s="156" t="inlineStr">
        <is>
          <t>STG 335C - 10</t>
        </is>
      </c>
      <c r="E2037" s="156" t="inlineStr">
        <is>
          <t>Grader</t>
        </is>
      </c>
      <c r="F2037" s="156" t="inlineStr">
        <is>
          <t>Road Maintenance</t>
        </is>
      </c>
      <c r="G2037" s="182" t="n">
        <v>7.02</v>
      </c>
      <c r="H2037" s="182" t="n">
        <v>0</v>
      </c>
      <c r="I2037" s="182" t="n">
        <v>0</v>
      </c>
      <c r="J2037" s="182" t="n">
        <v>0</v>
      </c>
      <c r="K2037" s="182" t="n">
        <v>4.98</v>
      </c>
      <c r="L2037" s="182" t="n">
        <v>12</v>
      </c>
      <c r="M2037" s="182" t="n">
        <v>0</v>
      </c>
      <c r="N2037" s="182" t="n">
        <v>0</v>
      </c>
      <c r="O2037" s="183" t="n">
        <v>0</v>
      </c>
      <c r="P2037" s="183" t="n">
        <v>0</v>
      </c>
      <c r="Q2037" s="184" t="n">
        <v>0</v>
      </c>
      <c r="R2037" s="184" t="n">
        <v>0</v>
      </c>
      <c r="S2037" s="183" t="n">
        <v>0</v>
      </c>
      <c r="T2037" s="183" t="n">
        <v>0</v>
      </c>
      <c r="U2037" s="182" t="n">
        <v>2.41</v>
      </c>
      <c r="V2037" s="182" t="n">
        <v>0</v>
      </c>
      <c r="W2037" s="182" t="n">
        <v>0</v>
      </c>
      <c r="X2037" s="182" t="n">
        <v>1</v>
      </c>
      <c r="Y2037" s="182" t="n">
        <v>0.5</v>
      </c>
      <c r="Z2037" s="182" t="n">
        <v>0</v>
      </c>
      <c r="AA2037" s="182" t="n">
        <v>0</v>
      </c>
      <c r="AB2037" s="182" t="n">
        <v>1</v>
      </c>
      <c r="AC2037" s="182" t="n">
        <v>0</v>
      </c>
      <c r="AD2037" s="182" t="n">
        <v>0</v>
      </c>
      <c r="AE2037" s="182" t="n">
        <v>0</v>
      </c>
      <c r="AF2037" s="182" t="n">
        <v>0</v>
      </c>
      <c r="AG2037" s="182" t="n">
        <v>0</v>
      </c>
      <c r="AH2037" s="182" t="n">
        <v>0</v>
      </c>
      <c r="AI2037" s="182" t="n">
        <v>0</v>
      </c>
      <c r="AJ2037" s="182" t="n">
        <v>0</v>
      </c>
      <c r="AK2037" s="182" t="n">
        <v>0</v>
      </c>
      <c r="AL2037" s="182" t="n">
        <v>0</v>
      </c>
      <c r="AM2037" s="182" t="n">
        <v>0.08</v>
      </c>
      <c r="AN2037" s="182" t="n">
        <v>0</v>
      </c>
    </row>
    <row r="2038">
      <c r="A2038" s="155" t="n">
        <v>46091</v>
      </c>
      <c r="B2038" s="156" t="inlineStr">
        <is>
          <t>DS</t>
        </is>
      </c>
      <c r="C2038" s="156" t="inlineStr">
        <is>
          <t>DT-809</t>
        </is>
      </c>
      <c r="D2038" s="156" t="inlineStr">
        <is>
          <t>SKT 80S</t>
        </is>
      </c>
      <c r="E2038" s="156" t="inlineStr">
        <is>
          <t>Hauler</t>
        </is>
      </c>
      <c r="F2038" s="156" t="inlineStr"/>
      <c r="G2038" s="182" t="n">
        <v>0</v>
      </c>
      <c r="H2038" s="182" t="n">
        <v>0</v>
      </c>
      <c r="I2038" s="182" t="n">
        <v>12</v>
      </c>
      <c r="J2038" s="182" t="n">
        <v>12</v>
      </c>
      <c r="K2038" s="182" t="n">
        <v>0</v>
      </c>
      <c r="L2038" s="182" t="n">
        <v>12</v>
      </c>
      <c r="M2038" s="182" t="n">
        <v>0</v>
      </c>
      <c r="N2038" s="182" t="n">
        <v>0</v>
      </c>
      <c r="O2038" s="183" t="n">
        <v>0</v>
      </c>
      <c r="P2038" s="183" t="n">
        <v>0</v>
      </c>
      <c r="Q2038" s="184" t="n">
        <v>0</v>
      </c>
      <c r="R2038" s="184" t="n">
        <v>0</v>
      </c>
      <c r="S2038" s="183" t="n">
        <v>0</v>
      </c>
      <c r="T2038" s="183" t="n">
        <v>0</v>
      </c>
      <c r="U2038" s="182" t="n">
        <v>0</v>
      </c>
      <c r="V2038" s="182" t="n">
        <v>0</v>
      </c>
      <c r="W2038" s="182" t="n">
        <v>0</v>
      </c>
      <c r="X2038" s="182" t="n">
        <v>0</v>
      </c>
      <c r="Y2038" s="182" t="n">
        <v>0</v>
      </c>
      <c r="Z2038" s="182" t="n">
        <v>0</v>
      </c>
      <c r="AA2038" s="182" t="n">
        <v>0</v>
      </c>
      <c r="AB2038" s="182" t="n">
        <v>0</v>
      </c>
      <c r="AC2038" s="182" t="n">
        <v>0</v>
      </c>
      <c r="AD2038" s="182" t="n">
        <v>0</v>
      </c>
      <c r="AE2038" s="182" t="n">
        <v>0</v>
      </c>
      <c r="AF2038" s="182" t="n">
        <v>0</v>
      </c>
      <c r="AG2038" s="182" t="n">
        <v>0</v>
      </c>
      <c r="AH2038" s="182" t="n">
        <v>0</v>
      </c>
      <c r="AI2038" s="182" t="n">
        <v>0</v>
      </c>
      <c r="AJ2038" s="182" t="n">
        <v>0</v>
      </c>
      <c r="AK2038" s="182" t="n">
        <v>0</v>
      </c>
      <c r="AL2038" s="182" t="n">
        <v>0</v>
      </c>
      <c r="AM2038" s="182" t="n">
        <v>0</v>
      </c>
      <c r="AN2038" s="182" t="n">
        <v>0</v>
      </c>
    </row>
    <row r="2039">
      <c r="A2039" s="155" t="n">
        <v>46091</v>
      </c>
      <c r="B2039" s="156" t="inlineStr">
        <is>
          <t>DS</t>
        </is>
      </c>
      <c r="C2039" s="156" t="inlineStr">
        <is>
          <t>DT-806</t>
        </is>
      </c>
      <c r="D2039" s="156" t="inlineStr">
        <is>
          <t>SKT 80S</t>
        </is>
      </c>
      <c r="E2039" s="156" t="inlineStr">
        <is>
          <t>Hauler</t>
        </is>
      </c>
      <c r="F2039" s="156" t="inlineStr"/>
      <c r="G2039" s="182" t="n">
        <v>0</v>
      </c>
      <c r="H2039" s="182" t="n">
        <v>0</v>
      </c>
      <c r="I2039" s="182" t="n">
        <v>12</v>
      </c>
      <c r="J2039" s="182" t="n">
        <v>12</v>
      </c>
      <c r="K2039" s="182" t="n">
        <v>0</v>
      </c>
      <c r="L2039" s="182" t="n">
        <v>12</v>
      </c>
      <c r="M2039" s="182" t="n">
        <v>0</v>
      </c>
      <c r="N2039" s="182" t="n">
        <v>0</v>
      </c>
      <c r="O2039" s="183" t="n">
        <v>0</v>
      </c>
      <c r="P2039" s="183" t="n">
        <v>0</v>
      </c>
      <c r="Q2039" s="184" t="n">
        <v>0</v>
      </c>
      <c r="R2039" s="184" t="n">
        <v>0</v>
      </c>
      <c r="S2039" s="183" t="n">
        <v>0</v>
      </c>
      <c r="T2039" s="183" t="n">
        <v>0</v>
      </c>
      <c r="U2039" s="182" t="n">
        <v>0</v>
      </c>
      <c r="V2039" s="182" t="n">
        <v>0</v>
      </c>
      <c r="W2039" s="182" t="n">
        <v>0</v>
      </c>
      <c r="X2039" s="182" t="n">
        <v>0</v>
      </c>
      <c r="Y2039" s="182" t="n">
        <v>0</v>
      </c>
      <c r="Z2039" s="182" t="n">
        <v>0</v>
      </c>
      <c r="AA2039" s="182" t="n">
        <v>0</v>
      </c>
      <c r="AB2039" s="182" t="n">
        <v>0</v>
      </c>
      <c r="AC2039" s="182" t="n">
        <v>0</v>
      </c>
      <c r="AD2039" s="182" t="n">
        <v>0</v>
      </c>
      <c r="AE2039" s="182" t="n">
        <v>0</v>
      </c>
      <c r="AF2039" s="182" t="n">
        <v>0</v>
      </c>
      <c r="AG2039" s="182" t="n">
        <v>0</v>
      </c>
      <c r="AH2039" s="182" t="n">
        <v>0</v>
      </c>
      <c r="AI2039" s="182" t="n">
        <v>0</v>
      </c>
      <c r="AJ2039" s="182" t="n">
        <v>0</v>
      </c>
      <c r="AK2039" s="182" t="n">
        <v>0</v>
      </c>
      <c r="AL2039" s="182" t="n">
        <v>0</v>
      </c>
      <c r="AM2039" s="182" t="n">
        <v>0</v>
      </c>
      <c r="AN2039" s="182" t="n">
        <v>0</v>
      </c>
    </row>
    <row r="2040">
      <c r="A2040" s="155" t="n">
        <v>46091</v>
      </c>
      <c r="B2040" s="156" t="inlineStr">
        <is>
          <t>DS</t>
        </is>
      </c>
      <c r="C2040" s="156" t="inlineStr">
        <is>
          <t>DT-805</t>
        </is>
      </c>
      <c r="D2040" s="156" t="inlineStr">
        <is>
          <t>SKT 80S</t>
        </is>
      </c>
      <c r="E2040" s="156" t="inlineStr">
        <is>
          <t>Hauler</t>
        </is>
      </c>
      <c r="F2040" s="156" t="inlineStr"/>
      <c r="G2040" s="182" t="n">
        <v>0</v>
      </c>
      <c r="H2040" s="182" t="n">
        <v>0</v>
      </c>
      <c r="I2040" s="182" t="n">
        <v>12</v>
      </c>
      <c r="J2040" s="182" t="n">
        <v>12</v>
      </c>
      <c r="K2040" s="182" t="n">
        <v>0</v>
      </c>
      <c r="L2040" s="182" t="n">
        <v>12</v>
      </c>
      <c r="M2040" s="182" t="n">
        <v>0</v>
      </c>
      <c r="N2040" s="182" t="n">
        <v>0</v>
      </c>
      <c r="O2040" s="183" t="n">
        <v>0</v>
      </c>
      <c r="P2040" s="183" t="n">
        <v>0</v>
      </c>
      <c r="Q2040" s="184" t="n">
        <v>0</v>
      </c>
      <c r="R2040" s="184" t="n">
        <v>0</v>
      </c>
      <c r="S2040" s="183" t="n">
        <v>0</v>
      </c>
      <c r="T2040" s="183" t="n">
        <v>0</v>
      </c>
      <c r="U2040" s="182" t="n">
        <v>0</v>
      </c>
      <c r="V2040" s="182" t="n">
        <v>0</v>
      </c>
      <c r="W2040" s="182" t="n">
        <v>0</v>
      </c>
      <c r="X2040" s="182" t="n">
        <v>0</v>
      </c>
      <c r="Y2040" s="182" t="n">
        <v>0</v>
      </c>
      <c r="Z2040" s="182" t="n">
        <v>0</v>
      </c>
      <c r="AA2040" s="182" t="n">
        <v>0</v>
      </c>
      <c r="AB2040" s="182" t="n">
        <v>0</v>
      </c>
      <c r="AC2040" s="182" t="n">
        <v>0</v>
      </c>
      <c r="AD2040" s="182" t="n">
        <v>0</v>
      </c>
      <c r="AE2040" s="182" t="n">
        <v>0</v>
      </c>
      <c r="AF2040" s="182" t="n">
        <v>0</v>
      </c>
      <c r="AG2040" s="182" t="n">
        <v>0</v>
      </c>
      <c r="AH2040" s="182" t="n">
        <v>0</v>
      </c>
      <c r="AI2040" s="182" t="n">
        <v>0</v>
      </c>
      <c r="AJ2040" s="182" t="n">
        <v>0</v>
      </c>
      <c r="AK2040" s="182" t="n">
        <v>0</v>
      </c>
      <c r="AL2040" s="182" t="n">
        <v>0</v>
      </c>
      <c r="AM2040" s="182" t="n">
        <v>0</v>
      </c>
      <c r="AN2040" s="182" t="n">
        <v>0</v>
      </c>
    </row>
    <row r="2041">
      <c r="A2041" s="155" t="n">
        <v>46091</v>
      </c>
      <c r="B2041" s="156" t="inlineStr">
        <is>
          <t>DS</t>
        </is>
      </c>
      <c r="C2041" s="156" t="inlineStr">
        <is>
          <t>DT-801</t>
        </is>
      </c>
      <c r="D2041" s="156" t="inlineStr">
        <is>
          <t>SKT 80S</t>
        </is>
      </c>
      <c r="E2041" s="156" t="inlineStr">
        <is>
          <t>Hauler</t>
        </is>
      </c>
      <c r="F2041" s="156" t="inlineStr"/>
      <c r="G2041" s="182" t="n">
        <v>0</v>
      </c>
      <c r="H2041" s="182" t="n">
        <v>0</v>
      </c>
      <c r="I2041" s="182" t="n">
        <v>12</v>
      </c>
      <c r="J2041" s="182" t="n">
        <v>12</v>
      </c>
      <c r="K2041" s="182" t="n">
        <v>0</v>
      </c>
      <c r="L2041" s="182" t="n">
        <v>12</v>
      </c>
      <c r="M2041" s="182" t="n">
        <v>0</v>
      </c>
      <c r="N2041" s="182" t="n">
        <v>0</v>
      </c>
      <c r="O2041" s="183" t="n">
        <v>0</v>
      </c>
      <c r="P2041" s="183" t="n">
        <v>0</v>
      </c>
      <c r="Q2041" s="184" t="n">
        <v>0</v>
      </c>
      <c r="R2041" s="184" t="n">
        <v>0</v>
      </c>
      <c r="S2041" s="183" t="n">
        <v>0</v>
      </c>
      <c r="T2041" s="183" t="n">
        <v>0</v>
      </c>
      <c r="U2041" s="182" t="n">
        <v>0</v>
      </c>
      <c r="V2041" s="182" t="n">
        <v>0</v>
      </c>
      <c r="W2041" s="182" t="n">
        <v>0</v>
      </c>
      <c r="X2041" s="182" t="n">
        <v>0</v>
      </c>
      <c r="Y2041" s="182" t="n">
        <v>0</v>
      </c>
      <c r="Z2041" s="182" t="n">
        <v>0</v>
      </c>
      <c r="AA2041" s="182" t="n">
        <v>0</v>
      </c>
      <c r="AB2041" s="182" t="n">
        <v>0</v>
      </c>
      <c r="AC2041" s="182" t="n">
        <v>0</v>
      </c>
      <c r="AD2041" s="182" t="n">
        <v>0</v>
      </c>
      <c r="AE2041" s="182" t="n">
        <v>0</v>
      </c>
      <c r="AF2041" s="182" t="n">
        <v>0</v>
      </c>
      <c r="AG2041" s="182" t="n">
        <v>0</v>
      </c>
      <c r="AH2041" s="182" t="n">
        <v>0</v>
      </c>
      <c r="AI2041" s="182" t="n">
        <v>0</v>
      </c>
      <c r="AJ2041" s="182" t="n">
        <v>0</v>
      </c>
      <c r="AK2041" s="182" t="n">
        <v>0</v>
      </c>
      <c r="AL2041" s="182" t="n">
        <v>0</v>
      </c>
      <c r="AM2041" s="182" t="n">
        <v>0</v>
      </c>
      <c r="AN2041" s="182" t="n">
        <v>0</v>
      </c>
    </row>
    <row r="2042">
      <c r="A2042" s="155" t="n">
        <v>46091</v>
      </c>
      <c r="B2042" s="156" t="inlineStr">
        <is>
          <t>DS</t>
        </is>
      </c>
      <c r="C2042" s="156" t="inlineStr">
        <is>
          <t>DT-808</t>
        </is>
      </c>
      <c r="D2042" s="156" t="inlineStr">
        <is>
          <t>SKT 80S</t>
        </is>
      </c>
      <c r="E2042" s="156" t="inlineStr">
        <is>
          <t>Hauler</t>
        </is>
      </c>
      <c r="F2042" s="156" t="inlineStr">
        <is>
          <t>Support Washing Plant</t>
        </is>
      </c>
      <c r="G2042" s="182" t="n">
        <v>2.26</v>
      </c>
      <c r="H2042" s="182" t="n">
        <v>0</v>
      </c>
      <c r="I2042" s="182" t="n">
        <v>0</v>
      </c>
      <c r="J2042" s="182" t="n">
        <v>0</v>
      </c>
      <c r="K2042" s="182" t="n">
        <v>9.74</v>
      </c>
      <c r="L2042" s="182" t="n">
        <v>12</v>
      </c>
      <c r="M2042" s="182" t="n">
        <v>0</v>
      </c>
      <c r="N2042" s="182" t="n">
        <v>0</v>
      </c>
      <c r="O2042" s="183" t="n">
        <v>0</v>
      </c>
      <c r="P2042" s="183" t="n">
        <v>0</v>
      </c>
      <c r="Q2042" s="184" t="n">
        <v>0</v>
      </c>
      <c r="R2042" s="184" t="n">
        <v>0</v>
      </c>
      <c r="S2042" s="183" t="n">
        <v>0</v>
      </c>
      <c r="T2042" s="183" t="n">
        <v>0</v>
      </c>
      <c r="U2042" s="182" t="n">
        <v>2.69</v>
      </c>
      <c r="V2042" s="182" t="n">
        <v>0</v>
      </c>
      <c r="W2042" s="182" t="n">
        <v>0</v>
      </c>
      <c r="X2042" s="182" t="n">
        <v>1.05</v>
      </c>
      <c r="Y2042" s="182" t="n">
        <v>0.52</v>
      </c>
      <c r="Z2042" s="182" t="n">
        <v>0</v>
      </c>
      <c r="AA2042" s="182" t="n">
        <v>0</v>
      </c>
      <c r="AB2042" s="182" t="n">
        <v>1.05</v>
      </c>
      <c r="AC2042" s="182" t="n">
        <v>0</v>
      </c>
      <c r="AD2042" s="182" t="n">
        <v>0</v>
      </c>
      <c r="AE2042" s="182" t="n">
        <v>0</v>
      </c>
      <c r="AF2042" s="182" t="n">
        <v>0</v>
      </c>
      <c r="AG2042" s="182" t="n">
        <v>0</v>
      </c>
      <c r="AH2042" s="182" t="n">
        <v>0</v>
      </c>
      <c r="AI2042" s="182" t="n">
        <v>0</v>
      </c>
      <c r="AJ2042" s="182" t="n">
        <v>0</v>
      </c>
      <c r="AK2042" s="182" t="n">
        <v>4.35</v>
      </c>
      <c r="AL2042" s="182" t="n">
        <v>0</v>
      </c>
      <c r="AM2042" s="182" t="n">
        <v>0.08</v>
      </c>
      <c r="AN2042" s="182" t="n">
        <v>0</v>
      </c>
    </row>
    <row r="2043">
      <c r="A2043" s="155" t="n">
        <v>46091</v>
      </c>
      <c r="B2043" s="156" t="inlineStr">
        <is>
          <t>DS</t>
        </is>
      </c>
      <c r="C2043" s="156" t="inlineStr">
        <is>
          <t>DT-811</t>
        </is>
      </c>
      <c r="D2043" s="156" t="inlineStr">
        <is>
          <t>SKT 80S</t>
        </is>
      </c>
      <c r="E2043" s="156" t="inlineStr">
        <is>
          <t>Hauler</t>
        </is>
      </c>
      <c r="F2043" s="156" t="inlineStr">
        <is>
          <t>Hauling Coal</t>
        </is>
      </c>
      <c r="G2043" s="182" t="n">
        <v>2.19</v>
      </c>
      <c r="H2043" s="182" t="n">
        <v>0</v>
      </c>
      <c r="I2043" s="182" t="n">
        <v>0</v>
      </c>
      <c r="J2043" s="182" t="n">
        <v>0</v>
      </c>
      <c r="K2043" s="182" t="n">
        <v>9.81</v>
      </c>
      <c r="L2043" s="182" t="n">
        <v>12</v>
      </c>
      <c r="M2043" s="182" t="n">
        <v>0</v>
      </c>
      <c r="N2043" s="182" t="n">
        <v>2.19</v>
      </c>
      <c r="O2043" s="183" t="n">
        <v>0</v>
      </c>
      <c r="P2043" s="183" t="n">
        <v>2</v>
      </c>
      <c r="Q2043" s="184" t="n">
        <v>0</v>
      </c>
      <c r="R2043" s="184" t="n">
        <v>30.6</v>
      </c>
      <c r="S2043" s="183" t="n">
        <v>0</v>
      </c>
      <c r="T2043" s="183" t="n">
        <v>0</v>
      </c>
      <c r="U2043" s="182" t="n">
        <v>2.55</v>
      </c>
      <c r="V2043" s="182" t="n">
        <v>2.97</v>
      </c>
      <c r="W2043" s="182" t="n">
        <v>0</v>
      </c>
      <c r="X2043" s="182" t="n">
        <v>0.99</v>
      </c>
      <c r="Y2043" s="182" t="n">
        <v>0.5</v>
      </c>
      <c r="Z2043" s="182" t="n">
        <v>0</v>
      </c>
      <c r="AA2043" s="182" t="n">
        <v>0</v>
      </c>
      <c r="AB2043" s="182" t="n">
        <v>0.99</v>
      </c>
      <c r="AC2043" s="182" t="n">
        <v>0</v>
      </c>
      <c r="AD2043" s="182" t="n">
        <v>0</v>
      </c>
      <c r="AE2043" s="182" t="n">
        <v>0</v>
      </c>
      <c r="AF2043" s="182" t="n">
        <v>0</v>
      </c>
      <c r="AG2043" s="182" t="n">
        <v>0</v>
      </c>
      <c r="AH2043" s="182" t="n">
        <v>0</v>
      </c>
      <c r="AI2043" s="182" t="n">
        <v>0</v>
      </c>
      <c r="AJ2043" s="182" t="n">
        <v>0</v>
      </c>
      <c r="AK2043" s="182" t="n">
        <v>1.73</v>
      </c>
      <c r="AL2043" s="182" t="n">
        <v>0</v>
      </c>
      <c r="AM2043" s="182" t="n">
        <v>0.08</v>
      </c>
      <c r="AN2043" s="182" t="n">
        <v>0</v>
      </c>
    </row>
    <row r="2044">
      <c r="A2044" s="155" t="n">
        <v>46091</v>
      </c>
      <c r="B2044" s="156" t="inlineStr">
        <is>
          <t>DS</t>
        </is>
      </c>
      <c r="C2044" s="156" t="inlineStr">
        <is>
          <t>DT-802</t>
        </is>
      </c>
      <c r="D2044" s="156" t="inlineStr">
        <is>
          <t>SKT 80S</t>
        </is>
      </c>
      <c r="E2044" s="156" t="inlineStr">
        <is>
          <t>Hauler</t>
        </is>
      </c>
      <c r="F2044" s="156" t="inlineStr"/>
      <c r="G2044" s="182" t="n">
        <v>0</v>
      </c>
      <c r="H2044" s="182" t="n">
        <v>0</v>
      </c>
      <c r="I2044" s="182" t="n">
        <v>0</v>
      </c>
      <c r="J2044" s="182" t="n">
        <v>0</v>
      </c>
      <c r="K2044" s="182" t="n">
        <v>12</v>
      </c>
      <c r="L2044" s="182" t="n">
        <v>12</v>
      </c>
      <c r="M2044" s="182" t="n">
        <v>0</v>
      </c>
      <c r="N2044" s="182" t="n">
        <v>0</v>
      </c>
      <c r="O2044" s="183" t="n">
        <v>0</v>
      </c>
      <c r="P2044" s="183" t="n">
        <v>0</v>
      </c>
      <c r="Q2044" s="184" t="n">
        <v>0</v>
      </c>
      <c r="R2044" s="184" t="n">
        <v>0</v>
      </c>
      <c r="S2044" s="183" t="n">
        <v>0</v>
      </c>
      <c r="T2044" s="183" t="n">
        <v>0</v>
      </c>
      <c r="U2044" s="182" t="n">
        <v>0</v>
      </c>
      <c r="V2044" s="182" t="n">
        <v>0</v>
      </c>
      <c r="W2044" s="182" t="n">
        <v>0</v>
      </c>
      <c r="X2044" s="182" t="n">
        <v>1</v>
      </c>
      <c r="Y2044" s="182" t="n">
        <v>0.5</v>
      </c>
      <c r="Z2044" s="182" t="n">
        <v>0</v>
      </c>
      <c r="AA2044" s="182" t="n">
        <v>0</v>
      </c>
      <c r="AB2044" s="182" t="n">
        <v>1</v>
      </c>
      <c r="AC2044" s="182" t="n">
        <v>0</v>
      </c>
      <c r="AD2044" s="182" t="n">
        <v>0</v>
      </c>
      <c r="AE2044" s="182" t="n">
        <v>0</v>
      </c>
      <c r="AF2044" s="182" t="n">
        <v>0</v>
      </c>
      <c r="AG2044" s="182" t="n">
        <v>0</v>
      </c>
      <c r="AH2044" s="182" t="n">
        <v>0</v>
      </c>
      <c r="AI2044" s="182" t="n">
        <v>0</v>
      </c>
      <c r="AJ2044" s="182" t="n">
        <v>0</v>
      </c>
      <c r="AK2044" s="182" t="n">
        <v>9.42</v>
      </c>
      <c r="AL2044" s="182" t="n">
        <v>0</v>
      </c>
      <c r="AM2044" s="182" t="n">
        <v>0.08</v>
      </c>
      <c r="AN2044" s="182" t="n">
        <v>0</v>
      </c>
    </row>
    <row r="2045">
      <c r="A2045" s="155" t="n">
        <v>46091</v>
      </c>
      <c r="B2045" s="156" t="inlineStr">
        <is>
          <t>DS</t>
        </is>
      </c>
      <c r="C2045" s="156" t="inlineStr">
        <is>
          <t>DT-807</t>
        </is>
      </c>
      <c r="D2045" s="156" t="inlineStr">
        <is>
          <t>SKT 80S</t>
        </is>
      </c>
      <c r="E2045" s="156" t="inlineStr">
        <is>
          <t>Hauler</t>
        </is>
      </c>
      <c r="F2045" s="156" t="inlineStr"/>
      <c r="G2045" s="182" t="n">
        <v>0</v>
      </c>
      <c r="H2045" s="182" t="n">
        <v>0</v>
      </c>
      <c r="I2045" s="182" t="n">
        <v>12</v>
      </c>
      <c r="J2045" s="182" t="n">
        <v>12</v>
      </c>
      <c r="K2045" s="182" t="n">
        <v>0</v>
      </c>
      <c r="L2045" s="182" t="n">
        <v>12</v>
      </c>
      <c r="M2045" s="182" t="n">
        <v>0</v>
      </c>
      <c r="N2045" s="182" t="n">
        <v>0</v>
      </c>
      <c r="O2045" s="183" t="n">
        <v>0</v>
      </c>
      <c r="P2045" s="183" t="n">
        <v>0</v>
      </c>
      <c r="Q2045" s="184" t="n">
        <v>0</v>
      </c>
      <c r="R2045" s="184" t="n">
        <v>0</v>
      </c>
      <c r="S2045" s="183" t="n">
        <v>0</v>
      </c>
      <c r="T2045" s="183" t="n">
        <v>0</v>
      </c>
      <c r="U2045" s="182" t="n">
        <v>0</v>
      </c>
      <c r="V2045" s="182" t="n">
        <v>0</v>
      </c>
      <c r="W2045" s="182" t="n">
        <v>0</v>
      </c>
      <c r="X2045" s="182" t="n">
        <v>0</v>
      </c>
      <c r="Y2045" s="182" t="n">
        <v>0</v>
      </c>
      <c r="Z2045" s="182" t="n">
        <v>0</v>
      </c>
      <c r="AA2045" s="182" t="n">
        <v>0</v>
      </c>
      <c r="AB2045" s="182" t="n">
        <v>0</v>
      </c>
      <c r="AC2045" s="182" t="n">
        <v>0</v>
      </c>
      <c r="AD2045" s="182" t="n">
        <v>0</v>
      </c>
      <c r="AE2045" s="182" t="n">
        <v>0</v>
      </c>
      <c r="AF2045" s="182" t="n">
        <v>0</v>
      </c>
      <c r="AG2045" s="182" t="n">
        <v>0</v>
      </c>
      <c r="AH2045" s="182" t="n">
        <v>0</v>
      </c>
      <c r="AI2045" s="182" t="n">
        <v>0</v>
      </c>
      <c r="AJ2045" s="182" t="n">
        <v>0</v>
      </c>
      <c r="AK2045" s="182" t="n">
        <v>0</v>
      </c>
      <c r="AL2045" s="182" t="n">
        <v>0</v>
      </c>
      <c r="AM2045" s="182" t="n">
        <v>0</v>
      </c>
      <c r="AN2045" s="182" t="n">
        <v>0</v>
      </c>
    </row>
    <row r="2046">
      <c r="A2046" s="155" t="n">
        <v>46091</v>
      </c>
      <c r="B2046" s="156" t="inlineStr">
        <is>
          <t>DS</t>
        </is>
      </c>
      <c r="C2046" s="156" t="inlineStr">
        <is>
          <t>DT-812</t>
        </is>
      </c>
      <c r="D2046" s="156" t="inlineStr">
        <is>
          <t>SKT 80S</t>
        </is>
      </c>
      <c r="E2046" s="156" t="inlineStr">
        <is>
          <t>Hauler</t>
        </is>
      </c>
      <c r="F2046" s="156" t="inlineStr"/>
      <c r="G2046" s="182" t="n">
        <v>0</v>
      </c>
      <c r="H2046" s="182" t="n">
        <v>0</v>
      </c>
      <c r="I2046" s="182" t="n">
        <v>0</v>
      </c>
      <c r="J2046" s="182" t="n">
        <v>0</v>
      </c>
      <c r="K2046" s="182" t="n">
        <v>12</v>
      </c>
      <c r="L2046" s="182" t="n">
        <v>12</v>
      </c>
      <c r="M2046" s="182" t="n">
        <v>0</v>
      </c>
      <c r="N2046" s="182" t="n">
        <v>0</v>
      </c>
      <c r="O2046" s="183" t="n">
        <v>0</v>
      </c>
      <c r="P2046" s="183" t="n">
        <v>0</v>
      </c>
      <c r="Q2046" s="184" t="n">
        <v>0</v>
      </c>
      <c r="R2046" s="184" t="n">
        <v>0</v>
      </c>
      <c r="S2046" s="183" t="n">
        <v>0</v>
      </c>
      <c r="T2046" s="183" t="n">
        <v>0</v>
      </c>
      <c r="U2046" s="182" t="n">
        <v>0</v>
      </c>
      <c r="V2046" s="182" t="n">
        <v>0</v>
      </c>
      <c r="W2046" s="182" t="n">
        <v>0</v>
      </c>
      <c r="X2046" s="182" t="n">
        <v>1</v>
      </c>
      <c r="Y2046" s="182" t="n">
        <v>0.5</v>
      </c>
      <c r="Z2046" s="182" t="n">
        <v>0</v>
      </c>
      <c r="AA2046" s="182" t="n">
        <v>0</v>
      </c>
      <c r="AB2046" s="182" t="n">
        <v>1</v>
      </c>
      <c r="AC2046" s="182" t="n">
        <v>0</v>
      </c>
      <c r="AD2046" s="182" t="n">
        <v>0</v>
      </c>
      <c r="AE2046" s="182" t="n">
        <v>0</v>
      </c>
      <c r="AF2046" s="182" t="n">
        <v>0</v>
      </c>
      <c r="AG2046" s="182" t="n">
        <v>0</v>
      </c>
      <c r="AH2046" s="182" t="n">
        <v>0</v>
      </c>
      <c r="AI2046" s="182" t="n">
        <v>0</v>
      </c>
      <c r="AJ2046" s="182" t="n">
        <v>0</v>
      </c>
      <c r="AK2046" s="182" t="n">
        <v>9.42</v>
      </c>
      <c r="AL2046" s="182" t="n">
        <v>0</v>
      </c>
      <c r="AM2046" s="182" t="n">
        <v>0.08</v>
      </c>
      <c r="AN2046" s="182" t="n">
        <v>0</v>
      </c>
    </row>
    <row r="2047">
      <c r="A2047" s="155" t="n">
        <v>46091</v>
      </c>
      <c r="B2047" s="156" t="inlineStr">
        <is>
          <t>DS</t>
        </is>
      </c>
      <c r="C2047" s="156" t="inlineStr">
        <is>
          <t>DT-803</t>
        </is>
      </c>
      <c r="D2047" s="156" t="inlineStr">
        <is>
          <t>SKT 80S</t>
        </is>
      </c>
      <c r="E2047" s="156" t="inlineStr">
        <is>
          <t>Hauler</t>
        </is>
      </c>
      <c r="F2047" s="156" t="inlineStr"/>
      <c r="G2047" s="182" t="n">
        <v>0</v>
      </c>
      <c r="H2047" s="182" t="n">
        <v>0</v>
      </c>
      <c r="I2047" s="182" t="n">
        <v>0</v>
      </c>
      <c r="J2047" s="182" t="n">
        <v>0</v>
      </c>
      <c r="K2047" s="182" t="n">
        <v>12</v>
      </c>
      <c r="L2047" s="182" t="n">
        <v>12</v>
      </c>
      <c r="M2047" s="182" t="n">
        <v>0</v>
      </c>
      <c r="N2047" s="182" t="n">
        <v>0</v>
      </c>
      <c r="O2047" s="183" t="n">
        <v>0</v>
      </c>
      <c r="P2047" s="183" t="n">
        <v>0</v>
      </c>
      <c r="Q2047" s="184" t="n">
        <v>0</v>
      </c>
      <c r="R2047" s="184" t="n">
        <v>0</v>
      </c>
      <c r="S2047" s="183" t="n">
        <v>0</v>
      </c>
      <c r="T2047" s="183" t="n">
        <v>0</v>
      </c>
      <c r="U2047" s="182" t="n">
        <v>0</v>
      </c>
      <c r="V2047" s="182" t="n">
        <v>0</v>
      </c>
      <c r="W2047" s="182" t="n">
        <v>0</v>
      </c>
      <c r="X2047" s="182" t="n">
        <v>1</v>
      </c>
      <c r="Y2047" s="182" t="n">
        <v>0.5</v>
      </c>
      <c r="Z2047" s="182" t="n">
        <v>0</v>
      </c>
      <c r="AA2047" s="182" t="n">
        <v>0</v>
      </c>
      <c r="AB2047" s="182" t="n">
        <v>1</v>
      </c>
      <c r="AC2047" s="182" t="n">
        <v>0</v>
      </c>
      <c r="AD2047" s="182" t="n">
        <v>0</v>
      </c>
      <c r="AE2047" s="182" t="n">
        <v>0</v>
      </c>
      <c r="AF2047" s="182" t="n">
        <v>0</v>
      </c>
      <c r="AG2047" s="182" t="n">
        <v>0</v>
      </c>
      <c r="AH2047" s="182" t="n">
        <v>0</v>
      </c>
      <c r="AI2047" s="182" t="n">
        <v>0</v>
      </c>
      <c r="AJ2047" s="182" t="n">
        <v>0</v>
      </c>
      <c r="AK2047" s="182" t="n">
        <v>9.42</v>
      </c>
      <c r="AL2047" s="182" t="n">
        <v>0</v>
      </c>
      <c r="AM2047" s="182" t="n">
        <v>0.08</v>
      </c>
      <c r="AN2047" s="182" t="n">
        <v>0</v>
      </c>
    </row>
    <row r="2048">
      <c r="A2048" s="155" t="n">
        <v>46091</v>
      </c>
      <c r="B2048" s="156" t="inlineStr">
        <is>
          <t>DS</t>
        </is>
      </c>
      <c r="C2048" s="156" t="inlineStr">
        <is>
          <t>DT-810</t>
        </is>
      </c>
      <c r="D2048" s="156" t="inlineStr">
        <is>
          <t>SKT 80S</t>
        </is>
      </c>
      <c r="E2048" s="156" t="inlineStr">
        <is>
          <t>Hauler</t>
        </is>
      </c>
      <c r="F2048" s="156" t="inlineStr">
        <is>
          <t>Hauling Coal</t>
        </is>
      </c>
      <c r="G2048" s="182" t="n">
        <v>1.85</v>
      </c>
      <c r="H2048" s="182" t="n">
        <v>0</v>
      </c>
      <c r="I2048" s="182" t="n">
        <v>0</v>
      </c>
      <c r="J2048" s="182" t="n">
        <v>0</v>
      </c>
      <c r="K2048" s="182" t="n">
        <v>10.15</v>
      </c>
      <c r="L2048" s="182" t="n">
        <v>12</v>
      </c>
      <c r="M2048" s="182" t="n">
        <v>0</v>
      </c>
      <c r="N2048" s="182" t="n">
        <v>1.85</v>
      </c>
      <c r="O2048" s="183" t="n">
        <v>0</v>
      </c>
      <c r="P2048" s="183" t="n">
        <v>2</v>
      </c>
      <c r="Q2048" s="184" t="n">
        <v>0</v>
      </c>
      <c r="R2048" s="184" t="n">
        <v>30.6</v>
      </c>
      <c r="S2048" s="183" t="n">
        <v>0</v>
      </c>
      <c r="T2048" s="183" t="n">
        <v>0</v>
      </c>
      <c r="U2048" s="182" t="n">
        <v>2.46</v>
      </c>
      <c r="V2048" s="182" t="n">
        <v>2.87</v>
      </c>
      <c r="W2048" s="182" t="n">
        <v>0</v>
      </c>
      <c r="X2048" s="182" t="n">
        <v>0.96</v>
      </c>
      <c r="Y2048" s="182" t="n">
        <v>0.48</v>
      </c>
      <c r="Z2048" s="182" t="n">
        <v>0</v>
      </c>
      <c r="AA2048" s="182" t="n">
        <v>0</v>
      </c>
      <c r="AB2048" s="182" t="n">
        <v>0.96</v>
      </c>
      <c r="AC2048" s="182" t="n">
        <v>0</v>
      </c>
      <c r="AD2048" s="182" t="n">
        <v>0</v>
      </c>
      <c r="AE2048" s="182" t="n">
        <v>0</v>
      </c>
      <c r="AF2048" s="182" t="n">
        <v>0</v>
      </c>
      <c r="AG2048" s="182" t="n">
        <v>0</v>
      </c>
      <c r="AH2048" s="182" t="n">
        <v>0</v>
      </c>
      <c r="AI2048" s="182" t="n">
        <v>0</v>
      </c>
      <c r="AJ2048" s="182" t="n">
        <v>0</v>
      </c>
      <c r="AK2048" s="182" t="n">
        <v>2.35</v>
      </c>
      <c r="AL2048" s="182" t="n">
        <v>0</v>
      </c>
      <c r="AM2048" s="182" t="n">
        <v>0.08</v>
      </c>
      <c r="AN2048" s="182" t="n">
        <v>0</v>
      </c>
    </row>
    <row r="2049">
      <c r="A2049" s="155" t="n">
        <v>46091</v>
      </c>
      <c r="B2049" s="156" t="inlineStr">
        <is>
          <t>DS</t>
        </is>
      </c>
      <c r="C2049" s="156" t="inlineStr">
        <is>
          <t>DT-804</t>
        </is>
      </c>
      <c r="D2049" s="156" t="inlineStr">
        <is>
          <t>SKT 80S</t>
        </is>
      </c>
      <c r="E2049" s="156" t="inlineStr">
        <is>
          <t>Hauler</t>
        </is>
      </c>
      <c r="F2049" s="156" t="inlineStr">
        <is>
          <t>Support Washing Plant</t>
        </is>
      </c>
      <c r="G2049" s="182" t="n">
        <v>2.44</v>
      </c>
      <c r="H2049" s="182" t="n">
        <v>0</v>
      </c>
      <c r="I2049" s="182" t="n">
        <v>0</v>
      </c>
      <c r="J2049" s="182" t="n">
        <v>0</v>
      </c>
      <c r="K2049" s="182" t="n">
        <v>9.56</v>
      </c>
      <c r="L2049" s="182" t="n">
        <v>12</v>
      </c>
      <c r="M2049" s="182" t="n">
        <v>0</v>
      </c>
      <c r="N2049" s="182" t="n">
        <v>0</v>
      </c>
      <c r="O2049" s="183" t="n">
        <v>0</v>
      </c>
      <c r="P2049" s="183" t="n">
        <v>0</v>
      </c>
      <c r="Q2049" s="184" t="n">
        <v>0</v>
      </c>
      <c r="R2049" s="184" t="n">
        <v>0</v>
      </c>
      <c r="S2049" s="183" t="n">
        <v>0</v>
      </c>
      <c r="T2049" s="183" t="n">
        <v>0</v>
      </c>
      <c r="U2049" s="182" t="n">
        <v>2.59</v>
      </c>
      <c r="V2049" s="182" t="n">
        <v>0</v>
      </c>
      <c r="W2049" s="182" t="n">
        <v>0</v>
      </c>
      <c r="X2049" s="182" t="n">
        <v>1.01</v>
      </c>
      <c r="Y2049" s="182" t="n">
        <v>0.5</v>
      </c>
      <c r="Z2049" s="182" t="n">
        <v>0</v>
      </c>
      <c r="AA2049" s="182" t="n">
        <v>0</v>
      </c>
      <c r="AB2049" s="182" t="n">
        <v>1.01</v>
      </c>
      <c r="AC2049" s="182" t="n">
        <v>0</v>
      </c>
      <c r="AD2049" s="182" t="n">
        <v>0</v>
      </c>
      <c r="AE2049" s="182" t="n">
        <v>0</v>
      </c>
      <c r="AF2049" s="182" t="n">
        <v>0</v>
      </c>
      <c r="AG2049" s="182" t="n">
        <v>0</v>
      </c>
      <c r="AH2049" s="182" t="n">
        <v>0</v>
      </c>
      <c r="AI2049" s="182" t="n">
        <v>0</v>
      </c>
      <c r="AJ2049" s="182" t="n">
        <v>0</v>
      </c>
      <c r="AK2049" s="182" t="n">
        <v>4.38</v>
      </c>
      <c r="AL2049" s="182" t="n">
        <v>0</v>
      </c>
      <c r="AM2049" s="182" t="n">
        <v>0.08</v>
      </c>
      <c r="AN2049" s="182" t="n">
        <v>0</v>
      </c>
    </row>
    <row r="2050">
      <c r="A2050" s="155" t="n">
        <v>46091</v>
      </c>
      <c r="B2050" s="156" t="inlineStr">
        <is>
          <t>DS</t>
        </is>
      </c>
      <c r="C2050" s="156" t="inlineStr">
        <is>
          <t>DT-505</t>
        </is>
      </c>
      <c r="D2050" s="156" t="inlineStr">
        <is>
          <t>SKT 105S</t>
        </is>
      </c>
      <c r="E2050" s="156" t="inlineStr">
        <is>
          <t>Hauler</t>
        </is>
      </c>
      <c r="F2050" s="156" t="inlineStr">
        <is>
          <t>Hauling OB</t>
        </is>
      </c>
      <c r="G2050" s="182" t="n">
        <v>2.7</v>
      </c>
      <c r="H2050" s="182" t="n">
        <v>0</v>
      </c>
      <c r="I2050" s="182" t="n">
        <v>9.300000000000001</v>
      </c>
      <c r="J2050" s="182" t="n">
        <v>9.300000000000001</v>
      </c>
      <c r="K2050" s="182" t="n">
        <v>0</v>
      </c>
      <c r="L2050" s="182" t="n">
        <v>12</v>
      </c>
      <c r="M2050" s="182" t="n">
        <v>2.7</v>
      </c>
      <c r="N2050" s="182" t="n">
        <v>0</v>
      </c>
      <c r="O2050" s="183" t="n">
        <v>10</v>
      </c>
      <c r="P2050" s="183" t="n">
        <v>0</v>
      </c>
      <c r="Q2050" s="184" t="n">
        <v>204</v>
      </c>
      <c r="R2050" s="184" t="n">
        <v>0</v>
      </c>
      <c r="S2050" s="183" t="n">
        <v>0</v>
      </c>
      <c r="T2050" s="183" t="n">
        <v>0</v>
      </c>
      <c r="U2050" s="182" t="n">
        <v>0</v>
      </c>
      <c r="V2050" s="182" t="n">
        <v>0</v>
      </c>
      <c r="W2050" s="182" t="n">
        <v>0</v>
      </c>
      <c r="X2050" s="182" t="n">
        <v>0</v>
      </c>
      <c r="Y2050" s="182" t="n">
        <v>0</v>
      </c>
      <c r="Z2050" s="182" t="n">
        <v>0</v>
      </c>
      <c r="AA2050" s="182" t="n">
        <v>0</v>
      </c>
      <c r="AB2050" s="182" t="n">
        <v>0</v>
      </c>
      <c r="AC2050" s="182" t="n">
        <v>0</v>
      </c>
      <c r="AD2050" s="182" t="n">
        <v>0</v>
      </c>
      <c r="AE2050" s="182" t="n">
        <v>0</v>
      </c>
      <c r="AF2050" s="182" t="n">
        <v>0</v>
      </c>
      <c r="AG2050" s="182" t="n">
        <v>0</v>
      </c>
      <c r="AH2050" s="182" t="n">
        <v>0</v>
      </c>
      <c r="AI2050" s="182" t="n">
        <v>0</v>
      </c>
      <c r="AJ2050" s="182" t="n">
        <v>0</v>
      </c>
      <c r="AK2050" s="182" t="n">
        <v>0</v>
      </c>
      <c r="AL2050" s="182" t="n">
        <v>0</v>
      </c>
      <c r="AM2050" s="182" t="n">
        <v>0</v>
      </c>
      <c r="AN2050" s="182" t="n">
        <v>0</v>
      </c>
    </row>
    <row r="2051">
      <c r="A2051" s="155" t="n">
        <v>46091</v>
      </c>
      <c r="B2051" s="156" t="inlineStr">
        <is>
          <t>DS</t>
        </is>
      </c>
      <c r="C2051" s="156" t="inlineStr">
        <is>
          <t>DT-530</t>
        </is>
      </c>
      <c r="D2051" s="156" t="inlineStr">
        <is>
          <t>SKT 105S</t>
        </is>
      </c>
      <c r="E2051" s="156" t="inlineStr">
        <is>
          <t>Hauler</t>
        </is>
      </c>
      <c r="F2051" s="156" t="inlineStr"/>
      <c r="G2051" s="182" t="n">
        <v>0</v>
      </c>
      <c r="H2051" s="182" t="n">
        <v>0</v>
      </c>
      <c r="I2051" s="182" t="n">
        <v>12</v>
      </c>
      <c r="J2051" s="182" t="n">
        <v>12</v>
      </c>
      <c r="K2051" s="182" t="n">
        <v>0</v>
      </c>
      <c r="L2051" s="182" t="n">
        <v>12</v>
      </c>
      <c r="M2051" s="182" t="n">
        <v>0</v>
      </c>
      <c r="N2051" s="182" t="n">
        <v>0</v>
      </c>
      <c r="O2051" s="183" t="n">
        <v>0</v>
      </c>
      <c r="P2051" s="183" t="n">
        <v>0</v>
      </c>
      <c r="Q2051" s="184" t="n">
        <v>0</v>
      </c>
      <c r="R2051" s="184" t="n">
        <v>0</v>
      </c>
      <c r="S2051" s="183" t="n">
        <v>0</v>
      </c>
      <c r="T2051" s="183" t="n">
        <v>0</v>
      </c>
      <c r="U2051" s="182" t="n">
        <v>0</v>
      </c>
      <c r="V2051" s="182" t="n">
        <v>0</v>
      </c>
      <c r="W2051" s="182" t="n">
        <v>0</v>
      </c>
      <c r="X2051" s="182" t="n">
        <v>0</v>
      </c>
      <c r="Y2051" s="182" t="n">
        <v>0</v>
      </c>
      <c r="Z2051" s="182" t="n">
        <v>0</v>
      </c>
      <c r="AA2051" s="182" t="n">
        <v>0</v>
      </c>
      <c r="AB2051" s="182" t="n">
        <v>0</v>
      </c>
      <c r="AC2051" s="182" t="n">
        <v>0</v>
      </c>
      <c r="AD2051" s="182" t="n">
        <v>0</v>
      </c>
      <c r="AE2051" s="182" t="n">
        <v>0</v>
      </c>
      <c r="AF2051" s="182" t="n">
        <v>0</v>
      </c>
      <c r="AG2051" s="182" t="n">
        <v>0</v>
      </c>
      <c r="AH2051" s="182" t="n">
        <v>0</v>
      </c>
      <c r="AI2051" s="182" t="n">
        <v>0</v>
      </c>
      <c r="AJ2051" s="182" t="n">
        <v>0</v>
      </c>
      <c r="AK2051" s="182" t="n">
        <v>0</v>
      </c>
      <c r="AL2051" s="182" t="n">
        <v>0</v>
      </c>
      <c r="AM2051" s="182" t="n">
        <v>0</v>
      </c>
      <c r="AN2051" s="182" t="n">
        <v>0</v>
      </c>
    </row>
    <row r="2052">
      <c r="A2052" s="155" t="n">
        <v>46091</v>
      </c>
      <c r="B2052" s="156" t="inlineStr">
        <is>
          <t>DS</t>
        </is>
      </c>
      <c r="C2052" s="156" t="inlineStr">
        <is>
          <t>DT-525</t>
        </is>
      </c>
      <c r="D2052" s="156" t="inlineStr">
        <is>
          <t>SKT 105S</t>
        </is>
      </c>
      <c r="E2052" s="156" t="inlineStr">
        <is>
          <t>Hauler</t>
        </is>
      </c>
      <c r="F2052" s="156" t="inlineStr"/>
      <c r="G2052" s="182" t="n">
        <v>0</v>
      </c>
      <c r="H2052" s="182" t="n">
        <v>0</v>
      </c>
      <c r="I2052" s="182" t="n">
        <v>12</v>
      </c>
      <c r="J2052" s="182" t="n">
        <v>12</v>
      </c>
      <c r="K2052" s="182" t="n">
        <v>0</v>
      </c>
      <c r="L2052" s="182" t="n">
        <v>12</v>
      </c>
      <c r="M2052" s="182" t="n">
        <v>0</v>
      </c>
      <c r="N2052" s="182" t="n">
        <v>0</v>
      </c>
      <c r="O2052" s="183" t="n">
        <v>0</v>
      </c>
      <c r="P2052" s="183" t="n">
        <v>0</v>
      </c>
      <c r="Q2052" s="184" t="n">
        <v>0</v>
      </c>
      <c r="R2052" s="184" t="n">
        <v>0</v>
      </c>
      <c r="S2052" s="183" t="n">
        <v>0</v>
      </c>
      <c r="T2052" s="183" t="n">
        <v>0</v>
      </c>
      <c r="U2052" s="182" t="n">
        <v>0</v>
      </c>
      <c r="V2052" s="182" t="n">
        <v>0</v>
      </c>
      <c r="W2052" s="182" t="n">
        <v>0</v>
      </c>
      <c r="X2052" s="182" t="n">
        <v>0</v>
      </c>
      <c r="Y2052" s="182" t="n">
        <v>0</v>
      </c>
      <c r="Z2052" s="182" t="n">
        <v>0</v>
      </c>
      <c r="AA2052" s="182" t="n">
        <v>0</v>
      </c>
      <c r="AB2052" s="182" t="n">
        <v>0</v>
      </c>
      <c r="AC2052" s="182" t="n">
        <v>0</v>
      </c>
      <c r="AD2052" s="182" t="n">
        <v>0</v>
      </c>
      <c r="AE2052" s="182" t="n">
        <v>0</v>
      </c>
      <c r="AF2052" s="182" t="n">
        <v>0</v>
      </c>
      <c r="AG2052" s="182" t="n">
        <v>0</v>
      </c>
      <c r="AH2052" s="182" t="n">
        <v>0</v>
      </c>
      <c r="AI2052" s="182" t="n">
        <v>0</v>
      </c>
      <c r="AJ2052" s="182" t="n">
        <v>0</v>
      </c>
      <c r="AK2052" s="182" t="n">
        <v>0</v>
      </c>
      <c r="AL2052" s="182" t="n">
        <v>0</v>
      </c>
      <c r="AM2052" s="182" t="n">
        <v>0</v>
      </c>
      <c r="AN2052" s="182" t="n">
        <v>0</v>
      </c>
    </row>
    <row r="2053">
      <c r="A2053" s="155" t="n">
        <v>46091</v>
      </c>
      <c r="B2053" s="156" t="inlineStr">
        <is>
          <t>DS</t>
        </is>
      </c>
      <c r="C2053" s="156" t="inlineStr">
        <is>
          <t>DT-503</t>
        </is>
      </c>
      <c r="D2053" s="156" t="inlineStr">
        <is>
          <t>SKT 105S</t>
        </is>
      </c>
      <c r="E2053" s="156" t="inlineStr">
        <is>
          <t>Hauler</t>
        </is>
      </c>
      <c r="F2053" s="156" t="inlineStr">
        <is>
          <t>Hauling Spoil di WS Baru</t>
        </is>
      </c>
      <c r="G2053" s="182" t="n">
        <v>2.59</v>
      </c>
      <c r="H2053" s="182" t="n">
        <v>0</v>
      </c>
      <c r="I2053" s="182" t="n">
        <v>0</v>
      </c>
      <c r="J2053" s="182" t="n">
        <v>0</v>
      </c>
      <c r="K2053" s="182" t="n">
        <v>9.41</v>
      </c>
      <c r="L2053" s="182" t="n">
        <v>12</v>
      </c>
      <c r="M2053" s="182" t="n">
        <v>0</v>
      </c>
      <c r="N2053" s="182" t="n">
        <v>0</v>
      </c>
      <c r="O2053" s="183" t="n">
        <v>0</v>
      </c>
      <c r="P2053" s="183" t="n">
        <v>0</v>
      </c>
      <c r="Q2053" s="184" t="n">
        <v>0</v>
      </c>
      <c r="R2053" s="184" t="n">
        <v>0</v>
      </c>
      <c r="S2053" s="183" t="n">
        <v>8</v>
      </c>
      <c r="T2053" s="183" t="n">
        <v>0</v>
      </c>
      <c r="U2053" s="182" t="n">
        <v>2.57</v>
      </c>
      <c r="V2053" s="182" t="n">
        <v>0</v>
      </c>
      <c r="W2053" s="182" t="n">
        <v>0</v>
      </c>
      <c r="X2053" s="182" t="n">
        <v>1</v>
      </c>
      <c r="Y2053" s="182" t="n">
        <v>0.5</v>
      </c>
      <c r="Z2053" s="182" t="n">
        <v>0</v>
      </c>
      <c r="AA2053" s="182" t="n">
        <v>0</v>
      </c>
      <c r="AB2053" s="182" t="n">
        <v>1</v>
      </c>
      <c r="AC2053" s="182" t="n">
        <v>0</v>
      </c>
      <c r="AD2053" s="182" t="n">
        <v>0</v>
      </c>
      <c r="AE2053" s="182" t="n">
        <v>0</v>
      </c>
      <c r="AF2053" s="182" t="n">
        <v>0</v>
      </c>
      <c r="AG2053" s="182" t="n">
        <v>0</v>
      </c>
      <c r="AH2053" s="182" t="n">
        <v>0</v>
      </c>
      <c r="AI2053" s="182" t="n">
        <v>4.25</v>
      </c>
      <c r="AJ2053" s="182" t="n">
        <v>0</v>
      </c>
      <c r="AK2053" s="182" t="n">
        <v>0</v>
      </c>
      <c r="AL2053" s="182" t="n">
        <v>0</v>
      </c>
      <c r="AM2053" s="182" t="n">
        <v>0.08</v>
      </c>
      <c r="AN2053" s="182" t="n">
        <v>0</v>
      </c>
    </row>
    <row r="2054">
      <c r="A2054" s="155" t="n">
        <v>46091</v>
      </c>
      <c r="B2054" s="156" t="inlineStr">
        <is>
          <t>DS</t>
        </is>
      </c>
      <c r="C2054" s="156" t="inlineStr">
        <is>
          <t>DT-504</t>
        </is>
      </c>
      <c r="D2054" s="156" t="inlineStr">
        <is>
          <t>SKT 105S</t>
        </is>
      </c>
      <c r="E2054" s="156" t="inlineStr">
        <is>
          <t>Hauler</t>
        </is>
      </c>
      <c r="F2054" s="156" t="inlineStr">
        <is>
          <t>Hauling OB</t>
        </is>
      </c>
      <c r="G2054" s="182" t="n">
        <v>4.34</v>
      </c>
      <c r="H2054" s="182" t="n">
        <v>0</v>
      </c>
      <c r="I2054" s="182" t="n">
        <v>0</v>
      </c>
      <c r="J2054" s="182" t="n">
        <v>0</v>
      </c>
      <c r="K2054" s="182" t="n">
        <v>7.66</v>
      </c>
      <c r="L2054" s="182" t="n">
        <v>12</v>
      </c>
      <c r="M2054" s="182" t="n">
        <v>4.34</v>
      </c>
      <c r="N2054" s="182" t="n">
        <v>0</v>
      </c>
      <c r="O2054" s="183" t="n">
        <v>13</v>
      </c>
      <c r="P2054" s="183" t="n">
        <v>0</v>
      </c>
      <c r="Q2054" s="184" t="n">
        <v>265.2</v>
      </c>
      <c r="R2054" s="184" t="n">
        <v>0</v>
      </c>
      <c r="S2054" s="183" t="n">
        <v>0</v>
      </c>
      <c r="T2054" s="183" t="n">
        <v>0</v>
      </c>
      <c r="U2054" s="182" t="n">
        <v>2.43</v>
      </c>
      <c r="V2054" s="182" t="n">
        <v>2.79</v>
      </c>
      <c r="W2054" s="182" t="n">
        <v>0</v>
      </c>
      <c r="X2054" s="182" t="n">
        <v>0.95</v>
      </c>
      <c r="Y2054" s="182" t="n">
        <v>0.47</v>
      </c>
      <c r="Z2054" s="182" t="n">
        <v>0</v>
      </c>
      <c r="AA2054" s="182" t="n">
        <v>0</v>
      </c>
      <c r="AB2054" s="182" t="n">
        <v>0.95</v>
      </c>
      <c r="AC2054" s="182" t="n">
        <v>0</v>
      </c>
      <c r="AD2054" s="182" t="n">
        <v>0</v>
      </c>
      <c r="AE2054" s="182" t="n">
        <v>0</v>
      </c>
      <c r="AF2054" s="182" t="n">
        <v>0</v>
      </c>
      <c r="AG2054" s="182" t="n">
        <v>0</v>
      </c>
      <c r="AH2054" s="182" t="n">
        <v>0</v>
      </c>
      <c r="AI2054" s="182" t="n">
        <v>0</v>
      </c>
      <c r="AJ2054" s="182" t="n">
        <v>0</v>
      </c>
      <c r="AK2054" s="182" t="n">
        <v>0</v>
      </c>
      <c r="AL2054" s="182" t="n">
        <v>0</v>
      </c>
      <c r="AM2054" s="182" t="n">
        <v>0.08</v>
      </c>
      <c r="AN2054" s="182" t="n">
        <v>0</v>
      </c>
    </row>
    <row r="2055">
      <c r="A2055" s="155" t="n">
        <v>46091</v>
      </c>
      <c r="B2055" s="156" t="inlineStr">
        <is>
          <t>DS</t>
        </is>
      </c>
      <c r="C2055" s="156" t="inlineStr">
        <is>
          <t>DT-507</t>
        </is>
      </c>
      <c r="D2055" s="156" t="inlineStr">
        <is>
          <t>SKT 105S</t>
        </is>
      </c>
      <c r="E2055" s="156" t="inlineStr">
        <is>
          <t>Hauler</t>
        </is>
      </c>
      <c r="F2055" s="156" t="inlineStr">
        <is>
          <t>Hauling OB</t>
        </is>
      </c>
      <c r="G2055" s="182" t="n">
        <v>3.81</v>
      </c>
      <c r="H2055" s="182" t="n">
        <v>0</v>
      </c>
      <c r="I2055" s="182" t="n">
        <v>0</v>
      </c>
      <c r="J2055" s="182" t="n">
        <v>0</v>
      </c>
      <c r="K2055" s="182" t="n">
        <v>8.19</v>
      </c>
      <c r="L2055" s="182" t="n">
        <v>12</v>
      </c>
      <c r="M2055" s="182" t="n">
        <v>3.81</v>
      </c>
      <c r="N2055" s="182" t="n">
        <v>0</v>
      </c>
      <c r="O2055" s="183" t="n">
        <v>20</v>
      </c>
      <c r="P2055" s="183" t="n">
        <v>0</v>
      </c>
      <c r="Q2055" s="184" t="n">
        <v>408</v>
      </c>
      <c r="R2055" s="184" t="n">
        <v>0</v>
      </c>
      <c r="S2055" s="183" t="n">
        <v>0</v>
      </c>
      <c r="T2055" s="183" t="n">
        <v>0</v>
      </c>
      <c r="U2055" s="182" t="n">
        <v>2.63</v>
      </c>
      <c r="V2055" s="182" t="n">
        <v>2.92</v>
      </c>
      <c r="W2055" s="182" t="n">
        <v>0</v>
      </c>
      <c r="X2055" s="182" t="n">
        <v>1.02</v>
      </c>
      <c r="Y2055" s="182" t="n">
        <v>0.51</v>
      </c>
      <c r="Z2055" s="182" t="n">
        <v>0</v>
      </c>
      <c r="AA2055" s="182" t="n">
        <v>0</v>
      </c>
      <c r="AB2055" s="182" t="n">
        <v>1.02</v>
      </c>
      <c r="AC2055" s="182" t="n">
        <v>0</v>
      </c>
      <c r="AD2055" s="182" t="n">
        <v>0</v>
      </c>
      <c r="AE2055" s="182" t="n">
        <v>0</v>
      </c>
      <c r="AF2055" s="182" t="n">
        <v>0</v>
      </c>
      <c r="AG2055" s="182" t="n">
        <v>0</v>
      </c>
      <c r="AH2055" s="182" t="n">
        <v>0</v>
      </c>
      <c r="AI2055" s="182" t="n">
        <v>0</v>
      </c>
      <c r="AJ2055" s="182" t="n">
        <v>0</v>
      </c>
      <c r="AK2055" s="182" t="n">
        <v>0</v>
      </c>
      <c r="AL2055" s="182" t="n">
        <v>0</v>
      </c>
      <c r="AM2055" s="182" t="n">
        <v>0.08</v>
      </c>
      <c r="AN2055" s="182" t="n">
        <v>0</v>
      </c>
    </row>
    <row r="2056">
      <c r="A2056" s="155" t="n">
        <v>46091</v>
      </c>
      <c r="B2056" s="156" t="inlineStr">
        <is>
          <t>DS</t>
        </is>
      </c>
      <c r="C2056" s="156" t="inlineStr">
        <is>
          <t>DT-501</t>
        </is>
      </c>
      <c r="D2056" s="156" t="inlineStr">
        <is>
          <t>SKT 105S</t>
        </is>
      </c>
      <c r="E2056" s="156" t="inlineStr">
        <is>
          <t>Hauler</t>
        </is>
      </c>
      <c r="F2056" s="156" t="inlineStr"/>
      <c r="G2056" s="182" t="n">
        <v>0</v>
      </c>
      <c r="H2056" s="182" t="n">
        <v>0</v>
      </c>
      <c r="I2056" s="182" t="n">
        <v>0</v>
      </c>
      <c r="J2056" s="182" t="n">
        <v>0</v>
      </c>
      <c r="K2056" s="182" t="n">
        <v>12</v>
      </c>
      <c r="L2056" s="182" t="n">
        <v>12</v>
      </c>
      <c r="M2056" s="182" t="n">
        <v>0</v>
      </c>
      <c r="N2056" s="182" t="n">
        <v>0</v>
      </c>
      <c r="O2056" s="183" t="n">
        <v>0</v>
      </c>
      <c r="P2056" s="183" t="n">
        <v>0</v>
      </c>
      <c r="Q2056" s="184" t="n">
        <v>0</v>
      </c>
      <c r="R2056" s="184" t="n">
        <v>0</v>
      </c>
      <c r="S2056" s="183" t="n">
        <v>0</v>
      </c>
      <c r="T2056" s="183" t="n">
        <v>0</v>
      </c>
      <c r="U2056" s="182" t="n">
        <v>0</v>
      </c>
      <c r="V2056" s="182" t="n">
        <v>0</v>
      </c>
      <c r="W2056" s="182" t="n">
        <v>0</v>
      </c>
      <c r="X2056" s="182" t="n">
        <v>1</v>
      </c>
      <c r="Y2056" s="182" t="n">
        <v>0.5</v>
      </c>
      <c r="Z2056" s="182" t="n">
        <v>0</v>
      </c>
      <c r="AA2056" s="182" t="n">
        <v>0</v>
      </c>
      <c r="AB2056" s="182" t="n">
        <v>1</v>
      </c>
      <c r="AC2056" s="182" t="n">
        <v>0</v>
      </c>
      <c r="AD2056" s="182" t="n">
        <v>0</v>
      </c>
      <c r="AE2056" s="182" t="n">
        <v>0</v>
      </c>
      <c r="AF2056" s="182" t="n">
        <v>0</v>
      </c>
      <c r="AG2056" s="182" t="n">
        <v>0</v>
      </c>
      <c r="AH2056" s="182" t="n">
        <v>0</v>
      </c>
      <c r="AI2056" s="182" t="n">
        <v>9.42</v>
      </c>
      <c r="AJ2056" s="182" t="n">
        <v>0</v>
      </c>
      <c r="AK2056" s="182" t="n">
        <v>0</v>
      </c>
      <c r="AL2056" s="182" t="n">
        <v>0</v>
      </c>
      <c r="AM2056" s="182" t="n">
        <v>0.08</v>
      </c>
      <c r="AN2056" s="182" t="n">
        <v>0</v>
      </c>
    </row>
    <row r="2057">
      <c r="A2057" s="155" t="n">
        <v>46091</v>
      </c>
      <c r="B2057" s="156" t="inlineStr">
        <is>
          <t>DS</t>
        </is>
      </c>
      <c r="C2057" s="156" t="inlineStr">
        <is>
          <t>DT-518</t>
        </is>
      </c>
      <c r="D2057" s="156" t="inlineStr">
        <is>
          <t>SKT 105S</t>
        </is>
      </c>
      <c r="E2057" s="156" t="inlineStr">
        <is>
          <t>Hauler</t>
        </is>
      </c>
      <c r="F2057" s="156" t="inlineStr">
        <is>
          <t>Hauling Coal</t>
        </is>
      </c>
      <c r="G2057" s="182" t="n">
        <v>2.41</v>
      </c>
      <c r="H2057" s="182" t="n">
        <v>0</v>
      </c>
      <c r="I2057" s="182" t="n">
        <v>0</v>
      </c>
      <c r="J2057" s="182" t="n">
        <v>0</v>
      </c>
      <c r="K2057" s="182" t="n">
        <v>9.59</v>
      </c>
      <c r="L2057" s="182" t="n">
        <v>12</v>
      </c>
      <c r="M2057" s="182" t="n">
        <v>0</v>
      </c>
      <c r="N2057" s="182" t="n">
        <v>2.41</v>
      </c>
      <c r="O2057" s="183" t="n">
        <v>0</v>
      </c>
      <c r="P2057" s="183" t="n">
        <v>5</v>
      </c>
      <c r="Q2057" s="184" t="n">
        <v>0</v>
      </c>
      <c r="R2057" s="184" t="n">
        <v>93.5</v>
      </c>
      <c r="S2057" s="183" t="n">
        <v>0</v>
      </c>
      <c r="T2057" s="183" t="n">
        <v>0</v>
      </c>
      <c r="U2057" s="182" t="n">
        <v>2.65</v>
      </c>
      <c r="V2057" s="182" t="n">
        <v>3.09</v>
      </c>
      <c r="W2057" s="182" t="n">
        <v>0</v>
      </c>
      <c r="X2057" s="182" t="n">
        <v>1.03</v>
      </c>
      <c r="Y2057" s="182" t="n">
        <v>0.52</v>
      </c>
      <c r="Z2057" s="182" t="n">
        <v>0</v>
      </c>
      <c r="AA2057" s="182" t="n">
        <v>0</v>
      </c>
      <c r="AB2057" s="182" t="n">
        <v>1.03</v>
      </c>
      <c r="AC2057" s="182" t="n">
        <v>0</v>
      </c>
      <c r="AD2057" s="182" t="n">
        <v>0</v>
      </c>
      <c r="AE2057" s="182" t="n">
        <v>0</v>
      </c>
      <c r="AF2057" s="182" t="n">
        <v>0</v>
      </c>
      <c r="AG2057" s="182" t="n">
        <v>0</v>
      </c>
      <c r="AH2057" s="182" t="n">
        <v>0</v>
      </c>
      <c r="AI2057" s="182" t="n">
        <v>0</v>
      </c>
      <c r="AJ2057" s="182" t="n">
        <v>0</v>
      </c>
      <c r="AK2057" s="182" t="n">
        <v>1.19</v>
      </c>
      <c r="AL2057" s="182" t="n">
        <v>0</v>
      </c>
      <c r="AM2057" s="182" t="n">
        <v>0.08</v>
      </c>
      <c r="AN2057" s="182" t="n">
        <v>0</v>
      </c>
    </row>
    <row r="2058">
      <c r="A2058" s="155" t="n">
        <v>46091</v>
      </c>
      <c r="B2058" s="156" t="inlineStr">
        <is>
          <t>DS</t>
        </is>
      </c>
      <c r="C2058" s="156" t="inlineStr">
        <is>
          <t>DT-514</t>
        </is>
      </c>
      <c r="D2058" s="156" t="inlineStr">
        <is>
          <t>SKT 105S</t>
        </is>
      </c>
      <c r="E2058" s="156" t="inlineStr">
        <is>
          <t>Hauler</t>
        </is>
      </c>
      <c r="F2058" s="156" t="inlineStr"/>
      <c r="G2058" s="182" t="n">
        <v>0</v>
      </c>
      <c r="H2058" s="182" t="n">
        <v>0</v>
      </c>
      <c r="I2058" s="182" t="n">
        <v>12</v>
      </c>
      <c r="J2058" s="182" t="n">
        <v>12</v>
      </c>
      <c r="K2058" s="182" t="n">
        <v>0</v>
      </c>
      <c r="L2058" s="182" t="n">
        <v>12</v>
      </c>
      <c r="M2058" s="182" t="n">
        <v>0</v>
      </c>
      <c r="N2058" s="182" t="n">
        <v>0</v>
      </c>
      <c r="O2058" s="183" t="n">
        <v>0</v>
      </c>
      <c r="P2058" s="183" t="n">
        <v>0</v>
      </c>
      <c r="Q2058" s="184" t="n">
        <v>0</v>
      </c>
      <c r="R2058" s="184" t="n">
        <v>0</v>
      </c>
      <c r="S2058" s="183" t="n">
        <v>0</v>
      </c>
      <c r="T2058" s="183" t="n">
        <v>0</v>
      </c>
      <c r="U2058" s="182" t="n">
        <v>0</v>
      </c>
      <c r="V2058" s="182" t="n">
        <v>0</v>
      </c>
      <c r="W2058" s="182" t="n">
        <v>0</v>
      </c>
      <c r="X2058" s="182" t="n">
        <v>0</v>
      </c>
      <c r="Y2058" s="182" t="n">
        <v>0</v>
      </c>
      <c r="Z2058" s="182" t="n">
        <v>0</v>
      </c>
      <c r="AA2058" s="182" t="n">
        <v>0</v>
      </c>
      <c r="AB2058" s="182" t="n">
        <v>0</v>
      </c>
      <c r="AC2058" s="182" t="n">
        <v>0</v>
      </c>
      <c r="AD2058" s="182" t="n">
        <v>0</v>
      </c>
      <c r="AE2058" s="182" t="n">
        <v>0</v>
      </c>
      <c r="AF2058" s="182" t="n">
        <v>0</v>
      </c>
      <c r="AG2058" s="182" t="n">
        <v>0</v>
      </c>
      <c r="AH2058" s="182" t="n">
        <v>0</v>
      </c>
      <c r="AI2058" s="182" t="n">
        <v>0</v>
      </c>
      <c r="AJ2058" s="182" t="n">
        <v>0</v>
      </c>
      <c r="AK2058" s="182" t="n">
        <v>0</v>
      </c>
      <c r="AL2058" s="182" t="n">
        <v>0</v>
      </c>
      <c r="AM2058" s="182" t="n">
        <v>0</v>
      </c>
      <c r="AN2058" s="182" t="n">
        <v>0</v>
      </c>
    </row>
    <row r="2059">
      <c r="A2059" s="155" t="n">
        <v>46091</v>
      </c>
      <c r="B2059" s="156" t="inlineStr">
        <is>
          <t>DS</t>
        </is>
      </c>
      <c r="C2059" s="156" t="inlineStr">
        <is>
          <t>DT-523</t>
        </is>
      </c>
      <c r="D2059" s="156" t="inlineStr">
        <is>
          <t>SKT 105S</t>
        </is>
      </c>
      <c r="E2059" s="156" t="inlineStr">
        <is>
          <t>Hauler</t>
        </is>
      </c>
      <c r="F2059" s="156" t="inlineStr">
        <is>
          <t>Hauling OB</t>
        </is>
      </c>
      <c r="G2059" s="182" t="n">
        <v>3.58</v>
      </c>
      <c r="H2059" s="182" t="n">
        <v>0</v>
      </c>
      <c r="I2059" s="182" t="n">
        <v>0</v>
      </c>
      <c r="J2059" s="182" t="n">
        <v>0</v>
      </c>
      <c r="K2059" s="182" t="n">
        <v>8.42</v>
      </c>
      <c r="L2059" s="182" t="n">
        <v>12</v>
      </c>
      <c r="M2059" s="182" t="n">
        <v>3.58</v>
      </c>
      <c r="N2059" s="182" t="n">
        <v>0</v>
      </c>
      <c r="O2059" s="183" t="n">
        <v>11</v>
      </c>
      <c r="P2059" s="183" t="n">
        <v>0</v>
      </c>
      <c r="Q2059" s="184" t="n">
        <v>224.4</v>
      </c>
      <c r="R2059" s="184" t="n">
        <v>0</v>
      </c>
      <c r="S2059" s="183" t="n">
        <v>0</v>
      </c>
      <c r="T2059" s="183" t="n">
        <v>0</v>
      </c>
      <c r="U2059" s="182" t="n">
        <v>2.64</v>
      </c>
      <c r="V2059" s="182" t="n">
        <v>3.13</v>
      </c>
      <c r="W2059" s="182" t="n">
        <v>0</v>
      </c>
      <c r="X2059" s="182" t="n">
        <v>1.03</v>
      </c>
      <c r="Y2059" s="182" t="n">
        <v>0.51</v>
      </c>
      <c r="Z2059" s="182" t="n">
        <v>0</v>
      </c>
      <c r="AA2059" s="182" t="n">
        <v>0</v>
      </c>
      <c r="AB2059" s="182" t="n">
        <v>1.03</v>
      </c>
      <c r="AC2059" s="182" t="n">
        <v>0</v>
      </c>
      <c r="AD2059" s="182" t="n">
        <v>0</v>
      </c>
      <c r="AE2059" s="182" t="n">
        <v>0</v>
      </c>
      <c r="AF2059" s="182" t="n">
        <v>0</v>
      </c>
      <c r="AG2059" s="182" t="n">
        <v>0</v>
      </c>
      <c r="AH2059" s="182" t="n">
        <v>0</v>
      </c>
      <c r="AI2059" s="182" t="n">
        <v>0</v>
      </c>
      <c r="AJ2059" s="182" t="n">
        <v>0</v>
      </c>
      <c r="AK2059" s="182" t="n">
        <v>0</v>
      </c>
      <c r="AL2059" s="182" t="n">
        <v>0</v>
      </c>
      <c r="AM2059" s="182" t="n">
        <v>0.08</v>
      </c>
      <c r="AN2059" s="182" t="n">
        <v>0</v>
      </c>
    </row>
    <row r="2060">
      <c r="A2060" s="155" t="n">
        <v>46091</v>
      </c>
      <c r="B2060" s="156" t="inlineStr">
        <is>
          <t>DS</t>
        </is>
      </c>
      <c r="C2060" s="156" t="inlineStr">
        <is>
          <t>DT-519</t>
        </is>
      </c>
      <c r="D2060" s="156" t="inlineStr">
        <is>
          <t>SKT 105S</t>
        </is>
      </c>
      <c r="E2060" s="156" t="inlineStr">
        <is>
          <t>Hauler</t>
        </is>
      </c>
      <c r="F2060" s="156" t="inlineStr"/>
      <c r="G2060" s="182" t="n">
        <v>0</v>
      </c>
      <c r="H2060" s="182" t="n">
        <v>0</v>
      </c>
      <c r="I2060" s="182" t="n">
        <v>12</v>
      </c>
      <c r="J2060" s="182" t="n">
        <v>12</v>
      </c>
      <c r="K2060" s="182" t="n">
        <v>0</v>
      </c>
      <c r="L2060" s="182" t="n">
        <v>12</v>
      </c>
      <c r="M2060" s="182" t="n">
        <v>0</v>
      </c>
      <c r="N2060" s="182" t="n">
        <v>0</v>
      </c>
      <c r="O2060" s="183" t="n">
        <v>0</v>
      </c>
      <c r="P2060" s="183" t="n">
        <v>0</v>
      </c>
      <c r="Q2060" s="184" t="n">
        <v>0</v>
      </c>
      <c r="R2060" s="184" t="n">
        <v>0</v>
      </c>
      <c r="S2060" s="183" t="n">
        <v>0</v>
      </c>
      <c r="T2060" s="183" t="n">
        <v>0</v>
      </c>
      <c r="U2060" s="182" t="n">
        <v>0</v>
      </c>
      <c r="V2060" s="182" t="n">
        <v>0</v>
      </c>
      <c r="W2060" s="182" t="n">
        <v>0</v>
      </c>
      <c r="X2060" s="182" t="n">
        <v>0</v>
      </c>
      <c r="Y2060" s="182" t="n">
        <v>0</v>
      </c>
      <c r="Z2060" s="182" t="n">
        <v>0</v>
      </c>
      <c r="AA2060" s="182" t="n">
        <v>0</v>
      </c>
      <c r="AB2060" s="182" t="n">
        <v>0</v>
      </c>
      <c r="AC2060" s="182" t="n">
        <v>0</v>
      </c>
      <c r="AD2060" s="182" t="n">
        <v>0</v>
      </c>
      <c r="AE2060" s="182" t="n">
        <v>0</v>
      </c>
      <c r="AF2060" s="182" t="n">
        <v>0</v>
      </c>
      <c r="AG2060" s="182" t="n">
        <v>0</v>
      </c>
      <c r="AH2060" s="182" t="n">
        <v>0</v>
      </c>
      <c r="AI2060" s="182" t="n">
        <v>0</v>
      </c>
      <c r="AJ2060" s="182" t="n">
        <v>0</v>
      </c>
      <c r="AK2060" s="182" t="n">
        <v>0</v>
      </c>
      <c r="AL2060" s="182" t="n">
        <v>0</v>
      </c>
      <c r="AM2060" s="182" t="n">
        <v>0</v>
      </c>
      <c r="AN2060" s="182" t="n">
        <v>0</v>
      </c>
    </row>
    <row r="2061">
      <c r="A2061" s="155" t="n">
        <v>46091</v>
      </c>
      <c r="B2061" s="156" t="inlineStr">
        <is>
          <t>DS</t>
        </is>
      </c>
      <c r="C2061" s="156" t="inlineStr">
        <is>
          <t>DT-527</t>
        </is>
      </c>
      <c r="D2061" s="156" t="inlineStr">
        <is>
          <t>SKT 105S</t>
        </is>
      </c>
      <c r="E2061" s="156" t="inlineStr">
        <is>
          <t>Hauler</t>
        </is>
      </c>
      <c r="F2061" s="156" t="inlineStr">
        <is>
          <t>Hauling Spoil di WS Baru</t>
        </is>
      </c>
      <c r="G2061" s="182" t="n">
        <v>2.67</v>
      </c>
      <c r="H2061" s="182" t="n">
        <v>0</v>
      </c>
      <c r="I2061" s="182" t="n">
        <v>0</v>
      </c>
      <c r="J2061" s="182" t="n">
        <v>0</v>
      </c>
      <c r="K2061" s="182" t="n">
        <v>9.33</v>
      </c>
      <c r="L2061" s="182" t="n">
        <v>12</v>
      </c>
      <c r="M2061" s="182" t="n">
        <v>0</v>
      </c>
      <c r="N2061" s="182" t="n">
        <v>0</v>
      </c>
      <c r="O2061" s="183" t="n">
        <v>0</v>
      </c>
      <c r="P2061" s="183" t="n">
        <v>0</v>
      </c>
      <c r="Q2061" s="184" t="n">
        <v>0</v>
      </c>
      <c r="R2061" s="184" t="n">
        <v>0</v>
      </c>
      <c r="S2061" s="183" t="n">
        <v>9</v>
      </c>
      <c r="T2061" s="183" t="n">
        <v>0</v>
      </c>
      <c r="U2061" s="182" t="n">
        <v>2.52</v>
      </c>
      <c r="V2061" s="182" t="n">
        <v>0</v>
      </c>
      <c r="W2061" s="182" t="n">
        <v>0</v>
      </c>
      <c r="X2061" s="182" t="n">
        <v>0.98</v>
      </c>
      <c r="Y2061" s="182" t="n">
        <v>0.49</v>
      </c>
      <c r="Z2061" s="182" t="n">
        <v>0</v>
      </c>
      <c r="AA2061" s="182" t="n">
        <v>0</v>
      </c>
      <c r="AB2061" s="182" t="n">
        <v>0.98</v>
      </c>
      <c r="AC2061" s="182" t="n">
        <v>0</v>
      </c>
      <c r="AD2061" s="182" t="n">
        <v>0</v>
      </c>
      <c r="AE2061" s="182" t="n">
        <v>0</v>
      </c>
      <c r="AF2061" s="182" t="n">
        <v>0</v>
      </c>
      <c r="AG2061" s="182" t="n">
        <v>0</v>
      </c>
      <c r="AH2061" s="182" t="n">
        <v>0</v>
      </c>
      <c r="AI2061" s="182" t="n">
        <v>4.27</v>
      </c>
      <c r="AJ2061" s="182" t="n">
        <v>0</v>
      </c>
      <c r="AK2061" s="182" t="n">
        <v>0</v>
      </c>
      <c r="AL2061" s="182" t="n">
        <v>0</v>
      </c>
      <c r="AM2061" s="182" t="n">
        <v>0.08</v>
      </c>
      <c r="AN2061" s="182" t="n">
        <v>0</v>
      </c>
    </row>
    <row r="2062">
      <c r="A2062" s="155" t="n">
        <v>46091</v>
      </c>
      <c r="B2062" s="156" t="inlineStr">
        <is>
          <t>DS</t>
        </is>
      </c>
      <c r="C2062" s="156" t="inlineStr">
        <is>
          <t>DT-513</t>
        </is>
      </c>
      <c r="D2062" s="156" t="inlineStr">
        <is>
          <t>SKT 105S</t>
        </is>
      </c>
      <c r="E2062" s="156" t="inlineStr">
        <is>
          <t>Hauler</t>
        </is>
      </c>
      <c r="F2062" s="156" t="inlineStr">
        <is>
          <t>Hauling Spoil di WS Baru</t>
        </is>
      </c>
      <c r="G2062" s="182" t="n">
        <v>2.6</v>
      </c>
      <c r="H2062" s="182" t="n">
        <v>0</v>
      </c>
      <c r="I2062" s="182" t="n">
        <v>0</v>
      </c>
      <c r="J2062" s="182" t="n">
        <v>0</v>
      </c>
      <c r="K2062" s="182" t="n">
        <v>9.4</v>
      </c>
      <c r="L2062" s="182" t="n">
        <v>12</v>
      </c>
      <c r="M2062" s="182" t="n">
        <v>0</v>
      </c>
      <c r="N2062" s="182" t="n">
        <v>0</v>
      </c>
      <c r="O2062" s="183" t="n">
        <v>0</v>
      </c>
      <c r="P2062" s="183" t="n">
        <v>0</v>
      </c>
      <c r="Q2062" s="184" t="n">
        <v>0</v>
      </c>
      <c r="R2062" s="184" t="n">
        <v>0</v>
      </c>
      <c r="S2062" s="183" t="n">
        <v>10</v>
      </c>
      <c r="T2062" s="183" t="n">
        <v>0</v>
      </c>
      <c r="U2062" s="182" t="n">
        <v>2.6</v>
      </c>
      <c r="V2062" s="182" t="n">
        <v>0</v>
      </c>
      <c r="W2062" s="182" t="n">
        <v>0</v>
      </c>
      <c r="X2062" s="182" t="n">
        <v>1.01</v>
      </c>
      <c r="Y2062" s="182" t="n">
        <v>0.51</v>
      </c>
      <c r="Z2062" s="182" t="n">
        <v>0</v>
      </c>
      <c r="AA2062" s="182" t="n">
        <v>0</v>
      </c>
      <c r="AB2062" s="182" t="n">
        <v>1.01</v>
      </c>
      <c r="AC2062" s="182" t="n">
        <v>0</v>
      </c>
      <c r="AD2062" s="182" t="n">
        <v>0</v>
      </c>
      <c r="AE2062" s="182" t="n">
        <v>0</v>
      </c>
      <c r="AF2062" s="182" t="n">
        <v>0</v>
      </c>
      <c r="AG2062" s="182" t="n">
        <v>0</v>
      </c>
      <c r="AH2062" s="182" t="n">
        <v>0</v>
      </c>
      <c r="AI2062" s="182" t="n">
        <v>4.19</v>
      </c>
      <c r="AJ2062" s="182" t="n">
        <v>0</v>
      </c>
      <c r="AK2062" s="182" t="n">
        <v>0</v>
      </c>
      <c r="AL2062" s="182" t="n">
        <v>0</v>
      </c>
      <c r="AM2062" s="182" t="n">
        <v>0.08</v>
      </c>
      <c r="AN2062" s="182" t="n">
        <v>0</v>
      </c>
    </row>
    <row r="2063">
      <c r="A2063" s="155" t="n">
        <v>46091</v>
      </c>
      <c r="B2063" s="156" t="inlineStr">
        <is>
          <t>DS</t>
        </is>
      </c>
      <c r="C2063" s="156" t="inlineStr">
        <is>
          <t>DT-512</t>
        </is>
      </c>
      <c r="D2063" s="156" t="inlineStr">
        <is>
          <t>SKT 105S</t>
        </is>
      </c>
      <c r="E2063" s="156" t="inlineStr">
        <is>
          <t>Hauler</t>
        </is>
      </c>
      <c r="F2063" s="156" t="inlineStr"/>
      <c r="G2063" s="182" t="n">
        <v>0</v>
      </c>
      <c r="H2063" s="182" t="n">
        <v>0</v>
      </c>
      <c r="I2063" s="182" t="n">
        <v>0</v>
      </c>
      <c r="J2063" s="182" t="n">
        <v>0</v>
      </c>
      <c r="K2063" s="182" t="n">
        <v>12</v>
      </c>
      <c r="L2063" s="182" t="n">
        <v>12</v>
      </c>
      <c r="M2063" s="182" t="n">
        <v>0</v>
      </c>
      <c r="N2063" s="182" t="n">
        <v>0</v>
      </c>
      <c r="O2063" s="183" t="n">
        <v>0</v>
      </c>
      <c r="P2063" s="183" t="n">
        <v>0</v>
      </c>
      <c r="Q2063" s="184" t="n">
        <v>0</v>
      </c>
      <c r="R2063" s="184" t="n">
        <v>0</v>
      </c>
      <c r="S2063" s="183" t="n">
        <v>0</v>
      </c>
      <c r="T2063" s="183" t="n">
        <v>0</v>
      </c>
      <c r="U2063" s="182" t="n">
        <v>0</v>
      </c>
      <c r="V2063" s="182" t="n">
        <v>0</v>
      </c>
      <c r="W2063" s="182" t="n">
        <v>0</v>
      </c>
      <c r="X2063" s="182" t="n">
        <v>1</v>
      </c>
      <c r="Y2063" s="182" t="n">
        <v>0.5</v>
      </c>
      <c r="Z2063" s="182" t="n">
        <v>0</v>
      </c>
      <c r="AA2063" s="182" t="n">
        <v>0</v>
      </c>
      <c r="AB2063" s="182" t="n">
        <v>1</v>
      </c>
      <c r="AC2063" s="182" t="n">
        <v>0</v>
      </c>
      <c r="AD2063" s="182" t="n">
        <v>0</v>
      </c>
      <c r="AE2063" s="182" t="n">
        <v>0</v>
      </c>
      <c r="AF2063" s="182" t="n">
        <v>0</v>
      </c>
      <c r="AG2063" s="182" t="n">
        <v>0</v>
      </c>
      <c r="AH2063" s="182" t="n">
        <v>0</v>
      </c>
      <c r="AI2063" s="182" t="n">
        <v>9.42</v>
      </c>
      <c r="AJ2063" s="182" t="n">
        <v>0</v>
      </c>
      <c r="AK2063" s="182" t="n">
        <v>0</v>
      </c>
      <c r="AL2063" s="182" t="n">
        <v>0</v>
      </c>
      <c r="AM2063" s="182" t="n">
        <v>0.08</v>
      </c>
      <c r="AN2063" s="182" t="n">
        <v>0</v>
      </c>
    </row>
    <row r="2064">
      <c r="A2064" s="155" t="n">
        <v>46091</v>
      </c>
      <c r="B2064" s="156" t="inlineStr">
        <is>
          <t>DS</t>
        </is>
      </c>
      <c r="C2064" s="156" t="inlineStr">
        <is>
          <t>DT-522</t>
        </is>
      </c>
      <c r="D2064" s="156" t="inlineStr">
        <is>
          <t>SKT 105S</t>
        </is>
      </c>
      <c r="E2064" s="156" t="inlineStr">
        <is>
          <t>Hauler</t>
        </is>
      </c>
      <c r="F2064" s="156" t="inlineStr">
        <is>
          <t>Hauling Spoil di WS Baru</t>
        </is>
      </c>
      <c r="G2064" s="182" t="n">
        <v>2.82</v>
      </c>
      <c r="H2064" s="182" t="n">
        <v>0</v>
      </c>
      <c r="I2064" s="182" t="n">
        <v>0</v>
      </c>
      <c r="J2064" s="182" t="n">
        <v>0</v>
      </c>
      <c r="K2064" s="182" t="n">
        <v>9.18</v>
      </c>
      <c r="L2064" s="182" t="n">
        <v>12</v>
      </c>
      <c r="M2064" s="182" t="n">
        <v>0</v>
      </c>
      <c r="N2064" s="182" t="n">
        <v>0</v>
      </c>
      <c r="O2064" s="183" t="n">
        <v>0</v>
      </c>
      <c r="P2064" s="183" t="n">
        <v>0</v>
      </c>
      <c r="Q2064" s="184" t="n">
        <v>0</v>
      </c>
      <c r="R2064" s="184" t="n">
        <v>0</v>
      </c>
      <c r="S2064" s="183" t="n">
        <v>11</v>
      </c>
      <c r="T2064" s="183" t="n">
        <v>0</v>
      </c>
      <c r="U2064" s="182" t="n">
        <v>2.56</v>
      </c>
      <c r="V2064" s="182" t="n">
        <v>0</v>
      </c>
      <c r="W2064" s="182" t="n">
        <v>0</v>
      </c>
      <c r="X2064" s="182" t="n">
        <v>1</v>
      </c>
      <c r="Y2064" s="182" t="n">
        <v>0.5</v>
      </c>
      <c r="Z2064" s="182" t="n">
        <v>0</v>
      </c>
      <c r="AA2064" s="182" t="n">
        <v>0</v>
      </c>
      <c r="AB2064" s="182" t="n">
        <v>1</v>
      </c>
      <c r="AC2064" s="182" t="n">
        <v>0</v>
      </c>
      <c r="AD2064" s="182" t="n">
        <v>0</v>
      </c>
      <c r="AE2064" s="182" t="n">
        <v>0</v>
      </c>
      <c r="AF2064" s="182" t="n">
        <v>0</v>
      </c>
      <c r="AG2064" s="182" t="n">
        <v>0</v>
      </c>
      <c r="AH2064" s="182" t="n">
        <v>0</v>
      </c>
      <c r="AI2064" s="182" t="n">
        <v>4.04</v>
      </c>
      <c r="AJ2064" s="182" t="n">
        <v>0</v>
      </c>
      <c r="AK2064" s="182" t="n">
        <v>0</v>
      </c>
      <c r="AL2064" s="182" t="n">
        <v>0</v>
      </c>
      <c r="AM2064" s="182" t="n">
        <v>0.08</v>
      </c>
      <c r="AN2064" s="182" t="n">
        <v>0</v>
      </c>
    </row>
    <row r="2065">
      <c r="A2065" s="155" t="n">
        <v>46091</v>
      </c>
      <c r="B2065" s="156" t="inlineStr">
        <is>
          <t>DS</t>
        </is>
      </c>
      <c r="C2065" s="156" t="inlineStr">
        <is>
          <t>DT-517</t>
        </is>
      </c>
      <c r="D2065" s="156" t="inlineStr">
        <is>
          <t>SKT 105S</t>
        </is>
      </c>
      <c r="E2065" s="156" t="inlineStr">
        <is>
          <t>Hauler</t>
        </is>
      </c>
      <c r="F2065" s="156" t="inlineStr">
        <is>
          <t>Hauling OB</t>
        </is>
      </c>
      <c r="G2065" s="182" t="n">
        <v>4.14</v>
      </c>
      <c r="H2065" s="182" t="n">
        <v>0</v>
      </c>
      <c r="I2065" s="182" t="n">
        <v>0</v>
      </c>
      <c r="J2065" s="182" t="n">
        <v>0</v>
      </c>
      <c r="K2065" s="182" t="n">
        <v>7.86</v>
      </c>
      <c r="L2065" s="182" t="n">
        <v>12</v>
      </c>
      <c r="M2065" s="182" t="n">
        <v>4.14</v>
      </c>
      <c r="N2065" s="182" t="n">
        <v>0</v>
      </c>
      <c r="O2065" s="183" t="n">
        <v>12</v>
      </c>
      <c r="P2065" s="183" t="n">
        <v>0</v>
      </c>
      <c r="Q2065" s="184" t="n">
        <v>244.8</v>
      </c>
      <c r="R2065" s="184" t="n">
        <v>0</v>
      </c>
      <c r="S2065" s="183" t="n">
        <v>0</v>
      </c>
      <c r="T2065" s="183" t="n">
        <v>0</v>
      </c>
      <c r="U2065" s="182" t="n">
        <v>2.56</v>
      </c>
      <c r="V2065" s="182" t="n">
        <v>2.74</v>
      </c>
      <c r="W2065" s="182" t="n">
        <v>0</v>
      </c>
      <c r="X2065" s="182" t="n">
        <v>0.99</v>
      </c>
      <c r="Y2065" s="182" t="n">
        <v>0.5</v>
      </c>
      <c r="Z2065" s="182" t="n">
        <v>0</v>
      </c>
      <c r="AA2065" s="182" t="n">
        <v>0</v>
      </c>
      <c r="AB2065" s="182" t="n">
        <v>0.99</v>
      </c>
      <c r="AC2065" s="182" t="n">
        <v>0</v>
      </c>
      <c r="AD2065" s="182" t="n">
        <v>0</v>
      </c>
      <c r="AE2065" s="182" t="n">
        <v>0</v>
      </c>
      <c r="AF2065" s="182" t="n">
        <v>0</v>
      </c>
      <c r="AG2065" s="182" t="n">
        <v>0</v>
      </c>
      <c r="AH2065" s="182" t="n">
        <v>0</v>
      </c>
      <c r="AI2065" s="182" t="n">
        <v>0</v>
      </c>
      <c r="AJ2065" s="182" t="n">
        <v>0</v>
      </c>
      <c r="AK2065" s="182" t="n">
        <v>0</v>
      </c>
      <c r="AL2065" s="182" t="n">
        <v>0</v>
      </c>
      <c r="AM2065" s="182" t="n">
        <v>0.08</v>
      </c>
      <c r="AN2065" s="182" t="n">
        <v>0</v>
      </c>
    </row>
    <row r="2066">
      <c r="A2066" s="155" t="n">
        <v>46091</v>
      </c>
      <c r="B2066" s="156" t="inlineStr">
        <is>
          <t>DS</t>
        </is>
      </c>
      <c r="C2066" s="156" t="inlineStr">
        <is>
          <t>DT-510</t>
        </is>
      </c>
      <c r="D2066" s="156" t="inlineStr">
        <is>
          <t>SKT 105S</t>
        </is>
      </c>
      <c r="E2066" s="156" t="inlineStr">
        <is>
          <t>Hauler</t>
        </is>
      </c>
      <c r="F2066" s="156" t="inlineStr"/>
      <c r="G2066" s="182" t="n">
        <v>0</v>
      </c>
      <c r="H2066" s="182" t="n">
        <v>6.67</v>
      </c>
      <c r="I2066" s="182" t="n">
        <v>0</v>
      </c>
      <c r="J2066" s="182" t="n">
        <v>6.67</v>
      </c>
      <c r="K2066" s="182" t="n">
        <v>5.33</v>
      </c>
      <c r="L2066" s="182" t="n">
        <v>12</v>
      </c>
      <c r="M2066" s="182" t="n">
        <v>0</v>
      </c>
      <c r="N2066" s="182" t="n">
        <v>0</v>
      </c>
      <c r="O2066" s="183" t="n">
        <v>0</v>
      </c>
      <c r="P2066" s="183" t="n">
        <v>0</v>
      </c>
      <c r="Q2066" s="184" t="n">
        <v>0</v>
      </c>
      <c r="R2066" s="184" t="n">
        <v>0</v>
      </c>
      <c r="S2066" s="183" t="n">
        <v>0</v>
      </c>
      <c r="T2066" s="183" t="n">
        <v>0</v>
      </c>
      <c r="U2066" s="182" t="n">
        <v>2.57</v>
      </c>
      <c r="V2066" s="182" t="n">
        <v>0.18</v>
      </c>
      <c r="W2066" s="182" t="n">
        <v>0</v>
      </c>
      <c r="X2066" s="182" t="n">
        <v>1</v>
      </c>
      <c r="Y2066" s="182" t="n">
        <v>0.5</v>
      </c>
      <c r="Z2066" s="182" t="n">
        <v>0</v>
      </c>
      <c r="AA2066" s="182" t="n">
        <v>0</v>
      </c>
      <c r="AB2066" s="182" t="n">
        <v>1</v>
      </c>
      <c r="AC2066" s="182" t="n">
        <v>0</v>
      </c>
      <c r="AD2066" s="182" t="n">
        <v>0</v>
      </c>
      <c r="AE2066" s="182" t="n">
        <v>0</v>
      </c>
      <c r="AF2066" s="182" t="n">
        <v>0</v>
      </c>
      <c r="AG2066" s="182" t="n">
        <v>0</v>
      </c>
      <c r="AH2066" s="182" t="n">
        <v>0</v>
      </c>
      <c r="AI2066" s="182" t="n">
        <v>0</v>
      </c>
      <c r="AJ2066" s="182" t="n">
        <v>0</v>
      </c>
      <c r="AK2066" s="182" t="n">
        <v>0</v>
      </c>
      <c r="AL2066" s="182" t="n">
        <v>0</v>
      </c>
      <c r="AM2066" s="182" t="n">
        <v>0.08</v>
      </c>
      <c r="AN2066" s="182" t="n">
        <v>0</v>
      </c>
    </row>
    <row r="2067">
      <c r="A2067" s="155" t="n">
        <v>46091</v>
      </c>
      <c r="B2067" s="156" t="inlineStr">
        <is>
          <t>DS</t>
        </is>
      </c>
      <c r="C2067" s="156" t="inlineStr">
        <is>
          <t>DT-521</t>
        </is>
      </c>
      <c r="D2067" s="156" t="inlineStr">
        <is>
          <t>SKT 105S</t>
        </is>
      </c>
      <c r="E2067" s="156" t="inlineStr">
        <is>
          <t>Hauler</t>
        </is>
      </c>
      <c r="F2067" s="156" t="inlineStr">
        <is>
          <t>Hauling OB</t>
        </is>
      </c>
      <c r="G2067" s="182" t="n">
        <v>3.43</v>
      </c>
      <c r="H2067" s="182" t="n">
        <v>0</v>
      </c>
      <c r="I2067" s="182" t="n">
        <v>0</v>
      </c>
      <c r="J2067" s="182" t="n">
        <v>0</v>
      </c>
      <c r="K2067" s="182" t="n">
        <v>8.57</v>
      </c>
      <c r="L2067" s="182" t="n">
        <v>12</v>
      </c>
      <c r="M2067" s="182" t="n">
        <v>3.43</v>
      </c>
      <c r="N2067" s="182" t="n">
        <v>0</v>
      </c>
      <c r="O2067" s="183" t="n">
        <v>11</v>
      </c>
      <c r="P2067" s="183" t="n">
        <v>0</v>
      </c>
      <c r="Q2067" s="184" t="n">
        <v>224.4</v>
      </c>
      <c r="R2067" s="184" t="n">
        <v>0</v>
      </c>
      <c r="S2067" s="183" t="n">
        <v>0</v>
      </c>
      <c r="T2067" s="183" t="n">
        <v>0</v>
      </c>
      <c r="U2067" s="182" t="n">
        <v>2.59</v>
      </c>
      <c r="V2067" s="182" t="n">
        <v>3.38</v>
      </c>
      <c r="W2067" s="182" t="n">
        <v>0</v>
      </c>
      <c r="X2067" s="182" t="n">
        <v>1.01</v>
      </c>
      <c r="Y2067" s="182" t="n">
        <v>0.5</v>
      </c>
      <c r="Z2067" s="182" t="n">
        <v>0</v>
      </c>
      <c r="AA2067" s="182" t="n">
        <v>0</v>
      </c>
      <c r="AB2067" s="182" t="n">
        <v>1.01</v>
      </c>
      <c r="AC2067" s="182" t="n">
        <v>0</v>
      </c>
      <c r="AD2067" s="182" t="n">
        <v>0</v>
      </c>
      <c r="AE2067" s="182" t="n">
        <v>0</v>
      </c>
      <c r="AF2067" s="182" t="n">
        <v>0</v>
      </c>
      <c r="AG2067" s="182" t="n">
        <v>0</v>
      </c>
      <c r="AH2067" s="182" t="n">
        <v>0</v>
      </c>
      <c r="AI2067" s="182" t="n">
        <v>0</v>
      </c>
      <c r="AJ2067" s="182" t="n">
        <v>0</v>
      </c>
      <c r="AK2067" s="182" t="n">
        <v>0</v>
      </c>
      <c r="AL2067" s="182" t="n">
        <v>0</v>
      </c>
      <c r="AM2067" s="182" t="n">
        <v>0.08</v>
      </c>
      <c r="AN2067" s="182" t="n">
        <v>0</v>
      </c>
    </row>
    <row r="2068">
      <c r="A2068" s="155" t="n">
        <v>46091</v>
      </c>
      <c r="B2068" s="156" t="inlineStr">
        <is>
          <t>DS</t>
        </is>
      </c>
      <c r="C2068" s="156" t="inlineStr">
        <is>
          <t>DT-516</t>
        </is>
      </c>
      <c r="D2068" s="156" t="inlineStr">
        <is>
          <t>SKT 105S</t>
        </is>
      </c>
      <c r="E2068" s="156" t="inlineStr">
        <is>
          <t>Hauler</t>
        </is>
      </c>
      <c r="F2068" s="156" t="inlineStr"/>
      <c r="G2068" s="182" t="n">
        <v>0</v>
      </c>
      <c r="H2068" s="182" t="n">
        <v>0</v>
      </c>
      <c r="I2068" s="182" t="n">
        <v>0</v>
      </c>
      <c r="J2068" s="182" t="n">
        <v>0</v>
      </c>
      <c r="K2068" s="182" t="n">
        <v>12</v>
      </c>
      <c r="L2068" s="182" t="n">
        <v>12</v>
      </c>
      <c r="M2068" s="182" t="n">
        <v>0</v>
      </c>
      <c r="N2068" s="182" t="n">
        <v>0</v>
      </c>
      <c r="O2068" s="183" t="n">
        <v>0</v>
      </c>
      <c r="P2068" s="183" t="n">
        <v>0</v>
      </c>
      <c r="Q2068" s="184" t="n">
        <v>0</v>
      </c>
      <c r="R2068" s="184" t="n">
        <v>0</v>
      </c>
      <c r="S2068" s="183" t="n">
        <v>0</v>
      </c>
      <c r="T2068" s="183" t="n">
        <v>0</v>
      </c>
      <c r="U2068" s="182" t="n">
        <v>0</v>
      </c>
      <c r="V2068" s="182" t="n">
        <v>0</v>
      </c>
      <c r="W2068" s="182" t="n">
        <v>0</v>
      </c>
      <c r="X2068" s="182" t="n">
        <v>1</v>
      </c>
      <c r="Y2068" s="182" t="n">
        <v>0.5</v>
      </c>
      <c r="Z2068" s="182" t="n">
        <v>0</v>
      </c>
      <c r="AA2068" s="182" t="n">
        <v>0</v>
      </c>
      <c r="AB2068" s="182" t="n">
        <v>1</v>
      </c>
      <c r="AC2068" s="182" t="n">
        <v>0</v>
      </c>
      <c r="AD2068" s="182" t="n">
        <v>0</v>
      </c>
      <c r="AE2068" s="182" t="n">
        <v>0</v>
      </c>
      <c r="AF2068" s="182" t="n">
        <v>0</v>
      </c>
      <c r="AG2068" s="182" t="n">
        <v>0</v>
      </c>
      <c r="AH2068" s="182" t="n">
        <v>0</v>
      </c>
      <c r="AI2068" s="182" t="n">
        <v>9.42</v>
      </c>
      <c r="AJ2068" s="182" t="n">
        <v>0</v>
      </c>
      <c r="AK2068" s="182" t="n">
        <v>0</v>
      </c>
      <c r="AL2068" s="182" t="n">
        <v>0</v>
      </c>
      <c r="AM2068" s="182" t="n">
        <v>0.08</v>
      </c>
      <c r="AN2068" s="182" t="n">
        <v>0</v>
      </c>
    </row>
    <row r="2069">
      <c r="A2069" s="155" t="n">
        <v>46091</v>
      </c>
      <c r="B2069" s="156" t="inlineStr">
        <is>
          <t>DS</t>
        </is>
      </c>
      <c r="C2069" s="156" t="inlineStr">
        <is>
          <t>DT-506</t>
        </is>
      </c>
      <c r="D2069" s="156" t="inlineStr">
        <is>
          <t>SKT 105S</t>
        </is>
      </c>
      <c r="E2069" s="156" t="inlineStr">
        <is>
          <t>Hauler</t>
        </is>
      </c>
      <c r="F2069" s="156" t="inlineStr">
        <is>
          <t>Hauling OB</t>
        </is>
      </c>
      <c r="G2069" s="182" t="n">
        <v>3.43</v>
      </c>
      <c r="H2069" s="182" t="n">
        <v>0</v>
      </c>
      <c r="I2069" s="182" t="n">
        <v>0</v>
      </c>
      <c r="J2069" s="182" t="n">
        <v>0</v>
      </c>
      <c r="K2069" s="182" t="n">
        <v>8.57</v>
      </c>
      <c r="L2069" s="182" t="n">
        <v>12</v>
      </c>
      <c r="M2069" s="182" t="n">
        <v>3.43</v>
      </c>
      <c r="N2069" s="182" t="n">
        <v>0</v>
      </c>
      <c r="O2069" s="183" t="n">
        <v>15</v>
      </c>
      <c r="P2069" s="183" t="n">
        <v>0</v>
      </c>
      <c r="Q2069" s="184" t="n">
        <v>306</v>
      </c>
      <c r="R2069" s="184" t="n">
        <v>0</v>
      </c>
      <c r="S2069" s="183" t="n">
        <v>0</v>
      </c>
      <c r="T2069" s="183" t="n">
        <v>0</v>
      </c>
      <c r="U2069" s="182" t="n">
        <v>2.56</v>
      </c>
      <c r="V2069" s="182" t="n">
        <v>3.44</v>
      </c>
      <c r="W2069" s="182" t="n">
        <v>0</v>
      </c>
      <c r="X2069" s="182" t="n">
        <v>1</v>
      </c>
      <c r="Y2069" s="182" t="n">
        <v>0.5</v>
      </c>
      <c r="Z2069" s="182" t="n">
        <v>0</v>
      </c>
      <c r="AA2069" s="182" t="n">
        <v>0</v>
      </c>
      <c r="AB2069" s="182" t="n">
        <v>1</v>
      </c>
      <c r="AC2069" s="182" t="n">
        <v>0</v>
      </c>
      <c r="AD2069" s="182" t="n">
        <v>0</v>
      </c>
      <c r="AE2069" s="182" t="n">
        <v>0</v>
      </c>
      <c r="AF2069" s="182" t="n">
        <v>0</v>
      </c>
      <c r="AG2069" s="182" t="n">
        <v>0</v>
      </c>
      <c r="AH2069" s="182" t="n">
        <v>0</v>
      </c>
      <c r="AI2069" s="182" t="n">
        <v>0</v>
      </c>
      <c r="AJ2069" s="182" t="n">
        <v>0</v>
      </c>
      <c r="AK2069" s="182" t="n">
        <v>0</v>
      </c>
      <c r="AL2069" s="182" t="n">
        <v>0</v>
      </c>
      <c r="AM2069" s="182" t="n">
        <v>0.08</v>
      </c>
      <c r="AN2069" s="182" t="n">
        <v>0</v>
      </c>
    </row>
    <row r="2070">
      <c r="A2070" s="155" t="n">
        <v>46091</v>
      </c>
      <c r="B2070" s="156" t="inlineStr">
        <is>
          <t>DS</t>
        </is>
      </c>
      <c r="C2070" s="156" t="inlineStr">
        <is>
          <t>DT-502</t>
        </is>
      </c>
      <c r="D2070" s="156" t="inlineStr">
        <is>
          <t>SKT 105S</t>
        </is>
      </c>
      <c r="E2070" s="156" t="inlineStr">
        <is>
          <t>Hauler</t>
        </is>
      </c>
      <c r="F2070" s="156" t="inlineStr">
        <is>
          <t>Hauling OB</t>
        </is>
      </c>
      <c r="G2070" s="182" t="n">
        <v>4.76</v>
      </c>
      <c r="H2070" s="182" t="n">
        <v>0</v>
      </c>
      <c r="I2070" s="182" t="n">
        <v>0</v>
      </c>
      <c r="J2070" s="182" t="n">
        <v>0</v>
      </c>
      <c r="K2070" s="182" t="n">
        <v>7.24</v>
      </c>
      <c r="L2070" s="182" t="n">
        <v>12</v>
      </c>
      <c r="M2070" s="182" t="n">
        <v>4.76</v>
      </c>
      <c r="N2070" s="182" t="n">
        <v>0</v>
      </c>
      <c r="O2070" s="183" t="n">
        <v>12</v>
      </c>
      <c r="P2070" s="183" t="n">
        <v>0</v>
      </c>
      <c r="Q2070" s="184" t="n">
        <v>244.8</v>
      </c>
      <c r="R2070" s="184" t="n">
        <v>0</v>
      </c>
      <c r="S2070" s="183" t="n">
        <v>0</v>
      </c>
      <c r="T2070" s="183" t="n">
        <v>0</v>
      </c>
      <c r="U2070" s="182" t="n">
        <v>2.74</v>
      </c>
      <c r="V2070" s="182" t="n">
        <v>1.76</v>
      </c>
      <c r="W2070" s="182" t="n">
        <v>0</v>
      </c>
      <c r="X2070" s="182" t="n">
        <v>1.06</v>
      </c>
      <c r="Y2070" s="182" t="n">
        <v>0.53</v>
      </c>
      <c r="Z2070" s="182" t="n">
        <v>0</v>
      </c>
      <c r="AA2070" s="182" t="n">
        <v>0</v>
      </c>
      <c r="AB2070" s="182" t="n">
        <v>1.06</v>
      </c>
      <c r="AC2070" s="182" t="n">
        <v>0</v>
      </c>
      <c r="AD2070" s="182" t="n">
        <v>0</v>
      </c>
      <c r="AE2070" s="182" t="n">
        <v>0</v>
      </c>
      <c r="AF2070" s="182" t="n">
        <v>0</v>
      </c>
      <c r="AG2070" s="182" t="n">
        <v>0</v>
      </c>
      <c r="AH2070" s="182" t="n">
        <v>0</v>
      </c>
      <c r="AI2070" s="182" t="n">
        <v>0</v>
      </c>
      <c r="AJ2070" s="182" t="n">
        <v>0</v>
      </c>
      <c r="AK2070" s="182" t="n">
        <v>0</v>
      </c>
      <c r="AL2070" s="182" t="n">
        <v>0</v>
      </c>
      <c r="AM2070" s="182" t="n">
        <v>0.09</v>
      </c>
      <c r="AN2070" s="182" t="n">
        <v>0</v>
      </c>
    </row>
    <row r="2071">
      <c r="A2071" s="155" t="n">
        <v>46091</v>
      </c>
      <c r="B2071" s="156" t="inlineStr">
        <is>
          <t>DS</t>
        </is>
      </c>
      <c r="C2071" s="156" t="inlineStr">
        <is>
          <t>DT-528</t>
        </is>
      </c>
      <c r="D2071" s="156" t="inlineStr">
        <is>
          <t>SKT 105S</t>
        </is>
      </c>
      <c r="E2071" s="156" t="inlineStr">
        <is>
          <t>Hauler</t>
        </is>
      </c>
      <c r="F2071" s="156" t="inlineStr">
        <is>
          <t>Hauling OB</t>
        </is>
      </c>
      <c r="G2071" s="182" t="n">
        <v>4.77</v>
      </c>
      <c r="H2071" s="182" t="n">
        <v>0</v>
      </c>
      <c r="I2071" s="182" t="n">
        <v>0</v>
      </c>
      <c r="J2071" s="182" t="n">
        <v>0</v>
      </c>
      <c r="K2071" s="182" t="n">
        <v>7.23</v>
      </c>
      <c r="L2071" s="182" t="n">
        <v>12</v>
      </c>
      <c r="M2071" s="182" t="n">
        <v>4.77</v>
      </c>
      <c r="N2071" s="182" t="n">
        <v>0</v>
      </c>
      <c r="O2071" s="183" t="n">
        <v>12</v>
      </c>
      <c r="P2071" s="183" t="n">
        <v>0</v>
      </c>
      <c r="Q2071" s="184" t="n">
        <v>244.8</v>
      </c>
      <c r="R2071" s="184" t="n">
        <v>0</v>
      </c>
      <c r="S2071" s="183" t="n">
        <v>0</v>
      </c>
      <c r="T2071" s="183" t="n">
        <v>0</v>
      </c>
      <c r="U2071" s="182" t="n">
        <v>2.48</v>
      </c>
      <c r="V2071" s="182" t="n">
        <v>2.27</v>
      </c>
      <c r="W2071" s="182" t="n">
        <v>0</v>
      </c>
      <c r="X2071" s="182" t="n">
        <v>0.96</v>
      </c>
      <c r="Y2071" s="182" t="n">
        <v>0.48</v>
      </c>
      <c r="Z2071" s="182" t="n">
        <v>0</v>
      </c>
      <c r="AA2071" s="182" t="n">
        <v>0</v>
      </c>
      <c r="AB2071" s="182" t="n">
        <v>0.96</v>
      </c>
      <c r="AC2071" s="182" t="n">
        <v>0</v>
      </c>
      <c r="AD2071" s="182" t="n">
        <v>0</v>
      </c>
      <c r="AE2071" s="182" t="n">
        <v>0</v>
      </c>
      <c r="AF2071" s="182" t="n">
        <v>0</v>
      </c>
      <c r="AG2071" s="182" t="n">
        <v>0</v>
      </c>
      <c r="AH2071" s="182" t="n">
        <v>0</v>
      </c>
      <c r="AI2071" s="182" t="n">
        <v>0</v>
      </c>
      <c r="AJ2071" s="182" t="n">
        <v>0</v>
      </c>
      <c r="AK2071" s="182" t="n">
        <v>0</v>
      </c>
      <c r="AL2071" s="182" t="n">
        <v>0</v>
      </c>
      <c r="AM2071" s="182" t="n">
        <v>0.08</v>
      </c>
      <c r="AN2071" s="182" t="n">
        <v>0</v>
      </c>
    </row>
    <row r="2072">
      <c r="A2072" s="155" t="n">
        <v>46091</v>
      </c>
      <c r="B2072" s="156" t="inlineStr">
        <is>
          <t>DS</t>
        </is>
      </c>
      <c r="C2072" s="156" t="inlineStr">
        <is>
          <t>DT-529</t>
        </is>
      </c>
      <c r="D2072" s="156" t="inlineStr">
        <is>
          <t>SKT 105S</t>
        </is>
      </c>
      <c r="E2072" s="156" t="inlineStr">
        <is>
          <t>Hauler</t>
        </is>
      </c>
      <c r="F2072" s="156" t="inlineStr"/>
      <c r="G2072" s="182" t="n">
        <v>0</v>
      </c>
      <c r="H2072" s="182" t="n">
        <v>0</v>
      </c>
      <c r="I2072" s="182" t="n">
        <v>0</v>
      </c>
      <c r="J2072" s="182" t="n">
        <v>0</v>
      </c>
      <c r="K2072" s="182" t="n">
        <v>12</v>
      </c>
      <c r="L2072" s="182" t="n">
        <v>12</v>
      </c>
      <c r="M2072" s="182" t="n">
        <v>0</v>
      </c>
      <c r="N2072" s="182" t="n">
        <v>0</v>
      </c>
      <c r="O2072" s="183" t="n">
        <v>0</v>
      </c>
      <c r="P2072" s="183" t="n">
        <v>0</v>
      </c>
      <c r="Q2072" s="184" t="n">
        <v>0</v>
      </c>
      <c r="R2072" s="184" t="n">
        <v>0</v>
      </c>
      <c r="S2072" s="183" t="n">
        <v>0</v>
      </c>
      <c r="T2072" s="183" t="n">
        <v>0</v>
      </c>
      <c r="U2072" s="182" t="n">
        <v>0</v>
      </c>
      <c r="V2072" s="182" t="n">
        <v>0</v>
      </c>
      <c r="W2072" s="182" t="n">
        <v>0</v>
      </c>
      <c r="X2072" s="182" t="n">
        <v>1</v>
      </c>
      <c r="Y2072" s="182" t="n">
        <v>0.5</v>
      </c>
      <c r="Z2072" s="182" t="n">
        <v>0</v>
      </c>
      <c r="AA2072" s="182" t="n">
        <v>0</v>
      </c>
      <c r="AB2072" s="182" t="n">
        <v>1</v>
      </c>
      <c r="AC2072" s="182" t="n">
        <v>0</v>
      </c>
      <c r="AD2072" s="182" t="n">
        <v>0</v>
      </c>
      <c r="AE2072" s="182" t="n">
        <v>0</v>
      </c>
      <c r="AF2072" s="182" t="n">
        <v>0</v>
      </c>
      <c r="AG2072" s="182" t="n">
        <v>0</v>
      </c>
      <c r="AH2072" s="182" t="n">
        <v>0</v>
      </c>
      <c r="AI2072" s="182" t="n">
        <v>9.42</v>
      </c>
      <c r="AJ2072" s="182" t="n">
        <v>0</v>
      </c>
      <c r="AK2072" s="182" t="n">
        <v>0</v>
      </c>
      <c r="AL2072" s="182" t="n">
        <v>0</v>
      </c>
      <c r="AM2072" s="182" t="n">
        <v>0.08</v>
      </c>
      <c r="AN2072" s="182" t="n">
        <v>0</v>
      </c>
    </row>
    <row r="2073">
      <c r="A2073" s="155" t="n">
        <v>46091</v>
      </c>
      <c r="B2073" s="156" t="inlineStr">
        <is>
          <t>DS</t>
        </is>
      </c>
      <c r="C2073" s="156" t="inlineStr">
        <is>
          <t>DT-520</t>
        </is>
      </c>
      <c r="D2073" s="156" t="inlineStr">
        <is>
          <t>SKT 105S</t>
        </is>
      </c>
      <c r="E2073" s="156" t="inlineStr">
        <is>
          <t>Hauler</t>
        </is>
      </c>
      <c r="F2073" s="156" t="inlineStr">
        <is>
          <t>Hauling Coal &amp; OB</t>
        </is>
      </c>
      <c r="G2073" s="182" t="n">
        <v>2.91</v>
      </c>
      <c r="H2073" s="182" t="n">
        <v>0</v>
      </c>
      <c r="I2073" s="182" t="n">
        <v>2.02</v>
      </c>
      <c r="J2073" s="182" t="n">
        <v>2.02</v>
      </c>
      <c r="K2073" s="182" t="n">
        <v>7.07</v>
      </c>
      <c r="L2073" s="182" t="n">
        <v>12</v>
      </c>
      <c r="M2073" s="182" t="n">
        <v>1.04</v>
      </c>
      <c r="N2073" s="182" t="n">
        <v>1.87</v>
      </c>
      <c r="O2073" s="183" t="n">
        <v>3</v>
      </c>
      <c r="P2073" s="183" t="n">
        <v>3</v>
      </c>
      <c r="Q2073" s="184" t="n">
        <v>61.2</v>
      </c>
      <c r="R2073" s="184" t="n">
        <v>56.1</v>
      </c>
      <c r="S2073" s="183" t="n">
        <v>0</v>
      </c>
      <c r="T2073" s="183" t="n">
        <v>0</v>
      </c>
      <c r="U2073" s="182" t="n">
        <v>2.53</v>
      </c>
      <c r="V2073" s="182" t="n">
        <v>2</v>
      </c>
      <c r="W2073" s="182" t="n">
        <v>0</v>
      </c>
      <c r="X2073" s="182" t="n">
        <v>0.98</v>
      </c>
      <c r="Y2073" s="182" t="n">
        <v>0.49</v>
      </c>
      <c r="Z2073" s="182" t="n">
        <v>0</v>
      </c>
      <c r="AA2073" s="182" t="n">
        <v>0</v>
      </c>
      <c r="AB2073" s="182" t="n">
        <v>0.98</v>
      </c>
      <c r="AC2073" s="182" t="n">
        <v>0</v>
      </c>
      <c r="AD2073" s="182" t="n">
        <v>0</v>
      </c>
      <c r="AE2073" s="182" t="n">
        <v>0</v>
      </c>
      <c r="AF2073" s="182" t="n">
        <v>0</v>
      </c>
      <c r="AG2073" s="182" t="n">
        <v>0</v>
      </c>
      <c r="AH2073" s="182" t="n">
        <v>0</v>
      </c>
      <c r="AI2073" s="182" t="n">
        <v>0</v>
      </c>
      <c r="AJ2073" s="182" t="n">
        <v>0</v>
      </c>
      <c r="AK2073" s="182" t="n">
        <v>0</v>
      </c>
      <c r="AL2073" s="182" t="n">
        <v>0</v>
      </c>
      <c r="AM2073" s="182" t="n">
        <v>0.08</v>
      </c>
      <c r="AN2073" s="182" t="n">
        <v>0</v>
      </c>
    </row>
    <row r="2074">
      <c r="A2074" s="155" t="n">
        <v>46091</v>
      </c>
      <c r="B2074" s="156" t="inlineStr">
        <is>
          <t>DS</t>
        </is>
      </c>
      <c r="C2074" s="156" t="inlineStr">
        <is>
          <t>DT-511</t>
        </is>
      </c>
      <c r="D2074" s="156" t="inlineStr">
        <is>
          <t>SKT 105S</t>
        </is>
      </c>
      <c r="E2074" s="156" t="inlineStr">
        <is>
          <t>Hauler</t>
        </is>
      </c>
      <c r="F2074" s="156" t="inlineStr"/>
      <c r="G2074" s="182" t="n">
        <v>0</v>
      </c>
      <c r="H2074" s="182" t="n">
        <v>0</v>
      </c>
      <c r="I2074" s="182" t="n">
        <v>12</v>
      </c>
      <c r="J2074" s="182" t="n">
        <v>12</v>
      </c>
      <c r="K2074" s="182" t="n">
        <v>0</v>
      </c>
      <c r="L2074" s="182" t="n">
        <v>12</v>
      </c>
      <c r="M2074" s="182" t="n">
        <v>0</v>
      </c>
      <c r="N2074" s="182" t="n">
        <v>0</v>
      </c>
      <c r="O2074" s="183" t="n">
        <v>0</v>
      </c>
      <c r="P2074" s="183" t="n">
        <v>0</v>
      </c>
      <c r="Q2074" s="184" t="n">
        <v>0</v>
      </c>
      <c r="R2074" s="184" t="n">
        <v>0</v>
      </c>
      <c r="S2074" s="183" t="n">
        <v>0</v>
      </c>
      <c r="T2074" s="183" t="n">
        <v>0</v>
      </c>
      <c r="U2074" s="182" t="n">
        <v>0</v>
      </c>
      <c r="V2074" s="182" t="n">
        <v>0</v>
      </c>
      <c r="W2074" s="182" t="n">
        <v>0</v>
      </c>
      <c r="X2074" s="182" t="n">
        <v>0</v>
      </c>
      <c r="Y2074" s="182" t="n">
        <v>0</v>
      </c>
      <c r="Z2074" s="182" t="n">
        <v>0</v>
      </c>
      <c r="AA2074" s="182" t="n">
        <v>0</v>
      </c>
      <c r="AB2074" s="182" t="n">
        <v>0</v>
      </c>
      <c r="AC2074" s="182" t="n">
        <v>0</v>
      </c>
      <c r="AD2074" s="182" t="n">
        <v>0</v>
      </c>
      <c r="AE2074" s="182" t="n">
        <v>0</v>
      </c>
      <c r="AF2074" s="182" t="n">
        <v>0</v>
      </c>
      <c r="AG2074" s="182" t="n">
        <v>0</v>
      </c>
      <c r="AH2074" s="182" t="n">
        <v>0</v>
      </c>
      <c r="AI2074" s="182" t="n">
        <v>0</v>
      </c>
      <c r="AJ2074" s="182" t="n">
        <v>0</v>
      </c>
      <c r="AK2074" s="182" t="n">
        <v>0</v>
      </c>
      <c r="AL2074" s="182" t="n">
        <v>0</v>
      </c>
      <c r="AM2074" s="182" t="n">
        <v>0</v>
      </c>
      <c r="AN2074" s="182" t="n">
        <v>0</v>
      </c>
    </row>
    <row r="2075">
      <c r="A2075" s="155" t="n">
        <v>46091</v>
      </c>
      <c r="B2075" s="156" t="inlineStr">
        <is>
          <t>DS</t>
        </is>
      </c>
      <c r="C2075" s="156" t="inlineStr">
        <is>
          <t>DT-509</t>
        </is>
      </c>
      <c r="D2075" s="156" t="inlineStr">
        <is>
          <t>SKT 105S</t>
        </is>
      </c>
      <c r="E2075" s="156" t="inlineStr">
        <is>
          <t>Hauler</t>
        </is>
      </c>
      <c r="F2075" s="156" t="inlineStr"/>
      <c r="G2075" s="182" t="n">
        <v>0</v>
      </c>
      <c r="H2075" s="182" t="n">
        <v>0</v>
      </c>
      <c r="I2075" s="182" t="n">
        <v>12</v>
      </c>
      <c r="J2075" s="182" t="n">
        <v>12</v>
      </c>
      <c r="K2075" s="182" t="n">
        <v>0</v>
      </c>
      <c r="L2075" s="182" t="n">
        <v>12</v>
      </c>
      <c r="M2075" s="182" t="n">
        <v>0</v>
      </c>
      <c r="N2075" s="182" t="n">
        <v>0</v>
      </c>
      <c r="O2075" s="183" t="n">
        <v>0</v>
      </c>
      <c r="P2075" s="183" t="n">
        <v>0</v>
      </c>
      <c r="Q2075" s="184" t="n">
        <v>0</v>
      </c>
      <c r="R2075" s="184" t="n">
        <v>0</v>
      </c>
      <c r="S2075" s="183" t="n">
        <v>0</v>
      </c>
      <c r="T2075" s="183" t="n">
        <v>0</v>
      </c>
      <c r="U2075" s="182" t="n">
        <v>0</v>
      </c>
      <c r="V2075" s="182" t="n">
        <v>0</v>
      </c>
      <c r="W2075" s="182" t="n">
        <v>0</v>
      </c>
      <c r="X2075" s="182" t="n">
        <v>0</v>
      </c>
      <c r="Y2075" s="182" t="n">
        <v>0</v>
      </c>
      <c r="Z2075" s="182" t="n">
        <v>0</v>
      </c>
      <c r="AA2075" s="182" t="n">
        <v>0</v>
      </c>
      <c r="AB2075" s="182" t="n">
        <v>0</v>
      </c>
      <c r="AC2075" s="182" t="n">
        <v>0</v>
      </c>
      <c r="AD2075" s="182" t="n">
        <v>0</v>
      </c>
      <c r="AE2075" s="182" t="n">
        <v>0</v>
      </c>
      <c r="AF2075" s="182" t="n">
        <v>0</v>
      </c>
      <c r="AG2075" s="182" t="n">
        <v>0</v>
      </c>
      <c r="AH2075" s="182" t="n">
        <v>0</v>
      </c>
      <c r="AI2075" s="182" t="n">
        <v>0</v>
      </c>
      <c r="AJ2075" s="182" t="n">
        <v>0</v>
      </c>
      <c r="AK2075" s="182" t="n">
        <v>0</v>
      </c>
      <c r="AL2075" s="182" t="n">
        <v>0</v>
      </c>
      <c r="AM2075" s="182" t="n">
        <v>0</v>
      </c>
      <c r="AN2075" s="182" t="n">
        <v>0</v>
      </c>
    </row>
    <row r="2076">
      <c r="A2076" s="155" t="n">
        <v>46091</v>
      </c>
      <c r="B2076" s="156" t="inlineStr">
        <is>
          <t>DS</t>
        </is>
      </c>
      <c r="C2076" s="156" t="inlineStr">
        <is>
          <t>DT-526</t>
        </is>
      </c>
      <c r="D2076" s="156" t="inlineStr">
        <is>
          <t>SKT 105S</t>
        </is>
      </c>
      <c r="E2076" s="156" t="inlineStr">
        <is>
          <t>Hauler</t>
        </is>
      </c>
      <c r="F2076" s="156" t="inlineStr"/>
      <c r="G2076" s="182" t="n">
        <v>0</v>
      </c>
      <c r="H2076" s="182" t="n">
        <v>0</v>
      </c>
      <c r="I2076" s="182" t="n">
        <v>12</v>
      </c>
      <c r="J2076" s="182" t="n">
        <v>12</v>
      </c>
      <c r="K2076" s="182" t="n">
        <v>0</v>
      </c>
      <c r="L2076" s="182" t="n">
        <v>12</v>
      </c>
      <c r="M2076" s="182" t="n">
        <v>0</v>
      </c>
      <c r="N2076" s="182" t="n">
        <v>0</v>
      </c>
      <c r="O2076" s="183" t="n">
        <v>0</v>
      </c>
      <c r="P2076" s="183" t="n">
        <v>0</v>
      </c>
      <c r="Q2076" s="184" t="n">
        <v>0</v>
      </c>
      <c r="R2076" s="184" t="n">
        <v>0</v>
      </c>
      <c r="S2076" s="183" t="n">
        <v>0</v>
      </c>
      <c r="T2076" s="183" t="n">
        <v>0</v>
      </c>
      <c r="U2076" s="182" t="n">
        <v>0</v>
      </c>
      <c r="V2076" s="182" t="n">
        <v>0</v>
      </c>
      <c r="W2076" s="182" t="n">
        <v>0</v>
      </c>
      <c r="X2076" s="182" t="n">
        <v>0</v>
      </c>
      <c r="Y2076" s="182" t="n">
        <v>0</v>
      </c>
      <c r="Z2076" s="182" t="n">
        <v>0</v>
      </c>
      <c r="AA2076" s="182" t="n">
        <v>0</v>
      </c>
      <c r="AB2076" s="182" t="n">
        <v>0</v>
      </c>
      <c r="AC2076" s="182" t="n">
        <v>0</v>
      </c>
      <c r="AD2076" s="182" t="n">
        <v>0</v>
      </c>
      <c r="AE2076" s="182" t="n">
        <v>0</v>
      </c>
      <c r="AF2076" s="182" t="n">
        <v>0</v>
      </c>
      <c r="AG2076" s="182" t="n">
        <v>0</v>
      </c>
      <c r="AH2076" s="182" t="n">
        <v>0</v>
      </c>
      <c r="AI2076" s="182" t="n">
        <v>0</v>
      </c>
      <c r="AJ2076" s="182" t="n">
        <v>0</v>
      </c>
      <c r="AK2076" s="182" t="n">
        <v>0</v>
      </c>
      <c r="AL2076" s="182" t="n">
        <v>0</v>
      </c>
      <c r="AM2076" s="182" t="n">
        <v>0</v>
      </c>
      <c r="AN2076" s="182" t="n">
        <v>0</v>
      </c>
    </row>
    <row r="2077">
      <c r="A2077" s="155" t="n">
        <v>46091</v>
      </c>
      <c r="B2077" s="156" t="inlineStr">
        <is>
          <t>DS</t>
        </is>
      </c>
      <c r="C2077" s="156" t="inlineStr">
        <is>
          <t>DT-508</t>
        </is>
      </c>
      <c r="D2077" s="156" t="inlineStr">
        <is>
          <t>SKT 105S</t>
        </is>
      </c>
      <c r="E2077" s="156" t="inlineStr">
        <is>
          <t>Hauler</t>
        </is>
      </c>
      <c r="F2077" s="156" t="inlineStr">
        <is>
          <t>Hauling OB</t>
        </is>
      </c>
      <c r="G2077" s="182" t="n">
        <v>3.88</v>
      </c>
      <c r="H2077" s="182" t="n">
        <v>0</v>
      </c>
      <c r="I2077" s="182" t="n">
        <v>0</v>
      </c>
      <c r="J2077" s="182" t="n">
        <v>0</v>
      </c>
      <c r="K2077" s="182" t="n">
        <v>8.119999999999999</v>
      </c>
      <c r="L2077" s="182" t="n">
        <v>12</v>
      </c>
      <c r="M2077" s="182" t="n">
        <v>3.88</v>
      </c>
      <c r="N2077" s="182" t="n">
        <v>0</v>
      </c>
      <c r="O2077" s="183" t="n">
        <v>12</v>
      </c>
      <c r="P2077" s="183" t="n">
        <v>0</v>
      </c>
      <c r="Q2077" s="184" t="n">
        <v>244.8</v>
      </c>
      <c r="R2077" s="184" t="n">
        <v>0</v>
      </c>
      <c r="S2077" s="183" t="n">
        <v>0</v>
      </c>
      <c r="T2077" s="183" t="n">
        <v>0</v>
      </c>
      <c r="U2077" s="182" t="n">
        <v>2.61</v>
      </c>
      <c r="V2077" s="182" t="n">
        <v>2.89</v>
      </c>
      <c r="W2077" s="182" t="n">
        <v>0</v>
      </c>
      <c r="X2077" s="182" t="n">
        <v>1.01</v>
      </c>
      <c r="Y2077" s="182" t="n">
        <v>0.51</v>
      </c>
      <c r="Z2077" s="182" t="n">
        <v>0</v>
      </c>
      <c r="AA2077" s="182" t="n">
        <v>0</v>
      </c>
      <c r="AB2077" s="182" t="n">
        <v>1.01</v>
      </c>
      <c r="AC2077" s="182" t="n">
        <v>0</v>
      </c>
      <c r="AD2077" s="182" t="n">
        <v>0</v>
      </c>
      <c r="AE2077" s="182" t="n">
        <v>0</v>
      </c>
      <c r="AF2077" s="182" t="n">
        <v>0</v>
      </c>
      <c r="AG2077" s="182" t="n">
        <v>0</v>
      </c>
      <c r="AH2077" s="182" t="n">
        <v>0</v>
      </c>
      <c r="AI2077" s="182" t="n">
        <v>0</v>
      </c>
      <c r="AJ2077" s="182" t="n">
        <v>0</v>
      </c>
      <c r="AK2077" s="182" t="n">
        <v>0</v>
      </c>
      <c r="AL2077" s="182" t="n">
        <v>0</v>
      </c>
      <c r="AM2077" s="182" t="n">
        <v>0.08</v>
      </c>
      <c r="AN2077" s="182" t="n">
        <v>0</v>
      </c>
    </row>
    <row r="2078">
      <c r="A2078" s="155" t="n">
        <v>46091</v>
      </c>
      <c r="B2078" s="156" t="inlineStr">
        <is>
          <t>DS</t>
        </is>
      </c>
      <c r="C2078" s="156" t="inlineStr">
        <is>
          <t>DT-515</t>
        </is>
      </c>
      <c r="D2078" s="156" t="inlineStr">
        <is>
          <t>SKT 105S</t>
        </is>
      </c>
      <c r="E2078" s="156" t="inlineStr">
        <is>
          <t>Hauler</t>
        </is>
      </c>
      <c r="F2078" s="156" t="inlineStr">
        <is>
          <t>Hauling OB</t>
        </is>
      </c>
      <c r="G2078" s="182" t="n">
        <v>3.79</v>
      </c>
      <c r="H2078" s="182" t="n">
        <v>0</v>
      </c>
      <c r="I2078" s="182" t="n">
        <v>0</v>
      </c>
      <c r="J2078" s="182" t="n">
        <v>0</v>
      </c>
      <c r="K2078" s="182" t="n">
        <v>8.210000000000001</v>
      </c>
      <c r="L2078" s="182" t="n">
        <v>12</v>
      </c>
      <c r="M2078" s="182" t="n">
        <v>3.79</v>
      </c>
      <c r="N2078" s="182" t="n">
        <v>0</v>
      </c>
      <c r="O2078" s="183" t="n">
        <v>20</v>
      </c>
      <c r="P2078" s="183" t="n">
        <v>0</v>
      </c>
      <c r="Q2078" s="184" t="n">
        <v>408</v>
      </c>
      <c r="R2078" s="184" t="n">
        <v>0</v>
      </c>
      <c r="S2078" s="183" t="n">
        <v>0</v>
      </c>
      <c r="T2078" s="183" t="n">
        <v>0</v>
      </c>
      <c r="U2078" s="182" t="n">
        <v>2.64</v>
      </c>
      <c r="V2078" s="182" t="n">
        <v>2.92</v>
      </c>
      <c r="W2078" s="182" t="n">
        <v>0</v>
      </c>
      <c r="X2078" s="182" t="n">
        <v>1.03</v>
      </c>
      <c r="Y2078" s="182" t="n">
        <v>0.51</v>
      </c>
      <c r="Z2078" s="182" t="n">
        <v>0</v>
      </c>
      <c r="AA2078" s="182" t="n">
        <v>0</v>
      </c>
      <c r="AB2078" s="182" t="n">
        <v>1.03</v>
      </c>
      <c r="AC2078" s="182" t="n">
        <v>0</v>
      </c>
      <c r="AD2078" s="182" t="n">
        <v>0</v>
      </c>
      <c r="AE2078" s="182" t="n">
        <v>0</v>
      </c>
      <c r="AF2078" s="182" t="n">
        <v>0</v>
      </c>
      <c r="AG2078" s="182" t="n">
        <v>0</v>
      </c>
      <c r="AH2078" s="182" t="n">
        <v>0</v>
      </c>
      <c r="AI2078" s="182" t="n">
        <v>0</v>
      </c>
      <c r="AJ2078" s="182" t="n">
        <v>0</v>
      </c>
      <c r="AK2078" s="182" t="n">
        <v>0</v>
      </c>
      <c r="AL2078" s="182" t="n">
        <v>0</v>
      </c>
      <c r="AM2078" s="182" t="n">
        <v>0.08</v>
      </c>
      <c r="AN2078" s="182" t="n">
        <v>0</v>
      </c>
    </row>
    <row r="2079">
      <c r="A2079" s="155" t="n">
        <v>46091</v>
      </c>
      <c r="B2079" s="156" t="inlineStr">
        <is>
          <t>DS</t>
        </is>
      </c>
      <c r="C2079" s="156" t="inlineStr">
        <is>
          <t>DT-524</t>
        </is>
      </c>
      <c r="D2079" s="156" t="inlineStr">
        <is>
          <t>SKT 105S</t>
        </is>
      </c>
      <c r="E2079" s="156" t="inlineStr">
        <is>
          <t>Hauler</t>
        </is>
      </c>
      <c r="F2079" s="156" t="inlineStr">
        <is>
          <t>Hauling OB</t>
        </is>
      </c>
      <c r="G2079" s="182" t="n">
        <v>3.41</v>
      </c>
      <c r="H2079" s="182" t="n">
        <v>0</v>
      </c>
      <c r="I2079" s="182" t="n">
        <v>0</v>
      </c>
      <c r="J2079" s="182" t="n">
        <v>0</v>
      </c>
      <c r="K2079" s="182" t="n">
        <v>8.59</v>
      </c>
      <c r="L2079" s="182" t="n">
        <v>12</v>
      </c>
      <c r="M2079" s="182" t="n">
        <v>3.41</v>
      </c>
      <c r="N2079" s="182" t="n">
        <v>0</v>
      </c>
      <c r="O2079" s="183" t="n">
        <v>13</v>
      </c>
      <c r="P2079" s="183" t="n">
        <v>0</v>
      </c>
      <c r="Q2079" s="184" t="n">
        <v>265.2</v>
      </c>
      <c r="R2079" s="184" t="n">
        <v>0</v>
      </c>
      <c r="S2079" s="183" t="n">
        <v>0</v>
      </c>
      <c r="T2079" s="183" t="n">
        <v>0</v>
      </c>
      <c r="U2079" s="182" t="n">
        <v>2.73</v>
      </c>
      <c r="V2079" s="182" t="n">
        <v>3.13</v>
      </c>
      <c r="W2079" s="182" t="n">
        <v>0</v>
      </c>
      <c r="X2079" s="182" t="n">
        <v>1.06</v>
      </c>
      <c r="Y2079" s="182" t="n">
        <v>0.53</v>
      </c>
      <c r="Z2079" s="182" t="n">
        <v>0</v>
      </c>
      <c r="AA2079" s="182" t="n">
        <v>0</v>
      </c>
      <c r="AB2079" s="182" t="n">
        <v>1.06</v>
      </c>
      <c r="AC2079" s="182" t="n">
        <v>0</v>
      </c>
      <c r="AD2079" s="182" t="n">
        <v>0</v>
      </c>
      <c r="AE2079" s="182" t="n">
        <v>0</v>
      </c>
      <c r="AF2079" s="182" t="n">
        <v>0</v>
      </c>
      <c r="AG2079" s="182" t="n">
        <v>0</v>
      </c>
      <c r="AH2079" s="182" t="n">
        <v>0</v>
      </c>
      <c r="AI2079" s="182" t="n">
        <v>0</v>
      </c>
      <c r="AJ2079" s="182" t="n">
        <v>0</v>
      </c>
      <c r="AK2079" s="182" t="n">
        <v>0</v>
      </c>
      <c r="AL2079" s="182" t="n">
        <v>0</v>
      </c>
      <c r="AM2079" s="182" t="n">
        <v>0.08</v>
      </c>
      <c r="AN2079" s="182" t="n">
        <v>0</v>
      </c>
    </row>
    <row r="2080">
      <c r="A2080" s="155" t="n">
        <v>46091</v>
      </c>
      <c r="B2080" s="156" t="inlineStr">
        <is>
          <t>DS</t>
        </is>
      </c>
      <c r="C2080" s="156" t="inlineStr">
        <is>
          <t>DT-341</t>
        </is>
      </c>
      <c r="D2080" s="156" t="inlineStr">
        <is>
          <t>SYZ324C-8W</t>
        </is>
      </c>
      <c r="E2080" s="156" t="inlineStr">
        <is>
          <t>Hauler</t>
        </is>
      </c>
      <c r="F2080" s="156" t="inlineStr">
        <is>
          <t>Support Washing Plant</t>
        </is>
      </c>
      <c r="G2080" s="182" t="n">
        <v>4.94</v>
      </c>
      <c r="H2080" s="182" t="n">
        <v>0</v>
      </c>
      <c r="I2080" s="182" t="n">
        <v>0</v>
      </c>
      <c r="J2080" s="182" t="n">
        <v>0</v>
      </c>
      <c r="K2080" s="182" t="n">
        <v>7.06</v>
      </c>
      <c r="L2080" s="182" t="n">
        <v>12</v>
      </c>
      <c r="M2080" s="182" t="n">
        <v>0</v>
      </c>
      <c r="N2080" s="182" t="n">
        <v>0</v>
      </c>
      <c r="O2080" s="183" t="n">
        <v>0</v>
      </c>
      <c r="P2080" s="183" t="n">
        <v>0</v>
      </c>
      <c r="Q2080" s="184" t="n">
        <v>0</v>
      </c>
      <c r="R2080" s="184" t="n">
        <v>0</v>
      </c>
      <c r="S2080" s="183" t="n">
        <v>0</v>
      </c>
      <c r="T2080" s="183" t="n">
        <v>0</v>
      </c>
      <c r="U2080" s="182" t="n">
        <v>2.45</v>
      </c>
      <c r="V2080" s="182" t="n">
        <v>0</v>
      </c>
      <c r="W2080" s="182" t="n">
        <v>0</v>
      </c>
      <c r="X2080" s="182" t="n">
        <v>0.95</v>
      </c>
      <c r="Y2080" s="182" t="n">
        <v>0.48</v>
      </c>
      <c r="Z2080" s="182" t="n">
        <v>0</v>
      </c>
      <c r="AA2080" s="182" t="n">
        <v>0</v>
      </c>
      <c r="AB2080" s="182" t="n">
        <v>0.95</v>
      </c>
      <c r="AC2080" s="182" t="n">
        <v>0</v>
      </c>
      <c r="AD2080" s="182" t="n">
        <v>0</v>
      </c>
      <c r="AE2080" s="182" t="n">
        <v>0</v>
      </c>
      <c r="AF2080" s="182" t="n">
        <v>0</v>
      </c>
      <c r="AG2080" s="182" t="n">
        <v>0</v>
      </c>
      <c r="AH2080" s="182" t="n">
        <v>0</v>
      </c>
      <c r="AI2080" s="182" t="n">
        <v>0</v>
      </c>
      <c r="AJ2080" s="182" t="n">
        <v>0</v>
      </c>
      <c r="AK2080" s="182" t="n">
        <v>2.15</v>
      </c>
      <c r="AL2080" s="182" t="n">
        <v>0</v>
      </c>
      <c r="AM2080" s="182" t="n">
        <v>0.08</v>
      </c>
      <c r="AN2080" s="182" t="n">
        <v>0</v>
      </c>
    </row>
    <row r="2081">
      <c r="A2081" s="155" t="n">
        <v>46091</v>
      </c>
      <c r="B2081" s="156" t="inlineStr">
        <is>
          <t>DS</t>
        </is>
      </c>
      <c r="C2081" s="156" t="inlineStr">
        <is>
          <t>DT-342</t>
        </is>
      </c>
      <c r="D2081" s="156" t="inlineStr">
        <is>
          <t>SYZ324C-8W</t>
        </is>
      </c>
      <c r="E2081" s="156" t="inlineStr">
        <is>
          <t>Hauler</t>
        </is>
      </c>
      <c r="F2081" s="156" t="inlineStr">
        <is>
          <t>Support Washing Plant</t>
        </is>
      </c>
      <c r="G2081" s="182" t="n">
        <v>4.27</v>
      </c>
      <c r="H2081" s="182" t="n">
        <v>0</v>
      </c>
      <c r="I2081" s="182" t="n">
        <v>0</v>
      </c>
      <c r="J2081" s="182" t="n">
        <v>0</v>
      </c>
      <c r="K2081" s="182" t="n">
        <v>7.73</v>
      </c>
      <c r="L2081" s="182" t="n">
        <v>12</v>
      </c>
      <c r="M2081" s="182" t="n">
        <v>0</v>
      </c>
      <c r="N2081" s="182" t="n">
        <v>0</v>
      </c>
      <c r="O2081" s="183" t="n">
        <v>0</v>
      </c>
      <c r="P2081" s="183" t="n">
        <v>0</v>
      </c>
      <c r="Q2081" s="184" t="n">
        <v>0</v>
      </c>
      <c r="R2081" s="184" t="n">
        <v>0</v>
      </c>
      <c r="S2081" s="183" t="n">
        <v>0</v>
      </c>
      <c r="T2081" s="183" t="n">
        <v>0</v>
      </c>
      <c r="U2081" s="182" t="n">
        <v>2.58</v>
      </c>
      <c r="V2081" s="182" t="n">
        <v>0</v>
      </c>
      <c r="W2081" s="182" t="n">
        <v>0</v>
      </c>
      <c r="X2081" s="182" t="n">
        <v>1</v>
      </c>
      <c r="Y2081" s="182" t="n">
        <v>0.5</v>
      </c>
      <c r="Z2081" s="182" t="n">
        <v>0</v>
      </c>
      <c r="AA2081" s="182" t="n">
        <v>0</v>
      </c>
      <c r="AB2081" s="182" t="n">
        <v>1</v>
      </c>
      <c r="AC2081" s="182" t="n">
        <v>0</v>
      </c>
      <c r="AD2081" s="182" t="n">
        <v>0</v>
      </c>
      <c r="AE2081" s="182" t="n">
        <v>0</v>
      </c>
      <c r="AF2081" s="182" t="n">
        <v>0</v>
      </c>
      <c r="AG2081" s="182" t="n">
        <v>0</v>
      </c>
      <c r="AH2081" s="182" t="n">
        <v>0</v>
      </c>
      <c r="AI2081" s="182" t="n">
        <v>0</v>
      </c>
      <c r="AJ2081" s="182" t="n">
        <v>0</v>
      </c>
      <c r="AK2081" s="182" t="n">
        <v>2.56</v>
      </c>
      <c r="AL2081" s="182" t="n">
        <v>0</v>
      </c>
      <c r="AM2081" s="182" t="n">
        <v>0.08</v>
      </c>
      <c r="AN2081" s="182" t="n">
        <v>0</v>
      </c>
    </row>
    <row r="2082">
      <c r="A2082" s="155" t="n">
        <v>46091</v>
      </c>
      <c r="B2082" s="156" t="inlineStr">
        <is>
          <t>DS</t>
        </is>
      </c>
      <c r="C2082" s="156" t="inlineStr">
        <is>
          <t>HD-903</t>
        </is>
      </c>
      <c r="D2082" s="156" t="inlineStr">
        <is>
          <t>SRT 95C</t>
        </is>
      </c>
      <c r="E2082" s="156" t="inlineStr">
        <is>
          <t>Hauler</t>
        </is>
      </c>
      <c r="F2082" s="156" t="inlineStr">
        <is>
          <t>Hauling OB</t>
        </is>
      </c>
      <c r="G2082" s="182" t="n">
        <v>4.6</v>
      </c>
      <c r="H2082" s="182" t="n">
        <v>0</v>
      </c>
      <c r="I2082" s="182" t="n">
        <v>0</v>
      </c>
      <c r="J2082" s="182" t="n">
        <v>0</v>
      </c>
      <c r="K2082" s="182" t="n">
        <v>7.4</v>
      </c>
      <c r="L2082" s="182" t="n">
        <v>12</v>
      </c>
      <c r="M2082" s="182" t="n">
        <v>4.6</v>
      </c>
      <c r="N2082" s="182" t="n">
        <v>0</v>
      </c>
      <c r="O2082" s="183" t="n">
        <v>20</v>
      </c>
      <c r="P2082" s="183" t="n">
        <v>0</v>
      </c>
      <c r="Q2082" s="184" t="n">
        <v>714</v>
      </c>
      <c r="R2082" s="184" t="n">
        <v>0</v>
      </c>
      <c r="S2082" s="183" t="n">
        <v>0</v>
      </c>
      <c r="T2082" s="183" t="n">
        <v>0</v>
      </c>
      <c r="U2082" s="182" t="n">
        <v>2.38</v>
      </c>
      <c r="V2082" s="182" t="n">
        <v>2.64</v>
      </c>
      <c r="W2082" s="182" t="n">
        <v>0</v>
      </c>
      <c r="X2082" s="182" t="n">
        <v>0.93</v>
      </c>
      <c r="Y2082" s="182" t="n">
        <v>0.46</v>
      </c>
      <c r="Z2082" s="182" t="n">
        <v>0</v>
      </c>
      <c r="AA2082" s="182" t="n">
        <v>0</v>
      </c>
      <c r="AB2082" s="182" t="n">
        <v>0.93</v>
      </c>
      <c r="AC2082" s="182" t="n">
        <v>0</v>
      </c>
      <c r="AD2082" s="182" t="n">
        <v>0</v>
      </c>
      <c r="AE2082" s="182" t="n">
        <v>0</v>
      </c>
      <c r="AF2082" s="182" t="n">
        <v>0</v>
      </c>
      <c r="AG2082" s="182" t="n">
        <v>0</v>
      </c>
      <c r="AH2082" s="182" t="n">
        <v>0</v>
      </c>
      <c r="AI2082" s="182" t="n">
        <v>0</v>
      </c>
      <c r="AJ2082" s="182" t="n">
        <v>0</v>
      </c>
      <c r="AK2082" s="182" t="n">
        <v>0</v>
      </c>
      <c r="AL2082" s="182" t="n">
        <v>0</v>
      </c>
      <c r="AM2082" s="182" t="n">
        <v>0.07000000000000001</v>
      </c>
      <c r="AN2082" s="182" t="n">
        <v>0</v>
      </c>
    </row>
    <row r="2083">
      <c r="A2083" s="155" t="n">
        <v>46091</v>
      </c>
      <c r="B2083" s="156" t="inlineStr">
        <is>
          <t>DS</t>
        </is>
      </c>
      <c r="C2083" s="156" t="inlineStr">
        <is>
          <t>HD-905</t>
        </is>
      </c>
      <c r="D2083" s="156" t="inlineStr">
        <is>
          <t>SRT 95C</t>
        </is>
      </c>
      <c r="E2083" s="156" t="inlineStr">
        <is>
          <t>Hauler</t>
        </is>
      </c>
      <c r="F2083" s="156" t="inlineStr"/>
      <c r="G2083" s="182" t="n">
        <v>0</v>
      </c>
      <c r="H2083" s="182" t="n">
        <v>0</v>
      </c>
      <c r="I2083" s="182" t="n">
        <v>12</v>
      </c>
      <c r="J2083" s="182" t="n">
        <v>12</v>
      </c>
      <c r="K2083" s="182" t="n">
        <v>0</v>
      </c>
      <c r="L2083" s="182" t="n">
        <v>12</v>
      </c>
      <c r="M2083" s="182" t="n">
        <v>0</v>
      </c>
      <c r="N2083" s="182" t="n">
        <v>0</v>
      </c>
      <c r="O2083" s="183" t="n">
        <v>0</v>
      </c>
      <c r="P2083" s="183" t="n">
        <v>0</v>
      </c>
      <c r="Q2083" s="184" t="n">
        <v>0</v>
      </c>
      <c r="R2083" s="184" t="n">
        <v>0</v>
      </c>
      <c r="S2083" s="183" t="n">
        <v>0</v>
      </c>
      <c r="T2083" s="183" t="n">
        <v>0</v>
      </c>
      <c r="U2083" s="182" t="n">
        <v>0</v>
      </c>
      <c r="V2083" s="182" t="n">
        <v>0</v>
      </c>
      <c r="W2083" s="182" t="n">
        <v>0</v>
      </c>
      <c r="X2083" s="182" t="n">
        <v>0</v>
      </c>
      <c r="Y2083" s="182" t="n">
        <v>0</v>
      </c>
      <c r="Z2083" s="182" t="n">
        <v>0</v>
      </c>
      <c r="AA2083" s="182" t="n">
        <v>0</v>
      </c>
      <c r="AB2083" s="182" t="n">
        <v>0</v>
      </c>
      <c r="AC2083" s="182" t="n">
        <v>0</v>
      </c>
      <c r="AD2083" s="182" t="n">
        <v>0</v>
      </c>
      <c r="AE2083" s="182" t="n">
        <v>0</v>
      </c>
      <c r="AF2083" s="182" t="n">
        <v>0</v>
      </c>
      <c r="AG2083" s="182" t="n">
        <v>0</v>
      </c>
      <c r="AH2083" s="182" t="n">
        <v>0</v>
      </c>
      <c r="AI2083" s="182" t="n">
        <v>0</v>
      </c>
      <c r="AJ2083" s="182" t="n">
        <v>0</v>
      </c>
      <c r="AK2083" s="182" t="n">
        <v>0</v>
      </c>
      <c r="AL2083" s="182" t="n">
        <v>0</v>
      </c>
      <c r="AM2083" s="182" t="n">
        <v>0</v>
      </c>
      <c r="AN2083" s="182" t="n">
        <v>0</v>
      </c>
    </row>
    <row r="2084">
      <c r="A2084" s="155" t="n">
        <v>46091</v>
      </c>
      <c r="B2084" s="156" t="inlineStr">
        <is>
          <t>DS</t>
        </is>
      </c>
      <c r="C2084" s="156" t="inlineStr">
        <is>
          <t>HD-901</t>
        </is>
      </c>
      <c r="D2084" s="156" t="inlineStr">
        <is>
          <t>SRT 95C</t>
        </is>
      </c>
      <c r="E2084" s="156" t="inlineStr">
        <is>
          <t>Hauler</t>
        </is>
      </c>
      <c r="F2084" s="156" t="inlineStr">
        <is>
          <t>Hauling OB</t>
        </is>
      </c>
      <c r="G2084" s="182" t="n">
        <v>3.47</v>
      </c>
      <c r="H2084" s="182" t="n">
        <v>0</v>
      </c>
      <c r="I2084" s="182" t="n">
        <v>0</v>
      </c>
      <c r="J2084" s="182" t="n">
        <v>0</v>
      </c>
      <c r="K2084" s="182" t="n">
        <v>8.529999999999999</v>
      </c>
      <c r="L2084" s="182" t="n">
        <v>12</v>
      </c>
      <c r="M2084" s="182" t="n">
        <v>3.47</v>
      </c>
      <c r="N2084" s="182" t="n">
        <v>0</v>
      </c>
      <c r="O2084" s="183" t="n">
        <v>16</v>
      </c>
      <c r="P2084" s="183" t="n">
        <v>0</v>
      </c>
      <c r="Q2084" s="184" t="n">
        <v>571.2</v>
      </c>
      <c r="R2084" s="184" t="n">
        <v>0</v>
      </c>
      <c r="S2084" s="183" t="n">
        <v>0</v>
      </c>
      <c r="T2084" s="183" t="n">
        <v>0</v>
      </c>
      <c r="U2084" s="182" t="n">
        <v>2.55</v>
      </c>
      <c r="V2084" s="182" t="n">
        <v>3.42</v>
      </c>
      <c r="W2084" s="182" t="n">
        <v>0</v>
      </c>
      <c r="X2084" s="182" t="n">
        <v>0.99</v>
      </c>
      <c r="Y2084" s="182" t="n">
        <v>0.5</v>
      </c>
      <c r="Z2084" s="182" t="n">
        <v>0</v>
      </c>
      <c r="AA2084" s="182" t="n">
        <v>0</v>
      </c>
      <c r="AB2084" s="182" t="n">
        <v>0.99</v>
      </c>
      <c r="AC2084" s="182" t="n">
        <v>0</v>
      </c>
      <c r="AD2084" s="182" t="n">
        <v>0</v>
      </c>
      <c r="AE2084" s="182" t="n">
        <v>0</v>
      </c>
      <c r="AF2084" s="182" t="n">
        <v>0</v>
      </c>
      <c r="AG2084" s="182" t="n">
        <v>0</v>
      </c>
      <c r="AH2084" s="182" t="n">
        <v>0</v>
      </c>
      <c r="AI2084" s="182" t="n">
        <v>0</v>
      </c>
      <c r="AJ2084" s="182" t="n">
        <v>0</v>
      </c>
      <c r="AK2084" s="182" t="n">
        <v>0</v>
      </c>
      <c r="AL2084" s="182" t="n">
        <v>0</v>
      </c>
      <c r="AM2084" s="182" t="n">
        <v>0.08</v>
      </c>
      <c r="AN2084" s="182" t="n">
        <v>0</v>
      </c>
    </row>
    <row r="2085">
      <c r="A2085" s="155" t="n">
        <v>46091</v>
      </c>
      <c r="B2085" s="156" t="inlineStr">
        <is>
          <t>DS</t>
        </is>
      </c>
      <c r="C2085" s="156" t="inlineStr">
        <is>
          <t>HD-904</t>
        </is>
      </c>
      <c r="D2085" s="156" t="inlineStr">
        <is>
          <t>SRT 95C</t>
        </is>
      </c>
      <c r="E2085" s="156" t="inlineStr">
        <is>
          <t>Hauler</t>
        </is>
      </c>
      <c r="F2085" s="156" t="inlineStr">
        <is>
          <t>Hauling OB</t>
        </is>
      </c>
      <c r="G2085" s="182" t="n">
        <v>3.59</v>
      </c>
      <c r="H2085" s="182" t="n">
        <v>0</v>
      </c>
      <c r="I2085" s="182" t="n">
        <v>0</v>
      </c>
      <c r="J2085" s="182" t="n">
        <v>0</v>
      </c>
      <c r="K2085" s="182" t="n">
        <v>8.41</v>
      </c>
      <c r="L2085" s="182" t="n">
        <v>12</v>
      </c>
      <c r="M2085" s="182" t="n">
        <v>3.59</v>
      </c>
      <c r="N2085" s="182" t="n">
        <v>0</v>
      </c>
      <c r="O2085" s="183" t="n">
        <v>19</v>
      </c>
      <c r="P2085" s="183" t="n">
        <v>0</v>
      </c>
      <c r="Q2085" s="184" t="n">
        <v>678.3</v>
      </c>
      <c r="R2085" s="184" t="n">
        <v>0</v>
      </c>
      <c r="S2085" s="183" t="n">
        <v>0</v>
      </c>
      <c r="T2085" s="183" t="n">
        <v>0</v>
      </c>
      <c r="U2085" s="182" t="n">
        <v>2.64</v>
      </c>
      <c r="V2085" s="182" t="n">
        <v>3.13</v>
      </c>
      <c r="W2085" s="182" t="n">
        <v>0</v>
      </c>
      <c r="X2085" s="182" t="n">
        <v>1.03</v>
      </c>
      <c r="Y2085" s="182" t="n">
        <v>0.51</v>
      </c>
      <c r="Z2085" s="182" t="n">
        <v>0</v>
      </c>
      <c r="AA2085" s="182" t="n">
        <v>0</v>
      </c>
      <c r="AB2085" s="182" t="n">
        <v>1.03</v>
      </c>
      <c r="AC2085" s="182" t="n">
        <v>0</v>
      </c>
      <c r="AD2085" s="182" t="n">
        <v>0</v>
      </c>
      <c r="AE2085" s="182" t="n">
        <v>0</v>
      </c>
      <c r="AF2085" s="182" t="n">
        <v>0</v>
      </c>
      <c r="AG2085" s="182" t="n">
        <v>0</v>
      </c>
      <c r="AH2085" s="182" t="n">
        <v>0</v>
      </c>
      <c r="AI2085" s="182" t="n">
        <v>0</v>
      </c>
      <c r="AJ2085" s="182" t="n">
        <v>0</v>
      </c>
      <c r="AK2085" s="182" t="n">
        <v>0</v>
      </c>
      <c r="AL2085" s="182" t="n">
        <v>0</v>
      </c>
      <c r="AM2085" s="182" t="n">
        <v>0.08</v>
      </c>
      <c r="AN2085" s="182" t="n">
        <v>0</v>
      </c>
    </row>
    <row r="2086">
      <c r="A2086" s="155" t="n">
        <v>46091</v>
      </c>
      <c r="B2086" s="156" t="inlineStr">
        <is>
          <t>DS</t>
        </is>
      </c>
      <c r="C2086" s="156" t="inlineStr">
        <is>
          <t>HD-902</t>
        </is>
      </c>
      <c r="D2086" s="156" t="inlineStr">
        <is>
          <t>SRT 95C</t>
        </is>
      </c>
      <c r="E2086" s="156" t="inlineStr">
        <is>
          <t>Hauler</t>
        </is>
      </c>
      <c r="F2086" s="156" t="inlineStr"/>
      <c r="G2086" s="182" t="n">
        <v>0</v>
      </c>
      <c r="H2086" s="182" t="n">
        <v>0</v>
      </c>
      <c r="I2086" s="182" t="n">
        <v>12</v>
      </c>
      <c r="J2086" s="182" t="n">
        <v>12</v>
      </c>
      <c r="K2086" s="182" t="n">
        <v>0</v>
      </c>
      <c r="L2086" s="182" t="n">
        <v>12</v>
      </c>
      <c r="M2086" s="182" t="n">
        <v>0</v>
      </c>
      <c r="N2086" s="182" t="n">
        <v>0</v>
      </c>
      <c r="O2086" s="183" t="n">
        <v>0</v>
      </c>
      <c r="P2086" s="183" t="n">
        <v>0</v>
      </c>
      <c r="Q2086" s="184" t="n">
        <v>0</v>
      </c>
      <c r="R2086" s="184" t="n">
        <v>0</v>
      </c>
      <c r="S2086" s="183" t="n">
        <v>0</v>
      </c>
      <c r="T2086" s="183" t="n">
        <v>0</v>
      </c>
      <c r="U2086" s="182" t="n">
        <v>0</v>
      </c>
      <c r="V2086" s="182" t="n">
        <v>0</v>
      </c>
      <c r="W2086" s="182" t="n">
        <v>0</v>
      </c>
      <c r="X2086" s="182" t="n">
        <v>0</v>
      </c>
      <c r="Y2086" s="182" t="n">
        <v>0</v>
      </c>
      <c r="Z2086" s="182" t="n">
        <v>0</v>
      </c>
      <c r="AA2086" s="182" t="n">
        <v>0</v>
      </c>
      <c r="AB2086" s="182" t="n">
        <v>0</v>
      </c>
      <c r="AC2086" s="182" t="n">
        <v>0</v>
      </c>
      <c r="AD2086" s="182" t="n">
        <v>0</v>
      </c>
      <c r="AE2086" s="182" t="n">
        <v>0</v>
      </c>
      <c r="AF2086" s="182" t="n">
        <v>0</v>
      </c>
      <c r="AG2086" s="182" t="n">
        <v>0</v>
      </c>
      <c r="AH2086" s="182" t="n">
        <v>0</v>
      </c>
      <c r="AI2086" s="182" t="n">
        <v>0</v>
      </c>
      <c r="AJ2086" s="182" t="n">
        <v>0</v>
      </c>
      <c r="AK2086" s="182" t="n">
        <v>0</v>
      </c>
      <c r="AL2086" s="182" t="n">
        <v>0</v>
      </c>
      <c r="AM2086" s="182" t="n">
        <v>0</v>
      </c>
      <c r="AN2086" s="182" t="n">
        <v>0</v>
      </c>
    </row>
    <row r="2087">
      <c r="A2087" s="155" t="n">
        <v>46091</v>
      </c>
      <c r="B2087" s="156" t="inlineStr">
        <is>
          <t>DS</t>
        </is>
      </c>
      <c r="C2087" s="156" t="inlineStr">
        <is>
          <t>WL-025</t>
        </is>
      </c>
      <c r="D2087" s="156" t="inlineStr">
        <is>
          <t>SANY - Loader</t>
        </is>
      </c>
      <c r="E2087" s="156" t="inlineStr">
        <is>
          <t>Loader</t>
        </is>
      </c>
      <c r="F2087" s="156" t="inlineStr"/>
      <c r="G2087" s="182" t="n">
        <v>0</v>
      </c>
      <c r="H2087" s="182" t="n">
        <v>0</v>
      </c>
      <c r="I2087" s="182" t="n">
        <v>0</v>
      </c>
      <c r="J2087" s="182" t="n">
        <v>0</v>
      </c>
      <c r="K2087" s="182" t="n">
        <v>12</v>
      </c>
      <c r="L2087" s="182" t="n">
        <v>12</v>
      </c>
      <c r="M2087" s="182" t="n">
        <v>0</v>
      </c>
      <c r="N2087" s="182" t="n">
        <v>0</v>
      </c>
      <c r="O2087" s="183" t="n">
        <v>0</v>
      </c>
      <c r="P2087" s="183" t="n">
        <v>0</v>
      </c>
      <c r="Q2087" s="184" t="n">
        <v>0</v>
      </c>
      <c r="R2087" s="184" t="n">
        <v>0</v>
      </c>
      <c r="S2087" s="183" t="n">
        <v>0</v>
      </c>
      <c r="T2087" s="183" t="n">
        <v>0</v>
      </c>
      <c r="U2087" s="182" t="n">
        <v>0</v>
      </c>
      <c r="V2087" s="182" t="n">
        <v>0</v>
      </c>
      <c r="W2087" s="182" t="n">
        <v>0</v>
      </c>
      <c r="X2087" s="182" t="n">
        <v>1</v>
      </c>
      <c r="Y2087" s="182" t="n">
        <v>0.5</v>
      </c>
      <c r="Z2087" s="182" t="n">
        <v>0</v>
      </c>
      <c r="AA2087" s="182" t="n">
        <v>0</v>
      </c>
      <c r="AB2087" s="182" t="n">
        <v>1</v>
      </c>
      <c r="AC2087" s="182" t="n">
        <v>0</v>
      </c>
      <c r="AD2087" s="182" t="n">
        <v>0</v>
      </c>
      <c r="AE2087" s="182" t="n">
        <v>0</v>
      </c>
      <c r="AF2087" s="182" t="n">
        <v>0</v>
      </c>
      <c r="AG2087" s="182" t="n">
        <v>0</v>
      </c>
      <c r="AH2087" s="182" t="n">
        <v>0</v>
      </c>
      <c r="AI2087" s="182" t="n">
        <v>0</v>
      </c>
      <c r="AJ2087" s="182" t="n">
        <v>0</v>
      </c>
      <c r="AK2087" s="182" t="n">
        <v>9.42</v>
      </c>
      <c r="AL2087" s="182" t="n">
        <v>0</v>
      </c>
      <c r="AM2087" s="182" t="n">
        <v>0.08</v>
      </c>
      <c r="AN2087" s="182" t="n">
        <v>0</v>
      </c>
    </row>
    <row r="2088">
      <c r="A2088" s="155" t="n">
        <v>46091</v>
      </c>
      <c r="B2088" s="156" t="inlineStr">
        <is>
          <t>DS</t>
        </is>
      </c>
      <c r="C2088" s="156" t="inlineStr">
        <is>
          <t>WL-023</t>
        </is>
      </c>
      <c r="D2088" s="156" t="inlineStr">
        <is>
          <t>SANY - Loader</t>
        </is>
      </c>
      <c r="E2088" s="156" t="inlineStr">
        <is>
          <t>Loader</t>
        </is>
      </c>
      <c r="F2088" s="156" t="inlineStr"/>
      <c r="G2088" s="182" t="n">
        <v>0</v>
      </c>
      <c r="H2088" s="182" t="n">
        <v>0</v>
      </c>
      <c r="I2088" s="182" t="n">
        <v>0</v>
      </c>
      <c r="J2088" s="182" t="n">
        <v>0</v>
      </c>
      <c r="K2088" s="182" t="n">
        <v>12</v>
      </c>
      <c r="L2088" s="182" t="n">
        <v>12</v>
      </c>
      <c r="M2088" s="182" t="n">
        <v>0</v>
      </c>
      <c r="N2088" s="182" t="n">
        <v>0</v>
      </c>
      <c r="O2088" s="183" t="n">
        <v>0</v>
      </c>
      <c r="P2088" s="183" t="n">
        <v>0</v>
      </c>
      <c r="Q2088" s="184" t="n">
        <v>0</v>
      </c>
      <c r="R2088" s="184" t="n">
        <v>0</v>
      </c>
      <c r="S2088" s="183" t="n">
        <v>0</v>
      </c>
      <c r="T2088" s="183" t="n">
        <v>0</v>
      </c>
      <c r="U2088" s="182" t="n">
        <v>0</v>
      </c>
      <c r="V2088" s="182" t="n">
        <v>0</v>
      </c>
      <c r="W2088" s="182" t="n">
        <v>0</v>
      </c>
      <c r="X2088" s="182" t="n">
        <v>1</v>
      </c>
      <c r="Y2088" s="182" t="n">
        <v>0.5</v>
      </c>
      <c r="Z2088" s="182" t="n">
        <v>0</v>
      </c>
      <c r="AA2088" s="182" t="n">
        <v>0</v>
      </c>
      <c r="AB2088" s="182" t="n">
        <v>1</v>
      </c>
      <c r="AC2088" s="182" t="n">
        <v>0</v>
      </c>
      <c r="AD2088" s="182" t="n">
        <v>0</v>
      </c>
      <c r="AE2088" s="182" t="n">
        <v>0</v>
      </c>
      <c r="AF2088" s="182" t="n">
        <v>0</v>
      </c>
      <c r="AG2088" s="182" t="n">
        <v>0</v>
      </c>
      <c r="AH2088" s="182" t="n">
        <v>0</v>
      </c>
      <c r="AI2088" s="182" t="n">
        <v>0</v>
      </c>
      <c r="AJ2088" s="182" t="n">
        <v>0</v>
      </c>
      <c r="AK2088" s="182" t="n">
        <v>9.42</v>
      </c>
      <c r="AL2088" s="182" t="n">
        <v>0</v>
      </c>
      <c r="AM2088" s="182" t="n">
        <v>0.08</v>
      </c>
      <c r="AN2088" s="182" t="n">
        <v>0</v>
      </c>
    </row>
    <row r="2089">
      <c r="A2089" s="155" t="n">
        <v>46091</v>
      </c>
      <c r="B2089" s="156" t="inlineStr">
        <is>
          <t>DS</t>
        </is>
      </c>
      <c r="C2089" s="156" t="inlineStr">
        <is>
          <t>WL-021</t>
        </is>
      </c>
      <c r="D2089" s="156" t="inlineStr">
        <is>
          <t>SANY - Loader</t>
        </is>
      </c>
      <c r="E2089" s="156" t="inlineStr">
        <is>
          <t>Loader</t>
        </is>
      </c>
      <c r="F2089" s="156" t="inlineStr"/>
      <c r="G2089" s="182" t="n">
        <v>0</v>
      </c>
      <c r="H2089" s="182" t="n">
        <v>0</v>
      </c>
      <c r="I2089" s="182" t="n">
        <v>12</v>
      </c>
      <c r="J2089" s="182" t="n">
        <v>12</v>
      </c>
      <c r="K2089" s="182" t="n">
        <v>0</v>
      </c>
      <c r="L2089" s="182" t="n">
        <v>12</v>
      </c>
      <c r="M2089" s="182" t="n">
        <v>0</v>
      </c>
      <c r="N2089" s="182" t="n">
        <v>0</v>
      </c>
      <c r="O2089" s="183" t="n">
        <v>0</v>
      </c>
      <c r="P2089" s="183" t="n">
        <v>0</v>
      </c>
      <c r="Q2089" s="184" t="n">
        <v>0</v>
      </c>
      <c r="R2089" s="184" t="n">
        <v>0</v>
      </c>
      <c r="S2089" s="183" t="n">
        <v>0</v>
      </c>
      <c r="T2089" s="183" t="n">
        <v>0</v>
      </c>
      <c r="U2089" s="182" t="n">
        <v>0</v>
      </c>
      <c r="V2089" s="182" t="n">
        <v>0</v>
      </c>
      <c r="W2089" s="182" t="n">
        <v>0</v>
      </c>
      <c r="X2089" s="182" t="n">
        <v>0</v>
      </c>
      <c r="Y2089" s="182" t="n">
        <v>0</v>
      </c>
      <c r="Z2089" s="182" t="n">
        <v>0</v>
      </c>
      <c r="AA2089" s="182" t="n">
        <v>0</v>
      </c>
      <c r="AB2089" s="182" t="n">
        <v>0</v>
      </c>
      <c r="AC2089" s="182" t="n">
        <v>0</v>
      </c>
      <c r="AD2089" s="182" t="n">
        <v>0</v>
      </c>
      <c r="AE2089" s="182" t="n">
        <v>0</v>
      </c>
      <c r="AF2089" s="182" t="n">
        <v>0</v>
      </c>
      <c r="AG2089" s="182" t="n">
        <v>0</v>
      </c>
      <c r="AH2089" s="182" t="n">
        <v>0</v>
      </c>
      <c r="AI2089" s="182" t="n">
        <v>0</v>
      </c>
      <c r="AJ2089" s="182" t="n">
        <v>0</v>
      </c>
      <c r="AK2089" s="182" t="n">
        <v>0</v>
      </c>
      <c r="AL2089" s="182" t="n">
        <v>0</v>
      </c>
      <c r="AM2089" s="182" t="n">
        <v>0</v>
      </c>
      <c r="AN2089" s="182" t="n">
        <v>0</v>
      </c>
    </row>
    <row r="2090">
      <c r="A2090" s="155" t="n">
        <v>46091</v>
      </c>
      <c r="B2090" s="156" t="inlineStr">
        <is>
          <t>DS</t>
        </is>
      </c>
      <c r="C2090" s="156" t="inlineStr">
        <is>
          <t>WL-022</t>
        </is>
      </c>
      <c r="D2090" s="156" t="inlineStr">
        <is>
          <t>SANY - Loader</t>
        </is>
      </c>
      <c r="E2090" s="156" t="inlineStr">
        <is>
          <t>Loader</t>
        </is>
      </c>
      <c r="F2090" s="156" t="inlineStr">
        <is>
          <t>Support Washing Plant</t>
        </is>
      </c>
      <c r="G2090" s="182" t="n">
        <v>10.26</v>
      </c>
      <c r="H2090" s="182" t="n">
        <v>0</v>
      </c>
      <c r="I2090" s="182" t="n">
        <v>0</v>
      </c>
      <c r="J2090" s="182" t="n">
        <v>0</v>
      </c>
      <c r="K2090" s="182" t="n">
        <v>1.74</v>
      </c>
      <c r="L2090" s="182" t="n">
        <v>12</v>
      </c>
      <c r="M2090" s="182" t="n">
        <v>0</v>
      </c>
      <c r="N2090" s="182" t="n">
        <v>0</v>
      </c>
      <c r="O2090" s="183" t="n">
        <v>0</v>
      </c>
      <c r="P2090" s="183" t="n">
        <v>0</v>
      </c>
      <c r="Q2090" s="184" t="n">
        <v>0</v>
      </c>
      <c r="R2090" s="184" t="n">
        <v>0</v>
      </c>
      <c r="S2090" s="183" t="n">
        <v>0</v>
      </c>
      <c r="T2090" s="183" t="n">
        <v>0</v>
      </c>
      <c r="U2090" s="182" t="n">
        <v>0</v>
      </c>
      <c r="V2090" s="182" t="n">
        <v>0</v>
      </c>
      <c r="W2090" s="182" t="n">
        <v>0</v>
      </c>
      <c r="X2090" s="182" t="n">
        <v>0</v>
      </c>
      <c r="Y2090" s="182" t="n">
        <v>0.58</v>
      </c>
      <c r="Z2090" s="182" t="n">
        <v>0</v>
      </c>
      <c r="AA2090" s="182" t="n">
        <v>0</v>
      </c>
      <c r="AB2090" s="182" t="n">
        <v>1.16</v>
      </c>
      <c r="AC2090" s="182" t="n">
        <v>0</v>
      </c>
      <c r="AD2090" s="182" t="n">
        <v>0</v>
      </c>
      <c r="AE2090" s="182" t="n">
        <v>0</v>
      </c>
      <c r="AF2090" s="182" t="n">
        <v>0</v>
      </c>
      <c r="AG2090" s="182" t="n">
        <v>0</v>
      </c>
      <c r="AH2090" s="182" t="n">
        <v>0</v>
      </c>
      <c r="AI2090" s="182" t="n">
        <v>0</v>
      </c>
      <c r="AJ2090" s="182" t="n">
        <v>0</v>
      </c>
      <c r="AK2090" s="182" t="n">
        <v>0</v>
      </c>
      <c r="AL2090" s="182" t="n">
        <v>0</v>
      </c>
      <c r="AM2090" s="182" t="n">
        <v>0</v>
      </c>
      <c r="AN2090" s="182" t="n">
        <v>0</v>
      </c>
    </row>
    <row r="2091">
      <c r="A2091" s="155" t="n">
        <v>46091</v>
      </c>
      <c r="B2091" s="156" t="inlineStr">
        <is>
          <t>DS</t>
        </is>
      </c>
      <c r="C2091" s="156" t="inlineStr">
        <is>
          <t>WL-024</t>
        </is>
      </c>
      <c r="D2091" s="156" t="inlineStr">
        <is>
          <t>SANY - Loader</t>
        </is>
      </c>
      <c r="E2091" s="156" t="inlineStr">
        <is>
          <t>Loader</t>
        </is>
      </c>
      <c r="F2091" s="156" t="inlineStr">
        <is>
          <t>Support Washing Plant</t>
        </is>
      </c>
      <c r="G2091" s="182" t="n">
        <v>8.949999999999999</v>
      </c>
      <c r="H2091" s="182" t="n">
        <v>0</v>
      </c>
      <c r="I2091" s="182" t="n">
        <v>0</v>
      </c>
      <c r="J2091" s="182" t="n">
        <v>0</v>
      </c>
      <c r="K2091" s="182" t="n">
        <v>3.05</v>
      </c>
      <c r="L2091" s="182" t="n">
        <v>12</v>
      </c>
      <c r="M2091" s="182" t="n">
        <v>0</v>
      </c>
      <c r="N2091" s="182" t="n">
        <v>0</v>
      </c>
      <c r="O2091" s="183" t="n">
        <v>0</v>
      </c>
      <c r="P2091" s="183" t="n">
        <v>0</v>
      </c>
      <c r="Q2091" s="184" t="n">
        <v>0</v>
      </c>
      <c r="R2091" s="184" t="n">
        <v>0</v>
      </c>
      <c r="S2091" s="183" t="n">
        <v>0</v>
      </c>
      <c r="T2091" s="183" t="n">
        <v>0</v>
      </c>
      <c r="U2091" s="182" t="n">
        <v>0</v>
      </c>
      <c r="V2091" s="182" t="n">
        <v>0</v>
      </c>
      <c r="W2091" s="182" t="n">
        <v>0</v>
      </c>
      <c r="X2091" s="182" t="n">
        <v>1.02</v>
      </c>
      <c r="Y2091" s="182" t="n">
        <v>0.51</v>
      </c>
      <c r="Z2091" s="182" t="n">
        <v>0</v>
      </c>
      <c r="AA2091" s="182" t="n">
        <v>0</v>
      </c>
      <c r="AB2091" s="182" t="n">
        <v>1.02</v>
      </c>
      <c r="AC2091" s="182" t="n">
        <v>0</v>
      </c>
      <c r="AD2091" s="182" t="n">
        <v>0</v>
      </c>
      <c r="AE2091" s="182" t="n">
        <v>0</v>
      </c>
      <c r="AF2091" s="182" t="n">
        <v>0</v>
      </c>
      <c r="AG2091" s="182" t="n">
        <v>0</v>
      </c>
      <c r="AH2091" s="182" t="n">
        <v>0.43</v>
      </c>
      <c r="AI2091" s="182" t="n">
        <v>0</v>
      </c>
      <c r="AJ2091" s="182" t="n">
        <v>0</v>
      </c>
      <c r="AK2091" s="182" t="n">
        <v>0</v>
      </c>
      <c r="AL2091" s="182" t="n">
        <v>0</v>
      </c>
      <c r="AM2091" s="182" t="n">
        <v>0.08</v>
      </c>
      <c r="AN2091" s="182" t="n">
        <v>0</v>
      </c>
    </row>
    <row r="2092">
      <c r="A2092" s="155" t="n">
        <v>46091</v>
      </c>
      <c r="B2092" s="156" t="inlineStr">
        <is>
          <t>NS</t>
        </is>
      </c>
      <c r="C2092" s="156" t="inlineStr">
        <is>
          <t>DZ-034</t>
        </is>
      </c>
      <c r="D2092" s="156" t="inlineStr">
        <is>
          <t>D 68ESS-12EO</t>
        </is>
      </c>
      <c r="E2092" s="156" t="inlineStr">
        <is>
          <t>Bulldozer</t>
        </is>
      </c>
      <c r="F2092" s="156" t="inlineStr"/>
      <c r="G2092" s="182" t="n">
        <v>0</v>
      </c>
      <c r="H2092" s="182" t="n">
        <v>0</v>
      </c>
      <c r="I2092" s="182" t="n">
        <v>12</v>
      </c>
      <c r="J2092" s="182" t="n">
        <v>12</v>
      </c>
      <c r="K2092" s="182" t="n">
        <v>0</v>
      </c>
      <c r="L2092" s="182" t="n">
        <v>12</v>
      </c>
      <c r="M2092" s="182" t="n">
        <v>0</v>
      </c>
      <c r="N2092" s="182" t="n">
        <v>0</v>
      </c>
      <c r="O2092" s="183" t="n">
        <v>0</v>
      </c>
      <c r="P2092" s="183" t="n">
        <v>0</v>
      </c>
      <c r="Q2092" s="184" t="n">
        <v>0</v>
      </c>
      <c r="R2092" s="184" t="n">
        <v>0</v>
      </c>
      <c r="S2092" s="183" t="n">
        <v>0</v>
      </c>
      <c r="T2092" s="183" t="n">
        <v>0</v>
      </c>
      <c r="U2092" s="182" t="n">
        <v>0</v>
      </c>
      <c r="V2092" s="182" t="n">
        <v>0</v>
      </c>
      <c r="W2092" s="182" t="n">
        <v>0</v>
      </c>
      <c r="X2092" s="182" t="n">
        <v>0</v>
      </c>
      <c r="Y2092" s="182" t="n">
        <v>0</v>
      </c>
      <c r="Z2092" s="182" t="n">
        <v>0</v>
      </c>
      <c r="AA2092" s="182" t="n">
        <v>0</v>
      </c>
      <c r="AB2092" s="182" t="n">
        <v>0</v>
      </c>
      <c r="AC2092" s="182" t="n">
        <v>0</v>
      </c>
      <c r="AD2092" s="182" t="n">
        <v>0</v>
      </c>
      <c r="AE2092" s="182" t="n">
        <v>0</v>
      </c>
      <c r="AF2092" s="182" t="n">
        <v>0</v>
      </c>
      <c r="AG2092" s="182" t="n">
        <v>0</v>
      </c>
      <c r="AH2092" s="182" t="n">
        <v>0</v>
      </c>
      <c r="AI2092" s="182" t="n">
        <v>0</v>
      </c>
      <c r="AJ2092" s="182" t="n">
        <v>0</v>
      </c>
      <c r="AK2092" s="182" t="n">
        <v>0</v>
      </c>
      <c r="AL2092" s="182" t="n">
        <v>0</v>
      </c>
      <c r="AM2092" s="182" t="n">
        <v>0</v>
      </c>
      <c r="AN2092" s="182" t="n">
        <v>0</v>
      </c>
    </row>
    <row r="2093">
      <c r="A2093" s="155" t="n">
        <v>46091</v>
      </c>
      <c r="B2093" s="156" t="inlineStr">
        <is>
          <t>NS</t>
        </is>
      </c>
      <c r="C2093" s="156" t="inlineStr">
        <is>
          <t>DZ-033</t>
        </is>
      </c>
      <c r="D2093" s="156" t="inlineStr">
        <is>
          <t>D 375A-6R</t>
        </is>
      </c>
      <c r="E2093" s="156" t="inlineStr">
        <is>
          <t>Bulldozer</t>
        </is>
      </c>
      <c r="F2093" s="156" t="inlineStr">
        <is>
          <t>Support Disposal</t>
        </is>
      </c>
      <c r="G2093" s="182" t="n">
        <v>10.9</v>
      </c>
      <c r="H2093" s="182" t="n">
        <v>0</v>
      </c>
      <c r="I2093" s="182" t="n">
        <v>0</v>
      </c>
      <c r="J2093" s="182" t="n">
        <v>0</v>
      </c>
      <c r="K2093" s="182" t="n">
        <v>1.1</v>
      </c>
      <c r="L2093" s="182" t="n">
        <v>12</v>
      </c>
      <c r="M2093" s="182" t="n">
        <v>0</v>
      </c>
      <c r="N2093" s="182" t="n">
        <v>0</v>
      </c>
      <c r="O2093" s="183" t="n">
        <v>0</v>
      </c>
      <c r="P2093" s="183" t="n">
        <v>0</v>
      </c>
      <c r="Q2093" s="184" t="n">
        <v>0</v>
      </c>
      <c r="R2093" s="184" t="n">
        <v>0</v>
      </c>
      <c r="S2093" s="183" t="n">
        <v>0</v>
      </c>
      <c r="T2093" s="183" t="n">
        <v>0</v>
      </c>
      <c r="U2093" s="182" t="n">
        <v>0</v>
      </c>
      <c r="V2093" s="182" t="n">
        <v>0</v>
      </c>
      <c r="W2093" s="182" t="n">
        <v>0</v>
      </c>
      <c r="X2093" s="182" t="n">
        <v>1.01</v>
      </c>
      <c r="Y2093" s="182" t="n">
        <v>0</v>
      </c>
      <c r="Z2093" s="182" t="n">
        <v>0</v>
      </c>
      <c r="AA2093" s="182" t="n">
        <v>0</v>
      </c>
      <c r="AB2093" s="182" t="n">
        <v>0</v>
      </c>
      <c r="AC2093" s="182" t="n">
        <v>0</v>
      </c>
      <c r="AD2093" s="182" t="n">
        <v>0</v>
      </c>
      <c r="AE2093" s="182" t="n">
        <v>0</v>
      </c>
      <c r="AF2093" s="182" t="n">
        <v>0</v>
      </c>
      <c r="AG2093" s="182" t="n">
        <v>0</v>
      </c>
      <c r="AH2093" s="182" t="n">
        <v>0</v>
      </c>
      <c r="AI2093" s="182" t="n">
        <v>0</v>
      </c>
      <c r="AJ2093" s="182" t="n">
        <v>0</v>
      </c>
      <c r="AK2093" s="182" t="n">
        <v>0</v>
      </c>
      <c r="AL2093" s="182" t="n">
        <v>0</v>
      </c>
      <c r="AM2093" s="182" t="n">
        <v>0.09</v>
      </c>
      <c r="AN2093" s="182" t="n">
        <v>0</v>
      </c>
    </row>
    <row r="2094">
      <c r="A2094" s="155" t="n">
        <v>46091</v>
      </c>
      <c r="B2094" s="156" t="inlineStr">
        <is>
          <t>NS</t>
        </is>
      </c>
      <c r="C2094" s="156" t="inlineStr">
        <is>
          <t>DZ-038</t>
        </is>
      </c>
      <c r="D2094" s="156" t="inlineStr">
        <is>
          <t>D 85 ESS-2</t>
        </is>
      </c>
      <c r="E2094" s="156" t="inlineStr">
        <is>
          <t>Bulldozer</t>
        </is>
      </c>
      <c r="F2094" s="156" t="inlineStr">
        <is>
          <t>Support Front Loading</t>
        </is>
      </c>
      <c r="G2094" s="182" t="n">
        <v>1.34</v>
      </c>
      <c r="H2094" s="182" t="n">
        <v>0</v>
      </c>
      <c r="I2094" s="182" t="n">
        <v>10.5</v>
      </c>
      <c r="J2094" s="182" t="n">
        <v>10.5</v>
      </c>
      <c r="K2094" s="182" t="n">
        <v>0.16</v>
      </c>
      <c r="L2094" s="182" t="n">
        <v>12</v>
      </c>
      <c r="M2094" s="182" t="n">
        <v>0</v>
      </c>
      <c r="N2094" s="182" t="n">
        <v>0</v>
      </c>
      <c r="O2094" s="183" t="n">
        <v>0</v>
      </c>
      <c r="P2094" s="183" t="n">
        <v>0</v>
      </c>
      <c r="Q2094" s="184" t="n">
        <v>0</v>
      </c>
      <c r="R2094" s="184" t="n">
        <v>0</v>
      </c>
      <c r="S2094" s="183" t="n">
        <v>0</v>
      </c>
      <c r="T2094" s="183" t="n">
        <v>0</v>
      </c>
      <c r="U2094" s="182" t="n">
        <v>0</v>
      </c>
      <c r="V2094" s="182" t="n">
        <v>0</v>
      </c>
      <c r="W2094" s="182" t="n">
        <v>0</v>
      </c>
      <c r="X2094" s="182" t="n">
        <v>0.1</v>
      </c>
      <c r="Y2094" s="182" t="n">
        <v>0</v>
      </c>
      <c r="Z2094" s="182" t="n">
        <v>0</v>
      </c>
      <c r="AA2094" s="182" t="n">
        <v>0</v>
      </c>
      <c r="AB2094" s="182" t="n">
        <v>0</v>
      </c>
      <c r="AC2094" s="182" t="n">
        <v>0</v>
      </c>
      <c r="AD2094" s="182" t="n">
        <v>0</v>
      </c>
      <c r="AE2094" s="182" t="n">
        <v>0</v>
      </c>
      <c r="AF2094" s="182" t="n">
        <v>0</v>
      </c>
      <c r="AG2094" s="182" t="n">
        <v>0</v>
      </c>
      <c r="AH2094" s="182" t="n">
        <v>0</v>
      </c>
      <c r="AI2094" s="182" t="n">
        <v>0</v>
      </c>
      <c r="AJ2094" s="182" t="n">
        <v>0</v>
      </c>
      <c r="AK2094" s="182" t="n">
        <v>0</v>
      </c>
      <c r="AL2094" s="182" t="n">
        <v>0</v>
      </c>
      <c r="AM2094" s="182" t="n">
        <v>0.06</v>
      </c>
      <c r="AN2094" s="182" t="n">
        <v>0</v>
      </c>
    </row>
    <row r="2095">
      <c r="A2095" s="155" t="n">
        <v>46091</v>
      </c>
      <c r="B2095" s="156" t="inlineStr">
        <is>
          <t>NS</t>
        </is>
      </c>
      <c r="C2095" s="156" t="inlineStr">
        <is>
          <t>DZ-039</t>
        </is>
      </c>
      <c r="D2095" s="156" t="inlineStr">
        <is>
          <t>D 85 ESS-2</t>
        </is>
      </c>
      <c r="E2095" s="156" t="inlineStr">
        <is>
          <t>Bulldozer</t>
        </is>
      </c>
      <c r="F2095" s="156" t="inlineStr">
        <is>
          <t>Support Front Loading</t>
        </is>
      </c>
      <c r="G2095" s="182" t="n">
        <v>9.67</v>
      </c>
      <c r="H2095" s="182" t="n">
        <v>0</v>
      </c>
      <c r="I2095" s="182" t="n">
        <v>1.28</v>
      </c>
      <c r="J2095" s="182" t="n">
        <v>1.28</v>
      </c>
      <c r="K2095" s="182" t="n">
        <v>1.05</v>
      </c>
      <c r="L2095" s="182" t="n">
        <v>12</v>
      </c>
      <c r="M2095" s="182" t="n">
        <v>0</v>
      </c>
      <c r="N2095" s="182" t="n">
        <v>0</v>
      </c>
      <c r="O2095" s="183" t="n">
        <v>0</v>
      </c>
      <c r="P2095" s="183" t="n">
        <v>0</v>
      </c>
      <c r="Q2095" s="184" t="n">
        <v>0</v>
      </c>
      <c r="R2095" s="184" t="n">
        <v>0</v>
      </c>
      <c r="S2095" s="183" t="n">
        <v>0</v>
      </c>
      <c r="T2095" s="183" t="n">
        <v>0</v>
      </c>
      <c r="U2095" s="182" t="n">
        <v>0</v>
      </c>
      <c r="V2095" s="182" t="n">
        <v>0</v>
      </c>
      <c r="W2095" s="182" t="n">
        <v>0</v>
      </c>
      <c r="X2095" s="182" t="n">
        <v>0.92</v>
      </c>
      <c r="Y2095" s="182" t="n">
        <v>0</v>
      </c>
      <c r="Z2095" s="182" t="n">
        <v>0</v>
      </c>
      <c r="AA2095" s="182" t="n">
        <v>0</v>
      </c>
      <c r="AB2095" s="182" t="n">
        <v>0</v>
      </c>
      <c r="AC2095" s="182" t="n">
        <v>0</v>
      </c>
      <c r="AD2095" s="182" t="n">
        <v>0</v>
      </c>
      <c r="AE2095" s="182" t="n">
        <v>0</v>
      </c>
      <c r="AF2095" s="182" t="n">
        <v>0</v>
      </c>
      <c r="AG2095" s="182" t="n">
        <v>0</v>
      </c>
      <c r="AH2095" s="182" t="n">
        <v>0</v>
      </c>
      <c r="AI2095" s="182" t="n">
        <v>0</v>
      </c>
      <c r="AJ2095" s="182" t="n">
        <v>0</v>
      </c>
      <c r="AK2095" s="182" t="n">
        <v>0</v>
      </c>
      <c r="AL2095" s="182" t="n">
        <v>0</v>
      </c>
      <c r="AM2095" s="182" t="n">
        <v>0.12</v>
      </c>
      <c r="AN2095" s="182" t="n">
        <v>0</v>
      </c>
    </row>
    <row r="2096">
      <c r="A2096" s="155" t="n">
        <v>46091</v>
      </c>
      <c r="B2096" s="156" t="inlineStr">
        <is>
          <t>NS</t>
        </is>
      </c>
      <c r="C2096" s="156" t="inlineStr">
        <is>
          <t>DZ-032</t>
        </is>
      </c>
      <c r="D2096" s="156" t="inlineStr">
        <is>
          <t>CAT</t>
        </is>
      </c>
      <c r="E2096" s="156" t="inlineStr">
        <is>
          <t>Bulldozer</t>
        </is>
      </c>
      <c r="F2096" s="156" t="inlineStr">
        <is>
          <t>Support Front Loading</t>
        </is>
      </c>
      <c r="G2096" s="182" t="n">
        <v>9.6</v>
      </c>
      <c r="H2096" s="182" t="n">
        <v>0</v>
      </c>
      <c r="I2096" s="182" t="n">
        <v>0</v>
      </c>
      <c r="J2096" s="182" t="n">
        <v>0</v>
      </c>
      <c r="K2096" s="182" t="n">
        <v>2.4</v>
      </c>
      <c r="L2096" s="182" t="n">
        <v>12</v>
      </c>
      <c r="M2096" s="182" t="n">
        <v>0</v>
      </c>
      <c r="N2096" s="182" t="n">
        <v>0</v>
      </c>
      <c r="O2096" s="183" t="n">
        <v>0</v>
      </c>
      <c r="P2096" s="183" t="n">
        <v>0</v>
      </c>
      <c r="Q2096" s="184" t="n">
        <v>0</v>
      </c>
      <c r="R2096" s="184" t="n">
        <v>0</v>
      </c>
      <c r="S2096" s="183" t="n">
        <v>0</v>
      </c>
      <c r="T2096" s="183" t="n">
        <v>0</v>
      </c>
      <c r="U2096" s="182" t="n">
        <v>0</v>
      </c>
      <c r="V2096" s="182" t="n">
        <v>1.27</v>
      </c>
      <c r="W2096" s="182" t="n">
        <v>0</v>
      </c>
      <c r="X2096" s="182" t="n">
        <v>1.04</v>
      </c>
      <c r="Y2096" s="182" t="n">
        <v>0</v>
      </c>
      <c r="Z2096" s="182" t="n">
        <v>0</v>
      </c>
      <c r="AA2096" s="182" t="n">
        <v>0</v>
      </c>
      <c r="AB2096" s="182" t="n">
        <v>0</v>
      </c>
      <c r="AC2096" s="182" t="n">
        <v>0</v>
      </c>
      <c r="AD2096" s="182" t="n">
        <v>0</v>
      </c>
      <c r="AE2096" s="182" t="n">
        <v>0</v>
      </c>
      <c r="AF2096" s="182" t="n">
        <v>0</v>
      </c>
      <c r="AG2096" s="182" t="n">
        <v>0</v>
      </c>
      <c r="AH2096" s="182" t="n">
        <v>0</v>
      </c>
      <c r="AI2096" s="182" t="n">
        <v>0</v>
      </c>
      <c r="AJ2096" s="182" t="n">
        <v>0</v>
      </c>
      <c r="AK2096" s="182" t="n">
        <v>0</v>
      </c>
      <c r="AL2096" s="182" t="n">
        <v>0</v>
      </c>
      <c r="AM2096" s="182" t="n">
        <v>0.08</v>
      </c>
      <c r="AN2096" s="182" t="n">
        <v>0</v>
      </c>
    </row>
    <row r="2097">
      <c r="A2097" s="155" t="n">
        <v>46091</v>
      </c>
      <c r="B2097" s="156" t="inlineStr">
        <is>
          <t>NS</t>
        </is>
      </c>
      <c r="C2097" s="156" t="inlineStr">
        <is>
          <t>DZ-031</t>
        </is>
      </c>
      <c r="D2097" s="156" t="inlineStr">
        <is>
          <t>CAT</t>
        </is>
      </c>
      <c r="E2097" s="156" t="inlineStr">
        <is>
          <t>Bulldozer</t>
        </is>
      </c>
      <c r="F2097" s="156" t="inlineStr"/>
      <c r="G2097" s="182" t="n">
        <v>0</v>
      </c>
      <c r="H2097" s="182" t="n">
        <v>0</v>
      </c>
      <c r="I2097" s="182" t="n">
        <v>0</v>
      </c>
      <c r="J2097" s="182" t="n">
        <v>0</v>
      </c>
      <c r="K2097" s="182" t="n">
        <v>12</v>
      </c>
      <c r="L2097" s="182" t="n">
        <v>12</v>
      </c>
      <c r="M2097" s="182" t="n">
        <v>0</v>
      </c>
      <c r="N2097" s="182" t="n">
        <v>0</v>
      </c>
      <c r="O2097" s="183" t="n">
        <v>0</v>
      </c>
      <c r="P2097" s="183" t="n">
        <v>0</v>
      </c>
      <c r="Q2097" s="184" t="n">
        <v>0</v>
      </c>
      <c r="R2097" s="184" t="n">
        <v>0</v>
      </c>
      <c r="S2097" s="183" t="n">
        <v>0</v>
      </c>
      <c r="T2097" s="183" t="n">
        <v>0</v>
      </c>
      <c r="U2097" s="182" t="n">
        <v>0</v>
      </c>
      <c r="V2097" s="182" t="n">
        <v>0</v>
      </c>
      <c r="W2097" s="182" t="n">
        <v>0</v>
      </c>
      <c r="X2097" s="182" t="n">
        <v>1</v>
      </c>
      <c r="Y2097" s="182" t="n">
        <v>0</v>
      </c>
      <c r="Z2097" s="182" t="n">
        <v>0</v>
      </c>
      <c r="AA2097" s="182" t="n">
        <v>0</v>
      </c>
      <c r="AB2097" s="182" t="n">
        <v>0</v>
      </c>
      <c r="AC2097" s="182" t="n">
        <v>0</v>
      </c>
      <c r="AD2097" s="182" t="n">
        <v>0</v>
      </c>
      <c r="AE2097" s="182" t="n">
        <v>0</v>
      </c>
      <c r="AF2097" s="182" t="n">
        <v>0</v>
      </c>
      <c r="AG2097" s="182" t="n">
        <v>0</v>
      </c>
      <c r="AH2097" s="182" t="n">
        <v>0</v>
      </c>
      <c r="AI2097" s="182" t="n">
        <v>0</v>
      </c>
      <c r="AJ2097" s="182" t="n">
        <v>0</v>
      </c>
      <c r="AK2097" s="182" t="n">
        <v>10.92</v>
      </c>
      <c r="AL2097" s="182" t="n">
        <v>0</v>
      </c>
      <c r="AM2097" s="182" t="n">
        <v>0.08</v>
      </c>
      <c r="AN2097" s="182" t="n">
        <v>0</v>
      </c>
    </row>
    <row r="2098">
      <c r="A2098" s="155" t="n">
        <v>46091</v>
      </c>
      <c r="B2098" s="156" t="inlineStr">
        <is>
          <t>NS</t>
        </is>
      </c>
      <c r="C2098" s="156" t="inlineStr">
        <is>
          <t>DZ-037</t>
        </is>
      </c>
      <c r="D2098" s="156" t="inlineStr">
        <is>
          <t>D 85 ESS-2</t>
        </is>
      </c>
      <c r="E2098" s="156" t="inlineStr">
        <is>
          <t>Bulldozer</t>
        </is>
      </c>
      <c r="F2098" s="156" t="inlineStr"/>
      <c r="G2098" s="182" t="n">
        <v>0</v>
      </c>
      <c r="H2098" s="182" t="n">
        <v>0</v>
      </c>
      <c r="I2098" s="182" t="n">
        <v>12</v>
      </c>
      <c r="J2098" s="182" t="n">
        <v>12</v>
      </c>
      <c r="K2098" s="182" t="n">
        <v>0</v>
      </c>
      <c r="L2098" s="182" t="n">
        <v>12</v>
      </c>
      <c r="M2098" s="182" t="n">
        <v>0</v>
      </c>
      <c r="N2098" s="182" t="n">
        <v>0</v>
      </c>
      <c r="O2098" s="183" t="n">
        <v>0</v>
      </c>
      <c r="P2098" s="183" t="n">
        <v>0</v>
      </c>
      <c r="Q2098" s="184" t="n">
        <v>0</v>
      </c>
      <c r="R2098" s="184" t="n">
        <v>0</v>
      </c>
      <c r="S2098" s="183" t="n">
        <v>0</v>
      </c>
      <c r="T2098" s="183" t="n">
        <v>0</v>
      </c>
      <c r="U2098" s="182" t="n">
        <v>0</v>
      </c>
      <c r="V2098" s="182" t="n">
        <v>0</v>
      </c>
      <c r="W2098" s="182" t="n">
        <v>0</v>
      </c>
      <c r="X2098" s="182" t="n">
        <v>0</v>
      </c>
      <c r="Y2098" s="182" t="n">
        <v>0</v>
      </c>
      <c r="Z2098" s="182" t="n">
        <v>0</v>
      </c>
      <c r="AA2098" s="182" t="n">
        <v>0</v>
      </c>
      <c r="AB2098" s="182" t="n">
        <v>0</v>
      </c>
      <c r="AC2098" s="182" t="n">
        <v>0</v>
      </c>
      <c r="AD2098" s="182" t="n">
        <v>0</v>
      </c>
      <c r="AE2098" s="182" t="n">
        <v>0</v>
      </c>
      <c r="AF2098" s="182" t="n">
        <v>0</v>
      </c>
      <c r="AG2098" s="182" t="n">
        <v>0</v>
      </c>
      <c r="AH2098" s="182" t="n">
        <v>0</v>
      </c>
      <c r="AI2098" s="182" t="n">
        <v>0</v>
      </c>
      <c r="AJ2098" s="182" t="n">
        <v>0</v>
      </c>
      <c r="AK2098" s="182" t="n">
        <v>0</v>
      </c>
      <c r="AL2098" s="182" t="n">
        <v>0</v>
      </c>
      <c r="AM2098" s="182" t="n">
        <v>0</v>
      </c>
      <c r="AN2098" s="182" t="n">
        <v>0</v>
      </c>
    </row>
    <row r="2099">
      <c r="A2099" s="155" t="n">
        <v>46091</v>
      </c>
      <c r="B2099" s="156" t="inlineStr">
        <is>
          <t>NS</t>
        </is>
      </c>
      <c r="C2099" s="156" t="inlineStr">
        <is>
          <t>DZ-036</t>
        </is>
      </c>
      <c r="D2099" s="156" t="inlineStr">
        <is>
          <t>D 85 ESS-2</t>
        </is>
      </c>
      <c r="E2099" s="156" t="inlineStr">
        <is>
          <t>Bulldozer</t>
        </is>
      </c>
      <c r="F2099" s="156" t="inlineStr"/>
      <c r="G2099" s="182" t="n">
        <v>0</v>
      </c>
      <c r="H2099" s="182" t="n">
        <v>0</v>
      </c>
      <c r="I2099" s="182" t="n">
        <v>0</v>
      </c>
      <c r="J2099" s="182" t="n">
        <v>0</v>
      </c>
      <c r="K2099" s="182" t="n">
        <v>12</v>
      </c>
      <c r="L2099" s="182" t="n">
        <v>12</v>
      </c>
      <c r="M2099" s="182" t="n">
        <v>0</v>
      </c>
      <c r="N2099" s="182" t="n">
        <v>0</v>
      </c>
      <c r="O2099" s="183" t="n">
        <v>0</v>
      </c>
      <c r="P2099" s="183" t="n">
        <v>0</v>
      </c>
      <c r="Q2099" s="184" t="n">
        <v>0</v>
      </c>
      <c r="R2099" s="184" t="n">
        <v>0</v>
      </c>
      <c r="S2099" s="183" t="n">
        <v>0</v>
      </c>
      <c r="T2099" s="183" t="n">
        <v>0</v>
      </c>
      <c r="U2099" s="182" t="n">
        <v>0</v>
      </c>
      <c r="V2099" s="182" t="n">
        <v>0</v>
      </c>
      <c r="W2099" s="182" t="n">
        <v>0</v>
      </c>
      <c r="X2099" s="182" t="n">
        <v>1</v>
      </c>
      <c r="Y2099" s="182" t="n">
        <v>0</v>
      </c>
      <c r="Z2099" s="182" t="n">
        <v>0</v>
      </c>
      <c r="AA2099" s="182" t="n">
        <v>0</v>
      </c>
      <c r="AB2099" s="182" t="n">
        <v>0</v>
      </c>
      <c r="AC2099" s="182" t="n">
        <v>0</v>
      </c>
      <c r="AD2099" s="182" t="n">
        <v>0</v>
      </c>
      <c r="AE2099" s="182" t="n">
        <v>0</v>
      </c>
      <c r="AF2099" s="182" t="n">
        <v>0</v>
      </c>
      <c r="AG2099" s="182" t="n">
        <v>0</v>
      </c>
      <c r="AH2099" s="182" t="n">
        <v>0</v>
      </c>
      <c r="AI2099" s="182" t="n">
        <v>0</v>
      </c>
      <c r="AJ2099" s="182" t="n">
        <v>0</v>
      </c>
      <c r="AK2099" s="182" t="n">
        <v>10.92</v>
      </c>
      <c r="AL2099" s="182" t="n">
        <v>0</v>
      </c>
      <c r="AM2099" s="182" t="n">
        <v>0.08</v>
      </c>
      <c r="AN2099" s="182" t="n">
        <v>0</v>
      </c>
    </row>
    <row r="2100">
      <c r="A2100" s="155" t="n">
        <v>46091</v>
      </c>
      <c r="B2100" s="156" t="inlineStr">
        <is>
          <t>NS</t>
        </is>
      </c>
      <c r="C2100" s="156" t="inlineStr">
        <is>
          <t>DZ-035</t>
        </is>
      </c>
      <c r="D2100" s="156" t="inlineStr">
        <is>
          <t>D 85 ESS-2</t>
        </is>
      </c>
      <c r="E2100" s="156" t="inlineStr">
        <is>
          <t>Bulldozer</t>
        </is>
      </c>
      <c r="F2100" s="156" t="inlineStr"/>
      <c r="G2100" s="182" t="n">
        <v>0</v>
      </c>
      <c r="H2100" s="182" t="n">
        <v>0</v>
      </c>
      <c r="I2100" s="182" t="n">
        <v>2.5</v>
      </c>
      <c r="J2100" s="182" t="n">
        <v>2.5</v>
      </c>
      <c r="K2100" s="182" t="n">
        <v>9.5</v>
      </c>
      <c r="L2100" s="182" t="n">
        <v>12</v>
      </c>
      <c r="M2100" s="182" t="n">
        <v>0</v>
      </c>
      <c r="N2100" s="182" t="n">
        <v>0</v>
      </c>
      <c r="O2100" s="183" t="n">
        <v>0</v>
      </c>
      <c r="P2100" s="183" t="n">
        <v>0</v>
      </c>
      <c r="Q2100" s="184" t="n">
        <v>0</v>
      </c>
      <c r="R2100" s="184" t="n">
        <v>0</v>
      </c>
      <c r="S2100" s="183" t="n">
        <v>0</v>
      </c>
      <c r="T2100" s="183" t="n">
        <v>0</v>
      </c>
      <c r="U2100" s="182" t="n">
        <v>0</v>
      </c>
      <c r="V2100" s="182" t="n">
        <v>3</v>
      </c>
      <c r="W2100" s="182" t="n">
        <v>0</v>
      </c>
      <c r="X2100" s="182" t="n">
        <v>1</v>
      </c>
      <c r="Y2100" s="182" t="n">
        <v>0</v>
      </c>
      <c r="Z2100" s="182" t="n">
        <v>0</v>
      </c>
      <c r="AA2100" s="182" t="n">
        <v>0</v>
      </c>
      <c r="AB2100" s="182" t="n">
        <v>0</v>
      </c>
      <c r="AC2100" s="182" t="n">
        <v>0</v>
      </c>
      <c r="AD2100" s="182" t="n">
        <v>0</v>
      </c>
      <c r="AE2100" s="182" t="n">
        <v>0</v>
      </c>
      <c r="AF2100" s="182" t="n">
        <v>0</v>
      </c>
      <c r="AG2100" s="182" t="n">
        <v>0</v>
      </c>
      <c r="AH2100" s="182" t="n">
        <v>0</v>
      </c>
      <c r="AI2100" s="182" t="n">
        <v>0</v>
      </c>
      <c r="AJ2100" s="182" t="n">
        <v>0</v>
      </c>
      <c r="AK2100" s="182" t="n">
        <v>5.42</v>
      </c>
      <c r="AL2100" s="182" t="n">
        <v>0</v>
      </c>
      <c r="AM2100" s="182" t="n">
        <v>0.08</v>
      </c>
      <c r="AN2100" s="182" t="n">
        <v>0</v>
      </c>
    </row>
    <row r="2101">
      <c r="A2101" s="155" t="n">
        <v>46091</v>
      </c>
      <c r="B2101" s="156" t="inlineStr">
        <is>
          <t>NS</t>
        </is>
      </c>
      <c r="C2101" s="156" t="inlineStr">
        <is>
          <t>CP-042</t>
        </is>
      </c>
      <c r="D2101" s="156" t="inlineStr">
        <is>
          <t>SANY - Compactor</t>
        </is>
      </c>
      <c r="E2101" s="156" t="inlineStr">
        <is>
          <t>Compactor</t>
        </is>
      </c>
      <c r="F2101" s="156" t="inlineStr"/>
      <c r="G2101" s="182" t="n">
        <v>0</v>
      </c>
      <c r="H2101" s="182" t="n">
        <v>0</v>
      </c>
      <c r="I2101" s="182" t="n">
        <v>0</v>
      </c>
      <c r="J2101" s="182" t="n">
        <v>0</v>
      </c>
      <c r="K2101" s="182" t="n">
        <v>12</v>
      </c>
      <c r="L2101" s="182" t="n">
        <v>12</v>
      </c>
      <c r="M2101" s="182" t="n">
        <v>0</v>
      </c>
      <c r="N2101" s="182" t="n">
        <v>0</v>
      </c>
      <c r="O2101" s="183" t="n">
        <v>0</v>
      </c>
      <c r="P2101" s="183" t="n">
        <v>0</v>
      </c>
      <c r="Q2101" s="184" t="n">
        <v>0</v>
      </c>
      <c r="R2101" s="184" t="n">
        <v>0</v>
      </c>
      <c r="S2101" s="183" t="n">
        <v>0</v>
      </c>
      <c r="T2101" s="183" t="n">
        <v>0</v>
      </c>
      <c r="U2101" s="182" t="n">
        <v>0</v>
      </c>
      <c r="V2101" s="182" t="n">
        <v>0</v>
      </c>
      <c r="W2101" s="182" t="n">
        <v>0</v>
      </c>
      <c r="X2101" s="182" t="n">
        <v>1</v>
      </c>
      <c r="Y2101" s="182" t="n">
        <v>0</v>
      </c>
      <c r="Z2101" s="182" t="n">
        <v>0</v>
      </c>
      <c r="AA2101" s="182" t="n">
        <v>0</v>
      </c>
      <c r="AB2101" s="182" t="n">
        <v>0</v>
      </c>
      <c r="AC2101" s="182" t="n">
        <v>0</v>
      </c>
      <c r="AD2101" s="182" t="n">
        <v>0</v>
      </c>
      <c r="AE2101" s="182" t="n">
        <v>0</v>
      </c>
      <c r="AF2101" s="182" t="n">
        <v>0</v>
      </c>
      <c r="AG2101" s="182" t="n">
        <v>0</v>
      </c>
      <c r="AH2101" s="182" t="n">
        <v>0</v>
      </c>
      <c r="AI2101" s="182" t="n">
        <v>0</v>
      </c>
      <c r="AJ2101" s="182" t="n">
        <v>0</v>
      </c>
      <c r="AK2101" s="182" t="n">
        <v>10.92</v>
      </c>
      <c r="AL2101" s="182" t="n">
        <v>0</v>
      </c>
      <c r="AM2101" s="182" t="n">
        <v>0.08</v>
      </c>
      <c r="AN2101" s="182" t="n">
        <v>0</v>
      </c>
    </row>
    <row r="2102">
      <c r="A2102" s="155" t="n">
        <v>46091</v>
      </c>
      <c r="B2102" s="156" t="inlineStr">
        <is>
          <t>NS</t>
        </is>
      </c>
      <c r="C2102" s="156" t="inlineStr">
        <is>
          <t>CP-041</t>
        </is>
      </c>
      <c r="D2102" s="156" t="inlineStr">
        <is>
          <t>SANY - Compactor</t>
        </is>
      </c>
      <c r="E2102" s="156" t="inlineStr">
        <is>
          <t>Compactor</t>
        </is>
      </c>
      <c r="F2102" s="156" t="inlineStr"/>
      <c r="G2102" s="182" t="n">
        <v>0</v>
      </c>
      <c r="H2102" s="182" t="n">
        <v>0</v>
      </c>
      <c r="I2102" s="182" t="n">
        <v>0</v>
      </c>
      <c r="J2102" s="182" t="n">
        <v>0</v>
      </c>
      <c r="K2102" s="182" t="n">
        <v>12</v>
      </c>
      <c r="L2102" s="182" t="n">
        <v>12</v>
      </c>
      <c r="M2102" s="182" t="n">
        <v>0</v>
      </c>
      <c r="N2102" s="182" t="n">
        <v>0</v>
      </c>
      <c r="O2102" s="183" t="n">
        <v>0</v>
      </c>
      <c r="P2102" s="183" t="n">
        <v>0</v>
      </c>
      <c r="Q2102" s="184" t="n">
        <v>0</v>
      </c>
      <c r="R2102" s="184" t="n">
        <v>0</v>
      </c>
      <c r="S2102" s="183" t="n">
        <v>0</v>
      </c>
      <c r="T2102" s="183" t="n">
        <v>0</v>
      </c>
      <c r="U2102" s="182" t="n">
        <v>0</v>
      </c>
      <c r="V2102" s="182" t="n">
        <v>0</v>
      </c>
      <c r="W2102" s="182" t="n">
        <v>0</v>
      </c>
      <c r="X2102" s="182" t="n">
        <v>1</v>
      </c>
      <c r="Y2102" s="182" t="n">
        <v>0</v>
      </c>
      <c r="Z2102" s="182" t="n">
        <v>0</v>
      </c>
      <c r="AA2102" s="182" t="n">
        <v>0</v>
      </c>
      <c r="AB2102" s="182" t="n">
        <v>0</v>
      </c>
      <c r="AC2102" s="182" t="n">
        <v>0</v>
      </c>
      <c r="AD2102" s="182" t="n">
        <v>0</v>
      </c>
      <c r="AE2102" s="182" t="n">
        <v>0</v>
      </c>
      <c r="AF2102" s="182" t="n">
        <v>0</v>
      </c>
      <c r="AG2102" s="182" t="n">
        <v>0</v>
      </c>
      <c r="AH2102" s="182" t="n">
        <v>0</v>
      </c>
      <c r="AI2102" s="182" t="n">
        <v>0</v>
      </c>
      <c r="AJ2102" s="182" t="n">
        <v>0</v>
      </c>
      <c r="AK2102" s="182" t="n">
        <v>10.92</v>
      </c>
      <c r="AL2102" s="182" t="n">
        <v>0</v>
      </c>
      <c r="AM2102" s="182" t="n">
        <v>0.08</v>
      </c>
      <c r="AN2102" s="182" t="n">
        <v>0</v>
      </c>
    </row>
    <row r="2103">
      <c r="A2103" s="155" t="n">
        <v>46091</v>
      </c>
      <c r="B2103" s="156" t="inlineStr">
        <is>
          <t>NS</t>
        </is>
      </c>
      <c r="C2103" s="156" t="inlineStr">
        <is>
          <t>HT-418</t>
        </is>
      </c>
      <c r="D2103" s="156" t="inlineStr">
        <is>
          <t>SY430</t>
        </is>
      </c>
      <c r="E2103" s="156" t="inlineStr">
        <is>
          <t>DT Hauling</t>
        </is>
      </c>
      <c r="F2103" s="156" t="inlineStr"/>
      <c r="G2103" s="182" t="n">
        <v>0</v>
      </c>
      <c r="H2103" s="182" t="n">
        <v>0</v>
      </c>
      <c r="I2103" s="182" t="n">
        <v>0</v>
      </c>
      <c r="J2103" s="182" t="n">
        <v>0</v>
      </c>
      <c r="K2103" s="182" t="n">
        <v>12</v>
      </c>
      <c r="L2103" s="182" t="n">
        <v>12</v>
      </c>
      <c r="M2103" s="182" t="n">
        <v>0</v>
      </c>
      <c r="N2103" s="182" t="n">
        <v>0</v>
      </c>
      <c r="O2103" s="183" t="n">
        <v>0</v>
      </c>
      <c r="P2103" s="183" t="n">
        <v>0</v>
      </c>
      <c r="Q2103" s="184" t="n">
        <v>0</v>
      </c>
      <c r="R2103" s="184" t="n">
        <v>0</v>
      </c>
      <c r="S2103" s="183" t="n">
        <v>0</v>
      </c>
      <c r="T2103" s="183" t="n">
        <v>0</v>
      </c>
      <c r="U2103" s="182" t="n">
        <v>0</v>
      </c>
      <c r="V2103" s="182" t="n">
        <v>0</v>
      </c>
      <c r="W2103" s="182" t="n">
        <v>0</v>
      </c>
      <c r="X2103" s="182" t="n">
        <v>1</v>
      </c>
      <c r="Y2103" s="182" t="n">
        <v>0</v>
      </c>
      <c r="Z2103" s="182" t="n">
        <v>0</v>
      </c>
      <c r="AA2103" s="182" t="n">
        <v>0</v>
      </c>
      <c r="AB2103" s="182" t="n">
        <v>0</v>
      </c>
      <c r="AC2103" s="182" t="n">
        <v>0</v>
      </c>
      <c r="AD2103" s="182" t="n">
        <v>0</v>
      </c>
      <c r="AE2103" s="182" t="n">
        <v>0</v>
      </c>
      <c r="AF2103" s="182" t="n">
        <v>0</v>
      </c>
      <c r="AG2103" s="182" t="n">
        <v>0</v>
      </c>
      <c r="AH2103" s="182" t="n">
        <v>0</v>
      </c>
      <c r="AI2103" s="182" t="n">
        <v>0</v>
      </c>
      <c r="AJ2103" s="182" t="n">
        <v>0</v>
      </c>
      <c r="AK2103" s="182" t="n">
        <v>10.92</v>
      </c>
      <c r="AL2103" s="182" t="n">
        <v>0</v>
      </c>
      <c r="AM2103" s="182" t="n">
        <v>0.08</v>
      </c>
      <c r="AN2103" s="182" t="n">
        <v>0</v>
      </c>
    </row>
    <row r="2104">
      <c r="A2104" s="155" t="n">
        <v>46091</v>
      </c>
      <c r="B2104" s="156" t="inlineStr">
        <is>
          <t>NS</t>
        </is>
      </c>
      <c r="C2104" s="156" t="inlineStr">
        <is>
          <t>HT-404</t>
        </is>
      </c>
      <c r="D2104" s="156" t="inlineStr">
        <is>
          <t>SY430</t>
        </is>
      </c>
      <c r="E2104" s="156" t="inlineStr">
        <is>
          <t>DT Hauling</t>
        </is>
      </c>
      <c r="F2104" s="156" t="inlineStr"/>
      <c r="G2104" s="182" t="n">
        <v>0</v>
      </c>
      <c r="H2104" s="182" t="n">
        <v>0</v>
      </c>
      <c r="I2104" s="182" t="n">
        <v>0</v>
      </c>
      <c r="J2104" s="182" t="n">
        <v>0</v>
      </c>
      <c r="K2104" s="182" t="n">
        <v>12</v>
      </c>
      <c r="L2104" s="182" t="n">
        <v>12</v>
      </c>
      <c r="M2104" s="182" t="n">
        <v>0</v>
      </c>
      <c r="N2104" s="182" t="n">
        <v>0</v>
      </c>
      <c r="O2104" s="183" t="n">
        <v>0</v>
      </c>
      <c r="P2104" s="183" t="n">
        <v>0</v>
      </c>
      <c r="Q2104" s="184" t="n">
        <v>0</v>
      </c>
      <c r="R2104" s="184" t="n">
        <v>0</v>
      </c>
      <c r="S2104" s="183" t="n">
        <v>0</v>
      </c>
      <c r="T2104" s="183" t="n">
        <v>0</v>
      </c>
      <c r="U2104" s="182" t="n">
        <v>0</v>
      </c>
      <c r="V2104" s="182" t="n">
        <v>0</v>
      </c>
      <c r="W2104" s="182" t="n">
        <v>0</v>
      </c>
      <c r="X2104" s="182" t="n">
        <v>1</v>
      </c>
      <c r="Y2104" s="182" t="n">
        <v>0</v>
      </c>
      <c r="Z2104" s="182" t="n">
        <v>0</v>
      </c>
      <c r="AA2104" s="182" t="n">
        <v>0</v>
      </c>
      <c r="AB2104" s="182" t="n">
        <v>0</v>
      </c>
      <c r="AC2104" s="182" t="n">
        <v>0</v>
      </c>
      <c r="AD2104" s="182" t="n">
        <v>0</v>
      </c>
      <c r="AE2104" s="182" t="n">
        <v>0</v>
      </c>
      <c r="AF2104" s="182" t="n">
        <v>0</v>
      </c>
      <c r="AG2104" s="182" t="n">
        <v>0</v>
      </c>
      <c r="AH2104" s="182" t="n">
        <v>0</v>
      </c>
      <c r="AI2104" s="182" t="n">
        <v>0</v>
      </c>
      <c r="AJ2104" s="182" t="n">
        <v>0</v>
      </c>
      <c r="AK2104" s="182" t="n">
        <v>10.92</v>
      </c>
      <c r="AL2104" s="182" t="n">
        <v>0</v>
      </c>
      <c r="AM2104" s="182" t="n">
        <v>0.08</v>
      </c>
      <c r="AN2104" s="182" t="n">
        <v>0</v>
      </c>
    </row>
    <row r="2105">
      <c r="A2105" s="155" t="n">
        <v>46091</v>
      </c>
      <c r="B2105" s="156" t="inlineStr">
        <is>
          <t>NS</t>
        </is>
      </c>
      <c r="C2105" s="156" t="inlineStr">
        <is>
          <t>HT-415</t>
        </is>
      </c>
      <c r="D2105" s="156" t="inlineStr">
        <is>
          <t>SY430</t>
        </is>
      </c>
      <c r="E2105" s="156" t="inlineStr">
        <is>
          <t>DT Hauling</t>
        </is>
      </c>
      <c r="F2105" s="156" t="inlineStr"/>
      <c r="G2105" s="182" t="n">
        <v>0</v>
      </c>
      <c r="H2105" s="182" t="n">
        <v>0</v>
      </c>
      <c r="I2105" s="182" t="n">
        <v>12</v>
      </c>
      <c r="J2105" s="182" t="n">
        <v>12</v>
      </c>
      <c r="K2105" s="182" t="n">
        <v>0</v>
      </c>
      <c r="L2105" s="182" t="n">
        <v>12</v>
      </c>
      <c r="M2105" s="182" t="n">
        <v>0</v>
      </c>
      <c r="N2105" s="182" t="n">
        <v>0</v>
      </c>
      <c r="O2105" s="183" t="n">
        <v>0</v>
      </c>
      <c r="P2105" s="183" t="n">
        <v>0</v>
      </c>
      <c r="Q2105" s="184" t="n">
        <v>0</v>
      </c>
      <c r="R2105" s="184" t="n">
        <v>0</v>
      </c>
      <c r="S2105" s="183" t="n">
        <v>0</v>
      </c>
      <c r="T2105" s="183" t="n">
        <v>0</v>
      </c>
      <c r="U2105" s="182" t="n">
        <v>0</v>
      </c>
      <c r="V2105" s="182" t="n">
        <v>0</v>
      </c>
      <c r="W2105" s="182" t="n">
        <v>0</v>
      </c>
      <c r="X2105" s="182" t="n">
        <v>0</v>
      </c>
      <c r="Y2105" s="182" t="n">
        <v>0</v>
      </c>
      <c r="Z2105" s="182" t="n">
        <v>0</v>
      </c>
      <c r="AA2105" s="182" t="n">
        <v>0</v>
      </c>
      <c r="AB2105" s="182" t="n">
        <v>0</v>
      </c>
      <c r="AC2105" s="182" t="n">
        <v>0</v>
      </c>
      <c r="AD2105" s="182" t="n">
        <v>0</v>
      </c>
      <c r="AE2105" s="182" t="n">
        <v>0</v>
      </c>
      <c r="AF2105" s="182" t="n">
        <v>0</v>
      </c>
      <c r="AG2105" s="182" t="n">
        <v>0</v>
      </c>
      <c r="AH2105" s="182" t="n">
        <v>0</v>
      </c>
      <c r="AI2105" s="182" t="n">
        <v>0</v>
      </c>
      <c r="AJ2105" s="182" t="n">
        <v>0</v>
      </c>
      <c r="AK2105" s="182" t="n">
        <v>0</v>
      </c>
      <c r="AL2105" s="182" t="n">
        <v>0</v>
      </c>
      <c r="AM2105" s="182" t="n">
        <v>0</v>
      </c>
      <c r="AN2105" s="182" t="n">
        <v>0</v>
      </c>
    </row>
    <row r="2106">
      <c r="A2106" s="155" t="n">
        <v>46091</v>
      </c>
      <c r="B2106" s="156" t="inlineStr">
        <is>
          <t>NS</t>
        </is>
      </c>
      <c r="C2106" s="156" t="inlineStr">
        <is>
          <t>HT-406</t>
        </is>
      </c>
      <c r="D2106" s="156" t="inlineStr">
        <is>
          <t>SY430</t>
        </is>
      </c>
      <c r="E2106" s="156" t="inlineStr">
        <is>
          <t>DT Hauling</t>
        </is>
      </c>
      <c r="F2106" s="156" t="inlineStr"/>
      <c r="G2106" s="182" t="n">
        <v>0</v>
      </c>
      <c r="H2106" s="182" t="n">
        <v>0</v>
      </c>
      <c r="I2106" s="182" t="n">
        <v>0</v>
      </c>
      <c r="J2106" s="182" t="n">
        <v>0</v>
      </c>
      <c r="K2106" s="182" t="n">
        <v>12</v>
      </c>
      <c r="L2106" s="182" t="n">
        <v>12</v>
      </c>
      <c r="M2106" s="182" t="n">
        <v>0</v>
      </c>
      <c r="N2106" s="182" t="n">
        <v>0</v>
      </c>
      <c r="O2106" s="183" t="n">
        <v>0</v>
      </c>
      <c r="P2106" s="183" t="n">
        <v>0</v>
      </c>
      <c r="Q2106" s="184" t="n">
        <v>0</v>
      </c>
      <c r="R2106" s="184" t="n">
        <v>0</v>
      </c>
      <c r="S2106" s="183" t="n">
        <v>0</v>
      </c>
      <c r="T2106" s="183" t="n">
        <v>0</v>
      </c>
      <c r="U2106" s="182" t="n">
        <v>0</v>
      </c>
      <c r="V2106" s="182" t="n">
        <v>0</v>
      </c>
      <c r="W2106" s="182" t="n">
        <v>0</v>
      </c>
      <c r="X2106" s="182" t="n">
        <v>1</v>
      </c>
      <c r="Y2106" s="182" t="n">
        <v>0</v>
      </c>
      <c r="Z2106" s="182" t="n">
        <v>0</v>
      </c>
      <c r="AA2106" s="182" t="n">
        <v>0</v>
      </c>
      <c r="AB2106" s="182" t="n">
        <v>0</v>
      </c>
      <c r="AC2106" s="182" t="n">
        <v>0</v>
      </c>
      <c r="AD2106" s="182" t="n">
        <v>0</v>
      </c>
      <c r="AE2106" s="182" t="n">
        <v>0</v>
      </c>
      <c r="AF2106" s="182" t="n">
        <v>0</v>
      </c>
      <c r="AG2106" s="182" t="n">
        <v>0</v>
      </c>
      <c r="AH2106" s="182" t="n">
        <v>0</v>
      </c>
      <c r="AI2106" s="182" t="n">
        <v>0</v>
      </c>
      <c r="AJ2106" s="182" t="n">
        <v>0</v>
      </c>
      <c r="AK2106" s="182" t="n">
        <v>10.92</v>
      </c>
      <c r="AL2106" s="182" t="n">
        <v>0</v>
      </c>
      <c r="AM2106" s="182" t="n">
        <v>0.08</v>
      </c>
      <c r="AN2106" s="182" t="n">
        <v>0</v>
      </c>
    </row>
    <row r="2107">
      <c r="A2107" s="155" t="n">
        <v>46091</v>
      </c>
      <c r="B2107" s="156" t="inlineStr">
        <is>
          <t>NS</t>
        </is>
      </c>
      <c r="C2107" s="156" t="inlineStr">
        <is>
          <t>HT-405</t>
        </is>
      </c>
      <c r="D2107" s="156" t="inlineStr">
        <is>
          <t>SY430</t>
        </is>
      </c>
      <c r="E2107" s="156" t="inlineStr">
        <is>
          <t>DT Hauling</t>
        </is>
      </c>
      <c r="F2107" s="156" t="inlineStr"/>
      <c r="G2107" s="182" t="n">
        <v>0</v>
      </c>
      <c r="H2107" s="182" t="n">
        <v>0</v>
      </c>
      <c r="I2107" s="182" t="n">
        <v>12</v>
      </c>
      <c r="J2107" s="182" t="n">
        <v>12</v>
      </c>
      <c r="K2107" s="182" t="n">
        <v>0</v>
      </c>
      <c r="L2107" s="182" t="n">
        <v>12</v>
      </c>
      <c r="M2107" s="182" t="n">
        <v>0</v>
      </c>
      <c r="N2107" s="182" t="n">
        <v>0</v>
      </c>
      <c r="O2107" s="183" t="n">
        <v>0</v>
      </c>
      <c r="P2107" s="183" t="n">
        <v>0</v>
      </c>
      <c r="Q2107" s="184" t="n">
        <v>0</v>
      </c>
      <c r="R2107" s="184" t="n">
        <v>0</v>
      </c>
      <c r="S2107" s="183" t="n">
        <v>0</v>
      </c>
      <c r="T2107" s="183" t="n">
        <v>0</v>
      </c>
      <c r="U2107" s="182" t="n">
        <v>0</v>
      </c>
      <c r="V2107" s="182" t="n">
        <v>0</v>
      </c>
      <c r="W2107" s="182" t="n">
        <v>0</v>
      </c>
      <c r="X2107" s="182" t="n">
        <v>0</v>
      </c>
      <c r="Y2107" s="182" t="n">
        <v>0</v>
      </c>
      <c r="Z2107" s="182" t="n">
        <v>0</v>
      </c>
      <c r="AA2107" s="182" t="n">
        <v>0</v>
      </c>
      <c r="AB2107" s="182" t="n">
        <v>0</v>
      </c>
      <c r="AC2107" s="182" t="n">
        <v>0</v>
      </c>
      <c r="AD2107" s="182" t="n">
        <v>0</v>
      </c>
      <c r="AE2107" s="182" t="n">
        <v>0</v>
      </c>
      <c r="AF2107" s="182" t="n">
        <v>0</v>
      </c>
      <c r="AG2107" s="182" t="n">
        <v>0</v>
      </c>
      <c r="AH2107" s="182" t="n">
        <v>0</v>
      </c>
      <c r="AI2107" s="182" t="n">
        <v>0</v>
      </c>
      <c r="AJ2107" s="182" t="n">
        <v>0</v>
      </c>
      <c r="AK2107" s="182" t="n">
        <v>0</v>
      </c>
      <c r="AL2107" s="182" t="n">
        <v>0</v>
      </c>
      <c r="AM2107" s="182" t="n">
        <v>0</v>
      </c>
      <c r="AN2107" s="182" t="n">
        <v>0</v>
      </c>
    </row>
    <row r="2108">
      <c r="A2108" s="155" t="n">
        <v>46091</v>
      </c>
      <c r="B2108" s="156" t="inlineStr">
        <is>
          <t>NS</t>
        </is>
      </c>
      <c r="C2108" s="156" t="inlineStr">
        <is>
          <t>HT-417</t>
        </is>
      </c>
      <c r="D2108" s="156" t="inlineStr">
        <is>
          <t>SY430</t>
        </is>
      </c>
      <c r="E2108" s="156" t="inlineStr">
        <is>
          <t>DT Hauling</t>
        </is>
      </c>
      <c r="F2108" s="156" t="inlineStr"/>
      <c r="G2108" s="182" t="n">
        <v>0</v>
      </c>
      <c r="H2108" s="182" t="n">
        <v>0</v>
      </c>
      <c r="I2108" s="182" t="n">
        <v>0</v>
      </c>
      <c r="J2108" s="182" t="n">
        <v>0</v>
      </c>
      <c r="K2108" s="182" t="n">
        <v>12</v>
      </c>
      <c r="L2108" s="182" t="n">
        <v>12</v>
      </c>
      <c r="M2108" s="182" t="n">
        <v>0</v>
      </c>
      <c r="N2108" s="182" t="n">
        <v>0</v>
      </c>
      <c r="O2108" s="183" t="n">
        <v>0</v>
      </c>
      <c r="P2108" s="183" t="n">
        <v>0</v>
      </c>
      <c r="Q2108" s="184" t="n">
        <v>0</v>
      </c>
      <c r="R2108" s="184" t="n">
        <v>0</v>
      </c>
      <c r="S2108" s="183" t="n">
        <v>0</v>
      </c>
      <c r="T2108" s="183" t="n">
        <v>0</v>
      </c>
      <c r="U2108" s="182" t="n">
        <v>0</v>
      </c>
      <c r="V2108" s="182" t="n">
        <v>0</v>
      </c>
      <c r="W2108" s="182" t="n">
        <v>0</v>
      </c>
      <c r="X2108" s="182" t="n">
        <v>1</v>
      </c>
      <c r="Y2108" s="182" t="n">
        <v>0</v>
      </c>
      <c r="Z2108" s="182" t="n">
        <v>0</v>
      </c>
      <c r="AA2108" s="182" t="n">
        <v>0</v>
      </c>
      <c r="AB2108" s="182" t="n">
        <v>0</v>
      </c>
      <c r="AC2108" s="182" t="n">
        <v>0</v>
      </c>
      <c r="AD2108" s="182" t="n">
        <v>0</v>
      </c>
      <c r="AE2108" s="182" t="n">
        <v>0</v>
      </c>
      <c r="AF2108" s="182" t="n">
        <v>0</v>
      </c>
      <c r="AG2108" s="182" t="n">
        <v>0</v>
      </c>
      <c r="AH2108" s="182" t="n">
        <v>0</v>
      </c>
      <c r="AI2108" s="182" t="n">
        <v>0</v>
      </c>
      <c r="AJ2108" s="182" t="n">
        <v>0</v>
      </c>
      <c r="AK2108" s="182" t="n">
        <v>10.92</v>
      </c>
      <c r="AL2108" s="182" t="n">
        <v>0</v>
      </c>
      <c r="AM2108" s="182" t="n">
        <v>0.08</v>
      </c>
      <c r="AN2108" s="182" t="n">
        <v>0</v>
      </c>
    </row>
    <row r="2109">
      <c r="A2109" s="155" t="n">
        <v>46091</v>
      </c>
      <c r="B2109" s="156" t="inlineStr">
        <is>
          <t>NS</t>
        </is>
      </c>
      <c r="C2109" s="156" t="inlineStr">
        <is>
          <t>HT-401</t>
        </is>
      </c>
      <c r="D2109" s="156" t="inlineStr">
        <is>
          <t>SY430</t>
        </is>
      </c>
      <c r="E2109" s="156" t="inlineStr">
        <is>
          <t>DT Hauling</t>
        </is>
      </c>
      <c r="F2109" s="156" t="inlineStr"/>
      <c r="G2109" s="182" t="n">
        <v>0</v>
      </c>
      <c r="H2109" s="182" t="n">
        <v>0</v>
      </c>
      <c r="I2109" s="182" t="n">
        <v>0</v>
      </c>
      <c r="J2109" s="182" t="n">
        <v>0</v>
      </c>
      <c r="K2109" s="182" t="n">
        <v>12</v>
      </c>
      <c r="L2109" s="182" t="n">
        <v>12</v>
      </c>
      <c r="M2109" s="182" t="n">
        <v>0</v>
      </c>
      <c r="N2109" s="182" t="n">
        <v>0</v>
      </c>
      <c r="O2109" s="183" t="n">
        <v>0</v>
      </c>
      <c r="P2109" s="183" t="n">
        <v>0</v>
      </c>
      <c r="Q2109" s="184" t="n">
        <v>0</v>
      </c>
      <c r="R2109" s="184" t="n">
        <v>0</v>
      </c>
      <c r="S2109" s="183" t="n">
        <v>0</v>
      </c>
      <c r="T2109" s="183" t="n">
        <v>0</v>
      </c>
      <c r="U2109" s="182" t="n">
        <v>0</v>
      </c>
      <c r="V2109" s="182" t="n">
        <v>0</v>
      </c>
      <c r="W2109" s="182" t="n">
        <v>0</v>
      </c>
      <c r="X2109" s="182" t="n">
        <v>1</v>
      </c>
      <c r="Y2109" s="182" t="n">
        <v>0</v>
      </c>
      <c r="Z2109" s="182" t="n">
        <v>0</v>
      </c>
      <c r="AA2109" s="182" t="n">
        <v>0</v>
      </c>
      <c r="AB2109" s="182" t="n">
        <v>0</v>
      </c>
      <c r="AC2109" s="182" t="n">
        <v>0</v>
      </c>
      <c r="AD2109" s="182" t="n">
        <v>0</v>
      </c>
      <c r="AE2109" s="182" t="n">
        <v>0</v>
      </c>
      <c r="AF2109" s="182" t="n">
        <v>0</v>
      </c>
      <c r="AG2109" s="182" t="n">
        <v>0</v>
      </c>
      <c r="AH2109" s="182" t="n">
        <v>0</v>
      </c>
      <c r="AI2109" s="182" t="n">
        <v>0</v>
      </c>
      <c r="AJ2109" s="182" t="n">
        <v>0</v>
      </c>
      <c r="AK2109" s="182" t="n">
        <v>10.92</v>
      </c>
      <c r="AL2109" s="182" t="n">
        <v>0</v>
      </c>
      <c r="AM2109" s="182" t="n">
        <v>0.08</v>
      </c>
      <c r="AN2109" s="182" t="n">
        <v>0</v>
      </c>
    </row>
    <row r="2110">
      <c r="A2110" s="155" t="n">
        <v>46091</v>
      </c>
      <c r="B2110" s="156" t="inlineStr">
        <is>
          <t>NS</t>
        </is>
      </c>
      <c r="C2110" s="156" t="inlineStr">
        <is>
          <t>HT-410</t>
        </is>
      </c>
      <c r="D2110" s="156" t="inlineStr">
        <is>
          <t>SY430</t>
        </is>
      </c>
      <c r="E2110" s="156" t="inlineStr">
        <is>
          <t>DT Hauling</t>
        </is>
      </c>
      <c r="F2110" s="156" t="inlineStr"/>
      <c r="G2110" s="182" t="n">
        <v>0</v>
      </c>
      <c r="H2110" s="182" t="n">
        <v>0</v>
      </c>
      <c r="I2110" s="182" t="n">
        <v>0</v>
      </c>
      <c r="J2110" s="182" t="n">
        <v>0</v>
      </c>
      <c r="K2110" s="182" t="n">
        <v>12</v>
      </c>
      <c r="L2110" s="182" t="n">
        <v>12</v>
      </c>
      <c r="M2110" s="182" t="n">
        <v>0</v>
      </c>
      <c r="N2110" s="182" t="n">
        <v>0</v>
      </c>
      <c r="O2110" s="183" t="n">
        <v>0</v>
      </c>
      <c r="P2110" s="183" t="n">
        <v>0</v>
      </c>
      <c r="Q2110" s="184" t="n">
        <v>0</v>
      </c>
      <c r="R2110" s="184" t="n">
        <v>0</v>
      </c>
      <c r="S2110" s="183" t="n">
        <v>0</v>
      </c>
      <c r="T2110" s="183" t="n">
        <v>0</v>
      </c>
      <c r="U2110" s="182" t="n">
        <v>0</v>
      </c>
      <c r="V2110" s="182" t="n">
        <v>0</v>
      </c>
      <c r="W2110" s="182" t="n">
        <v>0</v>
      </c>
      <c r="X2110" s="182" t="n">
        <v>1</v>
      </c>
      <c r="Y2110" s="182" t="n">
        <v>0</v>
      </c>
      <c r="Z2110" s="182" t="n">
        <v>0</v>
      </c>
      <c r="AA2110" s="182" t="n">
        <v>0</v>
      </c>
      <c r="AB2110" s="182" t="n">
        <v>0</v>
      </c>
      <c r="AC2110" s="182" t="n">
        <v>0</v>
      </c>
      <c r="AD2110" s="182" t="n">
        <v>0</v>
      </c>
      <c r="AE2110" s="182" t="n">
        <v>0</v>
      </c>
      <c r="AF2110" s="182" t="n">
        <v>0</v>
      </c>
      <c r="AG2110" s="182" t="n">
        <v>0</v>
      </c>
      <c r="AH2110" s="182" t="n">
        <v>0</v>
      </c>
      <c r="AI2110" s="182" t="n">
        <v>0</v>
      </c>
      <c r="AJ2110" s="182" t="n">
        <v>0</v>
      </c>
      <c r="AK2110" s="182" t="n">
        <v>10.92</v>
      </c>
      <c r="AL2110" s="182" t="n">
        <v>0</v>
      </c>
      <c r="AM2110" s="182" t="n">
        <v>0.08</v>
      </c>
      <c r="AN2110" s="182" t="n">
        <v>0</v>
      </c>
    </row>
    <row r="2111">
      <c r="A2111" s="155" t="n">
        <v>46091</v>
      </c>
      <c r="B2111" s="156" t="inlineStr">
        <is>
          <t>NS</t>
        </is>
      </c>
      <c r="C2111" s="156" t="inlineStr">
        <is>
          <t>HT-402</t>
        </is>
      </c>
      <c r="D2111" s="156" t="inlineStr">
        <is>
          <t>SY430</t>
        </is>
      </c>
      <c r="E2111" s="156" t="inlineStr">
        <is>
          <t>DT Hauling</t>
        </is>
      </c>
      <c r="F2111" s="156" t="inlineStr"/>
      <c r="G2111" s="182" t="n">
        <v>0</v>
      </c>
      <c r="H2111" s="182" t="n">
        <v>0</v>
      </c>
      <c r="I2111" s="182" t="n">
        <v>4.98</v>
      </c>
      <c r="J2111" s="182" t="n">
        <v>4.98</v>
      </c>
      <c r="K2111" s="182" t="n">
        <v>7.02</v>
      </c>
      <c r="L2111" s="182" t="n">
        <v>12</v>
      </c>
      <c r="M2111" s="182" t="n">
        <v>0</v>
      </c>
      <c r="N2111" s="182" t="n">
        <v>0</v>
      </c>
      <c r="O2111" s="183" t="n">
        <v>0</v>
      </c>
      <c r="P2111" s="183" t="n">
        <v>0</v>
      </c>
      <c r="Q2111" s="184" t="n">
        <v>0</v>
      </c>
      <c r="R2111" s="184" t="n">
        <v>0</v>
      </c>
      <c r="S2111" s="183" t="n">
        <v>0</v>
      </c>
      <c r="T2111" s="183" t="n">
        <v>0</v>
      </c>
      <c r="U2111" s="182" t="n">
        <v>0</v>
      </c>
      <c r="V2111" s="182" t="n">
        <v>0</v>
      </c>
      <c r="W2111" s="182" t="n">
        <v>0</v>
      </c>
      <c r="X2111" s="182" t="n">
        <v>1</v>
      </c>
      <c r="Y2111" s="182" t="n">
        <v>0</v>
      </c>
      <c r="Z2111" s="182" t="n">
        <v>0</v>
      </c>
      <c r="AA2111" s="182" t="n">
        <v>0</v>
      </c>
      <c r="AB2111" s="182" t="n">
        <v>0</v>
      </c>
      <c r="AC2111" s="182" t="n">
        <v>0</v>
      </c>
      <c r="AD2111" s="182" t="n">
        <v>0</v>
      </c>
      <c r="AE2111" s="182" t="n">
        <v>0</v>
      </c>
      <c r="AF2111" s="182" t="n">
        <v>0</v>
      </c>
      <c r="AG2111" s="182" t="n">
        <v>0</v>
      </c>
      <c r="AH2111" s="182" t="n">
        <v>0</v>
      </c>
      <c r="AI2111" s="182" t="n">
        <v>0</v>
      </c>
      <c r="AJ2111" s="182" t="n">
        <v>0</v>
      </c>
      <c r="AK2111" s="182" t="n">
        <v>5.93</v>
      </c>
      <c r="AL2111" s="182" t="n">
        <v>0</v>
      </c>
      <c r="AM2111" s="182" t="n">
        <v>0.08</v>
      </c>
      <c r="AN2111" s="182" t="n">
        <v>0</v>
      </c>
    </row>
    <row r="2112">
      <c r="A2112" s="155" t="n">
        <v>46091</v>
      </c>
      <c r="B2112" s="156" t="inlineStr">
        <is>
          <t>NS</t>
        </is>
      </c>
      <c r="C2112" s="156" t="inlineStr">
        <is>
          <t>HT-419</t>
        </is>
      </c>
      <c r="D2112" s="156" t="inlineStr">
        <is>
          <t>SY430</t>
        </is>
      </c>
      <c r="E2112" s="156" t="inlineStr">
        <is>
          <t>DT Hauling</t>
        </is>
      </c>
      <c r="F2112" s="156" t="inlineStr"/>
      <c r="G2112" s="182" t="n">
        <v>0</v>
      </c>
      <c r="H2112" s="182" t="n">
        <v>0</v>
      </c>
      <c r="I2112" s="182" t="n">
        <v>12</v>
      </c>
      <c r="J2112" s="182" t="n">
        <v>12</v>
      </c>
      <c r="K2112" s="182" t="n">
        <v>0</v>
      </c>
      <c r="L2112" s="182" t="n">
        <v>12</v>
      </c>
      <c r="M2112" s="182" t="n">
        <v>0</v>
      </c>
      <c r="N2112" s="182" t="n">
        <v>0</v>
      </c>
      <c r="O2112" s="183" t="n">
        <v>0</v>
      </c>
      <c r="P2112" s="183" t="n">
        <v>0</v>
      </c>
      <c r="Q2112" s="184" t="n">
        <v>0</v>
      </c>
      <c r="R2112" s="184" t="n">
        <v>0</v>
      </c>
      <c r="S2112" s="183" t="n">
        <v>0</v>
      </c>
      <c r="T2112" s="183" t="n">
        <v>0</v>
      </c>
      <c r="U2112" s="182" t="n">
        <v>0</v>
      </c>
      <c r="V2112" s="182" t="n">
        <v>0</v>
      </c>
      <c r="W2112" s="182" t="n">
        <v>0</v>
      </c>
      <c r="X2112" s="182" t="n">
        <v>0</v>
      </c>
      <c r="Y2112" s="182" t="n">
        <v>0</v>
      </c>
      <c r="Z2112" s="182" t="n">
        <v>0</v>
      </c>
      <c r="AA2112" s="182" t="n">
        <v>0</v>
      </c>
      <c r="AB2112" s="182" t="n">
        <v>0</v>
      </c>
      <c r="AC2112" s="182" t="n">
        <v>0</v>
      </c>
      <c r="AD2112" s="182" t="n">
        <v>0</v>
      </c>
      <c r="AE2112" s="182" t="n">
        <v>0</v>
      </c>
      <c r="AF2112" s="182" t="n">
        <v>0</v>
      </c>
      <c r="AG2112" s="182" t="n">
        <v>0</v>
      </c>
      <c r="AH2112" s="182" t="n">
        <v>0</v>
      </c>
      <c r="AI2112" s="182" t="n">
        <v>0</v>
      </c>
      <c r="AJ2112" s="182" t="n">
        <v>0</v>
      </c>
      <c r="AK2112" s="182" t="n">
        <v>0</v>
      </c>
      <c r="AL2112" s="182" t="n">
        <v>0</v>
      </c>
      <c r="AM2112" s="182" t="n">
        <v>0</v>
      </c>
      <c r="AN2112" s="182" t="n">
        <v>0</v>
      </c>
    </row>
    <row r="2113">
      <c r="A2113" s="155" t="n">
        <v>46091</v>
      </c>
      <c r="B2113" s="156" t="inlineStr">
        <is>
          <t>NS</t>
        </is>
      </c>
      <c r="C2113" s="156" t="inlineStr">
        <is>
          <t>HT-416</t>
        </is>
      </c>
      <c r="D2113" s="156" t="inlineStr">
        <is>
          <t>SY430</t>
        </is>
      </c>
      <c r="E2113" s="156" t="inlineStr">
        <is>
          <t>DT Hauling</t>
        </is>
      </c>
      <c r="F2113" s="156" t="inlineStr"/>
      <c r="G2113" s="182" t="n">
        <v>0</v>
      </c>
      <c r="H2113" s="182" t="n">
        <v>0</v>
      </c>
      <c r="I2113" s="182" t="n">
        <v>0</v>
      </c>
      <c r="J2113" s="182" t="n">
        <v>0</v>
      </c>
      <c r="K2113" s="182" t="n">
        <v>12</v>
      </c>
      <c r="L2113" s="182" t="n">
        <v>12</v>
      </c>
      <c r="M2113" s="182" t="n">
        <v>0</v>
      </c>
      <c r="N2113" s="182" t="n">
        <v>0</v>
      </c>
      <c r="O2113" s="183" t="n">
        <v>0</v>
      </c>
      <c r="P2113" s="183" t="n">
        <v>0</v>
      </c>
      <c r="Q2113" s="184" t="n">
        <v>0</v>
      </c>
      <c r="R2113" s="184" t="n">
        <v>0</v>
      </c>
      <c r="S2113" s="183" t="n">
        <v>0</v>
      </c>
      <c r="T2113" s="183" t="n">
        <v>0</v>
      </c>
      <c r="U2113" s="182" t="n">
        <v>0</v>
      </c>
      <c r="V2113" s="182" t="n">
        <v>0</v>
      </c>
      <c r="W2113" s="182" t="n">
        <v>0</v>
      </c>
      <c r="X2113" s="182" t="n">
        <v>1</v>
      </c>
      <c r="Y2113" s="182" t="n">
        <v>0</v>
      </c>
      <c r="Z2113" s="182" t="n">
        <v>0</v>
      </c>
      <c r="AA2113" s="182" t="n">
        <v>0</v>
      </c>
      <c r="AB2113" s="182" t="n">
        <v>0</v>
      </c>
      <c r="AC2113" s="182" t="n">
        <v>0</v>
      </c>
      <c r="AD2113" s="182" t="n">
        <v>0</v>
      </c>
      <c r="AE2113" s="182" t="n">
        <v>0</v>
      </c>
      <c r="AF2113" s="182" t="n">
        <v>0</v>
      </c>
      <c r="AG2113" s="182" t="n">
        <v>0</v>
      </c>
      <c r="AH2113" s="182" t="n">
        <v>0</v>
      </c>
      <c r="AI2113" s="182" t="n">
        <v>0</v>
      </c>
      <c r="AJ2113" s="182" t="n">
        <v>0</v>
      </c>
      <c r="AK2113" s="182" t="n">
        <v>10.92</v>
      </c>
      <c r="AL2113" s="182" t="n">
        <v>0</v>
      </c>
      <c r="AM2113" s="182" t="n">
        <v>0.08</v>
      </c>
      <c r="AN2113" s="182" t="n">
        <v>0</v>
      </c>
    </row>
    <row r="2114">
      <c r="A2114" s="155" t="n">
        <v>46091</v>
      </c>
      <c r="B2114" s="156" t="inlineStr">
        <is>
          <t>NS</t>
        </is>
      </c>
      <c r="C2114" s="156" t="inlineStr">
        <is>
          <t>HT-420</t>
        </is>
      </c>
      <c r="D2114" s="156" t="inlineStr">
        <is>
          <t>SY430</t>
        </is>
      </c>
      <c r="E2114" s="156" t="inlineStr">
        <is>
          <t>DT Hauling</t>
        </is>
      </c>
      <c r="F2114" s="156" t="inlineStr"/>
      <c r="G2114" s="182" t="n">
        <v>0</v>
      </c>
      <c r="H2114" s="182" t="n">
        <v>0</v>
      </c>
      <c r="I2114" s="182" t="n">
        <v>0</v>
      </c>
      <c r="J2114" s="182" t="n">
        <v>0</v>
      </c>
      <c r="K2114" s="182" t="n">
        <v>12</v>
      </c>
      <c r="L2114" s="182" t="n">
        <v>12</v>
      </c>
      <c r="M2114" s="182" t="n">
        <v>0</v>
      </c>
      <c r="N2114" s="182" t="n">
        <v>0</v>
      </c>
      <c r="O2114" s="183" t="n">
        <v>0</v>
      </c>
      <c r="P2114" s="183" t="n">
        <v>0</v>
      </c>
      <c r="Q2114" s="184" t="n">
        <v>0</v>
      </c>
      <c r="R2114" s="184" t="n">
        <v>0</v>
      </c>
      <c r="S2114" s="183" t="n">
        <v>0</v>
      </c>
      <c r="T2114" s="183" t="n">
        <v>0</v>
      </c>
      <c r="U2114" s="182" t="n">
        <v>0</v>
      </c>
      <c r="V2114" s="182" t="n">
        <v>0</v>
      </c>
      <c r="W2114" s="182" t="n">
        <v>0</v>
      </c>
      <c r="X2114" s="182" t="n">
        <v>1</v>
      </c>
      <c r="Y2114" s="182" t="n">
        <v>0</v>
      </c>
      <c r="Z2114" s="182" t="n">
        <v>0</v>
      </c>
      <c r="AA2114" s="182" t="n">
        <v>0</v>
      </c>
      <c r="AB2114" s="182" t="n">
        <v>0</v>
      </c>
      <c r="AC2114" s="182" t="n">
        <v>0</v>
      </c>
      <c r="AD2114" s="182" t="n">
        <v>0</v>
      </c>
      <c r="AE2114" s="182" t="n">
        <v>0</v>
      </c>
      <c r="AF2114" s="182" t="n">
        <v>0</v>
      </c>
      <c r="AG2114" s="182" t="n">
        <v>0</v>
      </c>
      <c r="AH2114" s="182" t="n">
        <v>0</v>
      </c>
      <c r="AI2114" s="182" t="n">
        <v>0</v>
      </c>
      <c r="AJ2114" s="182" t="n">
        <v>0</v>
      </c>
      <c r="AK2114" s="182" t="n">
        <v>10.92</v>
      </c>
      <c r="AL2114" s="182" t="n">
        <v>0</v>
      </c>
      <c r="AM2114" s="182" t="n">
        <v>0.08</v>
      </c>
      <c r="AN2114" s="182" t="n">
        <v>0</v>
      </c>
    </row>
    <row r="2115">
      <c r="A2115" s="155" t="n">
        <v>46091</v>
      </c>
      <c r="B2115" s="156" t="inlineStr">
        <is>
          <t>NS</t>
        </is>
      </c>
      <c r="C2115" s="156" t="inlineStr">
        <is>
          <t>HT-403</t>
        </is>
      </c>
      <c r="D2115" s="156" t="inlineStr">
        <is>
          <t>SY430</t>
        </is>
      </c>
      <c r="E2115" s="156" t="inlineStr">
        <is>
          <t>DT Hauling</t>
        </is>
      </c>
      <c r="F2115" s="156" t="inlineStr"/>
      <c r="G2115" s="182" t="n">
        <v>0</v>
      </c>
      <c r="H2115" s="182" t="n">
        <v>0</v>
      </c>
      <c r="I2115" s="182" t="n">
        <v>0</v>
      </c>
      <c r="J2115" s="182" t="n">
        <v>0</v>
      </c>
      <c r="K2115" s="182" t="n">
        <v>12</v>
      </c>
      <c r="L2115" s="182" t="n">
        <v>12</v>
      </c>
      <c r="M2115" s="182" t="n">
        <v>0</v>
      </c>
      <c r="N2115" s="182" t="n">
        <v>0</v>
      </c>
      <c r="O2115" s="183" t="n">
        <v>0</v>
      </c>
      <c r="P2115" s="183" t="n">
        <v>0</v>
      </c>
      <c r="Q2115" s="184" t="n">
        <v>0</v>
      </c>
      <c r="R2115" s="184" t="n">
        <v>0</v>
      </c>
      <c r="S2115" s="183" t="n">
        <v>0</v>
      </c>
      <c r="T2115" s="183" t="n">
        <v>0</v>
      </c>
      <c r="U2115" s="182" t="n">
        <v>0</v>
      </c>
      <c r="V2115" s="182" t="n">
        <v>0</v>
      </c>
      <c r="W2115" s="182" t="n">
        <v>0</v>
      </c>
      <c r="X2115" s="182" t="n">
        <v>1</v>
      </c>
      <c r="Y2115" s="182" t="n">
        <v>0</v>
      </c>
      <c r="Z2115" s="182" t="n">
        <v>0</v>
      </c>
      <c r="AA2115" s="182" t="n">
        <v>0</v>
      </c>
      <c r="AB2115" s="182" t="n">
        <v>0</v>
      </c>
      <c r="AC2115" s="182" t="n">
        <v>0</v>
      </c>
      <c r="AD2115" s="182" t="n">
        <v>0</v>
      </c>
      <c r="AE2115" s="182" t="n">
        <v>0</v>
      </c>
      <c r="AF2115" s="182" t="n">
        <v>0</v>
      </c>
      <c r="AG2115" s="182" t="n">
        <v>0</v>
      </c>
      <c r="AH2115" s="182" t="n">
        <v>0</v>
      </c>
      <c r="AI2115" s="182" t="n">
        <v>0</v>
      </c>
      <c r="AJ2115" s="182" t="n">
        <v>0</v>
      </c>
      <c r="AK2115" s="182" t="n">
        <v>10.92</v>
      </c>
      <c r="AL2115" s="182" t="n">
        <v>0</v>
      </c>
      <c r="AM2115" s="182" t="n">
        <v>0.08</v>
      </c>
      <c r="AN2115" s="182" t="n">
        <v>0</v>
      </c>
    </row>
    <row r="2116">
      <c r="A2116" s="155" t="n">
        <v>46091</v>
      </c>
      <c r="B2116" s="156" t="inlineStr">
        <is>
          <t>NS</t>
        </is>
      </c>
      <c r="C2116" s="156" t="inlineStr">
        <is>
          <t>HT-408</t>
        </is>
      </c>
      <c r="D2116" s="156" t="inlineStr">
        <is>
          <t>SY430</t>
        </is>
      </c>
      <c r="E2116" s="156" t="inlineStr">
        <is>
          <t>DT Hauling</t>
        </is>
      </c>
      <c r="F2116" s="156" t="inlineStr"/>
      <c r="G2116" s="182" t="n">
        <v>0</v>
      </c>
      <c r="H2116" s="182" t="n">
        <v>0</v>
      </c>
      <c r="I2116" s="182" t="n">
        <v>0</v>
      </c>
      <c r="J2116" s="182" t="n">
        <v>0</v>
      </c>
      <c r="K2116" s="182" t="n">
        <v>12</v>
      </c>
      <c r="L2116" s="182" t="n">
        <v>12</v>
      </c>
      <c r="M2116" s="182" t="n">
        <v>0</v>
      </c>
      <c r="N2116" s="182" t="n">
        <v>0</v>
      </c>
      <c r="O2116" s="183" t="n">
        <v>0</v>
      </c>
      <c r="P2116" s="183" t="n">
        <v>0</v>
      </c>
      <c r="Q2116" s="184" t="n">
        <v>0</v>
      </c>
      <c r="R2116" s="184" t="n">
        <v>0</v>
      </c>
      <c r="S2116" s="183" t="n">
        <v>0</v>
      </c>
      <c r="T2116" s="183" t="n">
        <v>0</v>
      </c>
      <c r="U2116" s="182" t="n">
        <v>0</v>
      </c>
      <c r="V2116" s="182" t="n">
        <v>0</v>
      </c>
      <c r="W2116" s="182" t="n">
        <v>0</v>
      </c>
      <c r="X2116" s="182" t="n">
        <v>1</v>
      </c>
      <c r="Y2116" s="182" t="n">
        <v>0</v>
      </c>
      <c r="Z2116" s="182" t="n">
        <v>0</v>
      </c>
      <c r="AA2116" s="182" t="n">
        <v>0</v>
      </c>
      <c r="AB2116" s="182" t="n">
        <v>0</v>
      </c>
      <c r="AC2116" s="182" t="n">
        <v>0</v>
      </c>
      <c r="AD2116" s="182" t="n">
        <v>0</v>
      </c>
      <c r="AE2116" s="182" t="n">
        <v>0</v>
      </c>
      <c r="AF2116" s="182" t="n">
        <v>0</v>
      </c>
      <c r="AG2116" s="182" t="n">
        <v>0</v>
      </c>
      <c r="AH2116" s="182" t="n">
        <v>0</v>
      </c>
      <c r="AI2116" s="182" t="n">
        <v>0</v>
      </c>
      <c r="AJ2116" s="182" t="n">
        <v>0</v>
      </c>
      <c r="AK2116" s="182" t="n">
        <v>10.92</v>
      </c>
      <c r="AL2116" s="182" t="n">
        <v>0</v>
      </c>
      <c r="AM2116" s="182" t="n">
        <v>0.08</v>
      </c>
      <c r="AN2116" s="182" t="n">
        <v>0</v>
      </c>
    </row>
    <row r="2117">
      <c r="A2117" s="155" t="n">
        <v>46091</v>
      </c>
      <c r="B2117" s="156" t="inlineStr">
        <is>
          <t>NS</t>
        </is>
      </c>
      <c r="C2117" s="156" t="inlineStr">
        <is>
          <t>HT-412</t>
        </is>
      </c>
      <c r="D2117" s="156" t="inlineStr">
        <is>
          <t>SY430</t>
        </is>
      </c>
      <c r="E2117" s="156" t="inlineStr">
        <is>
          <t>DT Hauling</t>
        </is>
      </c>
      <c r="F2117" s="156" t="inlineStr"/>
      <c r="G2117" s="182" t="n">
        <v>0</v>
      </c>
      <c r="H2117" s="182" t="n">
        <v>0</v>
      </c>
      <c r="I2117" s="182" t="n">
        <v>0</v>
      </c>
      <c r="J2117" s="182" t="n">
        <v>0</v>
      </c>
      <c r="K2117" s="182" t="n">
        <v>12</v>
      </c>
      <c r="L2117" s="182" t="n">
        <v>12</v>
      </c>
      <c r="M2117" s="182" t="n">
        <v>0</v>
      </c>
      <c r="N2117" s="182" t="n">
        <v>0</v>
      </c>
      <c r="O2117" s="183" t="n">
        <v>0</v>
      </c>
      <c r="P2117" s="183" t="n">
        <v>0</v>
      </c>
      <c r="Q2117" s="184" t="n">
        <v>0</v>
      </c>
      <c r="R2117" s="184" t="n">
        <v>0</v>
      </c>
      <c r="S2117" s="183" t="n">
        <v>0</v>
      </c>
      <c r="T2117" s="183" t="n">
        <v>0</v>
      </c>
      <c r="U2117" s="182" t="n">
        <v>0</v>
      </c>
      <c r="V2117" s="182" t="n">
        <v>0</v>
      </c>
      <c r="W2117" s="182" t="n">
        <v>0</v>
      </c>
      <c r="X2117" s="182" t="n">
        <v>1</v>
      </c>
      <c r="Y2117" s="182" t="n">
        <v>0</v>
      </c>
      <c r="Z2117" s="182" t="n">
        <v>0</v>
      </c>
      <c r="AA2117" s="182" t="n">
        <v>0</v>
      </c>
      <c r="AB2117" s="182" t="n">
        <v>0</v>
      </c>
      <c r="AC2117" s="182" t="n">
        <v>0</v>
      </c>
      <c r="AD2117" s="182" t="n">
        <v>0</v>
      </c>
      <c r="AE2117" s="182" t="n">
        <v>0</v>
      </c>
      <c r="AF2117" s="182" t="n">
        <v>0</v>
      </c>
      <c r="AG2117" s="182" t="n">
        <v>0</v>
      </c>
      <c r="AH2117" s="182" t="n">
        <v>0</v>
      </c>
      <c r="AI2117" s="182" t="n">
        <v>0</v>
      </c>
      <c r="AJ2117" s="182" t="n">
        <v>0</v>
      </c>
      <c r="AK2117" s="182" t="n">
        <v>10.92</v>
      </c>
      <c r="AL2117" s="182" t="n">
        <v>0</v>
      </c>
      <c r="AM2117" s="182" t="n">
        <v>0.08</v>
      </c>
      <c r="AN2117" s="182" t="n">
        <v>0</v>
      </c>
    </row>
    <row r="2118">
      <c r="A2118" s="155" t="n">
        <v>46091</v>
      </c>
      <c r="B2118" s="156" t="inlineStr">
        <is>
          <t>NS</t>
        </is>
      </c>
      <c r="C2118" s="156" t="inlineStr">
        <is>
          <t>HT-413</t>
        </is>
      </c>
      <c r="D2118" s="156" t="inlineStr">
        <is>
          <t>SY430</t>
        </is>
      </c>
      <c r="E2118" s="156" t="inlineStr">
        <is>
          <t>DT Hauling</t>
        </is>
      </c>
      <c r="F2118" s="156" t="inlineStr"/>
      <c r="G2118" s="182" t="n">
        <v>0</v>
      </c>
      <c r="H2118" s="182" t="n">
        <v>0</v>
      </c>
      <c r="I2118" s="182" t="n">
        <v>12</v>
      </c>
      <c r="J2118" s="182" t="n">
        <v>12</v>
      </c>
      <c r="K2118" s="182" t="n">
        <v>0</v>
      </c>
      <c r="L2118" s="182" t="n">
        <v>12</v>
      </c>
      <c r="M2118" s="182" t="n">
        <v>0</v>
      </c>
      <c r="N2118" s="182" t="n">
        <v>0</v>
      </c>
      <c r="O2118" s="183" t="n">
        <v>0</v>
      </c>
      <c r="P2118" s="183" t="n">
        <v>0</v>
      </c>
      <c r="Q2118" s="184" t="n">
        <v>0</v>
      </c>
      <c r="R2118" s="184" t="n">
        <v>0</v>
      </c>
      <c r="S2118" s="183" t="n">
        <v>0</v>
      </c>
      <c r="T2118" s="183" t="n">
        <v>0</v>
      </c>
      <c r="U2118" s="182" t="n">
        <v>0</v>
      </c>
      <c r="V2118" s="182" t="n">
        <v>0</v>
      </c>
      <c r="W2118" s="182" t="n">
        <v>0</v>
      </c>
      <c r="X2118" s="182" t="n">
        <v>0</v>
      </c>
      <c r="Y2118" s="182" t="n">
        <v>0</v>
      </c>
      <c r="Z2118" s="182" t="n">
        <v>0</v>
      </c>
      <c r="AA2118" s="182" t="n">
        <v>0</v>
      </c>
      <c r="AB2118" s="182" t="n">
        <v>0</v>
      </c>
      <c r="AC2118" s="182" t="n">
        <v>0</v>
      </c>
      <c r="AD2118" s="182" t="n">
        <v>0</v>
      </c>
      <c r="AE2118" s="182" t="n">
        <v>0</v>
      </c>
      <c r="AF2118" s="182" t="n">
        <v>0</v>
      </c>
      <c r="AG2118" s="182" t="n">
        <v>0</v>
      </c>
      <c r="AH2118" s="182" t="n">
        <v>0</v>
      </c>
      <c r="AI2118" s="182" t="n">
        <v>0</v>
      </c>
      <c r="AJ2118" s="182" t="n">
        <v>0</v>
      </c>
      <c r="AK2118" s="182" t="n">
        <v>0</v>
      </c>
      <c r="AL2118" s="182" t="n">
        <v>0</v>
      </c>
      <c r="AM2118" s="182" t="n">
        <v>0</v>
      </c>
      <c r="AN2118" s="182" t="n">
        <v>0</v>
      </c>
    </row>
    <row r="2119">
      <c r="A2119" s="155" t="n">
        <v>46091</v>
      </c>
      <c r="B2119" s="156" t="inlineStr">
        <is>
          <t>NS</t>
        </is>
      </c>
      <c r="C2119" s="156" t="inlineStr">
        <is>
          <t>HT-407</t>
        </is>
      </c>
      <c r="D2119" s="156" t="inlineStr">
        <is>
          <t>SY430</t>
        </is>
      </c>
      <c r="E2119" s="156" t="inlineStr">
        <is>
          <t>DT Hauling</t>
        </is>
      </c>
      <c r="F2119" s="156" t="inlineStr"/>
      <c r="G2119" s="182" t="n">
        <v>0</v>
      </c>
      <c r="H2119" s="182" t="n">
        <v>0</v>
      </c>
      <c r="I2119" s="182" t="n">
        <v>0</v>
      </c>
      <c r="J2119" s="182" t="n">
        <v>0</v>
      </c>
      <c r="K2119" s="182" t="n">
        <v>12</v>
      </c>
      <c r="L2119" s="182" t="n">
        <v>12</v>
      </c>
      <c r="M2119" s="182" t="n">
        <v>0</v>
      </c>
      <c r="N2119" s="182" t="n">
        <v>0</v>
      </c>
      <c r="O2119" s="183" t="n">
        <v>0</v>
      </c>
      <c r="P2119" s="183" t="n">
        <v>0</v>
      </c>
      <c r="Q2119" s="184" t="n">
        <v>0</v>
      </c>
      <c r="R2119" s="184" t="n">
        <v>0</v>
      </c>
      <c r="S2119" s="183" t="n">
        <v>0</v>
      </c>
      <c r="T2119" s="183" t="n">
        <v>0</v>
      </c>
      <c r="U2119" s="182" t="n">
        <v>0</v>
      </c>
      <c r="V2119" s="182" t="n">
        <v>0</v>
      </c>
      <c r="W2119" s="182" t="n">
        <v>0</v>
      </c>
      <c r="X2119" s="182" t="n">
        <v>1</v>
      </c>
      <c r="Y2119" s="182" t="n">
        <v>0</v>
      </c>
      <c r="Z2119" s="182" t="n">
        <v>0</v>
      </c>
      <c r="AA2119" s="182" t="n">
        <v>0</v>
      </c>
      <c r="AB2119" s="182" t="n">
        <v>0</v>
      </c>
      <c r="AC2119" s="182" t="n">
        <v>0</v>
      </c>
      <c r="AD2119" s="182" t="n">
        <v>0</v>
      </c>
      <c r="AE2119" s="182" t="n">
        <v>0</v>
      </c>
      <c r="AF2119" s="182" t="n">
        <v>0</v>
      </c>
      <c r="AG2119" s="182" t="n">
        <v>0</v>
      </c>
      <c r="AH2119" s="182" t="n">
        <v>0</v>
      </c>
      <c r="AI2119" s="182" t="n">
        <v>0</v>
      </c>
      <c r="AJ2119" s="182" t="n">
        <v>0</v>
      </c>
      <c r="AK2119" s="182" t="n">
        <v>10.92</v>
      </c>
      <c r="AL2119" s="182" t="n">
        <v>0</v>
      </c>
      <c r="AM2119" s="182" t="n">
        <v>0.08</v>
      </c>
      <c r="AN2119" s="182" t="n">
        <v>0</v>
      </c>
    </row>
    <row r="2120">
      <c r="A2120" s="155" t="n">
        <v>46091</v>
      </c>
      <c r="B2120" s="156" t="inlineStr">
        <is>
          <t>NS</t>
        </is>
      </c>
      <c r="C2120" s="156" t="inlineStr">
        <is>
          <t>HT-414</t>
        </is>
      </c>
      <c r="D2120" s="156" t="inlineStr">
        <is>
          <t>SY430</t>
        </is>
      </c>
      <c r="E2120" s="156" t="inlineStr">
        <is>
          <t>DT Hauling</t>
        </is>
      </c>
      <c r="F2120" s="156" t="inlineStr"/>
      <c r="G2120" s="182" t="n">
        <v>0</v>
      </c>
      <c r="H2120" s="182" t="n">
        <v>0</v>
      </c>
      <c r="I2120" s="182" t="n">
        <v>0</v>
      </c>
      <c r="J2120" s="182" t="n">
        <v>0</v>
      </c>
      <c r="K2120" s="182" t="n">
        <v>12</v>
      </c>
      <c r="L2120" s="182" t="n">
        <v>12</v>
      </c>
      <c r="M2120" s="182" t="n">
        <v>0</v>
      </c>
      <c r="N2120" s="182" t="n">
        <v>0</v>
      </c>
      <c r="O2120" s="183" t="n">
        <v>0</v>
      </c>
      <c r="P2120" s="183" t="n">
        <v>0</v>
      </c>
      <c r="Q2120" s="184" t="n">
        <v>0</v>
      </c>
      <c r="R2120" s="184" t="n">
        <v>0</v>
      </c>
      <c r="S2120" s="183" t="n">
        <v>0</v>
      </c>
      <c r="T2120" s="183" t="n">
        <v>0</v>
      </c>
      <c r="U2120" s="182" t="n">
        <v>0</v>
      </c>
      <c r="V2120" s="182" t="n">
        <v>0</v>
      </c>
      <c r="W2120" s="182" t="n">
        <v>0</v>
      </c>
      <c r="X2120" s="182" t="n">
        <v>1</v>
      </c>
      <c r="Y2120" s="182" t="n">
        <v>0</v>
      </c>
      <c r="Z2120" s="182" t="n">
        <v>0</v>
      </c>
      <c r="AA2120" s="182" t="n">
        <v>0</v>
      </c>
      <c r="AB2120" s="182" t="n">
        <v>0</v>
      </c>
      <c r="AC2120" s="182" t="n">
        <v>0</v>
      </c>
      <c r="AD2120" s="182" t="n">
        <v>0</v>
      </c>
      <c r="AE2120" s="182" t="n">
        <v>0</v>
      </c>
      <c r="AF2120" s="182" t="n">
        <v>0</v>
      </c>
      <c r="AG2120" s="182" t="n">
        <v>0</v>
      </c>
      <c r="AH2120" s="182" t="n">
        <v>0</v>
      </c>
      <c r="AI2120" s="182" t="n">
        <v>0</v>
      </c>
      <c r="AJ2120" s="182" t="n">
        <v>0</v>
      </c>
      <c r="AK2120" s="182" t="n">
        <v>10.92</v>
      </c>
      <c r="AL2120" s="182" t="n">
        <v>0</v>
      </c>
      <c r="AM2120" s="182" t="n">
        <v>0.08</v>
      </c>
      <c r="AN2120" s="182" t="n">
        <v>0</v>
      </c>
    </row>
    <row r="2121">
      <c r="A2121" s="155" t="n">
        <v>46091</v>
      </c>
      <c r="B2121" s="156" t="inlineStr">
        <is>
          <t>NS</t>
        </is>
      </c>
      <c r="C2121" s="156" t="inlineStr">
        <is>
          <t>HT-411</t>
        </is>
      </c>
      <c r="D2121" s="156" t="inlineStr">
        <is>
          <t>SY430</t>
        </is>
      </c>
      <c r="E2121" s="156" t="inlineStr">
        <is>
          <t>DT Hauling</t>
        </is>
      </c>
      <c r="F2121" s="156" t="inlineStr"/>
      <c r="G2121" s="182" t="n">
        <v>0</v>
      </c>
      <c r="H2121" s="182" t="n">
        <v>0</v>
      </c>
      <c r="I2121" s="182" t="n">
        <v>0</v>
      </c>
      <c r="J2121" s="182" t="n">
        <v>0</v>
      </c>
      <c r="K2121" s="182" t="n">
        <v>12</v>
      </c>
      <c r="L2121" s="182" t="n">
        <v>12</v>
      </c>
      <c r="M2121" s="182" t="n">
        <v>0</v>
      </c>
      <c r="N2121" s="182" t="n">
        <v>0</v>
      </c>
      <c r="O2121" s="183" t="n">
        <v>0</v>
      </c>
      <c r="P2121" s="183" t="n">
        <v>0</v>
      </c>
      <c r="Q2121" s="184" t="n">
        <v>0</v>
      </c>
      <c r="R2121" s="184" t="n">
        <v>0</v>
      </c>
      <c r="S2121" s="183" t="n">
        <v>0</v>
      </c>
      <c r="T2121" s="183" t="n">
        <v>0</v>
      </c>
      <c r="U2121" s="182" t="n">
        <v>0</v>
      </c>
      <c r="V2121" s="182" t="n">
        <v>0</v>
      </c>
      <c r="W2121" s="182" t="n">
        <v>0</v>
      </c>
      <c r="X2121" s="182" t="n">
        <v>1</v>
      </c>
      <c r="Y2121" s="182" t="n">
        <v>0</v>
      </c>
      <c r="Z2121" s="182" t="n">
        <v>0</v>
      </c>
      <c r="AA2121" s="182" t="n">
        <v>0</v>
      </c>
      <c r="AB2121" s="182" t="n">
        <v>0</v>
      </c>
      <c r="AC2121" s="182" t="n">
        <v>0</v>
      </c>
      <c r="AD2121" s="182" t="n">
        <v>0</v>
      </c>
      <c r="AE2121" s="182" t="n">
        <v>0</v>
      </c>
      <c r="AF2121" s="182" t="n">
        <v>0</v>
      </c>
      <c r="AG2121" s="182" t="n">
        <v>0</v>
      </c>
      <c r="AH2121" s="182" t="n">
        <v>0</v>
      </c>
      <c r="AI2121" s="182" t="n">
        <v>0</v>
      </c>
      <c r="AJ2121" s="182" t="n">
        <v>0</v>
      </c>
      <c r="AK2121" s="182" t="n">
        <v>10.92</v>
      </c>
      <c r="AL2121" s="182" t="n">
        <v>0</v>
      </c>
      <c r="AM2121" s="182" t="n">
        <v>0.08</v>
      </c>
      <c r="AN2121" s="182" t="n">
        <v>0</v>
      </c>
    </row>
    <row r="2122">
      <c r="A2122" s="155" t="n">
        <v>46091</v>
      </c>
      <c r="B2122" s="156" t="inlineStr">
        <is>
          <t>NS</t>
        </is>
      </c>
      <c r="C2122" s="156" t="inlineStr">
        <is>
          <t>HT-409</t>
        </is>
      </c>
      <c r="D2122" s="156" t="inlineStr">
        <is>
          <t>SY430</t>
        </is>
      </c>
      <c r="E2122" s="156" t="inlineStr">
        <is>
          <t>DT Hauling</t>
        </is>
      </c>
      <c r="F2122" s="156" t="inlineStr"/>
      <c r="G2122" s="182" t="n">
        <v>0</v>
      </c>
      <c r="H2122" s="182" t="n">
        <v>0</v>
      </c>
      <c r="I2122" s="182" t="n">
        <v>0</v>
      </c>
      <c r="J2122" s="182" t="n">
        <v>0</v>
      </c>
      <c r="K2122" s="182" t="n">
        <v>12</v>
      </c>
      <c r="L2122" s="182" t="n">
        <v>12</v>
      </c>
      <c r="M2122" s="182" t="n">
        <v>0</v>
      </c>
      <c r="N2122" s="182" t="n">
        <v>0</v>
      </c>
      <c r="O2122" s="183" t="n">
        <v>0</v>
      </c>
      <c r="P2122" s="183" t="n">
        <v>0</v>
      </c>
      <c r="Q2122" s="184" t="n">
        <v>0</v>
      </c>
      <c r="R2122" s="184" t="n">
        <v>0</v>
      </c>
      <c r="S2122" s="183" t="n">
        <v>0</v>
      </c>
      <c r="T2122" s="183" t="n">
        <v>0</v>
      </c>
      <c r="U2122" s="182" t="n">
        <v>0</v>
      </c>
      <c r="V2122" s="182" t="n">
        <v>0</v>
      </c>
      <c r="W2122" s="182" t="n">
        <v>0</v>
      </c>
      <c r="X2122" s="182" t="n">
        <v>1</v>
      </c>
      <c r="Y2122" s="182" t="n">
        <v>0</v>
      </c>
      <c r="Z2122" s="182" t="n">
        <v>0</v>
      </c>
      <c r="AA2122" s="182" t="n">
        <v>0</v>
      </c>
      <c r="AB2122" s="182" t="n">
        <v>0</v>
      </c>
      <c r="AC2122" s="182" t="n">
        <v>0</v>
      </c>
      <c r="AD2122" s="182" t="n">
        <v>0</v>
      </c>
      <c r="AE2122" s="182" t="n">
        <v>0</v>
      </c>
      <c r="AF2122" s="182" t="n">
        <v>0</v>
      </c>
      <c r="AG2122" s="182" t="n">
        <v>0</v>
      </c>
      <c r="AH2122" s="182" t="n">
        <v>0</v>
      </c>
      <c r="AI2122" s="182" t="n">
        <v>0</v>
      </c>
      <c r="AJ2122" s="182" t="n">
        <v>0</v>
      </c>
      <c r="AK2122" s="182" t="n">
        <v>10.92</v>
      </c>
      <c r="AL2122" s="182" t="n">
        <v>0</v>
      </c>
      <c r="AM2122" s="182" t="n">
        <v>0.08</v>
      </c>
      <c r="AN2122" s="182" t="n">
        <v>0</v>
      </c>
    </row>
    <row r="2123">
      <c r="A2123" s="155" t="n">
        <v>46091</v>
      </c>
      <c r="B2123" s="156" t="inlineStr">
        <is>
          <t>NS</t>
        </is>
      </c>
      <c r="C2123" s="156" t="inlineStr">
        <is>
          <t>DH-103</t>
        </is>
      </c>
      <c r="D2123" s="156" t="inlineStr">
        <is>
          <t>HINO FM260</t>
        </is>
      </c>
      <c r="E2123" s="156" t="inlineStr">
        <is>
          <t>DT Hino</t>
        </is>
      </c>
      <c r="F2123" s="156" t="inlineStr"/>
      <c r="G2123" s="182" t="n">
        <v>0</v>
      </c>
      <c r="H2123" s="182" t="n">
        <v>0</v>
      </c>
      <c r="I2123" s="182" t="n">
        <v>0</v>
      </c>
      <c r="J2123" s="182" t="n">
        <v>0</v>
      </c>
      <c r="K2123" s="182" t="n">
        <v>12</v>
      </c>
      <c r="L2123" s="182" t="n">
        <v>12</v>
      </c>
      <c r="M2123" s="182" t="n">
        <v>0</v>
      </c>
      <c r="N2123" s="182" t="n">
        <v>0</v>
      </c>
      <c r="O2123" s="183" t="n">
        <v>0</v>
      </c>
      <c r="P2123" s="183" t="n">
        <v>0</v>
      </c>
      <c r="Q2123" s="184" t="n">
        <v>0</v>
      </c>
      <c r="R2123" s="184" t="n">
        <v>0</v>
      </c>
      <c r="S2123" s="183" t="n">
        <v>0</v>
      </c>
      <c r="T2123" s="183" t="n">
        <v>0</v>
      </c>
      <c r="U2123" s="182" t="n">
        <v>0</v>
      </c>
      <c r="V2123" s="182" t="n">
        <v>0</v>
      </c>
      <c r="W2123" s="182" t="n">
        <v>0</v>
      </c>
      <c r="X2123" s="182" t="n">
        <v>1</v>
      </c>
      <c r="Y2123" s="182" t="n">
        <v>0</v>
      </c>
      <c r="Z2123" s="182" t="n">
        <v>0</v>
      </c>
      <c r="AA2123" s="182" t="n">
        <v>0</v>
      </c>
      <c r="AB2123" s="182" t="n">
        <v>0</v>
      </c>
      <c r="AC2123" s="182" t="n">
        <v>0</v>
      </c>
      <c r="AD2123" s="182" t="n">
        <v>0</v>
      </c>
      <c r="AE2123" s="182" t="n">
        <v>0</v>
      </c>
      <c r="AF2123" s="182" t="n">
        <v>0</v>
      </c>
      <c r="AG2123" s="182" t="n">
        <v>0</v>
      </c>
      <c r="AH2123" s="182" t="n">
        <v>0</v>
      </c>
      <c r="AI2123" s="182" t="n">
        <v>0</v>
      </c>
      <c r="AJ2123" s="182" t="n">
        <v>0</v>
      </c>
      <c r="AK2123" s="182" t="n">
        <v>10.92</v>
      </c>
      <c r="AL2123" s="182" t="n">
        <v>0</v>
      </c>
      <c r="AM2123" s="182" t="n">
        <v>0.08</v>
      </c>
      <c r="AN2123" s="182" t="n">
        <v>0</v>
      </c>
    </row>
    <row r="2124">
      <c r="A2124" s="155" t="n">
        <v>46091</v>
      </c>
      <c r="B2124" s="156" t="inlineStr">
        <is>
          <t>NS</t>
        </is>
      </c>
      <c r="C2124" s="156" t="inlineStr">
        <is>
          <t>DH-102</t>
        </is>
      </c>
      <c r="D2124" s="156" t="inlineStr">
        <is>
          <t>HINO FM260</t>
        </is>
      </c>
      <c r="E2124" s="156" t="inlineStr">
        <is>
          <t>DT Hino</t>
        </is>
      </c>
      <c r="F2124" s="156" t="inlineStr"/>
      <c r="G2124" s="182" t="n">
        <v>0</v>
      </c>
      <c r="H2124" s="182" t="n">
        <v>0</v>
      </c>
      <c r="I2124" s="182" t="n">
        <v>0</v>
      </c>
      <c r="J2124" s="182" t="n">
        <v>0</v>
      </c>
      <c r="K2124" s="182" t="n">
        <v>12</v>
      </c>
      <c r="L2124" s="182" t="n">
        <v>12</v>
      </c>
      <c r="M2124" s="182" t="n">
        <v>0</v>
      </c>
      <c r="N2124" s="182" t="n">
        <v>0</v>
      </c>
      <c r="O2124" s="183" t="n">
        <v>0</v>
      </c>
      <c r="P2124" s="183" t="n">
        <v>0</v>
      </c>
      <c r="Q2124" s="184" t="n">
        <v>0</v>
      </c>
      <c r="R2124" s="184" t="n">
        <v>0</v>
      </c>
      <c r="S2124" s="183" t="n">
        <v>0</v>
      </c>
      <c r="T2124" s="183" t="n">
        <v>0</v>
      </c>
      <c r="U2124" s="182" t="n">
        <v>0</v>
      </c>
      <c r="V2124" s="182" t="n">
        <v>0</v>
      </c>
      <c r="W2124" s="182" t="n">
        <v>0</v>
      </c>
      <c r="X2124" s="182" t="n">
        <v>1</v>
      </c>
      <c r="Y2124" s="182" t="n">
        <v>0</v>
      </c>
      <c r="Z2124" s="182" t="n">
        <v>0</v>
      </c>
      <c r="AA2124" s="182" t="n">
        <v>0</v>
      </c>
      <c r="AB2124" s="182" t="n">
        <v>0</v>
      </c>
      <c r="AC2124" s="182" t="n">
        <v>0</v>
      </c>
      <c r="AD2124" s="182" t="n">
        <v>0</v>
      </c>
      <c r="AE2124" s="182" t="n">
        <v>0</v>
      </c>
      <c r="AF2124" s="182" t="n">
        <v>0</v>
      </c>
      <c r="AG2124" s="182" t="n">
        <v>0</v>
      </c>
      <c r="AH2124" s="182" t="n">
        <v>0</v>
      </c>
      <c r="AI2124" s="182" t="n">
        <v>0</v>
      </c>
      <c r="AJ2124" s="182" t="n">
        <v>0</v>
      </c>
      <c r="AK2124" s="182" t="n">
        <v>10.92</v>
      </c>
      <c r="AL2124" s="182" t="n">
        <v>0</v>
      </c>
      <c r="AM2124" s="182" t="n">
        <v>0.08</v>
      </c>
      <c r="AN2124" s="182" t="n">
        <v>0</v>
      </c>
    </row>
    <row r="2125">
      <c r="A2125" s="155" t="n">
        <v>46091</v>
      </c>
      <c r="B2125" s="156" t="inlineStr">
        <is>
          <t>NS</t>
        </is>
      </c>
      <c r="C2125" s="156" t="inlineStr">
        <is>
          <t>DH-101</t>
        </is>
      </c>
      <c r="D2125" s="156" t="inlineStr">
        <is>
          <t>HINO FM260</t>
        </is>
      </c>
      <c r="E2125" s="156" t="inlineStr">
        <is>
          <t>DT Hino</t>
        </is>
      </c>
      <c r="F2125" s="156" t="inlineStr"/>
      <c r="G2125" s="182" t="n">
        <v>0</v>
      </c>
      <c r="H2125" s="182" t="n">
        <v>0</v>
      </c>
      <c r="I2125" s="182" t="n">
        <v>0</v>
      </c>
      <c r="J2125" s="182" t="n">
        <v>0</v>
      </c>
      <c r="K2125" s="182" t="n">
        <v>12</v>
      </c>
      <c r="L2125" s="182" t="n">
        <v>12</v>
      </c>
      <c r="M2125" s="182" t="n">
        <v>0</v>
      </c>
      <c r="N2125" s="182" t="n">
        <v>0</v>
      </c>
      <c r="O2125" s="183" t="n">
        <v>0</v>
      </c>
      <c r="P2125" s="183" t="n">
        <v>0</v>
      </c>
      <c r="Q2125" s="184" t="n">
        <v>0</v>
      </c>
      <c r="R2125" s="184" t="n">
        <v>0</v>
      </c>
      <c r="S2125" s="183" t="n">
        <v>0</v>
      </c>
      <c r="T2125" s="183" t="n">
        <v>0</v>
      </c>
      <c r="U2125" s="182" t="n">
        <v>0</v>
      </c>
      <c r="V2125" s="182" t="n">
        <v>0</v>
      </c>
      <c r="W2125" s="182" t="n">
        <v>0</v>
      </c>
      <c r="X2125" s="182" t="n">
        <v>1</v>
      </c>
      <c r="Y2125" s="182" t="n">
        <v>0</v>
      </c>
      <c r="Z2125" s="182" t="n">
        <v>0</v>
      </c>
      <c r="AA2125" s="182" t="n">
        <v>0</v>
      </c>
      <c r="AB2125" s="182" t="n">
        <v>0</v>
      </c>
      <c r="AC2125" s="182" t="n">
        <v>0</v>
      </c>
      <c r="AD2125" s="182" t="n">
        <v>0</v>
      </c>
      <c r="AE2125" s="182" t="n">
        <v>0</v>
      </c>
      <c r="AF2125" s="182" t="n">
        <v>0</v>
      </c>
      <c r="AG2125" s="182" t="n">
        <v>0</v>
      </c>
      <c r="AH2125" s="182" t="n">
        <v>0</v>
      </c>
      <c r="AI2125" s="182" t="n">
        <v>0</v>
      </c>
      <c r="AJ2125" s="182" t="n">
        <v>0</v>
      </c>
      <c r="AK2125" s="182" t="n">
        <v>10.92</v>
      </c>
      <c r="AL2125" s="182" t="n">
        <v>0</v>
      </c>
      <c r="AM2125" s="182" t="n">
        <v>0.08</v>
      </c>
      <c r="AN2125" s="182" t="n">
        <v>0</v>
      </c>
    </row>
    <row r="2126">
      <c r="A2126" s="155" t="n">
        <v>46091</v>
      </c>
      <c r="B2126" s="156" t="inlineStr">
        <is>
          <t>NS</t>
        </is>
      </c>
      <c r="C2126" s="156" t="inlineStr">
        <is>
          <t>EX-1251</t>
        </is>
      </c>
      <c r="D2126" s="156" t="inlineStr">
        <is>
          <t>SY1250</t>
        </is>
      </c>
      <c r="E2126" s="156" t="inlineStr">
        <is>
          <t>Excavator</t>
        </is>
      </c>
      <c r="F2126" s="156" t="inlineStr">
        <is>
          <t>Loading OB</t>
        </is>
      </c>
      <c r="G2126" s="182" t="n">
        <v>9.83</v>
      </c>
      <c r="H2126" s="182" t="n">
        <v>0</v>
      </c>
      <c r="I2126" s="182" t="n">
        <v>0</v>
      </c>
      <c r="J2126" s="182" t="n">
        <v>0</v>
      </c>
      <c r="K2126" s="182" t="n">
        <v>2.17</v>
      </c>
      <c r="L2126" s="182" t="n">
        <v>12</v>
      </c>
      <c r="M2126" s="182" t="n">
        <v>9.460000000000001</v>
      </c>
      <c r="N2126" s="182" t="n">
        <v>0</v>
      </c>
      <c r="O2126" s="183" t="n">
        <v>174</v>
      </c>
      <c r="P2126" s="183" t="n">
        <v>0</v>
      </c>
      <c r="Q2126" s="184" t="n">
        <v>3549.6</v>
      </c>
      <c r="R2126" s="184" t="n">
        <v>0</v>
      </c>
      <c r="S2126" s="183" t="n">
        <v>0</v>
      </c>
      <c r="T2126" s="183" t="n">
        <v>0</v>
      </c>
      <c r="U2126" s="182" t="n">
        <v>0</v>
      </c>
      <c r="V2126" s="182" t="n">
        <v>0.75</v>
      </c>
      <c r="W2126" s="182" t="n">
        <v>0</v>
      </c>
      <c r="X2126" s="182" t="n">
        <v>1.03</v>
      </c>
      <c r="Y2126" s="182" t="n">
        <v>0</v>
      </c>
      <c r="Z2126" s="182" t="n">
        <v>0</v>
      </c>
      <c r="AA2126" s="182" t="n">
        <v>0</v>
      </c>
      <c r="AB2126" s="182" t="n">
        <v>0</v>
      </c>
      <c r="AC2126" s="182" t="n">
        <v>0</v>
      </c>
      <c r="AD2126" s="182" t="n">
        <v>0</v>
      </c>
      <c r="AE2126" s="182" t="n">
        <v>0</v>
      </c>
      <c r="AF2126" s="182" t="n">
        <v>0</v>
      </c>
      <c r="AG2126" s="182" t="n">
        <v>0</v>
      </c>
      <c r="AH2126" s="182" t="n">
        <v>0.29</v>
      </c>
      <c r="AI2126" s="182" t="n">
        <v>0</v>
      </c>
      <c r="AJ2126" s="182" t="n">
        <v>0</v>
      </c>
      <c r="AK2126" s="182" t="n">
        <v>0</v>
      </c>
      <c r="AL2126" s="182" t="n">
        <v>0</v>
      </c>
      <c r="AM2126" s="182" t="n">
        <v>0.08</v>
      </c>
      <c r="AN2126" s="182" t="n">
        <v>0</v>
      </c>
    </row>
    <row r="2127">
      <c r="A2127" s="155" t="n">
        <v>46091</v>
      </c>
      <c r="B2127" s="156" t="inlineStr">
        <is>
          <t>NS</t>
        </is>
      </c>
      <c r="C2127" s="156" t="inlineStr">
        <is>
          <t>EX-1252</t>
        </is>
      </c>
      <c r="D2127" s="156" t="inlineStr">
        <is>
          <t>SY1250</t>
        </is>
      </c>
      <c r="E2127" s="156" t="inlineStr">
        <is>
          <t>Excavator</t>
        </is>
      </c>
      <c r="F2127" s="156" t="inlineStr"/>
      <c r="G2127" s="182" t="n">
        <v>0</v>
      </c>
      <c r="H2127" s="182" t="n">
        <v>0</v>
      </c>
      <c r="I2127" s="182" t="n">
        <v>12</v>
      </c>
      <c r="J2127" s="182" t="n">
        <v>12</v>
      </c>
      <c r="K2127" s="182" t="n">
        <v>0</v>
      </c>
      <c r="L2127" s="182" t="n">
        <v>12</v>
      </c>
      <c r="M2127" s="182" t="n">
        <v>0</v>
      </c>
      <c r="N2127" s="182" t="n">
        <v>0</v>
      </c>
      <c r="O2127" s="183" t="n">
        <v>0</v>
      </c>
      <c r="P2127" s="183" t="n">
        <v>0</v>
      </c>
      <c r="Q2127" s="184" t="n">
        <v>0</v>
      </c>
      <c r="R2127" s="184" t="n">
        <v>0</v>
      </c>
      <c r="S2127" s="183" t="n">
        <v>0</v>
      </c>
      <c r="T2127" s="183" t="n">
        <v>0</v>
      </c>
      <c r="U2127" s="182" t="n">
        <v>0</v>
      </c>
      <c r="V2127" s="182" t="n">
        <v>0</v>
      </c>
      <c r="W2127" s="182" t="n">
        <v>0</v>
      </c>
      <c r="X2127" s="182" t="n">
        <v>0</v>
      </c>
      <c r="Y2127" s="182" t="n">
        <v>0</v>
      </c>
      <c r="Z2127" s="182" t="n">
        <v>0</v>
      </c>
      <c r="AA2127" s="182" t="n">
        <v>0</v>
      </c>
      <c r="AB2127" s="182" t="n">
        <v>0</v>
      </c>
      <c r="AC2127" s="182" t="n">
        <v>0</v>
      </c>
      <c r="AD2127" s="182" t="n">
        <v>0</v>
      </c>
      <c r="AE2127" s="182" t="n">
        <v>0</v>
      </c>
      <c r="AF2127" s="182" t="n">
        <v>0</v>
      </c>
      <c r="AG2127" s="182" t="n">
        <v>0</v>
      </c>
      <c r="AH2127" s="182" t="n">
        <v>0</v>
      </c>
      <c r="AI2127" s="182" t="n">
        <v>0</v>
      </c>
      <c r="AJ2127" s="182" t="n">
        <v>0</v>
      </c>
      <c r="AK2127" s="182" t="n">
        <v>0</v>
      </c>
      <c r="AL2127" s="182" t="n">
        <v>0</v>
      </c>
      <c r="AM2127" s="182" t="n">
        <v>0</v>
      </c>
      <c r="AN2127" s="182" t="n">
        <v>0</v>
      </c>
    </row>
    <row r="2128">
      <c r="A2128" s="155" t="n">
        <v>46091</v>
      </c>
      <c r="B2128" s="156" t="inlineStr">
        <is>
          <t>NS</t>
        </is>
      </c>
      <c r="C2128" s="156" t="inlineStr">
        <is>
          <t>EX-2101</t>
        </is>
      </c>
      <c r="D2128" s="156" t="inlineStr">
        <is>
          <t>SY2000</t>
        </is>
      </c>
      <c r="E2128" s="156" t="inlineStr">
        <is>
          <t>Excavator</t>
        </is>
      </c>
      <c r="F2128" s="156" t="inlineStr">
        <is>
          <t>Loading OB</t>
        </is>
      </c>
      <c r="G2128" s="182" t="n">
        <v>2.06</v>
      </c>
      <c r="H2128" s="182" t="n">
        <v>0</v>
      </c>
      <c r="I2128" s="182" t="n">
        <v>0</v>
      </c>
      <c r="J2128" s="182" t="n">
        <v>0</v>
      </c>
      <c r="K2128" s="182" t="n">
        <v>9.94</v>
      </c>
      <c r="L2128" s="182" t="n">
        <v>12</v>
      </c>
      <c r="M2128" s="182" t="n">
        <v>1.93</v>
      </c>
      <c r="N2128" s="182" t="n">
        <v>0</v>
      </c>
      <c r="O2128" s="183" t="n">
        <v>37</v>
      </c>
      <c r="P2128" s="183" t="n">
        <v>0</v>
      </c>
      <c r="Q2128" s="184" t="n">
        <v>1122</v>
      </c>
      <c r="R2128" s="184" t="n">
        <v>0</v>
      </c>
      <c r="S2128" s="183" t="n">
        <v>0</v>
      </c>
      <c r="T2128" s="183" t="n">
        <v>0</v>
      </c>
      <c r="U2128" s="182" t="n">
        <v>0</v>
      </c>
      <c r="V2128" s="182" t="n">
        <v>3.7</v>
      </c>
      <c r="W2128" s="182" t="n">
        <v>0</v>
      </c>
      <c r="X2128" s="182" t="n">
        <v>1.01</v>
      </c>
      <c r="Y2128" s="182" t="n">
        <v>0</v>
      </c>
      <c r="Z2128" s="182" t="n">
        <v>0</v>
      </c>
      <c r="AA2128" s="182" t="n">
        <v>0</v>
      </c>
      <c r="AB2128" s="182" t="n">
        <v>0</v>
      </c>
      <c r="AC2128" s="182" t="n">
        <v>0</v>
      </c>
      <c r="AD2128" s="182" t="n">
        <v>0</v>
      </c>
      <c r="AE2128" s="182" t="n">
        <v>0</v>
      </c>
      <c r="AF2128" s="182" t="n">
        <v>0</v>
      </c>
      <c r="AG2128" s="182" t="n">
        <v>0</v>
      </c>
      <c r="AH2128" s="182" t="n">
        <v>0</v>
      </c>
      <c r="AI2128" s="182" t="n">
        <v>0</v>
      </c>
      <c r="AJ2128" s="182" t="n">
        <v>5.15</v>
      </c>
      <c r="AK2128" s="182" t="n">
        <v>0</v>
      </c>
      <c r="AL2128" s="182" t="n">
        <v>0</v>
      </c>
      <c r="AM2128" s="182" t="n">
        <v>0.08</v>
      </c>
      <c r="AN2128" s="182" t="n">
        <v>0</v>
      </c>
    </row>
    <row r="2129">
      <c r="A2129" s="155" t="n">
        <v>46091</v>
      </c>
      <c r="B2129" s="156" t="inlineStr">
        <is>
          <t>NS</t>
        </is>
      </c>
      <c r="C2129" s="156" t="inlineStr">
        <is>
          <t>EX-222</t>
        </is>
      </c>
      <c r="D2129" s="156" t="inlineStr">
        <is>
          <t>PC 200-8MI</t>
        </is>
      </c>
      <c r="E2129" s="156" t="inlineStr">
        <is>
          <t>Excavator</t>
        </is>
      </c>
      <c r="F2129" s="156" t="inlineStr">
        <is>
          <t>Support Washing Plant</t>
        </is>
      </c>
      <c r="G2129" s="182" t="n">
        <v>11.4</v>
      </c>
      <c r="H2129" s="182" t="n">
        <v>0</v>
      </c>
      <c r="I2129" s="182" t="n">
        <v>0</v>
      </c>
      <c r="J2129" s="182" t="n">
        <v>0</v>
      </c>
      <c r="K2129" s="182" t="n">
        <v>0.6</v>
      </c>
      <c r="L2129" s="182" t="n">
        <v>12</v>
      </c>
      <c r="M2129" s="182" t="n">
        <v>0</v>
      </c>
      <c r="N2129" s="182" t="n">
        <v>0</v>
      </c>
      <c r="O2129" s="183" t="n">
        <v>0</v>
      </c>
      <c r="P2129" s="183" t="n">
        <v>0</v>
      </c>
      <c r="Q2129" s="184" t="n">
        <v>0</v>
      </c>
      <c r="R2129" s="184" t="n">
        <v>0</v>
      </c>
      <c r="S2129" s="183" t="n">
        <v>0</v>
      </c>
      <c r="T2129" s="183" t="n">
        <v>0</v>
      </c>
      <c r="U2129" s="182" t="n">
        <v>0</v>
      </c>
      <c r="V2129" s="182" t="n">
        <v>0</v>
      </c>
      <c r="W2129" s="182" t="n">
        <v>0</v>
      </c>
      <c r="X2129" s="182" t="n">
        <v>0</v>
      </c>
      <c r="Y2129" s="182" t="n">
        <v>0</v>
      </c>
      <c r="Z2129" s="182" t="n">
        <v>0</v>
      </c>
      <c r="AA2129" s="182" t="n">
        <v>0</v>
      </c>
      <c r="AB2129" s="182" t="n">
        <v>0</v>
      </c>
      <c r="AC2129" s="182" t="n">
        <v>0</v>
      </c>
      <c r="AD2129" s="182" t="n">
        <v>0</v>
      </c>
      <c r="AE2129" s="182" t="n">
        <v>0</v>
      </c>
      <c r="AF2129" s="182" t="n">
        <v>0</v>
      </c>
      <c r="AG2129" s="182" t="n">
        <v>0</v>
      </c>
      <c r="AH2129" s="182" t="n">
        <v>0</v>
      </c>
      <c r="AI2129" s="182" t="n">
        <v>0</v>
      </c>
      <c r="AJ2129" s="182" t="n">
        <v>0</v>
      </c>
      <c r="AK2129" s="182" t="n">
        <v>0</v>
      </c>
      <c r="AL2129" s="182" t="n">
        <v>0</v>
      </c>
      <c r="AM2129" s="182" t="n">
        <v>0</v>
      </c>
      <c r="AN2129" s="182" t="n">
        <v>0</v>
      </c>
    </row>
    <row r="2130">
      <c r="A2130" s="155" t="n">
        <v>46091</v>
      </c>
      <c r="B2130" s="156" t="inlineStr">
        <is>
          <t>NS</t>
        </is>
      </c>
      <c r="C2130" s="156" t="inlineStr">
        <is>
          <t>EX-225</t>
        </is>
      </c>
      <c r="D2130" s="156" t="inlineStr">
        <is>
          <t>PC 200-8</t>
        </is>
      </c>
      <c r="E2130" s="156" t="inlineStr">
        <is>
          <t>Excavator</t>
        </is>
      </c>
      <c r="F2130" s="156" t="inlineStr"/>
      <c r="G2130" s="182" t="n">
        <v>0</v>
      </c>
      <c r="H2130" s="182" t="n">
        <v>0</v>
      </c>
      <c r="I2130" s="182" t="n">
        <v>12</v>
      </c>
      <c r="J2130" s="182" t="n">
        <v>12</v>
      </c>
      <c r="K2130" s="182" t="n">
        <v>0</v>
      </c>
      <c r="L2130" s="182" t="n">
        <v>12</v>
      </c>
      <c r="M2130" s="182" t="n">
        <v>0</v>
      </c>
      <c r="N2130" s="182" t="n">
        <v>0</v>
      </c>
      <c r="O2130" s="183" t="n">
        <v>0</v>
      </c>
      <c r="P2130" s="183" t="n">
        <v>0</v>
      </c>
      <c r="Q2130" s="184" t="n">
        <v>0</v>
      </c>
      <c r="R2130" s="184" t="n">
        <v>0</v>
      </c>
      <c r="S2130" s="183" t="n">
        <v>0</v>
      </c>
      <c r="T2130" s="183" t="n">
        <v>0</v>
      </c>
      <c r="U2130" s="182" t="n">
        <v>0</v>
      </c>
      <c r="V2130" s="182" t="n">
        <v>0</v>
      </c>
      <c r="W2130" s="182" t="n">
        <v>0</v>
      </c>
      <c r="X2130" s="182" t="n">
        <v>0</v>
      </c>
      <c r="Y2130" s="182" t="n">
        <v>0</v>
      </c>
      <c r="Z2130" s="182" t="n">
        <v>0</v>
      </c>
      <c r="AA2130" s="182" t="n">
        <v>0</v>
      </c>
      <c r="AB2130" s="182" t="n">
        <v>0</v>
      </c>
      <c r="AC2130" s="182" t="n">
        <v>0</v>
      </c>
      <c r="AD2130" s="182" t="n">
        <v>0</v>
      </c>
      <c r="AE2130" s="182" t="n">
        <v>0</v>
      </c>
      <c r="AF2130" s="182" t="n">
        <v>0</v>
      </c>
      <c r="AG2130" s="182" t="n">
        <v>0</v>
      </c>
      <c r="AH2130" s="182" t="n">
        <v>0</v>
      </c>
      <c r="AI2130" s="182" t="n">
        <v>0</v>
      </c>
      <c r="AJ2130" s="182" t="n">
        <v>0</v>
      </c>
      <c r="AK2130" s="182" t="n">
        <v>0</v>
      </c>
      <c r="AL2130" s="182" t="n">
        <v>0</v>
      </c>
      <c r="AM2130" s="182" t="n">
        <v>0</v>
      </c>
      <c r="AN2130" s="182" t="n">
        <v>0</v>
      </c>
    </row>
    <row r="2131">
      <c r="A2131" s="155" t="n">
        <v>46091</v>
      </c>
      <c r="B2131" s="156" t="inlineStr">
        <is>
          <t>NS</t>
        </is>
      </c>
      <c r="C2131" s="156" t="inlineStr">
        <is>
          <t>EX-223</t>
        </is>
      </c>
      <c r="D2131" s="156" t="inlineStr">
        <is>
          <t>PC 200-8MI</t>
        </is>
      </c>
      <c r="E2131" s="156" t="inlineStr">
        <is>
          <t>Excavator</t>
        </is>
      </c>
      <c r="F2131" s="156" t="inlineStr">
        <is>
          <t>Support Washing Plant</t>
        </is>
      </c>
      <c r="G2131" s="182" t="n">
        <v>9.68</v>
      </c>
      <c r="H2131" s="182" t="n">
        <v>0</v>
      </c>
      <c r="I2131" s="182" t="n">
        <v>0</v>
      </c>
      <c r="J2131" s="182" t="n">
        <v>0</v>
      </c>
      <c r="K2131" s="182" t="n">
        <v>2.32</v>
      </c>
      <c r="L2131" s="182" t="n">
        <v>12</v>
      </c>
      <c r="M2131" s="182" t="n">
        <v>0</v>
      </c>
      <c r="N2131" s="182" t="n">
        <v>0</v>
      </c>
      <c r="O2131" s="183" t="n">
        <v>0</v>
      </c>
      <c r="P2131" s="183" t="n">
        <v>0</v>
      </c>
      <c r="Q2131" s="184" t="n">
        <v>0</v>
      </c>
      <c r="R2131" s="184" t="n">
        <v>0</v>
      </c>
      <c r="S2131" s="183" t="n">
        <v>0</v>
      </c>
      <c r="T2131" s="183" t="n">
        <v>0</v>
      </c>
      <c r="U2131" s="182" t="n">
        <v>0</v>
      </c>
      <c r="V2131" s="182" t="n">
        <v>0</v>
      </c>
      <c r="W2131" s="182" t="n">
        <v>0</v>
      </c>
      <c r="X2131" s="182" t="n">
        <v>1.16</v>
      </c>
      <c r="Y2131" s="182" t="n">
        <v>0</v>
      </c>
      <c r="Z2131" s="182" t="n">
        <v>0</v>
      </c>
      <c r="AA2131" s="182" t="n">
        <v>0</v>
      </c>
      <c r="AB2131" s="182" t="n">
        <v>0</v>
      </c>
      <c r="AC2131" s="182" t="n">
        <v>0</v>
      </c>
      <c r="AD2131" s="182" t="n">
        <v>0</v>
      </c>
      <c r="AE2131" s="182" t="n">
        <v>0</v>
      </c>
      <c r="AF2131" s="182" t="n">
        <v>0</v>
      </c>
      <c r="AG2131" s="182" t="n">
        <v>0</v>
      </c>
      <c r="AH2131" s="182" t="n">
        <v>1.07</v>
      </c>
      <c r="AI2131" s="182" t="n">
        <v>0</v>
      </c>
      <c r="AJ2131" s="182" t="n">
        <v>0</v>
      </c>
      <c r="AK2131" s="182" t="n">
        <v>0</v>
      </c>
      <c r="AL2131" s="182" t="n">
        <v>0</v>
      </c>
      <c r="AM2131" s="182" t="n">
        <v>0.09</v>
      </c>
      <c r="AN2131" s="182" t="n">
        <v>0</v>
      </c>
    </row>
    <row r="2132">
      <c r="A2132" s="155" t="n">
        <v>46091</v>
      </c>
      <c r="B2132" s="156" t="inlineStr">
        <is>
          <t>NS</t>
        </is>
      </c>
      <c r="C2132" s="156" t="inlineStr">
        <is>
          <t>EX-221</t>
        </is>
      </c>
      <c r="D2132" s="156" t="inlineStr">
        <is>
          <t>PC 200-8MI</t>
        </is>
      </c>
      <c r="E2132" s="156" t="inlineStr">
        <is>
          <t>Excavator</t>
        </is>
      </c>
      <c r="F2132" s="156" t="inlineStr"/>
      <c r="G2132" s="182" t="n">
        <v>0</v>
      </c>
      <c r="H2132" s="182" t="n">
        <v>0</v>
      </c>
      <c r="I2132" s="182" t="n">
        <v>0</v>
      </c>
      <c r="J2132" s="182" t="n">
        <v>0</v>
      </c>
      <c r="K2132" s="182" t="n">
        <v>12</v>
      </c>
      <c r="L2132" s="182" t="n">
        <v>12</v>
      </c>
      <c r="M2132" s="182" t="n">
        <v>0</v>
      </c>
      <c r="N2132" s="182" t="n">
        <v>0</v>
      </c>
      <c r="O2132" s="183" t="n">
        <v>0</v>
      </c>
      <c r="P2132" s="183" t="n">
        <v>0</v>
      </c>
      <c r="Q2132" s="184" t="n">
        <v>0</v>
      </c>
      <c r="R2132" s="184" t="n">
        <v>0</v>
      </c>
      <c r="S2132" s="183" t="n">
        <v>0</v>
      </c>
      <c r="T2132" s="183" t="n">
        <v>0</v>
      </c>
      <c r="U2132" s="182" t="n">
        <v>0</v>
      </c>
      <c r="V2132" s="182" t="n">
        <v>0</v>
      </c>
      <c r="W2132" s="182" t="n">
        <v>0</v>
      </c>
      <c r="X2132" s="182" t="n">
        <v>1</v>
      </c>
      <c r="Y2132" s="182" t="n">
        <v>0</v>
      </c>
      <c r="Z2132" s="182" t="n">
        <v>0</v>
      </c>
      <c r="AA2132" s="182" t="n">
        <v>0</v>
      </c>
      <c r="AB2132" s="182" t="n">
        <v>0</v>
      </c>
      <c r="AC2132" s="182" t="n">
        <v>0</v>
      </c>
      <c r="AD2132" s="182" t="n">
        <v>0</v>
      </c>
      <c r="AE2132" s="182" t="n">
        <v>0</v>
      </c>
      <c r="AF2132" s="182" t="n">
        <v>0</v>
      </c>
      <c r="AG2132" s="182" t="n">
        <v>0</v>
      </c>
      <c r="AH2132" s="182" t="n">
        <v>0</v>
      </c>
      <c r="AI2132" s="182" t="n">
        <v>0</v>
      </c>
      <c r="AJ2132" s="182" t="n">
        <v>0</v>
      </c>
      <c r="AK2132" s="182" t="n">
        <v>10.92</v>
      </c>
      <c r="AL2132" s="182" t="n">
        <v>0</v>
      </c>
      <c r="AM2132" s="182" t="n">
        <v>0.08</v>
      </c>
      <c r="AN2132" s="182" t="n">
        <v>0</v>
      </c>
    </row>
    <row r="2133">
      <c r="A2133" s="155" t="n">
        <v>46091</v>
      </c>
      <c r="B2133" s="156" t="inlineStr">
        <is>
          <t>NS</t>
        </is>
      </c>
      <c r="C2133" s="156" t="inlineStr">
        <is>
          <t>EX-331</t>
        </is>
      </c>
      <c r="D2133" s="156" t="inlineStr">
        <is>
          <t>PC 300-8MO</t>
        </is>
      </c>
      <c r="E2133" s="156" t="inlineStr">
        <is>
          <t>Excavator</t>
        </is>
      </c>
      <c r="F2133" s="156" t="inlineStr"/>
      <c r="G2133" s="182" t="n">
        <v>0</v>
      </c>
      <c r="H2133" s="182" t="n">
        <v>0</v>
      </c>
      <c r="I2133" s="182" t="n">
        <v>12</v>
      </c>
      <c r="J2133" s="182" t="n">
        <v>12</v>
      </c>
      <c r="K2133" s="182" t="n">
        <v>0</v>
      </c>
      <c r="L2133" s="182" t="n">
        <v>12</v>
      </c>
      <c r="M2133" s="182" t="n">
        <v>0</v>
      </c>
      <c r="N2133" s="182" t="n">
        <v>0</v>
      </c>
      <c r="O2133" s="183" t="n">
        <v>0</v>
      </c>
      <c r="P2133" s="183" t="n">
        <v>0</v>
      </c>
      <c r="Q2133" s="184" t="n">
        <v>0</v>
      </c>
      <c r="R2133" s="184" t="n">
        <v>0</v>
      </c>
      <c r="S2133" s="183" t="n">
        <v>0</v>
      </c>
      <c r="T2133" s="183" t="n">
        <v>0</v>
      </c>
      <c r="U2133" s="182" t="n">
        <v>0</v>
      </c>
      <c r="V2133" s="182" t="n">
        <v>0</v>
      </c>
      <c r="W2133" s="182" t="n">
        <v>0</v>
      </c>
      <c r="X2133" s="182" t="n">
        <v>0</v>
      </c>
      <c r="Y2133" s="182" t="n">
        <v>0</v>
      </c>
      <c r="Z2133" s="182" t="n">
        <v>0</v>
      </c>
      <c r="AA2133" s="182" t="n">
        <v>0</v>
      </c>
      <c r="AB2133" s="182" t="n">
        <v>0</v>
      </c>
      <c r="AC2133" s="182" t="n">
        <v>0</v>
      </c>
      <c r="AD2133" s="182" t="n">
        <v>0</v>
      </c>
      <c r="AE2133" s="182" t="n">
        <v>0</v>
      </c>
      <c r="AF2133" s="182" t="n">
        <v>0</v>
      </c>
      <c r="AG2133" s="182" t="n">
        <v>0</v>
      </c>
      <c r="AH2133" s="182" t="n">
        <v>0</v>
      </c>
      <c r="AI2133" s="182" t="n">
        <v>0</v>
      </c>
      <c r="AJ2133" s="182" t="n">
        <v>0</v>
      </c>
      <c r="AK2133" s="182" t="n">
        <v>0</v>
      </c>
      <c r="AL2133" s="182" t="n">
        <v>0</v>
      </c>
      <c r="AM2133" s="182" t="n">
        <v>0</v>
      </c>
      <c r="AN2133" s="182" t="n">
        <v>0</v>
      </c>
    </row>
    <row r="2134">
      <c r="A2134" s="155" t="n">
        <v>46091</v>
      </c>
      <c r="B2134" s="156" t="inlineStr">
        <is>
          <t>NS</t>
        </is>
      </c>
      <c r="C2134" s="156" t="inlineStr">
        <is>
          <t>EX-334</t>
        </is>
      </c>
      <c r="D2134" s="156" t="inlineStr">
        <is>
          <t>PC 300-8MO</t>
        </is>
      </c>
      <c r="E2134" s="156" t="inlineStr">
        <is>
          <t>Excavator</t>
        </is>
      </c>
      <c r="F2134" s="156" t="inlineStr">
        <is>
          <t>General Estapet Soil</t>
        </is>
      </c>
      <c r="G2134" s="182" t="n">
        <v>9.73</v>
      </c>
      <c r="H2134" s="182" t="n">
        <v>0</v>
      </c>
      <c r="I2134" s="182" t="n">
        <v>0</v>
      </c>
      <c r="J2134" s="182" t="n">
        <v>0</v>
      </c>
      <c r="K2134" s="182" t="n">
        <v>2.27</v>
      </c>
      <c r="L2134" s="182" t="n">
        <v>12</v>
      </c>
      <c r="M2134" s="182" t="n">
        <v>0</v>
      </c>
      <c r="N2134" s="182" t="n">
        <v>0</v>
      </c>
      <c r="O2134" s="183" t="n">
        <v>0</v>
      </c>
      <c r="P2134" s="183" t="n">
        <v>0</v>
      </c>
      <c r="Q2134" s="184" t="n">
        <v>0</v>
      </c>
      <c r="R2134" s="184" t="n">
        <v>0</v>
      </c>
      <c r="S2134" s="183" t="n">
        <v>0</v>
      </c>
      <c r="T2134" s="183" t="n">
        <v>0</v>
      </c>
      <c r="U2134" s="182" t="n">
        <v>0</v>
      </c>
      <c r="V2134" s="182" t="n">
        <v>0</v>
      </c>
      <c r="W2134" s="182" t="n">
        <v>0</v>
      </c>
      <c r="X2134" s="182" t="n">
        <v>1.08</v>
      </c>
      <c r="Y2134" s="182" t="n">
        <v>0</v>
      </c>
      <c r="Z2134" s="182" t="n">
        <v>0</v>
      </c>
      <c r="AA2134" s="182" t="n">
        <v>0</v>
      </c>
      <c r="AB2134" s="182" t="n">
        <v>0</v>
      </c>
      <c r="AC2134" s="182" t="n">
        <v>0</v>
      </c>
      <c r="AD2134" s="182" t="n">
        <v>0</v>
      </c>
      <c r="AE2134" s="182" t="n">
        <v>0</v>
      </c>
      <c r="AF2134" s="182" t="n">
        <v>0</v>
      </c>
      <c r="AG2134" s="182" t="n">
        <v>0</v>
      </c>
      <c r="AH2134" s="182" t="n">
        <v>0</v>
      </c>
      <c r="AI2134" s="182" t="n">
        <v>0</v>
      </c>
      <c r="AJ2134" s="182" t="n">
        <v>0</v>
      </c>
      <c r="AK2134" s="182" t="n">
        <v>1.1</v>
      </c>
      <c r="AL2134" s="182" t="n">
        <v>0</v>
      </c>
      <c r="AM2134" s="182" t="n">
        <v>0.09</v>
      </c>
      <c r="AN2134" s="182" t="n">
        <v>0</v>
      </c>
    </row>
    <row r="2135">
      <c r="A2135" s="155" t="n">
        <v>46091</v>
      </c>
      <c r="B2135" s="156" t="inlineStr">
        <is>
          <t>NS</t>
        </is>
      </c>
      <c r="C2135" s="156" t="inlineStr">
        <is>
          <t>EX-332</t>
        </is>
      </c>
      <c r="D2135" s="156" t="inlineStr">
        <is>
          <t>PC 300-8MO</t>
        </is>
      </c>
      <c r="E2135" s="156" t="inlineStr">
        <is>
          <t>Excavator</t>
        </is>
      </c>
      <c r="F2135" s="156" t="inlineStr"/>
      <c r="G2135" s="182" t="n">
        <v>0</v>
      </c>
      <c r="H2135" s="182" t="n">
        <v>0</v>
      </c>
      <c r="I2135" s="182" t="n">
        <v>12</v>
      </c>
      <c r="J2135" s="182" t="n">
        <v>12</v>
      </c>
      <c r="K2135" s="182" t="n">
        <v>0</v>
      </c>
      <c r="L2135" s="182" t="n">
        <v>12</v>
      </c>
      <c r="M2135" s="182" t="n">
        <v>0</v>
      </c>
      <c r="N2135" s="182" t="n">
        <v>0</v>
      </c>
      <c r="O2135" s="183" t="n">
        <v>0</v>
      </c>
      <c r="P2135" s="183" t="n">
        <v>0</v>
      </c>
      <c r="Q2135" s="184" t="n">
        <v>0</v>
      </c>
      <c r="R2135" s="184" t="n">
        <v>0</v>
      </c>
      <c r="S2135" s="183" t="n">
        <v>0</v>
      </c>
      <c r="T2135" s="183" t="n">
        <v>0</v>
      </c>
      <c r="U2135" s="182" t="n">
        <v>0</v>
      </c>
      <c r="V2135" s="182" t="n">
        <v>0</v>
      </c>
      <c r="W2135" s="182" t="n">
        <v>0</v>
      </c>
      <c r="X2135" s="182" t="n">
        <v>0</v>
      </c>
      <c r="Y2135" s="182" t="n">
        <v>0</v>
      </c>
      <c r="Z2135" s="182" t="n">
        <v>0</v>
      </c>
      <c r="AA2135" s="182" t="n">
        <v>0</v>
      </c>
      <c r="AB2135" s="182" t="n">
        <v>0</v>
      </c>
      <c r="AC2135" s="182" t="n">
        <v>0</v>
      </c>
      <c r="AD2135" s="182" t="n">
        <v>0</v>
      </c>
      <c r="AE2135" s="182" t="n">
        <v>0</v>
      </c>
      <c r="AF2135" s="182" t="n">
        <v>0</v>
      </c>
      <c r="AG2135" s="182" t="n">
        <v>0</v>
      </c>
      <c r="AH2135" s="182" t="n">
        <v>0</v>
      </c>
      <c r="AI2135" s="182" t="n">
        <v>0</v>
      </c>
      <c r="AJ2135" s="182" t="n">
        <v>0</v>
      </c>
      <c r="AK2135" s="182" t="n">
        <v>0</v>
      </c>
      <c r="AL2135" s="182" t="n">
        <v>0</v>
      </c>
      <c r="AM2135" s="182" t="n">
        <v>0</v>
      </c>
      <c r="AN2135" s="182" t="n">
        <v>0</v>
      </c>
    </row>
    <row r="2136">
      <c r="A2136" s="155" t="n">
        <v>46091</v>
      </c>
      <c r="B2136" s="156" t="inlineStr">
        <is>
          <t>NS</t>
        </is>
      </c>
      <c r="C2136" s="156" t="inlineStr">
        <is>
          <t>EX-333</t>
        </is>
      </c>
      <c r="D2136" s="156" t="inlineStr">
        <is>
          <t>PC 300-8MO</t>
        </is>
      </c>
      <c r="E2136" s="156" t="inlineStr">
        <is>
          <t>Excavator</t>
        </is>
      </c>
      <c r="F2136" s="156" t="inlineStr">
        <is>
          <t>Loading Coal &amp; Cleaning Coal</t>
        </is>
      </c>
      <c r="G2136" s="182" t="n">
        <v>10.35</v>
      </c>
      <c r="H2136" s="182" t="n">
        <v>0</v>
      </c>
      <c r="I2136" s="182" t="n">
        <v>0.65</v>
      </c>
      <c r="J2136" s="182" t="n">
        <v>0.65</v>
      </c>
      <c r="K2136" s="182" t="n">
        <v>1</v>
      </c>
      <c r="L2136" s="182" t="n">
        <v>12</v>
      </c>
      <c r="M2136" s="182" t="n">
        <v>0</v>
      </c>
      <c r="N2136" s="182" t="n">
        <v>3.94</v>
      </c>
      <c r="O2136" s="183" t="n">
        <v>0</v>
      </c>
      <c r="P2136" s="183" t="n">
        <v>33</v>
      </c>
      <c r="Q2136" s="184" t="n">
        <v>0</v>
      </c>
      <c r="R2136" s="184" t="n">
        <v>504.9</v>
      </c>
      <c r="S2136" s="183" t="n">
        <v>0</v>
      </c>
      <c r="T2136" s="183" t="n">
        <v>0</v>
      </c>
      <c r="U2136" s="182" t="n">
        <v>0</v>
      </c>
      <c r="V2136" s="182" t="n">
        <v>0</v>
      </c>
      <c r="W2136" s="182" t="n">
        <v>0</v>
      </c>
      <c r="X2136" s="182" t="n">
        <v>0.91</v>
      </c>
      <c r="Y2136" s="182" t="n">
        <v>0</v>
      </c>
      <c r="Z2136" s="182" t="n">
        <v>0</v>
      </c>
      <c r="AA2136" s="182" t="n">
        <v>0</v>
      </c>
      <c r="AB2136" s="182" t="n">
        <v>0</v>
      </c>
      <c r="AC2136" s="182" t="n">
        <v>0</v>
      </c>
      <c r="AD2136" s="182" t="n">
        <v>0</v>
      </c>
      <c r="AE2136" s="182" t="n">
        <v>0</v>
      </c>
      <c r="AF2136" s="182" t="n">
        <v>0</v>
      </c>
      <c r="AG2136" s="182" t="n">
        <v>0</v>
      </c>
      <c r="AH2136" s="182" t="n">
        <v>0</v>
      </c>
      <c r="AI2136" s="182" t="n">
        <v>0</v>
      </c>
      <c r="AJ2136" s="182" t="n">
        <v>0</v>
      </c>
      <c r="AK2136" s="182" t="n">
        <v>0</v>
      </c>
      <c r="AL2136" s="182" t="n">
        <v>0</v>
      </c>
      <c r="AM2136" s="182" t="n">
        <v>0.09</v>
      </c>
      <c r="AN2136" s="182" t="n">
        <v>0</v>
      </c>
    </row>
    <row r="2137">
      <c r="A2137" s="155" t="n">
        <v>46091</v>
      </c>
      <c r="B2137" s="156" t="inlineStr">
        <is>
          <t>NS</t>
        </is>
      </c>
      <c r="C2137" s="156" t="inlineStr">
        <is>
          <t>EX-336</t>
        </is>
      </c>
      <c r="D2137" s="156" t="inlineStr">
        <is>
          <t>PC 300-8MO</t>
        </is>
      </c>
      <c r="E2137" s="156" t="inlineStr">
        <is>
          <t>Excavator</t>
        </is>
      </c>
      <c r="F2137" s="156" t="inlineStr">
        <is>
          <t>Cleaning Coal</t>
        </is>
      </c>
      <c r="G2137" s="182" t="n">
        <v>9.73</v>
      </c>
      <c r="H2137" s="182" t="n">
        <v>0</v>
      </c>
      <c r="I2137" s="182" t="n">
        <v>1.13</v>
      </c>
      <c r="J2137" s="182" t="n">
        <v>1.13</v>
      </c>
      <c r="K2137" s="182" t="n">
        <v>1.14</v>
      </c>
      <c r="L2137" s="182" t="n">
        <v>12</v>
      </c>
      <c r="M2137" s="182" t="n">
        <v>0</v>
      </c>
      <c r="N2137" s="182" t="n">
        <v>0</v>
      </c>
      <c r="O2137" s="183" t="n">
        <v>0</v>
      </c>
      <c r="P2137" s="183" t="n">
        <v>0</v>
      </c>
      <c r="Q2137" s="184" t="n">
        <v>0</v>
      </c>
      <c r="R2137" s="184" t="n">
        <v>0</v>
      </c>
      <c r="S2137" s="183" t="n">
        <v>0</v>
      </c>
      <c r="T2137" s="183" t="n">
        <v>0</v>
      </c>
      <c r="U2137" s="182" t="n">
        <v>0</v>
      </c>
      <c r="V2137" s="182" t="n">
        <v>0</v>
      </c>
      <c r="W2137" s="182" t="n">
        <v>0</v>
      </c>
      <c r="X2137" s="182" t="n">
        <v>1.02</v>
      </c>
      <c r="Y2137" s="182" t="n">
        <v>0</v>
      </c>
      <c r="Z2137" s="182" t="n">
        <v>0</v>
      </c>
      <c r="AA2137" s="182" t="n">
        <v>0</v>
      </c>
      <c r="AB2137" s="182" t="n">
        <v>0</v>
      </c>
      <c r="AC2137" s="182" t="n">
        <v>0</v>
      </c>
      <c r="AD2137" s="182" t="n">
        <v>0</v>
      </c>
      <c r="AE2137" s="182" t="n">
        <v>0</v>
      </c>
      <c r="AF2137" s="182" t="n">
        <v>0</v>
      </c>
      <c r="AG2137" s="182" t="n">
        <v>0</v>
      </c>
      <c r="AH2137" s="182" t="n">
        <v>0</v>
      </c>
      <c r="AI2137" s="182" t="n">
        <v>0</v>
      </c>
      <c r="AJ2137" s="182" t="n">
        <v>0</v>
      </c>
      <c r="AK2137" s="182" t="n">
        <v>0</v>
      </c>
      <c r="AL2137" s="182" t="n">
        <v>0</v>
      </c>
      <c r="AM2137" s="182" t="n">
        <v>0.1</v>
      </c>
      <c r="AN2137" s="182" t="n">
        <v>0</v>
      </c>
    </row>
    <row r="2138">
      <c r="A2138" s="155" t="n">
        <v>46091</v>
      </c>
      <c r="B2138" s="156" t="inlineStr">
        <is>
          <t>NS</t>
        </is>
      </c>
      <c r="C2138" s="156" t="inlineStr">
        <is>
          <t>EX-335</t>
        </is>
      </c>
      <c r="D2138" s="156" t="inlineStr">
        <is>
          <t>PC 300-8MO</t>
        </is>
      </c>
      <c r="E2138" s="156" t="inlineStr">
        <is>
          <t>Excavator</t>
        </is>
      </c>
      <c r="F2138" s="156" t="inlineStr"/>
      <c r="G2138" s="182" t="n">
        <v>0</v>
      </c>
      <c r="H2138" s="182" t="n">
        <v>0</v>
      </c>
      <c r="I2138" s="182" t="n">
        <v>12</v>
      </c>
      <c r="J2138" s="182" t="n">
        <v>12</v>
      </c>
      <c r="K2138" s="182" t="n">
        <v>0</v>
      </c>
      <c r="L2138" s="182" t="n">
        <v>12</v>
      </c>
      <c r="M2138" s="182" t="n">
        <v>0</v>
      </c>
      <c r="N2138" s="182" t="n">
        <v>0</v>
      </c>
      <c r="O2138" s="183" t="n">
        <v>0</v>
      </c>
      <c r="P2138" s="183" t="n">
        <v>0</v>
      </c>
      <c r="Q2138" s="184" t="n">
        <v>0</v>
      </c>
      <c r="R2138" s="184" t="n">
        <v>0</v>
      </c>
      <c r="S2138" s="183" t="n">
        <v>0</v>
      </c>
      <c r="T2138" s="183" t="n">
        <v>0</v>
      </c>
      <c r="U2138" s="182" t="n">
        <v>0</v>
      </c>
      <c r="V2138" s="182" t="n">
        <v>0</v>
      </c>
      <c r="W2138" s="182" t="n">
        <v>0</v>
      </c>
      <c r="X2138" s="182" t="n">
        <v>0</v>
      </c>
      <c r="Y2138" s="182" t="n">
        <v>0</v>
      </c>
      <c r="Z2138" s="182" t="n">
        <v>0</v>
      </c>
      <c r="AA2138" s="182" t="n">
        <v>0</v>
      </c>
      <c r="AB2138" s="182" t="n">
        <v>0</v>
      </c>
      <c r="AC2138" s="182" t="n">
        <v>0</v>
      </c>
      <c r="AD2138" s="182" t="n">
        <v>0</v>
      </c>
      <c r="AE2138" s="182" t="n">
        <v>0</v>
      </c>
      <c r="AF2138" s="182" t="n">
        <v>0</v>
      </c>
      <c r="AG2138" s="182" t="n">
        <v>0</v>
      </c>
      <c r="AH2138" s="182" t="n">
        <v>0</v>
      </c>
      <c r="AI2138" s="182" t="n">
        <v>0</v>
      </c>
      <c r="AJ2138" s="182" t="n">
        <v>0</v>
      </c>
      <c r="AK2138" s="182" t="n">
        <v>0</v>
      </c>
      <c r="AL2138" s="182" t="n">
        <v>0</v>
      </c>
      <c r="AM2138" s="182" t="n">
        <v>0</v>
      </c>
      <c r="AN2138" s="182" t="n">
        <v>0</v>
      </c>
    </row>
    <row r="2139">
      <c r="A2139" s="155" t="n">
        <v>46091</v>
      </c>
      <c r="B2139" s="156" t="inlineStr">
        <is>
          <t>NS</t>
        </is>
      </c>
      <c r="C2139" s="156" t="inlineStr">
        <is>
          <t>EX-754</t>
        </is>
      </c>
      <c r="D2139" s="156" t="inlineStr">
        <is>
          <t>SY750H-PRO</t>
        </is>
      </c>
      <c r="E2139" s="156" t="inlineStr">
        <is>
          <t>Excavator</t>
        </is>
      </c>
      <c r="F2139" s="156" t="inlineStr">
        <is>
          <t>Unit Baru Ready</t>
        </is>
      </c>
      <c r="G2139" s="182" t="n">
        <v>4.07</v>
      </c>
      <c r="H2139" s="182" t="n">
        <v>0</v>
      </c>
      <c r="I2139" s="182" t="n">
        <v>0</v>
      </c>
      <c r="J2139" s="182" t="n">
        <v>0</v>
      </c>
      <c r="K2139" s="182" t="n">
        <v>7.93</v>
      </c>
      <c r="L2139" s="182" t="n">
        <v>12</v>
      </c>
      <c r="M2139" s="182" t="n">
        <v>0</v>
      </c>
      <c r="N2139" s="182" t="n">
        <v>0</v>
      </c>
      <c r="O2139" s="183" t="n">
        <v>0</v>
      </c>
      <c r="P2139" s="183" t="n">
        <v>0</v>
      </c>
      <c r="Q2139" s="184" t="n">
        <v>0</v>
      </c>
      <c r="R2139" s="184" t="n">
        <v>0</v>
      </c>
      <c r="S2139" s="183" t="n">
        <v>0</v>
      </c>
      <c r="T2139" s="183" t="n">
        <v>0</v>
      </c>
      <c r="U2139" s="182" t="n">
        <v>0</v>
      </c>
      <c r="V2139" s="182" t="n">
        <v>0</v>
      </c>
      <c r="W2139" s="182" t="n">
        <v>0</v>
      </c>
      <c r="X2139" s="182" t="n">
        <v>0.98</v>
      </c>
      <c r="Y2139" s="182" t="n">
        <v>0</v>
      </c>
      <c r="Z2139" s="182" t="n">
        <v>0</v>
      </c>
      <c r="AA2139" s="182" t="n">
        <v>0</v>
      </c>
      <c r="AB2139" s="182" t="n">
        <v>0</v>
      </c>
      <c r="AC2139" s="182" t="n">
        <v>0</v>
      </c>
      <c r="AD2139" s="182" t="n">
        <v>0</v>
      </c>
      <c r="AE2139" s="182" t="n">
        <v>0</v>
      </c>
      <c r="AF2139" s="182" t="n">
        <v>0</v>
      </c>
      <c r="AG2139" s="182" t="n">
        <v>0</v>
      </c>
      <c r="AH2139" s="182" t="n">
        <v>0</v>
      </c>
      <c r="AI2139" s="182" t="n">
        <v>0</v>
      </c>
      <c r="AJ2139" s="182" t="n">
        <v>0</v>
      </c>
      <c r="AK2139" s="182" t="n">
        <v>6.87</v>
      </c>
      <c r="AL2139" s="182" t="n">
        <v>0</v>
      </c>
      <c r="AM2139" s="182" t="n">
        <v>0.08</v>
      </c>
      <c r="AN2139" s="182" t="n">
        <v>0</v>
      </c>
    </row>
    <row r="2140">
      <c r="A2140" s="155" t="n">
        <v>46091</v>
      </c>
      <c r="B2140" s="156" t="inlineStr">
        <is>
          <t>NS</t>
        </is>
      </c>
      <c r="C2140" s="156" t="inlineStr">
        <is>
          <t>EX-755</t>
        </is>
      </c>
      <c r="D2140" s="156" t="inlineStr">
        <is>
          <t>SY750H-PRO</t>
        </is>
      </c>
      <c r="E2140" s="156" t="inlineStr">
        <is>
          <t>Excavator</t>
        </is>
      </c>
      <c r="F2140" s="156" t="inlineStr">
        <is>
          <t>Loading OB</t>
        </is>
      </c>
      <c r="G2140" s="182" t="n">
        <v>8.119999999999999</v>
      </c>
      <c r="H2140" s="182" t="n">
        <v>0</v>
      </c>
      <c r="I2140" s="182" t="n">
        <v>0</v>
      </c>
      <c r="J2140" s="182" t="n">
        <v>0</v>
      </c>
      <c r="K2140" s="182" t="n">
        <v>3.88</v>
      </c>
      <c r="L2140" s="182" t="n">
        <v>12</v>
      </c>
      <c r="M2140" s="182" t="n">
        <v>7.88</v>
      </c>
      <c r="N2140" s="182" t="n">
        <v>0</v>
      </c>
      <c r="O2140" s="183" t="n">
        <v>148</v>
      </c>
      <c r="P2140" s="183" t="n">
        <v>0</v>
      </c>
      <c r="Q2140" s="184" t="n">
        <v>3019.2</v>
      </c>
      <c r="R2140" s="184" t="n">
        <v>0</v>
      </c>
      <c r="S2140" s="183" t="n">
        <v>0</v>
      </c>
      <c r="T2140" s="183" t="n">
        <v>0</v>
      </c>
      <c r="U2140" s="182" t="n">
        <v>0</v>
      </c>
      <c r="V2140" s="182" t="n">
        <v>2.62</v>
      </c>
      <c r="W2140" s="182" t="n">
        <v>0</v>
      </c>
      <c r="X2140" s="182" t="n">
        <v>1.17</v>
      </c>
      <c r="Y2140" s="182" t="n">
        <v>0</v>
      </c>
      <c r="Z2140" s="182" t="n">
        <v>0</v>
      </c>
      <c r="AA2140" s="182" t="n">
        <v>0</v>
      </c>
      <c r="AB2140" s="182" t="n">
        <v>0</v>
      </c>
      <c r="AC2140" s="182" t="n">
        <v>0</v>
      </c>
      <c r="AD2140" s="182" t="n">
        <v>0</v>
      </c>
      <c r="AE2140" s="182" t="n">
        <v>0</v>
      </c>
      <c r="AF2140" s="182" t="n">
        <v>0</v>
      </c>
      <c r="AG2140" s="182" t="n">
        <v>0</v>
      </c>
      <c r="AH2140" s="182" t="n">
        <v>0</v>
      </c>
      <c r="AI2140" s="182" t="n">
        <v>0</v>
      </c>
      <c r="AJ2140" s="182" t="n">
        <v>0</v>
      </c>
      <c r="AK2140" s="182" t="n">
        <v>0</v>
      </c>
      <c r="AL2140" s="182" t="n">
        <v>0</v>
      </c>
      <c r="AM2140" s="182" t="n">
        <v>0.09</v>
      </c>
      <c r="AN2140" s="182" t="n">
        <v>0</v>
      </c>
    </row>
    <row r="2141">
      <c r="A2141" s="155" t="n">
        <v>46091</v>
      </c>
      <c r="B2141" s="156" t="inlineStr">
        <is>
          <t>NS</t>
        </is>
      </c>
      <c r="C2141" s="156" t="inlineStr">
        <is>
          <t>EX-752</t>
        </is>
      </c>
      <c r="D2141" s="156" t="inlineStr">
        <is>
          <t>SY750H-PRO</t>
        </is>
      </c>
      <c r="E2141" s="156" t="inlineStr">
        <is>
          <t>Excavator</t>
        </is>
      </c>
      <c r="F2141" s="156" t="inlineStr"/>
      <c r="G2141" s="182" t="n">
        <v>0</v>
      </c>
      <c r="H2141" s="182" t="n">
        <v>0</v>
      </c>
      <c r="I2141" s="182" t="n">
        <v>12</v>
      </c>
      <c r="J2141" s="182" t="n">
        <v>12</v>
      </c>
      <c r="K2141" s="182" t="n">
        <v>0</v>
      </c>
      <c r="L2141" s="182" t="n">
        <v>12</v>
      </c>
      <c r="M2141" s="182" t="n">
        <v>0</v>
      </c>
      <c r="N2141" s="182" t="n">
        <v>0</v>
      </c>
      <c r="O2141" s="183" t="n">
        <v>0</v>
      </c>
      <c r="P2141" s="183" t="n">
        <v>0</v>
      </c>
      <c r="Q2141" s="184" t="n">
        <v>0</v>
      </c>
      <c r="R2141" s="184" t="n">
        <v>0</v>
      </c>
      <c r="S2141" s="183" t="n">
        <v>0</v>
      </c>
      <c r="T2141" s="183" t="n">
        <v>0</v>
      </c>
      <c r="U2141" s="182" t="n">
        <v>0</v>
      </c>
      <c r="V2141" s="182" t="n">
        <v>0</v>
      </c>
      <c r="W2141" s="182" t="n">
        <v>0</v>
      </c>
      <c r="X2141" s="182" t="n">
        <v>0</v>
      </c>
      <c r="Y2141" s="182" t="n">
        <v>0</v>
      </c>
      <c r="Z2141" s="182" t="n">
        <v>0</v>
      </c>
      <c r="AA2141" s="182" t="n">
        <v>0</v>
      </c>
      <c r="AB2141" s="182" t="n">
        <v>0</v>
      </c>
      <c r="AC2141" s="182" t="n">
        <v>0</v>
      </c>
      <c r="AD2141" s="182" t="n">
        <v>0</v>
      </c>
      <c r="AE2141" s="182" t="n">
        <v>0</v>
      </c>
      <c r="AF2141" s="182" t="n">
        <v>0</v>
      </c>
      <c r="AG2141" s="182" t="n">
        <v>0</v>
      </c>
      <c r="AH2141" s="182" t="n">
        <v>0</v>
      </c>
      <c r="AI2141" s="182" t="n">
        <v>0</v>
      </c>
      <c r="AJ2141" s="182" t="n">
        <v>0</v>
      </c>
      <c r="AK2141" s="182" t="n">
        <v>0</v>
      </c>
      <c r="AL2141" s="182" t="n">
        <v>0</v>
      </c>
      <c r="AM2141" s="182" t="n">
        <v>0</v>
      </c>
      <c r="AN2141" s="182" t="n">
        <v>0</v>
      </c>
    </row>
    <row r="2142">
      <c r="A2142" s="155" t="n">
        <v>46091</v>
      </c>
      <c r="B2142" s="156" t="inlineStr">
        <is>
          <t>NS</t>
        </is>
      </c>
      <c r="C2142" s="156" t="inlineStr">
        <is>
          <t>EX-751</t>
        </is>
      </c>
      <c r="D2142" s="156" t="inlineStr">
        <is>
          <t>SY750H-PRO</t>
        </is>
      </c>
      <c r="E2142" s="156" t="inlineStr">
        <is>
          <t>Excavator</t>
        </is>
      </c>
      <c r="F2142" s="156" t="inlineStr"/>
      <c r="G2142" s="182" t="n">
        <v>0</v>
      </c>
      <c r="H2142" s="182" t="n">
        <v>0</v>
      </c>
      <c r="I2142" s="182" t="n">
        <v>12</v>
      </c>
      <c r="J2142" s="182" t="n">
        <v>12</v>
      </c>
      <c r="K2142" s="182" t="n">
        <v>0</v>
      </c>
      <c r="L2142" s="182" t="n">
        <v>12</v>
      </c>
      <c r="M2142" s="182" t="n">
        <v>0</v>
      </c>
      <c r="N2142" s="182" t="n">
        <v>0</v>
      </c>
      <c r="O2142" s="183" t="n">
        <v>0</v>
      </c>
      <c r="P2142" s="183" t="n">
        <v>0</v>
      </c>
      <c r="Q2142" s="184" t="n">
        <v>0</v>
      </c>
      <c r="R2142" s="184" t="n">
        <v>0</v>
      </c>
      <c r="S2142" s="183" t="n">
        <v>0</v>
      </c>
      <c r="T2142" s="183" t="n">
        <v>0</v>
      </c>
      <c r="U2142" s="182" t="n">
        <v>0</v>
      </c>
      <c r="V2142" s="182" t="n">
        <v>0</v>
      </c>
      <c r="W2142" s="182" t="n">
        <v>0</v>
      </c>
      <c r="X2142" s="182" t="n">
        <v>0</v>
      </c>
      <c r="Y2142" s="182" t="n">
        <v>0</v>
      </c>
      <c r="Z2142" s="182" t="n">
        <v>0</v>
      </c>
      <c r="AA2142" s="182" t="n">
        <v>0</v>
      </c>
      <c r="AB2142" s="182" t="n">
        <v>0</v>
      </c>
      <c r="AC2142" s="182" t="n">
        <v>0</v>
      </c>
      <c r="AD2142" s="182" t="n">
        <v>0</v>
      </c>
      <c r="AE2142" s="182" t="n">
        <v>0</v>
      </c>
      <c r="AF2142" s="182" t="n">
        <v>0</v>
      </c>
      <c r="AG2142" s="182" t="n">
        <v>0</v>
      </c>
      <c r="AH2142" s="182" t="n">
        <v>0</v>
      </c>
      <c r="AI2142" s="182" t="n">
        <v>0</v>
      </c>
      <c r="AJ2142" s="182" t="n">
        <v>0</v>
      </c>
      <c r="AK2142" s="182" t="n">
        <v>0</v>
      </c>
      <c r="AL2142" s="182" t="n">
        <v>0</v>
      </c>
      <c r="AM2142" s="182" t="n">
        <v>0</v>
      </c>
      <c r="AN2142" s="182" t="n">
        <v>0</v>
      </c>
    </row>
    <row r="2143">
      <c r="A2143" s="155" t="n">
        <v>46091</v>
      </c>
      <c r="B2143" s="156" t="inlineStr">
        <is>
          <t>NS</t>
        </is>
      </c>
      <c r="C2143" s="156" t="inlineStr">
        <is>
          <t>EX-753</t>
        </is>
      </c>
      <c r="D2143" s="156" t="inlineStr">
        <is>
          <t>SY750H-PRO</t>
        </is>
      </c>
      <c r="E2143" s="156" t="inlineStr">
        <is>
          <t>Excavator</t>
        </is>
      </c>
      <c r="F2143" s="156" t="inlineStr"/>
      <c r="G2143" s="182" t="n">
        <v>0</v>
      </c>
      <c r="H2143" s="182" t="n">
        <v>0</v>
      </c>
      <c r="I2143" s="182" t="n">
        <v>0</v>
      </c>
      <c r="J2143" s="182" t="n">
        <v>0</v>
      </c>
      <c r="K2143" s="182" t="n">
        <v>12</v>
      </c>
      <c r="L2143" s="182" t="n">
        <v>12</v>
      </c>
      <c r="M2143" s="182" t="n">
        <v>0</v>
      </c>
      <c r="N2143" s="182" t="n">
        <v>0</v>
      </c>
      <c r="O2143" s="183" t="n">
        <v>0</v>
      </c>
      <c r="P2143" s="183" t="n">
        <v>0</v>
      </c>
      <c r="Q2143" s="184" t="n">
        <v>0</v>
      </c>
      <c r="R2143" s="184" t="n">
        <v>0</v>
      </c>
      <c r="S2143" s="183" t="n">
        <v>0</v>
      </c>
      <c r="T2143" s="183" t="n">
        <v>0</v>
      </c>
      <c r="U2143" s="182" t="n">
        <v>0</v>
      </c>
      <c r="V2143" s="182" t="n">
        <v>0</v>
      </c>
      <c r="W2143" s="182" t="n">
        <v>0</v>
      </c>
      <c r="X2143" s="182" t="n">
        <v>1</v>
      </c>
      <c r="Y2143" s="182" t="n">
        <v>0</v>
      </c>
      <c r="Z2143" s="182" t="n">
        <v>0</v>
      </c>
      <c r="AA2143" s="182" t="n">
        <v>0</v>
      </c>
      <c r="AB2143" s="182" t="n">
        <v>0</v>
      </c>
      <c r="AC2143" s="182" t="n">
        <v>0</v>
      </c>
      <c r="AD2143" s="182" t="n">
        <v>0</v>
      </c>
      <c r="AE2143" s="182" t="n">
        <v>0</v>
      </c>
      <c r="AF2143" s="182" t="n">
        <v>0</v>
      </c>
      <c r="AG2143" s="182" t="n">
        <v>0</v>
      </c>
      <c r="AH2143" s="182" t="n">
        <v>0</v>
      </c>
      <c r="AI2143" s="182" t="n">
        <v>0</v>
      </c>
      <c r="AJ2143" s="182" t="n">
        <v>0</v>
      </c>
      <c r="AK2143" s="182" t="n">
        <v>10.92</v>
      </c>
      <c r="AL2143" s="182" t="n">
        <v>0</v>
      </c>
      <c r="AM2143" s="182" t="n">
        <v>0.08</v>
      </c>
      <c r="AN2143" s="182" t="n">
        <v>0</v>
      </c>
    </row>
    <row r="2144">
      <c r="A2144" s="155" t="n">
        <v>46091</v>
      </c>
      <c r="B2144" s="156" t="inlineStr">
        <is>
          <t>NS</t>
        </is>
      </c>
      <c r="C2144" s="156" t="inlineStr">
        <is>
          <t>GD-012</t>
        </is>
      </c>
      <c r="D2144" s="156" t="inlineStr">
        <is>
          <t>STG 230C - 8S</t>
        </is>
      </c>
      <c r="E2144" s="156" t="inlineStr">
        <is>
          <t>Grader</t>
        </is>
      </c>
      <c r="F2144" s="156" t="inlineStr"/>
      <c r="G2144" s="182" t="n">
        <v>0</v>
      </c>
      <c r="H2144" s="182" t="n">
        <v>0</v>
      </c>
      <c r="I2144" s="182" t="n">
        <v>0</v>
      </c>
      <c r="J2144" s="182" t="n">
        <v>0</v>
      </c>
      <c r="K2144" s="182" t="n">
        <v>12</v>
      </c>
      <c r="L2144" s="182" t="n">
        <v>12</v>
      </c>
      <c r="M2144" s="182" t="n">
        <v>0</v>
      </c>
      <c r="N2144" s="182" t="n">
        <v>0</v>
      </c>
      <c r="O2144" s="183" t="n">
        <v>0</v>
      </c>
      <c r="P2144" s="183" t="n">
        <v>0</v>
      </c>
      <c r="Q2144" s="184" t="n">
        <v>0</v>
      </c>
      <c r="R2144" s="184" t="n">
        <v>0</v>
      </c>
      <c r="S2144" s="183" t="n">
        <v>0</v>
      </c>
      <c r="T2144" s="183" t="n">
        <v>0</v>
      </c>
      <c r="U2144" s="182" t="n">
        <v>0</v>
      </c>
      <c r="V2144" s="182" t="n">
        <v>0</v>
      </c>
      <c r="W2144" s="182" t="n">
        <v>0</v>
      </c>
      <c r="X2144" s="182" t="n">
        <v>1</v>
      </c>
      <c r="Y2144" s="182" t="n">
        <v>0</v>
      </c>
      <c r="Z2144" s="182" t="n">
        <v>0</v>
      </c>
      <c r="AA2144" s="182" t="n">
        <v>0</v>
      </c>
      <c r="AB2144" s="182" t="n">
        <v>0</v>
      </c>
      <c r="AC2144" s="182" t="n">
        <v>0</v>
      </c>
      <c r="AD2144" s="182" t="n">
        <v>0</v>
      </c>
      <c r="AE2144" s="182" t="n">
        <v>0</v>
      </c>
      <c r="AF2144" s="182" t="n">
        <v>0</v>
      </c>
      <c r="AG2144" s="182" t="n">
        <v>0</v>
      </c>
      <c r="AH2144" s="182" t="n">
        <v>0</v>
      </c>
      <c r="AI2144" s="182" t="n">
        <v>0</v>
      </c>
      <c r="AJ2144" s="182" t="n">
        <v>0</v>
      </c>
      <c r="AK2144" s="182" t="n">
        <v>10.92</v>
      </c>
      <c r="AL2144" s="182" t="n">
        <v>0</v>
      </c>
      <c r="AM2144" s="182" t="n">
        <v>0.08</v>
      </c>
      <c r="AN2144" s="182" t="n">
        <v>0</v>
      </c>
    </row>
    <row r="2145">
      <c r="A2145" s="155" t="n">
        <v>46091</v>
      </c>
      <c r="B2145" s="156" t="inlineStr">
        <is>
          <t>NS</t>
        </is>
      </c>
      <c r="C2145" s="156" t="inlineStr">
        <is>
          <t>GD-011</t>
        </is>
      </c>
      <c r="D2145" s="156" t="inlineStr">
        <is>
          <t>STG 230C - 8S</t>
        </is>
      </c>
      <c r="E2145" s="156" t="inlineStr">
        <is>
          <t>Grader</t>
        </is>
      </c>
      <c r="F2145" s="156" t="inlineStr"/>
      <c r="G2145" s="182" t="n">
        <v>0</v>
      </c>
      <c r="H2145" s="182" t="n">
        <v>0</v>
      </c>
      <c r="I2145" s="182" t="n">
        <v>12</v>
      </c>
      <c r="J2145" s="182" t="n">
        <v>12</v>
      </c>
      <c r="K2145" s="182" t="n">
        <v>0</v>
      </c>
      <c r="L2145" s="182" t="n">
        <v>12</v>
      </c>
      <c r="M2145" s="182" t="n">
        <v>0</v>
      </c>
      <c r="N2145" s="182" t="n">
        <v>0</v>
      </c>
      <c r="O2145" s="183" t="n">
        <v>0</v>
      </c>
      <c r="P2145" s="183" t="n">
        <v>0</v>
      </c>
      <c r="Q2145" s="184" t="n">
        <v>0</v>
      </c>
      <c r="R2145" s="184" t="n">
        <v>0</v>
      </c>
      <c r="S2145" s="183" t="n">
        <v>0</v>
      </c>
      <c r="T2145" s="183" t="n">
        <v>0</v>
      </c>
      <c r="U2145" s="182" t="n">
        <v>0</v>
      </c>
      <c r="V2145" s="182" t="n">
        <v>0</v>
      </c>
      <c r="W2145" s="182" t="n">
        <v>0</v>
      </c>
      <c r="X2145" s="182" t="n">
        <v>0</v>
      </c>
      <c r="Y2145" s="182" t="n">
        <v>0</v>
      </c>
      <c r="Z2145" s="182" t="n">
        <v>0</v>
      </c>
      <c r="AA2145" s="182" t="n">
        <v>0</v>
      </c>
      <c r="AB2145" s="182" t="n">
        <v>0</v>
      </c>
      <c r="AC2145" s="182" t="n">
        <v>0</v>
      </c>
      <c r="AD2145" s="182" t="n">
        <v>0</v>
      </c>
      <c r="AE2145" s="182" t="n">
        <v>0</v>
      </c>
      <c r="AF2145" s="182" t="n">
        <v>0</v>
      </c>
      <c r="AG2145" s="182" t="n">
        <v>0</v>
      </c>
      <c r="AH2145" s="182" t="n">
        <v>0</v>
      </c>
      <c r="AI2145" s="182" t="n">
        <v>0</v>
      </c>
      <c r="AJ2145" s="182" t="n">
        <v>0</v>
      </c>
      <c r="AK2145" s="182" t="n">
        <v>0</v>
      </c>
      <c r="AL2145" s="182" t="n">
        <v>0</v>
      </c>
      <c r="AM2145" s="182" t="n">
        <v>0</v>
      </c>
      <c r="AN2145" s="182" t="n">
        <v>0</v>
      </c>
    </row>
    <row r="2146">
      <c r="A2146" s="155" t="n">
        <v>46091</v>
      </c>
      <c r="B2146" s="156" t="inlineStr">
        <is>
          <t>NS</t>
        </is>
      </c>
      <c r="C2146" s="156" t="inlineStr">
        <is>
          <t>GD-013</t>
        </is>
      </c>
      <c r="D2146" s="156" t="inlineStr">
        <is>
          <t>STG 265C - 10</t>
        </is>
      </c>
      <c r="E2146" s="156" t="inlineStr">
        <is>
          <t>Grader</t>
        </is>
      </c>
      <c r="F2146" s="156" t="inlineStr">
        <is>
          <t>Road Maintenance</t>
        </is>
      </c>
      <c r="G2146" s="182" t="n">
        <v>1.8</v>
      </c>
      <c r="H2146" s="182" t="n">
        <v>0</v>
      </c>
      <c r="I2146" s="182" t="n">
        <v>4.65</v>
      </c>
      <c r="J2146" s="182" t="n">
        <v>4.65</v>
      </c>
      <c r="K2146" s="182" t="n">
        <v>5.55</v>
      </c>
      <c r="L2146" s="182" t="n">
        <v>12</v>
      </c>
      <c r="M2146" s="182" t="n">
        <v>0</v>
      </c>
      <c r="N2146" s="182" t="n">
        <v>0</v>
      </c>
      <c r="O2146" s="183" t="n">
        <v>0</v>
      </c>
      <c r="P2146" s="183" t="n">
        <v>0</v>
      </c>
      <c r="Q2146" s="184" t="n">
        <v>0</v>
      </c>
      <c r="R2146" s="184" t="n">
        <v>0</v>
      </c>
      <c r="S2146" s="183" t="n">
        <v>0</v>
      </c>
      <c r="T2146" s="183" t="n">
        <v>0</v>
      </c>
      <c r="U2146" s="182" t="n">
        <v>0</v>
      </c>
      <c r="V2146" s="182" t="n">
        <v>0</v>
      </c>
      <c r="W2146" s="182" t="n">
        <v>0</v>
      </c>
      <c r="X2146" s="182" t="n">
        <v>0.98</v>
      </c>
      <c r="Y2146" s="182" t="n">
        <v>0</v>
      </c>
      <c r="Z2146" s="182" t="n">
        <v>0</v>
      </c>
      <c r="AA2146" s="182" t="n">
        <v>0</v>
      </c>
      <c r="AB2146" s="182" t="n">
        <v>0</v>
      </c>
      <c r="AC2146" s="182" t="n">
        <v>0</v>
      </c>
      <c r="AD2146" s="182" t="n">
        <v>0</v>
      </c>
      <c r="AE2146" s="182" t="n">
        <v>0</v>
      </c>
      <c r="AF2146" s="182" t="n">
        <v>0</v>
      </c>
      <c r="AG2146" s="182" t="n">
        <v>0</v>
      </c>
      <c r="AH2146" s="182" t="n">
        <v>0</v>
      </c>
      <c r="AI2146" s="182" t="n">
        <v>0</v>
      </c>
      <c r="AJ2146" s="182" t="n">
        <v>0</v>
      </c>
      <c r="AK2146" s="182" t="n">
        <v>4.49</v>
      </c>
      <c r="AL2146" s="182" t="n">
        <v>0</v>
      </c>
      <c r="AM2146" s="182" t="n">
        <v>0.08</v>
      </c>
      <c r="AN2146" s="182" t="n">
        <v>0</v>
      </c>
    </row>
    <row r="2147">
      <c r="A2147" s="155" t="n">
        <v>46091</v>
      </c>
      <c r="B2147" s="156" t="inlineStr">
        <is>
          <t>NS</t>
        </is>
      </c>
      <c r="C2147" s="156" t="inlineStr">
        <is>
          <t>GD-014</t>
        </is>
      </c>
      <c r="D2147" s="156" t="inlineStr">
        <is>
          <t>STG 335C - 10</t>
        </is>
      </c>
      <c r="E2147" s="156" t="inlineStr">
        <is>
          <t>Grader</t>
        </is>
      </c>
      <c r="F2147" s="156" t="inlineStr">
        <is>
          <t>Road Maintenance</t>
        </is>
      </c>
      <c r="G2147" s="182" t="n">
        <v>10</v>
      </c>
      <c r="H2147" s="182" t="n">
        <v>0</v>
      </c>
      <c r="I2147" s="182" t="n">
        <v>0</v>
      </c>
      <c r="J2147" s="182" t="n">
        <v>0</v>
      </c>
      <c r="K2147" s="182" t="n">
        <v>2</v>
      </c>
      <c r="L2147" s="182" t="n">
        <v>12</v>
      </c>
      <c r="M2147" s="182" t="n">
        <v>0</v>
      </c>
      <c r="N2147" s="182" t="n">
        <v>0</v>
      </c>
      <c r="O2147" s="183" t="n">
        <v>0</v>
      </c>
      <c r="P2147" s="183" t="n">
        <v>0</v>
      </c>
      <c r="Q2147" s="184" t="n">
        <v>0</v>
      </c>
      <c r="R2147" s="184" t="n">
        <v>0</v>
      </c>
      <c r="S2147" s="183" t="n">
        <v>0</v>
      </c>
      <c r="T2147" s="183" t="n">
        <v>0</v>
      </c>
      <c r="U2147" s="182" t="n">
        <v>0</v>
      </c>
      <c r="V2147" s="182" t="n">
        <v>0.8</v>
      </c>
      <c r="W2147" s="182" t="n">
        <v>0</v>
      </c>
      <c r="X2147" s="182" t="n">
        <v>1.11</v>
      </c>
      <c r="Y2147" s="182" t="n">
        <v>0</v>
      </c>
      <c r="Z2147" s="182" t="n">
        <v>0</v>
      </c>
      <c r="AA2147" s="182" t="n">
        <v>0</v>
      </c>
      <c r="AB2147" s="182" t="n">
        <v>0</v>
      </c>
      <c r="AC2147" s="182" t="n">
        <v>0</v>
      </c>
      <c r="AD2147" s="182" t="n">
        <v>0</v>
      </c>
      <c r="AE2147" s="182" t="n">
        <v>0</v>
      </c>
      <c r="AF2147" s="182" t="n">
        <v>0</v>
      </c>
      <c r="AG2147" s="182" t="n">
        <v>0</v>
      </c>
      <c r="AH2147" s="182" t="n">
        <v>0</v>
      </c>
      <c r="AI2147" s="182" t="n">
        <v>0</v>
      </c>
      <c r="AJ2147" s="182" t="n">
        <v>0</v>
      </c>
      <c r="AK2147" s="182" t="n">
        <v>0</v>
      </c>
      <c r="AL2147" s="182" t="n">
        <v>0</v>
      </c>
      <c r="AM2147" s="182" t="n">
        <v>0.09</v>
      </c>
      <c r="AN2147" s="182" t="n">
        <v>0</v>
      </c>
    </row>
    <row r="2148">
      <c r="A2148" s="155" t="n">
        <v>46091</v>
      </c>
      <c r="B2148" s="156" t="inlineStr">
        <is>
          <t>NS</t>
        </is>
      </c>
      <c r="C2148" s="156" t="inlineStr">
        <is>
          <t>DT-809</t>
        </is>
      </c>
      <c r="D2148" s="156" t="inlineStr">
        <is>
          <t>SKT 80S</t>
        </is>
      </c>
      <c r="E2148" s="156" t="inlineStr">
        <is>
          <t>Hauler</t>
        </is>
      </c>
      <c r="F2148" s="156" t="inlineStr"/>
      <c r="G2148" s="182" t="n">
        <v>0</v>
      </c>
      <c r="H2148" s="182" t="n">
        <v>0</v>
      </c>
      <c r="I2148" s="182" t="n">
        <v>12</v>
      </c>
      <c r="J2148" s="182" t="n">
        <v>12</v>
      </c>
      <c r="K2148" s="182" t="n">
        <v>0</v>
      </c>
      <c r="L2148" s="182" t="n">
        <v>12</v>
      </c>
      <c r="M2148" s="182" t="n">
        <v>0</v>
      </c>
      <c r="N2148" s="182" t="n">
        <v>0</v>
      </c>
      <c r="O2148" s="183" t="n">
        <v>0</v>
      </c>
      <c r="P2148" s="183" t="n">
        <v>0</v>
      </c>
      <c r="Q2148" s="184" t="n">
        <v>0</v>
      </c>
      <c r="R2148" s="184" t="n">
        <v>0</v>
      </c>
      <c r="S2148" s="183" t="n">
        <v>0</v>
      </c>
      <c r="T2148" s="183" t="n">
        <v>0</v>
      </c>
      <c r="U2148" s="182" t="n">
        <v>0</v>
      </c>
      <c r="V2148" s="182" t="n">
        <v>0</v>
      </c>
      <c r="W2148" s="182" t="n">
        <v>0</v>
      </c>
      <c r="X2148" s="182" t="n">
        <v>0</v>
      </c>
      <c r="Y2148" s="182" t="n">
        <v>0</v>
      </c>
      <c r="Z2148" s="182" t="n">
        <v>0</v>
      </c>
      <c r="AA2148" s="182" t="n">
        <v>0</v>
      </c>
      <c r="AB2148" s="182" t="n">
        <v>0</v>
      </c>
      <c r="AC2148" s="182" t="n">
        <v>0</v>
      </c>
      <c r="AD2148" s="182" t="n">
        <v>0</v>
      </c>
      <c r="AE2148" s="182" t="n">
        <v>0</v>
      </c>
      <c r="AF2148" s="182" t="n">
        <v>0</v>
      </c>
      <c r="AG2148" s="182" t="n">
        <v>0</v>
      </c>
      <c r="AH2148" s="182" t="n">
        <v>0</v>
      </c>
      <c r="AI2148" s="182" t="n">
        <v>0</v>
      </c>
      <c r="AJ2148" s="182" t="n">
        <v>0</v>
      </c>
      <c r="AK2148" s="182" t="n">
        <v>0</v>
      </c>
      <c r="AL2148" s="182" t="n">
        <v>0</v>
      </c>
      <c r="AM2148" s="182" t="n">
        <v>0</v>
      </c>
      <c r="AN2148" s="182" t="n">
        <v>0</v>
      </c>
    </row>
    <row r="2149">
      <c r="A2149" s="155" t="n">
        <v>46091</v>
      </c>
      <c r="B2149" s="156" t="inlineStr">
        <is>
          <t>NS</t>
        </is>
      </c>
      <c r="C2149" s="156" t="inlineStr">
        <is>
          <t>DT-806</t>
        </is>
      </c>
      <c r="D2149" s="156" t="inlineStr">
        <is>
          <t>SKT 80S</t>
        </is>
      </c>
      <c r="E2149" s="156" t="inlineStr">
        <is>
          <t>Hauler</t>
        </is>
      </c>
      <c r="F2149" s="156" t="inlineStr"/>
      <c r="G2149" s="182" t="n">
        <v>0</v>
      </c>
      <c r="H2149" s="182" t="n">
        <v>0</v>
      </c>
      <c r="I2149" s="182" t="n">
        <v>12</v>
      </c>
      <c r="J2149" s="182" t="n">
        <v>12</v>
      </c>
      <c r="K2149" s="182" t="n">
        <v>0</v>
      </c>
      <c r="L2149" s="182" t="n">
        <v>12</v>
      </c>
      <c r="M2149" s="182" t="n">
        <v>0</v>
      </c>
      <c r="N2149" s="182" t="n">
        <v>0</v>
      </c>
      <c r="O2149" s="183" t="n">
        <v>0</v>
      </c>
      <c r="P2149" s="183" t="n">
        <v>0</v>
      </c>
      <c r="Q2149" s="184" t="n">
        <v>0</v>
      </c>
      <c r="R2149" s="184" t="n">
        <v>0</v>
      </c>
      <c r="S2149" s="183" t="n">
        <v>0</v>
      </c>
      <c r="T2149" s="183" t="n">
        <v>0</v>
      </c>
      <c r="U2149" s="182" t="n">
        <v>0</v>
      </c>
      <c r="V2149" s="182" t="n">
        <v>0</v>
      </c>
      <c r="W2149" s="182" t="n">
        <v>0</v>
      </c>
      <c r="X2149" s="182" t="n">
        <v>0</v>
      </c>
      <c r="Y2149" s="182" t="n">
        <v>0</v>
      </c>
      <c r="Z2149" s="182" t="n">
        <v>0</v>
      </c>
      <c r="AA2149" s="182" t="n">
        <v>0</v>
      </c>
      <c r="AB2149" s="182" t="n">
        <v>0</v>
      </c>
      <c r="AC2149" s="182" t="n">
        <v>0</v>
      </c>
      <c r="AD2149" s="182" t="n">
        <v>0</v>
      </c>
      <c r="AE2149" s="182" t="n">
        <v>0</v>
      </c>
      <c r="AF2149" s="182" t="n">
        <v>0</v>
      </c>
      <c r="AG2149" s="182" t="n">
        <v>0</v>
      </c>
      <c r="AH2149" s="182" t="n">
        <v>0</v>
      </c>
      <c r="AI2149" s="182" t="n">
        <v>0</v>
      </c>
      <c r="AJ2149" s="182" t="n">
        <v>0</v>
      </c>
      <c r="AK2149" s="182" t="n">
        <v>0</v>
      </c>
      <c r="AL2149" s="182" t="n">
        <v>0</v>
      </c>
      <c r="AM2149" s="182" t="n">
        <v>0</v>
      </c>
      <c r="AN2149" s="182" t="n">
        <v>0</v>
      </c>
    </row>
    <row r="2150">
      <c r="A2150" s="155" t="n">
        <v>46091</v>
      </c>
      <c r="B2150" s="156" t="inlineStr">
        <is>
          <t>NS</t>
        </is>
      </c>
      <c r="C2150" s="156" t="inlineStr">
        <is>
          <t>DT-805</t>
        </is>
      </c>
      <c r="D2150" s="156" t="inlineStr">
        <is>
          <t>SKT 80S</t>
        </is>
      </c>
      <c r="E2150" s="156" t="inlineStr">
        <is>
          <t>Hauler</t>
        </is>
      </c>
      <c r="F2150" s="156" t="inlineStr"/>
      <c r="G2150" s="182" t="n">
        <v>0</v>
      </c>
      <c r="H2150" s="182" t="n">
        <v>0</v>
      </c>
      <c r="I2150" s="182" t="n">
        <v>12</v>
      </c>
      <c r="J2150" s="182" t="n">
        <v>12</v>
      </c>
      <c r="K2150" s="182" t="n">
        <v>0</v>
      </c>
      <c r="L2150" s="182" t="n">
        <v>12</v>
      </c>
      <c r="M2150" s="182" t="n">
        <v>0</v>
      </c>
      <c r="N2150" s="182" t="n">
        <v>0</v>
      </c>
      <c r="O2150" s="183" t="n">
        <v>0</v>
      </c>
      <c r="P2150" s="183" t="n">
        <v>0</v>
      </c>
      <c r="Q2150" s="184" t="n">
        <v>0</v>
      </c>
      <c r="R2150" s="184" t="n">
        <v>0</v>
      </c>
      <c r="S2150" s="183" t="n">
        <v>0</v>
      </c>
      <c r="T2150" s="183" t="n">
        <v>0</v>
      </c>
      <c r="U2150" s="182" t="n">
        <v>0</v>
      </c>
      <c r="V2150" s="182" t="n">
        <v>0</v>
      </c>
      <c r="W2150" s="182" t="n">
        <v>0</v>
      </c>
      <c r="X2150" s="182" t="n">
        <v>0</v>
      </c>
      <c r="Y2150" s="182" t="n">
        <v>0</v>
      </c>
      <c r="Z2150" s="182" t="n">
        <v>0</v>
      </c>
      <c r="AA2150" s="182" t="n">
        <v>0</v>
      </c>
      <c r="AB2150" s="182" t="n">
        <v>0</v>
      </c>
      <c r="AC2150" s="182" t="n">
        <v>0</v>
      </c>
      <c r="AD2150" s="182" t="n">
        <v>0</v>
      </c>
      <c r="AE2150" s="182" t="n">
        <v>0</v>
      </c>
      <c r="AF2150" s="182" t="n">
        <v>0</v>
      </c>
      <c r="AG2150" s="182" t="n">
        <v>0</v>
      </c>
      <c r="AH2150" s="182" t="n">
        <v>0</v>
      </c>
      <c r="AI2150" s="182" t="n">
        <v>0</v>
      </c>
      <c r="AJ2150" s="182" t="n">
        <v>0</v>
      </c>
      <c r="AK2150" s="182" t="n">
        <v>0</v>
      </c>
      <c r="AL2150" s="182" t="n">
        <v>0</v>
      </c>
      <c r="AM2150" s="182" t="n">
        <v>0</v>
      </c>
      <c r="AN2150" s="182" t="n">
        <v>0</v>
      </c>
    </row>
    <row r="2151">
      <c r="A2151" s="155" t="n">
        <v>46091</v>
      </c>
      <c r="B2151" s="156" t="inlineStr">
        <is>
          <t>NS</t>
        </is>
      </c>
      <c r="C2151" s="156" t="inlineStr">
        <is>
          <t>DT-801</t>
        </is>
      </c>
      <c r="D2151" s="156" t="inlineStr">
        <is>
          <t>SKT 80S</t>
        </is>
      </c>
      <c r="E2151" s="156" t="inlineStr">
        <is>
          <t>Hauler</t>
        </is>
      </c>
      <c r="F2151" s="156" t="inlineStr"/>
      <c r="G2151" s="182" t="n">
        <v>0</v>
      </c>
      <c r="H2151" s="182" t="n">
        <v>0</v>
      </c>
      <c r="I2151" s="182" t="n">
        <v>12</v>
      </c>
      <c r="J2151" s="182" t="n">
        <v>12</v>
      </c>
      <c r="K2151" s="182" t="n">
        <v>0</v>
      </c>
      <c r="L2151" s="182" t="n">
        <v>12</v>
      </c>
      <c r="M2151" s="182" t="n">
        <v>0</v>
      </c>
      <c r="N2151" s="182" t="n">
        <v>0</v>
      </c>
      <c r="O2151" s="183" t="n">
        <v>0</v>
      </c>
      <c r="P2151" s="183" t="n">
        <v>0</v>
      </c>
      <c r="Q2151" s="184" t="n">
        <v>0</v>
      </c>
      <c r="R2151" s="184" t="n">
        <v>0</v>
      </c>
      <c r="S2151" s="183" t="n">
        <v>0</v>
      </c>
      <c r="T2151" s="183" t="n">
        <v>0</v>
      </c>
      <c r="U2151" s="182" t="n">
        <v>0</v>
      </c>
      <c r="V2151" s="182" t="n">
        <v>0</v>
      </c>
      <c r="W2151" s="182" t="n">
        <v>0</v>
      </c>
      <c r="X2151" s="182" t="n">
        <v>0</v>
      </c>
      <c r="Y2151" s="182" t="n">
        <v>0</v>
      </c>
      <c r="Z2151" s="182" t="n">
        <v>0</v>
      </c>
      <c r="AA2151" s="182" t="n">
        <v>0</v>
      </c>
      <c r="AB2151" s="182" t="n">
        <v>0</v>
      </c>
      <c r="AC2151" s="182" t="n">
        <v>0</v>
      </c>
      <c r="AD2151" s="182" t="n">
        <v>0</v>
      </c>
      <c r="AE2151" s="182" t="n">
        <v>0</v>
      </c>
      <c r="AF2151" s="182" t="n">
        <v>0</v>
      </c>
      <c r="AG2151" s="182" t="n">
        <v>0</v>
      </c>
      <c r="AH2151" s="182" t="n">
        <v>0</v>
      </c>
      <c r="AI2151" s="182" t="n">
        <v>0</v>
      </c>
      <c r="AJ2151" s="182" t="n">
        <v>0</v>
      </c>
      <c r="AK2151" s="182" t="n">
        <v>0</v>
      </c>
      <c r="AL2151" s="182" t="n">
        <v>0</v>
      </c>
      <c r="AM2151" s="182" t="n">
        <v>0</v>
      </c>
      <c r="AN2151" s="182" t="n">
        <v>0</v>
      </c>
    </row>
    <row r="2152">
      <c r="A2152" s="155" t="n">
        <v>46091</v>
      </c>
      <c r="B2152" s="156" t="inlineStr">
        <is>
          <t>NS</t>
        </is>
      </c>
      <c r="C2152" s="156" t="inlineStr">
        <is>
          <t>DT-808</t>
        </is>
      </c>
      <c r="D2152" s="156" t="inlineStr">
        <is>
          <t>SKT 80S</t>
        </is>
      </c>
      <c r="E2152" s="156" t="inlineStr">
        <is>
          <t>Hauler</t>
        </is>
      </c>
      <c r="F2152" s="156" t="inlineStr">
        <is>
          <t>Support Washing Plant</t>
        </is>
      </c>
      <c r="G2152" s="182" t="n">
        <v>2.44</v>
      </c>
      <c r="H2152" s="182" t="n">
        <v>0</v>
      </c>
      <c r="I2152" s="182" t="n">
        <v>0</v>
      </c>
      <c r="J2152" s="182" t="n">
        <v>0</v>
      </c>
      <c r="K2152" s="182" t="n">
        <v>9.56</v>
      </c>
      <c r="L2152" s="182" t="n">
        <v>12</v>
      </c>
      <c r="M2152" s="182" t="n">
        <v>0</v>
      </c>
      <c r="N2152" s="182" t="n">
        <v>0</v>
      </c>
      <c r="O2152" s="183" t="n">
        <v>0</v>
      </c>
      <c r="P2152" s="183" t="n">
        <v>0</v>
      </c>
      <c r="Q2152" s="184" t="n">
        <v>0</v>
      </c>
      <c r="R2152" s="184" t="n">
        <v>0</v>
      </c>
      <c r="S2152" s="183" t="n">
        <v>0</v>
      </c>
      <c r="T2152" s="183" t="n">
        <v>0</v>
      </c>
      <c r="U2152" s="182" t="n">
        <v>0</v>
      </c>
      <c r="V2152" s="182" t="n">
        <v>0</v>
      </c>
      <c r="W2152" s="182" t="n">
        <v>0</v>
      </c>
      <c r="X2152" s="182" t="n">
        <v>1.01</v>
      </c>
      <c r="Y2152" s="182" t="n">
        <v>0</v>
      </c>
      <c r="Z2152" s="182" t="n">
        <v>0</v>
      </c>
      <c r="AA2152" s="182" t="n">
        <v>0</v>
      </c>
      <c r="AB2152" s="182" t="n">
        <v>0</v>
      </c>
      <c r="AC2152" s="182" t="n">
        <v>0</v>
      </c>
      <c r="AD2152" s="182" t="n">
        <v>0</v>
      </c>
      <c r="AE2152" s="182" t="n">
        <v>0</v>
      </c>
      <c r="AF2152" s="182" t="n">
        <v>0</v>
      </c>
      <c r="AG2152" s="182" t="n">
        <v>0</v>
      </c>
      <c r="AH2152" s="182" t="n">
        <v>0</v>
      </c>
      <c r="AI2152" s="182" t="n">
        <v>0</v>
      </c>
      <c r="AJ2152" s="182" t="n">
        <v>0</v>
      </c>
      <c r="AK2152" s="182" t="n">
        <v>8.470000000000001</v>
      </c>
      <c r="AL2152" s="182" t="n">
        <v>0</v>
      </c>
      <c r="AM2152" s="182" t="n">
        <v>0.08</v>
      </c>
      <c r="AN2152" s="182" t="n">
        <v>0</v>
      </c>
    </row>
    <row r="2153">
      <c r="A2153" s="155" t="n">
        <v>46091</v>
      </c>
      <c r="B2153" s="156" t="inlineStr">
        <is>
          <t>NS</t>
        </is>
      </c>
      <c r="C2153" s="156" t="inlineStr">
        <is>
          <t>DT-811</t>
        </is>
      </c>
      <c r="D2153" s="156" t="inlineStr">
        <is>
          <t>SKT 80S</t>
        </is>
      </c>
      <c r="E2153" s="156" t="inlineStr">
        <is>
          <t>Hauler</t>
        </is>
      </c>
      <c r="F2153" s="156" t="inlineStr">
        <is>
          <t>Hauling Coal</t>
        </is>
      </c>
      <c r="G2153" s="182" t="n">
        <v>6</v>
      </c>
      <c r="H2153" s="182" t="n">
        <v>0</v>
      </c>
      <c r="I2153" s="182" t="n">
        <v>0.17</v>
      </c>
      <c r="J2153" s="182" t="n">
        <v>0.17</v>
      </c>
      <c r="K2153" s="182" t="n">
        <v>5.83</v>
      </c>
      <c r="L2153" s="182" t="n">
        <v>12</v>
      </c>
      <c r="M2153" s="182" t="n">
        <v>0</v>
      </c>
      <c r="N2153" s="182" t="n">
        <v>5.43</v>
      </c>
      <c r="O2153" s="183" t="n">
        <v>0</v>
      </c>
      <c r="P2153" s="183" t="n">
        <v>11</v>
      </c>
      <c r="Q2153" s="184" t="n">
        <v>0</v>
      </c>
      <c r="R2153" s="184" t="n">
        <v>168.3</v>
      </c>
      <c r="S2153" s="183" t="n">
        <v>2</v>
      </c>
      <c r="T2153" s="183" t="n">
        <v>0</v>
      </c>
      <c r="U2153" s="182" t="n">
        <v>0</v>
      </c>
      <c r="V2153" s="182" t="n">
        <v>0.84</v>
      </c>
      <c r="W2153" s="182" t="n">
        <v>0</v>
      </c>
      <c r="X2153" s="182" t="n">
        <v>1.05</v>
      </c>
      <c r="Y2153" s="182" t="n">
        <v>0</v>
      </c>
      <c r="Z2153" s="182" t="n">
        <v>0</v>
      </c>
      <c r="AA2153" s="182" t="n">
        <v>0</v>
      </c>
      <c r="AB2153" s="182" t="n">
        <v>0</v>
      </c>
      <c r="AC2153" s="182" t="n">
        <v>0</v>
      </c>
      <c r="AD2153" s="182" t="n">
        <v>0</v>
      </c>
      <c r="AE2153" s="182" t="n">
        <v>0</v>
      </c>
      <c r="AF2153" s="182" t="n">
        <v>0</v>
      </c>
      <c r="AG2153" s="182" t="n">
        <v>0</v>
      </c>
      <c r="AH2153" s="182" t="n">
        <v>0</v>
      </c>
      <c r="AI2153" s="182" t="n">
        <v>0</v>
      </c>
      <c r="AJ2153" s="182" t="n">
        <v>0</v>
      </c>
      <c r="AK2153" s="182" t="n">
        <v>3.85</v>
      </c>
      <c r="AL2153" s="182" t="n">
        <v>0</v>
      </c>
      <c r="AM2153" s="182" t="n">
        <v>0.08</v>
      </c>
      <c r="AN2153" s="182" t="n">
        <v>0</v>
      </c>
    </row>
    <row r="2154">
      <c r="A2154" s="155" t="n">
        <v>46091</v>
      </c>
      <c r="B2154" s="156" t="inlineStr">
        <is>
          <t>NS</t>
        </is>
      </c>
      <c r="C2154" s="156" t="inlineStr">
        <is>
          <t>DT-802</t>
        </is>
      </c>
      <c r="D2154" s="156" t="inlineStr">
        <is>
          <t>SKT 80S</t>
        </is>
      </c>
      <c r="E2154" s="156" t="inlineStr">
        <is>
          <t>Hauler</t>
        </is>
      </c>
      <c r="F2154" s="156" t="inlineStr"/>
      <c r="G2154" s="182" t="n">
        <v>0</v>
      </c>
      <c r="H2154" s="182" t="n">
        <v>0</v>
      </c>
      <c r="I2154" s="182" t="n">
        <v>0</v>
      </c>
      <c r="J2154" s="182" t="n">
        <v>0</v>
      </c>
      <c r="K2154" s="182" t="n">
        <v>12</v>
      </c>
      <c r="L2154" s="182" t="n">
        <v>12</v>
      </c>
      <c r="M2154" s="182" t="n">
        <v>0</v>
      </c>
      <c r="N2154" s="182" t="n">
        <v>0</v>
      </c>
      <c r="O2154" s="183" t="n">
        <v>0</v>
      </c>
      <c r="P2154" s="183" t="n">
        <v>0</v>
      </c>
      <c r="Q2154" s="184" t="n">
        <v>0</v>
      </c>
      <c r="R2154" s="184" t="n">
        <v>0</v>
      </c>
      <c r="S2154" s="183" t="n">
        <v>0</v>
      </c>
      <c r="T2154" s="183" t="n">
        <v>0</v>
      </c>
      <c r="U2154" s="182" t="n">
        <v>0</v>
      </c>
      <c r="V2154" s="182" t="n">
        <v>0</v>
      </c>
      <c r="W2154" s="182" t="n">
        <v>0</v>
      </c>
      <c r="X2154" s="182" t="n">
        <v>1</v>
      </c>
      <c r="Y2154" s="182" t="n">
        <v>0</v>
      </c>
      <c r="Z2154" s="182" t="n">
        <v>0</v>
      </c>
      <c r="AA2154" s="182" t="n">
        <v>0</v>
      </c>
      <c r="AB2154" s="182" t="n">
        <v>0</v>
      </c>
      <c r="AC2154" s="182" t="n">
        <v>0</v>
      </c>
      <c r="AD2154" s="182" t="n">
        <v>0</v>
      </c>
      <c r="AE2154" s="182" t="n">
        <v>0</v>
      </c>
      <c r="AF2154" s="182" t="n">
        <v>0</v>
      </c>
      <c r="AG2154" s="182" t="n">
        <v>0</v>
      </c>
      <c r="AH2154" s="182" t="n">
        <v>0</v>
      </c>
      <c r="AI2154" s="182" t="n">
        <v>0</v>
      </c>
      <c r="AJ2154" s="182" t="n">
        <v>0</v>
      </c>
      <c r="AK2154" s="182" t="n">
        <v>10.92</v>
      </c>
      <c r="AL2154" s="182" t="n">
        <v>0</v>
      </c>
      <c r="AM2154" s="182" t="n">
        <v>0.08</v>
      </c>
      <c r="AN2154" s="182" t="n">
        <v>0</v>
      </c>
    </row>
    <row r="2155">
      <c r="A2155" s="155" t="n">
        <v>46091</v>
      </c>
      <c r="B2155" s="156" t="inlineStr">
        <is>
          <t>NS</t>
        </is>
      </c>
      <c r="C2155" s="156" t="inlineStr">
        <is>
          <t>DT-807</t>
        </is>
      </c>
      <c r="D2155" s="156" t="inlineStr">
        <is>
          <t>SKT 80S</t>
        </is>
      </c>
      <c r="E2155" s="156" t="inlineStr">
        <is>
          <t>Hauler</t>
        </is>
      </c>
      <c r="F2155" s="156" t="inlineStr"/>
      <c r="G2155" s="182" t="n">
        <v>0</v>
      </c>
      <c r="H2155" s="182" t="n">
        <v>0</v>
      </c>
      <c r="I2155" s="182" t="n">
        <v>12</v>
      </c>
      <c r="J2155" s="182" t="n">
        <v>12</v>
      </c>
      <c r="K2155" s="182" t="n">
        <v>0</v>
      </c>
      <c r="L2155" s="182" t="n">
        <v>12</v>
      </c>
      <c r="M2155" s="182" t="n">
        <v>0</v>
      </c>
      <c r="N2155" s="182" t="n">
        <v>0</v>
      </c>
      <c r="O2155" s="183" t="n">
        <v>0</v>
      </c>
      <c r="P2155" s="183" t="n">
        <v>0</v>
      </c>
      <c r="Q2155" s="184" t="n">
        <v>0</v>
      </c>
      <c r="R2155" s="184" t="n">
        <v>0</v>
      </c>
      <c r="S2155" s="183" t="n">
        <v>0</v>
      </c>
      <c r="T2155" s="183" t="n">
        <v>0</v>
      </c>
      <c r="U2155" s="182" t="n">
        <v>0</v>
      </c>
      <c r="V2155" s="182" t="n">
        <v>0</v>
      </c>
      <c r="W2155" s="182" t="n">
        <v>0</v>
      </c>
      <c r="X2155" s="182" t="n">
        <v>0</v>
      </c>
      <c r="Y2155" s="182" t="n">
        <v>0</v>
      </c>
      <c r="Z2155" s="182" t="n">
        <v>0</v>
      </c>
      <c r="AA2155" s="182" t="n">
        <v>0</v>
      </c>
      <c r="AB2155" s="182" t="n">
        <v>0</v>
      </c>
      <c r="AC2155" s="182" t="n">
        <v>0</v>
      </c>
      <c r="AD2155" s="182" t="n">
        <v>0</v>
      </c>
      <c r="AE2155" s="182" t="n">
        <v>0</v>
      </c>
      <c r="AF2155" s="182" t="n">
        <v>0</v>
      </c>
      <c r="AG2155" s="182" t="n">
        <v>0</v>
      </c>
      <c r="AH2155" s="182" t="n">
        <v>0</v>
      </c>
      <c r="AI2155" s="182" t="n">
        <v>0</v>
      </c>
      <c r="AJ2155" s="182" t="n">
        <v>0</v>
      </c>
      <c r="AK2155" s="182" t="n">
        <v>0</v>
      </c>
      <c r="AL2155" s="182" t="n">
        <v>0</v>
      </c>
      <c r="AM2155" s="182" t="n">
        <v>0</v>
      </c>
      <c r="AN2155" s="182" t="n">
        <v>0</v>
      </c>
    </row>
    <row r="2156">
      <c r="A2156" s="155" t="n">
        <v>46091</v>
      </c>
      <c r="B2156" s="156" t="inlineStr">
        <is>
          <t>NS</t>
        </is>
      </c>
      <c r="C2156" s="156" t="inlineStr">
        <is>
          <t>DT-812</t>
        </is>
      </c>
      <c r="D2156" s="156" t="inlineStr">
        <is>
          <t>SKT 80S</t>
        </is>
      </c>
      <c r="E2156" s="156" t="inlineStr">
        <is>
          <t>Hauler</t>
        </is>
      </c>
      <c r="F2156" s="156" t="inlineStr">
        <is>
          <t>Hauling Coal</t>
        </is>
      </c>
      <c r="G2156" s="182" t="n">
        <v>6.73</v>
      </c>
      <c r="H2156" s="182" t="n">
        <v>0</v>
      </c>
      <c r="I2156" s="182" t="n">
        <v>0</v>
      </c>
      <c r="J2156" s="182" t="n">
        <v>0</v>
      </c>
      <c r="K2156" s="182" t="n">
        <v>5.27</v>
      </c>
      <c r="L2156" s="182" t="n">
        <v>12</v>
      </c>
      <c r="M2156" s="182" t="n">
        <v>0</v>
      </c>
      <c r="N2156" s="182" t="n">
        <v>6.09</v>
      </c>
      <c r="O2156" s="183" t="n">
        <v>0</v>
      </c>
      <c r="P2156" s="183" t="n">
        <v>11</v>
      </c>
      <c r="Q2156" s="184" t="n">
        <v>0</v>
      </c>
      <c r="R2156" s="184" t="n">
        <v>168.3</v>
      </c>
      <c r="S2156" s="183" t="n">
        <v>2</v>
      </c>
      <c r="T2156" s="183" t="n">
        <v>0</v>
      </c>
      <c r="U2156" s="182" t="n">
        <v>0</v>
      </c>
      <c r="V2156" s="182" t="n">
        <v>0.74</v>
      </c>
      <c r="W2156" s="182" t="n">
        <v>0</v>
      </c>
      <c r="X2156" s="182" t="n">
        <v>0.92</v>
      </c>
      <c r="Y2156" s="182" t="n">
        <v>0</v>
      </c>
      <c r="Z2156" s="182" t="n">
        <v>0</v>
      </c>
      <c r="AA2156" s="182" t="n">
        <v>0</v>
      </c>
      <c r="AB2156" s="182" t="n">
        <v>0</v>
      </c>
      <c r="AC2156" s="182" t="n">
        <v>0</v>
      </c>
      <c r="AD2156" s="182" t="n">
        <v>0</v>
      </c>
      <c r="AE2156" s="182" t="n">
        <v>0</v>
      </c>
      <c r="AF2156" s="182" t="n">
        <v>0</v>
      </c>
      <c r="AG2156" s="182" t="n">
        <v>0</v>
      </c>
      <c r="AH2156" s="182" t="n">
        <v>0</v>
      </c>
      <c r="AI2156" s="182" t="n">
        <v>0</v>
      </c>
      <c r="AJ2156" s="182" t="n">
        <v>0</v>
      </c>
      <c r="AK2156" s="182" t="n">
        <v>3.53</v>
      </c>
      <c r="AL2156" s="182" t="n">
        <v>0</v>
      </c>
      <c r="AM2156" s="182" t="n">
        <v>0.07000000000000001</v>
      </c>
      <c r="AN2156" s="182" t="n">
        <v>0</v>
      </c>
    </row>
    <row r="2157">
      <c r="A2157" s="155" t="n">
        <v>46091</v>
      </c>
      <c r="B2157" s="156" t="inlineStr">
        <is>
          <t>NS</t>
        </is>
      </c>
      <c r="C2157" s="156" t="inlineStr">
        <is>
          <t>DT-803</t>
        </is>
      </c>
      <c r="D2157" s="156" t="inlineStr">
        <is>
          <t>SKT 80S</t>
        </is>
      </c>
      <c r="E2157" s="156" t="inlineStr">
        <is>
          <t>Hauler</t>
        </is>
      </c>
      <c r="F2157" s="156" t="inlineStr"/>
      <c r="G2157" s="182" t="n">
        <v>0</v>
      </c>
      <c r="H2157" s="182" t="n">
        <v>0</v>
      </c>
      <c r="I2157" s="182" t="n">
        <v>0</v>
      </c>
      <c r="J2157" s="182" t="n">
        <v>0</v>
      </c>
      <c r="K2157" s="182" t="n">
        <v>12</v>
      </c>
      <c r="L2157" s="182" t="n">
        <v>12</v>
      </c>
      <c r="M2157" s="182" t="n">
        <v>0</v>
      </c>
      <c r="N2157" s="182" t="n">
        <v>0</v>
      </c>
      <c r="O2157" s="183" t="n">
        <v>0</v>
      </c>
      <c r="P2157" s="183" t="n">
        <v>0</v>
      </c>
      <c r="Q2157" s="184" t="n">
        <v>0</v>
      </c>
      <c r="R2157" s="184" t="n">
        <v>0</v>
      </c>
      <c r="S2157" s="183" t="n">
        <v>0</v>
      </c>
      <c r="T2157" s="183" t="n">
        <v>0</v>
      </c>
      <c r="U2157" s="182" t="n">
        <v>0</v>
      </c>
      <c r="V2157" s="182" t="n">
        <v>0</v>
      </c>
      <c r="W2157" s="182" t="n">
        <v>0</v>
      </c>
      <c r="X2157" s="182" t="n">
        <v>1</v>
      </c>
      <c r="Y2157" s="182" t="n">
        <v>0</v>
      </c>
      <c r="Z2157" s="182" t="n">
        <v>0</v>
      </c>
      <c r="AA2157" s="182" t="n">
        <v>0</v>
      </c>
      <c r="AB2157" s="182" t="n">
        <v>0</v>
      </c>
      <c r="AC2157" s="182" t="n">
        <v>0</v>
      </c>
      <c r="AD2157" s="182" t="n">
        <v>0</v>
      </c>
      <c r="AE2157" s="182" t="n">
        <v>0</v>
      </c>
      <c r="AF2157" s="182" t="n">
        <v>0</v>
      </c>
      <c r="AG2157" s="182" t="n">
        <v>0</v>
      </c>
      <c r="AH2157" s="182" t="n">
        <v>0</v>
      </c>
      <c r="AI2157" s="182" t="n">
        <v>0</v>
      </c>
      <c r="AJ2157" s="182" t="n">
        <v>0</v>
      </c>
      <c r="AK2157" s="182" t="n">
        <v>10.92</v>
      </c>
      <c r="AL2157" s="182" t="n">
        <v>0</v>
      </c>
      <c r="AM2157" s="182" t="n">
        <v>0.08</v>
      </c>
      <c r="AN2157" s="182" t="n">
        <v>0</v>
      </c>
    </row>
    <row r="2158">
      <c r="A2158" s="155" t="n">
        <v>46091</v>
      </c>
      <c r="B2158" s="156" t="inlineStr">
        <is>
          <t>NS</t>
        </is>
      </c>
      <c r="C2158" s="156" t="inlineStr">
        <is>
          <t>DT-810</t>
        </is>
      </c>
      <c r="D2158" s="156" t="inlineStr">
        <is>
          <t>SKT 80S</t>
        </is>
      </c>
      <c r="E2158" s="156" t="inlineStr">
        <is>
          <t>Hauler</t>
        </is>
      </c>
      <c r="F2158" s="156" t="inlineStr">
        <is>
          <t>Hauling Coal</t>
        </is>
      </c>
      <c r="G2158" s="182" t="n">
        <v>4.7</v>
      </c>
      <c r="H2158" s="182" t="n">
        <v>0</v>
      </c>
      <c r="I2158" s="182" t="n">
        <v>0</v>
      </c>
      <c r="J2158" s="182" t="n">
        <v>0</v>
      </c>
      <c r="K2158" s="182" t="n">
        <v>7.3</v>
      </c>
      <c r="L2158" s="182" t="n">
        <v>12</v>
      </c>
      <c r="M2158" s="182" t="n">
        <v>0</v>
      </c>
      <c r="N2158" s="182" t="n">
        <v>4.46</v>
      </c>
      <c r="O2158" s="183" t="n">
        <v>0</v>
      </c>
      <c r="P2158" s="183" t="n">
        <v>12</v>
      </c>
      <c r="Q2158" s="184" t="n">
        <v>0</v>
      </c>
      <c r="R2158" s="184" t="n">
        <v>183.6</v>
      </c>
      <c r="S2158" s="183" t="n">
        <v>1</v>
      </c>
      <c r="T2158" s="183" t="n">
        <v>0</v>
      </c>
      <c r="U2158" s="182" t="n">
        <v>0</v>
      </c>
      <c r="V2158" s="182" t="n">
        <v>0.82</v>
      </c>
      <c r="W2158" s="182" t="n">
        <v>0</v>
      </c>
      <c r="X2158" s="182" t="n">
        <v>1.03</v>
      </c>
      <c r="Y2158" s="182" t="n">
        <v>0</v>
      </c>
      <c r="Z2158" s="182" t="n">
        <v>0</v>
      </c>
      <c r="AA2158" s="182" t="n">
        <v>0</v>
      </c>
      <c r="AB2158" s="182" t="n">
        <v>0</v>
      </c>
      <c r="AC2158" s="182" t="n">
        <v>0</v>
      </c>
      <c r="AD2158" s="182" t="n">
        <v>0</v>
      </c>
      <c r="AE2158" s="182" t="n">
        <v>0</v>
      </c>
      <c r="AF2158" s="182" t="n">
        <v>0</v>
      </c>
      <c r="AG2158" s="182" t="n">
        <v>0</v>
      </c>
      <c r="AH2158" s="182" t="n">
        <v>0</v>
      </c>
      <c r="AI2158" s="182" t="n">
        <v>0</v>
      </c>
      <c r="AJ2158" s="182" t="n">
        <v>0</v>
      </c>
      <c r="AK2158" s="182" t="n">
        <v>5.37</v>
      </c>
      <c r="AL2158" s="182" t="n">
        <v>0</v>
      </c>
      <c r="AM2158" s="182" t="n">
        <v>0.08</v>
      </c>
      <c r="AN2158" s="182" t="n">
        <v>0</v>
      </c>
    </row>
    <row r="2159">
      <c r="A2159" s="155" t="n">
        <v>46091</v>
      </c>
      <c r="B2159" s="156" t="inlineStr">
        <is>
          <t>NS</t>
        </is>
      </c>
      <c r="C2159" s="156" t="inlineStr">
        <is>
          <t>DT-804</t>
        </is>
      </c>
      <c r="D2159" s="156" t="inlineStr">
        <is>
          <t>SKT 80S</t>
        </is>
      </c>
      <c r="E2159" s="156" t="inlineStr">
        <is>
          <t>Hauler</t>
        </is>
      </c>
      <c r="F2159" s="156" t="inlineStr">
        <is>
          <t>Support Washing Plant</t>
        </is>
      </c>
      <c r="G2159" s="182" t="n">
        <v>2.68</v>
      </c>
      <c r="H2159" s="182" t="n">
        <v>0</v>
      </c>
      <c r="I2159" s="182" t="n">
        <v>0</v>
      </c>
      <c r="J2159" s="182" t="n">
        <v>0</v>
      </c>
      <c r="K2159" s="182" t="n">
        <v>9.32</v>
      </c>
      <c r="L2159" s="182" t="n">
        <v>12</v>
      </c>
      <c r="M2159" s="182" t="n">
        <v>0</v>
      </c>
      <c r="N2159" s="182" t="n">
        <v>0</v>
      </c>
      <c r="O2159" s="183" t="n">
        <v>0</v>
      </c>
      <c r="P2159" s="183" t="n">
        <v>0</v>
      </c>
      <c r="Q2159" s="184" t="n">
        <v>0</v>
      </c>
      <c r="R2159" s="184" t="n">
        <v>0</v>
      </c>
      <c r="S2159" s="183" t="n">
        <v>0</v>
      </c>
      <c r="T2159" s="183" t="n">
        <v>0</v>
      </c>
      <c r="U2159" s="182" t="n">
        <v>0</v>
      </c>
      <c r="V2159" s="182" t="n">
        <v>0</v>
      </c>
      <c r="W2159" s="182" t="n">
        <v>0</v>
      </c>
      <c r="X2159" s="182" t="n">
        <v>0.98</v>
      </c>
      <c r="Y2159" s="182" t="n">
        <v>0</v>
      </c>
      <c r="Z2159" s="182" t="n">
        <v>0</v>
      </c>
      <c r="AA2159" s="182" t="n">
        <v>0</v>
      </c>
      <c r="AB2159" s="182" t="n">
        <v>0</v>
      </c>
      <c r="AC2159" s="182" t="n">
        <v>0</v>
      </c>
      <c r="AD2159" s="182" t="n">
        <v>0</v>
      </c>
      <c r="AE2159" s="182" t="n">
        <v>0</v>
      </c>
      <c r="AF2159" s="182" t="n">
        <v>0</v>
      </c>
      <c r="AG2159" s="182" t="n">
        <v>0</v>
      </c>
      <c r="AH2159" s="182" t="n">
        <v>0</v>
      </c>
      <c r="AI2159" s="182" t="n">
        <v>0</v>
      </c>
      <c r="AJ2159" s="182" t="n">
        <v>0</v>
      </c>
      <c r="AK2159" s="182" t="n">
        <v>8.26</v>
      </c>
      <c r="AL2159" s="182" t="n">
        <v>0</v>
      </c>
      <c r="AM2159" s="182" t="n">
        <v>0.08</v>
      </c>
      <c r="AN2159" s="182" t="n">
        <v>0</v>
      </c>
    </row>
    <row r="2160">
      <c r="A2160" s="155" t="n">
        <v>46091</v>
      </c>
      <c r="B2160" s="156" t="inlineStr">
        <is>
          <t>NS</t>
        </is>
      </c>
      <c r="C2160" s="156" t="inlineStr">
        <is>
          <t>DT-505</t>
        </is>
      </c>
      <c r="D2160" s="156" t="inlineStr">
        <is>
          <t>SKT 105S</t>
        </is>
      </c>
      <c r="E2160" s="156" t="inlineStr">
        <is>
          <t>Hauler</t>
        </is>
      </c>
      <c r="F2160" s="156" t="inlineStr"/>
      <c r="G2160" s="182" t="n">
        <v>0</v>
      </c>
      <c r="H2160" s="182" t="n">
        <v>0</v>
      </c>
      <c r="I2160" s="182" t="n">
        <v>12</v>
      </c>
      <c r="J2160" s="182" t="n">
        <v>12</v>
      </c>
      <c r="K2160" s="182" t="n">
        <v>0</v>
      </c>
      <c r="L2160" s="182" t="n">
        <v>12</v>
      </c>
      <c r="M2160" s="182" t="n">
        <v>0</v>
      </c>
      <c r="N2160" s="182" t="n">
        <v>0</v>
      </c>
      <c r="O2160" s="183" t="n">
        <v>0</v>
      </c>
      <c r="P2160" s="183" t="n">
        <v>0</v>
      </c>
      <c r="Q2160" s="184" t="n">
        <v>0</v>
      </c>
      <c r="R2160" s="184" t="n">
        <v>0</v>
      </c>
      <c r="S2160" s="183" t="n">
        <v>0</v>
      </c>
      <c r="T2160" s="183" t="n">
        <v>0</v>
      </c>
      <c r="U2160" s="182" t="n">
        <v>0</v>
      </c>
      <c r="V2160" s="182" t="n">
        <v>0</v>
      </c>
      <c r="W2160" s="182" t="n">
        <v>0</v>
      </c>
      <c r="X2160" s="182" t="n">
        <v>0</v>
      </c>
      <c r="Y2160" s="182" t="n">
        <v>0</v>
      </c>
      <c r="Z2160" s="182" t="n">
        <v>0</v>
      </c>
      <c r="AA2160" s="182" t="n">
        <v>0</v>
      </c>
      <c r="AB2160" s="182" t="n">
        <v>0</v>
      </c>
      <c r="AC2160" s="182" t="n">
        <v>0</v>
      </c>
      <c r="AD2160" s="182" t="n">
        <v>0</v>
      </c>
      <c r="AE2160" s="182" t="n">
        <v>0</v>
      </c>
      <c r="AF2160" s="182" t="n">
        <v>0</v>
      </c>
      <c r="AG2160" s="182" t="n">
        <v>0</v>
      </c>
      <c r="AH2160" s="182" t="n">
        <v>0</v>
      </c>
      <c r="AI2160" s="182" t="n">
        <v>0</v>
      </c>
      <c r="AJ2160" s="182" t="n">
        <v>0</v>
      </c>
      <c r="AK2160" s="182" t="n">
        <v>0</v>
      </c>
      <c r="AL2160" s="182" t="n">
        <v>0</v>
      </c>
      <c r="AM2160" s="182" t="n">
        <v>0</v>
      </c>
      <c r="AN2160" s="182" t="n">
        <v>0</v>
      </c>
    </row>
    <row r="2161">
      <c r="A2161" s="155" t="n">
        <v>46091</v>
      </c>
      <c r="B2161" s="156" t="inlineStr">
        <is>
          <t>NS</t>
        </is>
      </c>
      <c r="C2161" s="156" t="inlineStr">
        <is>
          <t>DT-530</t>
        </is>
      </c>
      <c r="D2161" s="156" t="inlineStr">
        <is>
          <t>SKT 105S</t>
        </is>
      </c>
      <c r="E2161" s="156" t="inlineStr">
        <is>
          <t>Hauler</t>
        </is>
      </c>
      <c r="F2161" s="156" t="inlineStr"/>
      <c r="G2161" s="182" t="n">
        <v>0</v>
      </c>
      <c r="H2161" s="182" t="n">
        <v>0</v>
      </c>
      <c r="I2161" s="182" t="n">
        <v>12</v>
      </c>
      <c r="J2161" s="182" t="n">
        <v>12</v>
      </c>
      <c r="K2161" s="182" t="n">
        <v>0</v>
      </c>
      <c r="L2161" s="182" t="n">
        <v>12</v>
      </c>
      <c r="M2161" s="182" t="n">
        <v>0</v>
      </c>
      <c r="N2161" s="182" t="n">
        <v>0</v>
      </c>
      <c r="O2161" s="183" t="n">
        <v>0</v>
      </c>
      <c r="P2161" s="183" t="n">
        <v>0</v>
      </c>
      <c r="Q2161" s="184" t="n">
        <v>0</v>
      </c>
      <c r="R2161" s="184" t="n">
        <v>0</v>
      </c>
      <c r="S2161" s="183" t="n">
        <v>0</v>
      </c>
      <c r="T2161" s="183" t="n">
        <v>0</v>
      </c>
      <c r="U2161" s="182" t="n">
        <v>0</v>
      </c>
      <c r="V2161" s="182" t="n">
        <v>0</v>
      </c>
      <c r="W2161" s="182" t="n">
        <v>0</v>
      </c>
      <c r="X2161" s="182" t="n">
        <v>0</v>
      </c>
      <c r="Y2161" s="182" t="n">
        <v>0</v>
      </c>
      <c r="Z2161" s="182" t="n">
        <v>0</v>
      </c>
      <c r="AA2161" s="182" t="n">
        <v>0</v>
      </c>
      <c r="AB2161" s="182" t="n">
        <v>0</v>
      </c>
      <c r="AC2161" s="182" t="n">
        <v>0</v>
      </c>
      <c r="AD2161" s="182" t="n">
        <v>0</v>
      </c>
      <c r="AE2161" s="182" t="n">
        <v>0</v>
      </c>
      <c r="AF2161" s="182" t="n">
        <v>0</v>
      </c>
      <c r="AG2161" s="182" t="n">
        <v>0</v>
      </c>
      <c r="AH2161" s="182" t="n">
        <v>0</v>
      </c>
      <c r="AI2161" s="182" t="n">
        <v>0</v>
      </c>
      <c r="AJ2161" s="182" t="n">
        <v>0</v>
      </c>
      <c r="AK2161" s="182" t="n">
        <v>0</v>
      </c>
      <c r="AL2161" s="182" t="n">
        <v>0</v>
      </c>
      <c r="AM2161" s="182" t="n">
        <v>0</v>
      </c>
      <c r="AN2161" s="182" t="n">
        <v>0</v>
      </c>
    </row>
    <row r="2162">
      <c r="A2162" s="155" t="n">
        <v>46091</v>
      </c>
      <c r="B2162" s="156" t="inlineStr">
        <is>
          <t>NS</t>
        </is>
      </c>
      <c r="C2162" s="156" t="inlineStr">
        <is>
          <t>DT-525</t>
        </is>
      </c>
      <c r="D2162" s="156" t="inlineStr">
        <is>
          <t>SKT 105S</t>
        </is>
      </c>
      <c r="E2162" s="156" t="inlineStr">
        <is>
          <t>Hauler</t>
        </is>
      </c>
      <c r="F2162" s="156" t="inlineStr"/>
      <c r="G2162" s="182" t="n">
        <v>0</v>
      </c>
      <c r="H2162" s="182" t="n">
        <v>0</v>
      </c>
      <c r="I2162" s="182" t="n">
        <v>12</v>
      </c>
      <c r="J2162" s="182" t="n">
        <v>12</v>
      </c>
      <c r="K2162" s="182" t="n">
        <v>0</v>
      </c>
      <c r="L2162" s="182" t="n">
        <v>12</v>
      </c>
      <c r="M2162" s="182" t="n">
        <v>0</v>
      </c>
      <c r="N2162" s="182" t="n">
        <v>0</v>
      </c>
      <c r="O2162" s="183" t="n">
        <v>0</v>
      </c>
      <c r="P2162" s="183" t="n">
        <v>0</v>
      </c>
      <c r="Q2162" s="184" t="n">
        <v>0</v>
      </c>
      <c r="R2162" s="184" t="n">
        <v>0</v>
      </c>
      <c r="S2162" s="183" t="n">
        <v>0</v>
      </c>
      <c r="T2162" s="183" t="n">
        <v>0</v>
      </c>
      <c r="U2162" s="182" t="n">
        <v>0</v>
      </c>
      <c r="V2162" s="182" t="n">
        <v>0</v>
      </c>
      <c r="W2162" s="182" t="n">
        <v>0</v>
      </c>
      <c r="X2162" s="182" t="n">
        <v>0</v>
      </c>
      <c r="Y2162" s="182" t="n">
        <v>0</v>
      </c>
      <c r="Z2162" s="182" t="n">
        <v>0</v>
      </c>
      <c r="AA2162" s="182" t="n">
        <v>0</v>
      </c>
      <c r="AB2162" s="182" t="n">
        <v>0</v>
      </c>
      <c r="AC2162" s="182" t="n">
        <v>0</v>
      </c>
      <c r="AD2162" s="182" t="n">
        <v>0</v>
      </c>
      <c r="AE2162" s="182" t="n">
        <v>0</v>
      </c>
      <c r="AF2162" s="182" t="n">
        <v>0</v>
      </c>
      <c r="AG2162" s="182" t="n">
        <v>0</v>
      </c>
      <c r="AH2162" s="182" t="n">
        <v>0</v>
      </c>
      <c r="AI2162" s="182" t="n">
        <v>0</v>
      </c>
      <c r="AJ2162" s="182" t="n">
        <v>0</v>
      </c>
      <c r="AK2162" s="182" t="n">
        <v>0</v>
      </c>
      <c r="AL2162" s="182" t="n">
        <v>0</v>
      </c>
      <c r="AM2162" s="182" t="n">
        <v>0</v>
      </c>
      <c r="AN2162" s="182" t="n">
        <v>0</v>
      </c>
    </row>
    <row r="2163">
      <c r="A2163" s="155" t="n">
        <v>46091</v>
      </c>
      <c r="B2163" s="156" t="inlineStr">
        <is>
          <t>NS</t>
        </is>
      </c>
      <c r="C2163" s="156" t="inlineStr">
        <is>
          <t>DT-503</t>
        </is>
      </c>
      <c r="D2163" s="156" t="inlineStr">
        <is>
          <t>SKT 105S</t>
        </is>
      </c>
      <c r="E2163" s="156" t="inlineStr">
        <is>
          <t>Hauler</t>
        </is>
      </c>
      <c r="F2163" s="156" t="inlineStr"/>
      <c r="G2163" s="182" t="n">
        <v>0</v>
      </c>
      <c r="H2163" s="182" t="n">
        <v>0</v>
      </c>
      <c r="I2163" s="182" t="n">
        <v>0</v>
      </c>
      <c r="J2163" s="182" t="n">
        <v>0</v>
      </c>
      <c r="K2163" s="182" t="n">
        <v>12</v>
      </c>
      <c r="L2163" s="182" t="n">
        <v>12</v>
      </c>
      <c r="M2163" s="182" t="n">
        <v>0</v>
      </c>
      <c r="N2163" s="182" t="n">
        <v>0</v>
      </c>
      <c r="O2163" s="183" t="n">
        <v>0</v>
      </c>
      <c r="P2163" s="183" t="n">
        <v>0</v>
      </c>
      <c r="Q2163" s="184" t="n">
        <v>0</v>
      </c>
      <c r="R2163" s="184" t="n">
        <v>0</v>
      </c>
      <c r="S2163" s="183" t="n">
        <v>0</v>
      </c>
      <c r="T2163" s="183" t="n">
        <v>0</v>
      </c>
      <c r="U2163" s="182" t="n">
        <v>0</v>
      </c>
      <c r="V2163" s="182" t="n">
        <v>0</v>
      </c>
      <c r="W2163" s="182" t="n">
        <v>0</v>
      </c>
      <c r="X2163" s="182" t="n">
        <v>1</v>
      </c>
      <c r="Y2163" s="182" t="n">
        <v>0</v>
      </c>
      <c r="Z2163" s="182" t="n">
        <v>0</v>
      </c>
      <c r="AA2163" s="182" t="n">
        <v>0</v>
      </c>
      <c r="AB2163" s="182" t="n">
        <v>0</v>
      </c>
      <c r="AC2163" s="182" t="n">
        <v>0</v>
      </c>
      <c r="AD2163" s="182" t="n">
        <v>0</v>
      </c>
      <c r="AE2163" s="182" t="n">
        <v>0</v>
      </c>
      <c r="AF2163" s="182" t="n">
        <v>0</v>
      </c>
      <c r="AG2163" s="182" t="n">
        <v>0</v>
      </c>
      <c r="AH2163" s="182" t="n">
        <v>0</v>
      </c>
      <c r="AI2163" s="182" t="n">
        <v>10.92</v>
      </c>
      <c r="AJ2163" s="182" t="n">
        <v>0</v>
      </c>
      <c r="AK2163" s="182" t="n">
        <v>0</v>
      </c>
      <c r="AL2163" s="182" t="n">
        <v>0</v>
      </c>
      <c r="AM2163" s="182" t="n">
        <v>0.08</v>
      </c>
      <c r="AN2163" s="182" t="n">
        <v>0</v>
      </c>
    </row>
    <row r="2164">
      <c r="A2164" s="155" t="n">
        <v>46091</v>
      </c>
      <c r="B2164" s="156" t="inlineStr">
        <is>
          <t>NS</t>
        </is>
      </c>
      <c r="C2164" s="156" t="inlineStr">
        <is>
          <t>DT-504</t>
        </is>
      </c>
      <c r="D2164" s="156" t="inlineStr">
        <is>
          <t>SKT 105S</t>
        </is>
      </c>
      <c r="E2164" s="156" t="inlineStr">
        <is>
          <t>Hauler</t>
        </is>
      </c>
      <c r="F2164" s="156" t="inlineStr">
        <is>
          <t>Hauling OB</t>
        </is>
      </c>
      <c r="G2164" s="182" t="n">
        <v>4.92</v>
      </c>
      <c r="H2164" s="182" t="n">
        <v>0</v>
      </c>
      <c r="I2164" s="182" t="n">
        <v>0</v>
      </c>
      <c r="J2164" s="182" t="n">
        <v>0</v>
      </c>
      <c r="K2164" s="182" t="n">
        <v>7.08</v>
      </c>
      <c r="L2164" s="182" t="n">
        <v>12</v>
      </c>
      <c r="M2164" s="182" t="n">
        <v>4.92</v>
      </c>
      <c r="N2164" s="182" t="n">
        <v>0</v>
      </c>
      <c r="O2164" s="183" t="n">
        <v>20</v>
      </c>
      <c r="P2164" s="183" t="n">
        <v>0</v>
      </c>
      <c r="Q2164" s="184" t="n">
        <v>408</v>
      </c>
      <c r="R2164" s="184" t="n">
        <v>0</v>
      </c>
      <c r="S2164" s="183" t="n">
        <v>0</v>
      </c>
      <c r="T2164" s="183" t="n">
        <v>0</v>
      </c>
      <c r="U2164" s="182" t="n">
        <v>0</v>
      </c>
      <c r="V2164" s="182" t="n">
        <v>0.74</v>
      </c>
      <c r="W2164" s="182" t="n">
        <v>0</v>
      </c>
      <c r="X2164" s="182" t="n">
        <v>1.01</v>
      </c>
      <c r="Y2164" s="182" t="n">
        <v>0</v>
      </c>
      <c r="Z2164" s="182" t="n">
        <v>0</v>
      </c>
      <c r="AA2164" s="182" t="n">
        <v>0</v>
      </c>
      <c r="AB2164" s="182" t="n">
        <v>0</v>
      </c>
      <c r="AC2164" s="182" t="n">
        <v>0</v>
      </c>
      <c r="AD2164" s="182" t="n">
        <v>0</v>
      </c>
      <c r="AE2164" s="182" t="n">
        <v>0</v>
      </c>
      <c r="AF2164" s="182" t="n">
        <v>0</v>
      </c>
      <c r="AG2164" s="182" t="n">
        <v>0</v>
      </c>
      <c r="AH2164" s="182" t="n">
        <v>0</v>
      </c>
      <c r="AI2164" s="182" t="n">
        <v>5.24</v>
      </c>
      <c r="AJ2164" s="182" t="n">
        <v>0</v>
      </c>
      <c r="AK2164" s="182" t="n">
        <v>0</v>
      </c>
      <c r="AL2164" s="182" t="n">
        <v>0</v>
      </c>
      <c r="AM2164" s="182" t="n">
        <v>0.08</v>
      </c>
      <c r="AN2164" s="182" t="n">
        <v>0</v>
      </c>
    </row>
    <row r="2165">
      <c r="A2165" s="155" t="n">
        <v>46091</v>
      </c>
      <c r="B2165" s="156" t="inlineStr">
        <is>
          <t>NS</t>
        </is>
      </c>
      <c r="C2165" s="156" t="inlineStr">
        <is>
          <t>DT-507</t>
        </is>
      </c>
      <c r="D2165" s="156" t="inlineStr">
        <is>
          <t>SKT 105S</t>
        </is>
      </c>
      <c r="E2165" s="156" t="inlineStr">
        <is>
          <t>Hauler</t>
        </is>
      </c>
      <c r="F2165" s="156" t="inlineStr">
        <is>
          <t>Hauling OB</t>
        </is>
      </c>
      <c r="G2165" s="182" t="n">
        <v>4.75</v>
      </c>
      <c r="H2165" s="182" t="n">
        <v>0</v>
      </c>
      <c r="I2165" s="182" t="n">
        <v>0</v>
      </c>
      <c r="J2165" s="182" t="n">
        <v>0</v>
      </c>
      <c r="K2165" s="182" t="n">
        <v>7.25</v>
      </c>
      <c r="L2165" s="182" t="n">
        <v>12</v>
      </c>
      <c r="M2165" s="182" t="n">
        <v>4.75</v>
      </c>
      <c r="N2165" s="182" t="n">
        <v>0</v>
      </c>
      <c r="O2165" s="183" t="n">
        <v>19</v>
      </c>
      <c r="P2165" s="183" t="n">
        <v>0</v>
      </c>
      <c r="Q2165" s="184" t="n">
        <v>387.6</v>
      </c>
      <c r="R2165" s="184" t="n">
        <v>0</v>
      </c>
      <c r="S2165" s="183" t="n">
        <v>0</v>
      </c>
      <c r="T2165" s="183" t="n">
        <v>0</v>
      </c>
      <c r="U2165" s="182" t="n">
        <v>0</v>
      </c>
      <c r="V2165" s="182" t="n">
        <v>0.76</v>
      </c>
      <c r="W2165" s="182" t="n">
        <v>0</v>
      </c>
      <c r="X2165" s="182" t="n">
        <v>1.04</v>
      </c>
      <c r="Y2165" s="182" t="n">
        <v>0</v>
      </c>
      <c r="Z2165" s="182" t="n">
        <v>0</v>
      </c>
      <c r="AA2165" s="182" t="n">
        <v>0</v>
      </c>
      <c r="AB2165" s="182" t="n">
        <v>0</v>
      </c>
      <c r="AC2165" s="182" t="n">
        <v>0</v>
      </c>
      <c r="AD2165" s="182" t="n">
        <v>0</v>
      </c>
      <c r="AE2165" s="182" t="n">
        <v>0</v>
      </c>
      <c r="AF2165" s="182" t="n">
        <v>0</v>
      </c>
      <c r="AG2165" s="182" t="n">
        <v>0</v>
      </c>
      <c r="AH2165" s="182" t="n">
        <v>0</v>
      </c>
      <c r="AI2165" s="182" t="n">
        <v>5.37</v>
      </c>
      <c r="AJ2165" s="182" t="n">
        <v>0</v>
      </c>
      <c r="AK2165" s="182" t="n">
        <v>0</v>
      </c>
      <c r="AL2165" s="182" t="n">
        <v>0</v>
      </c>
      <c r="AM2165" s="182" t="n">
        <v>0.08</v>
      </c>
      <c r="AN2165" s="182" t="n">
        <v>0</v>
      </c>
    </row>
    <row r="2166">
      <c r="A2166" s="155" t="n">
        <v>46091</v>
      </c>
      <c r="B2166" s="156" t="inlineStr">
        <is>
          <t>NS</t>
        </is>
      </c>
      <c r="C2166" s="156" t="inlineStr">
        <is>
          <t>DT-501</t>
        </is>
      </c>
      <c r="D2166" s="156" t="inlineStr">
        <is>
          <t>SKT 105S</t>
        </is>
      </c>
      <c r="E2166" s="156" t="inlineStr">
        <is>
          <t>Hauler</t>
        </is>
      </c>
      <c r="F2166" s="156" t="inlineStr">
        <is>
          <t>Hauling OB</t>
        </is>
      </c>
      <c r="G2166" s="182" t="n">
        <v>2.51</v>
      </c>
      <c r="H2166" s="182" t="n">
        <v>0</v>
      </c>
      <c r="I2166" s="182" t="n">
        <v>0</v>
      </c>
      <c r="J2166" s="182" t="n">
        <v>0</v>
      </c>
      <c r="K2166" s="182" t="n">
        <v>9.49</v>
      </c>
      <c r="L2166" s="182" t="n">
        <v>12</v>
      </c>
      <c r="M2166" s="182" t="n">
        <v>2.51</v>
      </c>
      <c r="N2166" s="182" t="n">
        <v>0</v>
      </c>
      <c r="O2166" s="183" t="n">
        <v>8</v>
      </c>
      <c r="P2166" s="183" t="n">
        <v>0</v>
      </c>
      <c r="Q2166" s="184" t="n">
        <v>163.2</v>
      </c>
      <c r="R2166" s="184" t="n">
        <v>0</v>
      </c>
      <c r="S2166" s="183" t="n">
        <v>0</v>
      </c>
      <c r="T2166" s="183" t="n">
        <v>0</v>
      </c>
      <c r="U2166" s="182" t="n">
        <v>0</v>
      </c>
      <c r="V2166" s="182" t="n">
        <v>3.67</v>
      </c>
      <c r="W2166" s="182" t="n">
        <v>0</v>
      </c>
      <c r="X2166" s="182" t="n">
        <v>1</v>
      </c>
      <c r="Y2166" s="182" t="n">
        <v>0</v>
      </c>
      <c r="Z2166" s="182" t="n">
        <v>0</v>
      </c>
      <c r="AA2166" s="182" t="n">
        <v>0</v>
      </c>
      <c r="AB2166" s="182" t="n">
        <v>0</v>
      </c>
      <c r="AC2166" s="182" t="n">
        <v>0</v>
      </c>
      <c r="AD2166" s="182" t="n">
        <v>0</v>
      </c>
      <c r="AE2166" s="182" t="n">
        <v>0</v>
      </c>
      <c r="AF2166" s="182" t="n">
        <v>0</v>
      </c>
      <c r="AG2166" s="182" t="n">
        <v>0</v>
      </c>
      <c r="AH2166" s="182" t="n">
        <v>0</v>
      </c>
      <c r="AI2166" s="182" t="n">
        <v>0</v>
      </c>
      <c r="AJ2166" s="182" t="n">
        <v>0</v>
      </c>
      <c r="AK2166" s="182" t="n">
        <v>4.75</v>
      </c>
      <c r="AL2166" s="182" t="n">
        <v>0</v>
      </c>
      <c r="AM2166" s="182" t="n">
        <v>0.08</v>
      </c>
      <c r="AN2166" s="182" t="n">
        <v>0</v>
      </c>
    </row>
    <row r="2167">
      <c r="A2167" s="155" t="n">
        <v>46091</v>
      </c>
      <c r="B2167" s="156" t="inlineStr">
        <is>
          <t>NS</t>
        </is>
      </c>
      <c r="C2167" s="156" t="inlineStr">
        <is>
          <t>DT-518</t>
        </is>
      </c>
      <c r="D2167" s="156" t="inlineStr">
        <is>
          <t>SKT 105S</t>
        </is>
      </c>
      <c r="E2167" s="156" t="inlineStr">
        <is>
          <t>Hauler</t>
        </is>
      </c>
      <c r="F2167" s="156" t="inlineStr">
        <is>
          <t>Hauling OB</t>
        </is>
      </c>
      <c r="G2167" s="182" t="n">
        <v>5.1</v>
      </c>
      <c r="H2167" s="182" t="n">
        <v>0</v>
      </c>
      <c r="I2167" s="182" t="n">
        <v>0</v>
      </c>
      <c r="J2167" s="182" t="n">
        <v>0</v>
      </c>
      <c r="K2167" s="182" t="n">
        <v>6.9</v>
      </c>
      <c r="L2167" s="182" t="n">
        <v>12</v>
      </c>
      <c r="M2167" s="182" t="n">
        <v>5.1</v>
      </c>
      <c r="N2167" s="182" t="n">
        <v>0</v>
      </c>
      <c r="O2167" s="183" t="n">
        <v>20</v>
      </c>
      <c r="P2167" s="183" t="n">
        <v>0</v>
      </c>
      <c r="Q2167" s="184" t="n">
        <v>408</v>
      </c>
      <c r="R2167" s="184" t="n">
        <v>0</v>
      </c>
      <c r="S2167" s="183" t="n">
        <v>0</v>
      </c>
      <c r="T2167" s="183" t="n">
        <v>0</v>
      </c>
      <c r="U2167" s="182" t="n">
        <v>0</v>
      </c>
      <c r="V2167" s="182" t="n">
        <v>0.74</v>
      </c>
      <c r="W2167" s="182" t="n">
        <v>0</v>
      </c>
      <c r="X2167" s="182" t="n">
        <v>1.01</v>
      </c>
      <c r="Y2167" s="182" t="n">
        <v>0</v>
      </c>
      <c r="Z2167" s="182" t="n">
        <v>0</v>
      </c>
      <c r="AA2167" s="182" t="n">
        <v>0</v>
      </c>
      <c r="AB2167" s="182" t="n">
        <v>0</v>
      </c>
      <c r="AC2167" s="182" t="n">
        <v>0</v>
      </c>
      <c r="AD2167" s="182" t="n">
        <v>0</v>
      </c>
      <c r="AE2167" s="182" t="n">
        <v>0</v>
      </c>
      <c r="AF2167" s="182" t="n">
        <v>0</v>
      </c>
      <c r="AG2167" s="182" t="n">
        <v>0</v>
      </c>
      <c r="AH2167" s="182" t="n">
        <v>0</v>
      </c>
      <c r="AI2167" s="182" t="n">
        <v>5.05</v>
      </c>
      <c r="AJ2167" s="182" t="n">
        <v>0</v>
      </c>
      <c r="AK2167" s="182" t="n">
        <v>0</v>
      </c>
      <c r="AL2167" s="182" t="n">
        <v>0</v>
      </c>
      <c r="AM2167" s="182" t="n">
        <v>0.08</v>
      </c>
      <c r="AN2167" s="182" t="n">
        <v>0</v>
      </c>
    </row>
    <row r="2168">
      <c r="A2168" s="155" t="n">
        <v>46091</v>
      </c>
      <c r="B2168" s="156" t="inlineStr">
        <is>
          <t>NS</t>
        </is>
      </c>
      <c r="C2168" s="156" t="inlineStr">
        <is>
          <t>DT-514</t>
        </is>
      </c>
      <c r="D2168" s="156" t="inlineStr">
        <is>
          <t>SKT 105S</t>
        </is>
      </c>
      <c r="E2168" s="156" t="inlineStr">
        <is>
          <t>Hauler</t>
        </is>
      </c>
      <c r="F2168" s="156" t="inlineStr"/>
      <c r="G2168" s="182" t="n">
        <v>0</v>
      </c>
      <c r="H2168" s="182" t="n">
        <v>0</v>
      </c>
      <c r="I2168" s="182" t="n">
        <v>12</v>
      </c>
      <c r="J2168" s="182" t="n">
        <v>12</v>
      </c>
      <c r="K2168" s="182" t="n">
        <v>0</v>
      </c>
      <c r="L2168" s="182" t="n">
        <v>12</v>
      </c>
      <c r="M2168" s="182" t="n">
        <v>0</v>
      </c>
      <c r="N2168" s="182" t="n">
        <v>0</v>
      </c>
      <c r="O2168" s="183" t="n">
        <v>0</v>
      </c>
      <c r="P2168" s="183" t="n">
        <v>0</v>
      </c>
      <c r="Q2168" s="184" t="n">
        <v>0</v>
      </c>
      <c r="R2168" s="184" t="n">
        <v>0</v>
      </c>
      <c r="S2168" s="183" t="n">
        <v>0</v>
      </c>
      <c r="T2168" s="183" t="n">
        <v>0</v>
      </c>
      <c r="U2168" s="182" t="n">
        <v>0</v>
      </c>
      <c r="V2168" s="182" t="n">
        <v>0</v>
      </c>
      <c r="W2168" s="182" t="n">
        <v>0</v>
      </c>
      <c r="X2168" s="182" t="n">
        <v>0</v>
      </c>
      <c r="Y2168" s="182" t="n">
        <v>0</v>
      </c>
      <c r="Z2168" s="182" t="n">
        <v>0</v>
      </c>
      <c r="AA2168" s="182" t="n">
        <v>0</v>
      </c>
      <c r="AB2168" s="182" t="n">
        <v>0</v>
      </c>
      <c r="AC2168" s="182" t="n">
        <v>0</v>
      </c>
      <c r="AD2168" s="182" t="n">
        <v>0</v>
      </c>
      <c r="AE2168" s="182" t="n">
        <v>0</v>
      </c>
      <c r="AF2168" s="182" t="n">
        <v>0</v>
      </c>
      <c r="AG2168" s="182" t="n">
        <v>0</v>
      </c>
      <c r="AH2168" s="182" t="n">
        <v>0</v>
      </c>
      <c r="AI2168" s="182" t="n">
        <v>0</v>
      </c>
      <c r="AJ2168" s="182" t="n">
        <v>0</v>
      </c>
      <c r="AK2168" s="182" t="n">
        <v>0</v>
      </c>
      <c r="AL2168" s="182" t="n">
        <v>0</v>
      </c>
      <c r="AM2168" s="182" t="n">
        <v>0</v>
      </c>
      <c r="AN2168" s="182" t="n">
        <v>0</v>
      </c>
    </row>
    <row r="2169">
      <c r="A2169" s="155" t="n">
        <v>46091</v>
      </c>
      <c r="B2169" s="156" t="inlineStr">
        <is>
          <t>NS</t>
        </is>
      </c>
      <c r="C2169" s="156" t="inlineStr">
        <is>
          <t>DT-523</t>
        </is>
      </c>
      <c r="D2169" s="156" t="inlineStr">
        <is>
          <t>SKT 105S</t>
        </is>
      </c>
      <c r="E2169" s="156" t="inlineStr">
        <is>
          <t>Hauler</t>
        </is>
      </c>
      <c r="F2169" s="156" t="inlineStr">
        <is>
          <t>Hauling OB</t>
        </is>
      </c>
      <c r="G2169" s="182" t="n">
        <v>3.91</v>
      </c>
      <c r="H2169" s="182" t="n">
        <v>0</v>
      </c>
      <c r="I2169" s="182" t="n">
        <v>0</v>
      </c>
      <c r="J2169" s="182" t="n">
        <v>0</v>
      </c>
      <c r="K2169" s="182" t="n">
        <v>8.09</v>
      </c>
      <c r="L2169" s="182" t="n">
        <v>12</v>
      </c>
      <c r="M2169" s="182" t="n">
        <v>3.91</v>
      </c>
      <c r="N2169" s="182" t="n">
        <v>0</v>
      </c>
      <c r="O2169" s="183" t="n">
        <v>14</v>
      </c>
      <c r="P2169" s="183" t="n">
        <v>0</v>
      </c>
      <c r="Q2169" s="184" t="n">
        <v>285.6</v>
      </c>
      <c r="R2169" s="184" t="n">
        <v>0</v>
      </c>
      <c r="S2169" s="183" t="n">
        <v>0</v>
      </c>
      <c r="T2169" s="183" t="n">
        <v>0</v>
      </c>
      <c r="U2169" s="182" t="n">
        <v>0</v>
      </c>
      <c r="V2169" s="182" t="n">
        <v>2.3</v>
      </c>
      <c r="W2169" s="182" t="n">
        <v>0</v>
      </c>
      <c r="X2169" s="182" t="n">
        <v>1.02</v>
      </c>
      <c r="Y2169" s="182" t="n">
        <v>0</v>
      </c>
      <c r="Z2169" s="182" t="n">
        <v>0</v>
      </c>
      <c r="AA2169" s="182" t="n">
        <v>0</v>
      </c>
      <c r="AB2169" s="182" t="n">
        <v>0</v>
      </c>
      <c r="AC2169" s="182" t="n">
        <v>0</v>
      </c>
      <c r="AD2169" s="182" t="n">
        <v>0</v>
      </c>
      <c r="AE2169" s="182" t="n">
        <v>0</v>
      </c>
      <c r="AF2169" s="182" t="n">
        <v>0</v>
      </c>
      <c r="AG2169" s="182" t="n">
        <v>0</v>
      </c>
      <c r="AH2169" s="182" t="n">
        <v>0</v>
      </c>
      <c r="AI2169" s="182" t="n">
        <v>4.68</v>
      </c>
      <c r="AJ2169" s="182" t="n">
        <v>0</v>
      </c>
      <c r="AK2169" s="182" t="n">
        <v>0</v>
      </c>
      <c r="AL2169" s="182" t="n">
        <v>0</v>
      </c>
      <c r="AM2169" s="182" t="n">
        <v>0.08</v>
      </c>
      <c r="AN2169" s="182" t="n">
        <v>0</v>
      </c>
    </row>
    <row r="2170">
      <c r="A2170" s="155" t="n">
        <v>46091</v>
      </c>
      <c r="B2170" s="156" t="inlineStr">
        <is>
          <t>NS</t>
        </is>
      </c>
      <c r="C2170" s="156" t="inlineStr">
        <is>
          <t>DT-519</t>
        </is>
      </c>
      <c r="D2170" s="156" t="inlineStr">
        <is>
          <t>SKT 105S</t>
        </is>
      </c>
      <c r="E2170" s="156" t="inlineStr">
        <is>
          <t>Hauler</t>
        </is>
      </c>
      <c r="F2170" s="156" t="inlineStr"/>
      <c r="G2170" s="182" t="n">
        <v>0</v>
      </c>
      <c r="H2170" s="182" t="n">
        <v>0</v>
      </c>
      <c r="I2170" s="182" t="n">
        <v>12</v>
      </c>
      <c r="J2170" s="182" t="n">
        <v>12</v>
      </c>
      <c r="K2170" s="182" t="n">
        <v>0</v>
      </c>
      <c r="L2170" s="182" t="n">
        <v>12</v>
      </c>
      <c r="M2170" s="182" t="n">
        <v>0</v>
      </c>
      <c r="N2170" s="182" t="n">
        <v>0</v>
      </c>
      <c r="O2170" s="183" t="n">
        <v>0</v>
      </c>
      <c r="P2170" s="183" t="n">
        <v>0</v>
      </c>
      <c r="Q2170" s="184" t="n">
        <v>0</v>
      </c>
      <c r="R2170" s="184" t="n">
        <v>0</v>
      </c>
      <c r="S2170" s="183" t="n">
        <v>0</v>
      </c>
      <c r="T2170" s="183" t="n">
        <v>0</v>
      </c>
      <c r="U2170" s="182" t="n">
        <v>0</v>
      </c>
      <c r="V2170" s="182" t="n">
        <v>0</v>
      </c>
      <c r="W2170" s="182" t="n">
        <v>0</v>
      </c>
      <c r="X2170" s="182" t="n">
        <v>0</v>
      </c>
      <c r="Y2170" s="182" t="n">
        <v>0</v>
      </c>
      <c r="Z2170" s="182" t="n">
        <v>0</v>
      </c>
      <c r="AA2170" s="182" t="n">
        <v>0</v>
      </c>
      <c r="AB2170" s="182" t="n">
        <v>0</v>
      </c>
      <c r="AC2170" s="182" t="n">
        <v>0</v>
      </c>
      <c r="AD2170" s="182" t="n">
        <v>0</v>
      </c>
      <c r="AE2170" s="182" t="n">
        <v>0</v>
      </c>
      <c r="AF2170" s="182" t="n">
        <v>0</v>
      </c>
      <c r="AG2170" s="182" t="n">
        <v>0</v>
      </c>
      <c r="AH2170" s="182" t="n">
        <v>0</v>
      </c>
      <c r="AI2170" s="182" t="n">
        <v>0</v>
      </c>
      <c r="AJ2170" s="182" t="n">
        <v>0</v>
      </c>
      <c r="AK2170" s="182" t="n">
        <v>0</v>
      </c>
      <c r="AL2170" s="182" t="n">
        <v>0</v>
      </c>
      <c r="AM2170" s="182" t="n">
        <v>0</v>
      </c>
      <c r="AN2170" s="182" t="n">
        <v>0</v>
      </c>
    </row>
    <row r="2171">
      <c r="A2171" s="155" t="n">
        <v>46091</v>
      </c>
      <c r="B2171" s="156" t="inlineStr">
        <is>
          <t>NS</t>
        </is>
      </c>
      <c r="C2171" s="156" t="inlineStr">
        <is>
          <t>DT-527</t>
        </is>
      </c>
      <c r="D2171" s="156" t="inlineStr">
        <is>
          <t>SKT 105S</t>
        </is>
      </c>
      <c r="E2171" s="156" t="inlineStr">
        <is>
          <t>Hauler</t>
        </is>
      </c>
      <c r="F2171" s="156" t="inlineStr">
        <is>
          <t>Hauling OB</t>
        </is>
      </c>
      <c r="G2171" s="182" t="n">
        <v>4.38</v>
      </c>
      <c r="H2171" s="182" t="n">
        <v>0</v>
      </c>
      <c r="I2171" s="182" t="n">
        <v>0</v>
      </c>
      <c r="J2171" s="182" t="n">
        <v>0</v>
      </c>
      <c r="K2171" s="182" t="n">
        <v>7.62</v>
      </c>
      <c r="L2171" s="182" t="n">
        <v>12</v>
      </c>
      <c r="M2171" s="182" t="n">
        <v>4.38</v>
      </c>
      <c r="N2171" s="182" t="n">
        <v>0</v>
      </c>
      <c r="O2171" s="183" t="n">
        <v>16</v>
      </c>
      <c r="P2171" s="183" t="n">
        <v>0</v>
      </c>
      <c r="Q2171" s="184" t="n">
        <v>326.4</v>
      </c>
      <c r="R2171" s="184" t="n">
        <v>0</v>
      </c>
      <c r="S2171" s="183" t="n">
        <v>0</v>
      </c>
      <c r="T2171" s="183" t="n">
        <v>0</v>
      </c>
      <c r="U2171" s="182" t="n">
        <v>0</v>
      </c>
      <c r="V2171" s="182" t="n">
        <v>0.74</v>
      </c>
      <c r="W2171" s="182" t="n">
        <v>0</v>
      </c>
      <c r="X2171" s="182" t="n">
        <v>1.02</v>
      </c>
      <c r="Y2171" s="182" t="n">
        <v>0</v>
      </c>
      <c r="Z2171" s="182" t="n">
        <v>0</v>
      </c>
      <c r="AA2171" s="182" t="n">
        <v>0</v>
      </c>
      <c r="AB2171" s="182" t="n">
        <v>0</v>
      </c>
      <c r="AC2171" s="182" t="n">
        <v>0</v>
      </c>
      <c r="AD2171" s="182" t="n">
        <v>0</v>
      </c>
      <c r="AE2171" s="182" t="n">
        <v>0</v>
      </c>
      <c r="AF2171" s="182" t="n">
        <v>0</v>
      </c>
      <c r="AG2171" s="182" t="n">
        <v>0</v>
      </c>
      <c r="AH2171" s="182" t="n">
        <v>0</v>
      </c>
      <c r="AI2171" s="182" t="n">
        <v>5.77</v>
      </c>
      <c r="AJ2171" s="182" t="n">
        <v>0</v>
      </c>
      <c r="AK2171" s="182" t="n">
        <v>0</v>
      </c>
      <c r="AL2171" s="182" t="n">
        <v>0</v>
      </c>
      <c r="AM2171" s="182" t="n">
        <v>0.08</v>
      </c>
      <c r="AN2171" s="182" t="n">
        <v>0</v>
      </c>
    </row>
    <row r="2172">
      <c r="A2172" s="155" t="n">
        <v>46091</v>
      </c>
      <c r="B2172" s="156" t="inlineStr">
        <is>
          <t>NS</t>
        </is>
      </c>
      <c r="C2172" s="156" t="inlineStr">
        <is>
          <t>DT-513</t>
        </is>
      </c>
      <c r="D2172" s="156" t="inlineStr">
        <is>
          <t>SKT 105S</t>
        </is>
      </c>
      <c r="E2172" s="156" t="inlineStr">
        <is>
          <t>Hauler</t>
        </is>
      </c>
      <c r="F2172" s="156" t="inlineStr">
        <is>
          <t>Hauling OB</t>
        </is>
      </c>
      <c r="G2172" s="182" t="n">
        <v>8.960000000000001</v>
      </c>
      <c r="H2172" s="182" t="n">
        <v>0</v>
      </c>
      <c r="I2172" s="182" t="n">
        <v>0</v>
      </c>
      <c r="J2172" s="182" t="n">
        <v>0</v>
      </c>
      <c r="K2172" s="182" t="n">
        <v>3.04</v>
      </c>
      <c r="L2172" s="182" t="n">
        <v>12</v>
      </c>
      <c r="M2172" s="182" t="n">
        <v>8.960000000000001</v>
      </c>
      <c r="N2172" s="182" t="n">
        <v>0</v>
      </c>
      <c r="O2172" s="183" t="n">
        <v>33</v>
      </c>
      <c r="P2172" s="183" t="n">
        <v>0</v>
      </c>
      <c r="Q2172" s="184" t="n">
        <v>673.2</v>
      </c>
      <c r="R2172" s="184" t="n">
        <v>0</v>
      </c>
      <c r="S2172" s="183" t="n">
        <v>0</v>
      </c>
      <c r="T2172" s="183" t="n">
        <v>0</v>
      </c>
      <c r="U2172" s="182" t="n">
        <v>0</v>
      </c>
      <c r="V2172" s="182" t="n">
        <v>0.74</v>
      </c>
      <c r="W2172" s="182" t="n">
        <v>0</v>
      </c>
      <c r="X2172" s="182" t="n">
        <v>1.01</v>
      </c>
      <c r="Y2172" s="182" t="n">
        <v>0</v>
      </c>
      <c r="Z2172" s="182" t="n">
        <v>0</v>
      </c>
      <c r="AA2172" s="182" t="n">
        <v>0</v>
      </c>
      <c r="AB2172" s="182" t="n">
        <v>0</v>
      </c>
      <c r="AC2172" s="182" t="n">
        <v>0</v>
      </c>
      <c r="AD2172" s="182" t="n">
        <v>0</v>
      </c>
      <c r="AE2172" s="182" t="n">
        <v>0</v>
      </c>
      <c r="AF2172" s="182" t="n">
        <v>0</v>
      </c>
      <c r="AG2172" s="182" t="n">
        <v>0</v>
      </c>
      <c r="AH2172" s="182" t="n">
        <v>0</v>
      </c>
      <c r="AI2172" s="182" t="n">
        <v>1.2</v>
      </c>
      <c r="AJ2172" s="182" t="n">
        <v>0</v>
      </c>
      <c r="AK2172" s="182" t="n">
        <v>0</v>
      </c>
      <c r="AL2172" s="182" t="n">
        <v>0</v>
      </c>
      <c r="AM2172" s="182" t="n">
        <v>0.08</v>
      </c>
      <c r="AN2172" s="182" t="n">
        <v>0</v>
      </c>
    </row>
    <row r="2173">
      <c r="A2173" s="155" t="n">
        <v>46091</v>
      </c>
      <c r="B2173" s="156" t="inlineStr">
        <is>
          <t>NS</t>
        </is>
      </c>
      <c r="C2173" s="156" t="inlineStr">
        <is>
          <t>DT-512</t>
        </is>
      </c>
      <c r="D2173" s="156" t="inlineStr">
        <is>
          <t>SKT 105S</t>
        </is>
      </c>
      <c r="E2173" s="156" t="inlineStr">
        <is>
          <t>Hauler</t>
        </is>
      </c>
      <c r="F2173" s="156" t="inlineStr"/>
      <c r="G2173" s="182" t="n">
        <v>0</v>
      </c>
      <c r="H2173" s="182" t="n">
        <v>0</v>
      </c>
      <c r="I2173" s="182" t="n">
        <v>0</v>
      </c>
      <c r="J2173" s="182" t="n">
        <v>0</v>
      </c>
      <c r="K2173" s="182" t="n">
        <v>12</v>
      </c>
      <c r="L2173" s="182" t="n">
        <v>12</v>
      </c>
      <c r="M2173" s="182" t="n">
        <v>0</v>
      </c>
      <c r="N2173" s="182" t="n">
        <v>0</v>
      </c>
      <c r="O2173" s="183" t="n">
        <v>0</v>
      </c>
      <c r="P2173" s="183" t="n">
        <v>0</v>
      </c>
      <c r="Q2173" s="184" t="n">
        <v>0</v>
      </c>
      <c r="R2173" s="184" t="n">
        <v>0</v>
      </c>
      <c r="S2173" s="183" t="n">
        <v>0</v>
      </c>
      <c r="T2173" s="183" t="n">
        <v>0</v>
      </c>
      <c r="U2173" s="182" t="n">
        <v>0</v>
      </c>
      <c r="V2173" s="182" t="n">
        <v>0</v>
      </c>
      <c r="W2173" s="182" t="n">
        <v>0</v>
      </c>
      <c r="X2173" s="182" t="n">
        <v>1</v>
      </c>
      <c r="Y2173" s="182" t="n">
        <v>0</v>
      </c>
      <c r="Z2173" s="182" t="n">
        <v>0</v>
      </c>
      <c r="AA2173" s="182" t="n">
        <v>0</v>
      </c>
      <c r="AB2173" s="182" t="n">
        <v>0</v>
      </c>
      <c r="AC2173" s="182" t="n">
        <v>0</v>
      </c>
      <c r="AD2173" s="182" t="n">
        <v>0</v>
      </c>
      <c r="AE2173" s="182" t="n">
        <v>0</v>
      </c>
      <c r="AF2173" s="182" t="n">
        <v>0</v>
      </c>
      <c r="AG2173" s="182" t="n">
        <v>0</v>
      </c>
      <c r="AH2173" s="182" t="n">
        <v>0</v>
      </c>
      <c r="AI2173" s="182" t="n">
        <v>10.92</v>
      </c>
      <c r="AJ2173" s="182" t="n">
        <v>0</v>
      </c>
      <c r="AK2173" s="182" t="n">
        <v>0</v>
      </c>
      <c r="AL2173" s="182" t="n">
        <v>0</v>
      </c>
      <c r="AM2173" s="182" t="n">
        <v>0.08</v>
      </c>
      <c r="AN2173" s="182" t="n">
        <v>0</v>
      </c>
    </row>
    <row r="2174">
      <c r="A2174" s="155" t="n">
        <v>46091</v>
      </c>
      <c r="B2174" s="156" t="inlineStr">
        <is>
          <t>NS</t>
        </is>
      </c>
      <c r="C2174" s="156" t="inlineStr">
        <is>
          <t>DT-522</t>
        </is>
      </c>
      <c r="D2174" s="156" t="inlineStr">
        <is>
          <t>SKT 105S</t>
        </is>
      </c>
      <c r="E2174" s="156" t="inlineStr">
        <is>
          <t>Hauler</t>
        </is>
      </c>
      <c r="F2174" s="156" t="inlineStr">
        <is>
          <t>Hauling OB</t>
        </is>
      </c>
      <c r="G2174" s="182" t="n">
        <v>5.68</v>
      </c>
      <c r="H2174" s="182" t="n">
        <v>0</v>
      </c>
      <c r="I2174" s="182" t="n">
        <v>0.17</v>
      </c>
      <c r="J2174" s="182" t="n">
        <v>0.17</v>
      </c>
      <c r="K2174" s="182" t="n">
        <v>6.15</v>
      </c>
      <c r="L2174" s="182" t="n">
        <v>12</v>
      </c>
      <c r="M2174" s="182" t="n">
        <v>5.68</v>
      </c>
      <c r="N2174" s="182" t="n">
        <v>0</v>
      </c>
      <c r="O2174" s="183" t="n">
        <v>21</v>
      </c>
      <c r="P2174" s="183" t="n">
        <v>0</v>
      </c>
      <c r="Q2174" s="184" t="n">
        <v>428.4</v>
      </c>
      <c r="R2174" s="184" t="n">
        <v>0</v>
      </c>
      <c r="S2174" s="183" t="n">
        <v>0</v>
      </c>
      <c r="T2174" s="183" t="n">
        <v>0</v>
      </c>
      <c r="U2174" s="182" t="n">
        <v>0</v>
      </c>
      <c r="V2174" s="182" t="n">
        <v>0.72</v>
      </c>
      <c r="W2174" s="182" t="n">
        <v>0</v>
      </c>
      <c r="X2174" s="182" t="n">
        <v>0.99</v>
      </c>
      <c r="Y2174" s="182" t="n">
        <v>0</v>
      </c>
      <c r="Z2174" s="182" t="n">
        <v>0</v>
      </c>
      <c r="AA2174" s="182" t="n">
        <v>0</v>
      </c>
      <c r="AB2174" s="182" t="n">
        <v>0</v>
      </c>
      <c r="AC2174" s="182" t="n">
        <v>0</v>
      </c>
      <c r="AD2174" s="182" t="n">
        <v>0</v>
      </c>
      <c r="AE2174" s="182" t="n">
        <v>0</v>
      </c>
      <c r="AF2174" s="182" t="n">
        <v>0</v>
      </c>
      <c r="AG2174" s="182" t="n">
        <v>0</v>
      </c>
      <c r="AH2174" s="182" t="n">
        <v>0</v>
      </c>
      <c r="AI2174" s="182" t="n">
        <v>4.36</v>
      </c>
      <c r="AJ2174" s="182" t="n">
        <v>0</v>
      </c>
      <c r="AK2174" s="182" t="n">
        <v>0</v>
      </c>
      <c r="AL2174" s="182" t="n">
        <v>0</v>
      </c>
      <c r="AM2174" s="182" t="n">
        <v>0.08</v>
      </c>
      <c r="AN2174" s="182" t="n">
        <v>0</v>
      </c>
    </row>
    <row r="2175">
      <c r="A2175" s="155" t="n">
        <v>46091</v>
      </c>
      <c r="B2175" s="156" t="inlineStr">
        <is>
          <t>NS</t>
        </is>
      </c>
      <c r="C2175" s="156" t="inlineStr">
        <is>
          <t>DT-517</t>
        </is>
      </c>
      <c r="D2175" s="156" t="inlineStr">
        <is>
          <t>SKT 105S</t>
        </is>
      </c>
      <c r="E2175" s="156" t="inlineStr">
        <is>
          <t>Hauler</t>
        </is>
      </c>
      <c r="F2175" s="156" t="inlineStr">
        <is>
          <t>Hauling OB</t>
        </is>
      </c>
      <c r="G2175" s="182" t="n">
        <v>4.97</v>
      </c>
      <c r="H2175" s="182" t="n">
        <v>0</v>
      </c>
      <c r="I2175" s="182" t="n">
        <v>0</v>
      </c>
      <c r="J2175" s="182" t="n">
        <v>0</v>
      </c>
      <c r="K2175" s="182" t="n">
        <v>7.03</v>
      </c>
      <c r="L2175" s="182" t="n">
        <v>12</v>
      </c>
      <c r="M2175" s="182" t="n">
        <v>4.97</v>
      </c>
      <c r="N2175" s="182" t="n">
        <v>0</v>
      </c>
      <c r="O2175" s="183" t="n">
        <v>21</v>
      </c>
      <c r="P2175" s="183" t="n">
        <v>0</v>
      </c>
      <c r="Q2175" s="184" t="n">
        <v>428.4</v>
      </c>
      <c r="R2175" s="184" t="n">
        <v>0</v>
      </c>
      <c r="S2175" s="183" t="n">
        <v>0</v>
      </c>
      <c r="T2175" s="183" t="n">
        <v>0</v>
      </c>
      <c r="U2175" s="182" t="n">
        <v>0</v>
      </c>
      <c r="V2175" s="182" t="n">
        <v>2.2</v>
      </c>
      <c r="W2175" s="182" t="n">
        <v>0</v>
      </c>
      <c r="X2175" s="182" t="n">
        <v>0.98</v>
      </c>
      <c r="Y2175" s="182" t="n">
        <v>0</v>
      </c>
      <c r="Z2175" s="182" t="n">
        <v>0</v>
      </c>
      <c r="AA2175" s="182" t="n">
        <v>0</v>
      </c>
      <c r="AB2175" s="182" t="n">
        <v>0</v>
      </c>
      <c r="AC2175" s="182" t="n">
        <v>0</v>
      </c>
      <c r="AD2175" s="182" t="n">
        <v>0</v>
      </c>
      <c r="AE2175" s="182" t="n">
        <v>0</v>
      </c>
      <c r="AF2175" s="182" t="n">
        <v>0</v>
      </c>
      <c r="AG2175" s="182" t="n">
        <v>0</v>
      </c>
      <c r="AH2175" s="182" t="n">
        <v>0</v>
      </c>
      <c r="AI2175" s="182" t="n">
        <v>3.78</v>
      </c>
      <c r="AJ2175" s="182" t="n">
        <v>0</v>
      </c>
      <c r="AK2175" s="182" t="n">
        <v>0</v>
      </c>
      <c r="AL2175" s="182" t="n">
        <v>0</v>
      </c>
      <c r="AM2175" s="182" t="n">
        <v>0.08</v>
      </c>
      <c r="AN2175" s="182" t="n">
        <v>0</v>
      </c>
    </row>
    <row r="2176">
      <c r="A2176" s="155" t="n">
        <v>46091</v>
      </c>
      <c r="B2176" s="156" t="inlineStr">
        <is>
          <t>NS</t>
        </is>
      </c>
      <c r="C2176" s="156" t="inlineStr">
        <is>
          <t>DT-510</t>
        </is>
      </c>
      <c r="D2176" s="156" t="inlineStr">
        <is>
          <t>SKT 105S</t>
        </is>
      </c>
      <c r="E2176" s="156" t="inlineStr">
        <is>
          <t>Hauler</t>
        </is>
      </c>
      <c r="F2176" s="156" t="inlineStr">
        <is>
          <t>Hauling OB</t>
        </is>
      </c>
      <c r="G2176" s="182" t="n">
        <v>3.27</v>
      </c>
      <c r="H2176" s="182" t="n">
        <v>0</v>
      </c>
      <c r="I2176" s="182" t="n">
        <v>0</v>
      </c>
      <c r="J2176" s="182" t="n">
        <v>0</v>
      </c>
      <c r="K2176" s="182" t="n">
        <v>8.73</v>
      </c>
      <c r="L2176" s="182" t="n">
        <v>12</v>
      </c>
      <c r="M2176" s="182" t="n">
        <v>3.27</v>
      </c>
      <c r="N2176" s="182" t="n">
        <v>0</v>
      </c>
      <c r="O2176" s="183" t="n">
        <v>12</v>
      </c>
      <c r="P2176" s="183" t="n">
        <v>0</v>
      </c>
      <c r="Q2176" s="184" t="n">
        <v>244.8</v>
      </c>
      <c r="R2176" s="184" t="n">
        <v>0</v>
      </c>
      <c r="S2176" s="183" t="n">
        <v>0</v>
      </c>
      <c r="T2176" s="183" t="n">
        <v>0</v>
      </c>
      <c r="U2176" s="182" t="n">
        <v>0</v>
      </c>
      <c r="V2176" s="182" t="n">
        <v>0.75</v>
      </c>
      <c r="W2176" s="182" t="n">
        <v>0</v>
      </c>
      <c r="X2176" s="182" t="n">
        <v>1.03</v>
      </c>
      <c r="Y2176" s="182" t="n">
        <v>0</v>
      </c>
      <c r="Z2176" s="182" t="n">
        <v>0</v>
      </c>
      <c r="AA2176" s="182" t="n">
        <v>0</v>
      </c>
      <c r="AB2176" s="182" t="n">
        <v>0</v>
      </c>
      <c r="AC2176" s="182" t="n">
        <v>0</v>
      </c>
      <c r="AD2176" s="182" t="n">
        <v>0</v>
      </c>
      <c r="AE2176" s="182" t="n">
        <v>0</v>
      </c>
      <c r="AF2176" s="182" t="n">
        <v>0</v>
      </c>
      <c r="AG2176" s="182" t="n">
        <v>0</v>
      </c>
      <c r="AH2176" s="182" t="n">
        <v>0</v>
      </c>
      <c r="AI2176" s="182" t="n">
        <v>6.86</v>
      </c>
      <c r="AJ2176" s="182" t="n">
        <v>0</v>
      </c>
      <c r="AK2176" s="182" t="n">
        <v>0</v>
      </c>
      <c r="AL2176" s="182" t="n">
        <v>0</v>
      </c>
      <c r="AM2176" s="182" t="n">
        <v>0.08</v>
      </c>
      <c r="AN2176" s="182" t="n">
        <v>0</v>
      </c>
    </row>
    <row r="2177">
      <c r="A2177" s="155" t="n">
        <v>46091</v>
      </c>
      <c r="B2177" s="156" t="inlineStr">
        <is>
          <t>NS</t>
        </is>
      </c>
      <c r="C2177" s="156" t="inlineStr">
        <is>
          <t>DT-521</t>
        </is>
      </c>
      <c r="D2177" s="156" t="inlineStr">
        <is>
          <t>SKT 105S</t>
        </is>
      </c>
      <c r="E2177" s="156" t="inlineStr">
        <is>
          <t>Hauler</t>
        </is>
      </c>
      <c r="F2177" s="156" t="inlineStr">
        <is>
          <t>Hauling OB</t>
        </is>
      </c>
      <c r="G2177" s="182" t="n">
        <v>1.44</v>
      </c>
      <c r="H2177" s="182" t="n">
        <v>0</v>
      </c>
      <c r="I2177" s="182" t="n">
        <v>6.5</v>
      </c>
      <c r="J2177" s="182" t="n">
        <v>6.5</v>
      </c>
      <c r="K2177" s="182" t="n">
        <v>4.06</v>
      </c>
      <c r="L2177" s="182" t="n">
        <v>12</v>
      </c>
      <c r="M2177" s="182" t="n">
        <v>1.44</v>
      </c>
      <c r="N2177" s="182" t="n">
        <v>0</v>
      </c>
      <c r="O2177" s="183" t="n">
        <v>6</v>
      </c>
      <c r="P2177" s="183" t="n">
        <v>0</v>
      </c>
      <c r="Q2177" s="184" t="n">
        <v>122.4</v>
      </c>
      <c r="R2177" s="184" t="n">
        <v>0</v>
      </c>
      <c r="S2177" s="183" t="n">
        <v>0</v>
      </c>
      <c r="T2177" s="183" t="n">
        <v>0</v>
      </c>
      <c r="U2177" s="182" t="n">
        <v>0</v>
      </c>
      <c r="V2177" s="182" t="n">
        <v>2.96</v>
      </c>
      <c r="W2177" s="182" t="n">
        <v>0</v>
      </c>
      <c r="X2177" s="182" t="n">
        <v>1.01</v>
      </c>
      <c r="Y2177" s="182" t="n">
        <v>0</v>
      </c>
      <c r="Z2177" s="182" t="n">
        <v>0</v>
      </c>
      <c r="AA2177" s="182" t="n">
        <v>0</v>
      </c>
      <c r="AB2177" s="182" t="n">
        <v>0</v>
      </c>
      <c r="AC2177" s="182" t="n">
        <v>0</v>
      </c>
      <c r="AD2177" s="182" t="n">
        <v>0</v>
      </c>
      <c r="AE2177" s="182" t="n">
        <v>0</v>
      </c>
      <c r="AF2177" s="182" t="n">
        <v>0</v>
      </c>
      <c r="AG2177" s="182" t="n">
        <v>0</v>
      </c>
      <c r="AH2177" s="182" t="n">
        <v>0</v>
      </c>
      <c r="AI2177" s="182" t="n">
        <v>0</v>
      </c>
      <c r="AJ2177" s="182" t="n">
        <v>0</v>
      </c>
      <c r="AK2177" s="182" t="n">
        <v>0</v>
      </c>
      <c r="AL2177" s="182" t="n">
        <v>0</v>
      </c>
      <c r="AM2177" s="182" t="n">
        <v>0.08</v>
      </c>
      <c r="AN2177" s="182" t="n">
        <v>0</v>
      </c>
    </row>
    <row r="2178">
      <c r="A2178" s="155" t="n">
        <v>46091</v>
      </c>
      <c r="B2178" s="156" t="inlineStr">
        <is>
          <t>NS</t>
        </is>
      </c>
      <c r="C2178" s="156" t="inlineStr">
        <is>
          <t>DT-516</t>
        </is>
      </c>
      <c r="D2178" s="156" t="inlineStr">
        <is>
          <t>SKT 105S</t>
        </is>
      </c>
      <c r="E2178" s="156" t="inlineStr">
        <is>
          <t>Hauler</t>
        </is>
      </c>
      <c r="F2178" s="156" t="inlineStr">
        <is>
          <t>Hauling OB</t>
        </is>
      </c>
      <c r="G2178" s="182" t="n">
        <v>2.14</v>
      </c>
      <c r="H2178" s="182" t="n">
        <v>0</v>
      </c>
      <c r="I2178" s="182" t="n">
        <v>0</v>
      </c>
      <c r="J2178" s="182" t="n">
        <v>0</v>
      </c>
      <c r="K2178" s="182" t="n">
        <v>9.859999999999999</v>
      </c>
      <c r="L2178" s="182" t="n">
        <v>12</v>
      </c>
      <c r="M2178" s="182" t="n">
        <v>2.14</v>
      </c>
      <c r="N2178" s="182" t="n">
        <v>0</v>
      </c>
      <c r="O2178" s="183" t="n">
        <v>7</v>
      </c>
      <c r="P2178" s="183" t="n">
        <v>0</v>
      </c>
      <c r="Q2178" s="184" t="n">
        <v>142.8</v>
      </c>
      <c r="R2178" s="184" t="n">
        <v>0</v>
      </c>
      <c r="S2178" s="183" t="n">
        <v>0</v>
      </c>
      <c r="T2178" s="183" t="n">
        <v>0</v>
      </c>
      <c r="U2178" s="182" t="n">
        <v>0</v>
      </c>
      <c r="V2178" s="182" t="n">
        <v>2.26</v>
      </c>
      <c r="W2178" s="182" t="n">
        <v>0</v>
      </c>
      <c r="X2178" s="182" t="n">
        <v>1.01</v>
      </c>
      <c r="Y2178" s="182" t="n">
        <v>0</v>
      </c>
      <c r="Z2178" s="182" t="n">
        <v>0</v>
      </c>
      <c r="AA2178" s="182" t="n">
        <v>0</v>
      </c>
      <c r="AB2178" s="182" t="n">
        <v>0</v>
      </c>
      <c r="AC2178" s="182" t="n">
        <v>0</v>
      </c>
      <c r="AD2178" s="182" t="n">
        <v>0</v>
      </c>
      <c r="AE2178" s="182" t="n">
        <v>0</v>
      </c>
      <c r="AF2178" s="182" t="n">
        <v>0</v>
      </c>
      <c r="AG2178" s="182" t="n">
        <v>0</v>
      </c>
      <c r="AH2178" s="182" t="n">
        <v>0</v>
      </c>
      <c r="AI2178" s="182" t="n">
        <v>0</v>
      </c>
      <c r="AJ2178" s="182" t="n">
        <v>0</v>
      </c>
      <c r="AK2178" s="182" t="n">
        <v>6.51</v>
      </c>
      <c r="AL2178" s="182" t="n">
        <v>0</v>
      </c>
      <c r="AM2178" s="182" t="n">
        <v>0.08</v>
      </c>
      <c r="AN2178" s="182" t="n">
        <v>0</v>
      </c>
    </row>
    <row r="2179">
      <c r="A2179" s="155" t="n">
        <v>46091</v>
      </c>
      <c r="B2179" s="156" t="inlineStr">
        <is>
          <t>NS</t>
        </is>
      </c>
      <c r="C2179" s="156" t="inlineStr">
        <is>
          <t>DT-506</t>
        </is>
      </c>
      <c r="D2179" s="156" t="inlineStr">
        <is>
          <t>SKT 105S</t>
        </is>
      </c>
      <c r="E2179" s="156" t="inlineStr">
        <is>
          <t>Hauler</t>
        </is>
      </c>
      <c r="F2179" s="156" t="inlineStr">
        <is>
          <t>Hauling OB</t>
        </is>
      </c>
      <c r="G2179" s="182" t="n">
        <v>3.61</v>
      </c>
      <c r="H2179" s="182" t="n">
        <v>0</v>
      </c>
      <c r="I2179" s="182" t="n">
        <v>0</v>
      </c>
      <c r="J2179" s="182" t="n">
        <v>0</v>
      </c>
      <c r="K2179" s="182" t="n">
        <v>8.390000000000001</v>
      </c>
      <c r="L2179" s="182" t="n">
        <v>12</v>
      </c>
      <c r="M2179" s="182" t="n">
        <v>3.61</v>
      </c>
      <c r="N2179" s="182" t="n">
        <v>0</v>
      </c>
      <c r="O2179" s="183" t="n">
        <v>16</v>
      </c>
      <c r="P2179" s="183" t="n">
        <v>0</v>
      </c>
      <c r="Q2179" s="184" t="n">
        <v>326.4</v>
      </c>
      <c r="R2179" s="184" t="n">
        <v>0</v>
      </c>
      <c r="S2179" s="183" t="n">
        <v>0</v>
      </c>
      <c r="T2179" s="183" t="n">
        <v>0</v>
      </c>
      <c r="U2179" s="182" t="n">
        <v>0</v>
      </c>
      <c r="V2179" s="182" t="n">
        <v>2.3</v>
      </c>
      <c r="W2179" s="182" t="n">
        <v>0</v>
      </c>
      <c r="X2179" s="182" t="n">
        <v>1.02</v>
      </c>
      <c r="Y2179" s="182" t="n">
        <v>0</v>
      </c>
      <c r="Z2179" s="182" t="n">
        <v>0</v>
      </c>
      <c r="AA2179" s="182" t="n">
        <v>0</v>
      </c>
      <c r="AB2179" s="182" t="n">
        <v>0</v>
      </c>
      <c r="AC2179" s="182" t="n">
        <v>0</v>
      </c>
      <c r="AD2179" s="182" t="n">
        <v>0</v>
      </c>
      <c r="AE2179" s="182" t="n">
        <v>0</v>
      </c>
      <c r="AF2179" s="182" t="n">
        <v>0</v>
      </c>
      <c r="AG2179" s="182" t="n">
        <v>0</v>
      </c>
      <c r="AH2179" s="182" t="n">
        <v>0</v>
      </c>
      <c r="AI2179" s="182" t="n">
        <v>0</v>
      </c>
      <c r="AJ2179" s="182" t="n">
        <v>0</v>
      </c>
      <c r="AK2179" s="182" t="n">
        <v>4.98</v>
      </c>
      <c r="AL2179" s="182" t="n">
        <v>0</v>
      </c>
      <c r="AM2179" s="182" t="n">
        <v>0.08</v>
      </c>
      <c r="AN2179" s="182" t="n">
        <v>0</v>
      </c>
    </row>
    <row r="2180">
      <c r="A2180" s="155" t="n">
        <v>46091</v>
      </c>
      <c r="B2180" s="156" t="inlineStr">
        <is>
          <t>NS</t>
        </is>
      </c>
      <c r="C2180" s="156" t="inlineStr">
        <is>
          <t>DT-502</t>
        </is>
      </c>
      <c r="D2180" s="156" t="inlineStr">
        <is>
          <t>SKT 105S</t>
        </is>
      </c>
      <c r="E2180" s="156" t="inlineStr">
        <is>
          <t>Hauler</t>
        </is>
      </c>
      <c r="F2180" s="156" t="inlineStr">
        <is>
          <t>Hauling OB</t>
        </is>
      </c>
      <c r="G2180" s="182" t="n">
        <v>4.22</v>
      </c>
      <c r="H2180" s="182" t="n">
        <v>0</v>
      </c>
      <c r="I2180" s="182" t="n">
        <v>0</v>
      </c>
      <c r="J2180" s="182" t="n">
        <v>0</v>
      </c>
      <c r="K2180" s="182" t="n">
        <v>7.78</v>
      </c>
      <c r="L2180" s="182" t="n">
        <v>12</v>
      </c>
      <c r="M2180" s="182" t="n">
        <v>4.22</v>
      </c>
      <c r="N2180" s="182" t="n">
        <v>0</v>
      </c>
      <c r="O2180" s="183" t="n">
        <v>17</v>
      </c>
      <c r="P2180" s="183" t="n">
        <v>0</v>
      </c>
      <c r="Q2180" s="184" t="n">
        <v>346.8</v>
      </c>
      <c r="R2180" s="184" t="n">
        <v>0</v>
      </c>
      <c r="S2180" s="183" t="n">
        <v>0</v>
      </c>
      <c r="T2180" s="183" t="n">
        <v>0</v>
      </c>
      <c r="U2180" s="182" t="n">
        <v>0</v>
      </c>
      <c r="V2180" s="182" t="n">
        <v>2.19</v>
      </c>
      <c r="W2180" s="182" t="n">
        <v>0</v>
      </c>
      <c r="X2180" s="182" t="n">
        <v>0.97</v>
      </c>
      <c r="Y2180" s="182" t="n">
        <v>0</v>
      </c>
      <c r="Z2180" s="182" t="n">
        <v>0</v>
      </c>
      <c r="AA2180" s="182" t="n">
        <v>0</v>
      </c>
      <c r="AB2180" s="182" t="n">
        <v>0</v>
      </c>
      <c r="AC2180" s="182" t="n">
        <v>0</v>
      </c>
      <c r="AD2180" s="182" t="n">
        <v>0</v>
      </c>
      <c r="AE2180" s="182" t="n">
        <v>0</v>
      </c>
      <c r="AF2180" s="182" t="n">
        <v>0</v>
      </c>
      <c r="AG2180" s="182" t="n">
        <v>0</v>
      </c>
      <c r="AH2180" s="182" t="n">
        <v>0</v>
      </c>
      <c r="AI2180" s="182" t="n">
        <v>0</v>
      </c>
      <c r="AJ2180" s="182" t="n">
        <v>0</v>
      </c>
      <c r="AK2180" s="182" t="n">
        <v>4.54</v>
      </c>
      <c r="AL2180" s="182" t="n">
        <v>0</v>
      </c>
      <c r="AM2180" s="182" t="n">
        <v>0.08</v>
      </c>
      <c r="AN2180" s="182" t="n">
        <v>0</v>
      </c>
    </row>
    <row r="2181">
      <c r="A2181" s="155" t="n">
        <v>46091</v>
      </c>
      <c r="B2181" s="156" t="inlineStr">
        <is>
          <t>NS</t>
        </is>
      </c>
      <c r="C2181" s="156" t="inlineStr">
        <is>
          <t>DT-528</t>
        </is>
      </c>
      <c r="D2181" s="156" t="inlineStr">
        <is>
          <t>SKT 105S</t>
        </is>
      </c>
      <c r="E2181" s="156" t="inlineStr">
        <is>
          <t>Hauler</t>
        </is>
      </c>
      <c r="F2181" s="156" t="inlineStr">
        <is>
          <t>Hauling OB</t>
        </is>
      </c>
      <c r="G2181" s="182" t="n">
        <v>4.33</v>
      </c>
      <c r="H2181" s="182" t="n">
        <v>0</v>
      </c>
      <c r="I2181" s="182" t="n">
        <v>0</v>
      </c>
      <c r="J2181" s="182" t="n">
        <v>0</v>
      </c>
      <c r="K2181" s="182" t="n">
        <v>7.67</v>
      </c>
      <c r="L2181" s="182" t="n">
        <v>12</v>
      </c>
      <c r="M2181" s="182" t="n">
        <v>4.33</v>
      </c>
      <c r="N2181" s="182" t="n">
        <v>0</v>
      </c>
      <c r="O2181" s="183" t="n">
        <v>15</v>
      </c>
      <c r="P2181" s="183" t="n">
        <v>0</v>
      </c>
      <c r="Q2181" s="184" t="n">
        <v>306</v>
      </c>
      <c r="R2181" s="184" t="n">
        <v>0</v>
      </c>
      <c r="S2181" s="183" t="n">
        <v>0</v>
      </c>
      <c r="T2181" s="183" t="n">
        <v>0</v>
      </c>
      <c r="U2181" s="182" t="n">
        <v>0</v>
      </c>
      <c r="V2181" s="182" t="n">
        <v>0.74</v>
      </c>
      <c r="W2181" s="182" t="n">
        <v>0</v>
      </c>
      <c r="X2181" s="182" t="n">
        <v>1.01</v>
      </c>
      <c r="Y2181" s="182" t="n">
        <v>0</v>
      </c>
      <c r="Z2181" s="182" t="n">
        <v>0</v>
      </c>
      <c r="AA2181" s="182" t="n">
        <v>0</v>
      </c>
      <c r="AB2181" s="182" t="n">
        <v>0</v>
      </c>
      <c r="AC2181" s="182" t="n">
        <v>0</v>
      </c>
      <c r="AD2181" s="182" t="n">
        <v>0</v>
      </c>
      <c r="AE2181" s="182" t="n">
        <v>0</v>
      </c>
      <c r="AF2181" s="182" t="n">
        <v>0</v>
      </c>
      <c r="AG2181" s="182" t="n">
        <v>0</v>
      </c>
      <c r="AH2181" s="182" t="n">
        <v>0</v>
      </c>
      <c r="AI2181" s="182" t="n">
        <v>5.83</v>
      </c>
      <c r="AJ2181" s="182" t="n">
        <v>0</v>
      </c>
      <c r="AK2181" s="182" t="n">
        <v>0</v>
      </c>
      <c r="AL2181" s="182" t="n">
        <v>0</v>
      </c>
      <c r="AM2181" s="182" t="n">
        <v>0.08</v>
      </c>
      <c r="AN2181" s="182" t="n">
        <v>0</v>
      </c>
    </row>
    <row r="2182">
      <c r="A2182" s="155" t="n">
        <v>46091</v>
      </c>
      <c r="B2182" s="156" t="inlineStr">
        <is>
          <t>NS</t>
        </is>
      </c>
      <c r="C2182" s="156" t="inlineStr">
        <is>
          <t>DT-529</t>
        </is>
      </c>
      <c r="D2182" s="156" t="inlineStr">
        <is>
          <t>SKT 105S</t>
        </is>
      </c>
      <c r="E2182" s="156" t="inlineStr">
        <is>
          <t>Hauler</t>
        </is>
      </c>
      <c r="F2182" s="156" t="inlineStr">
        <is>
          <t>Hauling OB</t>
        </is>
      </c>
      <c r="G2182" s="182" t="n">
        <v>4.64</v>
      </c>
      <c r="H2182" s="182" t="n">
        <v>0</v>
      </c>
      <c r="I2182" s="182" t="n">
        <v>0</v>
      </c>
      <c r="J2182" s="182" t="n">
        <v>0</v>
      </c>
      <c r="K2182" s="182" t="n">
        <v>7.36</v>
      </c>
      <c r="L2182" s="182" t="n">
        <v>12</v>
      </c>
      <c r="M2182" s="182" t="n">
        <v>4.64</v>
      </c>
      <c r="N2182" s="182" t="n">
        <v>0</v>
      </c>
      <c r="O2182" s="183" t="n">
        <v>18</v>
      </c>
      <c r="P2182" s="183" t="n">
        <v>0</v>
      </c>
      <c r="Q2182" s="184" t="n">
        <v>367.2</v>
      </c>
      <c r="R2182" s="184" t="n">
        <v>0</v>
      </c>
      <c r="S2182" s="183" t="n">
        <v>0</v>
      </c>
      <c r="T2182" s="183" t="n">
        <v>0</v>
      </c>
      <c r="U2182" s="182" t="n">
        <v>0</v>
      </c>
      <c r="V2182" s="182" t="n">
        <v>2.18</v>
      </c>
      <c r="W2182" s="182" t="n">
        <v>0</v>
      </c>
      <c r="X2182" s="182" t="n">
        <v>0.97</v>
      </c>
      <c r="Y2182" s="182" t="n">
        <v>0</v>
      </c>
      <c r="Z2182" s="182" t="n">
        <v>0</v>
      </c>
      <c r="AA2182" s="182" t="n">
        <v>0</v>
      </c>
      <c r="AB2182" s="182" t="n">
        <v>0</v>
      </c>
      <c r="AC2182" s="182" t="n">
        <v>0</v>
      </c>
      <c r="AD2182" s="182" t="n">
        <v>0</v>
      </c>
      <c r="AE2182" s="182" t="n">
        <v>0</v>
      </c>
      <c r="AF2182" s="182" t="n">
        <v>0</v>
      </c>
      <c r="AG2182" s="182" t="n">
        <v>0</v>
      </c>
      <c r="AH2182" s="182" t="n">
        <v>0</v>
      </c>
      <c r="AI2182" s="182" t="n">
        <v>0</v>
      </c>
      <c r="AJ2182" s="182" t="n">
        <v>0</v>
      </c>
      <c r="AK2182" s="182" t="n">
        <v>4.14</v>
      </c>
      <c r="AL2182" s="182" t="n">
        <v>0</v>
      </c>
      <c r="AM2182" s="182" t="n">
        <v>0.08</v>
      </c>
      <c r="AN2182" s="182" t="n">
        <v>0</v>
      </c>
    </row>
    <row r="2183">
      <c r="A2183" s="155" t="n">
        <v>46091</v>
      </c>
      <c r="B2183" s="156" t="inlineStr">
        <is>
          <t>NS</t>
        </is>
      </c>
      <c r="C2183" s="156" t="inlineStr">
        <is>
          <t>DT-520</t>
        </is>
      </c>
      <c r="D2183" s="156" t="inlineStr">
        <is>
          <t>SKT 105S</t>
        </is>
      </c>
      <c r="E2183" s="156" t="inlineStr">
        <is>
          <t>Hauler</t>
        </is>
      </c>
      <c r="F2183" s="156" t="inlineStr">
        <is>
          <t>Hauling OB</t>
        </is>
      </c>
      <c r="G2183" s="182" t="n">
        <v>1.88</v>
      </c>
      <c r="H2183" s="182" t="n">
        <v>0</v>
      </c>
      <c r="I2183" s="182" t="n">
        <v>1.62</v>
      </c>
      <c r="J2183" s="182" t="n">
        <v>1.62</v>
      </c>
      <c r="K2183" s="182" t="n">
        <v>8.5</v>
      </c>
      <c r="L2183" s="182" t="n">
        <v>12</v>
      </c>
      <c r="M2183" s="182" t="n">
        <v>1.88</v>
      </c>
      <c r="N2183" s="182" t="n">
        <v>0</v>
      </c>
      <c r="O2183" s="183" t="n">
        <v>8</v>
      </c>
      <c r="P2183" s="183" t="n">
        <v>0</v>
      </c>
      <c r="Q2183" s="184" t="n">
        <v>163.2</v>
      </c>
      <c r="R2183" s="184" t="n">
        <v>0</v>
      </c>
      <c r="S2183" s="183" t="n">
        <v>0</v>
      </c>
      <c r="T2183" s="183" t="n">
        <v>0</v>
      </c>
      <c r="U2183" s="182" t="n">
        <v>0</v>
      </c>
      <c r="V2183" s="182" t="n">
        <v>2.28</v>
      </c>
      <c r="W2183" s="182" t="n">
        <v>0</v>
      </c>
      <c r="X2183" s="182" t="n">
        <v>1.01</v>
      </c>
      <c r="Y2183" s="182" t="n">
        <v>0</v>
      </c>
      <c r="Z2183" s="182" t="n">
        <v>0</v>
      </c>
      <c r="AA2183" s="182" t="n">
        <v>0</v>
      </c>
      <c r="AB2183" s="182" t="n">
        <v>0</v>
      </c>
      <c r="AC2183" s="182" t="n">
        <v>0</v>
      </c>
      <c r="AD2183" s="182" t="n">
        <v>0</v>
      </c>
      <c r="AE2183" s="182" t="n">
        <v>0</v>
      </c>
      <c r="AF2183" s="182" t="n">
        <v>0</v>
      </c>
      <c r="AG2183" s="182" t="n">
        <v>0</v>
      </c>
      <c r="AH2183" s="182" t="n">
        <v>0</v>
      </c>
      <c r="AI2183" s="182" t="n">
        <v>5.12</v>
      </c>
      <c r="AJ2183" s="182" t="n">
        <v>0</v>
      </c>
      <c r="AK2183" s="182" t="n">
        <v>0</v>
      </c>
      <c r="AL2183" s="182" t="n">
        <v>0</v>
      </c>
      <c r="AM2183" s="182" t="n">
        <v>0.08</v>
      </c>
      <c r="AN2183" s="182" t="n">
        <v>0</v>
      </c>
    </row>
    <row r="2184">
      <c r="A2184" s="155" t="n">
        <v>46091</v>
      </c>
      <c r="B2184" s="156" t="inlineStr">
        <is>
          <t>NS</t>
        </is>
      </c>
      <c r="C2184" s="156" t="inlineStr">
        <is>
          <t>DT-511</t>
        </is>
      </c>
      <c r="D2184" s="156" t="inlineStr">
        <is>
          <t>SKT 105S</t>
        </is>
      </c>
      <c r="E2184" s="156" t="inlineStr">
        <is>
          <t>Hauler</t>
        </is>
      </c>
      <c r="F2184" s="156" t="inlineStr"/>
      <c r="G2184" s="182" t="n">
        <v>0</v>
      </c>
      <c r="H2184" s="182" t="n">
        <v>0</v>
      </c>
      <c r="I2184" s="182" t="n">
        <v>12</v>
      </c>
      <c r="J2184" s="182" t="n">
        <v>12</v>
      </c>
      <c r="K2184" s="182" t="n">
        <v>0</v>
      </c>
      <c r="L2184" s="182" t="n">
        <v>12</v>
      </c>
      <c r="M2184" s="182" t="n">
        <v>0</v>
      </c>
      <c r="N2184" s="182" t="n">
        <v>0</v>
      </c>
      <c r="O2184" s="183" t="n">
        <v>0</v>
      </c>
      <c r="P2184" s="183" t="n">
        <v>0</v>
      </c>
      <c r="Q2184" s="184" t="n">
        <v>0</v>
      </c>
      <c r="R2184" s="184" t="n">
        <v>0</v>
      </c>
      <c r="S2184" s="183" t="n">
        <v>0</v>
      </c>
      <c r="T2184" s="183" t="n">
        <v>0</v>
      </c>
      <c r="U2184" s="182" t="n">
        <v>0</v>
      </c>
      <c r="V2184" s="182" t="n">
        <v>0</v>
      </c>
      <c r="W2184" s="182" t="n">
        <v>0</v>
      </c>
      <c r="X2184" s="182" t="n">
        <v>0</v>
      </c>
      <c r="Y2184" s="182" t="n">
        <v>0</v>
      </c>
      <c r="Z2184" s="182" t="n">
        <v>0</v>
      </c>
      <c r="AA2184" s="182" t="n">
        <v>0</v>
      </c>
      <c r="AB2184" s="182" t="n">
        <v>0</v>
      </c>
      <c r="AC2184" s="182" t="n">
        <v>0</v>
      </c>
      <c r="AD2184" s="182" t="n">
        <v>0</v>
      </c>
      <c r="AE2184" s="182" t="n">
        <v>0</v>
      </c>
      <c r="AF2184" s="182" t="n">
        <v>0</v>
      </c>
      <c r="AG2184" s="182" t="n">
        <v>0</v>
      </c>
      <c r="AH2184" s="182" t="n">
        <v>0</v>
      </c>
      <c r="AI2184" s="182" t="n">
        <v>0</v>
      </c>
      <c r="AJ2184" s="182" t="n">
        <v>0</v>
      </c>
      <c r="AK2184" s="182" t="n">
        <v>0</v>
      </c>
      <c r="AL2184" s="182" t="n">
        <v>0</v>
      </c>
      <c r="AM2184" s="182" t="n">
        <v>0</v>
      </c>
      <c r="AN2184" s="182" t="n">
        <v>0</v>
      </c>
    </row>
    <row r="2185">
      <c r="A2185" s="155" t="n">
        <v>46091</v>
      </c>
      <c r="B2185" s="156" t="inlineStr">
        <is>
          <t>NS</t>
        </is>
      </c>
      <c r="C2185" s="156" t="inlineStr">
        <is>
          <t>DT-509</t>
        </is>
      </c>
      <c r="D2185" s="156" t="inlineStr">
        <is>
          <t>SKT 105S</t>
        </is>
      </c>
      <c r="E2185" s="156" t="inlineStr">
        <is>
          <t>Hauler</t>
        </is>
      </c>
      <c r="F2185" s="156" t="inlineStr"/>
      <c r="G2185" s="182" t="n">
        <v>0</v>
      </c>
      <c r="H2185" s="182" t="n">
        <v>0</v>
      </c>
      <c r="I2185" s="182" t="n">
        <v>12</v>
      </c>
      <c r="J2185" s="182" t="n">
        <v>12</v>
      </c>
      <c r="K2185" s="182" t="n">
        <v>0</v>
      </c>
      <c r="L2185" s="182" t="n">
        <v>12</v>
      </c>
      <c r="M2185" s="182" t="n">
        <v>0</v>
      </c>
      <c r="N2185" s="182" t="n">
        <v>0</v>
      </c>
      <c r="O2185" s="183" t="n">
        <v>0</v>
      </c>
      <c r="P2185" s="183" t="n">
        <v>0</v>
      </c>
      <c r="Q2185" s="184" t="n">
        <v>0</v>
      </c>
      <c r="R2185" s="184" t="n">
        <v>0</v>
      </c>
      <c r="S2185" s="183" t="n">
        <v>0</v>
      </c>
      <c r="T2185" s="183" t="n">
        <v>0</v>
      </c>
      <c r="U2185" s="182" t="n">
        <v>0</v>
      </c>
      <c r="V2185" s="182" t="n">
        <v>0</v>
      </c>
      <c r="W2185" s="182" t="n">
        <v>0</v>
      </c>
      <c r="X2185" s="182" t="n">
        <v>0</v>
      </c>
      <c r="Y2185" s="182" t="n">
        <v>0</v>
      </c>
      <c r="Z2185" s="182" t="n">
        <v>0</v>
      </c>
      <c r="AA2185" s="182" t="n">
        <v>0</v>
      </c>
      <c r="AB2185" s="182" t="n">
        <v>0</v>
      </c>
      <c r="AC2185" s="182" t="n">
        <v>0</v>
      </c>
      <c r="AD2185" s="182" t="n">
        <v>0</v>
      </c>
      <c r="AE2185" s="182" t="n">
        <v>0</v>
      </c>
      <c r="AF2185" s="182" t="n">
        <v>0</v>
      </c>
      <c r="AG2185" s="182" t="n">
        <v>0</v>
      </c>
      <c r="AH2185" s="182" t="n">
        <v>0</v>
      </c>
      <c r="AI2185" s="182" t="n">
        <v>0</v>
      </c>
      <c r="AJ2185" s="182" t="n">
        <v>0</v>
      </c>
      <c r="AK2185" s="182" t="n">
        <v>0</v>
      </c>
      <c r="AL2185" s="182" t="n">
        <v>0</v>
      </c>
      <c r="AM2185" s="182" t="n">
        <v>0</v>
      </c>
      <c r="AN2185" s="182" t="n">
        <v>0</v>
      </c>
    </row>
    <row r="2186">
      <c r="A2186" s="155" t="n">
        <v>46091</v>
      </c>
      <c r="B2186" s="156" t="inlineStr">
        <is>
          <t>NS</t>
        </is>
      </c>
      <c r="C2186" s="156" t="inlineStr">
        <is>
          <t>DT-526</t>
        </is>
      </c>
      <c r="D2186" s="156" t="inlineStr">
        <is>
          <t>SKT 105S</t>
        </is>
      </c>
      <c r="E2186" s="156" t="inlineStr">
        <is>
          <t>Hauler</t>
        </is>
      </c>
      <c r="F2186" s="156" t="inlineStr"/>
      <c r="G2186" s="182" t="n">
        <v>0</v>
      </c>
      <c r="H2186" s="182" t="n">
        <v>0</v>
      </c>
      <c r="I2186" s="182" t="n">
        <v>12</v>
      </c>
      <c r="J2186" s="182" t="n">
        <v>12</v>
      </c>
      <c r="K2186" s="182" t="n">
        <v>0</v>
      </c>
      <c r="L2186" s="182" t="n">
        <v>12</v>
      </c>
      <c r="M2186" s="182" t="n">
        <v>0</v>
      </c>
      <c r="N2186" s="182" t="n">
        <v>0</v>
      </c>
      <c r="O2186" s="183" t="n">
        <v>0</v>
      </c>
      <c r="P2186" s="183" t="n">
        <v>0</v>
      </c>
      <c r="Q2186" s="184" t="n">
        <v>0</v>
      </c>
      <c r="R2186" s="184" t="n">
        <v>0</v>
      </c>
      <c r="S2186" s="183" t="n">
        <v>0</v>
      </c>
      <c r="T2186" s="183" t="n">
        <v>0</v>
      </c>
      <c r="U2186" s="182" t="n">
        <v>0</v>
      </c>
      <c r="V2186" s="182" t="n">
        <v>0</v>
      </c>
      <c r="W2186" s="182" t="n">
        <v>0</v>
      </c>
      <c r="X2186" s="182" t="n">
        <v>0</v>
      </c>
      <c r="Y2186" s="182" t="n">
        <v>0</v>
      </c>
      <c r="Z2186" s="182" t="n">
        <v>0</v>
      </c>
      <c r="AA2186" s="182" t="n">
        <v>0</v>
      </c>
      <c r="AB2186" s="182" t="n">
        <v>0</v>
      </c>
      <c r="AC2186" s="182" t="n">
        <v>0</v>
      </c>
      <c r="AD2186" s="182" t="n">
        <v>0</v>
      </c>
      <c r="AE2186" s="182" t="n">
        <v>0</v>
      </c>
      <c r="AF2186" s="182" t="n">
        <v>0</v>
      </c>
      <c r="AG2186" s="182" t="n">
        <v>0</v>
      </c>
      <c r="AH2186" s="182" t="n">
        <v>0</v>
      </c>
      <c r="AI2186" s="182" t="n">
        <v>0</v>
      </c>
      <c r="AJ2186" s="182" t="n">
        <v>0</v>
      </c>
      <c r="AK2186" s="182" t="n">
        <v>0</v>
      </c>
      <c r="AL2186" s="182" t="n">
        <v>0</v>
      </c>
      <c r="AM2186" s="182" t="n">
        <v>0</v>
      </c>
      <c r="AN2186" s="182" t="n">
        <v>0</v>
      </c>
    </row>
    <row r="2187">
      <c r="A2187" s="155" t="n">
        <v>46091</v>
      </c>
      <c r="B2187" s="156" t="inlineStr">
        <is>
          <t>NS</t>
        </is>
      </c>
      <c r="C2187" s="156" t="inlineStr">
        <is>
          <t>DT-508</t>
        </is>
      </c>
      <c r="D2187" s="156" t="inlineStr">
        <is>
          <t>SKT 105S</t>
        </is>
      </c>
      <c r="E2187" s="156" t="inlineStr">
        <is>
          <t>Hauler</t>
        </is>
      </c>
      <c r="F2187" s="156" t="inlineStr">
        <is>
          <t>Hauling OB</t>
        </is>
      </c>
      <c r="G2187" s="182" t="n">
        <v>8.85</v>
      </c>
      <c r="H2187" s="182" t="n">
        <v>0</v>
      </c>
      <c r="I2187" s="182" t="n">
        <v>0</v>
      </c>
      <c r="J2187" s="182" t="n">
        <v>0</v>
      </c>
      <c r="K2187" s="182" t="n">
        <v>3.15</v>
      </c>
      <c r="L2187" s="182" t="n">
        <v>12</v>
      </c>
      <c r="M2187" s="182" t="n">
        <v>8.85</v>
      </c>
      <c r="N2187" s="182" t="n">
        <v>0</v>
      </c>
      <c r="O2187" s="183" t="n">
        <v>39</v>
      </c>
      <c r="P2187" s="183" t="n">
        <v>0</v>
      </c>
      <c r="Q2187" s="184" t="n">
        <v>795.6</v>
      </c>
      <c r="R2187" s="184" t="n">
        <v>0</v>
      </c>
      <c r="S2187" s="183" t="n">
        <v>0</v>
      </c>
      <c r="T2187" s="183" t="n">
        <v>0</v>
      </c>
      <c r="U2187" s="182" t="n">
        <v>0</v>
      </c>
      <c r="V2187" s="182" t="n">
        <v>0.82</v>
      </c>
      <c r="W2187" s="182" t="n">
        <v>0</v>
      </c>
      <c r="X2187" s="182" t="n">
        <v>1.12</v>
      </c>
      <c r="Y2187" s="182" t="n">
        <v>0</v>
      </c>
      <c r="Z2187" s="182" t="n">
        <v>0</v>
      </c>
      <c r="AA2187" s="182" t="n">
        <v>0</v>
      </c>
      <c r="AB2187" s="182" t="n">
        <v>0</v>
      </c>
      <c r="AC2187" s="182" t="n">
        <v>0</v>
      </c>
      <c r="AD2187" s="182" t="n">
        <v>0</v>
      </c>
      <c r="AE2187" s="182" t="n">
        <v>0</v>
      </c>
      <c r="AF2187" s="182" t="n">
        <v>0</v>
      </c>
      <c r="AG2187" s="182" t="n">
        <v>0</v>
      </c>
      <c r="AH2187" s="182" t="n">
        <v>0</v>
      </c>
      <c r="AI2187" s="182" t="n">
        <v>1.1</v>
      </c>
      <c r="AJ2187" s="182" t="n">
        <v>0</v>
      </c>
      <c r="AK2187" s="182" t="n">
        <v>0</v>
      </c>
      <c r="AL2187" s="182" t="n">
        <v>0</v>
      </c>
      <c r="AM2187" s="182" t="n">
        <v>0.09</v>
      </c>
      <c r="AN2187" s="182" t="n">
        <v>0</v>
      </c>
    </row>
    <row r="2188">
      <c r="A2188" s="155" t="n">
        <v>46091</v>
      </c>
      <c r="B2188" s="156" t="inlineStr">
        <is>
          <t>NS</t>
        </is>
      </c>
      <c r="C2188" s="156" t="inlineStr">
        <is>
          <t>DT-515</t>
        </is>
      </c>
      <c r="D2188" s="156" t="inlineStr">
        <is>
          <t>SKT 105S</t>
        </is>
      </c>
      <c r="E2188" s="156" t="inlineStr">
        <is>
          <t>Hauler</t>
        </is>
      </c>
      <c r="F2188" s="156" t="inlineStr">
        <is>
          <t>Hauling OB</t>
        </is>
      </c>
      <c r="G2188" s="182" t="n">
        <v>4.48</v>
      </c>
      <c r="H2188" s="182" t="n">
        <v>0</v>
      </c>
      <c r="I2188" s="182" t="n">
        <v>0</v>
      </c>
      <c r="J2188" s="182" t="n">
        <v>0</v>
      </c>
      <c r="K2188" s="182" t="n">
        <v>7.52</v>
      </c>
      <c r="L2188" s="182" t="n">
        <v>12</v>
      </c>
      <c r="M2188" s="182" t="n">
        <v>4.48</v>
      </c>
      <c r="N2188" s="182" t="n">
        <v>0</v>
      </c>
      <c r="O2188" s="183" t="n">
        <v>17</v>
      </c>
      <c r="P2188" s="183" t="n">
        <v>0</v>
      </c>
      <c r="Q2188" s="184" t="n">
        <v>346.8</v>
      </c>
      <c r="R2188" s="184" t="n">
        <v>0</v>
      </c>
      <c r="S2188" s="183" t="n">
        <v>0</v>
      </c>
      <c r="T2188" s="183" t="n">
        <v>0</v>
      </c>
      <c r="U2188" s="182" t="n">
        <v>0</v>
      </c>
      <c r="V2188" s="182" t="n">
        <v>0.73</v>
      </c>
      <c r="W2188" s="182" t="n">
        <v>0</v>
      </c>
      <c r="X2188" s="182" t="n">
        <v>1</v>
      </c>
      <c r="Y2188" s="182" t="n">
        <v>0</v>
      </c>
      <c r="Z2188" s="182" t="n">
        <v>0</v>
      </c>
      <c r="AA2188" s="182" t="n">
        <v>0</v>
      </c>
      <c r="AB2188" s="182" t="n">
        <v>0</v>
      </c>
      <c r="AC2188" s="182" t="n">
        <v>0</v>
      </c>
      <c r="AD2188" s="182" t="n">
        <v>0</v>
      </c>
      <c r="AE2188" s="182" t="n">
        <v>0</v>
      </c>
      <c r="AF2188" s="182" t="n">
        <v>0</v>
      </c>
      <c r="AG2188" s="182" t="n">
        <v>0</v>
      </c>
      <c r="AH2188" s="182" t="n">
        <v>0</v>
      </c>
      <c r="AI2188" s="182" t="n">
        <v>5.7</v>
      </c>
      <c r="AJ2188" s="182" t="n">
        <v>0</v>
      </c>
      <c r="AK2188" s="182" t="n">
        <v>0</v>
      </c>
      <c r="AL2188" s="182" t="n">
        <v>0</v>
      </c>
      <c r="AM2188" s="182" t="n">
        <v>0.08</v>
      </c>
      <c r="AN2188" s="182" t="n">
        <v>0</v>
      </c>
    </row>
    <row r="2189">
      <c r="A2189" s="155" t="n">
        <v>46091</v>
      </c>
      <c r="B2189" s="156" t="inlineStr">
        <is>
          <t>NS</t>
        </is>
      </c>
      <c r="C2189" s="156" t="inlineStr">
        <is>
          <t>DT-524</t>
        </is>
      </c>
      <c r="D2189" s="156" t="inlineStr">
        <is>
          <t>SKT 105S</t>
        </is>
      </c>
      <c r="E2189" s="156" t="inlineStr">
        <is>
          <t>Hauler</t>
        </is>
      </c>
      <c r="F2189" s="156" t="inlineStr">
        <is>
          <t>Travel ke WS</t>
        </is>
      </c>
      <c r="G2189" s="182" t="n">
        <v>0.7</v>
      </c>
      <c r="H2189" s="182" t="n">
        <v>0</v>
      </c>
      <c r="I2189" s="182" t="n">
        <v>9.5</v>
      </c>
      <c r="J2189" s="182" t="n">
        <v>9.5</v>
      </c>
      <c r="K2189" s="182" t="n">
        <v>1.8</v>
      </c>
      <c r="L2189" s="182" t="n">
        <v>12</v>
      </c>
      <c r="M2189" s="182" t="n">
        <v>0</v>
      </c>
      <c r="N2189" s="182" t="n">
        <v>0</v>
      </c>
      <c r="O2189" s="183" t="n">
        <v>0</v>
      </c>
      <c r="P2189" s="183" t="n">
        <v>0</v>
      </c>
      <c r="Q2189" s="184" t="n">
        <v>0</v>
      </c>
      <c r="R2189" s="184" t="n">
        <v>0</v>
      </c>
      <c r="S2189" s="183" t="n">
        <v>0</v>
      </c>
      <c r="T2189" s="183" t="n">
        <v>0</v>
      </c>
      <c r="U2189" s="182" t="n">
        <v>0</v>
      </c>
      <c r="V2189" s="182" t="n">
        <v>0.78</v>
      </c>
      <c r="W2189" s="182" t="n">
        <v>0</v>
      </c>
      <c r="X2189" s="182" t="n">
        <v>0.95</v>
      </c>
      <c r="Y2189" s="182" t="n">
        <v>0</v>
      </c>
      <c r="Z2189" s="182" t="n">
        <v>0</v>
      </c>
      <c r="AA2189" s="182" t="n">
        <v>0</v>
      </c>
      <c r="AB2189" s="182" t="n">
        <v>0</v>
      </c>
      <c r="AC2189" s="182" t="n">
        <v>0</v>
      </c>
      <c r="AD2189" s="182" t="n">
        <v>0</v>
      </c>
      <c r="AE2189" s="182" t="n">
        <v>0</v>
      </c>
      <c r="AF2189" s="182" t="n">
        <v>0</v>
      </c>
      <c r="AG2189" s="182" t="n">
        <v>0</v>
      </c>
      <c r="AH2189" s="182" t="n">
        <v>0</v>
      </c>
      <c r="AI2189" s="182" t="n">
        <v>0</v>
      </c>
      <c r="AJ2189" s="182" t="n">
        <v>0</v>
      </c>
      <c r="AK2189" s="182" t="n">
        <v>0</v>
      </c>
      <c r="AL2189" s="182" t="n">
        <v>0</v>
      </c>
      <c r="AM2189" s="182" t="n">
        <v>0.08</v>
      </c>
      <c r="AN2189" s="182" t="n">
        <v>0</v>
      </c>
    </row>
    <row r="2190">
      <c r="A2190" s="155" t="n">
        <v>46091</v>
      </c>
      <c r="B2190" s="156" t="inlineStr">
        <is>
          <t>NS</t>
        </is>
      </c>
      <c r="C2190" s="156" t="inlineStr">
        <is>
          <t>DT-341</t>
        </is>
      </c>
      <c r="D2190" s="156" t="inlineStr">
        <is>
          <t>SYZ324C-8W</t>
        </is>
      </c>
      <c r="E2190" s="156" t="inlineStr">
        <is>
          <t>Hauler</t>
        </is>
      </c>
      <c r="F2190" s="156" t="inlineStr">
        <is>
          <t>Support Washing Plant</t>
        </is>
      </c>
      <c r="G2190" s="182" t="n">
        <v>5.41</v>
      </c>
      <c r="H2190" s="182" t="n">
        <v>0</v>
      </c>
      <c r="I2190" s="182" t="n">
        <v>0</v>
      </c>
      <c r="J2190" s="182" t="n">
        <v>0</v>
      </c>
      <c r="K2190" s="182" t="n">
        <v>6.59</v>
      </c>
      <c r="L2190" s="182" t="n">
        <v>12</v>
      </c>
      <c r="M2190" s="182" t="n">
        <v>0</v>
      </c>
      <c r="N2190" s="182" t="n">
        <v>0</v>
      </c>
      <c r="O2190" s="183" t="n">
        <v>0</v>
      </c>
      <c r="P2190" s="183" t="n">
        <v>0</v>
      </c>
      <c r="Q2190" s="184" t="n">
        <v>0</v>
      </c>
      <c r="R2190" s="184" t="n">
        <v>0</v>
      </c>
      <c r="S2190" s="183" t="n">
        <v>0</v>
      </c>
      <c r="T2190" s="183" t="n">
        <v>0</v>
      </c>
      <c r="U2190" s="182" t="n">
        <v>0</v>
      </c>
      <c r="V2190" s="182" t="n">
        <v>0</v>
      </c>
      <c r="W2190" s="182" t="n">
        <v>0</v>
      </c>
      <c r="X2190" s="182" t="n">
        <v>1.06</v>
      </c>
      <c r="Y2190" s="182" t="n">
        <v>0</v>
      </c>
      <c r="Z2190" s="182" t="n">
        <v>0</v>
      </c>
      <c r="AA2190" s="182" t="n">
        <v>0</v>
      </c>
      <c r="AB2190" s="182" t="n">
        <v>0</v>
      </c>
      <c r="AC2190" s="182" t="n">
        <v>0</v>
      </c>
      <c r="AD2190" s="182" t="n">
        <v>0</v>
      </c>
      <c r="AE2190" s="182" t="n">
        <v>0</v>
      </c>
      <c r="AF2190" s="182" t="n">
        <v>0</v>
      </c>
      <c r="AG2190" s="182" t="n">
        <v>0</v>
      </c>
      <c r="AH2190" s="182" t="n">
        <v>0</v>
      </c>
      <c r="AI2190" s="182" t="n">
        <v>0</v>
      </c>
      <c r="AJ2190" s="182" t="n">
        <v>0</v>
      </c>
      <c r="AK2190" s="182" t="n">
        <v>5.44</v>
      </c>
      <c r="AL2190" s="182" t="n">
        <v>0</v>
      </c>
      <c r="AM2190" s="182" t="n">
        <v>0.09</v>
      </c>
      <c r="AN2190" s="182" t="n">
        <v>0</v>
      </c>
    </row>
    <row r="2191">
      <c r="A2191" s="155" t="n">
        <v>46091</v>
      </c>
      <c r="B2191" s="156" t="inlineStr">
        <is>
          <t>NS</t>
        </is>
      </c>
      <c r="C2191" s="156" t="inlineStr">
        <is>
          <t>DT-342</t>
        </is>
      </c>
      <c r="D2191" s="156" t="inlineStr">
        <is>
          <t>SYZ324C-8W</t>
        </is>
      </c>
      <c r="E2191" s="156" t="inlineStr">
        <is>
          <t>Hauler</t>
        </is>
      </c>
      <c r="F2191" s="156" t="inlineStr">
        <is>
          <t>Support Washing Plant</t>
        </is>
      </c>
      <c r="G2191" s="182" t="n">
        <v>5.87</v>
      </c>
      <c r="H2191" s="182" t="n">
        <v>0</v>
      </c>
      <c r="I2191" s="182" t="n">
        <v>0</v>
      </c>
      <c r="J2191" s="182" t="n">
        <v>0</v>
      </c>
      <c r="K2191" s="182" t="n">
        <v>6.13</v>
      </c>
      <c r="L2191" s="182" t="n">
        <v>12</v>
      </c>
      <c r="M2191" s="182" t="n">
        <v>0</v>
      </c>
      <c r="N2191" s="182" t="n">
        <v>0</v>
      </c>
      <c r="O2191" s="183" t="n">
        <v>0</v>
      </c>
      <c r="P2191" s="183" t="n">
        <v>0</v>
      </c>
      <c r="Q2191" s="184" t="n">
        <v>0</v>
      </c>
      <c r="R2191" s="184" t="n">
        <v>0</v>
      </c>
      <c r="S2191" s="183" t="n">
        <v>0</v>
      </c>
      <c r="T2191" s="183" t="n">
        <v>0</v>
      </c>
      <c r="U2191" s="182" t="n">
        <v>0</v>
      </c>
      <c r="V2191" s="182" t="n">
        <v>0</v>
      </c>
      <c r="W2191" s="182" t="n">
        <v>0</v>
      </c>
      <c r="X2191" s="182" t="n">
        <v>1.04</v>
      </c>
      <c r="Y2191" s="182" t="n">
        <v>0</v>
      </c>
      <c r="Z2191" s="182" t="n">
        <v>0</v>
      </c>
      <c r="AA2191" s="182" t="n">
        <v>0</v>
      </c>
      <c r="AB2191" s="182" t="n">
        <v>0</v>
      </c>
      <c r="AC2191" s="182" t="n">
        <v>0</v>
      </c>
      <c r="AD2191" s="182" t="n">
        <v>0</v>
      </c>
      <c r="AE2191" s="182" t="n">
        <v>0</v>
      </c>
      <c r="AF2191" s="182" t="n">
        <v>0</v>
      </c>
      <c r="AG2191" s="182" t="n">
        <v>0</v>
      </c>
      <c r="AH2191" s="182" t="n">
        <v>0</v>
      </c>
      <c r="AI2191" s="182" t="n">
        <v>0</v>
      </c>
      <c r="AJ2191" s="182" t="n">
        <v>0</v>
      </c>
      <c r="AK2191" s="182" t="n">
        <v>5.01</v>
      </c>
      <c r="AL2191" s="182" t="n">
        <v>0</v>
      </c>
      <c r="AM2191" s="182" t="n">
        <v>0.08</v>
      </c>
      <c r="AN2191" s="182" t="n">
        <v>0</v>
      </c>
    </row>
    <row r="2192">
      <c r="A2192" s="155" t="n">
        <v>46091</v>
      </c>
      <c r="B2192" s="156" t="inlineStr">
        <is>
          <t>NS</t>
        </is>
      </c>
      <c r="C2192" s="156" t="inlineStr">
        <is>
          <t>HD-903</t>
        </is>
      </c>
      <c r="D2192" s="156" t="inlineStr">
        <is>
          <t>SRT 95C</t>
        </is>
      </c>
      <c r="E2192" s="156" t="inlineStr">
        <is>
          <t>Hauler</t>
        </is>
      </c>
      <c r="F2192" s="156" t="inlineStr">
        <is>
          <t>Hauling OB</t>
        </is>
      </c>
      <c r="G2192" s="182" t="n">
        <v>2.47</v>
      </c>
      <c r="H2192" s="182" t="n">
        <v>0</v>
      </c>
      <c r="I2192" s="182" t="n">
        <v>0</v>
      </c>
      <c r="J2192" s="182" t="n">
        <v>0</v>
      </c>
      <c r="K2192" s="182" t="n">
        <v>9.529999999999999</v>
      </c>
      <c r="L2192" s="182" t="n">
        <v>12</v>
      </c>
      <c r="M2192" s="182" t="n">
        <v>2.47</v>
      </c>
      <c r="N2192" s="182" t="n">
        <v>0</v>
      </c>
      <c r="O2192" s="183" t="n">
        <v>8</v>
      </c>
      <c r="P2192" s="183" t="n">
        <v>0</v>
      </c>
      <c r="Q2192" s="184" t="n">
        <v>285.6</v>
      </c>
      <c r="R2192" s="184" t="n">
        <v>0</v>
      </c>
      <c r="S2192" s="183" t="n">
        <v>0</v>
      </c>
      <c r="T2192" s="183" t="n">
        <v>0</v>
      </c>
      <c r="U2192" s="182" t="n">
        <v>0</v>
      </c>
      <c r="V2192" s="182" t="n">
        <v>3.64</v>
      </c>
      <c r="W2192" s="182" t="n">
        <v>0</v>
      </c>
      <c r="X2192" s="182" t="n">
        <v>0.99</v>
      </c>
      <c r="Y2192" s="182" t="n">
        <v>0</v>
      </c>
      <c r="Z2192" s="182" t="n">
        <v>0</v>
      </c>
      <c r="AA2192" s="182" t="n">
        <v>0</v>
      </c>
      <c r="AB2192" s="182" t="n">
        <v>0</v>
      </c>
      <c r="AC2192" s="182" t="n">
        <v>0</v>
      </c>
      <c r="AD2192" s="182" t="n">
        <v>0</v>
      </c>
      <c r="AE2192" s="182" t="n">
        <v>0</v>
      </c>
      <c r="AF2192" s="182" t="n">
        <v>0</v>
      </c>
      <c r="AG2192" s="182" t="n">
        <v>0</v>
      </c>
      <c r="AH2192" s="182" t="n">
        <v>0</v>
      </c>
      <c r="AI2192" s="182" t="n">
        <v>0</v>
      </c>
      <c r="AJ2192" s="182" t="n">
        <v>0</v>
      </c>
      <c r="AK2192" s="182" t="n">
        <v>4.81</v>
      </c>
      <c r="AL2192" s="182" t="n">
        <v>0</v>
      </c>
      <c r="AM2192" s="182" t="n">
        <v>0.08</v>
      </c>
      <c r="AN2192" s="182" t="n">
        <v>0</v>
      </c>
    </row>
    <row r="2193">
      <c r="A2193" s="155" t="n">
        <v>46091</v>
      </c>
      <c r="B2193" s="156" t="inlineStr">
        <is>
          <t>NS</t>
        </is>
      </c>
      <c r="C2193" s="156" t="inlineStr">
        <is>
          <t>HD-905</t>
        </is>
      </c>
      <c r="D2193" s="156" t="inlineStr">
        <is>
          <t>SRT 95C</t>
        </is>
      </c>
      <c r="E2193" s="156" t="inlineStr">
        <is>
          <t>Hauler</t>
        </is>
      </c>
      <c r="F2193" s="156" t="inlineStr"/>
      <c r="G2193" s="182" t="n">
        <v>0</v>
      </c>
      <c r="H2193" s="182" t="n">
        <v>0</v>
      </c>
      <c r="I2193" s="182" t="n">
        <v>12</v>
      </c>
      <c r="J2193" s="182" t="n">
        <v>12</v>
      </c>
      <c r="K2193" s="182" t="n">
        <v>0</v>
      </c>
      <c r="L2193" s="182" t="n">
        <v>12</v>
      </c>
      <c r="M2193" s="182" t="n">
        <v>0</v>
      </c>
      <c r="N2193" s="182" t="n">
        <v>0</v>
      </c>
      <c r="O2193" s="183" t="n">
        <v>0</v>
      </c>
      <c r="P2193" s="183" t="n">
        <v>0</v>
      </c>
      <c r="Q2193" s="184" t="n">
        <v>0</v>
      </c>
      <c r="R2193" s="184" t="n">
        <v>0</v>
      </c>
      <c r="S2193" s="183" t="n">
        <v>0</v>
      </c>
      <c r="T2193" s="183" t="n">
        <v>0</v>
      </c>
      <c r="U2193" s="182" t="n">
        <v>0</v>
      </c>
      <c r="V2193" s="182" t="n">
        <v>0</v>
      </c>
      <c r="W2193" s="182" t="n">
        <v>0</v>
      </c>
      <c r="X2193" s="182" t="n">
        <v>0</v>
      </c>
      <c r="Y2193" s="182" t="n">
        <v>0</v>
      </c>
      <c r="Z2193" s="182" t="n">
        <v>0</v>
      </c>
      <c r="AA2193" s="182" t="n">
        <v>0</v>
      </c>
      <c r="AB2193" s="182" t="n">
        <v>0</v>
      </c>
      <c r="AC2193" s="182" t="n">
        <v>0</v>
      </c>
      <c r="AD2193" s="182" t="n">
        <v>0</v>
      </c>
      <c r="AE2193" s="182" t="n">
        <v>0</v>
      </c>
      <c r="AF2193" s="182" t="n">
        <v>0</v>
      </c>
      <c r="AG2193" s="182" t="n">
        <v>0</v>
      </c>
      <c r="AH2193" s="182" t="n">
        <v>0</v>
      </c>
      <c r="AI2193" s="182" t="n">
        <v>0</v>
      </c>
      <c r="AJ2193" s="182" t="n">
        <v>0</v>
      </c>
      <c r="AK2193" s="182" t="n">
        <v>0</v>
      </c>
      <c r="AL2193" s="182" t="n">
        <v>0</v>
      </c>
      <c r="AM2193" s="182" t="n">
        <v>0</v>
      </c>
      <c r="AN2193" s="182" t="n">
        <v>0</v>
      </c>
    </row>
    <row r="2194">
      <c r="A2194" s="155" t="n">
        <v>46091</v>
      </c>
      <c r="B2194" s="156" t="inlineStr">
        <is>
          <t>NS</t>
        </is>
      </c>
      <c r="C2194" s="156" t="inlineStr">
        <is>
          <t>HD-901</t>
        </is>
      </c>
      <c r="D2194" s="156" t="inlineStr">
        <is>
          <t>SRT 95C</t>
        </is>
      </c>
      <c r="E2194" s="156" t="inlineStr">
        <is>
          <t>Hauler</t>
        </is>
      </c>
      <c r="F2194" s="156" t="inlineStr">
        <is>
          <t>Hauling OB</t>
        </is>
      </c>
      <c r="G2194" s="182" t="n">
        <v>2.39</v>
      </c>
      <c r="H2194" s="182" t="n">
        <v>0</v>
      </c>
      <c r="I2194" s="182" t="n">
        <v>0</v>
      </c>
      <c r="J2194" s="182" t="n">
        <v>0</v>
      </c>
      <c r="K2194" s="182" t="n">
        <v>9.609999999999999</v>
      </c>
      <c r="L2194" s="182" t="n">
        <v>12</v>
      </c>
      <c r="M2194" s="182" t="n">
        <v>2.39</v>
      </c>
      <c r="N2194" s="182" t="n">
        <v>0</v>
      </c>
      <c r="O2194" s="183" t="n">
        <v>7</v>
      </c>
      <c r="P2194" s="183" t="n">
        <v>0</v>
      </c>
      <c r="Q2194" s="184" t="n">
        <v>249.9</v>
      </c>
      <c r="R2194" s="184" t="n">
        <v>0</v>
      </c>
      <c r="S2194" s="183" t="n">
        <v>0</v>
      </c>
      <c r="T2194" s="183" t="n">
        <v>0</v>
      </c>
      <c r="U2194" s="182" t="n">
        <v>0</v>
      </c>
      <c r="V2194" s="182" t="n">
        <v>3.64</v>
      </c>
      <c r="W2194" s="182" t="n">
        <v>0</v>
      </c>
      <c r="X2194" s="182" t="n">
        <v>0.99</v>
      </c>
      <c r="Y2194" s="182" t="n">
        <v>0</v>
      </c>
      <c r="Z2194" s="182" t="n">
        <v>0</v>
      </c>
      <c r="AA2194" s="182" t="n">
        <v>0</v>
      </c>
      <c r="AB2194" s="182" t="n">
        <v>0</v>
      </c>
      <c r="AC2194" s="182" t="n">
        <v>0</v>
      </c>
      <c r="AD2194" s="182" t="n">
        <v>0</v>
      </c>
      <c r="AE2194" s="182" t="n">
        <v>0</v>
      </c>
      <c r="AF2194" s="182" t="n">
        <v>0</v>
      </c>
      <c r="AG2194" s="182" t="n">
        <v>0</v>
      </c>
      <c r="AH2194" s="182" t="n">
        <v>0</v>
      </c>
      <c r="AI2194" s="182" t="n">
        <v>0</v>
      </c>
      <c r="AJ2194" s="182" t="n">
        <v>0</v>
      </c>
      <c r="AK2194" s="182" t="n">
        <v>4.9</v>
      </c>
      <c r="AL2194" s="182" t="n">
        <v>0</v>
      </c>
      <c r="AM2194" s="182" t="n">
        <v>0.08</v>
      </c>
      <c r="AN2194" s="182" t="n">
        <v>0</v>
      </c>
    </row>
    <row r="2195">
      <c r="A2195" s="155" t="n">
        <v>46091</v>
      </c>
      <c r="B2195" s="156" t="inlineStr">
        <is>
          <t>NS</t>
        </is>
      </c>
      <c r="C2195" s="156" t="inlineStr">
        <is>
          <t>HD-904</t>
        </is>
      </c>
      <c r="D2195" s="156" t="inlineStr">
        <is>
          <t>SRT 95C</t>
        </is>
      </c>
      <c r="E2195" s="156" t="inlineStr">
        <is>
          <t>Hauler</t>
        </is>
      </c>
      <c r="F2195" s="156" t="inlineStr">
        <is>
          <t>Hauling OB</t>
        </is>
      </c>
      <c r="G2195" s="182" t="n">
        <v>2.64</v>
      </c>
      <c r="H2195" s="182" t="n">
        <v>0</v>
      </c>
      <c r="I2195" s="182" t="n">
        <v>6.3</v>
      </c>
      <c r="J2195" s="182" t="n">
        <v>6.3</v>
      </c>
      <c r="K2195" s="182" t="n">
        <v>3.06</v>
      </c>
      <c r="L2195" s="182" t="n">
        <v>12</v>
      </c>
      <c r="M2195" s="182" t="n">
        <v>2.64</v>
      </c>
      <c r="N2195" s="182" t="n">
        <v>0</v>
      </c>
      <c r="O2195" s="183" t="n">
        <v>9</v>
      </c>
      <c r="P2195" s="183" t="n">
        <v>0</v>
      </c>
      <c r="Q2195" s="184" t="n">
        <v>321.3</v>
      </c>
      <c r="R2195" s="184" t="n">
        <v>0</v>
      </c>
      <c r="S2195" s="183" t="n">
        <v>0</v>
      </c>
      <c r="T2195" s="183" t="n">
        <v>0</v>
      </c>
      <c r="U2195" s="182" t="n">
        <v>0</v>
      </c>
      <c r="V2195" s="182" t="n">
        <v>2.03</v>
      </c>
      <c r="W2195" s="182" t="n">
        <v>0</v>
      </c>
      <c r="X2195" s="182" t="n">
        <v>0.96</v>
      </c>
      <c r="Y2195" s="182" t="n">
        <v>0</v>
      </c>
      <c r="Z2195" s="182" t="n">
        <v>0</v>
      </c>
      <c r="AA2195" s="182" t="n">
        <v>0</v>
      </c>
      <c r="AB2195" s="182" t="n">
        <v>0</v>
      </c>
      <c r="AC2195" s="182" t="n">
        <v>0</v>
      </c>
      <c r="AD2195" s="182" t="n">
        <v>0</v>
      </c>
      <c r="AE2195" s="182" t="n">
        <v>0</v>
      </c>
      <c r="AF2195" s="182" t="n">
        <v>0</v>
      </c>
      <c r="AG2195" s="182" t="n">
        <v>0</v>
      </c>
      <c r="AH2195" s="182" t="n">
        <v>0</v>
      </c>
      <c r="AI2195" s="182" t="n">
        <v>0</v>
      </c>
      <c r="AJ2195" s="182" t="n">
        <v>0</v>
      </c>
      <c r="AK2195" s="182" t="n">
        <v>0</v>
      </c>
      <c r="AL2195" s="182" t="n">
        <v>0</v>
      </c>
      <c r="AM2195" s="182" t="n">
        <v>0.08</v>
      </c>
      <c r="AN2195" s="182" t="n">
        <v>0</v>
      </c>
    </row>
    <row r="2196">
      <c r="A2196" s="155" t="n">
        <v>46091</v>
      </c>
      <c r="B2196" s="156" t="inlineStr">
        <is>
          <t>NS</t>
        </is>
      </c>
      <c r="C2196" s="156" t="inlineStr">
        <is>
          <t>HD-902</t>
        </is>
      </c>
      <c r="D2196" s="156" t="inlineStr">
        <is>
          <t>SRT 95C</t>
        </is>
      </c>
      <c r="E2196" s="156" t="inlineStr">
        <is>
          <t>Hauler</t>
        </is>
      </c>
      <c r="F2196" s="156" t="inlineStr"/>
      <c r="G2196" s="182" t="n">
        <v>0</v>
      </c>
      <c r="H2196" s="182" t="n">
        <v>0</v>
      </c>
      <c r="I2196" s="182" t="n">
        <v>12</v>
      </c>
      <c r="J2196" s="182" t="n">
        <v>12</v>
      </c>
      <c r="K2196" s="182" t="n">
        <v>0</v>
      </c>
      <c r="L2196" s="182" t="n">
        <v>12</v>
      </c>
      <c r="M2196" s="182" t="n">
        <v>0</v>
      </c>
      <c r="N2196" s="182" t="n">
        <v>0</v>
      </c>
      <c r="O2196" s="183" t="n">
        <v>0</v>
      </c>
      <c r="P2196" s="183" t="n">
        <v>0</v>
      </c>
      <c r="Q2196" s="184" t="n">
        <v>0</v>
      </c>
      <c r="R2196" s="184" t="n">
        <v>0</v>
      </c>
      <c r="S2196" s="183" t="n">
        <v>0</v>
      </c>
      <c r="T2196" s="183" t="n">
        <v>0</v>
      </c>
      <c r="U2196" s="182" t="n">
        <v>0</v>
      </c>
      <c r="V2196" s="182" t="n">
        <v>0</v>
      </c>
      <c r="W2196" s="182" t="n">
        <v>0</v>
      </c>
      <c r="X2196" s="182" t="n">
        <v>0</v>
      </c>
      <c r="Y2196" s="182" t="n">
        <v>0</v>
      </c>
      <c r="Z2196" s="182" t="n">
        <v>0</v>
      </c>
      <c r="AA2196" s="182" t="n">
        <v>0</v>
      </c>
      <c r="AB2196" s="182" t="n">
        <v>0</v>
      </c>
      <c r="AC2196" s="182" t="n">
        <v>0</v>
      </c>
      <c r="AD2196" s="182" t="n">
        <v>0</v>
      </c>
      <c r="AE2196" s="182" t="n">
        <v>0</v>
      </c>
      <c r="AF2196" s="182" t="n">
        <v>0</v>
      </c>
      <c r="AG2196" s="182" t="n">
        <v>0</v>
      </c>
      <c r="AH2196" s="182" t="n">
        <v>0</v>
      </c>
      <c r="AI2196" s="182" t="n">
        <v>0</v>
      </c>
      <c r="AJ2196" s="182" t="n">
        <v>0</v>
      </c>
      <c r="AK2196" s="182" t="n">
        <v>0</v>
      </c>
      <c r="AL2196" s="182" t="n">
        <v>0</v>
      </c>
      <c r="AM2196" s="182" t="n">
        <v>0</v>
      </c>
      <c r="AN2196" s="182" t="n">
        <v>0</v>
      </c>
    </row>
    <row r="2197">
      <c r="A2197" s="155" t="n">
        <v>46091</v>
      </c>
      <c r="B2197" s="156" t="inlineStr">
        <is>
          <t>NS</t>
        </is>
      </c>
      <c r="C2197" s="156" t="inlineStr">
        <is>
          <t>WL-025</t>
        </is>
      </c>
      <c r="D2197" s="156" t="inlineStr">
        <is>
          <t>SANY - Loader</t>
        </is>
      </c>
      <c r="E2197" s="156" t="inlineStr">
        <is>
          <t>Loader</t>
        </is>
      </c>
      <c r="F2197" s="156" t="inlineStr"/>
      <c r="G2197" s="182" t="n">
        <v>0</v>
      </c>
      <c r="H2197" s="182" t="n">
        <v>0</v>
      </c>
      <c r="I2197" s="182" t="n">
        <v>12</v>
      </c>
      <c r="J2197" s="182" t="n">
        <v>12</v>
      </c>
      <c r="K2197" s="182" t="n">
        <v>0</v>
      </c>
      <c r="L2197" s="182" t="n">
        <v>12</v>
      </c>
      <c r="M2197" s="182" t="n">
        <v>0</v>
      </c>
      <c r="N2197" s="182" t="n">
        <v>0</v>
      </c>
      <c r="O2197" s="183" t="n">
        <v>0</v>
      </c>
      <c r="P2197" s="183" t="n">
        <v>0</v>
      </c>
      <c r="Q2197" s="184" t="n">
        <v>0</v>
      </c>
      <c r="R2197" s="184" t="n">
        <v>0</v>
      </c>
      <c r="S2197" s="183" t="n">
        <v>0</v>
      </c>
      <c r="T2197" s="183" t="n">
        <v>0</v>
      </c>
      <c r="U2197" s="182" t="n">
        <v>0</v>
      </c>
      <c r="V2197" s="182" t="n">
        <v>0</v>
      </c>
      <c r="W2197" s="182" t="n">
        <v>0</v>
      </c>
      <c r="X2197" s="182" t="n">
        <v>0</v>
      </c>
      <c r="Y2197" s="182" t="n">
        <v>0</v>
      </c>
      <c r="Z2197" s="182" t="n">
        <v>0</v>
      </c>
      <c r="AA2197" s="182" t="n">
        <v>0</v>
      </c>
      <c r="AB2197" s="182" t="n">
        <v>0</v>
      </c>
      <c r="AC2197" s="182" t="n">
        <v>0</v>
      </c>
      <c r="AD2197" s="182" t="n">
        <v>0</v>
      </c>
      <c r="AE2197" s="182" t="n">
        <v>0</v>
      </c>
      <c r="AF2197" s="182" t="n">
        <v>0</v>
      </c>
      <c r="AG2197" s="182" t="n">
        <v>0</v>
      </c>
      <c r="AH2197" s="182" t="n">
        <v>0</v>
      </c>
      <c r="AI2197" s="182" t="n">
        <v>0</v>
      </c>
      <c r="AJ2197" s="182" t="n">
        <v>0</v>
      </c>
      <c r="AK2197" s="182" t="n">
        <v>0</v>
      </c>
      <c r="AL2197" s="182" t="n">
        <v>0</v>
      </c>
      <c r="AM2197" s="182" t="n">
        <v>0</v>
      </c>
      <c r="AN2197" s="182" t="n">
        <v>0</v>
      </c>
    </row>
    <row r="2198">
      <c r="A2198" s="155" t="n">
        <v>46091</v>
      </c>
      <c r="B2198" s="156" t="inlineStr">
        <is>
          <t>NS</t>
        </is>
      </c>
      <c r="C2198" s="156" t="inlineStr">
        <is>
          <t>WL-023</t>
        </is>
      </c>
      <c r="D2198" s="156" t="inlineStr">
        <is>
          <t>SANY - Loader</t>
        </is>
      </c>
      <c r="E2198" s="156" t="inlineStr">
        <is>
          <t>Loader</t>
        </is>
      </c>
      <c r="F2198" s="156" t="inlineStr"/>
      <c r="G2198" s="182" t="n">
        <v>0</v>
      </c>
      <c r="H2198" s="182" t="n">
        <v>0</v>
      </c>
      <c r="I2198" s="182" t="n">
        <v>0</v>
      </c>
      <c r="J2198" s="182" t="n">
        <v>0</v>
      </c>
      <c r="K2198" s="182" t="n">
        <v>12</v>
      </c>
      <c r="L2198" s="182" t="n">
        <v>12</v>
      </c>
      <c r="M2198" s="182" t="n">
        <v>0</v>
      </c>
      <c r="N2198" s="182" t="n">
        <v>0</v>
      </c>
      <c r="O2198" s="183" t="n">
        <v>0</v>
      </c>
      <c r="P2198" s="183" t="n">
        <v>0</v>
      </c>
      <c r="Q2198" s="184" t="n">
        <v>0</v>
      </c>
      <c r="R2198" s="184" t="n">
        <v>0</v>
      </c>
      <c r="S2198" s="183" t="n">
        <v>0</v>
      </c>
      <c r="T2198" s="183" t="n">
        <v>0</v>
      </c>
      <c r="U2198" s="182" t="n">
        <v>0</v>
      </c>
      <c r="V2198" s="182" t="n">
        <v>0</v>
      </c>
      <c r="W2198" s="182" t="n">
        <v>0</v>
      </c>
      <c r="X2198" s="182" t="n">
        <v>1</v>
      </c>
      <c r="Y2198" s="182" t="n">
        <v>0</v>
      </c>
      <c r="Z2198" s="182" t="n">
        <v>0</v>
      </c>
      <c r="AA2198" s="182" t="n">
        <v>0</v>
      </c>
      <c r="AB2198" s="182" t="n">
        <v>0</v>
      </c>
      <c r="AC2198" s="182" t="n">
        <v>0</v>
      </c>
      <c r="AD2198" s="182" t="n">
        <v>0</v>
      </c>
      <c r="AE2198" s="182" t="n">
        <v>0</v>
      </c>
      <c r="AF2198" s="182" t="n">
        <v>0</v>
      </c>
      <c r="AG2198" s="182" t="n">
        <v>0</v>
      </c>
      <c r="AH2198" s="182" t="n">
        <v>0</v>
      </c>
      <c r="AI2198" s="182" t="n">
        <v>0</v>
      </c>
      <c r="AJ2198" s="182" t="n">
        <v>0</v>
      </c>
      <c r="AK2198" s="182" t="n">
        <v>10.92</v>
      </c>
      <c r="AL2198" s="182" t="n">
        <v>0</v>
      </c>
      <c r="AM2198" s="182" t="n">
        <v>0.08</v>
      </c>
      <c r="AN2198" s="182" t="n">
        <v>0</v>
      </c>
    </row>
    <row r="2199">
      <c r="A2199" s="155" t="n">
        <v>46091</v>
      </c>
      <c r="B2199" s="156" t="inlineStr">
        <is>
          <t>NS</t>
        </is>
      </c>
      <c r="C2199" s="156" t="inlineStr">
        <is>
          <t>WL-021</t>
        </is>
      </c>
      <c r="D2199" s="156" t="inlineStr">
        <is>
          <t>SANY - Loader</t>
        </is>
      </c>
      <c r="E2199" s="156" t="inlineStr">
        <is>
          <t>Loader</t>
        </is>
      </c>
      <c r="F2199" s="156" t="inlineStr"/>
      <c r="G2199" s="182" t="n">
        <v>0</v>
      </c>
      <c r="H2199" s="182" t="n">
        <v>0</v>
      </c>
      <c r="I2199" s="182" t="n">
        <v>12</v>
      </c>
      <c r="J2199" s="182" t="n">
        <v>12</v>
      </c>
      <c r="K2199" s="182" t="n">
        <v>0</v>
      </c>
      <c r="L2199" s="182" t="n">
        <v>12</v>
      </c>
      <c r="M2199" s="182" t="n">
        <v>0</v>
      </c>
      <c r="N2199" s="182" t="n">
        <v>0</v>
      </c>
      <c r="O2199" s="183" t="n">
        <v>0</v>
      </c>
      <c r="P2199" s="183" t="n">
        <v>0</v>
      </c>
      <c r="Q2199" s="184" t="n">
        <v>0</v>
      </c>
      <c r="R2199" s="184" t="n">
        <v>0</v>
      </c>
      <c r="S2199" s="183" t="n">
        <v>0</v>
      </c>
      <c r="T2199" s="183" t="n">
        <v>0</v>
      </c>
      <c r="U2199" s="182" t="n">
        <v>0</v>
      </c>
      <c r="V2199" s="182" t="n">
        <v>0</v>
      </c>
      <c r="W2199" s="182" t="n">
        <v>0</v>
      </c>
      <c r="X2199" s="182" t="n">
        <v>0</v>
      </c>
      <c r="Y2199" s="182" t="n">
        <v>0</v>
      </c>
      <c r="Z2199" s="182" t="n">
        <v>0</v>
      </c>
      <c r="AA2199" s="182" t="n">
        <v>0</v>
      </c>
      <c r="AB2199" s="182" t="n">
        <v>0</v>
      </c>
      <c r="AC2199" s="182" t="n">
        <v>0</v>
      </c>
      <c r="AD2199" s="182" t="n">
        <v>0</v>
      </c>
      <c r="AE2199" s="182" t="n">
        <v>0</v>
      </c>
      <c r="AF2199" s="182" t="n">
        <v>0</v>
      </c>
      <c r="AG2199" s="182" t="n">
        <v>0</v>
      </c>
      <c r="AH2199" s="182" t="n">
        <v>0</v>
      </c>
      <c r="AI2199" s="182" t="n">
        <v>0</v>
      </c>
      <c r="AJ2199" s="182" t="n">
        <v>0</v>
      </c>
      <c r="AK2199" s="182" t="n">
        <v>0</v>
      </c>
      <c r="AL2199" s="182" t="n">
        <v>0</v>
      </c>
      <c r="AM2199" s="182" t="n">
        <v>0</v>
      </c>
      <c r="AN2199" s="182" t="n">
        <v>0</v>
      </c>
    </row>
    <row r="2200">
      <c r="A2200" s="155" t="n">
        <v>46091</v>
      </c>
      <c r="B2200" s="156" t="inlineStr">
        <is>
          <t>NS</t>
        </is>
      </c>
      <c r="C2200" s="156" t="inlineStr">
        <is>
          <t>WL-022</t>
        </is>
      </c>
      <c r="D2200" s="156" t="inlineStr">
        <is>
          <t>SANY - Loader</t>
        </is>
      </c>
      <c r="E2200" s="156" t="inlineStr">
        <is>
          <t>Loader</t>
        </is>
      </c>
      <c r="F2200" s="156" t="inlineStr">
        <is>
          <t>Support Washing Plant</t>
        </is>
      </c>
      <c r="G2200" s="182" t="n">
        <v>12</v>
      </c>
      <c r="H2200" s="182" t="n">
        <v>0</v>
      </c>
      <c r="I2200" s="182" t="n">
        <v>0</v>
      </c>
      <c r="J2200" s="182" t="n">
        <v>0</v>
      </c>
      <c r="K2200" s="182" t="n">
        <v>0</v>
      </c>
      <c r="L2200" s="182" t="n">
        <v>12</v>
      </c>
      <c r="M2200" s="182" t="n">
        <v>0</v>
      </c>
      <c r="N2200" s="182" t="n">
        <v>0</v>
      </c>
      <c r="O2200" s="183" t="n">
        <v>0</v>
      </c>
      <c r="P2200" s="183" t="n">
        <v>0</v>
      </c>
      <c r="Q2200" s="184" t="n">
        <v>0</v>
      </c>
      <c r="R2200" s="184" t="n">
        <v>0</v>
      </c>
      <c r="S2200" s="183" t="n">
        <v>0</v>
      </c>
      <c r="T2200" s="183" t="n">
        <v>0</v>
      </c>
      <c r="U2200" s="182" t="n">
        <v>0</v>
      </c>
      <c r="V2200" s="182" t="n">
        <v>0</v>
      </c>
      <c r="W2200" s="182" t="n">
        <v>0</v>
      </c>
      <c r="X2200" s="182" t="n">
        <v>0</v>
      </c>
      <c r="Y2200" s="182" t="n">
        <v>0</v>
      </c>
      <c r="Z2200" s="182" t="n">
        <v>0</v>
      </c>
      <c r="AA2200" s="182" t="n">
        <v>0</v>
      </c>
      <c r="AB2200" s="182" t="n">
        <v>0</v>
      </c>
      <c r="AC2200" s="182" t="n">
        <v>0</v>
      </c>
      <c r="AD2200" s="182" t="n">
        <v>0</v>
      </c>
      <c r="AE2200" s="182" t="n">
        <v>0</v>
      </c>
      <c r="AF2200" s="182" t="n">
        <v>0</v>
      </c>
      <c r="AG2200" s="182" t="n">
        <v>0</v>
      </c>
      <c r="AH2200" s="182" t="n">
        <v>0</v>
      </c>
      <c r="AI2200" s="182" t="n">
        <v>0</v>
      </c>
      <c r="AJ2200" s="182" t="n">
        <v>0</v>
      </c>
      <c r="AK2200" s="182" t="n">
        <v>0</v>
      </c>
      <c r="AL2200" s="182" t="n">
        <v>0</v>
      </c>
      <c r="AM2200" s="182" t="n">
        <v>0</v>
      </c>
      <c r="AN2200" s="182" t="n">
        <v>0</v>
      </c>
    </row>
    <row r="2201">
      <c r="A2201" s="155" t="n">
        <v>46091</v>
      </c>
      <c r="B2201" s="156" t="inlineStr">
        <is>
          <t>NS</t>
        </is>
      </c>
      <c r="C2201" s="156" t="inlineStr">
        <is>
          <t>WL-024</t>
        </is>
      </c>
      <c r="D2201" s="156" t="inlineStr">
        <is>
          <t>SANY - Loader</t>
        </is>
      </c>
      <c r="E2201" s="156" t="inlineStr">
        <is>
          <t>Loader</t>
        </is>
      </c>
      <c r="F2201" s="156" t="inlineStr">
        <is>
          <t>Support Washing Plant</t>
        </is>
      </c>
      <c r="G2201" s="182" t="n">
        <v>10.91</v>
      </c>
      <c r="H2201" s="182" t="n">
        <v>0</v>
      </c>
      <c r="I2201" s="182" t="n">
        <v>0</v>
      </c>
      <c r="J2201" s="182" t="n">
        <v>0</v>
      </c>
      <c r="K2201" s="182" t="n">
        <v>1.09</v>
      </c>
      <c r="L2201" s="182" t="n">
        <v>12</v>
      </c>
      <c r="M2201" s="182" t="n">
        <v>0</v>
      </c>
      <c r="N2201" s="182" t="n">
        <v>0</v>
      </c>
      <c r="O2201" s="183" t="n">
        <v>0</v>
      </c>
      <c r="P2201" s="183" t="n">
        <v>0</v>
      </c>
      <c r="Q2201" s="184" t="n">
        <v>0</v>
      </c>
      <c r="R2201" s="184" t="n">
        <v>0</v>
      </c>
      <c r="S2201" s="183" t="n">
        <v>0</v>
      </c>
      <c r="T2201" s="183" t="n">
        <v>0</v>
      </c>
      <c r="U2201" s="182" t="n">
        <v>0</v>
      </c>
      <c r="V2201" s="182" t="n">
        <v>0</v>
      </c>
      <c r="W2201" s="182" t="n">
        <v>0</v>
      </c>
      <c r="X2201" s="182" t="n">
        <v>0.91</v>
      </c>
      <c r="Y2201" s="182" t="n">
        <v>0</v>
      </c>
      <c r="Z2201" s="182" t="n">
        <v>0</v>
      </c>
      <c r="AA2201" s="182" t="n">
        <v>0</v>
      </c>
      <c r="AB2201" s="182" t="n">
        <v>0</v>
      </c>
      <c r="AC2201" s="182" t="n">
        <v>0</v>
      </c>
      <c r="AD2201" s="182" t="n">
        <v>0</v>
      </c>
      <c r="AE2201" s="182" t="n">
        <v>0</v>
      </c>
      <c r="AF2201" s="182" t="n">
        <v>0</v>
      </c>
      <c r="AG2201" s="182" t="n">
        <v>0</v>
      </c>
      <c r="AH2201" s="182" t="n">
        <v>0.11</v>
      </c>
      <c r="AI2201" s="182" t="n">
        <v>0</v>
      </c>
      <c r="AJ2201" s="182" t="n">
        <v>0</v>
      </c>
      <c r="AK2201" s="182" t="n">
        <v>0</v>
      </c>
      <c r="AL2201" s="182" t="n">
        <v>0</v>
      </c>
      <c r="AM2201" s="182" t="n">
        <v>0.07000000000000001</v>
      </c>
      <c r="AN2201" s="182" t="n">
        <v>0</v>
      </c>
    </row>
    <row r="2202">
      <c r="A2202" s="155" t="n">
        <v>46092</v>
      </c>
      <c r="B2202" s="156" t="inlineStr">
        <is>
          <t>DS</t>
        </is>
      </c>
      <c r="C2202" s="156" t="inlineStr">
        <is>
          <t>DZ-034</t>
        </is>
      </c>
      <c r="D2202" s="156" t="inlineStr">
        <is>
          <t>D 68ESS-12EO</t>
        </is>
      </c>
      <c r="E2202" s="156" t="inlineStr">
        <is>
          <t>Bulldozer</t>
        </is>
      </c>
      <c r="F2202" s="156" t="inlineStr">
        <is>
          <t>Trimming Coal di StockROM</t>
        </is>
      </c>
      <c r="G2202" s="182" t="n">
        <v>6.8</v>
      </c>
      <c r="H2202" s="182" t="n">
        <v>0</v>
      </c>
      <c r="I2202" s="182" t="n">
        <v>0</v>
      </c>
      <c r="J2202" s="182" t="n">
        <v>0</v>
      </c>
      <c r="K2202" s="182" t="n">
        <v>5.2</v>
      </c>
      <c r="L2202" s="182" t="n">
        <v>12</v>
      </c>
      <c r="M2202" s="182" t="n">
        <v>0</v>
      </c>
      <c r="N2202" s="182" t="n">
        <v>0</v>
      </c>
      <c r="O2202" s="183" t="n">
        <v>0</v>
      </c>
      <c r="P2202" s="183" t="n">
        <v>0</v>
      </c>
      <c r="Q2202" s="184" t="n">
        <v>0</v>
      </c>
      <c r="R2202" s="184" t="n">
        <v>0</v>
      </c>
      <c r="S2202" s="183" t="n">
        <v>0</v>
      </c>
      <c r="T2202" s="183" t="n">
        <v>0</v>
      </c>
      <c r="U2202" s="182" t="n">
        <v>0</v>
      </c>
      <c r="V2202" s="182" t="n">
        <v>0</v>
      </c>
      <c r="W2202" s="182" t="n">
        <v>0</v>
      </c>
      <c r="X2202" s="182" t="n">
        <v>1</v>
      </c>
      <c r="Y2202" s="182" t="n">
        <v>0</v>
      </c>
      <c r="Z2202" s="182" t="n">
        <v>0</v>
      </c>
      <c r="AA2202" s="182" t="n">
        <v>0</v>
      </c>
      <c r="AB2202" s="182" t="n">
        <v>0</v>
      </c>
      <c r="AC2202" s="182" t="n">
        <v>0</v>
      </c>
      <c r="AD2202" s="182" t="n">
        <v>0</v>
      </c>
      <c r="AE2202" s="182" t="n">
        <v>0</v>
      </c>
      <c r="AF2202" s="182" t="n">
        <v>0</v>
      </c>
      <c r="AG2202" s="182" t="n">
        <v>0</v>
      </c>
      <c r="AH2202" s="182" t="n">
        <v>0</v>
      </c>
      <c r="AI2202" s="182" t="n">
        <v>0</v>
      </c>
      <c r="AJ2202" s="182" t="n">
        <v>0</v>
      </c>
      <c r="AK2202" s="182" t="n">
        <v>4.12</v>
      </c>
      <c r="AL2202" s="182" t="n">
        <v>0</v>
      </c>
      <c r="AM2202" s="182" t="n">
        <v>0.08</v>
      </c>
      <c r="AN2202" s="182" t="n">
        <v>0</v>
      </c>
    </row>
    <row r="2203">
      <c r="A2203" s="155" t="n">
        <v>46092</v>
      </c>
      <c r="B2203" s="156" t="inlineStr">
        <is>
          <t>DS</t>
        </is>
      </c>
      <c r="C2203" s="156" t="inlineStr">
        <is>
          <t>DZ-033</t>
        </is>
      </c>
      <c r="D2203" s="156" t="inlineStr">
        <is>
          <t>D 375A-6R</t>
        </is>
      </c>
      <c r="E2203" s="156" t="inlineStr">
        <is>
          <t>Bulldozer</t>
        </is>
      </c>
      <c r="F2203" s="156" t="inlineStr">
        <is>
          <t>Support Disposal</t>
        </is>
      </c>
      <c r="G2203" s="182" t="n">
        <v>8.470000000000001</v>
      </c>
      <c r="H2203" s="182" t="n">
        <v>0</v>
      </c>
      <c r="I2203" s="182" t="n">
        <v>0</v>
      </c>
      <c r="J2203" s="182" t="n">
        <v>0</v>
      </c>
      <c r="K2203" s="182" t="n">
        <v>3.53</v>
      </c>
      <c r="L2203" s="182" t="n">
        <v>12</v>
      </c>
      <c r="M2203" s="182" t="n">
        <v>0</v>
      </c>
      <c r="N2203" s="182" t="n">
        <v>0</v>
      </c>
      <c r="O2203" s="183" t="n">
        <v>0</v>
      </c>
      <c r="P2203" s="183" t="n">
        <v>0</v>
      </c>
      <c r="Q2203" s="184" t="n">
        <v>0</v>
      </c>
      <c r="R2203" s="184" t="n">
        <v>0</v>
      </c>
      <c r="S2203" s="183" t="n">
        <v>0</v>
      </c>
      <c r="T2203" s="183" t="n">
        <v>0</v>
      </c>
      <c r="U2203" s="182" t="n">
        <v>2.58</v>
      </c>
      <c r="V2203" s="182" t="n">
        <v>0</v>
      </c>
      <c r="W2203" s="182" t="n">
        <v>0</v>
      </c>
      <c r="X2203" s="182" t="n">
        <v>0.88</v>
      </c>
      <c r="Y2203" s="182" t="n">
        <v>0</v>
      </c>
      <c r="Z2203" s="182" t="n">
        <v>0</v>
      </c>
      <c r="AA2203" s="182" t="n">
        <v>0</v>
      </c>
      <c r="AB2203" s="182" t="n">
        <v>0</v>
      </c>
      <c r="AC2203" s="182" t="n">
        <v>0</v>
      </c>
      <c r="AD2203" s="182" t="n">
        <v>0</v>
      </c>
      <c r="AE2203" s="182" t="n">
        <v>0</v>
      </c>
      <c r="AF2203" s="182" t="n">
        <v>0</v>
      </c>
      <c r="AG2203" s="182" t="n">
        <v>0</v>
      </c>
      <c r="AH2203" s="182" t="n">
        <v>0</v>
      </c>
      <c r="AI2203" s="182" t="n">
        <v>0</v>
      </c>
      <c r="AJ2203" s="182" t="n">
        <v>0</v>
      </c>
      <c r="AK2203" s="182" t="n">
        <v>0</v>
      </c>
      <c r="AL2203" s="182" t="n">
        <v>0</v>
      </c>
      <c r="AM2203" s="182" t="n">
        <v>0.07000000000000001</v>
      </c>
      <c r="AN2203" s="182" t="n">
        <v>0</v>
      </c>
    </row>
    <row r="2204">
      <c r="A2204" s="155" t="n">
        <v>46092</v>
      </c>
      <c r="B2204" s="156" t="inlineStr">
        <is>
          <t>DS</t>
        </is>
      </c>
      <c r="C2204" s="156" t="inlineStr">
        <is>
          <t>DZ-038</t>
        </is>
      </c>
      <c r="D2204" s="156" t="inlineStr">
        <is>
          <t>D 85 ESS-2</t>
        </is>
      </c>
      <c r="E2204" s="156" t="inlineStr">
        <is>
          <t>Bulldozer</t>
        </is>
      </c>
      <c r="F2204" s="156" t="inlineStr"/>
      <c r="G2204" s="182" t="n">
        <v>0</v>
      </c>
      <c r="H2204" s="182" t="n">
        <v>0</v>
      </c>
      <c r="I2204" s="182" t="n">
        <v>12</v>
      </c>
      <c r="J2204" s="182" t="n">
        <v>12</v>
      </c>
      <c r="K2204" s="182" t="n">
        <v>0</v>
      </c>
      <c r="L2204" s="182" t="n">
        <v>12</v>
      </c>
      <c r="M2204" s="182" t="n">
        <v>0</v>
      </c>
      <c r="N2204" s="182" t="n">
        <v>0</v>
      </c>
      <c r="O2204" s="183" t="n">
        <v>0</v>
      </c>
      <c r="P2204" s="183" t="n">
        <v>0</v>
      </c>
      <c r="Q2204" s="184" t="n">
        <v>0</v>
      </c>
      <c r="R2204" s="184" t="n">
        <v>0</v>
      </c>
      <c r="S2204" s="183" t="n">
        <v>0</v>
      </c>
      <c r="T2204" s="183" t="n">
        <v>0</v>
      </c>
      <c r="U2204" s="182" t="n">
        <v>0</v>
      </c>
      <c r="V2204" s="182" t="n">
        <v>0</v>
      </c>
      <c r="W2204" s="182" t="n">
        <v>0</v>
      </c>
      <c r="X2204" s="182" t="n">
        <v>0</v>
      </c>
      <c r="Y2204" s="182" t="n">
        <v>0</v>
      </c>
      <c r="Z2204" s="182" t="n">
        <v>0</v>
      </c>
      <c r="AA2204" s="182" t="n">
        <v>0</v>
      </c>
      <c r="AB2204" s="182" t="n">
        <v>0</v>
      </c>
      <c r="AC2204" s="182" t="n">
        <v>0</v>
      </c>
      <c r="AD2204" s="182" t="n">
        <v>0</v>
      </c>
      <c r="AE2204" s="182" t="n">
        <v>0</v>
      </c>
      <c r="AF2204" s="182" t="n">
        <v>0</v>
      </c>
      <c r="AG2204" s="182" t="n">
        <v>0</v>
      </c>
      <c r="AH2204" s="182" t="n">
        <v>0</v>
      </c>
      <c r="AI2204" s="182" t="n">
        <v>0</v>
      </c>
      <c r="AJ2204" s="182" t="n">
        <v>0</v>
      </c>
      <c r="AK2204" s="182" t="n">
        <v>0</v>
      </c>
      <c r="AL2204" s="182" t="n">
        <v>0</v>
      </c>
      <c r="AM2204" s="182" t="n">
        <v>0</v>
      </c>
      <c r="AN2204" s="182" t="n">
        <v>0</v>
      </c>
    </row>
    <row r="2205">
      <c r="A2205" s="155" t="n">
        <v>46092</v>
      </c>
      <c r="B2205" s="156" t="inlineStr">
        <is>
          <t>DS</t>
        </is>
      </c>
      <c r="C2205" s="156" t="inlineStr">
        <is>
          <t>DZ-039</t>
        </is>
      </c>
      <c r="D2205" s="156" t="inlineStr">
        <is>
          <t>D 85 ESS-2</t>
        </is>
      </c>
      <c r="E2205" s="156" t="inlineStr">
        <is>
          <t>Bulldozer</t>
        </is>
      </c>
      <c r="F2205" s="156" t="inlineStr">
        <is>
          <t>Support Front Loading</t>
        </is>
      </c>
      <c r="G2205" s="182" t="n">
        <v>6.37</v>
      </c>
      <c r="H2205" s="182" t="n">
        <v>0</v>
      </c>
      <c r="I2205" s="182" t="n">
        <v>0</v>
      </c>
      <c r="J2205" s="182" t="n">
        <v>0</v>
      </c>
      <c r="K2205" s="182" t="n">
        <v>5.63</v>
      </c>
      <c r="L2205" s="182" t="n">
        <v>12</v>
      </c>
      <c r="M2205" s="182" t="n">
        <v>0</v>
      </c>
      <c r="N2205" s="182" t="n">
        <v>0</v>
      </c>
      <c r="O2205" s="183" t="n">
        <v>0</v>
      </c>
      <c r="P2205" s="183" t="n">
        <v>0</v>
      </c>
      <c r="Q2205" s="184" t="n">
        <v>0</v>
      </c>
      <c r="R2205" s="184" t="n">
        <v>0</v>
      </c>
      <c r="S2205" s="183" t="n">
        <v>0</v>
      </c>
      <c r="T2205" s="183" t="n">
        <v>0</v>
      </c>
      <c r="U2205" s="182" t="n">
        <v>3.49</v>
      </c>
      <c r="V2205" s="182" t="n">
        <v>0</v>
      </c>
      <c r="W2205" s="182" t="n">
        <v>0</v>
      </c>
      <c r="X2205" s="182" t="n">
        <v>0.99</v>
      </c>
      <c r="Y2205" s="182" t="n">
        <v>0</v>
      </c>
      <c r="Z2205" s="182" t="n">
        <v>0</v>
      </c>
      <c r="AA2205" s="182" t="n">
        <v>0</v>
      </c>
      <c r="AB2205" s="182" t="n">
        <v>0</v>
      </c>
      <c r="AC2205" s="182" t="n">
        <v>0</v>
      </c>
      <c r="AD2205" s="182" t="n">
        <v>0</v>
      </c>
      <c r="AE2205" s="182" t="n">
        <v>0</v>
      </c>
      <c r="AF2205" s="182" t="n">
        <v>0</v>
      </c>
      <c r="AG2205" s="182" t="n">
        <v>0</v>
      </c>
      <c r="AH2205" s="182" t="n">
        <v>0</v>
      </c>
      <c r="AI2205" s="182" t="n">
        <v>0</v>
      </c>
      <c r="AJ2205" s="182" t="n">
        <v>0</v>
      </c>
      <c r="AK2205" s="182" t="n">
        <v>1.08</v>
      </c>
      <c r="AL2205" s="182" t="n">
        <v>0</v>
      </c>
      <c r="AM2205" s="182" t="n">
        <v>0.08</v>
      </c>
      <c r="AN2205" s="182" t="n">
        <v>0</v>
      </c>
    </row>
    <row r="2206">
      <c r="A2206" s="155" t="n">
        <v>46092</v>
      </c>
      <c r="B2206" s="156" t="inlineStr">
        <is>
          <t>DS</t>
        </is>
      </c>
      <c r="C2206" s="156" t="inlineStr">
        <is>
          <t>DZ-032</t>
        </is>
      </c>
      <c r="D2206" s="156" t="inlineStr">
        <is>
          <t>CAT</t>
        </is>
      </c>
      <c r="E2206" s="156" t="inlineStr">
        <is>
          <t>Bulldozer</t>
        </is>
      </c>
      <c r="F2206" s="156" t="inlineStr">
        <is>
          <t>Support Front Loading</t>
        </is>
      </c>
      <c r="G2206" s="182" t="n">
        <v>9.18</v>
      </c>
      <c r="H2206" s="182" t="n">
        <v>0</v>
      </c>
      <c r="I2206" s="182" t="n">
        <v>0.38</v>
      </c>
      <c r="J2206" s="182" t="n">
        <v>0.38</v>
      </c>
      <c r="K2206" s="182" t="n">
        <v>2.44</v>
      </c>
      <c r="L2206" s="182" t="n">
        <v>12</v>
      </c>
      <c r="M2206" s="182" t="n">
        <v>0</v>
      </c>
      <c r="N2206" s="182" t="n">
        <v>0</v>
      </c>
      <c r="O2206" s="183" t="n">
        <v>0</v>
      </c>
      <c r="P2206" s="183" t="n">
        <v>0</v>
      </c>
      <c r="Q2206" s="184" t="n">
        <v>0</v>
      </c>
      <c r="R2206" s="184" t="n">
        <v>0</v>
      </c>
      <c r="S2206" s="183" t="n">
        <v>0</v>
      </c>
      <c r="T2206" s="183" t="n">
        <v>0</v>
      </c>
      <c r="U2206" s="182" t="n">
        <v>1.46</v>
      </c>
      <c r="V2206" s="182" t="n">
        <v>0</v>
      </c>
      <c r="W2206" s="182" t="n">
        <v>0</v>
      </c>
      <c r="X2206" s="182" t="n">
        <v>0.9</v>
      </c>
      <c r="Y2206" s="182" t="n">
        <v>0</v>
      </c>
      <c r="Z2206" s="182" t="n">
        <v>0</v>
      </c>
      <c r="AA2206" s="182" t="n">
        <v>0</v>
      </c>
      <c r="AB2206" s="182" t="n">
        <v>0</v>
      </c>
      <c r="AC2206" s="182" t="n">
        <v>0</v>
      </c>
      <c r="AD2206" s="182" t="n">
        <v>0</v>
      </c>
      <c r="AE2206" s="182" t="n">
        <v>0</v>
      </c>
      <c r="AF2206" s="182" t="n">
        <v>0</v>
      </c>
      <c r="AG2206" s="182" t="n">
        <v>0</v>
      </c>
      <c r="AH2206" s="182" t="n">
        <v>0</v>
      </c>
      <c r="AI2206" s="182" t="n">
        <v>0</v>
      </c>
      <c r="AJ2206" s="182" t="n">
        <v>0</v>
      </c>
      <c r="AK2206" s="182" t="n">
        <v>0</v>
      </c>
      <c r="AL2206" s="182" t="n">
        <v>0</v>
      </c>
      <c r="AM2206" s="182" t="n">
        <v>0.07000000000000001</v>
      </c>
      <c r="AN2206" s="182" t="n">
        <v>0</v>
      </c>
    </row>
    <row r="2207">
      <c r="A2207" s="155" t="n">
        <v>46092</v>
      </c>
      <c r="B2207" s="156" t="inlineStr">
        <is>
          <t>DS</t>
        </is>
      </c>
      <c r="C2207" s="156" t="inlineStr">
        <is>
          <t>DZ-031</t>
        </is>
      </c>
      <c r="D2207" s="156" t="inlineStr">
        <is>
          <t>CAT</t>
        </is>
      </c>
      <c r="E2207" s="156" t="inlineStr">
        <is>
          <t>Bulldozer</t>
        </is>
      </c>
      <c r="F2207" s="156" t="inlineStr"/>
      <c r="G2207" s="182" t="n">
        <v>0</v>
      </c>
      <c r="H2207" s="182" t="n">
        <v>0</v>
      </c>
      <c r="I2207" s="182" t="n">
        <v>12</v>
      </c>
      <c r="J2207" s="182" t="n">
        <v>12</v>
      </c>
      <c r="K2207" s="182" t="n">
        <v>0</v>
      </c>
      <c r="L2207" s="182" t="n">
        <v>12</v>
      </c>
      <c r="M2207" s="182" t="n">
        <v>0</v>
      </c>
      <c r="N2207" s="182" t="n">
        <v>0</v>
      </c>
      <c r="O2207" s="183" t="n">
        <v>0</v>
      </c>
      <c r="P2207" s="183" t="n">
        <v>0</v>
      </c>
      <c r="Q2207" s="184" t="n">
        <v>0</v>
      </c>
      <c r="R2207" s="184" t="n">
        <v>0</v>
      </c>
      <c r="S2207" s="183" t="n">
        <v>0</v>
      </c>
      <c r="T2207" s="183" t="n">
        <v>0</v>
      </c>
      <c r="U2207" s="182" t="n">
        <v>0</v>
      </c>
      <c r="V2207" s="182" t="n">
        <v>0</v>
      </c>
      <c r="W2207" s="182" t="n">
        <v>0</v>
      </c>
      <c r="X2207" s="182" t="n">
        <v>0</v>
      </c>
      <c r="Y2207" s="182" t="n">
        <v>0</v>
      </c>
      <c r="Z2207" s="182" t="n">
        <v>0</v>
      </c>
      <c r="AA2207" s="182" t="n">
        <v>0</v>
      </c>
      <c r="AB2207" s="182" t="n">
        <v>0</v>
      </c>
      <c r="AC2207" s="182" t="n">
        <v>0</v>
      </c>
      <c r="AD2207" s="182" t="n">
        <v>0</v>
      </c>
      <c r="AE2207" s="182" t="n">
        <v>0</v>
      </c>
      <c r="AF2207" s="182" t="n">
        <v>0</v>
      </c>
      <c r="AG2207" s="182" t="n">
        <v>0</v>
      </c>
      <c r="AH2207" s="182" t="n">
        <v>0</v>
      </c>
      <c r="AI2207" s="182" t="n">
        <v>0</v>
      </c>
      <c r="AJ2207" s="182" t="n">
        <v>0</v>
      </c>
      <c r="AK2207" s="182" t="n">
        <v>0</v>
      </c>
      <c r="AL2207" s="182" t="n">
        <v>0</v>
      </c>
      <c r="AM2207" s="182" t="n">
        <v>0</v>
      </c>
      <c r="AN2207" s="182" t="n">
        <v>0</v>
      </c>
    </row>
    <row r="2208">
      <c r="A2208" s="155" t="n">
        <v>46092</v>
      </c>
      <c r="B2208" s="156" t="inlineStr">
        <is>
          <t>DS</t>
        </is>
      </c>
      <c r="C2208" s="156" t="inlineStr">
        <is>
          <t>DZ-037</t>
        </is>
      </c>
      <c r="D2208" s="156" t="inlineStr">
        <is>
          <t>D 85 ESS-2</t>
        </is>
      </c>
      <c r="E2208" s="156" t="inlineStr">
        <is>
          <t>Bulldozer</t>
        </is>
      </c>
      <c r="F2208" s="156" t="inlineStr">
        <is>
          <t>Support Disposal</t>
        </is>
      </c>
      <c r="G2208" s="182" t="n">
        <v>11.17</v>
      </c>
      <c r="H2208" s="182" t="n">
        <v>0</v>
      </c>
      <c r="I2208" s="182" t="n">
        <v>0</v>
      </c>
      <c r="J2208" s="182" t="n">
        <v>0</v>
      </c>
      <c r="K2208" s="182" t="n">
        <v>0.83</v>
      </c>
      <c r="L2208" s="182" t="n">
        <v>12</v>
      </c>
      <c r="M2208" s="182" t="n">
        <v>0</v>
      </c>
      <c r="N2208" s="182" t="n">
        <v>0</v>
      </c>
      <c r="O2208" s="183" t="n">
        <v>0</v>
      </c>
      <c r="P2208" s="183" t="n">
        <v>0</v>
      </c>
      <c r="Q2208" s="184" t="n">
        <v>0</v>
      </c>
      <c r="R2208" s="184" t="n">
        <v>0</v>
      </c>
      <c r="S2208" s="183" t="n">
        <v>0</v>
      </c>
      <c r="T2208" s="183" t="n">
        <v>0</v>
      </c>
      <c r="U2208" s="182" t="n">
        <v>0.76</v>
      </c>
      <c r="V2208" s="182" t="n">
        <v>0</v>
      </c>
      <c r="W2208" s="182" t="n">
        <v>0</v>
      </c>
      <c r="X2208" s="182" t="n">
        <v>0</v>
      </c>
      <c r="Y2208" s="182" t="n">
        <v>0</v>
      </c>
      <c r="Z2208" s="182" t="n">
        <v>0</v>
      </c>
      <c r="AA2208" s="182" t="n">
        <v>0</v>
      </c>
      <c r="AB2208" s="182" t="n">
        <v>0</v>
      </c>
      <c r="AC2208" s="182" t="n">
        <v>0</v>
      </c>
      <c r="AD2208" s="182" t="n">
        <v>0</v>
      </c>
      <c r="AE2208" s="182" t="n">
        <v>0</v>
      </c>
      <c r="AF2208" s="182" t="n">
        <v>0</v>
      </c>
      <c r="AG2208" s="182" t="n">
        <v>0</v>
      </c>
      <c r="AH2208" s="182" t="n">
        <v>0</v>
      </c>
      <c r="AI2208" s="182" t="n">
        <v>0</v>
      </c>
      <c r="AJ2208" s="182" t="n">
        <v>0</v>
      </c>
      <c r="AK2208" s="182" t="n">
        <v>0</v>
      </c>
      <c r="AL2208" s="182" t="n">
        <v>0</v>
      </c>
      <c r="AM2208" s="182" t="n">
        <v>0.07000000000000001</v>
      </c>
      <c r="AN2208" s="182" t="n">
        <v>0</v>
      </c>
    </row>
    <row r="2209">
      <c r="A2209" s="155" t="n">
        <v>46092</v>
      </c>
      <c r="B2209" s="156" t="inlineStr">
        <is>
          <t>DS</t>
        </is>
      </c>
      <c r="C2209" s="156" t="inlineStr">
        <is>
          <t>DZ-036</t>
        </is>
      </c>
      <c r="D2209" s="156" t="inlineStr">
        <is>
          <t>D 85 ESS-2</t>
        </is>
      </c>
      <c r="E2209" s="156" t="inlineStr">
        <is>
          <t>Bulldozer</t>
        </is>
      </c>
      <c r="F2209" s="156" t="inlineStr"/>
      <c r="G2209" s="182" t="n">
        <v>0</v>
      </c>
      <c r="H2209" s="182" t="n">
        <v>0</v>
      </c>
      <c r="I2209" s="182" t="n">
        <v>0</v>
      </c>
      <c r="J2209" s="182" t="n">
        <v>0</v>
      </c>
      <c r="K2209" s="182" t="n">
        <v>12</v>
      </c>
      <c r="L2209" s="182" t="n">
        <v>12</v>
      </c>
      <c r="M2209" s="182" t="n">
        <v>0</v>
      </c>
      <c r="N2209" s="182" t="n">
        <v>0</v>
      </c>
      <c r="O2209" s="183" t="n">
        <v>0</v>
      </c>
      <c r="P2209" s="183" t="n">
        <v>0</v>
      </c>
      <c r="Q2209" s="184" t="n">
        <v>0</v>
      </c>
      <c r="R2209" s="184" t="n">
        <v>0</v>
      </c>
      <c r="S2209" s="183" t="n">
        <v>0</v>
      </c>
      <c r="T2209" s="183" t="n">
        <v>0</v>
      </c>
      <c r="U2209" s="182" t="n">
        <v>0</v>
      </c>
      <c r="V2209" s="182" t="n">
        <v>0</v>
      </c>
      <c r="W2209" s="182" t="n">
        <v>0</v>
      </c>
      <c r="X2209" s="182" t="n">
        <v>1</v>
      </c>
      <c r="Y2209" s="182" t="n">
        <v>0</v>
      </c>
      <c r="Z2209" s="182" t="n">
        <v>0</v>
      </c>
      <c r="AA2209" s="182" t="n">
        <v>0</v>
      </c>
      <c r="AB2209" s="182" t="n">
        <v>0</v>
      </c>
      <c r="AC2209" s="182" t="n">
        <v>0</v>
      </c>
      <c r="AD2209" s="182" t="n">
        <v>0</v>
      </c>
      <c r="AE2209" s="182" t="n">
        <v>0</v>
      </c>
      <c r="AF2209" s="182" t="n">
        <v>0</v>
      </c>
      <c r="AG2209" s="182" t="n">
        <v>0</v>
      </c>
      <c r="AH2209" s="182" t="n">
        <v>0</v>
      </c>
      <c r="AI2209" s="182" t="n">
        <v>0</v>
      </c>
      <c r="AJ2209" s="182" t="n">
        <v>0</v>
      </c>
      <c r="AK2209" s="182" t="n">
        <v>10.92</v>
      </c>
      <c r="AL2209" s="182" t="n">
        <v>0</v>
      </c>
      <c r="AM2209" s="182" t="n">
        <v>0.08</v>
      </c>
      <c r="AN2209" s="182" t="n">
        <v>0</v>
      </c>
    </row>
    <row r="2210">
      <c r="A2210" s="155" t="n">
        <v>46092</v>
      </c>
      <c r="B2210" s="156" t="inlineStr">
        <is>
          <t>DS</t>
        </is>
      </c>
      <c r="C2210" s="156" t="inlineStr">
        <is>
          <t>DZ-035</t>
        </is>
      </c>
      <c r="D2210" s="156" t="inlineStr">
        <is>
          <t>D 85 ESS-2</t>
        </is>
      </c>
      <c r="E2210" s="156" t="inlineStr">
        <is>
          <t>Bulldozer</t>
        </is>
      </c>
      <c r="F2210" s="156" t="inlineStr"/>
      <c r="G2210" s="182" t="n">
        <v>0</v>
      </c>
      <c r="H2210" s="182" t="n">
        <v>0</v>
      </c>
      <c r="I2210" s="182" t="n">
        <v>12</v>
      </c>
      <c r="J2210" s="182" t="n">
        <v>12</v>
      </c>
      <c r="K2210" s="182" t="n">
        <v>0</v>
      </c>
      <c r="L2210" s="182" t="n">
        <v>12</v>
      </c>
      <c r="M2210" s="182" t="n">
        <v>0</v>
      </c>
      <c r="N2210" s="182" t="n">
        <v>0</v>
      </c>
      <c r="O2210" s="183" t="n">
        <v>0</v>
      </c>
      <c r="P2210" s="183" t="n">
        <v>0</v>
      </c>
      <c r="Q2210" s="184" t="n">
        <v>0</v>
      </c>
      <c r="R2210" s="184" t="n">
        <v>0</v>
      </c>
      <c r="S2210" s="183" t="n">
        <v>0</v>
      </c>
      <c r="T2210" s="183" t="n">
        <v>0</v>
      </c>
      <c r="U2210" s="182" t="n">
        <v>0</v>
      </c>
      <c r="V2210" s="182" t="n">
        <v>0</v>
      </c>
      <c r="W2210" s="182" t="n">
        <v>0</v>
      </c>
      <c r="X2210" s="182" t="n">
        <v>0</v>
      </c>
      <c r="Y2210" s="182" t="n">
        <v>0</v>
      </c>
      <c r="Z2210" s="182" t="n">
        <v>0</v>
      </c>
      <c r="AA2210" s="182" t="n">
        <v>0</v>
      </c>
      <c r="AB2210" s="182" t="n">
        <v>0</v>
      </c>
      <c r="AC2210" s="182" t="n">
        <v>0</v>
      </c>
      <c r="AD2210" s="182" t="n">
        <v>0</v>
      </c>
      <c r="AE2210" s="182" t="n">
        <v>0</v>
      </c>
      <c r="AF2210" s="182" t="n">
        <v>0</v>
      </c>
      <c r="AG2210" s="182" t="n">
        <v>0</v>
      </c>
      <c r="AH2210" s="182" t="n">
        <v>0</v>
      </c>
      <c r="AI2210" s="182" t="n">
        <v>0</v>
      </c>
      <c r="AJ2210" s="182" t="n">
        <v>0</v>
      </c>
      <c r="AK2210" s="182" t="n">
        <v>0</v>
      </c>
      <c r="AL2210" s="182" t="n">
        <v>0</v>
      </c>
      <c r="AM2210" s="182" t="n">
        <v>0</v>
      </c>
      <c r="AN2210" s="182" t="n">
        <v>0</v>
      </c>
    </row>
    <row r="2211">
      <c r="A2211" s="155" t="n">
        <v>46092</v>
      </c>
      <c r="B2211" s="156" t="inlineStr">
        <is>
          <t>DS</t>
        </is>
      </c>
      <c r="C2211" s="156" t="inlineStr">
        <is>
          <t>CP-042</t>
        </is>
      </c>
      <c r="D2211" s="156" t="inlineStr">
        <is>
          <t>SANY - Compactor</t>
        </is>
      </c>
      <c r="E2211" s="156" t="inlineStr">
        <is>
          <t>Compactor</t>
        </is>
      </c>
      <c r="F2211" s="156" t="inlineStr"/>
      <c r="G2211" s="182" t="n">
        <v>0</v>
      </c>
      <c r="H2211" s="182" t="n">
        <v>0</v>
      </c>
      <c r="I2211" s="182" t="n">
        <v>0</v>
      </c>
      <c r="J2211" s="182" t="n">
        <v>0</v>
      </c>
      <c r="K2211" s="182" t="n">
        <v>12</v>
      </c>
      <c r="L2211" s="182" t="n">
        <v>12</v>
      </c>
      <c r="M2211" s="182" t="n">
        <v>0</v>
      </c>
      <c r="N2211" s="182" t="n">
        <v>0</v>
      </c>
      <c r="O2211" s="183" t="n">
        <v>0</v>
      </c>
      <c r="P2211" s="183" t="n">
        <v>0</v>
      </c>
      <c r="Q2211" s="184" t="n">
        <v>0</v>
      </c>
      <c r="R2211" s="184" t="n">
        <v>0</v>
      </c>
      <c r="S2211" s="183" t="n">
        <v>0</v>
      </c>
      <c r="T2211" s="183" t="n">
        <v>0</v>
      </c>
      <c r="U2211" s="182" t="n">
        <v>0</v>
      </c>
      <c r="V2211" s="182" t="n">
        <v>0</v>
      </c>
      <c r="W2211" s="182" t="n">
        <v>0</v>
      </c>
      <c r="X2211" s="182" t="n">
        <v>1</v>
      </c>
      <c r="Y2211" s="182" t="n">
        <v>0</v>
      </c>
      <c r="Z2211" s="182" t="n">
        <v>0</v>
      </c>
      <c r="AA2211" s="182" t="n">
        <v>0</v>
      </c>
      <c r="AB2211" s="182" t="n">
        <v>0</v>
      </c>
      <c r="AC2211" s="182" t="n">
        <v>0</v>
      </c>
      <c r="AD2211" s="182" t="n">
        <v>0</v>
      </c>
      <c r="AE2211" s="182" t="n">
        <v>0</v>
      </c>
      <c r="AF2211" s="182" t="n">
        <v>0</v>
      </c>
      <c r="AG2211" s="182" t="n">
        <v>0</v>
      </c>
      <c r="AH2211" s="182" t="n">
        <v>0</v>
      </c>
      <c r="AI2211" s="182" t="n">
        <v>0</v>
      </c>
      <c r="AJ2211" s="182" t="n">
        <v>0</v>
      </c>
      <c r="AK2211" s="182" t="n">
        <v>10.92</v>
      </c>
      <c r="AL2211" s="182" t="n">
        <v>0</v>
      </c>
      <c r="AM2211" s="182" t="n">
        <v>0.08</v>
      </c>
      <c r="AN2211" s="182" t="n">
        <v>0</v>
      </c>
    </row>
    <row r="2212">
      <c r="A2212" s="155" t="n">
        <v>46092</v>
      </c>
      <c r="B2212" s="156" t="inlineStr">
        <is>
          <t>DS</t>
        </is>
      </c>
      <c r="C2212" s="156" t="inlineStr">
        <is>
          <t>CP-041</t>
        </is>
      </c>
      <c r="D2212" s="156" t="inlineStr">
        <is>
          <t>SANY - Compactor</t>
        </is>
      </c>
      <c r="E2212" s="156" t="inlineStr">
        <is>
          <t>Compactor</t>
        </is>
      </c>
      <c r="F2212" s="156" t="inlineStr">
        <is>
          <t>Pemadatan di Stock ROM</t>
        </is>
      </c>
      <c r="G2212" s="182" t="n">
        <v>2.08</v>
      </c>
      <c r="H2212" s="182" t="n">
        <v>0</v>
      </c>
      <c r="I2212" s="182" t="n">
        <v>0</v>
      </c>
      <c r="J2212" s="182" t="n">
        <v>0</v>
      </c>
      <c r="K2212" s="182" t="n">
        <v>9.92</v>
      </c>
      <c r="L2212" s="182" t="n">
        <v>12</v>
      </c>
      <c r="M2212" s="182" t="n">
        <v>0</v>
      </c>
      <c r="N2212" s="182" t="n">
        <v>0</v>
      </c>
      <c r="O2212" s="183" t="n">
        <v>0</v>
      </c>
      <c r="P2212" s="183" t="n">
        <v>0</v>
      </c>
      <c r="Q2212" s="184" t="n">
        <v>0</v>
      </c>
      <c r="R2212" s="184" t="n">
        <v>0</v>
      </c>
      <c r="S2212" s="183" t="n">
        <v>0</v>
      </c>
      <c r="T2212" s="183" t="n">
        <v>0</v>
      </c>
      <c r="U2212" s="182" t="n">
        <v>0</v>
      </c>
      <c r="V2212" s="182" t="n">
        <v>0</v>
      </c>
      <c r="W2212" s="182" t="n">
        <v>0</v>
      </c>
      <c r="X2212" s="182" t="n">
        <v>1.01</v>
      </c>
      <c r="Y2212" s="182" t="n">
        <v>0</v>
      </c>
      <c r="Z2212" s="182" t="n">
        <v>0</v>
      </c>
      <c r="AA2212" s="182" t="n">
        <v>0</v>
      </c>
      <c r="AB2212" s="182" t="n">
        <v>0</v>
      </c>
      <c r="AC2212" s="182" t="n">
        <v>0</v>
      </c>
      <c r="AD2212" s="182" t="n">
        <v>0</v>
      </c>
      <c r="AE2212" s="182" t="n">
        <v>0</v>
      </c>
      <c r="AF2212" s="182" t="n">
        <v>0</v>
      </c>
      <c r="AG2212" s="182" t="n">
        <v>0</v>
      </c>
      <c r="AH2212" s="182" t="n">
        <v>0</v>
      </c>
      <c r="AI2212" s="182" t="n">
        <v>0</v>
      </c>
      <c r="AJ2212" s="182" t="n">
        <v>0</v>
      </c>
      <c r="AK2212" s="182" t="n">
        <v>8.83</v>
      </c>
      <c r="AL2212" s="182" t="n">
        <v>0</v>
      </c>
      <c r="AM2212" s="182" t="n">
        <v>0.08</v>
      </c>
      <c r="AN2212" s="182" t="n">
        <v>0</v>
      </c>
    </row>
    <row r="2213">
      <c r="A2213" s="155" t="n">
        <v>46092</v>
      </c>
      <c r="B2213" s="156" t="inlineStr">
        <is>
          <t>DS</t>
        </is>
      </c>
      <c r="C2213" s="156" t="inlineStr">
        <is>
          <t>HT-418</t>
        </is>
      </c>
      <c r="D2213" s="156" t="inlineStr">
        <is>
          <t>SY430</t>
        </is>
      </c>
      <c r="E2213" s="156" t="inlineStr">
        <is>
          <t>DT Hauling</t>
        </is>
      </c>
      <c r="F2213" s="156" t="inlineStr"/>
      <c r="G2213" s="182" t="n">
        <v>0</v>
      </c>
      <c r="H2213" s="182" t="n">
        <v>0</v>
      </c>
      <c r="I2213" s="182" t="n">
        <v>0</v>
      </c>
      <c r="J2213" s="182" t="n">
        <v>0</v>
      </c>
      <c r="K2213" s="182" t="n">
        <v>12</v>
      </c>
      <c r="L2213" s="182" t="n">
        <v>12</v>
      </c>
      <c r="M2213" s="182" t="n">
        <v>0</v>
      </c>
      <c r="N2213" s="182" t="n">
        <v>0</v>
      </c>
      <c r="O2213" s="183" t="n">
        <v>0</v>
      </c>
      <c r="P2213" s="183" t="n">
        <v>0</v>
      </c>
      <c r="Q2213" s="184" t="n">
        <v>0</v>
      </c>
      <c r="R2213" s="184" t="n">
        <v>0</v>
      </c>
      <c r="S2213" s="183" t="n">
        <v>0</v>
      </c>
      <c r="T2213" s="183" t="n">
        <v>0</v>
      </c>
      <c r="U2213" s="182" t="n">
        <v>0</v>
      </c>
      <c r="V2213" s="182" t="n">
        <v>0</v>
      </c>
      <c r="W2213" s="182" t="n">
        <v>0</v>
      </c>
      <c r="X2213" s="182" t="n">
        <v>1</v>
      </c>
      <c r="Y2213" s="182" t="n">
        <v>0</v>
      </c>
      <c r="Z2213" s="182" t="n">
        <v>0</v>
      </c>
      <c r="AA2213" s="182" t="n">
        <v>0</v>
      </c>
      <c r="AB2213" s="182" t="n">
        <v>0</v>
      </c>
      <c r="AC2213" s="182" t="n">
        <v>0</v>
      </c>
      <c r="AD2213" s="182" t="n">
        <v>0</v>
      </c>
      <c r="AE2213" s="182" t="n">
        <v>0</v>
      </c>
      <c r="AF2213" s="182" t="n">
        <v>0</v>
      </c>
      <c r="AG2213" s="182" t="n">
        <v>0</v>
      </c>
      <c r="AH2213" s="182" t="n">
        <v>0</v>
      </c>
      <c r="AI2213" s="182" t="n">
        <v>0</v>
      </c>
      <c r="AJ2213" s="182" t="n">
        <v>0</v>
      </c>
      <c r="AK2213" s="182" t="n">
        <v>10.92</v>
      </c>
      <c r="AL2213" s="182" t="n">
        <v>0</v>
      </c>
      <c r="AM2213" s="182" t="n">
        <v>0.08</v>
      </c>
      <c r="AN2213" s="182" t="n">
        <v>0</v>
      </c>
    </row>
    <row r="2214">
      <c r="A2214" s="155" t="n">
        <v>46092</v>
      </c>
      <c r="B2214" s="156" t="inlineStr">
        <is>
          <t>DS</t>
        </is>
      </c>
      <c r="C2214" s="156" t="inlineStr">
        <is>
          <t>HT-404</t>
        </is>
      </c>
      <c r="D2214" s="156" t="inlineStr">
        <is>
          <t>SY430</t>
        </is>
      </c>
      <c r="E2214" s="156" t="inlineStr">
        <is>
          <t>DT Hauling</t>
        </is>
      </c>
      <c r="F2214" s="156" t="inlineStr"/>
      <c r="G2214" s="182" t="n">
        <v>0</v>
      </c>
      <c r="H2214" s="182" t="n">
        <v>0</v>
      </c>
      <c r="I2214" s="182" t="n">
        <v>12</v>
      </c>
      <c r="J2214" s="182" t="n">
        <v>12</v>
      </c>
      <c r="K2214" s="182" t="n">
        <v>0</v>
      </c>
      <c r="L2214" s="182" t="n">
        <v>12</v>
      </c>
      <c r="M2214" s="182" t="n">
        <v>0</v>
      </c>
      <c r="N2214" s="182" t="n">
        <v>0</v>
      </c>
      <c r="O2214" s="183" t="n">
        <v>0</v>
      </c>
      <c r="P2214" s="183" t="n">
        <v>0</v>
      </c>
      <c r="Q2214" s="184" t="n">
        <v>0</v>
      </c>
      <c r="R2214" s="184" t="n">
        <v>0</v>
      </c>
      <c r="S2214" s="183" t="n">
        <v>0</v>
      </c>
      <c r="T2214" s="183" t="n">
        <v>0</v>
      </c>
      <c r="U2214" s="182" t="n">
        <v>0</v>
      </c>
      <c r="V2214" s="182" t="n">
        <v>0</v>
      </c>
      <c r="W2214" s="182" t="n">
        <v>0</v>
      </c>
      <c r="X2214" s="182" t="n">
        <v>0</v>
      </c>
      <c r="Y2214" s="182" t="n">
        <v>0</v>
      </c>
      <c r="Z2214" s="182" t="n">
        <v>0</v>
      </c>
      <c r="AA2214" s="182" t="n">
        <v>0</v>
      </c>
      <c r="AB2214" s="182" t="n">
        <v>0</v>
      </c>
      <c r="AC2214" s="182" t="n">
        <v>0</v>
      </c>
      <c r="AD2214" s="182" t="n">
        <v>0</v>
      </c>
      <c r="AE2214" s="182" t="n">
        <v>0</v>
      </c>
      <c r="AF2214" s="182" t="n">
        <v>0</v>
      </c>
      <c r="AG2214" s="182" t="n">
        <v>0</v>
      </c>
      <c r="AH2214" s="182" t="n">
        <v>0</v>
      </c>
      <c r="AI2214" s="182" t="n">
        <v>0</v>
      </c>
      <c r="AJ2214" s="182" t="n">
        <v>0</v>
      </c>
      <c r="AK2214" s="182" t="n">
        <v>0</v>
      </c>
      <c r="AL2214" s="182" t="n">
        <v>0</v>
      </c>
      <c r="AM2214" s="182" t="n">
        <v>0</v>
      </c>
      <c r="AN2214" s="182" t="n">
        <v>0</v>
      </c>
    </row>
    <row r="2215">
      <c r="A2215" s="155" t="n">
        <v>46092</v>
      </c>
      <c r="B2215" s="156" t="inlineStr">
        <is>
          <t>DS</t>
        </is>
      </c>
      <c r="C2215" s="156" t="inlineStr">
        <is>
          <t>HT-415</t>
        </is>
      </c>
      <c r="D2215" s="156" t="inlineStr">
        <is>
          <t>SY430</t>
        </is>
      </c>
      <c r="E2215" s="156" t="inlineStr">
        <is>
          <t>DT Hauling</t>
        </is>
      </c>
      <c r="F2215" s="156" t="inlineStr"/>
      <c r="G2215" s="182" t="n">
        <v>0</v>
      </c>
      <c r="H2215" s="182" t="n">
        <v>0</v>
      </c>
      <c r="I2215" s="182" t="n">
        <v>12</v>
      </c>
      <c r="J2215" s="182" t="n">
        <v>12</v>
      </c>
      <c r="K2215" s="182" t="n">
        <v>0</v>
      </c>
      <c r="L2215" s="182" t="n">
        <v>12</v>
      </c>
      <c r="M2215" s="182" t="n">
        <v>0</v>
      </c>
      <c r="N2215" s="182" t="n">
        <v>0</v>
      </c>
      <c r="O2215" s="183" t="n">
        <v>0</v>
      </c>
      <c r="P2215" s="183" t="n">
        <v>0</v>
      </c>
      <c r="Q2215" s="184" t="n">
        <v>0</v>
      </c>
      <c r="R2215" s="184" t="n">
        <v>0</v>
      </c>
      <c r="S2215" s="183" t="n">
        <v>0</v>
      </c>
      <c r="T2215" s="183" t="n">
        <v>0</v>
      </c>
      <c r="U2215" s="182" t="n">
        <v>0</v>
      </c>
      <c r="V2215" s="182" t="n">
        <v>0</v>
      </c>
      <c r="W2215" s="182" t="n">
        <v>0</v>
      </c>
      <c r="X2215" s="182" t="n">
        <v>0</v>
      </c>
      <c r="Y2215" s="182" t="n">
        <v>0</v>
      </c>
      <c r="Z2215" s="182" t="n">
        <v>0</v>
      </c>
      <c r="AA2215" s="182" t="n">
        <v>0</v>
      </c>
      <c r="AB2215" s="182" t="n">
        <v>0</v>
      </c>
      <c r="AC2215" s="182" t="n">
        <v>0</v>
      </c>
      <c r="AD2215" s="182" t="n">
        <v>0</v>
      </c>
      <c r="AE2215" s="182" t="n">
        <v>0</v>
      </c>
      <c r="AF2215" s="182" t="n">
        <v>0</v>
      </c>
      <c r="AG2215" s="182" t="n">
        <v>0</v>
      </c>
      <c r="AH2215" s="182" t="n">
        <v>0</v>
      </c>
      <c r="AI2215" s="182" t="n">
        <v>0</v>
      </c>
      <c r="AJ2215" s="182" t="n">
        <v>0</v>
      </c>
      <c r="AK2215" s="182" t="n">
        <v>0</v>
      </c>
      <c r="AL2215" s="182" t="n">
        <v>0</v>
      </c>
      <c r="AM2215" s="182" t="n">
        <v>0</v>
      </c>
      <c r="AN2215" s="182" t="n">
        <v>0</v>
      </c>
    </row>
    <row r="2216">
      <c r="A2216" s="155" t="n">
        <v>46092</v>
      </c>
      <c r="B2216" s="156" t="inlineStr">
        <is>
          <t>DS</t>
        </is>
      </c>
      <c r="C2216" s="156" t="inlineStr">
        <is>
          <t>HT-406</t>
        </is>
      </c>
      <c r="D2216" s="156" t="inlineStr">
        <is>
          <t>SY430</t>
        </is>
      </c>
      <c r="E2216" s="156" t="inlineStr">
        <is>
          <t>DT Hauling</t>
        </is>
      </c>
      <c r="F2216" s="156" t="inlineStr"/>
      <c r="G2216" s="182" t="n">
        <v>0</v>
      </c>
      <c r="H2216" s="182" t="n">
        <v>0</v>
      </c>
      <c r="I2216" s="182" t="n">
        <v>12</v>
      </c>
      <c r="J2216" s="182" t="n">
        <v>12</v>
      </c>
      <c r="K2216" s="182" t="n">
        <v>0</v>
      </c>
      <c r="L2216" s="182" t="n">
        <v>12</v>
      </c>
      <c r="M2216" s="182" t="n">
        <v>0</v>
      </c>
      <c r="N2216" s="182" t="n">
        <v>0</v>
      </c>
      <c r="O2216" s="183" t="n">
        <v>0</v>
      </c>
      <c r="P2216" s="183" t="n">
        <v>0</v>
      </c>
      <c r="Q2216" s="184" t="n">
        <v>0</v>
      </c>
      <c r="R2216" s="184" t="n">
        <v>0</v>
      </c>
      <c r="S2216" s="183" t="n">
        <v>0</v>
      </c>
      <c r="T2216" s="183" t="n">
        <v>0</v>
      </c>
      <c r="U2216" s="182" t="n">
        <v>0</v>
      </c>
      <c r="V2216" s="182" t="n">
        <v>0</v>
      </c>
      <c r="W2216" s="182" t="n">
        <v>0</v>
      </c>
      <c r="X2216" s="182" t="n">
        <v>0</v>
      </c>
      <c r="Y2216" s="182" t="n">
        <v>0</v>
      </c>
      <c r="Z2216" s="182" t="n">
        <v>0</v>
      </c>
      <c r="AA2216" s="182" t="n">
        <v>0</v>
      </c>
      <c r="AB2216" s="182" t="n">
        <v>0</v>
      </c>
      <c r="AC2216" s="182" t="n">
        <v>0</v>
      </c>
      <c r="AD2216" s="182" t="n">
        <v>0</v>
      </c>
      <c r="AE2216" s="182" t="n">
        <v>0</v>
      </c>
      <c r="AF2216" s="182" t="n">
        <v>0</v>
      </c>
      <c r="AG2216" s="182" t="n">
        <v>0</v>
      </c>
      <c r="AH2216" s="182" t="n">
        <v>0</v>
      </c>
      <c r="AI2216" s="182" t="n">
        <v>0</v>
      </c>
      <c r="AJ2216" s="182" t="n">
        <v>0</v>
      </c>
      <c r="AK2216" s="182" t="n">
        <v>0</v>
      </c>
      <c r="AL2216" s="182" t="n">
        <v>0</v>
      </c>
      <c r="AM2216" s="182" t="n">
        <v>0</v>
      </c>
      <c r="AN2216" s="182" t="n">
        <v>0</v>
      </c>
    </row>
    <row r="2217">
      <c r="A2217" s="155" t="n">
        <v>46092</v>
      </c>
      <c r="B2217" s="156" t="inlineStr">
        <is>
          <t>DS</t>
        </is>
      </c>
      <c r="C2217" s="156" t="inlineStr">
        <is>
          <t>HT-405</t>
        </is>
      </c>
      <c r="D2217" s="156" t="inlineStr">
        <is>
          <t>SY430</t>
        </is>
      </c>
      <c r="E2217" s="156" t="inlineStr">
        <is>
          <t>DT Hauling</t>
        </is>
      </c>
      <c r="F2217" s="156" t="inlineStr"/>
      <c r="G2217" s="182" t="n">
        <v>0</v>
      </c>
      <c r="H2217" s="182" t="n">
        <v>0</v>
      </c>
      <c r="I2217" s="182" t="n">
        <v>0</v>
      </c>
      <c r="J2217" s="182" t="n">
        <v>0</v>
      </c>
      <c r="K2217" s="182" t="n">
        <v>12</v>
      </c>
      <c r="L2217" s="182" t="n">
        <v>12</v>
      </c>
      <c r="M2217" s="182" t="n">
        <v>0</v>
      </c>
      <c r="N2217" s="182" t="n">
        <v>0</v>
      </c>
      <c r="O2217" s="183" t="n">
        <v>0</v>
      </c>
      <c r="P2217" s="183" t="n">
        <v>0</v>
      </c>
      <c r="Q2217" s="184" t="n">
        <v>0</v>
      </c>
      <c r="R2217" s="184" t="n">
        <v>0</v>
      </c>
      <c r="S2217" s="183" t="n">
        <v>0</v>
      </c>
      <c r="T2217" s="183" t="n">
        <v>0</v>
      </c>
      <c r="U2217" s="182" t="n">
        <v>0</v>
      </c>
      <c r="V2217" s="182" t="n">
        <v>0</v>
      </c>
      <c r="W2217" s="182" t="n">
        <v>0</v>
      </c>
      <c r="X2217" s="182" t="n">
        <v>1</v>
      </c>
      <c r="Y2217" s="182" t="n">
        <v>0</v>
      </c>
      <c r="Z2217" s="182" t="n">
        <v>0</v>
      </c>
      <c r="AA2217" s="182" t="n">
        <v>0</v>
      </c>
      <c r="AB2217" s="182" t="n">
        <v>0</v>
      </c>
      <c r="AC2217" s="182" t="n">
        <v>0</v>
      </c>
      <c r="AD2217" s="182" t="n">
        <v>0</v>
      </c>
      <c r="AE2217" s="182" t="n">
        <v>0</v>
      </c>
      <c r="AF2217" s="182" t="n">
        <v>0</v>
      </c>
      <c r="AG2217" s="182" t="n">
        <v>0</v>
      </c>
      <c r="AH2217" s="182" t="n">
        <v>0</v>
      </c>
      <c r="AI2217" s="182" t="n">
        <v>0</v>
      </c>
      <c r="AJ2217" s="182" t="n">
        <v>0</v>
      </c>
      <c r="AK2217" s="182" t="n">
        <v>10.92</v>
      </c>
      <c r="AL2217" s="182" t="n">
        <v>0</v>
      </c>
      <c r="AM2217" s="182" t="n">
        <v>0.08</v>
      </c>
      <c r="AN2217" s="182" t="n">
        <v>0</v>
      </c>
    </row>
    <row r="2218">
      <c r="A2218" s="155" t="n">
        <v>46092</v>
      </c>
      <c r="B2218" s="156" t="inlineStr">
        <is>
          <t>DS</t>
        </is>
      </c>
      <c r="C2218" s="156" t="inlineStr">
        <is>
          <t>HT-417</t>
        </is>
      </c>
      <c r="D2218" s="156" t="inlineStr">
        <is>
          <t>SY430</t>
        </is>
      </c>
      <c r="E2218" s="156" t="inlineStr">
        <is>
          <t>DT Hauling</t>
        </is>
      </c>
      <c r="F2218" s="156" t="inlineStr"/>
      <c r="G2218" s="182" t="n">
        <v>0</v>
      </c>
      <c r="H2218" s="182" t="n">
        <v>0</v>
      </c>
      <c r="I2218" s="182" t="n">
        <v>0</v>
      </c>
      <c r="J2218" s="182" t="n">
        <v>0</v>
      </c>
      <c r="K2218" s="182" t="n">
        <v>12</v>
      </c>
      <c r="L2218" s="182" t="n">
        <v>12</v>
      </c>
      <c r="M2218" s="182" t="n">
        <v>0</v>
      </c>
      <c r="N2218" s="182" t="n">
        <v>0</v>
      </c>
      <c r="O2218" s="183" t="n">
        <v>0</v>
      </c>
      <c r="P2218" s="183" t="n">
        <v>0</v>
      </c>
      <c r="Q2218" s="184" t="n">
        <v>0</v>
      </c>
      <c r="R2218" s="184" t="n">
        <v>0</v>
      </c>
      <c r="S2218" s="183" t="n">
        <v>0</v>
      </c>
      <c r="T2218" s="183" t="n">
        <v>0</v>
      </c>
      <c r="U2218" s="182" t="n">
        <v>0</v>
      </c>
      <c r="V2218" s="182" t="n">
        <v>0</v>
      </c>
      <c r="W2218" s="182" t="n">
        <v>0</v>
      </c>
      <c r="X2218" s="182" t="n">
        <v>1</v>
      </c>
      <c r="Y2218" s="182" t="n">
        <v>0</v>
      </c>
      <c r="Z2218" s="182" t="n">
        <v>0</v>
      </c>
      <c r="AA2218" s="182" t="n">
        <v>0</v>
      </c>
      <c r="AB2218" s="182" t="n">
        <v>0</v>
      </c>
      <c r="AC2218" s="182" t="n">
        <v>0</v>
      </c>
      <c r="AD2218" s="182" t="n">
        <v>0</v>
      </c>
      <c r="AE2218" s="182" t="n">
        <v>0</v>
      </c>
      <c r="AF2218" s="182" t="n">
        <v>0</v>
      </c>
      <c r="AG2218" s="182" t="n">
        <v>0</v>
      </c>
      <c r="AH2218" s="182" t="n">
        <v>0</v>
      </c>
      <c r="AI2218" s="182" t="n">
        <v>0</v>
      </c>
      <c r="AJ2218" s="182" t="n">
        <v>0</v>
      </c>
      <c r="AK2218" s="182" t="n">
        <v>10.92</v>
      </c>
      <c r="AL2218" s="182" t="n">
        <v>0</v>
      </c>
      <c r="AM2218" s="182" t="n">
        <v>0.08</v>
      </c>
      <c r="AN2218" s="182" t="n">
        <v>0</v>
      </c>
    </row>
    <row r="2219">
      <c r="A2219" s="155" t="n">
        <v>46092</v>
      </c>
      <c r="B2219" s="156" t="inlineStr">
        <is>
          <t>DS</t>
        </is>
      </c>
      <c r="C2219" s="156" t="inlineStr">
        <is>
          <t>HT-401</t>
        </is>
      </c>
      <c r="D2219" s="156" t="inlineStr">
        <is>
          <t>SY430</t>
        </is>
      </c>
      <c r="E2219" s="156" t="inlineStr">
        <is>
          <t>DT Hauling</t>
        </is>
      </c>
      <c r="F2219" s="156" t="inlineStr"/>
      <c r="G2219" s="182" t="n">
        <v>0</v>
      </c>
      <c r="H2219" s="182" t="n">
        <v>0</v>
      </c>
      <c r="I2219" s="182" t="n">
        <v>0</v>
      </c>
      <c r="J2219" s="182" t="n">
        <v>0</v>
      </c>
      <c r="K2219" s="182" t="n">
        <v>12</v>
      </c>
      <c r="L2219" s="182" t="n">
        <v>12</v>
      </c>
      <c r="M2219" s="182" t="n">
        <v>0</v>
      </c>
      <c r="N2219" s="182" t="n">
        <v>0</v>
      </c>
      <c r="O2219" s="183" t="n">
        <v>0</v>
      </c>
      <c r="P2219" s="183" t="n">
        <v>0</v>
      </c>
      <c r="Q2219" s="184" t="n">
        <v>0</v>
      </c>
      <c r="R2219" s="184" t="n">
        <v>0</v>
      </c>
      <c r="S2219" s="183" t="n">
        <v>0</v>
      </c>
      <c r="T2219" s="183" t="n">
        <v>0</v>
      </c>
      <c r="U2219" s="182" t="n">
        <v>0</v>
      </c>
      <c r="V2219" s="182" t="n">
        <v>0</v>
      </c>
      <c r="W2219" s="182" t="n">
        <v>0</v>
      </c>
      <c r="X2219" s="182" t="n">
        <v>1</v>
      </c>
      <c r="Y2219" s="182" t="n">
        <v>0</v>
      </c>
      <c r="Z2219" s="182" t="n">
        <v>0</v>
      </c>
      <c r="AA2219" s="182" t="n">
        <v>0</v>
      </c>
      <c r="AB2219" s="182" t="n">
        <v>0</v>
      </c>
      <c r="AC2219" s="182" t="n">
        <v>0</v>
      </c>
      <c r="AD2219" s="182" t="n">
        <v>0</v>
      </c>
      <c r="AE2219" s="182" t="n">
        <v>0</v>
      </c>
      <c r="AF2219" s="182" t="n">
        <v>0</v>
      </c>
      <c r="AG2219" s="182" t="n">
        <v>0</v>
      </c>
      <c r="AH2219" s="182" t="n">
        <v>0</v>
      </c>
      <c r="AI2219" s="182" t="n">
        <v>0</v>
      </c>
      <c r="AJ2219" s="182" t="n">
        <v>0</v>
      </c>
      <c r="AK2219" s="182" t="n">
        <v>10.92</v>
      </c>
      <c r="AL2219" s="182" t="n">
        <v>0</v>
      </c>
      <c r="AM2219" s="182" t="n">
        <v>0.08</v>
      </c>
      <c r="AN2219" s="182" t="n">
        <v>0</v>
      </c>
    </row>
    <row r="2220">
      <c r="A2220" s="155" t="n">
        <v>46092</v>
      </c>
      <c r="B2220" s="156" t="inlineStr">
        <is>
          <t>DS</t>
        </is>
      </c>
      <c r="C2220" s="156" t="inlineStr">
        <is>
          <t>HT-410</t>
        </is>
      </c>
      <c r="D2220" s="156" t="inlineStr">
        <is>
          <t>SY430</t>
        </is>
      </c>
      <c r="E2220" s="156" t="inlineStr">
        <is>
          <t>DT Hauling</t>
        </is>
      </c>
      <c r="F2220" s="156" t="inlineStr"/>
      <c r="G2220" s="182" t="n">
        <v>0</v>
      </c>
      <c r="H2220" s="182" t="n">
        <v>0</v>
      </c>
      <c r="I2220" s="182" t="n">
        <v>0</v>
      </c>
      <c r="J2220" s="182" t="n">
        <v>0</v>
      </c>
      <c r="K2220" s="182" t="n">
        <v>12</v>
      </c>
      <c r="L2220" s="182" t="n">
        <v>12</v>
      </c>
      <c r="M2220" s="182" t="n">
        <v>0</v>
      </c>
      <c r="N2220" s="182" t="n">
        <v>0</v>
      </c>
      <c r="O2220" s="183" t="n">
        <v>0</v>
      </c>
      <c r="P2220" s="183" t="n">
        <v>0</v>
      </c>
      <c r="Q2220" s="184" t="n">
        <v>0</v>
      </c>
      <c r="R2220" s="184" t="n">
        <v>0</v>
      </c>
      <c r="S2220" s="183" t="n">
        <v>0</v>
      </c>
      <c r="T2220" s="183" t="n">
        <v>0</v>
      </c>
      <c r="U2220" s="182" t="n">
        <v>0</v>
      </c>
      <c r="V2220" s="182" t="n">
        <v>0</v>
      </c>
      <c r="W2220" s="182" t="n">
        <v>0</v>
      </c>
      <c r="X2220" s="182" t="n">
        <v>1</v>
      </c>
      <c r="Y2220" s="182" t="n">
        <v>0</v>
      </c>
      <c r="Z2220" s="182" t="n">
        <v>0</v>
      </c>
      <c r="AA2220" s="182" t="n">
        <v>0</v>
      </c>
      <c r="AB2220" s="182" t="n">
        <v>0</v>
      </c>
      <c r="AC2220" s="182" t="n">
        <v>0</v>
      </c>
      <c r="AD2220" s="182" t="n">
        <v>0</v>
      </c>
      <c r="AE2220" s="182" t="n">
        <v>0</v>
      </c>
      <c r="AF2220" s="182" t="n">
        <v>0</v>
      </c>
      <c r="AG2220" s="182" t="n">
        <v>0</v>
      </c>
      <c r="AH2220" s="182" t="n">
        <v>0</v>
      </c>
      <c r="AI2220" s="182" t="n">
        <v>0</v>
      </c>
      <c r="AJ2220" s="182" t="n">
        <v>0</v>
      </c>
      <c r="AK2220" s="182" t="n">
        <v>10.92</v>
      </c>
      <c r="AL2220" s="182" t="n">
        <v>0</v>
      </c>
      <c r="AM2220" s="182" t="n">
        <v>0.08</v>
      </c>
      <c r="AN2220" s="182" t="n">
        <v>0</v>
      </c>
    </row>
    <row r="2221">
      <c r="A2221" s="155" t="n">
        <v>46092</v>
      </c>
      <c r="B2221" s="156" t="inlineStr">
        <is>
          <t>DS</t>
        </is>
      </c>
      <c r="C2221" s="156" t="inlineStr">
        <is>
          <t>HT-402</t>
        </is>
      </c>
      <c r="D2221" s="156" t="inlineStr">
        <is>
          <t>SY430</t>
        </is>
      </c>
      <c r="E2221" s="156" t="inlineStr">
        <is>
          <t>DT Hauling</t>
        </is>
      </c>
      <c r="F2221" s="156" t="inlineStr"/>
      <c r="G2221" s="182" t="n">
        <v>0</v>
      </c>
      <c r="H2221" s="182" t="n">
        <v>0</v>
      </c>
      <c r="I2221" s="182" t="n">
        <v>0</v>
      </c>
      <c r="J2221" s="182" t="n">
        <v>0</v>
      </c>
      <c r="K2221" s="182" t="n">
        <v>12</v>
      </c>
      <c r="L2221" s="182" t="n">
        <v>12</v>
      </c>
      <c r="M2221" s="182" t="n">
        <v>0</v>
      </c>
      <c r="N2221" s="182" t="n">
        <v>0</v>
      </c>
      <c r="O2221" s="183" t="n">
        <v>0</v>
      </c>
      <c r="P2221" s="183" t="n">
        <v>0</v>
      </c>
      <c r="Q2221" s="184" t="n">
        <v>0</v>
      </c>
      <c r="R2221" s="184" t="n">
        <v>0</v>
      </c>
      <c r="S2221" s="183" t="n">
        <v>0</v>
      </c>
      <c r="T2221" s="183" t="n">
        <v>0</v>
      </c>
      <c r="U2221" s="182" t="n">
        <v>0</v>
      </c>
      <c r="V2221" s="182" t="n">
        <v>0</v>
      </c>
      <c r="W2221" s="182" t="n">
        <v>0</v>
      </c>
      <c r="X2221" s="182" t="n">
        <v>1</v>
      </c>
      <c r="Y2221" s="182" t="n">
        <v>0</v>
      </c>
      <c r="Z2221" s="182" t="n">
        <v>0</v>
      </c>
      <c r="AA2221" s="182" t="n">
        <v>0</v>
      </c>
      <c r="AB2221" s="182" t="n">
        <v>0</v>
      </c>
      <c r="AC2221" s="182" t="n">
        <v>0</v>
      </c>
      <c r="AD2221" s="182" t="n">
        <v>0</v>
      </c>
      <c r="AE2221" s="182" t="n">
        <v>0</v>
      </c>
      <c r="AF2221" s="182" t="n">
        <v>0</v>
      </c>
      <c r="AG2221" s="182" t="n">
        <v>0</v>
      </c>
      <c r="AH2221" s="182" t="n">
        <v>0</v>
      </c>
      <c r="AI2221" s="182" t="n">
        <v>0</v>
      </c>
      <c r="AJ2221" s="182" t="n">
        <v>0</v>
      </c>
      <c r="AK2221" s="182" t="n">
        <v>10.92</v>
      </c>
      <c r="AL2221" s="182" t="n">
        <v>0</v>
      </c>
      <c r="AM2221" s="182" t="n">
        <v>0.08</v>
      </c>
      <c r="AN2221" s="182" t="n">
        <v>0</v>
      </c>
    </row>
    <row r="2222">
      <c r="A2222" s="155" t="n">
        <v>46092</v>
      </c>
      <c r="B2222" s="156" t="inlineStr">
        <is>
          <t>DS</t>
        </is>
      </c>
      <c r="C2222" s="156" t="inlineStr">
        <is>
          <t>HT-419</t>
        </is>
      </c>
      <c r="D2222" s="156" t="inlineStr">
        <is>
          <t>SY430</t>
        </is>
      </c>
      <c r="E2222" s="156" t="inlineStr">
        <is>
          <t>DT Hauling</t>
        </is>
      </c>
      <c r="F2222" s="156" t="inlineStr"/>
      <c r="G2222" s="182" t="n">
        <v>0</v>
      </c>
      <c r="H2222" s="182" t="n">
        <v>0</v>
      </c>
      <c r="I2222" s="182" t="n">
        <v>0</v>
      </c>
      <c r="J2222" s="182" t="n">
        <v>0</v>
      </c>
      <c r="K2222" s="182" t="n">
        <v>12</v>
      </c>
      <c r="L2222" s="182" t="n">
        <v>12</v>
      </c>
      <c r="M2222" s="182" t="n">
        <v>0</v>
      </c>
      <c r="N2222" s="182" t="n">
        <v>0</v>
      </c>
      <c r="O2222" s="183" t="n">
        <v>0</v>
      </c>
      <c r="P2222" s="183" t="n">
        <v>0</v>
      </c>
      <c r="Q2222" s="184" t="n">
        <v>0</v>
      </c>
      <c r="R2222" s="184" t="n">
        <v>0</v>
      </c>
      <c r="S2222" s="183" t="n">
        <v>0</v>
      </c>
      <c r="T2222" s="183" t="n">
        <v>0</v>
      </c>
      <c r="U2222" s="182" t="n">
        <v>0</v>
      </c>
      <c r="V2222" s="182" t="n">
        <v>0</v>
      </c>
      <c r="W2222" s="182" t="n">
        <v>0</v>
      </c>
      <c r="X2222" s="182" t="n">
        <v>1</v>
      </c>
      <c r="Y2222" s="182" t="n">
        <v>0</v>
      </c>
      <c r="Z2222" s="182" t="n">
        <v>0</v>
      </c>
      <c r="AA2222" s="182" t="n">
        <v>0</v>
      </c>
      <c r="AB2222" s="182" t="n">
        <v>0</v>
      </c>
      <c r="AC2222" s="182" t="n">
        <v>0</v>
      </c>
      <c r="AD2222" s="182" t="n">
        <v>0</v>
      </c>
      <c r="AE2222" s="182" t="n">
        <v>0</v>
      </c>
      <c r="AF2222" s="182" t="n">
        <v>0</v>
      </c>
      <c r="AG2222" s="182" t="n">
        <v>0</v>
      </c>
      <c r="AH2222" s="182" t="n">
        <v>0</v>
      </c>
      <c r="AI2222" s="182" t="n">
        <v>0</v>
      </c>
      <c r="AJ2222" s="182" t="n">
        <v>0</v>
      </c>
      <c r="AK2222" s="182" t="n">
        <v>10.92</v>
      </c>
      <c r="AL2222" s="182" t="n">
        <v>0</v>
      </c>
      <c r="AM2222" s="182" t="n">
        <v>0.08</v>
      </c>
      <c r="AN2222" s="182" t="n">
        <v>0</v>
      </c>
    </row>
    <row r="2223">
      <c r="A2223" s="155" t="n">
        <v>46092</v>
      </c>
      <c r="B2223" s="156" t="inlineStr">
        <is>
          <t>DS</t>
        </is>
      </c>
      <c r="C2223" s="156" t="inlineStr">
        <is>
          <t>HT-416</t>
        </is>
      </c>
      <c r="D2223" s="156" t="inlineStr">
        <is>
          <t>SY430</t>
        </is>
      </c>
      <c r="E2223" s="156" t="inlineStr">
        <is>
          <t>DT Hauling</t>
        </is>
      </c>
      <c r="F2223" s="156" t="inlineStr"/>
      <c r="G2223" s="182" t="n">
        <v>0</v>
      </c>
      <c r="H2223" s="182" t="n">
        <v>0</v>
      </c>
      <c r="I2223" s="182" t="n">
        <v>10.35</v>
      </c>
      <c r="J2223" s="182" t="n">
        <v>10.35</v>
      </c>
      <c r="K2223" s="182" t="n">
        <v>1.65</v>
      </c>
      <c r="L2223" s="182" t="n">
        <v>12</v>
      </c>
      <c r="M2223" s="182" t="n">
        <v>0</v>
      </c>
      <c r="N2223" s="182" t="n">
        <v>0</v>
      </c>
      <c r="O2223" s="183" t="n">
        <v>0</v>
      </c>
      <c r="P2223" s="183" t="n">
        <v>0</v>
      </c>
      <c r="Q2223" s="184" t="n">
        <v>0</v>
      </c>
      <c r="R2223" s="184" t="n">
        <v>0</v>
      </c>
      <c r="S2223" s="183" t="n">
        <v>0</v>
      </c>
      <c r="T2223" s="183" t="n">
        <v>0</v>
      </c>
      <c r="U2223" s="182" t="n">
        <v>0</v>
      </c>
      <c r="V2223" s="182" t="n">
        <v>0</v>
      </c>
      <c r="W2223" s="182" t="n">
        <v>0</v>
      </c>
      <c r="X2223" s="182" t="n">
        <v>1</v>
      </c>
      <c r="Y2223" s="182" t="n">
        <v>0</v>
      </c>
      <c r="Z2223" s="182" t="n">
        <v>0</v>
      </c>
      <c r="AA2223" s="182" t="n">
        <v>0</v>
      </c>
      <c r="AB2223" s="182" t="n">
        <v>0</v>
      </c>
      <c r="AC2223" s="182" t="n">
        <v>0</v>
      </c>
      <c r="AD2223" s="182" t="n">
        <v>0</v>
      </c>
      <c r="AE2223" s="182" t="n">
        <v>0</v>
      </c>
      <c r="AF2223" s="182" t="n">
        <v>0</v>
      </c>
      <c r="AG2223" s="182" t="n">
        <v>0</v>
      </c>
      <c r="AH2223" s="182" t="n">
        <v>0</v>
      </c>
      <c r="AI2223" s="182" t="n">
        <v>0</v>
      </c>
      <c r="AJ2223" s="182" t="n">
        <v>0</v>
      </c>
      <c r="AK2223" s="182" t="n">
        <v>0.57</v>
      </c>
      <c r="AL2223" s="182" t="n">
        <v>0</v>
      </c>
      <c r="AM2223" s="182" t="n">
        <v>0.08</v>
      </c>
      <c r="AN2223" s="182" t="n">
        <v>0</v>
      </c>
    </row>
    <row r="2224">
      <c r="A2224" s="155" t="n">
        <v>46092</v>
      </c>
      <c r="B2224" s="156" t="inlineStr">
        <is>
          <t>DS</t>
        </is>
      </c>
      <c r="C2224" s="156" t="inlineStr">
        <is>
          <t>HT-420</t>
        </is>
      </c>
      <c r="D2224" s="156" t="inlineStr">
        <is>
          <t>SY430</t>
        </is>
      </c>
      <c r="E2224" s="156" t="inlineStr">
        <is>
          <t>DT Hauling</t>
        </is>
      </c>
      <c r="F2224" s="156" t="inlineStr"/>
      <c r="G2224" s="182" t="n">
        <v>0</v>
      </c>
      <c r="H2224" s="182" t="n">
        <v>0</v>
      </c>
      <c r="I2224" s="182" t="n">
        <v>0</v>
      </c>
      <c r="J2224" s="182" t="n">
        <v>0</v>
      </c>
      <c r="K2224" s="182" t="n">
        <v>12</v>
      </c>
      <c r="L2224" s="182" t="n">
        <v>12</v>
      </c>
      <c r="M2224" s="182" t="n">
        <v>0</v>
      </c>
      <c r="N2224" s="182" t="n">
        <v>0</v>
      </c>
      <c r="O2224" s="183" t="n">
        <v>0</v>
      </c>
      <c r="P2224" s="183" t="n">
        <v>0</v>
      </c>
      <c r="Q2224" s="184" t="n">
        <v>0</v>
      </c>
      <c r="R2224" s="184" t="n">
        <v>0</v>
      </c>
      <c r="S2224" s="183" t="n">
        <v>0</v>
      </c>
      <c r="T2224" s="183" t="n">
        <v>0</v>
      </c>
      <c r="U2224" s="182" t="n">
        <v>0</v>
      </c>
      <c r="V2224" s="182" t="n">
        <v>0</v>
      </c>
      <c r="W2224" s="182" t="n">
        <v>0</v>
      </c>
      <c r="X2224" s="182" t="n">
        <v>1</v>
      </c>
      <c r="Y2224" s="182" t="n">
        <v>0</v>
      </c>
      <c r="Z2224" s="182" t="n">
        <v>0</v>
      </c>
      <c r="AA2224" s="182" t="n">
        <v>0</v>
      </c>
      <c r="AB2224" s="182" t="n">
        <v>0</v>
      </c>
      <c r="AC2224" s="182" t="n">
        <v>0</v>
      </c>
      <c r="AD2224" s="182" t="n">
        <v>0</v>
      </c>
      <c r="AE2224" s="182" t="n">
        <v>0</v>
      </c>
      <c r="AF2224" s="182" t="n">
        <v>0</v>
      </c>
      <c r="AG2224" s="182" t="n">
        <v>0</v>
      </c>
      <c r="AH2224" s="182" t="n">
        <v>0</v>
      </c>
      <c r="AI2224" s="182" t="n">
        <v>0</v>
      </c>
      <c r="AJ2224" s="182" t="n">
        <v>0</v>
      </c>
      <c r="AK2224" s="182" t="n">
        <v>10.92</v>
      </c>
      <c r="AL2224" s="182" t="n">
        <v>0</v>
      </c>
      <c r="AM2224" s="182" t="n">
        <v>0.08</v>
      </c>
      <c r="AN2224" s="182" t="n">
        <v>0</v>
      </c>
    </row>
    <row r="2225">
      <c r="A2225" s="155" t="n">
        <v>46092</v>
      </c>
      <c r="B2225" s="156" t="inlineStr">
        <is>
          <t>DS</t>
        </is>
      </c>
      <c r="C2225" s="156" t="inlineStr">
        <is>
          <t>HT-403</t>
        </is>
      </c>
      <c r="D2225" s="156" t="inlineStr">
        <is>
          <t>SY430</t>
        </is>
      </c>
      <c r="E2225" s="156" t="inlineStr">
        <is>
          <t>DT Hauling</t>
        </is>
      </c>
      <c r="F2225" s="156" t="inlineStr"/>
      <c r="G2225" s="182" t="n">
        <v>0</v>
      </c>
      <c r="H2225" s="182" t="n">
        <v>0</v>
      </c>
      <c r="I2225" s="182" t="n">
        <v>0</v>
      </c>
      <c r="J2225" s="182" t="n">
        <v>0</v>
      </c>
      <c r="K2225" s="182" t="n">
        <v>12</v>
      </c>
      <c r="L2225" s="182" t="n">
        <v>12</v>
      </c>
      <c r="M2225" s="182" t="n">
        <v>0</v>
      </c>
      <c r="N2225" s="182" t="n">
        <v>0</v>
      </c>
      <c r="O2225" s="183" t="n">
        <v>0</v>
      </c>
      <c r="P2225" s="183" t="n">
        <v>0</v>
      </c>
      <c r="Q2225" s="184" t="n">
        <v>0</v>
      </c>
      <c r="R2225" s="184" t="n">
        <v>0</v>
      </c>
      <c r="S2225" s="183" t="n">
        <v>0</v>
      </c>
      <c r="T2225" s="183" t="n">
        <v>0</v>
      </c>
      <c r="U2225" s="182" t="n">
        <v>0</v>
      </c>
      <c r="V2225" s="182" t="n">
        <v>0</v>
      </c>
      <c r="W2225" s="182" t="n">
        <v>0</v>
      </c>
      <c r="X2225" s="182" t="n">
        <v>1</v>
      </c>
      <c r="Y2225" s="182" t="n">
        <v>0</v>
      </c>
      <c r="Z2225" s="182" t="n">
        <v>0</v>
      </c>
      <c r="AA2225" s="182" t="n">
        <v>0</v>
      </c>
      <c r="AB2225" s="182" t="n">
        <v>0</v>
      </c>
      <c r="AC2225" s="182" t="n">
        <v>0</v>
      </c>
      <c r="AD2225" s="182" t="n">
        <v>0</v>
      </c>
      <c r="AE2225" s="182" t="n">
        <v>0</v>
      </c>
      <c r="AF2225" s="182" t="n">
        <v>0</v>
      </c>
      <c r="AG2225" s="182" t="n">
        <v>0</v>
      </c>
      <c r="AH2225" s="182" t="n">
        <v>0</v>
      </c>
      <c r="AI2225" s="182" t="n">
        <v>0</v>
      </c>
      <c r="AJ2225" s="182" t="n">
        <v>0</v>
      </c>
      <c r="AK2225" s="182" t="n">
        <v>10.92</v>
      </c>
      <c r="AL2225" s="182" t="n">
        <v>0</v>
      </c>
      <c r="AM2225" s="182" t="n">
        <v>0.08</v>
      </c>
      <c r="AN2225" s="182" t="n">
        <v>0</v>
      </c>
    </row>
    <row r="2226">
      <c r="A2226" s="155" t="n">
        <v>46092</v>
      </c>
      <c r="B2226" s="156" t="inlineStr">
        <is>
          <t>DS</t>
        </is>
      </c>
      <c r="C2226" s="156" t="inlineStr">
        <is>
          <t>HT-408</t>
        </is>
      </c>
      <c r="D2226" s="156" t="inlineStr">
        <is>
          <t>SY430</t>
        </is>
      </c>
      <c r="E2226" s="156" t="inlineStr">
        <is>
          <t>DT Hauling</t>
        </is>
      </c>
      <c r="F2226" s="156" t="inlineStr"/>
      <c r="G2226" s="182" t="n">
        <v>0</v>
      </c>
      <c r="H2226" s="182" t="n">
        <v>0</v>
      </c>
      <c r="I2226" s="182" t="n">
        <v>0</v>
      </c>
      <c r="J2226" s="182" t="n">
        <v>0</v>
      </c>
      <c r="K2226" s="182" t="n">
        <v>12</v>
      </c>
      <c r="L2226" s="182" t="n">
        <v>12</v>
      </c>
      <c r="M2226" s="182" t="n">
        <v>0</v>
      </c>
      <c r="N2226" s="182" t="n">
        <v>0</v>
      </c>
      <c r="O2226" s="183" t="n">
        <v>0</v>
      </c>
      <c r="P2226" s="183" t="n">
        <v>0</v>
      </c>
      <c r="Q2226" s="184" t="n">
        <v>0</v>
      </c>
      <c r="R2226" s="184" t="n">
        <v>0</v>
      </c>
      <c r="S2226" s="183" t="n">
        <v>0</v>
      </c>
      <c r="T2226" s="183" t="n">
        <v>0</v>
      </c>
      <c r="U2226" s="182" t="n">
        <v>0</v>
      </c>
      <c r="V2226" s="182" t="n">
        <v>0</v>
      </c>
      <c r="W2226" s="182" t="n">
        <v>0</v>
      </c>
      <c r="X2226" s="182" t="n">
        <v>1</v>
      </c>
      <c r="Y2226" s="182" t="n">
        <v>0</v>
      </c>
      <c r="Z2226" s="182" t="n">
        <v>0</v>
      </c>
      <c r="AA2226" s="182" t="n">
        <v>0</v>
      </c>
      <c r="AB2226" s="182" t="n">
        <v>0</v>
      </c>
      <c r="AC2226" s="182" t="n">
        <v>0</v>
      </c>
      <c r="AD2226" s="182" t="n">
        <v>0</v>
      </c>
      <c r="AE2226" s="182" t="n">
        <v>0</v>
      </c>
      <c r="AF2226" s="182" t="n">
        <v>0</v>
      </c>
      <c r="AG2226" s="182" t="n">
        <v>0</v>
      </c>
      <c r="AH2226" s="182" t="n">
        <v>0</v>
      </c>
      <c r="AI2226" s="182" t="n">
        <v>0</v>
      </c>
      <c r="AJ2226" s="182" t="n">
        <v>0</v>
      </c>
      <c r="AK2226" s="182" t="n">
        <v>10.92</v>
      </c>
      <c r="AL2226" s="182" t="n">
        <v>0</v>
      </c>
      <c r="AM2226" s="182" t="n">
        <v>0.08</v>
      </c>
      <c r="AN2226" s="182" t="n">
        <v>0</v>
      </c>
    </row>
    <row r="2227">
      <c r="A2227" s="155" t="n">
        <v>46092</v>
      </c>
      <c r="B2227" s="156" t="inlineStr">
        <is>
          <t>DS</t>
        </is>
      </c>
      <c r="C2227" s="156" t="inlineStr">
        <is>
          <t>HT-412</t>
        </is>
      </c>
      <c r="D2227" s="156" t="inlineStr">
        <is>
          <t>SY430</t>
        </is>
      </c>
      <c r="E2227" s="156" t="inlineStr">
        <is>
          <t>DT Hauling</t>
        </is>
      </c>
      <c r="F2227" s="156" t="inlineStr"/>
      <c r="G2227" s="182" t="n">
        <v>0</v>
      </c>
      <c r="H2227" s="182" t="n">
        <v>0</v>
      </c>
      <c r="I2227" s="182" t="n">
        <v>0</v>
      </c>
      <c r="J2227" s="182" t="n">
        <v>0</v>
      </c>
      <c r="K2227" s="182" t="n">
        <v>12</v>
      </c>
      <c r="L2227" s="182" t="n">
        <v>12</v>
      </c>
      <c r="M2227" s="182" t="n">
        <v>0</v>
      </c>
      <c r="N2227" s="182" t="n">
        <v>0</v>
      </c>
      <c r="O2227" s="183" t="n">
        <v>0</v>
      </c>
      <c r="P2227" s="183" t="n">
        <v>0</v>
      </c>
      <c r="Q2227" s="184" t="n">
        <v>0</v>
      </c>
      <c r="R2227" s="184" t="n">
        <v>0</v>
      </c>
      <c r="S2227" s="183" t="n">
        <v>0</v>
      </c>
      <c r="T2227" s="183" t="n">
        <v>0</v>
      </c>
      <c r="U2227" s="182" t="n">
        <v>0</v>
      </c>
      <c r="V2227" s="182" t="n">
        <v>0</v>
      </c>
      <c r="W2227" s="182" t="n">
        <v>0</v>
      </c>
      <c r="X2227" s="182" t="n">
        <v>1</v>
      </c>
      <c r="Y2227" s="182" t="n">
        <v>0</v>
      </c>
      <c r="Z2227" s="182" t="n">
        <v>0</v>
      </c>
      <c r="AA2227" s="182" t="n">
        <v>0</v>
      </c>
      <c r="AB2227" s="182" t="n">
        <v>0</v>
      </c>
      <c r="AC2227" s="182" t="n">
        <v>0</v>
      </c>
      <c r="AD2227" s="182" t="n">
        <v>0</v>
      </c>
      <c r="AE2227" s="182" t="n">
        <v>0</v>
      </c>
      <c r="AF2227" s="182" t="n">
        <v>0</v>
      </c>
      <c r="AG2227" s="182" t="n">
        <v>0</v>
      </c>
      <c r="AH2227" s="182" t="n">
        <v>0</v>
      </c>
      <c r="AI2227" s="182" t="n">
        <v>0</v>
      </c>
      <c r="AJ2227" s="182" t="n">
        <v>0</v>
      </c>
      <c r="AK2227" s="182" t="n">
        <v>10.92</v>
      </c>
      <c r="AL2227" s="182" t="n">
        <v>0</v>
      </c>
      <c r="AM2227" s="182" t="n">
        <v>0.08</v>
      </c>
      <c r="AN2227" s="182" t="n">
        <v>0</v>
      </c>
    </row>
    <row r="2228">
      <c r="A2228" s="155" t="n">
        <v>46092</v>
      </c>
      <c r="B2228" s="156" t="inlineStr">
        <is>
          <t>DS</t>
        </is>
      </c>
      <c r="C2228" s="156" t="inlineStr">
        <is>
          <t>HT-413</t>
        </is>
      </c>
      <c r="D2228" s="156" t="inlineStr">
        <is>
          <t>SY430</t>
        </is>
      </c>
      <c r="E2228" s="156" t="inlineStr">
        <is>
          <t>DT Hauling</t>
        </is>
      </c>
      <c r="F2228" s="156" t="inlineStr"/>
      <c r="G2228" s="182" t="n">
        <v>0</v>
      </c>
      <c r="H2228" s="182" t="n">
        <v>0</v>
      </c>
      <c r="I2228" s="182" t="n">
        <v>7.8</v>
      </c>
      <c r="J2228" s="182" t="n">
        <v>7.8</v>
      </c>
      <c r="K2228" s="182" t="n">
        <v>4.2</v>
      </c>
      <c r="L2228" s="182" t="n">
        <v>12</v>
      </c>
      <c r="M2228" s="182" t="n">
        <v>0</v>
      </c>
      <c r="N2228" s="182" t="n">
        <v>0</v>
      </c>
      <c r="O2228" s="183" t="n">
        <v>0</v>
      </c>
      <c r="P2228" s="183" t="n">
        <v>0</v>
      </c>
      <c r="Q2228" s="184" t="n">
        <v>0</v>
      </c>
      <c r="R2228" s="184" t="n">
        <v>0</v>
      </c>
      <c r="S2228" s="183" t="n">
        <v>0</v>
      </c>
      <c r="T2228" s="183" t="n">
        <v>0</v>
      </c>
      <c r="U2228" s="182" t="n">
        <v>0</v>
      </c>
      <c r="V2228" s="182" t="n">
        <v>0</v>
      </c>
      <c r="W2228" s="182" t="n">
        <v>0</v>
      </c>
      <c r="X2228" s="182" t="n">
        <v>1</v>
      </c>
      <c r="Y2228" s="182" t="n">
        <v>0</v>
      </c>
      <c r="Z2228" s="182" t="n">
        <v>0</v>
      </c>
      <c r="AA2228" s="182" t="n">
        <v>0</v>
      </c>
      <c r="AB2228" s="182" t="n">
        <v>0</v>
      </c>
      <c r="AC2228" s="182" t="n">
        <v>0</v>
      </c>
      <c r="AD2228" s="182" t="n">
        <v>0</v>
      </c>
      <c r="AE2228" s="182" t="n">
        <v>0</v>
      </c>
      <c r="AF2228" s="182" t="n">
        <v>0</v>
      </c>
      <c r="AG2228" s="182" t="n">
        <v>0</v>
      </c>
      <c r="AH2228" s="182" t="n">
        <v>0</v>
      </c>
      <c r="AI2228" s="182" t="n">
        <v>0</v>
      </c>
      <c r="AJ2228" s="182" t="n">
        <v>0</v>
      </c>
      <c r="AK2228" s="182" t="n">
        <v>3.12</v>
      </c>
      <c r="AL2228" s="182" t="n">
        <v>0</v>
      </c>
      <c r="AM2228" s="182" t="n">
        <v>0.08</v>
      </c>
      <c r="AN2228" s="182" t="n">
        <v>0</v>
      </c>
    </row>
    <row r="2229">
      <c r="A2229" s="155" t="n">
        <v>46092</v>
      </c>
      <c r="B2229" s="156" t="inlineStr">
        <is>
          <t>DS</t>
        </is>
      </c>
      <c r="C2229" s="156" t="inlineStr">
        <is>
          <t>HT-407</t>
        </is>
      </c>
      <c r="D2229" s="156" t="inlineStr">
        <is>
          <t>SY430</t>
        </is>
      </c>
      <c r="E2229" s="156" t="inlineStr">
        <is>
          <t>DT Hauling</t>
        </is>
      </c>
      <c r="F2229" s="156" t="inlineStr"/>
      <c r="G2229" s="182" t="n">
        <v>0</v>
      </c>
      <c r="H2229" s="182" t="n">
        <v>0</v>
      </c>
      <c r="I2229" s="182" t="n">
        <v>0</v>
      </c>
      <c r="J2229" s="182" t="n">
        <v>0</v>
      </c>
      <c r="K2229" s="182" t="n">
        <v>12</v>
      </c>
      <c r="L2229" s="182" t="n">
        <v>12</v>
      </c>
      <c r="M2229" s="182" t="n">
        <v>0</v>
      </c>
      <c r="N2229" s="182" t="n">
        <v>0</v>
      </c>
      <c r="O2229" s="183" t="n">
        <v>0</v>
      </c>
      <c r="P2229" s="183" t="n">
        <v>0</v>
      </c>
      <c r="Q2229" s="184" t="n">
        <v>0</v>
      </c>
      <c r="R2229" s="184" t="n">
        <v>0</v>
      </c>
      <c r="S2229" s="183" t="n">
        <v>0</v>
      </c>
      <c r="T2229" s="183" t="n">
        <v>0</v>
      </c>
      <c r="U2229" s="182" t="n">
        <v>0</v>
      </c>
      <c r="V2229" s="182" t="n">
        <v>0</v>
      </c>
      <c r="W2229" s="182" t="n">
        <v>0</v>
      </c>
      <c r="X2229" s="182" t="n">
        <v>1</v>
      </c>
      <c r="Y2229" s="182" t="n">
        <v>0</v>
      </c>
      <c r="Z2229" s="182" t="n">
        <v>0</v>
      </c>
      <c r="AA2229" s="182" t="n">
        <v>0</v>
      </c>
      <c r="AB2229" s="182" t="n">
        <v>0</v>
      </c>
      <c r="AC2229" s="182" t="n">
        <v>0</v>
      </c>
      <c r="AD2229" s="182" t="n">
        <v>0</v>
      </c>
      <c r="AE2229" s="182" t="n">
        <v>0</v>
      </c>
      <c r="AF2229" s="182" t="n">
        <v>0</v>
      </c>
      <c r="AG2229" s="182" t="n">
        <v>0</v>
      </c>
      <c r="AH2229" s="182" t="n">
        <v>0</v>
      </c>
      <c r="AI2229" s="182" t="n">
        <v>0</v>
      </c>
      <c r="AJ2229" s="182" t="n">
        <v>0</v>
      </c>
      <c r="AK2229" s="182" t="n">
        <v>10.92</v>
      </c>
      <c r="AL2229" s="182" t="n">
        <v>0</v>
      </c>
      <c r="AM2229" s="182" t="n">
        <v>0.08</v>
      </c>
      <c r="AN2229" s="182" t="n">
        <v>0</v>
      </c>
    </row>
    <row r="2230">
      <c r="A2230" s="155" t="n">
        <v>46092</v>
      </c>
      <c r="B2230" s="156" t="inlineStr">
        <is>
          <t>DS</t>
        </is>
      </c>
      <c r="C2230" s="156" t="inlineStr">
        <is>
          <t>HT-414</t>
        </is>
      </c>
      <c r="D2230" s="156" t="inlineStr">
        <is>
          <t>SY430</t>
        </is>
      </c>
      <c r="E2230" s="156" t="inlineStr">
        <is>
          <t>DT Hauling</t>
        </is>
      </c>
      <c r="F2230" s="156" t="inlineStr"/>
      <c r="G2230" s="182" t="n">
        <v>0</v>
      </c>
      <c r="H2230" s="182" t="n">
        <v>0</v>
      </c>
      <c r="I2230" s="182" t="n">
        <v>0</v>
      </c>
      <c r="J2230" s="182" t="n">
        <v>0</v>
      </c>
      <c r="K2230" s="182" t="n">
        <v>12</v>
      </c>
      <c r="L2230" s="182" t="n">
        <v>12</v>
      </c>
      <c r="M2230" s="182" t="n">
        <v>0</v>
      </c>
      <c r="N2230" s="182" t="n">
        <v>0</v>
      </c>
      <c r="O2230" s="183" t="n">
        <v>0</v>
      </c>
      <c r="P2230" s="183" t="n">
        <v>0</v>
      </c>
      <c r="Q2230" s="184" t="n">
        <v>0</v>
      </c>
      <c r="R2230" s="184" t="n">
        <v>0</v>
      </c>
      <c r="S2230" s="183" t="n">
        <v>0</v>
      </c>
      <c r="T2230" s="183" t="n">
        <v>0</v>
      </c>
      <c r="U2230" s="182" t="n">
        <v>0</v>
      </c>
      <c r="V2230" s="182" t="n">
        <v>0</v>
      </c>
      <c r="W2230" s="182" t="n">
        <v>0</v>
      </c>
      <c r="X2230" s="182" t="n">
        <v>1</v>
      </c>
      <c r="Y2230" s="182" t="n">
        <v>0</v>
      </c>
      <c r="Z2230" s="182" t="n">
        <v>0</v>
      </c>
      <c r="AA2230" s="182" t="n">
        <v>0</v>
      </c>
      <c r="AB2230" s="182" t="n">
        <v>0</v>
      </c>
      <c r="AC2230" s="182" t="n">
        <v>0</v>
      </c>
      <c r="AD2230" s="182" t="n">
        <v>0</v>
      </c>
      <c r="AE2230" s="182" t="n">
        <v>0</v>
      </c>
      <c r="AF2230" s="182" t="n">
        <v>0</v>
      </c>
      <c r="AG2230" s="182" t="n">
        <v>0</v>
      </c>
      <c r="AH2230" s="182" t="n">
        <v>0</v>
      </c>
      <c r="AI2230" s="182" t="n">
        <v>0</v>
      </c>
      <c r="AJ2230" s="182" t="n">
        <v>0</v>
      </c>
      <c r="AK2230" s="182" t="n">
        <v>10.92</v>
      </c>
      <c r="AL2230" s="182" t="n">
        <v>0</v>
      </c>
      <c r="AM2230" s="182" t="n">
        <v>0.08</v>
      </c>
      <c r="AN2230" s="182" t="n">
        <v>0</v>
      </c>
    </row>
    <row r="2231">
      <c r="A2231" s="155" t="n">
        <v>46092</v>
      </c>
      <c r="B2231" s="156" t="inlineStr">
        <is>
          <t>DS</t>
        </is>
      </c>
      <c r="C2231" s="156" t="inlineStr">
        <is>
          <t>HT-411</t>
        </is>
      </c>
      <c r="D2231" s="156" t="inlineStr">
        <is>
          <t>SY430</t>
        </is>
      </c>
      <c r="E2231" s="156" t="inlineStr">
        <is>
          <t>DT Hauling</t>
        </is>
      </c>
      <c r="F2231" s="156" t="inlineStr"/>
      <c r="G2231" s="182" t="n">
        <v>0</v>
      </c>
      <c r="H2231" s="182" t="n">
        <v>0</v>
      </c>
      <c r="I2231" s="182" t="n">
        <v>0</v>
      </c>
      <c r="J2231" s="182" t="n">
        <v>0</v>
      </c>
      <c r="K2231" s="182" t="n">
        <v>12</v>
      </c>
      <c r="L2231" s="182" t="n">
        <v>12</v>
      </c>
      <c r="M2231" s="182" t="n">
        <v>0</v>
      </c>
      <c r="N2231" s="182" t="n">
        <v>0</v>
      </c>
      <c r="O2231" s="183" t="n">
        <v>0</v>
      </c>
      <c r="P2231" s="183" t="n">
        <v>0</v>
      </c>
      <c r="Q2231" s="184" t="n">
        <v>0</v>
      </c>
      <c r="R2231" s="184" t="n">
        <v>0</v>
      </c>
      <c r="S2231" s="183" t="n">
        <v>0</v>
      </c>
      <c r="T2231" s="183" t="n">
        <v>0</v>
      </c>
      <c r="U2231" s="182" t="n">
        <v>0</v>
      </c>
      <c r="V2231" s="182" t="n">
        <v>0</v>
      </c>
      <c r="W2231" s="182" t="n">
        <v>0</v>
      </c>
      <c r="X2231" s="182" t="n">
        <v>1</v>
      </c>
      <c r="Y2231" s="182" t="n">
        <v>0</v>
      </c>
      <c r="Z2231" s="182" t="n">
        <v>0</v>
      </c>
      <c r="AA2231" s="182" t="n">
        <v>0</v>
      </c>
      <c r="AB2231" s="182" t="n">
        <v>0</v>
      </c>
      <c r="AC2231" s="182" t="n">
        <v>0</v>
      </c>
      <c r="AD2231" s="182" t="n">
        <v>0</v>
      </c>
      <c r="AE2231" s="182" t="n">
        <v>0</v>
      </c>
      <c r="AF2231" s="182" t="n">
        <v>0</v>
      </c>
      <c r="AG2231" s="182" t="n">
        <v>0</v>
      </c>
      <c r="AH2231" s="182" t="n">
        <v>0</v>
      </c>
      <c r="AI2231" s="182" t="n">
        <v>0</v>
      </c>
      <c r="AJ2231" s="182" t="n">
        <v>0</v>
      </c>
      <c r="AK2231" s="182" t="n">
        <v>10.92</v>
      </c>
      <c r="AL2231" s="182" t="n">
        <v>0</v>
      </c>
      <c r="AM2231" s="182" t="n">
        <v>0.08</v>
      </c>
      <c r="AN2231" s="182" t="n">
        <v>0</v>
      </c>
    </row>
    <row r="2232">
      <c r="A2232" s="155" t="n">
        <v>46092</v>
      </c>
      <c r="B2232" s="156" t="inlineStr">
        <is>
          <t>DS</t>
        </is>
      </c>
      <c r="C2232" s="156" t="inlineStr">
        <is>
          <t>HT-409</t>
        </is>
      </c>
      <c r="D2232" s="156" t="inlineStr">
        <is>
          <t>SY430</t>
        </is>
      </c>
      <c r="E2232" s="156" t="inlineStr">
        <is>
          <t>DT Hauling</t>
        </is>
      </c>
      <c r="F2232" s="156" t="inlineStr"/>
      <c r="G2232" s="182" t="n">
        <v>0</v>
      </c>
      <c r="H2232" s="182" t="n">
        <v>0</v>
      </c>
      <c r="I2232" s="182" t="n">
        <v>0</v>
      </c>
      <c r="J2232" s="182" t="n">
        <v>0</v>
      </c>
      <c r="K2232" s="182" t="n">
        <v>12</v>
      </c>
      <c r="L2232" s="182" t="n">
        <v>12</v>
      </c>
      <c r="M2232" s="182" t="n">
        <v>0</v>
      </c>
      <c r="N2232" s="182" t="n">
        <v>0</v>
      </c>
      <c r="O2232" s="183" t="n">
        <v>0</v>
      </c>
      <c r="P2232" s="183" t="n">
        <v>0</v>
      </c>
      <c r="Q2232" s="184" t="n">
        <v>0</v>
      </c>
      <c r="R2232" s="184" t="n">
        <v>0</v>
      </c>
      <c r="S2232" s="183" t="n">
        <v>0</v>
      </c>
      <c r="T2232" s="183" t="n">
        <v>0</v>
      </c>
      <c r="U2232" s="182" t="n">
        <v>0</v>
      </c>
      <c r="V2232" s="182" t="n">
        <v>0</v>
      </c>
      <c r="W2232" s="182" t="n">
        <v>0</v>
      </c>
      <c r="X2232" s="182" t="n">
        <v>1</v>
      </c>
      <c r="Y2232" s="182" t="n">
        <v>0</v>
      </c>
      <c r="Z2232" s="182" t="n">
        <v>0</v>
      </c>
      <c r="AA2232" s="182" t="n">
        <v>0</v>
      </c>
      <c r="AB2232" s="182" t="n">
        <v>0</v>
      </c>
      <c r="AC2232" s="182" t="n">
        <v>0</v>
      </c>
      <c r="AD2232" s="182" t="n">
        <v>0</v>
      </c>
      <c r="AE2232" s="182" t="n">
        <v>0</v>
      </c>
      <c r="AF2232" s="182" t="n">
        <v>0</v>
      </c>
      <c r="AG2232" s="182" t="n">
        <v>0</v>
      </c>
      <c r="AH2232" s="182" t="n">
        <v>0</v>
      </c>
      <c r="AI2232" s="182" t="n">
        <v>0</v>
      </c>
      <c r="AJ2232" s="182" t="n">
        <v>0</v>
      </c>
      <c r="AK2232" s="182" t="n">
        <v>10.92</v>
      </c>
      <c r="AL2232" s="182" t="n">
        <v>0</v>
      </c>
      <c r="AM2232" s="182" t="n">
        <v>0.08</v>
      </c>
      <c r="AN2232" s="182" t="n">
        <v>0</v>
      </c>
    </row>
    <row r="2233">
      <c r="A2233" s="155" t="n">
        <v>46092</v>
      </c>
      <c r="B2233" s="156" t="inlineStr">
        <is>
          <t>DS</t>
        </is>
      </c>
      <c r="C2233" s="156" t="inlineStr">
        <is>
          <t>DH-103</t>
        </is>
      </c>
      <c r="D2233" s="156" t="inlineStr">
        <is>
          <t>HINO FM260</t>
        </is>
      </c>
      <c r="E2233" s="156" t="inlineStr">
        <is>
          <t>DT Hino</t>
        </is>
      </c>
      <c r="F2233" s="156" t="inlineStr"/>
      <c r="G2233" s="182" t="n">
        <v>0</v>
      </c>
      <c r="H2233" s="182" t="n">
        <v>0</v>
      </c>
      <c r="I2233" s="182" t="n">
        <v>12</v>
      </c>
      <c r="J2233" s="182" t="n">
        <v>12</v>
      </c>
      <c r="K2233" s="182" t="n">
        <v>0</v>
      </c>
      <c r="L2233" s="182" t="n">
        <v>12</v>
      </c>
      <c r="M2233" s="182" t="n">
        <v>0</v>
      </c>
      <c r="N2233" s="182" t="n">
        <v>0</v>
      </c>
      <c r="O2233" s="183" t="n">
        <v>0</v>
      </c>
      <c r="P2233" s="183" t="n">
        <v>0</v>
      </c>
      <c r="Q2233" s="184" t="n">
        <v>0</v>
      </c>
      <c r="R2233" s="184" t="n">
        <v>0</v>
      </c>
      <c r="S2233" s="183" t="n">
        <v>0</v>
      </c>
      <c r="T2233" s="183" t="n">
        <v>0</v>
      </c>
      <c r="U2233" s="182" t="n">
        <v>0</v>
      </c>
      <c r="V2233" s="182" t="n">
        <v>0</v>
      </c>
      <c r="W2233" s="182" t="n">
        <v>0</v>
      </c>
      <c r="X2233" s="182" t="n">
        <v>0</v>
      </c>
      <c r="Y2233" s="182" t="n">
        <v>0</v>
      </c>
      <c r="Z2233" s="182" t="n">
        <v>0</v>
      </c>
      <c r="AA2233" s="182" t="n">
        <v>0</v>
      </c>
      <c r="AB2233" s="182" t="n">
        <v>0</v>
      </c>
      <c r="AC2233" s="182" t="n">
        <v>0</v>
      </c>
      <c r="AD2233" s="182" t="n">
        <v>0</v>
      </c>
      <c r="AE2233" s="182" t="n">
        <v>0</v>
      </c>
      <c r="AF2233" s="182" t="n">
        <v>0</v>
      </c>
      <c r="AG2233" s="182" t="n">
        <v>0</v>
      </c>
      <c r="AH2233" s="182" t="n">
        <v>0</v>
      </c>
      <c r="AI2233" s="182" t="n">
        <v>0</v>
      </c>
      <c r="AJ2233" s="182" t="n">
        <v>0</v>
      </c>
      <c r="AK2233" s="182" t="n">
        <v>0</v>
      </c>
      <c r="AL2233" s="182" t="n">
        <v>0</v>
      </c>
      <c r="AM2233" s="182" t="n">
        <v>0</v>
      </c>
      <c r="AN2233" s="182" t="n">
        <v>0</v>
      </c>
    </row>
    <row r="2234">
      <c r="A2234" s="155" t="n">
        <v>46092</v>
      </c>
      <c r="B2234" s="156" t="inlineStr">
        <is>
          <t>DS</t>
        </is>
      </c>
      <c r="C2234" s="156" t="inlineStr">
        <is>
          <t>DH-102</t>
        </is>
      </c>
      <c r="D2234" s="156" t="inlineStr">
        <is>
          <t>HINO FM260</t>
        </is>
      </c>
      <c r="E2234" s="156" t="inlineStr">
        <is>
          <t>DT Hino</t>
        </is>
      </c>
      <c r="F2234" s="156" t="inlineStr"/>
      <c r="G2234" s="182" t="n">
        <v>0</v>
      </c>
      <c r="H2234" s="182" t="n">
        <v>0</v>
      </c>
      <c r="I2234" s="182" t="n">
        <v>0</v>
      </c>
      <c r="J2234" s="182" t="n">
        <v>0</v>
      </c>
      <c r="K2234" s="182" t="n">
        <v>12</v>
      </c>
      <c r="L2234" s="182" t="n">
        <v>12</v>
      </c>
      <c r="M2234" s="182" t="n">
        <v>0</v>
      </c>
      <c r="N2234" s="182" t="n">
        <v>0</v>
      </c>
      <c r="O2234" s="183" t="n">
        <v>0</v>
      </c>
      <c r="P2234" s="183" t="n">
        <v>0</v>
      </c>
      <c r="Q2234" s="184" t="n">
        <v>0</v>
      </c>
      <c r="R2234" s="184" t="n">
        <v>0</v>
      </c>
      <c r="S2234" s="183" t="n">
        <v>0</v>
      </c>
      <c r="T2234" s="183" t="n">
        <v>0</v>
      </c>
      <c r="U2234" s="182" t="n">
        <v>0</v>
      </c>
      <c r="V2234" s="182" t="n">
        <v>0</v>
      </c>
      <c r="W2234" s="182" t="n">
        <v>0</v>
      </c>
      <c r="X2234" s="182" t="n">
        <v>1</v>
      </c>
      <c r="Y2234" s="182" t="n">
        <v>0</v>
      </c>
      <c r="Z2234" s="182" t="n">
        <v>0</v>
      </c>
      <c r="AA2234" s="182" t="n">
        <v>0</v>
      </c>
      <c r="AB2234" s="182" t="n">
        <v>0</v>
      </c>
      <c r="AC2234" s="182" t="n">
        <v>0</v>
      </c>
      <c r="AD2234" s="182" t="n">
        <v>0</v>
      </c>
      <c r="AE2234" s="182" t="n">
        <v>0</v>
      </c>
      <c r="AF2234" s="182" t="n">
        <v>0</v>
      </c>
      <c r="AG2234" s="182" t="n">
        <v>0</v>
      </c>
      <c r="AH2234" s="182" t="n">
        <v>0</v>
      </c>
      <c r="AI2234" s="182" t="n">
        <v>0</v>
      </c>
      <c r="AJ2234" s="182" t="n">
        <v>0</v>
      </c>
      <c r="AK2234" s="182" t="n">
        <v>10.92</v>
      </c>
      <c r="AL2234" s="182" t="n">
        <v>0</v>
      </c>
      <c r="AM2234" s="182" t="n">
        <v>0.08</v>
      </c>
      <c r="AN2234" s="182" t="n">
        <v>0</v>
      </c>
    </row>
    <row r="2235">
      <c r="A2235" s="155" t="n">
        <v>46092</v>
      </c>
      <c r="B2235" s="156" t="inlineStr">
        <is>
          <t>DS</t>
        </is>
      </c>
      <c r="C2235" s="156" t="inlineStr">
        <is>
          <t>DH-101</t>
        </is>
      </c>
      <c r="D2235" s="156" t="inlineStr">
        <is>
          <t>HINO FM260</t>
        </is>
      </c>
      <c r="E2235" s="156" t="inlineStr">
        <is>
          <t>DT Hino</t>
        </is>
      </c>
      <c r="F2235" s="156" t="inlineStr"/>
      <c r="G2235" s="182" t="n">
        <v>0</v>
      </c>
      <c r="H2235" s="182" t="n">
        <v>0</v>
      </c>
      <c r="I2235" s="182" t="n">
        <v>0</v>
      </c>
      <c r="J2235" s="182" t="n">
        <v>0</v>
      </c>
      <c r="K2235" s="182" t="n">
        <v>12</v>
      </c>
      <c r="L2235" s="182" t="n">
        <v>12</v>
      </c>
      <c r="M2235" s="182" t="n">
        <v>0</v>
      </c>
      <c r="N2235" s="182" t="n">
        <v>0</v>
      </c>
      <c r="O2235" s="183" t="n">
        <v>0</v>
      </c>
      <c r="P2235" s="183" t="n">
        <v>0</v>
      </c>
      <c r="Q2235" s="184" t="n">
        <v>0</v>
      </c>
      <c r="R2235" s="184" t="n">
        <v>0</v>
      </c>
      <c r="S2235" s="183" t="n">
        <v>0</v>
      </c>
      <c r="T2235" s="183" t="n">
        <v>0</v>
      </c>
      <c r="U2235" s="182" t="n">
        <v>0</v>
      </c>
      <c r="V2235" s="182" t="n">
        <v>0</v>
      </c>
      <c r="W2235" s="182" t="n">
        <v>0</v>
      </c>
      <c r="X2235" s="182" t="n">
        <v>1</v>
      </c>
      <c r="Y2235" s="182" t="n">
        <v>0</v>
      </c>
      <c r="Z2235" s="182" t="n">
        <v>0</v>
      </c>
      <c r="AA2235" s="182" t="n">
        <v>0</v>
      </c>
      <c r="AB2235" s="182" t="n">
        <v>0</v>
      </c>
      <c r="AC2235" s="182" t="n">
        <v>0</v>
      </c>
      <c r="AD2235" s="182" t="n">
        <v>0</v>
      </c>
      <c r="AE2235" s="182" t="n">
        <v>0</v>
      </c>
      <c r="AF2235" s="182" t="n">
        <v>0</v>
      </c>
      <c r="AG2235" s="182" t="n">
        <v>0</v>
      </c>
      <c r="AH2235" s="182" t="n">
        <v>0</v>
      </c>
      <c r="AI2235" s="182" t="n">
        <v>0</v>
      </c>
      <c r="AJ2235" s="182" t="n">
        <v>0</v>
      </c>
      <c r="AK2235" s="182" t="n">
        <v>10.92</v>
      </c>
      <c r="AL2235" s="182" t="n">
        <v>0</v>
      </c>
      <c r="AM2235" s="182" t="n">
        <v>0.08</v>
      </c>
      <c r="AN2235" s="182" t="n">
        <v>0</v>
      </c>
    </row>
    <row r="2236">
      <c r="A2236" s="155" t="n">
        <v>46092</v>
      </c>
      <c r="B2236" s="156" t="inlineStr">
        <is>
          <t>DS</t>
        </is>
      </c>
      <c r="C2236" s="156" t="inlineStr">
        <is>
          <t>EX-1251</t>
        </is>
      </c>
      <c r="D2236" s="156" t="inlineStr">
        <is>
          <t>SY1250</t>
        </is>
      </c>
      <c r="E2236" s="156" t="inlineStr">
        <is>
          <t>Excavator</t>
        </is>
      </c>
      <c r="F2236" s="156" t="inlineStr">
        <is>
          <t>Loading OB</t>
        </is>
      </c>
      <c r="G2236" s="182" t="n">
        <v>4.91</v>
      </c>
      <c r="H2236" s="182" t="n">
        <v>0</v>
      </c>
      <c r="I2236" s="182" t="n">
        <v>0</v>
      </c>
      <c r="J2236" s="182" t="n">
        <v>0</v>
      </c>
      <c r="K2236" s="182" t="n">
        <v>7.09</v>
      </c>
      <c r="L2236" s="182" t="n">
        <v>12</v>
      </c>
      <c r="M2236" s="182" t="n">
        <v>4.91</v>
      </c>
      <c r="N2236" s="182" t="n">
        <v>0</v>
      </c>
      <c r="O2236" s="183" t="n">
        <v>112</v>
      </c>
      <c r="P2236" s="183" t="n">
        <v>0</v>
      </c>
      <c r="Q2236" s="184" t="n">
        <v>1827.8</v>
      </c>
      <c r="R2236" s="184" t="n">
        <v>0</v>
      </c>
      <c r="S2236" s="183" t="n">
        <v>0</v>
      </c>
      <c r="T2236" s="183" t="n">
        <v>0</v>
      </c>
      <c r="U2236" s="182" t="n">
        <v>3.52</v>
      </c>
      <c r="V2236" s="182" t="n">
        <v>2.24</v>
      </c>
      <c r="W2236" s="182" t="n">
        <v>0</v>
      </c>
      <c r="X2236" s="182" t="n">
        <v>1</v>
      </c>
      <c r="Y2236" s="182" t="n">
        <v>0</v>
      </c>
      <c r="Z2236" s="182" t="n">
        <v>0</v>
      </c>
      <c r="AA2236" s="182" t="n">
        <v>0</v>
      </c>
      <c r="AB2236" s="182" t="n">
        <v>0</v>
      </c>
      <c r="AC2236" s="182" t="n">
        <v>0</v>
      </c>
      <c r="AD2236" s="182" t="n">
        <v>0</v>
      </c>
      <c r="AE2236" s="182" t="n">
        <v>0</v>
      </c>
      <c r="AF2236" s="182" t="n">
        <v>0</v>
      </c>
      <c r="AG2236" s="182" t="n">
        <v>0</v>
      </c>
      <c r="AH2236" s="182" t="n">
        <v>0.25</v>
      </c>
      <c r="AI2236" s="182" t="n">
        <v>0</v>
      </c>
      <c r="AJ2236" s="182" t="n">
        <v>0</v>
      </c>
      <c r="AK2236" s="182" t="n">
        <v>0</v>
      </c>
      <c r="AL2236" s="182" t="n">
        <v>0</v>
      </c>
      <c r="AM2236" s="182" t="n">
        <v>0.08</v>
      </c>
      <c r="AN2236" s="182" t="n">
        <v>0</v>
      </c>
    </row>
    <row r="2237">
      <c r="A2237" s="155" t="n">
        <v>46092</v>
      </c>
      <c r="B2237" s="156" t="inlineStr">
        <is>
          <t>DS</t>
        </is>
      </c>
      <c r="C2237" s="156" t="inlineStr">
        <is>
          <t>EX-1252</t>
        </is>
      </c>
      <c r="D2237" s="156" t="inlineStr">
        <is>
          <t>SY1250</t>
        </is>
      </c>
      <c r="E2237" s="156" t="inlineStr">
        <is>
          <t>Excavator</t>
        </is>
      </c>
      <c r="F2237" s="156" t="inlineStr">
        <is>
          <t>Loading OB</t>
        </is>
      </c>
      <c r="G2237" s="182" t="n">
        <v>6.24</v>
      </c>
      <c r="H2237" s="182" t="n">
        <v>0</v>
      </c>
      <c r="I2237" s="182" t="n">
        <v>0</v>
      </c>
      <c r="J2237" s="182" t="n">
        <v>0</v>
      </c>
      <c r="K2237" s="182" t="n">
        <v>5.76</v>
      </c>
      <c r="L2237" s="182" t="n">
        <v>12</v>
      </c>
      <c r="M2237" s="182" t="n">
        <v>5.86</v>
      </c>
      <c r="N2237" s="182" t="n">
        <v>0</v>
      </c>
      <c r="O2237" s="183" t="n">
        <v>67</v>
      </c>
      <c r="P2237" s="183" t="n">
        <v>0</v>
      </c>
      <c r="Q2237" s="184" t="n">
        <v>2284.8</v>
      </c>
      <c r="R2237" s="184" t="n">
        <v>0</v>
      </c>
      <c r="S2237" s="183" t="n">
        <v>0</v>
      </c>
      <c r="T2237" s="183" t="n">
        <v>0</v>
      </c>
      <c r="U2237" s="182" t="n">
        <v>3.46</v>
      </c>
      <c r="V2237" s="182" t="n">
        <v>1.24</v>
      </c>
      <c r="W2237" s="182" t="n">
        <v>0</v>
      </c>
      <c r="X2237" s="182" t="n">
        <v>0.98</v>
      </c>
      <c r="Y2237" s="182" t="n">
        <v>0</v>
      </c>
      <c r="Z2237" s="182" t="n">
        <v>0</v>
      </c>
      <c r="AA2237" s="182" t="n">
        <v>0</v>
      </c>
      <c r="AB2237" s="182" t="n">
        <v>0</v>
      </c>
      <c r="AC2237" s="182" t="n">
        <v>0</v>
      </c>
      <c r="AD2237" s="182" t="n">
        <v>0</v>
      </c>
      <c r="AE2237" s="182" t="n">
        <v>0</v>
      </c>
      <c r="AF2237" s="182" t="n">
        <v>0</v>
      </c>
      <c r="AG2237" s="182" t="n">
        <v>0</v>
      </c>
      <c r="AH2237" s="182" t="n">
        <v>0</v>
      </c>
      <c r="AI2237" s="182" t="n">
        <v>0</v>
      </c>
      <c r="AJ2237" s="182" t="n">
        <v>0</v>
      </c>
      <c r="AK2237" s="182" t="n">
        <v>0</v>
      </c>
      <c r="AL2237" s="182" t="n">
        <v>0</v>
      </c>
      <c r="AM2237" s="182" t="n">
        <v>0.08</v>
      </c>
      <c r="AN2237" s="182" t="n">
        <v>0</v>
      </c>
    </row>
    <row r="2238">
      <c r="A2238" s="155" t="n">
        <v>46092</v>
      </c>
      <c r="B2238" s="156" t="inlineStr">
        <is>
          <t>DS</t>
        </is>
      </c>
      <c r="C2238" s="156" t="inlineStr">
        <is>
          <t>EX-2101</t>
        </is>
      </c>
      <c r="D2238" s="156" t="inlineStr">
        <is>
          <t>SY2000</t>
        </is>
      </c>
      <c r="E2238" s="156" t="inlineStr">
        <is>
          <t>Excavator</t>
        </is>
      </c>
      <c r="F2238" s="156" t="inlineStr"/>
      <c r="G2238" s="182" t="n">
        <v>0</v>
      </c>
      <c r="H2238" s="182" t="n">
        <v>0</v>
      </c>
      <c r="I2238" s="182" t="n">
        <v>0</v>
      </c>
      <c r="J2238" s="182" t="n">
        <v>0</v>
      </c>
      <c r="K2238" s="182" t="n">
        <v>12</v>
      </c>
      <c r="L2238" s="182" t="n">
        <v>12</v>
      </c>
      <c r="M2238" s="182" t="n">
        <v>0</v>
      </c>
      <c r="N2238" s="182" t="n">
        <v>0</v>
      </c>
      <c r="O2238" s="183" t="n">
        <v>0</v>
      </c>
      <c r="P2238" s="183" t="n">
        <v>0</v>
      </c>
      <c r="Q2238" s="184" t="n">
        <v>0</v>
      </c>
      <c r="R2238" s="184" t="n">
        <v>0</v>
      </c>
      <c r="S2238" s="183" t="n">
        <v>0</v>
      </c>
      <c r="T2238" s="183" t="n">
        <v>0</v>
      </c>
      <c r="U2238" s="182" t="n">
        <v>3.53</v>
      </c>
      <c r="V2238" s="182" t="n">
        <v>0</v>
      </c>
      <c r="W2238" s="182" t="n">
        <v>0</v>
      </c>
      <c r="X2238" s="182" t="n">
        <v>1</v>
      </c>
      <c r="Y2238" s="182" t="n">
        <v>0</v>
      </c>
      <c r="Z2238" s="182" t="n">
        <v>0</v>
      </c>
      <c r="AA2238" s="182" t="n">
        <v>0</v>
      </c>
      <c r="AB2238" s="182" t="n">
        <v>0</v>
      </c>
      <c r="AC2238" s="182" t="n">
        <v>0</v>
      </c>
      <c r="AD2238" s="182" t="n">
        <v>0</v>
      </c>
      <c r="AE2238" s="182" t="n">
        <v>0</v>
      </c>
      <c r="AF2238" s="182" t="n">
        <v>0</v>
      </c>
      <c r="AG2238" s="182" t="n">
        <v>0</v>
      </c>
      <c r="AH2238" s="182" t="n">
        <v>0</v>
      </c>
      <c r="AI2238" s="182" t="n">
        <v>0</v>
      </c>
      <c r="AJ2238" s="182" t="n">
        <v>0</v>
      </c>
      <c r="AK2238" s="182" t="n">
        <v>7.39</v>
      </c>
      <c r="AL2238" s="182" t="n">
        <v>0</v>
      </c>
      <c r="AM2238" s="182" t="n">
        <v>0.08</v>
      </c>
      <c r="AN2238" s="182" t="n">
        <v>0</v>
      </c>
    </row>
    <row r="2239">
      <c r="A2239" s="155" t="n">
        <v>46092</v>
      </c>
      <c r="B2239" s="156" t="inlineStr">
        <is>
          <t>DS</t>
        </is>
      </c>
      <c r="C2239" s="156" t="inlineStr">
        <is>
          <t>EX-222</t>
        </is>
      </c>
      <c r="D2239" s="156" t="inlineStr">
        <is>
          <t>PC 200-8MI</t>
        </is>
      </c>
      <c r="E2239" s="156" t="inlineStr">
        <is>
          <t>Excavator</t>
        </is>
      </c>
      <c r="F2239" s="156" t="inlineStr">
        <is>
          <t>Support Washing Plant</t>
        </is>
      </c>
      <c r="G2239" s="182" t="n">
        <v>10.43</v>
      </c>
      <c r="H2239" s="182" t="n">
        <v>0</v>
      </c>
      <c r="I2239" s="182" t="n">
        <v>0</v>
      </c>
      <c r="J2239" s="182" t="n">
        <v>0</v>
      </c>
      <c r="K2239" s="182" t="n">
        <v>1.57</v>
      </c>
      <c r="L2239" s="182" t="n">
        <v>12</v>
      </c>
      <c r="M2239" s="182" t="n">
        <v>0</v>
      </c>
      <c r="N2239" s="182" t="n">
        <v>0</v>
      </c>
      <c r="O2239" s="183" t="n">
        <v>0</v>
      </c>
      <c r="P2239" s="183" t="n">
        <v>0</v>
      </c>
      <c r="Q2239" s="184" t="n">
        <v>0</v>
      </c>
      <c r="R2239" s="184" t="n">
        <v>0</v>
      </c>
      <c r="S2239" s="183" t="n">
        <v>0</v>
      </c>
      <c r="T2239" s="183" t="n">
        <v>0</v>
      </c>
      <c r="U2239" s="182" t="n">
        <v>0</v>
      </c>
      <c r="V2239" s="182" t="n">
        <v>0</v>
      </c>
      <c r="W2239" s="182" t="n">
        <v>0</v>
      </c>
      <c r="X2239" s="182" t="n">
        <v>1.05</v>
      </c>
      <c r="Y2239" s="182" t="n">
        <v>0</v>
      </c>
      <c r="Z2239" s="182" t="n">
        <v>0</v>
      </c>
      <c r="AA2239" s="182" t="n">
        <v>0</v>
      </c>
      <c r="AB2239" s="182" t="n">
        <v>0</v>
      </c>
      <c r="AC2239" s="182" t="n">
        <v>0</v>
      </c>
      <c r="AD2239" s="182" t="n">
        <v>0</v>
      </c>
      <c r="AE2239" s="182" t="n">
        <v>0</v>
      </c>
      <c r="AF2239" s="182" t="n">
        <v>0</v>
      </c>
      <c r="AG2239" s="182" t="n">
        <v>0</v>
      </c>
      <c r="AH2239" s="182" t="n">
        <v>0</v>
      </c>
      <c r="AI2239" s="182" t="n">
        <v>0</v>
      </c>
      <c r="AJ2239" s="182" t="n">
        <v>0</v>
      </c>
      <c r="AK2239" s="182" t="n">
        <v>0.44</v>
      </c>
      <c r="AL2239" s="182" t="n">
        <v>0</v>
      </c>
      <c r="AM2239" s="182" t="n">
        <v>0.08</v>
      </c>
      <c r="AN2239" s="182" t="n">
        <v>0</v>
      </c>
    </row>
    <row r="2240">
      <c r="A2240" s="155" t="n">
        <v>46092</v>
      </c>
      <c r="B2240" s="156" t="inlineStr">
        <is>
          <t>DS</t>
        </is>
      </c>
      <c r="C2240" s="156" t="inlineStr">
        <is>
          <t>EX-225</t>
        </is>
      </c>
      <c r="D2240" s="156" t="inlineStr">
        <is>
          <t>PC 200-8</t>
        </is>
      </c>
      <c r="E2240" s="156" t="inlineStr">
        <is>
          <t>Excavator</t>
        </is>
      </c>
      <c r="F2240" s="156" t="inlineStr"/>
      <c r="G2240" s="182" t="n">
        <v>0</v>
      </c>
      <c r="H2240" s="182" t="n">
        <v>0</v>
      </c>
      <c r="I2240" s="182" t="n">
        <v>12</v>
      </c>
      <c r="J2240" s="182" t="n">
        <v>12</v>
      </c>
      <c r="K2240" s="182" t="n">
        <v>0</v>
      </c>
      <c r="L2240" s="182" t="n">
        <v>12</v>
      </c>
      <c r="M2240" s="182" t="n">
        <v>0</v>
      </c>
      <c r="N2240" s="182" t="n">
        <v>0</v>
      </c>
      <c r="O2240" s="183" t="n">
        <v>0</v>
      </c>
      <c r="P2240" s="183" t="n">
        <v>0</v>
      </c>
      <c r="Q2240" s="184" t="n">
        <v>0</v>
      </c>
      <c r="R2240" s="184" t="n">
        <v>0</v>
      </c>
      <c r="S2240" s="183" t="n">
        <v>0</v>
      </c>
      <c r="T2240" s="183" t="n">
        <v>0</v>
      </c>
      <c r="U2240" s="182" t="n">
        <v>0</v>
      </c>
      <c r="V2240" s="182" t="n">
        <v>0</v>
      </c>
      <c r="W2240" s="182" t="n">
        <v>0</v>
      </c>
      <c r="X2240" s="182" t="n">
        <v>0</v>
      </c>
      <c r="Y2240" s="182" t="n">
        <v>0</v>
      </c>
      <c r="Z2240" s="182" t="n">
        <v>0</v>
      </c>
      <c r="AA2240" s="182" t="n">
        <v>0</v>
      </c>
      <c r="AB2240" s="182" t="n">
        <v>0</v>
      </c>
      <c r="AC2240" s="182" t="n">
        <v>0</v>
      </c>
      <c r="AD2240" s="182" t="n">
        <v>0</v>
      </c>
      <c r="AE2240" s="182" t="n">
        <v>0</v>
      </c>
      <c r="AF2240" s="182" t="n">
        <v>0</v>
      </c>
      <c r="AG2240" s="182" t="n">
        <v>0</v>
      </c>
      <c r="AH2240" s="182" t="n">
        <v>0</v>
      </c>
      <c r="AI2240" s="182" t="n">
        <v>0</v>
      </c>
      <c r="AJ2240" s="182" t="n">
        <v>0</v>
      </c>
      <c r="AK2240" s="182" t="n">
        <v>0</v>
      </c>
      <c r="AL2240" s="182" t="n">
        <v>0</v>
      </c>
      <c r="AM2240" s="182" t="n">
        <v>0</v>
      </c>
      <c r="AN2240" s="182" t="n">
        <v>0</v>
      </c>
    </row>
    <row r="2241">
      <c r="A2241" s="155" t="n">
        <v>46092</v>
      </c>
      <c r="B2241" s="156" t="inlineStr">
        <is>
          <t>DS</t>
        </is>
      </c>
      <c r="C2241" s="156" t="inlineStr">
        <is>
          <t>EX-223</t>
        </is>
      </c>
      <c r="D2241" s="156" t="inlineStr">
        <is>
          <t>PC 200-8MI</t>
        </is>
      </c>
      <c r="E2241" s="156" t="inlineStr">
        <is>
          <t>Excavator</t>
        </is>
      </c>
      <c r="F2241" s="156" t="inlineStr">
        <is>
          <t>Support Washing Plant</t>
        </is>
      </c>
      <c r="G2241" s="182" t="n">
        <v>7.85</v>
      </c>
      <c r="H2241" s="182" t="n">
        <v>0</v>
      </c>
      <c r="I2241" s="182" t="n">
        <v>0</v>
      </c>
      <c r="J2241" s="182" t="n">
        <v>0</v>
      </c>
      <c r="K2241" s="182" t="n">
        <v>4.15</v>
      </c>
      <c r="L2241" s="182" t="n">
        <v>12</v>
      </c>
      <c r="M2241" s="182" t="n">
        <v>0</v>
      </c>
      <c r="N2241" s="182" t="n">
        <v>0</v>
      </c>
      <c r="O2241" s="183" t="n">
        <v>0</v>
      </c>
      <c r="P2241" s="183" t="n">
        <v>0</v>
      </c>
      <c r="Q2241" s="184" t="n">
        <v>0</v>
      </c>
      <c r="R2241" s="184" t="n">
        <v>0</v>
      </c>
      <c r="S2241" s="183" t="n">
        <v>0</v>
      </c>
      <c r="T2241" s="183" t="n">
        <v>0</v>
      </c>
      <c r="U2241" s="182" t="n">
        <v>0</v>
      </c>
      <c r="V2241" s="182" t="n">
        <v>0</v>
      </c>
      <c r="W2241" s="182" t="n">
        <v>0</v>
      </c>
      <c r="X2241" s="182" t="n">
        <v>0.99</v>
      </c>
      <c r="Y2241" s="182" t="n">
        <v>0</v>
      </c>
      <c r="Z2241" s="182" t="n">
        <v>0</v>
      </c>
      <c r="AA2241" s="182" t="n">
        <v>0</v>
      </c>
      <c r="AB2241" s="182" t="n">
        <v>0</v>
      </c>
      <c r="AC2241" s="182" t="n">
        <v>0</v>
      </c>
      <c r="AD2241" s="182" t="n">
        <v>0</v>
      </c>
      <c r="AE2241" s="182" t="n">
        <v>0</v>
      </c>
      <c r="AF2241" s="182" t="n">
        <v>0</v>
      </c>
      <c r="AG2241" s="182" t="n">
        <v>0</v>
      </c>
      <c r="AH2241" s="182" t="n">
        <v>0</v>
      </c>
      <c r="AI2241" s="182" t="n">
        <v>0</v>
      </c>
      <c r="AJ2241" s="182" t="n">
        <v>0</v>
      </c>
      <c r="AK2241" s="182" t="n">
        <v>3.08</v>
      </c>
      <c r="AL2241" s="182" t="n">
        <v>0</v>
      </c>
      <c r="AM2241" s="182" t="n">
        <v>0.08</v>
      </c>
      <c r="AN2241" s="182" t="n">
        <v>0</v>
      </c>
    </row>
    <row r="2242">
      <c r="A2242" s="155" t="n">
        <v>46092</v>
      </c>
      <c r="B2242" s="156" t="inlineStr">
        <is>
          <t>DS</t>
        </is>
      </c>
      <c r="C2242" s="156" t="inlineStr">
        <is>
          <t>EX-221</t>
        </is>
      </c>
      <c r="D2242" s="156" t="inlineStr">
        <is>
          <t>PC 200-8MI</t>
        </is>
      </c>
      <c r="E2242" s="156" t="inlineStr">
        <is>
          <t>Excavator</t>
        </is>
      </c>
      <c r="F2242" s="156" t="inlineStr"/>
      <c r="G2242" s="182" t="n">
        <v>0</v>
      </c>
      <c r="H2242" s="182" t="n">
        <v>3.53</v>
      </c>
      <c r="I2242" s="182" t="n">
        <v>0</v>
      </c>
      <c r="J2242" s="182" t="n">
        <v>3.53</v>
      </c>
      <c r="K2242" s="182" t="n">
        <v>8.470000000000001</v>
      </c>
      <c r="L2242" s="182" t="n">
        <v>12</v>
      </c>
      <c r="M2242" s="182" t="n">
        <v>0</v>
      </c>
      <c r="N2242" s="182" t="n">
        <v>0</v>
      </c>
      <c r="O2242" s="183" t="n">
        <v>0</v>
      </c>
      <c r="P2242" s="183" t="n">
        <v>0</v>
      </c>
      <c r="Q2242" s="184" t="n">
        <v>0</v>
      </c>
      <c r="R2242" s="184" t="n">
        <v>0</v>
      </c>
      <c r="S2242" s="183" t="n">
        <v>0</v>
      </c>
      <c r="T2242" s="183" t="n">
        <v>0</v>
      </c>
      <c r="U2242" s="182" t="n">
        <v>0</v>
      </c>
      <c r="V2242" s="182" t="n">
        <v>0</v>
      </c>
      <c r="W2242" s="182" t="n">
        <v>0</v>
      </c>
      <c r="X2242" s="182" t="n">
        <v>1</v>
      </c>
      <c r="Y2242" s="182" t="n">
        <v>0</v>
      </c>
      <c r="Z2242" s="182" t="n">
        <v>0</v>
      </c>
      <c r="AA2242" s="182" t="n">
        <v>0</v>
      </c>
      <c r="AB2242" s="182" t="n">
        <v>0</v>
      </c>
      <c r="AC2242" s="182" t="n">
        <v>0</v>
      </c>
      <c r="AD2242" s="182" t="n">
        <v>0</v>
      </c>
      <c r="AE2242" s="182" t="n">
        <v>0</v>
      </c>
      <c r="AF2242" s="182" t="n">
        <v>0</v>
      </c>
      <c r="AG2242" s="182" t="n">
        <v>0</v>
      </c>
      <c r="AH2242" s="182" t="n">
        <v>0</v>
      </c>
      <c r="AI2242" s="182" t="n">
        <v>0</v>
      </c>
      <c r="AJ2242" s="182" t="n">
        <v>0</v>
      </c>
      <c r="AK2242" s="182" t="n">
        <v>7.38</v>
      </c>
      <c r="AL2242" s="182" t="n">
        <v>0</v>
      </c>
      <c r="AM2242" s="182" t="n">
        <v>0.08</v>
      </c>
      <c r="AN2242" s="182" t="n">
        <v>0</v>
      </c>
    </row>
    <row r="2243">
      <c r="A2243" s="155" t="n">
        <v>46092</v>
      </c>
      <c r="B2243" s="156" t="inlineStr">
        <is>
          <t>DS</t>
        </is>
      </c>
      <c r="C2243" s="156" t="inlineStr">
        <is>
          <t>EX-331</t>
        </is>
      </c>
      <c r="D2243" s="156" t="inlineStr">
        <is>
          <t>PC 300-8MO</t>
        </is>
      </c>
      <c r="E2243" s="156" t="inlineStr">
        <is>
          <t>Excavator</t>
        </is>
      </c>
      <c r="F2243" s="156" t="inlineStr"/>
      <c r="G2243" s="182" t="n">
        <v>0</v>
      </c>
      <c r="H2243" s="182" t="n">
        <v>0</v>
      </c>
      <c r="I2243" s="182" t="n">
        <v>12</v>
      </c>
      <c r="J2243" s="182" t="n">
        <v>12</v>
      </c>
      <c r="K2243" s="182" t="n">
        <v>0</v>
      </c>
      <c r="L2243" s="182" t="n">
        <v>12</v>
      </c>
      <c r="M2243" s="182" t="n">
        <v>0</v>
      </c>
      <c r="N2243" s="182" t="n">
        <v>0</v>
      </c>
      <c r="O2243" s="183" t="n">
        <v>0</v>
      </c>
      <c r="P2243" s="183" t="n">
        <v>0</v>
      </c>
      <c r="Q2243" s="184" t="n">
        <v>0</v>
      </c>
      <c r="R2243" s="184" t="n">
        <v>0</v>
      </c>
      <c r="S2243" s="183" t="n">
        <v>0</v>
      </c>
      <c r="T2243" s="183" t="n">
        <v>0</v>
      </c>
      <c r="U2243" s="182" t="n">
        <v>0</v>
      </c>
      <c r="V2243" s="182" t="n">
        <v>0</v>
      </c>
      <c r="W2243" s="182" t="n">
        <v>0</v>
      </c>
      <c r="X2243" s="182" t="n">
        <v>0</v>
      </c>
      <c r="Y2243" s="182" t="n">
        <v>0</v>
      </c>
      <c r="Z2243" s="182" t="n">
        <v>0</v>
      </c>
      <c r="AA2243" s="182" t="n">
        <v>0</v>
      </c>
      <c r="AB2243" s="182" t="n">
        <v>0</v>
      </c>
      <c r="AC2243" s="182" t="n">
        <v>0</v>
      </c>
      <c r="AD2243" s="182" t="n">
        <v>0</v>
      </c>
      <c r="AE2243" s="182" t="n">
        <v>0</v>
      </c>
      <c r="AF2243" s="182" t="n">
        <v>0</v>
      </c>
      <c r="AG2243" s="182" t="n">
        <v>0</v>
      </c>
      <c r="AH2243" s="182" t="n">
        <v>0</v>
      </c>
      <c r="AI2243" s="182" t="n">
        <v>0</v>
      </c>
      <c r="AJ2243" s="182" t="n">
        <v>0</v>
      </c>
      <c r="AK2243" s="182" t="n">
        <v>0</v>
      </c>
      <c r="AL2243" s="182" t="n">
        <v>0</v>
      </c>
      <c r="AM2243" s="182" t="n">
        <v>0</v>
      </c>
      <c r="AN2243" s="182" t="n">
        <v>0</v>
      </c>
    </row>
    <row r="2244">
      <c r="A2244" s="155" t="n">
        <v>46092</v>
      </c>
      <c r="B2244" s="156" t="inlineStr">
        <is>
          <t>DS</t>
        </is>
      </c>
      <c r="C2244" s="156" t="inlineStr">
        <is>
          <t>EX-334</t>
        </is>
      </c>
      <c r="D2244" s="156" t="inlineStr">
        <is>
          <t>PC 300-8MO</t>
        </is>
      </c>
      <c r="E2244" s="156" t="inlineStr">
        <is>
          <t>Excavator</t>
        </is>
      </c>
      <c r="F2244" s="156" t="inlineStr">
        <is>
          <t>Cleaning Coal</t>
        </is>
      </c>
      <c r="G2244" s="182" t="n">
        <v>10.23</v>
      </c>
      <c r="H2244" s="182" t="n">
        <v>0</v>
      </c>
      <c r="I2244" s="182" t="n">
        <v>0</v>
      </c>
      <c r="J2244" s="182" t="n">
        <v>0</v>
      </c>
      <c r="K2244" s="182" t="n">
        <v>1.77</v>
      </c>
      <c r="L2244" s="182" t="n">
        <v>12</v>
      </c>
      <c r="M2244" s="182" t="n">
        <v>0</v>
      </c>
      <c r="N2244" s="182" t="n">
        <v>0</v>
      </c>
      <c r="O2244" s="183" t="n">
        <v>0</v>
      </c>
      <c r="P2244" s="183" t="n">
        <v>0</v>
      </c>
      <c r="Q2244" s="184" t="n">
        <v>0</v>
      </c>
      <c r="R2244" s="184" t="n">
        <v>0</v>
      </c>
      <c r="S2244" s="183" t="n">
        <v>0</v>
      </c>
      <c r="T2244" s="183" t="n">
        <v>0</v>
      </c>
      <c r="U2244" s="182" t="n">
        <v>0</v>
      </c>
      <c r="V2244" s="182" t="n">
        <v>0</v>
      </c>
      <c r="W2244" s="182" t="n">
        <v>0</v>
      </c>
      <c r="X2244" s="182" t="n">
        <v>0.98</v>
      </c>
      <c r="Y2244" s="182" t="n">
        <v>0</v>
      </c>
      <c r="Z2244" s="182" t="n">
        <v>0</v>
      </c>
      <c r="AA2244" s="182" t="n">
        <v>0</v>
      </c>
      <c r="AB2244" s="182" t="n">
        <v>0</v>
      </c>
      <c r="AC2244" s="182" t="n">
        <v>0</v>
      </c>
      <c r="AD2244" s="182" t="n">
        <v>0</v>
      </c>
      <c r="AE2244" s="182" t="n">
        <v>0</v>
      </c>
      <c r="AF2244" s="182" t="n">
        <v>0</v>
      </c>
      <c r="AG2244" s="182" t="n">
        <v>0</v>
      </c>
      <c r="AH2244" s="182" t="n">
        <v>0</v>
      </c>
      <c r="AI2244" s="182" t="n">
        <v>0</v>
      </c>
      <c r="AJ2244" s="182" t="n">
        <v>0</v>
      </c>
      <c r="AK2244" s="182" t="n">
        <v>0.71</v>
      </c>
      <c r="AL2244" s="182" t="n">
        <v>0</v>
      </c>
      <c r="AM2244" s="182" t="n">
        <v>0.08</v>
      </c>
      <c r="AN2244" s="182" t="n">
        <v>0</v>
      </c>
    </row>
    <row r="2245">
      <c r="A2245" s="155" t="n">
        <v>46092</v>
      </c>
      <c r="B2245" s="156" t="inlineStr">
        <is>
          <t>DS</t>
        </is>
      </c>
      <c r="C2245" s="156" t="inlineStr">
        <is>
          <t>EX-332</t>
        </is>
      </c>
      <c r="D2245" s="156" t="inlineStr">
        <is>
          <t>PC 300-8MO</t>
        </is>
      </c>
      <c r="E2245" s="156" t="inlineStr">
        <is>
          <t>Excavator</t>
        </is>
      </c>
      <c r="F2245" s="156" t="inlineStr">
        <is>
          <t>Cleaning Coal</t>
        </is>
      </c>
      <c r="G2245" s="182" t="n">
        <v>5.31</v>
      </c>
      <c r="H2245" s="182" t="n">
        <v>0</v>
      </c>
      <c r="I2245" s="182" t="n">
        <v>6.12</v>
      </c>
      <c r="J2245" s="182" t="n">
        <v>6.12</v>
      </c>
      <c r="K2245" s="182" t="n">
        <v>0.57</v>
      </c>
      <c r="L2245" s="182" t="n">
        <v>12</v>
      </c>
      <c r="M2245" s="182" t="n">
        <v>0</v>
      </c>
      <c r="N2245" s="182" t="n">
        <v>0</v>
      </c>
      <c r="O2245" s="183" t="n">
        <v>0</v>
      </c>
      <c r="P2245" s="183" t="n">
        <v>0</v>
      </c>
      <c r="Q2245" s="184" t="n">
        <v>0</v>
      </c>
      <c r="R2245" s="184" t="n">
        <v>0</v>
      </c>
      <c r="S2245" s="183" t="n">
        <v>0</v>
      </c>
      <c r="T2245" s="183" t="n">
        <v>0</v>
      </c>
      <c r="U2245" s="182" t="n">
        <v>0</v>
      </c>
      <c r="V2245" s="182" t="n">
        <v>0</v>
      </c>
      <c r="W2245" s="182" t="n">
        <v>0</v>
      </c>
      <c r="X2245" s="182" t="n">
        <v>0</v>
      </c>
      <c r="Y2245" s="182" t="n">
        <v>0</v>
      </c>
      <c r="Z2245" s="182" t="n">
        <v>0</v>
      </c>
      <c r="AA2245" s="182" t="n">
        <v>0</v>
      </c>
      <c r="AB2245" s="182" t="n">
        <v>0</v>
      </c>
      <c r="AC2245" s="182" t="n">
        <v>0</v>
      </c>
      <c r="AD2245" s="182" t="n">
        <v>0</v>
      </c>
      <c r="AE2245" s="182" t="n">
        <v>0</v>
      </c>
      <c r="AF2245" s="182" t="n">
        <v>0</v>
      </c>
      <c r="AG2245" s="182" t="n">
        <v>0</v>
      </c>
      <c r="AH2245" s="182" t="n">
        <v>0</v>
      </c>
      <c r="AI2245" s="182" t="n">
        <v>0</v>
      </c>
      <c r="AJ2245" s="182" t="n">
        <v>0</v>
      </c>
      <c r="AK2245" s="182" t="n">
        <v>0</v>
      </c>
      <c r="AL2245" s="182" t="n">
        <v>0</v>
      </c>
      <c r="AM2245" s="182" t="n">
        <v>0.57</v>
      </c>
      <c r="AN2245" s="182" t="n">
        <v>0</v>
      </c>
    </row>
    <row r="2246">
      <c r="A2246" s="155" t="n">
        <v>46092</v>
      </c>
      <c r="B2246" s="156" t="inlineStr">
        <is>
          <t>DS</t>
        </is>
      </c>
      <c r="C2246" s="156" t="inlineStr">
        <is>
          <t>EX-333</t>
        </is>
      </c>
      <c r="D2246" s="156" t="inlineStr">
        <is>
          <t>PC 300-8MO</t>
        </is>
      </c>
      <c r="E2246" s="156" t="inlineStr">
        <is>
          <t>Excavator</t>
        </is>
      </c>
      <c r="F2246" s="156" t="inlineStr"/>
      <c r="G2246" s="182" t="n">
        <v>0</v>
      </c>
      <c r="H2246" s="182" t="n">
        <v>0</v>
      </c>
      <c r="I2246" s="182" t="n">
        <v>12</v>
      </c>
      <c r="J2246" s="182" t="n">
        <v>12</v>
      </c>
      <c r="K2246" s="182" t="n">
        <v>0</v>
      </c>
      <c r="L2246" s="182" t="n">
        <v>12</v>
      </c>
      <c r="M2246" s="182" t="n">
        <v>0</v>
      </c>
      <c r="N2246" s="182" t="n">
        <v>0</v>
      </c>
      <c r="O2246" s="183" t="n">
        <v>0</v>
      </c>
      <c r="P2246" s="183" t="n">
        <v>0</v>
      </c>
      <c r="Q2246" s="184" t="n">
        <v>0</v>
      </c>
      <c r="R2246" s="184" t="n">
        <v>0</v>
      </c>
      <c r="S2246" s="183" t="n">
        <v>0</v>
      </c>
      <c r="T2246" s="183" t="n">
        <v>0</v>
      </c>
      <c r="U2246" s="182" t="n">
        <v>0</v>
      </c>
      <c r="V2246" s="182" t="n">
        <v>0</v>
      </c>
      <c r="W2246" s="182" t="n">
        <v>0</v>
      </c>
      <c r="X2246" s="182" t="n">
        <v>0</v>
      </c>
      <c r="Y2246" s="182" t="n">
        <v>0</v>
      </c>
      <c r="Z2246" s="182" t="n">
        <v>0</v>
      </c>
      <c r="AA2246" s="182" t="n">
        <v>0</v>
      </c>
      <c r="AB2246" s="182" t="n">
        <v>0</v>
      </c>
      <c r="AC2246" s="182" t="n">
        <v>0</v>
      </c>
      <c r="AD2246" s="182" t="n">
        <v>0</v>
      </c>
      <c r="AE2246" s="182" t="n">
        <v>0</v>
      </c>
      <c r="AF2246" s="182" t="n">
        <v>0</v>
      </c>
      <c r="AG2246" s="182" t="n">
        <v>0</v>
      </c>
      <c r="AH2246" s="182" t="n">
        <v>0</v>
      </c>
      <c r="AI2246" s="182" t="n">
        <v>0</v>
      </c>
      <c r="AJ2246" s="182" t="n">
        <v>0</v>
      </c>
      <c r="AK2246" s="182" t="n">
        <v>0</v>
      </c>
      <c r="AL2246" s="182" t="n">
        <v>0</v>
      </c>
      <c r="AM2246" s="182" t="n">
        <v>0</v>
      </c>
      <c r="AN2246" s="182" t="n">
        <v>0</v>
      </c>
    </row>
    <row r="2247">
      <c r="A2247" s="155" t="n">
        <v>46092</v>
      </c>
      <c r="B2247" s="156" t="inlineStr">
        <is>
          <t>DS</t>
        </is>
      </c>
      <c r="C2247" s="156" t="inlineStr">
        <is>
          <t>EX-336</t>
        </is>
      </c>
      <c r="D2247" s="156" t="inlineStr">
        <is>
          <t>PC 300-8MO</t>
        </is>
      </c>
      <c r="E2247" s="156" t="inlineStr">
        <is>
          <t>Excavator</t>
        </is>
      </c>
      <c r="F2247" s="156" t="inlineStr">
        <is>
          <t>Trimming Coal di StockROM</t>
        </is>
      </c>
      <c r="G2247" s="182" t="n">
        <v>3.08</v>
      </c>
      <c r="H2247" s="182" t="n">
        <v>0</v>
      </c>
      <c r="I2247" s="182" t="n">
        <v>8.92</v>
      </c>
      <c r="J2247" s="182" t="n">
        <v>8.92</v>
      </c>
      <c r="K2247" s="182" t="n">
        <v>0</v>
      </c>
      <c r="L2247" s="182" t="n">
        <v>12</v>
      </c>
      <c r="M2247" s="182" t="n">
        <v>0</v>
      </c>
      <c r="N2247" s="182" t="n">
        <v>0</v>
      </c>
      <c r="O2247" s="183" t="n">
        <v>0</v>
      </c>
      <c r="P2247" s="183" t="n">
        <v>0</v>
      </c>
      <c r="Q2247" s="184" t="n">
        <v>0</v>
      </c>
      <c r="R2247" s="184" t="n">
        <v>0</v>
      </c>
      <c r="S2247" s="183" t="n">
        <v>0</v>
      </c>
      <c r="T2247" s="183" t="n">
        <v>0</v>
      </c>
      <c r="U2247" s="182" t="n">
        <v>0</v>
      </c>
      <c r="V2247" s="182" t="n">
        <v>0</v>
      </c>
      <c r="W2247" s="182" t="n">
        <v>0</v>
      </c>
      <c r="X2247" s="182" t="n">
        <v>0</v>
      </c>
      <c r="Y2247" s="182" t="n">
        <v>0</v>
      </c>
      <c r="Z2247" s="182" t="n">
        <v>0</v>
      </c>
      <c r="AA2247" s="182" t="n">
        <v>0</v>
      </c>
      <c r="AB2247" s="182" t="n">
        <v>0</v>
      </c>
      <c r="AC2247" s="182" t="n">
        <v>0</v>
      </c>
      <c r="AD2247" s="182" t="n">
        <v>0</v>
      </c>
      <c r="AE2247" s="182" t="n">
        <v>0</v>
      </c>
      <c r="AF2247" s="182" t="n">
        <v>0</v>
      </c>
      <c r="AG2247" s="182" t="n">
        <v>0</v>
      </c>
      <c r="AH2247" s="182" t="n">
        <v>0</v>
      </c>
      <c r="AI2247" s="182" t="n">
        <v>0</v>
      </c>
      <c r="AJ2247" s="182" t="n">
        <v>0</v>
      </c>
      <c r="AK2247" s="182" t="n">
        <v>0</v>
      </c>
      <c r="AL2247" s="182" t="n">
        <v>0</v>
      </c>
      <c r="AM2247" s="182" t="n">
        <v>0</v>
      </c>
      <c r="AN2247" s="182" t="n">
        <v>0</v>
      </c>
    </row>
    <row r="2248">
      <c r="A2248" s="155" t="n">
        <v>46092</v>
      </c>
      <c r="B2248" s="156" t="inlineStr">
        <is>
          <t>DS</t>
        </is>
      </c>
      <c r="C2248" s="156" t="inlineStr">
        <is>
          <t>EX-335</t>
        </is>
      </c>
      <c r="D2248" s="156" t="inlineStr">
        <is>
          <t>PC 300-8MO</t>
        </is>
      </c>
      <c r="E2248" s="156" t="inlineStr">
        <is>
          <t>Excavator</t>
        </is>
      </c>
      <c r="F2248" s="156" t="inlineStr">
        <is>
          <t>Cleaning Coal</t>
        </is>
      </c>
      <c r="G2248" s="182" t="n">
        <v>10.54</v>
      </c>
      <c r="H2248" s="182" t="n">
        <v>0</v>
      </c>
      <c r="I2248" s="182" t="n">
        <v>0.15</v>
      </c>
      <c r="J2248" s="182" t="n">
        <v>0.15</v>
      </c>
      <c r="K2248" s="182" t="n">
        <v>1.31</v>
      </c>
      <c r="L2248" s="182" t="n">
        <v>12</v>
      </c>
      <c r="M2248" s="182" t="n">
        <v>0</v>
      </c>
      <c r="N2248" s="182" t="n">
        <v>0</v>
      </c>
      <c r="O2248" s="183" t="n">
        <v>0</v>
      </c>
      <c r="P2248" s="183" t="n">
        <v>0</v>
      </c>
      <c r="Q2248" s="184" t="n">
        <v>0</v>
      </c>
      <c r="R2248" s="184" t="n">
        <v>0</v>
      </c>
      <c r="S2248" s="183" t="n">
        <v>0</v>
      </c>
      <c r="T2248" s="183" t="n">
        <v>0</v>
      </c>
      <c r="U2248" s="182" t="n">
        <v>0</v>
      </c>
      <c r="V2248" s="182" t="n">
        <v>0</v>
      </c>
      <c r="W2248" s="182" t="n">
        <v>0</v>
      </c>
      <c r="X2248" s="182" t="n">
        <v>1.21</v>
      </c>
      <c r="Y2248" s="182" t="n">
        <v>0</v>
      </c>
      <c r="Z2248" s="182" t="n">
        <v>0</v>
      </c>
      <c r="AA2248" s="182" t="n">
        <v>0</v>
      </c>
      <c r="AB2248" s="182" t="n">
        <v>0</v>
      </c>
      <c r="AC2248" s="182" t="n">
        <v>0</v>
      </c>
      <c r="AD2248" s="182" t="n">
        <v>0</v>
      </c>
      <c r="AE2248" s="182" t="n">
        <v>0</v>
      </c>
      <c r="AF2248" s="182" t="n">
        <v>0</v>
      </c>
      <c r="AG2248" s="182" t="n">
        <v>0</v>
      </c>
      <c r="AH2248" s="182" t="n">
        <v>0</v>
      </c>
      <c r="AI2248" s="182" t="n">
        <v>0</v>
      </c>
      <c r="AJ2248" s="182" t="n">
        <v>0</v>
      </c>
      <c r="AK2248" s="182" t="n">
        <v>0</v>
      </c>
      <c r="AL2248" s="182" t="n">
        <v>0</v>
      </c>
      <c r="AM2248" s="182" t="n">
        <v>0.1</v>
      </c>
      <c r="AN2248" s="182" t="n">
        <v>0</v>
      </c>
    </row>
    <row r="2249">
      <c r="A2249" s="155" t="n">
        <v>46092</v>
      </c>
      <c r="B2249" s="156" t="inlineStr">
        <is>
          <t>DS</t>
        </is>
      </c>
      <c r="C2249" s="156" t="inlineStr">
        <is>
          <t>EX-754</t>
        </is>
      </c>
      <c r="D2249" s="156" t="inlineStr">
        <is>
          <t>SY750H-PRO</t>
        </is>
      </c>
      <c r="E2249" s="156" t="inlineStr">
        <is>
          <t>Excavator</t>
        </is>
      </c>
      <c r="F2249" s="156" t="inlineStr">
        <is>
          <t>Loading Coal S60</t>
        </is>
      </c>
      <c r="G2249" s="182" t="n">
        <v>6.29</v>
      </c>
      <c r="H2249" s="182" t="n">
        <v>0</v>
      </c>
      <c r="I2249" s="182" t="n">
        <v>0</v>
      </c>
      <c r="J2249" s="182" t="n">
        <v>0</v>
      </c>
      <c r="K2249" s="182" t="n">
        <v>5.71</v>
      </c>
      <c r="L2249" s="182" t="n">
        <v>12</v>
      </c>
      <c r="M2249" s="182" t="n">
        <v>0</v>
      </c>
      <c r="N2249" s="182" t="n">
        <v>6.19</v>
      </c>
      <c r="O2249" s="183" t="n">
        <v>0</v>
      </c>
      <c r="P2249" s="183" t="n">
        <v>63</v>
      </c>
      <c r="Q2249" s="184" t="n">
        <v>0</v>
      </c>
      <c r="R2249" s="184" t="n">
        <v>1178.1</v>
      </c>
      <c r="S2249" s="183" t="n">
        <v>0</v>
      </c>
      <c r="T2249" s="183" t="n">
        <v>0</v>
      </c>
      <c r="U2249" s="182" t="n">
        <v>3.59</v>
      </c>
      <c r="V2249" s="182" t="n">
        <v>1.02</v>
      </c>
      <c r="W2249" s="182" t="n">
        <v>0</v>
      </c>
      <c r="X2249" s="182" t="n">
        <v>1.02</v>
      </c>
      <c r="Y2249" s="182" t="n">
        <v>0</v>
      </c>
      <c r="Z2249" s="182" t="n">
        <v>0</v>
      </c>
      <c r="AA2249" s="182" t="n">
        <v>0</v>
      </c>
      <c r="AB2249" s="182" t="n">
        <v>0</v>
      </c>
      <c r="AC2249" s="182" t="n">
        <v>0</v>
      </c>
      <c r="AD2249" s="182" t="n">
        <v>0</v>
      </c>
      <c r="AE2249" s="182" t="n">
        <v>0</v>
      </c>
      <c r="AF2249" s="182" t="n">
        <v>0</v>
      </c>
      <c r="AG2249" s="182" t="n">
        <v>0</v>
      </c>
      <c r="AH2249" s="182" t="n">
        <v>0</v>
      </c>
      <c r="AI2249" s="182" t="n">
        <v>0</v>
      </c>
      <c r="AJ2249" s="182" t="n">
        <v>0</v>
      </c>
      <c r="AK2249" s="182" t="n">
        <v>0</v>
      </c>
      <c r="AL2249" s="182" t="n">
        <v>0</v>
      </c>
      <c r="AM2249" s="182" t="n">
        <v>0.08</v>
      </c>
      <c r="AN2249" s="182" t="n">
        <v>0</v>
      </c>
    </row>
    <row r="2250">
      <c r="A2250" s="155" t="n">
        <v>46092</v>
      </c>
      <c r="B2250" s="156" t="inlineStr">
        <is>
          <t>DS</t>
        </is>
      </c>
      <c r="C2250" s="156" t="inlineStr">
        <is>
          <t>EX-755</t>
        </is>
      </c>
      <c r="D2250" s="156" t="inlineStr">
        <is>
          <t>SY750H-PRO</t>
        </is>
      </c>
      <c r="E2250" s="156" t="inlineStr">
        <is>
          <t>Excavator</t>
        </is>
      </c>
      <c r="F2250" s="156" t="inlineStr">
        <is>
          <t>Loading OB</t>
        </is>
      </c>
      <c r="G2250" s="182" t="n">
        <v>4.06</v>
      </c>
      <c r="H2250" s="182" t="n">
        <v>7.15</v>
      </c>
      <c r="I2250" s="182" t="n">
        <v>0</v>
      </c>
      <c r="J2250" s="182" t="n">
        <v>7.15</v>
      </c>
      <c r="K2250" s="182" t="n">
        <v>0.79</v>
      </c>
      <c r="L2250" s="182" t="n">
        <v>12</v>
      </c>
      <c r="M2250" s="182" t="n">
        <v>4.06</v>
      </c>
      <c r="N2250" s="182" t="n">
        <v>0</v>
      </c>
      <c r="O2250" s="183" t="n">
        <v>52</v>
      </c>
      <c r="P2250" s="183" t="n">
        <v>0</v>
      </c>
      <c r="Q2250" s="184" t="n">
        <v>848.6</v>
      </c>
      <c r="R2250" s="184" t="n">
        <v>0</v>
      </c>
      <c r="S2250" s="183" t="n">
        <v>0</v>
      </c>
      <c r="T2250" s="183" t="n">
        <v>0</v>
      </c>
      <c r="U2250" s="182" t="n">
        <v>0.48</v>
      </c>
      <c r="V2250" s="182" t="n">
        <v>0.13</v>
      </c>
      <c r="W2250" s="182" t="n">
        <v>0</v>
      </c>
      <c r="X2250" s="182" t="n">
        <v>0</v>
      </c>
      <c r="Y2250" s="182" t="n">
        <v>0</v>
      </c>
      <c r="Z2250" s="182" t="n">
        <v>0</v>
      </c>
      <c r="AA2250" s="182" t="n">
        <v>0</v>
      </c>
      <c r="AB2250" s="182" t="n">
        <v>0</v>
      </c>
      <c r="AC2250" s="182" t="n">
        <v>0</v>
      </c>
      <c r="AD2250" s="182" t="n">
        <v>0</v>
      </c>
      <c r="AE2250" s="182" t="n">
        <v>0</v>
      </c>
      <c r="AF2250" s="182" t="n">
        <v>0</v>
      </c>
      <c r="AG2250" s="182" t="n">
        <v>0</v>
      </c>
      <c r="AH2250" s="182" t="n">
        <v>0.12</v>
      </c>
      <c r="AI2250" s="182" t="n">
        <v>0</v>
      </c>
      <c r="AJ2250" s="182" t="n">
        <v>0</v>
      </c>
      <c r="AK2250" s="182" t="n">
        <v>0</v>
      </c>
      <c r="AL2250" s="182" t="n">
        <v>0</v>
      </c>
      <c r="AM2250" s="182" t="n">
        <v>0.06</v>
      </c>
      <c r="AN2250" s="182" t="n">
        <v>0</v>
      </c>
    </row>
    <row r="2251">
      <c r="A2251" s="155" t="n">
        <v>46092</v>
      </c>
      <c r="B2251" s="156" t="inlineStr">
        <is>
          <t>DS</t>
        </is>
      </c>
      <c r="C2251" s="156" t="inlineStr">
        <is>
          <t>EX-752</t>
        </is>
      </c>
      <c r="D2251" s="156" t="inlineStr">
        <is>
          <t>SY750H-PRO</t>
        </is>
      </c>
      <c r="E2251" s="156" t="inlineStr">
        <is>
          <t>Excavator</t>
        </is>
      </c>
      <c r="F2251" s="156" t="inlineStr"/>
      <c r="G2251" s="182" t="n">
        <v>0</v>
      </c>
      <c r="H2251" s="182" t="n">
        <v>0</v>
      </c>
      <c r="I2251" s="182" t="n">
        <v>12</v>
      </c>
      <c r="J2251" s="182" t="n">
        <v>12</v>
      </c>
      <c r="K2251" s="182" t="n">
        <v>0</v>
      </c>
      <c r="L2251" s="182" t="n">
        <v>12</v>
      </c>
      <c r="M2251" s="182" t="n">
        <v>0</v>
      </c>
      <c r="N2251" s="182" t="n">
        <v>0</v>
      </c>
      <c r="O2251" s="183" t="n">
        <v>0</v>
      </c>
      <c r="P2251" s="183" t="n">
        <v>0</v>
      </c>
      <c r="Q2251" s="184" t="n">
        <v>0</v>
      </c>
      <c r="R2251" s="184" t="n">
        <v>0</v>
      </c>
      <c r="S2251" s="183" t="n">
        <v>0</v>
      </c>
      <c r="T2251" s="183" t="n">
        <v>0</v>
      </c>
      <c r="U2251" s="182" t="n">
        <v>0</v>
      </c>
      <c r="V2251" s="182" t="n">
        <v>0</v>
      </c>
      <c r="W2251" s="182" t="n">
        <v>0</v>
      </c>
      <c r="X2251" s="182" t="n">
        <v>0</v>
      </c>
      <c r="Y2251" s="182" t="n">
        <v>0</v>
      </c>
      <c r="Z2251" s="182" t="n">
        <v>0</v>
      </c>
      <c r="AA2251" s="182" t="n">
        <v>0</v>
      </c>
      <c r="AB2251" s="182" t="n">
        <v>0</v>
      </c>
      <c r="AC2251" s="182" t="n">
        <v>0</v>
      </c>
      <c r="AD2251" s="182" t="n">
        <v>0</v>
      </c>
      <c r="AE2251" s="182" t="n">
        <v>0</v>
      </c>
      <c r="AF2251" s="182" t="n">
        <v>0</v>
      </c>
      <c r="AG2251" s="182" t="n">
        <v>0</v>
      </c>
      <c r="AH2251" s="182" t="n">
        <v>0</v>
      </c>
      <c r="AI2251" s="182" t="n">
        <v>0</v>
      </c>
      <c r="AJ2251" s="182" t="n">
        <v>0</v>
      </c>
      <c r="AK2251" s="182" t="n">
        <v>0</v>
      </c>
      <c r="AL2251" s="182" t="n">
        <v>0</v>
      </c>
      <c r="AM2251" s="182" t="n">
        <v>0</v>
      </c>
      <c r="AN2251" s="182" t="n">
        <v>0</v>
      </c>
    </row>
    <row r="2252">
      <c r="A2252" s="155" t="n">
        <v>46092</v>
      </c>
      <c r="B2252" s="156" t="inlineStr">
        <is>
          <t>DS</t>
        </is>
      </c>
      <c r="C2252" s="156" t="inlineStr">
        <is>
          <t>EX-751</t>
        </is>
      </c>
      <c r="D2252" s="156" t="inlineStr">
        <is>
          <t>SY750H-PRO</t>
        </is>
      </c>
      <c r="E2252" s="156" t="inlineStr">
        <is>
          <t>Excavator</t>
        </is>
      </c>
      <c r="F2252" s="156" t="inlineStr"/>
      <c r="G2252" s="182" t="n">
        <v>0</v>
      </c>
      <c r="H2252" s="182" t="n">
        <v>0</v>
      </c>
      <c r="I2252" s="182" t="n">
        <v>12</v>
      </c>
      <c r="J2252" s="182" t="n">
        <v>12</v>
      </c>
      <c r="K2252" s="182" t="n">
        <v>0</v>
      </c>
      <c r="L2252" s="182" t="n">
        <v>12</v>
      </c>
      <c r="M2252" s="182" t="n">
        <v>0</v>
      </c>
      <c r="N2252" s="182" t="n">
        <v>0</v>
      </c>
      <c r="O2252" s="183" t="n">
        <v>0</v>
      </c>
      <c r="P2252" s="183" t="n">
        <v>0</v>
      </c>
      <c r="Q2252" s="184" t="n">
        <v>0</v>
      </c>
      <c r="R2252" s="184" t="n">
        <v>0</v>
      </c>
      <c r="S2252" s="183" t="n">
        <v>0</v>
      </c>
      <c r="T2252" s="183" t="n">
        <v>0</v>
      </c>
      <c r="U2252" s="182" t="n">
        <v>0</v>
      </c>
      <c r="V2252" s="182" t="n">
        <v>0</v>
      </c>
      <c r="W2252" s="182" t="n">
        <v>0</v>
      </c>
      <c r="X2252" s="182" t="n">
        <v>0</v>
      </c>
      <c r="Y2252" s="182" t="n">
        <v>0</v>
      </c>
      <c r="Z2252" s="182" t="n">
        <v>0</v>
      </c>
      <c r="AA2252" s="182" t="n">
        <v>0</v>
      </c>
      <c r="AB2252" s="182" t="n">
        <v>0</v>
      </c>
      <c r="AC2252" s="182" t="n">
        <v>0</v>
      </c>
      <c r="AD2252" s="182" t="n">
        <v>0</v>
      </c>
      <c r="AE2252" s="182" t="n">
        <v>0</v>
      </c>
      <c r="AF2252" s="182" t="n">
        <v>0</v>
      </c>
      <c r="AG2252" s="182" t="n">
        <v>0</v>
      </c>
      <c r="AH2252" s="182" t="n">
        <v>0</v>
      </c>
      <c r="AI2252" s="182" t="n">
        <v>0</v>
      </c>
      <c r="AJ2252" s="182" t="n">
        <v>0</v>
      </c>
      <c r="AK2252" s="182" t="n">
        <v>0</v>
      </c>
      <c r="AL2252" s="182" t="n">
        <v>0</v>
      </c>
      <c r="AM2252" s="182" t="n">
        <v>0</v>
      </c>
      <c r="AN2252" s="182" t="n">
        <v>0</v>
      </c>
    </row>
    <row r="2253">
      <c r="A2253" s="155" t="n">
        <v>46092</v>
      </c>
      <c r="B2253" s="156" t="inlineStr">
        <is>
          <t>DS</t>
        </is>
      </c>
      <c r="C2253" s="156" t="inlineStr">
        <is>
          <t>EX-753</t>
        </is>
      </c>
      <c r="D2253" s="156" t="inlineStr">
        <is>
          <t>SY750H-PRO</t>
        </is>
      </c>
      <c r="E2253" s="156" t="inlineStr">
        <is>
          <t>Excavator</t>
        </is>
      </c>
      <c r="F2253" s="156" t="inlineStr">
        <is>
          <t>Loading OB</t>
        </is>
      </c>
      <c r="G2253" s="182" t="n">
        <v>4.79</v>
      </c>
      <c r="H2253" s="182" t="n">
        <v>0</v>
      </c>
      <c r="I2253" s="182" t="n">
        <v>0.2</v>
      </c>
      <c r="J2253" s="182" t="n">
        <v>0.2</v>
      </c>
      <c r="K2253" s="182" t="n">
        <v>7.01</v>
      </c>
      <c r="L2253" s="182" t="n">
        <v>12</v>
      </c>
      <c r="M2253" s="182" t="n">
        <v>4.58</v>
      </c>
      <c r="N2253" s="182" t="n">
        <v>0</v>
      </c>
      <c r="O2253" s="183" t="n">
        <v>78</v>
      </c>
      <c r="P2253" s="183" t="n">
        <v>0</v>
      </c>
      <c r="Q2253" s="184" t="n">
        <v>1273</v>
      </c>
      <c r="R2253" s="184" t="n">
        <v>0</v>
      </c>
      <c r="S2253" s="183" t="n">
        <v>0</v>
      </c>
      <c r="T2253" s="183" t="n">
        <v>0</v>
      </c>
      <c r="U2253" s="182" t="n">
        <v>3.66</v>
      </c>
      <c r="V2253" s="182" t="n">
        <v>1.8</v>
      </c>
      <c r="W2253" s="182" t="n">
        <v>0</v>
      </c>
      <c r="X2253" s="182" t="n">
        <v>1.04</v>
      </c>
      <c r="Y2253" s="182" t="n">
        <v>0</v>
      </c>
      <c r="Z2253" s="182" t="n">
        <v>0.18</v>
      </c>
      <c r="AA2253" s="182" t="n">
        <v>0</v>
      </c>
      <c r="AB2253" s="182" t="n">
        <v>0</v>
      </c>
      <c r="AC2253" s="182" t="n">
        <v>0</v>
      </c>
      <c r="AD2253" s="182" t="n">
        <v>0</v>
      </c>
      <c r="AE2253" s="182" t="n">
        <v>0</v>
      </c>
      <c r="AF2253" s="182" t="n">
        <v>0</v>
      </c>
      <c r="AG2253" s="182" t="n">
        <v>0</v>
      </c>
      <c r="AH2253" s="182" t="n">
        <v>0.26</v>
      </c>
      <c r="AI2253" s="182" t="n">
        <v>0</v>
      </c>
      <c r="AJ2253" s="182" t="n">
        <v>0</v>
      </c>
      <c r="AK2253" s="182" t="n">
        <v>0</v>
      </c>
      <c r="AL2253" s="182" t="n">
        <v>0</v>
      </c>
      <c r="AM2253" s="182" t="n">
        <v>0.08</v>
      </c>
      <c r="AN2253" s="182" t="n">
        <v>0</v>
      </c>
    </row>
    <row r="2254">
      <c r="A2254" s="155" t="n">
        <v>46092</v>
      </c>
      <c r="B2254" s="156" t="inlineStr">
        <is>
          <t>DS</t>
        </is>
      </c>
      <c r="C2254" s="156" t="inlineStr">
        <is>
          <t>GD-012</t>
        </is>
      </c>
      <c r="D2254" s="156" t="inlineStr">
        <is>
          <t>STG 230C - 8S</t>
        </is>
      </c>
      <c r="E2254" s="156" t="inlineStr">
        <is>
          <t>Grader</t>
        </is>
      </c>
      <c r="F2254" s="156" t="inlineStr"/>
      <c r="G2254" s="182" t="n">
        <v>0</v>
      </c>
      <c r="H2254" s="182" t="n">
        <v>0</v>
      </c>
      <c r="I2254" s="182" t="n">
        <v>0</v>
      </c>
      <c r="J2254" s="182" t="n">
        <v>0</v>
      </c>
      <c r="K2254" s="182" t="n">
        <v>12</v>
      </c>
      <c r="L2254" s="182" t="n">
        <v>12</v>
      </c>
      <c r="M2254" s="182" t="n">
        <v>0</v>
      </c>
      <c r="N2254" s="182" t="n">
        <v>0</v>
      </c>
      <c r="O2254" s="183" t="n">
        <v>0</v>
      </c>
      <c r="P2254" s="183" t="n">
        <v>0</v>
      </c>
      <c r="Q2254" s="184" t="n">
        <v>0</v>
      </c>
      <c r="R2254" s="184" t="n">
        <v>0</v>
      </c>
      <c r="S2254" s="183" t="n">
        <v>0</v>
      </c>
      <c r="T2254" s="183" t="n">
        <v>0</v>
      </c>
      <c r="U2254" s="182" t="n">
        <v>0</v>
      </c>
      <c r="V2254" s="182" t="n">
        <v>0</v>
      </c>
      <c r="W2254" s="182" t="n">
        <v>0</v>
      </c>
      <c r="X2254" s="182" t="n">
        <v>1</v>
      </c>
      <c r="Y2254" s="182" t="n">
        <v>0</v>
      </c>
      <c r="Z2254" s="182" t="n">
        <v>0</v>
      </c>
      <c r="AA2254" s="182" t="n">
        <v>0</v>
      </c>
      <c r="AB2254" s="182" t="n">
        <v>0</v>
      </c>
      <c r="AC2254" s="182" t="n">
        <v>0</v>
      </c>
      <c r="AD2254" s="182" t="n">
        <v>0</v>
      </c>
      <c r="AE2254" s="182" t="n">
        <v>0</v>
      </c>
      <c r="AF2254" s="182" t="n">
        <v>0</v>
      </c>
      <c r="AG2254" s="182" t="n">
        <v>0</v>
      </c>
      <c r="AH2254" s="182" t="n">
        <v>0</v>
      </c>
      <c r="AI2254" s="182" t="n">
        <v>0</v>
      </c>
      <c r="AJ2254" s="182" t="n">
        <v>0</v>
      </c>
      <c r="AK2254" s="182" t="n">
        <v>10.92</v>
      </c>
      <c r="AL2254" s="182" t="n">
        <v>0</v>
      </c>
      <c r="AM2254" s="182" t="n">
        <v>0.08</v>
      </c>
      <c r="AN2254" s="182" t="n">
        <v>0</v>
      </c>
    </row>
    <row r="2255">
      <c r="A2255" s="155" t="n">
        <v>46092</v>
      </c>
      <c r="B2255" s="156" t="inlineStr">
        <is>
          <t>DS</t>
        </is>
      </c>
      <c r="C2255" s="156" t="inlineStr">
        <is>
          <t>GD-011</t>
        </is>
      </c>
      <c r="D2255" s="156" t="inlineStr">
        <is>
          <t>STG 230C - 8S</t>
        </is>
      </c>
      <c r="E2255" s="156" t="inlineStr">
        <is>
          <t>Grader</t>
        </is>
      </c>
      <c r="F2255" s="156" t="inlineStr"/>
      <c r="G2255" s="182" t="n">
        <v>0</v>
      </c>
      <c r="H2255" s="182" t="n">
        <v>0</v>
      </c>
      <c r="I2255" s="182" t="n">
        <v>12</v>
      </c>
      <c r="J2255" s="182" t="n">
        <v>12</v>
      </c>
      <c r="K2255" s="182" t="n">
        <v>0</v>
      </c>
      <c r="L2255" s="182" t="n">
        <v>12</v>
      </c>
      <c r="M2255" s="182" t="n">
        <v>0</v>
      </c>
      <c r="N2255" s="182" t="n">
        <v>0</v>
      </c>
      <c r="O2255" s="183" t="n">
        <v>0</v>
      </c>
      <c r="P2255" s="183" t="n">
        <v>0</v>
      </c>
      <c r="Q2255" s="184" t="n">
        <v>0</v>
      </c>
      <c r="R2255" s="184" t="n">
        <v>0</v>
      </c>
      <c r="S2255" s="183" t="n">
        <v>0</v>
      </c>
      <c r="T2255" s="183" t="n">
        <v>0</v>
      </c>
      <c r="U2255" s="182" t="n">
        <v>0</v>
      </c>
      <c r="V2255" s="182" t="n">
        <v>0</v>
      </c>
      <c r="W2255" s="182" t="n">
        <v>0</v>
      </c>
      <c r="X2255" s="182" t="n">
        <v>0</v>
      </c>
      <c r="Y2255" s="182" t="n">
        <v>0</v>
      </c>
      <c r="Z2255" s="182" t="n">
        <v>0</v>
      </c>
      <c r="AA2255" s="182" t="n">
        <v>0</v>
      </c>
      <c r="AB2255" s="182" t="n">
        <v>0</v>
      </c>
      <c r="AC2255" s="182" t="n">
        <v>0</v>
      </c>
      <c r="AD2255" s="182" t="n">
        <v>0</v>
      </c>
      <c r="AE2255" s="182" t="n">
        <v>0</v>
      </c>
      <c r="AF2255" s="182" t="n">
        <v>0</v>
      </c>
      <c r="AG2255" s="182" t="n">
        <v>0</v>
      </c>
      <c r="AH2255" s="182" t="n">
        <v>0</v>
      </c>
      <c r="AI2255" s="182" t="n">
        <v>0</v>
      </c>
      <c r="AJ2255" s="182" t="n">
        <v>0</v>
      </c>
      <c r="AK2255" s="182" t="n">
        <v>0</v>
      </c>
      <c r="AL2255" s="182" t="n">
        <v>0</v>
      </c>
      <c r="AM2255" s="182" t="n">
        <v>0</v>
      </c>
      <c r="AN2255" s="182" t="n">
        <v>0</v>
      </c>
    </row>
    <row r="2256">
      <c r="A2256" s="155" t="n">
        <v>46092</v>
      </c>
      <c r="B2256" s="156" t="inlineStr">
        <is>
          <t>DS</t>
        </is>
      </c>
      <c r="C2256" s="156" t="inlineStr">
        <is>
          <t>GD-013</t>
        </is>
      </c>
      <c r="D2256" s="156" t="inlineStr">
        <is>
          <t>STG 265C - 10</t>
        </is>
      </c>
      <c r="E2256" s="156" t="inlineStr">
        <is>
          <t>Grader</t>
        </is>
      </c>
      <c r="F2256" s="156" t="inlineStr">
        <is>
          <t>Road Maintenance</t>
        </is>
      </c>
      <c r="G2256" s="182" t="n">
        <v>7.88</v>
      </c>
      <c r="H2256" s="182" t="n">
        <v>0</v>
      </c>
      <c r="I2256" s="182" t="n">
        <v>2.52</v>
      </c>
      <c r="J2256" s="182" t="n">
        <v>2.52</v>
      </c>
      <c r="K2256" s="182" t="n">
        <v>1.6</v>
      </c>
      <c r="L2256" s="182" t="n">
        <v>12</v>
      </c>
      <c r="M2256" s="182" t="n">
        <v>0</v>
      </c>
      <c r="N2256" s="182" t="n">
        <v>0</v>
      </c>
      <c r="O2256" s="183" t="n">
        <v>0</v>
      </c>
      <c r="P2256" s="183" t="n">
        <v>0</v>
      </c>
      <c r="Q2256" s="184" t="n">
        <v>0</v>
      </c>
      <c r="R2256" s="184" t="n">
        <v>0</v>
      </c>
      <c r="S2256" s="183" t="n">
        <v>0</v>
      </c>
      <c r="T2256" s="183" t="n">
        <v>0</v>
      </c>
      <c r="U2256" s="182" t="n">
        <v>0.73</v>
      </c>
      <c r="V2256" s="182" t="n">
        <v>0</v>
      </c>
      <c r="W2256" s="182" t="n">
        <v>0</v>
      </c>
      <c r="X2256" s="182" t="n">
        <v>0.8100000000000001</v>
      </c>
      <c r="Y2256" s="182" t="n">
        <v>0</v>
      </c>
      <c r="Z2256" s="182" t="n">
        <v>0</v>
      </c>
      <c r="AA2256" s="182" t="n">
        <v>0</v>
      </c>
      <c r="AB2256" s="182" t="n">
        <v>0</v>
      </c>
      <c r="AC2256" s="182" t="n">
        <v>0</v>
      </c>
      <c r="AD2256" s="182" t="n">
        <v>0</v>
      </c>
      <c r="AE2256" s="182" t="n">
        <v>0</v>
      </c>
      <c r="AF2256" s="182" t="n">
        <v>0</v>
      </c>
      <c r="AG2256" s="182" t="n">
        <v>0</v>
      </c>
      <c r="AH2256" s="182" t="n">
        <v>0</v>
      </c>
      <c r="AI2256" s="182" t="n">
        <v>0</v>
      </c>
      <c r="AJ2256" s="182" t="n">
        <v>0</v>
      </c>
      <c r="AK2256" s="182" t="n">
        <v>0</v>
      </c>
      <c r="AL2256" s="182" t="n">
        <v>0</v>
      </c>
      <c r="AM2256" s="182" t="n">
        <v>0.06</v>
      </c>
      <c r="AN2256" s="182" t="n">
        <v>0</v>
      </c>
    </row>
    <row r="2257">
      <c r="A2257" s="155" t="n">
        <v>46092</v>
      </c>
      <c r="B2257" s="156" t="inlineStr">
        <is>
          <t>DS</t>
        </is>
      </c>
      <c r="C2257" s="156" t="inlineStr">
        <is>
          <t>GD-014</t>
        </is>
      </c>
      <c r="D2257" s="156" t="inlineStr">
        <is>
          <t>STG 335C - 10</t>
        </is>
      </c>
      <c r="E2257" s="156" t="inlineStr">
        <is>
          <t>Grader</t>
        </is>
      </c>
      <c r="F2257" s="156" t="inlineStr">
        <is>
          <t>Road Maintenance</t>
        </is>
      </c>
      <c r="G2257" s="182" t="n">
        <v>8.24</v>
      </c>
      <c r="H2257" s="182" t="n">
        <v>0</v>
      </c>
      <c r="I2257" s="182" t="n">
        <v>0</v>
      </c>
      <c r="J2257" s="182" t="n">
        <v>0</v>
      </c>
      <c r="K2257" s="182" t="n">
        <v>3.76</v>
      </c>
      <c r="L2257" s="182" t="n">
        <v>12</v>
      </c>
      <c r="M2257" s="182" t="n">
        <v>0</v>
      </c>
      <c r="N2257" s="182" t="n">
        <v>0</v>
      </c>
      <c r="O2257" s="183" t="n">
        <v>0</v>
      </c>
      <c r="P2257" s="183" t="n">
        <v>0</v>
      </c>
      <c r="Q2257" s="184" t="n">
        <v>0</v>
      </c>
      <c r="R2257" s="184" t="n">
        <v>0</v>
      </c>
      <c r="S2257" s="183" t="n">
        <v>0</v>
      </c>
      <c r="T2257" s="183" t="n">
        <v>0</v>
      </c>
      <c r="U2257" s="182" t="n">
        <v>2.79</v>
      </c>
      <c r="V2257" s="182" t="n">
        <v>0</v>
      </c>
      <c r="W2257" s="182" t="n">
        <v>0</v>
      </c>
      <c r="X2257" s="182" t="n">
        <v>0.9</v>
      </c>
      <c r="Y2257" s="182" t="n">
        <v>0</v>
      </c>
      <c r="Z2257" s="182" t="n">
        <v>0</v>
      </c>
      <c r="AA2257" s="182" t="n">
        <v>0</v>
      </c>
      <c r="AB2257" s="182" t="n">
        <v>0</v>
      </c>
      <c r="AC2257" s="182" t="n">
        <v>0</v>
      </c>
      <c r="AD2257" s="182" t="n">
        <v>0</v>
      </c>
      <c r="AE2257" s="182" t="n">
        <v>0</v>
      </c>
      <c r="AF2257" s="182" t="n">
        <v>0</v>
      </c>
      <c r="AG2257" s="182" t="n">
        <v>0</v>
      </c>
      <c r="AH2257" s="182" t="n">
        <v>0</v>
      </c>
      <c r="AI2257" s="182" t="n">
        <v>0</v>
      </c>
      <c r="AJ2257" s="182" t="n">
        <v>0</v>
      </c>
      <c r="AK2257" s="182" t="n">
        <v>0</v>
      </c>
      <c r="AL2257" s="182" t="n">
        <v>0</v>
      </c>
      <c r="AM2257" s="182" t="n">
        <v>0.07000000000000001</v>
      </c>
      <c r="AN2257" s="182" t="n">
        <v>0</v>
      </c>
    </row>
    <row r="2258">
      <c r="A2258" s="155" t="n">
        <v>46092</v>
      </c>
      <c r="B2258" s="156" t="inlineStr">
        <is>
          <t>DS</t>
        </is>
      </c>
      <c r="C2258" s="156" t="inlineStr">
        <is>
          <t>DT-809</t>
        </is>
      </c>
      <c r="D2258" s="156" t="inlineStr">
        <is>
          <t>SKT 80S</t>
        </is>
      </c>
      <c r="E2258" s="156" t="inlineStr">
        <is>
          <t>Hauler</t>
        </is>
      </c>
      <c r="F2258" s="156" t="inlineStr"/>
      <c r="G2258" s="182" t="n">
        <v>0</v>
      </c>
      <c r="H2258" s="182" t="n">
        <v>0</v>
      </c>
      <c r="I2258" s="182" t="n">
        <v>0</v>
      </c>
      <c r="J2258" s="182" t="n">
        <v>0</v>
      </c>
      <c r="K2258" s="182" t="n">
        <v>12</v>
      </c>
      <c r="L2258" s="182" t="n">
        <v>12</v>
      </c>
      <c r="M2258" s="182" t="n">
        <v>0</v>
      </c>
      <c r="N2258" s="182" t="n">
        <v>0</v>
      </c>
      <c r="O2258" s="183" t="n">
        <v>0</v>
      </c>
      <c r="P2258" s="183" t="n">
        <v>0</v>
      </c>
      <c r="Q2258" s="184" t="n">
        <v>0</v>
      </c>
      <c r="R2258" s="184" t="n">
        <v>0</v>
      </c>
      <c r="S2258" s="183" t="n">
        <v>0</v>
      </c>
      <c r="T2258" s="183" t="n">
        <v>0</v>
      </c>
      <c r="U2258" s="182" t="n">
        <v>0</v>
      </c>
      <c r="V2258" s="182" t="n">
        <v>0</v>
      </c>
      <c r="W2258" s="182" t="n">
        <v>0</v>
      </c>
      <c r="X2258" s="182" t="n">
        <v>1</v>
      </c>
      <c r="Y2258" s="182" t="n">
        <v>0</v>
      </c>
      <c r="Z2258" s="182" t="n">
        <v>0</v>
      </c>
      <c r="AA2258" s="182" t="n">
        <v>0</v>
      </c>
      <c r="AB2258" s="182" t="n">
        <v>0</v>
      </c>
      <c r="AC2258" s="182" t="n">
        <v>0</v>
      </c>
      <c r="AD2258" s="182" t="n">
        <v>0</v>
      </c>
      <c r="AE2258" s="182" t="n">
        <v>0</v>
      </c>
      <c r="AF2258" s="182" t="n">
        <v>0</v>
      </c>
      <c r="AG2258" s="182" t="n">
        <v>0</v>
      </c>
      <c r="AH2258" s="182" t="n">
        <v>0</v>
      </c>
      <c r="AI2258" s="182" t="n">
        <v>0</v>
      </c>
      <c r="AJ2258" s="182" t="n">
        <v>0</v>
      </c>
      <c r="AK2258" s="182" t="n">
        <v>10.92</v>
      </c>
      <c r="AL2258" s="182" t="n">
        <v>0</v>
      </c>
      <c r="AM2258" s="182" t="n">
        <v>0.08</v>
      </c>
      <c r="AN2258" s="182" t="n">
        <v>0</v>
      </c>
    </row>
    <row r="2259">
      <c r="A2259" s="155" t="n">
        <v>46092</v>
      </c>
      <c r="B2259" s="156" t="inlineStr">
        <is>
          <t>DS</t>
        </is>
      </c>
      <c r="C2259" s="156" t="inlineStr">
        <is>
          <t>DT-806</t>
        </is>
      </c>
      <c r="D2259" s="156" t="inlineStr">
        <is>
          <t>SKT 80S</t>
        </is>
      </c>
      <c r="E2259" s="156" t="inlineStr">
        <is>
          <t>Hauler</t>
        </is>
      </c>
      <c r="F2259" s="156" t="inlineStr"/>
      <c r="G2259" s="182" t="n">
        <v>0</v>
      </c>
      <c r="H2259" s="182" t="n">
        <v>0</v>
      </c>
      <c r="I2259" s="182" t="n">
        <v>0</v>
      </c>
      <c r="J2259" s="182" t="n">
        <v>0</v>
      </c>
      <c r="K2259" s="182" t="n">
        <v>12</v>
      </c>
      <c r="L2259" s="182" t="n">
        <v>12</v>
      </c>
      <c r="M2259" s="182" t="n">
        <v>0</v>
      </c>
      <c r="N2259" s="182" t="n">
        <v>0</v>
      </c>
      <c r="O2259" s="183" t="n">
        <v>0</v>
      </c>
      <c r="P2259" s="183" t="n">
        <v>0</v>
      </c>
      <c r="Q2259" s="184" t="n">
        <v>0</v>
      </c>
      <c r="R2259" s="184" t="n">
        <v>0</v>
      </c>
      <c r="S2259" s="183" t="n">
        <v>0</v>
      </c>
      <c r="T2259" s="183" t="n">
        <v>0</v>
      </c>
      <c r="U2259" s="182" t="n">
        <v>0</v>
      </c>
      <c r="V2259" s="182" t="n">
        <v>0</v>
      </c>
      <c r="W2259" s="182" t="n">
        <v>0</v>
      </c>
      <c r="X2259" s="182" t="n">
        <v>1</v>
      </c>
      <c r="Y2259" s="182" t="n">
        <v>0</v>
      </c>
      <c r="Z2259" s="182" t="n">
        <v>0</v>
      </c>
      <c r="AA2259" s="182" t="n">
        <v>0</v>
      </c>
      <c r="AB2259" s="182" t="n">
        <v>0</v>
      </c>
      <c r="AC2259" s="182" t="n">
        <v>0</v>
      </c>
      <c r="AD2259" s="182" t="n">
        <v>0</v>
      </c>
      <c r="AE2259" s="182" t="n">
        <v>0</v>
      </c>
      <c r="AF2259" s="182" t="n">
        <v>0</v>
      </c>
      <c r="AG2259" s="182" t="n">
        <v>0</v>
      </c>
      <c r="AH2259" s="182" t="n">
        <v>0</v>
      </c>
      <c r="AI2259" s="182" t="n">
        <v>0</v>
      </c>
      <c r="AJ2259" s="182" t="n">
        <v>0</v>
      </c>
      <c r="AK2259" s="182" t="n">
        <v>10.92</v>
      </c>
      <c r="AL2259" s="182" t="n">
        <v>0</v>
      </c>
      <c r="AM2259" s="182" t="n">
        <v>0.08</v>
      </c>
      <c r="AN2259" s="182" t="n">
        <v>0</v>
      </c>
    </row>
    <row r="2260">
      <c r="A2260" s="155" t="n">
        <v>46092</v>
      </c>
      <c r="B2260" s="156" t="inlineStr">
        <is>
          <t>DS</t>
        </is>
      </c>
      <c r="C2260" s="156" t="inlineStr">
        <is>
          <t>DT-805</t>
        </is>
      </c>
      <c r="D2260" s="156" t="inlineStr">
        <is>
          <t>SKT 80S</t>
        </is>
      </c>
      <c r="E2260" s="156" t="inlineStr">
        <is>
          <t>Hauler</t>
        </is>
      </c>
      <c r="F2260" s="156" t="inlineStr"/>
      <c r="G2260" s="182" t="n">
        <v>0</v>
      </c>
      <c r="H2260" s="182" t="n">
        <v>0</v>
      </c>
      <c r="I2260" s="182" t="n">
        <v>0</v>
      </c>
      <c r="J2260" s="182" t="n">
        <v>0</v>
      </c>
      <c r="K2260" s="182" t="n">
        <v>12</v>
      </c>
      <c r="L2260" s="182" t="n">
        <v>12</v>
      </c>
      <c r="M2260" s="182" t="n">
        <v>0</v>
      </c>
      <c r="N2260" s="182" t="n">
        <v>0</v>
      </c>
      <c r="O2260" s="183" t="n">
        <v>0</v>
      </c>
      <c r="P2260" s="183" t="n">
        <v>0</v>
      </c>
      <c r="Q2260" s="184" t="n">
        <v>0</v>
      </c>
      <c r="R2260" s="184" t="n">
        <v>0</v>
      </c>
      <c r="S2260" s="183" t="n">
        <v>0</v>
      </c>
      <c r="T2260" s="183" t="n">
        <v>0</v>
      </c>
      <c r="U2260" s="182" t="n">
        <v>0</v>
      </c>
      <c r="V2260" s="182" t="n">
        <v>0</v>
      </c>
      <c r="W2260" s="182" t="n">
        <v>0</v>
      </c>
      <c r="X2260" s="182" t="n">
        <v>1</v>
      </c>
      <c r="Y2260" s="182" t="n">
        <v>0</v>
      </c>
      <c r="Z2260" s="182" t="n">
        <v>0</v>
      </c>
      <c r="AA2260" s="182" t="n">
        <v>0</v>
      </c>
      <c r="AB2260" s="182" t="n">
        <v>0</v>
      </c>
      <c r="AC2260" s="182" t="n">
        <v>0</v>
      </c>
      <c r="AD2260" s="182" t="n">
        <v>0</v>
      </c>
      <c r="AE2260" s="182" t="n">
        <v>0</v>
      </c>
      <c r="AF2260" s="182" t="n">
        <v>0</v>
      </c>
      <c r="AG2260" s="182" t="n">
        <v>0</v>
      </c>
      <c r="AH2260" s="182" t="n">
        <v>0</v>
      </c>
      <c r="AI2260" s="182" t="n">
        <v>0</v>
      </c>
      <c r="AJ2260" s="182" t="n">
        <v>0</v>
      </c>
      <c r="AK2260" s="182" t="n">
        <v>10.92</v>
      </c>
      <c r="AL2260" s="182" t="n">
        <v>0</v>
      </c>
      <c r="AM2260" s="182" t="n">
        <v>0.08</v>
      </c>
      <c r="AN2260" s="182" t="n">
        <v>0</v>
      </c>
    </row>
    <row r="2261">
      <c r="A2261" s="155" t="n">
        <v>46092</v>
      </c>
      <c r="B2261" s="156" t="inlineStr">
        <is>
          <t>DS</t>
        </is>
      </c>
      <c r="C2261" s="156" t="inlineStr">
        <is>
          <t>DT-801</t>
        </is>
      </c>
      <c r="D2261" s="156" t="inlineStr">
        <is>
          <t>SKT 80S</t>
        </is>
      </c>
      <c r="E2261" s="156" t="inlineStr">
        <is>
          <t>Hauler</t>
        </is>
      </c>
      <c r="F2261" s="156" t="inlineStr"/>
      <c r="G2261" s="182" t="n">
        <v>0</v>
      </c>
      <c r="H2261" s="182" t="n">
        <v>0</v>
      </c>
      <c r="I2261" s="182" t="n">
        <v>0</v>
      </c>
      <c r="J2261" s="182" t="n">
        <v>0</v>
      </c>
      <c r="K2261" s="182" t="n">
        <v>12</v>
      </c>
      <c r="L2261" s="182" t="n">
        <v>12</v>
      </c>
      <c r="M2261" s="182" t="n">
        <v>0</v>
      </c>
      <c r="N2261" s="182" t="n">
        <v>0</v>
      </c>
      <c r="O2261" s="183" t="n">
        <v>0</v>
      </c>
      <c r="P2261" s="183" t="n">
        <v>0</v>
      </c>
      <c r="Q2261" s="184" t="n">
        <v>0</v>
      </c>
      <c r="R2261" s="184" t="n">
        <v>0</v>
      </c>
      <c r="S2261" s="183" t="n">
        <v>0</v>
      </c>
      <c r="T2261" s="183" t="n">
        <v>0</v>
      </c>
      <c r="U2261" s="182" t="n">
        <v>0</v>
      </c>
      <c r="V2261" s="182" t="n">
        <v>0</v>
      </c>
      <c r="W2261" s="182" t="n">
        <v>0</v>
      </c>
      <c r="X2261" s="182" t="n">
        <v>1</v>
      </c>
      <c r="Y2261" s="182" t="n">
        <v>0</v>
      </c>
      <c r="Z2261" s="182" t="n">
        <v>0</v>
      </c>
      <c r="AA2261" s="182" t="n">
        <v>0</v>
      </c>
      <c r="AB2261" s="182" t="n">
        <v>0</v>
      </c>
      <c r="AC2261" s="182" t="n">
        <v>0</v>
      </c>
      <c r="AD2261" s="182" t="n">
        <v>0</v>
      </c>
      <c r="AE2261" s="182" t="n">
        <v>0</v>
      </c>
      <c r="AF2261" s="182" t="n">
        <v>0</v>
      </c>
      <c r="AG2261" s="182" t="n">
        <v>0</v>
      </c>
      <c r="AH2261" s="182" t="n">
        <v>0</v>
      </c>
      <c r="AI2261" s="182" t="n">
        <v>0</v>
      </c>
      <c r="AJ2261" s="182" t="n">
        <v>0</v>
      </c>
      <c r="AK2261" s="182" t="n">
        <v>10.92</v>
      </c>
      <c r="AL2261" s="182" t="n">
        <v>0</v>
      </c>
      <c r="AM2261" s="182" t="n">
        <v>0.08</v>
      </c>
      <c r="AN2261" s="182" t="n">
        <v>0</v>
      </c>
    </row>
    <row r="2262">
      <c r="A2262" s="155" t="n">
        <v>46092</v>
      </c>
      <c r="B2262" s="156" t="inlineStr">
        <is>
          <t>DS</t>
        </is>
      </c>
      <c r="C2262" s="156" t="inlineStr">
        <is>
          <t>DT-808</t>
        </is>
      </c>
      <c r="D2262" s="156" t="inlineStr">
        <is>
          <t>SKT 80S</t>
        </is>
      </c>
      <c r="E2262" s="156" t="inlineStr">
        <is>
          <t>Hauler</t>
        </is>
      </c>
      <c r="F2262" s="156" t="inlineStr">
        <is>
          <t>Hauling Lumpur Washing Plan</t>
        </is>
      </c>
      <c r="G2262" s="182" t="n">
        <v>2.41</v>
      </c>
      <c r="H2262" s="182" t="n">
        <v>0</v>
      </c>
      <c r="I2262" s="182" t="n">
        <v>0.1</v>
      </c>
      <c r="J2262" s="182" t="n">
        <v>0.1</v>
      </c>
      <c r="K2262" s="182" t="n">
        <v>9.49</v>
      </c>
      <c r="L2262" s="182" t="n">
        <v>12</v>
      </c>
      <c r="M2262" s="182" t="n">
        <v>0</v>
      </c>
      <c r="N2262" s="182" t="n">
        <v>0</v>
      </c>
      <c r="O2262" s="183" t="n">
        <v>0</v>
      </c>
      <c r="P2262" s="183" t="n">
        <v>0</v>
      </c>
      <c r="Q2262" s="184" t="n">
        <v>0</v>
      </c>
      <c r="R2262" s="184" t="n">
        <v>0</v>
      </c>
      <c r="S2262" s="183" t="n">
        <v>0</v>
      </c>
      <c r="T2262" s="183" t="n">
        <v>0</v>
      </c>
      <c r="U2262" s="182" t="n">
        <v>0</v>
      </c>
      <c r="V2262" s="182" t="n">
        <v>0</v>
      </c>
      <c r="W2262" s="182" t="n">
        <v>0</v>
      </c>
      <c r="X2262" s="182" t="n">
        <v>0.95</v>
      </c>
      <c r="Y2262" s="182" t="n">
        <v>0</v>
      </c>
      <c r="Z2262" s="182" t="n">
        <v>0</v>
      </c>
      <c r="AA2262" s="182" t="n">
        <v>0</v>
      </c>
      <c r="AB2262" s="182" t="n">
        <v>0</v>
      </c>
      <c r="AC2262" s="182" t="n">
        <v>0</v>
      </c>
      <c r="AD2262" s="182" t="n">
        <v>0</v>
      </c>
      <c r="AE2262" s="182" t="n">
        <v>0</v>
      </c>
      <c r="AF2262" s="182" t="n">
        <v>0</v>
      </c>
      <c r="AG2262" s="182" t="n">
        <v>0</v>
      </c>
      <c r="AH2262" s="182" t="n">
        <v>0</v>
      </c>
      <c r="AI2262" s="182" t="n">
        <v>0</v>
      </c>
      <c r="AJ2262" s="182" t="n">
        <v>0</v>
      </c>
      <c r="AK2262" s="182" t="n">
        <v>8.470000000000001</v>
      </c>
      <c r="AL2262" s="182" t="n">
        <v>0</v>
      </c>
      <c r="AM2262" s="182" t="n">
        <v>0.08</v>
      </c>
      <c r="AN2262" s="182" t="n">
        <v>0</v>
      </c>
    </row>
    <row r="2263">
      <c r="A2263" s="155" t="n">
        <v>46092</v>
      </c>
      <c r="B2263" s="156" t="inlineStr">
        <is>
          <t>DS</t>
        </is>
      </c>
      <c r="C2263" s="156" t="inlineStr">
        <is>
          <t>DT-811</t>
        </is>
      </c>
      <c r="D2263" s="156" t="inlineStr">
        <is>
          <t>SKT 80S</t>
        </is>
      </c>
      <c r="E2263" s="156" t="inlineStr">
        <is>
          <t>Hauler</t>
        </is>
      </c>
      <c r="F2263" s="156" t="inlineStr"/>
      <c r="G2263" s="182" t="n">
        <v>0</v>
      </c>
      <c r="H2263" s="182" t="n">
        <v>0</v>
      </c>
      <c r="I2263" s="182" t="n">
        <v>12</v>
      </c>
      <c r="J2263" s="182" t="n">
        <v>12</v>
      </c>
      <c r="K2263" s="182" t="n">
        <v>0</v>
      </c>
      <c r="L2263" s="182" t="n">
        <v>12</v>
      </c>
      <c r="M2263" s="182" t="n">
        <v>0</v>
      </c>
      <c r="N2263" s="182" t="n">
        <v>0</v>
      </c>
      <c r="O2263" s="183" t="n">
        <v>0</v>
      </c>
      <c r="P2263" s="183" t="n">
        <v>0</v>
      </c>
      <c r="Q2263" s="184" t="n">
        <v>0</v>
      </c>
      <c r="R2263" s="184" t="n">
        <v>0</v>
      </c>
      <c r="S2263" s="183" t="n">
        <v>0</v>
      </c>
      <c r="T2263" s="183" t="n">
        <v>0</v>
      </c>
      <c r="U2263" s="182" t="n">
        <v>0</v>
      </c>
      <c r="V2263" s="182" t="n">
        <v>0</v>
      </c>
      <c r="W2263" s="182" t="n">
        <v>0</v>
      </c>
      <c r="X2263" s="182" t="n">
        <v>0</v>
      </c>
      <c r="Y2263" s="182" t="n">
        <v>0</v>
      </c>
      <c r="Z2263" s="182" t="n">
        <v>0</v>
      </c>
      <c r="AA2263" s="182" t="n">
        <v>0</v>
      </c>
      <c r="AB2263" s="182" t="n">
        <v>0</v>
      </c>
      <c r="AC2263" s="182" t="n">
        <v>0</v>
      </c>
      <c r="AD2263" s="182" t="n">
        <v>0</v>
      </c>
      <c r="AE2263" s="182" t="n">
        <v>0</v>
      </c>
      <c r="AF2263" s="182" t="n">
        <v>0</v>
      </c>
      <c r="AG2263" s="182" t="n">
        <v>0</v>
      </c>
      <c r="AH2263" s="182" t="n">
        <v>0</v>
      </c>
      <c r="AI2263" s="182" t="n">
        <v>0</v>
      </c>
      <c r="AJ2263" s="182" t="n">
        <v>0</v>
      </c>
      <c r="AK2263" s="182" t="n">
        <v>0</v>
      </c>
      <c r="AL2263" s="182" t="n">
        <v>0</v>
      </c>
      <c r="AM2263" s="182" t="n">
        <v>0</v>
      </c>
      <c r="AN2263" s="182" t="n">
        <v>0</v>
      </c>
    </row>
    <row r="2264">
      <c r="A2264" s="155" t="n">
        <v>46092</v>
      </c>
      <c r="B2264" s="156" t="inlineStr">
        <is>
          <t>DS</t>
        </is>
      </c>
      <c r="C2264" s="156" t="inlineStr">
        <is>
          <t>DT-802</t>
        </is>
      </c>
      <c r="D2264" s="156" t="inlineStr">
        <is>
          <t>SKT 80S</t>
        </is>
      </c>
      <c r="E2264" s="156" t="inlineStr">
        <is>
          <t>Hauler</t>
        </is>
      </c>
      <c r="F2264" s="156" t="inlineStr"/>
      <c r="G2264" s="182" t="n">
        <v>0</v>
      </c>
      <c r="H2264" s="182" t="n">
        <v>0</v>
      </c>
      <c r="I2264" s="182" t="n">
        <v>12</v>
      </c>
      <c r="J2264" s="182" t="n">
        <v>12</v>
      </c>
      <c r="K2264" s="182" t="n">
        <v>0</v>
      </c>
      <c r="L2264" s="182" t="n">
        <v>12</v>
      </c>
      <c r="M2264" s="182" t="n">
        <v>0</v>
      </c>
      <c r="N2264" s="182" t="n">
        <v>0</v>
      </c>
      <c r="O2264" s="183" t="n">
        <v>0</v>
      </c>
      <c r="P2264" s="183" t="n">
        <v>0</v>
      </c>
      <c r="Q2264" s="184" t="n">
        <v>0</v>
      </c>
      <c r="R2264" s="184" t="n">
        <v>0</v>
      </c>
      <c r="S2264" s="183" t="n">
        <v>0</v>
      </c>
      <c r="T2264" s="183" t="n">
        <v>0</v>
      </c>
      <c r="U2264" s="182" t="n">
        <v>0</v>
      </c>
      <c r="V2264" s="182" t="n">
        <v>0</v>
      </c>
      <c r="W2264" s="182" t="n">
        <v>0</v>
      </c>
      <c r="X2264" s="182" t="n">
        <v>0</v>
      </c>
      <c r="Y2264" s="182" t="n">
        <v>0</v>
      </c>
      <c r="Z2264" s="182" t="n">
        <v>0</v>
      </c>
      <c r="AA2264" s="182" t="n">
        <v>0</v>
      </c>
      <c r="AB2264" s="182" t="n">
        <v>0</v>
      </c>
      <c r="AC2264" s="182" t="n">
        <v>0</v>
      </c>
      <c r="AD2264" s="182" t="n">
        <v>0</v>
      </c>
      <c r="AE2264" s="182" t="n">
        <v>0</v>
      </c>
      <c r="AF2264" s="182" t="n">
        <v>0</v>
      </c>
      <c r="AG2264" s="182" t="n">
        <v>0</v>
      </c>
      <c r="AH2264" s="182" t="n">
        <v>0</v>
      </c>
      <c r="AI2264" s="182" t="n">
        <v>0</v>
      </c>
      <c r="AJ2264" s="182" t="n">
        <v>0</v>
      </c>
      <c r="AK2264" s="182" t="n">
        <v>0</v>
      </c>
      <c r="AL2264" s="182" t="n">
        <v>0</v>
      </c>
      <c r="AM2264" s="182" t="n">
        <v>0</v>
      </c>
      <c r="AN2264" s="182" t="n">
        <v>0</v>
      </c>
    </row>
    <row r="2265">
      <c r="A2265" s="155" t="n">
        <v>46092</v>
      </c>
      <c r="B2265" s="156" t="inlineStr">
        <is>
          <t>DS</t>
        </is>
      </c>
      <c r="C2265" s="156" t="inlineStr">
        <is>
          <t>DT-807</t>
        </is>
      </c>
      <c r="D2265" s="156" t="inlineStr">
        <is>
          <t>SKT 80S</t>
        </is>
      </c>
      <c r="E2265" s="156" t="inlineStr">
        <is>
          <t>Hauler</t>
        </is>
      </c>
      <c r="F2265" s="156" t="inlineStr"/>
      <c r="G2265" s="182" t="n">
        <v>0</v>
      </c>
      <c r="H2265" s="182" t="n">
        <v>0</v>
      </c>
      <c r="I2265" s="182" t="n">
        <v>0</v>
      </c>
      <c r="J2265" s="182" t="n">
        <v>0</v>
      </c>
      <c r="K2265" s="182" t="n">
        <v>12</v>
      </c>
      <c r="L2265" s="182" t="n">
        <v>12</v>
      </c>
      <c r="M2265" s="182" t="n">
        <v>0</v>
      </c>
      <c r="N2265" s="182" t="n">
        <v>0</v>
      </c>
      <c r="O2265" s="183" t="n">
        <v>0</v>
      </c>
      <c r="P2265" s="183" t="n">
        <v>0</v>
      </c>
      <c r="Q2265" s="184" t="n">
        <v>0</v>
      </c>
      <c r="R2265" s="184" t="n">
        <v>0</v>
      </c>
      <c r="S2265" s="183" t="n">
        <v>0</v>
      </c>
      <c r="T2265" s="183" t="n">
        <v>0</v>
      </c>
      <c r="U2265" s="182" t="n">
        <v>0</v>
      </c>
      <c r="V2265" s="182" t="n">
        <v>0</v>
      </c>
      <c r="W2265" s="182" t="n">
        <v>0</v>
      </c>
      <c r="X2265" s="182" t="n">
        <v>1</v>
      </c>
      <c r="Y2265" s="182" t="n">
        <v>0</v>
      </c>
      <c r="Z2265" s="182" t="n">
        <v>0</v>
      </c>
      <c r="AA2265" s="182" t="n">
        <v>0</v>
      </c>
      <c r="AB2265" s="182" t="n">
        <v>0</v>
      </c>
      <c r="AC2265" s="182" t="n">
        <v>0</v>
      </c>
      <c r="AD2265" s="182" t="n">
        <v>0</v>
      </c>
      <c r="AE2265" s="182" t="n">
        <v>0</v>
      </c>
      <c r="AF2265" s="182" t="n">
        <v>0</v>
      </c>
      <c r="AG2265" s="182" t="n">
        <v>0</v>
      </c>
      <c r="AH2265" s="182" t="n">
        <v>0</v>
      </c>
      <c r="AI2265" s="182" t="n">
        <v>0</v>
      </c>
      <c r="AJ2265" s="182" t="n">
        <v>0</v>
      </c>
      <c r="AK2265" s="182" t="n">
        <v>10.92</v>
      </c>
      <c r="AL2265" s="182" t="n">
        <v>0</v>
      </c>
      <c r="AM2265" s="182" t="n">
        <v>0.08</v>
      </c>
      <c r="AN2265" s="182" t="n">
        <v>0</v>
      </c>
    </row>
    <row r="2266">
      <c r="A2266" s="155" t="n">
        <v>46092</v>
      </c>
      <c r="B2266" s="156" t="inlineStr">
        <is>
          <t>DS</t>
        </is>
      </c>
      <c r="C2266" s="156" t="inlineStr">
        <is>
          <t>DT-812</t>
        </is>
      </c>
      <c r="D2266" s="156" t="inlineStr">
        <is>
          <t>SKT 80S</t>
        </is>
      </c>
      <c r="E2266" s="156" t="inlineStr">
        <is>
          <t>Hauler</t>
        </is>
      </c>
      <c r="F2266" s="156" t="inlineStr"/>
      <c r="G2266" s="182" t="n">
        <v>0</v>
      </c>
      <c r="H2266" s="182" t="n">
        <v>0</v>
      </c>
      <c r="I2266" s="182" t="n">
        <v>7.85</v>
      </c>
      <c r="J2266" s="182" t="n">
        <v>7.85</v>
      </c>
      <c r="K2266" s="182" t="n">
        <v>4.15</v>
      </c>
      <c r="L2266" s="182" t="n">
        <v>12</v>
      </c>
      <c r="M2266" s="182" t="n">
        <v>0</v>
      </c>
      <c r="N2266" s="182" t="n">
        <v>0</v>
      </c>
      <c r="O2266" s="183" t="n">
        <v>0</v>
      </c>
      <c r="P2266" s="183" t="n">
        <v>0</v>
      </c>
      <c r="Q2266" s="184" t="n">
        <v>0</v>
      </c>
      <c r="R2266" s="184" t="n">
        <v>0</v>
      </c>
      <c r="S2266" s="183" t="n">
        <v>0</v>
      </c>
      <c r="T2266" s="183" t="n">
        <v>0</v>
      </c>
      <c r="U2266" s="182" t="n">
        <v>0</v>
      </c>
      <c r="V2266" s="182" t="n">
        <v>0</v>
      </c>
      <c r="W2266" s="182" t="n">
        <v>0</v>
      </c>
      <c r="X2266" s="182" t="n">
        <v>1</v>
      </c>
      <c r="Y2266" s="182" t="n">
        <v>0</v>
      </c>
      <c r="Z2266" s="182" t="n">
        <v>0</v>
      </c>
      <c r="AA2266" s="182" t="n">
        <v>0</v>
      </c>
      <c r="AB2266" s="182" t="n">
        <v>0</v>
      </c>
      <c r="AC2266" s="182" t="n">
        <v>0</v>
      </c>
      <c r="AD2266" s="182" t="n">
        <v>0</v>
      </c>
      <c r="AE2266" s="182" t="n">
        <v>0</v>
      </c>
      <c r="AF2266" s="182" t="n">
        <v>0</v>
      </c>
      <c r="AG2266" s="182" t="n">
        <v>0</v>
      </c>
      <c r="AH2266" s="182" t="n">
        <v>0</v>
      </c>
      <c r="AI2266" s="182" t="n">
        <v>0</v>
      </c>
      <c r="AJ2266" s="182" t="n">
        <v>0</v>
      </c>
      <c r="AK2266" s="182" t="n">
        <v>3.07</v>
      </c>
      <c r="AL2266" s="182" t="n">
        <v>0</v>
      </c>
      <c r="AM2266" s="182" t="n">
        <v>0.08</v>
      </c>
      <c r="AN2266" s="182" t="n">
        <v>0</v>
      </c>
    </row>
    <row r="2267">
      <c r="A2267" s="155" t="n">
        <v>46092</v>
      </c>
      <c r="B2267" s="156" t="inlineStr">
        <is>
          <t>DS</t>
        </is>
      </c>
      <c r="C2267" s="156" t="inlineStr">
        <is>
          <t>DT-803</t>
        </is>
      </c>
      <c r="D2267" s="156" t="inlineStr">
        <is>
          <t>SKT 80S</t>
        </is>
      </c>
      <c r="E2267" s="156" t="inlineStr">
        <is>
          <t>Hauler</t>
        </is>
      </c>
      <c r="F2267" s="156" t="inlineStr"/>
      <c r="G2267" s="182" t="n">
        <v>0</v>
      </c>
      <c r="H2267" s="182" t="n">
        <v>0</v>
      </c>
      <c r="I2267" s="182" t="n">
        <v>12</v>
      </c>
      <c r="J2267" s="182" t="n">
        <v>12</v>
      </c>
      <c r="K2267" s="182" t="n">
        <v>0</v>
      </c>
      <c r="L2267" s="182" t="n">
        <v>12</v>
      </c>
      <c r="M2267" s="182" t="n">
        <v>0</v>
      </c>
      <c r="N2267" s="182" t="n">
        <v>0</v>
      </c>
      <c r="O2267" s="183" t="n">
        <v>0</v>
      </c>
      <c r="P2267" s="183" t="n">
        <v>0</v>
      </c>
      <c r="Q2267" s="184" t="n">
        <v>0</v>
      </c>
      <c r="R2267" s="184" t="n">
        <v>0</v>
      </c>
      <c r="S2267" s="183" t="n">
        <v>0</v>
      </c>
      <c r="T2267" s="183" t="n">
        <v>0</v>
      </c>
      <c r="U2267" s="182" t="n">
        <v>0</v>
      </c>
      <c r="V2267" s="182" t="n">
        <v>0</v>
      </c>
      <c r="W2267" s="182" t="n">
        <v>0</v>
      </c>
      <c r="X2267" s="182" t="n">
        <v>0</v>
      </c>
      <c r="Y2267" s="182" t="n">
        <v>0</v>
      </c>
      <c r="Z2267" s="182" t="n">
        <v>0</v>
      </c>
      <c r="AA2267" s="182" t="n">
        <v>0</v>
      </c>
      <c r="AB2267" s="182" t="n">
        <v>0</v>
      </c>
      <c r="AC2267" s="182" t="n">
        <v>0</v>
      </c>
      <c r="AD2267" s="182" t="n">
        <v>0</v>
      </c>
      <c r="AE2267" s="182" t="n">
        <v>0</v>
      </c>
      <c r="AF2267" s="182" t="n">
        <v>0</v>
      </c>
      <c r="AG2267" s="182" t="n">
        <v>0</v>
      </c>
      <c r="AH2267" s="182" t="n">
        <v>0</v>
      </c>
      <c r="AI2267" s="182" t="n">
        <v>0</v>
      </c>
      <c r="AJ2267" s="182" t="n">
        <v>0</v>
      </c>
      <c r="AK2267" s="182" t="n">
        <v>0</v>
      </c>
      <c r="AL2267" s="182" t="n">
        <v>0</v>
      </c>
      <c r="AM2267" s="182" t="n">
        <v>0</v>
      </c>
      <c r="AN2267" s="182" t="n">
        <v>0</v>
      </c>
    </row>
    <row r="2268">
      <c r="A2268" s="155" t="n">
        <v>46092</v>
      </c>
      <c r="B2268" s="156" t="inlineStr">
        <is>
          <t>DS</t>
        </is>
      </c>
      <c r="C2268" s="156" t="inlineStr">
        <is>
          <t>DT-810</t>
        </is>
      </c>
      <c r="D2268" s="156" t="inlineStr">
        <is>
          <t>SKT 80S</t>
        </is>
      </c>
      <c r="E2268" s="156" t="inlineStr">
        <is>
          <t>Hauler</t>
        </is>
      </c>
      <c r="F2268" s="156" t="inlineStr">
        <is>
          <t>Hauling OB</t>
        </is>
      </c>
      <c r="G2268" s="182" t="n">
        <v>0.91</v>
      </c>
      <c r="H2268" s="182" t="n">
        <v>0</v>
      </c>
      <c r="I2268" s="182" t="n">
        <v>0</v>
      </c>
      <c r="J2268" s="182" t="n">
        <v>0</v>
      </c>
      <c r="K2268" s="182" t="n">
        <v>11.09</v>
      </c>
      <c r="L2268" s="182" t="n">
        <v>12</v>
      </c>
      <c r="M2268" s="182" t="n">
        <v>0.91</v>
      </c>
      <c r="N2268" s="182" t="n">
        <v>0</v>
      </c>
      <c r="O2268" s="183" t="n">
        <v>0</v>
      </c>
      <c r="P2268" s="183" t="n">
        <v>0</v>
      </c>
      <c r="Q2268" s="184" t="n">
        <v>0</v>
      </c>
      <c r="R2268" s="184" t="n">
        <v>0</v>
      </c>
      <c r="S2268" s="183" t="n">
        <v>0</v>
      </c>
      <c r="T2268" s="183" t="n">
        <v>0</v>
      </c>
      <c r="U2268" s="182" t="n">
        <v>0</v>
      </c>
      <c r="V2268" s="182" t="n">
        <v>0</v>
      </c>
      <c r="W2268" s="182" t="n">
        <v>0</v>
      </c>
      <c r="X2268" s="182" t="n">
        <v>1.02</v>
      </c>
      <c r="Y2268" s="182" t="n">
        <v>0</v>
      </c>
      <c r="Z2268" s="182" t="n">
        <v>0</v>
      </c>
      <c r="AA2268" s="182" t="n">
        <v>0</v>
      </c>
      <c r="AB2268" s="182" t="n">
        <v>0</v>
      </c>
      <c r="AC2268" s="182" t="n">
        <v>0</v>
      </c>
      <c r="AD2268" s="182" t="n">
        <v>0</v>
      </c>
      <c r="AE2268" s="182" t="n">
        <v>0</v>
      </c>
      <c r="AF2268" s="182" t="n">
        <v>0</v>
      </c>
      <c r="AG2268" s="182" t="n">
        <v>0</v>
      </c>
      <c r="AH2268" s="182" t="n">
        <v>0</v>
      </c>
      <c r="AI2268" s="182" t="n">
        <v>0</v>
      </c>
      <c r="AJ2268" s="182" t="n">
        <v>0</v>
      </c>
      <c r="AK2268" s="182" t="n">
        <v>9.99</v>
      </c>
      <c r="AL2268" s="182" t="n">
        <v>0</v>
      </c>
      <c r="AM2268" s="182" t="n">
        <v>0.08</v>
      </c>
      <c r="AN2268" s="182" t="n">
        <v>0</v>
      </c>
    </row>
    <row r="2269">
      <c r="A2269" s="155" t="n">
        <v>46092</v>
      </c>
      <c r="B2269" s="156" t="inlineStr">
        <is>
          <t>DS</t>
        </is>
      </c>
      <c r="C2269" s="156" t="inlineStr">
        <is>
          <t>DT-804</t>
        </is>
      </c>
      <c r="D2269" s="156" t="inlineStr">
        <is>
          <t>SKT 80S</t>
        </is>
      </c>
      <c r="E2269" s="156" t="inlineStr">
        <is>
          <t>Hauler</t>
        </is>
      </c>
      <c r="F2269" s="156" t="inlineStr">
        <is>
          <t>Hauling Lumpur Washing Plan</t>
        </is>
      </c>
      <c r="G2269" s="182" t="n">
        <v>2.53</v>
      </c>
      <c r="H2269" s="182" t="n">
        <v>0</v>
      </c>
      <c r="I2269" s="182" t="n">
        <v>0</v>
      </c>
      <c r="J2269" s="182" t="n">
        <v>0</v>
      </c>
      <c r="K2269" s="182" t="n">
        <v>9.470000000000001</v>
      </c>
      <c r="L2269" s="182" t="n">
        <v>12</v>
      </c>
      <c r="M2269" s="182" t="n">
        <v>0</v>
      </c>
      <c r="N2269" s="182" t="n">
        <v>0</v>
      </c>
      <c r="O2269" s="183" t="n">
        <v>0</v>
      </c>
      <c r="P2269" s="183" t="n">
        <v>0</v>
      </c>
      <c r="Q2269" s="184" t="n">
        <v>0</v>
      </c>
      <c r="R2269" s="184" t="n">
        <v>0</v>
      </c>
      <c r="S2269" s="183" t="n">
        <v>0</v>
      </c>
      <c r="T2269" s="183" t="n">
        <v>0</v>
      </c>
      <c r="U2269" s="182" t="n">
        <v>0</v>
      </c>
      <c r="V2269" s="182" t="n">
        <v>0</v>
      </c>
      <c r="W2269" s="182" t="n">
        <v>0</v>
      </c>
      <c r="X2269" s="182" t="n">
        <v>1.04</v>
      </c>
      <c r="Y2269" s="182" t="n">
        <v>0</v>
      </c>
      <c r="Z2269" s="182" t="n">
        <v>0</v>
      </c>
      <c r="AA2269" s="182" t="n">
        <v>0</v>
      </c>
      <c r="AB2269" s="182" t="n">
        <v>0</v>
      </c>
      <c r="AC2269" s="182" t="n">
        <v>0</v>
      </c>
      <c r="AD2269" s="182" t="n">
        <v>0</v>
      </c>
      <c r="AE2269" s="182" t="n">
        <v>0</v>
      </c>
      <c r="AF2269" s="182" t="n">
        <v>0</v>
      </c>
      <c r="AG2269" s="182" t="n">
        <v>0</v>
      </c>
      <c r="AH2269" s="182" t="n">
        <v>0</v>
      </c>
      <c r="AI2269" s="182" t="n">
        <v>0</v>
      </c>
      <c r="AJ2269" s="182" t="n">
        <v>0</v>
      </c>
      <c r="AK2269" s="182" t="n">
        <v>8.35</v>
      </c>
      <c r="AL2269" s="182" t="n">
        <v>0</v>
      </c>
      <c r="AM2269" s="182" t="n">
        <v>0.08</v>
      </c>
      <c r="AN2269" s="182" t="n">
        <v>0</v>
      </c>
    </row>
    <row r="2270">
      <c r="A2270" s="155" t="n">
        <v>46092</v>
      </c>
      <c r="B2270" s="156" t="inlineStr">
        <is>
          <t>DS</t>
        </is>
      </c>
      <c r="C2270" s="156" t="inlineStr">
        <is>
          <t>DT-505</t>
        </is>
      </c>
      <c r="D2270" s="156" t="inlineStr">
        <is>
          <t>SKT 105S</t>
        </is>
      </c>
      <c r="E2270" s="156" t="inlineStr">
        <is>
          <t>Hauler</t>
        </is>
      </c>
      <c r="F2270" s="156" t="inlineStr">
        <is>
          <t>Hauling OB</t>
        </is>
      </c>
      <c r="G2270" s="182" t="n">
        <v>0.92</v>
      </c>
      <c r="H2270" s="182" t="n">
        <v>0</v>
      </c>
      <c r="I2270" s="182" t="n">
        <v>3.12</v>
      </c>
      <c r="J2270" s="182" t="n">
        <v>3.12</v>
      </c>
      <c r="K2270" s="182" t="n">
        <v>7.96</v>
      </c>
      <c r="L2270" s="182" t="n">
        <v>12</v>
      </c>
      <c r="M2270" s="182" t="n">
        <v>0.92</v>
      </c>
      <c r="N2270" s="182" t="n">
        <v>0</v>
      </c>
      <c r="O2270" s="183" t="n">
        <v>1</v>
      </c>
      <c r="P2270" s="183" t="n">
        <v>0</v>
      </c>
      <c r="Q2270" s="184" t="n">
        <v>16.3</v>
      </c>
      <c r="R2270" s="184" t="n">
        <v>0</v>
      </c>
      <c r="S2270" s="183" t="n">
        <v>0</v>
      </c>
      <c r="T2270" s="183" t="n">
        <v>0</v>
      </c>
      <c r="U2270" s="182" t="n">
        <v>3.61</v>
      </c>
      <c r="V2270" s="182" t="n">
        <v>1.78</v>
      </c>
      <c r="W2270" s="182" t="n">
        <v>0</v>
      </c>
      <c r="X2270" s="182" t="n">
        <v>1.02</v>
      </c>
      <c r="Y2270" s="182" t="n">
        <v>0</v>
      </c>
      <c r="Z2270" s="182" t="n">
        <v>0</v>
      </c>
      <c r="AA2270" s="182" t="n">
        <v>0</v>
      </c>
      <c r="AB2270" s="182" t="n">
        <v>0</v>
      </c>
      <c r="AC2270" s="182" t="n">
        <v>0</v>
      </c>
      <c r="AD2270" s="182" t="n">
        <v>0</v>
      </c>
      <c r="AE2270" s="182" t="n">
        <v>0</v>
      </c>
      <c r="AF2270" s="182" t="n">
        <v>0</v>
      </c>
      <c r="AG2270" s="182" t="n">
        <v>0</v>
      </c>
      <c r="AH2270" s="182" t="n">
        <v>0</v>
      </c>
      <c r="AI2270" s="182" t="n">
        <v>1.46</v>
      </c>
      <c r="AJ2270" s="182" t="n">
        <v>0</v>
      </c>
      <c r="AK2270" s="182" t="n">
        <v>0</v>
      </c>
      <c r="AL2270" s="182" t="n">
        <v>0</v>
      </c>
      <c r="AM2270" s="182" t="n">
        <v>0.08</v>
      </c>
      <c r="AN2270" s="182" t="n">
        <v>0</v>
      </c>
    </row>
    <row r="2271">
      <c r="A2271" s="155" t="n">
        <v>46092</v>
      </c>
      <c r="B2271" s="156" t="inlineStr">
        <is>
          <t>DS</t>
        </is>
      </c>
      <c r="C2271" s="156" t="inlineStr">
        <is>
          <t>DT-530</t>
        </is>
      </c>
      <c r="D2271" s="156" t="inlineStr">
        <is>
          <t>SKT 105S</t>
        </is>
      </c>
      <c r="E2271" s="156" t="inlineStr">
        <is>
          <t>Hauler</t>
        </is>
      </c>
      <c r="F2271" s="156" t="inlineStr"/>
      <c r="G2271" s="182" t="n">
        <v>0</v>
      </c>
      <c r="H2271" s="182" t="n">
        <v>0</v>
      </c>
      <c r="I2271" s="182" t="n">
        <v>12</v>
      </c>
      <c r="J2271" s="182" t="n">
        <v>12</v>
      </c>
      <c r="K2271" s="182" t="n">
        <v>0</v>
      </c>
      <c r="L2271" s="182" t="n">
        <v>12</v>
      </c>
      <c r="M2271" s="182" t="n">
        <v>0</v>
      </c>
      <c r="N2271" s="182" t="n">
        <v>0</v>
      </c>
      <c r="O2271" s="183" t="n">
        <v>0</v>
      </c>
      <c r="P2271" s="183" t="n">
        <v>0</v>
      </c>
      <c r="Q2271" s="184" t="n">
        <v>0</v>
      </c>
      <c r="R2271" s="184" t="n">
        <v>0</v>
      </c>
      <c r="S2271" s="183" t="n">
        <v>0</v>
      </c>
      <c r="T2271" s="183" t="n">
        <v>0</v>
      </c>
      <c r="U2271" s="182" t="n">
        <v>0</v>
      </c>
      <c r="V2271" s="182" t="n">
        <v>0</v>
      </c>
      <c r="W2271" s="182" t="n">
        <v>0</v>
      </c>
      <c r="X2271" s="182" t="n">
        <v>0</v>
      </c>
      <c r="Y2271" s="182" t="n">
        <v>0</v>
      </c>
      <c r="Z2271" s="182" t="n">
        <v>0</v>
      </c>
      <c r="AA2271" s="182" t="n">
        <v>0</v>
      </c>
      <c r="AB2271" s="182" t="n">
        <v>0</v>
      </c>
      <c r="AC2271" s="182" t="n">
        <v>0</v>
      </c>
      <c r="AD2271" s="182" t="n">
        <v>0</v>
      </c>
      <c r="AE2271" s="182" t="n">
        <v>0</v>
      </c>
      <c r="AF2271" s="182" t="n">
        <v>0</v>
      </c>
      <c r="AG2271" s="182" t="n">
        <v>0</v>
      </c>
      <c r="AH2271" s="182" t="n">
        <v>0</v>
      </c>
      <c r="AI2271" s="182" t="n">
        <v>0</v>
      </c>
      <c r="AJ2271" s="182" t="n">
        <v>0</v>
      </c>
      <c r="AK2271" s="182" t="n">
        <v>0</v>
      </c>
      <c r="AL2271" s="182" t="n">
        <v>0</v>
      </c>
      <c r="AM2271" s="182" t="n">
        <v>0</v>
      </c>
      <c r="AN2271" s="182" t="n">
        <v>0</v>
      </c>
    </row>
    <row r="2272">
      <c r="A2272" s="155" t="n">
        <v>46092</v>
      </c>
      <c r="B2272" s="156" t="inlineStr">
        <is>
          <t>DS</t>
        </is>
      </c>
      <c r="C2272" s="156" t="inlineStr">
        <is>
          <t>DT-525</t>
        </is>
      </c>
      <c r="D2272" s="156" t="inlineStr">
        <is>
          <t>SKT 105S</t>
        </is>
      </c>
      <c r="E2272" s="156" t="inlineStr">
        <is>
          <t>Hauler</t>
        </is>
      </c>
      <c r="F2272" s="156" t="inlineStr"/>
      <c r="G2272" s="182" t="n">
        <v>0</v>
      </c>
      <c r="H2272" s="182" t="n">
        <v>0</v>
      </c>
      <c r="I2272" s="182" t="n">
        <v>12</v>
      </c>
      <c r="J2272" s="182" t="n">
        <v>12</v>
      </c>
      <c r="K2272" s="182" t="n">
        <v>0</v>
      </c>
      <c r="L2272" s="182" t="n">
        <v>12</v>
      </c>
      <c r="M2272" s="182" t="n">
        <v>0</v>
      </c>
      <c r="N2272" s="182" t="n">
        <v>0</v>
      </c>
      <c r="O2272" s="183" t="n">
        <v>0</v>
      </c>
      <c r="P2272" s="183" t="n">
        <v>0</v>
      </c>
      <c r="Q2272" s="184" t="n">
        <v>0</v>
      </c>
      <c r="R2272" s="184" t="n">
        <v>0</v>
      </c>
      <c r="S2272" s="183" t="n">
        <v>0</v>
      </c>
      <c r="T2272" s="183" t="n">
        <v>0</v>
      </c>
      <c r="U2272" s="182" t="n">
        <v>0</v>
      </c>
      <c r="V2272" s="182" t="n">
        <v>0</v>
      </c>
      <c r="W2272" s="182" t="n">
        <v>0</v>
      </c>
      <c r="X2272" s="182" t="n">
        <v>0</v>
      </c>
      <c r="Y2272" s="182" t="n">
        <v>0</v>
      </c>
      <c r="Z2272" s="182" t="n">
        <v>0</v>
      </c>
      <c r="AA2272" s="182" t="n">
        <v>0</v>
      </c>
      <c r="AB2272" s="182" t="n">
        <v>0</v>
      </c>
      <c r="AC2272" s="182" t="n">
        <v>0</v>
      </c>
      <c r="AD2272" s="182" t="n">
        <v>0</v>
      </c>
      <c r="AE2272" s="182" t="n">
        <v>0</v>
      </c>
      <c r="AF2272" s="182" t="n">
        <v>0</v>
      </c>
      <c r="AG2272" s="182" t="n">
        <v>0</v>
      </c>
      <c r="AH2272" s="182" t="n">
        <v>0</v>
      </c>
      <c r="AI2272" s="182" t="n">
        <v>0</v>
      </c>
      <c r="AJ2272" s="182" t="n">
        <v>0</v>
      </c>
      <c r="AK2272" s="182" t="n">
        <v>0</v>
      </c>
      <c r="AL2272" s="182" t="n">
        <v>0</v>
      </c>
      <c r="AM2272" s="182" t="n">
        <v>0</v>
      </c>
      <c r="AN2272" s="182" t="n">
        <v>0</v>
      </c>
    </row>
    <row r="2273">
      <c r="A2273" s="155" t="n">
        <v>46092</v>
      </c>
      <c r="B2273" s="156" t="inlineStr">
        <is>
          <t>DS</t>
        </is>
      </c>
      <c r="C2273" s="156" t="inlineStr">
        <is>
          <t>DT-503</t>
        </is>
      </c>
      <c r="D2273" s="156" t="inlineStr">
        <is>
          <t>SKT 105S</t>
        </is>
      </c>
      <c r="E2273" s="156" t="inlineStr">
        <is>
          <t>Hauler</t>
        </is>
      </c>
      <c r="F2273" s="156" t="inlineStr"/>
      <c r="G2273" s="182" t="n">
        <v>0</v>
      </c>
      <c r="H2273" s="182" t="n">
        <v>0</v>
      </c>
      <c r="I2273" s="182" t="n">
        <v>12</v>
      </c>
      <c r="J2273" s="182" t="n">
        <v>12</v>
      </c>
      <c r="K2273" s="182" t="n">
        <v>0</v>
      </c>
      <c r="L2273" s="182" t="n">
        <v>12</v>
      </c>
      <c r="M2273" s="182" t="n">
        <v>0</v>
      </c>
      <c r="N2273" s="182" t="n">
        <v>0</v>
      </c>
      <c r="O2273" s="183" t="n">
        <v>0</v>
      </c>
      <c r="P2273" s="183" t="n">
        <v>0</v>
      </c>
      <c r="Q2273" s="184" t="n">
        <v>0</v>
      </c>
      <c r="R2273" s="184" t="n">
        <v>0</v>
      </c>
      <c r="S2273" s="183" t="n">
        <v>0</v>
      </c>
      <c r="T2273" s="183" t="n">
        <v>0</v>
      </c>
      <c r="U2273" s="182" t="n">
        <v>0</v>
      </c>
      <c r="V2273" s="182" t="n">
        <v>0</v>
      </c>
      <c r="W2273" s="182" t="n">
        <v>0</v>
      </c>
      <c r="X2273" s="182" t="n">
        <v>0</v>
      </c>
      <c r="Y2273" s="182" t="n">
        <v>0</v>
      </c>
      <c r="Z2273" s="182" t="n">
        <v>0</v>
      </c>
      <c r="AA2273" s="182" t="n">
        <v>0</v>
      </c>
      <c r="AB2273" s="182" t="n">
        <v>0</v>
      </c>
      <c r="AC2273" s="182" t="n">
        <v>0</v>
      </c>
      <c r="AD2273" s="182" t="n">
        <v>0</v>
      </c>
      <c r="AE2273" s="182" t="n">
        <v>0</v>
      </c>
      <c r="AF2273" s="182" t="n">
        <v>0</v>
      </c>
      <c r="AG2273" s="182" t="n">
        <v>0</v>
      </c>
      <c r="AH2273" s="182" t="n">
        <v>0</v>
      </c>
      <c r="AI2273" s="182" t="n">
        <v>0</v>
      </c>
      <c r="AJ2273" s="182" t="n">
        <v>0</v>
      </c>
      <c r="AK2273" s="182" t="n">
        <v>0</v>
      </c>
      <c r="AL2273" s="182" t="n">
        <v>0</v>
      </c>
      <c r="AM2273" s="182" t="n">
        <v>0</v>
      </c>
      <c r="AN2273" s="182" t="n">
        <v>0</v>
      </c>
    </row>
    <row r="2274">
      <c r="A2274" s="155" t="n">
        <v>46092</v>
      </c>
      <c r="B2274" s="156" t="inlineStr">
        <is>
          <t>DS</t>
        </is>
      </c>
      <c r="C2274" s="156" t="inlineStr">
        <is>
          <t>DT-504</t>
        </is>
      </c>
      <c r="D2274" s="156" t="inlineStr">
        <is>
          <t>SKT 105S</t>
        </is>
      </c>
      <c r="E2274" s="156" t="inlineStr">
        <is>
          <t>Hauler</t>
        </is>
      </c>
      <c r="F2274" s="156" t="inlineStr">
        <is>
          <t>Hauling OB</t>
        </is>
      </c>
      <c r="G2274" s="182" t="n">
        <v>4.8</v>
      </c>
      <c r="H2274" s="182" t="n">
        <v>0</v>
      </c>
      <c r="I2274" s="182" t="n">
        <v>0</v>
      </c>
      <c r="J2274" s="182" t="n">
        <v>0</v>
      </c>
      <c r="K2274" s="182" t="n">
        <v>7.2</v>
      </c>
      <c r="L2274" s="182" t="n">
        <v>12</v>
      </c>
      <c r="M2274" s="182" t="n">
        <v>4.8</v>
      </c>
      <c r="N2274" s="182" t="n">
        <v>0</v>
      </c>
      <c r="O2274" s="183" t="n">
        <v>17</v>
      </c>
      <c r="P2274" s="183" t="n">
        <v>0</v>
      </c>
      <c r="Q2274" s="184" t="n">
        <v>277.4</v>
      </c>
      <c r="R2274" s="184" t="n">
        <v>0</v>
      </c>
      <c r="S2274" s="183" t="n">
        <v>0</v>
      </c>
      <c r="T2274" s="183" t="n">
        <v>0</v>
      </c>
      <c r="U2274" s="182" t="n">
        <v>3.58</v>
      </c>
      <c r="V2274" s="182" t="n">
        <v>1.76</v>
      </c>
      <c r="W2274" s="182" t="n">
        <v>0</v>
      </c>
      <c r="X2274" s="182" t="n">
        <v>1.01</v>
      </c>
      <c r="Y2274" s="182" t="n">
        <v>0</v>
      </c>
      <c r="Z2274" s="182" t="n">
        <v>0.1</v>
      </c>
      <c r="AA2274" s="182" t="n">
        <v>0</v>
      </c>
      <c r="AB2274" s="182" t="n">
        <v>0</v>
      </c>
      <c r="AC2274" s="182" t="n">
        <v>0</v>
      </c>
      <c r="AD2274" s="182" t="n">
        <v>0</v>
      </c>
      <c r="AE2274" s="182" t="n">
        <v>0</v>
      </c>
      <c r="AF2274" s="182" t="n">
        <v>0</v>
      </c>
      <c r="AG2274" s="182" t="n">
        <v>0</v>
      </c>
      <c r="AH2274" s="182" t="n">
        <v>0.66</v>
      </c>
      <c r="AI2274" s="182" t="n">
        <v>0</v>
      </c>
      <c r="AJ2274" s="182" t="n">
        <v>0</v>
      </c>
      <c r="AK2274" s="182" t="n">
        <v>0</v>
      </c>
      <c r="AL2274" s="182" t="n">
        <v>0</v>
      </c>
      <c r="AM2274" s="182" t="n">
        <v>0.08</v>
      </c>
      <c r="AN2274" s="182" t="n">
        <v>0</v>
      </c>
    </row>
    <row r="2275">
      <c r="A2275" s="155" t="n">
        <v>46092</v>
      </c>
      <c r="B2275" s="156" t="inlineStr">
        <is>
          <t>DS</t>
        </is>
      </c>
      <c r="C2275" s="156" t="inlineStr">
        <is>
          <t>DT-507</t>
        </is>
      </c>
      <c r="D2275" s="156" t="inlineStr">
        <is>
          <t>SKT 105S</t>
        </is>
      </c>
      <c r="E2275" s="156" t="inlineStr">
        <is>
          <t>Hauler</t>
        </is>
      </c>
      <c r="F2275" s="156" t="inlineStr">
        <is>
          <t>Hauling OB</t>
        </is>
      </c>
      <c r="G2275" s="182" t="n">
        <v>4.88</v>
      </c>
      <c r="H2275" s="182" t="n">
        <v>0</v>
      </c>
      <c r="I2275" s="182" t="n">
        <v>0</v>
      </c>
      <c r="J2275" s="182" t="n">
        <v>0</v>
      </c>
      <c r="K2275" s="182" t="n">
        <v>7.12</v>
      </c>
      <c r="L2275" s="182" t="n">
        <v>12</v>
      </c>
      <c r="M2275" s="182" t="n">
        <v>4.77</v>
      </c>
      <c r="N2275" s="182" t="n">
        <v>0</v>
      </c>
      <c r="O2275" s="183" t="n">
        <v>15</v>
      </c>
      <c r="P2275" s="183" t="n">
        <v>0</v>
      </c>
      <c r="Q2275" s="184" t="n">
        <v>244.8</v>
      </c>
      <c r="R2275" s="184" t="n">
        <v>0</v>
      </c>
      <c r="S2275" s="183" t="n">
        <v>0</v>
      </c>
      <c r="T2275" s="183" t="n">
        <v>0</v>
      </c>
      <c r="U2275" s="182" t="n">
        <v>3.64</v>
      </c>
      <c r="V2275" s="182" t="n">
        <v>1.8</v>
      </c>
      <c r="W2275" s="182" t="n">
        <v>0</v>
      </c>
      <c r="X2275" s="182" t="n">
        <v>1.03</v>
      </c>
      <c r="Y2275" s="182" t="n">
        <v>0</v>
      </c>
      <c r="Z2275" s="182" t="n">
        <v>0.1</v>
      </c>
      <c r="AA2275" s="182" t="n">
        <v>0</v>
      </c>
      <c r="AB2275" s="182" t="n">
        <v>0</v>
      </c>
      <c r="AC2275" s="182" t="n">
        <v>0</v>
      </c>
      <c r="AD2275" s="182" t="n">
        <v>0</v>
      </c>
      <c r="AE2275" s="182" t="n">
        <v>0</v>
      </c>
      <c r="AF2275" s="182" t="n">
        <v>0</v>
      </c>
      <c r="AG2275" s="182" t="n">
        <v>0</v>
      </c>
      <c r="AH2275" s="182" t="n">
        <v>0.46</v>
      </c>
      <c r="AI2275" s="182" t="n">
        <v>0</v>
      </c>
      <c r="AJ2275" s="182" t="n">
        <v>0</v>
      </c>
      <c r="AK2275" s="182" t="n">
        <v>0</v>
      </c>
      <c r="AL2275" s="182" t="n">
        <v>0</v>
      </c>
      <c r="AM2275" s="182" t="n">
        <v>0.08</v>
      </c>
      <c r="AN2275" s="182" t="n">
        <v>0</v>
      </c>
    </row>
    <row r="2276">
      <c r="A2276" s="155" t="n">
        <v>46092</v>
      </c>
      <c r="B2276" s="156" t="inlineStr">
        <is>
          <t>DS</t>
        </is>
      </c>
      <c r="C2276" s="156" t="inlineStr">
        <is>
          <t>DT-501</t>
        </is>
      </c>
      <c r="D2276" s="156" t="inlineStr">
        <is>
          <t>SKT 105S</t>
        </is>
      </c>
      <c r="E2276" s="156" t="inlineStr">
        <is>
          <t>Hauler</t>
        </is>
      </c>
      <c r="F2276" s="156" t="inlineStr"/>
      <c r="G2276" s="182" t="n">
        <v>0</v>
      </c>
      <c r="H2276" s="182" t="n">
        <v>8.07</v>
      </c>
      <c r="I2276" s="182" t="n">
        <v>0</v>
      </c>
      <c r="J2276" s="182" t="n">
        <v>8.07</v>
      </c>
      <c r="K2276" s="182" t="n">
        <v>3.93</v>
      </c>
      <c r="L2276" s="182" t="n">
        <v>12</v>
      </c>
      <c r="M2276" s="182" t="n">
        <v>0</v>
      </c>
      <c r="N2276" s="182" t="n">
        <v>0</v>
      </c>
      <c r="O2276" s="183" t="n">
        <v>0</v>
      </c>
      <c r="P2276" s="183" t="n">
        <v>0</v>
      </c>
      <c r="Q2276" s="184" t="n">
        <v>0</v>
      </c>
      <c r="R2276" s="184" t="n">
        <v>0</v>
      </c>
      <c r="S2276" s="183" t="n">
        <v>0</v>
      </c>
      <c r="T2276" s="183" t="n">
        <v>0</v>
      </c>
      <c r="U2276" s="182" t="n">
        <v>1</v>
      </c>
      <c r="V2276" s="182" t="n">
        <v>0.57</v>
      </c>
      <c r="W2276" s="182" t="n">
        <v>0</v>
      </c>
      <c r="X2276" s="182" t="n">
        <v>1</v>
      </c>
      <c r="Y2276" s="182" t="n">
        <v>0</v>
      </c>
      <c r="Z2276" s="182" t="n">
        <v>0</v>
      </c>
      <c r="AA2276" s="182" t="n">
        <v>0</v>
      </c>
      <c r="AB2276" s="182" t="n">
        <v>0</v>
      </c>
      <c r="AC2276" s="182" t="n">
        <v>0</v>
      </c>
      <c r="AD2276" s="182" t="n">
        <v>0</v>
      </c>
      <c r="AE2276" s="182" t="n">
        <v>0</v>
      </c>
      <c r="AF2276" s="182" t="n">
        <v>0</v>
      </c>
      <c r="AG2276" s="182" t="n">
        <v>0</v>
      </c>
      <c r="AH2276" s="182" t="n">
        <v>0</v>
      </c>
      <c r="AI2276" s="182" t="n">
        <v>0</v>
      </c>
      <c r="AJ2276" s="182" t="n">
        <v>0</v>
      </c>
      <c r="AK2276" s="182" t="n">
        <v>1.28</v>
      </c>
      <c r="AL2276" s="182" t="n">
        <v>0</v>
      </c>
      <c r="AM2276" s="182" t="n">
        <v>0.08</v>
      </c>
      <c r="AN2276" s="182" t="n">
        <v>0</v>
      </c>
    </row>
    <row r="2277">
      <c r="A2277" s="155" t="n">
        <v>46092</v>
      </c>
      <c r="B2277" s="156" t="inlineStr">
        <is>
          <t>DS</t>
        </is>
      </c>
      <c r="C2277" s="156" t="inlineStr">
        <is>
          <t>DT-518</t>
        </is>
      </c>
      <c r="D2277" s="156" t="inlineStr">
        <is>
          <t>SKT 105S</t>
        </is>
      </c>
      <c r="E2277" s="156" t="inlineStr">
        <is>
          <t>Hauler</t>
        </is>
      </c>
      <c r="F2277" s="156" t="inlineStr">
        <is>
          <t>Hauling OB</t>
        </is>
      </c>
      <c r="G2277" s="182" t="n">
        <v>1.86</v>
      </c>
      <c r="H2277" s="182" t="n">
        <v>0</v>
      </c>
      <c r="I2277" s="182" t="n">
        <v>3.57</v>
      </c>
      <c r="J2277" s="182" t="n">
        <v>3.57</v>
      </c>
      <c r="K2277" s="182" t="n">
        <v>6.57</v>
      </c>
      <c r="L2277" s="182" t="n">
        <v>12</v>
      </c>
      <c r="M2277" s="182" t="n">
        <v>1.86</v>
      </c>
      <c r="N2277" s="182" t="n">
        <v>0</v>
      </c>
      <c r="O2277" s="183" t="n">
        <v>4</v>
      </c>
      <c r="P2277" s="183" t="n">
        <v>0</v>
      </c>
      <c r="Q2277" s="184" t="n">
        <v>65.3</v>
      </c>
      <c r="R2277" s="184" t="n">
        <v>0</v>
      </c>
      <c r="S2277" s="183" t="n">
        <v>0</v>
      </c>
      <c r="T2277" s="183" t="n">
        <v>0</v>
      </c>
      <c r="U2277" s="182" t="n">
        <v>3.5</v>
      </c>
      <c r="V2277" s="182" t="n">
        <v>0.5600000000000001</v>
      </c>
      <c r="W2277" s="182" t="n">
        <v>0</v>
      </c>
      <c r="X2277" s="182" t="n">
        <v>0.99</v>
      </c>
      <c r="Y2277" s="182" t="n">
        <v>0</v>
      </c>
      <c r="Z2277" s="182" t="n">
        <v>0</v>
      </c>
      <c r="AA2277" s="182" t="n">
        <v>0</v>
      </c>
      <c r="AB2277" s="182" t="n">
        <v>0</v>
      </c>
      <c r="AC2277" s="182" t="n">
        <v>0</v>
      </c>
      <c r="AD2277" s="182" t="n">
        <v>0</v>
      </c>
      <c r="AE2277" s="182" t="n">
        <v>0</v>
      </c>
      <c r="AF2277" s="182" t="n">
        <v>0</v>
      </c>
      <c r="AG2277" s="182" t="n">
        <v>0</v>
      </c>
      <c r="AH2277" s="182" t="n">
        <v>0</v>
      </c>
      <c r="AI2277" s="182" t="n">
        <v>0</v>
      </c>
      <c r="AJ2277" s="182" t="n">
        <v>0</v>
      </c>
      <c r="AK2277" s="182" t="n">
        <v>1.44</v>
      </c>
      <c r="AL2277" s="182" t="n">
        <v>0</v>
      </c>
      <c r="AM2277" s="182" t="n">
        <v>0.08</v>
      </c>
      <c r="AN2277" s="182" t="n">
        <v>0</v>
      </c>
    </row>
    <row r="2278">
      <c r="A2278" s="155" t="n">
        <v>46092</v>
      </c>
      <c r="B2278" s="156" t="inlineStr">
        <is>
          <t>DS</t>
        </is>
      </c>
      <c r="C2278" s="156" t="inlineStr">
        <is>
          <t>DT-514</t>
        </is>
      </c>
      <c r="D2278" s="156" t="inlineStr">
        <is>
          <t>SKT 105S</t>
        </is>
      </c>
      <c r="E2278" s="156" t="inlineStr">
        <is>
          <t>Hauler</t>
        </is>
      </c>
      <c r="F2278" s="156" t="inlineStr">
        <is>
          <t>Hauling OB</t>
        </is>
      </c>
      <c r="G2278" s="182" t="n">
        <v>4.58</v>
      </c>
      <c r="H2278" s="182" t="n">
        <v>0</v>
      </c>
      <c r="I2278" s="182" t="n">
        <v>0</v>
      </c>
      <c r="J2278" s="182" t="n">
        <v>0</v>
      </c>
      <c r="K2278" s="182" t="n">
        <v>7.42</v>
      </c>
      <c r="L2278" s="182" t="n">
        <v>12</v>
      </c>
      <c r="M2278" s="182" t="n">
        <v>4.58</v>
      </c>
      <c r="N2278" s="182" t="n">
        <v>0</v>
      </c>
      <c r="O2278" s="183" t="n">
        <v>15</v>
      </c>
      <c r="P2278" s="183" t="n">
        <v>0</v>
      </c>
      <c r="Q2278" s="184" t="n">
        <v>244.8</v>
      </c>
      <c r="R2278" s="184" t="n">
        <v>0</v>
      </c>
      <c r="S2278" s="183" t="n">
        <v>0</v>
      </c>
      <c r="T2278" s="183" t="n">
        <v>0</v>
      </c>
      <c r="U2278" s="182" t="n">
        <v>3.54</v>
      </c>
      <c r="V2278" s="182" t="n">
        <v>2.45</v>
      </c>
      <c r="W2278" s="182" t="n">
        <v>0</v>
      </c>
      <c r="X2278" s="182" t="n">
        <v>1</v>
      </c>
      <c r="Y2278" s="182" t="n">
        <v>0</v>
      </c>
      <c r="Z2278" s="182" t="n">
        <v>0.1</v>
      </c>
      <c r="AA2278" s="182" t="n">
        <v>0</v>
      </c>
      <c r="AB2278" s="182" t="n">
        <v>0</v>
      </c>
      <c r="AC2278" s="182" t="n">
        <v>0</v>
      </c>
      <c r="AD2278" s="182" t="n">
        <v>0</v>
      </c>
      <c r="AE2278" s="182" t="n">
        <v>0</v>
      </c>
      <c r="AF2278" s="182" t="n">
        <v>0</v>
      </c>
      <c r="AG2278" s="182" t="n">
        <v>0</v>
      </c>
      <c r="AH2278" s="182" t="n">
        <v>0.25</v>
      </c>
      <c r="AI2278" s="182" t="n">
        <v>0</v>
      </c>
      <c r="AJ2278" s="182" t="n">
        <v>0</v>
      </c>
      <c r="AK2278" s="182" t="n">
        <v>0</v>
      </c>
      <c r="AL2278" s="182" t="n">
        <v>0</v>
      </c>
      <c r="AM2278" s="182" t="n">
        <v>0.08</v>
      </c>
      <c r="AN2278" s="182" t="n">
        <v>0</v>
      </c>
    </row>
    <row r="2279">
      <c r="A2279" s="155" t="n">
        <v>46092</v>
      </c>
      <c r="B2279" s="156" t="inlineStr">
        <is>
          <t>DS</t>
        </is>
      </c>
      <c r="C2279" s="156" t="inlineStr">
        <is>
          <t>DT-523</t>
        </is>
      </c>
      <c r="D2279" s="156" t="inlineStr">
        <is>
          <t>SKT 105S</t>
        </is>
      </c>
      <c r="E2279" s="156" t="inlineStr">
        <is>
          <t>Hauler</t>
        </is>
      </c>
      <c r="F2279" s="156" t="inlineStr">
        <is>
          <t>Hauling OB</t>
        </is>
      </c>
      <c r="G2279" s="182" t="n">
        <v>4.13</v>
      </c>
      <c r="H2279" s="182" t="n">
        <v>0</v>
      </c>
      <c r="I2279" s="182" t="n">
        <v>0</v>
      </c>
      <c r="J2279" s="182" t="n">
        <v>0</v>
      </c>
      <c r="K2279" s="182" t="n">
        <v>7.87</v>
      </c>
      <c r="L2279" s="182" t="n">
        <v>12</v>
      </c>
      <c r="M2279" s="182" t="n">
        <v>4.13</v>
      </c>
      <c r="N2279" s="182" t="n">
        <v>0</v>
      </c>
      <c r="O2279" s="183" t="n">
        <v>15</v>
      </c>
      <c r="P2279" s="183" t="n">
        <v>0</v>
      </c>
      <c r="Q2279" s="184" t="n">
        <v>244.8</v>
      </c>
      <c r="R2279" s="184" t="n">
        <v>0</v>
      </c>
      <c r="S2279" s="183" t="n">
        <v>0</v>
      </c>
      <c r="T2279" s="183" t="n">
        <v>0</v>
      </c>
      <c r="U2279" s="182" t="n">
        <v>3.66</v>
      </c>
      <c r="V2279" s="182" t="n">
        <v>2.47</v>
      </c>
      <c r="W2279" s="182" t="n">
        <v>0</v>
      </c>
      <c r="X2279" s="182" t="n">
        <v>1.04</v>
      </c>
      <c r="Y2279" s="182" t="n">
        <v>0</v>
      </c>
      <c r="Z2279" s="182" t="n">
        <v>0.1</v>
      </c>
      <c r="AA2279" s="182" t="n">
        <v>0</v>
      </c>
      <c r="AB2279" s="182" t="n">
        <v>0</v>
      </c>
      <c r="AC2279" s="182" t="n">
        <v>0</v>
      </c>
      <c r="AD2279" s="182" t="n">
        <v>0</v>
      </c>
      <c r="AE2279" s="182" t="n">
        <v>0</v>
      </c>
      <c r="AF2279" s="182" t="n">
        <v>0</v>
      </c>
      <c r="AG2279" s="182" t="n">
        <v>0</v>
      </c>
      <c r="AH2279" s="182" t="n">
        <v>0.52</v>
      </c>
      <c r="AI2279" s="182" t="n">
        <v>0</v>
      </c>
      <c r="AJ2279" s="182" t="n">
        <v>0</v>
      </c>
      <c r="AK2279" s="182" t="n">
        <v>0</v>
      </c>
      <c r="AL2279" s="182" t="n">
        <v>0</v>
      </c>
      <c r="AM2279" s="182" t="n">
        <v>0.08</v>
      </c>
      <c r="AN2279" s="182" t="n">
        <v>0</v>
      </c>
    </row>
    <row r="2280">
      <c r="A2280" s="155" t="n">
        <v>46092</v>
      </c>
      <c r="B2280" s="156" t="inlineStr">
        <is>
          <t>DS</t>
        </is>
      </c>
      <c r="C2280" s="156" t="inlineStr">
        <is>
          <t>DT-519</t>
        </is>
      </c>
      <c r="D2280" s="156" t="inlineStr">
        <is>
          <t>SKT 105S</t>
        </is>
      </c>
      <c r="E2280" s="156" t="inlineStr">
        <is>
          <t>Hauler</t>
        </is>
      </c>
      <c r="F2280" s="156" t="inlineStr"/>
      <c r="G2280" s="182" t="n">
        <v>0</v>
      </c>
      <c r="H2280" s="182" t="n">
        <v>0</v>
      </c>
      <c r="I2280" s="182" t="n">
        <v>8.300000000000001</v>
      </c>
      <c r="J2280" s="182" t="n">
        <v>8.300000000000001</v>
      </c>
      <c r="K2280" s="182" t="n">
        <v>3.7</v>
      </c>
      <c r="L2280" s="182" t="n">
        <v>12</v>
      </c>
      <c r="M2280" s="182" t="n">
        <v>0</v>
      </c>
      <c r="N2280" s="182" t="n">
        <v>0</v>
      </c>
      <c r="O2280" s="183" t="n">
        <v>0</v>
      </c>
      <c r="P2280" s="183" t="n">
        <v>0</v>
      </c>
      <c r="Q2280" s="184" t="n">
        <v>0</v>
      </c>
      <c r="R2280" s="184" t="n">
        <v>0</v>
      </c>
      <c r="S2280" s="183" t="n">
        <v>0</v>
      </c>
      <c r="T2280" s="183" t="n">
        <v>0</v>
      </c>
      <c r="U2280" s="182" t="n">
        <v>1</v>
      </c>
      <c r="V2280" s="182" t="n">
        <v>0.57</v>
      </c>
      <c r="W2280" s="182" t="n">
        <v>0</v>
      </c>
      <c r="X2280" s="182" t="n">
        <v>1</v>
      </c>
      <c r="Y2280" s="182" t="n">
        <v>0</v>
      </c>
      <c r="Z2280" s="182" t="n">
        <v>0</v>
      </c>
      <c r="AA2280" s="182" t="n">
        <v>0</v>
      </c>
      <c r="AB2280" s="182" t="n">
        <v>0</v>
      </c>
      <c r="AC2280" s="182" t="n">
        <v>0</v>
      </c>
      <c r="AD2280" s="182" t="n">
        <v>0</v>
      </c>
      <c r="AE2280" s="182" t="n">
        <v>0</v>
      </c>
      <c r="AF2280" s="182" t="n">
        <v>0</v>
      </c>
      <c r="AG2280" s="182" t="n">
        <v>0</v>
      </c>
      <c r="AH2280" s="182" t="n">
        <v>0</v>
      </c>
      <c r="AI2280" s="182" t="n">
        <v>0</v>
      </c>
      <c r="AJ2280" s="182" t="n">
        <v>0</v>
      </c>
      <c r="AK2280" s="182" t="n">
        <v>1.05</v>
      </c>
      <c r="AL2280" s="182" t="n">
        <v>0</v>
      </c>
      <c r="AM2280" s="182" t="n">
        <v>0.08</v>
      </c>
      <c r="AN2280" s="182" t="n">
        <v>0</v>
      </c>
    </row>
    <row r="2281">
      <c r="A2281" s="155" t="n">
        <v>46092</v>
      </c>
      <c r="B2281" s="156" t="inlineStr">
        <is>
          <t>DS</t>
        </is>
      </c>
      <c r="C2281" s="156" t="inlineStr">
        <is>
          <t>DT-527</t>
        </is>
      </c>
      <c r="D2281" s="156" t="inlineStr">
        <is>
          <t>SKT 105S</t>
        </is>
      </c>
      <c r="E2281" s="156" t="inlineStr">
        <is>
          <t>Hauler</t>
        </is>
      </c>
      <c r="F2281" s="156" t="inlineStr">
        <is>
          <t>Hauling OB</t>
        </is>
      </c>
      <c r="G2281" s="182" t="n">
        <v>3.98</v>
      </c>
      <c r="H2281" s="182" t="n">
        <v>0</v>
      </c>
      <c r="I2281" s="182" t="n">
        <v>0</v>
      </c>
      <c r="J2281" s="182" t="n">
        <v>0</v>
      </c>
      <c r="K2281" s="182" t="n">
        <v>8.02</v>
      </c>
      <c r="L2281" s="182" t="n">
        <v>12</v>
      </c>
      <c r="M2281" s="182" t="n">
        <v>3.98</v>
      </c>
      <c r="N2281" s="182" t="n">
        <v>0</v>
      </c>
      <c r="O2281" s="183" t="n">
        <v>18</v>
      </c>
      <c r="P2281" s="183" t="n">
        <v>0</v>
      </c>
      <c r="Q2281" s="184" t="n">
        <v>293.7</v>
      </c>
      <c r="R2281" s="184" t="n">
        <v>0</v>
      </c>
      <c r="S2281" s="183" t="n">
        <v>0</v>
      </c>
      <c r="T2281" s="183" t="n">
        <v>0</v>
      </c>
      <c r="U2281" s="182" t="n">
        <v>3.77</v>
      </c>
      <c r="V2281" s="182" t="n">
        <v>2.5</v>
      </c>
      <c r="W2281" s="182" t="n">
        <v>0</v>
      </c>
      <c r="X2281" s="182" t="n">
        <v>1.07</v>
      </c>
      <c r="Y2281" s="182" t="n">
        <v>0</v>
      </c>
      <c r="Z2281" s="182" t="n">
        <v>0.11</v>
      </c>
      <c r="AA2281" s="182" t="n">
        <v>0</v>
      </c>
      <c r="AB2281" s="182" t="n">
        <v>0</v>
      </c>
      <c r="AC2281" s="182" t="n">
        <v>0</v>
      </c>
      <c r="AD2281" s="182" t="n">
        <v>0</v>
      </c>
      <c r="AE2281" s="182" t="n">
        <v>0</v>
      </c>
      <c r="AF2281" s="182" t="n">
        <v>0</v>
      </c>
      <c r="AG2281" s="182" t="n">
        <v>0</v>
      </c>
      <c r="AH2281" s="182" t="n">
        <v>0.48</v>
      </c>
      <c r="AI2281" s="182" t="n">
        <v>0</v>
      </c>
      <c r="AJ2281" s="182" t="n">
        <v>0</v>
      </c>
      <c r="AK2281" s="182" t="n">
        <v>0</v>
      </c>
      <c r="AL2281" s="182" t="n">
        <v>0</v>
      </c>
      <c r="AM2281" s="182" t="n">
        <v>0.09</v>
      </c>
      <c r="AN2281" s="182" t="n">
        <v>0</v>
      </c>
    </row>
    <row r="2282">
      <c r="A2282" s="155" t="n">
        <v>46092</v>
      </c>
      <c r="B2282" s="156" t="inlineStr">
        <is>
          <t>DS</t>
        </is>
      </c>
      <c r="C2282" s="156" t="inlineStr">
        <is>
          <t>DT-513</t>
        </is>
      </c>
      <c r="D2282" s="156" t="inlineStr">
        <is>
          <t>SKT 105S</t>
        </is>
      </c>
      <c r="E2282" s="156" t="inlineStr">
        <is>
          <t>Hauler</t>
        </is>
      </c>
      <c r="F2282" s="156" t="inlineStr"/>
      <c r="G2282" s="182" t="n">
        <v>0</v>
      </c>
      <c r="H2282" s="182" t="n">
        <v>0</v>
      </c>
      <c r="I2282" s="182" t="n">
        <v>8.82</v>
      </c>
      <c r="J2282" s="182" t="n">
        <v>8.82</v>
      </c>
      <c r="K2282" s="182" t="n">
        <v>3.18</v>
      </c>
      <c r="L2282" s="182" t="n">
        <v>12</v>
      </c>
      <c r="M2282" s="182" t="n">
        <v>0</v>
      </c>
      <c r="N2282" s="182" t="n">
        <v>0</v>
      </c>
      <c r="O2282" s="183" t="n">
        <v>0</v>
      </c>
      <c r="P2282" s="183" t="n">
        <v>0</v>
      </c>
      <c r="Q2282" s="184" t="n">
        <v>0</v>
      </c>
      <c r="R2282" s="184" t="n">
        <v>0</v>
      </c>
      <c r="S2282" s="183" t="n">
        <v>0</v>
      </c>
      <c r="T2282" s="183" t="n">
        <v>0</v>
      </c>
      <c r="U2282" s="182" t="n">
        <v>1</v>
      </c>
      <c r="V2282" s="182" t="n">
        <v>0.57</v>
      </c>
      <c r="W2282" s="182" t="n">
        <v>0</v>
      </c>
      <c r="X2282" s="182" t="n">
        <v>1</v>
      </c>
      <c r="Y2282" s="182" t="n">
        <v>0</v>
      </c>
      <c r="Z2282" s="182" t="n">
        <v>0</v>
      </c>
      <c r="AA2282" s="182" t="n">
        <v>0</v>
      </c>
      <c r="AB2282" s="182" t="n">
        <v>0</v>
      </c>
      <c r="AC2282" s="182" t="n">
        <v>0</v>
      </c>
      <c r="AD2282" s="182" t="n">
        <v>0</v>
      </c>
      <c r="AE2282" s="182" t="n">
        <v>0</v>
      </c>
      <c r="AF2282" s="182" t="n">
        <v>0</v>
      </c>
      <c r="AG2282" s="182" t="n">
        <v>0</v>
      </c>
      <c r="AH2282" s="182" t="n">
        <v>0</v>
      </c>
      <c r="AI2282" s="182" t="n">
        <v>0</v>
      </c>
      <c r="AJ2282" s="182" t="n">
        <v>0</v>
      </c>
      <c r="AK2282" s="182" t="n">
        <v>0.53</v>
      </c>
      <c r="AL2282" s="182" t="n">
        <v>0</v>
      </c>
      <c r="AM2282" s="182" t="n">
        <v>0.08</v>
      </c>
      <c r="AN2282" s="182" t="n">
        <v>0</v>
      </c>
    </row>
    <row r="2283">
      <c r="A2283" s="155" t="n">
        <v>46092</v>
      </c>
      <c r="B2283" s="156" t="inlineStr">
        <is>
          <t>DS</t>
        </is>
      </c>
      <c r="C2283" s="156" t="inlineStr">
        <is>
          <t>DT-512</t>
        </is>
      </c>
      <c r="D2283" s="156" t="inlineStr">
        <is>
          <t>SKT 105S</t>
        </is>
      </c>
      <c r="E2283" s="156" t="inlineStr">
        <is>
          <t>Hauler</t>
        </is>
      </c>
      <c r="F2283" s="156" t="inlineStr">
        <is>
          <t>Hauling Coal</t>
        </is>
      </c>
      <c r="G2283" s="182" t="n">
        <v>5.49</v>
      </c>
      <c r="H2283" s="182" t="n">
        <v>0</v>
      </c>
      <c r="I2283" s="182" t="n">
        <v>1.12</v>
      </c>
      <c r="J2283" s="182" t="n">
        <v>1.12</v>
      </c>
      <c r="K2283" s="182" t="n">
        <v>5.39</v>
      </c>
      <c r="L2283" s="182" t="n">
        <v>12</v>
      </c>
      <c r="M2283" s="182" t="n">
        <v>0</v>
      </c>
      <c r="N2283" s="182" t="n">
        <v>5.49</v>
      </c>
      <c r="O2283" s="183" t="n">
        <v>0</v>
      </c>
      <c r="P2283" s="183" t="n">
        <v>10</v>
      </c>
      <c r="Q2283" s="184" t="n">
        <v>0</v>
      </c>
      <c r="R2283" s="184" t="n">
        <v>187</v>
      </c>
      <c r="S2283" s="183" t="n">
        <v>0</v>
      </c>
      <c r="T2283" s="183" t="n">
        <v>0</v>
      </c>
      <c r="U2283" s="182" t="n">
        <v>3.6</v>
      </c>
      <c r="V2283" s="182" t="n">
        <v>0.58</v>
      </c>
      <c r="W2283" s="182" t="n">
        <v>0</v>
      </c>
      <c r="X2283" s="182" t="n">
        <v>1.02</v>
      </c>
      <c r="Y2283" s="182" t="n">
        <v>0</v>
      </c>
      <c r="Z2283" s="182" t="n">
        <v>0.1</v>
      </c>
      <c r="AA2283" s="182" t="n">
        <v>0</v>
      </c>
      <c r="AB2283" s="182" t="n">
        <v>0</v>
      </c>
      <c r="AC2283" s="182" t="n">
        <v>0</v>
      </c>
      <c r="AD2283" s="182" t="n">
        <v>0</v>
      </c>
      <c r="AE2283" s="182" t="n">
        <v>0</v>
      </c>
      <c r="AF2283" s="182" t="n">
        <v>0</v>
      </c>
      <c r="AG2283" s="182" t="n">
        <v>0</v>
      </c>
      <c r="AH2283" s="182" t="n">
        <v>0</v>
      </c>
      <c r="AI2283" s="182" t="n">
        <v>0</v>
      </c>
      <c r="AJ2283" s="182" t="n">
        <v>0</v>
      </c>
      <c r="AK2283" s="182" t="n">
        <v>0</v>
      </c>
      <c r="AL2283" s="182" t="n">
        <v>0</v>
      </c>
      <c r="AM2283" s="182" t="n">
        <v>0.08</v>
      </c>
      <c r="AN2283" s="182" t="n">
        <v>0</v>
      </c>
    </row>
    <row r="2284">
      <c r="A2284" s="155" t="n">
        <v>46092</v>
      </c>
      <c r="B2284" s="156" t="inlineStr">
        <is>
          <t>DS</t>
        </is>
      </c>
      <c r="C2284" s="156" t="inlineStr">
        <is>
          <t>DT-522</t>
        </is>
      </c>
      <c r="D2284" s="156" t="inlineStr">
        <is>
          <t>SKT 105S</t>
        </is>
      </c>
      <c r="E2284" s="156" t="inlineStr">
        <is>
          <t>Hauler</t>
        </is>
      </c>
      <c r="F2284" s="156" t="inlineStr">
        <is>
          <t>Hauling OB</t>
        </is>
      </c>
      <c r="G2284" s="182" t="n">
        <v>5.09</v>
      </c>
      <c r="H2284" s="182" t="n">
        <v>0</v>
      </c>
      <c r="I2284" s="182" t="n">
        <v>0</v>
      </c>
      <c r="J2284" s="182" t="n">
        <v>0</v>
      </c>
      <c r="K2284" s="182" t="n">
        <v>6.91</v>
      </c>
      <c r="L2284" s="182" t="n">
        <v>12</v>
      </c>
      <c r="M2284" s="182" t="n">
        <v>5.09</v>
      </c>
      <c r="N2284" s="182" t="n">
        <v>0</v>
      </c>
      <c r="O2284" s="183" t="n">
        <v>16</v>
      </c>
      <c r="P2284" s="183" t="n">
        <v>0</v>
      </c>
      <c r="Q2284" s="184" t="n">
        <v>261.1</v>
      </c>
      <c r="R2284" s="184" t="n">
        <v>0</v>
      </c>
      <c r="S2284" s="183" t="n">
        <v>0</v>
      </c>
      <c r="T2284" s="183" t="n">
        <v>0</v>
      </c>
      <c r="U2284" s="182" t="n">
        <v>3.3</v>
      </c>
      <c r="V2284" s="182" t="n">
        <v>2.19</v>
      </c>
      <c r="W2284" s="182" t="n">
        <v>0</v>
      </c>
      <c r="X2284" s="182" t="n">
        <v>0.93</v>
      </c>
      <c r="Y2284" s="182" t="n">
        <v>0</v>
      </c>
      <c r="Z2284" s="182" t="n">
        <v>0.09</v>
      </c>
      <c r="AA2284" s="182" t="n">
        <v>0</v>
      </c>
      <c r="AB2284" s="182" t="n">
        <v>0</v>
      </c>
      <c r="AC2284" s="182" t="n">
        <v>0</v>
      </c>
      <c r="AD2284" s="182" t="n">
        <v>0</v>
      </c>
      <c r="AE2284" s="182" t="n">
        <v>0</v>
      </c>
      <c r="AF2284" s="182" t="n">
        <v>0</v>
      </c>
      <c r="AG2284" s="182" t="n">
        <v>0</v>
      </c>
      <c r="AH2284" s="182" t="n">
        <v>0.33</v>
      </c>
      <c r="AI2284" s="182" t="n">
        <v>0</v>
      </c>
      <c r="AJ2284" s="182" t="n">
        <v>0</v>
      </c>
      <c r="AK2284" s="182" t="n">
        <v>0</v>
      </c>
      <c r="AL2284" s="182" t="n">
        <v>0</v>
      </c>
      <c r="AM2284" s="182" t="n">
        <v>0.07000000000000001</v>
      </c>
      <c r="AN2284" s="182" t="n">
        <v>0</v>
      </c>
    </row>
    <row r="2285">
      <c r="A2285" s="155" t="n">
        <v>46092</v>
      </c>
      <c r="B2285" s="156" t="inlineStr">
        <is>
          <t>DS</t>
        </is>
      </c>
      <c r="C2285" s="156" t="inlineStr">
        <is>
          <t>DT-517</t>
        </is>
      </c>
      <c r="D2285" s="156" t="inlineStr">
        <is>
          <t>SKT 105S</t>
        </is>
      </c>
      <c r="E2285" s="156" t="inlineStr">
        <is>
          <t>Hauler</t>
        </is>
      </c>
      <c r="F2285" s="156" t="inlineStr">
        <is>
          <t>Hauling OB</t>
        </is>
      </c>
      <c r="G2285" s="182" t="n">
        <v>4.32</v>
      </c>
      <c r="H2285" s="182" t="n">
        <v>0</v>
      </c>
      <c r="I2285" s="182" t="n">
        <v>0</v>
      </c>
      <c r="J2285" s="182" t="n">
        <v>0</v>
      </c>
      <c r="K2285" s="182" t="n">
        <v>7.68</v>
      </c>
      <c r="L2285" s="182" t="n">
        <v>12</v>
      </c>
      <c r="M2285" s="182" t="n">
        <v>4.32</v>
      </c>
      <c r="N2285" s="182" t="n">
        <v>0</v>
      </c>
      <c r="O2285" s="183" t="n">
        <v>15</v>
      </c>
      <c r="P2285" s="183" t="n">
        <v>0</v>
      </c>
      <c r="Q2285" s="184" t="n">
        <v>244.8</v>
      </c>
      <c r="R2285" s="184" t="n">
        <v>0</v>
      </c>
      <c r="S2285" s="183" t="n">
        <v>0</v>
      </c>
      <c r="T2285" s="183" t="n">
        <v>0</v>
      </c>
      <c r="U2285" s="182" t="n">
        <v>3.52</v>
      </c>
      <c r="V2285" s="182" t="n">
        <v>2.63</v>
      </c>
      <c r="W2285" s="182" t="n">
        <v>0</v>
      </c>
      <c r="X2285" s="182" t="n">
        <v>1</v>
      </c>
      <c r="Y2285" s="182" t="n">
        <v>0</v>
      </c>
      <c r="Z2285" s="182" t="n">
        <v>0.1</v>
      </c>
      <c r="AA2285" s="182" t="n">
        <v>0</v>
      </c>
      <c r="AB2285" s="182" t="n">
        <v>0</v>
      </c>
      <c r="AC2285" s="182" t="n">
        <v>0</v>
      </c>
      <c r="AD2285" s="182" t="n">
        <v>0</v>
      </c>
      <c r="AE2285" s="182" t="n">
        <v>0</v>
      </c>
      <c r="AF2285" s="182" t="n">
        <v>0</v>
      </c>
      <c r="AG2285" s="182" t="n">
        <v>0</v>
      </c>
      <c r="AH2285" s="182" t="n">
        <v>0.35</v>
      </c>
      <c r="AI2285" s="182" t="n">
        <v>0</v>
      </c>
      <c r="AJ2285" s="182" t="n">
        <v>0</v>
      </c>
      <c r="AK2285" s="182" t="n">
        <v>0</v>
      </c>
      <c r="AL2285" s="182" t="n">
        <v>0</v>
      </c>
      <c r="AM2285" s="182" t="n">
        <v>0.08</v>
      </c>
      <c r="AN2285" s="182" t="n">
        <v>0</v>
      </c>
    </row>
    <row r="2286">
      <c r="A2286" s="155" t="n">
        <v>46092</v>
      </c>
      <c r="B2286" s="156" t="inlineStr">
        <is>
          <t>DS</t>
        </is>
      </c>
      <c r="C2286" s="156" t="inlineStr">
        <is>
          <t>DT-510</t>
        </is>
      </c>
      <c r="D2286" s="156" t="inlineStr">
        <is>
          <t>SKT 105S</t>
        </is>
      </c>
      <c r="E2286" s="156" t="inlineStr">
        <is>
          <t>Hauler</t>
        </is>
      </c>
      <c r="F2286" s="156" t="inlineStr"/>
      <c r="G2286" s="182" t="n">
        <v>0</v>
      </c>
      <c r="H2286" s="182" t="n">
        <v>0</v>
      </c>
      <c r="I2286" s="182" t="n">
        <v>12</v>
      </c>
      <c r="J2286" s="182" t="n">
        <v>12</v>
      </c>
      <c r="K2286" s="182" t="n">
        <v>0</v>
      </c>
      <c r="L2286" s="182" t="n">
        <v>12</v>
      </c>
      <c r="M2286" s="182" t="n">
        <v>0</v>
      </c>
      <c r="N2286" s="182" t="n">
        <v>0</v>
      </c>
      <c r="O2286" s="183" t="n">
        <v>0</v>
      </c>
      <c r="P2286" s="183" t="n">
        <v>0</v>
      </c>
      <c r="Q2286" s="184" t="n">
        <v>0</v>
      </c>
      <c r="R2286" s="184" t="n">
        <v>0</v>
      </c>
      <c r="S2286" s="183" t="n">
        <v>0</v>
      </c>
      <c r="T2286" s="183" t="n">
        <v>0</v>
      </c>
      <c r="U2286" s="182" t="n">
        <v>0</v>
      </c>
      <c r="V2286" s="182" t="n">
        <v>0</v>
      </c>
      <c r="W2286" s="182" t="n">
        <v>0</v>
      </c>
      <c r="X2286" s="182" t="n">
        <v>0</v>
      </c>
      <c r="Y2286" s="182" t="n">
        <v>0</v>
      </c>
      <c r="Z2286" s="182" t="n">
        <v>0</v>
      </c>
      <c r="AA2286" s="182" t="n">
        <v>0</v>
      </c>
      <c r="AB2286" s="182" t="n">
        <v>0</v>
      </c>
      <c r="AC2286" s="182" t="n">
        <v>0</v>
      </c>
      <c r="AD2286" s="182" t="n">
        <v>0</v>
      </c>
      <c r="AE2286" s="182" t="n">
        <v>0</v>
      </c>
      <c r="AF2286" s="182" t="n">
        <v>0</v>
      </c>
      <c r="AG2286" s="182" t="n">
        <v>0</v>
      </c>
      <c r="AH2286" s="182" t="n">
        <v>0</v>
      </c>
      <c r="AI2286" s="182" t="n">
        <v>0</v>
      </c>
      <c r="AJ2286" s="182" t="n">
        <v>0</v>
      </c>
      <c r="AK2286" s="182" t="n">
        <v>0</v>
      </c>
      <c r="AL2286" s="182" t="n">
        <v>0</v>
      </c>
      <c r="AM2286" s="182" t="n">
        <v>0</v>
      </c>
      <c r="AN2286" s="182" t="n">
        <v>0</v>
      </c>
    </row>
    <row r="2287">
      <c r="A2287" s="155" t="n">
        <v>46092</v>
      </c>
      <c r="B2287" s="156" t="inlineStr">
        <is>
          <t>DS</t>
        </is>
      </c>
      <c r="C2287" s="156" t="inlineStr">
        <is>
          <t>DT-521</t>
        </is>
      </c>
      <c r="D2287" s="156" t="inlineStr">
        <is>
          <t>SKT 105S</t>
        </is>
      </c>
      <c r="E2287" s="156" t="inlineStr">
        <is>
          <t>Hauler</t>
        </is>
      </c>
      <c r="F2287" s="156" t="inlineStr">
        <is>
          <t>Hauling Coal</t>
        </is>
      </c>
      <c r="G2287" s="182" t="n">
        <v>5.71</v>
      </c>
      <c r="H2287" s="182" t="n">
        <v>0</v>
      </c>
      <c r="I2287" s="182" t="n">
        <v>0</v>
      </c>
      <c r="J2287" s="182" t="n">
        <v>0</v>
      </c>
      <c r="K2287" s="182" t="n">
        <v>6.29</v>
      </c>
      <c r="L2287" s="182" t="n">
        <v>12</v>
      </c>
      <c r="M2287" s="182" t="n">
        <v>0</v>
      </c>
      <c r="N2287" s="182" t="n">
        <v>5.71</v>
      </c>
      <c r="O2287" s="183" t="n">
        <v>0</v>
      </c>
      <c r="P2287" s="183" t="n">
        <v>11</v>
      </c>
      <c r="Q2287" s="184" t="n">
        <v>0</v>
      </c>
      <c r="R2287" s="184" t="n">
        <v>205.7</v>
      </c>
      <c r="S2287" s="183" t="n">
        <v>0</v>
      </c>
      <c r="T2287" s="183" t="n">
        <v>0</v>
      </c>
      <c r="U2287" s="182" t="n">
        <v>3.42</v>
      </c>
      <c r="V2287" s="182" t="n">
        <v>1.52</v>
      </c>
      <c r="W2287" s="182" t="n">
        <v>0</v>
      </c>
      <c r="X2287" s="182" t="n">
        <v>0.97</v>
      </c>
      <c r="Y2287" s="182" t="n">
        <v>0</v>
      </c>
      <c r="Z2287" s="182" t="n">
        <v>0.1</v>
      </c>
      <c r="AA2287" s="182" t="n">
        <v>0</v>
      </c>
      <c r="AB2287" s="182" t="n">
        <v>0</v>
      </c>
      <c r="AC2287" s="182" t="n">
        <v>0</v>
      </c>
      <c r="AD2287" s="182" t="n">
        <v>0</v>
      </c>
      <c r="AE2287" s="182" t="n">
        <v>0</v>
      </c>
      <c r="AF2287" s="182" t="n">
        <v>0</v>
      </c>
      <c r="AG2287" s="182" t="n">
        <v>0</v>
      </c>
      <c r="AH2287" s="182" t="n">
        <v>0.21</v>
      </c>
      <c r="AI2287" s="182" t="n">
        <v>0</v>
      </c>
      <c r="AJ2287" s="182" t="n">
        <v>0</v>
      </c>
      <c r="AK2287" s="182" t="n">
        <v>0</v>
      </c>
      <c r="AL2287" s="182" t="n">
        <v>0</v>
      </c>
      <c r="AM2287" s="182" t="n">
        <v>0.08</v>
      </c>
      <c r="AN2287" s="182" t="n">
        <v>0</v>
      </c>
    </row>
    <row r="2288">
      <c r="A2288" s="155" t="n">
        <v>46092</v>
      </c>
      <c r="B2288" s="156" t="inlineStr">
        <is>
          <t>DS</t>
        </is>
      </c>
      <c r="C2288" s="156" t="inlineStr">
        <is>
          <t>DT-516</t>
        </is>
      </c>
      <c r="D2288" s="156" t="inlineStr">
        <is>
          <t>SKT 105S</t>
        </is>
      </c>
      <c r="E2288" s="156" t="inlineStr">
        <is>
          <t>Hauler</t>
        </is>
      </c>
      <c r="F2288" s="156" t="inlineStr">
        <is>
          <t>Hauling Coal</t>
        </is>
      </c>
      <c r="G2288" s="182" t="n">
        <v>6.09</v>
      </c>
      <c r="H2288" s="182" t="n">
        <v>0</v>
      </c>
      <c r="I2288" s="182" t="n">
        <v>0</v>
      </c>
      <c r="J2288" s="182" t="n">
        <v>0</v>
      </c>
      <c r="K2288" s="182" t="n">
        <v>5.91</v>
      </c>
      <c r="L2288" s="182" t="n">
        <v>12</v>
      </c>
      <c r="M2288" s="182" t="n">
        <v>0</v>
      </c>
      <c r="N2288" s="182" t="n">
        <v>6.09</v>
      </c>
      <c r="O2288" s="183" t="n">
        <v>0</v>
      </c>
      <c r="P2288" s="183" t="n">
        <v>13</v>
      </c>
      <c r="Q2288" s="184" t="n">
        <v>0</v>
      </c>
      <c r="R2288" s="184" t="n">
        <v>243.1</v>
      </c>
      <c r="S2288" s="183" t="n">
        <v>0</v>
      </c>
      <c r="T2288" s="183" t="n">
        <v>0</v>
      </c>
      <c r="U2288" s="182" t="n">
        <v>3.48</v>
      </c>
      <c r="V2288" s="182" t="n">
        <v>1.27</v>
      </c>
      <c r="W2288" s="182" t="n">
        <v>0</v>
      </c>
      <c r="X2288" s="182" t="n">
        <v>0.98</v>
      </c>
      <c r="Y2288" s="182" t="n">
        <v>0</v>
      </c>
      <c r="Z2288" s="182" t="n">
        <v>0.1</v>
      </c>
      <c r="AA2288" s="182" t="n">
        <v>0</v>
      </c>
      <c r="AB2288" s="182" t="n">
        <v>0</v>
      </c>
      <c r="AC2288" s="182" t="n">
        <v>0</v>
      </c>
      <c r="AD2288" s="182" t="n">
        <v>0</v>
      </c>
      <c r="AE2288" s="182" t="n">
        <v>0</v>
      </c>
      <c r="AF2288" s="182" t="n">
        <v>0</v>
      </c>
      <c r="AG2288" s="182" t="n">
        <v>0</v>
      </c>
      <c r="AH2288" s="182" t="n">
        <v>0</v>
      </c>
      <c r="AI2288" s="182" t="n">
        <v>0</v>
      </c>
      <c r="AJ2288" s="182" t="n">
        <v>0</v>
      </c>
      <c r="AK2288" s="182" t="n">
        <v>0</v>
      </c>
      <c r="AL2288" s="182" t="n">
        <v>0</v>
      </c>
      <c r="AM2288" s="182" t="n">
        <v>0.08</v>
      </c>
      <c r="AN2288" s="182" t="n">
        <v>0</v>
      </c>
    </row>
    <row r="2289">
      <c r="A2289" s="155" t="n">
        <v>46092</v>
      </c>
      <c r="B2289" s="156" t="inlineStr">
        <is>
          <t>DS</t>
        </is>
      </c>
      <c r="C2289" s="156" t="inlineStr">
        <is>
          <t>DT-506</t>
        </is>
      </c>
      <c r="D2289" s="156" t="inlineStr">
        <is>
          <t>SKT 105S</t>
        </is>
      </c>
      <c r="E2289" s="156" t="inlineStr">
        <is>
          <t>Hauler</t>
        </is>
      </c>
      <c r="F2289" s="156" t="inlineStr">
        <is>
          <t>Hauling Coal</t>
        </is>
      </c>
      <c r="G2289" s="182" t="n">
        <v>4.94</v>
      </c>
      <c r="H2289" s="182" t="n">
        <v>0</v>
      </c>
      <c r="I2289" s="182" t="n">
        <v>0</v>
      </c>
      <c r="J2289" s="182" t="n">
        <v>0</v>
      </c>
      <c r="K2289" s="182" t="n">
        <v>7.06</v>
      </c>
      <c r="L2289" s="182" t="n">
        <v>12</v>
      </c>
      <c r="M2289" s="182" t="n">
        <v>0</v>
      </c>
      <c r="N2289" s="182" t="n">
        <v>4.94</v>
      </c>
      <c r="O2289" s="183" t="n">
        <v>0</v>
      </c>
      <c r="P2289" s="183" t="n">
        <v>13</v>
      </c>
      <c r="Q2289" s="184" t="n">
        <v>0</v>
      </c>
      <c r="R2289" s="184" t="n">
        <v>243.1</v>
      </c>
      <c r="S2289" s="183" t="n">
        <v>0</v>
      </c>
      <c r="T2289" s="183" t="n">
        <v>0</v>
      </c>
      <c r="U2289" s="182" t="n">
        <v>3.51</v>
      </c>
      <c r="V2289" s="182" t="n">
        <v>1.89</v>
      </c>
      <c r="W2289" s="182" t="n">
        <v>0</v>
      </c>
      <c r="X2289" s="182" t="n">
        <v>0.99</v>
      </c>
      <c r="Y2289" s="182" t="n">
        <v>0</v>
      </c>
      <c r="Z2289" s="182" t="n">
        <v>0.1</v>
      </c>
      <c r="AA2289" s="182" t="n">
        <v>0</v>
      </c>
      <c r="AB2289" s="182" t="n">
        <v>0</v>
      </c>
      <c r="AC2289" s="182" t="n">
        <v>0</v>
      </c>
      <c r="AD2289" s="182" t="n">
        <v>0</v>
      </c>
      <c r="AE2289" s="182" t="n">
        <v>0</v>
      </c>
      <c r="AF2289" s="182" t="n">
        <v>0</v>
      </c>
      <c r="AG2289" s="182" t="n">
        <v>0</v>
      </c>
      <c r="AH2289" s="182" t="n">
        <v>0.49</v>
      </c>
      <c r="AI2289" s="182" t="n">
        <v>0</v>
      </c>
      <c r="AJ2289" s="182" t="n">
        <v>0</v>
      </c>
      <c r="AK2289" s="182" t="n">
        <v>0</v>
      </c>
      <c r="AL2289" s="182" t="n">
        <v>0</v>
      </c>
      <c r="AM2289" s="182" t="n">
        <v>0.08</v>
      </c>
      <c r="AN2289" s="182" t="n">
        <v>0</v>
      </c>
    </row>
    <row r="2290">
      <c r="A2290" s="155" t="n">
        <v>46092</v>
      </c>
      <c r="B2290" s="156" t="inlineStr">
        <is>
          <t>DS</t>
        </is>
      </c>
      <c r="C2290" s="156" t="inlineStr">
        <is>
          <t>DT-502</t>
        </is>
      </c>
      <c r="D2290" s="156" t="inlineStr">
        <is>
          <t>SKT 105S</t>
        </is>
      </c>
      <c r="E2290" s="156" t="inlineStr">
        <is>
          <t>Hauler</t>
        </is>
      </c>
      <c r="F2290" s="156" t="inlineStr">
        <is>
          <t>Hauling Coal</t>
        </is>
      </c>
      <c r="G2290" s="182" t="n">
        <v>5.35</v>
      </c>
      <c r="H2290" s="182" t="n">
        <v>0</v>
      </c>
      <c r="I2290" s="182" t="n">
        <v>0</v>
      </c>
      <c r="J2290" s="182" t="n">
        <v>0</v>
      </c>
      <c r="K2290" s="182" t="n">
        <v>6.65</v>
      </c>
      <c r="L2290" s="182" t="n">
        <v>12</v>
      </c>
      <c r="M2290" s="182" t="n">
        <v>0</v>
      </c>
      <c r="N2290" s="182" t="n">
        <v>5.35</v>
      </c>
      <c r="O2290" s="183" t="n">
        <v>0</v>
      </c>
      <c r="P2290" s="183" t="n">
        <v>10</v>
      </c>
      <c r="Q2290" s="184" t="n">
        <v>0</v>
      </c>
      <c r="R2290" s="184" t="n">
        <v>187</v>
      </c>
      <c r="S2290" s="183" t="n">
        <v>0</v>
      </c>
      <c r="T2290" s="183" t="n">
        <v>0</v>
      </c>
      <c r="U2290" s="182" t="n">
        <v>3.67</v>
      </c>
      <c r="V2290" s="182" t="n">
        <v>1.63</v>
      </c>
      <c r="W2290" s="182" t="n">
        <v>0</v>
      </c>
      <c r="X2290" s="182" t="n">
        <v>1.04</v>
      </c>
      <c r="Y2290" s="182" t="n">
        <v>0</v>
      </c>
      <c r="Z2290" s="182" t="n">
        <v>0.1</v>
      </c>
      <c r="AA2290" s="182" t="n">
        <v>0</v>
      </c>
      <c r="AB2290" s="182" t="n">
        <v>0</v>
      </c>
      <c r="AC2290" s="182" t="n">
        <v>0</v>
      </c>
      <c r="AD2290" s="182" t="n">
        <v>0</v>
      </c>
      <c r="AE2290" s="182" t="n">
        <v>0</v>
      </c>
      <c r="AF2290" s="182" t="n">
        <v>0</v>
      </c>
      <c r="AG2290" s="182" t="n">
        <v>0</v>
      </c>
      <c r="AH2290" s="182" t="n">
        <v>0.12</v>
      </c>
      <c r="AI2290" s="182" t="n">
        <v>0</v>
      </c>
      <c r="AJ2290" s="182" t="n">
        <v>0</v>
      </c>
      <c r="AK2290" s="182" t="n">
        <v>0</v>
      </c>
      <c r="AL2290" s="182" t="n">
        <v>0</v>
      </c>
      <c r="AM2290" s="182" t="n">
        <v>0.08</v>
      </c>
      <c r="AN2290" s="182" t="n">
        <v>0</v>
      </c>
    </row>
    <row r="2291">
      <c r="A2291" s="155" t="n">
        <v>46092</v>
      </c>
      <c r="B2291" s="156" t="inlineStr">
        <is>
          <t>DS</t>
        </is>
      </c>
      <c r="C2291" s="156" t="inlineStr">
        <is>
          <t>DT-528</t>
        </is>
      </c>
      <c r="D2291" s="156" t="inlineStr">
        <is>
          <t>SKT 105S</t>
        </is>
      </c>
      <c r="E2291" s="156" t="inlineStr">
        <is>
          <t>Hauler</t>
        </is>
      </c>
      <c r="F2291" s="156" t="inlineStr">
        <is>
          <t>Hauling OB</t>
        </is>
      </c>
      <c r="G2291" s="182" t="n">
        <v>3.03</v>
      </c>
      <c r="H2291" s="182" t="n">
        <v>0</v>
      </c>
      <c r="I2291" s="182" t="n">
        <v>0</v>
      </c>
      <c r="J2291" s="182" t="n">
        <v>0</v>
      </c>
      <c r="K2291" s="182" t="n">
        <v>8.970000000000001</v>
      </c>
      <c r="L2291" s="182" t="n">
        <v>12</v>
      </c>
      <c r="M2291" s="182" t="n">
        <v>3.03</v>
      </c>
      <c r="N2291" s="182" t="n">
        <v>0</v>
      </c>
      <c r="O2291" s="183" t="n">
        <v>12</v>
      </c>
      <c r="P2291" s="183" t="n">
        <v>0</v>
      </c>
      <c r="Q2291" s="184" t="n">
        <v>195.8</v>
      </c>
      <c r="R2291" s="184" t="n">
        <v>0</v>
      </c>
      <c r="S2291" s="183" t="n">
        <v>0</v>
      </c>
      <c r="T2291" s="183" t="n">
        <v>0</v>
      </c>
      <c r="U2291" s="182" t="n">
        <v>3.6</v>
      </c>
      <c r="V2291" s="182" t="n">
        <v>1.94</v>
      </c>
      <c r="W2291" s="182" t="n">
        <v>0</v>
      </c>
      <c r="X2291" s="182" t="n">
        <v>1.02</v>
      </c>
      <c r="Y2291" s="182" t="n">
        <v>0</v>
      </c>
      <c r="Z2291" s="182" t="n">
        <v>0.1</v>
      </c>
      <c r="AA2291" s="182" t="n">
        <v>0</v>
      </c>
      <c r="AB2291" s="182" t="n">
        <v>0</v>
      </c>
      <c r="AC2291" s="182" t="n">
        <v>0</v>
      </c>
      <c r="AD2291" s="182" t="n">
        <v>0</v>
      </c>
      <c r="AE2291" s="182" t="n">
        <v>0</v>
      </c>
      <c r="AF2291" s="182" t="n">
        <v>0</v>
      </c>
      <c r="AG2291" s="182" t="n">
        <v>0</v>
      </c>
      <c r="AH2291" s="182" t="n">
        <v>0</v>
      </c>
      <c r="AI2291" s="182" t="n">
        <v>0</v>
      </c>
      <c r="AJ2291" s="182" t="n">
        <v>0</v>
      </c>
      <c r="AK2291" s="182" t="n">
        <v>2.23</v>
      </c>
      <c r="AL2291" s="182" t="n">
        <v>0</v>
      </c>
      <c r="AM2291" s="182" t="n">
        <v>0.08</v>
      </c>
      <c r="AN2291" s="182" t="n">
        <v>0</v>
      </c>
    </row>
    <row r="2292">
      <c r="A2292" s="155" t="n">
        <v>46092</v>
      </c>
      <c r="B2292" s="156" t="inlineStr">
        <is>
          <t>DS</t>
        </is>
      </c>
      <c r="C2292" s="156" t="inlineStr">
        <is>
          <t>DT-529</t>
        </is>
      </c>
      <c r="D2292" s="156" t="inlineStr">
        <is>
          <t>SKT 105S</t>
        </is>
      </c>
      <c r="E2292" s="156" t="inlineStr">
        <is>
          <t>Hauler</t>
        </is>
      </c>
      <c r="F2292" s="156" t="inlineStr"/>
      <c r="G2292" s="182" t="n">
        <v>0</v>
      </c>
      <c r="H2292" s="182" t="n">
        <v>0</v>
      </c>
      <c r="I2292" s="182" t="n">
        <v>12</v>
      </c>
      <c r="J2292" s="182" t="n">
        <v>12</v>
      </c>
      <c r="K2292" s="182" t="n">
        <v>0</v>
      </c>
      <c r="L2292" s="182" t="n">
        <v>12</v>
      </c>
      <c r="M2292" s="182" t="n">
        <v>0</v>
      </c>
      <c r="N2292" s="182" t="n">
        <v>0</v>
      </c>
      <c r="O2292" s="183" t="n">
        <v>0</v>
      </c>
      <c r="P2292" s="183" t="n">
        <v>0</v>
      </c>
      <c r="Q2292" s="184" t="n">
        <v>0</v>
      </c>
      <c r="R2292" s="184" t="n">
        <v>0</v>
      </c>
      <c r="S2292" s="183" t="n">
        <v>0</v>
      </c>
      <c r="T2292" s="183" t="n">
        <v>0</v>
      </c>
      <c r="U2292" s="182" t="n">
        <v>0</v>
      </c>
      <c r="V2292" s="182" t="n">
        <v>0</v>
      </c>
      <c r="W2292" s="182" t="n">
        <v>0</v>
      </c>
      <c r="X2292" s="182" t="n">
        <v>0</v>
      </c>
      <c r="Y2292" s="182" t="n">
        <v>0</v>
      </c>
      <c r="Z2292" s="182" t="n">
        <v>0</v>
      </c>
      <c r="AA2292" s="182" t="n">
        <v>0</v>
      </c>
      <c r="AB2292" s="182" t="n">
        <v>0</v>
      </c>
      <c r="AC2292" s="182" t="n">
        <v>0</v>
      </c>
      <c r="AD2292" s="182" t="n">
        <v>0</v>
      </c>
      <c r="AE2292" s="182" t="n">
        <v>0</v>
      </c>
      <c r="AF2292" s="182" t="n">
        <v>0</v>
      </c>
      <c r="AG2292" s="182" t="n">
        <v>0</v>
      </c>
      <c r="AH2292" s="182" t="n">
        <v>0</v>
      </c>
      <c r="AI2292" s="182" t="n">
        <v>0</v>
      </c>
      <c r="AJ2292" s="182" t="n">
        <v>0</v>
      </c>
      <c r="AK2292" s="182" t="n">
        <v>0</v>
      </c>
      <c r="AL2292" s="182" t="n">
        <v>0</v>
      </c>
      <c r="AM2292" s="182" t="n">
        <v>0</v>
      </c>
      <c r="AN2292" s="182" t="n">
        <v>0</v>
      </c>
    </row>
    <row r="2293">
      <c r="A2293" s="155" t="n">
        <v>46092</v>
      </c>
      <c r="B2293" s="156" t="inlineStr">
        <is>
          <t>DS</t>
        </is>
      </c>
      <c r="C2293" s="156" t="inlineStr">
        <is>
          <t>DT-520</t>
        </is>
      </c>
      <c r="D2293" s="156" t="inlineStr">
        <is>
          <t>SKT 105S</t>
        </is>
      </c>
      <c r="E2293" s="156" t="inlineStr">
        <is>
          <t>Hauler</t>
        </is>
      </c>
      <c r="F2293" s="156" t="inlineStr">
        <is>
          <t>Hauling OB</t>
        </is>
      </c>
      <c r="G2293" s="182" t="n">
        <v>3.2</v>
      </c>
      <c r="H2293" s="182" t="n">
        <v>0</v>
      </c>
      <c r="I2293" s="182" t="n">
        <v>0</v>
      </c>
      <c r="J2293" s="182" t="n">
        <v>0</v>
      </c>
      <c r="K2293" s="182" t="n">
        <v>8.800000000000001</v>
      </c>
      <c r="L2293" s="182" t="n">
        <v>12</v>
      </c>
      <c r="M2293" s="182" t="n">
        <v>3.2</v>
      </c>
      <c r="N2293" s="182" t="n">
        <v>0</v>
      </c>
      <c r="O2293" s="183" t="n">
        <v>18</v>
      </c>
      <c r="P2293" s="183" t="n">
        <v>0</v>
      </c>
      <c r="Q2293" s="184" t="n">
        <v>293.7</v>
      </c>
      <c r="R2293" s="184" t="n">
        <v>0</v>
      </c>
      <c r="S2293" s="183" t="n">
        <v>0</v>
      </c>
      <c r="T2293" s="183" t="n">
        <v>0</v>
      </c>
      <c r="U2293" s="182" t="n">
        <v>3.61</v>
      </c>
      <c r="V2293" s="182" t="n">
        <v>1.94</v>
      </c>
      <c r="W2293" s="182" t="n">
        <v>0</v>
      </c>
      <c r="X2293" s="182" t="n">
        <v>1.02</v>
      </c>
      <c r="Y2293" s="182" t="n">
        <v>0</v>
      </c>
      <c r="Z2293" s="182" t="n">
        <v>0</v>
      </c>
      <c r="AA2293" s="182" t="n">
        <v>0</v>
      </c>
      <c r="AB2293" s="182" t="n">
        <v>0</v>
      </c>
      <c r="AC2293" s="182" t="n">
        <v>0</v>
      </c>
      <c r="AD2293" s="182" t="n">
        <v>0</v>
      </c>
      <c r="AE2293" s="182" t="n">
        <v>0</v>
      </c>
      <c r="AF2293" s="182" t="n">
        <v>0</v>
      </c>
      <c r="AG2293" s="182" t="n">
        <v>0</v>
      </c>
      <c r="AH2293" s="182" t="n">
        <v>0</v>
      </c>
      <c r="AI2293" s="182" t="n">
        <v>2.14</v>
      </c>
      <c r="AJ2293" s="182" t="n">
        <v>0</v>
      </c>
      <c r="AK2293" s="182" t="n">
        <v>0</v>
      </c>
      <c r="AL2293" s="182" t="n">
        <v>0</v>
      </c>
      <c r="AM2293" s="182" t="n">
        <v>0.08</v>
      </c>
      <c r="AN2293" s="182" t="n">
        <v>0</v>
      </c>
    </row>
    <row r="2294">
      <c r="A2294" s="155" t="n">
        <v>46092</v>
      </c>
      <c r="B2294" s="156" t="inlineStr">
        <is>
          <t>DS</t>
        </is>
      </c>
      <c r="C2294" s="156" t="inlineStr">
        <is>
          <t>DT-511</t>
        </is>
      </c>
      <c r="D2294" s="156" t="inlineStr">
        <is>
          <t>SKT 105S</t>
        </is>
      </c>
      <c r="E2294" s="156" t="inlineStr">
        <is>
          <t>Hauler</t>
        </is>
      </c>
      <c r="F2294" s="156" t="inlineStr">
        <is>
          <t>Hauling OB</t>
        </is>
      </c>
      <c r="G2294" s="182" t="n">
        <v>3.66</v>
      </c>
      <c r="H2294" s="182" t="n">
        <v>0</v>
      </c>
      <c r="I2294" s="182" t="n">
        <v>0</v>
      </c>
      <c r="J2294" s="182" t="n">
        <v>0</v>
      </c>
      <c r="K2294" s="182" t="n">
        <v>8.34</v>
      </c>
      <c r="L2294" s="182" t="n">
        <v>12</v>
      </c>
      <c r="M2294" s="182" t="n">
        <v>3.65</v>
      </c>
      <c r="N2294" s="182" t="n">
        <v>0</v>
      </c>
      <c r="O2294" s="183" t="n">
        <v>16</v>
      </c>
      <c r="P2294" s="183" t="n">
        <v>0</v>
      </c>
      <c r="Q2294" s="184" t="n">
        <v>261.1</v>
      </c>
      <c r="R2294" s="184" t="n">
        <v>0</v>
      </c>
      <c r="S2294" s="183" t="n">
        <v>0</v>
      </c>
      <c r="T2294" s="183" t="n">
        <v>0</v>
      </c>
      <c r="U2294" s="182" t="n">
        <v>3.38</v>
      </c>
      <c r="V2294" s="182" t="n">
        <v>1.82</v>
      </c>
      <c r="W2294" s="182" t="n">
        <v>0</v>
      </c>
      <c r="X2294" s="182" t="n">
        <v>0.96</v>
      </c>
      <c r="Y2294" s="182" t="n">
        <v>0</v>
      </c>
      <c r="Z2294" s="182" t="n">
        <v>0</v>
      </c>
      <c r="AA2294" s="182" t="n">
        <v>0</v>
      </c>
      <c r="AB2294" s="182" t="n">
        <v>0</v>
      </c>
      <c r="AC2294" s="182" t="n">
        <v>0</v>
      </c>
      <c r="AD2294" s="182" t="n">
        <v>0</v>
      </c>
      <c r="AE2294" s="182" t="n">
        <v>0</v>
      </c>
      <c r="AF2294" s="182" t="n">
        <v>0</v>
      </c>
      <c r="AG2294" s="182" t="n">
        <v>0</v>
      </c>
      <c r="AH2294" s="182" t="n">
        <v>0</v>
      </c>
      <c r="AI2294" s="182" t="n">
        <v>2.1</v>
      </c>
      <c r="AJ2294" s="182" t="n">
        <v>0</v>
      </c>
      <c r="AK2294" s="182" t="n">
        <v>0</v>
      </c>
      <c r="AL2294" s="182" t="n">
        <v>0</v>
      </c>
      <c r="AM2294" s="182" t="n">
        <v>0.08</v>
      </c>
      <c r="AN2294" s="182" t="n">
        <v>0</v>
      </c>
    </row>
    <row r="2295">
      <c r="A2295" s="155" t="n">
        <v>46092</v>
      </c>
      <c r="B2295" s="156" t="inlineStr">
        <is>
          <t>DS</t>
        </is>
      </c>
      <c r="C2295" s="156" t="inlineStr">
        <is>
          <t>DT-509</t>
        </is>
      </c>
      <c r="D2295" s="156" t="inlineStr">
        <is>
          <t>SKT 105S</t>
        </is>
      </c>
      <c r="E2295" s="156" t="inlineStr">
        <is>
          <t>Hauler</t>
        </is>
      </c>
      <c r="F2295" s="156" t="inlineStr">
        <is>
          <t>Hauling OB</t>
        </is>
      </c>
      <c r="G2295" s="182" t="n">
        <v>3.87</v>
      </c>
      <c r="H2295" s="182" t="n">
        <v>0</v>
      </c>
      <c r="I2295" s="182" t="n">
        <v>0</v>
      </c>
      <c r="J2295" s="182" t="n">
        <v>0</v>
      </c>
      <c r="K2295" s="182" t="n">
        <v>8.130000000000001</v>
      </c>
      <c r="L2295" s="182" t="n">
        <v>12</v>
      </c>
      <c r="M2295" s="182" t="n">
        <v>3.87</v>
      </c>
      <c r="N2295" s="182" t="n">
        <v>0</v>
      </c>
      <c r="O2295" s="183" t="n">
        <v>15</v>
      </c>
      <c r="P2295" s="183" t="n">
        <v>0</v>
      </c>
      <c r="Q2295" s="184" t="n">
        <v>244.8</v>
      </c>
      <c r="R2295" s="184" t="n">
        <v>0</v>
      </c>
      <c r="S2295" s="183" t="n">
        <v>0</v>
      </c>
      <c r="T2295" s="183" t="n">
        <v>0</v>
      </c>
      <c r="U2295" s="182" t="n">
        <v>3.42</v>
      </c>
      <c r="V2295" s="182" t="n">
        <v>1.84</v>
      </c>
      <c r="W2295" s="182" t="n">
        <v>0</v>
      </c>
      <c r="X2295" s="182" t="n">
        <v>0.97</v>
      </c>
      <c r="Y2295" s="182" t="n">
        <v>0</v>
      </c>
      <c r="Z2295" s="182" t="n">
        <v>0</v>
      </c>
      <c r="AA2295" s="182" t="n">
        <v>0</v>
      </c>
      <c r="AB2295" s="182" t="n">
        <v>0</v>
      </c>
      <c r="AC2295" s="182" t="n">
        <v>0</v>
      </c>
      <c r="AD2295" s="182" t="n">
        <v>0</v>
      </c>
      <c r="AE2295" s="182" t="n">
        <v>0</v>
      </c>
      <c r="AF2295" s="182" t="n">
        <v>0</v>
      </c>
      <c r="AG2295" s="182" t="n">
        <v>0</v>
      </c>
      <c r="AH2295" s="182" t="n">
        <v>0</v>
      </c>
      <c r="AI2295" s="182" t="n">
        <v>1.83</v>
      </c>
      <c r="AJ2295" s="182" t="n">
        <v>0</v>
      </c>
      <c r="AK2295" s="182" t="n">
        <v>0</v>
      </c>
      <c r="AL2295" s="182" t="n">
        <v>0</v>
      </c>
      <c r="AM2295" s="182" t="n">
        <v>0.08</v>
      </c>
      <c r="AN2295" s="182" t="n">
        <v>0</v>
      </c>
    </row>
    <row r="2296">
      <c r="A2296" s="155" t="n">
        <v>46092</v>
      </c>
      <c r="B2296" s="156" t="inlineStr">
        <is>
          <t>DS</t>
        </is>
      </c>
      <c r="C2296" s="156" t="inlineStr">
        <is>
          <t>DT-526</t>
        </is>
      </c>
      <c r="D2296" s="156" t="inlineStr">
        <is>
          <t>SKT 105S</t>
        </is>
      </c>
      <c r="E2296" s="156" t="inlineStr">
        <is>
          <t>Hauler</t>
        </is>
      </c>
      <c r="F2296" s="156" t="inlineStr">
        <is>
          <t>Hauling OB</t>
        </is>
      </c>
      <c r="G2296" s="182" t="n">
        <v>5.47</v>
      </c>
      <c r="H2296" s="182" t="n">
        <v>0</v>
      </c>
      <c r="I2296" s="182" t="n">
        <v>0</v>
      </c>
      <c r="J2296" s="182" t="n">
        <v>0</v>
      </c>
      <c r="K2296" s="182" t="n">
        <v>6.53</v>
      </c>
      <c r="L2296" s="182" t="n">
        <v>12</v>
      </c>
      <c r="M2296" s="182" t="n">
        <v>5.47</v>
      </c>
      <c r="N2296" s="182" t="n">
        <v>0</v>
      </c>
      <c r="O2296" s="183" t="n">
        <v>16</v>
      </c>
      <c r="P2296" s="183" t="n">
        <v>0</v>
      </c>
      <c r="Q2296" s="184" t="n">
        <v>261.1</v>
      </c>
      <c r="R2296" s="184" t="n">
        <v>0</v>
      </c>
      <c r="S2296" s="183" t="n">
        <v>0</v>
      </c>
      <c r="T2296" s="183" t="n">
        <v>0</v>
      </c>
      <c r="U2296" s="182" t="n">
        <v>3.29</v>
      </c>
      <c r="V2296" s="182" t="n">
        <v>1.62</v>
      </c>
      <c r="W2296" s="182" t="n">
        <v>0</v>
      </c>
      <c r="X2296" s="182" t="n">
        <v>0.93</v>
      </c>
      <c r="Y2296" s="182" t="n">
        <v>0</v>
      </c>
      <c r="Z2296" s="182" t="n">
        <v>0.09</v>
      </c>
      <c r="AA2296" s="182" t="n">
        <v>0</v>
      </c>
      <c r="AB2296" s="182" t="n">
        <v>0</v>
      </c>
      <c r="AC2296" s="182" t="n">
        <v>0</v>
      </c>
      <c r="AD2296" s="182" t="n">
        <v>0</v>
      </c>
      <c r="AE2296" s="182" t="n">
        <v>0</v>
      </c>
      <c r="AF2296" s="182" t="n">
        <v>0</v>
      </c>
      <c r="AG2296" s="182" t="n">
        <v>0</v>
      </c>
      <c r="AH2296" s="182" t="n">
        <v>0.51</v>
      </c>
      <c r="AI2296" s="182" t="n">
        <v>0</v>
      </c>
      <c r="AJ2296" s="182" t="n">
        <v>0</v>
      </c>
      <c r="AK2296" s="182" t="n">
        <v>0</v>
      </c>
      <c r="AL2296" s="182" t="n">
        <v>0</v>
      </c>
      <c r="AM2296" s="182" t="n">
        <v>0.07000000000000001</v>
      </c>
      <c r="AN2296" s="182" t="n">
        <v>0</v>
      </c>
    </row>
    <row r="2297">
      <c r="A2297" s="155" t="n">
        <v>46092</v>
      </c>
      <c r="B2297" s="156" t="inlineStr">
        <is>
          <t>DS</t>
        </is>
      </c>
      <c r="C2297" s="156" t="inlineStr">
        <is>
          <t>DT-508</t>
        </is>
      </c>
      <c r="D2297" s="156" t="inlineStr">
        <is>
          <t>SKT 105S</t>
        </is>
      </c>
      <c r="E2297" s="156" t="inlineStr">
        <is>
          <t>Hauler</t>
        </is>
      </c>
      <c r="F2297" s="156" t="inlineStr"/>
      <c r="G2297" s="182" t="n">
        <v>0</v>
      </c>
      <c r="H2297" s="182" t="n">
        <v>0</v>
      </c>
      <c r="I2297" s="182" t="n">
        <v>8.9</v>
      </c>
      <c r="J2297" s="182" t="n">
        <v>8.9</v>
      </c>
      <c r="K2297" s="182" t="n">
        <v>3.1</v>
      </c>
      <c r="L2297" s="182" t="n">
        <v>12</v>
      </c>
      <c r="M2297" s="182" t="n">
        <v>0</v>
      </c>
      <c r="N2297" s="182" t="n">
        <v>0</v>
      </c>
      <c r="O2297" s="183" t="n">
        <v>0</v>
      </c>
      <c r="P2297" s="183" t="n">
        <v>0</v>
      </c>
      <c r="Q2297" s="184" t="n">
        <v>0</v>
      </c>
      <c r="R2297" s="184" t="n">
        <v>0</v>
      </c>
      <c r="S2297" s="183" t="n">
        <v>0</v>
      </c>
      <c r="T2297" s="183" t="n">
        <v>0</v>
      </c>
      <c r="U2297" s="182" t="n">
        <v>1</v>
      </c>
      <c r="V2297" s="182" t="n">
        <v>0.57</v>
      </c>
      <c r="W2297" s="182" t="n">
        <v>0</v>
      </c>
      <c r="X2297" s="182" t="n">
        <v>1</v>
      </c>
      <c r="Y2297" s="182" t="n">
        <v>0</v>
      </c>
      <c r="Z2297" s="182" t="n">
        <v>0</v>
      </c>
      <c r="AA2297" s="182" t="n">
        <v>0</v>
      </c>
      <c r="AB2297" s="182" t="n">
        <v>0</v>
      </c>
      <c r="AC2297" s="182" t="n">
        <v>0</v>
      </c>
      <c r="AD2297" s="182" t="n">
        <v>0</v>
      </c>
      <c r="AE2297" s="182" t="n">
        <v>0</v>
      </c>
      <c r="AF2297" s="182" t="n">
        <v>0</v>
      </c>
      <c r="AG2297" s="182" t="n">
        <v>0</v>
      </c>
      <c r="AH2297" s="182" t="n">
        <v>0</v>
      </c>
      <c r="AI2297" s="182" t="n">
        <v>0</v>
      </c>
      <c r="AJ2297" s="182" t="n">
        <v>0</v>
      </c>
      <c r="AK2297" s="182" t="n">
        <v>0.45</v>
      </c>
      <c r="AL2297" s="182" t="n">
        <v>0</v>
      </c>
      <c r="AM2297" s="182" t="n">
        <v>0.08</v>
      </c>
      <c r="AN2297" s="182" t="n">
        <v>0</v>
      </c>
    </row>
    <row r="2298">
      <c r="A2298" s="155" t="n">
        <v>46092</v>
      </c>
      <c r="B2298" s="156" t="inlineStr">
        <is>
          <t>DS</t>
        </is>
      </c>
      <c r="C2298" s="156" t="inlineStr">
        <is>
          <t>DT-515</t>
        </is>
      </c>
      <c r="D2298" s="156" t="inlineStr">
        <is>
          <t>SKT 105S</t>
        </is>
      </c>
      <c r="E2298" s="156" t="inlineStr">
        <is>
          <t>Hauler</t>
        </is>
      </c>
      <c r="F2298" s="156" t="inlineStr">
        <is>
          <t>Hauling OB</t>
        </is>
      </c>
      <c r="G2298" s="182" t="n">
        <v>5.11</v>
      </c>
      <c r="H2298" s="182" t="n">
        <v>0</v>
      </c>
      <c r="I2298" s="182" t="n">
        <v>0.98</v>
      </c>
      <c r="J2298" s="182" t="n">
        <v>0.98</v>
      </c>
      <c r="K2298" s="182" t="n">
        <v>5.91</v>
      </c>
      <c r="L2298" s="182" t="n">
        <v>12</v>
      </c>
      <c r="M2298" s="182" t="n">
        <v>5.11</v>
      </c>
      <c r="N2298" s="182" t="n">
        <v>0</v>
      </c>
      <c r="O2298" s="183" t="n">
        <v>16</v>
      </c>
      <c r="P2298" s="183" t="n">
        <v>0</v>
      </c>
      <c r="Q2298" s="184" t="n">
        <v>261.1</v>
      </c>
      <c r="R2298" s="184" t="n">
        <v>0</v>
      </c>
      <c r="S2298" s="183" t="n">
        <v>0</v>
      </c>
      <c r="T2298" s="183" t="n">
        <v>0</v>
      </c>
      <c r="U2298" s="182" t="n">
        <v>3.58</v>
      </c>
      <c r="V2298" s="182" t="n">
        <v>1.12</v>
      </c>
      <c r="W2298" s="182" t="n">
        <v>0</v>
      </c>
      <c r="X2298" s="182" t="n">
        <v>1.02</v>
      </c>
      <c r="Y2298" s="182" t="n">
        <v>0</v>
      </c>
      <c r="Z2298" s="182" t="n">
        <v>0.1</v>
      </c>
      <c r="AA2298" s="182" t="n">
        <v>0</v>
      </c>
      <c r="AB2298" s="182" t="n">
        <v>0</v>
      </c>
      <c r="AC2298" s="182" t="n">
        <v>0</v>
      </c>
      <c r="AD2298" s="182" t="n">
        <v>0</v>
      </c>
      <c r="AE2298" s="182" t="n">
        <v>0</v>
      </c>
      <c r="AF2298" s="182" t="n">
        <v>0</v>
      </c>
      <c r="AG2298" s="182" t="n">
        <v>0</v>
      </c>
      <c r="AH2298" s="182" t="n">
        <v>0</v>
      </c>
      <c r="AI2298" s="182" t="n">
        <v>0</v>
      </c>
      <c r="AJ2298" s="182" t="n">
        <v>0</v>
      </c>
      <c r="AK2298" s="182" t="n">
        <v>0</v>
      </c>
      <c r="AL2298" s="182" t="n">
        <v>0</v>
      </c>
      <c r="AM2298" s="182" t="n">
        <v>0.08</v>
      </c>
      <c r="AN2298" s="182" t="n">
        <v>0</v>
      </c>
    </row>
    <row r="2299">
      <c r="A2299" s="155" t="n">
        <v>46092</v>
      </c>
      <c r="B2299" s="156" t="inlineStr">
        <is>
          <t>DS</t>
        </is>
      </c>
      <c r="C2299" s="156" t="inlineStr">
        <is>
          <t>DT-524</t>
        </is>
      </c>
      <c r="D2299" s="156" t="inlineStr">
        <is>
          <t>SKT 105S</t>
        </is>
      </c>
      <c r="E2299" s="156" t="inlineStr">
        <is>
          <t>Hauler</t>
        </is>
      </c>
      <c r="F2299" s="156" t="inlineStr">
        <is>
          <t>Hauling OB</t>
        </is>
      </c>
      <c r="G2299" s="182" t="n">
        <v>2.66</v>
      </c>
      <c r="H2299" s="182" t="n">
        <v>0</v>
      </c>
      <c r="I2299" s="182" t="n">
        <v>2.85</v>
      </c>
      <c r="J2299" s="182" t="n">
        <v>2.85</v>
      </c>
      <c r="K2299" s="182" t="n">
        <v>6.49</v>
      </c>
      <c r="L2299" s="182" t="n">
        <v>12</v>
      </c>
      <c r="M2299" s="182" t="n">
        <v>2.66</v>
      </c>
      <c r="N2299" s="182" t="n">
        <v>0</v>
      </c>
      <c r="O2299" s="183" t="n">
        <v>7</v>
      </c>
      <c r="P2299" s="183" t="n">
        <v>0</v>
      </c>
      <c r="Q2299" s="184" t="n">
        <v>117.8</v>
      </c>
      <c r="R2299" s="184" t="n">
        <v>0</v>
      </c>
      <c r="S2299" s="183" t="n">
        <v>0</v>
      </c>
      <c r="T2299" s="183" t="n">
        <v>0</v>
      </c>
      <c r="U2299" s="182" t="n">
        <v>3.61</v>
      </c>
      <c r="V2299" s="182" t="n">
        <v>1.78</v>
      </c>
      <c r="W2299" s="182" t="n">
        <v>0</v>
      </c>
      <c r="X2299" s="182" t="n">
        <v>1.02</v>
      </c>
      <c r="Y2299" s="182" t="n">
        <v>0</v>
      </c>
      <c r="Z2299" s="182" t="n">
        <v>0</v>
      </c>
      <c r="AA2299" s="182" t="n">
        <v>0</v>
      </c>
      <c r="AB2299" s="182" t="n">
        <v>0</v>
      </c>
      <c r="AC2299" s="182" t="n">
        <v>0</v>
      </c>
      <c r="AD2299" s="182" t="n">
        <v>0</v>
      </c>
      <c r="AE2299" s="182" t="n">
        <v>0</v>
      </c>
      <c r="AF2299" s="182" t="n">
        <v>0</v>
      </c>
      <c r="AG2299" s="182" t="n">
        <v>0</v>
      </c>
      <c r="AH2299" s="182" t="n">
        <v>0</v>
      </c>
      <c r="AI2299" s="182" t="n">
        <v>0</v>
      </c>
      <c r="AJ2299" s="182" t="n">
        <v>0</v>
      </c>
      <c r="AK2299" s="182" t="n">
        <v>0</v>
      </c>
      <c r="AL2299" s="182" t="n">
        <v>0</v>
      </c>
      <c r="AM2299" s="182" t="n">
        <v>0.08</v>
      </c>
      <c r="AN2299" s="182" t="n">
        <v>0</v>
      </c>
    </row>
    <row r="2300">
      <c r="A2300" s="155" t="n">
        <v>46092</v>
      </c>
      <c r="B2300" s="156" t="inlineStr">
        <is>
          <t>DS</t>
        </is>
      </c>
      <c r="C2300" s="156" t="inlineStr">
        <is>
          <t>DT-341</t>
        </is>
      </c>
      <c r="D2300" s="156" t="inlineStr">
        <is>
          <t>SYZ324C-8W</t>
        </is>
      </c>
      <c r="E2300" s="156" t="inlineStr">
        <is>
          <t>Hauler</t>
        </is>
      </c>
      <c r="F2300" s="156" t="inlineStr">
        <is>
          <t>Rehandling Dirty</t>
        </is>
      </c>
      <c r="G2300" s="182" t="n">
        <v>4.89</v>
      </c>
      <c r="H2300" s="182" t="n">
        <v>0</v>
      </c>
      <c r="I2300" s="182" t="n">
        <v>0</v>
      </c>
      <c r="J2300" s="182" t="n">
        <v>0</v>
      </c>
      <c r="K2300" s="182" t="n">
        <v>7.11</v>
      </c>
      <c r="L2300" s="182" t="n">
        <v>12</v>
      </c>
      <c r="M2300" s="182" t="n">
        <v>0</v>
      </c>
      <c r="N2300" s="182" t="n">
        <v>0</v>
      </c>
      <c r="O2300" s="183" t="n">
        <v>0</v>
      </c>
      <c r="P2300" s="183" t="n">
        <v>0</v>
      </c>
      <c r="Q2300" s="184" t="n">
        <v>0</v>
      </c>
      <c r="R2300" s="184" t="n">
        <v>0</v>
      </c>
      <c r="S2300" s="183" t="n">
        <v>0</v>
      </c>
      <c r="T2300" s="183" t="n">
        <v>0</v>
      </c>
      <c r="U2300" s="182" t="n">
        <v>0</v>
      </c>
      <c r="V2300" s="182" t="n">
        <v>0</v>
      </c>
      <c r="W2300" s="182" t="n">
        <v>0</v>
      </c>
      <c r="X2300" s="182" t="n">
        <v>1.05</v>
      </c>
      <c r="Y2300" s="182" t="n">
        <v>0</v>
      </c>
      <c r="Z2300" s="182" t="n">
        <v>0</v>
      </c>
      <c r="AA2300" s="182" t="n">
        <v>0</v>
      </c>
      <c r="AB2300" s="182" t="n">
        <v>0</v>
      </c>
      <c r="AC2300" s="182" t="n">
        <v>0</v>
      </c>
      <c r="AD2300" s="182" t="n">
        <v>0</v>
      </c>
      <c r="AE2300" s="182" t="n">
        <v>0</v>
      </c>
      <c r="AF2300" s="182" t="n">
        <v>0</v>
      </c>
      <c r="AG2300" s="182" t="n">
        <v>0</v>
      </c>
      <c r="AH2300" s="182" t="n">
        <v>0</v>
      </c>
      <c r="AI2300" s="182" t="n">
        <v>0</v>
      </c>
      <c r="AJ2300" s="182" t="n">
        <v>0</v>
      </c>
      <c r="AK2300" s="182" t="n">
        <v>5.98</v>
      </c>
      <c r="AL2300" s="182" t="n">
        <v>0</v>
      </c>
      <c r="AM2300" s="182" t="n">
        <v>0.08</v>
      </c>
      <c r="AN2300" s="182" t="n">
        <v>0</v>
      </c>
    </row>
    <row r="2301">
      <c r="A2301" s="155" t="n">
        <v>46092</v>
      </c>
      <c r="B2301" s="156" t="inlineStr">
        <is>
          <t>DS</t>
        </is>
      </c>
      <c r="C2301" s="156" t="inlineStr">
        <is>
          <t>DT-342</t>
        </is>
      </c>
      <c r="D2301" s="156" t="inlineStr">
        <is>
          <t>SYZ324C-8W</t>
        </is>
      </c>
      <c r="E2301" s="156" t="inlineStr">
        <is>
          <t>Hauler</t>
        </is>
      </c>
      <c r="F2301" s="156" t="inlineStr">
        <is>
          <t>Rehandling Dirty</t>
        </is>
      </c>
      <c r="G2301" s="182" t="n">
        <v>5.47</v>
      </c>
      <c r="H2301" s="182" t="n">
        <v>0</v>
      </c>
      <c r="I2301" s="182" t="n">
        <v>0</v>
      </c>
      <c r="J2301" s="182" t="n">
        <v>0</v>
      </c>
      <c r="K2301" s="182" t="n">
        <v>6.53</v>
      </c>
      <c r="L2301" s="182" t="n">
        <v>12</v>
      </c>
      <c r="M2301" s="182" t="n">
        <v>0</v>
      </c>
      <c r="N2301" s="182" t="n">
        <v>0</v>
      </c>
      <c r="O2301" s="183" t="n">
        <v>0</v>
      </c>
      <c r="P2301" s="183" t="n">
        <v>0</v>
      </c>
      <c r="Q2301" s="184" t="n">
        <v>0</v>
      </c>
      <c r="R2301" s="184" t="n">
        <v>0</v>
      </c>
      <c r="S2301" s="183" t="n">
        <v>0</v>
      </c>
      <c r="T2301" s="183" t="n">
        <v>0</v>
      </c>
      <c r="U2301" s="182" t="n">
        <v>0</v>
      </c>
      <c r="V2301" s="182" t="n">
        <v>0</v>
      </c>
      <c r="W2301" s="182" t="n">
        <v>0</v>
      </c>
      <c r="X2301" s="182" t="n">
        <v>0.96</v>
      </c>
      <c r="Y2301" s="182" t="n">
        <v>0</v>
      </c>
      <c r="Z2301" s="182" t="n">
        <v>0</v>
      </c>
      <c r="AA2301" s="182" t="n">
        <v>0</v>
      </c>
      <c r="AB2301" s="182" t="n">
        <v>0</v>
      </c>
      <c r="AC2301" s="182" t="n">
        <v>0</v>
      </c>
      <c r="AD2301" s="182" t="n">
        <v>0</v>
      </c>
      <c r="AE2301" s="182" t="n">
        <v>0</v>
      </c>
      <c r="AF2301" s="182" t="n">
        <v>0</v>
      </c>
      <c r="AG2301" s="182" t="n">
        <v>0</v>
      </c>
      <c r="AH2301" s="182" t="n">
        <v>0</v>
      </c>
      <c r="AI2301" s="182" t="n">
        <v>0</v>
      </c>
      <c r="AJ2301" s="182" t="n">
        <v>0</v>
      </c>
      <c r="AK2301" s="182" t="n">
        <v>5.49</v>
      </c>
      <c r="AL2301" s="182" t="n">
        <v>0</v>
      </c>
      <c r="AM2301" s="182" t="n">
        <v>0.08</v>
      </c>
      <c r="AN2301" s="182" t="n">
        <v>0</v>
      </c>
    </row>
    <row r="2302">
      <c r="A2302" s="155" t="n">
        <v>46092</v>
      </c>
      <c r="B2302" s="156" t="inlineStr">
        <is>
          <t>DS</t>
        </is>
      </c>
      <c r="C2302" s="156" t="inlineStr">
        <is>
          <t>HD-903</t>
        </is>
      </c>
      <c r="D2302" s="156" t="inlineStr">
        <is>
          <t>SRT 95C</t>
        </is>
      </c>
      <c r="E2302" s="156" t="inlineStr">
        <is>
          <t>Hauler</t>
        </is>
      </c>
      <c r="F2302" s="156" t="inlineStr"/>
      <c r="G2302" s="182" t="n">
        <v>0</v>
      </c>
      <c r="H2302" s="182" t="n">
        <v>0</v>
      </c>
      <c r="I2302" s="182" t="n">
        <v>12</v>
      </c>
      <c r="J2302" s="182" t="n">
        <v>12</v>
      </c>
      <c r="K2302" s="182" t="n">
        <v>0</v>
      </c>
      <c r="L2302" s="182" t="n">
        <v>12</v>
      </c>
      <c r="M2302" s="182" t="n">
        <v>0</v>
      </c>
      <c r="N2302" s="182" t="n">
        <v>0</v>
      </c>
      <c r="O2302" s="183" t="n">
        <v>0</v>
      </c>
      <c r="P2302" s="183" t="n">
        <v>0</v>
      </c>
      <c r="Q2302" s="184" t="n">
        <v>0</v>
      </c>
      <c r="R2302" s="184" t="n">
        <v>0</v>
      </c>
      <c r="S2302" s="183" t="n">
        <v>0</v>
      </c>
      <c r="T2302" s="183" t="n">
        <v>0</v>
      </c>
      <c r="U2302" s="182" t="n">
        <v>0</v>
      </c>
      <c r="V2302" s="182" t="n">
        <v>0</v>
      </c>
      <c r="W2302" s="182" t="n">
        <v>0</v>
      </c>
      <c r="X2302" s="182" t="n">
        <v>0</v>
      </c>
      <c r="Y2302" s="182" t="n">
        <v>0</v>
      </c>
      <c r="Z2302" s="182" t="n">
        <v>0</v>
      </c>
      <c r="AA2302" s="182" t="n">
        <v>0</v>
      </c>
      <c r="AB2302" s="182" t="n">
        <v>0</v>
      </c>
      <c r="AC2302" s="182" t="n">
        <v>0</v>
      </c>
      <c r="AD2302" s="182" t="n">
        <v>0</v>
      </c>
      <c r="AE2302" s="182" t="n">
        <v>0</v>
      </c>
      <c r="AF2302" s="182" t="n">
        <v>0</v>
      </c>
      <c r="AG2302" s="182" t="n">
        <v>0</v>
      </c>
      <c r="AH2302" s="182" t="n">
        <v>0</v>
      </c>
      <c r="AI2302" s="182" t="n">
        <v>0</v>
      </c>
      <c r="AJ2302" s="182" t="n">
        <v>0</v>
      </c>
      <c r="AK2302" s="182" t="n">
        <v>0</v>
      </c>
      <c r="AL2302" s="182" t="n">
        <v>0</v>
      </c>
      <c r="AM2302" s="182" t="n">
        <v>0</v>
      </c>
      <c r="AN2302" s="182" t="n">
        <v>0</v>
      </c>
    </row>
    <row r="2303">
      <c r="A2303" s="155" t="n">
        <v>46092</v>
      </c>
      <c r="B2303" s="156" t="inlineStr">
        <is>
          <t>DS</t>
        </is>
      </c>
      <c r="C2303" s="156" t="inlineStr">
        <is>
          <t>HD-905</t>
        </is>
      </c>
      <c r="D2303" s="156" t="inlineStr">
        <is>
          <t>SRT 95C</t>
        </is>
      </c>
      <c r="E2303" s="156" t="inlineStr">
        <is>
          <t>Hauler</t>
        </is>
      </c>
      <c r="F2303" s="156" t="inlineStr">
        <is>
          <t>Hauling OB</t>
        </is>
      </c>
      <c r="G2303" s="182" t="n">
        <v>5.58</v>
      </c>
      <c r="H2303" s="182" t="n">
        <v>0</v>
      </c>
      <c r="I2303" s="182" t="n">
        <v>0</v>
      </c>
      <c r="J2303" s="182" t="n">
        <v>0</v>
      </c>
      <c r="K2303" s="182" t="n">
        <v>6.42</v>
      </c>
      <c r="L2303" s="182" t="n">
        <v>12</v>
      </c>
      <c r="M2303" s="182" t="n">
        <v>5.58</v>
      </c>
      <c r="N2303" s="182" t="n">
        <v>0</v>
      </c>
      <c r="O2303" s="183" t="n">
        <v>24</v>
      </c>
      <c r="P2303" s="183" t="n">
        <v>0</v>
      </c>
      <c r="Q2303" s="184" t="n">
        <v>821.1</v>
      </c>
      <c r="R2303" s="184" t="n">
        <v>0</v>
      </c>
      <c r="S2303" s="183" t="n">
        <v>0</v>
      </c>
      <c r="T2303" s="183" t="n">
        <v>0</v>
      </c>
      <c r="U2303" s="182" t="n">
        <v>3.38</v>
      </c>
      <c r="V2303" s="182" t="n">
        <v>1.91</v>
      </c>
      <c r="W2303" s="182" t="n">
        <v>0</v>
      </c>
      <c r="X2303" s="182" t="n">
        <v>0.96</v>
      </c>
      <c r="Y2303" s="182" t="n">
        <v>0</v>
      </c>
      <c r="Z2303" s="182" t="n">
        <v>0.1</v>
      </c>
      <c r="AA2303" s="182" t="n">
        <v>0</v>
      </c>
      <c r="AB2303" s="182" t="n">
        <v>0</v>
      </c>
      <c r="AC2303" s="182" t="n">
        <v>0</v>
      </c>
      <c r="AD2303" s="182" t="n">
        <v>0</v>
      </c>
      <c r="AE2303" s="182" t="n">
        <v>0</v>
      </c>
      <c r="AF2303" s="182" t="n">
        <v>0</v>
      </c>
      <c r="AG2303" s="182" t="n">
        <v>0</v>
      </c>
      <c r="AH2303" s="182" t="n">
        <v>0</v>
      </c>
      <c r="AI2303" s="182" t="n">
        <v>0</v>
      </c>
      <c r="AJ2303" s="182" t="n">
        <v>0</v>
      </c>
      <c r="AK2303" s="182" t="n">
        <v>0</v>
      </c>
      <c r="AL2303" s="182" t="n">
        <v>0</v>
      </c>
      <c r="AM2303" s="182" t="n">
        <v>0.08</v>
      </c>
      <c r="AN2303" s="182" t="n">
        <v>0</v>
      </c>
    </row>
    <row r="2304">
      <c r="A2304" s="155" t="n">
        <v>46092</v>
      </c>
      <c r="B2304" s="156" t="inlineStr">
        <is>
          <t>DS</t>
        </is>
      </c>
      <c r="C2304" s="156" t="inlineStr">
        <is>
          <t>HD-901</t>
        </is>
      </c>
      <c r="D2304" s="156" t="inlineStr">
        <is>
          <t>SRT 95C</t>
        </is>
      </c>
      <c r="E2304" s="156" t="inlineStr">
        <is>
          <t>Hauler</t>
        </is>
      </c>
      <c r="F2304" s="156" t="inlineStr">
        <is>
          <t>Hauling OB</t>
        </is>
      </c>
      <c r="G2304" s="182" t="n">
        <v>2.15</v>
      </c>
      <c r="H2304" s="182" t="n">
        <v>0</v>
      </c>
      <c r="I2304" s="182" t="n">
        <v>0</v>
      </c>
      <c r="J2304" s="182" t="n">
        <v>0</v>
      </c>
      <c r="K2304" s="182" t="n">
        <v>9.85</v>
      </c>
      <c r="L2304" s="182" t="n">
        <v>12</v>
      </c>
      <c r="M2304" s="182" t="n">
        <v>2.02</v>
      </c>
      <c r="N2304" s="182" t="n">
        <v>0</v>
      </c>
      <c r="O2304" s="183" t="n">
        <v>6</v>
      </c>
      <c r="P2304" s="183" t="n">
        <v>0</v>
      </c>
      <c r="Q2304" s="184" t="n">
        <v>189.7</v>
      </c>
      <c r="R2304" s="184" t="n">
        <v>0</v>
      </c>
      <c r="S2304" s="183" t="n">
        <v>0</v>
      </c>
      <c r="T2304" s="183" t="n">
        <v>0</v>
      </c>
      <c r="U2304" s="182" t="n">
        <v>3.44</v>
      </c>
      <c r="V2304" s="182" t="n">
        <v>0</v>
      </c>
      <c r="W2304" s="182" t="n">
        <v>0</v>
      </c>
      <c r="X2304" s="182" t="n">
        <v>0.98</v>
      </c>
      <c r="Y2304" s="182" t="n">
        <v>0</v>
      </c>
      <c r="Z2304" s="182" t="n">
        <v>0.1</v>
      </c>
      <c r="AA2304" s="182" t="n">
        <v>0</v>
      </c>
      <c r="AB2304" s="182" t="n">
        <v>0</v>
      </c>
      <c r="AC2304" s="182" t="n">
        <v>0</v>
      </c>
      <c r="AD2304" s="182" t="n">
        <v>0</v>
      </c>
      <c r="AE2304" s="182" t="n">
        <v>0</v>
      </c>
      <c r="AF2304" s="182" t="n">
        <v>0</v>
      </c>
      <c r="AG2304" s="182" t="n">
        <v>0</v>
      </c>
      <c r="AH2304" s="182" t="n">
        <v>0</v>
      </c>
      <c r="AI2304" s="182" t="n">
        <v>5.26</v>
      </c>
      <c r="AJ2304" s="182" t="n">
        <v>0</v>
      </c>
      <c r="AK2304" s="182" t="n">
        <v>0</v>
      </c>
      <c r="AL2304" s="182" t="n">
        <v>0</v>
      </c>
      <c r="AM2304" s="182" t="n">
        <v>0.08</v>
      </c>
      <c r="AN2304" s="182" t="n">
        <v>0</v>
      </c>
    </row>
    <row r="2305">
      <c r="A2305" s="155" t="n">
        <v>46092</v>
      </c>
      <c r="B2305" s="156" t="inlineStr">
        <is>
          <t>DS</t>
        </is>
      </c>
      <c r="C2305" s="156" t="inlineStr">
        <is>
          <t>HD-904</t>
        </is>
      </c>
      <c r="D2305" s="156" t="inlineStr">
        <is>
          <t>SRT 95C</t>
        </is>
      </c>
      <c r="E2305" s="156" t="inlineStr">
        <is>
          <t>Hauler</t>
        </is>
      </c>
      <c r="F2305" s="156" t="inlineStr">
        <is>
          <t>Hauling OB</t>
        </is>
      </c>
      <c r="G2305" s="182" t="n">
        <v>5.98</v>
      </c>
      <c r="H2305" s="182" t="n">
        <v>0</v>
      </c>
      <c r="I2305" s="182" t="n">
        <v>0</v>
      </c>
      <c r="J2305" s="182" t="n">
        <v>0</v>
      </c>
      <c r="K2305" s="182" t="n">
        <v>6.02</v>
      </c>
      <c r="L2305" s="182" t="n">
        <v>12</v>
      </c>
      <c r="M2305" s="182" t="n">
        <v>5.98</v>
      </c>
      <c r="N2305" s="182" t="n">
        <v>0</v>
      </c>
      <c r="O2305" s="183" t="n">
        <v>26</v>
      </c>
      <c r="P2305" s="183" t="n">
        <v>0</v>
      </c>
      <c r="Q2305" s="184" t="n">
        <v>888.5</v>
      </c>
      <c r="R2305" s="184" t="n">
        <v>0</v>
      </c>
      <c r="S2305" s="183" t="n">
        <v>0</v>
      </c>
      <c r="T2305" s="183" t="n">
        <v>0</v>
      </c>
      <c r="U2305" s="182" t="n">
        <v>3.6</v>
      </c>
      <c r="V2305" s="182" t="n">
        <v>1.21</v>
      </c>
      <c r="W2305" s="182" t="n">
        <v>0</v>
      </c>
      <c r="X2305" s="182" t="n">
        <v>1.02</v>
      </c>
      <c r="Y2305" s="182" t="n">
        <v>0</v>
      </c>
      <c r="Z2305" s="182" t="n">
        <v>0.1</v>
      </c>
      <c r="AA2305" s="182" t="n">
        <v>0</v>
      </c>
      <c r="AB2305" s="182" t="n">
        <v>0</v>
      </c>
      <c r="AC2305" s="182" t="n">
        <v>0</v>
      </c>
      <c r="AD2305" s="182" t="n">
        <v>0</v>
      </c>
      <c r="AE2305" s="182" t="n">
        <v>0</v>
      </c>
      <c r="AF2305" s="182" t="n">
        <v>0</v>
      </c>
      <c r="AG2305" s="182" t="n">
        <v>0</v>
      </c>
      <c r="AH2305" s="182" t="n">
        <v>0</v>
      </c>
      <c r="AI2305" s="182" t="n">
        <v>0</v>
      </c>
      <c r="AJ2305" s="182" t="n">
        <v>0</v>
      </c>
      <c r="AK2305" s="182" t="n">
        <v>0</v>
      </c>
      <c r="AL2305" s="182" t="n">
        <v>0</v>
      </c>
      <c r="AM2305" s="182" t="n">
        <v>0.08</v>
      </c>
      <c r="AN2305" s="182" t="n">
        <v>0</v>
      </c>
    </row>
    <row r="2306">
      <c r="A2306" s="155" t="n">
        <v>46092</v>
      </c>
      <c r="B2306" s="156" t="inlineStr">
        <is>
          <t>DS</t>
        </is>
      </c>
      <c r="C2306" s="156" t="inlineStr">
        <is>
          <t>HD-902</t>
        </is>
      </c>
      <c r="D2306" s="156" t="inlineStr">
        <is>
          <t>SRT 95C</t>
        </is>
      </c>
      <c r="E2306" s="156" t="inlineStr">
        <is>
          <t>Hauler</t>
        </is>
      </c>
      <c r="F2306" s="156" t="inlineStr">
        <is>
          <t>Hauling OB</t>
        </is>
      </c>
      <c r="G2306" s="182" t="n">
        <v>3.9</v>
      </c>
      <c r="H2306" s="182" t="n">
        <v>0</v>
      </c>
      <c r="I2306" s="182" t="n">
        <v>1.67</v>
      </c>
      <c r="J2306" s="182" t="n">
        <v>1.67</v>
      </c>
      <c r="K2306" s="182" t="n">
        <v>6.43</v>
      </c>
      <c r="L2306" s="182" t="n">
        <v>12</v>
      </c>
      <c r="M2306" s="182" t="n">
        <v>3.9</v>
      </c>
      <c r="N2306" s="182" t="n">
        <v>0</v>
      </c>
      <c r="O2306" s="183" t="n">
        <v>18</v>
      </c>
      <c r="P2306" s="183" t="n">
        <v>0</v>
      </c>
      <c r="Q2306" s="184" t="n">
        <v>642.6</v>
      </c>
      <c r="R2306" s="184" t="n">
        <v>0</v>
      </c>
      <c r="S2306" s="183" t="n">
        <v>0</v>
      </c>
      <c r="T2306" s="183" t="n">
        <v>0</v>
      </c>
      <c r="U2306" s="182" t="n">
        <v>3.48</v>
      </c>
      <c r="V2306" s="182" t="n">
        <v>1.79</v>
      </c>
      <c r="W2306" s="182" t="n">
        <v>0</v>
      </c>
      <c r="X2306" s="182" t="n">
        <v>0.98</v>
      </c>
      <c r="Y2306" s="182" t="n">
        <v>0</v>
      </c>
      <c r="Z2306" s="182" t="n">
        <v>0.1</v>
      </c>
      <c r="AA2306" s="182" t="n">
        <v>0</v>
      </c>
      <c r="AB2306" s="182" t="n">
        <v>0</v>
      </c>
      <c r="AC2306" s="182" t="n">
        <v>0</v>
      </c>
      <c r="AD2306" s="182" t="n">
        <v>0</v>
      </c>
      <c r="AE2306" s="182" t="n">
        <v>0</v>
      </c>
      <c r="AF2306" s="182" t="n">
        <v>0</v>
      </c>
      <c r="AG2306" s="182" t="n">
        <v>0</v>
      </c>
      <c r="AH2306" s="182" t="n">
        <v>0</v>
      </c>
      <c r="AI2306" s="182" t="n">
        <v>0</v>
      </c>
      <c r="AJ2306" s="182" t="n">
        <v>0</v>
      </c>
      <c r="AK2306" s="182" t="n">
        <v>0</v>
      </c>
      <c r="AL2306" s="182" t="n">
        <v>0</v>
      </c>
      <c r="AM2306" s="182" t="n">
        <v>0.08</v>
      </c>
      <c r="AN2306" s="182" t="n">
        <v>0</v>
      </c>
    </row>
    <row r="2307">
      <c r="A2307" s="155" t="n">
        <v>46092</v>
      </c>
      <c r="B2307" s="156" t="inlineStr">
        <is>
          <t>DS</t>
        </is>
      </c>
      <c r="C2307" s="156" t="inlineStr">
        <is>
          <t>WL-025</t>
        </is>
      </c>
      <c r="D2307" s="156" t="inlineStr">
        <is>
          <t>SANY - Loader</t>
        </is>
      </c>
      <c r="E2307" s="156" t="inlineStr">
        <is>
          <t>Loader</t>
        </is>
      </c>
      <c r="F2307" s="156" t="inlineStr"/>
      <c r="G2307" s="182" t="n">
        <v>0</v>
      </c>
      <c r="H2307" s="182" t="n">
        <v>0</v>
      </c>
      <c r="I2307" s="182" t="n">
        <v>0</v>
      </c>
      <c r="J2307" s="182" t="n">
        <v>0</v>
      </c>
      <c r="K2307" s="182" t="n">
        <v>12</v>
      </c>
      <c r="L2307" s="182" t="n">
        <v>12</v>
      </c>
      <c r="M2307" s="182" t="n">
        <v>0</v>
      </c>
      <c r="N2307" s="182" t="n">
        <v>0</v>
      </c>
      <c r="O2307" s="183" t="n">
        <v>0</v>
      </c>
      <c r="P2307" s="183" t="n">
        <v>0</v>
      </c>
      <c r="Q2307" s="184" t="n">
        <v>0</v>
      </c>
      <c r="R2307" s="184" t="n">
        <v>0</v>
      </c>
      <c r="S2307" s="183" t="n">
        <v>0</v>
      </c>
      <c r="T2307" s="183" t="n">
        <v>0</v>
      </c>
      <c r="U2307" s="182" t="n">
        <v>0</v>
      </c>
      <c r="V2307" s="182" t="n">
        <v>0</v>
      </c>
      <c r="W2307" s="182" t="n">
        <v>0</v>
      </c>
      <c r="X2307" s="182" t="n">
        <v>1</v>
      </c>
      <c r="Y2307" s="182" t="n">
        <v>0</v>
      </c>
      <c r="Z2307" s="182" t="n">
        <v>0</v>
      </c>
      <c r="AA2307" s="182" t="n">
        <v>0</v>
      </c>
      <c r="AB2307" s="182" t="n">
        <v>0</v>
      </c>
      <c r="AC2307" s="182" t="n">
        <v>0</v>
      </c>
      <c r="AD2307" s="182" t="n">
        <v>0</v>
      </c>
      <c r="AE2307" s="182" t="n">
        <v>0</v>
      </c>
      <c r="AF2307" s="182" t="n">
        <v>0</v>
      </c>
      <c r="AG2307" s="182" t="n">
        <v>0</v>
      </c>
      <c r="AH2307" s="182" t="n">
        <v>0</v>
      </c>
      <c r="AI2307" s="182" t="n">
        <v>0</v>
      </c>
      <c r="AJ2307" s="182" t="n">
        <v>0</v>
      </c>
      <c r="AK2307" s="182" t="n">
        <v>10.92</v>
      </c>
      <c r="AL2307" s="182" t="n">
        <v>0</v>
      </c>
      <c r="AM2307" s="182" t="n">
        <v>0.08</v>
      </c>
      <c r="AN2307" s="182" t="n">
        <v>0</v>
      </c>
    </row>
    <row r="2308">
      <c r="A2308" s="155" t="n">
        <v>46092</v>
      </c>
      <c r="B2308" s="156" t="inlineStr">
        <is>
          <t>DS</t>
        </is>
      </c>
      <c r="C2308" s="156" t="inlineStr">
        <is>
          <t>WL-023</t>
        </is>
      </c>
      <c r="D2308" s="156" t="inlineStr">
        <is>
          <t>SANY - Loader</t>
        </is>
      </c>
      <c r="E2308" s="156" t="inlineStr">
        <is>
          <t>Loader</t>
        </is>
      </c>
      <c r="F2308" s="156" t="inlineStr"/>
      <c r="G2308" s="182" t="n">
        <v>0</v>
      </c>
      <c r="H2308" s="182" t="n">
        <v>0</v>
      </c>
      <c r="I2308" s="182" t="n">
        <v>0</v>
      </c>
      <c r="J2308" s="182" t="n">
        <v>0</v>
      </c>
      <c r="K2308" s="182" t="n">
        <v>12</v>
      </c>
      <c r="L2308" s="182" t="n">
        <v>12</v>
      </c>
      <c r="M2308" s="182" t="n">
        <v>0</v>
      </c>
      <c r="N2308" s="182" t="n">
        <v>0</v>
      </c>
      <c r="O2308" s="183" t="n">
        <v>0</v>
      </c>
      <c r="P2308" s="183" t="n">
        <v>0</v>
      </c>
      <c r="Q2308" s="184" t="n">
        <v>0</v>
      </c>
      <c r="R2308" s="184" t="n">
        <v>0</v>
      </c>
      <c r="S2308" s="183" t="n">
        <v>0</v>
      </c>
      <c r="T2308" s="183" t="n">
        <v>0</v>
      </c>
      <c r="U2308" s="182" t="n">
        <v>0</v>
      </c>
      <c r="V2308" s="182" t="n">
        <v>0</v>
      </c>
      <c r="W2308" s="182" t="n">
        <v>0</v>
      </c>
      <c r="X2308" s="182" t="n">
        <v>1</v>
      </c>
      <c r="Y2308" s="182" t="n">
        <v>0</v>
      </c>
      <c r="Z2308" s="182" t="n">
        <v>0</v>
      </c>
      <c r="AA2308" s="182" t="n">
        <v>0</v>
      </c>
      <c r="AB2308" s="182" t="n">
        <v>0</v>
      </c>
      <c r="AC2308" s="182" t="n">
        <v>0</v>
      </c>
      <c r="AD2308" s="182" t="n">
        <v>0</v>
      </c>
      <c r="AE2308" s="182" t="n">
        <v>0</v>
      </c>
      <c r="AF2308" s="182" t="n">
        <v>0</v>
      </c>
      <c r="AG2308" s="182" t="n">
        <v>0</v>
      </c>
      <c r="AH2308" s="182" t="n">
        <v>0</v>
      </c>
      <c r="AI2308" s="182" t="n">
        <v>0</v>
      </c>
      <c r="AJ2308" s="182" t="n">
        <v>0</v>
      </c>
      <c r="AK2308" s="182" t="n">
        <v>10.92</v>
      </c>
      <c r="AL2308" s="182" t="n">
        <v>0</v>
      </c>
      <c r="AM2308" s="182" t="n">
        <v>0.08</v>
      </c>
      <c r="AN2308" s="182" t="n">
        <v>0</v>
      </c>
    </row>
    <row r="2309">
      <c r="A2309" s="155" t="n">
        <v>46092</v>
      </c>
      <c r="B2309" s="156" t="inlineStr">
        <is>
          <t>DS</t>
        </is>
      </c>
      <c r="C2309" s="156" t="inlineStr">
        <is>
          <t>WL-021</t>
        </is>
      </c>
      <c r="D2309" s="156" t="inlineStr">
        <is>
          <t>SANY - Loader</t>
        </is>
      </c>
      <c r="E2309" s="156" t="inlineStr">
        <is>
          <t>Loader</t>
        </is>
      </c>
      <c r="F2309" s="156" t="inlineStr"/>
      <c r="G2309" s="182" t="n">
        <v>0</v>
      </c>
      <c r="H2309" s="182" t="n">
        <v>0</v>
      </c>
      <c r="I2309" s="182" t="n">
        <v>12</v>
      </c>
      <c r="J2309" s="182" t="n">
        <v>12</v>
      </c>
      <c r="K2309" s="182" t="n">
        <v>0</v>
      </c>
      <c r="L2309" s="182" t="n">
        <v>12</v>
      </c>
      <c r="M2309" s="182" t="n">
        <v>0</v>
      </c>
      <c r="N2309" s="182" t="n">
        <v>0</v>
      </c>
      <c r="O2309" s="183" t="n">
        <v>0</v>
      </c>
      <c r="P2309" s="183" t="n">
        <v>0</v>
      </c>
      <c r="Q2309" s="184" t="n">
        <v>0</v>
      </c>
      <c r="R2309" s="184" t="n">
        <v>0</v>
      </c>
      <c r="S2309" s="183" t="n">
        <v>0</v>
      </c>
      <c r="T2309" s="183" t="n">
        <v>0</v>
      </c>
      <c r="U2309" s="182" t="n">
        <v>0</v>
      </c>
      <c r="V2309" s="182" t="n">
        <v>0</v>
      </c>
      <c r="W2309" s="182" t="n">
        <v>0</v>
      </c>
      <c r="X2309" s="182" t="n">
        <v>0</v>
      </c>
      <c r="Y2309" s="182" t="n">
        <v>0</v>
      </c>
      <c r="Z2309" s="182" t="n">
        <v>0</v>
      </c>
      <c r="AA2309" s="182" t="n">
        <v>0</v>
      </c>
      <c r="AB2309" s="182" t="n">
        <v>0</v>
      </c>
      <c r="AC2309" s="182" t="n">
        <v>0</v>
      </c>
      <c r="AD2309" s="182" t="n">
        <v>0</v>
      </c>
      <c r="AE2309" s="182" t="n">
        <v>0</v>
      </c>
      <c r="AF2309" s="182" t="n">
        <v>0</v>
      </c>
      <c r="AG2309" s="182" t="n">
        <v>0</v>
      </c>
      <c r="AH2309" s="182" t="n">
        <v>0</v>
      </c>
      <c r="AI2309" s="182" t="n">
        <v>0</v>
      </c>
      <c r="AJ2309" s="182" t="n">
        <v>0</v>
      </c>
      <c r="AK2309" s="182" t="n">
        <v>0</v>
      </c>
      <c r="AL2309" s="182" t="n">
        <v>0</v>
      </c>
      <c r="AM2309" s="182" t="n">
        <v>0</v>
      </c>
      <c r="AN2309" s="182" t="n">
        <v>0</v>
      </c>
    </row>
    <row r="2310">
      <c r="A2310" s="155" t="n">
        <v>46092</v>
      </c>
      <c r="B2310" s="156" t="inlineStr">
        <is>
          <t>DS</t>
        </is>
      </c>
      <c r="C2310" s="156" t="inlineStr">
        <is>
          <t>WL-022</t>
        </is>
      </c>
      <c r="D2310" s="156" t="inlineStr">
        <is>
          <t>SANY - Loader</t>
        </is>
      </c>
      <c r="E2310" s="156" t="inlineStr">
        <is>
          <t>Loader</t>
        </is>
      </c>
      <c r="F2310" s="156" t="inlineStr">
        <is>
          <t>Trimming Coal di StockROM</t>
        </is>
      </c>
      <c r="G2310" s="182" t="n">
        <v>10.85</v>
      </c>
      <c r="H2310" s="182" t="n">
        <v>0</v>
      </c>
      <c r="I2310" s="182" t="n">
        <v>0</v>
      </c>
      <c r="J2310" s="182" t="n">
        <v>0</v>
      </c>
      <c r="K2310" s="182" t="n">
        <v>1.15</v>
      </c>
      <c r="L2310" s="182" t="n">
        <v>12</v>
      </c>
      <c r="M2310" s="182" t="n">
        <v>0</v>
      </c>
      <c r="N2310" s="182" t="n">
        <v>0</v>
      </c>
      <c r="O2310" s="183" t="n">
        <v>0</v>
      </c>
      <c r="P2310" s="183" t="n">
        <v>0</v>
      </c>
      <c r="Q2310" s="184" t="n">
        <v>0</v>
      </c>
      <c r="R2310" s="184" t="n">
        <v>0</v>
      </c>
      <c r="S2310" s="183" t="n">
        <v>0</v>
      </c>
      <c r="T2310" s="183" t="n">
        <v>0</v>
      </c>
      <c r="U2310" s="182" t="n">
        <v>0</v>
      </c>
      <c r="V2310" s="182" t="n">
        <v>0</v>
      </c>
      <c r="W2310" s="182" t="n">
        <v>0</v>
      </c>
      <c r="X2310" s="182" t="n">
        <v>0.82</v>
      </c>
      <c r="Y2310" s="182" t="n">
        <v>0</v>
      </c>
      <c r="Z2310" s="182" t="n">
        <v>0</v>
      </c>
      <c r="AA2310" s="182" t="n">
        <v>0</v>
      </c>
      <c r="AB2310" s="182" t="n">
        <v>0</v>
      </c>
      <c r="AC2310" s="182" t="n">
        <v>0</v>
      </c>
      <c r="AD2310" s="182" t="n">
        <v>0</v>
      </c>
      <c r="AE2310" s="182" t="n">
        <v>0</v>
      </c>
      <c r="AF2310" s="182" t="n">
        <v>0</v>
      </c>
      <c r="AG2310" s="182" t="n">
        <v>0</v>
      </c>
      <c r="AH2310" s="182" t="n">
        <v>0</v>
      </c>
      <c r="AI2310" s="182" t="n">
        <v>0</v>
      </c>
      <c r="AJ2310" s="182" t="n">
        <v>0</v>
      </c>
      <c r="AK2310" s="182" t="n">
        <v>0.26</v>
      </c>
      <c r="AL2310" s="182" t="n">
        <v>0</v>
      </c>
      <c r="AM2310" s="182" t="n">
        <v>0.07000000000000001</v>
      </c>
      <c r="AN2310" s="182" t="n">
        <v>0</v>
      </c>
    </row>
    <row r="2311">
      <c r="A2311" s="155" t="n">
        <v>46092</v>
      </c>
      <c r="B2311" s="156" t="inlineStr">
        <is>
          <t>DS</t>
        </is>
      </c>
      <c r="C2311" s="156" t="inlineStr">
        <is>
          <t>WL-024</t>
        </is>
      </c>
      <c r="D2311" s="156" t="inlineStr">
        <is>
          <t>SANY - Loader</t>
        </is>
      </c>
      <c r="E2311" s="156" t="inlineStr">
        <is>
          <t>Loader</t>
        </is>
      </c>
      <c r="F2311" s="156" t="inlineStr">
        <is>
          <t>Produksi Washing Plant</t>
        </is>
      </c>
      <c r="G2311" s="182" t="n">
        <v>11.36</v>
      </c>
      <c r="H2311" s="182" t="n">
        <v>0</v>
      </c>
      <c r="I2311" s="182" t="n">
        <v>0</v>
      </c>
      <c r="J2311" s="182" t="n">
        <v>0</v>
      </c>
      <c r="K2311" s="182" t="n">
        <v>0.64</v>
      </c>
      <c r="L2311" s="182" t="n">
        <v>12</v>
      </c>
      <c r="M2311" s="182" t="n">
        <v>0</v>
      </c>
      <c r="N2311" s="182" t="n">
        <v>0</v>
      </c>
      <c r="O2311" s="183" t="n">
        <v>0</v>
      </c>
      <c r="P2311" s="183" t="n">
        <v>0</v>
      </c>
      <c r="Q2311" s="184" t="n">
        <v>0</v>
      </c>
      <c r="R2311" s="184" t="n">
        <v>0</v>
      </c>
      <c r="S2311" s="183" t="n">
        <v>0</v>
      </c>
      <c r="T2311" s="183" t="n">
        <v>0</v>
      </c>
      <c r="U2311" s="182" t="n">
        <v>0</v>
      </c>
      <c r="V2311" s="182" t="n">
        <v>0</v>
      </c>
      <c r="W2311" s="182" t="n">
        <v>0</v>
      </c>
      <c r="X2311" s="182" t="n">
        <v>0.54</v>
      </c>
      <c r="Y2311" s="182" t="n">
        <v>0</v>
      </c>
      <c r="Z2311" s="182" t="n">
        <v>0</v>
      </c>
      <c r="AA2311" s="182" t="n">
        <v>0</v>
      </c>
      <c r="AB2311" s="182" t="n">
        <v>0</v>
      </c>
      <c r="AC2311" s="182" t="n">
        <v>0</v>
      </c>
      <c r="AD2311" s="182" t="n">
        <v>0</v>
      </c>
      <c r="AE2311" s="182" t="n">
        <v>0</v>
      </c>
      <c r="AF2311" s="182" t="n">
        <v>0</v>
      </c>
      <c r="AG2311" s="182" t="n">
        <v>0</v>
      </c>
      <c r="AH2311" s="182" t="n">
        <v>0</v>
      </c>
      <c r="AI2311" s="182" t="n">
        <v>0</v>
      </c>
      <c r="AJ2311" s="182" t="n">
        <v>0</v>
      </c>
      <c r="AK2311" s="182" t="n">
        <v>0</v>
      </c>
      <c r="AL2311" s="182" t="n">
        <v>0</v>
      </c>
      <c r="AM2311" s="182" t="n">
        <v>0.1</v>
      </c>
      <c r="AN2311" s="182" t="n">
        <v>0</v>
      </c>
    </row>
    <row r="2312">
      <c r="A2312" s="155" t="n">
        <v>46092</v>
      </c>
      <c r="B2312" s="156" t="inlineStr">
        <is>
          <t>NS</t>
        </is>
      </c>
      <c r="C2312" s="156" t="inlineStr">
        <is>
          <t>DZ-034</t>
        </is>
      </c>
      <c r="D2312" s="156" t="inlineStr">
        <is>
          <t>D 68ESS-12EO</t>
        </is>
      </c>
      <c r="E2312" s="156" t="inlineStr">
        <is>
          <t>Bulldozer</t>
        </is>
      </c>
      <c r="F2312" s="156" t="inlineStr">
        <is>
          <t>Trimming Coal di StockROM</t>
        </is>
      </c>
      <c r="G2312" s="182" t="n">
        <v>6.41</v>
      </c>
      <c r="H2312" s="182" t="n">
        <v>0</v>
      </c>
      <c r="I2312" s="182" t="n">
        <v>0.25</v>
      </c>
      <c r="J2312" s="182" t="n">
        <v>0.25</v>
      </c>
      <c r="K2312" s="182" t="n">
        <v>5.34</v>
      </c>
      <c r="L2312" s="182" t="n">
        <v>12</v>
      </c>
      <c r="M2312" s="182" t="n">
        <v>0</v>
      </c>
      <c r="N2312" s="182" t="n">
        <v>0</v>
      </c>
      <c r="O2312" s="183" t="n">
        <v>0</v>
      </c>
      <c r="P2312" s="183" t="n">
        <v>0</v>
      </c>
      <c r="Q2312" s="184" t="n">
        <v>0</v>
      </c>
      <c r="R2312" s="184" t="n">
        <v>0</v>
      </c>
      <c r="S2312" s="183" t="n">
        <v>0</v>
      </c>
      <c r="T2312" s="183" t="n">
        <v>0</v>
      </c>
      <c r="U2312" s="182" t="n">
        <v>0</v>
      </c>
      <c r="V2312" s="182" t="n">
        <v>0</v>
      </c>
      <c r="W2312" s="182" t="n">
        <v>0</v>
      </c>
      <c r="X2312" s="182" t="n">
        <v>1.04</v>
      </c>
      <c r="Y2312" s="182" t="n">
        <v>0</v>
      </c>
      <c r="Z2312" s="182" t="n">
        <v>0</v>
      </c>
      <c r="AA2312" s="182" t="n">
        <v>0</v>
      </c>
      <c r="AB2312" s="182" t="n">
        <v>0</v>
      </c>
      <c r="AC2312" s="182" t="n">
        <v>0</v>
      </c>
      <c r="AD2312" s="182" t="n">
        <v>0</v>
      </c>
      <c r="AE2312" s="182" t="n">
        <v>0</v>
      </c>
      <c r="AF2312" s="182" t="n">
        <v>0</v>
      </c>
      <c r="AG2312" s="182" t="n">
        <v>0</v>
      </c>
      <c r="AH2312" s="182" t="n">
        <v>0</v>
      </c>
      <c r="AI2312" s="182" t="n">
        <v>0</v>
      </c>
      <c r="AJ2312" s="182" t="n">
        <v>0</v>
      </c>
      <c r="AK2312" s="182" t="n">
        <v>4.22</v>
      </c>
      <c r="AL2312" s="182" t="n">
        <v>0</v>
      </c>
      <c r="AM2312" s="182" t="n">
        <v>0.08</v>
      </c>
      <c r="AN2312" s="182" t="n">
        <v>0</v>
      </c>
    </row>
    <row r="2313">
      <c r="A2313" s="155" t="n">
        <v>46092</v>
      </c>
      <c r="B2313" s="156" t="inlineStr">
        <is>
          <t>NS</t>
        </is>
      </c>
      <c r="C2313" s="156" t="inlineStr">
        <is>
          <t>DZ-033</t>
        </is>
      </c>
      <c r="D2313" s="156" t="inlineStr">
        <is>
          <t>D 375A-6R</t>
        </is>
      </c>
      <c r="E2313" s="156" t="inlineStr">
        <is>
          <t>Bulldozer</t>
        </is>
      </c>
      <c r="F2313" s="156" t="inlineStr">
        <is>
          <t>Support Disposal</t>
        </is>
      </c>
      <c r="G2313" s="182" t="n">
        <v>7.1</v>
      </c>
      <c r="H2313" s="182" t="n">
        <v>0</v>
      </c>
      <c r="I2313" s="182" t="n">
        <v>0</v>
      </c>
      <c r="J2313" s="182" t="n">
        <v>0</v>
      </c>
      <c r="K2313" s="182" t="n">
        <v>4.9</v>
      </c>
      <c r="L2313" s="182" t="n">
        <v>12</v>
      </c>
      <c r="M2313" s="182" t="n">
        <v>0</v>
      </c>
      <c r="N2313" s="182" t="n">
        <v>0</v>
      </c>
      <c r="O2313" s="183" t="n">
        <v>0</v>
      </c>
      <c r="P2313" s="183" t="n">
        <v>0</v>
      </c>
      <c r="Q2313" s="184" t="n">
        <v>0</v>
      </c>
      <c r="R2313" s="184" t="n">
        <v>0</v>
      </c>
      <c r="S2313" s="183" t="n">
        <v>0</v>
      </c>
      <c r="T2313" s="183" t="n">
        <v>0</v>
      </c>
      <c r="U2313" s="182" t="n">
        <v>3.84</v>
      </c>
      <c r="V2313" s="182" t="n">
        <v>0</v>
      </c>
      <c r="W2313" s="182" t="n">
        <v>0</v>
      </c>
      <c r="X2313" s="182" t="n">
        <v>0.98</v>
      </c>
      <c r="Y2313" s="182" t="n">
        <v>0</v>
      </c>
      <c r="Z2313" s="182" t="n">
        <v>0</v>
      </c>
      <c r="AA2313" s="182" t="n">
        <v>0</v>
      </c>
      <c r="AB2313" s="182" t="n">
        <v>0</v>
      </c>
      <c r="AC2313" s="182" t="n">
        <v>0</v>
      </c>
      <c r="AD2313" s="182" t="n">
        <v>0</v>
      </c>
      <c r="AE2313" s="182" t="n">
        <v>0</v>
      </c>
      <c r="AF2313" s="182" t="n">
        <v>0</v>
      </c>
      <c r="AG2313" s="182" t="n">
        <v>0</v>
      </c>
      <c r="AH2313" s="182" t="n">
        <v>0</v>
      </c>
      <c r="AI2313" s="182" t="n">
        <v>0</v>
      </c>
      <c r="AJ2313" s="182" t="n">
        <v>0</v>
      </c>
      <c r="AK2313" s="182" t="n">
        <v>0</v>
      </c>
      <c r="AL2313" s="182" t="n">
        <v>0</v>
      </c>
      <c r="AM2313" s="182" t="n">
        <v>0.08</v>
      </c>
      <c r="AN2313" s="182" t="n">
        <v>0</v>
      </c>
    </row>
    <row r="2314">
      <c r="A2314" s="155" t="n">
        <v>46092</v>
      </c>
      <c r="B2314" s="156" t="inlineStr">
        <is>
          <t>NS</t>
        </is>
      </c>
      <c r="C2314" s="156" t="inlineStr">
        <is>
          <t>DZ-038</t>
        </is>
      </c>
      <c r="D2314" s="156" t="inlineStr">
        <is>
          <t>D 85 ESS-2</t>
        </is>
      </c>
      <c r="E2314" s="156" t="inlineStr">
        <is>
          <t>Bulldozer</t>
        </is>
      </c>
      <c r="F2314" s="156" t="inlineStr"/>
      <c r="G2314" s="182" t="n">
        <v>0</v>
      </c>
      <c r="H2314" s="182" t="n">
        <v>0</v>
      </c>
      <c r="I2314" s="182" t="n">
        <v>12</v>
      </c>
      <c r="J2314" s="182" t="n">
        <v>12</v>
      </c>
      <c r="K2314" s="182" t="n">
        <v>0</v>
      </c>
      <c r="L2314" s="182" t="n">
        <v>12</v>
      </c>
      <c r="M2314" s="182" t="n">
        <v>0</v>
      </c>
      <c r="N2314" s="182" t="n">
        <v>0</v>
      </c>
      <c r="O2314" s="183" t="n">
        <v>0</v>
      </c>
      <c r="P2314" s="183" t="n">
        <v>0</v>
      </c>
      <c r="Q2314" s="184" t="n">
        <v>0</v>
      </c>
      <c r="R2314" s="184" t="n">
        <v>0</v>
      </c>
      <c r="S2314" s="183" t="n">
        <v>0</v>
      </c>
      <c r="T2314" s="183" t="n">
        <v>0</v>
      </c>
      <c r="U2314" s="182" t="n">
        <v>0</v>
      </c>
      <c r="V2314" s="182" t="n">
        <v>0</v>
      </c>
      <c r="W2314" s="182" t="n">
        <v>0</v>
      </c>
      <c r="X2314" s="182" t="n">
        <v>0</v>
      </c>
      <c r="Y2314" s="182" t="n">
        <v>0</v>
      </c>
      <c r="Z2314" s="182" t="n">
        <v>0</v>
      </c>
      <c r="AA2314" s="182" t="n">
        <v>0</v>
      </c>
      <c r="AB2314" s="182" t="n">
        <v>0</v>
      </c>
      <c r="AC2314" s="182" t="n">
        <v>0</v>
      </c>
      <c r="AD2314" s="182" t="n">
        <v>0</v>
      </c>
      <c r="AE2314" s="182" t="n">
        <v>0</v>
      </c>
      <c r="AF2314" s="182" t="n">
        <v>0</v>
      </c>
      <c r="AG2314" s="182" t="n">
        <v>0</v>
      </c>
      <c r="AH2314" s="182" t="n">
        <v>0</v>
      </c>
      <c r="AI2314" s="182" t="n">
        <v>0</v>
      </c>
      <c r="AJ2314" s="182" t="n">
        <v>0</v>
      </c>
      <c r="AK2314" s="182" t="n">
        <v>0</v>
      </c>
      <c r="AL2314" s="182" t="n">
        <v>0</v>
      </c>
      <c r="AM2314" s="182" t="n">
        <v>0</v>
      </c>
      <c r="AN2314" s="182" t="n">
        <v>0</v>
      </c>
    </row>
    <row r="2315">
      <c r="A2315" s="155" t="n">
        <v>46092</v>
      </c>
      <c r="B2315" s="156" t="inlineStr">
        <is>
          <t>NS</t>
        </is>
      </c>
      <c r="C2315" s="156" t="inlineStr">
        <is>
          <t>DZ-039</t>
        </is>
      </c>
      <c r="D2315" s="156" t="inlineStr">
        <is>
          <t>D 85 ESS-2</t>
        </is>
      </c>
      <c r="E2315" s="156" t="inlineStr">
        <is>
          <t>Bulldozer</t>
        </is>
      </c>
      <c r="F2315" s="156" t="inlineStr">
        <is>
          <t>Support Front Loading</t>
        </is>
      </c>
      <c r="G2315" s="182" t="n">
        <v>4.53</v>
      </c>
      <c r="H2315" s="182" t="n">
        <v>0</v>
      </c>
      <c r="I2315" s="182" t="n">
        <v>1.18</v>
      </c>
      <c r="J2315" s="182" t="n">
        <v>1.18</v>
      </c>
      <c r="K2315" s="182" t="n">
        <v>6.29</v>
      </c>
      <c r="L2315" s="182" t="n">
        <v>12</v>
      </c>
      <c r="M2315" s="182" t="n">
        <v>0</v>
      </c>
      <c r="N2315" s="182" t="n">
        <v>0</v>
      </c>
      <c r="O2315" s="183" t="n">
        <v>0</v>
      </c>
      <c r="P2315" s="183" t="n">
        <v>0</v>
      </c>
      <c r="Q2315" s="184" t="n">
        <v>0</v>
      </c>
      <c r="R2315" s="184" t="n">
        <v>0</v>
      </c>
      <c r="S2315" s="183" t="n">
        <v>0</v>
      </c>
      <c r="T2315" s="183" t="n">
        <v>0</v>
      </c>
      <c r="U2315" s="182" t="n">
        <v>5.19</v>
      </c>
      <c r="V2315" s="182" t="n">
        <v>0</v>
      </c>
      <c r="W2315" s="182" t="n">
        <v>0</v>
      </c>
      <c r="X2315" s="182" t="n">
        <v>1.01</v>
      </c>
      <c r="Y2315" s="182" t="n">
        <v>0</v>
      </c>
      <c r="Z2315" s="182" t="n">
        <v>0</v>
      </c>
      <c r="AA2315" s="182" t="n">
        <v>0</v>
      </c>
      <c r="AB2315" s="182" t="n">
        <v>0</v>
      </c>
      <c r="AC2315" s="182" t="n">
        <v>0</v>
      </c>
      <c r="AD2315" s="182" t="n">
        <v>0</v>
      </c>
      <c r="AE2315" s="182" t="n">
        <v>0</v>
      </c>
      <c r="AF2315" s="182" t="n">
        <v>0</v>
      </c>
      <c r="AG2315" s="182" t="n">
        <v>0</v>
      </c>
      <c r="AH2315" s="182" t="n">
        <v>0</v>
      </c>
      <c r="AI2315" s="182" t="n">
        <v>0</v>
      </c>
      <c r="AJ2315" s="182" t="n">
        <v>0</v>
      </c>
      <c r="AK2315" s="182" t="n">
        <v>0</v>
      </c>
      <c r="AL2315" s="182" t="n">
        <v>0</v>
      </c>
      <c r="AM2315" s="182" t="n">
        <v>0.08</v>
      </c>
      <c r="AN2315" s="182" t="n">
        <v>0</v>
      </c>
    </row>
    <row r="2316">
      <c r="A2316" s="155" t="n">
        <v>46092</v>
      </c>
      <c r="B2316" s="156" t="inlineStr">
        <is>
          <t>NS</t>
        </is>
      </c>
      <c r="C2316" s="156" t="inlineStr">
        <is>
          <t>DZ-032</t>
        </is>
      </c>
      <c r="D2316" s="156" t="inlineStr">
        <is>
          <t>CAT</t>
        </is>
      </c>
      <c r="E2316" s="156" t="inlineStr">
        <is>
          <t>Bulldozer</t>
        </is>
      </c>
      <c r="F2316" s="156" t="inlineStr">
        <is>
          <t>Support Front Loading</t>
        </is>
      </c>
      <c r="G2316" s="182" t="n">
        <v>9.74</v>
      </c>
      <c r="H2316" s="182" t="n">
        <v>0</v>
      </c>
      <c r="I2316" s="182" t="n">
        <v>0</v>
      </c>
      <c r="J2316" s="182" t="n">
        <v>0</v>
      </c>
      <c r="K2316" s="182" t="n">
        <v>2.26</v>
      </c>
      <c r="L2316" s="182" t="n">
        <v>12</v>
      </c>
      <c r="M2316" s="182" t="n">
        <v>0</v>
      </c>
      <c r="N2316" s="182" t="n">
        <v>0</v>
      </c>
      <c r="O2316" s="183" t="n">
        <v>0</v>
      </c>
      <c r="P2316" s="183" t="n">
        <v>0</v>
      </c>
      <c r="Q2316" s="184" t="n">
        <v>0</v>
      </c>
      <c r="R2316" s="184" t="n">
        <v>0</v>
      </c>
      <c r="S2316" s="183" t="n">
        <v>0</v>
      </c>
      <c r="T2316" s="183" t="n">
        <v>0</v>
      </c>
      <c r="U2316" s="182" t="n">
        <v>1.1</v>
      </c>
      <c r="V2316" s="182" t="n">
        <v>0</v>
      </c>
      <c r="W2316" s="182" t="n">
        <v>0</v>
      </c>
      <c r="X2316" s="182" t="n">
        <v>1.08</v>
      </c>
      <c r="Y2316" s="182" t="n">
        <v>0</v>
      </c>
      <c r="Z2316" s="182" t="n">
        <v>0</v>
      </c>
      <c r="AA2316" s="182" t="n">
        <v>0</v>
      </c>
      <c r="AB2316" s="182" t="n">
        <v>0</v>
      </c>
      <c r="AC2316" s="182" t="n">
        <v>0</v>
      </c>
      <c r="AD2316" s="182" t="n">
        <v>0</v>
      </c>
      <c r="AE2316" s="182" t="n">
        <v>0</v>
      </c>
      <c r="AF2316" s="182" t="n">
        <v>0</v>
      </c>
      <c r="AG2316" s="182" t="n">
        <v>0</v>
      </c>
      <c r="AH2316" s="182" t="n">
        <v>0</v>
      </c>
      <c r="AI2316" s="182" t="n">
        <v>0</v>
      </c>
      <c r="AJ2316" s="182" t="n">
        <v>0</v>
      </c>
      <c r="AK2316" s="182" t="n">
        <v>0</v>
      </c>
      <c r="AL2316" s="182" t="n">
        <v>0</v>
      </c>
      <c r="AM2316" s="182" t="n">
        <v>0.09</v>
      </c>
      <c r="AN2316" s="182" t="n">
        <v>0</v>
      </c>
    </row>
    <row r="2317">
      <c r="A2317" s="155" t="n">
        <v>46092</v>
      </c>
      <c r="B2317" s="156" t="inlineStr">
        <is>
          <t>NS</t>
        </is>
      </c>
      <c r="C2317" s="156" t="inlineStr">
        <is>
          <t>DZ-031</t>
        </is>
      </c>
      <c r="D2317" s="156" t="inlineStr">
        <is>
          <t>CAT</t>
        </is>
      </c>
      <c r="E2317" s="156" t="inlineStr">
        <is>
          <t>Bulldozer</t>
        </is>
      </c>
      <c r="F2317" s="156" t="inlineStr"/>
      <c r="G2317" s="182" t="n">
        <v>0</v>
      </c>
      <c r="H2317" s="182" t="n">
        <v>0</v>
      </c>
      <c r="I2317" s="182" t="n">
        <v>12</v>
      </c>
      <c r="J2317" s="182" t="n">
        <v>12</v>
      </c>
      <c r="K2317" s="182" t="n">
        <v>0</v>
      </c>
      <c r="L2317" s="182" t="n">
        <v>12</v>
      </c>
      <c r="M2317" s="182" t="n">
        <v>0</v>
      </c>
      <c r="N2317" s="182" t="n">
        <v>0</v>
      </c>
      <c r="O2317" s="183" t="n">
        <v>0</v>
      </c>
      <c r="P2317" s="183" t="n">
        <v>0</v>
      </c>
      <c r="Q2317" s="184" t="n">
        <v>0</v>
      </c>
      <c r="R2317" s="184" t="n">
        <v>0</v>
      </c>
      <c r="S2317" s="183" t="n">
        <v>0</v>
      </c>
      <c r="T2317" s="183" t="n">
        <v>0</v>
      </c>
      <c r="U2317" s="182" t="n">
        <v>0</v>
      </c>
      <c r="V2317" s="182" t="n">
        <v>0</v>
      </c>
      <c r="W2317" s="182" t="n">
        <v>0</v>
      </c>
      <c r="X2317" s="182" t="n">
        <v>0</v>
      </c>
      <c r="Y2317" s="182" t="n">
        <v>0</v>
      </c>
      <c r="Z2317" s="182" t="n">
        <v>0</v>
      </c>
      <c r="AA2317" s="182" t="n">
        <v>0</v>
      </c>
      <c r="AB2317" s="182" t="n">
        <v>0</v>
      </c>
      <c r="AC2317" s="182" t="n">
        <v>0</v>
      </c>
      <c r="AD2317" s="182" t="n">
        <v>0</v>
      </c>
      <c r="AE2317" s="182" t="n">
        <v>0</v>
      </c>
      <c r="AF2317" s="182" t="n">
        <v>0</v>
      </c>
      <c r="AG2317" s="182" t="n">
        <v>0</v>
      </c>
      <c r="AH2317" s="182" t="n">
        <v>0</v>
      </c>
      <c r="AI2317" s="182" t="n">
        <v>0</v>
      </c>
      <c r="AJ2317" s="182" t="n">
        <v>0</v>
      </c>
      <c r="AK2317" s="182" t="n">
        <v>0</v>
      </c>
      <c r="AL2317" s="182" t="n">
        <v>0</v>
      </c>
      <c r="AM2317" s="182" t="n">
        <v>0</v>
      </c>
      <c r="AN2317" s="182" t="n">
        <v>0</v>
      </c>
    </row>
    <row r="2318">
      <c r="A2318" s="155" t="n">
        <v>46092</v>
      </c>
      <c r="B2318" s="156" t="inlineStr">
        <is>
          <t>NS</t>
        </is>
      </c>
      <c r="C2318" s="156" t="inlineStr">
        <is>
          <t>DZ-037</t>
        </is>
      </c>
      <c r="D2318" s="156" t="inlineStr">
        <is>
          <t>D 85 ESS-2</t>
        </is>
      </c>
      <c r="E2318" s="156" t="inlineStr">
        <is>
          <t>Bulldozer</t>
        </is>
      </c>
      <c r="F2318" s="156" t="inlineStr">
        <is>
          <t>Support Disposal</t>
        </is>
      </c>
      <c r="G2318" s="182" t="n">
        <v>10.13</v>
      </c>
      <c r="H2318" s="182" t="n">
        <v>0</v>
      </c>
      <c r="I2318" s="182" t="n">
        <v>0</v>
      </c>
      <c r="J2318" s="182" t="n">
        <v>0</v>
      </c>
      <c r="K2318" s="182" t="n">
        <v>1.87</v>
      </c>
      <c r="L2318" s="182" t="n">
        <v>12</v>
      </c>
      <c r="M2318" s="182" t="n">
        <v>0</v>
      </c>
      <c r="N2318" s="182" t="n">
        <v>0</v>
      </c>
      <c r="O2318" s="183" t="n">
        <v>0</v>
      </c>
      <c r="P2318" s="183" t="n">
        <v>0</v>
      </c>
      <c r="Q2318" s="184" t="n">
        <v>0</v>
      </c>
      <c r="R2318" s="184" t="n">
        <v>0</v>
      </c>
      <c r="S2318" s="183" t="n">
        <v>0</v>
      </c>
      <c r="T2318" s="183" t="n">
        <v>0</v>
      </c>
      <c r="U2318" s="182" t="n">
        <v>0.61</v>
      </c>
      <c r="V2318" s="182" t="n">
        <v>0</v>
      </c>
      <c r="W2318" s="182" t="n">
        <v>0</v>
      </c>
      <c r="X2318" s="182" t="n">
        <v>1.17</v>
      </c>
      <c r="Y2318" s="182" t="n">
        <v>0</v>
      </c>
      <c r="Z2318" s="182" t="n">
        <v>0</v>
      </c>
      <c r="AA2318" s="182" t="n">
        <v>0</v>
      </c>
      <c r="AB2318" s="182" t="n">
        <v>0</v>
      </c>
      <c r="AC2318" s="182" t="n">
        <v>0</v>
      </c>
      <c r="AD2318" s="182" t="n">
        <v>0</v>
      </c>
      <c r="AE2318" s="182" t="n">
        <v>0</v>
      </c>
      <c r="AF2318" s="182" t="n">
        <v>0</v>
      </c>
      <c r="AG2318" s="182" t="n">
        <v>0</v>
      </c>
      <c r="AH2318" s="182" t="n">
        <v>0</v>
      </c>
      <c r="AI2318" s="182" t="n">
        <v>0</v>
      </c>
      <c r="AJ2318" s="182" t="n">
        <v>0</v>
      </c>
      <c r="AK2318" s="182" t="n">
        <v>0</v>
      </c>
      <c r="AL2318" s="182" t="n">
        <v>0</v>
      </c>
      <c r="AM2318" s="182" t="n">
        <v>0.09</v>
      </c>
      <c r="AN2318" s="182" t="n">
        <v>0</v>
      </c>
    </row>
    <row r="2319">
      <c r="A2319" s="155" t="n">
        <v>46092</v>
      </c>
      <c r="B2319" s="156" t="inlineStr">
        <is>
          <t>NS</t>
        </is>
      </c>
      <c r="C2319" s="156" t="inlineStr">
        <is>
          <t>DZ-036</t>
        </is>
      </c>
      <c r="D2319" s="156" t="inlineStr">
        <is>
          <t>D 85 ESS-2</t>
        </is>
      </c>
      <c r="E2319" s="156" t="inlineStr">
        <is>
          <t>Bulldozer</t>
        </is>
      </c>
      <c r="F2319" s="156" t="inlineStr"/>
      <c r="G2319" s="182" t="n">
        <v>0</v>
      </c>
      <c r="H2319" s="182" t="n">
        <v>0</v>
      </c>
      <c r="I2319" s="182" t="n">
        <v>0</v>
      </c>
      <c r="J2319" s="182" t="n">
        <v>0</v>
      </c>
      <c r="K2319" s="182" t="n">
        <v>12</v>
      </c>
      <c r="L2319" s="182" t="n">
        <v>12</v>
      </c>
      <c r="M2319" s="182" t="n">
        <v>0</v>
      </c>
      <c r="N2319" s="182" t="n">
        <v>0</v>
      </c>
      <c r="O2319" s="183" t="n">
        <v>0</v>
      </c>
      <c r="P2319" s="183" t="n">
        <v>0</v>
      </c>
      <c r="Q2319" s="184" t="n">
        <v>0</v>
      </c>
      <c r="R2319" s="184" t="n">
        <v>0</v>
      </c>
      <c r="S2319" s="183" t="n">
        <v>0</v>
      </c>
      <c r="T2319" s="183" t="n">
        <v>0</v>
      </c>
      <c r="U2319" s="182" t="n">
        <v>0</v>
      </c>
      <c r="V2319" s="182" t="n">
        <v>0</v>
      </c>
      <c r="W2319" s="182" t="n">
        <v>0</v>
      </c>
      <c r="X2319" s="182" t="n">
        <v>1</v>
      </c>
      <c r="Y2319" s="182" t="n">
        <v>0</v>
      </c>
      <c r="Z2319" s="182" t="n">
        <v>0</v>
      </c>
      <c r="AA2319" s="182" t="n">
        <v>0</v>
      </c>
      <c r="AB2319" s="182" t="n">
        <v>0</v>
      </c>
      <c r="AC2319" s="182" t="n">
        <v>0</v>
      </c>
      <c r="AD2319" s="182" t="n">
        <v>0</v>
      </c>
      <c r="AE2319" s="182" t="n">
        <v>0</v>
      </c>
      <c r="AF2319" s="182" t="n">
        <v>0</v>
      </c>
      <c r="AG2319" s="182" t="n">
        <v>0</v>
      </c>
      <c r="AH2319" s="182" t="n">
        <v>0</v>
      </c>
      <c r="AI2319" s="182" t="n">
        <v>0</v>
      </c>
      <c r="AJ2319" s="182" t="n">
        <v>0</v>
      </c>
      <c r="AK2319" s="182" t="n">
        <v>10.92</v>
      </c>
      <c r="AL2319" s="182" t="n">
        <v>0</v>
      </c>
      <c r="AM2319" s="182" t="n">
        <v>0.08</v>
      </c>
      <c r="AN2319" s="182" t="n">
        <v>0</v>
      </c>
    </row>
    <row r="2320">
      <c r="A2320" s="155" t="n">
        <v>46092</v>
      </c>
      <c r="B2320" s="156" t="inlineStr">
        <is>
          <t>NS</t>
        </is>
      </c>
      <c r="C2320" s="156" t="inlineStr">
        <is>
          <t>DZ-035</t>
        </is>
      </c>
      <c r="D2320" s="156" t="inlineStr">
        <is>
          <t>D 85 ESS-2</t>
        </is>
      </c>
      <c r="E2320" s="156" t="inlineStr">
        <is>
          <t>Bulldozer</t>
        </is>
      </c>
      <c r="F2320" s="156" t="inlineStr"/>
      <c r="G2320" s="182" t="n">
        <v>0</v>
      </c>
      <c r="H2320" s="182" t="n">
        <v>0</v>
      </c>
      <c r="I2320" s="182" t="n">
        <v>12</v>
      </c>
      <c r="J2320" s="182" t="n">
        <v>12</v>
      </c>
      <c r="K2320" s="182" t="n">
        <v>0</v>
      </c>
      <c r="L2320" s="182" t="n">
        <v>12</v>
      </c>
      <c r="M2320" s="182" t="n">
        <v>0</v>
      </c>
      <c r="N2320" s="182" t="n">
        <v>0</v>
      </c>
      <c r="O2320" s="183" t="n">
        <v>0</v>
      </c>
      <c r="P2320" s="183" t="n">
        <v>0</v>
      </c>
      <c r="Q2320" s="184" t="n">
        <v>0</v>
      </c>
      <c r="R2320" s="184" t="n">
        <v>0</v>
      </c>
      <c r="S2320" s="183" t="n">
        <v>0</v>
      </c>
      <c r="T2320" s="183" t="n">
        <v>0</v>
      </c>
      <c r="U2320" s="182" t="n">
        <v>0</v>
      </c>
      <c r="V2320" s="182" t="n">
        <v>0</v>
      </c>
      <c r="W2320" s="182" t="n">
        <v>0</v>
      </c>
      <c r="X2320" s="182" t="n">
        <v>0</v>
      </c>
      <c r="Y2320" s="182" t="n">
        <v>0</v>
      </c>
      <c r="Z2320" s="182" t="n">
        <v>0</v>
      </c>
      <c r="AA2320" s="182" t="n">
        <v>0</v>
      </c>
      <c r="AB2320" s="182" t="n">
        <v>0</v>
      </c>
      <c r="AC2320" s="182" t="n">
        <v>0</v>
      </c>
      <c r="AD2320" s="182" t="n">
        <v>0</v>
      </c>
      <c r="AE2320" s="182" t="n">
        <v>0</v>
      </c>
      <c r="AF2320" s="182" t="n">
        <v>0</v>
      </c>
      <c r="AG2320" s="182" t="n">
        <v>0</v>
      </c>
      <c r="AH2320" s="182" t="n">
        <v>0</v>
      </c>
      <c r="AI2320" s="182" t="n">
        <v>0</v>
      </c>
      <c r="AJ2320" s="182" t="n">
        <v>0</v>
      </c>
      <c r="AK2320" s="182" t="n">
        <v>0</v>
      </c>
      <c r="AL2320" s="182" t="n">
        <v>0</v>
      </c>
      <c r="AM2320" s="182" t="n">
        <v>0</v>
      </c>
      <c r="AN2320" s="182" t="n">
        <v>0</v>
      </c>
    </row>
    <row r="2321">
      <c r="A2321" s="155" t="n">
        <v>46092</v>
      </c>
      <c r="B2321" s="156" t="inlineStr">
        <is>
          <t>NS</t>
        </is>
      </c>
      <c r="C2321" s="156" t="inlineStr">
        <is>
          <t>CP-042</t>
        </is>
      </c>
      <c r="D2321" s="156" t="inlineStr">
        <is>
          <t>SANY - Compactor</t>
        </is>
      </c>
      <c r="E2321" s="156" t="inlineStr">
        <is>
          <t>Compactor</t>
        </is>
      </c>
      <c r="F2321" s="156" t="inlineStr"/>
      <c r="G2321" s="182" t="n">
        <v>0</v>
      </c>
      <c r="H2321" s="182" t="n">
        <v>0</v>
      </c>
      <c r="I2321" s="182" t="n">
        <v>0</v>
      </c>
      <c r="J2321" s="182" t="n">
        <v>0</v>
      </c>
      <c r="K2321" s="182" t="n">
        <v>12</v>
      </c>
      <c r="L2321" s="182" t="n">
        <v>12</v>
      </c>
      <c r="M2321" s="182" t="n">
        <v>0</v>
      </c>
      <c r="N2321" s="182" t="n">
        <v>0</v>
      </c>
      <c r="O2321" s="183" t="n">
        <v>0</v>
      </c>
      <c r="P2321" s="183" t="n">
        <v>0</v>
      </c>
      <c r="Q2321" s="184" t="n">
        <v>0</v>
      </c>
      <c r="R2321" s="184" t="n">
        <v>0</v>
      </c>
      <c r="S2321" s="183" t="n">
        <v>0</v>
      </c>
      <c r="T2321" s="183" t="n">
        <v>0</v>
      </c>
      <c r="U2321" s="182" t="n">
        <v>0</v>
      </c>
      <c r="V2321" s="182" t="n">
        <v>0</v>
      </c>
      <c r="W2321" s="182" t="n">
        <v>0</v>
      </c>
      <c r="X2321" s="182" t="n">
        <v>1</v>
      </c>
      <c r="Y2321" s="182" t="n">
        <v>0</v>
      </c>
      <c r="Z2321" s="182" t="n">
        <v>0</v>
      </c>
      <c r="AA2321" s="182" t="n">
        <v>0</v>
      </c>
      <c r="AB2321" s="182" t="n">
        <v>0</v>
      </c>
      <c r="AC2321" s="182" t="n">
        <v>0</v>
      </c>
      <c r="AD2321" s="182" t="n">
        <v>0</v>
      </c>
      <c r="AE2321" s="182" t="n">
        <v>0</v>
      </c>
      <c r="AF2321" s="182" t="n">
        <v>0</v>
      </c>
      <c r="AG2321" s="182" t="n">
        <v>0</v>
      </c>
      <c r="AH2321" s="182" t="n">
        <v>0</v>
      </c>
      <c r="AI2321" s="182" t="n">
        <v>0</v>
      </c>
      <c r="AJ2321" s="182" t="n">
        <v>0</v>
      </c>
      <c r="AK2321" s="182" t="n">
        <v>10.92</v>
      </c>
      <c r="AL2321" s="182" t="n">
        <v>0</v>
      </c>
      <c r="AM2321" s="182" t="n">
        <v>0.08</v>
      </c>
      <c r="AN2321" s="182" t="n">
        <v>0</v>
      </c>
    </row>
    <row r="2322">
      <c r="A2322" s="155" t="n">
        <v>46092</v>
      </c>
      <c r="B2322" s="156" t="inlineStr">
        <is>
          <t>NS</t>
        </is>
      </c>
      <c r="C2322" s="156" t="inlineStr">
        <is>
          <t>CP-041</t>
        </is>
      </c>
      <c r="D2322" s="156" t="inlineStr">
        <is>
          <t>SANY - Compactor</t>
        </is>
      </c>
      <c r="E2322" s="156" t="inlineStr">
        <is>
          <t>Compactor</t>
        </is>
      </c>
      <c r="F2322" s="156" t="inlineStr"/>
      <c r="G2322" s="182" t="n">
        <v>0</v>
      </c>
      <c r="H2322" s="182" t="n">
        <v>0</v>
      </c>
      <c r="I2322" s="182" t="n">
        <v>0</v>
      </c>
      <c r="J2322" s="182" t="n">
        <v>0</v>
      </c>
      <c r="K2322" s="182" t="n">
        <v>12</v>
      </c>
      <c r="L2322" s="182" t="n">
        <v>12</v>
      </c>
      <c r="M2322" s="182" t="n">
        <v>0</v>
      </c>
      <c r="N2322" s="182" t="n">
        <v>0</v>
      </c>
      <c r="O2322" s="183" t="n">
        <v>0</v>
      </c>
      <c r="P2322" s="183" t="n">
        <v>0</v>
      </c>
      <c r="Q2322" s="184" t="n">
        <v>0</v>
      </c>
      <c r="R2322" s="184" t="n">
        <v>0</v>
      </c>
      <c r="S2322" s="183" t="n">
        <v>0</v>
      </c>
      <c r="T2322" s="183" t="n">
        <v>0</v>
      </c>
      <c r="U2322" s="182" t="n">
        <v>0</v>
      </c>
      <c r="V2322" s="182" t="n">
        <v>0</v>
      </c>
      <c r="W2322" s="182" t="n">
        <v>0</v>
      </c>
      <c r="X2322" s="182" t="n">
        <v>1</v>
      </c>
      <c r="Y2322" s="182" t="n">
        <v>0</v>
      </c>
      <c r="Z2322" s="182" t="n">
        <v>0</v>
      </c>
      <c r="AA2322" s="182" t="n">
        <v>0</v>
      </c>
      <c r="AB2322" s="182" t="n">
        <v>0</v>
      </c>
      <c r="AC2322" s="182" t="n">
        <v>0</v>
      </c>
      <c r="AD2322" s="182" t="n">
        <v>0</v>
      </c>
      <c r="AE2322" s="182" t="n">
        <v>0</v>
      </c>
      <c r="AF2322" s="182" t="n">
        <v>0</v>
      </c>
      <c r="AG2322" s="182" t="n">
        <v>0</v>
      </c>
      <c r="AH2322" s="182" t="n">
        <v>0</v>
      </c>
      <c r="AI2322" s="182" t="n">
        <v>0</v>
      </c>
      <c r="AJ2322" s="182" t="n">
        <v>0</v>
      </c>
      <c r="AK2322" s="182" t="n">
        <v>10.92</v>
      </c>
      <c r="AL2322" s="182" t="n">
        <v>0</v>
      </c>
      <c r="AM2322" s="182" t="n">
        <v>0.08</v>
      </c>
      <c r="AN2322" s="182" t="n">
        <v>0</v>
      </c>
    </row>
    <row r="2323">
      <c r="A2323" s="155" t="n">
        <v>46092</v>
      </c>
      <c r="B2323" s="156" t="inlineStr">
        <is>
          <t>NS</t>
        </is>
      </c>
      <c r="C2323" s="156" t="inlineStr">
        <is>
          <t>HT-418</t>
        </is>
      </c>
      <c r="D2323" s="156" t="inlineStr">
        <is>
          <t>SY430</t>
        </is>
      </c>
      <c r="E2323" s="156" t="inlineStr">
        <is>
          <t>DT Hauling</t>
        </is>
      </c>
      <c r="F2323" s="156" t="inlineStr"/>
      <c r="G2323" s="182" t="n">
        <v>0</v>
      </c>
      <c r="H2323" s="182" t="n">
        <v>0</v>
      </c>
      <c r="I2323" s="182" t="n">
        <v>0</v>
      </c>
      <c r="J2323" s="182" t="n">
        <v>0</v>
      </c>
      <c r="K2323" s="182" t="n">
        <v>12</v>
      </c>
      <c r="L2323" s="182" t="n">
        <v>12</v>
      </c>
      <c r="M2323" s="182" t="n">
        <v>0</v>
      </c>
      <c r="N2323" s="182" t="n">
        <v>0</v>
      </c>
      <c r="O2323" s="183" t="n">
        <v>0</v>
      </c>
      <c r="P2323" s="183" t="n">
        <v>0</v>
      </c>
      <c r="Q2323" s="184" t="n">
        <v>0</v>
      </c>
      <c r="R2323" s="184" t="n">
        <v>0</v>
      </c>
      <c r="S2323" s="183" t="n">
        <v>0</v>
      </c>
      <c r="T2323" s="183" t="n">
        <v>0</v>
      </c>
      <c r="U2323" s="182" t="n">
        <v>0</v>
      </c>
      <c r="V2323" s="182" t="n">
        <v>0</v>
      </c>
      <c r="W2323" s="182" t="n">
        <v>0</v>
      </c>
      <c r="X2323" s="182" t="n">
        <v>1</v>
      </c>
      <c r="Y2323" s="182" t="n">
        <v>0</v>
      </c>
      <c r="Z2323" s="182" t="n">
        <v>0</v>
      </c>
      <c r="AA2323" s="182" t="n">
        <v>0</v>
      </c>
      <c r="AB2323" s="182" t="n">
        <v>0</v>
      </c>
      <c r="AC2323" s="182" t="n">
        <v>0</v>
      </c>
      <c r="AD2323" s="182" t="n">
        <v>0</v>
      </c>
      <c r="AE2323" s="182" t="n">
        <v>0</v>
      </c>
      <c r="AF2323" s="182" t="n">
        <v>0</v>
      </c>
      <c r="AG2323" s="182" t="n">
        <v>0</v>
      </c>
      <c r="AH2323" s="182" t="n">
        <v>0</v>
      </c>
      <c r="AI2323" s="182" t="n">
        <v>0</v>
      </c>
      <c r="AJ2323" s="182" t="n">
        <v>0</v>
      </c>
      <c r="AK2323" s="182" t="n">
        <v>10.92</v>
      </c>
      <c r="AL2323" s="182" t="n">
        <v>0</v>
      </c>
      <c r="AM2323" s="182" t="n">
        <v>0.08</v>
      </c>
      <c r="AN2323" s="182" t="n">
        <v>0</v>
      </c>
    </row>
    <row r="2324">
      <c r="A2324" s="155" t="n">
        <v>46092</v>
      </c>
      <c r="B2324" s="156" t="inlineStr">
        <is>
          <t>NS</t>
        </is>
      </c>
      <c r="C2324" s="156" t="inlineStr">
        <is>
          <t>HT-404</t>
        </is>
      </c>
      <c r="D2324" s="156" t="inlineStr">
        <is>
          <t>SY430</t>
        </is>
      </c>
      <c r="E2324" s="156" t="inlineStr">
        <is>
          <t>DT Hauling</t>
        </is>
      </c>
      <c r="F2324" s="156" t="inlineStr"/>
      <c r="G2324" s="182" t="n">
        <v>0</v>
      </c>
      <c r="H2324" s="182" t="n">
        <v>0</v>
      </c>
      <c r="I2324" s="182" t="n">
        <v>12</v>
      </c>
      <c r="J2324" s="182" t="n">
        <v>12</v>
      </c>
      <c r="K2324" s="182" t="n">
        <v>0</v>
      </c>
      <c r="L2324" s="182" t="n">
        <v>12</v>
      </c>
      <c r="M2324" s="182" t="n">
        <v>0</v>
      </c>
      <c r="N2324" s="182" t="n">
        <v>0</v>
      </c>
      <c r="O2324" s="183" t="n">
        <v>0</v>
      </c>
      <c r="P2324" s="183" t="n">
        <v>0</v>
      </c>
      <c r="Q2324" s="184" t="n">
        <v>0</v>
      </c>
      <c r="R2324" s="184" t="n">
        <v>0</v>
      </c>
      <c r="S2324" s="183" t="n">
        <v>0</v>
      </c>
      <c r="T2324" s="183" t="n">
        <v>0</v>
      </c>
      <c r="U2324" s="182" t="n">
        <v>0</v>
      </c>
      <c r="V2324" s="182" t="n">
        <v>0</v>
      </c>
      <c r="W2324" s="182" t="n">
        <v>0</v>
      </c>
      <c r="X2324" s="182" t="n">
        <v>0</v>
      </c>
      <c r="Y2324" s="182" t="n">
        <v>0</v>
      </c>
      <c r="Z2324" s="182" t="n">
        <v>0</v>
      </c>
      <c r="AA2324" s="182" t="n">
        <v>0</v>
      </c>
      <c r="AB2324" s="182" t="n">
        <v>0</v>
      </c>
      <c r="AC2324" s="182" t="n">
        <v>0</v>
      </c>
      <c r="AD2324" s="182" t="n">
        <v>0</v>
      </c>
      <c r="AE2324" s="182" t="n">
        <v>0</v>
      </c>
      <c r="AF2324" s="182" t="n">
        <v>0</v>
      </c>
      <c r="AG2324" s="182" t="n">
        <v>0</v>
      </c>
      <c r="AH2324" s="182" t="n">
        <v>0</v>
      </c>
      <c r="AI2324" s="182" t="n">
        <v>0</v>
      </c>
      <c r="AJ2324" s="182" t="n">
        <v>0</v>
      </c>
      <c r="AK2324" s="182" t="n">
        <v>0</v>
      </c>
      <c r="AL2324" s="182" t="n">
        <v>0</v>
      </c>
      <c r="AM2324" s="182" t="n">
        <v>0</v>
      </c>
      <c r="AN2324" s="182" t="n">
        <v>0</v>
      </c>
    </row>
    <row r="2325">
      <c r="A2325" s="155" t="n">
        <v>46092</v>
      </c>
      <c r="B2325" s="156" t="inlineStr">
        <is>
          <t>NS</t>
        </is>
      </c>
      <c r="C2325" s="156" t="inlineStr">
        <is>
          <t>HT-415</t>
        </is>
      </c>
      <c r="D2325" s="156" t="inlineStr">
        <is>
          <t>SY430</t>
        </is>
      </c>
      <c r="E2325" s="156" t="inlineStr">
        <is>
          <t>DT Hauling</t>
        </is>
      </c>
      <c r="F2325" s="156" t="inlineStr"/>
      <c r="G2325" s="182" t="n">
        <v>0</v>
      </c>
      <c r="H2325" s="182" t="n">
        <v>0</v>
      </c>
      <c r="I2325" s="182" t="n">
        <v>12</v>
      </c>
      <c r="J2325" s="182" t="n">
        <v>12</v>
      </c>
      <c r="K2325" s="182" t="n">
        <v>0</v>
      </c>
      <c r="L2325" s="182" t="n">
        <v>12</v>
      </c>
      <c r="M2325" s="182" t="n">
        <v>0</v>
      </c>
      <c r="N2325" s="182" t="n">
        <v>0</v>
      </c>
      <c r="O2325" s="183" t="n">
        <v>0</v>
      </c>
      <c r="P2325" s="183" t="n">
        <v>0</v>
      </c>
      <c r="Q2325" s="184" t="n">
        <v>0</v>
      </c>
      <c r="R2325" s="184" t="n">
        <v>0</v>
      </c>
      <c r="S2325" s="183" t="n">
        <v>0</v>
      </c>
      <c r="T2325" s="183" t="n">
        <v>0</v>
      </c>
      <c r="U2325" s="182" t="n">
        <v>0</v>
      </c>
      <c r="V2325" s="182" t="n">
        <v>0</v>
      </c>
      <c r="W2325" s="182" t="n">
        <v>0</v>
      </c>
      <c r="X2325" s="182" t="n">
        <v>0</v>
      </c>
      <c r="Y2325" s="182" t="n">
        <v>0</v>
      </c>
      <c r="Z2325" s="182" t="n">
        <v>0</v>
      </c>
      <c r="AA2325" s="182" t="n">
        <v>0</v>
      </c>
      <c r="AB2325" s="182" t="n">
        <v>0</v>
      </c>
      <c r="AC2325" s="182" t="n">
        <v>0</v>
      </c>
      <c r="AD2325" s="182" t="n">
        <v>0</v>
      </c>
      <c r="AE2325" s="182" t="n">
        <v>0</v>
      </c>
      <c r="AF2325" s="182" t="n">
        <v>0</v>
      </c>
      <c r="AG2325" s="182" t="n">
        <v>0</v>
      </c>
      <c r="AH2325" s="182" t="n">
        <v>0</v>
      </c>
      <c r="AI2325" s="182" t="n">
        <v>0</v>
      </c>
      <c r="AJ2325" s="182" t="n">
        <v>0</v>
      </c>
      <c r="AK2325" s="182" t="n">
        <v>0</v>
      </c>
      <c r="AL2325" s="182" t="n">
        <v>0</v>
      </c>
      <c r="AM2325" s="182" t="n">
        <v>0</v>
      </c>
      <c r="AN2325" s="182" t="n">
        <v>0</v>
      </c>
    </row>
    <row r="2326">
      <c r="A2326" s="155" t="n">
        <v>46092</v>
      </c>
      <c r="B2326" s="156" t="inlineStr">
        <is>
          <t>NS</t>
        </is>
      </c>
      <c r="C2326" s="156" t="inlineStr">
        <is>
          <t>HT-406</t>
        </is>
      </c>
      <c r="D2326" s="156" t="inlineStr">
        <is>
          <t>SY430</t>
        </is>
      </c>
      <c r="E2326" s="156" t="inlineStr">
        <is>
          <t>DT Hauling</t>
        </is>
      </c>
      <c r="F2326" s="156" t="inlineStr"/>
      <c r="G2326" s="182" t="n">
        <v>0</v>
      </c>
      <c r="H2326" s="182" t="n">
        <v>0</v>
      </c>
      <c r="I2326" s="182" t="n">
        <v>12</v>
      </c>
      <c r="J2326" s="182" t="n">
        <v>12</v>
      </c>
      <c r="K2326" s="182" t="n">
        <v>0</v>
      </c>
      <c r="L2326" s="182" t="n">
        <v>12</v>
      </c>
      <c r="M2326" s="182" t="n">
        <v>0</v>
      </c>
      <c r="N2326" s="182" t="n">
        <v>0</v>
      </c>
      <c r="O2326" s="183" t="n">
        <v>0</v>
      </c>
      <c r="P2326" s="183" t="n">
        <v>0</v>
      </c>
      <c r="Q2326" s="184" t="n">
        <v>0</v>
      </c>
      <c r="R2326" s="184" t="n">
        <v>0</v>
      </c>
      <c r="S2326" s="183" t="n">
        <v>0</v>
      </c>
      <c r="T2326" s="183" t="n">
        <v>0</v>
      </c>
      <c r="U2326" s="182" t="n">
        <v>0</v>
      </c>
      <c r="V2326" s="182" t="n">
        <v>0</v>
      </c>
      <c r="W2326" s="182" t="n">
        <v>0</v>
      </c>
      <c r="X2326" s="182" t="n">
        <v>0</v>
      </c>
      <c r="Y2326" s="182" t="n">
        <v>0</v>
      </c>
      <c r="Z2326" s="182" t="n">
        <v>0</v>
      </c>
      <c r="AA2326" s="182" t="n">
        <v>0</v>
      </c>
      <c r="AB2326" s="182" t="n">
        <v>0</v>
      </c>
      <c r="AC2326" s="182" t="n">
        <v>0</v>
      </c>
      <c r="AD2326" s="182" t="n">
        <v>0</v>
      </c>
      <c r="AE2326" s="182" t="n">
        <v>0</v>
      </c>
      <c r="AF2326" s="182" t="n">
        <v>0</v>
      </c>
      <c r="AG2326" s="182" t="n">
        <v>0</v>
      </c>
      <c r="AH2326" s="182" t="n">
        <v>0</v>
      </c>
      <c r="AI2326" s="182" t="n">
        <v>0</v>
      </c>
      <c r="AJ2326" s="182" t="n">
        <v>0</v>
      </c>
      <c r="AK2326" s="182" t="n">
        <v>0</v>
      </c>
      <c r="AL2326" s="182" t="n">
        <v>0</v>
      </c>
      <c r="AM2326" s="182" t="n">
        <v>0</v>
      </c>
      <c r="AN2326" s="182" t="n">
        <v>0</v>
      </c>
    </row>
    <row r="2327">
      <c r="A2327" s="155" t="n">
        <v>46092</v>
      </c>
      <c r="B2327" s="156" t="inlineStr">
        <is>
          <t>NS</t>
        </is>
      </c>
      <c r="C2327" s="156" t="inlineStr">
        <is>
          <t>HT-405</t>
        </is>
      </c>
      <c r="D2327" s="156" t="inlineStr">
        <is>
          <t>SY430</t>
        </is>
      </c>
      <c r="E2327" s="156" t="inlineStr">
        <is>
          <t>DT Hauling</t>
        </is>
      </c>
      <c r="F2327" s="156" t="inlineStr"/>
      <c r="G2327" s="182" t="n">
        <v>0</v>
      </c>
      <c r="H2327" s="182" t="n">
        <v>0</v>
      </c>
      <c r="I2327" s="182" t="n">
        <v>0</v>
      </c>
      <c r="J2327" s="182" t="n">
        <v>0</v>
      </c>
      <c r="K2327" s="182" t="n">
        <v>12</v>
      </c>
      <c r="L2327" s="182" t="n">
        <v>12</v>
      </c>
      <c r="M2327" s="182" t="n">
        <v>0</v>
      </c>
      <c r="N2327" s="182" t="n">
        <v>0</v>
      </c>
      <c r="O2327" s="183" t="n">
        <v>0</v>
      </c>
      <c r="P2327" s="183" t="n">
        <v>0</v>
      </c>
      <c r="Q2327" s="184" t="n">
        <v>0</v>
      </c>
      <c r="R2327" s="184" t="n">
        <v>0</v>
      </c>
      <c r="S2327" s="183" t="n">
        <v>0</v>
      </c>
      <c r="T2327" s="183" t="n">
        <v>0</v>
      </c>
      <c r="U2327" s="182" t="n">
        <v>0</v>
      </c>
      <c r="V2327" s="182" t="n">
        <v>0</v>
      </c>
      <c r="W2327" s="182" t="n">
        <v>0</v>
      </c>
      <c r="X2327" s="182" t="n">
        <v>1</v>
      </c>
      <c r="Y2327" s="182" t="n">
        <v>0</v>
      </c>
      <c r="Z2327" s="182" t="n">
        <v>0</v>
      </c>
      <c r="AA2327" s="182" t="n">
        <v>0</v>
      </c>
      <c r="AB2327" s="182" t="n">
        <v>0</v>
      </c>
      <c r="AC2327" s="182" t="n">
        <v>0</v>
      </c>
      <c r="AD2327" s="182" t="n">
        <v>0</v>
      </c>
      <c r="AE2327" s="182" t="n">
        <v>0</v>
      </c>
      <c r="AF2327" s="182" t="n">
        <v>0</v>
      </c>
      <c r="AG2327" s="182" t="n">
        <v>0</v>
      </c>
      <c r="AH2327" s="182" t="n">
        <v>0</v>
      </c>
      <c r="AI2327" s="182" t="n">
        <v>0</v>
      </c>
      <c r="AJ2327" s="182" t="n">
        <v>0</v>
      </c>
      <c r="AK2327" s="182" t="n">
        <v>10.92</v>
      </c>
      <c r="AL2327" s="182" t="n">
        <v>0</v>
      </c>
      <c r="AM2327" s="182" t="n">
        <v>0.08</v>
      </c>
      <c r="AN2327" s="182" t="n">
        <v>0</v>
      </c>
    </row>
    <row r="2328">
      <c r="A2328" s="155" t="n">
        <v>46092</v>
      </c>
      <c r="B2328" s="156" t="inlineStr">
        <is>
          <t>NS</t>
        </is>
      </c>
      <c r="C2328" s="156" t="inlineStr">
        <is>
          <t>HT-417</t>
        </is>
      </c>
      <c r="D2328" s="156" t="inlineStr">
        <is>
          <t>SY430</t>
        </is>
      </c>
      <c r="E2328" s="156" t="inlineStr">
        <is>
          <t>DT Hauling</t>
        </is>
      </c>
      <c r="F2328" s="156" t="inlineStr"/>
      <c r="G2328" s="182" t="n">
        <v>0</v>
      </c>
      <c r="H2328" s="182" t="n">
        <v>0</v>
      </c>
      <c r="I2328" s="182" t="n">
        <v>0</v>
      </c>
      <c r="J2328" s="182" t="n">
        <v>0</v>
      </c>
      <c r="K2328" s="182" t="n">
        <v>12</v>
      </c>
      <c r="L2328" s="182" t="n">
        <v>12</v>
      </c>
      <c r="M2328" s="182" t="n">
        <v>0</v>
      </c>
      <c r="N2328" s="182" t="n">
        <v>0</v>
      </c>
      <c r="O2328" s="183" t="n">
        <v>0</v>
      </c>
      <c r="P2328" s="183" t="n">
        <v>0</v>
      </c>
      <c r="Q2328" s="184" t="n">
        <v>0</v>
      </c>
      <c r="R2328" s="184" t="n">
        <v>0</v>
      </c>
      <c r="S2328" s="183" t="n">
        <v>0</v>
      </c>
      <c r="T2328" s="183" t="n">
        <v>0</v>
      </c>
      <c r="U2328" s="182" t="n">
        <v>0</v>
      </c>
      <c r="V2328" s="182" t="n">
        <v>0</v>
      </c>
      <c r="W2328" s="182" t="n">
        <v>0</v>
      </c>
      <c r="X2328" s="182" t="n">
        <v>1</v>
      </c>
      <c r="Y2328" s="182" t="n">
        <v>0</v>
      </c>
      <c r="Z2328" s="182" t="n">
        <v>0</v>
      </c>
      <c r="AA2328" s="182" t="n">
        <v>0</v>
      </c>
      <c r="AB2328" s="182" t="n">
        <v>0</v>
      </c>
      <c r="AC2328" s="182" t="n">
        <v>0</v>
      </c>
      <c r="AD2328" s="182" t="n">
        <v>0</v>
      </c>
      <c r="AE2328" s="182" t="n">
        <v>0</v>
      </c>
      <c r="AF2328" s="182" t="n">
        <v>0</v>
      </c>
      <c r="AG2328" s="182" t="n">
        <v>0</v>
      </c>
      <c r="AH2328" s="182" t="n">
        <v>0</v>
      </c>
      <c r="AI2328" s="182" t="n">
        <v>0</v>
      </c>
      <c r="AJ2328" s="182" t="n">
        <v>0</v>
      </c>
      <c r="AK2328" s="182" t="n">
        <v>10.92</v>
      </c>
      <c r="AL2328" s="182" t="n">
        <v>0</v>
      </c>
      <c r="AM2328" s="182" t="n">
        <v>0.08</v>
      </c>
      <c r="AN2328" s="182" t="n">
        <v>0</v>
      </c>
    </row>
    <row r="2329">
      <c r="A2329" s="155" t="n">
        <v>46092</v>
      </c>
      <c r="B2329" s="156" t="inlineStr">
        <is>
          <t>NS</t>
        </is>
      </c>
      <c r="C2329" s="156" t="inlineStr">
        <is>
          <t>HT-401</t>
        </is>
      </c>
      <c r="D2329" s="156" t="inlineStr">
        <is>
          <t>SY430</t>
        </is>
      </c>
      <c r="E2329" s="156" t="inlineStr">
        <is>
          <t>DT Hauling</t>
        </is>
      </c>
      <c r="F2329" s="156" t="inlineStr"/>
      <c r="G2329" s="182" t="n">
        <v>0</v>
      </c>
      <c r="H2329" s="182" t="n">
        <v>0</v>
      </c>
      <c r="I2329" s="182" t="n">
        <v>0</v>
      </c>
      <c r="J2329" s="182" t="n">
        <v>0</v>
      </c>
      <c r="K2329" s="182" t="n">
        <v>12</v>
      </c>
      <c r="L2329" s="182" t="n">
        <v>12</v>
      </c>
      <c r="M2329" s="182" t="n">
        <v>0</v>
      </c>
      <c r="N2329" s="182" t="n">
        <v>0</v>
      </c>
      <c r="O2329" s="183" t="n">
        <v>0</v>
      </c>
      <c r="P2329" s="183" t="n">
        <v>0</v>
      </c>
      <c r="Q2329" s="184" t="n">
        <v>0</v>
      </c>
      <c r="R2329" s="184" t="n">
        <v>0</v>
      </c>
      <c r="S2329" s="183" t="n">
        <v>0</v>
      </c>
      <c r="T2329" s="183" t="n">
        <v>0</v>
      </c>
      <c r="U2329" s="182" t="n">
        <v>0</v>
      </c>
      <c r="V2329" s="182" t="n">
        <v>0</v>
      </c>
      <c r="W2329" s="182" t="n">
        <v>0</v>
      </c>
      <c r="X2329" s="182" t="n">
        <v>1</v>
      </c>
      <c r="Y2329" s="182" t="n">
        <v>0</v>
      </c>
      <c r="Z2329" s="182" t="n">
        <v>0</v>
      </c>
      <c r="AA2329" s="182" t="n">
        <v>0</v>
      </c>
      <c r="AB2329" s="182" t="n">
        <v>0</v>
      </c>
      <c r="AC2329" s="182" t="n">
        <v>0</v>
      </c>
      <c r="AD2329" s="182" t="n">
        <v>0</v>
      </c>
      <c r="AE2329" s="182" t="n">
        <v>0</v>
      </c>
      <c r="AF2329" s="182" t="n">
        <v>0</v>
      </c>
      <c r="AG2329" s="182" t="n">
        <v>0</v>
      </c>
      <c r="AH2329" s="182" t="n">
        <v>0</v>
      </c>
      <c r="AI2329" s="182" t="n">
        <v>0</v>
      </c>
      <c r="AJ2329" s="182" t="n">
        <v>0</v>
      </c>
      <c r="AK2329" s="182" t="n">
        <v>10.92</v>
      </c>
      <c r="AL2329" s="182" t="n">
        <v>0</v>
      </c>
      <c r="AM2329" s="182" t="n">
        <v>0.08</v>
      </c>
      <c r="AN2329" s="182" t="n">
        <v>0</v>
      </c>
    </row>
    <row r="2330">
      <c r="A2330" s="155" t="n">
        <v>46092</v>
      </c>
      <c r="B2330" s="156" t="inlineStr">
        <is>
          <t>NS</t>
        </is>
      </c>
      <c r="C2330" s="156" t="inlineStr">
        <is>
          <t>HT-410</t>
        </is>
      </c>
      <c r="D2330" s="156" t="inlineStr">
        <is>
          <t>SY430</t>
        </is>
      </c>
      <c r="E2330" s="156" t="inlineStr">
        <is>
          <t>DT Hauling</t>
        </is>
      </c>
      <c r="F2330" s="156" t="inlineStr"/>
      <c r="G2330" s="182" t="n">
        <v>0</v>
      </c>
      <c r="H2330" s="182" t="n">
        <v>0</v>
      </c>
      <c r="I2330" s="182" t="n">
        <v>0</v>
      </c>
      <c r="J2330" s="182" t="n">
        <v>0</v>
      </c>
      <c r="K2330" s="182" t="n">
        <v>12</v>
      </c>
      <c r="L2330" s="182" t="n">
        <v>12</v>
      </c>
      <c r="M2330" s="182" t="n">
        <v>0</v>
      </c>
      <c r="N2330" s="182" t="n">
        <v>0</v>
      </c>
      <c r="O2330" s="183" t="n">
        <v>0</v>
      </c>
      <c r="P2330" s="183" t="n">
        <v>0</v>
      </c>
      <c r="Q2330" s="184" t="n">
        <v>0</v>
      </c>
      <c r="R2330" s="184" t="n">
        <v>0</v>
      </c>
      <c r="S2330" s="183" t="n">
        <v>0</v>
      </c>
      <c r="T2330" s="183" t="n">
        <v>0</v>
      </c>
      <c r="U2330" s="182" t="n">
        <v>0</v>
      </c>
      <c r="V2330" s="182" t="n">
        <v>0</v>
      </c>
      <c r="W2330" s="182" t="n">
        <v>0</v>
      </c>
      <c r="X2330" s="182" t="n">
        <v>1</v>
      </c>
      <c r="Y2330" s="182" t="n">
        <v>0</v>
      </c>
      <c r="Z2330" s="182" t="n">
        <v>0</v>
      </c>
      <c r="AA2330" s="182" t="n">
        <v>0</v>
      </c>
      <c r="AB2330" s="182" t="n">
        <v>0</v>
      </c>
      <c r="AC2330" s="182" t="n">
        <v>0</v>
      </c>
      <c r="AD2330" s="182" t="n">
        <v>0</v>
      </c>
      <c r="AE2330" s="182" t="n">
        <v>0</v>
      </c>
      <c r="AF2330" s="182" t="n">
        <v>0</v>
      </c>
      <c r="AG2330" s="182" t="n">
        <v>0</v>
      </c>
      <c r="AH2330" s="182" t="n">
        <v>0</v>
      </c>
      <c r="AI2330" s="182" t="n">
        <v>0</v>
      </c>
      <c r="AJ2330" s="182" t="n">
        <v>0</v>
      </c>
      <c r="AK2330" s="182" t="n">
        <v>10.92</v>
      </c>
      <c r="AL2330" s="182" t="n">
        <v>0</v>
      </c>
      <c r="AM2330" s="182" t="n">
        <v>0.08</v>
      </c>
      <c r="AN2330" s="182" t="n">
        <v>0</v>
      </c>
    </row>
    <row r="2331">
      <c r="A2331" s="155" t="n">
        <v>46092</v>
      </c>
      <c r="B2331" s="156" t="inlineStr">
        <is>
          <t>NS</t>
        </is>
      </c>
      <c r="C2331" s="156" t="inlineStr">
        <is>
          <t>HT-402</t>
        </is>
      </c>
      <c r="D2331" s="156" t="inlineStr">
        <is>
          <t>SY430</t>
        </is>
      </c>
      <c r="E2331" s="156" t="inlineStr">
        <is>
          <t>DT Hauling</t>
        </is>
      </c>
      <c r="F2331" s="156" t="inlineStr"/>
      <c r="G2331" s="182" t="n">
        <v>0</v>
      </c>
      <c r="H2331" s="182" t="n">
        <v>0</v>
      </c>
      <c r="I2331" s="182" t="n">
        <v>0</v>
      </c>
      <c r="J2331" s="182" t="n">
        <v>0</v>
      </c>
      <c r="K2331" s="182" t="n">
        <v>12</v>
      </c>
      <c r="L2331" s="182" t="n">
        <v>12</v>
      </c>
      <c r="M2331" s="182" t="n">
        <v>0</v>
      </c>
      <c r="N2331" s="182" t="n">
        <v>0</v>
      </c>
      <c r="O2331" s="183" t="n">
        <v>0</v>
      </c>
      <c r="P2331" s="183" t="n">
        <v>0</v>
      </c>
      <c r="Q2331" s="184" t="n">
        <v>0</v>
      </c>
      <c r="R2331" s="184" t="n">
        <v>0</v>
      </c>
      <c r="S2331" s="183" t="n">
        <v>0</v>
      </c>
      <c r="T2331" s="183" t="n">
        <v>0</v>
      </c>
      <c r="U2331" s="182" t="n">
        <v>0</v>
      </c>
      <c r="V2331" s="182" t="n">
        <v>0</v>
      </c>
      <c r="W2331" s="182" t="n">
        <v>0</v>
      </c>
      <c r="X2331" s="182" t="n">
        <v>1</v>
      </c>
      <c r="Y2331" s="182" t="n">
        <v>0</v>
      </c>
      <c r="Z2331" s="182" t="n">
        <v>0</v>
      </c>
      <c r="AA2331" s="182" t="n">
        <v>0</v>
      </c>
      <c r="AB2331" s="182" t="n">
        <v>0</v>
      </c>
      <c r="AC2331" s="182" t="n">
        <v>0</v>
      </c>
      <c r="AD2331" s="182" t="n">
        <v>0</v>
      </c>
      <c r="AE2331" s="182" t="n">
        <v>0</v>
      </c>
      <c r="AF2331" s="182" t="n">
        <v>0</v>
      </c>
      <c r="AG2331" s="182" t="n">
        <v>0</v>
      </c>
      <c r="AH2331" s="182" t="n">
        <v>0</v>
      </c>
      <c r="AI2331" s="182" t="n">
        <v>0</v>
      </c>
      <c r="AJ2331" s="182" t="n">
        <v>0</v>
      </c>
      <c r="AK2331" s="182" t="n">
        <v>10.92</v>
      </c>
      <c r="AL2331" s="182" t="n">
        <v>0</v>
      </c>
      <c r="AM2331" s="182" t="n">
        <v>0.08</v>
      </c>
      <c r="AN2331" s="182" t="n">
        <v>0</v>
      </c>
    </row>
    <row r="2332">
      <c r="A2332" s="155" t="n">
        <v>46092</v>
      </c>
      <c r="B2332" s="156" t="inlineStr">
        <is>
          <t>NS</t>
        </is>
      </c>
      <c r="C2332" s="156" t="inlineStr">
        <is>
          <t>HT-419</t>
        </is>
      </c>
      <c r="D2332" s="156" t="inlineStr">
        <is>
          <t>SY430</t>
        </is>
      </c>
      <c r="E2332" s="156" t="inlineStr">
        <is>
          <t>DT Hauling</t>
        </is>
      </c>
      <c r="F2332" s="156" t="inlineStr"/>
      <c r="G2332" s="182" t="n">
        <v>0</v>
      </c>
      <c r="H2332" s="182" t="n">
        <v>0</v>
      </c>
      <c r="I2332" s="182" t="n">
        <v>0</v>
      </c>
      <c r="J2332" s="182" t="n">
        <v>0</v>
      </c>
      <c r="K2332" s="182" t="n">
        <v>12</v>
      </c>
      <c r="L2332" s="182" t="n">
        <v>12</v>
      </c>
      <c r="M2332" s="182" t="n">
        <v>0</v>
      </c>
      <c r="N2332" s="182" t="n">
        <v>0</v>
      </c>
      <c r="O2332" s="183" t="n">
        <v>0</v>
      </c>
      <c r="P2332" s="183" t="n">
        <v>0</v>
      </c>
      <c r="Q2332" s="184" t="n">
        <v>0</v>
      </c>
      <c r="R2332" s="184" t="n">
        <v>0</v>
      </c>
      <c r="S2332" s="183" t="n">
        <v>0</v>
      </c>
      <c r="T2332" s="183" t="n">
        <v>0</v>
      </c>
      <c r="U2332" s="182" t="n">
        <v>0</v>
      </c>
      <c r="V2332" s="182" t="n">
        <v>0</v>
      </c>
      <c r="W2332" s="182" t="n">
        <v>0</v>
      </c>
      <c r="X2332" s="182" t="n">
        <v>1</v>
      </c>
      <c r="Y2332" s="182" t="n">
        <v>0</v>
      </c>
      <c r="Z2332" s="182" t="n">
        <v>0</v>
      </c>
      <c r="AA2332" s="182" t="n">
        <v>0</v>
      </c>
      <c r="AB2332" s="182" t="n">
        <v>0</v>
      </c>
      <c r="AC2332" s="182" t="n">
        <v>0</v>
      </c>
      <c r="AD2332" s="182" t="n">
        <v>0</v>
      </c>
      <c r="AE2332" s="182" t="n">
        <v>0</v>
      </c>
      <c r="AF2332" s="182" t="n">
        <v>0</v>
      </c>
      <c r="AG2332" s="182" t="n">
        <v>0</v>
      </c>
      <c r="AH2332" s="182" t="n">
        <v>0</v>
      </c>
      <c r="AI2332" s="182" t="n">
        <v>0</v>
      </c>
      <c r="AJ2332" s="182" t="n">
        <v>0</v>
      </c>
      <c r="AK2332" s="182" t="n">
        <v>10.92</v>
      </c>
      <c r="AL2332" s="182" t="n">
        <v>0</v>
      </c>
      <c r="AM2332" s="182" t="n">
        <v>0.08</v>
      </c>
      <c r="AN2332" s="182" t="n">
        <v>0</v>
      </c>
    </row>
    <row r="2333">
      <c r="A2333" s="155" t="n">
        <v>46092</v>
      </c>
      <c r="B2333" s="156" t="inlineStr">
        <is>
          <t>NS</t>
        </is>
      </c>
      <c r="C2333" s="156" t="inlineStr">
        <is>
          <t>HT-416</t>
        </is>
      </c>
      <c r="D2333" s="156" t="inlineStr">
        <is>
          <t>SY430</t>
        </is>
      </c>
      <c r="E2333" s="156" t="inlineStr">
        <is>
          <t>DT Hauling</t>
        </is>
      </c>
      <c r="F2333" s="156" t="inlineStr"/>
      <c r="G2333" s="182" t="n">
        <v>0</v>
      </c>
      <c r="H2333" s="182" t="n">
        <v>0</v>
      </c>
      <c r="I2333" s="182" t="n">
        <v>0</v>
      </c>
      <c r="J2333" s="182" t="n">
        <v>0</v>
      </c>
      <c r="K2333" s="182" t="n">
        <v>12</v>
      </c>
      <c r="L2333" s="182" t="n">
        <v>12</v>
      </c>
      <c r="M2333" s="182" t="n">
        <v>0</v>
      </c>
      <c r="N2333" s="182" t="n">
        <v>0</v>
      </c>
      <c r="O2333" s="183" t="n">
        <v>0</v>
      </c>
      <c r="P2333" s="183" t="n">
        <v>0</v>
      </c>
      <c r="Q2333" s="184" t="n">
        <v>0</v>
      </c>
      <c r="R2333" s="184" t="n">
        <v>0</v>
      </c>
      <c r="S2333" s="183" t="n">
        <v>0</v>
      </c>
      <c r="T2333" s="183" t="n">
        <v>0</v>
      </c>
      <c r="U2333" s="182" t="n">
        <v>0</v>
      </c>
      <c r="V2333" s="182" t="n">
        <v>0</v>
      </c>
      <c r="W2333" s="182" t="n">
        <v>0</v>
      </c>
      <c r="X2333" s="182" t="n">
        <v>1</v>
      </c>
      <c r="Y2333" s="182" t="n">
        <v>0</v>
      </c>
      <c r="Z2333" s="182" t="n">
        <v>0</v>
      </c>
      <c r="AA2333" s="182" t="n">
        <v>0</v>
      </c>
      <c r="AB2333" s="182" t="n">
        <v>0</v>
      </c>
      <c r="AC2333" s="182" t="n">
        <v>0</v>
      </c>
      <c r="AD2333" s="182" t="n">
        <v>0</v>
      </c>
      <c r="AE2333" s="182" t="n">
        <v>0</v>
      </c>
      <c r="AF2333" s="182" t="n">
        <v>0</v>
      </c>
      <c r="AG2333" s="182" t="n">
        <v>0</v>
      </c>
      <c r="AH2333" s="182" t="n">
        <v>0</v>
      </c>
      <c r="AI2333" s="182" t="n">
        <v>0</v>
      </c>
      <c r="AJ2333" s="182" t="n">
        <v>0</v>
      </c>
      <c r="AK2333" s="182" t="n">
        <v>10.92</v>
      </c>
      <c r="AL2333" s="182" t="n">
        <v>0</v>
      </c>
      <c r="AM2333" s="182" t="n">
        <v>0.08</v>
      </c>
      <c r="AN2333" s="182" t="n">
        <v>0</v>
      </c>
    </row>
    <row r="2334">
      <c r="A2334" s="155" t="n">
        <v>46092</v>
      </c>
      <c r="B2334" s="156" t="inlineStr">
        <is>
          <t>NS</t>
        </is>
      </c>
      <c r="C2334" s="156" t="inlineStr">
        <is>
          <t>HT-420</t>
        </is>
      </c>
      <c r="D2334" s="156" t="inlineStr">
        <is>
          <t>SY430</t>
        </is>
      </c>
      <c r="E2334" s="156" t="inlineStr">
        <is>
          <t>DT Hauling</t>
        </is>
      </c>
      <c r="F2334" s="156" t="inlineStr"/>
      <c r="G2334" s="182" t="n">
        <v>0</v>
      </c>
      <c r="H2334" s="182" t="n">
        <v>0</v>
      </c>
      <c r="I2334" s="182" t="n">
        <v>0</v>
      </c>
      <c r="J2334" s="182" t="n">
        <v>0</v>
      </c>
      <c r="K2334" s="182" t="n">
        <v>12</v>
      </c>
      <c r="L2334" s="182" t="n">
        <v>12</v>
      </c>
      <c r="M2334" s="182" t="n">
        <v>0</v>
      </c>
      <c r="N2334" s="182" t="n">
        <v>0</v>
      </c>
      <c r="O2334" s="183" t="n">
        <v>0</v>
      </c>
      <c r="P2334" s="183" t="n">
        <v>0</v>
      </c>
      <c r="Q2334" s="184" t="n">
        <v>0</v>
      </c>
      <c r="R2334" s="184" t="n">
        <v>0</v>
      </c>
      <c r="S2334" s="183" t="n">
        <v>0</v>
      </c>
      <c r="T2334" s="183" t="n">
        <v>0</v>
      </c>
      <c r="U2334" s="182" t="n">
        <v>0</v>
      </c>
      <c r="V2334" s="182" t="n">
        <v>0</v>
      </c>
      <c r="W2334" s="182" t="n">
        <v>0</v>
      </c>
      <c r="X2334" s="182" t="n">
        <v>1</v>
      </c>
      <c r="Y2334" s="182" t="n">
        <v>0</v>
      </c>
      <c r="Z2334" s="182" t="n">
        <v>0</v>
      </c>
      <c r="AA2334" s="182" t="n">
        <v>0</v>
      </c>
      <c r="AB2334" s="182" t="n">
        <v>0</v>
      </c>
      <c r="AC2334" s="182" t="n">
        <v>0</v>
      </c>
      <c r="AD2334" s="182" t="n">
        <v>0</v>
      </c>
      <c r="AE2334" s="182" t="n">
        <v>0</v>
      </c>
      <c r="AF2334" s="182" t="n">
        <v>0</v>
      </c>
      <c r="AG2334" s="182" t="n">
        <v>0</v>
      </c>
      <c r="AH2334" s="182" t="n">
        <v>0</v>
      </c>
      <c r="AI2334" s="182" t="n">
        <v>0</v>
      </c>
      <c r="AJ2334" s="182" t="n">
        <v>0</v>
      </c>
      <c r="AK2334" s="182" t="n">
        <v>10.92</v>
      </c>
      <c r="AL2334" s="182" t="n">
        <v>0</v>
      </c>
      <c r="AM2334" s="182" t="n">
        <v>0.08</v>
      </c>
      <c r="AN2334" s="182" t="n">
        <v>0</v>
      </c>
    </row>
    <row r="2335">
      <c r="A2335" s="155" t="n">
        <v>46092</v>
      </c>
      <c r="B2335" s="156" t="inlineStr">
        <is>
          <t>NS</t>
        </is>
      </c>
      <c r="C2335" s="156" t="inlineStr">
        <is>
          <t>HT-403</t>
        </is>
      </c>
      <c r="D2335" s="156" t="inlineStr">
        <is>
          <t>SY430</t>
        </is>
      </c>
      <c r="E2335" s="156" t="inlineStr">
        <is>
          <t>DT Hauling</t>
        </is>
      </c>
      <c r="F2335" s="156" t="inlineStr"/>
      <c r="G2335" s="182" t="n">
        <v>0</v>
      </c>
      <c r="H2335" s="182" t="n">
        <v>0</v>
      </c>
      <c r="I2335" s="182" t="n">
        <v>0</v>
      </c>
      <c r="J2335" s="182" t="n">
        <v>0</v>
      </c>
      <c r="K2335" s="182" t="n">
        <v>12</v>
      </c>
      <c r="L2335" s="182" t="n">
        <v>12</v>
      </c>
      <c r="M2335" s="182" t="n">
        <v>0</v>
      </c>
      <c r="N2335" s="182" t="n">
        <v>0</v>
      </c>
      <c r="O2335" s="183" t="n">
        <v>0</v>
      </c>
      <c r="P2335" s="183" t="n">
        <v>0</v>
      </c>
      <c r="Q2335" s="184" t="n">
        <v>0</v>
      </c>
      <c r="R2335" s="184" t="n">
        <v>0</v>
      </c>
      <c r="S2335" s="183" t="n">
        <v>0</v>
      </c>
      <c r="T2335" s="183" t="n">
        <v>0</v>
      </c>
      <c r="U2335" s="182" t="n">
        <v>0</v>
      </c>
      <c r="V2335" s="182" t="n">
        <v>0</v>
      </c>
      <c r="W2335" s="182" t="n">
        <v>0</v>
      </c>
      <c r="X2335" s="182" t="n">
        <v>1</v>
      </c>
      <c r="Y2335" s="182" t="n">
        <v>0</v>
      </c>
      <c r="Z2335" s="182" t="n">
        <v>0</v>
      </c>
      <c r="AA2335" s="182" t="n">
        <v>0</v>
      </c>
      <c r="AB2335" s="182" t="n">
        <v>0</v>
      </c>
      <c r="AC2335" s="182" t="n">
        <v>0</v>
      </c>
      <c r="AD2335" s="182" t="n">
        <v>0</v>
      </c>
      <c r="AE2335" s="182" t="n">
        <v>0</v>
      </c>
      <c r="AF2335" s="182" t="n">
        <v>0</v>
      </c>
      <c r="AG2335" s="182" t="n">
        <v>0</v>
      </c>
      <c r="AH2335" s="182" t="n">
        <v>0</v>
      </c>
      <c r="AI2335" s="182" t="n">
        <v>0</v>
      </c>
      <c r="AJ2335" s="182" t="n">
        <v>0</v>
      </c>
      <c r="AK2335" s="182" t="n">
        <v>10.92</v>
      </c>
      <c r="AL2335" s="182" t="n">
        <v>0</v>
      </c>
      <c r="AM2335" s="182" t="n">
        <v>0.08</v>
      </c>
      <c r="AN2335" s="182" t="n">
        <v>0</v>
      </c>
    </row>
    <row r="2336">
      <c r="A2336" s="155" t="n">
        <v>46092</v>
      </c>
      <c r="B2336" s="156" t="inlineStr">
        <is>
          <t>NS</t>
        </is>
      </c>
      <c r="C2336" s="156" t="inlineStr">
        <is>
          <t>HT-408</t>
        </is>
      </c>
      <c r="D2336" s="156" t="inlineStr">
        <is>
          <t>SY430</t>
        </is>
      </c>
      <c r="E2336" s="156" t="inlineStr">
        <is>
          <t>DT Hauling</t>
        </is>
      </c>
      <c r="F2336" s="156" t="inlineStr"/>
      <c r="G2336" s="182" t="n">
        <v>0</v>
      </c>
      <c r="H2336" s="182" t="n">
        <v>0</v>
      </c>
      <c r="I2336" s="182" t="n">
        <v>0</v>
      </c>
      <c r="J2336" s="182" t="n">
        <v>0</v>
      </c>
      <c r="K2336" s="182" t="n">
        <v>12</v>
      </c>
      <c r="L2336" s="182" t="n">
        <v>12</v>
      </c>
      <c r="M2336" s="182" t="n">
        <v>0</v>
      </c>
      <c r="N2336" s="182" t="n">
        <v>0</v>
      </c>
      <c r="O2336" s="183" t="n">
        <v>0</v>
      </c>
      <c r="P2336" s="183" t="n">
        <v>0</v>
      </c>
      <c r="Q2336" s="184" t="n">
        <v>0</v>
      </c>
      <c r="R2336" s="184" t="n">
        <v>0</v>
      </c>
      <c r="S2336" s="183" t="n">
        <v>0</v>
      </c>
      <c r="T2336" s="183" t="n">
        <v>0</v>
      </c>
      <c r="U2336" s="182" t="n">
        <v>0</v>
      </c>
      <c r="V2336" s="182" t="n">
        <v>0</v>
      </c>
      <c r="W2336" s="182" t="n">
        <v>0</v>
      </c>
      <c r="X2336" s="182" t="n">
        <v>1</v>
      </c>
      <c r="Y2336" s="182" t="n">
        <v>0</v>
      </c>
      <c r="Z2336" s="182" t="n">
        <v>0</v>
      </c>
      <c r="AA2336" s="182" t="n">
        <v>0</v>
      </c>
      <c r="AB2336" s="182" t="n">
        <v>0</v>
      </c>
      <c r="AC2336" s="182" t="n">
        <v>0</v>
      </c>
      <c r="AD2336" s="182" t="n">
        <v>0</v>
      </c>
      <c r="AE2336" s="182" t="n">
        <v>0</v>
      </c>
      <c r="AF2336" s="182" t="n">
        <v>0</v>
      </c>
      <c r="AG2336" s="182" t="n">
        <v>0</v>
      </c>
      <c r="AH2336" s="182" t="n">
        <v>0</v>
      </c>
      <c r="AI2336" s="182" t="n">
        <v>0</v>
      </c>
      <c r="AJ2336" s="182" t="n">
        <v>0</v>
      </c>
      <c r="AK2336" s="182" t="n">
        <v>10.92</v>
      </c>
      <c r="AL2336" s="182" t="n">
        <v>0</v>
      </c>
      <c r="AM2336" s="182" t="n">
        <v>0.08</v>
      </c>
      <c r="AN2336" s="182" t="n">
        <v>0</v>
      </c>
    </row>
    <row r="2337">
      <c r="A2337" s="155" t="n">
        <v>46092</v>
      </c>
      <c r="B2337" s="156" t="inlineStr">
        <is>
          <t>NS</t>
        </is>
      </c>
      <c r="C2337" s="156" t="inlineStr">
        <is>
          <t>HT-412</t>
        </is>
      </c>
      <c r="D2337" s="156" t="inlineStr">
        <is>
          <t>SY430</t>
        </is>
      </c>
      <c r="E2337" s="156" t="inlineStr">
        <is>
          <t>DT Hauling</t>
        </is>
      </c>
      <c r="F2337" s="156" t="inlineStr"/>
      <c r="G2337" s="182" t="n">
        <v>0</v>
      </c>
      <c r="H2337" s="182" t="n">
        <v>0</v>
      </c>
      <c r="I2337" s="182" t="n">
        <v>0</v>
      </c>
      <c r="J2337" s="182" t="n">
        <v>0</v>
      </c>
      <c r="K2337" s="182" t="n">
        <v>12</v>
      </c>
      <c r="L2337" s="182" t="n">
        <v>12</v>
      </c>
      <c r="M2337" s="182" t="n">
        <v>0</v>
      </c>
      <c r="N2337" s="182" t="n">
        <v>0</v>
      </c>
      <c r="O2337" s="183" t="n">
        <v>0</v>
      </c>
      <c r="P2337" s="183" t="n">
        <v>0</v>
      </c>
      <c r="Q2337" s="184" t="n">
        <v>0</v>
      </c>
      <c r="R2337" s="184" t="n">
        <v>0</v>
      </c>
      <c r="S2337" s="183" t="n">
        <v>0</v>
      </c>
      <c r="T2337" s="183" t="n">
        <v>0</v>
      </c>
      <c r="U2337" s="182" t="n">
        <v>0</v>
      </c>
      <c r="V2337" s="182" t="n">
        <v>0</v>
      </c>
      <c r="W2337" s="182" t="n">
        <v>0</v>
      </c>
      <c r="X2337" s="182" t="n">
        <v>1</v>
      </c>
      <c r="Y2337" s="182" t="n">
        <v>0</v>
      </c>
      <c r="Z2337" s="182" t="n">
        <v>0</v>
      </c>
      <c r="AA2337" s="182" t="n">
        <v>0</v>
      </c>
      <c r="AB2337" s="182" t="n">
        <v>0</v>
      </c>
      <c r="AC2337" s="182" t="n">
        <v>0</v>
      </c>
      <c r="AD2337" s="182" t="n">
        <v>0</v>
      </c>
      <c r="AE2337" s="182" t="n">
        <v>0</v>
      </c>
      <c r="AF2337" s="182" t="n">
        <v>0</v>
      </c>
      <c r="AG2337" s="182" t="n">
        <v>0</v>
      </c>
      <c r="AH2337" s="182" t="n">
        <v>0</v>
      </c>
      <c r="AI2337" s="182" t="n">
        <v>0</v>
      </c>
      <c r="AJ2337" s="182" t="n">
        <v>0</v>
      </c>
      <c r="AK2337" s="182" t="n">
        <v>10.92</v>
      </c>
      <c r="AL2337" s="182" t="n">
        <v>0</v>
      </c>
      <c r="AM2337" s="182" t="n">
        <v>0.08</v>
      </c>
      <c r="AN2337" s="182" t="n">
        <v>0</v>
      </c>
    </row>
    <row r="2338">
      <c r="A2338" s="155" t="n">
        <v>46092</v>
      </c>
      <c r="B2338" s="156" t="inlineStr">
        <is>
          <t>NS</t>
        </is>
      </c>
      <c r="C2338" s="156" t="inlineStr">
        <is>
          <t>HT-413</t>
        </is>
      </c>
      <c r="D2338" s="156" t="inlineStr">
        <is>
          <t>SY430</t>
        </is>
      </c>
      <c r="E2338" s="156" t="inlineStr">
        <is>
          <t>DT Hauling</t>
        </is>
      </c>
      <c r="F2338" s="156" t="inlineStr"/>
      <c r="G2338" s="182" t="n">
        <v>0</v>
      </c>
      <c r="H2338" s="182" t="n">
        <v>0</v>
      </c>
      <c r="I2338" s="182" t="n">
        <v>0</v>
      </c>
      <c r="J2338" s="182" t="n">
        <v>0</v>
      </c>
      <c r="K2338" s="182" t="n">
        <v>12</v>
      </c>
      <c r="L2338" s="182" t="n">
        <v>12</v>
      </c>
      <c r="M2338" s="182" t="n">
        <v>0</v>
      </c>
      <c r="N2338" s="182" t="n">
        <v>0</v>
      </c>
      <c r="O2338" s="183" t="n">
        <v>0</v>
      </c>
      <c r="P2338" s="183" t="n">
        <v>0</v>
      </c>
      <c r="Q2338" s="184" t="n">
        <v>0</v>
      </c>
      <c r="R2338" s="184" t="n">
        <v>0</v>
      </c>
      <c r="S2338" s="183" t="n">
        <v>0</v>
      </c>
      <c r="T2338" s="183" t="n">
        <v>0</v>
      </c>
      <c r="U2338" s="182" t="n">
        <v>0</v>
      </c>
      <c r="V2338" s="182" t="n">
        <v>0</v>
      </c>
      <c r="W2338" s="182" t="n">
        <v>0</v>
      </c>
      <c r="X2338" s="182" t="n">
        <v>1</v>
      </c>
      <c r="Y2338" s="182" t="n">
        <v>0</v>
      </c>
      <c r="Z2338" s="182" t="n">
        <v>0</v>
      </c>
      <c r="AA2338" s="182" t="n">
        <v>0</v>
      </c>
      <c r="AB2338" s="182" t="n">
        <v>0</v>
      </c>
      <c r="AC2338" s="182" t="n">
        <v>0</v>
      </c>
      <c r="AD2338" s="182" t="n">
        <v>0</v>
      </c>
      <c r="AE2338" s="182" t="n">
        <v>0</v>
      </c>
      <c r="AF2338" s="182" t="n">
        <v>0</v>
      </c>
      <c r="AG2338" s="182" t="n">
        <v>0</v>
      </c>
      <c r="AH2338" s="182" t="n">
        <v>0</v>
      </c>
      <c r="AI2338" s="182" t="n">
        <v>0</v>
      </c>
      <c r="AJ2338" s="182" t="n">
        <v>0</v>
      </c>
      <c r="AK2338" s="182" t="n">
        <v>10.92</v>
      </c>
      <c r="AL2338" s="182" t="n">
        <v>0</v>
      </c>
      <c r="AM2338" s="182" t="n">
        <v>0.08</v>
      </c>
      <c r="AN2338" s="182" t="n">
        <v>0</v>
      </c>
    </row>
    <row r="2339">
      <c r="A2339" s="155" t="n">
        <v>46092</v>
      </c>
      <c r="B2339" s="156" t="inlineStr">
        <is>
          <t>NS</t>
        </is>
      </c>
      <c r="C2339" s="156" t="inlineStr">
        <is>
          <t>HT-407</t>
        </is>
      </c>
      <c r="D2339" s="156" t="inlineStr">
        <is>
          <t>SY430</t>
        </is>
      </c>
      <c r="E2339" s="156" t="inlineStr">
        <is>
          <t>DT Hauling</t>
        </is>
      </c>
      <c r="F2339" s="156" t="inlineStr"/>
      <c r="G2339" s="182" t="n">
        <v>0</v>
      </c>
      <c r="H2339" s="182" t="n">
        <v>0</v>
      </c>
      <c r="I2339" s="182" t="n">
        <v>0</v>
      </c>
      <c r="J2339" s="182" t="n">
        <v>0</v>
      </c>
      <c r="K2339" s="182" t="n">
        <v>12</v>
      </c>
      <c r="L2339" s="182" t="n">
        <v>12</v>
      </c>
      <c r="M2339" s="182" t="n">
        <v>0</v>
      </c>
      <c r="N2339" s="182" t="n">
        <v>0</v>
      </c>
      <c r="O2339" s="183" t="n">
        <v>0</v>
      </c>
      <c r="P2339" s="183" t="n">
        <v>0</v>
      </c>
      <c r="Q2339" s="184" t="n">
        <v>0</v>
      </c>
      <c r="R2339" s="184" t="n">
        <v>0</v>
      </c>
      <c r="S2339" s="183" t="n">
        <v>0</v>
      </c>
      <c r="T2339" s="183" t="n">
        <v>0</v>
      </c>
      <c r="U2339" s="182" t="n">
        <v>0</v>
      </c>
      <c r="V2339" s="182" t="n">
        <v>0</v>
      </c>
      <c r="W2339" s="182" t="n">
        <v>0</v>
      </c>
      <c r="X2339" s="182" t="n">
        <v>1</v>
      </c>
      <c r="Y2339" s="182" t="n">
        <v>0</v>
      </c>
      <c r="Z2339" s="182" t="n">
        <v>0</v>
      </c>
      <c r="AA2339" s="182" t="n">
        <v>0</v>
      </c>
      <c r="AB2339" s="182" t="n">
        <v>0</v>
      </c>
      <c r="AC2339" s="182" t="n">
        <v>0</v>
      </c>
      <c r="AD2339" s="182" t="n">
        <v>0</v>
      </c>
      <c r="AE2339" s="182" t="n">
        <v>0</v>
      </c>
      <c r="AF2339" s="182" t="n">
        <v>0</v>
      </c>
      <c r="AG2339" s="182" t="n">
        <v>0</v>
      </c>
      <c r="AH2339" s="182" t="n">
        <v>0</v>
      </c>
      <c r="AI2339" s="182" t="n">
        <v>0</v>
      </c>
      <c r="AJ2339" s="182" t="n">
        <v>0</v>
      </c>
      <c r="AK2339" s="182" t="n">
        <v>10.92</v>
      </c>
      <c r="AL2339" s="182" t="n">
        <v>0</v>
      </c>
      <c r="AM2339" s="182" t="n">
        <v>0.08</v>
      </c>
      <c r="AN2339" s="182" t="n">
        <v>0</v>
      </c>
    </row>
    <row r="2340">
      <c r="A2340" s="155" t="n">
        <v>46092</v>
      </c>
      <c r="B2340" s="156" t="inlineStr">
        <is>
          <t>NS</t>
        </is>
      </c>
      <c r="C2340" s="156" t="inlineStr">
        <is>
          <t>HT-414</t>
        </is>
      </c>
      <c r="D2340" s="156" t="inlineStr">
        <is>
          <t>SY430</t>
        </is>
      </c>
      <c r="E2340" s="156" t="inlineStr">
        <is>
          <t>DT Hauling</t>
        </is>
      </c>
      <c r="F2340" s="156" t="inlineStr"/>
      <c r="G2340" s="182" t="n">
        <v>0</v>
      </c>
      <c r="H2340" s="182" t="n">
        <v>0</v>
      </c>
      <c r="I2340" s="182" t="n">
        <v>0</v>
      </c>
      <c r="J2340" s="182" t="n">
        <v>0</v>
      </c>
      <c r="K2340" s="182" t="n">
        <v>12</v>
      </c>
      <c r="L2340" s="182" t="n">
        <v>12</v>
      </c>
      <c r="M2340" s="182" t="n">
        <v>0</v>
      </c>
      <c r="N2340" s="182" t="n">
        <v>0</v>
      </c>
      <c r="O2340" s="183" t="n">
        <v>0</v>
      </c>
      <c r="P2340" s="183" t="n">
        <v>0</v>
      </c>
      <c r="Q2340" s="184" t="n">
        <v>0</v>
      </c>
      <c r="R2340" s="184" t="n">
        <v>0</v>
      </c>
      <c r="S2340" s="183" t="n">
        <v>0</v>
      </c>
      <c r="T2340" s="183" t="n">
        <v>0</v>
      </c>
      <c r="U2340" s="182" t="n">
        <v>0</v>
      </c>
      <c r="V2340" s="182" t="n">
        <v>0</v>
      </c>
      <c r="W2340" s="182" t="n">
        <v>0</v>
      </c>
      <c r="X2340" s="182" t="n">
        <v>1</v>
      </c>
      <c r="Y2340" s="182" t="n">
        <v>0</v>
      </c>
      <c r="Z2340" s="182" t="n">
        <v>0</v>
      </c>
      <c r="AA2340" s="182" t="n">
        <v>0</v>
      </c>
      <c r="AB2340" s="182" t="n">
        <v>0</v>
      </c>
      <c r="AC2340" s="182" t="n">
        <v>0</v>
      </c>
      <c r="AD2340" s="182" t="n">
        <v>0</v>
      </c>
      <c r="AE2340" s="182" t="n">
        <v>0</v>
      </c>
      <c r="AF2340" s="182" t="n">
        <v>0</v>
      </c>
      <c r="AG2340" s="182" t="n">
        <v>0</v>
      </c>
      <c r="AH2340" s="182" t="n">
        <v>0</v>
      </c>
      <c r="AI2340" s="182" t="n">
        <v>0</v>
      </c>
      <c r="AJ2340" s="182" t="n">
        <v>0</v>
      </c>
      <c r="AK2340" s="182" t="n">
        <v>10.92</v>
      </c>
      <c r="AL2340" s="182" t="n">
        <v>0</v>
      </c>
      <c r="AM2340" s="182" t="n">
        <v>0.08</v>
      </c>
      <c r="AN2340" s="182" t="n">
        <v>0</v>
      </c>
    </row>
    <row r="2341">
      <c r="A2341" s="155" t="n">
        <v>46092</v>
      </c>
      <c r="B2341" s="156" t="inlineStr">
        <is>
          <t>NS</t>
        </is>
      </c>
      <c r="C2341" s="156" t="inlineStr">
        <is>
          <t>HT-411</t>
        </is>
      </c>
      <c r="D2341" s="156" t="inlineStr">
        <is>
          <t>SY430</t>
        </is>
      </c>
      <c r="E2341" s="156" t="inlineStr">
        <is>
          <t>DT Hauling</t>
        </is>
      </c>
      <c r="F2341" s="156" t="inlineStr"/>
      <c r="G2341" s="182" t="n">
        <v>0</v>
      </c>
      <c r="H2341" s="182" t="n">
        <v>0</v>
      </c>
      <c r="I2341" s="182" t="n">
        <v>0</v>
      </c>
      <c r="J2341" s="182" t="n">
        <v>0</v>
      </c>
      <c r="K2341" s="182" t="n">
        <v>12</v>
      </c>
      <c r="L2341" s="182" t="n">
        <v>12</v>
      </c>
      <c r="M2341" s="182" t="n">
        <v>0</v>
      </c>
      <c r="N2341" s="182" t="n">
        <v>0</v>
      </c>
      <c r="O2341" s="183" t="n">
        <v>0</v>
      </c>
      <c r="P2341" s="183" t="n">
        <v>0</v>
      </c>
      <c r="Q2341" s="184" t="n">
        <v>0</v>
      </c>
      <c r="R2341" s="184" t="n">
        <v>0</v>
      </c>
      <c r="S2341" s="183" t="n">
        <v>0</v>
      </c>
      <c r="T2341" s="183" t="n">
        <v>0</v>
      </c>
      <c r="U2341" s="182" t="n">
        <v>0</v>
      </c>
      <c r="V2341" s="182" t="n">
        <v>0</v>
      </c>
      <c r="W2341" s="182" t="n">
        <v>0</v>
      </c>
      <c r="X2341" s="182" t="n">
        <v>1</v>
      </c>
      <c r="Y2341" s="182" t="n">
        <v>0</v>
      </c>
      <c r="Z2341" s="182" t="n">
        <v>0</v>
      </c>
      <c r="AA2341" s="182" t="n">
        <v>0</v>
      </c>
      <c r="AB2341" s="182" t="n">
        <v>0</v>
      </c>
      <c r="AC2341" s="182" t="n">
        <v>0</v>
      </c>
      <c r="AD2341" s="182" t="n">
        <v>0</v>
      </c>
      <c r="AE2341" s="182" t="n">
        <v>0</v>
      </c>
      <c r="AF2341" s="182" t="n">
        <v>0</v>
      </c>
      <c r="AG2341" s="182" t="n">
        <v>0</v>
      </c>
      <c r="AH2341" s="182" t="n">
        <v>0</v>
      </c>
      <c r="AI2341" s="182" t="n">
        <v>0</v>
      </c>
      <c r="AJ2341" s="182" t="n">
        <v>0</v>
      </c>
      <c r="AK2341" s="182" t="n">
        <v>10.92</v>
      </c>
      <c r="AL2341" s="182" t="n">
        <v>0</v>
      </c>
      <c r="AM2341" s="182" t="n">
        <v>0.08</v>
      </c>
      <c r="AN2341" s="182" t="n">
        <v>0</v>
      </c>
    </row>
    <row r="2342">
      <c r="A2342" s="155" t="n">
        <v>46092</v>
      </c>
      <c r="B2342" s="156" t="inlineStr">
        <is>
          <t>NS</t>
        </is>
      </c>
      <c r="C2342" s="156" t="inlineStr">
        <is>
          <t>HT-409</t>
        </is>
      </c>
      <c r="D2342" s="156" t="inlineStr">
        <is>
          <t>SY430</t>
        </is>
      </c>
      <c r="E2342" s="156" t="inlineStr">
        <is>
          <t>DT Hauling</t>
        </is>
      </c>
      <c r="F2342" s="156" t="inlineStr"/>
      <c r="G2342" s="182" t="n">
        <v>0</v>
      </c>
      <c r="H2342" s="182" t="n">
        <v>0</v>
      </c>
      <c r="I2342" s="182" t="n">
        <v>0</v>
      </c>
      <c r="J2342" s="182" t="n">
        <v>0</v>
      </c>
      <c r="K2342" s="182" t="n">
        <v>12</v>
      </c>
      <c r="L2342" s="182" t="n">
        <v>12</v>
      </c>
      <c r="M2342" s="182" t="n">
        <v>0</v>
      </c>
      <c r="N2342" s="182" t="n">
        <v>0</v>
      </c>
      <c r="O2342" s="183" t="n">
        <v>0</v>
      </c>
      <c r="P2342" s="183" t="n">
        <v>0</v>
      </c>
      <c r="Q2342" s="184" t="n">
        <v>0</v>
      </c>
      <c r="R2342" s="184" t="n">
        <v>0</v>
      </c>
      <c r="S2342" s="183" t="n">
        <v>0</v>
      </c>
      <c r="T2342" s="183" t="n">
        <v>0</v>
      </c>
      <c r="U2342" s="182" t="n">
        <v>0</v>
      </c>
      <c r="V2342" s="182" t="n">
        <v>0</v>
      </c>
      <c r="W2342" s="182" t="n">
        <v>0</v>
      </c>
      <c r="X2342" s="182" t="n">
        <v>1</v>
      </c>
      <c r="Y2342" s="182" t="n">
        <v>0</v>
      </c>
      <c r="Z2342" s="182" t="n">
        <v>0</v>
      </c>
      <c r="AA2342" s="182" t="n">
        <v>0</v>
      </c>
      <c r="AB2342" s="182" t="n">
        <v>0</v>
      </c>
      <c r="AC2342" s="182" t="n">
        <v>0</v>
      </c>
      <c r="AD2342" s="182" t="n">
        <v>0</v>
      </c>
      <c r="AE2342" s="182" t="n">
        <v>0</v>
      </c>
      <c r="AF2342" s="182" t="n">
        <v>0</v>
      </c>
      <c r="AG2342" s="182" t="n">
        <v>0</v>
      </c>
      <c r="AH2342" s="182" t="n">
        <v>0</v>
      </c>
      <c r="AI2342" s="182" t="n">
        <v>0</v>
      </c>
      <c r="AJ2342" s="182" t="n">
        <v>0</v>
      </c>
      <c r="AK2342" s="182" t="n">
        <v>10.92</v>
      </c>
      <c r="AL2342" s="182" t="n">
        <v>0</v>
      </c>
      <c r="AM2342" s="182" t="n">
        <v>0.08</v>
      </c>
      <c r="AN2342" s="182" t="n">
        <v>0</v>
      </c>
    </row>
    <row r="2343">
      <c r="A2343" s="155" t="n">
        <v>46092</v>
      </c>
      <c r="B2343" s="156" t="inlineStr">
        <is>
          <t>NS</t>
        </is>
      </c>
      <c r="C2343" s="156" t="inlineStr">
        <is>
          <t>DH-103</t>
        </is>
      </c>
      <c r="D2343" s="156" t="inlineStr">
        <is>
          <t>HINO FM260</t>
        </is>
      </c>
      <c r="E2343" s="156" t="inlineStr">
        <is>
          <t>DT Hino</t>
        </is>
      </c>
      <c r="F2343" s="156" t="inlineStr"/>
      <c r="G2343" s="182" t="n">
        <v>0</v>
      </c>
      <c r="H2343" s="182" t="n">
        <v>0</v>
      </c>
      <c r="I2343" s="182" t="n">
        <v>12</v>
      </c>
      <c r="J2343" s="182" t="n">
        <v>12</v>
      </c>
      <c r="K2343" s="182" t="n">
        <v>0</v>
      </c>
      <c r="L2343" s="182" t="n">
        <v>12</v>
      </c>
      <c r="M2343" s="182" t="n">
        <v>0</v>
      </c>
      <c r="N2343" s="182" t="n">
        <v>0</v>
      </c>
      <c r="O2343" s="183" t="n">
        <v>0</v>
      </c>
      <c r="P2343" s="183" t="n">
        <v>0</v>
      </c>
      <c r="Q2343" s="184" t="n">
        <v>0</v>
      </c>
      <c r="R2343" s="184" t="n">
        <v>0</v>
      </c>
      <c r="S2343" s="183" t="n">
        <v>0</v>
      </c>
      <c r="T2343" s="183" t="n">
        <v>0</v>
      </c>
      <c r="U2343" s="182" t="n">
        <v>0</v>
      </c>
      <c r="V2343" s="182" t="n">
        <v>0</v>
      </c>
      <c r="W2343" s="182" t="n">
        <v>0</v>
      </c>
      <c r="X2343" s="182" t="n">
        <v>0</v>
      </c>
      <c r="Y2343" s="182" t="n">
        <v>0</v>
      </c>
      <c r="Z2343" s="182" t="n">
        <v>0</v>
      </c>
      <c r="AA2343" s="182" t="n">
        <v>0</v>
      </c>
      <c r="AB2343" s="182" t="n">
        <v>0</v>
      </c>
      <c r="AC2343" s="182" t="n">
        <v>0</v>
      </c>
      <c r="AD2343" s="182" t="n">
        <v>0</v>
      </c>
      <c r="AE2343" s="182" t="n">
        <v>0</v>
      </c>
      <c r="AF2343" s="182" t="n">
        <v>0</v>
      </c>
      <c r="AG2343" s="182" t="n">
        <v>0</v>
      </c>
      <c r="AH2343" s="182" t="n">
        <v>0</v>
      </c>
      <c r="AI2343" s="182" t="n">
        <v>0</v>
      </c>
      <c r="AJ2343" s="182" t="n">
        <v>0</v>
      </c>
      <c r="AK2343" s="182" t="n">
        <v>0</v>
      </c>
      <c r="AL2343" s="182" t="n">
        <v>0</v>
      </c>
      <c r="AM2343" s="182" t="n">
        <v>0</v>
      </c>
      <c r="AN2343" s="182" t="n">
        <v>0</v>
      </c>
    </row>
    <row r="2344">
      <c r="A2344" s="155" t="n">
        <v>46092</v>
      </c>
      <c r="B2344" s="156" t="inlineStr">
        <is>
          <t>NS</t>
        </is>
      </c>
      <c r="C2344" s="156" t="inlineStr">
        <is>
          <t>DH-102</t>
        </is>
      </c>
      <c r="D2344" s="156" t="inlineStr">
        <is>
          <t>HINO FM260</t>
        </is>
      </c>
      <c r="E2344" s="156" t="inlineStr">
        <is>
          <t>DT Hino</t>
        </is>
      </c>
      <c r="F2344" s="156" t="inlineStr"/>
      <c r="G2344" s="182" t="n">
        <v>0</v>
      </c>
      <c r="H2344" s="182" t="n">
        <v>0</v>
      </c>
      <c r="I2344" s="182" t="n">
        <v>0</v>
      </c>
      <c r="J2344" s="182" t="n">
        <v>0</v>
      </c>
      <c r="K2344" s="182" t="n">
        <v>12</v>
      </c>
      <c r="L2344" s="182" t="n">
        <v>12</v>
      </c>
      <c r="M2344" s="182" t="n">
        <v>0</v>
      </c>
      <c r="N2344" s="182" t="n">
        <v>0</v>
      </c>
      <c r="O2344" s="183" t="n">
        <v>0</v>
      </c>
      <c r="P2344" s="183" t="n">
        <v>0</v>
      </c>
      <c r="Q2344" s="184" t="n">
        <v>0</v>
      </c>
      <c r="R2344" s="184" t="n">
        <v>0</v>
      </c>
      <c r="S2344" s="183" t="n">
        <v>0</v>
      </c>
      <c r="T2344" s="183" t="n">
        <v>0</v>
      </c>
      <c r="U2344" s="182" t="n">
        <v>0</v>
      </c>
      <c r="V2344" s="182" t="n">
        <v>0</v>
      </c>
      <c r="W2344" s="182" t="n">
        <v>0</v>
      </c>
      <c r="X2344" s="182" t="n">
        <v>1</v>
      </c>
      <c r="Y2344" s="182" t="n">
        <v>0</v>
      </c>
      <c r="Z2344" s="182" t="n">
        <v>0</v>
      </c>
      <c r="AA2344" s="182" t="n">
        <v>0</v>
      </c>
      <c r="AB2344" s="182" t="n">
        <v>0</v>
      </c>
      <c r="AC2344" s="182" t="n">
        <v>0</v>
      </c>
      <c r="AD2344" s="182" t="n">
        <v>0</v>
      </c>
      <c r="AE2344" s="182" t="n">
        <v>0</v>
      </c>
      <c r="AF2344" s="182" t="n">
        <v>0</v>
      </c>
      <c r="AG2344" s="182" t="n">
        <v>0</v>
      </c>
      <c r="AH2344" s="182" t="n">
        <v>0</v>
      </c>
      <c r="AI2344" s="182" t="n">
        <v>0</v>
      </c>
      <c r="AJ2344" s="182" t="n">
        <v>0</v>
      </c>
      <c r="AK2344" s="182" t="n">
        <v>10.92</v>
      </c>
      <c r="AL2344" s="182" t="n">
        <v>0</v>
      </c>
      <c r="AM2344" s="182" t="n">
        <v>0.08</v>
      </c>
      <c r="AN2344" s="182" t="n">
        <v>0</v>
      </c>
    </row>
    <row r="2345">
      <c r="A2345" s="155" t="n">
        <v>46092</v>
      </c>
      <c r="B2345" s="156" t="inlineStr">
        <is>
          <t>NS</t>
        </is>
      </c>
      <c r="C2345" s="156" t="inlineStr">
        <is>
          <t>DH-101</t>
        </is>
      </c>
      <c r="D2345" s="156" t="inlineStr">
        <is>
          <t>HINO FM260</t>
        </is>
      </c>
      <c r="E2345" s="156" t="inlineStr">
        <is>
          <t>DT Hino</t>
        </is>
      </c>
      <c r="F2345" s="156" t="inlineStr"/>
      <c r="G2345" s="182" t="n">
        <v>0</v>
      </c>
      <c r="H2345" s="182" t="n">
        <v>0</v>
      </c>
      <c r="I2345" s="182" t="n">
        <v>0</v>
      </c>
      <c r="J2345" s="182" t="n">
        <v>0</v>
      </c>
      <c r="K2345" s="182" t="n">
        <v>12</v>
      </c>
      <c r="L2345" s="182" t="n">
        <v>12</v>
      </c>
      <c r="M2345" s="182" t="n">
        <v>0</v>
      </c>
      <c r="N2345" s="182" t="n">
        <v>0</v>
      </c>
      <c r="O2345" s="183" t="n">
        <v>0</v>
      </c>
      <c r="P2345" s="183" t="n">
        <v>0</v>
      </c>
      <c r="Q2345" s="184" t="n">
        <v>0</v>
      </c>
      <c r="R2345" s="184" t="n">
        <v>0</v>
      </c>
      <c r="S2345" s="183" t="n">
        <v>0</v>
      </c>
      <c r="T2345" s="183" t="n">
        <v>0</v>
      </c>
      <c r="U2345" s="182" t="n">
        <v>0</v>
      </c>
      <c r="V2345" s="182" t="n">
        <v>0</v>
      </c>
      <c r="W2345" s="182" t="n">
        <v>0</v>
      </c>
      <c r="X2345" s="182" t="n">
        <v>1</v>
      </c>
      <c r="Y2345" s="182" t="n">
        <v>0</v>
      </c>
      <c r="Z2345" s="182" t="n">
        <v>0</v>
      </c>
      <c r="AA2345" s="182" t="n">
        <v>0</v>
      </c>
      <c r="AB2345" s="182" t="n">
        <v>0</v>
      </c>
      <c r="AC2345" s="182" t="n">
        <v>0</v>
      </c>
      <c r="AD2345" s="182" t="n">
        <v>0</v>
      </c>
      <c r="AE2345" s="182" t="n">
        <v>0</v>
      </c>
      <c r="AF2345" s="182" t="n">
        <v>0</v>
      </c>
      <c r="AG2345" s="182" t="n">
        <v>0</v>
      </c>
      <c r="AH2345" s="182" t="n">
        <v>0</v>
      </c>
      <c r="AI2345" s="182" t="n">
        <v>0</v>
      </c>
      <c r="AJ2345" s="182" t="n">
        <v>0</v>
      </c>
      <c r="AK2345" s="182" t="n">
        <v>10.92</v>
      </c>
      <c r="AL2345" s="182" t="n">
        <v>0</v>
      </c>
      <c r="AM2345" s="182" t="n">
        <v>0.08</v>
      </c>
      <c r="AN2345" s="182" t="n">
        <v>0</v>
      </c>
    </row>
    <row r="2346">
      <c r="A2346" s="155" t="n">
        <v>46092</v>
      </c>
      <c r="B2346" s="156" t="inlineStr">
        <is>
          <t>NS</t>
        </is>
      </c>
      <c r="C2346" s="156" t="inlineStr">
        <is>
          <t>EX-1251</t>
        </is>
      </c>
      <c r="D2346" s="156" t="inlineStr">
        <is>
          <t>SY1250</t>
        </is>
      </c>
      <c r="E2346" s="156" t="inlineStr">
        <is>
          <t>Excavator</t>
        </is>
      </c>
      <c r="F2346" s="156" t="inlineStr">
        <is>
          <t>Loading OB</t>
        </is>
      </c>
      <c r="G2346" s="182" t="n">
        <v>7.35</v>
      </c>
      <c r="H2346" s="182" t="n">
        <v>0</v>
      </c>
      <c r="I2346" s="182" t="n">
        <v>0.17</v>
      </c>
      <c r="J2346" s="182" t="n">
        <v>0.17</v>
      </c>
      <c r="K2346" s="182" t="n">
        <v>4.48</v>
      </c>
      <c r="L2346" s="182" t="n">
        <v>12</v>
      </c>
      <c r="M2346" s="182" t="n">
        <v>6.37</v>
      </c>
      <c r="N2346" s="182" t="n">
        <v>0</v>
      </c>
      <c r="O2346" s="183" t="n">
        <v>135</v>
      </c>
      <c r="P2346" s="183" t="n">
        <v>0</v>
      </c>
      <c r="Q2346" s="184" t="n">
        <v>2754</v>
      </c>
      <c r="R2346" s="184" t="n">
        <v>0</v>
      </c>
      <c r="S2346" s="183" t="n">
        <v>0</v>
      </c>
      <c r="T2346" s="183" t="n">
        <v>0</v>
      </c>
      <c r="U2346" s="182" t="n">
        <v>3.48</v>
      </c>
      <c r="V2346" s="182" t="n">
        <v>0</v>
      </c>
      <c r="W2346" s="182" t="n">
        <v>0</v>
      </c>
      <c r="X2346" s="182" t="n">
        <v>0.93</v>
      </c>
      <c r="Y2346" s="182" t="n">
        <v>0</v>
      </c>
      <c r="Z2346" s="182" t="n">
        <v>0</v>
      </c>
      <c r="AA2346" s="182" t="n">
        <v>0</v>
      </c>
      <c r="AB2346" s="182" t="n">
        <v>0</v>
      </c>
      <c r="AC2346" s="182" t="n">
        <v>0</v>
      </c>
      <c r="AD2346" s="182" t="n">
        <v>0</v>
      </c>
      <c r="AE2346" s="182" t="n">
        <v>0</v>
      </c>
      <c r="AF2346" s="182" t="n">
        <v>0</v>
      </c>
      <c r="AG2346" s="182" t="n">
        <v>0</v>
      </c>
      <c r="AH2346" s="182" t="n">
        <v>0</v>
      </c>
      <c r="AI2346" s="182" t="n">
        <v>0</v>
      </c>
      <c r="AJ2346" s="182" t="n">
        <v>0</v>
      </c>
      <c r="AK2346" s="182" t="n">
        <v>0</v>
      </c>
      <c r="AL2346" s="182" t="n">
        <v>0</v>
      </c>
      <c r="AM2346" s="182" t="n">
        <v>0.07000000000000001</v>
      </c>
      <c r="AN2346" s="182" t="n">
        <v>0</v>
      </c>
    </row>
    <row r="2347">
      <c r="A2347" s="155" t="n">
        <v>46092</v>
      </c>
      <c r="B2347" s="156" t="inlineStr">
        <is>
          <t>NS</t>
        </is>
      </c>
      <c r="C2347" s="156" t="inlineStr">
        <is>
          <t>EX-1252</t>
        </is>
      </c>
      <c r="D2347" s="156" t="inlineStr">
        <is>
          <t>SY1250</t>
        </is>
      </c>
      <c r="E2347" s="156" t="inlineStr">
        <is>
          <t>Excavator</t>
        </is>
      </c>
      <c r="F2347" s="156" t="inlineStr">
        <is>
          <t>Loading OB</t>
        </is>
      </c>
      <c r="G2347" s="182" t="n">
        <v>7.38</v>
      </c>
      <c r="H2347" s="182" t="n">
        <v>0</v>
      </c>
      <c r="I2347" s="182" t="n">
        <v>0</v>
      </c>
      <c r="J2347" s="182" t="n">
        <v>0</v>
      </c>
      <c r="K2347" s="182" t="n">
        <v>4.62</v>
      </c>
      <c r="L2347" s="182" t="n">
        <v>12</v>
      </c>
      <c r="M2347" s="182" t="n">
        <v>6.78</v>
      </c>
      <c r="N2347" s="182" t="n">
        <v>0</v>
      </c>
      <c r="O2347" s="183" t="n">
        <v>67</v>
      </c>
      <c r="P2347" s="183" t="n">
        <v>0</v>
      </c>
      <c r="Q2347" s="184" t="n">
        <v>1913.5</v>
      </c>
      <c r="R2347" s="184" t="n">
        <v>0</v>
      </c>
      <c r="S2347" s="183" t="n">
        <v>0</v>
      </c>
      <c r="T2347" s="183" t="n">
        <v>0</v>
      </c>
      <c r="U2347" s="182" t="n">
        <v>3.53</v>
      </c>
      <c r="V2347" s="182" t="n">
        <v>0</v>
      </c>
      <c r="W2347" s="182" t="n">
        <v>0</v>
      </c>
      <c r="X2347" s="182" t="n">
        <v>1.01</v>
      </c>
      <c r="Y2347" s="182" t="n">
        <v>0</v>
      </c>
      <c r="Z2347" s="182" t="n">
        <v>0</v>
      </c>
      <c r="AA2347" s="182" t="n">
        <v>0</v>
      </c>
      <c r="AB2347" s="182" t="n">
        <v>0</v>
      </c>
      <c r="AC2347" s="182" t="n">
        <v>0</v>
      </c>
      <c r="AD2347" s="182" t="n">
        <v>0</v>
      </c>
      <c r="AE2347" s="182" t="n">
        <v>0</v>
      </c>
      <c r="AF2347" s="182" t="n">
        <v>0</v>
      </c>
      <c r="AG2347" s="182" t="n">
        <v>0</v>
      </c>
      <c r="AH2347" s="182" t="n">
        <v>0</v>
      </c>
      <c r="AI2347" s="182" t="n">
        <v>0</v>
      </c>
      <c r="AJ2347" s="182" t="n">
        <v>0</v>
      </c>
      <c r="AK2347" s="182" t="n">
        <v>0</v>
      </c>
      <c r="AL2347" s="182" t="n">
        <v>0</v>
      </c>
      <c r="AM2347" s="182" t="n">
        <v>0.08</v>
      </c>
      <c r="AN2347" s="182" t="n">
        <v>0</v>
      </c>
    </row>
    <row r="2348">
      <c r="A2348" s="155" t="n">
        <v>46092</v>
      </c>
      <c r="B2348" s="156" t="inlineStr">
        <is>
          <t>NS</t>
        </is>
      </c>
      <c r="C2348" s="156" t="inlineStr">
        <is>
          <t>EX-2101</t>
        </is>
      </c>
      <c r="D2348" s="156" t="inlineStr">
        <is>
          <t>SY2000</t>
        </is>
      </c>
      <c r="E2348" s="156" t="inlineStr">
        <is>
          <t>Excavator</t>
        </is>
      </c>
      <c r="F2348" s="156" t="inlineStr"/>
      <c r="G2348" s="182" t="n">
        <v>0</v>
      </c>
      <c r="H2348" s="182" t="n">
        <v>0</v>
      </c>
      <c r="I2348" s="182" t="n">
        <v>0</v>
      </c>
      <c r="J2348" s="182" t="n">
        <v>0</v>
      </c>
      <c r="K2348" s="182" t="n">
        <v>12</v>
      </c>
      <c r="L2348" s="182" t="n">
        <v>12</v>
      </c>
      <c r="M2348" s="182" t="n">
        <v>0</v>
      </c>
      <c r="N2348" s="182" t="n">
        <v>0</v>
      </c>
      <c r="O2348" s="183" t="n">
        <v>0</v>
      </c>
      <c r="P2348" s="183" t="n">
        <v>0</v>
      </c>
      <c r="Q2348" s="184" t="n">
        <v>0</v>
      </c>
      <c r="R2348" s="184" t="n">
        <v>0</v>
      </c>
      <c r="S2348" s="183" t="n">
        <v>0</v>
      </c>
      <c r="T2348" s="183" t="n">
        <v>0</v>
      </c>
      <c r="U2348" s="182" t="n">
        <v>0</v>
      </c>
      <c r="V2348" s="182" t="n">
        <v>0</v>
      </c>
      <c r="W2348" s="182" t="n">
        <v>0</v>
      </c>
      <c r="X2348" s="182" t="n">
        <v>1</v>
      </c>
      <c r="Y2348" s="182" t="n">
        <v>0</v>
      </c>
      <c r="Z2348" s="182" t="n">
        <v>0</v>
      </c>
      <c r="AA2348" s="182" t="n">
        <v>0</v>
      </c>
      <c r="AB2348" s="182" t="n">
        <v>0</v>
      </c>
      <c r="AC2348" s="182" t="n">
        <v>0</v>
      </c>
      <c r="AD2348" s="182" t="n">
        <v>0</v>
      </c>
      <c r="AE2348" s="182" t="n">
        <v>0</v>
      </c>
      <c r="AF2348" s="182" t="n">
        <v>0</v>
      </c>
      <c r="AG2348" s="182" t="n">
        <v>0</v>
      </c>
      <c r="AH2348" s="182" t="n">
        <v>0</v>
      </c>
      <c r="AI2348" s="182" t="n">
        <v>0</v>
      </c>
      <c r="AJ2348" s="182" t="n">
        <v>0</v>
      </c>
      <c r="AK2348" s="182" t="n">
        <v>10.92</v>
      </c>
      <c r="AL2348" s="182" t="n">
        <v>0</v>
      </c>
      <c r="AM2348" s="182" t="n">
        <v>0.08</v>
      </c>
      <c r="AN2348" s="182" t="n">
        <v>0</v>
      </c>
    </row>
    <row r="2349">
      <c r="A2349" s="155" t="n">
        <v>46092</v>
      </c>
      <c r="B2349" s="156" t="inlineStr">
        <is>
          <t>NS</t>
        </is>
      </c>
      <c r="C2349" s="156" t="inlineStr">
        <is>
          <t>EX-222</t>
        </is>
      </c>
      <c r="D2349" s="156" t="inlineStr">
        <is>
          <t>PC 200-8MI</t>
        </is>
      </c>
      <c r="E2349" s="156" t="inlineStr">
        <is>
          <t>Excavator</t>
        </is>
      </c>
      <c r="F2349" s="156" t="inlineStr">
        <is>
          <t>Support Washing Plant</t>
        </is>
      </c>
      <c r="G2349" s="182" t="n">
        <v>11.74</v>
      </c>
      <c r="H2349" s="182" t="n">
        <v>0</v>
      </c>
      <c r="I2349" s="182" t="n">
        <v>0</v>
      </c>
      <c r="J2349" s="182" t="n">
        <v>0</v>
      </c>
      <c r="K2349" s="182" t="n">
        <v>0.26</v>
      </c>
      <c r="L2349" s="182" t="n">
        <v>12</v>
      </c>
      <c r="M2349" s="182" t="n">
        <v>0</v>
      </c>
      <c r="N2349" s="182" t="n">
        <v>0</v>
      </c>
      <c r="O2349" s="183" t="n">
        <v>0</v>
      </c>
      <c r="P2349" s="183" t="n">
        <v>0</v>
      </c>
      <c r="Q2349" s="184" t="n">
        <v>0</v>
      </c>
      <c r="R2349" s="184" t="n">
        <v>0</v>
      </c>
      <c r="S2349" s="183" t="n">
        <v>0</v>
      </c>
      <c r="T2349" s="183" t="n">
        <v>0</v>
      </c>
      <c r="U2349" s="182" t="n">
        <v>0</v>
      </c>
      <c r="V2349" s="182" t="n">
        <v>0</v>
      </c>
      <c r="W2349" s="182" t="n">
        <v>0</v>
      </c>
      <c r="X2349" s="182" t="n">
        <v>0</v>
      </c>
      <c r="Y2349" s="182" t="n">
        <v>0</v>
      </c>
      <c r="Z2349" s="182" t="n">
        <v>0</v>
      </c>
      <c r="AA2349" s="182" t="n">
        <v>0</v>
      </c>
      <c r="AB2349" s="182" t="n">
        <v>0</v>
      </c>
      <c r="AC2349" s="182" t="n">
        <v>0</v>
      </c>
      <c r="AD2349" s="182" t="n">
        <v>0</v>
      </c>
      <c r="AE2349" s="182" t="n">
        <v>0</v>
      </c>
      <c r="AF2349" s="182" t="n">
        <v>0</v>
      </c>
      <c r="AG2349" s="182" t="n">
        <v>0</v>
      </c>
      <c r="AH2349" s="182" t="n">
        <v>0</v>
      </c>
      <c r="AI2349" s="182" t="n">
        <v>0</v>
      </c>
      <c r="AJ2349" s="182" t="n">
        <v>0</v>
      </c>
      <c r="AK2349" s="182" t="n">
        <v>0</v>
      </c>
      <c r="AL2349" s="182" t="n">
        <v>0</v>
      </c>
      <c r="AM2349" s="182" t="n">
        <v>0</v>
      </c>
      <c r="AN2349" s="182" t="n">
        <v>0</v>
      </c>
    </row>
    <row r="2350">
      <c r="A2350" s="155" t="n">
        <v>46092</v>
      </c>
      <c r="B2350" s="156" t="inlineStr">
        <is>
          <t>NS</t>
        </is>
      </c>
      <c r="C2350" s="156" t="inlineStr">
        <is>
          <t>EX-225</t>
        </is>
      </c>
      <c r="D2350" s="156" t="inlineStr">
        <is>
          <t>PC 200-8</t>
        </is>
      </c>
      <c r="E2350" s="156" t="inlineStr">
        <is>
          <t>Excavator</t>
        </is>
      </c>
      <c r="F2350" s="156" t="inlineStr"/>
      <c r="G2350" s="182" t="n">
        <v>0</v>
      </c>
      <c r="H2350" s="182" t="n">
        <v>0</v>
      </c>
      <c r="I2350" s="182" t="n">
        <v>12</v>
      </c>
      <c r="J2350" s="182" t="n">
        <v>12</v>
      </c>
      <c r="K2350" s="182" t="n">
        <v>0</v>
      </c>
      <c r="L2350" s="182" t="n">
        <v>12</v>
      </c>
      <c r="M2350" s="182" t="n">
        <v>0</v>
      </c>
      <c r="N2350" s="182" t="n">
        <v>0</v>
      </c>
      <c r="O2350" s="183" t="n">
        <v>0</v>
      </c>
      <c r="P2350" s="183" t="n">
        <v>0</v>
      </c>
      <c r="Q2350" s="184" t="n">
        <v>0</v>
      </c>
      <c r="R2350" s="184" t="n">
        <v>0</v>
      </c>
      <c r="S2350" s="183" t="n">
        <v>0</v>
      </c>
      <c r="T2350" s="183" t="n">
        <v>0</v>
      </c>
      <c r="U2350" s="182" t="n">
        <v>0</v>
      </c>
      <c r="V2350" s="182" t="n">
        <v>0</v>
      </c>
      <c r="W2350" s="182" t="n">
        <v>0</v>
      </c>
      <c r="X2350" s="182" t="n">
        <v>0</v>
      </c>
      <c r="Y2350" s="182" t="n">
        <v>0</v>
      </c>
      <c r="Z2350" s="182" t="n">
        <v>0</v>
      </c>
      <c r="AA2350" s="182" t="n">
        <v>0</v>
      </c>
      <c r="AB2350" s="182" t="n">
        <v>0</v>
      </c>
      <c r="AC2350" s="182" t="n">
        <v>0</v>
      </c>
      <c r="AD2350" s="182" t="n">
        <v>0</v>
      </c>
      <c r="AE2350" s="182" t="n">
        <v>0</v>
      </c>
      <c r="AF2350" s="182" t="n">
        <v>0</v>
      </c>
      <c r="AG2350" s="182" t="n">
        <v>0</v>
      </c>
      <c r="AH2350" s="182" t="n">
        <v>0</v>
      </c>
      <c r="AI2350" s="182" t="n">
        <v>0</v>
      </c>
      <c r="AJ2350" s="182" t="n">
        <v>0</v>
      </c>
      <c r="AK2350" s="182" t="n">
        <v>0</v>
      </c>
      <c r="AL2350" s="182" t="n">
        <v>0</v>
      </c>
      <c r="AM2350" s="182" t="n">
        <v>0</v>
      </c>
      <c r="AN2350" s="182" t="n">
        <v>0</v>
      </c>
    </row>
    <row r="2351">
      <c r="A2351" s="155" t="n">
        <v>46092</v>
      </c>
      <c r="B2351" s="156" t="inlineStr">
        <is>
          <t>NS</t>
        </is>
      </c>
      <c r="C2351" s="156" t="inlineStr">
        <is>
          <t>EX-223</t>
        </is>
      </c>
      <c r="D2351" s="156" t="inlineStr">
        <is>
          <t>PC 200-8MI</t>
        </is>
      </c>
      <c r="E2351" s="156" t="inlineStr">
        <is>
          <t>Excavator</t>
        </is>
      </c>
      <c r="F2351" s="156" t="inlineStr">
        <is>
          <t>Support Washing Plant</t>
        </is>
      </c>
      <c r="G2351" s="182" t="n">
        <v>9.279999999999999</v>
      </c>
      <c r="H2351" s="182" t="n">
        <v>0</v>
      </c>
      <c r="I2351" s="182" t="n">
        <v>0.17</v>
      </c>
      <c r="J2351" s="182" t="n">
        <v>0.17</v>
      </c>
      <c r="K2351" s="182" t="n">
        <v>2.55</v>
      </c>
      <c r="L2351" s="182" t="n">
        <v>12</v>
      </c>
      <c r="M2351" s="182" t="n">
        <v>0</v>
      </c>
      <c r="N2351" s="182" t="n">
        <v>0</v>
      </c>
      <c r="O2351" s="183" t="n">
        <v>0</v>
      </c>
      <c r="P2351" s="183" t="n">
        <v>0</v>
      </c>
      <c r="Q2351" s="184" t="n">
        <v>0</v>
      </c>
      <c r="R2351" s="184" t="n">
        <v>0</v>
      </c>
      <c r="S2351" s="183" t="n">
        <v>0</v>
      </c>
      <c r="T2351" s="183" t="n">
        <v>0</v>
      </c>
      <c r="U2351" s="182" t="n">
        <v>0</v>
      </c>
      <c r="V2351" s="182" t="n">
        <v>0</v>
      </c>
      <c r="W2351" s="182" t="n">
        <v>0</v>
      </c>
      <c r="X2351" s="182" t="n">
        <v>1.01</v>
      </c>
      <c r="Y2351" s="182" t="n">
        <v>0</v>
      </c>
      <c r="Z2351" s="182" t="n">
        <v>0</v>
      </c>
      <c r="AA2351" s="182" t="n">
        <v>0</v>
      </c>
      <c r="AB2351" s="182" t="n">
        <v>0</v>
      </c>
      <c r="AC2351" s="182" t="n">
        <v>0</v>
      </c>
      <c r="AD2351" s="182" t="n">
        <v>0</v>
      </c>
      <c r="AE2351" s="182" t="n">
        <v>0</v>
      </c>
      <c r="AF2351" s="182" t="n">
        <v>0</v>
      </c>
      <c r="AG2351" s="182" t="n">
        <v>0</v>
      </c>
      <c r="AH2351" s="182" t="n">
        <v>0</v>
      </c>
      <c r="AI2351" s="182" t="n">
        <v>0</v>
      </c>
      <c r="AJ2351" s="182" t="n">
        <v>0</v>
      </c>
      <c r="AK2351" s="182" t="n">
        <v>1.46</v>
      </c>
      <c r="AL2351" s="182" t="n">
        <v>0</v>
      </c>
      <c r="AM2351" s="182" t="n">
        <v>0.08</v>
      </c>
      <c r="AN2351" s="182" t="n">
        <v>0</v>
      </c>
    </row>
    <row r="2352">
      <c r="A2352" s="155" t="n">
        <v>46092</v>
      </c>
      <c r="B2352" s="156" t="inlineStr">
        <is>
          <t>NS</t>
        </is>
      </c>
      <c r="C2352" s="156" t="inlineStr">
        <is>
          <t>EX-221</t>
        </is>
      </c>
      <c r="D2352" s="156" t="inlineStr">
        <is>
          <t>PC 200-8MI</t>
        </is>
      </c>
      <c r="E2352" s="156" t="inlineStr">
        <is>
          <t>Excavator</t>
        </is>
      </c>
      <c r="F2352" s="156" t="inlineStr"/>
      <c r="G2352" s="182" t="n">
        <v>0</v>
      </c>
      <c r="H2352" s="182" t="n">
        <v>0</v>
      </c>
      <c r="I2352" s="182" t="n">
        <v>0</v>
      </c>
      <c r="J2352" s="182" t="n">
        <v>0</v>
      </c>
      <c r="K2352" s="182" t="n">
        <v>12</v>
      </c>
      <c r="L2352" s="182" t="n">
        <v>12</v>
      </c>
      <c r="M2352" s="182" t="n">
        <v>0</v>
      </c>
      <c r="N2352" s="182" t="n">
        <v>0</v>
      </c>
      <c r="O2352" s="183" t="n">
        <v>0</v>
      </c>
      <c r="P2352" s="183" t="n">
        <v>0</v>
      </c>
      <c r="Q2352" s="184" t="n">
        <v>0</v>
      </c>
      <c r="R2352" s="184" t="n">
        <v>0</v>
      </c>
      <c r="S2352" s="183" t="n">
        <v>0</v>
      </c>
      <c r="T2352" s="183" t="n">
        <v>0</v>
      </c>
      <c r="U2352" s="182" t="n">
        <v>0</v>
      </c>
      <c r="V2352" s="182" t="n">
        <v>0</v>
      </c>
      <c r="W2352" s="182" t="n">
        <v>0</v>
      </c>
      <c r="X2352" s="182" t="n">
        <v>1</v>
      </c>
      <c r="Y2352" s="182" t="n">
        <v>0</v>
      </c>
      <c r="Z2352" s="182" t="n">
        <v>0</v>
      </c>
      <c r="AA2352" s="182" t="n">
        <v>0</v>
      </c>
      <c r="AB2352" s="182" t="n">
        <v>0</v>
      </c>
      <c r="AC2352" s="182" t="n">
        <v>0</v>
      </c>
      <c r="AD2352" s="182" t="n">
        <v>0</v>
      </c>
      <c r="AE2352" s="182" t="n">
        <v>0</v>
      </c>
      <c r="AF2352" s="182" t="n">
        <v>0</v>
      </c>
      <c r="AG2352" s="182" t="n">
        <v>0</v>
      </c>
      <c r="AH2352" s="182" t="n">
        <v>0</v>
      </c>
      <c r="AI2352" s="182" t="n">
        <v>0</v>
      </c>
      <c r="AJ2352" s="182" t="n">
        <v>0</v>
      </c>
      <c r="AK2352" s="182" t="n">
        <v>10.92</v>
      </c>
      <c r="AL2352" s="182" t="n">
        <v>0</v>
      </c>
      <c r="AM2352" s="182" t="n">
        <v>0.08</v>
      </c>
      <c r="AN2352" s="182" t="n">
        <v>0</v>
      </c>
    </row>
    <row r="2353">
      <c r="A2353" s="155" t="n">
        <v>46092</v>
      </c>
      <c r="B2353" s="156" t="inlineStr">
        <is>
          <t>NS</t>
        </is>
      </c>
      <c r="C2353" s="156" t="inlineStr">
        <is>
          <t>EX-331</t>
        </is>
      </c>
      <c r="D2353" s="156" t="inlineStr">
        <is>
          <t>PC 300-8MO</t>
        </is>
      </c>
      <c r="E2353" s="156" t="inlineStr">
        <is>
          <t>Excavator</t>
        </is>
      </c>
      <c r="F2353" s="156" t="inlineStr"/>
      <c r="G2353" s="182" t="n">
        <v>0</v>
      </c>
      <c r="H2353" s="182" t="n">
        <v>0</v>
      </c>
      <c r="I2353" s="182" t="n">
        <v>12</v>
      </c>
      <c r="J2353" s="182" t="n">
        <v>12</v>
      </c>
      <c r="K2353" s="182" t="n">
        <v>0</v>
      </c>
      <c r="L2353" s="182" t="n">
        <v>12</v>
      </c>
      <c r="M2353" s="182" t="n">
        <v>0</v>
      </c>
      <c r="N2353" s="182" t="n">
        <v>0</v>
      </c>
      <c r="O2353" s="183" t="n">
        <v>0</v>
      </c>
      <c r="P2353" s="183" t="n">
        <v>0</v>
      </c>
      <c r="Q2353" s="184" t="n">
        <v>0</v>
      </c>
      <c r="R2353" s="184" t="n">
        <v>0</v>
      </c>
      <c r="S2353" s="183" t="n">
        <v>0</v>
      </c>
      <c r="T2353" s="183" t="n">
        <v>0</v>
      </c>
      <c r="U2353" s="182" t="n">
        <v>0</v>
      </c>
      <c r="V2353" s="182" t="n">
        <v>0</v>
      </c>
      <c r="W2353" s="182" t="n">
        <v>0</v>
      </c>
      <c r="X2353" s="182" t="n">
        <v>0</v>
      </c>
      <c r="Y2353" s="182" t="n">
        <v>0</v>
      </c>
      <c r="Z2353" s="182" t="n">
        <v>0</v>
      </c>
      <c r="AA2353" s="182" t="n">
        <v>0</v>
      </c>
      <c r="AB2353" s="182" t="n">
        <v>0</v>
      </c>
      <c r="AC2353" s="182" t="n">
        <v>0</v>
      </c>
      <c r="AD2353" s="182" t="n">
        <v>0</v>
      </c>
      <c r="AE2353" s="182" t="n">
        <v>0</v>
      </c>
      <c r="AF2353" s="182" t="n">
        <v>0</v>
      </c>
      <c r="AG2353" s="182" t="n">
        <v>0</v>
      </c>
      <c r="AH2353" s="182" t="n">
        <v>0</v>
      </c>
      <c r="AI2353" s="182" t="n">
        <v>0</v>
      </c>
      <c r="AJ2353" s="182" t="n">
        <v>0</v>
      </c>
      <c r="AK2353" s="182" t="n">
        <v>0</v>
      </c>
      <c r="AL2353" s="182" t="n">
        <v>0</v>
      </c>
      <c r="AM2353" s="182" t="n">
        <v>0</v>
      </c>
      <c r="AN2353" s="182" t="n">
        <v>0</v>
      </c>
    </row>
    <row r="2354">
      <c r="A2354" s="155" t="n">
        <v>46092</v>
      </c>
      <c r="B2354" s="156" t="inlineStr">
        <is>
          <t>NS</t>
        </is>
      </c>
      <c r="C2354" s="156" t="inlineStr">
        <is>
          <t>EX-334</t>
        </is>
      </c>
      <c r="D2354" s="156" t="inlineStr">
        <is>
          <t>PC 300-8MO</t>
        </is>
      </c>
      <c r="E2354" s="156" t="inlineStr">
        <is>
          <t>Excavator</t>
        </is>
      </c>
      <c r="F2354" s="156" t="inlineStr">
        <is>
          <t>Cleaning Coal</t>
        </is>
      </c>
      <c r="G2354" s="182" t="n">
        <v>10.35</v>
      </c>
      <c r="H2354" s="182" t="n">
        <v>0</v>
      </c>
      <c r="I2354" s="182" t="n">
        <v>0.17</v>
      </c>
      <c r="J2354" s="182" t="n">
        <v>0.17</v>
      </c>
      <c r="K2354" s="182" t="n">
        <v>1.48</v>
      </c>
      <c r="L2354" s="182" t="n">
        <v>12</v>
      </c>
      <c r="M2354" s="182" t="n">
        <v>0</v>
      </c>
      <c r="N2354" s="182" t="n">
        <v>0</v>
      </c>
      <c r="O2354" s="183" t="n">
        <v>0</v>
      </c>
      <c r="P2354" s="183" t="n">
        <v>0</v>
      </c>
      <c r="Q2354" s="184" t="n">
        <v>0</v>
      </c>
      <c r="R2354" s="184" t="n">
        <v>0</v>
      </c>
      <c r="S2354" s="183" t="n">
        <v>0</v>
      </c>
      <c r="T2354" s="183" t="n">
        <v>0</v>
      </c>
      <c r="U2354" s="182" t="n">
        <v>0</v>
      </c>
      <c r="V2354" s="182" t="n">
        <v>0</v>
      </c>
      <c r="W2354" s="182" t="n">
        <v>0</v>
      </c>
      <c r="X2354" s="182" t="n">
        <v>1.03</v>
      </c>
      <c r="Y2354" s="182" t="n">
        <v>0</v>
      </c>
      <c r="Z2354" s="182" t="n">
        <v>0</v>
      </c>
      <c r="AA2354" s="182" t="n">
        <v>0</v>
      </c>
      <c r="AB2354" s="182" t="n">
        <v>0</v>
      </c>
      <c r="AC2354" s="182" t="n">
        <v>0</v>
      </c>
      <c r="AD2354" s="182" t="n">
        <v>0</v>
      </c>
      <c r="AE2354" s="182" t="n">
        <v>0</v>
      </c>
      <c r="AF2354" s="182" t="n">
        <v>0</v>
      </c>
      <c r="AG2354" s="182" t="n">
        <v>0</v>
      </c>
      <c r="AH2354" s="182" t="n">
        <v>0</v>
      </c>
      <c r="AI2354" s="182" t="n">
        <v>0</v>
      </c>
      <c r="AJ2354" s="182" t="n">
        <v>0</v>
      </c>
      <c r="AK2354" s="182" t="n">
        <v>0.36</v>
      </c>
      <c r="AL2354" s="182" t="n">
        <v>0</v>
      </c>
      <c r="AM2354" s="182" t="n">
        <v>0.08</v>
      </c>
      <c r="AN2354" s="182" t="n">
        <v>0</v>
      </c>
    </row>
    <row r="2355">
      <c r="A2355" s="155" t="n">
        <v>46092</v>
      </c>
      <c r="B2355" s="156" t="inlineStr">
        <is>
          <t>NS</t>
        </is>
      </c>
      <c r="C2355" s="156" t="inlineStr">
        <is>
          <t>EX-332</t>
        </is>
      </c>
      <c r="D2355" s="156" t="inlineStr">
        <is>
          <t>PC 300-8MO</t>
        </is>
      </c>
      <c r="E2355" s="156" t="inlineStr">
        <is>
          <t>Excavator</t>
        </is>
      </c>
      <c r="F2355" s="156" t="inlineStr">
        <is>
          <t>Cleaning Coal</t>
        </is>
      </c>
      <c r="G2355" s="182" t="n">
        <v>10.08</v>
      </c>
      <c r="H2355" s="182" t="n">
        <v>0</v>
      </c>
      <c r="I2355" s="182" t="n">
        <v>0</v>
      </c>
      <c r="J2355" s="182" t="n">
        <v>0</v>
      </c>
      <c r="K2355" s="182" t="n">
        <v>1.92</v>
      </c>
      <c r="L2355" s="182" t="n">
        <v>12</v>
      </c>
      <c r="M2355" s="182" t="n">
        <v>0</v>
      </c>
      <c r="N2355" s="182" t="n">
        <v>0</v>
      </c>
      <c r="O2355" s="183" t="n">
        <v>0</v>
      </c>
      <c r="P2355" s="183" t="n">
        <v>0</v>
      </c>
      <c r="Q2355" s="184" t="n">
        <v>0</v>
      </c>
      <c r="R2355" s="184" t="n">
        <v>0</v>
      </c>
      <c r="S2355" s="183" t="n">
        <v>0</v>
      </c>
      <c r="T2355" s="183" t="n">
        <v>0</v>
      </c>
      <c r="U2355" s="182" t="n">
        <v>0</v>
      </c>
      <c r="V2355" s="182" t="n">
        <v>0</v>
      </c>
      <c r="W2355" s="182" t="n">
        <v>0</v>
      </c>
      <c r="X2355" s="182" t="n">
        <v>0.96</v>
      </c>
      <c r="Y2355" s="182" t="n">
        <v>0</v>
      </c>
      <c r="Z2355" s="182" t="n">
        <v>0</v>
      </c>
      <c r="AA2355" s="182" t="n">
        <v>0</v>
      </c>
      <c r="AB2355" s="182" t="n">
        <v>0</v>
      </c>
      <c r="AC2355" s="182" t="n">
        <v>0</v>
      </c>
      <c r="AD2355" s="182" t="n">
        <v>0</v>
      </c>
      <c r="AE2355" s="182" t="n">
        <v>0</v>
      </c>
      <c r="AF2355" s="182" t="n">
        <v>0</v>
      </c>
      <c r="AG2355" s="182" t="n">
        <v>0</v>
      </c>
      <c r="AH2355" s="182" t="n">
        <v>0</v>
      </c>
      <c r="AI2355" s="182" t="n">
        <v>0</v>
      </c>
      <c r="AJ2355" s="182" t="n">
        <v>0</v>
      </c>
      <c r="AK2355" s="182" t="n">
        <v>0.88</v>
      </c>
      <c r="AL2355" s="182" t="n">
        <v>0</v>
      </c>
      <c r="AM2355" s="182" t="n">
        <v>0.08</v>
      </c>
      <c r="AN2355" s="182" t="n">
        <v>0</v>
      </c>
    </row>
    <row r="2356">
      <c r="A2356" s="155" t="n">
        <v>46092</v>
      </c>
      <c r="B2356" s="156" t="inlineStr">
        <is>
          <t>NS</t>
        </is>
      </c>
      <c r="C2356" s="156" t="inlineStr">
        <is>
          <t>EX-333</t>
        </is>
      </c>
      <c r="D2356" s="156" t="inlineStr">
        <is>
          <t>PC 300-8MO</t>
        </is>
      </c>
      <c r="E2356" s="156" t="inlineStr">
        <is>
          <t>Excavator</t>
        </is>
      </c>
      <c r="F2356" s="156" t="inlineStr"/>
      <c r="G2356" s="182" t="n">
        <v>0</v>
      </c>
      <c r="H2356" s="182" t="n">
        <v>0</v>
      </c>
      <c r="I2356" s="182" t="n">
        <v>12</v>
      </c>
      <c r="J2356" s="182" t="n">
        <v>12</v>
      </c>
      <c r="K2356" s="182" t="n">
        <v>0</v>
      </c>
      <c r="L2356" s="182" t="n">
        <v>12</v>
      </c>
      <c r="M2356" s="182" t="n">
        <v>0</v>
      </c>
      <c r="N2356" s="182" t="n">
        <v>0</v>
      </c>
      <c r="O2356" s="183" t="n">
        <v>0</v>
      </c>
      <c r="P2356" s="183" t="n">
        <v>0</v>
      </c>
      <c r="Q2356" s="184" t="n">
        <v>0</v>
      </c>
      <c r="R2356" s="184" t="n">
        <v>0</v>
      </c>
      <c r="S2356" s="183" t="n">
        <v>0</v>
      </c>
      <c r="T2356" s="183" t="n">
        <v>0</v>
      </c>
      <c r="U2356" s="182" t="n">
        <v>0</v>
      </c>
      <c r="V2356" s="182" t="n">
        <v>0</v>
      </c>
      <c r="W2356" s="182" t="n">
        <v>0</v>
      </c>
      <c r="X2356" s="182" t="n">
        <v>0</v>
      </c>
      <c r="Y2356" s="182" t="n">
        <v>0</v>
      </c>
      <c r="Z2356" s="182" t="n">
        <v>0</v>
      </c>
      <c r="AA2356" s="182" t="n">
        <v>0</v>
      </c>
      <c r="AB2356" s="182" t="n">
        <v>0</v>
      </c>
      <c r="AC2356" s="182" t="n">
        <v>0</v>
      </c>
      <c r="AD2356" s="182" t="n">
        <v>0</v>
      </c>
      <c r="AE2356" s="182" t="n">
        <v>0</v>
      </c>
      <c r="AF2356" s="182" t="n">
        <v>0</v>
      </c>
      <c r="AG2356" s="182" t="n">
        <v>0</v>
      </c>
      <c r="AH2356" s="182" t="n">
        <v>0</v>
      </c>
      <c r="AI2356" s="182" t="n">
        <v>0</v>
      </c>
      <c r="AJ2356" s="182" t="n">
        <v>0</v>
      </c>
      <c r="AK2356" s="182" t="n">
        <v>0</v>
      </c>
      <c r="AL2356" s="182" t="n">
        <v>0</v>
      </c>
      <c r="AM2356" s="182" t="n">
        <v>0</v>
      </c>
      <c r="AN2356" s="182" t="n">
        <v>0</v>
      </c>
    </row>
    <row r="2357">
      <c r="A2357" s="155" t="n">
        <v>46092</v>
      </c>
      <c r="B2357" s="156" t="inlineStr">
        <is>
          <t>NS</t>
        </is>
      </c>
      <c r="C2357" s="156" t="inlineStr">
        <is>
          <t>EX-336</t>
        </is>
      </c>
      <c r="D2357" s="156" t="inlineStr">
        <is>
          <t>PC 300-8MO</t>
        </is>
      </c>
      <c r="E2357" s="156" t="inlineStr">
        <is>
          <t>Excavator</t>
        </is>
      </c>
      <c r="F2357" s="156" t="inlineStr"/>
      <c r="G2357" s="182" t="n">
        <v>0</v>
      </c>
      <c r="H2357" s="182" t="n">
        <v>0</v>
      </c>
      <c r="I2357" s="182" t="n">
        <v>12</v>
      </c>
      <c r="J2357" s="182" t="n">
        <v>12</v>
      </c>
      <c r="K2357" s="182" t="n">
        <v>0</v>
      </c>
      <c r="L2357" s="182" t="n">
        <v>12</v>
      </c>
      <c r="M2357" s="182" t="n">
        <v>0</v>
      </c>
      <c r="N2357" s="182" t="n">
        <v>0</v>
      </c>
      <c r="O2357" s="183" t="n">
        <v>0</v>
      </c>
      <c r="P2357" s="183" t="n">
        <v>0</v>
      </c>
      <c r="Q2357" s="184" t="n">
        <v>0</v>
      </c>
      <c r="R2357" s="184" t="n">
        <v>0</v>
      </c>
      <c r="S2357" s="183" t="n">
        <v>0</v>
      </c>
      <c r="T2357" s="183" t="n">
        <v>0</v>
      </c>
      <c r="U2357" s="182" t="n">
        <v>0</v>
      </c>
      <c r="V2357" s="182" t="n">
        <v>0</v>
      </c>
      <c r="W2357" s="182" t="n">
        <v>0</v>
      </c>
      <c r="X2357" s="182" t="n">
        <v>0</v>
      </c>
      <c r="Y2357" s="182" t="n">
        <v>0</v>
      </c>
      <c r="Z2357" s="182" t="n">
        <v>0</v>
      </c>
      <c r="AA2357" s="182" t="n">
        <v>0</v>
      </c>
      <c r="AB2357" s="182" t="n">
        <v>0</v>
      </c>
      <c r="AC2357" s="182" t="n">
        <v>0</v>
      </c>
      <c r="AD2357" s="182" t="n">
        <v>0</v>
      </c>
      <c r="AE2357" s="182" t="n">
        <v>0</v>
      </c>
      <c r="AF2357" s="182" t="n">
        <v>0</v>
      </c>
      <c r="AG2357" s="182" t="n">
        <v>0</v>
      </c>
      <c r="AH2357" s="182" t="n">
        <v>0</v>
      </c>
      <c r="AI2357" s="182" t="n">
        <v>0</v>
      </c>
      <c r="AJ2357" s="182" t="n">
        <v>0</v>
      </c>
      <c r="AK2357" s="182" t="n">
        <v>0</v>
      </c>
      <c r="AL2357" s="182" t="n">
        <v>0</v>
      </c>
      <c r="AM2357" s="182" t="n">
        <v>0</v>
      </c>
      <c r="AN2357" s="182" t="n">
        <v>0</v>
      </c>
    </row>
    <row r="2358">
      <c r="A2358" s="155" t="n">
        <v>46092</v>
      </c>
      <c r="B2358" s="156" t="inlineStr">
        <is>
          <t>NS</t>
        </is>
      </c>
      <c r="C2358" s="156" t="inlineStr">
        <is>
          <t>EX-335</t>
        </is>
      </c>
      <c r="D2358" s="156" t="inlineStr">
        <is>
          <t>PC 300-8MO</t>
        </is>
      </c>
      <c r="E2358" s="156" t="inlineStr">
        <is>
          <t>Excavator</t>
        </is>
      </c>
      <c r="F2358" s="156" t="inlineStr">
        <is>
          <t>Loading Coal S60 &amp; Cleaning Coal</t>
        </is>
      </c>
      <c r="G2358" s="182" t="n">
        <v>9.16</v>
      </c>
      <c r="H2358" s="182" t="n">
        <v>0</v>
      </c>
      <c r="I2358" s="182" t="n">
        <v>0</v>
      </c>
      <c r="J2358" s="182" t="n">
        <v>0</v>
      </c>
      <c r="K2358" s="182" t="n">
        <v>2.84</v>
      </c>
      <c r="L2358" s="182" t="n">
        <v>12</v>
      </c>
      <c r="M2358" s="182" t="n">
        <v>0</v>
      </c>
      <c r="N2358" s="182" t="n">
        <v>0.32</v>
      </c>
      <c r="O2358" s="183" t="n">
        <v>0</v>
      </c>
      <c r="P2358" s="183" t="n">
        <v>2</v>
      </c>
      <c r="Q2358" s="184" t="n">
        <v>0</v>
      </c>
      <c r="R2358" s="184" t="n">
        <v>37.4</v>
      </c>
      <c r="S2358" s="183" t="n">
        <v>0</v>
      </c>
      <c r="T2358" s="183" t="n">
        <v>0</v>
      </c>
      <c r="U2358" s="182" t="n">
        <v>0</v>
      </c>
      <c r="V2358" s="182" t="n">
        <v>0</v>
      </c>
      <c r="W2358" s="182" t="n">
        <v>0</v>
      </c>
      <c r="X2358" s="182" t="n">
        <v>1.14</v>
      </c>
      <c r="Y2358" s="182" t="n">
        <v>0</v>
      </c>
      <c r="Z2358" s="182" t="n">
        <v>0</v>
      </c>
      <c r="AA2358" s="182" t="n">
        <v>0</v>
      </c>
      <c r="AB2358" s="182" t="n">
        <v>0</v>
      </c>
      <c r="AC2358" s="182" t="n">
        <v>0</v>
      </c>
      <c r="AD2358" s="182" t="n">
        <v>0</v>
      </c>
      <c r="AE2358" s="182" t="n">
        <v>0</v>
      </c>
      <c r="AF2358" s="182" t="n">
        <v>0</v>
      </c>
      <c r="AG2358" s="182" t="n">
        <v>0</v>
      </c>
      <c r="AH2358" s="182" t="n">
        <v>0</v>
      </c>
      <c r="AI2358" s="182" t="n">
        <v>0</v>
      </c>
      <c r="AJ2358" s="182" t="n">
        <v>0</v>
      </c>
      <c r="AK2358" s="182" t="n">
        <v>1.61</v>
      </c>
      <c r="AL2358" s="182" t="n">
        <v>0</v>
      </c>
      <c r="AM2358" s="182" t="n">
        <v>0.09</v>
      </c>
      <c r="AN2358" s="182" t="n">
        <v>0</v>
      </c>
    </row>
    <row r="2359">
      <c r="A2359" s="155" t="n">
        <v>46092</v>
      </c>
      <c r="B2359" s="156" t="inlineStr">
        <is>
          <t>NS</t>
        </is>
      </c>
      <c r="C2359" s="156" t="inlineStr">
        <is>
          <t>EX-754</t>
        </is>
      </c>
      <c r="D2359" s="156" t="inlineStr">
        <is>
          <t>SY750H-PRO</t>
        </is>
      </c>
      <c r="E2359" s="156" t="inlineStr">
        <is>
          <t>Excavator</t>
        </is>
      </c>
      <c r="F2359" s="156" t="inlineStr">
        <is>
          <t>Loading OB &amp; Coal S60</t>
        </is>
      </c>
      <c r="G2359" s="182" t="n">
        <v>7.02</v>
      </c>
      <c r="H2359" s="182" t="n">
        <v>0</v>
      </c>
      <c r="I2359" s="182" t="n">
        <v>0</v>
      </c>
      <c r="J2359" s="182" t="n">
        <v>0</v>
      </c>
      <c r="K2359" s="182" t="n">
        <v>4.98</v>
      </c>
      <c r="L2359" s="182" t="n">
        <v>12</v>
      </c>
      <c r="M2359" s="182" t="n">
        <v>0.58</v>
      </c>
      <c r="N2359" s="182" t="n">
        <v>6.28</v>
      </c>
      <c r="O2359" s="183" t="n">
        <v>6</v>
      </c>
      <c r="P2359" s="183" t="n">
        <v>74</v>
      </c>
      <c r="Q2359" s="184" t="n">
        <v>122.4</v>
      </c>
      <c r="R2359" s="184" t="n">
        <v>1383.8</v>
      </c>
      <c r="S2359" s="183" t="n">
        <v>0</v>
      </c>
      <c r="T2359" s="183" t="n">
        <v>0</v>
      </c>
      <c r="U2359" s="182" t="n">
        <v>3.91</v>
      </c>
      <c r="V2359" s="182" t="n">
        <v>0</v>
      </c>
      <c r="W2359" s="182" t="n">
        <v>0</v>
      </c>
      <c r="X2359" s="182" t="n">
        <v>0.99</v>
      </c>
      <c r="Y2359" s="182" t="n">
        <v>0</v>
      </c>
      <c r="Z2359" s="182" t="n">
        <v>0</v>
      </c>
      <c r="AA2359" s="182" t="n">
        <v>0</v>
      </c>
      <c r="AB2359" s="182" t="n">
        <v>0</v>
      </c>
      <c r="AC2359" s="182" t="n">
        <v>0</v>
      </c>
      <c r="AD2359" s="182" t="n">
        <v>0</v>
      </c>
      <c r="AE2359" s="182" t="n">
        <v>0</v>
      </c>
      <c r="AF2359" s="182" t="n">
        <v>0</v>
      </c>
      <c r="AG2359" s="182" t="n">
        <v>0</v>
      </c>
      <c r="AH2359" s="182" t="n">
        <v>0</v>
      </c>
      <c r="AI2359" s="182" t="n">
        <v>0</v>
      </c>
      <c r="AJ2359" s="182" t="n">
        <v>0</v>
      </c>
      <c r="AK2359" s="182" t="n">
        <v>0</v>
      </c>
      <c r="AL2359" s="182" t="n">
        <v>0</v>
      </c>
      <c r="AM2359" s="182" t="n">
        <v>0.08</v>
      </c>
      <c r="AN2359" s="182" t="n">
        <v>0</v>
      </c>
    </row>
    <row r="2360">
      <c r="A2360" s="155" t="n">
        <v>46092</v>
      </c>
      <c r="B2360" s="156" t="inlineStr">
        <is>
          <t>NS</t>
        </is>
      </c>
      <c r="C2360" s="156" t="inlineStr">
        <is>
          <t>EX-755</t>
        </is>
      </c>
      <c r="D2360" s="156" t="inlineStr">
        <is>
          <t>SY750H-PRO</t>
        </is>
      </c>
      <c r="E2360" s="156" t="inlineStr">
        <is>
          <t>Excavator</t>
        </is>
      </c>
      <c r="F2360" s="156" t="inlineStr">
        <is>
          <t>Loading OB</t>
        </is>
      </c>
      <c r="G2360" s="182" t="n">
        <v>7.24</v>
      </c>
      <c r="H2360" s="182" t="n">
        <v>0</v>
      </c>
      <c r="I2360" s="182" t="n">
        <v>0</v>
      </c>
      <c r="J2360" s="182" t="n">
        <v>0</v>
      </c>
      <c r="K2360" s="182" t="n">
        <v>4.76</v>
      </c>
      <c r="L2360" s="182" t="n">
        <v>12</v>
      </c>
      <c r="M2360" s="182" t="n">
        <v>7.12</v>
      </c>
      <c r="N2360" s="182" t="n">
        <v>0</v>
      </c>
      <c r="O2360" s="183" t="n">
        <v>96</v>
      </c>
      <c r="P2360" s="183" t="n">
        <v>0</v>
      </c>
      <c r="Q2360" s="184" t="n">
        <v>1958.4</v>
      </c>
      <c r="R2360" s="184" t="n">
        <v>0</v>
      </c>
      <c r="S2360" s="183" t="n">
        <v>0</v>
      </c>
      <c r="T2360" s="183" t="n">
        <v>0</v>
      </c>
      <c r="U2360" s="182" t="n">
        <v>3.72</v>
      </c>
      <c r="V2360" s="182" t="n">
        <v>0</v>
      </c>
      <c r="W2360" s="182" t="n">
        <v>0</v>
      </c>
      <c r="X2360" s="182" t="n">
        <v>0.97</v>
      </c>
      <c r="Y2360" s="182" t="n">
        <v>0</v>
      </c>
      <c r="Z2360" s="182" t="n">
        <v>0</v>
      </c>
      <c r="AA2360" s="182" t="n">
        <v>0</v>
      </c>
      <c r="AB2360" s="182" t="n">
        <v>0</v>
      </c>
      <c r="AC2360" s="182" t="n">
        <v>0</v>
      </c>
      <c r="AD2360" s="182" t="n">
        <v>0</v>
      </c>
      <c r="AE2360" s="182" t="n">
        <v>0</v>
      </c>
      <c r="AF2360" s="182" t="n">
        <v>0</v>
      </c>
      <c r="AG2360" s="182" t="n">
        <v>0</v>
      </c>
      <c r="AH2360" s="182" t="n">
        <v>0</v>
      </c>
      <c r="AI2360" s="182" t="n">
        <v>0</v>
      </c>
      <c r="AJ2360" s="182" t="n">
        <v>0</v>
      </c>
      <c r="AK2360" s="182" t="n">
        <v>0</v>
      </c>
      <c r="AL2360" s="182" t="n">
        <v>0</v>
      </c>
      <c r="AM2360" s="182" t="n">
        <v>0.08</v>
      </c>
      <c r="AN2360" s="182" t="n">
        <v>0</v>
      </c>
    </row>
    <row r="2361">
      <c r="A2361" s="155" t="n">
        <v>46092</v>
      </c>
      <c r="B2361" s="156" t="inlineStr">
        <is>
          <t>NS</t>
        </is>
      </c>
      <c r="C2361" s="156" t="inlineStr">
        <is>
          <t>EX-752</t>
        </is>
      </c>
      <c r="D2361" s="156" t="inlineStr">
        <is>
          <t>SY750H-PRO</t>
        </is>
      </c>
      <c r="E2361" s="156" t="inlineStr">
        <is>
          <t>Excavator</t>
        </is>
      </c>
      <c r="F2361" s="156" t="inlineStr"/>
      <c r="G2361" s="182" t="n">
        <v>0</v>
      </c>
      <c r="H2361" s="182" t="n">
        <v>0</v>
      </c>
      <c r="I2361" s="182" t="n">
        <v>12</v>
      </c>
      <c r="J2361" s="182" t="n">
        <v>12</v>
      </c>
      <c r="K2361" s="182" t="n">
        <v>0</v>
      </c>
      <c r="L2361" s="182" t="n">
        <v>12</v>
      </c>
      <c r="M2361" s="182" t="n">
        <v>0</v>
      </c>
      <c r="N2361" s="182" t="n">
        <v>0</v>
      </c>
      <c r="O2361" s="183" t="n">
        <v>0</v>
      </c>
      <c r="P2361" s="183" t="n">
        <v>0</v>
      </c>
      <c r="Q2361" s="184" t="n">
        <v>0</v>
      </c>
      <c r="R2361" s="184" t="n">
        <v>0</v>
      </c>
      <c r="S2361" s="183" t="n">
        <v>0</v>
      </c>
      <c r="T2361" s="183" t="n">
        <v>0</v>
      </c>
      <c r="U2361" s="182" t="n">
        <v>0</v>
      </c>
      <c r="V2361" s="182" t="n">
        <v>0</v>
      </c>
      <c r="W2361" s="182" t="n">
        <v>0</v>
      </c>
      <c r="X2361" s="182" t="n">
        <v>0</v>
      </c>
      <c r="Y2361" s="182" t="n">
        <v>0</v>
      </c>
      <c r="Z2361" s="182" t="n">
        <v>0</v>
      </c>
      <c r="AA2361" s="182" t="n">
        <v>0</v>
      </c>
      <c r="AB2361" s="182" t="n">
        <v>0</v>
      </c>
      <c r="AC2361" s="182" t="n">
        <v>0</v>
      </c>
      <c r="AD2361" s="182" t="n">
        <v>0</v>
      </c>
      <c r="AE2361" s="182" t="n">
        <v>0</v>
      </c>
      <c r="AF2361" s="182" t="n">
        <v>0</v>
      </c>
      <c r="AG2361" s="182" t="n">
        <v>0</v>
      </c>
      <c r="AH2361" s="182" t="n">
        <v>0</v>
      </c>
      <c r="AI2361" s="182" t="n">
        <v>0</v>
      </c>
      <c r="AJ2361" s="182" t="n">
        <v>0</v>
      </c>
      <c r="AK2361" s="182" t="n">
        <v>0</v>
      </c>
      <c r="AL2361" s="182" t="n">
        <v>0</v>
      </c>
      <c r="AM2361" s="182" t="n">
        <v>0</v>
      </c>
      <c r="AN2361" s="182" t="n">
        <v>0</v>
      </c>
    </row>
    <row r="2362">
      <c r="A2362" s="155" t="n">
        <v>46092</v>
      </c>
      <c r="B2362" s="156" t="inlineStr">
        <is>
          <t>NS</t>
        </is>
      </c>
      <c r="C2362" s="156" t="inlineStr">
        <is>
          <t>EX-751</t>
        </is>
      </c>
      <c r="D2362" s="156" t="inlineStr">
        <is>
          <t>SY750H-PRO</t>
        </is>
      </c>
      <c r="E2362" s="156" t="inlineStr">
        <is>
          <t>Excavator</t>
        </is>
      </c>
      <c r="F2362" s="156" t="inlineStr"/>
      <c r="G2362" s="182" t="n">
        <v>0</v>
      </c>
      <c r="H2362" s="182" t="n">
        <v>0</v>
      </c>
      <c r="I2362" s="182" t="n">
        <v>12</v>
      </c>
      <c r="J2362" s="182" t="n">
        <v>12</v>
      </c>
      <c r="K2362" s="182" t="n">
        <v>0</v>
      </c>
      <c r="L2362" s="182" t="n">
        <v>12</v>
      </c>
      <c r="M2362" s="182" t="n">
        <v>0</v>
      </c>
      <c r="N2362" s="182" t="n">
        <v>0</v>
      </c>
      <c r="O2362" s="183" t="n">
        <v>0</v>
      </c>
      <c r="P2362" s="183" t="n">
        <v>0</v>
      </c>
      <c r="Q2362" s="184" t="n">
        <v>0</v>
      </c>
      <c r="R2362" s="184" t="n">
        <v>0</v>
      </c>
      <c r="S2362" s="183" t="n">
        <v>0</v>
      </c>
      <c r="T2362" s="183" t="n">
        <v>0</v>
      </c>
      <c r="U2362" s="182" t="n">
        <v>0</v>
      </c>
      <c r="V2362" s="182" t="n">
        <v>0</v>
      </c>
      <c r="W2362" s="182" t="n">
        <v>0</v>
      </c>
      <c r="X2362" s="182" t="n">
        <v>0</v>
      </c>
      <c r="Y2362" s="182" t="n">
        <v>0</v>
      </c>
      <c r="Z2362" s="182" t="n">
        <v>0</v>
      </c>
      <c r="AA2362" s="182" t="n">
        <v>0</v>
      </c>
      <c r="AB2362" s="182" t="n">
        <v>0</v>
      </c>
      <c r="AC2362" s="182" t="n">
        <v>0</v>
      </c>
      <c r="AD2362" s="182" t="n">
        <v>0</v>
      </c>
      <c r="AE2362" s="182" t="n">
        <v>0</v>
      </c>
      <c r="AF2362" s="182" t="n">
        <v>0</v>
      </c>
      <c r="AG2362" s="182" t="n">
        <v>0</v>
      </c>
      <c r="AH2362" s="182" t="n">
        <v>0</v>
      </c>
      <c r="AI2362" s="182" t="n">
        <v>0</v>
      </c>
      <c r="AJ2362" s="182" t="n">
        <v>0</v>
      </c>
      <c r="AK2362" s="182" t="n">
        <v>0</v>
      </c>
      <c r="AL2362" s="182" t="n">
        <v>0</v>
      </c>
      <c r="AM2362" s="182" t="n">
        <v>0</v>
      </c>
      <c r="AN2362" s="182" t="n">
        <v>0</v>
      </c>
    </row>
    <row r="2363">
      <c r="A2363" s="155" t="n">
        <v>46092</v>
      </c>
      <c r="B2363" s="156" t="inlineStr">
        <is>
          <t>NS</t>
        </is>
      </c>
      <c r="C2363" s="156" t="inlineStr">
        <is>
          <t>EX-753</t>
        </is>
      </c>
      <c r="D2363" s="156" t="inlineStr">
        <is>
          <t>SY750H-PRO</t>
        </is>
      </c>
      <c r="E2363" s="156" t="inlineStr">
        <is>
          <t>Excavator</t>
        </is>
      </c>
      <c r="F2363" s="156" t="inlineStr">
        <is>
          <t>Loading OB</t>
        </is>
      </c>
      <c r="G2363" s="182" t="n">
        <v>7.14</v>
      </c>
      <c r="H2363" s="182" t="n">
        <v>0</v>
      </c>
      <c r="I2363" s="182" t="n">
        <v>0</v>
      </c>
      <c r="J2363" s="182" t="n">
        <v>0</v>
      </c>
      <c r="K2363" s="182" t="n">
        <v>4.86</v>
      </c>
      <c r="L2363" s="182" t="n">
        <v>12</v>
      </c>
      <c r="M2363" s="182" t="n">
        <v>7.14</v>
      </c>
      <c r="N2363" s="182" t="n">
        <v>0</v>
      </c>
      <c r="O2363" s="183" t="n">
        <v>117</v>
      </c>
      <c r="P2363" s="183" t="n">
        <v>0</v>
      </c>
      <c r="Q2363" s="184" t="n">
        <v>1909.4</v>
      </c>
      <c r="R2363" s="184" t="n">
        <v>0</v>
      </c>
      <c r="S2363" s="183" t="n">
        <v>0</v>
      </c>
      <c r="T2363" s="183" t="n">
        <v>0</v>
      </c>
      <c r="U2363" s="182" t="n">
        <v>3.79</v>
      </c>
      <c r="V2363" s="182" t="n">
        <v>0</v>
      </c>
      <c r="W2363" s="182" t="n">
        <v>0</v>
      </c>
      <c r="X2363" s="182" t="n">
        <v>0.99</v>
      </c>
      <c r="Y2363" s="182" t="n">
        <v>0</v>
      </c>
      <c r="Z2363" s="182" t="n">
        <v>0</v>
      </c>
      <c r="AA2363" s="182" t="n">
        <v>0</v>
      </c>
      <c r="AB2363" s="182" t="n">
        <v>0</v>
      </c>
      <c r="AC2363" s="182" t="n">
        <v>0</v>
      </c>
      <c r="AD2363" s="182" t="n">
        <v>0</v>
      </c>
      <c r="AE2363" s="182" t="n">
        <v>0</v>
      </c>
      <c r="AF2363" s="182" t="n">
        <v>0</v>
      </c>
      <c r="AG2363" s="182" t="n">
        <v>0</v>
      </c>
      <c r="AH2363" s="182" t="n">
        <v>0</v>
      </c>
      <c r="AI2363" s="182" t="n">
        <v>0</v>
      </c>
      <c r="AJ2363" s="182" t="n">
        <v>0</v>
      </c>
      <c r="AK2363" s="182" t="n">
        <v>0</v>
      </c>
      <c r="AL2363" s="182" t="n">
        <v>0</v>
      </c>
      <c r="AM2363" s="182" t="n">
        <v>0.08</v>
      </c>
      <c r="AN2363" s="182" t="n">
        <v>0</v>
      </c>
    </row>
    <row r="2364">
      <c r="A2364" s="155" t="n">
        <v>46092</v>
      </c>
      <c r="B2364" s="156" t="inlineStr">
        <is>
          <t>NS</t>
        </is>
      </c>
      <c r="C2364" s="156" t="inlineStr">
        <is>
          <t>GD-012</t>
        </is>
      </c>
      <c r="D2364" s="156" t="inlineStr">
        <is>
          <t>STG 230C - 8S</t>
        </is>
      </c>
      <c r="E2364" s="156" t="inlineStr">
        <is>
          <t>Grader</t>
        </is>
      </c>
      <c r="F2364" s="156" t="inlineStr"/>
      <c r="G2364" s="182" t="n">
        <v>0</v>
      </c>
      <c r="H2364" s="182" t="n">
        <v>0</v>
      </c>
      <c r="I2364" s="182" t="n">
        <v>0</v>
      </c>
      <c r="J2364" s="182" t="n">
        <v>0</v>
      </c>
      <c r="K2364" s="182" t="n">
        <v>12</v>
      </c>
      <c r="L2364" s="182" t="n">
        <v>12</v>
      </c>
      <c r="M2364" s="182" t="n">
        <v>0</v>
      </c>
      <c r="N2364" s="182" t="n">
        <v>0</v>
      </c>
      <c r="O2364" s="183" t="n">
        <v>0</v>
      </c>
      <c r="P2364" s="183" t="n">
        <v>0</v>
      </c>
      <c r="Q2364" s="184" t="n">
        <v>0</v>
      </c>
      <c r="R2364" s="184" t="n">
        <v>0</v>
      </c>
      <c r="S2364" s="183" t="n">
        <v>0</v>
      </c>
      <c r="T2364" s="183" t="n">
        <v>0</v>
      </c>
      <c r="U2364" s="182" t="n">
        <v>0</v>
      </c>
      <c r="V2364" s="182" t="n">
        <v>0</v>
      </c>
      <c r="W2364" s="182" t="n">
        <v>0</v>
      </c>
      <c r="X2364" s="182" t="n">
        <v>1</v>
      </c>
      <c r="Y2364" s="182" t="n">
        <v>0</v>
      </c>
      <c r="Z2364" s="182" t="n">
        <v>0</v>
      </c>
      <c r="AA2364" s="182" t="n">
        <v>0</v>
      </c>
      <c r="AB2364" s="182" t="n">
        <v>0</v>
      </c>
      <c r="AC2364" s="182" t="n">
        <v>0</v>
      </c>
      <c r="AD2364" s="182" t="n">
        <v>0</v>
      </c>
      <c r="AE2364" s="182" t="n">
        <v>0</v>
      </c>
      <c r="AF2364" s="182" t="n">
        <v>0</v>
      </c>
      <c r="AG2364" s="182" t="n">
        <v>0</v>
      </c>
      <c r="AH2364" s="182" t="n">
        <v>0</v>
      </c>
      <c r="AI2364" s="182" t="n">
        <v>0</v>
      </c>
      <c r="AJ2364" s="182" t="n">
        <v>0</v>
      </c>
      <c r="AK2364" s="182" t="n">
        <v>10.92</v>
      </c>
      <c r="AL2364" s="182" t="n">
        <v>0</v>
      </c>
      <c r="AM2364" s="182" t="n">
        <v>0.08</v>
      </c>
      <c r="AN2364" s="182" t="n">
        <v>0</v>
      </c>
    </row>
    <row r="2365">
      <c r="A2365" s="155" t="n">
        <v>46092</v>
      </c>
      <c r="B2365" s="156" t="inlineStr">
        <is>
          <t>NS</t>
        </is>
      </c>
      <c r="C2365" s="156" t="inlineStr">
        <is>
          <t>GD-011</t>
        </is>
      </c>
      <c r="D2365" s="156" t="inlineStr">
        <is>
          <t>STG 230C - 8S</t>
        </is>
      </c>
      <c r="E2365" s="156" t="inlineStr">
        <is>
          <t>Grader</t>
        </is>
      </c>
      <c r="F2365" s="156" t="inlineStr"/>
      <c r="G2365" s="182" t="n">
        <v>0</v>
      </c>
      <c r="H2365" s="182" t="n">
        <v>0</v>
      </c>
      <c r="I2365" s="182" t="n">
        <v>12</v>
      </c>
      <c r="J2365" s="182" t="n">
        <v>12</v>
      </c>
      <c r="K2365" s="182" t="n">
        <v>0</v>
      </c>
      <c r="L2365" s="182" t="n">
        <v>12</v>
      </c>
      <c r="M2365" s="182" t="n">
        <v>0</v>
      </c>
      <c r="N2365" s="182" t="n">
        <v>0</v>
      </c>
      <c r="O2365" s="183" t="n">
        <v>0</v>
      </c>
      <c r="P2365" s="183" t="n">
        <v>0</v>
      </c>
      <c r="Q2365" s="184" t="n">
        <v>0</v>
      </c>
      <c r="R2365" s="184" t="n">
        <v>0</v>
      </c>
      <c r="S2365" s="183" t="n">
        <v>0</v>
      </c>
      <c r="T2365" s="183" t="n">
        <v>0</v>
      </c>
      <c r="U2365" s="182" t="n">
        <v>0</v>
      </c>
      <c r="V2365" s="182" t="n">
        <v>0</v>
      </c>
      <c r="W2365" s="182" t="n">
        <v>0</v>
      </c>
      <c r="X2365" s="182" t="n">
        <v>0</v>
      </c>
      <c r="Y2365" s="182" t="n">
        <v>0</v>
      </c>
      <c r="Z2365" s="182" t="n">
        <v>0</v>
      </c>
      <c r="AA2365" s="182" t="n">
        <v>0</v>
      </c>
      <c r="AB2365" s="182" t="n">
        <v>0</v>
      </c>
      <c r="AC2365" s="182" t="n">
        <v>0</v>
      </c>
      <c r="AD2365" s="182" t="n">
        <v>0</v>
      </c>
      <c r="AE2365" s="182" t="n">
        <v>0</v>
      </c>
      <c r="AF2365" s="182" t="n">
        <v>0</v>
      </c>
      <c r="AG2365" s="182" t="n">
        <v>0</v>
      </c>
      <c r="AH2365" s="182" t="n">
        <v>0</v>
      </c>
      <c r="AI2365" s="182" t="n">
        <v>0</v>
      </c>
      <c r="AJ2365" s="182" t="n">
        <v>0</v>
      </c>
      <c r="AK2365" s="182" t="n">
        <v>0</v>
      </c>
      <c r="AL2365" s="182" t="n">
        <v>0</v>
      </c>
      <c r="AM2365" s="182" t="n">
        <v>0</v>
      </c>
      <c r="AN2365" s="182" t="n">
        <v>0</v>
      </c>
    </row>
    <row r="2366">
      <c r="A2366" s="155" t="n">
        <v>46092</v>
      </c>
      <c r="B2366" s="156" t="inlineStr">
        <is>
          <t>NS</t>
        </is>
      </c>
      <c r="C2366" s="156" t="inlineStr">
        <is>
          <t>GD-013</t>
        </is>
      </c>
      <c r="D2366" s="156" t="inlineStr">
        <is>
          <t>STG 265C - 10</t>
        </is>
      </c>
      <c r="E2366" s="156" t="inlineStr">
        <is>
          <t>Grader</t>
        </is>
      </c>
      <c r="F2366" s="156" t="inlineStr">
        <is>
          <t>Road Maintenance</t>
        </is>
      </c>
      <c r="G2366" s="182" t="n">
        <v>6.42</v>
      </c>
      <c r="H2366" s="182" t="n">
        <v>0</v>
      </c>
      <c r="I2366" s="182" t="n">
        <v>1.97</v>
      </c>
      <c r="J2366" s="182" t="n">
        <v>1.97</v>
      </c>
      <c r="K2366" s="182" t="n">
        <v>3.61</v>
      </c>
      <c r="L2366" s="182" t="n">
        <v>12</v>
      </c>
      <c r="M2366" s="182" t="n">
        <v>0</v>
      </c>
      <c r="N2366" s="182" t="n">
        <v>0</v>
      </c>
      <c r="O2366" s="183" t="n">
        <v>0</v>
      </c>
      <c r="P2366" s="183" t="n">
        <v>0</v>
      </c>
      <c r="Q2366" s="184" t="n">
        <v>0</v>
      </c>
      <c r="R2366" s="184" t="n">
        <v>0</v>
      </c>
      <c r="S2366" s="183" t="n">
        <v>0</v>
      </c>
      <c r="T2366" s="183" t="n">
        <v>0</v>
      </c>
      <c r="U2366" s="182" t="n">
        <v>2.51</v>
      </c>
      <c r="V2366" s="182" t="n">
        <v>0</v>
      </c>
      <c r="W2366" s="182" t="n">
        <v>0</v>
      </c>
      <c r="X2366" s="182" t="n">
        <v>1.02</v>
      </c>
      <c r="Y2366" s="182" t="n">
        <v>0</v>
      </c>
      <c r="Z2366" s="182" t="n">
        <v>0</v>
      </c>
      <c r="AA2366" s="182" t="n">
        <v>0</v>
      </c>
      <c r="AB2366" s="182" t="n">
        <v>0</v>
      </c>
      <c r="AC2366" s="182" t="n">
        <v>0</v>
      </c>
      <c r="AD2366" s="182" t="n">
        <v>0</v>
      </c>
      <c r="AE2366" s="182" t="n">
        <v>0</v>
      </c>
      <c r="AF2366" s="182" t="n">
        <v>0</v>
      </c>
      <c r="AG2366" s="182" t="n">
        <v>0</v>
      </c>
      <c r="AH2366" s="182" t="n">
        <v>0</v>
      </c>
      <c r="AI2366" s="182" t="n">
        <v>0</v>
      </c>
      <c r="AJ2366" s="182" t="n">
        <v>0</v>
      </c>
      <c r="AK2366" s="182" t="n">
        <v>0</v>
      </c>
      <c r="AL2366" s="182" t="n">
        <v>0</v>
      </c>
      <c r="AM2366" s="182" t="n">
        <v>0.08</v>
      </c>
      <c r="AN2366" s="182" t="n">
        <v>0</v>
      </c>
    </row>
    <row r="2367">
      <c r="A2367" s="155" t="n">
        <v>46092</v>
      </c>
      <c r="B2367" s="156" t="inlineStr">
        <is>
          <t>NS</t>
        </is>
      </c>
      <c r="C2367" s="156" t="inlineStr">
        <is>
          <t>GD-014</t>
        </is>
      </c>
      <c r="D2367" s="156" t="inlineStr">
        <is>
          <t>STG 335C - 10</t>
        </is>
      </c>
      <c r="E2367" s="156" t="inlineStr">
        <is>
          <t>Grader</t>
        </is>
      </c>
      <c r="F2367" s="156" t="inlineStr">
        <is>
          <t>Road Maintenance</t>
        </is>
      </c>
      <c r="G2367" s="182" t="n">
        <v>7.24</v>
      </c>
      <c r="H2367" s="182" t="n">
        <v>0</v>
      </c>
      <c r="I2367" s="182" t="n">
        <v>0</v>
      </c>
      <c r="J2367" s="182" t="n">
        <v>0</v>
      </c>
      <c r="K2367" s="182" t="n">
        <v>4.76</v>
      </c>
      <c r="L2367" s="182" t="n">
        <v>12</v>
      </c>
      <c r="M2367" s="182" t="n">
        <v>0</v>
      </c>
      <c r="N2367" s="182" t="n">
        <v>0</v>
      </c>
      <c r="O2367" s="183" t="n">
        <v>0</v>
      </c>
      <c r="P2367" s="183" t="n">
        <v>0</v>
      </c>
      <c r="Q2367" s="184" t="n">
        <v>0</v>
      </c>
      <c r="R2367" s="184" t="n">
        <v>0</v>
      </c>
      <c r="S2367" s="183" t="n">
        <v>0</v>
      </c>
      <c r="T2367" s="183" t="n">
        <v>0</v>
      </c>
      <c r="U2367" s="182" t="n">
        <v>3.75</v>
      </c>
      <c r="V2367" s="182" t="n">
        <v>0</v>
      </c>
      <c r="W2367" s="182" t="n">
        <v>0</v>
      </c>
      <c r="X2367" s="182" t="n">
        <v>0.93</v>
      </c>
      <c r="Y2367" s="182" t="n">
        <v>0</v>
      </c>
      <c r="Z2367" s="182" t="n">
        <v>0</v>
      </c>
      <c r="AA2367" s="182" t="n">
        <v>0</v>
      </c>
      <c r="AB2367" s="182" t="n">
        <v>0</v>
      </c>
      <c r="AC2367" s="182" t="n">
        <v>0</v>
      </c>
      <c r="AD2367" s="182" t="n">
        <v>0</v>
      </c>
      <c r="AE2367" s="182" t="n">
        <v>0</v>
      </c>
      <c r="AF2367" s="182" t="n">
        <v>0</v>
      </c>
      <c r="AG2367" s="182" t="n">
        <v>0</v>
      </c>
      <c r="AH2367" s="182" t="n">
        <v>0</v>
      </c>
      <c r="AI2367" s="182" t="n">
        <v>0</v>
      </c>
      <c r="AJ2367" s="182" t="n">
        <v>0</v>
      </c>
      <c r="AK2367" s="182" t="n">
        <v>0</v>
      </c>
      <c r="AL2367" s="182" t="n">
        <v>0</v>
      </c>
      <c r="AM2367" s="182" t="n">
        <v>0.07000000000000001</v>
      </c>
      <c r="AN2367" s="182" t="n">
        <v>0</v>
      </c>
    </row>
    <row r="2368">
      <c r="A2368" s="155" t="n">
        <v>46092</v>
      </c>
      <c r="B2368" s="156" t="inlineStr">
        <is>
          <t>NS</t>
        </is>
      </c>
      <c r="C2368" s="156" t="inlineStr">
        <is>
          <t>DT-809</t>
        </is>
      </c>
      <c r="D2368" s="156" t="inlineStr">
        <is>
          <t>SKT 80S</t>
        </is>
      </c>
      <c r="E2368" s="156" t="inlineStr">
        <is>
          <t>Hauler</t>
        </is>
      </c>
      <c r="F2368" s="156" t="inlineStr"/>
      <c r="G2368" s="182" t="n">
        <v>0</v>
      </c>
      <c r="H2368" s="182" t="n">
        <v>0</v>
      </c>
      <c r="I2368" s="182" t="n">
        <v>0</v>
      </c>
      <c r="J2368" s="182" t="n">
        <v>0</v>
      </c>
      <c r="K2368" s="182" t="n">
        <v>12</v>
      </c>
      <c r="L2368" s="182" t="n">
        <v>12</v>
      </c>
      <c r="M2368" s="182" t="n">
        <v>0</v>
      </c>
      <c r="N2368" s="182" t="n">
        <v>0</v>
      </c>
      <c r="O2368" s="183" t="n">
        <v>0</v>
      </c>
      <c r="P2368" s="183" t="n">
        <v>0</v>
      </c>
      <c r="Q2368" s="184" t="n">
        <v>0</v>
      </c>
      <c r="R2368" s="184" t="n">
        <v>0</v>
      </c>
      <c r="S2368" s="183" t="n">
        <v>0</v>
      </c>
      <c r="T2368" s="183" t="n">
        <v>0</v>
      </c>
      <c r="U2368" s="182" t="n">
        <v>0</v>
      </c>
      <c r="V2368" s="182" t="n">
        <v>0</v>
      </c>
      <c r="W2368" s="182" t="n">
        <v>0</v>
      </c>
      <c r="X2368" s="182" t="n">
        <v>1</v>
      </c>
      <c r="Y2368" s="182" t="n">
        <v>0</v>
      </c>
      <c r="Z2368" s="182" t="n">
        <v>0</v>
      </c>
      <c r="AA2368" s="182" t="n">
        <v>0</v>
      </c>
      <c r="AB2368" s="182" t="n">
        <v>0</v>
      </c>
      <c r="AC2368" s="182" t="n">
        <v>0</v>
      </c>
      <c r="AD2368" s="182" t="n">
        <v>0</v>
      </c>
      <c r="AE2368" s="182" t="n">
        <v>0</v>
      </c>
      <c r="AF2368" s="182" t="n">
        <v>0</v>
      </c>
      <c r="AG2368" s="182" t="n">
        <v>0</v>
      </c>
      <c r="AH2368" s="182" t="n">
        <v>0</v>
      </c>
      <c r="AI2368" s="182" t="n">
        <v>0</v>
      </c>
      <c r="AJ2368" s="182" t="n">
        <v>0</v>
      </c>
      <c r="AK2368" s="182" t="n">
        <v>10.92</v>
      </c>
      <c r="AL2368" s="182" t="n">
        <v>0</v>
      </c>
      <c r="AM2368" s="182" t="n">
        <v>0.08</v>
      </c>
      <c r="AN2368" s="182" t="n">
        <v>0</v>
      </c>
    </row>
    <row r="2369">
      <c r="A2369" s="155" t="n">
        <v>46092</v>
      </c>
      <c r="B2369" s="156" t="inlineStr">
        <is>
          <t>NS</t>
        </is>
      </c>
      <c r="C2369" s="156" t="inlineStr">
        <is>
          <t>DT-806</t>
        </is>
      </c>
      <c r="D2369" s="156" t="inlineStr">
        <is>
          <t>SKT 80S</t>
        </is>
      </c>
      <c r="E2369" s="156" t="inlineStr">
        <is>
          <t>Hauler</t>
        </is>
      </c>
      <c r="F2369" s="156" t="inlineStr"/>
      <c r="G2369" s="182" t="n">
        <v>0</v>
      </c>
      <c r="H2369" s="182" t="n">
        <v>0</v>
      </c>
      <c r="I2369" s="182" t="n">
        <v>0</v>
      </c>
      <c r="J2369" s="182" t="n">
        <v>0</v>
      </c>
      <c r="K2369" s="182" t="n">
        <v>12</v>
      </c>
      <c r="L2369" s="182" t="n">
        <v>12</v>
      </c>
      <c r="M2369" s="182" t="n">
        <v>0</v>
      </c>
      <c r="N2369" s="182" t="n">
        <v>0</v>
      </c>
      <c r="O2369" s="183" t="n">
        <v>0</v>
      </c>
      <c r="P2369" s="183" t="n">
        <v>0</v>
      </c>
      <c r="Q2369" s="184" t="n">
        <v>0</v>
      </c>
      <c r="R2369" s="184" t="n">
        <v>0</v>
      </c>
      <c r="S2369" s="183" t="n">
        <v>0</v>
      </c>
      <c r="T2369" s="183" t="n">
        <v>0</v>
      </c>
      <c r="U2369" s="182" t="n">
        <v>0</v>
      </c>
      <c r="V2369" s="182" t="n">
        <v>0</v>
      </c>
      <c r="W2369" s="182" t="n">
        <v>0</v>
      </c>
      <c r="X2369" s="182" t="n">
        <v>1</v>
      </c>
      <c r="Y2369" s="182" t="n">
        <v>0</v>
      </c>
      <c r="Z2369" s="182" t="n">
        <v>0</v>
      </c>
      <c r="AA2369" s="182" t="n">
        <v>0</v>
      </c>
      <c r="AB2369" s="182" t="n">
        <v>0</v>
      </c>
      <c r="AC2369" s="182" t="n">
        <v>0</v>
      </c>
      <c r="AD2369" s="182" t="n">
        <v>0</v>
      </c>
      <c r="AE2369" s="182" t="n">
        <v>0</v>
      </c>
      <c r="AF2369" s="182" t="n">
        <v>0</v>
      </c>
      <c r="AG2369" s="182" t="n">
        <v>0</v>
      </c>
      <c r="AH2369" s="182" t="n">
        <v>0</v>
      </c>
      <c r="AI2369" s="182" t="n">
        <v>0</v>
      </c>
      <c r="AJ2369" s="182" t="n">
        <v>0</v>
      </c>
      <c r="AK2369" s="182" t="n">
        <v>10.92</v>
      </c>
      <c r="AL2369" s="182" t="n">
        <v>0</v>
      </c>
      <c r="AM2369" s="182" t="n">
        <v>0.08</v>
      </c>
      <c r="AN2369" s="182" t="n">
        <v>0</v>
      </c>
    </row>
    <row r="2370">
      <c r="A2370" s="155" t="n">
        <v>46092</v>
      </c>
      <c r="B2370" s="156" t="inlineStr">
        <is>
          <t>NS</t>
        </is>
      </c>
      <c r="C2370" s="156" t="inlineStr">
        <is>
          <t>DT-805</t>
        </is>
      </c>
      <c r="D2370" s="156" t="inlineStr">
        <is>
          <t>SKT 80S</t>
        </is>
      </c>
      <c r="E2370" s="156" t="inlineStr">
        <is>
          <t>Hauler</t>
        </is>
      </c>
      <c r="F2370" s="156" t="inlineStr"/>
      <c r="G2370" s="182" t="n">
        <v>0</v>
      </c>
      <c r="H2370" s="182" t="n">
        <v>0</v>
      </c>
      <c r="I2370" s="182" t="n">
        <v>0</v>
      </c>
      <c r="J2370" s="182" t="n">
        <v>0</v>
      </c>
      <c r="K2370" s="182" t="n">
        <v>12</v>
      </c>
      <c r="L2370" s="182" t="n">
        <v>12</v>
      </c>
      <c r="M2370" s="182" t="n">
        <v>0</v>
      </c>
      <c r="N2370" s="182" t="n">
        <v>0</v>
      </c>
      <c r="O2370" s="183" t="n">
        <v>0</v>
      </c>
      <c r="P2370" s="183" t="n">
        <v>0</v>
      </c>
      <c r="Q2370" s="184" t="n">
        <v>0</v>
      </c>
      <c r="R2370" s="184" t="n">
        <v>0</v>
      </c>
      <c r="S2370" s="183" t="n">
        <v>0</v>
      </c>
      <c r="T2370" s="183" t="n">
        <v>0</v>
      </c>
      <c r="U2370" s="182" t="n">
        <v>0</v>
      </c>
      <c r="V2370" s="182" t="n">
        <v>0</v>
      </c>
      <c r="W2370" s="182" t="n">
        <v>0</v>
      </c>
      <c r="X2370" s="182" t="n">
        <v>1</v>
      </c>
      <c r="Y2370" s="182" t="n">
        <v>0</v>
      </c>
      <c r="Z2370" s="182" t="n">
        <v>0</v>
      </c>
      <c r="AA2370" s="182" t="n">
        <v>0</v>
      </c>
      <c r="AB2370" s="182" t="n">
        <v>0</v>
      </c>
      <c r="AC2370" s="182" t="n">
        <v>0</v>
      </c>
      <c r="AD2370" s="182" t="n">
        <v>0</v>
      </c>
      <c r="AE2370" s="182" t="n">
        <v>0</v>
      </c>
      <c r="AF2370" s="182" t="n">
        <v>0</v>
      </c>
      <c r="AG2370" s="182" t="n">
        <v>0</v>
      </c>
      <c r="AH2370" s="182" t="n">
        <v>0</v>
      </c>
      <c r="AI2370" s="182" t="n">
        <v>0</v>
      </c>
      <c r="AJ2370" s="182" t="n">
        <v>0</v>
      </c>
      <c r="AK2370" s="182" t="n">
        <v>10.92</v>
      </c>
      <c r="AL2370" s="182" t="n">
        <v>0</v>
      </c>
      <c r="AM2370" s="182" t="n">
        <v>0.08</v>
      </c>
      <c r="AN2370" s="182" t="n">
        <v>0</v>
      </c>
    </row>
    <row r="2371">
      <c r="A2371" s="155" t="n">
        <v>46092</v>
      </c>
      <c r="B2371" s="156" t="inlineStr">
        <is>
          <t>NS</t>
        </is>
      </c>
      <c r="C2371" s="156" t="inlineStr">
        <is>
          <t>DT-801</t>
        </is>
      </c>
      <c r="D2371" s="156" t="inlineStr">
        <is>
          <t>SKT 80S</t>
        </is>
      </c>
      <c r="E2371" s="156" t="inlineStr">
        <is>
          <t>Hauler</t>
        </is>
      </c>
      <c r="F2371" s="156" t="inlineStr"/>
      <c r="G2371" s="182" t="n">
        <v>0</v>
      </c>
      <c r="H2371" s="182" t="n">
        <v>0</v>
      </c>
      <c r="I2371" s="182" t="n">
        <v>0</v>
      </c>
      <c r="J2371" s="182" t="n">
        <v>0</v>
      </c>
      <c r="K2371" s="182" t="n">
        <v>12</v>
      </c>
      <c r="L2371" s="182" t="n">
        <v>12</v>
      </c>
      <c r="M2371" s="182" t="n">
        <v>0</v>
      </c>
      <c r="N2371" s="182" t="n">
        <v>0</v>
      </c>
      <c r="O2371" s="183" t="n">
        <v>0</v>
      </c>
      <c r="P2371" s="183" t="n">
        <v>0</v>
      </c>
      <c r="Q2371" s="184" t="n">
        <v>0</v>
      </c>
      <c r="R2371" s="184" t="n">
        <v>0</v>
      </c>
      <c r="S2371" s="183" t="n">
        <v>0</v>
      </c>
      <c r="T2371" s="183" t="n">
        <v>0</v>
      </c>
      <c r="U2371" s="182" t="n">
        <v>0</v>
      </c>
      <c r="V2371" s="182" t="n">
        <v>0</v>
      </c>
      <c r="W2371" s="182" t="n">
        <v>0</v>
      </c>
      <c r="X2371" s="182" t="n">
        <v>1</v>
      </c>
      <c r="Y2371" s="182" t="n">
        <v>0</v>
      </c>
      <c r="Z2371" s="182" t="n">
        <v>0</v>
      </c>
      <c r="AA2371" s="182" t="n">
        <v>0</v>
      </c>
      <c r="AB2371" s="182" t="n">
        <v>0</v>
      </c>
      <c r="AC2371" s="182" t="n">
        <v>0</v>
      </c>
      <c r="AD2371" s="182" t="n">
        <v>0</v>
      </c>
      <c r="AE2371" s="182" t="n">
        <v>0</v>
      </c>
      <c r="AF2371" s="182" t="n">
        <v>0</v>
      </c>
      <c r="AG2371" s="182" t="n">
        <v>0</v>
      </c>
      <c r="AH2371" s="182" t="n">
        <v>0</v>
      </c>
      <c r="AI2371" s="182" t="n">
        <v>0</v>
      </c>
      <c r="AJ2371" s="182" t="n">
        <v>0</v>
      </c>
      <c r="AK2371" s="182" t="n">
        <v>10.92</v>
      </c>
      <c r="AL2371" s="182" t="n">
        <v>0</v>
      </c>
      <c r="AM2371" s="182" t="n">
        <v>0.08</v>
      </c>
      <c r="AN2371" s="182" t="n">
        <v>0</v>
      </c>
    </row>
    <row r="2372">
      <c r="A2372" s="155" t="n">
        <v>46092</v>
      </c>
      <c r="B2372" s="156" t="inlineStr">
        <is>
          <t>NS</t>
        </is>
      </c>
      <c r="C2372" s="156" t="inlineStr">
        <is>
          <t>DT-808</t>
        </is>
      </c>
      <c r="D2372" s="156" t="inlineStr">
        <is>
          <t>SKT 80S</t>
        </is>
      </c>
      <c r="E2372" s="156" t="inlineStr">
        <is>
          <t>Hauler</t>
        </is>
      </c>
      <c r="F2372" s="156" t="inlineStr"/>
      <c r="G2372" s="182" t="n">
        <v>0</v>
      </c>
      <c r="H2372" s="182" t="n">
        <v>0</v>
      </c>
      <c r="I2372" s="182" t="n">
        <v>0</v>
      </c>
      <c r="J2372" s="182" t="n">
        <v>0</v>
      </c>
      <c r="K2372" s="182" t="n">
        <v>12</v>
      </c>
      <c r="L2372" s="182" t="n">
        <v>12</v>
      </c>
      <c r="M2372" s="182" t="n">
        <v>0</v>
      </c>
      <c r="N2372" s="182" t="n">
        <v>0</v>
      </c>
      <c r="O2372" s="183" t="n">
        <v>0</v>
      </c>
      <c r="P2372" s="183" t="n">
        <v>0</v>
      </c>
      <c r="Q2372" s="184" t="n">
        <v>0</v>
      </c>
      <c r="R2372" s="184" t="n">
        <v>0</v>
      </c>
      <c r="S2372" s="183" t="n">
        <v>0</v>
      </c>
      <c r="T2372" s="183" t="n">
        <v>0</v>
      </c>
      <c r="U2372" s="182" t="n">
        <v>0</v>
      </c>
      <c r="V2372" s="182" t="n">
        <v>0</v>
      </c>
      <c r="W2372" s="182" t="n">
        <v>0</v>
      </c>
      <c r="X2372" s="182" t="n">
        <v>1</v>
      </c>
      <c r="Y2372" s="182" t="n">
        <v>0</v>
      </c>
      <c r="Z2372" s="182" t="n">
        <v>0</v>
      </c>
      <c r="AA2372" s="182" t="n">
        <v>0</v>
      </c>
      <c r="AB2372" s="182" t="n">
        <v>0</v>
      </c>
      <c r="AC2372" s="182" t="n">
        <v>0</v>
      </c>
      <c r="AD2372" s="182" t="n">
        <v>0</v>
      </c>
      <c r="AE2372" s="182" t="n">
        <v>0</v>
      </c>
      <c r="AF2372" s="182" t="n">
        <v>0</v>
      </c>
      <c r="AG2372" s="182" t="n">
        <v>0</v>
      </c>
      <c r="AH2372" s="182" t="n">
        <v>0</v>
      </c>
      <c r="AI2372" s="182" t="n">
        <v>0</v>
      </c>
      <c r="AJ2372" s="182" t="n">
        <v>0</v>
      </c>
      <c r="AK2372" s="182" t="n">
        <v>10.92</v>
      </c>
      <c r="AL2372" s="182" t="n">
        <v>0</v>
      </c>
      <c r="AM2372" s="182" t="n">
        <v>0.08</v>
      </c>
      <c r="AN2372" s="182" t="n">
        <v>0</v>
      </c>
    </row>
    <row r="2373">
      <c r="A2373" s="155" t="n">
        <v>46092</v>
      </c>
      <c r="B2373" s="156" t="inlineStr">
        <is>
          <t>NS</t>
        </is>
      </c>
      <c r="C2373" s="156" t="inlineStr">
        <is>
          <t>DT-811</t>
        </is>
      </c>
      <c r="D2373" s="156" t="inlineStr">
        <is>
          <t>SKT 80S</t>
        </is>
      </c>
      <c r="E2373" s="156" t="inlineStr">
        <is>
          <t>Hauler</t>
        </is>
      </c>
      <c r="F2373" s="156" t="inlineStr"/>
      <c r="G2373" s="182" t="n">
        <v>0</v>
      </c>
      <c r="H2373" s="182" t="n">
        <v>0</v>
      </c>
      <c r="I2373" s="182" t="n">
        <v>12</v>
      </c>
      <c r="J2373" s="182" t="n">
        <v>12</v>
      </c>
      <c r="K2373" s="182" t="n">
        <v>0</v>
      </c>
      <c r="L2373" s="182" t="n">
        <v>12</v>
      </c>
      <c r="M2373" s="182" t="n">
        <v>0</v>
      </c>
      <c r="N2373" s="182" t="n">
        <v>0</v>
      </c>
      <c r="O2373" s="183" t="n">
        <v>0</v>
      </c>
      <c r="P2373" s="183" t="n">
        <v>0</v>
      </c>
      <c r="Q2373" s="184" t="n">
        <v>0</v>
      </c>
      <c r="R2373" s="184" t="n">
        <v>0</v>
      </c>
      <c r="S2373" s="183" t="n">
        <v>0</v>
      </c>
      <c r="T2373" s="183" t="n">
        <v>0</v>
      </c>
      <c r="U2373" s="182" t="n">
        <v>0</v>
      </c>
      <c r="V2373" s="182" t="n">
        <v>0</v>
      </c>
      <c r="W2373" s="182" t="n">
        <v>0</v>
      </c>
      <c r="X2373" s="182" t="n">
        <v>0</v>
      </c>
      <c r="Y2373" s="182" t="n">
        <v>0</v>
      </c>
      <c r="Z2373" s="182" t="n">
        <v>0</v>
      </c>
      <c r="AA2373" s="182" t="n">
        <v>0</v>
      </c>
      <c r="AB2373" s="182" t="n">
        <v>0</v>
      </c>
      <c r="AC2373" s="182" t="n">
        <v>0</v>
      </c>
      <c r="AD2373" s="182" t="n">
        <v>0</v>
      </c>
      <c r="AE2373" s="182" t="n">
        <v>0</v>
      </c>
      <c r="AF2373" s="182" t="n">
        <v>0</v>
      </c>
      <c r="AG2373" s="182" t="n">
        <v>0</v>
      </c>
      <c r="AH2373" s="182" t="n">
        <v>0</v>
      </c>
      <c r="AI2373" s="182" t="n">
        <v>0</v>
      </c>
      <c r="AJ2373" s="182" t="n">
        <v>0</v>
      </c>
      <c r="AK2373" s="182" t="n">
        <v>0</v>
      </c>
      <c r="AL2373" s="182" t="n">
        <v>0</v>
      </c>
      <c r="AM2373" s="182" t="n">
        <v>0</v>
      </c>
      <c r="AN2373" s="182" t="n">
        <v>0</v>
      </c>
    </row>
    <row r="2374">
      <c r="A2374" s="155" t="n">
        <v>46092</v>
      </c>
      <c r="B2374" s="156" t="inlineStr">
        <is>
          <t>NS</t>
        </is>
      </c>
      <c r="C2374" s="156" t="inlineStr">
        <is>
          <t>DT-802</t>
        </is>
      </c>
      <c r="D2374" s="156" t="inlineStr">
        <is>
          <t>SKT 80S</t>
        </is>
      </c>
      <c r="E2374" s="156" t="inlineStr">
        <is>
          <t>Hauler</t>
        </is>
      </c>
      <c r="F2374" s="156" t="inlineStr"/>
      <c r="G2374" s="182" t="n">
        <v>0</v>
      </c>
      <c r="H2374" s="182" t="n">
        <v>0</v>
      </c>
      <c r="I2374" s="182" t="n">
        <v>12</v>
      </c>
      <c r="J2374" s="182" t="n">
        <v>12</v>
      </c>
      <c r="K2374" s="182" t="n">
        <v>0</v>
      </c>
      <c r="L2374" s="182" t="n">
        <v>12</v>
      </c>
      <c r="M2374" s="182" t="n">
        <v>0</v>
      </c>
      <c r="N2374" s="182" t="n">
        <v>0</v>
      </c>
      <c r="O2374" s="183" t="n">
        <v>0</v>
      </c>
      <c r="P2374" s="183" t="n">
        <v>0</v>
      </c>
      <c r="Q2374" s="184" t="n">
        <v>0</v>
      </c>
      <c r="R2374" s="184" t="n">
        <v>0</v>
      </c>
      <c r="S2374" s="183" t="n">
        <v>0</v>
      </c>
      <c r="T2374" s="183" t="n">
        <v>0</v>
      </c>
      <c r="U2374" s="182" t="n">
        <v>0</v>
      </c>
      <c r="V2374" s="182" t="n">
        <v>0</v>
      </c>
      <c r="W2374" s="182" t="n">
        <v>0</v>
      </c>
      <c r="X2374" s="182" t="n">
        <v>0</v>
      </c>
      <c r="Y2374" s="182" t="n">
        <v>0</v>
      </c>
      <c r="Z2374" s="182" t="n">
        <v>0</v>
      </c>
      <c r="AA2374" s="182" t="n">
        <v>0</v>
      </c>
      <c r="AB2374" s="182" t="n">
        <v>0</v>
      </c>
      <c r="AC2374" s="182" t="n">
        <v>0</v>
      </c>
      <c r="AD2374" s="182" t="n">
        <v>0</v>
      </c>
      <c r="AE2374" s="182" t="n">
        <v>0</v>
      </c>
      <c r="AF2374" s="182" t="n">
        <v>0</v>
      </c>
      <c r="AG2374" s="182" t="n">
        <v>0</v>
      </c>
      <c r="AH2374" s="182" t="n">
        <v>0</v>
      </c>
      <c r="AI2374" s="182" t="n">
        <v>0</v>
      </c>
      <c r="AJ2374" s="182" t="n">
        <v>0</v>
      </c>
      <c r="AK2374" s="182" t="n">
        <v>0</v>
      </c>
      <c r="AL2374" s="182" t="n">
        <v>0</v>
      </c>
      <c r="AM2374" s="182" t="n">
        <v>0</v>
      </c>
      <c r="AN2374" s="182" t="n">
        <v>0</v>
      </c>
    </row>
    <row r="2375">
      <c r="A2375" s="155" t="n">
        <v>46092</v>
      </c>
      <c r="B2375" s="156" t="inlineStr">
        <is>
          <t>NS</t>
        </is>
      </c>
      <c r="C2375" s="156" t="inlineStr">
        <is>
          <t>DT-807</t>
        </is>
      </c>
      <c r="D2375" s="156" t="inlineStr">
        <is>
          <t>SKT 80S</t>
        </is>
      </c>
      <c r="E2375" s="156" t="inlineStr">
        <is>
          <t>Hauler</t>
        </is>
      </c>
      <c r="F2375" s="156" t="inlineStr"/>
      <c r="G2375" s="182" t="n">
        <v>0</v>
      </c>
      <c r="H2375" s="182" t="n">
        <v>0</v>
      </c>
      <c r="I2375" s="182" t="n">
        <v>0</v>
      </c>
      <c r="J2375" s="182" t="n">
        <v>0</v>
      </c>
      <c r="K2375" s="182" t="n">
        <v>12</v>
      </c>
      <c r="L2375" s="182" t="n">
        <v>12</v>
      </c>
      <c r="M2375" s="182" t="n">
        <v>0</v>
      </c>
      <c r="N2375" s="182" t="n">
        <v>0</v>
      </c>
      <c r="O2375" s="183" t="n">
        <v>0</v>
      </c>
      <c r="P2375" s="183" t="n">
        <v>0</v>
      </c>
      <c r="Q2375" s="184" t="n">
        <v>0</v>
      </c>
      <c r="R2375" s="184" t="n">
        <v>0</v>
      </c>
      <c r="S2375" s="183" t="n">
        <v>0</v>
      </c>
      <c r="T2375" s="183" t="n">
        <v>0</v>
      </c>
      <c r="U2375" s="182" t="n">
        <v>0</v>
      </c>
      <c r="V2375" s="182" t="n">
        <v>0</v>
      </c>
      <c r="W2375" s="182" t="n">
        <v>0</v>
      </c>
      <c r="X2375" s="182" t="n">
        <v>1</v>
      </c>
      <c r="Y2375" s="182" t="n">
        <v>0</v>
      </c>
      <c r="Z2375" s="182" t="n">
        <v>0</v>
      </c>
      <c r="AA2375" s="182" t="n">
        <v>0</v>
      </c>
      <c r="AB2375" s="182" t="n">
        <v>0</v>
      </c>
      <c r="AC2375" s="182" t="n">
        <v>0</v>
      </c>
      <c r="AD2375" s="182" t="n">
        <v>0</v>
      </c>
      <c r="AE2375" s="182" t="n">
        <v>0</v>
      </c>
      <c r="AF2375" s="182" t="n">
        <v>0</v>
      </c>
      <c r="AG2375" s="182" t="n">
        <v>0</v>
      </c>
      <c r="AH2375" s="182" t="n">
        <v>0</v>
      </c>
      <c r="AI2375" s="182" t="n">
        <v>0</v>
      </c>
      <c r="AJ2375" s="182" t="n">
        <v>0</v>
      </c>
      <c r="AK2375" s="182" t="n">
        <v>10.92</v>
      </c>
      <c r="AL2375" s="182" t="n">
        <v>0</v>
      </c>
      <c r="AM2375" s="182" t="n">
        <v>0.08</v>
      </c>
      <c r="AN2375" s="182" t="n">
        <v>0</v>
      </c>
    </row>
    <row r="2376">
      <c r="A2376" s="155" t="n">
        <v>46092</v>
      </c>
      <c r="B2376" s="156" t="inlineStr">
        <is>
          <t>NS</t>
        </is>
      </c>
      <c r="C2376" s="156" t="inlineStr">
        <is>
          <t>DT-812</t>
        </is>
      </c>
      <c r="D2376" s="156" t="inlineStr">
        <is>
          <t>SKT 80S</t>
        </is>
      </c>
      <c r="E2376" s="156" t="inlineStr">
        <is>
          <t>Hauler</t>
        </is>
      </c>
      <c r="F2376" s="156" t="inlineStr"/>
      <c r="G2376" s="182" t="n">
        <v>0</v>
      </c>
      <c r="H2376" s="182" t="n">
        <v>0</v>
      </c>
      <c r="I2376" s="182" t="n">
        <v>0</v>
      </c>
      <c r="J2376" s="182" t="n">
        <v>0</v>
      </c>
      <c r="K2376" s="182" t="n">
        <v>12</v>
      </c>
      <c r="L2376" s="182" t="n">
        <v>12</v>
      </c>
      <c r="M2376" s="182" t="n">
        <v>0</v>
      </c>
      <c r="N2376" s="182" t="n">
        <v>0</v>
      </c>
      <c r="O2376" s="183" t="n">
        <v>0</v>
      </c>
      <c r="P2376" s="183" t="n">
        <v>0</v>
      </c>
      <c r="Q2376" s="184" t="n">
        <v>0</v>
      </c>
      <c r="R2376" s="184" t="n">
        <v>0</v>
      </c>
      <c r="S2376" s="183" t="n">
        <v>0</v>
      </c>
      <c r="T2376" s="183" t="n">
        <v>0</v>
      </c>
      <c r="U2376" s="182" t="n">
        <v>0</v>
      </c>
      <c r="V2376" s="182" t="n">
        <v>0</v>
      </c>
      <c r="W2376" s="182" t="n">
        <v>0</v>
      </c>
      <c r="X2376" s="182" t="n">
        <v>1</v>
      </c>
      <c r="Y2376" s="182" t="n">
        <v>0</v>
      </c>
      <c r="Z2376" s="182" t="n">
        <v>0</v>
      </c>
      <c r="AA2376" s="182" t="n">
        <v>0</v>
      </c>
      <c r="AB2376" s="182" t="n">
        <v>0</v>
      </c>
      <c r="AC2376" s="182" t="n">
        <v>0</v>
      </c>
      <c r="AD2376" s="182" t="n">
        <v>0</v>
      </c>
      <c r="AE2376" s="182" t="n">
        <v>0</v>
      </c>
      <c r="AF2376" s="182" t="n">
        <v>0</v>
      </c>
      <c r="AG2376" s="182" t="n">
        <v>0</v>
      </c>
      <c r="AH2376" s="182" t="n">
        <v>0</v>
      </c>
      <c r="AI2376" s="182" t="n">
        <v>0</v>
      </c>
      <c r="AJ2376" s="182" t="n">
        <v>0</v>
      </c>
      <c r="AK2376" s="182" t="n">
        <v>10.92</v>
      </c>
      <c r="AL2376" s="182" t="n">
        <v>0</v>
      </c>
      <c r="AM2376" s="182" t="n">
        <v>0.08</v>
      </c>
      <c r="AN2376" s="182" t="n">
        <v>0</v>
      </c>
    </row>
    <row r="2377">
      <c r="A2377" s="155" t="n">
        <v>46092</v>
      </c>
      <c r="B2377" s="156" t="inlineStr">
        <is>
          <t>NS</t>
        </is>
      </c>
      <c r="C2377" s="156" t="inlineStr">
        <is>
          <t>DT-803</t>
        </is>
      </c>
      <c r="D2377" s="156" t="inlineStr">
        <is>
          <t>SKT 80S</t>
        </is>
      </c>
      <c r="E2377" s="156" t="inlineStr">
        <is>
          <t>Hauler</t>
        </is>
      </c>
      <c r="F2377" s="156" t="inlineStr"/>
      <c r="G2377" s="182" t="n">
        <v>0</v>
      </c>
      <c r="H2377" s="182" t="n">
        <v>0</v>
      </c>
      <c r="I2377" s="182" t="n">
        <v>12</v>
      </c>
      <c r="J2377" s="182" t="n">
        <v>12</v>
      </c>
      <c r="K2377" s="182" t="n">
        <v>0</v>
      </c>
      <c r="L2377" s="182" t="n">
        <v>12</v>
      </c>
      <c r="M2377" s="182" t="n">
        <v>0</v>
      </c>
      <c r="N2377" s="182" t="n">
        <v>0</v>
      </c>
      <c r="O2377" s="183" t="n">
        <v>0</v>
      </c>
      <c r="P2377" s="183" t="n">
        <v>0</v>
      </c>
      <c r="Q2377" s="184" t="n">
        <v>0</v>
      </c>
      <c r="R2377" s="184" t="n">
        <v>0</v>
      </c>
      <c r="S2377" s="183" t="n">
        <v>0</v>
      </c>
      <c r="T2377" s="183" t="n">
        <v>0</v>
      </c>
      <c r="U2377" s="182" t="n">
        <v>0</v>
      </c>
      <c r="V2377" s="182" t="n">
        <v>0</v>
      </c>
      <c r="W2377" s="182" t="n">
        <v>0</v>
      </c>
      <c r="X2377" s="182" t="n">
        <v>0</v>
      </c>
      <c r="Y2377" s="182" t="n">
        <v>0</v>
      </c>
      <c r="Z2377" s="182" t="n">
        <v>0</v>
      </c>
      <c r="AA2377" s="182" t="n">
        <v>0</v>
      </c>
      <c r="AB2377" s="182" t="n">
        <v>0</v>
      </c>
      <c r="AC2377" s="182" t="n">
        <v>0</v>
      </c>
      <c r="AD2377" s="182" t="n">
        <v>0</v>
      </c>
      <c r="AE2377" s="182" t="n">
        <v>0</v>
      </c>
      <c r="AF2377" s="182" t="n">
        <v>0</v>
      </c>
      <c r="AG2377" s="182" t="n">
        <v>0</v>
      </c>
      <c r="AH2377" s="182" t="n">
        <v>0</v>
      </c>
      <c r="AI2377" s="182" t="n">
        <v>0</v>
      </c>
      <c r="AJ2377" s="182" t="n">
        <v>0</v>
      </c>
      <c r="AK2377" s="182" t="n">
        <v>0</v>
      </c>
      <c r="AL2377" s="182" t="n">
        <v>0</v>
      </c>
      <c r="AM2377" s="182" t="n">
        <v>0</v>
      </c>
      <c r="AN2377" s="182" t="n">
        <v>0</v>
      </c>
    </row>
    <row r="2378">
      <c r="A2378" s="155" t="n">
        <v>46092</v>
      </c>
      <c r="B2378" s="156" t="inlineStr">
        <is>
          <t>NS</t>
        </is>
      </c>
      <c r="C2378" s="156" t="inlineStr">
        <is>
          <t>DT-810</t>
        </is>
      </c>
      <c r="D2378" s="156" t="inlineStr">
        <is>
          <t>SKT 80S</t>
        </is>
      </c>
      <c r="E2378" s="156" t="inlineStr">
        <is>
          <t>Hauler</t>
        </is>
      </c>
      <c r="F2378" s="156" t="inlineStr">
        <is>
          <t>Hauling Spoil Washing Plant</t>
        </is>
      </c>
      <c r="G2378" s="182" t="n">
        <v>3.06</v>
      </c>
      <c r="H2378" s="182" t="n">
        <v>0</v>
      </c>
      <c r="I2378" s="182" t="n">
        <v>0</v>
      </c>
      <c r="J2378" s="182" t="n">
        <v>0</v>
      </c>
      <c r="K2378" s="182" t="n">
        <v>8.94</v>
      </c>
      <c r="L2378" s="182" t="n">
        <v>12</v>
      </c>
      <c r="M2378" s="182" t="n">
        <v>0</v>
      </c>
      <c r="N2378" s="182" t="n">
        <v>0</v>
      </c>
      <c r="O2378" s="183" t="n">
        <v>0</v>
      </c>
      <c r="P2378" s="183" t="n">
        <v>0</v>
      </c>
      <c r="Q2378" s="184" t="n">
        <v>0</v>
      </c>
      <c r="R2378" s="184" t="n">
        <v>0</v>
      </c>
      <c r="S2378" s="183" t="n">
        <v>0</v>
      </c>
      <c r="T2378" s="183" t="n">
        <v>0</v>
      </c>
      <c r="U2378" s="182" t="n">
        <v>0</v>
      </c>
      <c r="V2378" s="182" t="n">
        <v>0</v>
      </c>
      <c r="W2378" s="182" t="n">
        <v>0</v>
      </c>
      <c r="X2378" s="182" t="n">
        <v>1.06</v>
      </c>
      <c r="Y2378" s="182" t="n">
        <v>0</v>
      </c>
      <c r="Z2378" s="182" t="n">
        <v>0</v>
      </c>
      <c r="AA2378" s="182" t="n">
        <v>0</v>
      </c>
      <c r="AB2378" s="182" t="n">
        <v>0</v>
      </c>
      <c r="AC2378" s="182" t="n">
        <v>0</v>
      </c>
      <c r="AD2378" s="182" t="n">
        <v>0</v>
      </c>
      <c r="AE2378" s="182" t="n">
        <v>0</v>
      </c>
      <c r="AF2378" s="182" t="n">
        <v>0</v>
      </c>
      <c r="AG2378" s="182" t="n">
        <v>0</v>
      </c>
      <c r="AH2378" s="182" t="n">
        <v>0</v>
      </c>
      <c r="AI2378" s="182" t="n">
        <v>0</v>
      </c>
      <c r="AJ2378" s="182" t="n">
        <v>0</v>
      </c>
      <c r="AK2378" s="182" t="n">
        <v>7.79</v>
      </c>
      <c r="AL2378" s="182" t="n">
        <v>0</v>
      </c>
      <c r="AM2378" s="182" t="n">
        <v>0.09</v>
      </c>
      <c r="AN2378" s="182" t="n">
        <v>0</v>
      </c>
    </row>
    <row r="2379">
      <c r="A2379" s="155" t="n">
        <v>46092</v>
      </c>
      <c r="B2379" s="156" t="inlineStr">
        <is>
          <t>NS</t>
        </is>
      </c>
      <c r="C2379" s="156" t="inlineStr">
        <is>
          <t>DT-804</t>
        </is>
      </c>
      <c r="D2379" s="156" t="inlineStr">
        <is>
          <t>SKT 80S</t>
        </is>
      </c>
      <c r="E2379" s="156" t="inlineStr">
        <is>
          <t>Hauler</t>
        </is>
      </c>
      <c r="F2379" s="156" t="inlineStr"/>
      <c r="G2379" s="182" t="n">
        <v>0</v>
      </c>
      <c r="H2379" s="182" t="n">
        <v>0</v>
      </c>
      <c r="I2379" s="182" t="n">
        <v>0</v>
      </c>
      <c r="J2379" s="182" t="n">
        <v>0</v>
      </c>
      <c r="K2379" s="182" t="n">
        <v>12</v>
      </c>
      <c r="L2379" s="182" t="n">
        <v>12</v>
      </c>
      <c r="M2379" s="182" t="n">
        <v>0</v>
      </c>
      <c r="N2379" s="182" t="n">
        <v>0</v>
      </c>
      <c r="O2379" s="183" t="n">
        <v>0</v>
      </c>
      <c r="P2379" s="183" t="n">
        <v>0</v>
      </c>
      <c r="Q2379" s="184" t="n">
        <v>0</v>
      </c>
      <c r="R2379" s="184" t="n">
        <v>0</v>
      </c>
      <c r="S2379" s="183" t="n">
        <v>0</v>
      </c>
      <c r="T2379" s="183" t="n">
        <v>0</v>
      </c>
      <c r="U2379" s="182" t="n">
        <v>0</v>
      </c>
      <c r="V2379" s="182" t="n">
        <v>0</v>
      </c>
      <c r="W2379" s="182" t="n">
        <v>0</v>
      </c>
      <c r="X2379" s="182" t="n">
        <v>1</v>
      </c>
      <c r="Y2379" s="182" t="n">
        <v>0</v>
      </c>
      <c r="Z2379" s="182" t="n">
        <v>0</v>
      </c>
      <c r="AA2379" s="182" t="n">
        <v>0</v>
      </c>
      <c r="AB2379" s="182" t="n">
        <v>0</v>
      </c>
      <c r="AC2379" s="182" t="n">
        <v>0</v>
      </c>
      <c r="AD2379" s="182" t="n">
        <v>0</v>
      </c>
      <c r="AE2379" s="182" t="n">
        <v>0</v>
      </c>
      <c r="AF2379" s="182" t="n">
        <v>0</v>
      </c>
      <c r="AG2379" s="182" t="n">
        <v>0</v>
      </c>
      <c r="AH2379" s="182" t="n">
        <v>0</v>
      </c>
      <c r="AI2379" s="182" t="n">
        <v>0</v>
      </c>
      <c r="AJ2379" s="182" t="n">
        <v>0</v>
      </c>
      <c r="AK2379" s="182" t="n">
        <v>10.92</v>
      </c>
      <c r="AL2379" s="182" t="n">
        <v>0</v>
      </c>
      <c r="AM2379" s="182" t="n">
        <v>0.08</v>
      </c>
      <c r="AN2379" s="182" t="n">
        <v>0</v>
      </c>
    </row>
    <row r="2380">
      <c r="A2380" s="155" t="n">
        <v>46092</v>
      </c>
      <c r="B2380" s="156" t="inlineStr">
        <is>
          <t>NS</t>
        </is>
      </c>
      <c r="C2380" s="156" t="inlineStr">
        <is>
          <t>DT-505</t>
        </is>
      </c>
      <c r="D2380" s="156" t="inlineStr">
        <is>
          <t>SKT 105S</t>
        </is>
      </c>
      <c r="E2380" s="156" t="inlineStr">
        <is>
          <t>Hauler</t>
        </is>
      </c>
      <c r="F2380" s="156" t="inlineStr">
        <is>
          <t>Hauling OB &amp; Coal</t>
        </is>
      </c>
      <c r="G2380" s="182" t="n">
        <v>7.01</v>
      </c>
      <c r="H2380" s="182" t="n">
        <v>0</v>
      </c>
      <c r="I2380" s="182" t="n">
        <v>0</v>
      </c>
      <c r="J2380" s="182" t="n">
        <v>0</v>
      </c>
      <c r="K2380" s="182" t="n">
        <v>4.99</v>
      </c>
      <c r="L2380" s="182" t="n">
        <v>12</v>
      </c>
      <c r="M2380" s="182" t="n">
        <v>0.32</v>
      </c>
      <c r="N2380" s="182" t="n">
        <v>6.7</v>
      </c>
      <c r="O2380" s="183" t="n">
        <v>1</v>
      </c>
      <c r="P2380" s="183" t="n">
        <v>13</v>
      </c>
      <c r="Q2380" s="184" t="n">
        <v>20.4</v>
      </c>
      <c r="R2380" s="184" t="n">
        <v>243.1</v>
      </c>
      <c r="S2380" s="183" t="n">
        <v>0</v>
      </c>
      <c r="T2380" s="183" t="n">
        <v>0</v>
      </c>
      <c r="U2380" s="182" t="n">
        <v>3.84</v>
      </c>
      <c r="V2380" s="182" t="n">
        <v>0</v>
      </c>
      <c r="W2380" s="182" t="n">
        <v>0</v>
      </c>
      <c r="X2380" s="182" t="n">
        <v>1.06</v>
      </c>
      <c r="Y2380" s="182" t="n">
        <v>0</v>
      </c>
      <c r="Z2380" s="182" t="n">
        <v>0</v>
      </c>
      <c r="AA2380" s="182" t="n">
        <v>0</v>
      </c>
      <c r="AB2380" s="182" t="n">
        <v>0</v>
      </c>
      <c r="AC2380" s="182" t="n">
        <v>0</v>
      </c>
      <c r="AD2380" s="182" t="n">
        <v>0</v>
      </c>
      <c r="AE2380" s="182" t="n">
        <v>0</v>
      </c>
      <c r="AF2380" s="182" t="n">
        <v>0</v>
      </c>
      <c r="AG2380" s="182" t="n">
        <v>0</v>
      </c>
      <c r="AH2380" s="182" t="n">
        <v>0</v>
      </c>
      <c r="AI2380" s="182" t="n">
        <v>0</v>
      </c>
      <c r="AJ2380" s="182" t="n">
        <v>0</v>
      </c>
      <c r="AK2380" s="182" t="n">
        <v>0</v>
      </c>
      <c r="AL2380" s="182" t="n">
        <v>0</v>
      </c>
      <c r="AM2380" s="182" t="n">
        <v>0.08</v>
      </c>
      <c r="AN2380" s="182" t="n">
        <v>0</v>
      </c>
    </row>
    <row r="2381">
      <c r="A2381" s="155" t="n">
        <v>46092</v>
      </c>
      <c r="B2381" s="156" t="inlineStr">
        <is>
          <t>NS</t>
        </is>
      </c>
      <c r="C2381" s="156" t="inlineStr">
        <is>
          <t>DT-530</t>
        </is>
      </c>
      <c r="D2381" s="156" t="inlineStr">
        <is>
          <t>SKT 105S</t>
        </is>
      </c>
      <c r="E2381" s="156" t="inlineStr">
        <is>
          <t>Hauler</t>
        </is>
      </c>
      <c r="F2381" s="156" t="inlineStr"/>
      <c r="G2381" s="182" t="n">
        <v>0</v>
      </c>
      <c r="H2381" s="182" t="n">
        <v>0</v>
      </c>
      <c r="I2381" s="182" t="n">
        <v>12</v>
      </c>
      <c r="J2381" s="182" t="n">
        <v>12</v>
      </c>
      <c r="K2381" s="182" t="n">
        <v>0</v>
      </c>
      <c r="L2381" s="182" t="n">
        <v>12</v>
      </c>
      <c r="M2381" s="182" t="n">
        <v>0</v>
      </c>
      <c r="N2381" s="182" t="n">
        <v>0</v>
      </c>
      <c r="O2381" s="183" t="n">
        <v>0</v>
      </c>
      <c r="P2381" s="183" t="n">
        <v>0</v>
      </c>
      <c r="Q2381" s="184" t="n">
        <v>0</v>
      </c>
      <c r="R2381" s="184" t="n">
        <v>0</v>
      </c>
      <c r="S2381" s="183" t="n">
        <v>0</v>
      </c>
      <c r="T2381" s="183" t="n">
        <v>0</v>
      </c>
      <c r="U2381" s="182" t="n">
        <v>0</v>
      </c>
      <c r="V2381" s="182" t="n">
        <v>0</v>
      </c>
      <c r="W2381" s="182" t="n">
        <v>0</v>
      </c>
      <c r="X2381" s="182" t="n">
        <v>0</v>
      </c>
      <c r="Y2381" s="182" t="n">
        <v>0</v>
      </c>
      <c r="Z2381" s="182" t="n">
        <v>0</v>
      </c>
      <c r="AA2381" s="182" t="n">
        <v>0</v>
      </c>
      <c r="AB2381" s="182" t="n">
        <v>0</v>
      </c>
      <c r="AC2381" s="182" t="n">
        <v>0</v>
      </c>
      <c r="AD2381" s="182" t="n">
        <v>0</v>
      </c>
      <c r="AE2381" s="182" t="n">
        <v>0</v>
      </c>
      <c r="AF2381" s="182" t="n">
        <v>0</v>
      </c>
      <c r="AG2381" s="182" t="n">
        <v>0</v>
      </c>
      <c r="AH2381" s="182" t="n">
        <v>0</v>
      </c>
      <c r="AI2381" s="182" t="n">
        <v>0</v>
      </c>
      <c r="AJ2381" s="182" t="n">
        <v>0</v>
      </c>
      <c r="AK2381" s="182" t="n">
        <v>0</v>
      </c>
      <c r="AL2381" s="182" t="n">
        <v>0</v>
      </c>
      <c r="AM2381" s="182" t="n">
        <v>0</v>
      </c>
      <c r="AN2381" s="182" t="n">
        <v>0</v>
      </c>
    </row>
    <row r="2382">
      <c r="A2382" s="155" t="n">
        <v>46092</v>
      </c>
      <c r="B2382" s="156" t="inlineStr">
        <is>
          <t>NS</t>
        </is>
      </c>
      <c r="C2382" s="156" t="inlineStr">
        <is>
          <t>DT-525</t>
        </is>
      </c>
      <c r="D2382" s="156" t="inlineStr">
        <is>
          <t>SKT 105S</t>
        </is>
      </c>
      <c r="E2382" s="156" t="inlineStr">
        <is>
          <t>Hauler</t>
        </is>
      </c>
      <c r="F2382" s="156" t="inlineStr"/>
      <c r="G2382" s="182" t="n">
        <v>0</v>
      </c>
      <c r="H2382" s="182" t="n">
        <v>0</v>
      </c>
      <c r="I2382" s="182" t="n">
        <v>12</v>
      </c>
      <c r="J2382" s="182" t="n">
        <v>12</v>
      </c>
      <c r="K2382" s="182" t="n">
        <v>0</v>
      </c>
      <c r="L2382" s="182" t="n">
        <v>12</v>
      </c>
      <c r="M2382" s="182" t="n">
        <v>0</v>
      </c>
      <c r="N2382" s="182" t="n">
        <v>0</v>
      </c>
      <c r="O2382" s="183" t="n">
        <v>0</v>
      </c>
      <c r="P2382" s="183" t="n">
        <v>0</v>
      </c>
      <c r="Q2382" s="184" t="n">
        <v>0</v>
      </c>
      <c r="R2382" s="184" t="n">
        <v>0</v>
      </c>
      <c r="S2382" s="183" t="n">
        <v>0</v>
      </c>
      <c r="T2382" s="183" t="n">
        <v>0</v>
      </c>
      <c r="U2382" s="182" t="n">
        <v>0</v>
      </c>
      <c r="V2382" s="182" t="n">
        <v>0</v>
      </c>
      <c r="W2382" s="182" t="n">
        <v>0</v>
      </c>
      <c r="X2382" s="182" t="n">
        <v>0</v>
      </c>
      <c r="Y2382" s="182" t="n">
        <v>0</v>
      </c>
      <c r="Z2382" s="182" t="n">
        <v>0</v>
      </c>
      <c r="AA2382" s="182" t="n">
        <v>0</v>
      </c>
      <c r="AB2382" s="182" t="n">
        <v>0</v>
      </c>
      <c r="AC2382" s="182" t="n">
        <v>0</v>
      </c>
      <c r="AD2382" s="182" t="n">
        <v>0</v>
      </c>
      <c r="AE2382" s="182" t="n">
        <v>0</v>
      </c>
      <c r="AF2382" s="182" t="n">
        <v>0</v>
      </c>
      <c r="AG2382" s="182" t="n">
        <v>0</v>
      </c>
      <c r="AH2382" s="182" t="n">
        <v>0</v>
      </c>
      <c r="AI2382" s="182" t="n">
        <v>0</v>
      </c>
      <c r="AJ2382" s="182" t="n">
        <v>0</v>
      </c>
      <c r="AK2382" s="182" t="n">
        <v>0</v>
      </c>
      <c r="AL2382" s="182" t="n">
        <v>0</v>
      </c>
      <c r="AM2382" s="182" t="n">
        <v>0</v>
      </c>
      <c r="AN2382" s="182" t="n">
        <v>0</v>
      </c>
    </row>
    <row r="2383">
      <c r="A2383" s="155" t="n">
        <v>46092</v>
      </c>
      <c r="B2383" s="156" t="inlineStr">
        <is>
          <t>NS</t>
        </is>
      </c>
      <c r="C2383" s="156" t="inlineStr">
        <is>
          <t>DT-503</t>
        </is>
      </c>
      <c r="D2383" s="156" t="inlineStr">
        <is>
          <t>SKT 105S</t>
        </is>
      </c>
      <c r="E2383" s="156" t="inlineStr">
        <is>
          <t>Hauler</t>
        </is>
      </c>
      <c r="F2383" s="156" t="inlineStr"/>
      <c r="G2383" s="182" t="n">
        <v>0</v>
      </c>
      <c r="H2383" s="182" t="n">
        <v>0</v>
      </c>
      <c r="I2383" s="182" t="n">
        <v>12</v>
      </c>
      <c r="J2383" s="182" t="n">
        <v>12</v>
      </c>
      <c r="K2383" s="182" t="n">
        <v>0</v>
      </c>
      <c r="L2383" s="182" t="n">
        <v>12</v>
      </c>
      <c r="M2383" s="182" t="n">
        <v>0</v>
      </c>
      <c r="N2383" s="182" t="n">
        <v>0</v>
      </c>
      <c r="O2383" s="183" t="n">
        <v>0</v>
      </c>
      <c r="P2383" s="183" t="n">
        <v>0</v>
      </c>
      <c r="Q2383" s="184" t="n">
        <v>0</v>
      </c>
      <c r="R2383" s="184" t="n">
        <v>0</v>
      </c>
      <c r="S2383" s="183" t="n">
        <v>0</v>
      </c>
      <c r="T2383" s="183" t="n">
        <v>0</v>
      </c>
      <c r="U2383" s="182" t="n">
        <v>0</v>
      </c>
      <c r="V2383" s="182" t="n">
        <v>0</v>
      </c>
      <c r="W2383" s="182" t="n">
        <v>0</v>
      </c>
      <c r="X2383" s="182" t="n">
        <v>0</v>
      </c>
      <c r="Y2383" s="182" t="n">
        <v>0</v>
      </c>
      <c r="Z2383" s="182" t="n">
        <v>0</v>
      </c>
      <c r="AA2383" s="182" t="n">
        <v>0</v>
      </c>
      <c r="AB2383" s="182" t="n">
        <v>0</v>
      </c>
      <c r="AC2383" s="182" t="n">
        <v>0</v>
      </c>
      <c r="AD2383" s="182" t="n">
        <v>0</v>
      </c>
      <c r="AE2383" s="182" t="n">
        <v>0</v>
      </c>
      <c r="AF2383" s="182" t="n">
        <v>0</v>
      </c>
      <c r="AG2383" s="182" t="n">
        <v>0</v>
      </c>
      <c r="AH2383" s="182" t="n">
        <v>0</v>
      </c>
      <c r="AI2383" s="182" t="n">
        <v>0</v>
      </c>
      <c r="AJ2383" s="182" t="n">
        <v>0</v>
      </c>
      <c r="AK2383" s="182" t="n">
        <v>0</v>
      </c>
      <c r="AL2383" s="182" t="n">
        <v>0</v>
      </c>
      <c r="AM2383" s="182" t="n">
        <v>0</v>
      </c>
      <c r="AN2383" s="182" t="n">
        <v>0</v>
      </c>
    </row>
    <row r="2384">
      <c r="A2384" s="155" t="n">
        <v>46092</v>
      </c>
      <c r="B2384" s="156" t="inlineStr">
        <is>
          <t>NS</t>
        </is>
      </c>
      <c r="C2384" s="156" t="inlineStr">
        <is>
          <t>DT-504</t>
        </is>
      </c>
      <c r="D2384" s="156" t="inlineStr">
        <is>
          <t>SKT 105S</t>
        </is>
      </c>
      <c r="E2384" s="156" t="inlineStr">
        <is>
          <t>Hauler</t>
        </is>
      </c>
      <c r="F2384" s="156" t="inlineStr">
        <is>
          <t>Hauling OB</t>
        </is>
      </c>
      <c r="G2384" s="182" t="n">
        <v>6.41</v>
      </c>
      <c r="H2384" s="182" t="n">
        <v>0</v>
      </c>
      <c r="I2384" s="182" t="n">
        <v>0</v>
      </c>
      <c r="J2384" s="182" t="n">
        <v>0</v>
      </c>
      <c r="K2384" s="182" t="n">
        <v>5.59</v>
      </c>
      <c r="L2384" s="182" t="n">
        <v>12</v>
      </c>
      <c r="M2384" s="182" t="n">
        <v>6.41</v>
      </c>
      <c r="N2384" s="182" t="n">
        <v>0</v>
      </c>
      <c r="O2384" s="183" t="n">
        <v>26</v>
      </c>
      <c r="P2384" s="183" t="n">
        <v>0</v>
      </c>
      <c r="Q2384" s="184" t="n">
        <v>424.4</v>
      </c>
      <c r="R2384" s="184" t="n">
        <v>0</v>
      </c>
      <c r="S2384" s="183" t="n">
        <v>0</v>
      </c>
      <c r="T2384" s="183" t="n">
        <v>0</v>
      </c>
      <c r="U2384" s="182" t="n">
        <v>4.4</v>
      </c>
      <c r="V2384" s="182" t="n">
        <v>0</v>
      </c>
      <c r="W2384" s="182" t="n">
        <v>0</v>
      </c>
      <c r="X2384" s="182" t="n">
        <v>1.05</v>
      </c>
      <c r="Y2384" s="182" t="n">
        <v>0</v>
      </c>
      <c r="Z2384" s="182" t="n">
        <v>0</v>
      </c>
      <c r="AA2384" s="182" t="n">
        <v>0</v>
      </c>
      <c r="AB2384" s="182" t="n">
        <v>0</v>
      </c>
      <c r="AC2384" s="182" t="n">
        <v>0</v>
      </c>
      <c r="AD2384" s="182" t="n">
        <v>0</v>
      </c>
      <c r="AE2384" s="182" t="n">
        <v>0</v>
      </c>
      <c r="AF2384" s="182" t="n">
        <v>0</v>
      </c>
      <c r="AG2384" s="182" t="n">
        <v>0</v>
      </c>
      <c r="AH2384" s="182" t="n">
        <v>0.05</v>
      </c>
      <c r="AI2384" s="182" t="n">
        <v>0</v>
      </c>
      <c r="AJ2384" s="182" t="n">
        <v>0</v>
      </c>
      <c r="AK2384" s="182" t="n">
        <v>0</v>
      </c>
      <c r="AL2384" s="182" t="n">
        <v>0</v>
      </c>
      <c r="AM2384" s="182" t="n">
        <v>0.08</v>
      </c>
      <c r="AN2384" s="182" t="n">
        <v>0</v>
      </c>
    </row>
    <row r="2385">
      <c r="A2385" s="155" t="n">
        <v>46092</v>
      </c>
      <c r="B2385" s="156" t="inlineStr">
        <is>
          <t>NS</t>
        </is>
      </c>
      <c r="C2385" s="156" t="inlineStr">
        <is>
          <t>DT-507</t>
        </is>
      </c>
      <c r="D2385" s="156" t="inlineStr">
        <is>
          <t>SKT 105S</t>
        </is>
      </c>
      <c r="E2385" s="156" t="inlineStr">
        <is>
          <t>Hauler</t>
        </is>
      </c>
      <c r="F2385" s="156" t="inlineStr">
        <is>
          <t>Hauling OB &amp; Coal</t>
        </is>
      </c>
      <c r="G2385" s="182" t="n">
        <v>7.38</v>
      </c>
      <c r="H2385" s="182" t="n">
        <v>0</v>
      </c>
      <c r="I2385" s="182" t="n">
        <v>0</v>
      </c>
      <c r="J2385" s="182" t="n">
        <v>0</v>
      </c>
      <c r="K2385" s="182" t="n">
        <v>4.62</v>
      </c>
      <c r="L2385" s="182" t="n">
        <v>12</v>
      </c>
      <c r="M2385" s="182" t="n">
        <v>0.34</v>
      </c>
      <c r="N2385" s="182" t="n">
        <v>7.04</v>
      </c>
      <c r="O2385" s="183" t="n">
        <v>1</v>
      </c>
      <c r="P2385" s="183" t="n">
        <v>15</v>
      </c>
      <c r="Q2385" s="184" t="n">
        <v>20.4</v>
      </c>
      <c r="R2385" s="184" t="n">
        <v>280.5</v>
      </c>
      <c r="S2385" s="183" t="n">
        <v>0</v>
      </c>
      <c r="T2385" s="183" t="n">
        <v>0</v>
      </c>
      <c r="U2385" s="182" t="n">
        <v>3.58</v>
      </c>
      <c r="V2385" s="182" t="n">
        <v>0</v>
      </c>
      <c r="W2385" s="182" t="n">
        <v>0</v>
      </c>
      <c r="X2385" s="182" t="n">
        <v>0.96</v>
      </c>
      <c r="Y2385" s="182" t="n">
        <v>0</v>
      </c>
      <c r="Z2385" s="182" t="n">
        <v>0</v>
      </c>
      <c r="AA2385" s="182" t="n">
        <v>0</v>
      </c>
      <c r="AB2385" s="182" t="n">
        <v>0</v>
      </c>
      <c r="AC2385" s="182" t="n">
        <v>0</v>
      </c>
      <c r="AD2385" s="182" t="n">
        <v>0</v>
      </c>
      <c r="AE2385" s="182" t="n">
        <v>0</v>
      </c>
      <c r="AF2385" s="182" t="n">
        <v>0</v>
      </c>
      <c r="AG2385" s="182" t="n">
        <v>0</v>
      </c>
      <c r="AH2385" s="182" t="n">
        <v>0</v>
      </c>
      <c r="AI2385" s="182" t="n">
        <v>0</v>
      </c>
      <c r="AJ2385" s="182" t="n">
        <v>0</v>
      </c>
      <c r="AK2385" s="182" t="n">
        <v>0</v>
      </c>
      <c r="AL2385" s="182" t="n">
        <v>0</v>
      </c>
      <c r="AM2385" s="182" t="n">
        <v>0.08</v>
      </c>
      <c r="AN2385" s="182" t="n">
        <v>0</v>
      </c>
    </row>
    <row r="2386">
      <c r="A2386" s="155" t="n">
        <v>46092</v>
      </c>
      <c r="B2386" s="156" t="inlineStr">
        <is>
          <t>NS</t>
        </is>
      </c>
      <c r="C2386" s="156" t="inlineStr">
        <is>
          <t>DT-501</t>
        </is>
      </c>
      <c r="D2386" s="156" t="inlineStr">
        <is>
          <t>SKT 105S</t>
        </is>
      </c>
      <c r="E2386" s="156" t="inlineStr">
        <is>
          <t>Hauler</t>
        </is>
      </c>
      <c r="F2386" s="156" t="inlineStr"/>
      <c r="G2386" s="182" t="n">
        <v>0</v>
      </c>
      <c r="H2386" s="182" t="n">
        <v>0</v>
      </c>
      <c r="I2386" s="182" t="n">
        <v>0</v>
      </c>
      <c r="J2386" s="182" t="n">
        <v>0</v>
      </c>
      <c r="K2386" s="182" t="n">
        <v>12</v>
      </c>
      <c r="L2386" s="182" t="n">
        <v>12</v>
      </c>
      <c r="M2386" s="182" t="n">
        <v>0</v>
      </c>
      <c r="N2386" s="182" t="n">
        <v>0</v>
      </c>
      <c r="O2386" s="183" t="n">
        <v>0</v>
      </c>
      <c r="P2386" s="183" t="n">
        <v>0</v>
      </c>
      <c r="Q2386" s="184" t="n">
        <v>0</v>
      </c>
      <c r="R2386" s="184" t="n">
        <v>0</v>
      </c>
      <c r="S2386" s="183" t="n">
        <v>0</v>
      </c>
      <c r="T2386" s="183" t="n">
        <v>0</v>
      </c>
      <c r="U2386" s="182" t="n">
        <v>0</v>
      </c>
      <c r="V2386" s="182" t="n">
        <v>0</v>
      </c>
      <c r="W2386" s="182" t="n">
        <v>0</v>
      </c>
      <c r="X2386" s="182" t="n">
        <v>1</v>
      </c>
      <c r="Y2386" s="182" t="n">
        <v>0</v>
      </c>
      <c r="Z2386" s="182" t="n">
        <v>0</v>
      </c>
      <c r="AA2386" s="182" t="n">
        <v>0</v>
      </c>
      <c r="AB2386" s="182" t="n">
        <v>0</v>
      </c>
      <c r="AC2386" s="182" t="n">
        <v>0</v>
      </c>
      <c r="AD2386" s="182" t="n">
        <v>0</v>
      </c>
      <c r="AE2386" s="182" t="n">
        <v>0</v>
      </c>
      <c r="AF2386" s="182" t="n">
        <v>0</v>
      </c>
      <c r="AG2386" s="182" t="n">
        <v>0</v>
      </c>
      <c r="AH2386" s="182" t="n">
        <v>0</v>
      </c>
      <c r="AI2386" s="182" t="n">
        <v>10.92</v>
      </c>
      <c r="AJ2386" s="182" t="n">
        <v>0</v>
      </c>
      <c r="AK2386" s="182" t="n">
        <v>0</v>
      </c>
      <c r="AL2386" s="182" t="n">
        <v>0</v>
      </c>
      <c r="AM2386" s="182" t="n">
        <v>0.08</v>
      </c>
      <c r="AN2386" s="182" t="n">
        <v>0</v>
      </c>
    </row>
    <row r="2387">
      <c r="A2387" s="155" t="n">
        <v>46092</v>
      </c>
      <c r="B2387" s="156" t="inlineStr">
        <is>
          <t>NS</t>
        </is>
      </c>
      <c r="C2387" s="156" t="inlineStr">
        <is>
          <t>DT-518</t>
        </is>
      </c>
      <c r="D2387" s="156" t="inlineStr">
        <is>
          <t>SKT 105S</t>
        </is>
      </c>
      <c r="E2387" s="156" t="inlineStr">
        <is>
          <t>Hauler</t>
        </is>
      </c>
      <c r="F2387" s="156" t="inlineStr">
        <is>
          <t>Hauling OB</t>
        </is>
      </c>
      <c r="G2387" s="182" t="n">
        <v>6.1</v>
      </c>
      <c r="H2387" s="182" t="n">
        <v>0</v>
      </c>
      <c r="I2387" s="182" t="n">
        <v>0</v>
      </c>
      <c r="J2387" s="182" t="n">
        <v>0</v>
      </c>
      <c r="K2387" s="182" t="n">
        <v>5.9</v>
      </c>
      <c r="L2387" s="182" t="n">
        <v>12</v>
      </c>
      <c r="M2387" s="182" t="n">
        <v>5.89</v>
      </c>
      <c r="N2387" s="182" t="n">
        <v>0</v>
      </c>
      <c r="O2387" s="183" t="n">
        <v>25</v>
      </c>
      <c r="P2387" s="183" t="n">
        <v>0</v>
      </c>
      <c r="Q2387" s="184" t="n">
        <v>510</v>
      </c>
      <c r="R2387" s="184" t="n">
        <v>0</v>
      </c>
      <c r="S2387" s="183" t="n">
        <v>0</v>
      </c>
      <c r="T2387" s="183" t="n">
        <v>0</v>
      </c>
      <c r="U2387" s="182" t="n">
        <v>4.64</v>
      </c>
      <c r="V2387" s="182" t="n">
        <v>0</v>
      </c>
      <c r="W2387" s="182" t="n">
        <v>0</v>
      </c>
      <c r="X2387" s="182" t="n">
        <v>1.11</v>
      </c>
      <c r="Y2387" s="182" t="n">
        <v>0</v>
      </c>
      <c r="Z2387" s="182" t="n">
        <v>0</v>
      </c>
      <c r="AA2387" s="182" t="n">
        <v>0</v>
      </c>
      <c r="AB2387" s="182" t="n">
        <v>0</v>
      </c>
      <c r="AC2387" s="182" t="n">
        <v>0</v>
      </c>
      <c r="AD2387" s="182" t="n">
        <v>0</v>
      </c>
      <c r="AE2387" s="182" t="n">
        <v>0</v>
      </c>
      <c r="AF2387" s="182" t="n">
        <v>0</v>
      </c>
      <c r="AG2387" s="182" t="n">
        <v>0</v>
      </c>
      <c r="AH2387" s="182" t="n">
        <v>0.06</v>
      </c>
      <c r="AI2387" s="182" t="n">
        <v>0</v>
      </c>
      <c r="AJ2387" s="182" t="n">
        <v>0</v>
      </c>
      <c r="AK2387" s="182" t="n">
        <v>0</v>
      </c>
      <c r="AL2387" s="182" t="n">
        <v>0</v>
      </c>
      <c r="AM2387" s="182" t="n">
        <v>0.09</v>
      </c>
      <c r="AN2387" s="182" t="n">
        <v>0</v>
      </c>
    </row>
    <row r="2388">
      <c r="A2388" s="155" t="n">
        <v>46092</v>
      </c>
      <c r="B2388" s="156" t="inlineStr">
        <is>
          <t>NS</t>
        </is>
      </c>
      <c r="C2388" s="156" t="inlineStr">
        <is>
          <t>DT-514</t>
        </is>
      </c>
      <c r="D2388" s="156" t="inlineStr">
        <is>
          <t>SKT 105S</t>
        </is>
      </c>
      <c r="E2388" s="156" t="inlineStr">
        <is>
          <t>Hauler</t>
        </is>
      </c>
      <c r="F2388" s="156" t="inlineStr">
        <is>
          <t>Hauling OB &amp; Coal</t>
        </is>
      </c>
      <c r="G2388" s="182" t="n">
        <v>6.9</v>
      </c>
      <c r="H2388" s="182" t="n">
        <v>0</v>
      </c>
      <c r="I2388" s="182" t="n">
        <v>0</v>
      </c>
      <c r="J2388" s="182" t="n">
        <v>0</v>
      </c>
      <c r="K2388" s="182" t="n">
        <v>5.1</v>
      </c>
      <c r="L2388" s="182" t="n">
        <v>12</v>
      </c>
      <c r="M2388" s="182" t="n">
        <v>0.35</v>
      </c>
      <c r="N2388" s="182" t="n">
        <v>6.56</v>
      </c>
      <c r="O2388" s="183" t="n">
        <v>1</v>
      </c>
      <c r="P2388" s="183" t="n">
        <v>14</v>
      </c>
      <c r="Q2388" s="184" t="n">
        <v>20.4</v>
      </c>
      <c r="R2388" s="184" t="n">
        <v>261.8</v>
      </c>
      <c r="S2388" s="183" t="n">
        <v>0</v>
      </c>
      <c r="T2388" s="183" t="n">
        <v>0</v>
      </c>
      <c r="U2388" s="182" t="n">
        <v>3.94</v>
      </c>
      <c r="V2388" s="182" t="n">
        <v>0</v>
      </c>
      <c r="W2388" s="182" t="n">
        <v>0</v>
      </c>
      <c r="X2388" s="182" t="n">
        <v>0.9399999999999999</v>
      </c>
      <c r="Y2388" s="182" t="n">
        <v>0</v>
      </c>
      <c r="Z2388" s="182" t="n">
        <v>0</v>
      </c>
      <c r="AA2388" s="182" t="n">
        <v>0</v>
      </c>
      <c r="AB2388" s="182" t="n">
        <v>0</v>
      </c>
      <c r="AC2388" s="182" t="n">
        <v>0</v>
      </c>
      <c r="AD2388" s="182" t="n">
        <v>0</v>
      </c>
      <c r="AE2388" s="182" t="n">
        <v>0</v>
      </c>
      <c r="AF2388" s="182" t="n">
        <v>0</v>
      </c>
      <c r="AG2388" s="182" t="n">
        <v>0</v>
      </c>
      <c r="AH2388" s="182" t="n">
        <v>0.14</v>
      </c>
      <c r="AI2388" s="182" t="n">
        <v>0</v>
      </c>
      <c r="AJ2388" s="182" t="n">
        <v>0</v>
      </c>
      <c r="AK2388" s="182" t="n">
        <v>0</v>
      </c>
      <c r="AL2388" s="182" t="n">
        <v>0</v>
      </c>
      <c r="AM2388" s="182" t="n">
        <v>0.08</v>
      </c>
      <c r="AN2388" s="182" t="n">
        <v>0</v>
      </c>
    </row>
    <row r="2389">
      <c r="A2389" s="155" t="n">
        <v>46092</v>
      </c>
      <c r="B2389" s="156" t="inlineStr">
        <is>
          <t>NS</t>
        </is>
      </c>
      <c r="C2389" s="156" t="inlineStr">
        <is>
          <t>DT-523</t>
        </is>
      </c>
      <c r="D2389" s="156" t="inlineStr">
        <is>
          <t>SKT 105S</t>
        </is>
      </c>
      <c r="E2389" s="156" t="inlineStr">
        <is>
          <t>Hauler</t>
        </is>
      </c>
      <c r="F2389" s="156" t="inlineStr">
        <is>
          <t>Hauling Coal</t>
        </is>
      </c>
      <c r="G2389" s="182" t="n">
        <v>1.06</v>
      </c>
      <c r="H2389" s="182" t="n">
        <v>0</v>
      </c>
      <c r="I2389" s="182" t="n">
        <v>0</v>
      </c>
      <c r="J2389" s="182" t="n">
        <v>0</v>
      </c>
      <c r="K2389" s="182" t="n">
        <v>10.94</v>
      </c>
      <c r="L2389" s="182" t="n">
        <v>12</v>
      </c>
      <c r="M2389" s="182" t="n">
        <v>0</v>
      </c>
      <c r="N2389" s="182" t="n">
        <v>1.06</v>
      </c>
      <c r="O2389" s="183" t="n">
        <v>0</v>
      </c>
      <c r="P2389" s="183" t="n">
        <v>1</v>
      </c>
      <c r="Q2389" s="184" t="n">
        <v>0</v>
      </c>
      <c r="R2389" s="184" t="n">
        <v>18.7</v>
      </c>
      <c r="S2389" s="183" t="n">
        <v>0</v>
      </c>
      <c r="T2389" s="183" t="n">
        <v>0</v>
      </c>
      <c r="U2389" s="182" t="n">
        <v>4.11</v>
      </c>
      <c r="V2389" s="182" t="n">
        <v>0</v>
      </c>
      <c r="W2389" s="182" t="n">
        <v>0</v>
      </c>
      <c r="X2389" s="182" t="n">
        <v>0.99</v>
      </c>
      <c r="Y2389" s="182" t="n">
        <v>0</v>
      </c>
      <c r="Z2389" s="182" t="n">
        <v>0</v>
      </c>
      <c r="AA2389" s="182" t="n">
        <v>0</v>
      </c>
      <c r="AB2389" s="182" t="n">
        <v>0</v>
      </c>
      <c r="AC2389" s="182" t="n">
        <v>0</v>
      </c>
      <c r="AD2389" s="182" t="n">
        <v>0</v>
      </c>
      <c r="AE2389" s="182" t="n">
        <v>0</v>
      </c>
      <c r="AF2389" s="182" t="n">
        <v>0</v>
      </c>
      <c r="AG2389" s="182" t="n">
        <v>0</v>
      </c>
      <c r="AH2389" s="182" t="n">
        <v>0</v>
      </c>
      <c r="AI2389" s="182" t="n">
        <v>0</v>
      </c>
      <c r="AJ2389" s="182" t="n">
        <v>0</v>
      </c>
      <c r="AK2389" s="182" t="n">
        <v>5.77</v>
      </c>
      <c r="AL2389" s="182" t="n">
        <v>0</v>
      </c>
      <c r="AM2389" s="182" t="n">
        <v>0.08</v>
      </c>
      <c r="AN2389" s="182" t="n">
        <v>0</v>
      </c>
    </row>
    <row r="2390">
      <c r="A2390" s="155" t="n">
        <v>46092</v>
      </c>
      <c r="B2390" s="156" t="inlineStr">
        <is>
          <t>NS</t>
        </is>
      </c>
      <c r="C2390" s="156" t="inlineStr">
        <is>
          <t>DT-519</t>
        </is>
      </c>
      <c r="D2390" s="156" t="inlineStr">
        <is>
          <t>SKT 105S</t>
        </is>
      </c>
      <c r="E2390" s="156" t="inlineStr">
        <is>
          <t>Hauler</t>
        </is>
      </c>
      <c r="F2390" s="156" t="inlineStr"/>
      <c r="G2390" s="182" t="n">
        <v>0</v>
      </c>
      <c r="H2390" s="182" t="n">
        <v>0</v>
      </c>
      <c r="I2390" s="182" t="n">
        <v>0</v>
      </c>
      <c r="J2390" s="182" t="n">
        <v>0</v>
      </c>
      <c r="K2390" s="182" t="n">
        <v>12</v>
      </c>
      <c r="L2390" s="182" t="n">
        <v>12</v>
      </c>
      <c r="M2390" s="182" t="n">
        <v>0</v>
      </c>
      <c r="N2390" s="182" t="n">
        <v>0</v>
      </c>
      <c r="O2390" s="183" t="n">
        <v>0</v>
      </c>
      <c r="P2390" s="183" t="n">
        <v>0</v>
      </c>
      <c r="Q2390" s="184" t="n">
        <v>0</v>
      </c>
      <c r="R2390" s="184" t="n">
        <v>0</v>
      </c>
      <c r="S2390" s="183" t="n">
        <v>0</v>
      </c>
      <c r="T2390" s="183" t="n">
        <v>0</v>
      </c>
      <c r="U2390" s="182" t="n">
        <v>0</v>
      </c>
      <c r="V2390" s="182" t="n">
        <v>0</v>
      </c>
      <c r="W2390" s="182" t="n">
        <v>0</v>
      </c>
      <c r="X2390" s="182" t="n">
        <v>1</v>
      </c>
      <c r="Y2390" s="182" t="n">
        <v>0</v>
      </c>
      <c r="Z2390" s="182" t="n">
        <v>0</v>
      </c>
      <c r="AA2390" s="182" t="n">
        <v>0</v>
      </c>
      <c r="AB2390" s="182" t="n">
        <v>0</v>
      </c>
      <c r="AC2390" s="182" t="n">
        <v>0</v>
      </c>
      <c r="AD2390" s="182" t="n">
        <v>0</v>
      </c>
      <c r="AE2390" s="182" t="n">
        <v>10.92</v>
      </c>
      <c r="AF2390" s="182" t="n">
        <v>0</v>
      </c>
      <c r="AG2390" s="182" t="n">
        <v>0</v>
      </c>
      <c r="AH2390" s="182" t="n">
        <v>0</v>
      </c>
      <c r="AI2390" s="182" t="n">
        <v>0</v>
      </c>
      <c r="AJ2390" s="182" t="n">
        <v>0</v>
      </c>
      <c r="AK2390" s="182" t="n">
        <v>0</v>
      </c>
      <c r="AL2390" s="182" t="n">
        <v>0</v>
      </c>
      <c r="AM2390" s="182" t="n">
        <v>0.08</v>
      </c>
      <c r="AN2390" s="182" t="n">
        <v>0</v>
      </c>
    </row>
    <row r="2391">
      <c r="A2391" s="155" t="n">
        <v>46092</v>
      </c>
      <c r="B2391" s="156" t="inlineStr">
        <is>
          <t>NS</t>
        </is>
      </c>
      <c r="C2391" s="156" t="inlineStr">
        <is>
          <t>DT-527</t>
        </is>
      </c>
      <c r="D2391" s="156" t="inlineStr">
        <is>
          <t>SKT 105S</t>
        </is>
      </c>
      <c r="E2391" s="156" t="inlineStr">
        <is>
          <t>Hauler</t>
        </is>
      </c>
      <c r="F2391" s="156" t="inlineStr">
        <is>
          <t>Hauling OB &amp; Coal</t>
        </is>
      </c>
      <c r="G2391" s="182" t="n">
        <v>7.12</v>
      </c>
      <c r="H2391" s="182" t="n">
        <v>0</v>
      </c>
      <c r="I2391" s="182" t="n">
        <v>0</v>
      </c>
      <c r="J2391" s="182" t="n">
        <v>0</v>
      </c>
      <c r="K2391" s="182" t="n">
        <v>4.88</v>
      </c>
      <c r="L2391" s="182" t="n">
        <v>12</v>
      </c>
      <c r="M2391" s="182" t="n">
        <v>0.51</v>
      </c>
      <c r="N2391" s="182" t="n">
        <v>6.61</v>
      </c>
      <c r="O2391" s="183" t="n">
        <v>2</v>
      </c>
      <c r="P2391" s="183" t="n">
        <v>18</v>
      </c>
      <c r="Q2391" s="184" t="n">
        <v>40.8</v>
      </c>
      <c r="R2391" s="184" t="n">
        <v>336.6</v>
      </c>
      <c r="S2391" s="183" t="n">
        <v>0</v>
      </c>
      <c r="T2391" s="183" t="n">
        <v>0</v>
      </c>
      <c r="U2391" s="182" t="n">
        <v>3.83</v>
      </c>
      <c r="V2391" s="182" t="n">
        <v>0</v>
      </c>
      <c r="W2391" s="182" t="n">
        <v>0</v>
      </c>
      <c r="X2391" s="182" t="n">
        <v>0.98</v>
      </c>
      <c r="Y2391" s="182" t="n">
        <v>0</v>
      </c>
      <c r="Z2391" s="182" t="n">
        <v>0</v>
      </c>
      <c r="AA2391" s="182" t="n">
        <v>0</v>
      </c>
      <c r="AB2391" s="182" t="n">
        <v>0</v>
      </c>
      <c r="AC2391" s="182" t="n">
        <v>0</v>
      </c>
      <c r="AD2391" s="182" t="n">
        <v>0</v>
      </c>
      <c r="AE2391" s="182" t="n">
        <v>0</v>
      </c>
      <c r="AF2391" s="182" t="n">
        <v>0</v>
      </c>
      <c r="AG2391" s="182" t="n">
        <v>0</v>
      </c>
      <c r="AH2391" s="182" t="n">
        <v>0</v>
      </c>
      <c r="AI2391" s="182" t="n">
        <v>0</v>
      </c>
      <c r="AJ2391" s="182" t="n">
        <v>0</v>
      </c>
      <c r="AK2391" s="182" t="n">
        <v>0</v>
      </c>
      <c r="AL2391" s="182" t="n">
        <v>0</v>
      </c>
      <c r="AM2391" s="182" t="n">
        <v>0.08</v>
      </c>
      <c r="AN2391" s="182" t="n">
        <v>0</v>
      </c>
    </row>
    <row r="2392">
      <c r="A2392" s="155" t="n">
        <v>46092</v>
      </c>
      <c r="B2392" s="156" t="inlineStr">
        <is>
          <t>NS</t>
        </is>
      </c>
      <c r="C2392" s="156" t="inlineStr">
        <is>
          <t>DT-513</t>
        </is>
      </c>
      <c r="D2392" s="156" t="inlineStr">
        <is>
          <t>SKT 105S</t>
        </is>
      </c>
      <c r="E2392" s="156" t="inlineStr">
        <is>
          <t>Hauler</t>
        </is>
      </c>
      <c r="F2392" s="156" t="inlineStr"/>
      <c r="G2392" s="182" t="n">
        <v>0</v>
      </c>
      <c r="H2392" s="182" t="n">
        <v>0</v>
      </c>
      <c r="I2392" s="182" t="n">
        <v>0.38</v>
      </c>
      <c r="J2392" s="182" t="n">
        <v>0.38</v>
      </c>
      <c r="K2392" s="182" t="n">
        <v>11.62</v>
      </c>
      <c r="L2392" s="182" t="n">
        <v>12</v>
      </c>
      <c r="M2392" s="182" t="n">
        <v>0</v>
      </c>
      <c r="N2392" s="182" t="n">
        <v>0</v>
      </c>
      <c r="O2392" s="183" t="n">
        <v>0</v>
      </c>
      <c r="P2392" s="183" t="n">
        <v>0</v>
      </c>
      <c r="Q2392" s="184" t="n">
        <v>0</v>
      </c>
      <c r="R2392" s="184" t="n">
        <v>0</v>
      </c>
      <c r="S2392" s="183" t="n">
        <v>0</v>
      </c>
      <c r="T2392" s="183" t="n">
        <v>0</v>
      </c>
      <c r="U2392" s="182" t="n">
        <v>0</v>
      </c>
      <c r="V2392" s="182" t="n">
        <v>0</v>
      </c>
      <c r="W2392" s="182" t="n">
        <v>0</v>
      </c>
      <c r="X2392" s="182" t="n">
        <v>1</v>
      </c>
      <c r="Y2392" s="182" t="n">
        <v>0</v>
      </c>
      <c r="Z2392" s="182" t="n">
        <v>0</v>
      </c>
      <c r="AA2392" s="182" t="n">
        <v>0</v>
      </c>
      <c r="AB2392" s="182" t="n">
        <v>0</v>
      </c>
      <c r="AC2392" s="182" t="n">
        <v>0</v>
      </c>
      <c r="AD2392" s="182" t="n">
        <v>0</v>
      </c>
      <c r="AE2392" s="182" t="n">
        <v>0</v>
      </c>
      <c r="AF2392" s="182" t="n">
        <v>0</v>
      </c>
      <c r="AG2392" s="182" t="n">
        <v>0</v>
      </c>
      <c r="AH2392" s="182" t="n">
        <v>0</v>
      </c>
      <c r="AI2392" s="182" t="n">
        <v>10.53</v>
      </c>
      <c r="AJ2392" s="182" t="n">
        <v>0</v>
      </c>
      <c r="AK2392" s="182" t="n">
        <v>0</v>
      </c>
      <c r="AL2392" s="182" t="n">
        <v>0</v>
      </c>
      <c r="AM2392" s="182" t="n">
        <v>0.08</v>
      </c>
      <c r="AN2392" s="182" t="n">
        <v>0</v>
      </c>
    </row>
    <row r="2393">
      <c r="A2393" s="155" t="n">
        <v>46092</v>
      </c>
      <c r="B2393" s="156" t="inlineStr">
        <is>
          <t>NS</t>
        </is>
      </c>
      <c r="C2393" s="156" t="inlineStr">
        <is>
          <t>DT-512</t>
        </is>
      </c>
      <c r="D2393" s="156" t="inlineStr">
        <is>
          <t>SKT 105S</t>
        </is>
      </c>
      <c r="E2393" s="156" t="inlineStr">
        <is>
          <t>Hauler</t>
        </is>
      </c>
      <c r="F2393" s="156" t="inlineStr">
        <is>
          <t>Hauling OB &amp; Coal</t>
        </is>
      </c>
      <c r="G2393" s="182" t="n">
        <v>7.02</v>
      </c>
      <c r="H2393" s="182" t="n">
        <v>0</v>
      </c>
      <c r="I2393" s="182" t="n">
        <v>0</v>
      </c>
      <c r="J2393" s="182" t="n">
        <v>0</v>
      </c>
      <c r="K2393" s="182" t="n">
        <v>4.98</v>
      </c>
      <c r="L2393" s="182" t="n">
        <v>12</v>
      </c>
      <c r="M2393" s="182" t="n">
        <v>0.3</v>
      </c>
      <c r="N2393" s="182" t="n">
        <v>6.72</v>
      </c>
      <c r="O2393" s="183" t="n">
        <v>1</v>
      </c>
      <c r="P2393" s="183" t="n">
        <v>15</v>
      </c>
      <c r="Q2393" s="184" t="n">
        <v>20.4</v>
      </c>
      <c r="R2393" s="184" t="n">
        <v>280.5</v>
      </c>
      <c r="S2393" s="183" t="n">
        <v>0</v>
      </c>
      <c r="T2393" s="183" t="n">
        <v>0</v>
      </c>
      <c r="U2393" s="182" t="n">
        <v>3.88</v>
      </c>
      <c r="V2393" s="182" t="n">
        <v>0</v>
      </c>
      <c r="W2393" s="182" t="n">
        <v>0</v>
      </c>
      <c r="X2393" s="182" t="n">
        <v>1.02</v>
      </c>
      <c r="Y2393" s="182" t="n">
        <v>0</v>
      </c>
      <c r="Z2393" s="182" t="n">
        <v>0</v>
      </c>
      <c r="AA2393" s="182" t="n">
        <v>0</v>
      </c>
      <c r="AB2393" s="182" t="n">
        <v>0</v>
      </c>
      <c r="AC2393" s="182" t="n">
        <v>0</v>
      </c>
      <c r="AD2393" s="182" t="n">
        <v>0</v>
      </c>
      <c r="AE2393" s="182" t="n">
        <v>0</v>
      </c>
      <c r="AF2393" s="182" t="n">
        <v>0</v>
      </c>
      <c r="AG2393" s="182" t="n">
        <v>0</v>
      </c>
      <c r="AH2393" s="182" t="n">
        <v>0</v>
      </c>
      <c r="AI2393" s="182" t="n">
        <v>0</v>
      </c>
      <c r="AJ2393" s="182" t="n">
        <v>0</v>
      </c>
      <c r="AK2393" s="182" t="n">
        <v>0</v>
      </c>
      <c r="AL2393" s="182" t="n">
        <v>0</v>
      </c>
      <c r="AM2393" s="182" t="n">
        <v>0.08</v>
      </c>
      <c r="AN2393" s="182" t="n">
        <v>0</v>
      </c>
    </row>
    <row r="2394">
      <c r="A2394" s="155" t="n">
        <v>46092</v>
      </c>
      <c r="B2394" s="156" t="inlineStr">
        <is>
          <t>NS</t>
        </is>
      </c>
      <c r="C2394" s="156" t="inlineStr">
        <is>
          <t>DT-522</t>
        </is>
      </c>
      <c r="D2394" s="156" t="inlineStr">
        <is>
          <t>SKT 105S</t>
        </is>
      </c>
      <c r="E2394" s="156" t="inlineStr">
        <is>
          <t>Hauler</t>
        </is>
      </c>
      <c r="F2394" s="156" t="inlineStr">
        <is>
          <t>Hauling OB</t>
        </is>
      </c>
      <c r="G2394" s="182" t="n">
        <v>6.78</v>
      </c>
      <c r="H2394" s="182" t="n">
        <v>0</v>
      </c>
      <c r="I2394" s="182" t="n">
        <v>0</v>
      </c>
      <c r="J2394" s="182" t="n">
        <v>0</v>
      </c>
      <c r="K2394" s="182" t="n">
        <v>5.22</v>
      </c>
      <c r="L2394" s="182" t="n">
        <v>12</v>
      </c>
      <c r="M2394" s="182" t="n">
        <v>6.66</v>
      </c>
      <c r="N2394" s="182" t="n">
        <v>0</v>
      </c>
      <c r="O2394" s="183" t="n">
        <v>32</v>
      </c>
      <c r="P2394" s="183" t="n">
        <v>0</v>
      </c>
      <c r="Q2394" s="184" t="n">
        <v>652.8</v>
      </c>
      <c r="R2394" s="184" t="n">
        <v>0</v>
      </c>
      <c r="S2394" s="183" t="n">
        <v>0</v>
      </c>
      <c r="T2394" s="183" t="n">
        <v>0</v>
      </c>
      <c r="U2394" s="182" t="n">
        <v>4.09</v>
      </c>
      <c r="V2394" s="182" t="n">
        <v>0</v>
      </c>
      <c r="W2394" s="182" t="n">
        <v>0</v>
      </c>
      <c r="X2394" s="182" t="n">
        <v>1.04</v>
      </c>
      <c r="Y2394" s="182" t="n">
        <v>0</v>
      </c>
      <c r="Z2394" s="182" t="n">
        <v>0</v>
      </c>
      <c r="AA2394" s="182" t="n">
        <v>0</v>
      </c>
      <c r="AB2394" s="182" t="n">
        <v>0</v>
      </c>
      <c r="AC2394" s="182" t="n">
        <v>0</v>
      </c>
      <c r="AD2394" s="182" t="n">
        <v>0</v>
      </c>
      <c r="AE2394" s="182" t="n">
        <v>0</v>
      </c>
      <c r="AF2394" s="182" t="n">
        <v>0</v>
      </c>
      <c r="AG2394" s="182" t="n">
        <v>0</v>
      </c>
      <c r="AH2394" s="182" t="n">
        <v>0</v>
      </c>
      <c r="AI2394" s="182" t="n">
        <v>0</v>
      </c>
      <c r="AJ2394" s="182" t="n">
        <v>0</v>
      </c>
      <c r="AK2394" s="182" t="n">
        <v>0</v>
      </c>
      <c r="AL2394" s="182" t="n">
        <v>0</v>
      </c>
      <c r="AM2394" s="182" t="n">
        <v>0.08</v>
      </c>
      <c r="AN2394" s="182" t="n">
        <v>0</v>
      </c>
    </row>
    <row r="2395">
      <c r="A2395" s="155" t="n">
        <v>46092</v>
      </c>
      <c r="B2395" s="156" t="inlineStr">
        <is>
          <t>NS</t>
        </is>
      </c>
      <c r="C2395" s="156" t="inlineStr">
        <is>
          <t>DT-517</t>
        </is>
      </c>
      <c r="D2395" s="156" t="inlineStr">
        <is>
          <t>SKT 105S</t>
        </is>
      </c>
      <c r="E2395" s="156" t="inlineStr">
        <is>
          <t>Hauler</t>
        </is>
      </c>
      <c r="F2395" s="156" t="inlineStr">
        <is>
          <t>Hauling OB</t>
        </is>
      </c>
      <c r="G2395" s="182" t="n">
        <v>6.97</v>
      </c>
      <c r="H2395" s="182" t="n">
        <v>0</v>
      </c>
      <c r="I2395" s="182" t="n">
        <v>0</v>
      </c>
      <c r="J2395" s="182" t="n">
        <v>0</v>
      </c>
      <c r="K2395" s="182" t="n">
        <v>5.03</v>
      </c>
      <c r="L2395" s="182" t="n">
        <v>12</v>
      </c>
      <c r="M2395" s="182" t="n">
        <v>6.97</v>
      </c>
      <c r="N2395" s="182" t="n">
        <v>0</v>
      </c>
      <c r="O2395" s="183" t="n">
        <v>34</v>
      </c>
      <c r="P2395" s="183" t="n">
        <v>0</v>
      </c>
      <c r="Q2395" s="184" t="n">
        <v>693.6</v>
      </c>
      <c r="R2395" s="184" t="n">
        <v>0</v>
      </c>
      <c r="S2395" s="183" t="n">
        <v>0</v>
      </c>
      <c r="T2395" s="183" t="n">
        <v>0</v>
      </c>
      <c r="U2395" s="182" t="n">
        <v>3.96</v>
      </c>
      <c r="V2395" s="182" t="n">
        <v>0</v>
      </c>
      <c r="W2395" s="182" t="n">
        <v>0</v>
      </c>
      <c r="X2395" s="182" t="n">
        <v>0.99</v>
      </c>
      <c r="Y2395" s="182" t="n">
        <v>0</v>
      </c>
      <c r="Z2395" s="182" t="n">
        <v>0</v>
      </c>
      <c r="AA2395" s="182" t="n">
        <v>0</v>
      </c>
      <c r="AB2395" s="182" t="n">
        <v>0</v>
      </c>
      <c r="AC2395" s="182" t="n">
        <v>0</v>
      </c>
      <c r="AD2395" s="182" t="n">
        <v>0</v>
      </c>
      <c r="AE2395" s="182" t="n">
        <v>0</v>
      </c>
      <c r="AF2395" s="182" t="n">
        <v>0</v>
      </c>
      <c r="AG2395" s="182" t="n">
        <v>0</v>
      </c>
      <c r="AH2395" s="182" t="n">
        <v>0</v>
      </c>
      <c r="AI2395" s="182" t="n">
        <v>0</v>
      </c>
      <c r="AJ2395" s="182" t="n">
        <v>0</v>
      </c>
      <c r="AK2395" s="182" t="n">
        <v>0</v>
      </c>
      <c r="AL2395" s="182" t="n">
        <v>0</v>
      </c>
      <c r="AM2395" s="182" t="n">
        <v>0.08</v>
      </c>
      <c r="AN2395" s="182" t="n">
        <v>0</v>
      </c>
    </row>
    <row r="2396">
      <c r="A2396" s="155" t="n">
        <v>46092</v>
      </c>
      <c r="B2396" s="156" t="inlineStr">
        <is>
          <t>NS</t>
        </is>
      </c>
      <c r="C2396" s="156" t="inlineStr">
        <is>
          <t>DT-510</t>
        </is>
      </c>
      <c r="D2396" s="156" t="inlineStr">
        <is>
          <t>SKT 105S</t>
        </is>
      </c>
      <c r="E2396" s="156" t="inlineStr">
        <is>
          <t>Hauler</t>
        </is>
      </c>
      <c r="F2396" s="156" t="inlineStr"/>
      <c r="G2396" s="182" t="n">
        <v>0</v>
      </c>
      <c r="H2396" s="182" t="n">
        <v>0</v>
      </c>
      <c r="I2396" s="182" t="n">
        <v>12</v>
      </c>
      <c r="J2396" s="182" t="n">
        <v>12</v>
      </c>
      <c r="K2396" s="182" t="n">
        <v>0</v>
      </c>
      <c r="L2396" s="182" t="n">
        <v>12</v>
      </c>
      <c r="M2396" s="182" t="n">
        <v>0</v>
      </c>
      <c r="N2396" s="182" t="n">
        <v>0</v>
      </c>
      <c r="O2396" s="183" t="n">
        <v>0</v>
      </c>
      <c r="P2396" s="183" t="n">
        <v>0</v>
      </c>
      <c r="Q2396" s="184" t="n">
        <v>0</v>
      </c>
      <c r="R2396" s="184" t="n">
        <v>0</v>
      </c>
      <c r="S2396" s="183" t="n">
        <v>0</v>
      </c>
      <c r="T2396" s="183" t="n">
        <v>0</v>
      </c>
      <c r="U2396" s="182" t="n">
        <v>0</v>
      </c>
      <c r="V2396" s="182" t="n">
        <v>0</v>
      </c>
      <c r="W2396" s="182" t="n">
        <v>0</v>
      </c>
      <c r="X2396" s="182" t="n">
        <v>0</v>
      </c>
      <c r="Y2396" s="182" t="n">
        <v>0</v>
      </c>
      <c r="Z2396" s="182" t="n">
        <v>0</v>
      </c>
      <c r="AA2396" s="182" t="n">
        <v>0</v>
      </c>
      <c r="AB2396" s="182" t="n">
        <v>0</v>
      </c>
      <c r="AC2396" s="182" t="n">
        <v>0</v>
      </c>
      <c r="AD2396" s="182" t="n">
        <v>0</v>
      </c>
      <c r="AE2396" s="182" t="n">
        <v>0</v>
      </c>
      <c r="AF2396" s="182" t="n">
        <v>0</v>
      </c>
      <c r="AG2396" s="182" t="n">
        <v>0</v>
      </c>
      <c r="AH2396" s="182" t="n">
        <v>0</v>
      </c>
      <c r="AI2396" s="182" t="n">
        <v>0</v>
      </c>
      <c r="AJ2396" s="182" t="n">
        <v>0</v>
      </c>
      <c r="AK2396" s="182" t="n">
        <v>0</v>
      </c>
      <c r="AL2396" s="182" t="n">
        <v>0</v>
      </c>
      <c r="AM2396" s="182" t="n">
        <v>0</v>
      </c>
      <c r="AN2396" s="182" t="n">
        <v>0</v>
      </c>
    </row>
    <row r="2397">
      <c r="A2397" s="155" t="n">
        <v>46092</v>
      </c>
      <c r="B2397" s="156" t="inlineStr">
        <is>
          <t>NS</t>
        </is>
      </c>
      <c r="C2397" s="156" t="inlineStr">
        <is>
          <t>DT-521</t>
        </is>
      </c>
      <c r="D2397" s="156" t="inlineStr">
        <is>
          <t>SKT 105S</t>
        </is>
      </c>
      <c r="E2397" s="156" t="inlineStr">
        <is>
          <t>Hauler</t>
        </is>
      </c>
      <c r="F2397" s="156" t="inlineStr">
        <is>
          <t>Hauling OB</t>
        </is>
      </c>
      <c r="G2397" s="182" t="n">
        <v>5.55</v>
      </c>
      <c r="H2397" s="182" t="n">
        <v>0</v>
      </c>
      <c r="I2397" s="182" t="n">
        <v>0.17</v>
      </c>
      <c r="J2397" s="182" t="n">
        <v>0.17</v>
      </c>
      <c r="K2397" s="182" t="n">
        <v>6.28</v>
      </c>
      <c r="L2397" s="182" t="n">
        <v>12</v>
      </c>
      <c r="M2397" s="182" t="n">
        <v>5.55</v>
      </c>
      <c r="N2397" s="182" t="n">
        <v>0</v>
      </c>
      <c r="O2397" s="183" t="n">
        <v>22</v>
      </c>
      <c r="P2397" s="183" t="n">
        <v>0</v>
      </c>
      <c r="Q2397" s="184" t="n">
        <v>448.8</v>
      </c>
      <c r="R2397" s="184" t="n">
        <v>0</v>
      </c>
      <c r="S2397" s="183" t="n">
        <v>0</v>
      </c>
      <c r="T2397" s="183" t="n">
        <v>0</v>
      </c>
      <c r="U2397" s="182" t="n">
        <v>4.34</v>
      </c>
      <c r="V2397" s="182" t="n">
        <v>0</v>
      </c>
      <c r="W2397" s="182" t="n">
        <v>0</v>
      </c>
      <c r="X2397" s="182" t="n">
        <v>1.04</v>
      </c>
      <c r="Y2397" s="182" t="n">
        <v>0</v>
      </c>
      <c r="Z2397" s="182" t="n">
        <v>0.1</v>
      </c>
      <c r="AA2397" s="182" t="n">
        <v>0</v>
      </c>
      <c r="AB2397" s="182" t="n">
        <v>0</v>
      </c>
      <c r="AC2397" s="182" t="n">
        <v>0</v>
      </c>
      <c r="AD2397" s="182" t="n">
        <v>0</v>
      </c>
      <c r="AE2397" s="182" t="n">
        <v>0</v>
      </c>
      <c r="AF2397" s="182" t="n">
        <v>0</v>
      </c>
      <c r="AG2397" s="182" t="n">
        <v>0</v>
      </c>
      <c r="AH2397" s="182" t="n">
        <v>0.71</v>
      </c>
      <c r="AI2397" s="182" t="n">
        <v>0</v>
      </c>
      <c r="AJ2397" s="182" t="n">
        <v>0</v>
      </c>
      <c r="AK2397" s="182" t="n">
        <v>0</v>
      </c>
      <c r="AL2397" s="182" t="n">
        <v>0</v>
      </c>
      <c r="AM2397" s="182" t="n">
        <v>0.08</v>
      </c>
      <c r="AN2397" s="182" t="n">
        <v>0</v>
      </c>
    </row>
    <row r="2398">
      <c r="A2398" s="155" t="n">
        <v>46092</v>
      </c>
      <c r="B2398" s="156" t="inlineStr">
        <is>
          <t>NS</t>
        </is>
      </c>
      <c r="C2398" s="156" t="inlineStr">
        <is>
          <t>DT-516</t>
        </is>
      </c>
      <c r="D2398" s="156" t="inlineStr">
        <is>
          <t>SKT 105S</t>
        </is>
      </c>
      <c r="E2398" s="156" t="inlineStr">
        <is>
          <t>Hauler</t>
        </is>
      </c>
      <c r="F2398" s="156" t="inlineStr">
        <is>
          <t>Hauling OB</t>
        </is>
      </c>
      <c r="G2398" s="182" t="n">
        <v>6.61</v>
      </c>
      <c r="H2398" s="182" t="n">
        <v>0</v>
      </c>
      <c r="I2398" s="182" t="n">
        <v>0</v>
      </c>
      <c r="J2398" s="182" t="n">
        <v>0</v>
      </c>
      <c r="K2398" s="182" t="n">
        <v>5.39</v>
      </c>
      <c r="L2398" s="182" t="n">
        <v>12</v>
      </c>
      <c r="M2398" s="182" t="n">
        <v>6.61</v>
      </c>
      <c r="N2398" s="182" t="n">
        <v>0</v>
      </c>
      <c r="O2398" s="183" t="n">
        <v>20</v>
      </c>
      <c r="P2398" s="183" t="n">
        <v>0</v>
      </c>
      <c r="Q2398" s="184" t="n">
        <v>408</v>
      </c>
      <c r="R2398" s="184" t="n">
        <v>0</v>
      </c>
      <c r="S2398" s="183" t="n">
        <v>0</v>
      </c>
      <c r="T2398" s="183" t="n">
        <v>0</v>
      </c>
      <c r="U2398" s="182" t="n">
        <v>4.24</v>
      </c>
      <c r="V2398" s="182" t="n">
        <v>0</v>
      </c>
      <c r="W2398" s="182" t="n">
        <v>0</v>
      </c>
      <c r="X2398" s="182" t="n">
        <v>1.02</v>
      </c>
      <c r="Y2398" s="182" t="n">
        <v>0</v>
      </c>
      <c r="Z2398" s="182" t="n">
        <v>0</v>
      </c>
      <c r="AA2398" s="182" t="n">
        <v>0</v>
      </c>
      <c r="AB2398" s="182" t="n">
        <v>0</v>
      </c>
      <c r="AC2398" s="182" t="n">
        <v>0</v>
      </c>
      <c r="AD2398" s="182" t="n">
        <v>0</v>
      </c>
      <c r="AE2398" s="182" t="n">
        <v>0</v>
      </c>
      <c r="AF2398" s="182" t="n">
        <v>0</v>
      </c>
      <c r="AG2398" s="182" t="n">
        <v>0</v>
      </c>
      <c r="AH2398" s="182" t="n">
        <v>0.05</v>
      </c>
      <c r="AI2398" s="182" t="n">
        <v>0</v>
      </c>
      <c r="AJ2398" s="182" t="n">
        <v>0</v>
      </c>
      <c r="AK2398" s="182" t="n">
        <v>0</v>
      </c>
      <c r="AL2398" s="182" t="n">
        <v>0</v>
      </c>
      <c r="AM2398" s="182" t="n">
        <v>0.08</v>
      </c>
      <c r="AN2398" s="182" t="n">
        <v>0</v>
      </c>
    </row>
    <row r="2399">
      <c r="A2399" s="155" t="n">
        <v>46092</v>
      </c>
      <c r="B2399" s="156" t="inlineStr">
        <is>
          <t>NS</t>
        </is>
      </c>
      <c r="C2399" s="156" t="inlineStr">
        <is>
          <t>DT-506</t>
        </is>
      </c>
      <c r="D2399" s="156" t="inlineStr">
        <is>
          <t>SKT 105S</t>
        </is>
      </c>
      <c r="E2399" s="156" t="inlineStr">
        <is>
          <t>Hauler</t>
        </is>
      </c>
      <c r="F2399" s="156" t="inlineStr">
        <is>
          <t>Hauling OB</t>
        </is>
      </c>
      <c r="G2399" s="182" t="n">
        <v>1.23</v>
      </c>
      <c r="H2399" s="182" t="n">
        <v>0</v>
      </c>
      <c r="I2399" s="182" t="n">
        <v>0</v>
      </c>
      <c r="J2399" s="182" t="n">
        <v>0</v>
      </c>
      <c r="K2399" s="182" t="n">
        <v>10.77</v>
      </c>
      <c r="L2399" s="182" t="n">
        <v>12</v>
      </c>
      <c r="M2399" s="182" t="n">
        <v>1.23</v>
      </c>
      <c r="N2399" s="182" t="n">
        <v>0</v>
      </c>
      <c r="O2399" s="183" t="n">
        <v>26</v>
      </c>
      <c r="P2399" s="183" t="n">
        <v>0</v>
      </c>
      <c r="Q2399" s="184" t="n">
        <v>530.4</v>
      </c>
      <c r="R2399" s="184" t="n">
        <v>0</v>
      </c>
      <c r="S2399" s="183" t="n">
        <v>0</v>
      </c>
      <c r="T2399" s="183" t="n">
        <v>0</v>
      </c>
      <c r="U2399" s="182" t="n">
        <v>4.08</v>
      </c>
      <c r="V2399" s="182" t="n">
        <v>0</v>
      </c>
      <c r="W2399" s="182" t="n">
        <v>0</v>
      </c>
      <c r="X2399" s="182" t="n">
        <v>0.98</v>
      </c>
      <c r="Y2399" s="182" t="n">
        <v>0</v>
      </c>
      <c r="Z2399" s="182" t="n">
        <v>0</v>
      </c>
      <c r="AA2399" s="182" t="n">
        <v>0</v>
      </c>
      <c r="AB2399" s="182" t="n">
        <v>0</v>
      </c>
      <c r="AC2399" s="182" t="n">
        <v>0</v>
      </c>
      <c r="AD2399" s="182" t="n">
        <v>0</v>
      </c>
      <c r="AE2399" s="182" t="n">
        <v>0</v>
      </c>
      <c r="AF2399" s="182" t="n">
        <v>0</v>
      </c>
      <c r="AG2399" s="182" t="n">
        <v>0</v>
      </c>
      <c r="AH2399" s="182" t="n">
        <v>0</v>
      </c>
      <c r="AI2399" s="182" t="n">
        <v>0</v>
      </c>
      <c r="AJ2399" s="182" t="n">
        <v>0</v>
      </c>
      <c r="AK2399" s="182" t="n">
        <v>5.63</v>
      </c>
      <c r="AL2399" s="182" t="n">
        <v>0</v>
      </c>
      <c r="AM2399" s="182" t="n">
        <v>0.08</v>
      </c>
      <c r="AN2399" s="182" t="n">
        <v>0</v>
      </c>
    </row>
    <row r="2400">
      <c r="A2400" s="155" t="n">
        <v>46092</v>
      </c>
      <c r="B2400" s="156" t="inlineStr">
        <is>
          <t>NS</t>
        </is>
      </c>
      <c r="C2400" s="156" t="inlineStr">
        <is>
          <t>DT-502</t>
        </is>
      </c>
      <c r="D2400" s="156" t="inlineStr">
        <is>
          <t>SKT 105S</t>
        </is>
      </c>
      <c r="E2400" s="156" t="inlineStr">
        <is>
          <t>Hauler</t>
        </is>
      </c>
      <c r="F2400" s="156" t="inlineStr">
        <is>
          <t>Hauling OB</t>
        </is>
      </c>
      <c r="G2400" s="182" t="n">
        <v>6.84</v>
      </c>
      <c r="H2400" s="182" t="n">
        <v>0</v>
      </c>
      <c r="I2400" s="182" t="n">
        <v>0</v>
      </c>
      <c r="J2400" s="182" t="n">
        <v>0</v>
      </c>
      <c r="K2400" s="182" t="n">
        <v>5.16</v>
      </c>
      <c r="L2400" s="182" t="n">
        <v>12</v>
      </c>
      <c r="M2400" s="182" t="n">
        <v>6.84</v>
      </c>
      <c r="N2400" s="182" t="n">
        <v>0</v>
      </c>
      <c r="O2400" s="183" t="n">
        <v>20</v>
      </c>
      <c r="P2400" s="183" t="n">
        <v>0</v>
      </c>
      <c r="Q2400" s="184" t="n">
        <v>326.4</v>
      </c>
      <c r="R2400" s="184" t="n">
        <v>0</v>
      </c>
      <c r="S2400" s="183" t="n">
        <v>0</v>
      </c>
      <c r="T2400" s="183" t="n">
        <v>0</v>
      </c>
      <c r="U2400" s="182" t="n">
        <v>4.07</v>
      </c>
      <c r="V2400" s="182" t="n">
        <v>0</v>
      </c>
      <c r="W2400" s="182" t="n">
        <v>0</v>
      </c>
      <c r="X2400" s="182" t="n">
        <v>1.01</v>
      </c>
      <c r="Y2400" s="182" t="n">
        <v>0</v>
      </c>
      <c r="Z2400" s="182" t="n">
        <v>0</v>
      </c>
      <c r="AA2400" s="182" t="n">
        <v>0</v>
      </c>
      <c r="AB2400" s="182" t="n">
        <v>0</v>
      </c>
      <c r="AC2400" s="182" t="n">
        <v>0</v>
      </c>
      <c r="AD2400" s="182" t="n">
        <v>0</v>
      </c>
      <c r="AE2400" s="182" t="n">
        <v>0</v>
      </c>
      <c r="AF2400" s="182" t="n">
        <v>0</v>
      </c>
      <c r="AG2400" s="182" t="n">
        <v>0</v>
      </c>
      <c r="AH2400" s="182" t="n">
        <v>0</v>
      </c>
      <c r="AI2400" s="182" t="n">
        <v>0</v>
      </c>
      <c r="AJ2400" s="182" t="n">
        <v>0</v>
      </c>
      <c r="AK2400" s="182" t="n">
        <v>0</v>
      </c>
      <c r="AL2400" s="182" t="n">
        <v>0</v>
      </c>
      <c r="AM2400" s="182" t="n">
        <v>0.08</v>
      </c>
      <c r="AN2400" s="182" t="n">
        <v>0</v>
      </c>
    </row>
    <row r="2401">
      <c r="A2401" s="155" t="n">
        <v>46092</v>
      </c>
      <c r="B2401" s="156" t="inlineStr">
        <is>
          <t>NS</t>
        </is>
      </c>
      <c r="C2401" s="156" t="inlineStr">
        <is>
          <t>DT-528</t>
        </is>
      </c>
      <c r="D2401" s="156" t="inlineStr">
        <is>
          <t>SKT 105S</t>
        </is>
      </c>
      <c r="E2401" s="156" t="inlineStr">
        <is>
          <t>Hauler</t>
        </is>
      </c>
      <c r="F2401" s="156" t="inlineStr">
        <is>
          <t>Hauling OB</t>
        </is>
      </c>
      <c r="G2401" s="182" t="n">
        <v>7.07</v>
      </c>
      <c r="H2401" s="182" t="n">
        <v>0</v>
      </c>
      <c r="I2401" s="182" t="n">
        <v>0</v>
      </c>
      <c r="J2401" s="182" t="n">
        <v>0</v>
      </c>
      <c r="K2401" s="182" t="n">
        <v>4.93</v>
      </c>
      <c r="L2401" s="182" t="n">
        <v>12</v>
      </c>
      <c r="M2401" s="182" t="n">
        <v>7.07</v>
      </c>
      <c r="N2401" s="182" t="n">
        <v>0</v>
      </c>
      <c r="O2401" s="183" t="n">
        <v>21</v>
      </c>
      <c r="P2401" s="183" t="n">
        <v>0</v>
      </c>
      <c r="Q2401" s="184" t="n">
        <v>342.8</v>
      </c>
      <c r="R2401" s="184" t="n">
        <v>0</v>
      </c>
      <c r="S2401" s="183" t="n">
        <v>0</v>
      </c>
      <c r="T2401" s="183" t="n">
        <v>0</v>
      </c>
      <c r="U2401" s="182" t="n">
        <v>3.84</v>
      </c>
      <c r="V2401" s="182" t="n">
        <v>0</v>
      </c>
      <c r="W2401" s="182" t="n">
        <v>0</v>
      </c>
      <c r="X2401" s="182" t="n">
        <v>1.01</v>
      </c>
      <c r="Y2401" s="182" t="n">
        <v>0</v>
      </c>
      <c r="Z2401" s="182" t="n">
        <v>0</v>
      </c>
      <c r="AA2401" s="182" t="n">
        <v>0</v>
      </c>
      <c r="AB2401" s="182" t="n">
        <v>0</v>
      </c>
      <c r="AC2401" s="182" t="n">
        <v>0</v>
      </c>
      <c r="AD2401" s="182" t="n">
        <v>0</v>
      </c>
      <c r="AE2401" s="182" t="n">
        <v>0</v>
      </c>
      <c r="AF2401" s="182" t="n">
        <v>0</v>
      </c>
      <c r="AG2401" s="182" t="n">
        <v>0</v>
      </c>
      <c r="AH2401" s="182" t="n">
        <v>0</v>
      </c>
      <c r="AI2401" s="182" t="n">
        <v>0</v>
      </c>
      <c r="AJ2401" s="182" t="n">
        <v>0</v>
      </c>
      <c r="AK2401" s="182" t="n">
        <v>0</v>
      </c>
      <c r="AL2401" s="182" t="n">
        <v>0</v>
      </c>
      <c r="AM2401" s="182" t="n">
        <v>0.08</v>
      </c>
      <c r="AN2401" s="182" t="n">
        <v>0</v>
      </c>
    </row>
    <row r="2402">
      <c r="A2402" s="155" t="n">
        <v>46092</v>
      </c>
      <c r="B2402" s="156" t="inlineStr">
        <is>
          <t>NS</t>
        </is>
      </c>
      <c r="C2402" s="156" t="inlineStr">
        <is>
          <t>DT-529</t>
        </is>
      </c>
      <c r="D2402" s="156" t="inlineStr">
        <is>
          <t>SKT 105S</t>
        </is>
      </c>
      <c r="E2402" s="156" t="inlineStr">
        <is>
          <t>Hauler</t>
        </is>
      </c>
      <c r="F2402" s="156" t="inlineStr"/>
      <c r="G2402" s="182" t="n">
        <v>0</v>
      </c>
      <c r="H2402" s="182" t="n">
        <v>0</v>
      </c>
      <c r="I2402" s="182" t="n">
        <v>12</v>
      </c>
      <c r="J2402" s="182" t="n">
        <v>12</v>
      </c>
      <c r="K2402" s="182" t="n">
        <v>0</v>
      </c>
      <c r="L2402" s="182" t="n">
        <v>12</v>
      </c>
      <c r="M2402" s="182" t="n">
        <v>0</v>
      </c>
      <c r="N2402" s="182" t="n">
        <v>0</v>
      </c>
      <c r="O2402" s="183" t="n">
        <v>0</v>
      </c>
      <c r="P2402" s="183" t="n">
        <v>0</v>
      </c>
      <c r="Q2402" s="184" t="n">
        <v>0</v>
      </c>
      <c r="R2402" s="184" t="n">
        <v>0</v>
      </c>
      <c r="S2402" s="183" t="n">
        <v>0</v>
      </c>
      <c r="T2402" s="183" t="n">
        <v>0</v>
      </c>
      <c r="U2402" s="182" t="n">
        <v>0</v>
      </c>
      <c r="V2402" s="182" t="n">
        <v>0</v>
      </c>
      <c r="W2402" s="182" t="n">
        <v>0</v>
      </c>
      <c r="X2402" s="182" t="n">
        <v>0</v>
      </c>
      <c r="Y2402" s="182" t="n">
        <v>0</v>
      </c>
      <c r="Z2402" s="182" t="n">
        <v>0</v>
      </c>
      <c r="AA2402" s="182" t="n">
        <v>0</v>
      </c>
      <c r="AB2402" s="182" t="n">
        <v>0</v>
      </c>
      <c r="AC2402" s="182" t="n">
        <v>0</v>
      </c>
      <c r="AD2402" s="182" t="n">
        <v>0</v>
      </c>
      <c r="AE2402" s="182" t="n">
        <v>0</v>
      </c>
      <c r="AF2402" s="182" t="n">
        <v>0</v>
      </c>
      <c r="AG2402" s="182" t="n">
        <v>0</v>
      </c>
      <c r="AH2402" s="182" t="n">
        <v>0</v>
      </c>
      <c r="AI2402" s="182" t="n">
        <v>0</v>
      </c>
      <c r="AJ2402" s="182" t="n">
        <v>0</v>
      </c>
      <c r="AK2402" s="182" t="n">
        <v>0</v>
      </c>
      <c r="AL2402" s="182" t="n">
        <v>0</v>
      </c>
      <c r="AM2402" s="182" t="n">
        <v>0</v>
      </c>
      <c r="AN2402" s="182" t="n">
        <v>0</v>
      </c>
    </row>
    <row r="2403">
      <c r="A2403" s="155" t="n">
        <v>46092</v>
      </c>
      <c r="B2403" s="156" t="inlineStr">
        <is>
          <t>NS</t>
        </is>
      </c>
      <c r="C2403" s="156" t="inlineStr">
        <is>
          <t>DT-520</t>
        </is>
      </c>
      <c r="D2403" s="156" t="inlineStr">
        <is>
          <t>SKT 105S</t>
        </is>
      </c>
      <c r="E2403" s="156" t="inlineStr">
        <is>
          <t>Hauler</t>
        </is>
      </c>
      <c r="F2403" s="156" t="inlineStr">
        <is>
          <t>Hauling OB</t>
        </is>
      </c>
      <c r="G2403" s="182" t="n">
        <v>7.3</v>
      </c>
      <c r="H2403" s="182" t="n">
        <v>0</v>
      </c>
      <c r="I2403" s="182" t="n">
        <v>0</v>
      </c>
      <c r="J2403" s="182" t="n">
        <v>0</v>
      </c>
      <c r="K2403" s="182" t="n">
        <v>4.7</v>
      </c>
      <c r="L2403" s="182" t="n">
        <v>12</v>
      </c>
      <c r="M2403" s="182" t="n">
        <v>7.18</v>
      </c>
      <c r="N2403" s="182" t="n">
        <v>0</v>
      </c>
      <c r="O2403" s="183" t="n">
        <v>27</v>
      </c>
      <c r="P2403" s="183" t="n">
        <v>0</v>
      </c>
      <c r="Q2403" s="184" t="n">
        <v>550.8</v>
      </c>
      <c r="R2403" s="184" t="n">
        <v>0</v>
      </c>
      <c r="S2403" s="183" t="n">
        <v>0</v>
      </c>
      <c r="T2403" s="183" t="n">
        <v>0</v>
      </c>
      <c r="U2403" s="182" t="n">
        <v>3.64</v>
      </c>
      <c r="V2403" s="182" t="n">
        <v>0</v>
      </c>
      <c r="W2403" s="182" t="n">
        <v>0</v>
      </c>
      <c r="X2403" s="182" t="n">
        <v>0.98</v>
      </c>
      <c r="Y2403" s="182" t="n">
        <v>0</v>
      </c>
      <c r="Z2403" s="182" t="n">
        <v>0</v>
      </c>
      <c r="AA2403" s="182" t="n">
        <v>0</v>
      </c>
      <c r="AB2403" s="182" t="n">
        <v>0</v>
      </c>
      <c r="AC2403" s="182" t="n">
        <v>0</v>
      </c>
      <c r="AD2403" s="182" t="n">
        <v>0</v>
      </c>
      <c r="AE2403" s="182" t="n">
        <v>0</v>
      </c>
      <c r="AF2403" s="182" t="n">
        <v>0</v>
      </c>
      <c r="AG2403" s="182" t="n">
        <v>0</v>
      </c>
      <c r="AH2403" s="182" t="n">
        <v>0</v>
      </c>
      <c r="AI2403" s="182" t="n">
        <v>0</v>
      </c>
      <c r="AJ2403" s="182" t="n">
        <v>0</v>
      </c>
      <c r="AK2403" s="182" t="n">
        <v>0</v>
      </c>
      <c r="AL2403" s="182" t="n">
        <v>0</v>
      </c>
      <c r="AM2403" s="182" t="n">
        <v>0.08</v>
      </c>
      <c r="AN2403" s="182" t="n">
        <v>0</v>
      </c>
    </row>
    <row r="2404">
      <c r="A2404" s="155" t="n">
        <v>46092</v>
      </c>
      <c r="B2404" s="156" t="inlineStr">
        <is>
          <t>NS</t>
        </is>
      </c>
      <c r="C2404" s="156" t="inlineStr">
        <is>
          <t>DT-511</t>
        </is>
      </c>
      <c r="D2404" s="156" t="inlineStr">
        <is>
          <t>SKT 105S</t>
        </is>
      </c>
      <c r="E2404" s="156" t="inlineStr">
        <is>
          <t>Hauler</t>
        </is>
      </c>
      <c r="F2404" s="156" t="inlineStr">
        <is>
          <t>Hauling OB</t>
        </is>
      </c>
      <c r="G2404" s="182" t="n">
        <v>5.8</v>
      </c>
      <c r="H2404" s="182" t="n">
        <v>0</v>
      </c>
      <c r="I2404" s="182" t="n">
        <v>0</v>
      </c>
      <c r="J2404" s="182" t="n">
        <v>0</v>
      </c>
      <c r="K2404" s="182" t="n">
        <v>6.2</v>
      </c>
      <c r="L2404" s="182" t="n">
        <v>12</v>
      </c>
      <c r="M2404" s="182" t="n">
        <v>5.59</v>
      </c>
      <c r="N2404" s="182" t="n">
        <v>0</v>
      </c>
      <c r="O2404" s="183" t="n">
        <v>22</v>
      </c>
      <c r="P2404" s="183" t="n">
        <v>0</v>
      </c>
      <c r="Q2404" s="184" t="n">
        <v>448.8</v>
      </c>
      <c r="R2404" s="184" t="n">
        <v>0</v>
      </c>
      <c r="S2404" s="183" t="n">
        <v>0</v>
      </c>
      <c r="T2404" s="183" t="n">
        <v>0</v>
      </c>
      <c r="U2404" s="182" t="n">
        <v>4.62</v>
      </c>
      <c r="V2404" s="182" t="n">
        <v>0</v>
      </c>
      <c r="W2404" s="182" t="n">
        <v>0</v>
      </c>
      <c r="X2404" s="182" t="n">
        <v>1.11</v>
      </c>
      <c r="Y2404" s="182" t="n">
        <v>0</v>
      </c>
      <c r="Z2404" s="182" t="n">
        <v>0</v>
      </c>
      <c r="AA2404" s="182" t="n">
        <v>0</v>
      </c>
      <c r="AB2404" s="182" t="n">
        <v>0</v>
      </c>
      <c r="AC2404" s="182" t="n">
        <v>0</v>
      </c>
      <c r="AD2404" s="182" t="n">
        <v>0</v>
      </c>
      <c r="AE2404" s="182" t="n">
        <v>0</v>
      </c>
      <c r="AF2404" s="182" t="n">
        <v>0</v>
      </c>
      <c r="AG2404" s="182" t="n">
        <v>0</v>
      </c>
      <c r="AH2404" s="182" t="n">
        <v>0.39</v>
      </c>
      <c r="AI2404" s="182" t="n">
        <v>0</v>
      </c>
      <c r="AJ2404" s="182" t="n">
        <v>0</v>
      </c>
      <c r="AK2404" s="182" t="n">
        <v>0</v>
      </c>
      <c r="AL2404" s="182" t="n">
        <v>0</v>
      </c>
      <c r="AM2404" s="182" t="n">
        <v>0.09</v>
      </c>
      <c r="AN2404" s="182" t="n">
        <v>0</v>
      </c>
    </row>
    <row r="2405">
      <c r="A2405" s="155" t="n">
        <v>46092</v>
      </c>
      <c r="B2405" s="156" t="inlineStr">
        <is>
          <t>NS</t>
        </is>
      </c>
      <c r="C2405" s="156" t="inlineStr">
        <is>
          <t>DT-509</t>
        </is>
      </c>
      <c r="D2405" s="156" t="inlineStr">
        <is>
          <t>SKT 105S</t>
        </is>
      </c>
      <c r="E2405" s="156" t="inlineStr">
        <is>
          <t>Hauler</t>
        </is>
      </c>
      <c r="F2405" s="156" t="inlineStr">
        <is>
          <t>Hauling OB</t>
        </is>
      </c>
      <c r="G2405" s="182" t="n">
        <v>6.55</v>
      </c>
      <c r="H2405" s="182" t="n">
        <v>0</v>
      </c>
      <c r="I2405" s="182" t="n">
        <v>0</v>
      </c>
      <c r="J2405" s="182" t="n">
        <v>0</v>
      </c>
      <c r="K2405" s="182" t="n">
        <v>5.45</v>
      </c>
      <c r="L2405" s="182" t="n">
        <v>12</v>
      </c>
      <c r="M2405" s="182" t="n">
        <v>6.55</v>
      </c>
      <c r="N2405" s="182" t="n">
        <v>0</v>
      </c>
      <c r="O2405" s="183" t="n">
        <v>20</v>
      </c>
      <c r="P2405" s="183" t="n">
        <v>0</v>
      </c>
      <c r="Q2405" s="184" t="n">
        <v>408</v>
      </c>
      <c r="R2405" s="184" t="n">
        <v>0</v>
      </c>
      <c r="S2405" s="183" t="n">
        <v>0</v>
      </c>
      <c r="T2405" s="183" t="n">
        <v>0</v>
      </c>
      <c r="U2405" s="182" t="n">
        <v>4.06</v>
      </c>
      <c r="V2405" s="182" t="n">
        <v>0</v>
      </c>
      <c r="W2405" s="182" t="n">
        <v>0</v>
      </c>
      <c r="X2405" s="182" t="n">
        <v>0.97</v>
      </c>
      <c r="Y2405" s="182" t="n">
        <v>0</v>
      </c>
      <c r="Z2405" s="182" t="n">
        <v>0</v>
      </c>
      <c r="AA2405" s="182" t="n">
        <v>0</v>
      </c>
      <c r="AB2405" s="182" t="n">
        <v>0</v>
      </c>
      <c r="AC2405" s="182" t="n">
        <v>0</v>
      </c>
      <c r="AD2405" s="182" t="n">
        <v>0</v>
      </c>
      <c r="AE2405" s="182" t="n">
        <v>0</v>
      </c>
      <c r="AF2405" s="182" t="n">
        <v>0</v>
      </c>
      <c r="AG2405" s="182" t="n">
        <v>0</v>
      </c>
      <c r="AH2405" s="182" t="n">
        <v>0.34</v>
      </c>
      <c r="AI2405" s="182" t="n">
        <v>0</v>
      </c>
      <c r="AJ2405" s="182" t="n">
        <v>0</v>
      </c>
      <c r="AK2405" s="182" t="n">
        <v>0</v>
      </c>
      <c r="AL2405" s="182" t="n">
        <v>0</v>
      </c>
      <c r="AM2405" s="182" t="n">
        <v>0.08</v>
      </c>
      <c r="AN2405" s="182" t="n">
        <v>0</v>
      </c>
    </row>
    <row r="2406">
      <c r="A2406" s="155" t="n">
        <v>46092</v>
      </c>
      <c r="B2406" s="156" t="inlineStr">
        <is>
          <t>NS</t>
        </is>
      </c>
      <c r="C2406" s="156" t="inlineStr">
        <is>
          <t>DT-526</t>
        </is>
      </c>
      <c r="D2406" s="156" t="inlineStr">
        <is>
          <t>SKT 105S</t>
        </is>
      </c>
      <c r="E2406" s="156" t="inlineStr">
        <is>
          <t>Hauler</t>
        </is>
      </c>
      <c r="F2406" s="156" t="inlineStr">
        <is>
          <t>Hauling OB</t>
        </is>
      </c>
      <c r="G2406" s="182" t="n">
        <v>4.96</v>
      </c>
      <c r="H2406" s="182" t="n">
        <v>0</v>
      </c>
      <c r="I2406" s="182" t="n">
        <v>1.23</v>
      </c>
      <c r="J2406" s="182" t="n">
        <v>1.23</v>
      </c>
      <c r="K2406" s="182" t="n">
        <v>5.81</v>
      </c>
      <c r="L2406" s="182" t="n">
        <v>12</v>
      </c>
      <c r="M2406" s="182" t="n">
        <v>4.96</v>
      </c>
      <c r="N2406" s="182" t="n">
        <v>0</v>
      </c>
      <c r="O2406" s="183" t="n">
        <v>17</v>
      </c>
      <c r="P2406" s="183" t="n">
        <v>0</v>
      </c>
      <c r="Q2406" s="184" t="n">
        <v>277.4</v>
      </c>
      <c r="R2406" s="184" t="n">
        <v>0</v>
      </c>
      <c r="S2406" s="183" t="n">
        <v>0</v>
      </c>
      <c r="T2406" s="183" t="n">
        <v>0</v>
      </c>
      <c r="U2406" s="182" t="n">
        <v>3.93</v>
      </c>
      <c r="V2406" s="182" t="n">
        <v>0</v>
      </c>
      <c r="W2406" s="182" t="n">
        <v>0</v>
      </c>
      <c r="X2406" s="182" t="n">
        <v>0.9399999999999999</v>
      </c>
      <c r="Y2406" s="182" t="n">
        <v>0</v>
      </c>
      <c r="Z2406" s="182" t="n">
        <v>0.09</v>
      </c>
      <c r="AA2406" s="182" t="n">
        <v>0</v>
      </c>
      <c r="AB2406" s="182" t="n">
        <v>0</v>
      </c>
      <c r="AC2406" s="182" t="n">
        <v>0</v>
      </c>
      <c r="AD2406" s="182" t="n">
        <v>0</v>
      </c>
      <c r="AE2406" s="182" t="n">
        <v>0</v>
      </c>
      <c r="AF2406" s="182" t="n">
        <v>0</v>
      </c>
      <c r="AG2406" s="182" t="n">
        <v>0.55</v>
      </c>
      <c r="AH2406" s="182" t="n">
        <v>0.22</v>
      </c>
      <c r="AI2406" s="182" t="n">
        <v>0</v>
      </c>
      <c r="AJ2406" s="182" t="n">
        <v>0</v>
      </c>
      <c r="AK2406" s="182" t="n">
        <v>0</v>
      </c>
      <c r="AL2406" s="182" t="n">
        <v>0</v>
      </c>
      <c r="AM2406" s="182" t="n">
        <v>0.08</v>
      </c>
      <c r="AN2406" s="182" t="n">
        <v>0</v>
      </c>
    </row>
    <row r="2407">
      <c r="A2407" s="155" t="n">
        <v>46092</v>
      </c>
      <c r="B2407" s="156" t="inlineStr">
        <is>
          <t>NS</t>
        </is>
      </c>
      <c r="C2407" s="156" t="inlineStr">
        <is>
          <t>DT-508</t>
        </is>
      </c>
      <c r="D2407" s="156" t="inlineStr">
        <is>
          <t>SKT 105S</t>
        </is>
      </c>
      <c r="E2407" s="156" t="inlineStr">
        <is>
          <t>Hauler</t>
        </is>
      </c>
      <c r="F2407" s="156" t="inlineStr">
        <is>
          <t>Hauling OB</t>
        </is>
      </c>
      <c r="G2407" s="182" t="n">
        <v>5.46</v>
      </c>
      <c r="H2407" s="182" t="n">
        <v>0</v>
      </c>
      <c r="I2407" s="182" t="n">
        <v>0.92</v>
      </c>
      <c r="J2407" s="182" t="n">
        <v>0.92</v>
      </c>
      <c r="K2407" s="182" t="n">
        <v>5.62</v>
      </c>
      <c r="L2407" s="182" t="n">
        <v>12</v>
      </c>
      <c r="M2407" s="182" t="n">
        <v>5.46</v>
      </c>
      <c r="N2407" s="182" t="n">
        <v>0</v>
      </c>
      <c r="O2407" s="183" t="n">
        <v>17</v>
      </c>
      <c r="P2407" s="183" t="n">
        <v>0</v>
      </c>
      <c r="Q2407" s="184" t="n">
        <v>346.8</v>
      </c>
      <c r="R2407" s="184" t="n">
        <v>0</v>
      </c>
      <c r="S2407" s="183" t="n">
        <v>0</v>
      </c>
      <c r="T2407" s="183" t="n">
        <v>0</v>
      </c>
      <c r="U2407" s="182" t="n">
        <v>4.05</v>
      </c>
      <c r="V2407" s="182" t="n">
        <v>0</v>
      </c>
      <c r="W2407" s="182" t="n">
        <v>0</v>
      </c>
      <c r="X2407" s="182" t="n">
        <v>0.97</v>
      </c>
      <c r="Y2407" s="182" t="n">
        <v>0</v>
      </c>
      <c r="Z2407" s="182" t="n">
        <v>0</v>
      </c>
      <c r="AA2407" s="182" t="n">
        <v>0</v>
      </c>
      <c r="AB2407" s="182" t="n">
        <v>0</v>
      </c>
      <c r="AC2407" s="182" t="n">
        <v>0</v>
      </c>
      <c r="AD2407" s="182" t="n">
        <v>0</v>
      </c>
      <c r="AE2407" s="182" t="n">
        <v>0</v>
      </c>
      <c r="AF2407" s="182" t="n">
        <v>0</v>
      </c>
      <c r="AG2407" s="182" t="n">
        <v>0</v>
      </c>
      <c r="AH2407" s="182" t="n">
        <v>0.52</v>
      </c>
      <c r="AI2407" s="182" t="n">
        <v>0</v>
      </c>
      <c r="AJ2407" s="182" t="n">
        <v>0</v>
      </c>
      <c r="AK2407" s="182" t="n">
        <v>0</v>
      </c>
      <c r="AL2407" s="182" t="n">
        <v>0</v>
      </c>
      <c r="AM2407" s="182" t="n">
        <v>0.08</v>
      </c>
      <c r="AN2407" s="182" t="n">
        <v>0</v>
      </c>
    </row>
    <row r="2408">
      <c r="A2408" s="155" t="n">
        <v>46092</v>
      </c>
      <c r="B2408" s="156" t="inlineStr">
        <is>
          <t>NS</t>
        </is>
      </c>
      <c r="C2408" s="156" t="inlineStr">
        <is>
          <t>DT-515</t>
        </is>
      </c>
      <c r="D2408" s="156" t="inlineStr">
        <is>
          <t>SKT 105S</t>
        </is>
      </c>
      <c r="E2408" s="156" t="inlineStr">
        <is>
          <t>Hauler</t>
        </is>
      </c>
      <c r="F2408" s="156" t="inlineStr">
        <is>
          <t>Hauling OB</t>
        </is>
      </c>
      <c r="G2408" s="182" t="n">
        <v>6.27</v>
      </c>
      <c r="H2408" s="182" t="n">
        <v>0</v>
      </c>
      <c r="I2408" s="182" t="n">
        <v>0</v>
      </c>
      <c r="J2408" s="182" t="n">
        <v>0</v>
      </c>
      <c r="K2408" s="182" t="n">
        <v>5.73</v>
      </c>
      <c r="L2408" s="182" t="n">
        <v>12</v>
      </c>
      <c r="M2408" s="182" t="n">
        <v>6.27</v>
      </c>
      <c r="N2408" s="182" t="n">
        <v>0</v>
      </c>
      <c r="O2408" s="183" t="n">
        <v>20</v>
      </c>
      <c r="P2408" s="183" t="n">
        <v>0</v>
      </c>
      <c r="Q2408" s="184" t="n">
        <v>326.4</v>
      </c>
      <c r="R2408" s="184" t="n">
        <v>0</v>
      </c>
      <c r="S2408" s="183" t="n">
        <v>0</v>
      </c>
      <c r="T2408" s="183" t="n">
        <v>0</v>
      </c>
      <c r="U2408" s="182" t="n">
        <v>4.42</v>
      </c>
      <c r="V2408" s="182" t="n">
        <v>0</v>
      </c>
      <c r="W2408" s="182" t="n">
        <v>0</v>
      </c>
      <c r="X2408" s="182" t="n">
        <v>1.06</v>
      </c>
      <c r="Y2408" s="182" t="n">
        <v>0</v>
      </c>
      <c r="Z2408" s="182" t="n">
        <v>0</v>
      </c>
      <c r="AA2408" s="182" t="n">
        <v>0</v>
      </c>
      <c r="AB2408" s="182" t="n">
        <v>0</v>
      </c>
      <c r="AC2408" s="182" t="n">
        <v>0</v>
      </c>
      <c r="AD2408" s="182" t="n">
        <v>0</v>
      </c>
      <c r="AE2408" s="182" t="n">
        <v>0</v>
      </c>
      <c r="AF2408" s="182" t="n">
        <v>0</v>
      </c>
      <c r="AG2408" s="182" t="n">
        <v>0</v>
      </c>
      <c r="AH2408" s="182" t="n">
        <v>0.16</v>
      </c>
      <c r="AI2408" s="182" t="n">
        <v>0</v>
      </c>
      <c r="AJ2408" s="182" t="n">
        <v>0</v>
      </c>
      <c r="AK2408" s="182" t="n">
        <v>0</v>
      </c>
      <c r="AL2408" s="182" t="n">
        <v>0</v>
      </c>
      <c r="AM2408" s="182" t="n">
        <v>0.08</v>
      </c>
      <c r="AN2408" s="182" t="n">
        <v>0</v>
      </c>
    </row>
    <row r="2409">
      <c r="A2409" s="155" t="n">
        <v>46092</v>
      </c>
      <c r="B2409" s="156" t="inlineStr">
        <is>
          <t>NS</t>
        </is>
      </c>
      <c r="C2409" s="156" t="inlineStr">
        <is>
          <t>DT-524</t>
        </is>
      </c>
      <c r="D2409" s="156" t="inlineStr">
        <is>
          <t>SKT 105S</t>
        </is>
      </c>
      <c r="E2409" s="156" t="inlineStr">
        <is>
          <t>Hauler</t>
        </is>
      </c>
      <c r="F2409" s="156" t="inlineStr">
        <is>
          <t>Hauling Coal</t>
        </is>
      </c>
      <c r="G2409" s="182" t="n">
        <v>0.73</v>
      </c>
      <c r="H2409" s="182" t="n">
        <v>0</v>
      </c>
      <c r="I2409" s="182" t="n">
        <v>0</v>
      </c>
      <c r="J2409" s="182" t="n">
        <v>0</v>
      </c>
      <c r="K2409" s="182" t="n">
        <v>11.27</v>
      </c>
      <c r="L2409" s="182" t="n">
        <v>12</v>
      </c>
      <c r="M2409" s="182" t="n">
        <v>0</v>
      </c>
      <c r="N2409" s="182" t="n">
        <v>0.73</v>
      </c>
      <c r="O2409" s="183" t="n">
        <v>0</v>
      </c>
      <c r="P2409" s="183" t="n">
        <v>1</v>
      </c>
      <c r="Q2409" s="184" t="n">
        <v>0</v>
      </c>
      <c r="R2409" s="184" t="n">
        <v>18.7</v>
      </c>
      <c r="S2409" s="183" t="n">
        <v>0</v>
      </c>
      <c r="T2409" s="183" t="n">
        <v>0</v>
      </c>
      <c r="U2409" s="182" t="n">
        <v>4.2</v>
      </c>
      <c r="V2409" s="182" t="n">
        <v>0</v>
      </c>
      <c r="W2409" s="182" t="n">
        <v>0</v>
      </c>
      <c r="X2409" s="182" t="n">
        <v>1.01</v>
      </c>
      <c r="Y2409" s="182" t="n">
        <v>0</v>
      </c>
      <c r="Z2409" s="182" t="n">
        <v>0</v>
      </c>
      <c r="AA2409" s="182" t="n">
        <v>0</v>
      </c>
      <c r="AB2409" s="182" t="n">
        <v>0</v>
      </c>
      <c r="AC2409" s="182" t="n">
        <v>0</v>
      </c>
      <c r="AD2409" s="182" t="n">
        <v>0</v>
      </c>
      <c r="AE2409" s="182" t="n">
        <v>0</v>
      </c>
      <c r="AF2409" s="182" t="n">
        <v>0</v>
      </c>
      <c r="AG2409" s="182" t="n">
        <v>0</v>
      </c>
      <c r="AH2409" s="182" t="n">
        <v>0</v>
      </c>
      <c r="AI2409" s="182" t="n">
        <v>0</v>
      </c>
      <c r="AJ2409" s="182" t="n">
        <v>0</v>
      </c>
      <c r="AK2409" s="182" t="n">
        <v>5.99</v>
      </c>
      <c r="AL2409" s="182" t="n">
        <v>0</v>
      </c>
      <c r="AM2409" s="182" t="n">
        <v>0.08</v>
      </c>
      <c r="AN2409" s="182" t="n">
        <v>0</v>
      </c>
    </row>
    <row r="2410">
      <c r="A2410" s="155" t="n">
        <v>46092</v>
      </c>
      <c r="B2410" s="156" t="inlineStr">
        <is>
          <t>NS</t>
        </is>
      </c>
      <c r="C2410" s="156" t="inlineStr">
        <is>
          <t>DT-341</t>
        </is>
      </c>
      <c r="D2410" s="156" t="inlineStr">
        <is>
          <t>SYZ324C-8W</t>
        </is>
      </c>
      <c r="E2410" s="156" t="inlineStr">
        <is>
          <t>Hauler</t>
        </is>
      </c>
      <c r="F2410" s="156" t="inlineStr"/>
      <c r="G2410" s="182" t="n">
        <v>0</v>
      </c>
      <c r="H2410" s="182" t="n">
        <v>0</v>
      </c>
      <c r="I2410" s="182" t="n">
        <v>0</v>
      </c>
      <c r="J2410" s="182" t="n">
        <v>0</v>
      </c>
      <c r="K2410" s="182" t="n">
        <v>12</v>
      </c>
      <c r="L2410" s="182" t="n">
        <v>12</v>
      </c>
      <c r="M2410" s="182" t="n">
        <v>0</v>
      </c>
      <c r="N2410" s="182" t="n">
        <v>0</v>
      </c>
      <c r="O2410" s="183" t="n">
        <v>0</v>
      </c>
      <c r="P2410" s="183" t="n">
        <v>0</v>
      </c>
      <c r="Q2410" s="184" t="n">
        <v>0</v>
      </c>
      <c r="R2410" s="184" t="n">
        <v>0</v>
      </c>
      <c r="S2410" s="183" t="n">
        <v>0</v>
      </c>
      <c r="T2410" s="183" t="n">
        <v>0</v>
      </c>
      <c r="U2410" s="182" t="n">
        <v>0</v>
      </c>
      <c r="V2410" s="182" t="n">
        <v>0</v>
      </c>
      <c r="W2410" s="182" t="n">
        <v>0</v>
      </c>
      <c r="X2410" s="182" t="n">
        <v>1</v>
      </c>
      <c r="Y2410" s="182" t="n">
        <v>0</v>
      </c>
      <c r="Z2410" s="182" t="n">
        <v>0</v>
      </c>
      <c r="AA2410" s="182" t="n">
        <v>0</v>
      </c>
      <c r="AB2410" s="182" t="n">
        <v>0</v>
      </c>
      <c r="AC2410" s="182" t="n">
        <v>0</v>
      </c>
      <c r="AD2410" s="182" t="n">
        <v>0</v>
      </c>
      <c r="AE2410" s="182" t="n">
        <v>0</v>
      </c>
      <c r="AF2410" s="182" t="n">
        <v>0</v>
      </c>
      <c r="AG2410" s="182" t="n">
        <v>0</v>
      </c>
      <c r="AH2410" s="182" t="n">
        <v>0</v>
      </c>
      <c r="AI2410" s="182" t="n">
        <v>0</v>
      </c>
      <c r="AJ2410" s="182" t="n">
        <v>0</v>
      </c>
      <c r="AK2410" s="182" t="n">
        <v>10.92</v>
      </c>
      <c r="AL2410" s="182" t="n">
        <v>0</v>
      </c>
      <c r="AM2410" s="182" t="n">
        <v>0.08</v>
      </c>
      <c r="AN2410" s="182" t="n">
        <v>0</v>
      </c>
    </row>
    <row r="2411">
      <c r="A2411" s="155" t="n">
        <v>46092</v>
      </c>
      <c r="B2411" s="156" t="inlineStr">
        <is>
          <t>NS</t>
        </is>
      </c>
      <c r="C2411" s="156" t="inlineStr">
        <is>
          <t>DT-342</t>
        </is>
      </c>
      <c r="D2411" s="156" t="inlineStr">
        <is>
          <t>SYZ324C-8W</t>
        </is>
      </c>
      <c r="E2411" s="156" t="inlineStr">
        <is>
          <t>Hauler</t>
        </is>
      </c>
      <c r="F2411" s="156" t="inlineStr"/>
      <c r="G2411" s="182" t="n">
        <v>0</v>
      </c>
      <c r="H2411" s="182" t="n">
        <v>0</v>
      </c>
      <c r="I2411" s="182" t="n">
        <v>0</v>
      </c>
      <c r="J2411" s="182" t="n">
        <v>0</v>
      </c>
      <c r="K2411" s="182" t="n">
        <v>12</v>
      </c>
      <c r="L2411" s="182" t="n">
        <v>12</v>
      </c>
      <c r="M2411" s="182" t="n">
        <v>0</v>
      </c>
      <c r="N2411" s="182" t="n">
        <v>0</v>
      </c>
      <c r="O2411" s="183" t="n">
        <v>0</v>
      </c>
      <c r="P2411" s="183" t="n">
        <v>0</v>
      </c>
      <c r="Q2411" s="184" t="n">
        <v>0</v>
      </c>
      <c r="R2411" s="184" t="n">
        <v>0</v>
      </c>
      <c r="S2411" s="183" t="n">
        <v>0</v>
      </c>
      <c r="T2411" s="183" t="n">
        <v>0</v>
      </c>
      <c r="U2411" s="182" t="n">
        <v>0</v>
      </c>
      <c r="V2411" s="182" t="n">
        <v>0</v>
      </c>
      <c r="W2411" s="182" t="n">
        <v>0</v>
      </c>
      <c r="X2411" s="182" t="n">
        <v>1</v>
      </c>
      <c r="Y2411" s="182" t="n">
        <v>0</v>
      </c>
      <c r="Z2411" s="182" t="n">
        <v>0</v>
      </c>
      <c r="AA2411" s="182" t="n">
        <v>0</v>
      </c>
      <c r="AB2411" s="182" t="n">
        <v>0</v>
      </c>
      <c r="AC2411" s="182" t="n">
        <v>0</v>
      </c>
      <c r="AD2411" s="182" t="n">
        <v>0</v>
      </c>
      <c r="AE2411" s="182" t="n">
        <v>0</v>
      </c>
      <c r="AF2411" s="182" t="n">
        <v>0</v>
      </c>
      <c r="AG2411" s="182" t="n">
        <v>0</v>
      </c>
      <c r="AH2411" s="182" t="n">
        <v>0</v>
      </c>
      <c r="AI2411" s="182" t="n">
        <v>0</v>
      </c>
      <c r="AJ2411" s="182" t="n">
        <v>0</v>
      </c>
      <c r="AK2411" s="182" t="n">
        <v>10.92</v>
      </c>
      <c r="AL2411" s="182" t="n">
        <v>0</v>
      </c>
      <c r="AM2411" s="182" t="n">
        <v>0.08</v>
      </c>
      <c r="AN2411" s="182" t="n">
        <v>0</v>
      </c>
    </row>
    <row r="2412">
      <c r="A2412" s="155" t="n">
        <v>46092</v>
      </c>
      <c r="B2412" s="156" t="inlineStr">
        <is>
          <t>NS</t>
        </is>
      </c>
      <c r="C2412" s="156" t="inlineStr">
        <is>
          <t>HD-903</t>
        </is>
      </c>
      <c r="D2412" s="156" t="inlineStr">
        <is>
          <t>SRT 95C</t>
        </is>
      </c>
      <c r="E2412" s="156" t="inlineStr">
        <is>
          <t>Hauler</t>
        </is>
      </c>
      <c r="F2412" s="156" t="inlineStr"/>
      <c r="G2412" s="182" t="n">
        <v>0</v>
      </c>
      <c r="H2412" s="182" t="n">
        <v>0</v>
      </c>
      <c r="I2412" s="182" t="n">
        <v>12</v>
      </c>
      <c r="J2412" s="182" t="n">
        <v>12</v>
      </c>
      <c r="K2412" s="182" t="n">
        <v>0</v>
      </c>
      <c r="L2412" s="182" t="n">
        <v>12</v>
      </c>
      <c r="M2412" s="182" t="n">
        <v>0</v>
      </c>
      <c r="N2412" s="182" t="n">
        <v>0</v>
      </c>
      <c r="O2412" s="183" t="n">
        <v>0</v>
      </c>
      <c r="P2412" s="183" t="n">
        <v>0</v>
      </c>
      <c r="Q2412" s="184" t="n">
        <v>0</v>
      </c>
      <c r="R2412" s="184" t="n">
        <v>0</v>
      </c>
      <c r="S2412" s="183" t="n">
        <v>0</v>
      </c>
      <c r="T2412" s="183" t="n">
        <v>0</v>
      </c>
      <c r="U2412" s="182" t="n">
        <v>0</v>
      </c>
      <c r="V2412" s="182" t="n">
        <v>0</v>
      </c>
      <c r="W2412" s="182" t="n">
        <v>0</v>
      </c>
      <c r="X2412" s="182" t="n">
        <v>0</v>
      </c>
      <c r="Y2412" s="182" t="n">
        <v>0</v>
      </c>
      <c r="Z2412" s="182" t="n">
        <v>0</v>
      </c>
      <c r="AA2412" s="182" t="n">
        <v>0</v>
      </c>
      <c r="AB2412" s="182" t="n">
        <v>0</v>
      </c>
      <c r="AC2412" s="182" t="n">
        <v>0</v>
      </c>
      <c r="AD2412" s="182" t="n">
        <v>0</v>
      </c>
      <c r="AE2412" s="182" t="n">
        <v>0</v>
      </c>
      <c r="AF2412" s="182" t="n">
        <v>0</v>
      </c>
      <c r="AG2412" s="182" t="n">
        <v>0</v>
      </c>
      <c r="AH2412" s="182" t="n">
        <v>0</v>
      </c>
      <c r="AI2412" s="182" t="n">
        <v>0</v>
      </c>
      <c r="AJ2412" s="182" t="n">
        <v>0</v>
      </c>
      <c r="AK2412" s="182" t="n">
        <v>0</v>
      </c>
      <c r="AL2412" s="182" t="n">
        <v>0</v>
      </c>
      <c r="AM2412" s="182" t="n">
        <v>0</v>
      </c>
      <c r="AN2412" s="182" t="n">
        <v>0</v>
      </c>
    </row>
    <row r="2413">
      <c r="A2413" s="155" t="n">
        <v>46092</v>
      </c>
      <c r="B2413" s="156" t="inlineStr">
        <is>
          <t>NS</t>
        </is>
      </c>
      <c r="C2413" s="156" t="inlineStr">
        <is>
          <t>HD-905</t>
        </is>
      </c>
      <c r="D2413" s="156" t="inlineStr">
        <is>
          <t>SRT 95C</t>
        </is>
      </c>
      <c r="E2413" s="156" t="inlineStr">
        <is>
          <t>Hauler</t>
        </is>
      </c>
      <c r="F2413" s="156" t="inlineStr">
        <is>
          <t>Hauling OB</t>
        </is>
      </c>
      <c r="G2413" s="182" t="n">
        <v>6.37</v>
      </c>
      <c r="H2413" s="182" t="n">
        <v>0</v>
      </c>
      <c r="I2413" s="182" t="n">
        <v>0</v>
      </c>
      <c r="J2413" s="182" t="n">
        <v>0</v>
      </c>
      <c r="K2413" s="182" t="n">
        <v>5.63</v>
      </c>
      <c r="L2413" s="182" t="n">
        <v>12</v>
      </c>
      <c r="M2413" s="182" t="n">
        <v>6.37</v>
      </c>
      <c r="N2413" s="182" t="n">
        <v>0</v>
      </c>
      <c r="O2413" s="183" t="n">
        <v>22</v>
      </c>
      <c r="P2413" s="183" t="n">
        <v>0</v>
      </c>
      <c r="Q2413" s="184" t="n">
        <v>628.4</v>
      </c>
      <c r="R2413" s="184" t="n">
        <v>0</v>
      </c>
      <c r="S2413" s="183" t="n">
        <v>0</v>
      </c>
      <c r="T2413" s="183" t="n">
        <v>0</v>
      </c>
      <c r="U2413" s="182" t="n">
        <v>4.12</v>
      </c>
      <c r="V2413" s="182" t="n">
        <v>0</v>
      </c>
      <c r="W2413" s="182" t="n">
        <v>0.25</v>
      </c>
      <c r="X2413" s="182" t="n">
        <v>0.99</v>
      </c>
      <c r="Y2413" s="182" t="n">
        <v>0</v>
      </c>
      <c r="Z2413" s="182" t="n">
        <v>0.1</v>
      </c>
      <c r="AA2413" s="182" t="n">
        <v>0</v>
      </c>
      <c r="AB2413" s="182" t="n">
        <v>0</v>
      </c>
      <c r="AC2413" s="182" t="n">
        <v>0</v>
      </c>
      <c r="AD2413" s="182" t="n">
        <v>0</v>
      </c>
      <c r="AE2413" s="182" t="n">
        <v>0</v>
      </c>
      <c r="AF2413" s="182" t="n">
        <v>0</v>
      </c>
      <c r="AG2413" s="182" t="n">
        <v>0</v>
      </c>
      <c r="AH2413" s="182" t="n">
        <v>0.1</v>
      </c>
      <c r="AI2413" s="182" t="n">
        <v>0</v>
      </c>
      <c r="AJ2413" s="182" t="n">
        <v>0</v>
      </c>
      <c r="AK2413" s="182" t="n">
        <v>0</v>
      </c>
      <c r="AL2413" s="182" t="n">
        <v>0</v>
      </c>
      <c r="AM2413" s="182" t="n">
        <v>0.08</v>
      </c>
      <c r="AN2413" s="182" t="n">
        <v>0</v>
      </c>
    </row>
    <row r="2414">
      <c r="A2414" s="155" t="n">
        <v>46092</v>
      </c>
      <c r="B2414" s="156" t="inlineStr">
        <is>
          <t>NS</t>
        </is>
      </c>
      <c r="C2414" s="156" t="inlineStr">
        <is>
          <t>HD-901</t>
        </is>
      </c>
      <c r="D2414" s="156" t="inlineStr">
        <is>
          <t>SRT 95C</t>
        </is>
      </c>
      <c r="E2414" s="156" t="inlineStr">
        <is>
          <t>Hauler</t>
        </is>
      </c>
      <c r="F2414" s="156" t="inlineStr">
        <is>
          <t>Hauling OB</t>
        </is>
      </c>
      <c r="G2414" s="182" t="n">
        <v>5.8</v>
      </c>
      <c r="H2414" s="182" t="n">
        <v>0</v>
      </c>
      <c r="I2414" s="182" t="n">
        <v>0</v>
      </c>
      <c r="J2414" s="182" t="n">
        <v>0</v>
      </c>
      <c r="K2414" s="182" t="n">
        <v>6.2</v>
      </c>
      <c r="L2414" s="182" t="n">
        <v>12</v>
      </c>
      <c r="M2414" s="182" t="n">
        <v>5.48</v>
      </c>
      <c r="N2414" s="182" t="n">
        <v>0</v>
      </c>
      <c r="O2414" s="183" t="n">
        <v>26</v>
      </c>
      <c r="P2414" s="183" t="n">
        <v>0</v>
      </c>
      <c r="Q2414" s="184" t="n">
        <v>742.6</v>
      </c>
      <c r="R2414" s="184" t="n">
        <v>0</v>
      </c>
      <c r="S2414" s="183" t="n">
        <v>0</v>
      </c>
      <c r="T2414" s="183" t="n">
        <v>0</v>
      </c>
      <c r="U2414" s="182" t="n">
        <v>4.54</v>
      </c>
      <c r="V2414" s="182" t="n">
        <v>0</v>
      </c>
      <c r="W2414" s="182" t="n">
        <v>0.27</v>
      </c>
      <c r="X2414" s="182" t="n">
        <v>1.09</v>
      </c>
      <c r="Y2414" s="182" t="n">
        <v>0</v>
      </c>
      <c r="Z2414" s="182" t="n">
        <v>0.11</v>
      </c>
      <c r="AA2414" s="182" t="n">
        <v>0</v>
      </c>
      <c r="AB2414" s="182" t="n">
        <v>0</v>
      </c>
      <c r="AC2414" s="182" t="n">
        <v>0</v>
      </c>
      <c r="AD2414" s="182" t="n">
        <v>0</v>
      </c>
      <c r="AE2414" s="182" t="n">
        <v>0</v>
      </c>
      <c r="AF2414" s="182" t="n">
        <v>0</v>
      </c>
      <c r="AG2414" s="182" t="n">
        <v>0</v>
      </c>
      <c r="AH2414" s="182" t="n">
        <v>0.11</v>
      </c>
      <c r="AI2414" s="182" t="n">
        <v>0</v>
      </c>
      <c r="AJ2414" s="182" t="n">
        <v>0</v>
      </c>
      <c r="AK2414" s="182" t="n">
        <v>0</v>
      </c>
      <c r="AL2414" s="182" t="n">
        <v>0</v>
      </c>
      <c r="AM2414" s="182" t="n">
        <v>0.09</v>
      </c>
      <c r="AN2414" s="182" t="n">
        <v>0</v>
      </c>
    </row>
    <row r="2415">
      <c r="A2415" s="155" t="n">
        <v>46092</v>
      </c>
      <c r="B2415" s="156" t="inlineStr">
        <is>
          <t>NS</t>
        </is>
      </c>
      <c r="C2415" s="156" t="inlineStr">
        <is>
          <t>HD-904</t>
        </is>
      </c>
      <c r="D2415" s="156" t="inlineStr">
        <is>
          <t>SRT 95C</t>
        </is>
      </c>
      <c r="E2415" s="156" t="inlineStr">
        <is>
          <t>Hauler</t>
        </is>
      </c>
      <c r="F2415" s="156" t="inlineStr">
        <is>
          <t>Hauling OB</t>
        </is>
      </c>
      <c r="G2415" s="182" t="n">
        <v>5.64</v>
      </c>
      <c r="H2415" s="182" t="n">
        <v>0</v>
      </c>
      <c r="I2415" s="182" t="n">
        <v>0</v>
      </c>
      <c r="J2415" s="182" t="n">
        <v>0</v>
      </c>
      <c r="K2415" s="182" t="n">
        <v>6.36</v>
      </c>
      <c r="L2415" s="182" t="n">
        <v>12</v>
      </c>
      <c r="M2415" s="182" t="n">
        <v>5.64</v>
      </c>
      <c r="N2415" s="182" t="n">
        <v>0</v>
      </c>
      <c r="O2415" s="183" t="n">
        <v>25</v>
      </c>
      <c r="P2415" s="183" t="n">
        <v>0</v>
      </c>
      <c r="Q2415" s="184" t="n">
        <v>714</v>
      </c>
      <c r="R2415" s="184" t="n">
        <v>0</v>
      </c>
      <c r="S2415" s="183" t="n">
        <v>0</v>
      </c>
      <c r="T2415" s="183" t="n">
        <v>0</v>
      </c>
      <c r="U2415" s="182" t="n">
        <v>4.5</v>
      </c>
      <c r="V2415" s="182" t="n">
        <v>0</v>
      </c>
      <c r="W2415" s="182" t="n">
        <v>0.27</v>
      </c>
      <c r="X2415" s="182" t="n">
        <v>1.08</v>
      </c>
      <c r="Y2415" s="182" t="n">
        <v>0</v>
      </c>
      <c r="Z2415" s="182" t="n">
        <v>0.11</v>
      </c>
      <c r="AA2415" s="182" t="n">
        <v>0</v>
      </c>
      <c r="AB2415" s="182" t="n">
        <v>0</v>
      </c>
      <c r="AC2415" s="182" t="n">
        <v>0</v>
      </c>
      <c r="AD2415" s="182" t="n">
        <v>0</v>
      </c>
      <c r="AE2415" s="182" t="n">
        <v>0</v>
      </c>
      <c r="AF2415" s="182" t="n">
        <v>0</v>
      </c>
      <c r="AG2415" s="182" t="n">
        <v>0</v>
      </c>
      <c r="AH2415" s="182" t="n">
        <v>0.32</v>
      </c>
      <c r="AI2415" s="182" t="n">
        <v>0</v>
      </c>
      <c r="AJ2415" s="182" t="n">
        <v>0</v>
      </c>
      <c r="AK2415" s="182" t="n">
        <v>0</v>
      </c>
      <c r="AL2415" s="182" t="n">
        <v>0</v>
      </c>
      <c r="AM2415" s="182" t="n">
        <v>0.09</v>
      </c>
      <c r="AN2415" s="182" t="n">
        <v>0</v>
      </c>
    </row>
    <row r="2416">
      <c r="A2416" s="155" t="n">
        <v>46092</v>
      </c>
      <c r="B2416" s="156" t="inlineStr">
        <is>
          <t>NS</t>
        </is>
      </c>
      <c r="C2416" s="156" t="inlineStr">
        <is>
          <t>HD-902</t>
        </is>
      </c>
      <c r="D2416" s="156" t="inlineStr">
        <is>
          <t>SRT 95C</t>
        </is>
      </c>
      <c r="E2416" s="156" t="inlineStr">
        <is>
          <t>Hauler</t>
        </is>
      </c>
      <c r="F2416" s="156" t="inlineStr"/>
      <c r="G2416" s="182" t="n">
        <v>0</v>
      </c>
      <c r="H2416" s="182" t="n">
        <v>0</v>
      </c>
      <c r="I2416" s="182" t="n">
        <v>0</v>
      </c>
      <c r="J2416" s="182" t="n">
        <v>0</v>
      </c>
      <c r="K2416" s="182" t="n">
        <v>12</v>
      </c>
      <c r="L2416" s="182" t="n">
        <v>12</v>
      </c>
      <c r="M2416" s="182" t="n">
        <v>0</v>
      </c>
      <c r="N2416" s="182" t="n">
        <v>0</v>
      </c>
      <c r="O2416" s="183" t="n">
        <v>0</v>
      </c>
      <c r="P2416" s="183" t="n">
        <v>0</v>
      </c>
      <c r="Q2416" s="184" t="n">
        <v>0</v>
      </c>
      <c r="R2416" s="184" t="n">
        <v>0</v>
      </c>
      <c r="S2416" s="183" t="n">
        <v>0</v>
      </c>
      <c r="T2416" s="183" t="n">
        <v>0</v>
      </c>
      <c r="U2416" s="182" t="n">
        <v>4.17</v>
      </c>
      <c r="V2416" s="182" t="n">
        <v>0</v>
      </c>
      <c r="W2416" s="182" t="n">
        <v>0</v>
      </c>
      <c r="X2416" s="182" t="n">
        <v>1</v>
      </c>
      <c r="Y2416" s="182" t="n">
        <v>0</v>
      </c>
      <c r="Z2416" s="182" t="n">
        <v>0</v>
      </c>
      <c r="AA2416" s="182" t="n">
        <v>0</v>
      </c>
      <c r="AB2416" s="182" t="n">
        <v>0</v>
      </c>
      <c r="AC2416" s="182" t="n">
        <v>0</v>
      </c>
      <c r="AD2416" s="182" t="n">
        <v>0</v>
      </c>
      <c r="AE2416" s="182" t="n">
        <v>0</v>
      </c>
      <c r="AF2416" s="182" t="n">
        <v>0</v>
      </c>
      <c r="AG2416" s="182" t="n">
        <v>0</v>
      </c>
      <c r="AH2416" s="182" t="n">
        <v>0</v>
      </c>
      <c r="AI2416" s="182" t="n">
        <v>6.75</v>
      </c>
      <c r="AJ2416" s="182" t="n">
        <v>0</v>
      </c>
      <c r="AK2416" s="182" t="n">
        <v>0</v>
      </c>
      <c r="AL2416" s="182" t="n">
        <v>0</v>
      </c>
      <c r="AM2416" s="182" t="n">
        <v>0.08</v>
      </c>
      <c r="AN2416" s="182" t="n">
        <v>0</v>
      </c>
    </row>
    <row r="2417">
      <c r="A2417" s="155" t="n">
        <v>46092</v>
      </c>
      <c r="B2417" s="156" t="inlineStr">
        <is>
          <t>NS</t>
        </is>
      </c>
      <c r="C2417" s="156" t="inlineStr">
        <is>
          <t>WL-025</t>
        </is>
      </c>
      <c r="D2417" s="156" t="inlineStr">
        <is>
          <t>SANY - Loader</t>
        </is>
      </c>
      <c r="E2417" s="156" t="inlineStr">
        <is>
          <t>Loader</t>
        </is>
      </c>
      <c r="F2417" s="156" t="inlineStr"/>
      <c r="G2417" s="182" t="n">
        <v>0</v>
      </c>
      <c r="H2417" s="182" t="n">
        <v>0</v>
      </c>
      <c r="I2417" s="182" t="n">
        <v>0</v>
      </c>
      <c r="J2417" s="182" t="n">
        <v>0</v>
      </c>
      <c r="K2417" s="182" t="n">
        <v>12</v>
      </c>
      <c r="L2417" s="182" t="n">
        <v>12</v>
      </c>
      <c r="M2417" s="182" t="n">
        <v>0</v>
      </c>
      <c r="N2417" s="182" t="n">
        <v>0</v>
      </c>
      <c r="O2417" s="183" t="n">
        <v>0</v>
      </c>
      <c r="P2417" s="183" t="n">
        <v>0</v>
      </c>
      <c r="Q2417" s="184" t="n">
        <v>0</v>
      </c>
      <c r="R2417" s="184" t="n">
        <v>0</v>
      </c>
      <c r="S2417" s="183" t="n">
        <v>0</v>
      </c>
      <c r="T2417" s="183" t="n">
        <v>0</v>
      </c>
      <c r="U2417" s="182" t="n">
        <v>0</v>
      </c>
      <c r="V2417" s="182" t="n">
        <v>0</v>
      </c>
      <c r="W2417" s="182" t="n">
        <v>0</v>
      </c>
      <c r="X2417" s="182" t="n">
        <v>1</v>
      </c>
      <c r="Y2417" s="182" t="n">
        <v>0</v>
      </c>
      <c r="Z2417" s="182" t="n">
        <v>0</v>
      </c>
      <c r="AA2417" s="182" t="n">
        <v>0</v>
      </c>
      <c r="AB2417" s="182" t="n">
        <v>0</v>
      </c>
      <c r="AC2417" s="182" t="n">
        <v>0</v>
      </c>
      <c r="AD2417" s="182" t="n">
        <v>0</v>
      </c>
      <c r="AE2417" s="182" t="n">
        <v>0</v>
      </c>
      <c r="AF2417" s="182" t="n">
        <v>0</v>
      </c>
      <c r="AG2417" s="182" t="n">
        <v>0</v>
      </c>
      <c r="AH2417" s="182" t="n">
        <v>0</v>
      </c>
      <c r="AI2417" s="182" t="n">
        <v>0</v>
      </c>
      <c r="AJ2417" s="182" t="n">
        <v>0</v>
      </c>
      <c r="AK2417" s="182" t="n">
        <v>10.92</v>
      </c>
      <c r="AL2417" s="182" t="n">
        <v>0</v>
      </c>
      <c r="AM2417" s="182" t="n">
        <v>0.08</v>
      </c>
      <c r="AN2417" s="182" t="n">
        <v>0</v>
      </c>
    </row>
    <row r="2418">
      <c r="A2418" s="155" t="n">
        <v>46092</v>
      </c>
      <c r="B2418" s="156" t="inlineStr">
        <is>
          <t>NS</t>
        </is>
      </c>
      <c r="C2418" s="156" t="inlineStr">
        <is>
          <t>WL-023</t>
        </is>
      </c>
      <c r="D2418" s="156" t="inlineStr">
        <is>
          <t>SANY - Loader</t>
        </is>
      </c>
      <c r="E2418" s="156" t="inlineStr">
        <is>
          <t>Loader</t>
        </is>
      </c>
      <c r="F2418" s="156" t="inlineStr"/>
      <c r="G2418" s="182" t="n">
        <v>0</v>
      </c>
      <c r="H2418" s="182" t="n">
        <v>0</v>
      </c>
      <c r="I2418" s="182" t="n">
        <v>0</v>
      </c>
      <c r="J2418" s="182" t="n">
        <v>0</v>
      </c>
      <c r="K2418" s="182" t="n">
        <v>12</v>
      </c>
      <c r="L2418" s="182" t="n">
        <v>12</v>
      </c>
      <c r="M2418" s="182" t="n">
        <v>0</v>
      </c>
      <c r="N2418" s="182" t="n">
        <v>0</v>
      </c>
      <c r="O2418" s="183" t="n">
        <v>0</v>
      </c>
      <c r="P2418" s="183" t="n">
        <v>0</v>
      </c>
      <c r="Q2418" s="184" t="n">
        <v>0</v>
      </c>
      <c r="R2418" s="184" t="n">
        <v>0</v>
      </c>
      <c r="S2418" s="183" t="n">
        <v>0</v>
      </c>
      <c r="T2418" s="183" t="n">
        <v>0</v>
      </c>
      <c r="U2418" s="182" t="n">
        <v>0</v>
      </c>
      <c r="V2418" s="182" t="n">
        <v>0</v>
      </c>
      <c r="W2418" s="182" t="n">
        <v>0</v>
      </c>
      <c r="X2418" s="182" t="n">
        <v>1</v>
      </c>
      <c r="Y2418" s="182" t="n">
        <v>0</v>
      </c>
      <c r="Z2418" s="182" t="n">
        <v>0</v>
      </c>
      <c r="AA2418" s="182" t="n">
        <v>0</v>
      </c>
      <c r="AB2418" s="182" t="n">
        <v>0</v>
      </c>
      <c r="AC2418" s="182" t="n">
        <v>0</v>
      </c>
      <c r="AD2418" s="182" t="n">
        <v>0</v>
      </c>
      <c r="AE2418" s="182" t="n">
        <v>0</v>
      </c>
      <c r="AF2418" s="182" t="n">
        <v>0</v>
      </c>
      <c r="AG2418" s="182" t="n">
        <v>0</v>
      </c>
      <c r="AH2418" s="182" t="n">
        <v>0</v>
      </c>
      <c r="AI2418" s="182" t="n">
        <v>0</v>
      </c>
      <c r="AJ2418" s="182" t="n">
        <v>0</v>
      </c>
      <c r="AK2418" s="182" t="n">
        <v>10.92</v>
      </c>
      <c r="AL2418" s="182" t="n">
        <v>0</v>
      </c>
      <c r="AM2418" s="182" t="n">
        <v>0.08</v>
      </c>
      <c r="AN2418" s="182" t="n">
        <v>0</v>
      </c>
    </row>
    <row r="2419">
      <c r="A2419" s="155" t="n">
        <v>46092</v>
      </c>
      <c r="B2419" s="156" t="inlineStr">
        <is>
          <t>NS</t>
        </is>
      </c>
      <c r="C2419" s="156" t="inlineStr">
        <is>
          <t>WL-021</t>
        </is>
      </c>
      <c r="D2419" s="156" t="inlineStr">
        <is>
          <t>SANY - Loader</t>
        </is>
      </c>
      <c r="E2419" s="156" t="inlineStr">
        <is>
          <t>Loader</t>
        </is>
      </c>
      <c r="F2419" s="156" t="inlineStr"/>
      <c r="G2419" s="182" t="n">
        <v>0</v>
      </c>
      <c r="H2419" s="182" t="n">
        <v>0</v>
      </c>
      <c r="I2419" s="182" t="n">
        <v>12</v>
      </c>
      <c r="J2419" s="182" t="n">
        <v>12</v>
      </c>
      <c r="K2419" s="182" t="n">
        <v>0</v>
      </c>
      <c r="L2419" s="182" t="n">
        <v>12</v>
      </c>
      <c r="M2419" s="182" t="n">
        <v>0</v>
      </c>
      <c r="N2419" s="182" t="n">
        <v>0</v>
      </c>
      <c r="O2419" s="183" t="n">
        <v>0</v>
      </c>
      <c r="P2419" s="183" t="n">
        <v>0</v>
      </c>
      <c r="Q2419" s="184" t="n">
        <v>0</v>
      </c>
      <c r="R2419" s="184" t="n">
        <v>0</v>
      </c>
      <c r="S2419" s="183" t="n">
        <v>0</v>
      </c>
      <c r="T2419" s="183" t="n">
        <v>0</v>
      </c>
      <c r="U2419" s="182" t="n">
        <v>0</v>
      </c>
      <c r="V2419" s="182" t="n">
        <v>0</v>
      </c>
      <c r="W2419" s="182" t="n">
        <v>0</v>
      </c>
      <c r="X2419" s="182" t="n">
        <v>0</v>
      </c>
      <c r="Y2419" s="182" t="n">
        <v>0</v>
      </c>
      <c r="Z2419" s="182" t="n">
        <v>0</v>
      </c>
      <c r="AA2419" s="182" t="n">
        <v>0</v>
      </c>
      <c r="AB2419" s="182" t="n">
        <v>0</v>
      </c>
      <c r="AC2419" s="182" t="n">
        <v>0</v>
      </c>
      <c r="AD2419" s="182" t="n">
        <v>0</v>
      </c>
      <c r="AE2419" s="182" t="n">
        <v>0</v>
      </c>
      <c r="AF2419" s="182" t="n">
        <v>0</v>
      </c>
      <c r="AG2419" s="182" t="n">
        <v>0</v>
      </c>
      <c r="AH2419" s="182" t="n">
        <v>0</v>
      </c>
      <c r="AI2419" s="182" t="n">
        <v>0</v>
      </c>
      <c r="AJ2419" s="182" t="n">
        <v>0</v>
      </c>
      <c r="AK2419" s="182" t="n">
        <v>0</v>
      </c>
      <c r="AL2419" s="182" t="n">
        <v>0</v>
      </c>
      <c r="AM2419" s="182" t="n">
        <v>0</v>
      </c>
      <c r="AN2419" s="182" t="n">
        <v>0</v>
      </c>
    </row>
    <row r="2420">
      <c r="A2420" s="155" t="n">
        <v>46092</v>
      </c>
      <c r="B2420" s="156" t="inlineStr">
        <is>
          <t>NS</t>
        </is>
      </c>
      <c r="C2420" s="156" t="inlineStr">
        <is>
          <t>WL-022</t>
        </is>
      </c>
      <c r="D2420" s="156" t="inlineStr">
        <is>
          <t>SANY - Loader</t>
        </is>
      </c>
      <c r="E2420" s="156" t="inlineStr">
        <is>
          <t>Loader</t>
        </is>
      </c>
      <c r="F2420" s="156" t="inlineStr">
        <is>
          <t>Trimming Coal di Stock ROM</t>
        </is>
      </c>
      <c r="G2420" s="182" t="n">
        <v>8.75</v>
      </c>
      <c r="H2420" s="182" t="n">
        <v>0</v>
      </c>
      <c r="I2420" s="182" t="n">
        <v>0</v>
      </c>
      <c r="J2420" s="182" t="n">
        <v>0</v>
      </c>
      <c r="K2420" s="182" t="n">
        <v>3.25</v>
      </c>
      <c r="L2420" s="182" t="n">
        <v>12</v>
      </c>
      <c r="M2420" s="182" t="n">
        <v>0</v>
      </c>
      <c r="N2420" s="182" t="n">
        <v>0</v>
      </c>
      <c r="O2420" s="183" t="n">
        <v>0</v>
      </c>
      <c r="P2420" s="183" t="n">
        <v>0</v>
      </c>
      <c r="Q2420" s="184" t="n">
        <v>0</v>
      </c>
      <c r="R2420" s="184" t="n">
        <v>0</v>
      </c>
      <c r="S2420" s="183" t="n">
        <v>0</v>
      </c>
      <c r="T2420" s="183" t="n">
        <v>0</v>
      </c>
      <c r="U2420" s="182" t="n">
        <v>0</v>
      </c>
      <c r="V2420" s="182" t="n">
        <v>0</v>
      </c>
      <c r="W2420" s="182" t="n">
        <v>0</v>
      </c>
      <c r="X2420" s="182" t="n">
        <v>1.16</v>
      </c>
      <c r="Y2420" s="182" t="n">
        <v>0</v>
      </c>
      <c r="Z2420" s="182" t="n">
        <v>0</v>
      </c>
      <c r="AA2420" s="182" t="n">
        <v>0</v>
      </c>
      <c r="AB2420" s="182" t="n">
        <v>0</v>
      </c>
      <c r="AC2420" s="182" t="n">
        <v>0</v>
      </c>
      <c r="AD2420" s="182" t="n">
        <v>0</v>
      </c>
      <c r="AE2420" s="182" t="n">
        <v>0</v>
      </c>
      <c r="AF2420" s="182" t="n">
        <v>0</v>
      </c>
      <c r="AG2420" s="182" t="n">
        <v>0</v>
      </c>
      <c r="AH2420" s="182" t="n">
        <v>0</v>
      </c>
      <c r="AI2420" s="182" t="n">
        <v>0</v>
      </c>
      <c r="AJ2420" s="182" t="n">
        <v>0</v>
      </c>
      <c r="AK2420" s="182" t="n">
        <v>2</v>
      </c>
      <c r="AL2420" s="182" t="n">
        <v>0</v>
      </c>
      <c r="AM2420" s="182" t="n">
        <v>0.09</v>
      </c>
      <c r="AN2420" s="182" t="n">
        <v>0</v>
      </c>
    </row>
    <row r="2421">
      <c r="A2421" s="155" t="n">
        <v>46092</v>
      </c>
      <c r="B2421" s="156" t="inlineStr">
        <is>
          <t>NS</t>
        </is>
      </c>
      <c r="C2421" s="156" t="inlineStr">
        <is>
          <t>WL-024</t>
        </is>
      </c>
      <c r="D2421" s="156" t="inlineStr">
        <is>
          <t>SANY - Loader</t>
        </is>
      </c>
      <c r="E2421" s="156" t="inlineStr">
        <is>
          <t>Loader</t>
        </is>
      </c>
      <c r="F2421" s="156" t="inlineStr">
        <is>
          <t>Support Washing Plant</t>
        </is>
      </c>
      <c r="G2421" s="182" t="n">
        <v>11.21</v>
      </c>
      <c r="H2421" s="182" t="n">
        <v>0</v>
      </c>
      <c r="I2421" s="182" t="n">
        <v>0.17</v>
      </c>
      <c r="J2421" s="182" t="n">
        <v>0.17</v>
      </c>
      <c r="K2421" s="182" t="n">
        <v>0.62</v>
      </c>
      <c r="L2421" s="182" t="n">
        <v>12</v>
      </c>
      <c r="M2421" s="182" t="n">
        <v>0</v>
      </c>
      <c r="N2421" s="182" t="n">
        <v>0</v>
      </c>
      <c r="O2421" s="183" t="n">
        <v>0</v>
      </c>
      <c r="P2421" s="183" t="n">
        <v>0</v>
      </c>
      <c r="Q2421" s="184" t="n">
        <v>0</v>
      </c>
      <c r="R2421" s="184" t="n">
        <v>0</v>
      </c>
      <c r="S2421" s="183" t="n">
        <v>0</v>
      </c>
      <c r="T2421" s="183" t="n">
        <v>0</v>
      </c>
      <c r="U2421" s="182" t="n">
        <v>0</v>
      </c>
      <c r="V2421" s="182" t="n">
        <v>0</v>
      </c>
      <c r="W2421" s="182" t="n">
        <v>0</v>
      </c>
      <c r="X2421" s="182" t="n">
        <v>0.55</v>
      </c>
      <c r="Y2421" s="182" t="n">
        <v>0</v>
      </c>
      <c r="Z2421" s="182" t="n">
        <v>0</v>
      </c>
      <c r="AA2421" s="182" t="n">
        <v>0</v>
      </c>
      <c r="AB2421" s="182" t="n">
        <v>0</v>
      </c>
      <c r="AC2421" s="182" t="n">
        <v>0</v>
      </c>
      <c r="AD2421" s="182" t="n">
        <v>0</v>
      </c>
      <c r="AE2421" s="182" t="n">
        <v>0</v>
      </c>
      <c r="AF2421" s="182" t="n">
        <v>0</v>
      </c>
      <c r="AG2421" s="182" t="n">
        <v>0</v>
      </c>
      <c r="AH2421" s="182" t="n">
        <v>0</v>
      </c>
      <c r="AI2421" s="182" t="n">
        <v>0</v>
      </c>
      <c r="AJ2421" s="182" t="n">
        <v>0</v>
      </c>
      <c r="AK2421" s="182" t="n">
        <v>0.03</v>
      </c>
      <c r="AL2421" s="182" t="n">
        <v>0</v>
      </c>
      <c r="AM2421" s="182" t="n">
        <v>0.04</v>
      </c>
      <c r="AN2421" s="182" t="n">
        <v>0</v>
      </c>
    </row>
    <row r="2422">
      <c r="A2422" s="155" t="n">
        <v>46093</v>
      </c>
      <c r="B2422" s="156" t="inlineStr">
        <is>
          <t>DS</t>
        </is>
      </c>
      <c r="C2422" s="156" t="inlineStr">
        <is>
          <t>DZ-034</t>
        </is>
      </c>
      <c r="D2422" s="156" t="inlineStr">
        <is>
          <t>D 68ESS-12EO</t>
        </is>
      </c>
      <c r="E2422" s="156" t="inlineStr">
        <is>
          <t>Bulldozer</t>
        </is>
      </c>
      <c r="F2422" s="156" t="inlineStr"/>
      <c r="G2422" s="182" t="n">
        <v>0</v>
      </c>
      <c r="H2422" s="182" t="n">
        <v>0</v>
      </c>
      <c r="I2422" s="182" t="n">
        <v>12</v>
      </c>
      <c r="J2422" s="182" t="n">
        <v>12</v>
      </c>
      <c r="K2422" s="182" t="n">
        <v>0</v>
      </c>
      <c r="L2422" s="182" t="n">
        <v>12</v>
      </c>
      <c r="M2422" s="182" t="n">
        <v>0</v>
      </c>
      <c r="N2422" s="182" t="n">
        <v>0</v>
      </c>
      <c r="O2422" s="183" t="n">
        <v>0</v>
      </c>
      <c r="P2422" s="183" t="n">
        <v>0</v>
      </c>
      <c r="Q2422" s="184" t="n">
        <v>0</v>
      </c>
      <c r="R2422" s="184" t="n">
        <v>0</v>
      </c>
      <c r="S2422" s="183" t="n">
        <v>0</v>
      </c>
      <c r="T2422" s="183" t="n">
        <v>0</v>
      </c>
      <c r="U2422" s="182" t="n">
        <v>0</v>
      </c>
      <c r="V2422" s="182" t="n">
        <v>0</v>
      </c>
      <c r="W2422" s="182" t="n">
        <v>0</v>
      </c>
      <c r="X2422" s="182" t="n">
        <v>0</v>
      </c>
      <c r="Y2422" s="182" t="n">
        <v>0</v>
      </c>
      <c r="Z2422" s="182" t="n">
        <v>0</v>
      </c>
      <c r="AA2422" s="182" t="n">
        <v>0</v>
      </c>
      <c r="AB2422" s="182" t="n">
        <v>0</v>
      </c>
      <c r="AC2422" s="182" t="n">
        <v>0</v>
      </c>
      <c r="AD2422" s="182" t="n">
        <v>0</v>
      </c>
      <c r="AE2422" s="182" t="n">
        <v>0</v>
      </c>
      <c r="AF2422" s="182" t="n">
        <v>0</v>
      </c>
      <c r="AG2422" s="182" t="n">
        <v>0</v>
      </c>
      <c r="AH2422" s="182" t="n">
        <v>0</v>
      </c>
      <c r="AI2422" s="182" t="n">
        <v>0</v>
      </c>
      <c r="AJ2422" s="182" t="n">
        <v>0</v>
      </c>
      <c r="AK2422" s="182" t="n">
        <v>0</v>
      </c>
      <c r="AL2422" s="182" t="n">
        <v>0</v>
      </c>
      <c r="AM2422" s="182" t="n">
        <v>0</v>
      </c>
      <c r="AN2422" s="182" t="n">
        <v>0</v>
      </c>
    </row>
    <row r="2423">
      <c r="A2423" s="155" t="n">
        <v>46093</v>
      </c>
      <c r="B2423" s="156" t="inlineStr">
        <is>
          <t>DS</t>
        </is>
      </c>
      <c r="C2423" s="156" t="inlineStr">
        <is>
          <t>DZ-033</t>
        </is>
      </c>
      <c r="D2423" s="156" t="inlineStr">
        <is>
          <t>D 375A-6R</t>
        </is>
      </c>
      <c r="E2423" s="156" t="inlineStr">
        <is>
          <t>Bulldozer</t>
        </is>
      </c>
      <c r="F2423" s="156" t="inlineStr">
        <is>
          <t>Support Disposal</t>
        </is>
      </c>
      <c r="G2423" s="182" t="n">
        <v>9.130000000000001</v>
      </c>
      <c r="H2423" s="182" t="n">
        <v>0</v>
      </c>
      <c r="I2423" s="182" t="n">
        <v>0.23</v>
      </c>
      <c r="J2423" s="182" t="n">
        <v>0.23</v>
      </c>
      <c r="K2423" s="182" t="n">
        <v>2.64</v>
      </c>
      <c r="L2423" s="182" t="n">
        <v>12</v>
      </c>
      <c r="M2423" s="182" t="n">
        <v>0</v>
      </c>
      <c r="N2423" s="182" t="n">
        <v>0</v>
      </c>
      <c r="O2423" s="183" t="n">
        <v>0</v>
      </c>
      <c r="P2423" s="183" t="n">
        <v>0</v>
      </c>
      <c r="Q2423" s="184" t="n">
        <v>0</v>
      </c>
      <c r="R2423" s="184" t="n">
        <v>0</v>
      </c>
      <c r="S2423" s="183" t="n">
        <v>0</v>
      </c>
      <c r="T2423" s="183" t="n">
        <v>0</v>
      </c>
      <c r="U2423" s="182" t="n">
        <v>0</v>
      </c>
      <c r="V2423" s="182" t="n">
        <v>0</v>
      </c>
      <c r="W2423" s="182" t="n">
        <v>0</v>
      </c>
      <c r="X2423" s="182" t="n">
        <v>0.95</v>
      </c>
      <c r="Y2423" s="182" t="n">
        <v>0</v>
      </c>
      <c r="Z2423" s="182" t="n">
        <v>0</v>
      </c>
      <c r="AA2423" s="182" t="n">
        <v>0</v>
      </c>
      <c r="AB2423" s="182" t="n">
        <v>0</v>
      </c>
      <c r="AC2423" s="182" t="n">
        <v>0</v>
      </c>
      <c r="AD2423" s="182" t="n">
        <v>0</v>
      </c>
      <c r="AE2423" s="182" t="n">
        <v>0</v>
      </c>
      <c r="AF2423" s="182" t="n">
        <v>0</v>
      </c>
      <c r="AG2423" s="182" t="n">
        <v>0</v>
      </c>
      <c r="AH2423" s="182" t="n">
        <v>0</v>
      </c>
      <c r="AI2423" s="182" t="n">
        <v>0</v>
      </c>
      <c r="AJ2423" s="182" t="n">
        <v>0</v>
      </c>
      <c r="AK2423" s="182" t="n">
        <v>1.6</v>
      </c>
      <c r="AL2423" s="182" t="n">
        <v>0</v>
      </c>
      <c r="AM2423" s="182" t="n">
        <v>0.08</v>
      </c>
      <c r="AN2423" s="182" t="n">
        <v>0</v>
      </c>
    </row>
    <row r="2424">
      <c r="A2424" s="155" t="n">
        <v>46093</v>
      </c>
      <c r="B2424" s="156" t="inlineStr">
        <is>
          <t>DS</t>
        </is>
      </c>
      <c r="C2424" s="156" t="inlineStr">
        <is>
          <t>DZ-038</t>
        </is>
      </c>
      <c r="D2424" s="156" t="inlineStr">
        <is>
          <t>D 85 ESS-2</t>
        </is>
      </c>
      <c r="E2424" s="156" t="inlineStr">
        <is>
          <t>Bulldozer</t>
        </is>
      </c>
      <c r="F2424" s="156" t="inlineStr"/>
      <c r="G2424" s="182" t="n">
        <v>0</v>
      </c>
      <c r="H2424" s="182" t="n">
        <v>0</v>
      </c>
      <c r="I2424" s="182" t="n">
        <v>12</v>
      </c>
      <c r="J2424" s="182" t="n">
        <v>12</v>
      </c>
      <c r="K2424" s="182" t="n">
        <v>0</v>
      </c>
      <c r="L2424" s="182" t="n">
        <v>12</v>
      </c>
      <c r="M2424" s="182" t="n">
        <v>0</v>
      </c>
      <c r="N2424" s="182" t="n">
        <v>0</v>
      </c>
      <c r="O2424" s="183" t="n">
        <v>0</v>
      </c>
      <c r="P2424" s="183" t="n">
        <v>0</v>
      </c>
      <c r="Q2424" s="184" t="n">
        <v>0</v>
      </c>
      <c r="R2424" s="184" t="n">
        <v>0</v>
      </c>
      <c r="S2424" s="183" t="n">
        <v>0</v>
      </c>
      <c r="T2424" s="183" t="n">
        <v>0</v>
      </c>
      <c r="U2424" s="182" t="n">
        <v>0</v>
      </c>
      <c r="V2424" s="182" t="n">
        <v>0</v>
      </c>
      <c r="W2424" s="182" t="n">
        <v>0</v>
      </c>
      <c r="X2424" s="182" t="n">
        <v>0</v>
      </c>
      <c r="Y2424" s="182" t="n">
        <v>0</v>
      </c>
      <c r="Z2424" s="182" t="n">
        <v>0</v>
      </c>
      <c r="AA2424" s="182" t="n">
        <v>0</v>
      </c>
      <c r="AB2424" s="182" t="n">
        <v>0</v>
      </c>
      <c r="AC2424" s="182" t="n">
        <v>0</v>
      </c>
      <c r="AD2424" s="182" t="n">
        <v>0</v>
      </c>
      <c r="AE2424" s="182" t="n">
        <v>0</v>
      </c>
      <c r="AF2424" s="182" t="n">
        <v>0</v>
      </c>
      <c r="AG2424" s="182" t="n">
        <v>0</v>
      </c>
      <c r="AH2424" s="182" t="n">
        <v>0</v>
      </c>
      <c r="AI2424" s="182" t="n">
        <v>0</v>
      </c>
      <c r="AJ2424" s="182" t="n">
        <v>0</v>
      </c>
      <c r="AK2424" s="182" t="n">
        <v>0</v>
      </c>
      <c r="AL2424" s="182" t="n">
        <v>0</v>
      </c>
      <c r="AM2424" s="182" t="n">
        <v>0</v>
      </c>
      <c r="AN2424" s="182" t="n">
        <v>0</v>
      </c>
    </row>
    <row r="2425">
      <c r="A2425" s="155" t="n">
        <v>46093</v>
      </c>
      <c r="B2425" s="156" t="inlineStr">
        <is>
          <t>DS</t>
        </is>
      </c>
      <c r="C2425" s="156" t="inlineStr">
        <is>
          <t>DZ-039</t>
        </is>
      </c>
      <c r="D2425" s="156" t="inlineStr">
        <is>
          <t>D 85 ESS-2</t>
        </is>
      </c>
      <c r="E2425" s="156" t="inlineStr">
        <is>
          <t>Bulldozer</t>
        </is>
      </c>
      <c r="F2425" s="156" t="inlineStr">
        <is>
          <t>Support Front Loading</t>
        </is>
      </c>
      <c r="G2425" s="182" t="n">
        <v>10.64</v>
      </c>
      <c r="H2425" s="182" t="n">
        <v>0</v>
      </c>
      <c r="I2425" s="182" t="n">
        <v>0</v>
      </c>
      <c r="J2425" s="182" t="n">
        <v>0</v>
      </c>
      <c r="K2425" s="182" t="n">
        <v>1.36</v>
      </c>
      <c r="L2425" s="182" t="n">
        <v>12</v>
      </c>
      <c r="M2425" s="182" t="n">
        <v>0</v>
      </c>
      <c r="N2425" s="182" t="n">
        <v>0</v>
      </c>
      <c r="O2425" s="183" t="n">
        <v>0</v>
      </c>
      <c r="P2425" s="183" t="n">
        <v>0</v>
      </c>
      <c r="Q2425" s="184" t="n">
        <v>0</v>
      </c>
      <c r="R2425" s="184" t="n">
        <v>0</v>
      </c>
      <c r="S2425" s="183" t="n">
        <v>0</v>
      </c>
      <c r="T2425" s="183" t="n">
        <v>0</v>
      </c>
      <c r="U2425" s="182" t="n">
        <v>0</v>
      </c>
      <c r="V2425" s="182" t="n">
        <v>0</v>
      </c>
      <c r="W2425" s="182" t="n">
        <v>0</v>
      </c>
      <c r="X2425" s="182" t="n">
        <v>1.25</v>
      </c>
      <c r="Y2425" s="182" t="n">
        <v>0</v>
      </c>
      <c r="Z2425" s="182" t="n">
        <v>0</v>
      </c>
      <c r="AA2425" s="182" t="n">
        <v>0</v>
      </c>
      <c r="AB2425" s="182" t="n">
        <v>0</v>
      </c>
      <c r="AC2425" s="182" t="n">
        <v>0</v>
      </c>
      <c r="AD2425" s="182" t="n">
        <v>0</v>
      </c>
      <c r="AE2425" s="182" t="n">
        <v>0</v>
      </c>
      <c r="AF2425" s="182" t="n">
        <v>0</v>
      </c>
      <c r="AG2425" s="182" t="n">
        <v>0</v>
      </c>
      <c r="AH2425" s="182" t="n">
        <v>0</v>
      </c>
      <c r="AI2425" s="182" t="n">
        <v>0</v>
      </c>
      <c r="AJ2425" s="182" t="n">
        <v>0</v>
      </c>
      <c r="AK2425" s="182" t="n">
        <v>0</v>
      </c>
      <c r="AL2425" s="182" t="n">
        <v>0</v>
      </c>
      <c r="AM2425" s="182" t="n">
        <v>0.11</v>
      </c>
      <c r="AN2425" s="182" t="n">
        <v>0</v>
      </c>
    </row>
    <row r="2426">
      <c r="A2426" s="155" t="n">
        <v>46093</v>
      </c>
      <c r="B2426" s="156" t="inlineStr">
        <is>
          <t>DS</t>
        </is>
      </c>
      <c r="C2426" s="156" t="inlineStr">
        <is>
          <t>DZ-032</t>
        </is>
      </c>
      <c r="D2426" s="156" t="inlineStr">
        <is>
          <t>CAT</t>
        </is>
      </c>
      <c r="E2426" s="156" t="inlineStr">
        <is>
          <t>Bulldozer</t>
        </is>
      </c>
      <c r="F2426" s="156" t="inlineStr"/>
      <c r="G2426" s="182" t="n">
        <v>0</v>
      </c>
      <c r="H2426" s="182" t="n">
        <v>0</v>
      </c>
      <c r="I2426" s="182" t="n">
        <v>12</v>
      </c>
      <c r="J2426" s="182" t="n">
        <v>12</v>
      </c>
      <c r="K2426" s="182" t="n">
        <v>0</v>
      </c>
      <c r="L2426" s="182" t="n">
        <v>12</v>
      </c>
      <c r="M2426" s="182" t="n">
        <v>0</v>
      </c>
      <c r="N2426" s="182" t="n">
        <v>0</v>
      </c>
      <c r="O2426" s="183" t="n">
        <v>0</v>
      </c>
      <c r="P2426" s="183" t="n">
        <v>0</v>
      </c>
      <c r="Q2426" s="184" t="n">
        <v>0</v>
      </c>
      <c r="R2426" s="184" t="n">
        <v>0</v>
      </c>
      <c r="S2426" s="183" t="n">
        <v>0</v>
      </c>
      <c r="T2426" s="183" t="n">
        <v>0</v>
      </c>
      <c r="U2426" s="182" t="n">
        <v>0</v>
      </c>
      <c r="V2426" s="182" t="n">
        <v>0</v>
      </c>
      <c r="W2426" s="182" t="n">
        <v>0</v>
      </c>
      <c r="X2426" s="182" t="n">
        <v>0</v>
      </c>
      <c r="Y2426" s="182" t="n">
        <v>0</v>
      </c>
      <c r="Z2426" s="182" t="n">
        <v>0</v>
      </c>
      <c r="AA2426" s="182" t="n">
        <v>0</v>
      </c>
      <c r="AB2426" s="182" t="n">
        <v>0</v>
      </c>
      <c r="AC2426" s="182" t="n">
        <v>0</v>
      </c>
      <c r="AD2426" s="182" t="n">
        <v>0</v>
      </c>
      <c r="AE2426" s="182" t="n">
        <v>0</v>
      </c>
      <c r="AF2426" s="182" t="n">
        <v>0</v>
      </c>
      <c r="AG2426" s="182" t="n">
        <v>0</v>
      </c>
      <c r="AH2426" s="182" t="n">
        <v>0</v>
      </c>
      <c r="AI2426" s="182" t="n">
        <v>0</v>
      </c>
      <c r="AJ2426" s="182" t="n">
        <v>0</v>
      </c>
      <c r="AK2426" s="182" t="n">
        <v>0</v>
      </c>
      <c r="AL2426" s="182" t="n">
        <v>0</v>
      </c>
      <c r="AM2426" s="182" t="n">
        <v>0</v>
      </c>
      <c r="AN2426" s="182" t="n">
        <v>0</v>
      </c>
    </row>
    <row r="2427">
      <c r="A2427" s="155" t="n">
        <v>46093</v>
      </c>
      <c r="B2427" s="156" t="inlineStr">
        <is>
          <t>DS</t>
        </is>
      </c>
      <c r="C2427" s="156" t="inlineStr">
        <is>
          <t>DZ-031</t>
        </is>
      </c>
      <c r="D2427" s="156" t="inlineStr">
        <is>
          <t>CAT</t>
        </is>
      </c>
      <c r="E2427" s="156" t="inlineStr">
        <is>
          <t>Bulldozer</t>
        </is>
      </c>
      <c r="F2427" s="156" t="inlineStr">
        <is>
          <t>Support Front Loading</t>
        </is>
      </c>
      <c r="G2427" s="182" t="n">
        <v>9.699999999999999</v>
      </c>
      <c r="H2427" s="182" t="n">
        <v>0</v>
      </c>
      <c r="I2427" s="182" t="n">
        <v>0</v>
      </c>
      <c r="J2427" s="182" t="n">
        <v>0</v>
      </c>
      <c r="K2427" s="182" t="n">
        <v>2.3</v>
      </c>
      <c r="L2427" s="182" t="n">
        <v>12</v>
      </c>
      <c r="M2427" s="182" t="n">
        <v>0</v>
      </c>
      <c r="N2427" s="182" t="n">
        <v>0</v>
      </c>
      <c r="O2427" s="183" t="n">
        <v>0</v>
      </c>
      <c r="P2427" s="183" t="n">
        <v>0</v>
      </c>
      <c r="Q2427" s="184" t="n">
        <v>0</v>
      </c>
      <c r="R2427" s="184" t="n">
        <v>0</v>
      </c>
      <c r="S2427" s="183" t="n">
        <v>0</v>
      </c>
      <c r="T2427" s="183" t="n">
        <v>0</v>
      </c>
      <c r="U2427" s="182" t="n">
        <v>0</v>
      </c>
      <c r="V2427" s="182" t="n">
        <v>0</v>
      </c>
      <c r="W2427" s="182" t="n">
        <v>0</v>
      </c>
      <c r="X2427" s="182" t="n">
        <v>0.85</v>
      </c>
      <c r="Y2427" s="182" t="n">
        <v>0</v>
      </c>
      <c r="Z2427" s="182" t="n">
        <v>0</v>
      </c>
      <c r="AA2427" s="182" t="n">
        <v>0</v>
      </c>
      <c r="AB2427" s="182" t="n">
        <v>0</v>
      </c>
      <c r="AC2427" s="182" t="n">
        <v>0</v>
      </c>
      <c r="AD2427" s="182" t="n">
        <v>0</v>
      </c>
      <c r="AE2427" s="182" t="n">
        <v>0</v>
      </c>
      <c r="AF2427" s="182" t="n">
        <v>0</v>
      </c>
      <c r="AG2427" s="182" t="n">
        <v>0</v>
      </c>
      <c r="AH2427" s="182" t="n">
        <v>0</v>
      </c>
      <c r="AI2427" s="182" t="n">
        <v>0</v>
      </c>
      <c r="AJ2427" s="182" t="n">
        <v>0</v>
      </c>
      <c r="AK2427" s="182" t="n">
        <v>1.38</v>
      </c>
      <c r="AL2427" s="182" t="n">
        <v>0</v>
      </c>
      <c r="AM2427" s="182" t="n">
        <v>0.07000000000000001</v>
      </c>
      <c r="AN2427" s="182" t="n">
        <v>0</v>
      </c>
    </row>
    <row r="2428">
      <c r="A2428" s="155" t="n">
        <v>46093</v>
      </c>
      <c r="B2428" s="156" t="inlineStr">
        <is>
          <t>DS</t>
        </is>
      </c>
      <c r="C2428" s="156" t="inlineStr">
        <is>
          <t>DZ-037</t>
        </is>
      </c>
      <c r="D2428" s="156" t="inlineStr">
        <is>
          <t>D 85 ESS-2</t>
        </is>
      </c>
      <c r="E2428" s="156" t="inlineStr">
        <is>
          <t>Bulldozer</t>
        </is>
      </c>
      <c r="F2428" s="156" t="inlineStr"/>
      <c r="G2428" s="182" t="n">
        <v>0</v>
      </c>
      <c r="H2428" s="182" t="n">
        <v>0</v>
      </c>
      <c r="I2428" s="182" t="n">
        <v>12</v>
      </c>
      <c r="J2428" s="182" t="n">
        <v>12</v>
      </c>
      <c r="K2428" s="182" t="n">
        <v>0</v>
      </c>
      <c r="L2428" s="182" t="n">
        <v>12</v>
      </c>
      <c r="M2428" s="182" t="n">
        <v>0</v>
      </c>
      <c r="N2428" s="182" t="n">
        <v>0</v>
      </c>
      <c r="O2428" s="183" t="n">
        <v>0</v>
      </c>
      <c r="P2428" s="183" t="n">
        <v>0</v>
      </c>
      <c r="Q2428" s="184" t="n">
        <v>0</v>
      </c>
      <c r="R2428" s="184" t="n">
        <v>0</v>
      </c>
      <c r="S2428" s="183" t="n">
        <v>0</v>
      </c>
      <c r="T2428" s="183" t="n">
        <v>0</v>
      </c>
      <c r="U2428" s="182" t="n">
        <v>0</v>
      </c>
      <c r="V2428" s="182" t="n">
        <v>0</v>
      </c>
      <c r="W2428" s="182" t="n">
        <v>0</v>
      </c>
      <c r="X2428" s="182" t="n">
        <v>0</v>
      </c>
      <c r="Y2428" s="182" t="n">
        <v>0</v>
      </c>
      <c r="Z2428" s="182" t="n">
        <v>0</v>
      </c>
      <c r="AA2428" s="182" t="n">
        <v>0</v>
      </c>
      <c r="AB2428" s="182" t="n">
        <v>0</v>
      </c>
      <c r="AC2428" s="182" t="n">
        <v>0</v>
      </c>
      <c r="AD2428" s="182" t="n">
        <v>0</v>
      </c>
      <c r="AE2428" s="182" t="n">
        <v>0</v>
      </c>
      <c r="AF2428" s="182" t="n">
        <v>0</v>
      </c>
      <c r="AG2428" s="182" t="n">
        <v>0</v>
      </c>
      <c r="AH2428" s="182" t="n">
        <v>0</v>
      </c>
      <c r="AI2428" s="182" t="n">
        <v>0</v>
      </c>
      <c r="AJ2428" s="182" t="n">
        <v>0</v>
      </c>
      <c r="AK2428" s="182" t="n">
        <v>0</v>
      </c>
      <c r="AL2428" s="182" t="n">
        <v>0</v>
      </c>
      <c r="AM2428" s="182" t="n">
        <v>0</v>
      </c>
      <c r="AN2428" s="182" t="n">
        <v>0</v>
      </c>
    </row>
    <row r="2429">
      <c r="A2429" s="155" t="n">
        <v>46093</v>
      </c>
      <c r="B2429" s="156" t="inlineStr">
        <is>
          <t>DS</t>
        </is>
      </c>
      <c r="C2429" s="156" t="inlineStr">
        <is>
          <t>DZ-036</t>
        </is>
      </c>
      <c r="D2429" s="156" t="inlineStr">
        <is>
          <t>D 85 ESS-2</t>
        </is>
      </c>
      <c r="E2429" s="156" t="inlineStr">
        <is>
          <t>Bulldozer</t>
        </is>
      </c>
      <c r="F2429" s="156" t="inlineStr">
        <is>
          <t>Support Jetty</t>
        </is>
      </c>
      <c r="G2429" s="182" t="n">
        <v>3.55</v>
      </c>
      <c r="H2429" s="182" t="n">
        <v>0</v>
      </c>
      <c r="I2429" s="182" t="n">
        <v>0</v>
      </c>
      <c r="J2429" s="182" t="n">
        <v>0</v>
      </c>
      <c r="K2429" s="182" t="n">
        <v>8.449999999999999</v>
      </c>
      <c r="L2429" s="182" t="n">
        <v>12</v>
      </c>
      <c r="M2429" s="182" t="n">
        <v>0</v>
      </c>
      <c r="N2429" s="182" t="n">
        <v>0</v>
      </c>
      <c r="O2429" s="183" t="n">
        <v>0</v>
      </c>
      <c r="P2429" s="183" t="n">
        <v>0</v>
      </c>
      <c r="Q2429" s="184" t="n">
        <v>0</v>
      </c>
      <c r="R2429" s="184" t="n">
        <v>0</v>
      </c>
      <c r="S2429" s="183" t="n">
        <v>0</v>
      </c>
      <c r="T2429" s="183" t="n">
        <v>0</v>
      </c>
      <c r="U2429" s="182" t="n">
        <v>0</v>
      </c>
      <c r="V2429" s="182" t="n">
        <v>0</v>
      </c>
      <c r="W2429" s="182" t="n">
        <v>0</v>
      </c>
      <c r="X2429" s="182" t="n">
        <v>1.03</v>
      </c>
      <c r="Y2429" s="182" t="n">
        <v>0</v>
      </c>
      <c r="Z2429" s="182" t="n">
        <v>0</v>
      </c>
      <c r="AA2429" s="182" t="n">
        <v>0</v>
      </c>
      <c r="AB2429" s="182" t="n">
        <v>0</v>
      </c>
      <c r="AC2429" s="182" t="n">
        <v>0</v>
      </c>
      <c r="AD2429" s="182" t="n">
        <v>0</v>
      </c>
      <c r="AE2429" s="182" t="n">
        <v>0</v>
      </c>
      <c r="AF2429" s="182" t="n">
        <v>0</v>
      </c>
      <c r="AG2429" s="182" t="n">
        <v>0</v>
      </c>
      <c r="AH2429" s="182" t="n">
        <v>0</v>
      </c>
      <c r="AI2429" s="182" t="n">
        <v>0</v>
      </c>
      <c r="AJ2429" s="182" t="n">
        <v>0</v>
      </c>
      <c r="AK2429" s="182" t="n">
        <v>7.34</v>
      </c>
      <c r="AL2429" s="182" t="n">
        <v>0</v>
      </c>
      <c r="AM2429" s="182" t="n">
        <v>0.08</v>
      </c>
      <c r="AN2429" s="182" t="n">
        <v>0</v>
      </c>
    </row>
    <row r="2430">
      <c r="A2430" s="155" t="n">
        <v>46093</v>
      </c>
      <c r="B2430" s="156" t="inlineStr">
        <is>
          <t>DS</t>
        </is>
      </c>
      <c r="C2430" s="156" t="inlineStr">
        <is>
          <t>DZ-035</t>
        </is>
      </c>
      <c r="D2430" s="156" t="inlineStr">
        <is>
          <t>D 85 ESS-2</t>
        </is>
      </c>
      <c r="E2430" s="156" t="inlineStr">
        <is>
          <t>Bulldozer</t>
        </is>
      </c>
      <c r="F2430" s="156" t="inlineStr">
        <is>
          <t>Support Disposal &amp; Support Washing Plant</t>
        </is>
      </c>
      <c r="G2430" s="182" t="n">
        <v>9.09</v>
      </c>
      <c r="H2430" s="182" t="n">
        <v>0</v>
      </c>
      <c r="I2430" s="182" t="n">
        <v>0</v>
      </c>
      <c r="J2430" s="182" t="n">
        <v>0</v>
      </c>
      <c r="K2430" s="182" t="n">
        <v>2.91</v>
      </c>
      <c r="L2430" s="182" t="n">
        <v>12</v>
      </c>
      <c r="M2430" s="182" t="n">
        <v>0</v>
      </c>
      <c r="N2430" s="182" t="n">
        <v>0</v>
      </c>
      <c r="O2430" s="183" t="n">
        <v>0</v>
      </c>
      <c r="P2430" s="183" t="n">
        <v>0</v>
      </c>
      <c r="Q2430" s="184" t="n">
        <v>0</v>
      </c>
      <c r="R2430" s="184" t="n">
        <v>0</v>
      </c>
      <c r="S2430" s="183" t="n">
        <v>0</v>
      </c>
      <c r="T2430" s="183" t="n">
        <v>0</v>
      </c>
      <c r="U2430" s="182" t="n">
        <v>1.78</v>
      </c>
      <c r="V2430" s="182" t="n">
        <v>0</v>
      </c>
      <c r="W2430" s="182" t="n">
        <v>0</v>
      </c>
      <c r="X2430" s="182" t="n">
        <v>0.97</v>
      </c>
      <c r="Y2430" s="182" t="n">
        <v>0</v>
      </c>
      <c r="Z2430" s="182" t="n">
        <v>0</v>
      </c>
      <c r="AA2430" s="182" t="n">
        <v>0</v>
      </c>
      <c r="AB2430" s="182" t="n">
        <v>0</v>
      </c>
      <c r="AC2430" s="182" t="n">
        <v>0</v>
      </c>
      <c r="AD2430" s="182" t="n">
        <v>0</v>
      </c>
      <c r="AE2430" s="182" t="n">
        <v>0</v>
      </c>
      <c r="AF2430" s="182" t="n">
        <v>0</v>
      </c>
      <c r="AG2430" s="182" t="n">
        <v>0</v>
      </c>
      <c r="AH2430" s="182" t="n">
        <v>0</v>
      </c>
      <c r="AI2430" s="182" t="n">
        <v>0</v>
      </c>
      <c r="AJ2430" s="182" t="n">
        <v>0</v>
      </c>
      <c r="AK2430" s="182" t="n">
        <v>0.09</v>
      </c>
      <c r="AL2430" s="182" t="n">
        <v>0</v>
      </c>
      <c r="AM2430" s="182" t="n">
        <v>0.08</v>
      </c>
      <c r="AN2430" s="182" t="n">
        <v>0</v>
      </c>
    </row>
    <row r="2431">
      <c r="A2431" s="155" t="n">
        <v>46093</v>
      </c>
      <c r="B2431" s="156" t="inlineStr">
        <is>
          <t>DS</t>
        </is>
      </c>
      <c r="C2431" s="156" t="inlineStr">
        <is>
          <t>CP-042</t>
        </is>
      </c>
      <c r="D2431" s="156" t="inlineStr">
        <is>
          <t>SANY - Compactor</t>
        </is>
      </c>
      <c r="E2431" s="156" t="inlineStr">
        <is>
          <t>Compactor</t>
        </is>
      </c>
      <c r="F2431" s="156" t="inlineStr">
        <is>
          <t>Pemadatan Area Jetty</t>
        </is>
      </c>
      <c r="G2431" s="182" t="n">
        <v>4.48</v>
      </c>
      <c r="H2431" s="182" t="n">
        <v>0</v>
      </c>
      <c r="I2431" s="182" t="n">
        <v>0</v>
      </c>
      <c r="J2431" s="182" t="n">
        <v>0</v>
      </c>
      <c r="K2431" s="182" t="n">
        <v>7.52</v>
      </c>
      <c r="L2431" s="182" t="n">
        <v>12</v>
      </c>
      <c r="M2431" s="182" t="n">
        <v>0</v>
      </c>
      <c r="N2431" s="182" t="n">
        <v>0</v>
      </c>
      <c r="O2431" s="183" t="n">
        <v>0</v>
      </c>
      <c r="P2431" s="183" t="n">
        <v>0</v>
      </c>
      <c r="Q2431" s="184" t="n">
        <v>0</v>
      </c>
      <c r="R2431" s="184" t="n">
        <v>0</v>
      </c>
      <c r="S2431" s="183" t="n">
        <v>0</v>
      </c>
      <c r="T2431" s="183" t="n">
        <v>0</v>
      </c>
      <c r="U2431" s="182" t="n">
        <v>1.79</v>
      </c>
      <c r="V2431" s="182" t="n">
        <v>0</v>
      </c>
      <c r="W2431" s="182" t="n">
        <v>0</v>
      </c>
      <c r="X2431" s="182" t="n">
        <v>0.98</v>
      </c>
      <c r="Y2431" s="182" t="n">
        <v>0</v>
      </c>
      <c r="Z2431" s="182" t="n">
        <v>0</v>
      </c>
      <c r="AA2431" s="182" t="n">
        <v>0</v>
      </c>
      <c r="AB2431" s="182" t="n">
        <v>0</v>
      </c>
      <c r="AC2431" s="182" t="n">
        <v>0</v>
      </c>
      <c r="AD2431" s="182" t="n">
        <v>0</v>
      </c>
      <c r="AE2431" s="182" t="n">
        <v>0</v>
      </c>
      <c r="AF2431" s="182" t="n">
        <v>0</v>
      </c>
      <c r="AG2431" s="182" t="n">
        <v>0</v>
      </c>
      <c r="AH2431" s="182" t="n">
        <v>0</v>
      </c>
      <c r="AI2431" s="182" t="n">
        <v>0</v>
      </c>
      <c r="AJ2431" s="182" t="n">
        <v>0</v>
      </c>
      <c r="AK2431" s="182" t="n">
        <v>4.68</v>
      </c>
      <c r="AL2431" s="182" t="n">
        <v>0</v>
      </c>
      <c r="AM2431" s="182" t="n">
        <v>0.08</v>
      </c>
      <c r="AN2431" s="182" t="n">
        <v>0</v>
      </c>
    </row>
    <row r="2432">
      <c r="A2432" s="155" t="n">
        <v>46093</v>
      </c>
      <c r="B2432" s="156" t="inlineStr">
        <is>
          <t>DS</t>
        </is>
      </c>
      <c r="C2432" s="156" t="inlineStr">
        <is>
          <t>CP-041</t>
        </is>
      </c>
      <c r="D2432" s="156" t="inlineStr">
        <is>
          <t>SANY - Compactor</t>
        </is>
      </c>
      <c r="E2432" s="156" t="inlineStr">
        <is>
          <t>Compactor</t>
        </is>
      </c>
      <c r="F2432" s="156" t="inlineStr"/>
      <c r="G2432" s="182" t="n">
        <v>0</v>
      </c>
      <c r="H2432" s="182" t="n">
        <v>0</v>
      </c>
      <c r="I2432" s="182" t="n">
        <v>0</v>
      </c>
      <c r="J2432" s="182" t="n">
        <v>0</v>
      </c>
      <c r="K2432" s="182" t="n">
        <v>12</v>
      </c>
      <c r="L2432" s="182" t="n">
        <v>12</v>
      </c>
      <c r="M2432" s="182" t="n">
        <v>0</v>
      </c>
      <c r="N2432" s="182" t="n">
        <v>0</v>
      </c>
      <c r="O2432" s="183" t="n">
        <v>0</v>
      </c>
      <c r="P2432" s="183" t="n">
        <v>0</v>
      </c>
      <c r="Q2432" s="184" t="n">
        <v>0</v>
      </c>
      <c r="R2432" s="184" t="n">
        <v>0</v>
      </c>
      <c r="S2432" s="183" t="n">
        <v>0</v>
      </c>
      <c r="T2432" s="183" t="n">
        <v>0</v>
      </c>
      <c r="U2432" s="182" t="n">
        <v>1.83</v>
      </c>
      <c r="V2432" s="182" t="n">
        <v>0</v>
      </c>
      <c r="W2432" s="182" t="n">
        <v>0</v>
      </c>
      <c r="X2432" s="182" t="n">
        <v>1</v>
      </c>
      <c r="Y2432" s="182" t="n">
        <v>0</v>
      </c>
      <c r="Z2432" s="182" t="n">
        <v>0</v>
      </c>
      <c r="AA2432" s="182" t="n">
        <v>0</v>
      </c>
      <c r="AB2432" s="182" t="n">
        <v>0</v>
      </c>
      <c r="AC2432" s="182" t="n">
        <v>0</v>
      </c>
      <c r="AD2432" s="182" t="n">
        <v>0</v>
      </c>
      <c r="AE2432" s="182" t="n">
        <v>0</v>
      </c>
      <c r="AF2432" s="182" t="n">
        <v>0</v>
      </c>
      <c r="AG2432" s="182" t="n">
        <v>0</v>
      </c>
      <c r="AH2432" s="182" t="n">
        <v>0</v>
      </c>
      <c r="AI2432" s="182" t="n">
        <v>0</v>
      </c>
      <c r="AJ2432" s="182" t="n">
        <v>0</v>
      </c>
      <c r="AK2432" s="182" t="n">
        <v>9.09</v>
      </c>
      <c r="AL2432" s="182" t="n">
        <v>0</v>
      </c>
      <c r="AM2432" s="182" t="n">
        <v>0.08</v>
      </c>
      <c r="AN2432" s="182" t="n">
        <v>0</v>
      </c>
    </row>
    <row r="2433">
      <c r="A2433" s="155" t="n">
        <v>46093</v>
      </c>
      <c r="B2433" s="156" t="inlineStr">
        <is>
          <t>DS</t>
        </is>
      </c>
      <c r="C2433" s="156" t="inlineStr">
        <is>
          <t>HT-418</t>
        </is>
      </c>
      <c r="D2433" s="156" t="inlineStr">
        <is>
          <t>SY430</t>
        </is>
      </c>
      <c r="E2433" s="156" t="inlineStr">
        <is>
          <t>DT Hauling</t>
        </is>
      </c>
      <c r="F2433" s="156" t="inlineStr"/>
      <c r="G2433" s="182" t="n">
        <v>0</v>
      </c>
      <c r="H2433" s="182" t="n">
        <v>0</v>
      </c>
      <c r="I2433" s="182" t="n">
        <v>0</v>
      </c>
      <c r="J2433" s="182" t="n">
        <v>0</v>
      </c>
      <c r="K2433" s="182" t="n">
        <v>12</v>
      </c>
      <c r="L2433" s="182" t="n">
        <v>12</v>
      </c>
      <c r="M2433" s="182" t="n">
        <v>0</v>
      </c>
      <c r="N2433" s="182" t="n">
        <v>0</v>
      </c>
      <c r="O2433" s="183" t="n">
        <v>0</v>
      </c>
      <c r="P2433" s="183" t="n">
        <v>0</v>
      </c>
      <c r="Q2433" s="184" t="n">
        <v>0</v>
      </c>
      <c r="R2433" s="184" t="n">
        <v>0</v>
      </c>
      <c r="S2433" s="183" t="n">
        <v>0</v>
      </c>
      <c r="T2433" s="183" t="n">
        <v>0</v>
      </c>
      <c r="U2433" s="182" t="n">
        <v>0</v>
      </c>
      <c r="V2433" s="182" t="n">
        <v>0</v>
      </c>
      <c r="W2433" s="182" t="n">
        <v>0</v>
      </c>
      <c r="X2433" s="182" t="n">
        <v>1</v>
      </c>
      <c r="Y2433" s="182" t="n">
        <v>0</v>
      </c>
      <c r="Z2433" s="182" t="n">
        <v>0</v>
      </c>
      <c r="AA2433" s="182" t="n">
        <v>0</v>
      </c>
      <c r="AB2433" s="182" t="n">
        <v>0</v>
      </c>
      <c r="AC2433" s="182" t="n">
        <v>0</v>
      </c>
      <c r="AD2433" s="182" t="n">
        <v>0</v>
      </c>
      <c r="AE2433" s="182" t="n">
        <v>0</v>
      </c>
      <c r="AF2433" s="182" t="n">
        <v>0</v>
      </c>
      <c r="AG2433" s="182" t="n">
        <v>0</v>
      </c>
      <c r="AH2433" s="182" t="n">
        <v>0</v>
      </c>
      <c r="AI2433" s="182" t="n">
        <v>0</v>
      </c>
      <c r="AJ2433" s="182" t="n">
        <v>0</v>
      </c>
      <c r="AK2433" s="182" t="n">
        <v>10.92</v>
      </c>
      <c r="AL2433" s="182" t="n">
        <v>0</v>
      </c>
      <c r="AM2433" s="182" t="n">
        <v>0.08</v>
      </c>
      <c r="AN2433" s="182" t="n">
        <v>0</v>
      </c>
    </row>
    <row r="2434">
      <c r="A2434" s="155" t="n">
        <v>46093</v>
      </c>
      <c r="B2434" s="156" t="inlineStr">
        <is>
          <t>DS</t>
        </is>
      </c>
      <c r="C2434" s="156" t="inlineStr">
        <is>
          <t>HT-404</t>
        </is>
      </c>
      <c r="D2434" s="156" t="inlineStr">
        <is>
          <t>SY430</t>
        </is>
      </c>
      <c r="E2434" s="156" t="inlineStr">
        <is>
          <t>DT Hauling</t>
        </is>
      </c>
      <c r="F2434" s="156" t="inlineStr">
        <is>
          <t>Hauling Coal ke Jetty</t>
        </is>
      </c>
      <c r="G2434" s="182" t="n">
        <v>9.75</v>
      </c>
      <c r="H2434" s="182" t="n">
        <v>0</v>
      </c>
      <c r="I2434" s="182" t="n">
        <v>0.17</v>
      </c>
      <c r="J2434" s="182" t="n">
        <v>0.17</v>
      </c>
      <c r="K2434" s="182" t="n">
        <v>2.08</v>
      </c>
      <c r="L2434" s="182" t="n">
        <v>12</v>
      </c>
      <c r="M2434" s="182" t="n">
        <v>0</v>
      </c>
      <c r="N2434" s="182" t="n">
        <v>0</v>
      </c>
      <c r="O2434" s="183" t="n">
        <v>0</v>
      </c>
      <c r="P2434" s="183" t="n">
        <v>0</v>
      </c>
      <c r="Q2434" s="184" t="n">
        <v>0</v>
      </c>
      <c r="R2434" s="184" t="n">
        <v>0</v>
      </c>
      <c r="S2434" s="183" t="n">
        <v>0</v>
      </c>
      <c r="T2434" s="183" t="n">
        <v>0</v>
      </c>
      <c r="U2434" s="182" t="n">
        <v>0</v>
      </c>
      <c r="V2434" s="182" t="n">
        <v>0</v>
      </c>
      <c r="W2434" s="182" t="n">
        <v>0</v>
      </c>
      <c r="X2434" s="182" t="n">
        <v>1.14</v>
      </c>
      <c r="Y2434" s="182" t="n">
        <v>0</v>
      </c>
      <c r="Z2434" s="182" t="n">
        <v>0</v>
      </c>
      <c r="AA2434" s="182" t="n">
        <v>0</v>
      </c>
      <c r="AB2434" s="182" t="n">
        <v>0</v>
      </c>
      <c r="AC2434" s="182" t="n">
        <v>0</v>
      </c>
      <c r="AD2434" s="182" t="n">
        <v>0</v>
      </c>
      <c r="AE2434" s="182" t="n">
        <v>0</v>
      </c>
      <c r="AF2434" s="182" t="n">
        <v>0</v>
      </c>
      <c r="AG2434" s="182" t="n">
        <v>0</v>
      </c>
      <c r="AH2434" s="182" t="n">
        <v>0.85</v>
      </c>
      <c r="AI2434" s="182" t="n">
        <v>0</v>
      </c>
      <c r="AJ2434" s="182" t="n">
        <v>0</v>
      </c>
      <c r="AK2434" s="182" t="n">
        <v>0</v>
      </c>
      <c r="AL2434" s="182" t="n">
        <v>0</v>
      </c>
      <c r="AM2434" s="182" t="n">
        <v>0.09</v>
      </c>
      <c r="AN2434" s="182" t="n">
        <v>0</v>
      </c>
    </row>
    <row r="2435">
      <c r="A2435" s="155" t="n">
        <v>46093</v>
      </c>
      <c r="B2435" s="156" t="inlineStr">
        <is>
          <t>DS</t>
        </is>
      </c>
      <c r="C2435" s="156" t="inlineStr">
        <is>
          <t>HT-415</t>
        </is>
      </c>
      <c r="D2435" s="156" t="inlineStr">
        <is>
          <t>SY430</t>
        </is>
      </c>
      <c r="E2435" s="156" t="inlineStr">
        <is>
          <t>DT Hauling</t>
        </is>
      </c>
      <c r="F2435" s="156" t="inlineStr"/>
      <c r="G2435" s="182" t="n">
        <v>0</v>
      </c>
      <c r="H2435" s="182" t="n">
        <v>0</v>
      </c>
      <c r="I2435" s="182" t="n">
        <v>12</v>
      </c>
      <c r="J2435" s="182" t="n">
        <v>12</v>
      </c>
      <c r="K2435" s="182" t="n">
        <v>0</v>
      </c>
      <c r="L2435" s="182" t="n">
        <v>12</v>
      </c>
      <c r="M2435" s="182" t="n">
        <v>0</v>
      </c>
      <c r="N2435" s="182" t="n">
        <v>0</v>
      </c>
      <c r="O2435" s="183" t="n">
        <v>0</v>
      </c>
      <c r="P2435" s="183" t="n">
        <v>0</v>
      </c>
      <c r="Q2435" s="184" t="n">
        <v>0</v>
      </c>
      <c r="R2435" s="184" t="n">
        <v>0</v>
      </c>
      <c r="S2435" s="183" t="n">
        <v>0</v>
      </c>
      <c r="T2435" s="183" t="n">
        <v>0</v>
      </c>
      <c r="U2435" s="182" t="n">
        <v>0</v>
      </c>
      <c r="V2435" s="182" t="n">
        <v>0</v>
      </c>
      <c r="W2435" s="182" t="n">
        <v>0</v>
      </c>
      <c r="X2435" s="182" t="n">
        <v>0</v>
      </c>
      <c r="Y2435" s="182" t="n">
        <v>0</v>
      </c>
      <c r="Z2435" s="182" t="n">
        <v>0</v>
      </c>
      <c r="AA2435" s="182" t="n">
        <v>0</v>
      </c>
      <c r="AB2435" s="182" t="n">
        <v>0</v>
      </c>
      <c r="AC2435" s="182" t="n">
        <v>0</v>
      </c>
      <c r="AD2435" s="182" t="n">
        <v>0</v>
      </c>
      <c r="AE2435" s="182" t="n">
        <v>0</v>
      </c>
      <c r="AF2435" s="182" t="n">
        <v>0</v>
      </c>
      <c r="AG2435" s="182" t="n">
        <v>0</v>
      </c>
      <c r="AH2435" s="182" t="n">
        <v>0</v>
      </c>
      <c r="AI2435" s="182" t="n">
        <v>0</v>
      </c>
      <c r="AJ2435" s="182" t="n">
        <v>0</v>
      </c>
      <c r="AK2435" s="182" t="n">
        <v>0</v>
      </c>
      <c r="AL2435" s="182" t="n">
        <v>0</v>
      </c>
      <c r="AM2435" s="182" t="n">
        <v>0</v>
      </c>
      <c r="AN2435" s="182" t="n">
        <v>0</v>
      </c>
    </row>
    <row r="2436">
      <c r="A2436" s="155" t="n">
        <v>46093</v>
      </c>
      <c r="B2436" s="156" t="inlineStr">
        <is>
          <t>DS</t>
        </is>
      </c>
      <c r="C2436" s="156" t="inlineStr">
        <is>
          <t>HT-406</t>
        </is>
      </c>
      <c r="D2436" s="156" t="inlineStr">
        <is>
          <t>SY430</t>
        </is>
      </c>
      <c r="E2436" s="156" t="inlineStr">
        <is>
          <t>DT Hauling</t>
        </is>
      </c>
      <c r="F2436" s="156" t="inlineStr"/>
      <c r="G2436" s="182" t="n">
        <v>0</v>
      </c>
      <c r="H2436" s="182" t="n">
        <v>0</v>
      </c>
      <c r="I2436" s="182" t="n">
        <v>0</v>
      </c>
      <c r="J2436" s="182" t="n">
        <v>0</v>
      </c>
      <c r="K2436" s="182" t="n">
        <v>12</v>
      </c>
      <c r="L2436" s="182" t="n">
        <v>12</v>
      </c>
      <c r="M2436" s="182" t="n">
        <v>0</v>
      </c>
      <c r="N2436" s="182" t="n">
        <v>0</v>
      </c>
      <c r="O2436" s="183" t="n">
        <v>0</v>
      </c>
      <c r="P2436" s="183" t="n">
        <v>0</v>
      </c>
      <c r="Q2436" s="184" t="n">
        <v>0</v>
      </c>
      <c r="R2436" s="184" t="n">
        <v>0</v>
      </c>
      <c r="S2436" s="183" t="n">
        <v>0</v>
      </c>
      <c r="T2436" s="183" t="n">
        <v>0</v>
      </c>
      <c r="U2436" s="182" t="n">
        <v>0</v>
      </c>
      <c r="V2436" s="182" t="n">
        <v>0</v>
      </c>
      <c r="W2436" s="182" t="n">
        <v>0</v>
      </c>
      <c r="X2436" s="182" t="n">
        <v>1</v>
      </c>
      <c r="Y2436" s="182" t="n">
        <v>0</v>
      </c>
      <c r="Z2436" s="182" t="n">
        <v>0</v>
      </c>
      <c r="AA2436" s="182" t="n">
        <v>0</v>
      </c>
      <c r="AB2436" s="182" t="n">
        <v>0</v>
      </c>
      <c r="AC2436" s="182" t="n">
        <v>0</v>
      </c>
      <c r="AD2436" s="182" t="n">
        <v>0</v>
      </c>
      <c r="AE2436" s="182" t="n">
        <v>0</v>
      </c>
      <c r="AF2436" s="182" t="n">
        <v>0</v>
      </c>
      <c r="AG2436" s="182" t="n">
        <v>0</v>
      </c>
      <c r="AH2436" s="182" t="n">
        <v>0</v>
      </c>
      <c r="AI2436" s="182" t="n">
        <v>0</v>
      </c>
      <c r="AJ2436" s="182" t="n">
        <v>0</v>
      </c>
      <c r="AK2436" s="182" t="n">
        <v>10.92</v>
      </c>
      <c r="AL2436" s="182" t="n">
        <v>0</v>
      </c>
      <c r="AM2436" s="182" t="n">
        <v>0.08</v>
      </c>
      <c r="AN2436" s="182" t="n">
        <v>0</v>
      </c>
    </row>
    <row r="2437">
      <c r="A2437" s="155" t="n">
        <v>46093</v>
      </c>
      <c r="B2437" s="156" t="inlineStr">
        <is>
          <t>DS</t>
        </is>
      </c>
      <c r="C2437" s="156" t="inlineStr">
        <is>
          <t>HT-405</t>
        </is>
      </c>
      <c r="D2437" s="156" t="inlineStr">
        <is>
          <t>SY430</t>
        </is>
      </c>
      <c r="E2437" s="156" t="inlineStr">
        <is>
          <t>DT Hauling</t>
        </is>
      </c>
      <c r="F2437" s="156" t="inlineStr"/>
      <c r="G2437" s="182" t="n">
        <v>0</v>
      </c>
      <c r="H2437" s="182" t="n">
        <v>0</v>
      </c>
      <c r="I2437" s="182" t="n">
        <v>12</v>
      </c>
      <c r="J2437" s="182" t="n">
        <v>12</v>
      </c>
      <c r="K2437" s="182" t="n">
        <v>0</v>
      </c>
      <c r="L2437" s="182" t="n">
        <v>12</v>
      </c>
      <c r="M2437" s="182" t="n">
        <v>0</v>
      </c>
      <c r="N2437" s="182" t="n">
        <v>0</v>
      </c>
      <c r="O2437" s="183" t="n">
        <v>0</v>
      </c>
      <c r="P2437" s="183" t="n">
        <v>0</v>
      </c>
      <c r="Q2437" s="184" t="n">
        <v>0</v>
      </c>
      <c r="R2437" s="184" t="n">
        <v>0</v>
      </c>
      <c r="S2437" s="183" t="n">
        <v>0</v>
      </c>
      <c r="T2437" s="183" t="n">
        <v>0</v>
      </c>
      <c r="U2437" s="182" t="n">
        <v>0</v>
      </c>
      <c r="V2437" s="182" t="n">
        <v>0</v>
      </c>
      <c r="W2437" s="182" t="n">
        <v>0</v>
      </c>
      <c r="X2437" s="182" t="n">
        <v>0</v>
      </c>
      <c r="Y2437" s="182" t="n">
        <v>0</v>
      </c>
      <c r="Z2437" s="182" t="n">
        <v>0</v>
      </c>
      <c r="AA2437" s="182" t="n">
        <v>0</v>
      </c>
      <c r="AB2437" s="182" t="n">
        <v>0</v>
      </c>
      <c r="AC2437" s="182" t="n">
        <v>0</v>
      </c>
      <c r="AD2437" s="182" t="n">
        <v>0</v>
      </c>
      <c r="AE2437" s="182" t="n">
        <v>0</v>
      </c>
      <c r="AF2437" s="182" t="n">
        <v>0</v>
      </c>
      <c r="AG2437" s="182" t="n">
        <v>0</v>
      </c>
      <c r="AH2437" s="182" t="n">
        <v>0</v>
      </c>
      <c r="AI2437" s="182" t="n">
        <v>0</v>
      </c>
      <c r="AJ2437" s="182" t="n">
        <v>0</v>
      </c>
      <c r="AK2437" s="182" t="n">
        <v>0</v>
      </c>
      <c r="AL2437" s="182" t="n">
        <v>0</v>
      </c>
      <c r="AM2437" s="182" t="n">
        <v>0</v>
      </c>
      <c r="AN2437" s="182" t="n">
        <v>0</v>
      </c>
    </row>
    <row r="2438">
      <c r="A2438" s="155" t="n">
        <v>46093</v>
      </c>
      <c r="B2438" s="156" t="inlineStr">
        <is>
          <t>DS</t>
        </is>
      </c>
      <c r="C2438" s="156" t="inlineStr">
        <is>
          <t>HT-417</t>
        </is>
      </c>
      <c r="D2438" s="156" t="inlineStr">
        <is>
          <t>SY430</t>
        </is>
      </c>
      <c r="E2438" s="156" t="inlineStr">
        <is>
          <t>DT Hauling</t>
        </is>
      </c>
      <c r="F2438" s="156" t="inlineStr"/>
      <c r="G2438" s="182" t="n">
        <v>0</v>
      </c>
      <c r="H2438" s="182" t="n">
        <v>0</v>
      </c>
      <c r="I2438" s="182" t="n">
        <v>0</v>
      </c>
      <c r="J2438" s="182" t="n">
        <v>0</v>
      </c>
      <c r="K2438" s="182" t="n">
        <v>12</v>
      </c>
      <c r="L2438" s="182" t="n">
        <v>12</v>
      </c>
      <c r="M2438" s="182" t="n">
        <v>0</v>
      </c>
      <c r="N2438" s="182" t="n">
        <v>0</v>
      </c>
      <c r="O2438" s="183" t="n">
        <v>0</v>
      </c>
      <c r="P2438" s="183" t="n">
        <v>0</v>
      </c>
      <c r="Q2438" s="184" t="n">
        <v>0</v>
      </c>
      <c r="R2438" s="184" t="n">
        <v>0</v>
      </c>
      <c r="S2438" s="183" t="n">
        <v>0</v>
      </c>
      <c r="T2438" s="183" t="n">
        <v>0</v>
      </c>
      <c r="U2438" s="182" t="n">
        <v>0</v>
      </c>
      <c r="V2438" s="182" t="n">
        <v>0</v>
      </c>
      <c r="W2438" s="182" t="n">
        <v>0</v>
      </c>
      <c r="X2438" s="182" t="n">
        <v>1</v>
      </c>
      <c r="Y2438" s="182" t="n">
        <v>0</v>
      </c>
      <c r="Z2438" s="182" t="n">
        <v>0</v>
      </c>
      <c r="AA2438" s="182" t="n">
        <v>0</v>
      </c>
      <c r="AB2438" s="182" t="n">
        <v>0</v>
      </c>
      <c r="AC2438" s="182" t="n">
        <v>0</v>
      </c>
      <c r="AD2438" s="182" t="n">
        <v>0</v>
      </c>
      <c r="AE2438" s="182" t="n">
        <v>0</v>
      </c>
      <c r="AF2438" s="182" t="n">
        <v>0</v>
      </c>
      <c r="AG2438" s="182" t="n">
        <v>0</v>
      </c>
      <c r="AH2438" s="182" t="n">
        <v>0</v>
      </c>
      <c r="AI2438" s="182" t="n">
        <v>0</v>
      </c>
      <c r="AJ2438" s="182" t="n">
        <v>0</v>
      </c>
      <c r="AK2438" s="182" t="n">
        <v>10.92</v>
      </c>
      <c r="AL2438" s="182" t="n">
        <v>0</v>
      </c>
      <c r="AM2438" s="182" t="n">
        <v>0.08</v>
      </c>
      <c r="AN2438" s="182" t="n">
        <v>0</v>
      </c>
    </row>
    <row r="2439">
      <c r="A2439" s="155" t="n">
        <v>46093</v>
      </c>
      <c r="B2439" s="156" t="inlineStr">
        <is>
          <t>DS</t>
        </is>
      </c>
      <c r="C2439" s="156" t="inlineStr">
        <is>
          <t>HT-401</t>
        </is>
      </c>
      <c r="D2439" s="156" t="inlineStr">
        <is>
          <t>SY430</t>
        </is>
      </c>
      <c r="E2439" s="156" t="inlineStr">
        <is>
          <t>DT Hauling</t>
        </is>
      </c>
      <c r="F2439" s="156" t="inlineStr"/>
      <c r="G2439" s="182" t="n">
        <v>0</v>
      </c>
      <c r="H2439" s="182" t="n">
        <v>0</v>
      </c>
      <c r="I2439" s="182" t="n">
        <v>0</v>
      </c>
      <c r="J2439" s="182" t="n">
        <v>0</v>
      </c>
      <c r="K2439" s="182" t="n">
        <v>12</v>
      </c>
      <c r="L2439" s="182" t="n">
        <v>12</v>
      </c>
      <c r="M2439" s="182" t="n">
        <v>0</v>
      </c>
      <c r="N2439" s="182" t="n">
        <v>0</v>
      </c>
      <c r="O2439" s="183" t="n">
        <v>0</v>
      </c>
      <c r="P2439" s="183" t="n">
        <v>0</v>
      </c>
      <c r="Q2439" s="184" t="n">
        <v>0</v>
      </c>
      <c r="R2439" s="184" t="n">
        <v>0</v>
      </c>
      <c r="S2439" s="183" t="n">
        <v>0</v>
      </c>
      <c r="T2439" s="183" t="n">
        <v>0</v>
      </c>
      <c r="U2439" s="182" t="n">
        <v>0</v>
      </c>
      <c r="V2439" s="182" t="n">
        <v>0</v>
      </c>
      <c r="W2439" s="182" t="n">
        <v>0</v>
      </c>
      <c r="X2439" s="182" t="n">
        <v>1</v>
      </c>
      <c r="Y2439" s="182" t="n">
        <v>0</v>
      </c>
      <c r="Z2439" s="182" t="n">
        <v>0</v>
      </c>
      <c r="AA2439" s="182" t="n">
        <v>0</v>
      </c>
      <c r="AB2439" s="182" t="n">
        <v>0</v>
      </c>
      <c r="AC2439" s="182" t="n">
        <v>0</v>
      </c>
      <c r="AD2439" s="182" t="n">
        <v>0</v>
      </c>
      <c r="AE2439" s="182" t="n">
        <v>0</v>
      </c>
      <c r="AF2439" s="182" t="n">
        <v>0</v>
      </c>
      <c r="AG2439" s="182" t="n">
        <v>0</v>
      </c>
      <c r="AH2439" s="182" t="n">
        <v>0</v>
      </c>
      <c r="AI2439" s="182" t="n">
        <v>0</v>
      </c>
      <c r="AJ2439" s="182" t="n">
        <v>0</v>
      </c>
      <c r="AK2439" s="182" t="n">
        <v>10.92</v>
      </c>
      <c r="AL2439" s="182" t="n">
        <v>0</v>
      </c>
      <c r="AM2439" s="182" t="n">
        <v>0.08</v>
      </c>
      <c r="AN2439" s="182" t="n">
        <v>0</v>
      </c>
    </row>
    <row r="2440">
      <c r="A2440" s="155" t="n">
        <v>46093</v>
      </c>
      <c r="B2440" s="156" t="inlineStr">
        <is>
          <t>DS</t>
        </is>
      </c>
      <c r="C2440" s="156" t="inlineStr">
        <is>
          <t>HT-410</t>
        </is>
      </c>
      <c r="D2440" s="156" t="inlineStr">
        <is>
          <t>SY430</t>
        </is>
      </c>
      <c r="E2440" s="156" t="inlineStr">
        <is>
          <t>DT Hauling</t>
        </is>
      </c>
      <c r="F2440" s="156" t="inlineStr"/>
      <c r="G2440" s="182" t="n">
        <v>0</v>
      </c>
      <c r="H2440" s="182" t="n">
        <v>0</v>
      </c>
      <c r="I2440" s="182" t="n">
        <v>0</v>
      </c>
      <c r="J2440" s="182" t="n">
        <v>0</v>
      </c>
      <c r="K2440" s="182" t="n">
        <v>12</v>
      </c>
      <c r="L2440" s="182" t="n">
        <v>12</v>
      </c>
      <c r="M2440" s="182" t="n">
        <v>0</v>
      </c>
      <c r="N2440" s="182" t="n">
        <v>0</v>
      </c>
      <c r="O2440" s="183" t="n">
        <v>0</v>
      </c>
      <c r="P2440" s="183" t="n">
        <v>0</v>
      </c>
      <c r="Q2440" s="184" t="n">
        <v>0</v>
      </c>
      <c r="R2440" s="184" t="n">
        <v>0</v>
      </c>
      <c r="S2440" s="183" t="n">
        <v>0</v>
      </c>
      <c r="T2440" s="183" t="n">
        <v>0</v>
      </c>
      <c r="U2440" s="182" t="n">
        <v>0</v>
      </c>
      <c r="V2440" s="182" t="n">
        <v>0</v>
      </c>
      <c r="W2440" s="182" t="n">
        <v>0</v>
      </c>
      <c r="X2440" s="182" t="n">
        <v>1</v>
      </c>
      <c r="Y2440" s="182" t="n">
        <v>0</v>
      </c>
      <c r="Z2440" s="182" t="n">
        <v>0</v>
      </c>
      <c r="AA2440" s="182" t="n">
        <v>0</v>
      </c>
      <c r="AB2440" s="182" t="n">
        <v>0</v>
      </c>
      <c r="AC2440" s="182" t="n">
        <v>0</v>
      </c>
      <c r="AD2440" s="182" t="n">
        <v>0</v>
      </c>
      <c r="AE2440" s="182" t="n">
        <v>0</v>
      </c>
      <c r="AF2440" s="182" t="n">
        <v>0</v>
      </c>
      <c r="AG2440" s="182" t="n">
        <v>0</v>
      </c>
      <c r="AH2440" s="182" t="n">
        <v>0</v>
      </c>
      <c r="AI2440" s="182" t="n">
        <v>0</v>
      </c>
      <c r="AJ2440" s="182" t="n">
        <v>0</v>
      </c>
      <c r="AK2440" s="182" t="n">
        <v>10.92</v>
      </c>
      <c r="AL2440" s="182" t="n">
        <v>0</v>
      </c>
      <c r="AM2440" s="182" t="n">
        <v>0.08</v>
      </c>
      <c r="AN2440" s="182" t="n">
        <v>0</v>
      </c>
    </row>
    <row r="2441">
      <c r="A2441" s="155" t="n">
        <v>46093</v>
      </c>
      <c r="B2441" s="156" t="inlineStr">
        <is>
          <t>DS</t>
        </is>
      </c>
      <c r="C2441" s="156" t="inlineStr">
        <is>
          <t>HT-402</t>
        </is>
      </c>
      <c r="D2441" s="156" t="inlineStr">
        <is>
          <t>SY430</t>
        </is>
      </c>
      <c r="E2441" s="156" t="inlineStr">
        <is>
          <t>DT Hauling</t>
        </is>
      </c>
      <c r="F2441" s="156" t="inlineStr">
        <is>
          <t>Hauling Coal ke Jetty</t>
        </is>
      </c>
      <c r="G2441" s="182" t="n">
        <v>11.68</v>
      </c>
      <c r="H2441" s="182" t="n">
        <v>0</v>
      </c>
      <c r="I2441" s="182" t="n">
        <v>0</v>
      </c>
      <c r="J2441" s="182" t="n">
        <v>0</v>
      </c>
      <c r="K2441" s="182" t="n">
        <v>0.32</v>
      </c>
      <c r="L2441" s="182" t="n">
        <v>12</v>
      </c>
      <c r="M2441" s="182" t="n">
        <v>0</v>
      </c>
      <c r="N2441" s="182" t="n">
        <v>0</v>
      </c>
      <c r="O2441" s="183" t="n">
        <v>0</v>
      </c>
      <c r="P2441" s="183" t="n">
        <v>0</v>
      </c>
      <c r="Q2441" s="184" t="n">
        <v>0</v>
      </c>
      <c r="R2441" s="184" t="n">
        <v>0</v>
      </c>
      <c r="S2441" s="183" t="n">
        <v>0</v>
      </c>
      <c r="T2441" s="183" t="n">
        <v>0</v>
      </c>
      <c r="U2441" s="182" t="n">
        <v>0</v>
      </c>
      <c r="V2441" s="182" t="n">
        <v>0</v>
      </c>
      <c r="W2441" s="182" t="n">
        <v>0</v>
      </c>
      <c r="X2441" s="182" t="n">
        <v>0.26</v>
      </c>
      <c r="Y2441" s="182" t="n">
        <v>0</v>
      </c>
      <c r="Z2441" s="182" t="n">
        <v>0</v>
      </c>
      <c r="AA2441" s="182" t="n">
        <v>0</v>
      </c>
      <c r="AB2441" s="182" t="n">
        <v>0</v>
      </c>
      <c r="AC2441" s="182" t="n">
        <v>0</v>
      </c>
      <c r="AD2441" s="182" t="n">
        <v>0</v>
      </c>
      <c r="AE2441" s="182" t="n">
        <v>0</v>
      </c>
      <c r="AF2441" s="182" t="n">
        <v>0</v>
      </c>
      <c r="AG2441" s="182" t="n">
        <v>0</v>
      </c>
      <c r="AH2441" s="182" t="n">
        <v>0</v>
      </c>
      <c r="AI2441" s="182" t="n">
        <v>0</v>
      </c>
      <c r="AJ2441" s="182" t="n">
        <v>0</v>
      </c>
      <c r="AK2441" s="182" t="n">
        <v>0</v>
      </c>
      <c r="AL2441" s="182" t="n">
        <v>0</v>
      </c>
      <c r="AM2441" s="182" t="n">
        <v>0.06</v>
      </c>
      <c r="AN2441" s="182" t="n">
        <v>0</v>
      </c>
    </row>
    <row r="2442">
      <c r="A2442" s="155" t="n">
        <v>46093</v>
      </c>
      <c r="B2442" s="156" t="inlineStr">
        <is>
          <t>DS</t>
        </is>
      </c>
      <c r="C2442" s="156" t="inlineStr">
        <is>
          <t>HT-419</t>
        </is>
      </c>
      <c r="D2442" s="156" t="inlineStr">
        <is>
          <t>SY430</t>
        </is>
      </c>
      <c r="E2442" s="156" t="inlineStr">
        <is>
          <t>DT Hauling</t>
        </is>
      </c>
      <c r="F2442" s="156" t="inlineStr"/>
      <c r="G2442" s="182" t="n">
        <v>0</v>
      </c>
      <c r="H2442" s="182" t="n">
        <v>0</v>
      </c>
      <c r="I2442" s="182" t="n">
        <v>12</v>
      </c>
      <c r="J2442" s="182" t="n">
        <v>12</v>
      </c>
      <c r="K2442" s="182" t="n">
        <v>0</v>
      </c>
      <c r="L2442" s="182" t="n">
        <v>12</v>
      </c>
      <c r="M2442" s="182" t="n">
        <v>0</v>
      </c>
      <c r="N2442" s="182" t="n">
        <v>0</v>
      </c>
      <c r="O2442" s="183" t="n">
        <v>0</v>
      </c>
      <c r="P2442" s="183" t="n">
        <v>0</v>
      </c>
      <c r="Q2442" s="184" t="n">
        <v>0</v>
      </c>
      <c r="R2442" s="184" t="n">
        <v>0</v>
      </c>
      <c r="S2442" s="183" t="n">
        <v>0</v>
      </c>
      <c r="T2442" s="183" t="n">
        <v>0</v>
      </c>
      <c r="U2442" s="182" t="n">
        <v>0</v>
      </c>
      <c r="V2442" s="182" t="n">
        <v>0</v>
      </c>
      <c r="W2442" s="182" t="n">
        <v>0</v>
      </c>
      <c r="X2442" s="182" t="n">
        <v>0</v>
      </c>
      <c r="Y2442" s="182" t="n">
        <v>0</v>
      </c>
      <c r="Z2442" s="182" t="n">
        <v>0</v>
      </c>
      <c r="AA2442" s="182" t="n">
        <v>0</v>
      </c>
      <c r="AB2442" s="182" t="n">
        <v>0</v>
      </c>
      <c r="AC2442" s="182" t="n">
        <v>0</v>
      </c>
      <c r="AD2442" s="182" t="n">
        <v>0</v>
      </c>
      <c r="AE2442" s="182" t="n">
        <v>0</v>
      </c>
      <c r="AF2442" s="182" t="n">
        <v>0</v>
      </c>
      <c r="AG2442" s="182" t="n">
        <v>0</v>
      </c>
      <c r="AH2442" s="182" t="n">
        <v>0</v>
      </c>
      <c r="AI2442" s="182" t="n">
        <v>0</v>
      </c>
      <c r="AJ2442" s="182" t="n">
        <v>0</v>
      </c>
      <c r="AK2442" s="182" t="n">
        <v>0</v>
      </c>
      <c r="AL2442" s="182" t="n">
        <v>0</v>
      </c>
      <c r="AM2442" s="182" t="n">
        <v>0</v>
      </c>
      <c r="AN2442" s="182" t="n">
        <v>0</v>
      </c>
    </row>
    <row r="2443">
      <c r="A2443" s="155" t="n">
        <v>46093</v>
      </c>
      <c r="B2443" s="156" t="inlineStr">
        <is>
          <t>DS</t>
        </is>
      </c>
      <c r="C2443" s="156" t="inlineStr">
        <is>
          <t>HT-416</t>
        </is>
      </c>
      <c r="D2443" s="156" t="inlineStr">
        <is>
          <t>SY430</t>
        </is>
      </c>
      <c r="E2443" s="156" t="inlineStr">
        <is>
          <t>DT Hauling</t>
        </is>
      </c>
      <c r="F2443" s="156" t="inlineStr">
        <is>
          <t>Hauling Coal ke Jetty</t>
        </is>
      </c>
      <c r="G2443" s="182" t="n">
        <v>10.58</v>
      </c>
      <c r="H2443" s="182" t="n">
        <v>0</v>
      </c>
      <c r="I2443" s="182" t="n">
        <v>0</v>
      </c>
      <c r="J2443" s="182" t="n">
        <v>0</v>
      </c>
      <c r="K2443" s="182" t="n">
        <v>1.42</v>
      </c>
      <c r="L2443" s="182" t="n">
        <v>12</v>
      </c>
      <c r="M2443" s="182" t="n">
        <v>0</v>
      </c>
      <c r="N2443" s="182" t="n">
        <v>0</v>
      </c>
      <c r="O2443" s="183" t="n">
        <v>0</v>
      </c>
      <c r="P2443" s="183" t="n">
        <v>0</v>
      </c>
      <c r="Q2443" s="184" t="n">
        <v>0</v>
      </c>
      <c r="R2443" s="184" t="n">
        <v>0</v>
      </c>
      <c r="S2443" s="183" t="n">
        <v>0</v>
      </c>
      <c r="T2443" s="183" t="n">
        <v>0</v>
      </c>
      <c r="U2443" s="182" t="n">
        <v>0</v>
      </c>
      <c r="V2443" s="182" t="n">
        <v>0</v>
      </c>
      <c r="W2443" s="182" t="n">
        <v>0</v>
      </c>
      <c r="X2443" s="182" t="n">
        <v>0.89</v>
      </c>
      <c r="Y2443" s="182" t="n">
        <v>0</v>
      </c>
      <c r="Z2443" s="182" t="n">
        <v>0</v>
      </c>
      <c r="AA2443" s="182" t="n">
        <v>0</v>
      </c>
      <c r="AB2443" s="182" t="n">
        <v>0</v>
      </c>
      <c r="AC2443" s="182" t="n">
        <v>0</v>
      </c>
      <c r="AD2443" s="182" t="n">
        <v>0</v>
      </c>
      <c r="AE2443" s="182" t="n">
        <v>0</v>
      </c>
      <c r="AF2443" s="182" t="n">
        <v>0</v>
      </c>
      <c r="AG2443" s="182" t="n">
        <v>0</v>
      </c>
      <c r="AH2443" s="182" t="n">
        <v>0.46</v>
      </c>
      <c r="AI2443" s="182" t="n">
        <v>0</v>
      </c>
      <c r="AJ2443" s="182" t="n">
        <v>0</v>
      </c>
      <c r="AK2443" s="182" t="n">
        <v>0</v>
      </c>
      <c r="AL2443" s="182" t="n">
        <v>0</v>
      </c>
      <c r="AM2443" s="182" t="n">
        <v>0.07000000000000001</v>
      </c>
      <c r="AN2443" s="182" t="n">
        <v>0</v>
      </c>
    </row>
    <row r="2444">
      <c r="A2444" s="155" t="n">
        <v>46093</v>
      </c>
      <c r="B2444" s="156" t="inlineStr">
        <is>
          <t>DS</t>
        </is>
      </c>
      <c r="C2444" s="156" t="inlineStr">
        <is>
          <t>HT-420</t>
        </is>
      </c>
      <c r="D2444" s="156" t="inlineStr">
        <is>
          <t>SY430</t>
        </is>
      </c>
      <c r="E2444" s="156" t="inlineStr">
        <is>
          <t>DT Hauling</t>
        </is>
      </c>
      <c r="F2444" s="156" t="inlineStr">
        <is>
          <t>Hauling Coal ke Jetty</t>
        </is>
      </c>
      <c r="G2444" s="182" t="n">
        <v>10.88</v>
      </c>
      <c r="H2444" s="182" t="n">
        <v>0</v>
      </c>
      <c r="I2444" s="182" t="n">
        <v>0.1</v>
      </c>
      <c r="J2444" s="182" t="n">
        <v>0.1</v>
      </c>
      <c r="K2444" s="182" t="n">
        <v>1.02</v>
      </c>
      <c r="L2444" s="182" t="n">
        <v>12</v>
      </c>
      <c r="M2444" s="182" t="n">
        <v>0</v>
      </c>
      <c r="N2444" s="182" t="n">
        <v>0</v>
      </c>
      <c r="O2444" s="183" t="n">
        <v>0</v>
      </c>
      <c r="P2444" s="183" t="n">
        <v>0</v>
      </c>
      <c r="Q2444" s="184" t="n">
        <v>0</v>
      </c>
      <c r="R2444" s="184" t="n">
        <v>0</v>
      </c>
      <c r="S2444" s="183" t="n">
        <v>0</v>
      </c>
      <c r="T2444" s="183" t="n">
        <v>0</v>
      </c>
      <c r="U2444" s="182" t="n">
        <v>0</v>
      </c>
      <c r="V2444" s="182" t="n">
        <v>0</v>
      </c>
      <c r="W2444" s="182" t="n">
        <v>0</v>
      </c>
      <c r="X2444" s="182" t="n">
        <v>0.68</v>
      </c>
      <c r="Y2444" s="182" t="n">
        <v>0</v>
      </c>
      <c r="Z2444" s="182" t="n">
        <v>0</v>
      </c>
      <c r="AA2444" s="182" t="n">
        <v>0</v>
      </c>
      <c r="AB2444" s="182" t="n">
        <v>0</v>
      </c>
      <c r="AC2444" s="182" t="n">
        <v>0</v>
      </c>
      <c r="AD2444" s="182" t="n">
        <v>0</v>
      </c>
      <c r="AE2444" s="182" t="n">
        <v>0</v>
      </c>
      <c r="AF2444" s="182" t="n">
        <v>0</v>
      </c>
      <c r="AG2444" s="182" t="n">
        <v>0</v>
      </c>
      <c r="AH2444" s="182" t="n">
        <v>0.29</v>
      </c>
      <c r="AI2444" s="182" t="n">
        <v>0</v>
      </c>
      <c r="AJ2444" s="182" t="n">
        <v>0</v>
      </c>
      <c r="AK2444" s="182" t="n">
        <v>0</v>
      </c>
      <c r="AL2444" s="182" t="n">
        <v>0</v>
      </c>
      <c r="AM2444" s="182" t="n">
        <v>0.05</v>
      </c>
      <c r="AN2444" s="182" t="n">
        <v>0</v>
      </c>
    </row>
    <row r="2445">
      <c r="A2445" s="155" t="n">
        <v>46093</v>
      </c>
      <c r="B2445" s="156" t="inlineStr">
        <is>
          <t>DS</t>
        </is>
      </c>
      <c r="C2445" s="156" t="inlineStr">
        <is>
          <t>HT-403</t>
        </is>
      </c>
      <c r="D2445" s="156" t="inlineStr">
        <is>
          <t>SY430</t>
        </is>
      </c>
      <c r="E2445" s="156" t="inlineStr">
        <is>
          <t>DT Hauling</t>
        </is>
      </c>
      <c r="F2445" s="156" t="inlineStr">
        <is>
          <t>Hauling Coal ke Jetty</t>
        </is>
      </c>
      <c r="G2445" s="182" t="n">
        <v>10.03</v>
      </c>
      <c r="H2445" s="182" t="n">
        <v>0</v>
      </c>
      <c r="I2445" s="182" t="n">
        <v>0</v>
      </c>
      <c r="J2445" s="182" t="n">
        <v>0</v>
      </c>
      <c r="K2445" s="182" t="n">
        <v>1.97</v>
      </c>
      <c r="L2445" s="182" t="n">
        <v>12</v>
      </c>
      <c r="M2445" s="182" t="n">
        <v>0</v>
      </c>
      <c r="N2445" s="182" t="n">
        <v>0</v>
      </c>
      <c r="O2445" s="183" t="n">
        <v>0</v>
      </c>
      <c r="P2445" s="183" t="n">
        <v>0</v>
      </c>
      <c r="Q2445" s="184" t="n">
        <v>0</v>
      </c>
      <c r="R2445" s="184" t="n">
        <v>0</v>
      </c>
      <c r="S2445" s="183" t="n">
        <v>0</v>
      </c>
      <c r="T2445" s="183" t="n">
        <v>0</v>
      </c>
      <c r="U2445" s="182" t="n">
        <v>0</v>
      </c>
      <c r="V2445" s="182" t="n">
        <v>0</v>
      </c>
      <c r="W2445" s="182" t="n">
        <v>0</v>
      </c>
      <c r="X2445" s="182" t="n">
        <v>0.98</v>
      </c>
      <c r="Y2445" s="182" t="n">
        <v>0</v>
      </c>
      <c r="Z2445" s="182" t="n">
        <v>0</v>
      </c>
      <c r="AA2445" s="182" t="n">
        <v>0</v>
      </c>
      <c r="AB2445" s="182" t="n">
        <v>0</v>
      </c>
      <c r="AC2445" s="182" t="n">
        <v>0</v>
      </c>
      <c r="AD2445" s="182" t="n">
        <v>0</v>
      </c>
      <c r="AE2445" s="182" t="n">
        <v>0</v>
      </c>
      <c r="AF2445" s="182" t="n">
        <v>0</v>
      </c>
      <c r="AG2445" s="182" t="n">
        <v>0</v>
      </c>
      <c r="AH2445" s="182" t="n">
        <v>0.91</v>
      </c>
      <c r="AI2445" s="182" t="n">
        <v>0</v>
      </c>
      <c r="AJ2445" s="182" t="n">
        <v>0</v>
      </c>
      <c r="AK2445" s="182" t="n">
        <v>0</v>
      </c>
      <c r="AL2445" s="182" t="n">
        <v>0</v>
      </c>
      <c r="AM2445" s="182" t="n">
        <v>0.08</v>
      </c>
      <c r="AN2445" s="182" t="n">
        <v>0</v>
      </c>
    </row>
    <row r="2446">
      <c r="A2446" s="155" t="n">
        <v>46093</v>
      </c>
      <c r="B2446" s="156" t="inlineStr">
        <is>
          <t>DS</t>
        </is>
      </c>
      <c r="C2446" s="156" t="inlineStr">
        <is>
          <t>HT-408</t>
        </is>
      </c>
      <c r="D2446" s="156" t="inlineStr">
        <is>
          <t>SY430</t>
        </is>
      </c>
      <c r="E2446" s="156" t="inlineStr">
        <is>
          <t>DT Hauling</t>
        </is>
      </c>
      <c r="F2446" s="156" t="inlineStr"/>
      <c r="G2446" s="182" t="n">
        <v>0</v>
      </c>
      <c r="H2446" s="182" t="n">
        <v>0</v>
      </c>
      <c r="I2446" s="182" t="n">
        <v>0.5</v>
      </c>
      <c r="J2446" s="182" t="n">
        <v>0.5</v>
      </c>
      <c r="K2446" s="182" t="n">
        <v>11.5</v>
      </c>
      <c r="L2446" s="182" t="n">
        <v>12</v>
      </c>
      <c r="M2446" s="182" t="n">
        <v>0</v>
      </c>
      <c r="N2446" s="182" t="n">
        <v>0</v>
      </c>
      <c r="O2446" s="183" t="n">
        <v>0</v>
      </c>
      <c r="P2446" s="183" t="n">
        <v>0</v>
      </c>
      <c r="Q2446" s="184" t="n">
        <v>0</v>
      </c>
      <c r="R2446" s="184" t="n">
        <v>0</v>
      </c>
      <c r="S2446" s="183" t="n">
        <v>0</v>
      </c>
      <c r="T2446" s="183" t="n">
        <v>0</v>
      </c>
      <c r="U2446" s="182" t="n">
        <v>0</v>
      </c>
      <c r="V2446" s="182" t="n">
        <v>0</v>
      </c>
      <c r="W2446" s="182" t="n">
        <v>0</v>
      </c>
      <c r="X2446" s="182" t="n">
        <v>1</v>
      </c>
      <c r="Y2446" s="182" t="n">
        <v>0</v>
      </c>
      <c r="Z2446" s="182" t="n">
        <v>0</v>
      </c>
      <c r="AA2446" s="182" t="n">
        <v>0</v>
      </c>
      <c r="AB2446" s="182" t="n">
        <v>0</v>
      </c>
      <c r="AC2446" s="182" t="n">
        <v>0</v>
      </c>
      <c r="AD2446" s="182" t="n">
        <v>0</v>
      </c>
      <c r="AE2446" s="182" t="n">
        <v>0</v>
      </c>
      <c r="AF2446" s="182" t="n">
        <v>0</v>
      </c>
      <c r="AG2446" s="182" t="n">
        <v>0</v>
      </c>
      <c r="AH2446" s="182" t="n">
        <v>0</v>
      </c>
      <c r="AI2446" s="182" t="n">
        <v>0</v>
      </c>
      <c r="AJ2446" s="182" t="n">
        <v>0</v>
      </c>
      <c r="AK2446" s="182" t="n">
        <v>10.42</v>
      </c>
      <c r="AL2446" s="182" t="n">
        <v>0</v>
      </c>
      <c r="AM2446" s="182" t="n">
        <v>0.08</v>
      </c>
      <c r="AN2446" s="182" t="n">
        <v>0</v>
      </c>
    </row>
    <row r="2447">
      <c r="A2447" s="155" t="n">
        <v>46093</v>
      </c>
      <c r="B2447" s="156" t="inlineStr">
        <is>
          <t>DS</t>
        </is>
      </c>
      <c r="C2447" s="156" t="inlineStr">
        <is>
          <t>HT-412</t>
        </is>
      </c>
      <c r="D2447" s="156" t="inlineStr">
        <is>
          <t>SY430</t>
        </is>
      </c>
      <c r="E2447" s="156" t="inlineStr">
        <is>
          <t>DT Hauling</t>
        </is>
      </c>
      <c r="F2447" s="156" t="inlineStr">
        <is>
          <t>Hauling Coal ke Jetty</t>
        </is>
      </c>
      <c r="G2447" s="182" t="n">
        <v>11.13</v>
      </c>
      <c r="H2447" s="182" t="n">
        <v>0</v>
      </c>
      <c r="I2447" s="182" t="n">
        <v>0.53</v>
      </c>
      <c r="J2447" s="182" t="n">
        <v>0.53</v>
      </c>
      <c r="K2447" s="182" t="n">
        <v>0.34</v>
      </c>
      <c r="L2447" s="182" t="n">
        <v>12</v>
      </c>
      <c r="M2447" s="182" t="n">
        <v>0</v>
      </c>
      <c r="N2447" s="182" t="n">
        <v>0</v>
      </c>
      <c r="O2447" s="183" t="n">
        <v>0</v>
      </c>
      <c r="P2447" s="183" t="n">
        <v>0</v>
      </c>
      <c r="Q2447" s="184" t="n">
        <v>0</v>
      </c>
      <c r="R2447" s="184" t="n">
        <v>0</v>
      </c>
      <c r="S2447" s="183" t="n">
        <v>0</v>
      </c>
      <c r="T2447" s="183" t="n">
        <v>0</v>
      </c>
      <c r="U2447" s="182" t="n">
        <v>0</v>
      </c>
      <c r="V2447" s="182" t="n">
        <v>0</v>
      </c>
      <c r="W2447" s="182" t="n">
        <v>0</v>
      </c>
      <c r="X2447" s="182" t="n">
        <v>0.23</v>
      </c>
      <c r="Y2447" s="182" t="n">
        <v>0</v>
      </c>
      <c r="Z2447" s="182" t="n">
        <v>0</v>
      </c>
      <c r="AA2447" s="182" t="n">
        <v>0</v>
      </c>
      <c r="AB2447" s="182" t="n">
        <v>0</v>
      </c>
      <c r="AC2447" s="182" t="n">
        <v>0</v>
      </c>
      <c r="AD2447" s="182" t="n">
        <v>0</v>
      </c>
      <c r="AE2447" s="182" t="n">
        <v>0</v>
      </c>
      <c r="AF2447" s="182" t="n">
        <v>0</v>
      </c>
      <c r="AG2447" s="182" t="n">
        <v>0</v>
      </c>
      <c r="AH2447" s="182" t="n">
        <v>0</v>
      </c>
      <c r="AI2447" s="182" t="n">
        <v>0</v>
      </c>
      <c r="AJ2447" s="182" t="n">
        <v>0</v>
      </c>
      <c r="AK2447" s="182" t="n">
        <v>0</v>
      </c>
      <c r="AL2447" s="182" t="n">
        <v>0</v>
      </c>
      <c r="AM2447" s="182" t="n">
        <v>0.1</v>
      </c>
      <c r="AN2447" s="182" t="n">
        <v>0</v>
      </c>
    </row>
    <row r="2448">
      <c r="A2448" s="155" t="n">
        <v>46093</v>
      </c>
      <c r="B2448" s="156" t="inlineStr">
        <is>
          <t>DS</t>
        </is>
      </c>
      <c r="C2448" s="156" t="inlineStr">
        <is>
          <t>HT-413</t>
        </is>
      </c>
      <c r="D2448" s="156" t="inlineStr">
        <is>
          <t>SY430</t>
        </is>
      </c>
      <c r="E2448" s="156" t="inlineStr">
        <is>
          <t>DT Hauling</t>
        </is>
      </c>
      <c r="F2448" s="156" t="inlineStr"/>
      <c r="G2448" s="182" t="n">
        <v>0</v>
      </c>
      <c r="H2448" s="182" t="n">
        <v>0</v>
      </c>
      <c r="I2448" s="182" t="n">
        <v>12</v>
      </c>
      <c r="J2448" s="182" t="n">
        <v>12</v>
      </c>
      <c r="K2448" s="182" t="n">
        <v>0</v>
      </c>
      <c r="L2448" s="182" t="n">
        <v>12</v>
      </c>
      <c r="M2448" s="182" t="n">
        <v>0</v>
      </c>
      <c r="N2448" s="182" t="n">
        <v>0</v>
      </c>
      <c r="O2448" s="183" t="n">
        <v>0</v>
      </c>
      <c r="P2448" s="183" t="n">
        <v>0</v>
      </c>
      <c r="Q2448" s="184" t="n">
        <v>0</v>
      </c>
      <c r="R2448" s="184" t="n">
        <v>0</v>
      </c>
      <c r="S2448" s="183" t="n">
        <v>0</v>
      </c>
      <c r="T2448" s="183" t="n">
        <v>0</v>
      </c>
      <c r="U2448" s="182" t="n">
        <v>0</v>
      </c>
      <c r="V2448" s="182" t="n">
        <v>0</v>
      </c>
      <c r="W2448" s="182" t="n">
        <v>0</v>
      </c>
      <c r="X2448" s="182" t="n">
        <v>0</v>
      </c>
      <c r="Y2448" s="182" t="n">
        <v>0</v>
      </c>
      <c r="Z2448" s="182" t="n">
        <v>0</v>
      </c>
      <c r="AA2448" s="182" t="n">
        <v>0</v>
      </c>
      <c r="AB2448" s="182" t="n">
        <v>0</v>
      </c>
      <c r="AC2448" s="182" t="n">
        <v>0</v>
      </c>
      <c r="AD2448" s="182" t="n">
        <v>0</v>
      </c>
      <c r="AE2448" s="182" t="n">
        <v>0</v>
      </c>
      <c r="AF2448" s="182" t="n">
        <v>0</v>
      </c>
      <c r="AG2448" s="182" t="n">
        <v>0</v>
      </c>
      <c r="AH2448" s="182" t="n">
        <v>0</v>
      </c>
      <c r="AI2448" s="182" t="n">
        <v>0</v>
      </c>
      <c r="AJ2448" s="182" t="n">
        <v>0</v>
      </c>
      <c r="AK2448" s="182" t="n">
        <v>0</v>
      </c>
      <c r="AL2448" s="182" t="n">
        <v>0</v>
      </c>
      <c r="AM2448" s="182" t="n">
        <v>0</v>
      </c>
      <c r="AN2448" s="182" t="n">
        <v>0</v>
      </c>
    </row>
    <row r="2449">
      <c r="A2449" s="155" t="n">
        <v>46093</v>
      </c>
      <c r="B2449" s="156" t="inlineStr">
        <is>
          <t>DS</t>
        </is>
      </c>
      <c r="C2449" s="156" t="inlineStr">
        <is>
          <t>HT-407</t>
        </is>
      </c>
      <c r="D2449" s="156" t="inlineStr">
        <is>
          <t>SY430</t>
        </is>
      </c>
      <c r="E2449" s="156" t="inlineStr">
        <is>
          <t>DT Hauling</t>
        </is>
      </c>
      <c r="F2449" s="156" t="inlineStr">
        <is>
          <t>Hauling Coal ke Jetty</t>
        </is>
      </c>
      <c r="G2449" s="182" t="n">
        <v>11.32</v>
      </c>
      <c r="H2449" s="182" t="n">
        <v>0</v>
      </c>
      <c r="I2449" s="182" t="n">
        <v>0</v>
      </c>
      <c r="J2449" s="182" t="n">
        <v>0</v>
      </c>
      <c r="K2449" s="182" t="n">
        <v>0.68</v>
      </c>
      <c r="L2449" s="182" t="n">
        <v>12</v>
      </c>
      <c r="M2449" s="182" t="n">
        <v>0</v>
      </c>
      <c r="N2449" s="182" t="n">
        <v>0</v>
      </c>
      <c r="O2449" s="183" t="n">
        <v>0</v>
      </c>
      <c r="P2449" s="183" t="n">
        <v>0</v>
      </c>
      <c r="Q2449" s="184" t="n">
        <v>0</v>
      </c>
      <c r="R2449" s="184" t="n">
        <v>0</v>
      </c>
      <c r="S2449" s="183" t="n">
        <v>0</v>
      </c>
      <c r="T2449" s="183" t="n">
        <v>0</v>
      </c>
      <c r="U2449" s="182" t="n">
        <v>0</v>
      </c>
      <c r="V2449" s="182" t="n">
        <v>0</v>
      </c>
      <c r="W2449" s="182" t="n">
        <v>0</v>
      </c>
      <c r="X2449" s="182" t="n">
        <v>0.6</v>
      </c>
      <c r="Y2449" s="182" t="n">
        <v>0</v>
      </c>
      <c r="Z2449" s="182" t="n">
        <v>0</v>
      </c>
      <c r="AA2449" s="182" t="n">
        <v>0</v>
      </c>
      <c r="AB2449" s="182" t="n">
        <v>0</v>
      </c>
      <c r="AC2449" s="182" t="n">
        <v>0</v>
      </c>
      <c r="AD2449" s="182" t="n">
        <v>0</v>
      </c>
      <c r="AE2449" s="182" t="n">
        <v>0</v>
      </c>
      <c r="AF2449" s="182" t="n">
        <v>0</v>
      </c>
      <c r="AG2449" s="182" t="n">
        <v>0</v>
      </c>
      <c r="AH2449" s="182" t="n">
        <v>0</v>
      </c>
      <c r="AI2449" s="182" t="n">
        <v>0</v>
      </c>
      <c r="AJ2449" s="182" t="n">
        <v>0</v>
      </c>
      <c r="AK2449" s="182" t="n">
        <v>0</v>
      </c>
      <c r="AL2449" s="182" t="n">
        <v>0</v>
      </c>
      <c r="AM2449" s="182" t="n">
        <v>0.08</v>
      </c>
      <c r="AN2449" s="182" t="n">
        <v>0</v>
      </c>
    </row>
    <row r="2450">
      <c r="A2450" s="155" t="n">
        <v>46093</v>
      </c>
      <c r="B2450" s="156" t="inlineStr">
        <is>
          <t>DS</t>
        </is>
      </c>
      <c r="C2450" s="156" t="inlineStr">
        <is>
          <t>HT-414</t>
        </is>
      </c>
      <c r="D2450" s="156" t="inlineStr">
        <is>
          <t>SY430</t>
        </is>
      </c>
      <c r="E2450" s="156" t="inlineStr">
        <is>
          <t>DT Hauling</t>
        </is>
      </c>
      <c r="F2450" s="156" t="inlineStr">
        <is>
          <t>Hauling Coal ke Jetty</t>
        </is>
      </c>
      <c r="G2450" s="182" t="n">
        <v>11</v>
      </c>
      <c r="H2450" s="182" t="n">
        <v>0</v>
      </c>
      <c r="I2450" s="182" t="n">
        <v>0.25</v>
      </c>
      <c r="J2450" s="182" t="n">
        <v>0.25</v>
      </c>
      <c r="K2450" s="182" t="n">
        <v>0.75</v>
      </c>
      <c r="L2450" s="182" t="n">
        <v>12</v>
      </c>
      <c r="M2450" s="182" t="n">
        <v>0</v>
      </c>
      <c r="N2450" s="182" t="n">
        <v>0</v>
      </c>
      <c r="O2450" s="183" t="n">
        <v>0</v>
      </c>
      <c r="P2450" s="183" t="n">
        <v>0</v>
      </c>
      <c r="Q2450" s="184" t="n">
        <v>0</v>
      </c>
      <c r="R2450" s="184" t="n">
        <v>0</v>
      </c>
      <c r="S2450" s="183" t="n">
        <v>0</v>
      </c>
      <c r="T2450" s="183" t="n">
        <v>0</v>
      </c>
      <c r="U2450" s="182" t="n">
        <v>0</v>
      </c>
      <c r="V2450" s="182" t="n">
        <v>0</v>
      </c>
      <c r="W2450" s="182" t="n">
        <v>0</v>
      </c>
      <c r="X2450" s="182" t="n">
        <v>0.35</v>
      </c>
      <c r="Y2450" s="182" t="n">
        <v>0</v>
      </c>
      <c r="Z2450" s="182" t="n">
        <v>0</v>
      </c>
      <c r="AA2450" s="182" t="n">
        <v>0</v>
      </c>
      <c r="AB2450" s="182" t="n">
        <v>0</v>
      </c>
      <c r="AC2450" s="182" t="n">
        <v>0</v>
      </c>
      <c r="AD2450" s="182" t="n">
        <v>0</v>
      </c>
      <c r="AE2450" s="182" t="n">
        <v>0</v>
      </c>
      <c r="AF2450" s="182" t="n">
        <v>0</v>
      </c>
      <c r="AG2450" s="182" t="n">
        <v>0</v>
      </c>
      <c r="AH2450" s="182" t="n">
        <v>0</v>
      </c>
      <c r="AI2450" s="182" t="n">
        <v>0</v>
      </c>
      <c r="AJ2450" s="182" t="n">
        <v>0</v>
      </c>
      <c r="AK2450" s="182" t="n">
        <v>0</v>
      </c>
      <c r="AL2450" s="182" t="n">
        <v>0</v>
      </c>
      <c r="AM2450" s="182" t="n">
        <v>0.4</v>
      </c>
      <c r="AN2450" s="182" t="n">
        <v>0</v>
      </c>
    </row>
    <row r="2451">
      <c r="A2451" s="155" t="n">
        <v>46093</v>
      </c>
      <c r="B2451" s="156" t="inlineStr">
        <is>
          <t>DS</t>
        </is>
      </c>
      <c r="C2451" s="156" t="inlineStr">
        <is>
          <t>HT-411</t>
        </is>
      </c>
      <c r="D2451" s="156" t="inlineStr">
        <is>
          <t>SY430</t>
        </is>
      </c>
      <c r="E2451" s="156" t="inlineStr">
        <is>
          <t>DT Hauling</t>
        </is>
      </c>
      <c r="F2451" s="156" t="inlineStr">
        <is>
          <t>Hauling Coal ke Jetty</t>
        </is>
      </c>
      <c r="G2451" s="182" t="n">
        <v>10</v>
      </c>
      <c r="H2451" s="182" t="n">
        <v>0</v>
      </c>
      <c r="I2451" s="182" t="n">
        <v>0</v>
      </c>
      <c r="J2451" s="182" t="n">
        <v>0</v>
      </c>
      <c r="K2451" s="182" t="n">
        <v>2</v>
      </c>
      <c r="L2451" s="182" t="n">
        <v>12</v>
      </c>
      <c r="M2451" s="182" t="n">
        <v>0</v>
      </c>
      <c r="N2451" s="182" t="n">
        <v>0</v>
      </c>
      <c r="O2451" s="183" t="n">
        <v>0</v>
      </c>
      <c r="P2451" s="183" t="n">
        <v>0</v>
      </c>
      <c r="Q2451" s="184" t="n">
        <v>0</v>
      </c>
      <c r="R2451" s="184" t="n">
        <v>0</v>
      </c>
      <c r="S2451" s="183" t="n">
        <v>0</v>
      </c>
      <c r="T2451" s="183" t="n">
        <v>0</v>
      </c>
      <c r="U2451" s="182" t="n">
        <v>0</v>
      </c>
      <c r="V2451" s="182" t="n">
        <v>0</v>
      </c>
      <c r="W2451" s="182" t="n">
        <v>0</v>
      </c>
      <c r="X2451" s="182" t="n">
        <v>1.25</v>
      </c>
      <c r="Y2451" s="182" t="n">
        <v>0</v>
      </c>
      <c r="Z2451" s="182" t="n">
        <v>0</v>
      </c>
      <c r="AA2451" s="182" t="n">
        <v>0</v>
      </c>
      <c r="AB2451" s="182" t="n">
        <v>0</v>
      </c>
      <c r="AC2451" s="182" t="n">
        <v>0</v>
      </c>
      <c r="AD2451" s="182" t="n">
        <v>0</v>
      </c>
      <c r="AE2451" s="182" t="n">
        <v>0</v>
      </c>
      <c r="AF2451" s="182" t="n">
        <v>0</v>
      </c>
      <c r="AG2451" s="182" t="n">
        <v>0</v>
      </c>
      <c r="AH2451" s="182" t="n">
        <v>0.65</v>
      </c>
      <c r="AI2451" s="182" t="n">
        <v>0</v>
      </c>
      <c r="AJ2451" s="182" t="n">
        <v>0</v>
      </c>
      <c r="AK2451" s="182" t="n">
        <v>0</v>
      </c>
      <c r="AL2451" s="182" t="n">
        <v>0</v>
      </c>
      <c r="AM2451" s="182" t="n">
        <v>0.1</v>
      </c>
      <c r="AN2451" s="182" t="n">
        <v>0</v>
      </c>
    </row>
    <row r="2452">
      <c r="A2452" s="155" t="n">
        <v>46093</v>
      </c>
      <c r="B2452" s="156" t="inlineStr">
        <is>
          <t>DS</t>
        </is>
      </c>
      <c r="C2452" s="156" t="inlineStr">
        <is>
          <t>HT-409</t>
        </is>
      </c>
      <c r="D2452" s="156" t="inlineStr">
        <is>
          <t>SY430</t>
        </is>
      </c>
      <c r="E2452" s="156" t="inlineStr">
        <is>
          <t>DT Hauling</t>
        </is>
      </c>
      <c r="F2452" s="156" t="inlineStr">
        <is>
          <t>Hauling Coal ke Jetty</t>
        </is>
      </c>
      <c r="G2452" s="182" t="n">
        <v>11.9</v>
      </c>
      <c r="H2452" s="182" t="n">
        <v>0</v>
      </c>
      <c r="I2452" s="182" t="n">
        <v>0.1</v>
      </c>
      <c r="J2452" s="182" t="n">
        <v>0.1</v>
      </c>
      <c r="K2452" s="182" t="n">
        <v>0</v>
      </c>
      <c r="L2452" s="182" t="n">
        <v>12</v>
      </c>
      <c r="M2452" s="182" t="n">
        <v>0</v>
      </c>
      <c r="N2452" s="182" t="n">
        <v>0</v>
      </c>
      <c r="O2452" s="183" t="n">
        <v>0</v>
      </c>
      <c r="P2452" s="183" t="n">
        <v>0</v>
      </c>
      <c r="Q2452" s="184" t="n">
        <v>0</v>
      </c>
      <c r="R2452" s="184" t="n">
        <v>0</v>
      </c>
      <c r="S2452" s="183" t="n">
        <v>0</v>
      </c>
      <c r="T2452" s="183" t="n">
        <v>0</v>
      </c>
      <c r="U2452" s="182" t="n">
        <v>0</v>
      </c>
      <c r="V2452" s="182" t="n">
        <v>0</v>
      </c>
      <c r="W2452" s="182" t="n">
        <v>0</v>
      </c>
      <c r="X2452" s="182" t="n">
        <v>0</v>
      </c>
      <c r="Y2452" s="182" t="n">
        <v>0</v>
      </c>
      <c r="Z2452" s="182" t="n">
        <v>0</v>
      </c>
      <c r="AA2452" s="182" t="n">
        <v>0</v>
      </c>
      <c r="AB2452" s="182" t="n">
        <v>0</v>
      </c>
      <c r="AC2452" s="182" t="n">
        <v>0</v>
      </c>
      <c r="AD2452" s="182" t="n">
        <v>0</v>
      </c>
      <c r="AE2452" s="182" t="n">
        <v>0</v>
      </c>
      <c r="AF2452" s="182" t="n">
        <v>0</v>
      </c>
      <c r="AG2452" s="182" t="n">
        <v>0</v>
      </c>
      <c r="AH2452" s="182" t="n">
        <v>0</v>
      </c>
      <c r="AI2452" s="182" t="n">
        <v>0</v>
      </c>
      <c r="AJ2452" s="182" t="n">
        <v>0</v>
      </c>
      <c r="AK2452" s="182" t="n">
        <v>0</v>
      </c>
      <c r="AL2452" s="182" t="n">
        <v>0</v>
      </c>
      <c r="AM2452" s="182" t="n">
        <v>0</v>
      </c>
      <c r="AN2452" s="182" t="n">
        <v>0</v>
      </c>
    </row>
    <row r="2453">
      <c r="A2453" s="155" t="n">
        <v>46093</v>
      </c>
      <c r="B2453" s="156" t="inlineStr">
        <is>
          <t>DS</t>
        </is>
      </c>
      <c r="C2453" s="156" t="inlineStr">
        <is>
          <t>DH-103</t>
        </is>
      </c>
      <c r="D2453" s="156" t="inlineStr">
        <is>
          <t>HINO FM260</t>
        </is>
      </c>
      <c r="E2453" s="156" t="inlineStr">
        <is>
          <t>DT Hino</t>
        </is>
      </c>
      <c r="F2453" s="156" t="inlineStr"/>
      <c r="G2453" s="182" t="n">
        <v>0</v>
      </c>
      <c r="H2453" s="182" t="n">
        <v>0</v>
      </c>
      <c r="I2453" s="182" t="n">
        <v>12</v>
      </c>
      <c r="J2453" s="182" t="n">
        <v>12</v>
      </c>
      <c r="K2453" s="182" t="n">
        <v>0</v>
      </c>
      <c r="L2453" s="182" t="n">
        <v>12</v>
      </c>
      <c r="M2453" s="182" t="n">
        <v>0</v>
      </c>
      <c r="N2453" s="182" t="n">
        <v>0</v>
      </c>
      <c r="O2453" s="183" t="n">
        <v>0</v>
      </c>
      <c r="P2453" s="183" t="n">
        <v>0</v>
      </c>
      <c r="Q2453" s="184" t="n">
        <v>0</v>
      </c>
      <c r="R2453" s="184" t="n">
        <v>0</v>
      </c>
      <c r="S2453" s="183" t="n">
        <v>0</v>
      </c>
      <c r="T2453" s="183" t="n">
        <v>0</v>
      </c>
      <c r="U2453" s="182" t="n">
        <v>0</v>
      </c>
      <c r="V2453" s="182" t="n">
        <v>0</v>
      </c>
      <c r="W2453" s="182" t="n">
        <v>0</v>
      </c>
      <c r="X2453" s="182" t="n">
        <v>0</v>
      </c>
      <c r="Y2453" s="182" t="n">
        <v>0</v>
      </c>
      <c r="Z2453" s="182" t="n">
        <v>0</v>
      </c>
      <c r="AA2453" s="182" t="n">
        <v>0</v>
      </c>
      <c r="AB2453" s="182" t="n">
        <v>0</v>
      </c>
      <c r="AC2453" s="182" t="n">
        <v>0</v>
      </c>
      <c r="AD2453" s="182" t="n">
        <v>0</v>
      </c>
      <c r="AE2453" s="182" t="n">
        <v>0</v>
      </c>
      <c r="AF2453" s="182" t="n">
        <v>0</v>
      </c>
      <c r="AG2453" s="182" t="n">
        <v>0</v>
      </c>
      <c r="AH2453" s="182" t="n">
        <v>0</v>
      </c>
      <c r="AI2453" s="182" t="n">
        <v>0</v>
      </c>
      <c r="AJ2453" s="182" t="n">
        <v>0</v>
      </c>
      <c r="AK2453" s="182" t="n">
        <v>0</v>
      </c>
      <c r="AL2453" s="182" t="n">
        <v>0</v>
      </c>
      <c r="AM2453" s="182" t="n">
        <v>0</v>
      </c>
      <c r="AN2453" s="182" t="n">
        <v>0</v>
      </c>
    </row>
    <row r="2454">
      <c r="A2454" s="155" t="n">
        <v>46093</v>
      </c>
      <c r="B2454" s="156" t="inlineStr">
        <is>
          <t>DS</t>
        </is>
      </c>
      <c r="C2454" s="156" t="inlineStr">
        <is>
          <t>DH-102</t>
        </is>
      </c>
      <c r="D2454" s="156" t="inlineStr">
        <is>
          <t>HINO FM260</t>
        </is>
      </c>
      <c r="E2454" s="156" t="inlineStr">
        <is>
          <t>DT Hino</t>
        </is>
      </c>
      <c r="F2454" s="156" t="inlineStr"/>
      <c r="G2454" s="182" t="n">
        <v>0</v>
      </c>
      <c r="H2454" s="182" t="n">
        <v>0</v>
      </c>
      <c r="I2454" s="182" t="n">
        <v>0</v>
      </c>
      <c r="J2454" s="182" t="n">
        <v>0</v>
      </c>
      <c r="K2454" s="182" t="n">
        <v>12</v>
      </c>
      <c r="L2454" s="182" t="n">
        <v>12</v>
      </c>
      <c r="M2454" s="182" t="n">
        <v>0</v>
      </c>
      <c r="N2454" s="182" t="n">
        <v>0</v>
      </c>
      <c r="O2454" s="183" t="n">
        <v>0</v>
      </c>
      <c r="P2454" s="183" t="n">
        <v>0</v>
      </c>
      <c r="Q2454" s="184" t="n">
        <v>0</v>
      </c>
      <c r="R2454" s="184" t="n">
        <v>0</v>
      </c>
      <c r="S2454" s="183" t="n">
        <v>0</v>
      </c>
      <c r="T2454" s="183" t="n">
        <v>0</v>
      </c>
      <c r="U2454" s="182" t="n">
        <v>1.83</v>
      </c>
      <c r="V2454" s="182" t="n">
        <v>0</v>
      </c>
      <c r="W2454" s="182" t="n">
        <v>0</v>
      </c>
      <c r="X2454" s="182" t="n">
        <v>1</v>
      </c>
      <c r="Y2454" s="182" t="n">
        <v>0</v>
      </c>
      <c r="Z2454" s="182" t="n">
        <v>0</v>
      </c>
      <c r="AA2454" s="182" t="n">
        <v>0</v>
      </c>
      <c r="AB2454" s="182" t="n">
        <v>0</v>
      </c>
      <c r="AC2454" s="182" t="n">
        <v>0</v>
      </c>
      <c r="AD2454" s="182" t="n">
        <v>0</v>
      </c>
      <c r="AE2454" s="182" t="n">
        <v>0</v>
      </c>
      <c r="AF2454" s="182" t="n">
        <v>0</v>
      </c>
      <c r="AG2454" s="182" t="n">
        <v>0</v>
      </c>
      <c r="AH2454" s="182" t="n">
        <v>0</v>
      </c>
      <c r="AI2454" s="182" t="n">
        <v>0</v>
      </c>
      <c r="AJ2454" s="182" t="n">
        <v>0</v>
      </c>
      <c r="AK2454" s="182" t="n">
        <v>9.09</v>
      </c>
      <c r="AL2454" s="182" t="n">
        <v>0</v>
      </c>
      <c r="AM2454" s="182" t="n">
        <v>0.08</v>
      </c>
      <c r="AN2454" s="182" t="n">
        <v>0</v>
      </c>
    </row>
    <row r="2455">
      <c r="A2455" s="155" t="n">
        <v>46093</v>
      </c>
      <c r="B2455" s="156" t="inlineStr">
        <is>
          <t>DS</t>
        </is>
      </c>
      <c r="C2455" s="156" t="inlineStr">
        <is>
          <t>DH-101</t>
        </is>
      </c>
      <c r="D2455" s="156" t="inlineStr">
        <is>
          <t>HINO FM260</t>
        </is>
      </c>
      <c r="E2455" s="156" t="inlineStr">
        <is>
          <t>DT Hino</t>
        </is>
      </c>
      <c r="F2455" s="156" t="inlineStr"/>
      <c r="G2455" s="182" t="n">
        <v>0</v>
      </c>
      <c r="H2455" s="182" t="n">
        <v>0</v>
      </c>
      <c r="I2455" s="182" t="n">
        <v>0</v>
      </c>
      <c r="J2455" s="182" t="n">
        <v>0</v>
      </c>
      <c r="K2455" s="182" t="n">
        <v>12</v>
      </c>
      <c r="L2455" s="182" t="n">
        <v>12</v>
      </c>
      <c r="M2455" s="182" t="n">
        <v>0</v>
      </c>
      <c r="N2455" s="182" t="n">
        <v>0</v>
      </c>
      <c r="O2455" s="183" t="n">
        <v>0</v>
      </c>
      <c r="P2455" s="183" t="n">
        <v>0</v>
      </c>
      <c r="Q2455" s="184" t="n">
        <v>0</v>
      </c>
      <c r="R2455" s="184" t="n">
        <v>0</v>
      </c>
      <c r="S2455" s="183" t="n">
        <v>0</v>
      </c>
      <c r="T2455" s="183" t="n">
        <v>0</v>
      </c>
      <c r="U2455" s="182" t="n">
        <v>1.83</v>
      </c>
      <c r="V2455" s="182" t="n">
        <v>0</v>
      </c>
      <c r="W2455" s="182" t="n">
        <v>0</v>
      </c>
      <c r="X2455" s="182" t="n">
        <v>1</v>
      </c>
      <c r="Y2455" s="182" t="n">
        <v>0</v>
      </c>
      <c r="Z2455" s="182" t="n">
        <v>0</v>
      </c>
      <c r="AA2455" s="182" t="n">
        <v>0</v>
      </c>
      <c r="AB2455" s="182" t="n">
        <v>0</v>
      </c>
      <c r="AC2455" s="182" t="n">
        <v>0</v>
      </c>
      <c r="AD2455" s="182" t="n">
        <v>0</v>
      </c>
      <c r="AE2455" s="182" t="n">
        <v>0</v>
      </c>
      <c r="AF2455" s="182" t="n">
        <v>0</v>
      </c>
      <c r="AG2455" s="182" t="n">
        <v>0</v>
      </c>
      <c r="AH2455" s="182" t="n">
        <v>0</v>
      </c>
      <c r="AI2455" s="182" t="n">
        <v>0</v>
      </c>
      <c r="AJ2455" s="182" t="n">
        <v>0</v>
      </c>
      <c r="AK2455" s="182" t="n">
        <v>9.09</v>
      </c>
      <c r="AL2455" s="182" t="n">
        <v>0</v>
      </c>
      <c r="AM2455" s="182" t="n">
        <v>0.08</v>
      </c>
      <c r="AN2455" s="182" t="n">
        <v>0</v>
      </c>
    </row>
    <row r="2456">
      <c r="A2456" s="155" t="n">
        <v>46093</v>
      </c>
      <c r="B2456" s="156" t="inlineStr">
        <is>
          <t>DS</t>
        </is>
      </c>
      <c r="C2456" s="156" t="inlineStr">
        <is>
          <t>EX-1251</t>
        </is>
      </c>
      <c r="D2456" s="156" t="inlineStr">
        <is>
          <t>SY1250</t>
        </is>
      </c>
      <c r="E2456" s="156" t="inlineStr">
        <is>
          <t>Excavator</t>
        </is>
      </c>
      <c r="F2456" s="156" t="inlineStr">
        <is>
          <t>Loading OB</t>
        </is>
      </c>
      <c r="G2456" s="182" t="n">
        <v>8.199999999999999</v>
      </c>
      <c r="H2456" s="182" t="n">
        <v>0</v>
      </c>
      <c r="I2456" s="182" t="n">
        <v>0</v>
      </c>
      <c r="J2456" s="182" t="n">
        <v>0</v>
      </c>
      <c r="K2456" s="182" t="n">
        <v>3.8</v>
      </c>
      <c r="L2456" s="182" t="n">
        <v>12</v>
      </c>
      <c r="M2456" s="182" t="n">
        <v>6.69</v>
      </c>
      <c r="N2456" s="182" t="n">
        <v>0</v>
      </c>
      <c r="O2456" s="183" t="n">
        <v>107</v>
      </c>
      <c r="P2456" s="183" t="n">
        <v>0</v>
      </c>
      <c r="Q2456" s="184" t="n">
        <v>2230.4</v>
      </c>
      <c r="R2456" s="184" t="n">
        <v>0</v>
      </c>
      <c r="S2456" s="183" t="n">
        <v>0</v>
      </c>
      <c r="T2456" s="183" t="n">
        <v>0</v>
      </c>
      <c r="U2456" s="182" t="n">
        <v>1.74</v>
      </c>
      <c r="V2456" s="182" t="n">
        <v>0.87</v>
      </c>
      <c r="W2456" s="182" t="n">
        <v>0</v>
      </c>
      <c r="X2456" s="182" t="n">
        <v>0.95</v>
      </c>
      <c r="Y2456" s="182" t="n">
        <v>0</v>
      </c>
      <c r="Z2456" s="182" t="n">
        <v>0</v>
      </c>
      <c r="AA2456" s="182" t="n">
        <v>0</v>
      </c>
      <c r="AB2456" s="182" t="n">
        <v>0</v>
      </c>
      <c r="AC2456" s="182" t="n">
        <v>0</v>
      </c>
      <c r="AD2456" s="182" t="n">
        <v>0</v>
      </c>
      <c r="AE2456" s="182" t="n">
        <v>0</v>
      </c>
      <c r="AF2456" s="182" t="n">
        <v>0</v>
      </c>
      <c r="AG2456" s="182" t="n">
        <v>0</v>
      </c>
      <c r="AH2456" s="182" t="n">
        <v>0.16</v>
      </c>
      <c r="AI2456" s="182" t="n">
        <v>0</v>
      </c>
      <c r="AJ2456" s="182" t="n">
        <v>0</v>
      </c>
      <c r="AK2456" s="182" t="n">
        <v>0</v>
      </c>
      <c r="AL2456" s="182" t="n">
        <v>0</v>
      </c>
      <c r="AM2456" s="182" t="n">
        <v>0.08</v>
      </c>
      <c r="AN2456" s="182" t="n">
        <v>0</v>
      </c>
    </row>
    <row r="2457">
      <c r="A2457" s="155" t="n">
        <v>46093</v>
      </c>
      <c r="B2457" s="156" t="inlineStr">
        <is>
          <t>DS</t>
        </is>
      </c>
      <c r="C2457" s="156" t="inlineStr">
        <is>
          <t>EX-1252</t>
        </is>
      </c>
      <c r="D2457" s="156" t="inlineStr">
        <is>
          <t>SY1250</t>
        </is>
      </c>
      <c r="E2457" s="156" t="inlineStr">
        <is>
          <t>Excavator</t>
        </is>
      </c>
      <c r="F2457" s="156" t="inlineStr"/>
      <c r="G2457" s="182" t="n">
        <v>0</v>
      </c>
      <c r="H2457" s="182" t="n">
        <v>0</v>
      </c>
      <c r="I2457" s="182" t="n">
        <v>12</v>
      </c>
      <c r="J2457" s="182" t="n">
        <v>12</v>
      </c>
      <c r="K2457" s="182" t="n">
        <v>0</v>
      </c>
      <c r="L2457" s="182" t="n">
        <v>12</v>
      </c>
      <c r="M2457" s="182" t="n">
        <v>0</v>
      </c>
      <c r="N2457" s="182" t="n">
        <v>0</v>
      </c>
      <c r="O2457" s="183" t="n">
        <v>0</v>
      </c>
      <c r="P2457" s="183" t="n">
        <v>0</v>
      </c>
      <c r="Q2457" s="184" t="n">
        <v>0</v>
      </c>
      <c r="R2457" s="184" t="n">
        <v>0</v>
      </c>
      <c r="S2457" s="183" t="n">
        <v>0</v>
      </c>
      <c r="T2457" s="183" t="n">
        <v>0</v>
      </c>
      <c r="U2457" s="182" t="n">
        <v>0</v>
      </c>
      <c r="V2457" s="182" t="n">
        <v>0</v>
      </c>
      <c r="W2457" s="182" t="n">
        <v>0</v>
      </c>
      <c r="X2457" s="182" t="n">
        <v>0</v>
      </c>
      <c r="Y2457" s="182" t="n">
        <v>0</v>
      </c>
      <c r="Z2457" s="182" t="n">
        <v>0</v>
      </c>
      <c r="AA2457" s="182" t="n">
        <v>0</v>
      </c>
      <c r="AB2457" s="182" t="n">
        <v>0</v>
      </c>
      <c r="AC2457" s="182" t="n">
        <v>0</v>
      </c>
      <c r="AD2457" s="182" t="n">
        <v>0</v>
      </c>
      <c r="AE2457" s="182" t="n">
        <v>0</v>
      </c>
      <c r="AF2457" s="182" t="n">
        <v>0</v>
      </c>
      <c r="AG2457" s="182" t="n">
        <v>0</v>
      </c>
      <c r="AH2457" s="182" t="n">
        <v>0</v>
      </c>
      <c r="AI2457" s="182" t="n">
        <v>0</v>
      </c>
      <c r="AJ2457" s="182" t="n">
        <v>0</v>
      </c>
      <c r="AK2457" s="182" t="n">
        <v>0</v>
      </c>
      <c r="AL2457" s="182" t="n">
        <v>0</v>
      </c>
      <c r="AM2457" s="182" t="n">
        <v>0</v>
      </c>
      <c r="AN2457" s="182" t="n">
        <v>0</v>
      </c>
    </row>
    <row r="2458">
      <c r="A2458" s="155" t="n">
        <v>46093</v>
      </c>
      <c r="B2458" s="156" t="inlineStr">
        <is>
          <t>DS</t>
        </is>
      </c>
      <c r="C2458" s="156" t="inlineStr">
        <is>
          <t>EX-2101</t>
        </is>
      </c>
      <c r="D2458" s="156" t="inlineStr">
        <is>
          <t>SY2000</t>
        </is>
      </c>
      <c r="E2458" s="156" t="inlineStr">
        <is>
          <t>Excavator</t>
        </is>
      </c>
      <c r="F2458" s="156" t="inlineStr"/>
      <c r="G2458" s="182" t="n">
        <v>0</v>
      </c>
      <c r="H2458" s="182" t="n">
        <v>0</v>
      </c>
      <c r="I2458" s="182" t="n">
        <v>12</v>
      </c>
      <c r="J2458" s="182" t="n">
        <v>12</v>
      </c>
      <c r="K2458" s="182" t="n">
        <v>0</v>
      </c>
      <c r="L2458" s="182" t="n">
        <v>12</v>
      </c>
      <c r="M2458" s="182" t="n">
        <v>0</v>
      </c>
      <c r="N2458" s="182" t="n">
        <v>0</v>
      </c>
      <c r="O2458" s="183" t="n">
        <v>0</v>
      </c>
      <c r="P2458" s="183" t="n">
        <v>0</v>
      </c>
      <c r="Q2458" s="184" t="n">
        <v>0</v>
      </c>
      <c r="R2458" s="184" t="n">
        <v>0</v>
      </c>
      <c r="S2458" s="183" t="n">
        <v>0</v>
      </c>
      <c r="T2458" s="183" t="n">
        <v>0</v>
      </c>
      <c r="U2458" s="182" t="n">
        <v>0</v>
      </c>
      <c r="V2458" s="182" t="n">
        <v>0</v>
      </c>
      <c r="W2458" s="182" t="n">
        <v>0</v>
      </c>
      <c r="X2458" s="182" t="n">
        <v>0</v>
      </c>
      <c r="Y2458" s="182" t="n">
        <v>0</v>
      </c>
      <c r="Z2458" s="182" t="n">
        <v>0</v>
      </c>
      <c r="AA2458" s="182" t="n">
        <v>0</v>
      </c>
      <c r="AB2458" s="182" t="n">
        <v>0</v>
      </c>
      <c r="AC2458" s="182" t="n">
        <v>0</v>
      </c>
      <c r="AD2458" s="182" t="n">
        <v>0</v>
      </c>
      <c r="AE2458" s="182" t="n">
        <v>0</v>
      </c>
      <c r="AF2458" s="182" t="n">
        <v>0</v>
      </c>
      <c r="AG2458" s="182" t="n">
        <v>0</v>
      </c>
      <c r="AH2458" s="182" t="n">
        <v>0</v>
      </c>
      <c r="AI2458" s="182" t="n">
        <v>0</v>
      </c>
      <c r="AJ2458" s="182" t="n">
        <v>0</v>
      </c>
      <c r="AK2458" s="182" t="n">
        <v>0</v>
      </c>
      <c r="AL2458" s="182" t="n">
        <v>0</v>
      </c>
      <c r="AM2458" s="182" t="n">
        <v>0</v>
      </c>
      <c r="AN2458" s="182" t="n">
        <v>0</v>
      </c>
    </row>
    <row r="2459">
      <c r="A2459" s="155" t="n">
        <v>46093</v>
      </c>
      <c r="B2459" s="156" t="inlineStr">
        <is>
          <t>DS</t>
        </is>
      </c>
      <c r="C2459" s="156" t="inlineStr">
        <is>
          <t>EX-222</t>
        </is>
      </c>
      <c r="D2459" s="156" t="inlineStr">
        <is>
          <t>PC 200-8MI</t>
        </is>
      </c>
      <c r="E2459" s="156" t="inlineStr">
        <is>
          <t>Excavator</t>
        </is>
      </c>
      <c r="F2459" s="156" t="inlineStr">
        <is>
          <t>Support Washing Plant</t>
        </is>
      </c>
      <c r="G2459" s="182" t="n">
        <v>8.76</v>
      </c>
      <c r="H2459" s="182" t="n">
        <v>0</v>
      </c>
      <c r="I2459" s="182" t="n">
        <v>0</v>
      </c>
      <c r="J2459" s="182" t="n">
        <v>0</v>
      </c>
      <c r="K2459" s="182" t="n">
        <v>3.24</v>
      </c>
      <c r="L2459" s="182" t="n">
        <v>12</v>
      </c>
      <c r="M2459" s="182" t="n">
        <v>0</v>
      </c>
      <c r="N2459" s="182" t="n">
        <v>0</v>
      </c>
      <c r="O2459" s="183" t="n">
        <v>0</v>
      </c>
      <c r="P2459" s="183" t="n">
        <v>0</v>
      </c>
      <c r="Q2459" s="184" t="n">
        <v>0</v>
      </c>
      <c r="R2459" s="184" t="n">
        <v>0</v>
      </c>
      <c r="S2459" s="183" t="n">
        <v>0</v>
      </c>
      <c r="T2459" s="183" t="n">
        <v>0</v>
      </c>
      <c r="U2459" s="182" t="n">
        <v>1.69</v>
      </c>
      <c r="V2459" s="182" t="n">
        <v>0</v>
      </c>
      <c r="W2459" s="182" t="n">
        <v>0</v>
      </c>
      <c r="X2459" s="182" t="n">
        <v>0.93</v>
      </c>
      <c r="Y2459" s="182" t="n">
        <v>0</v>
      </c>
      <c r="Z2459" s="182" t="n">
        <v>0</v>
      </c>
      <c r="AA2459" s="182" t="n">
        <v>0</v>
      </c>
      <c r="AB2459" s="182" t="n">
        <v>0</v>
      </c>
      <c r="AC2459" s="182" t="n">
        <v>0</v>
      </c>
      <c r="AD2459" s="182" t="n">
        <v>0</v>
      </c>
      <c r="AE2459" s="182" t="n">
        <v>0</v>
      </c>
      <c r="AF2459" s="182" t="n">
        <v>0</v>
      </c>
      <c r="AG2459" s="182" t="n">
        <v>0</v>
      </c>
      <c r="AH2459" s="182" t="n">
        <v>0.55</v>
      </c>
      <c r="AI2459" s="182" t="n">
        <v>0</v>
      </c>
      <c r="AJ2459" s="182" t="n">
        <v>0</v>
      </c>
      <c r="AK2459" s="182" t="n">
        <v>0</v>
      </c>
      <c r="AL2459" s="182" t="n">
        <v>0</v>
      </c>
      <c r="AM2459" s="182" t="n">
        <v>0.07000000000000001</v>
      </c>
      <c r="AN2459" s="182" t="n">
        <v>0</v>
      </c>
    </row>
    <row r="2460">
      <c r="A2460" s="155" t="n">
        <v>46093</v>
      </c>
      <c r="B2460" s="156" t="inlineStr">
        <is>
          <t>DS</t>
        </is>
      </c>
      <c r="C2460" s="156" t="inlineStr">
        <is>
          <t>EX-225</t>
        </is>
      </c>
      <c r="D2460" s="156" t="inlineStr">
        <is>
          <t>PC 200-8</t>
        </is>
      </c>
      <c r="E2460" s="156" t="inlineStr">
        <is>
          <t>Excavator</t>
        </is>
      </c>
      <c r="F2460" s="156" t="inlineStr"/>
      <c r="G2460" s="182" t="n">
        <v>0</v>
      </c>
      <c r="H2460" s="182" t="n">
        <v>0</v>
      </c>
      <c r="I2460" s="182" t="n">
        <v>12</v>
      </c>
      <c r="J2460" s="182" t="n">
        <v>12</v>
      </c>
      <c r="K2460" s="182" t="n">
        <v>0</v>
      </c>
      <c r="L2460" s="182" t="n">
        <v>12</v>
      </c>
      <c r="M2460" s="182" t="n">
        <v>0</v>
      </c>
      <c r="N2460" s="182" t="n">
        <v>0</v>
      </c>
      <c r="O2460" s="183" t="n">
        <v>0</v>
      </c>
      <c r="P2460" s="183" t="n">
        <v>0</v>
      </c>
      <c r="Q2460" s="184" t="n">
        <v>0</v>
      </c>
      <c r="R2460" s="184" t="n">
        <v>0</v>
      </c>
      <c r="S2460" s="183" t="n">
        <v>0</v>
      </c>
      <c r="T2460" s="183" t="n">
        <v>0</v>
      </c>
      <c r="U2460" s="182" t="n">
        <v>0</v>
      </c>
      <c r="V2460" s="182" t="n">
        <v>0</v>
      </c>
      <c r="W2460" s="182" t="n">
        <v>0</v>
      </c>
      <c r="X2460" s="182" t="n">
        <v>0</v>
      </c>
      <c r="Y2460" s="182" t="n">
        <v>0</v>
      </c>
      <c r="Z2460" s="182" t="n">
        <v>0</v>
      </c>
      <c r="AA2460" s="182" t="n">
        <v>0</v>
      </c>
      <c r="AB2460" s="182" t="n">
        <v>0</v>
      </c>
      <c r="AC2460" s="182" t="n">
        <v>0</v>
      </c>
      <c r="AD2460" s="182" t="n">
        <v>0</v>
      </c>
      <c r="AE2460" s="182" t="n">
        <v>0</v>
      </c>
      <c r="AF2460" s="182" t="n">
        <v>0</v>
      </c>
      <c r="AG2460" s="182" t="n">
        <v>0</v>
      </c>
      <c r="AH2460" s="182" t="n">
        <v>0</v>
      </c>
      <c r="AI2460" s="182" t="n">
        <v>0</v>
      </c>
      <c r="AJ2460" s="182" t="n">
        <v>0</v>
      </c>
      <c r="AK2460" s="182" t="n">
        <v>0</v>
      </c>
      <c r="AL2460" s="182" t="n">
        <v>0</v>
      </c>
      <c r="AM2460" s="182" t="n">
        <v>0</v>
      </c>
      <c r="AN2460" s="182" t="n">
        <v>0</v>
      </c>
    </row>
    <row r="2461">
      <c r="A2461" s="155" t="n">
        <v>46093</v>
      </c>
      <c r="B2461" s="156" t="inlineStr">
        <is>
          <t>DS</t>
        </is>
      </c>
      <c r="C2461" s="156" t="inlineStr">
        <is>
          <t>EX-223</t>
        </is>
      </c>
      <c r="D2461" s="156" t="inlineStr">
        <is>
          <t>PC 200-8MI</t>
        </is>
      </c>
      <c r="E2461" s="156" t="inlineStr">
        <is>
          <t>Excavator</t>
        </is>
      </c>
      <c r="F2461" s="156" t="inlineStr">
        <is>
          <t>General</t>
        </is>
      </c>
      <c r="G2461" s="182" t="n">
        <v>8.720000000000001</v>
      </c>
      <c r="H2461" s="182" t="n">
        <v>0</v>
      </c>
      <c r="I2461" s="182" t="n">
        <v>0.42</v>
      </c>
      <c r="J2461" s="182" t="n">
        <v>0.42</v>
      </c>
      <c r="K2461" s="182" t="n">
        <v>2.86</v>
      </c>
      <c r="L2461" s="182" t="n">
        <v>12</v>
      </c>
      <c r="M2461" s="182" t="n">
        <v>0</v>
      </c>
      <c r="N2461" s="182" t="n">
        <v>0</v>
      </c>
      <c r="O2461" s="183" t="n">
        <v>0</v>
      </c>
      <c r="P2461" s="183" t="n">
        <v>0</v>
      </c>
      <c r="Q2461" s="184" t="n">
        <v>0</v>
      </c>
      <c r="R2461" s="184" t="n">
        <v>0</v>
      </c>
      <c r="S2461" s="183" t="n">
        <v>0</v>
      </c>
      <c r="T2461" s="183" t="n">
        <v>0</v>
      </c>
      <c r="U2461" s="182" t="n">
        <v>1.66</v>
      </c>
      <c r="V2461" s="182" t="n">
        <v>0</v>
      </c>
      <c r="W2461" s="182" t="n">
        <v>0</v>
      </c>
      <c r="X2461" s="182" t="n">
        <v>1.11</v>
      </c>
      <c r="Y2461" s="182" t="n">
        <v>0</v>
      </c>
      <c r="Z2461" s="182" t="n">
        <v>0</v>
      </c>
      <c r="AA2461" s="182" t="n">
        <v>0</v>
      </c>
      <c r="AB2461" s="182" t="n">
        <v>0</v>
      </c>
      <c r="AC2461" s="182" t="n">
        <v>0</v>
      </c>
      <c r="AD2461" s="182" t="n">
        <v>0</v>
      </c>
      <c r="AE2461" s="182" t="n">
        <v>0</v>
      </c>
      <c r="AF2461" s="182" t="n">
        <v>0</v>
      </c>
      <c r="AG2461" s="182" t="n">
        <v>0</v>
      </c>
      <c r="AH2461" s="182" t="n">
        <v>0</v>
      </c>
      <c r="AI2461" s="182" t="n">
        <v>0</v>
      </c>
      <c r="AJ2461" s="182" t="n">
        <v>0</v>
      </c>
      <c r="AK2461" s="182" t="n">
        <v>0</v>
      </c>
      <c r="AL2461" s="182" t="n">
        <v>0</v>
      </c>
      <c r="AM2461" s="182" t="n">
        <v>0.09</v>
      </c>
      <c r="AN2461" s="182" t="n">
        <v>0</v>
      </c>
    </row>
    <row r="2462">
      <c r="A2462" s="155" t="n">
        <v>46093</v>
      </c>
      <c r="B2462" s="156" t="inlineStr">
        <is>
          <t>DS</t>
        </is>
      </c>
      <c r="C2462" s="156" t="inlineStr">
        <is>
          <t>EX-221</t>
        </is>
      </c>
      <c r="D2462" s="156" t="inlineStr">
        <is>
          <t>PC 200-8MI</t>
        </is>
      </c>
      <c r="E2462" s="156" t="inlineStr">
        <is>
          <t>Excavator</t>
        </is>
      </c>
      <c r="F2462" s="156" t="inlineStr">
        <is>
          <t>General Jetty</t>
        </is>
      </c>
      <c r="G2462" s="182" t="n">
        <v>4.38</v>
      </c>
      <c r="H2462" s="182" t="n">
        <v>0</v>
      </c>
      <c r="I2462" s="182" t="n">
        <v>0</v>
      </c>
      <c r="J2462" s="182" t="n">
        <v>0</v>
      </c>
      <c r="K2462" s="182" t="n">
        <v>7.62</v>
      </c>
      <c r="L2462" s="182" t="n">
        <v>12</v>
      </c>
      <c r="M2462" s="182" t="n">
        <v>0</v>
      </c>
      <c r="N2462" s="182" t="n">
        <v>0</v>
      </c>
      <c r="O2462" s="183" t="n">
        <v>0</v>
      </c>
      <c r="P2462" s="183" t="n">
        <v>0</v>
      </c>
      <c r="Q2462" s="184" t="n">
        <v>0</v>
      </c>
      <c r="R2462" s="184" t="n">
        <v>0</v>
      </c>
      <c r="S2462" s="183" t="n">
        <v>0</v>
      </c>
      <c r="T2462" s="183" t="n">
        <v>0</v>
      </c>
      <c r="U2462" s="182" t="n">
        <v>0</v>
      </c>
      <c r="V2462" s="182" t="n">
        <v>0</v>
      </c>
      <c r="W2462" s="182" t="n">
        <v>0</v>
      </c>
      <c r="X2462" s="182" t="n">
        <v>0.95</v>
      </c>
      <c r="Y2462" s="182" t="n">
        <v>0</v>
      </c>
      <c r="Z2462" s="182" t="n">
        <v>0</v>
      </c>
      <c r="AA2462" s="182" t="n">
        <v>0</v>
      </c>
      <c r="AB2462" s="182" t="n">
        <v>0</v>
      </c>
      <c r="AC2462" s="182" t="n">
        <v>0</v>
      </c>
      <c r="AD2462" s="182" t="n">
        <v>0</v>
      </c>
      <c r="AE2462" s="182" t="n">
        <v>0</v>
      </c>
      <c r="AF2462" s="182" t="n">
        <v>0</v>
      </c>
      <c r="AG2462" s="182" t="n">
        <v>0</v>
      </c>
      <c r="AH2462" s="182" t="n">
        <v>0</v>
      </c>
      <c r="AI2462" s="182" t="n">
        <v>0</v>
      </c>
      <c r="AJ2462" s="182" t="n">
        <v>0</v>
      </c>
      <c r="AK2462" s="182" t="n">
        <v>6.59</v>
      </c>
      <c r="AL2462" s="182" t="n">
        <v>0</v>
      </c>
      <c r="AM2462" s="182" t="n">
        <v>0.08</v>
      </c>
      <c r="AN2462" s="182" t="n">
        <v>0</v>
      </c>
    </row>
    <row r="2463">
      <c r="A2463" s="155" t="n">
        <v>46093</v>
      </c>
      <c r="B2463" s="156" t="inlineStr">
        <is>
          <t>DS</t>
        </is>
      </c>
      <c r="C2463" s="156" t="inlineStr">
        <is>
          <t>EX-331</t>
        </is>
      </c>
      <c r="D2463" s="156" t="inlineStr">
        <is>
          <t>PC 300-8MO</t>
        </is>
      </c>
      <c r="E2463" s="156" t="inlineStr">
        <is>
          <t>Excavator</t>
        </is>
      </c>
      <c r="F2463" s="156" t="inlineStr"/>
      <c r="G2463" s="182" t="n">
        <v>0</v>
      </c>
      <c r="H2463" s="182" t="n">
        <v>0</v>
      </c>
      <c r="I2463" s="182" t="n">
        <v>12</v>
      </c>
      <c r="J2463" s="182" t="n">
        <v>12</v>
      </c>
      <c r="K2463" s="182" t="n">
        <v>0</v>
      </c>
      <c r="L2463" s="182" t="n">
        <v>12</v>
      </c>
      <c r="M2463" s="182" t="n">
        <v>0</v>
      </c>
      <c r="N2463" s="182" t="n">
        <v>0</v>
      </c>
      <c r="O2463" s="183" t="n">
        <v>0</v>
      </c>
      <c r="P2463" s="183" t="n">
        <v>0</v>
      </c>
      <c r="Q2463" s="184" t="n">
        <v>0</v>
      </c>
      <c r="R2463" s="184" t="n">
        <v>0</v>
      </c>
      <c r="S2463" s="183" t="n">
        <v>0</v>
      </c>
      <c r="T2463" s="183" t="n">
        <v>0</v>
      </c>
      <c r="U2463" s="182" t="n">
        <v>0</v>
      </c>
      <c r="V2463" s="182" t="n">
        <v>0</v>
      </c>
      <c r="W2463" s="182" t="n">
        <v>0</v>
      </c>
      <c r="X2463" s="182" t="n">
        <v>0</v>
      </c>
      <c r="Y2463" s="182" t="n">
        <v>0</v>
      </c>
      <c r="Z2463" s="182" t="n">
        <v>0</v>
      </c>
      <c r="AA2463" s="182" t="n">
        <v>0</v>
      </c>
      <c r="AB2463" s="182" t="n">
        <v>0</v>
      </c>
      <c r="AC2463" s="182" t="n">
        <v>0</v>
      </c>
      <c r="AD2463" s="182" t="n">
        <v>0</v>
      </c>
      <c r="AE2463" s="182" t="n">
        <v>0</v>
      </c>
      <c r="AF2463" s="182" t="n">
        <v>0</v>
      </c>
      <c r="AG2463" s="182" t="n">
        <v>0</v>
      </c>
      <c r="AH2463" s="182" t="n">
        <v>0</v>
      </c>
      <c r="AI2463" s="182" t="n">
        <v>0</v>
      </c>
      <c r="AJ2463" s="182" t="n">
        <v>0</v>
      </c>
      <c r="AK2463" s="182" t="n">
        <v>0</v>
      </c>
      <c r="AL2463" s="182" t="n">
        <v>0</v>
      </c>
      <c r="AM2463" s="182" t="n">
        <v>0</v>
      </c>
      <c r="AN2463" s="182" t="n">
        <v>0</v>
      </c>
    </row>
    <row r="2464">
      <c r="A2464" s="155" t="n">
        <v>46093</v>
      </c>
      <c r="B2464" s="156" t="inlineStr">
        <is>
          <t>DS</t>
        </is>
      </c>
      <c r="C2464" s="156" t="inlineStr">
        <is>
          <t>EX-334</t>
        </is>
      </c>
      <c r="D2464" s="156" t="inlineStr">
        <is>
          <t>PC 300-8MO</t>
        </is>
      </c>
      <c r="E2464" s="156" t="inlineStr">
        <is>
          <t>Excavator</t>
        </is>
      </c>
      <c r="F2464" s="156" t="inlineStr">
        <is>
          <t>Support ROM</t>
        </is>
      </c>
      <c r="G2464" s="182" t="n">
        <v>10.17</v>
      </c>
      <c r="H2464" s="182" t="n">
        <v>0</v>
      </c>
      <c r="I2464" s="182" t="n">
        <v>0</v>
      </c>
      <c r="J2464" s="182" t="n">
        <v>0</v>
      </c>
      <c r="K2464" s="182" t="n">
        <v>1.83</v>
      </c>
      <c r="L2464" s="182" t="n">
        <v>12</v>
      </c>
      <c r="M2464" s="182" t="n">
        <v>0</v>
      </c>
      <c r="N2464" s="182" t="n">
        <v>0</v>
      </c>
      <c r="O2464" s="183" t="n">
        <v>0</v>
      </c>
      <c r="P2464" s="183" t="n">
        <v>0</v>
      </c>
      <c r="Q2464" s="184" t="n">
        <v>0</v>
      </c>
      <c r="R2464" s="184" t="n">
        <v>0</v>
      </c>
      <c r="S2464" s="183" t="n">
        <v>0</v>
      </c>
      <c r="T2464" s="183" t="n">
        <v>0</v>
      </c>
      <c r="U2464" s="182" t="n">
        <v>0.79</v>
      </c>
      <c r="V2464" s="182" t="n">
        <v>0</v>
      </c>
      <c r="W2464" s="182" t="n">
        <v>0</v>
      </c>
      <c r="X2464" s="182" t="n">
        <v>0.96</v>
      </c>
      <c r="Y2464" s="182" t="n">
        <v>0</v>
      </c>
      <c r="Z2464" s="182" t="n">
        <v>0</v>
      </c>
      <c r="AA2464" s="182" t="n">
        <v>0</v>
      </c>
      <c r="AB2464" s="182" t="n">
        <v>0</v>
      </c>
      <c r="AC2464" s="182" t="n">
        <v>0</v>
      </c>
      <c r="AD2464" s="182" t="n">
        <v>0</v>
      </c>
      <c r="AE2464" s="182" t="n">
        <v>0</v>
      </c>
      <c r="AF2464" s="182" t="n">
        <v>0</v>
      </c>
      <c r="AG2464" s="182" t="n">
        <v>0</v>
      </c>
      <c r="AH2464" s="182" t="n">
        <v>0</v>
      </c>
      <c r="AI2464" s="182" t="n">
        <v>0</v>
      </c>
      <c r="AJ2464" s="182" t="n">
        <v>0</v>
      </c>
      <c r="AK2464" s="182" t="n">
        <v>0</v>
      </c>
      <c r="AL2464" s="182" t="n">
        <v>0</v>
      </c>
      <c r="AM2464" s="182" t="n">
        <v>0.08</v>
      </c>
      <c r="AN2464" s="182" t="n">
        <v>0</v>
      </c>
    </row>
    <row r="2465">
      <c r="A2465" s="155" t="n">
        <v>46093</v>
      </c>
      <c r="B2465" s="156" t="inlineStr">
        <is>
          <t>DS</t>
        </is>
      </c>
      <c r="C2465" s="156" t="inlineStr">
        <is>
          <t>EX-332</t>
        </is>
      </c>
      <c r="D2465" s="156" t="inlineStr">
        <is>
          <t>PC 300-8MO</t>
        </is>
      </c>
      <c r="E2465" s="156" t="inlineStr">
        <is>
          <t>Excavator</t>
        </is>
      </c>
      <c r="F2465" s="156" t="inlineStr"/>
      <c r="G2465" s="182" t="n">
        <v>0</v>
      </c>
      <c r="H2465" s="182" t="n">
        <v>0</v>
      </c>
      <c r="I2465" s="182" t="n">
        <v>12</v>
      </c>
      <c r="J2465" s="182" t="n">
        <v>12</v>
      </c>
      <c r="K2465" s="182" t="n">
        <v>0</v>
      </c>
      <c r="L2465" s="182" t="n">
        <v>12</v>
      </c>
      <c r="M2465" s="182" t="n">
        <v>0</v>
      </c>
      <c r="N2465" s="182" t="n">
        <v>0</v>
      </c>
      <c r="O2465" s="183" t="n">
        <v>0</v>
      </c>
      <c r="P2465" s="183" t="n">
        <v>0</v>
      </c>
      <c r="Q2465" s="184" t="n">
        <v>0</v>
      </c>
      <c r="R2465" s="184" t="n">
        <v>0</v>
      </c>
      <c r="S2465" s="183" t="n">
        <v>0</v>
      </c>
      <c r="T2465" s="183" t="n">
        <v>0</v>
      </c>
      <c r="U2465" s="182" t="n">
        <v>0</v>
      </c>
      <c r="V2465" s="182" t="n">
        <v>0</v>
      </c>
      <c r="W2465" s="182" t="n">
        <v>0</v>
      </c>
      <c r="X2465" s="182" t="n">
        <v>0</v>
      </c>
      <c r="Y2465" s="182" t="n">
        <v>0</v>
      </c>
      <c r="Z2465" s="182" t="n">
        <v>0</v>
      </c>
      <c r="AA2465" s="182" t="n">
        <v>0</v>
      </c>
      <c r="AB2465" s="182" t="n">
        <v>0</v>
      </c>
      <c r="AC2465" s="182" t="n">
        <v>0</v>
      </c>
      <c r="AD2465" s="182" t="n">
        <v>0</v>
      </c>
      <c r="AE2465" s="182" t="n">
        <v>0</v>
      </c>
      <c r="AF2465" s="182" t="n">
        <v>0</v>
      </c>
      <c r="AG2465" s="182" t="n">
        <v>0</v>
      </c>
      <c r="AH2465" s="182" t="n">
        <v>0</v>
      </c>
      <c r="AI2465" s="182" t="n">
        <v>0</v>
      </c>
      <c r="AJ2465" s="182" t="n">
        <v>0</v>
      </c>
      <c r="AK2465" s="182" t="n">
        <v>0</v>
      </c>
      <c r="AL2465" s="182" t="n">
        <v>0</v>
      </c>
      <c r="AM2465" s="182" t="n">
        <v>0</v>
      </c>
      <c r="AN2465" s="182" t="n">
        <v>0</v>
      </c>
    </row>
    <row r="2466">
      <c r="A2466" s="155" t="n">
        <v>46093</v>
      </c>
      <c r="B2466" s="156" t="inlineStr">
        <is>
          <t>DS</t>
        </is>
      </c>
      <c r="C2466" s="156" t="inlineStr">
        <is>
          <t>EX-333</t>
        </is>
      </c>
      <c r="D2466" s="156" t="inlineStr">
        <is>
          <t>PC 300-8MO</t>
        </is>
      </c>
      <c r="E2466" s="156" t="inlineStr">
        <is>
          <t>Excavator</t>
        </is>
      </c>
      <c r="F2466" s="156" t="inlineStr">
        <is>
          <t>Cleaning Coal</t>
        </is>
      </c>
      <c r="G2466" s="182" t="n">
        <v>9.73</v>
      </c>
      <c r="H2466" s="182" t="n">
        <v>0</v>
      </c>
      <c r="I2466" s="182" t="n">
        <v>0</v>
      </c>
      <c r="J2466" s="182" t="n">
        <v>0</v>
      </c>
      <c r="K2466" s="182" t="n">
        <v>2.27</v>
      </c>
      <c r="L2466" s="182" t="n">
        <v>12</v>
      </c>
      <c r="M2466" s="182" t="n">
        <v>0</v>
      </c>
      <c r="N2466" s="182" t="n">
        <v>0</v>
      </c>
      <c r="O2466" s="183" t="n">
        <v>0</v>
      </c>
      <c r="P2466" s="183" t="n">
        <v>0</v>
      </c>
      <c r="Q2466" s="184" t="n">
        <v>0</v>
      </c>
      <c r="R2466" s="184" t="n">
        <v>0</v>
      </c>
      <c r="S2466" s="183" t="n">
        <v>0</v>
      </c>
      <c r="T2466" s="183" t="n">
        <v>0</v>
      </c>
      <c r="U2466" s="182" t="n">
        <v>1.04</v>
      </c>
      <c r="V2466" s="182" t="n">
        <v>0</v>
      </c>
      <c r="W2466" s="182" t="n">
        <v>0</v>
      </c>
      <c r="X2466" s="182" t="n">
        <v>1.14</v>
      </c>
      <c r="Y2466" s="182" t="n">
        <v>0</v>
      </c>
      <c r="Z2466" s="182" t="n">
        <v>0</v>
      </c>
      <c r="AA2466" s="182" t="n">
        <v>0</v>
      </c>
      <c r="AB2466" s="182" t="n">
        <v>0</v>
      </c>
      <c r="AC2466" s="182" t="n">
        <v>0</v>
      </c>
      <c r="AD2466" s="182" t="n">
        <v>0</v>
      </c>
      <c r="AE2466" s="182" t="n">
        <v>0</v>
      </c>
      <c r="AF2466" s="182" t="n">
        <v>0</v>
      </c>
      <c r="AG2466" s="182" t="n">
        <v>0</v>
      </c>
      <c r="AH2466" s="182" t="n">
        <v>0</v>
      </c>
      <c r="AI2466" s="182" t="n">
        <v>0</v>
      </c>
      <c r="AJ2466" s="182" t="n">
        <v>0</v>
      </c>
      <c r="AK2466" s="182" t="n">
        <v>0</v>
      </c>
      <c r="AL2466" s="182" t="n">
        <v>0</v>
      </c>
      <c r="AM2466" s="182" t="n">
        <v>0.09</v>
      </c>
      <c r="AN2466" s="182" t="n">
        <v>0</v>
      </c>
    </row>
    <row r="2467">
      <c r="A2467" s="155" t="n">
        <v>46093</v>
      </c>
      <c r="B2467" s="156" t="inlineStr">
        <is>
          <t>DS</t>
        </is>
      </c>
      <c r="C2467" s="156" t="inlineStr">
        <is>
          <t>EX-336</t>
        </is>
      </c>
      <c r="D2467" s="156" t="inlineStr">
        <is>
          <t>PC 300-8MO</t>
        </is>
      </c>
      <c r="E2467" s="156" t="inlineStr">
        <is>
          <t>Excavator</t>
        </is>
      </c>
      <c r="F2467" s="156" t="inlineStr">
        <is>
          <t>Cleaning Coal</t>
        </is>
      </c>
      <c r="G2467" s="182" t="n">
        <v>9.26</v>
      </c>
      <c r="H2467" s="182" t="n">
        <v>0</v>
      </c>
      <c r="I2467" s="182" t="n">
        <v>0</v>
      </c>
      <c r="J2467" s="182" t="n">
        <v>0</v>
      </c>
      <c r="K2467" s="182" t="n">
        <v>2.74</v>
      </c>
      <c r="L2467" s="182" t="n">
        <v>12</v>
      </c>
      <c r="M2467" s="182" t="n">
        <v>0</v>
      </c>
      <c r="N2467" s="182" t="n">
        <v>0</v>
      </c>
      <c r="O2467" s="183" t="n">
        <v>0</v>
      </c>
      <c r="P2467" s="183" t="n">
        <v>0</v>
      </c>
      <c r="Q2467" s="184" t="n">
        <v>0</v>
      </c>
      <c r="R2467" s="184" t="n">
        <v>0</v>
      </c>
      <c r="S2467" s="183" t="n">
        <v>0</v>
      </c>
      <c r="T2467" s="183" t="n">
        <v>0</v>
      </c>
      <c r="U2467" s="182" t="n">
        <v>1.67</v>
      </c>
      <c r="V2467" s="182" t="n">
        <v>0</v>
      </c>
      <c r="W2467" s="182" t="n">
        <v>0</v>
      </c>
      <c r="X2467" s="182" t="n">
        <v>0.91</v>
      </c>
      <c r="Y2467" s="182" t="n">
        <v>0</v>
      </c>
      <c r="Z2467" s="182" t="n">
        <v>0</v>
      </c>
      <c r="AA2467" s="182" t="n">
        <v>0</v>
      </c>
      <c r="AB2467" s="182" t="n">
        <v>0</v>
      </c>
      <c r="AC2467" s="182" t="n">
        <v>0</v>
      </c>
      <c r="AD2467" s="182" t="n">
        <v>0</v>
      </c>
      <c r="AE2467" s="182" t="n">
        <v>0</v>
      </c>
      <c r="AF2467" s="182" t="n">
        <v>0</v>
      </c>
      <c r="AG2467" s="182" t="n">
        <v>0</v>
      </c>
      <c r="AH2467" s="182" t="n">
        <v>0.08</v>
      </c>
      <c r="AI2467" s="182" t="n">
        <v>0</v>
      </c>
      <c r="AJ2467" s="182" t="n">
        <v>0</v>
      </c>
      <c r="AK2467" s="182" t="n">
        <v>0</v>
      </c>
      <c r="AL2467" s="182" t="n">
        <v>0</v>
      </c>
      <c r="AM2467" s="182" t="n">
        <v>0.07000000000000001</v>
      </c>
      <c r="AN2467" s="182" t="n">
        <v>0</v>
      </c>
    </row>
    <row r="2468">
      <c r="A2468" s="155" t="n">
        <v>46093</v>
      </c>
      <c r="B2468" s="156" t="inlineStr">
        <is>
          <t>DS</t>
        </is>
      </c>
      <c r="C2468" s="156" t="inlineStr">
        <is>
          <t>EX-335</t>
        </is>
      </c>
      <c r="D2468" s="156" t="inlineStr">
        <is>
          <t>PC 300-8MO</t>
        </is>
      </c>
      <c r="E2468" s="156" t="inlineStr">
        <is>
          <t>Excavator</t>
        </is>
      </c>
      <c r="F2468" s="156" t="inlineStr">
        <is>
          <t>Cleaning Coal &amp; General</t>
        </is>
      </c>
      <c r="G2468" s="182" t="n">
        <v>11</v>
      </c>
      <c r="H2468" s="182" t="n">
        <v>0</v>
      </c>
      <c r="I2468" s="182" t="n">
        <v>1</v>
      </c>
      <c r="J2468" s="182" t="n">
        <v>1</v>
      </c>
      <c r="K2468" s="182" t="n">
        <v>0</v>
      </c>
      <c r="L2468" s="182" t="n">
        <v>12</v>
      </c>
      <c r="M2468" s="182" t="n">
        <v>0</v>
      </c>
      <c r="N2468" s="182" t="n">
        <v>0</v>
      </c>
      <c r="O2468" s="183" t="n">
        <v>0</v>
      </c>
      <c r="P2468" s="183" t="n">
        <v>0</v>
      </c>
      <c r="Q2468" s="184" t="n">
        <v>0</v>
      </c>
      <c r="R2468" s="184" t="n">
        <v>0</v>
      </c>
      <c r="S2468" s="183" t="n">
        <v>13</v>
      </c>
      <c r="T2468" s="183" t="n">
        <v>0</v>
      </c>
      <c r="U2468" s="182" t="n">
        <v>0</v>
      </c>
      <c r="V2468" s="182" t="n">
        <v>0</v>
      </c>
      <c r="W2468" s="182" t="n">
        <v>0</v>
      </c>
      <c r="X2468" s="182" t="n">
        <v>0</v>
      </c>
      <c r="Y2468" s="182" t="n">
        <v>0</v>
      </c>
      <c r="Z2468" s="182" t="n">
        <v>0</v>
      </c>
      <c r="AA2468" s="182" t="n">
        <v>0</v>
      </c>
      <c r="AB2468" s="182" t="n">
        <v>0</v>
      </c>
      <c r="AC2468" s="182" t="n">
        <v>0</v>
      </c>
      <c r="AD2468" s="182" t="n">
        <v>0</v>
      </c>
      <c r="AE2468" s="182" t="n">
        <v>0</v>
      </c>
      <c r="AF2468" s="182" t="n">
        <v>0</v>
      </c>
      <c r="AG2468" s="182" t="n">
        <v>0</v>
      </c>
      <c r="AH2468" s="182" t="n">
        <v>0</v>
      </c>
      <c r="AI2468" s="182" t="n">
        <v>0</v>
      </c>
      <c r="AJ2468" s="182" t="n">
        <v>0</v>
      </c>
      <c r="AK2468" s="182" t="n">
        <v>0</v>
      </c>
      <c r="AL2468" s="182" t="n">
        <v>0</v>
      </c>
      <c r="AM2468" s="182" t="n">
        <v>0</v>
      </c>
      <c r="AN2468" s="182" t="n">
        <v>0</v>
      </c>
    </row>
    <row r="2469">
      <c r="A2469" s="155" t="n">
        <v>46093</v>
      </c>
      <c r="B2469" s="156" t="inlineStr">
        <is>
          <t>DS</t>
        </is>
      </c>
      <c r="C2469" s="156" t="inlineStr">
        <is>
          <t>EX-754</t>
        </is>
      </c>
      <c r="D2469" s="156" t="inlineStr">
        <is>
          <t>SY750H-PRO</t>
        </is>
      </c>
      <c r="E2469" s="156" t="inlineStr">
        <is>
          <t>Excavator</t>
        </is>
      </c>
      <c r="F2469" s="156" t="inlineStr">
        <is>
          <t>Loading OB</t>
        </is>
      </c>
      <c r="G2469" s="182" t="n">
        <v>8.73</v>
      </c>
      <c r="H2469" s="182" t="n">
        <v>0</v>
      </c>
      <c r="I2469" s="182" t="n">
        <v>0</v>
      </c>
      <c r="J2469" s="182" t="n">
        <v>0</v>
      </c>
      <c r="K2469" s="182" t="n">
        <v>3.27</v>
      </c>
      <c r="L2469" s="182" t="n">
        <v>12</v>
      </c>
      <c r="M2469" s="182" t="n">
        <v>8.130000000000001</v>
      </c>
      <c r="N2469" s="182" t="n">
        <v>0</v>
      </c>
      <c r="O2469" s="183" t="n">
        <v>89</v>
      </c>
      <c r="P2469" s="183" t="n">
        <v>0</v>
      </c>
      <c r="Q2469" s="184" t="n">
        <v>1815.6</v>
      </c>
      <c r="R2469" s="184" t="n">
        <v>0</v>
      </c>
      <c r="S2469" s="183" t="n">
        <v>0</v>
      </c>
      <c r="T2469" s="183" t="n">
        <v>0</v>
      </c>
      <c r="U2469" s="182" t="n">
        <v>1.86</v>
      </c>
      <c r="V2469" s="182" t="n">
        <v>0.31</v>
      </c>
      <c r="W2469" s="182" t="n">
        <v>0</v>
      </c>
      <c r="X2469" s="182" t="n">
        <v>1.02</v>
      </c>
      <c r="Y2469" s="182" t="n">
        <v>0</v>
      </c>
      <c r="Z2469" s="182" t="n">
        <v>0</v>
      </c>
      <c r="AA2469" s="182" t="n">
        <v>0</v>
      </c>
      <c r="AB2469" s="182" t="n">
        <v>0</v>
      </c>
      <c r="AC2469" s="182" t="n">
        <v>0</v>
      </c>
      <c r="AD2469" s="182" t="n">
        <v>0</v>
      </c>
      <c r="AE2469" s="182" t="n">
        <v>0</v>
      </c>
      <c r="AF2469" s="182" t="n">
        <v>0</v>
      </c>
      <c r="AG2469" s="182" t="n">
        <v>0</v>
      </c>
      <c r="AH2469" s="182" t="n">
        <v>0</v>
      </c>
      <c r="AI2469" s="182" t="n">
        <v>0</v>
      </c>
      <c r="AJ2469" s="182" t="n">
        <v>0</v>
      </c>
      <c r="AK2469" s="182" t="n">
        <v>0</v>
      </c>
      <c r="AL2469" s="182" t="n">
        <v>0</v>
      </c>
      <c r="AM2469" s="182" t="n">
        <v>0.08</v>
      </c>
      <c r="AN2469" s="182" t="n">
        <v>0</v>
      </c>
    </row>
    <row r="2470">
      <c r="A2470" s="155" t="n">
        <v>46093</v>
      </c>
      <c r="B2470" s="156" t="inlineStr">
        <is>
          <t>DS</t>
        </is>
      </c>
      <c r="C2470" s="156" t="inlineStr">
        <is>
          <t>EX-755</t>
        </is>
      </c>
      <c r="D2470" s="156" t="inlineStr">
        <is>
          <t>SY750H-PRO</t>
        </is>
      </c>
      <c r="E2470" s="156" t="inlineStr">
        <is>
          <t>Excavator</t>
        </is>
      </c>
      <c r="F2470" s="156" t="inlineStr">
        <is>
          <t>Loading OB &amp; Coal</t>
        </is>
      </c>
      <c r="G2470" s="182" t="n">
        <v>8.380000000000001</v>
      </c>
      <c r="H2470" s="182" t="n">
        <v>0</v>
      </c>
      <c r="I2470" s="182" t="n">
        <v>0.6</v>
      </c>
      <c r="J2470" s="182" t="n">
        <v>0.6</v>
      </c>
      <c r="K2470" s="182" t="n">
        <v>3.02</v>
      </c>
      <c r="L2470" s="182" t="n">
        <v>12</v>
      </c>
      <c r="M2470" s="182" t="n">
        <v>2.35</v>
      </c>
      <c r="N2470" s="182" t="n">
        <v>5.69</v>
      </c>
      <c r="O2470" s="183" t="n">
        <v>29</v>
      </c>
      <c r="P2470" s="183" t="n">
        <v>60</v>
      </c>
      <c r="Q2470" s="184" t="n">
        <v>591.6</v>
      </c>
      <c r="R2470" s="184" t="n">
        <v>1071</v>
      </c>
      <c r="S2470" s="183" t="n">
        <v>0</v>
      </c>
      <c r="T2470" s="183" t="n">
        <v>0</v>
      </c>
      <c r="U2470" s="182" t="n">
        <v>1.67</v>
      </c>
      <c r="V2470" s="182" t="n">
        <v>0.36</v>
      </c>
      <c r="W2470" s="182" t="n">
        <v>0</v>
      </c>
      <c r="X2470" s="182" t="n">
        <v>0.92</v>
      </c>
      <c r="Y2470" s="182" t="n">
        <v>0</v>
      </c>
      <c r="Z2470" s="182" t="n">
        <v>0</v>
      </c>
      <c r="AA2470" s="182" t="n">
        <v>0</v>
      </c>
      <c r="AB2470" s="182" t="n">
        <v>0</v>
      </c>
      <c r="AC2470" s="182" t="n">
        <v>0</v>
      </c>
      <c r="AD2470" s="182" t="n">
        <v>0</v>
      </c>
      <c r="AE2470" s="182" t="n">
        <v>0</v>
      </c>
      <c r="AF2470" s="182" t="n">
        <v>0</v>
      </c>
      <c r="AG2470" s="182" t="n">
        <v>0</v>
      </c>
      <c r="AH2470" s="182" t="n">
        <v>0</v>
      </c>
      <c r="AI2470" s="182" t="n">
        <v>0</v>
      </c>
      <c r="AJ2470" s="182" t="n">
        <v>0</v>
      </c>
      <c r="AK2470" s="182" t="n">
        <v>0</v>
      </c>
      <c r="AL2470" s="182" t="n">
        <v>0</v>
      </c>
      <c r="AM2470" s="182" t="n">
        <v>0.07000000000000001</v>
      </c>
      <c r="AN2470" s="182" t="n">
        <v>0</v>
      </c>
    </row>
    <row r="2471">
      <c r="A2471" s="155" t="n">
        <v>46093</v>
      </c>
      <c r="B2471" s="156" t="inlineStr">
        <is>
          <t>DS</t>
        </is>
      </c>
      <c r="C2471" s="156" t="inlineStr">
        <is>
          <t>EX-752</t>
        </is>
      </c>
      <c r="D2471" s="156" t="inlineStr">
        <is>
          <t>SY750H-PRO</t>
        </is>
      </c>
      <c r="E2471" s="156" t="inlineStr">
        <is>
          <t>Excavator</t>
        </is>
      </c>
      <c r="F2471" s="156" t="inlineStr"/>
      <c r="G2471" s="182" t="n">
        <v>0</v>
      </c>
      <c r="H2471" s="182" t="n">
        <v>0</v>
      </c>
      <c r="I2471" s="182" t="n">
        <v>12</v>
      </c>
      <c r="J2471" s="182" t="n">
        <v>12</v>
      </c>
      <c r="K2471" s="182" t="n">
        <v>0</v>
      </c>
      <c r="L2471" s="182" t="n">
        <v>12</v>
      </c>
      <c r="M2471" s="182" t="n">
        <v>0</v>
      </c>
      <c r="N2471" s="182" t="n">
        <v>0</v>
      </c>
      <c r="O2471" s="183" t="n">
        <v>0</v>
      </c>
      <c r="P2471" s="183" t="n">
        <v>0</v>
      </c>
      <c r="Q2471" s="184" t="n">
        <v>0</v>
      </c>
      <c r="R2471" s="184" t="n">
        <v>0</v>
      </c>
      <c r="S2471" s="183" t="n">
        <v>0</v>
      </c>
      <c r="T2471" s="183" t="n">
        <v>0</v>
      </c>
      <c r="U2471" s="182" t="n">
        <v>0</v>
      </c>
      <c r="V2471" s="182" t="n">
        <v>0</v>
      </c>
      <c r="W2471" s="182" t="n">
        <v>0</v>
      </c>
      <c r="X2471" s="182" t="n">
        <v>0</v>
      </c>
      <c r="Y2471" s="182" t="n">
        <v>0</v>
      </c>
      <c r="Z2471" s="182" t="n">
        <v>0</v>
      </c>
      <c r="AA2471" s="182" t="n">
        <v>0</v>
      </c>
      <c r="AB2471" s="182" t="n">
        <v>0</v>
      </c>
      <c r="AC2471" s="182" t="n">
        <v>0</v>
      </c>
      <c r="AD2471" s="182" t="n">
        <v>0</v>
      </c>
      <c r="AE2471" s="182" t="n">
        <v>0</v>
      </c>
      <c r="AF2471" s="182" t="n">
        <v>0</v>
      </c>
      <c r="AG2471" s="182" t="n">
        <v>0</v>
      </c>
      <c r="AH2471" s="182" t="n">
        <v>0</v>
      </c>
      <c r="AI2471" s="182" t="n">
        <v>0</v>
      </c>
      <c r="AJ2471" s="182" t="n">
        <v>0</v>
      </c>
      <c r="AK2471" s="182" t="n">
        <v>0</v>
      </c>
      <c r="AL2471" s="182" t="n">
        <v>0</v>
      </c>
      <c r="AM2471" s="182" t="n">
        <v>0</v>
      </c>
      <c r="AN2471" s="182" t="n">
        <v>0</v>
      </c>
    </row>
    <row r="2472">
      <c r="A2472" s="155" t="n">
        <v>46093</v>
      </c>
      <c r="B2472" s="156" t="inlineStr">
        <is>
          <t>DS</t>
        </is>
      </c>
      <c r="C2472" s="156" t="inlineStr">
        <is>
          <t>EX-751</t>
        </is>
      </c>
      <c r="D2472" s="156" t="inlineStr">
        <is>
          <t>SY750H-PRO</t>
        </is>
      </c>
      <c r="E2472" s="156" t="inlineStr">
        <is>
          <t>Excavator</t>
        </is>
      </c>
      <c r="F2472" s="156" t="inlineStr"/>
      <c r="G2472" s="182" t="n">
        <v>0</v>
      </c>
      <c r="H2472" s="182" t="n">
        <v>0</v>
      </c>
      <c r="I2472" s="182" t="n">
        <v>12</v>
      </c>
      <c r="J2472" s="182" t="n">
        <v>12</v>
      </c>
      <c r="K2472" s="182" t="n">
        <v>0</v>
      </c>
      <c r="L2472" s="182" t="n">
        <v>12</v>
      </c>
      <c r="M2472" s="182" t="n">
        <v>0</v>
      </c>
      <c r="N2472" s="182" t="n">
        <v>0</v>
      </c>
      <c r="O2472" s="183" t="n">
        <v>0</v>
      </c>
      <c r="P2472" s="183" t="n">
        <v>0</v>
      </c>
      <c r="Q2472" s="184" t="n">
        <v>0</v>
      </c>
      <c r="R2472" s="184" t="n">
        <v>0</v>
      </c>
      <c r="S2472" s="183" t="n">
        <v>0</v>
      </c>
      <c r="T2472" s="183" t="n">
        <v>0</v>
      </c>
      <c r="U2472" s="182" t="n">
        <v>0</v>
      </c>
      <c r="V2472" s="182" t="n">
        <v>0</v>
      </c>
      <c r="W2472" s="182" t="n">
        <v>0</v>
      </c>
      <c r="X2472" s="182" t="n">
        <v>0</v>
      </c>
      <c r="Y2472" s="182" t="n">
        <v>0</v>
      </c>
      <c r="Z2472" s="182" t="n">
        <v>0</v>
      </c>
      <c r="AA2472" s="182" t="n">
        <v>0</v>
      </c>
      <c r="AB2472" s="182" t="n">
        <v>0</v>
      </c>
      <c r="AC2472" s="182" t="n">
        <v>0</v>
      </c>
      <c r="AD2472" s="182" t="n">
        <v>0</v>
      </c>
      <c r="AE2472" s="182" t="n">
        <v>0</v>
      </c>
      <c r="AF2472" s="182" t="n">
        <v>0</v>
      </c>
      <c r="AG2472" s="182" t="n">
        <v>0</v>
      </c>
      <c r="AH2472" s="182" t="n">
        <v>0</v>
      </c>
      <c r="AI2472" s="182" t="n">
        <v>0</v>
      </c>
      <c r="AJ2472" s="182" t="n">
        <v>0</v>
      </c>
      <c r="AK2472" s="182" t="n">
        <v>0</v>
      </c>
      <c r="AL2472" s="182" t="n">
        <v>0</v>
      </c>
      <c r="AM2472" s="182" t="n">
        <v>0</v>
      </c>
      <c r="AN2472" s="182" t="n">
        <v>0</v>
      </c>
    </row>
    <row r="2473">
      <c r="A2473" s="155" t="n">
        <v>46093</v>
      </c>
      <c r="B2473" s="156" t="inlineStr">
        <is>
          <t>DS</t>
        </is>
      </c>
      <c r="C2473" s="156" t="inlineStr">
        <is>
          <t>EX-753</t>
        </is>
      </c>
      <c r="D2473" s="156" t="inlineStr">
        <is>
          <t>SY750H-PRO</t>
        </is>
      </c>
      <c r="E2473" s="156" t="inlineStr">
        <is>
          <t>Excavator</t>
        </is>
      </c>
      <c r="F2473" s="156" t="inlineStr">
        <is>
          <t>Loading OB</t>
        </is>
      </c>
      <c r="G2473" s="182" t="n">
        <v>8.550000000000001</v>
      </c>
      <c r="H2473" s="182" t="n">
        <v>0</v>
      </c>
      <c r="I2473" s="182" t="n">
        <v>0</v>
      </c>
      <c r="J2473" s="182" t="n">
        <v>0</v>
      </c>
      <c r="K2473" s="182" t="n">
        <v>3.45</v>
      </c>
      <c r="L2473" s="182" t="n">
        <v>12</v>
      </c>
      <c r="M2473" s="182" t="n">
        <v>7.92</v>
      </c>
      <c r="N2473" s="182" t="n">
        <v>0</v>
      </c>
      <c r="O2473" s="183" t="n">
        <v>113</v>
      </c>
      <c r="P2473" s="183" t="n">
        <v>0</v>
      </c>
      <c r="Q2473" s="184" t="n">
        <v>2305.2</v>
      </c>
      <c r="R2473" s="184" t="n">
        <v>0</v>
      </c>
      <c r="S2473" s="183" t="n">
        <v>0</v>
      </c>
      <c r="T2473" s="183" t="n">
        <v>0</v>
      </c>
      <c r="U2473" s="182" t="n">
        <v>1.97</v>
      </c>
      <c r="V2473" s="182" t="n">
        <v>0.32</v>
      </c>
      <c r="W2473" s="182" t="n">
        <v>0</v>
      </c>
      <c r="X2473" s="182" t="n">
        <v>1.07</v>
      </c>
      <c r="Y2473" s="182" t="n">
        <v>0</v>
      </c>
      <c r="Z2473" s="182" t="n">
        <v>0</v>
      </c>
      <c r="AA2473" s="182" t="n">
        <v>0</v>
      </c>
      <c r="AB2473" s="182" t="n">
        <v>0</v>
      </c>
      <c r="AC2473" s="182" t="n">
        <v>0</v>
      </c>
      <c r="AD2473" s="182" t="n">
        <v>0</v>
      </c>
      <c r="AE2473" s="182" t="n">
        <v>0</v>
      </c>
      <c r="AF2473" s="182" t="n">
        <v>0</v>
      </c>
      <c r="AG2473" s="182" t="n">
        <v>0</v>
      </c>
      <c r="AH2473" s="182" t="n">
        <v>0</v>
      </c>
      <c r="AI2473" s="182" t="n">
        <v>0</v>
      </c>
      <c r="AJ2473" s="182" t="n">
        <v>0</v>
      </c>
      <c r="AK2473" s="182" t="n">
        <v>0</v>
      </c>
      <c r="AL2473" s="182" t="n">
        <v>0</v>
      </c>
      <c r="AM2473" s="182" t="n">
        <v>0.09</v>
      </c>
      <c r="AN2473" s="182" t="n">
        <v>0</v>
      </c>
    </row>
    <row r="2474">
      <c r="A2474" s="155" t="n">
        <v>46093</v>
      </c>
      <c r="B2474" s="156" t="inlineStr">
        <is>
          <t>DS</t>
        </is>
      </c>
      <c r="C2474" s="156" t="inlineStr">
        <is>
          <t>GD-012</t>
        </is>
      </c>
      <c r="D2474" s="156" t="inlineStr">
        <is>
          <t>STG 230C - 8S</t>
        </is>
      </c>
      <c r="E2474" s="156" t="inlineStr">
        <is>
          <t>Grader</t>
        </is>
      </c>
      <c r="F2474" s="156" t="inlineStr">
        <is>
          <t>Support Jetty</t>
        </is>
      </c>
      <c r="G2474" s="182" t="n">
        <v>4.35</v>
      </c>
      <c r="H2474" s="182" t="n">
        <v>0</v>
      </c>
      <c r="I2474" s="182" t="n">
        <v>0</v>
      </c>
      <c r="J2474" s="182" t="n">
        <v>0</v>
      </c>
      <c r="K2474" s="182" t="n">
        <v>7.65</v>
      </c>
      <c r="L2474" s="182" t="n">
        <v>12</v>
      </c>
      <c r="M2474" s="182" t="n">
        <v>0</v>
      </c>
      <c r="N2474" s="182" t="n">
        <v>0</v>
      </c>
      <c r="O2474" s="183" t="n">
        <v>0</v>
      </c>
      <c r="P2474" s="183" t="n">
        <v>0</v>
      </c>
      <c r="Q2474" s="184" t="n">
        <v>0</v>
      </c>
      <c r="R2474" s="184" t="n">
        <v>0</v>
      </c>
      <c r="S2474" s="183" t="n">
        <v>0</v>
      </c>
      <c r="T2474" s="183" t="n">
        <v>0</v>
      </c>
      <c r="U2474" s="182" t="n">
        <v>1.87</v>
      </c>
      <c r="V2474" s="182" t="n">
        <v>0</v>
      </c>
      <c r="W2474" s="182" t="n">
        <v>0</v>
      </c>
      <c r="X2474" s="182" t="n">
        <v>1.02</v>
      </c>
      <c r="Y2474" s="182" t="n">
        <v>0</v>
      </c>
      <c r="Z2474" s="182" t="n">
        <v>0</v>
      </c>
      <c r="AA2474" s="182" t="n">
        <v>0</v>
      </c>
      <c r="AB2474" s="182" t="n">
        <v>0</v>
      </c>
      <c r="AC2474" s="182" t="n">
        <v>0</v>
      </c>
      <c r="AD2474" s="182" t="n">
        <v>0</v>
      </c>
      <c r="AE2474" s="182" t="n">
        <v>0</v>
      </c>
      <c r="AF2474" s="182" t="n">
        <v>0</v>
      </c>
      <c r="AG2474" s="182" t="n">
        <v>0</v>
      </c>
      <c r="AH2474" s="182" t="n">
        <v>0</v>
      </c>
      <c r="AI2474" s="182" t="n">
        <v>0</v>
      </c>
      <c r="AJ2474" s="182" t="n">
        <v>0</v>
      </c>
      <c r="AK2474" s="182" t="n">
        <v>4.68</v>
      </c>
      <c r="AL2474" s="182" t="n">
        <v>0</v>
      </c>
      <c r="AM2474" s="182" t="n">
        <v>0.08</v>
      </c>
      <c r="AN2474" s="182" t="n">
        <v>0</v>
      </c>
    </row>
    <row r="2475">
      <c r="A2475" s="155" t="n">
        <v>46093</v>
      </c>
      <c r="B2475" s="156" t="inlineStr">
        <is>
          <t>DS</t>
        </is>
      </c>
      <c r="C2475" s="156" t="inlineStr">
        <is>
          <t>GD-011</t>
        </is>
      </c>
      <c r="D2475" s="156" t="inlineStr">
        <is>
          <t>STG 230C - 8S</t>
        </is>
      </c>
      <c r="E2475" s="156" t="inlineStr">
        <is>
          <t>Grader</t>
        </is>
      </c>
      <c r="F2475" s="156" t="inlineStr"/>
      <c r="G2475" s="182" t="n">
        <v>0</v>
      </c>
      <c r="H2475" s="182" t="n">
        <v>0</v>
      </c>
      <c r="I2475" s="182" t="n">
        <v>12</v>
      </c>
      <c r="J2475" s="182" t="n">
        <v>12</v>
      </c>
      <c r="K2475" s="182" t="n">
        <v>0</v>
      </c>
      <c r="L2475" s="182" t="n">
        <v>12</v>
      </c>
      <c r="M2475" s="182" t="n">
        <v>0</v>
      </c>
      <c r="N2475" s="182" t="n">
        <v>0</v>
      </c>
      <c r="O2475" s="183" t="n">
        <v>0</v>
      </c>
      <c r="P2475" s="183" t="n">
        <v>0</v>
      </c>
      <c r="Q2475" s="184" t="n">
        <v>0</v>
      </c>
      <c r="R2475" s="184" t="n">
        <v>0</v>
      </c>
      <c r="S2475" s="183" t="n">
        <v>0</v>
      </c>
      <c r="T2475" s="183" t="n">
        <v>0</v>
      </c>
      <c r="U2475" s="182" t="n">
        <v>0</v>
      </c>
      <c r="V2475" s="182" t="n">
        <v>0</v>
      </c>
      <c r="W2475" s="182" t="n">
        <v>0</v>
      </c>
      <c r="X2475" s="182" t="n">
        <v>0</v>
      </c>
      <c r="Y2475" s="182" t="n">
        <v>0</v>
      </c>
      <c r="Z2475" s="182" t="n">
        <v>0</v>
      </c>
      <c r="AA2475" s="182" t="n">
        <v>0</v>
      </c>
      <c r="AB2475" s="182" t="n">
        <v>0</v>
      </c>
      <c r="AC2475" s="182" t="n">
        <v>0</v>
      </c>
      <c r="AD2475" s="182" t="n">
        <v>0</v>
      </c>
      <c r="AE2475" s="182" t="n">
        <v>0</v>
      </c>
      <c r="AF2475" s="182" t="n">
        <v>0</v>
      </c>
      <c r="AG2475" s="182" t="n">
        <v>0</v>
      </c>
      <c r="AH2475" s="182" t="n">
        <v>0</v>
      </c>
      <c r="AI2475" s="182" t="n">
        <v>0</v>
      </c>
      <c r="AJ2475" s="182" t="n">
        <v>0</v>
      </c>
      <c r="AK2475" s="182" t="n">
        <v>0</v>
      </c>
      <c r="AL2475" s="182" t="n">
        <v>0</v>
      </c>
      <c r="AM2475" s="182" t="n">
        <v>0</v>
      </c>
      <c r="AN2475" s="182" t="n">
        <v>0</v>
      </c>
    </row>
    <row r="2476">
      <c r="A2476" s="155" t="n">
        <v>46093</v>
      </c>
      <c r="B2476" s="156" t="inlineStr">
        <is>
          <t>DS</t>
        </is>
      </c>
      <c r="C2476" s="156" t="inlineStr">
        <is>
          <t>GD-013</t>
        </is>
      </c>
      <c r="D2476" s="156" t="inlineStr">
        <is>
          <t>STG 265C - 10</t>
        </is>
      </c>
      <c r="E2476" s="156" t="inlineStr">
        <is>
          <t>Grader</t>
        </is>
      </c>
      <c r="F2476" s="156" t="inlineStr">
        <is>
          <t>Road Maintenance</t>
        </is>
      </c>
      <c r="G2476" s="182" t="n">
        <v>10.78</v>
      </c>
      <c r="H2476" s="182" t="n">
        <v>0</v>
      </c>
      <c r="I2476" s="182" t="n">
        <v>0</v>
      </c>
      <c r="J2476" s="182" t="n">
        <v>0</v>
      </c>
      <c r="K2476" s="182" t="n">
        <v>1.22</v>
      </c>
      <c r="L2476" s="182" t="n">
        <v>12</v>
      </c>
      <c r="M2476" s="182" t="n">
        <v>0</v>
      </c>
      <c r="N2476" s="182" t="n">
        <v>0</v>
      </c>
      <c r="O2476" s="183" t="n">
        <v>0</v>
      </c>
      <c r="P2476" s="183" t="n">
        <v>0</v>
      </c>
      <c r="Q2476" s="184" t="n">
        <v>0</v>
      </c>
      <c r="R2476" s="184" t="n">
        <v>0</v>
      </c>
      <c r="S2476" s="183" t="n">
        <v>0</v>
      </c>
      <c r="T2476" s="183" t="n">
        <v>0</v>
      </c>
      <c r="U2476" s="182" t="n">
        <v>0</v>
      </c>
      <c r="V2476" s="182" t="n">
        <v>0</v>
      </c>
      <c r="W2476" s="182" t="n">
        <v>0</v>
      </c>
      <c r="X2476" s="182" t="n">
        <v>0.8100000000000001</v>
      </c>
      <c r="Y2476" s="182" t="n">
        <v>0</v>
      </c>
      <c r="Z2476" s="182" t="n">
        <v>0</v>
      </c>
      <c r="AA2476" s="182" t="n">
        <v>0</v>
      </c>
      <c r="AB2476" s="182" t="n">
        <v>0</v>
      </c>
      <c r="AC2476" s="182" t="n">
        <v>0</v>
      </c>
      <c r="AD2476" s="182" t="n">
        <v>0</v>
      </c>
      <c r="AE2476" s="182" t="n">
        <v>0</v>
      </c>
      <c r="AF2476" s="182" t="n">
        <v>0</v>
      </c>
      <c r="AG2476" s="182" t="n">
        <v>0</v>
      </c>
      <c r="AH2476" s="182" t="n">
        <v>0</v>
      </c>
      <c r="AI2476" s="182" t="n">
        <v>0</v>
      </c>
      <c r="AJ2476" s="182" t="n">
        <v>0</v>
      </c>
      <c r="AK2476" s="182" t="n">
        <v>0.34</v>
      </c>
      <c r="AL2476" s="182" t="n">
        <v>0</v>
      </c>
      <c r="AM2476" s="182" t="n">
        <v>0.07000000000000001</v>
      </c>
      <c r="AN2476" s="182" t="n">
        <v>0</v>
      </c>
    </row>
    <row r="2477">
      <c r="A2477" s="155" t="n">
        <v>46093</v>
      </c>
      <c r="B2477" s="156" t="inlineStr">
        <is>
          <t>DS</t>
        </is>
      </c>
      <c r="C2477" s="156" t="inlineStr">
        <is>
          <t>GD-014</t>
        </is>
      </c>
      <c r="D2477" s="156" t="inlineStr">
        <is>
          <t>STG 335C - 10</t>
        </is>
      </c>
      <c r="E2477" s="156" t="inlineStr">
        <is>
          <t>Grader</t>
        </is>
      </c>
      <c r="F2477" s="156" t="inlineStr">
        <is>
          <t>Road Maintenance</t>
        </is>
      </c>
      <c r="G2477" s="182" t="n">
        <v>9.02</v>
      </c>
      <c r="H2477" s="182" t="n">
        <v>0</v>
      </c>
      <c r="I2477" s="182" t="n">
        <v>0</v>
      </c>
      <c r="J2477" s="182" t="n">
        <v>0</v>
      </c>
      <c r="K2477" s="182" t="n">
        <v>2.98</v>
      </c>
      <c r="L2477" s="182" t="n">
        <v>12</v>
      </c>
      <c r="M2477" s="182" t="n">
        <v>0</v>
      </c>
      <c r="N2477" s="182" t="n">
        <v>0</v>
      </c>
      <c r="O2477" s="183" t="n">
        <v>0</v>
      </c>
      <c r="P2477" s="183" t="n">
        <v>0</v>
      </c>
      <c r="Q2477" s="184" t="n">
        <v>0</v>
      </c>
      <c r="R2477" s="184" t="n">
        <v>0</v>
      </c>
      <c r="S2477" s="183" t="n">
        <v>0</v>
      </c>
      <c r="T2477" s="183" t="n">
        <v>0</v>
      </c>
      <c r="U2477" s="182" t="n">
        <v>0</v>
      </c>
      <c r="V2477" s="182" t="n">
        <v>0</v>
      </c>
      <c r="W2477" s="182" t="n">
        <v>0</v>
      </c>
      <c r="X2477" s="182" t="n">
        <v>1.03</v>
      </c>
      <c r="Y2477" s="182" t="n">
        <v>0</v>
      </c>
      <c r="Z2477" s="182" t="n">
        <v>0</v>
      </c>
      <c r="AA2477" s="182" t="n">
        <v>0</v>
      </c>
      <c r="AB2477" s="182" t="n">
        <v>0</v>
      </c>
      <c r="AC2477" s="182" t="n">
        <v>0</v>
      </c>
      <c r="AD2477" s="182" t="n">
        <v>0</v>
      </c>
      <c r="AE2477" s="182" t="n">
        <v>0</v>
      </c>
      <c r="AF2477" s="182" t="n">
        <v>0</v>
      </c>
      <c r="AG2477" s="182" t="n">
        <v>0</v>
      </c>
      <c r="AH2477" s="182" t="n">
        <v>0</v>
      </c>
      <c r="AI2477" s="182" t="n">
        <v>0</v>
      </c>
      <c r="AJ2477" s="182" t="n">
        <v>0</v>
      </c>
      <c r="AK2477" s="182" t="n">
        <v>1.87</v>
      </c>
      <c r="AL2477" s="182" t="n">
        <v>0</v>
      </c>
      <c r="AM2477" s="182" t="n">
        <v>0.08</v>
      </c>
      <c r="AN2477" s="182" t="n">
        <v>0</v>
      </c>
    </row>
    <row r="2478">
      <c r="A2478" s="155" t="n">
        <v>46093</v>
      </c>
      <c r="B2478" s="156" t="inlineStr">
        <is>
          <t>DS</t>
        </is>
      </c>
      <c r="C2478" s="156" t="inlineStr">
        <is>
          <t>DT-809</t>
        </is>
      </c>
      <c r="D2478" s="156" t="inlineStr">
        <is>
          <t>SKT 80S</t>
        </is>
      </c>
      <c r="E2478" s="156" t="inlineStr">
        <is>
          <t>Hauler</t>
        </is>
      </c>
      <c r="F2478" s="156" t="inlineStr"/>
      <c r="G2478" s="182" t="n">
        <v>0</v>
      </c>
      <c r="H2478" s="182" t="n">
        <v>0</v>
      </c>
      <c r="I2478" s="182" t="n">
        <v>0</v>
      </c>
      <c r="J2478" s="182" t="n">
        <v>0</v>
      </c>
      <c r="K2478" s="182" t="n">
        <v>12</v>
      </c>
      <c r="L2478" s="182" t="n">
        <v>12</v>
      </c>
      <c r="M2478" s="182" t="n">
        <v>0</v>
      </c>
      <c r="N2478" s="182" t="n">
        <v>0</v>
      </c>
      <c r="O2478" s="183" t="n">
        <v>0</v>
      </c>
      <c r="P2478" s="183" t="n">
        <v>0</v>
      </c>
      <c r="Q2478" s="184" t="n">
        <v>0</v>
      </c>
      <c r="R2478" s="184" t="n">
        <v>0</v>
      </c>
      <c r="S2478" s="183" t="n">
        <v>0</v>
      </c>
      <c r="T2478" s="183" t="n">
        <v>0</v>
      </c>
      <c r="U2478" s="182" t="n">
        <v>1.83</v>
      </c>
      <c r="V2478" s="182" t="n">
        <v>0</v>
      </c>
      <c r="W2478" s="182" t="n">
        <v>0</v>
      </c>
      <c r="X2478" s="182" t="n">
        <v>1</v>
      </c>
      <c r="Y2478" s="182" t="n">
        <v>0</v>
      </c>
      <c r="Z2478" s="182" t="n">
        <v>0</v>
      </c>
      <c r="AA2478" s="182" t="n">
        <v>0</v>
      </c>
      <c r="AB2478" s="182" t="n">
        <v>0</v>
      </c>
      <c r="AC2478" s="182" t="n">
        <v>0</v>
      </c>
      <c r="AD2478" s="182" t="n">
        <v>0</v>
      </c>
      <c r="AE2478" s="182" t="n">
        <v>0</v>
      </c>
      <c r="AF2478" s="182" t="n">
        <v>0</v>
      </c>
      <c r="AG2478" s="182" t="n">
        <v>0</v>
      </c>
      <c r="AH2478" s="182" t="n">
        <v>0</v>
      </c>
      <c r="AI2478" s="182" t="n">
        <v>0</v>
      </c>
      <c r="AJ2478" s="182" t="n">
        <v>0</v>
      </c>
      <c r="AK2478" s="182" t="n">
        <v>9.09</v>
      </c>
      <c r="AL2478" s="182" t="n">
        <v>0</v>
      </c>
      <c r="AM2478" s="182" t="n">
        <v>0.08</v>
      </c>
      <c r="AN2478" s="182" t="n">
        <v>0</v>
      </c>
    </row>
    <row r="2479">
      <c r="A2479" s="155" t="n">
        <v>46093</v>
      </c>
      <c r="B2479" s="156" t="inlineStr">
        <is>
          <t>DS</t>
        </is>
      </c>
      <c r="C2479" s="156" t="inlineStr">
        <is>
          <t>DT-806</t>
        </is>
      </c>
      <c r="D2479" s="156" t="inlineStr">
        <is>
          <t>SKT 80S</t>
        </is>
      </c>
      <c r="E2479" s="156" t="inlineStr">
        <is>
          <t>Hauler</t>
        </is>
      </c>
      <c r="F2479" s="156" t="inlineStr"/>
      <c r="G2479" s="182" t="n">
        <v>0</v>
      </c>
      <c r="H2479" s="182" t="n">
        <v>0</v>
      </c>
      <c r="I2479" s="182" t="n">
        <v>0</v>
      </c>
      <c r="J2479" s="182" t="n">
        <v>0</v>
      </c>
      <c r="K2479" s="182" t="n">
        <v>12</v>
      </c>
      <c r="L2479" s="182" t="n">
        <v>12</v>
      </c>
      <c r="M2479" s="182" t="n">
        <v>0</v>
      </c>
      <c r="N2479" s="182" t="n">
        <v>0</v>
      </c>
      <c r="O2479" s="183" t="n">
        <v>0</v>
      </c>
      <c r="P2479" s="183" t="n">
        <v>0</v>
      </c>
      <c r="Q2479" s="184" t="n">
        <v>0</v>
      </c>
      <c r="R2479" s="184" t="n">
        <v>0</v>
      </c>
      <c r="S2479" s="183" t="n">
        <v>0</v>
      </c>
      <c r="T2479" s="183" t="n">
        <v>0</v>
      </c>
      <c r="U2479" s="182" t="n">
        <v>1.83</v>
      </c>
      <c r="V2479" s="182" t="n">
        <v>0</v>
      </c>
      <c r="W2479" s="182" t="n">
        <v>0</v>
      </c>
      <c r="X2479" s="182" t="n">
        <v>1</v>
      </c>
      <c r="Y2479" s="182" t="n">
        <v>0</v>
      </c>
      <c r="Z2479" s="182" t="n">
        <v>0</v>
      </c>
      <c r="AA2479" s="182" t="n">
        <v>0</v>
      </c>
      <c r="AB2479" s="182" t="n">
        <v>0</v>
      </c>
      <c r="AC2479" s="182" t="n">
        <v>0</v>
      </c>
      <c r="AD2479" s="182" t="n">
        <v>0</v>
      </c>
      <c r="AE2479" s="182" t="n">
        <v>0</v>
      </c>
      <c r="AF2479" s="182" t="n">
        <v>0</v>
      </c>
      <c r="AG2479" s="182" t="n">
        <v>0</v>
      </c>
      <c r="AH2479" s="182" t="n">
        <v>0</v>
      </c>
      <c r="AI2479" s="182" t="n">
        <v>0</v>
      </c>
      <c r="AJ2479" s="182" t="n">
        <v>0</v>
      </c>
      <c r="AK2479" s="182" t="n">
        <v>9.09</v>
      </c>
      <c r="AL2479" s="182" t="n">
        <v>0</v>
      </c>
      <c r="AM2479" s="182" t="n">
        <v>0.08</v>
      </c>
      <c r="AN2479" s="182" t="n">
        <v>0</v>
      </c>
    </row>
    <row r="2480">
      <c r="A2480" s="155" t="n">
        <v>46093</v>
      </c>
      <c r="B2480" s="156" t="inlineStr">
        <is>
          <t>DS</t>
        </is>
      </c>
      <c r="C2480" s="156" t="inlineStr">
        <is>
          <t>DT-805</t>
        </is>
      </c>
      <c r="D2480" s="156" t="inlineStr">
        <is>
          <t>SKT 80S</t>
        </is>
      </c>
      <c r="E2480" s="156" t="inlineStr">
        <is>
          <t>Hauler</t>
        </is>
      </c>
      <c r="F2480" s="156" t="inlineStr"/>
      <c r="G2480" s="182" t="n">
        <v>0</v>
      </c>
      <c r="H2480" s="182" t="n">
        <v>0</v>
      </c>
      <c r="I2480" s="182" t="n">
        <v>0</v>
      </c>
      <c r="J2480" s="182" t="n">
        <v>0</v>
      </c>
      <c r="K2480" s="182" t="n">
        <v>12</v>
      </c>
      <c r="L2480" s="182" t="n">
        <v>12</v>
      </c>
      <c r="M2480" s="182" t="n">
        <v>0</v>
      </c>
      <c r="N2480" s="182" t="n">
        <v>0</v>
      </c>
      <c r="O2480" s="183" t="n">
        <v>0</v>
      </c>
      <c r="P2480" s="183" t="n">
        <v>0</v>
      </c>
      <c r="Q2480" s="184" t="n">
        <v>0</v>
      </c>
      <c r="R2480" s="184" t="n">
        <v>0</v>
      </c>
      <c r="S2480" s="183" t="n">
        <v>0</v>
      </c>
      <c r="T2480" s="183" t="n">
        <v>0</v>
      </c>
      <c r="U2480" s="182" t="n">
        <v>1.83</v>
      </c>
      <c r="V2480" s="182" t="n">
        <v>0</v>
      </c>
      <c r="W2480" s="182" t="n">
        <v>0</v>
      </c>
      <c r="X2480" s="182" t="n">
        <v>1</v>
      </c>
      <c r="Y2480" s="182" t="n">
        <v>0</v>
      </c>
      <c r="Z2480" s="182" t="n">
        <v>0</v>
      </c>
      <c r="AA2480" s="182" t="n">
        <v>0</v>
      </c>
      <c r="AB2480" s="182" t="n">
        <v>0</v>
      </c>
      <c r="AC2480" s="182" t="n">
        <v>0</v>
      </c>
      <c r="AD2480" s="182" t="n">
        <v>0</v>
      </c>
      <c r="AE2480" s="182" t="n">
        <v>0</v>
      </c>
      <c r="AF2480" s="182" t="n">
        <v>0</v>
      </c>
      <c r="AG2480" s="182" t="n">
        <v>0</v>
      </c>
      <c r="AH2480" s="182" t="n">
        <v>0</v>
      </c>
      <c r="AI2480" s="182" t="n">
        <v>0</v>
      </c>
      <c r="AJ2480" s="182" t="n">
        <v>0</v>
      </c>
      <c r="AK2480" s="182" t="n">
        <v>9.09</v>
      </c>
      <c r="AL2480" s="182" t="n">
        <v>0</v>
      </c>
      <c r="AM2480" s="182" t="n">
        <v>0.08</v>
      </c>
      <c r="AN2480" s="182" t="n">
        <v>0</v>
      </c>
    </row>
    <row r="2481">
      <c r="A2481" s="155" t="n">
        <v>46093</v>
      </c>
      <c r="B2481" s="156" t="inlineStr">
        <is>
          <t>DS</t>
        </is>
      </c>
      <c r="C2481" s="156" t="inlineStr">
        <is>
          <t>DT-801</t>
        </is>
      </c>
      <c r="D2481" s="156" t="inlineStr">
        <is>
          <t>SKT 80S</t>
        </is>
      </c>
      <c r="E2481" s="156" t="inlineStr">
        <is>
          <t>Hauler</t>
        </is>
      </c>
      <c r="F2481" s="156" t="inlineStr"/>
      <c r="G2481" s="182" t="n">
        <v>0</v>
      </c>
      <c r="H2481" s="182" t="n">
        <v>0</v>
      </c>
      <c r="I2481" s="182" t="n">
        <v>0</v>
      </c>
      <c r="J2481" s="182" t="n">
        <v>0</v>
      </c>
      <c r="K2481" s="182" t="n">
        <v>12</v>
      </c>
      <c r="L2481" s="182" t="n">
        <v>12</v>
      </c>
      <c r="M2481" s="182" t="n">
        <v>0</v>
      </c>
      <c r="N2481" s="182" t="n">
        <v>0</v>
      </c>
      <c r="O2481" s="183" t="n">
        <v>0</v>
      </c>
      <c r="P2481" s="183" t="n">
        <v>0</v>
      </c>
      <c r="Q2481" s="184" t="n">
        <v>0</v>
      </c>
      <c r="R2481" s="184" t="n">
        <v>0</v>
      </c>
      <c r="S2481" s="183" t="n">
        <v>0</v>
      </c>
      <c r="T2481" s="183" t="n">
        <v>0</v>
      </c>
      <c r="U2481" s="182" t="n">
        <v>1.83</v>
      </c>
      <c r="V2481" s="182" t="n">
        <v>0</v>
      </c>
      <c r="W2481" s="182" t="n">
        <v>0</v>
      </c>
      <c r="X2481" s="182" t="n">
        <v>1</v>
      </c>
      <c r="Y2481" s="182" t="n">
        <v>0</v>
      </c>
      <c r="Z2481" s="182" t="n">
        <v>0</v>
      </c>
      <c r="AA2481" s="182" t="n">
        <v>0</v>
      </c>
      <c r="AB2481" s="182" t="n">
        <v>0</v>
      </c>
      <c r="AC2481" s="182" t="n">
        <v>0</v>
      </c>
      <c r="AD2481" s="182" t="n">
        <v>0</v>
      </c>
      <c r="AE2481" s="182" t="n">
        <v>0</v>
      </c>
      <c r="AF2481" s="182" t="n">
        <v>0</v>
      </c>
      <c r="AG2481" s="182" t="n">
        <v>0</v>
      </c>
      <c r="AH2481" s="182" t="n">
        <v>0</v>
      </c>
      <c r="AI2481" s="182" t="n">
        <v>0</v>
      </c>
      <c r="AJ2481" s="182" t="n">
        <v>0</v>
      </c>
      <c r="AK2481" s="182" t="n">
        <v>9.09</v>
      </c>
      <c r="AL2481" s="182" t="n">
        <v>0</v>
      </c>
      <c r="AM2481" s="182" t="n">
        <v>0.08</v>
      </c>
      <c r="AN2481" s="182" t="n">
        <v>0</v>
      </c>
    </row>
    <row r="2482">
      <c r="A2482" s="155" t="n">
        <v>46093</v>
      </c>
      <c r="B2482" s="156" t="inlineStr">
        <is>
          <t>DS</t>
        </is>
      </c>
      <c r="C2482" s="156" t="inlineStr">
        <is>
          <t>DT-808</t>
        </is>
      </c>
      <c r="D2482" s="156" t="inlineStr">
        <is>
          <t>SKT 80S</t>
        </is>
      </c>
      <c r="E2482" s="156" t="inlineStr">
        <is>
          <t>Hauler</t>
        </is>
      </c>
      <c r="F2482" s="156" t="inlineStr"/>
      <c r="G2482" s="182" t="n">
        <v>0</v>
      </c>
      <c r="H2482" s="182" t="n">
        <v>6.83</v>
      </c>
      <c r="I2482" s="182" t="n">
        <v>0</v>
      </c>
      <c r="J2482" s="182" t="n">
        <v>6.83</v>
      </c>
      <c r="K2482" s="182" t="n">
        <v>5.17</v>
      </c>
      <c r="L2482" s="182" t="n">
        <v>12</v>
      </c>
      <c r="M2482" s="182" t="n">
        <v>0</v>
      </c>
      <c r="N2482" s="182" t="n">
        <v>0</v>
      </c>
      <c r="O2482" s="183" t="n">
        <v>0</v>
      </c>
      <c r="P2482" s="183" t="n">
        <v>0</v>
      </c>
      <c r="Q2482" s="184" t="n">
        <v>0</v>
      </c>
      <c r="R2482" s="184" t="n">
        <v>0</v>
      </c>
      <c r="S2482" s="183" t="n">
        <v>0</v>
      </c>
      <c r="T2482" s="183" t="n">
        <v>0</v>
      </c>
      <c r="U2482" s="182" t="n">
        <v>1.83</v>
      </c>
      <c r="V2482" s="182" t="n">
        <v>0</v>
      </c>
      <c r="W2482" s="182" t="n">
        <v>0</v>
      </c>
      <c r="X2482" s="182" t="n">
        <v>1</v>
      </c>
      <c r="Y2482" s="182" t="n">
        <v>0</v>
      </c>
      <c r="Z2482" s="182" t="n">
        <v>0</v>
      </c>
      <c r="AA2482" s="182" t="n">
        <v>0</v>
      </c>
      <c r="AB2482" s="182" t="n">
        <v>0</v>
      </c>
      <c r="AC2482" s="182" t="n">
        <v>0</v>
      </c>
      <c r="AD2482" s="182" t="n">
        <v>0</v>
      </c>
      <c r="AE2482" s="182" t="n">
        <v>0</v>
      </c>
      <c r="AF2482" s="182" t="n">
        <v>0</v>
      </c>
      <c r="AG2482" s="182" t="n">
        <v>0</v>
      </c>
      <c r="AH2482" s="182" t="n">
        <v>0</v>
      </c>
      <c r="AI2482" s="182" t="n">
        <v>0</v>
      </c>
      <c r="AJ2482" s="182" t="n">
        <v>0</v>
      </c>
      <c r="AK2482" s="182" t="n">
        <v>2.25</v>
      </c>
      <c r="AL2482" s="182" t="n">
        <v>0</v>
      </c>
      <c r="AM2482" s="182" t="n">
        <v>0.08</v>
      </c>
      <c r="AN2482" s="182" t="n">
        <v>0</v>
      </c>
    </row>
    <row r="2483">
      <c r="A2483" s="155" t="n">
        <v>46093</v>
      </c>
      <c r="B2483" s="156" t="inlineStr">
        <is>
          <t>DS</t>
        </is>
      </c>
      <c r="C2483" s="156" t="inlineStr">
        <is>
          <t>DT-811</t>
        </is>
      </c>
      <c r="D2483" s="156" t="inlineStr">
        <is>
          <t>SKT 80S</t>
        </is>
      </c>
      <c r="E2483" s="156" t="inlineStr">
        <is>
          <t>Hauler</t>
        </is>
      </c>
      <c r="F2483" s="156" t="inlineStr"/>
      <c r="G2483" s="182" t="n">
        <v>0</v>
      </c>
      <c r="H2483" s="182" t="n">
        <v>0</v>
      </c>
      <c r="I2483" s="182" t="n">
        <v>0</v>
      </c>
      <c r="J2483" s="182" t="n">
        <v>0</v>
      </c>
      <c r="K2483" s="182" t="n">
        <v>12</v>
      </c>
      <c r="L2483" s="182" t="n">
        <v>12</v>
      </c>
      <c r="M2483" s="182" t="n">
        <v>0</v>
      </c>
      <c r="N2483" s="182" t="n">
        <v>0</v>
      </c>
      <c r="O2483" s="183" t="n">
        <v>0</v>
      </c>
      <c r="P2483" s="183" t="n">
        <v>0</v>
      </c>
      <c r="Q2483" s="184" t="n">
        <v>0</v>
      </c>
      <c r="R2483" s="184" t="n">
        <v>0</v>
      </c>
      <c r="S2483" s="183" t="n">
        <v>0</v>
      </c>
      <c r="T2483" s="183" t="n">
        <v>0</v>
      </c>
      <c r="U2483" s="182" t="n">
        <v>1.83</v>
      </c>
      <c r="V2483" s="182" t="n">
        <v>0</v>
      </c>
      <c r="W2483" s="182" t="n">
        <v>0</v>
      </c>
      <c r="X2483" s="182" t="n">
        <v>1</v>
      </c>
      <c r="Y2483" s="182" t="n">
        <v>0</v>
      </c>
      <c r="Z2483" s="182" t="n">
        <v>0</v>
      </c>
      <c r="AA2483" s="182" t="n">
        <v>0</v>
      </c>
      <c r="AB2483" s="182" t="n">
        <v>0</v>
      </c>
      <c r="AC2483" s="182" t="n">
        <v>0</v>
      </c>
      <c r="AD2483" s="182" t="n">
        <v>0</v>
      </c>
      <c r="AE2483" s="182" t="n">
        <v>0</v>
      </c>
      <c r="AF2483" s="182" t="n">
        <v>0</v>
      </c>
      <c r="AG2483" s="182" t="n">
        <v>0</v>
      </c>
      <c r="AH2483" s="182" t="n">
        <v>0</v>
      </c>
      <c r="AI2483" s="182" t="n">
        <v>0</v>
      </c>
      <c r="AJ2483" s="182" t="n">
        <v>0</v>
      </c>
      <c r="AK2483" s="182" t="n">
        <v>9.09</v>
      </c>
      <c r="AL2483" s="182" t="n">
        <v>0</v>
      </c>
      <c r="AM2483" s="182" t="n">
        <v>0.08</v>
      </c>
      <c r="AN2483" s="182" t="n">
        <v>0</v>
      </c>
    </row>
    <row r="2484">
      <c r="A2484" s="155" t="n">
        <v>46093</v>
      </c>
      <c r="B2484" s="156" t="inlineStr">
        <is>
          <t>DS</t>
        </is>
      </c>
      <c r="C2484" s="156" t="inlineStr">
        <is>
          <t>DT-802</t>
        </is>
      </c>
      <c r="D2484" s="156" t="inlineStr">
        <is>
          <t>SKT 80S</t>
        </is>
      </c>
      <c r="E2484" s="156" t="inlineStr">
        <is>
          <t>Hauler</t>
        </is>
      </c>
      <c r="F2484" s="156" t="inlineStr"/>
      <c r="G2484" s="182" t="n">
        <v>0</v>
      </c>
      <c r="H2484" s="182" t="n">
        <v>0</v>
      </c>
      <c r="I2484" s="182" t="n">
        <v>0</v>
      </c>
      <c r="J2484" s="182" t="n">
        <v>0</v>
      </c>
      <c r="K2484" s="182" t="n">
        <v>12</v>
      </c>
      <c r="L2484" s="182" t="n">
        <v>12</v>
      </c>
      <c r="M2484" s="182" t="n">
        <v>0</v>
      </c>
      <c r="N2484" s="182" t="n">
        <v>0</v>
      </c>
      <c r="O2484" s="183" t="n">
        <v>0</v>
      </c>
      <c r="P2484" s="183" t="n">
        <v>0</v>
      </c>
      <c r="Q2484" s="184" t="n">
        <v>0</v>
      </c>
      <c r="R2484" s="184" t="n">
        <v>0</v>
      </c>
      <c r="S2484" s="183" t="n">
        <v>0</v>
      </c>
      <c r="T2484" s="183" t="n">
        <v>0</v>
      </c>
      <c r="U2484" s="182" t="n">
        <v>1.83</v>
      </c>
      <c r="V2484" s="182" t="n">
        <v>0</v>
      </c>
      <c r="W2484" s="182" t="n">
        <v>0</v>
      </c>
      <c r="X2484" s="182" t="n">
        <v>1</v>
      </c>
      <c r="Y2484" s="182" t="n">
        <v>0</v>
      </c>
      <c r="Z2484" s="182" t="n">
        <v>0</v>
      </c>
      <c r="AA2484" s="182" t="n">
        <v>0</v>
      </c>
      <c r="AB2484" s="182" t="n">
        <v>0</v>
      </c>
      <c r="AC2484" s="182" t="n">
        <v>0</v>
      </c>
      <c r="AD2484" s="182" t="n">
        <v>0</v>
      </c>
      <c r="AE2484" s="182" t="n">
        <v>0</v>
      </c>
      <c r="AF2484" s="182" t="n">
        <v>0</v>
      </c>
      <c r="AG2484" s="182" t="n">
        <v>0</v>
      </c>
      <c r="AH2484" s="182" t="n">
        <v>0</v>
      </c>
      <c r="AI2484" s="182" t="n">
        <v>0</v>
      </c>
      <c r="AJ2484" s="182" t="n">
        <v>0</v>
      </c>
      <c r="AK2484" s="182" t="n">
        <v>9.09</v>
      </c>
      <c r="AL2484" s="182" t="n">
        <v>0</v>
      </c>
      <c r="AM2484" s="182" t="n">
        <v>0.08</v>
      </c>
      <c r="AN2484" s="182" t="n">
        <v>0</v>
      </c>
    </row>
    <row r="2485">
      <c r="A2485" s="155" t="n">
        <v>46093</v>
      </c>
      <c r="B2485" s="156" t="inlineStr">
        <is>
          <t>DS</t>
        </is>
      </c>
      <c r="C2485" s="156" t="inlineStr">
        <is>
          <t>DT-807</t>
        </is>
      </c>
      <c r="D2485" s="156" t="inlineStr">
        <is>
          <t>SKT 80S</t>
        </is>
      </c>
      <c r="E2485" s="156" t="inlineStr">
        <is>
          <t>Hauler</t>
        </is>
      </c>
      <c r="F2485" s="156" t="inlineStr"/>
      <c r="G2485" s="182" t="n">
        <v>0</v>
      </c>
      <c r="H2485" s="182" t="n">
        <v>0</v>
      </c>
      <c r="I2485" s="182" t="n">
        <v>0</v>
      </c>
      <c r="J2485" s="182" t="n">
        <v>0</v>
      </c>
      <c r="K2485" s="182" t="n">
        <v>12</v>
      </c>
      <c r="L2485" s="182" t="n">
        <v>12</v>
      </c>
      <c r="M2485" s="182" t="n">
        <v>0</v>
      </c>
      <c r="N2485" s="182" t="n">
        <v>0</v>
      </c>
      <c r="O2485" s="183" t="n">
        <v>0</v>
      </c>
      <c r="P2485" s="183" t="n">
        <v>0</v>
      </c>
      <c r="Q2485" s="184" t="n">
        <v>0</v>
      </c>
      <c r="R2485" s="184" t="n">
        <v>0</v>
      </c>
      <c r="S2485" s="183" t="n">
        <v>0</v>
      </c>
      <c r="T2485" s="183" t="n">
        <v>0</v>
      </c>
      <c r="U2485" s="182" t="n">
        <v>1.83</v>
      </c>
      <c r="V2485" s="182" t="n">
        <v>0</v>
      </c>
      <c r="W2485" s="182" t="n">
        <v>0</v>
      </c>
      <c r="X2485" s="182" t="n">
        <v>1</v>
      </c>
      <c r="Y2485" s="182" t="n">
        <v>0</v>
      </c>
      <c r="Z2485" s="182" t="n">
        <v>0</v>
      </c>
      <c r="AA2485" s="182" t="n">
        <v>0</v>
      </c>
      <c r="AB2485" s="182" t="n">
        <v>0</v>
      </c>
      <c r="AC2485" s="182" t="n">
        <v>0</v>
      </c>
      <c r="AD2485" s="182" t="n">
        <v>0</v>
      </c>
      <c r="AE2485" s="182" t="n">
        <v>0</v>
      </c>
      <c r="AF2485" s="182" t="n">
        <v>0</v>
      </c>
      <c r="AG2485" s="182" t="n">
        <v>0</v>
      </c>
      <c r="AH2485" s="182" t="n">
        <v>0</v>
      </c>
      <c r="AI2485" s="182" t="n">
        <v>0</v>
      </c>
      <c r="AJ2485" s="182" t="n">
        <v>0</v>
      </c>
      <c r="AK2485" s="182" t="n">
        <v>9.09</v>
      </c>
      <c r="AL2485" s="182" t="n">
        <v>0</v>
      </c>
      <c r="AM2485" s="182" t="n">
        <v>0.08</v>
      </c>
      <c r="AN2485" s="182" t="n">
        <v>0</v>
      </c>
    </row>
    <row r="2486">
      <c r="A2486" s="155" t="n">
        <v>46093</v>
      </c>
      <c r="B2486" s="156" t="inlineStr">
        <is>
          <t>DS</t>
        </is>
      </c>
      <c r="C2486" s="156" t="inlineStr">
        <is>
          <t>DT-812</t>
        </is>
      </c>
      <c r="D2486" s="156" t="inlineStr">
        <is>
          <t>SKT 80S</t>
        </is>
      </c>
      <c r="E2486" s="156" t="inlineStr">
        <is>
          <t>Hauler</t>
        </is>
      </c>
      <c r="F2486" s="156" t="inlineStr">
        <is>
          <t>Hauling Spoil &amp; Coal</t>
        </is>
      </c>
      <c r="G2486" s="182" t="n">
        <v>6.48</v>
      </c>
      <c r="H2486" s="182" t="n">
        <v>0</v>
      </c>
      <c r="I2486" s="182" t="n">
        <v>0</v>
      </c>
      <c r="J2486" s="182" t="n">
        <v>0</v>
      </c>
      <c r="K2486" s="182" t="n">
        <v>5.52</v>
      </c>
      <c r="L2486" s="182" t="n">
        <v>12</v>
      </c>
      <c r="M2486" s="182" t="n">
        <v>0</v>
      </c>
      <c r="N2486" s="182" t="n">
        <v>3.4</v>
      </c>
      <c r="O2486" s="183" t="n">
        <v>0</v>
      </c>
      <c r="P2486" s="183" t="n">
        <v>6</v>
      </c>
      <c r="Q2486" s="184" t="n">
        <v>0</v>
      </c>
      <c r="R2486" s="184" t="n">
        <v>91.8</v>
      </c>
      <c r="S2486" s="183" t="n">
        <v>6</v>
      </c>
      <c r="T2486" s="183" t="n">
        <v>0</v>
      </c>
      <c r="U2486" s="182" t="n">
        <v>1.77</v>
      </c>
      <c r="V2486" s="182" t="n">
        <v>0.89</v>
      </c>
      <c r="W2486" s="182" t="n">
        <v>0</v>
      </c>
      <c r="X2486" s="182" t="n">
        <v>0.97</v>
      </c>
      <c r="Y2486" s="182" t="n">
        <v>0</v>
      </c>
      <c r="Z2486" s="182" t="n">
        <v>0</v>
      </c>
      <c r="AA2486" s="182" t="n">
        <v>0</v>
      </c>
      <c r="AB2486" s="182" t="n">
        <v>0</v>
      </c>
      <c r="AC2486" s="182" t="n">
        <v>0</v>
      </c>
      <c r="AD2486" s="182" t="n">
        <v>0</v>
      </c>
      <c r="AE2486" s="182" t="n">
        <v>0</v>
      </c>
      <c r="AF2486" s="182" t="n">
        <v>0</v>
      </c>
      <c r="AG2486" s="182" t="n">
        <v>0</v>
      </c>
      <c r="AH2486" s="182" t="n">
        <v>0</v>
      </c>
      <c r="AI2486" s="182" t="n">
        <v>1.81</v>
      </c>
      <c r="AJ2486" s="182" t="n">
        <v>0</v>
      </c>
      <c r="AK2486" s="182" t="n">
        <v>0</v>
      </c>
      <c r="AL2486" s="182" t="n">
        <v>0</v>
      </c>
      <c r="AM2486" s="182" t="n">
        <v>0.08</v>
      </c>
      <c r="AN2486" s="182" t="n">
        <v>0</v>
      </c>
    </row>
    <row r="2487">
      <c r="A2487" s="155" t="n">
        <v>46093</v>
      </c>
      <c r="B2487" s="156" t="inlineStr">
        <is>
          <t>DS</t>
        </is>
      </c>
      <c r="C2487" s="156" t="inlineStr">
        <is>
          <t>DT-803</t>
        </is>
      </c>
      <c r="D2487" s="156" t="inlineStr">
        <is>
          <t>SKT 80S</t>
        </is>
      </c>
      <c r="E2487" s="156" t="inlineStr">
        <is>
          <t>Hauler</t>
        </is>
      </c>
      <c r="F2487" s="156" t="inlineStr"/>
      <c r="G2487" s="182" t="n">
        <v>0</v>
      </c>
      <c r="H2487" s="182" t="n">
        <v>0</v>
      </c>
      <c r="I2487" s="182" t="n">
        <v>0</v>
      </c>
      <c r="J2487" s="182" t="n">
        <v>0</v>
      </c>
      <c r="K2487" s="182" t="n">
        <v>12</v>
      </c>
      <c r="L2487" s="182" t="n">
        <v>12</v>
      </c>
      <c r="M2487" s="182" t="n">
        <v>0</v>
      </c>
      <c r="N2487" s="182" t="n">
        <v>0</v>
      </c>
      <c r="O2487" s="183" t="n">
        <v>0</v>
      </c>
      <c r="P2487" s="183" t="n">
        <v>0</v>
      </c>
      <c r="Q2487" s="184" t="n">
        <v>0</v>
      </c>
      <c r="R2487" s="184" t="n">
        <v>0</v>
      </c>
      <c r="S2487" s="183" t="n">
        <v>0</v>
      </c>
      <c r="T2487" s="183" t="n">
        <v>0</v>
      </c>
      <c r="U2487" s="182" t="n">
        <v>1.83</v>
      </c>
      <c r="V2487" s="182" t="n">
        <v>0</v>
      </c>
      <c r="W2487" s="182" t="n">
        <v>0</v>
      </c>
      <c r="X2487" s="182" t="n">
        <v>1</v>
      </c>
      <c r="Y2487" s="182" t="n">
        <v>0</v>
      </c>
      <c r="Z2487" s="182" t="n">
        <v>0</v>
      </c>
      <c r="AA2487" s="182" t="n">
        <v>0</v>
      </c>
      <c r="AB2487" s="182" t="n">
        <v>0</v>
      </c>
      <c r="AC2487" s="182" t="n">
        <v>0</v>
      </c>
      <c r="AD2487" s="182" t="n">
        <v>0</v>
      </c>
      <c r="AE2487" s="182" t="n">
        <v>0</v>
      </c>
      <c r="AF2487" s="182" t="n">
        <v>0</v>
      </c>
      <c r="AG2487" s="182" t="n">
        <v>0</v>
      </c>
      <c r="AH2487" s="182" t="n">
        <v>0</v>
      </c>
      <c r="AI2487" s="182" t="n">
        <v>0</v>
      </c>
      <c r="AJ2487" s="182" t="n">
        <v>0</v>
      </c>
      <c r="AK2487" s="182" t="n">
        <v>9.09</v>
      </c>
      <c r="AL2487" s="182" t="n">
        <v>0</v>
      </c>
      <c r="AM2487" s="182" t="n">
        <v>0.08</v>
      </c>
      <c r="AN2487" s="182" t="n">
        <v>0</v>
      </c>
    </row>
    <row r="2488">
      <c r="A2488" s="155" t="n">
        <v>46093</v>
      </c>
      <c r="B2488" s="156" t="inlineStr">
        <is>
          <t>DS</t>
        </is>
      </c>
      <c r="C2488" s="156" t="inlineStr">
        <is>
          <t>DT-810</t>
        </is>
      </c>
      <c r="D2488" s="156" t="inlineStr">
        <is>
          <t>SKT 80S</t>
        </is>
      </c>
      <c r="E2488" s="156" t="inlineStr">
        <is>
          <t>Hauler</t>
        </is>
      </c>
      <c r="F2488" s="156" t="inlineStr">
        <is>
          <t>Hauling Spoil &amp; Coal</t>
        </is>
      </c>
      <c r="G2488" s="182" t="n">
        <v>6.11</v>
      </c>
      <c r="H2488" s="182" t="n">
        <v>0</v>
      </c>
      <c r="I2488" s="182" t="n">
        <v>0</v>
      </c>
      <c r="J2488" s="182" t="n">
        <v>0</v>
      </c>
      <c r="K2488" s="182" t="n">
        <v>5.89</v>
      </c>
      <c r="L2488" s="182" t="n">
        <v>12</v>
      </c>
      <c r="M2488" s="182" t="n">
        <v>0</v>
      </c>
      <c r="N2488" s="182" t="n">
        <v>3</v>
      </c>
      <c r="O2488" s="183" t="n">
        <v>0</v>
      </c>
      <c r="P2488" s="183" t="n">
        <v>8</v>
      </c>
      <c r="Q2488" s="184" t="n">
        <v>0</v>
      </c>
      <c r="R2488" s="184" t="n">
        <v>122.4</v>
      </c>
      <c r="S2488" s="183" t="n">
        <v>6</v>
      </c>
      <c r="T2488" s="183" t="n">
        <v>0</v>
      </c>
      <c r="U2488" s="182" t="n">
        <v>1.77</v>
      </c>
      <c r="V2488" s="182" t="n">
        <v>0.89</v>
      </c>
      <c r="W2488" s="182" t="n">
        <v>0</v>
      </c>
      <c r="X2488" s="182" t="n">
        <v>0.97</v>
      </c>
      <c r="Y2488" s="182" t="n">
        <v>0</v>
      </c>
      <c r="Z2488" s="182" t="n">
        <v>0</v>
      </c>
      <c r="AA2488" s="182" t="n">
        <v>0</v>
      </c>
      <c r="AB2488" s="182" t="n">
        <v>0</v>
      </c>
      <c r="AC2488" s="182" t="n">
        <v>0</v>
      </c>
      <c r="AD2488" s="182" t="n">
        <v>0</v>
      </c>
      <c r="AE2488" s="182" t="n">
        <v>0</v>
      </c>
      <c r="AF2488" s="182" t="n">
        <v>0</v>
      </c>
      <c r="AG2488" s="182" t="n">
        <v>0</v>
      </c>
      <c r="AH2488" s="182" t="n">
        <v>0</v>
      </c>
      <c r="AI2488" s="182" t="n">
        <v>2.19</v>
      </c>
      <c r="AJ2488" s="182" t="n">
        <v>0</v>
      </c>
      <c r="AK2488" s="182" t="n">
        <v>0</v>
      </c>
      <c r="AL2488" s="182" t="n">
        <v>0</v>
      </c>
      <c r="AM2488" s="182" t="n">
        <v>0.08</v>
      </c>
      <c r="AN2488" s="182" t="n">
        <v>0</v>
      </c>
    </row>
    <row r="2489">
      <c r="A2489" s="155" t="n">
        <v>46093</v>
      </c>
      <c r="B2489" s="156" t="inlineStr">
        <is>
          <t>DS</t>
        </is>
      </c>
      <c r="C2489" s="156" t="inlineStr">
        <is>
          <t>DT-804</t>
        </is>
      </c>
      <c r="D2489" s="156" t="inlineStr">
        <is>
          <t>SKT 80S</t>
        </is>
      </c>
      <c r="E2489" s="156" t="inlineStr">
        <is>
          <t>Hauler</t>
        </is>
      </c>
      <c r="F2489" s="156" t="inlineStr">
        <is>
          <t>Hauling Lumpur dari Washing Plant</t>
        </is>
      </c>
      <c r="G2489" s="182" t="n">
        <v>1.23</v>
      </c>
      <c r="H2489" s="182" t="n">
        <v>0</v>
      </c>
      <c r="I2489" s="182" t="n">
        <v>0</v>
      </c>
      <c r="J2489" s="182" t="n">
        <v>0</v>
      </c>
      <c r="K2489" s="182" t="n">
        <v>10.77</v>
      </c>
      <c r="L2489" s="182" t="n">
        <v>12</v>
      </c>
      <c r="M2489" s="182" t="n">
        <v>0</v>
      </c>
      <c r="N2489" s="182" t="n">
        <v>0</v>
      </c>
      <c r="O2489" s="183" t="n">
        <v>0</v>
      </c>
      <c r="P2489" s="183" t="n">
        <v>0</v>
      </c>
      <c r="Q2489" s="184" t="n">
        <v>0</v>
      </c>
      <c r="R2489" s="184" t="n">
        <v>0</v>
      </c>
      <c r="S2489" s="183" t="n">
        <v>0</v>
      </c>
      <c r="T2489" s="183" t="n">
        <v>0</v>
      </c>
      <c r="U2489" s="182" t="n">
        <v>1.9</v>
      </c>
      <c r="V2489" s="182" t="n">
        <v>0</v>
      </c>
      <c r="W2489" s="182" t="n">
        <v>0</v>
      </c>
      <c r="X2489" s="182" t="n">
        <v>1.04</v>
      </c>
      <c r="Y2489" s="182" t="n">
        <v>0</v>
      </c>
      <c r="Z2489" s="182" t="n">
        <v>0</v>
      </c>
      <c r="AA2489" s="182" t="n">
        <v>0</v>
      </c>
      <c r="AB2489" s="182" t="n">
        <v>0</v>
      </c>
      <c r="AC2489" s="182" t="n">
        <v>0</v>
      </c>
      <c r="AD2489" s="182" t="n">
        <v>0</v>
      </c>
      <c r="AE2489" s="182" t="n">
        <v>0</v>
      </c>
      <c r="AF2489" s="182" t="n">
        <v>0</v>
      </c>
      <c r="AG2489" s="182" t="n">
        <v>0</v>
      </c>
      <c r="AH2489" s="182" t="n">
        <v>0</v>
      </c>
      <c r="AI2489" s="182" t="n">
        <v>0</v>
      </c>
      <c r="AJ2489" s="182" t="n">
        <v>0</v>
      </c>
      <c r="AK2489" s="182" t="n">
        <v>7.76</v>
      </c>
      <c r="AL2489" s="182" t="n">
        <v>0</v>
      </c>
      <c r="AM2489" s="182" t="n">
        <v>0.08</v>
      </c>
      <c r="AN2489" s="182" t="n">
        <v>0</v>
      </c>
    </row>
    <row r="2490">
      <c r="A2490" s="155" t="n">
        <v>46093</v>
      </c>
      <c r="B2490" s="156" t="inlineStr">
        <is>
          <t>DS</t>
        </is>
      </c>
      <c r="C2490" s="156" t="inlineStr">
        <is>
          <t>DT-505</t>
        </is>
      </c>
      <c r="D2490" s="156" t="inlineStr">
        <is>
          <t>SKT 105S</t>
        </is>
      </c>
      <c r="E2490" s="156" t="inlineStr">
        <is>
          <t>Hauler</t>
        </is>
      </c>
      <c r="F2490" s="156" t="inlineStr"/>
      <c r="G2490" s="182" t="n">
        <v>0</v>
      </c>
      <c r="H2490" s="182" t="n">
        <v>12</v>
      </c>
      <c r="I2490" s="182" t="n">
        <v>0</v>
      </c>
      <c r="J2490" s="182" t="n">
        <v>12</v>
      </c>
      <c r="K2490" s="182" t="n">
        <v>0</v>
      </c>
      <c r="L2490" s="182" t="n">
        <v>12</v>
      </c>
      <c r="M2490" s="182" t="n">
        <v>0</v>
      </c>
      <c r="N2490" s="182" t="n">
        <v>0</v>
      </c>
      <c r="O2490" s="183" t="n">
        <v>0</v>
      </c>
      <c r="P2490" s="183" t="n">
        <v>0</v>
      </c>
      <c r="Q2490" s="184" t="n">
        <v>0</v>
      </c>
      <c r="R2490" s="184" t="n">
        <v>0</v>
      </c>
      <c r="S2490" s="183" t="n">
        <v>0</v>
      </c>
      <c r="T2490" s="183" t="n">
        <v>0</v>
      </c>
      <c r="U2490" s="182" t="n">
        <v>0</v>
      </c>
      <c r="V2490" s="182" t="n">
        <v>0</v>
      </c>
      <c r="W2490" s="182" t="n">
        <v>0</v>
      </c>
      <c r="X2490" s="182" t="n">
        <v>0</v>
      </c>
      <c r="Y2490" s="182" t="n">
        <v>0</v>
      </c>
      <c r="Z2490" s="182" t="n">
        <v>0</v>
      </c>
      <c r="AA2490" s="182" t="n">
        <v>0</v>
      </c>
      <c r="AB2490" s="182" t="n">
        <v>0</v>
      </c>
      <c r="AC2490" s="182" t="n">
        <v>0</v>
      </c>
      <c r="AD2490" s="182" t="n">
        <v>0</v>
      </c>
      <c r="AE2490" s="182" t="n">
        <v>0</v>
      </c>
      <c r="AF2490" s="182" t="n">
        <v>0</v>
      </c>
      <c r="AG2490" s="182" t="n">
        <v>0</v>
      </c>
      <c r="AH2490" s="182" t="n">
        <v>0</v>
      </c>
      <c r="AI2490" s="182" t="n">
        <v>0</v>
      </c>
      <c r="AJ2490" s="182" t="n">
        <v>0</v>
      </c>
      <c r="AK2490" s="182" t="n">
        <v>0</v>
      </c>
      <c r="AL2490" s="182" t="n">
        <v>0</v>
      </c>
      <c r="AM2490" s="182" t="n">
        <v>0</v>
      </c>
      <c r="AN2490" s="182" t="n">
        <v>0</v>
      </c>
    </row>
    <row r="2491">
      <c r="A2491" s="155" t="n">
        <v>46093</v>
      </c>
      <c r="B2491" s="156" t="inlineStr">
        <is>
          <t>DS</t>
        </is>
      </c>
      <c r="C2491" s="156" t="inlineStr">
        <is>
          <t>DT-530</t>
        </is>
      </c>
      <c r="D2491" s="156" t="inlineStr">
        <is>
          <t>SKT 105S</t>
        </is>
      </c>
      <c r="E2491" s="156" t="inlineStr">
        <is>
          <t>Hauler</t>
        </is>
      </c>
      <c r="F2491" s="156" t="inlineStr"/>
      <c r="G2491" s="182" t="n">
        <v>0</v>
      </c>
      <c r="H2491" s="182" t="n">
        <v>0</v>
      </c>
      <c r="I2491" s="182" t="n">
        <v>12</v>
      </c>
      <c r="J2491" s="182" t="n">
        <v>12</v>
      </c>
      <c r="K2491" s="182" t="n">
        <v>0</v>
      </c>
      <c r="L2491" s="182" t="n">
        <v>12</v>
      </c>
      <c r="M2491" s="182" t="n">
        <v>0</v>
      </c>
      <c r="N2491" s="182" t="n">
        <v>0</v>
      </c>
      <c r="O2491" s="183" t="n">
        <v>0</v>
      </c>
      <c r="P2491" s="183" t="n">
        <v>0</v>
      </c>
      <c r="Q2491" s="184" t="n">
        <v>0</v>
      </c>
      <c r="R2491" s="184" t="n">
        <v>0</v>
      </c>
      <c r="S2491" s="183" t="n">
        <v>0</v>
      </c>
      <c r="T2491" s="183" t="n">
        <v>0</v>
      </c>
      <c r="U2491" s="182" t="n">
        <v>0</v>
      </c>
      <c r="V2491" s="182" t="n">
        <v>0</v>
      </c>
      <c r="W2491" s="182" t="n">
        <v>0</v>
      </c>
      <c r="X2491" s="182" t="n">
        <v>0</v>
      </c>
      <c r="Y2491" s="182" t="n">
        <v>0</v>
      </c>
      <c r="Z2491" s="182" t="n">
        <v>0</v>
      </c>
      <c r="AA2491" s="182" t="n">
        <v>0</v>
      </c>
      <c r="AB2491" s="182" t="n">
        <v>0</v>
      </c>
      <c r="AC2491" s="182" t="n">
        <v>0</v>
      </c>
      <c r="AD2491" s="182" t="n">
        <v>0</v>
      </c>
      <c r="AE2491" s="182" t="n">
        <v>0</v>
      </c>
      <c r="AF2491" s="182" t="n">
        <v>0</v>
      </c>
      <c r="AG2491" s="182" t="n">
        <v>0</v>
      </c>
      <c r="AH2491" s="182" t="n">
        <v>0</v>
      </c>
      <c r="AI2491" s="182" t="n">
        <v>0</v>
      </c>
      <c r="AJ2491" s="182" t="n">
        <v>0</v>
      </c>
      <c r="AK2491" s="182" t="n">
        <v>0</v>
      </c>
      <c r="AL2491" s="182" t="n">
        <v>0</v>
      </c>
      <c r="AM2491" s="182" t="n">
        <v>0</v>
      </c>
      <c r="AN2491" s="182" t="n">
        <v>0</v>
      </c>
    </row>
    <row r="2492">
      <c r="A2492" s="155" t="n">
        <v>46093</v>
      </c>
      <c r="B2492" s="156" t="inlineStr">
        <is>
          <t>DS</t>
        </is>
      </c>
      <c r="C2492" s="156" t="inlineStr">
        <is>
          <t>DT-525</t>
        </is>
      </c>
      <c r="D2492" s="156" t="inlineStr">
        <is>
          <t>SKT 105S</t>
        </is>
      </c>
      <c r="E2492" s="156" t="inlineStr">
        <is>
          <t>Hauler</t>
        </is>
      </c>
      <c r="F2492" s="156" t="inlineStr"/>
      <c r="G2492" s="182" t="n">
        <v>0</v>
      </c>
      <c r="H2492" s="182" t="n">
        <v>0</v>
      </c>
      <c r="I2492" s="182" t="n">
        <v>12</v>
      </c>
      <c r="J2492" s="182" t="n">
        <v>12</v>
      </c>
      <c r="K2492" s="182" t="n">
        <v>0</v>
      </c>
      <c r="L2492" s="182" t="n">
        <v>12</v>
      </c>
      <c r="M2492" s="182" t="n">
        <v>0</v>
      </c>
      <c r="N2492" s="182" t="n">
        <v>0</v>
      </c>
      <c r="O2492" s="183" t="n">
        <v>0</v>
      </c>
      <c r="P2492" s="183" t="n">
        <v>0</v>
      </c>
      <c r="Q2492" s="184" t="n">
        <v>0</v>
      </c>
      <c r="R2492" s="184" t="n">
        <v>0</v>
      </c>
      <c r="S2492" s="183" t="n">
        <v>0</v>
      </c>
      <c r="T2492" s="183" t="n">
        <v>0</v>
      </c>
      <c r="U2492" s="182" t="n">
        <v>0</v>
      </c>
      <c r="V2492" s="182" t="n">
        <v>0</v>
      </c>
      <c r="W2492" s="182" t="n">
        <v>0</v>
      </c>
      <c r="X2492" s="182" t="n">
        <v>0</v>
      </c>
      <c r="Y2492" s="182" t="n">
        <v>0</v>
      </c>
      <c r="Z2492" s="182" t="n">
        <v>0</v>
      </c>
      <c r="AA2492" s="182" t="n">
        <v>0</v>
      </c>
      <c r="AB2492" s="182" t="n">
        <v>0</v>
      </c>
      <c r="AC2492" s="182" t="n">
        <v>0</v>
      </c>
      <c r="AD2492" s="182" t="n">
        <v>0</v>
      </c>
      <c r="AE2492" s="182" t="n">
        <v>0</v>
      </c>
      <c r="AF2492" s="182" t="n">
        <v>0</v>
      </c>
      <c r="AG2492" s="182" t="n">
        <v>0</v>
      </c>
      <c r="AH2492" s="182" t="n">
        <v>0</v>
      </c>
      <c r="AI2492" s="182" t="n">
        <v>0</v>
      </c>
      <c r="AJ2492" s="182" t="n">
        <v>0</v>
      </c>
      <c r="AK2492" s="182" t="n">
        <v>0</v>
      </c>
      <c r="AL2492" s="182" t="n">
        <v>0</v>
      </c>
      <c r="AM2492" s="182" t="n">
        <v>0</v>
      </c>
      <c r="AN2492" s="182" t="n">
        <v>0</v>
      </c>
    </row>
    <row r="2493">
      <c r="A2493" s="155" t="n">
        <v>46093</v>
      </c>
      <c r="B2493" s="156" t="inlineStr">
        <is>
          <t>DS</t>
        </is>
      </c>
      <c r="C2493" s="156" t="inlineStr">
        <is>
          <t>DT-503</t>
        </is>
      </c>
      <c r="D2493" s="156" t="inlineStr">
        <is>
          <t>SKT 105S</t>
        </is>
      </c>
      <c r="E2493" s="156" t="inlineStr">
        <is>
          <t>Hauler</t>
        </is>
      </c>
      <c r="F2493" s="156" t="inlineStr">
        <is>
          <t>Hauling OB</t>
        </is>
      </c>
      <c r="G2493" s="182" t="n">
        <v>8.869999999999999</v>
      </c>
      <c r="H2493" s="182" t="n">
        <v>0</v>
      </c>
      <c r="I2493" s="182" t="n">
        <v>0</v>
      </c>
      <c r="J2493" s="182" t="n">
        <v>0</v>
      </c>
      <c r="K2493" s="182" t="n">
        <v>3.13</v>
      </c>
      <c r="L2493" s="182" t="n">
        <v>12</v>
      </c>
      <c r="M2493" s="182" t="n">
        <v>8.869999999999999</v>
      </c>
      <c r="N2493" s="182" t="n">
        <v>0</v>
      </c>
      <c r="O2493" s="183" t="n">
        <v>27</v>
      </c>
      <c r="P2493" s="183" t="n">
        <v>0</v>
      </c>
      <c r="Q2493" s="184" t="n">
        <v>550.8</v>
      </c>
      <c r="R2493" s="184" t="n">
        <v>0</v>
      </c>
      <c r="S2493" s="183" t="n">
        <v>0</v>
      </c>
      <c r="T2493" s="183" t="n">
        <v>0</v>
      </c>
      <c r="U2493" s="182" t="n">
        <v>1.55</v>
      </c>
      <c r="V2493" s="182" t="n">
        <v>0.67</v>
      </c>
      <c r="W2493" s="182" t="n">
        <v>0</v>
      </c>
      <c r="X2493" s="182" t="n">
        <v>0.85</v>
      </c>
      <c r="Y2493" s="182" t="n">
        <v>0</v>
      </c>
      <c r="Z2493" s="182" t="n">
        <v>0</v>
      </c>
      <c r="AA2493" s="182" t="n">
        <v>0</v>
      </c>
      <c r="AB2493" s="182" t="n">
        <v>0</v>
      </c>
      <c r="AC2493" s="182" t="n">
        <v>0</v>
      </c>
      <c r="AD2493" s="182" t="n">
        <v>0</v>
      </c>
      <c r="AE2493" s="182" t="n">
        <v>0</v>
      </c>
      <c r="AF2493" s="182" t="n">
        <v>0</v>
      </c>
      <c r="AG2493" s="182" t="n">
        <v>0</v>
      </c>
      <c r="AH2493" s="182" t="n">
        <v>0</v>
      </c>
      <c r="AI2493" s="182" t="n">
        <v>0</v>
      </c>
      <c r="AJ2493" s="182" t="n">
        <v>0</v>
      </c>
      <c r="AK2493" s="182" t="n">
        <v>0</v>
      </c>
      <c r="AL2493" s="182" t="n">
        <v>0</v>
      </c>
      <c r="AM2493" s="182" t="n">
        <v>0.07000000000000001</v>
      </c>
      <c r="AN2493" s="182" t="n">
        <v>0</v>
      </c>
    </row>
    <row r="2494">
      <c r="A2494" s="155" t="n">
        <v>46093</v>
      </c>
      <c r="B2494" s="156" t="inlineStr">
        <is>
          <t>DS</t>
        </is>
      </c>
      <c r="C2494" s="156" t="inlineStr">
        <is>
          <t>DT-504</t>
        </is>
      </c>
      <c r="D2494" s="156" t="inlineStr">
        <is>
          <t>SKT 105S</t>
        </is>
      </c>
      <c r="E2494" s="156" t="inlineStr">
        <is>
          <t>Hauler</t>
        </is>
      </c>
      <c r="F2494" s="156" t="inlineStr">
        <is>
          <t>Hauling OB &amp; Coal</t>
        </is>
      </c>
      <c r="G2494" s="182" t="n">
        <v>7.56</v>
      </c>
      <c r="H2494" s="182" t="n">
        <v>0</v>
      </c>
      <c r="I2494" s="182" t="n">
        <v>0</v>
      </c>
      <c r="J2494" s="182" t="n">
        <v>0</v>
      </c>
      <c r="K2494" s="182" t="n">
        <v>4.44</v>
      </c>
      <c r="L2494" s="182" t="n">
        <v>12</v>
      </c>
      <c r="M2494" s="182" t="n">
        <v>1.55</v>
      </c>
      <c r="N2494" s="182" t="n">
        <v>6.01</v>
      </c>
      <c r="O2494" s="183" t="n">
        <v>6</v>
      </c>
      <c r="P2494" s="183" t="n">
        <v>11</v>
      </c>
      <c r="Q2494" s="184" t="n">
        <v>122.4</v>
      </c>
      <c r="R2494" s="184" t="n">
        <v>205.7</v>
      </c>
      <c r="S2494" s="183" t="n">
        <v>0</v>
      </c>
      <c r="T2494" s="183" t="n">
        <v>0</v>
      </c>
      <c r="U2494" s="182" t="n">
        <v>1.73</v>
      </c>
      <c r="V2494" s="182" t="n">
        <v>0.87</v>
      </c>
      <c r="W2494" s="182" t="n">
        <v>0</v>
      </c>
      <c r="X2494" s="182" t="n">
        <v>0.9399999999999999</v>
      </c>
      <c r="Y2494" s="182" t="n">
        <v>0</v>
      </c>
      <c r="Z2494" s="182" t="n">
        <v>0</v>
      </c>
      <c r="AA2494" s="182" t="n">
        <v>0</v>
      </c>
      <c r="AB2494" s="182" t="n">
        <v>0</v>
      </c>
      <c r="AC2494" s="182" t="n">
        <v>0</v>
      </c>
      <c r="AD2494" s="182" t="n">
        <v>0</v>
      </c>
      <c r="AE2494" s="182" t="n">
        <v>0</v>
      </c>
      <c r="AF2494" s="182" t="n">
        <v>0</v>
      </c>
      <c r="AG2494" s="182" t="n">
        <v>0</v>
      </c>
      <c r="AH2494" s="182" t="n">
        <v>0.82</v>
      </c>
      <c r="AI2494" s="182" t="n">
        <v>0</v>
      </c>
      <c r="AJ2494" s="182" t="n">
        <v>0</v>
      </c>
      <c r="AK2494" s="182" t="n">
        <v>0</v>
      </c>
      <c r="AL2494" s="182" t="n">
        <v>0</v>
      </c>
      <c r="AM2494" s="182" t="n">
        <v>0.08</v>
      </c>
      <c r="AN2494" s="182" t="n">
        <v>0</v>
      </c>
    </row>
    <row r="2495">
      <c r="A2495" s="155" t="n">
        <v>46093</v>
      </c>
      <c r="B2495" s="156" t="inlineStr">
        <is>
          <t>DS</t>
        </is>
      </c>
      <c r="C2495" s="156" t="inlineStr">
        <is>
          <t>DT-507</t>
        </is>
      </c>
      <c r="D2495" s="156" t="inlineStr">
        <is>
          <t>SKT 105S</t>
        </is>
      </c>
      <c r="E2495" s="156" t="inlineStr">
        <is>
          <t>Hauler</t>
        </is>
      </c>
      <c r="F2495" s="156" t="inlineStr">
        <is>
          <t>Hauling OB</t>
        </is>
      </c>
      <c r="G2495" s="182" t="n">
        <v>7.24</v>
      </c>
      <c r="H2495" s="182" t="n">
        <v>0</v>
      </c>
      <c r="I2495" s="182" t="n">
        <v>0</v>
      </c>
      <c r="J2495" s="182" t="n">
        <v>0</v>
      </c>
      <c r="K2495" s="182" t="n">
        <v>4.76</v>
      </c>
      <c r="L2495" s="182" t="n">
        <v>12</v>
      </c>
      <c r="M2495" s="182" t="n">
        <v>7.24</v>
      </c>
      <c r="N2495" s="182" t="n">
        <v>0</v>
      </c>
      <c r="O2495" s="183" t="n">
        <v>24</v>
      </c>
      <c r="P2495" s="183" t="n">
        <v>0</v>
      </c>
      <c r="Q2495" s="184" t="n">
        <v>489.6</v>
      </c>
      <c r="R2495" s="184" t="n">
        <v>0</v>
      </c>
      <c r="S2495" s="183" t="n">
        <v>0</v>
      </c>
      <c r="T2495" s="183" t="n">
        <v>0</v>
      </c>
      <c r="U2495" s="182" t="n">
        <v>1.94</v>
      </c>
      <c r="V2495" s="182" t="n">
        <v>0.97</v>
      </c>
      <c r="W2495" s="182" t="n">
        <v>0</v>
      </c>
      <c r="X2495" s="182" t="n">
        <v>1.06</v>
      </c>
      <c r="Y2495" s="182" t="n">
        <v>0</v>
      </c>
      <c r="Z2495" s="182" t="n">
        <v>0</v>
      </c>
      <c r="AA2495" s="182" t="n">
        <v>0</v>
      </c>
      <c r="AB2495" s="182" t="n">
        <v>0</v>
      </c>
      <c r="AC2495" s="182" t="n">
        <v>0</v>
      </c>
      <c r="AD2495" s="182" t="n">
        <v>0</v>
      </c>
      <c r="AE2495" s="182" t="n">
        <v>0</v>
      </c>
      <c r="AF2495" s="182" t="n">
        <v>0</v>
      </c>
      <c r="AG2495" s="182" t="n">
        <v>0</v>
      </c>
      <c r="AH2495" s="182" t="n">
        <v>0.71</v>
      </c>
      <c r="AI2495" s="182" t="n">
        <v>0</v>
      </c>
      <c r="AJ2495" s="182" t="n">
        <v>0</v>
      </c>
      <c r="AK2495" s="182" t="n">
        <v>0</v>
      </c>
      <c r="AL2495" s="182" t="n">
        <v>0</v>
      </c>
      <c r="AM2495" s="182" t="n">
        <v>0.08</v>
      </c>
      <c r="AN2495" s="182" t="n">
        <v>0</v>
      </c>
    </row>
    <row r="2496">
      <c r="A2496" s="155" t="n">
        <v>46093</v>
      </c>
      <c r="B2496" s="156" t="inlineStr">
        <is>
          <t>DS</t>
        </is>
      </c>
      <c r="C2496" s="156" t="inlineStr">
        <is>
          <t>DT-501</t>
        </is>
      </c>
      <c r="D2496" s="156" t="inlineStr">
        <is>
          <t>SKT 105S</t>
        </is>
      </c>
      <c r="E2496" s="156" t="inlineStr">
        <is>
          <t>Hauler</t>
        </is>
      </c>
      <c r="F2496" s="156" t="inlineStr">
        <is>
          <t>Hauling OB</t>
        </is>
      </c>
      <c r="G2496" s="182" t="n">
        <v>7.94</v>
      </c>
      <c r="H2496" s="182" t="n">
        <v>0</v>
      </c>
      <c r="I2496" s="182" t="n">
        <v>0</v>
      </c>
      <c r="J2496" s="182" t="n">
        <v>0</v>
      </c>
      <c r="K2496" s="182" t="n">
        <v>4.06</v>
      </c>
      <c r="L2496" s="182" t="n">
        <v>12</v>
      </c>
      <c r="M2496" s="182" t="n">
        <v>7.94</v>
      </c>
      <c r="N2496" s="182" t="n">
        <v>0</v>
      </c>
      <c r="O2496" s="183" t="n">
        <v>31</v>
      </c>
      <c r="P2496" s="183" t="n">
        <v>0</v>
      </c>
      <c r="Q2496" s="184" t="n">
        <v>632.4</v>
      </c>
      <c r="R2496" s="184" t="n">
        <v>0</v>
      </c>
      <c r="S2496" s="183" t="n">
        <v>0</v>
      </c>
      <c r="T2496" s="183" t="n">
        <v>0</v>
      </c>
      <c r="U2496" s="182" t="n">
        <v>1.73</v>
      </c>
      <c r="V2496" s="182" t="n">
        <v>0.87</v>
      </c>
      <c r="W2496" s="182" t="n">
        <v>0</v>
      </c>
      <c r="X2496" s="182" t="n">
        <v>0.9399999999999999</v>
      </c>
      <c r="Y2496" s="182" t="n">
        <v>0</v>
      </c>
      <c r="Z2496" s="182" t="n">
        <v>0</v>
      </c>
      <c r="AA2496" s="182" t="n">
        <v>0</v>
      </c>
      <c r="AB2496" s="182" t="n">
        <v>0</v>
      </c>
      <c r="AC2496" s="182" t="n">
        <v>0</v>
      </c>
      <c r="AD2496" s="182" t="n">
        <v>0</v>
      </c>
      <c r="AE2496" s="182" t="n">
        <v>0</v>
      </c>
      <c r="AF2496" s="182" t="n">
        <v>0</v>
      </c>
      <c r="AG2496" s="182" t="n">
        <v>0</v>
      </c>
      <c r="AH2496" s="182" t="n">
        <v>0.44</v>
      </c>
      <c r="AI2496" s="182" t="n">
        <v>0</v>
      </c>
      <c r="AJ2496" s="182" t="n">
        <v>0</v>
      </c>
      <c r="AK2496" s="182" t="n">
        <v>0</v>
      </c>
      <c r="AL2496" s="182" t="n">
        <v>0</v>
      </c>
      <c r="AM2496" s="182" t="n">
        <v>0.08</v>
      </c>
      <c r="AN2496" s="182" t="n">
        <v>0</v>
      </c>
    </row>
    <row r="2497">
      <c r="A2497" s="155" t="n">
        <v>46093</v>
      </c>
      <c r="B2497" s="156" t="inlineStr">
        <is>
          <t>DS</t>
        </is>
      </c>
      <c r="C2497" s="156" t="inlineStr">
        <is>
          <t>DT-518</t>
        </is>
      </c>
      <c r="D2497" s="156" t="inlineStr">
        <is>
          <t>SKT 105S</t>
        </is>
      </c>
      <c r="E2497" s="156" t="inlineStr">
        <is>
          <t>Hauler</t>
        </is>
      </c>
      <c r="F2497" s="156" t="inlineStr">
        <is>
          <t>Hauling OB &amp; Coal</t>
        </is>
      </c>
      <c r="G2497" s="182" t="n">
        <v>7.7</v>
      </c>
      <c r="H2497" s="182" t="n">
        <v>0</v>
      </c>
      <c r="I2497" s="182" t="n">
        <v>0</v>
      </c>
      <c r="J2497" s="182" t="n">
        <v>0</v>
      </c>
      <c r="K2497" s="182" t="n">
        <v>4.3</v>
      </c>
      <c r="L2497" s="182" t="n">
        <v>12</v>
      </c>
      <c r="M2497" s="182" t="n">
        <v>2</v>
      </c>
      <c r="N2497" s="182" t="n">
        <v>5.7</v>
      </c>
      <c r="O2497" s="183" t="n">
        <v>7</v>
      </c>
      <c r="P2497" s="183" t="n">
        <v>10</v>
      </c>
      <c r="Q2497" s="184" t="n">
        <v>142.8</v>
      </c>
      <c r="R2497" s="184" t="n">
        <v>187</v>
      </c>
      <c r="S2497" s="183" t="n">
        <v>0</v>
      </c>
      <c r="T2497" s="183" t="n">
        <v>0</v>
      </c>
      <c r="U2497" s="182" t="n">
        <v>1.83</v>
      </c>
      <c r="V2497" s="182" t="n">
        <v>0.92</v>
      </c>
      <c r="W2497" s="182" t="n">
        <v>0</v>
      </c>
      <c r="X2497" s="182" t="n">
        <v>1</v>
      </c>
      <c r="Y2497" s="182" t="n">
        <v>0</v>
      </c>
      <c r="Z2497" s="182" t="n">
        <v>0</v>
      </c>
      <c r="AA2497" s="182" t="n">
        <v>0</v>
      </c>
      <c r="AB2497" s="182" t="n">
        <v>0</v>
      </c>
      <c r="AC2497" s="182" t="n">
        <v>0</v>
      </c>
      <c r="AD2497" s="182" t="n">
        <v>0</v>
      </c>
      <c r="AE2497" s="182" t="n">
        <v>0</v>
      </c>
      <c r="AF2497" s="182" t="n">
        <v>0</v>
      </c>
      <c r="AG2497" s="182" t="n">
        <v>0</v>
      </c>
      <c r="AH2497" s="182" t="n">
        <v>0.47</v>
      </c>
      <c r="AI2497" s="182" t="n">
        <v>0</v>
      </c>
      <c r="AJ2497" s="182" t="n">
        <v>0</v>
      </c>
      <c r="AK2497" s="182" t="n">
        <v>0</v>
      </c>
      <c r="AL2497" s="182" t="n">
        <v>0</v>
      </c>
      <c r="AM2497" s="182" t="n">
        <v>0.08</v>
      </c>
      <c r="AN2497" s="182" t="n">
        <v>0</v>
      </c>
    </row>
    <row r="2498">
      <c r="A2498" s="155" t="n">
        <v>46093</v>
      </c>
      <c r="B2498" s="156" t="inlineStr">
        <is>
          <t>DS</t>
        </is>
      </c>
      <c r="C2498" s="156" t="inlineStr">
        <is>
          <t>DT-514</t>
        </is>
      </c>
      <c r="D2498" s="156" t="inlineStr">
        <is>
          <t>SKT 105S</t>
        </is>
      </c>
      <c r="E2498" s="156" t="inlineStr">
        <is>
          <t>Hauler</t>
        </is>
      </c>
      <c r="F2498" s="156" t="inlineStr"/>
      <c r="G2498" s="182" t="n">
        <v>0</v>
      </c>
      <c r="H2498" s="182" t="n">
        <v>0</v>
      </c>
      <c r="I2498" s="182" t="n">
        <v>12</v>
      </c>
      <c r="J2498" s="182" t="n">
        <v>12</v>
      </c>
      <c r="K2498" s="182" t="n">
        <v>0</v>
      </c>
      <c r="L2498" s="182" t="n">
        <v>12</v>
      </c>
      <c r="M2498" s="182" t="n">
        <v>0</v>
      </c>
      <c r="N2498" s="182" t="n">
        <v>0</v>
      </c>
      <c r="O2498" s="183" t="n">
        <v>0</v>
      </c>
      <c r="P2498" s="183" t="n">
        <v>0</v>
      </c>
      <c r="Q2498" s="184" t="n">
        <v>0</v>
      </c>
      <c r="R2498" s="184" t="n">
        <v>0</v>
      </c>
      <c r="S2498" s="183" t="n">
        <v>0</v>
      </c>
      <c r="T2498" s="183" t="n">
        <v>0</v>
      </c>
      <c r="U2498" s="182" t="n">
        <v>0</v>
      </c>
      <c r="V2498" s="182" t="n">
        <v>0</v>
      </c>
      <c r="W2498" s="182" t="n">
        <v>0</v>
      </c>
      <c r="X2498" s="182" t="n">
        <v>0</v>
      </c>
      <c r="Y2498" s="182" t="n">
        <v>0</v>
      </c>
      <c r="Z2498" s="182" t="n">
        <v>0</v>
      </c>
      <c r="AA2498" s="182" t="n">
        <v>0</v>
      </c>
      <c r="AB2498" s="182" t="n">
        <v>0</v>
      </c>
      <c r="AC2498" s="182" t="n">
        <v>0</v>
      </c>
      <c r="AD2498" s="182" t="n">
        <v>0</v>
      </c>
      <c r="AE2498" s="182" t="n">
        <v>0</v>
      </c>
      <c r="AF2498" s="182" t="n">
        <v>0</v>
      </c>
      <c r="AG2498" s="182" t="n">
        <v>0</v>
      </c>
      <c r="AH2498" s="182" t="n">
        <v>0</v>
      </c>
      <c r="AI2498" s="182" t="n">
        <v>0</v>
      </c>
      <c r="AJ2498" s="182" t="n">
        <v>0</v>
      </c>
      <c r="AK2498" s="182" t="n">
        <v>0</v>
      </c>
      <c r="AL2498" s="182" t="n">
        <v>0</v>
      </c>
      <c r="AM2498" s="182" t="n">
        <v>0</v>
      </c>
      <c r="AN2498" s="182" t="n">
        <v>0</v>
      </c>
    </row>
    <row r="2499">
      <c r="A2499" s="155" t="n">
        <v>46093</v>
      </c>
      <c r="B2499" s="156" t="inlineStr">
        <is>
          <t>DS</t>
        </is>
      </c>
      <c r="C2499" s="156" t="inlineStr">
        <is>
          <t>DT-523</t>
        </is>
      </c>
      <c r="D2499" s="156" t="inlineStr">
        <is>
          <t>SKT 105S</t>
        </is>
      </c>
      <c r="E2499" s="156" t="inlineStr">
        <is>
          <t>Hauler</t>
        </is>
      </c>
      <c r="F2499" s="156" t="inlineStr">
        <is>
          <t>Hauling OB</t>
        </is>
      </c>
      <c r="G2499" s="182" t="n">
        <v>2.2</v>
      </c>
      <c r="H2499" s="182" t="n">
        <v>0</v>
      </c>
      <c r="I2499" s="182" t="n">
        <v>8.1</v>
      </c>
      <c r="J2499" s="182" t="n">
        <v>8.1</v>
      </c>
      <c r="K2499" s="182" t="n">
        <v>1.7</v>
      </c>
      <c r="L2499" s="182" t="n">
        <v>12</v>
      </c>
      <c r="M2499" s="182" t="n">
        <v>2.2</v>
      </c>
      <c r="N2499" s="182" t="n">
        <v>0</v>
      </c>
      <c r="O2499" s="183" t="n">
        <v>7</v>
      </c>
      <c r="P2499" s="183" t="n">
        <v>0</v>
      </c>
      <c r="Q2499" s="184" t="n">
        <v>142.8</v>
      </c>
      <c r="R2499" s="184" t="n">
        <v>0</v>
      </c>
      <c r="S2499" s="183" t="n">
        <v>0</v>
      </c>
      <c r="T2499" s="183" t="n">
        <v>0</v>
      </c>
      <c r="U2499" s="182" t="n">
        <v>0.62</v>
      </c>
      <c r="V2499" s="182" t="n">
        <v>0</v>
      </c>
      <c r="W2499" s="182" t="n">
        <v>0</v>
      </c>
      <c r="X2499" s="182" t="n">
        <v>1</v>
      </c>
      <c r="Y2499" s="182" t="n">
        <v>0</v>
      </c>
      <c r="Z2499" s="182" t="n">
        <v>0</v>
      </c>
      <c r="AA2499" s="182" t="n">
        <v>0</v>
      </c>
      <c r="AB2499" s="182" t="n">
        <v>0</v>
      </c>
      <c r="AC2499" s="182" t="n">
        <v>0</v>
      </c>
      <c r="AD2499" s="182" t="n">
        <v>0</v>
      </c>
      <c r="AE2499" s="182" t="n">
        <v>0</v>
      </c>
      <c r="AF2499" s="182" t="n">
        <v>0</v>
      </c>
      <c r="AG2499" s="182" t="n">
        <v>0</v>
      </c>
      <c r="AH2499" s="182" t="n">
        <v>0</v>
      </c>
      <c r="AI2499" s="182" t="n">
        <v>0</v>
      </c>
      <c r="AJ2499" s="182" t="n">
        <v>0</v>
      </c>
      <c r="AK2499" s="182" t="n">
        <v>0</v>
      </c>
      <c r="AL2499" s="182" t="n">
        <v>0</v>
      </c>
      <c r="AM2499" s="182" t="n">
        <v>0.08</v>
      </c>
      <c r="AN2499" s="182" t="n">
        <v>0</v>
      </c>
    </row>
    <row r="2500">
      <c r="A2500" s="155" t="n">
        <v>46093</v>
      </c>
      <c r="B2500" s="156" t="inlineStr">
        <is>
          <t>DS</t>
        </is>
      </c>
      <c r="C2500" s="156" t="inlineStr">
        <is>
          <t>DT-519</t>
        </is>
      </c>
      <c r="D2500" s="156" t="inlineStr">
        <is>
          <t>SKT 105S</t>
        </is>
      </c>
      <c r="E2500" s="156" t="inlineStr">
        <is>
          <t>Hauler</t>
        </is>
      </c>
      <c r="F2500" s="156" t="inlineStr"/>
      <c r="G2500" s="182" t="n">
        <v>0</v>
      </c>
      <c r="H2500" s="182" t="n">
        <v>0</v>
      </c>
      <c r="I2500" s="182" t="n">
        <v>0</v>
      </c>
      <c r="J2500" s="182" t="n">
        <v>0</v>
      </c>
      <c r="K2500" s="182" t="n">
        <v>12</v>
      </c>
      <c r="L2500" s="182" t="n">
        <v>12</v>
      </c>
      <c r="M2500" s="182" t="n">
        <v>0</v>
      </c>
      <c r="N2500" s="182" t="n">
        <v>0</v>
      </c>
      <c r="O2500" s="183" t="n">
        <v>0</v>
      </c>
      <c r="P2500" s="183" t="n">
        <v>0</v>
      </c>
      <c r="Q2500" s="184" t="n">
        <v>0</v>
      </c>
      <c r="R2500" s="184" t="n">
        <v>0</v>
      </c>
      <c r="S2500" s="183" t="n">
        <v>0</v>
      </c>
      <c r="T2500" s="183" t="n">
        <v>0</v>
      </c>
      <c r="U2500" s="182" t="n">
        <v>1.83</v>
      </c>
      <c r="V2500" s="182" t="n">
        <v>0</v>
      </c>
      <c r="W2500" s="182" t="n">
        <v>0</v>
      </c>
      <c r="X2500" s="182" t="n">
        <v>1</v>
      </c>
      <c r="Y2500" s="182" t="n">
        <v>0</v>
      </c>
      <c r="Z2500" s="182" t="n">
        <v>0</v>
      </c>
      <c r="AA2500" s="182" t="n">
        <v>0</v>
      </c>
      <c r="AB2500" s="182" t="n">
        <v>0</v>
      </c>
      <c r="AC2500" s="182" t="n">
        <v>0</v>
      </c>
      <c r="AD2500" s="182" t="n">
        <v>0</v>
      </c>
      <c r="AE2500" s="182" t="n">
        <v>0</v>
      </c>
      <c r="AF2500" s="182" t="n">
        <v>0</v>
      </c>
      <c r="AG2500" s="182" t="n">
        <v>0</v>
      </c>
      <c r="AH2500" s="182" t="n">
        <v>0</v>
      </c>
      <c r="AI2500" s="182" t="n">
        <v>9.09</v>
      </c>
      <c r="AJ2500" s="182" t="n">
        <v>0</v>
      </c>
      <c r="AK2500" s="182" t="n">
        <v>0</v>
      </c>
      <c r="AL2500" s="182" t="n">
        <v>0</v>
      </c>
      <c r="AM2500" s="182" t="n">
        <v>0.08</v>
      </c>
      <c r="AN2500" s="182" t="n">
        <v>0</v>
      </c>
    </row>
    <row r="2501">
      <c r="A2501" s="155" t="n">
        <v>46093</v>
      </c>
      <c r="B2501" s="156" t="inlineStr">
        <is>
          <t>DS</t>
        </is>
      </c>
      <c r="C2501" s="156" t="inlineStr">
        <is>
          <t>DT-527</t>
        </is>
      </c>
      <c r="D2501" s="156" t="inlineStr">
        <is>
          <t>SKT 105S</t>
        </is>
      </c>
      <c r="E2501" s="156" t="inlineStr">
        <is>
          <t>Hauler</t>
        </is>
      </c>
      <c r="F2501" s="156" t="inlineStr"/>
      <c r="G2501" s="182" t="n">
        <v>0</v>
      </c>
      <c r="H2501" s="182" t="n">
        <v>0</v>
      </c>
      <c r="I2501" s="182" t="n">
        <v>9.550000000000001</v>
      </c>
      <c r="J2501" s="182" t="n">
        <v>9.550000000000001</v>
      </c>
      <c r="K2501" s="182" t="n">
        <v>2.45</v>
      </c>
      <c r="L2501" s="182" t="n">
        <v>12</v>
      </c>
      <c r="M2501" s="182" t="n">
        <v>0</v>
      </c>
      <c r="N2501" s="182" t="n">
        <v>0</v>
      </c>
      <c r="O2501" s="183" t="n">
        <v>0</v>
      </c>
      <c r="P2501" s="183" t="n">
        <v>0</v>
      </c>
      <c r="Q2501" s="184" t="n">
        <v>0</v>
      </c>
      <c r="R2501" s="184" t="n">
        <v>0</v>
      </c>
      <c r="S2501" s="183" t="n">
        <v>0</v>
      </c>
      <c r="T2501" s="183" t="n">
        <v>0</v>
      </c>
      <c r="U2501" s="182" t="n">
        <v>1.37</v>
      </c>
      <c r="V2501" s="182" t="n">
        <v>0</v>
      </c>
      <c r="W2501" s="182" t="n">
        <v>0</v>
      </c>
      <c r="X2501" s="182" t="n">
        <v>1</v>
      </c>
      <c r="Y2501" s="182" t="n">
        <v>0</v>
      </c>
      <c r="Z2501" s="182" t="n">
        <v>0</v>
      </c>
      <c r="AA2501" s="182" t="n">
        <v>0</v>
      </c>
      <c r="AB2501" s="182" t="n">
        <v>0</v>
      </c>
      <c r="AC2501" s="182" t="n">
        <v>0</v>
      </c>
      <c r="AD2501" s="182" t="n">
        <v>0</v>
      </c>
      <c r="AE2501" s="182" t="n">
        <v>0</v>
      </c>
      <c r="AF2501" s="182" t="n">
        <v>0</v>
      </c>
      <c r="AG2501" s="182" t="n">
        <v>0</v>
      </c>
      <c r="AH2501" s="182" t="n">
        <v>0</v>
      </c>
      <c r="AI2501" s="182" t="n">
        <v>0</v>
      </c>
      <c r="AJ2501" s="182" t="n">
        <v>0</v>
      </c>
      <c r="AK2501" s="182" t="n">
        <v>0</v>
      </c>
      <c r="AL2501" s="182" t="n">
        <v>0</v>
      </c>
      <c r="AM2501" s="182" t="n">
        <v>0.08</v>
      </c>
      <c r="AN2501" s="182" t="n">
        <v>0</v>
      </c>
    </row>
    <row r="2502">
      <c r="A2502" s="155" t="n">
        <v>46093</v>
      </c>
      <c r="B2502" s="156" t="inlineStr">
        <is>
          <t>DS</t>
        </is>
      </c>
      <c r="C2502" s="156" t="inlineStr">
        <is>
          <t>DT-513</t>
        </is>
      </c>
      <c r="D2502" s="156" t="inlineStr">
        <is>
          <t>SKT 105S</t>
        </is>
      </c>
      <c r="E2502" s="156" t="inlineStr">
        <is>
          <t>Hauler</t>
        </is>
      </c>
      <c r="F2502" s="156" t="inlineStr">
        <is>
          <t>Hauling OB</t>
        </is>
      </c>
      <c r="G2502" s="182" t="n">
        <v>3.52</v>
      </c>
      <c r="H2502" s="182" t="n">
        <v>0</v>
      </c>
      <c r="I2502" s="182" t="n">
        <v>3.27</v>
      </c>
      <c r="J2502" s="182" t="n">
        <v>3.27</v>
      </c>
      <c r="K2502" s="182" t="n">
        <v>5.21</v>
      </c>
      <c r="L2502" s="182" t="n">
        <v>12</v>
      </c>
      <c r="M2502" s="182" t="n">
        <v>3.52</v>
      </c>
      <c r="N2502" s="182" t="n">
        <v>0</v>
      </c>
      <c r="O2502" s="183" t="n">
        <v>8</v>
      </c>
      <c r="P2502" s="183" t="n">
        <v>0</v>
      </c>
      <c r="Q2502" s="184" t="n">
        <v>163.2</v>
      </c>
      <c r="R2502" s="184" t="n">
        <v>0</v>
      </c>
      <c r="S2502" s="183" t="n">
        <v>0</v>
      </c>
      <c r="T2502" s="183" t="n">
        <v>0</v>
      </c>
      <c r="U2502" s="182" t="n">
        <v>1.82</v>
      </c>
      <c r="V2502" s="182" t="n">
        <v>2.31</v>
      </c>
      <c r="W2502" s="182" t="n">
        <v>0</v>
      </c>
      <c r="X2502" s="182" t="n">
        <v>1</v>
      </c>
      <c r="Y2502" s="182" t="n">
        <v>0</v>
      </c>
      <c r="Z2502" s="182" t="n">
        <v>0</v>
      </c>
      <c r="AA2502" s="182" t="n">
        <v>0</v>
      </c>
      <c r="AB2502" s="182" t="n">
        <v>0</v>
      </c>
      <c r="AC2502" s="182" t="n">
        <v>0</v>
      </c>
      <c r="AD2502" s="182" t="n">
        <v>0</v>
      </c>
      <c r="AE2502" s="182" t="n">
        <v>0</v>
      </c>
      <c r="AF2502" s="182" t="n">
        <v>0</v>
      </c>
      <c r="AG2502" s="182" t="n">
        <v>0</v>
      </c>
      <c r="AH2502" s="182" t="n">
        <v>0</v>
      </c>
      <c r="AI2502" s="182" t="n">
        <v>0</v>
      </c>
      <c r="AJ2502" s="182" t="n">
        <v>0</v>
      </c>
      <c r="AK2502" s="182" t="n">
        <v>0</v>
      </c>
      <c r="AL2502" s="182" t="n">
        <v>0</v>
      </c>
      <c r="AM2502" s="182" t="n">
        <v>0.08</v>
      </c>
      <c r="AN2502" s="182" t="n">
        <v>0</v>
      </c>
    </row>
    <row r="2503">
      <c r="A2503" s="155" t="n">
        <v>46093</v>
      </c>
      <c r="B2503" s="156" t="inlineStr">
        <is>
          <t>DS</t>
        </is>
      </c>
      <c r="C2503" s="156" t="inlineStr">
        <is>
          <t>DT-512</t>
        </is>
      </c>
      <c r="D2503" s="156" t="inlineStr">
        <is>
          <t>SKT 105S</t>
        </is>
      </c>
      <c r="E2503" s="156" t="inlineStr">
        <is>
          <t>Hauler</t>
        </is>
      </c>
      <c r="F2503" s="156" t="inlineStr">
        <is>
          <t>Hauling OB</t>
        </is>
      </c>
      <c r="G2503" s="182" t="n">
        <v>2.25</v>
      </c>
      <c r="H2503" s="182" t="n">
        <v>0</v>
      </c>
      <c r="I2503" s="182" t="n">
        <v>0</v>
      </c>
      <c r="J2503" s="182" t="n">
        <v>0</v>
      </c>
      <c r="K2503" s="182" t="n">
        <v>9.75</v>
      </c>
      <c r="L2503" s="182" t="n">
        <v>12</v>
      </c>
      <c r="M2503" s="182" t="n">
        <v>2.25</v>
      </c>
      <c r="N2503" s="182" t="n">
        <v>0</v>
      </c>
      <c r="O2503" s="183" t="n">
        <v>13</v>
      </c>
      <c r="P2503" s="183" t="n">
        <v>0</v>
      </c>
      <c r="Q2503" s="184" t="n">
        <v>265.2</v>
      </c>
      <c r="R2503" s="184" t="n">
        <v>0</v>
      </c>
      <c r="S2503" s="183" t="n">
        <v>0</v>
      </c>
      <c r="T2503" s="183" t="n">
        <v>0</v>
      </c>
      <c r="U2503" s="182" t="n">
        <v>1.92</v>
      </c>
      <c r="V2503" s="182" t="n">
        <v>4.11</v>
      </c>
      <c r="W2503" s="182" t="n">
        <v>0</v>
      </c>
      <c r="X2503" s="182" t="n">
        <v>1.05</v>
      </c>
      <c r="Y2503" s="182" t="n">
        <v>0</v>
      </c>
      <c r="Z2503" s="182" t="n">
        <v>0</v>
      </c>
      <c r="AA2503" s="182" t="n">
        <v>0</v>
      </c>
      <c r="AB2503" s="182" t="n">
        <v>0</v>
      </c>
      <c r="AC2503" s="182" t="n">
        <v>0</v>
      </c>
      <c r="AD2503" s="182" t="n">
        <v>0</v>
      </c>
      <c r="AE2503" s="182" t="n">
        <v>0</v>
      </c>
      <c r="AF2503" s="182" t="n">
        <v>0</v>
      </c>
      <c r="AG2503" s="182" t="n">
        <v>0</v>
      </c>
      <c r="AH2503" s="182" t="n">
        <v>0</v>
      </c>
      <c r="AI2503" s="182" t="n">
        <v>2.59</v>
      </c>
      <c r="AJ2503" s="182" t="n">
        <v>0</v>
      </c>
      <c r="AK2503" s="182" t="n">
        <v>0</v>
      </c>
      <c r="AL2503" s="182" t="n">
        <v>0</v>
      </c>
      <c r="AM2503" s="182" t="n">
        <v>0.08</v>
      </c>
      <c r="AN2503" s="182" t="n">
        <v>0</v>
      </c>
    </row>
    <row r="2504">
      <c r="A2504" s="155" t="n">
        <v>46093</v>
      </c>
      <c r="B2504" s="156" t="inlineStr">
        <is>
          <t>DS</t>
        </is>
      </c>
      <c r="C2504" s="156" t="inlineStr">
        <is>
          <t>DT-522</t>
        </is>
      </c>
      <c r="D2504" s="156" t="inlineStr">
        <is>
          <t>SKT 105S</t>
        </is>
      </c>
      <c r="E2504" s="156" t="inlineStr">
        <is>
          <t>Hauler</t>
        </is>
      </c>
      <c r="F2504" s="156" t="inlineStr">
        <is>
          <t>Hauling OB</t>
        </is>
      </c>
      <c r="G2504" s="182" t="n">
        <v>7.44</v>
      </c>
      <c r="H2504" s="182" t="n">
        <v>0</v>
      </c>
      <c r="I2504" s="182" t="n">
        <v>0</v>
      </c>
      <c r="J2504" s="182" t="n">
        <v>0</v>
      </c>
      <c r="K2504" s="182" t="n">
        <v>4.56</v>
      </c>
      <c r="L2504" s="182" t="n">
        <v>12</v>
      </c>
      <c r="M2504" s="182" t="n">
        <v>7.27</v>
      </c>
      <c r="N2504" s="182" t="n">
        <v>0</v>
      </c>
      <c r="O2504" s="183" t="n">
        <v>25</v>
      </c>
      <c r="P2504" s="183" t="n">
        <v>0</v>
      </c>
      <c r="Q2504" s="184" t="n">
        <v>510</v>
      </c>
      <c r="R2504" s="184" t="n">
        <v>0</v>
      </c>
      <c r="S2504" s="183" t="n">
        <v>0</v>
      </c>
      <c r="T2504" s="183" t="n">
        <v>0</v>
      </c>
      <c r="U2504" s="182" t="n">
        <v>1.85</v>
      </c>
      <c r="V2504" s="182" t="n">
        <v>0.93</v>
      </c>
      <c r="W2504" s="182" t="n">
        <v>0</v>
      </c>
      <c r="X2504" s="182" t="n">
        <v>1.01</v>
      </c>
      <c r="Y2504" s="182" t="n">
        <v>0</v>
      </c>
      <c r="Z2504" s="182" t="n">
        <v>0</v>
      </c>
      <c r="AA2504" s="182" t="n">
        <v>0</v>
      </c>
      <c r="AB2504" s="182" t="n">
        <v>0</v>
      </c>
      <c r="AC2504" s="182" t="n">
        <v>0</v>
      </c>
      <c r="AD2504" s="182" t="n">
        <v>0</v>
      </c>
      <c r="AE2504" s="182" t="n">
        <v>0</v>
      </c>
      <c r="AF2504" s="182" t="n">
        <v>0</v>
      </c>
      <c r="AG2504" s="182" t="n">
        <v>0</v>
      </c>
      <c r="AH2504" s="182" t="n">
        <v>0.68</v>
      </c>
      <c r="AI2504" s="182" t="n">
        <v>0</v>
      </c>
      <c r="AJ2504" s="182" t="n">
        <v>0</v>
      </c>
      <c r="AK2504" s="182" t="n">
        <v>0</v>
      </c>
      <c r="AL2504" s="182" t="n">
        <v>0</v>
      </c>
      <c r="AM2504" s="182" t="n">
        <v>0.08</v>
      </c>
      <c r="AN2504" s="182" t="n">
        <v>0</v>
      </c>
    </row>
    <row r="2505">
      <c r="A2505" s="155" t="n">
        <v>46093</v>
      </c>
      <c r="B2505" s="156" t="inlineStr">
        <is>
          <t>DS</t>
        </is>
      </c>
      <c r="C2505" s="156" t="inlineStr">
        <is>
          <t>DT-517</t>
        </is>
      </c>
      <c r="D2505" s="156" t="inlineStr">
        <is>
          <t>SKT 105S</t>
        </is>
      </c>
      <c r="E2505" s="156" t="inlineStr">
        <is>
          <t>Hauler</t>
        </is>
      </c>
      <c r="F2505" s="156" t="inlineStr">
        <is>
          <t>Hauling OB</t>
        </is>
      </c>
      <c r="G2505" s="182" t="n">
        <v>3.9</v>
      </c>
      <c r="H2505" s="182" t="n">
        <v>0</v>
      </c>
      <c r="I2505" s="182" t="n">
        <v>0.4</v>
      </c>
      <c r="J2505" s="182" t="n">
        <v>0.4</v>
      </c>
      <c r="K2505" s="182" t="n">
        <v>7.7</v>
      </c>
      <c r="L2505" s="182" t="n">
        <v>12</v>
      </c>
      <c r="M2505" s="182" t="n">
        <v>3.9</v>
      </c>
      <c r="N2505" s="182" t="n">
        <v>0</v>
      </c>
      <c r="O2505" s="183" t="n">
        <v>16</v>
      </c>
      <c r="P2505" s="183" t="n">
        <v>0</v>
      </c>
      <c r="Q2505" s="184" t="n">
        <v>326.4</v>
      </c>
      <c r="R2505" s="184" t="n">
        <v>0</v>
      </c>
      <c r="S2505" s="183" t="n">
        <v>0</v>
      </c>
      <c r="T2505" s="183" t="n">
        <v>0</v>
      </c>
      <c r="U2505" s="182" t="n">
        <v>1.98</v>
      </c>
      <c r="V2505" s="182" t="n">
        <v>4.25</v>
      </c>
      <c r="W2505" s="182" t="n">
        <v>0</v>
      </c>
      <c r="X2505" s="182" t="n">
        <v>1.08</v>
      </c>
      <c r="Y2505" s="182" t="n">
        <v>0</v>
      </c>
      <c r="Z2505" s="182" t="n">
        <v>0</v>
      </c>
      <c r="AA2505" s="182" t="n">
        <v>0</v>
      </c>
      <c r="AB2505" s="182" t="n">
        <v>0</v>
      </c>
      <c r="AC2505" s="182" t="n">
        <v>0</v>
      </c>
      <c r="AD2505" s="182" t="n">
        <v>0</v>
      </c>
      <c r="AE2505" s="182" t="n">
        <v>0</v>
      </c>
      <c r="AF2505" s="182" t="n">
        <v>0</v>
      </c>
      <c r="AG2505" s="182" t="n">
        <v>0</v>
      </c>
      <c r="AH2505" s="182" t="n">
        <v>0.29</v>
      </c>
      <c r="AI2505" s="182" t="n">
        <v>0</v>
      </c>
      <c r="AJ2505" s="182" t="n">
        <v>0</v>
      </c>
      <c r="AK2505" s="182" t="n">
        <v>0</v>
      </c>
      <c r="AL2505" s="182" t="n">
        <v>0</v>
      </c>
      <c r="AM2505" s="182" t="n">
        <v>0.09</v>
      </c>
      <c r="AN2505" s="182" t="n">
        <v>0</v>
      </c>
    </row>
    <row r="2506">
      <c r="A2506" s="155" t="n">
        <v>46093</v>
      </c>
      <c r="B2506" s="156" t="inlineStr">
        <is>
          <t>DS</t>
        </is>
      </c>
      <c r="C2506" s="156" t="inlineStr">
        <is>
          <t>DT-510</t>
        </is>
      </c>
      <c r="D2506" s="156" t="inlineStr">
        <is>
          <t>SKT 105S</t>
        </is>
      </c>
      <c r="E2506" s="156" t="inlineStr">
        <is>
          <t>Hauler</t>
        </is>
      </c>
      <c r="F2506" s="156" t="inlineStr">
        <is>
          <t>Hauling OB</t>
        </is>
      </c>
      <c r="G2506" s="182" t="n">
        <v>6.55</v>
      </c>
      <c r="H2506" s="182" t="n">
        <v>0</v>
      </c>
      <c r="I2506" s="182" t="n">
        <v>0</v>
      </c>
      <c r="J2506" s="182" t="n">
        <v>0</v>
      </c>
      <c r="K2506" s="182" t="n">
        <v>5.45</v>
      </c>
      <c r="L2506" s="182" t="n">
        <v>12</v>
      </c>
      <c r="M2506" s="182" t="n">
        <v>6.38</v>
      </c>
      <c r="N2506" s="182" t="n">
        <v>0</v>
      </c>
      <c r="O2506" s="183" t="n">
        <v>26</v>
      </c>
      <c r="P2506" s="183" t="n">
        <v>0</v>
      </c>
      <c r="Q2506" s="184" t="n">
        <v>530.4</v>
      </c>
      <c r="R2506" s="184" t="n">
        <v>0</v>
      </c>
      <c r="S2506" s="183" t="n">
        <v>0</v>
      </c>
      <c r="T2506" s="183" t="n">
        <v>0</v>
      </c>
      <c r="U2506" s="182" t="n">
        <v>1.81</v>
      </c>
      <c r="V2506" s="182" t="n">
        <v>2.57</v>
      </c>
      <c r="W2506" s="182" t="n">
        <v>0</v>
      </c>
      <c r="X2506" s="182" t="n">
        <v>0.99</v>
      </c>
      <c r="Y2506" s="182" t="n">
        <v>0</v>
      </c>
      <c r="Z2506" s="182" t="n">
        <v>0</v>
      </c>
      <c r="AA2506" s="182" t="n">
        <v>0</v>
      </c>
      <c r="AB2506" s="182" t="n">
        <v>0</v>
      </c>
      <c r="AC2506" s="182" t="n">
        <v>0</v>
      </c>
      <c r="AD2506" s="182" t="n">
        <v>0</v>
      </c>
      <c r="AE2506" s="182" t="n">
        <v>0</v>
      </c>
      <c r="AF2506" s="182" t="n">
        <v>0</v>
      </c>
      <c r="AG2506" s="182" t="n">
        <v>0</v>
      </c>
      <c r="AH2506" s="182" t="n">
        <v>0</v>
      </c>
      <c r="AI2506" s="182" t="n">
        <v>0</v>
      </c>
      <c r="AJ2506" s="182" t="n">
        <v>0</v>
      </c>
      <c r="AK2506" s="182" t="n">
        <v>0</v>
      </c>
      <c r="AL2506" s="182" t="n">
        <v>0</v>
      </c>
      <c r="AM2506" s="182" t="n">
        <v>0.08</v>
      </c>
      <c r="AN2506" s="182" t="n">
        <v>0</v>
      </c>
    </row>
    <row r="2507">
      <c r="A2507" s="155" t="n">
        <v>46093</v>
      </c>
      <c r="B2507" s="156" t="inlineStr">
        <is>
          <t>DS</t>
        </is>
      </c>
      <c r="C2507" s="156" t="inlineStr">
        <is>
          <t>DT-521</t>
        </is>
      </c>
      <c r="D2507" s="156" t="inlineStr">
        <is>
          <t>SKT 105S</t>
        </is>
      </c>
      <c r="E2507" s="156" t="inlineStr">
        <is>
          <t>Hauler</t>
        </is>
      </c>
      <c r="F2507" s="156" t="inlineStr">
        <is>
          <t>Hauling OB</t>
        </is>
      </c>
      <c r="G2507" s="182" t="n">
        <v>7.92</v>
      </c>
      <c r="H2507" s="182" t="n">
        <v>0</v>
      </c>
      <c r="I2507" s="182" t="n">
        <v>0</v>
      </c>
      <c r="J2507" s="182" t="n">
        <v>0</v>
      </c>
      <c r="K2507" s="182" t="n">
        <v>4.08</v>
      </c>
      <c r="L2507" s="182" t="n">
        <v>12</v>
      </c>
      <c r="M2507" s="182" t="n">
        <v>7.92</v>
      </c>
      <c r="N2507" s="182" t="n">
        <v>0</v>
      </c>
      <c r="O2507" s="183" t="n">
        <v>29</v>
      </c>
      <c r="P2507" s="183" t="n">
        <v>0</v>
      </c>
      <c r="Q2507" s="184" t="n">
        <v>591.6</v>
      </c>
      <c r="R2507" s="184" t="n">
        <v>0</v>
      </c>
      <c r="S2507" s="183" t="n">
        <v>0</v>
      </c>
      <c r="T2507" s="183" t="n">
        <v>0</v>
      </c>
      <c r="U2507" s="182" t="n">
        <v>1.82</v>
      </c>
      <c r="V2507" s="182" t="n">
        <v>0.92</v>
      </c>
      <c r="W2507" s="182" t="n">
        <v>0</v>
      </c>
      <c r="X2507" s="182" t="n">
        <v>1</v>
      </c>
      <c r="Y2507" s="182" t="n">
        <v>0</v>
      </c>
      <c r="Z2507" s="182" t="n">
        <v>0</v>
      </c>
      <c r="AA2507" s="182" t="n">
        <v>0</v>
      </c>
      <c r="AB2507" s="182" t="n">
        <v>0</v>
      </c>
      <c r="AC2507" s="182" t="n">
        <v>0</v>
      </c>
      <c r="AD2507" s="182" t="n">
        <v>0</v>
      </c>
      <c r="AE2507" s="182" t="n">
        <v>0</v>
      </c>
      <c r="AF2507" s="182" t="n">
        <v>0</v>
      </c>
      <c r="AG2507" s="182" t="n">
        <v>0</v>
      </c>
      <c r="AH2507" s="182" t="n">
        <v>0.27</v>
      </c>
      <c r="AI2507" s="182" t="n">
        <v>0</v>
      </c>
      <c r="AJ2507" s="182" t="n">
        <v>0</v>
      </c>
      <c r="AK2507" s="182" t="n">
        <v>0</v>
      </c>
      <c r="AL2507" s="182" t="n">
        <v>0</v>
      </c>
      <c r="AM2507" s="182" t="n">
        <v>0.08</v>
      </c>
      <c r="AN2507" s="182" t="n">
        <v>0</v>
      </c>
    </row>
    <row r="2508">
      <c r="A2508" s="155" t="n">
        <v>46093</v>
      </c>
      <c r="B2508" s="156" t="inlineStr">
        <is>
          <t>DS</t>
        </is>
      </c>
      <c r="C2508" s="156" t="inlineStr">
        <is>
          <t>DT-516</t>
        </is>
      </c>
      <c r="D2508" s="156" t="inlineStr">
        <is>
          <t>SKT 105S</t>
        </is>
      </c>
      <c r="E2508" s="156" t="inlineStr">
        <is>
          <t>Hauler</t>
        </is>
      </c>
      <c r="F2508" s="156" t="inlineStr">
        <is>
          <t>Hauling OB</t>
        </is>
      </c>
      <c r="G2508" s="182" t="n">
        <v>4.84</v>
      </c>
      <c r="H2508" s="182" t="n">
        <v>0</v>
      </c>
      <c r="I2508" s="182" t="n">
        <v>4.37</v>
      </c>
      <c r="J2508" s="182" t="n">
        <v>4.37</v>
      </c>
      <c r="K2508" s="182" t="n">
        <v>2.79</v>
      </c>
      <c r="L2508" s="182" t="n">
        <v>12</v>
      </c>
      <c r="M2508" s="182" t="n">
        <v>4.84</v>
      </c>
      <c r="N2508" s="182" t="n">
        <v>0</v>
      </c>
      <c r="O2508" s="183" t="n">
        <v>18</v>
      </c>
      <c r="P2508" s="183" t="n">
        <v>0</v>
      </c>
      <c r="Q2508" s="184" t="n">
        <v>367.2</v>
      </c>
      <c r="R2508" s="184" t="n">
        <v>0</v>
      </c>
      <c r="S2508" s="183" t="n">
        <v>0</v>
      </c>
      <c r="T2508" s="183" t="n">
        <v>0</v>
      </c>
      <c r="U2508" s="182" t="n">
        <v>1.74</v>
      </c>
      <c r="V2508" s="182" t="n">
        <v>0.02</v>
      </c>
      <c r="W2508" s="182" t="n">
        <v>0</v>
      </c>
      <c r="X2508" s="182" t="n">
        <v>0.95</v>
      </c>
      <c r="Y2508" s="182" t="n">
        <v>0</v>
      </c>
      <c r="Z2508" s="182" t="n">
        <v>0</v>
      </c>
      <c r="AA2508" s="182" t="n">
        <v>0</v>
      </c>
      <c r="AB2508" s="182" t="n">
        <v>0</v>
      </c>
      <c r="AC2508" s="182" t="n">
        <v>0</v>
      </c>
      <c r="AD2508" s="182" t="n">
        <v>0</v>
      </c>
      <c r="AE2508" s="182" t="n">
        <v>0</v>
      </c>
      <c r="AF2508" s="182" t="n">
        <v>0</v>
      </c>
      <c r="AG2508" s="182" t="n">
        <v>0</v>
      </c>
      <c r="AH2508" s="182" t="n">
        <v>0</v>
      </c>
      <c r="AI2508" s="182" t="n">
        <v>0</v>
      </c>
      <c r="AJ2508" s="182" t="n">
        <v>0</v>
      </c>
      <c r="AK2508" s="182" t="n">
        <v>0</v>
      </c>
      <c r="AL2508" s="182" t="n">
        <v>0</v>
      </c>
      <c r="AM2508" s="182" t="n">
        <v>0.08</v>
      </c>
      <c r="AN2508" s="182" t="n">
        <v>0</v>
      </c>
    </row>
    <row r="2509">
      <c r="A2509" s="155" t="n">
        <v>46093</v>
      </c>
      <c r="B2509" s="156" t="inlineStr">
        <is>
          <t>DS</t>
        </is>
      </c>
      <c r="C2509" s="156" t="inlineStr">
        <is>
          <t>DT-506</t>
        </is>
      </c>
      <c r="D2509" s="156" t="inlineStr">
        <is>
          <t>SKT 105S</t>
        </is>
      </c>
      <c r="E2509" s="156" t="inlineStr">
        <is>
          <t>Hauler</t>
        </is>
      </c>
      <c r="F2509" s="156" t="inlineStr"/>
      <c r="G2509" s="182" t="n">
        <v>0</v>
      </c>
      <c r="H2509" s="182" t="n">
        <v>8.130000000000001</v>
      </c>
      <c r="I2509" s="182" t="n">
        <v>0</v>
      </c>
      <c r="J2509" s="182" t="n">
        <v>8.130000000000001</v>
      </c>
      <c r="K2509" s="182" t="n">
        <v>3.87</v>
      </c>
      <c r="L2509" s="182" t="n">
        <v>12</v>
      </c>
      <c r="M2509" s="182" t="n">
        <v>0</v>
      </c>
      <c r="N2509" s="182" t="n">
        <v>0</v>
      </c>
      <c r="O2509" s="183" t="n">
        <v>0</v>
      </c>
      <c r="P2509" s="183" t="n">
        <v>0</v>
      </c>
      <c r="Q2509" s="184" t="n">
        <v>0</v>
      </c>
      <c r="R2509" s="184" t="n">
        <v>0</v>
      </c>
      <c r="S2509" s="183" t="n">
        <v>0</v>
      </c>
      <c r="T2509" s="183" t="n">
        <v>0</v>
      </c>
      <c r="U2509" s="182" t="n">
        <v>1.83</v>
      </c>
      <c r="V2509" s="182" t="n">
        <v>0</v>
      </c>
      <c r="W2509" s="182" t="n">
        <v>0</v>
      </c>
      <c r="X2509" s="182" t="n">
        <v>1</v>
      </c>
      <c r="Y2509" s="182" t="n">
        <v>0</v>
      </c>
      <c r="Z2509" s="182" t="n">
        <v>0</v>
      </c>
      <c r="AA2509" s="182" t="n">
        <v>0</v>
      </c>
      <c r="AB2509" s="182" t="n">
        <v>0</v>
      </c>
      <c r="AC2509" s="182" t="n">
        <v>0</v>
      </c>
      <c r="AD2509" s="182" t="n">
        <v>0</v>
      </c>
      <c r="AE2509" s="182" t="n">
        <v>0</v>
      </c>
      <c r="AF2509" s="182" t="n">
        <v>0</v>
      </c>
      <c r="AG2509" s="182" t="n">
        <v>0</v>
      </c>
      <c r="AH2509" s="182" t="n">
        <v>0</v>
      </c>
      <c r="AI2509" s="182" t="n">
        <v>0.95</v>
      </c>
      <c r="AJ2509" s="182" t="n">
        <v>0</v>
      </c>
      <c r="AK2509" s="182" t="n">
        <v>0</v>
      </c>
      <c r="AL2509" s="182" t="n">
        <v>0</v>
      </c>
      <c r="AM2509" s="182" t="n">
        <v>0.08</v>
      </c>
      <c r="AN2509" s="182" t="n">
        <v>0</v>
      </c>
    </row>
    <row r="2510">
      <c r="A2510" s="155" t="n">
        <v>46093</v>
      </c>
      <c r="B2510" s="156" t="inlineStr">
        <is>
          <t>DS</t>
        </is>
      </c>
      <c r="C2510" s="156" t="inlineStr">
        <is>
          <t>DT-502</t>
        </is>
      </c>
      <c r="D2510" s="156" t="inlineStr">
        <is>
          <t>SKT 105S</t>
        </is>
      </c>
      <c r="E2510" s="156" t="inlineStr">
        <is>
          <t>Hauler</t>
        </is>
      </c>
      <c r="F2510" s="156" t="inlineStr">
        <is>
          <t>Hauling OB</t>
        </is>
      </c>
      <c r="G2510" s="182" t="n">
        <v>6.98</v>
      </c>
      <c r="H2510" s="182" t="n">
        <v>0</v>
      </c>
      <c r="I2510" s="182" t="n">
        <v>0</v>
      </c>
      <c r="J2510" s="182" t="n">
        <v>0</v>
      </c>
      <c r="K2510" s="182" t="n">
        <v>5.02</v>
      </c>
      <c r="L2510" s="182" t="n">
        <v>12</v>
      </c>
      <c r="M2510" s="182" t="n">
        <v>6.8</v>
      </c>
      <c r="N2510" s="182" t="n">
        <v>0</v>
      </c>
      <c r="O2510" s="183" t="n">
        <v>25</v>
      </c>
      <c r="P2510" s="183" t="n">
        <v>0</v>
      </c>
      <c r="Q2510" s="184" t="n">
        <v>510</v>
      </c>
      <c r="R2510" s="184" t="n">
        <v>0</v>
      </c>
      <c r="S2510" s="183" t="n">
        <v>0</v>
      </c>
      <c r="T2510" s="183" t="n">
        <v>0</v>
      </c>
      <c r="U2510" s="182" t="n">
        <v>1.73</v>
      </c>
      <c r="V2510" s="182" t="n">
        <v>2.26</v>
      </c>
      <c r="W2510" s="182" t="n">
        <v>0</v>
      </c>
      <c r="X2510" s="182" t="n">
        <v>0.95</v>
      </c>
      <c r="Y2510" s="182" t="n">
        <v>0</v>
      </c>
      <c r="Z2510" s="182" t="n">
        <v>0</v>
      </c>
      <c r="AA2510" s="182" t="n">
        <v>0</v>
      </c>
      <c r="AB2510" s="182" t="n">
        <v>0</v>
      </c>
      <c r="AC2510" s="182" t="n">
        <v>0</v>
      </c>
      <c r="AD2510" s="182" t="n">
        <v>0</v>
      </c>
      <c r="AE2510" s="182" t="n">
        <v>0</v>
      </c>
      <c r="AF2510" s="182" t="n">
        <v>0</v>
      </c>
      <c r="AG2510" s="182" t="n">
        <v>0</v>
      </c>
      <c r="AH2510" s="182" t="n">
        <v>0</v>
      </c>
      <c r="AI2510" s="182" t="n">
        <v>0</v>
      </c>
      <c r="AJ2510" s="182" t="n">
        <v>0</v>
      </c>
      <c r="AK2510" s="182" t="n">
        <v>0</v>
      </c>
      <c r="AL2510" s="182" t="n">
        <v>0</v>
      </c>
      <c r="AM2510" s="182" t="n">
        <v>0.08</v>
      </c>
      <c r="AN2510" s="182" t="n">
        <v>0</v>
      </c>
    </row>
    <row r="2511">
      <c r="A2511" s="155" t="n">
        <v>46093</v>
      </c>
      <c r="B2511" s="156" t="inlineStr">
        <is>
          <t>DS</t>
        </is>
      </c>
      <c r="C2511" s="156" t="inlineStr">
        <is>
          <t>DT-528</t>
        </is>
      </c>
      <c r="D2511" s="156" t="inlineStr">
        <is>
          <t>SKT 105S</t>
        </is>
      </c>
      <c r="E2511" s="156" t="inlineStr">
        <is>
          <t>Hauler</t>
        </is>
      </c>
      <c r="F2511" s="156" t="inlineStr">
        <is>
          <t>Hauling OB</t>
        </is>
      </c>
      <c r="G2511" s="182" t="n">
        <v>7.41</v>
      </c>
      <c r="H2511" s="182" t="n">
        <v>0</v>
      </c>
      <c r="I2511" s="182" t="n">
        <v>0.33</v>
      </c>
      <c r="J2511" s="182" t="n">
        <v>0.33</v>
      </c>
      <c r="K2511" s="182" t="n">
        <v>4.26</v>
      </c>
      <c r="L2511" s="182" t="n">
        <v>12</v>
      </c>
      <c r="M2511" s="182" t="n">
        <v>7.41</v>
      </c>
      <c r="N2511" s="182" t="n">
        <v>0</v>
      </c>
      <c r="O2511" s="183" t="n">
        <v>25</v>
      </c>
      <c r="P2511" s="183" t="n">
        <v>0</v>
      </c>
      <c r="Q2511" s="184" t="n">
        <v>510</v>
      </c>
      <c r="R2511" s="184" t="n">
        <v>0</v>
      </c>
      <c r="S2511" s="183" t="n">
        <v>0</v>
      </c>
      <c r="T2511" s="183" t="n">
        <v>0</v>
      </c>
      <c r="U2511" s="182" t="n">
        <v>1.63</v>
      </c>
      <c r="V2511" s="182" t="n">
        <v>0.82</v>
      </c>
      <c r="W2511" s="182" t="n">
        <v>0</v>
      </c>
      <c r="X2511" s="182" t="n">
        <v>0.89</v>
      </c>
      <c r="Y2511" s="182" t="n">
        <v>0</v>
      </c>
      <c r="Z2511" s="182" t="n">
        <v>0</v>
      </c>
      <c r="AA2511" s="182" t="n">
        <v>0</v>
      </c>
      <c r="AB2511" s="182" t="n">
        <v>0</v>
      </c>
      <c r="AC2511" s="182" t="n">
        <v>0</v>
      </c>
      <c r="AD2511" s="182" t="n">
        <v>0</v>
      </c>
      <c r="AE2511" s="182" t="n">
        <v>0</v>
      </c>
      <c r="AF2511" s="182" t="n">
        <v>0</v>
      </c>
      <c r="AG2511" s="182" t="n">
        <v>0</v>
      </c>
      <c r="AH2511" s="182" t="n">
        <v>0.83</v>
      </c>
      <c r="AI2511" s="182" t="n">
        <v>0</v>
      </c>
      <c r="AJ2511" s="182" t="n">
        <v>0</v>
      </c>
      <c r="AK2511" s="182" t="n">
        <v>0</v>
      </c>
      <c r="AL2511" s="182" t="n">
        <v>0</v>
      </c>
      <c r="AM2511" s="182" t="n">
        <v>0.07000000000000001</v>
      </c>
      <c r="AN2511" s="182" t="n">
        <v>0</v>
      </c>
    </row>
    <row r="2512">
      <c r="A2512" s="155" t="n">
        <v>46093</v>
      </c>
      <c r="B2512" s="156" t="inlineStr">
        <is>
          <t>DS</t>
        </is>
      </c>
      <c r="C2512" s="156" t="inlineStr">
        <is>
          <t>DT-529</t>
        </is>
      </c>
      <c r="D2512" s="156" t="inlineStr">
        <is>
          <t>SKT 105S</t>
        </is>
      </c>
      <c r="E2512" s="156" t="inlineStr">
        <is>
          <t>Hauler</t>
        </is>
      </c>
      <c r="F2512" s="156" t="inlineStr">
        <is>
          <t>Hauling OB &amp; Coal</t>
        </is>
      </c>
      <c r="G2512" s="182" t="n">
        <v>6.79</v>
      </c>
      <c r="H2512" s="182" t="n">
        <v>0</v>
      </c>
      <c r="I2512" s="182" t="n">
        <v>0</v>
      </c>
      <c r="J2512" s="182" t="n">
        <v>0</v>
      </c>
      <c r="K2512" s="182" t="n">
        <v>5.21</v>
      </c>
      <c r="L2512" s="182" t="n">
        <v>12</v>
      </c>
      <c r="M2512" s="182" t="n">
        <v>1.53</v>
      </c>
      <c r="N2512" s="182" t="n">
        <v>5.26</v>
      </c>
      <c r="O2512" s="183" t="n">
        <v>6</v>
      </c>
      <c r="P2512" s="183" t="n">
        <v>7</v>
      </c>
      <c r="Q2512" s="184" t="n">
        <v>122.4</v>
      </c>
      <c r="R2512" s="184" t="n">
        <v>130.9</v>
      </c>
      <c r="S2512" s="183" t="n">
        <v>0</v>
      </c>
      <c r="T2512" s="183" t="n">
        <v>0</v>
      </c>
      <c r="U2512" s="182" t="n">
        <v>1.95</v>
      </c>
      <c r="V2512" s="182" t="n">
        <v>0.98</v>
      </c>
      <c r="W2512" s="182" t="n">
        <v>0</v>
      </c>
      <c r="X2512" s="182" t="n">
        <v>1.06</v>
      </c>
      <c r="Y2512" s="182" t="n">
        <v>0</v>
      </c>
      <c r="Z2512" s="182" t="n">
        <v>0</v>
      </c>
      <c r="AA2512" s="182" t="n">
        <v>0</v>
      </c>
      <c r="AB2512" s="182" t="n">
        <v>0</v>
      </c>
      <c r="AC2512" s="182" t="n">
        <v>0</v>
      </c>
      <c r="AD2512" s="182" t="n">
        <v>0</v>
      </c>
      <c r="AE2512" s="182" t="n">
        <v>0</v>
      </c>
      <c r="AF2512" s="182" t="n">
        <v>0</v>
      </c>
      <c r="AG2512" s="182" t="n">
        <v>0.64</v>
      </c>
      <c r="AH2512" s="182" t="n">
        <v>0.5</v>
      </c>
      <c r="AI2512" s="182" t="n">
        <v>0</v>
      </c>
      <c r="AJ2512" s="182" t="n">
        <v>0</v>
      </c>
      <c r="AK2512" s="182" t="n">
        <v>0</v>
      </c>
      <c r="AL2512" s="182" t="n">
        <v>0</v>
      </c>
      <c r="AM2512" s="182" t="n">
        <v>0.09</v>
      </c>
      <c r="AN2512" s="182" t="n">
        <v>0</v>
      </c>
    </row>
    <row r="2513">
      <c r="A2513" s="155" t="n">
        <v>46093</v>
      </c>
      <c r="B2513" s="156" t="inlineStr">
        <is>
          <t>DS</t>
        </is>
      </c>
      <c r="C2513" s="156" t="inlineStr">
        <is>
          <t>DT-520</t>
        </is>
      </c>
      <c r="D2513" s="156" t="inlineStr">
        <is>
          <t>SKT 105S</t>
        </is>
      </c>
      <c r="E2513" s="156" t="inlineStr">
        <is>
          <t>Hauler</t>
        </is>
      </c>
      <c r="F2513" s="156" t="inlineStr">
        <is>
          <t>Hauling OB</t>
        </is>
      </c>
      <c r="G2513" s="182" t="n">
        <v>5.35</v>
      </c>
      <c r="H2513" s="182" t="n">
        <v>0</v>
      </c>
      <c r="I2513" s="182" t="n">
        <v>0.95</v>
      </c>
      <c r="J2513" s="182" t="n">
        <v>0.95</v>
      </c>
      <c r="K2513" s="182" t="n">
        <v>5.7</v>
      </c>
      <c r="L2513" s="182" t="n">
        <v>12</v>
      </c>
      <c r="M2513" s="182" t="n">
        <v>5.35</v>
      </c>
      <c r="N2513" s="182" t="n">
        <v>0</v>
      </c>
      <c r="O2513" s="183" t="n">
        <v>19</v>
      </c>
      <c r="P2513" s="183" t="n">
        <v>0</v>
      </c>
      <c r="Q2513" s="184" t="n">
        <v>387.6</v>
      </c>
      <c r="R2513" s="184" t="n">
        <v>0</v>
      </c>
      <c r="S2513" s="183" t="n">
        <v>0</v>
      </c>
      <c r="T2513" s="183" t="n">
        <v>0</v>
      </c>
      <c r="U2513" s="182" t="n">
        <v>1.72</v>
      </c>
      <c r="V2513" s="182" t="n">
        <v>2.96</v>
      </c>
      <c r="W2513" s="182" t="n">
        <v>0</v>
      </c>
      <c r="X2513" s="182" t="n">
        <v>0.9399999999999999</v>
      </c>
      <c r="Y2513" s="182" t="n">
        <v>0</v>
      </c>
      <c r="Z2513" s="182" t="n">
        <v>0</v>
      </c>
      <c r="AA2513" s="182" t="n">
        <v>0</v>
      </c>
      <c r="AB2513" s="182" t="n">
        <v>0</v>
      </c>
      <c r="AC2513" s="182" t="n">
        <v>0</v>
      </c>
      <c r="AD2513" s="182" t="n">
        <v>0</v>
      </c>
      <c r="AE2513" s="182" t="n">
        <v>0</v>
      </c>
      <c r="AF2513" s="182" t="n">
        <v>0</v>
      </c>
      <c r="AG2513" s="182" t="n">
        <v>0</v>
      </c>
      <c r="AH2513" s="182" t="n">
        <v>0</v>
      </c>
      <c r="AI2513" s="182" t="n">
        <v>0</v>
      </c>
      <c r="AJ2513" s="182" t="n">
        <v>0</v>
      </c>
      <c r="AK2513" s="182" t="n">
        <v>0</v>
      </c>
      <c r="AL2513" s="182" t="n">
        <v>0</v>
      </c>
      <c r="AM2513" s="182" t="n">
        <v>0.08</v>
      </c>
      <c r="AN2513" s="182" t="n">
        <v>0</v>
      </c>
    </row>
    <row r="2514">
      <c r="A2514" s="155" t="n">
        <v>46093</v>
      </c>
      <c r="B2514" s="156" t="inlineStr">
        <is>
          <t>DS</t>
        </is>
      </c>
      <c r="C2514" s="156" t="inlineStr">
        <is>
          <t>DT-511</t>
        </is>
      </c>
      <c r="D2514" s="156" t="inlineStr">
        <is>
          <t>SKT 105S</t>
        </is>
      </c>
      <c r="E2514" s="156" t="inlineStr">
        <is>
          <t>Hauler</t>
        </is>
      </c>
      <c r="F2514" s="156" t="inlineStr"/>
      <c r="G2514" s="182" t="n">
        <v>0</v>
      </c>
      <c r="H2514" s="182" t="n">
        <v>0</v>
      </c>
      <c r="I2514" s="182" t="n">
        <v>12</v>
      </c>
      <c r="J2514" s="182" t="n">
        <v>12</v>
      </c>
      <c r="K2514" s="182" t="n">
        <v>0</v>
      </c>
      <c r="L2514" s="182" t="n">
        <v>12</v>
      </c>
      <c r="M2514" s="182" t="n">
        <v>0</v>
      </c>
      <c r="N2514" s="182" t="n">
        <v>0</v>
      </c>
      <c r="O2514" s="183" t="n">
        <v>0</v>
      </c>
      <c r="P2514" s="183" t="n">
        <v>0</v>
      </c>
      <c r="Q2514" s="184" t="n">
        <v>0</v>
      </c>
      <c r="R2514" s="184" t="n">
        <v>0</v>
      </c>
      <c r="S2514" s="183" t="n">
        <v>0</v>
      </c>
      <c r="T2514" s="183" t="n">
        <v>0</v>
      </c>
      <c r="U2514" s="182" t="n">
        <v>0</v>
      </c>
      <c r="V2514" s="182" t="n">
        <v>0</v>
      </c>
      <c r="W2514" s="182" t="n">
        <v>0</v>
      </c>
      <c r="X2514" s="182" t="n">
        <v>0</v>
      </c>
      <c r="Y2514" s="182" t="n">
        <v>0</v>
      </c>
      <c r="Z2514" s="182" t="n">
        <v>0</v>
      </c>
      <c r="AA2514" s="182" t="n">
        <v>0</v>
      </c>
      <c r="AB2514" s="182" t="n">
        <v>0</v>
      </c>
      <c r="AC2514" s="182" t="n">
        <v>0</v>
      </c>
      <c r="AD2514" s="182" t="n">
        <v>0</v>
      </c>
      <c r="AE2514" s="182" t="n">
        <v>0</v>
      </c>
      <c r="AF2514" s="182" t="n">
        <v>0</v>
      </c>
      <c r="AG2514" s="182" t="n">
        <v>0</v>
      </c>
      <c r="AH2514" s="182" t="n">
        <v>0</v>
      </c>
      <c r="AI2514" s="182" t="n">
        <v>0</v>
      </c>
      <c r="AJ2514" s="182" t="n">
        <v>0</v>
      </c>
      <c r="AK2514" s="182" t="n">
        <v>0</v>
      </c>
      <c r="AL2514" s="182" t="n">
        <v>0</v>
      </c>
      <c r="AM2514" s="182" t="n">
        <v>0</v>
      </c>
      <c r="AN2514" s="182" t="n">
        <v>0</v>
      </c>
    </row>
    <row r="2515">
      <c r="A2515" s="155" t="n">
        <v>46093</v>
      </c>
      <c r="B2515" s="156" t="inlineStr">
        <is>
          <t>DS</t>
        </is>
      </c>
      <c r="C2515" s="156" t="inlineStr">
        <is>
          <t>DT-509</t>
        </is>
      </c>
      <c r="D2515" s="156" t="inlineStr">
        <is>
          <t>SKT 105S</t>
        </is>
      </c>
      <c r="E2515" s="156" t="inlineStr">
        <is>
          <t>Hauler</t>
        </is>
      </c>
      <c r="F2515" s="156" t="inlineStr"/>
      <c r="G2515" s="182" t="n">
        <v>0</v>
      </c>
      <c r="H2515" s="182" t="n">
        <v>0</v>
      </c>
      <c r="I2515" s="182" t="n">
        <v>12</v>
      </c>
      <c r="J2515" s="182" t="n">
        <v>12</v>
      </c>
      <c r="K2515" s="182" t="n">
        <v>0</v>
      </c>
      <c r="L2515" s="182" t="n">
        <v>12</v>
      </c>
      <c r="M2515" s="182" t="n">
        <v>0</v>
      </c>
      <c r="N2515" s="182" t="n">
        <v>0</v>
      </c>
      <c r="O2515" s="183" t="n">
        <v>0</v>
      </c>
      <c r="P2515" s="183" t="n">
        <v>0</v>
      </c>
      <c r="Q2515" s="184" t="n">
        <v>0</v>
      </c>
      <c r="R2515" s="184" t="n">
        <v>0</v>
      </c>
      <c r="S2515" s="183" t="n">
        <v>0</v>
      </c>
      <c r="T2515" s="183" t="n">
        <v>0</v>
      </c>
      <c r="U2515" s="182" t="n">
        <v>0</v>
      </c>
      <c r="V2515" s="182" t="n">
        <v>0</v>
      </c>
      <c r="W2515" s="182" t="n">
        <v>0</v>
      </c>
      <c r="X2515" s="182" t="n">
        <v>0</v>
      </c>
      <c r="Y2515" s="182" t="n">
        <v>0</v>
      </c>
      <c r="Z2515" s="182" t="n">
        <v>0</v>
      </c>
      <c r="AA2515" s="182" t="n">
        <v>0</v>
      </c>
      <c r="AB2515" s="182" t="n">
        <v>0</v>
      </c>
      <c r="AC2515" s="182" t="n">
        <v>0</v>
      </c>
      <c r="AD2515" s="182" t="n">
        <v>0</v>
      </c>
      <c r="AE2515" s="182" t="n">
        <v>0</v>
      </c>
      <c r="AF2515" s="182" t="n">
        <v>0</v>
      </c>
      <c r="AG2515" s="182" t="n">
        <v>0</v>
      </c>
      <c r="AH2515" s="182" t="n">
        <v>0</v>
      </c>
      <c r="AI2515" s="182" t="n">
        <v>0</v>
      </c>
      <c r="AJ2515" s="182" t="n">
        <v>0</v>
      </c>
      <c r="AK2515" s="182" t="n">
        <v>0</v>
      </c>
      <c r="AL2515" s="182" t="n">
        <v>0</v>
      </c>
      <c r="AM2515" s="182" t="n">
        <v>0</v>
      </c>
      <c r="AN2515" s="182" t="n">
        <v>0</v>
      </c>
    </row>
    <row r="2516">
      <c r="A2516" s="155" t="n">
        <v>46093</v>
      </c>
      <c r="B2516" s="156" t="inlineStr">
        <is>
          <t>DS</t>
        </is>
      </c>
      <c r="C2516" s="156" t="inlineStr">
        <is>
          <t>DT-526</t>
        </is>
      </c>
      <c r="D2516" s="156" t="inlineStr">
        <is>
          <t>SKT 105S</t>
        </is>
      </c>
      <c r="E2516" s="156" t="inlineStr">
        <is>
          <t>Hauler</t>
        </is>
      </c>
      <c r="F2516" s="156" t="inlineStr">
        <is>
          <t>Hauling OB</t>
        </is>
      </c>
      <c r="G2516" s="182" t="n">
        <v>3.01</v>
      </c>
      <c r="H2516" s="182" t="n">
        <v>0</v>
      </c>
      <c r="I2516" s="182" t="n">
        <v>7.52</v>
      </c>
      <c r="J2516" s="182" t="n">
        <v>7.52</v>
      </c>
      <c r="K2516" s="182" t="n">
        <v>1.47</v>
      </c>
      <c r="L2516" s="182" t="n">
        <v>12</v>
      </c>
      <c r="M2516" s="182" t="n">
        <v>3.01</v>
      </c>
      <c r="N2516" s="182" t="n">
        <v>0</v>
      </c>
      <c r="O2516" s="183" t="n">
        <v>8</v>
      </c>
      <c r="P2516" s="183" t="n">
        <v>0</v>
      </c>
      <c r="Q2516" s="184" t="n">
        <v>163.2</v>
      </c>
      <c r="R2516" s="184" t="n">
        <v>0</v>
      </c>
      <c r="S2516" s="183" t="n">
        <v>0</v>
      </c>
      <c r="T2516" s="183" t="n">
        <v>0</v>
      </c>
      <c r="U2516" s="182" t="n">
        <v>0.63</v>
      </c>
      <c r="V2516" s="182" t="n">
        <v>0</v>
      </c>
      <c r="W2516" s="182" t="n">
        <v>0</v>
      </c>
      <c r="X2516" s="182" t="n">
        <v>0.78</v>
      </c>
      <c r="Y2516" s="182" t="n">
        <v>0</v>
      </c>
      <c r="Z2516" s="182" t="n">
        <v>0</v>
      </c>
      <c r="AA2516" s="182" t="n">
        <v>0</v>
      </c>
      <c r="AB2516" s="182" t="n">
        <v>0</v>
      </c>
      <c r="AC2516" s="182" t="n">
        <v>0</v>
      </c>
      <c r="AD2516" s="182" t="n">
        <v>0</v>
      </c>
      <c r="AE2516" s="182" t="n">
        <v>0</v>
      </c>
      <c r="AF2516" s="182" t="n">
        <v>0</v>
      </c>
      <c r="AG2516" s="182" t="n">
        <v>0</v>
      </c>
      <c r="AH2516" s="182" t="n">
        <v>0</v>
      </c>
      <c r="AI2516" s="182" t="n">
        <v>0</v>
      </c>
      <c r="AJ2516" s="182" t="n">
        <v>0</v>
      </c>
      <c r="AK2516" s="182" t="n">
        <v>0</v>
      </c>
      <c r="AL2516" s="182" t="n">
        <v>0</v>
      </c>
      <c r="AM2516" s="182" t="n">
        <v>0.06</v>
      </c>
      <c r="AN2516" s="182" t="n">
        <v>0</v>
      </c>
    </row>
    <row r="2517">
      <c r="A2517" s="155" t="n">
        <v>46093</v>
      </c>
      <c r="B2517" s="156" t="inlineStr">
        <is>
          <t>DS</t>
        </is>
      </c>
      <c r="C2517" s="156" t="inlineStr">
        <is>
          <t>DT-508</t>
        </is>
      </c>
      <c r="D2517" s="156" t="inlineStr">
        <is>
          <t>SKT 105S</t>
        </is>
      </c>
      <c r="E2517" s="156" t="inlineStr">
        <is>
          <t>Hauler</t>
        </is>
      </c>
      <c r="F2517" s="156" t="inlineStr">
        <is>
          <t>Hauling OB &amp; Coal</t>
        </is>
      </c>
      <c r="G2517" s="182" t="n">
        <v>8.380000000000001</v>
      </c>
      <c r="H2517" s="182" t="n">
        <v>0</v>
      </c>
      <c r="I2517" s="182" t="n">
        <v>0</v>
      </c>
      <c r="J2517" s="182" t="n">
        <v>0</v>
      </c>
      <c r="K2517" s="182" t="n">
        <v>3.62</v>
      </c>
      <c r="L2517" s="182" t="n">
        <v>12</v>
      </c>
      <c r="M2517" s="182" t="n">
        <v>2.55</v>
      </c>
      <c r="N2517" s="182" t="n">
        <v>5.82</v>
      </c>
      <c r="O2517" s="183" t="n">
        <v>5</v>
      </c>
      <c r="P2517" s="183" t="n">
        <v>10</v>
      </c>
      <c r="Q2517" s="184" t="n">
        <v>102</v>
      </c>
      <c r="R2517" s="184" t="n">
        <v>187</v>
      </c>
      <c r="S2517" s="183" t="n">
        <v>0</v>
      </c>
      <c r="T2517" s="183" t="n">
        <v>0</v>
      </c>
      <c r="U2517" s="182" t="n">
        <v>1.74</v>
      </c>
      <c r="V2517" s="182" t="n">
        <v>0.85</v>
      </c>
      <c r="W2517" s="182" t="n">
        <v>0</v>
      </c>
      <c r="X2517" s="182" t="n">
        <v>0.95</v>
      </c>
      <c r="Y2517" s="182" t="n">
        <v>0</v>
      </c>
      <c r="Z2517" s="182" t="n">
        <v>0</v>
      </c>
      <c r="AA2517" s="182" t="n">
        <v>0</v>
      </c>
      <c r="AB2517" s="182" t="n">
        <v>0</v>
      </c>
      <c r="AC2517" s="182" t="n">
        <v>0</v>
      </c>
      <c r="AD2517" s="182" t="n">
        <v>0</v>
      </c>
      <c r="AE2517" s="182" t="n">
        <v>0</v>
      </c>
      <c r="AF2517" s="182" t="n">
        <v>0</v>
      </c>
      <c r="AG2517" s="182" t="n">
        <v>0</v>
      </c>
      <c r="AH2517" s="182" t="n">
        <v>0</v>
      </c>
      <c r="AI2517" s="182" t="n">
        <v>0</v>
      </c>
      <c r="AJ2517" s="182" t="n">
        <v>0</v>
      </c>
      <c r="AK2517" s="182" t="n">
        <v>0</v>
      </c>
      <c r="AL2517" s="182" t="n">
        <v>0</v>
      </c>
      <c r="AM2517" s="182" t="n">
        <v>0.08</v>
      </c>
      <c r="AN2517" s="182" t="n">
        <v>0</v>
      </c>
    </row>
    <row r="2518">
      <c r="A2518" s="155" t="n">
        <v>46093</v>
      </c>
      <c r="B2518" s="156" t="inlineStr">
        <is>
          <t>DS</t>
        </is>
      </c>
      <c r="C2518" s="156" t="inlineStr">
        <is>
          <t>DT-515</t>
        </is>
      </c>
      <c r="D2518" s="156" t="inlineStr">
        <is>
          <t>SKT 105S</t>
        </is>
      </c>
      <c r="E2518" s="156" t="inlineStr">
        <is>
          <t>Hauler</t>
        </is>
      </c>
      <c r="F2518" s="156" t="inlineStr">
        <is>
          <t>Hauling OB</t>
        </is>
      </c>
      <c r="G2518" s="182" t="n">
        <v>7.04</v>
      </c>
      <c r="H2518" s="182" t="n">
        <v>0</v>
      </c>
      <c r="I2518" s="182" t="n">
        <v>0</v>
      </c>
      <c r="J2518" s="182" t="n">
        <v>0</v>
      </c>
      <c r="K2518" s="182" t="n">
        <v>4.96</v>
      </c>
      <c r="L2518" s="182" t="n">
        <v>12</v>
      </c>
      <c r="M2518" s="182" t="n">
        <v>7.04</v>
      </c>
      <c r="N2518" s="182" t="n">
        <v>0</v>
      </c>
      <c r="O2518" s="183" t="n">
        <v>22</v>
      </c>
      <c r="P2518" s="183" t="n">
        <v>0</v>
      </c>
      <c r="Q2518" s="184" t="n">
        <v>448.8</v>
      </c>
      <c r="R2518" s="184" t="n">
        <v>0</v>
      </c>
      <c r="S2518" s="183" t="n">
        <v>0</v>
      </c>
      <c r="T2518" s="183" t="n">
        <v>0</v>
      </c>
      <c r="U2518" s="182" t="n">
        <v>1.85</v>
      </c>
      <c r="V2518" s="182" t="n">
        <v>0.93</v>
      </c>
      <c r="W2518" s="182" t="n">
        <v>0</v>
      </c>
      <c r="X2518" s="182" t="n">
        <v>1.01</v>
      </c>
      <c r="Y2518" s="182" t="n">
        <v>0</v>
      </c>
      <c r="Z2518" s="182" t="n">
        <v>0</v>
      </c>
      <c r="AA2518" s="182" t="n">
        <v>0</v>
      </c>
      <c r="AB2518" s="182" t="n">
        <v>0</v>
      </c>
      <c r="AC2518" s="182" t="n">
        <v>0</v>
      </c>
      <c r="AD2518" s="182" t="n">
        <v>0</v>
      </c>
      <c r="AE2518" s="182" t="n">
        <v>0</v>
      </c>
      <c r="AF2518" s="182" t="n">
        <v>0</v>
      </c>
      <c r="AG2518" s="182" t="n">
        <v>0.61</v>
      </c>
      <c r="AH2518" s="182" t="n">
        <v>0.48</v>
      </c>
      <c r="AI2518" s="182" t="n">
        <v>0</v>
      </c>
      <c r="AJ2518" s="182" t="n">
        <v>0</v>
      </c>
      <c r="AK2518" s="182" t="n">
        <v>0</v>
      </c>
      <c r="AL2518" s="182" t="n">
        <v>0</v>
      </c>
      <c r="AM2518" s="182" t="n">
        <v>0.08</v>
      </c>
      <c r="AN2518" s="182" t="n">
        <v>0</v>
      </c>
    </row>
    <row r="2519">
      <c r="A2519" s="155" t="n">
        <v>46093</v>
      </c>
      <c r="B2519" s="156" t="inlineStr">
        <is>
          <t>DS</t>
        </is>
      </c>
      <c r="C2519" s="156" t="inlineStr">
        <is>
          <t>DT-524</t>
        </is>
      </c>
      <c r="D2519" s="156" t="inlineStr">
        <is>
          <t>SKT 105S</t>
        </is>
      </c>
      <c r="E2519" s="156" t="inlineStr">
        <is>
          <t>Hauler</t>
        </is>
      </c>
      <c r="F2519" s="156" t="inlineStr"/>
      <c r="G2519" s="182" t="n">
        <v>0</v>
      </c>
      <c r="H2519" s="182" t="n">
        <v>0</v>
      </c>
      <c r="I2519" s="182" t="n">
        <v>12</v>
      </c>
      <c r="J2519" s="182" t="n">
        <v>12</v>
      </c>
      <c r="K2519" s="182" t="n">
        <v>0</v>
      </c>
      <c r="L2519" s="182" t="n">
        <v>12</v>
      </c>
      <c r="M2519" s="182" t="n">
        <v>0</v>
      </c>
      <c r="N2519" s="182" t="n">
        <v>0</v>
      </c>
      <c r="O2519" s="183" t="n">
        <v>0</v>
      </c>
      <c r="P2519" s="183" t="n">
        <v>0</v>
      </c>
      <c r="Q2519" s="184" t="n">
        <v>0</v>
      </c>
      <c r="R2519" s="184" t="n">
        <v>0</v>
      </c>
      <c r="S2519" s="183" t="n">
        <v>0</v>
      </c>
      <c r="T2519" s="183" t="n">
        <v>0</v>
      </c>
      <c r="U2519" s="182" t="n">
        <v>0</v>
      </c>
      <c r="V2519" s="182" t="n">
        <v>0</v>
      </c>
      <c r="W2519" s="182" t="n">
        <v>0</v>
      </c>
      <c r="X2519" s="182" t="n">
        <v>0</v>
      </c>
      <c r="Y2519" s="182" t="n">
        <v>0</v>
      </c>
      <c r="Z2519" s="182" t="n">
        <v>0</v>
      </c>
      <c r="AA2519" s="182" t="n">
        <v>0</v>
      </c>
      <c r="AB2519" s="182" t="n">
        <v>0</v>
      </c>
      <c r="AC2519" s="182" t="n">
        <v>0</v>
      </c>
      <c r="AD2519" s="182" t="n">
        <v>0</v>
      </c>
      <c r="AE2519" s="182" t="n">
        <v>0</v>
      </c>
      <c r="AF2519" s="182" t="n">
        <v>0</v>
      </c>
      <c r="AG2519" s="182" t="n">
        <v>0</v>
      </c>
      <c r="AH2519" s="182" t="n">
        <v>0</v>
      </c>
      <c r="AI2519" s="182" t="n">
        <v>0</v>
      </c>
      <c r="AJ2519" s="182" t="n">
        <v>0</v>
      </c>
      <c r="AK2519" s="182" t="n">
        <v>0</v>
      </c>
      <c r="AL2519" s="182" t="n">
        <v>0</v>
      </c>
      <c r="AM2519" s="182" t="n">
        <v>0</v>
      </c>
      <c r="AN2519" s="182" t="n">
        <v>0</v>
      </c>
    </row>
    <row r="2520">
      <c r="A2520" s="155" t="n">
        <v>46093</v>
      </c>
      <c r="B2520" s="156" t="inlineStr">
        <is>
          <t>DS</t>
        </is>
      </c>
      <c r="C2520" s="156" t="inlineStr">
        <is>
          <t>DT-341</t>
        </is>
      </c>
      <c r="D2520" s="156" t="inlineStr">
        <is>
          <t>SYZ324C-8W</t>
        </is>
      </c>
      <c r="E2520" s="156" t="inlineStr">
        <is>
          <t>Hauler</t>
        </is>
      </c>
      <c r="F2520" s="156" t="inlineStr"/>
      <c r="G2520" s="182" t="n">
        <v>0</v>
      </c>
      <c r="H2520" s="182" t="n">
        <v>0</v>
      </c>
      <c r="I2520" s="182" t="n">
        <v>0</v>
      </c>
      <c r="J2520" s="182" t="n">
        <v>0</v>
      </c>
      <c r="K2520" s="182" t="n">
        <v>12</v>
      </c>
      <c r="L2520" s="182" t="n">
        <v>12</v>
      </c>
      <c r="M2520" s="182" t="n">
        <v>0</v>
      </c>
      <c r="N2520" s="182" t="n">
        <v>0</v>
      </c>
      <c r="O2520" s="183" t="n">
        <v>0</v>
      </c>
      <c r="P2520" s="183" t="n">
        <v>0</v>
      </c>
      <c r="Q2520" s="184" t="n">
        <v>0</v>
      </c>
      <c r="R2520" s="184" t="n">
        <v>0</v>
      </c>
      <c r="S2520" s="183" t="n">
        <v>0</v>
      </c>
      <c r="T2520" s="183" t="n">
        <v>0</v>
      </c>
      <c r="U2520" s="182" t="n">
        <v>1.83</v>
      </c>
      <c r="V2520" s="182" t="n">
        <v>0</v>
      </c>
      <c r="W2520" s="182" t="n">
        <v>0</v>
      </c>
      <c r="X2520" s="182" t="n">
        <v>1</v>
      </c>
      <c r="Y2520" s="182" t="n">
        <v>0</v>
      </c>
      <c r="Z2520" s="182" t="n">
        <v>0</v>
      </c>
      <c r="AA2520" s="182" t="n">
        <v>0</v>
      </c>
      <c r="AB2520" s="182" t="n">
        <v>0</v>
      </c>
      <c r="AC2520" s="182" t="n">
        <v>0</v>
      </c>
      <c r="AD2520" s="182" t="n">
        <v>0</v>
      </c>
      <c r="AE2520" s="182" t="n">
        <v>0</v>
      </c>
      <c r="AF2520" s="182" t="n">
        <v>0</v>
      </c>
      <c r="AG2520" s="182" t="n">
        <v>0</v>
      </c>
      <c r="AH2520" s="182" t="n">
        <v>0</v>
      </c>
      <c r="AI2520" s="182" t="n">
        <v>0</v>
      </c>
      <c r="AJ2520" s="182" t="n">
        <v>0</v>
      </c>
      <c r="AK2520" s="182" t="n">
        <v>9.09</v>
      </c>
      <c r="AL2520" s="182" t="n">
        <v>0</v>
      </c>
      <c r="AM2520" s="182" t="n">
        <v>0.08</v>
      </c>
      <c r="AN2520" s="182" t="n">
        <v>0</v>
      </c>
    </row>
    <row r="2521">
      <c r="A2521" s="155" t="n">
        <v>46093</v>
      </c>
      <c r="B2521" s="156" t="inlineStr">
        <is>
          <t>DS</t>
        </is>
      </c>
      <c r="C2521" s="156" t="inlineStr">
        <is>
          <t>DT-342</t>
        </is>
      </c>
      <c r="D2521" s="156" t="inlineStr">
        <is>
          <t>SYZ324C-8W</t>
        </is>
      </c>
      <c r="E2521" s="156" t="inlineStr">
        <is>
          <t>Hauler</t>
        </is>
      </c>
      <c r="F2521" s="156" t="inlineStr"/>
      <c r="G2521" s="182" t="n">
        <v>0</v>
      </c>
      <c r="H2521" s="182" t="n">
        <v>0</v>
      </c>
      <c r="I2521" s="182" t="n">
        <v>2.2</v>
      </c>
      <c r="J2521" s="182" t="n">
        <v>2.2</v>
      </c>
      <c r="K2521" s="182" t="n">
        <v>9.800000000000001</v>
      </c>
      <c r="L2521" s="182" t="n">
        <v>12</v>
      </c>
      <c r="M2521" s="182" t="n">
        <v>0</v>
      </c>
      <c r="N2521" s="182" t="n">
        <v>0</v>
      </c>
      <c r="O2521" s="183" t="n">
        <v>0</v>
      </c>
      <c r="P2521" s="183" t="n">
        <v>0</v>
      </c>
      <c r="Q2521" s="184" t="n">
        <v>0</v>
      </c>
      <c r="R2521" s="184" t="n">
        <v>0</v>
      </c>
      <c r="S2521" s="183" t="n">
        <v>0</v>
      </c>
      <c r="T2521" s="183" t="n">
        <v>0</v>
      </c>
      <c r="U2521" s="182" t="n">
        <v>1.83</v>
      </c>
      <c r="V2521" s="182" t="n">
        <v>0</v>
      </c>
      <c r="W2521" s="182" t="n">
        <v>0</v>
      </c>
      <c r="X2521" s="182" t="n">
        <v>1</v>
      </c>
      <c r="Y2521" s="182" t="n">
        <v>0</v>
      </c>
      <c r="Z2521" s="182" t="n">
        <v>0</v>
      </c>
      <c r="AA2521" s="182" t="n">
        <v>0</v>
      </c>
      <c r="AB2521" s="182" t="n">
        <v>0</v>
      </c>
      <c r="AC2521" s="182" t="n">
        <v>0</v>
      </c>
      <c r="AD2521" s="182" t="n">
        <v>0</v>
      </c>
      <c r="AE2521" s="182" t="n">
        <v>0</v>
      </c>
      <c r="AF2521" s="182" t="n">
        <v>0</v>
      </c>
      <c r="AG2521" s="182" t="n">
        <v>0</v>
      </c>
      <c r="AH2521" s="182" t="n">
        <v>0</v>
      </c>
      <c r="AI2521" s="182" t="n">
        <v>0</v>
      </c>
      <c r="AJ2521" s="182" t="n">
        <v>0</v>
      </c>
      <c r="AK2521" s="182" t="n">
        <v>6.89</v>
      </c>
      <c r="AL2521" s="182" t="n">
        <v>0</v>
      </c>
      <c r="AM2521" s="182" t="n">
        <v>0.08</v>
      </c>
      <c r="AN2521" s="182" t="n">
        <v>0</v>
      </c>
    </row>
    <row r="2522">
      <c r="A2522" s="155" t="n">
        <v>46093</v>
      </c>
      <c r="B2522" s="156" t="inlineStr">
        <is>
          <t>DS</t>
        </is>
      </c>
      <c r="C2522" s="156" t="inlineStr">
        <is>
          <t>HD-903</t>
        </is>
      </c>
      <c r="D2522" s="156" t="inlineStr">
        <is>
          <t>SRT 95C</t>
        </is>
      </c>
      <c r="E2522" s="156" t="inlineStr">
        <is>
          <t>Hauler</t>
        </is>
      </c>
      <c r="F2522" s="156" t="inlineStr">
        <is>
          <t>Hauling OB</t>
        </is>
      </c>
      <c r="G2522" s="182" t="n">
        <v>0.73</v>
      </c>
      <c r="H2522" s="182" t="n">
        <v>0</v>
      </c>
      <c r="I2522" s="182" t="n">
        <v>0</v>
      </c>
      <c r="J2522" s="182" t="n">
        <v>0</v>
      </c>
      <c r="K2522" s="182" t="n">
        <v>11.27</v>
      </c>
      <c r="L2522" s="182" t="n">
        <v>12</v>
      </c>
      <c r="M2522" s="182" t="n">
        <v>0.73</v>
      </c>
      <c r="N2522" s="182" t="n">
        <v>0</v>
      </c>
      <c r="O2522" s="183" t="n">
        <v>1</v>
      </c>
      <c r="P2522" s="183" t="n">
        <v>0</v>
      </c>
      <c r="Q2522" s="184" t="n">
        <v>35.7</v>
      </c>
      <c r="R2522" s="184" t="n">
        <v>0</v>
      </c>
      <c r="S2522" s="183" t="n">
        <v>0</v>
      </c>
      <c r="T2522" s="183" t="n">
        <v>0</v>
      </c>
      <c r="U2522" s="182" t="n">
        <v>1.84</v>
      </c>
      <c r="V2522" s="182" t="n">
        <v>0</v>
      </c>
      <c r="W2522" s="182" t="n">
        <v>0</v>
      </c>
      <c r="X2522" s="182" t="n">
        <v>1.01</v>
      </c>
      <c r="Y2522" s="182" t="n">
        <v>0</v>
      </c>
      <c r="Z2522" s="182" t="n">
        <v>0</v>
      </c>
      <c r="AA2522" s="182" t="n">
        <v>0</v>
      </c>
      <c r="AB2522" s="182" t="n">
        <v>0</v>
      </c>
      <c r="AC2522" s="182" t="n">
        <v>0</v>
      </c>
      <c r="AD2522" s="182" t="n">
        <v>0</v>
      </c>
      <c r="AE2522" s="182" t="n">
        <v>0</v>
      </c>
      <c r="AF2522" s="182" t="n">
        <v>0</v>
      </c>
      <c r="AG2522" s="182" t="n">
        <v>0</v>
      </c>
      <c r="AH2522" s="182" t="n">
        <v>0</v>
      </c>
      <c r="AI2522" s="182" t="n">
        <v>8.34</v>
      </c>
      <c r="AJ2522" s="182" t="n">
        <v>0</v>
      </c>
      <c r="AK2522" s="182" t="n">
        <v>0</v>
      </c>
      <c r="AL2522" s="182" t="n">
        <v>0</v>
      </c>
      <c r="AM2522" s="182" t="n">
        <v>0.08</v>
      </c>
      <c r="AN2522" s="182" t="n">
        <v>0</v>
      </c>
    </row>
    <row r="2523">
      <c r="A2523" s="155" t="n">
        <v>46093</v>
      </c>
      <c r="B2523" s="156" t="inlineStr">
        <is>
          <t>DS</t>
        </is>
      </c>
      <c r="C2523" s="156" t="inlineStr">
        <is>
          <t>HD-905</t>
        </is>
      </c>
      <c r="D2523" s="156" t="inlineStr">
        <is>
          <t>SRT 95C</t>
        </is>
      </c>
      <c r="E2523" s="156" t="inlineStr">
        <is>
          <t>Hauler</t>
        </is>
      </c>
      <c r="F2523" s="156" t="inlineStr"/>
      <c r="G2523" s="182" t="n">
        <v>0</v>
      </c>
      <c r="H2523" s="182" t="n">
        <v>0</v>
      </c>
      <c r="I2523" s="182" t="n">
        <v>12</v>
      </c>
      <c r="J2523" s="182" t="n">
        <v>12</v>
      </c>
      <c r="K2523" s="182" t="n">
        <v>0</v>
      </c>
      <c r="L2523" s="182" t="n">
        <v>12</v>
      </c>
      <c r="M2523" s="182" t="n">
        <v>0</v>
      </c>
      <c r="N2523" s="182" t="n">
        <v>0</v>
      </c>
      <c r="O2523" s="183" t="n">
        <v>0</v>
      </c>
      <c r="P2523" s="183" t="n">
        <v>0</v>
      </c>
      <c r="Q2523" s="184" t="n">
        <v>0</v>
      </c>
      <c r="R2523" s="184" t="n">
        <v>0</v>
      </c>
      <c r="S2523" s="183" t="n">
        <v>0</v>
      </c>
      <c r="T2523" s="183" t="n">
        <v>0</v>
      </c>
      <c r="U2523" s="182" t="n">
        <v>0</v>
      </c>
      <c r="V2523" s="182" t="n">
        <v>0</v>
      </c>
      <c r="W2523" s="182" t="n">
        <v>0</v>
      </c>
      <c r="X2523" s="182" t="n">
        <v>0</v>
      </c>
      <c r="Y2523" s="182" t="n">
        <v>0</v>
      </c>
      <c r="Z2523" s="182" t="n">
        <v>0</v>
      </c>
      <c r="AA2523" s="182" t="n">
        <v>0</v>
      </c>
      <c r="AB2523" s="182" t="n">
        <v>0</v>
      </c>
      <c r="AC2523" s="182" t="n">
        <v>0</v>
      </c>
      <c r="AD2523" s="182" t="n">
        <v>0</v>
      </c>
      <c r="AE2523" s="182" t="n">
        <v>0</v>
      </c>
      <c r="AF2523" s="182" t="n">
        <v>0</v>
      </c>
      <c r="AG2523" s="182" t="n">
        <v>0</v>
      </c>
      <c r="AH2523" s="182" t="n">
        <v>0</v>
      </c>
      <c r="AI2523" s="182" t="n">
        <v>0</v>
      </c>
      <c r="AJ2523" s="182" t="n">
        <v>0</v>
      </c>
      <c r="AK2523" s="182" t="n">
        <v>0</v>
      </c>
      <c r="AL2523" s="182" t="n">
        <v>0</v>
      </c>
      <c r="AM2523" s="182" t="n">
        <v>0</v>
      </c>
      <c r="AN2523" s="182" t="n">
        <v>0</v>
      </c>
    </row>
    <row r="2524">
      <c r="A2524" s="155" t="n">
        <v>46093</v>
      </c>
      <c r="B2524" s="156" t="inlineStr">
        <is>
          <t>DS</t>
        </is>
      </c>
      <c r="C2524" s="156" t="inlineStr">
        <is>
          <t>HD-901</t>
        </is>
      </c>
      <c r="D2524" s="156" t="inlineStr">
        <is>
          <t>SRT 95C</t>
        </is>
      </c>
      <c r="E2524" s="156" t="inlineStr">
        <is>
          <t>Hauler</t>
        </is>
      </c>
      <c r="F2524" s="156" t="inlineStr">
        <is>
          <t>Hauling OB</t>
        </is>
      </c>
      <c r="G2524" s="182" t="n">
        <v>0.92</v>
      </c>
      <c r="H2524" s="182" t="n">
        <v>0</v>
      </c>
      <c r="I2524" s="182" t="n">
        <v>0</v>
      </c>
      <c r="J2524" s="182" t="n">
        <v>0</v>
      </c>
      <c r="K2524" s="182" t="n">
        <v>11.08</v>
      </c>
      <c r="L2524" s="182" t="n">
        <v>12</v>
      </c>
      <c r="M2524" s="182" t="n">
        <v>0.92</v>
      </c>
      <c r="N2524" s="182" t="n">
        <v>0</v>
      </c>
      <c r="O2524" s="183" t="n">
        <v>1</v>
      </c>
      <c r="P2524" s="183" t="n">
        <v>0</v>
      </c>
      <c r="Q2524" s="184" t="n">
        <v>35.7</v>
      </c>
      <c r="R2524" s="184" t="n">
        <v>0</v>
      </c>
      <c r="S2524" s="183" t="n">
        <v>0</v>
      </c>
      <c r="T2524" s="183" t="n">
        <v>0</v>
      </c>
      <c r="U2524" s="182" t="n">
        <v>1.84</v>
      </c>
      <c r="V2524" s="182" t="n">
        <v>0</v>
      </c>
      <c r="W2524" s="182" t="n">
        <v>0</v>
      </c>
      <c r="X2524" s="182" t="n">
        <v>1.01</v>
      </c>
      <c r="Y2524" s="182" t="n">
        <v>0</v>
      </c>
      <c r="Z2524" s="182" t="n">
        <v>0</v>
      </c>
      <c r="AA2524" s="182" t="n">
        <v>0</v>
      </c>
      <c r="AB2524" s="182" t="n">
        <v>0</v>
      </c>
      <c r="AC2524" s="182" t="n">
        <v>0</v>
      </c>
      <c r="AD2524" s="182" t="n">
        <v>0</v>
      </c>
      <c r="AE2524" s="182" t="n">
        <v>0</v>
      </c>
      <c r="AF2524" s="182" t="n">
        <v>0</v>
      </c>
      <c r="AG2524" s="182" t="n">
        <v>0</v>
      </c>
      <c r="AH2524" s="182" t="n">
        <v>0</v>
      </c>
      <c r="AI2524" s="182" t="n">
        <v>8.15</v>
      </c>
      <c r="AJ2524" s="182" t="n">
        <v>0</v>
      </c>
      <c r="AK2524" s="182" t="n">
        <v>0</v>
      </c>
      <c r="AL2524" s="182" t="n">
        <v>0</v>
      </c>
      <c r="AM2524" s="182" t="n">
        <v>0.08</v>
      </c>
      <c r="AN2524" s="182" t="n">
        <v>0</v>
      </c>
    </row>
    <row r="2525">
      <c r="A2525" s="155" t="n">
        <v>46093</v>
      </c>
      <c r="B2525" s="156" t="inlineStr">
        <is>
          <t>DS</t>
        </is>
      </c>
      <c r="C2525" s="156" t="inlineStr">
        <is>
          <t>HD-904</t>
        </is>
      </c>
      <c r="D2525" s="156" t="inlineStr">
        <is>
          <t>SRT 95C</t>
        </is>
      </c>
      <c r="E2525" s="156" t="inlineStr">
        <is>
          <t>Hauler</t>
        </is>
      </c>
      <c r="F2525" s="156" t="inlineStr"/>
      <c r="G2525" s="182" t="n">
        <v>0</v>
      </c>
      <c r="H2525" s="182" t="n">
        <v>0</v>
      </c>
      <c r="I2525" s="182" t="n">
        <v>12</v>
      </c>
      <c r="J2525" s="182" t="n">
        <v>12</v>
      </c>
      <c r="K2525" s="182" t="n">
        <v>0</v>
      </c>
      <c r="L2525" s="182" t="n">
        <v>12</v>
      </c>
      <c r="M2525" s="182" t="n">
        <v>0</v>
      </c>
      <c r="N2525" s="182" t="n">
        <v>0</v>
      </c>
      <c r="O2525" s="183" t="n">
        <v>0</v>
      </c>
      <c r="P2525" s="183" t="n">
        <v>0</v>
      </c>
      <c r="Q2525" s="184" t="n">
        <v>0</v>
      </c>
      <c r="R2525" s="184" t="n">
        <v>0</v>
      </c>
      <c r="S2525" s="183" t="n">
        <v>0</v>
      </c>
      <c r="T2525" s="183" t="n">
        <v>0</v>
      </c>
      <c r="U2525" s="182" t="n">
        <v>0</v>
      </c>
      <c r="V2525" s="182" t="n">
        <v>0</v>
      </c>
      <c r="W2525" s="182" t="n">
        <v>0</v>
      </c>
      <c r="X2525" s="182" t="n">
        <v>0</v>
      </c>
      <c r="Y2525" s="182" t="n">
        <v>0</v>
      </c>
      <c r="Z2525" s="182" t="n">
        <v>0</v>
      </c>
      <c r="AA2525" s="182" t="n">
        <v>0</v>
      </c>
      <c r="AB2525" s="182" t="n">
        <v>0</v>
      </c>
      <c r="AC2525" s="182" t="n">
        <v>0</v>
      </c>
      <c r="AD2525" s="182" t="n">
        <v>0</v>
      </c>
      <c r="AE2525" s="182" t="n">
        <v>0</v>
      </c>
      <c r="AF2525" s="182" t="n">
        <v>0</v>
      </c>
      <c r="AG2525" s="182" t="n">
        <v>0</v>
      </c>
      <c r="AH2525" s="182" t="n">
        <v>0</v>
      </c>
      <c r="AI2525" s="182" t="n">
        <v>0</v>
      </c>
      <c r="AJ2525" s="182" t="n">
        <v>0</v>
      </c>
      <c r="AK2525" s="182" t="n">
        <v>0</v>
      </c>
      <c r="AL2525" s="182" t="n">
        <v>0</v>
      </c>
      <c r="AM2525" s="182" t="n">
        <v>0</v>
      </c>
      <c r="AN2525" s="182" t="n">
        <v>0</v>
      </c>
    </row>
    <row r="2526">
      <c r="A2526" s="155" t="n">
        <v>46093</v>
      </c>
      <c r="B2526" s="156" t="inlineStr">
        <is>
          <t>DS</t>
        </is>
      </c>
      <c r="C2526" s="156" t="inlineStr">
        <is>
          <t>HD-902</t>
        </is>
      </c>
      <c r="D2526" s="156" t="inlineStr">
        <is>
          <t>SRT 95C</t>
        </is>
      </c>
      <c r="E2526" s="156" t="inlineStr">
        <is>
          <t>Hauler</t>
        </is>
      </c>
      <c r="F2526" s="156" t="inlineStr">
        <is>
          <t>Hauling OB</t>
        </is>
      </c>
      <c r="G2526" s="182" t="n">
        <v>0.8100000000000001</v>
      </c>
      <c r="H2526" s="182" t="n">
        <v>0</v>
      </c>
      <c r="I2526" s="182" t="n">
        <v>0</v>
      </c>
      <c r="J2526" s="182" t="n">
        <v>0</v>
      </c>
      <c r="K2526" s="182" t="n">
        <v>11.19</v>
      </c>
      <c r="L2526" s="182" t="n">
        <v>12</v>
      </c>
      <c r="M2526" s="182" t="n">
        <v>0.8100000000000001</v>
      </c>
      <c r="N2526" s="182" t="n">
        <v>0</v>
      </c>
      <c r="O2526" s="183" t="n">
        <v>1</v>
      </c>
      <c r="P2526" s="183" t="n">
        <v>0</v>
      </c>
      <c r="Q2526" s="184" t="n">
        <v>35.7</v>
      </c>
      <c r="R2526" s="184" t="n">
        <v>0</v>
      </c>
      <c r="S2526" s="183" t="n">
        <v>0</v>
      </c>
      <c r="T2526" s="183" t="n">
        <v>0</v>
      </c>
      <c r="U2526" s="182" t="n">
        <v>1.84</v>
      </c>
      <c r="V2526" s="182" t="n">
        <v>0</v>
      </c>
      <c r="W2526" s="182" t="n">
        <v>0</v>
      </c>
      <c r="X2526" s="182" t="n">
        <v>1.01</v>
      </c>
      <c r="Y2526" s="182" t="n">
        <v>0</v>
      </c>
      <c r="Z2526" s="182" t="n">
        <v>0</v>
      </c>
      <c r="AA2526" s="182" t="n">
        <v>0</v>
      </c>
      <c r="AB2526" s="182" t="n">
        <v>0</v>
      </c>
      <c r="AC2526" s="182" t="n">
        <v>0</v>
      </c>
      <c r="AD2526" s="182" t="n">
        <v>0</v>
      </c>
      <c r="AE2526" s="182" t="n">
        <v>0</v>
      </c>
      <c r="AF2526" s="182" t="n">
        <v>0</v>
      </c>
      <c r="AG2526" s="182" t="n">
        <v>0</v>
      </c>
      <c r="AH2526" s="182" t="n">
        <v>0</v>
      </c>
      <c r="AI2526" s="182" t="n">
        <v>8.26</v>
      </c>
      <c r="AJ2526" s="182" t="n">
        <v>0</v>
      </c>
      <c r="AK2526" s="182" t="n">
        <v>0</v>
      </c>
      <c r="AL2526" s="182" t="n">
        <v>0</v>
      </c>
      <c r="AM2526" s="182" t="n">
        <v>0.08</v>
      </c>
      <c r="AN2526" s="182" t="n">
        <v>0</v>
      </c>
    </row>
    <row r="2527">
      <c r="A2527" s="155" t="n">
        <v>46093</v>
      </c>
      <c r="B2527" s="156" t="inlineStr">
        <is>
          <t>DS</t>
        </is>
      </c>
      <c r="C2527" s="156" t="inlineStr">
        <is>
          <t>WL-025</t>
        </is>
      </c>
      <c r="D2527" s="156" t="inlineStr">
        <is>
          <t>SANY - Loader</t>
        </is>
      </c>
      <c r="E2527" s="156" t="inlineStr">
        <is>
          <t>Loader</t>
        </is>
      </c>
      <c r="F2527" s="156" t="inlineStr">
        <is>
          <t>Trimming Coal ke Jetty</t>
        </is>
      </c>
      <c r="G2527" s="182" t="n">
        <v>6.26</v>
      </c>
      <c r="H2527" s="182" t="n">
        <v>0</v>
      </c>
      <c r="I2527" s="182" t="n">
        <v>0</v>
      </c>
      <c r="J2527" s="182" t="n">
        <v>0</v>
      </c>
      <c r="K2527" s="182" t="n">
        <v>5.74</v>
      </c>
      <c r="L2527" s="182" t="n">
        <v>12</v>
      </c>
      <c r="M2527" s="182" t="n">
        <v>0</v>
      </c>
      <c r="N2527" s="182" t="n">
        <v>0</v>
      </c>
      <c r="O2527" s="183" t="n">
        <v>0</v>
      </c>
      <c r="P2527" s="183" t="n">
        <v>0</v>
      </c>
      <c r="Q2527" s="184" t="n">
        <v>0</v>
      </c>
      <c r="R2527" s="184" t="n">
        <v>0</v>
      </c>
      <c r="S2527" s="183" t="n">
        <v>0</v>
      </c>
      <c r="T2527" s="183" t="n">
        <v>0</v>
      </c>
      <c r="U2527" s="182" t="n">
        <v>0</v>
      </c>
      <c r="V2527" s="182" t="n">
        <v>0</v>
      </c>
      <c r="W2527" s="182" t="n">
        <v>0</v>
      </c>
      <c r="X2527" s="182" t="n">
        <v>0.9399999999999999</v>
      </c>
      <c r="Y2527" s="182" t="n">
        <v>0</v>
      </c>
      <c r="Z2527" s="182" t="n">
        <v>0</v>
      </c>
      <c r="AA2527" s="182" t="n">
        <v>0</v>
      </c>
      <c r="AB2527" s="182" t="n">
        <v>0</v>
      </c>
      <c r="AC2527" s="182" t="n">
        <v>0</v>
      </c>
      <c r="AD2527" s="182" t="n">
        <v>0</v>
      </c>
      <c r="AE2527" s="182" t="n">
        <v>0</v>
      </c>
      <c r="AF2527" s="182" t="n">
        <v>0</v>
      </c>
      <c r="AG2527" s="182" t="n">
        <v>0</v>
      </c>
      <c r="AH2527" s="182" t="n">
        <v>0</v>
      </c>
      <c r="AI2527" s="182" t="n">
        <v>0</v>
      </c>
      <c r="AJ2527" s="182" t="n">
        <v>0</v>
      </c>
      <c r="AK2527" s="182" t="n">
        <v>4.72</v>
      </c>
      <c r="AL2527" s="182" t="n">
        <v>0</v>
      </c>
      <c r="AM2527" s="182" t="n">
        <v>0.08</v>
      </c>
      <c r="AN2527" s="182" t="n">
        <v>0</v>
      </c>
    </row>
    <row r="2528">
      <c r="A2528" s="155" t="n">
        <v>46093</v>
      </c>
      <c r="B2528" s="156" t="inlineStr">
        <is>
          <t>DS</t>
        </is>
      </c>
      <c r="C2528" s="156" t="inlineStr">
        <is>
          <t>WL-023</t>
        </is>
      </c>
      <c r="D2528" s="156" t="inlineStr">
        <is>
          <t>SANY - Loader</t>
        </is>
      </c>
      <c r="E2528" s="156" t="inlineStr">
        <is>
          <t>Loader</t>
        </is>
      </c>
      <c r="F2528" s="156" t="inlineStr">
        <is>
          <t>Trimming Coal di Jetty</t>
        </is>
      </c>
      <c r="G2528" s="182" t="n">
        <v>7.79</v>
      </c>
      <c r="H2528" s="182" t="n">
        <v>0</v>
      </c>
      <c r="I2528" s="182" t="n">
        <v>0</v>
      </c>
      <c r="J2528" s="182" t="n">
        <v>0</v>
      </c>
      <c r="K2528" s="182" t="n">
        <v>4.21</v>
      </c>
      <c r="L2528" s="182" t="n">
        <v>12</v>
      </c>
      <c r="M2528" s="182" t="n">
        <v>0</v>
      </c>
      <c r="N2528" s="182" t="n">
        <v>0</v>
      </c>
      <c r="O2528" s="183" t="n">
        <v>0</v>
      </c>
      <c r="P2528" s="183" t="n">
        <v>0</v>
      </c>
      <c r="Q2528" s="184" t="n">
        <v>0</v>
      </c>
      <c r="R2528" s="184" t="n">
        <v>0</v>
      </c>
      <c r="S2528" s="183" t="n">
        <v>0</v>
      </c>
      <c r="T2528" s="183" t="n">
        <v>0</v>
      </c>
      <c r="U2528" s="182" t="n">
        <v>0</v>
      </c>
      <c r="V2528" s="182" t="n">
        <v>0</v>
      </c>
      <c r="W2528" s="182" t="n">
        <v>0</v>
      </c>
      <c r="X2528" s="182" t="n">
        <v>1.08</v>
      </c>
      <c r="Y2528" s="182" t="n">
        <v>0</v>
      </c>
      <c r="Z2528" s="182" t="n">
        <v>0</v>
      </c>
      <c r="AA2528" s="182" t="n">
        <v>0</v>
      </c>
      <c r="AB2528" s="182" t="n">
        <v>0</v>
      </c>
      <c r="AC2528" s="182" t="n">
        <v>0</v>
      </c>
      <c r="AD2528" s="182" t="n">
        <v>0</v>
      </c>
      <c r="AE2528" s="182" t="n">
        <v>0</v>
      </c>
      <c r="AF2528" s="182" t="n">
        <v>0</v>
      </c>
      <c r="AG2528" s="182" t="n">
        <v>0</v>
      </c>
      <c r="AH2528" s="182" t="n">
        <v>0</v>
      </c>
      <c r="AI2528" s="182" t="n">
        <v>0</v>
      </c>
      <c r="AJ2528" s="182" t="n">
        <v>0</v>
      </c>
      <c r="AK2528" s="182" t="n">
        <v>3.04</v>
      </c>
      <c r="AL2528" s="182" t="n">
        <v>0</v>
      </c>
      <c r="AM2528" s="182" t="n">
        <v>0.09</v>
      </c>
      <c r="AN2528" s="182" t="n">
        <v>0</v>
      </c>
    </row>
    <row r="2529">
      <c r="A2529" s="155" t="n">
        <v>46093</v>
      </c>
      <c r="B2529" s="156" t="inlineStr">
        <is>
          <t>DS</t>
        </is>
      </c>
      <c r="C2529" s="156" t="inlineStr">
        <is>
          <t>WL-021</t>
        </is>
      </c>
      <c r="D2529" s="156" t="inlineStr">
        <is>
          <t>SANY - Loader</t>
        </is>
      </c>
      <c r="E2529" s="156" t="inlineStr">
        <is>
          <t>Loader</t>
        </is>
      </c>
      <c r="F2529" s="156" t="inlineStr"/>
      <c r="G2529" s="182" t="n">
        <v>0</v>
      </c>
      <c r="H2529" s="182" t="n">
        <v>0</v>
      </c>
      <c r="I2529" s="182" t="n">
        <v>12</v>
      </c>
      <c r="J2529" s="182" t="n">
        <v>12</v>
      </c>
      <c r="K2529" s="182" t="n">
        <v>0</v>
      </c>
      <c r="L2529" s="182" t="n">
        <v>12</v>
      </c>
      <c r="M2529" s="182" t="n">
        <v>0</v>
      </c>
      <c r="N2529" s="182" t="n">
        <v>0</v>
      </c>
      <c r="O2529" s="183" t="n">
        <v>0</v>
      </c>
      <c r="P2529" s="183" t="n">
        <v>0</v>
      </c>
      <c r="Q2529" s="184" t="n">
        <v>0</v>
      </c>
      <c r="R2529" s="184" t="n">
        <v>0</v>
      </c>
      <c r="S2529" s="183" t="n">
        <v>0</v>
      </c>
      <c r="T2529" s="183" t="n">
        <v>0</v>
      </c>
      <c r="U2529" s="182" t="n">
        <v>0</v>
      </c>
      <c r="V2529" s="182" t="n">
        <v>0</v>
      </c>
      <c r="W2529" s="182" t="n">
        <v>0</v>
      </c>
      <c r="X2529" s="182" t="n">
        <v>0</v>
      </c>
      <c r="Y2529" s="182" t="n">
        <v>0</v>
      </c>
      <c r="Z2529" s="182" t="n">
        <v>0</v>
      </c>
      <c r="AA2529" s="182" t="n">
        <v>0</v>
      </c>
      <c r="AB2529" s="182" t="n">
        <v>0</v>
      </c>
      <c r="AC2529" s="182" t="n">
        <v>0</v>
      </c>
      <c r="AD2529" s="182" t="n">
        <v>0</v>
      </c>
      <c r="AE2529" s="182" t="n">
        <v>0</v>
      </c>
      <c r="AF2529" s="182" t="n">
        <v>0</v>
      </c>
      <c r="AG2529" s="182" t="n">
        <v>0</v>
      </c>
      <c r="AH2529" s="182" t="n">
        <v>0</v>
      </c>
      <c r="AI2529" s="182" t="n">
        <v>0</v>
      </c>
      <c r="AJ2529" s="182" t="n">
        <v>0</v>
      </c>
      <c r="AK2529" s="182" t="n">
        <v>0</v>
      </c>
      <c r="AL2529" s="182" t="n">
        <v>0</v>
      </c>
      <c r="AM2529" s="182" t="n">
        <v>0</v>
      </c>
      <c r="AN2529" s="182" t="n">
        <v>0</v>
      </c>
    </row>
    <row r="2530">
      <c r="A2530" s="155" t="n">
        <v>46093</v>
      </c>
      <c r="B2530" s="156" t="inlineStr">
        <is>
          <t>DS</t>
        </is>
      </c>
      <c r="C2530" s="156" t="inlineStr">
        <is>
          <t>WL-022</t>
        </is>
      </c>
      <c r="D2530" s="156" t="inlineStr">
        <is>
          <t>SANY - Loader</t>
        </is>
      </c>
      <c r="E2530" s="156" t="inlineStr">
        <is>
          <t>Loader</t>
        </is>
      </c>
      <c r="F2530" s="156" t="inlineStr"/>
      <c r="G2530" s="182" t="n">
        <v>0</v>
      </c>
      <c r="H2530" s="182" t="n">
        <v>3.67</v>
      </c>
      <c r="I2530" s="182" t="n">
        <v>0</v>
      </c>
      <c r="J2530" s="182" t="n">
        <v>3.67</v>
      </c>
      <c r="K2530" s="182" t="n">
        <v>8.33</v>
      </c>
      <c r="L2530" s="182" t="n">
        <v>12</v>
      </c>
      <c r="M2530" s="182" t="n">
        <v>0</v>
      </c>
      <c r="N2530" s="182" t="n">
        <v>0</v>
      </c>
      <c r="O2530" s="183" t="n">
        <v>0</v>
      </c>
      <c r="P2530" s="183" t="n">
        <v>0</v>
      </c>
      <c r="Q2530" s="184" t="n">
        <v>0</v>
      </c>
      <c r="R2530" s="184" t="n">
        <v>0</v>
      </c>
      <c r="S2530" s="183" t="n">
        <v>0</v>
      </c>
      <c r="T2530" s="183" t="n">
        <v>0</v>
      </c>
      <c r="U2530" s="182" t="n">
        <v>1.83</v>
      </c>
      <c r="V2530" s="182" t="n">
        <v>0</v>
      </c>
      <c r="W2530" s="182" t="n">
        <v>0</v>
      </c>
      <c r="X2530" s="182" t="n">
        <v>1</v>
      </c>
      <c r="Y2530" s="182" t="n">
        <v>0</v>
      </c>
      <c r="Z2530" s="182" t="n">
        <v>0</v>
      </c>
      <c r="AA2530" s="182" t="n">
        <v>0</v>
      </c>
      <c r="AB2530" s="182" t="n">
        <v>0</v>
      </c>
      <c r="AC2530" s="182" t="n">
        <v>0</v>
      </c>
      <c r="AD2530" s="182" t="n">
        <v>0</v>
      </c>
      <c r="AE2530" s="182" t="n">
        <v>5.42</v>
      </c>
      <c r="AF2530" s="182" t="n">
        <v>0</v>
      </c>
      <c r="AG2530" s="182" t="n">
        <v>0</v>
      </c>
      <c r="AH2530" s="182" t="n">
        <v>0</v>
      </c>
      <c r="AI2530" s="182" t="n">
        <v>0</v>
      </c>
      <c r="AJ2530" s="182" t="n">
        <v>0</v>
      </c>
      <c r="AK2530" s="182" t="n">
        <v>0</v>
      </c>
      <c r="AL2530" s="182" t="n">
        <v>0</v>
      </c>
      <c r="AM2530" s="182" t="n">
        <v>0.08</v>
      </c>
      <c r="AN2530" s="182" t="n">
        <v>0</v>
      </c>
    </row>
    <row r="2531">
      <c r="A2531" s="155" t="n">
        <v>46093</v>
      </c>
      <c r="B2531" s="156" t="inlineStr">
        <is>
          <t>DS</t>
        </is>
      </c>
      <c r="C2531" s="156" t="inlineStr">
        <is>
          <t>WL-024</t>
        </is>
      </c>
      <c r="D2531" s="156" t="inlineStr">
        <is>
          <t>SANY - Loader</t>
        </is>
      </c>
      <c r="E2531" s="156" t="inlineStr">
        <is>
          <t>Loader</t>
        </is>
      </c>
      <c r="F2531" s="156" t="inlineStr">
        <is>
          <t>Trimming Coal di Stock ROM</t>
        </is>
      </c>
      <c r="G2531" s="182" t="n">
        <v>9.970000000000001</v>
      </c>
      <c r="H2531" s="182" t="n">
        <v>0</v>
      </c>
      <c r="I2531" s="182" t="n">
        <v>0</v>
      </c>
      <c r="J2531" s="182" t="n">
        <v>0</v>
      </c>
      <c r="K2531" s="182" t="n">
        <v>2.03</v>
      </c>
      <c r="L2531" s="182" t="n">
        <v>12</v>
      </c>
      <c r="M2531" s="182" t="n">
        <v>0</v>
      </c>
      <c r="N2531" s="182" t="n">
        <v>0</v>
      </c>
      <c r="O2531" s="183" t="n">
        <v>0</v>
      </c>
      <c r="P2531" s="183" t="n">
        <v>0</v>
      </c>
      <c r="Q2531" s="184" t="n">
        <v>0</v>
      </c>
      <c r="R2531" s="184" t="n">
        <v>0</v>
      </c>
      <c r="S2531" s="183" t="n">
        <v>0</v>
      </c>
      <c r="T2531" s="183" t="n">
        <v>0</v>
      </c>
      <c r="U2531" s="182" t="n">
        <v>0</v>
      </c>
      <c r="V2531" s="182" t="n">
        <v>0</v>
      </c>
      <c r="W2531" s="182" t="n">
        <v>0</v>
      </c>
      <c r="X2531" s="182" t="n">
        <v>1.27</v>
      </c>
      <c r="Y2531" s="182" t="n">
        <v>0</v>
      </c>
      <c r="Z2531" s="182" t="n">
        <v>0</v>
      </c>
      <c r="AA2531" s="182" t="n">
        <v>0</v>
      </c>
      <c r="AB2531" s="182" t="n">
        <v>0</v>
      </c>
      <c r="AC2531" s="182" t="n">
        <v>0</v>
      </c>
      <c r="AD2531" s="182" t="n">
        <v>0</v>
      </c>
      <c r="AE2531" s="182" t="n">
        <v>0</v>
      </c>
      <c r="AF2531" s="182" t="n">
        <v>0</v>
      </c>
      <c r="AG2531" s="182" t="n">
        <v>0</v>
      </c>
      <c r="AH2531" s="182" t="n">
        <v>0</v>
      </c>
      <c r="AI2531" s="182" t="n">
        <v>0</v>
      </c>
      <c r="AJ2531" s="182" t="n">
        <v>0</v>
      </c>
      <c r="AK2531" s="182" t="n">
        <v>0.66</v>
      </c>
      <c r="AL2531" s="182" t="n">
        <v>0</v>
      </c>
      <c r="AM2531" s="182" t="n">
        <v>0.1</v>
      </c>
      <c r="AN2531" s="182" t="n">
        <v>0</v>
      </c>
    </row>
    <row r="2532">
      <c r="A2532" s="155" t="n">
        <v>46093</v>
      </c>
      <c r="B2532" s="156" t="inlineStr">
        <is>
          <t>NS</t>
        </is>
      </c>
      <c r="C2532" s="156" t="inlineStr">
        <is>
          <t>DZ-034</t>
        </is>
      </c>
      <c r="D2532" s="156" t="inlineStr">
        <is>
          <t>D 68ESS-12EO</t>
        </is>
      </c>
      <c r="E2532" s="156" t="inlineStr">
        <is>
          <t>Bulldozer</t>
        </is>
      </c>
      <c r="F2532" s="156" t="inlineStr"/>
      <c r="G2532" s="182" t="n">
        <v>0</v>
      </c>
      <c r="H2532" s="182" t="n">
        <v>0</v>
      </c>
      <c r="I2532" s="182" t="n">
        <v>12</v>
      </c>
      <c r="J2532" s="182" t="n">
        <v>12</v>
      </c>
      <c r="K2532" s="182" t="n">
        <v>0</v>
      </c>
      <c r="L2532" s="182" t="n">
        <v>12</v>
      </c>
      <c r="M2532" s="182" t="n">
        <v>0</v>
      </c>
      <c r="N2532" s="182" t="n">
        <v>0</v>
      </c>
      <c r="O2532" s="183" t="n">
        <v>0</v>
      </c>
      <c r="P2532" s="183" t="n">
        <v>0</v>
      </c>
      <c r="Q2532" s="184" t="n">
        <v>0</v>
      </c>
      <c r="R2532" s="184" t="n">
        <v>0</v>
      </c>
      <c r="S2532" s="183" t="n">
        <v>0</v>
      </c>
      <c r="T2532" s="183" t="n">
        <v>0</v>
      </c>
      <c r="U2532" s="182" t="n">
        <v>0</v>
      </c>
      <c r="V2532" s="182" t="n">
        <v>0</v>
      </c>
      <c r="W2532" s="182" t="n">
        <v>0</v>
      </c>
      <c r="X2532" s="182" t="n">
        <v>0</v>
      </c>
      <c r="Y2532" s="182" t="n">
        <v>0</v>
      </c>
      <c r="Z2532" s="182" t="n">
        <v>0</v>
      </c>
      <c r="AA2532" s="182" t="n">
        <v>0</v>
      </c>
      <c r="AB2532" s="182" t="n">
        <v>0</v>
      </c>
      <c r="AC2532" s="182" t="n">
        <v>0</v>
      </c>
      <c r="AD2532" s="182" t="n">
        <v>0</v>
      </c>
      <c r="AE2532" s="182" t="n">
        <v>0</v>
      </c>
      <c r="AF2532" s="182" t="n">
        <v>0</v>
      </c>
      <c r="AG2532" s="182" t="n">
        <v>0</v>
      </c>
      <c r="AH2532" s="182" t="n">
        <v>0</v>
      </c>
      <c r="AI2532" s="182" t="n">
        <v>0</v>
      </c>
      <c r="AJ2532" s="182" t="n">
        <v>0</v>
      </c>
      <c r="AK2532" s="182" t="n">
        <v>0</v>
      </c>
      <c r="AL2532" s="182" t="n">
        <v>0</v>
      </c>
      <c r="AM2532" s="182" t="n">
        <v>0</v>
      </c>
      <c r="AN2532" s="182" t="n">
        <v>0</v>
      </c>
    </row>
    <row r="2533">
      <c r="A2533" s="155" t="n">
        <v>46093</v>
      </c>
      <c r="B2533" s="156" t="inlineStr">
        <is>
          <t>NS</t>
        </is>
      </c>
      <c r="C2533" s="156" t="inlineStr">
        <is>
          <t>DZ-033</t>
        </is>
      </c>
      <c r="D2533" s="156" t="inlineStr">
        <is>
          <t>D 375A-6R</t>
        </is>
      </c>
      <c r="E2533" s="156" t="inlineStr">
        <is>
          <t>Bulldozer</t>
        </is>
      </c>
      <c r="F2533" s="156" t="inlineStr">
        <is>
          <t>Support Disposal</t>
        </is>
      </c>
      <c r="G2533" s="182" t="n">
        <v>10.59</v>
      </c>
      <c r="H2533" s="182" t="n">
        <v>0</v>
      </c>
      <c r="I2533" s="182" t="n">
        <v>0.25</v>
      </c>
      <c r="J2533" s="182" t="n">
        <v>0.25</v>
      </c>
      <c r="K2533" s="182" t="n">
        <v>1.16</v>
      </c>
      <c r="L2533" s="182" t="n">
        <v>12</v>
      </c>
      <c r="M2533" s="182" t="n">
        <v>0</v>
      </c>
      <c r="N2533" s="182" t="n">
        <v>0</v>
      </c>
      <c r="O2533" s="183" t="n">
        <v>0</v>
      </c>
      <c r="P2533" s="183" t="n">
        <v>0</v>
      </c>
      <c r="Q2533" s="184" t="n">
        <v>0</v>
      </c>
      <c r="R2533" s="184" t="n">
        <v>0</v>
      </c>
      <c r="S2533" s="183" t="n">
        <v>0</v>
      </c>
      <c r="T2533" s="183" t="n">
        <v>0</v>
      </c>
      <c r="U2533" s="182" t="n">
        <v>0</v>
      </c>
      <c r="V2533" s="182" t="n">
        <v>0</v>
      </c>
      <c r="W2533" s="182" t="n">
        <v>0</v>
      </c>
      <c r="X2533" s="182" t="n">
        <v>1.04</v>
      </c>
      <c r="Y2533" s="182" t="n">
        <v>0</v>
      </c>
      <c r="Z2533" s="182" t="n">
        <v>0</v>
      </c>
      <c r="AA2533" s="182" t="n">
        <v>0</v>
      </c>
      <c r="AB2533" s="182" t="n">
        <v>0</v>
      </c>
      <c r="AC2533" s="182" t="n">
        <v>0</v>
      </c>
      <c r="AD2533" s="182" t="n">
        <v>0</v>
      </c>
      <c r="AE2533" s="182" t="n">
        <v>0</v>
      </c>
      <c r="AF2533" s="182" t="n">
        <v>0</v>
      </c>
      <c r="AG2533" s="182" t="n">
        <v>0</v>
      </c>
      <c r="AH2533" s="182" t="n">
        <v>0</v>
      </c>
      <c r="AI2533" s="182" t="n">
        <v>0</v>
      </c>
      <c r="AJ2533" s="182" t="n">
        <v>0</v>
      </c>
      <c r="AK2533" s="182" t="n">
        <v>0</v>
      </c>
      <c r="AL2533" s="182" t="n">
        <v>0</v>
      </c>
      <c r="AM2533" s="182" t="n">
        <v>0.12</v>
      </c>
      <c r="AN2533" s="182" t="n">
        <v>0</v>
      </c>
    </row>
    <row r="2534">
      <c r="A2534" s="155" t="n">
        <v>46093</v>
      </c>
      <c r="B2534" s="156" t="inlineStr">
        <is>
          <t>NS</t>
        </is>
      </c>
      <c r="C2534" s="156" t="inlineStr">
        <is>
          <t>DZ-038</t>
        </is>
      </c>
      <c r="D2534" s="156" t="inlineStr">
        <is>
          <t>D 85 ESS-2</t>
        </is>
      </c>
      <c r="E2534" s="156" t="inlineStr">
        <is>
          <t>Bulldozer</t>
        </is>
      </c>
      <c r="F2534" s="156" t="inlineStr"/>
      <c r="G2534" s="182" t="n">
        <v>0</v>
      </c>
      <c r="H2534" s="182" t="n">
        <v>0</v>
      </c>
      <c r="I2534" s="182" t="n">
        <v>12</v>
      </c>
      <c r="J2534" s="182" t="n">
        <v>12</v>
      </c>
      <c r="K2534" s="182" t="n">
        <v>0</v>
      </c>
      <c r="L2534" s="182" t="n">
        <v>12</v>
      </c>
      <c r="M2534" s="182" t="n">
        <v>0</v>
      </c>
      <c r="N2534" s="182" t="n">
        <v>0</v>
      </c>
      <c r="O2534" s="183" t="n">
        <v>0</v>
      </c>
      <c r="P2534" s="183" t="n">
        <v>0</v>
      </c>
      <c r="Q2534" s="184" t="n">
        <v>0</v>
      </c>
      <c r="R2534" s="184" t="n">
        <v>0</v>
      </c>
      <c r="S2534" s="183" t="n">
        <v>0</v>
      </c>
      <c r="T2534" s="183" t="n">
        <v>0</v>
      </c>
      <c r="U2534" s="182" t="n">
        <v>0</v>
      </c>
      <c r="V2534" s="182" t="n">
        <v>0</v>
      </c>
      <c r="W2534" s="182" t="n">
        <v>0</v>
      </c>
      <c r="X2534" s="182" t="n">
        <v>0</v>
      </c>
      <c r="Y2534" s="182" t="n">
        <v>0</v>
      </c>
      <c r="Z2534" s="182" t="n">
        <v>0</v>
      </c>
      <c r="AA2534" s="182" t="n">
        <v>0</v>
      </c>
      <c r="AB2534" s="182" t="n">
        <v>0</v>
      </c>
      <c r="AC2534" s="182" t="n">
        <v>0</v>
      </c>
      <c r="AD2534" s="182" t="n">
        <v>0</v>
      </c>
      <c r="AE2534" s="182" t="n">
        <v>0</v>
      </c>
      <c r="AF2534" s="182" t="n">
        <v>0</v>
      </c>
      <c r="AG2534" s="182" t="n">
        <v>0</v>
      </c>
      <c r="AH2534" s="182" t="n">
        <v>0</v>
      </c>
      <c r="AI2534" s="182" t="n">
        <v>0</v>
      </c>
      <c r="AJ2534" s="182" t="n">
        <v>0</v>
      </c>
      <c r="AK2534" s="182" t="n">
        <v>0</v>
      </c>
      <c r="AL2534" s="182" t="n">
        <v>0</v>
      </c>
      <c r="AM2534" s="182" t="n">
        <v>0</v>
      </c>
      <c r="AN2534" s="182" t="n">
        <v>0</v>
      </c>
    </row>
    <row r="2535">
      <c r="A2535" s="155" t="n">
        <v>46093</v>
      </c>
      <c r="B2535" s="156" t="inlineStr">
        <is>
          <t>NS</t>
        </is>
      </c>
      <c r="C2535" s="156" t="inlineStr">
        <is>
          <t>DZ-039</t>
        </is>
      </c>
      <c r="D2535" s="156" t="inlineStr">
        <is>
          <t>D 85 ESS-2</t>
        </is>
      </c>
      <c r="E2535" s="156" t="inlineStr">
        <is>
          <t>Bulldozer</t>
        </is>
      </c>
      <c r="F2535" s="156" t="inlineStr">
        <is>
          <t>Support Front Loading</t>
        </is>
      </c>
      <c r="G2535" s="182" t="n">
        <v>5.83</v>
      </c>
      <c r="H2535" s="182" t="n">
        <v>0</v>
      </c>
      <c r="I2535" s="182" t="n">
        <v>0</v>
      </c>
      <c r="J2535" s="182" t="n">
        <v>0</v>
      </c>
      <c r="K2535" s="182" t="n">
        <v>6.17</v>
      </c>
      <c r="L2535" s="182" t="n">
        <v>12</v>
      </c>
      <c r="M2535" s="182" t="n">
        <v>0</v>
      </c>
      <c r="N2535" s="182" t="n">
        <v>0</v>
      </c>
      <c r="O2535" s="183" t="n">
        <v>0</v>
      </c>
      <c r="P2535" s="183" t="n">
        <v>0</v>
      </c>
      <c r="Q2535" s="184" t="n">
        <v>0</v>
      </c>
      <c r="R2535" s="184" t="n">
        <v>0</v>
      </c>
      <c r="S2535" s="183" t="n">
        <v>0</v>
      </c>
      <c r="T2535" s="183" t="n">
        <v>0</v>
      </c>
      <c r="U2535" s="182" t="n">
        <v>0</v>
      </c>
      <c r="V2535" s="182" t="n">
        <v>0</v>
      </c>
      <c r="W2535" s="182" t="n">
        <v>0</v>
      </c>
      <c r="X2535" s="182" t="n">
        <v>1</v>
      </c>
      <c r="Y2535" s="182" t="n">
        <v>0</v>
      </c>
      <c r="Z2535" s="182" t="n">
        <v>0</v>
      </c>
      <c r="AA2535" s="182" t="n">
        <v>0</v>
      </c>
      <c r="AB2535" s="182" t="n">
        <v>0</v>
      </c>
      <c r="AC2535" s="182" t="n">
        <v>0</v>
      </c>
      <c r="AD2535" s="182" t="n">
        <v>0</v>
      </c>
      <c r="AE2535" s="182" t="n">
        <v>0</v>
      </c>
      <c r="AF2535" s="182" t="n">
        <v>0</v>
      </c>
      <c r="AG2535" s="182" t="n">
        <v>0</v>
      </c>
      <c r="AH2535" s="182" t="n">
        <v>0</v>
      </c>
      <c r="AI2535" s="182" t="n">
        <v>0</v>
      </c>
      <c r="AJ2535" s="182" t="n">
        <v>0</v>
      </c>
      <c r="AK2535" s="182" t="n">
        <v>5.1</v>
      </c>
      <c r="AL2535" s="182" t="n">
        <v>0</v>
      </c>
      <c r="AM2535" s="182" t="n">
        <v>0.08</v>
      </c>
      <c r="AN2535" s="182" t="n">
        <v>0</v>
      </c>
    </row>
    <row r="2536">
      <c r="A2536" s="155" t="n">
        <v>46093</v>
      </c>
      <c r="B2536" s="156" t="inlineStr">
        <is>
          <t>NS</t>
        </is>
      </c>
      <c r="C2536" s="156" t="inlineStr">
        <is>
          <t>DZ-032</t>
        </is>
      </c>
      <c r="D2536" s="156" t="inlineStr">
        <is>
          <t>CAT</t>
        </is>
      </c>
      <c r="E2536" s="156" t="inlineStr">
        <is>
          <t>Bulldozer</t>
        </is>
      </c>
      <c r="F2536" s="156" t="inlineStr"/>
      <c r="G2536" s="182" t="n">
        <v>0</v>
      </c>
      <c r="H2536" s="182" t="n">
        <v>0</v>
      </c>
      <c r="I2536" s="182" t="n">
        <v>12</v>
      </c>
      <c r="J2536" s="182" t="n">
        <v>12</v>
      </c>
      <c r="K2536" s="182" t="n">
        <v>0</v>
      </c>
      <c r="L2536" s="182" t="n">
        <v>12</v>
      </c>
      <c r="M2536" s="182" t="n">
        <v>0</v>
      </c>
      <c r="N2536" s="182" t="n">
        <v>0</v>
      </c>
      <c r="O2536" s="183" t="n">
        <v>0</v>
      </c>
      <c r="P2536" s="183" t="n">
        <v>0</v>
      </c>
      <c r="Q2536" s="184" t="n">
        <v>0</v>
      </c>
      <c r="R2536" s="184" t="n">
        <v>0</v>
      </c>
      <c r="S2536" s="183" t="n">
        <v>0</v>
      </c>
      <c r="T2536" s="183" t="n">
        <v>0</v>
      </c>
      <c r="U2536" s="182" t="n">
        <v>0</v>
      </c>
      <c r="V2536" s="182" t="n">
        <v>0</v>
      </c>
      <c r="W2536" s="182" t="n">
        <v>0</v>
      </c>
      <c r="X2536" s="182" t="n">
        <v>0</v>
      </c>
      <c r="Y2536" s="182" t="n">
        <v>0</v>
      </c>
      <c r="Z2536" s="182" t="n">
        <v>0</v>
      </c>
      <c r="AA2536" s="182" t="n">
        <v>0</v>
      </c>
      <c r="AB2536" s="182" t="n">
        <v>0</v>
      </c>
      <c r="AC2536" s="182" t="n">
        <v>0</v>
      </c>
      <c r="AD2536" s="182" t="n">
        <v>0</v>
      </c>
      <c r="AE2536" s="182" t="n">
        <v>0</v>
      </c>
      <c r="AF2536" s="182" t="n">
        <v>0</v>
      </c>
      <c r="AG2536" s="182" t="n">
        <v>0</v>
      </c>
      <c r="AH2536" s="182" t="n">
        <v>0</v>
      </c>
      <c r="AI2536" s="182" t="n">
        <v>0</v>
      </c>
      <c r="AJ2536" s="182" t="n">
        <v>0</v>
      </c>
      <c r="AK2536" s="182" t="n">
        <v>0</v>
      </c>
      <c r="AL2536" s="182" t="n">
        <v>0</v>
      </c>
      <c r="AM2536" s="182" t="n">
        <v>0</v>
      </c>
      <c r="AN2536" s="182" t="n">
        <v>0</v>
      </c>
    </row>
    <row r="2537">
      <c r="A2537" s="155" t="n">
        <v>46093</v>
      </c>
      <c r="B2537" s="156" t="inlineStr">
        <is>
          <t>NS</t>
        </is>
      </c>
      <c r="C2537" s="156" t="inlineStr">
        <is>
          <t>DZ-031</t>
        </is>
      </c>
      <c r="D2537" s="156" t="inlineStr">
        <is>
          <t>CAT</t>
        </is>
      </c>
      <c r="E2537" s="156" t="inlineStr">
        <is>
          <t>Bulldozer</t>
        </is>
      </c>
      <c r="F2537" s="156" t="inlineStr">
        <is>
          <t>Support Front Loading</t>
        </is>
      </c>
      <c r="G2537" s="182" t="n">
        <v>9.31</v>
      </c>
      <c r="H2537" s="182" t="n">
        <v>0</v>
      </c>
      <c r="I2537" s="182" t="n">
        <v>0.47</v>
      </c>
      <c r="J2537" s="182" t="n">
        <v>0.47</v>
      </c>
      <c r="K2537" s="182" t="n">
        <v>2.22</v>
      </c>
      <c r="L2537" s="182" t="n">
        <v>12</v>
      </c>
      <c r="M2537" s="182" t="n">
        <v>0</v>
      </c>
      <c r="N2537" s="182" t="n">
        <v>0</v>
      </c>
      <c r="O2537" s="183" t="n">
        <v>0</v>
      </c>
      <c r="P2537" s="183" t="n">
        <v>0</v>
      </c>
      <c r="Q2537" s="184" t="n">
        <v>0</v>
      </c>
      <c r="R2537" s="184" t="n">
        <v>0</v>
      </c>
      <c r="S2537" s="183" t="n">
        <v>0</v>
      </c>
      <c r="T2537" s="183" t="n">
        <v>0</v>
      </c>
      <c r="U2537" s="182" t="n">
        <v>0</v>
      </c>
      <c r="V2537" s="182" t="n">
        <v>0</v>
      </c>
      <c r="W2537" s="182" t="n">
        <v>0</v>
      </c>
      <c r="X2537" s="182" t="n">
        <v>0.95</v>
      </c>
      <c r="Y2537" s="182" t="n">
        <v>0</v>
      </c>
      <c r="Z2537" s="182" t="n">
        <v>0</v>
      </c>
      <c r="AA2537" s="182" t="n">
        <v>0</v>
      </c>
      <c r="AB2537" s="182" t="n">
        <v>0</v>
      </c>
      <c r="AC2537" s="182" t="n">
        <v>0</v>
      </c>
      <c r="AD2537" s="182" t="n">
        <v>0</v>
      </c>
      <c r="AE2537" s="182" t="n">
        <v>0</v>
      </c>
      <c r="AF2537" s="182" t="n">
        <v>0</v>
      </c>
      <c r="AG2537" s="182" t="n">
        <v>0</v>
      </c>
      <c r="AH2537" s="182" t="n">
        <v>0</v>
      </c>
      <c r="AI2537" s="182" t="n">
        <v>0</v>
      </c>
      <c r="AJ2537" s="182" t="n">
        <v>0</v>
      </c>
      <c r="AK2537" s="182" t="n">
        <v>1.19</v>
      </c>
      <c r="AL2537" s="182" t="n">
        <v>0</v>
      </c>
      <c r="AM2537" s="182" t="n">
        <v>0.08</v>
      </c>
      <c r="AN2537" s="182" t="n">
        <v>0</v>
      </c>
    </row>
    <row r="2538">
      <c r="A2538" s="155" t="n">
        <v>46093</v>
      </c>
      <c r="B2538" s="156" t="inlineStr">
        <is>
          <t>NS</t>
        </is>
      </c>
      <c r="C2538" s="156" t="inlineStr">
        <is>
          <t>DZ-037</t>
        </is>
      </c>
      <c r="D2538" s="156" t="inlineStr">
        <is>
          <t>D 85 ESS-2</t>
        </is>
      </c>
      <c r="E2538" s="156" t="inlineStr">
        <is>
          <t>Bulldozer</t>
        </is>
      </c>
      <c r="F2538" s="156" t="inlineStr"/>
      <c r="G2538" s="182" t="n">
        <v>0</v>
      </c>
      <c r="H2538" s="182" t="n">
        <v>0</v>
      </c>
      <c r="I2538" s="182" t="n">
        <v>12</v>
      </c>
      <c r="J2538" s="182" t="n">
        <v>12</v>
      </c>
      <c r="K2538" s="182" t="n">
        <v>0</v>
      </c>
      <c r="L2538" s="182" t="n">
        <v>12</v>
      </c>
      <c r="M2538" s="182" t="n">
        <v>0</v>
      </c>
      <c r="N2538" s="182" t="n">
        <v>0</v>
      </c>
      <c r="O2538" s="183" t="n">
        <v>0</v>
      </c>
      <c r="P2538" s="183" t="n">
        <v>0</v>
      </c>
      <c r="Q2538" s="184" t="n">
        <v>0</v>
      </c>
      <c r="R2538" s="184" t="n">
        <v>0</v>
      </c>
      <c r="S2538" s="183" t="n">
        <v>0</v>
      </c>
      <c r="T2538" s="183" t="n">
        <v>0</v>
      </c>
      <c r="U2538" s="182" t="n">
        <v>0</v>
      </c>
      <c r="V2538" s="182" t="n">
        <v>0</v>
      </c>
      <c r="W2538" s="182" t="n">
        <v>0</v>
      </c>
      <c r="X2538" s="182" t="n">
        <v>0</v>
      </c>
      <c r="Y2538" s="182" t="n">
        <v>0</v>
      </c>
      <c r="Z2538" s="182" t="n">
        <v>0</v>
      </c>
      <c r="AA2538" s="182" t="n">
        <v>0</v>
      </c>
      <c r="AB2538" s="182" t="n">
        <v>0</v>
      </c>
      <c r="AC2538" s="182" t="n">
        <v>0</v>
      </c>
      <c r="AD2538" s="182" t="n">
        <v>0</v>
      </c>
      <c r="AE2538" s="182" t="n">
        <v>0</v>
      </c>
      <c r="AF2538" s="182" t="n">
        <v>0</v>
      </c>
      <c r="AG2538" s="182" t="n">
        <v>0</v>
      </c>
      <c r="AH2538" s="182" t="n">
        <v>0</v>
      </c>
      <c r="AI2538" s="182" t="n">
        <v>0</v>
      </c>
      <c r="AJ2538" s="182" t="n">
        <v>0</v>
      </c>
      <c r="AK2538" s="182" t="n">
        <v>0</v>
      </c>
      <c r="AL2538" s="182" t="n">
        <v>0</v>
      </c>
      <c r="AM2538" s="182" t="n">
        <v>0</v>
      </c>
      <c r="AN2538" s="182" t="n">
        <v>0</v>
      </c>
    </row>
    <row r="2539">
      <c r="A2539" s="155" t="n">
        <v>46093</v>
      </c>
      <c r="B2539" s="156" t="inlineStr">
        <is>
          <t>NS</t>
        </is>
      </c>
      <c r="C2539" s="156" t="inlineStr">
        <is>
          <t>DZ-036</t>
        </is>
      </c>
      <c r="D2539" s="156" t="inlineStr">
        <is>
          <t>D 85 ESS-2</t>
        </is>
      </c>
      <c r="E2539" s="156" t="inlineStr">
        <is>
          <t>Bulldozer</t>
        </is>
      </c>
      <c r="F2539" s="156" t="inlineStr"/>
      <c r="G2539" s="182" t="n">
        <v>0</v>
      </c>
      <c r="H2539" s="182" t="n">
        <v>0</v>
      </c>
      <c r="I2539" s="182" t="n">
        <v>0</v>
      </c>
      <c r="J2539" s="182" t="n">
        <v>0</v>
      </c>
      <c r="K2539" s="182" t="n">
        <v>12</v>
      </c>
      <c r="L2539" s="182" t="n">
        <v>12</v>
      </c>
      <c r="M2539" s="182" t="n">
        <v>0</v>
      </c>
      <c r="N2539" s="182" t="n">
        <v>0</v>
      </c>
      <c r="O2539" s="183" t="n">
        <v>0</v>
      </c>
      <c r="P2539" s="183" t="n">
        <v>0</v>
      </c>
      <c r="Q2539" s="184" t="n">
        <v>0</v>
      </c>
      <c r="R2539" s="184" t="n">
        <v>0</v>
      </c>
      <c r="S2539" s="183" t="n">
        <v>0</v>
      </c>
      <c r="T2539" s="183" t="n">
        <v>0</v>
      </c>
      <c r="U2539" s="182" t="n">
        <v>0</v>
      </c>
      <c r="V2539" s="182" t="n">
        <v>0</v>
      </c>
      <c r="W2539" s="182" t="n">
        <v>0</v>
      </c>
      <c r="X2539" s="182" t="n">
        <v>1</v>
      </c>
      <c r="Y2539" s="182" t="n">
        <v>0</v>
      </c>
      <c r="Z2539" s="182" t="n">
        <v>0</v>
      </c>
      <c r="AA2539" s="182" t="n">
        <v>0</v>
      </c>
      <c r="AB2539" s="182" t="n">
        <v>0</v>
      </c>
      <c r="AC2539" s="182" t="n">
        <v>0</v>
      </c>
      <c r="AD2539" s="182" t="n">
        <v>0</v>
      </c>
      <c r="AE2539" s="182" t="n">
        <v>0</v>
      </c>
      <c r="AF2539" s="182" t="n">
        <v>0</v>
      </c>
      <c r="AG2539" s="182" t="n">
        <v>0</v>
      </c>
      <c r="AH2539" s="182" t="n">
        <v>0</v>
      </c>
      <c r="AI2539" s="182" t="n">
        <v>0</v>
      </c>
      <c r="AJ2539" s="182" t="n">
        <v>0</v>
      </c>
      <c r="AK2539" s="182" t="n">
        <v>10.92</v>
      </c>
      <c r="AL2539" s="182" t="n">
        <v>0</v>
      </c>
      <c r="AM2539" s="182" t="n">
        <v>0.08</v>
      </c>
      <c r="AN2539" s="182" t="n">
        <v>0</v>
      </c>
    </row>
    <row r="2540">
      <c r="A2540" s="155" t="n">
        <v>46093</v>
      </c>
      <c r="B2540" s="156" t="inlineStr">
        <is>
          <t>NS</t>
        </is>
      </c>
      <c r="C2540" s="156" t="inlineStr">
        <is>
          <t>DZ-035</t>
        </is>
      </c>
      <c r="D2540" s="156" t="inlineStr">
        <is>
          <t>D 85 ESS-2</t>
        </is>
      </c>
      <c r="E2540" s="156" t="inlineStr">
        <is>
          <t>Bulldozer</t>
        </is>
      </c>
      <c r="F2540" s="156" t="inlineStr">
        <is>
          <t>Support Disposal</t>
        </is>
      </c>
      <c r="G2540" s="182" t="n">
        <v>9.800000000000001</v>
      </c>
      <c r="H2540" s="182" t="n">
        <v>0</v>
      </c>
      <c r="I2540" s="182" t="n">
        <v>0.17</v>
      </c>
      <c r="J2540" s="182" t="n">
        <v>0.17</v>
      </c>
      <c r="K2540" s="182" t="n">
        <v>2.03</v>
      </c>
      <c r="L2540" s="182" t="n">
        <v>12</v>
      </c>
      <c r="M2540" s="182" t="n">
        <v>0</v>
      </c>
      <c r="N2540" s="182" t="n">
        <v>0</v>
      </c>
      <c r="O2540" s="183" t="n">
        <v>0</v>
      </c>
      <c r="P2540" s="183" t="n">
        <v>0</v>
      </c>
      <c r="Q2540" s="184" t="n">
        <v>0</v>
      </c>
      <c r="R2540" s="184" t="n">
        <v>0</v>
      </c>
      <c r="S2540" s="183" t="n">
        <v>0</v>
      </c>
      <c r="T2540" s="183" t="n">
        <v>0</v>
      </c>
      <c r="U2540" s="182" t="n">
        <v>0</v>
      </c>
      <c r="V2540" s="182" t="n">
        <v>0</v>
      </c>
      <c r="W2540" s="182" t="n">
        <v>0</v>
      </c>
      <c r="X2540" s="182" t="n">
        <v>1.42</v>
      </c>
      <c r="Y2540" s="182" t="n">
        <v>0</v>
      </c>
      <c r="Z2540" s="182" t="n">
        <v>0</v>
      </c>
      <c r="AA2540" s="182" t="n">
        <v>0</v>
      </c>
      <c r="AB2540" s="182" t="n">
        <v>0</v>
      </c>
      <c r="AC2540" s="182" t="n">
        <v>0</v>
      </c>
      <c r="AD2540" s="182" t="n">
        <v>0</v>
      </c>
      <c r="AE2540" s="182" t="n">
        <v>0</v>
      </c>
      <c r="AF2540" s="182" t="n">
        <v>0</v>
      </c>
      <c r="AG2540" s="182" t="n">
        <v>0</v>
      </c>
      <c r="AH2540" s="182" t="n">
        <v>0.5</v>
      </c>
      <c r="AI2540" s="182" t="n">
        <v>0</v>
      </c>
      <c r="AJ2540" s="182" t="n">
        <v>0</v>
      </c>
      <c r="AK2540" s="182" t="n">
        <v>0</v>
      </c>
      <c r="AL2540" s="182" t="n">
        <v>0</v>
      </c>
      <c r="AM2540" s="182" t="n">
        <v>0.11</v>
      </c>
      <c r="AN2540" s="182" t="n">
        <v>0</v>
      </c>
    </row>
    <row r="2541">
      <c r="A2541" s="155" t="n">
        <v>46093</v>
      </c>
      <c r="B2541" s="156" t="inlineStr">
        <is>
          <t>NS</t>
        </is>
      </c>
      <c r="C2541" s="156" t="inlineStr">
        <is>
          <t>CP-042</t>
        </is>
      </c>
      <c r="D2541" s="156" t="inlineStr">
        <is>
          <t>SANY - Compactor</t>
        </is>
      </c>
      <c r="E2541" s="156" t="inlineStr">
        <is>
          <t>Compactor</t>
        </is>
      </c>
      <c r="F2541" s="156" t="inlineStr"/>
      <c r="G2541" s="182" t="n">
        <v>0</v>
      </c>
      <c r="H2541" s="182" t="n">
        <v>0</v>
      </c>
      <c r="I2541" s="182" t="n">
        <v>0</v>
      </c>
      <c r="J2541" s="182" t="n">
        <v>0</v>
      </c>
      <c r="K2541" s="182" t="n">
        <v>12</v>
      </c>
      <c r="L2541" s="182" t="n">
        <v>12</v>
      </c>
      <c r="M2541" s="182" t="n">
        <v>0</v>
      </c>
      <c r="N2541" s="182" t="n">
        <v>0</v>
      </c>
      <c r="O2541" s="183" t="n">
        <v>0</v>
      </c>
      <c r="P2541" s="183" t="n">
        <v>0</v>
      </c>
      <c r="Q2541" s="184" t="n">
        <v>0</v>
      </c>
      <c r="R2541" s="184" t="n">
        <v>0</v>
      </c>
      <c r="S2541" s="183" t="n">
        <v>0</v>
      </c>
      <c r="T2541" s="183" t="n">
        <v>0</v>
      </c>
      <c r="U2541" s="182" t="n">
        <v>0</v>
      </c>
      <c r="V2541" s="182" t="n">
        <v>0</v>
      </c>
      <c r="W2541" s="182" t="n">
        <v>0</v>
      </c>
      <c r="X2541" s="182" t="n">
        <v>1</v>
      </c>
      <c r="Y2541" s="182" t="n">
        <v>0</v>
      </c>
      <c r="Z2541" s="182" t="n">
        <v>0</v>
      </c>
      <c r="AA2541" s="182" t="n">
        <v>0</v>
      </c>
      <c r="AB2541" s="182" t="n">
        <v>0</v>
      </c>
      <c r="AC2541" s="182" t="n">
        <v>0</v>
      </c>
      <c r="AD2541" s="182" t="n">
        <v>0</v>
      </c>
      <c r="AE2541" s="182" t="n">
        <v>0</v>
      </c>
      <c r="AF2541" s="182" t="n">
        <v>0</v>
      </c>
      <c r="AG2541" s="182" t="n">
        <v>0</v>
      </c>
      <c r="AH2541" s="182" t="n">
        <v>0</v>
      </c>
      <c r="AI2541" s="182" t="n">
        <v>0</v>
      </c>
      <c r="AJ2541" s="182" t="n">
        <v>0</v>
      </c>
      <c r="AK2541" s="182" t="n">
        <v>10.92</v>
      </c>
      <c r="AL2541" s="182" t="n">
        <v>0</v>
      </c>
      <c r="AM2541" s="182" t="n">
        <v>0.08</v>
      </c>
      <c r="AN2541" s="182" t="n">
        <v>0</v>
      </c>
    </row>
    <row r="2542">
      <c r="A2542" s="155" t="n">
        <v>46093</v>
      </c>
      <c r="B2542" s="156" t="inlineStr">
        <is>
          <t>NS</t>
        </is>
      </c>
      <c r="C2542" s="156" t="inlineStr">
        <is>
          <t>CP-041</t>
        </is>
      </c>
      <c r="D2542" s="156" t="inlineStr">
        <is>
          <t>SANY - Compactor</t>
        </is>
      </c>
      <c r="E2542" s="156" t="inlineStr">
        <is>
          <t>Compactor</t>
        </is>
      </c>
      <c r="F2542" s="156" t="inlineStr"/>
      <c r="G2542" s="182" t="n">
        <v>0</v>
      </c>
      <c r="H2542" s="182" t="n">
        <v>0</v>
      </c>
      <c r="I2542" s="182" t="n">
        <v>0</v>
      </c>
      <c r="J2542" s="182" t="n">
        <v>0</v>
      </c>
      <c r="K2542" s="182" t="n">
        <v>12</v>
      </c>
      <c r="L2542" s="182" t="n">
        <v>12</v>
      </c>
      <c r="M2542" s="182" t="n">
        <v>0</v>
      </c>
      <c r="N2542" s="182" t="n">
        <v>0</v>
      </c>
      <c r="O2542" s="183" t="n">
        <v>0</v>
      </c>
      <c r="P2542" s="183" t="n">
        <v>0</v>
      </c>
      <c r="Q2542" s="184" t="n">
        <v>0</v>
      </c>
      <c r="R2542" s="184" t="n">
        <v>0</v>
      </c>
      <c r="S2542" s="183" t="n">
        <v>0</v>
      </c>
      <c r="T2542" s="183" t="n">
        <v>0</v>
      </c>
      <c r="U2542" s="182" t="n">
        <v>0</v>
      </c>
      <c r="V2542" s="182" t="n">
        <v>0</v>
      </c>
      <c r="W2542" s="182" t="n">
        <v>0</v>
      </c>
      <c r="X2542" s="182" t="n">
        <v>1</v>
      </c>
      <c r="Y2542" s="182" t="n">
        <v>0</v>
      </c>
      <c r="Z2542" s="182" t="n">
        <v>0</v>
      </c>
      <c r="AA2542" s="182" t="n">
        <v>0</v>
      </c>
      <c r="AB2542" s="182" t="n">
        <v>0</v>
      </c>
      <c r="AC2542" s="182" t="n">
        <v>0</v>
      </c>
      <c r="AD2542" s="182" t="n">
        <v>0</v>
      </c>
      <c r="AE2542" s="182" t="n">
        <v>0</v>
      </c>
      <c r="AF2542" s="182" t="n">
        <v>0</v>
      </c>
      <c r="AG2542" s="182" t="n">
        <v>0</v>
      </c>
      <c r="AH2542" s="182" t="n">
        <v>0</v>
      </c>
      <c r="AI2542" s="182" t="n">
        <v>0</v>
      </c>
      <c r="AJ2542" s="182" t="n">
        <v>0</v>
      </c>
      <c r="AK2542" s="182" t="n">
        <v>10.92</v>
      </c>
      <c r="AL2542" s="182" t="n">
        <v>0</v>
      </c>
      <c r="AM2542" s="182" t="n">
        <v>0.08</v>
      </c>
      <c r="AN2542" s="182" t="n">
        <v>0</v>
      </c>
    </row>
    <row r="2543">
      <c r="A2543" s="155" t="n">
        <v>46093</v>
      </c>
      <c r="B2543" s="156" t="inlineStr">
        <is>
          <t>NS</t>
        </is>
      </c>
      <c r="C2543" s="156" t="inlineStr">
        <is>
          <t>HT-418</t>
        </is>
      </c>
      <c r="D2543" s="156" t="inlineStr">
        <is>
          <t>SY430</t>
        </is>
      </c>
      <c r="E2543" s="156" t="inlineStr">
        <is>
          <t>DT Hauling</t>
        </is>
      </c>
      <c r="F2543" s="156" t="inlineStr">
        <is>
          <t>Hauling Coal ke Jetty</t>
        </is>
      </c>
      <c r="G2543" s="182" t="n">
        <v>9.34</v>
      </c>
      <c r="H2543" s="182" t="n">
        <v>0</v>
      </c>
      <c r="I2543" s="182" t="n">
        <v>0</v>
      </c>
      <c r="J2543" s="182" t="n">
        <v>0</v>
      </c>
      <c r="K2543" s="182" t="n">
        <v>2.66</v>
      </c>
      <c r="L2543" s="182" t="n">
        <v>12</v>
      </c>
      <c r="M2543" s="182" t="n">
        <v>0</v>
      </c>
      <c r="N2543" s="182" t="n">
        <v>0</v>
      </c>
      <c r="O2543" s="183" t="n">
        <v>0</v>
      </c>
      <c r="P2543" s="183" t="n">
        <v>0</v>
      </c>
      <c r="Q2543" s="184" t="n">
        <v>0</v>
      </c>
      <c r="R2543" s="184" t="n">
        <v>0</v>
      </c>
      <c r="S2543" s="183" t="n">
        <v>0</v>
      </c>
      <c r="T2543" s="183" t="n">
        <v>0</v>
      </c>
      <c r="U2543" s="182" t="n">
        <v>0</v>
      </c>
      <c r="V2543" s="182" t="n">
        <v>0</v>
      </c>
      <c r="W2543" s="182" t="n">
        <v>0</v>
      </c>
      <c r="X2543" s="182" t="n">
        <v>1.06</v>
      </c>
      <c r="Y2543" s="182" t="n">
        <v>0</v>
      </c>
      <c r="Z2543" s="182" t="n">
        <v>0</v>
      </c>
      <c r="AA2543" s="182" t="n">
        <v>0</v>
      </c>
      <c r="AB2543" s="182" t="n">
        <v>0</v>
      </c>
      <c r="AC2543" s="182" t="n">
        <v>0</v>
      </c>
      <c r="AD2543" s="182" t="n">
        <v>0</v>
      </c>
      <c r="AE2543" s="182" t="n">
        <v>0</v>
      </c>
      <c r="AF2543" s="182" t="n">
        <v>0</v>
      </c>
      <c r="AG2543" s="182" t="n">
        <v>0</v>
      </c>
      <c r="AH2543" s="182" t="n">
        <v>0</v>
      </c>
      <c r="AI2543" s="182" t="n">
        <v>0</v>
      </c>
      <c r="AJ2543" s="182" t="n">
        <v>0</v>
      </c>
      <c r="AK2543" s="182" t="n">
        <v>1.51</v>
      </c>
      <c r="AL2543" s="182" t="n">
        <v>0</v>
      </c>
      <c r="AM2543" s="182" t="n">
        <v>0.09</v>
      </c>
      <c r="AN2543" s="182" t="n">
        <v>0</v>
      </c>
    </row>
    <row r="2544">
      <c r="A2544" s="155" t="n">
        <v>46093</v>
      </c>
      <c r="B2544" s="156" t="inlineStr">
        <is>
          <t>NS</t>
        </is>
      </c>
      <c r="C2544" s="156" t="inlineStr">
        <is>
          <t>HT-404</t>
        </is>
      </c>
      <c r="D2544" s="156" t="inlineStr">
        <is>
          <t>SY430</t>
        </is>
      </c>
      <c r="E2544" s="156" t="inlineStr">
        <is>
          <t>DT Hauling</t>
        </is>
      </c>
      <c r="F2544" s="156" t="inlineStr">
        <is>
          <t>Hauling Coal ke Jetty</t>
        </is>
      </c>
      <c r="G2544" s="182" t="n">
        <v>9.91</v>
      </c>
      <c r="H2544" s="182" t="n">
        <v>0</v>
      </c>
      <c r="I2544" s="182" t="n">
        <v>0</v>
      </c>
      <c r="J2544" s="182" t="n">
        <v>0</v>
      </c>
      <c r="K2544" s="182" t="n">
        <v>2.09</v>
      </c>
      <c r="L2544" s="182" t="n">
        <v>12</v>
      </c>
      <c r="M2544" s="182" t="n">
        <v>0</v>
      </c>
      <c r="N2544" s="182" t="n">
        <v>0</v>
      </c>
      <c r="O2544" s="183" t="n">
        <v>0</v>
      </c>
      <c r="P2544" s="183" t="n">
        <v>0</v>
      </c>
      <c r="Q2544" s="184" t="n">
        <v>0</v>
      </c>
      <c r="R2544" s="184" t="n">
        <v>0</v>
      </c>
      <c r="S2544" s="183" t="n">
        <v>0</v>
      </c>
      <c r="T2544" s="183" t="n">
        <v>0</v>
      </c>
      <c r="U2544" s="182" t="n">
        <v>0</v>
      </c>
      <c r="V2544" s="182" t="n">
        <v>0</v>
      </c>
      <c r="W2544" s="182" t="n">
        <v>0</v>
      </c>
      <c r="X2544" s="182" t="n">
        <v>1</v>
      </c>
      <c r="Y2544" s="182" t="n">
        <v>0</v>
      </c>
      <c r="Z2544" s="182" t="n">
        <v>0</v>
      </c>
      <c r="AA2544" s="182" t="n">
        <v>0</v>
      </c>
      <c r="AB2544" s="182" t="n">
        <v>0</v>
      </c>
      <c r="AC2544" s="182" t="n">
        <v>0</v>
      </c>
      <c r="AD2544" s="182" t="n">
        <v>0</v>
      </c>
      <c r="AE2544" s="182" t="n">
        <v>0</v>
      </c>
      <c r="AF2544" s="182" t="n">
        <v>0</v>
      </c>
      <c r="AG2544" s="182" t="n">
        <v>0</v>
      </c>
      <c r="AH2544" s="182" t="n">
        <v>0</v>
      </c>
      <c r="AI2544" s="182" t="n">
        <v>0</v>
      </c>
      <c r="AJ2544" s="182" t="n">
        <v>0</v>
      </c>
      <c r="AK2544" s="182" t="n">
        <v>1.02</v>
      </c>
      <c r="AL2544" s="182" t="n">
        <v>0</v>
      </c>
      <c r="AM2544" s="182" t="n">
        <v>0.08</v>
      </c>
      <c r="AN2544" s="182" t="n">
        <v>0</v>
      </c>
    </row>
    <row r="2545">
      <c r="A2545" s="155" t="n">
        <v>46093</v>
      </c>
      <c r="B2545" s="156" t="inlineStr">
        <is>
          <t>NS</t>
        </is>
      </c>
      <c r="C2545" s="156" t="inlineStr">
        <is>
          <t>HT-415</t>
        </is>
      </c>
      <c r="D2545" s="156" t="inlineStr">
        <is>
          <t>SY430</t>
        </is>
      </c>
      <c r="E2545" s="156" t="inlineStr">
        <is>
          <t>DT Hauling</t>
        </is>
      </c>
      <c r="F2545" s="156" t="inlineStr"/>
      <c r="G2545" s="182" t="n">
        <v>0</v>
      </c>
      <c r="H2545" s="182" t="n">
        <v>0</v>
      </c>
      <c r="I2545" s="182" t="n">
        <v>12</v>
      </c>
      <c r="J2545" s="182" t="n">
        <v>12</v>
      </c>
      <c r="K2545" s="182" t="n">
        <v>0</v>
      </c>
      <c r="L2545" s="182" t="n">
        <v>12</v>
      </c>
      <c r="M2545" s="182" t="n">
        <v>0</v>
      </c>
      <c r="N2545" s="182" t="n">
        <v>0</v>
      </c>
      <c r="O2545" s="183" t="n">
        <v>0</v>
      </c>
      <c r="P2545" s="183" t="n">
        <v>0</v>
      </c>
      <c r="Q2545" s="184" t="n">
        <v>0</v>
      </c>
      <c r="R2545" s="184" t="n">
        <v>0</v>
      </c>
      <c r="S2545" s="183" t="n">
        <v>0</v>
      </c>
      <c r="T2545" s="183" t="n">
        <v>0</v>
      </c>
      <c r="U2545" s="182" t="n">
        <v>0</v>
      </c>
      <c r="V2545" s="182" t="n">
        <v>0</v>
      </c>
      <c r="W2545" s="182" t="n">
        <v>0</v>
      </c>
      <c r="X2545" s="182" t="n">
        <v>0</v>
      </c>
      <c r="Y2545" s="182" t="n">
        <v>0</v>
      </c>
      <c r="Z2545" s="182" t="n">
        <v>0</v>
      </c>
      <c r="AA2545" s="182" t="n">
        <v>0</v>
      </c>
      <c r="AB2545" s="182" t="n">
        <v>0</v>
      </c>
      <c r="AC2545" s="182" t="n">
        <v>0</v>
      </c>
      <c r="AD2545" s="182" t="n">
        <v>0</v>
      </c>
      <c r="AE2545" s="182" t="n">
        <v>0</v>
      </c>
      <c r="AF2545" s="182" t="n">
        <v>0</v>
      </c>
      <c r="AG2545" s="182" t="n">
        <v>0</v>
      </c>
      <c r="AH2545" s="182" t="n">
        <v>0</v>
      </c>
      <c r="AI2545" s="182" t="n">
        <v>0</v>
      </c>
      <c r="AJ2545" s="182" t="n">
        <v>0</v>
      </c>
      <c r="AK2545" s="182" t="n">
        <v>0</v>
      </c>
      <c r="AL2545" s="182" t="n">
        <v>0</v>
      </c>
      <c r="AM2545" s="182" t="n">
        <v>0</v>
      </c>
      <c r="AN2545" s="182" t="n">
        <v>0</v>
      </c>
    </row>
    <row r="2546">
      <c r="A2546" s="155" t="n">
        <v>46093</v>
      </c>
      <c r="B2546" s="156" t="inlineStr">
        <is>
          <t>NS</t>
        </is>
      </c>
      <c r="C2546" s="156" t="inlineStr">
        <is>
          <t>HT-406</t>
        </is>
      </c>
      <c r="D2546" s="156" t="inlineStr">
        <is>
          <t>SY430</t>
        </is>
      </c>
      <c r="E2546" s="156" t="inlineStr">
        <is>
          <t>DT Hauling</t>
        </is>
      </c>
      <c r="F2546" s="156" t="inlineStr">
        <is>
          <t>Hauling Coal ke Jetty</t>
        </is>
      </c>
      <c r="G2546" s="182" t="n">
        <v>2.02</v>
      </c>
      <c r="H2546" s="182" t="n">
        <v>0</v>
      </c>
      <c r="I2546" s="182" t="n">
        <v>9.5</v>
      </c>
      <c r="J2546" s="182" t="n">
        <v>9.5</v>
      </c>
      <c r="K2546" s="182" t="n">
        <v>0.48</v>
      </c>
      <c r="L2546" s="182" t="n">
        <v>12</v>
      </c>
      <c r="M2546" s="182" t="n">
        <v>0</v>
      </c>
      <c r="N2546" s="182" t="n">
        <v>0</v>
      </c>
      <c r="O2546" s="183" t="n">
        <v>0</v>
      </c>
      <c r="P2546" s="183" t="n">
        <v>0</v>
      </c>
      <c r="Q2546" s="184" t="n">
        <v>0</v>
      </c>
      <c r="R2546" s="184" t="n">
        <v>0</v>
      </c>
      <c r="S2546" s="183" t="n">
        <v>0</v>
      </c>
      <c r="T2546" s="183" t="n">
        <v>0</v>
      </c>
      <c r="U2546" s="182" t="n">
        <v>0</v>
      </c>
      <c r="V2546" s="182" t="n">
        <v>0</v>
      </c>
      <c r="W2546" s="182" t="n">
        <v>0</v>
      </c>
      <c r="X2546" s="182" t="n">
        <v>0</v>
      </c>
      <c r="Y2546" s="182" t="n">
        <v>0</v>
      </c>
      <c r="Z2546" s="182" t="n">
        <v>0</v>
      </c>
      <c r="AA2546" s="182" t="n">
        <v>0</v>
      </c>
      <c r="AB2546" s="182" t="n">
        <v>0</v>
      </c>
      <c r="AC2546" s="182" t="n">
        <v>0</v>
      </c>
      <c r="AD2546" s="182" t="n">
        <v>0</v>
      </c>
      <c r="AE2546" s="182" t="n">
        <v>0</v>
      </c>
      <c r="AF2546" s="182" t="n">
        <v>0</v>
      </c>
      <c r="AG2546" s="182" t="n">
        <v>0</v>
      </c>
      <c r="AH2546" s="182" t="n">
        <v>0</v>
      </c>
      <c r="AI2546" s="182" t="n">
        <v>0</v>
      </c>
      <c r="AJ2546" s="182" t="n">
        <v>0</v>
      </c>
      <c r="AK2546" s="182" t="n">
        <v>0</v>
      </c>
      <c r="AL2546" s="182" t="n">
        <v>0</v>
      </c>
      <c r="AM2546" s="182" t="n">
        <v>0</v>
      </c>
      <c r="AN2546" s="182" t="n">
        <v>0</v>
      </c>
    </row>
    <row r="2547">
      <c r="A2547" s="155" t="n">
        <v>46093</v>
      </c>
      <c r="B2547" s="156" t="inlineStr">
        <is>
          <t>NS</t>
        </is>
      </c>
      <c r="C2547" s="156" t="inlineStr">
        <is>
          <t>HT-405</t>
        </is>
      </c>
      <c r="D2547" s="156" t="inlineStr">
        <is>
          <t>SY430</t>
        </is>
      </c>
      <c r="E2547" s="156" t="inlineStr">
        <is>
          <t>DT Hauling</t>
        </is>
      </c>
      <c r="F2547" s="156" t="inlineStr"/>
      <c r="G2547" s="182" t="n">
        <v>0</v>
      </c>
      <c r="H2547" s="182" t="n">
        <v>0</v>
      </c>
      <c r="I2547" s="182" t="n">
        <v>2</v>
      </c>
      <c r="J2547" s="182" t="n">
        <v>2</v>
      </c>
      <c r="K2547" s="182" t="n">
        <v>10</v>
      </c>
      <c r="L2547" s="182" t="n">
        <v>12</v>
      </c>
      <c r="M2547" s="182" t="n">
        <v>0</v>
      </c>
      <c r="N2547" s="182" t="n">
        <v>0</v>
      </c>
      <c r="O2547" s="183" t="n">
        <v>0</v>
      </c>
      <c r="P2547" s="183" t="n">
        <v>0</v>
      </c>
      <c r="Q2547" s="184" t="n">
        <v>0</v>
      </c>
      <c r="R2547" s="184" t="n">
        <v>0</v>
      </c>
      <c r="S2547" s="183" t="n">
        <v>0</v>
      </c>
      <c r="T2547" s="183" t="n">
        <v>0</v>
      </c>
      <c r="U2547" s="182" t="n">
        <v>0</v>
      </c>
      <c r="V2547" s="182" t="n">
        <v>0</v>
      </c>
      <c r="W2547" s="182" t="n">
        <v>0</v>
      </c>
      <c r="X2547" s="182" t="n">
        <v>1</v>
      </c>
      <c r="Y2547" s="182" t="n">
        <v>0</v>
      </c>
      <c r="Z2547" s="182" t="n">
        <v>0</v>
      </c>
      <c r="AA2547" s="182" t="n">
        <v>0</v>
      </c>
      <c r="AB2547" s="182" t="n">
        <v>0</v>
      </c>
      <c r="AC2547" s="182" t="n">
        <v>0</v>
      </c>
      <c r="AD2547" s="182" t="n">
        <v>0</v>
      </c>
      <c r="AE2547" s="182" t="n">
        <v>0</v>
      </c>
      <c r="AF2547" s="182" t="n">
        <v>0</v>
      </c>
      <c r="AG2547" s="182" t="n">
        <v>0</v>
      </c>
      <c r="AH2547" s="182" t="n">
        <v>0</v>
      </c>
      <c r="AI2547" s="182" t="n">
        <v>0</v>
      </c>
      <c r="AJ2547" s="182" t="n">
        <v>0</v>
      </c>
      <c r="AK2547" s="182" t="n">
        <v>8.92</v>
      </c>
      <c r="AL2547" s="182" t="n">
        <v>0</v>
      </c>
      <c r="AM2547" s="182" t="n">
        <v>0.08</v>
      </c>
      <c r="AN2547" s="182" t="n">
        <v>0</v>
      </c>
    </row>
    <row r="2548">
      <c r="A2548" s="155" t="n">
        <v>46093</v>
      </c>
      <c r="B2548" s="156" t="inlineStr">
        <is>
          <t>NS</t>
        </is>
      </c>
      <c r="C2548" s="156" t="inlineStr">
        <is>
          <t>HT-417</t>
        </is>
      </c>
      <c r="D2548" s="156" t="inlineStr">
        <is>
          <t>SY430</t>
        </is>
      </c>
      <c r="E2548" s="156" t="inlineStr">
        <is>
          <t>DT Hauling</t>
        </is>
      </c>
      <c r="F2548" s="156" t="inlineStr"/>
      <c r="G2548" s="182" t="n">
        <v>0</v>
      </c>
      <c r="H2548" s="182" t="n">
        <v>0</v>
      </c>
      <c r="I2548" s="182" t="n">
        <v>0.25</v>
      </c>
      <c r="J2548" s="182" t="n">
        <v>0.25</v>
      </c>
      <c r="K2548" s="182" t="n">
        <v>11.75</v>
      </c>
      <c r="L2548" s="182" t="n">
        <v>12</v>
      </c>
      <c r="M2548" s="182" t="n">
        <v>0</v>
      </c>
      <c r="N2548" s="182" t="n">
        <v>0</v>
      </c>
      <c r="O2548" s="183" t="n">
        <v>0</v>
      </c>
      <c r="P2548" s="183" t="n">
        <v>0</v>
      </c>
      <c r="Q2548" s="184" t="n">
        <v>0</v>
      </c>
      <c r="R2548" s="184" t="n">
        <v>0</v>
      </c>
      <c r="S2548" s="183" t="n">
        <v>0</v>
      </c>
      <c r="T2548" s="183" t="n">
        <v>0</v>
      </c>
      <c r="U2548" s="182" t="n">
        <v>0</v>
      </c>
      <c r="V2548" s="182" t="n">
        <v>0</v>
      </c>
      <c r="W2548" s="182" t="n">
        <v>0</v>
      </c>
      <c r="X2548" s="182" t="n">
        <v>1</v>
      </c>
      <c r="Y2548" s="182" t="n">
        <v>0</v>
      </c>
      <c r="Z2548" s="182" t="n">
        <v>0</v>
      </c>
      <c r="AA2548" s="182" t="n">
        <v>0</v>
      </c>
      <c r="AB2548" s="182" t="n">
        <v>0</v>
      </c>
      <c r="AC2548" s="182" t="n">
        <v>0</v>
      </c>
      <c r="AD2548" s="182" t="n">
        <v>0</v>
      </c>
      <c r="AE2548" s="182" t="n">
        <v>0</v>
      </c>
      <c r="AF2548" s="182" t="n">
        <v>0</v>
      </c>
      <c r="AG2548" s="182" t="n">
        <v>0</v>
      </c>
      <c r="AH2548" s="182" t="n">
        <v>0</v>
      </c>
      <c r="AI2548" s="182" t="n">
        <v>0</v>
      </c>
      <c r="AJ2548" s="182" t="n">
        <v>0</v>
      </c>
      <c r="AK2548" s="182" t="n">
        <v>10.67</v>
      </c>
      <c r="AL2548" s="182" t="n">
        <v>0</v>
      </c>
      <c r="AM2548" s="182" t="n">
        <v>0.08</v>
      </c>
      <c r="AN2548" s="182" t="n">
        <v>0</v>
      </c>
    </row>
    <row r="2549">
      <c r="A2549" s="155" t="n">
        <v>46093</v>
      </c>
      <c r="B2549" s="156" t="inlineStr">
        <is>
          <t>NS</t>
        </is>
      </c>
      <c r="C2549" s="156" t="inlineStr">
        <is>
          <t>HT-401</t>
        </is>
      </c>
      <c r="D2549" s="156" t="inlineStr">
        <is>
          <t>SY430</t>
        </is>
      </c>
      <c r="E2549" s="156" t="inlineStr">
        <is>
          <t>DT Hauling</t>
        </is>
      </c>
      <c r="F2549" s="156" t="inlineStr"/>
      <c r="G2549" s="182" t="n">
        <v>0</v>
      </c>
      <c r="H2549" s="182" t="n">
        <v>0</v>
      </c>
      <c r="I2549" s="182" t="n">
        <v>0</v>
      </c>
      <c r="J2549" s="182" t="n">
        <v>0</v>
      </c>
      <c r="K2549" s="182" t="n">
        <v>12</v>
      </c>
      <c r="L2549" s="182" t="n">
        <v>12</v>
      </c>
      <c r="M2549" s="182" t="n">
        <v>0</v>
      </c>
      <c r="N2549" s="182" t="n">
        <v>0</v>
      </c>
      <c r="O2549" s="183" t="n">
        <v>0</v>
      </c>
      <c r="P2549" s="183" t="n">
        <v>0</v>
      </c>
      <c r="Q2549" s="184" t="n">
        <v>0</v>
      </c>
      <c r="R2549" s="184" t="n">
        <v>0</v>
      </c>
      <c r="S2549" s="183" t="n">
        <v>0</v>
      </c>
      <c r="T2549" s="183" t="n">
        <v>0</v>
      </c>
      <c r="U2549" s="182" t="n">
        <v>0</v>
      </c>
      <c r="V2549" s="182" t="n">
        <v>0</v>
      </c>
      <c r="W2549" s="182" t="n">
        <v>0</v>
      </c>
      <c r="X2549" s="182" t="n">
        <v>1</v>
      </c>
      <c r="Y2549" s="182" t="n">
        <v>0</v>
      </c>
      <c r="Z2549" s="182" t="n">
        <v>0</v>
      </c>
      <c r="AA2549" s="182" t="n">
        <v>0</v>
      </c>
      <c r="AB2549" s="182" t="n">
        <v>0</v>
      </c>
      <c r="AC2549" s="182" t="n">
        <v>0</v>
      </c>
      <c r="AD2549" s="182" t="n">
        <v>0</v>
      </c>
      <c r="AE2549" s="182" t="n">
        <v>0</v>
      </c>
      <c r="AF2549" s="182" t="n">
        <v>0</v>
      </c>
      <c r="AG2549" s="182" t="n">
        <v>0</v>
      </c>
      <c r="AH2549" s="182" t="n">
        <v>0</v>
      </c>
      <c r="AI2549" s="182" t="n">
        <v>0</v>
      </c>
      <c r="AJ2549" s="182" t="n">
        <v>0</v>
      </c>
      <c r="AK2549" s="182" t="n">
        <v>10.92</v>
      </c>
      <c r="AL2549" s="182" t="n">
        <v>0</v>
      </c>
      <c r="AM2549" s="182" t="n">
        <v>0.08</v>
      </c>
      <c r="AN2549" s="182" t="n">
        <v>0</v>
      </c>
    </row>
    <row r="2550">
      <c r="A2550" s="155" t="n">
        <v>46093</v>
      </c>
      <c r="B2550" s="156" t="inlineStr">
        <is>
          <t>NS</t>
        </is>
      </c>
      <c r="C2550" s="156" t="inlineStr">
        <is>
          <t>HT-410</t>
        </is>
      </c>
      <c r="D2550" s="156" t="inlineStr">
        <is>
          <t>SY430</t>
        </is>
      </c>
      <c r="E2550" s="156" t="inlineStr">
        <is>
          <t>DT Hauling</t>
        </is>
      </c>
      <c r="F2550" s="156" t="inlineStr"/>
      <c r="G2550" s="182" t="n">
        <v>0</v>
      </c>
      <c r="H2550" s="182" t="n">
        <v>0</v>
      </c>
      <c r="I2550" s="182" t="n">
        <v>0</v>
      </c>
      <c r="J2550" s="182" t="n">
        <v>0</v>
      </c>
      <c r="K2550" s="182" t="n">
        <v>12</v>
      </c>
      <c r="L2550" s="182" t="n">
        <v>12</v>
      </c>
      <c r="M2550" s="182" t="n">
        <v>0</v>
      </c>
      <c r="N2550" s="182" t="n">
        <v>0</v>
      </c>
      <c r="O2550" s="183" t="n">
        <v>0</v>
      </c>
      <c r="P2550" s="183" t="n">
        <v>0</v>
      </c>
      <c r="Q2550" s="184" t="n">
        <v>0</v>
      </c>
      <c r="R2550" s="184" t="n">
        <v>0</v>
      </c>
      <c r="S2550" s="183" t="n">
        <v>0</v>
      </c>
      <c r="T2550" s="183" t="n">
        <v>0</v>
      </c>
      <c r="U2550" s="182" t="n">
        <v>0</v>
      </c>
      <c r="V2550" s="182" t="n">
        <v>0</v>
      </c>
      <c r="W2550" s="182" t="n">
        <v>0</v>
      </c>
      <c r="X2550" s="182" t="n">
        <v>1</v>
      </c>
      <c r="Y2550" s="182" t="n">
        <v>0</v>
      </c>
      <c r="Z2550" s="182" t="n">
        <v>0</v>
      </c>
      <c r="AA2550" s="182" t="n">
        <v>0</v>
      </c>
      <c r="AB2550" s="182" t="n">
        <v>0</v>
      </c>
      <c r="AC2550" s="182" t="n">
        <v>0</v>
      </c>
      <c r="AD2550" s="182" t="n">
        <v>0</v>
      </c>
      <c r="AE2550" s="182" t="n">
        <v>0</v>
      </c>
      <c r="AF2550" s="182" t="n">
        <v>0</v>
      </c>
      <c r="AG2550" s="182" t="n">
        <v>0</v>
      </c>
      <c r="AH2550" s="182" t="n">
        <v>0</v>
      </c>
      <c r="AI2550" s="182" t="n">
        <v>0</v>
      </c>
      <c r="AJ2550" s="182" t="n">
        <v>0</v>
      </c>
      <c r="AK2550" s="182" t="n">
        <v>10.92</v>
      </c>
      <c r="AL2550" s="182" t="n">
        <v>0</v>
      </c>
      <c r="AM2550" s="182" t="n">
        <v>0.08</v>
      </c>
      <c r="AN2550" s="182" t="n">
        <v>0</v>
      </c>
    </row>
    <row r="2551">
      <c r="A2551" s="155" t="n">
        <v>46093</v>
      </c>
      <c r="B2551" s="156" t="inlineStr">
        <is>
          <t>NS</t>
        </is>
      </c>
      <c r="C2551" s="156" t="inlineStr">
        <is>
          <t>HT-402</t>
        </is>
      </c>
      <c r="D2551" s="156" t="inlineStr">
        <is>
          <t>SY430</t>
        </is>
      </c>
      <c r="E2551" s="156" t="inlineStr">
        <is>
          <t>DT Hauling</t>
        </is>
      </c>
      <c r="F2551" s="156" t="inlineStr">
        <is>
          <t>Hauling Coal ke Jetty</t>
        </is>
      </c>
      <c r="G2551" s="182" t="n">
        <v>9.98</v>
      </c>
      <c r="H2551" s="182" t="n">
        <v>0</v>
      </c>
      <c r="I2551" s="182" t="n">
        <v>0</v>
      </c>
      <c r="J2551" s="182" t="n">
        <v>0</v>
      </c>
      <c r="K2551" s="182" t="n">
        <v>2.02</v>
      </c>
      <c r="L2551" s="182" t="n">
        <v>12</v>
      </c>
      <c r="M2551" s="182" t="n">
        <v>0</v>
      </c>
      <c r="N2551" s="182" t="n">
        <v>0</v>
      </c>
      <c r="O2551" s="183" t="n">
        <v>0</v>
      </c>
      <c r="P2551" s="183" t="n">
        <v>0</v>
      </c>
      <c r="Q2551" s="184" t="n">
        <v>0</v>
      </c>
      <c r="R2551" s="184" t="n">
        <v>0</v>
      </c>
      <c r="S2551" s="183" t="n">
        <v>0</v>
      </c>
      <c r="T2551" s="183" t="n">
        <v>0</v>
      </c>
      <c r="U2551" s="182" t="n">
        <v>0</v>
      </c>
      <c r="V2551" s="182" t="n">
        <v>0</v>
      </c>
      <c r="W2551" s="182" t="n">
        <v>0</v>
      </c>
      <c r="X2551" s="182" t="n">
        <v>1.19</v>
      </c>
      <c r="Y2551" s="182" t="n">
        <v>0</v>
      </c>
      <c r="Z2551" s="182" t="n">
        <v>0</v>
      </c>
      <c r="AA2551" s="182" t="n">
        <v>0</v>
      </c>
      <c r="AB2551" s="182" t="n">
        <v>0</v>
      </c>
      <c r="AC2551" s="182" t="n">
        <v>0</v>
      </c>
      <c r="AD2551" s="182" t="n">
        <v>0</v>
      </c>
      <c r="AE2551" s="182" t="n">
        <v>0</v>
      </c>
      <c r="AF2551" s="182" t="n">
        <v>0</v>
      </c>
      <c r="AG2551" s="182" t="n">
        <v>0</v>
      </c>
      <c r="AH2551" s="182" t="n">
        <v>0.74</v>
      </c>
      <c r="AI2551" s="182" t="n">
        <v>0</v>
      </c>
      <c r="AJ2551" s="182" t="n">
        <v>0</v>
      </c>
      <c r="AK2551" s="182" t="n">
        <v>0</v>
      </c>
      <c r="AL2551" s="182" t="n">
        <v>0</v>
      </c>
      <c r="AM2551" s="182" t="n">
        <v>0.1</v>
      </c>
      <c r="AN2551" s="182" t="n">
        <v>0</v>
      </c>
    </row>
    <row r="2552">
      <c r="A2552" s="155" t="n">
        <v>46093</v>
      </c>
      <c r="B2552" s="156" t="inlineStr">
        <is>
          <t>NS</t>
        </is>
      </c>
      <c r="C2552" s="156" t="inlineStr">
        <is>
          <t>HT-419</t>
        </is>
      </c>
      <c r="D2552" s="156" t="inlineStr">
        <is>
          <t>SY430</t>
        </is>
      </c>
      <c r="E2552" s="156" t="inlineStr">
        <is>
          <t>DT Hauling</t>
        </is>
      </c>
      <c r="F2552" s="156" t="inlineStr"/>
      <c r="G2552" s="182" t="n">
        <v>0</v>
      </c>
      <c r="H2552" s="182" t="n">
        <v>0</v>
      </c>
      <c r="I2552" s="182" t="n">
        <v>12</v>
      </c>
      <c r="J2552" s="182" t="n">
        <v>12</v>
      </c>
      <c r="K2552" s="182" t="n">
        <v>0</v>
      </c>
      <c r="L2552" s="182" t="n">
        <v>12</v>
      </c>
      <c r="M2552" s="182" t="n">
        <v>0</v>
      </c>
      <c r="N2552" s="182" t="n">
        <v>0</v>
      </c>
      <c r="O2552" s="183" t="n">
        <v>0</v>
      </c>
      <c r="P2552" s="183" t="n">
        <v>0</v>
      </c>
      <c r="Q2552" s="184" t="n">
        <v>0</v>
      </c>
      <c r="R2552" s="184" t="n">
        <v>0</v>
      </c>
      <c r="S2552" s="183" t="n">
        <v>0</v>
      </c>
      <c r="T2552" s="183" t="n">
        <v>0</v>
      </c>
      <c r="U2552" s="182" t="n">
        <v>0</v>
      </c>
      <c r="V2552" s="182" t="n">
        <v>0</v>
      </c>
      <c r="W2552" s="182" t="n">
        <v>0</v>
      </c>
      <c r="X2552" s="182" t="n">
        <v>0</v>
      </c>
      <c r="Y2552" s="182" t="n">
        <v>0</v>
      </c>
      <c r="Z2552" s="182" t="n">
        <v>0</v>
      </c>
      <c r="AA2552" s="182" t="n">
        <v>0</v>
      </c>
      <c r="AB2552" s="182" t="n">
        <v>0</v>
      </c>
      <c r="AC2552" s="182" t="n">
        <v>0</v>
      </c>
      <c r="AD2552" s="182" t="n">
        <v>0</v>
      </c>
      <c r="AE2552" s="182" t="n">
        <v>0</v>
      </c>
      <c r="AF2552" s="182" t="n">
        <v>0</v>
      </c>
      <c r="AG2552" s="182" t="n">
        <v>0</v>
      </c>
      <c r="AH2552" s="182" t="n">
        <v>0</v>
      </c>
      <c r="AI2552" s="182" t="n">
        <v>0</v>
      </c>
      <c r="AJ2552" s="182" t="n">
        <v>0</v>
      </c>
      <c r="AK2552" s="182" t="n">
        <v>0</v>
      </c>
      <c r="AL2552" s="182" t="n">
        <v>0</v>
      </c>
      <c r="AM2552" s="182" t="n">
        <v>0</v>
      </c>
      <c r="AN2552" s="182" t="n">
        <v>0</v>
      </c>
    </row>
    <row r="2553">
      <c r="A2553" s="155" t="n">
        <v>46093</v>
      </c>
      <c r="B2553" s="156" t="inlineStr">
        <is>
          <t>NS</t>
        </is>
      </c>
      <c r="C2553" s="156" t="inlineStr">
        <is>
          <t>HT-416</t>
        </is>
      </c>
      <c r="D2553" s="156" t="inlineStr">
        <is>
          <t>SY430</t>
        </is>
      </c>
      <c r="E2553" s="156" t="inlineStr">
        <is>
          <t>DT Hauling</t>
        </is>
      </c>
      <c r="F2553" s="156" t="inlineStr">
        <is>
          <t>Hauling Coal ke Jetty</t>
        </is>
      </c>
      <c r="G2553" s="182" t="n">
        <v>11.04</v>
      </c>
      <c r="H2553" s="182" t="n">
        <v>0</v>
      </c>
      <c r="I2553" s="182" t="n">
        <v>0</v>
      </c>
      <c r="J2553" s="182" t="n">
        <v>0</v>
      </c>
      <c r="K2553" s="182" t="n">
        <v>0.96</v>
      </c>
      <c r="L2553" s="182" t="n">
        <v>12</v>
      </c>
      <c r="M2553" s="182" t="n">
        <v>0</v>
      </c>
      <c r="N2553" s="182" t="n">
        <v>0</v>
      </c>
      <c r="O2553" s="183" t="n">
        <v>0</v>
      </c>
      <c r="P2553" s="183" t="n">
        <v>0</v>
      </c>
      <c r="Q2553" s="184" t="n">
        <v>0</v>
      </c>
      <c r="R2553" s="184" t="n">
        <v>0</v>
      </c>
      <c r="S2553" s="183" t="n">
        <v>0</v>
      </c>
      <c r="T2553" s="183" t="n">
        <v>0</v>
      </c>
      <c r="U2553" s="182" t="n">
        <v>0</v>
      </c>
      <c r="V2553" s="182" t="n">
        <v>0</v>
      </c>
      <c r="W2553" s="182" t="n">
        <v>0</v>
      </c>
      <c r="X2553" s="182" t="n">
        <v>0.85</v>
      </c>
      <c r="Y2553" s="182" t="n">
        <v>0</v>
      </c>
      <c r="Z2553" s="182" t="n">
        <v>0</v>
      </c>
      <c r="AA2553" s="182" t="n">
        <v>0</v>
      </c>
      <c r="AB2553" s="182" t="n">
        <v>0</v>
      </c>
      <c r="AC2553" s="182" t="n">
        <v>0</v>
      </c>
      <c r="AD2553" s="182" t="n">
        <v>0</v>
      </c>
      <c r="AE2553" s="182" t="n">
        <v>0</v>
      </c>
      <c r="AF2553" s="182" t="n">
        <v>0</v>
      </c>
      <c r="AG2553" s="182" t="n">
        <v>0</v>
      </c>
      <c r="AH2553" s="182" t="n">
        <v>0</v>
      </c>
      <c r="AI2553" s="182" t="n">
        <v>0</v>
      </c>
      <c r="AJ2553" s="182" t="n">
        <v>0</v>
      </c>
      <c r="AK2553" s="182" t="n">
        <v>0</v>
      </c>
      <c r="AL2553" s="182" t="n">
        <v>0</v>
      </c>
      <c r="AM2553" s="182" t="n">
        <v>0.11</v>
      </c>
      <c r="AN2553" s="182" t="n">
        <v>0</v>
      </c>
    </row>
    <row r="2554">
      <c r="A2554" s="155" t="n">
        <v>46093</v>
      </c>
      <c r="B2554" s="156" t="inlineStr">
        <is>
          <t>NS</t>
        </is>
      </c>
      <c r="C2554" s="156" t="inlineStr">
        <is>
          <t>HT-420</t>
        </is>
      </c>
      <c r="D2554" s="156" t="inlineStr">
        <is>
          <t>SY430</t>
        </is>
      </c>
      <c r="E2554" s="156" t="inlineStr">
        <is>
          <t>DT Hauling</t>
        </is>
      </c>
      <c r="F2554" s="156" t="inlineStr">
        <is>
          <t>Hauling Coal ke Jetty</t>
        </is>
      </c>
      <c r="G2554" s="182" t="n">
        <v>10.06</v>
      </c>
      <c r="H2554" s="182" t="n">
        <v>0</v>
      </c>
      <c r="I2554" s="182" t="n">
        <v>0</v>
      </c>
      <c r="J2554" s="182" t="n">
        <v>0</v>
      </c>
      <c r="K2554" s="182" t="n">
        <v>1.94</v>
      </c>
      <c r="L2554" s="182" t="n">
        <v>12</v>
      </c>
      <c r="M2554" s="182" t="n">
        <v>0</v>
      </c>
      <c r="N2554" s="182" t="n">
        <v>0</v>
      </c>
      <c r="O2554" s="183" t="n">
        <v>0</v>
      </c>
      <c r="P2554" s="183" t="n">
        <v>0</v>
      </c>
      <c r="Q2554" s="184" t="n">
        <v>0</v>
      </c>
      <c r="R2554" s="184" t="n">
        <v>0</v>
      </c>
      <c r="S2554" s="183" t="n">
        <v>0</v>
      </c>
      <c r="T2554" s="183" t="n">
        <v>0</v>
      </c>
      <c r="U2554" s="182" t="n">
        <v>0</v>
      </c>
      <c r="V2554" s="182" t="n">
        <v>0</v>
      </c>
      <c r="W2554" s="182" t="n">
        <v>0</v>
      </c>
      <c r="X2554" s="182" t="n">
        <v>0.97</v>
      </c>
      <c r="Y2554" s="182" t="n">
        <v>0</v>
      </c>
      <c r="Z2554" s="182" t="n">
        <v>0</v>
      </c>
      <c r="AA2554" s="182" t="n">
        <v>0</v>
      </c>
      <c r="AB2554" s="182" t="n">
        <v>0</v>
      </c>
      <c r="AC2554" s="182" t="n">
        <v>0</v>
      </c>
      <c r="AD2554" s="182" t="n">
        <v>0</v>
      </c>
      <c r="AE2554" s="182" t="n">
        <v>0</v>
      </c>
      <c r="AF2554" s="182" t="n">
        <v>0</v>
      </c>
      <c r="AG2554" s="182" t="n">
        <v>0</v>
      </c>
      <c r="AH2554" s="182" t="n">
        <v>0.89</v>
      </c>
      <c r="AI2554" s="182" t="n">
        <v>0</v>
      </c>
      <c r="AJ2554" s="182" t="n">
        <v>0</v>
      </c>
      <c r="AK2554" s="182" t="n">
        <v>0</v>
      </c>
      <c r="AL2554" s="182" t="n">
        <v>0</v>
      </c>
      <c r="AM2554" s="182" t="n">
        <v>0.08</v>
      </c>
      <c r="AN2554" s="182" t="n">
        <v>0</v>
      </c>
    </row>
    <row r="2555">
      <c r="A2555" s="155" t="n">
        <v>46093</v>
      </c>
      <c r="B2555" s="156" t="inlineStr">
        <is>
          <t>NS</t>
        </is>
      </c>
      <c r="C2555" s="156" t="inlineStr">
        <is>
          <t>HT-403</t>
        </is>
      </c>
      <c r="D2555" s="156" t="inlineStr">
        <is>
          <t>SY430</t>
        </is>
      </c>
      <c r="E2555" s="156" t="inlineStr">
        <is>
          <t>DT Hauling</t>
        </is>
      </c>
      <c r="F2555" s="156" t="inlineStr"/>
      <c r="G2555" s="182" t="n">
        <v>0</v>
      </c>
      <c r="H2555" s="182" t="n">
        <v>0</v>
      </c>
      <c r="I2555" s="182" t="n">
        <v>0</v>
      </c>
      <c r="J2555" s="182" t="n">
        <v>0</v>
      </c>
      <c r="K2555" s="182" t="n">
        <v>12</v>
      </c>
      <c r="L2555" s="182" t="n">
        <v>12</v>
      </c>
      <c r="M2555" s="182" t="n">
        <v>0</v>
      </c>
      <c r="N2555" s="182" t="n">
        <v>0</v>
      </c>
      <c r="O2555" s="183" t="n">
        <v>0</v>
      </c>
      <c r="P2555" s="183" t="n">
        <v>0</v>
      </c>
      <c r="Q2555" s="184" t="n">
        <v>0</v>
      </c>
      <c r="R2555" s="184" t="n">
        <v>0</v>
      </c>
      <c r="S2555" s="183" t="n">
        <v>0</v>
      </c>
      <c r="T2555" s="183" t="n">
        <v>0</v>
      </c>
      <c r="U2555" s="182" t="n">
        <v>0</v>
      </c>
      <c r="V2555" s="182" t="n">
        <v>0</v>
      </c>
      <c r="W2555" s="182" t="n">
        <v>0</v>
      </c>
      <c r="X2555" s="182" t="n">
        <v>1</v>
      </c>
      <c r="Y2555" s="182" t="n">
        <v>0</v>
      </c>
      <c r="Z2555" s="182" t="n">
        <v>0</v>
      </c>
      <c r="AA2555" s="182" t="n">
        <v>0</v>
      </c>
      <c r="AB2555" s="182" t="n">
        <v>0</v>
      </c>
      <c r="AC2555" s="182" t="n">
        <v>0</v>
      </c>
      <c r="AD2555" s="182" t="n">
        <v>0</v>
      </c>
      <c r="AE2555" s="182" t="n">
        <v>0</v>
      </c>
      <c r="AF2555" s="182" t="n">
        <v>0</v>
      </c>
      <c r="AG2555" s="182" t="n">
        <v>0</v>
      </c>
      <c r="AH2555" s="182" t="n">
        <v>0</v>
      </c>
      <c r="AI2555" s="182" t="n">
        <v>0</v>
      </c>
      <c r="AJ2555" s="182" t="n">
        <v>0</v>
      </c>
      <c r="AK2555" s="182" t="n">
        <v>10.92</v>
      </c>
      <c r="AL2555" s="182" t="n">
        <v>0</v>
      </c>
      <c r="AM2555" s="182" t="n">
        <v>0.08</v>
      </c>
      <c r="AN2555" s="182" t="n">
        <v>0</v>
      </c>
    </row>
    <row r="2556">
      <c r="A2556" s="155" t="n">
        <v>46093</v>
      </c>
      <c r="B2556" s="156" t="inlineStr">
        <is>
          <t>NS</t>
        </is>
      </c>
      <c r="C2556" s="156" t="inlineStr">
        <is>
          <t>HT-408</t>
        </is>
      </c>
      <c r="D2556" s="156" t="inlineStr">
        <is>
          <t>SY430</t>
        </is>
      </c>
      <c r="E2556" s="156" t="inlineStr">
        <is>
          <t>DT Hauling</t>
        </is>
      </c>
      <c r="F2556" s="156" t="inlineStr">
        <is>
          <t>Hauling Coal ke Jetty</t>
        </is>
      </c>
      <c r="G2556" s="182" t="n">
        <v>11.2</v>
      </c>
      <c r="H2556" s="182" t="n">
        <v>0</v>
      </c>
      <c r="I2556" s="182" t="n">
        <v>0.33</v>
      </c>
      <c r="J2556" s="182" t="n">
        <v>0.33</v>
      </c>
      <c r="K2556" s="182" t="n">
        <v>0.47</v>
      </c>
      <c r="L2556" s="182" t="n">
        <v>12</v>
      </c>
      <c r="M2556" s="182" t="n">
        <v>0</v>
      </c>
      <c r="N2556" s="182" t="n">
        <v>0</v>
      </c>
      <c r="O2556" s="183" t="n">
        <v>0</v>
      </c>
      <c r="P2556" s="183" t="n">
        <v>0</v>
      </c>
      <c r="Q2556" s="184" t="n">
        <v>0</v>
      </c>
      <c r="R2556" s="184" t="n">
        <v>0</v>
      </c>
      <c r="S2556" s="183" t="n">
        <v>0</v>
      </c>
      <c r="T2556" s="183" t="n">
        <v>0</v>
      </c>
      <c r="U2556" s="182" t="n">
        <v>0</v>
      </c>
      <c r="V2556" s="182" t="n">
        <v>0</v>
      </c>
      <c r="W2556" s="182" t="n">
        <v>0</v>
      </c>
      <c r="X2556" s="182" t="n">
        <v>0.43</v>
      </c>
      <c r="Y2556" s="182" t="n">
        <v>0</v>
      </c>
      <c r="Z2556" s="182" t="n">
        <v>0</v>
      </c>
      <c r="AA2556" s="182" t="n">
        <v>0</v>
      </c>
      <c r="AB2556" s="182" t="n">
        <v>0</v>
      </c>
      <c r="AC2556" s="182" t="n">
        <v>0</v>
      </c>
      <c r="AD2556" s="182" t="n">
        <v>0</v>
      </c>
      <c r="AE2556" s="182" t="n">
        <v>0</v>
      </c>
      <c r="AF2556" s="182" t="n">
        <v>0</v>
      </c>
      <c r="AG2556" s="182" t="n">
        <v>0</v>
      </c>
      <c r="AH2556" s="182" t="n">
        <v>0</v>
      </c>
      <c r="AI2556" s="182" t="n">
        <v>0</v>
      </c>
      <c r="AJ2556" s="182" t="n">
        <v>0</v>
      </c>
      <c r="AK2556" s="182" t="n">
        <v>0</v>
      </c>
      <c r="AL2556" s="182" t="n">
        <v>0</v>
      </c>
      <c r="AM2556" s="182" t="n">
        <v>0.04</v>
      </c>
      <c r="AN2556" s="182" t="n">
        <v>0</v>
      </c>
    </row>
    <row r="2557">
      <c r="A2557" s="155" t="n">
        <v>46093</v>
      </c>
      <c r="B2557" s="156" t="inlineStr">
        <is>
          <t>NS</t>
        </is>
      </c>
      <c r="C2557" s="156" t="inlineStr">
        <is>
          <t>HT-412</t>
        </is>
      </c>
      <c r="D2557" s="156" t="inlineStr">
        <is>
          <t>SY430</t>
        </is>
      </c>
      <c r="E2557" s="156" t="inlineStr">
        <is>
          <t>DT Hauling</t>
        </is>
      </c>
      <c r="F2557" s="156" t="inlineStr">
        <is>
          <t>Hauling Coal ke Jetty</t>
        </is>
      </c>
      <c r="G2557" s="182" t="n">
        <v>5.12</v>
      </c>
      <c r="H2557" s="182" t="n">
        <v>0</v>
      </c>
      <c r="I2557" s="182" t="n">
        <v>0</v>
      </c>
      <c r="J2557" s="182" t="n">
        <v>0</v>
      </c>
      <c r="K2557" s="182" t="n">
        <v>6.88</v>
      </c>
      <c r="L2557" s="182" t="n">
        <v>12</v>
      </c>
      <c r="M2557" s="182" t="n">
        <v>0</v>
      </c>
      <c r="N2557" s="182" t="n">
        <v>0</v>
      </c>
      <c r="O2557" s="183" t="n">
        <v>0</v>
      </c>
      <c r="P2557" s="183" t="n">
        <v>0</v>
      </c>
      <c r="Q2557" s="184" t="n">
        <v>0</v>
      </c>
      <c r="R2557" s="184" t="n">
        <v>0</v>
      </c>
      <c r="S2557" s="183" t="n">
        <v>0</v>
      </c>
      <c r="T2557" s="183" t="n">
        <v>0</v>
      </c>
      <c r="U2557" s="182" t="n">
        <v>0</v>
      </c>
      <c r="V2557" s="182" t="n">
        <v>0</v>
      </c>
      <c r="W2557" s="182" t="n">
        <v>0</v>
      </c>
      <c r="X2557" s="182" t="n">
        <v>1.01</v>
      </c>
      <c r="Y2557" s="182" t="n">
        <v>0</v>
      </c>
      <c r="Z2557" s="182" t="n">
        <v>0</v>
      </c>
      <c r="AA2557" s="182" t="n">
        <v>0</v>
      </c>
      <c r="AB2557" s="182" t="n">
        <v>0</v>
      </c>
      <c r="AC2557" s="182" t="n">
        <v>0</v>
      </c>
      <c r="AD2557" s="182" t="n">
        <v>0</v>
      </c>
      <c r="AE2557" s="182" t="n">
        <v>0</v>
      </c>
      <c r="AF2557" s="182" t="n">
        <v>0</v>
      </c>
      <c r="AG2557" s="182" t="n">
        <v>0</v>
      </c>
      <c r="AH2557" s="182" t="n">
        <v>0</v>
      </c>
      <c r="AI2557" s="182" t="n">
        <v>0</v>
      </c>
      <c r="AJ2557" s="182" t="n">
        <v>0</v>
      </c>
      <c r="AK2557" s="182" t="n">
        <v>5.79</v>
      </c>
      <c r="AL2557" s="182" t="n">
        <v>0</v>
      </c>
      <c r="AM2557" s="182" t="n">
        <v>0.08</v>
      </c>
      <c r="AN2557" s="182" t="n">
        <v>0</v>
      </c>
    </row>
    <row r="2558">
      <c r="A2558" s="155" t="n">
        <v>46093</v>
      </c>
      <c r="B2558" s="156" t="inlineStr">
        <is>
          <t>NS</t>
        </is>
      </c>
      <c r="C2558" s="156" t="inlineStr">
        <is>
          <t>HT-413</t>
        </is>
      </c>
      <c r="D2558" s="156" t="inlineStr">
        <is>
          <t>SY430</t>
        </is>
      </c>
      <c r="E2558" s="156" t="inlineStr">
        <is>
          <t>DT Hauling</t>
        </is>
      </c>
      <c r="F2558" s="156" t="inlineStr"/>
      <c r="G2558" s="182" t="n">
        <v>0</v>
      </c>
      <c r="H2558" s="182" t="n">
        <v>0</v>
      </c>
      <c r="I2558" s="182" t="n">
        <v>12</v>
      </c>
      <c r="J2558" s="182" t="n">
        <v>12</v>
      </c>
      <c r="K2558" s="182" t="n">
        <v>0</v>
      </c>
      <c r="L2558" s="182" t="n">
        <v>12</v>
      </c>
      <c r="M2558" s="182" t="n">
        <v>0</v>
      </c>
      <c r="N2558" s="182" t="n">
        <v>0</v>
      </c>
      <c r="O2558" s="183" t="n">
        <v>0</v>
      </c>
      <c r="P2558" s="183" t="n">
        <v>0</v>
      </c>
      <c r="Q2558" s="184" t="n">
        <v>0</v>
      </c>
      <c r="R2558" s="184" t="n">
        <v>0</v>
      </c>
      <c r="S2558" s="183" t="n">
        <v>0</v>
      </c>
      <c r="T2558" s="183" t="n">
        <v>0</v>
      </c>
      <c r="U2558" s="182" t="n">
        <v>0</v>
      </c>
      <c r="V2558" s="182" t="n">
        <v>0</v>
      </c>
      <c r="W2558" s="182" t="n">
        <v>0</v>
      </c>
      <c r="X2558" s="182" t="n">
        <v>0</v>
      </c>
      <c r="Y2558" s="182" t="n">
        <v>0</v>
      </c>
      <c r="Z2558" s="182" t="n">
        <v>0</v>
      </c>
      <c r="AA2558" s="182" t="n">
        <v>0</v>
      </c>
      <c r="AB2558" s="182" t="n">
        <v>0</v>
      </c>
      <c r="AC2558" s="182" t="n">
        <v>0</v>
      </c>
      <c r="AD2558" s="182" t="n">
        <v>0</v>
      </c>
      <c r="AE2558" s="182" t="n">
        <v>0</v>
      </c>
      <c r="AF2558" s="182" t="n">
        <v>0</v>
      </c>
      <c r="AG2558" s="182" t="n">
        <v>0</v>
      </c>
      <c r="AH2558" s="182" t="n">
        <v>0</v>
      </c>
      <c r="AI2558" s="182" t="n">
        <v>0</v>
      </c>
      <c r="AJ2558" s="182" t="n">
        <v>0</v>
      </c>
      <c r="AK2558" s="182" t="n">
        <v>0</v>
      </c>
      <c r="AL2558" s="182" t="n">
        <v>0</v>
      </c>
      <c r="AM2558" s="182" t="n">
        <v>0</v>
      </c>
      <c r="AN2558" s="182" t="n">
        <v>0</v>
      </c>
    </row>
    <row r="2559">
      <c r="A2559" s="155" t="n">
        <v>46093</v>
      </c>
      <c r="B2559" s="156" t="inlineStr">
        <is>
          <t>NS</t>
        </is>
      </c>
      <c r="C2559" s="156" t="inlineStr">
        <is>
          <t>HT-407</t>
        </is>
      </c>
      <c r="D2559" s="156" t="inlineStr">
        <is>
          <t>SY430</t>
        </is>
      </c>
      <c r="E2559" s="156" t="inlineStr">
        <is>
          <t>DT Hauling</t>
        </is>
      </c>
      <c r="F2559" s="156" t="inlineStr">
        <is>
          <t>Hauling Coal ke Jetty</t>
        </is>
      </c>
      <c r="G2559" s="182" t="n">
        <v>9.81</v>
      </c>
      <c r="H2559" s="182" t="n">
        <v>0</v>
      </c>
      <c r="I2559" s="182" t="n">
        <v>1.75</v>
      </c>
      <c r="J2559" s="182" t="n">
        <v>1.75</v>
      </c>
      <c r="K2559" s="182" t="n">
        <v>0.44</v>
      </c>
      <c r="L2559" s="182" t="n">
        <v>12</v>
      </c>
      <c r="M2559" s="182" t="n">
        <v>0</v>
      </c>
      <c r="N2559" s="182" t="n">
        <v>0</v>
      </c>
      <c r="O2559" s="183" t="n">
        <v>0</v>
      </c>
      <c r="P2559" s="183" t="n">
        <v>0</v>
      </c>
      <c r="Q2559" s="184" t="n">
        <v>0</v>
      </c>
      <c r="R2559" s="184" t="n">
        <v>0</v>
      </c>
      <c r="S2559" s="183" t="n">
        <v>0</v>
      </c>
      <c r="T2559" s="183" t="n">
        <v>0</v>
      </c>
      <c r="U2559" s="182" t="n">
        <v>0</v>
      </c>
      <c r="V2559" s="182" t="n">
        <v>0</v>
      </c>
      <c r="W2559" s="182" t="n">
        <v>0</v>
      </c>
      <c r="X2559" s="182" t="n">
        <v>0.21</v>
      </c>
      <c r="Y2559" s="182" t="n">
        <v>0</v>
      </c>
      <c r="Z2559" s="182" t="n">
        <v>0</v>
      </c>
      <c r="AA2559" s="182" t="n">
        <v>0</v>
      </c>
      <c r="AB2559" s="182" t="n">
        <v>0</v>
      </c>
      <c r="AC2559" s="182" t="n">
        <v>0</v>
      </c>
      <c r="AD2559" s="182" t="n">
        <v>0</v>
      </c>
      <c r="AE2559" s="182" t="n">
        <v>0</v>
      </c>
      <c r="AF2559" s="182" t="n">
        <v>0</v>
      </c>
      <c r="AG2559" s="182" t="n">
        <v>0</v>
      </c>
      <c r="AH2559" s="182" t="n">
        <v>0</v>
      </c>
      <c r="AI2559" s="182" t="n">
        <v>0</v>
      </c>
      <c r="AJ2559" s="182" t="n">
        <v>0</v>
      </c>
      <c r="AK2559" s="182" t="n">
        <v>0</v>
      </c>
      <c r="AL2559" s="182" t="n">
        <v>0</v>
      </c>
      <c r="AM2559" s="182" t="n">
        <v>0.23</v>
      </c>
      <c r="AN2559" s="182" t="n">
        <v>0</v>
      </c>
    </row>
    <row r="2560">
      <c r="A2560" s="155" t="n">
        <v>46093</v>
      </c>
      <c r="B2560" s="156" t="inlineStr">
        <is>
          <t>NS</t>
        </is>
      </c>
      <c r="C2560" s="156" t="inlineStr">
        <is>
          <t>HT-414</t>
        </is>
      </c>
      <c r="D2560" s="156" t="inlineStr">
        <is>
          <t>SY430</t>
        </is>
      </c>
      <c r="E2560" s="156" t="inlineStr">
        <is>
          <t>DT Hauling</t>
        </is>
      </c>
      <c r="F2560" s="156" t="inlineStr">
        <is>
          <t>Hauling Coal ke Jetty</t>
        </is>
      </c>
      <c r="G2560" s="182" t="n">
        <v>6.52</v>
      </c>
      <c r="H2560" s="182" t="n">
        <v>0</v>
      </c>
      <c r="I2560" s="182" t="n">
        <v>0</v>
      </c>
      <c r="J2560" s="182" t="n">
        <v>0</v>
      </c>
      <c r="K2560" s="182" t="n">
        <v>5.48</v>
      </c>
      <c r="L2560" s="182" t="n">
        <v>12</v>
      </c>
      <c r="M2560" s="182" t="n">
        <v>0</v>
      </c>
      <c r="N2560" s="182" t="n">
        <v>0</v>
      </c>
      <c r="O2560" s="183" t="n">
        <v>0</v>
      </c>
      <c r="P2560" s="183" t="n">
        <v>0</v>
      </c>
      <c r="Q2560" s="184" t="n">
        <v>0</v>
      </c>
      <c r="R2560" s="184" t="n">
        <v>0</v>
      </c>
      <c r="S2560" s="183" t="n">
        <v>0</v>
      </c>
      <c r="T2560" s="183" t="n">
        <v>0</v>
      </c>
      <c r="U2560" s="182" t="n">
        <v>0</v>
      </c>
      <c r="V2560" s="182" t="n">
        <v>0</v>
      </c>
      <c r="W2560" s="182" t="n">
        <v>0</v>
      </c>
      <c r="X2560" s="182" t="n">
        <v>0.98</v>
      </c>
      <c r="Y2560" s="182" t="n">
        <v>0</v>
      </c>
      <c r="Z2560" s="182" t="n">
        <v>0</v>
      </c>
      <c r="AA2560" s="182" t="n">
        <v>0</v>
      </c>
      <c r="AB2560" s="182" t="n">
        <v>0</v>
      </c>
      <c r="AC2560" s="182" t="n">
        <v>0</v>
      </c>
      <c r="AD2560" s="182" t="n">
        <v>0</v>
      </c>
      <c r="AE2560" s="182" t="n">
        <v>0</v>
      </c>
      <c r="AF2560" s="182" t="n">
        <v>0</v>
      </c>
      <c r="AG2560" s="182" t="n">
        <v>0</v>
      </c>
      <c r="AH2560" s="182" t="n">
        <v>0</v>
      </c>
      <c r="AI2560" s="182" t="n">
        <v>0</v>
      </c>
      <c r="AJ2560" s="182" t="n">
        <v>0</v>
      </c>
      <c r="AK2560" s="182" t="n">
        <v>4.42</v>
      </c>
      <c r="AL2560" s="182" t="n">
        <v>0</v>
      </c>
      <c r="AM2560" s="182" t="n">
        <v>0.08</v>
      </c>
      <c r="AN2560" s="182" t="n">
        <v>0</v>
      </c>
    </row>
    <row r="2561">
      <c r="A2561" s="155" t="n">
        <v>46093</v>
      </c>
      <c r="B2561" s="156" t="inlineStr">
        <is>
          <t>NS</t>
        </is>
      </c>
      <c r="C2561" s="156" t="inlineStr">
        <is>
          <t>HT-411</t>
        </is>
      </c>
      <c r="D2561" s="156" t="inlineStr">
        <is>
          <t>SY430</t>
        </is>
      </c>
      <c r="E2561" s="156" t="inlineStr">
        <is>
          <t>DT Hauling</t>
        </is>
      </c>
      <c r="F2561" s="156" t="inlineStr">
        <is>
          <t>Hauling Coal ke Jetty</t>
        </is>
      </c>
      <c r="G2561" s="182" t="n">
        <v>10.29</v>
      </c>
      <c r="H2561" s="182" t="n">
        <v>0</v>
      </c>
      <c r="I2561" s="182" t="n">
        <v>0</v>
      </c>
      <c r="J2561" s="182" t="n">
        <v>0</v>
      </c>
      <c r="K2561" s="182" t="n">
        <v>1.71</v>
      </c>
      <c r="L2561" s="182" t="n">
        <v>12</v>
      </c>
      <c r="M2561" s="182" t="n">
        <v>0</v>
      </c>
      <c r="N2561" s="182" t="n">
        <v>0</v>
      </c>
      <c r="O2561" s="183" t="n">
        <v>0</v>
      </c>
      <c r="P2561" s="183" t="n">
        <v>0</v>
      </c>
      <c r="Q2561" s="184" t="n">
        <v>0</v>
      </c>
      <c r="R2561" s="184" t="n">
        <v>0</v>
      </c>
      <c r="S2561" s="183" t="n">
        <v>0</v>
      </c>
      <c r="T2561" s="183" t="n">
        <v>0</v>
      </c>
      <c r="U2561" s="182" t="n">
        <v>0</v>
      </c>
      <c r="V2561" s="182" t="n">
        <v>0</v>
      </c>
      <c r="W2561" s="182" t="n">
        <v>0</v>
      </c>
      <c r="X2561" s="182" t="n">
        <v>1.01</v>
      </c>
      <c r="Y2561" s="182" t="n">
        <v>0</v>
      </c>
      <c r="Z2561" s="182" t="n">
        <v>0</v>
      </c>
      <c r="AA2561" s="182" t="n">
        <v>0</v>
      </c>
      <c r="AB2561" s="182" t="n">
        <v>0</v>
      </c>
      <c r="AC2561" s="182" t="n">
        <v>0</v>
      </c>
      <c r="AD2561" s="182" t="n">
        <v>0</v>
      </c>
      <c r="AE2561" s="182" t="n">
        <v>0</v>
      </c>
      <c r="AF2561" s="182" t="n">
        <v>0</v>
      </c>
      <c r="AG2561" s="182" t="n">
        <v>0</v>
      </c>
      <c r="AH2561" s="182" t="n">
        <v>0.62</v>
      </c>
      <c r="AI2561" s="182" t="n">
        <v>0</v>
      </c>
      <c r="AJ2561" s="182" t="n">
        <v>0</v>
      </c>
      <c r="AK2561" s="182" t="n">
        <v>0</v>
      </c>
      <c r="AL2561" s="182" t="n">
        <v>0</v>
      </c>
      <c r="AM2561" s="182" t="n">
        <v>0.08</v>
      </c>
      <c r="AN2561" s="182" t="n">
        <v>0</v>
      </c>
    </row>
    <row r="2562">
      <c r="A2562" s="155" t="n">
        <v>46093</v>
      </c>
      <c r="B2562" s="156" t="inlineStr">
        <is>
          <t>NS</t>
        </is>
      </c>
      <c r="C2562" s="156" t="inlineStr">
        <is>
          <t>HT-409</t>
        </is>
      </c>
      <c r="D2562" s="156" t="inlineStr">
        <is>
          <t>SY430</t>
        </is>
      </c>
      <c r="E2562" s="156" t="inlineStr">
        <is>
          <t>DT Hauling</t>
        </is>
      </c>
      <c r="F2562" s="156" t="inlineStr"/>
      <c r="G2562" s="182" t="n">
        <v>0</v>
      </c>
      <c r="H2562" s="182" t="n">
        <v>0</v>
      </c>
      <c r="I2562" s="182" t="n">
        <v>0</v>
      </c>
      <c r="J2562" s="182" t="n">
        <v>0</v>
      </c>
      <c r="K2562" s="182" t="n">
        <v>12</v>
      </c>
      <c r="L2562" s="182" t="n">
        <v>12</v>
      </c>
      <c r="M2562" s="182" t="n">
        <v>0</v>
      </c>
      <c r="N2562" s="182" t="n">
        <v>0</v>
      </c>
      <c r="O2562" s="183" t="n">
        <v>0</v>
      </c>
      <c r="P2562" s="183" t="n">
        <v>0</v>
      </c>
      <c r="Q2562" s="184" t="n">
        <v>0</v>
      </c>
      <c r="R2562" s="184" t="n">
        <v>0</v>
      </c>
      <c r="S2562" s="183" t="n">
        <v>0</v>
      </c>
      <c r="T2562" s="183" t="n">
        <v>0</v>
      </c>
      <c r="U2562" s="182" t="n">
        <v>0</v>
      </c>
      <c r="V2562" s="182" t="n">
        <v>0</v>
      </c>
      <c r="W2562" s="182" t="n">
        <v>0</v>
      </c>
      <c r="X2562" s="182" t="n">
        <v>1</v>
      </c>
      <c r="Y2562" s="182" t="n">
        <v>0</v>
      </c>
      <c r="Z2562" s="182" t="n">
        <v>0</v>
      </c>
      <c r="AA2562" s="182" t="n">
        <v>0</v>
      </c>
      <c r="AB2562" s="182" t="n">
        <v>0</v>
      </c>
      <c r="AC2562" s="182" t="n">
        <v>0</v>
      </c>
      <c r="AD2562" s="182" t="n">
        <v>0</v>
      </c>
      <c r="AE2562" s="182" t="n">
        <v>0</v>
      </c>
      <c r="AF2562" s="182" t="n">
        <v>0</v>
      </c>
      <c r="AG2562" s="182" t="n">
        <v>0</v>
      </c>
      <c r="AH2562" s="182" t="n">
        <v>0</v>
      </c>
      <c r="AI2562" s="182" t="n">
        <v>0</v>
      </c>
      <c r="AJ2562" s="182" t="n">
        <v>0</v>
      </c>
      <c r="AK2562" s="182" t="n">
        <v>10.92</v>
      </c>
      <c r="AL2562" s="182" t="n">
        <v>0</v>
      </c>
      <c r="AM2562" s="182" t="n">
        <v>0.08</v>
      </c>
      <c r="AN2562" s="182" t="n">
        <v>0</v>
      </c>
    </row>
    <row r="2563">
      <c r="A2563" s="155" t="n">
        <v>46093</v>
      </c>
      <c r="B2563" s="156" t="inlineStr">
        <is>
          <t>NS</t>
        </is>
      </c>
      <c r="C2563" s="156" t="inlineStr">
        <is>
          <t>DH-103</t>
        </is>
      </c>
      <c r="D2563" s="156" t="inlineStr">
        <is>
          <t>HINO FM260</t>
        </is>
      </c>
      <c r="E2563" s="156" t="inlineStr">
        <is>
          <t>DT Hino</t>
        </is>
      </c>
      <c r="F2563" s="156" t="inlineStr"/>
      <c r="G2563" s="182" t="n">
        <v>0</v>
      </c>
      <c r="H2563" s="182" t="n">
        <v>0</v>
      </c>
      <c r="I2563" s="182" t="n">
        <v>12</v>
      </c>
      <c r="J2563" s="182" t="n">
        <v>12</v>
      </c>
      <c r="K2563" s="182" t="n">
        <v>0</v>
      </c>
      <c r="L2563" s="182" t="n">
        <v>12</v>
      </c>
      <c r="M2563" s="182" t="n">
        <v>0</v>
      </c>
      <c r="N2563" s="182" t="n">
        <v>0</v>
      </c>
      <c r="O2563" s="183" t="n">
        <v>0</v>
      </c>
      <c r="P2563" s="183" t="n">
        <v>0</v>
      </c>
      <c r="Q2563" s="184" t="n">
        <v>0</v>
      </c>
      <c r="R2563" s="184" t="n">
        <v>0</v>
      </c>
      <c r="S2563" s="183" t="n">
        <v>0</v>
      </c>
      <c r="T2563" s="183" t="n">
        <v>0</v>
      </c>
      <c r="U2563" s="182" t="n">
        <v>0</v>
      </c>
      <c r="V2563" s="182" t="n">
        <v>0</v>
      </c>
      <c r="W2563" s="182" t="n">
        <v>0</v>
      </c>
      <c r="X2563" s="182" t="n">
        <v>0</v>
      </c>
      <c r="Y2563" s="182" t="n">
        <v>0</v>
      </c>
      <c r="Z2563" s="182" t="n">
        <v>0</v>
      </c>
      <c r="AA2563" s="182" t="n">
        <v>0</v>
      </c>
      <c r="AB2563" s="182" t="n">
        <v>0</v>
      </c>
      <c r="AC2563" s="182" t="n">
        <v>0</v>
      </c>
      <c r="AD2563" s="182" t="n">
        <v>0</v>
      </c>
      <c r="AE2563" s="182" t="n">
        <v>0</v>
      </c>
      <c r="AF2563" s="182" t="n">
        <v>0</v>
      </c>
      <c r="AG2563" s="182" t="n">
        <v>0</v>
      </c>
      <c r="AH2563" s="182" t="n">
        <v>0</v>
      </c>
      <c r="AI2563" s="182" t="n">
        <v>0</v>
      </c>
      <c r="AJ2563" s="182" t="n">
        <v>0</v>
      </c>
      <c r="AK2563" s="182" t="n">
        <v>0</v>
      </c>
      <c r="AL2563" s="182" t="n">
        <v>0</v>
      </c>
      <c r="AM2563" s="182" t="n">
        <v>0</v>
      </c>
      <c r="AN2563" s="182" t="n">
        <v>0</v>
      </c>
    </row>
    <row r="2564">
      <c r="A2564" s="155" t="n">
        <v>46093</v>
      </c>
      <c r="B2564" s="156" t="inlineStr">
        <is>
          <t>NS</t>
        </is>
      </c>
      <c r="C2564" s="156" t="inlineStr">
        <is>
          <t>DH-102</t>
        </is>
      </c>
      <c r="D2564" s="156" t="inlineStr">
        <is>
          <t>HINO FM260</t>
        </is>
      </c>
      <c r="E2564" s="156" t="inlineStr">
        <is>
          <t>DT Hino</t>
        </is>
      </c>
      <c r="F2564" s="156" t="inlineStr"/>
      <c r="G2564" s="182" t="n">
        <v>0</v>
      </c>
      <c r="H2564" s="182" t="n">
        <v>0</v>
      </c>
      <c r="I2564" s="182" t="n">
        <v>0</v>
      </c>
      <c r="J2564" s="182" t="n">
        <v>0</v>
      </c>
      <c r="K2564" s="182" t="n">
        <v>12</v>
      </c>
      <c r="L2564" s="182" t="n">
        <v>12</v>
      </c>
      <c r="M2564" s="182" t="n">
        <v>0</v>
      </c>
      <c r="N2564" s="182" t="n">
        <v>0</v>
      </c>
      <c r="O2564" s="183" t="n">
        <v>0</v>
      </c>
      <c r="P2564" s="183" t="n">
        <v>0</v>
      </c>
      <c r="Q2564" s="184" t="n">
        <v>0</v>
      </c>
      <c r="R2564" s="184" t="n">
        <v>0</v>
      </c>
      <c r="S2564" s="183" t="n">
        <v>0</v>
      </c>
      <c r="T2564" s="183" t="n">
        <v>0</v>
      </c>
      <c r="U2564" s="182" t="n">
        <v>0</v>
      </c>
      <c r="V2564" s="182" t="n">
        <v>0</v>
      </c>
      <c r="W2564" s="182" t="n">
        <v>0</v>
      </c>
      <c r="X2564" s="182" t="n">
        <v>1</v>
      </c>
      <c r="Y2564" s="182" t="n">
        <v>0</v>
      </c>
      <c r="Z2564" s="182" t="n">
        <v>0</v>
      </c>
      <c r="AA2564" s="182" t="n">
        <v>0</v>
      </c>
      <c r="AB2564" s="182" t="n">
        <v>0</v>
      </c>
      <c r="AC2564" s="182" t="n">
        <v>0</v>
      </c>
      <c r="AD2564" s="182" t="n">
        <v>0</v>
      </c>
      <c r="AE2564" s="182" t="n">
        <v>0</v>
      </c>
      <c r="AF2564" s="182" t="n">
        <v>0</v>
      </c>
      <c r="AG2564" s="182" t="n">
        <v>0</v>
      </c>
      <c r="AH2564" s="182" t="n">
        <v>0</v>
      </c>
      <c r="AI2564" s="182" t="n">
        <v>0</v>
      </c>
      <c r="AJ2564" s="182" t="n">
        <v>0</v>
      </c>
      <c r="AK2564" s="182" t="n">
        <v>10.92</v>
      </c>
      <c r="AL2564" s="182" t="n">
        <v>0</v>
      </c>
      <c r="AM2564" s="182" t="n">
        <v>0.08</v>
      </c>
      <c r="AN2564" s="182" t="n">
        <v>0</v>
      </c>
    </row>
    <row r="2565">
      <c r="A2565" s="155" t="n">
        <v>46093</v>
      </c>
      <c r="B2565" s="156" t="inlineStr">
        <is>
          <t>NS</t>
        </is>
      </c>
      <c r="C2565" s="156" t="inlineStr">
        <is>
          <t>DH-101</t>
        </is>
      </c>
      <c r="D2565" s="156" t="inlineStr">
        <is>
          <t>HINO FM260</t>
        </is>
      </c>
      <c r="E2565" s="156" t="inlineStr">
        <is>
          <t>DT Hino</t>
        </is>
      </c>
      <c r="F2565" s="156" t="inlineStr"/>
      <c r="G2565" s="182" t="n">
        <v>0</v>
      </c>
      <c r="H2565" s="182" t="n">
        <v>0</v>
      </c>
      <c r="I2565" s="182" t="n">
        <v>0</v>
      </c>
      <c r="J2565" s="182" t="n">
        <v>0</v>
      </c>
      <c r="K2565" s="182" t="n">
        <v>12</v>
      </c>
      <c r="L2565" s="182" t="n">
        <v>12</v>
      </c>
      <c r="M2565" s="182" t="n">
        <v>0</v>
      </c>
      <c r="N2565" s="182" t="n">
        <v>0</v>
      </c>
      <c r="O2565" s="183" t="n">
        <v>0</v>
      </c>
      <c r="P2565" s="183" t="n">
        <v>0</v>
      </c>
      <c r="Q2565" s="184" t="n">
        <v>0</v>
      </c>
      <c r="R2565" s="184" t="n">
        <v>0</v>
      </c>
      <c r="S2565" s="183" t="n">
        <v>0</v>
      </c>
      <c r="T2565" s="183" t="n">
        <v>0</v>
      </c>
      <c r="U2565" s="182" t="n">
        <v>0</v>
      </c>
      <c r="V2565" s="182" t="n">
        <v>0</v>
      </c>
      <c r="W2565" s="182" t="n">
        <v>0</v>
      </c>
      <c r="X2565" s="182" t="n">
        <v>1</v>
      </c>
      <c r="Y2565" s="182" t="n">
        <v>0</v>
      </c>
      <c r="Z2565" s="182" t="n">
        <v>0</v>
      </c>
      <c r="AA2565" s="182" t="n">
        <v>0</v>
      </c>
      <c r="AB2565" s="182" t="n">
        <v>0</v>
      </c>
      <c r="AC2565" s="182" t="n">
        <v>0</v>
      </c>
      <c r="AD2565" s="182" t="n">
        <v>0</v>
      </c>
      <c r="AE2565" s="182" t="n">
        <v>0</v>
      </c>
      <c r="AF2565" s="182" t="n">
        <v>0</v>
      </c>
      <c r="AG2565" s="182" t="n">
        <v>0</v>
      </c>
      <c r="AH2565" s="182" t="n">
        <v>0</v>
      </c>
      <c r="AI2565" s="182" t="n">
        <v>0</v>
      </c>
      <c r="AJ2565" s="182" t="n">
        <v>0</v>
      </c>
      <c r="AK2565" s="182" t="n">
        <v>10.92</v>
      </c>
      <c r="AL2565" s="182" t="n">
        <v>0</v>
      </c>
      <c r="AM2565" s="182" t="n">
        <v>0.08</v>
      </c>
      <c r="AN2565" s="182" t="n">
        <v>0</v>
      </c>
    </row>
    <row r="2566">
      <c r="A2566" s="155" t="n">
        <v>46093</v>
      </c>
      <c r="B2566" s="156" t="inlineStr">
        <is>
          <t>NS</t>
        </is>
      </c>
      <c r="C2566" s="156" t="inlineStr">
        <is>
          <t>EX-1251</t>
        </is>
      </c>
      <c r="D2566" s="156" t="inlineStr">
        <is>
          <t>SY1250</t>
        </is>
      </c>
      <c r="E2566" s="156" t="inlineStr">
        <is>
          <t>Excavator</t>
        </is>
      </c>
      <c r="F2566" s="156" t="inlineStr">
        <is>
          <t>Loading OB</t>
        </is>
      </c>
      <c r="G2566" s="182" t="n">
        <v>9.130000000000001</v>
      </c>
      <c r="H2566" s="182" t="n">
        <v>0</v>
      </c>
      <c r="I2566" s="182" t="n">
        <v>0</v>
      </c>
      <c r="J2566" s="182" t="n">
        <v>0</v>
      </c>
      <c r="K2566" s="182" t="n">
        <v>2.87</v>
      </c>
      <c r="L2566" s="182" t="n">
        <v>12</v>
      </c>
      <c r="M2566" s="182" t="n">
        <v>7.73</v>
      </c>
      <c r="N2566" s="182" t="n">
        <v>0</v>
      </c>
      <c r="O2566" s="183" t="n">
        <v>161</v>
      </c>
      <c r="P2566" s="183" t="n">
        <v>0</v>
      </c>
      <c r="Q2566" s="184" t="n">
        <v>3284.4</v>
      </c>
      <c r="R2566" s="184" t="n">
        <v>0</v>
      </c>
      <c r="S2566" s="183" t="n">
        <v>0</v>
      </c>
      <c r="T2566" s="183" t="n">
        <v>0</v>
      </c>
      <c r="U2566" s="182" t="n">
        <v>0</v>
      </c>
      <c r="V2566" s="182" t="n">
        <v>1.86</v>
      </c>
      <c r="W2566" s="182" t="n">
        <v>0</v>
      </c>
      <c r="X2566" s="182" t="n">
        <v>0.93</v>
      </c>
      <c r="Y2566" s="182" t="n">
        <v>0</v>
      </c>
      <c r="Z2566" s="182" t="n">
        <v>0</v>
      </c>
      <c r="AA2566" s="182" t="n">
        <v>0</v>
      </c>
      <c r="AB2566" s="182" t="n">
        <v>0</v>
      </c>
      <c r="AC2566" s="182" t="n">
        <v>0</v>
      </c>
      <c r="AD2566" s="182" t="n">
        <v>0</v>
      </c>
      <c r="AE2566" s="182" t="n">
        <v>0</v>
      </c>
      <c r="AF2566" s="182" t="n">
        <v>0</v>
      </c>
      <c r="AG2566" s="182" t="n">
        <v>0</v>
      </c>
      <c r="AH2566" s="182" t="n">
        <v>0</v>
      </c>
      <c r="AI2566" s="182" t="n">
        <v>0</v>
      </c>
      <c r="AJ2566" s="182" t="n">
        <v>0</v>
      </c>
      <c r="AK2566" s="182" t="n">
        <v>0</v>
      </c>
      <c r="AL2566" s="182" t="n">
        <v>0</v>
      </c>
      <c r="AM2566" s="182" t="n">
        <v>0.07000000000000001</v>
      </c>
      <c r="AN2566" s="182" t="n">
        <v>0</v>
      </c>
    </row>
    <row r="2567">
      <c r="A2567" s="155" t="n">
        <v>46093</v>
      </c>
      <c r="B2567" s="156" t="inlineStr">
        <is>
          <t>NS</t>
        </is>
      </c>
      <c r="C2567" s="156" t="inlineStr">
        <is>
          <t>EX-1252</t>
        </is>
      </c>
      <c r="D2567" s="156" t="inlineStr">
        <is>
          <t>SY1250</t>
        </is>
      </c>
      <c r="E2567" s="156" t="inlineStr">
        <is>
          <t>Excavator</t>
        </is>
      </c>
      <c r="F2567" s="156" t="inlineStr"/>
      <c r="G2567" s="182" t="n">
        <v>0</v>
      </c>
      <c r="H2567" s="182" t="n">
        <v>0</v>
      </c>
      <c r="I2567" s="182" t="n">
        <v>12</v>
      </c>
      <c r="J2567" s="182" t="n">
        <v>12</v>
      </c>
      <c r="K2567" s="182" t="n">
        <v>0</v>
      </c>
      <c r="L2567" s="182" t="n">
        <v>12</v>
      </c>
      <c r="M2567" s="182" t="n">
        <v>0</v>
      </c>
      <c r="N2567" s="182" t="n">
        <v>0</v>
      </c>
      <c r="O2567" s="183" t="n">
        <v>0</v>
      </c>
      <c r="P2567" s="183" t="n">
        <v>0</v>
      </c>
      <c r="Q2567" s="184" t="n">
        <v>0</v>
      </c>
      <c r="R2567" s="184" t="n">
        <v>0</v>
      </c>
      <c r="S2567" s="183" t="n">
        <v>0</v>
      </c>
      <c r="T2567" s="183" t="n">
        <v>0</v>
      </c>
      <c r="U2567" s="182" t="n">
        <v>0</v>
      </c>
      <c r="V2567" s="182" t="n">
        <v>0</v>
      </c>
      <c r="W2567" s="182" t="n">
        <v>0</v>
      </c>
      <c r="X2567" s="182" t="n">
        <v>0</v>
      </c>
      <c r="Y2567" s="182" t="n">
        <v>0</v>
      </c>
      <c r="Z2567" s="182" t="n">
        <v>0</v>
      </c>
      <c r="AA2567" s="182" t="n">
        <v>0</v>
      </c>
      <c r="AB2567" s="182" t="n">
        <v>0</v>
      </c>
      <c r="AC2567" s="182" t="n">
        <v>0</v>
      </c>
      <c r="AD2567" s="182" t="n">
        <v>0</v>
      </c>
      <c r="AE2567" s="182" t="n">
        <v>0</v>
      </c>
      <c r="AF2567" s="182" t="n">
        <v>0</v>
      </c>
      <c r="AG2567" s="182" t="n">
        <v>0</v>
      </c>
      <c r="AH2567" s="182" t="n">
        <v>0</v>
      </c>
      <c r="AI2567" s="182" t="n">
        <v>0</v>
      </c>
      <c r="AJ2567" s="182" t="n">
        <v>0</v>
      </c>
      <c r="AK2567" s="182" t="n">
        <v>0</v>
      </c>
      <c r="AL2567" s="182" t="n">
        <v>0</v>
      </c>
      <c r="AM2567" s="182" t="n">
        <v>0</v>
      </c>
      <c r="AN2567" s="182" t="n">
        <v>0</v>
      </c>
    </row>
    <row r="2568">
      <c r="A2568" s="155" t="n">
        <v>46093</v>
      </c>
      <c r="B2568" s="156" t="inlineStr">
        <is>
          <t>NS</t>
        </is>
      </c>
      <c r="C2568" s="156" t="inlineStr">
        <is>
          <t>EX-2101</t>
        </is>
      </c>
      <c r="D2568" s="156" t="inlineStr">
        <is>
          <t>SY2000</t>
        </is>
      </c>
      <c r="E2568" s="156" t="inlineStr">
        <is>
          <t>Excavator</t>
        </is>
      </c>
      <c r="F2568" s="156" t="inlineStr"/>
      <c r="G2568" s="182" t="n">
        <v>0</v>
      </c>
      <c r="H2568" s="182" t="n">
        <v>0</v>
      </c>
      <c r="I2568" s="182" t="n">
        <v>12</v>
      </c>
      <c r="J2568" s="182" t="n">
        <v>12</v>
      </c>
      <c r="K2568" s="182" t="n">
        <v>0</v>
      </c>
      <c r="L2568" s="182" t="n">
        <v>12</v>
      </c>
      <c r="M2568" s="182" t="n">
        <v>0</v>
      </c>
      <c r="N2568" s="182" t="n">
        <v>0</v>
      </c>
      <c r="O2568" s="183" t="n">
        <v>0</v>
      </c>
      <c r="P2568" s="183" t="n">
        <v>0</v>
      </c>
      <c r="Q2568" s="184" t="n">
        <v>0</v>
      </c>
      <c r="R2568" s="184" t="n">
        <v>0</v>
      </c>
      <c r="S2568" s="183" t="n">
        <v>0</v>
      </c>
      <c r="T2568" s="183" t="n">
        <v>0</v>
      </c>
      <c r="U2568" s="182" t="n">
        <v>0</v>
      </c>
      <c r="V2568" s="182" t="n">
        <v>0</v>
      </c>
      <c r="W2568" s="182" t="n">
        <v>0</v>
      </c>
      <c r="X2568" s="182" t="n">
        <v>0</v>
      </c>
      <c r="Y2568" s="182" t="n">
        <v>0</v>
      </c>
      <c r="Z2568" s="182" t="n">
        <v>0</v>
      </c>
      <c r="AA2568" s="182" t="n">
        <v>0</v>
      </c>
      <c r="AB2568" s="182" t="n">
        <v>0</v>
      </c>
      <c r="AC2568" s="182" t="n">
        <v>0</v>
      </c>
      <c r="AD2568" s="182" t="n">
        <v>0</v>
      </c>
      <c r="AE2568" s="182" t="n">
        <v>0</v>
      </c>
      <c r="AF2568" s="182" t="n">
        <v>0</v>
      </c>
      <c r="AG2568" s="182" t="n">
        <v>0</v>
      </c>
      <c r="AH2568" s="182" t="n">
        <v>0</v>
      </c>
      <c r="AI2568" s="182" t="n">
        <v>0</v>
      </c>
      <c r="AJ2568" s="182" t="n">
        <v>0</v>
      </c>
      <c r="AK2568" s="182" t="n">
        <v>0</v>
      </c>
      <c r="AL2568" s="182" t="n">
        <v>0</v>
      </c>
      <c r="AM2568" s="182" t="n">
        <v>0</v>
      </c>
      <c r="AN2568" s="182" t="n">
        <v>0</v>
      </c>
    </row>
    <row r="2569">
      <c r="A2569" s="155" t="n">
        <v>46093</v>
      </c>
      <c r="B2569" s="156" t="inlineStr">
        <is>
          <t>NS</t>
        </is>
      </c>
      <c r="C2569" s="156" t="inlineStr">
        <is>
          <t>EX-222</t>
        </is>
      </c>
      <c r="D2569" s="156" t="inlineStr">
        <is>
          <t>PC 200-8MI</t>
        </is>
      </c>
      <c r="E2569" s="156" t="inlineStr">
        <is>
          <t>Excavator</t>
        </is>
      </c>
      <c r="F2569" s="156" t="inlineStr">
        <is>
          <t>Support Washing Plant</t>
        </is>
      </c>
      <c r="G2569" s="182" t="n">
        <v>6.22</v>
      </c>
      <c r="H2569" s="182" t="n">
        <v>0</v>
      </c>
      <c r="I2569" s="182" t="n">
        <v>0.25</v>
      </c>
      <c r="J2569" s="182" t="n">
        <v>0.25</v>
      </c>
      <c r="K2569" s="182" t="n">
        <v>5.53</v>
      </c>
      <c r="L2569" s="182" t="n">
        <v>12</v>
      </c>
      <c r="M2569" s="182" t="n">
        <v>0</v>
      </c>
      <c r="N2569" s="182" t="n">
        <v>0</v>
      </c>
      <c r="O2569" s="183" t="n">
        <v>0</v>
      </c>
      <c r="P2569" s="183" t="n">
        <v>0</v>
      </c>
      <c r="Q2569" s="184" t="n">
        <v>0</v>
      </c>
      <c r="R2569" s="184" t="n">
        <v>0</v>
      </c>
      <c r="S2569" s="183" t="n">
        <v>0</v>
      </c>
      <c r="T2569" s="183" t="n">
        <v>0</v>
      </c>
      <c r="U2569" s="182" t="n">
        <v>0</v>
      </c>
      <c r="V2569" s="182" t="n">
        <v>0</v>
      </c>
      <c r="W2569" s="182" t="n">
        <v>0</v>
      </c>
      <c r="X2569" s="182" t="n">
        <v>1.05</v>
      </c>
      <c r="Y2569" s="182" t="n">
        <v>0</v>
      </c>
      <c r="Z2569" s="182" t="n">
        <v>0</v>
      </c>
      <c r="AA2569" s="182" t="n">
        <v>0</v>
      </c>
      <c r="AB2569" s="182" t="n">
        <v>0</v>
      </c>
      <c r="AC2569" s="182" t="n">
        <v>0</v>
      </c>
      <c r="AD2569" s="182" t="n">
        <v>0</v>
      </c>
      <c r="AE2569" s="182" t="n">
        <v>0</v>
      </c>
      <c r="AF2569" s="182" t="n">
        <v>0</v>
      </c>
      <c r="AG2569" s="182" t="n">
        <v>0</v>
      </c>
      <c r="AH2569" s="182" t="n">
        <v>0</v>
      </c>
      <c r="AI2569" s="182" t="n">
        <v>0</v>
      </c>
      <c r="AJ2569" s="182" t="n">
        <v>0</v>
      </c>
      <c r="AK2569" s="182" t="n">
        <v>4.39</v>
      </c>
      <c r="AL2569" s="182" t="n">
        <v>0</v>
      </c>
      <c r="AM2569" s="182" t="n">
        <v>0.08</v>
      </c>
      <c r="AN2569" s="182" t="n">
        <v>0</v>
      </c>
    </row>
    <row r="2570">
      <c r="A2570" s="155" t="n">
        <v>46093</v>
      </c>
      <c r="B2570" s="156" t="inlineStr">
        <is>
          <t>NS</t>
        </is>
      </c>
      <c r="C2570" s="156" t="inlineStr">
        <is>
          <t>EX-225</t>
        </is>
      </c>
      <c r="D2570" s="156" t="inlineStr">
        <is>
          <t>PC 200-8</t>
        </is>
      </c>
      <c r="E2570" s="156" t="inlineStr">
        <is>
          <t>Excavator</t>
        </is>
      </c>
      <c r="F2570" s="156" t="inlineStr"/>
      <c r="G2570" s="182" t="n">
        <v>0</v>
      </c>
      <c r="H2570" s="182" t="n">
        <v>0</v>
      </c>
      <c r="I2570" s="182" t="n">
        <v>12</v>
      </c>
      <c r="J2570" s="182" t="n">
        <v>12</v>
      </c>
      <c r="K2570" s="182" t="n">
        <v>0</v>
      </c>
      <c r="L2570" s="182" t="n">
        <v>12</v>
      </c>
      <c r="M2570" s="182" t="n">
        <v>0</v>
      </c>
      <c r="N2570" s="182" t="n">
        <v>0</v>
      </c>
      <c r="O2570" s="183" t="n">
        <v>0</v>
      </c>
      <c r="P2570" s="183" t="n">
        <v>0</v>
      </c>
      <c r="Q2570" s="184" t="n">
        <v>0</v>
      </c>
      <c r="R2570" s="184" t="n">
        <v>0</v>
      </c>
      <c r="S2570" s="183" t="n">
        <v>0</v>
      </c>
      <c r="T2570" s="183" t="n">
        <v>0</v>
      </c>
      <c r="U2570" s="182" t="n">
        <v>0</v>
      </c>
      <c r="V2570" s="182" t="n">
        <v>0</v>
      </c>
      <c r="W2570" s="182" t="n">
        <v>0</v>
      </c>
      <c r="X2570" s="182" t="n">
        <v>0</v>
      </c>
      <c r="Y2570" s="182" t="n">
        <v>0</v>
      </c>
      <c r="Z2570" s="182" t="n">
        <v>0</v>
      </c>
      <c r="AA2570" s="182" t="n">
        <v>0</v>
      </c>
      <c r="AB2570" s="182" t="n">
        <v>0</v>
      </c>
      <c r="AC2570" s="182" t="n">
        <v>0</v>
      </c>
      <c r="AD2570" s="182" t="n">
        <v>0</v>
      </c>
      <c r="AE2570" s="182" t="n">
        <v>0</v>
      </c>
      <c r="AF2570" s="182" t="n">
        <v>0</v>
      </c>
      <c r="AG2570" s="182" t="n">
        <v>0</v>
      </c>
      <c r="AH2570" s="182" t="n">
        <v>0</v>
      </c>
      <c r="AI2570" s="182" t="n">
        <v>0</v>
      </c>
      <c r="AJ2570" s="182" t="n">
        <v>0</v>
      </c>
      <c r="AK2570" s="182" t="n">
        <v>0</v>
      </c>
      <c r="AL2570" s="182" t="n">
        <v>0</v>
      </c>
      <c r="AM2570" s="182" t="n">
        <v>0</v>
      </c>
      <c r="AN2570" s="182" t="n">
        <v>0</v>
      </c>
    </row>
    <row r="2571">
      <c r="A2571" s="155" t="n">
        <v>46093</v>
      </c>
      <c r="B2571" s="156" t="inlineStr">
        <is>
          <t>NS</t>
        </is>
      </c>
      <c r="C2571" s="156" t="inlineStr">
        <is>
          <t>EX-223</t>
        </is>
      </c>
      <c r="D2571" s="156" t="inlineStr">
        <is>
          <t>PC 200-8MI</t>
        </is>
      </c>
      <c r="E2571" s="156" t="inlineStr">
        <is>
          <t>Excavator</t>
        </is>
      </c>
      <c r="F2571" s="156" t="inlineStr">
        <is>
          <t>General</t>
        </is>
      </c>
      <c r="G2571" s="182" t="n">
        <v>9.970000000000001</v>
      </c>
      <c r="H2571" s="182" t="n">
        <v>0</v>
      </c>
      <c r="I2571" s="182" t="n">
        <v>0.25</v>
      </c>
      <c r="J2571" s="182" t="n">
        <v>0.25</v>
      </c>
      <c r="K2571" s="182" t="n">
        <v>1.78</v>
      </c>
      <c r="L2571" s="182" t="n">
        <v>12</v>
      </c>
      <c r="M2571" s="182" t="n">
        <v>0</v>
      </c>
      <c r="N2571" s="182" t="n">
        <v>0</v>
      </c>
      <c r="O2571" s="183" t="n">
        <v>0</v>
      </c>
      <c r="P2571" s="183" t="n">
        <v>0</v>
      </c>
      <c r="Q2571" s="184" t="n">
        <v>0</v>
      </c>
      <c r="R2571" s="184" t="n">
        <v>0</v>
      </c>
      <c r="S2571" s="183" t="n">
        <v>0</v>
      </c>
      <c r="T2571" s="183" t="n">
        <v>0</v>
      </c>
      <c r="U2571" s="182" t="n">
        <v>0</v>
      </c>
      <c r="V2571" s="182" t="n">
        <v>0</v>
      </c>
      <c r="W2571" s="182" t="n">
        <v>0</v>
      </c>
      <c r="X2571" s="182" t="n">
        <v>0.96</v>
      </c>
      <c r="Y2571" s="182" t="n">
        <v>0</v>
      </c>
      <c r="Z2571" s="182" t="n">
        <v>0</v>
      </c>
      <c r="AA2571" s="182" t="n">
        <v>0</v>
      </c>
      <c r="AB2571" s="182" t="n">
        <v>0</v>
      </c>
      <c r="AC2571" s="182" t="n">
        <v>0</v>
      </c>
      <c r="AD2571" s="182" t="n">
        <v>0</v>
      </c>
      <c r="AE2571" s="182" t="n">
        <v>0</v>
      </c>
      <c r="AF2571" s="182" t="n">
        <v>0</v>
      </c>
      <c r="AG2571" s="182" t="n">
        <v>0</v>
      </c>
      <c r="AH2571" s="182" t="n">
        <v>0.74</v>
      </c>
      <c r="AI2571" s="182" t="n">
        <v>0</v>
      </c>
      <c r="AJ2571" s="182" t="n">
        <v>0</v>
      </c>
      <c r="AK2571" s="182" t="n">
        <v>0</v>
      </c>
      <c r="AL2571" s="182" t="n">
        <v>0</v>
      </c>
      <c r="AM2571" s="182" t="n">
        <v>0.08</v>
      </c>
      <c r="AN2571" s="182" t="n">
        <v>0</v>
      </c>
    </row>
    <row r="2572">
      <c r="A2572" s="155" t="n">
        <v>46093</v>
      </c>
      <c r="B2572" s="156" t="inlineStr">
        <is>
          <t>NS</t>
        </is>
      </c>
      <c r="C2572" s="156" t="inlineStr">
        <is>
          <t>EX-221</t>
        </is>
      </c>
      <c r="D2572" s="156" t="inlineStr">
        <is>
          <t>PC 200-8MI</t>
        </is>
      </c>
      <c r="E2572" s="156" t="inlineStr">
        <is>
          <t>Excavator</t>
        </is>
      </c>
      <c r="F2572" s="156" t="inlineStr">
        <is>
          <t>General Jetty</t>
        </is>
      </c>
      <c r="G2572" s="182" t="n">
        <v>9.800000000000001</v>
      </c>
      <c r="H2572" s="182" t="n">
        <v>0</v>
      </c>
      <c r="I2572" s="182" t="n">
        <v>0</v>
      </c>
      <c r="J2572" s="182" t="n">
        <v>0</v>
      </c>
      <c r="K2572" s="182" t="n">
        <v>2.2</v>
      </c>
      <c r="L2572" s="182" t="n">
        <v>12</v>
      </c>
      <c r="M2572" s="182" t="n">
        <v>0</v>
      </c>
      <c r="N2572" s="182" t="n">
        <v>0</v>
      </c>
      <c r="O2572" s="183" t="n">
        <v>0</v>
      </c>
      <c r="P2572" s="183" t="n">
        <v>0</v>
      </c>
      <c r="Q2572" s="184" t="n">
        <v>0</v>
      </c>
      <c r="R2572" s="184" t="n">
        <v>0</v>
      </c>
      <c r="S2572" s="183" t="n">
        <v>0</v>
      </c>
      <c r="T2572" s="183" t="n">
        <v>0</v>
      </c>
      <c r="U2572" s="182" t="n">
        <v>0</v>
      </c>
      <c r="V2572" s="182" t="n">
        <v>0</v>
      </c>
      <c r="W2572" s="182" t="n">
        <v>0</v>
      </c>
      <c r="X2572" s="182" t="n">
        <v>0.85</v>
      </c>
      <c r="Y2572" s="182" t="n">
        <v>0</v>
      </c>
      <c r="Z2572" s="182" t="n">
        <v>0</v>
      </c>
      <c r="AA2572" s="182" t="n">
        <v>0</v>
      </c>
      <c r="AB2572" s="182" t="n">
        <v>0</v>
      </c>
      <c r="AC2572" s="182" t="n">
        <v>0</v>
      </c>
      <c r="AD2572" s="182" t="n">
        <v>0</v>
      </c>
      <c r="AE2572" s="182" t="n">
        <v>0</v>
      </c>
      <c r="AF2572" s="182" t="n">
        <v>0</v>
      </c>
      <c r="AG2572" s="182" t="n">
        <v>0</v>
      </c>
      <c r="AH2572" s="182" t="n">
        <v>0</v>
      </c>
      <c r="AI2572" s="182" t="n">
        <v>0</v>
      </c>
      <c r="AJ2572" s="182" t="n">
        <v>0</v>
      </c>
      <c r="AK2572" s="182" t="n">
        <v>1.29</v>
      </c>
      <c r="AL2572" s="182" t="n">
        <v>0</v>
      </c>
      <c r="AM2572" s="182" t="n">
        <v>0.07000000000000001</v>
      </c>
      <c r="AN2572" s="182" t="n">
        <v>0</v>
      </c>
    </row>
    <row r="2573">
      <c r="A2573" s="155" t="n">
        <v>46093</v>
      </c>
      <c r="B2573" s="156" t="inlineStr">
        <is>
          <t>NS</t>
        </is>
      </c>
      <c r="C2573" s="156" t="inlineStr">
        <is>
          <t>EX-331</t>
        </is>
      </c>
      <c r="D2573" s="156" t="inlineStr">
        <is>
          <t>PC 300-8MO</t>
        </is>
      </c>
      <c r="E2573" s="156" t="inlineStr">
        <is>
          <t>Excavator</t>
        </is>
      </c>
      <c r="F2573" s="156" t="inlineStr"/>
      <c r="G2573" s="182" t="n">
        <v>0</v>
      </c>
      <c r="H2573" s="182" t="n">
        <v>0</v>
      </c>
      <c r="I2573" s="182" t="n">
        <v>12</v>
      </c>
      <c r="J2573" s="182" t="n">
        <v>12</v>
      </c>
      <c r="K2573" s="182" t="n">
        <v>0</v>
      </c>
      <c r="L2573" s="182" t="n">
        <v>12</v>
      </c>
      <c r="M2573" s="182" t="n">
        <v>0</v>
      </c>
      <c r="N2573" s="182" t="n">
        <v>0</v>
      </c>
      <c r="O2573" s="183" t="n">
        <v>0</v>
      </c>
      <c r="P2573" s="183" t="n">
        <v>0</v>
      </c>
      <c r="Q2573" s="184" t="n">
        <v>0</v>
      </c>
      <c r="R2573" s="184" t="n">
        <v>0</v>
      </c>
      <c r="S2573" s="183" t="n">
        <v>0</v>
      </c>
      <c r="T2573" s="183" t="n">
        <v>0</v>
      </c>
      <c r="U2573" s="182" t="n">
        <v>0</v>
      </c>
      <c r="V2573" s="182" t="n">
        <v>0</v>
      </c>
      <c r="W2573" s="182" t="n">
        <v>0</v>
      </c>
      <c r="X2573" s="182" t="n">
        <v>0</v>
      </c>
      <c r="Y2573" s="182" t="n">
        <v>0</v>
      </c>
      <c r="Z2573" s="182" t="n">
        <v>0</v>
      </c>
      <c r="AA2573" s="182" t="n">
        <v>0</v>
      </c>
      <c r="AB2573" s="182" t="n">
        <v>0</v>
      </c>
      <c r="AC2573" s="182" t="n">
        <v>0</v>
      </c>
      <c r="AD2573" s="182" t="n">
        <v>0</v>
      </c>
      <c r="AE2573" s="182" t="n">
        <v>0</v>
      </c>
      <c r="AF2573" s="182" t="n">
        <v>0</v>
      </c>
      <c r="AG2573" s="182" t="n">
        <v>0</v>
      </c>
      <c r="AH2573" s="182" t="n">
        <v>0</v>
      </c>
      <c r="AI2573" s="182" t="n">
        <v>0</v>
      </c>
      <c r="AJ2573" s="182" t="n">
        <v>0</v>
      </c>
      <c r="AK2573" s="182" t="n">
        <v>0</v>
      </c>
      <c r="AL2573" s="182" t="n">
        <v>0</v>
      </c>
      <c r="AM2573" s="182" t="n">
        <v>0</v>
      </c>
      <c r="AN2573" s="182" t="n">
        <v>0</v>
      </c>
    </row>
    <row r="2574">
      <c r="A2574" s="155" t="n">
        <v>46093</v>
      </c>
      <c r="B2574" s="156" t="inlineStr">
        <is>
          <t>NS</t>
        </is>
      </c>
      <c r="C2574" s="156" t="inlineStr">
        <is>
          <t>EX-334</t>
        </is>
      </c>
      <c r="D2574" s="156" t="inlineStr">
        <is>
          <t>PC 300-8MO</t>
        </is>
      </c>
      <c r="E2574" s="156" t="inlineStr">
        <is>
          <t>Excavator</t>
        </is>
      </c>
      <c r="F2574" s="156" t="inlineStr">
        <is>
          <t>Support ROM</t>
        </is>
      </c>
      <c r="G2574" s="182" t="n">
        <v>10.88</v>
      </c>
      <c r="H2574" s="182" t="n">
        <v>0</v>
      </c>
      <c r="I2574" s="182" t="n">
        <v>0</v>
      </c>
      <c r="J2574" s="182" t="n">
        <v>0</v>
      </c>
      <c r="K2574" s="182" t="n">
        <v>1.12</v>
      </c>
      <c r="L2574" s="182" t="n">
        <v>12</v>
      </c>
      <c r="M2574" s="182" t="n">
        <v>0</v>
      </c>
      <c r="N2574" s="182" t="n">
        <v>0</v>
      </c>
      <c r="O2574" s="183" t="n">
        <v>0</v>
      </c>
      <c r="P2574" s="183" t="n">
        <v>0</v>
      </c>
      <c r="Q2574" s="184" t="n">
        <v>0</v>
      </c>
      <c r="R2574" s="184" t="n">
        <v>0</v>
      </c>
      <c r="S2574" s="183" t="n">
        <v>0</v>
      </c>
      <c r="T2574" s="183" t="n">
        <v>0</v>
      </c>
      <c r="U2574" s="182" t="n">
        <v>0</v>
      </c>
      <c r="V2574" s="182" t="n">
        <v>0</v>
      </c>
      <c r="W2574" s="182" t="n">
        <v>0</v>
      </c>
      <c r="X2574" s="182" t="n">
        <v>0.8</v>
      </c>
      <c r="Y2574" s="182" t="n">
        <v>0</v>
      </c>
      <c r="Z2574" s="182" t="n">
        <v>0</v>
      </c>
      <c r="AA2574" s="182" t="n">
        <v>0</v>
      </c>
      <c r="AB2574" s="182" t="n">
        <v>0</v>
      </c>
      <c r="AC2574" s="182" t="n">
        <v>0</v>
      </c>
      <c r="AD2574" s="182" t="n">
        <v>0</v>
      </c>
      <c r="AE2574" s="182" t="n">
        <v>0</v>
      </c>
      <c r="AF2574" s="182" t="n">
        <v>0</v>
      </c>
      <c r="AG2574" s="182" t="n">
        <v>0</v>
      </c>
      <c r="AH2574" s="182" t="n">
        <v>0.26</v>
      </c>
      <c r="AI2574" s="182" t="n">
        <v>0</v>
      </c>
      <c r="AJ2574" s="182" t="n">
        <v>0</v>
      </c>
      <c r="AK2574" s="182" t="n">
        <v>0</v>
      </c>
      <c r="AL2574" s="182" t="n">
        <v>0</v>
      </c>
      <c r="AM2574" s="182" t="n">
        <v>0.06</v>
      </c>
      <c r="AN2574" s="182" t="n">
        <v>0</v>
      </c>
    </row>
    <row r="2575">
      <c r="A2575" s="155" t="n">
        <v>46093</v>
      </c>
      <c r="B2575" s="156" t="inlineStr">
        <is>
          <t>NS</t>
        </is>
      </c>
      <c r="C2575" s="156" t="inlineStr">
        <is>
          <t>EX-332</t>
        </is>
      </c>
      <c r="D2575" s="156" t="inlineStr">
        <is>
          <t>PC 300-8MO</t>
        </is>
      </c>
      <c r="E2575" s="156" t="inlineStr">
        <is>
          <t>Excavator</t>
        </is>
      </c>
      <c r="F2575" s="156" t="inlineStr"/>
      <c r="G2575" s="182" t="n">
        <v>0</v>
      </c>
      <c r="H2575" s="182" t="n">
        <v>0</v>
      </c>
      <c r="I2575" s="182" t="n">
        <v>12</v>
      </c>
      <c r="J2575" s="182" t="n">
        <v>12</v>
      </c>
      <c r="K2575" s="182" t="n">
        <v>0</v>
      </c>
      <c r="L2575" s="182" t="n">
        <v>12</v>
      </c>
      <c r="M2575" s="182" t="n">
        <v>0</v>
      </c>
      <c r="N2575" s="182" t="n">
        <v>0</v>
      </c>
      <c r="O2575" s="183" t="n">
        <v>0</v>
      </c>
      <c r="P2575" s="183" t="n">
        <v>0</v>
      </c>
      <c r="Q2575" s="184" t="n">
        <v>0</v>
      </c>
      <c r="R2575" s="184" t="n">
        <v>0</v>
      </c>
      <c r="S2575" s="183" t="n">
        <v>0</v>
      </c>
      <c r="T2575" s="183" t="n">
        <v>0</v>
      </c>
      <c r="U2575" s="182" t="n">
        <v>0</v>
      </c>
      <c r="V2575" s="182" t="n">
        <v>0</v>
      </c>
      <c r="W2575" s="182" t="n">
        <v>0</v>
      </c>
      <c r="X2575" s="182" t="n">
        <v>0</v>
      </c>
      <c r="Y2575" s="182" t="n">
        <v>0</v>
      </c>
      <c r="Z2575" s="182" t="n">
        <v>0</v>
      </c>
      <c r="AA2575" s="182" t="n">
        <v>0</v>
      </c>
      <c r="AB2575" s="182" t="n">
        <v>0</v>
      </c>
      <c r="AC2575" s="182" t="n">
        <v>0</v>
      </c>
      <c r="AD2575" s="182" t="n">
        <v>0</v>
      </c>
      <c r="AE2575" s="182" t="n">
        <v>0</v>
      </c>
      <c r="AF2575" s="182" t="n">
        <v>0</v>
      </c>
      <c r="AG2575" s="182" t="n">
        <v>0</v>
      </c>
      <c r="AH2575" s="182" t="n">
        <v>0</v>
      </c>
      <c r="AI2575" s="182" t="n">
        <v>0</v>
      </c>
      <c r="AJ2575" s="182" t="n">
        <v>0</v>
      </c>
      <c r="AK2575" s="182" t="n">
        <v>0</v>
      </c>
      <c r="AL2575" s="182" t="n">
        <v>0</v>
      </c>
      <c r="AM2575" s="182" t="n">
        <v>0</v>
      </c>
      <c r="AN2575" s="182" t="n">
        <v>0</v>
      </c>
    </row>
    <row r="2576">
      <c r="A2576" s="155" t="n">
        <v>46093</v>
      </c>
      <c r="B2576" s="156" t="inlineStr">
        <is>
          <t>NS</t>
        </is>
      </c>
      <c r="C2576" s="156" t="inlineStr">
        <is>
          <t>EX-333</t>
        </is>
      </c>
      <c r="D2576" s="156" t="inlineStr">
        <is>
          <t>PC 300-8MO</t>
        </is>
      </c>
      <c r="E2576" s="156" t="inlineStr">
        <is>
          <t>Excavator</t>
        </is>
      </c>
      <c r="F2576" s="156" t="inlineStr">
        <is>
          <t>Loading &amp; Cleaning Coal</t>
        </is>
      </c>
      <c r="G2576" s="182" t="n">
        <v>9.76</v>
      </c>
      <c r="H2576" s="182" t="n">
        <v>0</v>
      </c>
      <c r="I2576" s="182" t="n">
        <v>0</v>
      </c>
      <c r="J2576" s="182" t="n">
        <v>0</v>
      </c>
      <c r="K2576" s="182" t="n">
        <v>2.24</v>
      </c>
      <c r="L2576" s="182" t="n">
        <v>12</v>
      </c>
      <c r="M2576" s="182" t="n">
        <v>0</v>
      </c>
      <c r="N2576" s="182" t="n">
        <v>3.87</v>
      </c>
      <c r="O2576" s="183" t="n">
        <v>0</v>
      </c>
      <c r="P2576" s="183" t="n">
        <v>20</v>
      </c>
      <c r="Q2576" s="184" t="n">
        <v>0</v>
      </c>
      <c r="R2576" s="184" t="n">
        <v>316.2</v>
      </c>
      <c r="S2576" s="183" t="n">
        <v>0</v>
      </c>
      <c r="T2576" s="183" t="n">
        <v>0</v>
      </c>
      <c r="U2576" s="182" t="n">
        <v>0</v>
      </c>
      <c r="V2576" s="182" t="n">
        <v>0</v>
      </c>
      <c r="W2576" s="182" t="n">
        <v>0</v>
      </c>
      <c r="X2576" s="182" t="n">
        <v>1.18</v>
      </c>
      <c r="Y2576" s="182" t="n">
        <v>0</v>
      </c>
      <c r="Z2576" s="182" t="n">
        <v>0</v>
      </c>
      <c r="AA2576" s="182" t="n">
        <v>0</v>
      </c>
      <c r="AB2576" s="182" t="n">
        <v>0</v>
      </c>
      <c r="AC2576" s="182" t="n">
        <v>0</v>
      </c>
      <c r="AD2576" s="182" t="n">
        <v>0</v>
      </c>
      <c r="AE2576" s="182" t="n">
        <v>0</v>
      </c>
      <c r="AF2576" s="182" t="n">
        <v>0</v>
      </c>
      <c r="AG2576" s="182" t="n">
        <v>0</v>
      </c>
      <c r="AH2576" s="182" t="n">
        <v>0.97</v>
      </c>
      <c r="AI2576" s="182" t="n">
        <v>0</v>
      </c>
      <c r="AJ2576" s="182" t="n">
        <v>0</v>
      </c>
      <c r="AK2576" s="182" t="n">
        <v>0</v>
      </c>
      <c r="AL2576" s="182" t="n">
        <v>0</v>
      </c>
      <c r="AM2576" s="182" t="n">
        <v>0.09</v>
      </c>
      <c r="AN2576" s="182" t="n">
        <v>0</v>
      </c>
    </row>
    <row r="2577">
      <c r="A2577" s="155" t="n">
        <v>46093</v>
      </c>
      <c r="B2577" s="156" t="inlineStr">
        <is>
          <t>NS</t>
        </is>
      </c>
      <c r="C2577" s="156" t="inlineStr">
        <is>
          <t>EX-336</t>
        </is>
      </c>
      <c r="D2577" s="156" t="inlineStr">
        <is>
          <t>PC 300-8MO</t>
        </is>
      </c>
      <c r="E2577" s="156" t="inlineStr">
        <is>
          <t>Excavator</t>
        </is>
      </c>
      <c r="F2577" s="156" t="inlineStr">
        <is>
          <t>Cleaning Coal</t>
        </is>
      </c>
      <c r="G2577" s="182" t="n">
        <v>11</v>
      </c>
      <c r="H2577" s="182" t="n">
        <v>0</v>
      </c>
      <c r="I2577" s="182" t="n">
        <v>0</v>
      </c>
      <c r="J2577" s="182" t="n">
        <v>0</v>
      </c>
      <c r="K2577" s="182" t="n">
        <v>1</v>
      </c>
      <c r="L2577" s="182" t="n">
        <v>12</v>
      </c>
      <c r="M2577" s="182" t="n">
        <v>0</v>
      </c>
      <c r="N2577" s="182" t="n">
        <v>0</v>
      </c>
      <c r="O2577" s="183" t="n">
        <v>0</v>
      </c>
      <c r="P2577" s="183" t="n">
        <v>0</v>
      </c>
      <c r="Q2577" s="184" t="n">
        <v>0</v>
      </c>
      <c r="R2577" s="184" t="n">
        <v>0</v>
      </c>
      <c r="S2577" s="183" t="n">
        <v>0</v>
      </c>
      <c r="T2577" s="183" t="n">
        <v>0</v>
      </c>
      <c r="U2577" s="182" t="n">
        <v>0</v>
      </c>
      <c r="V2577" s="182" t="n">
        <v>0</v>
      </c>
      <c r="W2577" s="182" t="n">
        <v>0</v>
      </c>
      <c r="X2577" s="182" t="n">
        <v>0.92</v>
      </c>
      <c r="Y2577" s="182" t="n">
        <v>0</v>
      </c>
      <c r="Z2577" s="182" t="n">
        <v>0</v>
      </c>
      <c r="AA2577" s="182" t="n">
        <v>0</v>
      </c>
      <c r="AB2577" s="182" t="n">
        <v>0</v>
      </c>
      <c r="AC2577" s="182" t="n">
        <v>0</v>
      </c>
      <c r="AD2577" s="182" t="n">
        <v>0</v>
      </c>
      <c r="AE2577" s="182" t="n">
        <v>0</v>
      </c>
      <c r="AF2577" s="182" t="n">
        <v>0</v>
      </c>
      <c r="AG2577" s="182" t="n">
        <v>0</v>
      </c>
      <c r="AH2577" s="182" t="n">
        <v>0</v>
      </c>
      <c r="AI2577" s="182" t="n">
        <v>0</v>
      </c>
      <c r="AJ2577" s="182" t="n">
        <v>0</v>
      </c>
      <c r="AK2577" s="182" t="n">
        <v>0</v>
      </c>
      <c r="AL2577" s="182" t="n">
        <v>0</v>
      </c>
      <c r="AM2577" s="182" t="n">
        <v>0.08</v>
      </c>
      <c r="AN2577" s="182" t="n">
        <v>0</v>
      </c>
    </row>
    <row r="2578">
      <c r="A2578" s="155" t="n">
        <v>46093</v>
      </c>
      <c r="B2578" s="156" t="inlineStr">
        <is>
          <t>NS</t>
        </is>
      </c>
      <c r="C2578" s="156" t="inlineStr">
        <is>
          <t>EX-335</t>
        </is>
      </c>
      <c r="D2578" s="156" t="inlineStr">
        <is>
          <t>PC 300-8MO</t>
        </is>
      </c>
      <c r="E2578" s="156" t="inlineStr">
        <is>
          <t>Excavator</t>
        </is>
      </c>
      <c r="F2578" s="156" t="inlineStr">
        <is>
          <t>Cleaning Coal</t>
        </is>
      </c>
      <c r="G2578" s="182" t="n">
        <v>10.22</v>
      </c>
      <c r="H2578" s="182" t="n">
        <v>0</v>
      </c>
      <c r="I2578" s="182" t="n">
        <v>0</v>
      </c>
      <c r="J2578" s="182" t="n">
        <v>0</v>
      </c>
      <c r="K2578" s="182" t="n">
        <v>1.78</v>
      </c>
      <c r="L2578" s="182" t="n">
        <v>12</v>
      </c>
      <c r="M2578" s="182" t="n">
        <v>0</v>
      </c>
      <c r="N2578" s="182" t="n">
        <v>0</v>
      </c>
      <c r="O2578" s="183" t="n">
        <v>0</v>
      </c>
      <c r="P2578" s="183" t="n">
        <v>0</v>
      </c>
      <c r="Q2578" s="184" t="n">
        <v>0</v>
      </c>
      <c r="R2578" s="184" t="n">
        <v>0</v>
      </c>
      <c r="S2578" s="183" t="n">
        <v>0</v>
      </c>
      <c r="T2578" s="183" t="n">
        <v>0</v>
      </c>
      <c r="U2578" s="182" t="n">
        <v>0</v>
      </c>
      <c r="V2578" s="182" t="n">
        <v>0</v>
      </c>
      <c r="W2578" s="182" t="n">
        <v>0</v>
      </c>
      <c r="X2578" s="182" t="n">
        <v>1.11</v>
      </c>
      <c r="Y2578" s="182" t="n">
        <v>0</v>
      </c>
      <c r="Z2578" s="182" t="n">
        <v>0</v>
      </c>
      <c r="AA2578" s="182" t="n">
        <v>0</v>
      </c>
      <c r="AB2578" s="182" t="n">
        <v>0</v>
      </c>
      <c r="AC2578" s="182" t="n">
        <v>0</v>
      </c>
      <c r="AD2578" s="182" t="n">
        <v>0</v>
      </c>
      <c r="AE2578" s="182" t="n">
        <v>0</v>
      </c>
      <c r="AF2578" s="182" t="n">
        <v>0</v>
      </c>
      <c r="AG2578" s="182" t="n">
        <v>0</v>
      </c>
      <c r="AH2578" s="182" t="n">
        <v>0.58</v>
      </c>
      <c r="AI2578" s="182" t="n">
        <v>0</v>
      </c>
      <c r="AJ2578" s="182" t="n">
        <v>0</v>
      </c>
      <c r="AK2578" s="182" t="n">
        <v>0</v>
      </c>
      <c r="AL2578" s="182" t="n">
        <v>0</v>
      </c>
      <c r="AM2578" s="182" t="n">
        <v>0.09</v>
      </c>
      <c r="AN2578" s="182" t="n">
        <v>0</v>
      </c>
    </row>
    <row r="2579">
      <c r="A2579" s="155" t="n">
        <v>46093</v>
      </c>
      <c r="B2579" s="156" t="inlineStr">
        <is>
          <t>NS</t>
        </is>
      </c>
      <c r="C2579" s="156" t="inlineStr">
        <is>
          <t>EX-754</t>
        </is>
      </c>
      <c r="D2579" s="156" t="inlineStr">
        <is>
          <t>SY750H-PRO</t>
        </is>
      </c>
      <c r="E2579" s="156" t="inlineStr">
        <is>
          <t>Excavator</t>
        </is>
      </c>
      <c r="F2579" s="156" t="inlineStr">
        <is>
          <t>Loading OB</t>
        </is>
      </c>
      <c r="G2579" s="182" t="n">
        <v>10.59</v>
      </c>
      <c r="H2579" s="182" t="n">
        <v>0</v>
      </c>
      <c r="I2579" s="182" t="n">
        <v>0</v>
      </c>
      <c r="J2579" s="182" t="n">
        <v>0</v>
      </c>
      <c r="K2579" s="182" t="n">
        <v>1.41</v>
      </c>
      <c r="L2579" s="182" t="n">
        <v>12</v>
      </c>
      <c r="M2579" s="182" t="n">
        <v>10.47</v>
      </c>
      <c r="N2579" s="182" t="n">
        <v>0</v>
      </c>
      <c r="O2579" s="183" t="n">
        <v>140</v>
      </c>
      <c r="P2579" s="183" t="n">
        <v>0</v>
      </c>
      <c r="Q2579" s="184" t="n">
        <v>2856</v>
      </c>
      <c r="R2579" s="184" t="n">
        <v>0</v>
      </c>
      <c r="S2579" s="183" t="n">
        <v>0</v>
      </c>
      <c r="T2579" s="183" t="n">
        <v>0</v>
      </c>
      <c r="U2579" s="182" t="n">
        <v>0</v>
      </c>
      <c r="V2579" s="182" t="n">
        <v>0</v>
      </c>
      <c r="W2579" s="182" t="n">
        <v>0</v>
      </c>
      <c r="X2579" s="182" t="n">
        <v>1.01</v>
      </c>
      <c r="Y2579" s="182" t="n">
        <v>0</v>
      </c>
      <c r="Z2579" s="182" t="n">
        <v>0</v>
      </c>
      <c r="AA2579" s="182" t="n">
        <v>0</v>
      </c>
      <c r="AB2579" s="182" t="n">
        <v>0</v>
      </c>
      <c r="AC2579" s="182" t="n">
        <v>0</v>
      </c>
      <c r="AD2579" s="182" t="n">
        <v>0</v>
      </c>
      <c r="AE2579" s="182" t="n">
        <v>0</v>
      </c>
      <c r="AF2579" s="182" t="n">
        <v>0</v>
      </c>
      <c r="AG2579" s="182" t="n">
        <v>0</v>
      </c>
      <c r="AH2579" s="182" t="n">
        <v>0.31</v>
      </c>
      <c r="AI2579" s="182" t="n">
        <v>0</v>
      </c>
      <c r="AJ2579" s="182" t="n">
        <v>0</v>
      </c>
      <c r="AK2579" s="182" t="n">
        <v>0</v>
      </c>
      <c r="AL2579" s="182" t="n">
        <v>0</v>
      </c>
      <c r="AM2579" s="182" t="n">
        <v>0.08</v>
      </c>
      <c r="AN2579" s="182" t="n">
        <v>0</v>
      </c>
    </row>
    <row r="2580">
      <c r="A2580" s="155" t="n">
        <v>46093</v>
      </c>
      <c r="B2580" s="156" t="inlineStr">
        <is>
          <t>NS</t>
        </is>
      </c>
      <c r="C2580" s="156" t="inlineStr">
        <is>
          <t>EX-755</t>
        </is>
      </c>
      <c r="D2580" s="156" t="inlineStr">
        <is>
          <t>SY750H-PRO</t>
        </is>
      </c>
      <c r="E2580" s="156" t="inlineStr">
        <is>
          <t>Excavator</t>
        </is>
      </c>
      <c r="F2580" s="156" t="inlineStr">
        <is>
          <t>Loading OB &amp; Coal</t>
        </is>
      </c>
      <c r="G2580" s="182" t="n">
        <v>10.19</v>
      </c>
      <c r="H2580" s="182" t="n">
        <v>0</v>
      </c>
      <c r="I2580" s="182" t="n">
        <v>0.25</v>
      </c>
      <c r="J2580" s="182" t="n">
        <v>0.25</v>
      </c>
      <c r="K2580" s="182" t="n">
        <v>1.56</v>
      </c>
      <c r="L2580" s="182" t="n">
        <v>12</v>
      </c>
      <c r="M2580" s="182" t="n">
        <v>7.62</v>
      </c>
      <c r="N2580" s="182" t="n">
        <v>2.43</v>
      </c>
      <c r="O2580" s="183" t="n">
        <v>118</v>
      </c>
      <c r="P2580" s="183" t="n">
        <v>35</v>
      </c>
      <c r="Q2580" s="184" t="n">
        <v>2407.2</v>
      </c>
      <c r="R2580" s="184" t="n">
        <v>654.5</v>
      </c>
      <c r="S2580" s="183" t="n">
        <v>0</v>
      </c>
      <c r="T2580" s="183" t="n">
        <v>0</v>
      </c>
      <c r="U2580" s="182" t="n">
        <v>0</v>
      </c>
      <c r="V2580" s="182" t="n">
        <v>0</v>
      </c>
      <c r="W2580" s="182" t="n">
        <v>0</v>
      </c>
      <c r="X2580" s="182" t="n">
        <v>1.25</v>
      </c>
      <c r="Y2580" s="182" t="n">
        <v>0</v>
      </c>
      <c r="Z2580" s="182" t="n">
        <v>0</v>
      </c>
      <c r="AA2580" s="182" t="n">
        <v>0</v>
      </c>
      <c r="AB2580" s="182" t="n">
        <v>0</v>
      </c>
      <c r="AC2580" s="182" t="n">
        <v>0</v>
      </c>
      <c r="AD2580" s="182" t="n">
        <v>0</v>
      </c>
      <c r="AE2580" s="182" t="n">
        <v>0</v>
      </c>
      <c r="AF2580" s="182" t="n">
        <v>0</v>
      </c>
      <c r="AG2580" s="182" t="n">
        <v>0</v>
      </c>
      <c r="AH2580" s="182" t="n">
        <v>0.21</v>
      </c>
      <c r="AI2580" s="182" t="n">
        <v>0</v>
      </c>
      <c r="AJ2580" s="182" t="n">
        <v>0</v>
      </c>
      <c r="AK2580" s="182" t="n">
        <v>0</v>
      </c>
      <c r="AL2580" s="182" t="n">
        <v>0</v>
      </c>
      <c r="AM2580" s="182" t="n">
        <v>0.1</v>
      </c>
      <c r="AN2580" s="182" t="n">
        <v>0</v>
      </c>
    </row>
    <row r="2581">
      <c r="A2581" s="155" t="n">
        <v>46093</v>
      </c>
      <c r="B2581" s="156" t="inlineStr">
        <is>
          <t>NS</t>
        </is>
      </c>
      <c r="C2581" s="156" t="inlineStr">
        <is>
          <t>EX-752</t>
        </is>
      </c>
      <c r="D2581" s="156" t="inlineStr">
        <is>
          <t>SY750H-PRO</t>
        </is>
      </c>
      <c r="E2581" s="156" t="inlineStr">
        <is>
          <t>Excavator</t>
        </is>
      </c>
      <c r="F2581" s="156" t="inlineStr"/>
      <c r="G2581" s="182" t="n">
        <v>0</v>
      </c>
      <c r="H2581" s="182" t="n">
        <v>0</v>
      </c>
      <c r="I2581" s="182" t="n">
        <v>12</v>
      </c>
      <c r="J2581" s="182" t="n">
        <v>12</v>
      </c>
      <c r="K2581" s="182" t="n">
        <v>0</v>
      </c>
      <c r="L2581" s="182" t="n">
        <v>12</v>
      </c>
      <c r="M2581" s="182" t="n">
        <v>0</v>
      </c>
      <c r="N2581" s="182" t="n">
        <v>0</v>
      </c>
      <c r="O2581" s="183" t="n">
        <v>0</v>
      </c>
      <c r="P2581" s="183" t="n">
        <v>0</v>
      </c>
      <c r="Q2581" s="184" t="n">
        <v>0</v>
      </c>
      <c r="R2581" s="184" t="n">
        <v>0</v>
      </c>
      <c r="S2581" s="183" t="n">
        <v>0</v>
      </c>
      <c r="T2581" s="183" t="n">
        <v>0</v>
      </c>
      <c r="U2581" s="182" t="n">
        <v>0</v>
      </c>
      <c r="V2581" s="182" t="n">
        <v>0</v>
      </c>
      <c r="W2581" s="182" t="n">
        <v>0</v>
      </c>
      <c r="X2581" s="182" t="n">
        <v>0</v>
      </c>
      <c r="Y2581" s="182" t="n">
        <v>0</v>
      </c>
      <c r="Z2581" s="182" t="n">
        <v>0</v>
      </c>
      <c r="AA2581" s="182" t="n">
        <v>0</v>
      </c>
      <c r="AB2581" s="182" t="n">
        <v>0</v>
      </c>
      <c r="AC2581" s="182" t="n">
        <v>0</v>
      </c>
      <c r="AD2581" s="182" t="n">
        <v>0</v>
      </c>
      <c r="AE2581" s="182" t="n">
        <v>0</v>
      </c>
      <c r="AF2581" s="182" t="n">
        <v>0</v>
      </c>
      <c r="AG2581" s="182" t="n">
        <v>0</v>
      </c>
      <c r="AH2581" s="182" t="n">
        <v>0</v>
      </c>
      <c r="AI2581" s="182" t="n">
        <v>0</v>
      </c>
      <c r="AJ2581" s="182" t="n">
        <v>0</v>
      </c>
      <c r="AK2581" s="182" t="n">
        <v>0</v>
      </c>
      <c r="AL2581" s="182" t="n">
        <v>0</v>
      </c>
      <c r="AM2581" s="182" t="n">
        <v>0</v>
      </c>
      <c r="AN2581" s="182" t="n">
        <v>0</v>
      </c>
    </row>
    <row r="2582">
      <c r="A2582" s="155" t="n">
        <v>46093</v>
      </c>
      <c r="B2582" s="156" t="inlineStr">
        <is>
          <t>NS</t>
        </is>
      </c>
      <c r="C2582" s="156" t="inlineStr">
        <is>
          <t>EX-751</t>
        </is>
      </c>
      <c r="D2582" s="156" t="inlineStr">
        <is>
          <t>SY750H-PRO</t>
        </is>
      </c>
      <c r="E2582" s="156" t="inlineStr">
        <is>
          <t>Excavator</t>
        </is>
      </c>
      <c r="F2582" s="156" t="inlineStr"/>
      <c r="G2582" s="182" t="n">
        <v>0</v>
      </c>
      <c r="H2582" s="182" t="n">
        <v>0</v>
      </c>
      <c r="I2582" s="182" t="n">
        <v>12</v>
      </c>
      <c r="J2582" s="182" t="n">
        <v>12</v>
      </c>
      <c r="K2582" s="182" t="n">
        <v>0</v>
      </c>
      <c r="L2582" s="182" t="n">
        <v>12</v>
      </c>
      <c r="M2582" s="182" t="n">
        <v>0</v>
      </c>
      <c r="N2582" s="182" t="n">
        <v>0</v>
      </c>
      <c r="O2582" s="183" t="n">
        <v>0</v>
      </c>
      <c r="P2582" s="183" t="n">
        <v>0</v>
      </c>
      <c r="Q2582" s="184" t="n">
        <v>0</v>
      </c>
      <c r="R2582" s="184" t="n">
        <v>0</v>
      </c>
      <c r="S2582" s="183" t="n">
        <v>0</v>
      </c>
      <c r="T2582" s="183" t="n">
        <v>0</v>
      </c>
      <c r="U2582" s="182" t="n">
        <v>0</v>
      </c>
      <c r="V2582" s="182" t="n">
        <v>0</v>
      </c>
      <c r="W2582" s="182" t="n">
        <v>0</v>
      </c>
      <c r="X2582" s="182" t="n">
        <v>0</v>
      </c>
      <c r="Y2582" s="182" t="n">
        <v>0</v>
      </c>
      <c r="Z2582" s="182" t="n">
        <v>0</v>
      </c>
      <c r="AA2582" s="182" t="n">
        <v>0</v>
      </c>
      <c r="AB2582" s="182" t="n">
        <v>0</v>
      </c>
      <c r="AC2582" s="182" t="n">
        <v>0</v>
      </c>
      <c r="AD2582" s="182" t="n">
        <v>0</v>
      </c>
      <c r="AE2582" s="182" t="n">
        <v>0</v>
      </c>
      <c r="AF2582" s="182" t="n">
        <v>0</v>
      </c>
      <c r="AG2582" s="182" t="n">
        <v>0</v>
      </c>
      <c r="AH2582" s="182" t="n">
        <v>0</v>
      </c>
      <c r="AI2582" s="182" t="n">
        <v>0</v>
      </c>
      <c r="AJ2582" s="182" t="n">
        <v>0</v>
      </c>
      <c r="AK2582" s="182" t="n">
        <v>0</v>
      </c>
      <c r="AL2582" s="182" t="n">
        <v>0</v>
      </c>
      <c r="AM2582" s="182" t="n">
        <v>0</v>
      </c>
      <c r="AN2582" s="182" t="n">
        <v>0</v>
      </c>
    </row>
    <row r="2583">
      <c r="A2583" s="155" t="n">
        <v>46093</v>
      </c>
      <c r="B2583" s="156" t="inlineStr">
        <is>
          <t>NS</t>
        </is>
      </c>
      <c r="C2583" s="156" t="inlineStr">
        <is>
          <t>EX-753</t>
        </is>
      </c>
      <c r="D2583" s="156" t="inlineStr">
        <is>
          <t>SY750H-PRO</t>
        </is>
      </c>
      <c r="E2583" s="156" t="inlineStr">
        <is>
          <t>Excavator</t>
        </is>
      </c>
      <c r="F2583" s="156" t="inlineStr">
        <is>
          <t>Loading OB</t>
        </is>
      </c>
      <c r="G2583" s="182" t="n">
        <v>10.21</v>
      </c>
      <c r="H2583" s="182" t="n">
        <v>0</v>
      </c>
      <c r="I2583" s="182" t="n">
        <v>0.17</v>
      </c>
      <c r="J2583" s="182" t="n">
        <v>0.17</v>
      </c>
      <c r="K2583" s="182" t="n">
        <v>1.62</v>
      </c>
      <c r="L2583" s="182" t="n">
        <v>12</v>
      </c>
      <c r="M2583" s="182" t="n">
        <v>10.09</v>
      </c>
      <c r="N2583" s="182" t="n">
        <v>0</v>
      </c>
      <c r="O2583" s="183" t="n">
        <v>148</v>
      </c>
      <c r="P2583" s="183" t="n">
        <v>0</v>
      </c>
      <c r="Q2583" s="184" t="n">
        <v>3019.2</v>
      </c>
      <c r="R2583" s="184" t="n">
        <v>0</v>
      </c>
      <c r="S2583" s="183" t="n">
        <v>0</v>
      </c>
      <c r="T2583" s="183" t="n">
        <v>0</v>
      </c>
      <c r="U2583" s="182" t="n">
        <v>0</v>
      </c>
      <c r="V2583" s="182" t="n">
        <v>0</v>
      </c>
      <c r="W2583" s="182" t="n">
        <v>0</v>
      </c>
      <c r="X2583" s="182" t="n">
        <v>0.91</v>
      </c>
      <c r="Y2583" s="182" t="n">
        <v>0</v>
      </c>
      <c r="Z2583" s="182" t="n">
        <v>0</v>
      </c>
      <c r="AA2583" s="182" t="n">
        <v>0</v>
      </c>
      <c r="AB2583" s="182" t="n">
        <v>0</v>
      </c>
      <c r="AC2583" s="182" t="n">
        <v>0</v>
      </c>
      <c r="AD2583" s="182" t="n">
        <v>0</v>
      </c>
      <c r="AE2583" s="182" t="n">
        <v>0</v>
      </c>
      <c r="AF2583" s="182" t="n">
        <v>0</v>
      </c>
      <c r="AG2583" s="182" t="n">
        <v>0</v>
      </c>
      <c r="AH2583" s="182" t="n">
        <v>0.64</v>
      </c>
      <c r="AI2583" s="182" t="n">
        <v>0</v>
      </c>
      <c r="AJ2583" s="182" t="n">
        <v>0</v>
      </c>
      <c r="AK2583" s="182" t="n">
        <v>0</v>
      </c>
      <c r="AL2583" s="182" t="n">
        <v>0</v>
      </c>
      <c r="AM2583" s="182" t="n">
        <v>0.07000000000000001</v>
      </c>
      <c r="AN2583" s="182" t="n">
        <v>0</v>
      </c>
    </row>
    <row r="2584">
      <c r="A2584" s="155" t="n">
        <v>46093</v>
      </c>
      <c r="B2584" s="156" t="inlineStr">
        <is>
          <t>NS</t>
        </is>
      </c>
      <c r="C2584" s="156" t="inlineStr">
        <is>
          <t>GD-012</t>
        </is>
      </c>
      <c r="D2584" s="156" t="inlineStr">
        <is>
          <t>STG 230C - 8S</t>
        </is>
      </c>
      <c r="E2584" s="156" t="inlineStr">
        <is>
          <t>Grader</t>
        </is>
      </c>
      <c r="F2584" s="156" t="inlineStr"/>
      <c r="G2584" s="182" t="n">
        <v>0</v>
      </c>
      <c r="H2584" s="182" t="n">
        <v>0</v>
      </c>
      <c r="I2584" s="182" t="n">
        <v>0</v>
      </c>
      <c r="J2584" s="182" t="n">
        <v>0</v>
      </c>
      <c r="K2584" s="182" t="n">
        <v>12</v>
      </c>
      <c r="L2584" s="182" t="n">
        <v>12</v>
      </c>
      <c r="M2584" s="182" t="n">
        <v>0</v>
      </c>
      <c r="N2584" s="182" t="n">
        <v>0</v>
      </c>
      <c r="O2584" s="183" t="n">
        <v>0</v>
      </c>
      <c r="P2584" s="183" t="n">
        <v>0</v>
      </c>
      <c r="Q2584" s="184" t="n">
        <v>0</v>
      </c>
      <c r="R2584" s="184" t="n">
        <v>0</v>
      </c>
      <c r="S2584" s="183" t="n">
        <v>0</v>
      </c>
      <c r="T2584" s="183" t="n">
        <v>0</v>
      </c>
      <c r="U2584" s="182" t="n">
        <v>0</v>
      </c>
      <c r="V2584" s="182" t="n">
        <v>0</v>
      </c>
      <c r="W2584" s="182" t="n">
        <v>0</v>
      </c>
      <c r="X2584" s="182" t="n">
        <v>1</v>
      </c>
      <c r="Y2584" s="182" t="n">
        <v>0</v>
      </c>
      <c r="Z2584" s="182" t="n">
        <v>0</v>
      </c>
      <c r="AA2584" s="182" t="n">
        <v>0</v>
      </c>
      <c r="AB2584" s="182" t="n">
        <v>0</v>
      </c>
      <c r="AC2584" s="182" t="n">
        <v>0</v>
      </c>
      <c r="AD2584" s="182" t="n">
        <v>0</v>
      </c>
      <c r="AE2584" s="182" t="n">
        <v>0</v>
      </c>
      <c r="AF2584" s="182" t="n">
        <v>0</v>
      </c>
      <c r="AG2584" s="182" t="n">
        <v>0</v>
      </c>
      <c r="AH2584" s="182" t="n">
        <v>0</v>
      </c>
      <c r="AI2584" s="182" t="n">
        <v>0</v>
      </c>
      <c r="AJ2584" s="182" t="n">
        <v>0</v>
      </c>
      <c r="AK2584" s="182" t="n">
        <v>10.92</v>
      </c>
      <c r="AL2584" s="182" t="n">
        <v>0</v>
      </c>
      <c r="AM2584" s="182" t="n">
        <v>0.08</v>
      </c>
      <c r="AN2584" s="182" t="n">
        <v>0</v>
      </c>
    </row>
    <row r="2585">
      <c r="A2585" s="155" t="n">
        <v>46093</v>
      </c>
      <c r="B2585" s="156" t="inlineStr">
        <is>
          <t>NS</t>
        </is>
      </c>
      <c r="C2585" s="156" t="inlineStr">
        <is>
          <t>GD-011</t>
        </is>
      </c>
      <c r="D2585" s="156" t="inlineStr">
        <is>
          <t>STG 230C - 8S</t>
        </is>
      </c>
      <c r="E2585" s="156" t="inlineStr">
        <is>
          <t>Grader</t>
        </is>
      </c>
      <c r="F2585" s="156" t="inlineStr"/>
      <c r="G2585" s="182" t="n">
        <v>0</v>
      </c>
      <c r="H2585" s="182" t="n">
        <v>0</v>
      </c>
      <c r="I2585" s="182" t="n">
        <v>12</v>
      </c>
      <c r="J2585" s="182" t="n">
        <v>12</v>
      </c>
      <c r="K2585" s="182" t="n">
        <v>0</v>
      </c>
      <c r="L2585" s="182" t="n">
        <v>12</v>
      </c>
      <c r="M2585" s="182" t="n">
        <v>0</v>
      </c>
      <c r="N2585" s="182" t="n">
        <v>0</v>
      </c>
      <c r="O2585" s="183" t="n">
        <v>0</v>
      </c>
      <c r="P2585" s="183" t="n">
        <v>0</v>
      </c>
      <c r="Q2585" s="184" t="n">
        <v>0</v>
      </c>
      <c r="R2585" s="184" t="n">
        <v>0</v>
      </c>
      <c r="S2585" s="183" t="n">
        <v>0</v>
      </c>
      <c r="T2585" s="183" t="n">
        <v>0</v>
      </c>
      <c r="U2585" s="182" t="n">
        <v>0</v>
      </c>
      <c r="V2585" s="182" t="n">
        <v>0</v>
      </c>
      <c r="W2585" s="182" t="n">
        <v>0</v>
      </c>
      <c r="X2585" s="182" t="n">
        <v>0</v>
      </c>
      <c r="Y2585" s="182" t="n">
        <v>0</v>
      </c>
      <c r="Z2585" s="182" t="n">
        <v>0</v>
      </c>
      <c r="AA2585" s="182" t="n">
        <v>0</v>
      </c>
      <c r="AB2585" s="182" t="n">
        <v>0</v>
      </c>
      <c r="AC2585" s="182" t="n">
        <v>0</v>
      </c>
      <c r="AD2585" s="182" t="n">
        <v>0</v>
      </c>
      <c r="AE2585" s="182" t="n">
        <v>0</v>
      </c>
      <c r="AF2585" s="182" t="n">
        <v>0</v>
      </c>
      <c r="AG2585" s="182" t="n">
        <v>0</v>
      </c>
      <c r="AH2585" s="182" t="n">
        <v>0</v>
      </c>
      <c r="AI2585" s="182" t="n">
        <v>0</v>
      </c>
      <c r="AJ2585" s="182" t="n">
        <v>0</v>
      </c>
      <c r="AK2585" s="182" t="n">
        <v>0</v>
      </c>
      <c r="AL2585" s="182" t="n">
        <v>0</v>
      </c>
      <c r="AM2585" s="182" t="n">
        <v>0</v>
      </c>
      <c r="AN2585" s="182" t="n">
        <v>0</v>
      </c>
    </row>
    <row r="2586">
      <c r="A2586" s="155" t="n">
        <v>46093</v>
      </c>
      <c r="B2586" s="156" t="inlineStr">
        <is>
          <t>NS</t>
        </is>
      </c>
      <c r="C2586" s="156" t="inlineStr">
        <is>
          <t>GD-013</t>
        </is>
      </c>
      <c r="D2586" s="156" t="inlineStr">
        <is>
          <t>STG 265C - 10</t>
        </is>
      </c>
      <c r="E2586" s="156" t="inlineStr">
        <is>
          <t>Grader</t>
        </is>
      </c>
      <c r="F2586" s="156" t="inlineStr">
        <is>
          <t>Road Maintenance</t>
        </is>
      </c>
      <c r="G2586" s="182" t="n">
        <v>10.41</v>
      </c>
      <c r="H2586" s="182" t="n">
        <v>0</v>
      </c>
      <c r="I2586" s="182" t="n">
        <v>0</v>
      </c>
      <c r="J2586" s="182" t="n">
        <v>0</v>
      </c>
      <c r="K2586" s="182" t="n">
        <v>1.59</v>
      </c>
      <c r="L2586" s="182" t="n">
        <v>12</v>
      </c>
      <c r="M2586" s="182" t="n">
        <v>0</v>
      </c>
      <c r="N2586" s="182" t="n">
        <v>0</v>
      </c>
      <c r="O2586" s="183" t="n">
        <v>0</v>
      </c>
      <c r="P2586" s="183" t="n">
        <v>0</v>
      </c>
      <c r="Q2586" s="184" t="n">
        <v>0</v>
      </c>
      <c r="R2586" s="184" t="n">
        <v>0</v>
      </c>
      <c r="S2586" s="183" t="n">
        <v>0</v>
      </c>
      <c r="T2586" s="183" t="n">
        <v>0</v>
      </c>
      <c r="U2586" s="182" t="n">
        <v>0</v>
      </c>
      <c r="V2586" s="182" t="n">
        <v>0</v>
      </c>
      <c r="W2586" s="182" t="n">
        <v>0</v>
      </c>
      <c r="X2586" s="182" t="n">
        <v>1.06</v>
      </c>
      <c r="Y2586" s="182" t="n">
        <v>0</v>
      </c>
      <c r="Z2586" s="182" t="n">
        <v>0</v>
      </c>
      <c r="AA2586" s="182" t="n">
        <v>0</v>
      </c>
      <c r="AB2586" s="182" t="n">
        <v>0</v>
      </c>
      <c r="AC2586" s="182" t="n">
        <v>0</v>
      </c>
      <c r="AD2586" s="182" t="n">
        <v>0</v>
      </c>
      <c r="AE2586" s="182" t="n">
        <v>0</v>
      </c>
      <c r="AF2586" s="182" t="n">
        <v>0</v>
      </c>
      <c r="AG2586" s="182" t="n">
        <v>0</v>
      </c>
      <c r="AH2586" s="182" t="n">
        <v>0.45</v>
      </c>
      <c r="AI2586" s="182" t="n">
        <v>0</v>
      </c>
      <c r="AJ2586" s="182" t="n">
        <v>0</v>
      </c>
      <c r="AK2586" s="182" t="n">
        <v>0</v>
      </c>
      <c r="AL2586" s="182" t="n">
        <v>0</v>
      </c>
      <c r="AM2586" s="182" t="n">
        <v>0.08</v>
      </c>
      <c r="AN2586" s="182" t="n">
        <v>0</v>
      </c>
    </row>
    <row r="2587">
      <c r="A2587" s="155" t="n">
        <v>46093</v>
      </c>
      <c r="B2587" s="156" t="inlineStr">
        <is>
          <t>NS</t>
        </is>
      </c>
      <c r="C2587" s="156" t="inlineStr">
        <is>
          <t>GD-014</t>
        </is>
      </c>
      <c r="D2587" s="156" t="inlineStr">
        <is>
          <t>STG 335C - 10</t>
        </is>
      </c>
      <c r="E2587" s="156" t="inlineStr">
        <is>
          <t>Grader</t>
        </is>
      </c>
      <c r="F2587" s="156" t="inlineStr">
        <is>
          <t>Road Maintenance</t>
        </is>
      </c>
      <c r="G2587" s="182" t="n">
        <v>10.1</v>
      </c>
      <c r="H2587" s="182" t="n">
        <v>0</v>
      </c>
      <c r="I2587" s="182" t="n">
        <v>0</v>
      </c>
      <c r="J2587" s="182" t="n">
        <v>0</v>
      </c>
      <c r="K2587" s="182" t="n">
        <v>1.9</v>
      </c>
      <c r="L2587" s="182" t="n">
        <v>12</v>
      </c>
      <c r="M2587" s="182" t="n">
        <v>0</v>
      </c>
      <c r="N2587" s="182" t="n">
        <v>0</v>
      </c>
      <c r="O2587" s="183" t="n">
        <v>0</v>
      </c>
      <c r="P2587" s="183" t="n">
        <v>0</v>
      </c>
      <c r="Q2587" s="184" t="n">
        <v>0</v>
      </c>
      <c r="R2587" s="184" t="n">
        <v>0</v>
      </c>
      <c r="S2587" s="183" t="n">
        <v>0</v>
      </c>
      <c r="T2587" s="183" t="n">
        <v>0</v>
      </c>
      <c r="U2587" s="182" t="n">
        <v>0</v>
      </c>
      <c r="V2587" s="182" t="n">
        <v>0</v>
      </c>
      <c r="W2587" s="182" t="n">
        <v>0</v>
      </c>
      <c r="X2587" s="182" t="n">
        <v>1</v>
      </c>
      <c r="Y2587" s="182" t="n">
        <v>0</v>
      </c>
      <c r="Z2587" s="182" t="n">
        <v>0</v>
      </c>
      <c r="AA2587" s="182" t="n">
        <v>0</v>
      </c>
      <c r="AB2587" s="182" t="n">
        <v>0</v>
      </c>
      <c r="AC2587" s="182" t="n">
        <v>0</v>
      </c>
      <c r="AD2587" s="182" t="n">
        <v>0</v>
      </c>
      <c r="AE2587" s="182" t="n">
        <v>0</v>
      </c>
      <c r="AF2587" s="182" t="n">
        <v>0</v>
      </c>
      <c r="AG2587" s="182" t="n">
        <v>0</v>
      </c>
      <c r="AH2587" s="182" t="n">
        <v>0.82</v>
      </c>
      <c r="AI2587" s="182" t="n">
        <v>0</v>
      </c>
      <c r="AJ2587" s="182" t="n">
        <v>0</v>
      </c>
      <c r="AK2587" s="182" t="n">
        <v>0</v>
      </c>
      <c r="AL2587" s="182" t="n">
        <v>0</v>
      </c>
      <c r="AM2587" s="182" t="n">
        <v>0.08</v>
      </c>
      <c r="AN2587" s="182" t="n">
        <v>0</v>
      </c>
    </row>
    <row r="2588">
      <c r="A2588" s="155" t="n">
        <v>46093</v>
      </c>
      <c r="B2588" s="156" t="inlineStr">
        <is>
          <t>NS</t>
        </is>
      </c>
      <c r="C2588" s="156" t="inlineStr">
        <is>
          <t>DT-809</t>
        </is>
      </c>
      <c r="D2588" s="156" t="inlineStr">
        <is>
          <t>SKT 80S</t>
        </is>
      </c>
      <c r="E2588" s="156" t="inlineStr">
        <is>
          <t>Hauler</t>
        </is>
      </c>
      <c r="F2588" s="156" t="inlineStr"/>
      <c r="G2588" s="182" t="n">
        <v>0</v>
      </c>
      <c r="H2588" s="182" t="n">
        <v>0</v>
      </c>
      <c r="I2588" s="182" t="n">
        <v>0</v>
      </c>
      <c r="J2588" s="182" t="n">
        <v>0</v>
      </c>
      <c r="K2588" s="182" t="n">
        <v>12</v>
      </c>
      <c r="L2588" s="182" t="n">
        <v>12</v>
      </c>
      <c r="M2588" s="182" t="n">
        <v>0</v>
      </c>
      <c r="N2588" s="182" t="n">
        <v>0</v>
      </c>
      <c r="O2588" s="183" t="n">
        <v>0</v>
      </c>
      <c r="P2588" s="183" t="n">
        <v>0</v>
      </c>
      <c r="Q2588" s="184" t="n">
        <v>0</v>
      </c>
      <c r="R2588" s="184" t="n">
        <v>0</v>
      </c>
      <c r="S2588" s="183" t="n">
        <v>0</v>
      </c>
      <c r="T2588" s="183" t="n">
        <v>0</v>
      </c>
      <c r="U2588" s="182" t="n">
        <v>0</v>
      </c>
      <c r="V2588" s="182" t="n">
        <v>0</v>
      </c>
      <c r="W2588" s="182" t="n">
        <v>0</v>
      </c>
      <c r="X2588" s="182" t="n">
        <v>1</v>
      </c>
      <c r="Y2588" s="182" t="n">
        <v>0</v>
      </c>
      <c r="Z2588" s="182" t="n">
        <v>0</v>
      </c>
      <c r="AA2588" s="182" t="n">
        <v>0</v>
      </c>
      <c r="AB2588" s="182" t="n">
        <v>0</v>
      </c>
      <c r="AC2588" s="182" t="n">
        <v>0</v>
      </c>
      <c r="AD2588" s="182" t="n">
        <v>0</v>
      </c>
      <c r="AE2588" s="182" t="n">
        <v>0</v>
      </c>
      <c r="AF2588" s="182" t="n">
        <v>0</v>
      </c>
      <c r="AG2588" s="182" t="n">
        <v>0</v>
      </c>
      <c r="AH2588" s="182" t="n">
        <v>0</v>
      </c>
      <c r="AI2588" s="182" t="n">
        <v>0</v>
      </c>
      <c r="AJ2588" s="182" t="n">
        <v>0</v>
      </c>
      <c r="AK2588" s="182" t="n">
        <v>10.92</v>
      </c>
      <c r="AL2588" s="182" t="n">
        <v>0</v>
      </c>
      <c r="AM2588" s="182" t="n">
        <v>0.08</v>
      </c>
      <c r="AN2588" s="182" t="n">
        <v>0</v>
      </c>
    </row>
    <row r="2589">
      <c r="A2589" s="155" t="n">
        <v>46093</v>
      </c>
      <c r="B2589" s="156" t="inlineStr">
        <is>
          <t>NS</t>
        </is>
      </c>
      <c r="C2589" s="156" t="inlineStr">
        <is>
          <t>DT-806</t>
        </is>
      </c>
      <c r="D2589" s="156" t="inlineStr">
        <is>
          <t>SKT 80S</t>
        </is>
      </c>
      <c r="E2589" s="156" t="inlineStr">
        <is>
          <t>Hauler</t>
        </is>
      </c>
      <c r="F2589" s="156" t="inlineStr"/>
      <c r="G2589" s="182" t="n">
        <v>0</v>
      </c>
      <c r="H2589" s="182" t="n">
        <v>0</v>
      </c>
      <c r="I2589" s="182" t="n">
        <v>0</v>
      </c>
      <c r="J2589" s="182" t="n">
        <v>0</v>
      </c>
      <c r="K2589" s="182" t="n">
        <v>12</v>
      </c>
      <c r="L2589" s="182" t="n">
        <v>12</v>
      </c>
      <c r="M2589" s="182" t="n">
        <v>0</v>
      </c>
      <c r="N2589" s="182" t="n">
        <v>0</v>
      </c>
      <c r="O2589" s="183" t="n">
        <v>0</v>
      </c>
      <c r="P2589" s="183" t="n">
        <v>0</v>
      </c>
      <c r="Q2589" s="184" t="n">
        <v>0</v>
      </c>
      <c r="R2589" s="184" t="n">
        <v>0</v>
      </c>
      <c r="S2589" s="183" t="n">
        <v>0</v>
      </c>
      <c r="T2589" s="183" t="n">
        <v>0</v>
      </c>
      <c r="U2589" s="182" t="n">
        <v>0</v>
      </c>
      <c r="V2589" s="182" t="n">
        <v>0</v>
      </c>
      <c r="W2589" s="182" t="n">
        <v>0</v>
      </c>
      <c r="X2589" s="182" t="n">
        <v>1</v>
      </c>
      <c r="Y2589" s="182" t="n">
        <v>0</v>
      </c>
      <c r="Z2589" s="182" t="n">
        <v>0</v>
      </c>
      <c r="AA2589" s="182" t="n">
        <v>0</v>
      </c>
      <c r="AB2589" s="182" t="n">
        <v>0</v>
      </c>
      <c r="AC2589" s="182" t="n">
        <v>0</v>
      </c>
      <c r="AD2589" s="182" t="n">
        <v>0</v>
      </c>
      <c r="AE2589" s="182" t="n">
        <v>0</v>
      </c>
      <c r="AF2589" s="182" t="n">
        <v>0</v>
      </c>
      <c r="AG2589" s="182" t="n">
        <v>0</v>
      </c>
      <c r="AH2589" s="182" t="n">
        <v>0</v>
      </c>
      <c r="AI2589" s="182" t="n">
        <v>0</v>
      </c>
      <c r="AJ2589" s="182" t="n">
        <v>0</v>
      </c>
      <c r="AK2589" s="182" t="n">
        <v>10.92</v>
      </c>
      <c r="AL2589" s="182" t="n">
        <v>0</v>
      </c>
      <c r="AM2589" s="182" t="n">
        <v>0.08</v>
      </c>
      <c r="AN2589" s="182" t="n">
        <v>0</v>
      </c>
    </row>
    <row r="2590">
      <c r="A2590" s="155" t="n">
        <v>46093</v>
      </c>
      <c r="B2590" s="156" t="inlineStr">
        <is>
          <t>NS</t>
        </is>
      </c>
      <c r="C2590" s="156" t="inlineStr">
        <is>
          <t>DT-805</t>
        </is>
      </c>
      <c r="D2590" s="156" t="inlineStr">
        <is>
          <t>SKT 80S</t>
        </is>
      </c>
      <c r="E2590" s="156" t="inlineStr">
        <is>
          <t>Hauler</t>
        </is>
      </c>
      <c r="F2590" s="156" t="inlineStr"/>
      <c r="G2590" s="182" t="n">
        <v>0</v>
      </c>
      <c r="H2590" s="182" t="n">
        <v>0</v>
      </c>
      <c r="I2590" s="182" t="n">
        <v>0</v>
      </c>
      <c r="J2590" s="182" t="n">
        <v>0</v>
      </c>
      <c r="K2590" s="182" t="n">
        <v>12</v>
      </c>
      <c r="L2590" s="182" t="n">
        <v>12</v>
      </c>
      <c r="M2590" s="182" t="n">
        <v>0</v>
      </c>
      <c r="N2590" s="182" t="n">
        <v>0</v>
      </c>
      <c r="O2590" s="183" t="n">
        <v>0</v>
      </c>
      <c r="P2590" s="183" t="n">
        <v>0</v>
      </c>
      <c r="Q2590" s="184" t="n">
        <v>0</v>
      </c>
      <c r="R2590" s="184" t="n">
        <v>0</v>
      </c>
      <c r="S2590" s="183" t="n">
        <v>0</v>
      </c>
      <c r="T2590" s="183" t="n">
        <v>0</v>
      </c>
      <c r="U2590" s="182" t="n">
        <v>0</v>
      </c>
      <c r="V2590" s="182" t="n">
        <v>0</v>
      </c>
      <c r="W2590" s="182" t="n">
        <v>0</v>
      </c>
      <c r="X2590" s="182" t="n">
        <v>1</v>
      </c>
      <c r="Y2590" s="182" t="n">
        <v>0</v>
      </c>
      <c r="Z2590" s="182" t="n">
        <v>0</v>
      </c>
      <c r="AA2590" s="182" t="n">
        <v>0</v>
      </c>
      <c r="AB2590" s="182" t="n">
        <v>0</v>
      </c>
      <c r="AC2590" s="182" t="n">
        <v>0</v>
      </c>
      <c r="AD2590" s="182" t="n">
        <v>0</v>
      </c>
      <c r="AE2590" s="182" t="n">
        <v>0</v>
      </c>
      <c r="AF2590" s="182" t="n">
        <v>0</v>
      </c>
      <c r="AG2590" s="182" t="n">
        <v>0</v>
      </c>
      <c r="AH2590" s="182" t="n">
        <v>0</v>
      </c>
      <c r="AI2590" s="182" t="n">
        <v>0</v>
      </c>
      <c r="AJ2590" s="182" t="n">
        <v>0</v>
      </c>
      <c r="AK2590" s="182" t="n">
        <v>10.92</v>
      </c>
      <c r="AL2590" s="182" t="n">
        <v>0</v>
      </c>
      <c r="AM2590" s="182" t="n">
        <v>0.08</v>
      </c>
      <c r="AN2590" s="182" t="n">
        <v>0</v>
      </c>
    </row>
    <row r="2591">
      <c r="A2591" s="155" t="n">
        <v>46093</v>
      </c>
      <c r="B2591" s="156" t="inlineStr">
        <is>
          <t>NS</t>
        </is>
      </c>
      <c r="C2591" s="156" t="inlineStr">
        <is>
          <t>DT-801</t>
        </is>
      </c>
      <c r="D2591" s="156" t="inlineStr">
        <is>
          <t>SKT 80S</t>
        </is>
      </c>
      <c r="E2591" s="156" t="inlineStr">
        <is>
          <t>Hauler</t>
        </is>
      </c>
      <c r="F2591" s="156" t="inlineStr"/>
      <c r="G2591" s="182" t="n">
        <v>0</v>
      </c>
      <c r="H2591" s="182" t="n">
        <v>0</v>
      </c>
      <c r="I2591" s="182" t="n">
        <v>0</v>
      </c>
      <c r="J2591" s="182" t="n">
        <v>0</v>
      </c>
      <c r="K2591" s="182" t="n">
        <v>12</v>
      </c>
      <c r="L2591" s="182" t="n">
        <v>12</v>
      </c>
      <c r="M2591" s="182" t="n">
        <v>0</v>
      </c>
      <c r="N2591" s="182" t="n">
        <v>0</v>
      </c>
      <c r="O2591" s="183" t="n">
        <v>0</v>
      </c>
      <c r="P2591" s="183" t="n">
        <v>0</v>
      </c>
      <c r="Q2591" s="184" t="n">
        <v>0</v>
      </c>
      <c r="R2591" s="184" t="n">
        <v>0</v>
      </c>
      <c r="S2591" s="183" t="n">
        <v>0</v>
      </c>
      <c r="T2591" s="183" t="n">
        <v>0</v>
      </c>
      <c r="U2591" s="182" t="n">
        <v>0</v>
      </c>
      <c r="V2591" s="182" t="n">
        <v>0</v>
      </c>
      <c r="W2591" s="182" t="n">
        <v>0</v>
      </c>
      <c r="X2591" s="182" t="n">
        <v>1</v>
      </c>
      <c r="Y2591" s="182" t="n">
        <v>0</v>
      </c>
      <c r="Z2591" s="182" t="n">
        <v>0</v>
      </c>
      <c r="AA2591" s="182" t="n">
        <v>0</v>
      </c>
      <c r="AB2591" s="182" t="n">
        <v>0</v>
      </c>
      <c r="AC2591" s="182" t="n">
        <v>0</v>
      </c>
      <c r="AD2591" s="182" t="n">
        <v>0</v>
      </c>
      <c r="AE2591" s="182" t="n">
        <v>0</v>
      </c>
      <c r="AF2591" s="182" t="n">
        <v>0</v>
      </c>
      <c r="AG2591" s="182" t="n">
        <v>0</v>
      </c>
      <c r="AH2591" s="182" t="n">
        <v>0</v>
      </c>
      <c r="AI2591" s="182" t="n">
        <v>0</v>
      </c>
      <c r="AJ2591" s="182" t="n">
        <v>0</v>
      </c>
      <c r="AK2591" s="182" t="n">
        <v>10.92</v>
      </c>
      <c r="AL2591" s="182" t="n">
        <v>0</v>
      </c>
      <c r="AM2591" s="182" t="n">
        <v>0.08</v>
      </c>
      <c r="AN2591" s="182" t="n">
        <v>0</v>
      </c>
    </row>
    <row r="2592">
      <c r="A2592" s="155" t="n">
        <v>46093</v>
      </c>
      <c r="B2592" s="156" t="inlineStr">
        <is>
          <t>NS</t>
        </is>
      </c>
      <c r="C2592" s="156" t="inlineStr">
        <is>
          <t>DT-808</t>
        </is>
      </c>
      <c r="D2592" s="156" t="inlineStr">
        <is>
          <t>SKT 80S</t>
        </is>
      </c>
      <c r="E2592" s="156" t="inlineStr">
        <is>
          <t>Hauler</t>
        </is>
      </c>
      <c r="F2592" s="156" t="inlineStr"/>
      <c r="G2592" s="182" t="n">
        <v>0</v>
      </c>
      <c r="H2592" s="182" t="n">
        <v>0</v>
      </c>
      <c r="I2592" s="182" t="n">
        <v>0</v>
      </c>
      <c r="J2592" s="182" t="n">
        <v>0</v>
      </c>
      <c r="K2592" s="182" t="n">
        <v>12</v>
      </c>
      <c r="L2592" s="182" t="n">
        <v>12</v>
      </c>
      <c r="M2592" s="182" t="n">
        <v>0</v>
      </c>
      <c r="N2592" s="182" t="n">
        <v>0</v>
      </c>
      <c r="O2592" s="183" t="n">
        <v>0</v>
      </c>
      <c r="P2592" s="183" t="n">
        <v>0</v>
      </c>
      <c r="Q2592" s="184" t="n">
        <v>0</v>
      </c>
      <c r="R2592" s="184" t="n">
        <v>0</v>
      </c>
      <c r="S2592" s="183" t="n">
        <v>0</v>
      </c>
      <c r="T2592" s="183" t="n">
        <v>0</v>
      </c>
      <c r="U2592" s="182" t="n">
        <v>0</v>
      </c>
      <c r="V2592" s="182" t="n">
        <v>0</v>
      </c>
      <c r="W2592" s="182" t="n">
        <v>0</v>
      </c>
      <c r="X2592" s="182" t="n">
        <v>1</v>
      </c>
      <c r="Y2592" s="182" t="n">
        <v>0</v>
      </c>
      <c r="Z2592" s="182" t="n">
        <v>0</v>
      </c>
      <c r="AA2592" s="182" t="n">
        <v>0</v>
      </c>
      <c r="AB2592" s="182" t="n">
        <v>0</v>
      </c>
      <c r="AC2592" s="182" t="n">
        <v>0</v>
      </c>
      <c r="AD2592" s="182" t="n">
        <v>0</v>
      </c>
      <c r="AE2592" s="182" t="n">
        <v>0</v>
      </c>
      <c r="AF2592" s="182" t="n">
        <v>0</v>
      </c>
      <c r="AG2592" s="182" t="n">
        <v>0</v>
      </c>
      <c r="AH2592" s="182" t="n">
        <v>0</v>
      </c>
      <c r="AI2592" s="182" t="n">
        <v>0</v>
      </c>
      <c r="AJ2592" s="182" t="n">
        <v>0</v>
      </c>
      <c r="AK2592" s="182" t="n">
        <v>10.92</v>
      </c>
      <c r="AL2592" s="182" t="n">
        <v>0</v>
      </c>
      <c r="AM2592" s="182" t="n">
        <v>0.08</v>
      </c>
      <c r="AN2592" s="182" t="n">
        <v>0</v>
      </c>
    </row>
    <row r="2593">
      <c r="A2593" s="155" t="n">
        <v>46093</v>
      </c>
      <c r="B2593" s="156" t="inlineStr">
        <is>
          <t>NS</t>
        </is>
      </c>
      <c r="C2593" s="156" t="inlineStr">
        <is>
          <t>DT-811</t>
        </is>
      </c>
      <c r="D2593" s="156" t="inlineStr">
        <is>
          <t>SKT 80S</t>
        </is>
      </c>
      <c r="E2593" s="156" t="inlineStr">
        <is>
          <t>Hauler</t>
        </is>
      </c>
      <c r="F2593" s="156" t="inlineStr"/>
      <c r="G2593" s="182" t="n">
        <v>0</v>
      </c>
      <c r="H2593" s="182" t="n">
        <v>0</v>
      </c>
      <c r="I2593" s="182" t="n">
        <v>0</v>
      </c>
      <c r="J2593" s="182" t="n">
        <v>0</v>
      </c>
      <c r="K2593" s="182" t="n">
        <v>12</v>
      </c>
      <c r="L2593" s="182" t="n">
        <v>12</v>
      </c>
      <c r="M2593" s="182" t="n">
        <v>0</v>
      </c>
      <c r="N2593" s="182" t="n">
        <v>0</v>
      </c>
      <c r="O2593" s="183" t="n">
        <v>0</v>
      </c>
      <c r="P2593" s="183" t="n">
        <v>0</v>
      </c>
      <c r="Q2593" s="184" t="n">
        <v>0</v>
      </c>
      <c r="R2593" s="184" t="n">
        <v>0</v>
      </c>
      <c r="S2593" s="183" t="n">
        <v>0</v>
      </c>
      <c r="T2593" s="183" t="n">
        <v>0</v>
      </c>
      <c r="U2593" s="182" t="n">
        <v>0</v>
      </c>
      <c r="V2593" s="182" t="n">
        <v>0</v>
      </c>
      <c r="W2593" s="182" t="n">
        <v>0</v>
      </c>
      <c r="X2593" s="182" t="n">
        <v>1</v>
      </c>
      <c r="Y2593" s="182" t="n">
        <v>0</v>
      </c>
      <c r="Z2593" s="182" t="n">
        <v>0</v>
      </c>
      <c r="AA2593" s="182" t="n">
        <v>0</v>
      </c>
      <c r="AB2593" s="182" t="n">
        <v>0</v>
      </c>
      <c r="AC2593" s="182" t="n">
        <v>0</v>
      </c>
      <c r="AD2593" s="182" t="n">
        <v>0</v>
      </c>
      <c r="AE2593" s="182" t="n">
        <v>0</v>
      </c>
      <c r="AF2593" s="182" t="n">
        <v>0</v>
      </c>
      <c r="AG2593" s="182" t="n">
        <v>0</v>
      </c>
      <c r="AH2593" s="182" t="n">
        <v>0</v>
      </c>
      <c r="AI2593" s="182" t="n">
        <v>0</v>
      </c>
      <c r="AJ2593" s="182" t="n">
        <v>0</v>
      </c>
      <c r="AK2593" s="182" t="n">
        <v>10.92</v>
      </c>
      <c r="AL2593" s="182" t="n">
        <v>0</v>
      </c>
      <c r="AM2593" s="182" t="n">
        <v>0.08</v>
      </c>
      <c r="AN2593" s="182" t="n">
        <v>0</v>
      </c>
    </row>
    <row r="2594">
      <c r="A2594" s="155" t="n">
        <v>46093</v>
      </c>
      <c r="B2594" s="156" t="inlineStr">
        <is>
          <t>NS</t>
        </is>
      </c>
      <c r="C2594" s="156" t="inlineStr">
        <is>
          <t>DT-802</t>
        </is>
      </c>
      <c r="D2594" s="156" t="inlineStr">
        <is>
          <t>SKT 80S</t>
        </is>
      </c>
      <c r="E2594" s="156" t="inlineStr">
        <is>
          <t>Hauler</t>
        </is>
      </c>
      <c r="F2594" s="156" t="inlineStr"/>
      <c r="G2594" s="182" t="n">
        <v>0</v>
      </c>
      <c r="H2594" s="182" t="n">
        <v>0</v>
      </c>
      <c r="I2594" s="182" t="n">
        <v>0</v>
      </c>
      <c r="J2594" s="182" t="n">
        <v>0</v>
      </c>
      <c r="K2594" s="182" t="n">
        <v>12</v>
      </c>
      <c r="L2594" s="182" t="n">
        <v>12</v>
      </c>
      <c r="M2594" s="182" t="n">
        <v>0</v>
      </c>
      <c r="N2594" s="182" t="n">
        <v>0</v>
      </c>
      <c r="O2594" s="183" t="n">
        <v>0</v>
      </c>
      <c r="P2594" s="183" t="n">
        <v>0</v>
      </c>
      <c r="Q2594" s="184" t="n">
        <v>0</v>
      </c>
      <c r="R2594" s="184" t="n">
        <v>0</v>
      </c>
      <c r="S2594" s="183" t="n">
        <v>0</v>
      </c>
      <c r="T2594" s="183" t="n">
        <v>0</v>
      </c>
      <c r="U2594" s="182" t="n">
        <v>0</v>
      </c>
      <c r="V2594" s="182" t="n">
        <v>0</v>
      </c>
      <c r="W2594" s="182" t="n">
        <v>0</v>
      </c>
      <c r="X2594" s="182" t="n">
        <v>1</v>
      </c>
      <c r="Y2594" s="182" t="n">
        <v>0</v>
      </c>
      <c r="Z2594" s="182" t="n">
        <v>0</v>
      </c>
      <c r="AA2594" s="182" t="n">
        <v>0</v>
      </c>
      <c r="AB2594" s="182" t="n">
        <v>0</v>
      </c>
      <c r="AC2594" s="182" t="n">
        <v>0</v>
      </c>
      <c r="AD2594" s="182" t="n">
        <v>0</v>
      </c>
      <c r="AE2594" s="182" t="n">
        <v>0</v>
      </c>
      <c r="AF2594" s="182" t="n">
        <v>0</v>
      </c>
      <c r="AG2594" s="182" t="n">
        <v>0</v>
      </c>
      <c r="AH2594" s="182" t="n">
        <v>0</v>
      </c>
      <c r="AI2594" s="182" t="n">
        <v>0</v>
      </c>
      <c r="AJ2594" s="182" t="n">
        <v>0</v>
      </c>
      <c r="AK2594" s="182" t="n">
        <v>10.92</v>
      </c>
      <c r="AL2594" s="182" t="n">
        <v>0</v>
      </c>
      <c r="AM2594" s="182" t="n">
        <v>0.08</v>
      </c>
      <c r="AN2594" s="182" t="n">
        <v>0</v>
      </c>
    </row>
    <row r="2595">
      <c r="A2595" s="155" t="n">
        <v>46093</v>
      </c>
      <c r="B2595" s="156" t="inlineStr">
        <is>
          <t>NS</t>
        </is>
      </c>
      <c r="C2595" s="156" t="inlineStr">
        <is>
          <t>DT-807</t>
        </is>
      </c>
      <c r="D2595" s="156" t="inlineStr">
        <is>
          <t>SKT 80S</t>
        </is>
      </c>
      <c r="E2595" s="156" t="inlineStr">
        <is>
          <t>Hauler</t>
        </is>
      </c>
      <c r="F2595" s="156" t="inlineStr"/>
      <c r="G2595" s="182" t="n">
        <v>0</v>
      </c>
      <c r="H2595" s="182" t="n">
        <v>0</v>
      </c>
      <c r="I2595" s="182" t="n">
        <v>0</v>
      </c>
      <c r="J2595" s="182" t="n">
        <v>0</v>
      </c>
      <c r="K2595" s="182" t="n">
        <v>12</v>
      </c>
      <c r="L2595" s="182" t="n">
        <v>12</v>
      </c>
      <c r="M2595" s="182" t="n">
        <v>0</v>
      </c>
      <c r="N2595" s="182" t="n">
        <v>0</v>
      </c>
      <c r="O2595" s="183" t="n">
        <v>0</v>
      </c>
      <c r="P2595" s="183" t="n">
        <v>0</v>
      </c>
      <c r="Q2595" s="184" t="n">
        <v>0</v>
      </c>
      <c r="R2595" s="184" t="n">
        <v>0</v>
      </c>
      <c r="S2595" s="183" t="n">
        <v>0</v>
      </c>
      <c r="T2595" s="183" t="n">
        <v>0</v>
      </c>
      <c r="U2595" s="182" t="n">
        <v>0</v>
      </c>
      <c r="V2595" s="182" t="n">
        <v>0</v>
      </c>
      <c r="W2595" s="182" t="n">
        <v>0</v>
      </c>
      <c r="X2595" s="182" t="n">
        <v>1</v>
      </c>
      <c r="Y2595" s="182" t="n">
        <v>0</v>
      </c>
      <c r="Z2595" s="182" t="n">
        <v>0</v>
      </c>
      <c r="AA2595" s="182" t="n">
        <v>0</v>
      </c>
      <c r="AB2595" s="182" t="n">
        <v>0</v>
      </c>
      <c r="AC2595" s="182" t="n">
        <v>0</v>
      </c>
      <c r="AD2595" s="182" t="n">
        <v>0</v>
      </c>
      <c r="AE2595" s="182" t="n">
        <v>0</v>
      </c>
      <c r="AF2595" s="182" t="n">
        <v>0</v>
      </c>
      <c r="AG2595" s="182" t="n">
        <v>0</v>
      </c>
      <c r="AH2595" s="182" t="n">
        <v>0</v>
      </c>
      <c r="AI2595" s="182" t="n">
        <v>0</v>
      </c>
      <c r="AJ2595" s="182" t="n">
        <v>0</v>
      </c>
      <c r="AK2595" s="182" t="n">
        <v>10.92</v>
      </c>
      <c r="AL2595" s="182" t="n">
        <v>0</v>
      </c>
      <c r="AM2595" s="182" t="n">
        <v>0.08</v>
      </c>
      <c r="AN2595" s="182" t="n">
        <v>0</v>
      </c>
    </row>
    <row r="2596">
      <c r="A2596" s="155" t="n">
        <v>46093</v>
      </c>
      <c r="B2596" s="156" t="inlineStr">
        <is>
          <t>NS</t>
        </is>
      </c>
      <c r="C2596" s="156" t="inlineStr">
        <is>
          <t>DT-812</t>
        </is>
      </c>
      <c r="D2596" s="156" t="inlineStr">
        <is>
          <t>SKT 80S</t>
        </is>
      </c>
      <c r="E2596" s="156" t="inlineStr">
        <is>
          <t>Hauler</t>
        </is>
      </c>
      <c r="F2596" s="156" t="inlineStr">
        <is>
          <t>Hauling Coal</t>
        </is>
      </c>
      <c r="G2596" s="182" t="n">
        <v>2.83</v>
      </c>
      <c r="H2596" s="182" t="n">
        <v>0</v>
      </c>
      <c r="I2596" s="182" t="n">
        <v>0</v>
      </c>
      <c r="J2596" s="182" t="n">
        <v>0</v>
      </c>
      <c r="K2596" s="182" t="n">
        <v>9.17</v>
      </c>
      <c r="L2596" s="182" t="n">
        <v>12</v>
      </c>
      <c r="M2596" s="182" t="n">
        <v>0</v>
      </c>
      <c r="N2596" s="182" t="n">
        <v>2.83</v>
      </c>
      <c r="O2596" s="183" t="n">
        <v>0</v>
      </c>
      <c r="P2596" s="183" t="n">
        <v>5</v>
      </c>
      <c r="Q2596" s="184" t="n">
        <v>0</v>
      </c>
      <c r="R2596" s="184" t="n">
        <v>76.5</v>
      </c>
      <c r="S2596" s="183" t="n">
        <v>0</v>
      </c>
      <c r="T2596" s="183" t="n">
        <v>0</v>
      </c>
      <c r="U2596" s="182" t="n">
        <v>0</v>
      </c>
      <c r="V2596" s="182" t="n">
        <v>0</v>
      </c>
      <c r="W2596" s="182" t="n">
        <v>0</v>
      </c>
      <c r="X2596" s="182" t="n">
        <v>0.98</v>
      </c>
      <c r="Y2596" s="182" t="n">
        <v>0</v>
      </c>
      <c r="Z2596" s="182" t="n">
        <v>0</v>
      </c>
      <c r="AA2596" s="182" t="n">
        <v>0</v>
      </c>
      <c r="AB2596" s="182" t="n">
        <v>0</v>
      </c>
      <c r="AC2596" s="182" t="n">
        <v>0</v>
      </c>
      <c r="AD2596" s="182" t="n">
        <v>0</v>
      </c>
      <c r="AE2596" s="182" t="n">
        <v>0</v>
      </c>
      <c r="AF2596" s="182" t="n">
        <v>0</v>
      </c>
      <c r="AG2596" s="182" t="n">
        <v>0</v>
      </c>
      <c r="AH2596" s="182" t="n">
        <v>0</v>
      </c>
      <c r="AI2596" s="182" t="n">
        <v>0</v>
      </c>
      <c r="AJ2596" s="182" t="n">
        <v>0</v>
      </c>
      <c r="AK2596" s="182" t="n">
        <v>8.119999999999999</v>
      </c>
      <c r="AL2596" s="182" t="n">
        <v>0</v>
      </c>
      <c r="AM2596" s="182" t="n">
        <v>0.08</v>
      </c>
      <c r="AN2596" s="182" t="n">
        <v>0</v>
      </c>
    </row>
    <row r="2597">
      <c r="A2597" s="155" t="n">
        <v>46093</v>
      </c>
      <c r="B2597" s="156" t="inlineStr">
        <is>
          <t>NS</t>
        </is>
      </c>
      <c r="C2597" s="156" t="inlineStr">
        <is>
          <t>DT-803</t>
        </is>
      </c>
      <c r="D2597" s="156" t="inlineStr">
        <is>
          <t>SKT 80S</t>
        </is>
      </c>
      <c r="E2597" s="156" t="inlineStr">
        <is>
          <t>Hauler</t>
        </is>
      </c>
      <c r="F2597" s="156" t="inlineStr"/>
      <c r="G2597" s="182" t="n">
        <v>0</v>
      </c>
      <c r="H2597" s="182" t="n">
        <v>0</v>
      </c>
      <c r="I2597" s="182" t="n">
        <v>0</v>
      </c>
      <c r="J2597" s="182" t="n">
        <v>0</v>
      </c>
      <c r="K2597" s="182" t="n">
        <v>12</v>
      </c>
      <c r="L2597" s="182" t="n">
        <v>12</v>
      </c>
      <c r="M2597" s="182" t="n">
        <v>0</v>
      </c>
      <c r="N2597" s="182" t="n">
        <v>0</v>
      </c>
      <c r="O2597" s="183" t="n">
        <v>0</v>
      </c>
      <c r="P2597" s="183" t="n">
        <v>0</v>
      </c>
      <c r="Q2597" s="184" t="n">
        <v>0</v>
      </c>
      <c r="R2597" s="184" t="n">
        <v>0</v>
      </c>
      <c r="S2597" s="183" t="n">
        <v>0</v>
      </c>
      <c r="T2597" s="183" t="n">
        <v>0</v>
      </c>
      <c r="U2597" s="182" t="n">
        <v>0</v>
      </c>
      <c r="V2597" s="182" t="n">
        <v>0</v>
      </c>
      <c r="W2597" s="182" t="n">
        <v>0</v>
      </c>
      <c r="X2597" s="182" t="n">
        <v>1</v>
      </c>
      <c r="Y2597" s="182" t="n">
        <v>0</v>
      </c>
      <c r="Z2597" s="182" t="n">
        <v>0</v>
      </c>
      <c r="AA2597" s="182" t="n">
        <v>0</v>
      </c>
      <c r="AB2597" s="182" t="n">
        <v>0</v>
      </c>
      <c r="AC2597" s="182" t="n">
        <v>0</v>
      </c>
      <c r="AD2597" s="182" t="n">
        <v>0</v>
      </c>
      <c r="AE2597" s="182" t="n">
        <v>0</v>
      </c>
      <c r="AF2597" s="182" t="n">
        <v>0</v>
      </c>
      <c r="AG2597" s="182" t="n">
        <v>0</v>
      </c>
      <c r="AH2597" s="182" t="n">
        <v>0</v>
      </c>
      <c r="AI2597" s="182" t="n">
        <v>0</v>
      </c>
      <c r="AJ2597" s="182" t="n">
        <v>0</v>
      </c>
      <c r="AK2597" s="182" t="n">
        <v>10.92</v>
      </c>
      <c r="AL2597" s="182" t="n">
        <v>0</v>
      </c>
      <c r="AM2597" s="182" t="n">
        <v>0.08</v>
      </c>
      <c r="AN2597" s="182" t="n">
        <v>0</v>
      </c>
    </row>
    <row r="2598">
      <c r="A2598" s="155" t="n">
        <v>46093</v>
      </c>
      <c r="B2598" s="156" t="inlineStr">
        <is>
          <t>NS</t>
        </is>
      </c>
      <c r="C2598" s="156" t="inlineStr">
        <is>
          <t>DT-810</t>
        </is>
      </c>
      <c r="D2598" s="156" t="inlineStr">
        <is>
          <t>SKT 80S</t>
        </is>
      </c>
      <c r="E2598" s="156" t="inlineStr">
        <is>
          <t>Hauler</t>
        </is>
      </c>
      <c r="F2598" s="156" t="inlineStr">
        <is>
          <t>Hauling Coal</t>
        </is>
      </c>
      <c r="G2598" s="182" t="n">
        <v>6.7</v>
      </c>
      <c r="H2598" s="182" t="n">
        <v>0</v>
      </c>
      <c r="I2598" s="182" t="n">
        <v>0</v>
      </c>
      <c r="J2598" s="182" t="n">
        <v>0</v>
      </c>
      <c r="K2598" s="182" t="n">
        <v>5.3</v>
      </c>
      <c r="L2598" s="182" t="n">
        <v>12</v>
      </c>
      <c r="M2598" s="182" t="n">
        <v>0</v>
      </c>
      <c r="N2598" s="182" t="n">
        <v>6.7</v>
      </c>
      <c r="O2598" s="183" t="n">
        <v>0</v>
      </c>
      <c r="P2598" s="183" t="n">
        <v>17</v>
      </c>
      <c r="Q2598" s="184" t="n">
        <v>0</v>
      </c>
      <c r="R2598" s="184" t="n">
        <v>260.1</v>
      </c>
      <c r="S2598" s="183" t="n">
        <v>0</v>
      </c>
      <c r="T2598" s="183" t="n">
        <v>0</v>
      </c>
      <c r="U2598" s="182" t="n">
        <v>0</v>
      </c>
      <c r="V2598" s="182" t="n">
        <v>0</v>
      </c>
      <c r="W2598" s="182" t="n">
        <v>0</v>
      </c>
      <c r="X2598" s="182" t="n">
        <v>1.06</v>
      </c>
      <c r="Y2598" s="182" t="n">
        <v>0</v>
      </c>
      <c r="Z2598" s="182" t="n">
        <v>0</v>
      </c>
      <c r="AA2598" s="182" t="n">
        <v>0</v>
      </c>
      <c r="AB2598" s="182" t="n">
        <v>0</v>
      </c>
      <c r="AC2598" s="182" t="n">
        <v>0</v>
      </c>
      <c r="AD2598" s="182" t="n">
        <v>0</v>
      </c>
      <c r="AE2598" s="182" t="n">
        <v>0</v>
      </c>
      <c r="AF2598" s="182" t="n">
        <v>0</v>
      </c>
      <c r="AG2598" s="182" t="n">
        <v>0</v>
      </c>
      <c r="AH2598" s="182" t="n">
        <v>0</v>
      </c>
      <c r="AI2598" s="182" t="n">
        <v>0</v>
      </c>
      <c r="AJ2598" s="182" t="n">
        <v>0</v>
      </c>
      <c r="AK2598" s="182" t="n">
        <v>4.16</v>
      </c>
      <c r="AL2598" s="182" t="n">
        <v>0</v>
      </c>
      <c r="AM2598" s="182" t="n">
        <v>0.08</v>
      </c>
      <c r="AN2598" s="182" t="n">
        <v>0</v>
      </c>
    </row>
    <row r="2599">
      <c r="A2599" s="155" t="n">
        <v>46093</v>
      </c>
      <c r="B2599" s="156" t="inlineStr">
        <is>
          <t>NS</t>
        </is>
      </c>
      <c r="C2599" s="156" t="inlineStr">
        <is>
          <t>DT-804</t>
        </is>
      </c>
      <c r="D2599" s="156" t="inlineStr">
        <is>
          <t>SKT 80S</t>
        </is>
      </c>
      <c r="E2599" s="156" t="inlineStr">
        <is>
          <t>Hauler</t>
        </is>
      </c>
      <c r="F2599" s="156" t="inlineStr"/>
      <c r="G2599" s="182" t="n">
        <v>0</v>
      </c>
      <c r="H2599" s="182" t="n">
        <v>0</v>
      </c>
      <c r="I2599" s="182" t="n">
        <v>0</v>
      </c>
      <c r="J2599" s="182" t="n">
        <v>0</v>
      </c>
      <c r="K2599" s="182" t="n">
        <v>12</v>
      </c>
      <c r="L2599" s="182" t="n">
        <v>12</v>
      </c>
      <c r="M2599" s="182" t="n">
        <v>0</v>
      </c>
      <c r="N2599" s="182" t="n">
        <v>0</v>
      </c>
      <c r="O2599" s="183" t="n">
        <v>0</v>
      </c>
      <c r="P2599" s="183" t="n">
        <v>0</v>
      </c>
      <c r="Q2599" s="184" t="n">
        <v>0</v>
      </c>
      <c r="R2599" s="184" t="n">
        <v>0</v>
      </c>
      <c r="S2599" s="183" t="n">
        <v>0</v>
      </c>
      <c r="T2599" s="183" t="n">
        <v>0</v>
      </c>
      <c r="U2599" s="182" t="n">
        <v>0</v>
      </c>
      <c r="V2599" s="182" t="n">
        <v>0</v>
      </c>
      <c r="W2599" s="182" t="n">
        <v>0</v>
      </c>
      <c r="X2599" s="182" t="n">
        <v>1</v>
      </c>
      <c r="Y2599" s="182" t="n">
        <v>0</v>
      </c>
      <c r="Z2599" s="182" t="n">
        <v>0</v>
      </c>
      <c r="AA2599" s="182" t="n">
        <v>0</v>
      </c>
      <c r="AB2599" s="182" t="n">
        <v>0</v>
      </c>
      <c r="AC2599" s="182" t="n">
        <v>0</v>
      </c>
      <c r="AD2599" s="182" t="n">
        <v>0</v>
      </c>
      <c r="AE2599" s="182" t="n">
        <v>0</v>
      </c>
      <c r="AF2599" s="182" t="n">
        <v>0</v>
      </c>
      <c r="AG2599" s="182" t="n">
        <v>0</v>
      </c>
      <c r="AH2599" s="182" t="n">
        <v>0</v>
      </c>
      <c r="AI2599" s="182" t="n">
        <v>0</v>
      </c>
      <c r="AJ2599" s="182" t="n">
        <v>0</v>
      </c>
      <c r="AK2599" s="182" t="n">
        <v>10.92</v>
      </c>
      <c r="AL2599" s="182" t="n">
        <v>0</v>
      </c>
      <c r="AM2599" s="182" t="n">
        <v>0.08</v>
      </c>
      <c r="AN2599" s="182" t="n">
        <v>0</v>
      </c>
    </row>
    <row r="2600">
      <c r="A2600" s="155" t="n">
        <v>46093</v>
      </c>
      <c r="B2600" s="156" t="inlineStr">
        <is>
          <t>NS</t>
        </is>
      </c>
      <c r="C2600" s="156" t="inlineStr">
        <is>
          <t>DT-505</t>
        </is>
      </c>
      <c r="D2600" s="156" t="inlineStr">
        <is>
          <t>SKT 105S</t>
        </is>
      </c>
      <c r="E2600" s="156" t="inlineStr">
        <is>
          <t>Hauler</t>
        </is>
      </c>
      <c r="F2600" s="156" t="inlineStr"/>
      <c r="G2600" s="182" t="n">
        <v>0</v>
      </c>
      <c r="H2600" s="182" t="n">
        <v>12</v>
      </c>
      <c r="I2600" s="182" t="n">
        <v>0</v>
      </c>
      <c r="J2600" s="182" t="n">
        <v>12</v>
      </c>
      <c r="K2600" s="182" t="n">
        <v>0</v>
      </c>
      <c r="L2600" s="182" t="n">
        <v>12</v>
      </c>
      <c r="M2600" s="182" t="n">
        <v>0</v>
      </c>
      <c r="N2600" s="182" t="n">
        <v>0</v>
      </c>
      <c r="O2600" s="183" t="n">
        <v>0</v>
      </c>
      <c r="P2600" s="183" t="n">
        <v>0</v>
      </c>
      <c r="Q2600" s="184" t="n">
        <v>0</v>
      </c>
      <c r="R2600" s="184" t="n">
        <v>0</v>
      </c>
      <c r="S2600" s="183" t="n">
        <v>0</v>
      </c>
      <c r="T2600" s="183" t="n">
        <v>0</v>
      </c>
      <c r="U2600" s="182" t="n">
        <v>0</v>
      </c>
      <c r="V2600" s="182" t="n">
        <v>0</v>
      </c>
      <c r="W2600" s="182" t="n">
        <v>0</v>
      </c>
      <c r="X2600" s="182" t="n">
        <v>0</v>
      </c>
      <c r="Y2600" s="182" t="n">
        <v>0</v>
      </c>
      <c r="Z2600" s="182" t="n">
        <v>0</v>
      </c>
      <c r="AA2600" s="182" t="n">
        <v>0</v>
      </c>
      <c r="AB2600" s="182" t="n">
        <v>0</v>
      </c>
      <c r="AC2600" s="182" t="n">
        <v>0</v>
      </c>
      <c r="AD2600" s="182" t="n">
        <v>0</v>
      </c>
      <c r="AE2600" s="182" t="n">
        <v>0</v>
      </c>
      <c r="AF2600" s="182" t="n">
        <v>0</v>
      </c>
      <c r="AG2600" s="182" t="n">
        <v>0</v>
      </c>
      <c r="AH2600" s="182" t="n">
        <v>0</v>
      </c>
      <c r="AI2600" s="182" t="n">
        <v>0</v>
      </c>
      <c r="AJ2600" s="182" t="n">
        <v>0</v>
      </c>
      <c r="AK2600" s="182" t="n">
        <v>0</v>
      </c>
      <c r="AL2600" s="182" t="n">
        <v>0</v>
      </c>
      <c r="AM2600" s="182" t="n">
        <v>0</v>
      </c>
      <c r="AN2600" s="182" t="n">
        <v>0</v>
      </c>
    </row>
    <row r="2601">
      <c r="A2601" s="155" t="n">
        <v>46093</v>
      </c>
      <c r="B2601" s="156" t="inlineStr">
        <is>
          <t>NS</t>
        </is>
      </c>
      <c r="C2601" s="156" t="inlineStr">
        <is>
          <t>DT-530</t>
        </is>
      </c>
      <c r="D2601" s="156" t="inlineStr">
        <is>
          <t>SKT 105S</t>
        </is>
      </c>
      <c r="E2601" s="156" t="inlineStr">
        <is>
          <t>Hauler</t>
        </is>
      </c>
      <c r="F2601" s="156" t="inlineStr"/>
      <c r="G2601" s="182" t="n">
        <v>0</v>
      </c>
      <c r="H2601" s="182" t="n">
        <v>0</v>
      </c>
      <c r="I2601" s="182" t="n">
        <v>12</v>
      </c>
      <c r="J2601" s="182" t="n">
        <v>12</v>
      </c>
      <c r="K2601" s="182" t="n">
        <v>0</v>
      </c>
      <c r="L2601" s="182" t="n">
        <v>12</v>
      </c>
      <c r="M2601" s="182" t="n">
        <v>0</v>
      </c>
      <c r="N2601" s="182" t="n">
        <v>0</v>
      </c>
      <c r="O2601" s="183" t="n">
        <v>0</v>
      </c>
      <c r="P2601" s="183" t="n">
        <v>0</v>
      </c>
      <c r="Q2601" s="184" t="n">
        <v>0</v>
      </c>
      <c r="R2601" s="184" t="n">
        <v>0</v>
      </c>
      <c r="S2601" s="183" t="n">
        <v>0</v>
      </c>
      <c r="T2601" s="183" t="n">
        <v>0</v>
      </c>
      <c r="U2601" s="182" t="n">
        <v>0</v>
      </c>
      <c r="V2601" s="182" t="n">
        <v>0</v>
      </c>
      <c r="W2601" s="182" t="n">
        <v>0</v>
      </c>
      <c r="X2601" s="182" t="n">
        <v>0</v>
      </c>
      <c r="Y2601" s="182" t="n">
        <v>0</v>
      </c>
      <c r="Z2601" s="182" t="n">
        <v>0</v>
      </c>
      <c r="AA2601" s="182" t="n">
        <v>0</v>
      </c>
      <c r="AB2601" s="182" t="n">
        <v>0</v>
      </c>
      <c r="AC2601" s="182" t="n">
        <v>0</v>
      </c>
      <c r="AD2601" s="182" t="n">
        <v>0</v>
      </c>
      <c r="AE2601" s="182" t="n">
        <v>0</v>
      </c>
      <c r="AF2601" s="182" t="n">
        <v>0</v>
      </c>
      <c r="AG2601" s="182" t="n">
        <v>0</v>
      </c>
      <c r="AH2601" s="182" t="n">
        <v>0</v>
      </c>
      <c r="AI2601" s="182" t="n">
        <v>0</v>
      </c>
      <c r="AJ2601" s="182" t="n">
        <v>0</v>
      </c>
      <c r="AK2601" s="182" t="n">
        <v>0</v>
      </c>
      <c r="AL2601" s="182" t="n">
        <v>0</v>
      </c>
      <c r="AM2601" s="182" t="n">
        <v>0</v>
      </c>
      <c r="AN2601" s="182" t="n">
        <v>0</v>
      </c>
    </row>
    <row r="2602">
      <c r="A2602" s="155" t="n">
        <v>46093</v>
      </c>
      <c r="B2602" s="156" t="inlineStr">
        <is>
          <t>NS</t>
        </is>
      </c>
      <c r="C2602" s="156" t="inlineStr">
        <is>
          <t>DT-525</t>
        </is>
      </c>
      <c r="D2602" s="156" t="inlineStr">
        <is>
          <t>SKT 105S</t>
        </is>
      </c>
      <c r="E2602" s="156" t="inlineStr">
        <is>
          <t>Hauler</t>
        </is>
      </c>
      <c r="F2602" s="156" t="inlineStr"/>
      <c r="G2602" s="182" t="n">
        <v>0</v>
      </c>
      <c r="H2602" s="182" t="n">
        <v>0</v>
      </c>
      <c r="I2602" s="182" t="n">
        <v>12</v>
      </c>
      <c r="J2602" s="182" t="n">
        <v>12</v>
      </c>
      <c r="K2602" s="182" t="n">
        <v>0</v>
      </c>
      <c r="L2602" s="182" t="n">
        <v>12</v>
      </c>
      <c r="M2602" s="182" t="n">
        <v>0</v>
      </c>
      <c r="N2602" s="182" t="n">
        <v>0</v>
      </c>
      <c r="O2602" s="183" t="n">
        <v>0</v>
      </c>
      <c r="P2602" s="183" t="n">
        <v>0</v>
      </c>
      <c r="Q2602" s="184" t="n">
        <v>0</v>
      </c>
      <c r="R2602" s="184" t="n">
        <v>0</v>
      </c>
      <c r="S2602" s="183" t="n">
        <v>0</v>
      </c>
      <c r="T2602" s="183" t="n">
        <v>0</v>
      </c>
      <c r="U2602" s="182" t="n">
        <v>0</v>
      </c>
      <c r="V2602" s="182" t="n">
        <v>0</v>
      </c>
      <c r="W2602" s="182" t="n">
        <v>0</v>
      </c>
      <c r="X2602" s="182" t="n">
        <v>0</v>
      </c>
      <c r="Y2602" s="182" t="n">
        <v>0</v>
      </c>
      <c r="Z2602" s="182" t="n">
        <v>0</v>
      </c>
      <c r="AA2602" s="182" t="n">
        <v>0</v>
      </c>
      <c r="AB2602" s="182" t="n">
        <v>0</v>
      </c>
      <c r="AC2602" s="182" t="n">
        <v>0</v>
      </c>
      <c r="AD2602" s="182" t="n">
        <v>0</v>
      </c>
      <c r="AE2602" s="182" t="n">
        <v>0</v>
      </c>
      <c r="AF2602" s="182" t="n">
        <v>0</v>
      </c>
      <c r="AG2602" s="182" t="n">
        <v>0</v>
      </c>
      <c r="AH2602" s="182" t="n">
        <v>0</v>
      </c>
      <c r="AI2602" s="182" t="n">
        <v>0</v>
      </c>
      <c r="AJ2602" s="182" t="n">
        <v>0</v>
      </c>
      <c r="AK2602" s="182" t="n">
        <v>0</v>
      </c>
      <c r="AL2602" s="182" t="n">
        <v>0</v>
      </c>
      <c r="AM2602" s="182" t="n">
        <v>0</v>
      </c>
      <c r="AN2602" s="182" t="n">
        <v>0</v>
      </c>
    </row>
    <row r="2603">
      <c r="A2603" s="155" t="n">
        <v>46093</v>
      </c>
      <c r="B2603" s="156" t="inlineStr">
        <is>
          <t>NS</t>
        </is>
      </c>
      <c r="C2603" s="156" t="inlineStr">
        <is>
          <t>DT-503</t>
        </is>
      </c>
      <c r="D2603" s="156" t="inlineStr">
        <is>
          <t>SKT 105S</t>
        </is>
      </c>
      <c r="E2603" s="156" t="inlineStr">
        <is>
          <t>Hauler</t>
        </is>
      </c>
      <c r="F2603" s="156" t="inlineStr">
        <is>
          <t>Hauling OB &amp; Coal</t>
        </is>
      </c>
      <c r="G2603" s="182" t="n">
        <v>6.87</v>
      </c>
      <c r="H2603" s="182" t="n">
        <v>0</v>
      </c>
      <c r="I2603" s="182" t="n">
        <v>0</v>
      </c>
      <c r="J2603" s="182" t="n">
        <v>0</v>
      </c>
      <c r="K2603" s="182" t="n">
        <v>5.13</v>
      </c>
      <c r="L2603" s="182" t="n">
        <v>12</v>
      </c>
      <c r="M2603" s="182" t="n">
        <v>5.69</v>
      </c>
      <c r="N2603" s="182" t="n">
        <v>1.01</v>
      </c>
      <c r="O2603" s="183" t="n">
        <v>23</v>
      </c>
      <c r="P2603" s="183" t="n">
        <v>3</v>
      </c>
      <c r="Q2603" s="184" t="n">
        <v>469.2</v>
      </c>
      <c r="R2603" s="184" t="n">
        <v>56.1</v>
      </c>
      <c r="S2603" s="183" t="n">
        <v>0</v>
      </c>
      <c r="T2603" s="183" t="n">
        <v>0</v>
      </c>
      <c r="U2603" s="182" t="n">
        <v>0</v>
      </c>
      <c r="V2603" s="182" t="n">
        <v>0</v>
      </c>
      <c r="W2603" s="182" t="n">
        <v>0</v>
      </c>
      <c r="X2603" s="182" t="n">
        <v>0.99</v>
      </c>
      <c r="Y2603" s="182" t="n">
        <v>0</v>
      </c>
      <c r="Z2603" s="182" t="n">
        <v>0</v>
      </c>
      <c r="AA2603" s="182" t="n">
        <v>0</v>
      </c>
      <c r="AB2603" s="182" t="n">
        <v>0</v>
      </c>
      <c r="AC2603" s="182" t="n">
        <v>0</v>
      </c>
      <c r="AD2603" s="182" t="n">
        <v>0</v>
      </c>
      <c r="AE2603" s="182" t="n">
        <v>0</v>
      </c>
      <c r="AF2603" s="182" t="n">
        <v>0</v>
      </c>
      <c r="AG2603" s="182" t="n">
        <v>0</v>
      </c>
      <c r="AH2603" s="182" t="n">
        <v>0</v>
      </c>
      <c r="AI2603" s="182" t="n">
        <v>4.06</v>
      </c>
      <c r="AJ2603" s="182" t="n">
        <v>0</v>
      </c>
      <c r="AK2603" s="182" t="n">
        <v>0</v>
      </c>
      <c r="AL2603" s="182" t="n">
        <v>0</v>
      </c>
      <c r="AM2603" s="182" t="n">
        <v>0.08</v>
      </c>
      <c r="AN2603" s="182" t="n">
        <v>0</v>
      </c>
    </row>
    <row r="2604">
      <c r="A2604" s="155" t="n">
        <v>46093</v>
      </c>
      <c r="B2604" s="156" t="inlineStr">
        <is>
          <t>NS</t>
        </is>
      </c>
      <c r="C2604" s="156" t="inlineStr">
        <is>
          <t>DT-504</t>
        </is>
      </c>
      <c r="D2604" s="156" t="inlineStr">
        <is>
          <t>SKT 105S</t>
        </is>
      </c>
      <c r="E2604" s="156" t="inlineStr">
        <is>
          <t>Hauler</t>
        </is>
      </c>
      <c r="F2604" s="156" t="inlineStr">
        <is>
          <t>Hauling OB</t>
        </is>
      </c>
      <c r="G2604" s="182" t="n">
        <v>8.58</v>
      </c>
      <c r="H2604" s="182" t="n">
        <v>0</v>
      </c>
      <c r="I2604" s="182" t="n">
        <v>0</v>
      </c>
      <c r="J2604" s="182" t="n">
        <v>0</v>
      </c>
      <c r="K2604" s="182" t="n">
        <v>3.42</v>
      </c>
      <c r="L2604" s="182" t="n">
        <v>12</v>
      </c>
      <c r="M2604" s="182" t="n">
        <v>8.24</v>
      </c>
      <c r="N2604" s="182" t="n">
        <v>0</v>
      </c>
      <c r="O2604" s="183" t="n">
        <v>38</v>
      </c>
      <c r="P2604" s="183" t="n">
        <v>0</v>
      </c>
      <c r="Q2604" s="184" t="n">
        <v>775.2</v>
      </c>
      <c r="R2604" s="184" t="n">
        <v>0</v>
      </c>
      <c r="S2604" s="183" t="n">
        <v>0</v>
      </c>
      <c r="T2604" s="183" t="n">
        <v>0</v>
      </c>
      <c r="U2604" s="182" t="n">
        <v>1.9</v>
      </c>
      <c r="V2604" s="182" t="n">
        <v>0</v>
      </c>
      <c r="W2604" s="182" t="n">
        <v>0</v>
      </c>
      <c r="X2604" s="182" t="n">
        <v>0.95</v>
      </c>
      <c r="Y2604" s="182" t="n">
        <v>0</v>
      </c>
      <c r="Z2604" s="182" t="n">
        <v>0</v>
      </c>
      <c r="AA2604" s="182" t="n">
        <v>0</v>
      </c>
      <c r="AB2604" s="182" t="n">
        <v>0</v>
      </c>
      <c r="AC2604" s="182" t="n">
        <v>0</v>
      </c>
      <c r="AD2604" s="182" t="n">
        <v>0</v>
      </c>
      <c r="AE2604" s="182" t="n">
        <v>0</v>
      </c>
      <c r="AF2604" s="182" t="n">
        <v>0</v>
      </c>
      <c r="AG2604" s="182" t="n">
        <v>0</v>
      </c>
      <c r="AH2604" s="182" t="n">
        <v>0.49</v>
      </c>
      <c r="AI2604" s="182" t="n">
        <v>0</v>
      </c>
      <c r="AJ2604" s="182" t="n">
        <v>0</v>
      </c>
      <c r="AK2604" s="182" t="n">
        <v>0</v>
      </c>
      <c r="AL2604" s="182" t="n">
        <v>0</v>
      </c>
      <c r="AM2604" s="182" t="n">
        <v>0.08</v>
      </c>
      <c r="AN2604" s="182" t="n">
        <v>0</v>
      </c>
    </row>
    <row r="2605">
      <c r="A2605" s="155" t="n">
        <v>46093</v>
      </c>
      <c r="B2605" s="156" t="inlineStr">
        <is>
          <t>NS</t>
        </is>
      </c>
      <c r="C2605" s="156" t="inlineStr">
        <is>
          <t>DT-507</t>
        </is>
      </c>
      <c r="D2605" s="156" t="inlineStr">
        <is>
          <t>SKT 105S</t>
        </is>
      </c>
      <c r="E2605" s="156" t="inlineStr">
        <is>
          <t>Hauler</t>
        </is>
      </c>
      <c r="F2605" s="156" t="inlineStr">
        <is>
          <t>Hauling OB</t>
        </is>
      </c>
      <c r="G2605" s="182" t="n">
        <v>8.16</v>
      </c>
      <c r="H2605" s="182" t="n">
        <v>0</v>
      </c>
      <c r="I2605" s="182" t="n">
        <v>0</v>
      </c>
      <c r="J2605" s="182" t="n">
        <v>0</v>
      </c>
      <c r="K2605" s="182" t="n">
        <v>3.84</v>
      </c>
      <c r="L2605" s="182" t="n">
        <v>12</v>
      </c>
      <c r="M2605" s="182" t="n">
        <v>8.16</v>
      </c>
      <c r="N2605" s="182" t="n">
        <v>0</v>
      </c>
      <c r="O2605" s="183" t="n">
        <v>37</v>
      </c>
      <c r="P2605" s="183" t="n">
        <v>0</v>
      </c>
      <c r="Q2605" s="184" t="n">
        <v>754.8</v>
      </c>
      <c r="R2605" s="184" t="n">
        <v>0</v>
      </c>
      <c r="S2605" s="183" t="n">
        <v>0</v>
      </c>
      <c r="T2605" s="183" t="n">
        <v>0</v>
      </c>
      <c r="U2605" s="182" t="n">
        <v>2.08</v>
      </c>
      <c r="V2605" s="182" t="n">
        <v>0</v>
      </c>
      <c r="W2605" s="182" t="n">
        <v>0</v>
      </c>
      <c r="X2605" s="182" t="n">
        <v>1.04</v>
      </c>
      <c r="Y2605" s="182" t="n">
        <v>0</v>
      </c>
      <c r="Z2605" s="182" t="n">
        <v>0</v>
      </c>
      <c r="AA2605" s="182" t="n">
        <v>0</v>
      </c>
      <c r="AB2605" s="182" t="n">
        <v>0</v>
      </c>
      <c r="AC2605" s="182" t="n">
        <v>0</v>
      </c>
      <c r="AD2605" s="182" t="n">
        <v>0</v>
      </c>
      <c r="AE2605" s="182" t="n">
        <v>0</v>
      </c>
      <c r="AF2605" s="182" t="n">
        <v>0</v>
      </c>
      <c r="AG2605" s="182" t="n">
        <v>0</v>
      </c>
      <c r="AH2605" s="182" t="n">
        <v>0.64</v>
      </c>
      <c r="AI2605" s="182" t="n">
        <v>0</v>
      </c>
      <c r="AJ2605" s="182" t="n">
        <v>0</v>
      </c>
      <c r="AK2605" s="182" t="n">
        <v>0</v>
      </c>
      <c r="AL2605" s="182" t="n">
        <v>0</v>
      </c>
      <c r="AM2605" s="182" t="n">
        <v>0.08</v>
      </c>
      <c r="AN2605" s="182" t="n">
        <v>0</v>
      </c>
    </row>
    <row r="2606">
      <c r="A2606" s="155" t="n">
        <v>46093</v>
      </c>
      <c r="B2606" s="156" t="inlineStr">
        <is>
          <t>NS</t>
        </is>
      </c>
      <c r="C2606" s="156" t="inlineStr">
        <is>
          <t>DT-501</t>
        </is>
      </c>
      <c r="D2606" s="156" t="inlineStr">
        <is>
          <t>SKT 105S</t>
        </is>
      </c>
      <c r="E2606" s="156" t="inlineStr">
        <is>
          <t>Hauler</t>
        </is>
      </c>
      <c r="F2606" s="156" t="inlineStr">
        <is>
          <t>Hauling OB</t>
        </is>
      </c>
      <c r="G2606" s="182" t="n">
        <v>9.57</v>
      </c>
      <c r="H2606" s="182" t="n">
        <v>0</v>
      </c>
      <c r="I2606" s="182" t="n">
        <v>0</v>
      </c>
      <c r="J2606" s="182" t="n">
        <v>0</v>
      </c>
      <c r="K2606" s="182" t="n">
        <v>2.43</v>
      </c>
      <c r="L2606" s="182" t="n">
        <v>12</v>
      </c>
      <c r="M2606" s="182" t="n">
        <v>9.57</v>
      </c>
      <c r="N2606" s="182" t="n">
        <v>0</v>
      </c>
      <c r="O2606" s="183" t="n">
        <v>38</v>
      </c>
      <c r="P2606" s="183" t="n">
        <v>0</v>
      </c>
      <c r="Q2606" s="184" t="n">
        <v>775.2</v>
      </c>
      <c r="R2606" s="184" t="n">
        <v>0</v>
      </c>
      <c r="S2606" s="183" t="n">
        <v>0</v>
      </c>
      <c r="T2606" s="183" t="n">
        <v>0</v>
      </c>
      <c r="U2606" s="182" t="n">
        <v>0</v>
      </c>
      <c r="V2606" s="182" t="n">
        <v>0</v>
      </c>
      <c r="W2606" s="182" t="n">
        <v>0</v>
      </c>
      <c r="X2606" s="182" t="n">
        <v>1.01</v>
      </c>
      <c r="Y2606" s="182" t="n">
        <v>0</v>
      </c>
      <c r="Z2606" s="182" t="n">
        <v>0</v>
      </c>
      <c r="AA2606" s="182" t="n">
        <v>0</v>
      </c>
      <c r="AB2606" s="182" t="n">
        <v>0</v>
      </c>
      <c r="AC2606" s="182" t="n">
        <v>0</v>
      </c>
      <c r="AD2606" s="182" t="n">
        <v>0</v>
      </c>
      <c r="AE2606" s="182" t="n">
        <v>0</v>
      </c>
      <c r="AF2606" s="182" t="n">
        <v>0</v>
      </c>
      <c r="AG2606" s="182" t="n">
        <v>0.61</v>
      </c>
      <c r="AH2606" s="182" t="n">
        <v>0.73</v>
      </c>
      <c r="AI2606" s="182" t="n">
        <v>0</v>
      </c>
      <c r="AJ2606" s="182" t="n">
        <v>0</v>
      </c>
      <c r="AK2606" s="182" t="n">
        <v>0</v>
      </c>
      <c r="AL2606" s="182" t="n">
        <v>0</v>
      </c>
      <c r="AM2606" s="182" t="n">
        <v>0.08</v>
      </c>
      <c r="AN2606" s="182" t="n">
        <v>0</v>
      </c>
    </row>
    <row r="2607">
      <c r="A2607" s="155" t="n">
        <v>46093</v>
      </c>
      <c r="B2607" s="156" t="inlineStr">
        <is>
          <t>NS</t>
        </is>
      </c>
      <c r="C2607" s="156" t="inlineStr">
        <is>
          <t>DT-518</t>
        </is>
      </c>
      <c r="D2607" s="156" t="inlineStr">
        <is>
          <t>SKT 105S</t>
        </is>
      </c>
      <c r="E2607" s="156" t="inlineStr">
        <is>
          <t>Hauler</t>
        </is>
      </c>
      <c r="F2607" s="156" t="inlineStr">
        <is>
          <t>Hauling OB &amp; Coal</t>
        </is>
      </c>
      <c r="G2607" s="182" t="n">
        <v>10.6</v>
      </c>
      <c r="H2607" s="182" t="n">
        <v>0</v>
      </c>
      <c r="I2607" s="182" t="n">
        <v>0</v>
      </c>
      <c r="J2607" s="182" t="n">
        <v>0</v>
      </c>
      <c r="K2607" s="182" t="n">
        <v>1.4</v>
      </c>
      <c r="L2607" s="182" t="n">
        <v>12</v>
      </c>
      <c r="M2607" s="182" t="n">
        <v>7.63</v>
      </c>
      <c r="N2607" s="182" t="n">
        <v>2.97</v>
      </c>
      <c r="O2607" s="183" t="n">
        <v>33</v>
      </c>
      <c r="P2607" s="183" t="n">
        <v>10</v>
      </c>
      <c r="Q2607" s="184" t="n">
        <v>673.2</v>
      </c>
      <c r="R2607" s="184" t="n">
        <v>187</v>
      </c>
      <c r="S2607" s="183" t="n">
        <v>0</v>
      </c>
      <c r="T2607" s="183" t="n">
        <v>0</v>
      </c>
      <c r="U2607" s="182" t="n">
        <v>0</v>
      </c>
      <c r="V2607" s="182" t="n">
        <v>0</v>
      </c>
      <c r="W2607" s="182" t="n">
        <v>0</v>
      </c>
      <c r="X2607" s="182" t="n">
        <v>1.08</v>
      </c>
      <c r="Y2607" s="182" t="n">
        <v>0</v>
      </c>
      <c r="Z2607" s="182" t="n">
        <v>0</v>
      </c>
      <c r="AA2607" s="182" t="n">
        <v>0</v>
      </c>
      <c r="AB2607" s="182" t="n">
        <v>0</v>
      </c>
      <c r="AC2607" s="182" t="n">
        <v>0</v>
      </c>
      <c r="AD2607" s="182" t="n">
        <v>0</v>
      </c>
      <c r="AE2607" s="182" t="n">
        <v>0</v>
      </c>
      <c r="AF2607" s="182" t="n">
        <v>0</v>
      </c>
      <c r="AG2607" s="182" t="n">
        <v>0</v>
      </c>
      <c r="AH2607" s="182" t="n">
        <v>0.24</v>
      </c>
      <c r="AI2607" s="182" t="n">
        <v>0</v>
      </c>
      <c r="AJ2607" s="182" t="n">
        <v>0</v>
      </c>
      <c r="AK2607" s="182" t="n">
        <v>0</v>
      </c>
      <c r="AL2607" s="182" t="n">
        <v>0</v>
      </c>
      <c r="AM2607" s="182" t="n">
        <v>0.09</v>
      </c>
      <c r="AN2607" s="182" t="n">
        <v>0</v>
      </c>
    </row>
    <row r="2608">
      <c r="A2608" s="155" t="n">
        <v>46093</v>
      </c>
      <c r="B2608" s="156" t="inlineStr">
        <is>
          <t>NS</t>
        </is>
      </c>
      <c r="C2608" s="156" t="inlineStr">
        <is>
          <t>DT-514</t>
        </is>
      </c>
      <c r="D2608" s="156" t="inlineStr">
        <is>
          <t>SKT 105S</t>
        </is>
      </c>
      <c r="E2608" s="156" t="inlineStr">
        <is>
          <t>Hauler</t>
        </is>
      </c>
      <c r="F2608" s="156" t="inlineStr"/>
      <c r="G2608" s="182" t="n">
        <v>0</v>
      </c>
      <c r="H2608" s="182" t="n">
        <v>0</v>
      </c>
      <c r="I2608" s="182" t="n">
        <v>12</v>
      </c>
      <c r="J2608" s="182" t="n">
        <v>12</v>
      </c>
      <c r="K2608" s="182" t="n">
        <v>0</v>
      </c>
      <c r="L2608" s="182" t="n">
        <v>12</v>
      </c>
      <c r="M2608" s="182" t="n">
        <v>0</v>
      </c>
      <c r="N2608" s="182" t="n">
        <v>0</v>
      </c>
      <c r="O2608" s="183" t="n">
        <v>0</v>
      </c>
      <c r="P2608" s="183" t="n">
        <v>0</v>
      </c>
      <c r="Q2608" s="184" t="n">
        <v>0</v>
      </c>
      <c r="R2608" s="184" t="n">
        <v>0</v>
      </c>
      <c r="S2608" s="183" t="n">
        <v>0</v>
      </c>
      <c r="T2608" s="183" t="n">
        <v>0</v>
      </c>
      <c r="U2608" s="182" t="n">
        <v>0</v>
      </c>
      <c r="V2608" s="182" t="n">
        <v>0</v>
      </c>
      <c r="W2608" s="182" t="n">
        <v>0</v>
      </c>
      <c r="X2608" s="182" t="n">
        <v>0</v>
      </c>
      <c r="Y2608" s="182" t="n">
        <v>0</v>
      </c>
      <c r="Z2608" s="182" t="n">
        <v>0</v>
      </c>
      <c r="AA2608" s="182" t="n">
        <v>0</v>
      </c>
      <c r="AB2608" s="182" t="n">
        <v>0</v>
      </c>
      <c r="AC2608" s="182" t="n">
        <v>0</v>
      </c>
      <c r="AD2608" s="182" t="n">
        <v>0</v>
      </c>
      <c r="AE2608" s="182" t="n">
        <v>0</v>
      </c>
      <c r="AF2608" s="182" t="n">
        <v>0</v>
      </c>
      <c r="AG2608" s="182" t="n">
        <v>0</v>
      </c>
      <c r="AH2608" s="182" t="n">
        <v>0</v>
      </c>
      <c r="AI2608" s="182" t="n">
        <v>0</v>
      </c>
      <c r="AJ2608" s="182" t="n">
        <v>0</v>
      </c>
      <c r="AK2608" s="182" t="n">
        <v>0</v>
      </c>
      <c r="AL2608" s="182" t="n">
        <v>0</v>
      </c>
      <c r="AM2608" s="182" t="n">
        <v>0</v>
      </c>
      <c r="AN2608" s="182" t="n">
        <v>0</v>
      </c>
    </row>
    <row r="2609">
      <c r="A2609" s="155" t="n">
        <v>46093</v>
      </c>
      <c r="B2609" s="156" t="inlineStr">
        <is>
          <t>NS</t>
        </is>
      </c>
      <c r="C2609" s="156" t="inlineStr">
        <is>
          <t>DT-523</t>
        </is>
      </c>
      <c r="D2609" s="156" t="inlineStr">
        <is>
          <t>SKT 105S</t>
        </is>
      </c>
      <c r="E2609" s="156" t="inlineStr">
        <is>
          <t>Hauler</t>
        </is>
      </c>
      <c r="F2609" s="156" t="inlineStr">
        <is>
          <t>Hauling OB</t>
        </is>
      </c>
      <c r="G2609" s="182" t="n">
        <v>9.58</v>
      </c>
      <c r="H2609" s="182" t="n">
        <v>0</v>
      </c>
      <c r="I2609" s="182" t="n">
        <v>0</v>
      </c>
      <c r="J2609" s="182" t="n">
        <v>0</v>
      </c>
      <c r="K2609" s="182" t="n">
        <v>2.42</v>
      </c>
      <c r="L2609" s="182" t="n">
        <v>12</v>
      </c>
      <c r="M2609" s="182" t="n">
        <v>9.58</v>
      </c>
      <c r="N2609" s="182" t="n">
        <v>0</v>
      </c>
      <c r="O2609" s="183" t="n">
        <v>42</v>
      </c>
      <c r="P2609" s="183" t="n">
        <v>0</v>
      </c>
      <c r="Q2609" s="184" t="n">
        <v>856.8</v>
      </c>
      <c r="R2609" s="184" t="n">
        <v>0</v>
      </c>
      <c r="S2609" s="183" t="n">
        <v>0</v>
      </c>
      <c r="T2609" s="183" t="n">
        <v>0</v>
      </c>
      <c r="U2609" s="182" t="n">
        <v>0</v>
      </c>
      <c r="V2609" s="182" t="n">
        <v>0</v>
      </c>
      <c r="W2609" s="182" t="n">
        <v>0</v>
      </c>
      <c r="X2609" s="182" t="n">
        <v>1.01</v>
      </c>
      <c r="Y2609" s="182" t="n">
        <v>0</v>
      </c>
      <c r="Z2609" s="182" t="n">
        <v>0</v>
      </c>
      <c r="AA2609" s="182" t="n">
        <v>0</v>
      </c>
      <c r="AB2609" s="182" t="n">
        <v>0</v>
      </c>
      <c r="AC2609" s="182" t="n">
        <v>0</v>
      </c>
      <c r="AD2609" s="182" t="n">
        <v>0</v>
      </c>
      <c r="AE2609" s="182" t="n">
        <v>0</v>
      </c>
      <c r="AF2609" s="182" t="n">
        <v>0</v>
      </c>
      <c r="AG2609" s="182" t="n">
        <v>0.6</v>
      </c>
      <c r="AH2609" s="182" t="n">
        <v>0.73</v>
      </c>
      <c r="AI2609" s="182" t="n">
        <v>0</v>
      </c>
      <c r="AJ2609" s="182" t="n">
        <v>0</v>
      </c>
      <c r="AK2609" s="182" t="n">
        <v>0</v>
      </c>
      <c r="AL2609" s="182" t="n">
        <v>0</v>
      </c>
      <c r="AM2609" s="182" t="n">
        <v>0.08</v>
      </c>
      <c r="AN2609" s="182" t="n">
        <v>0</v>
      </c>
    </row>
    <row r="2610">
      <c r="A2610" s="155" t="n">
        <v>46093</v>
      </c>
      <c r="B2610" s="156" t="inlineStr">
        <is>
          <t>NS</t>
        </is>
      </c>
      <c r="C2610" s="156" t="inlineStr">
        <is>
          <t>DT-519</t>
        </is>
      </c>
      <c r="D2610" s="156" t="inlineStr">
        <is>
          <t>SKT 105S</t>
        </is>
      </c>
      <c r="E2610" s="156" t="inlineStr">
        <is>
          <t>Hauler</t>
        </is>
      </c>
      <c r="F2610" s="156" t="inlineStr"/>
      <c r="G2610" s="182" t="n">
        <v>0</v>
      </c>
      <c r="H2610" s="182" t="n">
        <v>0</v>
      </c>
      <c r="I2610" s="182" t="n">
        <v>0</v>
      </c>
      <c r="J2610" s="182" t="n">
        <v>0</v>
      </c>
      <c r="K2610" s="182" t="n">
        <v>12</v>
      </c>
      <c r="L2610" s="182" t="n">
        <v>12</v>
      </c>
      <c r="M2610" s="182" t="n">
        <v>0</v>
      </c>
      <c r="N2610" s="182" t="n">
        <v>0</v>
      </c>
      <c r="O2610" s="183" t="n">
        <v>0</v>
      </c>
      <c r="P2610" s="183" t="n">
        <v>0</v>
      </c>
      <c r="Q2610" s="184" t="n">
        <v>0</v>
      </c>
      <c r="R2610" s="184" t="n">
        <v>0</v>
      </c>
      <c r="S2610" s="183" t="n">
        <v>0</v>
      </c>
      <c r="T2610" s="183" t="n">
        <v>0</v>
      </c>
      <c r="U2610" s="182" t="n">
        <v>0</v>
      </c>
      <c r="V2610" s="182" t="n">
        <v>0</v>
      </c>
      <c r="W2610" s="182" t="n">
        <v>0</v>
      </c>
      <c r="X2610" s="182" t="n">
        <v>1</v>
      </c>
      <c r="Y2610" s="182" t="n">
        <v>0</v>
      </c>
      <c r="Z2610" s="182" t="n">
        <v>0</v>
      </c>
      <c r="AA2610" s="182" t="n">
        <v>0</v>
      </c>
      <c r="AB2610" s="182" t="n">
        <v>0</v>
      </c>
      <c r="AC2610" s="182" t="n">
        <v>0</v>
      </c>
      <c r="AD2610" s="182" t="n">
        <v>0</v>
      </c>
      <c r="AE2610" s="182" t="n">
        <v>0</v>
      </c>
      <c r="AF2610" s="182" t="n">
        <v>0</v>
      </c>
      <c r="AG2610" s="182" t="n">
        <v>0</v>
      </c>
      <c r="AH2610" s="182" t="n">
        <v>0</v>
      </c>
      <c r="AI2610" s="182" t="n">
        <v>10.92</v>
      </c>
      <c r="AJ2610" s="182" t="n">
        <v>0</v>
      </c>
      <c r="AK2610" s="182" t="n">
        <v>0</v>
      </c>
      <c r="AL2610" s="182" t="n">
        <v>0</v>
      </c>
      <c r="AM2610" s="182" t="n">
        <v>0.08</v>
      </c>
      <c r="AN2610" s="182" t="n">
        <v>0</v>
      </c>
    </row>
    <row r="2611">
      <c r="A2611" s="155" t="n">
        <v>46093</v>
      </c>
      <c r="B2611" s="156" t="inlineStr">
        <is>
          <t>NS</t>
        </is>
      </c>
      <c r="C2611" s="156" t="inlineStr">
        <is>
          <t>DT-527</t>
        </is>
      </c>
      <c r="D2611" s="156" t="inlineStr">
        <is>
          <t>SKT 105S</t>
        </is>
      </c>
      <c r="E2611" s="156" t="inlineStr">
        <is>
          <t>Hauler</t>
        </is>
      </c>
      <c r="F2611" s="156" t="inlineStr"/>
      <c r="G2611" s="182" t="n">
        <v>0</v>
      </c>
      <c r="H2611" s="182" t="n">
        <v>0</v>
      </c>
      <c r="I2611" s="182" t="n">
        <v>2.1</v>
      </c>
      <c r="J2611" s="182" t="n">
        <v>2.1</v>
      </c>
      <c r="K2611" s="182" t="n">
        <v>9.9</v>
      </c>
      <c r="L2611" s="182" t="n">
        <v>12</v>
      </c>
      <c r="M2611" s="182" t="n">
        <v>0</v>
      </c>
      <c r="N2611" s="182" t="n">
        <v>0</v>
      </c>
      <c r="O2611" s="183" t="n">
        <v>0</v>
      </c>
      <c r="P2611" s="183" t="n">
        <v>0</v>
      </c>
      <c r="Q2611" s="184" t="n">
        <v>0</v>
      </c>
      <c r="R2611" s="184" t="n">
        <v>0</v>
      </c>
      <c r="S2611" s="183" t="n">
        <v>0</v>
      </c>
      <c r="T2611" s="183" t="n">
        <v>0</v>
      </c>
      <c r="U2611" s="182" t="n">
        <v>0</v>
      </c>
      <c r="V2611" s="182" t="n">
        <v>0</v>
      </c>
      <c r="W2611" s="182" t="n">
        <v>0</v>
      </c>
      <c r="X2611" s="182" t="n">
        <v>1</v>
      </c>
      <c r="Y2611" s="182" t="n">
        <v>0</v>
      </c>
      <c r="Z2611" s="182" t="n">
        <v>0</v>
      </c>
      <c r="AA2611" s="182" t="n">
        <v>0</v>
      </c>
      <c r="AB2611" s="182" t="n">
        <v>0</v>
      </c>
      <c r="AC2611" s="182" t="n">
        <v>0</v>
      </c>
      <c r="AD2611" s="182" t="n">
        <v>0</v>
      </c>
      <c r="AE2611" s="182" t="n">
        <v>0</v>
      </c>
      <c r="AF2611" s="182" t="n">
        <v>0</v>
      </c>
      <c r="AG2611" s="182" t="n">
        <v>0</v>
      </c>
      <c r="AH2611" s="182" t="n">
        <v>0</v>
      </c>
      <c r="AI2611" s="182" t="n">
        <v>8.82</v>
      </c>
      <c r="AJ2611" s="182" t="n">
        <v>0</v>
      </c>
      <c r="AK2611" s="182" t="n">
        <v>0</v>
      </c>
      <c r="AL2611" s="182" t="n">
        <v>0</v>
      </c>
      <c r="AM2611" s="182" t="n">
        <v>0.08</v>
      </c>
      <c r="AN2611" s="182" t="n">
        <v>0</v>
      </c>
    </row>
    <row r="2612">
      <c r="A2612" s="155" t="n">
        <v>46093</v>
      </c>
      <c r="B2612" s="156" t="inlineStr">
        <is>
          <t>NS</t>
        </is>
      </c>
      <c r="C2612" s="156" t="inlineStr">
        <is>
          <t>DT-513</t>
        </is>
      </c>
      <c r="D2612" s="156" t="inlineStr">
        <is>
          <t>SKT 105S</t>
        </is>
      </c>
      <c r="E2612" s="156" t="inlineStr">
        <is>
          <t>Hauler</t>
        </is>
      </c>
      <c r="F2612" s="156" t="inlineStr">
        <is>
          <t>Hauling OB &amp; Coal</t>
        </is>
      </c>
      <c r="G2612" s="182" t="n">
        <v>10.45</v>
      </c>
      <c r="H2612" s="182" t="n">
        <v>0</v>
      </c>
      <c r="I2612" s="182" t="n">
        <v>0.67</v>
      </c>
      <c r="J2612" s="182" t="n">
        <v>0.67</v>
      </c>
      <c r="K2612" s="182" t="n">
        <v>0.88</v>
      </c>
      <c r="L2612" s="182" t="n">
        <v>12</v>
      </c>
      <c r="M2612" s="182" t="n">
        <v>7.28</v>
      </c>
      <c r="N2612" s="182" t="n">
        <v>3.17</v>
      </c>
      <c r="O2612" s="183" t="n">
        <v>28</v>
      </c>
      <c r="P2612" s="183" t="n">
        <v>8</v>
      </c>
      <c r="Q2612" s="184" t="n">
        <v>571.2</v>
      </c>
      <c r="R2612" s="184" t="n">
        <v>149.6</v>
      </c>
      <c r="S2612" s="183" t="n">
        <v>0</v>
      </c>
      <c r="T2612" s="183" t="n">
        <v>0</v>
      </c>
      <c r="U2612" s="182" t="n">
        <v>0</v>
      </c>
      <c r="V2612" s="182" t="n">
        <v>0</v>
      </c>
      <c r="W2612" s="182" t="n">
        <v>0</v>
      </c>
      <c r="X2612" s="182" t="n">
        <v>0.62</v>
      </c>
      <c r="Y2612" s="182" t="n">
        <v>0</v>
      </c>
      <c r="Z2612" s="182" t="n">
        <v>0</v>
      </c>
      <c r="AA2612" s="182" t="n">
        <v>0</v>
      </c>
      <c r="AB2612" s="182" t="n">
        <v>0</v>
      </c>
      <c r="AC2612" s="182" t="n">
        <v>0</v>
      </c>
      <c r="AD2612" s="182" t="n">
        <v>0</v>
      </c>
      <c r="AE2612" s="182" t="n">
        <v>0</v>
      </c>
      <c r="AF2612" s="182" t="n">
        <v>0</v>
      </c>
      <c r="AG2612" s="182" t="n">
        <v>0</v>
      </c>
      <c r="AH2612" s="182" t="n">
        <v>0.22</v>
      </c>
      <c r="AI2612" s="182" t="n">
        <v>0</v>
      </c>
      <c r="AJ2612" s="182" t="n">
        <v>0</v>
      </c>
      <c r="AK2612" s="182" t="n">
        <v>0</v>
      </c>
      <c r="AL2612" s="182" t="n">
        <v>0</v>
      </c>
      <c r="AM2612" s="182" t="n">
        <v>0.05</v>
      </c>
      <c r="AN2612" s="182" t="n">
        <v>0</v>
      </c>
    </row>
    <row r="2613">
      <c r="A2613" s="155" t="n">
        <v>46093</v>
      </c>
      <c r="B2613" s="156" t="inlineStr">
        <is>
          <t>NS</t>
        </is>
      </c>
      <c r="C2613" s="156" t="inlineStr">
        <is>
          <t>DT-512</t>
        </is>
      </c>
      <c r="D2613" s="156" t="inlineStr">
        <is>
          <t>SKT 105S</t>
        </is>
      </c>
      <c r="E2613" s="156" t="inlineStr">
        <is>
          <t>Hauler</t>
        </is>
      </c>
      <c r="F2613" s="156" t="inlineStr">
        <is>
          <t>Hauling OB</t>
        </is>
      </c>
      <c r="G2613" s="182" t="n">
        <v>10.54</v>
      </c>
      <c r="H2613" s="182" t="n">
        <v>0</v>
      </c>
      <c r="I2613" s="182" t="n">
        <v>0</v>
      </c>
      <c r="J2613" s="182" t="n">
        <v>0</v>
      </c>
      <c r="K2613" s="182" t="n">
        <v>1.46</v>
      </c>
      <c r="L2613" s="182" t="n">
        <v>12</v>
      </c>
      <c r="M2613" s="182" t="n">
        <v>10.54</v>
      </c>
      <c r="N2613" s="182" t="n">
        <v>0</v>
      </c>
      <c r="O2613" s="183" t="n">
        <v>44</v>
      </c>
      <c r="P2613" s="183" t="n">
        <v>0</v>
      </c>
      <c r="Q2613" s="184" t="n">
        <v>897.6</v>
      </c>
      <c r="R2613" s="184" t="n">
        <v>0</v>
      </c>
      <c r="S2613" s="183" t="n">
        <v>0</v>
      </c>
      <c r="T2613" s="183" t="n">
        <v>0</v>
      </c>
      <c r="U2613" s="182" t="n">
        <v>0</v>
      </c>
      <c r="V2613" s="182" t="n">
        <v>0</v>
      </c>
      <c r="W2613" s="182" t="n">
        <v>0</v>
      </c>
      <c r="X2613" s="182" t="n">
        <v>1.22</v>
      </c>
      <c r="Y2613" s="182" t="n">
        <v>0</v>
      </c>
      <c r="Z2613" s="182" t="n">
        <v>0</v>
      </c>
      <c r="AA2613" s="182" t="n">
        <v>0</v>
      </c>
      <c r="AB2613" s="182" t="n">
        <v>0</v>
      </c>
      <c r="AC2613" s="182" t="n">
        <v>0</v>
      </c>
      <c r="AD2613" s="182" t="n">
        <v>0</v>
      </c>
      <c r="AE2613" s="182" t="n">
        <v>0</v>
      </c>
      <c r="AF2613" s="182" t="n">
        <v>0</v>
      </c>
      <c r="AG2613" s="182" t="n">
        <v>0</v>
      </c>
      <c r="AH2613" s="182" t="n">
        <v>0.15</v>
      </c>
      <c r="AI2613" s="182" t="n">
        <v>0</v>
      </c>
      <c r="AJ2613" s="182" t="n">
        <v>0</v>
      </c>
      <c r="AK2613" s="182" t="n">
        <v>0</v>
      </c>
      <c r="AL2613" s="182" t="n">
        <v>0</v>
      </c>
      <c r="AM2613" s="182" t="n">
        <v>0.1</v>
      </c>
      <c r="AN2613" s="182" t="n">
        <v>0</v>
      </c>
    </row>
    <row r="2614">
      <c r="A2614" s="155" t="n">
        <v>46093</v>
      </c>
      <c r="B2614" s="156" t="inlineStr">
        <is>
          <t>NS</t>
        </is>
      </c>
      <c r="C2614" s="156" t="inlineStr">
        <is>
          <t>DT-522</t>
        </is>
      </c>
      <c r="D2614" s="156" t="inlineStr">
        <is>
          <t>SKT 105S</t>
        </is>
      </c>
      <c r="E2614" s="156" t="inlineStr">
        <is>
          <t>Hauler</t>
        </is>
      </c>
      <c r="F2614" s="156" t="inlineStr">
        <is>
          <t>Hauling OB &amp; Coal</t>
        </is>
      </c>
      <c r="G2614" s="182" t="n">
        <v>10.14</v>
      </c>
      <c r="H2614" s="182" t="n">
        <v>0</v>
      </c>
      <c r="I2614" s="182" t="n">
        <v>0</v>
      </c>
      <c r="J2614" s="182" t="n">
        <v>0</v>
      </c>
      <c r="K2614" s="182" t="n">
        <v>1.86</v>
      </c>
      <c r="L2614" s="182" t="n">
        <v>12</v>
      </c>
      <c r="M2614" s="182" t="n">
        <v>7.1</v>
      </c>
      <c r="N2614" s="182" t="n">
        <v>3.04</v>
      </c>
      <c r="O2614" s="183" t="n">
        <v>27</v>
      </c>
      <c r="P2614" s="183" t="n">
        <v>9</v>
      </c>
      <c r="Q2614" s="184" t="n">
        <v>550.8</v>
      </c>
      <c r="R2614" s="184" t="n">
        <v>168.3</v>
      </c>
      <c r="S2614" s="183" t="n">
        <v>0</v>
      </c>
      <c r="T2614" s="183" t="n">
        <v>0</v>
      </c>
      <c r="U2614" s="182" t="n">
        <v>0</v>
      </c>
      <c r="V2614" s="182" t="n">
        <v>0</v>
      </c>
      <c r="W2614" s="182" t="n">
        <v>0</v>
      </c>
      <c r="X2614" s="182" t="n">
        <v>0.93</v>
      </c>
      <c r="Y2614" s="182" t="n">
        <v>0</v>
      </c>
      <c r="Z2614" s="182" t="n">
        <v>0</v>
      </c>
      <c r="AA2614" s="182" t="n">
        <v>0</v>
      </c>
      <c r="AB2614" s="182" t="n">
        <v>0</v>
      </c>
      <c r="AC2614" s="182" t="n">
        <v>0</v>
      </c>
      <c r="AD2614" s="182" t="n">
        <v>0</v>
      </c>
      <c r="AE2614" s="182" t="n">
        <v>0</v>
      </c>
      <c r="AF2614" s="182" t="n">
        <v>0</v>
      </c>
      <c r="AG2614" s="182" t="n">
        <v>0</v>
      </c>
      <c r="AH2614" s="182" t="n">
        <v>0.86</v>
      </c>
      <c r="AI2614" s="182" t="n">
        <v>0</v>
      </c>
      <c r="AJ2614" s="182" t="n">
        <v>0</v>
      </c>
      <c r="AK2614" s="182" t="n">
        <v>0</v>
      </c>
      <c r="AL2614" s="182" t="n">
        <v>0</v>
      </c>
      <c r="AM2614" s="182" t="n">
        <v>0.07000000000000001</v>
      </c>
      <c r="AN2614" s="182" t="n">
        <v>0</v>
      </c>
    </row>
    <row r="2615">
      <c r="A2615" s="155" t="n">
        <v>46093</v>
      </c>
      <c r="B2615" s="156" t="inlineStr">
        <is>
          <t>NS</t>
        </is>
      </c>
      <c r="C2615" s="156" t="inlineStr">
        <is>
          <t>DT-517</t>
        </is>
      </c>
      <c r="D2615" s="156" t="inlineStr">
        <is>
          <t>SKT 105S</t>
        </is>
      </c>
      <c r="E2615" s="156" t="inlineStr">
        <is>
          <t>Hauler</t>
        </is>
      </c>
      <c r="F2615" s="156" t="inlineStr">
        <is>
          <t>Hauling OB</t>
        </is>
      </c>
      <c r="G2615" s="182" t="n">
        <v>7.19</v>
      </c>
      <c r="H2615" s="182" t="n">
        <v>0</v>
      </c>
      <c r="I2615" s="182" t="n">
        <v>0</v>
      </c>
      <c r="J2615" s="182" t="n">
        <v>0</v>
      </c>
      <c r="K2615" s="182" t="n">
        <v>4.81</v>
      </c>
      <c r="L2615" s="182" t="n">
        <v>12</v>
      </c>
      <c r="M2615" s="182" t="n">
        <v>7.19</v>
      </c>
      <c r="N2615" s="182" t="n">
        <v>0</v>
      </c>
      <c r="O2615" s="183" t="n">
        <v>23</v>
      </c>
      <c r="P2615" s="183" t="n">
        <v>0</v>
      </c>
      <c r="Q2615" s="184" t="n">
        <v>469.2</v>
      </c>
      <c r="R2615" s="184" t="n">
        <v>0</v>
      </c>
      <c r="S2615" s="183" t="n">
        <v>0</v>
      </c>
      <c r="T2615" s="183" t="n">
        <v>0</v>
      </c>
      <c r="U2615" s="182" t="n">
        <v>0</v>
      </c>
      <c r="V2615" s="182" t="n">
        <v>0</v>
      </c>
      <c r="W2615" s="182" t="n">
        <v>0</v>
      </c>
      <c r="X2615" s="182" t="n">
        <v>1.07</v>
      </c>
      <c r="Y2615" s="182" t="n">
        <v>0</v>
      </c>
      <c r="Z2615" s="182" t="n">
        <v>0</v>
      </c>
      <c r="AA2615" s="182" t="n">
        <v>0</v>
      </c>
      <c r="AB2615" s="182" t="n">
        <v>0</v>
      </c>
      <c r="AC2615" s="182" t="n">
        <v>0</v>
      </c>
      <c r="AD2615" s="182" t="n">
        <v>0</v>
      </c>
      <c r="AE2615" s="182" t="n">
        <v>0</v>
      </c>
      <c r="AF2615" s="182" t="n">
        <v>0</v>
      </c>
      <c r="AG2615" s="182" t="n">
        <v>0</v>
      </c>
      <c r="AH2615" s="182" t="n">
        <v>0</v>
      </c>
      <c r="AI2615" s="182" t="n">
        <v>3.66</v>
      </c>
      <c r="AJ2615" s="182" t="n">
        <v>0</v>
      </c>
      <c r="AK2615" s="182" t="n">
        <v>0</v>
      </c>
      <c r="AL2615" s="182" t="n">
        <v>0</v>
      </c>
      <c r="AM2615" s="182" t="n">
        <v>0.09</v>
      </c>
      <c r="AN2615" s="182" t="n">
        <v>0</v>
      </c>
    </row>
    <row r="2616">
      <c r="A2616" s="155" t="n">
        <v>46093</v>
      </c>
      <c r="B2616" s="156" t="inlineStr">
        <is>
          <t>NS</t>
        </is>
      </c>
      <c r="C2616" s="156" t="inlineStr">
        <is>
          <t>DT-510</t>
        </is>
      </c>
      <c r="D2616" s="156" t="inlineStr">
        <is>
          <t>SKT 105S</t>
        </is>
      </c>
      <c r="E2616" s="156" t="inlineStr">
        <is>
          <t>Hauler</t>
        </is>
      </c>
      <c r="F2616" s="156" t="inlineStr">
        <is>
          <t>Hauling OB</t>
        </is>
      </c>
      <c r="G2616" s="182" t="n">
        <v>8.890000000000001</v>
      </c>
      <c r="H2616" s="182" t="n">
        <v>0</v>
      </c>
      <c r="I2616" s="182" t="n">
        <v>0</v>
      </c>
      <c r="J2616" s="182" t="n">
        <v>0</v>
      </c>
      <c r="K2616" s="182" t="n">
        <v>3.11</v>
      </c>
      <c r="L2616" s="182" t="n">
        <v>12</v>
      </c>
      <c r="M2616" s="182" t="n">
        <v>8.890000000000001</v>
      </c>
      <c r="N2616" s="182" t="n">
        <v>0</v>
      </c>
      <c r="O2616" s="183" t="n">
        <v>41</v>
      </c>
      <c r="P2616" s="183" t="n">
        <v>0</v>
      </c>
      <c r="Q2616" s="184" t="n">
        <v>836.4</v>
      </c>
      <c r="R2616" s="184" t="n">
        <v>0</v>
      </c>
      <c r="S2616" s="183" t="n">
        <v>0</v>
      </c>
      <c r="T2616" s="183" t="n">
        <v>0</v>
      </c>
      <c r="U2616" s="182" t="n">
        <v>0</v>
      </c>
      <c r="V2616" s="182" t="n">
        <v>0</v>
      </c>
      <c r="W2616" s="182" t="n">
        <v>0</v>
      </c>
      <c r="X2616" s="182" t="n">
        <v>1.07</v>
      </c>
      <c r="Y2616" s="182" t="n">
        <v>0</v>
      </c>
      <c r="Z2616" s="182" t="n">
        <v>0</v>
      </c>
      <c r="AA2616" s="182" t="n">
        <v>0</v>
      </c>
      <c r="AB2616" s="182" t="n">
        <v>0</v>
      </c>
      <c r="AC2616" s="182" t="n">
        <v>0</v>
      </c>
      <c r="AD2616" s="182" t="n">
        <v>0</v>
      </c>
      <c r="AE2616" s="182" t="n">
        <v>0</v>
      </c>
      <c r="AF2616" s="182" t="n">
        <v>0</v>
      </c>
      <c r="AG2616" s="182" t="n">
        <v>0.97</v>
      </c>
      <c r="AH2616" s="182" t="n">
        <v>0.99</v>
      </c>
      <c r="AI2616" s="182" t="n">
        <v>0</v>
      </c>
      <c r="AJ2616" s="182" t="n">
        <v>0</v>
      </c>
      <c r="AK2616" s="182" t="n">
        <v>0</v>
      </c>
      <c r="AL2616" s="182" t="n">
        <v>0</v>
      </c>
      <c r="AM2616" s="182" t="n">
        <v>0.09</v>
      </c>
      <c r="AN2616" s="182" t="n">
        <v>0</v>
      </c>
    </row>
    <row r="2617">
      <c r="A2617" s="155" t="n">
        <v>46093</v>
      </c>
      <c r="B2617" s="156" t="inlineStr">
        <is>
          <t>NS</t>
        </is>
      </c>
      <c r="C2617" s="156" t="inlineStr">
        <is>
          <t>DT-521</t>
        </is>
      </c>
      <c r="D2617" s="156" t="inlineStr">
        <is>
          <t>SKT 105S</t>
        </is>
      </c>
      <c r="E2617" s="156" t="inlineStr">
        <is>
          <t>Hauler</t>
        </is>
      </c>
      <c r="F2617" s="156" t="inlineStr">
        <is>
          <t>Hauling OB</t>
        </is>
      </c>
      <c r="G2617" s="182" t="n">
        <v>8.4</v>
      </c>
      <c r="H2617" s="182" t="n">
        <v>0</v>
      </c>
      <c r="I2617" s="182" t="n">
        <v>0</v>
      </c>
      <c r="J2617" s="182" t="n">
        <v>0</v>
      </c>
      <c r="K2617" s="182" t="n">
        <v>3.6</v>
      </c>
      <c r="L2617" s="182" t="n">
        <v>12</v>
      </c>
      <c r="M2617" s="182" t="n">
        <v>8.220000000000001</v>
      </c>
      <c r="N2617" s="182" t="n">
        <v>0</v>
      </c>
      <c r="O2617" s="183" t="n">
        <v>26</v>
      </c>
      <c r="P2617" s="183" t="n">
        <v>0</v>
      </c>
      <c r="Q2617" s="184" t="n">
        <v>530.4</v>
      </c>
      <c r="R2617" s="184" t="n">
        <v>0</v>
      </c>
      <c r="S2617" s="183" t="n">
        <v>0</v>
      </c>
      <c r="T2617" s="183" t="n">
        <v>0</v>
      </c>
      <c r="U2617" s="182" t="n">
        <v>1.89</v>
      </c>
      <c r="V2617" s="182" t="n">
        <v>0</v>
      </c>
      <c r="W2617" s="182" t="n">
        <v>0</v>
      </c>
      <c r="X2617" s="182" t="n">
        <v>0.95</v>
      </c>
      <c r="Y2617" s="182" t="n">
        <v>0</v>
      </c>
      <c r="Z2617" s="182" t="n">
        <v>0</v>
      </c>
      <c r="AA2617" s="182" t="n">
        <v>0</v>
      </c>
      <c r="AB2617" s="182" t="n">
        <v>0</v>
      </c>
      <c r="AC2617" s="182" t="n">
        <v>0</v>
      </c>
      <c r="AD2617" s="182" t="n">
        <v>0</v>
      </c>
      <c r="AE2617" s="182" t="n">
        <v>0</v>
      </c>
      <c r="AF2617" s="182" t="n">
        <v>0</v>
      </c>
      <c r="AG2617" s="182" t="n">
        <v>0</v>
      </c>
      <c r="AH2617" s="182" t="n">
        <v>0.68</v>
      </c>
      <c r="AI2617" s="182" t="n">
        <v>0</v>
      </c>
      <c r="AJ2617" s="182" t="n">
        <v>0</v>
      </c>
      <c r="AK2617" s="182" t="n">
        <v>0</v>
      </c>
      <c r="AL2617" s="182" t="n">
        <v>0</v>
      </c>
      <c r="AM2617" s="182" t="n">
        <v>0.08</v>
      </c>
      <c r="AN2617" s="182" t="n">
        <v>0</v>
      </c>
    </row>
    <row r="2618">
      <c r="A2618" s="155" t="n">
        <v>46093</v>
      </c>
      <c r="B2618" s="156" t="inlineStr">
        <is>
          <t>NS</t>
        </is>
      </c>
      <c r="C2618" s="156" t="inlineStr">
        <is>
          <t>DT-516</t>
        </is>
      </c>
      <c r="D2618" s="156" t="inlineStr">
        <is>
          <t>SKT 105S</t>
        </is>
      </c>
      <c r="E2618" s="156" t="inlineStr">
        <is>
          <t>Hauler</t>
        </is>
      </c>
      <c r="F2618" s="156" t="inlineStr"/>
      <c r="G2618" s="182" t="n">
        <v>0</v>
      </c>
      <c r="H2618" s="182" t="n">
        <v>0</v>
      </c>
      <c r="I2618" s="182" t="n">
        <v>12</v>
      </c>
      <c r="J2618" s="182" t="n">
        <v>12</v>
      </c>
      <c r="K2618" s="182" t="n">
        <v>0</v>
      </c>
      <c r="L2618" s="182" t="n">
        <v>12</v>
      </c>
      <c r="M2618" s="182" t="n">
        <v>0</v>
      </c>
      <c r="N2618" s="182" t="n">
        <v>0</v>
      </c>
      <c r="O2618" s="183" t="n">
        <v>0</v>
      </c>
      <c r="P2618" s="183" t="n">
        <v>0</v>
      </c>
      <c r="Q2618" s="184" t="n">
        <v>0</v>
      </c>
      <c r="R2618" s="184" t="n">
        <v>0</v>
      </c>
      <c r="S2618" s="183" t="n">
        <v>0</v>
      </c>
      <c r="T2618" s="183" t="n">
        <v>0</v>
      </c>
      <c r="U2618" s="182" t="n">
        <v>0</v>
      </c>
      <c r="V2618" s="182" t="n">
        <v>0</v>
      </c>
      <c r="W2618" s="182" t="n">
        <v>0</v>
      </c>
      <c r="X2618" s="182" t="n">
        <v>0</v>
      </c>
      <c r="Y2618" s="182" t="n">
        <v>0</v>
      </c>
      <c r="Z2618" s="182" t="n">
        <v>0</v>
      </c>
      <c r="AA2618" s="182" t="n">
        <v>0</v>
      </c>
      <c r="AB2618" s="182" t="n">
        <v>0</v>
      </c>
      <c r="AC2618" s="182" t="n">
        <v>0</v>
      </c>
      <c r="AD2618" s="182" t="n">
        <v>0</v>
      </c>
      <c r="AE2618" s="182" t="n">
        <v>0</v>
      </c>
      <c r="AF2618" s="182" t="n">
        <v>0</v>
      </c>
      <c r="AG2618" s="182" t="n">
        <v>0</v>
      </c>
      <c r="AH2618" s="182" t="n">
        <v>0</v>
      </c>
      <c r="AI2618" s="182" t="n">
        <v>0</v>
      </c>
      <c r="AJ2618" s="182" t="n">
        <v>0</v>
      </c>
      <c r="AK2618" s="182" t="n">
        <v>0</v>
      </c>
      <c r="AL2618" s="182" t="n">
        <v>0</v>
      </c>
      <c r="AM2618" s="182" t="n">
        <v>0</v>
      </c>
      <c r="AN2618" s="182" t="n">
        <v>0</v>
      </c>
    </row>
    <row r="2619">
      <c r="A2619" s="155" t="n">
        <v>46093</v>
      </c>
      <c r="B2619" s="156" t="inlineStr">
        <is>
          <t>NS</t>
        </is>
      </c>
      <c r="C2619" s="156" t="inlineStr">
        <is>
          <t>DT-506</t>
        </is>
      </c>
      <c r="D2619" s="156" t="inlineStr">
        <is>
          <t>SKT 105S</t>
        </is>
      </c>
      <c r="E2619" s="156" t="inlineStr">
        <is>
          <t>Hauler</t>
        </is>
      </c>
      <c r="F2619" s="156" t="inlineStr"/>
      <c r="G2619" s="182" t="n">
        <v>0</v>
      </c>
      <c r="H2619" s="182" t="n">
        <v>0</v>
      </c>
      <c r="I2619" s="182" t="n">
        <v>0</v>
      </c>
      <c r="J2619" s="182" t="n">
        <v>0</v>
      </c>
      <c r="K2619" s="182" t="n">
        <v>12</v>
      </c>
      <c r="L2619" s="182" t="n">
        <v>12</v>
      </c>
      <c r="M2619" s="182" t="n">
        <v>0</v>
      </c>
      <c r="N2619" s="182" t="n">
        <v>0</v>
      </c>
      <c r="O2619" s="183" t="n">
        <v>0</v>
      </c>
      <c r="P2619" s="183" t="n">
        <v>0</v>
      </c>
      <c r="Q2619" s="184" t="n">
        <v>0</v>
      </c>
      <c r="R2619" s="184" t="n">
        <v>0</v>
      </c>
      <c r="S2619" s="183" t="n">
        <v>0</v>
      </c>
      <c r="T2619" s="183" t="n">
        <v>0</v>
      </c>
      <c r="U2619" s="182" t="n">
        <v>0</v>
      </c>
      <c r="V2619" s="182" t="n">
        <v>0</v>
      </c>
      <c r="W2619" s="182" t="n">
        <v>0</v>
      </c>
      <c r="X2619" s="182" t="n">
        <v>1</v>
      </c>
      <c r="Y2619" s="182" t="n">
        <v>0</v>
      </c>
      <c r="Z2619" s="182" t="n">
        <v>0</v>
      </c>
      <c r="AA2619" s="182" t="n">
        <v>0</v>
      </c>
      <c r="AB2619" s="182" t="n">
        <v>0</v>
      </c>
      <c r="AC2619" s="182" t="n">
        <v>0</v>
      </c>
      <c r="AD2619" s="182" t="n">
        <v>0</v>
      </c>
      <c r="AE2619" s="182" t="n">
        <v>0</v>
      </c>
      <c r="AF2619" s="182" t="n">
        <v>0</v>
      </c>
      <c r="AG2619" s="182" t="n">
        <v>0</v>
      </c>
      <c r="AH2619" s="182" t="n">
        <v>0</v>
      </c>
      <c r="AI2619" s="182" t="n">
        <v>10.92</v>
      </c>
      <c r="AJ2619" s="182" t="n">
        <v>0</v>
      </c>
      <c r="AK2619" s="182" t="n">
        <v>0</v>
      </c>
      <c r="AL2619" s="182" t="n">
        <v>0</v>
      </c>
      <c r="AM2619" s="182" t="n">
        <v>0.08</v>
      </c>
      <c r="AN2619" s="182" t="n">
        <v>0</v>
      </c>
    </row>
    <row r="2620">
      <c r="A2620" s="155" t="n">
        <v>46093</v>
      </c>
      <c r="B2620" s="156" t="inlineStr">
        <is>
          <t>NS</t>
        </is>
      </c>
      <c r="C2620" s="156" t="inlineStr">
        <is>
          <t>DT-502</t>
        </is>
      </c>
      <c r="D2620" s="156" t="inlineStr">
        <is>
          <t>SKT 105S</t>
        </is>
      </c>
      <c r="E2620" s="156" t="inlineStr">
        <is>
          <t>Hauler</t>
        </is>
      </c>
      <c r="F2620" s="156" t="inlineStr">
        <is>
          <t>Hauling OB &amp; Coal</t>
        </is>
      </c>
      <c r="G2620" s="182" t="n">
        <v>10.16</v>
      </c>
      <c r="H2620" s="182" t="n">
        <v>0</v>
      </c>
      <c r="I2620" s="182" t="n">
        <v>0</v>
      </c>
      <c r="J2620" s="182" t="n">
        <v>0</v>
      </c>
      <c r="K2620" s="182" t="n">
        <v>1.84</v>
      </c>
      <c r="L2620" s="182" t="n">
        <v>12</v>
      </c>
      <c r="M2620" s="182" t="n">
        <v>7.17</v>
      </c>
      <c r="N2620" s="182" t="n">
        <v>2.99</v>
      </c>
      <c r="O2620" s="183" t="n">
        <v>31</v>
      </c>
      <c r="P2620" s="183" t="n">
        <v>8</v>
      </c>
      <c r="Q2620" s="184" t="n">
        <v>632.4</v>
      </c>
      <c r="R2620" s="184" t="n">
        <v>149.6</v>
      </c>
      <c r="S2620" s="183" t="n">
        <v>0</v>
      </c>
      <c r="T2620" s="183" t="n">
        <v>0</v>
      </c>
      <c r="U2620" s="182" t="n">
        <v>0</v>
      </c>
      <c r="V2620" s="182" t="n">
        <v>0</v>
      </c>
      <c r="W2620" s="182" t="n">
        <v>0</v>
      </c>
      <c r="X2620" s="182" t="n">
        <v>1.02</v>
      </c>
      <c r="Y2620" s="182" t="n">
        <v>0</v>
      </c>
      <c r="Z2620" s="182" t="n">
        <v>0</v>
      </c>
      <c r="AA2620" s="182" t="n">
        <v>0</v>
      </c>
      <c r="AB2620" s="182" t="n">
        <v>0</v>
      </c>
      <c r="AC2620" s="182" t="n">
        <v>0</v>
      </c>
      <c r="AD2620" s="182" t="n">
        <v>0</v>
      </c>
      <c r="AE2620" s="182" t="n">
        <v>0</v>
      </c>
      <c r="AF2620" s="182" t="n">
        <v>0</v>
      </c>
      <c r="AG2620" s="182" t="n">
        <v>0</v>
      </c>
      <c r="AH2620" s="182" t="n">
        <v>0.74</v>
      </c>
      <c r="AI2620" s="182" t="n">
        <v>0</v>
      </c>
      <c r="AJ2620" s="182" t="n">
        <v>0</v>
      </c>
      <c r="AK2620" s="182" t="n">
        <v>0</v>
      </c>
      <c r="AL2620" s="182" t="n">
        <v>0</v>
      </c>
      <c r="AM2620" s="182" t="n">
        <v>0.08</v>
      </c>
      <c r="AN2620" s="182" t="n">
        <v>0</v>
      </c>
    </row>
    <row r="2621">
      <c r="A2621" s="155" t="n">
        <v>46093</v>
      </c>
      <c r="B2621" s="156" t="inlineStr">
        <is>
          <t>NS</t>
        </is>
      </c>
      <c r="C2621" s="156" t="inlineStr">
        <is>
          <t>DT-528</t>
        </is>
      </c>
      <c r="D2621" s="156" t="inlineStr">
        <is>
          <t>SKT 105S</t>
        </is>
      </c>
      <c r="E2621" s="156" t="inlineStr">
        <is>
          <t>Hauler</t>
        </is>
      </c>
      <c r="F2621" s="156" t="inlineStr">
        <is>
          <t>Hauling OB</t>
        </is>
      </c>
      <c r="G2621" s="182" t="n">
        <v>9.109999999999999</v>
      </c>
      <c r="H2621" s="182" t="n">
        <v>0</v>
      </c>
      <c r="I2621" s="182" t="n">
        <v>0</v>
      </c>
      <c r="J2621" s="182" t="n">
        <v>0</v>
      </c>
      <c r="K2621" s="182" t="n">
        <v>2.89</v>
      </c>
      <c r="L2621" s="182" t="n">
        <v>12</v>
      </c>
      <c r="M2621" s="182" t="n">
        <v>9.109999999999999</v>
      </c>
      <c r="N2621" s="182" t="n">
        <v>0</v>
      </c>
      <c r="O2621" s="183" t="n">
        <v>42</v>
      </c>
      <c r="P2621" s="183" t="n">
        <v>0</v>
      </c>
      <c r="Q2621" s="184" t="n">
        <v>856.8</v>
      </c>
      <c r="R2621" s="184" t="n">
        <v>0</v>
      </c>
      <c r="S2621" s="183" t="n">
        <v>0</v>
      </c>
      <c r="T2621" s="183" t="n">
        <v>0</v>
      </c>
      <c r="U2621" s="182" t="n">
        <v>0</v>
      </c>
      <c r="V2621" s="182" t="n">
        <v>0</v>
      </c>
      <c r="W2621" s="182" t="n">
        <v>0</v>
      </c>
      <c r="X2621" s="182" t="n">
        <v>1.2</v>
      </c>
      <c r="Y2621" s="182" t="n">
        <v>0</v>
      </c>
      <c r="Z2621" s="182" t="n">
        <v>0</v>
      </c>
      <c r="AA2621" s="182" t="n">
        <v>0</v>
      </c>
      <c r="AB2621" s="182" t="n">
        <v>0</v>
      </c>
      <c r="AC2621" s="182" t="n">
        <v>0</v>
      </c>
      <c r="AD2621" s="182" t="n">
        <v>0</v>
      </c>
      <c r="AE2621" s="182" t="n">
        <v>0</v>
      </c>
      <c r="AF2621" s="182" t="n">
        <v>0</v>
      </c>
      <c r="AG2621" s="182" t="n">
        <v>0.72</v>
      </c>
      <c r="AH2621" s="182" t="n">
        <v>0.87</v>
      </c>
      <c r="AI2621" s="182" t="n">
        <v>0</v>
      </c>
      <c r="AJ2621" s="182" t="n">
        <v>0</v>
      </c>
      <c r="AK2621" s="182" t="n">
        <v>0</v>
      </c>
      <c r="AL2621" s="182" t="n">
        <v>0</v>
      </c>
      <c r="AM2621" s="182" t="n">
        <v>0.1</v>
      </c>
      <c r="AN2621" s="182" t="n">
        <v>0</v>
      </c>
    </row>
    <row r="2622">
      <c r="A2622" s="155" t="n">
        <v>46093</v>
      </c>
      <c r="B2622" s="156" t="inlineStr">
        <is>
          <t>NS</t>
        </is>
      </c>
      <c r="C2622" s="156" t="inlineStr">
        <is>
          <t>DT-529</t>
        </is>
      </c>
      <c r="D2622" s="156" t="inlineStr">
        <is>
          <t>SKT 105S</t>
        </is>
      </c>
      <c r="E2622" s="156" t="inlineStr">
        <is>
          <t>Hauler</t>
        </is>
      </c>
      <c r="F2622" s="156" t="inlineStr">
        <is>
          <t>Hauling OB</t>
        </is>
      </c>
      <c r="G2622" s="182" t="n">
        <v>4.6</v>
      </c>
      <c r="H2622" s="182" t="n">
        <v>0</v>
      </c>
      <c r="I2622" s="182" t="n">
        <v>4.67</v>
      </c>
      <c r="J2622" s="182" t="n">
        <v>4.67</v>
      </c>
      <c r="K2622" s="182" t="n">
        <v>2.73</v>
      </c>
      <c r="L2622" s="182" t="n">
        <v>12</v>
      </c>
      <c r="M2622" s="182" t="n">
        <v>4.6</v>
      </c>
      <c r="N2622" s="182" t="n">
        <v>0</v>
      </c>
      <c r="O2622" s="183" t="n">
        <v>17</v>
      </c>
      <c r="P2622" s="183" t="n">
        <v>0</v>
      </c>
      <c r="Q2622" s="184" t="n">
        <v>346.8</v>
      </c>
      <c r="R2622" s="184" t="n">
        <v>0</v>
      </c>
      <c r="S2622" s="183" t="n">
        <v>0</v>
      </c>
      <c r="T2622" s="183" t="n">
        <v>0</v>
      </c>
      <c r="U2622" s="182" t="n">
        <v>0</v>
      </c>
      <c r="V2622" s="182" t="n">
        <v>0</v>
      </c>
      <c r="W2622" s="182" t="n">
        <v>0</v>
      </c>
      <c r="X2622" s="182" t="n">
        <v>0.93</v>
      </c>
      <c r="Y2622" s="182" t="n">
        <v>0</v>
      </c>
      <c r="Z2622" s="182" t="n">
        <v>0</v>
      </c>
      <c r="AA2622" s="182" t="n">
        <v>0</v>
      </c>
      <c r="AB2622" s="182" t="n">
        <v>0</v>
      </c>
      <c r="AC2622" s="182" t="n">
        <v>0</v>
      </c>
      <c r="AD2622" s="182" t="n">
        <v>0</v>
      </c>
      <c r="AE2622" s="182" t="n">
        <v>0</v>
      </c>
      <c r="AF2622" s="182" t="n">
        <v>0</v>
      </c>
      <c r="AG2622" s="182" t="n">
        <v>0.84</v>
      </c>
      <c r="AH2622" s="182" t="n">
        <v>0.89</v>
      </c>
      <c r="AI2622" s="182" t="n">
        <v>0</v>
      </c>
      <c r="AJ2622" s="182" t="n">
        <v>0</v>
      </c>
      <c r="AK2622" s="182" t="n">
        <v>0</v>
      </c>
      <c r="AL2622" s="182" t="n">
        <v>0</v>
      </c>
      <c r="AM2622" s="182" t="n">
        <v>0.07000000000000001</v>
      </c>
      <c r="AN2622" s="182" t="n">
        <v>0</v>
      </c>
    </row>
    <row r="2623">
      <c r="A2623" s="155" t="n">
        <v>46093</v>
      </c>
      <c r="B2623" s="156" t="inlineStr">
        <is>
          <t>NS</t>
        </is>
      </c>
      <c r="C2623" s="156" t="inlineStr">
        <is>
          <t>DT-520</t>
        </is>
      </c>
      <c r="D2623" s="156" t="inlineStr">
        <is>
          <t>SKT 105S</t>
        </is>
      </c>
      <c r="E2623" s="156" t="inlineStr">
        <is>
          <t>Hauler</t>
        </is>
      </c>
      <c r="F2623" s="156" t="inlineStr">
        <is>
          <t>Hauling OB</t>
        </is>
      </c>
      <c r="G2623" s="182" t="n">
        <v>8.27</v>
      </c>
      <c r="H2623" s="182" t="n">
        <v>0</v>
      </c>
      <c r="I2623" s="182" t="n">
        <v>0</v>
      </c>
      <c r="J2623" s="182" t="n">
        <v>0</v>
      </c>
      <c r="K2623" s="182" t="n">
        <v>3.73</v>
      </c>
      <c r="L2623" s="182" t="n">
        <v>12</v>
      </c>
      <c r="M2623" s="182" t="n">
        <v>8.27</v>
      </c>
      <c r="N2623" s="182" t="n">
        <v>0</v>
      </c>
      <c r="O2623" s="183" t="n">
        <v>35</v>
      </c>
      <c r="P2623" s="183" t="n">
        <v>0</v>
      </c>
      <c r="Q2623" s="184" t="n">
        <v>714</v>
      </c>
      <c r="R2623" s="184" t="n">
        <v>0</v>
      </c>
      <c r="S2623" s="183" t="n">
        <v>0</v>
      </c>
      <c r="T2623" s="183" t="n">
        <v>0</v>
      </c>
      <c r="U2623" s="182" t="n">
        <v>0</v>
      </c>
      <c r="V2623" s="182" t="n">
        <v>0</v>
      </c>
      <c r="W2623" s="182" t="n">
        <v>0</v>
      </c>
      <c r="X2623" s="182" t="n">
        <v>0.98</v>
      </c>
      <c r="Y2623" s="182" t="n">
        <v>0</v>
      </c>
      <c r="Z2623" s="182" t="n">
        <v>0</v>
      </c>
      <c r="AA2623" s="182" t="n">
        <v>0</v>
      </c>
      <c r="AB2623" s="182" t="n">
        <v>0</v>
      </c>
      <c r="AC2623" s="182" t="n">
        <v>0</v>
      </c>
      <c r="AD2623" s="182" t="n">
        <v>0</v>
      </c>
      <c r="AE2623" s="182" t="n">
        <v>0</v>
      </c>
      <c r="AF2623" s="182" t="n">
        <v>0</v>
      </c>
      <c r="AG2623" s="182" t="n">
        <v>0</v>
      </c>
      <c r="AH2623" s="182" t="n">
        <v>0</v>
      </c>
      <c r="AI2623" s="182" t="n">
        <v>2.67</v>
      </c>
      <c r="AJ2623" s="182" t="n">
        <v>0</v>
      </c>
      <c r="AK2623" s="182" t="n">
        <v>0</v>
      </c>
      <c r="AL2623" s="182" t="n">
        <v>0</v>
      </c>
      <c r="AM2623" s="182" t="n">
        <v>0.08</v>
      </c>
      <c r="AN2623" s="182" t="n">
        <v>0</v>
      </c>
    </row>
    <row r="2624">
      <c r="A2624" s="155" t="n">
        <v>46093</v>
      </c>
      <c r="B2624" s="156" t="inlineStr">
        <is>
          <t>NS</t>
        </is>
      </c>
      <c r="C2624" s="156" t="inlineStr">
        <is>
          <t>DT-511</t>
        </is>
      </c>
      <c r="D2624" s="156" t="inlineStr">
        <is>
          <t>SKT 105S</t>
        </is>
      </c>
      <c r="E2624" s="156" t="inlineStr">
        <is>
          <t>Hauler</t>
        </is>
      </c>
      <c r="F2624" s="156" t="inlineStr"/>
      <c r="G2624" s="182" t="n">
        <v>0</v>
      </c>
      <c r="H2624" s="182" t="n">
        <v>0</v>
      </c>
      <c r="I2624" s="182" t="n">
        <v>12</v>
      </c>
      <c r="J2624" s="182" t="n">
        <v>12</v>
      </c>
      <c r="K2624" s="182" t="n">
        <v>0</v>
      </c>
      <c r="L2624" s="182" t="n">
        <v>12</v>
      </c>
      <c r="M2624" s="182" t="n">
        <v>0</v>
      </c>
      <c r="N2624" s="182" t="n">
        <v>0</v>
      </c>
      <c r="O2624" s="183" t="n">
        <v>0</v>
      </c>
      <c r="P2624" s="183" t="n">
        <v>0</v>
      </c>
      <c r="Q2624" s="184" t="n">
        <v>0</v>
      </c>
      <c r="R2624" s="184" t="n">
        <v>0</v>
      </c>
      <c r="S2624" s="183" t="n">
        <v>0</v>
      </c>
      <c r="T2624" s="183" t="n">
        <v>0</v>
      </c>
      <c r="U2624" s="182" t="n">
        <v>0</v>
      </c>
      <c r="V2624" s="182" t="n">
        <v>0</v>
      </c>
      <c r="W2624" s="182" t="n">
        <v>0</v>
      </c>
      <c r="X2624" s="182" t="n">
        <v>0</v>
      </c>
      <c r="Y2624" s="182" t="n">
        <v>0</v>
      </c>
      <c r="Z2624" s="182" t="n">
        <v>0</v>
      </c>
      <c r="AA2624" s="182" t="n">
        <v>0</v>
      </c>
      <c r="AB2624" s="182" t="n">
        <v>0</v>
      </c>
      <c r="AC2624" s="182" t="n">
        <v>0</v>
      </c>
      <c r="AD2624" s="182" t="n">
        <v>0</v>
      </c>
      <c r="AE2624" s="182" t="n">
        <v>0</v>
      </c>
      <c r="AF2624" s="182" t="n">
        <v>0</v>
      </c>
      <c r="AG2624" s="182" t="n">
        <v>0</v>
      </c>
      <c r="AH2624" s="182" t="n">
        <v>0</v>
      </c>
      <c r="AI2624" s="182" t="n">
        <v>0</v>
      </c>
      <c r="AJ2624" s="182" t="n">
        <v>0</v>
      </c>
      <c r="AK2624" s="182" t="n">
        <v>0</v>
      </c>
      <c r="AL2624" s="182" t="n">
        <v>0</v>
      </c>
      <c r="AM2624" s="182" t="n">
        <v>0</v>
      </c>
      <c r="AN2624" s="182" t="n">
        <v>0</v>
      </c>
    </row>
    <row r="2625">
      <c r="A2625" s="155" t="n">
        <v>46093</v>
      </c>
      <c r="B2625" s="156" t="inlineStr">
        <is>
          <t>NS</t>
        </is>
      </c>
      <c r="C2625" s="156" t="inlineStr">
        <is>
          <t>DT-509</t>
        </is>
      </c>
      <c r="D2625" s="156" t="inlineStr">
        <is>
          <t>SKT 105S</t>
        </is>
      </c>
      <c r="E2625" s="156" t="inlineStr">
        <is>
          <t>Hauler</t>
        </is>
      </c>
      <c r="F2625" s="156" t="inlineStr"/>
      <c r="G2625" s="182" t="n">
        <v>0</v>
      </c>
      <c r="H2625" s="182" t="n">
        <v>0</v>
      </c>
      <c r="I2625" s="182" t="n">
        <v>12</v>
      </c>
      <c r="J2625" s="182" t="n">
        <v>12</v>
      </c>
      <c r="K2625" s="182" t="n">
        <v>0</v>
      </c>
      <c r="L2625" s="182" t="n">
        <v>12</v>
      </c>
      <c r="M2625" s="182" t="n">
        <v>0</v>
      </c>
      <c r="N2625" s="182" t="n">
        <v>0</v>
      </c>
      <c r="O2625" s="183" t="n">
        <v>0</v>
      </c>
      <c r="P2625" s="183" t="n">
        <v>0</v>
      </c>
      <c r="Q2625" s="184" t="n">
        <v>0</v>
      </c>
      <c r="R2625" s="184" t="n">
        <v>0</v>
      </c>
      <c r="S2625" s="183" t="n">
        <v>0</v>
      </c>
      <c r="T2625" s="183" t="n">
        <v>0</v>
      </c>
      <c r="U2625" s="182" t="n">
        <v>0</v>
      </c>
      <c r="V2625" s="182" t="n">
        <v>0</v>
      </c>
      <c r="W2625" s="182" t="n">
        <v>0</v>
      </c>
      <c r="X2625" s="182" t="n">
        <v>0</v>
      </c>
      <c r="Y2625" s="182" t="n">
        <v>0</v>
      </c>
      <c r="Z2625" s="182" t="n">
        <v>0</v>
      </c>
      <c r="AA2625" s="182" t="n">
        <v>0</v>
      </c>
      <c r="AB2625" s="182" t="n">
        <v>0</v>
      </c>
      <c r="AC2625" s="182" t="n">
        <v>0</v>
      </c>
      <c r="AD2625" s="182" t="n">
        <v>0</v>
      </c>
      <c r="AE2625" s="182" t="n">
        <v>0</v>
      </c>
      <c r="AF2625" s="182" t="n">
        <v>0</v>
      </c>
      <c r="AG2625" s="182" t="n">
        <v>0</v>
      </c>
      <c r="AH2625" s="182" t="n">
        <v>0</v>
      </c>
      <c r="AI2625" s="182" t="n">
        <v>0</v>
      </c>
      <c r="AJ2625" s="182" t="n">
        <v>0</v>
      </c>
      <c r="AK2625" s="182" t="n">
        <v>0</v>
      </c>
      <c r="AL2625" s="182" t="n">
        <v>0</v>
      </c>
      <c r="AM2625" s="182" t="n">
        <v>0</v>
      </c>
      <c r="AN2625" s="182" t="n">
        <v>0</v>
      </c>
    </row>
    <row r="2626">
      <c r="A2626" s="155" t="n">
        <v>46093</v>
      </c>
      <c r="B2626" s="156" t="inlineStr">
        <is>
          <t>NS</t>
        </is>
      </c>
      <c r="C2626" s="156" t="inlineStr">
        <is>
          <t>DT-526</t>
        </is>
      </c>
      <c r="D2626" s="156" t="inlineStr">
        <is>
          <t>SKT 105S</t>
        </is>
      </c>
      <c r="E2626" s="156" t="inlineStr">
        <is>
          <t>Hauler</t>
        </is>
      </c>
      <c r="F2626" s="156" t="inlineStr"/>
      <c r="G2626" s="182" t="n">
        <v>0</v>
      </c>
      <c r="H2626" s="182" t="n">
        <v>0</v>
      </c>
      <c r="I2626" s="182" t="n">
        <v>0</v>
      </c>
      <c r="J2626" s="182" t="n">
        <v>0</v>
      </c>
      <c r="K2626" s="182" t="n">
        <v>12</v>
      </c>
      <c r="L2626" s="182" t="n">
        <v>12</v>
      </c>
      <c r="M2626" s="182" t="n">
        <v>0</v>
      </c>
      <c r="N2626" s="182" t="n">
        <v>0</v>
      </c>
      <c r="O2626" s="183" t="n">
        <v>0</v>
      </c>
      <c r="P2626" s="183" t="n">
        <v>0</v>
      </c>
      <c r="Q2626" s="184" t="n">
        <v>0</v>
      </c>
      <c r="R2626" s="184" t="n">
        <v>0</v>
      </c>
      <c r="S2626" s="183" t="n">
        <v>0</v>
      </c>
      <c r="T2626" s="183" t="n">
        <v>0</v>
      </c>
      <c r="U2626" s="182" t="n">
        <v>0</v>
      </c>
      <c r="V2626" s="182" t="n">
        <v>0</v>
      </c>
      <c r="W2626" s="182" t="n">
        <v>0</v>
      </c>
      <c r="X2626" s="182" t="n">
        <v>1</v>
      </c>
      <c r="Y2626" s="182" t="n">
        <v>0</v>
      </c>
      <c r="Z2626" s="182" t="n">
        <v>0</v>
      </c>
      <c r="AA2626" s="182" t="n">
        <v>0</v>
      </c>
      <c r="AB2626" s="182" t="n">
        <v>0</v>
      </c>
      <c r="AC2626" s="182" t="n">
        <v>0</v>
      </c>
      <c r="AD2626" s="182" t="n">
        <v>0</v>
      </c>
      <c r="AE2626" s="182" t="n">
        <v>0</v>
      </c>
      <c r="AF2626" s="182" t="n">
        <v>0</v>
      </c>
      <c r="AG2626" s="182" t="n">
        <v>0</v>
      </c>
      <c r="AH2626" s="182" t="n">
        <v>0</v>
      </c>
      <c r="AI2626" s="182" t="n">
        <v>10.92</v>
      </c>
      <c r="AJ2626" s="182" t="n">
        <v>0</v>
      </c>
      <c r="AK2626" s="182" t="n">
        <v>0</v>
      </c>
      <c r="AL2626" s="182" t="n">
        <v>0</v>
      </c>
      <c r="AM2626" s="182" t="n">
        <v>0.08</v>
      </c>
      <c r="AN2626" s="182" t="n">
        <v>0</v>
      </c>
    </row>
    <row r="2627">
      <c r="A2627" s="155" t="n">
        <v>46093</v>
      </c>
      <c r="B2627" s="156" t="inlineStr">
        <is>
          <t>NS</t>
        </is>
      </c>
      <c r="C2627" s="156" t="inlineStr">
        <is>
          <t>DT-508</t>
        </is>
      </c>
      <c r="D2627" s="156" t="inlineStr">
        <is>
          <t>SKT 105S</t>
        </is>
      </c>
      <c r="E2627" s="156" t="inlineStr">
        <is>
          <t>Hauler</t>
        </is>
      </c>
      <c r="F2627" s="156" t="inlineStr">
        <is>
          <t>Hauling OB</t>
        </is>
      </c>
      <c r="G2627" s="182" t="n">
        <v>8.44</v>
      </c>
      <c r="H2627" s="182" t="n">
        <v>0</v>
      </c>
      <c r="I2627" s="182" t="n">
        <v>0</v>
      </c>
      <c r="J2627" s="182" t="n">
        <v>0</v>
      </c>
      <c r="K2627" s="182" t="n">
        <v>3.56</v>
      </c>
      <c r="L2627" s="182" t="n">
        <v>12</v>
      </c>
      <c r="M2627" s="182" t="n">
        <v>8.44</v>
      </c>
      <c r="N2627" s="182" t="n">
        <v>0</v>
      </c>
      <c r="O2627" s="183" t="n">
        <v>41</v>
      </c>
      <c r="P2627" s="183" t="n">
        <v>0</v>
      </c>
      <c r="Q2627" s="184" t="n">
        <v>836.4</v>
      </c>
      <c r="R2627" s="184" t="n">
        <v>0</v>
      </c>
      <c r="S2627" s="183" t="n">
        <v>0</v>
      </c>
      <c r="T2627" s="183" t="n">
        <v>0</v>
      </c>
      <c r="U2627" s="182" t="n">
        <v>2.09</v>
      </c>
      <c r="V2627" s="182" t="n">
        <v>0</v>
      </c>
      <c r="W2627" s="182" t="n">
        <v>0</v>
      </c>
      <c r="X2627" s="182" t="n">
        <v>1.05</v>
      </c>
      <c r="Y2627" s="182" t="n">
        <v>0</v>
      </c>
      <c r="Z2627" s="182" t="n">
        <v>0</v>
      </c>
      <c r="AA2627" s="182" t="n">
        <v>0</v>
      </c>
      <c r="AB2627" s="182" t="n">
        <v>0</v>
      </c>
      <c r="AC2627" s="182" t="n">
        <v>0</v>
      </c>
      <c r="AD2627" s="182" t="n">
        <v>0</v>
      </c>
      <c r="AE2627" s="182" t="n">
        <v>0</v>
      </c>
      <c r="AF2627" s="182" t="n">
        <v>0</v>
      </c>
      <c r="AG2627" s="182" t="n">
        <v>0</v>
      </c>
      <c r="AH2627" s="182" t="n">
        <v>0.34</v>
      </c>
      <c r="AI2627" s="182" t="n">
        <v>0</v>
      </c>
      <c r="AJ2627" s="182" t="n">
        <v>0</v>
      </c>
      <c r="AK2627" s="182" t="n">
        <v>0</v>
      </c>
      <c r="AL2627" s="182" t="n">
        <v>0</v>
      </c>
      <c r="AM2627" s="182" t="n">
        <v>0.08</v>
      </c>
      <c r="AN2627" s="182" t="n">
        <v>0</v>
      </c>
    </row>
    <row r="2628">
      <c r="A2628" s="155" t="n">
        <v>46093</v>
      </c>
      <c r="B2628" s="156" t="inlineStr">
        <is>
          <t>NS</t>
        </is>
      </c>
      <c r="C2628" s="156" t="inlineStr">
        <is>
          <t>DT-515</t>
        </is>
      </c>
      <c r="D2628" s="156" t="inlineStr">
        <is>
          <t>SKT 105S</t>
        </is>
      </c>
      <c r="E2628" s="156" t="inlineStr">
        <is>
          <t>Hauler</t>
        </is>
      </c>
      <c r="F2628" s="156" t="inlineStr">
        <is>
          <t>Hauling OB</t>
        </is>
      </c>
      <c r="G2628" s="182" t="n">
        <v>8.470000000000001</v>
      </c>
      <c r="H2628" s="182" t="n">
        <v>0</v>
      </c>
      <c r="I2628" s="182" t="n">
        <v>0</v>
      </c>
      <c r="J2628" s="182" t="n">
        <v>0</v>
      </c>
      <c r="K2628" s="182" t="n">
        <v>3.53</v>
      </c>
      <c r="L2628" s="182" t="n">
        <v>12</v>
      </c>
      <c r="M2628" s="182" t="n">
        <v>7.66</v>
      </c>
      <c r="N2628" s="182" t="n">
        <v>0</v>
      </c>
      <c r="O2628" s="183" t="n">
        <v>32</v>
      </c>
      <c r="P2628" s="183" t="n">
        <v>0</v>
      </c>
      <c r="Q2628" s="184" t="n">
        <v>652.8</v>
      </c>
      <c r="R2628" s="184" t="n">
        <v>0</v>
      </c>
      <c r="S2628" s="183" t="n">
        <v>0</v>
      </c>
      <c r="T2628" s="183" t="n">
        <v>0</v>
      </c>
      <c r="U2628" s="182" t="n">
        <v>2.14</v>
      </c>
      <c r="V2628" s="182" t="n">
        <v>0</v>
      </c>
      <c r="W2628" s="182" t="n">
        <v>0</v>
      </c>
      <c r="X2628" s="182" t="n">
        <v>1.07</v>
      </c>
      <c r="Y2628" s="182" t="n">
        <v>0</v>
      </c>
      <c r="Z2628" s="182" t="n">
        <v>0</v>
      </c>
      <c r="AA2628" s="182" t="n">
        <v>0</v>
      </c>
      <c r="AB2628" s="182" t="n">
        <v>0</v>
      </c>
      <c r="AC2628" s="182" t="n">
        <v>0</v>
      </c>
      <c r="AD2628" s="182" t="n">
        <v>0</v>
      </c>
      <c r="AE2628" s="182" t="n">
        <v>0</v>
      </c>
      <c r="AF2628" s="182" t="n">
        <v>0</v>
      </c>
      <c r="AG2628" s="182" t="n">
        <v>0</v>
      </c>
      <c r="AH2628" s="182" t="n">
        <v>0.24</v>
      </c>
      <c r="AI2628" s="182" t="n">
        <v>0</v>
      </c>
      <c r="AJ2628" s="182" t="n">
        <v>0</v>
      </c>
      <c r="AK2628" s="182" t="n">
        <v>0</v>
      </c>
      <c r="AL2628" s="182" t="n">
        <v>0</v>
      </c>
      <c r="AM2628" s="182" t="n">
        <v>0.09</v>
      </c>
      <c r="AN2628" s="182" t="n">
        <v>0</v>
      </c>
    </row>
    <row r="2629">
      <c r="A2629" s="155" t="n">
        <v>46093</v>
      </c>
      <c r="B2629" s="156" t="inlineStr">
        <is>
          <t>NS</t>
        </is>
      </c>
      <c r="C2629" s="156" t="inlineStr">
        <is>
          <t>DT-524</t>
        </is>
      </c>
      <c r="D2629" s="156" t="inlineStr">
        <is>
          <t>SKT 105S</t>
        </is>
      </c>
      <c r="E2629" s="156" t="inlineStr">
        <is>
          <t>Hauler</t>
        </is>
      </c>
      <c r="F2629" s="156" t="inlineStr"/>
      <c r="G2629" s="182" t="n">
        <v>0</v>
      </c>
      <c r="H2629" s="182" t="n">
        <v>0</v>
      </c>
      <c r="I2629" s="182" t="n">
        <v>12</v>
      </c>
      <c r="J2629" s="182" t="n">
        <v>12</v>
      </c>
      <c r="K2629" s="182" t="n">
        <v>0</v>
      </c>
      <c r="L2629" s="182" t="n">
        <v>12</v>
      </c>
      <c r="M2629" s="182" t="n">
        <v>0</v>
      </c>
      <c r="N2629" s="182" t="n">
        <v>0</v>
      </c>
      <c r="O2629" s="183" t="n">
        <v>0</v>
      </c>
      <c r="P2629" s="183" t="n">
        <v>0</v>
      </c>
      <c r="Q2629" s="184" t="n">
        <v>0</v>
      </c>
      <c r="R2629" s="184" t="n">
        <v>0</v>
      </c>
      <c r="S2629" s="183" t="n">
        <v>0</v>
      </c>
      <c r="T2629" s="183" t="n">
        <v>0</v>
      </c>
      <c r="U2629" s="182" t="n">
        <v>0</v>
      </c>
      <c r="V2629" s="182" t="n">
        <v>0</v>
      </c>
      <c r="W2629" s="182" t="n">
        <v>0</v>
      </c>
      <c r="X2629" s="182" t="n">
        <v>0</v>
      </c>
      <c r="Y2629" s="182" t="n">
        <v>0</v>
      </c>
      <c r="Z2629" s="182" t="n">
        <v>0</v>
      </c>
      <c r="AA2629" s="182" t="n">
        <v>0</v>
      </c>
      <c r="AB2629" s="182" t="n">
        <v>0</v>
      </c>
      <c r="AC2629" s="182" t="n">
        <v>0</v>
      </c>
      <c r="AD2629" s="182" t="n">
        <v>0</v>
      </c>
      <c r="AE2629" s="182" t="n">
        <v>0</v>
      </c>
      <c r="AF2629" s="182" t="n">
        <v>0</v>
      </c>
      <c r="AG2629" s="182" t="n">
        <v>0</v>
      </c>
      <c r="AH2629" s="182" t="n">
        <v>0</v>
      </c>
      <c r="AI2629" s="182" t="n">
        <v>0</v>
      </c>
      <c r="AJ2629" s="182" t="n">
        <v>0</v>
      </c>
      <c r="AK2629" s="182" t="n">
        <v>0</v>
      </c>
      <c r="AL2629" s="182" t="n">
        <v>0</v>
      </c>
      <c r="AM2629" s="182" t="n">
        <v>0</v>
      </c>
      <c r="AN2629" s="182" t="n">
        <v>0</v>
      </c>
    </row>
    <row r="2630">
      <c r="A2630" s="155" t="n">
        <v>46093</v>
      </c>
      <c r="B2630" s="156" t="inlineStr">
        <is>
          <t>NS</t>
        </is>
      </c>
      <c r="C2630" s="156" t="inlineStr">
        <is>
          <t>DT-341</t>
        </is>
      </c>
      <c r="D2630" s="156" t="inlineStr">
        <is>
          <t>SYZ324C-8W</t>
        </is>
      </c>
      <c r="E2630" s="156" t="inlineStr">
        <is>
          <t>Hauler</t>
        </is>
      </c>
      <c r="F2630" s="156" t="inlineStr"/>
      <c r="G2630" s="182" t="n">
        <v>0</v>
      </c>
      <c r="H2630" s="182" t="n">
        <v>0</v>
      </c>
      <c r="I2630" s="182" t="n">
        <v>0</v>
      </c>
      <c r="J2630" s="182" t="n">
        <v>0</v>
      </c>
      <c r="K2630" s="182" t="n">
        <v>12</v>
      </c>
      <c r="L2630" s="182" t="n">
        <v>12</v>
      </c>
      <c r="M2630" s="182" t="n">
        <v>0</v>
      </c>
      <c r="N2630" s="182" t="n">
        <v>0</v>
      </c>
      <c r="O2630" s="183" t="n">
        <v>0</v>
      </c>
      <c r="P2630" s="183" t="n">
        <v>0</v>
      </c>
      <c r="Q2630" s="184" t="n">
        <v>0</v>
      </c>
      <c r="R2630" s="184" t="n">
        <v>0</v>
      </c>
      <c r="S2630" s="183" t="n">
        <v>0</v>
      </c>
      <c r="T2630" s="183" t="n">
        <v>0</v>
      </c>
      <c r="U2630" s="182" t="n">
        <v>0</v>
      </c>
      <c r="V2630" s="182" t="n">
        <v>0</v>
      </c>
      <c r="W2630" s="182" t="n">
        <v>0</v>
      </c>
      <c r="X2630" s="182" t="n">
        <v>1</v>
      </c>
      <c r="Y2630" s="182" t="n">
        <v>0</v>
      </c>
      <c r="Z2630" s="182" t="n">
        <v>0</v>
      </c>
      <c r="AA2630" s="182" t="n">
        <v>0</v>
      </c>
      <c r="AB2630" s="182" t="n">
        <v>0</v>
      </c>
      <c r="AC2630" s="182" t="n">
        <v>0</v>
      </c>
      <c r="AD2630" s="182" t="n">
        <v>0</v>
      </c>
      <c r="AE2630" s="182" t="n">
        <v>0</v>
      </c>
      <c r="AF2630" s="182" t="n">
        <v>0</v>
      </c>
      <c r="AG2630" s="182" t="n">
        <v>0</v>
      </c>
      <c r="AH2630" s="182" t="n">
        <v>0</v>
      </c>
      <c r="AI2630" s="182" t="n">
        <v>0</v>
      </c>
      <c r="AJ2630" s="182" t="n">
        <v>0</v>
      </c>
      <c r="AK2630" s="182" t="n">
        <v>10.92</v>
      </c>
      <c r="AL2630" s="182" t="n">
        <v>0</v>
      </c>
      <c r="AM2630" s="182" t="n">
        <v>0.08</v>
      </c>
      <c r="AN2630" s="182" t="n">
        <v>0</v>
      </c>
    </row>
    <row r="2631">
      <c r="A2631" s="155" t="n">
        <v>46093</v>
      </c>
      <c r="B2631" s="156" t="inlineStr">
        <is>
          <t>NS</t>
        </is>
      </c>
      <c r="C2631" s="156" t="inlineStr">
        <is>
          <t>DT-342</t>
        </is>
      </c>
      <c r="D2631" s="156" t="inlineStr">
        <is>
          <t>SYZ324C-8W</t>
        </is>
      </c>
      <c r="E2631" s="156" t="inlineStr">
        <is>
          <t>Hauler</t>
        </is>
      </c>
      <c r="F2631" s="156" t="inlineStr"/>
      <c r="G2631" s="182" t="n">
        <v>0</v>
      </c>
      <c r="H2631" s="182" t="n">
        <v>0</v>
      </c>
      <c r="I2631" s="182" t="n">
        <v>0</v>
      </c>
      <c r="J2631" s="182" t="n">
        <v>0</v>
      </c>
      <c r="K2631" s="182" t="n">
        <v>12</v>
      </c>
      <c r="L2631" s="182" t="n">
        <v>12</v>
      </c>
      <c r="M2631" s="182" t="n">
        <v>0</v>
      </c>
      <c r="N2631" s="182" t="n">
        <v>0</v>
      </c>
      <c r="O2631" s="183" t="n">
        <v>0</v>
      </c>
      <c r="P2631" s="183" t="n">
        <v>0</v>
      </c>
      <c r="Q2631" s="184" t="n">
        <v>0</v>
      </c>
      <c r="R2631" s="184" t="n">
        <v>0</v>
      </c>
      <c r="S2631" s="183" t="n">
        <v>0</v>
      </c>
      <c r="T2631" s="183" t="n">
        <v>0</v>
      </c>
      <c r="U2631" s="182" t="n">
        <v>0</v>
      </c>
      <c r="V2631" s="182" t="n">
        <v>0</v>
      </c>
      <c r="W2631" s="182" t="n">
        <v>0</v>
      </c>
      <c r="X2631" s="182" t="n">
        <v>1</v>
      </c>
      <c r="Y2631" s="182" t="n">
        <v>0</v>
      </c>
      <c r="Z2631" s="182" t="n">
        <v>0</v>
      </c>
      <c r="AA2631" s="182" t="n">
        <v>0</v>
      </c>
      <c r="AB2631" s="182" t="n">
        <v>0</v>
      </c>
      <c r="AC2631" s="182" t="n">
        <v>0</v>
      </c>
      <c r="AD2631" s="182" t="n">
        <v>0</v>
      </c>
      <c r="AE2631" s="182" t="n">
        <v>0</v>
      </c>
      <c r="AF2631" s="182" t="n">
        <v>0</v>
      </c>
      <c r="AG2631" s="182" t="n">
        <v>0</v>
      </c>
      <c r="AH2631" s="182" t="n">
        <v>0</v>
      </c>
      <c r="AI2631" s="182" t="n">
        <v>0</v>
      </c>
      <c r="AJ2631" s="182" t="n">
        <v>0</v>
      </c>
      <c r="AK2631" s="182" t="n">
        <v>10.92</v>
      </c>
      <c r="AL2631" s="182" t="n">
        <v>0</v>
      </c>
      <c r="AM2631" s="182" t="n">
        <v>0.08</v>
      </c>
      <c r="AN2631" s="182" t="n">
        <v>0</v>
      </c>
    </row>
    <row r="2632">
      <c r="A2632" s="155" t="n">
        <v>46093</v>
      </c>
      <c r="B2632" s="156" t="inlineStr">
        <is>
          <t>NS</t>
        </is>
      </c>
      <c r="C2632" s="156" t="inlineStr">
        <is>
          <t>HD-903</t>
        </is>
      </c>
      <c r="D2632" s="156" t="inlineStr">
        <is>
          <t>SRT 95C</t>
        </is>
      </c>
      <c r="E2632" s="156" t="inlineStr">
        <is>
          <t>Hauler</t>
        </is>
      </c>
      <c r="F2632" s="156" t="inlineStr"/>
      <c r="G2632" s="182" t="n">
        <v>0</v>
      </c>
      <c r="H2632" s="182" t="n">
        <v>0</v>
      </c>
      <c r="I2632" s="182" t="n">
        <v>0</v>
      </c>
      <c r="J2632" s="182" t="n">
        <v>0</v>
      </c>
      <c r="K2632" s="182" t="n">
        <v>12</v>
      </c>
      <c r="L2632" s="182" t="n">
        <v>12</v>
      </c>
      <c r="M2632" s="182" t="n">
        <v>0</v>
      </c>
      <c r="N2632" s="182" t="n">
        <v>0</v>
      </c>
      <c r="O2632" s="183" t="n">
        <v>0</v>
      </c>
      <c r="P2632" s="183" t="n">
        <v>0</v>
      </c>
      <c r="Q2632" s="184" t="n">
        <v>0</v>
      </c>
      <c r="R2632" s="184" t="n">
        <v>0</v>
      </c>
      <c r="S2632" s="183" t="n">
        <v>0</v>
      </c>
      <c r="T2632" s="183" t="n">
        <v>0</v>
      </c>
      <c r="U2632" s="182" t="n">
        <v>0</v>
      </c>
      <c r="V2632" s="182" t="n">
        <v>0</v>
      </c>
      <c r="W2632" s="182" t="n">
        <v>0</v>
      </c>
      <c r="X2632" s="182" t="n">
        <v>1</v>
      </c>
      <c r="Y2632" s="182" t="n">
        <v>0</v>
      </c>
      <c r="Z2632" s="182" t="n">
        <v>0</v>
      </c>
      <c r="AA2632" s="182" t="n">
        <v>0</v>
      </c>
      <c r="AB2632" s="182" t="n">
        <v>0</v>
      </c>
      <c r="AC2632" s="182" t="n">
        <v>0</v>
      </c>
      <c r="AD2632" s="182" t="n">
        <v>0</v>
      </c>
      <c r="AE2632" s="182" t="n">
        <v>0</v>
      </c>
      <c r="AF2632" s="182" t="n">
        <v>0</v>
      </c>
      <c r="AG2632" s="182" t="n">
        <v>0</v>
      </c>
      <c r="AH2632" s="182" t="n">
        <v>0</v>
      </c>
      <c r="AI2632" s="182" t="n">
        <v>10.92</v>
      </c>
      <c r="AJ2632" s="182" t="n">
        <v>0</v>
      </c>
      <c r="AK2632" s="182" t="n">
        <v>0</v>
      </c>
      <c r="AL2632" s="182" t="n">
        <v>0</v>
      </c>
      <c r="AM2632" s="182" t="n">
        <v>0.08</v>
      </c>
      <c r="AN2632" s="182" t="n">
        <v>0</v>
      </c>
    </row>
    <row r="2633">
      <c r="A2633" s="155" t="n">
        <v>46093</v>
      </c>
      <c r="B2633" s="156" t="inlineStr">
        <is>
          <t>NS</t>
        </is>
      </c>
      <c r="C2633" s="156" t="inlineStr">
        <is>
          <t>HD-905</t>
        </is>
      </c>
      <c r="D2633" s="156" t="inlineStr">
        <is>
          <t>SRT 95C</t>
        </is>
      </c>
      <c r="E2633" s="156" t="inlineStr">
        <is>
          <t>Hauler</t>
        </is>
      </c>
      <c r="F2633" s="156" t="inlineStr"/>
      <c r="G2633" s="182" t="n">
        <v>0</v>
      </c>
      <c r="H2633" s="182" t="n">
        <v>0</v>
      </c>
      <c r="I2633" s="182" t="n">
        <v>12</v>
      </c>
      <c r="J2633" s="182" t="n">
        <v>12</v>
      </c>
      <c r="K2633" s="182" t="n">
        <v>0</v>
      </c>
      <c r="L2633" s="182" t="n">
        <v>12</v>
      </c>
      <c r="M2633" s="182" t="n">
        <v>0</v>
      </c>
      <c r="N2633" s="182" t="n">
        <v>0</v>
      </c>
      <c r="O2633" s="183" t="n">
        <v>0</v>
      </c>
      <c r="P2633" s="183" t="n">
        <v>0</v>
      </c>
      <c r="Q2633" s="184" t="n">
        <v>0</v>
      </c>
      <c r="R2633" s="184" t="n">
        <v>0</v>
      </c>
      <c r="S2633" s="183" t="n">
        <v>0</v>
      </c>
      <c r="T2633" s="183" t="n">
        <v>0</v>
      </c>
      <c r="U2633" s="182" t="n">
        <v>0</v>
      </c>
      <c r="V2633" s="182" t="n">
        <v>0</v>
      </c>
      <c r="W2633" s="182" t="n">
        <v>0</v>
      </c>
      <c r="X2633" s="182" t="n">
        <v>0</v>
      </c>
      <c r="Y2633" s="182" t="n">
        <v>0</v>
      </c>
      <c r="Z2633" s="182" t="n">
        <v>0</v>
      </c>
      <c r="AA2633" s="182" t="n">
        <v>0</v>
      </c>
      <c r="AB2633" s="182" t="n">
        <v>0</v>
      </c>
      <c r="AC2633" s="182" t="n">
        <v>0</v>
      </c>
      <c r="AD2633" s="182" t="n">
        <v>0</v>
      </c>
      <c r="AE2633" s="182" t="n">
        <v>0</v>
      </c>
      <c r="AF2633" s="182" t="n">
        <v>0</v>
      </c>
      <c r="AG2633" s="182" t="n">
        <v>0</v>
      </c>
      <c r="AH2633" s="182" t="n">
        <v>0</v>
      </c>
      <c r="AI2633" s="182" t="n">
        <v>0</v>
      </c>
      <c r="AJ2633" s="182" t="n">
        <v>0</v>
      </c>
      <c r="AK2633" s="182" t="n">
        <v>0</v>
      </c>
      <c r="AL2633" s="182" t="n">
        <v>0</v>
      </c>
      <c r="AM2633" s="182" t="n">
        <v>0</v>
      </c>
      <c r="AN2633" s="182" t="n">
        <v>0</v>
      </c>
    </row>
    <row r="2634">
      <c r="A2634" s="155" t="n">
        <v>46093</v>
      </c>
      <c r="B2634" s="156" t="inlineStr">
        <is>
          <t>NS</t>
        </is>
      </c>
      <c r="C2634" s="156" t="inlineStr">
        <is>
          <t>HD-901</t>
        </is>
      </c>
      <c r="D2634" s="156" t="inlineStr">
        <is>
          <t>SRT 95C</t>
        </is>
      </c>
      <c r="E2634" s="156" t="inlineStr">
        <is>
          <t>Hauler</t>
        </is>
      </c>
      <c r="F2634" s="156" t="inlineStr"/>
      <c r="G2634" s="182" t="n">
        <v>0</v>
      </c>
      <c r="H2634" s="182" t="n">
        <v>0</v>
      </c>
      <c r="I2634" s="182" t="n">
        <v>0</v>
      </c>
      <c r="J2634" s="182" t="n">
        <v>0</v>
      </c>
      <c r="K2634" s="182" t="n">
        <v>12</v>
      </c>
      <c r="L2634" s="182" t="n">
        <v>12</v>
      </c>
      <c r="M2634" s="182" t="n">
        <v>0</v>
      </c>
      <c r="N2634" s="182" t="n">
        <v>0</v>
      </c>
      <c r="O2634" s="183" t="n">
        <v>0</v>
      </c>
      <c r="P2634" s="183" t="n">
        <v>0</v>
      </c>
      <c r="Q2634" s="184" t="n">
        <v>0</v>
      </c>
      <c r="R2634" s="184" t="n">
        <v>0</v>
      </c>
      <c r="S2634" s="183" t="n">
        <v>0</v>
      </c>
      <c r="T2634" s="183" t="n">
        <v>0</v>
      </c>
      <c r="U2634" s="182" t="n">
        <v>0</v>
      </c>
      <c r="V2634" s="182" t="n">
        <v>0</v>
      </c>
      <c r="W2634" s="182" t="n">
        <v>0</v>
      </c>
      <c r="X2634" s="182" t="n">
        <v>1</v>
      </c>
      <c r="Y2634" s="182" t="n">
        <v>0</v>
      </c>
      <c r="Z2634" s="182" t="n">
        <v>0</v>
      </c>
      <c r="AA2634" s="182" t="n">
        <v>0</v>
      </c>
      <c r="AB2634" s="182" t="n">
        <v>0</v>
      </c>
      <c r="AC2634" s="182" t="n">
        <v>0</v>
      </c>
      <c r="AD2634" s="182" t="n">
        <v>0</v>
      </c>
      <c r="AE2634" s="182" t="n">
        <v>0</v>
      </c>
      <c r="AF2634" s="182" t="n">
        <v>0</v>
      </c>
      <c r="AG2634" s="182" t="n">
        <v>0</v>
      </c>
      <c r="AH2634" s="182" t="n">
        <v>0</v>
      </c>
      <c r="AI2634" s="182" t="n">
        <v>10.92</v>
      </c>
      <c r="AJ2634" s="182" t="n">
        <v>0</v>
      </c>
      <c r="AK2634" s="182" t="n">
        <v>0</v>
      </c>
      <c r="AL2634" s="182" t="n">
        <v>0</v>
      </c>
      <c r="AM2634" s="182" t="n">
        <v>0.08</v>
      </c>
      <c r="AN2634" s="182" t="n">
        <v>0</v>
      </c>
    </row>
    <row r="2635">
      <c r="A2635" s="155" t="n">
        <v>46093</v>
      </c>
      <c r="B2635" s="156" t="inlineStr">
        <is>
          <t>NS</t>
        </is>
      </c>
      <c r="C2635" s="156" t="inlineStr">
        <is>
          <t>HD-904</t>
        </is>
      </c>
      <c r="D2635" s="156" t="inlineStr">
        <is>
          <t>SRT 95C</t>
        </is>
      </c>
      <c r="E2635" s="156" t="inlineStr">
        <is>
          <t>Hauler</t>
        </is>
      </c>
      <c r="F2635" s="156" t="inlineStr"/>
      <c r="G2635" s="182" t="n">
        <v>0</v>
      </c>
      <c r="H2635" s="182" t="n">
        <v>0</v>
      </c>
      <c r="I2635" s="182" t="n">
        <v>12</v>
      </c>
      <c r="J2635" s="182" t="n">
        <v>12</v>
      </c>
      <c r="K2635" s="182" t="n">
        <v>0</v>
      </c>
      <c r="L2635" s="182" t="n">
        <v>12</v>
      </c>
      <c r="M2635" s="182" t="n">
        <v>0</v>
      </c>
      <c r="N2635" s="182" t="n">
        <v>0</v>
      </c>
      <c r="O2635" s="183" t="n">
        <v>0</v>
      </c>
      <c r="P2635" s="183" t="n">
        <v>0</v>
      </c>
      <c r="Q2635" s="184" t="n">
        <v>0</v>
      </c>
      <c r="R2635" s="184" t="n">
        <v>0</v>
      </c>
      <c r="S2635" s="183" t="n">
        <v>0</v>
      </c>
      <c r="T2635" s="183" t="n">
        <v>0</v>
      </c>
      <c r="U2635" s="182" t="n">
        <v>0</v>
      </c>
      <c r="V2635" s="182" t="n">
        <v>0</v>
      </c>
      <c r="W2635" s="182" t="n">
        <v>0</v>
      </c>
      <c r="X2635" s="182" t="n">
        <v>0</v>
      </c>
      <c r="Y2635" s="182" t="n">
        <v>0</v>
      </c>
      <c r="Z2635" s="182" t="n">
        <v>0</v>
      </c>
      <c r="AA2635" s="182" t="n">
        <v>0</v>
      </c>
      <c r="AB2635" s="182" t="n">
        <v>0</v>
      </c>
      <c r="AC2635" s="182" t="n">
        <v>0</v>
      </c>
      <c r="AD2635" s="182" t="n">
        <v>0</v>
      </c>
      <c r="AE2635" s="182" t="n">
        <v>0</v>
      </c>
      <c r="AF2635" s="182" t="n">
        <v>0</v>
      </c>
      <c r="AG2635" s="182" t="n">
        <v>0</v>
      </c>
      <c r="AH2635" s="182" t="n">
        <v>0</v>
      </c>
      <c r="AI2635" s="182" t="n">
        <v>0</v>
      </c>
      <c r="AJ2635" s="182" t="n">
        <v>0</v>
      </c>
      <c r="AK2635" s="182" t="n">
        <v>0</v>
      </c>
      <c r="AL2635" s="182" t="n">
        <v>0</v>
      </c>
      <c r="AM2635" s="182" t="n">
        <v>0</v>
      </c>
      <c r="AN2635" s="182" t="n">
        <v>0</v>
      </c>
    </row>
    <row r="2636">
      <c r="A2636" s="155" t="n">
        <v>46093</v>
      </c>
      <c r="B2636" s="156" t="inlineStr">
        <is>
          <t>NS</t>
        </is>
      </c>
      <c r="C2636" s="156" t="inlineStr">
        <is>
          <t>HD-902</t>
        </is>
      </c>
      <c r="D2636" s="156" t="inlineStr">
        <is>
          <t>SRT 95C</t>
        </is>
      </c>
      <c r="E2636" s="156" t="inlineStr">
        <is>
          <t>Hauler</t>
        </is>
      </c>
      <c r="F2636" s="156" t="inlineStr"/>
      <c r="G2636" s="182" t="n">
        <v>0</v>
      </c>
      <c r="H2636" s="182" t="n">
        <v>0</v>
      </c>
      <c r="I2636" s="182" t="n">
        <v>0</v>
      </c>
      <c r="J2636" s="182" t="n">
        <v>0</v>
      </c>
      <c r="K2636" s="182" t="n">
        <v>12</v>
      </c>
      <c r="L2636" s="182" t="n">
        <v>12</v>
      </c>
      <c r="M2636" s="182" t="n">
        <v>0</v>
      </c>
      <c r="N2636" s="182" t="n">
        <v>0</v>
      </c>
      <c r="O2636" s="183" t="n">
        <v>0</v>
      </c>
      <c r="P2636" s="183" t="n">
        <v>0</v>
      </c>
      <c r="Q2636" s="184" t="n">
        <v>0</v>
      </c>
      <c r="R2636" s="184" t="n">
        <v>0</v>
      </c>
      <c r="S2636" s="183" t="n">
        <v>0</v>
      </c>
      <c r="T2636" s="183" t="n">
        <v>0</v>
      </c>
      <c r="U2636" s="182" t="n">
        <v>0</v>
      </c>
      <c r="V2636" s="182" t="n">
        <v>0</v>
      </c>
      <c r="W2636" s="182" t="n">
        <v>0</v>
      </c>
      <c r="X2636" s="182" t="n">
        <v>1</v>
      </c>
      <c r="Y2636" s="182" t="n">
        <v>0</v>
      </c>
      <c r="Z2636" s="182" t="n">
        <v>0</v>
      </c>
      <c r="AA2636" s="182" t="n">
        <v>0</v>
      </c>
      <c r="AB2636" s="182" t="n">
        <v>0</v>
      </c>
      <c r="AC2636" s="182" t="n">
        <v>0</v>
      </c>
      <c r="AD2636" s="182" t="n">
        <v>0</v>
      </c>
      <c r="AE2636" s="182" t="n">
        <v>0</v>
      </c>
      <c r="AF2636" s="182" t="n">
        <v>0</v>
      </c>
      <c r="AG2636" s="182" t="n">
        <v>0</v>
      </c>
      <c r="AH2636" s="182" t="n">
        <v>0</v>
      </c>
      <c r="AI2636" s="182" t="n">
        <v>10.92</v>
      </c>
      <c r="AJ2636" s="182" t="n">
        <v>0</v>
      </c>
      <c r="AK2636" s="182" t="n">
        <v>0</v>
      </c>
      <c r="AL2636" s="182" t="n">
        <v>0</v>
      </c>
      <c r="AM2636" s="182" t="n">
        <v>0.08</v>
      </c>
      <c r="AN2636" s="182" t="n">
        <v>0</v>
      </c>
    </row>
    <row r="2637">
      <c r="A2637" s="155" t="n">
        <v>46093</v>
      </c>
      <c r="B2637" s="156" t="inlineStr">
        <is>
          <t>NS</t>
        </is>
      </c>
      <c r="C2637" s="156" t="inlineStr">
        <is>
          <t>WL-025</t>
        </is>
      </c>
      <c r="D2637" s="156" t="inlineStr">
        <is>
          <t>SANY - Loader</t>
        </is>
      </c>
      <c r="E2637" s="156" t="inlineStr">
        <is>
          <t>Loader</t>
        </is>
      </c>
      <c r="F2637" s="156" t="inlineStr"/>
      <c r="G2637" s="182" t="n">
        <v>0</v>
      </c>
      <c r="H2637" s="182" t="n">
        <v>0</v>
      </c>
      <c r="I2637" s="182" t="n">
        <v>0</v>
      </c>
      <c r="J2637" s="182" t="n">
        <v>0</v>
      </c>
      <c r="K2637" s="182" t="n">
        <v>12</v>
      </c>
      <c r="L2637" s="182" t="n">
        <v>12</v>
      </c>
      <c r="M2637" s="182" t="n">
        <v>0</v>
      </c>
      <c r="N2637" s="182" t="n">
        <v>0</v>
      </c>
      <c r="O2637" s="183" t="n">
        <v>0</v>
      </c>
      <c r="P2637" s="183" t="n">
        <v>0</v>
      </c>
      <c r="Q2637" s="184" t="n">
        <v>0</v>
      </c>
      <c r="R2637" s="184" t="n">
        <v>0</v>
      </c>
      <c r="S2637" s="183" t="n">
        <v>0</v>
      </c>
      <c r="T2637" s="183" t="n">
        <v>0</v>
      </c>
      <c r="U2637" s="182" t="n">
        <v>0</v>
      </c>
      <c r="V2637" s="182" t="n">
        <v>0</v>
      </c>
      <c r="W2637" s="182" t="n">
        <v>0</v>
      </c>
      <c r="X2637" s="182" t="n">
        <v>1</v>
      </c>
      <c r="Y2637" s="182" t="n">
        <v>0</v>
      </c>
      <c r="Z2637" s="182" t="n">
        <v>0</v>
      </c>
      <c r="AA2637" s="182" t="n">
        <v>0</v>
      </c>
      <c r="AB2637" s="182" t="n">
        <v>0</v>
      </c>
      <c r="AC2637" s="182" t="n">
        <v>0</v>
      </c>
      <c r="AD2637" s="182" t="n">
        <v>0</v>
      </c>
      <c r="AE2637" s="182" t="n">
        <v>0</v>
      </c>
      <c r="AF2637" s="182" t="n">
        <v>0</v>
      </c>
      <c r="AG2637" s="182" t="n">
        <v>0</v>
      </c>
      <c r="AH2637" s="182" t="n">
        <v>0</v>
      </c>
      <c r="AI2637" s="182" t="n">
        <v>0</v>
      </c>
      <c r="AJ2637" s="182" t="n">
        <v>0</v>
      </c>
      <c r="AK2637" s="182" t="n">
        <v>10.92</v>
      </c>
      <c r="AL2637" s="182" t="n">
        <v>0</v>
      </c>
      <c r="AM2637" s="182" t="n">
        <v>0.08</v>
      </c>
      <c r="AN2637" s="182" t="n">
        <v>0</v>
      </c>
    </row>
    <row r="2638">
      <c r="A2638" s="155" t="n">
        <v>46093</v>
      </c>
      <c r="B2638" s="156" t="inlineStr">
        <is>
          <t>NS</t>
        </is>
      </c>
      <c r="C2638" s="156" t="inlineStr">
        <is>
          <t>WL-023</t>
        </is>
      </c>
      <c r="D2638" s="156" t="inlineStr">
        <is>
          <t>SANY - Loader</t>
        </is>
      </c>
      <c r="E2638" s="156" t="inlineStr">
        <is>
          <t>Loader</t>
        </is>
      </c>
      <c r="F2638" s="156" t="inlineStr">
        <is>
          <t>Trimming Coal di Jetty</t>
        </is>
      </c>
      <c r="G2638" s="182" t="n">
        <v>9.74</v>
      </c>
      <c r="H2638" s="182" t="n">
        <v>0</v>
      </c>
      <c r="I2638" s="182" t="n">
        <v>0</v>
      </c>
      <c r="J2638" s="182" t="n">
        <v>0</v>
      </c>
      <c r="K2638" s="182" t="n">
        <v>2.26</v>
      </c>
      <c r="L2638" s="182" t="n">
        <v>12</v>
      </c>
      <c r="M2638" s="182" t="n">
        <v>0</v>
      </c>
      <c r="N2638" s="182" t="n">
        <v>0</v>
      </c>
      <c r="O2638" s="183" t="n">
        <v>0</v>
      </c>
      <c r="P2638" s="183" t="n">
        <v>0</v>
      </c>
      <c r="Q2638" s="184" t="n">
        <v>0</v>
      </c>
      <c r="R2638" s="184" t="n">
        <v>0</v>
      </c>
      <c r="S2638" s="183" t="n">
        <v>0</v>
      </c>
      <c r="T2638" s="183" t="n">
        <v>0</v>
      </c>
      <c r="U2638" s="182" t="n">
        <v>0</v>
      </c>
      <c r="V2638" s="182" t="n">
        <v>0</v>
      </c>
      <c r="W2638" s="182" t="n">
        <v>0</v>
      </c>
      <c r="X2638" s="182" t="n">
        <v>1.19</v>
      </c>
      <c r="Y2638" s="182" t="n">
        <v>0</v>
      </c>
      <c r="Z2638" s="182" t="n">
        <v>0</v>
      </c>
      <c r="AA2638" s="182" t="n">
        <v>0</v>
      </c>
      <c r="AB2638" s="182" t="n">
        <v>0</v>
      </c>
      <c r="AC2638" s="182" t="n">
        <v>0</v>
      </c>
      <c r="AD2638" s="182" t="n">
        <v>0</v>
      </c>
      <c r="AE2638" s="182" t="n">
        <v>0</v>
      </c>
      <c r="AF2638" s="182" t="n">
        <v>0</v>
      </c>
      <c r="AG2638" s="182" t="n">
        <v>0</v>
      </c>
      <c r="AH2638" s="182" t="n">
        <v>0</v>
      </c>
      <c r="AI2638" s="182" t="n">
        <v>0</v>
      </c>
      <c r="AJ2638" s="182" t="n">
        <v>0</v>
      </c>
      <c r="AK2638" s="182" t="n">
        <v>0.98</v>
      </c>
      <c r="AL2638" s="182" t="n">
        <v>0</v>
      </c>
      <c r="AM2638" s="182" t="n">
        <v>0.1</v>
      </c>
      <c r="AN2638" s="182" t="n">
        <v>0</v>
      </c>
    </row>
    <row r="2639">
      <c r="A2639" s="155" t="n">
        <v>46093</v>
      </c>
      <c r="B2639" s="156" t="inlineStr">
        <is>
          <t>NS</t>
        </is>
      </c>
      <c r="C2639" s="156" t="inlineStr">
        <is>
          <t>WL-021</t>
        </is>
      </c>
      <c r="D2639" s="156" t="inlineStr">
        <is>
          <t>SANY - Loader</t>
        </is>
      </c>
      <c r="E2639" s="156" t="inlineStr">
        <is>
          <t>Loader</t>
        </is>
      </c>
      <c r="F2639" s="156" t="inlineStr"/>
      <c r="G2639" s="182" t="n">
        <v>0</v>
      </c>
      <c r="H2639" s="182" t="n">
        <v>0</v>
      </c>
      <c r="I2639" s="182" t="n">
        <v>12</v>
      </c>
      <c r="J2639" s="182" t="n">
        <v>12</v>
      </c>
      <c r="K2639" s="182" t="n">
        <v>0</v>
      </c>
      <c r="L2639" s="182" t="n">
        <v>12</v>
      </c>
      <c r="M2639" s="182" t="n">
        <v>0</v>
      </c>
      <c r="N2639" s="182" t="n">
        <v>0</v>
      </c>
      <c r="O2639" s="183" t="n">
        <v>0</v>
      </c>
      <c r="P2639" s="183" t="n">
        <v>0</v>
      </c>
      <c r="Q2639" s="184" t="n">
        <v>0</v>
      </c>
      <c r="R2639" s="184" t="n">
        <v>0</v>
      </c>
      <c r="S2639" s="183" t="n">
        <v>0</v>
      </c>
      <c r="T2639" s="183" t="n">
        <v>0</v>
      </c>
      <c r="U2639" s="182" t="n">
        <v>0</v>
      </c>
      <c r="V2639" s="182" t="n">
        <v>0</v>
      </c>
      <c r="W2639" s="182" t="n">
        <v>0</v>
      </c>
      <c r="X2639" s="182" t="n">
        <v>0</v>
      </c>
      <c r="Y2639" s="182" t="n">
        <v>0</v>
      </c>
      <c r="Z2639" s="182" t="n">
        <v>0</v>
      </c>
      <c r="AA2639" s="182" t="n">
        <v>0</v>
      </c>
      <c r="AB2639" s="182" t="n">
        <v>0</v>
      </c>
      <c r="AC2639" s="182" t="n">
        <v>0</v>
      </c>
      <c r="AD2639" s="182" t="n">
        <v>0</v>
      </c>
      <c r="AE2639" s="182" t="n">
        <v>0</v>
      </c>
      <c r="AF2639" s="182" t="n">
        <v>0</v>
      </c>
      <c r="AG2639" s="182" t="n">
        <v>0</v>
      </c>
      <c r="AH2639" s="182" t="n">
        <v>0</v>
      </c>
      <c r="AI2639" s="182" t="n">
        <v>0</v>
      </c>
      <c r="AJ2639" s="182" t="n">
        <v>0</v>
      </c>
      <c r="AK2639" s="182" t="n">
        <v>0</v>
      </c>
      <c r="AL2639" s="182" t="n">
        <v>0</v>
      </c>
      <c r="AM2639" s="182" t="n">
        <v>0</v>
      </c>
      <c r="AN2639" s="182" t="n">
        <v>0</v>
      </c>
    </row>
    <row r="2640">
      <c r="A2640" s="155" t="n">
        <v>46093</v>
      </c>
      <c r="B2640" s="156" t="inlineStr">
        <is>
          <t>NS</t>
        </is>
      </c>
      <c r="C2640" s="156" t="inlineStr">
        <is>
          <t>WL-022</t>
        </is>
      </c>
      <c r="D2640" s="156" t="inlineStr">
        <is>
          <t>SANY - Loader</t>
        </is>
      </c>
      <c r="E2640" s="156" t="inlineStr">
        <is>
          <t>Loader</t>
        </is>
      </c>
      <c r="F2640" s="156" t="inlineStr">
        <is>
          <t>Trimming Coal di Stock ROM</t>
        </is>
      </c>
      <c r="G2640" s="182" t="n">
        <v>11.5</v>
      </c>
      <c r="H2640" s="182" t="n">
        <v>0</v>
      </c>
      <c r="I2640" s="182" t="n">
        <v>0</v>
      </c>
      <c r="J2640" s="182" t="n">
        <v>0</v>
      </c>
      <c r="K2640" s="182" t="n">
        <v>0.5</v>
      </c>
      <c r="L2640" s="182" t="n">
        <v>12</v>
      </c>
      <c r="M2640" s="182" t="n">
        <v>0</v>
      </c>
      <c r="N2640" s="182" t="n">
        <v>0</v>
      </c>
      <c r="O2640" s="183" t="n">
        <v>0</v>
      </c>
      <c r="P2640" s="183" t="n">
        <v>0</v>
      </c>
      <c r="Q2640" s="184" t="n">
        <v>0</v>
      </c>
      <c r="R2640" s="184" t="n">
        <v>0</v>
      </c>
      <c r="S2640" s="183" t="n">
        <v>0</v>
      </c>
      <c r="T2640" s="183" t="n">
        <v>0</v>
      </c>
      <c r="U2640" s="182" t="n">
        <v>0</v>
      </c>
      <c r="V2640" s="182" t="n">
        <v>0</v>
      </c>
      <c r="W2640" s="182" t="n">
        <v>0</v>
      </c>
      <c r="X2640" s="182" t="n">
        <v>0.4</v>
      </c>
      <c r="Y2640" s="182" t="n">
        <v>0</v>
      </c>
      <c r="Z2640" s="182" t="n">
        <v>0</v>
      </c>
      <c r="AA2640" s="182" t="n">
        <v>0</v>
      </c>
      <c r="AB2640" s="182" t="n">
        <v>0</v>
      </c>
      <c r="AC2640" s="182" t="n">
        <v>0</v>
      </c>
      <c r="AD2640" s="182" t="n">
        <v>0</v>
      </c>
      <c r="AE2640" s="182" t="n">
        <v>0</v>
      </c>
      <c r="AF2640" s="182" t="n">
        <v>0</v>
      </c>
      <c r="AG2640" s="182" t="n">
        <v>0</v>
      </c>
      <c r="AH2640" s="182" t="n">
        <v>0</v>
      </c>
      <c r="AI2640" s="182" t="n">
        <v>0</v>
      </c>
      <c r="AJ2640" s="182" t="n">
        <v>0</v>
      </c>
      <c r="AK2640" s="182" t="n">
        <v>0</v>
      </c>
      <c r="AL2640" s="182" t="n">
        <v>0</v>
      </c>
      <c r="AM2640" s="182" t="n">
        <v>0.1</v>
      </c>
      <c r="AN2640" s="182" t="n">
        <v>0</v>
      </c>
    </row>
    <row r="2641">
      <c r="A2641" s="155" t="n">
        <v>46093</v>
      </c>
      <c r="B2641" s="156" t="inlineStr">
        <is>
          <t>NS</t>
        </is>
      </c>
      <c r="C2641" s="156" t="inlineStr">
        <is>
          <t>WL-024</t>
        </is>
      </c>
      <c r="D2641" s="156" t="inlineStr">
        <is>
          <t>SANY - Loader</t>
        </is>
      </c>
      <c r="E2641" s="156" t="inlineStr">
        <is>
          <t>Loader</t>
        </is>
      </c>
      <c r="F2641" s="156" t="inlineStr">
        <is>
          <t>Trimming Coal di Washing Plant</t>
        </is>
      </c>
      <c r="G2641" s="182" t="n">
        <v>9.81</v>
      </c>
      <c r="H2641" s="182" t="n">
        <v>0</v>
      </c>
      <c r="I2641" s="182" t="n">
        <v>0</v>
      </c>
      <c r="J2641" s="182" t="n">
        <v>0</v>
      </c>
      <c r="K2641" s="182" t="n">
        <v>2.19</v>
      </c>
      <c r="L2641" s="182" t="n">
        <v>12</v>
      </c>
      <c r="M2641" s="182" t="n">
        <v>0</v>
      </c>
      <c r="N2641" s="182" t="n">
        <v>0</v>
      </c>
      <c r="O2641" s="183" t="n">
        <v>0</v>
      </c>
      <c r="P2641" s="183" t="n">
        <v>0</v>
      </c>
      <c r="Q2641" s="184" t="n">
        <v>0</v>
      </c>
      <c r="R2641" s="184" t="n">
        <v>0</v>
      </c>
      <c r="S2641" s="183" t="n">
        <v>0</v>
      </c>
      <c r="T2641" s="183" t="n">
        <v>0</v>
      </c>
      <c r="U2641" s="182" t="n">
        <v>0</v>
      </c>
      <c r="V2641" s="182" t="n">
        <v>0</v>
      </c>
      <c r="W2641" s="182" t="n">
        <v>0</v>
      </c>
      <c r="X2641" s="182" t="n">
        <v>1.09</v>
      </c>
      <c r="Y2641" s="182" t="n">
        <v>0</v>
      </c>
      <c r="Z2641" s="182" t="n">
        <v>0</v>
      </c>
      <c r="AA2641" s="182" t="n">
        <v>0</v>
      </c>
      <c r="AB2641" s="182" t="n">
        <v>0</v>
      </c>
      <c r="AC2641" s="182" t="n">
        <v>0</v>
      </c>
      <c r="AD2641" s="182" t="n">
        <v>0</v>
      </c>
      <c r="AE2641" s="182" t="n">
        <v>0</v>
      </c>
      <c r="AF2641" s="182" t="n">
        <v>0</v>
      </c>
      <c r="AG2641" s="182" t="n">
        <v>0</v>
      </c>
      <c r="AH2641" s="182" t="n">
        <v>1.01</v>
      </c>
      <c r="AI2641" s="182" t="n">
        <v>0</v>
      </c>
      <c r="AJ2641" s="182" t="n">
        <v>0</v>
      </c>
      <c r="AK2641" s="182" t="n">
        <v>0</v>
      </c>
      <c r="AL2641" s="182" t="n">
        <v>0</v>
      </c>
      <c r="AM2641" s="182" t="n">
        <v>0.09</v>
      </c>
      <c r="AN2641" s="182" t="n">
        <v>0</v>
      </c>
    </row>
    <row r="2642">
      <c r="A2642" s="155" t="n">
        <v>46094</v>
      </c>
      <c r="B2642" s="156" t="inlineStr">
        <is>
          <t>DS</t>
        </is>
      </c>
      <c r="C2642" s="156" t="inlineStr">
        <is>
          <t>DZ-034</t>
        </is>
      </c>
      <c r="D2642" s="156" t="inlineStr">
        <is>
          <t>D 68ESS-12EO</t>
        </is>
      </c>
      <c r="E2642" s="156" t="inlineStr">
        <is>
          <t>Bulldozer</t>
        </is>
      </c>
      <c r="F2642" s="156" t="inlineStr"/>
      <c r="G2642" s="182" t="n">
        <v>0</v>
      </c>
      <c r="H2642" s="182" t="n">
        <v>0</v>
      </c>
      <c r="I2642" s="182" t="n">
        <v>12</v>
      </c>
      <c r="J2642" s="182" t="n">
        <v>12</v>
      </c>
      <c r="K2642" s="182" t="n">
        <v>0</v>
      </c>
      <c r="L2642" s="182" t="n">
        <v>12</v>
      </c>
      <c r="M2642" s="182" t="n">
        <v>0</v>
      </c>
      <c r="N2642" s="182" t="n">
        <v>0</v>
      </c>
      <c r="O2642" s="183" t="n">
        <v>0</v>
      </c>
      <c r="P2642" s="183" t="n">
        <v>0</v>
      </c>
      <c r="Q2642" s="184" t="n">
        <v>0</v>
      </c>
      <c r="R2642" s="184" t="n">
        <v>0</v>
      </c>
      <c r="S2642" s="183" t="n">
        <v>0</v>
      </c>
      <c r="T2642" s="183" t="n">
        <v>0</v>
      </c>
      <c r="U2642" s="182" t="n">
        <v>0</v>
      </c>
      <c r="V2642" s="182" t="n">
        <v>0</v>
      </c>
      <c r="W2642" s="182" t="n">
        <v>0</v>
      </c>
      <c r="X2642" s="182" t="n">
        <v>0</v>
      </c>
      <c r="Y2642" s="182" t="n">
        <v>0</v>
      </c>
      <c r="Z2642" s="182" t="n">
        <v>0</v>
      </c>
      <c r="AA2642" s="182" t="n">
        <v>0</v>
      </c>
      <c r="AB2642" s="182" t="n">
        <v>0</v>
      </c>
      <c r="AC2642" s="182" t="n">
        <v>0</v>
      </c>
      <c r="AD2642" s="182" t="n">
        <v>0</v>
      </c>
      <c r="AE2642" s="182" t="n">
        <v>0</v>
      </c>
      <c r="AF2642" s="182" t="n">
        <v>0</v>
      </c>
      <c r="AG2642" s="182" t="n">
        <v>0</v>
      </c>
      <c r="AH2642" s="182" t="n">
        <v>0</v>
      </c>
      <c r="AI2642" s="182" t="n">
        <v>0</v>
      </c>
      <c r="AJ2642" s="182" t="n">
        <v>0</v>
      </c>
      <c r="AK2642" s="182" t="n">
        <v>0</v>
      </c>
      <c r="AL2642" s="182" t="n">
        <v>0</v>
      </c>
      <c r="AM2642" s="182" t="n">
        <v>0</v>
      </c>
      <c r="AN2642" s="182" t="n">
        <v>0</v>
      </c>
    </row>
    <row r="2643">
      <c r="A2643" s="155" t="n">
        <v>46094</v>
      </c>
      <c r="B2643" s="156" t="inlineStr">
        <is>
          <t>DS</t>
        </is>
      </c>
      <c r="C2643" s="156" t="inlineStr">
        <is>
          <t>DZ-033</t>
        </is>
      </c>
      <c r="D2643" s="156" t="inlineStr">
        <is>
          <t>D 375A-6R</t>
        </is>
      </c>
      <c r="E2643" s="156" t="inlineStr">
        <is>
          <t>Bulldozer</t>
        </is>
      </c>
      <c r="F2643" s="156" t="inlineStr">
        <is>
          <t>Support Disposal</t>
        </is>
      </c>
      <c r="G2643" s="182" t="n">
        <v>10.11</v>
      </c>
      <c r="H2643" s="182" t="n">
        <v>0</v>
      </c>
      <c r="I2643" s="182" t="n">
        <v>0</v>
      </c>
      <c r="J2643" s="182" t="n">
        <v>0</v>
      </c>
      <c r="K2643" s="182" t="n">
        <v>1.89</v>
      </c>
      <c r="L2643" s="182" t="n">
        <v>12</v>
      </c>
      <c r="M2643" s="182" t="n">
        <v>0</v>
      </c>
      <c r="N2643" s="182" t="n">
        <v>0</v>
      </c>
      <c r="O2643" s="183" t="n">
        <v>0</v>
      </c>
      <c r="P2643" s="183" t="n">
        <v>0</v>
      </c>
      <c r="Q2643" s="184" t="n">
        <v>0</v>
      </c>
      <c r="R2643" s="184" t="n">
        <v>0</v>
      </c>
      <c r="S2643" s="183" t="n">
        <v>0</v>
      </c>
      <c r="T2643" s="183" t="n">
        <v>0</v>
      </c>
      <c r="U2643" s="182" t="n">
        <v>0</v>
      </c>
      <c r="V2643" s="182" t="n">
        <v>0</v>
      </c>
      <c r="W2643" s="182" t="n">
        <v>0</v>
      </c>
      <c r="X2643" s="182" t="n">
        <v>0.9399999999999999</v>
      </c>
      <c r="Y2643" s="182" t="n">
        <v>0</v>
      </c>
      <c r="Z2643" s="182" t="n">
        <v>0</v>
      </c>
      <c r="AA2643" s="182" t="n">
        <v>0</v>
      </c>
      <c r="AB2643" s="182" t="n">
        <v>0</v>
      </c>
      <c r="AC2643" s="182" t="n">
        <v>0</v>
      </c>
      <c r="AD2643" s="182" t="n">
        <v>0</v>
      </c>
      <c r="AE2643" s="182" t="n">
        <v>0</v>
      </c>
      <c r="AF2643" s="182" t="n">
        <v>0</v>
      </c>
      <c r="AG2643" s="182" t="n">
        <v>0</v>
      </c>
      <c r="AH2643" s="182" t="n">
        <v>0.87</v>
      </c>
      <c r="AI2643" s="182" t="n">
        <v>0</v>
      </c>
      <c r="AJ2643" s="182" t="n">
        <v>0</v>
      </c>
      <c r="AK2643" s="182" t="n">
        <v>0</v>
      </c>
      <c r="AL2643" s="182" t="n">
        <v>0</v>
      </c>
      <c r="AM2643" s="182" t="n">
        <v>0.08</v>
      </c>
      <c r="AN2643" s="182" t="n">
        <v>0</v>
      </c>
    </row>
    <row r="2644">
      <c r="A2644" s="155" t="n">
        <v>46094</v>
      </c>
      <c r="B2644" s="156" t="inlineStr">
        <is>
          <t>DS</t>
        </is>
      </c>
      <c r="C2644" s="156" t="inlineStr">
        <is>
          <t>DZ-038</t>
        </is>
      </c>
      <c r="D2644" s="156" t="inlineStr">
        <is>
          <t>D 85 ESS-2</t>
        </is>
      </c>
      <c r="E2644" s="156" t="inlineStr">
        <is>
          <t>Bulldozer</t>
        </is>
      </c>
      <c r="F2644" s="156" t="inlineStr"/>
      <c r="G2644" s="182" t="n">
        <v>0</v>
      </c>
      <c r="H2644" s="182" t="n">
        <v>0</v>
      </c>
      <c r="I2644" s="182" t="n">
        <v>12</v>
      </c>
      <c r="J2644" s="182" t="n">
        <v>12</v>
      </c>
      <c r="K2644" s="182" t="n">
        <v>0</v>
      </c>
      <c r="L2644" s="182" t="n">
        <v>12</v>
      </c>
      <c r="M2644" s="182" t="n">
        <v>0</v>
      </c>
      <c r="N2644" s="182" t="n">
        <v>0</v>
      </c>
      <c r="O2644" s="183" t="n">
        <v>0</v>
      </c>
      <c r="P2644" s="183" t="n">
        <v>0</v>
      </c>
      <c r="Q2644" s="184" t="n">
        <v>0</v>
      </c>
      <c r="R2644" s="184" t="n">
        <v>0</v>
      </c>
      <c r="S2644" s="183" t="n">
        <v>0</v>
      </c>
      <c r="T2644" s="183" t="n">
        <v>0</v>
      </c>
      <c r="U2644" s="182" t="n">
        <v>0</v>
      </c>
      <c r="V2644" s="182" t="n">
        <v>0</v>
      </c>
      <c r="W2644" s="182" t="n">
        <v>0</v>
      </c>
      <c r="X2644" s="182" t="n">
        <v>0</v>
      </c>
      <c r="Y2644" s="182" t="n">
        <v>0</v>
      </c>
      <c r="Z2644" s="182" t="n">
        <v>0</v>
      </c>
      <c r="AA2644" s="182" t="n">
        <v>0</v>
      </c>
      <c r="AB2644" s="182" t="n">
        <v>0</v>
      </c>
      <c r="AC2644" s="182" t="n">
        <v>0</v>
      </c>
      <c r="AD2644" s="182" t="n">
        <v>0</v>
      </c>
      <c r="AE2644" s="182" t="n">
        <v>0</v>
      </c>
      <c r="AF2644" s="182" t="n">
        <v>0</v>
      </c>
      <c r="AG2644" s="182" t="n">
        <v>0</v>
      </c>
      <c r="AH2644" s="182" t="n">
        <v>0</v>
      </c>
      <c r="AI2644" s="182" t="n">
        <v>0</v>
      </c>
      <c r="AJ2644" s="182" t="n">
        <v>0</v>
      </c>
      <c r="AK2644" s="182" t="n">
        <v>0</v>
      </c>
      <c r="AL2644" s="182" t="n">
        <v>0</v>
      </c>
      <c r="AM2644" s="182" t="n">
        <v>0</v>
      </c>
      <c r="AN2644" s="182" t="n">
        <v>0</v>
      </c>
    </row>
    <row r="2645">
      <c r="A2645" s="155" t="n">
        <v>46094</v>
      </c>
      <c r="B2645" s="156" t="inlineStr">
        <is>
          <t>DS</t>
        </is>
      </c>
      <c r="C2645" s="156" t="inlineStr">
        <is>
          <t>DZ-039</t>
        </is>
      </c>
      <c r="D2645" s="156" t="inlineStr">
        <is>
          <t>D 85 ESS-2</t>
        </is>
      </c>
      <c r="E2645" s="156" t="inlineStr">
        <is>
          <t>Bulldozer</t>
        </is>
      </c>
      <c r="F2645" s="156" t="inlineStr"/>
      <c r="G2645" s="182" t="n">
        <v>0</v>
      </c>
      <c r="H2645" s="182" t="n">
        <v>12</v>
      </c>
      <c r="I2645" s="182" t="n">
        <v>0</v>
      </c>
      <c r="J2645" s="182" t="n">
        <v>12</v>
      </c>
      <c r="K2645" s="182" t="n">
        <v>0</v>
      </c>
      <c r="L2645" s="182" t="n">
        <v>12</v>
      </c>
      <c r="M2645" s="182" t="n">
        <v>0</v>
      </c>
      <c r="N2645" s="182" t="n">
        <v>0</v>
      </c>
      <c r="O2645" s="183" t="n">
        <v>0</v>
      </c>
      <c r="P2645" s="183" t="n">
        <v>0</v>
      </c>
      <c r="Q2645" s="184" t="n">
        <v>0</v>
      </c>
      <c r="R2645" s="184" t="n">
        <v>0</v>
      </c>
      <c r="S2645" s="183" t="n">
        <v>0</v>
      </c>
      <c r="T2645" s="183" t="n">
        <v>0</v>
      </c>
      <c r="U2645" s="182" t="n">
        <v>0</v>
      </c>
      <c r="V2645" s="182" t="n">
        <v>0</v>
      </c>
      <c r="W2645" s="182" t="n">
        <v>0</v>
      </c>
      <c r="X2645" s="182" t="n">
        <v>0</v>
      </c>
      <c r="Y2645" s="182" t="n">
        <v>0</v>
      </c>
      <c r="Z2645" s="182" t="n">
        <v>0</v>
      </c>
      <c r="AA2645" s="182" t="n">
        <v>0</v>
      </c>
      <c r="AB2645" s="182" t="n">
        <v>0</v>
      </c>
      <c r="AC2645" s="182" t="n">
        <v>0</v>
      </c>
      <c r="AD2645" s="182" t="n">
        <v>0</v>
      </c>
      <c r="AE2645" s="182" t="n">
        <v>0</v>
      </c>
      <c r="AF2645" s="182" t="n">
        <v>0</v>
      </c>
      <c r="AG2645" s="182" t="n">
        <v>0</v>
      </c>
      <c r="AH2645" s="182" t="n">
        <v>0</v>
      </c>
      <c r="AI2645" s="182" t="n">
        <v>0</v>
      </c>
      <c r="AJ2645" s="182" t="n">
        <v>0</v>
      </c>
      <c r="AK2645" s="182" t="n">
        <v>0</v>
      </c>
      <c r="AL2645" s="182" t="n">
        <v>0</v>
      </c>
      <c r="AM2645" s="182" t="n">
        <v>0</v>
      </c>
      <c r="AN2645" s="182" t="n">
        <v>0</v>
      </c>
    </row>
    <row r="2646">
      <c r="A2646" s="155" t="n">
        <v>46094</v>
      </c>
      <c r="B2646" s="156" t="inlineStr">
        <is>
          <t>DS</t>
        </is>
      </c>
      <c r="C2646" s="156" t="inlineStr">
        <is>
          <t>DZ-032</t>
        </is>
      </c>
      <c r="D2646" s="156" t="inlineStr">
        <is>
          <t>CAT</t>
        </is>
      </c>
      <c r="E2646" s="156" t="inlineStr">
        <is>
          <t>Bulldozer</t>
        </is>
      </c>
      <c r="F2646" s="156" t="inlineStr">
        <is>
          <t>Support Front Loading</t>
        </is>
      </c>
      <c r="G2646" s="182" t="n">
        <v>1.06</v>
      </c>
      <c r="H2646" s="182" t="n">
        <v>0</v>
      </c>
      <c r="I2646" s="182" t="n">
        <v>10.5</v>
      </c>
      <c r="J2646" s="182" t="n">
        <v>10.5</v>
      </c>
      <c r="K2646" s="182" t="n">
        <v>0.44</v>
      </c>
      <c r="L2646" s="182" t="n">
        <v>12</v>
      </c>
      <c r="M2646" s="182" t="n">
        <v>0</v>
      </c>
      <c r="N2646" s="182" t="n">
        <v>0</v>
      </c>
      <c r="O2646" s="183" t="n">
        <v>0</v>
      </c>
      <c r="P2646" s="183" t="n">
        <v>0</v>
      </c>
      <c r="Q2646" s="184" t="n">
        <v>0</v>
      </c>
      <c r="R2646" s="184" t="n">
        <v>0</v>
      </c>
      <c r="S2646" s="183" t="n">
        <v>0</v>
      </c>
      <c r="T2646" s="183" t="n">
        <v>0</v>
      </c>
      <c r="U2646" s="182" t="n">
        <v>0</v>
      </c>
      <c r="V2646" s="182" t="n">
        <v>0</v>
      </c>
      <c r="W2646" s="182" t="n">
        <v>0</v>
      </c>
      <c r="X2646" s="182" t="n">
        <v>0</v>
      </c>
      <c r="Y2646" s="182" t="n">
        <v>0</v>
      </c>
      <c r="Z2646" s="182" t="n">
        <v>0</v>
      </c>
      <c r="AA2646" s="182" t="n">
        <v>0</v>
      </c>
      <c r="AB2646" s="182" t="n">
        <v>0</v>
      </c>
      <c r="AC2646" s="182" t="n">
        <v>0</v>
      </c>
      <c r="AD2646" s="182" t="n">
        <v>0</v>
      </c>
      <c r="AE2646" s="182" t="n">
        <v>0</v>
      </c>
      <c r="AF2646" s="182" t="n">
        <v>0</v>
      </c>
      <c r="AG2646" s="182" t="n">
        <v>0</v>
      </c>
      <c r="AH2646" s="182" t="n">
        <v>0</v>
      </c>
      <c r="AI2646" s="182" t="n">
        <v>0</v>
      </c>
      <c r="AJ2646" s="182" t="n">
        <v>0</v>
      </c>
      <c r="AK2646" s="182" t="n">
        <v>0</v>
      </c>
      <c r="AL2646" s="182" t="n">
        <v>0</v>
      </c>
      <c r="AM2646" s="182" t="n">
        <v>0</v>
      </c>
      <c r="AN2646" s="182" t="n">
        <v>0</v>
      </c>
    </row>
    <row r="2647">
      <c r="A2647" s="155" t="n">
        <v>46094</v>
      </c>
      <c r="B2647" s="156" t="inlineStr">
        <is>
          <t>DS</t>
        </is>
      </c>
      <c r="C2647" s="156" t="inlineStr">
        <is>
          <t>DZ-031</t>
        </is>
      </c>
      <c r="D2647" s="156" t="inlineStr">
        <is>
          <t>CAT</t>
        </is>
      </c>
      <c r="E2647" s="156" t="inlineStr">
        <is>
          <t>Bulldozer</t>
        </is>
      </c>
      <c r="F2647" s="156" t="inlineStr"/>
      <c r="G2647" s="182" t="n">
        <v>0</v>
      </c>
      <c r="H2647" s="182" t="n">
        <v>0</v>
      </c>
      <c r="I2647" s="182" t="n">
        <v>12</v>
      </c>
      <c r="J2647" s="182" t="n">
        <v>12</v>
      </c>
      <c r="K2647" s="182" t="n">
        <v>0</v>
      </c>
      <c r="L2647" s="182" t="n">
        <v>12</v>
      </c>
      <c r="M2647" s="182" t="n">
        <v>0</v>
      </c>
      <c r="N2647" s="182" t="n">
        <v>0</v>
      </c>
      <c r="O2647" s="183" t="n">
        <v>0</v>
      </c>
      <c r="P2647" s="183" t="n">
        <v>0</v>
      </c>
      <c r="Q2647" s="184" t="n">
        <v>0</v>
      </c>
      <c r="R2647" s="184" t="n">
        <v>0</v>
      </c>
      <c r="S2647" s="183" t="n">
        <v>0</v>
      </c>
      <c r="T2647" s="183" t="n">
        <v>0</v>
      </c>
      <c r="U2647" s="182" t="n">
        <v>0</v>
      </c>
      <c r="V2647" s="182" t="n">
        <v>0</v>
      </c>
      <c r="W2647" s="182" t="n">
        <v>0</v>
      </c>
      <c r="X2647" s="182" t="n">
        <v>0</v>
      </c>
      <c r="Y2647" s="182" t="n">
        <v>0</v>
      </c>
      <c r="Z2647" s="182" t="n">
        <v>0</v>
      </c>
      <c r="AA2647" s="182" t="n">
        <v>0</v>
      </c>
      <c r="AB2647" s="182" t="n">
        <v>0</v>
      </c>
      <c r="AC2647" s="182" t="n">
        <v>0</v>
      </c>
      <c r="AD2647" s="182" t="n">
        <v>0</v>
      </c>
      <c r="AE2647" s="182" t="n">
        <v>0</v>
      </c>
      <c r="AF2647" s="182" t="n">
        <v>0</v>
      </c>
      <c r="AG2647" s="182" t="n">
        <v>0</v>
      </c>
      <c r="AH2647" s="182" t="n">
        <v>0</v>
      </c>
      <c r="AI2647" s="182" t="n">
        <v>0</v>
      </c>
      <c r="AJ2647" s="182" t="n">
        <v>0</v>
      </c>
      <c r="AK2647" s="182" t="n">
        <v>0</v>
      </c>
      <c r="AL2647" s="182" t="n">
        <v>0</v>
      </c>
      <c r="AM2647" s="182" t="n">
        <v>0</v>
      </c>
      <c r="AN2647" s="182" t="n">
        <v>0</v>
      </c>
    </row>
    <row r="2648">
      <c r="A2648" s="155" t="n">
        <v>46094</v>
      </c>
      <c r="B2648" s="156" t="inlineStr">
        <is>
          <t>DS</t>
        </is>
      </c>
      <c r="C2648" s="156" t="inlineStr">
        <is>
          <t>DZ-037</t>
        </is>
      </c>
      <c r="D2648" s="156" t="inlineStr">
        <is>
          <t>D 85 ESS-2</t>
        </is>
      </c>
      <c r="E2648" s="156" t="inlineStr">
        <is>
          <t>Bulldozer</t>
        </is>
      </c>
      <c r="F2648" s="156" t="inlineStr"/>
      <c r="G2648" s="182" t="n">
        <v>0</v>
      </c>
      <c r="H2648" s="182" t="n">
        <v>0</v>
      </c>
      <c r="I2648" s="182" t="n">
        <v>12</v>
      </c>
      <c r="J2648" s="182" t="n">
        <v>12</v>
      </c>
      <c r="K2648" s="182" t="n">
        <v>0</v>
      </c>
      <c r="L2648" s="182" t="n">
        <v>12</v>
      </c>
      <c r="M2648" s="182" t="n">
        <v>0</v>
      </c>
      <c r="N2648" s="182" t="n">
        <v>0</v>
      </c>
      <c r="O2648" s="183" t="n">
        <v>0</v>
      </c>
      <c r="P2648" s="183" t="n">
        <v>0</v>
      </c>
      <c r="Q2648" s="184" t="n">
        <v>0</v>
      </c>
      <c r="R2648" s="184" t="n">
        <v>0</v>
      </c>
      <c r="S2648" s="183" t="n">
        <v>0</v>
      </c>
      <c r="T2648" s="183" t="n">
        <v>0</v>
      </c>
      <c r="U2648" s="182" t="n">
        <v>0</v>
      </c>
      <c r="V2648" s="182" t="n">
        <v>0</v>
      </c>
      <c r="W2648" s="182" t="n">
        <v>0</v>
      </c>
      <c r="X2648" s="182" t="n">
        <v>0</v>
      </c>
      <c r="Y2648" s="182" t="n">
        <v>0</v>
      </c>
      <c r="Z2648" s="182" t="n">
        <v>0</v>
      </c>
      <c r="AA2648" s="182" t="n">
        <v>0</v>
      </c>
      <c r="AB2648" s="182" t="n">
        <v>0</v>
      </c>
      <c r="AC2648" s="182" t="n">
        <v>0</v>
      </c>
      <c r="AD2648" s="182" t="n">
        <v>0</v>
      </c>
      <c r="AE2648" s="182" t="n">
        <v>0</v>
      </c>
      <c r="AF2648" s="182" t="n">
        <v>0</v>
      </c>
      <c r="AG2648" s="182" t="n">
        <v>0</v>
      </c>
      <c r="AH2648" s="182" t="n">
        <v>0</v>
      </c>
      <c r="AI2648" s="182" t="n">
        <v>0</v>
      </c>
      <c r="AJ2648" s="182" t="n">
        <v>0</v>
      </c>
      <c r="AK2648" s="182" t="n">
        <v>0</v>
      </c>
      <c r="AL2648" s="182" t="n">
        <v>0</v>
      </c>
      <c r="AM2648" s="182" t="n">
        <v>0</v>
      </c>
      <c r="AN2648" s="182" t="n">
        <v>0</v>
      </c>
    </row>
    <row r="2649">
      <c r="A2649" s="155" t="n">
        <v>46094</v>
      </c>
      <c r="B2649" s="156" t="inlineStr">
        <is>
          <t>DS</t>
        </is>
      </c>
      <c r="C2649" s="156" t="inlineStr">
        <is>
          <t>DZ-036</t>
        </is>
      </c>
      <c r="D2649" s="156" t="inlineStr">
        <is>
          <t>D 85 ESS-2</t>
        </is>
      </c>
      <c r="E2649" s="156" t="inlineStr">
        <is>
          <t>Bulldozer</t>
        </is>
      </c>
      <c r="F2649" s="156" t="inlineStr"/>
      <c r="G2649" s="182" t="n">
        <v>0</v>
      </c>
      <c r="H2649" s="182" t="n">
        <v>0</v>
      </c>
      <c r="I2649" s="182" t="n">
        <v>0</v>
      </c>
      <c r="J2649" s="182" t="n">
        <v>0</v>
      </c>
      <c r="K2649" s="182" t="n">
        <v>12</v>
      </c>
      <c r="L2649" s="182" t="n">
        <v>12</v>
      </c>
      <c r="M2649" s="182" t="n">
        <v>0</v>
      </c>
      <c r="N2649" s="182" t="n">
        <v>0</v>
      </c>
      <c r="O2649" s="183" t="n">
        <v>0</v>
      </c>
      <c r="P2649" s="183" t="n">
        <v>0</v>
      </c>
      <c r="Q2649" s="184" t="n">
        <v>0</v>
      </c>
      <c r="R2649" s="184" t="n">
        <v>0</v>
      </c>
      <c r="S2649" s="183" t="n">
        <v>0</v>
      </c>
      <c r="T2649" s="183" t="n">
        <v>0</v>
      </c>
      <c r="U2649" s="182" t="n">
        <v>0</v>
      </c>
      <c r="V2649" s="182" t="n">
        <v>0</v>
      </c>
      <c r="W2649" s="182" t="n">
        <v>0</v>
      </c>
      <c r="X2649" s="182" t="n">
        <v>1</v>
      </c>
      <c r="Y2649" s="182" t="n">
        <v>0</v>
      </c>
      <c r="Z2649" s="182" t="n">
        <v>0</v>
      </c>
      <c r="AA2649" s="182" t="n">
        <v>0</v>
      </c>
      <c r="AB2649" s="182" t="n">
        <v>0</v>
      </c>
      <c r="AC2649" s="182" t="n">
        <v>0</v>
      </c>
      <c r="AD2649" s="182" t="n">
        <v>0</v>
      </c>
      <c r="AE2649" s="182" t="n">
        <v>0</v>
      </c>
      <c r="AF2649" s="182" t="n">
        <v>0</v>
      </c>
      <c r="AG2649" s="182" t="n">
        <v>0</v>
      </c>
      <c r="AH2649" s="182" t="n">
        <v>0</v>
      </c>
      <c r="AI2649" s="182" t="n">
        <v>0</v>
      </c>
      <c r="AJ2649" s="182" t="n">
        <v>0</v>
      </c>
      <c r="AK2649" s="182" t="n">
        <v>10.92</v>
      </c>
      <c r="AL2649" s="182" t="n">
        <v>0</v>
      </c>
      <c r="AM2649" s="182" t="n">
        <v>0.08</v>
      </c>
      <c r="AN2649" s="182" t="n">
        <v>0</v>
      </c>
    </row>
    <row r="2650">
      <c r="A2650" s="155" t="n">
        <v>46094</v>
      </c>
      <c r="B2650" s="156" t="inlineStr">
        <is>
          <t>DS</t>
        </is>
      </c>
      <c r="C2650" s="156" t="inlineStr">
        <is>
          <t>DZ-035</t>
        </is>
      </c>
      <c r="D2650" s="156" t="inlineStr">
        <is>
          <t>D 85 ESS-2</t>
        </is>
      </c>
      <c r="E2650" s="156" t="inlineStr">
        <is>
          <t>Bulldozer</t>
        </is>
      </c>
      <c r="F2650" s="156" t="inlineStr">
        <is>
          <t>Support Front Loading</t>
        </is>
      </c>
      <c r="G2650" s="182" t="n">
        <v>10.98</v>
      </c>
      <c r="H2650" s="182" t="n">
        <v>0</v>
      </c>
      <c r="I2650" s="182" t="n">
        <v>0</v>
      </c>
      <c r="J2650" s="182" t="n">
        <v>0</v>
      </c>
      <c r="K2650" s="182" t="n">
        <v>1.02</v>
      </c>
      <c r="L2650" s="182" t="n">
        <v>12</v>
      </c>
      <c r="M2650" s="182" t="n">
        <v>0</v>
      </c>
      <c r="N2650" s="182" t="n">
        <v>0</v>
      </c>
      <c r="O2650" s="183" t="n">
        <v>0</v>
      </c>
      <c r="P2650" s="183" t="n">
        <v>0</v>
      </c>
      <c r="Q2650" s="184" t="n">
        <v>0</v>
      </c>
      <c r="R2650" s="184" t="n">
        <v>0</v>
      </c>
      <c r="S2650" s="183" t="n">
        <v>0</v>
      </c>
      <c r="T2650" s="183" t="n">
        <v>0</v>
      </c>
      <c r="U2650" s="182" t="n">
        <v>0</v>
      </c>
      <c r="V2650" s="182" t="n">
        <v>0</v>
      </c>
      <c r="W2650" s="182" t="n">
        <v>0</v>
      </c>
      <c r="X2650" s="182" t="n">
        <v>0.93</v>
      </c>
      <c r="Y2650" s="182" t="n">
        <v>0</v>
      </c>
      <c r="Z2650" s="182" t="n">
        <v>0</v>
      </c>
      <c r="AA2650" s="182" t="n">
        <v>0</v>
      </c>
      <c r="AB2650" s="182" t="n">
        <v>0</v>
      </c>
      <c r="AC2650" s="182" t="n">
        <v>0</v>
      </c>
      <c r="AD2650" s="182" t="n">
        <v>0</v>
      </c>
      <c r="AE2650" s="182" t="n">
        <v>0</v>
      </c>
      <c r="AF2650" s="182" t="n">
        <v>0</v>
      </c>
      <c r="AG2650" s="182" t="n">
        <v>0</v>
      </c>
      <c r="AH2650" s="182" t="n">
        <v>0.02</v>
      </c>
      <c r="AI2650" s="182" t="n">
        <v>0</v>
      </c>
      <c r="AJ2650" s="182" t="n">
        <v>0</v>
      </c>
      <c r="AK2650" s="182" t="n">
        <v>0</v>
      </c>
      <c r="AL2650" s="182" t="n">
        <v>0</v>
      </c>
      <c r="AM2650" s="182" t="n">
        <v>0.07000000000000001</v>
      </c>
      <c r="AN2650" s="182" t="n">
        <v>0</v>
      </c>
    </row>
    <row r="2651">
      <c r="A2651" s="155" t="n">
        <v>46094</v>
      </c>
      <c r="B2651" s="156" t="inlineStr">
        <is>
          <t>DS</t>
        </is>
      </c>
      <c r="C2651" s="156" t="inlineStr">
        <is>
          <t>CP-042</t>
        </is>
      </c>
      <c r="D2651" s="156" t="inlineStr">
        <is>
          <t>SANY - Compactor</t>
        </is>
      </c>
      <c r="E2651" s="156" t="inlineStr">
        <is>
          <t>Compactor</t>
        </is>
      </c>
      <c r="F2651" s="156" t="inlineStr"/>
      <c r="G2651" s="182" t="n">
        <v>0</v>
      </c>
      <c r="H2651" s="182" t="n">
        <v>0</v>
      </c>
      <c r="I2651" s="182" t="n">
        <v>0</v>
      </c>
      <c r="J2651" s="182" t="n">
        <v>0</v>
      </c>
      <c r="K2651" s="182" t="n">
        <v>12</v>
      </c>
      <c r="L2651" s="182" t="n">
        <v>12</v>
      </c>
      <c r="M2651" s="182" t="n">
        <v>0</v>
      </c>
      <c r="N2651" s="182" t="n">
        <v>0</v>
      </c>
      <c r="O2651" s="183" t="n">
        <v>0</v>
      </c>
      <c r="P2651" s="183" t="n">
        <v>0</v>
      </c>
      <c r="Q2651" s="184" t="n">
        <v>0</v>
      </c>
      <c r="R2651" s="184" t="n">
        <v>0</v>
      </c>
      <c r="S2651" s="183" t="n">
        <v>0</v>
      </c>
      <c r="T2651" s="183" t="n">
        <v>0</v>
      </c>
      <c r="U2651" s="182" t="n">
        <v>0</v>
      </c>
      <c r="V2651" s="182" t="n">
        <v>0</v>
      </c>
      <c r="W2651" s="182" t="n">
        <v>0</v>
      </c>
      <c r="X2651" s="182" t="n">
        <v>1</v>
      </c>
      <c r="Y2651" s="182" t="n">
        <v>0</v>
      </c>
      <c r="Z2651" s="182" t="n">
        <v>0</v>
      </c>
      <c r="AA2651" s="182" t="n">
        <v>0</v>
      </c>
      <c r="AB2651" s="182" t="n">
        <v>0</v>
      </c>
      <c r="AC2651" s="182" t="n">
        <v>0</v>
      </c>
      <c r="AD2651" s="182" t="n">
        <v>0</v>
      </c>
      <c r="AE2651" s="182" t="n">
        <v>0</v>
      </c>
      <c r="AF2651" s="182" t="n">
        <v>0</v>
      </c>
      <c r="AG2651" s="182" t="n">
        <v>0</v>
      </c>
      <c r="AH2651" s="182" t="n">
        <v>0</v>
      </c>
      <c r="AI2651" s="182" t="n">
        <v>0</v>
      </c>
      <c r="AJ2651" s="182" t="n">
        <v>0</v>
      </c>
      <c r="AK2651" s="182" t="n">
        <v>10.92</v>
      </c>
      <c r="AL2651" s="182" t="n">
        <v>0</v>
      </c>
      <c r="AM2651" s="182" t="n">
        <v>0.08</v>
      </c>
      <c r="AN2651" s="182" t="n">
        <v>0</v>
      </c>
    </row>
    <row r="2652">
      <c r="A2652" s="155" t="n">
        <v>46094</v>
      </c>
      <c r="B2652" s="156" t="inlineStr">
        <is>
          <t>DS</t>
        </is>
      </c>
      <c r="C2652" s="156" t="inlineStr">
        <is>
          <t>CP-041</t>
        </is>
      </c>
      <c r="D2652" s="156" t="inlineStr">
        <is>
          <t>SANY - Compactor</t>
        </is>
      </c>
      <c r="E2652" s="156" t="inlineStr">
        <is>
          <t>Compactor</t>
        </is>
      </c>
      <c r="F2652" s="156" t="inlineStr">
        <is>
          <t>General Road</t>
        </is>
      </c>
      <c r="G2652" s="182" t="n">
        <v>10.55</v>
      </c>
      <c r="H2652" s="182" t="n">
        <v>0</v>
      </c>
      <c r="I2652" s="182" t="n">
        <v>0</v>
      </c>
      <c r="J2652" s="182" t="n">
        <v>0</v>
      </c>
      <c r="K2652" s="182" t="n">
        <v>1.45</v>
      </c>
      <c r="L2652" s="182" t="n">
        <v>12</v>
      </c>
      <c r="M2652" s="182" t="n">
        <v>0</v>
      </c>
      <c r="N2652" s="182" t="n">
        <v>0</v>
      </c>
      <c r="O2652" s="183" t="n">
        <v>0</v>
      </c>
      <c r="P2652" s="183" t="n">
        <v>0</v>
      </c>
      <c r="Q2652" s="184" t="n">
        <v>0</v>
      </c>
      <c r="R2652" s="184" t="n">
        <v>0</v>
      </c>
      <c r="S2652" s="183" t="n">
        <v>0</v>
      </c>
      <c r="T2652" s="183" t="n">
        <v>0</v>
      </c>
      <c r="U2652" s="182" t="n">
        <v>0</v>
      </c>
      <c r="V2652" s="182" t="n">
        <v>0</v>
      </c>
      <c r="W2652" s="182" t="n">
        <v>0</v>
      </c>
      <c r="X2652" s="182" t="n">
        <v>0.76</v>
      </c>
      <c r="Y2652" s="182" t="n">
        <v>0</v>
      </c>
      <c r="Z2652" s="182" t="n">
        <v>0</v>
      </c>
      <c r="AA2652" s="182" t="n">
        <v>0</v>
      </c>
      <c r="AB2652" s="182" t="n">
        <v>0</v>
      </c>
      <c r="AC2652" s="182" t="n">
        <v>0</v>
      </c>
      <c r="AD2652" s="182" t="n">
        <v>0</v>
      </c>
      <c r="AE2652" s="182" t="n">
        <v>0</v>
      </c>
      <c r="AF2652" s="182" t="n">
        <v>0</v>
      </c>
      <c r="AG2652" s="182" t="n">
        <v>0</v>
      </c>
      <c r="AH2652" s="182" t="n">
        <v>0.63</v>
      </c>
      <c r="AI2652" s="182" t="n">
        <v>0</v>
      </c>
      <c r="AJ2652" s="182" t="n">
        <v>0</v>
      </c>
      <c r="AK2652" s="182" t="n">
        <v>0</v>
      </c>
      <c r="AL2652" s="182" t="n">
        <v>0</v>
      </c>
      <c r="AM2652" s="182" t="n">
        <v>0.06</v>
      </c>
      <c r="AN2652" s="182" t="n">
        <v>0</v>
      </c>
    </row>
    <row r="2653">
      <c r="A2653" s="155" t="n">
        <v>46094</v>
      </c>
      <c r="B2653" s="156" t="inlineStr">
        <is>
          <t>DS</t>
        </is>
      </c>
      <c r="C2653" s="156" t="inlineStr">
        <is>
          <t>HT-418</t>
        </is>
      </c>
      <c r="D2653" s="156" t="inlineStr">
        <is>
          <t>SY430</t>
        </is>
      </c>
      <c r="E2653" s="156" t="inlineStr">
        <is>
          <t>DT Hauling</t>
        </is>
      </c>
      <c r="F2653" s="156" t="inlineStr"/>
      <c r="G2653" s="182" t="n">
        <v>0</v>
      </c>
      <c r="H2653" s="182" t="n">
        <v>0</v>
      </c>
      <c r="I2653" s="182" t="n">
        <v>0</v>
      </c>
      <c r="J2653" s="182" t="n">
        <v>0</v>
      </c>
      <c r="K2653" s="182" t="n">
        <v>12</v>
      </c>
      <c r="L2653" s="182" t="n">
        <v>12</v>
      </c>
      <c r="M2653" s="182" t="n">
        <v>0</v>
      </c>
      <c r="N2653" s="182" t="n">
        <v>0</v>
      </c>
      <c r="O2653" s="183" t="n">
        <v>0</v>
      </c>
      <c r="P2653" s="183" t="n">
        <v>0</v>
      </c>
      <c r="Q2653" s="184" t="n">
        <v>0</v>
      </c>
      <c r="R2653" s="184" t="n">
        <v>0</v>
      </c>
      <c r="S2653" s="183" t="n">
        <v>0</v>
      </c>
      <c r="T2653" s="183" t="n">
        <v>0</v>
      </c>
      <c r="U2653" s="182" t="n">
        <v>0</v>
      </c>
      <c r="V2653" s="182" t="n">
        <v>0</v>
      </c>
      <c r="W2653" s="182" t="n">
        <v>0</v>
      </c>
      <c r="X2653" s="182" t="n">
        <v>1</v>
      </c>
      <c r="Y2653" s="182" t="n">
        <v>0</v>
      </c>
      <c r="Z2653" s="182" t="n">
        <v>0</v>
      </c>
      <c r="AA2653" s="182" t="n">
        <v>0</v>
      </c>
      <c r="AB2653" s="182" t="n">
        <v>0</v>
      </c>
      <c r="AC2653" s="182" t="n">
        <v>0</v>
      </c>
      <c r="AD2653" s="182" t="n">
        <v>0</v>
      </c>
      <c r="AE2653" s="182" t="n">
        <v>0</v>
      </c>
      <c r="AF2653" s="182" t="n">
        <v>0</v>
      </c>
      <c r="AG2653" s="182" t="n">
        <v>0</v>
      </c>
      <c r="AH2653" s="182" t="n">
        <v>0</v>
      </c>
      <c r="AI2653" s="182" t="n">
        <v>0</v>
      </c>
      <c r="AJ2653" s="182" t="n">
        <v>0</v>
      </c>
      <c r="AK2653" s="182" t="n">
        <v>10.92</v>
      </c>
      <c r="AL2653" s="182" t="n">
        <v>0</v>
      </c>
      <c r="AM2653" s="182" t="n">
        <v>0.08</v>
      </c>
      <c r="AN2653" s="182" t="n">
        <v>0</v>
      </c>
    </row>
    <row r="2654">
      <c r="A2654" s="155" t="n">
        <v>46094</v>
      </c>
      <c r="B2654" s="156" t="inlineStr">
        <is>
          <t>DS</t>
        </is>
      </c>
      <c r="C2654" s="156" t="inlineStr">
        <is>
          <t>HT-404</t>
        </is>
      </c>
      <c r="D2654" s="156" t="inlineStr">
        <is>
          <t>SY430</t>
        </is>
      </c>
      <c r="E2654" s="156" t="inlineStr">
        <is>
          <t>DT Hauling</t>
        </is>
      </c>
      <c r="F2654" s="156" t="inlineStr"/>
      <c r="G2654" s="182" t="n">
        <v>0</v>
      </c>
      <c r="H2654" s="182" t="n">
        <v>0</v>
      </c>
      <c r="I2654" s="182" t="n">
        <v>0</v>
      </c>
      <c r="J2654" s="182" t="n">
        <v>0</v>
      </c>
      <c r="K2654" s="182" t="n">
        <v>12</v>
      </c>
      <c r="L2654" s="182" t="n">
        <v>12</v>
      </c>
      <c r="M2654" s="182" t="n">
        <v>0</v>
      </c>
      <c r="N2654" s="182" t="n">
        <v>0</v>
      </c>
      <c r="O2654" s="183" t="n">
        <v>0</v>
      </c>
      <c r="P2654" s="183" t="n">
        <v>0</v>
      </c>
      <c r="Q2654" s="184" t="n">
        <v>0</v>
      </c>
      <c r="R2654" s="184" t="n">
        <v>0</v>
      </c>
      <c r="S2654" s="183" t="n">
        <v>0</v>
      </c>
      <c r="T2654" s="183" t="n">
        <v>0</v>
      </c>
      <c r="U2654" s="182" t="n">
        <v>0</v>
      </c>
      <c r="V2654" s="182" t="n">
        <v>0</v>
      </c>
      <c r="W2654" s="182" t="n">
        <v>0</v>
      </c>
      <c r="X2654" s="182" t="n">
        <v>1</v>
      </c>
      <c r="Y2654" s="182" t="n">
        <v>0</v>
      </c>
      <c r="Z2654" s="182" t="n">
        <v>0</v>
      </c>
      <c r="AA2654" s="182" t="n">
        <v>0</v>
      </c>
      <c r="AB2654" s="182" t="n">
        <v>0</v>
      </c>
      <c r="AC2654" s="182" t="n">
        <v>0</v>
      </c>
      <c r="AD2654" s="182" t="n">
        <v>0</v>
      </c>
      <c r="AE2654" s="182" t="n">
        <v>0</v>
      </c>
      <c r="AF2654" s="182" t="n">
        <v>0</v>
      </c>
      <c r="AG2654" s="182" t="n">
        <v>0</v>
      </c>
      <c r="AH2654" s="182" t="n">
        <v>0</v>
      </c>
      <c r="AI2654" s="182" t="n">
        <v>0</v>
      </c>
      <c r="AJ2654" s="182" t="n">
        <v>0</v>
      </c>
      <c r="AK2654" s="182" t="n">
        <v>10.92</v>
      </c>
      <c r="AL2654" s="182" t="n">
        <v>0</v>
      </c>
      <c r="AM2654" s="182" t="n">
        <v>0.08</v>
      </c>
      <c r="AN2654" s="182" t="n">
        <v>0</v>
      </c>
    </row>
    <row r="2655">
      <c r="A2655" s="155" t="n">
        <v>46094</v>
      </c>
      <c r="B2655" s="156" t="inlineStr">
        <is>
          <t>DS</t>
        </is>
      </c>
      <c r="C2655" s="156" t="inlineStr">
        <is>
          <t>HT-415</t>
        </is>
      </c>
      <c r="D2655" s="156" t="inlineStr">
        <is>
          <t>SY430</t>
        </is>
      </c>
      <c r="E2655" s="156" t="inlineStr">
        <is>
          <t>DT Hauling</t>
        </is>
      </c>
      <c r="F2655" s="156" t="inlineStr"/>
      <c r="G2655" s="182" t="n">
        <v>0</v>
      </c>
      <c r="H2655" s="182" t="n">
        <v>0</v>
      </c>
      <c r="I2655" s="182" t="n">
        <v>12</v>
      </c>
      <c r="J2655" s="182" t="n">
        <v>12</v>
      </c>
      <c r="K2655" s="182" t="n">
        <v>0</v>
      </c>
      <c r="L2655" s="182" t="n">
        <v>12</v>
      </c>
      <c r="M2655" s="182" t="n">
        <v>0</v>
      </c>
      <c r="N2655" s="182" t="n">
        <v>0</v>
      </c>
      <c r="O2655" s="183" t="n">
        <v>0</v>
      </c>
      <c r="P2655" s="183" t="n">
        <v>0</v>
      </c>
      <c r="Q2655" s="184" t="n">
        <v>0</v>
      </c>
      <c r="R2655" s="184" t="n">
        <v>0</v>
      </c>
      <c r="S2655" s="183" t="n">
        <v>0</v>
      </c>
      <c r="T2655" s="183" t="n">
        <v>0</v>
      </c>
      <c r="U2655" s="182" t="n">
        <v>0</v>
      </c>
      <c r="V2655" s="182" t="n">
        <v>0</v>
      </c>
      <c r="W2655" s="182" t="n">
        <v>0</v>
      </c>
      <c r="X2655" s="182" t="n">
        <v>0</v>
      </c>
      <c r="Y2655" s="182" t="n">
        <v>0</v>
      </c>
      <c r="Z2655" s="182" t="n">
        <v>0</v>
      </c>
      <c r="AA2655" s="182" t="n">
        <v>0</v>
      </c>
      <c r="AB2655" s="182" t="n">
        <v>0</v>
      </c>
      <c r="AC2655" s="182" t="n">
        <v>0</v>
      </c>
      <c r="AD2655" s="182" t="n">
        <v>0</v>
      </c>
      <c r="AE2655" s="182" t="n">
        <v>0</v>
      </c>
      <c r="AF2655" s="182" t="n">
        <v>0</v>
      </c>
      <c r="AG2655" s="182" t="n">
        <v>0</v>
      </c>
      <c r="AH2655" s="182" t="n">
        <v>0</v>
      </c>
      <c r="AI2655" s="182" t="n">
        <v>0</v>
      </c>
      <c r="AJ2655" s="182" t="n">
        <v>0</v>
      </c>
      <c r="AK2655" s="182" t="n">
        <v>0</v>
      </c>
      <c r="AL2655" s="182" t="n">
        <v>0</v>
      </c>
      <c r="AM2655" s="182" t="n">
        <v>0</v>
      </c>
      <c r="AN2655" s="182" t="n">
        <v>0</v>
      </c>
    </row>
    <row r="2656">
      <c r="A2656" s="155" t="n">
        <v>46094</v>
      </c>
      <c r="B2656" s="156" t="inlineStr">
        <is>
          <t>DS</t>
        </is>
      </c>
      <c r="C2656" s="156" t="inlineStr">
        <is>
          <t>HT-406</t>
        </is>
      </c>
      <c r="D2656" s="156" t="inlineStr">
        <is>
          <t>SY430</t>
        </is>
      </c>
      <c r="E2656" s="156" t="inlineStr">
        <is>
          <t>DT Hauling</t>
        </is>
      </c>
      <c r="F2656" s="156" t="inlineStr"/>
      <c r="G2656" s="182" t="n">
        <v>0</v>
      </c>
      <c r="H2656" s="182" t="n">
        <v>3.22</v>
      </c>
      <c r="I2656" s="182" t="n">
        <v>0</v>
      </c>
      <c r="J2656" s="182" t="n">
        <v>3.22</v>
      </c>
      <c r="K2656" s="182" t="n">
        <v>8.779999999999999</v>
      </c>
      <c r="L2656" s="182" t="n">
        <v>12</v>
      </c>
      <c r="M2656" s="182" t="n">
        <v>0</v>
      </c>
      <c r="N2656" s="182" t="n">
        <v>0</v>
      </c>
      <c r="O2656" s="183" t="n">
        <v>0</v>
      </c>
      <c r="P2656" s="183" t="n">
        <v>0</v>
      </c>
      <c r="Q2656" s="184" t="n">
        <v>0</v>
      </c>
      <c r="R2656" s="184" t="n">
        <v>0</v>
      </c>
      <c r="S2656" s="183" t="n">
        <v>0</v>
      </c>
      <c r="T2656" s="183" t="n">
        <v>0</v>
      </c>
      <c r="U2656" s="182" t="n">
        <v>0</v>
      </c>
      <c r="V2656" s="182" t="n">
        <v>0</v>
      </c>
      <c r="W2656" s="182" t="n">
        <v>0</v>
      </c>
      <c r="X2656" s="182" t="n">
        <v>1</v>
      </c>
      <c r="Y2656" s="182" t="n">
        <v>0</v>
      </c>
      <c r="Z2656" s="182" t="n">
        <v>0</v>
      </c>
      <c r="AA2656" s="182" t="n">
        <v>0</v>
      </c>
      <c r="AB2656" s="182" t="n">
        <v>0</v>
      </c>
      <c r="AC2656" s="182" t="n">
        <v>0</v>
      </c>
      <c r="AD2656" s="182" t="n">
        <v>0</v>
      </c>
      <c r="AE2656" s="182" t="n">
        <v>0</v>
      </c>
      <c r="AF2656" s="182" t="n">
        <v>0</v>
      </c>
      <c r="AG2656" s="182" t="n">
        <v>0</v>
      </c>
      <c r="AH2656" s="182" t="n">
        <v>0</v>
      </c>
      <c r="AI2656" s="182" t="n">
        <v>0</v>
      </c>
      <c r="AJ2656" s="182" t="n">
        <v>0</v>
      </c>
      <c r="AK2656" s="182" t="n">
        <v>7.7</v>
      </c>
      <c r="AL2656" s="182" t="n">
        <v>0</v>
      </c>
      <c r="AM2656" s="182" t="n">
        <v>0.08</v>
      </c>
      <c r="AN2656" s="182" t="n">
        <v>0</v>
      </c>
    </row>
    <row r="2657">
      <c r="A2657" s="155" t="n">
        <v>46094</v>
      </c>
      <c r="B2657" s="156" t="inlineStr">
        <is>
          <t>DS</t>
        </is>
      </c>
      <c r="C2657" s="156" t="inlineStr">
        <is>
          <t>HT-405</t>
        </is>
      </c>
      <c r="D2657" s="156" t="inlineStr">
        <is>
          <t>SY430</t>
        </is>
      </c>
      <c r="E2657" s="156" t="inlineStr">
        <is>
          <t>DT Hauling</t>
        </is>
      </c>
      <c r="F2657" s="156" t="inlineStr"/>
      <c r="G2657" s="182" t="n">
        <v>0</v>
      </c>
      <c r="H2657" s="182" t="n">
        <v>0</v>
      </c>
      <c r="I2657" s="182" t="n">
        <v>4.87</v>
      </c>
      <c r="J2657" s="182" t="n">
        <v>4.87</v>
      </c>
      <c r="K2657" s="182" t="n">
        <v>7.13</v>
      </c>
      <c r="L2657" s="182" t="n">
        <v>12</v>
      </c>
      <c r="M2657" s="182" t="n">
        <v>0</v>
      </c>
      <c r="N2657" s="182" t="n">
        <v>0</v>
      </c>
      <c r="O2657" s="183" t="n">
        <v>0</v>
      </c>
      <c r="P2657" s="183" t="n">
        <v>0</v>
      </c>
      <c r="Q2657" s="184" t="n">
        <v>0</v>
      </c>
      <c r="R2657" s="184" t="n">
        <v>0</v>
      </c>
      <c r="S2657" s="183" t="n">
        <v>0</v>
      </c>
      <c r="T2657" s="183" t="n">
        <v>0</v>
      </c>
      <c r="U2657" s="182" t="n">
        <v>0</v>
      </c>
      <c r="V2657" s="182" t="n">
        <v>0</v>
      </c>
      <c r="W2657" s="182" t="n">
        <v>0</v>
      </c>
      <c r="X2657" s="182" t="n">
        <v>1</v>
      </c>
      <c r="Y2657" s="182" t="n">
        <v>0</v>
      </c>
      <c r="Z2657" s="182" t="n">
        <v>0</v>
      </c>
      <c r="AA2657" s="182" t="n">
        <v>0</v>
      </c>
      <c r="AB2657" s="182" t="n">
        <v>0</v>
      </c>
      <c r="AC2657" s="182" t="n">
        <v>0</v>
      </c>
      <c r="AD2657" s="182" t="n">
        <v>0</v>
      </c>
      <c r="AE2657" s="182" t="n">
        <v>0</v>
      </c>
      <c r="AF2657" s="182" t="n">
        <v>0</v>
      </c>
      <c r="AG2657" s="182" t="n">
        <v>0</v>
      </c>
      <c r="AH2657" s="182" t="n">
        <v>0</v>
      </c>
      <c r="AI2657" s="182" t="n">
        <v>0</v>
      </c>
      <c r="AJ2657" s="182" t="n">
        <v>0</v>
      </c>
      <c r="AK2657" s="182" t="n">
        <v>6.05</v>
      </c>
      <c r="AL2657" s="182" t="n">
        <v>0</v>
      </c>
      <c r="AM2657" s="182" t="n">
        <v>0.08</v>
      </c>
      <c r="AN2657" s="182" t="n">
        <v>0</v>
      </c>
    </row>
    <row r="2658">
      <c r="A2658" s="155" t="n">
        <v>46094</v>
      </c>
      <c r="B2658" s="156" t="inlineStr">
        <is>
          <t>DS</t>
        </is>
      </c>
      <c r="C2658" s="156" t="inlineStr">
        <is>
          <t>HT-417</t>
        </is>
      </c>
      <c r="D2658" s="156" t="inlineStr">
        <is>
          <t>SY430</t>
        </is>
      </c>
      <c r="E2658" s="156" t="inlineStr">
        <is>
          <t>DT Hauling</t>
        </is>
      </c>
      <c r="F2658" s="156" t="inlineStr"/>
      <c r="G2658" s="182" t="n">
        <v>0</v>
      </c>
      <c r="H2658" s="182" t="n">
        <v>0</v>
      </c>
      <c r="I2658" s="182" t="n">
        <v>0</v>
      </c>
      <c r="J2658" s="182" t="n">
        <v>0</v>
      </c>
      <c r="K2658" s="182" t="n">
        <v>12</v>
      </c>
      <c r="L2658" s="182" t="n">
        <v>12</v>
      </c>
      <c r="M2658" s="182" t="n">
        <v>0</v>
      </c>
      <c r="N2658" s="182" t="n">
        <v>0</v>
      </c>
      <c r="O2658" s="183" t="n">
        <v>0</v>
      </c>
      <c r="P2658" s="183" t="n">
        <v>0</v>
      </c>
      <c r="Q2658" s="184" t="n">
        <v>0</v>
      </c>
      <c r="R2658" s="184" t="n">
        <v>0</v>
      </c>
      <c r="S2658" s="183" t="n">
        <v>0</v>
      </c>
      <c r="T2658" s="183" t="n">
        <v>0</v>
      </c>
      <c r="U2658" s="182" t="n">
        <v>0</v>
      </c>
      <c r="V2658" s="182" t="n">
        <v>0</v>
      </c>
      <c r="W2658" s="182" t="n">
        <v>0</v>
      </c>
      <c r="X2658" s="182" t="n">
        <v>1</v>
      </c>
      <c r="Y2658" s="182" t="n">
        <v>0</v>
      </c>
      <c r="Z2658" s="182" t="n">
        <v>0</v>
      </c>
      <c r="AA2658" s="182" t="n">
        <v>0</v>
      </c>
      <c r="AB2658" s="182" t="n">
        <v>0</v>
      </c>
      <c r="AC2658" s="182" t="n">
        <v>0</v>
      </c>
      <c r="AD2658" s="182" t="n">
        <v>0</v>
      </c>
      <c r="AE2658" s="182" t="n">
        <v>0</v>
      </c>
      <c r="AF2658" s="182" t="n">
        <v>0</v>
      </c>
      <c r="AG2658" s="182" t="n">
        <v>0</v>
      </c>
      <c r="AH2658" s="182" t="n">
        <v>0</v>
      </c>
      <c r="AI2658" s="182" t="n">
        <v>0</v>
      </c>
      <c r="AJ2658" s="182" t="n">
        <v>0</v>
      </c>
      <c r="AK2658" s="182" t="n">
        <v>10.92</v>
      </c>
      <c r="AL2658" s="182" t="n">
        <v>0</v>
      </c>
      <c r="AM2658" s="182" t="n">
        <v>0.08</v>
      </c>
      <c r="AN2658" s="182" t="n">
        <v>0</v>
      </c>
    </row>
    <row r="2659">
      <c r="A2659" s="155" t="n">
        <v>46094</v>
      </c>
      <c r="B2659" s="156" t="inlineStr">
        <is>
          <t>DS</t>
        </is>
      </c>
      <c r="C2659" s="156" t="inlineStr">
        <is>
          <t>HT-401</t>
        </is>
      </c>
      <c r="D2659" s="156" t="inlineStr">
        <is>
          <t>SY430</t>
        </is>
      </c>
      <c r="E2659" s="156" t="inlineStr">
        <is>
          <t>DT Hauling</t>
        </is>
      </c>
      <c r="F2659" s="156" t="inlineStr"/>
      <c r="G2659" s="182" t="n">
        <v>0</v>
      </c>
      <c r="H2659" s="182" t="n">
        <v>0</v>
      </c>
      <c r="I2659" s="182" t="n">
        <v>0</v>
      </c>
      <c r="J2659" s="182" t="n">
        <v>0</v>
      </c>
      <c r="K2659" s="182" t="n">
        <v>12</v>
      </c>
      <c r="L2659" s="182" t="n">
        <v>12</v>
      </c>
      <c r="M2659" s="182" t="n">
        <v>0</v>
      </c>
      <c r="N2659" s="182" t="n">
        <v>0</v>
      </c>
      <c r="O2659" s="183" t="n">
        <v>0</v>
      </c>
      <c r="P2659" s="183" t="n">
        <v>0</v>
      </c>
      <c r="Q2659" s="184" t="n">
        <v>0</v>
      </c>
      <c r="R2659" s="184" t="n">
        <v>0</v>
      </c>
      <c r="S2659" s="183" t="n">
        <v>0</v>
      </c>
      <c r="T2659" s="183" t="n">
        <v>0</v>
      </c>
      <c r="U2659" s="182" t="n">
        <v>0</v>
      </c>
      <c r="V2659" s="182" t="n">
        <v>0</v>
      </c>
      <c r="W2659" s="182" t="n">
        <v>0</v>
      </c>
      <c r="X2659" s="182" t="n">
        <v>1</v>
      </c>
      <c r="Y2659" s="182" t="n">
        <v>0</v>
      </c>
      <c r="Z2659" s="182" t="n">
        <v>0</v>
      </c>
      <c r="AA2659" s="182" t="n">
        <v>0</v>
      </c>
      <c r="AB2659" s="182" t="n">
        <v>0</v>
      </c>
      <c r="AC2659" s="182" t="n">
        <v>0</v>
      </c>
      <c r="AD2659" s="182" t="n">
        <v>0</v>
      </c>
      <c r="AE2659" s="182" t="n">
        <v>0</v>
      </c>
      <c r="AF2659" s="182" t="n">
        <v>0</v>
      </c>
      <c r="AG2659" s="182" t="n">
        <v>0</v>
      </c>
      <c r="AH2659" s="182" t="n">
        <v>0</v>
      </c>
      <c r="AI2659" s="182" t="n">
        <v>0</v>
      </c>
      <c r="AJ2659" s="182" t="n">
        <v>0</v>
      </c>
      <c r="AK2659" s="182" t="n">
        <v>10.92</v>
      </c>
      <c r="AL2659" s="182" t="n">
        <v>0</v>
      </c>
      <c r="AM2659" s="182" t="n">
        <v>0.08</v>
      </c>
      <c r="AN2659" s="182" t="n">
        <v>0</v>
      </c>
    </row>
    <row r="2660">
      <c r="A2660" s="155" t="n">
        <v>46094</v>
      </c>
      <c r="B2660" s="156" t="inlineStr">
        <is>
          <t>DS</t>
        </is>
      </c>
      <c r="C2660" s="156" t="inlineStr">
        <is>
          <t>HT-410</t>
        </is>
      </c>
      <c r="D2660" s="156" t="inlineStr">
        <is>
          <t>SY430</t>
        </is>
      </c>
      <c r="E2660" s="156" t="inlineStr">
        <is>
          <t>DT Hauling</t>
        </is>
      </c>
      <c r="F2660" s="156" t="inlineStr"/>
      <c r="G2660" s="182" t="n">
        <v>0</v>
      </c>
      <c r="H2660" s="182" t="n">
        <v>0</v>
      </c>
      <c r="I2660" s="182" t="n">
        <v>0</v>
      </c>
      <c r="J2660" s="182" t="n">
        <v>0</v>
      </c>
      <c r="K2660" s="182" t="n">
        <v>12</v>
      </c>
      <c r="L2660" s="182" t="n">
        <v>12</v>
      </c>
      <c r="M2660" s="182" t="n">
        <v>0</v>
      </c>
      <c r="N2660" s="182" t="n">
        <v>0</v>
      </c>
      <c r="O2660" s="183" t="n">
        <v>0</v>
      </c>
      <c r="P2660" s="183" t="n">
        <v>0</v>
      </c>
      <c r="Q2660" s="184" t="n">
        <v>0</v>
      </c>
      <c r="R2660" s="184" t="n">
        <v>0</v>
      </c>
      <c r="S2660" s="183" t="n">
        <v>0</v>
      </c>
      <c r="T2660" s="183" t="n">
        <v>0</v>
      </c>
      <c r="U2660" s="182" t="n">
        <v>0</v>
      </c>
      <c r="V2660" s="182" t="n">
        <v>0</v>
      </c>
      <c r="W2660" s="182" t="n">
        <v>0</v>
      </c>
      <c r="X2660" s="182" t="n">
        <v>1</v>
      </c>
      <c r="Y2660" s="182" t="n">
        <v>0</v>
      </c>
      <c r="Z2660" s="182" t="n">
        <v>0</v>
      </c>
      <c r="AA2660" s="182" t="n">
        <v>0</v>
      </c>
      <c r="AB2660" s="182" t="n">
        <v>0</v>
      </c>
      <c r="AC2660" s="182" t="n">
        <v>0</v>
      </c>
      <c r="AD2660" s="182" t="n">
        <v>0</v>
      </c>
      <c r="AE2660" s="182" t="n">
        <v>0</v>
      </c>
      <c r="AF2660" s="182" t="n">
        <v>0</v>
      </c>
      <c r="AG2660" s="182" t="n">
        <v>0</v>
      </c>
      <c r="AH2660" s="182" t="n">
        <v>0</v>
      </c>
      <c r="AI2660" s="182" t="n">
        <v>0</v>
      </c>
      <c r="AJ2660" s="182" t="n">
        <v>0</v>
      </c>
      <c r="AK2660" s="182" t="n">
        <v>10.92</v>
      </c>
      <c r="AL2660" s="182" t="n">
        <v>0</v>
      </c>
      <c r="AM2660" s="182" t="n">
        <v>0.08</v>
      </c>
      <c r="AN2660" s="182" t="n">
        <v>0</v>
      </c>
    </row>
    <row r="2661">
      <c r="A2661" s="155" t="n">
        <v>46094</v>
      </c>
      <c r="B2661" s="156" t="inlineStr">
        <is>
          <t>DS</t>
        </is>
      </c>
      <c r="C2661" s="156" t="inlineStr">
        <is>
          <t>HT-402</t>
        </is>
      </c>
      <c r="D2661" s="156" t="inlineStr">
        <is>
          <t>SY430</t>
        </is>
      </c>
      <c r="E2661" s="156" t="inlineStr">
        <is>
          <t>DT Hauling</t>
        </is>
      </c>
      <c r="F2661" s="156" t="inlineStr"/>
      <c r="G2661" s="182" t="n">
        <v>0</v>
      </c>
      <c r="H2661" s="182" t="n">
        <v>0</v>
      </c>
      <c r="I2661" s="182" t="n">
        <v>0</v>
      </c>
      <c r="J2661" s="182" t="n">
        <v>0</v>
      </c>
      <c r="K2661" s="182" t="n">
        <v>12</v>
      </c>
      <c r="L2661" s="182" t="n">
        <v>12</v>
      </c>
      <c r="M2661" s="182" t="n">
        <v>0</v>
      </c>
      <c r="N2661" s="182" t="n">
        <v>0</v>
      </c>
      <c r="O2661" s="183" t="n">
        <v>0</v>
      </c>
      <c r="P2661" s="183" t="n">
        <v>0</v>
      </c>
      <c r="Q2661" s="184" t="n">
        <v>0</v>
      </c>
      <c r="R2661" s="184" t="n">
        <v>0</v>
      </c>
      <c r="S2661" s="183" t="n">
        <v>0</v>
      </c>
      <c r="T2661" s="183" t="n">
        <v>0</v>
      </c>
      <c r="U2661" s="182" t="n">
        <v>0</v>
      </c>
      <c r="V2661" s="182" t="n">
        <v>0</v>
      </c>
      <c r="W2661" s="182" t="n">
        <v>0</v>
      </c>
      <c r="X2661" s="182" t="n">
        <v>1</v>
      </c>
      <c r="Y2661" s="182" t="n">
        <v>0</v>
      </c>
      <c r="Z2661" s="182" t="n">
        <v>0</v>
      </c>
      <c r="AA2661" s="182" t="n">
        <v>0</v>
      </c>
      <c r="AB2661" s="182" t="n">
        <v>0</v>
      </c>
      <c r="AC2661" s="182" t="n">
        <v>0</v>
      </c>
      <c r="AD2661" s="182" t="n">
        <v>0</v>
      </c>
      <c r="AE2661" s="182" t="n">
        <v>0</v>
      </c>
      <c r="AF2661" s="182" t="n">
        <v>0</v>
      </c>
      <c r="AG2661" s="182" t="n">
        <v>0</v>
      </c>
      <c r="AH2661" s="182" t="n">
        <v>0</v>
      </c>
      <c r="AI2661" s="182" t="n">
        <v>0</v>
      </c>
      <c r="AJ2661" s="182" t="n">
        <v>0</v>
      </c>
      <c r="AK2661" s="182" t="n">
        <v>10.92</v>
      </c>
      <c r="AL2661" s="182" t="n">
        <v>0</v>
      </c>
      <c r="AM2661" s="182" t="n">
        <v>0.08</v>
      </c>
      <c r="AN2661" s="182" t="n">
        <v>0</v>
      </c>
    </row>
    <row r="2662">
      <c r="A2662" s="155" t="n">
        <v>46094</v>
      </c>
      <c r="B2662" s="156" t="inlineStr">
        <is>
          <t>DS</t>
        </is>
      </c>
      <c r="C2662" s="156" t="inlineStr">
        <is>
          <t>HT-419</t>
        </is>
      </c>
      <c r="D2662" s="156" t="inlineStr">
        <is>
          <t>SY430</t>
        </is>
      </c>
      <c r="E2662" s="156" t="inlineStr">
        <is>
          <t>DT Hauling</t>
        </is>
      </c>
      <c r="F2662" s="156" t="inlineStr"/>
      <c r="G2662" s="182" t="n">
        <v>0</v>
      </c>
      <c r="H2662" s="182" t="n">
        <v>0</v>
      </c>
      <c r="I2662" s="182" t="n">
        <v>12</v>
      </c>
      <c r="J2662" s="182" t="n">
        <v>12</v>
      </c>
      <c r="K2662" s="182" t="n">
        <v>0</v>
      </c>
      <c r="L2662" s="182" t="n">
        <v>12</v>
      </c>
      <c r="M2662" s="182" t="n">
        <v>0</v>
      </c>
      <c r="N2662" s="182" t="n">
        <v>0</v>
      </c>
      <c r="O2662" s="183" t="n">
        <v>0</v>
      </c>
      <c r="P2662" s="183" t="n">
        <v>0</v>
      </c>
      <c r="Q2662" s="184" t="n">
        <v>0</v>
      </c>
      <c r="R2662" s="184" t="n">
        <v>0</v>
      </c>
      <c r="S2662" s="183" t="n">
        <v>0</v>
      </c>
      <c r="T2662" s="183" t="n">
        <v>0</v>
      </c>
      <c r="U2662" s="182" t="n">
        <v>0</v>
      </c>
      <c r="V2662" s="182" t="n">
        <v>0</v>
      </c>
      <c r="W2662" s="182" t="n">
        <v>0</v>
      </c>
      <c r="X2662" s="182" t="n">
        <v>0</v>
      </c>
      <c r="Y2662" s="182" t="n">
        <v>0</v>
      </c>
      <c r="Z2662" s="182" t="n">
        <v>0</v>
      </c>
      <c r="AA2662" s="182" t="n">
        <v>0</v>
      </c>
      <c r="AB2662" s="182" t="n">
        <v>0</v>
      </c>
      <c r="AC2662" s="182" t="n">
        <v>0</v>
      </c>
      <c r="AD2662" s="182" t="n">
        <v>0</v>
      </c>
      <c r="AE2662" s="182" t="n">
        <v>0</v>
      </c>
      <c r="AF2662" s="182" t="n">
        <v>0</v>
      </c>
      <c r="AG2662" s="182" t="n">
        <v>0</v>
      </c>
      <c r="AH2662" s="182" t="n">
        <v>0</v>
      </c>
      <c r="AI2662" s="182" t="n">
        <v>0</v>
      </c>
      <c r="AJ2662" s="182" t="n">
        <v>0</v>
      </c>
      <c r="AK2662" s="182" t="n">
        <v>0</v>
      </c>
      <c r="AL2662" s="182" t="n">
        <v>0</v>
      </c>
      <c r="AM2662" s="182" t="n">
        <v>0</v>
      </c>
      <c r="AN2662" s="182" t="n">
        <v>0</v>
      </c>
    </row>
    <row r="2663">
      <c r="A2663" s="155" t="n">
        <v>46094</v>
      </c>
      <c r="B2663" s="156" t="inlineStr">
        <is>
          <t>DS</t>
        </is>
      </c>
      <c r="C2663" s="156" t="inlineStr">
        <is>
          <t>HT-416</t>
        </is>
      </c>
      <c r="D2663" s="156" t="inlineStr">
        <is>
          <t>SY430</t>
        </is>
      </c>
      <c r="E2663" s="156" t="inlineStr">
        <is>
          <t>DT Hauling</t>
        </is>
      </c>
      <c r="F2663" s="156" t="inlineStr"/>
      <c r="G2663" s="182" t="n">
        <v>0</v>
      </c>
      <c r="H2663" s="182" t="n">
        <v>0</v>
      </c>
      <c r="I2663" s="182" t="n">
        <v>0</v>
      </c>
      <c r="J2663" s="182" t="n">
        <v>0</v>
      </c>
      <c r="K2663" s="182" t="n">
        <v>12</v>
      </c>
      <c r="L2663" s="182" t="n">
        <v>12</v>
      </c>
      <c r="M2663" s="182" t="n">
        <v>0</v>
      </c>
      <c r="N2663" s="182" t="n">
        <v>0</v>
      </c>
      <c r="O2663" s="183" t="n">
        <v>0</v>
      </c>
      <c r="P2663" s="183" t="n">
        <v>0</v>
      </c>
      <c r="Q2663" s="184" t="n">
        <v>0</v>
      </c>
      <c r="R2663" s="184" t="n">
        <v>0</v>
      </c>
      <c r="S2663" s="183" t="n">
        <v>0</v>
      </c>
      <c r="T2663" s="183" t="n">
        <v>0</v>
      </c>
      <c r="U2663" s="182" t="n">
        <v>0</v>
      </c>
      <c r="V2663" s="182" t="n">
        <v>0</v>
      </c>
      <c r="W2663" s="182" t="n">
        <v>0</v>
      </c>
      <c r="X2663" s="182" t="n">
        <v>1</v>
      </c>
      <c r="Y2663" s="182" t="n">
        <v>0</v>
      </c>
      <c r="Z2663" s="182" t="n">
        <v>0</v>
      </c>
      <c r="AA2663" s="182" t="n">
        <v>0</v>
      </c>
      <c r="AB2663" s="182" t="n">
        <v>0</v>
      </c>
      <c r="AC2663" s="182" t="n">
        <v>0</v>
      </c>
      <c r="AD2663" s="182" t="n">
        <v>0</v>
      </c>
      <c r="AE2663" s="182" t="n">
        <v>0</v>
      </c>
      <c r="AF2663" s="182" t="n">
        <v>0</v>
      </c>
      <c r="AG2663" s="182" t="n">
        <v>0</v>
      </c>
      <c r="AH2663" s="182" t="n">
        <v>0</v>
      </c>
      <c r="AI2663" s="182" t="n">
        <v>0</v>
      </c>
      <c r="AJ2663" s="182" t="n">
        <v>0</v>
      </c>
      <c r="AK2663" s="182" t="n">
        <v>10.92</v>
      </c>
      <c r="AL2663" s="182" t="n">
        <v>0</v>
      </c>
      <c r="AM2663" s="182" t="n">
        <v>0.08</v>
      </c>
      <c r="AN2663" s="182" t="n">
        <v>0</v>
      </c>
    </row>
    <row r="2664">
      <c r="A2664" s="155" t="n">
        <v>46094</v>
      </c>
      <c r="B2664" s="156" t="inlineStr">
        <is>
          <t>DS</t>
        </is>
      </c>
      <c r="C2664" s="156" t="inlineStr">
        <is>
          <t>HT-420</t>
        </is>
      </c>
      <c r="D2664" s="156" t="inlineStr">
        <is>
          <t>SY430</t>
        </is>
      </c>
      <c r="E2664" s="156" t="inlineStr">
        <is>
          <t>DT Hauling</t>
        </is>
      </c>
      <c r="F2664" s="156" t="inlineStr"/>
      <c r="G2664" s="182" t="n">
        <v>0</v>
      </c>
      <c r="H2664" s="182" t="n">
        <v>0</v>
      </c>
      <c r="I2664" s="182" t="n">
        <v>0</v>
      </c>
      <c r="J2664" s="182" t="n">
        <v>0</v>
      </c>
      <c r="K2664" s="182" t="n">
        <v>12</v>
      </c>
      <c r="L2664" s="182" t="n">
        <v>12</v>
      </c>
      <c r="M2664" s="182" t="n">
        <v>0</v>
      </c>
      <c r="N2664" s="182" t="n">
        <v>0</v>
      </c>
      <c r="O2664" s="183" t="n">
        <v>0</v>
      </c>
      <c r="P2664" s="183" t="n">
        <v>0</v>
      </c>
      <c r="Q2664" s="184" t="n">
        <v>0</v>
      </c>
      <c r="R2664" s="184" t="n">
        <v>0</v>
      </c>
      <c r="S2664" s="183" t="n">
        <v>0</v>
      </c>
      <c r="T2664" s="183" t="n">
        <v>0</v>
      </c>
      <c r="U2664" s="182" t="n">
        <v>0</v>
      </c>
      <c r="V2664" s="182" t="n">
        <v>0</v>
      </c>
      <c r="W2664" s="182" t="n">
        <v>0</v>
      </c>
      <c r="X2664" s="182" t="n">
        <v>1</v>
      </c>
      <c r="Y2664" s="182" t="n">
        <v>0</v>
      </c>
      <c r="Z2664" s="182" t="n">
        <v>0</v>
      </c>
      <c r="AA2664" s="182" t="n">
        <v>0</v>
      </c>
      <c r="AB2664" s="182" t="n">
        <v>0</v>
      </c>
      <c r="AC2664" s="182" t="n">
        <v>0</v>
      </c>
      <c r="AD2664" s="182" t="n">
        <v>0</v>
      </c>
      <c r="AE2664" s="182" t="n">
        <v>0</v>
      </c>
      <c r="AF2664" s="182" t="n">
        <v>0</v>
      </c>
      <c r="AG2664" s="182" t="n">
        <v>0</v>
      </c>
      <c r="AH2664" s="182" t="n">
        <v>0</v>
      </c>
      <c r="AI2664" s="182" t="n">
        <v>0</v>
      </c>
      <c r="AJ2664" s="182" t="n">
        <v>0</v>
      </c>
      <c r="AK2664" s="182" t="n">
        <v>10.92</v>
      </c>
      <c r="AL2664" s="182" t="n">
        <v>0</v>
      </c>
      <c r="AM2664" s="182" t="n">
        <v>0.08</v>
      </c>
      <c r="AN2664" s="182" t="n">
        <v>0</v>
      </c>
    </row>
    <row r="2665">
      <c r="A2665" s="155" t="n">
        <v>46094</v>
      </c>
      <c r="B2665" s="156" t="inlineStr">
        <is>
          <t>DS</t>
        </is>
      </c>
      <c r="C2665" s="156" t="inlineStr">
        <is>
          <t>HT-403</t>
        </is>
      </c>
      <c r="D2665" s="156" t="inlineStr">
        <is>
          <t>SY430</t>
        </is>
      </c>
      <c r="E2665" s="156" t="inlineStr">
        <is>
          <t>DT Hauling</t>
        </is>
      </c>
      <c r="F2665" s="156" t="inlineStr"/>
      <c r="G2665" s="182" t="n">
        <v>0</v>
      </c>
      <c r="H2665" s="182" t="n">
        <v>0</v>
      </c>
      <c r="I2665" s="182" t="n">
        <v>0</v>
      </c>
      <c r="J2665" s="182" t="n">
        <v>0</v>
      </c>
      <c r="K2665" s="182" t="n">
        <v>12</v>
      </c>
      <c r="L2665" s="182" t="n">
        <v>12</v>
      </c>
      <c r="M2665" s="182" t="n">
        <v>0</v>
      </c>
      <c r="N2665" s="182" t="n">
        <v>0</v>
      </c>
      <c r="O2665" s="183" t="n">
        <v>0</v>
      </c>
      <c r="P2665" s="183" t="n">
        <v>0</v>
      </c>
      <c r="Q2665" s="184" t="n">
        <v>0</v>
      </c>
      <c r="R2665" s="184" t="n">
        <v>0</v>
      </c>
      <c r="S2665" s="183" t="n">
        <v>0</v>
      </c>
      <c r="T2665" s="183" t="n">
        <v>0</v>
      </c>
      <c r="U2665" s="182" t="n">
        <v>0</v>
      </c>
      <c r="V2665" s="182" t="n">
        <v>0</v>
      </c>
      <c r="W2665" s="182" t="n">
        <v>0</v>
      </c>
      <c r="X2665" s="182" t="n">
        <v>1</v>
      </c>
      <c r="Y2665" s="182" t="n">
        <v>0</v>
      </c>
      <c r="Z2665" s="182" t="n">
        <v>0</v>
      </c>
      <c r="AA2665" s="182" t="n">
        <v>0</v>
      </c>
      <c r="AB2665" s="182" t="n">
        <v>0</v>
      </c>
      <c r="AC2665" s="182" t="n">
        <v>0</v>
      </c>
      <c r="AD2665" s="182" t="n">
        <v>0</v>
      </c>
      <c r="AE2665" s="182" t="n">
        <v>0</v>
      </c>
      <c r="AF2665" s="182" t="n">
        <v>0</v>
      </c>
      <c r="AG2665" s="182" t="n">
        <v>0</v>
      </c>
      <c r="AH2665" s="182" t="n">
        <v>0</v>
      </c>
      <c r="AI2665" s="182" t="n">
        <v>0</v>
      </c>
      <c r="AJ2665" s="182" t="n">
        <v>0</v>
      </c>
      <c r="AK2665" s="182" t="n">
        <v>10.92</v>
      </c>
      <c r="AL2665" s="182" t="n">
        <v>0</v>
      </c>
      <c r="AM2665" s="182" t="n">
        <v>0.08</v>
      </c>
      <c r="AN2665" s="182" t="n">
        <v>0</v>
      </c>
    </row>
    <row r="2666">
      <c r="A2666" s="155" t="n">
        <v>46094</v>
      </c>
      <c r="B2666" s="156" t="inlineStr">
        <is>
          <t>DS</t>
        </is>
      </c>
      <c r="C2666" s="156" t="inlineStr">
        <is>
          <t>HT-408</t>
        </is>
      </c>
      <c r="D2666" s="156" t="inlineStr">
        <is>
          <t>SY430</t>
        </is>
      </c>
      <c r="E2666" s="156" t="inlineStr">
        <is>
          <t>DT Hauling</t>
        </is>
      </c>
      <c r="F2666" s="156" t="inlineStr"/>
      <c r="G2666" s="182" t="n">
        <v>0</v>
      </c>
      <c r="H2666" s="182" t="n">
        <v>0</v>
      </c>
      <c r="I2666" s="182" t="n">
        <v>0</v>
      </c>
      <c r="J2666" s="182" t="n">
        <v>0</v>
      </c>
      <c r="K2666" s="182" t="n">
        <v>12</v>
      </c>
      <c r="L2666" s="182" t="n">
        <v>12</v>
      </c>
      <c r="M2666" s="182" t="n">
        <v>0</v>
      </c>
      <c r="N2666" s="182" t="n">
        <v>0</v>
      </c>
      <c r="O2666" s="183" t="n">
        <v>0</v>
      </c>
      <c r="P2666" s="183" t="n">
        <v>0</v>
      </c>
      <c r="Q2666" s="184" t="n">
        <v>0</v>
      </c>
      <c r="R2666" s="184" t="n">
        <v>0</v>
      </c>
      <c r="S2666" s="183" t="n">
        <v>0</v>
      </c>
      <c r="T2666" s="183" t="n">
        <v>0</v>
      </c>
      <c r="U2666" s="182" t="n">
        <v>0</v>
      </c>
      <c r="V2666" s="182" t="n">
        <v>0</v>
      </c>
      <c r="W2666" s="182" t="n">
        <v>0</v>
      </c>
      <c r="X2666" s="182" t="n">
        <v>1</v>
      </c>
      <c r="Y2666" s="182" t="n">
        <v>0</v>
      </c>
      <c r="Z2666" s="182" t="n">
        <v>0</v>
      </c>
      <c r="AA2666" s="182" t="n">
        <v>0</v>
      </c>
      <c r="AB2666" s="182" t="n">
        <v>0</v>
      </c>
      <c r="AC2666" s="182" t="n">
        <v>0</v>
      </c>
      <c r="AD2666" s="182" t="n">
        <v>0</v>
      </c>
      <c r="AE2666" s="182" t="n">
        <v>0</v>
      </c>
      <c r="AF2666" s="182" t="n">
        <v>0</v>
      </c>
      <c r="AG2666" s="182" t="n">
        <v>0</v>
      </c>
      <c r="AH2666" s="182" t="n">
        <v>0</v>
      </c>
      <c r="AI2666" s="182" t="n">
        <v>0</v>
      </c>
      <c r="AJ2666" s="182" t="n">
        <v>0</v>
      </c>
      <c r="AK2666" s="182" t="n">
        <v>10.92</v>
      </c>
      <c r="AL2666" s="182" t="n">
        <v>0</v>
      </c>
      <c r="AM2666" s="182" t="n">
        <v>0.08</v>
      </c>
      <c r="AN2666" s="182" t="n">
        <v>0</v>
      </c>
    </row>
    <row r="2667">
      <c r="A2667" s="155" t="n">
        <v>46094</v>
      </c>
      <c r="B2667" s="156" t="inlineStr">
        <is>
          <t>DS</t>
        </is>
      </c>
      <c r="C2667" s="156" t="inlineStr">
        <is>
          <t>HT-412</t>
        </is>
      </c>
      <c r="D2667" s="156" t="inlineStr">
        <is>
          <t>SY430</t>
        </is>
      </c>
      <c r="E2667" s="156" t="inlineStr">
        <is>
          <t>DT Hauling</t>
        </is>
      </c>
      <c r="F2667" s="156" t="inlineStr"/>
      <c r="G2667" s="182" t="n">
        <v>0</v>
      </c>
      <c r="H2667" s="182" t="n">
        <v>0</v>
      </c>
      <c r="I2667" s="182" t="n">
        <v>0</v>
      </c>
      <c r="J2667" s="182" t="n">
        <v>0</v>
      </c>
      <c r="K2667" s="182" t="n">
        <v>12</v>
      </c>
      <c r="L2667" s="182" t="n">
        <v>12</v>
      </c>
      <c r="M2667" s="182" t="n">
        <v>0</v>
      </c>
      <c r="N2667" s="182" t="n">
        <v>0</v>
      </c>
      <c r="O2667" s="183" t="n">
        <v>0</v>
      </c>
      <c r="P2667" s="183" t="n">
        <v>0</v>
      </c>
      <c r="Q2667" s="184" t="n">
        <v>0</v>
      </c>
      <c r="R2667" s="184" t="n">
        <v>0</v>
      </c>
      <c r="S2667" s="183" t="n">
        <v>0</v>
      </c>
      <c r="T2667" s="183" t="n">
        <v>0</v>
      </c>
      <c r="U2667" s="182" t="n">
        <v>0</v>
      </c>
      <c r="V2667" s="182" t="n">
        <v>0</v>
      </c>
      <c r="W2667" s="182" t="n">
        <v>0</v>
      </c>
      <c r="X2667" s="182" t="n">
        <v>1</v>
      </c>
      <c r="Y2667" s="182" t="n">
        <v>0</v>
      </c>
      <c r="Z2667" s="182" t="n">
        <v>0</v>
      </c>
      <c r="AA2667" s="182" t="n">
        <v>0</v>
      </c>
      <c r="AB2667" s="182" t="n">
        <v>0</v>
      </c>
      <c r="AC2667" s="182" t="n">
        <v>0</v>
      </c>
      <c r="AD2667" s="182" t="n">
        <v>0</v>
      </c>
      <c r="AE2667" s="182" t="n">
        <v>0</v>
      </c>
      <c r="AF2667" s="182" t="n">
        <v>0</v>
      </c>
      <c r="AG2667" s="182" t="n">
        <v>0</v>
      </c>
      <c r="AH2667" s="182" t="n">
        <v>0</v>
      </c>
      <c r="AI2667" s="182" t="n">
        <v>0</v>
      </c>
      <c r="AJ2667" s="182" t="n">
        <v>0</v>
      </c>
      <c r="AK2667" s="182" t="n">
        <v>10.92</v>
      </c>
      <c r="AL2667" s="182" t="n">
        <v>0</v>
      </c>
      <c r="AM2667" s="182" t="n">
        <v>0.08</v>
      </c>
      <c r="AN2667" s="182" t="n">
        <v>0</v>
      </c>
    </row>
    <row r="2668">
      <c r="A2668" s="155" t="n">
        <v>46094</v>
      </c>
      <c r="B2668" s="156" t="inlineStr">
        <is>
          <t>DS</t>
        </is>
      </c>
      <c r="C2668" s="156" t="inlineStr">
        <is>
          <t>HT-413</t>
        </is>
      </c>
      <c r="D2668" s="156" t="inlineStr">
        <is>
          <t>SY430</t>
        </is>
      </c>
      <c r="E2668" s="156" t="inlineStr">
        <is>
          <t>DT Hauling</t>
        </is>
      </c>
      <c r="F2668" s="156" t="inlineStr"/>
      <c r="G2668" s="182" t="n">
        <v>0</v>
      </c>
      <c r="H2668" s="182" t="n">
        <v>0</v>
      </c>
      <c r="I2668" s="182" t="n">
        <v>12</v>
      </c>
      <c r="J2668" s="182" t="n">
        <v>12</v>
      </c>
      <c r="K2668" s="182" t="n">
        <v>0</v>
      </c>
      <c r="L2668" s="182" t="n">
        <v>12</v>
      </c>
      <c r="M2668" s="182" t="n">
        <v>0</v>
      </c>
      <c r="N2668" s="182" t="n">
        <v>0</v>
      </c>
      <c r="O2668" s="183" t="n">
        <v>0</v>
      </c>
      <c r="P2668" s="183" t="n">
        <v>0</v>
      </c>
      <c r="Q2668" s="184" t="n">
        <v>0</v>
      </c>
      <c r="R2668" s="184" t="n">
        <v>0</v>
      </c>
      <c r="S2668" s="183" t="n">
        <v>0</v>
      </c>
      <c r="T2668" s="183" t="n">
        <v>0</v>
      </c>
      <c r="U2668" s="182" t="n">
        <v>0</v>
      </c>
      <c r="V2668" s="182" t="n">
        <v>0</v>
      </c>
      <c r="W2668" s="182" t="n">
        <v>0</v>
      </c>
      <c r="X2668" s="182" t="n">
        <v>0</v>
      </c>
      <c r="Y2668" s="182" t="n">
        <v>0</v>
      </c>
      <c r="Z2668" s="182" t="n">
        <v>0</v>
      </c>
      <c r="AA2668" s="182" t="n">
        <v>0</v>
      </c>
      <c r="AB2668" s="182" t="n">
        <v>0</v>
      </c>
      <c r="AC2668" s="182" t="n">
        <v>0</v>
      </c>
      <c r="AD2668" s="182" t="n">
        <v>0</v>
      </c>
      <c r="AE2668" s="182" t="n">
        <v>0</v>
      </c>
      <c r="AF2668" s="182" t="n">
        <v>0</v>
      </c>
      <c r="AG2668" s="182" t="n">
        <v>0</v>
      </c>
      <c r="AH2668" s="182" t="n">
        <v>0</v>
      </c>
      <c r="AI2668" s="182" t="n">
        <v>0</v>
      </c>
      <c r="AJ2668" s="182" t="n">
        <v>0</v>
      </c>
      <c r="AK2668" s="182" t="n">
        <v>0</v>
      </c>
      <c r="AL2668" s="182" t="n">
        <v>0</v>
      </c>
      <c r="AM2668" s="182" t="n">
        <v>0</v>
      </c>
      <c r="AN2668" s="182" t="n">
        <v>0</v>
      </c>
    </row>
    <row r="2669">
      <c r="A2669" s="155" t="n">
        <v>46094</v>
      </c>
      <c r="B2669" s="156" t="inlineStr">
        <is>
          <t>DS</t>
        </is>
      </c>
      <c r="C2669" s="156" t="inlineStr">
        <is>
          <t>HT-407</t>
        </is>
      </c>
      <c r="D2669" s="156" t="inlineStr">
        <is>
          <t>SY430</t>
        </is>
      </c>
      <c r="E2669" s="156" t="inlineStr">
        <is>
          <t>DT Hauling</t>
        </is>
      </c>
      <c r="F2669" s="156" t="inlineStr"/>
      <c r="G2669" s="182" t="n">
        <v>0</v>
      </c>
      <c r="H2669" s="182" t="n">
        <v>0</v>
      </c>
      <c r="I2669" s="182" t="n">
        <v>0</v>
      </c>
      <c r="J2669" s="182" t="n">
        <v>0</v>
      </c>
      <c r="K2669" s="182" t="n">
        <v>12</v>
      </c>
      <c r="L2669" s="182" t="n">
        <v>12</v>
      </c>
      <c r="M2669" s="182" t="n">
        <v>0</v>
      </c>
      <c r="N2669" s="182" t="n">
        <v>0</v>
      </c>
      <c r="O2669" s="183" t="n">
        <v>0</v>
      </c>
      <c r="P2669" s="183" t="n">
        <v>0</v>
      </c>
      <c r="Q2669" s="184" t="n">
        <v>0</v>
      </c>
      <c r="R2669" s="184" t="n">
        <v>0</v>
      </c>
      <c r="S2669" s="183" t="n">
        <v>0</v>
      </c>
      <c r="T2669" s="183" t="n">
        <v>0</v>
      </c>
      <c r="U2669" s="182" t="n">
        <v>0</v>
      </c>
      <c r="V2669" s="182" t="n">
        <v>0</v>
      </c>
      <c r="W2669" s="182" t="n">
        <v>0</v>
      </c>
      <c r="X2669" s="182" t="n">
        <v>1</v>
      </c>
      <c r="Y2669" s="182" t="n">
        <v>0</v>
      </c>
      <c r="Z2669" s="182" t="n">
        <v>0</v>
      </c>
      <c r="AA2669" s="182" t="n">
        <v>0</v>
      </c>
      <c r="AB2669" s="182" t="n">
        <v>0</v>
      </c>
      <c r="AC2669" s="182" t="n">
        <v>0</v>
      </c>
      <c r="AD2669" s="182" t="n">
        <v>0</v>
      </c>
      <c r="AE2669" s="182" t="n">
        <v>0</v>
      </c>
      <c r="AF2669" s="182" t="n">
        <v>0</v>
      </c>
      <c r="AG2669" s="182" t="n">
        <v>0</v>
      </c>
      <c r="AH2669" s="182" t="n">
        <v>0</v>
      </c>
      <c r="AI2669" s="182" t="n">
        <v>0</v>
      </c>
      <c r="AJ2669" s="182" t="n">
        <v>0</v>
      </c>
      <c r="AK2669" s="182" t="n">
        <v>10.92</v>
      </c>
      <c r="AL2669" s="182" t="n">
        <v>0</v>
      </c>
      <c r="AM2669" s="182" t="n">
        <v>0.08</v>
      </c>
      <c r="AN2669" s="182" t="n">
        <v>0</v>
      </c>
    </row>
    <row r="2670">
      <c r="A2670" s="155" t="n">
        <v>46094</v>
      </c>
      <c r="B2670" s="156" t="inlineStr">
        <is>
          <t>DS</t>
        </is>
      </c>
      <c r="C2670" s="156" t="inlineStr">
        <is>
          <t>HT-414</t>
        </is>
      </c>
      <c r="D2670" s="156" t="inlineStr">
        <is>
          <t>SY430</t>
        </is>
      </c>
      <c r="E2670" s="156" t="inlineStr">
        <is>
          <t>DT Hauling</t>
        </is>
      </c>
      <c r="F2670" s="156" t="inlineStr"/>
      <c r="G2670" s="182" t="n">
        <v>0</v>
      </c>
      <c r="H2670" s="182" t="n">
        <v>0</v>
      </c>
      <c r="I2670" s="182" t="n">
        <v>11.4</v>
      </c>
      <c r="J2670" s="182" t="n">
        <v>11.4</v>
      </c>
      <c r="K2670" s="182" t="n">
        <v>0.6</v>
      </c>
      <c r="L2670" s="182" t="n">
        <v>12</v>
      </c>
      <c r="M2670" s="182" t="n">
        <v>0</v>
      </c>
      <c r="N2670" s="182" t="n">
        <v>0</v>
      </c>
      <c r="O2670" s="183" t="n">
        <v>0</v>
      </c>
      <c r="P2670" s="183" t="n">
        <v>0</v>
      </c>
      <c r="Q2670" s="184" t="n">
        <v>0</v>
      </c>
      <c r="R2670" s="184" t="n">
        <v>0</v>
      </c>
      <c r="S2670" s="183" t="n">
        <v>0</v>
      </c>
      <c r="T2670" s="183" t="n">
        <v>0</v>
      </c>
      <c r="U2670" s="182" t="n">
        <v>0</v>
      </c>
      <c r="V2670" s="182" t="n">
        <v>0</v>
      </c>
      <c r="W2670" s="182" t="n">
        <v>0</v>
      </c>
      <c r="X2670" s="182" t="n">
        <v>0.52</v>
      </c>
      <c r="Y2670" s="182" t="n">
        <v>0</v>
      </c>
      <c r="Z2670" s="182" t="n">
        <v>0</v>
      </c>
      <c r="AA2670" s="182" t="n">
        <v>0</v>
      </c>
      <c r="AB2670" s="182" t="n">
        <v>0</v>
      </c>
      <c r="AC2670" s="182" t="n">
        <v>0</v>
      </c>
      <c r="AD2670" s="182" t="n">
        <v>0</v>
      </c>
      <c r="AE2670" s="182" t="n">
        <v>0</v>
      </c>
      <c r="AF2670" s="182" t="n">
        <v>0</v>
      </c>
      <c r="AG2670" s="182" t="n">
        <v>0</v>
      </c>
      <c r="AH2670" s="182" t="n">
        <v>0</v>
      </c>
      <c r="AI2670" s="182" t="n">
        <v>0</v>
      </c>
      <c r="AJ2670" s="182" t="n">
        <v>0</v>
      </c>
      <c r="AK2670" s="182" t="n">
        <v>0</v>
      </c>
      <c r="AL2670" s="182" t="n">
        <v>0</v>
      </c>
      <c r="AM2670" s="182" t="n">
        <v>0.08</v>
      </c>
      <c r="AN2670" s="182" t="n">
        <v>0</v>
      </c>
    </row>
    <row r="2671">
      <c r="A2671" s="155" t="n">
        <v>46094</v>
      </c>
      <c r="B2671" s="156" t="inlineStr">
        <is>
          <t>DS</t>
        </is>
      </c>
      <c r="C2671" s="156" t="inlineStr">
        <is>
          <t>HT-411</t>
        </is>
      </c>
      <c r="D2671" s="156" t="inlineStr">
        <is>
          <t>SY430</t>
        </is>
      </c>
      <c r="E2671" s="156" t="inlineStr">
        <is>
          <t>DT Hauling</t>
        </is>
      </c>
      <c r="F2671" s="156" t="inlineStr"/>
      <c r="G2671" s="182" t="n">
        <v>0</v>
      </c>
      <c r="H2671" s="182" t="n">
        <v>0</v>
      </c>
      <c r="I2671" s="182" t="n">
        <v>0</v>
      </c>
      <c r="J2671" s="182" t="n">
        <v>0</v>
      </c>
      <c r="K2671" s="182" t="n">
        <v>12</v>
      </c>
      <c r="L2671" s="182" t="n">
        <v>12</v>
      </c>
      <c r="M2671" s="182" t="n">
        <v>0</v>
      </c>
      <c r="N2671" s="182" t="n">
        <v>0</v>
      </c>
      <c r="O2671" s="183" t="n">
        <v>0</v>
      </c>
      <c r="P2671" s="183" t="n">
        <v>0</v>
      </c>
      <c r="Q2671" s="184" t="n">
        <v>0</v>
      </c>
      <c r="R2671" s="184" t="n">
        <v>0</v>
      </c>
      <c r="S2671" s="183" t="n">
        <v>0</v>
      </c>
      <c r="T2671" s="183" t="n">
        <v>0</v>
      </c>
      <c r="U2671" s="182" t="n">
        <v>0</v>
      </c>
      <c r="V2671" s="182" t="n">
        <v>0</v>
      </c>
      <c r="W2671" s="182" t="n">
        <v>0</v>
      </c>
      <c r="X2671" s="182" t="n">
        <v>1</v>
      </c>
      <c r="Y2671" s="182" t="n">
        <v>0</v>
      </c>
      <c r="Z2671" s="182" t="n">
        <v>0</v>
      </c>
      <c r="AA2671" s="182" t="n">
        <v>0</v>
      </c>
      <c r="AB2671" s="182" t="n">
        <v>0</v>
      </c>
      <c r="AC2671" s="182" t="n">
        <v>0</v>
      </c>
      <c r="AD2671" s="182" t="n">
        <v>0</v>
      </c>
      <c r="AE2671" s="182" t="n">
        <v>0</v>
      </c>
      <c r="AF2671" s="182" t="n">
        <v>0</v>
      </c>
      <c r="AG2671" s="182" t="n">
        <v>0</v>
      </c>
      <c r="AH2671" s="182" t="n">
        <v>0</v>
      </c>
      <c r="AI2671" s="182" t="n">
        <v>0</v>
      </c>
      <c r="AJ2671" s="182" t="n">
        <v>0</v>
      </c>
      <c r="AK2671" s="182" t="n">
        <v>10.92</v>
      </c>
      <c r="AL2671" s="182" t="n">
        <v>0</v>
      </c>
      <c r="AM2671" s="182" t="n">
        <v>0.08</v>
      </c>
      <c r="AN2671" s="182" t="n">
        <v>0</v>
      </c>
    </row>
    <row r="2672">
      <c r="A2672" s="155" t="n">
        <v>46094</v>
      </c>
      <c r="B2672" s="156" t="inlineStr">
        <is>
          <t>DS</t>
        </is>
      </c>
      <c r="C2672" s="156" t="inlineStr">
        <is>
          <t>HT-409</t>
        </is>
      </c>
      <c r="D2672" s="156" t="inlineStr">
        <is>
          <t>SY430</t>
        </is>
      </c>
      <c r="E2672" s="156" t="inlineStr">
        <is>
          <t>DT Hauling</t>
        </is>
      </c>
      <c r="F2672" s="156" t="inlineStr"/>
      <c r="G2672" s="182" t="n">
        <v>0</v>
      </c>
      <c r="H2672" s="182" t="n">
        <v>0</v>
      </c>
      <c r="I2672" s="182" t="n">
        <v>0</v>
      </c>
      <c r="J2672" s="182" t="n">
        <v>0</v>
      </c>
      <c r="K2672" s="182" t="n">
        <v>12</v>
      </c>
      <c r="L2672" s="182" t="n">
        <v>12</v>
      </c>
      <c r="M2672" s="182" t="n">
        <v>0</v>
      </c>
      <c r="N2672" s="182" t="n">
        <v>0</v>
      </c>
      <c r="O2672" s="183" t="n">
        <v>0</v>
      </c>
      <c r="P2672" s="183" t="n">
        <v>0</v>
      </c>
      <c r="Q2672" s="184" t="n">
        <v>0</v>
      </c>
      <c r="R2672" s="184" t="n">
        <v>0</v>
      </c>
      <c r="S2672" s="183" t="n">
        <v>0</v>
      </c>
      <c r="T2672" s="183" t="n">
        <v>0</v>
      </c>
      <c r="U2672" s="182" t="n">
        <v>0</v>
      </c>
      <c r="V2672" s="182" t="n">
        <v>0</v>
      </c>
      <c r="W2672" s="182" t="n">
        <v>0</v>
      </c>
      <c r="X2672" s="182" t="n">
        <v>1</v>
      </c>
      <c r="Y2672" s="182" t="n">
        <v>0</v>
      </c>
      <c r="Z2672" s="182" t="n">
        <v>0</v>
      </c>
      <c r="AA2672" s="182" t="n">
        <v>0</v>
      </c>
      <c r="AB2672" s="182" t="n">
        <v>0</v>
      </c>
      <c r="AC2672" s="182" t="n">
        <v>0</v>
      </c>
      <c r="AD2672" s="182" t="n">
        <v>0</v>
      </c>
      <c r="AE2672" s="182" t="n">
        <v>0</v>
      </c>
      <c r="AF2672" s="182" t="n">
        <v>0</v>
      </c>
      <c r="AG2672" s="182" t="n">
        <v>0</v>
      </c>
      <c r="AH2672" s="182" t="n">
        <v>0</v>
      </c>
      <c r="AI2672" s="182" t="n">
        <v>0</v>
      </c>
      <c r="AJ2672" s="182" t="n">
        <v>0</v>
      </c>
      <c r="AK2672" s="182" t="n">
        <v>10.92</v>
      </c>
      <c r="AL2672" s="182" t="n">
        <v>0</v>
      </c>
      <c r="AM2672" s="182" t="n">
        <v>0.08</v>
      </c>
      <c r="AN2672" s="182" t="n">
        <v>0</v>
      </c>
    </row>
    <row r="2673">
      <c r="A2673" s="155" t="n">
        <v>46094</v>
      </c>
      <c r="B2673" s="156" t="inlineStr">
        <is>
          <t>DS</t>
        </is>
      </c>
      <c r="C2673" s="156" t="inlineStr">
        <is>
          <t>DH-103</t>
        </is>
      </c>
      <c r="D2673" s="156" t="inlineStr">
        <is>
          <t>HINO FM260</t>
        </is>
      </c>
      <c r="E2673" s="156" t="inlineStr">
        <is>
          <t>DT Hino</t>
        </is>
      </c>
      <c r="F2673" s="156" t="inlineStr"/>
      <c r="G2673" s="182" t="n">
        <v>0</v>
      </c>
      <c r="H2673" s="182" t="n">
        <v>0</v>
      </c>
      <c r="I2673" s="182" t="n">
        <v>0</v>
      </c>
      <c r="J2673" s="182" t="n">
        <v>0</v>
      </c>
      <c r="K2673" s="182" t="n">
        <v>12</v>
      </c>
      <c r="L2673" s="182" t="n">
        <v>12</v>
      </c>
      <c r="M2673" s="182" t="n">
        <v>0</v>
      </c>
      <c r="N2673" s="182" t="n">
        <v>0</v>
      </c>
      <c r="O2673" s="183" t="n">
        <v>0</v>
      </c>
      <c r="P2673" s="183" t="n">
        <v>0</v>
      </c>
      <c r="Q2673" s="184" t="n">
        <v>0</v>
      </c>
      <c r="R2673" s="184" t="n">
        <v>0</v>
      </c>
      <c r="S2673" s="183" t="n">
        <v>0</v>
      </c>
      <c r="T2673" s="183" t="n">
        <v>0</v>
      </c>
      <c r="U2673" s="182" t="n">
        <v>0</v>
      </c>
      <c r="V2673" s="182" t="n">
        <v>0</v>
      </c>
      <c r="W2673" s="182" t="n">
        <v>0</v>
      </c>
      <c r="X2673" s="182" t="n">
        <v>1</v>
      </c>
      <c r="Y2673" s="182" t="n">
        <v>0</v>
      </c>
      <c r="Z2673" s="182" t="n">
        <v>0</v>
      </c>
      <c r="AA2673" s="182" t="n">
        <v>0</v>
      </c>
      <c r="AB2673" s="182" t="n">
        <v>0</v>
      </c>
      <c r="AC2673" s="182" t="n">
        <v>0</v>
      </c>
      <c r="AD2673" s="182" t="n">
        <v>0</v>
      </c>
      <c r="AE2673" s="182" t="n">
        <v>0</v>
      </c>
      <c r="AF2673" s="182" t="n">
        <v>0</v>
      </c>
      <c r="AG2673" s="182" t="n">
        <v>0</v>
      </c>
      <c r="AH2673" s="182" t="n">
        <v>0</v>
      </c>
      <c r="AI2673" s="182" t="n">
        <v>0</v>
      </c>
      <c r="AJ2673" s="182" t="n">
        <v>0</v>
      </c>
      <c r="AK2673" s="182" t="n">
        <v>10.92</v>
      </c>
      <c r="AL2673" s="182" t="n">
        <v>0</v>
      </c>
      <c r="AM2673" s="182" t="n">
        <v>0.08</v>
      </c>
      <c r="AN2673" s="182" t="n">
        <v>0</v>
      </c>
    </row>
    <row r="2674">
      <c r="A2674" s="155" t="n">
        <v>46094</v>
      </c>
      <c r="B2674" s="156" t="inlineStr">
        <is>
          <t>DS</t>
        </is>
      </c>
      <c r="C2674" s="156" t="inlineStr">
        <is>
          <t>DH-102</t>
        </is>
      </c>
      <c r="D2674" s="156" t="inlineStr">
        <is>
          <t>HINO FM260</t>
        </is>
      </c>
      <c r="E2674" s="156" t="inlineStr">
        <is>
          <t>DT Hino</t>
        </is>
      </c>
      <c r="F2674" s="156" t="inlineStr"/>
      <c r="G2674" s="182" t="n">
        <v>0</v>
      </c>
      <c r="H2674" s="182" t="n">
        <v>0</v>
      </c>
      <c r="I2674" s="182" t="n">
        <v>5.63</v>
      </c>
      <c r="J2674" s="182" t="n">
        <v>5.63</v>
      </c>
      <c r="K2674" s="182" t="n">
        <v>6.37</v>
      </c>
      <c r="L2674" s="182" t="n">
        <v>12</v>
      </c>
      <c r="M2674" s="182" t="n">
        <v>0</v>
      </c>
      <c r="N2674" s="182" t="n">
        <v>0</v>
      </c>
      <c r="O2674" s="183" t="n">
        <v>0</v>
      </c>
      <c r="P2674" s="183" t="n">
        <v>0</v>
      </c>
      <c r="Q2674" s="184" t="n">
        <v>0</v>
      </c>
      <c r="R2674" s="184" t="n">
        <v>0</v>
      </c>
      <c r="S2674" s="183" t="n">
        <v>0</v>
      </c>
      <c r="T2674" s="183" t="n">
        <v>0</v>
      </c>
      <c r="U2674" s="182" t="n">
        <v>0</v>
      </c>
      <c r="V2674" s="182" t="n">
        <v>0</v>
      </c>
      <c r="W2674" s="182" t="n">
        <v>0</v>
      </c>
      <c r="X2674" s="182" t="n">
        <v>1</v>
      </c>
      <c r="Y2674" s="182" t="n">
        <v>0</v>
      </c>
      <c r="Z2674" s="182" t="n">
        <v>0</v>
      </c>
      <c r="AA2674" s="182" t="n">
        <v>0</v>
      </c>
      <c r="AB2674" s="182" t="n">
        <v>0</v>
      </c>
      <c r="AC2674" s="182" t="n">
        <v>0</v>
      </c>
      <c r="AD2674" s="182" t="n">
        <v>0</v>
      </c>
      <c r="AE2674" s="182" t="n">
        <v>0</v>
      </c>
      <c r="AF2674" s="182" t="n">
        <v>0</v>
      </c>
      <c r="AG2674" s="182" t="n">
        <v>0</v>
      </c>
      <c r="AH2674" s="182" t="n">
        <v>0</v>
      </c>
      <c r="AI2674" s="182" t="n">
        <v>0</v>
      </c>
      <c r="AJ2674" s="182" t="n">
        <v>0</v>
      </c>
      <c r="AK2674" s="182" t="n">
        <v>5.28</v>
      </c>
      <c r="AL2674" s="182" t="n">
        <v>0</v>
      </c>
      <c r="AM2674" s="182" t="n">
        <v>0.08</v>
      </c>
      <c r="AN2674" s="182" t="n">
        <v>0</v>
      </c>
    </row>
    <row r="2675">
      <c r="A2675" s="155" t="n">
        <v>46094</v>
      </c>
      <c r="B2675" s="156" t="inlineStr">
        <is>
          <t>DS</t>
        </is>
      </c>
      <c r="C2675" s="156" t="inlineStr">
        <is>
          <t>DH-101</t>
        </is>
      </c>
      <c r="D2675" s="156" t="inlineStr">
        <is>
          <t>HINO FM260</t>
        </is>
      </c>
      <c r="E2675" s="156" t="inlineStr">
        <is>
          <t>DT Hino</t>
        </is>
      </c>
      <c r="F2675" s="156" t="inlineStr"/>
      <c r="G2675" s="182" t="n">
        <v>0</v>
      </c>
      <c r="H2675" s="182" t="n">
        <v>0</v>
      </c>
      <c r="I2675" s="182" t="n">
        <v>0</v>
      </c>
      <c r="J2675" s="182" t="n">
        <v>0</v>
      </c>
      <c r="K2675" s="182" t="n">
        <v>12</v>
      </c>
      <c r="L2675" s="182" t="n">
        <v>12</v>
      </c>
      <c r="M2675" s="182" t="n">
        <v>0</v>
      </c>
      <c r="N2675" s="182" t="n">
        <v>0</v>
      </c>
      <c r="O2675" s="183" t="n">
        <v>0</v>
      </c>
      <c r="P2675" s="183" t="n">
        <v>0</v>
      </c>
      <c r="Q2675" s="184" t="n">
        <v>0</v>
      </c>
      <c r="R2675" s="184" t="n">
        <v>0</v>
      </c>
      <c r="S2675" s="183" t="n">
        <v>0</v>
      </c>
      <c r="T2675" s="183" t="n">
        <v>0</v>
      </c>
      <c r="U2675" s="182" t="n">
        <v>0</v>
      </c>
      <c r="V2675" s="182" t="n">
        <v>0</v>
      </c>
      <c r="W2675" s="182" t="n">
        <v>0</v>
      </c>
      <c r="X2675" s="182" t="n">
        <v>1</v>
      </c>
      <c r="Y2675" s="182" t="n">
        <v>0</v>
      </c>
      <c r="Z2675" s="182" t="n">
        <v>0</v>
      </c>
      <c r="AA2675" s="182" t="n">
        <v>0</v>
      </c>
      <c r="AB2675" s="182" t="n">
        <v>0</v>
      </c>
      <c r="AC2675" s="182" t="n">
        <v>0</v>
      </c>
      <c r="AD2675" s="182" t="n">
        <v>0</v>
      </c>
      <c r="AE2675" s="182" t="n">
        <v>0</v>
      </c>
      <c r="AF2675" s="182" t="n">
        <v>0</v>
      </c>
      <c r="AG2675" s="182" t="n">
        <v>0</v>
      </c>
      <c r="AH2675" s="182" t="n">
        <v>0</v>
      </c>
      <c r="AI2675" s="182" t="n">
        <v>0</v>
      </c>
      <c r="AJ2675" s="182" t="n">
        <v>0</v>
      </c>
      <c r="AK2675" s="182" t="n">
        <v>10.92</v>
      </c>
      <c r="AL2675" s="182" t="n">
        <v>0</v>
      </c>
      <c r="AM2675" s="182" t="n">
        <v>0.08</v>
      </c>
      <c r="AN2675" s="182" t="n">
        <v>0</v>
      </c>
    </row>
    <row r="2676">
      <c r="A2676" s="155" t="n">
        <v>46094</v>
      </c>
      <c r="B2676" s="156" t="inlineStr">
        <is>
          <t>DS</t>
        </is>
      </c>
      <c r="C2676" s="156" t="inlineStr">
        <is>
          <t>EX-1251</t>
        </is>
      </c>
      <c r="D2676" s="156" t="inlineStr">
        <is>
          <t>SY1250</t>
        </is>
      </c>
      <c r="E2676" s="156" t="inlineStr">
        <is>
          <t>Excavator</t>
        </is>
      </c>
      <c r="F2676" s="156" t="inlineStr"/>
      <c r="G2676" s="182" t="n">
        <v>0</v>
      </c>
      <c r="H2676" s="182" t="n">
        <v>0</v>
      </c>
      <c r="I2676" s="182" t="n">
        <v>12</v>
      </c>
      <c r="J2676" s="182" t="n">
        <v>12</v>
      </c>
      <c r="K2676" s="182" t="n">
        <v>0</v>
      </c>
      <c r="L2676" s="182" t="n">
        <v>12</v>
      </c>
      <c r="M2676" s="182" t="n">
        <v>0</v>
      </c>
      <c r="N2676" s="182" t="n">
        <v>0</v>
      </c>
      <c r="O2676" s="183" t="n">
        <v>0</v>
      </c>
      <c r="P2676" s="183" t="n">
        <v>0</v>
      </c>
      <c r="Q2676" s="184" t="n">
        <v>0</v>
      </c>
      <c r="R2676" s="184" t="n">
        <v>0</v>
      </c>
      <c r="S2676" s="183" t="n">
        <v>0</v>
      </c>
      <c r="T2676" s="183" t="n">
        <v>0</v>
      </c>
      <c r="U2676" s="182" t="n">
        <v>0</v>
      </c>
      <c r="V2676" s="182" t="n">
        <v>0</v>
      </c>
      <c r="W2676" s="182" t="n">
        <v>0</v>
      </c>
      <c r="X2676" s="182" t="n">
        <v>0</v>
      </c>
      <c r="Y2676" s="182" t="n">
        <v>0</v>
      </c>
      <c r="Z2676" s="182" t="n">
        <v>0</v>
      </c>
      <c r="AA2676" s="182" t="n">
        <v>0</v>
      </c>
      <c r="AB2676" s="182" t="n">
        <v>0</v>
      </c>
      <c r="AC2676" s="182" t="n">
        <v>0</v>
      </c>
      <c r="AD2676" s="182" t="n">
        <v>0</v>
      </c>
      <c r="AE2676" s="182" t="n">
        <v>0</v>
      </c>
      <c r="AF2676" s="182" t="n">
        <v>0</v>
      </c>
      <c r="AG2676" s="182" t="n">
        <v>0</v>
      </c>
      <c r="AH2676" s="182" t="n">
        <v>0</v>
      </c>
      <c r="AI2676" s="182" t="n">
        <v>0</v>
      </c>
      <c r="AJ2676" s="182" t="n">
        <v>0</v>
      </c>
      <c r="AK2676" s="182" t="n">
        <v>0</v>
      </c>
      <c r="AL2676" s="182" t="n">
        <v>0</v>
      </c>
      <c r="AM2676" s="182" t="n">
        <v>0</v>
      </c>
      <c r="AN2676" s="182" t="n">
        <v>0</v>
      </c>
    </row>
    <row r="2677">
      <c r="A2677" s="155" t="n">
        <v>46094</v>
      </c>
      <c r="B2677" s="156" t="inlineStr">
        <is>
          <t>DS</t>
        </is>
      </c>
      <c r="C2677" s="156" t="inlineStr">
        <is>
          <t>EX-1252</t>
        </is>
      </c>
      <c r="D2677" s="156" t="inlineStr">
        <is>
          <t>SY1250</t>
        </is>
      </c>
      <c r="E2677" s="156" t="inlineStr">
        <is>
          <t>Excavator</t>
        </is>
      </c>
      <c r="F2677" s="156" t="inlineStr"/>
      <c r="G2677" s="182" t="n">
        <v>0</v>
      </c>
      <c r="H2677" s="182" t="n">
        <v>0</v>
      </c>
      <c r="I2677" s="182" t="n">
        <v>12</v>
      </c>
      <c r="J2677" s="182" t="n">
        <v>12</v>
      </c>
      <c r="K2677" s="182" t="n">
        <v>0</v>
      </c>
      <c r="L2677" s="182" t="n">
        <v>12</v>
      </c>
      <c r="M2677" s="182" t="n">
        <v>0</v>
      </c>
      <c r="N2677" s="182" t="n">
        <v>0</v>
      </c>
      <c r="O2677" s="183" t="n">
        <v>0</v>
      </c>
      <c r="P2677" s="183" t="n">
        <v>0</v>
      </c>
      <c r="Q2677" s="184" t="n">
        <v>0</v>
      </c>
      <c r="R2677" s="184" t="n">
        <v>0</v>
      </c>
      <c r="S2677" s="183" t="n">
        <v>0</v>
      </c>
      <c r="T2677" s="183" t="n">
        <v>0</v>
      </c>
      <c r="U2677" s="182" t="n">
        <v>0</v>
      </c>
      <c r="V2677" s="182" t="n">
        <v>0</v>
      </c>
      <c r="W2677" s="182" t="n">
        <v>0</v>
      </c>
      <c r="X2677" s="182" t="n">
        <v>0</v>
      </c>
      <c r="Y2677" s="182" t="n">
        <v>0</v>
      </c>
      <c r="Z2677" s="182" t="n">
        <v>0</v>
      </c>
      <c r="AA2677" s="182" t="n">
        <v>0</v>
      </c>
      <c r="AB2677" s="182" t="n">
        <v>0</v>
      </c>
      <c r="AC2677" s="182" t="n">
        <v>0</v>
      </c>
      <c r="AD2677" s="182" t="n">
        <v>0</v>
      </c>
      <c r="AE2677" s="182" t="n">
        <v>0</v>
      </c>
      <c r="AF2677" s="182" t="n">
        <v>0</v>
      </c>
      <c r="AG2677" s="182" t="n">
        <v>0</v>
      </c>
      <c r="AH2677" s="182" t="n">
        <v>0</v>
      </c>
      <c r="AI2677" s="182" t="n">
        <v>0</v>
      </c>
      <c r="AJ2677" s="182" t="n">
        <v>0</v>
      </c>
      <c r="AK2677" s="182" t="n">
        <v>0</v>
      </c>
      <c r="AL2677" s="182" t="n">
        <v>0</v>
      </c>
      <c r="AM2677" s="182" t="n">
        <v>0</v>
      </c>
      <c r="AN2677" s="182" t="n">
        <v>0</v>
      </c>
    </row>
    <row r="2678">
      <c r="A2678" s="155" t="n">
        <v>46094</v>
      </c>
      <c r="B2678" s="156" t="inlineStr">
        <is>
          <t>DS</t>
        </is>
      </c>
      <c r="C2678" s="156" t="inlineStr">
        <is>
          <t>EX-2101</t>
        </is>
      </c>
      <c r="D2678" s="156" t="inlineStr">
        <is>
          <t>SY2000</t>
        </is>
      </c>
      <c r="E2678" s="156" t="inlineStr">
        <is>
          <t>Excavator</t>
        </is>
      </c>
      <c r="F2678" s="156" t="inlineStr">
        <is>
          <t>Loading OB</t>
        </is>
      </c>
      <c r="G2678" s="182" t="n">
        <v>10.59</v>
      </c>
      <c r="H2678" s="182" t="n">
        <v>0</v>
      </c>
      <c r="I2678" s="182" t="n">
        <v>0</v>
      </c>
      <c r="J2678" s="182" t="n">
        <v>0</v>
      </c>
      <c r="K2678" s="182" t="n">
        <v>1.41</v>
      </c>
      <c r="L2678" s="182" t="n">
        <v>12</v>
      </c>
      <c r="M2678" s="182" t="n">
        <v>10.51</v>
      </c>
      <c r="N2678" s="182" t="n">
        <v>0</v>
      </c>
      <c r="O2678" s="183" t="n">
        <v>247</v>
      </c>
      <c r="P2678" s="183" t="n">
        <v>0</v>
      </c>
      <c r="Q2678" s="184" t="n">
        <v>7762.2</v>
      </c>
      <c r="R2678" s="184" t="n">
        <v>0</v>
      </c>
      <c r="S2678" s="183" t="n">
        <v>0</v>
      </c>
      <c r="T2678" s="183" t="n">
        <v>0</v>
      </c>
      <c r="U2678" s="182" t="n">
        <v>0</v>
      </c>
      <c r="V2678" s="182" t="n">
        <v>0</v>
      </c>
      <c r="W2678" s="182" t="n">
        <v>0</v>
      </c>
      <c r="X2678" s="182" t="n">
        <v>0.97</v>
      </c>
      <c r="Y2678" s="182" t="n">
        <v>0</v>
      </c>
      <c r="Z2678" s="182" t="n">
        <v>0</v>
      </c>
      <c r="AA2678" s="182" t="n">
        <v>0</v>
      </c>
      <c r="AB2678" s="182" t="n">
        <v>0</v>
      </c>
      <c r="AC2678" s="182" t="n">
        <v>0</v>
      </c>
      <c r="AD2678" s="182" t="n">
        <v>0</v>
      </c>
      <c r="AE2678" s="182" t="n">
        <v>0</v>
      </c>
      <c r="AF2678" s="182" t="n">
        <v>0</v>
      </c>
      <c r="AG2678" s="182" t="n">
        <v>0</v>
      </c>
      <c r="AH2678" s="182" t="n">
        <v>0.37</v>
      </c>
      <c r="AI2678" s="182" t="n">
        <v>0</v>
      </c>
      <c r="AJ2678" s="182" t="n">
        <v>0</v>
      </c>
      <c r="AK2678" s="182" t="n">
        <v>0</v>
      </c>
      <c r="AL2678" s="182" t="n">
        <v>0</v>
      </c>
      <c r="AM2678" s="182" t="n">
        <v>0.08</v>
      </c>
      <c r="AN2678" s="182" t="n">
        <v>0</v>
      </c>
    </row>
    <row r="2679">
      <c r="A2679" s="155" t="n">
        <v>46094</v>
      </c>
      <c r="B2679" s="156" t="inlineStr">
        <is>
          <t>DS</t>
        </is>
      </c>
      <c r="C2679" s="156" t="inlineStr">
        <is>
          <t>EX-222</t>
        </is>
      </c>
      <c r="D2679" s="156" t="inlineStr">
        <is>
          <t>PC 200-8MI</t>
        </is>
      </c>
      <c r="E2679" s="156" t="inlineStr">
        <is>
          <t>Excavator</t>
        </is>
      </c>
      <c r="F2679" s="156" t="inlineStr">
        <is>
          <t>Support Washing Plant</t>
        </is>
      </c>
      <c r="G2679" s="182" t="n">
        <v>11.96</v>
      </c>
      <c r="H2679" s="182" t="n">
        <v>0</v>
      </c>
      <c r="I2679" s="182" t="n">
        <v>0</v>
      </c>
      <c r="J2679" s="182" t="n">
        <v>0</v>
      </c>
      <c r="K2679" s="182" t="n">
        <v>0.04</v>
      </c>
      <c r="L2679" s="182" t="n">
        <v>12</v>
      </c>
      <c r="M2679" s="182" t="n">
        <v>0</v>
      </c>
      <c r="N2679" s="182" t="n">
        <v>0</v>
      </c>
      <c r="O2679" s="183" t="n">
        <v>0</v>
      </c>
      <c r="P2679" s="183" t="n">
        <v>0</v>
      </c>
      <c r="Q2679" s="184" t="n">
        <v>0</v>
      </c>
      <c r="R2679" s="184" t="n">
        <v>0</v>
      </c>
      <c r="S2679" s="183" t="n">
        <v>0</v>
      </c>
      <c r="T2679" s="183" t="n">
        <v>0</v>
      </c>
      <c r="U2679" s="182" t="n">
        <v>0</v>
      </c>
      <c r="V2679" s="182" t="n">
        <v>0</v>
      </c>
      <c r="W2679" s="182" t="n">
        <v>0</v>
      </c>
      <c r="X2679" s="182" t="n">
        <v>0</v>
      </c>
      <c r="Y2679" s="182" t="n">
        <v>0</v>
      </c>
      <c r="Z2679" s="182" t="n">
        <v>0</v>
      </c>
      <c r="AA2679" s="182" t="n">
        <v>0</v>
      </c>
      <c r="AB2679" s="182" t="n">
        <v>0</v>
      </c>
      <c r="AC2679" s="182" t="n">
        <v>0</v>
      </c>
      <c r="AD2679" s="182" t="n">
        <v>0</v>
      </c>
      <c r="AE2679" s="182" t="n">
        <v>0</v>
      </c>
      <c r="AF2679" s="182" t="n">
        <v>0</v>
      </c>
      <c r="AG2679" s="182" t="n">
        <v>0</v>
      </c>
      <c r="AH2679" s="182" t="n">
        <v>0</v>
      </c>
      <c r="AI2679" s="182" t="n">
        <v>0</v>
      </c>
      <c r="AJ2679" s="182" t="n">
        <v>0</v>
      </c>
      <c r="AK2679" s="182" t="n">
        <v>0</v>
      </c>
      <c r="AL2679" s="182" t="n">
        <v>0</v>
      </c>
      <c r="AM2679" s="182" t="n">
        <v>0</v>
      </c>
      <c r="AN2679" s="182" t="n">
        <v>0</v>
      </c>
    </row>
    <row r="2680">
      <c r="A2680" s="155" t="n">
        <v>46094</v>
      </c>
      <c r="B2680" s="156" t="inlineStr">
        <is>
          <t>DS</t>
        </is>
      </c>
      <c r="C2680" s="156" t="inlineStr">
        <is>
          <t>EX-225</t>
        </is>
      </c>
      <c r="D2680" s="156" t="inlineStr">
        <is>
          <t>PC 200-8</t>
        </is>
      </c>
      <c r="E2680" s="156" t="inlineStr">
        <is>
          <t>Excavator</t>
        </is>
      </c>
      <c r="F2680" s="156" t="inlineStr"/>
      <c r="G2680" s="182" t="n">
        <v>0</v>
      </c>
      <c r="H2680" s="182" t="n">
        <v>0</v>
      </c>
      <c r="I2680" s="182" t="n">
        <v>12</v>
      </c>
      <c r="J2680" s="182" t="n">
        <v>12</v>
      </c>
      <c r="K2680" s="182" t="n">
        <v>0</v>
      </c>
      <c r="L2680" s="182" t="n">
        <v>12</v>
      </c>
      <c r="M2680" s="182" t="n">
        <v>0</v>
      </c>
      <c r="N2680" s="182" t="n">
        <v>0</v>
      </c>
      <c r="O2680" s="183" t="n">
        <v>0</v>
      </c>
      <c r="P2680" s="183" t="n">
        <v>0</v>
      </c>
      <c r="Q2680" s="184" t="n">
        <v>0</v>
      </c>
      <c r="R2680" s="184" t="n">
        <v>0</v>
      </c>
      <c r="S2680" s="183" t="n">
        <v>0</v>
      </c>
      <c r="T2680" s="183" t="n">
        <v>0</v>
      </c>
      <c r="U2680" s="182" t="n">
        <v>0</v>
      </c>
      <c r="V2680" s="182" t="n">
        <v>0</v>
      </c>
      <c r="W2680" s="182" t="n">
        <v>0</v>
      </c>
      <c r="X2680" s="182" t="n">
        <v>0</v>
      </c>
      <c r="Y2680" s="182" t="n">
        <v>0</v>
      </c>
      <c r="Z2680" s="182" t="n">
        <v>0</v>
      </c>
      <c r="AA2680" s="182" t="n">
        <v>0</v>
      </c>
      <c r="AB2680" s="182" t="n">
        <v>0</v>
      </c>
      <c r="AC2680" s="182" t="n">
        <v>0</v>
      </c>
      <c r="AD2680" s="182" t="n">
        <v>0</v>
      </c>
      <c r="AE2680" s="182" t="n">
        <v>0</v>
      </c>
      <c r="AF2680" s="182" t="n">
        <v>0</v>
      </c>
      <c r="AG2680" s="182" t="n">
        <v>0</v>
      </c>
      <c r="AH2680" s="182" t="n">
        <v>0</v>
      </c>
      <c r="AI2680" s="182" t="n">
        <v>0</v>
      </c>
      <c r="AJ2680" s="182" t="n">
        <v>0</v>
      </c>
      <c r="AK2680" s="182" t="n">
        <v>0</v>
      </c>
      <c r="AL2680" s="182" t="n">
        <v>0</v>
      </c>
      <c r="AM2680" s="182" t="n">
        <v>0</v>
      </c>
      <c r="AN2680" s="182" t="n">
        <v>0</v>
      </c>
    </row>
    <row r="2681">
      <c r="A2681" s="155" t="n">
        <v>46094</v>
      </c>
      <c r="B2681" s="156" t="inlineStr">
        <is>
          <t>DS</t>
        </is>
      </c>
      <c r="C2681" s="156" t="inlineStr">
        <is>
          <t>EX-223</t>
        </is>
      </c>
      <c r="D2681" s="156" t="inlineStr">
        <is>
          <t>PC 200-8MI</t>
        </is>
      </c>
      <c r="E2681" s="156" t="inlineStr">
        <is>
          <t>Excavator</t>
        </is>
      </c>
      <c r="F2681" s="156" t="inlineStr">
        <is>
          <t>General Longsoran Pit</t>
        </is>
      </c>
      <c r="G2681" s="182" t="n">
        <v>8.699999999999999</v>
      </c>
      <c r="H2681" s="182" t="n">
        <v>0.98</v>
      </c>
      <c r="I2681" s="182" t="n">
        <v>0</v>
      </c>
      <c r="J2681" s="182" t="n">
        <v>0.98</v>
      </c>
      <c r="K2681" s="182" t="n">
        <v>2.32</v>
      </c>
      <c r="L2681" s="182" t="n">
        <v>12</v>
      </c>
      <c r="M2681" s="182" t="n">
        <v>0</v>
      </c>
      <c r="N2681" s="182" t="n">
        <v>0</v>
      </c>
      <c r="O2681" s="183" t="n">
        <v>0</v>
      </c>
      <c r="P2681" s="183" t="n">
        <v>0</v>
      </c>
      <c r="Q2681" s="184" t="n">
        <v>0</v>
      </c>
      <c r="R2681" s="184" t="n">
        <v>0</v>
      </c>
      <c r="S2681" s="183" t="n">
        <v>0</v>
      </c>
      <c r="T2681" s="183" t="n">
        <v>0</v>
      </c>
      <c r="U2681" s="182" t="n">
        <v>0</v>
      </c>
      <c r="V2681" s="182" t="n">
        <v>0</v>
      </c>
      <c r="W2681" s="182" t="n">
        <v>0</v>
      </c>
      <c r="X2681" s="182" t="n">
        <v>0.89</v>
      </c>
      <c r="Y2681" s="182" t="n">
        <v>0</v>
      </c>
      <c r="Z2681" s="182" t="n">
        <v>0</v>
      </c>
      <c r="AA2681" s="182" t="n">
        <v>0</v>
      </c>
      <c r="AB2681" s="182" t="n">
        <v>0</v>
      </c>
      <c r="AC2681" s="182" t="n">
        <v>0</v>
      </c>
      <c r="AD2681" s="182" t="n">
        <v>0</v>
      </c>
      <c r="AE2681" s="182" t="n">
        <v>0</v>
      </c>
      <c r="AF2681" s="182" t="n">
        <v>0</v>
      </c>
      <c r="AG2681" s="182" t="n">
        <v>0</v>
      </c>
      <c r="AH2681" s="182" t="n">
        <v>0</v>
      </c>
      <c r="AI2681" s="182" t="n">
        <v>0</v>
      </c>
      <c r="AJ2681" s="182" t="n">
        <v>0</v>
      </c>
      <c r="AK2681" s="182" t="n">
        <v>1.35</v>
      </c>
      <c r="AL2681" s="182" t="n">
        <v>0</v>
      </c>
      <c r="AM2681" s="182" t="n">
        <v>0.07000000000000001</v>
      </c>
      <c r="AN2681" s="182" t="n">
        <v>0</v>
      </c>
    </row>
    <row r="2682">
      <c r="A2682" s="155" t="n">
        <v>46094</v>
      </c>
      <c r="B2682" s="156" t="inlineStr">
        <is>
          <t>DS</t>
        </is>
      </c>
      <c r="C2682" s="156" t="inlineStr">
        <is>
          <t>EX-221</t>
        </is>
      </c>
      <c r="D2682" s="156" t="inlineStr">
        <is>
          <t>PC 200-8MI</t>
        </is>
      </c>
      <c r="E2682" s="156" t="inlineStr">
        <is>
          <t>Excavator</t>
        </is>
      </c>
      <c r="F2682" s="156" t="inlineStr">
        <is>
          <t>Timesheet Kosong</t>
        </is>
      </c>
      <c r="G2682" s="182" t="n">
        <v>9.07</v>
      </c>
      <c r="H2682" s="182" t="n">
        <v>0</v>
      </c>
      <c r="I2682" s="182" t="n">
        <v>0</v>
      </c>
      <c r="J2682" s="182" t="n">
        <v>0</v>
      </c>
      <c r="K2682" s="182" t="n">
        <v>2.93</v>
      </c>
      <c r="L2682" s="182" t="n">
        <v>12</v>
      </c>
      <c r="M2682" s="182" t="n">
        <v>0</v>
      </c>
      <c r="N2682" s="182" t="n">
        <v>0</v>
      </c>
      <c r="O2682" s="183" t="n">
        <v>0</v>
      </c>
      <c r="P2682" s="183" t="n">
        <v>0</v>
      </c>
      <c r="Q2682" s="184" t="n">
        <v>0</v>
      </c>
      <c r="R2682" s="184" t="n">
        <v>0</v>
      </c>
      <c r="S2682" s="183" t="n">
        <v>0</v>
      </c>
      <c r="T2682" s="183" t="n">
        <v>0</v>
      </c>
      <c r="U2682" s="182" t="n">
        <v>0</v>
      </c>
      <c r="V2682" s="182" t="n">
        <v>0</v>
      </c>
      <c r="W2682" s="182" t="n">
        <v>0</v>
      </c>
      <c r="X2682" s="182" t="n">
        <v>0.95</v>
      </c>
      <c r="Y2682" s="182" t="n">
        <v>0</v>
      </c>
      <c r="Z2682" s="182" t="n">
        <v>0</v>
      </c>
      <c r="AA2682" s="182" t="n">
        <v>0</v>
      </c>
      <c r="AB2682" s="182" t="n">
        <v>0</v>
      </c>
      <c r="AC2682" s="182" t="n">
        <v>0</v>
      </c>
      <c r="AD2682" s="182" t="n">
        <v>0</v>
      </c>
      <c r="AE2682" s="182" t="n">
        <v>0</v>
      </c>
      <c r="AF2682" s="182" t="n">
        <v>0</v>
      </c>
      <c r="AG2682" s="182" t="n">
        <v>0</v>
      </c>
      <c r="AH2682" s="182" t="n">
        <v>0</v>
      </c>
      <c r="AI2682" s="182" t="n">
        <v>0</v>
      </c>
      <c r="AJ2682" s="182" t="n">
        <v>0</v>
      </c>
      <c r="AK2682" s="182" t="n">
        <v>1.91</v>
      </c>
      <c r="AL2682" s="182" t="n">
        <v>0</v>
      </c>
      <c r="AM2682" s="182" t="n">
        <v>0.08</v>
      </c>
      <c r="AN2682" s="182" t="n">
        <v>0</v>
      </c>
    </row>
    <row r="2683">
      <c r="A2683" s="155" t="n">
        <v>46094</v>
      </c>
      <c r="B2683" s="156" t="inlineStr">
        <is>
          <t>DS</t>
        </is>
      </c>
      <c r="C2683" s="156" t="inlineStr">
        <is>
          <t>EX-331</t>
        </is>
      </c>
      <c r="D2683" s="156" t="inlineStr">
        <is>
          <t>PC 300-8MO</t>
        </is>
      </c>
      <c r="E2683" s="156" t="inlineStr">
        <is>
          <t>Excavator</t>
        </is>
      </c>
      <c r="F2683" s="156" t="inlineStr"/>
      <c r="G2683" s="182" t="n">
        <v>0</v>
      </c>
      <c r="H2683" s="182" t="n">
        <v>0</v>
      </c>
      <c r="I2683" s="182" t="n">
        <v>12</v>
      </c>
      <c r="J2683" s="182" t="n">
        <v>12</v>
      </c>
      <c r="K2683" s="182" t="n">
        <v>0</v>
      </c>
      <c r="L2683" s="182" t="n">
        <v>12</v>
      </c>
      <c r="M2683" s="182" t="n">
        <v>0</v>
      </c>
      <c r="N2683" s="182" t="n">
        <v>0</v>
      </c>
      <c r="O2683" s="183" t="n">
        <v>0</v>
      </c>
      <c r="P2683" s="183" t="n">
        <v>0</v>
      </c>
      <c r="Q2683" s="184" t="n">
        <v>0</v>
      </c>
      <c r="R2683" s="184" t="n">
        <v>0</v>
      </c>
      <c r="S2683" s="183" t="n">
        <v>0</v>
      </c>
      <c r="T2683" s="183" t="n">
        <v>0</v>
      </c>
      <c r="U2683" s="182" t="n">
        <v>0</v>
      </c>
      <c r="V2683" s="182" t="n">
        <v>0</v>
      </c>
      <c r="W2683" s="182" t="n">
        <v>0</v>
      </c>
      <c r="X2683" s="182" t="n">
        <v>0</v>
      </c>
      <c r="Y2683" s="182" t="n">
        <v>0</v>
      </c>
      <c r="Z2683" s="182" t="n">
        <v>0</v>
      </c>
      <c r="AA2683" s="182" t="n">
        <v>0</v>
      </c>
      <c r="AB2683" s="182" t="n">
        <v>0</v>
      </c>
      <c r="AC2683" s="182" t="n">
        <v>0</v>
      </c>
      <c r="AD2683" s="182" t="n">
        <v>0</v>
      </c>
      <c r="AE2683" s="182" t="n">
        <v>0</v>
      </c>
      <c r="AF2683" s="182" t="n">
        <v>0</v>
      </c>
      <c r="AG2683" s="182" t="n">
        <v>0</v>
      </c>
      <c r="AH2683" s="182" t="n">
        <v>0</v>
      </c>
      <c r="AI2683" s="182" t="n">
        <v>0</v>
      </c>
      <c r="AJ2683" s="182" t="n">
        <v>0</v>
      </c>
      <c r="AK2683" s="182" t="n">
        <v>0</v>
      </c>
      <c r="AL2683" s="182" t="n">
        <v>0</v>
      </c>
      <c r="AM2683" s="182" t="n">
        <v>0</v>
      </c>
      <c r="AN2683" s="182" t="n">
        <v>0</v>
      </c>
    </row>
    <row r="2684">
      <c r="A2684" s="155" t="n">
        <v>46094</v>
      </c>
      <c r="B2684" s="156" t="inlineStr">
        <is>
          <t>DS</t>
        </is>
      </c>
      <c r="C2684" s="156" t="inlineStr">
        <is>
          <t>EX-334</t>
        </is>
      </c>
      <c r="D2684" s="156" t="inlineStr">
        <is>
          <t>PC 300-8MO</t>
        </is>
      </c>
      <c r="E2684" s="156" t="inlineStr">
        <is>
          <t>Excavator</t>
        </is>
      </c>
      <c r="F2684" s="156" t="inlineStr">
        <is>
          <t>General Tanggul Pit &amp; Support Washing Plant</t>
        </is>
      </c>
      <c r="G2684" s="182" t="n">
        <v>10.78</v>
      </c>
      <c r="H2684" s="182" t="n">
        <v>0</v>
      </c>
      <c r="I2684" s="182" t="n">
        <v>0</v>
      </c>
      <c r="J2684" s="182" t="n">
        <v>0</v>
      </c>
      <c r="K2684" s="182" t="n">
        <v>1.22</v>
      </c>
      <c r="L2684" s="182" t="n">
        <v>12</v>
      </c>
      <c r="M2684" s="182" t="n">
        <v>0</v>
      </c>
      <c r="N2684" s="182" t="n">
        <v>0</v>
      </c>
      <c r="O2684" s="183" t="n">
        <v>0</v>
      </c>
      <c r="P2684" s="183" t="n">
        <v>0</v>
      </c>
      <c r="Q2684" s="184" t="n">
        <v>0</v>
      </c>
      <c r="R2684" s="184" t="n">
        <v>0</v>
      </c>
      <c r="S2684" s="183" t="n">
        <v>0</v>
      </c>
      <c r="T2684" s="183" t="n">
        <v>0</v>
      </c>
      <c r="U2684" s="182" t="n">
        <v>0</v>
      </c>
      <c r="V2684" s="182" t="n">
        <v>0</v>
      </c>
      <c r="W2684" s="182" t="n">
        <v>0</v>
      </c>
      <c r="X2684" s="182" t="n">
        <v>1.11</v>
      </c>
      <c r="Y2684" s="182" t="n">
        <v>0</v>
      </c>
      <c r="Z2684" s="182" t="n">
        <v>0</v>
      </c>
      <c r="AA2684" s="182" t="n">
        <v>0</v>
      </c>
      <c r="AB2684" s="182" t="n">
        <v>0</v>
      </c>
      <c r="AC2684" s="182" t="n">
        <v>0</v>
      </c>
      <c r="AD2684" s="182" t="n">
        <v>0</v>
      </c>
      <c r="AE2684" s="182" t="n">
        <v>0</v>
      </c>
      <c r="AF2684" s="182" t="n">
        <v>0</v>
      </c>
      <c r="AG2684" s="182" t="n">
        <v>0</v>
      </c>
      <c r="AH2684" s="182" t="n">
        <v>0.02</v>
      </c>
      <c r="AI2684" s="182" t="n">
        <v>0</v>
      </c>
      <c r="AJ2684" s="182" t="n">
        <v>0</v>
      </c>
      <c r="AK2684" s="182" t="n">
        <v>0</v>
      </c>
      <c r="AL2684" s="182" t="n">
        <v>0</v>
      </c>
      <c r="AM2684" s="182" t="n">
        <v>0.09</v>
      </c>
      <c r="AN2684" s="182" t="n">
        <v>0</v>
      </c>
    </row>
    <row r="2685">
      <c r="A2685" s="155" t="n">
        <v>46094</v>
      </c>
      <c r="B2685" s="156" t="inlineStr">
        <is>
          <t>DS</t>
        </is>
      </c>
      <c r="C2685" s="156" t="inlineStr">
        <is>
          <t>EX-332</t>
        </is>
      </c>
      <c r="D2685" s="156" t="inlineStr">
        <is>
          <t>PC 300-8MO</t>
        </is>
      </c>
      <c r="E2685" s="156" t="inlineStr">
        <is>
          <t>Excavator</t>
        </is>
      </c>
      <c r="F2685" s="156" t="inlineStr"/>
      <c r="G2685" s="182" t="n">
        <v>0</v>
      </c>
      <c r="H2685" s="182" t="n">
        <v>0</v>
      </c>
      <c r="I2685" s="182" t="n">
        <v>12</v>
      </c>
      <c r="J2685" s="182" t="n">
        <v>12</v>
      </c>
      <c r="K2685" s="182" t="n">
        <v>0</v>
      </c>
      <c r="L2685" s="182" t="n">
        <v>12</v>
      </c>
      <c r="M2685" s="182" t="n">
        <v>0</v>
      </c>
      <c r="N2685" s="182" t="n">
        <v>0</v>
      </c>
      <c r="O2685" s="183" t="n">
        <v>0</v>
      </c>
      <c r="P2685" s="183" t="n">
        <v>0</v>
      </c>
      <c r="Q2685" s="184" t="n">
        <v>0</v>
      </c>
      <c r="R2685" s="184" t="n">
        <v>0</v>
      </c>
      <c r="S2685" s="183" t="n">
        <v>0</v>
      </c>
      <c r="T2685" s="183" t="n">
        <v>0</v>
      </c>
      <c r="U2685" s="182" t="n">
        <v>0</v>
      </c>
      <c r="V2685" s="182" t="n">
        <v>0</v>
      </c>
      <c r="W2685" s="182" t="n">
        <v>0</v>
      </c>
      <c r="X2685" s="182" t="n">
        <v>0</v>
      </c>
      <c r="Y2685" s="182" t="n">
        <v>0</v>
      </c>
      <c r="Z2685" s="182" t="n">
        <v>0</v>
      </c>
      <c r="AA2685" s="182" t="n">
        <v>0</v>
      </c>
      <c r="AB2685" s="182" t="n">
        <v>0</v>
      </c>
      <c r="AC2685" s="182" t="n">
        <v>0</v>
      </c>
      <c r="AD2685" s="182" t="n">
        <v>0</v>
      </c>
      <c r="AE2685" s="182" t="n">
        <v>0</v>
      </c>
      <c r="AF2685" s="182" t="n">
        <v>0</v>
      </c>
      <c r="AG2685" s="182" t="n">
        <v>0</v>
      </c>
      <c r="AH2685" s="182" t="n">
        <v>0</v>
      </c>
      <c r="AI2685" s="182" t="n">
        <v>0</v>
      </c>
      <c r="AJ2685" s="182" t="n">
        <v>0</v>
      </c>
      <c r="AK2685" s="182" t="n">
        <v>0</v>
      </c>
      <c r="AL2685" s="182" t="n">
        <v>0</v>
      </c>
      <c r="AM2685" s="182" t="n">
        <v>0</v>
      </c>
      <c r="AN2685" s="182" t="n">
        <v>0</v>
      </c>
    </row>
    <row r="2686">
      <c r="A2686" s="155" t="n">
        <v>46094</v>
      </c>
      <c r="B2686" s="156" t="inlineStr">
        <is>
          <t>DS</t>
        </is>
      </c>
      <c r="C2686" s="156" t="inlineStr">
        <is>
          <t>EX-333</t>
        </is>
      </c>
      <c r="D2686" s="156" t="inlineStr">
        <is>
          <t>PC 300-8MO</t>
        </is>
      </c>
      <c r="E2686" s="156" t="inlineStr">
        <is>
          <t>Excavator</t>
        </is>
      </c>
      <c r="F2686" s="156" t="inlineStr"/>
      <c r="G2686" s="182" t="n">
        <v>0</v>
      </c>
      <c r="H2686" s="182" t="n">
        <v>0</v>
      </c>
      <c r="I2686" s="182" t="n">
        <v>12</v>
      </c>
      <c r="J2686" s="182" t="n">
        <v>12</v>
      </c>
      <c r="K2686" s="182" t="n">
        <v>0</v>
      </c>
      <c r="L2686" s="182" t="n">
        <v>12</v>
      </c>
      <c r="M2686" s="182" t="n">
        <v>0</v>
      </c>
      <c r="N2686" s="182" t="n">
        <v>0</v>
      </c>
      <c r="O2686" s="183" t="n">
        <v>0</v>
      </c>
      <c r="P2686" s="183" t="n">
        <v>0</v>
      </c>
      <c r="Q2686" s="184" t="n">
        <v>0</v>
      </c>
      <c r="R2686" s="184" t="n">
        <v>0</v>
      </c>
      <c r="S2686" s="183" t="n">
        <v>0</v>
      </c>
      <c r="T2686" s="183" t="n">
        <v>0</v>
      </c>
      <c r="U2686" s="182" t="n">
        <v>0</v>
      </c>
      <c r="V2686" s="182" t="n">
        <v>0</v>
      </c>
      <c r="W2686" s="182" t="n">
        <v>0</v>
      </c>
      <c r="X2686" s="182" t="n">
        <v>0</v>
      </c>
      <c r="Y2686" s="182" t="n">
        <v>0</v>
      </c>
      <c r="Z2686" s="182" t="n">
        <v>0</v>
      </c>
      <c r="AA2686" s="182" t="n">
        <v>0</v>
      </c>
      <c r="AB2686" s="182" t="n">
        <v>0</v>
      </c>
      <c r="AC2686" s="182" t="n">
        <v>0</v>
      </c>
      <c r="AD2686" s="182" t="n">
        <v>0</v>
      </c>
      <c r="AE2686" s="182" t="n">
        <v>0</v>
      </c>
      <c r="AF2686" s="182" t="n">
        <v>0</v>
      </c>
      <c r="AG2686" s="182" t="n">
        <v>0</v>
      </c>
      <c r="AH2686" s="182" t="n">
        <v>0</v>
      </c>
      <c r="AI2686" s="182" t="n">
        <v>0</v>
      </c>
      <c r="AJ2686" s="182" t="n">
        <v>0</v>
      </c>
      <c r="AK2686" s="182" t="n">
        <v>0</v>
      </c>
      <c r="AL2686" s="182" t="n">
        <v>0</v>
      </c>
      <c r="AM2686" s="182" t="n">
        <v>0</v>
      </c>
      <c r="AN2686" s="182" t="n">
        <v>0</v>
      </c>
    </row>
    <row r="2687">
      <c r="A2687" s="155" t="n">
        <v>46094</v>
      </c>
      <c r="B2687" s="156" t="inlineStr">
        <is>
          <t>DS</t>
        </is>
      </c>
      <c r="C2687" s="156" t="inlineStr">
        <is>
          <t>EX-336</t>
        </is>
      </c>
      <c r="D2687" s="156" t="inlineStr">
        <is>
          <t>PC 300-8MO</t>
        </is>
      </c>
      <c r="E2687" s="156" t="inlineStr">
        <is>
          <t>Excavator</t>
        </is>
      </c>
      <c r="F2687" s="156" t="inlineStr">
        <is>
          <t>Cleaning Coal</t>
        </is>
      </c>
      <c r="G2687" s="182" t="n">
        <v>10.67</v>
      </c>
      <c r="H2687" s="182" t="n">
        <v>0</v>
      </c>
      <c r="I2687" s="182" t="n">
        <v>0</v>
      </c>
      <c r="J2687" s="182" t="n">
        <v>0</v>
      </c>
      <c r="K2687" s="182" t="n">
        <v>1.33</v>
      </c>
      <c r="L2687" s="182" t="n">
        <v>12</v>
      </c>
      <c r="M2687" s="182" t="n">
        <v>0</v>
      </c>
      <c r="N2687" s="182" t="n">
        <v>0</v>
      </c>
      <c r="O2687" s="183" t="n">
        <v>0</v>
      </c>
      <c r="P2687" s="183" t="n">
        <v>0</v>
      </c>
      <c r="Q2687" s="184" t="n">
        <v>0</v>
      </c>
      <c r="R2687" s="184" t="n">
        <v>0</v>
      </c>
      <c r="S2687" s="183" t="n">
        <v>0</v>
      </c>
      <c r="T2687" s="183" t="n">
        <v>0</v>
      </c>
      <c r="U2687" s="182" t="n">
        <v>0</v>
      </c>
      <c r="V2687" s="182" t="n">
        <v>0</v>
      </c>
      <c r="W2687" s="182" t="n">
        <v>0</v>
      </c>
      <c r="X2687" s="182" t="n">
        <v>1.22</v>
      </c>
      <c r="Y2687" s="182" t="n">
        <v>0</v>
      </c>
      <c r="Z2687" s="182" t="n">
        <v>0</v>
      </c>
      <c r="AA2687" s="182" t="n">
        <v>0</v>
      </c>
      <c r="AB2687" s="182" t="n">
        <v>0</v>
      </c>
      <c r="AC2687" s="182" t="n">
        <v>0</v>
      </c>
      <c r="AD2687" s="182" t="n">
        <v>0</v>
      </c>
      <c r="AE2687" s="182" t="n">
        <v>0</v>
      </c>
      <c r="AF2687" s="182" t="n">
        <v>0</v>
      </c>
      <c r="AG2687" s="182" t="n">
        <v>0</v>
      </c>
      <c r="AH2687" s="182" t="n">
        <v>0</v>
      </c>
      <c r="AI2687" s="182" t="n">
        <v>0</v>
      </c>
      <c r="AJ2687" s="182" t="n">
        <v>0</v>
      </c>
      <c r="AK2687" s="182" t="n">
        <v>0</v>
      </c>
      <c r="AL2687" s="182" t="n">
        <v>0</v>
      </c>
      <c r="AM2687" s="182" t="n">
        <v>0.11</v>
      </c>
      <c r="AN2687" s="182" t="n">
        <v>0</v>
      </c>
    </row>
    <row r="2688">
      <c r="A2688" s="155" t="n">
        <v>46094</v>
      </c>
      <c r="B2688" s="156" t="inlineStr">
        <is>
          <t>DS</t>
        </is>
      </c>
      <c r="C2688" s="156" t="inlineStr">
        <is>
          <t>EX-335</t>
        </is>
      </c>
      <c r="D2688" s="156" t="inlineStr">
        <is>
          <t>PC 300-8MO</t>
        </is>
      </c>
      <c r="E2688" s="156" t="inlineStr">
        <is>
          <t>Excavator</t>
        </is>
      </c>
      <c r="F2688" s="156" t="inlineStr"/>
      <c r="G2688" s="182" t="n">
        <v>0</v>
      </c>
      <c r="H2688" s="182" t="n">
        <v>0</v>
      </c>
      <c r="I2688" s="182" t="n">
        <v>12</v>
      </c>
      <c r="J2688" s="182" t="n">
        <v>12</v>
      </c>
      <c r="K2688" s="182" t="n">
        <v>0</v>
      </c>
      <c r="L2688" s="182" t="n">
        <v>12</v>
      </c>
      <c r="M2688" s="182" t="n">
        <v>0</v>
      </c>
      <c r="N2688" s="182" t="n">
        <v>0</v>
      </c>
      <c r="O2688" s="183" t="n">
        <v>0</v>
      </c>
      <c r="P2688" s="183" t="n">
        <v>0</v>
      </c>
      <c r="Q2688" s="184" t="n">
        <v>0</v>
      </c>
      <c r="R2688" s="184" t="n">
        <v>0</v>
      </c>
      <c r="S2688" s="183" t="n">
        <v>0</v>
      </c>
      <c r="T2688" s="183" t="n">
        <v>0</v>
      </c>
      <c r="U2688" s="182" t="n">
        <v>0</v>
      </c>
      <c r="V2688" s="182" t="n">
        <v>0</v>
      </c>
      <c r="W2688" s="182" t="n">
        <v>0</v>
      </c>
      <c r="X2688" s="182" t="n">
        <v>0</v>
      </c>
      <c r="Y2688" s="182" t="n">
        <v>0</v>
      </c>
      <c r="Z2688" s="182" t="n">
        <v>0</v>
      </c>
      <c r="AA2688" s="182" t="n">
        <v>0</v>
      </c>
      <c r="AB2688" s="182" t="n">
        <v>0</v>
      </c>
      <c r="AC2688" s="182" t="n">
        <v>0</v>
      </c>
      <c r="AD2688" s="182" t="n">
        <v>0</v>
      </c>
      <c r="AE2688" s="182" t="n">
        <v>0</v>
      </c>
      <c r="AF2688" s="182" t="n">
        <v>0</v>
      </c>
      <c r="AG2688" s="182" t="n">
        <v>0</v>
      </c>
      <c r="AH2688" s="182" t="n">
        <v>0</v>
      </c>
      <c r="AI2688" s="182" t="n">
        <v>0</v>
      </c>
      <c r="AJ2688" s="182" t="n">
        <v>0</v>
      </c>
      <c r="AK2688" s="182" t="n">
        <v>0</v>
      </c>
      <c r="AL2688" s="182" t="n">
        <v>0</v>
      </c>
      <c r="AM2688" s="182" t="n">
        <v>0</v>
      </c>
      <c r="AN2688" s="182" t="n">
        <v>0</v>
      </c>
    </row>
    <row r="2689">
      <c r="A2689" s="155" t="n">
        <v>46094</v>
      </c>
      <c r="B2689" s="156" t="inlineStr">
        <is>
          <t>DS</t>
        </is>
      </c>
      <c r="C2689" s="156" t="inlineStr">
        <is>
          <t>EX-754</t>
        </is>
      </c>
      <c r="D2689" s="156" t="inlineStr">
        <is>
          <t>SY750H-PRO</t>
        </is>
      </c>
      <c r="E2689" s="156" t="inlineStr">
        <is>
          <t>Excavator</t>
        </is>
      </c>
      <c r="F2689" s="156" t="inlineStr">
        <is>
          <t>Loading OB &amp; Coal</t>
        </is>
      </c>
      <c r="G2689" s="182" t="n">
        <v>10.64</v>
      </c>
      <c r="H2689" s="182" t="n">
        <v>0</v>
      </c>
      <c r="I2689" s="182" t="n">
        <v>0.5</v>
      </c>
      <c r="J2689" s="182" t="n">
        <v>0.5</v>
      </c>
      <c r="K2689" s="182" t="n">
        <v>0.86</v>
      </c>
      <c r="L2689" s="182" t="n">
        <v>12</v>
      </c>
      <c r="M2689" s="182" t="n">
        <v>7.17</v>
      </c>
      <c r="N2689" s="182" t="n">
        <v>3.06</v>
      </c>
      <c r="O2689" s="183" t="n">
        <v>137</v>
      </c>
      <c r="P2689" s="183" t="n">
        <v>46</v>
      </c>
      <c r="Q2689" s="184" t="n">
        <v>2794.8</v>
      </c>
      <c r="R2689" s="184" t="n">
        <v>860.2</v>
      </c>
      <c r="S2689" s="183" t="n">
        <v>0</v>
      </c>
      <c r="T2689" s="183" t="n">
        <v>0</v>
      </c>
      <c r="U2689" s="182" t="n">
        <v>0</v>
      </c>
      <c r="V2689" s="182" t="n">
        <v>0</v>
      </c>
      <c r="W2689" s="182" t="n">
        <v>0</v>
      </c>
      <c r="X2689" s="182" t="n">
        <v>0.76</v>
      </c>
      <c r="Y2689" s="182" t="n">
        <v>0</v>
      </c>
      <c r="Z2689" s="182" t="n">
        <v>0</v>
      </c>
      <c r="AA2689" s="182" t="n">
        <v>0</v>
      </c>
      <c r="AB2689" s="182" t="n">
        <v>0</v>
      </c>
      <c r="AC2689" s="182" t="n">
        <v>0</v>
      </c>
      <c r="AD2689" s="182" t="n">
        <v>0</v>
      </c>
      <c r="AE2689" s="182" t="n">
        <v>0</v>
      </c>
      <c r="AF2689" s="182" t="n">
        <v>0</v>
      </c>
      <c r="AG2689" s="182" t="n">
        <v>0</v>
      </c>
      <c r="AH2689" s="182" t="n">
        <v>0</v>
      </c>
      <c r="AI2689" s="182" t="n">
        <v>0</v>
      </c>
      <c r="AJ2689" s="182" t="n">
        <v>0</v>
      </c>
      <c r="AK2689" s="182" t="n">
        <v>0</v>
      </c>
      <c r="AL2689" s="182" t="n">
        <v>0</v>
      </c>
      <c r="AM2689" s="182" t="n">
        <v>0.1</v>
      </c>
      <c r="AN2689" s="182" t="n">
        <v>0</v>
      </c>
    </row>
    <row r="2690">
      <c r="A2690" s="155" t="n">
        <v>46094</v>
      </c>
      <c r="B2690" s="156" t="inlineStr">
        <is>
          <t>DS</t>
        </is>
      </c>
      <c r="C2690" s="156" t="inlineStr">
        <is>
          <t>EX-755</t>
        </is>
      </c>
      <c r="D2690" s="156" t="inlineStr">
        <is>
          <t>SY750H-PRO</t>
        </is>
      </c>
      <c r="E2690" s="156" t="inlineStr">
        <is>
          <t>Excavator</t>
        </is>
      </c>
      <c r="F2690" s="156" t="inlineStr">
        <is>
          <t>Loading OB &amp; General Pembentukan Jalan</t>
        </is>
      </c>
      <c r="G2690" s="182" t="n">
        <v>11.22</v>
      </c>
      <c r="H2690" s="182" t="n">
        <v>0</v>
      </c>
      <c r="I2690" s="182" t="n">
        <v>0</v>
      </c>
      <c r="J2690" s="182" t="n">
        <v>0</v>
      </c>
      <c r="K2690" s="182" t="n">
        <v>0.78</v>
      </c>
      <c r="L2690" s="182" t="n">
        <v>12</v>
      </c>
      <c r="M2690" s="182" t="n">
        <v>2.84</v>
      </c>
      <c r="N2690" s="182" t="n">
        <v>0</v>
      </c>
      <c r="O2690" s="183" t="n">
        <v>39</v>
      </c>
      <c r="P2690" s="183" t="n">
        <v>0</v>
      </c>
      <c r="Q2690" s="184" t="n">
        <v>795.6</v>
      </c>
      <c r="R2690" s="184" t="n">
        <v>0</v>
      </c>
      <c r="S2690" s="183" t="n">
        <v>0</v>
      </c>
      <c r="T2690" s="183" t="n">
        <v>0</v>
      </c>
      <c r="U2690" s="182" t="n">
        <v>0</v>
      </c>
      <c r="V2690" s="182" t="n">
        <v>0</v>
      </c>
      <c r="W2690" s="182" t="n">
        <v>0</v>
      </c>
      <c r="X2690" s="182" t="n">
        <v>0.7</v>
      </c>
      <c r="Y2690" s="182" t="n">
        <v>0</v>
      </c>
      <c r="Z2690" s="182" t="n">
        <v>0</v>
      </c>
      <c r="AA2690" s="182" t="n">
        <v>0</v>
      </c>
      <c r="AB2690" s="182" t="n">
        <v>0</v>
      </c>
      <c r="AC2690" s="182" t="n">
        <v>0</v>
      </c>
      <c r="AD2690" s="182" t="n">
        <v>0</v>
      </c>
      <c r="AE2690" s="182" t="n">
        <v>0</v>
      </c>
      <c r="AF2690" s="182" t="n">
        <v>0</v>
      </c>
      <c r="AG2690" s="182" t="n">
        <v>0</v>
      </c>
      <c r="AH2690" s="182" t="n">
        <v>0</v>
      </c>
      <c r="AI2690" s="182" t="n">
        <v>0</v>
      </c>
      <c r="AJ2690" s="182" t="n">
        <v>0</v>
      </c>
      <c r="AK2690" s="182" t="n">
        <v>0</v>
      </c>
      <c r="AL2690" s="182" t="n">
        <v>0</v>
      </c>
      <c r="AM2690" s="182" t="n">
        <v>0.08</v>
      </c>
      <c r="AN2690" s="182" t="n">
        <v>0</v>
      </c>
    </row>
    <row r="2691">
      <c r="A2691" s="155" t="n">
        <v>46094</v>
      </c>
      <c r="B2691" s="156" t="inlineStr">
        <is>
          <t>DS</t>
        </is>
      </c>
      <c r="C2691" s="156" t="inlineStr">
        <is>
          <t>EX-752</t>
        </is>
      </c>
      <c r="D2691" s="156" t="inlineStr">
        <is>
          <t>SY750H-PRO</t>
        </is>
      </c>
      <c r="E2691" s="156" t="inlineStr">
        <is>
          <t>Excavator</t>
        </is>
      </c>
      <c r="F2691" s="156" t="inlineStr"/>
      <c r="G2691" s="182" t="n">
        <v>0</v>
      </c>
      <c r="H2691" s="182" t="n">
        <v>0</v>
      </c>
      <c r="I2691" s="182" t="n">
        <v>12</v>
      </c>
      <c r="J2691" s="182" t="n">
        <v>12</v>
      </c>
      <c r="K2691" s="182" t="n">
        <v>0</v>
      </c>
      <c r="L2691" s="182" t="n">
        <v>12</v>
      </c>
      <c r="M2691" s="182" t="n">
        <v>0</v>
      </c>
      <c r="N2691" s="182" t="n">
        <v>0</v>
      </c>
      <c r="O2691" s="183" t="n">
        <v>0</v>
      </c>
      <c r="P2691" s="183" t="n">
        <v>0</v>
      </c>
      <c r="Q2691" s="184" t="n">
        <v>0</v>
      </c>
      <c r="R2691" s="184" t="n">
        <v>0</v>
      </c>
      <c r="S2691" s="183" t="n">
        <v>0</v>
      </c>
      <c r="T2691" s="183" t="n">
        <v>0</v>
      </c>
      <c r="U2691" s="182" t="n">
        <v>0</v>
      </c>
      <c r="V2691" s="182" t="n">
        <v>0</v>
      </c>
      <c r="W2691" s="182" t="n">
        <v>0</v>
      </c>
      <c r="X2691" s="182" t="n">
        <v>0</v>
      </c>
      <c r="Y2691" s="182" t="n">
        <v>0</v>
      </c>
      <c r="Z2691" s="182" t="n">
        <v>0</v>
      </c>
      <c r="AA2691" s="182" t="n">
        <v>0</v>
      </c>
      <c r="AB2691" s="182" t="n">
        <v>0</v>
      </c>
      <c r="AC2691" s="182" t="n">
        <v>0</v>
      </c>
      <c r="AD2691" s="182" t="n">
        <v>0</v>
      </c>
      <c r="AE2691" s="182" t="n">
        <v>0</v>
      </c>
      <c r="AF2691" s="182" t="n">
        <v>0</v>
      </c>
      <c r="AG2691" s="182" t="n">
        <v>0</v>
      </c>
      <c r="AH2691" s="182" t="n">
        <v>0</v>
      </c>
      <c r="AI2691" s="182" t="n">
        <v>0</v>
      </c>
      <c r="AJ2691" s="182" t="n">
        <v>0</v>
      </c>
      <c r="AK2691" s="182" t="n">
        <v>0</v>
      </c>
      <c r="AL2691" s="182" t="n">
        <v>0</v>
      </c>
      <c r="AM2691" s="182" t="n">
        <v>0</v>
      </c>
      <c r="AN2691" s="182" t="n">
        <v>0</v>
      </c>
    </row>
    <row r="2692">
      <c r="A2692" s="155" t="n">
        <v>46094</v>
      </c>
      <c r="B2692" s="156" t="inlineStr">
        <is>
          <t>DS</t>
        </is>
      </c>
      <c r="C2692" s="156" t="inlineStr">
        <is>
          <t>EX-751</t>
        </is>
      </c>
      <c r="D2692" s="156" t="inlineStr">
        <is>
          <t>SY750H-PRO</t>
        </is>
      </c>
      <c r="E2692" s="156" t="inlineStr">
        <is>
          <t>Excavator</t>
        </is>
      </c>
      <c r="F2692" s="156" t="inlineStr"/>
      <c r="G2692" s="182" t="n">
        <v>0</v>
      </c>
      <c r="H2692" s="182" t="n">
        <v>0</v>
      </c>
      <c r="I2692" s="182" t="n">
        <v>12</v>
      </c>
      <c r="J2692" s="182" t="n">
        <v>12</v>
      </c>
      <c r="K2692" s="182" t="n">
        <v>0</v>
      </c>
      <c r="L2692" s="182" t="n">
        <v>12</v>
      </c>
      <c r="M2692" s="182" t="n">
        <v>0</v>
      </c>
      <c r="N2692" s="182" t="n">
        <v>0</v>
      </c>
      <c r="O2692" s="183" t="n">
        <v>0</v>
      </c>
      <c r="P2692" s="183" t="n">
        <v>0</v>
      </c>
      <c r="Q2692" s="184" t="n">
        <v>0</v>
      </c>
      <c r="R2692" s="184" t="n">
        <v>0</v>
      </c>
      <c r="S2692" s="183" t="n">
        <v>0</v>
      </c>
      <c r="T2692" s="183" t="n">
        <v>0</v>
      </c>
      <c r="U2692" s="182" t="n">
        <v>0</v>
      </c>
      <c r="V2692" s="182" t="n">
        <v>0</v>
      </c>
      <c r="W2692" s="182" t="n">
        <v>0</v>
      </c>
      <c r="X2692" s="182" t="n">
        <v>0</v>
      </c>
      <c r="Y2692" s="182" t="n">
        <v>0</v>
      </c>
      <c r="Z2692" s="182" t="n">
        <v>0</v>
      </c>
      <c r="AA2692" s="182" t="n">
        <v>0</v>
      </c>
      <c r="AB2692" s="182" t="n">
        <v>0</v>
      </c>
      <c r="AC2692" s="182" t="n">
        <v>0</v>
      </c>
      <c r="AD2692" s="182" t="n">
        <v>0</v>
      </c>
      <c r="AE2692" s="182" t="n">
        <v>0</v>
      </c>
      <c r="AF2692" s="182" t="n">
        <v>0</v>
      </c>
      <c r="AG2692" s="182" t="n">
        <v>0</v>
      </c>
      <c r="AH2692" s="182" t="n">
        <v>0</v>
      </c>
      <c r="AI2692" s="182" t="n">
        <v>0</v>
      </c>
      <c r="AJ2692" s="182" t="n">
        <v>0</v>
      </c>
      <c r="AK2692" s="182" t="n">
        <v>0</v>
      </c>
      <c r="AL2692" s="182" t="n">
        <v>0</v>
      </c>
      <c r="AM2692" s="182" t="n">
        <v>0</v>
      </c>
      <c r="AN2692" s="182" t="n">
        <v>0</v>
      </c>
    </row>
    <row r="2693">
      <c r="A2693" s="155" t="n">
        <v>46094</v>
      </c>
      <c r="B2693" s="156" t="inlineStr">
        <is>
          <t>DS</t>
        </is>
      </c>
      <c r="C2693" s="156" t="inlineStr">
        <is>
          <t>EX-753</t>
        </is>
      </c>
      <c r="D2693" s="156" t="inlineStr">
        <is>
          <t>SY750H-PRO</t>
        </is>
      </c>
      <c r="E2693" s="156" t="inlineStr">
        <is>
          <t>Excavator</t>
        </is>
      </c>
      <c r="F2693" s="156" t="inlineStr">
        <is>
          <t>Loading OB &amp; Coal</t>
        </is>
      </c>
      <c r="G2693" s="182" t="n">
        <v>10.08</v>
      </c>
      <c r="H2693" s="182" t="n">
        <v>0</v>
      </c>
      <c r="I2693" s="182" t="n">
        <v>0</v>
      </c>
      <c r="J2693" s="182" t="n">
        <v>0</v>
      </c>
      <c r="K2693" s="182" t="n">
        <v>1.92</v>
      </c>
      <c r="L2693" s="182" t="n">
        <v>12</v>
      </c>
      <c r="M2693" s="182" t="n">
        <v>8.619999999999999</v>
      </c>
      <c r="N2693" s="182" t="n">
        <v>0.97</v>
      </c>
      <c r="O2693" s="183" t="n">
        <v>166</v>
      </c>
      <c r="P2693" s="183" t="n">
        <v>10</v>
      </c>
      <c r="Q2693" s="184" t="n">
        <v>3386.4</v>
      </c>
      <c r="R2693" s="184" t="n">
        <v>187</v>
      </c>
      <c r="S2693" s="183" t="n">
        <v>0</v>
      </c>
      <c r="T2693" s="183" t="n">
        <v>0</v>
      </c>
      <c r="U2693" s="182" t="n">
        <v>0</v>
      </c>
      <c r="V2693" s="182" t="n">
        <v>0</v>
      </c>
      <c r="W2693" s="182" t="n">
        <v>0</v>
      </c>
      <c r="X2693" s="182" t="n">
        <v>1.19</v>
      </c>
      <c r="Y2693" s="182" t="n">
        <v>0</v>
      </c>
      <c r="Z2693" s="182" t="n">
        <v>0</v>
      </c>
      <c r="AA2693" s="182" t="n">
        <v>0</v>
      </c>
      <c r="AB2693" s="182" t="n">
        <v>0</v>
      </c>
      <c r="AC2693" s="182" t="n">
        <v>0</v>
      </c>
      <c r="AD2693" s="182" t="n">
        <v>0</v>
      </c>
      <c r="AE2693" s="182" t="n">
        <v>0</v>
      </c>
      <c r="AF2693" s="182" t="n">
        <v>0</v>
      </c>
      <c r="AG2693" s="182" t="n">
        <v>0</v>
      </c>
      <c r="AH2693" s="182" t="n">
        <v>0.63</v>
      </c>
      <c r="AI2693" s="182" t="n">
        <v>0</v>
      </c>
      <c r="AJ2693" s="182" t="n">
        <v>0</v>
      </c>
      <c r="AK2693" s="182" t="n">
        <v>0</v>
      </c>
      <c r="AL2693" s="182" t="n">
        <v>0</v>
      </c>
      <c r="AM2693" s="182" t="n">
        <v>0.1</v>
      </c>
      <c r="AN2693" s="182" t="n">
        <v>0</v>
      </c>
    </row>
    <row r="2694">
      <c r="A2694" s="155" t="n">
        <v>46094</v>
      </c>
      <c r="B2694" s="156" t="inlineStr">
        <is>
          <t>DS</t>
        </is>
      </c>
      <c r="C2694" s="156" t="inlineStr">
        <is>
          <t>GD-012</t>
        </is>
      </c>
      <c r="D2694" s="156" t="inlineStr">
        <is>
          <t>STG 230C - 8S</t>
        </is>
      </c>
      <c r="E2694" s="156" t="inlineStr">
        <is>
          <t>Grader</t>
        </is>
      </c>
      <c r="F2694" s="156" t="inlineStr"/>
      <c r="G2694" s="182" t="n">
        <v>0</v>
      </c>
      <c r="H2694" s="182" t="n">
        <v>0</v>
      </c>
      <c r="I2694" s="182" t="n">
        <v>0</v>
      </c>
      <c r="J2694" s="182" t="n">
        <v>0</v>
      </c>
      <c r="K2694" s="182" t="n">
        <v>12</v>
      </c>
      <c r="L2694" s="182" t="n">
        <v>12</v>
      </c>
      <c r="M2694" s="182" t="n">
        <v>0</v>
      </c>
      <c r="N2694" s="182" t="n">
        <v>0</v>
      </c>
      <c r="O2694" s="183" t="n">
        <v>0</v>
      </c>
      <c r="P2694" s="183" t="n">
        <v>0</v>
      </c>
      <c r="Q2694" s="184" t="n">
        <v>0</v>
      </c>
      <c r="R2694" s="184" t="n">
        <v>0</v>
      </c>
      <c r="S2694" s="183" t="n">
        <v>0</v>
      </c>
      <c r="T2694" s="183" t="n">
        <v>0</v>
      </c>
      <c r="U2694" s="182" t="n">
        <v>0</v>
      </c>
      <c r="V2694" s="182" t="n">
        <v>0</v>
      </c>
      <c r="W2694" s="182" t="n">
        <v>0</v>
      </c>
      <c r="X2694" s="182" t="n">
        <v>1</v>
      </c>
      <c r="Y2694" s="182" t="n">
        <v>0</v>
      </c>
      <c r="Z2694" s="182" t="n">
        <v>0</v>
      </c>
      <c r="AA2694" s="182" t="n">
        <v>0</v>
      </c>
      <c r="AB2694" s="182" t="n">
        <v>0</v>
      </c>
      <c r="AC2694" s="182" t="n">
        <v>0</v>
      </c>
      <c r="AD2694" s="182" t="n">
        <v>0</v>
      </c>
      <c r="AE2694" s="182" t="n">
        <v>0</v>
      </c>
      <c r="AF2694" s="182" t="n">
        <v>0</v>
      </c>
      <c r="AG2694" s="182" t="n">
        <v>0</v>
      </c>
      <c r="AH2694" s="182" t="n">
        <v>0</v>
      </c>
      <c r="AI2694" s="182" t="n">
        <v>0</v>
      </c>
      <c r="AJ2694" s="182" t="n">
        <v>0</v>
      </c>
      <c r="AK2694" s="182" t="n">
        <v>10.92</v>
      </c>
      <c r="AL2694" s="182" t="n">
        <v>0</v>
      </c>
      <c r="AM2694" s="182" t="n">
        <v>0.08</v>
      </c>
      <c r="AN2694" s="182" t="n">
        <v>0</v>
      </c>
    </row>
    <row r="2695">
      <c r="A2695" s="155" t="n">
        <v>46094</v>
      </c>
      <c r="B2695" s="156" t="inlineStr">
        <is>
          <t>DS</t>
        </is>
      </c>
      <c r="C2695" s="156" t="inlineStr">
        <is>
          <t>GD-011</t>
        </is>
      </c>
      <c r="D2695" s="156" t="inlineStr">
        <is>
          <t>STG 230C - 8S</t>
        </is>
      </c>
      <c r="E2695" s="156" t="inlineStr">
        <is>
          <t>Grader</t>
        </is>
      </c>
      <c r="F2695" s="156" t="inlineStr"/>
      <c r="G2695" s="182" t="n">
        <v>0</v>
      </c>
      <c r="H2695" s="182" t="n">
        <v>0</v>
      </c>
      <c r="I2695" s="182" t="n">
        <v>12</v>
      </c>
      <c r="J2695" s="182" t="n">
        <v>12</v>
      </c>
      <c r="K2695" s="182" t="n">
        <v>0</v>
      </c>
      <c r="L2695" s="182" t="n">
        <v>12</v>
      </c>
      <c r="M2695" s="182" t="n">
        <v>0</v>
      </c>
      <c r="N2695" s="182" t="n">
        <v>0</v>
      </c>
      <c r="O2695" s="183" t="n">
        <v>0</v>
      </c>
      <c r="P2695" s="183" t="n">
        <v>0</v>
      </c>
      <c r="Q2695" s="184" t="n">
        <v>0</v>
      </c>
      <c r="R2695" s="184" t="n">
        <v>0</v>
      </c>
      <c r="S2695" s="183" t="n">
        <v>0</v>
      </c>
      <c r="T2695" s="183" t="n">
        <v>0</v>
      </c>
      <c r="U2695" s="182" t="n">
        <v>0</v>
      </c>
      <c r="V2695" s="182" t="n">
        <v>0</v>
      </c>
      <c r="W2695" s="182" t="n">
        <v>0</v>
      </c>
      <c r="X2695" s="182" t="n">
        <v>0</v>
      </c>
      <c r="Y2695" s="182" t="n">
        <v>0</v>
      </c>
      <c r="Z2695" s="182" t="n">
        <v>0</v>
      </c>
      <c r="AA2695" s="182" t="n">
        <v>0</v>
      </c>
      <c r="AB2695" s="182" t="n">
        <v>0</v>
      </c>
      <c r="AC2695" s="182" t="n">
        <v>0</v>
      </c>
      <c r="AD2695" s="182" t="n">
        <v>0</v>
      </c>
      <c r="AE2695" s="182" t="n">
        <v>0</v>
      </c>
      <c r="AF2695" s="182" t="n">
        <v>0</v>
      </c>
      <c r="AG2695" s="182" t="n">
        <v>0</v>
      </c>
      <c r="AH2695" s="182" t="n">
        <v>0</v>
      </c>
      <c r="AI2695" s="182" t="n">
        <v>0</v>
      </c>
      <c r="AJ2695" s="182" t="n">
        <v>0</v>
      </c>
      <c r="AK2695" s="182" t="n">
        <v>0</v>
      </c>
      <c r="AL2695" s="182" t="n">
        <v>0</v>
      </c>
      <c r="AM2695" s="182" t="n">
        <v>0</v>
      </c>
      <c r="AN2695" s="182" t="n">
        <v>0</v>
      </c>
    </row>
    <row r="2696">
      <c r="A2696" s="155" t="n">
        <v>46094</v>
      </c>
      <c r="B2696" s="156" t="inlineStr">
        <is>
          <t>DS</t>
        </is>
      </c>
      <c r="C2696" s="156" t="inlineStr">
        <is>
          <t>GD-013</t>
        </is>
      </c>
      <c r="D2696" s="156" t="inlineStr">
        <is>
          <t>STG 265C - 10</t>
        </is>
      </c>
      <c r="E2696" s="156" t="inlineStr">
        <is>
          <t>Grader</t>
        </is>
      </c>
      <c r="F2696" s="156" t="inlineStr">
        <is>
          <t>Road Maintenance</t>
        </is>
      </c>
      <c r="G2696" s="182" t="n">
        <v>11.05</v>
      </c>
      <c r="H2696" s="182" t="n">
        <v>0</v>
      </c>
      <c r="I2696" s="182" t="n">
        <v>0</v>
      </c>
      <c r="J2696" s="182" t="n">
        <v>0</v>
      </c>
      <c r="K2696" s="182" t="n">
        <v>0.95</v>
      </c>
      <c r="L2696" s="182" t="n">
        <v>12</v>
      </c>
      <c r="M2696" s="182" t="n">
        <v>0</v>
      </c>
      <c r="N2696" s="182" t="n">
        <v>0</v>
      </c>
      <c r="O2696" s="183" t="n">
        <v>0</v>
      </c>
      <c r="P2696" s="183" t="n">
        <v>0</v>
      </c>
      <c r="Q2696" s="184" t="n">
        <v>0</v>
      </c>
      <c r="R2696" s="184" t="n">
        <v>0</v>
      </c>
      <c r="S2696" s="183" t="n">
        <v>0</v>
      </c>
      <c r="T2696" s="183" t="n">
        <v>0</v>
      </c>
      <c r="U2696" s="182" t="n">
        <v>0</v>
      </c>
      <c r="V2696" s="182" t="n">
        <v>0</v>
      </c>
      <c r="W2696" s="182" t="n">
        <v>0</v>
      </c>
      <c r="X2696" s="182" t="n">
        <v>0.85</v>
      </c>
      <c r="Y2696" s="182" t="n">
        <v>0</v>
      </c>
      <c r="Z2696" s="182" t="n">
        <v>0</v>
      </c>
      <c r="AA2696" s="182" t="n">
        <v>0</v>
      </c>
      <c r="AB2696" s="182" t="n">
        <v>0</v>
      </c>
      <c r="AC2696" s="182" t="n">
        <v>0</v>
      </c>
      <c r="AD2696" s="182" t="n">
        <v>0</v>
      </c>
      <c r="AE2696" s="182" t="n">
        <v>0</v>
      </c>
      <c r="AF2696" s="182" t="n">
        <v>0</v>
      </c>
      <c r="AG2696" s="182" t="n">
        <v>0</v>
      </c>
      <c r="AH2696" s="182" t="n">
        <v>0</v>
      </c>
      <c r="AI2696" s="182" t="n">
        <v>0</v>
      </c>
      <c r="AJ2696" s="182" t="n">
        <v>0</v>
      </c>
      <c r="AK2696" s="182" t="n">
        <v>0</v>
      </c>
      <c r="AL2696" s="182" t="n">
        <v>0</v>
      </c>
      <c r="AM2696" s="182" t="n">
        <v>0.09</v>
      </c>
      <c r="AN2696" s="182" t="n">
        <v>0</v>
      </c>
    </row>
    <row r="2697">
      <c r="A2697" s="155" t="n">
        <v>46094</v>
      </c>
      <c r="B2697" s="156" t="inlineStr">
        <is>
          <t>DS</t>
        </is>
      </c>
      <c r="C2697" s="156" t="inlineStr">
        <is>
          <t>GD-014</t>
        </is>
      </c>
      <c r="D2697" s="156" t="inlineStr">
        <is>
          <t>STG 335C - 10</t>
        </is>
      </c>
      <c r="E2697" s="156" t="inlineStr">
        <is>
          <t>Grader</t>
        </is>
      </c>
      <c r="F2697" s="156" t="inlineStr">
        <is>
          <t>Road Maintenance</t>
        </is>
      </c>
      <c r="G2697" s="182" t="n">
        <v>7.19</v>
      </c>
      <c r="H2697" s="182" t="n">
        <v>0</v>
      </c>
      <c r="I2697" s="182" t="n">
        <v>3.85</v>
      </c>
      <c r="J2697" s="182" t="n">
        <v>3.85</v>
      </c>
      <c r="K2697" s="182" t="n">
        <v>0.96</v>
      </c>
      <c r="L2697" s="182" t="n">
        <v>12</v>
      </c>
      <c r="M2697" s="182" t="n">
        <v>0</v>
      </c>
      <c r="N2697" s="182" t="n">
        <v>0</v>
      </c>
      <c r="O2697" s="183" t="n">
        <v>0</v>
      </c>
      <c r="P2697" s="183" t="n">
        <v>0</v>
      </c>
      <c r="Q2697" s="184" t="n">
        <v>0</v>
      </c>
      <c r="R2697" s="184" t="n">
        <v>0</v>
      </c>
      <c r="S2697" s="183" t="n">
        <v>0</v>
      </c>
      <c r="T2697" s="183" t="n">
        <v>0</v>
      </c>
      <c r="U2697" s="182" t="n">
        <v>0</v>
      </c>
      <c r="V2697" s="182" t="n">
        <v>0</v>
      </c>
      <c r="W2697" s="182" t="n">
        <v>0</v>
      </c>
      <c r="X2697" s="182" t="n">
        <v>0.84</v>
      </c>
      <c r="Y2697" s="182" t="n">
        <v>0</v>
      </c>
      <c r="Z2697" s="182" t="n">
        <v>0</v>
      </c>
      <c r="AA2697" s="182" t="n">
        <v>0</v>
      </c>
      <c r="AB2697" s="182" t="n">
        <v>0</v>
      </c>
      <c r="AC2697" s="182" t="n">
        <v>0</v>
      </c>
      <c r="AD2697" s="182" t="n">
        <v>0</v>
      </c>
      <c r="AE2697" s="182" t="n">
        <v>0</v>
      </c>
      <c r="AF2697" s="182" t="n">
        <v>0</v>
      </c>
      <c r="AG2697" s="182" t="n">
        <v>0</v>
      </c>
      <c r="AH2697" s="182" t="n">
        <v>0</v>
      </c>
      <c r="AI2697" s="182" t="n">
        <v>0</v>
      </c>
      <c r="AJ2697" s="182" t="n">
        <v>0</v>
      </c>
      <c r="AK2697" s="182" t="n">
        <v>0</v>
      </c>
      <c r="AL2697" s="182" t="n">
        <v>0</v>
      </c>
      <c r="AM2697" s="182" t="n">
        <v>0.12</v>
      </c>
      <c r="AN2697" s="182" t="n">
        <v>0</v>
      </c>
    </row>
    <row r="2698">
      <c r="A2698" s="155" t="n">
        <v>46094</v>
      </c>
      <c r="B2698" s="156" t="inlineStr">
        <is>
          <t>DS</t>
        </is>
      </c>
      <c r="C2698" s="156" t="inlineStr">
        <is>
          <t>DT-809</t>
        </is>
      </c>
      <c r="D2698" s="156" t="inlineStr">
        <is>
          <t>SKT 80S</t>
        </is>
      </c>
      <c r="E2698" s="156" t="inlineStr">
        <is>
          <t>Hauler</t>
        </is>
      </c>
      <c r="F2698" s="156" t="inlineStr"/>
      <c r="G2698" s="182" t="n">
        <v>0</v>
      </c>
      <c r="H2698" s="182" t="n">
        <v>0</v>
      </c>
      <c r="I2698" s="182" t="n">
        <v>12</v>
      </c>
      <c r="J2698" s="182" t="n">
        <v>12</v>
      </c>
      <c r="K2698" s="182" t="n">
        <v>0</v>
      </c>
      <c r="L2698" s="182" t="n">
        <v>12</v>
      </c>
      <c r="M2698" s="182" t="n">
        <v>0</v>
      </c>
      <c r="N2698" s="182" t="n">
        <v>0</v>
      </c>
      <c r="O2698" s="183" t="n">
        <v>0</v>
      </c>
      <c r="P2698" s="183" t="n">
        <v>0</v>
      </c>
      <c r="Q2698" s="184" t="n">
        <v>0</v>
      </c>
      <c r="R2698" s="184" t="n">
        <v>0</v>
      </c>
      <c r="S2698" s="183" t="n">
        <v>0</v>
      </c>
      <c r="T2698" s="183" t="n">
        <v>0</v>
      </c>
      <c r="U2698" s="182" t="n">
        <v>0</v>
      </c>
      <c r="V2698" s="182" t="n">
        <v>0</v>
      </c>
      <c r="W2698" s="182" t="n">
        <v>0</v>
      </c>
      <c r="X2698" s="182" t="n">
        <v>0</v>
      </c>
      <c r="Y2698" s="182" t="n">
        <v>0</v>
      </c>
      <c r="Z2698" s="182" t="n">
        <v>0</v>
      </c>
      <c r="AA2698" s="182" t="n">
        <v>0</v>
      </c>
      <c r="AB2698" s="182" t="n">
        <v>0</v>
      </c>
      <c r="AC2698" s="182" t="n">
        <v>0</v>
      </c>
      <c r="AD2698" s="182" t="n">
        <v>0</v>
      </c>
      <c r="AE2698" s="182" t="n">
        <v>0</v>
      </c>
      <c r="AF2698" s="182" t="n">
        <v>0</v>
      </c>
      <c r="AG2698" s="182" t="n">
        <v>0</v>
      </c>
      <c r="AH2698" s="182" t="n">
        <v>0</v>
      </c>
      <c r="AI2698" s="182" t="n">
        <v>0</v>
      </c>
      <c r="AJ2698" s="182" t="n">
        <v>0</v>
      </c>
      <c r="AK2698" s="182" t="n">
        <v>0</v>
      </c>
      <c r="AL2698" s="182" t="n">
        <v>0</v>
      </c>
      <c r="AM2698" s="182" t="n">
        <v>0</v>
      </c>
      <c r="AN2698" s="182" t="n">
        <v>0</v>
      </c>
    </row>
    <row r="2699">
      <c r="A2699" s="155" t="n">
        <v>46094</v>
      </c>
      <c r="B2699" s="156" t="inlineStr">
        <is>
          <t>DS</t>
        </is>
      </c>
      <c r="C2699" s="156" t="inlineStr">
        <is>
          <t>DT-806</t>
        </is>
      </c>
      <c r="D2699" s="156" t="inlineStr">
        <is>
          <t>SKT 80S</t>
        </is>
      </c>
      <c r="E2699" s="156" t="inlineStr">
        <is>
          <t>Hauler</t>
        </is>
      </c>
      <c r="F2699" s="156" t="inlineStr"/>
      <c r="G2699" s="182" t="n">
        <v>0</v>
      </c>
      <c r="H2699" s="182" t="n">
        <v>0</v>
      </c>
      <c r="I2699" s="182" t="n">
        <v>12</v>
      </c>
      <c r="J2699" s="182" t="n">
        <v>12</v>
      </c>
      <c r="K2699" s="182" t="n">
        <v>0</v>
      </c>
      <c r="L2699" s="182" t="n">
        <v>12</v>
      </c>
      <c r="M2699" s="182" t="n">
        <v>0</v>
      </c>
      <c r="N2699" s="182" t="n">
        <v>0</v>
      </c>
      <c r="O2699" s="183" t="n">
        <v>0</v>
      </c>
      <c r="P2699" s="183" t="n">
        <v>0</v>
      </c>
      <c r="Q2699" s="184" t="n">
        <v>0</v>
      </c>
      <c r="R2699" s="184" t="n">
        <v>0</v>
      </c>
      <c r="S2699" s="183" t="n">
        <v>0</v>
      </c>
      <c r="T2699" s="183" t="n">
        <v>0</v>
      </c>
      <c r="U2699" s="182" t="n">
        <v>0</v>
      </c>
      <c r="V2699" s="182" t="n">
        <v>0</v>
      </c>
      <c r="W2699" s="182" t="n">
        <v>0</v>
      </c>
      <c r="X2699" s="182" t="n">
        <v>0</v>
      </c>
      <c r="Y2699" s="182" t="n">
        <v>0</v>
      </c>
      <c r="Z2699" s="182" t="n">
        <v>0</v>
      </c>
      <c r="AA2699" s="182" t="n">
        <v>0</v>
      </c>
      <c r="AB2699" s="182" t="n">
        <v>0</v>
      </c>
      <c r="AC2699" s="182" t="n">
        <v>0</v>
      </c>
      <c r="AD2699" s="182" t="n">
        <v>0</v>
      </c>
      <c r="AE2699" s="182" t="n">
        <v>0</v>
      </c>
      <c r="AF2699" s="182" t="n">
        <v>0</v>
      </c>
      <c r="AG2699" s="182" t="n">
        <v>0</v>
      </c>
      <c r="AH2699" s="182" t="n">
        <v>0</v>
      </c>
      <c r="AI2699" s="182" t="n">
        <v>0</v>
      </c>
      <c r="AJ2699" s="182" t="n">
        <v>0</v>
      </c>
      <c r="AK2699" s="182" t="n">
        <v>0</v>
      </c>
      <c r="AL2699" s="182" t="n">
        <v>0</v>
      </c>
      <c r="AM2699" s="182" t="n">
        <v>0</v>
      </c>
      <c r="AN2699" s="182" t="n">
        <v>0</v>
      </c>
    </row>
    <row r="2700">
      <c r="A2700" s="155" t="n">
        <v>46094</v>
      </c>
      <c r="B2700" s="156" t="inlineStr">
        <is>
          <t>DS</t>
        </is>
      </c>
      <c r="C2700" s="156" t="inlineStr">
        <is>
          <t>DT-805</t>
        </is>
      </c>
      <c r="D2700" s="156" t="inlineStr">
        <is>
          <t>SKT 80S</t>
        </is>
      </c>
      <c r="E2700" s="156" t="inlineStr">
        <is>
          <t>Hauler</t>
        </is>
      </c>
      <c r="F2700" s="156" t="inlineStr"/>
      <c r="G2700" s="182" t="n">
        <v>0</v>
      </c>
      <c r="H2700" s="182" t="n">
        <v>0</v>
      </c>
      <c r="I2700" s="182" t="n">
        <v>12</v>
      </c>
      <c r="J2700" s="182" t="n">
        <v>12</v>
      </c>
      <c r="K2700" s="182" t="n">
        <v>0</v>
      </c>
      <c r="L2700" s="182" t="n">
        <v>12</v>
      </c>
      <c r="M2700" s="182" t="n">
        <v>0</v>
      </c>
      <c r="N2700" s="182" t="n">
        <v>0</v>
      </c>
      <c r="O2700" s="183" t="n">
        <v>0</v>
      </c>
      <c r="P2700" s="183" t="n">
        <v>0</v>
      </c>
      <c r="Q2700" s="184" t="n">
        <v>0</v>
      </c>
      <c r="R2700" s="184" t="n">
        <v>0</v>
      </c>
      <c r="S2700" s="183" t="n">
        <v>0</v>
      </c>
      <c r="T2700" s="183" t="n">
        <v>0</v>
      </c>
      <c r="U2700" s="182" t="n">
        <v>0</v>
      </c>
      <c r="V2700" s="182" t="n">
        <v>0</v>
      </c>
      <c r="W2700" s="182" t="n">
        <v>0</v>
      </c>
      <c r="X2700" s="182" t="n">
        <v>0</v>
      </c>
      <c r="Y2700" s="182" t="n">
        <v>0</v>
      </c>
      <c r="Z2700" s="182" t="n">
        <v>0</v>
      </c>
      <c r="AA2700" s="182" t="n">
        <v>0</v>
      </c>
      <c r="AB2700" s="182" t="n">
        <v>0</v>
      </c>
      <c r="AC2700" s="182" t="n">
        <v>0</v>
      </c>
      <c r="AD2700" s="182" t="n">
        <v>0</v>
      </c>
      <c r="AE2700" s="182" t="n">
        <v>0</v>
      </c>
      <c r="AF2700" s="182" t="n">
        <v>0</v>
      </c>
      <c r="AG2700" s="182" t="n">
        <v>0</v>
      </c>
      <c r="AH2700" s="182" t="n">
        <v>0</v>
      </c>
      <c r="AI2700" s="182" t="n">
        <v>0</v>
      </c>
      <c r="AJ2700" s="182" t="n">
        <v>0</v>
      </c>
      <c r="AK2700" s="182" t="n">
        <v>0</v>
      </c>
      <c r="AL2700" s="182" t="n">
        <v>0</v>
      </c>
      <c r="AM2700" s="182" t="n">
        <v>0</v>
      </c>
      <c r="AN2700" s="182" t="n">
        <v>0</v>
      </c>
    </row>
    <row r="2701">
      <c r="A2701" s="155" t="n">
        <v>46094</v>
      </c>
      <c r="B2701" s="156" t="inlineStr">
        <is>
          <t>DS</t>
        </is>
      </c>
      <c r="C2701" s="156" t="inlineStr">
        <is>
          <t>DT-801</t>
        </is>
      </c>
      <c r="D2701" s="156" t="inlineStr">
        <is>
          <t>SKT 80S</t>
        </is>
      </c>
      <c r="E2701" s="156" t="inlineStr">
        <is>
          <t>Hauler</t>
        </is>
      </c>
      <c r="F2701" s="156" t="inlineStr"/>
      <c r="G2701" s="182" t="n">
        <v>0</v>
      </c>
      <c r="H2701" s="182" t="n">
        <v>0</v>
      </c>
      <c r="I2701" s="182" t="n">
        <v>12</v>
      </c>
      <c r="J2701" s="182" t="n">
        <v>12</v>
      </c>
      <c r="K2701" s="182" t="n">
        <v>0</v>
      </c>
      <c r="L2701" s="182" t="n">
        <v>12</v>
      </c>
      <c r="M2701" s="182" t="n">
        <v>0</v>
      </c>
      <c r="N2701" s="182" t="n">
        <v>0</v>
      </c>
      <c r="O2701" s="183" t="n">
        <v>0</v>
      </c>
      <c r="P2701" s="183" t="n">
        <v>0</v>
      </c>
      <c r="Q2701" s="184" t="n">
        <v>0</v>
      </c>
      <c r="R2701" s="184" t="n">
        <v>0</v>
      </c>
      <c r="S2701" s="183" t="n">
        <v>0</v>
      </c>
      <c r="T2701" s="183" t="n">
        <v>0</v>
      </c>
      <c r="U2701" s="182" t="n">
        <v>0</v>
      </c>
      <c r="V2701" s="182" t="n">
        <v>0</v>
      </c>
      <c r="W2701" s="182" t="n">
        <v>0</v>
      </c>
      <c r="X2701" s="182" t="n">
        <v>0</v>
      </c>
      <c r="Y2701" s="182" t="n">
        <v>0</v>
      </c>
      <c r="Z2701" s="182" t="n">
        <v>0</v>
      </c>
      <c r="AA2701" s="182" t="n">
        <v>0</v>
      </c>
      <c r="AB2701" s="182" t="n">
        <v>0</v>
      </c>
      <c r="AC2701" s="182" t="n">
        <v>0</v>
      </c>
      <c r="AD2701" s="182" t="n">
        <v>0</v>
      </c>
      <c r="AE2701" s="182" t="n">
        <v>0</v>
      </c>
      <c r="AF2701" s="182" t="n">
        <v>0</v>
      </c>
      <c r="AG2701" s="182" t="n">
        <v>0</v>
      </c>
      <c r="AH2701" s="182" t="n">
        <v>0</v>
      </c>
      <c r="AI2701" s="182" t="n">
        <v>0</v>
      </c>
      <c r="AJ2701" s="182" t="n">
        <v>0</v>
      </c>
      <c r="AK2701" s="182" t="n">
        <v>0</v>
      </c>
      <c r="AL2701" s="182" t="n">
        <v>0</v>
      </c>
      <c r="AM2701" s="182" t="n">
        <v>0</v>
      </c>
      <c r="AN2701" s="182" t="n">
        <v>0</v>
      </c>
    </row>
    <row r="2702">
      <c r="A2702" s="155" t="n">
        <v>46094</v>
      </c>
      <c r="B2702" s="156" t="inlineStr">
        <is>
          <t>DS</t>
        </is>
      </c>
      <c r="C2702" s="156" t="inlineStr">
        <is>
          <t>DT-808</t>
        </is>
      </c>
      <c r="D2702" s="156" t="inlineStr">
        <is>
          <t>SKT 80S</t>
        </is>
      </c>
      <c r="E2702" s="156" t="inlineStr">
        <is>
          <t>Hauler</t>
        </is>
      </c>
      <c r="F2702" s="156" t="inlineStr">
        <is>
          <t>Support Washing Plant</t>
        </is>
      </c>
      <c r="G2702" s="182" t="n">
        <v>8.960000000000001</v>
      </c>
      <c r="H2702" s="182" t="n">
        <v>0</v>
      </c>
      <c r="I2702" s="182" t="n">
        <v>0</v>
      </c>
      <c r="J2702" s="182" t="n">
        <v>0</v>
      </c>
      <c r="K2702" s="182" t="n">
        <v>3.04</v>
      </c>
      <c r="L2702" s="182" t="n">
        <v>12</v>
      </c>
      <c r="M2702" s="182" t="n">
        <v>0</v>
      </c>
      <c r="N2702" s="182" t="n">
        <v>0</v>
      </c>
      <c r="O2702" s="183" t="n">
        <v>0</v>
      </c>
      <c r="P2702" s="183" t="n">
        <v>0</v>
      </c>
      <c r="Q2702" s="184" t="n">
        <v>0</v>
      </c>
      <c r="R2702" s="184" t="n">
        <v>0</v>
      </c>
      <c r="S2702" s="183" t="n">
        <v>0</v>
      </c>
      <c r="T2702" s="183" t="n">
        <v>0</v>
      </c>
      <c r="U2702" s="182" t="n">
        <v>0</v>
      </c>
      <c r="V2702" s="182" t="n">
        <v>0</v>
      </c>
      <c r="W2702" s="182" t="n">
        <v>0</v>
      </c>
      <c r="X2702" s="182" t="n">
        <v>0.98</v>
      </c>
      <c r="Y2702" s="182" t="n">
        <v>0</v>
      </c>
      <c r="Z2702" s="182" t="n">
        <v>0</v>
      </c>
      <c r="AA2702" s="182" t="n">
        <v>0</v>
      </c>
      <c r="AB2702" s="182" t="n">
        <v>0</v>
      </c>
      <c r="AC2702" s="182" t="n">
        <v>0</v>
      </c>
      <c r="AD2702" s="182" t="n">
        <v>0</v>
      </c>
      <c r="AE2702" s="182" t="n">
        <v>0</v>
      </c>
      <c r="AF2702" s="182" t="n">
        <v>0</v>
      </c>
      <c r="AG2702" s="182" t="n">
        <v>0</v>
      </c>
      <c r="AH2702" s="182" t="n">
        <v>0</v>
      </c>
      <c r="AI2702" s="182" t="n">
        <v>0</v>
      </c>
      <c r="AJ2702" s="182" t="n">
        <v>0</v>
      </c>
      <c r="AK2702" s="182" t="n">
        <v>1.98</v>
      </c>
      <c r="AL2702" s="182" t="n">
        <v>0</v>
      </c>
      <c r="AM2702" s="182" t="n">
        <v>0.08</v>
      </c>
      <c r="AN2702" s="182" t="n">
        <v>0</v>
      </c>
    </row>
    <row r="2703">
      <c r="A2703" s="155" t="n">
        <v>46094</v>
      </c>
      <c r="B2703" s="156" t="inlineStr">
        <is>
          <t>DS</t>
        </is>
      </c>
      <c r="C2703" s="156" t="inlineStr">
        <is>
          <t>DT-811</t>
        </is>
      </c>
      <c r="D2703" s="156" t="inlineStr">
        <is>
          <t>SKT 80S</t>
        </is>
      </c>
      <c r="E2703" s="156" t="inlineStr">
        <is>
          <t>Hauler</t>
        </is>
      </c>
      <c r="F2703" s="156" t="inlineStr">
        <is>
          <t>Support Washing Plant</t>
        </is>
      </c>
      <c r="G2703" s="182" t="n">
        <v>8.210000000000001</v>
      </c>
      <c r="H2703" s="182" t="n">
        <v>0</v>
      </c>
      <c r="I2703" s="182" t="n">
        <v>0</v>
      </c>
      <c r="J2703" s="182" t="n">
        <v>0</v>
      </c>
      <c r="K2703" s="182" t="n">
        <v>3.79</v>
      </c>
      <c r="L2703" s="182" t="n">
        <v>12</v>
      </c>
      <c r="M2703" s="182" t="n">
        <v>0</v>
      </c>
      <c r="N2703" s="182" t="n">
        <v>0</v>
      </c>
      <c r="O2703" s="183" t="n">
        <v>0</v>
      </c>
      <c r="P2703" s="183" t="n">
        <v>0</v>
      </c>
      <c r="Q2703" s="184" t="n">
        <v>0</v>
      </c>
      <c r="R2703" s="184" t="n">
        <v>0</v>
      </c>
      <c r="S2703" s="183" t="n">
        <v>21</v>
      </c>
      <c r="T2703" s="183" t="n">
        <v>0</v>
      </c>
      <c r="U2703" s="182" t="n">
        <v>0</v>
      </c>
      <c r="V2703" s="182" t="n">
        <v>0</v>
      </c>
      <c r="W2703" s="182" t="n">
        <v>0</v>
      </c>
      <c r="X2703" s="182" t="n">
        <v>1.02</v>
      </c>
      <c r="Y2703" s="182" t="n">
        <v>0</v>
      </c>
      <c r="Z2703" s="182" t="n">
        <v>0</v>
      </c>
      <c r="AA2703" s="182" t="n">
        <v>0</v>
      </c>
      <c r="AB2703" s="182" t="n">
        <v>0</v>
      </c>
      <c r="AC2703" s="182" t="n">
        <v>0</v>
      </c>
      <c r="AD2703" s="182" t="n">
        <v>0</v>
      </c>
      <c r="AE2703" s="182" t="n">
        <v>0</v>
      </c>
      <c r="AF2703" s="182" t="n">
        <v>0</v>
      </c>
      <c r="AG2703" s="182" t="n">
        <v>0</v>
      </c>
      <c r="AH2703" s="182" t="n">
        <v>0</v>
      </c>
      <c r="AI2703" s="182" t="n">
        <v>0</v>
      </c>
      <c r="AJ2703" s="182" t="n">
        <v>0</v>
      </c>
      <c r="AK2703" s="182" t="n">
        <v>2.68</v>
      </c>
      <c r="AL2703" s="182" t="n">
        <v>0</v>
      </c>
      <c r="AM2703" s="182" t="n">
        <v>0.08</v>
      </c>
      <c r="AN2703" s="182" t="n">
        <v>0</v>
      </c>
    </row>
    <row r="2704">
      <c r="A2704" s="155" t="n">
        <v>46094</v>
      </c>
      <c r="B2704" s="156" t="inlineStr">
        <is>
          <t>DS</t>
        </is>
      </c>
      <c r="C2704" s="156" t="inlineStr">
        <is>
          <t>DT-802</t>
        </is>
      </c>
      <c r="D2704" s="156" t="inlineStr">
        <is>
          <t>SKT 80S</t>
        </is>
      </c>
      <c r="E2704" s="156" t="inlineStr">
        <is>
          <t>Hauler</t>
        </is>
      </c>
      <c r="F2704" s="156" t="inlineStr"/>
      <c r="G2704" s="182" t="n">
        <v>0</v>
      </c>
      <c r="H2704" s="182" t="n">
        <v>0</v>
      </c>
      <c r="I2704" s="182" t="n">
        <v>0</v>
      </c>
      <c r="J2704" s="182" t="n">
        <v>0</v>
      </c>
      <c r="K2704" s="182" t="n">
        <v>12</v>
      </c>
      <c r="L2704" s="182" t="n">
        <v>12</v>
      </c>
      <c r="M2704" s="182" t="n">
        <v>0</v>
      </c>
      <c r="N2704" s="182" t="n">
        <v>0</v>
      </c>
      <c r="O2704" s="183" t="n">
        <v>0</v>
      </c>
      <c r="P2704" s="183" t="n">
        <v>0</v>
      </c>
      <c r="Q2704" s="184" t="n">
        <v>0</v>
      </c>
      <c r="R2704" s="184" t="n">
        <v>0</v>
      </c>
      <c r="S2704" s="183" t="n">
        <v>0</v>
      </c>
      <c r="T2704" s="183" t="n">
        <v>0</v>
      </c>
      <c r="U2704" s="182" t="n">
        <v>0</v>
      </c>
      <c r="V2704" s="182" t="n">
        <v>0</v>
      </c>
      <c r="W2704" s="182" t="n">
        <v>0</v>
      </c>
      <c r="X2704" s="182" t="n">
        <v>1</v>
      </c>
      <c r="Y2704" s="182" t="n">
        <v>0</v>
      </c>
      <c r="Z2704" s="182" t="n">
        <v>0</v>
      </c>
      <c r="AA2704" s="182" t="n">
        <v>0</v>
      </c>
      <c r="AB2704" s="182" t="n">
        <v>0</v>
      </c>
      <c r="AC2704" s="182" t="n">
        <v>0</v>
      </c>
      <c r="AD2704" s="182" t="n">
        <v>0</v>
      </c>
      <c r="AE2704" s="182" t="n">
        <v>0</v>
      </c>
      <c r="AF2704" s="182" t="n">
        <v>0</v>
      </c>
      <c r="AG2704" s="182" t="n">
        <v>0</v>
      </c>
      <c r="AH2704" s="182" t="n">
        <v>0</v>
      </c>
      <c r="AI2704" s="182" t="n">
        <v>0</v>
      </c>
      <c r="AJ2704" s="182" t="n">
        <v>0</v>
      </c>
      <c r="AK2704" s="182" t="n">
        <v>10.92</v>
      </c>
      <c r="AL2704" s="182" t="n">
        <v>0</v>
      </c>
      <c r="AM2704" s="182" t="n">
        <v>0.08</v>
      </c>
      <c r="AN2704" s="182" t="n">
        <v>0</v>
      </c>
    </row>
    <row r="2705">
      <c r="A2705" s="155" t="n">
        <v>46094</v>
      </c>
      <c r="B2705" s="156" t="inlineStr">
        <is>
          <t>DS</t>
        </is>
      </c>
      <c r="C2705" s="156" t="inlineStr">
        <is>
          <t>DT-807</t>
        </is>
      </c>
      <c r="D2705" s="156" t="inlineStr">
        <is>
          <t>SKT 80S</t>
        </is>
      </c>
      <c r="E2705" s="156" t="inlineStr">
        <is>
          <t>Hauler</t>
        </is>
      </c>
      <c r="F2705" s="156" t="inlineStr"/>
      <c r="G2705" s="182" t="n">
        <v>0</v>
      </c>
      <c r="H2705" s="182" t="n">
        <v>0</v>
      </c>
      <c r="I2705" s="182" t="n">
        <v>12</v>
      </c>
      <c r="J2705" s="182" t="n">
        <v>12</v>
      </c>
      <c r="K2705" s="182" t="n">
        <v>0</v>
      </c>
      <c r="L2705" s="182" t="n">
        <v>12</v>
      </c>
      <c r="M2705" s="182" t="n">
        <v>0</v>
      </c>
      <c r="N2705" s="182" t="n">
        <v>0</v>
      </c>
      <c r="O2705" s="183" t="n">
        <v>0</v>
      </c>
      <c r="P2705" s="183" t="n">
        <v>0</v>
      </c>
      <c r="Q2705" s="184" t="n">
        <v>0</v>
      </c>
      <c r="R2705" s="184" t="n">
        <v>0</v>
      </c>
      <c r="S2705" s="183" t="n">
        <v>0</v>
      </c>
      <c r="T2705" s="183" t="n">
        <v>0</v>
      </c>
      <c r="U2705" s="182" t="n">
        <v>0</v>
      </c>
      <c r="V2705" s="182" t="n">
        <v>0</v>
      </c>
      <c r="W2705" s="182" t="n">
        <v>0</v>
      </c>
      <c r="X2705" s="182" t="n">
        <v>0</v>
      </c>
      <c r="Y2705" s="182" t="n">
        <v>0</v>
      </c>
      <c r="Z2705" s="182" t="n">
        <v>0</v>
      </c>
      <c r="AA2705" s="182" t="n">
        <v>0</v>
      </c>
      <c r="AB2705" s="182" t="n">
        <v>0</v>
      </c>
      <c r="AC2705" s="182" t="n">
        <v>0</v>
      </c>
      <c r="AD2705" s="182" t="n">
        <v>0</v>
      </c>
      <c r="AE2705" s="182" t="n">
        <v>0</v>
      </c>
      <c r="AF2705" s="182" t="n">
        <v>0</v>
      </c>
      <c r="AG2705" s="182" t="n">
        <v>0</v>
      </c>
      <c r="AH2705" s="182" t="n">
        <v>0</v>
      </c>
      <c r="AI2705" s="182" t="n">
        <v>0</v>
      </c>
      <c r="AJ2705" s="182" t="n">
        <v>0</v>
      </c>
      <c r="AK2705" s="182" t="n">
        <v>0</v>
      </c>
      <c r="AL2705" s="182" t="n">
        <v>0</v>
      </c>
      <c r="AM2705" s="182" t="n">
        <v>0</v>
      </c>
      <c r="AN2705" s="182" t="n">
        <v>0</v>
      </c>
    </row>
    <row r="2706">
      <c r="A2706" s="155" t="n">
        <v>46094</v>
      </c>
      <c r="B2706" s="156" t="inlineStr">
        <is>
          <t>DS</t>
        </is>
      </c>
      <c r="C2706" s="156" t="inlineStr">
        <is>
          <t>DT-812</t>
        </is>
      </c>
      <c r="D2706" s="156" t="inlineStr">
        <is>
          <t>SKT 80S</t>
        </is>
      </c>
      <c r="E2706" s="156" t="inlineStr">
        <is>
          <t>Hauler</t>
        </is>
      </c>
      <c r="F2706" s="156" t="inlineStr">
        <is>
          <t>Support Washing Plant</t>
        </is>
      </c>
      <c r="G2706" s="182" t="n">
        <v>8.65</v>
      </c>
      <c r="H2706" s="182" t="n">
        <v>0</v>
      </c>
      <c r="I2706" s="182" t="n">
        <v>0</v>
      </c>
      <c r="J2706" s="182" t="n">
        <v>0</v>
      </c>
      <c r="K2706" s="182" t="n">
        <v>3.35</v>
      </c>
      <c r="L2706" s="182" t="n">
        <v>12</v>
      </c>
      <c r="M2706" s="182" t="n">
        <v>0</v>
      </c>
      <c r="N2706" s="182" t="n">
        <v>0</v>
      </c>
      <c r="O2706" s="183" t="n">
        <v>0</v>
      </c>
      <c r="P2706" s="183" t="n">
        <v>0</v>
      </c>
      <c r="Q2706" s="184" t="n">
        <v>0</v>
      </c>
      <c r="R2706" s="184" t="n">
        <v>0</v>
      </c>
      <c r="S2706" s="183" t="n">
        <v>18</v>
      </c>
      <c r="T2706" s="183" t="n">
        <v>0</v>
      </c>
      <c r="U2706" s="182" t="n">
        <v>0</v>
      </c>
      <c r="V2706" s="182" t="n">
        <v>0</v>
      </c>
      <c r="W2706" s="182" t="n">
        <v>0</v>
      </c>
      <c r="X2706" s="182" t="n">
        <v>0.96</v>
      </c>
      <c r="Y2706" s="182" t="n">
        <v>0</v>
      </c>
      <c r="Z2706" s="182" t="n">
        <v>0</v>
      </c>
      <c r="AA2706" s="182" t="n">
        <v>0</v>
      </c>
      <c r="AB2706" s="182" t="n">
        <v>0</v>
      </c>
      <c r="AC2706" s="182" t="n">
        <v>0</v>
      </c>
      <c r="AD2706" s="182" t="n">
        <v>0</v>
      </c>
      <c r="AE2706" s="182" t="n">
        <v>0</v>
      </c>
      <c r="AF2706" s="182" t="n">
        <v>0</v>
      </c>
      <c r="AG2706" s="182" t="n">
        <v>0</v>
      </c>
      <c r="AH2706" s="182" t="n">
        <v>0</v>
      </c>
      <c r="AI2706" s="182" t="n">
        <v>0</v>
      </c>
      <c r="AJ2706" s="182" t="n">
        <v>0</v>
      </c>
      <c r="AK2706" s="182" t="n">
        <v>2.32</v>
      </c>
      <c r="AL2706" s="182" t="n">
        <v>0</v>
      </c>
      <c r="AM2706" s="182" t="n">
        <v>0.08</v>
      </c>
      <c r="AN2706" s="182" t="n">
        <v>0</v>
      </c>
    </row>
    <row r="2707">
      <c r="A2707" s="155" t="n">
        <v>46094</v>
      </c>
      <c r="B2707" s="156" t="inlineStr">
        <is>
          <t>DS</t>
        </is>
      </c>
      <c r="C2707" s="156" t="inlineStr">
        <is>
          <t>DT-803</t>
        </is>
      </c>
      <c r="D2707" s="156" t="inlineStr">
        <is>
          <t>SKT 80S</t>
        </is>
      </c>
      <c r="E2707" s="156" t="inlineStr">
        <is>
          <t>Hauler</t>
        </is>
      </c>
      <c r="F2707" s="156" t="inlineStr"/>
      <c r="G2707" s="182" t="n">
        <v>0</v>
      </c>
      <c r="H2707" s="182" t="n">
        <v>0</v>
      </c>
      <c r="I2707" s="182" t="n">
        <v>0</v>
      </c>
      <c r="J2707" s="182" t="n">
        <v>0</v>
      </c>
      <c r="K2707" s="182" t="n">
        <v>12</v>
      </c>
      <c r="L2707" s="182" t="n">
        <v>12</v>
      </c>
      <c r="M2707" s="182" t="n">
        <v>0</v>
      </c>
      <c r="N2707" s="182" t="n">
        <v>0</v>
      </c>
      <c r="O2707" s="183" t="n">
        <v>0</v>
      </c>
      <c r="P2707" s="183" t="n">
        <v>0</v>
      </c>
      <c r="Q2707" s="184" t="n">
        <v>0</v>
      </c>
      <c r="R2707" s="184" t="n">
        <v>0</v>
      </c>
      <c r="S2707" s="183" t="n">
        <v>0</v>
      </c>
      <c r="T2707" s="183" t="n">
        <v>0</v>
      </c>
      <c r="U2707" s="182" t="n">
        <v>0</v>
      </c>
      <c r="V2707" s="182" t="n">
        <v>0</v>
      </c>
      <c r="W2707" s="182" t="n">
        <v>0</v>
      </c>
      <c r="X2707" s="182" t="n">
        <v>1</v>
      </c>
      <c r="Y2707" s="182" t="n">
        <v>0</v>
      </c>
      <c r="Z2707" s="182" t="n">
        <v>0</v>
      </c>
      <c r="AA2707" s="182" t="n">
        <v>0</v>
      </c>
      <c r="AB2707" s="182" t="n">
        <v>0</v>
      </c>
      <c r="AC2707" s="182" t="n">
        <v>0</v>
      </c>
      <c r="AD2707" s="182" t="n">
        <v>0</v>
      </c>
      <c r="AE2707" s="182" t="n">
        <v>0</v>
      </c>
      <c r="AF2707" s="182" t="n">
        <v>0</v>
      </c>
      <c r="AG2707" s="182" t="n">
        <v>0</v>
      </c>
      <c r="AH2707" s="182" t="n">
        <v>0</v>
      </c>
      <c r="AI2707" s="182" t="n">
        <v>0</v>
      </c>
      <c r="AJ2707" s="182" t="n">
        <v>0</v>
      </c>
      <c r="AK2707" s="182" t="n">
        <v>10.92</v>
      </c>
      <c r="AL2707" s="182" t="n">
        <v>0</v>
      </c>
      <c r="AM2707" s="182" t="n">
        <v>0.08</v>
      </c>
      <c r="AN2707" s="182" t="n">
        <v>0</v>
      </c>
    </row>
    <row r="2708">
      <c r="A2708" s="155" t="n">
        <v>46094</v>
      </c>
      <c r="B2708" s="156" t="inlineStr">
        <is>
          <t>DS</t>
        </is>
      </c>
      <c r="C2708" s="156" t="inlineStr">
        <is>
          <t>DT-810</t>
        </is>
      </c>
      <c r="D2708" s="156" t="inlineStr">
        <is>
          <t>SKT 80S</t>
        </is>
      </c>
      <c r="E2708" s="156" t="inlineStr">
        <is>
          <t>Hauler</t>
        </is>
      </c>
      <c r="F2708" s="156" t="inlineStr">
        <is>
          <t>Support Washing Plant</t>
        </is>
      </c>
      <c r="G2708" s="182" t="n">
        <v>7.77</v>
      </c>
      <c r="H2708" s="182" t="n">
        <v>0</v>
      </c>
      <c r="I2708" s="182" t="n">
        <v>0</v>
      </c>
      <c r="J2708" s="182" t="n">
        <v>0</v>
      </c>
      <c r="K2708" s="182" t="n">
        <v>4.23</v>
      </c>
      <c r="L2708" s="182" t="n">
        <v>12</v>
      </c>
      <c r="M2708" s="182" t="n">
        <v>0</v>
      </c>
      <c r="N2708" s="182" t="n">
        <v>0</v>
      </c>
      <c r="O2708" s="183" t="n">
        <v>0</v>
      </c>
      <c r="P2708" s="183" t="n">
        <v>0</v>
      </c>
      <c r="Q2708" s="184" t="n">
        <v>0</v>
      </c>
      <c r="R2708" s="184" t="n">
        <v>0</v>
      </c>
      <c r="S2708" s="183" t="n">
        <v>22</v>
      </c>
      <c r="T2708" s="183" t="n">
        <v>0</v>
      </c>
      <c r="U2708" s="182" t="n">
        <v>0</v>
      </c>
      <c r="V2708" s="182" t="n">
        <v>0</v>
      </c>
      <c r="W2708" s="182" t="n">
        <v>0</v>
      </c>
      <c r="X2708" s="182" t="n">
        <v>1.08</v>
      </c>
      <c r="Y2708" s="182" t="n">
        <v>0</v>
      </c>
      <c r="Z2708" s="182" t="n">
        <v>0</v>
      </c>
      <c r="AA2708" s="182" t="n">
        <v>0</v>
      </c>
      <c r="AB2708" s="182" t="n">
        <v>0</v>
      </c>
      <c r="AC2708" s="182" t="n">
        <v>0</v>
      </c>
      <c r="AD2708" s="182" t="n">
        <v>0</v>
      </c>
      <c r="AE2708" s="182" t="n">
        <v>0</v>
      </c>
      <c r="AF2708" s="182" t="n">
        <v>0</v>
      </c>
      <c r="AG2708" s="182" t="n">
        <v>0</v>
      </c>
      <c r="AH2708" s="182" t="n">
        <v>0</v>
      </c>
      <c r="AI2708" s="182" t="n">
        <v>0</v>
      </c>
      <c r="AJ2708" s="182" t="n">
        <v>0</v>
      </c>
      <c r="AK2708" s="182" t="n">
        <v>3.06</v>
      </c>
      <c r="AL2708" s="182" t="n">
        <v>0</v>
      </c>
      <c r="AM2708" s="182" t="n">
        <v>0.09</v>
      </c>
      <c r="AN2708" s="182" t="n">
        <v>0</v>
      </c>
    </row>
    <row r="2709">
      <c r="A2709" s="155" t="n">
        <v>46094</v>
      </c>
      <c r="B2709" s="156" t="inlineStr">
        <is>
          <t>DS</t>
        </is>
      </c>
      <c r="C2709" s="156" t="inlineStr">
        <is>
          <t>DT-804</t>
        </is>
      </c>
      <c r="D2709" s="156" t="inlineStr">
        <is>
          <t>SKT 80S</t>
        </is>
      </c>
      <c r="E2709" s="156" t="inlineStr">
        <is>
          <t>Hauler</t>
        </is>
      </c>
      <c r="F2709" s="156" t="inlineStr">
        <is>
          <t>Support Washing Plant</t>
        </is>
      </c>
      <c r="G2709" s="182" t="n">
        <v>8.48</v>
      </c>
      <c r="H2709" s="182" t="n">
        <v>0</v>
      </c>
      <c r="I2709" s="182" t="n">
        <v>0</v>
      </c>
      <c r="J2709" s="182" t="n">
        <v>0</v>
      </c>
      <c r="K2709" s="182" t="n">
        <v>3.52</v>
      </c>
      <c r="L2709" s="182" t="n">
        <v>12</v>
      </c>
      <c r="M2709" s="182" t="n">
        <v>0</v>
      </c>
      <c r="N2709" s="182" t="n">
        <v>0</v>
      </c>
      <c r="O2709" s="183" t="n">
        <v>0</v>
      </c>
      <c r="P2709" s="183" t="n">
        <v>0</v>
      </c>
      <c r="Q2709" s="184" t="n">
        <v>0</v>
      </c>
      <c r="R2709" s="184" t="n">
        <v>0</v>
      </c>
      <c r="S2709" s="183" t="n">
        <v>0</v>
      </c>
      <c r="T2709" s="183" t="n">
        <v>0</v>
      </c>
      <c r="U2709" s="182" t="n">
        <v>0</v>
      </c>
      <c r="V2709" s="182" t="n">
        <v>0</v>
      </c>
      <c r="W2709" s="182" t="n">
        <v>0</v>
      </c>
      <c r="X2709" s="182" t="n">
        <v>0.9</v>
      </c>
      <c r="Y2709" s="182" t="n">
        <v>0</v>
      </c>
      <c r="Z2709" s="182" t="n">
        <v>0</v>
      </c>
      <c r="AA2709" s="182" t="n">
        <v>0</v>
      </c>
      <c r="AB2709" s="182" t="n">
        <v>0</v>
      </c>
      <c r="AC2709" s="182" t="n">
        <v>0</v>
      </c>
      <c r="AD2709" s="182" t="n">
        <v>0</v>
      </c>
      <c r="AE2709" s="182" t="n">
        <v>0</v>
      </c>
      <c r="AF2709" s="182" t="n">
        <v>0</v>
      </c>
      <c r="AG2709" s="182" t="n">
        <v>0</v>
      </c>
      <c r="AH2709" s="182" t="n">
        <v>0</v>
      </c>
      <c r="AI2709" s="182" t="n">
        <v>0</v>
      </c>
      <c r="AJ2709" s="182" t="n">
        <v>0</v>
      </c>
      <c r="AK2709" s="182" t="n">
        <v>2.55</v>
      </c>
      <c r="AL2709" s="182" t="n">
        <v>0</v>
      </c>
      <c r="AM2709" s="182" t="n">
        <v>0.07000000000000001</v>
      </c>
      <c r="AN2709" s="182" t="n">
        <v>0</v>
      </c>
    </row>
    <row r="2710">
      <c r="A2710" s="155" t="n">
        <v>46094</v>
      </c>
      <c r="B2710" s="156" t="inlineStr">
        <is>
          <t>DS</t>
        </is>
      </c>
      <c r="C2710" s="156" t="inlineStr">
        <is>
          <t>DT-505</t>
        </is>
      </c>
      <c r="D2710" s="156" t="inlineStr">
        <is>
          <t>SKT 105S</t>
        </is>
      </c>
      <c r="E2710" s="156" t="inlineStr">
        <is>
          <t>Hauler</t>
        </is>
      </c>
      <c r="F2710" s="156" t="inlineStr">
        <is>
          <t>Hauling OB</t>
        </is>
      </c>
      <c r="G2710" s="182" t="n">
        <v>1.89</v>
      </c>
      <c r="H2710" s="182" t="n">
        <v>0</v>
      </c>
      <c r="I2710" s="182" t="n">
        <v>1.32</v>
      </c>
      <c r="J2710" s="182" t="n">
        <v>1.32</v>
      </c>
      <c r="K2710" s="182" t="n">
        <v>8.789999999999999</v>
      </c>
      <c r="L2710" s="182" t="n">
        <v>12</v>
      </c>
      <c r="M2710" s="182" t="n">
        <v>1.89</v>
      </c>
      <c r="N2710" s="182" t="n">
        <v>0</v>
      </c>
      <c r="O2710" s="183" t="n">
        <v>5</v>
      </c>
      <c r="P2710" s="183" t="n">
        <v>0</v>
      </c>
      <c r="Q2710" s="184" t="n">
        <v>102</v>
      </c>
      <c r="R2710" s="184" t="n">
        <v>0</v>
      </c>
      <c r="S2710" s="183" t="n">
        <v>0</v>
      </c>
      <c r="T2710" s="183" t="n">
        <v>0</v>
      </c>
      <c r="U2710" s="182" t="n">
        <v>0</v>
      </c>
      <c r="V2710" s="182" t="n">
        <v>0</v>
      </c>
      <c r="W2710" s="182" t="n">
        <v>0</v>
      </c>
      <c r="X2710" s="182" t="n">
        <v>1.02</v>
      </c>
      <c r="Y2710" s="182" t="n">
        <v>0</v>
      </c>
      <c r="Z2710" s="182" t="n">
        <v>0</v>
      </c>
      <c r="AA2710" s="182" t="n">
        <v>0</v>
      </c>
      <c r="AB2710" s="182" t="n">
        <v>0</v>
      </c>
      <c r="AC2710" s="182" t="n">
        <v>0</v>
      </c>
      <c r="AD2710" s="182" t="n">
        <v>0</v>
      </c>
      <c r="AE2710" s="182" t="n">
        <v>0</v>
      </c>
      <c r="AF2710" s="182" t="n">
        <v>0</v>
      </c>
      <c r="AG2710" s="182" t="n">
        <v>0</v>
      </c>
      <c r="AH2710" s="182" t="n">
        <v>0</v>
      </c>
      <c r="AI2710" s="182" t="n">
        <v>7.68</v>
      </c>
      <c r="AJ2710" s="182" t="n">
        <v>0</v>
      </c>
      <c r="AK2710" s="182" t="n">
        <v>0</v>
      </c>
      <c r="AL2710" s="182" t="n">
        <v>0</v>
      </c>
      <c r="AM2710" s="182" t="n">
        <v>0.08</v>
      </c>
      <c r="AN2710" s="182" t="n">
        <v>0</v>
      </c>
    </row>
    <row r="2711">
      <c r="A2711" s="155" t="n">
        <v>46094</v>
      </c>
      <c r="B2711" s="156" t="inlineStr">
        <is>
          <t>DS</t>
        </is>
      </c>
      <c r="C2711" s="156" t="inlineStr">
        <is>
          <t>DT-530</t>
        </is>
      </c>
      <c r="D2711" s="156" t="inlineStr">
        <is>
          <t>SKT 105S</t>
        </is>
      </c>
      <c r="E2711" s="156" t="inlineStr">
        <is>
          <t>Hauler</t>
        </is>
      </c>
      <c r="F2711" s="156" t="inlineStr"/>
      <c r="G2711" s="182" t="n">
        <v>0</v>
      </c>
      <c r="H2711" s="182" t="n">
        <v>0</v>
      </c>
      <c r="I2711" s="182" t="n">
        <v>12</v>
      </c>
      <c r="J2711" s="182" t="n">
        <v>12</v>
      </c>
      <c r="K2711" s="182" t="n">
        <v>0</v>
      </c>
      <c r="L2711" s="182" t="n">
        <v>12</v>
      </c>
      <c r="M2711" s="182" t="n">
        <v>0</v>
      </c>
      <c r="N2711" s="182" t="n">
        <v>0</v>
      </c>
      <c r="O2711" s="183" t="n">
        <v>0</v>
      </c>
      <c r="P2711" s="183" t="n">
        <v>0</v>
      </c>
      <c r="Q2711" s="184" t="n">
        <v>0</v>
      </c>
      <c r="R2711" s="184" t="n">
        <v>0</v>
      </c>
      <c r="S2711" s="183" t="n">
        <v>0</v>
      </c>
      <c r="T2711" s="183" t="n">
        <v>0</v>
      </c>
      <c r="U2711" s="182" t="n">
        <v>0</v>
      </c>
      <c r="V2711" s="182" t="n">
        <v>0</v>
      </c>
      <c r="W2711" s="182" t="n">
        <v>0</v>
      </c>
      <c r="X2711" s="182" t="n">
        <v>0</v>
      </c>
      <c r="Y2711" s="182" t="n">
        <v>0</v>
      </c>
      <c r="Z2711" s="182" t="n">
        <v>0</v>
      </c>
      <c r="AA2711" s="182" t="n">
        <v>0</v>
      </c>
      <c r="AB2711" s="182" t="n">
        <v>0</v>
      </c>
      <c r="AC2711" s="182" t="n">
        <v>0</v>
      </c>
      <c r="AD2711" s="182" t="n">
        <v>0</v>
      </c>
      <c r="AE2711" s="182" t="n">
        <v>0</v>
      </c>
      <c r="AF2711" s="182" t="n">
        <v>0</v>
      </c>
      <c r="AG2711" s="182" t="n">
        <v>0</v>
      </c>
      <c r="AH2711" s="182" t="n">
        <v>0</v>
      </c>
      <c r="AI2711" s="182" t="n">
        <v>0</v>
      </c>
      <c r="AJ2711" s="182" t="n">
        <v>0</v>
      </c>
      <c r="AK2711" s="182" t="n">
        <v>0</v>
      </c>
      <c r="AL2711" s="182" t="n">
        <v>0</v>
      </c>
      <c r="AM2711" s="182" t="n">
        <v>0</v>
      </c>
      <c r="AN2711" s="182" t="n">
        <v>0</v>
      </c>
    </row>
    <row r="2712">
      <c r="A2712" s="155" t="n">
        <v>46094</v>
      </c>
      <c r="B2712" s="156" t="inlineStr">
        <is>
          <t>DS</t>
        </is>
      </c>
      <c r="C2712" s="156" t="inlineStr">
        <is>
          <t>DT-525</t>
        </is>
      </c>
      <c r="D2712" s="156" t="inlineStr">
        <is>
          <t>SKT 105S</t>
        </is>
      </c>
      <c r="E2712" s="156" t="inlineStr">
        <is>
          <t>Hauler</t>
        </is>
      </c>
      <c r="F2712" s="156" t="inlineStr"/>
      <c r="G2712" s="182" t="n">
        <v>0</v>
      </c>
      <c r="H2712" s="182" t="n">
        <v>0</v>
      </c>
      <c r="I2712" s="182" t="n">
        <v>12</v>
      </c>
      <c r="J2712" s="182" t="n">
        <v>12</v>
      </c>
      <c r="K2712" s="182" t="n">
        <v>0</v>
      </c>
      <c r="L2712" s="182" t="n">
        <v>12</v>
      </c>
      <c r="M2712" s="182" t="n">
        <v>0</v>
      </c>
      <c r="N2712" s="182" t="n">
        <v>0</v>
      </c>
      <c r="O2712" s="183" t="n">
        <v>0</v>
      </c>
      <c r="P2712" s="183" t="n">
        <v>0</v>
      </c>
      <c r="Q2712" s="184" t="n">
        <v>0</v>
      </c>
      <c r="R2712" s="184" t="n">
        <v>0</v>
      </c>
      <c r="S2712" s="183" t="n">
        <v>0</v>
      </c>
      <c r="T2712" s="183" t="n">
        <v>0</v>
      </c>
      <c r="U2712" s="182" t="n">
        <v>0</v>
      </c>
      <c r="V2712" s="182" t="n">
        <v>0</v>
      </c>
      <c r="W2712" s="182" t="n">
        <v>0</v>
      </c>
      <c r="X2712" s="182" t="n">
        <v>0</v>
      </c>
      <c r="Y2712" s="182" t="n">
        <v>0</v>
      </c>
      <c r="Z2712" s="182" t="n">
        <v>0</v>
      </c>
      <c r="AA2712" s="182" t="n">
        <v>0</v>
      </c>
      <c r="AB2712" s="182" t="n">
        <v>0</v>
      </c>
      <c r="AC2712" s="182" t="n">
        <v>0</v>
      </c>
      <c r="AD2712" s="182" t="n">
        <v>0</v>
      </c>
      <c r="AE2712" s="182" t="n">
        <v>0</v>
      </c>
      <c r="AF2712" s="182" t="n">
        <v>0</v>
      </c>
      <c r="AG2712" s="182" t="n">
        <v>0</v>
      </c>
      <c r="AH2712" s="182" t="n">
        <v>0</v>
      </c>
      <c r="AI2712" s="182" t="n">
        <v>0</v>
      </c>
      <c r="AJ2712" s="182" t="n">
        <v>0</v>
      </c>
      <c r="AK2712" s="182" t="n">
        <v>0</v>
      </c>
      <c r="AL2712" s="182" t="n">
        <v>0</v>
      </c>
      <c r="AM2712" s="182" t="n">
        <v>0</v>
      </c>
      <c r="AN2712" s="182" t="n">
        <v>0</v>
      </c>
    </row>
    <row r="2713">
      <c r="A2713" s="155" t="n">
        <v>46094</v>
      </c>
      <c r="B2713" s="156" t="inlineStr">
        <is>
          <t>DS</t>
        </is>
      </c>
      <c r="C2713" s="156" t="inlineStr">
        <is>
          <t>DT-503</t>
        </is>
      </c>
      <c r="D2713" s="156" t="inlineStr">
        <is>
          <t>SKT 105S</t>
        </is>
      </c>
      <c r="E2713" s="156" t="inlineStr">
        <is>
          <t>Hauler</t>
        </is>
      </c>
      <c r="F2713" s="156" t="inlineStr">
        <is>
          <t>Hauling OB</t>
        </is>
      </c>
      <c r="G2713" s="182" t="n">
        <v>1.99</v>
      </c>
      <c r="H2713" s="182" t="n">
        <v>0</v>
      </c>
      <c r="I2713" s="182" t="n">
        <v>0</v>
      </c>
      <c r="J2713" s="182" t="n">
        <v>0</v>
      </c>
      <c r="K2713" s="182" t="n">
        <v>10.01</v>
      </c>
      <c r="L2713" s="182" t="n">
        <v>12</v>
      </c>
      <c r="M2713" s="182" t="n">
        <v>1.99</v>
      </c>
      <c r="N2713" s="182" t="n">
        <v>0</v>
      </c>
      <c r="O2713" s="183" t="n">
        <v>6</v>
      </c>
      <c r="P2713" s="183" t="n">
        <v>0</v>
      </c>
      <c r="Q2713" s="184" t="n">
        <v>122.4</v>
      </c>
      <c r="R2713" s="184" t="n">
        <v>0</v>
      </c>
      <c r="S2713" s="183" t="n">
        <v>0</v>
      </c>
      <c r="T2713" s="183" t="n">
        <v>0</v>
      </c>
      <c r="U2713" s="182" t="n">
        <v>0</v>
      </c>
      <c r="V2713" s="182" t="n">
        <v>0</v>
      </c>
      <c r="W2713" s="182" t="n">
        <v>0</v>
      </c>
      <c r="X2713" s="182" t="n">
        <v>1.03</v>
      </c>
      <c r="Y2713" s="182" t="n">
        <v>0</v>
      </c>
      <c r="Z2713" s="182" t="n">
        <v>0</v>
      </c>
      <c r="AA2713" s="182" t="n">
        <v>0</v>
      </c>
      <c r="AB2713" s="182" t="n">
        <v>0</v>
      </c>
      <c r="AC2713" s="182" t="n">
        <v>0</v>
      </c>
      <c r="AD2713" s="182" t="n">
        <v>0</v>
      </c>
      <c r="AE2713" s="182" t="n">
        <v>0</v>
      </c>
      <c r="AF2713" s="182" t="n">
        <v>0</v>
      </c>
      <c r="AG2713" s="182" t="n">
        <v>0</v>
      </c>
      <c r="AH2713" s="182" t="n">
        <v>0</v>
      </c>
      <c r="AI2713" s="182" t="n">
        <v>8.9</v>
      </c>
      <c r="AJ2713" s="182" t="n">
        <v>0</v>
      </c>
      <c r="AK2713" s="182" t="n">
        <v>0</v>
      </c>
      <c r="AL2713" s="182" t="n">
        <v>0</v>
      </c>
      <c r="AM2713" s="182" t="n">
        <v>0.08</v>
      </c>
      <c r="AN2713" s="182" t="n">
        <v>0</v>
      </c>
    </row>
    <row r="2714">
      <c r="A2714" s="155" t="n">
        <v>46094</v>
      </c>
      <c r="B2714" s="156" t="inlineStr">
        <is>
          <t>DS</t>
        </is>
      </c>
      <c r="C2714" s="156" t="inlineStr">
        <is>
          <t>DT-504</t>
        </is>
      </c>
      <c r="D2714" s="156" t="inlineStr">
        <is>
          <t>SKT 105S</t>
        </is>
      </c>
      <c r="E2714" s="156" t="inlineStr">
        <is>
          <t>Hauler</t>
        </is>
      </c>
      <c r="F2714" s="156" t="inlineStr">
        <is>
          <t>Hauling OB &amp; Coal</t>
        </is>
      </c>
      <c r="G2714" s="182" t="n">
        <v>7.64</v>
      </c>
      <c r="H2714" s="182" t="n">
        <v>0</v>
      </c>
      <c r="I2714" s="182" t="n">
        <v>0</v>
      </c>
      <c r="J2714" s="182" t="n">
        <v>0</v>
      </c>
      <c r="K2714" s="182" t="n">
        <v>4.36</v>
      </c>
      <c r="L2714" s="182" t="n">
        <v>12</v>
      </c>
      <c r="M2714" s="182" t="n">
        <v>4.7</v>
      </c>
      <c r="N2714" s="182" t="n">
        <v>2.94</v>
      </c>
      <c r="O2714" s="183" t="n">
        <v>17</v>
      </c>
      <c r="P2714" s="183" t="n">
        <v>8</v>
      </c>
      <c r="Q2714" s="184" t="n">
        <v>346.8</v>
      </c>
      <c r="R2714" s="184" t="n">
        <v>149.6</v>
      </c>
      <c r="S2714" s="183" t="n">
        <v>0</v>
      </c>
      <c r="T2714" s="183" t="n">
        <v>0</v>
      </c>
      <c r="U2714" s="182" t="n">
        <v>0</v>
      </c>
      <c r="V2714" s="182" t="n">
        <v>0</v>
      </c>
      <c r="W2714" s="182" t="n">
        <v>0</v>
      </c>
      <c r="X2714" s="182" t="n">
        <v>1.04</v>
      </c>
      <c r="Y2714" s="182" t="n">
        <v>0</v>
      </c>
      <c r="Z2714" s="182" t="n">
        <v>0</v>
      </c>
      <c r="AA2714" s="182" t="n">
        <v>0</v>
      </c>
      <c r="AB2714" s="182" t="n">
        <v>0</v>
      </c>
      <c r="AC2714" s="182" t="n">
        <v>0</v>
      </c>
      <c r="AD2714" s="182" t="n">
        <v>0</v>
      </c>
      <c r="AE2714" s="182" t="n">
        <v>0</v>
      </c>
      <c r="AF2714" s="182" t="n">
        <v>0</v>
      </c>
      <c r="AG2714" s="182" t="n">
        <v>0</v>
      </c>
      <c r="AH2714" s="182" t="n">
        <v>0</v>
      </c>
      <c r="AI2714" s="182" t="n">
        <v>3.24</v>
      </c>
      <c r="AJ2714" s="182" t="n">
        <v>0</v>
      </c>
      <c r="AK2714" s="182" t="n">
        <v>0</v>
      </c>
      <c r="AL2714" s="182" t="n">
        <v>0</v>
      </c>
      <c r="AM2714" s="182" t="n">
        <v>0.08</v>
      </c>
      <c r="AN2714" s="182" t="n">
        <v>0</v>
      </c>
    </row>
    <row r="2715">
      <c r="A2715" s="155" t="n">
        <v>46094</v>
      </c>
      <c r="B2715" s="156" t="inlineStr">
        <is>
          <t>DS</t>
        </is>
      </c>
      <c r="C2715" s="156" t="inlineStr">
        <is>
          <t>DT-507</t>
        </is>
      </c>
      <c r="D2715" s="156" t="inlineStr">
        <is>
          <t>SKT 105S</t>
        </is>
      </c>
      <c r="E2715" s="156" t="inlineStr">
        <is>
          <t>Hauler</t>
        </is>
      </c>
      <c r="F2715" s="156" t="inlineStr">
        <is>
          <t>Hauling OB</t>
        </is>
      </c>
      <c r="G2715" s="182" t="n">
        <v>4.17</v>
      </c>
      <c r="H2715" s="182" t="n">
        <v>0</v>
      </c>
      <c r="I2715" s="182" t="n">
        <v>0</v>
      </c>
      <c r="J2715" s="182" t="n">
        <v>0</v>
      </c>
      <c r="K2715" s="182" t="n">
        <v>7.83</v>
      </c>
      <c r="L2715" s="182" t="n">
        <v>12</v>
      </c>
      <c r="M2715" s="182" t="n">
        <v>4.17</v>
      </c>
      <c r="N2715" s="182" t="n">
        <v>0</v>
      </c>
      <c r="O2715" s="183" t="n">
        <v>11</v>
      </c>
      <c r="P2715" s="183" t="n">
        <v>0</v>
      </c>
      <c r="Q2715" s="184" t="n">
        <v>224.4</v>
      </c>
      <c r="R2715" s="184" t="n">
        <v>0</v>
      </c>
      <c r="S2715" s="183" t="n">
        <v>0</v>
      </c>
      <c r="T2715" s="183" t="n">
        <v>0</v>
      </c>
      <c r="U2715" s="182" t="n">
        <v>0</v>
      </c>
      <c r="V2715" s="182" t="n">
        <v>0</v>
      </c>
      <c r="W2715" s="182" t="n">
        <v>0</v>
      </c>
      <c r="X2715" s="182" t="n">
        <v>0.98</v>
      </c>
      <c r="Y2715" s="182" t="n">
        <v>0</v>
      </c>
      <c r="Z2715" s="182" t="n">
        <v>0</v>
      </c>
      <c r="AA2715" s="182" t="n">
        <v>0</v>
      </c>
      <c r="AB2715" s="182" t="n">
        <v>0</v>
      </c>
      <c r="AC2715" s="182" t="n">
        <v>0</v>
      </c>
      <c r="AD2715" s="182" t="n">
        <v>0</v>
      </c>
      <c r="AE2715" s="182" t="n">
        <v>0</v>
      </c>
      <c r="AF2715" s="182" t="n">
        <v>0</v>
      </c>
      <c r="AG2715" s="182" t="n">
        <v>0</v>
      </c>
      <c r="AH2715" s="182" t="n">
        <v>0</v>
      </c>
      <c r="AI2715" s="182" t="n">
        <v>6.77</v>
      </c>
      <c r="AJ2715" s="182" t="n">
        <v>0</v>
      </c>
      <c r="AK2715" s="182" t="n">
        <v>0</v>
      </c>
      <c r="AL2715" s="182" t="n">
        <v>0</v>
      </c>
      <c r="AM2715" s="182" t="n">
        <v>0.08</v>
      </c>
      <c r="AN2715" s="182" t="n">
        <v>0</v>
      </c>
    </row>
    <row r="2716">
      <c r="A2716" s="155" t="n">
        <v>46094</v>
      </c>
      <c r="B2716" s="156" t="inlineStr">
        <is>
          <t>DS</t>
        </is>
      </c>
      <c r="C2716" s="156" t="inlineStr">
        <is>
          <t>DT-501</t>
        </is>
      </c>
      <c r="D2716" s="156" t="inlineStr">
        <is>
          <t>SKT 105S</t>
        </is>
      </c>
      <c r="E2716" s="156" t="inlineStr">
        <is>
          <t>Hauler</t>
        </is>
      </c>
      <c r="F2716" s="156" t="inlineStr">
        <is>
          <t>Hauling OB</t>
        </is>
      </c>
      <c r="G2716" s="182" t="n">
        <v>2.18</v>
      </c>
      <c r="H2716" s="182" t="n">
        <v>0</v>
      </c>
      <c r="I2716" s="182" t="n">
        <v>0.15</v>
      </c>
      <c r="J2716" s="182" t="n">
        <v>0.15</v>
      </c>
      <c r="K2716" s="182" t="n">
        <v>9.67</v>
      </c>
      <c r="L2716" s="182" t="n">
        <v>12</v>
      </c>
      <c r="M2716" s="182" t="n">
        <v>2.18</v>
      </c>
      <c r="N2716" s="182" t="n">
        <v>0</v>
      </c>
      <c r="O2716" s="183" t="n">
        <v>5</v>
      </c>
      <c r="P2716" s="183" t="n">
        <v>0</v>
      </c>
      <c r="Q2716" s="184" t="n">
        <v>102</v>
      </c>
      <c r="R2716" s="184" t="n">
        <v>0</v>
      </c>
      <c r="S2716" s="183" t="n">
        <v>0</v>
      </c>
      <c r="T2716" s="183" t="n">
        <v>0</v>
      </c>
      <c r="U2716" s="182" t="n">
        <v>0</v>
      </c>
      <c r="V2716" s="182" t="n">
        <v>0</v>
      </c>
      <c r="W2716" s="182" t="n">
        <v>0</v>
      </c>
      <c r="X2716" s="182" t="n">
        <v>1.02</v>
      </c>
      <c r="Y2716" s="182" t="n">
        <v>0</v>
      </c>
      <c r="Z2716" s="182" t="n">
        <v>0</v>
      </c>
      <c r="AA2716" s="182" t="n">
        <v>0</v>
      </c>
      <c r="AB2716" s="182" t="n">
        <v>0</v>
      </c>
      <c r="AC2716" s="182" t="n">
        <v>0</v>
      </c>
      <c r="AD2716" s="182" t="n">
        <v>0</v>
      </c>
      <c r="AE2716" s="182" t="n">
        <v>0</v>
      </c>
      <c r="AF2716" s="182" t="n">
        <v>0</v>
      </c>
      <c r="AG2716" s="182" t="n">
        <v>0</v>
      </c>
      <c r="AH2716" s="182" t="n">
        <v>0</v>
      </c>
      <c r="AI2716" s="182" t="n">
        <v>8.56</v>
      </c>
      <c r="AJ2716" s="182" t="n">
        <v>0</v>
      </c>
      <c r="AK2716" s="182" t="n">
        <v>0</v>
      </c>
      <c r="AL2716" s="182" t="n">
        <v>0</v>
      </c>
      <c r="AM2716" s="182" t="n">
        <v>0.08</v>
      </c>
      <c r="AN2716" s="182" t="n">
        <v>0</v>
      </c>
    </row>
    <row r="2717">
      <c r="A2717" s="155" t="n">
        <v>46094</v>
      </c>
      <c r="B2717" s="156" t="inlineStr">
        <is>
          <t>DS</t>
        </is>
      </c>
      <c r="C2717" s="156" t="inlineStr">
        <is>
          <t>DT-518</t>
        </is>
      </c>
      <c r="D2717" s="156" t="inlineStr">
        <is>
          <t>SKT 105S</t>
        </is>
      </c>
      <c r="E2717" s="156" t="inlineStr">
        <is>
          <t>Hauler</t>
        </is>
      </c>
      <c r="F2717" s="156" t="inlineStr">
        <is>
          <t>Hauling OB &amp; Coal</t>
        </is>
      </c>
      <c r="G2717" s="182" t="n">
        <v>6.83</v>
      </c>
      <c r="H2717" s="182" t="n">
        <v>0</v>
      </c>
      <c r="I2717" s="182" t="n">
        <v>0</v>
      </c>
      <c r="J2717" s="182" t="n">
        <v>0</v>
      </c>
      <c r="K2717" s="182" t="n">
        <v>5.17</v>
      </c>
      <c r="L2717" s="182" t="n">
        <v>12</v>
      </c>
      <c r="M2717" s="182" t="n">
        <v>6.34</v>
      </c>
      <c r="N2717" s="182" t="n">
        <v>0.5</v>
      </c>
      <c r="O2717" s="183" t="n">
        <v>23</v>
      </c>
      <c r="P2717" s="183" t="n">
        <v>1</v>
      </c>
      <c r="Q2717" s="184" t="n">
        <v>469.2</v>
      </c>
      <c r="R2717" s="184" t="n">
        <v>18.7</v>
      </c>
      <c r="S2717" s="183" t="n">
        <v>0</v>
      </c>
      <c r="T2717" s="183" t="n">
        <v>0</v>
      </c>
      <c r="U2717" s="182" t="n">
        <v>0</v>
      </c>
      <c r="V2717" s="182" t="n">
        <v>0</v>
      </c>
      <c r="W2717" s="182" t="n">
        <v>0</v>
      </c>
      <c r="X2717" s="182" t="n">
        <v>1.01</v>
      </c>
      <c r="Y2717" s="182" t="n">
        <v>0</v>
      </c>
      <c r="Z2717" s="182" t="n">
        <v>0</v>
      </c>
      <c r="AA2717" s="182" t="n">
        <v>0</v>
      </c>
      <c r="AB2717" s="182" t="n">
        <v>0</v>
      </c>
      <c r="AC2717" s="182" t="n">
        <v>0</v>
      </c>
      <c r="AD2717" s="182" t="n">
        <v>0</v>
      </c>
      <c r="AE2717" s="182" t="n">
        <v>0</v>
      </c>
      <c r="AF2717" s="182" t="n">
        <v>0</v>
      </c>
      <c r="AG2717" s="182" t="n">
        <v>0</v>
      </c>
      <c r="AH2717" s="182" t="n">
        <v>0</v>
      </c>
      <c r="AI2717" s="182" t="n">
        <v>4.08</v>
      </c>
      <c r="AJ2717" s="182" t="n">
        <v>0</v>
      </c>
      <c r="AK2717" s="182" t="n">
        <v>0</v>
      </c>
      <c r="AL2717" s="182" t="n">
        <v>0</v>
      </c>
      <c r="AM2717" s="182" t="n">
        <v>0.08</v>
      </c>
      <c r="AN2717" s="182" t="n">
        <v>0</v>
      </c>
    </row>
    <row r="2718">
      <c r="A2718" s="155" t="n">
        <v>46094</v>
      </c>
      <c r="B2718" s="156" t="inlineStr">
        <is>
          <t>DS</t>
        </is>
      </c>
      <c r="C2718" s="156" t="inlineStr">
        <is>
          <t>DT-514</t>
        </is>
      </c>
      <c r="D2718" s="156" t="inlineStr">
        <is>
          <t>SKT 105S</t>
        </is>
      </c>
      <c r="E2718" s="156" t="inlineStr">
        <is>
          <t>Hauler</t>
        </is>
      </c>
      <c r="F2718" s="156" t="inlineStr"/>
      <c r="G2718" s="182" t="n">
        <v>0</v>
      </c>
      <c r="H2718" s="182" t="n">
        <v>0</v>
      </c>
      <c r="I2718" s="182" t="n">
        <v>12</v>
      </c>
      <c r="J2718" s="182" t="n">
        <v>12</v>
      </c>
      <c r="K2718" s="182" t="n">
        <v>0</v>
      </c>
      <c r="L2718" s="182" t="n">
        <v>12</v>
      </c>
      <c r="M2718" s="182" t="n">
        <v>0</v>
      </c>
      <c r="N2718" s="182" t="n">
        <v>0</v>
      </c>
      <c r="O2718" s="183" t="n">
        <v>0</v>
      </c>
      <c r="P2718" s="183" t="n">
        <v>0</v>
      </c>
      <c r="Q2718" s="184" t="n">
        <v>0</v>
      </c>
      <c r="R2718" s="184" t="n">
        <v>0</v>
      </c>
      <c r="S2718" s="183" t="n">
        <v>0</v>
      </c>
      <c r="T2718" s="183" t="n">
        <v>0</v>
      </c>
      <c r="U2718" s="182" t="n">
        <v>0</v>
      </c>
      <c r="V2718" s="182" t="n">
        <v>0</v>
      </c>
      <c r="W2718" s="182" t="n">
        <v>0</v>
      </c>
      <c r="X2718" s="182" t="n">
        <v>0</v>
      </c>
      <c r="Y2718" s="182" t="n">
        <v>0</v>
      </c>
      <c r="Z2718" s="182" t="n">
        <v>0</v>
      </c>
      <c r="AA2718" s="182" t="n">
        <v>0</v>
      </c>
      <c r="AB2718" s="182" t="n">
        <v>0</v>
      </c>
      <c r="AC2718" s="182" t="n">
        <v>0</v>
      </c>
      <c r="AD2718" s="182" t="n">
        <v>0</v>
      </c>
      <c r="AE2718" s="182" t="n">
        <v>0</v>
      </c>
      <c r="AF2718" s="182" t="n">
        <v>0</v>
      </c>
      <c r="AG2718" s="182" t="n">
        <v>0</v>
      </c>
      <c r="AH2718" s="182" t="n">
        <v>0</v>
      </c>
      <c r="AI2718" s="182" t="n">
        <v>0</v>
      </c>
      <c r="AJ2718" s="182" t="n">
        <v>0</v>
      </c>
      <c r="AK2718" s="182" t="n">
        <v>0</v>
      </c>
      <c r="AL2718" s="182" t="n">
        <v>0</v>
      </c>
      <c r="AM2718" s="182" t="n">
        <v>0</v>
      </c>
      <c r="AN2718" s="182" t="n">
        <v>0</v>
      </c>
    </row>
    <row r="2719">
      <c r="A2719" s="155" t="n">
        <v>46094</v>
      </c>
      <c r="B2719" s="156" t="inlineStr">
        <is>
          <t>DS</t>
        </is>
      </c>
      <c r="C2719" s="156" t="inlineStr">
        <is>
          <t>DT-523</t>
        </is>
      </c>
      <c r="D2719" s="156" t="inlineStr">
        <is>
          <t>SKT 105S</t>
        </is>
      </c>
      <c r="E2719" s="156" t="inlineStr">
        <is>
          <t>Hauler</t>
        </is>
      </c>
      <c r="F2719" s="156" t="inlineStr">
        <is>
          <t>Hauling OB &amp; Coal</t>
        </is>
      </c>
      <c r="G2719" s="182" t="n">
        <v>10.04</v>
      </c>
      <c r="H2719" s="182" t="n">
        <v>0</v>
      </c>
      <c r="I2719" s="182" t="n">
        <v>0</v>
      </c>
      <c r="J2719" s="182" t="n">
        <v>0</v>
      </c>
      <c r="K2719" s="182" t="n">
        <v>1.96</v>
      </c>
      <c r="L2719" s="182" t="n">
        <v>12</v>
      </c>
      <c r="M2719" s="182" t="n">
        <v>9.02</v>
      </c>
      <c r="N2719" s="182" t="n">
        <v>1.01</v>
      </c>
      <c r="O2719" s="183" t="n">
        <v>35</v>
      </c>
      <c r="P2719" s="183" t="n">
        <v>2</v>
      </c>
      <c r="Q2719" s="184" t="n">
        <v>714</v>
      </c>
      <c r="R2719" s="184" t="n">
        <v>37.4</v>
      </c>
      <c r="S2719" s="183" t="n">
        <v>0</v>
      </c>
      <c r="T2719" s="183" t="n">
        <v>0</v>
      </c>
      <c r="U2719" s="182" t="n">
        <v>0</v>
      </c>
      <c r="V2719" s="182" t="n">
        <v>0</v>
      </c>
      <c r="W2719" s="182" t="n">
        <v>0</v>
      </c>
      <c r="X2719" s="182" t="n">
        <v>0.93</v>
      </c>
      <c r="Y2719" s="182" t="n">
        <v>0</v>
      </c>
      <c r="Z2719" s="182" t="n">
        <v>0</v>
      </c>
      <c r="AA2719" s="182" t="n">
        <v>0</v>
      </c>
      <c r="AB2719" s="182" t="n">
        <v>0</v>
      </c>
      <c r="AC2719" s="182" t="n">
        <v>0</v>
      </c>
      <c r="AD2719" s="182" t="n">
        <v>0</v>
      </c>
      <c r="AE2719" s="182" t="n">
        <v>0</v>
      </c>
      <c r="AF2719" s="182" t="n">
        <v>0</v>
      </c>
      <c r="AG2719" s="182" t="n">
        <v>0</v>
      </c>
      <c r="AH2719" s="182" t="n">
        <v>0</v>
      </c>
      <c r="AI2719" s="182" t="n">
        <v>0.95</v>
      </c>
      <c r="AJ2719" s="182" t="n">
        <v>0</v>
      </c>
      <c r="AK2719" s="182" t="n">
        <v>0</v>
      </c>
      <c r="AL2719" s="182" t="n">
        <v>0</v>
      </c>
      <c r="AM2719" s="182" t="n">
        <v>0.07000000000000001</v>
      </c>
      <c r="AN2719" s="182" t="n">
        <v>0</v>
      </c>
    </row>
    <row r="2720">
      <c r="A2720" s="155" t="n">
        <v>46094</v>
      </c>
      <c r="B2720" s="156" t="inlineStr">
        <is>
          <t>DS</t>
        </is>
      </c>
      <c r="C2720" s="156" t="inlineStr">
        <is>
          <t>DT-519</t>
        </is>
      </c>
      <c r="D2720" s="156" t="inlineStr">
        <is>
          <t>SKT 105S</t>
        </is>
      </c>
      <c r="E2720" s="156" t="inlineStr">
        <is>
          <t>Hauler</t>
        </is>
      </c>
      <c r="F2720" s="156" t="inlineStr"/>
      <c r="G2720" s="182" t="n">
        <v>0</v>
      </c>
      <c r="H2720" s="182" t="n">
        <v>0</v>
      </c>
      <c r="I2720" s="182" t="n">
        <v>12</v>
      </c>
      <c r="J2720" s="182" t="n">
        <v>12</v>
      </c>
      <c r="K2720" s="182" t="n">
        <v>0</v>
      </c>
      <c r="L2720" s="182" t="n">
        <v>12</v>
      </c>
      <c r="M2720" s="182" t="n">
        <v>0</v>
      </c>
      <c r="N2720" s="182" t="n">
        <v>0</v>
      </c>
      <c r="O2720" s="183" t="n">
        <v>0</v>
      </c>
      <c r="P2720" s="183" t="n">
        <v>0</v>
      </c>
      <c r="Q2720" s="184" t="n">
        <v>0</v>
      </c>
      <c r="R2720" s="184" t="n">
        <v>0</v>
      </c>
      <c r="S2720" s="183" t="n">
        <v>0</v>
      </c>
      <c r="T2720" s="183" t="n">
        <v>0</v>
      </c>
      <c r="U2720" s="182" t="n">
        <v>0</v>
      </c>
      <c r="V2720" s="182" t="n">
        <v>0</v>
      </c>
      <c r="W2720" s="182" t="n">
        <v>0</v>
      </c>
      <c r="X2720" s="182" t="n">
        <v>0</v>
      </c>
      <c r="Y2720" s="182" t="n">
        <v>0</v>
      </c>
      <c r="Z2720" s="182" t="n">
        <v>0</v>
      </c>
      <c r="AA2720" s="182" t="n">
        <v>0</v>
      </c>
      <c r="AB2720" s="182" t="n">
        <v>0</v>
      </c>
      <c r="AC2720" s="182" t="n">
        <v>0</v>
      </c>
      <c r="AD2720" s="182" t="n">
        <v>0</v>
      </c>
      <c r="AE2720" s="182" t="n">
        <v>0</v>
      </c>
      <c r="AF2720" s="182" t="n">
        <v>0</v>
      </c>
      <c r="AG2720" s="182" t="n">
        <v>0</v>
      </c>
      <c r="AH2720" s="182" t="n">
        <v>0</v>
      </c>
      <c r="AI2720" s="182" t="n">
        <v>0</v>
      </c>
      <c r="AJ2720" s="182" t="n">
        <v>0</v>
      </c>
      <c r="AK2720" s="182" t="n">
        <v>0</v>
      </c>
      <c r="AL2720" s="182" t="n">
        <v>0</v>
      </c>
      <c r="AM2720" s="182" t="n">
        <v>0</v>
      </c>
      <c r="AN2720" s="182" t="n">
        <v>0</v>
      </c>
    </row>
    <row r="2721">
      <c r="A2721" s="155" t="n">
        <v>46094</v>
      </c>
      <c r="B2721" s="156" t="inlineStr">
        <is>
          <t>DS</t>
        </is>
      </c>
      <c r="C2721" s="156" t="inlineStr">
        <is>
          <t>DT-527</t>
        </is>
      </c>
      <c r="D2721" s="156" t="inlineStr">
        <is>
          <t>SKT 105S</t>
        </is>
      </c>
      <c r="E2721" s="156" t="inlineStr">
        <is>
          <t>Hauler</t>
        </is>
      </c>
      <c r="F2721" s="156" t="inlineStr">
        <is>
          <t>Hauling OB &amp; Coal</t>
        </is>
      </c>
      <c r="G2721" s="182" t="n">
        <v>9.59</v>
      </c>
      <c r="H2721" s="182" t="n">
        <v>0</v>
      </c>
      <c r="I2721" s="182" t="n">
        <v>0.08</v>
      </c>
      <c r="J2721" s="182" t="n">
        <v>0.08</v>
      </c>
      <c r="K2721" s="182" t="n">
        <v>2.33</v>
      </c>
      <c r="L2721" s="182" t="n">
        <v>12</v>
      </c>
      <c r="M2721" s="182" t="n">
        <v>8.609999999999999</v>
      </c>
      <c r="N2721" s="182" t="n">
        <v>0.98</v>
      </c>
      <c r="O2721" s="183" t="n">
        <v>39</v>
      </c>
      <c r="P2721" s="183" t="n">
        <v>2</v>
      </c>
      <c r="Q2721" s="184" t="n">
        <v>795.6</v>
      </c>
      <c r="R2721" s="184" t="n">
        <v>37.4</v>
      </c>
      <c r="S2721" s="183" t="n">
        <v>0</v>
      </c>
      <c r="T2721" s="183" t="n">
        <v>0</v>
      </c>
      <c r="U2721" s="182" t="n">
        <v>0</v>
      </c>
      <c r="V2721" s="182" t="n">
        <v>0</v>
      </c>
      <c r="W2721" s="182" t="n">
        <v>0</v>
      </c>
      <c r="X2721" s="182" t="n">
        <v>1.1</v>
      </c>
      <c r="Y2721" s="182" t="n">
        <v>0</v>
      </c>
      <c r="Z2721" s="182" t="n">
        <v>0</v>
      </c>
      <c r="AA2721" s="182" t="n">
        <v>0</v>
      </c>
      <c r="AB2721" s="182" t="n">
        <v>0</v>
      </c>
      <c r="AC2721" s="182" t="n">
        <v>0</v>
      </c>
      <c r="AD2721" s="182" t="n">
        <v>0</v>
      </c>
      <c r="AE2721" s="182" t="n">
        <v>0</v>
      </c>
      <c r="AF2721" s="182" t="n">
        <v>0</v>
      </c>
      <c r="AG2721" s="182" t="n">
        <v>0</v>
      </c>
      <c r="AH2721" s="182" t="n">
        <v>0</v>
      </c>
      <c r="AI2721" s="182" t="n">
        <v>1.13</v>
      </c>
      <c r="AJ2721" s="182" t="n">
        <v>0</v>
      </c>
      <c r="AK2721" s="182" t="n">
        <v>0</v>
      </c>
      <c r="AL2721" s="182" t="n">
        <v>0</v>
      </c>
      <c r="AM2721" s="182" t="n">
        <v>0.09</v>
      </c>
      <c r="AN2721" s="182" t="n">
        <v>0</v>
      </c>
    </row>
    <row r="2722">
      <c r="A2722" s="155" t="n">
        <v>46094</v>
      </c>
      <c r="B2722" s="156" t="inlineStr">
        <is>
          <t>DS</t>
        </is>
      </c>
      <c r="C2722" s="156" t="inlineStr">
        <is>
          <t>DT-513</t>
        </is>
      </c>
      <c r="D2722" s="156" t="inlineStr">
        <is>
          <t>SKT 105S</t>
        </is>
      </c>
      <c r="E2722" s="156" t="inlineStr">
        <is>
          <t>Hauler</t>
        </is>
      </c>
      <c r="F2722" s="156" t="inlineStr"/>
      <c r="G2722" s="182" t="n">
        <v>0</v>
      </c>
      <c r="H2722" s="182" t="n">
        <v>0</v>
      </c>
      <c r="I2722" s="182" t="n">
        <v>12</v>
      </c>
      <c r="J2722" s="182" t="n">
        <v>12</v>
      </c>
      <c r="K2722" s="182" t="n">
        <v>0</v>
      </c>
      <c r="L2722" s="182" t="n">
        <v>12</v>
      </c>
      <c r="M2722" s="182" t="n">
        <v>0</v>
      </c>
      <c r="N2722" s="182" t="n">
        <v>0</v>
      </c>
      <c r="O2722" s="183" t="n">
        <v>0</v>
      </c>
      <c r="P2722" s="183" t="n">
        <v>0</v>
      </c>
      <c r="Q2722" s="184" t="n">
        <v>0</v>
      </c>
      <c r="R2722" s="184" t="n">
        <v>0</v>
      </c>
      <c r="S2722" s="183" t="n">
        <v>0</v>
      </c>
      <c r="T2722" s="183" t="n">
        <v>0</v>
      </c>
      <c r="U2722" s="182" t="n">
        <v>0</v>
      </c>
      <c r="V2722" s="182" t="n">
        <v>0</v>
      </c>
      <c r="W2722" s="182" t="n">
        <v>0</v>
      </c>
      <c r="X2722" s="182" t="n">
        <v>0</v>
      </c>
      <c r="Y2722" s="182" t="n">
        <v>0</v>
      </c>
      <c r="Z2722" s="182" t="n">
        <v>0</v>
      </c>
      <c r="AA2722" s="182" t="n">
        <v>0</v>
      </c>
      <c r="AB2722" s="182" t="n">
        <v>0</v>
      </c>
      <c r="AC2722" s="182" t="n">
        <v>0</v>
      </c>
      <c r="AD2722" s="182" t="n">
        <v>0</v>
      </c>
      <c r="AE2722" s="182" t="n">
        <v>0</v>
      </c>
      <c r="AF2722" s="182" t="n">
        <v>0</v>
      </c>
      <c r="AG2722" s="182" t="n">
        <v>0</v>
      </c>
      <c r="AH2722" s="182" t="n">
        <v>0</v>
      </c>
      <c r="AI2722" s="182" t="n">
        <v>0</v>
      </c>
      <c r="AJ2722" s="182" t="n">
        <v>0</v>
      </c>
      <c r="AK2722" s="182" t="n">
        <v>0</v>
      </c>
      <c r="AL2722" s="182" t="n">
        <v>0</v>
      </c>
      <c r="AM2722" s="182" t="n">
        <v>0</v>
      </c>
      <c r="AN2722" s="182" t="n">
        <v>0</v>
      </c>
    </row>
    <row r="2723">
      <c r="A2723" s="155" t="n">
        <v>46094</v>
      </c>
      <c r="B2723" s="156" t="inlineStr">
        <is>
          <t>DS</t>
        </is>
      </c>
      <c r="C2723" s="156" t="inlineStr">
        <is>
          <t>DT-512</t>
        </is>
      </c>
      <c r="D2723" s="156" t="inlineStr">
        <is>
          <t>SKT 105S</t>
        </is>
      </c>
      <c r="E2723" s="156" t="inlineStr">
        <is>
          <t>Hauler</t>
        </is>
      </c>
      <c r="F2723" s="156" t="inlineStr">
        <is>
          <t>Hauling OB &amp; Coal</t>
        </is>
      </c>
      <c r="G2723" s="182" t="n">
        <v>10.25</v>
      </c>
      <c r="H2723" s="182" t="n">
        <v>0</v>
      </c>
      <c r="I2723" s="182" t="n">
        <v>0</v>
      </c>
      <c r="J2723" s="182" t="n">
        <v>0</v>
      </c>
      <c r="K2723" s="182" t="n">
        <v>1.75</v>
      </c>
      <c r="L2723" s="182" t="n">
        <v>12</v>
      </c>
      <c r="M2723" s="182" t="n">
        <v>9.25</v>
      </c>
      <c r="N2723" s="182" t="n">
        <v>1.01</v>
      </c>
      <c r="O2723" s="183" t="n">
        <v>35</v>
      </c>
      <c r="P2723" s="183" t="n">
        <v>3</v>
      </c>
      <c r="Q2723" s="184" t="n">
        <v>714</v>
      </c>
      <c r="R2723" s="184" t="n">
        <v>56.1</v>
      </c>
      <c r="S2723" s="183" t="n">
        <v>0</v>
      </c>
      <c r="T2723" s="183" t="n">
        <v>0</v>
      </c>
      <c r="U2723" s="182" t="n">
        <v>0</v>
      </c>
      <c r="V2723" s="182" t="n">
        <v>0</v>
      </c>
      <c r="W2723" s="182" t="n">
        <v>0</v>
      </c>
      <c r="X2723" s="182" t="n">
        <v>0.97</v>
      </c>
      <c r="Y2723" s="182" t="n">
        <v>0</v>
      </c>
      <c r="Z2723" s="182" t="n">
        <v>0</v>
      </c>
      <c r="AA2723" s="182" t="n">
        <v>0</v>
      </c>
      <c r="AB2723" s="182" t="n">
        <v>0</v>
      </c>
      <c r="AC2723" s="182" t="n">
        <v>0</v>
      </c>
      <c r="AD2723" s="182" t="n">
        <v>0</v>
      </c>
      <c r="AE2723" s="182" t="n">
        <v>0</v>
      </c>
      <c r="AF2723" s="182" t="n">
        <v>0</v>
      </c>
      <c r="AG2723" s="182" t="n">
        <v>0</v>
      </c>
      <c r="AH2723" s="182" t="n">
        <v>0.7</v>
      </c>
      <c r="AI2723" s="182" t="n">
        <v>0</v>
      </c>
      <c r="AJ2723" s="182" t="n">
        <v>0</v>
      </c>
      <c r="AK2723" s="182" t="n">
        <v>0</v>
      </c>
      <c r="AL2723" s="182" t="n">
        <v>0</v>
      </c>
      <c r="AM2723" s="182" t="n">
        <v>0.08</v>
      </c>
      <c r="AN2723" s="182" t="n">
        <v>0</v>
      </c>
    </row>
    <row r="2724">
      <c r="A2724" s="155" t="n">
        <v>46094</v>
      </c>
      <c r="B2724" s="156" t="inlineStr">
        <is>
          <t>DS</t>
        </is>
      </c>
      <c r="C2724" s="156" t="inlineStr">
        <is>
          <t>DT-522</t>
        </is>
      </c>
      <c r="D2724" s="156" t="inlineStr">
        <is>
          <t>SKT 105S</t>
        </is>
      </c>
      <c r="E2724" s="156" t="inlineStr">
        <is>
          <t>Hauler</t>
        </is>
      </c>
      <c r="F2724" s="156" t="inlineStr">
        <is>
          <t>Hauling OB &amp; Coal</t>
        </is>
      </c>
      <c r="G2724" s="182" t="n">
        <v>8.390000000000001</v>
      </c>
      <c r="H2724" s="182" t="n">
        <v>0</v>
      </c>
      <c r="I2724" s="182" t="n">
        <v>0</v>
      </c>
      <c r="J2724" s="182" t="n">
        <v>0</v>
      </c>
      <c r="K2724" s="182" t="n">
        <v>3.61</v>
      </c>
      <c r="L2724" s="182" t="n">
        <v>12</v>
      </c>
      <c r="M2724" s="182" t="n">
        <v>8.390000000000001</v>
      </c>
      <c r="N2724" s="182" t="n">
        <v>0</v>
      </c>
      <c r="O2724" s="183" t="n">
        <v>37</v>
      </c>
      <c r="P2724" s="183" t="n">
        <v>0</v>
      </c>
      <c r="Q2724" s="184" t="n">
        <v>754.8</v>
      </c>
      <c r="R2724" s="184" t="n">
        <v>0</v>
      </c>
      <c r="S2724" s="183" t="n">
        <v>0</v>
      </c>
      <c r="T2724" s="183" t="n">
        <v>0</v>
      </c>
      <c r="U2724" s="182" t="n">
        <v>0</v>
      </c>
      <c r="V2724" s="182" t="n">
        <v>0</v>
      </c>
      <c r="W2724" s="182" t="n">
        <v>0</v>
      </c>
      <c r="X2724" s="182" t="n">
        <v>1.03</v>
      </c>
      <c r="Y2724" s="182" t="n">
        <v>0</v>
      </c>
      <c r="Z2724" s="182" t="n">
        <v>0</v>
      </c>
      <c r="AA2724" s="182" t="n">
        <v>0</v>
      </c>
      <c r="AB2724" s="182" t="n">
        <v>0</v>
      </c>
      <c r="AC2724" s="182" t="n">
        <v>0</v>
      </c>
      <c r="AD2724" s="182" t="n">
        <v>0</v>
      </c>
      <c r="AE2724" s="182" t="n">
        <v>0</v>
      </c>
      <c r="AF2724" s="182" t="n">
        <v>0</v>
      </c>
      <c r="AG2724" s="182" t="n">
        <v>0</v>
      </c>
      <c r="AH2724" s="182" t="n">
        <v>0</v>
      </c>
      <c r="AI2724" s="182" t="n">
        <v>2.5</v>
      </c>
      <c r="AJ2724" s="182" t="n">
        <v>0</v>
      </c>
      <c r="AK2724" s="182" t="n">
        <v>0</v>
      </c>
      <c r="AL2724" s="182" t="n">
        <v>0</v>
      </c>
      <c r="AM2724" s="182" t="n">
        <v>0.08</v>
      </c>
      <c r="AN2724" s="182" t="n">
        <v>0</v>
      </c>
    </row>
    <row r="2725">
      <c r="A2725" s="155" t="n">
        <v>46094</v>
      </c>
      <c r="B2725" s="156" t="inlineStr">
        <is>
          <t>DS</t>
        </is>
      </c>
      <c r="C2725" s="156" t="inlineStr">
        <is>
          <t>DT-517</t>
        </is>
      </c>
      <c r="D2725" s="156" t="inlineStr">
        <is>
          <t>SKT 105S</t>
        </is>
      </c>
      <c r="E2725" s="156" t="inlineStr">
        <is>
          <t>Hauler</t>
        </is>
      </c>
      <c r="F2725" s="156" t="inlineStr">
        <is>
          <t>Hauling OB &amp; Coal</t>
        </is>
      </c>
      <c r="G2725" s="182" t="n">
        <v>3.27</v>
      </c>
      <c r="H2725" s="182" t="n">
        <v>0</v>
      </c>
      <c r="I2725" s="182" t="n">
        <v>8.5</v>
      </c>
      <c r="J2725" s="182" t="n">
        <v>8.5</v>
      </c>
      <c r="K2725" s="182" t="n">
        <v>0.23</v>
      </c>
      <c r="L2725" s="182" t="n">
        <v>12</v>
      </c>
      <c r="M2725" s="182" t="n">
        <v>3.27</v>
      </c>
      <c r="N2725" s="182" t="n">
        <v>0</v>
      </c>
      <c r="O2725" s="183" t="n">
        <v>9</v>
      </c>
      <c r="P2725" s="183" t="n">
        <v>0</v>
      </c>
      <c r="Q2725" s="184" t="n">
        <v>183.6</v>
      </c>
      <c r="R2725" s="184" t="n">
        <v>0</v>
      </c>
      <c r="S2725" s="183" t="n">
        <v>0</v>
      </c>
      <c r="T2725" s="183" t="n">
        <v>0</v>
      </c>
      <c r="U2725" s="182" t="n">
        <v>0</v>
      </c>
      <c r="V2725" s="182" t="n">
        <v>0</v>
      </c>
      <c r="W2725" s="182" t="n">
        <v>0</v>
      </c>
      <c r="X2725" s="182" t="n">
        <v>0.14</v>
      </c>
      <c r="Y2725" s="182" t="n">
        <v>0</v>
      </c>
      <c r="Z2725" s="182" t="n">
        <v>0</v>
      </c>
      <c r="AA2725" s="182" t="n">
        <v>0</v>
      </c>
      <c r="AB2725" s="182" t="n">
        <v>0</v>
      </c>
      <c r="AC2725" s="182" t="n">
        <v>0</v>
      </c>
      <c r="AD2725" s="182" t="n">
        <v>0</v>
      </c>
      <c r="AE2725" s="182" t="n">
        <v>0</v>
      </c>
      <c r="AF2725" s="182" t="n">
        <v>0</v>
      </c>
      <c r="AG2725" s="182" t="n">
        <v>0</v>
      </c>
      <c r="AH2725" s="182" t="n">
        <v>0</v>
      </c>
      <c r="AI2725" s="182" t="n">
        <v>0</v>
      </c>
      <c r="AJ2725" s="182" t="n">
        <v>0</v>
      </c>
      <c r="AK2725" s="182" t="n">
        <v>0</v>
      </c>
      <c r="AL2725" s="182" t="n">
        <v>0</v>
      </c>
      <c r="AM2725" s="182" t="n">
        <v>0.09</v>
      </c>
      <c r="AN2725" s="182" t="n">
        <v>0</v>
      </c>
    </row>
    <row r="2726">
      <c r="A2726" s="155" t="n">
        <v>46094</v>
      </c>
      <c r="B2726" s="156" t="inlineStr">
        <is>
          <t>DS</t>
        </is>
      </c>
      <c r="C2726" s="156" t="inlineStr">
        <is>
          <t>DT-510</t>
        </is>
      </c>
      <c r="D2726" s="156" t="inlineStr">
        <is>
          <t>SKT 105S</t>
        </is>
      </c>
      <c r="E2726" s="156" t="inlineStr">
        <is>
          <t>Hauler</t>
        </is>
      </c>
      <c r="F2726" s="156" t="inlineStr">
        <is>
          <t>Hauling OB</t>
        </is>
      </c>
      <c r="G2726" s="182" t="n">
        <v>2.74</v>
      </c>
      <c r="H2726" s="182" t="n">
        <v>0</v>
      </c>
      <c r="I2726" s="182" t="n">
        <v>0</v>
      </c>
      <c r="J2726" s="182" t="n">
        <v>0</v>
      </c>
      <c r="K2726" s="182" t="n">
        <v>9.26</v>
      </c>
      <c r="L2726" s="182" t="n">
        <v>12</v>
      </c>
      <c r="M2726" s="182" t="n">
        <v>2.74</v>
      </c>
      <c r="N2726" s="182" t="n">
        <v>0</v>
      </c>
      <c r="O2726" s="183" t="n">
        <v>10</v>
      </c>
      <c r="P2726" s="183" t="n">
        <v>0</v>
      </c>
      <c r="Q2726" s="184" t="n">
        <v>204</v>
      </c>
      <c r="R2726" s="184" t="n">
        <v>0</v>
      </c>
      <c r="S2726" s="183" t="n">
        <v>0</v>
      </c>
      <c r="T2726" s="183" t="n">
        <v>0</v>
      </c>
      <c r="U2726" s="182" t="n">
        <v>0</v>
      </c>
      <c r="V2726" s="182" t="n">
        <v>0</v>
      </c>
      <c r="W2726" s="182" t="n">
        <v>0</v>
      </c>
      <c r="X2726" s="182" t="n">
        <v>0.97</v>
      </c>
      <c r="Y2726" s="182" t="n">
        <v>0</v>
      </c>
      <c r="Z2726" s="182" t="n">
        <v>0</v>
      </c>
      <c r="AA2726" s="182" t="n">
        <v>0</v>
      </c>
      <c r="AB2726" s="182" t="n">
        <v>0</v>
      </c>
      <c r="AC2726" s="182" t="n">
        <v>0</v>
      </c>
      <c r="AD2726" s="182" t="n">
        <v>0</v>
      </c>
      <c r="AE2726" s="182" t="n">
        <v>0</v>
      </c>
      <c r="AF2726" s="182" t="n">
        <v>0</v>
      </c>
      <c r="AG2726" s="182" t="n">
        <v>0</v>
      </c>
      <c r="AH2726" s="182" t="n">
        <v>0</v>
      </c>
      <c r="AI2726" s="182" t="n">
        <v>8.210000000000001</v>
      </c>
      <c r="AJ2726" s="182" t="n">
        <v>0</v>
      </c>
      <c r="AK2726" s="182" t="n">
        <v>0</v>
      </c>
      <c r="AL2726" s="182" t="n">
        <v>0</v>
      </c>
      <c r="AM2726" s="182" t="n">
        <v>0.08</v>
      </c>
      <c r="AN2726" s="182" t="n">
        <v>0</v>
      </c>
    </row>
    <row r="2727">
      <c r="A2727" s="155" t="n">
        <v>46094</v>
      </c>
      <c r="B2727" s="156" t="inlineStr">
        <is>
          <t>DS</t>
        </is>
      </c>
      <c r="C2727" s="156" t="inlineStr">
        <is>
          <t>DT-521</t>
        </is>
      </c>
      <c r="D2727" s="156" t="inlineStr">
        <is>
          <t>SKT 105S</t>
        </is>
      </c>
      <c r="E2727" s="156" t="inlineStr">
        <is>
          <t>Hauler</t>
        </is>
      </c>
      <c r="F2727" s="156" t="inlineStr">
        <is>
          <t>Hauling OB &amp; Coal</t>
        </is>
      </c>
      <c r="G2727" s="182" t="n">
        <v>6.38</v>
      </c>
      <c r="H2727" s="182" t="n">
        <v>0</v>
      </c>
      <c r="I2727" s="182" t="n">
        <v>0.22</v>
      </c>
      <c r="J2727" s="182" t="n">
        <v>0.22</v>
      </c>
      <c r="K2727" s="182" t="n">
        <v>5.4</v>
      </c>
      <c r="L2727" s="182" t="n">
        <v>12</v>
      </c>
      <c r="M2727" s="182" t="n">
        <v>3.29</v>
      </c>
      <c r="N2727" s="182" t="n">
        <v>3.09</v>
      </c>
      <c r="O2727" s="183" t="n">
        <v>12</v>
      </c>
      <c r="P2727" s="183" t="n">
        <v>10</v>
      </c>
      <c r="Q2727" s="184" t="n">
        <v>244.8</v>
      </c>
      <c r="R2727" s="184" t="n">
        <v>187</v>
      </c>
      <c r="S2727" s="183" t="n">
        <v>0</v>
      </c>
      <c r="T2727" s="183" t="n">
        <v>0</v>
      </c>
      <c r="U2727" s="182" t="n">
        <v>0</v>
      </c>
      <c r="V2727" s="182" t="n">
        <v>0</v>
      </c>
      <c r="W2727" s="182" t="n">
        <v>0</v>
      </c>
      <c r="X2727" s="182" t="n">
        <v>0.97</v>
      </c>
      <c r="Y2727" s="182" t="n">
        <v>0</v>
      </c>
      <c r="Z2727" s="182" t="n">
        <v>0</v>
      </c>
      <c r="AA2727" s="182" t="n">
        <v>0</v>
      </c>
      <c r="AB2727" s="182" t="n">
        <v>0</v>
      </c>
      <c r="AC2727" s="182" t="n">
        <v>0</v>
      </c>
      <c r="AD2727" s="182" t="n">
        <v>0</v>
      </c>
      <c r="AE2727" s="182" t="n">
        <v>0</v>
      </c>
      <c r="AF2727" s="182" t="n">
        <v>0</v>
      </c>
      <c r="AG2727" s="182" t="n">
        <v>0</v>
      </c>
      <c r="AH2727" s="182" t="n">
        <v>0</v>
      </c>
      <c r="AI2727" s="182" t="n">
        <v>4.35</v>
      </c>
      <c r="AJ2727" s="182" t="n">
        <v>0</v>
      </c>
      <c r="AK2727" s="182" t="n">
        <v>0</v>
      </c>
      <c r="AL2727" s="182" t="n">
        <v>0</v>
      </c>
      <c r="AM2727" s="182" t="n">
        <v>0.08</v>
      </c>
      <c r="AN2727" s="182" t="n">
        <v>0</v>
      </c>
    </row>
    <row r="2728">
      <c r="A2728" s="155" t="n">
        <v>46094</v>
      </c>
      <c r="B2728" s="156" t="inlineStr">
        <is>
          <t>DS</t>
        </is>
      </c>
      <c r="C2728" s="156" t="inlineStr">
        <is>
          <t>DT-516</t>
        </is>
      </c>
      <c r="D2728" s="156" t="inlineStr">
        <is>
          <t>SKT 105S</t>
        </is>
      </c>
      <c r="E2728" s="156" t="inlineStr">
        <is>
          <t>Hauler</t>
        </is>
      </c>
      <c r="F2728" s="156" t="inlineStr">
        <is>
          <t>Hauling OB</t>
        </is>
      </c>
      <c r="G2728" s="182" t="n">
        <v>11.15</v>
      </c>
      <c r="H2728" s="182" t="n">
        <v>0</v>
      </c>
      <c r="I2728" s="182" t="n">
        <v>0</v>
      </c>
      <c r="J2728" s="182" t="n">
        <v>0</v>
      </c>
      <c r="K2728" s="182" t="n">
        <v>0.85</v>
      </c>
      <c r="L2728" s="182" t="n">
        <v>12</v>
      </c>
      <c r="M2728" s="182" t="n">
        <v>10.98</v>
      </c>
      <c r="N2728" s="182" t="n">
        <v>0</v>
      </c>
      <c r="O2728" s="183" t="n">
        <v>55</v>
      </c>
      <c r="P2728" s="183" t="n">
        <v>0</v>
      </c>
      <c r="Q2728" s="184" t="n">
        <v>1122</v>
      </c>
      <c r="R2728" s="184" t="n">
        <v>0</v>
      </c>
      <c r="S2728" s="183" t="n">
        <v>0</v>
      </c>
      <c r="T2728" s="183" t="n">
        <v>0</v>
      </c>
      <c r="U2728" s="182" t="n">
        <v>0</v>
      </c>
      <c r="V2728" s="182" t="n">
        <v>0</v>
      </c>
      <c r="W2728" s="182" t="n">
        <v>0</v>
      </c>
      <c r="X2728" s="182" t="n">
        <v>0.78</v>
      </c>
      <c r="Y2728" s="182" t="n">
        <v>0</v>
      </c>
      <c r="Z2728" s="182" t="n">
        <v>0</v>
      </c>
      <c r="AA2728" s="182" t="n">
        <v>0</v>
      </c>
      <c r="AB2728" s="182" t="n">
        <v>0</v>
      </c>
      <c r="AC2728" s="182" t="n">
        <v>0</v>
      </c>
      <c r="AD2728" s="182" t="n">
        <v>0</v>
      </c>
      <c r="AE2728" s="182" t="n">
        <v>0</v>
      </c>
      <c r="AF2728" s="182" t="n">
        <v>0</v>
      </c>
      <c r="AG2728" s="182" t="n">
        <v>0</v>
      </c>
      <c r="AH2728" s="182" t="n">
        <v>0</v>
      </c>
      <c r="AI2728" s="182" t="n">
        <v>0</v>
      </c>
      <c r="AJ2728" s="182" t="n">
        <v>0</v>
      </c>
      <c r="AK2728" s="182" t="n">
        <v>0</v>
      </c>
      <c r="AL2728" s="182" t="n">
        <v>0</v>
      </c>
      <c r="AM2728" s="182" t="n">
        <v>0.07000000000000001</v>
      </c>
      <c r="AN2728" s="182" t="n">
        <v>0</v>
      </c>
    </row>
    <row r="2729">
      <c r="A2729" s="155" t="n">
        <v>46094</v>
      </c>
      <c r="B2729" s="156" t="inlineStr">
        <is>
          <t>DS</t>
        </is>
      </c>
      <c r="C2729" s="156" t="inlineStr">
        <is>
          <t>DT-506</t>
        </is>
      </c>
      <c r="D2729" s="156" t="inlineStr">
        <is>
          <t>SKT 105S</t>
        </is>
      </c>
      <c r="E2729" s="156" t="inlineStr">
        <is>
          <t>Hauler</t>
        </is>
      </c>
      <c r="F2729" s="156" t="inlineStr">
        <is>
          <t>Hauling OB &amp; Coal</t>
        </is>
      </c>
      <c r="G2729" s="182" t="n">
        <v>5.33</v>
      </c>
      <c r="H2729" s="182" t="n">
        <v>0</v>
      </c>
      <c r="I2729" s="182" t="n">
        <v>0</v>
      </c>
      <c r="J2729" s="182" t="n">
        <v>0</v>
      </c>
      <c r="K2729" s="182" t="n">
        <v>6.67</v>
      </c>
      <c r="L2729" s="182" t="n">
        <v>12</v>
      </c>
      <c r="M2729" s="182" t="n">
        <v>4.83</v>
      </c>
      <c r="N2729" s="182" t="n">
        <v>0.49</v>
      </c>
      <c r="O2729" s="183" t="n">
        <v>20</v>
      </c>
      <c r="P2729" s="183" t="n">
        <v>1</v>
      </c>
      <c r="Q2729" s="184" t="n">
        <v>408</v>
      </c>
      <c r="R2729" s="184" t="n">
        <v>18.7</v>
      </c>
      <c r="S2729" s="183" t="n">
        <v>0</v>
      </c>
      <c r="T2729" s="183" t="n">
        <v>0</v>
      </c>
      <c r="U2729" s="182" t="n">
        <v>0</v>
      </c>
      <c r="V2729" s="182" t="n">
        <v>0</v>
      </c>
      <c r="W2729" s="182" t="n">
        <v>0</v>
      </c>
      <c r="X2729" s="182" t="n">
        <v>1.01</v>
      </c>
      <c r="Y2729" s="182" t="n">
        <v>0</v>
      </c>
      <c r="Z2729" s="182" t="n">
        <v>0</v>
      </c>
      <c r="AA2729" s="182" t="n">
        <v>0</v>
      </c>
      <c r="AB2729" s="182" t="n">
        <v>0</v>
      </c>
      <c r="AC2729" s="182" t="n">
        <v>0</v>
      </c>
      <c r="AD2729" s="182" t="n">
        <v>0</v>
      </c>
      <c r="AE2729" s="182" t="n">
        <v>0</v>
      </c>
      <c r="AF2729" s="182" t="n">
        <v>0</v>
      </c>
      <c r="AG2729" s="182" t="n">
        <v>0</v>
      </c>
      <c r="AH2729" s="182" t="n">
        <v>0</v>
      </c>
      <c r="AI2729" s="182" t="n">
        <v>5.58</v>
      </c>
      <c r="AJ2729" s="182" t="n">
        <v>0</v>
      </c>
      <c r="AK2729" s="182" t="n">
        <v>0</v>
      </c>
      <c r="AL2729" s="182" t="n">
        <v>0</v>
      </c>
      <c r="AM2729" s="182" t="n">
        <v>0.08</v>
      </c>
      <c r="AN2729" s="182" t="n">
        <v>0</v>
      </c>
    </row>
    <row r="2730">
      <c r="A2730" s="155" t="n">
        <v>46094</v>
      </c>
      <c r="B2730" s="156" t="inlineStr">
        <is>
          <t>DS</t>
        </is>
      </c>
      <c r="C2730" s="156" t="inlineStr">
        <is>
          <t>DT-502</t>
        </is>
      </c>
      <c r="D2730" s="156" t="inlineStr">
        <is>
          <t>SKT 105S</t>
        </is>
      </c>
      <c r="E2730" s="156" t="inlineStr">
        <is>
          <t>Hauler</t>
        </is>
      </c>
      <c r="F2730" s="156" t="inlineStr">
        <is>
          <t>Hauling OB &amp; Coal</t>
        </is>
      </c>
      <c r="G2730" s="182" t="n">
        <v>3.6</v>
      </c>
      <c r="H2730" s="182" t="n">
        <v>0</v>
      </c>
      <c r="I2730" s="182" t="n">
        <v>1.78</v>
      </c>
      <c r="J2730" s="182" t="n">
        <v>1.78</v>
      </c>
      <c r="K2730" s="182" t="n">
        <v>6.62</v>
      </c>
      <c r="L2730" s="182" t="n">
        <v>12</v>
      </c>
      <c r="M2730" s="182" t="n">
        <v>2.37</v>
      </c>
      <c r="N2730" s="182" t="n">
        <v>1.24</v>
      </c>
      <c r="O2730" s="183" t="n">
        <v>9</v>
      </c>
      <c r="P2730" s="183" t="n">
        <v>3</v>
      </c>
      <c r="Q2730" s="184" t="n">
        <v>183.6</v>
      </c>
      <c r="R2730" s="184" t="n">
        <v>56.1</v>
      </c>
      <c r="S2730" s="183" t="n">
        <v>0</v>
      </c>
      <c r="T2730" s="183" t="n">
        <v>0</v>
      </c>
      <c r="U2730" s="182" t="n">
        <v>0</v>
      </c>
      <c r="V2730" s="182" t="n">
        <v>0</v>
      </c>
      <c r="W2730" s="182" t="n">
        <v>0</v>
      </c>
      <c r="X2730" s="182" t="n">
        <v>0.99</v>
      </c>
      <c r="Y2730" s="182" t="n">
        <v>0</v>
      </c>
      <c r="Z2730" s="182" t="n">
        <v>0</v>
      </c>
      <c r="AA2730" s="182" t="n">
        <v>0</v>
      </c>
      <c r="AB2730" s="182" t="n">
        <v>0</v>
      </c>
      <c r="AC2730" s="182" t="n">
        <v>0</v>
      </c>
      <c r="AD2730" s="182" t="n">
        <v>0</v>
      </c>
      <c r="AE2730" s="182" t="n">
        <v>0</v>
      </c>
      <c r="AF2730" s="182" t="n">
        <v>0</v>
      </c>
      <c r="AG2730" s="182" t="n">
        <v>0</v>
      </c>
      <c r="AH2730" s="182" t="n">
        <v>0</v>
      </c>
      <c r="AI2730" s="182" t="n">
        <v>5.55</v>
      </c>
      <c r="AJ2730" s="182" t="n">
        <v>0</v>
      </c>
      <c r="AK2730" s="182" t="n">
        <v>0</v>
      </c>
      <c r="AL2730" s="182" t="n">
        <v>0</v>
      </c>
      <c r="AM2730" s="182" t="n">
        <v>0.08</v>
      </c>
      <c r="AN2730" s="182" t="n">
        <v>0</v>
      </c>
    </row>
    <row r="2731">
      <c r="A2731" s="155" t="n">
        <v>46094</v>
      </c>
      <c r="B2731" s="156" t="inlineStr">
        <is>
          <t>DS</t>
        </is>
      </c>
      <c r="C2731" s="156" t="inlineStr">
        <is>
          <t>DT-528</t>
        </is>
      </c>
      <c r="D2731" s="156" t="inlineStr">
        <is>
          <t>SKT 105S</t>
        </is>
      </c>
      <c r="E2731" s="156" t="inlineStr">
        <is>
          <t>Hauler</t>
        </is>
      </c>
      <c r="F2731" s="156" t="inlineStr"/>
      <c r="G2731" s="182" t="n">
        <v>0</v>
      </c>
      <c r="H2731" s="182" t="n">
        <v>0</v>
      </c>
      <c r="I2731" s="182" t="n">
        <v>1.07</v>
      </c>
      <c r="J2731" s="182" t="n">
        <v>1.07</v>
      </c>
      <c r="K2731" s="182" t="n">
        <v>10.93</v>
      </c>
      <c r="L2731" s="182" t="n">
        <v>12</v>
      </c>
      <c r="M2731" s="182" t="n">
        <v>0</v>
      </c>
      <c r="N2731" s="182" t="n">
        <v>0</v>
      </c>
      <c r="O2731" s="183" t="n">
        <v>0</v>
      </c>
      <c r="P2731" s="183" t="n">
        <v>0</v>
      </c>
      <c r="Q2731" s="184" t="n">
        <v>0</v>
      </c>
      <c r="R2731" s="184" t="n">
        <v>0</v>
      </c>
      <c r="S2731" s="183" t="n">
        <v>0</v>
      </c>
      <c r="T2731" s="183" t="n">
        <v>0</v>
      </c>
      <c r="U2731" s="182" t="n">
        <v>0</v>
      </c>
      <c r="V2731" s="182" t="n">
        <v>0</v>
      </c>
      <c r="W2731" s="182" t="n">
        <v>0</v>
      </c>
      <c r="X2731" s="182" t="n">
        <v>1</v>
      </c>
      <c r="Y2731" s="182" t="n">
        <v>0</v>
      </c>
      <c r="Z2731" s="182" t="n">
        <v>0</v>
      </c>
      <c r="AA2731" s="182" t="n">
        <v>0</v>
      </c>
      <c r="AB2731" s="182" t="n">
        <v>0</v>
      </c>
      <c r="AC2731" s="182" t="n">
        <v>0</v>
      </c>
      <c r="AD2731" s="182" t="n">
        <v>0</v>
      </c>
      <c r="AE2731" s="182" t="n">
        <v>0</v>
      </c>
      <c r="AF2731" s="182" t="n">
        <v>0</v>
      </c>
      <c r="AG2731" s="182" t="n">
        <v>0</v>
      </c>
      <c r="AH2731" s="182" t="n">
        <v>0</v>
      </c>
      <c r="AI2731" s="182" t="n">
        <v>9.85</v>
      </c>
      <c r="AJ2731" s="182" t="n">
        <v>0</v>
      </c>
      <c r="AK2731" s="182" t="n">
        <v>0</v>
      </c>
      <c r="AL2731" s="182" t="n">
        <v>0</v>
      </c>
      <c r="AM2731" s="182" t="n">
        <v>0.08</v>
      </c>
      <c r="AN2731" s="182" t="n">
        <v>0</v>
      </c>
    </row>
    <row r="2732">
      <c r="A2732" s="155" t="n">
        <v>46094</v>
      </c>
      <c r="B2732" s="156" t="inlineStr">
        <is>
          <t>DS</t>
        </is>
      </c>
      <c r="C2732" s="156" t="inlineStr">
        <is>
          <t>DT-529</t>
        </is>
      </c>
      <c r="D2732" s="156" t="inlineStr">
        <is>
          <t>SKT 105S</t>
        </is>
      </c>
      <c r="E2732" s="156" t="inlineStr">
        <is>
          <t>Hauler</t>
        </is>
      </c>
      <c r="F2732" s="156" t="inlineStr">
        <is>
          <t>Hauling Coal &amp; OB</t>
        </is>
      </c>
      <c r="G2732" s="182" t="n">
        <v>2.49</v>
      </c>
      <c r="H2732" s="182" t="n">
        <v>0</v>
      </c>
      <c r="I2732" s="182" t="n">
        <v>0</v>
      </c>
      <c r="J2732" s="182" t="n">
        <v>0</v>
      </c>
      <c r="K2732" s="182" t="n">
        <v>9.51</v>
      </c>
      <c r="L2732" s="182" t="n">
        <v>12</v>
      </c>
      <c r="M2732" s="182" t="n">
        <v>0.71</v>
      </c>
      <c r="N2732" s="182" t="n">
        <v>1.78</v>
      </c>
      <c r="O2732" s="183" t="n">
        <v>3</v>
      </c>
      <c r="P2732" s="183" t="n">
        <v>4</v>
      </c>
      <c r="Q2732" s="184" t="n">
        <v>61.2</v>
      </c>
      <c r="R2732" s="184" t="n">
        <v>74.8</v>
      </c>
      <c r="S2732" s="183" t="n">
        <v>0</v>
      </c>
      <c r="T2732" s="183" t="n">
        <v>0</v>
      </c>
      <c r="U2732" s="182" t="n">
        <v>0</v>
      </c>
      <c r="V2732" s="182" t="n">
        <v>0</v>
      </c>
      <c r="W2732" s="182" t="n">
        <v>0</v>
      </c>
      <c r="X2732" s="182" t="n">
        <v>1.03</v>
      </c>
      <c r="Y2732" s="182" t="n">
        <v>0</v>
      </c>
      <c r="Z2732" s="182" t="n">
        <v>0</v>
      </c>
      <c r="AA2732" s="182" t="n">
        <v>0</v>
      </c>
      <c r="AB2732" s="182" t="n">
        <v>0</v>
      </c>
      <c r="AC2732" s="182" t="n">
        <v>0</v>
      </c>
      <c r="AD2732" s="182" t="n">
        <v>0</v>
      </c>
      <c r="AE2732" s="182" t="n">
        <v>0</v>
      </c>
      <c r="AF2732" s="182" t="n">
        <v>0</v>
      </c>
      <c r="AG2732" s="182" t="n">
        <v>0</v>
      </c>
      <c r="AH2732" s="182" t="n">
        <v>0</v>
      </c>
      <c r="AI2732" s="182" t="n">
        <v>8.390000000000001</v>
      </c>
      <c r="AJ2732" s="182" t="n">
        <v>0</v>
      </c>
      <c r="AK2732" s="182" t="n">
        <v>0</v>
      </c>
      <c r="AL2732" s="182" t="n">
        <v>0</v>
      </c>
      <c r="AM2732" s="182" t="n">
        <v>0.08</v>
      </c>
      <c r="AN2732" s="182" t="n">
        <v>0</v>
      </c>
    </row>
    <row r="2733">
      <c r="A2733" s="155" t="n">
        <v>46094</v>
      </c>
      <c r="B2733" s="156" t="inlineStr">
        <is>
          <t>DS</t>
        </is>
      </c>
      <c r="C2733" s="156" t="inlineStr">
        <is>
          <t>DT-520</t>
        </is>
      </c>
      <c r="D2733" s="156" t="inlineStr">
        <is>
          <t>SKT 105S</t>
        </is>
      </c>
      <c r="E2733" s="156" t="inlineStr">
        <is>
          <t>Hauler</t>
        </is>
      </c>
      <c r="F2733" s="156" t="inlineStr">
        <is>
          <t>Hauling OB &amp; Coal</t>
        </is>
      </c>
      <c r="G2733" s="182" t="n">
        <v>10.59</v>
      </c>
      <c r="H2733" s="182" t="n">
        <v>0</v>
      </c>
      <c r="I2733" s="182" t="n">
        <v>0</v>
      </c>
      <c r="J2733" s="182" t="n">
        <v>0</v>
      </c>
      <c r="K2733" s="182" t="n">
        <v>1.41</v>
      </c>
      <c r="L2733" s="182" t="n">
        <v>12</v>
      </c>
      <c r="M2733" s="182" t="n">
        <v>7.59</v>
      </c>
      <c r="N2733" s="182" t="n">
        <v>3</v>
      </c>
      <c r="O2733" s="183" t="n">
        <v>29</v>
      </c>
      <c r="P2733" s="183" t="n">
        <v>8</v>
      </c>
      <c r="Q2733" s="184" t="n">
        <v>591.6</v>
      </c>
      <c r="R2733" s="184" t="n">
        <v>149.6</v>
      </c>
      <c r="S2733" s="183" t="n">
        <v>0</v>
      </c>
      <c r="T2733" s="183" t="n">
        <v>0</v>
      </c>
      <c r="U2733" s="182" t="n">
        <v>0</v>
      </c>
      <c r="V2733" s="182" t="n">
        <v>0</v>
      </c>
      <c r="W2733" s="182" t="n">
        <v>0</v>
      </c>
      <c r="X2733" s="182" t="n">
        <v>1.01</v>
      </c>
      <c r="Y2733" s="182" t="n">
        <v>0</v>
      </c>
      <c r="Z2733" s="182" t="n">
        <v>0</v>
      </c>
      <c r="AA2733" s="182" t="n">
        <v>0</v>
      </c>
      <c r="AB2733" s="182" t="n">
        <v>0</v>
      </c>
      <c r="AC2733" s="182" t="n">
        <v>0</v>
      </c>
      <c r="AD2733" s="182" t="n">
        <v>0</v>
      </c>
      <c r="AE2733" s="182" t="n">
        <v>0</v>
      </c>
      <c r="AF2733" s="182" t="n">
        <v>0</v>
      </c>
      <c r="AG2733" s="182" t="n">
        <v>0</v>
      </c>
      <c r="AH2733" s="182" t="n">
        <v>0.32</v>
      </c>
      <c r="AI2733" s="182" t="n">
        <v>0</v>
      </c>
      <c r="AJ2733" s="182" t="n">
        <v>0</v>
      </c>
      <c r="AK2733" s="182" t="n">
        <v>0</v>
      </c>
      <c r="AL2733" s="182" t="n">
        <v>0</v>
      </c>
      <c r="AM2733" s="182" t="n">
        <v>0.08</v>
      </c>
      <c r="AN2733" s="182" t="n">
        <v>0</v>
      </c>
    </row>
    <row r="2734">
      <c r="A2734" s="155" t="n">
        <v>46094</v>
      </c>
      <c r="B2734" s="156" t="inlineStr">
        <is>
          <t>DS</t>
        </is>
      </c>
      <c r="C2734" s="156" t="inlineStr">
        <is>
          <t>DT-511</t>
        </is>
      </c>
      <c r="D2734" s="156" t="inlineStr">
        <is>
          <t>SKT 105S</t>
        </is>
      </c>
      <c r="E2734" s="156" t="inlineStr">
        <is>
          <t>Hauler</t>
        </is>
      </c>
      <c r="F2734" s="156" t="inlineStr"/>
      <c r="G2734" s="182" t="n">
        <v>0</v>
      </c>
      <c r="H2734" s="182" t="n">
        <v>0</v>
      </c>
      <c r="I2734" s="182" t="n">
        <v>12</v>
      </c>
      <c r="J2734" s="182" t="n">
        <v>12</v>
      </c>
      <c r="K2734" s="182" t="n">
        <v>0</v>
      </c>
      <c r="L2734" s="182" t="n">
        <v>12</v>
      </c>
      <c r="M2734" s="182" t="n">
        <v>0</v>
      </c>
      <c r="N2734" s="182" t="n">
        <v>0</v>
      </c>
      <c r="O2734" s="183" t="n">
        <v>0</v>
      </c>
      <c r="P2734" s="183" t="n">
        <v>0</v>
      </c>
      <c r="Q2734" s="184" t="n">
        <v>0</v>
      </c>
      <c r="R2734" s="184" t="n">
        <v>0</v>
      </c>
      <c r="S2734" s="183" t="n">
        <v>0</v>
      </c>
      <c r="T2734" s="183" t="n">
        <v>0</v>
      </c>
      <c r="U2734" s="182" t="n">
        <v>0</v>
      </c>
      <c r="V2734" s="182" t="n">
        <v>0</v>
      </c>
      <c r="W2734" s="182" t="n">
        <v>0</v>
      </c>
      <c r="X2734" s="182" t="n">
        <v>0</v>
      </c>
      <c r="Y2734" s="182" t="n">
        <v>0</v>
      </c>
      <c r="Z2734" s="182" t="n">
        <v>0</v>
      </c>
      <c r="AA2734" s="182" t="n">
        <v>0</v>
      </c>
      <c r="AB2734" s="182" t="n">
        <v>0</v>
      </c>
      <c r="AC2734" s="182" t="n">
        <v>0</v>
      </c>
      <c r="AD2734" s="182" t="n">
        <v>0</v>
      </c>
      <c r="AE2734" s="182" t="n">
        <v>0</v>
      </c>
      <c r="AF2734" s="182" t="n">
        <v>0</v>
      </c>
      <c r="AG2734" s="182" t="n">
        <v>0</v>
      </c>
      <c r="AH2734" s="182" t="n">
        <v>0</v>
      </c>
      <c r="AI2734" s="182" t="n">
        <v>0</v>
      </c>
      <c r="AJ2734" s="182" t="n">
        <v>0</v>
      </c>
      <c r="AK2734" s="182" t="n">
        <v>0</v>
      </c>
      <c r="AL2734" s="182" t="n">
        <v>0</v>
      </c>
      <c r="AM2734" s="182" t="n">
        <v>0</v>
      </c>
      <c r="AN2734" s="182" t="n">
        <v>0</v>
      </c>
    </row>
    <row r="2735">
      <c r="A2735" s="155" t="n">
        <v>46094</v>
      </c>
      <c r="B2735" s="156" t="inlineStr">
        <is>
          <t>DS</t>
        </is>
      </c>
      <c r="C2735" s="156" t="inlineStr">
        <is>
          <t>DT-509</t>
        </is>
      </c>
      <c r="D2735" s="156" t="inlineStr">
        <is>
          <t>SKT 105S</t>
        </is>
      </c>
      <c r="E2735" s="156" t="inlineStr">
        <is>
          <t>Hauler</t>
        </is>
      </c>
      <c r="F2735" s="156" t="inlineStr"/>
      <c r="G2735" s="182" t="n">
        <v>0</v>
      </c>
      <c r="H2735" s="182" t="n">
        <v>0</v>
      </c>
      <c r="I2735" s="182" t="n">
        <v>12</v>
      </c>
      <c r="J2735" s="182" t="n">
        <v>12</v>
      </c>
      <c r="K2735" s="182" t="n">
        <v>0</v>
      </c>
      <c r="L2735" s="182" t="n">
        <v>12</v>
      </c>
      <c r="M2735" s="182" t="n">
        <v>0</v>
      </c>
      <c r="N2735" s="182" t="n">
        <v>0</v>
      </c>
      <c r="O2735" s="183" t="n">
        <v>0</v>
      </c>
      <c r="P2735" s="183" t="n">
        <v>0</v>
      </c>
      <c r="Q2735" s="184" t="n">
        <v>0</v>
      </c>
      <c r="R2735" s="184" t="n">
        <v>0</v>
      </c>
      <c r="S2735" s="183" t="n">
        <v>0</v>
      </c>
      <c r="T2735" s="183" t="n">
        <v>0</v>
      </c>
      <c r="U2735" s="182" t="n">
        <v>0</v>
      </c>
      <c r="V2735" s="182" t="n">
        <v>0</v>
      </c>
      <c r="W2735" s="182" t="n">
        <v>0</v>
      </c>
      <c r="X2735" s="182" t="n">
        <v>0</v>
      </c>
      <c r="Y2735" s="182" t="n">
        <v>0</v>
      </c>
      <c r="Z2735" s="182" t="n">
        <v>0</v>
      </c>
      <c r="AA2735" s="182" t="n">
        <v>0</v>
      </c>
      <c r="AB2735" s="182" t="n">
        <v>0</v>
      </c>
      <c r="AC2735" s="182" t="n">
        <v>0</v>
      </c>
      <c r="AD2735" s="182" t="n">
        <v>0</v>
      </c>
      <c r="AE2735" s="182" t="n">
        <v>0</v>
      </c>
      <c r="AF2735" s="182" t="n">
        <v>0</v>
      </c>
      <c r="AG2735" s="182" t="n">
        <v>0</v>
      </c>
      <c r="AH2735" s="182" t="n">
        <v>0</v>
      </c>
      <c r="AI2735" s="182" t="n">
        <v>0</v>
      </c>
      <c r="AJ2735" s="182" t="n">
        <v>0</v>
      </c>
      <c r="AK2735" s="182" t="n">
        <v>0</v>
      </c>
      <c r="AL2735" s="182" t="n">
        <v>0</v>
      </c>
      <c r="AM2735" s="182" t="n">
        <v>0</v>
      </c>
      <c r="AN2735" s="182" t="n">
        <v>0</v>
      </c>
    </row>
    <row r="2736">
      <c r="A2736" s="155" t="n">
        <v>46094</v>
      </c>
      <c r="B2736" s="156" t="inlineStr">
        <is>
          <t>DS</t>
        </is>
      </c>
      <c r="C2736" s="156" t="inlineStr">
        <is>
          <t>DT-526</t>
        </is>
      </c>
      <c r="D2736" s="156" t="inlineStr">
        <is>
          <t>SKT 105S</t>
        </is>
      </c>
      <c r="E2736" s="156" t="inlineStr">
        <is>
          <t>Hauler</t>
        </is>
      </c>
      <c r="F2736" s="156" t="inlineStr"/>
      <c r="G2736" s="182" t="n">
        <v>0</v>
      </c>
      <c r="H2736" s="182" t="n">
        <v>0</v>
      </c>
      <c r="I2736" s="182" t="n">
        <v>1.7</v>
      </c>
      <c r="J2736" s="182" t="n">
        <v>1.7</v>
      </c>
      <c r="K2736" s="182" t="n">
        <v>10.3</v>
      </c>
      <c r="L2736" s="182" t="n">
        <v>12</v>
      </c>
      <c r="M2736" s="182" t="n">
        <v>0</v>
      </c>
      <c r="N2736" s="182" t="n">
        <v>0</v>
      </c>
      <c r="O2736" s="183" t="n">
        <v>0</v>
      </c>
      <c r="P2736" s="183" t="n">
        <v>0</v>
      </c>
      <c r="Q2736" s="184" t="n">
        <v>0</v>
      </c>
      <c r="R2736" s="184" t="n">
        <v>0</v>
      </c>
      <c r="S2736" s="183" t="n">
        <v>0</v>
      </c>
      <c r="T2736" s="183" t="n">
        <v>0</v>
      </c>
      <c r="U2736" s="182" t="n">
        <v>0</v>
      </c>
      <c r="V2736" s="182" t="n">
        <v>0</v>
      </c>
      <c r="W2736" s="182" t="n">
        <v>0</v>
      </c>
      <c r="X2736" s="182" t="n">
        <v>1</v>
      </c>
      <c r="Y2736" s="182" t="n">
        <v>0</v>
      </c>
      <c r="Z2736" s="182" t="n">
        <v>0</v>
      </c>
      <c r="AA2736" s="182" t="n">
        <v>0</v>
      </c>
      <c r="AB2736" s="182" t="n">
        <v>0</v>
      </c>
      <c r="AC2736" s="182" t="n">
        <v>0</v>
      </c>
      <c r="AD2736" s="182" t="n">
        <v>0</v>
      </c>
      <c r="AE2736" s="182" t="n">
        <v>0</v>
      </c>
      <c r="AF2736" s="182" t="n">
        <v>0</v>
      </c>
      <c r="AG2736" s="182" t="n">
        <v>0</v>
      </c>
      <c r="AH2736" s="182" t="n">
        <v>0</v>
      </c>
      <c r="AI2736" s="182" t="n">
        <v>9.220000000000001</v>
      </c>
      <c r="AJ2736" s="182" t="n">
        <v>0</v>
      </c>
      <c r="AK2736" s="182" t="n">
        <v>0</v>
      </c>
      <c r="AL2736" s="182" t="n">
        <v>0</v>
      </c>
      <c r="AM2736" s="182" t="n">
        <v>0.08</v>
      </c>
      <c r="AN2736" s="182" t="n">
        <v>0</v>
      </c>
    </row>
    <row r="2737">
      <c r="A2737" s="155" t="n">
        <v>46094</v>
      </c>
      <c r="B2737" s="156" t="inlineStr">
        <is>
          <t>DS</t>
        </is>
      </c>
      <c r="C2737" s="156" t="inlineStr">
        <is>
          <t>DT-508</t>
        </is>
      </c>
      <c r="D2737" s="156" t="inlineStr">
        <is>
          <t>SKT 105S</t>
        </is>
      </c>
      <c r="E2737" s="156" t="inlineStr">
        <is>
          <t>Hauler</t>
        </is>
      </c>
      <c r="F2737" s="156" t="inlineStr">
        <is>
          <t>Hauling Coal</t>
        </is>
      </c>
      <c r="G2737" s="182" t="n">
        <v>1.72</v>
      </c>
      <c r="H2737" s="182" t="n">
        <v>4.5</v>
      </c>
      <c r="I2737" s="182" t="n">
        <v>0</v>
      </c>
      <c r="J2737" s="182" t="n">
        <v>4.5</v>
      </c>
      <c r="K2737" s="182" t="n">
        <v>5.78</v>
      </c>
      <c r="L2737" s="182" t="n">
        <v>12</v>
      </c>
      <c r="M2737" s="182" t="n">
        <v>0</v>
      </c>
      <c r="N2737" s="182" t="n">
        <v>1.72</v>
      </c>
      <c r="O2737" s="183" t="n">
        <v>0</v>
      </c>
      <c r="P2737" s="183" t="n">
        <v>3</v>
      </c>
      <c r="Q2737" s="184" t="n">
        <v>0</v>
      </c>
      <c r="R2737" s="184" t="n">
        <v>56.1</v>
      </c>
      <c r="S2737" s="183" t="n">
        <v>0</v>
      </c>
      <c r="T2737" s="183" t="n">
        <v>0</v>
      </c>
      <c r="U2737" s="182" t="n">
        <v>0</v>
      </c>
      <c r="V2737" s="182" t="n">
        <v>0</v>
      </c>
      <c r="W2737" s="182" t="n">
        <v>0</v>
      </c>
      <c r="X2737" s="182" t="n">
        <v>1</v>
      </c>
      <c r="Y2737" s="182" t="n">
        <v>0</v>
      </c>
      <c r="Z2737" s="182" t="n">
        <v>0</v>
      </c>
      <c r="AA2737" s="182" t="n">
        <v>0</v>
      </c>
      <c r="AB2737" s="182" t="n">
        <v>0</v>
      </c>
      <c r="AC2737" s="182" t="n">
        <v>0</v>
      </c>
      <c r="AD2737" s="182" t="n">
        <v>0</v>
      </c>
      <c r="AE2737" s="182" t="n">
        <v>0</v>
      </c>
      <c r="AF2737" s="182" t="n">
        <v>0</v>
      </c>
      <c r="AG2737" s="182" t="n">
        <v>0</v>
      </c>
      <c r="AH2737" s="182" t="n">
        <v>0</v>
      </c>
      <c r="AI2737" s="182" t="n">
        <v>4.7</v>
      </c>
      <c r="AJ2737" s="182" t="n">
        <v>0</v>
      </c>
      <c r="AK2737" s="182" t="n">
        <v>0</v>
      </c>
      <c r="AL2737" s="182" t="n">
        <v>0</v>
      </c>
      <c r="AM2737" s="182" t="n">
        <v>0.08</v>
      </c>
      <c r="AN2737" s="182" t="n">
        <v>0</v>
      </c>
    </row>
    <row r="2738">
      <c r="A2738" s="155" t="n">
        <v>46094</v>
      </c>
      <c r="B2738" s="156" t="inlineStr">
        <is>
          <t>DS</t>
        </is>
      </c>
      <c r="C2738" s="156" t="inlineStr">
        <is>
          <t>DT-515</t>
        </is>
      </c>
      <c r="D2738" s="156" t="inlineStr">
        <is>
          <t>SKT 105S</t>
        </is>
      </c>
      <c r="E2738" s="156" t="inlineStr">
        <is>
          <t>Hauler</t>
        </is>
      </c>
      <c r="F2738" s="156" t="inlineStr">
        <is>
          <t>Hauling OB &amp; Coal</t>
        </is>
      </c>
      <c r="G2738" s="182" t="n">
        <v>5.76</v>
      </c>
      <c r="H2738" s="182" t="n">
        <v>0</v>
      </c>
      <c r="I2738" s="182" t="n">
        <v>0</v>
      </c>
      <c r="J2738" s="182" t="n">
        <v>0</v>
      </c>
      <c r="K2738" s="182" t="n">
        <v>6.24</v>
      </c>
      <c r="L2738" s="182" t="n">
        <v>12</v>
      </c>
      <c r="M2738" s="182" t="n">
        <v>5.25</v>
      </c>
      <c r="N2738" s="182" t="n">
        <v>0.51</v>
      </c>
      <c r="O2738" s="183" t="n">
        <v>26</v>
      </c>
      <c r="P2738" s="183" t="n">
        <v>1</v>
      </c>
      <c r="Q2738" s="184" t="n">
        <v>530.4</v>
      </c>
      <c r="R2738" s="184" t="n">
        <v>18.7</v>
      </c>
      <c r="S2738" s="183" t="n">
        <v>0</v>
      </c>
      <c r="T2738" s="183" t="n">
        <v>0</v>
      </c>
      <c r="U2738" s="182" t="n">
        <v>0</v>
      </c>
      <c r="V2738" s="182" t="n">
        <v>0</v>
      </c>
      <c r="W2738" s="182" t="n">
        <v>0</v>
      </c>
      <c r="X2738" s="182" t="n">
        <v>0.97</v>
      </c>
      <c r="Y2738" s="182" t="n">
        <v>0</v>
      </c>
      <c r="Z2738" s="182" t="n">
        <v>0</v>
      </c>
      <c r="AA2738" s="182" t="n">
        <v>0</v>
      </c>
      <c r="AB2738" s="182" t="n">
        <v>0</v>
      </c>
      <c r="AC2738" s="182" t="n">
        <v>0</v>
      </c>
      <c r="AD2738" s="182" t="n">
        <v>0</v>
      </c>
      <c r="AE2738" s="182" t="n">
        <v>0</v>
      </c>
      <c r="AF2738" s="182" t="n">
        <v>0</v>
      </c>
      <c r="AG2738" s="182" t="n">
        <v>0</v>
      </c>
      <c r="AH2738" s="182" t="n">
        <v>0</v>
      </c>
      <c r="AI2738" s="182" t="n">
        <v>5.19</v>
      </c>
      <c r="AJ2738" s="182" t="n">
        <v>0</v>
      </c>
      <c r="AK2738" s="182" t="n">
        <v>0</v>
      </c>
      <c r="AL2738" s="182" t="n">
        <v>0</v>
      </c>
      <c r="AM2738" s="182" t="n">
        <v>0.08</v>
      </c>
      <c r="AN2738" s="182" t="n">
        <v>0</v>
      </c>
    </row>
    <row r="2739">
      <c r="A2739" s="155" t="n">
        <v>46094</v>
      </c>
      <c r="B2739" s="156" t="inlineStr">
        <is>
          <t>DS</t>
        </is>
      </c>
      <c r="C2739" s="156" t="inlineStr">
        <is>
          <t>DT-524</t>
        </is>
      </c>
      <c r="D2739" s="156" t="inlineStr">
        <is>
          <t>SKT 105S</t>
        </is>
      </c>
      <c r="E2739" s="156" t="inlineStr">
        <is>
          <t>Hauler</t>
        </is>
      </c>
      <c r="F2739" s="156" t="inlineStr">
        <is>
          <t>Hauling OB &amp; Coal</t>
        </is>
      </c>
      <c r="G2739" s="182" t="n">
        <v>5.78</v>
      </c>
      <c r="H2739" s="182" t="n">
        <v>0</v>
      </c>
      <c r="I2739" s="182" t="n">
        <v>0</v>
      </c>
      <c r="J2739" s="182" t="n">
        <v>0</v>
      </c>
      <c r="K2739" s="182" t="n">
        <v>6.22</v>
      </c>
      <c r="L2739" s="182" t="n">
        <v>12</v>
      </c>
      <c r="M2739" s="182" t="n">
        <v>3.03</v>
      </c>
      <c r="N2739" s="182" t="n">
        <v>2.75</v>
      </c>
      <c r="O2739" s="183" t="n">
        <v>9</v>
      </c>
      <c r="P2739" s="183" t="n">
        <v>8</v>
      </c>
      <c r="Q2739" s="184" t="n">
        <v>183.6</v>
      </c>
      <c r="R2739" s="184" t="n">
        <v>149.6</v>
      </c>
      <c r="S2739" s="183" t="n">
        <v>0</v>
      </c>
      <c r="T2739" s="183" t="n">
        <v>0</v>
      </c>
      <c r="U2739" s="182" t="n">
        <v>0</v>
      </c>
      <c r="V2739" s="182" t="n">
        <v>0</v>
      </c>
      <c r="W2739" s="182" t="n">
        <v>0</v>
      </c>
      <c r="X2739" s="182" t="n">
        <v>1.09</v>
      </c>
      <c r="Y2739" s="182" t="n">
        <v>0</v>
      </c>
      <c r="Z2739" s="182" t="n">
        <v>0</v>
      </c>
      <c r="AA2739" s="182" t="n">
        <v>0</v>
      </c>
      <c r="AB2739" s="182" t="n">
        <v>0</v>
      </c>
      <c r="AC2739" s="182" t="n">
        <v>0</v>
      </c>
      <c r="AD2739" s="182" t="n">
        <v>0</v>
      </c>
      <c r="AE2739" s="182" t="n">
        <v>0</v>
      </c>
      <c r="AF2739" s="182" t="n">
        <v>0</v>
      </c>
      <c r="AG2739" s="182" t="n">
        <v>0</v>
      </c>
      <c r="AH2739" s="182" t="n">
        <v>0</v>
      </c>
      <c r="AI2739" s="182" t="n">
        <v>5.04</v>
      </c>
      <c r="AJ2739" s="182" t="n">
        <v>0</v>
      </c>
      <c r="AK2739" s="182" t="n">
        <v>0</v>
      </c>
      <c r="AL2739" s="182" t="n">
        <v>0</v>
      </c>
      <c r="AM2739" s="182" t="n">
        <v>0.09</v>
      </c>
      <c r="AN2739" s="182" t="n">
        <v>0</v>
      </c>
    </row>
    <row r="2740">
      <c r="A2740" s="155" t="n">
        <v>46094</v>
      </c>
      <c r="B2740" s="156" t="inlineStr">
        <is>
          <t>DS</t>
        </is>
      </c>
      <c r="C2740" s="156" t="inlineStr">
        <is>
          <t>DT-341</t>
        </is>
      </c>
      <c r="D2740" s="156" t="inlineStr">
        <is>
          <t>SYZ324C-8W</t>
        </is>
      </c>
      <c r="E2740" s="156" t="inlineStr">
        <is>
          <t>Hauler</t>
        </is>
      </c>
      <c r="F2740" s="156" t="inlineStr">
        <is>
          <t>Support Washing Plant</t>
        </is>
      </c>
      <c r="G2740" s="182" t="n">
        <v>7.91</v>
      </c>
      <c r="H2740" s="182" t="n">
        <v>0</v>
      </c>
      <c r="I2740" s="182" t="n">
        <v>0</v>
      </c>
      <c r="J2740" s="182" t="n">
        <v>0</v>
      </c>
      <c r="K2740" s="182" t="n">
        <v>4.09</v>
      </c>
      <c r="L2740" s="182" t="n">
        <v>12</v>
      </c>
      <c r="M2740" s="182" t="n">
        <v>0</v>
      </c>
      <c r="N2740" s="182" t="n">
        <v>0</v>
      </c>
      <c r="O2740" s="183" t="n">
        <v>0</v>
      </c>
      <c r="P2740" s="183" t="n">
        <v>0</v>
      </c>
      <c r="Q2740" s="184" t="n">
        <v>0</v>
      </c>
      <c r="R2740" s="184" t="n">
        <v>0</v>
      </c>
      <c r="S2740" s="183" t="n">
        <v>0</v>
      </c>
      <c r="T2740" s="183" t="n">
        <v>0</v>
      </c>
      <c r="U2740" s="182" t="n">
        <v>0</v>
      </c>
      <c r="V2740" s="182" t="n">
        <v>0</v>
      </c>
      <c r="W2740" s="182" t="n">
        <v>0</v>
      </c>
      <c r="X2740" s="182" t="n">
        <v>1.08</v>
      </c>
      <c r="Y2740" s="182" t="n">
        <v>0</v>
      </c>
      <c r="Z2740" s="182" t="n">
        <v>0</v>
      </c>
      <c r="AA2740" s="182" t="n">
        <v>0</v>
      </c>
      <c r="AB2740" s="182" t="n">
        <v>0</v>
      </c>
      <c r="AC2740" s="182" t="n">
        <v>0</v>
      </c>
      <c r="AD2740" s="182" t="n">
        <v>0</v>
      </c>
      <c r="AE2740" s="182" t="n">
        <v>0</v>
      </c>
      <c r="AF2740" s="182" t="n">
        <v>0</v>
      </c>
      <c r="AG2740" s="182" t="n">
        <v>0</v>
      </c>
      <c r="AH2740" s="182" t="n">
        <v>0</v>
      </c>
      <c r="AI2740" s="182" t="n">
        <v>0</v>
      </c>
      <c r="AJ2740" s="182" t="n">
        <v>0</v>
      </c>
      <c r="AK2740" s="182" t="n">
        <v>2.93</v>
      </c>
      <c r="AL2740" s="182" t="n">
        <v>0</v>
      </c>
      <c r="AM2740" s="182" t="n">
        <v>0.09</v>
      </c>
      <c r="AN2740" s="182" t="n">
        <v>0</v>
      </c>
    </row>
    <row r="2741">
      <c r="A2741" s="155" t="n">
        <v>46094</v>
      </c>
      <c r="B2741" s="156" t="inlineStr">
        <is>
          <t>DS</t>
        </is>
      </c>
      <c r="C2741" s="156" t="inlineStr">
        <is>
          <t>DT-342</t>
        </is>
      </c>
      <c r="D2741" s="156" t="inlineStr">
        <is>
          <t>SYZ324C-8W</t>
        </is>
      </c>
      <c r="E2741" s="156" t="inlineStr">
        <is>
          <t>Hauler</t>
        </is>
      </c>
      <c r="F2741" s="156" t="inlineStr">
        <is>
          <t>Support Washing Plant</t>
        </is>
      </c>
      <c r="G2741" s="182" t="n">
        <v>8.85</v>
      </c>
      <c r="H2741" s="182" t="n">
        <v>0</v>
      </c>
      <c r="I2741" s="182" t="n">
        <v>0</v>
      </c>
      <c r="J2741" s="182" t="n">
        <v>0</v>
      </c>
      <c r="K2741" s="182" t="n">
        <v>3.15</v>
      </c>
      <c r="L2741" s="182" t="n">
        <v>12</v>
      </c>
      <c r="M2741" s="182" t="n">
        <v>0</v>
      </c>
      <c r="N2741" s="182" t="n">
        <v>0</v>
      </c>
      <c r="O2741" s="183" t="n">
        <v>0</v>
      </c>
      <c r="P2741" s="183" t="n">
        <v>0</v>
      </c>
      <c r="Q2741" s="184" t="n">
        <v>0</v>
      </c>
      <c r="R2741" s="184" t="n">
        <v>0</v>
      </c>
      <c r="S2741" s="183" t="n">
        <v>0</v>
      </c>
      <c r="T2741" s="183" t="n">
        <v>0</v>
      </c>
      <c r="U2741" s="182" t="n">
        <v>0</v>
      </c>
      <c r="V2741" s="182" t="n">
        <v>0</v>
      </c>
      <c r="W2741" s="182" t="n">
        <v>0</v>
      </c>
      <c r="X2741" s="182" t="n">
        <v>0.93</v>
      </c>
      <c r="Y2741" s="182" t="n">
        <v>0</v>
      </c>
      <c r="Z2741" s="182" t="n">
        <v>0</v>
      </c>
      <c r="AA2741" s="182" t="n">
        <v>0</v>
      </c>
      <c r="AB2741" s="182" t="n">
        <v>0</v>
      </c>
      <c r="AC2741" s="182" t="n">
        <v>0</v>
      </c>
      <c r="AD2741" s="182" t="n">
        <v>0</v>
      </c>
      <c r="AE2741" s="182" t="n">
        <v>0</v>
      </c>
      <c r="AF2741" s="182" t="n">
        <v>0</v>
      </c>
      <c r="AG2741" s="182" t="n">
        <v>0</v>
      </c>
      <c r="AH2741" s="182" t="n">
        <v>0</v>
      </c>
      <c r="AI2741" s="182" t="n">
        <v>0</v>
      </c>
      <c r="AJ2741" s="182" t="n">
        <v>0</v>
      </c>
      <c r="AK2741" s="182" t="n">
        <v>2.15</v>
      </c>
      <c r="AL2741" s="182" t="n">
        <v>0</v>
      </c>
      <c r="AM2741" s="182" t="n">
        <v>0.07000000000000001</v>
      </c>
      <c r="AN2741" s="182" t="n">
        <v>0</v>
      </c>
    </row>
    <row r="2742">
      <c r="A2742" s="155" t="n">
        <v>46094</v>
      </c>
      <c r="B2742" s="156" t="inlineStr">
        <is>
          <t>DS</t>
        </is>
      </c>
      <c r="C2742" s="156" t="inlineStr">
        <is>
          <t>HD-903</t>
        </is>
      </c>
      <c r="D2742" s="156" t="inlineStr">
        <is>
          <t>SRT 95C</t>
        </is>
      </c>
      <c r="E2742" s="156" t="inlineStr">
        <is>
          <t>Hauler</t>
        </is>
      </c>
      <c r="F2742" s="156" t="inlineStr">
        <is>
          <t>Hauling OB</t>
        </is>
      </c>
      <c r="G2742" s="182" t="n">
        <v>9.99</v>
      </c>
      <c r="H2742" s="182" t="n">
        <v>0</v>
      </c>
      <c r="I2742" s="182" t="n">
        <v>0</v>
      </c>
      <c r="J2742" s="182" t="n">
        <v>0</v>
      </c>
      <c r="K2742" s="182" t="n">
        <v>2.01</v>
      </c>
      <c r="L2742" s="182" t="n">
        <v>12</v>
      </c>
      <c r="M2742" s="182" t="n">
        <v>9.99</v>
      </c>
      <c r="N2742" s="182" t="n">
        <v>0</v>
      </c>
      <c r="O2742" s="183" t="n">
        <v>58</v>
      </c>
      <c r="P2742" s="183" t="n">
        <v>0</v>
      </c>
      <c r="Q2742" s="184" t="n">
        <v>2070.6</v>
      </c>
      <c r="R2742" s="184" t="n">
        <v>0</v>
      </c>
      <c r="S2742" s="183" t="n">
        <v>0</v>
      </c>
      <c r="T2742" s="183" t="n">
        <v>0</v>
      </c>
      <c r="U2742" s="182" t="n">
        <v>0</v>
      </c>
      <c r="V2742" s="182" t="n">
        <v>0</v>
      </c>
      <c r="W2742" s="182" t="n">
        <v>0</v>
      </c>
      <c r="X2742" s="182" t="n">
        <v>1.06</v>
      </c>
      <c r="Y2742" s="182" t="n">
        <v>0</v>
      </c>
      <c r="Z2742" s="182" t="n">
        <v>0</v>
      </c>
      <c r="AA2742" s="182" t="n">
        <v>0</v>
      </c>
      <c r="AB2742" s="182" t="n">
        <v>0</v>
      </c>
      <c r="AC2742" s="182" t="n">
        <v>0</v>
      </c>
      <c r="AD2742" s="182" t="n">
        <v>0</v>
      </c>
      <c r="AE2742" s="182" t="n">
        <v>0</v>
      </c>
      <c r="AF2742" s="182" t="n">
        <v>0</v>
      </c>
      <c r="AG2742" s="182" t="n">
        <v>0</v>
      </c>
      <c r="AH2742" s="182" t="n">
        <v>0.87</v>
      </c>
      <c r="AI2742" s="182" t="n">
        <v>0</v>
      </c>
      <c r="AJ2742" s="182" t="n">
        <v>0</v>
      </c>
      <c r="AK2742" s="182" t="n">
        <v>0</v>
      </c>
      <c r="AL2742" s="182" t="n">
        <v>0</v>
      </c>
      <c r="AM2742" s="182" t="n">
        <v>0.08</v>
      </c>
      <c r="AN2742" s="182" t="n">
        <v>0</v>
      </c>
    </row>
    <row r="2743">
      <c r="A2743" s="155" t="n">
        <v>46094</v>
      </c>
      <c r="B2743" s="156" t="inlineStr">
        <is>
          <t>DS</t>
        </is>
      </c>
      <c r="C2743" s="156" t="inlineStr">
        <is>
          <t>HD-905</t>
        </is>
      </c>
      <c r="D2743" s="156" t="inlineStr">
        <is>
          <t>SRT 95C</t>
        </is>
      </c>
      <c r="E2743" s="156" t="inlineStr">
        <is>
          <t>Hauler</t>
        </is>
      </c>
      <c r="F2743" s="156" t="inlineStr"/>
      <c r="G2743" s="182" t="n">
        <v>0</v>
      </c>
      <c r="H2743" s="182" t="n">
        <v>0</v>
      </c>
      <c r="I2743" s="182" t="n">
        <v>12</v>
      </c>
      <c r="J2743" s="182" t="n">
        <v>12</v>
      </c>
      <c r="K2743" s="182" t="n">
        <v>0</v>
      </c>
      <c r="L2743" s="182" t="n">
        <v>12</v>
      </c>
      <c r="M2743" s="182" t="n">
        <v>0</v>
      </c>
      <c r="N2743" s="182" t="n">
        <v>0</v>
      </c>
      <c r="O2743" s="183" t="n">
        <v>0</v>
      </c>
      <c r="P2743" s="183" t="n">
        <v>0</v>
      </c>
      <c r="Q2743" s="184" t="n">
        <v>0</v>
      </c>
      <c r="R2743" s="184" t="n">
        <v>0</v>
      </c>
      <c r="S2743" s="183" t="n">
        <v>0</v>
      </c>
      <c r="T2743" s="183" t="n">
        <v>0</v>
      </c>
      <c r="U2743" s="182" t="n">
        <v>0</v>
      </c>
      <c r="V2743" s="182" t="n">
        <v>0</v>
      </c>
      <c r="W2743" s="182" t="n">
        <v>0</v>
      </c>
      <c r="X2743" s="182" t="n">
        <v>0</v>
      </c>
      <c r="Y2743" s="182" t="n">
        <v>0</v>
      </c>
      <c r="Z2743" s="182" t="n">
        <v>0</v>
      </c>
      <c r="AA2743" s="182" t="n">
        <v>0</v>
      </c>
      <c r="AB2743" s="182" t="n">
        <v>0</v>
      </c>
      <c r="AC2743" s="182" t="n">
        <v>0</v>
      </c>
      <c r="AD2743" s="182" t="n">
        <v>0</v>
      </c>
      <c r="AE2743" s="182" t="n">
        <v>0</v>
      </c>
      <c r="AF2743" s="182" t="n">
        <v>0</v>
      </c>
      <c r="AG2743" s="182" t="n">
        <v>0</v>
      </c>
      <c r="AH2743" s="182" t="n">
        <v>0</v>
      </c>
      <c r="AI2743" s="182" t="n">
        <v>0</v>
      </c>
      <c r="AJ2743" s="182" t="n">
        <v>0</v>
      </c>
      <c r="AK2743" s="182" t="n">
        <v>0</v>
      </c>
      <c r="AL2743" s="182" t="n">
        <v>0</v>
      </c>
      <c r="AM2743" s="182" t="n">
        <v>0</v>
      </c>
      <c r="AN2743" s="182" t="n">
        <v>0</v>
      </c>
    </row>
    <row r="2744">
      <c r="A2744" s="155" t="n">
        <v>46094</v>
      </c>
      <c r="B2744" s="156" t="inlineStr">
        <is>
          <t>DS</t>
        </is>
      </c>
      <c r="C2744" s="156" t="inlineStr">
        <is>
          <t>HD-901</t>
        </is>
      </c>
      <c r="D2744" s="156" t="inlineStr">
        <is>
          <t>SRT 95C</t>
        </is>
      </c>
      <c r="E2744" s="156" t="inlineStr">
        <is>
          <t>Hauler</t>
        </is>
      </c>
      <c r="F2744" s="156" t="inlineStr">
        <is>
          <t>Hauling OB</t>
        </is>
      </c>
      <c r="G2744" s="182" t="n">
        <v>9.85</v>
      </c>
      <c r="H2744" s="182" t="n">
        <v>0</v>
      </c>
      <c r="I2744" s="182" t="n">
        <v>0</v>
      </c>
      <c r="J2744" s="182" t="n">
        <v>0</v>
      </c>
      <c r="K2744" s="182" t="n">
        <v>2.15</v>
      </c>
      <c r="L2744" s="182" t="n">
        <v>12</v>
      </c>
      <c r="M2744" s="182" t="n">
        <v>9.85</v>
      </c>
      <c r="N2744" s="182" t="n">
        <v>0</v>
      </c>
      <c r="O2744" s="183" t="n">
        <v>62</v>
      </c>
      <c r="P2744" s="183" t="n">
        <v>0</v>
      </c>
      <c r="Q2744" s="184" t="n">
        <v>2213.4</v>
      </c>
      <c r="R2744" s="184" t="n">
        <v>0</v>
      </c>
      <c r="S2744" s="183" t="n">
        <v>0</v>
      </c>
      <c r="T2744" s="183" t="n">
        <v>0</v>
      </c>
      <c r="U2744" s="182" t="n">
        <v>0</v>
      </c>
      <c r="V2744" s="182" t="n">
        <v>0</v>
      </c>
      <c r="W2744" s="182" t="n">
        <v>0</v>
      </c>
      <c r="X2744" s="182" t="n">
        <v>1.02</v>
      </c>
      <c r="Y2744" s="182" t="n">
        <v>0</v>
      </c>
      <c r="Z2744" s="182" t="n">
        <v>0</v>
      </c>
      <c r="AA2744" s="182" t="n">
        <v>0</v>
      </c>
      <c r="AB2744" s="182" t="n">
        <v>0</v>
      </c>
      <c r="AC2744" s="182" t="n">
        <v>0</v>
      </c>
      <c r="AD2744" s="182" t="n">
        <v>0</v>
      </c>
      <c r="AE2744" s="182" t="n">
        <v>0</v>
      </c>
      <c r="AF2744" s="182" t="n">
        <v>0</v>
      </c>
      <c r="AG2744" s="182" t="n">
        <v>0</v>
      </c>
      <c r="AH2744" s="182" t="n">
        <v>1.04</v>
      </c>
      <c r="AI2744" s="182" t="n">
        <v>0</v>
      </c>
      <c r="AJ2744" s="182" t="n">
        <v>0</v>
      </c>
      <c r="AK2744" s="182" t="n">
        <v>0</v>
      </c>
      <c r="AL2744" s="182" t="n">
        <v>0</v>
      </c>
      <c r="AM2744" s="182" t="n">
        <v>0.08</v>
      </c>
      <c r="AN2744" s="182" t="n">
        <v>0</v>
      </c>
    </row>
    <row r="2745">
      <c r="A2745" s="155" t="n">
        <v>46094</v>
      </c>
      <c r="B2745" s="156" t="inlineStr">
        <is>
          <t>DS</t>
        </is>
      </c>
      <c r="C2745" s="156" t="inlineStr">
        <is>
          <t>HD-904</t>
        </is>
      </c>
      <c r="D2745" s="156" t="inlineStr">
        <is>
          <t>SRT 95C</t>
        </is>
      </c>
      <c r="E2745" s="156" t="inlineStr">
        <is>
          <t>Hauler</t>
        </is>
      </c>
      <c r="F2745" s="156" t="inlineStr"/>
      <c r="G2745" s="182" t="n">
        <v>0</v>
      </c>
      <c r="H2745" s="182" t="n">
        <v>0</v>
      </c>
      <c r="I2745" s="182" t="n">
        <v>12</v>
      </c>
      <c r="J2745" s="182" t="n">
        <v>12</v>
      </c>
      <c r="K2745" s="182" t="n">
        <v>0</v>
      </c>
      <c r="L2745" s="182" t="n">
        <v>12</v>
      </c>
      <c r="M2745" s="182" t="n">
        <v>0</v>
      </c>
      <c r="N2745" s="182" t="n">
        <v>0</v>
      </c>
      <c r="O2745" s="183" t="n">
        <v>0</v>
      </c>
      <c r="P2745" s="183" t="n">
        <v>0</v>
      </c>
      <c r="Q2745" s="184" t="n">
        <v>0</v>
      </c>
      <c r="R2745" s="184" t="n">
        <v>0</v>
      </c>
      <c r="S2745" s="183" t="n">
        <v>0</v>
      </c>
      <c r="T2745" s="183" t="n">
        <v>0</v>
      </c>
      <c r="U2745" s="182" t="n">
        <v>0</v>
      </c>
      <c r="V2745" s="182" t="n">
        <v>0</v>
      </c>
      <c r="W2745" s="182" t="n">
        <v>0</v>
      </c>
      <c r="X2745" s="182" t="n">
        <v>0</v>
      </c>
      <c r="Y2745" s="182" t="n">
        <v>0</v>
      </c>
      <c r="Z2745" s="182" t="n">
        <v>0</v>
      </c>
      <c r="AA2745" s="182" t="n">
        <v>0</v>
      </c>
      <c r="AB2745" s="182" t="n">
        <v>0</v>
      </c>
      <c r="AC2745" s="182" t="n">
        <v>0</v>
      </c>
      <c r="AD2745" s="182" t="n">
        <v>0</v>
      </c>
      <c r="AE2745" s="182" t="n">
        <v>0</v>
      </c>
      <c r="AF2745" s="182" t="n">
        <v>0</v>
      </c>
      <c r="AG2745" s="182" t="n">
        <v>0</v>
      </c>
      <c r="AH2745" s="182" t="n">
        <v>0</v>
      </c>
      <c r="AI2745" s="182" t="n">
        <v>0</v>
      </c>
      <c r="AJ2745" s="182" t="n">
        <v>0</v>
      </c>
      <c r="AK2745" s="182" t="n">
        <v>0</v>
      </c>
      <c r="AL2745" s="182" t="n">
        <v>0</v>
      </c>
      <c r="AM2745" s="182" t="n">
        <v>0</v>
      </c>
      <c r="AN2745" s="182" t="n">
        <v>0</v>
      </c>
    </row>
    <row r="2746">
      <c r="A2746" s="155" t="n">
        <v>46094</v>
      </c>
      <c r="B2746" s="156" t="inlineStr">
        <is>
          <t>DS</t>
        </is>
      </c>
      <c r="C2746" s="156" t="inlineStr">
        <is>
          <t>HD-902</t>
        </is>
      </c>
      <c r="D2746" s="156" t="inlineStr">
        <is>
          <t>SRT 95C</t>
        </is>
      </c>
      <c r="E2746" s="156" t="inlineStr">
        <is>
          <t>Hauler</t>
        </is>
      </c>
      <c r="F2746" s="156" t="inlineStr">
        <is>
          <t>Hauling OB</t>
        </is>
      </c>
      <c r="G2746" s="182" t="n">
        <v>9.869999999999999</v>
      </c>
      <c r="H2746" s="182" t="n">
        <v>0</v>
      </c>
      <c r="I2746" s="182" t="n">
        <v>0</v>
      </c>
      <c r="J2746" s="182" t="n">
        <v>0</v>
      </c>
      <c r="K2746" s="182" t="n">
        <v>2.13</v>
      </c>
      <c r="L2746" s="182" t="n">
        <v>12</v>
      </c>
      <c r="M2746" s="182" t="n">
        <v>9.869999999999999</v>
      </c>
      <c r="N2746" s="182" t="n">
        <v>0</v>
      </c>
      <c r="O2746" s="183" t="n">
        <v>59</v>
      </c>
      <c r="P2746" s="183" t="n">
        <v>0</v>
      </c>
      <c r="Q2746" s="184" t="n">
        <v>2106.3</v>
      </c>
      <c r="R2746" s="184" t="n">
        <v>0</v>
      </c>
      <c r="S2746" s="183" t="n">
        <v>0</v>
      </c>
      <c r="T2746" s="183" t="n">
        <v>0</v>
      </c>
      <c r="U2746" s="182" t="n">
        <v>0</v>
      </c>
      <c r="V2746" s="182" t="n">
        <v>0</v>
      </c>
      <c r="W2746" s="182" t="n">
        <v>0</v>
      </c>
      <c r="X2746" s="182" t="n">
        <v>1.06</v>
      </c>
      <c r="Y2746" s="182" t="n">
        <v>0</v>
      </c>
      <c r="Z2746" s="182" t="n">
        <v>0</v>
      </c>
      <c r="AA2746" s="182" t="n">
        <v>0</v>
      </c>
      <c r="AB2746" s="182" t="n">
        <v>0</v>
      </c>
      <c r="AC2746" s="182" t="n">
        <v>0</v>
      </c>
      <c r="AD2746" s="182" t="n">
        <v>0</v>
      </c>
      <c r="AE2746" s="182" t="n">
        <v>0</v>
      </c>
      <c r="AF2746" s="182" t="n">
        <v>0</v>
      </c>
      <c r="AG2746" s="182" t="n">
        <v>0</v>
      </c>
      <c r="AH2746" s="182" t="n">
        <v>0.98</v>
      </c>
      <c r="AI2746" s="182" t="n">
        <v>0</v>
      </c>
      <c r="AJ2746" s="182" t="n">
        <v>0</v>
      </c>
      <c r="AK2746" s="182" t="n">
        <v>0</v>
      </c>
      <c r="AL2746" s="182" t="n">
        <v>0</v>
      </c>
      <c r="AM2746" s="182" t="n">
        <v>0.09</v>
      </c>
      <c r="AN2746" s="182" t="n">
        <v>0</v>
      </c>
    </row>
    <row r="2747">
      <c r="A2747" s="155" t="n">
        <v>46094</v>
      </c>
      <c r="B2747" s="156" t="inlineStr">
        <is>
          <t>DS</t>
        </is>
      </c>
      <c r="C2747" s="156" t="inlineStr">
        <is>
          <t>WL-025</t>
        </is>
      </c>
      <c r="D2747" s="156" t="inlineStr">
        <is>
          <t>SANY - Loader</t>
        </is>
      </c>
      <c r="E2747" s="156" t="inlineStr">
        <is>
          <t>Loader</t>
        </is>
      </c>
      <c r="F2747" s="156" t="inlineStr"/>
      <c r="G2747" s="182" t="n">
        <v>0</v>
      </c>
      <c r="H2747" s="182" t="n">
        <v>0</v>
      </c>
      <c r="I2747" s="182" t="n">
        <v>12</v>
      </c>
      <c r="J2747" s="182" t="n">
        <v>12</v>
      </c>
      <c r="K2747" s="182" t="n">
        <v>0</v>
      </c>
      <c r="L2747" s="182" t="n">
        <v>12</v>
      </c>
      <c r="M2747" s="182" t="n">
        <v>0</v>
      </c>
      <c r="N2747" s="182" t="n">
        <v>0</v>
      </c>
      <c r="O2747" s="183" t="n">
        <v>0</v>
      </c>
      <c r="P2747" s="183" t="n">
        <v>0</v>
      </c>
      <c r="Q2747" s="184" t="n">
        <v>0</v>
      </c>
      <c r="R2747" s="184" t="n">
        <v>0</v>
      </c>
      <c r="S2747" s="183" t="n">
        <v>0</v>
      </c>
      <c r="T2747" s="183" t="n">
        <v>0</v>
      </c>
      <c r="U2747" s="182" t="n">
        <v>0</v>
      </c>
      <c r="V2747" s="182" t="n">
        <v>0</v>
      </c>
      <c r="W2747" s="182" t="n">
        <v>0</v>
      </c>
      <c r="X2747" s="182" t="n">
        <v>0</v>
      </c>
      <c r="Y2747" s="182" t="n">
        <v>0</v>
      </c>
      <c r="Z2747" s="182" t="n">
        <v>0</v>
      </c>
      <c r="AA2747" s="182" t="n">
        <v>0</v>
      </c>
      <c r="AB2747" s="182" t="n">
        <v>0</v>
      </c>
      <c r="AC2747" s="182" t="n">
        <v>0</v>
      </c>
      <c r="AD2747" s="182" t="n">
        <v>0</v>
      </c>
      <c r="AE2747" s="182" t="n">
        <v>0</v>
      </c>
      <c r="AF2747" s="182" t="n">
        <v>0</v>
      </c>
      <c r="AG2747" s="182" t="n">
        <v>0</v>
      </c>
      <c r="AH2747" s="182" t="n">
        <v>0</v>
      </c>
      <c r="AI2747" s="182" t="n">
        <v>0</v>
      </c>
      <c r="AJ2747" s="182" t="n">
        <v>0</v>
      </c>
      <c r="AK2747" s="182" t="n">
        <v>0</v>
      </c>
      <c r="AL2747" s="182" t="n">
        <v>0</v>
      </c>
      <c r="AM2747" s="182" t="n">
        <v>0</v>
      </c>
      <c r="AN2747" s="182" t="n">
        <v>0</v>
      </c>
    </row>
    <row r="2748">
      <c r="A2748" s="155" t="n">
        <v>46094</v>
      </c>
      <c r="B2748" s="156" t="inlineStr">
        <is>
          <t>DS</t>
        </is>
      </c>
      <c r="C2748" s="156" t="inlineStr">
        <is>
          <t>WL-023</t>
        </is>
      </c>
      <c r="D2748" s="156" t="inlineStr">
        <is>
          <t>SANY - Loader</t>
        </is>
      </c>
      <c r="E2748" s="156" t="inlineStr">
        <is>
          <t>Loader</t>
        </is>
      </c>
      <c r="F2748" s="156" t="inlineStr"/>
      <c r="G2748" s="182" t="n">
        <v>0</v>
      </c>
      <c r="H2748" s="182" t="n">
        <v>0</v>
      </c>
      <c r="I2748" s="182" t="n">
        <v>0</v>
      </c>
      <c r="J2748" s="182" t="n">
        <v>0</v>
      </c>
      <c r="K2748" s="182" t="n">
        <v>12</v>
      </c>
      <c r="L2748" s="182" t="n">
        <v>12</v>
      </c>
      <c r="M2748" s="182" t="n">
        <v>0</v>
      </c>
      <c r="N2748" s="182" t="n">
        <v>0</v>
      </c>
      <c r="O2748" s="183" t="n">
        <v>0</v>
      </c>
      <c r="P2748" s="183" t="n">
        <v>0</v>
      </c>
      <c r="Q2748" s="184" t="n">
        <v>0</v>
      </c>
      <c r="R2748" s="184" t="n">
        <v>0</v>
      </c>
      <c r="S2748" s="183" t="n">
        <v>0</v>
      </c>
      <c r="T2748" s="183" t="n">
        <v>0</v>
      </c>
      <c r="U2748" s="182" t="n">
        <v>0</v>
      </c>
      <c r="V2748" s="182" t="n">
        <v>0</v>
      </c>
      <c r="W2748" s="182" t="n">
        <v>0</v>
      </c>
      <c r="X2748" s="182" t="n">
        <v>1</v>
      </c>
      <c r="Y2748" s="182" t="n">
        <v>0</v>
      </c>
      <c r="Z2748" s="182" t="n">
        <v>0</v>
      </c>
      <c r="AA2748" s="182" t="n">
        <v>0</v>
      </c>
      <c r="AB2748" s="182" t="n">
        <v>0</v>
      </c>
      <c r="AC2748" s="182" t="n">
        <v>0</v>
      </c>
      <c r="AD2748" s="182" t="n">
        <v>0</v>
      </c>
      <c r="AE2748" s="182" t="n">
        <v>0</v>
      </c>
      <c r="AF2748" s="182" t="n">
        <v>0</v>
      </c>
      <c r="AG2748" s="182" t="n">
        <v>0</v>
      </c>
      <c r="AH2748" s="182" t="n">
        <v>0</v>
      </c>
      <c r="AI2748" s="182" t="n">
        <v>0</v>
      </c>
      <c r="AJ2748" s="182" t="n">
        <v>0</v>
      </c>
      <c r="AK2748" s="182" t="n">
        <v>10.92</v>
      </c>
      <c r="AL2748" s="182" t="n">
        <v>0</v>
      </c>
      <c r="AM2748" s="182" t="n">
        <v>0.08</v>
      </c>
      <c r="AN2748" s="182" t="n">
        <v>0</v>
      </c>
    </row>
    <row r="2749">
      <c r="A2749" s="155" t="n">
        <v>46094</v>
      </c>
      <c r="B2749" s="156" t="inlineStr">
        <is>
          <t>DS</t>
        </is>
      </c>
      <c r="C2749" s="156" t="inlineStr">
        <is>
          <t>WL-021</t>
        </is>
      </c>
      <c r="D2749" s="156" t="inlineStr">
        <is>
          <t>SANY - Loader</t>
        </is>
      </c>
      <c r="E2749" s="156" t="inlineStr">
        <is>
          <t>Loader</t>
        </is>
      </c>
      <c r="F2749" s="156" t="inlineStr"/>
      <c r="G2749" s="182" t="n">
        <v>0</v>
      </c>
      <c r="H2749" s="182" t="n">
        <v>0</v>
      </c>
      <c r="I2749" s="182" t="n">
        <v>12</v>
      </c>
      <c r="J2749" s="182" t="n">
        <v>12</v>
      </c>
      <c r="K2749" s="182" t="n">
        <v>0</v>
      </c>
      <c r="L2749" s="182" t="n">
        <v>12</v>
      </c>
      <c r="M2749" s="182" t="n">
        <v>0</v>
      </c>
      <c r="N2749" s="182" t="n">
        <v>0</v>
      </c>
      <c r="O2749" s="183" t="n">
        <v>0</v>
      </c>
      <c r="P2749" s="183" t="n">
        <v>0</v>
      </c>
      <c r="Q2749" s="184" t="n">
        <v>0</v>
      </c>
      <c r="R2749" s="184" t="n">
        <v>0</v>
      </c>
      <c r="S2749" s="183" t="n">
        <v>0</v>
      </c>
      <c r="T2749" s="183" t="n">
        <v>0</v>
      </c>
      <c r="U2749" s="182" t="n">
        <v>0</v>
      </c>
      <c r="V2749" s="182" t="n">
        <v>0</v>
      </c>
      <c r="W2749" s="182" t="n">
        <v>0</v>
      </c>
      <c r="X2749" s="182" t="n">
        <v>0</v>
      </c>
      <c r="Y2749" s="182" t="n">
        <v>0</v>
      </c>
      <c r="Z2749" s="182" t="n">
        <v>0</v>
      </c>
      <c r="AA2749" s="182" t="n">
        <v>0</v>
      </c>
      <c r="AB2749" s="182" t="n">
        <v>0</v>
      </c>
      <c r="AC2749" s="182" t="n">
        <v>0</v>
      </c>
      <c r="AD2749" s="182" t="n">
        <v>0</v>
      </c>
      <c r="AE2749" s="182" t="n">
        <v>0</v>
      </c>
      <c r="AF2749" s="182" t="n">
        <v>0</v>
      </c>
      <c r="AG2749" s="182" t="n">
        <v>0</v>
      </c>
      <c r="AH2749" s="182" t="n">
        <v>0</v>
      </c>
      <c r="AI2749" s="182" t="n">
        <v>0</v>
      </c>
      <c r="AJ2749" s="182" t="n">
        <v>0</v>
      </c>
      <c r="AK2749" s="182" t="n">
        <v>0</v>
      </c>
      <c r="AL2749" s="182" t="n">
        <v>0</v>
      </c>
      <c r="AM2749" s="182" t="n">
        <v>0</v>
      </c>
      <c r="AN2749" s="182" t="n">
        <v>0</v>
      </c>
    </row>
    <row r="2750">
      <c r="A2750" s="155" t="n">
        <v>46094</v>
      </c>
      <c r="B2750" s="156" t="inlineStr">
        <is>
          <t>DS</t>
        </is>
      </c>
      <c r="C2750" s="156" t="inlineStr">
        <is>
          <t>WL-022</t>
        </is>
      </c>
      <c r="D2750" s="156" t="inlineStr">
        <is>
          <t>SANY - Loader</t>
        </is>
      </c>
      <c r="E2750" s="156" t="inlineStr">
        <is>
          <t>Loader</t>
        </is>
      </c>
      <c r="F2750" s="156" t="inlineStr">
        <is>
          <t>Support Washing Plant</t>
        </is>
      </c>
      <c r="G2750" s="182" t="n">
        <v>11.44</v>
      </c>
      <c r="H2750" s="182" t="n">
        <v>0</v>
      </c>
      <c r="I2750" s="182" t="n">
        <v>0</v>
      </c>
      <c r="J2750" s="182" t="n">
        <v>0</v>
      </c>
      <c r="K2750" s="182" t="n">
        <v>0.5600000000000001</v>
      </c>
      <c r="L2750" s="182" t="n">
        <v>12</v>
      </c>
      <c r="M2750" s="182" t="n">
        <v>0</v>
      </c>
      <c r="N2750" s="182" t="n">
        <v>0</v>
      </c>
      <c r="O2750" s="183" t="n">
        <v>0</v>
      </c>
      <c r="P2750" s="183" t="n">
        <v>0</v>
      </c>
      <c r="Q2750" s="184" t="n">
        <v>0</v>
      </c>
      <c r="R2750" s="184" t="n">
        <v>0</v>
      </c>
      <c r="S2750" s="183" t="n">
        <v>0</v>
      </c>
      <c r="T2750" s="183" t="n">
        <v>0</v>
      </c>
      <c r="U2750" s="182" t="n">
        <v>0</v>
      </c>
      <c r="V2750" s="182" t="n">
        <v>0</v>
      </c>
      <c r="W2750" s="182" t="n">
        <v>0</v>
      </c>
      <c r="X2750" s="182" t="n">
        <v>0.5</v>
      </c>
      <c r="Y2750" s="182" t="n">
        <v>0</v>
      </c>
      <c r="Z2750" s="182" t="n">
        <v>0</v>
      </c>
      <c r="AA2750" s="182" t="n">
        <v>0</v>
      </c>
      <c r="AB2750" s="182" t="n">
        <v>0</v>
      </c>
      <c r="AC2750" s="182" t="n">
        <v>0</v>
      </c>
      <c r="AD2750" s="182" t="n">
        <v>0</v>
      </c>
      <c r="AE2750" s="182" t="n">
        <v>0</v>
      </c>
      <c r="AF2750" s="182" t="n">
        <v>0</v>
      </c>
      <c r="AG2750" s="182" t="n">
        <v>0</v>
      </c>
      <c r="AH2750" s="182" t="n">
        <v>0</v>
      </c>
      <c r="AI2750" s="182" t="n">
        <v>0</v>
      </c>
      <c r="AJ2750" s="182" t="n">
        <v>0</v>
      </c>
      <c r="AK2750" s="182" t="n">
        <v>0</v>
      </c>
      <c r="AL2750" s="182" t="n">
        <v>0</v>
      </c>
      <c r="AM2750" s="182" t="n">
        <v>0.06</v>
      </c>
      <c r="AN2750" s="182" t="n">
        <v>0</v>
      </c>
    </row>
    <row r="2751">
      <c r="A2751" s="155" t="n">
        <v>46094</v>
      </c>
      <c r="B2751" s="156" t="inlineStr">
        <is>
          <t>DS</t>
        </is>
      </c>
      <c r="C2751" s="156" t="inlineStr">
        <is>
          <t>WL-024</t>
        </is>
      </c>
      <c r="D2751" s="156" t="inlineStr">
        <is>
          <t>SANY - Loader</t>
        </is>
      </c>
      <c r="E2751" s="156" t="inlineStr">
        <is>
          <t>Loader</t>
        </is>
      </c>
      <c r="F2751" s="156" t="inlineStr">
        <is>
          <t>Support Washing Plant</t>
        </is>
      </c>
      <c r="G2751" s="182" t="n">
        <v>11.67</v>
      </c>
      <c r="H2751" s="182" t="n">
        <v>0</v>
      </c>
      <c r="I2751" s="182" t="n">
        <v>0</v>
      </c>
      <c r="J2751" s="182" t="n">
        <v>0</v>
      </c>
      <c r="K2751" s="182" t="n">
        <v>0.33</v>
      </c>
      <c r="L2751" s="182" t="n">
        <v>12</v>
      </c>
      <c r="M2751" s="182" t="n">
        <v>0</v>
      </c>
      <c r="N2751" s="182" t="n">
        <v>0</v>
      </c>
      <c r="O2751" s="183" t="n">
        <v>0</v>
      </c>
      <c r="P2751" s="183" t="n">
        <v>0</v>
      </c>
      <c r="Q2751" s="184" t="n">
        <v>0</v>
      </c>
      <c r="R2751" s="184" t="n">
        <v>0</v>
      </c>
      <c r="S2751" s="183" t="n">
        <v>0</v>
      </c>
      <c r="T2751" s="183" t="n">
        <v>0</v>
      </c>
      <c r="U2751" s="182" t="n">
        <v>0</v>
      </c>
      <c r="V2751" s="182" t="n">
        <v>0</v>
      </c>
      <c r="W2751" s="182" t="n">
        <v>0</v>
      </c>
      <c r="X2751" s="182" t="n">
        <v>0</v>
      </c>
      <c r="Y2751" s="182" t="n">
        <v>0</v>
      </c>
      <c r="Z2751" s="182" t="n">
        <v>0</v>
      </c>
      <c r="AA2751" s="182" t="n">
        <v>0</v>
      </c>
      <c r="AB2751" s="182" t="n">
        <v>0</v>
      </c>
      <c r="AC2751" s="182" t="n">
        <v>0</v>
      </c>
      <c r="AD2751" s="182" t="n">
        <v>0</v>
      </c>
      <c r="AE2751" s="182" t="n">
        <v>0</v>
      </c>
      <c r="AF2751" s="182" t="n">
        <v>0</v>
      </c>
      <c r="AG2751" s="182" t="n">
        <v>0</v>
      </c>
      <c r="AH2751" s="182" t="n">
        <v>0</v>
      </c>
      <c r="AI2751" s="182" t="n">
        <v>0</v>
      </c>
      <c r="AJ2751" s="182" t="n">
        <v>0</v>
      </c>
      <c r="AK2751" s="182" t="n">
        <v>0</v>
      </c>
      <c r="AL2751" s="182" t="n">
        <v>0</v>
      </c>
      <c r="AM2751" s="182" t="n">
        <v>0</v>
      </c>
      <c r="AN2751" s="182" t="n">
        <v>0</v>
      </c>
    </row>
    <row r="2752">
      <c r="A2752" s="155" t="n">
        <v>46094</v>
      </c>
      <c r="B2752" s="156" t="inlineStr">
        <is>
          <t>NS</t>
        </is>
      </c>
      <c r="C2752" s="156" t="inlineStr">
        <is>
          <t>DZ-034</t>
        </is>
      </c>
      <c r="D2752" s="156" t="inlineStr">
        <is>
          <t>D 68ESS-12EO</t>
        </is>
      </c>
      <c r="E2752" s="156" t="inlineStr">
        <is>
          <t>Bulldozer</t>
        </is>
      </c>
      <c r="F2752" s="156" t="inlineStr"/>
      <c r="G2752" s="182" t="n">
        <v>0</v>
      </c>
      <c r="H2752" s="182" t="n">
        <v>0</v>
      </c>
      <c r="I2752" s="182" t="n">
        <v>12</v>
      </c>
      <c r="J2752" s="182" t="n">
        <v>12</v>
      </c>
      <c r="K2752" s="182" t="n">
        <v>0</v>
      </c>
      <c r="L2752" s="182" t="n">
        <v>12</v>
      </c>
      <c r="M2752" s="182" t="n">
        <v>0</v>
      </c>
      <c r="N2752" s="182" t="n">
        <v>0</v>
      </c>
      <c r="O2752" s="183" t="n">
        <v>0</v>
      </c>
      <c r="P2752" s="183" t="n">
        <v>0</v>
      </c>
      <c r="Q2752" s="184" t="n">
        <v>0</v>
      </c>
      <c r="R2752" s="184" t="n">
        <v>0</v>
      </c>
      <c r="S2752" s="183" t="n">
        <v>0</v>
      </c>
      <c r="T2752" s="183" t="n">
        <v>0</v>
      </c>
      <c r="U2752" s="182" t="n">
        <v>0</v>
      </c>
      <c r="V2752" s="182" t="n">
        <v>0</v>
      </c>
      <c r="W2752" s="182" t="n">
        <v>0</v>
      </c>
      <c r="X2752" s="182" t="n">
        <v>0</v>
      </c>
      <c r="Y2752" s="182" t="n">
        <v>0</v>
      </c>
      <c r="Z2752" s="182" t="n">
        <v>0</v>
      </c>
      <c r="AA2752" s="182" t="n">
        <v>0</v>
      </c>
      <c r="AB2752" s="182" t="n">
        <v>0</v>
      </c>
      <c r="AC2752" s="182" t="n">
        <v>0</v>
      </c>
      <c r="AD2752" s="182" t="n">
        <v>0</v>
      </c>
      <c r="AE2752" s="182" t="n">
        <v>0</v>
      </c>
      <c r="AF2752" s="182" t="n">
        <v>0</v>
      </c>
      <c r="AG2752" s="182" t="n">
        <v>0</v>
      </c>
      <c r="AH2752" s="182" t="n">
        <v>0</v>
      </c>
      <c r="AI2752" s="182" t="n">
        <v>0</v>
      </c>
      <c r="AJ2752" s="182" t="n">
        <v>0</v>
      </c>
      <c r="AK2752" s="182" t="n">
        <v>0</v>
      </c>
      <c r="AL2752" s="182" t="n">
        <v>0</v>
      </c>
      <c r="AM2752" s="182" t="n">
        <v>0</v>
      </c>
      <c r="AN2752" s="182" t="n">
        <v>0</v>
      </c>
    </row>
    <row r="2753">
      <c r="A2753" s="155" t="n">
        <v>46094</v>
      </c>
      <c r="B2753" s="156" t="inlineStr">
        <is>
          <t>NS</t>
        </is>
      </c>
      <c r="C2753" s="156" t="inlineStr">
        <is>
          <t>DZ-033</t>
        </is>
      </c>
      <c r="D2753" s="156" t="inlineStr">
        <is>
          <t>D 375A-6R</t>
        </is>
      </c>
      <c r="E2753" s="156" t="inlineStr">
        <is>
          <t>Bulldozer</t>
        </is>
      </c>
      <c r="F2753" s="156" t="inlineStr">
        <is>
          <t>Support Disposal</t>
        </is>
      </c>
      <c r="G2753" s="182" t="n">
        <v>5.97</v>
      </c>
      <c r="H2753" s="182" t="n">
        <v>0</v>
      </c>
      <c r="I2753" s="182" t="n">
        <v>0</v>
      </c>
      <c r="J2753" s="182" t="n">
        <v>0</v>
      </c>
      <c r="K2753" s="182" t="n">
        <v>6.03</v>
      </c>
      <c r="L2753" s="182" t="n">
        <v>12</v>
      </c>
      <c r="M2753" s="182" t="n">
        <v>0</v>
      </c>
      <c r="N2753" s="182" t="n">
        <v>0</v>
      </c>
      <c r="O2753" s="183" t="n">
        <v>0</v>
      </c>
      <c r="P2753" s="183" t="n">
        <v>0</v>
      </c>
      <c r="Q2753" s="184" t="n">
        <v>0</v>
      </c>
      <c r="R2753" s="184" t="n">
        <v>0</v>
      </c>
      <c r="S2753" s="183" t="n">
        <v>0</v>
      </c>
      <c r="T2753" s="183" t="n">
        <v>0</v>
      </c>
      <c r="U2753" s="182" t="n">
        <v>4.94</v>
      </c>
      <c r="V2753" s="182" t="n">
        <v>0</v>
      </c>
      <c r="W2753" s="182" t="n">
        <v>0</v>
      </c>
      <c r="X2753" s="182" t="n">
        <v>1.01</v>
      </c>
      <c r="Y2753" s="182" t="n">
        <v>0</v>
      </c>
      <c r="Z2753" s="182" t="n">
        <v>0</v>
      </c>
      <c r="AA2753" s="182" t="n">
        <v>0</v>
      </c>
      <c r="AB2753" s="182" t="n">
        <v>0</v>
      </c>
      <c r="AC2753" s="182" t="n">
        <v>0</v>
      </c>
      <c r="AD2753" s="182" t="n">
        <v>0</v>
      </c>
      <c r="AE2753" s="182" t="n">
        <v>0</v>
      </c>
      <c r="AF2753" s="182" t="n">
        <v>0</v>
      </c>
      <c r="AG2753" s="182" t="n">
        <v>0</v>
      </c>
      <c r="AH2753" s="182" t="n">
        <v>0</v>
      </c>
      <c r="AI2753" s="182" t="n">
        <v>0</v>
      </c>
      <c r="AJ2753" s="182" t="n">
        <v>0</v>
      </c>
      <c r="AK2753" s="182" t="n">
        <v>0</v>
      </c>
      <c r="AL2753" s="182" t="n">
        <v>0</v>
      </c>
      <c r="AM2753" s="182" t="n">
        <v>0.08</v>
      </c>
      <c r="AN2753" s="182" t="n">
        <v>0</v>
      </c>
    </row>
    <row r="2754">
      <c r="A2754" s="155" t="n">
        <v>46094</v>
      </c>
      <c r="B2754" s="156" t="inlineStr">
        <is>
          <t>NS</t>
        </is>
      </c>
      <c r="C2754" s="156" t="inlineStr">
        <is>
          <t>DZ-038</t>
        </is>
      </c>
      <c r="D2754" s="156" t="inlineStr">
        <is>
          <t>D 85 ESS-2</t>
        </is>
      </c>
      <c r="E2754" s="156" t="inlineStr">
        <is>
          <t>Bulldozer</t>
        </is>
      </c>
      <c r="F2754" s="156" t="inlineStr"/>
      <c r="G2754" s="182" t="n">
        <v>0</v>
      </c>
      <c r="H2754" s="182" t="n">
        <v>0</v>
      </c>
      <c r="I2754" s="182" t="n">
        <v>12</v>
      </c>
      <c r="J2754" s="182" t="n">
        <v>12</v>
      </c>
      <c r="K2754" s="182" t="n">
        <v>0</v>
      </c>
      <c r="L2754" s="182" t="n">
        <v>12</v>
      </c>
      <c r="M2754" s="182" t="n">
        <v>0</v>
      </c>
      <c r="N2754" s="182" t="n">
        <v>0</v>
      </c>
      <c r="O2754" s="183" t="n">
        <v>0</v>
      </c>
      <c r="P2754" s="183" t="n">
        <v>0</v>
      </c>
      <c r="Q2754" s="184" t="n">
        <v>0</v>
      </c>
      <c r="R2754" s="184" t="n">
        <v>0</v>
      </c>
      <c r="S2754" s="183" t="n">
        <v>0</v>
      </c>
      <c r="T2754" s="183" t="n">
        <v>0</v>
      </c>
      <c r="U2754" s="182" t="n">
        <v>0</v>
      </c>
      <c r="V2754" s="182" t="n">
        <v>0</v>
      </c>
      <c r="W2754" s="182" t="n">
        <v>0</v>
      </c>
      <c r="X2754" s="182" t="n">
        <v>0</v>
      </c>
      <c r="Y2754" s="182" t="n">
        <v>0</v>
      </c>
      <c r="Z2754" s="182" t="n">
        <v>0</v>
      </c>
      <c r="AA2754" s="182" t="n">
        <v>0</v>
      </c>
      <c r="AB2754" s="182" t="n">
        <v>0</v>
      </c>
      <c r="AC2754" s="182" t="n">
        <v>0</v>
      </c>
      <c r="AD2754" s="182" t="n">
        <v>0</v>
      </c>
      <c r="AE2754" s="182" t="n">
        <v>0</v>
      </c>
      <c r="AF2754" s="182" t="n">
        <v>0</v>
      </c>
      <c r="AG2754" s="182" t="n">
        <v>0</v>
      </c>
      <c r="AH2754" s="182" t="n">
        <v>0</v>
      </c>
      <c r="AI2754" s="182" t="n">
        <v>0</v>
      </c>
      <c r="AJ2754" s="182" t="n">
        <v>0</v>
      </c>
      <c r="AK2754" s="182" t="n">
        <v>0</v>
      </c>
      <c r="AL2754" s="182" t="n">
        <v>0</v>
      </c>
      <c r="AM2754" s="182" t="n">
        <v>0</v>
      </c>
      <c r="AN2754" s="182" t="n">
        <v>0</v>
      </c>
    </row>
    <row r="2755">
      <c r="A2755" s="155" t="n">
        <v>46094</v>
      </c>
      <c r="B2755" s="156" t="inlineStr">
        <is>
          <t>NS</t>
        </is>
      </c>
      <c r="C2755" s="156" t="inlineStr">
        <is>
          <t>DZ-039</t>
        </is>
      </c>
      <c r="D2755" s="156" t="inlineStr">
        <is>
          <t>D 85 ESS-2</t>
        </is>
      </c>
      <c r="E2755" s="156" t="inlineStr">
        <is>
          <t>Bulldozer</t>
        </is>
      </c>
      <c r="F2755" s="156" t="inlineStr"/>
      <c r="G2755" s="182" t="n">
        <v>0</v>
      </c>
      <c r="H2755" s="182" t="n">
        <v>12</v>
      </c>
      <c r="I2755" s="182" t="n">
        <v>0</v>
      </c>
      <c r="J2755" s="182" t="n">
        <v>12</v>
      </c>
      <c r="K2755" s="182" t="n">
        <v>0</v>
      </c>
      <c r="L2755" s="182" t="n">
        <v>12</v>
      </c>
      <c r="M2755" s="182" t="n">
        <v>0</v>
      </c>
      <c r="N2755" s="182" t="n">
        <v>0</v>
      </c>
      <c r="O2755" s="183" t="n">
        <v>0</v>
      </c>
      <c r="P2755" s="183" t="n">
        <v>0</v>
      </c>
      <c r="Q2755" s="184" t="n">
        <v>0</v>
      </c>
      <c r="R2755" s="184" t="n">
        <v>0</v>
      </c>
      <c r="S2755" s="183" t="n">
        <v>0</v>
      </c>
      <c r="T2755" s="183" t="n">
        <v>0</v>
      </c>
      <c r="U2755" s="182" t="n">
        <v>0</v>
      </c>
      <c r="V2755" s="182" t="n">
        <v>0</v>
      </c>
      <c r="W2755" s="182" t="n">
        <v>0</v>
      </c>
      <c r="X2755" s="182" t="n">
        <v>0</v>
      </c>
      <c r="Y2755" s="182" t="n">
        <v>0</v>
      </c>
      <c r="Z2755" s="182" t="n">
        <v>0</v>
      </c>
      <c r="AA2755" s="182" t="n">
        <v>0</v>
      </c>
      <c r="AB2755" s="182" t="n">
        <v>0</v>
      </c>
      <c r="AC2755" s="182" t="n">
        <v>0</v>
      </c>
      <c r="AD2755" s="182" t="n">
        <v>0</v>
      </c>
      <c r="AE2755" s="182" t="n">
        <v>0</v>
      </c>
      <c r="AF2755" s="182" t="n">
        <v>0</v>
      </c>
      <c r="AG2755" s="182" t="n">
        <v>0</v>
      </c>
      <c r="AH2755" s="182" t="n">
        <v>0</v>
      </c>
      <c r="AI2755" s="182" t="n">
        <v>0</v>
      </c>
      <c r="AJ2755" s="182" t="n">
        <v>0</v>
      </c>
      <c r="AK2755" s="182" t="n">
        <v>0</v>
      </c>
      <c r="AL2755" s="182" t="n">
        <v>0</v>
      </c>
      <c r="AM2755" s="182" t="n">
        <v>0</v>
      </c>
      <c r="AN2755" s="182" t="n">
        <v>0</v>
      </c>
    </row>
    <row r="2756">
      <c r="A2756" s="155" t="n">
        <v>46094</v>
      </c>
      <c r="B2756" s="156" t="inlineStr">
        <is>
          <t>NS</t>
        </is>
      </c>
      <c r="C2756" s="156" t="inlineStr">
        <is>
          <t>DZ-032</t>
        </is>
      </c>
      <c r="D2756" s="156" t="inlineStr">
        <is>
          <t>CAT</t>
        </is>
      </c>
      <c r="E2756" s="156" t="inlineStr">
        <is>
          <t>Bulldozer</t>
        </is>
      </c>
      <c r="F2756" s="156" t="inlineStr"/>
      <c r="G2756" s="182" t="n">
        <v>0</v>
      </c>
      <c r="H2756" s="182" t="n">
        <v>0</v>
      </c>
      <c r="I2756" s="182" t="n">
        <v>12</v>
      </c>
      <c r="J2756" s="182" t="n">
        <v>12</v>
      </c>
      <c r="K2756" s="182" t="n">
        <v>0</v>
      </c>
      <c r="L2756" s="182" t="n">
        <v>12</v>
      </c>
      <c r="M2756" s="182" t="n">
        <v>0</v>
      </c>
      <c r="N2756" s="182" t="n">
        <v>0</v>
      </c>
      <c r="O2756" s="183" t="n">
        <v>0</v>
      </c>
      <c r="P2756" s="183" t="n">
        <v>0</v>
      </c>
      <c r="Q2756" s="184" t="n">
        <v>0</v>
      </c>
      <c r="R2756" s="184" t="n">
        <v>0</v>
      </c>
      <c r="S2756" s="183" t="n">
        <v>0</v>
      </c>
      <c r="T2756" s="183" t="n">
        <v>0</v>
      </c>
      <c r="U2756" s="182" t="n">
        <v>0</v>
      </c>
      <c r="V2756" s="182" t="n">
        <v>0</v>
      </c>
      <c r="W2756" s="182" t="n">
        <v>0</v>
      </c>
      <c r="X2756" s="182" t="n">
        <v>0</v>
      </c>
      <c r="Y2756" s="182" t="n">
        <v>0</v>
      </c>
      <c r="Z2756" s="182" t="n">
        <v>0</v>
      </c>
      <c r="AA2756" s="182" t="n">
        <v>0</v>
      </c>
      <c r="AB2756" s="182" t="n">
        <v>0</v>
      </c>
      <c r="AC2756" s="182" t="n">
        <v>0</v>
      </c>
      <c r="AD2756" s="182" t="n">
        <v>0</v>
      </c>
      <c r="AE2756" s="182" t="n">
        <v>0</v>
      </c>
      <c r="AF2756" s="182" t="n">
        <v>0</v>
      </c>
      <c r="AG2756" s="182" t="n">
        <v>0</v>
      </c>
      <c r="AH2756" s="182" t="n">
        <v>0</v>
      </c>
      <c r="AI2756" s="182" t="n">
        <v>0</v>
      </c>
      <c r="AJ2756" s="182" t="n">
        <v>0</v>
      </c>
      <c r="AK2756" s="182" t="n">
        <v>0</v>
      </c>
      <c r="AL2756" s="182" t="n">
        <v>0</v>
      </c>
      <c r="AM2756" s="182" t="n">
        <v>0</v>
      </c>
      <c r="AN2756" s="182" t="n">
        <v>0</v>
      </c>
    </row>
    <row r="2757">
      <c r="A2757" s="155" t="n">
        <v>46094</v>
      </c>
      <c r="B2757" s="156" t="inlineStr">
        <is>
          <t>NS</t>
        </is>
      </c>
      <c r="C2757" s="156" t="inlineStr">
        <is>
          <t>DZ-031</t>
        </is>
      </c>
      <c r="D2757" s="156" t="inlineStr">
        <is>
          <t>CAT</t>
        </is>
      </c>
      <c r="E2757" s="156" t="inlineStr">
        <is>
          <t>Bulldozer</t>
        </is>
      </c>
      <c r="F2757" s="156" t="inlineStr">
        <is>
          <t>Support Front Loading</t>
        </is>
      </c>
      <c r="G2757" s="182" t="n">
        <v>5.58</v>
      </c>
      <c r="H2757" s="182" t="n">
        <v>0</v>
      </c>
      <c r="I2757" s="182" t="n">
        <v>6.12</v>
      </c>
      <c r="J2757" s="182" t="n">
        <v>6.12</v>
      </c>
      <c r="K2757" s="182" t="n">
        <v>0.3</v>
      </c>
      <c r="L2757" s="182" t="n">
        <v>12</v>
      </c>
      <c r="M2757" s="182" t="n">
        <v>0</v>
      </c>
      <c r="N2757" s="182" t="n">
        <v>0</v>
      </c>
      <c r="O2757" s="183" t="n">
        <v>0</v>
      </c>
      <c r="P2757" s="183" t="n">
        <v>0</v>
      </c>
      <c r="Q2757" s="184" t="n">
        <v>0</v>
      </c>
      <c r="R2757" s="184" t="n">
        <v>0</v>
      </c>
      <c r="S2757" s="183" t="n">
        <v>0</v>
      </c>
      <c r="T2757" s="183" t="n">
        <v>0</v>
      </c>
      <c r="U2757" s="182" t="n">
        <v>0</v>
      </c>
      <c r="V2757" s="182" t="n">
        <v>0</v>
      </c>
      <c r="W2757" s="182" t="n">
        <v>0</v>
      </c>
      <c r="X2757" s="182" t="n">
        <v>0</v>
      </c>
      <c r="Y2757" s="182" t="n">
        <v>0</v>
      </c>
      <c r="Z2757" s="182" t="n">
        <v>0</v>
      </c>
      <c r="AA2757" s="182" t="n">
        <v>0</v>
      </c>
      <c r="AB2757" s="182" t="n">
        <v>0</v>
      </c>
      <c r="AC2757" s="182" t="n">
        <v>0</v>
      </c>
      <c r="AD2757" s="182" t="n">
        <v>0</v>
      </c>
      <c r="AE2757" s="182" t="n">
        <v>0</v>
      </c>
      <c r="AF2757" s="182" t="n">
        <v>0</v>
      </c>
      <c r="AG2757" s="182" t="n">
        <v>0</v>
      </c>
      <c r="AH2757" s="182" t="n">
        <v>0</v>
      </c>
      <c r="AI2757" s="182" t="n">
        <v>0</v>
      </c>
      <c r="AJ2757" s="182" t="n">
        <v>0</v>
      </c>
      <c r="AK2757" s="182" t="n">
        <v>0</v>
      </c>
      <c r="AL2757" s="182" t="n">
        <v>0</v>
      </c>
      <c r="AM2757" s="182" t="n">
        <v>0.3</v>
      </c>
      <c r="AN2757" s="182" t="n">
        <v>0</v>
      </c>
    </row>
    <row r="2758">
      <c r="A2758" s="155" t="n">
        <v>46094</v>
      </c>
      <c r="B2758" s="156" t="inlineStr">
        <is>
          <t>NS</t>
        </is>
      </c>
      <c r="C2758" s="156" t="inlineStr">
        <is>
          <t>DZ-037</t>
        </is>
      </c>
      <c r="D2758" s="156" t="inlineStr">
        <is>
          <t>D 85 ESS-2</t>
        </is>
      </c>
      <c r="E2758" s="156" t="inlineStr">
        <is>
          <t>Bulldozer</t>
        </is>
      </c>
      <c r="F2758" s="156" t="inlineStr"/>
      <c r="G2758" s="182" t="n">
        <v>0</v>
      </c>
      <c r="H2758" s="182" t="n">
        <v>0</v>
      </c>
      <c r="I2758" s="182" t="n">
        <v>12</v>
      </c>
      <c r="J2758" s="182" t="n">
        <v>12</v>
      </c>
      <c r="K2758" s="182" t="n">
        <v>0</v>
      </c>
      <c r="L2758" s="182" t="n">
        <v>12</v>
      </c>
      <c r="M2758" s="182" t="n">
        <v>0</v>
      </c>
      <c r="N2758" s="182" t="n">
        <v>0</v>
      </c>
      <c r="O2758" s="183" t="n">
        <v>0</v>
      </c>
      <c r="P2758" s="183" t="n">
        <v>0</v>
      </c>
      <c r="Q2758" s="184" t="n">
        <v>0</v>
      </c>
      <c r="R2758" s="184" t="n">
        <v>0</v>
      </c>
      <c r="S2758" s="183" t="n">
        <v>0</v>
      </c>
      <c r="T2758" s="183" t="n">
        <v>0</v>
      </c>
      <c r="U2758" s="182" t="n">
        <v>0</v>
      </c>
      <c r="V2758" s="182" t="n">
        <v>0</v>
      </c>
      <c r="W2758" s="182" t="n">
        <v>0</v>
      </c>
      <c r="X2758" s="182" t="n">
        <v>0</v>
      </c>
      <c r="Y2758" s="182" t="n">
        <v>0</v>
      </c>
      <c r="Z2758" s="182" t="n">
        <v>0</v>
      </c>
      <c r="AA2758" s="182" t="n">
        <v>0</v>
      </c>
      <c r="AB2758" s="182" t="n">
        <v>0</v>
      </c>
      <c r="AC2758" s="182" t="n">
        <v>0</v>
      </c>
      <c r="AD2758" s="182" t="n">
        <v>0</v>
      </c>
      <c r="AE2758" s="182" t="n">
        <v>0</v>
      </c>
      <c r="AF2758" s="182" t="n">
        <v>0</v>
      </c>
      <c r="AG2758" s="182" t="n">
        <v>0</v>
      </c>
      <c r="AH2758" s="182" t="n">
        <v>0</v>
      </c>
      <c r="AI2758" s="182" t="n">
        <v>0</v>
      </c>
      <c r="AJ2758" s="182" t="n">
        <v>0</v>
      </c>
      <c r="AK2758" s="182" t="n">
        <v>0</v>
      </c>
      <c r="AL2758" s="182" t="n">
        <v>0</v>
      </c>
      <c r="AM2758" s="182" t="n">
        <v>0</v>
      </c>
      <c r="AN2758" s="182" t="n">
        <v>0</v>
      </c>
    </row>
    <row r="2759">
      <c r="A2759" s="155" t="n">
        <v>46094</v>
      </c>
      <c r="B2759" s="156" t="inlineStr">
        <is>
          <t>NS</t>
        </is>
      </c>
      <c r="C2759" s="156" t="inlineStr">
        <is>
          <t>DZ-036</t>
        </is>
      </c>
      <c r="D2759" s="156" t="inlineStr">
        <is>
          <t>D 85 ESS-2</t>
        </is>
      </c>
      <c r="E2759" s="156" t="inlineStr">
        <is>
          <t>Bulldozer</t>
        </is>
      </c>
      <c r="F2759" s="156" t="inlineStr"/>
      <c r="G2759" s="182" t="n">
        <v>0</v>
      </c>
      <c r="H2759" s="182" t="n">
        <v>0</v>
      </c>
      <c r="I2759" s="182" t="n">
        <v>0</v>
      </c>
      <c r="J2759" s="182" t="n">
        <v>0</v>
      </c>
      <c r="K2759" s="182" t="n">
        <v>12</v>
      </c>
      <c r="L2759" s="182" t="n">
        <v>12</v>
      </c>
      <c r="M2759" s="182" t="n">
        <v>0</v>
      </c>
      <c r="N2759" s="182" t="n">
        <v>0</v>
      </c>
      <c r="O2759" s="183" t="n">
        <v>0</v>
      </c>
      <c r="P2759" s="183" t="n">
        <v>0</v>
      </c>
      <c r="Q2759" s="184" t="n">
        <v>0</v>
      </c>
      <c r="R2759" s="184" t="n">
        <v>0</v>
      </c>
      <c r="S2759" s="183" t="n">
        <v>0</v>
      </c>
      <c r="T2759" s="183" t="n">
        <v>0</v>
      </c>
      <c r="U2759" s="182" t="n">
        <v>0</v>
      </c>
      <c r="V2759" s="182" t="n">
        <v>0</v>
      </c>
      <c r="W2759" s="182" t="n">
        <v>0</v>
      </c>
      <c r="X2759" s="182" t="n">
        <v>1</v>
      </c>
      <c r="Y2759" s="182" t="n">
        <v>0</v>
      </c>
      <c r="Z2759" s="182" t="n">
        <v>0</v>
      </c>
      <c r="AA2759" s="182" t="n">
        <v>0</v>
      </c>
      <c r="AB2759" s="182" t="n">
        <v>0</v>
      </c>
      <c r="AC2759" s="182" t="n">
        <v>0</v>
      </c>
      <c r="AD2759" s="182" t="n">
        <v>0</v>
      </c>
      <c r="AE2759" s="182" t="n">
        <v>0</v>
      </c>
      <c r="AF2759" s="182" t="n">
        <v>0</v>
      </c>
      <c r="AG2759" s="182" t="n">
        <v>0</v>
      </c>
      <c r="AH2759" s="182" t="n">
        <v>0</v>
      </c>
      <c r="AI2759" s="182" t="n">
        <v>0</v>
      </c>
      <c r="AJ2759" s="182" t="n">
        <v>0</v>
      </c>
      <c r="AK2759" s="182" t="n">
        <v>10.92</v>
      </c>
      <c r="AL2759" s="182" t="n">
        <v>0</v>
      </c>
      <c r="AM2759" s="182" t="n">
        <v>0.08</v>
      </c>
      <c r="AN2759" s="182" t="n">
        <v>0</v>
      </c>
    </row>
    <row r="2760">
      <c r="A2760" s="155" t="n">
        <v>46094</v>
      </c>
      <c r="B2760" s="156" t="inlineStr">
        <is>
          <t>NS</t>
        </is>
      </c>
      <c r="C2760" s="156" t="inlineStr">
        <is>
          <t>DZ-035</t>
        </is>
      </c>
      <c r="D2760" s="156" t="inlineStr">
        <is>
          <t>D 85 ESS-2</t>
        </is>
      </c>
      <c r="E2760" s="156" t="inlineStr">
        <is>
          <t>Bulldozer</t>
        </is>
      </c>
      <c r="F2760" s="156" t="inlineStr">
        <is>
          <t>Support Front Loading</t>
        </is>
      </c>
      <c r="G2760" s="182" t="n">
        <v>3.39</v>
      </c>
      <c r="H2760" s="182" t="n">
        <v>0</v>
      </c>
      <c r="I2760" s="182" t="n">
        <v>1.08</v>
      </c>
      <c r="J2760" s="182" t="n">
        <v>1.08</v>
      </c>
      <c r="K2760" s="182" t="n">
        <v>7.53</v>
      </c>
      <c r="L2760" s="182" t="n">
        <v>12</v>
      </c>
      <c r="M2760" s="182" t="n">
        <v>0</v>
      </c>
      <c r="N2760" s="182" t="n">
        <v>0</v>
      </c>
      <c r="O2760" s="183" t="n">
        <v>0</v>
      </c>
      <c r="P2760" s="183" t="n">
        <v>0</v>
      </c>
      <c r="Q2760" s="184" t="n">
        <v>0</v>
      </c>
      <c r="R2760" s="184" t="n">
        <v>0</v>
      </c>
      <c r="S2760" s="183" t="n">
        <v>0</v>
      </c>
      <c r="T2760" s="183" t="n">
        <v>0</v>
      </c>
      <c r="U2760" s="182" t="n">
        <v>6.45</v>
      </c>
      <c r="V2760" s="182" t="n">
        <v>0</v>
      </c>
      <c r="W2760" s="182" t="n">
        <v>0</v>
      </c>
      <c r="X2760" s="182" t="n">
        <v>0.99</v>
      </c>
      <c r="Y2760" s="182" t="n">
        <v>0</v>
      </c>
      <c r="Z2760" s="182" t="n">
        <v>0</v>
      </c>
      <c r="AA2760" s="182" t="n">
        <v>0</v>
      </c>
      <c r="AB2760" s="182" t="n">
        <v>0</v>
      </c>
      <c r="AC2760" s="182" t="n">
        <v>0</v>
      </c>
      <c r="AD2760" s="182" t="n">
        <v>0</v>
      </c>
      <c r="AE2760" s="182" t="n">
        <v>0</v>
      </c>
      <c r="AF2760" s="182" t="n">
        <v>0</v>
      </c>
      <c r="AG2760" s="182" t="n">
        <v>0</v>
      </c>
      <c r="AH2760" s="182" t="n">
        <v>0</v>
      </c>
      <c r="AI2760" s="182" t="n">
        <v>0</v>
      </c>
      <c r="AJ2760" s="182" t="n">
        <v>0</v>
      </c>
      <c r="AK2760" s="182" t="n">
        <v>0</v>
      </c>
      <c r="AL2760" s="182" t="n">
        <v>0</v>
      </c>
      <c r="AM2760" s="182" t="n">
        <v>0.08</v>
      </c>
      <c r="AN2760" s="182" t="n">
        <v>0</v>
      </c>
    </row>
    <row r="2761">
      <c r="A2761" s="155" t="n">
        <v>46094</v>
      </c>
      <c r="B2761" s="156" t="inlineStr">
        <is>
          <t>NS</t>
        </is>
      </c>
      <c r="C2761" s="156" t="inlineStr">
        <is>
          <t>CP-042</t>
        </is>
      </c>
      <c r="D2761" s="156" t="inlineStr">
        <is>
          <t>SANY - Compactor</t>
        </is>
      </c>
      <c r="E2761" s="156" t="inlineStr">
        <is>
          <t>Compactor</t>
        </is>
      </c>
      <c r="F2761" s="156" t="inlineStr">
        <is>
          <t>Timesheet Kosong</t>
        </is>
      </c>
      <c r="G2761" s="182" t="n">
        <v>1.86</v>
      </c>
      <c r="H2761" s="182" t="n">
        <v>0</v>
      </c>
      <c r="I2761" s="182" t="n">
        <v>0</v>
      </c>
      <c r="J2761" s="182" t="n">
        <v>0</v>
      </c>
      <c r="K2761" s="182" t="n">
        <v>10.14</v>
      </c>
      <c r="L2761" s="182" t="n">
        <v>12</v>
      </c>
      <c r="M2761" s="182" t="n">
        <v>0</v>
      </c>
      <c r="N2761" s="182" t="n">
        <v>0</v>
      </c>
      <c r="O2761" s="183" t="n">
        <v>0</v>
      </c>
      <c r="P2761" s="183" t="n">
        <v>0</v>
      </c>
      <c r="Q2761" s="184" t="n">
        <v>0</v>
      </c>
      <c r="R2761" s="184" t="n">
        <v>0</v>
      </c>
      <c r="S2761" s="183" t="n">
        <v>0</v>
      </c>
      <c r="T2761" s="183" t="n">
        <v>0</v>
      </c>
      <c r="U2761" s="182" t="n">
        <v>0</v>
      </c>
      <c r="V2761" s="182" t="n">
        <v>0</v>
      </c>
      <c r="W2761" s="182" t="n">
        <v>0</v>
      </c>
      <c r="X2761" s="182" t="n">
        <v>1.01</v>
      </c>
      <c r="Y2761" s="182" t="n">
        <v>0</v>
      </c>
      <c r="Z2761" s="182" t="n">
        <v>0</v>
      </c>
      <c r="AA2761" s="182" t="n">
        <v>0</v>
      </c>
      <c r="AB2761" s="182" t="n">
        <v>0</v>
      </c>
      <c r="AC2761" s="182" t="n">
        <v>0</v>
      </c>
      <c r="AD2761" s="182" t="n">
        <v>0</v>
      </c>
      <c r="AE2761" s="182" t="n">
        <v>0</v>
      </c>
      <c r="AF2761" s="182" t="n">
        <v>0</v>
      </c>
      <c r="AG2761" s="182" t="n">
        <v>0</v>
      </c>
      <c r="AH2761" s="182" t="n">
        <v>0</v>
      </c>
      <c r="AI2761" s="182" t="n">
        <v>0</v>
      </c>
      <c r="AJ2761" s="182" t="n">
        <v>0</v>
      </c>
      <c r="AK2761" s="182" t="n">
        <v>9.039999999999999</v>
      </c>
      <c r="AL2761" s="182" t="n">
        <v>0</v>
      </c>
      <c r="AM2761" s="182" t="n">
        <v>0.08</v>
      </c>
      <c r="AN2761" s="182" t="n">
        <v>0</v>
      </c>
    </row>
    <row r="2762">
      <c r="A2762" s="155" t="n">
        <v>46094</v>
      </c>
      <c r="B2762" s="156" t="inlineStr">
        <is>
          <t>NS</t>
        </is>
      </c>
      <c r="C2762" s="156" t="inlineStr">
        <is>
          <t>CP-041</t>
        </is>
      </c>
      <c r="D2762" s="156" t="inlineStr">
        <is>
          <t>SANY - Compactor</t>
        </is>
      </c>
      <c r="E2762" s="156" t="inlineStr">
        <is>
          <t>Compactor</t>
        </is>
      </c>
      <c r="F2762" s="156" t="inlineStr">
        <is>
          <t>General Road</t>
        </is>
      </c>
      <c r="G2762" s="182" t="n">
        <v>4.55</v>
      </c>
      <c r="H2762" s="182" t="n">
        <v>0</v>
      </c>
      <c r="I2762" s="182" t="n">
        <v>0</v>
      </c>
      <c r="J2762" s="182" t="n">
        <v>0</v>
      </c>
      <c r="K2762" s="182" t="n">
        <v>7.45</v>
      </c>
      <c r="L2762" s="182" t="n">
        <v>12</v>
      </c>
      <c r="M2762" s="182" t="n">
        <v>0</v>
      </c>
      <c r="N2762" s="182" t="n">
        <v>0</v>
      </c>
      <c r="O2762" s="183" t="n">
        <v>0</v>
      </c>
      <c r="P2762" s="183" t="n">
        <v>0</v>
      </c>
      <c r="Q2762" s="184" t="n">
        <v>0</v>
      </c>
      <c r="R2762" s="184" t="n">
        <v>0</v>
      </c>
      <c r="S2762" s="183" t="n">
        <v>0</v>
      </c>
      <c r="T2762" s="183" t="n">
        <v>0</v>
      </c>
      <c r="U2762" s="182" t="n">
        <v>0</v>
      </c>
      <c r="V2762" s="182" t="n">
        <v>0</v>
      </c>
      <c r="W2762" s="182" t="n">
        <v>0</v>
      </c>
      <c r="X2762" s="182" t="n">
        <v>0.97</v>
      </c>
      <c r="Y2762" s="182" t="n">
        <v>0</v>
      </c>
      <c r="Z2762" s="182" t="n">
        <v>0</v>
      </c>
      <c r="AA2762" s="182" t="n">
        <v>0</v>
      </c>
      <c r="AB2762" s="182" t="n">
        <v>0</v>
      </c>
      <c r="AC2762" s="182" t="n">
        <v>0</v>
      </c>
      <c r="AD2762" s="182" t="n">
        <v>0</v>
      </c>
      <c r="AE2762" s="182" t="n">
        <v>0</v>
      </c>
      <c r="AF2762" s="182" t="n">
        <v>0</v>
      </c>
      <c r="AG2762" s="182" t="n">
        <v>0</v>
      </c>
      <c r="AH2762" s="182" t="n">
        <v>0</v>
      </c>
      <c r="AI2762" s="182" t="n">
        <v>0</v>
      </c>
      <c r="AJ2762" s="182" t="n">
        <v>0</v>
      </c>
      <c r="AK2762" s="182" t="n">
        <v>6.41</v>
      </c>
      <c r="AL2762" s="182" t="n">
        <v>0</v>
      </c>
      <c r="AM2762" s="182" t="n">
        <v>0.08</v>
      </c>
      <c r="AN2762" s="182" t="n">
        <v>0</v>
      </c>
    </row>
    <row r="2763">
      <c r="A2763" s="155" t="n">
        <v>46094</v>
      </c>
      <c r="B2763" s="156" t="inlineStr">
        <is>
          <t>NS</t>
        </is>
      </c>
      <c r="C2763" s="156" t="inlineStr">
        <is>
          <t>HT-418</t>
        </is>
      </c>
      <c r="D2763" s="156" t="inlineStr">
        <is>
          <t>SY430</t>
        </is>
      </c>
      <c r="E2763" s="156" t="inlineStr">
        <is>
          <t>DT Hauling</t>
        </is>
      </c>
      <c r="F2763" s="156" t="inlineStr"/>
      <c r="G2763" s="182" t="n">
        <v>0</v>
      </c>
      <c r="H2763" s="182" t="n">
        <v>0</v>
      </c>
      <c r="I2763" s="182" t="n">
        <v>0</v>
      </c>
      <c r="J2763" s="182" t="n">
        <v>0</v>
      </c>
      <c r="K2763" s="182" t="n">
        <v>12</v>
      </c>
      <c r="L2763" s="182" t="n">
        <v>12</v>
      </c>
      <c r="M2763" s="182" t="n">
        <v>0</v>
      </c>
      <c r="N2763" s="182" t="n">
        <v>0</v>
      </c>
      <c r="O2763" s="183" t="n">
        <v>0</v>
      </c>
      <c r="P2763" s="183" t="n">
        <v>0</v>
      </c>
      <c r="Q2763" s="184" t="n">
        <v>0</v>
      </c>
      <c r="R2763" s="184" t="n">
        <v>0</v>
      </c>
      <c r="S2763" s="183" t="n">
        <v>0</v>
      </c>
      <c r="T2763" s="183" t="n">
        <v>0</v>
      </c>
      <c r="U2763" s="182" t="n">
        <v>0</v>
      </c>
      <c r="V2763" s="182" t="n">
        <v>0</v>
      </c>
      <c r="W2763" s="182" t="n">
        <v>0</v>
      </c>
      <c r="X2763" s="182" t="n">
        <v>1</v>
      </c>
      <c r="Y2763" s="182" t="n">
        <v>0</v>
      </c>
      <c r="Z2763" s="182" t="n">
        <v>0</v>
      </c>
      <c r="AA2763" s="182" t="n">
        <v>0</v>
      </c>
      <c r="AB2763" s="182" t="n">
        <v>0</v>
      </c>
      <c r="AC2763" s="182" t="n">
        <v>0</v>
      </c>
      <c r="AD2763" s="182" t="n">
        <v>0</v>
      </c>
      <c r="AE2763" s="182" t="n">
        <v>0</v>
      </c>
      <c r="AF2763" s="182" t="n">
        <v>0</v>
      </c>
      <c r="AG2763" s="182" t="n">
        <v>0</v>
      </c>
      <c r="AH2763" s="182" t="n">
        <v>0</v>
      </c>
      <c r="AI2763" s="182" t="n">
        <v>0</v>
      </c>
      <c r="AJ2763" s="182" t="n">
        <v>0</v>
      </c>
      <c r="AK2763" s="182" t="n">
        <v>10.92</v>
      </c>
      <c r="AL2763" s="182" t="n">
        <v>0</v>
      </c>
      <c r="AM2763" s="182" t="n">
        <v>0.08</v>
      </c>
      <c r="AN2763" s="182" t="n">
        <v>0</v>
      </c>
    </row>
    <row r="2764">
      <c r="A2764" s="155" t="n">
        <v>46094</v>
      </c>
      <c r="B2764" s="156" t="inlineStr">
        <is>
          <t>NS</t>
        </is>
      </c>
      <c r="C2764" s="156" t="inlineStr">
        <is>
          <t>HT-404</t>
        </is>
      </c>
      <c r="D2764" s="156" t="inlineStr">
        <is>
          <t>SY430</t>
        </is>
      </c>
      <c r="E2764" s="156" t="inlineStr">
        <is>
          <t>DT Hauling</t>
        </is>
      </c>
      <c r="F2764" s="156" t="inlineStr"/>
      <c r="G2764" s="182" t="n">
        <v>0</v>
      </c>
      <c r="H2764" s="182" t="n">
        <v>0</v>
      </c>
      <c r="I2764" s="182" t="n">
        <v>0</v>
      </c>
      <c r="J2764" s="182" t="n">
        <v>0</v>
      </c>
      <c r="K2764" s="182" t="n">
        <v>12</v>
      </c>
      <c r="L2764" s="182" t="n">
        <v>12</v>
      </c>
      <c r="M2764" s="182" t="n">
        <v>0</v>
      </c>
      <c r="N2764" s="182" t="n">
        <v>0</v>
      </c>
      <c r="O2764" s="183" t="n">
        <v>0</v>
      </c>
      <c r="P2764" s="183" t="n">
        <v>0</v>
      </c>
      <c r="Q2764" s="184" t="n">
        <v>0</v>
      </c>
      <c r="R2764" s="184" t="n">
        <v>0</v>
      </c>
      <c r="S2764" s="183" t="n">
        <v>0</v>
      </c>
      <c r="T2764" s="183" t="n">
        <v>0</v>
      </c>
      <c r="U2764" s="182" t="n">
        <v>0</v>
      </c>
      <c r="V2764" s="182" t="n">
        <v>0</v>
      </c>
      <c r="W2764" s="182" t="n">
        <v>0</v>
      </c>
      <c r="X2764" s="182" t="n">
        <v>1</v>
      </c>
      <c r="Y2764" s="182" t="n">
        <v>0</v>
      </c>
      <c r="Z2764" s="182" t="n">
        <v>0</v>
      </c>
      <c r="AA2764" s="182" t="n">
        <v>0</v>
      </c>
      <c r="AB2764" s="182" t="n">
        <v>0</v>
      </c>
      <c r="AC2764" s="182" t="n">
        <v>0</v>
      </c>
      <c r="AD2764" s="182" t="n">
        <v>0</v>
      </c>
      <c r="AE2764" s="182" t="n">
        <v>0</v>
      </c>
      <c r="AF2764" s="182" t="n">
        <v>0</v>
      </c>
      <c r="AG2764" s="182" t="n">
        <v>0</v>
      </c>
      <c r="AH2764" s="182" t="n">
        <v>0</v>
      </c>
      <c r="AI2764" s="182" t="n">
        <v>0</v>
      </c>
      <c r="AJ2764" s="182" t="n">
        <v>0</v>
      </c>
      <c r="AK2764" s="182" t="n">
        <v>10.92</v>
      </c>
      <c r="AL2764" s="182" t="n">
        <v>0</v>
      </c>
      <c r="AM2764" s="182" t="n">
        <v>0.08</v>
      </c>
      <c r="AN2764" s="182" t="n">
        <v>0</v>
      </c>
    </row>
    <row r="2765">
      <c r="A2765" s="155" t="n">
        <v>46094</v>
      </c>
      <c r="B2765" s="156" t="inlineStr">
        <is>
          <t>NS</t>
        </is>
      </c>
      <c r="C2765" s="156" t="inlineStr">
        <is>
          <t>HT-415</t>
        </is>
      </c>
      <c r="D2765" s="156" t="inlineStr">
        <is>
          <t>SY430</t>
        </is>
      </c>
      <c r="E2765" s="156" t="inlineStr">
        <is>
          <t>DT Hauling</t>
        </is>
      </c>
      <c r="F2765" s="156" t="inlineStr"/>
      <c r="G2765" s="182" t="n">
        <v>0</v>
      </c>
      <c r="H2765" s="182" t="n">
        <v>0</v>
      </c>
      <c r="I2765" s="182" t="n">
        <v>12</v>
      </c>
      <c r="J2765" s="182" t="n">
        <v>12</v>
      </c>
      <c r="K2765" s="182" t="n">
        <v>0</v>
      </c>
      <c r="L2765" s="182" t="n">
        <v>12</v>
      </c>
      <c r="M2765" s="182" t="n">
        <v>0</v>
      </c>
      <c r="N2765" s="182" t="n">
        <v>0</v>
      </c>
      <c r="O2765" s="183" t="n">
        <v>0</v>
      </c>
      <c r="P2765" s="183" t="n">
        <v>0</v>
      </c>
      <c r="Q2765" s="184" t="n">
        <v>0</v>
      </c>
      <c r="R2765" s="184" t="n">
        <v>0</v>
      </c>
      <c r="S2765" s="183" t="n">
        <v>0</v>
      </c>
      <c r="T2765" s="183" t="n">
        <v>0</v>
      </c>
      <c r="U2765" s="182" t="n">
        <v>0</v>
      </c>
      <c r="V2765" s="182" t="n">
        <v>0</v>
      </c>
      <c r="W2765" s="182" t="n">
        <v>0</v>
      </c>
      <c r="X2765" s="182" t="n">
        <v>0</v>
      </c>
      <c r="Y2765" s="182" t="n">
        <v>0</v>
      </c>
      <c r="Z2765" s="182" t="n">
        <v>0</v>
      </c>
      <c r="AA2765" s="182" t="n">
        <v>0</v>
      </c>
      <c r="AB2765" s="182" t="n">
        <v>0</v>
      </c>
      <c r="AC2765" s="182" t="n">
        <v>0</v>
      </c>
      <c r="AD2765" s="182" t="n">
        <v>0</v>
      </c>
      <c r="AE2765" s="182" t="n">
        <v>0</v>
      </c>
      <c r="AF2765" s="182" t="n">
        <v>0</v>
      </c>
      <c r="AG2765" s="182" t="n">
        <v>0</v>
      </c>
      <c r="AH2765" s="182" t="n">
        <v>0</v>
      </c>
      <c r="AI2765" s="182" t="n">
        <v>0</v>
      </c>
      <c r="AJ2765" s="182" t="n">
        <v>0</v>
      </c>
      <c r="AK2765" s="182" t="n">
        <v>0</v>
      </c>
      <c r="AL2765" s="182" t="n">
        <v>0</v>
      </c>
      <c r="AM2765" s="182" t="n">
        <v>0</v>
      </c>
      <c r="AN2765" s="182" t="n">
        <v>0</v>
      </c>
    </row>
    <row r="2766">
      <c r="A2766" s="155" t="n">
        <v>46094</v>
      </c>
      <c r="B2766" s="156" t="inlineStr">
        <is>
          <t>NS</t>
        </is>
      </c>
      <c r="C2766" s="156" t="inlineStr">
        <is>
          <t>HT-406</t>
        </is>
      </c>
      <c r="D2766" s="156" t="inlineStr">
        <is>
          <t>SY430</t>
        </is>
      </c>
      <c r="E2766" s="156" t="inlineStr">
        <is>
          <t>DT Hauling</t>
        </is>
      </c>
      <c r="F2766" s="156" t="inlineStr"/>
      <c r="G2766" s="182" t="n">
        <v>0</v>
      </c>
      <c r="H2766" s="182" t="n">
        <v>0</v>
      </c>
      <c r="I2766" s="182" t="n">
        <v>0</v>
      </c>
      <c r="J2766" s="182" t="n">
        <v>0</v>
      </c>
      <c r="K2766" s="182" t="n">
        <v>12</v>
      </c>
      <c r="L2766" s="182" t="n">
        <v>12</v>
      </c>
      <c r="M2766" s="182" t="n">
        <v>0</v>
      </c>
      <c r="N2766" s="182" t="n">
        <v>0</v>
      </c>
      <c r="O2766" s="183" t="n">
        <v>0</v>
      </c>
      <c r="P2766" s="183" t="n">
        <v>0</v>
      </c>
      <c r="Q2766" s="184" t="n">
        <v>0</v>
      </c>
      <c r="R2766" s="184" t="n">
        <v>0</v>
      </c>
      <c r="S2766" s="183" t="n">
        <v>0</v>
      </c>
      <c r="T2766" s="183" t="n">
        <v>0</v>
      </c>
      <c r="U2766" s="182" t="n">
        <v>0</v>
      </c>
      <c r="V2766" s="182" t="n">
        <v>0</v>
      </c>
      <c r="W2766" s="182" t="n">
        <v>0</v>
      </c>
      <c r="X2766" s="182" t="n">
        <v>1</v>
      </c>
      <c r="Y2766" s="182" t="n">
        <v>0</v>
      </c>
      <c r="Z2766" s="182" t="n">
        <v>0</v>
      </c>
      <c r="AA2766" s="182" t="n">
        <v>0</v>
      </c>
      <c r="AB2766" s="182" t="n">
        <v>0</v>
      </c>
      <c r="AC2766" s="182" t="n">
        <v>0</v>
      </c>
      <c r="AD2766" s="182" t="n">
        <v>0</v>
      </c>
      <c r="AE2766" s="182" t="n">
        <v>0</v>
      </c>
      <c r="AF2766" s="182" t="n">
        <v>0</v>
      </c>
      <c r="AG2766" s="182" t="n">
        <v>0</v>
      </c>
      <c r="AH2766" s="182" t="n">
        <v>0</v>
      </c>
      <c r="AI2766" s="182" t="n">
        <v>0</v>
      </c>
      <c r="AJ2766" s="182" t="n">
        <v>0</v>
      </c>
      <c r="AK2766" s="182" t="n">
        <v>10.92</v>
      </c>
      <c r="AL2766" s="182" t="n">
        <v>0</v>
      </c>
      <c r="AM2766" s="182" t="n">
        <v>0.08</v>
      </c>
      <c r="AN2766" s="182" t="n">
        <v>0</v>
      </c>
    </row>
    <row r="2767">
      <c r="A2767" s="155" t="n">
        <v>46094</v>
      </c>
      <c r="B2767" s="156" t="inlineStr">
        <is>
          <t>NS</t>
        </is>
      </c>
      <c r="C2767" s="156" t="inlineStr">
        <is>
          <t>HT-405</t>
        </is>
      </c>
      <c r="D2767" s="156" t="inlineStr">
        <is>
          <t>SY430</t>
        </is>
      </c>
      <c r="E2767" s="156" t="inlineStr">
        <is>
          <t>DT Hauling</t>
        </is>
      </c>
      <c r="F2767" s="156" t="inlineStr"/>
      <c r="G2767" s="182" t="n">
        <v>0</v>
      </c>
      <c r="H2767" s="182" t="n">
        <v>0</v>
      </c>
      <c r="I2767" s="182" t="n">
        <v>0</v>
      </c>
      <c r="J2767" s="182" t="n">
        <v>0</v>
      </c>
      <c r="K2767" s="182" t="n">
        <v>12</v>
      </c>
      <c r="L2767" s="182" t="n">
        <v>12</v>
      </c>
      <c r="M2767" s="182" t="n">
        <v>0</v>
      </c>
      <c r="N2767" s="182" t="n">
        <v>0</v>
      </c>
      <c r="O2767" s="183" t="n">
        <v>0</v>
      </c>
      <c r="P2767" s="183" t="n">
        <v>0</v>
      </c>
      <c r="Q2767" s="184" t="n">
        <v>0</v>
      </c>
      <c r="R2767" s="184" t="n">
        <v>0</v>
      </c>
      <c r="S2767" s="183" t="n">
        <v>0</v>
      </c>
      <c r="T2767" s="183" t="n">
        <v>0</v>
      </c>
      <c r="U2767" s="182" t="n">
        <v>0</v>
      </c>
      <c r="V2767" s="182" t="n">
        <v>0</v>
      </c>
      <c r="W2767" s="182" t="n">
        <v>0</v>
      </c>
      <c r="X2767" s="182" t="n">
        <v>1</v>
      </c>
      <c r="Y2767" s="182" t="n">
        <v>0</v>
      </c>
      <c r="Z2767" s="182" t="n">
        <v>0</v>
      </c>
      <c r="AA2767" s="182" t="n">
        <v>0</v>
      </c>
      <c r="AB2767" s="182" t="n">
        <v>0</v>
      </c>
      <c r="AC2767" s="182" t="n">
        <v>0</v>
      </c>
      <c r="AD2767" s="182" t="n">
        <v>0</v>
      </c>
      <c r="AE2767" s="182" t="n">
        <v>0</v>
      </c>
      <c r="AF2767" s="182" t="n">
        <v>0</v>
      </c>
      <c r="AG2767" s="182" t="n">
        <v>0</v>
      </c>
      <c r="AH2767" s="182" t="n">
        <v>0</v>
      </c>
      <c r="AI2767" s="182" t="n">
        <v>0</v>
      </c>
      <c r="AJ2767" s="182" t="n">
        <v>0</v>
      </c>
      <c r="AK2767" s="182" t="n">
        <v>10.92</v>
      </c>
      <c r="AL2767" s="182" t="n">
        <v>0</v>
      </c>
      <c r="AM2767" s="182" t="n">
        <v>0.08</v>
      </c>
      <c r="AN2767" s="182" t="n">
        <v>0</v>
      </c>
    </row>
    <row r="2768">
      <c r="A2768" s="155" t="n">
        <v>46094</v>
      </c>
      <c r="B2768" s="156" t="inlineStr">
        <is>
          <t>NS</t>
        </is>
      </c>
      <c r="C2768" s="156" t="inlineStr">
        <is>
          <t>HT-417</t>
        </is>
      </c>
      <c r="D2768" s="156" t="inlineStr">
        <is>
          <t>SY430</t>
        </is>
      </c>
      <c r="E2768" s="156" t="inlineStr">
        <is>
          <t>DT Hauling</t>
        </is>
      </c>
      <c r="F2768" s="156" t="inlineStr"/>
      <c r="G2768" s="182" t="n">
        <v>0</v>
      </c>
      <c r="H2768" s="182" t="n">
        <v>0</v>
      </c>
      <c r="I2768" s="182" t="n">
        <v>0</v>
      </c>
      <c r="J2768" s="182" t="n">
        <v>0</v>
      </c>
      <c r="K2768" s="182" t="n">
        <v>12</v>
      </c>
      <c r="L2768" s="182" t="n">
        <v>12</v>
      </c>
      <c r="M2768" s="182" t="n">
        <v>0</v>
      </c>
      <c r="N2768" s="182" t="n">
        <v>0</v>
      </c>
      <c r="O2768" s="183" t="n">
        <v>0</v>
      </c>
      <c r="P2768" s="183" t="n">
        <v>0</v>
      </c>
      <c r="Q2768" s="184" t="n">
        <v>0</v>
      </c>
      <c r="R2768" s="184" t="n">
        <v>0</v>
      </c>
      <c r="S2768" s="183" t="n">
        <v>0</v>
      </c>
      <c r="T2768" s="183" t="n">
        <v>0</v>
      </c>
      <c r="U2768" s="182" t="n">
        <v>0</v>
      </c>
      <c r="V2768" s="182" t="n">
        <v>0</v>
      </c>
      <c r="W2768" s="182" t="n">
        <v>0</v>
      </c>
      <c r="X2768" s="182" t="n">
        <v>1</v>
      </c>
      <c r="Y2768" s="182" t="n">
        <v>0</v>
      </c>
      <c r="Z2768" s="182" t="n">
        <v>0</v>
      </c>
      <c r="AA2768" s="182" t="n">
        <v>0</v>
      </c>
      <c r="AB2768" s="182" t="n">
        <v>0</v>
      </c>
      <c r="AC2768" s="182" t="n">
        <v>0</v>
      </c>
      <c r="AD2768" s="182" t="n">
        <v>0</v>
      </c>
      <c r="AE2768" s="182" t="n">
        <v>0</v>
      </c>
      <c r="AF2768" s="182" t="n">
        <v>0</v>
      </c>
      <c r="AG2768" s="182" t="n">
        <v>0</v>
      </c>
      <c r="AH2768" s="182" t="n">
        <v>0</v>
      </c>
      <c r="AI2768" s="182" t="n">
        <v>0</v>
      </c>
      <c r="AJ2768" s="182" t="n">
        <v>0</v>
      </c>
      <c r="AK2768" s="182" t="n">
        <v>10.92</v>
      </c>
      <c r="AL2768" s="182" t="n">
        <v>0</v>
      </c>
      <c r="AM2768" s="182" t="n">
        <v>0.08</v>
      </c>
      <c r="AN2768" s="182" t="n">
        <v>0</v>
      </c>
    </row>
    <row r="2769">
      <c r="A2769" s="155" t="n">
        <v>46094</v>
      </c>
      <c r="B2769" s="156" t="inlineStr">
        <is>
          <t>NS</t>
        </is>
      </c>
      <c r="C2769" s="156" t="inlineStr">
        <is>
          <t>HT-401</t>
        </is>
      </c>
      <c r="D2769" s="156" t="inlineStr">
        <is>
          <t>SY430</t>
        </is>
      </c>
      <c r="E2769" s="156" t="inlineStr">
        <is>
          <t>DT Hauling</t>
        </is>
      </c>
      <c r="F2769" s="156" t="inlineStr"/>
      <c r="G2769" s="182" t="n">
        <v>0</v>
      </c>
      <c r="H2769" s="182" t="n">
        <v>0</v>
      </c>
      <c r="I2769" s="182" t="n">
        <v>0</v>
      </c>
      <c r="J2769" s="182" t="n">
        <v>0</v>
      </c>
      <c r="K2769" s="182" t="n">
        <v>12</v>
      </c>
      <c r="L2769" s="182" t="n">
        <v>12</v>
      </c>
      <c r="M2769" s="182" t="n">
        <v>0</v>
      </c>
      <c r="N2769" s="182" t="n">
        <v>0</v>
      </c>
      <c r="O2769" s="183" t="n">
        <v>0</v>
      </c>
      <c r="P2769" s="183" t="n">
        <v>0</v>
      </c>
      <c r="Q2769" s="184" t="n">
        <v>0</v>
      </c>
      <c r="R2769" s="184" t="n">
        <v>0</v>
      </c>
      <c r="S2769" s="183" t="n">
        <v>0</v>
      </c>
      <c r="T2769" s="183" t="n">
        <v>0</v>
      </c>
      <c r="U2769" s="182" t="n">
        <v>0</v>
      </c>
      <c r="V2769" s="182" t="n">
        <v>0</v>
      </c>
      <c r="W2769" s="182" t="n">
        <v>0</v>
      </c>
      <c r="X2769" s="182" t="n">
        <v>1</v>
      </c>
      <c r="Y2769" s="182" t="n">
        <v>0</v>
      </c>
      <c r="Z2769" s="182" t="n">
        <v>0</v>
      </c>
      <c r="AA2769" s="182" t="n">
        <v>0</v>
      </c>
      <c r="AB2769" s="182" t="n">
        <v>0</v>
      </c>
      <c r="AC2769" s="182" t="n">
        <v>0</v>
      </c>
      <c r="AD2769" s="182" t="n">
        <v>0</v>
      </c>
      <c r="AE2769" s="182" t="n">
        <v>0</v>
      </c>
      <c r="AF2769" s="182" t="n">
        <v>0</v>
      </c>
      <c r="AG2769" s="182" t="n">
        <v>0</v>
      </c>
      <c r="AH2769" s="182" t="n">
        <v>0</v>
      </c>
      <c r="AI2769" s="182" t="n">
        <v>0</v>
      </c>
      <c r="AJ2769" s="182" t="n">
        <v>0</v>
      </c>
      <c r="AK2769" s="182" t="n">
        <v>10.92</v>
      </c>
      <c r="AL2769" s="182" t="n">
        <v>0</v>
      </c>
      <c r="AM2769" s="182" t="n">
        <v>0.08</v>
      </c>
      <c r="AN2769" s="182" t="n">
        <v>0</v>
      </c>
    </row>
    <row r="2770">
      <c r="A2770" s="155" t="n">
        <v>46094</v>
      </c>
      <c r="B2770" s="156" t="inlineStr">
        <is>
          <t>NS</t>
        </is>
      </c>
      <c r="C2770" s="156" t="inlineStr">
        <is>
          <t>HT-410</t>
        </is>
      </c>
      <c r="D2770" s="156" t="inlineStr">
        <is>
          <t>SY430</t>
        </is>
      </c>
      <c r="E2770" s="156" t="inlineStr">
        <is>
          <t>DT Hauling</t>
        </is>
      </c>
      <c r="F2770" s="156" t="inlineStr"/>
      <c r="G2770" s="182" t="n">
        <v>0</v>
      </c>
      <c r="H2770" s="182" t="n">
        <v>0</v>
      </c>
      <c r="I2770" s="182" t="n">
        <v>0</v>
      </c>
      <c r="J2770" s="182" t="n">
        <v>0</v>
      </c>
      <c r="K2770" s="182" t="n">
        <v>12</v>
      </c>
      <c r="L2770" s="182" t="n">
        <v>12</v>
      </c>
      <c r="M2770" s="182" t="n">
        <v>0</v>
      </c>
      <c r="N2770" s="182" t="n">
        <v>0</v>
      </c>
      <c r="O2770" s="183" t="n">
        <v>0</v>
      </c>
      <c r="P2770" s="183" t="n">
        <v>0</v>
      </c>
      <c r="Q2770" s="184" t="n">
        <v>0</v>
      </c>
      <c r="R2770" s="184" t="n">
        <v>0</v>
      </c>
      <c r="S2770" s="183" t="n">
        <v>0</v>
      </c>
      <c r="T2770" s="183" t="n">
        <v>0</v>
      </c>
      <c r="U2770" s="182" t="n">
        <v>0</v>
      </c>
      <c r="V2770" s="182" t="n">
        <v>0</v>
      </c>
      <c r="W2770" s="182" t="n">
        <v>0</v>
      </c>
      <c r="X2770" s="182" t="n">
        <v>1</v>
      </c>
      <c r="Y2770" s="182" t="n">
        <v>0</v>
      </c>
      <c r="Z2770" s="182" t="n">
        <v>0</v>
      </c>
      <c r="AA2770" s="182" t="n">
        <v>0</v>
      </c>
      <c r="AB2770" s="182" t="n">
        <v>0</v>
      </c>
      <c r="AC2770" s="182" t="n">
        <v>0</v>
      </c>
      <c r="AD2770" s="182" t="n">
        <v>0</v>
      </c>
      <c r="AE2770" s="182" t="n">
        <v>0</v>
      </c>
      <c r="AF2770" s="182" t="n">
        <v>0</v>
      </c>
      <c r="AG2770" s="182" t="n">
        <v>0</v>
      </c>
      <c r="AH2770" s="182" t="n">
        <v>0</v>
      </c>
      <c r="AI2770" s="182" t="n">
        <v>0</v>
      </c>
      <c r="AJ2770" s="182" t="n">
        <v>0</v>
      </c>
      <c r="AK2770" s="182" t="n">
        <v>10.92</v>
      </c>
      <c r="AL2770" s="182" t="n">
        <v>0</v>
      </c>
      <c r="AM2770" s="182" t="n">
        <v>0.08</v>
      </c>
      <c r="AN2770" s="182" t="n">
        <v>0</v>
      </c>
    </row>
    <row r="2771">
      <c r="A2771" s="155" t="n">
        <v>46094</v>
      </c>
      <c r="B2771" s="156" t="inlineStr">
        <is>
          <t>NS</t>
        </is>
      </c>
      <c r="C2771" s="156" t="inlineStr">
        <is>
          <t>HT-402</t>
        </is>
      </c>
      <c r="D2771" s="156" t="inlineStr">
        <is>
          <t>SY430</t>
        </is>
      </c>
      <c r="E2771" s="156" t="inlineStr">
        <is>
          <t>DT Hauling</t>
        </is>
      </c>
      <c r="F2771" s="156" t="inlineStr"/>
      <c r="G2771" s="182" t="n">
        <v>0</v>
      </c>
      <c r="H2771" s="182" t="n">
        <v>0</v>
      </c>
      <c r="I2771" s="182" t="n">
        <v>0</v>
      </c>
      <c r="J2771" s="182" t="n">
        <v>0</v>
      </c>
      <c r="K2771" s="182" t="n">
        <v>12</v>
      </c>
      <c r="L2771" s="182" t="n">
        <v>12</v>
      </c>
      <c r="M2771" s="182" t="n">
        <v>0</v>
      </c>
      <c r="N2771" s="182" t="n">
        <v>0</v>
      </c>
      <c r="O2771" s="183" t="n">
        <v>0</v>
      </c>
      <c r="P2771" s="183" t="n">
        <v>0</v>
      </c>
      <c r="Q2771" s="184" t="n">
        <v>0</v>
      </c>
      <c r="R2771" s="184" t="n">
        <v>0</v>
      </c>
      <c r="S2771" s="183" t="n">
        <v>0</v>
      </c>
      <c r="T2771" s="183" t="n">
        <v>0</v>
      </c>
      <c r="U2771" s="182" t="n">
        <v>0</v>
      </c>
      <c r="V2771" s="182" t="n">
        <v>0</v>
      </c>
      <c r="W2771" s="182" t="n">
        <v>0</v>
      </c>
      <c r="X2771" s="182" t="n">
        <v>1</v>
      </c>
      <c r="Y2771" s="182" t="n">
        <v>0</v>
      </c>
      <c r="Z2771" s="182" t="n">
        <v>0</v>
      </c>
      <c r="AA2771" s="182" t="n">
        <v>0</v>
      </c>
      <c r="AB2771" s="182" t="n">
        <v>0</v>
      </c>
      <c r="AC2771" s="182" t="n">
        <v>0</v>
      </c>
      <c r="AD2771" s="182" t="n">
        <v>0</v>
      </c>
      <c r="AE2771" s="182" t="n">
        <v>0</v>
      </c>
      <c r="AF2771" s="182" t="n">
        <v>0</v>
      </c>
      <c r="AG2771" s="182" t="n">
        <v>0</v>
      </c>
      <c r="AH2771" s="182" t="n">
        <v>0</v>
      </c>
      <c r="AI2771" s="182" t="n">
        <v>0</v>
      </c>
      <c r="AJ2771" s="182" t="n">
        <v>0</v>
      </c>
      <c r="AK2771" s="182" t="n">
        <v>10.92</v>
      </c>
      <c r="AL2771" s="182" t="n">
        <v>0</v>
      </c>
      <c r="AM2771" s="182" t="n">
        <v>0.08</v>
      </c>
      <c r="AN2771" s="182" t="n">
        <v>0</v>
      </c>
    </row>
    <row r="2772">
      <c r="A2772" s="155" t="n">
        <v>46094</v>
      </c>
      <c r="B2772" s="156" t="inlineStr">
        <is>
          <t>NS</t>
        </is>
      </c>
      <c r="C2772" s="156" t="inlineStr">
        <is>
          <t>HT-419</t>
        </is>
      </c>
      <c r="D2772" s="156" t="inlineStr">
        <is>
          <t>SY430</t>
        </is>
      </c>
      <c r="E2772" s="156" t="inlineStr">
        <is>
          <t>DT Hauling</t>
        </is>
      </c>
      <c r="F2772" s="156" t="inlineStr"/>
      <c r="G2772" s="182" t="n">
        <v>0</v>
      </c>
      <c r="H2772" s="182" t="n">
        <v>0</v>
      </c>
      <c r="I2772" s="182" t="n">
        <v>12</v>
      </c>
      <c r="J2772" s="182" t="n">
        <v>12</v>
      </c>
      <c r="K2772" s="182" t="n">
        <v>0</v>
      </c>
      <c r="L2772" s="182" t="n">
        <v>12</v>
      </c>
      <c r="M2772" s="182" t="n">
        <v>0</v>
      </c>
      <c r="N2772" s="182" t="n">
        <v>0</v>
      </c>
      <c r="O2772" s="183" t="n">
        <v>0</v>
      </c>
      <c r="P2772" s="183" t="n">
        <v>0</v>
      </c>
      <c r="Q2772" s="184" t="n">
        <v>0</v>
      </c>
      <c r="R2772" s="184" t="n">
        <v>0</v>
      </c>
      <c r="S2772" s="183" t="n">
        <v>0</v>
      </c>
      <c r="T2772" s="183" t="n">
        <v>0</v>
      </c>
      <c r="U2772" s="182" t="n">
        <v>0</v>
      </c>
      <c r="V2772" s="182" t="n">
        <v>0</v>
      </c>
      <c r="W2772" s="182" t="n">
        <v>0</v>
      </c>
      <c r="X2772" s="182" t="n">
        <v>0</v>
      </c>
      <c r="Y2772" s="182" t="n">
        <v>0</v>
      </c>
      <c r="Z2772" s="182" t="n">
        <v>0</v>
      </c>
      <c r="AA2772" s="182" t="n">
        <v>0</v>
      </c>
      <c r="AB2772" s="182" t="n">
        <v>0</v>
      </c>
      <c r="AC2772" s="182" t="n">
        <v>0</v>
      </c>
      <c r="AD2772" s="182" t="n">
        <v>0</v>
      </c>
      <c r="AE2772" s="182" t="n">
        <v>0</v>
      </c>
      <c r="AF2772" s="182" t="n">
        <v>0</v>
      </c>
      <c r="AG2772" s="182" t="n">
        <v>0</v>
      </c>
      <c r="AH2772" s="182" t="n">
        <v>0</v>
      </c>
      <c r="AI2772" s="182" t="n">
        <v>0</v>
      </c>
      <c r="AJ2772" s="182" t="n">
        <v>0</v>
      </c>
      <c r="AK2772" s="182" t="n">
        <v>0</v>
      </c>
      <c r="AL2772" s="182" t="n">
        <v>0</v>
      </c>
      <c r="AM2772" s="182" t="n">
        <v>0</v>
      </c>
      <c r="AN2772" s="182" t="n">
        <v>0</v>
      </c>
    </row>
    <row r="2773">
      <c r="A2773" s="155" t="n">
        <v>46094</v>
      </c>
      <c r="B2773" s="156" t="inlineStr">
        <is>
          <t>NS</t>
        </is>
      </c>
      <c r="C2773" s="156" t="inlineStr">
        <is>
          <t>HT-416</t>
        </is>
      </c>
      <c r="D2773" s="156" t="inlineStr">
        <is>
          <t>SY430</t>
        </is>
      </c>
      <c r="E2773" s="156" t="inlineStr">
        <is>
          <t>DT Hauling</t>
        </is>
      </c>
      <c r="F2773" s="156" t="inlineStr"/>
      <c r="G2773" s="182" t="n">
        <v>0</v>
      </c>
      <c r="H2773" s="182" t="n">
        <v>0</v>
      </c>
      <c r="I2773" s="182" t="n">
        <v>0</v>
      </c>
      <c r="J2773" s="182" t="n">
        <v>0</v>
      </c>
      <c r="K2773" s="182" t="n">
        <v>12</v>
      </c>
      <c r="L2773" s="182" t="n">
        <v>12</v>
      </c>
      <c r="M2773" s="182" t="n">
        <v>0</v>
      </c>
      <c r="N2773" s="182" t="n">
        <v>0</v>
      </c>
      <c r="O2773" s="183" t="n">
        <v>0</v>
      </c>
      <c r="P2773" s="183" t="n">
        <v>0</v>
      </c>
      <c r="Q2773" s="184" t="n">
        <v>0</v>
      </c>
      <c r="R2773" s="184" t="n">
        <v>0</v>
      </c>
      <c r="S2773" s="183" t="n">
        <v>0</v>
      </c>
      <c r="T2773" s="183" t="n">
        <v>0</v>
      </c>
      <c r="U2773" s="182" t="n">
        <v>0</v>
      </c>
      <c r="V2773" s="182" t="n">
        <v>0</v>
      </c>
      <c r="W2773" s="182" t="n">
        <v>0</v>
      </c>
      <c r="X2773" s="182" t="n">
        <v>1</v>
      </c>
      <c r="Y2773" s="182" t="n">
        <v>0</v>
      </c>
      <c r="Z2773" s="182" t="n">
        <v>0</v>
      </c>
      <c r="AA2773" s="182" t="n">
        <v>0</v>
      </c>
      <c r="AB2773" s="182" t="n">
        <v>0</v>
      </c>
      <c r="AC2773" s="182" t="n">
        <v>0</v>
      </c>
      <c r="AD2773" s="182" t="n">
        <v>0</v>
      </c>
      <c r="AE2773" s="182" t="n">
        <v>0</v>
      </c>
      <c r="AF2773" s="182" t="n">
        <v>0</v>
      </c>
      <c r="AG2773" s="182" t="n">
        <v>0</v>
      </c>
      <c r="AH2773" s="182" t="n">
        <v>0</v>
      </c>
      <c r="AI2773" s="182" t="n">
        <v>0</v>
      </c>
      <c r="AJ2773" s="182" t="n">
        <v>0</v>
      </c>
      <c r="AK2773" s="182" t="n">
        <v>10.92</v>
      </c>
      <c r="AL2773" s="182" t="n">
        <v>0</v>
      </c>
      <c r="AM2773" s="182" t="n">
        <v>0.08</v>
      </c>
      <c r="AN2773" s="182" t="n">
        <v>0</v>
      </c>
    </row>
    <row r="2774">
      <c r="A2774" s="155" t="n">
        <v>46094</v>
      </c>
      <c r="B2774" s="156" t="inlineStr">
        <is>
          <t>NS</t>
        </is>
      </c>
      <c r="C2774" s="156" t="inlineStr">
        <is>
          <t>HT-420</t>
        </is>
      </c>
      <c r="D2774" s="156" t="inlineStr">
        <is>
          <t>SY430</t>
        </is>
      </c>
      <c r="E2774" s="156" t="inlineStr">
        <is>
          <t>DT Hauling</t>
        </is>
      </c>
      <c r="F2774" s="156" t="inlineStr"/>
      <c r="G2774" s="182" t="n">
        <v>0</v>
      </c>
      <c r="H2774" s="182" t="n">
        <v>0</v>
      </c>
      <c r="I2774" s="182" t="n">
        <v>0</v>
      </c>
      <c r="J2774" s="182" t="n">
        <v>0</v>
      </c>
      <c r="K2774" s="182" t="n">
        <v>12</v>
      </c>
      <c r="L2774" s="182" t="n">
        <v>12</v>
      </c>
      <c r="M2774" s="182" t="n">
        <v>0</v>
      </c>
      <c r="N2774" s="182" t="n">
        <v>0</v>
      </c>
      <c r="O2774" s="183" t="n">
        <v>0</v>
      </c>
      <c r="P2774" s="183" t="n">
        <v>0</v>
      </c>
      <c r="Q2774" s="184" t="n">
        <v>0</v>
      </c>
      <c r="R2774" s="184" t="n">
        <v>0</v>
      </c>
      <c r="S2774" s="183" t="n">
        <v>0</v>
      </c>
      <c r="T2774" s="183" t="n">
        <v>0</v>
      </c>
      <c r="U2774" s="182" t="n">
        <v>0</v>
      </c>
      <c r="V2774" s="182" t="n">
        <v>0</v>
      </c>
      <c r="W2774" s="182" t="n">
        <v>0</v>
      </c>
      <c r="X2774" s="182" t="n">
        <v>1</v>
      </c>
      <c r="Y2774" s="182" t="n">
        <v>0</v>
      </c>
      <c r="Z2774" s="182" t="n">
        <v>0</v>
      </c>
      <c r="AA2774" s="182" t="n">
        <v>0</v>
      </c>
      <c r="AB2774" s="182" t="n">
        <v>0</v>
      </c>
      <c r="AC2774" s="182" t="n">
        <v>0</v>
      </c>
      <c r="AD2774" s="182" t="n">
        <v>0</v>
      </c>
      <c r="AE2774" s="182" t="n">
        <v>0</v>
      </c>
      <c r="AF2774" s="182" t="n">
        <v>0</v>
      </c>
      <c r="AG2774" s="182" t="n">
        <v>0</v>
      </c>
      <c r="AH2774" s="182" t="n">
        <v>0</v>
      </c>
      <c r="AI2774" s="182" t="n">
        <v>0</v>
      </c>
      <c r="AJ2774" s="182" t="n">
        <v>0</v>
      </c>
      <c r="AK2774" s="182" t="n">
        <v>10.92</v>
      </c>
      <c r="AL2774" s="182" t="n">
        <v>0</v>
      </c>
      <c r="AM2774" s="182" t="n">
        <v>0.08</v>
      </c>
      <c r="AN2774" s="182" t="n">
        <v>0</v>
      </c>
    </row>
    <row r="2775">
      <c r="A2775" s="155" t="n">
        <v>46094</v>
      </c>
      <c r="B2775" s="156" t="inlineStr">
        <is>
          <t>NS</t>
        </is>
      </c>
      <c r="C2775" s="156" t="inlineStr">
        <is>
          <t>HT-403</t>
        </is>
      </c>
      <c r="D2775" s="156" t="inlineStr">
        <is>
          <t>SY430</t>
        </is>
      </c>
      <c r="E2775" s="156" t="inlineStr">
        <is>
          <t>DT Hauling</t>
        </is>
      </c>
      <c r="F2775" s="156" t="inlineStr"/>
      <c r="G2775" s="182" t="n">
        <v>0</v>
      </c>
      <c r="H2775" s="182" t="n">
        <v>0</v>
      </c>
      <c r="I2775" s="182" t="n">
        <v>0</v>
      </c>
      <c r="J2775" s="182" t="n">
        <v>0</v>
      </c>
      <c r="K2775" s="182" t="n">
        <v>12</v>
      </c>
      <c r="L2775" s="182" t="n">
        <v>12</v>
      </c>
      <c r="M2775" s="182" t="n">
        <v>0</v>
      </c>
      <c r="N2775" s="182" t="n">
        <v>0</v>
      </c>
      <c r="O2775" s="183" t="n">
        <v>0</v>
      </c>
      <c r="P2775" s="183" t="n">
        <v>0</v>
      </c>
      <c r="Q2775" s="184" t="n">
        <v>0</v>
      </c>
      <c r="R2775" s="184" t="n">
        <v>0</v>
      </c>
      <c r="S2775" s="183" t="n">
        <v>0</v>
      </c>
      <c r="T2775" s="183" t="n">
        <v>0</v>
      </c>
      <c r="U2775" s="182" t="n">
        <v>0</v>
      </c>
      <c r="V2775" s="182" t="n">
        <v>0</v>
      </c>
      <c r="W2775" s="182" t="n">
        <v>0</v>
      </c>
      <c r="X2775" s="182" t="n">
        <v>1</v>
      </c>
      <c r="Y2775" s="182" t="n">
        <v>0</v>
      </c>
      <c r="Z2775" s="182" t="n">
        <v>0</v>
      </c>
      <c r="AA2775" s="182" t="n">
        <v>0</v>
      </c>
      <c r="AB2775" s="182" t="n">
        <v>0</v>
      </c>
      <c r="AC2775" s="182" t="n">
        <v>0</v>
      </c>
      <c r="AD2775" s="182" t="n">
        <v>0</v>
      </c>
      <c r="AE2775" s="182" t="n">
        <v>0</v>
      </c>
      <c r="AF2775" s="182" t="n">
        <v>0</v>
      </c>
      <c r="AG2775" s="182" t="n">
        <v>0</v>
      </c>
      <c r="AH2775" s="182" t="n">
        <v>0</v>
      </c>
      <c r="AI2775" s="182" t="n">
        <v>0</v>
      </c>
      <c r="AJ2775" s="182" t="n">
        <v>0</v>
      </c>
      <c r="AK2775" s="182" t="n">
        <v>10.92</v>
      </c>
      <c r="AL2775" s="182" t="n">
        <v>0</v>
      </c>
      <c r="AM2775" s="182" t="n">
        <v>0.08</v>
      </c>
      <c r="AN2775" s="182" t="n">
        <v>0</v>
      </c>
    </row>
    <row r="2776">
      <c r="A2776" s="155" t="n">
        <v>46094</v>
      </c>
      <c r="B2776" s="156" t="inlineStr">
        <is>
          <t>NS</t>
        </is>
      </c>
      <c r="C2776" s="156" t="inlineStr">
        <is>
          <t>HT-408</t>
        </is>
      </c>
      <c r="D2776" s="156" t="inlineStr">
        <is>
          <t>SY430</t>
        </is>
      </c>
      <c r="E2776" s="156" t="inlineStr">
        <is>
          <t>DT Hauling</t>
        </is>
      </c>
      <c r="F2776" s="156" t="inlineStr"/>
      <c r="G2776" s="182" t="n">
        <v>0</v>
      </c>
      <c r="H2776" s="182" t="n">
        <v>0</v>
      </c>
      <c r="I2776" s="182" t="n">
        <v>0</v>
      </c>
      <c r="J2776" s="182" t="n">
        <v>0</v>
      </c>
      <c r="K2776" s="182" t="n">
        <v>12</v>
      </c>
      <c r="L2776" s="182" t="n">
        <v>12</v>
      </c>
      <c r="M2776" s="182" t="n">
        <v>0</v>
      </c>
      <c r="N2776" s="182" t="n">
        <v>0</v>
      </c>
      <c r="O2776" s="183" t="n">
        <v>0</v>
      </c>
      <c r="P2776" s="183" t="n">
        <v>0</v>
      </c>
      <c r="Q2776" s="184" t="n">
        <v>0</v>
      </c>
      <c r="R2776" s="184" t="n">
        <v>0</v>
      </c>
      <c r="S2776" s="183" t="n">
        <v>0</v>
      </c>
      <c r="T2776" s="183" t="n">
        <v>0</v>
      </c>
      <c r="U2776" s="182" t="n">
        <v>0</v>
      </c>
      <c r="V2776" s="182" t="n">
        <v>0</v>
      </c>
      <c r="W2776" s="182" t="n">
        <v>0</v>
      </c>
      <c r="X2776" s="182" t="n">
        <v>1</v>
      </c>
      <c r="Y2776" s="182" t="n">
        <v>0</v>
      </c>
      <c r="Z2776" s="182" t="n">
        <v>0</v>
      </c>
      <c r="AA2776" s="182" t="n">
        <v>0</v>
      </c>
      <c r="AB2776" s="182" t="n">
        <v>0</v>
      </c>
      <c r="AC2776" s="182" t="n">
        <v>0</v>
      </c>
      <c r="AD2776" s="182" t="n">
        <v>0</v>
      </c>
      <c r="AE2776" s="182" t="n">
        <v>0</v>
      </c>
      <c r="AF2776" s="182" t="n">
        <v>0</v>
      </c>
      <c r="AG2776" s="182" t="n">
        <v>0</v>
      </c>
      <c r="AH2776" s="182" t="n">
        <v>0</v>
      </c>
      <c r="AI2776" s="182" t="n">
        <v>0</v>
      </c>
      <c r="AJ2776" s="182" t="n">
        <v>0</v>
      </c>
      <c r="AK2776" s="182" t="n">
        <v>10.92</v>
      </c>
      <c r="AL2776" s="182" t="n">
        <v>0</v>
      </c>
      <c r="AM2776" s="182" t="n">
        <v>0.08</v>
      </c>
      <c r="AN2776" s="182" t="n">
        <v>0</v>
      </c>
    </row>
    <row r="2777">
      <c r="A2777" s="155" t="n">
        <v>46094</v>
      </c>
      <c r="B2777" s="156" t="inlineStr">
        <is>
          <t>NS</t>
        </is>
      </c>
      <c r="C2777" s="156" t="inlineStr">
        <is>
          <t>HT-412</t>
        </is>
      </c>
      <c r="D2777" s="156" t="inlineStr">
        <is>
          <t>SY430</t>
        </is>
      </c>
      <c r="E2777" s="156" t="inlineStr">
        <is>
          <t>DT Hauling</t>
        </is>
      </c>
      <c r="F2777" s="156" t="inlineStr"/>
      <c r="G2777" s="182" t="n">
        <v>0</v>
      </c>
      <c r="H2777" s="182" t="n">
        <v>0</v>
      </c>
      <c r="I2777" s="182" t="n">
        <v>0</v>
      </c>
      <c r="J2777" s="182" t="n">
        <v>0</v>
      </c>
      <c r="K2777" s="182" t="n">
        <v>12</v>
      </c>
      <c r="L2777" s="182" t="n">
        <v>12</v>
      </c>
      <c r="M2777" s="182" t="n">
        <v>0</v>
      </c>
      <c r="N2777" s="182" t="n">
        <v>0</v>
      </c>
      <c r="O2777" s="183" t="n">
        <v>0</v>
      </c>
      <c r="P2777" s="183" t="n">
        <v>0</v>
      </c>
      <c r="Q2777" s="184" t="n">
        <v>0</v>
      </c>
      <c r="R2777" s="184" t="n">
        <v>0</v>
      </c>
      <c r="S2777" s="183" t="n">
        <v>0</v>
      </c>
      <c r="T2777" s="183" t="n">
        <v>0</v>
      </c>
      <c r="U2777" s="182" t="n">
        <v>0</v>
      </c>
      <c r="V2777" s="182" t="n">
        <v>0</v>
      </c>
      <c r="W2777" s="182" t="n">
        <v>0</v>
      </c>
      <c r="X2777" s="182" t="n">
        <v>1</v>
      </c>
      <c r="Y2777" s="182" t="n">
        <v>0</v>
      </c>
      <c r="Z2777" s="182" t="n">
        <v>0</v>
      </c>
      <c r="AA2777" s="182" t="n">
        <v>0</v>
      </c>
      <c r="AB2777" s="182" t="n">
        <v>0</v>
      </c>
      <c r="AC2777" s="182" t="n">
        <v>0</v>
      </c>
      <c r="AD2777" s="182" t="n">
        <v>0</v>
      </c>
      <c r="AE2777" s="182" t="n">
        <v>0</v>
      </c>
      <c r="AF2777" s="182" t="n">
        <v>0</v>
      </c>
      <c r="AG2777" s="182" t="n">
        <v>0</v>
      </c>
      <c r="AH2777" s="182" t="n">
        <v>0</v>
      </c>
      <c r="AI2777" s="182" t="n">
        <v>0</v>
      </c>
      <c r="AJ2777" s="182" t="n">
        <v>0</v>
      </c>
      <c r="AK2777" s="182" t="n">
        <v>10.92</v>
      </c>
      <c r="AL2777" s="182" t="n">
        <v>0</v>
      </c>
      <c r="AM2777" s="182" t="n">
        <v>0.08</v>
      </c>
      <c r="AN2777" s="182" t="n">
        <v>0</v>
      </c>
    </row>
    <row r="2778">
      <c r="A2778" s="155" t="n">
        <v>46094</v>
      </c>
      <c r="B2778" s="156" t="inlineStr">
        <is>
          <t>NS</t>
        </is>
      </c>
      <c r="C2778" s="156" t="inlineStr">
        <is>
          <t>HT-413</t>
        </is>
      </c>
      <c r="D2778" s="156" t="inlineStr">
        <is>
          <t>SY430</t>
        </is>
      </c>
      <c r="E2778" s="156" t="inlineStr">
        <is>
          <t>DT Hauling</t>
        </is>
      </c>
      <c r="F2778" s="156" t="inlineStr"/>
      <c r="G2778" s="182" t="n">
        <v>0</v>
      </c>
      <c r="H2778" s="182" t="n">
        <v>0</v>
      </c>
      <c r="I2778" s="182" t="n">
        <v>12</v>
      </c>
      <c r="J2778" s="182" t="n">
        <v>12</v>
      </c>
      <c r="K2778" s="182" t="n">
        <v>0</v>
      </c>
      <c r="L2778" s="182" t="n">
        <v>12</v>
      </c>
      <c r="M2778" s="182" t="n">
        <v>0</v>
      </c>
      <c r="N2778" s="182" t="n">
        <v>0</v>
      </c>
      <c r="O2778" s="183" t="n">
        <v>0</v>
      </c>
      <c r="P2778" s="183" t="n">
        <v>0</v>
      </c>
      <c r="Q2778" s="184" t="n">
        <v>0</v>
      </c>
      <c r="R2778" s="184" t="n">
        <v>0</v>
      </c>
      <c r="S2778" s="183" t="n">
        <v>0</v>
      </c>
      <c r="T2778" s="183" t="n">
        <v>0</v>
      </c>
      <c r="U2778" s="182" t="n">
        <v>0</v>
      </c>
      <c r="V2778" s="182" t="n">
        <v>0</v>
      </c>
      <c r="W2778" s="182" t="n">
        <v>0</v>
      </c>
      <c r="X2778" s="182" t="n">
        <v>0</v>
      </c>
      <c r="Y2778" s="182" t="n">
        <v>0</v>
      </c>
      <c r="Z2778" s="182" t="n">
        <v>0</v>
      </c>
      <c r="AA2778" s="182" t="n">
        <v>0</v>
      </c>
      <c r="AB2778" s="182" t="n">
        <v>0</v>
      </c>
      <c r="AC2778" s="182" t="n">
        <v>0</v>
      </c>
      <c r="AD2778" s="182" t="n">
        <v>0</v>
      </c>
      <c r="AE2778" s="182" t="n">
        <v>0</v>
      </c>
      <c r="AF2778" s="182" t="n">
        <v>0</v>
      </c>
      <c r="AG2778" s="182" t="n">
        <v>0</v>
      </c>
      <c r="AH2778" s="182" t="n">
        <v>0</v>
      </c>
      <c r="AI2778" s="182" t="n">
        <v>0</v>
      </c>
      <c r="AJ2778" s="182" t="n">
        <v>0</v>
      </c>
      <c r="AK2778" s="182" t="n">
        <v>0</v>
      </c>
      <c r="AL2778" s="182" t="n">
        <v>0</v>
      </c>
      <c r="AM2778" s="182" t="n">
        <v>0</v>
      </c>
      <c r="AN2778" s="182" t="n">
        <v>0</v>
      </c>
    </row>
    <row r="2779">
      <c r="A2779" s="155" t="n">
        <v>46094</v>
      </c>
      <c r="B2779" s="156" t="inlineStr">
        <is>
          <t>NS</t>
        </is>
      </c>
      <c r="C2779" s="156" t="inlineStr">
        <is>
          <t>HT-407</t>
        </is>
      </c>
      <c r="D2779" s="156" t="inlineStr">
        <is>
          <t>SY430</t>
        </is>
      </c>
      <c r="E2779" s="156" t="inlineStr">
        <is>
          <t>DT Hauling</t>
        </is>
      </c>
      <c r="F2779" s="156" t="inlineStr"/>
      <c r="G2779" s="182" t="n">
        <v>0</v>
      </c>
      <c r="H2779" s="182" t="n">
        <v>0</v>
      </c>
      <c r="I2779" s="182" t="n">
        <v>0</v>
      </c>
      <c r="J2779" s="182" t="n">
        <v>0</v>
      </c>
      <c r="K2779" s="182" t="n">
        <v>12</v>
      </c>
      <c r="L2779" s="182" t="n">
        <v>12</v>
      </c>
      <c r="M2779" s="182" t="n">
        <v>0</v>
      </c>
      <c r="N2779" s="182" t="n">
        <v>0</v>
      </c>
      <c r="O2779" s="183" t="n">
        <v>0</v>
      </c>
      <c r="P2779" s="183" t="n">
        <v>0</v>
      </c>
      <c r="Q2779" s="184" t="n">
        <v>0</v>
      </c>
      <c r="R2779" s="184" t="n">
        <v>0</v>
      </c>
      <c r="S2779" s="183" t="n">
        <v>0</v>
      </c>
      <c r="T2779" s="183" t="n">
        <v>0</v>
      </c>
      <c r="U2779" s="182" t="n">
        <v>0</v>
      </c>
      <c r="V2779" s="182" t="n">
        <v>0</v>
      </c>
      <c r="W2779" s="182" t="n">
        <v>0</v>
      </c>
      <c r="X2779" s="182" t="n">
        <v>1</v>
      </c>
      <c r="Y2779" s="182" t="n">
        <v>0</v>
      </c>
      <c r="Z2779" s="182" t="n">
        <v>0</v>
      </c>
      <c r="AA2779" s="182" t="n">
        <v>0</v>
      </c>
      <c r="AB2779" s="182" t="n">
        <v>0</v>
      </c>
      <c r="AC2779" s="182" t="n">
        <v>0</v>
      </c>
      <c r="AD2779" s="182" t="n">
        <v>0</v>
      </c>
      <c r="AE2779" s="182" t="n">
        <v>0</v>
      </c>
      <c r="AF2779" s="182" t="n">
        <v>0</v>
      </c>
      <c r="AG2779" s="182" t="n">
        <v>0</v>
      </c>
      <c r="AH2779" s="182" t="n">
        <v>0</v>
      </c>
      <c r="AI2779" s="182" t="n">
        <v>0</v>
      </c>
      <c r="AJ2779" s="182" t="n">
        <v>0</v>
      </c>
      <c r="AK2779" s="182" t="n">
        <v>10.92</v>
      </c>
      <c r="AL2779" s="182" t="n">
        <v>0</v>
      </c>
      <c r="AM2779" s="182" t="n">
        <v>0.08</v>
      </c>
      <c r="AN2779" s="182" t="n">
        <v>0</v>
      </c>
    </row>
    <row r="2780">
      <c r="A2780" s="155" t="n">
        <v>46094</v>
      </c>
      <c r="B2780" s="156" t="inlineStr">
        <is>
          <t>NS</t>
        </is>
      </c>
      <c r="C2780" s="156" t="inlineStr">
        <is>
          <t>HT-414</t>
        </is>
      </c>
      <c r="D2780" s="156" t="inlineStr">
        <is>
          <t>SY430</t>
        </is>
      </c>
      <c r="E2780" s="156" t="inlineStr">
        <is>
          <t>DT Hauling</t>
        </is>
      </c>
      <c r="F2780" s="156" t="inlineStr"/>
      <c r="G2780" s="182" t="n">
        <v>0</v>
      </c>
      <c r="H2780" s="182" t="n">
        <v>0</v>
      </c>
      <c r="I2780" s="182" t="n">
        <v>12</v>
      </c>
      <c r="J2780" s="182" t="n">
        <v>12</v>
      </c>
      <c r="K2780" s="182" t="n">
        <v>0</v>
      </c>
      <c r="L2780" s="182" t="n">
        <v>12</v>
      </c>
      <c r="M2780" s="182" t="n">
        <v>0</v>
      </c>
      <c r="N2780" s="182" t="n">
        <v>0</v>
      </c>
      <c r="O2780" s="183" t="n">
        <v>0</v>
      </c>
      <c r="P2780" s="183" t="n">
        <v>0</v>
      </c>
      <c r="Q2780" s="184" t="n">
        <v>0</v>
      </c>
      <c r="R2780" s="184" t="n">
        <v>0</v>
      </c>
      <c r="S2780" s="183" t="n">
        <v>0</v>
      </c>
      <c r="T2780" s="183" t="n">
        <v>0</v>
      </c>
      <c r="U2780" s="182" t="n">
        <v>0</v>
      </c>
      <c r="V2780" s="182" t="n">
        <v>0</v>
      </c>
      <c r="W2780" s="182" t="n">
        <v>0</v>
      </c>
      <c r="X2780" s="182" t="n">
        <v>0</v>
      </c>
      <c r="Y2780" s="182" t="n">
        <v>0</v>
      </c>
      <c r="Z2780" s="182" t="n">
        <v>0</v>
      </c>
      <c r="AA2780" s="182" t="n">
        <v>0</v>
      </c>
      <c r="AB2780" s="182" t="n">
        <v>0</v>
      </c>
      <c r="AC2780" s="182" t="n">
        <v>0</v>
      </c>
      <c r="AD2780" s="182" t="n">
        <v>0</v>
      </c>
      <c r="AE2780" s="182" t="n">
        <v>0</v>
      </c>
      <c r="AF2780" s="182" t="n">
        <v>0</v>
      </c>
      <c r="AG2780" s="182" t="n">
        <v>0</v>
      </c>
      <c r="AH2780" s="182" t="n">
        <v>0</v>
      </c>
      <c r="AI2780" s="182" t="n">
        <v>0</v>
      </c>
      <c r="AJ2780" s="182" t="n">
        <v>0</v>
      </c>
      <c r="AK2780" s="182" t="n">
        <v>0</v>
      </c>
      <c r="AL2780" s="182" t="n">
        <v>0</v>
      </c>
      <c r="AM2780" s="182" t="n">
        <v>0</v>
      </c>
      <c r="AN2780" s="182" t="n">
        <v>0</v>
      </c>
    </row>
    <row r="2781">
      <c r="A2781" s="155" t="n">
        <v>46094</v>
      </c>
      <c r="B2781" s="156" t="inlineStr">
        <is>
          <t>NS</t>
        </is>
      </c>
      <c r="C2781" s="156" t="inlineStr">
        <is>
          <t>HT-411</t>
        </is>
      </c>
      <c r="D2781" s="156" t="inlineStr">
        <is>
          <t>SY430</t>
        </is>
      </c>
      <c r="E2781" s="156" t="inlineStr">
        <is>
          <t>DT Hauling</t>
        </is>
      </c>
      <c r="F2781" s="156" t="inlineStr"/>
      <c r="G2781" s="182" t="n">
        <v>0</v>
      </c>
      <c r="H2781" s="182" t="n">
        <v>0</v>
      </c>
      <c r="I2781" s="182" t="n">
        <v>0</v>
      </c>
      <c r="J2781" s="182" t="n">
        <v>0</v>
      </c>
      <c r="K2781" s="182" t="n">
        <v>12</v>
      </c>
      <c r="L2781" s="182" t="n">
        <v>12</v>
      </c>
      <c r="M2781" s="182" t="n">
        <v>0</v>
      </c>
      <c r="N2781" s="182" t="n">
        <v>0</v>
      </c>
      <c r="O2781" s="183" t="n">
        <v>0</v>
      </c>
      <c r="P2781" s="183" t="n">
        <v>0</v>
      </c>
      <c r="Q2781" s="184" t="n">
        <v>0</v>
      </c>
      <c r="R2781" s="184" t="n">
        <v>0</v>
      </c>
      <c r="S2781" s="183" t="n">
        <v>0</v>
      </c>
      <c r="T2781" s="183" t="n">
        <v>0</v>
      </c>
      <c r="U2781" s="182" t="n">
        <v>0</v>
      </c>
      <c r="V2781" s="182" t="n">
        <v>0</v>
      </c>
      <c r="W2781" s="182" t="n">
        <v>0</v>
      </c>
      <c r="X2781" s="182" t="n">
        <v>1</v>
      </c>
      <c r="Y2781" s="182" t="n">
        <v>0</v>
      </c>
      <c r="Z2781" s="182" t="n">
        <v>0</v>
      </c>
      <c r="AA2781" s="182" t="n">
        <v>0</v>
      </c>
      <c r="AB2781" s="182" t="n">
        <v>0</v>
      </c>
      <c r="AC2781" s="182" t="n">
        <v>0</v>
      </c>
      <c r="AD2781" s="182" t="n">
        <v>0</v>
      </c>
      <c r="AE2781" s="182" t="n">
        <v>0</v>
      </c>
      <c r="AF2781" s="182" t="n">
        <v>0</v>
      </c>
      <c r="AG2781" s="182" t="n">
        <v>0</v>
      </c>
      <c r="AH2781" s="182" t="n">
        <v>0</v>
      </c>
      <c r="AI2781" s="182" t="n">
        <v>0</v>
      </c>
      <c r="AJ2781" s="182" t="n">
        <v>0</v>
      </c>
      <c r="AK2781" s="182" t="n">
        <v>10.92</v>
      </c>
      <c r="AL2781" s="182" t="n">
        <v>0</v>
      </c>
      <c r="AM2781" s="182" t="n">
        <v>0.08</v>
      </c>
      <c r="AN2781" s="182" t="n">
        <v>0</v>
      </c>
    </row>
    <row r="2782">
      <c r="A2782" s="155" t="n">
        <v>46094</v>
      </c>
      <c r="B2782" s="156" t="inlineStr">
        <is>
          <t>NS</t>
        </is>
      </c>
      <c r="C2782" s="156" t="inlineStr">
        <is>
          <t>HT-409</t>
        </is>
      </c>
      <c r="D2782" s="156" t="inlineStr">
        <is>
          <t>SY430</t>
        </is>
      </c>
      <c r="E2782" s="156" t="inlineStr">
        <is>
          <t>DT Hauling</t>
        </is>
      </c>
      <c r="F2782" s="156" t="inlineStr"/>
      <c r="G2782" s="182" t="n">
        <v>0</v>
      </c>
      <c r="H2782" s="182" t="n">
        <v>0</v>
      </c>
      <c r="I2782" s="182" t="n">
        <v>0</v>
      </c>
      <c r="J2782" s="182" t="n">
        <v>0</v>
      </c>
      <c r="K2782" s="182" t="n">
        <v>12</v>
      </c>
      <c r="L2782" s="182" t="n">
        <v>12</v>
      </c>
      <c r="M2782" s="182" t="n">
        <v>0</v>
      </c>
      <c r="N2782" s="182" t="n">
        <v>0</v>
      </c>
      <c r="O2782" s="183" t="n">
        <v>0</v>
      </c>
      <c r="P2782" s="183" t="n">
        <v>0</v>
      </c>
      <c r="Q2782" s="184" t="n">
        <v>0</v>
      </c>
      <c r="R2782" s="184" t="n">
        <v>0</v>
      </c>
      <c r="S2782" s="183" t="n">
        <v>0</v>
      </c>
      <c r="T2782" s="183" t="n">
        <v>0</v>
      </c>
      <c r="U2782" s="182" t="n">
        <v>0</v>
      </c>
      <c r="V2782" s="182" t="n">
        <v>0</v>
      </c>
      <c r="W2782" s="182" t="n">
        <v>0</v>
      </c>
      <c r="X2782" s="182" t="n">
        <v>1</v>
      </c>
      <c r="Y2782" s="182" t="n">
        <v>0</v>
      </c>
      <c r="Z2782" s="182" t="n">
        <v>0</v>
      </c>
      <c r="AA2782" s="182" t="n">
        <v>0</v>
      </c>
      <c r="AB2782" s="182" t="n">
        <v>0</v>
      </c>
      <c r="AC2782" s="182" t="n">
        <v>0</v>
      </c>
      <c r="AD2782" s="182" t="n">
        <v>0</v>
      </c>
      <c r="AE2782" s="182" t="n">
        <v>0</v>
      </c>
      <c r="AF2782" s="182" t="n">
        <v>0</v>
      </c>
      <c r="AG2782" s="182" t="n">
        <v>0</v>
      </c>
      <c r="AH2782" s="182" t="n">
        <v>0</v>
      </c>
      <c r="AI2782" s="182" t="n">
        <v>0</v>
      </c>
      <c r="AJ2782" s="182" t="n">
        <v>0</v>
      </c>
      <c r="AK2782" s="182" t="n">
        <v>10.92</v>
      </c>
      <c r="AL2782" s="182" t="n">
        <v>0</v>
      </c>
      <c r="AM2782" s="182" t="n">
        <v>0.08</v>
      </c>
      <c r="AN2782" s="182" t="n">
        <v>0</v>
      </c>
    </row>
    <row r="2783">
      <c r="A2783" s="155" t="n">
        <v>46094</v>
      </c>
      <c r="B2783" s="156" t="inlineStr">
        <is>
          <t>NS</t>
        </is>
      </c>
      <c r="C2783" s="156" t="inlineStr">
        <is>
          <t>DH-103</t>
        </is>
      </c>
      <c r="D2783" s="156" t="inlineStr">
        <is>
          <t>HINO FM260</t>
        </is>
      </c>
      <c r="E2783" s="156" t="inlineStr">
        <is>
          <t>DT Hino</t>
        </is>
      </c>
      <c r="F2783" s="156" t="inlineStr"/>
      <c r="G2783" s="182" t="n">
        <v>0</v>
      </c>
      <c r="H2783" s="182" t="n">
        <v>0</v>
      </c>
      <c r="I2783" s="182" t="n">
        <v>0</v>
      </c>
      <c r="J2783" s="182" t="n">
        <v>0</v>
      </c>
      <c r="K2783" s="182" t="n">
        <v>12</v>
      </c>
      <c r="L2783" s="182" t="n">
        <v>12</v>
      </c>
      <c r="M2783" s="182" t="n">
        <v>0</v>
      </c>
      <c r="N2783" s="182" t="n">
        <v>0</v>
      </c>
      <c r="O2783" s="183" t="n">
        <v>0</v>
      </c>
      <c r="P2783" s="183" t="n">
        <v>0</v>
      </c>
      <c r="Q2783" s="184" t="n">
        <v>0</v>
      </c>
      <c r="R2783" s="184" t="n">
        <v>0</v>
      </c>
      <c r="S2783" s="183" t="n">
        <v>0</v>
      </c>
      <c r="T2783" s="183" t="n">
        <v>0</v>
      </c>
      <c r="U2783" s="182" t="n">
        <v>0</v>
      </c>
      <c r="V2783" s="182" t="n">
        <v>0</v>
      </c>
      <c r="W2783" s="182" t="n">
        <v>0</v>
      </c>
      <c r="X2783" s="182" t="n">
        <v>1</v>
      </c>
      <c r="Y2783" s="182" t="n">
        <v>0</v>
      </c>
      <c r="Z2783" s="182" t="n">
        <v>0</v>
      </c>
      <c r="AA2783" s="182" t="n">
        <v>0</v>
      </c>
      <c r="AB2783" s="182" t="n">
        <v>0</v>
      </c>
      <c r="AC2783" s="182" t="n">
        <v>0</v>
      </c>
      <c r="AD2783" s="182" t="n">
        <v>0</v>
      </c>
      <c r="AE2783" s="182" t="n">
        <v>0</v>
      </c>
      <c r="AF2783" s="182" t="n">
        <v>0</v>
      </c>
      <c r="AG2783" s="182" t="n">
        <v>0</v>
      </c>
      <c r="AH2783" s="182" t="n">
        <v>0</v>
      </c>
      <c r="AI2783" s="182" t="n">
        <v>0</v>
      </c>
      <c r="AJ2783" s="182" t="n">
        <v>0</v>
      </c>
      <c r="AK2783" s="182" t="n">
        <v>10.92</v>
      </c>
      <c r="AL2783" s="182" t="n">
        <v>0</v>
      </c>
      <c r="AM2783" s="182" t="n">
        <v>0.08</v>
      </c>
      <c r="AN2783" s="182" t="n">
        <v>0</v>
      </c>
    </row>
    <row r="2784">
      <c r="A2784" s="155" t="n">
        <v>46094</v>
      </c>
      <c r="B2784" s="156" t="inlineStr">
        <is>
          <t>NS</t>
        </is>
      </c>
      <c r="C2784" s="156" t="inlineStr">
        <is>
          <t>DH-102</t>
        </is>
      </c>
      <c r="D2784" s="156" t="inlineStr">
        <is>
          <t>HINO FM260</t>
        </is>
      </c>
      <c r="E2784" s="156" t="inlineStr">
        <is>
          <t>DT Hino</t>
        </is>
      </c>
      <c r="F2784" s="156" t="inlineStr"/>
      <c r="G2784" s="182" t="n">
        <v>0</v>
      </c>
      <c r="H2784" s="182" t="n">
        <v>0</v>
      </c>
      <c r="I2784" s="182" t="n">
        <v>0</v>
      </c>
      <c r="J2784" s="182" t="n">
        <v>0</v>
      </c>
      <c r="K2784" s="182" t="n">
        <v>12</v>
      </c>
      <c r="L2784" s="182" t="n">
        <v>12</v>
      </c>
      <c r="M2784" s="182" t="n">
        <v>0</v>
      </c>
      <c r="N2784" s="182" t="n">
        <v>0</v>
      </c>
      <c r="O2784" s="183" t="n">
        <v>0</v>
      </c>
      <c r="P2784" s="183" t="n">
        <v>0</v>
      </c>
      <c r="Q2784" s="184" t="n">
        <v>0</v>
      </c>
      <c r="R2784" s="184" t="n">
        <v>0</v>
      </c>
      <c r="S2784" s="183" t="n">
        <v>0</v>
      </c>
      <c r="T2784" s="183" t="n">
        <v>0</v>
      </c>
      <c r="U2784" s="182" t="n">
        <v>0</v>
      </c>
      <c r="V2784" s="182" t="n">
        <v>0</v>
      </c>
      <c r="W2784" s="182" t="n">
        <v>0</v>
      </c>
      <c r="X2784" s="182" t="n">
        <v>1</v>
      </c>
      <c r="Y2784" s="182" t="n">
        <v>0</v>
      </c>
      <c r="Z2784" s="182" t="n">
        <v>0</v>
      </c>
      <c r="AA2784" s="182" t="n">
        <v>0</v>
      </c>
      <c r="AB2784" s="182" t="n">
        <v>0</v>
      </c>
      <c r="AC2784" s="182" t="n">
        <v>0</v>
      </c>
      <c r="AD2784" s="182" t="n">
        <v>0</v>
      </c>
      <c r="AE2784" s="182" t="n">
        <v>0</v>
      </c>
      <c r="AF2784" s="182" t="n">
        <v>0</v>
      </c>
      <c r="AG2784" s="182" t="n">
        <v>0</v>
      </c>
      <c r="AH2784" s="182" t="n">
        <v>0</v>
      </c>
      <c r="AI2784" s="182" t="n">
        <v>0</v>
      </c>
      <c r="AJ2784" s="182" t="n">
        <v>0</v>
      </c>
      <c r="AK2784" s="182" t="n">
        <v>10.92</v>
      </c>
      <c r="AL2784" s="182" t="n">
        <v>0</v>
      </c>
      <c r="AM2784" s="182" t="n">
        <v>0.08</v>
      </c>
      <c r="AN2784" s="182" t="n">
        <v>0</v>
      </c>
    </row>
    <row r="2785">
      <c r="A2785" s="155" t="n">
        <v>46094</v>
      </c>
      <c r="B2785" s="156" t="inlineStr">
        <is>
          <t>NS</t>
        </is>
      </c>
      <c r="C2785" s="156" t="inlineStr">
        <is>
          <t>DH-101</t>
        </is>
      </c>
      <c r="D2785" s="156" t="inlineStr">
        <is>
          <t>HINO FM260</t>
        </is>
      </c>
      <c r="E2785" s="156" t="inlineStr">
        <is>
          <t>DT Hino</t>
        </is>
      </c>
      <c r="F2785" s="156" t="inlineStr"/>
      <c r="G2785" s="182" t="n">
        <v>0</v>
      </c>
      <c r="H2785" s="182" t="n">
        <v>0</v>
      </c>
      <c r="I2785" s="182" t="n">
        <v>0</v>
      </c>
      <c r="J2785" s="182" t="n">
        <v>0</v>
      </c>
      <c r="K2785" s="182" t="n">
        <v>12</v>
      </c>
      <c r="L2785" s="182" t="n">
        <v>12</v>
      </c>
      <c r="M2785" s="182" t="n">
        <v>0</v>
      </c>
      <c r="N2785" s="182" t="n">
        <v>0</v>
      </c>
      <c r="O2785" s="183" t="n">
        <v>0</v>
      </c>
      <c r="P2785" s="183" t="n">
        <v>0</v>
      </c>
      <c r="Q2785" s="184" t="n">
        <v>0</v>
      </c>
      <c r="R2785" s="184" t="n">
        <v>0</v>
      </c>
      <c r="S2785" s="183" t="n">
        <v>0</v>
      </c>
      <c r="T2785" s="183" t="n">
        <v>0</v>
      </c>
      <c r="U2785" s="182" t="n">
        <v>0</v>
      </c>
      <c r="V2785" s="182" t="n">
        <v>0</v>
      </c>
      <c r="W2785" s="182" t="n">
        <v>0</v>
      </c>
      <c r="X2785" s="182" t="n">
        <v>1</v>
      </c>
      <c r="Y2785" s="182" t="n">
        <v>0</v>
      </c>
      <c r="Z2785" s="182" t="n">
        <v>0</v>
      </c>
      <c r="AA2785" s="182" t="n">
        <v>0</v>
      </c>
      <c r="AB2785" s="182" t="n">
        <v>0</v>
      </c>
      <c r="AC2785" s="182" t="n">
        <v>0</v>
      </c>
      <c r="AD2785" s="182" t="n">
        <v>0</v>
      </c>
      <c r="AE2785" s="182" t="n">
        <v>0</v>
      </c>
      <c r="AF2785" s="182" t="n">
        <v>0</v>
      </c>
      <c r="AG2785" s="182" t="n">
        <v>0</v>
      </c>
      <c r="AH2785" s="182" t="n">
        <v>0</v>
      </c>
      <c r="AI2785" s="182" t="n">
        <v>0</v>
      </c>
      <c r="AJ2785" s="182" t="n">
        <v>0</v>
      </c>
      <c r="AK2785" s="182" t="n">
        <v>10.92</v>
      </c>
      <c r="AL2785" s="182" t="n">
        <v>0</v>
      </c>
      <c r="AM2785" s="182" t="n">
        <v>0.08</v>
      </c>
      <c r="AN2785" s="182" t="n">
        <v>0</v>
      </c>
    </row>
    <row r="2786">
      <c r="A2786" s="155" t="n">
        <v>46094</v>
      </c>
      <c r="B2786" s="156" t="inlineStr">
        <is>
          <t>NS</t>
        </is>
      </c>
      <c r="C2786" s="156" t="inlineStr">
        <is>
          <t>EX-1251</t>
        </is>
      </c>
      <c r="D2786" s="156" t="inlineStr">
        <is>
          <t>SY1250</t>
        </is>
      </c>
      <c r="E2786" s="156" t="inlineStr">
        <is>
          <t>Excavator</t>
        </is>
      </c>
      <c r="F2786" s="156" t="inlineStr"/>
      <c r="G2786" s="182" t="n">
        <v>0</v>
      </c>
      <c r="H2786" s="182" t="n">
        <v>0</v>
      </c>
      <c r="I2786" s="182" t="n">
        <v>12</v>
      </c>
      <c r="J2786" s="182" t="n">
        <v>12</v>
      </c>
      <c r="K2786" s="182" t="n">
        <v>0</v>
      </c>
      <c r="L2786" s="182" t="n">
        <v>12</v>
      </c>
      <c r="M2786" s="182" t="n">
        <v>0</v>
      </c>
      <c r="N2786" s="182" t="n">
        <v>0</v>
      </c>
      <c r="O2786" s="183" t="n">
        <v>0</v>
      </c>
      <c r="P2786" s="183" t="n">
        <v>0</v>
      </c>
      <c r="Q2786" s="184" t="n">
        <v>0</v>
      </c>
      <c r="R2786" s="184" t="n">
        <v>0</v>
      </c>
      <c r="S2786" s="183" t="n">
        <v>0</v>
      </c>
      <c r="T2786" s="183" t="n">
        <v>0</v>
      </c>
      <c r="U2786" s="182" t="n">
        <v>0</v>
      </c>
      <c r="V2786" s="182" t="n">
        <v>0</v>
      </c>
      <c r="W2786" s="182" t="n">
        <v>0</v>
      </c>
      <c r="X2786" s="182" t="n">
        <v>0</v>
      </c>
      <c r="Y2786" s="182" t="n">
        <v>0</v>
      </c>
      <c r="Z2786" s="182" t="n">
        <v>0</v>
      </c>
      <c r="AA2786" s="182" t="n">
        <v>0</v>
      </c>
      <c r="AB2786" s="182" t="n">
        <v>0</v>
      </c>
      <c r="AC2786" s="182" t="n">
        <v>0</v>
      </c>
      <c r="AD2786" s="182" t="n">
        <v>0</v>
      </c>
      <c r="AE2786" s="182" t="n">
        <v>0</v>
      </c>
      <c r="AF2786" s="182" t="n">
        <v>0</v>
      </c>
      <c r="AG2786" s="182" t="n">
        <v>0</v>
      </c>
      <c r="AH2786" s="182" t="n">
        <v>0</v>
      </c>
      <c r="AI2786" s="182" t="n">
        <v>0</v>
      </c>
      <c r="AJ2786" s="182" t="n">
        <v>0</v>
      </c>
      <c r="AK2786" s="182" t="n">
        <v>0</v>
      </c>
      <c r="AL2786" s="182" t="n">
        <v>0</v>
      </c>
      <c r="AM2786" s="182" t="n">
        <v>0</v>
      </c>
      <c r="AN2786" s="182" t="n">
        <v>0</v>
      </c>
    </row>
    <row r="2787">
      <c r="A2787" s="155" t="n">
        <v>46094</v>
      </c>
      <c r="B2787" s="156" t="inlineStr">
        <is>
          <t>NS</t>
        </is>
      </c>
      <c r="C2787" s="156" t="inlineStr">
        <is>
          <t>EX-1252</t>
        </is>
      </c>
      <c r="D2787" s="156" t="inlineStr">
        <is>
          <t>SY1250</t>
        </is>
      </c>
      <c r="E2787" s="156" t="inlineStr">
        <is>
          <t>Excavator</t>
        </is>
      </c>
      <c r="F2787" s="156" t="inlineStr"/>
      <c r="G2787" s="182" t="n">
        <v>0</v>
      </c>
      <c r="H2787" s="182" t="n">
        <v>0</v>
      </c>
      <c r="I2787" s="182" t="n">
        <v>12</v>
      </c>
      <c r="J2787" s="182" t="n">
        <v>12</v>
      </c>
      <c r="K2787" s="182" t="n">
        <v>0</v>
      </c>
      <c r="L2787" s="182" t="n">
        <v>12</v>
      </c>
      <c r="M2787" s="182" t="n">
        <v>0</v>
      </c>
      <c r="N2787" s="182" t="n">
        <v>0</v>
      </c>
      <c r="O2787" s="183" t="n">
        <v>0</v>
      </c>
      <c r="P2787" s="183" t="n">
        <v>0</v>
      </c>
      <c r="Q2787" s="184" t="n">
        <v>0</v>
      </c>
      <c r="R2787" s="184" t="n">
        <v>0</v>
      </c>
      <c r="S2787" s="183" t="n">
        <v>0</v>
      </c>
      <c r="T2787" s="183" t="n">
        <v>0</v>
      </c>
      <c r="U2787" s="182" t="n">
        <v>0</v>
      </c>
      <c r="V2787" s="182" t="n">
        <v>0</v>
      </c>
      <c r="W2787" s="182" t="n">
        <v>0</v>
      </c>
      <c r="X2787" s="182" t="n">
        <v>0</v>
      </c>
      <c r="Y2787" s="182" t="n">
        <v>0</v>
      </c>
      <c r="Z2787" s="182" t="n">
        <v>0</v>
      </c>
      <c r="AA2787" s="182" t="n">
        <v>0</v>
      </c>
      <c r="AB2787" s="182" t="n">
        <v>0</v>
      </c>
      <c r="AC2787" s="182" t="n">
        <v>0</v>
      </c>
      <c r="AD2787" s="182" t="n">
        <v>0</v>
      </c>
      <c r="AE2787" s="182" t="n">
        <v>0</v>
      </c>
      <c r="AF2787" s="182" t="n">
        <v>0</v>
      </c>
      <c r="AG2787" s="182" t="n">
        <v>0</v>
      </c>
      <c r="AH2787" s="182" t="n">
        <v>0</v>
      </c>
      <c r="AI2787" s="182" t="n">
        <v>0</v>
      </c>
      <c r="AJ2787" s="182" t="n">
        <v>0</v>
      </c>
      <c r="AK2787" s="182" t="n">
        <v>0</v>
      </c>
      <c r="AL2787" s="182" t="n">
        <v>0</v>
      </c>
      <c r="AM2787" s="182" t="n">
        <v>0</v>
      </c>
      <c r="AN2787" s="182" t="n">
        <v>0</v>
      </c>
    </row>
    <row r="2788">
      <c r="A2788" s="155" t="n">
        <v>46094</v>
      </c>
      <c r="B2788" s="156" t="inlineStr">
        <is>
          <t>NS</t>
        </is>
      </c>
      <c r="C2788" s="156" t="inlineStr">
        <is>
          <t>EX-2101</t>
        </is>
      </c>
      <c r="D2788" s="156" t="inlineStr">
        <is>
          <t>SY2000</t>
        </is>
      </c>
      <c r="E2788" s="156" t="inlineStr">
        <is>
          <t>Excavator</t>
        </is>
      </c>
      <c r="F2788" s="156" t="inlineStr">
        <is>
          <t>Loading OB</t>
        </is>
      </c>
      <c r="G2788" s="182" t="n">
        <v>3.81</v>
      </c>
      <c r="H2788" s="182" t="n">
        <v>0</v>
      </c>
      <c r="I2788" s="182" t="n">
        <v>0.75</v>
      </c>
      <c r="J2788" s="182" t="n">
        <v>0.75</v>
      </c>
      <c r="K2788" s="182" t="n">
        <v>7.44</v>
      </c>
      <c r="L2788" s="182" t="n">
        <v>12</v>
      </c>
      <c r="M2788" s="182" t="n">
        <v>3.41</v>
      </c>
      <c r="N2788" s="182" t="n">
        <v>0</v>
      </c>
      <c r="O2788" s="183" t="n">
        <v>82</v>
      </c>
      <c r="P2788" s="183" t="n">
        <v>0</v>
      </c>
      <c r="Q2788" s="184" t="n">
        <v>2606.1</v>
      </c>
      <c r="R2788" s="184" t="n">
        <v>0</v>
      </c>
      <c r="S2788" s="183" t="n">
        <v>0</v>
      </c>
      <c r="T2788" s="183" t="n">
        <v>0</v>
      </c>
      <c r="U2788" s="182" t="n">
        <v>6.33</v>
      </c>
      <c r="V2788" s="182" t="n">
        <v>0</v>
      </c>
      <c r="W2788" s="182" t="n">
        <v>0</v>
      </c>
      <c r="X2788" s="182" t="n">
        <v>1.03</v>
      </c>
      <c r="Y2788" s="182" t="n">
        <v>0</v>
      </c>
      <c r="Z2788" s="182" t="n">
        <v>0</v>
      </c>
      <c r="AA2788" s="182" t="n">
        <v>0</v>
      </c>
      <c r="AB2788" s="182" t="n">
        <v>0</v>
      </c>
      <c r="AC2788" s="182" t="n">
        <v>0</v>
      </c>
      <c r="AD2788" s="182" t="n">
        <v>0</v>
      </c>
      <c r="AE2788" s="182" t="n">
        <v>0</v>
      </c>
      <c r="AF2788" s="182" t="n">
        <v>0</v>
      </c>
      <c r="AG2788" s="182" t="n">
        <v>0</v>
      </c>
      <c r="AH2788" s="182" t="n">
        <v>0</v>
      </c>
      <c r="AI2788" s="182" t="n">
        <v>0</v>
      </c>
      <c r="AJ2788" s="182" t="n">
        <v>0</v>
      </c>
      <c r="AK2788" s="182" t="n">
        <v>0</v>
      </c>
      <c r="AL2788" s="182" t="n">
        <v>0</v>
      </c>
      <c r="AM2788" s="182" t="n">
        <v>0.08</v>
      </c>
      <c r="AN2788" s="182" t="n">
        <v>0</v>
      </c>
    </row>
    <row r="2789">
      <c r="A2789" s="155" t="n">
        <v>46094</v>
      </c>
      <c r="B2789" s="156" t="inlineStr">
        <is>
          <t>NS</t>
        </is>
      </c>
      <c r="C2789" s="156" t="inlineStr">
        <is>
          <t>EX-222</t>
        </is>
      </c>
      <c r="D2789" s="156" t="inlineStr">
        <is>
          <t>PC 200-8MI</t>
        </is>
      </c>
      <c r="E2789" s="156" t="inlineStr">
        <is>
          <t>Excavator</t>
        </is>
      </c>
      <c r="F2789" s="156" t="inlineStr">
        <is>
          <t>Trimming Coal di Stock ROM</t>
        </is>
      </c>
      <c r="G2789" s="182" t="n">
        <v>9.880000000000001</v>
      </c>
      <c r="H2789" s="182" t="n">
        <v>0</v>
      </c>
      <c r="I2789" s="182" t="n">
        <v>2.12</v>
      </c>
      <c r="J2789" s="182" t="n">
        <v>2.12</v>
      </c>
      <c r="K2789" s="182" t="n">
        <v>0</v>
      </c>
      <c r="L2789" s="182" t="n">
        <v>12</v>
      </c>
      <c r="M2789" s="182" t="n">
        <v>0</v>
      </c>
      <c r="N2789" s="182" t="n">
        <v>0</v>
      </c>
      <c r="O2789" s="183" t="n">
        <v>0</v>
      </c>
      <c r="P2789" s="183" t="n">
        <v>0</v>
      </c>
      <c r="Q2789" s="184" t="n">
        <v>0</v>
      </c>
      <c r="R2789" s="184" t="n">
        <v>0</v>
      </c>
      <c r="S2789" s="183" t="n">
        <v>0</v>
      </c>
      <c r="T2789" s="183" t="n">
        <v>0</v>
      </c>
      <c r="U2789" s="182" t="n">
        <v>0</v>
      </c>
      <c r="V2789" s="182" t="n">
        <v>0</v>
      </c>
      <c r="W2789" s="182" t="n">
        <v>0</v>
      </c>
      <c r="X2789" s="182" t="n">
        <v>0</v>
      </c>
      <c r="Y2789" s="182" t="n">
        <v>0</v>
      </c>
      <c r="Z2789" s="182" t="n">
        <v>0</v>
      </c>
      <c r="AA2789" s="182" t="n">
        <v>0</v>
      </c>
      <c r="AB2789" s="182" t="n">
        <v>0</v>
      </c>
      <c r="AC2789" s="182" t="n">
        <v>0</v>
      </c>
      <c r="AD2789" s="182" t="n">
        <v>0</v>
      </c>
      <c r="AE2789" s="182" t="n">
        <v>0</v>
      </c>
      <c r="AF2789" s="182" t="n">
        <v>0</v>
      </c>
      <c r="AG2789" s="182" t="n">
        <v>0</v>
      </c>
      <c r="AH2789" s="182" t="n">
        <v>0</v>
      </c>
      <c r="AI2789" s="182" t="n">
        <v>0</v>
      </c>
      <c r="AJ2789" s="182" t="n">
        <v>0</v>
      </c>
      <c r="AK2789" s="182" t="n">
        <v>0</v>
      </c>
      <c r="AL2789" s="182" t="n">
        <v>0</v>
      </c>
      <c r="AM2789" s="182" t="n">
        <v>0</v>
      </c>
      <c r="AN2789" s="182" t="n">
        <v>0</v>
      </c>
    </row>
    <row r="2790">
      <c r="A2790" s="155" t="n">
        <v>46094</v>
      </c>
      <c r="B2790" s="156" t="inlineStr">
        <is>
          <t>NS</t>
        </is>
      </c>
      <c r="C2790" s="156" t="inlineStr">
        <is>
          <t>EX-225</t>
        </is>
      </c>
      <c r="D2790" s="156" t="inlineStr">
        <is>
          <t>PC 200-8</t>
        </is>
      </c>
      <c r="E2790" s="156" t="inlineStr">
        <is>
          <t>Excavator</t>
        </is>
      </c>
      <c r="F2790" s="156" t="inlineStr"/>
      <c r="G2790" s="182" t="n">
        <v>0</v>
      </c>
      <c r="H2790" s="182" t="n">
        <v>0</v>
      </c>
      <c r="I2790" s="182" t="n">
        <v>12</v>
      </c>
      <c r="J2790" s="182" t="n">
        <v>12</v>
      </c>
      <c r="K2790" s="182" t="n">
        <v>0</v>
      </c>
      <c r="L2790" s="182" t="n">
        <v>12</v>
      </c>
      <c r="M2790" s="182" t="n">
        <v>0</v>
      </c>
      <c r="N2790" s="182" t="n">
        <v>0</v>
      </c>
      <c r="O2790" s="183" t="n">
        <v>0</v>
      </c>
      <c r="P2790" s="183" t="n">
        <v>0</v>
      </c>
      <c r="Q2790" s="184" t="n">
        <v>0</v>
      </c>
      <c r="R2790" s="184" t="n">
        <v>0</v>
      </c>
      <c r="S2790" s="183" t="n">
        <v>0</v>
      </c>
      <c r="T2790" s="183" t="n">
        <v>0</v>
      </c>
      <c r="U2790" s="182" t="n">
        <v>0</v>
      </c>
      <c r="V2790" s="182" t="n">
        <v>0</v>
      </c>
      <c r="W2790" s="182" t="n">
        <v>0</v>
      </c>
      <c r="X2790" s="182" t="n">
        <v>0</v>
      </c>
      <c r="Y2790" s="182" t="n">
        <v>0</v>
      </c>
      <c r="Z2790" s="182" t="n">
        <v>0</v>
      </c>
      <c r="AA2790" s="182" t="n">
        <v>0</v>
      </c>
      <c r="AB2790" s="182" t="n">
        <v>0</v>
      </c>
      <c r="AC2790" s="182" t="n">
        <v>0</v>
      </c>
      <c r="AD2790" s="182" t="n">
        <v>0</v>
      </c>
      <c r="AE2790" s="182" t="n">
        <v>0</v>
      </c>
      <c r="AF2790" s="182" t="n">
        <v>0</v>
      </c>
      <c r="AG2790" s="182" t="n">
        <v>0</v>
      </c>
      <c r="AH2790" s="182" t="n">
        <v>0</v>
      </c>
      <c r="AI2790" s="182" t="n">
        <v>0</v>
      </c>
      <c r="AJ2790" s="182" t="n">
        <v>0</v>
      </c>
      <c r="AK2790" s="182" t="n">
        <v>0</v>
      </c>
      <c r="AL2790" s="182" t="n">
        <v>0</v>
      </c>
      <c r="AM2790" s="182" t="n">
        <v>0</v>
      </c>
      <c r="AN2790" s="182" t="n">
        <v>0</v>
      </c>
    </row>
    <row r="2791">
      <c r="A2791" s="155" t="n">
        <v>46094</v>
      </c>
      <c r="B2791" s="156" t="inlineStr">
        <is>
          <t>NS</t>
        </is>
      </c>
      <c r="C2791" s="156" t="inlineStr">
        <is>
          <t>EX-223</t>
        </is>
      </c>
      <c r="D2791" s="156" t="inlineStr">
        <is>
          <t>PC 200-8MI</t>
        </is>
      </c>
      <c r="E2791" s="156" t="inlineStr">
        <is>
          <t>Excavator</t>
        </is>
      </c>
      <c r="F2791" s="156" t="inlineStr">
        <is>
          <t>General Tanggul Pit</t>
        </is>
      </c>
      <c r="G2791" s="182" t="n">
        <v>10.31</v>
      </c>
      <c r="H2791" s="182" t="n">
        <v>0</v>
      </c>
      <c r="I2791" s="182" t="n">
        <v>0</v>
      </c>
      <c r="J2791" s="182" t="n">
        <v>0</v>
      </c>
      <c r="K2791" s="182" t="n">
        <v>1.69</v>
      </c>
      <c r="L2791" s="182" t="n">
        <v>12</v>
      </c>
      <c r="M2791" s="182" t="n">
        <v>0</v>
      </c>
      <c r="N2791" s="182" t="n">
        <v>0</v>
      </c>
      <c r="O2791" s="183" t="n">
        <v>0</v>
      </c>
      <c r="P2791" s="183" t="n">
        <v>0</v>
      </c>
      <c r="Q2791" s="184" t="n">
        <v>0</v>
      </c>
      <c r="R2791" s="184" t="n">
        <v>0</v>
      </c>
      <c r="S2791" s="183" t="n">
        <v>0</v>
      </c>
      <c r="T2791" s="183" t="n">
        <v>0</v>
      </c>
      <c r="U2791" s="182" t="n">
        <v>0.47</v>
      </c>
      <c r="V2791" s="182" t="n">
        <v>0</v>
      </c>
      <c r="W2791" s="182" t="n">
        <v>0</v>
      </c>
      <c r="X2791" s="182" t="n">
        <v>1.13</v>
      </c>
      <c r="Y2791" s="182" t="n">
        <v>0</v>
      </c>
      <c r="Z2791" s="182" t="n">
        <v>0</v>
      </c>
      <c r="AA2791" s="182" t="n">
        <v>0</v>
      </c>
      <c r="AB2791" s="182" t="n">
        <v>0</v>
      </c>
      <c r="AC2791" s="182" t="n">
        <v>0</v>
      </c>
      <c r="AD2791" s="182" t="n">
        <v>0</v>
      </c>
      <c r="AE2791" s="182" t="n">
        <v>0</v>
      </c>
      <c r="AF2791" s="182" t="n">
        <v>0</v>
      </c>
      <c r="AG2791" s="182" t="n">
        <v>0</v>
      </c>
      <c r="AH2791" s="182" t="n">
        <v>0</v>
      </c>
      <c r="AI2791" s="182" t="n">
        <v>0</v>
      </c>
      <c r="AJ2791" s="182" t="n">
        <v>0</v>
      </c>
      <c r="AK2791" s="182" t="n">
        <v>0</v>
      </c>
      <c r="AL2791" s="182" t="n">
        <v>0</v>
      </c>
      <c r="AM2791" s="182" t="n">
        <v>0.09</v>
      </c>
      <c r="AN2791" s="182" t="n">
        <v>0</v>
      </c>
    </row>
    <row r="2792">
      <c r="A2792" s="155" t="n">
        <v>46094</v>
      </c>
      <c r="B2792" s="156" t="inlineStr">
        <is>
          <t>NS</t>
        </is>
      </c>
      <c r="C2792" s="156" t="inlineStr">
        <is>
          <t>EX-221</t>
        </is>
      </c>
      <c r="D2792" s="156" t="inlineStr">
        <is>
          <t>PC 200-8MI</t>
        </is>
      </c>
      <c r="E2792" s="156" t="inlineStr">
        <is>
          <t>Excavator</t>
        </is>
      </c>
      <c r="F2792" s="156" t="inlineStr">
        <is>
          <t>Timesheet Kosong</t>
        </is>
      </c>
      <c r="G2792" s="182" t="n">
        <v>9.859999999999999</v>
      </c>
      <c r="H2792" s="182" t="n">
        <v>0</v>
      </c>
      <c r="I2792" s="182" t="n">
        <v>0</v>
      </c>
      <c r="J2792" s="182" t="n">
        <v>0</v>
      </c>
      <c r="K2792" s="182" t="n">
        <v>2.14</v>
      </c>
      <c r="L2792" s="182" t="n">
        <v>12</v>
      </c>
      <c r="M2792" s="182" t="n">
        <v>0</v>
      </c>
      <c r="N2792" s="182" t="n">
        <v>0</v>
      </c>
      <c r="O2792" s="183" t="n">
        <v>0</v>
      </c>
      <c r="P2792" s="183" t="n">
        <v>0</v>
      </c>
      <c r="Q2792" s="184" t="n">
        <v>0</v>
      </c>
      <c r="R2792" s="184" t="n">
        <v>0</v>
      </c>
      <c r="S2792" s="183" t="n">
        <v>0</v>
      </c>
      <c r="T2792" s="183" t="n">
        <v>0</v>
      </c>
      <c r="U2792" s="182" t="n">
        <v>0</v>
      </c>
      <c r="V2792" s="182" t="n">
        <v>0</v>
      </c>
      <c r="W2792" s="182" t="n">
        <v>0</v>
      </c>
      <c r="X2792" s="182" t="n">
        <v>1.07</v>
      </c>
      <c r="Y2792" s="182" t="n">
        <v>0</v>
      </c>
      <c r="Z2792" s="182" t="n">
        <v>0</v>
      </c>
      <c r="AA2792" s="182" t="n">
        <v>0</v>
      </c>
      <c r="AB2792" s="182" t="n">
        <v>0</v>
      </c>
      <c r="AC2792" s="182" t="n">
        <v>0</v>
      </c>
      <c r="AD2792" s="182" t="n">
        <v>0</v>
      </c>
      <c r="AE2792" s="182" t="n">
        <v>0</v>
      </c>
      <c r="AF2792" s="182" t="n">
        <v>0</v>
      </c>
      <c r="AG2792" s="182" t="n">
        <v>0</v>
      </c>
      <c r="AH2792" s="182" t="n">
        <v>0</v>
      </c>
      <c r="AI2792" s="182" t="n">
        <v>0</v>
      </c>
      <c r="AJ2792" s="182" t="n">
        <v>0</v>
      </c>
      <c r="AK2792" s="182" t="n">
        <v>0.98</v>
      </c>
      <c r="AL2792" s="182" t="n">
        <v>0</v>
      </c>
      <c r="AM2792" s="182" t="n">
        <v>0.09</v>
      </c>
      <c r="AN2792" s="182" t="n">
        <v>0</v>
      </c>
    </row>
    <row r="2793">
      <c r="A2793" s="155" t="n">
        <v>46094</v>
      </c>
      <c r="B2793" s="156" t="inlineStr">
        <is>
          <t>NS</t>
        </is>
      </c>
      <c r="C2793" s="156" t="inlineStr">
        <is>
          <t>EX-331</t>
        </is>
      </c>
      <c r="D2793" s="156" t="inlineStr">
        <is>
          <t>PC 300-8MO</t>
        </is>
      </c>
      <c r="E2793" s="156" t="inlineStr">
        <is>
          <t>Excavator</t>
        </is>
      </c>
      <c r="F2793" s="156" t="inlineStr"/>
      <c r="G2793" s="182" t="n">
        <v>0</v>
      </c>
      <c r="H2793" s="182" t="n">
        <v>0</v>
      </c>
      <c r="I2793" s="182" t="n">
        <v>12</v>
      </c>
      <c r="J2793" s="182" t="n">
        <v>12</v>
      </c>
      <c r="K2793" s="182" t="n">
        <v>0</v>
      </c>
      <c r="L2793" s="182" t="n">
        <v>12</v>
      </c>
      <c r="M2793" s="182" t="n">
        <v>0</v>
      </c>
      <c r="N2793" s="182" t="n">
        <v>0</v>
      </c>
      <c r="O2793" s="183" t="n">
        <v>0</v>
      </c>
      <c r="P2793" s="183" t="n">
        <v>0</v>
      </c>
      <c r="Q2793" s="184" t="n">
        <v>0</v>
      </c>
      <c r="R2793" s="184" t="n">
        <v>0</v>
      </c>
      <c r="S2793" s="183" t="n">
        <v>0</v>
      </c>
      <c r="T2793" s="183" t="n">
        <v>0</v>
      </c>
      <c r="U2793" s="182" t="n">
        <v>0</v>
      </c>
      <c r="V2793" s="182" t="n">
        <v>0</v>
      </c>
      <c r="W2793" s="182" t="n">
        <v>0</v>
      </c>
      <c r="X2793" s="182" t="n">
        <v>0</v>
      </c>
      <c r="Y2793" s="182" t="n">
        <v>0</v>
      </c>
      <c r="Z2793" s="182" t="n">
        <v>0</v>
      </c>
      <c r="AA2793" s="182" t="n">
        <v>0</v>
      </c>
      <c r="AB2793" s="182" t="n">
        <v>0</v>
      </c>
      <c r="AC2793" s="182" t="n">
        <v>0</v>
      </c>
      <c r="AD2793" s="182" t="n">
        <v>0</v>
      </c>
      <c r="AE2793" s="182" t="n">
        <v>0</v>
      </c>
      <c r="AF2793" s="182" t="n">
        <v>0</v>
      </c>
      <c r="AG2793" s="182" t="n">
        <v>0</v>
      </c>
      <c r="AH2793" s="182" t="n">
        <v>0</v>
      </c>
      <c r="AI2793" s="182" t="n">
        <v>0</v>
      </c>
      <c r="AJ2793" s="182" t="n">
        <v>0</v>
      </c>
      <c r="AK2793" s="182" t="n">
        <v>0</v>
      </c>
      <c r="AL2793" s="182" t="n">
        <v>0</v>
      </c>
      <c r="AM2793" s="182" t="n">
        <v>0</v>
      </c>
      <c r="AN2793" s="182" t="n">
        <v>0</v>
      </c>
    </row>
    <row r="2794">
      <c r="A2794" s="155" t="n">
        <v>46094</v>
      </c>
      <c r="B2794" s="156" t="inlineStr">
        <is>
          <t>NS</t>
        </is>
      </c>
      <c r="C2794" s="156" t="inlineStr">
        <is>
          <t>EX-334</t>
        </is>
      </c>
      <c r="D2794" s="156" t="inlineStr">
        <is>
          <t>PC 300-8MO</t>
        </is>
      </c>
      <c r="E2794" s="156" t="inlineStr">
        <is>
          <t>Excavator</t>
        </is>
      </c>
      <c r="F2794" s="156" t="inlineStr">
        <is>
          <t>Trimming Coal di Stock ROM</t>
        </is>
      </c>
      <c r="G2794" s="182" t="n">
        <v>7.81</v>
      </c>
      <c r="H2794" s="182" t="n">
        <v>0</v>
      </c>
      <c r="I2794" s="182" t="n">
        <v>0</v>
      </c>
      <c r="J2794" s="182" t="n">
        <v>0</v>
      </c>
      <c r="K2794" s="182" t="n">
        <v>4.19</v>
      </c>
      <c r="L2794" s="182" t="n">
        <v>12</v>
      </c>
      <c r="M2794" s="182" t="n">
        <v>0</v>
      </c>
      <c r="N2794" s="182" t="n">
        <v>0</v>
      </c>
      <c r="O2794" s="183" t="n">
        <v>0</v>
      </c>
      <c r="P2794" s="183" t="n">
        <v>0</v>
      </c>
      <c r="Q2794" s="184" t="n">
        <v>0</v>
      </c>
      <c r="R2794" s="184" t="n">
        <v>0</v>
      </c>
      <c r="S2794" s="183" t="n">
        <v>0</v>
      </c>
      <c r="T2794" s="183" t="n">
        <v>0</v>
      </c>
      <c r="U2794" s="182" t="n">
        <v>0</v>
      </c>
      <c r="V2794" s="182" t="n">
        <v>0</v>
      </c>
      <c r="W2794" s="182" t="n">
        <v>0</v>
      </c>
      <c r="X2794" s="182" t="n">
        <v>1.07</v>
      </c>
      <c r="Y2794" s="182" t="n">
        <v>0</v>
      </c>
      <c r="Z2794" s="182" t="n">
        <v>0</v>
      </c>
      <c r="AA2794" s="182" t="n">
        <v>0</v>
      </c>
      <c r="AB2794" s="182" t="n">
        <v>0</v>
      </c>
      <c r="AC2794" s="182" t="n">
        <v>0</v>
      </c>
      <c r="AD2794" s="182" t="n">
        <v>0</v>
      </c>
      <c r="AE2794" s="182" t="n">
        <v>0</v>
      </c>
      <c r="AF2794" s="182" t="n">
        <v>0</v>
      </c>
      <c r="AG2794" s="182" t="n">
        <v>0</v>
      </c>
      <c r="AH2794" s="182" t="n">
        <v>0</v>
      </c>
      <c r="AI2794" s="182" t="n">
        <v>0</v>
      </c>
      <c r="AJ2794" s="182" t="n">
        <v>0</v>
      </c>
      <c r="AK2794" s="182" t="n">
        <v>3.03</v>
      </c>
      <c r="AL2794" s="182" t="n">
        <v>0</v>
      </c>
      <c r="AM2794" s="182" t="n">
        <v>0.09</v>
      </c>
      <c r="AN2794" s="182" t="n">
        <v>0</v>
      </c>
    </row>
    <row r="2795">
      <c r="A2795" s="155" t="n">
        <v>46094</v>
      </c>
      <c r="B2795" s="156" t="inlineStr">
        <is>
          <t>NS</t>
        </is>
      </c>
      <c r="C2795" s="156" t="inlineStr">
        <is>
          <t>EX-332</t>
        </is>
      </c>
      <c r="D2795" s="156" t="inlineStr">
        <is>
          <t>PC 300-8MO</t>
        </is>
      </c>
      <c r="E2795" s="156" t="inlineStr">
        <is>
          <t>Excavator</t>
        </is>
      </c>
      <c r="F2795" s="156" t="inlineStr"/>
      <c r="G2795" s="182" t="n">
        <v>0</v>
      </c>
      <c r="H2795" s="182" t="n">
        <v>0</v>
      </c>
      <c r="I2795" s="182" t="n">
        <v>12</v>
      </c>
      <c r="J2795" s="182" t="n">
        <v>12</v>
      </c>
      <c r="K2795" s="182" t="n">
        <v>0</v>
      </c>
      <c r="L2795" s="182" t="n">
        <v>12</v>
      </c>
      <c r="M2795" s="182" t="n">
        <v>0</v>
      </c>
      <c r="N2795" s="182" t="n">
        <v>0</v>
      </c>
      <c r="O2795" s="183" t="n">
        <v>0</v>
      </c>
      <c r="P2795" s="183" t="n">
        <v>0</v>
      </c>
      <c r="Q2795" s="184" t="n">
        <v>0</v>
      </c>
      <c r="R2795" s="184" t="n">
        <v>0</v>
      </c>
      <c r="S2795" s="183" t="n">
        <v>0</v>
      </c>
      <c r="T2795" s="183" t="n">
        <v>0</v>
      </c>
      <c r="U2795" s="182" t="n">
        <v>0</v>
      </c>
      <c r="V2795" s="182" t="n">
        <v>0</v>
      </c>
      <c r="W2795" s="182" t="n">
        <v>0</v>
      </c>
      <c r="X2795" s="182" t="n">
        <v>0</v>
      </c>
      <c r="Y2795" s="182" t="n">
        <v>0</v>
      </c>
      <c r="Z2795" s="182" t="n">
        <v>0</v>
      </c>
      <c r="AA2795" s="182" t="n">
        <v>0</v>
      </c>
      <c r="AB2795" s="182" t="n">
        <v>0</v>
      </c>
      <c r="AC2795" s="182" t="n">
        <v>0</v>
      </c>
      <c r="AD2795" s="182" t="n">
        <v>0</v>
      </c>
      <c r="AE2795" s="182" t="n">
        <v>0</v>
      </c>
      <c r="AF2795" s="182" t="n">
        <v>0</v>
      </c>
      <c r="AG2795" s="182" t="n">
        <v>0</v>
      </c>
      <c r="AH2795" s="182" t="n">
        <v>0</v>
      </c>
      <c r="AI2795" s="182" t="n">
        <v>0</v>
      </c>
      <c r="AJ2795" s="182" t="n">
        <v>0</v>
      </c>
      <c r="AK2795" s="182" t="n">
        <v>0</v>
      </c>
      <c r="AL2795" s="182" t="n">
        <v>0</v>
      </c>
      <c r="AM2795" s="182" t="n">
        <v>0</v>
      </c>
      <c r="AN2795" s="182" t="n">
        <v>0</v>
      </c>
    </row>
    <row r="2796">
      <c r="A2796" s="155" t="n">
        <v>46094</v>
      </c>
      <c r="B2796" s="156" t="inlineStr">
        <is>
          <t>NS</t>
        </is>
      </c>
      <c r="C2796" s="156" t="inlineStr">
        <is>
          <t>EX-333</t>
        </is>
      </c>
      <c r="D2796" s="156" t="inlineStr">
        <is>
          <t>PC 300-8MO</t>
        </is>
      </c>
      <c r="E2796" s="156" t="inlineStr">
        <is>
          <t>Excavator</t>
        </is>
      </c>
      <c r="F2796" s="156" t="inlineStr"/>
      <c r="G2796" s="182" t="n">
        <v>0</v>
      </c>
      <c r="H2796" s="182" t="n">
        <v>0</v>
      </c>
      <c r="I2796" s="182" t="n">
        <v>12</v>
      </c>
      <c r="J2796" s="182" t="n">
        <v>12</v>
      </c>
      <c r="K2796" s="182" t="n">
        <v>0</v>
      </c>
      <c r="L2796" s="182" t="n">
        <v>12</v>
      </c>
      <c r="M2796" s="182" t="n">
        <v>0</v>
      </c>
      <c r="N2796" s="182" t="n">
        <v>0</v>
      </c>
      <c r="O2796" s="183" t="n">
        <v>0</v>
      </c>
      <c r="P2796" s="183" t="n">
        <v>0</v>
      </c>
      <c r="Q2796" s="184" t="n">
        <v>0</v>
      </c>
      <c r="R2796" s="184" t="n">
        <v>0</v>
      </c>
      <c r="S2796" s="183" t="n">
        <v>0</v>
      </c>
      <c r="T2796" s="183" t="n">
        <v>0</v>
      </c>
      <c r="U2796" s="182" t="n">
        <v>0</v>
      </c>
      <c r="V2796" s="182" t="n">
        <v>0</v>
      </c>
      <c r="W2796" s="182" t="n">
        <v>0</v>
      </c>
      <c r="X2796" s="182" t="n">
        <v>0</v>
      </c>
      <c r="Y2796" s="182" t="n">
        <v>0</v>
      </c>
      <c r="Z2796" s="182" t="n">
        <v>0</v>
      </c>
      <c r="AA2796" s="182" t="n">
        <v>0</v>
      </c>
      <c r="AB2796" s="182" t="n">
        <v>0</v>
      </c>
      <c r="AC2796" s="182" t="n">
        <v>0</v>
      </c>
      <c r="AD2796" s="182" t="n">
        <v>0</v>
      </c>
      <c r="AE2796" s="182" t="n">
        <v>0</v>
      </c>
      <c r="AF2796" s="182" t="n">
        <v>0</v>
      </c>
      <c r="AG2796" s="182" t="n">
        <v>0</v>
      </c>
      <c r="AH2796" s="182" t="n">
        <v>0</v>
      </c>
      <c r="AI2796" s="182" t="n">
        <v>0</v>
      </c>
      <c r="AJ2796" s="182" t="n">
        <v>0</v>
      </c>
      <c r="AK2796" s="182" t="n">
        <v>0</v>
      </c>
      <c r="AL2796" s="182" t="n">
        <v>0</v>
      </c>
      <c r="AM2796" s="182" t="n">
        <v>0</v>
      </c>
      <c r="AN2796" s="182" t="n">
        <v>0</v>
      </c>
    </row>
    <row r="2797">
      <c r="A2797" s="155" t="n">
        <v>46094</v>
      </c>
      <c r="B2797" s="156" t="inlineStr">
        <is>
          <t>NS</t>
        </is>
      </c>
      <c r="C2797" s="156" t="inlineStr">
        <is>
          <t>EX-336</t>
        </is>
      </c>
      <c r="D2797" s="156" t="inlineStr">
        <is>
          <t>PC 300-8MO</t>
        </is>
      </c>
      <c r="E2797" s="156" t="inlineStr">
        <is>
          <t>Excavator</t>
        </is>
      </c>
      <c r="F2797" s="156" t="inlineStr">
        <is>
          <t>Loading Coal &amp; Cleaning Coal</t>
        </is>
      </c>
      <c r="G2797" s="182" t="n">
        <v>9.32</v>
      </c>
      <c r="H2797" s="182" t="n">
        <v>0.17</v>
      </c>
      <c r="I2797" s="182" t="n">
        <v>0</v>
      </c>
      <c r="J2797" s="182" t="n">
        <v>0.17</v>
      </c>
      <c r="K2797" s="182" t="n">
        <v>2.51</v>
      </c>
      <c r="L2797" s="182" t="n">
        <v>12</v>
      </c>
      <c r="M2797" s="182" t="n">
        <v>0</v>
      </c>
      <c r="N2797" s="182" t="n">
        <v>1.03</v>
      </c>
      <c r="O2797" s="183" t="n">
        <v>0</v>
      </c>
      <c r="P2797" s="183" t="n">
        <v>6</v>
      </c>
      <c r="Q2797" s="184" t="n">
        <v>0</v>
      </c>
      <c r="R2797" s="184" t="n">
        <v>91.8</v>
      </c>
      <c r="S2797" s="183" t="n">
        <v>0</v>
      </c>
      <c r="T2797" s="183" t="n">
        <v>0</v>
      </c>
      <c r="U2797" s="182" t="n">
        <v>1.55</v>
      </c>
      <c r="V2797" s="182" t="n">
        <v>0</v>
      </c>
      <c r="W2797" s="182" t="n">
        <v>0</v>
      </c>
      <c r="X2797" s="182" t="n">
        <v>0.89</v>
      </c>
      <c r="Y2797" s="182" t="n">
        <v>0</v>
      </c>
      <c r="Z2797" s="182" t="n">
        <v>0</v>
      </c>
      <c r="AA2797" s="182" t="n">
        <v>0</v>
      </c>
      <c r="AB2797" s="182" t="n">
        <v>0</v>
      </c>
      <c r="AC2797" s="182" t="n">
        <v>0</v>
      </c>
      <c r="AD2797" s="182" t="n">
        <v>0</v>
      </c>
      <c r="AE2797" s="182" t="n">
        <v>0</v>
      </c>
      <c r="AF2797" s="182" t="n">
        <v>0</v>
      </c>
      <c r="AG2797" s="182" t="n">
        <v>0</v>
      </c>
      <c r="AH2797" s="182" t="n">
        <v>0</v>
      </c>
      <c r="AI2797" s="182" t="n">
        <v>0</v>
      </c>
      <c r="AJ2797" s="182" t="n">
        <v>0</v>
      </c>
      <c r="AK2797" s="182" t="n">
        <v>0</v>
      </c>
      <c r="AL2797" s="182" t="n">
        <v>0</v>
      </c>
      <c r="AM2797" s="182" t="n">
        <v>0.07000000000000001</v>
      </c>
      <c r="AN2797" s="182" t="n">
        <v>0</v>
      </c>
    </row>
    <row r="2798">
      <c r="A2798" s="155" t="n">
        <v>46094</v>
      </c>
      <c r="B2798" s="156" t="inlineStr">
        <is>
          <t>NS</t>
        </is>
      </c>
      <c r="C2798" s="156" t="inlineStr">
        <is>
          <t>EX-335</t>
        </is>
      </c>
      <c r="D2798" s="156" t="inlineStr">
        <is>
          <t>PC 300-8MO</t>
        </is>
      </c>
      <c r="E2798" s="156" t="inlineStr">
        <is>
          <t>Excavator</t>
        </is>
      </c>
      <c r="F2798" s="156" t="inlineStr">
        <is>
          <t>Unit Baru Ready</t>
        </is>
      </c>
      <c r="G2798" s="182" t="n">
        <v>9.9</v>
      </c>
      <c r="H2798" s="182" t="n">
        <v>0</v>
      </c>
      <c r="I2798" s="182" t="n">
        <v>2.1</v>
      </c>
      <c r="J2798" s="182" t="n">
        <v>2.1</v>
      </c>
      <c r="K2798" s="182" t="n">
        <v>0</v>
      </c>
      <c r="L2798" s="182" t="n">
        <v>12</v>
      </c>
      <c r="M2798" s="182" t="n">
        <v>0</v>
      </c>
      <c r="N2798" s="182" t="n">
        <v>0</v>
      </c>
      <c r="O2798" s="183" t="n">
        <v>0</v>
      </c>
      <c r="P2798" s="183" t="n">
        <v>0</v>
      </c>
      <c r="Q2798" s="184" t="n">
        <v>0</v>
      </c>
      <c r="R2798" s="184" t="n">
        <v>0</v>
      </c>
      <c r="S2798" s="183" t="n">
        <v>0</v>
      </c>
      <c r="T2798" s="183" t="n">
        <v>0</v>
      </c>
      <c r="U2798" s="182" t="n">
        <v>0</v>
      </c>
      <c r="V2798" s="182" t="n">
        <v>0</v>
      </c>
      <c r="W2798" s="182" t="n">
        <v>0</v>
      </c>
      <c r="X2798" s="182" t="n">
        <v>0</v>
      </c>
      <c r="Y2798" s="182" t="n">
        <v>0</v>
      </c>
      <c r="Z2798" s="182" t="n">
        <v>0</v>
      </c>
      <c r="AA2798" s="182" t="n">
        <v>0</v>
      </c>
      <c r="AB2798" s="182" t="n">
        <v>0</v>
      </c>
      <c r="AC2798" s="182" t="n">
        <v>0</v>
      </c>
      <c r="AD2798" s="182" t="n">
        <v>0</v>
      </c>
      <c r="AE2798" s="182" t="n">
        <v>0</v>
      </c>
      <c r="AF2798" s="182" t="n">
        <v>0</v>
      </c>
      <c r="AG2798" s="182" t="n">
        <v>0</v>
      </c>
      <c r="AH2798" s="182" t="n">
        <v>0</v>
      </c>
      <c r="AI2798" s="182" t="n">
        <v>0</v>
      </c>
      <c r="AJ2798" s="182" t="n">
        <v>0</v>
      </c>
      <c r="AK2798" s="182" t="n">
        <v>0</v>
      </c>
      <c r="AL2798" s="182" t="n">
        <v>0</v>
      </c>
      <c r="AM2798" s="182" t="n">
        <v>0</v>
      </c>
      <c r="AN2798" s="182" t="n">
        <v>0</v>
      </c>
    </row>
    <row r="2799">
      <c r="A2799" s="155" t="n">
        <v>46094</v>
      </c>
      <c r="B2799" s="156" t="inlineStr">
        <is>
          <t>NS</t>
        </is>
      </c>
      <c r="C2799" s="156" t="inlineStr">
        <is>
          <t>EX-754</t>
        </is>
      </c>
      <c r="D2799" s="156" t="inlineStr">
        <is>
          <t>SY750H-PRO</t>
        </is>
      </c>
      <c r="E2799" s="156" t="inlineStr">
        <is>
          <t>Excavator</t>
        </is>
      </c>
      <c r="F2799" s="156" t="inlineStr">
        <is>
          <t>Loading OB</t>
        </is>
      </c>
      <c r="G2799" s="182" t="n">
        <v>4.31</v>
      </c>
      <c r="H2799" s="182" t="n">
        <v>0</v>
      </c>
      <c r="I2799" s="182" t="n">
        <v>0.17</v>
      </c>
      <c r="J2799" s="182" t="n">
        <v>0.17</v>
      </c>
      <c r="K2799" s="182" t="n">
        <v>7.52</v>
      </c>
      <c r="L2799" s="182" t="n">
        <v>12</v>
      </c>
      <c r="M2799" s="182" t="n">
        <v>4.04</v>
      </c>
      <c r="N2799" s="182" t="n">
        <v>0</v>
      </c>
      <c r="O2799" s="183" t="n">
        <v>58</v>
      </c>
      <c r="P2799" s="183" t="n">
        <v>0</v>
      </c>
      <c r="Q2799" s="184" t="n">
        <v>1183.2</v>
      </c>
      <c r="R2799" s="184" t="n">
        <v>0</v>
      </c>
      <c r="S2799" s="183" t="n">
        <v>0</v>
      </c>
      <c r="T2799" s="183" t="n">
        <v>0</v>
      </c>
      <c r="U2799" s="182" t="n">
        <v>6.47</v>
      </c>
      <c r="V2799" s="182" t="n">
        <v>0</v>
      </c>
      <c r="W2799" s="182" t="n">
        <v>0</v>
      </c>
      <c r="X2799" s="182" t="n">
        <v>0</v>
      </c>
      <c r="Y2799" s="182" t="n">
        <v>0</v>
      </c>
      <c r="Z2799" s="182" t="n">
        <v>0</v>
      </c>
      <c r="AA2799" s="182" t="n">
        <v>0</v>
      </c>
      <c r="AB2799" s="182" t="n">
        <v>0</v>
      </c>
      <c r="AC2799" s="182" t="n">
        <v>0</v>
      </c>
      <c r="AD2799" s="182" t="n">
        <v>0.97</v>
      </c>
      <c r="AE2799" s="182" t="n">
        <v>0</v>
      </c>
      <c r="AF2799" s="182" t="n">
        <v>0</v>
      </c>
      <c r="AG2799" s="182" t="n">
        <v>0</v>
      </c>
      <c r="AH2799" s="182" t="n">
        <v>0</v>
      </c>
      <c r="AI2799" s="182" t="n">
        <v>0</v>
      </c>
      <c r="AJ2799" s="182" t="n">
        <v>0</v>
      </c>
      <c r="AK2799" s="182" t="n">
        <v>0</v>
      </c>
      <c r="AL2799" s="182" t="n">
        <v>0</v>
      </c>
      <c r="AM2799" s="182" t="n">
        <v>0.08</v>
      </c>
      <c r="AN2799" s="182" t="n">
        <v>0</v>
      </c>
    </row>
    <row r="2800">
      <c r="A2800" s="155" t="n">
        <v>46094</v>
      </c>
      <c r="B2800" s="156" t="inlineStr">
        <is>
          <t>NS</t>
        </is>
      </c>
      <c r="C2800" s="156" t="inlineStr">
        <is>
          <t>EX-755</t>
        </is>
      </c>
      <c r="D2800" s="156" t="inlineStr">
        <is>
          <t>SY750H-PRO</t>
        </is>
      </c>
      <c r="E2800" s="156" t="inlineStr">
        <is>
          <t>Excavator</t>
        </is>
      </c>
      <c r="F2800" s="156" t="inlineStr">
        <is>
          <t>Loading OB &amp; Coal, General Pompa</t>
        </is>
      </c>
      <c r="G2800" s="182" t="n">
        <v>5.27</v>
      </c>
      <c r="H2800" s="182" t="n">
        <v>0</v>
      </c>
      <c r="I2800" s="182" t="n">
        <v>0</v>
      </c>
      <c r="J2800" s="182" t="n">
        <v>0</v>
      </c>
      <c r="K2800" s="182" t="n">
        <v>6.73</v>
      </c>
      <c r="L2800" s="182" t="n">
        <v>12</v>
      </c>
      <c r="M2800" s="182" t="n">
        <v>1.46</v>
      </c>
      <c r="N2800" s="182" t="n">
        <v>1.03</v>
      </c>
      <c r="O2800" s="183" t="n">
        <v>24</v>
      </c>
      <c r="P2800" s="183" t="n">
        <v>13</v>
      </c>
      <c r="Q2800" s="184" t="n">
        <v>489.6</v>
      </c>
      <c r="R2800" s="184" t="n">
        <v>243.1</v>
      </c>
      <c r="S2800" s="183" t="n">
        <v>0</v>
      </c>
      <c r="T2800" s="183" t="n">
        <v>0</v>
      </c>
      <c r="U2800" s="182" t="n">
        <v>6.65</v>
      </c>
      <c r="V2800" s="182" t="n">
        <v>0</v>
      </c>
      <c r="W2800" s="182" t="n">
        <v>0</v>
      </c>
      <c r="X2800" s="182" t="n">
        <v>0</v>
      </c>
      <c r="Y2800" s="182" t="n">
        <v>0</v>
      </c>
      <c r="Z2800" s="182" t="n">
        <v>0</v>
      </c>
      <c r="AA2800" s="182" t="n">
        <v>0</v>
      </c>
      <c r="AB2800" s="182" t="n">
        <v>0</v>
      </c>
      <c r="AC2800" s="182" t="n">
        <v>0</v>
      </c>
      <c r="AD2800" s="182" t="n">
        <v>0</v>
      </c>
      <c r="AE2800" s="182" t="n">
        <v>0</v>
      </c>
      <c r="AF2800" s="182" t="n">
        <v>0</v>
      </c>
      <c r="AG2800" s="182" t="n">
        <v>0</v>
      </c>
      <c r="AH2800" s="182" t="n">
        <v>0</v>
      </c>
      <c r="AI2800" s="182" t="n">
        <v>0</v>
      </c>
      <c r="AJ2800" s="182" t="n">
        <v>0</v>
      </c>
      <c r="AK2800" s="182" t="n">
        <v>0</v>
      </c>
      <c r="AL2800" s="182" t="n">
        <v>0</v>
      </c>
      <c r="AM2800" s="182" t="n">
        <v>0.08</v>
      </c>
      <c r="AN2800" s="182" t="n">
        <v>0</v>
      </c>
    </row>
    <row r="2801">
      <c r="A2801" s="155" t="n">
        <v>46094</v>
      </c>
      <c r="B2801" s="156" t="inlineStr">
        <is>
          <t>NS</t>
        </is>
      </c>
      <c r="C2801" s="156" t="inlineStr">
        <is>
          <t>EX-752</t>
        </is>
      </c>
      <c r="D2801" s="156" t="inlineStr">
        <is>
          <t>SY750H-PRO</t>
        </is>
      </c>
      <c r="E2801" s="156" t="inlineStr">
        <is>
          <t>Excavator</t>
        </is>
      </c>
      <c r="F2801" s="156" t="inlineStr"/>
      <c r="G2801" s="182" t="n">
        <v>0</v>
      </c>
      <c r="H2801" s="182" t="n">
        <v>0</v>
      </c>
      <c r="I2801" s="182" t="n">
        <v>12</v>
      </c>
      <c r="J2801" s="182" t="n">
        <v>12</v>
      </c>
      <c r="K2801" s="182" t="n">
        <v>0</v>
      </c>
      <c r="L2801" s="182" t="n">
        <v>12</v>
      </c>
      <c r="M2801" s="182" t="n">
        <v>0</v>
      </c>
      <c r="N2801" s="182" t="n">
        <v>0</v>
      </c>
      <c r="O2801" s="183" t="n">
        <v>0</v>
      </c>
      <c r="P2801" s="183" t="n">
        <v>0</v>
      </c>
      <c r="Q2801" s="184" t="n">
        <v>0</v>
      </c>
      <c r="R2801" s="184" t="n">
        <v>0</v>
      </c>
      <c r="S2801" s="183" t="n">
        <v>0</v>
      </c>
      <c r="T2801" s="183" t="n">
        <v>0</v>
      </c>
      <c r="U2801" s="182" t="n">
        <v>0</v>
      </c>
      <c r="V2801" s="182" t="n">
        <v>0</v>
      </c>
      <c r="W2801" s="182" t="n">
        <v>0</v>
      </c>
      <c r="X2801" s="182" t="n">
        <v>0</v>
      </c>
      <c r="Y2801" s="182" t="n">
        <v>0</v>
      </c>
      <c r="Z2801" s="182" t="n">
        <v>0</v>
      </c>
      <c r="AA2801" s="182" t="n">
        <v>0</v>
      </c>
      <c r="AB2801" s="182" t="n">
        <v>0</v>
      </c>
      <c r="AC2801" s="182" t="n">
        <v>0</v>
      </c>
      <c r="AD2801" s="182" t="n">
        <v>0</v>
      </c>
      <c r="AE2801" s="182" t="n">
        <v>0</v>
      </c>
      <c r="AF2801" s="182" t="n">
        <v>0</v>
      </c>
      <c r="AG2801" s="182" t="n">
        <v>0</v>
      </c>
      <c r="AH2801" s="182" t="n">
        <v>0</v>
      </c>
      <c r="AI2801" s="182" t="n">
        <v>0</v>
      </c>
      <c r="AJ2801" s="182" t="n">
        <v>0</v>
      </c>
      <c r="AK2801" s="182" t="n">
        <v>0</v>
      </c>
      <c r="AL2801" s="182" t="n">
        <v>0</v>
      </c>
      <c r="AM2801" s="182" t="n">
        <v>0</v>
      </c>
      <c r="AN2801" s="182" t="n">
        <v>0</v>
      </c>
    </row>
    <row r="2802">
      <c r="A2802" s="155" t="n">
        <v>46094</v>
      </c>
      <c r="B2802" s="156" t="inlineStr">
        <is>
          <t>NS</t>
        </is>
      </c>
      <c r="C2802" s="156" t="inlineStr">
        <is>
          <t>EX-751</t>
        </is>
      </c>
      <c r="D2802" s="156" t="inlineStr">
        <is>
          <t>SY750H-PRO</t>
        </is>
      </c>
      <c r="E2802" s="156" t="inlineStr">
        <is>
          <t>Excavator</t>
        </is>
      </c>
      <c r="F2802" s="156" t="inlineStr"/>
      <c r="G2802" s="182" t="n">
        <v>0</v>
      </c>
      <c r="H2802" s="182" t="n">
        <v>0</v>
      </c>
      <c r="I2802" s="182" t="n">
        <v>12</v>
      </c>
      <c r="J2802" s="182" t="n">
        <v>12</v>
      </c>
      <c r="K2802" s="182" t="n">
        <v>0</v>
      </c>
      <c r="L2802" s="182" t="n">
        <v>12</v>
      </c>
      <c r="M2802" s="182" t="n">
        <v>0</v>
      </c>
      <c r="N2802" s="182" t="n">
        <v>0</v>
      </c>
      <c r="O2802" s="183" t="n">
        <v>0</v>
      </c>
      <c r="P2802" s="183" t="n">
        <v>0</v>
      </c>
      <c r="Q2802" s="184" t="n">
        <v>0</v>
      </c>
      <c r="R2802" s="184" t="n">
        <v>0</v>
      </c>
      <c r="S2802" s="183" t="n">
        <v>0</v>
      </c>
      <c r="T2802" s="183" t="n">
        <v>0</v>
      </c>
      <c r="U2802" s="182" t="n">
        <v>0</v>
      </c>
      <c r="V2802" s="182" t="n">
        <v>0</v>
      </c>
      <c r="W2802" s="182" t="n">
        <v>0</v>
      </c>
      <c r="X2802" s="182" t="n">
        <v>0</v>
      </c>
      <c r="Y2802" s="182" t="n">
        <v>0</v>
      </c>
      <c r="Z2802" s="182" t="n">
        <v>0</v>
      </c>
      <c r="AA2802" s="182" t="n">
        <v>0</v>
      </c>
      <c r="AB2802" s="182" t="n">
        <v>0</v>
      </c>
      <c r="AC2802" s="182" t="n">
        <v>0</v>
      </c>
      <c r="AD2802" s="182" t="n">
        <v>0</v>
      </c>
      <c r="AE2802" s="182" t="n">
        <v>0</v>
      </c>
      <c r="AF2802" s="182" t="n">
        <v>0</v>
      </c>
      <c r="AG2802" s="182" t="n">
        <v>0</v>
      </c>
      <c r="AH2802" s="182" t="n">
        <v>0</v>
      </c>
      <c r="AI2802" s="182" t="n">
        <v>0</v>
      </c>
      <c r="AJ2802" s="182" t="n">
        <v>0</v>
      </c>
      <c r="AK2802" s="182" t="n">
        <v>0</v>
      </c>
      <c r="AL2802" s="182" t="n">
        <v>0</v>
      </c>
      <c r="AM2802" s="182" t="n">
        <v>0</v>
      </c>
      <c r="AN2802" s="182" t="n">
        <v>0</v>
      </c>
    </row>
    <row r="2803">
      <c r="A2803" s="155" t="n">
        <v>46094</v>
      </c>
      <c r="B2803" s="156" t="inlineStr">
        <is>
          <t>NS</t>
        </is>
      </c>
      <c r="C2803" s="156" t="inlineStr">
        <is>
          <t>EX-753</t>
        </is>
      </c>
      <c r="D2803" s="156" t="inlineStr">
        <is>
          <t>SY750H-PRO</t>
        </is>
      </c>
      <c r="E2803" s="156" t="inlineStr">
        <is>
          <t>Excavator</t>
        </is>
      </c>
      <c r="F2803" s="156" t="inlineStr">
        <is>
          <t>Loading Coal &amp; OB</t>
        </is>
      </c>
      <c r="G2803" s="182" t="n">
        <v>3.8</v>
      </c>
      <c r="H2803" s="182" t="n">
        <v>0.17</v>
      </c>
      <c r="I2803" s="182" t="n">
        <v>8.029999999999999</v>
      </c>
      <c r="J2803" s="182" t="n">
        <v>8.199999999999999</v>
      </c>
      <c r="K2803" s="182" t="n">
        <v>0</v>
      </c>
      <c r="L2803" s="182" t="n">
        <v>12</v>
      </c>
      <c r="M2803" s="182" t="n">
        <v>0.17</v>
      </c>
      <c r="N2803" s="182" t="n">
        <v>3.63</v>
      </c>
      <c r="O2803" s="183" t="n">
        <v>3</v>
      </c>
      <c r="P2803" s="183" t="n">
        <v>36</v>
      </c>
      <c r="Q2803" s="184" t="n">
        <v>61.2</v>
      </c>
      <c r="R2803" s="184" t="n">
        <v>673.2</v>
      </c>
      <c r="S2803" s="183" t="n">
        <v>0</v>
      </c>
      <c r="T2803" s="183" t="n">
        <v>0</v>
      </c>
      <c r="U2803" s="182" t="n">
        <v>0</v>
      </c>
      <c r="V2803" s="182" t="n">
        <v>0</v>
      </c>
      <c r="W2803" s="182" t="n">
        <v>0</v>
      </c>
      <c r="X2803" s="182" t="n">
        <v>0</v>
      </c>
      <c r="Y2803" s="182" t="n">
        <v>0</v>
      </c>
      <c r="Z2803" s="182" t="n">
        <v>0</v>
      </c>
      <c r="AA2803" s="182" t="n">
        <v>0</v>
      </c>
      <c r="AB2803" s="182" t="n">
        <v>0</v>
      </c>
      <c r="AC2803" s="182" t="n">
        <v>0</v>
      </c>
      <c r="AD2803" s="182" t="n">
        <v>0</v>
      </c>
      <c r="AE2803" s="182" t="n">
        <v>0</v>
      </c>
      <c r="AF2803" s="182" t="n">
        <v>0</v>
      </c>
      <c r="AG2803" s="182" t="n">
        <v>0</v>
      </c>
      <c r="AH2803" s="182" t="n">
        <v>0</v>
      </c>
      <c r="AI2803" s="182" t="n">
        <v>0</v>
      </c>
      <c r="AJ2803" s="182" t="n">
        <v>0</v>
      </c>
      <c r="AK2803" s="182" t="n">
        <v>0</v>
      </c>
      <c r="AL2803" s="182" t="n">
        <v>0</v>
      </c>
      <c r="AM2803" s="182" t="n">
        <v>0</v>
      </c>
      <c r="AN2803" s="182" t="n">
        <v>0</v>
      </c>
    </row>
    <row r="2804">
      <c r="A2804" s="155" t="n">
        <v>46094</v>
      </c>
      <c r="B2804" s="156" t="inlineStr">
        <is>
          <t>NS</t>
        </is>
      </c>
      <c r="C2804" s="156" t="inlineStr">
        <is>
          <t>GD-012</t>
        </is>
      </c>
      <c r="D2804" s="156" t="inlineStr">
        <is>
          <t>STG 230C - 8S</t>
        </is>
      </c>
      <c r="E2804" s="156" t="inlineStr">
        <is>
          <t>Grader</t>
        </is>
      </c>
      <c r="F2804" s="156" t="inlineStr">
        <is>
          <t>Timesheet Kosong</t>
        </is>
      </c>
      <c r="G2804" s="182" t="n">
        <v>2.07</v>
      </c>
      <c r="H2804" s="182" t="n">
        <v>0</v>
      </c>
      <c r="I2804" s="182" t="n">
        <v>0</v>
      </c>
      <c r="J2804" s="182" t="n">
        <v>0</v>
      </c>
      <c r="K2804" s="182" t="n">
        <v>9.93</v>
      </c>
      <c r="L2804" s="182" t="n">
        <v>12</v>
      </c>
      <c r="M2804" s="182" t="n">
        <v>0</v>
      </c>
      <c r="N2804" s="182" t="n">
        <v>0</v>
      </c>
      <c r="O2804" s="183" t="n">
        <v>0</v>
      </c>
      <c r="P2804" s="183" t="n">
        <v>0</v>
      </c>
      <c r="Q2804" s="184" t="n">
        <v>0</v>
      </c>
      <c r="R2804" s="184" t="n">
        <v>0</v>
      </c>
      <c r="S2804" s="183" t="n">
        <v>0</v>
      </c>
      <c r="T2804" s="183" t="n">
        <v>0</v>
      </c>
      <c r="U2804" s="182" t="n">
        <v>0</v>
      </c>
      <c r="V2804" s="182" t="n">
        <v>0</v>
      </c>
      <c r="W2804" s="182" t="n">
        <v>0</v>
      </c>
      <c r="X2804" s="182" t="n">
        <v>1</v>
      </c>
      <c r="Y2804" s="182" t="n">
        <v>0</v>
      </c>
      <c r="Z2804" s="182" t="n">
        <v>0</v>
      </c>
      <c r="AA2804" s="182" t="n">
        <v>0</v>
      </c>
      <c r="AB2804" s="182" t="n">
        <v>0</v>
      </c>
      <c r="AC2804" s="182" t="n">
        <v>0</v>
      </c>
      <c r="AD2804" s="182" t="n">
        <v>0</v>
      </c>
      <c r="AE2804" s="182" t="n">
        <v>0</v>
      </c>
      <c r="AF2804" s="182" t="n">
        <v>0</v>
      </c>
      <c r="AG2804" s="182" t="n">
        <v>0</v>
      </c>
      <c r="AH2804" s="182" t="n">
        <v>0</v>
      </c>
      <c r="AI2804" s="182" t="n">
        <v>0</v>
      </c>
      <c r="AJ2804" s="182" t="n">
        <v>0</v>
      </c>
      <c r="AK2804" s="182" t="n">
        <v>8.85</v>
      </c>
      <c r="AL2804" s="182" t="n">
        <v>0</v>
      </c>
      <c r="AM2804" s="182" t="n">
        <v>0.08</v>
      </c>
      <c r="AN2804" s="182" t="n">
        <v>0</v>
      </c>
    </row>
    <row r="2805">
      <c r="A2805" s="155" t="n">
        <v>46094</v>
      </c>
      <c r="B2805" s="156" t="inlineStr">
        <is>
          <t>NS</t>
        </is>
      </c>
      <c r="C2805" s="156" t="inlineStr">
        <is>
          <t>GD-011</t>
        </is>
      </c>
      <c r="D2805" s="156" t="inlineStr">
        <is>
          <t>STG 230C - 8S</t>
        </is>
      </c>
      <c r="E2805" s="156" t="inlineStr">
        <is>
          <t>Grader</t>
        </is>
      </c>
      <c r="F2805" s="156" t="inlineStr"/>
      <c r="G2805" s="182" t="n">
        <v>0</v>
      </c>
      <c r="H2805" s="182" t="n">
        <v>0</v>
      </c>
      <c r="I2805" s="182" t="n">
        <v>12</v>
      </c>
      <c r="J2805" s="182" t="n">
        <v>12</v>
      </c>
      <c r="K2805" s="182" t="n">
        <v>0</v>
      </c>
      <c r="L2805" s="182" t="n">
        <v>12</v>
      </c>
      <c r="M2805" s="182" t="n">
        <v>0</v>
      </c>
      <c r="N2805" s="182" t="n">
        <v>0</v>
      </c>
      <c r="O2805" s="183" t="n">
        <v>0</v>
      </c>
      <c r="P2805" s="183" t="n">
        <v>0</v>
      </c>
      <c r="Q2805" s="184" t="n">
        <v>0</v>
      </c>
      <c r="R2805" s="184" t="n">
        <v>0</v>
      </c>
      <c r="S2805" s="183" t="n">
        <v>0</v>
      </c>
      <c r="T2805" s="183" t="n">
        <v>0</v>
      </c>
      <c r="U2805" s="182" t="n">
        <v>0</v>
      </c>
      <c r="V2805" s="182" t="n">
        <v>0</v>
      </c>
      <c r="W2805" s="182" t="n">
        <v>0</v>
      </c>
      <c r="X2805" s="182" t="n">
        <v>0</v>
      </c>
      <c r="Y2805" s="182" t="n">
        <v>0</v>
      </c>
      <c r="Z2805" s="182" t="n">
        <v>0</v>
      </c>
      <c r="AA2805" s="182" t="n">
        <v>0</v>
      </c>
      <c r="AB2805" s="182" t="n">
        <v>0</v>
      </c>
      <c r="AC2805" s="182" t="n">
        <v>0</v>
      </c>
      <c r="AD2805" s="182" t="n">
        <v>0</v>
      </c>
      <c r="AE2805" s="182" t="n">
        <v>0</v>
      </c>
      <c r="AF2805" s="182" t="n">
        <v>0</v>
      </c>
      <c r="AG2805" s="182" t="n">
        <v>0</v>
      </c>
      <c r="AH2805" s="182" t="n">
        <v>0</v>
      </c>
      <c r="AI2805" s="182" t="n">
        <v>0</v>
      </c>
      <c r="AJ2805" s="182" t="n">
        <v>0</v>
      </c>
      <c r="AK2805" s="182" t="n">
        <v>0</v>
      </c>
      <c r="AL2805" s="182" t="n">
        <v>0</v>
      </c>
      <c r="AM2805" s="182" t="n">
        <v>0</v>
      </c>
      <c r="AN2805" s="182" t="n">
        <v>0</v>
      </c>
    </row>
    <row r="2806">
      <c r="A2806" s="155" t="n">
        <v>46094</v>
      </c>
      <c r="B2806" s="156" t="inlineStr">
        <is>
          <t>NS</t>
        </is>
      </c>
      <c r="C2806" s="156" t="inlineStr">
        <is>
          <t>GD-013</t>
        </is>
      </c>
      <c r="D2806" s="156" t="inlineStr">
        <is>
          <t>STG 265C - 10</t>
        </is>
      </c>
      <c r="E2806" s="156" t="inlineStr">
        <is>
          <t>Grader</t>
        </is>
      </c>
      <c r="F2806" s="156" t="inlineStr">
        <is>
          <t>Road Maintenance</t>
        </is>
      </c>
      <c r="G2806" s="182" t="n">
        <v>3.58</v>
      </c>
      <c r="H2806" s="182" t="n">
        <v>0</v>
      </c>
      <c r="I2806" s="182" t="n">
        <v>8.42</v>
      </c>
      <c r="J2806" s="182" t="n">
        <v>8.42</v>
      </c>
      <c r="K2806" s="182" t="n">
        <v>0</v>
      </c>
      <c r="L2806" s="182" t="n">
        <v>12</v>
      </c>
      <c r="M2806" s="182" t="n">
        <v>0</v>
      </c>
      <c r="N2806" s="182" t="n">
        <v>0</v>
      </c>
      <c r="O2806" s="183" t="n">
        <v>0</v>
      </c>
      <c r="P2806" s="183" t="n">
        <v>0</v>
      </c>
      <c r="Q2806" s="184" t="n">
        <v>0</v>
      </c>
      <c r="R2806" s="184" t="n">
        <v>0</v>
      </c>
      <c r="S2806" s="183" t="n">
        <v>0</v>
      </c>
      <c r="T2806" s="183" t="n">
        <v>0</v>
      </c>
      <c r="U2806" s="182" t="n">
        <v>0</v>
      </c>
      <c r="V2806" s="182" t="n">
        <v>0</v>
      </c>
      <c r="W2806" s="182" t="n">
        <v>0</v>
      </c>
      <c r="X2806" s="182" t="n">
        <v>0</v>
      </c>
      <c r="Y2806" s="182" t="n">
        <v>0</v>
      </c>
      <c r="Z2806" s="182" t="n">
        <v>0</v>
      </c>
      <c r="AA2806" s="182" t="n">
        <v>0</v>
      </c>
      <c r="AB2806" s="182" t="n">
        <v>0</v>
      </c>
      <c r="AC2806" s="182" t="n">
        <v>0</v>
      </c>
      <c r="AD2806" s="182" t="n">
        <v>0</v>
      </c>
      <c r="AE2806" s="182" t="n">
        <v>0</v>
      </c>
      <c r="AF2806" s="182" t="n">
        <v>0</v>
      </c>
      <c r="AG2806" s="182" t="n">
        <v>0</v>
      </c>
      <c r="AH2806" s="182" t="n">
        <v>0</v>
      </c>
      <c r="AI2806" s="182" t="n">
        <v>0</v>
      </c>
      <c r="AJ2806" s="182" t="n">
        <v>0</v>
      </c>
      <c r="AK2806" s="182" t="n">
        <v>0</v>
      </c>
      <c r="AL2806" s="182" t="n">
        <v>0</v>
      </c>
      <c r="AM2806" s="182" t="n">
        <v>0</v>
      </c>
      <c r="AN2806" s="182" t="n">
        <v>0</v>
      </c>
    </row>
    <row r="2807">
      <c r="A2807" s="155" t="n">
        <v>46094</v>
      </c>
      <c r="B2807" s="156" t="inlineStr">
        <is>
          <t>NS</t>
        </is>
      </c>
      <c r="C2807" s="156" t="inlineStr">
        <is>
          <t>GD-014</t>
        </is>
      </c>
      <c r="D2807" s="156" t="inlineStr">
        <is>
          <t>STG 335C - 10</t>
        </is>
      </c>
      <c r="E2807" s="156" t="inlineStr">
        <is>
          <t>Grader</t>
        </is>
      </c>
      <c r="F2807" s="156" t="inlineStr">
        <is>
          <t>Road Maintenance</t>
        </is>
      </c>
      <c r="G2807" s="182" t="n">
        <v>6.09</v>
      </c>
      <c r="H2807" s="182" t="n">
        <v>0</v>
      </c>
      <c r="I2807" s="182" t="n">
        <v>0</v>
      </c>
      <c r="J2807" s="182" t="n">
        <v>0</v>
      </c>
      <c r="K2807" s="182" t="n">
        <v>5.91</v>
      </c>
      <c r="L2807" s="182" t="n">
        <v>12</v>
      </c>
      <c r="M2807" s="182" t="n">
        <v>0</v>
      </c>
      <c r="N2807" s="182" t="n">
        <v>0</v>
      </c>
      <c r="O2807" s="183" t="n">
        <v>0</v>
      </c>
      <c r="P2807" s="183" t="n">
        <v>0</v>
      </c>
      <c r="Q2807" s="184" t="n">
        <v>0</v>
      </c>
      <c r="R2807" s="184" t="n">
        <v>0</v>
      </c>
      <c r="S2807" s="183" t="n">
        <v>0</v>
      </c>
      <c r="T2807" s="183" t="n">
        <v>0</v>
      </c>
      <c r="U2807" s="182" t="n">
        <v>4.88</v>
      </c>
      <c r="V2807" s="182" t="n">
        <v>0</v>
      </c>
      <c r="W2807" s="182" t="n">
        <v>0</v>
      </c>
      <c r="X2807" s="182" t="n">
        <v>0.95</v>
      </c>
      <c r="Y2807" s="182" t="n">
        <v>0</v>
      </c>
      <c r="Z2807" s="182" t="n">
        <v>0</v>
      </c>
      <c r="AA2807" s="182" t="n">
        <v>0</v>
      </c>
      <c r="AB2807" s="182" t="n">
        <v>0</v>
      </c>
      <c r="AC2807" s="182" t="n">
        <v>0</v>
      </c>
      <c r="AD2807" s="182" t="n">
        <v>0</v>
      </c>
      <c r="AE2807" s="182" t="n">
        <v>0</v>
      </c>
      <c r="AF2807" s="182" t="n">
        <v>0</v>
      </c>
      <c r="AG2807" s="182" t="n">
        <v>0</v>
      </c>
      <c r="AH2807" s="182" t="n">
        <v>0</v>
      </c>
      <c r="AI2807" s="182" t="n">
        <v>0</v>
      </c>
      <c r="AJ2807" s="182" t="n">
        <v>0</v>
      </c>
      <c r="AK2807" s="182" t="n">
        <v>0</v>
      </c>
      <c r="AL2807" s="182" t="n">
        <v>0</v>
      </c>
      <c r="AM2807" s="182" t="n">
        <v>0.08</v>
      </c>
      <c r="AN2807" s="182" t="n">
        <v>0</v>
      </c>
    </row>
    <row r="2808">
      <c r="A2808" s="155" t="n">
        <v>46094</v>
      </c>
      <c r="B2808" s="156" t="inlineStr">
        <is>
          <t>NS</t>
        </is>
      </c>
      <c r="C2808" s="156" t="inlineStr">
        <is>
          <t>DT-809</t>
        </is>
      </c>
      <c r="D2808" s="156" t="inlineStr">
        <is>
          <t>SKT 80S</t>
        </is>
      </c>
      <c r="E2808" s="156" t="inlineStr">
        <is>
          <t>Hauler</t>
        </is>
      </c>
      <c r="F2808" s="156" t="inlineStr"/>
      <c r="G2808" s="182" t="n">
        <v>0</v>
      </c>
      <c r="H2808" s="182" t="n">
        <v>0</v>
      </c>
      <c r="I2808" s="182" t="n">
        <v>12</v>
      </c>
      <c r="J2808" s="182" t="n">
        <v>12</v>
      </c>
      <c r="K2808" s="182" t="n">
        <v>0</v>
      </c>
      <c r="L2808" s="182" t="n">
        <v>12</v>
      </c>
      <c r="M2808" s="182" t="n">
        <v>0</v>
      </c>
      <c r="N2808" s="182" t="n">
        <v>0</v>
      </c>
      <c r="O2808" s="183" t="n">
        <v>0</v>
      </c>
      <c r="P2808" s="183" t="n">
        <v>0</v>
      </c>
      <c r="Q2808" s="184" t="n">
        <v>0</v>
      </c>
      <c r="R2808" s="184" t="n">
        <v>0</v>
      </c>
      <c r="S2808" s="183" t="n">
        <v>0</v>
      </c>
      <c r="T2808" s="183" t="n">
        <v>0</v>
      </c>
      <c r="U2808" s="182" t="n">
        <v>0</v>
      </c>
      <c r="V2808" s="182" t="n">
        <v>0</v>
      </c>
      <c r="W2808" s="182" t="n">
        <v>0</v>
      </c>
      <c r="X2808" s="182" t="n">
        <v>0</v>
      </c>
      <c r="Y2808" s="182" t="n">
        <v>0</v>
      </c>
      <c r="Z2808" s="182" t="n">
        <v>0</v>
      </c>
      <c r="AA2808" s="182" t="n">
        <v>0</v>
      </c>
      <c r="AB2808" s="182" t="n">
        <v>0</v>
      </c>
      <c r="AC2808" s="182" t="n">
        <v>0</v>
      </c>
      <c r="AD2808" s="182" t="n">
        <v>0</v>
      </c>
      <c r="AE2808" s="182" t="n">
        <v>0</v>
      </c>
      <c r="AF2808" s="182" t="n">
        <v>0</v>
      </c>
      <c r="AG2808" s="182" t="n">
        <v>0</v>
      </c>
      <c r="AH2808" s="182" t="n">
        <v>0</v>
      </c>
      <c r="AI2808" s="182" t="n">
        <v>0</v>
      </c>
      <c r="AJ2808" s="182" t="n">
        <v>0</v>
      </c>
      <c r="AK2808" s="182" t="n">
        <v>0</v>
      </c>
      <c r="AL2808" s="182" t="n">
        <v>0</v>
      </c>
      <c r="AM2808" s="182" t="n">
        <v>0</v>
      </c>
      <c r="AN2808" s="182" t="n">
        <v>0</v>
      </c>
    </row>
    <row r="2809">
      <c r="A2809" s="155" t="n">
        <v>46094</v>
      </c>
      <c r="B2809" s="156" t="inlineStr">
        <is>
          <t>NS</t>
        </is>
      </c>
      <c r="C2809" s="156" t="inlineStr">
        <is>
          <t>DT-806</t>
        </is>
      </c>
      <c r="D2809" s="156" t="inlineStr">
        <is>
          <t>SKT 80S</t>
        </is>
      </c>
      <c r="E2809" s="156" t="inlineStr">
        <is>
          <t>Hauler</t>
        </is>
      </c>
      <c r="F2809" s="156" t="inlineStr"/>
      <c r="G2809" s="182" t="n">
        <v>0</v>
      </c>
      <c r="H2809" s="182" t="n">
        <v>0</v>
      </c>
      <c r="I2809" s="182" t="n">
        <v>12</v>
      </c>
      <c r="J2809" s="182" t="n">
        <v>12</v>
      </c>
      <c r="K2809" s="182" t="n">
        <v>0</v>
      </c>
      <c r="L2809" s="182" t="n">
        <v>12</v>
      </c>
      <c r="M2809" s="182" t="n">
        <v>0</v>
      </c>
      <c r="N2809" s="182" t="n">
        <v>0</v>
      </c>
      <c r="O2809" s="183" t="n">
        <v>0</v>
      </c>
      <c r="P2809" s="183" t="n">
        <v>0</v>
      </c>
      <c r="Q2809" s="184" t="n">
        <v>0</v>
      </c>
      <c r="R2809" s="184" t="n">
        <v>0</v>
      </c>
      <c r="S2809" s="183" t="n">
        <v>0</v>
      </c>
      <c r="T2809" s="183" t="n">
        <v>0</v>
      </c>
      <c r="U2809" s="182" t="n">
        <v>0</v>
      </c>
      <c r="V2809" s="182" t="n">
        <v>0</v>
      </c>
      <c r="W2809" s="182" t="n">
        <v>0</v>
      </c>
      <c r="X2809" s="182" t="n">
        <v>0</v>
      </c>
      <c r="Y2809" s="182" t="n">
        <v>0</v>
      </c>
      <c r="Z2809" s="182" t="n">
        <v>0</v>
      </c>
      <c r="AA2809" s="182" t="n">
        <v>0</v>
      </c>
      <c r="AB2809" s="182" t="n">
        <v>0</v>
      </c>
      <c r="AC2809" s="182" t="n">
        <v>0</v>
      </c>
      <c r="AD2809" s="182" t="n">
        <v>0</v>
      </c>
      <c r="AE2809" s="182" t="n">
        <v>0</v>
      </c>
      <c r="AF2809" s="182" t="n">
        <v>0</v>
      </c>
      <c r="AG2809" s="182" t="n">
        <v>0</v>
      </c>
      <c r="AH2809" s="182" t="n">
        <v>0</v>
      </c>
      <c r="AI2809" s="182" t="n">
        <v>0</v>
      </c>
      <c r="AJ2809" s="182" t="n">
        <v>0</v>
      </c>
      <c r="AK2809" s="182" t="n">
        <v>0</v>
      </c>
      <c r="AL2809" s="182" t="n">
        <v>0</v>
      </c>
      <c r="AM2809" s="182" t="n">
        <v>0</v>
      </c>
      <c r="AN2809" s="182" t="n">
        <v>0</v>
      </c>
    </row>
    <row r="2810">
      <c r="A2810" s="155" t="n">
        <v>46094</v>
      </c>
      <c r="B2810" s="156" t="inlineStr">
        <is>
          <t>NS</t>
        </is>
      </c>
      <c r="C2810" s="156" t="inlineStr">
        <is>
          <t>DT-805</t>
        </is>
      </c>
      <c r="D2810" s="156" t="inlineStr">
        <is>
          <t>SKT 80S</t>
        </is>
      </c>
      <c r="E2810" s="156" t="inlineStr">
        <is>
          <t>Hauler</t>
        </is>
      </c>
      <c r="F2810" s="156" t="inlineStr"/>
      <c r="G2810" s="182" t="n">
        <v>0</v>
      </c>
      <c r="H2810" s="182" t="n">
        <v>0</v>
      </c>
      <c r="I2810" s="182" t="n">
        <v>12</v>
      </c>
      <c r="J2810" s="182" t="n">
        <v>12</v>
      </c>
      <c r="K2810" s="182" t="n">
        <v>0</v>
      </c>
      <c r="L2810" s="182" t="n">
        <v>12</v>
      </c>
      <c r="M2810" s="182" t="n">
        <v>0</v>
      </c>
      <c r="N2810" s="182" t="n">
        <v>0</v>
      </c>
      <c r="O2810" s="183" t="n">
        <v>0</v>
      </c>
      <c r="P2810" s="183" t="n">
        <v>0</v>
      </c>
      <c r="Q2810" s="184" t="n">
        <v>0</v>
      </c>
      <c r="R2810" s="184" t="n">
        <v>0</v>
      </c>
      <c r="S2810" s="183" t="n">
        <v>0</v>
      </c>
      <c r="T2810" s="183" t="n">
        <v>0</v>
      </c>
      <c r="U2810" s="182" t="n">
        <v>0</v>
      </c>
      <c r="V2810" s="182" t="n">
        <v>0</v>
      </c>
      <c r="W2810" s="182" t="n">
        <v>0</v>
      </c>
      <c r="X2810" s="182" t="n">
        <v>0</v>
      </c>
      <c r="Y2810" s="182" t="n">
        <v>0</v>
      </c>
      <c r="Z2810" s="182" t="n">
        <v>0</v>
      </c>
      <c r="AA2810" s="182" t="n">
        <v>0</v>
      </c>
      <c r="AB2810" s="182" t="n">
        <v>0</v>
      </c>
      <c r="AC2810" s="182" t="n">
        <v>0</v>
      </c>
      <c r="AD2810" s="182" t="n">
        <v>0</v>
      </c>
      <c r="AE2810" s="182" t="n">
        <v>0</v>
      </c>
      <c r="AF2810" s="182" t="n">
        <v>0</v>
      </c>
      <c r="AG2810" s="182" t="n">
        <v>0</v>
      </c>
      <c r="AH2810" s="182" t="n">
        <v>0</v>
      </c>
      <c r="AI2810" s="182" t="n">
        <v>0</v>
      </c>
      <c r="AJ2810" s="182" t="n">
        <v>0</v>
      </c>
      <c r="AK2810" s="182" t="n">
        <v>0</v>
      </c>
      <c r="AL2810" s="182" t="n">
        <v>0</v>
      </c>
      <c r="AM2810" s="182" t="n">
        <v>0</v>
      </c>
      <c r="AN2810" s="182" t="n">
        <v>0</v>
      </c>
    </row>
    <row r="2811">
      <c r="A2811" s="155" t="n">
        <v>46094</v>
      </c>
      <c r="B2811" s="156" t="inlineStr">
        <is>
          <t>NS</t>
        </is>
      </c>
      <c r="C2811" s="156" t="inlineStr">
        <is>
          <t>DT-801</t>
        </is>
      </c>
      <c r="D2811" s="156" t="inlineStr">
        <is>
          <t>SKT 80S</t>
        </is>
      </c>
      <c r="E2811" s="156" t="inlineStr">
        <is>
          <t>Hauler</t>
        </is>
      </c>
      <c r="F2811" s="156" t="inlineStr"/>
      <c r="G2811" s="182" t="n">
        <v>0</v>
      </c>
      <c r="H2811" s="182" t="n">
        <v>0</v>
      </c>
      <c r="I2811" s="182" t="n">
        <v>12</v>
      </c>
      <c r="J2811" s="182" t="n">
        <v>12</v>
      </c>
      <c r="K2811" s="182" t="n">
        <v>0</v>
      </c>
      <c r="L2811" s="182" t="n">
        <v>12</v>
      </c>
      <c r="M2811" s="182" t="n">
        <v>0</v>
      </c>
      <c r="N2811" s="182" t="n">
        <v>0</v>
      </c>
      <c r="O2811" s="183" t="n">
        <v>0</v>
      </c>
      <c r="P2811" s="183" t="n">
        <v>0</v>
      </c>
      <c r="Q2811" s="184" t="n">
        <v>0</v>
      </c>
      <c r="R2811" s="184" t="n">
        <v>0</v>
      </c>
      <c r="S2811" s="183" t="n">
        <v>0</v>
      </c>
      <c r="T2811" s="183" t="n">
        <v>0</v>
      </c>
      <c r="U2811" s="182" t="n">
        <v>0</v>
      </c>
      <c r="V2811" s="182" t="n">
        <v>0</v>
      </c>
      <c r="W2811" s="182" t="n">
        <v>0</v>
      </c>
      <c r="X2811" s="182" t="n">
        <v>0</v>
      </c>
      <c r="Y2811" s="182" t="n">
        <v>0</v>
      </c>
      <c r="Z2811" s="182" t="n">
        <v>0</v>
      </c>
      <c r="AA2811" s="182" t="n">
        <v>0</v>
      </c>
      <c r="AB2811" s="182" t="n">
        <v>0</v>
      </c>
      <c r="AC2811" s="182" t="n">
        <v>0</v>
      </c>
      <c r="AD2811" s="182" t="n">
        <v>0</v>
      </c>
      <c r="AE2811" s="182" t="n">
        <v>0</v>
      </c>
      <c r="AF2811" s="182" t="n">
        <v>0</v>
      </c>
      <c r="AG2811" s="182" t="n">
        <v>0</v>
      </c>
      <c r="AH2811" s="182" t="n">
        <v>0</v>
      </c>
      <c r="AI2811" s="182" t="n">
        <v>0</v>
      </c>
      <c r="AJ2811" s="182" t="n">
        <v>0</v>
      </c>
      <c r="AK2811" s="182" t="n">
        <v>0</v>
      </c>
      <c r="AL2811" s="182" t="n">
        <v>0</v>
      </c>
      <c r="AM2811" s="182" t="n">
        <v>0</v>
      </c>
      <c r="AN2811" s="182" t="n">
        <v>0</v>
      </c>
    </row>
    <row r="2812">
      <c r="A2812" s="155" t="n">
        <v>46094</v>
      </c>
      <c r="B2812" s="156" t="inlineStr">
        <is>
          <t>NS</t>
        </is>
      </c>
      <c r="C2812" s="156" t="inlineStr">
        <is>
          <t>DT-808</t>
        </is>
      </c>
      <c r="D2812" s="156" t="inlineStr">
        <is>
          <t>SKT 80S</t>
        </is>
      </c>
      <c r="E2812" s="156" t="inlineStr">
        <is>
          <t>Hauler</t>
        </is>
      </c>
      <c r="F2812" s="156" t="inlineStr">
        <is>
          <t>Support Washing Plant</t>
        </is>
      </c>
      <c r="G2812" s="182" t="n">
        <v>2.31</v>
      </c>
      <c r="H2812" s="182" t="n">
        <v>0</v>
      </c>
      <c r="I2812" s="182" t="n">
        <v>0</v>
      </c>
      <c r="J2812" s="182" t="n">
        <v>0</v>
      </c>
      <c r="K2812" s="182" t="n">
        <v>9.69</v>
      </c>
      <c r="L2812" s="182" t="n">
        <v>12</v>
      </c>
      <c r="M2812" s="182" t="n">
        <v>0</v>
      </c>
      <c r="N2812" s="182" t="n">
        <v>0</v>
      </c>
      <c r="O2812" s="183" t="n">
        <v>0</v>
      </c>
      <c r="P2812" s="183" t="n">
        <v>0</v>
      </c>
      <c r="Q2812" s="184" t="n">
        <v>0</v>
      </c>
      <c r="R2812" s="184" t="n">
        <v>0</v>
      </c>
      <c r="S2812" s="183" t="n">
        <v>0</v>
      </c>
      <c r="T2812" s="183" t="n">
        <v>0</v>
      </c>
      <c r="U2812" s="182" t="n">
        <v>0</v>
      </c>
      <c r="V2812" s="182" t="n">
        <v>0</v>
      </c>
      <c r="W2812" s="182" t="n">
        <v>0</v>
      </c>
      <c r="X2812" s="182" t="n">
        <v>1.03</v>
      </c>
      <c r="Y2812" s="182" t="n">
        <v>0</v>
      </c>
      <c r="Z2812" s="182" t="n">
        <v>0</v>
      </c>
      <c r="AA2812" s="182" t="n">
        <v>0</v>
      </c>
      <c r="AB2812" s="182" t="n">
        <v>0</v>
      </c>
      <c r="AC2812" s="182" t="n">
        <v>0</v>
      </c>
      <c r="AD2812" s="182" t="n">
        <v>0</v>
      </c>
      <c r="AE2812" s="182" t="n">
        <v>0</v>
      </c>
      <c r="AF2812" s="182" t="n">
        <v>0</v>
      </c>
      <c r="AG2812" s="182" t="n">
        <v>0</v>
      </c>
      <c r="AH2812" s="182" t="n">
        <v>0</v>
      </c>
      <c r="AI2812" s="182" t="n">
        <v>0</v>
      </c>
      <c r="AJ2812" s="182" t="n">
        <v>0</v>
      </c>
      <c r="AK2812" s="182" t="n">
        <v>8.58</v>
      </c>
      <c r="AL2812" s="182" t="n">
        <v>0</v>
      </c>
      <c r="AM2812" s="182" t="n">
        <v>0.08</v>
      </c>
      <c r="AN2812" s="182" t="n">
        <v>0</v>
      </c>
    </row>
    <row r="2813">
      <c r="A2813" s="155" t="n">
        <v>46094</v>
      </c>
      <c r="B2813" s="156" t="inlineStr">
        <is>
          <t>NS</t>
        </is>
      </c>
      <c r="C2813" s="156" t="inlineStr">
        <is>
          <t>DT-811</t>
        </is>
      </c>
      <c r="D2813" s="156" t="inlineStr">
        <is>
          <t>SKT 80S</t>
        </is>
      </c>
      <c r="E2813" s="156" t="inlineStr">
        <is>
          <t>Hauler</t>
        </is>
      </c>
      <c r="F2813" s="156" t="inlineStr">
        <is>
          <t>Hauling Coal</t>
        </is>
      </c>
      <c r="G2813" s="182" t="n">
        <v>1.41</v>
      </c>
      <c r="H2813" s="182" t="n">
        <v>0</v>
      </c>
      <c r="I2813" s="182" t="n">
        <v>0</v>
      </c>
      <c r="J2813" s="182" t="n">
        <v>0</v>
      </c>
      <c r="K2813" s="182" t="n">
        <v>10.59</v>
      </c>
      <c r="L2813" s="182" t="n">
        <v>12</v>
      </c>
      <c r="M2813" s="182" t="n">
        <v>0</v>
      </c>
      <c r="N2813" s="182" t="n">
        <v>1.41</v>
      </c>
      <c r="O2813" s="183" t="n">
        <v>0</v>
      </c>
      <c r="P2813" s="183" t="n">
        <v>3</v>
      </c>
      <c r="Q2813" s="184" t="n">
        <v>0</v>
      </c>
      <c r="R2813" s="184" t="n">
        <v>45.9</v>
      </c>
      <c r="S2813" s="183" t="n">
        <v>0</v>
      </c>
      <c r="T2813" s="183" t="n">
        <v>0</v>
      </c>
      <c r="U2813" s="182" t="n">
        <v>6.33</v>
      </c>
      <c r="V2813" s="182" t="n">
        <v>0</v>
      </c>
      <c r="W2813" s="182" t="n">
        <v>0</v>
      </c>
      <c r="X2813" s="182" t="n">
        <v>0.99</v>
      </c>
      <c r="Y2813" s="182" t="n">
        <v>0</v>
      </c>
      <c r="Z2813" s="182" t="n">
        <v>0</v>
      </c>
      <c r="AA2813" s="182" t="n">
        <v>0</v>
      </c>
      <c r="AB2813" s="182" t="n">
        <v>0</v>
      </c>
      <c r="AC2813" s="182" t="n">
        <v>0</v>
      </c>
      <c r="AD2813" s="182" t="n">
        <v>0</v>
      </c>
      <c r="AE2813" s="182" t="n">
        <v>0</v>
      </c>
      <c r="AF2813" s="182" t="n">
        <v>0</v>
      </c>
      <c r="AG2813" s="182" t="n">
        <v>0</v>
      </c>
      <c r="AH2813" s="182" t="n">
        <v>0</v>
      </c>
      <c r="AI2813" s="182" t="n">
        <v>0</v>
      </c>
      <c r="AJ2813" s="182" t="n">
        <v>0</v>
      </c>
      <c r="AK2813" s="182" t="n">
        <v>3.19</v>
      </c>
      <c r="AL2813" s="182" t="n">
        <v>0</v>
      </c>
      <c r="AM2813" s="182" t="n">
        <v>0.08</v>
      </c>
      <c r="AN2813" s="182" t="n">
        <v>0</v>
      </c>
    </row>
    <row r="2814">
      <c r="A2814" s="155" t="n">
        <v>46094</v>
      </c>
      <c r="B2814" s="156" t="inlineStr">
        <is>
          <t>NS</t>
        </is>
      </c>
      <c r="C2814" s="156" t="inlineStr">
        <is>
          <t>DT-802</t>
        </is>
      </c>
      <c r="D2814" s="156" t="inlineStr">
        <is>
          <t>SKT 80S</t>
        </is>
      </c>
      <c r="E2814" s="156" t="inlineStr">
        <is>
          <t>Hauler</t>
        </is>
      </c>
      <c r="F2814" s="156" t="inlineStr"/>
      <c r="G2814" s="182" t="n">
        <v>0</v>
      </c>
      <c r="H2814" s="182" t="n">
        <v>0</v>
      </c>
      <c r="I2814" s="182" t="n">
        <v>0</v>
      </c>
      <c r="J2814" s="182" t="n">
        <v>0</v>
      </c>
      <c r="K2814" s="182" t="n">
        <v>12</v>
      </c>
      <c r="L2814" s="182" t="n">
        <v>12</v>
      </c>
      <c r="M2814" s="182" t="n">
        <v>0</v>
      </c>
      <c r="N2814" s="182" t="n">
        <v>0</v>
      </c>
      <c r="O2814" s="183" t="n">
        <v>0</v>
      </c>
      <c r="P2814" s="183" t="n">
        <v>0</v>
      </c>
      <c r="Q2814" s="184" t="n">
        <v>0</v>
      </c>
      <c r="R2814" s="184" t="n">
        <v>0</v>
      </c>
      <c r="S2814" s="183" t="n">
        <v>0</v>
      </c>
      <c r="T2814" s="183" t="n">
        <v>0</v>
      </c>
      <c r="U2814" s="182" t="n">
        <v>0</v>
      </c>
      <c r="V2814" s="182" t="n">
        <v>0</v>
      </c>
      <c r="W2814" s="182" t="n">
        <v>0</v>
      </c>
      <c r="X2814" s="182" t="n">
        <v>1</v>
      </c>
      <c r="Y2814" s="182" t="n">
        <v>0</v>
      </c>
      <c r="Z2814" s="182" t="n">
        <v>0</v>
      </c>
      <c r="AA2814" s="182" t="n">
        <v>0</v>
      </c>
      <c r="AB2814" s="182" t="n">
        <v>0</v>
      </c>
      <c r="AC2814" s="182" t="n">
        <v>0</v>
      </c>
      <c r="AD2814" s="182" t="n">
        <v>0</v>
      </c>
      <c r="AE2814" s="182" t="n">
        <v>0</v>
      </c>
      <c r="AF2814" s="182" t="n">
        <v>0</v>
      </c>
      <c r="AG2814" s="182" t="n">
        <v>0</v>
      </c>
      <c r="AH2814" s="182" t="n">
        <v>0</v>
      </c>
      <c r="AI2814" s="182" t="n">
        <v>0</v>
      </c>
      <c r="AJ2814" s="182" t="n">
        <v>0</v>
      </c>
      <c r="AK2814" s="182" t="n">
        <v>10.92</v>
      </c>
      <c r="AL2814" s="182" t="n">
        <v>0</v>
      </c>
      <c r="AM2814" s="182" t="n">
        <v>0.08</v>
      </c>
      <c r="AN2814" s="182" t="n">
        <v>0</v>
      </c>
    </row>
    <row r="2815">
      <c r="A2815" s="155" t="n">
        <v>46094</v>
      </c>
      <c r="B2815" s="156" t="inlineStr">
        <is>
          <t>NS</t>
        </is>
      </c>
      <c r="C2815" s="156" t="inlineStr">
        <is>
          <t>DT-807</t>
        </is>
      </c>
      <c r="D2815" s="156" t="inlineStr">
        <is>
          <t>SKT 80S</t>
        </is>
      </c>
      <c r="E2815" s="156" t="inlineStr">
        <is>
          <t>Hauler</t>
        </is>
      </c>
      <c r="F2815" s="156" t="inlineStr"/>
      <c r="G2815" s="182" t="n">
        <v>0</v>
      </c>
      <c r="H2815" s="182" t="n">
        <v>0</v>
      </c>
      <c r="I2815" s="182" t="n">
        <v>12</v>
      </c>
      <c r="J2815" s="182" t="n">
        <v>12</v>
      </c>
      <c r="K2815" s="182" t="n">
        <v>0</v>
      </c>
      <c r="L2815" s="182" t="n">
        <v>12</v>
      </c>
      <c r="M2815" s="182" t="n">
        <v>0</v>
      </c>
      <c r="N2815" s="182" t="n">
        <v>0</v>
      </c>
      <c r="O2815" s="183" t="n">
        <v>0</v>
      </c>
      <c r="P2815" s="183" t="n">
        <v>0</v>
      </c>
      <c r="Q2815" s="184" t="n">
        <v>0</v>
      </c>
      <c r="R2815" s="184" t="n">
        <v>0</v>
      </c>
      <c r="S2815" s="183" t="n">
        <v>0</v>
      </c>
      <c r="T2815" s="183" t="n">
        <v>0</v>
      </c>
      <c r="U2815" s="182" t="n">
        <v>0</v>
      </c>
      <c r="V2815" s="182" t="n">
        <v>0</v>
      </c>
      <c r="W2815" s="182" t="n">
        <v>0</v>
      </c>
      <c r="X2815" s="182" t="n">
        <v>0</v>
      </c>
      <c r="Y2815" s="182" t="n">
        <v>0</v>
      </c>
      <c r="Z2815" s="182" t="n">
        <v>0</v>
      </c>
      <c r="AA2815" s="182" t="n">
        <v>0</v>
      </c>
      <c r="AB2815" s="182" t="n">
        <v>0</v>
      </c>
      <c r="AC2815" s="182" t="n">
        <v>0</v>
      </c>
      <c r="AD2815" s="182" t="n">
        <v>0</v>
      </c>
      <c r="AE2815" s="182" t="n">
        <v>0</v>
      </c>
      <c r="AF2815" s="182" t="n">
        <v>0</v>
      </c>
      <c r="AG2815" s="182" t="n">
        <v>0</v>
      </c>
      <c r="AH2815" s="182" t="n">
        <v>0</v>
      </c>
      <c r="AI2815" s="182" t="n">
        <v>0</v>
      </c>
      <c r="AJ2815" s="182" t="n">
        <v>0</v>
      </c>
      <c r="AK2815" s="182" t="n">
        <v>0</v>
      </c>
      <c r="AL2815" s="182" t="n">
        <v>0</v>
      </c>
      <c r="AM2815" s="182" t="n">
        <v>0</v>
      </c>
      <c r="AN2815" s="182" t="n">
        <v>0</v>
      </c>
    </row>
    <row r="2816">
      <c r="A2816" s="155" t="n">
        <v>46094</v>
      </c>
      <c r="B2816" s="156" t="inlineStr">
        <is>
          <t>NS</t>
        </is>
      </c>
      <c r="C2816" s="156" t="inlineStr">
        <is>
          <t>DT-812</t>
        </is>
      </c>
      <c r="D2816" s="156" t="inlineStr">
        <is>
          <t>SKT 80S</t>
        </is>
      </c>
      <c r="E2816" s="156" t="inlineStr">
        <is>
          <t>Hauler</t>
        </is>
      </c>
      <c r="F2816" s="156" t="inlineStr"/>
      <c r="G2816" s="182" t="n">
        <v>0</v>
      </c>
      <c r="H2816" s="182" t="n">
        <v>0</v>
      </c>
      <c r="I2816" s="182" t="n">
        <v>0</v>
      </c>
      <c r="J2816" s="182" t="n">
        <v>0</v>
      </c>
      <c r="K2816" s="182" t="n">
        <v>12</v>
      </c>
      <c r="L2816" s="182" t="n">
        <v>12</v>
      </c>
      <c r="M2816" s="182" t="n">
        <v>0</v>
      </c>
      <c r="N2816" s="182" t="n">
        <v>0</v>
      </c>
      <c r="O2816" s="183" t="n">
        <v>0</v>
      </c>
      <c r="P2816" s="183" t="n">
        <v>0</v>
      </c>
      <c r="Q2816" s="184" t="n">
        <v>0</v>
      </c>
      <c r="R2816" s="184" t="n">
        <v>0</v>
      </c>
      <c r="S2816" s="183" t="n">
        <v>0</v>
      </c>
      <c r="T2816" s="183" t="n">
        <v>0</v>
      </c>
      <c r="U2816" s="182" t="n">
        <v>0</v>
      </c>
      <c r="V2816" s="182" t="n">
        <v>0</v>
      </c>
      <c r="W2816" s="182" t="n">
        <v>0</v>
      </c>
      <c r="X2816" s="182" t="n">
        <v>1</v>
      </c>
      <c r="Y2816" s="182" t="n">
        <v>0</v>
      </c>
      <c r="Z2816" s="182" t="n">
        <v>0</v>
      </c>
      <c r="AA2816" s="182" t="n">
        <v>0</v>
      </c>
      <c r="AB2816" s="182" t="n">
        <v>0</v>
      </c>
      <c r="AC2816" s="182" t="n">
        <v>0</v>
      </c>
      <c r="AD2816" s="182" t="n">
        <v>0</v>
      </c>
      <c r="AE2816" s="182" t="n">
        <v>0</v>
      </c>
      <c r="AF2816" s="182" t="n">
        <v>0</v>
      </c>
      <c r="AG2816" s="182" t="n">
        <v>0</v>
      </c>
      <c r="AH2816" s="182" t="n">
        <v>0</v>
      </c>
      <c r="AI2816" s="182" t="n">
        <v>0</v>
      </c>
      <c r="AJ2816" s="182" t="n">
        <v>0</v>
      </c>
      <c r="AK2816" s="182" t="n">
        <v>10.92</v>
      </c>
      <c r="AL2816" s="182" t="n">
        <v>0</v>
      </c>
      <c r="AM2816" s="182" t="n">
        <v>0.08</v>
      </c>
      <c r="AN2816" s="182" t="n">
        <v>0</v>
      </c>
    </row>
    <row r="2817">
      <c r="A2817" s="155" t="n">
        <v>46094</v>
      </c>
      <c r="B2817" s="156" t="inlineStr">
        <is>
          <t>NS</t>
        </is>
      </c>
      <c r="C2817" s="156" t="inlineStr">
        <is>
          <t>DT-803</t>
        </is>
      </c>
      <c r="D2817" s="156" t="inlineStr">
        <is>
          <t>SKT 80S</t>
        </is>
      </c>
      <c r="E2817" s="156" t="inlineStr">
        <is>
          <t>Hauler</t>
        </is>
      </c>
      <c r="F2817" s="156" t="inlineStr"/>
      <c r="G2817" s="182" t="n">
        <v>0</v>
      </c>
      <c r="H2817" s="182" t="n">
        <v>0</v>
      </c>
      <c r="I2817" s="182" t="n">
        <v>0</v>
      </c>
      <c r="J2817" s="182" t="n">
        <v>0</v>
      </c>
      <c r="K2817" s="182" t="n">
        <v>12</v>
      </c>
      <c r="L2817" s="182" t="n">
        <v>12</v>
      </c>
      <c r="M2817" s="182" t="n">
        <v>0</v>
      </c>
      <c r="N2817" s="182" t="n">
        <v>0</v>
      </c>
      <c r="O2817" s="183" t="n">
        <v>0</v>
      </c>
      <c r="P2817" s="183" t="n">
        <v>0</v>
      </c>
      <c r="Q2817" s="184" t="n">
        <v>0</v>
      </c>
      <c r="R2817" s="184" t="n">
        <v>0</v>
      </c>
      <c r="S2817" s="183" t="n">
        <v>0</v>
      </c>
      <c r="T2817" s="183" t="n">
        <v>0</v>
      </c>
      <c r="U2817" s="182" t="n">
        <v>0</v>
      </c>
      <c r="V2817" s="182" t="n">
        <v>0</v>
      </c>
      <c r="W2817" s="182" t="n">
        <v>0</v>
      </c>
      <c r="X2817" s="182" t="n">
        <v>1</v>
      </c>
      <c r="Y2817" s="182" t="n">
        <v>0</v>
      </c>
      <c r="Z2817" s="182" t="n">
        <v>0</v>
      </c>
      <c r="AA2817" s="182" t="n">
        <v>0</v>
      </c>
      <c r="AB2817" s="182" t="n">
        <v>0</v>
      </c>
      <c r="AC2817" s="182" t="n">
        <v>0</v>
      </c>
      <c r="AD2817" s="182" t="n">
        <v>0</v>
      </c>
      <c r="AE2817" s="182" t="n">
        <v>0</v>
      </c>
      <c r="AF2817" s="182" t="n">
        <v>0</v>
      </c>
      <c r="AG2817" s="182" t="n">
        <v>0</v>
      </c>
      <c r="AH2817" s="182" t="n">
        <v>0</v>
      </c>
      <c r="AI2817" s="182" t="n">
        <v>0</v>
      </c>
      <c r="AJ2817" s="182" t="n">
        <v>0</v>
      </c>
      <c r="AK2817" s="182" t="n">
        <v>10.92</v>
      </c>
      <c r="AL2817" s="182" t="n">
        <v>0</v>
      </c>
      <c r="AM2817" s="182" t="n">
        <v>0.08</v>
      </c>
      <c r="AN2817" s="182" t="n">
        <v>0</v>
      </c>
    </row>
    <row r="2818">
      <c r="A2818" s="155" t="n">
        <v>46094</v>
      </c>
      <c r="B2818" s="156" t="inlineStr">
        <is>
          <t>NS</t>
        </is>
      </c>
      <c r="C2818" s="156" t="inlineStr">
        <is>
          <t>DT-810</t>
        </is>
      </c>
      <c r="D2818" s="156" t="inlineStr">
        <is>
          <t>SKT 80S</t>
        </is>
      </c>
      <c r="E2818" s="156" t="inlineStr">
        <is>
          <t>Hauler</t>
        </is>
      </c>
      <c r="F2818" s="156" t="inlineStr">
        <is>
          <t>Hauling Coal</t>
        </is>
      </c>
      <c r="G2818" s="182" t="n">
        <v>1.55</v>
      </c>
      <c r="H2818" s="182" t="n">
        <v>0</v>
      </c>
      <c r="I2818" s="182" t="n">
        <v>0</v>
      </c>
      <c r="J2818" s="182" t="n">
        <v>0</v>
      </c>
      <c r="K2818" s="182" t="n">
        <v>10.45</v>
      </c>
      <c r="L2818" s="182" t="n">
        <v>12</v>
      </c>
      <c r="M2818" s="182" t="n">
        <v>0</v>
      </c>
      <c r="N2818" s="182" t="n">
        <v>1.55</v>
      </c>
      <c r="O2818" s="183" t="n">
        <v>0</v>
      </c>
      <c r="P2818" s="183" t="n">
        <v>4</v>
      </c>
      <c r="Q2818" s="184" t="n">
        <v>0</v>
      </c>
      <c r="R2818" s="184" t="n">
        <v>61.2</v>
      </c>
      <c r="S2818" s="183" t="n">
        <v>0</v>
      </c>
      <c r="T2818" s="183" t="n">
        <v>0</v>
      </c>
      <c r="U2818" s="182" t="n">
        <v>6.37</v>
      </c>
      <c r="V2818" s="182" t="n">
        <v>0</v>
      </c>
      <c r="W2818" s="182" t="n">
        <v>0</v>
      </c>
      <c r="X2818" s="182" t="n">
        <v>1</v>
      </c>
      <c r="Y2818" s="182" t="n">
        <v>0</v>
      </c>
      <c r="Z2818" s="182" t="n">
        <v>0</v>
      </c>
      <c r="AA2818" s="182" t="n">
        <v>0</v>
      </c>
      <c r="AB2818" s="182" t="n">
        <v>0</v>
      </c>
      <c r="AC2818" s="182" t="n">
        <v>0</v>
      </c>
      <c r="AD2818" s="182" t="n">
        <v>0</v>
      </c>
      <c r="AE2818" s="182" t="n">
        <v>0</v>
      </c>
      <c r="AF2818" s="182" t="n">
        <v>0</v>
      </c>
      <c r="AG2818" s="182" t="n">
        <v>0</v>
      </c>
      <c r="AH2818" s="182" t="n">
        <v>0</v>
      </c>
      <c r="AI2818" s="182" t="n">
        <v>0</v>
      </c>
      <c r="AJ2818" s="182" t="n">
        <v>0</v>
      </c>
      <c r="AK2818" s="182" t="n">
        <v>3.01</v>
      </c>
      <c r="AL2818" s="182" t="n">
        <v>0</v>
      </c>
      <c r="AM2818" s="182" t="n">
        <v>0.08</v>
      </c>
      <c r="AN2818" s="182" t="n">
        <v>0</v>
      </c>
    </row>
    <row r="2819">
      <c r="A2819" s="155" t="n">
        <v>46094</v>
      </c>
      <c r="B2819" s="156" t="inlineStr">
        <is>
          <t>NS</t>
        </is>
      </c>
      <c r="C2819" s="156" t="inlineStr">
        <is>
          <t>DT-804</t>
        </is>
      </c>
      <c r="D2819" s="156" t="inlineStr">
        <is>
          <t>SKT 80S</t>
        </is>
      </c>
      <c r="E2819" s="156" t="inlineStr">
        <is>
          <t>Hauler</t>
        </is>
      </c>
      <c r="F2819" s="156" t="inlineStr">
        <is>
          <t>Support Washing Plant</t>
        </is>
      </c>
      <c r="G2819" s="182" t="n">
        <v>3.21</v>
      </c>
      <c r="H2819" s="182" t="n">
        <v>0</v>
      </c>
      <c r="I2819" s="182" t="n">
        <v>0</v>
      </c>
      <c r="J2819" s="182" t="n">
        <v>0</v>
      </c>
      <c r="K2819" s="182" t="n">
        <v>8.789999999999999</v>
      </c>
      <c r="L2819" s="182" t="n">
        <v>12</v>
      </c>
      <c r="M2819" s="182" t="n">
        <v>0</v>
      </c>
      <c r="N2819" s="182" t="n">
        <v>0</v>
      </c>
      <c r="O2819" s="183" t="n">
        <v>0</v>
      </c>
      <c r="P2819" s="183" t="n">
        <v>0</v>
      </c>
      <c r="Q2819" s="184" t="n">
        <v>0</v>
      </c>
      <c r="R2819" s="184" t="n">
        <v>0</v>
      </c>
      <c r="S2819" s="183" t="n">
        <v>5</v>
      </c>
      <c r="T2819" s="183" t="n">
        <v>0</v>
      </c>
      <c r="U2819" s="182" t="n">
        <v>7.39</v>
      </c>
      <c r="V2819" s="182" t="n">
        <v>0</v>
      </c>
      <c r="W2819" s="182" t="n">
        <v>0</v>
      </c>
      <c r="X2819" s="182" t="n">
        <v>1</v>
      </c>
      <c r="Y2819" s="182" t="n">
        <v>0</v>
      </c>
      <c r="Z2819" s="182" t="n">
        <v>0</v>
      </c>
      <c r="AA2819" s="182" t="n">
        <v>0</v>
      </c>
      <c r="AB2819" s="182" t="n">
        <v>0</v>
      </c>
      <c r="AC2819" s="182" t="n">
        <v>0</v>
      </c>
      <c r="AD2819" s="182" t="n">
        <v>0</v>
      </c>
      <c r="AE2819" s="182" t="n">
        <v>0</v>
      </c>
      <c r="AF2819" s="182" t="n">
        <v>0</v>
      </c>
      <c r="AG2819" s="182" t="n">
        <v>0</v>
      </c>
      <c r="AH2819" s="182" t="n">
        <v>0.32</v>
      </c>
      <c r="AI2819" s="182" t="n">
        <v>0</v>
      </c>
      <c r="AJ2819" s="182" t="n">
        <v>0</v>
      </c>
      <c r="AK2819" s="182" t="n">
        <v>0</v>
      </c>
      <c r="AL2819" s="182" t="n">
        <v>0</v>
      </c>
      <c r="AM2819" s="182" t="n">
        <v>0.08</v>
      </c>
      <c r="AN2819" s="182" t="n">
        <v>0</v>
      </c>
    </row>
    <row r="2820">
      <c r="A2820" s="155" t="n">
        <v>46094</v>
      </c>
      <c r="B2820" s="156" t="inlineStr">
        <is>
          <t>NS</t>
        </is>
      </c>
      <c r="C2820" s="156" t="inlineStr">
        <is>
          <t>DT-505</t>
        </is>
      </c>
      <c r="D2820" s="156" t="inlineStr">
        <is>
          <t>SKT 105S</t>
        </is>
      </c>
      <c r="E2820" s="156" t="inlineStr">
        <is>
          <t>Hauler</t>
        </is>
      </c>
      <c r="F2820" s="156" t="inlineStr">
        <is>
          <t>Hauling OB</t>
        </is>
      </c>
      <c r="G2820" s="182" t="n">
        <v>2.93</v>
      </c>
      <c r="H2820" s="182" t="n">
        <v>0</v>
      </c>
      <c r="I2820" s="182" t="n">
        <v>0</v>
      </c>
      <c r="J2820" s="182" t="n">
        <v>0</v>
      </c>
      <c r="K2820" s="182" t="n">
        <v>9.07</v>
      </c>
      <c r="L2820" s="182" t="n">
        <v>12</v>
      </c>
      <c r="M2820" s="182" t="n">
        <v>2.93</v>
      </c>
      <c r="N2820" s="182" t="n">
        <v>0</v>
      </c>
      <c r="O2820" s="183" t="n">
        <v>5</v>
      </c>
      <c r="P2820" s="183" t="n">
        <v>0</v>
      </c>
      <c r="Q2820" s="184" t="n">
        <v>102</v>
      </c>
      <c r="R2820" s="184" t="n">
        <v>0</v>
      </c>
      <c r="S2820" s="183" t="n">
        <v>0</v>
      </c>
      <c r="T2820" s="183" t="n">
        <v>0</v>
      </c>
      <c r="U2820" s="182" t="n">
        <v>6.33</v>
      </c>
      <c r="V2820" s="182" t="n">
        <v>0</v>
      </c>
      <c r="W2820" s="182" t="n">
        <v>0</v>
      </c>
      <c r="X2820" s="182" t="n">
        <v>0</v>
      </c>
      <c r="Y2820" s="182" t="n">
        <v>0</v>
      </c>
      <c r="Z2820" s="182" t="n">
        <v>0</v>
      </c>
      <c r="AA2820" s="182" t="n">
        <v>0</v>
      </c>
      <c r="AB2820" s="182" t="n">
        <v>0</v>
      </c>
      <c r="AC2820" s="182" t="n">
        <v>0</v>
      </c>
      <c r="AD2820" s="182" t="n">
        <v>2.66</v>
      </c>
      <c r="AE2820" s="182" t="n">
        <v>0</v>
      </c>
      <c r="AF2820" s="182" t="n">
        <v>0</v>
      </c>
      <c r="AG2820" s="182" t="n">
        <v>0</v>
      </c>
      <c r="AH2820" s="182" t="n">
        <v>0</v>
      </c>
      <c r="AI2820" s="182" t="n">
        <v>0</v>
      </c>
      <c r="AJ2820" s="182" t="n">
        <v>0</v>
      </c>
      <c r="AK2820" s="182" t="n">
        <v>0</v>
      </c>
      <c r="AL2820" s="182" t="n">
        <v>0</v>
      </c>
      <c r="AM2820" s="182" t="n">
        <v>0.08</v>
      </c>
      <c r="AN2820" s="182" t="n">
        <v>0</v>
      </c>
    </row>
    <row r="2821">
      <c r="A2821" s="155" t="n">
        <v>46094</v>
      </c>
      <c r="B2821" s="156" t="inlineStr">
        <is>
          <t>NS</t>
        </is>
      </c>
      <c r="C2821" s="156" t="inlineStr">
        <is>
          <t>DT-530</t>
        </is>
      </c>
      <c r="D2821" s="156" t="inlineStr">
        <is>
          <t>SKT 105S</t>
        </is>
      </c>
      <c r="E2821" s="156" t="inlineStr">
        <is>
          <t>Hauler</t>
        </is>
      </c>
      <c r="F2821" s="156" t="inlineStr"/>
      <c r="G2821" s="182" t="n">
        <v>0</v>
      </c>
      <c r="H2821" s="182" t="n">
        <v>0</v>
      </c>
      <c r="I2821" s="182" t="n">
        <v>12</v>
      </c>
      <c r="J2821" s="182" t="n">
        <v>12</v>
      </c>
      <c r="K2821" s="182" t="n">
        <v>0</v>
      </c>
      <c r="L2821" s="182" t="n">
        <v>12</v>
      </c>
      <c r="M2821" s="182" t="n">
        <v>0</v>
      </c>
      <c r="N2821" s="182" t="n">
        <v>0</v>
      </c>
      <c r="O2821" s="183" t="n">
        <v>0</v>
      </c>
      <c r="P2821" s="183" t="n">
        <v>0</v>
      </c>
      <c r="Q2821" s="184" t="n">
        <v>0</v>
      </c>
      <c r="R2821" s="184" t="n">
        <v>0</v>
      </c>
      <c r="S2821" s="183" t="n">
        <v>0</v>
      </c>
      <c r="T2821" s="183" t="n">
        <v>0</v>
      </c>
      <c r="U2821" s="182" t="n">
        <v>0</v>
      </c>
      <c r="V2821" s="182" t="n">
        <v>0</v>
      </c>
      <c r="W2821" s="182" t="n">
        <v>0</v>
      </c>
      <c r="X2821" s="182" t="n">
        <v>0</v>
      </c>
      <c r="Y2821" s="182" t="n">
        <v>0</v>
      </c>
      <c r="Z2821" s="182" t="n">
        <v>0</v>
      </c>
      <c r="AA2821" s="182" t="n">
        <v>0</v>
      </c>
      <c r="AB2821" s="182" t="n">
        <v>0</v>
      </c>
      <c r="AC2821" s="182" t="n">
        <v>0</v>
      </c>
      <c r="AD2821" s="182" t="n">
        <v>0</v>
      </c>
      <c r="AE2821" s="182" t="n">
        <v>0</v>
      </c>
      <c r="AF2821" s="182" t="n">
        <v>0</v>
      </c>
      <c r="AG2821" s="182" t="n">
        <v>0</v>
      </c>
      <c r="AH2821" s="182" t="n">
        <v>0</v>
      </c>
      <c r="AI2821" s="182" t="n">
        <v>0</v>
      </c>
      <c r="AJ2821" s="182" t="n">
        <v>0</v>
      </c>
      <c r="AK2821" s="182" t="n">
        <v>0</v>
      </c>
      <c r="AL2821" s="182" t="n">
        <v>0</v>
      </c>
      <c r="AM2821" s="182" t="n">
        <v>0</v>
      </c>
      <c r="AN2821" s="182" t="n">
        <v>0</v>
      </c>
    </row>
    <row r="2822">
      <c r="A2822" s="155" t="n">
        <v>46094</v>
      </c>
      <c r="B2822" s="156" t="inlineStr">
        <is>
          <t>NS</t>
        </is>
      </c>
      <c r="C2822" s="156" t="inlineStr">
        <is>
          <t>DT-525</t>
        </is>
      </c>
      <c r="D2822" s="156" t="inlineStr">
        <is>
          <t>SKT 105S</t>
        </is>
      </c>
      <c r="E2822" s="156" t="inlineStr">
        <is>
          <t>Hauler</t>
        </is>
      </c>
      <c r="F2822" s="156" t="inlineStr"/>
      <c r="G2822" s="182" t="n">
        <v>0</v>
      </c>
      <c r="H2822" s="182" t="n">
        <v>0</v>
      </c>
      <c r="I2822" s="182" t="n">
        <v>12</v>
      </c>
      <c r="J2822" s="182" t="n">
        <v>12</v>
      </c>
      <c r="K2822" s="182" t="n">
        <v>0</v>
      </c>
      <c r="L2822" s="182" t="n">
        <v>12</v>
      </c>
      <c r="M2822" s="182" t="n">
        <v>0</v>
      </c>
      <c r="N2822" s="182" t="n">
        <v>0</v>
      </c>
      <c r="O2822" s="183" t="n">
        <v>0</v>
      </c>
      <c r="P2822" s="183" t="n">
        <v>0</v>
      </c>
      <c r="Q2822" s="184" t="n">
        <v>0</v>
      </c>
      <c r="R2822" s="184" t="n">
        <v>0</v>
      </c>
      <c r="S2822" s="183" t="n">
        <v>0</v>
      </c>
      <c r="T2822" s="183" t="n">
        <v>0</v>
      </c>
      <c r="U2822" s="182" t="n">
        <v>0</v>
      </c>
      <c r="V2822" s="182" t="n">
        <v>0</v>
      </c>
      <c r="W2822" s="182" t="n">
        <v>0</v>
      </c>
      <c r="X2822" s="182" t="n">
        <v>0</v>
      </c>
      <c r="Y2822" s="182" t="n">
        <v>0</v>
      </c>
      <c r="Z2822" s="182" t="n">
        <v>0</v>
      </c>
      <c r="AA2822" s="182" t="n">
        <v>0</v>
      </c>
      <c r="AB2822" s="182" t="n">
        <v>0</v>
      </c>
      <c r="AC2822" s="182" t="n">
        <v>0</v>
      </c>
      <c r="AD2822" s="182" t="n">
        <v>0</v>
      </c>
      <c r="AE2822" s="182" t="n">
        <v>0</v>
      </c>
      <c r="AF2822" s="182" t="n">
        <v>0</v>
      </c>
      <c r="AG2822" s="182" t="n">
        <v>0</v>
      </c>
      <c r="AH2822" s="182" t="n">
        <v>0</v>
      </c>
      <c r="AI2822" s="182" t="n">
        <v>0</v>
      </c>
      <c r="AJ2822" s="182" t="n">
        <v>0</v>
      </c>
      <c r="AK2822" s="182" t="n">
        <v>0</v>
      </c>
      <c r="AL2822" s="182" t="n">
        <v>0</v>
      </c>
      <c r="AM2822" s="182" t="n">
        <v>0</v>
      </c>
      <c r="AN2822" s="182" t="n">
        <v>0</v>
      </c>
    </row>
    <row r="2823">
      <c r="A2823" s="155" t="n">
        <v>46094</v>
      </c>
      <c r="B2823" s="156" t="inlineStr">
        <is>
          <t>NS</t>
        </is>
      </c>
      <c r="C2823" s="156" t="inlineStr">
        <is>
          <t>DT-503</t>
        </is>
      </c>
      <c r="D2823" s="156" t="inlineStr">
        <is>
          <t>SKT 105S</t>
        </is>
      </c>
      <c r="E2823" s="156" t="inlineStr">
        <is>
          <t>Hauler</t>
        </is>
      </c>
      <c r="F2823" s="156" t="inlineStr">
        <is>
          <t>Hauling OB</t>
        </is>
      </c>
      <c r="G2823" s="182" t="n">
        <v>4.35</v>
      </c>
      <c r="H2823" s="182" t="n">
        <v>0</v>
      </c>
      <c r="I2823" s="182" t="n">
        <v>0</v>
      </c>
      <c r="J2823" s="182" t="n">
        <v>0</v>
      </c>
      <c r="K2823" s="182" t="n">
        <v>7.65</v>
      </c>
      <c r="L2823" s="182" t="n">
        <v>12</v>
      </c>
      <c r="M2823" s="182" t="n">
        <v>4.35</v>
      </c>
      <c r="N2823" s="182" t="n">
        <v>0</v>
      </c>
      <c r="O2823" s="183" t="n">
        <v>11</v>
      </c>
      <c r="P2823" s="183" t="n">
        <v>0</v>
      </c>
      <c r="Q2823" s="184" t="n">
        <v>224.4</v>
      </c>
      <c r="R2823" s="184" t="n">
        <v>0</v>
      </c>
      <c r="S2823" s="183" t="n">
        <v>0</v>
      </c>
      <c r="T2823" s="183" t="n">
        <v>0</v>
      </c>
      <c r="U2823" s="182" t="n">
        <v>6.6</v>
      </c>
      <c r="V2823" s="182" t="n">
        <v>0</v>
      </c>
      <c r="W2823" s="182" t="n">
        <v>0</v>
      </c>
      <c r="X2823" s="182" t="n">
        <v>0</v>
      </c>
      <c r="Y2823" s="182" t="n">
        <v>0</v>
      </c>
      <c r="Z2823" s="182" t="n">
        <v>0</v>
      </c>
      <c r="AA2823" s="182" t="n">
        <v>0</v>
      </c>
      <c r="AB2823" s="182" t="n">
        <v>0</v>
      </c>
      <c r="AC2823" s="182" t="n">
        <v>0</v>
      </c>
      <c r="AD2823" s="182" t="n">
        <v>0.97</v>
      </c>
      <c r="AE2823" s="182" t="n">
        <v>0</v>
      </c>
      <c r="AF2823" s="182" t="n">
        <v>0</v>
      </c>
      <c r="AG2823" s="182" t="n">
        <v>0</v>
      </c>
      <c r="AH2823" s="182" t="n">
        <v>0</v>
      </c>
      <c r="AI2823" s="182" t="n">
        <v>0</v>
      </c>
      <c r="AJ2823" s="182" t="n">
        <v>0</v>
      </c>
      <c r="AK2823" s="182" t="n">
        <v>0</v>
      </c>
      <c r="AL2823" s="182" t="n">
        <v>0</v>
      </c>
      <c r="AM2823" s="182" t="n">
        <v>0.08</v>
      </c>
      <c r="AN2823" s="182" t="n">
        <v>0</v>
      </c>
    </row>
    <row r="2824">
      <c r="A2824" s="155" t="n">
        <v>46094</v>
      </c>
      <c r="B2824" s="156" t="inlineStr">
        <is>
          <t>NS</t>
        </is>
      </c>
      <c r="C2824" s="156" t="inlineStr">
        <is>
          <t>DT-504</t>
        </is>
      </c>
      <c r="D2824" s="156" t="inlineStr">
        <is>
          <t>SKT 105S</t>
        </is>
      </c>
      <c r="E2824" s="156" t="inlineStr">
        <is>
          <t>Hauler</t>
        </is>
      </c>
      <c r="F2824" s="156" t="inlineStr">
        <is>
          <t>Hauling Coal &amp; OB</t>
        </is>
      </c>
      <c r="G2824" s="182" t="n">
        <v>3.91</v>
      </c>
      <c r="H2824" s="182" t="n">
        <v>0</v>
      </c>
      <c r="I2824" s="182" t="n">
        <v>0</v>
      </c>
      <c r="J2824" s="182" t="n">
        <v>0</v>
      </c>
      <c r="K2824" s="182" t="n">
        <v>8.09</v>
      </c>
      <c r="L2824" s="182" t="n">
        <v>12</v>
      </c>
      <c r="M2824" s="182" t="n">
        <v>0.49</v>
      </c>
      <c r="N2824" s="182" t="n">
        <v>3.42</v>
      </c>
      <c r="O2824" s="183" t="n">
        <v>1</v>
      </c>
      <c r="P2824" s="183" t="n">
        <v>8</v>
      </c>
      <c r="Q2824" s="184" t="n">
        <v>20.4</v>
      </c>
      <c r="R2824" s="184" t="n">
        <v>149.6</v>
      </c>
      <c r="S2824" s="183" t="n">
        <v>0</v>
      </c>
      <c r="T2824" s="183" t="n">
        <v>0</v>
      </c>
      <c r="U2824" s="182" t="n">
        <v>7</v>
      </c>
      <c r="V2824" s="182" t="n">
        <v>0</v>
      </c>
      <c r="W2824" s="182" t="n">
        <v>0</v>
      </c>
      <c r="X2824" s="182" t="n">
        <v>1.01</v>
      </c>
      <c r="Y2824" s="182" t="n">
        <v>0</v>
      </c>
      <c r="Z2824" s="182" t="n">
        <v>0</v>
      </c>
      <c r="AA2824" s="182" t="n">
        <v>0</v>
      </c>
      <c r="AB2824" s="182" t="n">
        <v>0</v>
      </c>
      <c r="AC2824" s="182" t="n">
        <v>0</v>
      </c>
      <c r="AD2824" s="182" t="n">
        <v>0</v>
      </c>
      <c r="AE2824" s="182" t="n">
        <v>0</v>
      </c>
      <c r="AF2824" s="182" t="n">
        <v>0</v>
      </c>
      <c r="AG2824" s="182" t="n">
        <v>0</v>
      </c>
      <c r="AH2824" s="182" t="n">
        <v>0</v>
      </c>
      <c r="AI2824" s="182" t="n">
        <v>0</v>
      </c>
      <c r="AJ2824" s="182" t="n">
        <v>0</v>
      </c>
      <c r="AK2824" s="182" t="n">
        <v>0</v>
      </c>
      <c r="AL2824" s="182" t="n">
        <v>0</v>
      </c>
      <c r="AM2824" s="182" t="n">
        <v>0.08</v>
      </c>
      <c r="AN2824" s="182" t="n">
        <v>0</v>
      </c>
    </row>
    <row r="2825">
      <c r="A2825" s="155" t="n">
        <v>46094</v>
      </c>
      <c r="B2825" s="156" t="inlineStr">
        <is>
          <t>NS</t>
        </is>
      </c>
      <c r="C2825" s="156" t="inlineStr">
        <is>
          <t>DT-507</t>
        </is>
      </c>
      <c r="D2825" s="156" t="inlineStr">
        <is>
          <t>SKT 105S</t>
        </is>
      </c>
      <c r="E2825" s="156" t="inlineStr">
        <is>
          <t>Hauler</t>
        </is>
      </c>
      <c r="F2825" s="156" t="inlineStr">
        <is>
          <t>Hauling OB</t>
        </is>
      </c>
      <c r="G2825" s="182" t="n">
        <v>3.31</v>
      </c>
      <c r="H2825" s="182" t="n">
        <v>0</v>
      </c>
      <c r="I2825" s="182" t="n">
        <v>0.25</v>
      </c>
      <c r="J2825" s="182" t="n">
        <v>0.25</v>
      </c>
      <c r="K2825" s="182" t="n">
        <v>8.44</v>
      </c>
      <c r="L2825" s="182" t="n">
        <v>12</v>
      </c>
      <c r="M2825" s="182" t="n">
        <v>3.31</v>
      </c>
      <c r="N2825" s="182" t="n">
        <v>0</v>
      </c>
      <c r="O2825" s="183" t="n">
        <v>9</v>
      </c>
      <c r="P2825" s="183" t="n">
        <v>0</v>
      </c>
      <c r="Q2825" s="184" t="n">
        <v>183.6</v>
      </c>
      <c r="R2825" s="184" t="n">
        <v>0</v>
      </c>
      <c r="S2825" s="183" t="n">
        <v>0</v>
      </c>
      <c r="T2825" s="183" t="n">
        <v>0</v>
      </c>
      <c r="U2825" s="182" t="n">
        <v>7.36</v>
      </c>
      <c r="V2825" s="182" t="n">
        <v>0</v>
      </c>
      <c r="W2825" s="182" t="n">
        <v>0</v>
      </c>
      <c r="X2825" s="182" t="n">
        <v>0</v>
      </c>
      <c r="Y2825" s="182" t="n">
        <v>0</v>
      </c>
      <c r="Z2825" s="182" t="n">
        <v>0</v>
      </c>
      <c r="AA2825" s="182" t="n">
        <v>0</v>
      </c>
      <c r="AB2825" s="182" t="n">
        <v>0</v>
      </c>
      <c r="AC2825" s="182" t="n">
        <v>0</v>
      </c>
      <c r="AD2825" s="182" t="n">
        <v>1</v>
      </c>
      <c r="AE2825" s="182" t="n">
        <v>0</v>
      </c>
      <c r="AF2825" s="182" t="n">
        <v>0</v>
      </c>
      <c r="AG2825" s="182" t="n">
        <v>0</v>
      </c>
      <c r="AH2825" s="182" t="n">
        <v>0</v>
      </c>
      <c r="AI2825" s="182" t="n">
        <v>0</v>
      </c>
      <c r="AJ2825" s="182" t="n">
        <v>0</v>
      </c>
      <c r="AK2825" s="182" t="n">
        <v>0</v>
      </c>
      <c r="AL2825" s="182" t="n">
        <v>0</v>
      </c>
      <c r="AM2825" s="182" t="n">
        <v>0.08</v>
      </c>
      <c r="AN2825" s="182" t="n">
        <v>0</v>
      </c>
    </row>
    <row r="2826">
      <c r="A2826" s="155" t="n">
        <v>46094</v>
      </c>
      <c r="B2826" s="156" t="inlineStr">
        <is>
          <t>NS</t>
        </is>
      </c>
      <c r="C2826" s="156" t="inlineStr">
        <is>
          <t>DT-501</t>
        </is>
      </c>
      <c r="D2826" s="156" t="inlineStr">
        <is>
          <t>SKT 105S</t>
        </is>
      </c>
      <c r="E2826" s="156" t="inlineStr">
        <is>
          <t>Hauler</t>
        </is>
      </c>
      <c r="F2826" s="156" t="inlineStr"/>
      <c r="G2826" s="182" t="n">
        <v>0</v>
      </c>
      <c r="H2826" s="182" t="n">
        <v>0</v>
      </c>
      <c r="I2826" s="182" t="n">
        <v>0</v>
      </c>
      <c r="J2826" s="182" t="n">
        <v>0</v>
      </c>
      <c r="K2826" s="182" t="n">
        <v>12</v>
      </c>
      <c r="L2826" s="182" t="n">
        <v>12</v>
      </c>
      <c r="M2826" s="182" t="n">
        <v>0</v>
      </c>
      <c r="N2826" s="182" t="n">
        <v>0</v>
      </c>
      <c r="O2826" s="183" t="n">
        <v>0</v>
      </c>
      <c r="P2826" s="183" t="n">
        <v>0</v>
      </c>
      <c r="Q2826" s="184" t="n">
        <v>0</v>
      </c>
      <c r="R2826" s="184" t="n">
        <v>0</v>
      </c>
      <c r="S2826" s="183" t="n">
        <v>0</v>
      </c>
      <c r="T2826" s="183" t="n">
        <v>0</v>
      </c>
      <c r="U2826" s="182" t="n">
        <v>7.4</v>
      </c>
      <c r="V2826" s="182" t="n">
        <v>0</v>
      </c>
      <c r="W2826" s="182" t="n">
        <v>0</v>
      </c>
      <c r="X2826" s="182" t="n">
        <v>1</v>
      </c>
      <c r="Y2826" s="182" t="n">
        <v>0</v>
      </c>
      <c r="Z2826" s="182" t="n">
        <v>0</v>
      </c>
      <c r="AA2826" s="182" t="n">
        <v>0</v>
      </c>
      <c r="AB2826" s="182" t="n">
        <v>0</v>
      </c>
      <c r="AC2826" s="182" t="n">
        <v>0</v>
      </c>
      <c r="AD2826" s="182" t="n">
        <v>0</v>
      </c>
      <c r="AE2826" s="182" t="n">
        <v>0</v>
      </c>
      <c r="AF2826" s="182" t="n">
        <v>0</v>
      </c>
      <c r="AG2826" s="182" t="n">
        <v>0</v>
      </c>
      <c r="AH2826" s="182" t="n">
        <v>0</v>
      </c>
      <c r="AI2826" s="182" t="n">
        <v>3.52</v>
      </c>
      <c r="AJ2826" s="182" t="n">
        <v>0</v>
      </c>
      <c r="AK2826" s="182" t="n">
        <v>0</v>
      </c>
      <c r="AL2826" s="182" t="n">
        <v>0</v>
      </c>
      <c r="AM2826" s="182" t="n">
        <v>0.08</v>
      </c>
      <c r="AN2826" s="182" t="n">
        <v>0</v>
      </c>
    </row>
    <row r="2827">
      <c r="A2827" s="155" t="n">
        <v>46094</v>
      </c>
      <c r="B2827" s="156" t="inlineStr">
        <is>
          <t>NS</t>
        </is>
      </c>
      <c r="C2827" s="156" t="inlineStr">
        <is>
          <t>DT-518</t>
        </is>
      </c>
      <c r="D2827" s="156" t="inlineStr">
        <is>
          <t>SKT 105S</t>
        </is>
      </c>
      <c r="E2827" s="156" t="inlineStr">
        <is>
          <t>Hauler</t>
        </is>
      </c>
      <c r="F2827" s="156" t="inlineStr">
        <is>
          <t>Hauling OB</t>
        </is>
      </c>
      <c r="G2827" s="182" t="n">
        <v>1.88</v>
      </c>
      <c r="H2827" s="182" t="n">
        <v>0</v>
      </c>
      <c r="I2827" s="182" t="n">
        <v>0</v>
      </c>
      <c r="J2827" s="182" t="n">
        <v>0</v>
      </c>
      <c r="K2827" s="182" t="n">
        <v>10.12</v>
      </c>
      <c r="L2827" s="182" t="n">
        <v>12</v>
      </c>
      <c r="M2827" s="182" t="n">
        <v>1.88</v>
      </c>
      <c r="N2827" s="182" t="n">
        <v>0</v>
      </c>
      <c r="O2827" s="183" t="n">
        <v>4</v>
      </c>
      <c r="P2827" s="183" t="n">
        <v>0</v>
      </c>
      <c r="Q2827" s="184" t="n">
        <v>81.59999999999999</v>
      </c>
      <c r="R2827" s="184" t="n">
        <v>0</v>
      </c>
      <c r="S2827" s="183" t="n">
        <v>0</v>
      </c>
      <c r="T2827" s="183" t="n">
        <v>0</v>
      </c>
      <c r="U2827" s="182" t="n">
        <v>6.43</v>
      </c>
      <c r="V2827" s="182" t="n">
        <v>0</v>
      </c>
      <c r="W2827" s="182" t="n">
        <v>0</v>
      </c>
      <c r="X2827" s="182" t="n">
        <v>0</v>
      </c>
      <c r="Y2827" s="182" t="n">
        <v>0</v>
      </c>
      <c r="Z2827" s="182" t="n">
        <v>0</v>
      </c>
      <c r="AA2827" s="182" t="n">
        <v>0</v>
      </c>
      <c r="AB2827" s="182" t="n">
        <v>0</v>
      </c>
      <c r="AC2827" s="182" t="n">
        <v>0</v>
      </c>
      <c r="AD2827" s="182" t="n">
        <v>3.61</v>
      </c>
      <c r="AE2827" s="182" t="n">
        <v>0</v>
      </c>
      <c r="AF2827" s="182" t="n">
        <v>0</v>
      </c>
      <c r="AG2827" s="182" t="n">
        <v>0</v>
      </c>
      <c r="AH2827" s="182" t="n">
        <v>0</v>
      </c>
      <c r="AI2827" s="182" t="n">
        <v>0</v>
      </c>
      <c r="AJ2827" s="182" t="n">
        <v>0</v>
      </c>
      <c r="AK2827" s="182" t="n">
        <v>0</v>
      </c>
      <c r="AL2827" s="182" t="n">
        <v>0</v>
      </c>
      <c r="AM2827" s="182" t="n">
        <v>0.08</v>
      </c>
      <c r="AN2827" s="182" t="n">
        <v>0</v>
      </c>
    </row>
    <row r="2828">
      <c r="A2828" s="155" t="n">
        <v>46094</v>
      </c>
      <c r="B2828" s="156" t="inlineStr">
        <is>
          <t>NS</t>
        </is>
      </c>
      <c r="C2828" s="156" t="inlineStr">
        <is>
          <t>DT-514</t>
        </is>
      </c>
      <c r="D2828" s="156" t="inlineStr">
        <is>
          <t>SKT 105S</t>
        </is>
      </c>
      <c r="E2828" s="156" t="inlineStr">
        <is>
          <t>Hauler</t>
        </is>
      </c>
      <c r="F2828" s="156" t="inlineStr"/>
      <c r="G2828" s="182" t="n">
        <v>0</v>
      </c>
      <c r="H2828" s="182" t="n">
        <v>0</v>
      </c>
      <c r="I2828" s="182" t="n">
        <v>12</v>
      </c>
      <c r="J2828" s="182" t="n">
        <v>12</v>
      </c>
      <c r="K2828" s="182" t="n">
        <v>0</v>
      </c>
      <c r="L2828" s="182" t="n">
        <v>12</v>
      </c>
      <c r="M2828" s="182" t="n">
        <v>0</v>
      </c>
      <c r="N2828" s="182" t="n">
        <v>0</v>
      </c>
      <c r="O2828" s="183" t="n">
        <v>0</v>
      </c>
      <c r="P2828" s="183" t="n">
        <v>0</v>
      </c>
      <c r="Q2828" s="184" t="n">
        <v>0</v>
      </c>
      <c r="R2828" s="184" t="n">
        <v>0</v>
      </c>
      <c r="S2828" s="183" t="n">
        <v>0</v>
      </c>
      <c r="T2828" s="183" t="n">
        <v>0</v>
      </c>
      <c r="U2828" s="182" t="n">
        <v>0</v>
      </c>
      <c r="V2828" s="182" t="n">
        <v>0</v>
      </c>
      <c r="W2828" s="182" t="n">
        <v>0</v>
      </c>
      <c r="X2828" s="182" t="n">
        <v>0</v>
      </c>
      <c r="Y2828" s="182" t="n">
        <v>0</v>
      </c>
      <c r="Z2828" s="182" t="n">
        <v>0</v>
      </c>
      <c r="AA2828" s="182" t="n">
        <v>0</v>
      </c>
      <c r="AB2828" s="182" t="n">
        <v>0</v>
      </c>
      <c r="AC2828" s="182" t="n">
        <v>0</v>
      </c>
      <c r="AD2828" s="182" t="n">
        <v>0</v>
      </c>
      <c r="AE2828" s="182" t="n">
        <v>0</v>
      </c>
      <c r="AF2828" s="182" t="n">
        <v>0</v>
      </c>
      <c r="AG2828" s="182" t="n">
        <v>0</v>
      </c>
      <c r="AH2828" s="182" t="n">
        <v>0</v>
      </c>
      <c r="AI2828" s="182" t="n">
        <v>0</v>
      </c>
      <c r="AJ2828" s="182" t="n">
        <v>0</v>
      </c>
      <c r="AK2828" s="182" t="n">
        <v>0</v>
      </c>
      <c r="AL2828" s="182" t="n">
        <v>0</v>
      </c>
      <c r="AM2828" s="182" t="n">
        <v>0</v>
      </c>
      <c r="AN2828" s="182" t="n">
        <v>0</v>
      </c>
    </row>
    <row r="2829">
      <c r="A2829" s="155" t="n">
        <v>46094</v>
      </c>
      <c r="B2829" s="156" t="inlineStr">
        <is>
          <t>NS</t>
        </is>
      </c>
      <c r="C2829" s="156" t="inlineStr">
        <is>
          <t>DT-523</t>
        </is>
      </c>
      <c r="D2829" s="156" t="inlineStr">
        <is>
          <t>SKT 105S</t>
        </is>
      </c>
      <c r="E2829" s="156" t="inlineStr">
        <is>
          <t>Hauler</t>
        </is>
      </c>
      <c r="F2829" s="156" t="inlineStr">
        <is>
          <t>Hauling OB</t>
        </is>
      </c>
      <c r="G2829" s="182" t="n">
        <v>3.69</v>
      </c>
      <c r="H2829" s="182" t="n">
        <v>0</v>
      </c>
      <c r="I2829" s="182" t="n">
        <v>0</v>
      </c>
      <c r="J2829" s="182" t="n">
        <v>0</v>
      </c>
      <c r="K2829" s="182" t="n">
        <v>8.31</v>
      </c>
      <c r="L2829" s="182" t="n">
        <v>12</v>
      </c>
      <c r="M2829" s="182" t="n">
        <v>3.69</v>
      </c>
      <c r="N2829" s="182" t="n">
        <v>0</v>
      </c>
      <c r="O2829" s="183" t="n">
        <v>12</v>
      </c>
      <c r="P2829" s="183" t="n">
        <v>0</v>
      </c>
      <c r="Q2829" s="184" t="n">
        <v>244.8</v>
      </c>
      <c r="R2829" s="184" t="n">
        <v>0</v>
      </c>
      <c r="S2829" s="183" t="n">
        <v>0</v>
      </c>
      <c r="T2829" s="183" t="n">
        <v>0</v>
      </c>
      <c r="U2829" s="182" t="n">
        <v>7.24</v>
      </c>
      <c r="V2829" s="182" t="n">
        <v>0</v>
      </c>
      <c r="W2829" s="182" t="n">
        <v>0</v>
      </c>
      <c r="X2829" s="182" t="n">
        <v>0</v>
      </c>
      <c r="Y2829" s="182" t="n">
        <v>0</v>
      </c>
      <c r="Z2829" s="182" t="n">
        <v>0</v>
      </c>
      <c r="AA2829" s="182" t="n">
        <v>0</v>
      </c>
      <c r="AB2829" s="182" t="n">
        <v>0</v>
      </c>
      <c r="AC2829" s="182" t="n">
        <v>0</v>
      </c>
      <c r="AD2829" s="182" t="n">
        <v>0.99</v>
      </c>
      <c r="AE2829" s="182" t="n">
        <v>0</v>
      </c>
      <c r="AF2829" s="182" t="n">
        <v>0</v>
      </c>
      <c r="AG2829" s="182" t="n">
        <v>0</v>
      </c>
      <c r="AH2829" s="182" t="n">
        <v>0</v>
      </c>
      <c r="AI2829" s="182" t="n">
        <v>0</v>
      </c>
      <c r="AJ2829" s="182" t="n">
        <v>0</v>
      </c>
      <c r="AK2829" s="182" t="n">
        <v>0</v>
      </c>
      <c r="AL2829" s="182" t="n">
        <v>0</v>
      </c>
      <c r="AM2829" s="182" t="n">
        <v>0.08</v>
      </c>
      <c r="AN2829" s="182" t="n">
        <v>0</v>
      </c>
    </row>
    <row r="2830">
      <c r="A2830" s="155" t="n">
        <v>46094</v>
      </c>
      <c r="B2830" s="156" t="inlineStr">
        <is>
          <t>NS</t>
        </is>
      </c>
      <c r="C2830" s="156" t="inlineStr">
        <is>
          <t>DT-519</t>
        </is>
      </c>
      <c r="D2830" s="156" t="inlineStr">
        <is>
          <t>SKT 105S</t>
        </is>
      </c>
      <c r="E2830" s="156" t="inlineStr">
        <is>
          <t>Hauler</t>
        </is>
      </c>
      <c r="F2830" s="156" t="inlineStr"/>
      <c r="G2830" s="182" t="n">
        <v>0</v>
      </c>
      <c r="H2830" s="182" t="n">
        <v>0</v>
      </c>
      <c r="I2830" s="182" t="n">
        <v>12</v>
      </c>
      <c r="J2830" s="182" t="n">
        <v>12</v>
      </c>
      <c r="K2830" s="182" t="n">
        <v>0</v>
      </c>
      <c r="L2830" s="182" t="n">
        <v>12</v>
      </c>
      <c r="M2830" s="182" t="n">
        <v>0</v>
      </c>
      <c r="N2830" s="182" t="n">
        <v>0</v>
      </c>
      <c r="O2830" s="183" t="n">
        <v>0</v>
      </c>
      <c r="P2830" s="183" t="n">
        <v>0</v>
      </c>
      <c r="Q2830" s="184" t="n">
        <v>0</v>
      </c>
      <c r="R2830" s="184" t="n">
        <v>0</v>
      </c>
      <c r="S2830" s="183" t="n">
        <v>0</v>
      </c>
      <c r="T2830" s="183" t="n">
        <v>0</v>
      </c>
      <c r="U2830" s="182" t="n">
        <v>0</v>
      </c>
      <c r="V2830" s="182" t="n">
        <v>0</v>
      </c>
      <c r="W2830" s="182" t="n">
        <v>0</v>
      </c>
      <c r="X2830" s="182" t="n">
        <v>0</v>
      </c>
      <c r="Y2830" s="182" t="n">
        <v>0</v>
      </c>
      <c r="Z2830" s="182" t="n">
        <v>0</v>
      </c>
      <c r="AA2830" s="182" t="n">
        <v>0</v>
      </c>
      <c r="AB2830" s="182" t="n">
        <v>0</v>
      </c>
      <c r="AC2830" s="182" t="n">
        <v>0</v>
      </c>
      <c r="AD2830" s="182" t="n">
        <v>0</v>
      </c>
      <c r="AE2830" s="182" t="n">
        <v>0</v>
      </c>
      <c r="AF2830" s="182" t="n">
        <v>0</v>
      </c>
      <c r="AG2830" s="182" t="n">
        <v>0</v>
      </c>
      <c r="AH2830" s="182" t="n">
        <v>0</v>
      </c>
      <c r="AI2830" s="182" t="n">
        <v>0</v>
      </c>
      <c r="AJ2830" s="182" t="n">
        <v>0</v>
      </c>
      <c r="AK2830" s="182" t="n">
        <v>0</v>
      </c>
      <c r="AL2830" s="182" t="n">
        <v>0</v>
      </c>
      <c r="AM2830" s="182" t="n">
        <v>0</v>
      </c>
      <c r="AN2830" s="182" t="n">
        <v>0</v>
      </c>
    </row>
    <row r="2831">
      <c r="A2831" s="155" t="n">
        <v>46094</v>
      </c>
      <c r="B2831" s="156" t="inlineStr">
        <is>
          <t>NS</t>
        </is>
      </c>
      <c r="C2831" s="156" t="inlineStr">
        <is>
          <t>DT-527</t>
        </is>
      </c>
      <c r="D2831" s="156" t="inlineStr">
        <is>
          <t>SKT 105S</t>
        </is>
      </c>
      <c r="E2831" s="156" t="inlineStr">
        <is>
          <t>Hauler</t>
        </is>
      </c>
      <c r="F2831" s="156" t="inlineStr">
        <is>
          <t>Hauling OB</t>
        </is>
      </c>
      <c r="G2831" s="182" t="n">
        <v>3.59</v>
      </c>
      <c r="H2831" s="182" t="n">
        <v>0</v>
      </c>
      <c r="I2831" s="182" t="n">
        <v>0</v>
      </c>
      <c r="J2831" s="182" t="n">
        <v>0</v>
      </c>
      <c r="K2831" s="182" t="n">
        <v>8.41</v>
      </c>
      <c r="L2831" s="182" t="n">
        <v>12</v>
      </c>
      <c r="M2831" s="182" t="n">
        <v>3.59</v>
      </c>
      <c r="N2831" s="182" t="n">
        <v>0</v>
      </c>
      <c r="O2831" s="183" t="n">
        <v>10</v>
      </c>
      <c r="P2831" s="183" t="n">
        <v>0</v>
      </c>
      <c r="Q2831" s="184" t="n">
        <v>204</v>
      </c>
      <c r="R2831" s="184" t="n">
        <v>0</v>
      </c>
      <c r="S2831" s="183" t="n">
        <v>0</v>
      </c>
      <c r="T2831" s="183" t="n">
        <v>0</v>
      </c>
      <c r="U2831" s="182" t="n">
        <v>7.32</v>
      </c>
      <c r="V2831" s="182" t="n">
        <v>0</v>
      </c>
      <c r="W2831" s="182" t="n">
        <v>0</v>
      </c>
      <c r="X2831" s="182" t="n">
        <v>0</v>
      </c>
      <c r="Y2831" s="182" t="n">
        <v>0</v>
      </c>
      <c r="Z2831" s="182" t="n">
        <v>0</v>
      </c>
      <c r="AA2831" s="182" t="n">
        <v>0</v>
      </c>
      <c r="AB2831" s="182" t="n">
        <v>0</v>
      </c>
      <c r="AC2831" s="182" t="n">
        <v>0</v>
      </c>
      <c r="AD2831" s="182" t="n">
        <v>1.01</v>
      </c>
      <c r="AE2831" s="182" t="n">
        <v>0</v>
      </c>
      <c r="AF2831" s="182" t="n">
        <v>0</v>
      </c>
      <c r="AG2831" s="182" t="n">
        <v>0</v>
      </c>
      <c r="AH2831" s="182" t="n">
        <v>0</v>
      </c>
      <c r="AI2831" s="182" t="n">
        <v>0</v>
      </c>
      <c r="AJ2831" s="182" t="n">
        <v>0</v>
      </c>
      <c r="AK2831" s="182" t="n">
        <v>0</v>
      </c>
      <c r="AL2831" s="182" t="n">
        <v>0</v>
      </c>
      <c r="AM2831" s="182" t="n">
        <v>0.08</v>
      </c>
      <c r="AN2831" s="182" t="n">
        <v>0</v>
      </c>
    </row>
    <row r="2832">
      <c r="A2832" s="155" t="n">
        <v>46094</v>
      </c>
      <c r="B2832" s="156" t="inlineStr">
        <is>
          <t>NS</t>
        </is>
      </c>
      <c r="C2832" s="156" t="inlineStr">
        <is>
          <t>DT-513</t>
        </is>
      </c>
      <c r="D2832" s="156" t="inlineStr">
        <is>
          <t>SKT 105S</t>
        </is>
      </c>
      <c r="E2832" s="156" t="inlineStr">
        <is>
          <t>Hauler</t>
        </is>
      </c>
      <c r="F2832" s="156" t="inlineStr"/>
      <c r="G2832" s="182" t="n">
        <v>0</v>
      </c>
      <c r="H2832" s="182" t="n">
        <v>0</v>
      </c>
      <c r="I2832" s="182" t="n">
        <v>12</v>
      </c>
      <c r="J2832" s="182" t="n">
        <v>12</v>
      </c>
      <c r="K2832" s="182" t="n">
        <v>0</v>
      </c>
      <c r="L2832" s="182" t="n">
        <v>12</v>
      </c>
      <c r="M2832" s="182" t="n">
        <v>0</v>
      </c>
      <c r="N2832" s="182" t="n">
        <v>0</v>
      </c>
      <c r="O2832" s="183" t="n">
        <v>0</v>
      </c>
      <c r="P2832" s="183" t="n">
        <v>0</v>
      </c>
      <c r="Q2832" s="184" t="n">
        <v>0</v>
      </c>
      <c r="R2832" s="184" t="n">
        <v>0</v>
      </c>
      <c r="S2832" s="183" t="n">
        <v>0</v>
      </c>
      <c r="T2832" s="183" t="n">
        <v>0</v>
      </c>
      <c r="U2832" s="182" t="n">
        <v>0</v>
      </c>
      <c r="V2832" s="182" t="n">
        <v>0</v>
      </c>
      <c r="W2832" s="182" t="n">
        <v>0</v>
      </c>
      <c r="X2832" s="182" t="n">
        <v>0</v>
      </c>
      <c r="Y2832" s="182" t="n">
        <v>0</v>
      </c>
      <c r="Z2832" s="182" t="n">
        <v>0</v>
      </c>
      <c r="AA2832" s="182" t="n">
        <v>0</v>
      </c>
      <c r="AB2832" s="182" t="n">
        <v>0</v>
      </c>
      <c r="AC2832" s="182" t="n">
        <v>0</v>
      </c>
      <c r="AD2832" s="182" t="n">
        <v>0</v>
      </c>
      <c r="AE2832" s="182" t="n">
        <v>0</v>
      </c>
      <c r="AF2832" s="182" t="n">
        <v>0</v>
      </c>
      <c r="AG2832" s="182" t="n">
        <v>0</v>
      </c>
      <c r="AH2832" s="182" t="n">
        <v>0</v>
      </c>
      <c r="AI2832" s="182" t="n">
        <v>0</v>
      </c>
      <c r="AJ2832" s="182" t="n">
        <v>0</v>
      </c>
      <c r="AK2832" s="182" t="n">
        <v>0</v>
      </c>
      <c r="AL2832" s="182" t="n">
        <v>0</v>
      </c>
      <c r="AM2832" s="182" t="n">
        <v>0</v>
      </c>
      <c r="AN2832" s="182" t="n">
        <v>0</v>
      </c>
    </row>
    <row r="2833">
      <c r="A2833" s="155" t="n">
        <v>46094</v>
      </c>
      <c r="B2833" s="156" t="inlineStr">
        <is>
          <t>NS</t>
        </is>
      </c>
      <c r="C2833" s="156" t="inlineStr">
        <is>
          <t>DT-512</t>
        </is>
      </c>
      <c r="D2833" s="156" t="inlineStr">
        <is>
          <t>SKT 105S</t>
        </is>
      </c>
      <c r="E2833" s="156" t="inlineStr">
        <is>
          <t>Hauler</t>
        </is>
      </c>
      <c r="F2833" s="156" t="inlineStr">
        <is>
          <t>Hauling Coal &amp; OB</t>
        </is>
      </c>
      <c r="G2833" s="182" t="n">
        <v>4.47</v>
      </c>
      <c r="H2833" s="182" t="n">
        <v>0</v>
      </c>
      <c r="I2833" s="182" t="n">
        <v>0</v>
      </c>
      <c r="J2833" s="182" t="n">
        <v>0</v>
      </c>
      <c r="K2833" s="182" t="n">
        <v>7.53</v>
      </c>
      <c r="L2833" s="182" t="n">
        <v>12</v>
      </c>
      <c r="M2833" s="182" t="n">
        <v>0.41</v>
      </c>
      <c r="N2833" s="182" t="n">
        <v>4.06</v>
      </c>
      <c r="O2833" s="183" t="n">
        <v>1</v>
      </c>
      <c r="P2833" s="183" t="n">
        <v>8</v>
      </c>
      <c r="Q2833" s="184" t="n">
        <v>20.4</v>
      </c>
      <c r="R2833" s="184" t="n">
        <v>149.6</v>
      </c>
      <c r="S2833" s="183" t="n">
        <v>0</v>
      </c>
      <c r="T2833" s="183" t="n">
        <v>0</v>
      </c>
      <c r="U2833" s="182" t="n">
        <v>6.46</v>
      </c>
      <c r="V2833" s="182" t="n">
        <v>0</v>
      </c>
      <c r="W2833" s="182" t="n">
        <v>0</v>
      </c>
      <c r="X2833" s="182" t="n">
        <v>0.99</v>
      </c>
      <c r="Y2833" s="182" t="n">
        <v>0</v>
      </c>
      <c r="Z2833" s="182" t="n">
        <v>0</v>
      </c>
      <c r="AA2833" s="182" t="n">
        <v>0</v>
      </c>
      <c r="AB2833" s="182" t="n">
        <v>0</v>
      </c>
      <c r="AC2833" s="182" t="n">
        <v>0</v>
      </c>
      <c r="AD2833" s="182" t="n">
        <v>0</v>
      </c>
      <c r="AE2833" s="182" t="n">
        <v>0</v>
      </c>
      <c r="AF2833" s="182" t="n">
        <v>0</v>
      </c>
      <c r="AG2833" s="182" t="n">
        <v>0</v>
      </c>
      <c r="AH2833" s="182" t="n">
        <v>0</v>
      </c>
      <c r="AI2833" s="182" t="n">
        <v>0</v>
      </c>
      <c r="AJ2833" s="182" t="n">
        <v>0</v>
      </c>
      <c r="AK2833" s="182" t="n">
        <v>0</v>
      </c>
      <c r="AL2833" s="182" t="n">
        <v>0</v>
      </c>
      <c r="AM2833" s="182" t="n">
        <v>0.08</v>
      </c>
      <c r="AN2833" s="182" t="n">
        <v>0</v>
      </c>
    </row>
    <row r="2834">
      <c r="A2834" s="155" t="n">
        <v>46094</v>
      </c>
      <c r="B2834" s="156" t="inlineStr">
        <is>
          <t>NS</t>
        </is>
      </c>
      <c r="C2834" s="156" t="inlineStr">
        <is>
          <t>DT-522</t>
        </is>
      </c>
      <c r="D2834" s="156" t="inlineStr">
        <is>
          <t>SKT 105S</t>
        </is>
      </c>
      <c r="E2834" s="156" t="inlineStr">
        <is>
          <t>Hauler</t>
        </is>
      </c>
      <c r="F2834" s="156" t="inlineStr">
        <is>
          <t>Hauling OB</t>
        </is>
      </c>
      <c r="G2834" s="182" t="n">
        <v>1.55</v>
      </c>
      <c r="H2834" s="182" t="n">
        <v>0</v>
      </c>
      <c r="I2834" s="182" t="n">
        <v>0</v>
      </c>
      <c r="J2834" s="182" t="n">
        <v>0</v>
      </c>
      <c r="K2834" s="182" t="n">
        <v>10.45</v>
      </c>
      <c r="L2834" s="182" t="n">
        <v>12</v>
      </c>
      <c r="M2834" s="182" t="n">
        <v>1.55</v>
      </c>
      <c r="N2834" s="182" t="n">
        <v>0</v>
      </c>
      <c r="O2834" s="183" t="n">
        <v>5</v>
      </c>
      <c r="P2834" s="183" t="n">
        <v>0</v>
      </c>
      <c r="Q2834" s="184" t="n">
        <v>102</v>
      </c>
      <c r="R2834" s="184" t="n">
        <v>0</v>
      </c>
      <c r="S2834" s="183" t="n">
        <v>0</v>
      </c>
      <c r="T2834" s="183" t="n">
        <v>0</v>
      </c>
      <c r="U2834" s="182" t="n">
        <v>6.44</v>
      </c>
      <c r="V2834" s="182" t="n">
        <v>0</v>
      </c>
      <c r="W2834" s="182" t="n">
        <v>0</v>
      </c>
      <c r="X2834" s="182" t="n">
        <v>0</v>
      </c>
      <c r="Y2834" s="182" t="n">
        <v>0</v>
      </c>
      <c r="Z2834" s="182" t="n">
        <v>0</v>
      </c>
      <c r="AA2834" s="182" t="n">
        <v>0</v>
      </c>
      <c r="AB2834" s="182" t="n">
        <v>0</v>
      </c>
      <c r="AC2834" s="182" t="n">
        <v>0</v>
      </c>
      <c r="AD2834" s="182" t="n">
        <v>3.93</v>
      </c>
      <c r="AE2834" s="182" t="n">
        <v>0</v>
      </c>
      <c r="AF2834" s="182" t="n">
        <v>0</v>
      </c>
      <c r="AG2834" s="182" t="n">
        <v>0</v>
      </c>
      <c r="AH2834" s="182" t="n">
        <v>0</v>
      </c>
      <c r="AI2834" s="182" t="n">
        <v>0</v>
      </c>
      <c r="AJ2834" s="182" t="n">
        <v>0</v>
      </c>
      <c r="AK2834" s="182" t="n">
        <v>0</v>
      </c>
      <c r="AL2834" s="182" t="n">
        <v>0</v>
      </c>
      <c r="AM2834" s="182" t="n">
        <v>0.08</v>
      </c>
      <c r="AN2834" s="182" t="n">
        <v>0</v>
      </c>
    </row>
    <row r="2835">
      <c r="A2835" s="155" t="n">
        <v>46094</v>
      </c>
      <c r="B2835" s="156" t="inlineStr">
        <is>
          <t>NS</t>
        </is>
      </c>
      <c r="C2835" s="156" t="inlineStr">
        <is>
          <t>DT-517</t>
        </is>
      </c>
      <c r="D2835" s="156" t="inlineStr">
        <is>
          <t>SKT 105S</t>
        </is>
      </c>
      <c r="E2835" s="156" t="inlineStr">
        <is>
          <t>Hauler</t>
        </is>
      </c>
      <c r="F2835" s="156" t="inlineStr"/>
      <c r="G2835" s="182" t="n">
        <v>0</v>
      </c>
      <c r="H2835" s="182" t="n">
        <v>0</v>
      </c>
      <c r="I2835" s="182" t="n">
        <v>12</v>
      </c>
      <c r="J2835" s="182" t="n">
        <v>12</v>
      </c>
      <c r="K2835" s="182" t="n">
        <v>0</v>
      </c>
      <c r="L2835" s="182" t="n">
        <v>12</v>
      </c>
      <c r="M2835" s="182" t="n">
        <v>0</v>
      </c>
      <c r="N2835" s="182" t="n">
        <v>0</v>
      </c>
      <c r="O2835" s="183" t="n">
        <v>0</v>
      </c>
      <c r="P2835" s="183" t="n">
        <v>0</v>
      </c>
      <c r="Q2835" s="184" t="n">
        <v>0</v>
      </c>
      <c r="R2835" s="184" t="n">
        <v>0</v>
      </c>
      <c r="S2835" s="183" t="n">
        <v>0</v>
      </c>
      <c r="T2835" s="183" t="n">
        <v>0</v>
      </c>
      <c r="U2835" s="182" t="n">
        <v>0</v>
      </c>
      <c r="V2835" s="182" t="n">
        <v>0</v>
      </c>
      <c r="W2835" s="182" t="n">
        <v>0</v>
      </c>
      <c r="X2835" s="182" t="n">
        <v>0</v>
      </c>
      <c r="Y2835" s="182" t="n">
        <v>0</v>
      </c>
      <c r="Z2835" s="182" t="n">
        <v>0</v>
      </c>
      <c r="AA2835" s="182" t="n">
        <v>0</v>
      </c>
      <c r="AB2835" s="182" t="n">
        <v>0</v>
      </c>
      <c r="AC2835" s="182" t="n">
        <v>0</v>
      </c>
      <c r="AD2835" s="182" t="n">
        <v>0</v>
      </c>
      <c r="AE2835" s="182" t="n">
        <v>0</v>
      </c>
      <c r="AF2835" s="182" t="n">
        <v>0</v>
      </c>
      <c r="AG2835" s="182" t="n">
        <v>0</v>
      </c>
      <c r="AH2835" s="182" t="n">
        <v>0</v>
      </c>
      <c r="AI2835" s="182" t="n">
        <v>0</v>
      </c>
      <c r="AJ2835" s="182" t="n">
        <v>0</v>
      </c>
      <c r="AK2835" s="182" t="n">
        <v>0</v>
      </c>
      <c r="AL2835" s="182" t="n">
        <v>0</v>
      </c>
      <c r="AM2835" s="182" t="n">
        <v>0</v>
      </c>
      <c r="AN2835" s="182" t="n">
        <v>0</v>
      </c>
    </row>
    <row r="2836">
      <c r="A2836" s="155" t="n">
        <v>46094</v>
      </c>
      <c r="B2836" s="156" t="inlineStr">
        <is>
          <t>NS</t>
        </is>
      </c>
      <c r="C2836" s="156" t="inlineStr">
        <is>
          <t>DT-510</t>
        </is>
      </c>
      <c r="D2836" s="156" t="inlineStr">
        <is>
          <t>SKT 105S</t>
        </is>
      </c>
      <c r="E2836" s="156" t="inlineStr">
        <is>
          <t>Hauler</t>
        </is>
      </c>
      <c r="F2836" s="156" t="inlineStr">
        <is>
          <t>Hauling Coal &amp; OB</t>
        </is>
      </c>
      <c r="G2836" s="182" t="n">
        <v>4.77</v>
      </c>
      <c r="H2836" s="182" t="n">
        <v>0</v>
      </c>
      <c r="I2836" s="182" t="n">
        <v>0</v>
      </c>
      <c r="J2836" s="182" t="n">
        <v>0</v>
      </c>
      <c r="K2836" s="182" t="n">
        <v>7.23</v>
      </c>
      <c r="L2836" s="182" t="n">
        <v>12</v>
      </c>
      <c r="M2836" s="182" t="n">
        <v>0</v>
      </c>
      <c r="N2836" s="182" t="n">
        <v>4.77</v>
      </c>
      <c r="O2836" s="183" t="n">
        <v>0</v>
      </c>
      <c r="P2836" s="183" t="n">
        <v>11</v>
      </c>
      <c r="Q2836" s="184" t="n">
        <v>0</v>
      </c>
      <c r="R2836" s="184" t="n">
        <v>205.7</v>
      </c>
      <c r="S2836" s="183" t="n">
        <v>0</v>
      </c>
      <c r="T2836" s="183" t="n">
        <v>0</v>
      </c>
      <c r="U2836" s="182" t="n">
        <v>6.16</v>
      </c>
      <c r="V2836" s="182" t="n">
        <v>0</v>
      </c>
      <c r="W2836" s="182" t="n">
        <v>0</v>
      </c>
      <c r="X2836" s="182" t="n">
        <v>0.99</v>
      </c>
      <c r="Y2836" s="182" t="n">
        <v>0</v>
      </c>
      <c r="Z2836" s="182" t="n">
        <v>0</v>
      </c>
      <c r="AA2836" s="182" t="n">
        <v>0</v>
      </c>
      <c r="AB2836" s="182" t="n">
        <v>0</v>
      </c>
      <c r="AC2836" s="182" t="n">
        <v>0</v>
      </c>
      <c r="AD2836" s="182" t="n">
        <v>0</v>
      </c>
      <c r="AE2836" s="182" t="n">
        <v>0</v>
      </c>
      <c r="AF2836" s="182" t="n">
        <v>0</v>
      </c>
      <c r="AG2836" s="182" t="n">
        <v>0</v>
      </c>
      <c r="AH2836" s="182" t="n">
        <v>0</v>
      </c>
      <c r="AI2836" s="182" t="n">
        <v>0</v>
      </c>
      <c r="AJ2836" s="182" t="n">
        <v>0</v>
      </c>
      <c r="AK2836" s="182" t="n">
        <v>0</v>
      </c>
      <c r="AL2836" s="182" t="n">
        <v>0</v>
      </c>
      <c r="AM2836" s="182" t="n">
        <v>0.08</v>
      </c>
      <c r="AN2836" s="182" t="n">
        <v>0</v>
      </c>
    </row>
    <row r="2837">
      <c r="A2837" s="155" t="n">
        <v>46094</v>
      </c>
      <c r="B2837" s="156" t="inlineStr">
        <is>
          <t>NS</t>
        </is>
      </c>
      <c r="C2837" s="156" t="inlineStr">
        <is>
          <t>DT-521</t>
        </is>
      </c>
      <c r="D2837" s="156" t="inlineStr">
        <is>
          <t>SKT 105S</t>
        </is>
      </c>
      <c r="E2837" s="156" t="inlineStr">
        <is>
          <t>Hauler</t>
        </is>
      </c>
      <c r="F2837" s="156" t="inlineStr">
        <is>
          <t>Hauling OB</t>
        </is>
      </c>
      <c r="G2837" s="182" t="n">
        <v>1.19</v>
      </c>
      <c r="H2837" s="182" t="n">
        <v>0</v>
      </c>
      <c r="I2837" s="182" t="n">
        <v>0</v>
      </c>
      <c r="J2837" s="182" t="n">
        <v>0</v>
      </c>
      <c r="K2837" s="182" t="n">
        <v>10.81</v>
      </c>
      <c r="L2837" s="182" t="n">
        <v>12</v>
      </c>
      <c r="M2837" s="182" t="n">
        <v>1.19</v>
      </c>
      <c r="N2837" s="182" t="n">
        <v>0</v>
      </c>
      <c r="O2837" s="183" t="n">
        <v>3</v>
      </c>
      <c r="P2837" s="183" t="n">
        <v>0</v>
      </c>
      <c r="Q2837" s="184" t="n">
        <v>61.2</v>
      </c>
      <c r="R2837" s="184" t="n">
        <v>0</v>
      </c>
      <c r="S2837" s="183" t="n">
        <v>0</v>
      </c>
      <c r="T2837" s="183" t="n">
        <v>0</v>
      </c>
      <c r="U2837" s="182" t="n">
        <v>6.36</v>
      </c>
      <c r="V2837" s="182" t="n">
        <v>0</v>
      </c>
      <c r="W2837" s="182" t="n">
        <v>0</v>
      </c>
      <c r="X2837" s="182" t="n">
        <v>0</v>
      </c>
      <c r="Y2837" s="182" t="n">
        <v>0</v>
      </c>
      <c r="Z2837" s="182" t="n">
        <v>0</v>
      </c>
      <c r="AA2837" s="182" t="n">
        <v>0</v>
      </c>
      <c r="AB2837" s="182" t="n">
        <v>0</v>
      </c>
      <c r="AC2837" s="182" t="n">
        <v>0</v>
      </c>
      <c r="AD2837" s="182" t="n">
        <v>4.37</v>
      </c>
      <c r="AE2837" s="182" t="n">
        <v>0</v>
      </c>
      <c r="AF2837" s="182" t="n">
        <v>0</v>
      </c>
      <c r="AG2837" s="182" t="n">
        <v>0</v>
      </c>
      <c r="AH2837" s="182" t="n">
        <v>0</v>
      </c>
      <c r="AI2837" s="182" t="n">
        <v>0</v>
      </c>
      <c r="AJ2837" s="182" t="n">
        <v>0</v>
      </c>
      <c r="AK2837" s="182" t="n">
        <v>0</v>
      </c>
      <c r="AL2837" s="182" t="n">
        <v>0</v>
      </c>
      <c r="AM2837" s="182" t="n">
        <v>0.08</v>
      </c>
      <c r="AN2837" s="182" t="n">
        <v>0</v>
      </c>
    </row>
    <row r="2838">
      <c r="A2838" s="155" t="n">
        <v>46094</v>
      </c>
      <c r="B2838" s="156" t="inlineStr">
        <is>
          <t>NS</t>
        </is>
      </c>
      <c r="C2838" s="156" t="inlineStr">
        <is>
          <t>DT-516</t>
        </is>
      </c>
      <c r="D2838" s="156" t="inlineStr">
        <is>
          <t>SKT 105S</t>
        </is>
      </c>
      <c r="E2838" s="156" t="inlineStr">
        <is>
          <t>Hauler</t>
        </is>
      </c>
      <c r="F2838" s="156" t="inlineStr"/>
      <c r="G2838" s="182" t="n">
        <v>0</v>
      </c>
      <c r="H2838" s="182" t="n">
        <v>0</v>
      </c>
      <c r="I2838" s="182" t="n">
        <v>0</v>
      </c>
      <c r="J2838" s="182" t="n">
        <v>0</v>
      </c>
      <c r="K2838" s="182" t="n">
        <v>12</v>
      </c>
      <c r="L2838" s="182" t="n">
        <v>12</v>
      </c>
      <c r="M2838" s="182" t="n">
        <v>0</v>
      </c>
      <c r="N2838" s="182" t="n">
        <v>0</v>
      </c>
      <c r="O2838" s="183" t="n">
        <v>0</v>
      </c>
      <c r="P2838" s="183" t="n">
        <v>0</v>
      </c>
      <c r="Q2838" s="184" t="n">
        <v>0</v>
      </c>
      <c r="R2838" s="184" t="n">
        <v>0</v>
      </c>
      <c r="S2838" s="183" t="n">
        <v>0</v>
      </c>
      <c r="T2838" s="183" t="n">
        <v>0</v>
      </c>
      <c r="U2838" s="182" t="n">
        <v>7.4</v>
      </c>
      <c r="V2838" s="182" t="n">
        <v>0</v>
      </c>
      <c r="W2838" s="182" t="n">
        <v>0</v>
      </c>
      <c r="X2838" s="182" t="n">
        <v>1</v>
      </c>
      <c r="Y2838" s="182" t="n">
        <v>0</v>
      </c>
      <c r="Z2838" s="182" t="n">
        <v>0</v>
      </c>
      <c r="AA2838" s="182" t="n">
        <v>0</v>
      </c>
      <c r="AB2838" s="182" t="n">
        <v>0</v>
      </c>
      <c r="AC2838" s="182" t="n">
        <v>0</v>
      </c>
      <c r="AD2838" s="182" t="n">
        <v>0</v>
      </c>
      <c r="AE2838" s="182" t="n">
        <v>0</v>
      </c>
      <c r="AF2838" s="182" t="n">
        <v>0</v>
      </c>
      <c r="AG2838" s="182" t="n">
        <v>0</v>
      </c>
      <c r="AH2838" s="182" t="n">
        <v>0</v>
      </c>
      <c r="AI2838" s="182" t="n">
        <v>3.52</v>
      </c>
      <c r="AJ2838" s="182" t="n">
        <v>0</v>
      </c>
      <c r="AK2838" s="182" t="n">
        <v>0</v>
      </c>
      <c r="AL2838" s="182" t="n">
        <v>0</v>
      </c>
      <c r="AM2838" s="182" t="n">
        <v>0.08</v>
      </c>
      <c r="AN2838" s="182" t="n">
        <v>0</v>
      </c>
    </row>
    <row r="2839">
      <c r="A2839" s="155" t="n">
        <v>46094</v>
      </c>
      <c r="B2839" s="156" t="inlineStr">
        <is>
          <t>NS</t>
        </is>
      </c>
      <c r="C2839" s="156" t="inlineStr">
        <is>
          <t>DT-506</t>
        </is>
      </c>
      <c r="D2839" s="156" t="inlineStr">
        <is>
          <t>SKT 105S</t>
        </is>
      </c>
      <c r="E2839" s="156" t="inlineStr">
        <is>
          <t>Hauler</t>
        </is>
      </c>
      <c r="F2839" s="156" t="inlineStr">
        <is>
          <t>Hauling OB</t>
        </is>
      </c>
      <c r="G2839" s="182" t="n">
        <v>3.51</v>
      </c>
      <c r="H2839" s="182" t="n">
        <v>0</v>
      </c>
      <c r="I2839" s="182" t="n">
        <v>0</v>
      </c>
      <c r="J2839" s="182" t="n">
        <v>0</v>
      </c>
      <c r="K2839" s="182" t="n">
        <v>8.49</v>
      </c>
      <c r="L2839" s="182" t="n">
        <v>12</v>
      </c>
      <c r="M2839" s="182" t="n">
        <v>3.51</v>
      </c>
      <c r="N2839" s="182" t="n">
        <v>0</v>
      </c>
      <c r="O2839" s="183" t="n">
        <v>11</v>
      </c>
      <c r="P2839" s="183" t="n">
        <v>0</v>
      </c>
      <c r="Q2839" s="184" t="n">
        <v>224.4</v>
      </c>
      <c r="R2839" s="184" t="n">
        <v>0</v>
      </c>
      <c r="S2839" s="183" t="n">
        <v>0</v>
      </c>
      <c r="T2839" s="183" t="n">
        <v>0</v>
      </c>
      <c r="U2839" s="182" t="n">
        <v>7.44</v>
      </c>
      <c r="V2839" s="182" t="n">
        <v>0</v>
      </c>
      <c r="W2839" s="182" t="n">
        <v>0</v>
      </c>
      <c r="X2839" s="182" t="n">
        <v>0</v>
      </c>
      <c r="Y2839" s="182" t="n">
        <v>0</v>
      </c>
      <c r="Z2839" s="182" t="n">
        <v>0</v>
      </c>
      <c r="AA2839" s="182" t="n">
        <v>0</v>
      </c>
      <c r="AB2839" s="182" t="n">
        <v>0</v>
      </c>
      <c r="AC2839" s="182" t="n">
        <v>0</v>
      </c>
      <c r="AD2839" s="182" t="n">
        <v>0.98</v>
      </c>
      <c r="AE2839" s="182" t="n">
        <v>0</v>
      </c>
      <c r="AF2839" s="182" t="n">
        <v>0</v>
      </c>
      <c r="AG2839" s="182" t="n">
        <v>0</v>
      </c>
      <c r="AH2839" s="182" t="n">
        <v>0</v>
      </c>
      <c r="AI2839" s="182" t="n">
        <v>0</v>
      </c>
      <c r="AJ2839" s="182" t="n">
        <v>0</v>
      </c>
      <c r="AK2839" s="182" t="n">
        <v>0</v>
      </c>
      <c r="AL2839" s="182" t="n">
        <v>0</v>
      </c>
      <c r="AM2839" s="182" t="n">
        <v>0.08</v>
      </c>
      <c r="AN2839" s="182" t="n">
        <v>0</v>
      </c>
    </row>
    <row r="2840">
      <c r="A2840" s="155" t="n">
        <v>46094</v>
      </c>
      <c r="B2840" s="156" t="inlineStr">
        <is>
          <t>NS</t>
        </is>
      </c>
      <c r="C2840" s="156" t="inlineStr">
        <is>
          <t>DT-502</t>
        </is>
      </c>
      <c r="D2840" s="156" t="inlineStr">
        <is>
          <t>SKT 105S</t>
        </is>
      </c>
      <c r="E2840" s="156" t="inlineStr">
        <is>
          <t>Hauler</t>
        </is>
      </c>
      <c r="F2840" s="156" t="inlineStr"/>
      <c r="G2840" s="182" t="n">
        <v>0</v>
      </c>
      <c r="H2840" s="182" t="n">
        <v>0</v>
      </c>
      <c r="I2840" s="182" t="n">
        <v>0</v>
      </c>
      <c r="J2840" s="182" t="n">
        <v>0</v>
      </c>
      <c r="K2840" s="182" t="n">
        <v>12</v>
      </c>
      <c r="L2840" s="182" t="n">
        <v>12</v>
      </c>
      <c r="M2840" s="182" t="n">
        <v>0</v>
      </c>
      <c r="N2840" s="182" t="n">
        <v>0</v>
      </c>
      <c r="O2840" s="183" t="n">
        <v>0</v>
      </c>
      <c r="P2840" s="183" t="n">
        <v>0</v>
      </c>
      <c r="Q2840" s="184" t="n">
        <v>0</v>
      </c>
      <c r="R2840" s="184" t="n">
        <v>0</v>
      </c>
      <c r="S2840" s="183" t="n">
        <v>0</v>
      </c>
      <c r="T2840" s="183" t="n">
        <v>0</v>
      </c>
      <c r="U2840" s="182" t="n">
        <v>7.4</v>
      </c>
      <c r="V2840" s="182" t="n">
        <v>0</v>
      </c>
      <c r="W2840" s="182" t="n">
        <v>0</v>
      </c>
      <c r="X2840" s="182" t="n">
        <v>1</v>
      </c>
      <c r="Y2840" s="182" t="n">
        <v>0</v>
      </c>
      <c r="Z2840" s="182" t="n">
        <v>0</v>
      </c>
      <c r="AA2840" s="182" t="n">
        <v>0</v>
      </c>
      <c r="AB2840" s="182" t="n">
        <v>0</v>
      </c>
      <c r="AC2840" s="182" t="n">
        <v>0</v>
      </c>
      <c r="AD2840" s="182" t="n">
        <v>0</v>
      </c>
      <c r="AE2840" s="182" t="n">
        <v>0</v>
      </c>
      <c r="AF2840" s="182" t="n">
        <v>0</v>
      </c>
      <c r="AG2840" s="182" t="n">
        <v>0</v>
      </c>
      <c r="AH2840" s="182" t="n">
        <v>0</v>
      </c>
      <c r="AI2840" s="182" t="n">
        <v>3.52</v>
      </c>
      <c r="AJ2840" s="182" t="n">
        <v>0</v>
      </c>
      <c r="AK2840" s="182" t="n">
        <v>0</v>
      </c>
      <c r="AL2840" s="182" t="n">
        <v>0</v>
      </c>
      <c r="AM2840" s="182" t="n">
        <v>0.08</v>
      </c>
      <c r="AN2840" s="182" t="n">
        <v>0</v>
      </c>
    </row>
    <row r="2841">
      <c r="A2841" s="155" t="n">
        <v>46094</v>
      </c>
      <c r="B2841" s="156" t="inlineStr">
        <is>
          <t>NS</t>
        </is>
      </c>
      <c r="C2841" s="156" t="inlineStr">
        <is>
          <t>DT-528</t>
        </is>
      </c>
      <c r="D2841" s="156" t="inlineStr">
        <is>
          <t>SKT 105S</t>
        </is>
      </c>
      <c r="E2841" s="156" t="inlineStr">
        <is>
          <t>Hauler</t>
        </is>
      </c>
      <c r="F2841" s="156" t="inlineStr"/>
      <c r="G2841" s="182" t="n">
        <v>0</v>
      </c>
      <c r="H2841" s="182" t="n">
        <v>0</v>
      </c>
      <c r="I2841" s="182" t="n">
        <v>0</v>
      </c>
      <c r="J2841" s="182" t="n">
        <v>0</v>
      </c>
      <c r="K2841" s="182" t="n">
        <v>12</v>
      </c>
      <c r="L2841" s="182" t="n">
        <v>12</v>
      </c>
      <c r="M2841" s="182" t="n">
        <v>0</v>
      </c>
      <c r="N2841" s="182" t="n">
        <v>0</v>
      </c>
      <c r="O2841" s="183" t="n">
        <v>0</v>
      </c>
      <c r="P2841" s="183" t="n">
        <v>0</v>
      </c>
      <c r="Q2841" s="184" t="n">
        <v>0</v>
      </c>
      <c r="R2841" s="184" t="n">
        <v>0</v>
      </c>
      <c r="S2841" s="183" t="n">
        <v>0</v>
      </c>
      <c r="T2841" s="183" t="n">
        <v>0</v>
      </c>
      <c r="U2841" s="182" t="n">
        <v>7.4</v>
      </c>
      <c r="V2841" s="182" t="n">
        <v>0</v>
      </c>
      <c r="W2841" s="182" t="n">
        <v>0</v>
      </c>
      <c r="X2841" s="182" t="n">
        <v>1</v>
      </c>
      <c r="Y2841" s="182" t="n">
        <v>0</v>
      </c>
      <c r="Z2841" s="182" t="n">
        <v>0</v>
      </c>
      <c r="AA2841" s="182" t="n">
        <v>0</v>
      </c>
      <c r="AB2841" s="182" t="n">
        <v>0</v>
      </c>
      <c r="AC2841" s="182" t="n">
        <v>0</v>
      </c>
      <c r="AD2841" s="182" t="n">
        <v>0</v>
      </c>
      <c r="AE2841" s="182" t="n">
        <v>0</v>
      </c>
      <c r="AF2841" s="182" t="n">
        <v>0</v>
      </c>
      <c r="AG2841" s="182" t="n">
        <v>0</v>
      </c>
      <c r="AH2841" s="182" t="n">
        <v>0</v>
      </c>
      <c r="AI2841" s="182" t="n">
        <v>3.52</v>
      </c>
      <c r="AJ2841" s="182" t="n">
        <v>0</v>
      </c>
      <c r="AK2841" s="182" t="n">
        <v>0</v>
      </c>
      <c r="AL2841" s="182" t="n">
        <v>0</v>
      </c>
      <c r="AM2841" s="182" t="n">
        <v>0.08</v>
      </c>
      <c r="AN2841" s="182" t="n">
        <v>0</v>
      </c>
    </row>
    <row r="2842">
      <c r="A2842" s="155" t="n">
        <v>46094</v>
      </c>
      <c r="B2842" s="156" t="inlineStr">
        <is>
          <t>NS</t>
        </is>
      </c>
      <c r="C2842" s="156" t="inlineStr">
        <is>
          <t>DT-529</t>
        </is>
      </c>
      <c r="D2842" s="156" t="inlineStr">
        <is>
          <t>SKT 105S</t>
        </is>
      </c>
      <c r="E2842" s="156" t="inlineStr">
        <is>
          <t>Hauler</t>
        </is>
      </c>
      <c r="F2842" s="156" t="inlineStr">
        <is>
          <t>Hauling OB</t>
        </is>
      </c>
      <c r="G2842" s="182" t="n">
        <v>3.61</v>
      </c>
      <c r="H2842" s="182" t="n">
        <v>0</v>
      </c>
      <c r="I2842" s="182" t="n">
        <v>0</v>
      </c>
      <c r="J2842" s="182" t="n">
        <v>0</v>
      </c>
      <c r="K2842" s="182" t="n">
        <v>8.390000000000001</v>
      </c>
      <c r="L2842" s="182" t="n">
        <v>12</v>
      </c>
      <c r="M2842" s="182" t="n">
        <v>3.32</v>
      </c>
      <c r="N2842" s="182" t="n">
        <v>0</v>
      </c>
      <c r="O2842" s="183" t="n">
        <v>21</v>
      </c>
      <c r="P2842" s="183" t="n">
        <v>0</v>
      </c>
      <c r="Q2842" s="184" t="n">
        <v>428.4</v>
      </c>
      <c r="R2842" s="184" t="n">
        <v>0</v>
      </c>
      <c r="S2842" s="183" t="n">
        <v>0</v>
      </c>
      <c r="T2842" s="183" t="n">
        <v>0</v>
      </c>
      <c r="U2842" s="182" t="n">
        <v>7.24</v>
      </c>
      <c r="V2842" s="182" t="n">
        <v>0</v>
      </c>
      <c r="W2842" s="182" t="n">
        <v>0</v>
      </c>
      <c r="X2842" s="182" t="n">
        <v>1.06</v>
      </c>
      <c r="Y2842" s="182" t="n">
        <v>0</v>
      </c>
      <c r="Z2842" s="182" t="n">
        <v>0</v>
      </c>
      <c r="AA2842" s="182" t="n">
        <v>0</v>
      </c>
      <c r="AB2842" s="182" t="n">
        <v>0</v>
      </c>
      <c r="AC2842" s="182" t="n">
        <v>0</v>
      </c>
      <c r="AD2842" s="182" t="n">
        <v>0</v>
      </c>
      <c r="AE2842" s="182" t="n">
        <v>0</v>
      </c>
      <c r="AF2842" s="182" t="n">
        <v>0</v>
      </c>
      <c r="AG2842" s="182" t="n">
        <v>0</v>
      </c>
      <c r="AH2842" s="182" t="n">
        <v>0</v>
      </c>
      <c r="AI2842" s="182" t="n">
        <v>0</v>
      </c>
      <c r="AJ2842" s="182" t="n">
        <v>0</v>
      </c>
      <c r="AK2842" s="182" t="n">
        <v>0</v>
      </c>
      <c r="AL2842" s="182" t="n">
        <v>0</v>
      </c>
      <c r="AM2842" s="182" t="n">
        <v>0.08</v>
      </c>
      <c r="AN2842" s="182" t="n">
        <v>0</v>
      </c>
    </row>
    <row r="2843">
      <c r="A2843" s="155" t="n">
        <v>46094</v>
      </c>
      <c r="B2843" s="156" t="inlineStr">
        <is>
          <t>NS</t>
        </is>
      </c>
      <c r="C2843" s="156" t="inlineStr">
        <is>
          <t>DT-520</t>
        </is>
      </c>
      <c r="D2843" s="156" t="inlineStr">
        <is>
          <t>SKT 105S</t>
        </is>
      </c>
      <c r="E2843" s="156" t="inlineStr">
        <is>
          <t>Hauler</t>
        </is>
      </c>
      <c r="F2843" s="156" t="inlineStr">
        <is>
          <t>Hauling Coal &amp; OB</t>
        </is>
      </c>
      <c r="G2843" s="182" t="n">
        <v>4.25</v>
      </c>
      <c r="H2843" s="182" t="n">
        <v>0</v>
      </c>
      <c r="I2843" s="182" t="n">
        <v>0</v>
      </c>
      <c r="J2843" s="182" t="n">
        <v>0</v>
      </c>
      <c r="K2843" s="182" t="n">
        <v>7.75</v>
      </c>
      <c r="L2843" s="182" t="n">
        <v>12</v>
      </c>
      <c r="M2843" s="182" t="n">
        <v>0.3</v>
      </c>
      <c r="N2843" s="182" t="n">
        <v>3.95</v>
      </c>
      <c r="O2843" s="183" t="n">
        <v>1</v>
      </c>
      <c r="P2843" s="183" t="n">
        <v>8</v>
      </c>
      <c r="Q2843" s="184" t="n">
        <v>20.4</v>
      </c>
      <c r="R2843" s="184" t="n">
        <v>149.6</v>
      </c>
      <c r="S2843" s="183" t="n">
        <v>0</v>
      </c>
      <c r="T2843" s="183" t="n">
        <v>0</v>
      </c>
      <c r="U2843" s="182" t="n">
        <v>6.66</v>
      </c>
      <c r="V2843" s="182" t="n">
        <v>0</v>
      </c>
      <c r="W2843" s="182" t="n">
        <v>0</v>
      </c>
      <c r="X2843" s="182" t="n">
        <v>1.01</v>
      </c>
      <c r="Y2843" s="182" t="n">
        <v>0</v>
      </c>
      <c r="Z2843" s="182" t="n">
        <v>0</v>
      </c>
      <c r="AA2843" s="182" t="n">
        <v>0</v>
      </c>
      <c r="AB2843" s="182" t="n">
        <v>0</v>
      </c>
      <c r="AC2843" s="182" t="n">
        <v>0</v>
      </c>
      <c r="AD2843" s="182" t="n">
        <v>0</v>
      </c>
      <c r="AE2843" s="182" t="n">
        <v>0</v>
      </c>
      <c r="AF2843" s="182" t="n">
        <v>0</v>
      </c>
      <c r="AG2843" s="182" t="n">
        <v>0</v>
      </c>
      <c r="AH2843" s="182" t="n">
        <v>0</v>
      </c>
      <c r="AI2843" s="182" t="n">
        <v>0</v>
      </c>
      <c r="AJ2843" s="182" t="n">
        <v>0</v>
      </c>
      <c r="AK2843" s="182" t="n">
        <v>0</v>
      </c>
      <c r="AL2843" s="182" t="n">
        <v>0</v>
      </c>
      <c r="AM2843" s="182" t="n">
        <v>0.08</v>
      </c>
      <c r="AN2843" s="182" t="n">
        <v>0</v>
      </c>
    </row>
    <row r="2844">
      <c r="A2844" s="155" t="n">
        <v>46094</v>
      </c>
      <c r="B2844" s="156" t="inlineStr">
        <is>
          <t>NS</t>
        </is>
      </c>
      <c r="C2844" s="156" t="inlineStr">
        <is>
          <t>DT-511</t>
        </is>
      </c>
      <c r="D2844" s="156" t="inlineStr">
        <is>
          <t>SKT 105S</t>
        </is>
      </c>
      <c r="E2844" s="156" t="inlineStr">
        <is>
          <t>Hauler</t>
        </is>
      </c>
      <c r="F2844" s="156" t="inlineStr"/>
      <c r="G2844" s="182" t="n">
        <v>0</v>
      </c>
      <c r="H2844" s="182" t="n">
        <v>0</v>
      </c>
      <c r="I2844" s="182" t="n">
        <v>12</v>
      </c>
      <c r="J2844" s="182" t="n">
        <v>12</v>
      </c>
      <c r="K2844" s="182" t="n">
        <v>0</v>
      </c>
      <c r="L2844" s="182" t="n">
        <v>12</v>
      </c>
      <c r="M2844" s="182" t="n">
        <v>0</v>
      </c>
      <c r="N2844" s="182" t="n">
        <v>0</v>
      </c>
      <c r="O2844" s="183" t="n">
        <v>0</v>
      </c>
      <c r="P2844" s="183" t="n">
        <v>0</v>
      </c>
      <c r="Q2844" s="184" t="n">
        <v>0</v>
      </c>
      <c r="R2844" s="184" t="n">
        <v>0</v>
      </c>
      <c r="S2844" s="183" t="n">
        <v>0</v>
      </c>
      <c r="T2844" s="183" t="n">
        <v>0</v>
      </c>
      <c r="U2844" s="182" t="n">
        <v>0</v>
      </c>
      <c r="V2844" s="182" t="n">
        <v>0</v>
      </c>
      <c r="W2844" s="182" t="n">
        <v>0</v>
      </c>
      <c r="X2844" s="182" t="n">
        <v>0</v>
      </c>
      <c r="Y2844" s="182" t="n">
        <v>0</v>
      </c>
      <c r="Z2844" s="182" t="n">
        <v>0</v>
      </c>
      <c r="AA2844" s="182" t="n">
        <v>0</v>
      </c>
      <c r="AB2844" s="182" t="n">
        <v>0</v>
      </c>
      <c r="AC2844" s="182" t="n">
        <v>0</v>
      </c>
      <c r="AD2844" s="182" t="n">
        <v>0</v>
      </c>
      <c r="AE2844" s="182" t="n">
        <v>0</v>
      </c>
      <c r="AF2844" s="182" t="n">
        <v>0</v>
      </c>
      <c r="AG2844" s="182" t="n">
        <v>0</v>
      </c>
      <c r="AH2844" s="182" t="n">
        <v>0</v>
      </c>
      <c r="AI2844" s="182" t="n">
        <v>0</v>
      </c>
      <c r="AJ2844" s="182" t="n">
        <v>0</v>
      </c>
      <c r="AK2844" s="182" t="n">
        <v>0</v>
      </c>
      <c r="AL2844" s="182" t="n">
        <v>0</v>
      </c>
      <c r="AM2844" s="182" t="n">
        <v>0</v>
      </c>
      <c r="AN2844" s="182" t="n">
        <v>0</v>
      </c>
    </row>
    <row r="2845">
      <c r="A2845" s="155" t="n">
        <v>46094</v>
      </c>
      <c r="B2845" s="156" t="inlineStr">
        <is>
          <t>NS</t>
        </is>
      </c>
      <c r="C2845" s="156" t="inlineStr">
        <is>
          <t>DT-509</t>
        </is>
      </c>
      <c r="D2845" s="156" t="inlineStr">
        <is>
          <t>SKT 105S</t>
        </is>
      </c>
      <c r="E2845" s="156" t="inlineStr">
        <is>
          <t>Hauler</t>
        </is>
      </c>
      <c r="F2845" s="156" t="inlineStr"/>
      <c r="G2845" s="182" t="n">
        <v>0</v>
      </c>
      <c r="H2845" s="182" t="n">
        <v>0</v>
      </c>
      <c r="I2845" s="182" t="n">
        <v>12</v>
      </c>
      <c r="J2845" s="182" t="n">
        <v>12</v>
      </c>
      <c r="K2845" s="182" t="n">
        <v>0</v>
      </c>
      <c r="L2845" s="182" t="n">
        <v>12</v>
      </c>
      <c r="M2845" s="182" t="n">
        <v>0</v>
      </c>
      <c r="N2845" s="182" t="n">
        <v>0</v>
      </c>
      <c r="O2845" s="183" t="n">
        <v>0</v>
      </c>
      <c r="P2845" s="183" t="n">
        <v>0</v>
      </c>
      <c r="Q2845" s="184" t="n">
        <v>0</v>
      </c>
      <c r="R2845" s="184" t="n">
        <v>0</v>
      </c>
      <c r="S2845" s="183" t="n">
        <v>0</v>
      </c>
      <c r="T2845" s="183" t="n">
        <v>0</v>
      </c>
      <c r="U2845" s="182" t="n">
        <v>0</v>
      </c>
      <c r="V2845" s="182" t="n">
        <v>0</v>
      </c>
      <c r="W2845" s="182" t="n">
        <v>0</v>
      </c>
      <c r="X2845" s="182" t="n">
        <v>0</v>
      </c>
      <c r="Y2845" s="182" t="n">
        <v>0</v>
      </c>
      <c r="Z2845" s="182" t="n">
        <v>0</v>
      </c>
      <c r="AA2845" s="182" t="n">
        <v>0</v>
      </c>
      <c r="AB2845" s="182" t="n">
        <v>0</v>
      </c>
      <c r="AC2845" s="182" t="n">
        <v>0</v>
      </c>
      <c r="AD2845" s="182" t="n">
        <v>0</v>
      </c>
      <c r="AE2845" s="182" t="n">
        <v>0</v>
      </c>
      <c r="AF2845" s="182" t="n">
        <v>0</v>
      </c>
      <c r="AG2845" s="182" t="n">
        <v>0</v>
      </c>
      <c r="AH2845" s="182" t="n">
        <v>0</v>
      </c>
      <c r="AI2845" s="182" t="n">
        <v>0</v>
      </c>
      <c r="AJ2845" s="182" t="n">
        <v>0</v>
      </c>
      <c r="AK2845" s="182" t="n">
        <v>0</v>
      </c>
      <c r="AL2845" s="182" t="n">
        <v>0</v>
      </c>
      <c r="AM2845" s="182" t="n">
        <v>0</v>
      </c>
      <c r="AN2845" s="182" t="n">
        <v>0</v>
      </c>
    </row>
    <row r="2846">
      <c r="A2846" s="155" t="n">
        <v>46094</v>
      </c>
      <c r="B2846" s="156" t="inlineStr">
        <is>
          <t>NS</t>
        </is>
      </c>
      <c r="C2846" s="156" t="inlineStr">
        <is>
          <t>DT-526</t>
        </is>
      </c>
      <c r="D2846" s="156" t="inlineStr">
        <is>
          <t>SKT 105S</t>
        </is>
      </c>
      <c r="E2846" s="156" t="inlineStr">
        <is>
          <t>Hauler</t>
        </is>
      </c>
      <c r="F2846" s="156" t="inlineStr">
        <is>
          <t>Hauling OB</t>
        </is>
      </c>
      <c r="G2846" s="182" t="n">
        <v>2.48</v>
      </c>
      <c r="H2846" s="182" t="n">
        <v>0</v>
      </c>
      <c r="I2846" s="182" t="n">
        <v>0</v>
      </c>
      <c r="J2846" s="182" t="n">
        <v>0</v>
      </c>
      <c r="K2846" s="182" t="n">
        <v>9.52</v>
      </c>
      <c r="L2846" s="182" t="n">
        <v>12</v>
      </c>
      <c r="M2846" s="182" t="n">
        <v>2.48</v>
      </c>
      <c r="N2846" s="182" t="n">
        <v>0</v>
      </c>
      <c r="O2846" s="183" t="n">
        <v>4</v>
      </c>
      <c r="P2846" s="183" t="n">
        <v>0</v>
      </c>
      <c r="Q2846" s="184" t="n">
        <v>81.59999999999999</v>
      </c>
      <c r="R2846" s="184" t="n">
        <v>0</v>
      </c>
      <c r="S2846" s="183" t="n">
        <v>0</v>
      </c>
      <c r="T2846" s="183" t="n">
        <v>0</v>
      </c>
      <c r="U2846" s="182" t="n">
        <v>6.57</v>
      </c>
      <c r="V2846" s="182" t="n">
        <v>0</v>
      </c>
      <c r="W2846" s="182" t="n">
        <v>0</v>
      </c>
      <c r="X2846" s="182" t="n">
        <v>0</v>
      </c>
      <c r="Y2846" s="182" t="n">
        <v>0</v>
      </c>
      <c r="Z2846" s="182" t="n">
        <v>0</v>
      </c>
      <c r="AA2846" s="182" t="n">
        <v>0</v>
      </c>
      <c r="AB2846" s="182" t="n">
        <v>0</v>
      </c>
      <c r="AC2846" s="182" t="n">
        <v>0</v>
      </c>
      <c r="AD2846" s="182" t="n">
        <v>2.87</v>
      </c>
      <c r="AE2846" s="182" t="n">
        <v>0</v>
      </c>
      <c r="AF2846" s="182" t="n">
        <v>0</v>
      </c>
      <c r="AG2846" s="182" t="n">
        <v>0</v>
      </c>
      <c r="AH2846" s="182" t="n">
        <v>0</v>
      </c>
      <c r="AI2846" s="182" t="n">
        <v>0</v>
      </c>
      <c r="AJ2846" s="182" t="n">
        <v>0</v>
      </c>
      <c r="AK2846" s="182" t="n">
        <v>0</v>
      </c>
      <c r="AL2846" s="182" t="n">
        <v>0</v>
      </c>
      <c r="AM2846" s="182" t="n">
        <v>0.08</v>
      </c>
      <c r="AN2846" s="182" t="n">
        <v>0</v>
      </c>
    </row>
    <row r="2847">
      <c r="A2847" s="155" t="n">
        <v>46094</v>
      </c>
      <c r="B2847" s="156" t="inlineStr">
        <is>
          <t>NS</t>
        </is>
      </c>
      <c r="C2847" s="156" t="inlineStr">
        <is>
          <t>DT-508</t>
        </is>
      </c>
      <c r="D2847" s="156" t="inlineStr">
        <is>
          <t>SKT 105S</t>
        </is>
      </c>
      <c r="E2847" s="156" t="inlineStr">
        <is>
          <t>Hauler</t>
        </is>
      </c>
      <c r="F2847" s="156" t="inlineStr"/>
      <c r="G2847" s="182" t="n">
        <v>0</v>
      </c>
      <c r="H2847" s="182" t="n">
        <v>12</v>
      </c>
      <c r="I2847" s="182" t="n">
        <v>0</v>
      </c>
      <c r="J2847" s="182" t="n">
        <v>12</v>
      </c>
      <c r="K2847" s="182" t="n">
        <v>0</v>
      </c>
      <c r="L2847" s="182" t="n">
        <v>12</v>
      </c>
      <c r="M2847" s="182" t="n">
        <v>0</v>
      </c>
      <c r="N2847" s="182" t="n">
        <v>0</v>
      </c>
      <c r="O2847" s="183" t="n">
        <v>0</v>
      </c>
      <c r="P2847" s="183" t="n">
        <v>0</v>
      </c>
      <c r="Q2847" s="184" t="n">
        <v>0</v>
      </c>
      <c r="R2847" s="184" t="n">
        <v>0</v>
      </c>
      <c r="S2847" s="183" t="n">
        <v>0</v>
      </c>
      <c r="T2847" s="183" t="n">
        <v>0</v>
      </c>
      <c r="U2847" s="182" t="n">
        <v>0</v>
      </c>
      <c r="V2847" s="182" t="n">
        <v>0</v>
      </c>
      <c r="W2847" s="182" t="n">
        <v>0</v>
      </c>
      <c r="X2847" s="182" t="n">
        <v>0</v>
      </c>
      <c r="Y2847" s="182" t="n">
        <v>0</v>
      </c>
      <c r="Z2847" s="182" t="n">
        <v>0</v>
      </c>
      <c r="AA2847" s="182" t="n">
        <v>0</v>
      </c>
      <c r="AB2847" s="182" t="n">
        <v>0</v>
      </c>
      <c r="AC2847" s="182" t="n">
        <v>0</v>
      </c>
      <c r="AD2847" s="182" t="n">
        <v>0</v>
      </c>
      <c r="AE2847" s="182" t="n">
        <v>0</v>
      </c>
      <c r="AF2847" s="182" t="n">
        <v>0</v>
      </c>
      <c r="AG2847" s="182" t="n">
        <v>0</v>
      </c>
      <c r="AH2847" s="182" t="n">
        <v>0</v>
      </c>
      <c r="AI2847" s="182" t="n">
        <v>0</v>
      </c>
      <c r="AJ2847" s="182" t="n">
        <v>0</v>
      </c>
      <c r="AK2847" s="182" t="n">
        <v>0</v>
      </c>
      <c r="AL2847" s="182" t="n">
        <v>0</v>
      </c>
      <c r="AM2847" s="182" t="n">
        <v>0</v>
      </c>
      <c r="AN2847" s="182" t="n">
        <v>0</v>
      </c>
    </row>
    <row r="2848">
      <c r="A2848" s="155" t="n">
        <v>46094</v>
      </c>
      <c r="B2848" s="156" t="inlineStr">
        <is>
          <t>NS</t>
        </is>
      </c>
      <c r="C2848" s="156" t="inlineStr">
        <is>
          <t>DT-515</t>
        </is>
      </c>
      <c r="D2848" s="156" t="inlineStr">
        <is>
          <t>SKT 105S</t>
        </is>
      </c>
      <c r="E2848" s="156" t="inlineStr">
        <is>
          <t>Hauler</t>
        </is>
      </c>
      <c r="F2848" s="156" t="inlineStr">
        <is>
          <t>Hauling Coal &amp; OB</t>
        </is>
      </c>
      <c r="G2848" s="182" t="n">
        <v>4.57</v>
      </c>
      <c r="H2848" s="182" t="n">
        <v>0</v>
      </c>
      <c r="I2848" s="182" t="n">
        <v>0</v>
      </c>
      <c r="J2848" s="182" t="n">
        <v>0</v>
      </c>
      <c r="K2848" s="182" t="n">
        <v>7.43</v>
      </c>
      <c r="L2848" s="182" t="n">
        <v>12</v>
      </c>
      <c r="M2848" s="182" t="n">
        <v>0</v>
      </c>
      <c r="N2848" s="182" t="n">
        <v>4.57</v>
      </c>
      <c r="O2848" s="183" t="n">
        <v>0</v>
      </c>
      <c r="P2848" s="183" t="n">
        <v>11</v>
      </c>
      <c r="Q2848" s="184" t="n">
        <v>0</v>
      </c>
      <c r="R2848" s="184" t="n">
        <v>205.7</v>
      </c>
      <c r="S2848" s="183" t="n">
        <v>0</v>
      </c>
      <c r="T2848" s="183" t="n">
        <v>0</v>
      </c>
      <c r="U2848" s="182" t="n">
        <v>6.39</v>
      </c>
      <c r="V2848" s="182" t="n">
        <v>0</v>
      </c>
      <c r="W2848" s="182" t="n">
        <v>0</v>
      </c>
      <c r="X2848" s="182" t="n">
        <v>0.96</v>
      </c>
      <c r="Y2848" s="182" t="n">
        <v>0</v>
      </c>
      <c r="Z2848" s="182" t="n">
        <v>0</v>
      </c>
      <c r="AA2848" s="182" t="n">
        <v>0</v>
      </c>
      <c r="AB2848" s="182" t="n">
        <v>0</v>
      </c>
      <c r="AC2848" s="182" t="n">
        <v>0</v>
      </c>
      <c r="AD2848" s="182" t="n">
        <v>0</v>
      </c>
      <c r="AE2848" s="182" t="n">
        <v>0</v>
      </c>
      <c r="AF2848" s="182" t="n">
        <v>0</v>
      </c>
      <c r="AG2848" s="182" t="n">
        <v>0</v>
      </c>
      <c r="AH2848" s="182" t="n">
        <v>0</v>
      </c>
      <c r="AI2848" s="182" t="n">
        <v>0</v>
      </c>
      <c r="AJ2848" s="182" t="n">
        <v>0</v>
      </c>
      <c r="AK2848" s="182" t="n">
        <v>0</v>
      </c>
      <c r="AL2848" s="182" t="n">
        <v>0</v>
      </c>
      <c r="AM2848" s="182" t="n">
        <v>0.08</v>
      </c>
      <c r="AN2848" s="182" t="n">
        <v>0</v>
      </c>
    </row>
    <row r="2849">
      <c r="A2849" s="155" t="n">
        <v>46094</v>
      </c>
      <c r="B2849" s="156" t="inlineStr">
        <is>
          <t>NS</t>
        </is>
      </c>
      <c r="C2849" s="156" t="inlineStr">
        <is>
          <t>DT-524</t>
        </is>
      </c>
      <c r="D2849" s="156" t="inlineStr">
        <is>
          <t>SKT 105S</t>
        </is>
      </c>
      <c r="E2849" s="156" t="inlineStr">
        <is>
          <t>Hauler</t>
        </is>
      </c>
      <c r="F2849" s="156" t="inlineStr">
        <is>
          <t>Hauling OB</t>
        </is>
      </c>
      <c r="G2849" s="182" t="n">
        <v>1.57</v>
      </c>
      <c r="H2849" s="182" t="n">
        <v>0</v>
      </c>
      <c r="I2849" s="182" t="n">
        <v>0.25</v>
      </c>
      <c r="J2849" s="182" t="n">
        <v>0.25</v>
      </c>
      <c r="K2849" s="182" t="n">
        <v>10.18</v>
      </c>
      <c r="L2849" s="182" t="n">
        <v>12</v>
      </c>
      <c r="M2849" s="182" t="n">
        <v>1.57</v>
      </c>
      <c r="N2849" s="182" t="n">
        <v>0</v>
      </c>
      <c r="O2849" s="183" t="n">
        <v>1</v>
      </c>
      <c r="P2849" s="183" t="n">
        <v>0</v>
      </c>
      <c r="Q2849" s="184" t="n">
        <v>20.4</v>
      </c>
      <c r="R2849" s="184" t="n">
        <v>0</v>
      </c>
      <c r="S2849" s="183" t="n">
        <v>0</v>
      </c>
      <c r="T2849" s="183" t="n">
        <v>0</v>
      </c>
      <c r="U2849" s="182" t="n">
        <v>6.43</v>
      </c>
      <c r="V2849" s="182" t="n">
        <v>0</v>
      </c>
      <c r="W2849" s="182" t="n">
        <v>0</v>
      </c>
      <c r="X2849" s="182" t="n">
        <v>0</v>
      </c>
      <c r="Y2849" s="182" t="n">
        <v>0</v>
      </c>
      <c r="Z2849" s="182" t="n">
        <v>0</v>
      </c>
      <c r="AA2849" s="182" t="n">
        <v>0</v>
      </c>
      <c r="AB2849" s="182" t="n">
        <v>0</v>
      </c>
      <c r="AC2849" s="182" t="n">
        <v>0</v>
      </c>
      <c r="AD2849" s="182" t="n">
        <v>3.67</v>
      </c>
      <c r="AE2849" s="182" t="n">
        <v>0</v>
      </c>
      <c r="AF2849" s="182" t="n">
        <v>0</v>
      </c>
      <c r="AG2849" s="182" t="n">
        <v>0</v>
      </c>
      <c r="AH2849" s="182" t="n">
        <v>0</v>
      </c>
      <c r="AI2849" s="182" t="n">
        <v>0</v>
      </c>
      <c r="AJ2849" s="182" t="n">
        <v>0</v>
      </c>
      <c r="AK2849" s="182" t="n">
        <v>0</v>
      </c>
      <c r="AL2849" s="182" t="n">
        <v>0</v>
      </c>
      <c r="AM2849" s="182" t="n">
        <v>0.08</v>
      </c>
      <c r="AN2849" s="182" t="n">
        <v>0</v>
      </c>
    </row>
    <row r="2850">
      <c r="A2850" s="155" t="n">
        <v>46094</v>
      </c>
      <c r="B2850" s="156" t="inlineStr">
        <is>
          <t>NS</t>
        </is>
      </c>
      <c r="C2850" s="156" t="inlineStr">
        <is>
          <t>DT-341</t>
        </is>
      </c>
      <c r="D2850" s="156" t="inlineStr">
        <is>
          <t>SYZ324C-8W</t>
        </is>
      </c>
      <c r="E2850" s="156" t="inlineStr">
        <is>
          <t>Hauler</t>
        </is>
      </c>
      <c r="F2850" s="156" t="inlineStr">
        <is>
          <t>Support Washing Plant</t>
        </is>
      </c>
      <c r="G2850" s="182" t="n">
        <v>3.38</v>
      </c>
      <c r="H2850" s="182" t="n">
        <v>0</v>
      </c>
      <c r="I2850" s="182" t="n">
        <v>0</v>
      </c>
      <c r="J2850" s="182" t="n">
        <v>0</v>
      </c>
      <c r="K2850" s="182" t="n">
        <v>8.619999999999999</v>
      </c>
      <c r="L2850" s="182" t="n">
        <v>12</v>
      </c>
      <c r="M2850" s="182" t="n">
        <v>0</v>
      </c>
      <c r="N2850" s="182" t="n">
        <v>0</v>
      </c>
      <c r="O2850" s="183" t="n">
        <v>0</v>
      </c>
      <c r="P2850" s="183" t="n">
        <v>0</v>
      </c>
      <c r="Q2850" s="184" t="n">
        <v>0</v>
      </c>
      <c r="R2850" s="184" t="n">
        <v>0</v>
      </c>
      <c r="S2850" s="183" t="n">
        <v>0</v>
      </c>
      <c r="T2850" s="183" t="n">
        <v>0</v>
      </c>
      <c r="U2850" s="182" t="n">
        <v>0</v>
      </c>
      <c r="V2850" s="182" t="n">
        <v>0</v>
      </c>
      <c r="W2850" s="182" t="n">
        <v>0</v>
      </c>
      <c r="X2850" s="182" t="n">
        <v>1.03</v>
      </c>
      <c r="Y2850" s="182" t="n">
        <v>0</v>
      </c>
      <c r="Z2850" s="182" t="n">
        <v>0</v>
      </c>
      <c r="AA2850" s="182" t="n">
        <v>0</v>
      </c>
      <c r="AB2850" s="182" t="n">
        <v>0</v>
      </c>
      <c r="AC2850" s="182" t="n">
        <v>0</v>
      </c>
      <c r="AD2850" s="182" t="n">
        <v>0</v>
      </c>
      <c r="AE2850" s="182" t="n">
        <v>0</v>
      </c>
      <c r="AF2850" s="182" t="n">
        <v>0</v>
      </c>
      <c r="AG2850" s="182" t="n">
        <v>0</v>
      </c>
      <c r="AH2850" s="182" t="n">
        <v>0</v>
      </c>
      <c r="AI2850" s="182" t="n">
        <v>0</v>
      </c>
      <c r="AJ2850" s="182" t="n">
        <v>0</v>
      </c>
      <c r="AK2850" s="182" t="n">
        <v>7.51</v>
      </c>
      <c r="AL2850" s="182" t="n">
        <v>0</v>
      </c>
      <c r="AM2850" s="182" t="n">
        <v>0.08</v>
      </c>
      <c r="AN2850" s="182" t="n">
        <v>0</v>
      </c>
    </row>
    <row r="2851">
      <c r="A2851" s="155" t="n">
        <v>46094</v>
      </c>
      <c r="B2851" s="156" t="inlineStr">
        <is>
          <t>NS</t>
        </is>
      </c>
      <c r="C2851" s="156" t="inlineStr">
        <is>
          <t>DT-342</t>
        </is>
      </c>
      <c r="D2851" s="156" t="inlineStr">
        <is>
          <t>SYZ324C-8W</t>
        </is>
      </c>
      <c r="E2851" s="156" t="inlineStr">
        <is>
          <t>Hauler</t>
        </is>
      </c>
      <c r="F2851" s="156" t="inlineStr">
        <is>
          <t>Support Washing Plant</t>
        </is>
      </c>
      <c r="G2851" s="182" t="n">
        <v>3.8</v>
      </c>
      <c r="H2851" s="182" t="n">
        <v>0</v>
      </c>
      <c r="I2851" s="182" t="n">
        <v>0</v>
      </c>
      <c r="J2851" s="182" t="n">
        <v>0</v>
      </c>
      <c r="K2851" s="182" t="n">
        <v>8.199999999999999</v>
      </c>
      <c r="L2851" s="182" t="n">
        <v>12</v>
      </c>
      <c r="M2851" s="182" t="n">
        <v>0</v>
      </c>
      <c r="N2851" s="182" t="n">
        <v>0</v>
      </c>
      <c r="O2851" s="183" t="n">
        <v>0</v>
      </c>
      <c r="P2851" s="183" t="n">
        <v>0</v>
      </c>
      <c r="Q2851" s="184" t="n">
        <v>0</v>
      </c>
      <c r="R2851" s="184" t="n">
        <v>0</v>
      </c>
      <c r="S2851" s="183" t="n">
        <v>0</v>
      </c>
      <c r="T2851" s="183" t="n">
        <v>0</v>
      </c>
      <c r="U2851" s="182" t="n">
        <v>0</v>
      </c>
      <c r="V2851" s="182" t="n">
        <v>0</v>
      </c>
      <c r="W2851" s="182" t="n">
        <v>0</v>
      </c>
      <c r="X2851" s="182" t="n">
        <v>1</v>
      </c>
      <c r="Y2851" s="182" t="n">
        <v>0</v>
      </c>
      <c r="Z2851" s="182" t="n">
        <v>0</v>
      </c>
      <c r="AA2851" s="182" t="n">
        <v>0</v>
      </c>
      <c r="AB2851" s="182" t="n">
        <v>0</v>
      </c>
      <c r="AC2851" s="182" t="n">
        <v>0</v>
      </c>
      <c r="AD2851" s="182" t="n">
        <v>0</v>
      </c>
      <c r="AE2851" s="182" t="n">
        <v>0</v>
      </c>
      <c r="AF2851" s="182" t="n">
        <v>0</v>
      </c>
      <c r="AG2851" s="182" t="n">
        <v>0</v>
      </c>
      <c r="AH2851" s="182" t="n">
        <v>0</v>
      </c>
      <c r="AI2851" s="182" t="n">
        <v>0</v>
      </c>
      <c r="AJ2851" s="182" t="n">
        <v>0</v>
      </c>
      <c r="AK2851" s="182" t="n">
        <v>7.12</v>
      </c>
      <c r="AL2851" s="182" t="n">
        <v>0</v>
      </c>
      <c r="AM2851" s="182" t="n">
        <v>0.08</v>
      </c>
      <c r="AN2851" s="182" t="n">
        <v>0</v>
      </c>
    </row>
    <row r="2852">
      <c r="A2852" s="155" t="n">
        <v>46094</v>
      </c>
      <c r="B2852" s="156" t="inlineStr">
        <is>
          <t>NS</t>
        </is>
      </c>
      <c r="C2852" s="156" t="inlineStr">
        <is>
          <t>HD-903</t>
        </is>
      </c>
      <c r="D2852" s="156" t="inlineStr">
        <is>
          <t>SRT 95C</t>
        </is>
      </c>
      <c r="E2852" s="156" t="inlineStr">
        <is>
          <t>Hauler</t>
        </is>
      </c>
      <c r="F2852" s="156" t="inlineStr">
        <is>
          <t>Hauling OB</t>
        </is>
      </c>
      <c r="G2852" s="182" t="n">
        <v>3.46</v>
      </c>
      <c r="H2852" s="182" t="n">
        <v>0</v>
      </c>
      <c r="I2852" s="182" t="n">
        <v>0</v>
      </c>
      <c r="J2852" s="182" t="n">
        <v>0</v>
      </c>
      <c r="K2852" s="182" t="n">
        <v>8.539999999999999</v>
      </c>
      <c r="L2852" s="182" t="n">
        <v>12</v>
      </c>
      <c r="M2852" s="182" t="n">
        <v>3.31</v>
      </c>
      <c r="N2852" s="182" t="n">
        <v>0</v>
      </c>
      <c r="O2852" s="183" t="n">
        <v>17</v>
      </c>
      <c r="P2852" s="183" t="n">
        <v>0</v>
      </c>
      <c r="Q2852" s="184" t="n">
        <v>606.9</v>
      </c>
      <c r="R2852" s="184" t="n">
        <v>0</v>
      </c>
      <c r="S2852" s="183" t="n">
        <v>0</v>
      </c>
      <c r="T2852" s="183" t="n">
        <v>0</v>
      </c>
      <c r="U2852" s="182" t="n">
        <v>7.4</v>
      </c>
      <c r="V2852" s="182" t="n">
        <v>0</v>
      </c>
      <c r="W2852" s="182" t="n">
        <v>0</v>
      </c>
      <c r="X2852" s="182" t="n">
        <v>1.05</v>
      </c>
      <c r="Y2852" s="182" t="n">
        <v>0</v>
      </c>
      <c r="Z2852" s="182" t="n">
        <v>0</v>
      </c>
      <c r="AA2852" s="182" t="n">
        <v>0</v>
      </c>
      <c r="AB2852" s="182" t="n">
        <v>0</v>
      </c>
      <c r="AC2852" s="182" t="n">
        <v>0</v>
      </c>
      <c r="AD2852" s="182" t="n">
        <v>0</v>
      </c>
      <c r="AE2852" s="182" t="n">
        <v>0</v>
      </c>
      <c r="AF2852" s="182" t="n">
        <v>0</v>
      </c>
      <c r="AG2852" s="182" t="n">
        <v>0</v>
      </c>
      <c r="AH2852" s="182" t="n">
        <v>0</v>
      </c>
      <c r="AI2852" s="182" t="n">
        <v>0</v>
      </c>
      <c r="AJ2852" s="182" t="n">
        <v>0</v>
      </c>
      <c r="AK2852" s="182" t="n">
        <v>0</v>
      </c>
      <c r="AL2852" s="182" t="n">
        <v>0</v>
      </c>
      <c r="AM2852" s="182" t="n">
        <v>0.08</v>
      </c>
      <c r="AN2852" s="182" t="n">
        <v>0</v>
      </c>
    </row>
    <row r="2853">
      <c r="A2853" s="155" t="n">
        <v>46094</v>
      </c>
      <c r="B2853" s="156" t="inlineStr">
        <is>
          <t>NS</t>
        </is>
      </c>
      <c r="C2853" s="156" t="inlineStr">
        <is>
          <t>HD-905</t>
        </is>
      </c>
      <c r="D2853" s="156" t="inlineStr">
        <is>
          <t>SRT 95C</t>
        </is>
      </c>
      <c r="E2853" s="156" t="inlineStr">
        <is>
          <t>Hauler</t>
        </is>
      </c>
      <c r="F2853" s="156" t="inlineStr"/>
      <c r="G2853" s="182" t="n">
        <v>0</v>
      </c>
      <c r="H2853" s="182" t="n">
        <v>0</v>
      </c>
      <c r="I2853" s="182" t="n">
        <v>12</v>
      </c>
      <c r="J2853" s="182" t="n">
        <v>12</v>
      </c>
      <c r="K2853" s="182" t="n">
        <v>0</v>
      </c>
      <c r="L2853" s="182" t="n">
        <v>12</v>
      </c>
      <c r="M2853" s="182" t="n">
        <v>0</v>
      </c>
      <c r="N2853" s="182" t="n">
        <v>0</v>
      </c>
      <c r="O2853" s="183" t="n">
        <v>0</v>
      </c>
      <c r="P2853" s="183" t="n">
        <v>0</v>
      </c>
      <c r="Q2853" s="184" t="n">
        <v>0</v>
      </c>
      <c r="R2853" s="184" t="n">
        <v>0</v>
      </c>
      <c r="S2853" s="183" t="n">
        <v>0</v>
      </c>
      <c r="T2853" s="183" t="n">
        <v>0</v>
      </c>
      <c r="U2853" s="182" t="n">
        <v>0</v>
      </c>
      <c r="V2853" s="182" t="n">
        <v>0</v>
      </c>
      <c r="W2853" s="182" t="n">
        <v>0</v>
      </c>
      <c r="X2853" s="182" t="n">
        <v>0</v>
      </c>
      <c r="Y2853" s="182" t="n">
        <v>0</v>
      </c>
      <c r="Z2853" s="182" t="n">
        <v>0</v>
      </c>
      <c r="AA2853" s="182" t="n">
        <v>0</v>
      </c>
      <c r="AB2853" s="182" t="n">
        <v>0</v>
      </c>
      <c r="AC2853" s="182" t="n">
        <v>0</v>
      </c>
      <c r="AD2853" s="182" t="n">
        <v>0</v>
      </c>
      <c r="AE2853" s="182" t="n">
        <v>0</v>
      </c>
      <c r="AF2853" s="182" t="n">
        <v>0</v>
      </c>
      <c r="AG2853" s="182" t="n">
        <v>0</v>
      </c>
      <c r="AH2853" s="182" t="n">
        <v>0</v>
      </c>
      <c r="AI2853" s="182" t="n">
        <v>0</v>
      </c>
      <c r="AJ2853" s="182" t="n">
        <v>0</v>
      </c>
      <c r="AK2853" s="182" t="n">
        <v>0</v>
      </c>
      <c r="AL2853" s="182" t="n">
        <v>0</v>
      </c>
      <c r="AM2853" s="182" t="n">
        <v>0</v>
      </c>
      <c r="AN2853" s="182" t="n">
        <v>0</v>
      </c>
    </row>
    <row r="2854">
      <c r="A2854" s="155" t="n">
        <v>46094</v>
      </c>
      <c r="B2854" s="156" t="inlineStr">
        <is>
          <t>NS</t>
        </is>
      </c>
      <c r="C2854" s="156" t="inlineStr">
        <is>
          <t>HD-901</t>
        </is>
      </c>
      <c r="D2854" s="156" t="inlineStr">
        <is>
          <t>SRT 95C</t>
        </is>
      </c>
      <c r="E2854" s="156" t="inlineStr">
        <is>
          <t>Hauler</t>
        </is>
      </c>
      <c r="F2854" s="156" t="inlineStr">
        <is>
          <t>Hauling OB</t>
        </is>
      </c>
      <c r="G2854" s="182" t="n">
        <v>4.07</v>
      </c>
      <c r="H2854" s="182" t="n">
        <v>0</v>
      </c>
      <c r="I2854" s="182" t="n">
        <v>0</v>
      </c>
      <c r="J2854" s="182" t="n">
        <v>0</v>
      </c>
      <c r="K2854" s="182" t="n">
        <v>7.93</v>
      </c>
      <c r="L2854" s="182" t="n">
        <v>12</v>
      </c>
      <c r="M2854" s="182" t="n">
        <v>3.73</v>
      </c>
      <c r="N2854" s="182" t="n">
        <v>0</v>
      </c>
      <c r="O2854" s="183" t="n">
        <v>18</v>
      </c>
      <c r="P2854" s="183" t="n">
        <v>0</v>
      </c>
      <c r="Q2854" s="184" t="n">
        <v>642.6</v>
      </c>
      <c r="R2854" s="184" t="n">
        <v>0</v>
      </c>
      <c r="S2854" s="183" t="n">
        <v>0</v>
      </c>
      <c r="T2854" s="183" t="n">
        <v>0</v>
      </c>
      <c r="U2854" s="182" t="n">
        <v>6.94</v>
      </c>
      <c r="V2854" s="182" t="n">
        <v>0</v>
      </c>
      <c r="W2854" s="182" t="n">
        <v>0</v>
      </c>
      <c r="X2854" s="182" t="n">
        <v>0.91</v>
      </c>
      <c r="Y2854" s="182" t="n">
        <v>0</v>
      </c>
      <c r="Z2854" s="182" t="n">
        <v>0</v>
      </c>
      <c r="AA2854" s="182" t="n">
        <v>0</v>
      </c>
      <c r="AB2854" s="182" t="n">
        <v>0</v>
      </c>
      <c r="AC2854" s="182" t="n">
        <v>0</v>
      </c>
      <c r="AD2854" s="182" t="n">
        <v>0</v>
      </c>
      <c r="AE2854" s="182" t="n">
        <v>0</v>
      </c>
      <c r="AF2854" s="182" t="n">
        <v>0</v>
      </c>
      <c r="AG2854" s="182" t="n">
        <v>0</v>
      </c>
      <c r="AH2854" s="182" t="n">
        <v>0</v>
      </c>
      <c r="AI2854" s="182" t="n">
        <v>0</v>
      </c>
      <c r="AJ2854" s="182" t="n">
        <v>0</v>
      </c>
      <c r="AK2854" s="182" t="n">
        <v>0</v>
      </c>
      <c r="AL2854" s="182" t="n">
        <v>0</v>
      </c>
      <c r="AM2854" s="182" t="n">
        <v>0.08</v>
      </c>
      <c r="AN2854" s="182" t="n">
        <v>0</v>
      </c>
    </row>
    <row r="2855">
      <c r="A2855" s="155" t="n">
        <v>46094</v>
      </c>
      <c r="B2855" s="156" t="inlineStr">
        <is>
          <t>NS</t>
        </is>
      </c>
      <c r="C2855" s="156" t="inlineStr">
        <is>
          <t>HD-904</t>
        </is>
      </c>
      <c r="D2855" s="156" t="inlineStr">
        <is>
          <t>SRT 95C</t>
        </is>
      </c>
      <c r="E2855" s="156" t="inlineStr">
        <is>
          <t>Hauler</t>
        </is>
      </c>
      <c r="F2855" s="156" t="inlineStr"/>
      <c r="G2855" s="182" t="n">
        <v>0</v>
      </c>
      <c r="H2855" s="182" t="n">
        <v>0</v>
      </c>
      <c r="I2855" s="182" t="n">
        <v>12</v>
      </c>
      <c r="J2855" s="182" t="n">
        <v>12</v>
      </c>
      <c r="K2855" s="182" t="n">
        <v>0</v>
      </c>
      <c r="L2855" s="182" t="n">
        <v>12</v>
      </c>
      <c r="M2855" s="182" t="n">
        <v>0</v>
      </c>
      <c r="N2855" s="182" t="n">
        <v>0</v>
      </c>
      <c r="O2855" s="183" t="n">
        <v>0</v>
      </c>
      <c r="P2855" s="183" t="n">
        <v>0</v>
      </c>
      <c r="Q2855" s="184" t="n">
        <v>0</v>
      </c>
      <c r="R2855" s="184" t="n">
        <v>0</v>
      </c>
      <c r="S2855" s="183" t="n">
        <v>0</v>
      </c>
      <c r="T2855" s="183" t="n">
        <v>0</v>
      </c>
      <c r="U2855" s="182" t="n">
        <v>0</v>
      </c>
      <c r="V2855" s="182" t="n">
        <v>0</v>
      </c>
      <c r="W2855" s="182" t="n">
        <v>0</v>
      </c>
      <c r="X2855" s="182" t="n">
        <v>0</v>
      </c>
      <c r="Y2855" s="182" t="n">
        <v>0</v>
      </c>
      <c r="Z2855" s="182" t="n">
        <v>0</v>
      </c>
      <c r="AA2855" s="182" t="n">
        <v>0</v>
      </c>
      <c r="AB2855" s="182" t="n">
        <v>0</v>
      </c>
      <c r="AC2855" s="182" t="n">
        <v>0</v>
      </c>
      <c r="AD2855" s="182" t="n">
        <v>0</v>
      </c>
      <c r="AE2855" s="182" t="n">
        <v>0</v>
      </c>
      <c r="AF2855" s="182" t="n">
        <v>0</v>
      </c>
      <c r="AG2855" s="182" t="n">
        <v>0</v>
      </c>
      <c r="AH2855" s="182" t="n">
        <v>0</v>
      </c>
      <c r="AI2855" s="182" t="n">
        <v>0</v>
      </c>
      <c r="AJ2855" s="182" t="n">
        <v>0</v>
      </c>
      <c r="AK2855" s="182" t="n">
        <v>0</v>
      </c>
      <c r="AL2855" s="182" t="n">
        <v>0</v>
      </c>
      <c r="AM2855" s="182" t="n">
        <v>0</v>
      </c>
      <c r="AN2855" s="182" t="n">
        <v>0</v>
      </c>
    </row>
    <row r="2856">
      <c r="A2856" s="155" t="n">
        <v>46094</v>
      </c>
      <c r="B2856" s="156" t="inlineStr">
        <is>
          <t>NS</t>
        </is>
      </c>
      <c r="C2856" s="156" t="inlineStr">
        <is>
          <t>HD-902</t>
        </is>
      </c>
      <c r="D2856" s="156" t="inlineStr">
        <is>
          <t>SRT 95C</t>
        </is>
      </c>
      <c r="E2856" s="156" t="inlineStr">
        <is>
          <t>Hauler</t>
        </is>
      </c>
      <c r="F2856" s="156" t="inlineStr">
        <is>
          <t>Hauling OB</t>
        </is>
      </c>
      <c r="G2856" s="182" t="n">
        <v>4.26</v>
      </c>
      <c r="H2856" s="182" t="n">
        <v>0</v>
      </c>
      <c r="I2856" s="182" t="n">
        <v>0</v>
      </c>
      <c r="J2856" s="182" t="n">
        <v>0</v>
      </c>
      <c r="K2856" s="182" t="n">
        <v>7.74</v>
      </c>
      <c r="L2856" s="182" t="n">
        <v>12</v>
      </c>
      <c r="M2856" s="182" t="n">
        <v>4.26</v>
      </c>
      <c r="N2856" s="182" t="n">
        <v>0</v>
      </c>
      <c r="O2856" s="183" t="n">
        <v>17</v>
      </c>
      <c r="P2856" s="183" t="n">
        <v>0</v>
      </c>
      <c r="Q2856" s="184" t="n">
        <v>606.9</v>
      </c>
      <c r="R2856" s="184" t="n">
        <v>0</v>
      </c>
      <c r="S2856" s="183" t="n">
        <v>0</v>
      </c>
      <c r="T2856" s="183" t="n">
        <v>0</v>
      </c>
      <c r="U2856" s="182" t="n">
        <v>6.68</v>
      </c>
      <c r="V2856" s="182" t="n">
        <v>0</v>
      </c>
      <c r="W2856" s="182" t="n">
        <v>0</v>
      </c>
      <c r="X2856" s="182" t="n">
        <v>0.98</v>
      </c>
      <c r="Y2856" s="182" t="n">
        <v>0</v>
      </c>
      <c r="Z2856" s="182" t="n">
        <v>0</v>
      </c>
      <c r="AA2856" s="182" t="n">
        <v>0</v>
      </c>
      <c r="AB2856" s="182" t="n">
        <v>0</v>
      </c>
      <c r="AC2856" s="182" t="n">
        <v>0</v>
      </c>
      <c r="AD2856" s="182" t="n">
        <v>0</v>
      </c>
      <c r="AE2856" s="182" t="n">
        <v>0</v>
      </c>
      <c r="AF2856" s="182" t="n">
        <v>0</v>
      </c>
      <c r="AG2856" s="182" t="n">
        <v>0</v>
      </c>
      <c r="AH2856" s="182" t="n">
        <v>0</v>
      </c>
      <c r="AI2856" s="182" t="n">
        <v>0</v>
      </c>
      <c r="AJ2856" s="182" t="n">
        <v>0</v>
      </c>
      <c r="AK2856" s="182" t="n">
        <v>0</v>
      </c>
      <c r="AL2856" s="182" t="n">
        <v>0</v>
      </c>
      <c r="AM2856" s="182" t="n">
        <v>0.08</v>
      </c>
      <c r="AN2856" s="182" t="n">
        <v>0</v>
      </c>
    </row>
    <row r="2857">
      <c r="A2857" s="155" t="n">
        <v>46094</v>
      </c>
      <c r="B2857" s="156" t="inlineStr">
        <is>
          <t>NS</t>
        </is>
      </c>
      <c r="C2857" s="156" t="inlineStr">
        <is>
          <t>WL-025</t>
        </is>
      </c>
      <c r="D2857" s="156" t="inlineStr">
        <is>
          <t>SANY - Loader</t>
        </is>
      </c>
      <c r="E2857" s="156" t="inlineStr">
        <is>
          <t>Loader</t>
        </is>
      </c>
      <c r="F2857" s="156" t="inlineStr"/>
      <c r="G2857" s="182" t="n">
        <v>0</v>
      </c>
      <c r="H2857" s="182" t="n">
        <v>0</v>
      </c>
      <c r="I2857" s="182" t="n">
        <v>12</v>
      </c>
      <c r="J2857" s="182" t="n">
        <v>12</v>
      </c>
      <c r="K2857" s="182" t="n">
        <v>0</v>
      </c>
      <c r="L2857" s="182" t="n">
        <v>12</v>
      </c>
      <c r="M2857" s="182" t="n">
        <v>0</v>
      </c>
      <c r="N2857" s="182" t="n">
        <v>0</v>
      </c>
      <c r="O2857" s="183" t="n">
        <v>0</v>
      </c>
      <c r="P2857" s="183" t="n">
        <v>0</v>
      </c>
      <c r="Q2857" s="184" t="n">
        <v>0</v>
      </c>
      <c r="R2857" s="184" t="n">
        <v>0</v>
      </c>
      <c r="S2857" s="183" t="n">
        <v>0</v>
      </c>
      <c r="T2857" s="183" t="n">
        <v>0</v>
      </c>
      <c r="U2857" s="182" t="n">
        <v>0</v>
      </c>
      <c r="V2857" s="182" t="n">
        <v>0</v>
      </c>
      <c r="W2857" s="182" t="n">
        <v>0</v>
      </c>
      <c r="X2857" s="182" t="n">
        <v>0</v>
      </c>
      <c r="Y2857" s="182" t="n">
        <v>0</v>
      </c>
      <c r="Z2857" s="182" t="n">
        <v>0</v>
      </c>
      <c r="AA2857" s="182" t="n">
        <v>0</v>
      </c>
      <c r="AB2857" s="182" t="n">
        <v>0</v>
      </c>
      <c r="AC2857" s="182" t="n">
        <v>0</v>
      </c>
      <c r="AD2857" s="182" t="n">
        <v>0</v>
      </c>
      <c r="AE2857" s="182" t="n">
        <v>0</v>
      </c>
      <c r="AF2857" s="182" t="n">
        <v>0</v>
      </c>
      <c r="AG2857" s="182" t="n">
        <v>0</v>
      </c>
      <c r="AH2857" s="182" t="n">
        <v>0</v>
      </c>
      <c r="AI2857" s="182" t="n">
        <v>0</v>
      </c>
      <c r="AJ2857" s="182" t="n">
        <v>0</v>
      </c>
      <c r="AK2857" s="182" t="n">
        <v>0</v>
      </c>
      <c r="AL2857" s="182" t="n">
        <v>0</v>
      </c>
      <c r="AM2857" s="182" t="n">
        <v>0</v>
      </c>
      <c r="AN2857" s="182" t="n">
        <v>0</v>
      </c>
    </row>
    <row r="2858">
      <c r="A2858" s="155" t="n">
        <v>46094</v>
      </c>
      <c r="B2858" s="156" t="inlineStr">
        <is>
          <t>NS</t>
        </is>
      </c>
      <c r="C2858" s="156" t="inlineStr">
        <is>
          <t>WL-023</t>
        </is>
      </c>
      <c r="D2858" s="156" t="inlineStr">
        <is>
          <t>SANY - Loader</t>
        </is>
      </c>
      <c r="E2858" s="156" t="inlineStr">
        <is>
          <t>Loader</t>
        </is>
      </c>
      <c r="F2858" s="156" t="inlineStr">
        <is>
          <t>Timesheet Kosong</t>
        </is>
      </c>
      <c r="G2858" s="182" t="n">
        <v>8.619999999999999</v>
      </c>
      <c r="H2858" s="182" t="n">
        <v>0</v>
      </c>
      <c r="I2858" s="182" t="n">
        <v>0</v>
      </c>
      <c r="J2858" s="182" t="n">
        <v>0</v>
      </c>
      <c r="K2858" s="182" t="n">
        <v>3.38</v>
      </c>
      <c r="L2858" s="182" t="n">
        <v>12</v>
      </c>
      <c r="M2858" s="182" t="n">
        <v>0</v>
      </c>
      <c r="N2858" s="182" t="n">
        <v>0</v>
      </c>
      <c r="O2858" s="183" t="n">
        <v>0</v>
      </c>
      <c r="P2858" s="183" t="n">
        <v>0</v>
      </c>
      <c r="Q2858" s="184" t="n">
        <v>0</v>
      </c>
      <c r="R2858" s="184" t="n">
        <v>0</v>
      </c>
      <c r="S2858" s="183" t="n">
        <v>0</v>
      </c>
      <c r="T2858" s="183" t="n">
        <v>0</v>
      </c>
      <c r="U2858" s="182" t="n">
        <v>0</v>
      </c>
      <c r="V2858" s="182" t="n">
        <v>0</v>
      </c>
      <c r="W2858" s="182" t="n">
        <v>0</v>
      </c>
      <c r="X2858" s="182" t="n">
        <v>1.06</v>
      </c>
      <c r="Y2858" s="182" t="n">
        <v>0</v>
      </c>
      <c r="Z2858" s="182" t="n">
        <v>0</v>
      </c>
      <c r="AA2858" s="182" t="n">
        <v>0</v>
      </c>
      <c r="AB2858" s="182" t="n">
        <v>0</v>
      </c>
      <c r="AC2858" s="182" t="n">
        <v>0</v>
      </c>
      <c r="AD2858" s="182" t="n">
        <v>0</v>
      </c>
      <c r="AE2858" s="182" t="n">
        <v>0</v>
      </c>
      <c r="AF2858" s="182" t="n">
        <v>0</v>
      </c>
      <c r="AG2858" s="182" t="n">
        <v>0</v>
      </c>
      <c r="AH2858" s="182" t="n">
        <v>0</v>
      </c>
      <c r="AI2858" s="182" t="n">
        <v>0</v>
      </c>
      <c r="AJ2858" s="182" t="n">
        <v>0</v>
      </c>
      <c r="AK2858" s="182" t="n">
        <v>2.24</v>
      </c>
      <c r="AL2858" s="182" t="n">
        <v>0</v>
      </c>
      <c r="AM2858" s="182" t="n">
        <v>0.08</v>
      </c>
      <c r="AN2858" s="182" t="n">
        <v>0</v>
      </c>
    </row>
    <row r="2859">
      <c r="A2859" s="155" t="n">
        <v>46094</v>
      </c>
      <c r="B2859" s="156" t="inlineStr">
        <is>
          <t>NS</t>
        </is>
      </c>
      <c r="C2859" s="156" t="inlineStr">
        <is>
          <t>WL-021</t>
        </is>
      </c>
      <c r="D2859" s="156" t="inlineStr">
        <is>
          <t>SANY - Loader</t>
        </is>
      </c>
      <c r="E2859" s="156" t="inlineStr">
        <is>
          <t>Loader</t>
        </is>
      </c>
      <c r="F2859" s="156" t="inlineStr"/>
      <c r="G2859" s="182" t="n">
        <v>0</v>
      </c>
      <c r="H2859" s="182" t="n">
        <v>0</v>
      </c>
      <c r="I2859" s="182" t="n">
        <v>12</v>
      </c>
      <c r="J2859" s="182" t="n">
        <v>12</v>
      </c>
      <c r="K2859" s="182" t="n">
        <v>0</v>
      </c>
      <c r="L2859" s="182" t="n">
        <v>12</v>
      </c>
      <c r="M2859" s="182" t="n">
        <v>0</v>
      </c>
      <c r="N2859" s="182" t="n">
        <v>0</v>
      </c>
      <c r="O2859" s="183" t="n">
        <v>0</v>
      </c>
      <c r="P2859" s="183" t="n">
        <v>0</v>
      </c>
      <c r="Q2859" s="184" t="n">
        <v>0</v>
      </c>
      <c r="R2859" s="184" t="n">
        <v>0</v>
      </c>
      <c r="S2859" s="183" t="n">
        <v>0</v>
      </c>
      <c r="T2859" s="183" t="n">
        <v>0</v>
      </c>
      <c r="U2859" s="182" t="n">
        <v>0</v>
      </c>
      <c r="V2859" s="182" t="n">
        <v>0</v>
      </c>
      <c r="W2859" s="182" t="n">
        <v>0</v>
      </c>
      <c r="X2859" s="182" t="n">
        <v>0</v>
      </c>
      <c r="Y2859" s="182" t="n">
        <v>0</v>
      </c>
      <c r="Z2859" s="182" t="n">
        <v>0</v>
      </c>
      <c r="AA2859" s="182" t="n">
        <v>0</v>
      </c>
      <c r="AB2859" s="182" t="n">
        <v>0</v>
      </c>
      <c r="AC2859" s="182" t="n">
        <v>0</v>
      </c>
      <c r="AD2859" s="182" t="n">
        <v>0</v>
      </c>
      <c r="AE2859" s="182" t="n">
        <v>0</v>
      </c>
      <c r="AF2859" s="182" t="n">
        <v>0</v>
      </c>
      <c r="AG2859" s="182" t="n">
        <v>0</v>
      </c>
      <c r="AH2859" s="182" t="n">
        <v>0</v>
      </c>
      <c r="AI2859" s="182" t="n">
        <v>0</v>
      </c>
      <c r="AJ2859" s="182" t="n">
        <v>0</v>
      </c>
      <c r="AK2859" s="182" t="n">
        <v>0</v>
      </c>
      <c r="AL2859" s="182" t="n">
        <v>0</v>
      </c>
      <c r="AM2859" s="182" t="n">
        <v>0</v>
      </c>
      <c r="AN2859" s="182" t="n">
        <v>0</v>
      </c>
    </row>
    <row r="2860">
      <c r="A2860" s="155" t="n">
        <v>46094</v>
      </c>
      <c r="B2860" s="156" t="inlineStr">
        <is>
          <t>NS</t>
        </is>
      </c>
      <c r="C2860" s="156" t="inlineStr">
        <is>
          <t>WL-022</t>
        </is>
      </c>
      <c r="D2860" s="156" t="inlineStr">
        <is>
          <t>SANY - Loader</t>
        </is>
      </c>
      <c r="E2860" s="156" t="inlineStr">
        <is>
          <t>Loader</t>
        </is>
      </c>
      <c r="F2860" s="156" t="inlineStr">
        <is>
          <t>Support Washing Plant</t>
        </is>
      </c>
      <c r="G2860" s="182" t="n">
        <v>8.279999999999999</v>
      </c>
      <c r="H2860" s="182" t="n">
        <v>0</v>
      </c>
      <c r="I2860" s="182" t="n">
        <v>0</v>
      </c>
      <c r="J2860" s="182" t="n">
        <v>0</v>
      </c>
      <c r="K2860" s="182" t="n">
        <v>3.72</v>
      </c>
      <c r="L2860" s="182" t="n">
        <v>12</v>
      </c>
      <c r="M2860" s="182" t="n">
        <v>0</v>
      </c>
      <c r="N2860" s="182" t="n">
        <v>0</v>
      </c>
      <c r="O2860" s="183" t="n">
        <v>0</v>
      </c>
      <c r="P2860" s="183" t="n">
        <v>0</v>
      </c>
      <c r="Q2860" s="184" t="n">
        <v>0</v>
      </c>
      <c r="R2860" s="184" t="n">
        <v>0</v>
      </c>
      <c r="S2860" s="183" t="n">
        <v>0</v>
      </c>
      <c r="T2860" s="183" t="n">
        <v>0</v>
      </c>
      <c r="U2860" s="182" t="n">
        <v>0</v>
      </c>
      <c r="V2860" s="182" t="n">
        <v>0</v>
      </c>
      <c r="W2860" s="182" t="n">
        <v>0</v>
      </c>
      <c r="X2860" s="182" t="n">
        <v>1.06</v>
      </c>
      <c r="Y2860" s="182" t="n">
        <v>0</v>
      </c>
      <c r="Z2860" s="182" t="n">
        <v>0</v>
      </c>
      <c r="AA2860" s="182" t="n">
        <v>0</v>
      </c>
      <c r="AB2860" s="182" t="n">
        <v>0</v>
      </c>
      <c r="AC2860" s="182" t="n">
        <v>0</v>
      </c>
      <c r="AD2860" s="182" t="n">
        <v>0</v>
      </c>
      <c r="AE2860" s="182" t="n">
        <v>0</v>
      </c>
      <c r="AF2860" s="182" t="n">
        <v>0</v>
      </c>
      <c r="AG2860" s="182" t="n">
        <v>0</v>
      </c>
      <c r="AH2860" s="182" t="n">
        <v>0</v>
      </c>
      <c r="AI2860" s="182" t="n">
        <v>0</v>
      </c>
      <c r="AJ2860" s="182" t="n">
        <v>0</v>
      </c>
      <c r="AK2860" s="182" t="n">
        <v>2.57</v>
      </c>
      <c r="AL2860" s="182" t="n">
        <v>0</v>
      </c>
      <c r="AM2860" s="182" t="n">
        <v>0.09</v>
      </c>
      <c r="AN2860" s="182" t="n">
        <v>0</v>
      </c>
    </row>
    <row r="2861">
      <c r="A2861" s="155" t="n">
        <v>46094</v>
      </c>
      <c r="B2861" s="156" t="inlineStr">
        <is>
          <t>NS</t>
        </is>
      </c>
      <c r="C2861" s="156" t="inlineStr">
        <is>
          <t>WL-024</t>
        </is>
      </c>
      <c r="D2861" s="156" t="inlineStr">
        <is>
          <t>SANY - Loader</t>
        </is>
      </c>
      <c r="E2861" s="156" t="inlineStr">
        <is>
          <t>Loader</t>
        </is>
      </c>
      <c r="F2861" s="156" t="inlineStr">
        <is>
          <t>Support Washing Plant</t>
        </is>
      </c>
      <c r="G2861" s="182" t="n">
        <v>8.01</v>
      </c>
      <c r="H2861" s="182" t="n">
        <v>0.17</v>
      </c>
      <c r="I2861" s="182" t="n">
        <v>0</v>
      </c>
      <c r="J2861" s="182" t="n">
        <v>0.17</v>
      </c>
      <c r="K2861" s="182" t="n">
        <v>3.82</v>
      </c>
      <c r="L2861" s="182" t="n">
        <v>12</v>
      </c>
      <c r="M2861" s="182" t="n">
        <v>0</v>
      </c>
      <c r="N2861" s="182" t="n">
        <v>0</v>
      </c>
      <c r="O2861" s="183" t="n">
        <v>0</v>
      </c>
      <c r="P2861" s="183" t="n">
        <v>0</v>
      </c>
      <c r="Q2861" s="184" t="n">
        <v>0</v>
      </c>
      <c r="R2861" s="184" t="n">
        <v>0</v>
      </c>
      <c r="S2861" s="183" t="n">
        <v>0</v>
      </c>
      <c r="T2861" s="183" t="n">
        <v>0</v>
      </c>
      <c r="U2861" s="182" t="n">
        <v>0</v>
      </c>
      <c r="V2861" s="182" t="n">
        <v>0</v>
      </c>
      <c r="W2861" s="182" t="n">
        <v>0</v>
      </c>
      <c r="X2861" s="182" t="n">
        <v>1.08</v>
      </c>
      <c r="Y2861" s="182" t="n">
        <v>0</v>
      </c>
      <c r="Z2861" s="182" t="n">
        <v>0</v>
      </c>
      <c r="AA2861" s="182" t="n">
        <v>0</v>
      </c>
      <c r="AB2861" s="182" t="n">
        <v>0</v>
      </c>
      <c r="AC2861" s="182" t="n">
        <v>0</v>
      </c>
      <c r="AD2861" s="182" t="n">
        <v>0</v>
      </c>
      <c r="AE2861" s="182" t="n">
        <v>0</v>
      </c>
      <c r="AF2861" s="182" t="n">
        <v>0</v>
      </c>
      <c r="AG2861" s="182" t="n">
        <v>0</v>
      </c>
      <c r="AH2861" s="182" t="n">
        <v>0</v>
      </c>
      <c r="AI2861" s="182" t="n">
        <v>0</v>
      </c>
      <c r="AJ2861" s="182" t="n">
        <v>0</v>
      </c>
      <c r="AK2861" s="182" t="n">
        <v>2.65</v>
      </c>
      <c r="AL2861" s="182" t="n">
        <v>0</v>
      </c>
      <c r="AM2861" s="182" t="n">
        <v>0.09</v>
      </c>
      <c r="AN2861" s="182" t="n">
        <v>0</v>
      </c>
    </row>
    <row r="2862">
      <c r="A2862" s="155" t="n">
        <v>46095</v>
      </c>
      <c r="B2862" s="156" t="inlineStr">
        <is>
          <t>DS</t>
        </is>
      </c>
      <c r="C2862" s="156" t="inlineStr">
        <is>
          <t>DZ-034</t>
        </is>
      </c>
      <c r="D2862" s="156" t="inlineStr">
        <is>
          <t>D 68ESS-12EO</t>
        </is>
      </c>
      <c r="E2862" s="156" t="inlineStr">
        <is>
          <t>Bulldozer</t>
        </is>
      </c>
      <c r="F2862" s="156" t="inlineStr"/>
      <c r="G2862" s="182" t="n">
        <v>0</v>
      </c>
      <c r="H2862" s="182" t="n">
        <v>0</v>
      </c>
      <c r="I2862" s="182" t="n">
        <v>9.5</v>
      </c>
      <c r="J2862" s="182" t="n">
        <v>9.5</v>
      </c>
      <c r="K2862" s="182" t="n">
        <v>2.5</v>
      </c>
      <c r="L2862" s="182" t="n">
        <v>12</v>
      </c>
      <c r="M2862" s="182" t="n">
        <v>0</v>
      </c>
      <c r="N2862" s="182" t="n">
        <v>0</v>
      </c>
      <c r="O2862" s="183" t="n">
        <v>0</v>
      </c>
      <c r="P2862" s="183" t="n">
        <v>0</v>
      </c>
      <c r="Q2862" s="184" t="n">
        <v>0</v>
      </c>
      <c r="R2862" s="184" t="n">
        <v>0</v>
      </c>
      <c r="S2862" s="183" t="n">
        <v>0</v>
      </c>
      <c r="T2862" s="183" t="n">
        <v>0</v>
      </c>
      <c r="U2862" s="182" t="n">
        <v>0</v>
      </c>
      <c r="V2862" s="182" t="n">
        <v>0</v>
      </c>
      <c r="W2862" s="182" t="n">
        <v>0</v>
      </c>
      <c r="X2862" s="182" t="n">
        <v>1</v>
      </c>
      <c r="Y2862" s="182" t="n">
        <v>0</v>
      </c>
      <c r="Z2862" s="182" t="n">
        <v>0</v>
      </c>
      <c r="AA2862" s="182" t="n">
        <v>0</v>
      </c>
      <c r="AB2862" s="182" t="n">
        <v>0</v>
      </c>
      <c r="AC2862" s="182" t="n">
        <v>0</v>
      </c>
      <c r="AD2862" s="182" t="n">
        <v>0</v>
      </c>
      <c r="AE2862" s="182" t="n">
        <v>0</v>
      </c>
      <c r="AF2862" s="182" t="n">
        <v>0</v>
      </c>
      <c r="AG2862" s="182" t="n">
        <v>0</v>
      </c>
      <c r="AH2862" s="182" t="n">
        <v>0</v>
      </c>
      <c r="AI2862" s="182" t="n">
        <v>0</v>
      </c>
      <c r="AJ2862" s="182" t="n">
        <v>0</v>
      </c>
      <c r="AK2862" s="182" t="n">
        <v>1.42</v>
      </c>
      <c r="AL2862" s="182" t="n">
        <v>0</v>
      </c>
      <c r="AM2862" s="182" t="n">
        <v>0.08</v>
      </c>
      <c r="AN2862" s="182" t="n">
        <v>0</v>
      </c>
    </row>
    <row r="2863">
      <c r="A2863" s="155" t="n">
        <v>46095</v>
      </c>
      <c r="B2863" s="156" t="inlineStr">
        <is>
          <t>DS</t>
        </is>
      </c>
      <c r="C2863" s="156" t="inlineStr">
        <is>
          <t>DZ-033</t>
        </is>
      </c>
      <c r="D2863" s="156" t="inlineStr">
        <is>
          <t>D 375A-6R</t>
        </is>
      </c>
      <c r="E2863" s="156" t="inlineStr">
        <is>
          <t>Bulldozer</t>
        </is>
      </c>
      <c r="F2863" s="156" t="inlineStr">
        <is>
          <t>Support Disposal</t>
        </is>
      </c>
      <c r="G2863" s="182" t="n">
        <v>8</v>
      </c>
      <c r="H2863" s="182" t="n">
        <v>0</v>
      </c>
      <c r="I2863" s="182" t="n">
        <v>4</v>
      </c>
      <c r="J2863" s="182" t="n">
        <v>4</v>
      </c>
      <c r="K2863" s="182" t="n">
        <v>0</v>
      </c>
      <c r="L2863" s="182" t="n">
        <v>12</v>
      </c>
      <c r="M2863" s="182" t="n">
        <v>0</v>
      </c>
      <c r="N2863" s="182" t="n">
        <v>0</v>
      </c>
      <c r="O2863" s="183" t="n">
        <v>0</v>
      </c>
      <c r="P2863" s="183" t="n">
        <v>0</v>
      </c>
      <c r="Q2863" s="184" t="n">
        <v>0</v>
      </c>
      <c r="R2863" s="184" t="n">
        <v>0</v>
      </c>
      <c r="S2863" s="183" t="n">
        <v>0</v>
      </c>
      <c r="T2863" s="183" t="n">
        <v>0</v>
      </c>
      <c r="U2863" s="182" t="n">
        <v>0</v>
      </c>
      <c r="V2863" s="182" t="n">
        <v>0</v>
      </c>
      <c r="W2863" s="182" t="n">
        <v>0</v>
      </c>
      <c r="X2863" s="182" t="n">
        <v>0</v>
      </c>
      <c r="Y2863" s="182" t="n">
        <v>0</v>
      </c>
      <c r="Z2863" s="182" t="n">
        <v>0</v>
      </c>
      <c r="AA2863" s="182" t="n">
        <v>0</v>
      </c>
      <c r="AB2863" s="182" t="n">
        <v>0</v>
      </c>
      <c r="AC2863" s="182" t="n">
        <v>0</v>
      </c>
      <c r="AD2863" s="182" t="n">
        <v>0</v>
      </c>
      <c r="AE2863" s="182" t="n">
        <v>0</v>
      </c>
      <c r="AF2863" s="182" t="n">
        <v>0</v>
      </c>
      <c r="AG2863" s="182" t="n">
        <v>0</v>
      </c>
      <c r="AH2863" s="182" t="n">
        <v>0</v>
      </c>
      <c r="AI2863" s="182" t="n">
        <v>0</v>
      </c>
      <c r="AJ2863" s="182" t="n">
        <v>0</v>
      </c>
      <c r="AK2863" s="182" t="n">
        <v>0</v>
      </c>
      <c r="AL2863" s="182" t="n">
        <v>0</v>
      </c>
      <c r="AM2863" s="182" t="n">
        <v>0</v>
      </c>
      <c r="AN2863" s="182" t="n">
        <v>0</v>
      </c>
    </row>
    <row r="2864">
      <c r="A2864" s="155" t="n">
        <v>46095</v>
      </c>
      <c r="B2864" s="156" t="inlineStr">
        <is>
          <t>DS</t>
        </is>
      </c>
      <c r="C2864" s="156" t="inlineStr">
        <is>
          <t>DZ-038</t>
        </is>
      </c>
      <c r="D2864" s="156" t="inlineStr">
        <is>
          <t>D 85 ESS-2</t>
        </is>
      </c>
      <c r="E2864" s="156" t="inlineStr">
        <is>
          <t>Bulldozer</t>
        </is>
      </c>
      <c r="F2864" s="156" t="inlineStr"/>
      <c r="G2864" s="182" t="n">
        <v>0</v>
      </c>
      <c r="H2864" s="182" t="n">
        <v>0</v>
      </c>
      <c r="I2864" s="182" t="n">
        <v>12</v>
      </c>
      <c r="J2864" s="182" t="n">
        <v>12</v>
      </c>
      <c r="K2864" s="182" t="n">
        <v>0</v>
      </c>
      <c r="L2864" s="182" t="n">
        <v>12</v>
      </c>
      <c r="M2864" s="182" t="n">
        <v>0</v>
      </c>
      <c r="N2864" s="182" t="n">
        <v>0</v>
      </c>
      <c r="O2864" s="183" t="n">
        <v>0</v>
      </c>
      <c r="P2864" s="183" t="n">
        <v>0</v>
      </c>
      <c r="Q2864" s="184" t="n">
        <v>0</v>
      </c>
      <c r="R2864" s="184" t="n">
        <v>0</v>
      </c>
      <c r="S2864" s="183" t="n">
        <v>0</v>
      </c>
      <c r="T2864" s="183" t="n">
        <v>0</v>
      </c>
      <c r="U2864" s="182" t="n">
        <v>0</v>
      </c>
      <c r="V2864" s="182" t="n">
        <v>0</v>
      </c>
      <c r="W2864" s="182" t="n">
        <v>0</v>
      </c>
      <c r="X2864" s="182" t="n">
        <v>0</v>
      </c>
      <c r="Y2864" s="182" t="n">
        <v>0</v>
      </c>
      <c r="Z2864" s="182" t="n">
        <v>0</v>
      </c>
      <c r="AA2864" s="182" t="n">
        <v>0</v>
      </c>
      <c r="AB2864" s="182" t="n">
        <v>0</v>
      </c>
      <c r="AC2864" s="182" t="n">
        <v>0</v>
      </c>
      <c r="AD2864" s="182" t="n">
        <v>0</v>
      </c>
      <c r="AE2864" s="182" t="n">
        <v>0</v>
      </c>
      <c r="AF2864" s="182" t="n">
        <v>0</v>
      </c>
      <c r="AG2864" s="182" t="n">
        <v>0</v>
      </c>
      <c r="AH2864" s="182" t="n">
        <v>0</v>
      </c>
      <c r="AI2864" s="182" t="n">
        <v>0</v>
      </c>
      <c r="AJ2864" s="182" t="n">
        <v>0</v>
      </c>
      <c r="AK2864" s="182" t="n">
        <v>0</v>
      </c>
      <c r="AL2864" s="182" t="n">
        <v>0</v>
      </c>
      <c r="AM2864" s="182" t="n">
        <v>0</v>
      </c>
      <c r="AN2864" s="182" t="n">
        <v>0</v>
      </c>
    </row>
    <row r="2865">
      <c r="A2865" s="155" t="n">
        <v>46095</v>
      </c>
      <c r="B2865" s="156" t="inlineStr">
        <is>
          <t>DS</t>
        </is>
      </c>
      <c r="C2865" s="156" t="inlineStr">
        <is>
          <t>DZ-039</t>
        </is>
      </c>
      <c r="D2865" s="156" t="inlineStr">
        <is>
          <t>D 85 ESS-2</t>
        </is>
      </c>
      <c r="E2865" s="156" t="inlineStr">
        <is>
          <t>Bulldozer</t>
        </is>
      </c>
      <c r="F2865" s="156" t="inlineStr"/>
      <c r="G2865" s="182" t="n">
        <v>0</v>
      </c>
      <c r="H2865" s="182" t="n">
        <v>0</v>
      </c>
      <c r="I2865" s="182" t="n">
        <v>12</v>
      </c>
      <c r="J2865" s="182" t="n">
        <v>12</v>
      </c>
      <c r="K2865" s="182" t="n">
        <v>0</v>
      </c>
      <c r="L2865" s="182" t="n">
        <v>12</v>
      </c>
      <c r="M2865" s="182" t="n">
        <v>0</v>
      </c>
      <c r="N2865" s="182" t="n">
        <v>0</v>
      </c>
      <c r="O2865" s="183" t="n">
        <v>0</v>
      </c>
      <c r="P2865" s="183" t="n">
        <v>0</v>
      </c>
      <c r="Q2865" s="184" t="n">
        <v>0</v>
      </c>
      <c r="R2865" s="184" t="n">
        <v>0</v>
      </c>
      <c r="S2865" s="183" t="n">
        <v>0</v>
      </c>
      <c r="T2865" s="183" t="n">
        <v>0</v>
      </c>
      <c r="U2865" s="182" t="n">
        <v>0</v>
      </c>
      <c r="V2865" s="182" t="n">
        <v>0</v>
      </c>
      <c r="W2865" s="182" t="n">
        <v>0</v>
      </c>
      <c r="X2865" s="182" t="n">
        <v>0</v>
      </c>
      <c r="Y2865" s="182" t="n">
        <v>0</v>
      </c>
      <c r="Z2865" s="182" t="n">
        <v>0</v>
      </c>
      <c r="AA2865" s="182" t="n">
        <v>0</v>
      </c>
      <c r="AB2865" s="182" t="n">
        <v>0</v>
      </c>
      <c r="AC2865" s="182" t="n">
        <v>0</v>
      </c>
      <c r="AD2865" s="182" t="n">
        <v>0</v>
      </c>
      <c r="AE2865" s="182" t="n">
        <v>0</v>
      </c>
      <c r="AF2865" s="182" t="n">
        <v>0</v>
      </c>
      <c r="AG2865" s="182" t="n">
        <v>0</v>
      </c>
      <c r="AH2865" s="182" t="n">
        <v>0</v>
      </c>
      <c r="AI2865" s="182" t="n">
        <v>0</v>
      </c>
      <c r="AJ2865" s="182" t="n">
        <v>0</v>
      </c>
      <c r="AK2865" s="182" t="n">
        <v>0</v>
      </c>
      <c r="AL2865" s="182" t="n">
        <v>0</v>
      </c>
      <c r="AM2865" s="182" t="n">
        <v>0</v>
      </c>
      <c r="AN2865" s="182" t="n">
        <v>0</v>
      </c>
    </row>
    <row r="2866">
      <c r="A2866" s="155" t="n">
        <v>46095</v>
      </c>
      <c r="B2866" s="156" t="inlineStr">
        <is>
          <t>DS</t>
        </is>
      </c>
      <c r="C2866" s="156" t="inlineStr">
        <is>
          <t>DZ-032</t>
        </is>
      </c>
      <c r="D2866" s="156" t="inlineStr">
        <is>
          <t>CAT</t>
        </is>
      </c>
      <c r="E2866" s="156" t="inlineStr">
        <is>
          <t>Bulldozer</t>
        </is>
      </c>
      <c r="F2866" s="156" t="inlineStr"/>
      <c r="G2866" s="182" t="n">
        <v>0</v>
      </c>
      <c r="H2866" s="182" t="n">
        <v>0</v>
      </c>
      <c r="I2866" s="182" t="n">
        <v>12</v>
      </c>
      <c r="J2866" s="182" t="n">
        <v>12</v>
      </c>
      <c r="K2866" s="182" t="n">
        <v>0</v>
      </c>
      <c r="L2866" s="182" t="n">
        <v>12</v>
      </c>
      <c r="M2866" s="182" t="n">
        <v>0</v>
      </c>
      <c r="N2866" s="182" t="n">
        <v>0</v>
      </c>
      <c r="O2866" s="183" t="n">
        <v>0</v>
      </c>
      <c r="P2866" s="183" t="n">
        <v>0</v>
      </c>
      <c r="Q2866" s="184" t="n">
        <v>0</v>
      </c>
      <c r="R2866" s="184" t="n">
        <v>0</v>
      </c>
      <c r="S2866" s="183" t="n">
        <v>0</v>
      </c>
      <c r="T2866" s="183" t="n">
        <v>0</v>
      </c>
      <c r="U2866" s="182" t="n">
        <v>0</v>
      </c>
      <c r="V2866" s="182" t="n">
        <v>0</v>
      </c>
      <c r="W2866" s="182" t="n">
        <v>0</v>
      </c>
      <c r="X2866" s="182" t="n">
        <v>0</v>
      </c>
      <c r="Y2866" s="182" t="n">
        <v>0</v>
      </c>
      <c r="Z2866" s="182" t="n">
        <v>0</v>
      </c>
      <c r="AA2866" s="182" t="n">
        <v>0</v>
      </c>
      <c r="AB2866" s="182" t="n">
        <v>0</v>
      </c>
      <c r="AC2866" s="182" t="n">
        <v>0</v>
      </c>
      <c r="AD2866" s="182" t="n">
        <v>0</v>
      </c>
      <c r="AE2866" s="182" t="n">
        <v>0</v>
      </c>
      <c r="AF2866" s="182" t="n">
        <v>0</v>
      </c>
      <c r="AG2866" s="182" t="n">
        <v>0</v>
      </c>
      <c r="AH2866" s="182" t="n">
        <v>0</v>
      </c>
      <c r="AI2866" s="182" t="n">
        <v>0</v>
      </c>
      <c r="AJ2866" s="182" t="n">
        <v>0</v>
      </c>
      <c r="AK2866" s="182" t="n">
        <v>0</v>
      </c>
      <c r="AL2866" s="182" t="n">
        <v>0</v>
      </c>
      <c r="AM2866" s="182" t="n">
        <v>0</v>
      </c>
      <c r="AN2866" s="182" t="n">
        <v>0</v>
      </c>
    </row>
    <row r="2867">
      <c r="A2867" s="155" t="n">
        <v>46095</v>
      </c>
      <c r="B2867" s="156" t="inlineStr">
        <is>
          <t>DS</t>
        </is>
      </c>
      <c r="C2867" s="156" t="inlineStr">
        <is>
          <t>DZ-031</t>
        </is>
      </c>
      <c r="D2867" s="156" t="inlineStr">
        <is>
          <t>CAT</t>
        </is>
      </c>
      <c r="E2867" s="156" t="inlineStr">
        <is>
          <t>Bulldozer</t>
        </is>
      </c>
      <c r="F2867" s="156" t="inlineStr">
        <is>
          <t>Support Front Loading</t>
        </is>
      </c>
      <c r="G2867" s="182" t="n">
        <v>10.48</v>
      </c>
      <c r="H2867" s="182" t="n">
        <v>0</v>
      </c>
      <c r="I2867" s="182" t="n">
        <v>1.52</v>
      </c>
      <c r="J2867" s="182" t="n">
        <v>1.52</v>
      </c>
      <c r="K2867" s="182" t="n">
        <v>0</v>
      </c>
      <c r="L2867" s="182" t="n">
        <v>12</v>
      </c>
      <c r="M2867" s="182" t="n">
        <v>0</v>
      </c>
      <c r="N2867" s="182" t="n">
        <v>0</v>
      </c>
      <c r="O2867" s="183" t="n">
        <v>0</v>
      </c>
      <c r="P2867" s="183" t="n">
        <v>0</v>
      </c>
      <c r="Q2867" s="184" t="n">
        <v>0</v>
      </c>
      <c r="R2867" s="184" t="n">
        <v>0</v>
      </c>
      <c r="S2867" s="183" t="n">
        <v>0</v>
      </c>
      <c r="T2867" s="183" t="n">
        <v>0</v>
      </c>
      <c r="U2867" s="182" t="n">
        <v>0</v>
      </c>
      <c r="V2867" s="182" t="n">
        <v>0</v>
      </c>
      <c r="W2867" s="182" t="n">
        <v>0</v>
      </c>
      <c r="X2867" s="182" t="n">
        <v>0</v>
      </c>
      <c r="Y2867" s="182" t="n">
        <v>0</v>
      </c>
      <c r="Z2867" s="182" t="n">
        <v>0</v>
      </c>
      <c r="AA2867" s="182" t="n">
        <v>0</v>
      </c>
      <c r="AB2867" s="182" t="n">
        <v>0</v>
      </c>
      <c r="AC2867" s="182" t="n">
        <v>0</v>
      </c>
      <c r="AD2867" s="182" t="n">
        <v>0</v>
      </c>
      <c r="AE2867" s="182" t="n">
        <v>0</v>
      </c>
      <c r="AF2867" s="182" t="n">
        <v>0</v>
      </c>
      <c r="AG2867" s="182" t="n">
        <v>0</v>
      </c>
      <c r="AH2867" s="182" t="n">
        <v>0</v>
      </c>
      <c r="AI2867" s="182" t="n">
        <v>0</v>
      </c>
      <c r="AJ2867" s="182" t="n">
        <v>0</v>
      </c>
      <c r="AK2867" s="182" t="n">
        <v>0</v>
      </c>
      <c r="AL2867" s="182" t="n">
        <v>0</v>
      </c>
      <c r="AM2867" s="182" t="n">
        <v>0</v>
      </c>
      <c r="AN2867" s="182" t="n">
        <v>0</v>
      </c>
    </row>
    <row r="2868">
      <c r="A2868" s="155" t="n">
        <v>46095</v>
      </c>
      <c r="B2868" s="156" t="inlineStr">
        <is>
          <t>DS</t>
        </is>
      </c>
      <c r="C2868" s="156" t="inlineStr">
        <is>
          <t>DZ-037</t>
        </is>
      </c>
      <c r="D2868" s="156" t="inlineStr">
        <is>
          <t>D 85 ESS-2</t>
        </is>
      </c>
      <c r="E2868" s="156" t="inlineStr">
        <is>
          <t>Bulldozer</t>
        </is>
      </c>
      <c r="F2868" s="156" t="inlineStr"/>
      <c r="G2868" s="182" t="n">
        <v>0</v>
      </c>
      <c r="H2868" s="182" t="n">
        <v>0</v>
      </c>
      <c r="I2868" s="182" t="n">
        <v>12</v>
      </c>
      <c r="J2868" s="182" t="n">
        <v>12</v>
      </c>
      <c r="K2868" s="182" t="n">
        <v>0</v>
      </c>
      <c r="L2868" s="182" t="n">
        <v>12</v>
      </c>
      <c r="M2868" s="182" t="n">
        <v>0</v>
      </c>
      <c r="N2868" s="182" t="n">
        <v>0</v>
      </c>
      <c r="O2868" s="183" t="n">
        <v>0</v>
      </c>
      <c r="P2868" s="183" t="n">
        <v>0</v>
      </c>
      <c r="Q2868" s="184" t="n">
        <v>0</v>
      </c>
      <c r="R2868" s="184" t="n">
        <v>0</v>
      </c>
      <c r="S2868" s="183" t="n">
        <v>0</v>
      </c>
      <c r="T2868" s="183" t="n">
        <v>0</v>
      </c>
      <c r="U2868" s="182" t="n">
        <v>0</v>
      </c>
      <c r="V2868" s="182" t="n">
        <v>0</v>
      </c>
      <c r="W2868" s="182" t="n">
        <v>0</v>
      </c>
      <c r="X2868" s="182" t="n">
        <v>0</v>
      </c>
      <c r="Y2868" s="182" t="n">
        <v>0</v>
      </c>
      <c r="Z2868" s="182" t="n">
        <v>0</v>
      </c>
      <c r="AA2868" s="182" t="n">
        <v>0</v>
      </c>
      <c r="AB2868" s="182" t="n">
        <v>0</v>
      </c>
      <c r="AC2868" s="182" t="n">
        <v>0</v>
      </c>
      <c r="AD2868" s="182" t="n">
        <v>0</v>
      </c>
      <c r="AE2868" s="182" t="n">
        <v>0</v>
      </c>
      <c r="AF2868" s="182" t="n">
        <v>0</v>
      </c>
      <c r="AG2868" s="182" t="n">
        <v>0</v>
      </c>
      <c r="AH2868" s="182" t="n">
        <v>0</v>
      </c>
      <c r="AI2868" s="182" t="n">
        <v>0</v>
      </c>
      <c r="AJ2868" s="182" t="n">
        <v>0</v>
      </c>
      <c r="AK2868" s="182" t="n">
        <v>0</v>
      </c>
      <c r="AL2868" s="182" t="n">
        <v>0</v>
      </c>
      <c r="AM2868" s="182" t="n">
        <v>0</v>
      </c>
      <c r="AN2868" s="182" t="n">
        <v>0</v>
      </c>
    </row>
    <row r="2869">
      <c r="A2869" s="155" t="n">
        <v>46095</v>
      </c>
      <c r="B2869" s="156" t="inlineStr">
        <is>
          <t>DS</t>
        </is>
      </c>
      <c r="C2869" s="156" t="inlineStr">
        <is>
          <t>DZ-036</t>
        </is>
      </c>
      <c r="D2869" s="156" t="inlineStr">
        <is>
          <t>D 85 ESS-2</t>
        </is>
      </c>
      <c r="E2869" s="156" t="inlineStr">
        <is>
          <t>Bulldozer</t>
        </is>
      </c>
      <c r="F2869" s="156" t="inlineStr">
        <is>
          <t>General Jetty</t>
        </is>
      </c>
      <c r="G2869" s="182" t="n">
        <v>4.81</v>
      </c>
      <c r="H2869" s="182" t="n">
        <v>0</v>
      </c>
      <c r="I2869" s="182" t="n">
        <v>0</v>
      </c>
      <c r="J2869" s="182" t="n">
        <v>0</v>
      </c>
      <c r="K2869" s="182" t="n">
        <v>7.19</v>
      </c>
      <c r="L2869" s="182" t="n">
        <v>12</v>
      </c>
      <c r="M2869" s="182" t="n">
        <v>0</v>
      </c>
      <c r="N2869" s="182" t="n">
        <v>0</v>
      </c>
      <c r="O2869" s="183" t="n">
        <v>0</v>
      </c>
      <c r="P2869" s="183" t="n">
        <v>0</v>
      </c>
      <c r="Q2869" s="184" t="n">
        <v>0</v>
      </c>
      <c r="R2869" s="184" t="n">
        <v>0</v>
      </c>
      <c r="S2869" s="183" t="n">
        <v>0</v>
      </c>
      <c r="T2869" s="183" t="n">
        <v>0</v>
      </c>
      <c r="U2869" s="182" t="n">
        <v>0</v>
      </c>
      <c r="V2869" s="182" t="n">
        <v>0</v>
      </c>
      <c r="W2869" s="182" t="n">
        <v>0</v>
      </c>
      <c r="X2869" s="182" t="n">
        <v>1.06</v>
      </c>
      <c r="Y2869" s="182" t="n">
        <v>0</v>
      </c>
      <c r="Z2869" s="182" t="n">
        <v>0</v>
      </c>
      <c r="AA2869" s="182" t="n">
        <v>0</v>
      </c>
      <c r="AB2869" s="182" t="n">
        <v>0</v>
      </c>
      <c r="AC2869" s="182" t="n">
        <v>0</v>
      </c>
      <c r="AD2869" s="182" t="n">
        <v>0</v>
      </c>
      <c r="AE2869" s="182" t="n">
        <v>0</v>
      </c>
      <c r="AF2869" s="182" t="n">
        <v>0</v>
      </c>
      <c r="AG2869" s="182" t="n">
        <v>0</v>
      </c>
      <c r="AH2869" s="182" t="n">
        <v>0</v>
      </c>
      <c r="AI2869" s="182" t="n">
        <v>0</v>
      </c>
      <c r="AJ2869" s="182" t="n">
        <v>0</v>
      </c>
      <c r="AK2869" s="182" t="n">
        <v>6.05</v>
      </c>
      <c r="AL2869" s="182" t="n">
        <v>0</v>
      </c>
      <c r="AM2869" s="182" t="n">
        <v>0.08</v>
      </c>
      <c r="AN2869" s="182" t="n">
        <v>0</v>
      </c>
    </row>
    <row r="2870">
      <c r="A2870" s="155" t="n">
        <v>46095</v>
      </c>
      <c r="B2870" s="156" t="inlineStr">
        <is>
          <t>DS</t>
        </is>
      </c>
      <c r="C2870" s="156" t="inlineStr">
        <is>
          <t>DZ-035</t>
        </is>
      </c>
      <c r="D2870" s="156" t="inlineStr">
        <is>
          <t>D 85 ESS-2</t>
        </is>
      </c>
      <c r="E2870" s="156" t="inlineStr">
        <is>
          <t>Bulldozer</t>
        </is>
      </c>
      <c r="F2870" s="156" t="inlineStr">
        <is>
          <t>Support Disposal</t>
        </is>
      </c>
      <c r="G2870" s="182" t="n">
        <v>11.21</v>
      </c>
      <c r="H2870" s="182" t="n">
        <v>0</v>
      </c>
      <c r="I2870" s="182" t="n">
        <v>0</v>
      </c>
      <c r="J2870" s="182" t="n">
        <v>0</v>
      </c>
      <c r="K2870" s="182" t="n">
        <v>0.79</v>
      </c>
      <c r="L2870" s="182" t="n">
        <v>12</v>
      </c>
      <c r="M2870" s="182" t="n">
        <v>0</v>
      </c>
      <c r="N2870" s="182" t="n">
        <v>0</v>
      </c>
      <c r="O2870" s="183" t="n">
        <v>0</v>
      </c>
      <c r="P2870" s="183" t="n">
        <v>0</v>
      </c>
      <c r="Q2870" s="184" t="n">
        <v>0</v>
      </c>
      <c r="R2870" s="184" t="n">
        <v>0</v>
      </c>
      <c r="S2870" s="183" t="n">
        <v>0</v>
      </c>
      <c r="T2870" s="183" t="n">
        <v>0</v>
      </c>
      <c r="U2870" s="182" t="n">
        <v>0</v>
      </c>
      <c r="V2870" s="182" t="n">
        <v>0</v>
      </c>
      <c r="W2870" s="182" t="n">
        <v>0</v>
      </c>
      <c r="X2870" s="182" t="n">
        <v>0.63</v>
      </c>
      <c r="Y2870" s="182" t="n">
        <v>0</v>
      </c>
      <c r="Z2870" s="182" t="n">
        <v>0</v>
      </c>
      <c r="AA2870" s="182" t="n">
        <v>0</v>
      </c>
      <c r="AB2870" s="182" t="n">
        <v>0</v>
      </c>
      <c r="AC2870" s="182" t="n">
        <v>0</v>
      </c>
      <c r="AD2870" s="182" t="n">
        <v>0</v>
      </c>
      <c r="AE2870" s="182" t="n">
        <v>0</v>
      </c>
      <c r="AF2870" s="182" t="n">
        <v>0</v>
      </c>
      <c r="AG2870" s="182" t="n">
        <v>0</v>
      </c>
      <c r="AH2870" s="182" t="n">
        <v>0</v>
      </c>
      <c r="AI2870" s="182" t="n">
        <v>0</v>
      </c>
      <c r="AJ2870" s="182" t="n">
        <v>0</v>
      </c>
      <c r="AK2870" s="182" t="n">
        <v>0</v>
      </c>
      <c r="AL2870" s="182" t="n">
        <v>0</v>
      </c>
      <c r="AM2870" s="182" t="n">
        <v>0.16</v>
      </c>
      <c r="AN2870" s="182" t="n">
        <v>0</v>
      </c>
    </row>
    <row r="2871">
      <c r="A2871" s="155" t="n">
        <v>46095</v>
      </c>
      <c r="B2871" s="156" t="inlineStr">
        <is>
          <t>DS</t>
        </is>
      </c>
      <c r="C2871" s="156" t="inlineStr">
        <is>
          <t>CP-042</t>
        </is>
      </c>
      <c r="D2871" s="156" t="inlineStr">
        <is>
          <t>SANY - Compactor</t>
        </is>
      </c>
      <c r="E2871" s="156" t="inlineStr">
        <is>
          <t>Compactor</t>
        </is>
      </c>
      <c r="F2871" s="156" t="inlineStr"/>
      <c r="G2871" s="182" t="n">
        <v>0</v>
      </c>
      <c r="H2871" s="182" t="n">
        <v>0</v>
      </c>
      <c r="I2871" s="182" t="n">
        <v>0</v>
      </c>
      <c r="J2871" s="182" t="n">
        <v>0</v>
      </c>
      <c r="K2871" s="182" t="n">
        <v>12</v>
      </c>
      <c r="L2871" s="182" t="n">
        <v>12</v>
      </c>
      <c r="M2871" s="182" t="n">
        <v>0</v>
      </c>
      <c r="N2871" s="182" t="n">
        <v>0</v>
      </c>
      <c r="O2871" s="183" t="n">
        <v>0</v>
      </c>
      <c r="P2871" s="183" t="n">
        <v>0</v>
      </c>
      <c r="Q2871" s="184" t="n">
        <v>0</v>
      </c>
      <c r="R2871" s="184" t="n">
        <v>0</v>
      </c>
      <c r="S2871" s="183" t="n">
        <v>0</v>
      </c>
      <c r="T2871" s="183" t="n">
        <v>0</v>
      </c>
      <c r="U2871" s="182" t="n">
        <v>0</v>
      </c>
      <c r="V2871" s="182" t="n">
        <v>0</v>
      </c>
      <c r="W2871" s="182" t="n">
        <v>0</v>
      </c>
      <c r="X2871" s="182" t="n">
        <v>1</v>
      </c>
      <c r="Y2871" s="182" t="n">
        <v>0</v>
      </c>
      <c r="Z2871" s="182" t="n">
        <v>0</v>
      </c>
      <c r="AA2871" s="182" t="n">
        <v>0</v>
      </c>
      <c r="AB2871" s="182" t="n">
        <v>0</v>
      </c>
      <c r="AC2871" s="182" t="n">
        <v>0</v>
      </c>
      <c r="AD2871" s="182" t="n">
        <v>0</v>
      </c>
      <c r="AE2871" s="182" t="n">
        <v>0</v>
      </c>
      <c r="AF2871" s="182" t="n">
        <v>0</v>
      </c>
      <c r="AG2871" s="182" t="n">
        <v>0</v>
      </c>
      <c r="AH2871" s="182" t="n">
        <v>0</v>
      </c>
      <c r="AI2871" s="182" t="n">
        <v>0</v>
      </c>
      <c r="AJ2871" s="182" t="n">
        <v>0</v>
      </c>
      <c r="AK2871" s="182" t="n">
        <v>10.92</v>
      </c>
      <c r="AL2871" s="182" t="n">
        <v>0</v>
      </c>
      <c r="AM2871" s="182" t="n">
        <v>0.08</v>
      </c>
      <c r="AN2871" s="182" t="n">
        <v>0</v>
      </c>
    </row>
    <row r="2872">
      <c r="A2872" s="155" t="n">
        <v>46095</v>
      </c>
      <c r="B2872" s="156" t="inlineStr">
        <is>
          <t>DS</t>
        </is>
      </c>
      <c r="C2872" s="156" t="inlineStr">
        <is>
          <t>CP-041</t>
        </is>
      </c>
      <c r="D2872" s="156" t="inlineStr">
        <is>
          <t>SANY - Compactor</t>
        </is>
      </c>
      <c r="E2872" s="156" t="inlineStr">
        <is>
          <t>Compactor</t>
        </is>
      </c>
      <c r="F2872" s="156" t="inlineStr">
        <is>
          <t>General Road</t>
        </is>
      </c>
      <c r="G2872" s="182" t="n">
        <v>5.99</v>
      </c>
      <c r="H2872" s="182" t="n">
        <v>0</v>
      </c>
      <c r="I2872" s="182" t="n">
        <v>0</v>
      </c>
      <c r="J2872" s="182" t="n">
        <v>0</v>
      </c>
      <c r="K2872" s="182" t="n">
        <v>6.01</v>
      </c>
      <c r="L2872" s="182" t="n">
        <v>12</v>
      </c>
      <c r="M2872" s="182" t="n">
        <v>0</v>
      </c>
      <c r="N2872" s="182" t="n">
        <v>0</v>
      </c>
      <c r="O2872" s="183" t="n">
        <v>0</v>
      </c>
      <c r="P2872" s="183" t="n">
        <v>0</v>
      </c>
      <c r="Q2872" s="184" t="n">
        <v>0</v>
      </c>
      <c r="R2872" s="184" t="n">
        <v>0</v>
      </c>
      <c r="S2872" s="183" t="n">
        <v>0</v>
      </c>
      <c r="T2872" s="183" t="n">
        <v>0</v>
      </c>
      <c r="U2872" s="182" t="n">
        <v>0</v>
      </c>
      <c r="V2872" s="182" t="n">
        <v>0</v>
      </c>
      <c r="W2872" s="182" t="n">
        <v>0</v>
      </c>
      <c r="X2872" s="182" t="n">
        <v>1.05</v>
      </c>
      <c r="Y2872" s="182" t="n">
        <v>0</v>
      </c>
      <c r="Z2872" s="182" t="n">
        <v>0</v>
      </c>
      <c r="AA2872" s="182" t="n">
        <v>0</v>
      </c>
      <c r="AB2872" s="182" t="n">
        <v>0</v>
      </c>
      <c r="AC2872" s="182" t="n">
        <v>0</v>
      </c>
      <c r="AD2872" s="182" t="n">
        <v>0</v>
      </c>
      <c r="AE2872" s="182" t="n">
        <v>0</v>
      </c>
      <c r="AF2872" s="182" t="n">
        <v>0</v>
      </c>
      <c r="AG2872" s="182" t="n">
        <v>0</v>
      </c>
      <c r="AH2872" s="182" t="n">
        <v>0</v>
      </c>
      <c r="AI2872" s="182" t="n">
        <v>0</v>
      </c>
      <c r="AJ2872" s="182" t="n">
        <v>0</v>
      </c>
      <c r="AK2872" s="182" t="n">
        <v>4.87</v>
      </c>
      <c r="AL2872" s="182" t="n">
        <v>0</v>
      </c>
      <c r="AM2872" s="182" t="n">
        <v>0.08</v>
      </c>
      <c r="AN2872" s="182" t="n">
        <v>0</v>
      </c>
    </row>
    <row r="2873">
      <c r="A2873" s="155" t="n">
        <v>46095</v>
      </c>
      <c r="B2873" s="156" t="inlineStr">
        <is>
          <t>DS</t>
        </is>
      </c>
      <c r="C2873" s="156" t="inlineStr">
        <is>
          <t>HT-418</t>
        </is>
      </c>
      <c r="D2873" s="156" t="inlineStr">
        <is>
          <t>SY430</t>
        </is>
      </c>
      <c r="E2873" s="156" t="inlineStr">
        <is>
          <t>DT Hauling</t>
        </is>
      </c>
      <c r="F2873" s="156" t="inlineStr">
        <is>
          <t>Hauling Coal ke Jetty</t>
        </is>
      </c>
      <c r="G2873" s="182" t="n">
        <v>2.6</v>
      </c>
      <c r="H2873" s="182" t="n">
        <v>0</v>
      </c>
      <c r="I2873" s="182" t="n">
        <v>1.5</v>
      </c>
      <c r="J2873" s="182" t="n">
        <v>1.5</v>
      </c>
      <c r="K2873" s="182" t="n">
        <v>7.9</v>
      </c>
      <c r="L2873" s="182" t="n">
        <v>12</v>
      </c>
      <c r="M2873" s="182" t="n">
        <v>0</v>
      </c>
      <c r="N2873" s="182" t="n">
        <v>0</v>
      </c>
      <c r="O2873" s="183" t="n">
        <v>0</v>
      </c>
      <c r="P2873" s="183" t="n">
        <v>0</v>
      </c>
      <c r="Q2873" s="184" t="n">
        <v>0</v>
      </c>
      <c r="R2873" s="184" t="n">
        <v>0</v>
      </c>
      <c r="S2873" s="183" t="n">
        <v>0</v>
      </c>
      <c r="T2873" s="183" t="n">
        <v>0</v>
      </c>
      <c r="U2873" s="182" t="n">
        <v>0</v>
      </c>
      <c r="V2873" s="182" t="n">
        <v>0</v>
      </c>
      <c r="W2873" s="182" t="n">
        <v>0</v>
      </c>
      <c r="X2873" s="182" t="n">
        <v>1</v>
      </c>
      <c r="Y2873" s="182" t="n">
        <v>0</v>
      </c>
      <c r="Z2873" s="182" t="n">
        <v>0</v>
      </c>
      <c r="AA2873" s="182" t="n">
        <v>0</v>
      </c>
      <c r="AB2873" s="182" t="n">
        <v>0</v>
      </c>
      <c r="AC2873" s="182" t="n">
        <v>0</v>
      </c>
      <c r="AD2873" s="182" t="n">
        <v>0</v>
      </c>
      <c r="AE2873" s="182" t="n">
        <v>0</v>
      </c>
      <c r="AF2873" s="182" t="n">
        <v>0</v>
      </c>
      <c r="AG2873" s="182" t="n">
        <v>0</v>
      </c>
      <c r="AH2873" s="182" t="n">
        <v>0</v>
      </c>
      <c r="AI2873" s="182" t="n">
        <v>0</v>
      </c>
      <c r="AJ2873" s="182" t="n">
        <v>0</v>
      </c>
      <c r="AK2873" s="182" t="n">
        <v>6.82</v>
      </c>
      <c r="AL2873" s="182" t="n">
        <v>0</v>
      </c>
      <c r="AM2873" s="182" t="n">
        <v>0.08</v>
      </c>
      <c r="AN2873" s="182" t="n">
        <v>0</v>
      </c>
    </row>
    <row r="2874">
      <c r="A2874" s="155" t="n">
        <v>46095</v>
      </c>
      <c r="B2874" s="156" t="inlineStr">
        <is>
          <t>DS</t>
        </is>
      </c>
      <c r="C2874" s="156" t="inlineStr">
        <is>
          <t>HT-404</t>
        </is>
      </c>
      <c r="D2874" s="156" t="inlineStr">
        <is>
          <t>SY430</t>
        </is>
      </c>
      <c r="E2874" s="156" t="inlineStr">
        <is>
          <t>DT Hauling</t>
        </is>
      </c>
      <c r="F2874" s="156" t="inlineStr">
        <is>
          <t>Hauling Coal ke Jetty</t>
        </is>
      </c>
      <c r="G2874" s="182" t="n">
        <v>5.68</v>
      </c>
      <c r="H2874" s="182" t="n">
        <v>0</v>
      </c>
      <c r="I2874" s="182" t="n">
        <v>3.83</v>
      </c>
      <c r="J2874" s="182" t="n">
        <v>3.83</v>
      </c>
      <c r="K2874" s="182" t="n">
        <v>2.49</v>
      </c>
      <c r="L2874" s="182" t="n">
        <v>12</v>
      </c>
      <c r="M2874" s="182" t="n">
        <v>0</v>
      </c>
      <c r="N2874" s="182" t="n">
        <v>0</v>
      </c>
      <c r="O2874" s="183" t="n">
        <v>0</v>
      </c>
      <c r="P2874" s="183" t="n">
        <v>0</v>
      </c>
      <c r="Q2874" s="184" t="n">
        <v>0</v>
      </c>
      <c r="R2874" s="184" t="n">
        <v>0</v>
      </c>
      <c r="S2874" s="183" t="n">
        <v>0</v>
      </c>
      <c r="T2874" s="183" t="n">
        <v>0</v>
      </c>
      <c r="U2874" s="182" t="n">
        <v>0</v>
      </c>
      <c r="V2874" s="182" t="n">
        <v>0</v>
      </c>
      <c r="W2874" s="182" t="n">
        <v>0</v>
      </c>
      <c r="X2874" s="182" t="n">
        <v>1.05</v>
      </c>
      <c r="Y2874" s="182" t="n">
        <v>0</v>
      </c>
      <c r="Z2874" s="182" t="n">
        <v>0</v>
      </c>
      <c r="AA2874" s="182" t="n">
        <v>0</v>
      </c>
      <c r="AB2874" s="182" t="n">
        <v>0</v>
      </c>
      <c r="AC2874" s="182" t="n">
        <v>0</v>
      </c>
      <c r="AD2874" s="182" t="n">
        <v>0</v>
      </c>
      <c r="AE2874" s="182" t="n">
        <v>0</v>
      </c>
      <c r="AF2874" s="182" t="n">
        <v>0</v>
      </c>
      <c r="AG2874" s="182" t="n">
        <v>0</v>
      </c>
      <c r="AH2874" s="182" t="n">
        <v>0</v>
      </c>
      <c r="AI2874" s="182" t="n">
        <v>0</v>
      </c>
      <c r="AJ2874" s="182" t="n">
        <v>0</v>
      </c>
      <c r="AK2874" s="182" t="n">
        <v>1.34</v>
      </c>
      <c r="AL2874" s="182" t="n">
        <v>0</v>
      </c>
      <c r="AM2874" s="182" t="n">
        <v>0.08</v>
      </c>
      <c r="AN2874" s="182" t="n">
        <v>0</v>
      </c>
    </row>
    <row r="2875">
      <c r="A2875" s="155" t="n">
        <v>46095</v>
      </c>
      <c r="B2875" s="156" t="inlineStr">
        <is>
          <t>DS</t>
        </is>
      </c>
      <c r="C2875" s="156" t="inlineStr">
        <is>
          <t>HT-415</t>
        </is>
      </c>
      <c r="D2875" s="156" t="inlineStr">
        <is>
          <t>SY430</t>
        </is>
      </c>
      <c r="E2875" s="156" t="inlineStr">
        <is>
          <t>DT Hauling</t>
        </is>
      </c>
      <c r="F2875" s="156" t="inlineStr"/>
      <c r="G2875" s="182" t="n">
        <v>0</v>
      </c>
      <c r="H2875" s="182" t="n">
        <v>0</v>
      </c>
      <c r="I2875" s="182" t="n">
        <v>12</v>
      </c>
      <c r="J2875" s="182" t="n">
        <v>12</v>
      </c>
      <c r="K2875" s="182" t="n">
        <v>0</v>
      </c>
      <c r="L2875" s="182" t="n">
        <v>12</v>
      </c>
      <c r="M2875" s="182" t="n">
        <v>0</v>
      </c>
      <c r="N2875" s="182" t="n">
        <v>0</v>
      </c>
      <c r="O2875" s="183" t="n">
        <v>0</v>
      </c>
      <c r="P2875" s="183" t="n">
        <v>0</v>
      </c>
      <c r="Q2875" s="184" t="n">
        <v>0</v>
      </c>
      <c r="R2875" s="184" t="n">
        <v>0</v>
      </c>
      <c r="S2875" s="183" t="n">
        <v>0</v>
      </c>
      <c r="T2875" s="183" t="n">
        <v>0</v>
      </c>
      <c r="U2875" s="182" t="n">
        <v>0</v>
      </c>
      <c r="V2875" s="182" t="n">
        <v>0</v>
      </c>
      <c r="W2875" s="182" t="n">
        <v>0</v>
      </c>
      <c r="X2875" s="182" t="n">
        <v>0</v>
      </c>
      <c r="Y2875" s="182" t="n">
        <v>0</v>
      </c>
      <c r="Z2875" s="182" t="n">
        <v>0</v>
      </c>
      <c r="AA2875" s="182" t="n">
        <v>0</v>
      </c>
      <c r="AB2875" s="182" t="n">
        <v>0</v>
      </c>
      <c r="AC2875" s="182" t="n">
        <v>0</v>
      </c>
      <c r="AD2875" s="182" t="n">
        <v>0</v>
      </c>
      <c r="AE2875" s="182" t="n">
        <v>0</v>
      </c>
      <c r="AF2875" s="182" t="n">
        <v>0</v>
      </c>
      <c r="AG2875" s="182" t="n">
        <v>0</v>
      </c>
      <c r="AH2875" s="182" t="n">
        <v>0</v>
      </c>
      <c r="AI2875" s="182" t="n">
        <v>0</v>
      </c>
      <c r="AJ2875" s="182" t="n">
        <v>0</v>
      </c>
      <c r="AK2875" s="182" t="n">
        <v>0</v>
      </c>
      <c r="AL2875" s="182" t="n">
        <v>0</v>
      </c>
      <c r="AM2875" s="182" t="n">
        <v>0</v>
      </c>
      <c r="AN2875" s="182" t="n">
        <v>0</v>
      </c>
    </row>
    <row r="2876">
      <c r="A2876" s="155" t="n">
        <v>46095</v>
      </c>
      <c r="B2876" s="156" t="inlineStr">
        <is>
          <t>DS</t>
        </is>
      </c>
      <c r="C2876" s="156" t="inlineStr">
        <is>
          <t>HT-406</t>
        </is>
      </c>
      <c r="D2876" s="156" t="inlineStr">
        <is>
          <t>SY430</t>
        </is>
      </c>
      <c r="E2876" s="156" t="inlineStr">
        <is>
          <t>DT Hauling</t>
        </is>
      </c>
      <c r="F2876" s="156" t="inlineStr"/>
      <c r="G2876" s="182" t="n">
        <v>0</v>
      </c>
      <c r="H2876" s="182" t="n">
        <v>0</v>
      </c>
      <c r="I2876" s="182" t="n">
        <v>12</v>
      </c>
      <c r="J2876" s="182" t="n">
        <v>12</v>
      </c>
      <c r="K2876" s="182" t="n">
        <v>0</v>
      </c>
      <c r="L2876" s="182" t="n">
        <v>12</v>
      </c>
      <c r="M2876" s="182" t="n">
        <v>0</v>
      </c>
      <c r="N2876" s="182" t="n">
        <v>0</v>
      </c>
      <c r="O2876" s="183" t="n">
        <v>0</v>
      </c>
      <c r="P2876" s="183" t="n">
        <v>0</v>
      </c>
      <c r="Q2876" s="184" t="n">
        <v>0</v>
      </c>
      <c r="R2876" s="184" t="n">
        <v>0</v>
      </c>
      <c r="S2876" s="183" t="n">
        <v>0</v>
      </c>
      <c r="T2876" s="183" t="n">
        <v>0</v>
      </c>
      <c r="U2876" s="182" t="n">
        <v>0</v>
      </c>
      <c r="V2876" s="182" t="n">
        <v>0</v>
      </c>
      <c r="W2876" s="182" t="n">
        <v>0</v>
      </c>
      <c r="X2876" s="182" t="n">
        <v>0</v>
      </c>
      <c r="Y2876" s="182" t="n">
        <v>0</v>
      </c>
      <c r="Z2876" s="182" t="n">
        <v>0</v>
      </c>
      <c r="AA2876" s="182" t="n">
        <v>0</v>
      </c>
      <c r="AB2876" s="182" t="n">
        <v>0</v>
      </c>
      <c r="AC2876" s="182" t="n">
        <v>0</v>
      </c>
      <c r="AD2876" s="182" t="n">
        <v>0</v>
      </c>
      <c r="AE2876" s="182" t="n">
        <v>0</v>
      </c>
      <c r="AF2876" s="182" t="n">
        <v>0</v>
      </c>
      <c r="AG2876" s="182" t="n">
        <v>0</v>
      </c>
      <c r="AH2876" s="182" t="n">
        <v>0</v>
      </c>
      <c r="AI2876" s="182" t="n">
        <v>0</v>
      </c>
      <c r="AJ2876" s="182" t="n">
        <v>0</v>
      </c>
      <c r="AK2876" s="182" t="n">
        <v>0</v>
      </c>
      <c r="AL2876" s="182" t="n">
        <v>0</v>
      </c>
      <c r="AM2876" s="182" t="n">
        <v>0</v>
      </c>
      <c r="AN2876" s="182" t="n">
        <v>0</v>
      </c>
    </row>
    <row r="2877">
      <c r="A2877" s="155" t="n">
        <v>46095</v>
      </c>
      <c r="B2877" s="156" t="inlineStr">
        <is>
          <t>DS</t>
        </is>
      </c>
      <c r="C2877" s="156" t="inlineStr">
        <is>
          <t>HT-405</t>
        </is>
      </c>
      <c r="D2877" s="156" t="inlineStr">
        <is>
          <t>SY430</t>
        </is>
      </c>
      <c r="E2877" s="156" t="inlineStr">
        <is>
          <t>DT Hauling</t>
        </is>
      </c>
      <c r="F2877" s="156" t="inlineStr"/>
      <c r="G2877" s="182" t="n">
        <v>0</v>
      </c>
      <c r="H2877" s="182" t="n">
        <v>0</v>
      </c>
      <c r="I2877" s="182" t="n">
        <v>0</v>
      </c>
      <c r="J2877" s="182" t="n">
        <v>0</v>
      </c>
      <c r="K2877" s="182" t="n">
        <v>12</v>
      </c>
      <c r="L2877" s="182" t="n">
        <v>12</v>
      </c>
      <c r="M2877" s="182" t="n">
        <v>0</v>
      </c>
      <c r="N2877" s="182" t="n">
        <v>0</v>
      </c>
      <c r="O2877" s="183" t="n">
        <v>0</v>
      </c>
      <c r="P2877" s="183" t="n">
        <v>0</v>
      </c>
      <c r="Q2877" s="184" t="n">
        <v>0</v>
      </c>
      <c r="R2877" s="184" t="n">
        <v>0</v>
      </c>
      <c r="S2877" s="183" t="n">
        <v>0</v>
      </c>
      <c r="T2877" s="183" t="n">
        <v>0</v>
      </c>
      <c r="U2877" s="182" t="n">
        <v>0</v>
      </c>
      <c r="V2877" s="182" t="n">
        <v>0</v>
      </c>
      <c r="W2877" s="182" t="n">
        <v>0</v>
      </c>
      <c r="X2877" s="182" t="n">
        <v>1</v>
      </c>
      <c r="Y2877" s="182" t="n">
        <v>0</v>
      </c>
      <c r="Z2877" s="182" t="n">
        <v>0</v>
      </c>
      <c r="AA2877" s="182" t="n">
        <v>0</v>
      </c>
      <c r="AB2877" s="182" t="n">
        <v>0</v>
      </c>
      <c r="AC2877" s="182" t="n">
        <v>0</v>
      </c>
      <c r="AD2877" s="182" t="n">
        <v>0</v>
      </c>
      <c r="AE2877" s="182" t="n">
        <v>0</v>
      </c>
      <c r="AF2877" s="182" t="n">
        <v>0</v>
      </c>
      <c r="AG2877" s="182" t="n">
        <v>0</v>
      </c>
      <c r="AH2877" s="182" t="n">
        <v>0</v>
      </c>
      <c r="AI2877" s="182" t="n">
        <v>0</v>
      </c>
      <c r="AJ2877" s="182" t="n">
        <v>0</v>
      </c>
      <c r="AK2877" s="182" t="n">
        <v>10.92</v>
      </c>
      <c r="AL2877" s="182" t="n">
        <v>0</v>
      </c>
      <c r="AM2877" s="182" t="n">
        <v>0.08</v>
      </c>
      <c r="AN2877" s="182" t="n">
        <v>0</v>
      </c>
    </row>
    <row r="2878">
      <c r="A2878" s="155" t="n">
        <v>46095</v>
      </c>
      <c r="B2878" s="156" t="inlineStr">
        <is>
          <t>DS</t>
        </is>
      </c>
      <c r="C2878" s="156" t="inlineStr">
        <is>
          <t>HT-417</t>
        </is>
      </c>
      <c r="D2878" s="156" t="inlineStr">
        <is>
          <t>SY430</t>
        </is>
      </c>
      <c r="E2878" s="156" t="inlineStr">
        <is>
          <t>DT Hauling</t>
        </is>
      </c>
      <c r="F2878" s="156" t="inlineStr"/>
      <c r="G2878" s="182" t="n">
        <v>0</v>
      </c>
      <c r="H2878" s="182" t="n">
        <v>0</v>
      </c>
      <c r="I2878" s="182" t="n">
        <v>0</v>
      </c>
      <c r="J2878" s="182" t="n">
        <v>0</v>
      </c>
      <c r="K2878" s="182" t="n">
        <v>12</v>
      </c>
      <c r="L2878" s="182" t="n">
        <v>12</v>
      </c>
      <c r="M2878" s="182" t="n">
        <v>0</v>
      </c>
      <c r="N2878" s="182" t="n">
        <v>0</v>
      </c>
      <c r="O2878" s="183" t="n">
        <v>0</v>
      </c>
      <c r="P2878" s="183" t="n">
        <v>0</v>
      </c>
      <c r="Q2878" s="184" t="n">
        <v>0</v>
      </c>
      <c r="R2878" s="184" t="n">
        <v>0</v>
      </c>
      <c r="S2878" s="183" t="n">
        <v>0</v>
      </c>
      <c r="T2878" s="183" t="n">
        <v>0</v>
      </c>
      <c r="U2878" s="182" t="n">
        <v>0</v>
      </c>
      <c r="V2878" s="182" t="n">
        <v>0</v>
      </c>
      <c r="W2878" s="182" t="n">
        <v>0</v>
      </c>
      <c r="X2878" s="182" t="n">
        <v>1</v>
      </c>
      <c r="Y2878" s="182" t="n">
        <v>0</v>
      </c>
      <c r="Z2878" s="182" t="n">
        <v>0</v>
      </c>
      <c r="AA2878" s="182" t="n">
        <v>0</v>
      </c>
      <c r="AB2878" s="182" t="n">
        <v>0</v>
      </c>
      <c r="AC2878" s="182" t="n">
        <v>0</v>
      </c>
      <c r="AD2878" s="182" t="n">
        <v>0</v>
      </c>
      <c r="AE2878" s="182" t="n">
        <v>0</v>
      </c>
      <c r="AF2878" s="182" t="n">
        <v>0</v>
      </c>
      <c r="AG2878" s="182" t="n">
        <v>0</v>
      </c>
      <c r="AH2878" s="182" t="n">
        <v>0</v>
      </c>
      <c r="AI2878" s="182" t="n">
        <v>0</v>
      </c>
      <c r="AJ2878" s="182" t="n">
        <v>0</v>
      </c>
      <c r="AK2878" s="182" t="n">
        <v>10.92</v>
      </c>
      <c r="AL2878" s="182" t="n">
        <v>0</v>
      </c>
      <c r="AM2878" s="182" t="n">
        <v>0.08</v>
      </c>
      <c r="AN2878" s="182" t="n">
        <v>0</v>
      </c>
    </row>
    <row r="2879">
      <c r="A2879" s="155" t="n">
        <v>46095</v>
      </c>
      <c r="B2879" s="156" t="inlineStr">
        <is>
          <t>DS</t>
        </is>
      </c>
      <c r="C2879" s="156" t="inlineStr">
        <is>
          <t>HT-401</t>
        </is>
      </c>
      <c r="D2879" s="156" t="inlineStr">
        <is>
          <t>SY430</t>
        </is>
      </c>
      <c r="E2879" s="156" t="inlineStr">
        <is>
          <t>DT Hauling</t>
        </is>
      </c>
      <c r="F2879" s="156" t="inlineStr"/>
      <c r="G2879" s="182" t="n">
        <v>0</v>
      </c>
      <c r="H2879" s="182" t="n">
        <v>0</v>
      </c>
      <c r="I2879" s="182" t="n">
        <v>0</v>
      </c>
      <c r="J2879" s="182" t="n">
        <v>0</v>
      </c>
      <c r="K2879" s="182" t="n">
        <v>12</v>
      </c>
      <c r="L2879" s="182" t="n">
        <v>12</v>
      </c>
      <c r="M2879" s="182" t="n">
        <v>0</v>
      </c>
      <c r="N2879" s="182" t="n">
        <v>0</v>
      </c>
      <c r="O2879" s="183" t="n">
        <v>0</v>
      </c>
      <c r="P2879" s="183" t="n">
        <v>0</v>
      </c>
      <c r="Q2879" s="184" t="n">
        <v>0</v>
      </c>
      <c r="R2879" s="184" t="n">
        <v>0</v>
      </c>
      <c r="S2879" s="183" t="n">
        <v>0</v>
      </c>
      <c r="T2879" s="183" t="n">
        <v>0</v>
      </c>
      <c r="U2879" s="182" t="n">
        <v>0</v>
      </c>
      <c r="V2879" s="182" t="n">
        <v>0</v>
      </c>
      <c r="W2879" s="182" t="n">
        <v>0</v>
      </c>
      <c r="X2879" s="182" t="n">
        <v>1</v>
      </c>
      <c r="Y2879" s="182" t="n">
        <v>0</v>
      </c>
      <c r="Z2879" s="182" t="n">
        <v>0</v>
      </c>
      <c r="AA2879" s="182" t="n">
        <v>0</v>
      </c>
      <c r="AB2879" s="182" t="n">
        <v>0</v>
      </c>
      <c r="AC2879" s="182" t="n">
        <v>0</v>
      </c>
      <c r="AD2879" s="182" t="n">
        <v>0</v>
      </c>
      <c r="AE2879" s="182" t="n">
        <v>0</v>
      </c>
      <c r="AF2879" s="182" t="n">
        <v>0</v>
      </c>
      <c r="AG2879" s="182" t="n">
        <v>0</v>
      </c>
      <c r="AH2879" s="182" t="n">
        <v>0</v>
      </c>
      <c r="AI2879" s="182" t="n">
        <v>0</v>
      </c>
      <c r="AJ2879" s="182" t="n">
        <v>0</v>
      </c>
      <c r="AK2879" s="182" t="n">
        <v>10.92</v>
      </c>
      <c r="AL2879" s="182" t="n">
        <v>0</v>
      </c>
      <c r="AM2879" s="182" t="n">
        <v>0.08</v>
      </c>
      <c r="AN2879" s="182" t="n">
        <v>0</v>
      </c>
    </row>
    <row r="2880">
      <c r="A2880" s="155" t="n">
        <v>46095</v>
      </c>
      <c r="B2880" s="156" t="inlineStr">
        <is>
          <t>DS</t>
        </is>
      </c>
      <c r="C2880" s="156" t="inlineStr">
        <is>
          <t>HT-410</t>
        </is>
      </c>
      <c r="D2880" s="156" t="inlineStr">
        <is>
          <t>SY430</t>
        </is>
      </c>
      <c r="E2880" s="156" t="inlineStr">
        <is>
          <t>DT Hauling</t>
        </is>
      </c>
      <c r="F2880" s="156" t="inlineStr"/>
      <c r="G2880" s="182" t="n">
        <v>0</v>
      </c>
      <c r="H2880" s="182" t="n">
        <v>0</v>
      </c>
      <c r="I2880" s="182" t="n">
        <v>0</v>
      </c>
      <c r="J2880" s="182" t="n">
        <v>0</v>
      </c>
      <c r="K2880" s="182" t="n">
        <v>12</v>
      </c>
      <c r="L2880" s="182" t="n">
        <v>12</v>
      </c>
      <c r="M2880" s="182" t="n">
        <v>0</v>
      </c>
      <c r="N2880" s="182" t="n">
        <v>0</v>
      </c>
      <c r="O2880" s="183" t="n">
        <v>0</v>
      </c>
      <c r="P2880" s="183" t="n">
        <v>0</v>
      </c>
      <c r="Q2880" s="184" t="n">
        <v>0</v>
      </c>
      <c r="R2880" s="184" t="n">
        <v>0</v>
      </c>
      <c r="S2880" s="183" t="n">
        <v>0</v>
      </c>
      <c r="T2880" s="183" t="n">
        <v>0</v>
      </c>
      <c r="U2880" s="182" t="n">
        <v>0</v>
      </c>
      <c r="V2880" s="182" t="n">
        <v>0</v>
      </c>
      <c r="W2880" s="182" t="n">
        <v>0</v>
      </c>
      <c r="X2880" s="182" t="n">
        <v>1</v>
      </c>
      <c r="Y2880" s="182" t="n">
        <v>0</v>
      </c>
      <c r="Z2880" s="182" t="n">
        <v>0</v>
      </c>
      <c r="AA2880" s="182" t="n">
        <v>0</v>
      </c>
      <c r="AB2880" s="182" t="n">
        <v>0</v>
      </c>
      <c r="AC2880" s="182" t="n">
        <v>0</v>
      </c>
      <c r="AD2880" s="182" t="n">
        <v>0</v>
      </c>
      <c r="AE2880" s="182" t="n">
        <v>0</v>
      </c>
      <c r="AF2880" s="182" t="n">
        <v>0</v>
      </c>
      <c r="AG2880" s="182" t="n">
        <v>0</v>
      </c>
      <c r="AH2880" s="182" t="n">
        <v>0</v>
      </c>
      <c r="AI2880" s="182" t="n">
        <v>0</v>
      </c>
      <c r="AJ2880" s="182" t="n">
        <v>0</v>
      </c>
      <c r="AK2880" s="182" t="n">
        <v>10.92</v>
      </c>
      <c r="AL2880" s="182" t="n">
        <v>0</v>
      </c>
      <c r="AM2880" s="182" t="n">
        <v>0.08</v>
      </c>
      <c r="AN2880" s="182" t="n">
        <v>0</v>
      </c>
    </row>
    <row r="2881">
      <c r="A2881" s="155" t="n">
        <v>46095</v>
      </c>
      <c r="B2881" s="156" t="inlineStr">
        <is>
          <t>DS</t>
        </is>
      </c>
      <c r="C2881" s="156" t="inlineStr">
        <is>
          <t>HT-402</t>
        </is>
      </c>
      <c r="D2881" s="156" t="inlineStr">
        <is>
          <t>SY430</t>
        </is>
      </c>
      <c r="E2881" s="156" t="inlineStr">
        <is>
          <t>DT Hauling</t>
        </is>
      </c>
      <c r="F2881" s="156" t="inlineStr">
        <is>
          <t>Hauling Coal ke Jetty</t>
        </is>
      </c>
      <c r="G2881" s="182" t="n">
        <v>2.25</v>
      </c>
      <c r="H2881" s="182" t="n">
        <v>0</v>
      </c>
      <c r="I2881" s="182" t="n">
        <v>0</v>
      </c>
      <c r="J2881" s="182" t="n">
        <v>0</v>
      </c>
      <c r="K2881" s="182" t="n">
        <v>9.75</v>
      </c>
      <c r="L2881" s="182" t="n">
        <v>12</v>
      </c>
      <c r="M2881" s="182" t="n">
        <v>0</v>
      </c>
      <c r="N2881" s="182" t="n">
        <v>0</v>
      </c>
      <c r="O2881" s="183" t="n">
        <v>0</v>
      </c>
      <c r="P2881" s="183" t="n">
        <v>0</v>
      </c>
      <c r="Q2881" s="184" t="n">
        <v>0</v>
      </c>
      <c r="R2881" s="184" t="n">
        <v>0</v>
      </c>
      <c r="S2881" s="183" t="n">
        <v>0</v>
      </c>
      <c r="T2881" s="183" t="n">
        <v>0</v>
      </c>
      <c r="U2881" s="182" t="n">
        <v>0</v>
      </c>
      <c r="V2881" s="182" t="n">
        <v>0</v>
      </c>
      <c r="W2881" s="182" t="n">
        <v>0</v>
      </c>
      <c r="X2881" s="182" t="n">
        <v>1.02</v>
      </c>
      <c r="Y2881" s="182" t="n">
        <v>0</v>
      </c>
      <c r="Z2881" s="182" t="n">
        <v>0</v>
      </c>
      <c r="AA2881" s="182" t="n">
        <v>0</v>
      </c>
      <c r="AB2881" s="182" t="n">
        <v>0</v>
      </c>
      <c r="AC2881" s="182" t="n">
        <v>0</v>
      </c>
      <c r="AD2881" s="182" t="n">
        <v>0</v>
      </c>
      <c r="AE2881" s="182" t="n">
        <v>0</v>
      </c>
      <c r="AF2881" s="182" t="n">
        <v>0</v>
      </c>
      <c r="AG2881" s="182" t="n">
        <v>0</v>
      </c>
      <c r="AH2881" s="182" t="n">
        <v>0</v>
      </c>
      <c r="AI2881" s="182" t="n">
        <v>0</v>
      </c>
      <c r="AJ2881" s="182" t="n">
        <v>0</v>
      </c>
      <c r="AK2881" s="182" t="n">
        <v>8.65</v>
      </c>
      <c r="AL2881" s="182" t="n">
        <v>0</v>
      </c>
      <c r="AM2881" s="182" t="n">
        <v>0.08</v>
      </c>
      <c r="AN2881" s="182" t="n">
        <v>0</v>
      </c>
    </row>
    <row r="2882">
      <c r="A2882" s="155" t="n">
        <v>46095</v>
      </c>
      <c r="B2882" s="156" t="inlineStr">
        <is>
          <t>DS</t>
        </is>
      </c>
      <c r="C2882" s="156" t="inlineStr">
        <is>
          <t>HT-419</t>
        </is>
      </c>
      <c r="D2882" s="156" t="inlineStr">
        <is>
          <t>SY430</t>
        </is>
      </c>
      <c r="E2882" s="156" t="inlineStr">
        <is>
          <t>DT Hauling</t>
        </is>
      </c>
      <c r="F2882" s="156" t="inlineStr"/>
      <c r="G2882" s="182" t="n">
        <v>0</v>
      </c>
      <c r="H2882" s="182" t="n">
        <v>0</v>
      </c>
      <c r="I2882" s="182" t="n">
        <v>0</v>
      </c>
      <c r="J2882" s="182" t="n">
        <v>0</v>
      </c>
      <c r="K2882" s="182" t="n">
        <v>12</v>
      </c>
      <c r="L2882" s="182" t="n">
        <v>12</v>
      </c>
      <c r="M2882" s="182" t="n">
        <v>0</v>
      </c>
      <c r="N2882" s="182" t="n">
        <v>0</v>
      </c>
      <c r="O2882" s="183" t="n">
        <v>0</v>
      </c>
      <c r="P2882" s="183" t="n">
        <v>0</v>
      </c>
      <c r="Q2882" s="184" t="n">
        <v>0</v>
      </c>
      <c r="R2882" s="184" t="n">
        <v>0</v>
      </c>
      <c r="S2882" s="183" t="n">
        <v>0</v>
      </c>
      <c r="T2882" s="183" t="n">
        <v>0</v>
      </c>
      <c r="U2882" s="182" t="n">
        <v>0</v>
      </c>
      <c r="V2882" s="182" t="n">
        <v>0</v>
      </c>
      <c r="W2882" s="182" t="n">
        <v>0</v>
      </c>
      <c r="X2882" s="182" t="n">
        <v>1</v>
      </c>
      <c r="Y2882" s="182" t="n">
        <v>0</v>
      </c>
      <c r="Z2882" s="182" t="n">
        <v>0</v>
      </c>
      <c r="AA2882" s="182" t="n">
        <v>0</v>
      </c>
      <c r="AB2882" s="182" t="n">
        <v>0</v>
      </c>
      <c r="AC2882" s="182" t="n">
        <v>0</v>
      </c>
      <c r="AD2882" s="182" t="n">
        <v>0</v>
      </c>
      <c r="AE2882" s="182" t="n">
        <v>0</v>
      </c>
      <c r="AF2882" s="182" t="n">
        <v>0</v>
      </c>
      <c r="AG2882" s="182" t="n">
        <v>0</v>
      </c>
      <c r="AH2882" s="182" t="n">
        <v>0</v>
      </c>
      <c r="AI2882" s="182" t="n">
        <v>0</v>
      </c>
      <c r="AJ2882" s="182" t="n">
        <v>0</v>
      </c>
      <c r="AK2882" s="182" t="n">
        <v>10.92</v>
      </c>
      <c r="AL2882" s="182" t="n">
        <v>0</v>
      </c>
      <c r="AM2882" s="182" t="n">
        <v>0.08</v>
      </c>
      <c r="AN2882" s="182" t="n">
        <v>0</v>
      </c>
    </row>
    <row r="2883">
      <c r="A2883" s="155" t="n">
        <v>46095</v>
      </c>
      <c r="B2883" s="156" t="inlineStr">
        <is>
          <t>DS</t>
        </is>
      </c>
      <c r="C2883" s="156" t="inlineStr">
        <is>
          <t>HT-416</t>
        </is>
      </c>
      <c r="D2883" s="156" t="inlineStr">
        <is>
          <t>SY430</t>
        </is>
      </c>
      <c r="E2883" s="156" t="inlineStr">
        <is>
          <t>DT Hauling</t>
        </is>
      </c>
      <c r="F2883" s="156" t="inlineStr">
        <is>
          <t>Hauling Coal ke Jetty</t>
        </is>
      </c>
      <c r="G2883" s="182" t="n">
        <v>6.86</v>
      </c>
      <c r="H2883" s="182" t="n">
        <v>0</v>
      </c>
      <c r="I2883" s="182" t="n">
        <v>0</v>
      </c>
      <c r="J2883" s="182" t="n">
        <v>0</v>
      </c>
      <c r="K2883" s="182" t="n">
        <v>5.14</v>
      </c>
      <c r="L2883" s="182" t="n">
        <v>12</v>
      </c>
      <c r="M2883" s="182" t="n">
        <v>0</v>
      </c>
      <c r="N2883" s="182" t="n">
        <v>0</v>
      </c>
      <c r="O2883" s="183" t="n">
        <v>0</v>
      </c>
      <c r="P2883" s="183" t="n">
        <v>0</v>
      </c>
      <c r="Q2883" s="184" t="n">
        <v>0</v>
      </c>
      <c r="R2883" s="184" t="n">
        <v>0</v>
      </c>
      <c r="S2883" s="183" t="n">
        <v>0</v>
      </c>
      <c r="T2883" s="183" t="n">
        <v>0</v>
      </c>
      <c r="U2883" s="182" t="n">
        <v>0</v>
      </c>
      <c r="V2883" s="182" t="n">
        <v>0</v>
      </c>
      <c r="W2883" s="182" t="n">
        <v>0</v>
      </c>
      <c r="X2883" s="182" t="n">
        <v>0.99</v>
      </c>
      <c r="Y2883" s="182" t="n">
        <v>0</v>
      </c>
      <c r="Z2883" s="182" t="n">
        <v>0</v>
      </c>
      <c r="AA2883" s="182" t="n">
        <v>0</v>
      </c>
      <c r="AB2883" s="182" t="n">
        <v>0</v>
      </c>
      <c r="AC2883" s="182" t="n">
        <v>0</v>
      </c>
      <c r="AD2883" s="182" t="n">
        <v>0</v>
      </c>
      <c r="AE2883" s="182" t="n">
        <v>0</v>
      </c>
      <c r="AF2883" s="182" t="n">
        <v>0</v>
      </c>
      <c r="AG2883" s="182" t="n">
        <v>0</v>
      </c>
      <c r="AH2883" s="182" t="n">
        <v>0</v>
      </c>
      <c r="AI2883" s="182" t="n">
        <v>0</v>
      </c>
      <c r="AJ2883" s="182" t="n">
        <v>0</v>
      </c>
      <c r="AK2883" s="182" t="n">
        <v>4.07</v>
      </c>
      <c r="AL2883" s="182" t="n">
        <v>0</v>
      </c>
      <c r="AM2883" s="182" t="n">
        <v>0.08</v>
      </c>
      <c r="AN2883" s="182" t="n">
        <v>0</v>
      </c>
    </row>
    <row r="2884">
      <c r="A2884" s="155" t="n">
        <v>46095</v>
      </c>
      <c r="B2884" s="156" t="inlineStr">
        <is>
          <t>DS</t>
        </is>
      </c>
      <c r="C2884" s="156" t="inlineStr">
        <is>
          <t>HT-420</t>
        </is>
      </c>
      <c r="D2884" s="156" t="inlineStr">
        <is>
          <t>SY430</t>
        </is>
      </c>
      <c r="E2884" s="156" t="inlineStr">
        <is>
          <t>DT Hauling</t>
        </is>
      </c>
      <c r="F2884" s="156" t="inlineStr">
        <is>
          <t>Hauling Coal ke Jetty</t>
        </is>
      </c>
      <c r="G2884" s="182" t="n">
        <v>6.94</v>
      </c>
      <c r="H2884" s="182" t="n">
        <v>0</v>
      </c>
      <c r="I2884" s="182" t="n">
        <v>0.67</v>
      </c>
      <c r="J2884" s="182" t="n">
        <v>0.67</v>
      </c>
      <c r="K2884" s="182" t="n">
        <v>4.39</v>
      </c>
      <c r="L2884" s="182" t="n">
        <v>12</v>
      </c>
      <c r="M2884" s="182" t="n">
        <v>0</v>
      </c>
      <c r="N2884" s="182" t="n">
        <v>0</v>
      </c>
      <c r="O2884" s="183" t="n">
        <v>0</v>
      </c>
      <c r="P2884" s="183" t="n">
        <v>0</v>
      </c>
      <c r="Q2884" s="184" t="n">
        <v>0</v>
      </c>
      <c r="R2884" s="184" t="n">
        <v>0</v>
      </c>
      <c r="S2884" s="183" t="n">
        <v>0</v>
      </c>
      <c r="T2884" s="183" t="n">
        <v>0</v>
      </c>
      <c r="U2884" s="182" t="n">
        <v>0</v>
      </c>
      <c r="V2884" s="182" t="n">
        <v>0</v>
      </c>
      <c r="W2884" s="182" t="n">
        <v>0</v>
      </c>
      <c r="X2884" s="182" t="n">
        <v>1.01</v>
      </c>
      <c r="Y2884" s="182" t="n">
        <v>0</v>
      </c>
      <c r="Z2884" s="182" t="n">
        <v>0</v>
      </c>
      <c r="AA2884" s="182" t="n">
        <v>0</v>
      </c>
      <c r="AB2884" s="182" t="n">
        <v>0</v>
      </c>
      <c r="AC2884" s="182" t="n">
        <v>0</v>
      </c>
      <c r="AD2884" s="182" t="n">
        <v>0</v>
      </c>
      <c r="AE2884" s="182" t="n">
        <v>0</v>
      </c>
      <c r="AF2884" s="182" t="n">
        <v>0</v>
      </c>
      <c r="AG2884" s="182" t="n">
        <v>0</v>
      </c>
      <c r="AH2884" s="182" t="n">
        <v>0</v>
      </c>
      <c r="AI2884" s="182" t="n">
        <v>0</v>
      </c>
      <c r="AJ2884" s="182" t="n">
        <v>0</v>
      </c>
      <c r="AK2884" s="182" t="n">
        <v>3.3</v>
      </c>
      <c r="AL2884" s="182" t="n">
        <v>0</v>
      </c>
      <c r="AM2884" s="182" t="n">
        <v>0.08</v>
      </c>
      <c r="AN2884" s="182" t="n">
        <v>0</v>
      </c>
    </row>
    <row r="2885">
      <c r="A2885" s="155" t="n">
        <v>46095</v>
      </c>
      <c r="B2885" s="156" t="inlineStr">
        <is>
          <t>DS</t>
        </is>
      </c>
      <c r="C2885" s="156" t="inlineStr">
        <is>
          <t>HT-403</t>
        </is>
      </c>
      <c r="D2885" s="156" t="inlineStr">
        <is>
          <t>SY430</t>
        </is>
      </c>
      <c r="E2885" s="156" t="inlineStr">
        <is>
          <t>DT Hauling</t>
        </is>
      </c>
      <c r="F2885" s="156" t="inlineStr"/>
      <c r="G2885" s="182" t="n">
        <v>0</v>
      </c>
      <c r="H2885" s="182" t="n">
        <v>0</v>
      </c>
      <c r="I2885" s="182" t="n">
        <v>0</v>
      </c>
      <c r="J2885" s="182" t="n">
        <v>0</v>
      </c>
      <c r="K2885" s="182" t="n">
        <v>12</v>
      </c>
      <c r="L2885" s="182" t="n">
        <v>12</v>
      </c>
      <c r="M2885" s="182" t="n">
        <v>0</v>
      </c>
      <c r="N2885" s="182" t="n">
        <v>0</v>
      </c>
      <c r="O2885" s="183" t="n">
        <v>0</v>
      </c>
      <c r="P2885" s="183" t="n">
        <v>0</v>
      </c>
      <c r="Q2885" s="184" t="n">
        <v>0</v>
      </c>
      <c r="R2885" s="184" t="n">
        <v>0</v>
      </c>
      <c r="S2885" s="183" t="n">
        <v>0</v>
      </c>
      <c r="T2885" s="183" t="n">
        <v>0</v>
      </c>
      <c r="U2885" s="182" t="n">
        <v>0</v>
      </c>
      <c r="V2885" s="182" t="n">
        <v>0</v>
      </c>
      <c r="W2885" s="182" t="n">
        <v>0</v>
      </c>
      <c r="X2885" s="182" t="n">
        <v>1</v>
      </c>
      <c r="Y2885" s="182" t="n">
        <v>0</v>
      </c>
      <c r="Z2885" s="182" t="n">
        <v>0</v>
      </c>
      <c r="AA2885" s="182" t="n">
        <v>0</v>
      </c>
      <c r="AB2885" s="182" t="n">
        <v>0</v>
      </c>
      <c r="AC2885" s="182" t="n">
        <v>0</v>
      </c>
      <c r="AD2885" s="182" t="n">
        <v>0</v>
      </c>
      <c r="AE2885" s="182" t="n">
        <v>0</v>
      </c>
      <c r="AF2885" s="182" t="n">
        <v>0</v>
      </c>
      <c r="AG2885" s="182" t="n">
        <v>0</v>
      </c>
      <c r="AH2885" s="182" t="n">
        <v>0</v>
      </c>
      <c r="AI2885" s="182" t="n">
        <v>0</v>
      </c>
      <c r="AJ2885" s="182" t="n">
        <v>0</v>
      </c>
      <c r="AK2885" s="182" t="n">
        <v>10.92</v>
      </c>
      <c r="AL2885" s="182" t="n">
        <v>0</v>
      </c>
      <c r="AM2885" s="182" t="n">
        <v>0.08</v>
      </c>
      <c r="AN2885" s="182" t="n">
        <v>0</v>
      </c>
    </row>
    <row r="2886">
      <c r="A2886" s="155" t="n">
        <v>46095</v>
      </c>
      <c r="B2886" s="156" t="inlineStr">
        <is>
          <t>DS</t>
        </is>
      </c>
      <c r="C2886" s="156" t="inlineStr">
        <is>
          <t>HT-408</t>
        </is>
      </c>
      <c r="D2886" s="156" t="inlineStr">
        <is>
          <t>SY430</t>
        </is>
      </c>
      <c r="E2886" s="156" t="inlineStr">
        <is>
          <t>DT Hauling</t>
        </is>
      </c>
      <c r="F2886" s="156" t="inlineStr">
        <is>
          <t>Hauling Coal ke Jetty</t>
        </is>
      </c>
      <c r="G2886" s="182" t="n">
        <v>1.95</v>
      </c>
      <c r="H2886" s="182" t="n">
        <v>0</v>
      </c>
      <c r="I2886" s="182" t="n">
        <v>9.83</v>
      </c>
      <c r="J2886" s="182" t="n">
        <v>9.83</v>
      </c>
      <c r="K2886" s="182" t="n">
        <v>0.22</v>
      </c>
      <c r="L2886" s="182" t="n">
        <v>12</v>
      </c>
      <c r="M2886" s="182" t="n">
        <v>0</v>
      </c>
      <c r="N2886" s="182" t="n">
        <v>0</v>
      </c>
      <c r="O2886" s="183" t="n">
        <v>0</v>
      </c>
      <c r="P2886" s="183" t="n">
        <v>0</v>
      </c>
      <c r="Q2886" s="184" t="n">
        <v>0</v>
      </c>
      <c r="R2886" s="184" t="n">
        <v>0</v>
      </c>
      <c r="S2886" s="183" t="n">
        <v>0</v>
      </c>
      <c r="T2886" s="183" t="n">
        <v>0</v>
      </c>
      <c r="U2886" s="182" t="n">
        <v>0</v>
      </c>
      <c r="V2886" s="182" t="n">
        <v>0</v>
      </c>
      <c r="W2886" s="182" t="n">
        <v>0</v>
      </c>
      <c r="X2886" s="182" t="n">
        <v>0.17</v>
      </c>
      <c r="Y2886" s="182" t="n">
        <v>0</v>
      </c>
      <c r="Z2886" s="182" t="n">
        <v>0</v>
      </c>
      <c r="AA2886" s="182" t="n">
        <v>0</v>
      </c>
      <c r="AB2886" s="182" t="n">
        <v>0</v>
      </c>
      <c r="AC2886" s="182" t="n">
        <v>0</v>
      </c>
      <c r="AD2886" s="182" t="n">
        <v>0</v>
      </c>
      <c r="AE2886" s="182" t="n">
        <v>0</v>
      </c>
      <c r="AF2886" s="182" t="n">
        <v>0</v>
      </c>
      <c r="AG2886" s="182" t="n">
        <v>0</v>
      </c>
      <c r="AH2886" s="182" t="n">
        <v>0</v>
      </c>
      <c r="AI2886" s="182" t="n">
        <v>0</v>
      </c>
      <c r="AJ2886" s="182" t="n">
        <v>0</v>
      </c>
      <c r="AK2886" s="182" t="n">
        <v>0</v>
      </c>
      <c r="AL2886" s="182" t="n">
        <v>0</v>
      </c>
      <c r="AM2886" s="182" t="n">
        <v>0.05</v>
      </c>
      <c r="AN2886" s="182" t="n">
        <v>0</v>
      </c>
    </row>
    <row r="2887">
      <c r="A2887" s="155" t="n">
        <v>46095</v>
      </c>
      <c r="B2887" s="156" t="inlineStr">
        <is>
          <t>DS</t>
        </is>
      </c>
      <c r="C2887" s="156" t="inlineStr">
        <is>
          <t>HT-412</t>
        </is>
      </c>
      <c r="D2887" s="156" t="inlineStr">
        <is>
          <t>SY430</t>
        </is>
      </c>
      <c r="E2887" s="156" t="inlineStr">
        <is>
          <t>DT Hauling</t>
        </is>
      </c>
      <c r="F2887" s="156" t="inlineStr">
        <is>
          <t>Hauling Coal ke Jetty</t>
        </is>
      </c>
      <c r="G2887" s="182" t="n">
        <v>5.34</v>
      </c>
      <c r="H2887" s="182" t="n">
        <v>0</v>
      </c>
      <c r="I2887" s="182" t="n">
        <v>0.17</v>
      </c>
      <c r="J2887" s="182" t="n">
        <v>0.17</v>
      </c>
      <c r="K2887" s="182" t="n">
        <v>6.49</v>
      </c>
      <c r="L2887" s="182" t="n">
        <v>12</v>
      </c>
      <c r="M2887" s="182" t="n">
        <v>0</v>
      </c>
      <c r="N2887" s="182" t="n">
        <v>0</v>
      </c>
      <c r="O2887" s="183" t="n">
        <v>0</v>
      </c>
      <c r="P2887" s="183" t="n">
        <v>0</v>
      </c>
      <c r="Q2887" s="184" t="n">
        <v>0</v>
      </c>
      <c r="R2887" s="184" t="n">
        <v>0</v>
      </c>
      <c r="S2887" s="183" t="n">
        <v>0</v>
      </c>
      <c r="T2887" s="183" t="n">
        <v>0</v>
      </c>
      <c r="U2887" s="182" t="n">
        <v>0</v>
      </c>
      <c r="V2887" s="182" t="n">
        <v>0</v>
      </c>
      <c r="W2887" s="182" t="n">
        <v>0</v>
      </c>
      <c r="X2887" s="182" t="n">
        <v>1.04</v>
      </c>
      <c r="Y2887" s="182" t="n">
        <v>0</v>
      </c>
      <c r="Z2887" s="182" t="n">
        <v>0</v>
      </c>
      <c r="AA2887" s="182" t="n">
        <v>0</v>
      </c>
      <c r="AB2887" s="182" t="n">
        <v>0</v>
      </c>
      <c r="AC2887" s="182" t="n">
        <v>0</v>
      </c>
      <c r="AD2887" s="182" t="n">
        <v>0</v>
      </c>
      <c r="AE2887" s="182" t="n">
        <v>0</v>
      </c>
      <c r="AF2887" s="182" t="n">
        <v>0</v>
      </c>
      <c r="AG2887" s="182" t="n">
        <v>0</v>
      </c>
      <c r="AH2887" s="182" t="n">
        <v>0</v>
      </c>
      <c r="AI2887" s="182" t="n">
        <v>0</v>
      </c>
      <c r="AJ2887" s="182" t="n">
        <v>0</v>
      </c>
      <c r="AK2887" s="182" t="n">
        <v>5.36</v>
      </c>
      <c r="AL2887" s="182" t="n">
        <v>0</v>
      </c>
      <c r="AM2887" s="182" t="n">
        <v>0.08</v>
      </c>
      <c r="AN2887" s="182" t="n">
        <v>0</v>
      </c>
    </row>
    <row r="2888">
      <c r="A2888" s="155" t="n">
        <v>46095</v>
      </c>
      <c r="B2888" s="156" t="inlineStr">
        <is>
          <t>DS</t>
        </is>
      </c>
      <c r="C2888" s="156" t="inlineStr">
        <is>
          <t>HT-413</t>
        </is>
      </c>
      <c r="D2888" s="156" t="inlineStr">
        <is>
          <t>SY430</t>
        </is>
      </c>
      <c r="E2888" s="156" t="inlineStr">
        <is>
          <t>DT Hauling</t>
        </is>
      </c>
      <c r="F2888" s="156" t="inlineStr">
        <is>
          <t>Hauling Coal ke Jetty</t>
        </is>
      </c>
      <c r="G2888" s="182" t="n">
        <v>3.28</v>
      </c>
      <c r="H2888" s="182" t="n">
        <v>0</v>
      </c>
      <c r="I2888" s="182" t="n">
        <v>8.720000000000001</v>
      </c>
      <c r="J2888" s="182" t="n">
        <v>8.720000000000001</v>
      </c>
      <c r="K2888" s="182" t="n">
        <v>0</v>
      </c>
      <c r="L2888" s="182" t="n">
        <v>12</v>
      </c>
      <c r="M2888" s="182" t="n">
        <v>0</v>
      </c>
      <c r="N2888" s="182" t="n">
        <v>0</v>
      </c>
      <c r="O2888" s="183" t="n">
        <v>0</v>
      </c>
      <c r="P2888" s="183" t="n">
        <v>0</v>
      </c>
      <c r="Q2888" s="184" t="n">
        <v>0</v>
      </c>
      <c r="R2888" s="184" t="n">
        <v>0</v>
      </c>
      <c r="S2888" s="183" t="n">
        <v>0</v>
      </c>
      <c r="T2888" s="183" t="n">
        <v>0</v>
      </c>
      <c r="U2888" s="182" t="n">
        <v>0</v>
      </c>
      <c r="V2888" s="182" t="n">
        <v>0</v>
      </c>
      <c r="W2888" s="182" t="n">
        <v>0</v>
      </c>
      <c r="X2888" s="182" t="n">
        <v>0</v>
      </c>
      <c r="Y2888" s="182" t="n">
        <v>0</v>
      </c>
      <c r="Z2888" s="182" t="n">
        <v>0</v>
      </c>
      <c r="AA2888" s="182" t="n">
        <v>0</v>
      </c>
      <c r="AB2888" s="182" t="n">
        <v>0</v>
      </c>
      <c r="AC2888" s="182" t="n">
        <v>0</v>
      </c>
      <c r="AD2888" s="182" t="n">
        <v>0</v>
      </c>
      <c r="AE2888" s="182" t="n">
        <v>0</v>
      </c>
      <c r="AF2888" s="182" t="n">
        <v>0</v>
      </c>
      <c r="AG2888" s="182" t="n">
        <v>0</v>
      </c>
      <c r="AH2888" s="182" t="n">
        <v>0</v>
      </c>
      <c r="AI2888" s="182" t="n">
        <v>0</v>
      </c>
      <c r="AJ2888" s="182" t="n">
        <v>0</v>
      </c>
      <c r="AK2888" s="182" t="n">
        <v>0</v>
      </c>
      <c r="AL2888" s="182" t="n">
        <v>0</v>
      </c>
      <c r="AM2888" s="182" t="n">
        <v>0</v>
      </c>
      <c r="AN2888" s="182" t="n">
        <v>0</v>
      </c>
    </row>
    <row r="2889">
      <c r="A2889" s="155" t="n">
        <v>46095</v>
      </c>
      <c r="B2889" s="156" t="inlineStr">
        <is>
          <t>DS</t>
        </is>
      </c>
      <c r="C2889" s="156" t="inlineStr">
        <is>
          <t>HT-407</t>
        </is>
      </c>
      <c r="D2889" s="156" t="inlineStr">
        <is>
          <t>SY430</t>
        </is>
      </c>
      <c r="E2889" s="156" t="inlineStr">
        <is>
          <t>DT Hauling</t>
        </is>
      </c>
      <c r="F2889" s="156" t="inlineStr">
        <is>
          <t>Hauling Coal ke Jetty</t>
        </is>
      </c>
      <c r="G2889" s="182" t="n">
        <v>8.359999999999999</v>
      </c>
      <c r="H2889" s="182" t="n">
        <v>0</v>
      </c>
      <c r="I2889" s="182" t="n">
        <v>0</v>
      </c>
      <c r="J2889" s="182" t="n">
        <v>0</v>
      </c>
      <c r="K2889" s="182" t="n">
        <v>3.64</v>
      </c>
      <c r="L2889" s="182" t="n">
        <v>12</v>
      </c>
      <c r="M2889" s="182" t="n">
        <v>0</v>
      </c>
      <c r="N2889" s="182" t="n">
        <v>0</v>
      </c>
      <c r="O2889" s="183" t="n">
        <v>0</v>
      </c>
      <c r="P2889" s="183" t="n">
        <v>0</v>
      </c>
      <c r="Q2889" s="184" t="n">
        <v>0</v>
      </c>
      <c r="R2889" s="184" t="n">
        <v>0</v>
      </c>
      <c r="S2889" s="183" t="n">
        <v>0</v>
      </c>
      <c r="T2889" s="183" t="n">
        <v>0</v>
      </c>
      <c r="U2889" s="182" t="n">
        <v>0</v>
      </c>
      <c r="V2889" s="182" t="n">
        <v>0</v>
      </c>
      <c r="W2889" s="182" t="n">
        <v>0</v>
      </c>
      <c r="X2889" s="182" t="n">
        <v>0.91</v>
      </c>
      <c r="Y2889" s="182" t="n">
        <v>0</v>
      </c>
      <c r="Z2889" s="182" t="n">
        <v>0</v>
      </c>
      <c r="AA2889" s="182" t="n">
        <v>0</v>
      </c>
      <c r="AB2889" s="182" t="n">
        <v>0</v>
      </c>
      <c r="AC2889" s="182" t="n">
        <v>0</v>
      </c>
      <c r="AD2889" s="182" t="n">
        <v>0</v>
      </c>
      <c r="AE2889" s="182" t="n">
        <v>0</v>
      </c>
      <c r="AF2889" s="182" t="n">
        <v>0</v>
      </c>
      <c r="AG2889" s="182" t="n">
        <v>0</v>
      </c>
      <c r="AH2889" s="182" t="n">
        <v>0</v>
      </c>
      <c r="AI2889" s="182" t="n">
        <v>0</v>
      </c>
      <c r="AJ2889" s="182" t="n">
        <v>0</v>
      </c>
      <c r="AK2889" s="182" t="n">
        <v>2.66</v>
      </c>
      <c r="AL2889" s="182" t="n">
        <v>0</v>
      </c>
      <c r="AM2889" s="182" t="n">
        <v>0.07000000000000001</v>
      </c>
      <c r="AN2889" s="182" t="n">
        <v>0</v>
      </c>
    </row>
    <row r="2890">
      <c r="A2890" s="155" t="n">
        <v>46095</v>
      </c>
      <c r="B2890" s="156" t="inlineStr">
        <is>
          <t>DS</t>
        </is>
      </c>
      <c r="C2890" s="156" t="inlineStr">
        <is>
          <t>HT-414</t>
        </is>
      </c>
      <c r="D2890" s="156" t="inlineStr">
        <is>
          <t>SY430</t>
        </is>
      </c>
      <c r="E2890" s="156" t="inlineStr">
        <is>
          <t>DT Hauling</t>
        </is>
      </c>
      <c r="F2890" s="156" t="inlineStr">
        <is>
          <t>Hauling Coal ke Jetty</t>
        </is>
      </c>
      <c r="G2890" s="182" t="n">
        <v>5.58</v>
      </c>
      <c r="H2890" s="182" t="n">
        <v>0</v>
      </c>
      <c r="I2890" s="182" t="n">
        <v>1.53</v>
      </c>
      <c r="J2890" s="182" t="n">
        <v>1.53</v>
      </c>
      <c r="K2890" s="182" t="n">
        <v>4.89</v>
      </c>
      <c r="L2890" s="182" t="n">
        <v>12</v>
      </c>
      <c r="M2890" s="182" t="n">
        <v>0</v>
      </c>
      <c r="N2890" s="182" t="n">
        <v>0</v>
      </c>
      <c r="O2890" s="183" t="n">
        <v>0</v>
      </c>
      <c r="P2890" s="183" t="n">
        <v>0</v>
      </c>
      <c r="Q2890" s="184" t="n">
        <v>0</v>
      </c>
      <c r="R2890" s="184" t="n">
        <v>0</v>
      </c>
      <c r="S2890" s="183" t="n">
        <v>0</v>
      </c>
      <c r="T2890" s="183" t="n">
        <v>0</v>
      </c>
      <c r="U2890" s="182" t="n">
        <v>0</v>
      </c>
      <c r="V2890" s="182" t="n">
        <v>0</v>
      </c>
      <c r="W2890" s="182" t="n">
        <v>0</v>
      </c>
      <c r="X2890" s="182" t="n">
        <v>1.05</v>
      </c>
      <c r="Y2890" s="182" t="n">
        <v>0</v>
      </c>
      <c r="Z2890" s="182" t="n">
        <v>0</v>
      </c>
      <c r="AA2890" s="182" t="n">
        <v>0</v>
      </c>
      <c r="AB2890" s="182" t="n">
        <v>0</v>
      </c>
      <c r="AC2890" s="182" t="n">
        <v>0</v>
      </c>
      <c r="AD2890" s="182" t="n">
        <v>0</v>
      </c>
      <c r="AE2890" s="182" t="n">
        <v>0</v>
      </c>
      <c r="AF2890" s="182" t="n">
        <v>0</v>
      </c>
      <c r="AG2890" s="182" t="n">
        <v>0</v>
      </c>
      <c r="AH2890" s="182" t="n">
        <v>0</v>
      </c>
      <c r="AI2890" s="182" t="n">
        <v>0</v>
      </c>
      <c r="AJ2890" s="182" t="n">
        <v>0</v>
      </c>
      <c r="AK2890" s="182" t="n">
        <v>3.75</v>
      </c>
      <c r="AL2890" s="182" t="n">
        <v>0</v>
      </c>
      <c r="AM2890" s="182" t="n">
        <v>0.08</v>
      </c>
      <c r="AN2890" s="182" t="n">
        <v>0</v>
      </c>
    </row>
    <row r="2891">
      <c r="A2891" s="155" t="n">
        <v>46095</v>
      </c>
      <c r="B2891" s="156" t="inlineStr">
        <is>
          <t>DS</t>
        </is>
      </c>
      <c r="C2891" s="156" t="inlineStr">
        <is>
          <t>HT-411</t>
        </is>
      </c>
      <c r="D2891" s="156" t="inlineStr">
        <is>
          <t>SY430</t>
        </is>
      </c>
      <c r="E2891" s="156" t="inlineStr">
        <is>
          <t>DT Hauling</t>
        </is>
      </c>
      <c r="F2891" s="156" t="inlineStr">
        <is>
          <t>Hauling Coal ke Jetty</t>
        </is>
      </c>
      <c r="G2891" s="182" t="n">
        <v>3.85</v>
      </c>
      <c r="H2891" s="182" t="n">
        <v>0</v>
      </c>
      <c r="I2891" s="182" t="n">
        <v>5.42</v>
      </c>
      <c r="J2891" s="182" t="n">
        <v>5.42</v>
      </c>
      <c r="K2891" s="182" t="n">
        <v>2.73</v>
      </c>
      <c r="L2891" s="182" t="n">
        <v>12</v>
      </c>
      <c r="M2891" s="182" t="n">
        <v>0</v>
      </c>
      <c r="N2891" s="182" t="n">
        <v>0</v>
      </c>
      <c r="O2891" s="183" t="n">
        <v>0</v>
      </c>
      <c r="P2891" s="183" t="n">
        <v>0</v>
      </c>
      <c r="Q2891" s="184" t="n">
        <v>0</v>
      </c>
      <c r="R2891" s="184" t="n">
        <v>0</v>
      </c>
      <c r="S2891" s="183" t="n">
        <v>0</v>
      </c>
      <c r="T2891" s="183" t="n">
        <v>0</v>
      </c>
      <c r="U2891" s="182" t="n">
        <v>0</v>
      </c>
      <c r="V2891" s="182" t="n">
        <v>0</v>
      </c>
      <c r="W2891" s="182" t="n">
        <v>0</v>
      </c>
      <c r="X2891" s="182" t="n">
        <v>0.92</v>
      </c>
      <c r="Y2891" s="182" t="n">
        <v>0</v>
      </c>
      <c r="Z2891" s="182" t="n">
        <v>0</v>
      </c>
      <c r="AA2891" s="182" t="n">
        <v>0</v>
      </c>
      <c r="AB2891" s="182" t="n">
        <v>0</v>
      </c>
      <c r="AC2891" s="182" t="n">
        <v>0</v>
      </c>
      <c r="AD2891" s="182" t="n">
        <v>0</v>
      </c>
      <c r="AE2891" s="182" t="n">
        <v>0</v>
      </c>
      <c r="AF2891" s="182" t="n">
        <v>0</v>
      </c>
      <c r="AG2891" s="182" t="n">
        <v>0</v>
      </c>
      <c r="AH2891" s="182" t="n">
        <v>0</v>
      </c>
      <c r="AI2891" s="182" t="n">
        <v>0</v>
      </c>
      <c r="AJ2891" s="182" t="n">
        <v>0</v>
      </c>
      <c r="AK2891" s="182" t="n">
        <v>1.74</v>
      </c>
      <c r="AL2891" s="182" t="n">
        <v>0</v>
      </c>
      <c r="AM2891" s="182" t="n">
        <v>0.07000000000000001</v>
      </c>
      <c r="AN2891" s="182" t="n">
        <v>0</v>
      </c>
    </row>
    <row r="2892">
      <c r="A2892" s="155" t="n">
        <v>46095</v>
      </c>
      <c r="B2892" s="156" t="inlineStr">
        <is>
          <t>DS</t>
        </is>
      </c>
      <c r="C2892" s="156" t="inlineStr">
        <is>
          <t>HT-409</t>
        </is>
      </c>
      <c r="D2892" s="156" t="inlineStr">
        <is>
          <t>SY430</t>
        </is>
      </c>
      <c r="E2892" s="156" t="inlineStr">
        <is>
          <t>DT Hauling</t>
        </is>
      </c>
      <c r="F2892" s="156" t="inlineStr">
        <is>
          <t>Hauling Coal ke Jetty</t>
        </is>
      </c>
      <c r="G2892" s="182" t="n">
        <v>7.04</v>
      </c>
      <c r="H2892" s="182" t="n">
        <v>0</v>
      </c>
      <c r="I2892" s="182" t="n">
        <v>0</v>
      </c>
      <c r="J2892" s="182" t="n">
        <v>0</v>
      </c>
      <c r="K2892" s="182" t="n">
        <v>4.96</v>
      </c>
      <c r="L2892" s="182" t="n">
        <v>12</v>
      </c>
      <c r="M2892" s="182" t="n">
        <v>0</v>
      </c>
      <c r="N2892" s="182" t="n">
        <v>0</v>
      </c>
      <c r="O2892" s="183" t="n">
        <v>0</v>
      </c>
      <c r="P2892" s="183" t="n">
        <v>0</v>
      </c>
      <c r="Q2892" s="184" t="n">
        <v>0</v>
      </c>
      <c r="R2892" s="184" t="n">
        <v>0</v>
      </c>
      <c r="S2892" s="183" t="n">
        <v>0</v>
      </c>
      <c r="T2892" s="183" t="n">
        <v>0</v>
      </c>
      <c r="U2892" s="182" t="n">
        <v>0</v>
      </c>
      <c r="V2892" s="182" t="n">
        <v>0</v>
      </c>
      <c r="W2892" s="182" t="n">
        <v>0</v>
      </c>
      <c r="X2892" s="182" t="n">
        <v>1.06</v>
      </c>
      <c r="Y2892" s="182" t="n">
        <v>0</v>
      </c>
      <c r="Z2892" s="182" t="n">
        <v>0</v>
      </c>
      <c r="AA2892" s="182" t="n">
        <v>0</v>
      </c>
      <c r="AB2892" s="182" t="n">
        <v>0</v>
      </c>
      <c r="AC2892" s="182" t="n">
        <v>0</v>
      </c>
      <c r="AD2892" s="182" t="n">
        <v>0</v>
      </c>
      <c r="AE2892" s="182" t="n">
        <v>0</v>
      </c>
      <c r="AF2892" s="182" t="n">
        <v>0</v>
      </c>
      <c r="AG2892" s="182" t="n">
        <v>0</v>
      </c>
      <c r="AH2892" s="182" t="n">
        <v>0</v>
      </c>
      <c r="AI2892" s="182" t="n">
        <v>0</v>
      </c>
      <c r="AJ2892" s="182" t="n">
        <v>0</v>
      </c>
      <c r="AK2892" s="182" t="n">
        <v>3.82</v>
      </c>
      <c r="AL2892" s="182" t="n">
        <v>0</v>
      </c>
      <c r="AM2892" s="182" t="n">
        <v>0.08</v>
      </c>
      <c r="AN2892" s="182" t="n">
        <v>0</v>
      </c>
    </row>
    <row r="2893">
      <c r="A2893" s="155" t="n">
        <v>46095</v>
      </c>
      <c r="B2893" s="156" t="inlineStr">
        <is>
          <t>DS</t>
        </is>
      </c>
      <c r="C2893" s="156" t="inlineStr">
        <is>
          <t>DH-103</t>
        </is>
      </c>
      <c r="D2893" s="156" t="inlineStr">
        <is>
          <t>HINO FM260</t>
        </is>
      </c>
      <c r="E2893" s="156" t="inlineStr">
        <is>
          <t>DT Hino</t>
        </is>
      </c>
      <c r="F2893" s="156" t="inlineStr"/>
      <c r="G2893" s="182" t="n">
        <v>0</v>
      </c>
      <c r="H2893" s="182" t="n">
        <v>0</v>
      </c>
      <c r="I2893" s="182" t="n">
        <v>12</v>
      </c>
      <c r="J2893" s="182" t="n">
        <v>12</v>
      </c>
      <c r="K2893" s="182" t="n">
        <v>0</v>
      </c>
      <c r="L2893" s="182" t="n">
        <v>12</v>
      </c>
      <c r="M2893" s="182" t="n">
        <v>0</v>
      </c>
      <c r="N2893" s="182" t="n">
        <v>0</v>
      </c>
      <c r="O2893" s="183" t="n">
        <v>0</v>
      </c>
      <c r="P2893" s="183" t="n">
        <v>0</v>
      </c>
      <c r="Q2893" s="184" t="n">
        <v>0</v>
      </c>
      <c r="R2893" s="184" t="n">
        <v>0</v>
      </c>
      <c r="S2893" s="183" t="n">
        <v>0</v>
      </c>
      <c r="T2893" s="183" t="n">
        <v>0</v>
      </c>
      <c r="U2893" s="182" t="n">
        <v>0</v>
      </c>
      <c r="V2893" s="182" t="n">
        <v>0</v>
      </c>
      <c r="W2893" s="182" t="n">
        <v>0</v>
      </c>
      <c r="X2893" s="182" t="n">
        <v>0</v>
      </c>
      <c r="Y2893" s="182" t="n">
        <v>0</v>
      </c>
      <c r="Z2893" s="182" t="n">
        <v>0</v>
      </c>
      <c r="AA2893" s="182" t="n">
        <v>0</v>
      </c>
      <c r="AB2893" s="182" t="n">
        <v>0</v>
      </c>
      <c r="AC2893" s="182" t="n">
        <v>0</v>
      </c>
      <c r="AD2893" s="182" t="n">
        <v>0</v>
      </c>
      <c r="AE2893" s="182" t="n">
        <v>0</v>
      </c>
      <c r="AF2893" s="182" t="n">
        <v>0</v>
      </c>
      <c r="AG2893" s="182" t="n">
        <v>0</v>
      </c>
      <c r="AH2893" s="182" t="n">
        <v>0</v>
      </c>
      <c r="AI2893" s="182" t="n">
        <v>0</v>
      </c>
      <c r="AJ2893" s="182" t="n">
        <v>0</v>
      </c>
      <c r="AK2893" s="182" t="n">
        <v>0</v>
      </c>
      <c r="AL2893" s="182" t="n">
        <v>0</v>
      </c>
      <c r="AM2893" s="182" t="n">
        <v>0</v>
      </c>
      <c r="AN2893" s="182" t="n">
        <v>0</v>
      </c>
    </row>
    <row r="2894">
      <c r="A2894" s="155" t="n">
        <v>46095</v>
      </c>
      <c r="B2894" s="156" t="inlineStr">
        <is>
          <t>DS</t>
        </is>
      </c>
      <c r="C2894" s="156" t="inlineStr">
        <is>
          <t>DH-102</t>
        </is>
      </c>
      <c r="D2894" s="156" t="inlineStr">
        <is>
          <t>HINO FM260</t>
        </is>
      </c>
      <c r="E2894" s="156" t="inlineStr">
        <is>
          <t>DT Hino</t>
        </is>
      </c>
      <c r="F2894" s="156" t="inlineStr"/>
      <c r="G2894" s="182" t="n">
        <v>0</v>
      </c>
      <c r="H2894" s="182" t="n">
        <v>0</v>
      </c>
      <c r="I2894" s="182" t="n">
        <v>0</v>
      </c>
      <c r="J2894" s="182" t="n">
        <v>0</v>
      </c>
      <c r="K2894" s="182" t="n">
        <v>12</v>
      </c>
      <c r="L2894" s="182" t="n">
        <v>12</v>
      </c>
      <c r="M2894" s="182" t="n">
        <v>0</v>
      </c>
      <c r="N2894" s="182" t="n">
        <v>0</v>
      </c>
      <c r="O2894" s="183" t="n">
        <v>0</v>
      </c>
      <c r="P2894" s="183" t="n">
        <v>0</v>
      </c>
      <c r="Q2894" s="184" t="n">
        <v>0</v>
      </c>
      <c r="R2894" s="184" t="n">
        <v>0</v>
      </c>
      <c r="S2894" s="183" t="n">
        <v>0</v>
      </c>
      <c r="T2894" s="183" t="n">
        <v>0</v>
      </c>
      <c r="U2894" s="182" t="n">
        <v>0</v>
      </c>
      <c r="V2894" s="182" t="n">
        <v>0</v>
      </c>
      <c r="W2894" s="182" t="n">
        <v>0</v>
      </c>
      <c r="X2894" s="182" t="n">
        <v>1</v>
      </c>
      <c r="Y2894" s="182" t="n">
        <v>0</v>
      </c>
      <c r="Z2894" s="182" t="n">
        <v>0</v>
      </c>
      <c r="AA2894" s="182" t="n">
        <v>0</v>
      </c>
      <c r="AB2894" s="182" t="n">
        <v>0</v>
      </c>
      <c r="AC2894" s="182" t="n">
        <v>0</v>
      </c>
      <c r="AD2894" s="182" t="n">
        <v>0</v>
      </c>
      <c r="AE2894" s="182" t="n">
        <v>0</v>
      </c>
      <c r="AF2894" s="182" t="n">
        <v>0</v>
      </c>
      <c r="AG2894" s="182" t="n">
        <v>0</v>
      </c>
      <c r="AH2894" s="182" t="n">
        <v>0</v>
      </c>
      <c r="AI2894" s="182" t="n">
        <v>0</v>
      </c>
      <c r="AJ2894" s="182" t="n">
        <v>0</v>
      </c>
      <c r="AK2894" s="182" t="n">
        <v>10.92</v>
      </c>
      <c r="AL2894" s="182" t="n">
        <v>0</v>
      </c>
      <c r="AM2894" s="182" t="n">
        <v>0.08</v>
      </c>
      <c r="AN2894" s="182" t="n">
        <v>0</v>
      </c>
    </row>
    <row r="2895">
      <c r="A2895" s="155" t="n">
        <v>46095</v>
      </c>
      <c r="B2895" s="156" t="inlineStr">
        <is>
          <t>DS</t>
        </is>
      </c>
      <c r="C2895" s="156" t="inlineStr">
        <is>
          <t>DH-101</t>
        </is>
      </c>
      <c r="D2895" s="156" t="inlineStr">
        <is>
          <t>HINO FM260</t>
        </is>
      </c>
      <c r="E2895" s="156" t="inlineStr">
        <is>
          <t>DT Hino</t>
        </is>
      </c>
      <c r="F2895" s="156" t="inlineStr"/>
      <c r="G2895" s="182" t="n">
        <v>0</v>
      </c>
      <c r="H2895" s="182" t="n">
        <v>0</v>
      </c>
      <c r="I2895" s="182" t="n">
        <v>0</v>
      </c>
      <c r="J2895" s="182" t="n">
        <v>0</v>
      </c>
      <c r="K2895" s="182" t="n">
        <v>12</v>
      </c>
      <c r="L2895" s="182" t="n">
        <v>12</v>
      </c>
      <c r="M2895" s="182" t="n">
        <v>0</v>
      </c>
      <c r="N2895" s="182" t="n">
        <v>0</v>
      </c>
      <c r="O2895" s="183" t="n">
        <v>0</v>
      </c>
      <c r="P2895" s="183" t="n">
        <v>0</v>
      </c>
      <c r="Q2895" s="184" t="n">
        <v>0</v>
      </c>
      <c r="R2895" s="184" t="n">
        <v>0</v>
      </c>
      <c r="S2895" s="183" t="n">
        <v>0</v>
      </c>
      <c r="T2895" s="183" t="n">
        <v>0</v>
      </c>
      <c r="U2895" s="182" t="n">
        <v>0</v>
      </c>
      <c r="V2895" s="182" t="n">
        <v>0</v>
      </c>
      <c r="W2895" s="182" t="n">
        <v>0</v>
      </c>
      <c r="X2895" s="182" t="n">
        <v>1</v>
      </c>
      <c r="Y2895" s="182" t="n">
        <v>0</v>
      </c>
      <c r="Z2895" s="182" t="n">
        <v>0</v>
      </c>
      <c r="AA2895" s="182" t="n">
        <v>0</v>
      </c>
      <c r="AB2895" s="182" t="n">
        <v>0</v>
      </c>
      <c r="AC2895" s="182" t="n">
        <v>0</v>
      </c>
      <c r="AD2895" s="182" t="n">
        <v>0</v>
      </c>
      <c r="AE2895" s="182" t="n">
        <v>0</v>
      </c>
      <c r="AF2895" s="182" t="n">
        <v>0</v>
      </c>
      <c r="AG2895" s="182" t="n">
        <v>0</v>
      </c>
      <c r="AH2895" s="182" t="n">
        <v>0</v>
      </c>
      <c r="AI2895" s="182" t="n">
        <v>0</v>
      </c>
      <c r="AJ2895" s="182" t="n">
        <v>0</v>
      </c>
      <c r="AK2895" s="182" t="n">
        <v>10.92</v>
      </c>
      <c r="AL2895" s="182" t="n">
        <v>0</v>
      </c>
      <c r="AM2895" s="182" t="n">
        <v>0.08</v>
      </c>
      <c r="AN2895" s="182" t="n">
        <v>0</v>
      </c>
    </row>
    <row r="2896">
      <c r="A2896" s="155" t="n">
        <v>46095</v>
      </c>
      <c r="B2896" s="156" t="inlineStr">
        <is>
          <t>DS</t>
        </is>
      </c>
      <c r="C2896" s="156" t="inlineStr">
        <is>
          <t>EX-1251</t>
        </is>
      </c>
      <c r="D2896" s="156" t="inlineStr">
        <is>
          <t>SY1250</t>
        </is>
      </c>
      <c r="E2896" s="156" t="inlineStr">
        <is>
          <t>Excavator</t>
        </is>
      </c>
      <c r="F2896" s="156" t="inlineStr">
        <is>
          <t>Loading OB</t>
        </is>
      </c>
      <c r="G2896" s="182" t="n">
        <v>7.94</v>
      </c>
      <c r="H2896" s="182" t="n">
        <v>0</v>
      </c>
      <c r="I2896" s="182" t="n">
        <v>0</v>
      </c>
      <c r="J2896" s="182" t="n">
        <v>0</v>
      </c>
      <c r="K2896" s="182" t="n">
        <v>4.06</v>
      </c>
      <c r="L2896" s="182" t="n">
        <v>12</v>
      </c>
      <c r="M2896" s="182" t="n">
        <v>7.43</v>
      </c>
      <c r="N2896" s="182" t="n">
        <v>0</v>
      </c>
      <c r="O2896" s="183" t="n">
        <v>156</v>
      </c>
      <c r="P2896" s="183" t="n">
        <v>0</v>
      </c>
      <c r="Q2896" s="184" t="n">
        <v>3182.4</v>
      </c>
      <c r="R2896" s="184" t="n">
        <v>0</v>
      </c>
      <c r="S2896" s="183" t="n">
        <v>0</v>
      </c>
      <c r="T2896" s="183" t="n">
        <v>0</v>
      </c>
      <c r="U2896" s="182" t="n">
        <v>0</v>
      </c>
      <c r="V2896" s="182" t="n">
        <v>0</v>
      </c>
      <c r="W2896" s="182" t="n">
        <v>0</v>
      </c>
      <c r="X2896" s="182" t="n">
        <v>1.04</v>
      </c>
      <c r="Y2896" s="182" t="n">
        <v>0</v>
      </c>
      <c r="Z2896" s="182" t="n">
        <v>0</v>
      </c>
      <c r="AA2896" s="182" t="n">
        <v>0</v>
      </c>
      <c r="AB2896" s="182" t="n">
        <v>0</v>
      </c>
      <c r="AC2896" s="182" t="n">
        <v>0</v>
      </c>
      <c r="AD2896" s="182" t="n">
        <v>2.67</v>
      </c>
      <c r="AE2896" s="182" t="n">
        <v>0</v>
      </c>
      <c r="AF2896" s="182" t="n">
        <v>0</v>
      </c>
      <c r="AG2896" s="182" t="n">
        <v>0</v>
      </c>
      <c r="AH2896" s="182" t="n">
        <v>0.26</v>
      </c>
      <c r="AI2896" s="182" t="n">
        <v>0</v>
      </c>
      <c r="AJ2896" s="182" t="n">
        <v>0</v>
      </c>
      <c r="AK2896" s="182" t="n">
        <v>0</v>
      </c>
      <c r="AL2896" s="182" t="n">
        <v>0</v>
      </c>
      <c r="AM2896" s="182" t="n">
        <v>0.08</v>
      </c>
      <c r="AN2896" s="182" t="n">
        <v>0</v>
      </c>
    </row>
    <row r="2897">
      <c r="A2897" s="155" t="n">
        <v>46095</v>
      </c>
      <c r="B2897" s="156" t="inlineStr">
        <is>
          <t>DS</t>
        </is>
      </c>
      <c r="C2897" s="156" t="inlineStr">
        <is>
          <t>EX-1252</t>
        </is>
      </c>
      <c r="D2897" s="156" t="inlineStr">
        <is>
          <t>SY1250</t>
        </is>
      </c>
      <c r="E2897" s="156" t="inlineStr">
        <is>
          <t>Excavator</t>
        </is>
      </c>
      <c r="F2897" s="156" t="inlineStr"/>
      <c r="G2897" s="182" t="n">
        <v>0</v>
      </c>
      <c r="H2897" s="182" t="n">
        <v>0</v>
      </c>
      <c r="I2897" s="182" t="n">
        <v>12</v>
      </c>
      <c r="J2897" s="182" t="n">
        <v>12</v>
      </c>
      <c r="K2897" s="182" t="n">
        <v>0</v>
      </c>
      <c r="L2897" s="182" t="n">
        <v>12</v>
      </c>
      <c r="M2897" s="182" t="n">
        <v>0</v>
      </c>
      <c r="N2897" s="182" t="n">
        <v>0</v>
      </c>
      <c r="O2897" s="183" t="n">
        <v>0</v>
      </c>
      <c r="P2897" s="183" t="n">
        <v>0</v>
      </c>
      <c r="Q2897" s="184" t="n">
        <v>0</v>
      </c>
      <c r="R2897" s="184" t="n">
        <v>0</v>
      </c>
      <c r="S2897" s="183" t="n">
        <v>0</v>
      </c>
      <c r="T2897" s="183" t="n">
        <v>0</v>
      </c>
      <c r="U2897" s="182" t="n">
        <v>0</v>
      </c>
      <c r="V2897" s="182" t="n">
        <v>0</v>
      </c>
      <c r="W2897" s="182" t="n">
        <v>0</v>
      </c>
      <c r="X2897" s="182" t="n">
        <v>0</v>
      </c>
      <c r="Y2897" s="182" t="n">
        <v>0</v>
      </c>
      <c r="Z2897" s="182" t="n">
        <v>0</v>
      </c>
      <c r="AA2897" s="182" t="n">
        <v>0</v>
      </c>
      <c r="AB2897" s="182" t="n">
        <v>0</v>
      </c>
      <c r="AC2897" s="182" t="n">
        <v>0</v>
      </c>
      <c r="AD2897" s="182" t="n">
        <v>0</v>
      </c>
      <c r="AE2897" s="182" t="n">
        <v>0</v>
      </c>
      <c r="AF2897" s="182" t="n">
        <v>0</v>
      </c>
      <c r="AG2897" s="182" t="n">
        <v>0</v>
      </c>
      <c r="AH2897" s="182" t="n">
        <v>0</v>
      </c>
      <c r="AI2897" s="182" t="n">
        <v>0</v>
      </c>
      <c r="AJ2897" s="182" t="n">
        <v>0</v>
      </c>
      <c r="AK2897" s="182" t="n">
        <v>0</v>
      </c>
      <c r="AL2897" s="182" t="n">
        <v>0</v>
      </c>
      <c r="AM2897" s="182" t="n">
        <v>0</v>
      </c>
      <c r="AN2897" s="182" t="n">
        <v>0</v>
      </c>
    </row>
    <row r="2898">
      <c r="A2898" s="155" t="n">
        <v>46095</v>
      </c>
      <c r="B2898" s="156" t="inlineStr">
        <is>
          <t>DS</t>
        </is>
      </c>
      <c r="C2898" s="156" t="inlineStr">
        <is>
          <t>EX-2101</t>
        </is>
      </c>
      <c r="D2898" s="156" t="inlineStr">
        <is>
          <t>SY2000</t>
        </is>
      </c>
      <c r="E2898" s="156" t="inlineStr">
        <is>
          <t>Excavator</t>
        </is>
      </c>
      <c r="F2898" s="156" t="inlineStr">
        <is>
          <t>Loading OB</t>
        </is>
      </c>
      <c r="G2898" s="182" t="n">
        <v>8.94</v>
      </c>
      <c r="H2898" s="182" t="n">
        <v>0</v>
      </c>
      <c r="I2898" s="182" t="n">
        <v>0</v>
      </c>
      <c r="J2898" s="182" t="n">
        <v>0</v>
      </c>
      <c r="K2898" s="182" t="n">
        <v>3.06</v>
      </c>
      <c r="L2898" s="182" t="n">
        <v>12</v>
      </c>
      <c r="M2898" s="182" t="n">
        <v>8.77</v>
      </c>
      <c r="N2898" s="182" t="n">
        <v>0</v>
      </c>
      <c r="O2898" s="183" t="n">
        <v>146</v>
      </c>
      <c r="P2898" s="183" t="n">
        <v>0</v>
      </c>
      <c r="Q2898" s="184" t="n">
        <v>5212.2</v>
      </c>
      <c r="R2898" s="184" t="n">
        <v>0</v>
      </c>
      <c r="S2898" s="183" t="n">
        <v>0</v>
      </c>
      <c r="T2898" s="183" t="n">
        <v>0</v>
      </c>
      <c r="U2898" s="182" t="n">
        <v>0</v>
      </c>
      <c r="V2898" s="182" t="n">
        <v>0</v>
      </c>
      <c r="W2898" s="182" t="n">
        <v>0</v>
      </c>
      <c r="X2898" s="182" t="n">
        <v>0.99</v>
      </c>
      <c r="Y2898" s="182" t="n">
        <v>0</v>
      </c>
      <c r="Z2898" s="182" t="n">
        <v>0</v>
      </c>
      <c r="AA2898" s="182" t="n">
        <v>0</v>
      </c>
      <c r="AB2898" s="182" t="n">
        <v>0</v>
      </c>
      <c r="AC2898" s="182" t="n">
        <v>0</v>
      </c>
      <c r="AD2898" s="182" t="n">
        <v>1.84</v>
      </c>
      <c r="AE2898" s="182" t="n">
        <v>0</v>
      </c>
      <c r="AF2898" s="182" t="n">
        <v>0</v>
      </c>
      <c r="AG2898" s="182" t="n">
        <v>0</v>
      </c>
      <c r="AH2898" s="182" t="n">
        <v>0.15</v>
      </c>
      <c r="AI2898" s="182" t="n">
        <v>0</v>
      </c>
      <c r="AJ2898" s="182" t="n">
        <v>0</v>
      </c>
      <c r="AK2898" s="182" t="n">
        <v>0</v>
      </c>
      <c r="AL2898" s="182" t="n">
        <v>0</v>
      </c>
      <c r="AM2898" s="182" t="n">
        <v>0.08</v>
      </c>
      <c r="AN2898" s="182" t="n">
        <v>0</v>
      </c>
    </row>
    <row r="2899">
      <c r="A2899" s="155" t="n">
        <v>46095</v>
      </c>
      <c r="B2899" s="156" t="inlineStr">
        <is>
          <t>DS</t>
        </is>
      </c>
      <c r="C2899" s="156" t="inlineStr">
        <is>
          <t>EX-222</t>
        </is>
      </c>
      <c r="D2899" s="156" t="inlineStr">
        <is>
          <t>PC 200-8MI</t>
        </is>
      </c>
      <c r="E2899" s="156" t="inlineStr">
        <is>
          <t>Excavator</t>
        </is>
      </c>
      <c r="F2899" s="156" t="inlineStr">
        <is>
          <t>Support Washing Plant</t>
        </is>
      </c>
      <c r="G2899" s="182" t="n">
        <v>11.71</v>
      </c>
      <c r="H2899" s="182" t="n">
        <v>0</v>
      </c>
      <c r="I2899" s="182" t="n">
        <v>0.12</v>
      </c>
      <c r="J2899" s="182" t="n">
        <v>0.12</v>
      </c>
      <c r="K2899" s="182" t="n">
        <v>0.17</v>
      </c>
      <c r="L2899" s="182" t="n">
        <v>12</v>
      </c>
      <c r="M2899" s="182" t="n">
        <v>0</v>
      </c>
      <c r="N2899" s="182" t="n">
        <v>0</v>
      </c>
      <c r="O2899" s="183" t="n">
        <v>0</v>
      </c>
      <c r="P2899" s="183" t="n">
        <v>0</v>
      </c>
      <c r="Q2899" s="184" t="n">
        <v>0</v>
      </c>
      <c r="R2899" s="184" t="n">
        <v>0</v>
      </c>
      <c r="S2899" s="183" t="n">
        <v>0</v>
      </c>
      <c r="T2899" s="183" t="n">
        <v>0</v>
      </c>
      <c r="U2899" s="182" t="n">
        <v>0</v>
      </c>
      <c r="V2899" s="182" t="n">
        <v>0</v>
      </c>
      <c r="W2899" s="182" t="n">
        <v>0</v>
      </c>
      <c r="X2899" s="182" t="n">
        <v>0</v>
      </c>
      <c r="Y2899" s="182" t="n">
        <v>0</v>
      </c>
      <c r="Z2899" s="182" t="n">
        <v>0</v>
      </c>
      <c r="AA2899" s="182" t="n">
        <v>0</v>
      </c>
      <c r="AB2899" s="182" t="n">
        <v>0</v>
      </c>
      <c r="AC2899" s="182" t="n">
        <v>0</v>
      </c>
      <c r="AD2899" s="182" t="n">
        <v>0</v>
      </c>
      <c r="AE2899" s="182" t="n">
        <v>0</v>
      </c>
      <c r="AF2899" s="182" t="n">
        <v>0</v>
      </c>
      <c r="AG2899" s="182" t="n">
        <v>0</v>
      </c>
      <c r="AH2899" s="182" t="n">
        <v>0</v>
      </c>
      <c r="AI2899" s="182" t="n">
        <v>0</v>
      </c>
      <c r="AJ2899" s="182" t="n">
        <v>0</v>
      </c>
      <c r="AK2899" s="182" t="n">
        <v>0</v>
      </c>
      <c r="AL2899" s="182" t="n">
        <v>0</v>
      </c>
      <c r="AM2899" s="182" t="n">
        <v>0.17</v>
      </c>
      <c r="AN2899" s="182" t="n">
        <v>0</v>
      </c>
    </row>
    <row r="2900">
      <c r="A2900" s="155" t="n">
        <v>46095</v>
      </c>
      <c r="B2900" s="156" t="inlineStr">
        <is>
          <t>DS</t>
        </is>
      </c>
      <c r="C2900" s="156" t="inlineStr">
        <is>
          <t>EX-225</t>
        </is>
      </c>
      <c r="D2900" s="156" t="inlineStr">
        <is>
          <t>PC 200-8</t>
        </is>
      </c>
      <c r="E2900" s="156" t="inlineStr">
        <is>
          <t>Excavator</t>
        </is>
      </c>
      <c r="F2900" s="156" t="inlineStr"/>
      <c r="G2900" s="182" t="n">
        <v>0</v>
      </c>
      <c r="H2900" s="182" t="n">
        <v>0</v>
      </c>
      <c r="I2900" s="182" t="n">
        <v>12</v>
      </c>
      <c r="J2900" s="182" t="n">
        <v>12</v>
      </c>
      <c r="K2900" s="182" t="n">
        <v>0</v>
      </c>
      <c r="L2900" s="182" t="n">
        <v>12</v>
      </c>
      <c r="M2900" s="182" t="n">
        <v>0</v>
      </c>
      <c r="N2900" s="182" t="n">
        <v>0</v>
      </c>
      <c r="O2900" s="183" t="n">
        <v>0</v>
      </c>
      <c r="P2900" s="183" t="n">
        <v>0</v>
      </c>
      <c r="Q2900" s="184" t="n">
        <v>0</v>
      </c>
      <c r="R2900" s="184" t="n">
        <v>0</v>
      </c>
      <c r="S2900" s="183" t="n">
        <v>0</v>
      </c>
      <c r="T2900" s="183" t="n">
        <v>0</v>
      </c>
      <c r="U2900" s="182" t="n">
        <v>0</v>
      </c>
      <c r="V2900" s="182" t="n">
        <v>0</v>
      </c>
      <c r="W2900" s="182" t="n">
        <v>0</v>
      </c>
      <c r="X2900" s="182" t="n">
        <v>0</v>
      </c>
      <c r="Y2900" s="182" t="n">
        <v>0</v>
      </c>
      <c r="Z2900" s="182" t="n">
        <v>0</v>
      </c>
      <c r="AA2900" s="182" t="n">
        <v>0</v>
      </c>
      <c r="AB2900" s="182" t="n">
        <v>0</v>
      </c>
      <c r="AC2900" s="182" t="n">
        <v>0</v>
      </c>
      <c r="AD2900" s="182" t="n">
        <v>0</v>
      </c>
      <c r="AE2900" s="182" t="n">
        <v>0</v>
      </c>
      <c r="AF2900" s="182" t="n">
        <v>0</v>
      </c>
      <c r="AG2900" s="182" t="n">
        <v>0</v>
      </c>
      <c r="AH2900" s="182" t="n">
        <v>0</v>
      </c>
      <c r="AI2900" s="182" t="n">
        <v>0</v>
      </c>
      <c r="AJ2900" s="182" t="n">
        <v>0</v>
      </c>
      <c r="AK2900" s="182" t="n">
        <v>0</v>
      </c>
      <c r="AL2900" s="182" t="n">
        <v>0</v>
      </c>
      <c r="AM2900" s="182" t="n">
        <v>0</v>
      </c>
      <c r="AN2900" s="182" t="n">
        <v>0</v>
      </c>
    </row>
    <row r="2901">
      <c r="A2901" s="155" t="n">
        <v>46095</v>
      </c>
      <c r="B2901" s="156" t="inlineStr">
        <is>
          <t>DS</t>
        </is>
      </c>
      <c r="C2901" s="156" t="inlineStr">
        <is>
          <t>EX-223</t>
        </is>
      </c>
      <c r="D2901" s="156" t="inlineStr">
        <is>
          <t>PC 200-8MI</t>
        </is>
      </c>
      <c r="E2901" s="156" t="inlineStr">
        <is>
          <t>Excavator</t>
        </is>
      </c>
      <c r="F2901" s="156" t="inlineStr">
        <is>
          <t>Support Washing Plant</t>
        </is>
      </c>
      <c r="G2901" s="182" t="n">
        <v>8.67</v>
      </c>
      <c r="H2901" s="182" t="n">
        <v>1.33</v>
      </c>
      <c r="I2901" s="182" t="n">
        <v>0</v>
      </c>
      <c r="J2901" s="182" t="n">
        <v>1.33</v>
      </c>
      <c r="K2901" s="182" t="n">
        <v>2</v>
      </c>
      <c r="L2901" s="182" t="n">
        <v>12</v>
      </c>
      <c r="M2901" s="182" t="n">
        <v>0</v>
      </c>
      <c r="N2901" s="182" t="n">
        <v>0</v>
      </c>
      <c r="O2901" s="183" t="n">
        <v>0</v>
      </c>
      <c r="P2901" s="183" t="n">
        <v>0</v>
      </c>
      <c r="Q2901" s="184" t="n">
        <v>0</v>
      </c>
      <c r="R2901" s="184" t="n">
        <v>0</v>
      </c>
      <c r="S2901" s="183" t="n">
        <v>0</v>
      </c>
      <c r="T2901" s="183" t="n">
        <v>0</v>
      </c>
      <c r="U2901" s="182" t="n">
        <v>0</v>
      </c>
      <c r="V2901" s="182" t="n">
        <v>0</v>
      </c>
      <c r="W2901" s="182" t="n">
        <v>0</v>
      </c>
      <c r="X2901" s="182" t="n">
        <v>1.13</v>
      </c>
      <c r="Y2901" s="182" t="n">
        <v>0</v>
      </c>
      <c r="Z2901" s="182" t="n">
        <v>0</v>
      </c>
      <c r="AA2901" s="182" t="n">
        <v>0</v>
      </c>
      <c r="AB2901" s="182" t="n">
        <v>0</v>
      </c>
      <c r="AC2901" s="182" t="n">
        <v>0</v>
      </c>
      <c r="AD2901" s="182" t="n">
        <v>0</v>
      </c>
      <c r="AE2901" s="182" t="n">
        <v>0</v>
      </c>
      <c r="AF2901" s="182" t="n">
        <v>0</v>
      </c>
      <c r="AG2901" s="182" t="n">
        <v>0</v>
      </c>
      <c r="AH2901" s="182" t="n">
        <v>0</v>
      </c>
      <c r="AI2901" s="182" t="n">
        <v>0</v>
      </c>
      <c r="AJ2901" s="182" t="n">
        <v>0</v>
      </c>
      <c r="AK2901" s="182" t="n">
        <v>0.77</v>
      </c>
      <c r="AL2901" s="182" t="n">
        <v>0</v>
      </c>
      <c r="AM2901" s="182" t="n">
        <v>0.09</v>
      </c>
      <c r="AN2901" s="182" t="n">
        <v>0</v>
      </c>
    </row>
    <row r="2902">
      <c r="A2902" s="155" t="n">
        <v>46095</v>
      </c>
      <c r="B2902" s="156" t="inlineStr">
        <is>
          <t>DS</t>
        </is>
      </c>
      <c r="C2902" s="156" t="inlineStr">
        <is>
          <t>EX-221</t>
        </is>
      </c>
      <c r="D2902" s="156" t="inlineStr">
        <is>
          <t>PC 200-8MI</t>
        </is>
      </c>
      <c r="E2902" s="156" t="inlineStr">
        <is>
          <t>Excavator</t>
        </is>
      </c>
      <c r="F2902" s="156" t="inlineStr">
        <is>
          <t>General Jetty</t>
        </is>
      </c>
      <c r="G2902" s="182" t="n">
        <v>8.15</v>
      </c>
      <c r="H2902" s="182" t="n">
        <v>0</v>
      </c>
      <c r="I2902" s="182" t="n">
        <v>0</v>
      </c>
      <c r="J2902" s="182" t="n">
        <v>0</v>
      </c>
      <c r="K2902" s="182" t="n">
        <v>3.85</v>
      </c>
      <c r="L2902" s="182" t="n">
        <v>12</v>
      </c>
      <c r="M2902" s="182" t="n">
        <v>0</v>
      </c>
      <c r="N2902" s="182" t="n">
        <v>0</v>
      </c>
      <c r="O2902" s="183" t="n">
        <v>0</v>
      </c>
      <c r="P2902" s="183" t="n">
        <v>0</v>
      </c>
      <c r="Q2902" s="184" t="n">
        <v>0</v>
      </c>
      <c r="R2902" s="184" t="n">
        <v>0</v>
      </c>
      <c r="S2902" s="183" t="n">
        <v>0</v>
      </c>
      <c r="T2902" s="183" t="n">
        <v>0</v>
      </c>
      <c r="U2902" s="182" t="n">
        <v>0</v>
      </c>
      <c r="V2902" s="182" t="n">
        <v>0</v>
      </c>
      <c r="W2902" s="182" t="n">
        <v>0</v>
      </c>
      <c r="X2902" s="182" t="n">
        <v>0.99</v>
      </c>
      <c r="Y2902" s="182" t="n">
        <v>0</v>
      </c>
      <c r="Z2902" s="182" t="n">
        <v>0</v>
      </c>
      <c r="AA2902" s="182" t="n">
        <v>0</v>
      </c>
      <c r="AB2902" s="182" t="n">
        <v>0</v>
      </c>
      <c r="AC2902" s="182" t="n">
        <v>0</v>
      </c>
      <c r="AD2902" s="182" t="n">
        <v>0</v>
      </c>
      <c r="AE2902" s="182" t="n">
        <v>0</v>
      </c>
      <c r="AF2902" s="182" t="n">
        <v>0</v>
      </c>
      <c r="AG2902" s="182" t="n">
        <v>0</v>
      </c>
      <c r="AH2902" s="182" t="n">
        <v>0</v>
      </c>
      <c r="AI2902" s="182" t="n">
        <v>0</v>
      </c>
      <c r="AJ2902" s="182" t="n">
        <v>0</v>
      </c>
      <c r="AK2902" s="182" t="n">
        <v>2.78</v>
      </c>
      <c r="AL2902" s="182" t="n">
        <v>0</v>
      </c>
      <c r="AM2902" s="182" t="n">
        <v>0.08</v>
      </c>
      <c r="AN2902" s="182" t="n">
        <v>0</v>
      </c>
    </row>
    <row r="2903">
      <c r="A2903" s="155" t="n">
        <v>46095</v>
      </c>
      <c r="B2903" s="156" t="inlineStr">
        <is>
          <t>DS</t>
        </is>
      </c>
      <c r="C2903" s="156" t="inlineStr">
        <is>
          <t>EX-331</t>
        </is>
      </c>
      <c r="D2903" s="156" t="inlineStr">
        <is>
          <t>PC 300-8MO</t>
        </is>
      </c>
      <c r="E2903" s="156" t="inlineStr">
        <is>
          <t>Excavator</t>
        </is>
      </c>
      <c r="F2903" s="156" t="inlineStr"/>
      <c r="G2903" s="182" t="n">
        <v>0</v>
      </c>
      <c r="H2903" s="182" t="n">
        <v>0</v>
      </c>
      <c r="I2903" s="182" t="n">
        <v>12</v>
      </c>
      <c r="J2903" s="182" t="n">
        <v>12</v>
      </c>
      <c r="K2903" s="182" t="n">
        <v>0</v>
      </c>
      <c r="L2903" s="182" t="n">
        <v>12</v>
      </c>
      <c r="M2903" s="182" t="n">
        <v>0</v>
      </c>
      <c r="N2903" s="182" t="n">
        <v>0</v>
      </c>
      <c r="O2903" s="183" t="n">
        <v>0</v>
      </c>
      <c r="P2903" s="183" t="n">
        <v>0</v>
      </c>
      <c r="Q2903" s="184" t="n">
        <v>0</v>
      </c>
      <c r="R2903" s="184" t="n">
        <v>0</v>
      </c>
      <c r="S2903" s="183" t="n">
        <v>0</v>
      </c>
      <c r="T2903" s="183" t="n">
        <v>0</v>
      </c>
      <c r="U2903" s="182" t="n">
        <v>0</v>
      </c>
      <c r="V2903" s="182" t="n">
        <v>0</v>
      </c>
      <c r="W2903" s="182" t="n">
        <v>0</v>
      </c>
      <c r="X2903" s="182" t="n">
        <v>0</v>
      </c>
      <c r="Y2903" s="182" t="n">
        <v>0</v>
      </c>
      <c r="Z2903" s="182" t="n">
        <v>0</v>
      </c>
      <c r="AA2903" s="182" t="n">
        <v>0</v>
      </c>
      <c r="AB2903" s="182" t="n">
        <v>0</v>
      </c>
      <c r="AC2903" s="182" t="n">
        <v>0</v>
      </c>
      <c r="AD2903" s="182" t="n">
        <v>0</v>
      </c>
      <c r="AE2903" s="182" t="n">
        <v>0</v>
      </c>
      <c r="AF2903" s="182" t="n">
        <v>0</v>
      </c>
      <c r="AG2903" s="182" t="n">
        <v>0</v>
      </c>
      <c r="AH2903" s="182" t="n">
        <v>0</v>
      </c>
      <c r="AI2903" s="182" t="n">
        <v>0</v>
      </c>
      <c r="AJ2903" s="182" t="n">
        <v>0</v>
      </c>
      <c r="AK2903" s="182" t="n">
        <v>0</v>
      </c>
      <c r="AL2903" s="182" t="n">
        <v>0</v>
      </c>
      <c r="AM2903" s="182" t="n">
        <v>0</v>
      </c>
      <c r="AN2903" s="182" t="n">
        <v>0</v>
      </c>
    </row>
    <row r="2904">
      <c r="A2904" s="155" t="n">
        <v>46095</v>
      </c>
      <c r="B2904" s="156" t="inlineStr">
        <is>
          <t>DS</t>
        </is>
      </c>
      <c r="C2904" s="156" t="inlineStr">
        <is>
          <t>EX-334</t>
        </is>
      </c>
      <c r="D2904" s="156" t="inlineStr">
        <is>
          <t>PC 300-8MO</t>
        </is>
      </c>
      <c r="E2904" s="156" t="inlineStr">
        <is>
          <t>Excavator</t>
        </is>
      </c>
      <c r="F2904" s="156" t="inlineStr">
        <is>
          <t>Trimming Coal di Stock ROM</t>
        </is>
      </c>
      <c r="G2904" s="182" t="n">
        <v>11.08</v>
      </c>
      <c r="H2904" s="182" t="n">
        <v>0</v>
      </c>
      <c r="I2904" s="182" t="n">
        <v>0.17</v>
      </c>
      <c r="J2904" s="182" t="n">
        <v>0.17</v>
      </c>
      <c r="K2904" s="182" t="n">
        <v>0.75</v>
      </c>
      <c r="L2904" s="182" t="n">
        <v>12</v>
      </c>
      <c r="M2904" s="182" t="n">
        <v>0</v>
      </c>
      <c r="N2904" s="182" t="n">
        <v>0</v>
      </c>
      <c r="O2904" s="183" t="n">
        <v>0</v>
      </c>
      <c r="P2904" s="183" t="n">
        <v>0</v>
      </c>
      <c r="Q2904" s="184" t="n">
        <v>0</v>
      </c>
      <c r="R2904" s="184" t="n">
        <v>0</v>
      </c>
      <c r="S2904" s="183" t="n">
        <v>0</v>
      </c>
      <c r="T2904" s="183" t="n">
        <v>0</v>
      </c>
      <c r="U2904" s="182" t="n">
        <v>0</v>
      </c>
      <c r="V2904" s="182" t="n">
        <v>0</v>
      </c>
      <c r="W2904" s="182" t="n">
        <v>0</v>
      </c>
      <c r="X2904" s="182" t="n">
        <v>0.68</v>
      </c>
      <c r="Y2904" s="182" t="n">
        <v>0</v>
      </c>
      <c r="Z2904" s="182" t="n">
        <v>0</v>
      </c>
      <c r="AA2904" s="182" t="n">
        <v>0</v>
      </c>
      <c r="AB2904" s="182" t="n">
        <v>0</v>
      </c>
      <c r="AC2904" s="182" t="n">
        <v>0</v>
      </c>
      <c r="AD2904" s="182" t="n">
        <v>0</v>
      </c>
      <c r="AE2904" s="182" t="n">
        <v>0</v>
      </c>
      <c r="AF2904" s="182" t="n">
        <v>0</v>
      </c>
      <c r="AG2904" s="182" t="n">
        <v>0</v>
      </c>
      <c r="AH2904" s="182" t="n">
        <v>0</v>
      </c>
      <c r="AI2904" s="182" t="n">
        <v>0</v>
      </c>
      <c r="AJ2904" s="182" t="n">
        <v>0</v>
      </c>
      <c r="AK2904" s="182" t="n">
        <v>0</v>
      </c>
      <c r="AL2904" s="182" t="n">
        <v>0</v>
      </c>
      <c r="AM2904" s="182" t="n">
        <v>0.07000000000000001</v>
      </c>
      <c r="AN2904" s="182" t="n">
        <v>0</v>
      </c>
    </row>
    <row r="2905">
      <c r="A2905" s="155" t="n">
        <v>46095</v>
      </c>
      <c r="B2905" s="156" t="inlineStr">
        <is>
          <t>DS</t>
        </is>
      </c>
      <c r="C2905" s="156" t="inlineStr">
        <is>
          <t>EX-332</t>
        </is>
      </c>
      <c r="D2905" s="156" t="inlineStr">
        <is>
          <t>PC 300-8MO</t>
        </is>
      </c>
      <c r="E2905" s="156" t="inlineStr">
        <is>
          <t>Excavator</t>
        </is>
      </c>
      <c r="F2905" s="156" t="inlineStr"/>
      <c r="G2905" s="182" t="n">
        <v>0</v>
      </c>
      <c r="H2905" s="182" t="n">
        <v>0</v>
      </c>
      <c r="I2905" s="182" t="n">
        <v>12</v>
      </c>
      <c r="J2905" s="182" t="n">
        <v>12</v>
      </c>
      <c r="K2905" s="182" t="n">
        <v>0</v>
      </c>
      <c r="L2905" s="182" t="n">
        <v>12</v>
      </c>
      <c r="M2905" s="182" t="n">
        <v>0</v>
      </c>
      <c r="N2905" s="182" t="n">
        <v>0</v>
      </c>
      <c r="O2905" s="183" t="n">
        <v>0</v>
      </c>
      <c r="P2905" s="183" t="n">
        <v>0</v>
      </c>
      <c r="Q2905" s="184" t="n">
        <v>0</v>
      </c>
      <c r="R2905" s="184" t="n">
        <v>0</v>
      </c>
      <c r="S2905" s="183" t="n">
        <v>0</v>
      </c>
      <c r="T2905" s="183" t="n">
        <v>0</v>
      </c>
      <c r="U2905" s="182" t="n">
        <v>0</v>
      </c>
      <c r="V2905" s="182" t="n">
        <v>0</v>
      </c>
      <c r="W2905" s="182" t="n">
        <v>0</v>
      </c>
      <c r="X2905" s="182" t="n">
        <v>0</v>
      </c>
      <c r="Y2905" s="182" t="n">
        <v>0</v>
      </c>
      <c r="Z2905" s="182" t="n">
        <v>0</v>
      </c>
      <c r="AA2905" s="182" t="n">
        <v>0</v>
      </c>
      <c r="AB2905" s="182" t="n">
        <v>0</v>
      </c>
      <c r="AC2905" s="182" t="n">
        <v>0</v>
      </c>
      <c r="AD2905" s="182" t="n">
        <v>0</v>
      </c>
      <c r="AE2905" s="182" t="n">
        <v>0</v>
      </c>
      <c r="AF2905" s="182" t="n">
        <v>0</v>
      </c>
      <c r="AG2905" s="182" t="n">
        <v>0</v>
      </c>
      <c r="AH2905" s="182" t="n">
        <v>0</v>
      </c>
      <c r="AI2905" s="182" t="n">
        <v>0</v>
      </c>
      <c r="AJ2905" s="182" t="n">
        <v>0</v>
      </c>
      <c r="AK2905" s="182" t="n">
        <v>0</v>
      </c>
      <c r="AL2905" s="182" t="n">
        <v>0</v>
      </c>
      <c r="AM2905" s="182" t="n">
        <v>0</v>
      </c>
      <c r="AN2905" s="182" t="n">
        <v>0</v>
      </c>
    </row>
    <row r="2906">
      <c r="A2906" s="155" t="n">
        <v>46095</v>
      </c>
      <c r="B2906" s="156" t="inlineStr">
        <is>
          <t>DS</t>
        </is>
      </c>
      <c r="C2906" s="156" t="inlineStr">
        <is>
          <t>EX-333</t>
        </is>
      </c>
      <c r="D2906" s="156" t="inlineStr">
        <is>
          <t>PC 300-8MO</t>
        </is>
      </c>
      <c r="E2906" s="156" t="inlineStr">
        <is>
          <t>Excavator</t>
        </is>
      </c>
      <c r="F2906" s="156" t="inlineStr">
        <is>
          <t>Cleaning Coal</t>
        </is>
      </c>
      <c r="G2906" s="182" t="n">
        <v>12</v>
      </c>
      <c r="H2906" s="182" t="n">
        <v>0</v>
      </c>
      <c r="I2906" s="182" t="n">
        <v>0</v>
      </c>
      <c r="J2906" s="182" t="n">
        <v>0</v>
      </c>
      <c r="K2906" s="182" t="n">
        <v>0</v>
      </c>
      <c r="L2906" s="182" t="n">
        <v>12</v>
      </c>
      <c r="M2906" s="182" t="n">
        <v>0</v>
      </c>
      <c r="N2906" s="182" t="n">
        <v>0</v>
      </c>
      <c r="O2906" s="183" t="n">
        <v>0</v>
      </c>
      <c r="P2906" s="183" t="n">
        <v>0</v>
      </c>
      <c r="Q2906" s="184" t="n">
        <v>0</v>
      </c>
      <c r="R2906" s="184" t="n">
        <v>0</v>
      </c>
      <c r="S2906" s="183" t="n">
        <v>0</v>
      </c>
      <c r="T2906" s="183" t="n">
        <v>0</v>
      </c>
      <c r="U2906" s="182" t="n">
        <v>0</v>
      </c>
      <c r="V2906" s="182" t="n">
        <v>0</v>
      </c>
      <c r="W2906" s="182" t="n">
        <v>0</v>
      </c>
      <c r="X2906" s="182" t="n">
        <v>0</v>
      </c>
      <c r="Y2906" s="182" t="n">
        <v>0</v>
      </c>
      <c r="Z2906" s="182" t="n">
        <v>0</v>
      </c>
      <c r="AA2906" s="182" t="n">
        <v>0</v>
      </c>
      <c r="AB2906" s="182" t="n">
        <v>0</v>
      </c>
      <c r="AC2906" s="182" t="n">
        <v>0</v>
      </c>
      <c r="AD2906" s="182" t="n">
        <v>0</v>
      </c>
      <c r="AE2906" s="182" t="n">
        <v>0</v>
      </c>
      <c r="AF2906" s="182" t="n">
        <v>0</v>
      </c>
      <c r="AG2906" s="182" t="n">
        <v>0</v>
      </c>
      <c r="AH2906" s="182" t="n">
        <v>0</v>
      </c>
      <c r="AI2906" s="182" t="n">
        <v>0</v>
      </c>
      <c r="AJ2906" s="182" t="n">
        <v>0</v>
      </c>
      <c r="AK2906" s="182" t="n">
        <v>0</v>
      </c>
      <c r="AL2906" s="182" t="n">
        <v>0</v>
      </c>
      <c r="AM2906" s="182" t="n">
        <v>0</v>
      </c>
      <c r="AN2906" s="182" t="n">
        <v>0</v>
      </c>
    </row>
    <row r="2907">
      <c r="A2907" s="155" t="n">
        <v>46095</v>
      </c>
      <c r="B2907" s="156" t="inlineStr">
        <is>
          <t>DS</t>
        </is>
      </c>
      <c r="C2907" s="156" t="inlineStr">
        <is>
          <t>EX-336</t>
        </is>
      </c>
      <c r="D2907" s="156" t="inlineStr">
        <is>
          <t>PC 300-8MO</t>
        </is>
      </c>
      <c r="E2907" s="156" t="inlineStr">
        <is>
          <t>Excavator</t>
        </is>
      </c>
      <c r="F2907" s="156" t="inlineStr">
        <is>
          <t>Cleaning Coal</t>
        </is>
      </c>
      <c r="G2907" s="182" t="n">
        <v>10.31</v>
      </c>
      <c r="H2907" s="182" t="n">
        <v>0</v>
      </c>
      <c r="I2907" s="182" t="n">
        <v>0</v>
      </c>
      <c r="J2907" s="182" t="n">
        <v>0</v>
      </c>
      <c r="K2907" s="182" t="n">
        <v>1.69</v>
      </c>
      <c r="L2907" s="182" t="n">
        <v>12</v>
      </c>
      <c r="M2907" s="182" t="n">
        <v>0</v>
      </c>
      <c r="N2907" s="182" t="n">
        <v>0</v>
      </c>
      <c r="O2907" s="183" t="n">
        <v>0</v>
      </c>
      <c r="P2907" s="183" t="n">
        <v>0</v>
      </c>
      <c r="Q2907" s="184" t="n">
        <v>0</v>
      </c>
      <c r="R2907" s="184" t="n">
        <v>0</v>
      </c>
      <c r="S2907" s="183" t="n">
        <v>0</v>
      </c>
      <c r="T2907" s="183" t="n">
        <v>0</v>
      </c>
      <c r="U2907" s="182" t="n">
        <v>0</v>
      </c>
      <c r="V2907" s="182" t="n">
        <v>0</v>
      </c>
      <c r="W2907" s="182" t="n">
        <v>0</v>
      </c>
      <c r="X2907" s="182" t="n">
        <v>0.84</v>
      </c>
      <c r="Y2907" s="182" t="n">
        <v>0</v>
      </c>
      <c r="Z2907" s="182" t="n">
        <v>0</v>
      </c>
      <c r="AA2907" s="182" t="n">
        <v>0</v>
      </c>
      <c r="AB2907" s="182" t="n">
        <v>0</v>
      </c>
      <c r="AC2907" s="182" t="n">
        <v>0</v>
      </c>
      <c r="AD2907" s="182" t="n">
        <v>0</v>
      </c>
      <c r="AE2907" s="182" t="n">
        <v>0</v>
      </c>
      <c r="AF2907" s="182" t="n">
        <v>0</v>
      </c>
      <c r="AG2907" s="182" t="n">
        <v>0</v>
      </c>
      <c r="AH2907" s="182" t="n">
        <v>0</v>
      </c>
      <c r="AI2907" s="182" t="n">
        <v>0</v>
      </c>
      <c r="AJ2907" s="182" t="n">
        <v>0</v>
      </c>
      <c r="AK2907" s="182" t="n">
        <v>0.78</v>
      </c>
      <c r="AL2907" s="182" t="n">
        <v>0</v>
      </c>
      <c r="AM2907" s="182" t="n">
        <v>0.07000000000000001</v>
      </c>
      <c r="AN2907" s="182" t="n">
        <v>0</v>
      </c>
    </row>
    <row r="2908">
      <c r="A2908" s="155" t="n">
        <v>46095</v>
      </c>
      <c r="B2908" s="156" t="inlineStr">
        <is>
          <t>DS</t>
        </is>
      </c>
      <c r="C2908" s="156" t="inlineStr">
        <is>
          <t>EX-335</t>
        </is>
      </c>
      <c r="D2908" s="156" t="inlineStr">
        <is>
          <t>PC 300-8MO</t>
        </is>
      </c>
      <c r="E2908" s="156" t="inlineStr">
        <is>
          <t>Excavator</t>
        </is>
      </c>
      <c r="F2908" s="156" t="inlineStr">
        <is>
          <t>Loading Coal S60 &amp; S45 &amp; Parting &amp; Cleaning Coal</t>
        </is>
      </c>
      <c r="G2908" s="182" t="n">
        <v>11.81</v>
      </c>
      <c r="H2908" s="182" t="n">
        <v>0</v>
      </c>
      <c r="I2908" s="182" t="n">
        <v>0</v>
      </c>
      <c r="J2908" s="182" t="n">
        <v>0</v>
      </c>
      <c r="K2908" s="182" t="n">
        <v>0.19</v>
      </c>
      <c r="L2908" s="182" t="n">
        <v>12</v>
      </c>
      <c r="M2908" s="182" t="n">
        <v>0</v>
      </c>
      <c r="N2908" s="182" t="n">
        <v>5.09</v>
      </c>
      <c r="O2908" s="183" t="n">
        <v>14</v>
      </c>
      <c r="P2908" s="183" t="n">
        <v>33</v>
      </c>
      <c r="Q2908" s="184" t="n">
        <v>209.4</v>
      </c>
      <c r="R2908" s="184" t="n">
        <v>518.5</v>
      </c>
      <c r="S2908" s="183" t="n">
        <v>0</v>
      </c>
      <c r="T2908" s="183" t="n">
        <v>0</v>
      </c>
      <c r="U2908" s="182" t="n">
        <v>0</v>
      </c>
      <c r="V2908" s="182" t="n">
        <v>0</v>
      </c>
      <c r="W2908" s="182" t="n">
        <v>0</v>
      </c>
      <c r="X2908" s="182" t="n">
        <v>0.15</v>
      </c>
      <c r="Y2908" s="182" t="n">
        <v>0</v>
      </c>
      <c r="Z2908" s="182" t="n">
        <v>0</v>
      </c>
      <c r="AA2908" s="182" t="n">
        <v>0</v>
      </c>
      <c r="AB2908" s="182" t="n">
        <v>0</v>
      </c>
      <c r="AC2908" s="182" t="n">
        <v>0</v>
      </c>
      <c r="AD2908" s="182" t="n">
        <v>0</v>
      </c>
      <c r="AE2908" s="182" t="n">
        <v>0</v>
      </c>
      <c r="AF2908" s="182" t="n">
        <v>0</v>
      </c>
      <c r="AG2908" s="182" t="n">
        <v>0</v>
      </c>
      <c r="AH2908" s="182" t="n">
        <v>0</v>
      </c>
      <c r="AI2908" s="182" t="n">
        <v>0</v>
      </c>
      <c r="AJ2908" s="182" t="n">
        <v>0</v>
      </c>
      <c r="AK2908" s="182" t="n">
        <v>0</v>
      </c>
      <c r="AL2908" s="182" t="n">
        <v>0</v>
      </c>
      <c r="AM2908" s="182" t="n">
        <v>0.04</v>
      </c>
      <c r="AN2908" s="182" t="n">
        <v>0</v>
      </c>
    </row>
    <row r="2909">
      <c r="A2909" s="155" t="n">
        <v>46095</v>
      </c>
      <c r="B2909" s="156" t="inlineStr">
        <is>
          <t>DS</t>
        </is>
      </c>
      <c r="C2909" s="156" t="inlineStr">
        <is>
          <t>EX-754</t>
        </is>
      </c>
      <c r="D2909" s="156" t="inlineStr">
        <is>
          <t>SY750H-PRO</t>
        </is>
      </c>
      <c r="E2909" s="156" t="inlineStr">
        <is>
          <t>Excavator</t>
        </is>
      </c>
      <c r="F2909" s="156" t="inlineStr">
        <is>
          <t>Loading OB</t>
        </is>
      </c>
      <c r="G2909" s="182" t="n">
        <v>7.23</v>
      </c>
      <c r="H2909" s="182" t="n">
        <v>0</v>
      </c>
      <c r="I2909" s="182" t="n">
        <v>1.78</v>
      </c>
      <c r="J2909" s="182" t="n">
        <v>1.78</v>
      </c>
      <c r="K2909" s="182" t="n">
        <v>2.99</v>
      </c>
      <c r="L2909" s="182" t="n">
        <v>12</v>
      </c>
      <c r="M2909" s="182" t="n">
        <v>6.21</v>
      </c>
      <c r="N2909" s="182" t="n">
        <v>0</v>
      </c>
      <c r="O2909" s="183" t="n">
        <v>95</v>
      </c>
      <c r="P2909" s="183" t="n">
        <v>0</v>
      </c>
      <c r="Q2909" s="184" t="n">
        <v>1938</v>
      </c>
      <c r="R2909" s="184" t="n">
        <v>0</v>
      </c>
      <c r="S2909" s="183" t="n">
        <v>0</v>
      </c>
      <c r="T2909" s="183" t="n">
        <v>0</v>
      </c>
      <c r="U2909" s="182" t="n">
        <v>0</v>
      </c>
      <c r="V2909" s="182" t="n">
        <v>0</v>
      </c>
      <c r="W2909" s="182" t="n">
        <v>0</v>
      </c>
      <c r="X2909" s="182" t="n">
        <v>1.08</v>
      </c>
      <c r="Y2909" s="182" t="n">
        <v>0</v>
      </c>
      <c r="Z2909" s="182" t="n">
        <v>0</v>
      </c>
      <c r="AA2909" s="182" t="n">
        <v>0</v>
      </c>
      <c r="AB2909" s="182" t="n">
        <v>0</v>
      </c>
      <c r="AC2909" s="182" t="n">
        <v>0</v>
      </c>
      <c r="AD2909" s="182" t="n">
        <v>1.59</v>
      </c>
      <c r="AE2909" s="182" t="n">
        <v>0</v>
      </c>
      <c r="AF2909" s="182" t="n">
        <v>0</v>
      </c>
      <c r="AG2909" s="182" t="n">
        <v>0</v>
      </c>
      <c r="AH2909" s="182" t="n">
        <v>0.22</v>
      </c>
      <c r="AI2909" s="182" t="n">
        <v>0</v>
      </c>
      <c r="AJ2909" s="182" t="n">
        <v>0</v>
      </c>
      <c r="AK2909" s="182" t="n">
        <v>0</v>
      </c>
      <c r="AL2909" s="182" t="n">
        <v>0</v>
      </c>
      <c r="AM2909" s="182" t="n">
        <v>0.09</v>
      </c>
      <c r="AN2909" s="182" t="n">
        <v>0</v>
      </c>
    </row>
    <row r="2910">
      <c r="A2910" s="155" t="n">
        <v>46095</v>
      </c>
      <c r="B2910" s="156" t="inlineStr">
        <is>
          <t>DS</t>
        </is>
      </c>
      <c r="C2910" s="156" t="inlineStr">
        <is>
          <t>EX-755</t>
        </is>
      </c>
      <c r="D2910" s="156" t="inlineStr">
        <is>
          <t>SY750H-PRO</t>
        </is>
      </c>
      <c r="E2910" s="156" t="inlineStr">
        <is>
          <t>Excavator</t>
        </is>
      </c>
      <c r="F2910" s="156" t="inlineStr">
        <is>
          <t>Loading OB</t>
        </is>
      </c>
      <c r="G2910" s="182" t="n">
        <v>10.64</v>
      </c>
      <c r="H2910" s="182" t="n">
        <v>0</v>
      </c>
      <c r="I2910" s="182" t="n">
        <v>0</v>
      </c>
      <c r="J2910" s="182" t="n">
        <v>0</v>
      </c>
      <c r="K2910" s="182" t="n">
        <v>1.36</v>
      </c>
      <c r="L2910" s="182" t="n">
        <v>12</v>
      </c>
      <c r="M2910" s="182" t="n">
        <v>9.630000000000001</v>
      </c>
      <c r="N2910" s="182" t="n">
        <v>0</v>
      </c>
      <c r="O2910" s="183" t="n">
        <v>161</v>
      </c>
      <c r="P2910" s="183" t="n">
        <v>0</v>
      </c>
      <c r="Q2910" s="184" t="n">
        <v>3284.4</v>
      </c>
      <c r="R2910" s="184" t="n">
        <v>0</v>
      </c>
      <c r="S2910" s="183" t="n">
        <v>0</v>
      </c>
      <c r="T2910" s="183" t="n">
        <v>0</v>
      </c>
      <c r="U2910" s="182" t="n">
        <v>0</v>
      </c>
      <c r="V2910" s="182" t="n">
        <v>0</v>
      </c>
      <c r="W2910" s="182" t="n">
        <v>0</v>
      </c>
      <c r="X2910" s="182" t="n">
        <v>1.12</v>
      </c>
      <c r="Y2910" s="182" t="n">
        <v>0</v>
      </c>
      <c r="Z2910" s="182" t="n">
        <v>0</v>
      </c>
      <c r="AA2910" s="182" t="n">
        <v>0</v>
      </c>
      <c r="AB2910" s="182" t="n">
        <v>0</v>
      </c>
      <c r="AC2910" s="182" t="n">
        <v>0</v>
      </c>
      <c r="AD2910" s="182" t="n">
        <v>0</v>
      </c>
      <c r="AE2910" s="182" t="n">
        <v>0</v>
      </c>
      <c r="AF2910" s="182" t="n">
        <v>0</v>
      </c>
      <c r="AG2910" s="182" t="n">
        <v>0</v>
      </c>
      <c r="AH2910" s="182" t="n">
        <v>0.15</v>
      </c>
      <c r="AI2910" s="182" t="n">
        <v>0</v>
      </c>
      <c r="AJ2910" s="182" t="n">
        <v>0</v>
      </c>
      <c r="AK2910" s="182" t="n">
        <v>0</v>
      </c>
      <c r="AL2910" s="182" t="n">
        <v>0</v>
      </c>
      <c r="AM2910" s="182" t="n">
        <v>0.09</v>
      </c>
      <c r="AN2910" s="182" t="n">
        <v>0</v>
      </c>
    </row>
    <row r="2911">
      <c r="A2911" s="155" t="n">
        <v>46095</v>
      </c>
      <c r="B2911" s="156" t="inlineStr">
        <is>
          <t>DS</t>
        </is>
      </c>
      <c r="C2911" s="156" t="inlineStr">
        <is>
          <t>EX-752</t>
        </is>
      </c>
      <c r="D2911" s="156" t="inlineStr">
        <is>
          <t>SY750H-PRO</t>
        </is>
      </c>
      <c r="E2911" s="156" t="inlineStr">
        <is>
          <t>Excavator</t>
        </is>
      </c>
      <c r="F2911" s="156" t="inlineStr"/>
      <c r="G2911" s="182" t="n">
        <v>0</v>
      </c>
      <c r="H2911" s="182" t="n">
        <v>0</v>
      </c>
      <c r="I2911" s="182" t="n">
        <v>12</v>
      </c>
      <c r="J2911" s="182" t="n">
        <v>12</v>
      </c>
      <c r="K2911" s="182" t="n">
        <v>0</v>
      </c>
      <c r="L2911" s="182" t="n">
        <v>12</v>
      </c>
      <c r="M2911" s="182" t="n">
        <v>0</v>
      </c>
      <c r="N2911" s="182" t="n">
        <v>0</v>
      </c>
      <c r="O2911" s="183" t="n">
        <v>0</v>
      </c>
      <c r="P2911" s="183" t="n">
        <v>0</v>
      </c>
      <c r="Q2911" s="184" t="n">
        <v>0</v>
      </c>
      <c r="R2911" s="184" t="n">
        <v>0</v>
      </c>
      <c r="S2911" s="183" t="n">
        <v>0</v>
      </c>
      <c r="T2911" s="183" t="n">
        <v>0</v>
      </c>
      <c r="U2911" s="182" t="n">
        <v>0</v>
      </c>
      <c r="V2911" s="182" t="n">
        <v>0</v>
      </c>
      <c r="W2911" s="182" t="n">
        <v>0</v>
      </c>
      <c r="X2911" s="182" t="n">
        <v>0</v>
      </c>
      <c r="Y2911" s="182" t="n">
        <v>0</v>
      </c>
      <c r="Z2911" s="182" t="n">
        <v>0</v>
      </c>
      <c r="AA2911" s="182" t="n">
        <v>0</v>
      </c>
      <c r="AB2911" s="182" t="n">
        <v>0</v>
      </c>
      <c r="AC2911" s="182" t="n">
        <v>0</v>
      </c>
      <c r="AD2911" s="182" t="n">
        <v>0</v>
      </c>
      <c r="AE2911" s="182" t="n">
        <v>0</v>
      </c>
      <c r="AF2911" s="182" t="n">
        <v>0</v>
      </c>
      <c r="AG2911" s="182" t="n">
        <v>0</v>
      </c>
      <c r="AH2911" s="182" t="n">
        <v>0</v>
      </c>
      <c r="AI2911" s="182" t="n">
        <v>0</v>
      </c>
      <c r="AJ2911" s="182" t="n">
        <v>0</v>
      </c>
      <c r="AK2911" s="182" t="n">
        <v>0</v>
      </c>
      <c r="AL2911" s="182" t="n">
        <v>0</v>
      </c>
      <c r="AM2911" s="182" t="n">
        <v>0</v>
      </c>
      <c r="AN2911" s="182" t="n">
        <v>0</v>
      </c>
    </row>
    <row r="2912">
      <c r="A2912" s="155" t="n">
        <v>46095</v>
      </c>
      <c r="B2912" s="156" t="inlineStr">
        <is>
          <t>DS</t>
        </is>
      </c>
      <c r="C2912" s="156" t="inlineStr">
        <is>
          <t>EX-751</t>
        </is>
      </c>
      <c r="D2912" s="156" t="inlineStr">
        <is>
          <t>SY750H-PRO</t>
        </is>
      </c>
      <c r="E2912" s="156" t="inlineStr">
        <is>
          <t>Excavator</t>
        </is>
      </c>
      <c r="F2912" s="156" t="inlineStr"/>
      <c r="G2912" s="182" t="n">
        <v>0</v>
      </c>
      <c r="H2912" s="182" t="n">
        <v>0</v>
      </c>
      <c r="I2912" s="182" t="n">
        <v>12</v>
      </c>
      <c r="J2912" s="182" t="n">
        <v>12</v>
      </c>
      <c r="K2912" s="182" t="n">
        <v>0</v>
      </c>
      <c r="L2912" s="182" t="n">
        <v>12</v>
      </c>
      <c r="M2912" s="182" t="n">
        <v>0</v>
      </c>
      <c r="N2912" s="182" t="n">
        <v>0</v>
      </c>
      <c r="O2912" s="183" t="n">
        <v>0</v>
      </c>
      <c r="P2912" s="183" t="n">
        <v>0</v>
      </c>
      <c r="Q2912" s="184" t="n">
        <v>0</v>
      </c>
      <c r="R2912" s="184" t="n">
        <v>0</v>
      </c>
      <c r="S2912" s="183" t="n">
        <v>0</v>
      </c>
      <c r="T2912" s="183" t="n">
        <v>0</v>
      </c>
      <c r="U2912" s="182" t="n">
        <v>0</v>
      </c>
      <c r="V2912" s="182" t="n">
        <v>0</v>
      </c>
      <c r="W2912" s="182" t="n">
        <v>0</v>
      </c>
      <c r="X2912" s="182" t="n">
        <v>0</v>
      </c>
      <c r="Y2912" s="182" t="n">
        <v>0</v>
      </c>
      <c r="Z2912" s="182" t="n">
        <v>0</v>
      </c>
      <c r="AA2912" s="182" t="n">
        <v>0</v>
      </c>
      <c r="AB2912" s="182" t="n">
        <v>0</v>
      </c>
      <c r="AC2912" s="182" t="n">
        <v>0</v>
      </c>
      <c r="AD2912" s="182" t="n">
        <v>0</v>
      </c>
      <c r="AE2912" s="182" t="n">
        <v>0</v>
      </c>
      <c r="AF2912" s="182" t="n">
        <v>0</v>
      </c>
      <c r="AG2912" s="182" t="n">
        <v>0</v>
      </c>
      <c r="AH2912" s="182" t="n">
        <v>0</v>
      </c>
      <c r="AI2912" s="182" t="n">
        <v>0</v>
      </c>
      <c r="AJ2912" s="182" t="n">
        <v>0</v>
      </c>
      <c r="AK2912" s="182" t="n">
        <v>0</v>
      </c>
      <c r="AL2912" s="182" t="n">
        <v>0</v>
      </c>
      <c r="AM2912" s="182" t="n">
        <v>0</v>
      </c>
      <c r="AN2912" s="182" t="n">
        <v>0</v>
      </c>
    </row>
    <row r="2913">
      <c r="A2913" s="155" t="n">
        <v>46095</v>
      </c>
      <c r="B2913" s="156" t="inlineStr">
        <is>
          <t>DS</t>
        </is>
      </c>
      <c r="C2913" s="156" t="inlineStr">
        <is>
          <t>EX-753</t>
        </is>
      </c>
      <c r="D2913" s="156" t="inlineStr">
        <is>
          <t>SY750H-PRO</t>
        </is>
      </c>
      <c r="E2913" s="156" t="inlineStr">
        <is>
          <t>Excavator</t>
        </is>
      </c>
      <c r="F2913" s="156" t="inlineStr">
        <is>
          <t>Loading Coal S45 &amp; Parting</t>
        </is>
      </c>
      <c r="G2913" s="182" t="n">
        <v>2.44</v>
      </c>
      <c r="H2913" s="182" t="n">
        <v>3.5</v>
      </c>
      <c r="I2913" s="182" t="n">
        <v>2.92</v>
      </c>
      <c r="J2913" s="182" t="n">
        <v>6.42</v>
      </c>
      <c r="K2913" s="182" t="n">
        <v>3.14</v>
      </c>
      <c r="L2913" s="182" t="n">
        <v>12</v>
      </c>
      <c r="M2913" s="182" t="n">
        <v>0.43</v>
      </c>
      <c r="N2913" s="182" t="n">
        <v>2.02</v>
      </c>
      <c r="O2913" s="183" t="n">
        <v>6</v>
      </c>
      <c r="P2913" s="183" t="n">
        <v>18</v>
      </c>
      <c r="Q2913" s="184" t="n">
        <v>97.90000000000001</v>
      </c>
      <c r="R2913" s="184" t="n">
        <v>309.4</v>
      </c>
      <c r="S2913" s="183" t="n">
        <v>0</v>
      </c>
      <c r="T2913" s="183" t="n">
        <v>0</v>
      </c>
      <c r="U2913" s="182" t="n">
        <v>0</v>
      </c>
      <c r="V2913" s="182" t="n">
        <v>0</v>
      </c>
      <c r="W2913" s="182" t="n">
        <v>0</v>
      </c>
      <c r="X2913" s="182" t="n">
        <v>0.96</v>
      </c>
      <c r="Y2913" s="182" t="n">
        <v>0</v>
      </c>
      <c r="Z2913" s="182" t="n">
        <v>0</v>
      </c>
      <c r="AA2913" s="182" t="n">
        <v>0</v>
      </c>
      <c r="AB2913" s="182" t="n">
        <v>0</v>
      </c>
      <c r="AC2913" s="182" t="n">
        <v>0</v>
      </c>
      <c r="AD2913" s="182" t="n">
        <v>2.11</v>
      </c>
      <c r="AE2913" s="182" t="n">
        <v>0</v>
      </c>
      <c r="AF2913" s="182" t="n">
        <v>0</v>
      </c>
      <c r="AG2913" s="182" t="n">
        <v>0</v>
      </c>
      <c r="AH2913" s="182" t="n">
        <v>0</v>
      </c>
      <c r="AI2913" s="182" t="n">
        <v>0</v>
      </c>
      <c r="AJ2913" s="182" t="n">
        <v>0</v>
      </c>
      <c r="AK2913" s="182" t="n">
        <v>0</v>
      </c>
      <c r="AL2913" s="182" t="n">
        <v>0</v>
      </c>
      <c r="AM2913" s="182" t="n">
        <v>0.08</v>
      </c>
      <c r="AN2913" s="182" t="n">
        <v>0</v>
      </c>
    </row>
    <row r="2914">
      <c r="A2914" s="155" t="n">
        <v>46095</v>
      </c>
      <c r="B2914" s="156" t="inlineStr">
        <is>
          <t>DS</t>
        </is>
      </c>
      <c r="C2914" s="156" t="inlineStr">
        <is>
          <t>GD-012</t>
        </is>
      </c>
      <c r="D2914" s="156" t="inlineStr">
        <is>
          <t>STG 230C - 8S</t>
        </is>
      </c>
      <c r="E2914" s="156" t="inlineStr">
        <is>
          <t>Grader</t>
        </is>
      </c>
      <c r="F2914" s="156" t="inlineStr"/>
      <c r="G2914" s="182" t="n">
        <v>0</v>
      </c>
      <c r="H2914" s="182" t="n">
        <v>0</v>
      </c>
      <c r="I2914" s="182" t="n">
        <v>0</v>
      </c>
      <c r="J2914" s="182" t="n">
        <v>0</v>
      </c>
      <c r="K2914" s="182" t="n">
        <v>12</v>
      </c>
      <c r="L2914" s="182" t="n">
        <v>12</v>
      </c>
      <c r="M2914" s="182" t="n">
        <v>0</v>
      </c>
      <c r="N2914" s="182" t="n">
        <v>0</v>
      </c>
      <c r="O2914" s="183" t="n">
        <v>0</v>
      </c>
      <c r="P2914" s="183" t="n">
        <v>0</v>
      </c>
      <c r="Q2914" s="184" t="n">
        <v>0</v>
      </c>
      <c r="R2914" s="184" t="n">
        <v>0</v>
      </c>
      <c r="S2914" s="183" t="n">
        <v>0</v>
      </c>
      <c r="T2914" s="183" t="n">
        <v>0</v>
      </c>
      <c r="U2914" s="182" t="n">
        <v>0</v>
      </c>
      <c r="V2914" s="182" t="n">
        <v>0</v>
      </c>
      <c r="W2914" s="182" t="n">
        <v>0</v>
      </c>
      <c r="X2914" s="182" t="n">
        <v>1</v>
      </c>
      <c r="Y2914" s="182" t="n">
        <v>0</v>
      </c>
      <c r="Z2914" s="182" t="n">
        <v>0</v>
      </c>
      <c r="AA2914" s="182" t="n">
        <v>0</v>
      </c>
      <c r="AB2914" s="182" t="n">
        <v>0</v>
      </c>
      <c r="AC2914" s="182" t="n">
        <v>0</v>
      </c>
      <c r="AD2914" s="182" t="n">
        <v>0</v>
      </c>
      <c r="AE2914" s="182" t="n">
        <v>0</v>
      </c>
      <c r="AF2914" s="182" t="n">
        <v>0</v>
      </c>
      <c r="AG2914" s="182" t="n">
        <v>0</v>
      </c>
      <c r="AH2914" s="182" t="n">
        <v>0</v>
      </c>
      <c r="AI2914" s="182" t="n">
        <v>0</v>
      </c>
      <c r="AJ2914" s="182" t="n">
        <v>0</v>
      </c>
      <c r="AK2914" s="182" t="n">
        <v>10.92</v>
      </c>
      <c r="AL2914" s="182" t="n">
        <v>0</v>
      </c>
      <c r="AM2914" s="182" t="n">
        <v>0.08</v>
      </c>
      <c r="AN2914" s="182" t="n">
        <v>0</v>
      </c>
    </row>
    <row r="2915">
      <c r="A2915" s="155" t="n">
        <v>46095</v>
      </c>
      <c r="B2915" s="156" t="inlineStr">
        <is>
          <t>DS</t>
        </is>
      </c>
      <c r="C2915" s="156" t="inlineStr">
        <is>
          <t>GD-011</t>
        </is>
      </c>
      <c r="D2915" s="156" t="inlineStr">
        <is>
          <t>STG 230C - 8S</t>
        </is>
      </c>
      <c r="E2915" s="156" t="inlineStr">
        <is>
          <t>Grader</t>
        </is>
      </c>
      <c r="F2915" s="156" t="inlineStr"/>
      <c r="G2915" s="182" t="n">
        <v>0</v>
      </c>
      <c r="H2915" s="182" t="n">
        <v>0</v>
      </c>
      <c r="I2915" s="182" t="n">
        <v>12</v>
      </c>
      <c r="J2915" s="182" t="n">
        <v>12</v>
      </c>
      <c r="K2915" s="182" t="n">
        <v>0</v>
      </c>
      <c r="L2915" s="182" t="n">
        <v>12</v>
      </c>
      <c r="M2915" s="182" t="n">
        <v>0</v>
      </c>
      <c r="N2915" s="182" t="n">
        <v>0</v>
      </c>
      <c r="O2915" s="183" t="n">
        <v>0</v>
      </c>
      <c r="P2915" s="183" t="n">
        <v>0</v>
      </c>
      <c r="Q2915" s="184" t="n">
        <v>0</v>
      </c>
      <c r="R2915" s="184" t="n">
        <v>0</v>
      </c>
      <c r="S2915" s="183" t="n">
        <v>0</v>
      </c>
      <c r="T2915" s="183" t="n">
        <v>0</v>
      </c>
      <c r="U2915" s="182" t="n">
        <v>0</v>
      </c>
      <c r="V2915" s="182" t="n">
        <v>0</v>
      </c>
      <c r="W2915" s="182" t="n">
        <v>0</v>
      </c>
      <c r="X2915" s="182" t="n">
        <v>0</v>
      </c>
      <c r="Y2915" s="182" t="n">
        <v>0</v>
      </c>
      <c r="Z2915" s="182" t="n">
        <v>0</v>
      </c>
      <c r="AA2915" s="182" t="n">
        <v>0</v>
      </c>
      <c r="AB2915" s="182" t="n">
        <v>0</v>
      </c>
      <c r="AC2915" s="182" t="n">
        <v>0</v>
      </c>
      <c r="AD2915" s="182" t="n">
        <v>0</v>
      </c>
      <c r="AE2915" s="182" t="n">
        <v>0</v>
      </c>
      <c r="AF2915" s="182" t="n">
        <v>0</v>
      </c>
      <c r="AG2915" s="182" t="n">
        <v>0</v>
      </c>
      <c r="AH2915" s="182" t="n">
        <v>0</v>
      </c>
      <c r="AI2915" s="182" t="n">
        <v>0</v>
      </c>
      <c r="AJ2915" s="182" t="n">
        <v>0</v>
      </c>
      <c r="AK2915" s="182" t="n">
        <v>0</v>
      </c>
      <c r="AL2915" s="182" t="n">
        <v>0</v>
      </c>
      <c r="AM2915" s="182" t="n">
        <v>0</v>
      </c>
      <c r="AN2915" s="182" t="n">
        <v>0</v>
      </c>
    </row>
    <row r="2916">
      <c r="A2916" s="155" t="n">
        <v>46095</v>
      </c>
      <c r="B2916" s="156" t="inlineStr">
        <is>
          <t>DS</t>
        </is>
      </c>
      <c r="C2916" s="156" t="inlineStr">
        <is>
          <t>GD-013</t>
        </is>
      </c>
      <c r="D2916" s="156" t="inlineStr">
        <is>
          <t>STG 265C - 10</t>
        </is>
      </c>
      <c r="E2916" s="156" t="inlineStr">
        <is>
          <t>Grader</t>
        </is>
      </c>
      <c r="F2916" s="156" t="inlineStr">
        <is>
          <t>Road Maintenance</t>
        </is>
      </c>
      <c r="G2916" s="182" t="n">
        <v>6.98</v>
      </c>
      <c r="H2916" s="182" t="n">
        <v>0</v>
      </c>
      <c r="I2916" s="182" t="n">
        <v>2.33</v>
      </c>
      <c r="J2916" s="182" t="n">
        <v>2.33</v>
      </c>
      <c r="K2916" s="182" t="n">
        <v>2.69</v>
      </c>
      <c r="L2916" s="182" t="n">
        <v>12</v>
      </c>
      <c r="M2916" s="182" t="n">
        <v>0</v>
      </c>
      <c r="N2916" s="182" t="n">
        <v>0</v>
      </c>
      <c r="O2916" s="183" t="n">
        <v>0</v>
      </c>
      <c r="P2916" s="183" t="n">
        <v>0</v>
      </c>
      <c r="Q2916" s="184" t="n">
        <v>0</v>
      </c>
      <c r="R2916" s="184" t="n">
        <v>0</v>
      </c>
      <c r="S2916" s="183" t="n">
        <v>0</v>
      </c>
      <c r="T2916" s="183" t="n">
        <v>0</v>
      </c>
      <c r="U2916" s="182" t="n">
        <v>0</v>
      </c>
      <c r="V2916" s="182" t="n">
        <v>0</v>
      </c>
      <c r="W2916" s="182" t="n">
        <v>0</v>
      </c>
      <c r="X2916" s="182" t="n">
        <v>1.14</v>
      </c>
      <c r="Y2916" s="182" t="n">
        <v>0</v>
      </c>
      <c r="Z2916" s="182" t="n">
        <v>0</v>
      </c>
      <c r="AA2916" s="182" t="n">
        <v>0</v>
      </c>
      <c r="AB2916" s="182" t="n">
        <v>0</v>
      </c>
      <c r="AC2916" s="182" t="n">
        <v>0</v>
      </c>
      <c r="AD2916" s="182" t="n">
        <v>0</v>
      </c>
      <c r="AE2916" s="182" t="n">
        <v>0</v>
      </c>
      <c r="AF2916" s="182" t="n">
        <v>0</v>
      </c>
      <c r="AG2916" s="182" t="n">
        <v>0</v>
      </c>
      <c r="AH2916" s="182" t="n">
        <v>0</v>
      </c>
      <c r="AI2916" s="182" t="n">
        <v>0</v>
      </c>
      <c r="AJ2916" s="182" t="n">
        <v>0</v>
      </c>
      <c r="AK2916" s="182" t="n">
        <v>1.45</v>
      </c>
      <c r="AL2916" s="182" t="n">
        <v>0</v>
      </c>
      <c r="AM2916" s="182" t="n">
        <v>0.09</v>
      </c>
      <c r="AN2916" s="182" t="n">
        <v>0</v>
      </c>
    </row>
    <row r="2917">
      <c r="A2917" s="155" t="n">
        <v>46095</v>
      </c>
      <c r="B2917" s="156" t="inlineStr">
        <is>
          <t>DS</t>
        </is>
      </c>
      <c r="C2917" s="156" t="inlineStr">
        <is>
          <t>GD-014</t>
        </is>
      </c>
      <c r="D2917" s="156" t="inlineStr">
        <is>
          <t>STG 335C - 10</t>
        </is>
      </c>
      <c r="E2917" s="156" t="inlineStr">
        <is>
          <t>Grader</t>
        </is>
      </c>
      <c r="F2917" s="156" t="inlineStr">
        <is>
          <t>Road Maintenance</t>
        </is>
      </c>
      <c r="G2917" s="182" t="n">
        <v>10.33</v>
      </c>
      <c r="H2917" s="182" t="n">
        <v>0</v>
      </c>
      <c r="I2917" s="182" t="n">
        <v>0</v>
      </c>
      <c r="J2917" s="182" t="n">
        <v>0</v>
      </c>
      <c r="K2917" s="182" t="n">
        <v>1.67</v>
      </c>
      <c r="L2917" s="182" t="n">
        <v>12</v>
      </c>
      <c r="M2917" s="182" t="n">
        <v>0</v>
      </c>
      <c r="N2917" s="182" t="n">
        <v>0</v>
      </c>
      <c r="O2917" s="183" t="n">
        <v>0</v>
      </c>
      <c r="P2917" s="183" t="n">
        <v>0</v>
      </c>
      <c r="Q2917" s="184" t="n">
        <v>0</v>
      </c>
      <c r="R2917" s="184" t="n">
        <v>0</v>
      </c>
      <c r="S2917" s="183" t="n">
        <v>0</v>
      </c>
      <c r="T2917" s="183" t="n">
        <v>0</v>
      </c>
      <c r="U2917" s="182" t="n">
        <v>0</v>
      </c>
      <c r="V2917" s="182" t="n">
        <v>0</v>
      </c>
      <c r="W2917" s="182" t="n">
        <v>0</v>
      </c>
      <c r="X2917" s="182" t="n">
        <v>0.88</v>
      </c>
      <c r="Y2917" s="182" t="n">
        <v>0</v>
      </c>
      <c r="Z2917" s="182" t="n">
        <v>0</v>
      </c>
      <c r="AA2917" s="182" t="n">
        <v>0</v>
      </c>
      <c r="AB2917" s="182" t="n">
        <v>0</v>
      </c>
      <c r="AC2917" s="182" t="n">
        <v>0</v>
      </c>
      <c r="AD2917" s="182" t="n">
        <v>0</v>
      </c>
      <c r="AE2917" s="182" t="n">
        <v>0</v>
      </c>
      <c r="AF2917" s="182" t="n">
        <v>0</v>
      </c>
      <c r="AG2917" s="182" t="n">
        <v>0</v>
      </c>
      <c r="AH2917" s="182" t="n">
        <v>0</v>
      </c>
      <c r="AI2917" s="182" t="n">
        <v>0</v>
      </c>
      <c r="AJ2917" s="182" t="n">
        <v>0</v>
      </c>
      <c r="AK2917" s="182" t="n">
        <v>0.72</v>
      </c>
      <c r="AL2917" s="182" t="n">
        <v>0</v>
      </c>
      <c r="AM2917" s="182" t="n">
        <v>0.07000000000000001</v>
      </c>
      <c r="AN2917" s="182" t="n">
        <v>0</v>
      </c>
    </row>
    <row r="2918">
      <c r="A2918" s="155" t="n">
        <v>46095</v>
      </c>
      <c r="B2918" s="156" t="inlineStr">
        <is>
          <t>DS</t>
        </is>
      </c>
      <c r="C2918" s="156" t="inlineStr">
        <is>
          <t>DT-809</t>
        </is>
      </c>
      <c r="D2918" s="156" t="inlineStr">
        <is>
          <t>SKT 80S</t>
        </is>
      </c>
      <c r="E2918" s="156" t="inlineStr">
        <is>
          <t>Hauler</t>
        </is>
      </c>
      <c r="F2918" s="156" t="inlineStr"/>
      <c r="G2918" s="182" t="n">
        <v>0</v>
      </c>
      <c r="H2918" s="182" t="n">
        <v>0</v>
      </c>
      <c r="I2918" s="182" t="n">
        <v>0</v>
      </c>
      <c r="J2918" s="182" t="n">
        <v>0</v>
      </c>
      <c r="K2918" s="182" t="n">
        <v>12</v>
      </c>
      <c r="L2918" s="182" t="n">
        <v>12</v>
      </c>
      <c r="M2918" s="182" t="n">
        <v>0</v>
      </c>
      <c r="N2918" s="182" t="n">
        <v>0</v>
      </c>
      <c r="O2918" s="183" t="n">
        <v>0</v>
      </c>
      <c r="P2918" s="183" t="n">
        <v>0</v>
      </c>
      <c r="Q2918" s="184" t="n">
        <v>0</v>
      </c>
      <c r="R2918" s="184" t="n">
        <v>0</v>
      </c>
      <c r="S2918" s="183" t="n">
        <v>0</v>
      </c>
      <c r="T2918" s="183" t="n">
        <v>0</v>
      </c>
      <c r="U2918" s="182" t="n">
        <v>0</v>
      </c>
      <c r="V2918" s="182" t="n">
        <v>0</v>
      </c>
      <c r="W2918" s="182" t="n">
        <v>0</v>
      </c>
      <c r="X2918" s="182" t="n">
        <v>1</v>
      </c>
      <c r="Y2918" s="182" t="n">
        <v>0</v>
      </c>
      <c r="Z2918" s="182" t="n">
        <v>0</v>
      </c>
      <c r="AA2918" s="182" t="n">
        <v>0</v>
      </c>
      <c r="AB2918" s="182" t="n">
        <v>0</v>
      </c>
      <c r="AC2918" s="182" t="n">
        <v>0</v>
      </c>
      <c r="AD2918" s="182" t="n">
        <v>0</v>
      </c>
      <c r="AE2918" s="182" t="n">
        <v>0</v>
      </c>
      <c r="AF2918" s="182" t="n">
        <v>0</v>
      </c>
      <c r="AG2918" s="182" t="n">
        <v>0</v>
      </c>
      <c r="AH2918" s="182" t="n">
        <v>0</v>
      </c>
      <c r="AI2918" s="182" t="n">
        <v>0</v>
      </c>
      <c r="AJ2918" s="182" t="n">
        <v>0</v>
      </c>
      <c r="AK2918" s="182" t="n">
        <v>10.92</v>
      </c>
      <c r="AL2918" s="182" t="n">
        <v>0</v>
      </c>
      <c r="AM2918" s="182" t="n">
        <v>0.08</v>
      </c>
      <c r="AN2918" s="182" t="n">
        <v>0</v>
      </c>
    </row>
    <row r="2919">
      <c r="A2919" s="155" t="n">
        <v>46095</v>
      </c>
      <c r="B2919" s="156" t="inlineStr">
        <is>
          <t>DS</t>
        </is>
      </c>
      <c r="C2919" s="156" t="inlineStr">
        <is>
          <t>DT-806</t>
        </is>
      </c>
      <c r="D2919" s="156" t="inlineStr">
        <is>
          <t>SKT 80S</t>
        </is>
      </c>
      <c r="E2919" s="156" t="inlineStr">
        <is>
          <t>Hauler</t>
        </is>
      </c>
      <c r="F2919" s="156" t="inlineStr"/>
      <c r="G2919" s="182" t="n">
        <v>0</v>
      </c>
      <c r="H2919" s="182" t="n">
        <v>0</v>
      </c>
      <c r="I2919" s="182" t="n">
        <v>0</v>
      </c>
      <c r="J2919" s="182" t="n">
        <v>0</v>
      </c>
      <c r="K2919" s="182" t="n">
        <v>12</v>
      </c>
      <c r="L2919" s="182" t="n">
        <v>12</v>
      </c>
      <c r="M2919" s="182" t="n">
        <v>0</v>
      </c>
      <c r="N2919" s="182" t="n">
        <v>0</v>
      </c>
      <c r="O2919" s="183" t="n">
        <v>0</v>
      </c>
      <c r="P2919" s="183" t="n">
        <v>0</v>
      </c>
      <c r="Q2919" s="184" t="n">
        <v>0</v>
      </c>
      <c r="R2919" s="184" t="n">
        <v>0</v>
      </c>
      <c r="S2919" s="183" t="n">
        <v>0</v>
      </c>
      <c r="T2919" s="183" t="n">
        <v>0</v>
      </c>
      <c r="U2919" s="182" t="n">
        <v>0</v>
      </c>
      <c r="V2919" s="182" t="n">
        <v>0</v>
      </c>
      <c r="W2919" s="182" t="n">
        <v>0</v>
      </c>
      <c r="X2919" s="182" t="n">
        <v>1</v>
      </c>
      <c r="Y2919" s="182" t="n">
        <v>0</v>
      </c>
      <c r="Z2919" s="182" t="n">
        <v>0</v>
      </c>
      <c r="AA2919" s="182" t="n">
        <v>0</v>
      </c>
      <c r="AB2919" s="182" t="n">
        <v>0</v>
      </c>
      <c r="AC2919" s="182" t="n">
        <v>0</v>
      </c>
      <c r="AD2919" s="182" t="n">
        <v>0</v>
      </c>
      <c r="AE2919" s="182" t="n">
        <v>0</v>
      </c>
      <c r="AF2919" s="182" t="n">
        <v>0</v>
      </c>
      <c r="AG2919" s="182" t="n">
        <v>0</v>
      </c>
      <c r="AH2919" s="182" t="n">
        <v>0</v>
      </c>
      <c r="AI2919" s="182" t="n">
        <v>0</v>
      </c>
      <c r="AJ2919" s="182" t="n">
        <v>0</v>
      </c>
      <c r="AK2919" s="182" t="n">
        <v>10.92</v>
      </c>
      <c r="AL2919" s="182" t="n">
        <v>0</v>
      </c>
      <c r="AM2919" s="182" t="n">
        <v>0.08</v>
      </c>
      <c r="AN2919" s="182" t="n">
        <v>0</v>
      </c>
    </row>
    <row r="2920">
      <c r="A2920" s="155" t="n">
        <v>46095</v>
      </c>
      <c r="B2920" s="156" t="inlineStr">
        <is>
          <t>DS</t>
        </is>
      </c>
      <c r="C2920" s="156" t="inlineStr">
        <is>
          <t>DT-805</t>
        </is>
      </c>
      <c r="D2920" s="156" t="inlineStr">
        <is>
          <t>SKT 80S</t>
        </is>
      </c>
      <c r="E2920" s="156" t="inlineStr">
        <is>
          <t>Hauler</t>
        </is>
      </c>
      <c r="F2920" s="156" t="inlineStr"/>
      <c r="G2920" s="182" t="n">
        <v>0</v>
      </c>
      <c r="H2920" s="182" t="n">
        <v>0</v>
      </c>
      <c r="I2920" s="182" t="n">
        <v>0</v>
      </c>
      <c r="J2920" s="182" t="n">
        <v>0</v>
      </c>
      <c r="K2920" s="182" t="n">
        <v>12</v>
      </c>
      <c r="L2920" s="182" t="n">
        <v>12</v>
      </c>
      <c r="M2920" s="182" t="n">
        <v>0</v>
      </c>
      <c r="N2920" s="182" t="n">
        <v>0</v>
      </c>
      <c r="O2920" s="183" t="n">
        <v>0</v>
      </c>
      <c r="P2920" s="183" t="n">
        <v>0</v>
      </c>
      <c r="Q2920" s="184" t="n">
        <v>0</v>
      </c>
      <c r="R2920" s="184" t="n">
        <v>0</v>
      </c>
      <c r="S2920" s="183" t="n">
        <v>0</v>
      </c>
      <c r="T2920" s="183" t="n">
        <v>0</v>
      </c>
      <c r="U2920" s="182" t="n">
        <v>0</v>
      </c>
      <c r="V2920" s="182" t="n">
        <v>0</v>
      </c>
      <c r="W2920" s="182" t="n">
        <v>0</v>
      </c>
      <c r="X2920" s="182" t="n">
        <v>1</v>
      </c>
      <c r="Y2920" s="182" t="n">
        <v>0</v>
      </c>
      <c r="Z2920" s="182" t="n">
        <v>0</v>
      </c>
      <c r="AA2920" s="182" t="n">
        <v>0</v>
      </c>
      <c r="AB2920" s="182" t="n">
        <v>0</v>
      </c>
      <c r="AC2920" s="182" t="n">
        <v>0</v>
      </c>
      <c r="AD2920" s="182" t="n">
        <v>0</v>
      </c>
      <c r="AE2920" s="182" t="n">
        <v>0</v>
      </c>
      <c r="AF2920" s="182" t="n">
        <v>0</v>
      </c>
      <c r="AG2920" s="182" t="n">
        <v>0</v>
      </c>
      <c r="AH2920" s="182" t="n">
        <v>0</v>
      </c>
      <c r="AI2920" s="182" t="n">
        <v>0</v>
      </c>
      <c r="AJ2920" s="182" t="n">
        <v>0</v>
      </c>
      <c r="AK2920" s="182" t="n">
        <v>10.92</v>
      </c>
      <c r="AL2920" s="182" t="n">
        <v>0</v>
      </c>
      <c r="AM2920" s="182" t="n">
        <v>0.08</v>
      </c>
      <c r="AN2920" s="182" t="n">
        <v>0</v>
      </c>
    </row>
    <row r="2921">
      <c r="A2921" s="155" t="n">
        <v>46095</v>
      </c>
      <c r="B2921" s="156" t="inlineStr">
        <is>
          <t>DS</t>
        </is>
      </c>
      <c r="C2921" s="156" t="inlineStr">
        <is>
          <t>DT-801</t>
        </is>
      </c>
      <c r="D2921" s="156" t="inlineStr">
        <is>
          <t>SKT 80S</t>
        </is>
      </c>
      <c r="E2921" s="156" t="inlineStr">
        <is>
          <t>Hauler</t>
        </is>
      </c>
      <c r="F2921" s="156" t="inlineStr"/>
      <c r="G2921" s="182" t="n">
        <v>0</v>
      </c>
      <c r="H2921" s="182" t="n">
        <v>0</v>
      </c>
      <c r="I2921" s="182" t="n">
        <v>0</v>
      </c>
      <c r="J2921" s="182" t="n">
        <v>0</v>
      </c>
      <c r="K2921" s="182" t="n">
        <v>12</v>
      </c>
      <c r="L2921" s="182" t="n">
        <v>12</v>
      </c>
      <c r="M2921" s="182" t="n">
        <v>0</v>
      </c>
      <c r="N2921" s="182" t="n">
        <v>0</v>
      </c>
      <c r="O2921" s="183" t="n">
        <v>0</v>
      </c>
      <c r="P2921" s="183" t="n">
        <v>0</v>
      </c>
      <c r="Q2921" s="184" t="n">
        <v>0</v>
      </c>
      <c r="R2921" s="184" t="n">
        <v>0</v>
      </c>
      <c r="S2921" s="183" t="n">
        <v>0</v>
      </c>
      <c r="T2921" s="183" t="n">
        <v>0</v>
      </c>
      <c r="U2921" s="182" t="n">
        <v>0</v>
      </c>
      <c r="V2921" s="182" t="n">
        <v>0</v>
      </c>
      <c r="W2921" s="182" t="n">
        <v>0</v>
      </c>
      <c r="X2921" s="182" t="n">
        <v>1</v>
      </c>
      <c r="Y2921" s="182" t="n">
        <v>0</v>
      </c>
      <c r="Z2921" s="182" t="n">
        <v>0</v>
      </c>
      <c r="AA2921" s="182" t="n">
        <v>0</v>
      </c>
      <c r="AB2921" s="182" t="n">
        <v>0</v>
      </c>
      <c r="AC2921" s="182" t="n">
        <v>0</v>
      </c>
      <c r="AD2921" s="182" t="n">
        <v>0</v>
      </c>
      <c r="AE2921" s="182" t="n">
        <v>0</v>
      </c>
      <c r="AF2921" s="182" t="n">
        <v>0</v>
      </c>
      <c r="AG2921" s="182" t="n">
        <v>0</v>
      </c>
      <c r="AH2921" s="182" t="n">
        <v>0</v>
      </c>
      <c r="AI2921" s="182" t="n">
        <v>0</v>
      </c>
      <c r="AJ2921" s="182" t="n">
        <v>0</v>
      </c>
      <c r="AK2921" s="182" t="n">
        <v>10.92</v>
      </c>
      <c r="AL2921" s="182" t="n">
        <v>0</v>
      </c>
      <c r="AM2921" s="182" t="n">
        <v>0.08</v>
      </c>
      <c r="AN2921" s="182" t="n">
        <v>0</v>
      </c>
    </row>
    <row r="2922">
      <c r="A2922" s="155" t="n">
        <v>46095</v>
      </c>
      <c r="B2922" s="156" t="inlineStr">
        <is>
          <t>DS</t>
        </is>
      </c>
      <c r="C2922" s="156" t="inlineStr">
        <is>
          <t>DT-808</t>
        </is>
      </c>
      <c r="D2922" s="156" t="inlineStr">
        <is>
          <t>SKT 80S</t>
        </is>
      </c>
      <c r="E2922" s="156" t="inlineStr">
        <is>
          <t>Hauler</t>
        </is>
      </c>
      <c r="F2922" s="156" t="inlineStr">
        <is>
          <t>Hauling Lumpur dari Washing Plant</t>
        </is>
      </c>
      <c r="G2922" s="182" t="n">
        <v>3.63</v>
      </c>
      <c r="H2922" s="182" t="n">
        <v>0</v>
      </c>
      <c r="I2922" s="182" t="n">
        <v>0</v>
      </c>
      <c r="J2922" s="182" t="n">
        <v>0</v>
      </c>
      <c r="K2922" s="182" t="n">
        <v>8.369999999999999</v>
      </c>
      <c r="L2922" s="182" t="n">
        <v>12</v>
      </c>
      <c r="M2922" s="182" t="n">
        <v>0</v>
      </c>
      <c r="N2922" s="182" t="n">
        <v>0</v>
      </c>
      <c r="O2922" s="183" t="n">
        <v>0</v>
      </c>
      <c r="P2922" s="183" t="n">
        <v>0</v>
      </c>
      <c r="Q2922" s="184" t="n">
        <v>0</v>
      </c>
      <c r="R2922" s="184" t="n">
        <v>0</v>
      </c>
      <c r="S2922" s="183" t="n">
        <v>0</v>
      </c>
      <c r="T2922" s="183" t="n">
        <v>0</v>
      </c>
      <c r="U2922" s="182" t="n">
        <v>0</v>
      </c>
      <c r="V2922" s="182" t="n">
        <v>0</v>
      </c>
      <c r="W2922" s="182" t="n">
        <v>0</v>
      </c>
      <c r="X2922" s="182" t="n">
        <v>1.01</v>
      </c>
      <c r="Y2922" s="182" t="n">
        <v>0</v>
      </c>
      <c r="Z2922" s="182" t="n">
        <v>0</v>
      </c>
      <c r="AA2922" s="182" t="n">
        <v>0</v>
      </c>
      <c r="AB2922" s="182" t="n">
        <v>0</v>
      </c>
      <c r="AC2922" s="182" t="n">
        <v>0</v>
      </c>
      <c r="AD2922" s="182" t="n">
        <v>0</v>
      </c>
      <c r="AE2922" s="182" t="n">
        <v>0</v>
      </c>
      <c r="AF2922" s="182" t="n">
        <v>0</v>
      </c>
      <c r="AG2922" s="182" t="n">
        <v>0</v>
      </c>
      <c r="AH2922" s="182" t="n">
        <v>0</v>
      </c>
      <c r="AI2922" s="182" t="n">
        <v>0</v>
      </c>
      <c r="AJ2922" s="182" t="n">
        <v>0</v>
      </c>
      <c r="AK2922" s="182" t="n">
        <v>7.28</v>
      </c>
      <c r="AL2922" s="182" t="n">
        <v>0</v>
      </c>
      <c r="AM2922" s="182" t="n">
        <v>0.08</v>
      </c>
      <c r="AN2922" s="182" t="n">
        <v>0</v>
      </c>
    </row>
    <row r="2923">
      <c r="A2923" s="155" t="n">
        <v>46095</v>
      </c>
      <c r="B2923" s="156" t="inlineStr">
        <is>
          <t>DS</t>
        </is>
      </c>
      <c r="C2923" s="156" t="inlineStr">
        <is>
          <t>DT-811</t>
        </is>
      </c>
      <c r="D2923" s="156" t="inlineStr">
        <is>
          <t>SKT 80S</t>
        </is>
      </c>
      <c r="E2923" s="156" t="inlineStr">
        <is>
          <t>Hauler</t>
        </is>
      </c>
      <c r="F2923" s="156" t="inlineStr"/>
      <c r="G2923" s="182" t="n">
        <v>0</v>
      </c>
      <c r="H2923" s="182" t="n">
        <v>0</v>
      </c>
      <c r="I2923" s="182" t="n">
        <v>12</v>
      </c>
      <c r="J2923" s="182" t="n">
        <v>12</v>
      </c>
      <c r="K2923" s="182" t="n">
        <v>0</v>
      </c>
      <c r="L2923" s="182" t="n">
        <v>12</v>
      </c>
      <c r="M2923" s="182" t="n">
        <v>0</v>
      </c>
      <c r="N2923" s="182" t="n">
        <v>0</v>
      </c>
      <c r="O2923" s="183" t="n">
        <v>0</v>
      </c>
      <c r="P2923" s="183" t="n">
        <v>0</v>
      </c>
      <c r="Q2923" s="184" t="n">
        <v>0</v>
      </c>
      <c r="R2923" s="184" t="n">
        <v>0</v>
      </c>
      <c r="S2923" s="183" t="n">
        <v>0</v>
      </c>
      <c r="T2923" s="183" t="n">
        <v>0</v>
      </c>
      <c r="U2923" s="182" t="n">
        <v>0</v>
      </c>
      <c r="V2923" s="182" t="n">
        <v>0</v>
      </c>
      <c r="W2923" s="182" t="n">
        <v>0</v>
      </c>
      <c r="X2923" s="182" t="n">
        <v>0</v>
      </c>
      <c r="Y2923" s="182" t="n">
        <v>0</v>
      </c>
      <c r="Z2923" s="182" t="n">
        <v>0</v>
      </c>
      <c r="AA2923" s="182" t="n">
        <v>0</v>
      </c>
      <c r="AB2923" s="182" t="n">
        <v>0</v>
      </c>
      <c r="AC2923" s="182" t="n">
        <v>0</v>
      </c>
      <c r="AD2923" s="182" t="n">
        <v>0</v>
      </c>
      <c r="AE2923" s="182" t="n">
        <v>0</v>
      </c>
      <c r="AF2923" s="182" t="n">
        <v>0</v>
      </c>
      <c r="AG2923" s="182" t="n">
        <v>0</v>
      </c>
      <c r="AH2923" s="182" t="n">
        <v>0</v>
      </c>
      <c r="AI2923" s="182" t="n">
        <v>0</v>
      </c>
      <c r="AJ2923" s="182" t="n">
        <v>0</v>
      </c>
      <c r="AK2923" s="182" t="n">
        <v>0</v>
      </c>
      <c r="AL2923" s="182" t="n">
        <v>0</v>
      </c>
      <c r="AM2923" s="182" t="n">
        <v>0</v>
      </c>
      <c r="AN2923" s="182" t="n">
        <v>0</v>
      </c>
    </row>
    <row r="2924">
      <c r="A2924" s="155" t="n">
        <v>46095</v>
      </c>
      <c r="B2924" s="156" t="inlineStr">
        <is>
          <t>DS</t>
        </is>
      </c>
      <c r="C2924" s="156" t="inlineStr">
        <is>
          <t>DT-802</t>
        </is>
      </c>
      <c r="D2924" s="156" t="inlineStr">
        <is>
          <t>SKT 80S</t>
        </is>
      </c>
      <c r="E2924" s="156" t="inlineStr">
        <is>
          <t>Hauler</t>
        </is>
      </c>
      <c r="F2924" s="156" t="inlineStr"/>
      <c r="G2924" s="182" t="n">
        <v>0</v>
      </c>
      <c r="H2924" s="182" t="n">
        <v>0</v>
      </c>
      <c r="I2924" s="182" t="n">
        <v>0</v>
      </c>
      <c r="J2924" s="182" t="n">
        <v>0</v>
      </c>
      <c r="K2924" s="182" t="n">
        <v>12</v>
      </c>
      <c r="L2924" s="182" t="n">
        <v>12</v>
      </c>
      <c r="M2924" s="182" t="n">
        <v>0</v>
      </c>
      <c r="N2924" s="182" t="n">
        <v>0</v>
      </c>
      <c r="O2924" s="183" t="n">
        <v>0</v>
      </c>
      <c r="P2924" s="183" t="n">
        <v>0</v>
      </c>
      <c r="Q2924" s="184" t="n">
        <v>0</v>
      </c>
      <c r="R2924" s="184" t="n">
        <v>0</v>
      </c>
      <c r="S2924" s="183" t="n">
        <v>0</v>
      </c>
      <c r="T2924" s="183" t="n">
        <v>0</v>
      </c>
      <c r="U2924" s="182" t="n">
        <v>0</v>
      </c>
      <c r="V2924" s="182" t="n">
        <v>0</v>
      </c>
      <c r="W2924" s="182" t="n">
        <v>0</v>
      </c>
      <c r="X2924" s="182" t="n">
        <v>1</v>
      </c>
      <c r="Y2924" s="182" t="n">
        <v>0</v>
      </c>
      <c r="Z2924" s="182" t="n">
        <v>0</v>
      </c>
      <c r="AA2924" s="182" t="n">
        <v>0</v>
      </c>
      <c r="AB2924" s="182" t="n">
        <v>0</v>
      </c>
      <c r="AC2924" s="182" t="n">
        <v>0</v>
      </c>
      <c r="AD2924" s="182" t="n">
        <v>0</v>
      </c>
      <c r="AE2924" s="182" t="n">
        <v>0</v>
      </c>
      <c r="AF2924" s="182" t="n">
        <v>0</v>
      </c>
      <c r="AG2924" s="182" t="n">
        <v>0</v>
      </c>
      <c r="AH2924" s="182" t="n">
        <v>0</v>
      </c>
      <c r="AI2924" s="182" t="n">
        <v>0</v>
      </c>
      <c r="AJ2924" s="182" t="n">
        <v>0</v>
      </c>
      <c r="AK2924" s="182" t="n">
        <v>10.92</v>
      </c>
      <c r="AL2924" s="182" t="n">
        <v>0</v>
      </c>
      <c r="AM2924" s="182" t="n">
        <v>0.08</v>
      </c>
      <c r="AN2924" s="182" t="n">
        <v>0</v>
      </c>
    </row>
    <row r="2925">
      <c r="A2925" s="155" t="n">
        <v>46095</v>
      </c>
      <c r="B2925" s="156" t="inlineStr">
        <is>
          <t>DS</t>
        </is>
      </c>
      <c r="C2925" s="156" t="inlineStr">
        <is>
          <t>DT-807</t>
        </is>
      </c>
      <c r="D2925" s="156" t="inlineStr">
        <is>
          <t>SKT 80S</t>
        </is>
      </c>
      <c r="E2925" s="156" t="inlineStr">
        <is>
          <t>Hauler</t>
        </is>
      </c>
      <c r="F2925" s="156" t="inlineStr"/>
      <c r="G2925" s="182" t="n">
        <v>0</v>
      </c>
      <c r="H2925" s="182" t="n">
        <v>0</v>
      </c>
      <c r="I2925" s="182" t="n">
        <v>7.6</v>
      </c>
      <c r="J2925" s="182" t="n">
        <v>7.6</v>
      </c>
      <c r="K2925" s="182" t="n">
        <v>4.4</v>
      </c>
      <c r="L2925" s="182" t="n">
        <v>12</v>
      </c>
      <c r="M2925" s="182" t="n">
        <v>0</v>
      </c>
      <c r="N2925" s="182" t="n">
        <v>0</v>
      </c>
      <c r="O2925" s="183" t="n">
        <v>0</v>
      </c>
      <c r="P2925" s="183" t="n">
        <v>0</v>
      </c>
      <c r="Q2925" s="184" t="n">
        <v>0</v>
      </c>
      <c r="R2925" s="184" t="n">
        <v>0</v>
      </c>
      <c r="S2925" s="183" t="n">
        <v>0</v>
      </c>
      <c r="T2925" s="183" t="n">
        <v>0</v>
      </c>
      <c r="U2925" s="182" t="n">
        <v>0</v>
      </c>
      <c r="V2925" s="182" t="n">
        <v>0</v>
      </c>
      <c r="W2925" s="182" t="n">
        <v>0</v>
      </c>
      <c r="X2925" s="182" t="n">
        <v>1</v>
      </c>
      <c r="Y2925" s="182" t="n">
        <v>0</v>
      </c>
      <c r="Z2925" s="182" t="n">
        <v>0</v>
      </c>
      <c r="AA2925" s="182" t="n">
        <v>0</v>
      </c>
      <c r="AB2925" s="182" t="n">
        <v>0</v>
      </c>
      <c r="AC2925" s="182" t="n">
        <v>0</v>
      </c>
      <c r="AD2925" s="182" t="n">
        <v>0</v>
      </c>
      <c r="AE2925" s="182" t="n">
        <v>0</v>
      </c>
      <c r="AF2925" s="182" t="n">
        <v>0</v>
      </c>
      <c r="AG2925" s="182" t="n">
        <v>0</v>
      </c>
      <c r="AH2925" s="182" t="n">
        <v>0</v>
      </c>
      <c r="AI2925" s="182" t="n">
        <v>0</v>
      </c>
      <c r="AJ2925" s="182" t="n">
        <v>0</v>
      </c>
      <c r="AK2925" s="182" t="n">
        <v>3.32</v>
      </c>
      <c r="AL2925" s="182" t="n">
        <v>0</v>
      </c>
      <c r="AM2925" s="182" t="n">
        <v>0.08</v>
      </c>
      <c r="AN2925" s="182" t="n">
        <v>0</v>
      </c>
    </row>
    <row r="2926">
      <c r="A2926" s="155" t="n">
        <v>46095</v>
      </c>
      <c r="B2926" s="156" t="inlineStr">
        <is>
          <t>DS</t>
        </is>
      </c>
      <c r="C2926" s="156" t="inlineStr">
        <is>
          <t>DT-812</t>
        </is>
      </c>
      <c r="D2926" s="156" t="inlineStr">
        <is>
          <t>SKT 80S</t>
        </is>
      </c>
      <c r="E2926" s="156" t="inlineStr">
        <is>
          <t>Hauler</t>
        </is>
      </c>
      <c r="F2926" s="156" t="inlineStr">
        <is>
          <t>Hauling Coal &amp; OB</t>
        </is>
      </c>
      <c r="G2926" s="182" t="n">
        <v>7.6</v>
      </c>
      <c r="H2926" s="182" t="n">
        <v>0</v>
      </c>
      <c r="I2926" s="182" t="n">
        <v>0</v>
      </c>
      <c r="J2926" s="182" t="n">
        <v>0</v>
      </c>
      <c r="K2926" s="182" t="n">
        <v>4.4</v>
      </c>
      <c r="L2926" s="182" t="n">
        <v>12</v>
      </c>
      <c r="M2926" s="182" t="n">
        <v>0.8100000000000001</v>
      </c>
      <c r="N2926" s="182" t="n">
        <v>6.79</v>
      </c>
      <c r="O2926" s="183" t="n">
        <v>3</v>
      </c>
      <c r="P2926" s="183" t="n">
        <v>15</v>
      </c>
      <c r="Q2926" s="184" t="n">
        <v>40.8</v>
      </c>
      <c r="R2926" s="184" t="n">
        <v>229.5</v>
      </c>
      <c r="S2926" s="183" t="n">
        <v>0</v>
      </c>
      <c r="T2926" s="183" t="n">
        <v>0</v>
      </c>
      <c r="U2926" s="182" t="n">
        <v>0</v>
      </c>
      <c r="V2926" s="182" t="n">
        <v>0</v>
      </c>
      <c r="W2926" s="182" t="n">
        <v>0</v>
      </c>
      <c r="X2926" s="182" t="n">
        <v>1.05</v>
      </c>
      <c r="Y2926" s="182" t="n">
        <v>0</v>
      </c>
      <c r="Z2926" s="182" t="n">
        <v>0</v>
      </c>
      <c r="AA2926" s="182" t="n">
        <v>0</v>
      </c>
      <c r="AB2926" s="182" t="n">
        <v>0</v>
      </c>
      <c r="AC2926" s="182" t="n">
        <v>0</v>
      </c>
      <c r="AD2926" s="182" t="n">
        <v>0</v>
      </c>
      <c r="AE2926" s="182" t="n">
        <v>0</v>
      </c>
      <c r="AF2926" s="182" t="n">
        <v>0</v>
      </c>
      <c r="AG2926" s="182" t="n">
        <v>0</v>
      </c>
      <c r="AH2926" s="182" t="n">
        <v>0</v>
      </c>
      <c r="AI2926" s="182" t="n">
        <v>0</v>
      </c>
      <c r="AJ2926" s="182" t="n">
        <v>0</v>
      </c>
      <c r="AK2926" s="182" t="n">
        <v>3.27</v>
      </c>
      <c r="AL2926" s="182" t="n">
        <v>0</v>
      </c>
      <c r="AM2926" s="182" t="n">
        <v>0.08</v>
      </c>
      <c r="AN2926" s="182" t="n">
        <v>0</v>
      </c>
    </row>
    <row r="2927">
      <c r="A2927" s="155" t="n">
        <v>46095</v>
      </c>
      <c r="B2927" s="156" t="inlineStr">
        <is>
          <t>DS</t>
        </is>
      </c>
      <c r="C2927" s="156" t="inlineStr">
        <is>
          <t>DT-803</t>
        </is>
      </c>
      <c r="D2927" s="156" t="inlineStr">
        <is>
          <t>SKT 80S</t>
        </is>
      </c>
      <c r="E2927" s="156" t="inlineStr">
        <is>
          <t>Hauler</t>
        </is>
      </c>
      <c r="F2927" s="156" t="inlineStr"/>
      <c r="G2927" s="182" t="n">
        <v>0</v>
      </c>
      <c r="H2927" s="182" t="n">
        <v>0</v>
      </c>
      <c r="I2927" s="182" t="n">
        <v>0</v>
      </c>
      <c r="J2927" s="182" t="n">
        <v>0</v>
      </c>
      <c r="K2927" s="182" t="n">
        <v>12</v>
      </c>
      <c r="L2927" s="182" t="n">
        <v>12</v>
      </c>
      <c r="M2927" s="182" t="n">
        <v>0</v>
      </c>
      <c r="N2927" s="182" t="n">
        <v>0</v>
      </c>
      <c r="O2927" s="183" t="n">
        <v>0</v>
      </c>
      <c r="P2927" s="183" t="n">
        <v>0</v>
      </c>
      <c r="Q2927" s="184" t="n">
        <v>0</v>
      </c>
      <c r="R2927" s="184" t="n">
        <v>0</v>
      </c>
      <c r="S2927" s="183" t="n">
        <v>0</v>
      </c>
      <c r="T2927" s="183" t="n">
        <v>0</v>
      </c>
      <c r="U2927" s="182" t="n">
        <v>0</v>
      </c>
      <c r="V2927" s="182" t="n">
        <v>0</v>
      </c>
      <c r="W2927" s="182" t="n">
        <v>0</v>
      </c>
      <c r="X2927" s="182" t="n">
        <v>1</v>
      </c>
      <c r="Y2927" s="182" t="n">
        <v>0</v>
      </c>
      <c r="Z2927" s="182" t="n">
        <v>0</v>
      </c>
      <c r="AA2927" s="182" t="n">
        <v>0</v>
      </c>
      <c r="AB2927" s="182" t="n">
        <v>0</v>
      </c>
      <c r="AC2927" s="182" t="n">
        <v>0</v>
      </c>
      <c r="AD2927" s="182" t="n">
        <v>0</v>
      </c>
      <c r="AE2927" s="182" t="n">
        <v>0</v>
      </c>
      <c r="AF2927" s="182" t="n">
        <v>0</v>
      </c>
      <c r="AG2927" s="182" t="n">
        <v>0</v>
      </c>
      <c r="AH2927" s="182" t="n">
        <v>0</v>
      </c>
      <c r="AI2927" s="182" t="n">
        <v>0</v>
      </c>
      <c r="AJ2927" s="182" t="n">
        <v>0</v>
      </c>
      <c r="AK2927" s="182" t="n">
        <v>10.92</v>
      </c>
      <c r="AL2927" s="182" t="n">
        <v>0</v>
      </c>
      <c r="AM2927" s="182" t="n">
        <v>0.08</v>
      </c>
      <c r="AN2927" s="182" t="n">
        <v>0</v>
      </c>
    </row>
    <row r="2928">
      <c r="A2928" s="155" t="n">
        <v>46095</v>
      </c>
      <c r="B2928" s="156" t="inlineStr">
        <is>
          <t>DS</t>
        </is>
      </c>
      <c r="C2928" s="156" t="inlineStr">
        <is>
          <t>DT-810</t>
        </is>
      </c>
      <c r="D2928" s="156" t="inlineStr">
        <is>
          <t>SKT 80S</t>
        </is>
      </c>
      <c r="E2928" s="156" t="inlineStr">
        <is>
          <t>Hauler</t>
        </is>
      </c>
      <c r="F2928" s="156" t="inlineStr">
        <is>
          <t>Hauling Coal &amp; OB</t>
        </is>
      </c>
      <c r="G2928" s="182" t="n">
        <v>8.08</v>
      </c>
      <c r="H2928" s="182" t="n">
        <v>0</v>
      </c>
      <c r="I2928" s="182" t="n">
        <v>0</v>
      </c>
      <c r="J2928" s="182" t="n">
        <v>0</v>
      </c>
      <c r="K2928" s="182" t="n">
        <v>3.92</v>
      </c>
      <c r="L2928" s="182" t="n">
        <v>12</v>
      </c>
      <c r="M2928" s="182" t="n">
        <v>0.79</v>
      </c>
      <c r="N2928" s="182" t="n">
        <v>7.29</v>
      </c>
      <c r="O2928" s="183" t="n">
        <v>3</v>
      </c>
      <c r="P2928" s="183" t="n">
        <v>18</v>
      </c>
      <c r="Q2928" s="184" t="n">
        <v>40.8</v>
      </c>
      <c r="R2928" s="184" t="n">
        <v>275.4</v>
      </c>
      <c r="S2928" s="183" t="n">
        <v>0</v>
      </c>
      <c r="T2928" s="183" t="n">
        <v>0</v>
      </c>
      <c r="U2928" s="182" t="n">
        <v>0</v>
      </c>
      <c r="V2928" s="182" t="n">
        <v>0</v>
      </c>
      <c r="W2928" s="182" t="n">
        <v>0</v>
      </c>
      <c r="X2928" s="182" t="n">
        <v>1.12</v>
      </c>
      <c r="Y2928" s="182" t="n">
        <v>0</v>
      </c>
      <c r="Z2928" s="182" t="n">
        <v>0</v>
      </c>
      <c r="AA2928" s="182" t="n">
        <v>0</v>
      </c>
      <c r="AB2928" s="182" t="n">
        <v>0</v>
      </c>
      <c r="AC2928" s="182" t="n">
        <v>0</v>
      </c>
      <c r="AD2928" s="182" t="n">
        <v>0</v>
      </c>
      <c r="AE2928" s="182" t="n">
        <v>0</v>
      </c>
      <c r="AF2928" s="182" t="n">
        <v>0</v>
      </c>
      <c r="AG2928" s="182" t="n">
        <v>0</v>
      </c>
      <c r="AH2928" s="182" t="n">
        <v>0</v>
      </c>
      <c r="AI2928" s="182" t="n">
        <v>0</v>
      </c>
      <c r="AJ2928" s="182" t="n">
        <v>0</v>
      </c>
      <c r="AK2928" s="182" t="n">
        <v>2.71</v>
      </c>
      <c r="AL2928" s="182" t="n">
        <v>0</v>
      </c>
      <c r="AM2928" s="182" t="n">
        <v>0.09</v>
      </c>
      <c r="AN2928" s="182" t="n">
        <v>0</v>
      </c>
    </row>
    <row r="2929">
      <c r="A2929" s="155" t="n">
        <v>46095</v>
      </c>
      <c r="B2929" s="156" t="inlineStr">
        <is>
          <t>DS</t>
        </is>
      </c>
      <c r="C2929" s="156" t="inlineStr">
        <is>
          <t>DT-804</t>
        </is>
      </c>
      <c r="D2929" s="156" t="inlineStr">
        <is>
          <t>SKT 80S</t>
        </is>
      </c>
      <c r="E2929" s="156" t="inlineStr">
        <is>
          <t>Hauler</t>
        </is>
      </c>
      <c r="F2929" s="156" t="inlineStr">
        <is>
          <t>Hauling Lumpur dari Washing Plant</t>
        </is>
      </c>
      <c r="G2929" s="182" t="n">
        <v>3.55</v>
      </c>
      <c r="H2929" s="182" t="n">
        <v>0</v>
      </c>
      <c r="I2929" s="182" t="n">
        <v>0</v>
      </c>
      <c r="J2929" s="182" t="n">
        <v>0</v>
      </c>
      <c r="K2929" s="182" t="n">
        <v>8.449999999999999</v>
      </c>
      <c r="L2929" s="182" t="n">
        <v>12</v>
      </c>
      <c r="M2929" s="182" t="n">
        <v>0</v>
      </c>
      <c r="N2929" s="182" t="n">
        <v>0</v>
      </c>
      <c r="O2929" s="183" t="n">
        <v>0</v>
      </c>
      <c r="P2929" s="183" t="n">
        <v>0</v>
      </c>
      <c r="Q2929" s="184" t="n">
        <v>0</v>
      </c>
      <c r="R2929" s="184" t="n">
        <v>0</v>
      </c>
      <c r="S2929" s="183" t="n">
        <v>0</v>
      </c>
      <c r="T2929" s="183" t="n">
        <v>0</v>
      </c>
      <c r="U2929" s="182" t="n">
        <v>0</v>
      </c>
      <c r="V2929" s="182" t="n">
        <v>0</v>
      </c>
      <c r="W2929" s="182" t="n">
        <v>0</v>
      </c>
      <c r="X2929" s="182" t="n">
        <v>0.97</v>
      </c>
      <c r="Y2929" s="182" t="n">
        <v>0</v>
      </c>
      <c r="Z2929" s="182" t="n">
        <v>0</v>
      </c>
      <c r="AA2929" s="182" t="n">
        <v>0</v>
      </c>
      <c r="AB2929" s="182" t="n">
        <v>0</v>
      </c>
      <c r="AC2929" s="182" t="n">
        <v>0</v>
      </c>
      <c r="AD2929" s="182" t="n">
        <v>0</v>
      </c>
      <c r="AE2929" s="182" t="n">
        <v>0</v>
      </c>
      <c r="AF2929" s="182" t="n">
        <v>0</v>
      </c>
      <c r="AG2929" s="182" t="n">
        <v>0</v>
      </c>
      <c r="AH2929" s="182" t="n">
        <v>0</v>
      </c>
      <c r="AI2929" s="182" t="n">
        <v>0</v>
      </c>
      <c r="AJ2929" s="182" t="n">
        <v>0</v>
      </c>
      <c r="AK2929" s="182" t="n">
        <v>7.4</v>
      </c>
      <c r="AL2929" s="182" t="n">
        <v>0</v>
      </c>
      <c r="AM2929" s="182" t="n">
        <v>0.08</v>
      </c>
      <c r="AN2929" s="182" t="n">
        <v>0</v>
      </c>
    </row>
    <row r="2930">
      <c r="A2930" s="155" t="n">
        <v>46095</v>
      </c>
      <c r="B2930" s="156" t="inlineStr">
        <is>
          <t>DS</t>
        </is>
      </c>
      <c r="C2930" s="156" t="inlineStr">
        <is>
          <t>DT-505</t>
        </is>
      </c>
      <c r="D2930" s="156" t="inlineStr">
        <is>
          <t>SKT 105S</t>
        </is>
      </c>
      <c r="E2930" s="156" t="inlineStr">
        <is>
          <t>Hauler</t>
        </is>
      </c>
      <c r="F2930" s="156" t="inlineStr">
        <is>
          <t>Hauling OB</t>
        </is>
      </c>
      <c r="G2930" s="182" t="n">
        <v>7.17</v>
      </c>
      <c r="H2930" s="182" t="n">
        <v>0</v>
      </c>
      <c r="I2930" s="182" t="n">
        <v>0</v>
      </c>
      <c r="J2930" s="182" t="n">
        <v>0</v>
      </c>
      <c r="K2930" s="182" t="n">
        <v>4.83</v>
      </c>
      <c r="L2930" s="182" t="n">
        <v>12</v>
      </c>
      <c r="M2930" s="182" t="n">
        <v>7.17</v>
      </c>
      <c r="N2930" s="182" t="n">
        <v>0</v>
      </c>
      <c r="O2930" s="183" t="n">
        <v>27</v>
      </c>
      <c r="P2930" s="183" t="n">
        <v>0</v>
      </c>
      <c r="Q2930" s="184" t="n">
        <v>550.8</v>
      </c>
      <c r="R2930" s="184" t="n">
        <v>0</v>
      </c>
      <c r="S2930" s="183" t="n">
        <v>0</v>
      </c>
      <c r="T2930" s="183" t="n">
        <v>0</v>
      </c>
      <c r="U2930" s="182" t="n">
        <v>0</v>
      </c>
      <c r="V2930" s="182" t="n">
        <v>0</v>
      </c>
      <c r="W2930" s="182" t="n">
        <v>0</v>
      </c>
      <c r="X2930" s="182" t="n">
        <v>0.99</v>
      </c>
      <c r="Y2930" s="182" t="n">
        <v>0</v>
      </c>
      <c r="Z2930" s="182" t="n">
        <v>0.1</v>
      </c>
      <c r="AA2930" s="182" t="n">
        <v>0</v>
      </c>
      <c r="AB2930" s="182" t="n">
        <v>0</v>
      </c>
      <c r="AC2930" s="182" t="n">
        <v>0</v>
      </c>
      <c r="AD2930" s="182" t="n">
        <v>3.47</v>
      </c>
      <c r="AE2930" s="182" t="n">
        <v>0</v>
      </c>
      <c r="AF2930" s="182" t="n">
        <v>0</v>
      </c>
      <c r="AG2930" s="182" t="n">
        <v>0</v>
      </c>
      <c r="AH2930" s="182" t="n">
        <v>0.2</v>
      </c>
      <c r="AI2930" s="182" t="n">
        <v>0</v>
      </c>
      <c r="AJ2930" s="182" t="n">
        <v>0</v>
      </c>
      <c r="AK2930" s="182" t="n">
        <v>0</v>
      </c>
      <c r="AL2930" s="182" t="n">
        <v>0</v>
      </c>
      <c r="AM2930" s="182" t="n">
        <v>0.08</v>
      </c>
      <c r="AN2930" s="182" t="n">
        <v>0</v>
      </c>
    </row>
    <row r="2931">
      <c r="A2931" s="155" t="n">
        <v>46095</v>
      </c>
      <c r="B2931" s="156" t="inlineStr">
        <is>
          <t>DS</t>
        </is>
      </c>
      <c r="C2931" s="156" t="inlineStr">
        <is>
          <t>DT-530</t>
        </is>
      </c>
      <c r="D2931" s="156" t="inlineStr">
        <is>
          <t>SKT 105S</t>
        </is>
      </c>
      <c r="E2931" s="156" t="inlineStr">
        <is>
          <t>Hauler</t>
        </is>
      </c>
      <c r="F2931" s="156" t="inlineStr"/>
      <c r="G2931" s="182" t="n">
        <v>0</v>
      </c>
      <c r="H2931" s="182" t="n">
        <v>0</v>
      </c>
      <c r="I2931" s="182" t="n">
        <v>12</v>
      </c>
      <c r="J2931" s="182" t="n">
        <v>12</v>
      </c>
      <c r="K2931" s="182" t="n">
        <v>0</v>
      </c>
      <c r="L2931" s="182" t="n">
        <v>12</v>
      </c>
      <c r="M2931" s="182" t="n">
        <v>0</v>
      </c>
      <c r="N2931" s="182" t="n">
        <v>0</v>
      </c>
      <c r="O2931" s="183" t="n">
        <v>0</v>
      </c>
      <c r="P2931" s="183" t="n">
        <v>0</v>
      </c>
      <c r="Q2931" s="184" t="n">
        <v>0</v>
      </c>
      <c r="R2931" s="184" t="n">
        <v>0</v>
      </c>
      <c r="S2931" s="183" t="n">
        <v>0</v>
      </c>
      <c r="T2931" s="183" t="n">
        <v>0</v>
      </c>
      <c r="U2931" s="182" t="n">
        <v>0</v>
      </c>
      <c r="V2931" s="182" t="n">
        <v>0</v>
      </c>
      <c r="W2931" s="182" t="n">
        <v>0</v>
      </c>
      <c r="X2931" s="182" t="n">
        <v>0</v>
      </c>
      <c r="Y2931" s="182" t="n">
        <v>0</v>
      </c>
      <c r="Z2931" s="182" t="n">
        <v>0</v>
      </c>
      <c r="AA2931" s="182" t="n">
        <v>0</v>
      </c>
      <c r="AB2931" s="182" t="n">
        <v>0</v>
      </c>
      <c r="AC2931" s="182" t="n">
        <v>0</v>
      </c>
      <c r="AD2931" s="182" t="n">
        <v>0</v>
      </c>
      <c r="AE2931" s="182" t="n">
        <v>0</v>
      </c>
      <c r="AF2931" s="182" t="n">
        <v>0</v>
      </c>
      <c r="AG2931" s="182" t="n">
        <v>0</v>
      </c>
      <c r="AH2931" s="182" t="n">
        <v>0</v>
      </c>
      <c r="AI2931" s="182" t="n">
        <v>0</v>
      </c>
      <c r="AJ2931" s="182" t="n">
        <v>0</v>
      </c>
      <c r="AK2931" s="182" t="n">
        <v>0</v>
      </c>
      <c r="AL2931" s="182" t="n">
        <v>0</v>
      </c>
      <c r="AM2931" s="182" t="n">
        <v>0</v>
      </c>
      <c r="AN2931" s="182" t="n">
        <v>0</v>
      </c>
    </row>
    <row r="2932">
      <c r="A2932" s="155" t="n">
        <v>46095</v>
      </c>
      <c r="B2932" s="156" t="inlineStr">
        <is>
          <t>DS</t>
        </is>
      </c>
      <c r="C2932" s="156" t="inlineStr">
        <is>
          <t>DT-525</t>
        </is>
      </c>
      <c r="D2932" s="156" t="inlineStr">
        <is>
          <t>SKT 105S</t>
        </is>
      </c>
      <c r="E2932" s="156" t="inlineStr">
        <is>
          <t>Hauler</t>
        </is>
      </c>
      <c r="F2932" s="156" t="inlineStr"/>
      <c r="G2932" s="182" t="n">
        <v>0</v>
      </c>
      <c r="H2932" s="182" t="n">
        <v>0</v>
      </c>
      <c r="I2932" s="182" t="n">
        <v>12</v>
      </c>
      <c r="J2932" s="182" t="n">
        <v>12</v>
      </c>
      <c r="K2932" s="182" t="n">
        <v>0</v>
      </c>
      <c r="L2932" s="182" t="n">
        <v>12</v>
      </c>
      <c r="M2932" s="182" t="n">
        <v>0</v>
      </c>
      <c r="N2932" s="182" t="n">
        <v>0</v>
      </c>
      <c r="O2932" s="183" t="n">
        <v>0</v>
      </c>
      <c r="P2932" s="183" t="n">
        <v>0</v>
      </c>
      <c r="Q2932" s="184" t="n">
        <v>0</v>
      </c>
      <c r="R2932" s="184" t="n">
        <v>0</v>
      </c>
      <c r="S2932" s="183" t="n">
        <v>0</v>
      </c>
      <c r="T2932" s="183" t="n">
        <v>0</v>
      </c>
      <c r="U2932" s="182" t="n">
        <v>0</v>
      </c>
      <c r="V2932" s="182" t="n">
        <v>0</v>
      </c>
      <c r="W2932" s="182" t="n">
        <v>0</v>
      </c>
      <c r="X2932" s="182" t="n">
        <v>0</v>
      </c>
      <c r="Y2932" s="182" t="n">
        <v>0</v>
      </c>
      <c r="Z2932" s="182" t="n">
        <v>0</v>
      </c>
      <c r="AA2932" s="182" t="n">
        <v>0</v>
      </c>
      <c r="AB2932" s="182" t="n">
        <v>0</v>
      </c>
      <c r="AC2932" s="182" t="n">
        <v>0</v>
      </c>
      <c r="AD2932" s="182" t="n">
        <v>0</v>
      </c>
      <c r="AE2932" s="182" t="n">
        <v>0</v>
      </c>
      <c r="AF2932" s="182" t="n">
        <v>0</v>
      </c>
      <c r="AG2932" s="182" t="n">
        <v>0</v>
      </c>
      <c r="AH2932" s="182" t="n">
        <v>0</v>
      </c>
      <c r="AI2932" s="182" t="n">
        <v>0</v>
      </c>
      <c r="AJ2932" s="182" t="n">
        <v>0</v>
      </c>
      <c r="AK2932" s="182" t="n">
        <v>0</v>
      </c>
      <c r="AL2932" s="182" t="n">
        <v>0</v>
      </c>
      <c r="AM2932" s="182" t="n">
        <v>0</v>
      </c>
      <c r="AN2932" s="182" t="n">
        <v>0</v>
      </c>
    </row>
    <row r="2933">
      <c r="A2933" s="155" t="n">
        <v>46095</v>
      </c>
      <c r="B2933" s="156" t="inlineStr">
        <is>
          <t>DS</t>
        </is>
      </c>
      <c r="C2933" s="156" t="inlineStr">
        <is>
          <t>DT-503</t>
        </is>
      </c>
      <c r="D2933" s="156" t="inlineStr">
        <is>
          <t>SKT 105S</t>
        </is>
      </c>
      <c r="E2933" s="156" t="inlineStr">
        <is>
          <t>Hauler</t>
        </is>
      </c>
      <c r="F2933" s="156" t="inlineStr">
        <is>
          <t>Hauling OB</t>
        </is>
      </c>
      <c r="G2933" s="182" t="n">
        <v>6.58</v>
      </c>
      <c r="H2933" s="182" t="n">
        <v>0</v>
      </c>
      <c r="I2933" s="182" t="n">
        <v>0.5</v>
      </c>
      <c r="J2933" s="182" t="n">
        <v>0.5</v>
      </c>
      <c r="K2933" s="182" t="n">
        <v>4.92</v>
      </c>
      <c r="L2933" s="182" t="n">
        <v>12</v>
      </c>
      <c r="M2933" s="182" t="n">
        <v>6.58</v>
      </c>
      <c r="N2933" s="182" t="n">
        <v>0</v>
      </c>
      <c r="O2933" s="183" t="n">
        <v>24</v>
      </c>
      <c r="P2933" s="183" t="n">
        <v>0</v>
      </c>
      <c r="Q2933" s="184" t="n">
        <v>489.6</v>
      </c>
      <c r="R2933" s="184" t="n">
        <v>0</v>
      </c>
      <c r="S2933" s="183" t="n">
        <v>0</v>
      </c>
      <c r="T2933" s="183" t="n">
        <v>0</v>
      </c>
      <c r="U2933" s="182" t="n">
        <v>0</v>
      </c>
      <c r="V2933" s="182" t="n">
        <v>0</v>
      </c>
      <c r="W2933" s="182" t="n">
        <v>0</v>
      </c>
      <c r="X2933" s="182" t="n">
        <v>1.07</v>
      </c>
      <c r="Y2933" s="182" t="n">
        <v>0</v>
      </c>
      <c r="Z2933" s="182" t="n">
        <v>0.11</v>
      </c>
      <c r="AA2933" s="182" t="n">
        <v>0</v>
      </c>
      <c r="AB2933" s="182" t="n">
        <v>0</v>
      </c>
      <c r="AC2933" s="182" t="n">
        <v>0</v>
      </c>
      <c r="AD2933" s="182" t="n">
        <v>3.39</v>
      </c>
      <c r="AE2933" s="182" t="n">
        <v>0</v>
      </c>
      <c r="AF2933" s="182" t="n">
        <v>0</v>
      </c>
      <c r="AG2933" s="182" t="n">
        <v>0</v>
      </c>
      <c r="AH2933" s="182" t="n">
        <v>0.27</v>
      </c>
      <c r="AI2933" s="182" t="n">
        <v>0</v>
      </c>
      <c r="AJ2933" s="182" t="n">
        <v>0</v>
      </c>
      <c r="AK2933" s="182" t="n">
        <v>0</v>
      </c>
      <c r="AL2933" s="182" t="n">
        <v>0</v>
      </c>
      <c r="AM2933" s="182" t="n">
        <v>0.09</v>
      </c>
      <c r="AN2933" s="182" t="n">
        <v>0</v>
      </c>
    </row>
    <row r="2934">
      <c r="A2934" s="155" t="n">
        <v>46095</v>
      </c>
      <c r="B2934" s="156" t="inlineStr">
        <is>
          <t>DS</t>
        </is>
      </c>
      <c r="C2934" s="156" t="inlineStr">
        <is>
          <t>DT-504</t>
        </is>
      </c>
      <c r="D2934" s="156" t="inlineStr">
        <is>
          <t>SKT 105S</t>
        </is>
      </c>
      <c r="E2934" s="156" t="inlineStr">
        <is>
          <t>Hauler</t>
        </is>
      </c>
      <c r="F2934" s="156" t="inlineStr">
        <is>
          <t>Hauling OB</t>
        </is>
      </c>
      <c r="G2934" s="182" t="n">
        <v>6.51</v>
      </c>
      <c r="H2934" s="182" t="n">
        <v>0</v>
      </c>
      <c r="I2934" s="182" t="n">
        <v>0.75</v>
      </c>
      <c r="J2934" s="182" t="n">
        <v>0.75</v>
      </c>
      <c r="K2934" s="182" t="n">
        <v>4.74</v>
      </c>
      <c r="L2934" s="182" t="n">
        <v>12</v>
      </c>
      <c r="M2934" s="182" t="n">
        <v>6.51</v>
      </c>
      <c r="N2934" s="182" t="n">
        <v>0</v>
      </c>
      <c r="O2934" s="183" t="n">
        <v>23</v>
      </c>
      <c r="P2934" s="183" t="n">
        <v>0</v>
      </c>
      <c r="Q2934" s="184" t="n">
        <v>469.2</v>
      </c>
      <c r="R2934" s="184" t="n">
        <v>0</v>
      </c>
      <c r="S2934" s="183" t="n">
        <v>0</v>
      </c>
      <c r="T2934" s="183" t="n">
        <v>0</v>
      </c>
      <c r="U2934" s="182" t="n">
        <v>0</v>
      </c>
      <c r="V2934" s="182" t="n">
        <v>0</v>
      </c>
      <c r="W2934" s="182" t="n">
        <v>0</v>
      </c>
      <c r="X2934" s="182" t="n">
        <v>1.02</v>
      </c>
      <c r="Y2934" s="182" t="n">
        <v>0</v>
      </c>
      <c r="Z2934" s="182" t="n">
        <v>0.1</v>
      </c>
      <c r="AA2934" s="182" t="n">
        <v>0</v>
      </c>
      <c r="AB2934" s="182" t="n">
        <v>0</v>
      </c>
      <c r="AC2934" s="182" t="n">
        <v>0</v>
      </c>
      <c r="AD2934" s="182" t="n">
        <v>3.33</v>
      </c>
      <c r="AE2934" s="182" t="n">
        <v>0</v>
      </c>
      <c r="AF2934" s="182" t="n">
        <v>0</v>
      </c>
      <c r="AG2934" s="182" t="n">
        <v>0</v>
      </c>
      <c r="AH2934" s="182" t="n">
        <v>0.2</v>
      </c>
      <c r="AI2934" s="182" t="n">
        <v>0</v>
      </c>
      <c r="AJ2934" s="182" t="n">
        <v>0</v>
      </c>
      <c r="AK2934" s="182" t="n">
        <v>0</v>
      </c>
      <c r="AL2934" s="182" t="n">
        <v>0</v>
      </c>
      <c r="AM2934" s="182" t="n">
        <v>0.08</v>
      </c>
      <c r="AN2934" s="182" t="n">
        <v>0</v>
      </c>
    </row>
    <row r="2935">
      <c r="A2935" s="155" t="n">
        <v>46095</v>
      </c>
      <c r="B2935" s="156" t="inlineStr">
        <is>
          <t>DS</t>
        </is>
      </c>
      <c r="C2935" s="156" t="inlineStr">
        <is>
          <t>DT-507</t>
        </is>
      </c>
      <c r="D2935" s="156" t="inlineStr">
        <is>
          <t>SKT 105S</t>
        </is>
      </c>
      <c r="E2935" s="156" t="inlineStr">
        <is>
          <t>Hauler</t>
        </is>
      </c>
      <c r="F2935" s="156" t="inlineStr"/>
      <c r="G2935" s="182" t="n">
        <v>0</v>
      </c>
      <c r="H2935" s="182" t="n">
        <v>0</v>
      </c>
      <c r="I2935" s="182" t="n">
        <v>12</v>
      </c>
      <c r="J2935" s="182" t="n">
        <v>12</v>
      </c>
      <c r="K2935" s="182" t="n">
        <v>0</v>
      </c>
      <c r="L2935" s="182" t="n">
        <v>12</v>
      </c>
      <c r="M2935" s="182" t="n">
        <v>0</v>
      </c>
      <c r="N2935" s="182" t="n">
        <v>0</v>
      </c>
      <c r="O2935" s="183" t="n">
        <v>0</v>
      </c>
      <c r="P2935" s="183" t="n">
        <v>0</v>
      </c>
      <c r="Q2935" s="184" t="n">
        <v>0</v>
      </c>
      <c r="R2935" s="184" t="n">
        <v>0</v>
      </c>
      <c r="S2935" s="183" t="n">
        <v>0</v>
      </c>
      <c r="T2935" s="183" t="n">
        <v>0</v>
      </c>
      <c r="U2935" s="182" t="n">
        <v>0</v>
      </c>
      <c r="V2935" s="182" t="n">
        <v>0</v>
      </c>
      <c r="W2935" s="182" t="n">
        <v>0</v>
      </c>
      <c r="X2935" s="182" t="n">
        <v>0</v>
      </c>
      <c r="Y2935" s="182" t="n">
        <v>0</v>
      </c>
      <c r="Z2935" s="182" t="n">
        <v>0</v>
      </c>
      <c r="AA2935" s="182" t="n">
        <v>0</v>
      </c>
      <c r="AB2935" s="182" t="n">
        <v>0</v>
      </c>
      <c r="AC2935" s="182" t="n">
        <v>0</v>
      </c>
      <c r="AD2935" s="182" t="n">
        <v>0</v>
      </c>
      <c r="AE2935" s="182" t="n">
        <v>0</v>
      </c>
      <c r="AF2935" s="182" t="n">
        <v>0</v>
      </c>
      <c r="AG2935" s="182" t="n">
        <v>0</v>
      </c>
      <c r="AH2935" s="182" t="n">
        <v>0</v>
      </c>
      <c r="AI2935" s="182" t="n">
        <v>0</v>
      </c>
      <c r="AJ2935" s="182" t="n">
        <v>0</v>
      </c>
      <c r="AK2935" s="182" t="n">
        <v>0</v>
      </c>
      <c r="AL2935" s="182" t="n">
        <v>0</v>
      </c>
      <c r="AM2935" s="182" t="n">
        <v>0</v>
      </c>
      <c r="AN2935" s="182" t="n">
        <v>0</v>
      </c>
    </row>
    <row r="2936">
      <c r="A2936" s="155" t="n">
        <v>46095</v>
      </c>
      <c r="B2936" s="156" t="inlineStr">
        <is>
          <t>DS</t>
        </is>
      </c>
      <c r="C2936" s="156" t="inlineStr">
        <is>
          <t>DT-501</t>
        </is>
      </c>
      <c r="D2936" s="156" t="inlineStr">
        <is>
          <t>SKT 105S</t>
        </is>
      </c>
      <c r="E2936" s="156" t="inlineStr">
        <is>
          <t>Hauler</t>
        </is>
      </c>
      <c r="F2936" s="156" t="inlineStr">
        <is>
          <t>Hauling OB</t>
        </is>
      </c>
      <c r="G2936" s="182" t="n">
        <v>5.58</v>
      </c>
      <c r="H2936" s="182" t="n">
        <v>0</v>
      </c>
      <c r="I2936" s="182" t="n">
        <v>0</v>
      </c>
      <c r="J2936" s="182" t="n">
        <v>0</v>
      </c>
      <c r="K2936" s="182" t="n">
        <v>6.42</v>
      </c>
      <c r="L2936" s="182" t="n">
        <v>12</v>
      </c>
      <c r="M2936" s="182" t="n">
        <v>5.58</v>
      </c>
      <c r="N2936" s="182" t="n">
        <v>0</v>
      </c>
      <c r="O2936" s="183" t="n">
        <v>21</v>
      </c>
      <c r="P2936" s="183" t="n">
        <v>0</v>
      </c>
      <c r="Q2936" s="184" t="n">
        <v>428.4</v>
      </c>
      <c r="R2936" s="184" t="n">
        <v>0</v>
      </c>
      <c r="S2936" s="183" t="n">
        <v>0</v>
      </c>
      <c r="T2936" s="183" t="n">
        <v>0</v>
      </c>
      <c r="U2936" s="182" t="n">
        <v>0</v>
      </c>
      <c r="V2936" s="182" t="n">
        <v>0</v>
      </c>
      <c r="W2936" s="182" t="n">
        <v>0</v>
      </c>
      <c r="X2936" s="182" t="n">
        <v>1.07</v>
      </c>
      <c r="Y2936" s="182" t="n">
        <v>0</v>
      </c>
      <c r="Z2936" s="182" t="n">
        <v>0.11</v>
      </c>
      <c r="AA2936" s="182" t="n">
        <v>0</v>
      </c>
      <c r="AB2936" s="182" t="n">
        <v>0</v>
      </c>
      <c r="AC2936" s="182" t="n">
        <v>0</v>
      </c>
      <c r="AD2936" s="182" t="n">
        <v>4.94</v>
      </c>
      <c r="AE2936" s="182" t="n">
        <v>0</v>
      </c>
      <c r="AF2936" s="182" t="n">
        <v>0</v>
      </c>
      <c r="AG2936" s="182" t="n">
        <v>0</v>
      </c>
      <c r="AH2936" s="182" t="n">
        <v>0.21</v>
      </c>
      <c r="AI2936" s="182" t="n">
        <v>0</v>
      </c>
      <c r="AJ2936" s="182" t="n">
        <v>0</v>
      </c>
      <c r="AK2936" s="182" t="n">
        <v>0</v>
      </c>
      <c r="AL2936" s="182" t="n">
        <v>0</v>
      </c>
      <c r="AM2936" s="182" t="n">
        <v>0.09</v>
      </c>
      <c r="AN2936" s="182" t="n">
        <v>0</v>
      </c>
    </row>
    <row r="2937">
      <c r="A2937" s="155" t="n">
        <v>46095</v>
      </c>
      <c r="B2937" s="156" t="inlineStr">
        <is>
          <t>DS</t>
        </is>
      </c>
      <c r="C2937" s="156" t="inlineStr">
        <is>
          <t>DT-518</t>
        </is>
      </c>
      <c r="D2937" s="156" t="inlineStr">
        <is>
          <t>SKT 105S</t>
        </is>
      </c>
      <c r="E2937" s="156" t="inlineStr">
        <is>
          <t>Hauler</t>
        </is>
      </c>
      <c r="F2937" s="156" t="inlineStr">
        <is>
          <t>Hauling OB</t>
        </is>
      </c>
      <c r="G2937" s="182" t="n">
        <v>5.26</v>
      </c>
      <c r="H2937" s="182" t="n">
        <v>0</v>
      </c>
      <c r="I2937" s="182" t="n">
        <v>0</v>
      </c>
      <c r="J2937" s="182" t="n">
        <v>0</v>
      </c>
      <c r="K2937" s="182" t="n">
        <v>6.74</v>
      </c>
      <c r="L2937" s="182" t="n">
        <v>12</v>
      </c>
      <c r="M2937" s="182" t="n">
        <v>5.26</v>
      </c>
      <c r="N2937" s="182" t="n">
        <v>0</v>
      </c>
      <c r="O2937" s="183" t="n">
        <v>18</v>
      </c>
      <c r="P2937" s="183" t="n">
        <v>0</v>
      </c>
      <c r="Q2937" s="184" t="n">
        <v>367.2</v>
      </c>
      <c r="R2937" s="184" t="n">
        <v>0</v>
      </c>
      <c r="S2937" s="183" t="n">
        <v>0</v>
      </c>
      <c r="T2937" s="183" t="n">
        <v>0</v>
      </c>
      <c r="U2937" s="182" t="n">
        <v>0</v>
      </c>
      <c r="V2937" s="182" t="n">
        <v>0</v>
      </c>
      <c r="W2937" s="182" t="n">
        <v>0</v>
      </c>
      <c r="X2937" s="182" t="n">
        <v>0.95</v>
      </c>
      <c r="Y2937" s="182" t="n">
        <v>0</v>
      </c>
      <c r="Z2937" s="182" t="n">
        <v>0.09</v>
      </c>
      <c r="AA2937" s="182" t="n">
        <v>0</v>
      </c>
      <c r="AB2937" s="182" t="n">
        <v>0</v>
      </c>
      <c r="AC2937" s="182" t="n">
        <v>0</v>
      </c>
      <c r="AD2937" s="182" t="n">
        <v>0</v>
      </c>
      <c r="AE2937" s="182" t="n">
        <v>0</v>
      </c>
      <c r="AF2937" s="182" t="n">
        <v>0</v>
      </c>
      <c r="AG2937" s="182" t="n">
        <v>0</v>
      </c>
      <c r="AH2937" s="182" t="n">
        <v>0.24</v>
      </c>
      <c r="AI2937" s="182" t="n">
        <v>0</v>
      </c>
      <c r="AJ2937" s="182" t="n">
        <v>0</v>
      </c>
      <c r="AK2937" s="182" t="n">
        <v>5.38</v>
      </c>
      <c r="AL2937" s="182" t="n">
        <v>0</v>
      </c>
      <c r="AM2937" s="182" t="n">
        <v>0.08</v>
      </c>
      <c r="AN2937" s="182" t="n">
        <v>0</v>
      </c>
    </row>
    <row r="2938">
      <c r="A2938" s="155" t="n">
        <v>46095</v>
      </c>
      <c r="B2938" s="156" t="inlineStr">
        <is>
          <t>DS</t>
        </is>
      </c>
      <c r="C2938" s="156" t="inlineStr">
        <is>
          <t>DT-514</t>
        </is>
      </c>
      <c r="D2938" s="156" t="inlineStr">
        <is>
          <t>SKT 105S</t>
        </is>
      </c>
      <c r="E2938" s="156" t="inlineStr">
        <is>
          <t>Hauler</t>
        </is>
      </c>
      <c r="F2938" s="156" t="inlineStr"/>
      <c r="G2938" s="182" t="n">
        <v>0</v>
      </c>
      <c r="H2938" s="182" t="n">
        <v>0</v>
      </c>
      <c r="I2938" s="182" t="n">
        <v>12</v>
      </c>
      <c r="J2938" s="182" t="n">
        <v>12</v>
      </c>
      <c r="K2938" s="182" t="n">
        <v>0</v>
      </c>
      <c r="L2938" s="182" t="n">
        <v>12</v>
      </c>
      <c r="M2938" s="182" t="n">
        <v>0</v>
      </c>
      <c r="N2938" s="182" t="n">
        <v>0</v>
      </c>
      <c r="O2938" s="183" t="n">
        <v>0</v>
      </c>
      <c r="P2938" s="183" t="n">
        <v>0</v>
      </c>
      <c r="Q2938" s="184" t="n">
        <v>0</v>
      </c>
      <c r="R2938" s="184" t="n">
        <v>0</v>
      </c>
      <c r="S2938" s="183" t="n">
        <v>0</v>
      </c>
      <c r="T2938" s="183" t="n">
        <v>0</v>
      </c>
      <c r="U2938" s="182" t="n">
        <v>0</v>
      </c>
      <c r="V2938" s="182" t="n">
        <v>0</v>
      </c>
      <c r="W2938" s="182" t="n">
        <v>0</v>
      </c>
      <c r="X2938" s="182" t="n">
        <v>0</v>
      </c>
      <c r="Y2938" s="182" t="n">
        <v>0</v>
      </c>
      <c r="Z2938" s="182" t="n">
        <v>0</v>
      </c>
      <c r="AA2938" s="182" t="n">
        <v>0</v>
      </c>
      <c r="AB2938" s="182" t="n">
        <v>0</v>
      </c>
      <c r="AC2938" s="182" t="n">
        <v>0</v>
      </c>
      <c r="AD2938" s="182" t="n">
        <v>0</v>
      </c>
      <c r="AE2938" s="182" t="n">
        <v>0</v>
      </c>
      <c r="AF2938" s="182" t="n">
        <v>0</v>
      </c>
      <c r="AG2938" s="182" t="n">
        <v>0</v>
      </c>
      <c r="AH2938" s="182" t="n">
        <v>0</v>
      </c>
      <c r="AI2938" s="182" t="n">
        <v>0</v>
      </c>
      <c r="AJ2938" s="182" t="n">
        <v>0</v>
      </c>
      <c r="AK2938" s="182" t="n">
        <v>0</v>
      </c>
      <c r="AL2938" s="182" t="n">
        <v>0</v>
      </c>
      <c r="AM2938" s="182" t="n">
        <v>0</v>
      </c>
      <c r="AN2938" s="182" t="n">
        <v>0</v>
      </c>
    </row>
    <row r="2939">
      <c r="A2939" s="155" t="n">
        <v>46095</v>
      </c>
      <c r="B2939" s="156" t="inlineStr">
        <is>
          <t>DS</t>
        </is>
      </c>
      <c r="C2939" s="156" t="inlineStr">
        <is>
          <t>DT-523</t>
        </is>
      </c>
      <c r="D2939" s="156" t="inlineStr">
        <is>
          <t>SKT 105S</t>
        </is>
      </c>
      <c r="E2939" s="156" t="inlineStr">
        <is>
          <t>Hauler</t>
        </is>
      </c>
      <c r="F2939" s="156" t="inlineStr"/>
      <c r="G2939" s="182" t="n">
        <v>0</v>
      </c>
      <c r="H2939" s="182" t="n">
        <v>0</v>
      </c>
      <c r="I2939" s="182" t="n">
        <v>9.42</v>
      </c>
      <c r="J2939" s="182" t="n">
        <v>9.42</v>
      </c>
      <c r="K2939" s="182" t="n">
        <v>2.58</v>
      </c>
      <c r="L2939" s="182" t="n">
        <v>12</v>
      </c>
      <c r="M2939" s="182" t="n">
        <v>0</v>
      </c>
      <c r="N2939" s="182" t="n">
        <v>0</v>
      </c>
      <c r="O2939" s="183" t="n">
        <v>0</v>
      </c>
      <c r="P2939" s="183" t="n">
        <v>0</v>
      </c>
      <c r="Q2939" s="184" t="n">
        <v>0</v>
      </c>
      <c r="R2939" s="184" t="n">
        <v>0</v>
      </c>
      <c r="S2939" s="183" t="n">
        <v>0</v>
      </c>
      <c r="T2939" s="183" t="n">
        <v>0</v>
      </c>
      <c r="U2939" s="182" t="n">
        <v>0</v>
      </c>
      <c r="V2939" s="182" t="n">
        <v>0</v>
      </c>
      <c r="W2939" s="182" t="n">
        <v>0</v>
      </c>
      <c r="X2939" s="182" t="n">
        <v>1</v>
      </c>
      <c r="Y2939" s="182" t="n">
        <v>0</v>
      </c>
      <c r="Z2939" s="182" t="n">
        <v>0</v>
      </c>
      <c r="AA2939" s="182" t="n">
        <v>0</v>
      </c>
      <c r="AB2939" s="182" t="n">
        <v>0</v>
      </c>
      <c r="AC2939" s="182" t="n">
        <v>0</v>
      </c>
      <c r="AD2939" s="182" t="n">
        <v>1.5</v>
      </c>
      <c r="AE2939" s="182" t="n">
        <v>0</v>
      </c>
      <c r="AF2939" s="182" t="n">
        <v>0</v>
      </c>
      <c r="AG2939" s="182" t="n">
        <v>0</v>
      </c>
      <c r="AH2939" s="182" t="n">
        <v>0</v>
      </c>
      <c r="AI2939" s="182" t="n">
        <v>0</v>
      </c>
      <c r="AJ2939" s="182" t="n">
        <v>0</v>
      </c>
      <c r="AK2939" s="182" t="n">
        <v>0</v>
      </c>
      <c r="AL2939" s="182" t="n">
        <v>0</v>
      </c>
      <c r="AM2939" s="182" t="n">
        <v>0.08</v>
      </c>
      <c r="AN2939" s="182" t="n">
        <v>0</v>
      </c>
    </row>
    <row r="2940">
      <c r="A2940" s="155" t="n">
        <v>46095</v>
      </c>
      <c r="B2940" s="156" t="inlineStr">
        <is>
          <t>DS</t>
        </is>
      </c>
      <c r="C2940" s="156" t="inlineStr">
        <is>
          <t>DT-519</t>
        </is>
      </c>
      <c r="D2940" s="156" t="inlineStr">
        <is>
          <t>SKT 105S</t>
        </is>
      </c>
      <c r="E2940" s="156" t="inlineStr">
        <is>
          <t>Hauler</t>
        </is>
      </c>
      <c r="F2940" s="156" t="inlineStr">
        <is>
          <t>HM Loncat</t>
        </is>
      </c>
      <c r="G2940" s="182" t="n">
        <v>6.96</v>
      </c>
      <c r="H2940" s="182" t="n">
        <v>0</v>
      </c>
      <c r="I2940" s="182" t="n">
        <v>0</v>
      </c>
      <c r="J2940" s="182" t="n">
        <v>0</v>
      </c>
      <c r="K2940" s="182" t="n">
        <v>5.04</v>
      </c>
      <c r="L2940" s="182" t="n">
        <v>12</v>
      </c>
      <c r="M2940" s="182" t="n">
        <v>0</v>
      </c>
      <c r="N2940" s="182" t="n">
        <v>0</v>
      </c>
      <c r="O2940" s="183" t="n">
        <v>0</v>
      </c>
      <c r="P2940" s="183" t="n">
        <v>0</v>
      </c>
      <c r="Q2940" s="184" t="n">
        <v>0</v>
      </c>
      <c r="R2940" s="184" t="n">
        <v>0</v>
      </c>
      <c r="S2940" s="183" t="n">
        <v>0</v>
      </c>
      <c r="T2940" s="183" t="n">
        <v>0</v>
      </c>
      <c r="U2940" s="182" t="n">
        <v>0</v>
      </c>
      <c r="V2940" s="182" t="n">
        <v>0</v>
      </c>
      <c r="W2940" s="182" t="n">
        <v>0</v>
      </c>
      <c r="X2940" s="182" t="n">
        <v>1.05</v>
      </c>
      <c r="Y2940" s="182" t="n">
        <v>0</v>
      </c>
      <c r="Z2940" s="182" t="n">
        <v>0</v>
      </c>
      <c r="AA2940" s="182" t="n">
        <v>0</v>
      </c>
      <c r="AB2940" s="182" t="n">
        <v>0</v>
      </c>
      <c r="AC2940" s="182" t="n">
        <v>0</v>
      </c>
      <c r="AD2940" s="182" t="n">
        <v>0</v>
      </c>
      <c r="AE2940" s="182" t="n">
        <v>0</v>
      </c>
      <c r="AF2940" s="182" t="n">
        <v>0</v>
      </c>
      <c r="AG2940" s="182" t="n">
        <v>0</v>
      </c>
      <c r="AH2940" s="182" t="n">
        <v>0</v>
      </c>
      <c r="AI2940" s="182" t="n">
        <v>0</v>
      </c>
      <c r="AJ2940" s="182" t="n">
        <v>0</v>
      </c>
      <c r="AK2940" s="182" t="n">
        <v>3.91</v>
      </c>
      <c r="AL2940" s="182" t="n">
        <v>0</v>
      </c>
      <c r="AM2940" s="182" t="n">
        <v>0.08</v>
      </c>
      <c r="AN2940" s="182" t="n">
        <v>0</v>
      </c>
    </row>
    <row r="2941">
      <c r="A2941" s="155" t="n">
        <v>46095</v>
      </c>
      <c r="B2941" s="156" t="inlineStr">
        <is>
          <t>DS</t>
        </is>
      </c>
      <c r="C2941" s="156" t="inlineStr">
        <is>
          <t>DT-527</t>
        </is>
      </c>
      <c r="D2941" s="156" t="inlineStr">
        <is>
          <t>SKT 105S</t>
        </is>
      </c>
      <c r="E2941" s="156" t="inlineStr">
        <is>
          <t>Hauler</t>
        </is>
      </c>
      <c r="F2941" s="156" t="inlineStr">
        <is>
          <t>Hauling OB</t>
        </is>
      </c>
      <c r="G2941" s="182" t="n">
        <v>6.74</v>
      </c>
      <c r="H2941" s="182" t="n">
        <v>0</v>
      </c>
      <c r="I2941" s="182" t="n">
        <v>4.58</v>
      </c>
      <c r="J2941" s="182" t="n">
        <v>4.58</v>
      </c>
      <c r="K2941" s="182" t="n">
        <v>0.68</v>
      </c>
      <c r="L2941" s="182" t="n">
        <v>12</v>
      </c>
      <c r="M2941" s="182" t="n">
        <v>6.74</v>
      </c>
      <c r="N2941" s="182" t="n">
        <v>0</v>
      </c>
      <c r="O2941" s="183" t="n">
        <v>25</v>
      </c>
      <c r="P2941" s="183" t="n">
        <v>0</v>
      </c>
      <c r="Q2941" s="184" t="n">
        <v>510</v>
      </c>
      <c r="R2941" s="184" t="n">
        <v>0</v>
      </c>
      <c r="S2941" s="183" t="n">
        <v>0</v>
      </c>
      <c r="T2941" s="183" t="n">
        <v>0</v>
      </c>
      <c r="U2941" s="182" t="n">
        <v>0</v>
      </c>
      <c r="V2941" s="182" t="n">
        <v>0</v>
      </c>
      <c r="W2941" s="182" t="n">
        <v>0</v>
      </c>
      <c r="X2941" s="182" t="n">
        <v>0</v>
      </c>
      <c r="Y2941" s="182" t="n">
        <v>0</v>
      </c>
      <c r="Z2941" s="182" t="n">
        <v>0</v>
      </c>
      <c r="AA2941" s="182" t="n">
        <v>0</v>
      </c>
      <c r="AB2941" s="182" t="n">
        <v>0</v>
      </c>
      <c r="AC2941" s="182" t="n">
        <v>0</v>
      </c>
      <c r="AD2941" s="182" t="n">
        <v>0</v>
      </c>
      <c r="AE2941" s="182" t="n">
        <v>0</v>
      </c>
      <c r="AF2941" s="182" t="n">
        <v>0</v>
      </c>
      <c r="AG2941" s="182" t="n">
        <v>0</v>
      </c>
      <c r="AH2941" s="182" t="n">
        <v>0.6</v>
      </c>
      <c r="AI2941" s="182" t="n">
        <v>0</v>
      </c>
      <c r="AJ2941" s="182" t="n">
        <v>0</v>
      </c>
      <c r="AK2941" s="182" t="n">
        <v>0</v>
      </c>
      <c r="AL2941" s="182" t="n">
        <v>0</v>
      </c>
      <c r="AM2941" s="182" t="n">
        <v>0.08</v>
      </c>
      <c r="AN2941" s="182" t="n">
        <v>0</v>
      </c>
    </row>
    <row r="2942">
      <c r="A2942" s="155" t="n">
        <v>46095</v>
      </c>
      <c r="B2942" s="156" t="inlineStr">
        <is>
          <t>DS</t>
        </is>
      </c>
      <c r="C2942" s="156" t="inlineStr">
        <is>
          <t>DT-513</t>
        </is>
      </c>
      <c r="D2942" s="156" t="inlineStr">
        <is>
          <t>SKT 105S</t>
        </is>
      </c>
      <c r="E2942" s="156" t="inlineStr">
        <is>
          <t>Hauler</t>
        </is>
      </c>
      <c r="F2942" s="156" t="inlineStr"/>
      <c r="G2942" s="182" t="n">
        <v>0</v>
      </c>
      <c r="H2942" s="182" t="n">
        <v>0</v>
      </c>
      <c r="I2942" s="182" t="n">
        <v>12</v>
      </c>
      <c r="J2942" s="182" t="n">
        <v>12</v>
      </c>
      <c r="K2942" s="182" t="n">
        <v>0</v>
      </c>
      <c r="L2942" s="182" t="n">
        <v>12</v>
      </c>
      <c r="M2942" s="182" t="n">
        <v>0</v>
      </c>
      <c r="N2942" s="182" t="n">
        <v>0</v>
      </c>
      <c r="O2942" s="183" t="n">
        <v>0</v>
      </c>
      <c r="P2942" s="183" t="n">
        <v>0</v>
      </c>
      <c r="Q2942" s="184" t="n">
        <v>0</v>
      </c>
      <c r="R2942" s="184" t="n">
        <v>0</v>
      </c>
      <c r="S2942" s="183" t="n">
        <v>0</v>
      </c>
      <c r="T2942" s="183" t="n">
        <v>0</v>
      </c>
      <c r="U2942" s="182" t="n">
        <v>0</v>
      </c>
      <c r="V2942" s="182" t="n">
        <v>0</v>
      </c>
      <c r="W2942" s="182" t="n">
        <v>0</v>
      </c>
      <c r="X2942" s="182" t="n">
        <v>0</v>
      </c>
      <c r="Y2942" s="182" t="n">
        <v>0</v>
      </c>
      <c r="Z2942" s="182" t="n">
        <v>0</v>
      </c>
      <c r="AA2942" s="182" t="n">
        <v>0</v>
      </c>
      <c r="AB2942" s="182" t="n">
        <v>0</v>
      </c>
      <c r="AC2942" s="182" t="n">
        <v>0</v>
      </c>
      <c r="AD2942" s="182" t="n">
        <v>0</v>
      </c>
      <c r="AE2942" s="182" t="n">
        <v>0</v>
      </c>
      <c r="AF2942" s="182" t="n">
        <v>0</v>
      </c>
      <c r="AG2942" s="182" t="n">
        <v>0</v>
      </c>
      <c r="AH2942" s="182" t="n">
        <v>0</v>
      </c>
      <c r="AI2942" s="182" t="n">
        <v>0</v>
      </c>
      <c r="AJ2942" s="182" t="n">
        <v>0</v>
      </c>
      <c r="AK2942" s="182" t="n">
        <v>0</v>
      </c>
      <c r="AL2942" s="182" t="n">
        <v>0</v>
      </c>
      <c r="AM2942" s="182" t="n">
        <v>0</v>
      </c>
      <c r="AN2942" s="182" t="n">
        <v>0</v>
      </c>
    </row>
    <row r="2943">
      <c r="A2943" s="155" t="n">
        <v>46095</v>
      </c>
      <c r="B2943" s="156" t="inlineStr">
        <is>
          <t>DS</t>
        </is>
      </c>
      <c r="C2943" s="156" t="inlineStr">
        <is>
          <t>DT-512</t>
        </is>
      </c>
      <c r="D2943" s="156" t="inlineStr">
        <is>
          <t>SKT 105S</t>
        </is>
      </c>
      <c r="E2943" s="156" t="inlineStr">
        <is>
          <t>Hauler</t>
        </is>
      </c>
      <c r="F2943" s="156" t="inlineStr">
        <is>
          <t>Hauling Coal &amp; OB</t>
        </is>
      </c>
      <c r="G2943" s="182" t="n">
        <v>4.25</v>
      </c>
      <c r="H2943" s="182" t="n">
        <v>0</v>
      </c>
      <c r="I2943" s="182" t="n">
        <v>1.67</v>
      </c>
      <c r="J2943" s="182" t="n">
        <v>1.67</v>
      </c>
      <c r="K2943" s="182" t="n">
        <v>6.08</v>
      </c>
      <c r="L2943" s="182" t="n">
        <v>12</v>
      </c>
      <c r="M2943" s="182" t="n">
        <v>3.84</v>
      </c>
      <c r="N2943" s="182" t="n">
        <v>0.42</v>
      </c>
      <c r="O2943" s="183" t="n">
        <v>9</v>
      </c>
      <c r="P2943" s="183" t="n">
        <v>1</v>
      </c>
      <c r="Q2943" s="184" t="n">
        <v>174.4</v>
      </c>
      <c r="R2943" s="184" t="n">
        <v>18.7</v>
      </c>
      <c r="S2943" s="183" t="n">
        <v>0</v>
      </c>
      <c r="T2943" s="183" t="n">
        <v>0</v>
      </c>
      <c r="U2943" s="182" t="n">
        <v>0</v>
      </c>
      <c r="V2943" s="182" t="n">
        <v>0</v>
      </c>
      <c r="W2943" s="182" t="n">
        <v>0</v>
      </c>
      <c r="X2943" s="182" t="n">
        <v>1.01</v>
      </c>
      <c r="Y2943" s="182" t="n">
        <v>0</v>
      </c>
      <c r="Z2943" s="182" t="n">
        <v>0.1</v>
      </c>
      <c r="AA2943" s="182" t="n">
        <v>0</v>
      </c>
      <c r="AB2943" s="182" t="n">
        <v>0</v>
      </c>
      <c r="AC2943" s="182" t="n">
        <v>0</v>
      </c>
      <c r="AD2943" s="182" t="n">
        <v>0</v>
      </c>
      <c r="AE2943" s="182" t="n">
        <v>0</v>
      </c>
      <c r="AF2943" s="182" t="n">
        <v>0</v>
      </c>
      <c r="AG2943" s="182" t="n">
        <v>0</v>
      </c>
      <c r="AH2943" s="182" t="n">
        <v>0.2</v>
      </c>
      <c r="AI2943" s="182" t="n">
        <v>0</v>
      </c>
      <c r="AJ2943" s="182" t="n">
        <v>0</v>
      </c>
      <c r="AK2943" s="182" t="n">
        <v>4.69</v>
      </c>
      <c r="AL2943" s="182" t="n">
        <v>0</v>
      </c>
      <c r="AM2943" s="182" t="n">
        <v>0.08</v>
      </c>
      <c r="AN2943" s="182" t="n">
        <v>0</v>
      </c>
    </row>
    <row r="2944">
      <c r="A2944" s="155" t="n">
        <v>46095</v>
      </c>
      <c r="B2944" s="156" t="inlineStr">
        <is>
          <t>DS</t>
        </is>
      </c>
      <c r="C2944" s="156" t="inlineStr">
        <is>
          <t>DT-522</t>
        </is>
      </c>
      <c r="D2944" s="156" t="inlineStr">
        <is>
          <t>SKT 105S</t>
        </is>
      </c>
      <c r="E2944" s="156" t="inlineStr">
        <is>
          <t>Hauler</t>
        </is>
      </c>
      <c r="F2944" s="156" t="inlineStr"/>
      <c r="G2944" s="182" t="n">
        <v>0</v>
      </c>
      <c r="H2944" s="182" t="n">
        <v>12</v>
      </c>
      <c r="I2944" s="182" t="n">
        <v>0</v>
      </c>
      <c r="J2944" s="182" t="n">
        <v>12</v>
      </c>
      <c r="K2944" s="182" t="n">
        <v>0</v>
      </c>
      <c r="L2944" s="182" t="n">
        <v>12</v>
      </c>
      <c r="M2944" s="182" t="n">
        <v>0</v>
      </c>
      <c r="N2944" s="182" t="n">
        <v>0</v>
      </c>
      <c r="O2944" s="183" t="n">
        <v>0</v>
      </c>
      <c r="P2944" s="183" t="n">
        <v>0</v>
      </c>
      <c r="Q2944" s="184" t="n">
        <v>0</v>
      </c>
      <c r="R2944" s="184" t="n">
        <v>0</v>
      </c>
      <c r="S2944" s="183" t="n">
        <v>0</v>
      </c>
      <c r="T2944" s="183" t="n">
        <v>0</v>
      </c>
      <c r="U2944" s="182" t="n">
        <v>0</v>
      </c>
      <c r="V2944" s="182" t="n">
        <v>0</v>
      </c>
      <c r="W2944" s="182" t="n">
        <v>0</v>
      </c>
      <c r="X2944" s="182" t="n">
        <v>0</v>
      </c>
      <c r="Y2944" s="182" t="n">
        <v>0</v>
      </c>
      <c r="Z2944" s="182" t="n">
        <v>0</v>
      </c>
      <c r="AA2944" s="182" t="n">
        <v>0</v>
      </c>
      <c r="AB2944" s="182" t="n">
        <v>0</v>
      </c>
      <c r="AC2944" s="182" t="n">
        <v>0</v>
      </c>
      <c r="AD2944" s="182" t="n">
        <v>0</v>
      </c>
      <c r="AE2944" s="182" t="n">
        <v>0</v>
      </c>
      <c r="AF2944" s="182" t="n">
        <v>0</v>
      </c>
      <c r="AG2944" s="182" t="n">
        <v>0</v>
      </c>
      <c r="AH2944" s="182" t="n">
        <v>0</v>
      </c>
      <c r="AI2944" s="182" t="n">
        <v>0</v>
      </c>
      <c r="AJ2944" s="182" t="n">
        <v>0</v>
      </c>
      <c r="AK2944" s="182" t="n">
        <v>0</v>
      </c>
      <c r="AL2944" s="182" t="n">
        <v>0</v>
      </c>
      <c r="AM2944" s="182" t="n">
        <v>0</v>
      </c>
      <c r="AN2944" s="182" t="n">
        <v>0</v>
      </c>
    </row>
    <row r="2945">
      <c r="A2945" s="155" t="n">
        <v>46095</v>
      </c>
      <c r="B2945" s="156" t="inlineStr">
        <is>
          <t>DS</t>
        </is>
      </c>
      <c r="C2945" s="156" t="inlineStr">
        <is>
          <t>DT-517</t>
        </is>
      </c>
      <c r="D2945" s="156" t="inlineStr">
        <is>
          <t>SKT 105S</t>
        </is>
      </c>
      <c r="E2945" s="156" t="inlineStr">
        <is>
          <t>Hauler</t>
        </is>
      </c>
      <c r="F2945" s="156" t="inlineStr">
        <is>
          <t>Hauling Coal &amp; OB</t>
        </is>
      </c>
      <c r="G2945" s="182" t="n">
        <v>4.14</v>
      </c>
      <c r="H2945" s="182" t="n">
        <v>7.67</v>
      </c>
      <c r="I2945" s="182" t="n">
        <v>0</v>
      </c>
      <c r="J2945" s="182" t="n">
        <v>7.67</v>
      </c>
      <c r="K2945" s="182" t="n">
        <v>0.19</v>
      </c>
      <c r="L2945" s="182" t="n">
        <v>12</v>
      </c>
      <c r="M2945" s="182" t="n">
        <v>3.72</v>
      </c>
      <c r="N2945" s="182" t="n">
        <v>0.41</v>
      </c>
      <c r="O2945" s="183" t="n">
        <v>8</v>
      </c>
      <c r="P2945" s="183" t="n">
        <v>1</v>
      </c>
      <c r="Q2945" s="184" t="n">
        <v>155</v>
      </c>
      <c r="R2945" s="184" t="n">
        <v>18.7</v>
      </c>
      <c r="S2945" s="183" t="n">
        <v>0</v>
      </c>
      <c r="T2945" s="183" t="n">
        <v>0</v>
      </c>
      <c r="U2945" s="182" t="n">
        <v>0</v>
      </c>
      <c r="V2945" s="182" t="n">
        <v>0</v>
      </c>
      <c r="W2945" s="182" t="n">
        <v>0</v>
      </c>
      <c r="X2945" s="182" t="n">
        <v>0</v>
      </c>
      <c r="Y2945" s="182" t="n">
        <v>0</v>
      </c>
      <c r="Z2945" s="182" t="n">
        <v>0</v>
      </c>
      <c r="AA2945" s="182" t="n">
        <v>0</v>
      </c>
      <c r="AB2945" s="182" t="n">
        <v>0</v>
      </c>
      <c r="AC2945" s="182" t="n">
        <v>0</v>
      </c>
      <c r="AD2945" s="182" t="n">
        <v>0</v>
      </c>
      <c r="AE2945" s="182" t="n">
        <v>0</v>
      </c>
      <c r="AF2945" s="182" t="n">
        <v>0</v>
      </c>
      <c r="AG2945" s="182" t="n">
        <v>0</v>
      </c>
      <c r="AH2945" s="182" t="n">
        <v>0.07000000000000001</v>
      </c>
      <c r="AI2945" s="182" t="n">
        <v>0</v>
      </c>
      <c r="AJ2945" s="182" t="n">
        <v>0</v>
      </c>
      <c r="AK2945" s="182" t="n">
        <v>0</v>
      </c>
      <c r="AL2945" s="182" t="n">
        <v>0</v>
      </c>
      <c r="AM2945" s="182" t="n">
        <v>0.12</v>
      </c>
      <c r="AN2945" s="182" t="n">
        <v>0</v>
      </c>
    </row>
    <row r="2946">
      <c r="A2946" s="155" t="n">
        <v>46095</v>
      </c>
      <c r="B2946" s="156" t="inlineStr">
        <is>
          <t>DS</t>
        </is>
      </c>
      <c r="C2946" s="156" t="inlineStr">
        <is>
          <t>DT-510</t>
        </is>
      </c>
      <c r="D2946" s="156" t="inlineStr">
        <is>
          <t>SKT 105S</t>
        </is>
      </c>
      <c r="E2946" s="156" t="inlineStr">
        <is>
          <t>Hauler</t>
        </is>
      </c>
      <c r="F2946" s="156" t="inlineStr">
        <is>
          <t>Hauling OB</t>
        </is>
      </c>
      <c r="G2946" s="182" t="n">
        <v>8.58</v>
      </c>
      <c r="H2946" s="182" t="n">
        <v>0</v>
      </c>
      <c r="I2946" s="182" t="n">
        <v>0</v>
      </c>
      <c r="J2946" s="182" t="n">
        <v>0</v>
      </c>
      <c r="K2946" s="182" t="n">
        <v>3.42</v>
      </c>
      <c r="L2946" s="182" t="n">
        <v>12</v>
      </c>
      <c r="M2946" s="182" t="n">
        <v>8.58</v>
      </c>
      <c r="N2946" s="182" t="n">
        <v>0</v>
      </c>
      <c r="O2946" s="183" t="n">
        <v>33</v>
      </c>
      <c r="P2946" s="183" t="n">
        <v>0</v>
      </c>
      <c r="Q2946" s="184" t="n">
        <v>673.2</v>
      </c>
      <c r="R2946" s="184" t="n">
        <v>0</v>
      </c>
      <c r="S2946" s="183" t="n">
        <v>0</v>
      </c>
      <c r="T2946" s="183" t="n">
        <v>0</v>
      </c>
      <c r="U2946" s="182" t="n">
        <v>0</v>
      </c>
      <c r="V2946" s="182" t="n">
        <v>0</v>
      </c>
      <c r="W2946" s="182" t="n">
        <v>0</v>
      </c>
      <c r="X2946" s="182" t="n">
        <v>1.01</v>
      </c>
      <c r="Y2946" s="182" t="n">
        <v>0</v>
      </c>
      <c r="Z2946" s="182" t="n">
        <v>0.1</v>
      </c>
      <c r="AA2946" s="182" t="n">
        <v>0</v>
      </c>
      <c r="AB2946" s="182" t="n">
        <v>0</v>
      </c>
      <c r="AC2946" s="182" t="n">
        <v>0</v>
      </c>
      <c r="AD2946" s="182" t="n">
        <v>2.03</v>
      </c>
      <c r="AE2946" s="182" t="n">
        <v>0</v>
      </c>
      <c r="AF2946" s="182" t="n">
        <v>0</v>
      </c>
      <c r="AG2946" s="182" t="n">
        <v>0</v>
      </c>
      <c r="AH2946" s="182" t="n">
        <v>0.2</v>
      </c>
      <c r="AI2946" s="182" t="n">
        <v>0</v>
      </c>
      <c r="AJ2946" s="182" t="n">
        <v>0</v>
      </c>
      <c r="AK2946" s="182" t="n">
        <v>0</v>
      </c>
      <c r="AL2946" s="182" t="n">
        <v>0</v>
      </c>
      <c r="AM2946" s="182" t="n">
        <v>0.08</v>
      </c>
      <c r="AN2946" s="182" t="n">
        <v>0</v>
      </c>
    </row>
    <row r="2947">
      <c r="A2947" s="155" t="n">
        <v>46095</v>
      </c>
      <c r="B2947" s="156" t="inlineStr">
        <is>
          <t>DS</t>
        </is>
      </c>
      <c r="C2947" s="156" t="inlineStr">
        <is>
          <t>DT-521</t>
        </is>
      </c>
      <c r="D2947" s="156" t="inlineStr">
        <is>
          <t>SKT 105S</t>
        </is>
      </c>
      <c r="E2947" s="156" t="inlineStr">
        <is>
          <t>Hauler</t>
        </is>
      </c>
      <c r="F2947" s="156" t="inlineStr">
        <is>
          <t>Hauling OB</t>
        </is>
      </c>
      <c r="G2947" s="182" t="n">
        <v>7.96</v>
      </c>
      <c r="H2947" s="182" t="n">
        <v>0</v>
      </c>
      <c r="I2947" s="182" t="n">
        <v>0</v>
      </c>
      <c r="J2947" s="182" t="n">
        <v>0</v>
      </c>
      <c r="K2947" s="182" t="n">
        <v>4.04</v>
      </c>
      <c r="L2947" s="182" t="n">
        <v>12</v>
      </c>
      <c r="M2947" s="182" t="n">
        <v>7.96</v>
      </c>
      <c r="N2947" s="182" t="n">
        <v>0</v>
      </c>
      <c r="O2947" s="183" t="n">
        <v>32</v>
      </c>
      <c r="P2947" s="183" t="n">
        <v>0</v>
      </c>
      <c r="Q2947" s="184" t="n">
        <v>652.8</v>
      </c>
      <c r="R2947" s="184" t="n">
        <v>0</v>
      </c>
      <c r="S2947" s="183" t="n">
        <v>0</v>
      </c>
      <c r="T2947" s="183" t="n">
        <v>0</v>
      </c>
      <c r="U2947" s="182" t="n">
        <v>0</v>
      </c>
      <c r="V2947" s="182" t="n">
        <v>0</v>
      </c>
      <c r="W2947" s="182" t="n">
        <v>0</v>
      </c>
      <c r="X2947" s="182" t="n">
        <v>1.01</v>
      </c>
      <c r="Y2947" s="182" t="n">
        <v>0</v>
      </c>
      <c r="Z2947" s="182" t="n">
        <v>0.1</v>
      </c>
      <c r="AA2947" s="182" t="n">
        <v>0</v>
      </c>
      <c r="AB2947" s="182" t="n">
        <v>0</v>
      </c>
      <c r="AC2947" s="182" t="n">
        <v>0</v>
      </c>
      <c r="AD2947" s="182" t="n">
        <v>2.65</v>
      </c>
      <c r="AE2947" s="182" t="n">
        <v>0</v>
      </c>
      <c r="AF2947" s="182" t="n">
        <v>0</v>
      </c>
      <c r="AG2947" s="182" t="n">
        <v>0</v>
      </c>
      <c r="AH2947" s="182" t="n">
        <v>0.2</v>
      </c>
      <c r="AI2947" s="182" t="n">
        <v>0</v>
      </c>
      <c r="AJ2947" s="182" t="n">
        <v>0</v>
      </c>
      <c r="AK2947" s="182" t="n">
        <v>0</v>
      </c>
      <c r="AL2947" s="182" t="n">
        <v>0</v>
      </c>
      <c r="AM2947" s="182" t="n">
        <v>0.08</v>
      </c>
      <c r="AN2947" s="182" t="n">
        <v>0</v>
      </c>
    </row>
    <row r="2948">
      <c r="A2948" s="155" t="n">
        <v>46095</v>
      </c>
      <c r="B2948" s="156" t="inlineStr">
        <is>
          <t>DS</t>
        </is>
      </c>
      <c r="C2948" s="156" t="inlineStr">
        <is>
          <t>DT-516</t>
        </is>
      </c>
      <c r="D2948" s="156" t="inlineStr">
        <is>
          <t>SKT 105S</t>
        </is>
      </c>
      <c r="E2948" s="156" t="inlineStr">
        <is>
          <t>Hauler</t>
        </is>
      </c>
      <c r="F2948" s="156" t="inlineStr">
        <is>
          <t>Hauling OB</t>
        </is>
      </c>
      <c r="G2948" s="182" t="n">
        <v>8.33</v>
      </c>
      <c r="H2948" s="182" t="n">
        <v>0</v>
      </c>
      <c r="I2948" s="182" t="n">
        <v>0</v>
      </c>
      <c r="J2948" s="182" t="n">
        <v>0</v>
      </c>
      <c r="K2948" s="182" t="n">
        <v>3.67</v>
      </c>
      <c r="L2948" s="182" t="n">
        <v>12</v>
      </c>
      <c r="M2948" s="182" t="n">
        <v>8.33</v>
      </c>
      <c r="N2948" s="182" t="n">
        <v>0</v>
      </c>
      <c r="O2948" s="183" t="n">
        <v>34</v>
      </c>
      <c r="P2948" s="183" t="n">
        <v>0</v>
      </c>
      <c r="Q2948" s="184" t="n">
        <v>693.6</v>
      </c>
      <c r="R2948" s="184" t="n">
        <v>0</v>
      </c>
      <c r="S2948" s="183" t="n">
        <v>0</v>
      </c>
      <c r="T2948" s="183" t="n">
        <v>0</v>
      </c>
      <c r="U2948" s="182" t="n">
        <v>0</v>
      </c>
      <c r="V2948" s="182" t="n">
        <v>0</v>
      </c>
      <c r="W2948" s="182" t="n">
        <v>0</v>
      </c>
      <c r="X2948" s="182" t="n">
        <v>1.08</v>
      </c>
      <c r="Y2948" s="182" t="n">
        <v>0</v>
      </c>
      <c r="Z2948" s="182" t="n">
        <v>0.11</v>
      </c>
      <c r="AA2948" s="182" t="n">
        <v>0</v>
      </c>
      <c r="AB2948" s="182" t="n">
        <v>0</v>
      </c>
      <c r="AC2948" s="182" t="n">
        <v>0</v>
      </c>
      <c r="AD2948" s="182" t="n">
        <v>2.18</v>
      </c>
      <c r="AE2948" s="182" t="n">
        <v>0</v>
      </c>
      <c r="AF2948" s="182" t="n">
        <v>0</v>
      </c>
      <c r="AG2948" s="182" t="n">
        <v>0</v>
      </c>
      <c r="AH2948" s="182" t="n">
        <v>0.22</v>
      </c>
      <c r="AI2948" s="182" t="n">
        <v>0</v>
      </c>
      <c r="AJ2948" s="182" t="n">
        <v>0</v>
      </c>
      <c r="AK2948" s="182" t="n">
        <v>0</v>
      </c>
      <c r="AL2948" s="182" t="n">
        <v>0</v>
      </c>
      <c r="AM2948" s="182" t="n">
        <v>0.09</v>
      </c>
      <c r="AN2948" s="182" t="n">
        <v>0</v>
      </c>
    </row>
    <row r="2949">
      <c r="A2949" s="155" t="n">
        <v>46095</v>
      </c>
      <c r="B2949" s="156" t="inlineStr">
        <is>
          <t>DS</t>
        </is>
      </c>
      <c r="C2949" s="156" t="inlineStr">
        <is>
          <t>DT-506</t>
        </is>
      </c>
      <c r="D2949" s="156" t="inlineStr">
        <is>
          <t>SKT 105S</t>
        </is>
      </c>
      <c r="E2949" s="156" t="inlineStr">
        <is>
          <t>Hauler</t>
        </is>
      </c>
      <c r="F2949" s="156" t="inlineStr">
        <is>
          <t>Hauling Coal &amp; OB</t>
        </is>
      </c>
      <c r="G2949" s="182" t="n">
        <v>4.89</v>
      </c>
      <c r="H2949" s="182" t="n">
        <v>0</v>
      </c>
      <c r="I2949" s="182" t="n">
        <v>0</v>
      </c>
      <c r="J2949" s="182" t="n">
        <v>0</v>
      </c>
      <c r="K2949" s="182" t="n">
        <v>7.11</v>
      </c>
      <c r="L2949" s="182" t="n">
        <v>12</v>
      </c>
      <c r="M2949" s="182" t="n">
        <v>1.95</v>
      </c>
      <c r="N2949" s="182" t="n">
        <v>2.93</v>
      </c>
      <c r="O2949" s="183" t="n">
        <v>6</v>
      </c>
      <c r="P2949" s="183" t="n">
        <v>8</v>
      </c>
      <c r="Q2949" s="184" t="n">
        <v>97.90000000000001</v>
      </c>
      <c r="R2949" s="184" t="n">
        <v>149.6</v>
      </c>
      <c r="S2949" s="183" t="n">
        <v>0</v>
      </c>
      <c r="T2949" s="183" t="n">
        <v>0</v>
      </c>
      <c r="U2949" s="182" t="n">
        <v>0</v>
      </c>
      <c r="V2949" s="182" t="n">
        <v>0</v>
      </c>
      <c r="W2949" s="182" t="n">
        <v>0</v>
      </c>
      <c r="X2949" s="182" t="n">
        <v>1.02</v>
      </c>
      <c r="Y2949" s="182" t="n">
        <v>0</v>
      </c>
      <c r="Z2949" s="182" t="n">
        <v>0.1</v>
      </c>
      <c r="AA2949" s="182" t="n">
        <v>0</v>
      </c>
      <c r="AB2949" s="182" t="n">
        <v>0</v>
      </c>
      <c r="AC2949" s="182" t="n">
        <v>0</v>
      </c>
      <c r="AD2949" s="182" t="n">
        <v>0</v>
      </c>
      <c r="AE2949" s="182" t="n">
        <v>0</v>
      </c>
      <c r="AF2949" s="182" t="n">
        <v>0</v>
      </c>
      <c r="AG2949" s="182" t="n">
        <v>0</v>
      </c>
      <c r="AH2949" s="182" t="n">
        <v>0.2</v>
      </c>
      <c r="AI2949" s="182" t="n">
        <v>0</v>
      </c>
      <c r="AJ2949" s="182" t="n">
        <v>0</v>
      </c>
      <c r="AK2949" s="182" t="n">
        <v>5.71</v>
      </c>
      <c r="AL2949" s="182" t="n">
        <v>0</v>
      </c>
      <c r="AM2949" s="182" t="n">
        <v>0.08</v>
      </c>
      <c r="AN2949" s="182" t="n">
        <v>0</v>
      </c>
    </row>
    <row r="2950">
      <c r="A2950" s="155" t="n">
        <v>46095</v>
      </c>
      <c r="B2950" s="156" t="inlineStr">
        <is>
          <t>DS</t>
        </is>
      </c>
      <c r="C2950" s="156" t="inlineStr">
        <is>
          <t>DT-502</t>
        </is>
      </c>
      <c r="D2950" s="156" t="inlineStr">
        <is>
          <t>SKT 105S</t>
        </is>
      </c>
      <c r="E2950" s="156" t="inlineStr">
        <is>
          <t>Hauler</t>
        </is>
      </c>
      <c r="F2950" s="156" t="inlineStr"/>
      <c r="G2950" s="182" t="n">
        <v>0</v>
      </c>
      <c r="H2950" s="182" t="n">
        <v>0</v>
      </c>
      <c r="I2950" s="182" t="n">
        <v>12</v>
      </c>
      <c r="J2950" s="182" t="n">
        <v>12</v>
      </c>
      <c r="K2950" s="182" t="n">
        <v>0</v>
      </c>
      <c r="L2950" s="182" t="n">
        <v>12</v>
      </c>
      <c r="M2950" s="182" t="n">
        <v>0</v>
      </c>
      <c r="N2950" s="182" t="n">
        <v>0</v>
      </c>
      <c r="O2950" s="183" t="n">
        <v>0</v>
      </c>
      <c r="P2950" s="183" t="n">
        <v>0</v>
      </c>
      <c r="Q2950" s="184" t="n">
        <v>0</v>
      </c>
      <c r="R2950" s="184" t="n">
        <v>0</v>
      </c>
      <c r="S2950" s="183" t="n">
        <v>0</v>
      </c>
      <c r="T2950" s="183" t="n">
        <v>0</v>
      </c>
      <c r="U2950" s="182" t="n">
        <v>0</v>
      </c>
      <c r="V2950" s="182" t="n">
        <v>0</v>
      </c>
      <c r="W2950" s="182" t="n">
        <v>0</v>
      </c>
      <c r="X2950" s="182" t="n">
        <v>0</v>
      </c>
      <c r="Y2950" s="182" t="n">
        <v>0</v>
      </c>
      <c r="Z2950" s="182" t="n">
        <v>0</v>
      </c>
      <c r="AA2950" s="182" t="n">
        <v>0</v>
      </c>
      <c r="AB2950" s="182" t="n">
        <v>0</v>
      </c>
      <c r="AC2950" s="182" t="n">
        <v>0</v>
      </c>
      <c r="AD2950" s="182" t="n">
        <v>0</v>
      </c>
      <c r="AE2950" s="182" t="n">
        <v>0</v>
      </c>
      <c r="AF2950" s="182" t="n">
        <v>0</v>
      </c>
      <c r="AG2950" s="182" t="n">
        <v>0</v>
      </c>
      <c r="AH2950" s="182" t="n">
        <v>0</v>
      </c>
      <c r="AI2950" s="182" t="n">
        <v>0</v>
      </c>
      <c r="AJ2950" s="182" t="n">
        <v>0</v>
      </c>
      <c r="AK2950" s="182" t="n">
        <v>0</v>
      </c>
      <c r="AL2950" s="182" t="n">
        <v>0</v>
      </c>
      <c r="AM2950" s="182" t="n">
        <v>0</v>
      </c>
      <c r="AN2950" s="182" t="n">
        <v>0</v>
      </c>
    </row>
    <row r="2951">
      <c r="A2951" s="155" t="n">
        <v>46095</v>
      </c>
      <c r="B2951" s="156" t="inlineStr">
        <is>
          <t>DS</t>
        </is>
      </c>
      <c r="C2951" s="156" t="inlineStr">
        <is>
          <t>DT-528</t>
        </is>
      </c>
      <c r="D2951" s="156" t="inlineStr">
        <is>
          <t>SKT 105S</t>
        </is>
      </c>
      <c r="E2951" s="156" t="inlineStr">
        <is>
          <t>Hauler</t>
        </is>
      </c>
      <c r="F2951" s="156" t="inlineStr">
        <is>
          <t>Hauling OB</t>
        </is>
      </c>
      <c r="G2951" s="182" t="n">
        <v>10.46</v>
      </c>
      <c r="H2951" s="182" t="n">
        <v>0</v>
      </c>
      <c r="I2951" s="182" t="n">
        <v>0</v>
      </c>
      <c r="J2951" s="182" t="n">
        <v>0</v>
      </c>
      <c r="K2951" s="182" t="n">
        <v>1.54</v>
      </c>
      <c r="L2951" s="182" t="n">
        <v>12</v>
      </c>
      <c r="M2951" s="182" t="n">
        <v>10.46</v>
      </c>
      <c r="N2951" s="182" t="n">
        <v>0</v>
      </c>
      <c r="O2951" s="183" t="n">
        <v>42</v>
      </c>
      <c r="P2951" s="183" t="n">
        <v>0</v>
      </c>
      <c r="Q2951" s="184" t="n">
        <v>856.8</v>
      </c>
      <c r="R2951" s="184" t="n">
        <v>0</v>
      </c>
      <c r="S2951" s="183" t="n">
        <v>0</v>
      </c>
      <c r="T2951" s="183" t="n">
        <v>0</v>
      </c>
      <c r="U2951" s="182" t="n">
        <v>0</v>
      </c>
      <c r="V2951" s="182" t="n">
        <v>0</v>
      </c>
      <c r="W2951" s="182" t="n">
        <v>0</v>
      </c>
      <c r="X2951" s="182" t="n">
        <v>1.1</v>
      </c>
      <c r="Y2951" s="182" t="n">
        <v>0</v>
      </c>
      <c r="Z2951" s="182" t="n">
        <v>0.11</v>
      </c>
      <c r="AA2951" s="182" t="n">
        <v>0</v>
      </c>
      <c r="AB2951" s="182" t="n">
        <v>0</v>
      </c>
      <c r="AC2951" s="182" t="n">
        <v>0</v>
      </c>
      <c r="AD2951" s="182" t="n">
        <v>0</v>
      </c>
      <c r="AE2951" s="182" t="n">
        <v>0</v>
      </c>
      <c r="AF2951" s="182" t="n">
        <v>0</v>
      </c>
      <c r="AG2951" s="182" t="n">
        <v>0</v>
      </c>
      <c r="AH2951" s="182" t="n">
        <v>0.24</v>
      </c>
      <c r="AI2951" s="182" t="n">
        <v>0</v>
      </c>
      <c r="AJ2951" s="182" t="n">
        <v>0</v>
      </c>
      <c r="AK2951" s="182" t="n">
        <v>0</v>
      </c>
      <c r="AL2951" s="182" t="n">
        <v>0</v>
      </c>
      <c r="AM2951" s="182" t="n">
        <v>0.09</v>
      </c>
      <c r="AN2951" s="182" t="n">
        <v>0</v>
      </c>
    </row>
    <row r="2952">
      <c r="A2952" s="155" t="n">
        <v>46095</v>
      </c>
      <c r="B2952" s="156" t="inlineStr">
        <is>
          <t>DS</t>
        </is>
      </c>
      <c r="C2952" s="156" t="inlineStr">
        <is>
          <t>DT-529</t>
        </is>
      </c>
      <c r="D2952" s="156" t="inlineStr">
        <is>
          <t>SKT 105S</t>
        </is>
      </c>
      <c r="E2952" s="156" t="inlineStr">
        <is>
          <t>Hauler</t>
        </is>
      </c>
      <c r="F2952" s="156" t="inlineStr">
        <is>
          <t>Hauling OB</t>
        </is>
      </c>
      <c r="G2952" s="182" t="n">
        <v>6.48</v>
      </c>
      <c r="H2952" s="182" t="n">
        <v>0</v>
      </c>
      <c r="I2952" s="182" t="n">
        <v>5.22</v>
      </c>
      <c r="J2952" s="182" t="n">
        <v>5.22</v>
      </c>
      <c r="K2952" s="182" t="n">
        <v>0.3</v>
      </c>
      <c r="L2952" s="182" t="n">
        <v>12</v>
      </c>
      <c r="M2952" s="182" t="n">
        <v>6.26</v>
      </c>
      <c r="N2952" s="182" t="n">
        <v>0</v>
      </c>
      <c r="O2952" s="183" t="n">
        <v>24</v>
      </c>
      <c r="P2952" s="183" t="n">
        <v>0</v>
      </c>
      <c r="Q2952" s="184" t="n">
        <v>489.6</v>
      </c>
      <c r="R2952" s="184" t="n">
        <v>0</v>
      </c>
      <c r="S2952" s="183" t="n">
        <v>0</v>
      </c>
      <c r="T2952" s="183" t="n">
        <v>0</v>
      </c>
      <c r="U2952" s="182" t="n">
        <v>0</v>
      </c>
      <c r="V2952" s="182" t="n">
        <v>0</v>
      </c>
      <c r="W2952" s="182" t="n">
        <v>0</v>
      </c>
      <c r="X2952" s="182" t="n">
        <v>0</v>
      </c>
      <c r="Y2952" s="182" t="n">
        <v>0</v>
      </c>
      <c r="Z2952" s="182" t="n">
        <v>0</v>
      </c>
      <c r="AA2952" s="182" t="n">
        <v>0</v>
      </c>
      <c r="AB2952" s="182" t="n">
        <v>0</v>
      </c>
      <c r="AC2952" s="182" t="n">
        <v>0</v>
      </c>
      <c r="AD2952" s="182" t="n">
        <v>0</v>
      </c>
      <c r="AE2952" s="182" t="n">
        <v>0</v>
      </c>
      <c r="AF2952" s="182" t="n">
        <v>0</v>
      </c>
      <c r="AG2952" s="182" t="n">
        <v>0</v>
      </c>
      <c r="AH2952" s="182" t="n">
        <v>0</v>
      </c>
      <c r="AI2952" s="182" t="n">
        <v>0</v>
      </c>
      <c r="AJ2952" s="182" t="n">
        <v>0</v>
      </c>
      <c r="AK2952" s="182" t="n">
        <v>0</v>
      </c>
      <c r="AL2952" s="182" t="n">
        <v>0</v>
      </c>
      <c r="AM2952" s="182" t="n">
        <v>0.3</v>
      </c>
      <c r="AN2952" s="182" t="n">
        <v>0</v>
      </c>
    </row>
    <row r="2953">
      <c r="A2953" s="155" t="n">
        <v>46095</v>
      </c>
      <c r="B2953" s="156" t="inlineStr">
        <is>
          <t>DS</t>
        </is>
      </c>
      <c r="C2953" s="156" t="inlineStr">
        <is>
          <t>DT-520</t>
        </is>
      </c>
      <c r="D2953" s="156" t="inlineStr">
        <is>
          <t>SKT 105S</t>
        </is>
      </c>
      <c r="E2953" s="156" t="inlineStr">
        <is>
          <t>Hauler</t>
        </is>
      </c>
      <c r="F2953" s="156" t="inlineStr">
        <is>
          <t>Hauling OB</t>
        </is>
      </c>
      <c r="G2953" s="182" t="n">
        <v>6.71</v>
      </c>
      <c r="H2953" s="182" t="n">
        <v>0</v>
      </c>
      <c r="I2953" s="182" t="n">
        <v>1.42</v>
      </c>
      <c r="J2953" s="182" t="n">
        <v>1.42</v>
      </c>
      <c r="K2953" s="182" t="n">
        <v>3.87</v>
      </c>
      <c r="L2953" s="182" t="n">
        <v>12</v>
      </c>
      <c r="M2953" s="182" t="n">
        <v>6.71</v>
      </c>
      <c r="N2953" s="182" t="n">
        <v>0</v>
      </c>
      <c r="O2953" s="183" t="n">
        <v>23</v>
      </c>
      <c r="P2953" s="183" t="n">
        <v>0</v>
      </c>
      <c r="Q2953" s="184" t="n">
        <v>469.2</v>
      </c>
      <c r="R2953" s="184" t="n">
        <v>0</v>
      </c>
      <c r="S2953" s="183" t="n">
        <v>0</v>
      </c>
      <c r="T2953" s="183" t="n">
        <v>0</v>
      </c>
      <c r="U2953" s="182" t="n">
        <v>0</v>
      </c>
      <c r="V2953" s="182" t="n">
        <v>0</v>
      </c>
      <c r="W2953" s="182" t="n">
        <v>0</v>
      </c>
      <c r="X2953" s="182" t="n">
        <v>0.93</v>
      </c>
      <c r="Y2953" s="182" t="n">
        <v>0</v>
      </c>
      <c r="Z2953" s="182" t="n">
        <v>0.09</v>
      </c>
      <c r="AA2953" s="182" t="n">
        <v>0</v>
      </c>
      <c r="AB2953" s="182" t="n">
        <v>0</v>
      </c>
      <c r="AC2953" s="182" t="n">
        <v>0</v>
      </c>
      <c r="AD2953" s="182" t="n">
        <v>2.59</v>
      </c>
      <c r="AE2953" s="182" t="n">
        <v>0</v>
      </c>
      <c r="AF2953" s="182" t="n">
        <v>0</v>
      </c>
      <c r="AG2953" s="182" t="n">
        <v>0</v>
      </c>
      <c r="AH2953" s="182" t="n">
        <v>0.19</v>
      </c>
      <c r="AI2953" s="182" t="n">
        <v>0</v>
      </c>
      <c r="AJ2953" s="182" t="n">
        <v>0</v>
      </c>
      <c r="AK2953" s="182" t="n">
        <v>0</v>
      </c>
      <c r="AL2953" s="182" t="n">
        <v>0</v>
      </c>
      <c r="AM2953" s="182" t="n">
        <v>0.07000000000000001</v>
      </c>
      <c r="AN2953" s="182" t="n">
        <v>0</v>
      </c>
    </row>
    <row r="2954">
      <c r="A2954" s="155" t="n">
        <v>46095</v>
      </c>
      <c r="B2954" s="156" t="inlineStr">
        <is>
          <t>DS</t>
        </is>
      </c>
      <c r="C2954" s="156" t="inlineStr">
        <is>
          <t>DT-511</t>
        </is>
      </c>
      <c r="D2954" s="156" t="inlineStr">
        <is>
          <t>SKT 105S</t>
        </is>
      </c>
      <c r="E2954" s="156" t="inlineStr">
        <is>
          <t>Hauler</t>
        </is>
      </c>
      <c r="F2954" s="156" t="inlineStr"/>
      <c r="G2954" s="182" t="n">
        <v>0</v>
      </c>
      <c r="H2954" s="182" t="n">
        <v>0</v>
      </c>
      <c r="I2954" s="182" t="n">
        <v>12</v>
      </c>
      <c r="J2954" s="182" t="n">
        <v>12</v>
      </c>
      <c r="K2954" s="182" t="n">
        <v>0</v>
      </c>
      <c r="L2954" s="182" t="n">
        <v>12</v>
      </c>
      <c r="M2954" s="182" t="n">
        <v>0</v>
      </c>
      <c r="N2954" s="182" t="n">
        <v>0</v>
      </c>
      <c r="O2954" s="183" t="n">
        <v>0</v>
      </c>
      <c r="P2954" s="183" t="n">
        <v>0</v>
      </c>
      <c r="Q2954" s="184" t="n">
        <v>0</v>
      </c>
      <c r="R2954" s="184" t="n">
        <v>0</v>
      </c>
      <c r="S2954" s="183" t="n">
        <v>0</v>
      </c>
      <c r="T2954" s="183" t="n">
        <v>0</v>
      </c>
      <c r="U2954" s="182" t="n">
        <v>0</v>
      </c>
      <c r="V2954" s="182" t="n">
        <v>0</v>
      </c>
      <c r="W2954" s="182" t="n">
        <v>0</v>
      </c>
      <c r="X2954" s="182" t="n">
        <v>0</v>
      </c>
      <c r="Y2954" s="182" t="n">
        <v>0</v>
      </c>
      <c r="Z2954" s="182" t="n">
        <v>0</v>
      </c>
      <c r="AA2954" s="182" t="n">
        <v>0</v>
      </c>
      <c r="AB2954" s="182" t="n">
        <v>0</v>
      </c>
      <c r="AC2954" s="182" t="n">
        <v>0</v>
      </c>
      <c r="AD2954" s="182" t="n">
        <v>0</v>
      </c>
      <c r="AE2954" s="182" t="n">
        <v>0</v>
      </c>
      <c r="AF2954" s="182" t="n">
        <v>0</v>
      </c>
      <c r="AG2954" s="182" t="n">
        <v>0</v>
      </c>
      <c r="AH2954" s="182" t="n">
        <v>0</v>
      </c>
      <c r="AI2954" s="182" t="n">
        <v>0</v>
      </c>
      <c r="AJ2954" s="182" t="n">
        <v>0</v>
      </c>
      <c r="AK2954" s="182" t="n">
        <v>0</v>
      </c>
      <c r="AL2954" s="182" t="n">
        <v>0</v>
      </c>
      <c r="AM2954" s="182" t="n">
        <v>0</v>
      </c>
      <c r="AN2954" s="182" t="n">
        <v>0</v>
      </c>
    </row>
    <row r="2955">
      <c r="A2955" s="155" t="n">
        <v>46095</v>
      </c>
      <c r="B2955" s="156" t="inlineStr">
        <is>
          <t>DS</t>
        </is>
      </c>
      <c r="C2955" s="156" t="inlineStr">
        <is>
          <t>DT-509</t>
        </is>
      </c>
      <c r="D2955" s="156" t="inlineStr">
        <is>
          <t>SKT 105S</t>
        </is>
      </c>
      <c r="E2955" s="156" t="inlineStr">
        <is>
          <t>Hauler</t>
        </is>
      </c>
      <c r="F2955" s="156" t="inlineStr"/>
      <c r="G2955" s="182" t="n">
        <v>0</v>
      </c>
      <c r="H2955" s="182" t="n">
        <v>0</v>
      </c>
      <c r="I2955" s="182" t="n">
        <v>12</v>
      </c>
      <c r="J2955" s="182" t="n">
        <v>12</v>
      </c>
      <c r="K2955" s="182" t="n">
        <v>0</v>
      </c>
      <c r="L2955" s="182" t="n">
        <v>12</v>
      </c>
      <c r="M2955" s="182" t="n">
        <v>0</v>
      </c>
      <c r="N2955" s="182" t="n">
        <v>0</v>
      </c>
      <c r="O2955" s="183" t="n">
        <v>0</v>
      </c>
      <c r="P2955" s="183" t="n">
        <v>0</v>
      </c>
      <c r="Q2955" s="184" t="n">
        <v>0</v>
      </c>
      <c r="R2955" s="184" t="n">
        <v>0</v>
      </c>
      <c r="S2955" s="183" t="n">
        <v>0</v>
      </c>
      <c r="T2955" s="183" t="n">
        <v>0</v>
      </c>
      <c r="U2955" s="182" t="n">
        <v>0</v>
      </c>
      <c r="V2955" s="182" t="n">
        <v>0</v>
      </c>
      <c r="W2955" s="182" t="n">
        <v>0</v>
      </c>
      <c r="X2955" s="182" t="n">
        <v>0</v>
      </c>
      <c r="Y2955" s="182" t="n">
        <v>0</v>
      </c>
      <c r="Z2955" s="182" t="n">
        <v>0</v>
      </c>
      <c r="AA2955" s="182" t="n">
        <v>0</v>
      </c>
      <c r="AB2955" s="182" t="n">
        <v>0</v>
      </c>
      <c r="AC2955" s="182" t="n">
        <v>0</v>
      </c>
      <c r="AD2955" s="182" t="n">
        <v>0</v>
      </c>
      <c r="AE2955" s="182" t="n">
        <v>0</v>
      </c>
      <c r="AF2955" s="182" t="n">
        <v>0</v>
      </c>
      <c r="AG2955" s="182" t="n">
        <v>0</v>
      </c>
      <c r="AH2955" s="182" t="n">
        <v>0</v>
      </c>
      <c r="AI2955" s="182" t="n">
        <v>0</v>
      </c>
      <c r="AJ2955" s="182" t="n">
        <v>0</v>
      </c>
      <c r="AK2955" s="182" t="n">
        <v>0</v>
      </c>
      <c r="AL2955" s="182" t="n">
        <v>0</v>
      </c>
      <c r="AM2955" s="182" t="n">
        <v>0</v>
      </c>
      <c r="AN2955" s="182" t="n">
        <v>0</v>
      </c>
    </row>
    <row r="2956">
      <c r="A2956" s="155" t="n">
        <v>46095</v>
      </c>
      <c r="B2956" s="156" t="inlineStr">
        <is>
          <t>DS</t>
        </is>
      </c>
      <c r="C2956" s="156" t="inlineStr">
        <is>
          <t>DT-526</t>
        </is>
      </c>
      <c r="D2956" s="156" t="inlineStr">
        <is>
          <t>SKT 105S</t>
        </is>
      </c>
      <c r="E2956" s="156" t="inlineStr">
        <is>
          <t>Hauler</t>
        </is>
      </c>
      <c r="F2956" s="156" t="inlineStr">
        <is>
          <t>Hauling OB</t>
        </is>
      </c>
      <c r="G2956" s="182" t="n">
        <v>10.65</v>
      </c>
      <c r="H2956" s="182" t="n">
        <v>0</v>
      </c>
      <c r="I2956" s="182" t="n">
        <v>0</v>
      </c>
      <c r="J2956" s="182" t="n">
        <v>0</v>
      </c>
      <c r="K2956" s="182" t="n">
        <v>1.35</v>
      </c>
      <c r="L2956" s="182" t="n">
        <v>12</v>
      </c>
      <c r="M2956" s="182" t="n">
        <v>10.65</v>
      </c>
      <c r="N2956" s="182" t="n">
        <v>0</v>
      </c>
      <c r="O2956" s="183" t="n">
        <v>34</v>
      </c>
      <c r="P2956" s="183" t="n">
        <v>0</v>
      </c>
      <c r="Q2956" s="184" t="n">
        <v>693.6</v>
      </c>
      <c r="R2956" s="184" t="n">
        <v>0</v>
      </c>
      <c r="S2956" s="183" t="n">
        <v>0</v>
      </c>
      <c r="T2956" s="183" t="n">
        <v>0</v>
      </c>
      <c r="U2956" s="182" t="n">
        <v>0</v>
      </c>
      <c r="V2956" s="182" t="n">
        <v>0</v>
      </c>
      <c r="W2956" s="182" t="n">
        <v>0</v>
      </c>
      <c r="X2956" s="182" t="n">
        <v>0.79</v>
      </c>
      <c r="Y2956" s="182" t="n">
        <v>0</v>
      </c>
      <c r="Z2956" s="182" t="n">
        <v>0.08</v>
      </c>
      <c r="AA2956" s="182" t="n">
        <v>0</v>
      </c>
      <c r="AB2956" s="182" t="n">
        <v>0</v>
      </c>
      <c r="AC2956" s="182" t="n">
        <v>0</v>
      </c>
      <c r="AD2956" s="182" t="n">
        <v>0</v>
      </c>
      <c r="AE2956" s="182" t="n">
        <v>0</v>
      </c>
      <c r="AF2956" s="182" t="n">
        <v>0</v>
      </c>
      <c r="AG2956" s="182" t="n">
        <v>0</v>
      </c>
      <c r="AH2956" s="182" t="n">
        <v>0.41</v>
      </c>
      <c r="AI2956" s="182" t="n">
        <v>0</v>
      </c>
      <c r="AJ2956" s="182" t="n">
        <v>0</v>
      </c>
      <c r="AK2956" s="182" t="n">
        <v>0</v>
      </c>
      <c r="AL2956" s="182" t="n">
        <v>0</v>
      </c>
      <c r="AM2956" s="182" t="n">
        <v>0.06</v>
      </c>
      <c r="AN2956" s="182" t="n">
        <v>0</v>
      </c>
    </row>
    <row r="2957">
      <c r="A2957" s="155" t="n">
        <v>46095</v>
      </c>
      <c r="B2957" s="156" t="inlineStr">
        <is>
          <t>DS</t>
        </is>
      </c>
      <c r="C2957" s="156" t="inlineStr">
        <is>
          <t>DT-508</t>
        </is>
      </c>
      <c r="D2957" s="156" t="inlineStr">
        <is>
          <t>SKT 105S</t>
        </is>
      </c>
      <c r="E2957" s="156" t="inlineStr">
        <is>
          <t>Hauler</t>
        </is>
      </c>
      <c r="F2957" s="156" t="inlineStr">
        <is>
          <t>Hauling Coal &amp; OB</t>
        </is>
      </c>
      <c r="G2957" s="182" t="n">
        <v>2.83</v>
      </c>
      <c r="H2957" s="182" t="n">
        <v>0</v>
      </c>
      <c r="I2957" s="182" t="n">
        <v>1.17</v>
      </c>
      <c r="J2957" s="182" t="n">
        <v>1.17</v>
      </c>
      <c r="K2957" s="182" t="n">
        <v>8</v>
      </c>
      <c r="L2957" s="182" t="n">
        <v>12</v>
      </c>
      <c r="M2957" s="182" t="n">
        <v>0.65</v>
      </c>
      <c r="N2957" s="182" t="n">
        <v>2.18</v>
      </c>
      <c r="O2957" s="183" t="n">
        <v>2</v>
      </c>
      <c r="P2957" s="183" t="n">
        <v>4</v>
      </c>
      <c r="Q2957" s="184" t="n">
        <v>32.6</v>
      </c>
      <c r="R2957" s="184" t="n">
        <v>74.8</v>
      </c>
      <c r="S2957" s="183" t="n">
        <v>0</v>
      </c>
      <c r="T2957" s="183" t="n">
        <v>0</v>
      </c>
      <c r="U2957" s="182" t="n">
        <v>0</v>
      </c>
      <c r="V2957" s="182" t="n">
        <v>0</v>
      </c>
      <c r="W2957" s="182" t="n">
        <v>0</v>
      </c>
      <c r="X2957" s="182" t="n">
        <v>0.97</v>
      </c>
      <c r="Y2957" s="182" t="n">
        <v>0</v>
      </c>
      <c r="Z2957" s="182" t="n">
        <v>0.1</v>
      </c>
      <c r="AA2957" s="182" t="n">
        <v>0</v>
      </c>
      <c r="AB2957" s="182" t="n">
        <v>0</v>
      </c>
      <c r="AC2957" s="182" t="n">
        <v>0</v>
      </c>
      <c r="AD2957" s="182" t="n">
        <v>0</v>
      </c>
      <c r="AE2957" s="182" t="n">
        <v>0</v>
      </c>
      <c r="AF2957" s="182" t="n">
        <v>0</v>
      </c>
      <c r="AG2957" s="182" t="n">
        <v>0</v>
      </c>
      <c r="AH2957" s="182" t="n">
        <v>0</v>
      </c>
      <c r="AI2957" s="182" t="n">
        <v>6.85</v>
      </c>
      <c r="AJ2957" s="182" t="n">
        <v>0</v>
      </c>
      <c r="AK2957" s="182" t="n">
        <v>0</v>
      </c>
      <c r="AL2957" s="182" t="n">
        <v>0</v>
      </c>
      <c r="AM2957" s="182" t="n">
        <v>0.08</v>
      </c>
      <c r="AN2957" s="182" t="n">
        <v>0</v>
      </c>
    </row>
    <row r="2958">
      <c r="A2958" s="155" t="n">
        <v>46095</v>
      </c>
      <c r="B2958" s="156" t="inlineStr">
        <is>
          <t>DS</t>
        </is>
      </c>
      <c r="C2958" s="156" t="inlineStr">
        <is>
          <t>DT-515</t>
        </is>
      </c>
      <c r="D2958" s="156" t="inlineStr">
        <is>
          <t>SKT 105S</t>
        </is>
      </c>
      <c r="E2958" s="156" t="inlineStr">
        <is>
          <t>Hauler</t>
        </is>
      </c>
      <c r="F2958" s="156" t="inlineStr"/>
      <c r="G2958" s="182" t="n">
        <v>0</v>
      </c>
      <c r="H2958" s="182" t="n">
        <v>12</v>
      </c>
      <c r="I2958" s="182" t="n">
        <v>0</v>
      </c>
      <c r="J2958" s="182" t="n">
        <v>12</v>
      </c>
      <c r="K2958" s="182" t="n">
        <v>0</v>
      </c>
      <c r="L2958" s="182" t="n">
        <v>12</v>
      </c>
      <c r="M2958" s="182" t="n">
        <v>0</v>
      </c>
      <c r="N2958" s="182" t="n">
        <v>0</v>
      </c>
      <c r="O2958" s="183" t="n">
        <v>0</v>
      </c>
      <c r="P2958" s="183" t="n">
        <v>0</v>
      </c>
      <c r="Q2958" s="184" t="n">
        <v>0</v>
      </c>
      <c r="R2958" s="184" t="n">
        <v>0</v>
      </c>
      <c r="S2958" s="183" t="n">
        <v>0</v>
      </c>
      <c r="T2958" s="183" t="n">
        <v>0</v>
      </c>
      <c r="U2958" s="182" t="n">
        <v>0</v>
      </c>
      <c r="V2958" s="182" t="n">
        <v>0</v>
      </c>
      <c r="W2958" s="182" t="n">
        <v>0</v>
      </c>
      <c r="X2958" s="182" t="n">
        <v>0</v>
      </c>
      <c r="Y2958" s="182" t="n">
        <v>0</v>
      </c>
      <c r="Z2958" s="182" t="n">
        <v>0</v>
      </c>
      <c r="AA2958" s="182" t="n">
        <v>0</v>
      </c>
      <c r="AB2958" s="182" t="n">
        <v>0</v>
      </c>
      <c r="AC2958" s="182" t="n">
        <v>0</v>
      </c>
      <c r="AD2958" s="182" t="n">
        <v>0</v>
      </c>
      <c r="AE2958" s="182" t="n">
        <v>0</v>
      </c>
      <c r="AF2958" s="182" t="n">
        <v>0</v>
      </c>
      <c r="AG2958" s="182" t="n">
        <v>0</v>
      </c>
      <c r="AH2958" s="182" t="n">
        <v>0</v>
      </c>
      <c r="AI2958" s="182" t="n">
        <v>0</v>
      </c>
      <c r="AJ2958" s="182" t="n">
        <v>0</v>
      </c>
      <c r="AK2958" s="182" t="n">
        <v>0</v>
      </c>
      <c r="AL2958" s="182" t="n">
        <v>0</v>
      </c>
      <c r="AM2958" s="182" t="n">
        <v>0</v>
      </c>
      <c r="AN2958" s="182" t="n">
        <v>0</v>
      </c>
    </row>
    <row r="2959">
      <c r="A2959" s="155" t="n">
        <v>46095</v>
      </c>
      <c r="B2959" s="156" t="inlineStr">
        <is>
          <t>DS</t>
        </is>
      </c>
      <c r="C2959" s="156" t="inlineStr">
        <is>
          <t>DT-524</t>
        </is>
      </c>
      <c r="D2959" s="156" t="inlineStr">
        <is>
          <t>SKT 105S</t>
        </is>
      </c>
      <c r="E2959" s="156" t="inlineStr">
        <is>
          <t>Hauler</t>
        </is>
      </c>
      <c r="F2959" s="156" t="inlineStr">
        <is>
          <t>Hauling OB</t>
        </is>
      </c>
      <c r="G2959" s="182" t="n">
        <v>10.61</v>
      </c>
      <c r="H2959" s="182" t="n">
        <v>0</v>
      </c>
      <c r="I2959" s="182" t="n">
        <v>0</v>
      </c>
      <c r="J2959" s="182" t="n">
        <v>0</v>
      </c>
      <c r="K2959" s="182" t="n">
        <v>1.39</v>
      </c>
      <c r="L2959" s="182" t="n">
        <v>12</v>
      </c>
      <c r="M2959" s="182" t="n">
        <v>10.38</v>
      </c>
      <c r="N2959" s="182" t="n">
        <v>0</v>
      </c>
      <c r="O2959" s="183" t="n">
        <v>34</v>
      </c>
      <c r="P2959" s="183" t="n">
        <v>0</v>
      </c>
      <c r="Q2959" s="184" t="n">
        <v>693.6</v>
      </c>
      <c r="R2959" s="184" t="n">
        <v>0</v>
      </c>
      <c r="S2959" s="183" t="n">
        <v>0</v>
      </c>
      <c r="T2959" s="183" t="n">
        <v>0</v>
      </c>
      <c r="U2959" s="182" t="n">
        <v>0</v>
      </c>
      <c r="V2959" s="182" t="n">
        <v>0</v>
      </c>
      <c r="W2959" s="182" t="n">
        <v>0</v>
      </c>
      <c r="X2959" s="182" t="n">
        <v>0.99</v>
      </c>
      <c r="Y2959" s="182" t="n">
        <v>0</v>
      </c>
      <c r="Z2959" s="182" t="n">
        <v>0.1</v>
      </c>
      <c r="AA2959" s="182" t="n">
        <v>0</v>
      </c>
      <c r="AB2959" s="182" t="n">
        <v>0</v>
      </c>
      <c r="AC2959" s="182" t="n">
        <v>0</v>
      </c>
      <c r="AD2959" s="182" t="n">
        <v>0</v>
      </c>
      <c r="AE2959" s="182" t="n">
        <v>0</v>
      </c>
      <c r="AF2959" s="182" t="n">
        <v>0</v>
      </c>
      <c r="AG2959" s="182" t="n">
        <v>0</v>
      </c>
      <c r="AH2959" s="182" t="n">
        <v>0.22</v>
      </c>
      <c r="AI2959" s="182" t="n">
        <v>0</v>
      </c>
      <c r="AJ2959" s="182" t="n">
        <v>0</v>
      </c>
      <c r="AK2959" s="182" t="n">
        <v>0</v>
      </c>
      <c r="AL2959" s="182" t="n">
        <v>0</v>
      </c>
      <c r="AM2959" s="182" t="n">
        <v>0.08</v>
      </c>
      <c r="AN2959" s="182" t="n">
        <v>0</v>
      </c>
    </row>
    <row r="2960">
      <c r="A2960" s="155" t="n">
        <v>46095</v>
      </c>
      <c r="B2960" s="156" t="inlineStr">
        <is>
          <t>DS</t>
        </is>
      </c>
      <c r="C2960" s="156" t="inlineStr">
        <is>
          <t>DT-341</t>
        </is>
      </c>
      <c r="D2960" s="156" t="inlineStr">
        <is>
          <t>SYZ324C-8W</t>
        </is>
      </c>
      <c r="E2960" s="156" t="inlineStr">
        <is>
          <t>Hauler</t>
        </is>
      </c>
      <c r="F2960" s="156" t="inlineStr">
        <is>
          <t>Rehandling Dirty</t>
        </is>
      </c>
      <c r="G2960" s="182" t="n">
        <v>7.57</v>
      </c>
      <c r="H2960" s="182" t="n">
        <v>0</v>
      </c>
      <c r="I2960" s="182" t="n">
        <v>0</v>
      </c>
      <c r="J2960" s="182" t="n">
        <v>0</v>
      </c>
      <c r="K2960" s="182" t="n">
        <v>4.43</v>
      </c>
      <c r="L2960" s="182" t="n">
        <v>12</v>
      </c>
      <c r="M2960" s="182" t="n">
        <v>0</v>
      </c>
      <c r="N2960" s="182" t="n">
        <v>0</v>
      </c>
      <c r="O2960" s="183" t="n">
        <v>0</v>
      </c>
      <c r="P2960" s="183" t="n">
        <v>0</v>
      </c>
      <c r="Q2960" s="184" t="n">
        <v>0</v>
      </c>
      <c r="R2960" s="184" t="n">
        <v>0</v>
      </c>
      <c r="S2960" s="183" t="n">
        <v>0</v>
      </c>
      <c r="T2960" s="183" t="n">
        <v>0</v>
      </c>
      <c r="U2960" s="182" t="n">
        <v>0</v>
      </c>
      <c r="V2960" s="182" t="n">
        <v>0</v>
      </c>
      <c r="W2960" s="182" t="n">
        <v>0</v>
      </c>
      <c r="X2960" s="182" t="n">
        <v>1.01</v>
      </c>
      <c r="Y2960" s="182" t="n">
        <v>0</v>
      </c>
      <c r="Z2960" s="182" t="n">
        <v>0</v>
      </c>
      <c r="AA2960" s="182" t="n">
        <v>0</v>
      </c>
      <c r="AB2960" s="182" t="n">
        <v>0</v>
      </c>
      <c r="AC2960" s="182" t="n">
        <v>0</v>
      </c>
      <c r="AD2960" s="182" t="n">
        <v>0</v>
      </c>
      <c r="AE2960" s="182" t="n">
        <v>0</v>
      </c>
      <c r="AF2960" s="182" t="n">
        <v>0</v>
      </c>
      <c r="AG2960" s="182" t="n">
        <v>0</v>
      </c>
      <c r="AH2960" s="182" t="n">
        <v>0</v>
      </c>
      <c r="AI2960" s="182" t="n">
        <v>0</v>
      </c>
      <c r="AJ2960" s="182" t="n">
        <v>0</v>
      </c>
      <c r="AK2960" s="182" t="n">
        <v>3.34</v>
      </c>
      <c r="AL2960" s="182" t="n">
        <v>0</v>
      </c>
      <c r="AM2960" s="182" t="n">
        <v>0.08</v>
      </c>
      <c r="AN2960" s="182" t="n">
        <v>0</v>
      </c>
    </row>
    <row r="2961">
      <c r="A2961" s="155" t="n">
        <v>46095</v>
      </c>
      <c r="B2961" s="156" t="inlineStr">
        <is>
          <t>DS</t>
        </is>
      </c>
      <c r="C2961" s="156" t="inlineStr">
        <is>
          <t>DT-342</t>
        </is>
      </c>
      <c r="D2961" s="156" t="inlineStr">
        <is>
          <t>SYZ324C-8W</t>
        </is>
      </c>
      <c r="E2961" s="156" t="inlineStr">
        <is>
          <t>Hauler</t>
        </is>
      </c>
      <c r="F2961" s="156" t="inlineStr">
        <is>
          <t>Rehandling Dirty</t>
        </is>
      </c>
      <c r="G2961" s="182" t="n">
        <v>7.74</v>
      </c>
      <c r="H2961" s="182" t="n">
        <v>0</v>
      </c>
      <c r="I2961" s="182" t="n">
        <v>0</v>
      </c>
      <c r="J2961" s="182" t="n">
        <v>0</v>
      </c>
      <c r="K2961" s="182" t="n">
        <v>4.26</v>
      </c>
      <c r="L2961" s="182" t="n">
        <v>12</v>
      </c>
      <c r="M2961" s="182" t="n">
        <v>0</v>
      </c>
      <c r="N2961" s="182" t="n">
        <v>0</v>
      </c>
      <c r="O2961" s="183" t="n">
        <v>0</v>
      </c>
      <c r="P2961" s="183" t="n">
        <v>0</v>
      </c>
      <c r="Q2961" s="184" t="n">
        <v>0</v>
      </c>
      <c r="R2961" s="184" t="n">
        <v>0</v>
      </c>
      <c r="S2961" s="183" t="n">
        <v>0</v>
      </c>
      <c r="T2961" s="183" t="n">
        <v>0</v>
      </c>
      <c r="U2961" s="182" t="n">
        <v>0</v>
      </c>
      <c r="V2961" s="182" t="n">
        <v>0</v>
      </c>
      <c r="W2961" s="182" t="n">
        <v>0</v>
      </c>
      <c r="X2961" s="182" t="n">
        <v>1.04</v>
      </c>
      <c r="Y2961" s="182" t="n">
        <v>0</v>
      </c>
      <c r="Z2961" s="182" t="n">
        <v>0</v>
      </c>
      <c r="AA2961" s="182" t="n">
        <v>0</v>
      </c>
      <c r="AB2961" s="182" t="n">
        <v>0</v>
      </c>
      <c r="AC2961" s="182" t="n">
        <v>0</v>
      </c>
      <c r="AD2961" s="182" t="n">
        <v>0</v>
      </c>
      <c r="AE2961" s="182" t="n">
        <v>0</v>
      </c>
      <c r="AF2961" s="182" t="n">
        <v>0</v>
      </c>
      <c r="AG2961" s="182" t="n">
        <v>0</v>
      </c>
      <c r="AH2961" s="182" t="n">
        <v>0</v>
      </c>
      <c r="AI2961" s="182" t="n">
        <v>0</v>
      </c>
      <c r="AJ2961" s="182" t="n">
        <v>0</v>
      </c>
      <c r="AK2961" s="182" t="n">
        <v>3.14</v>
      </c>
      <c r="AL2961" s="182" t="n">
        <v>0</v>
      </c>
      <c r="AM2961" s="182" t="n">
        <v>0.08</v>
      </c>
      <c r="AN2961" s="182" t="n">
        <v>0</v>
      </c>
    </row>
    <row r="2962">
      <c r="A2962" s="155" t="n">
        <v>46095</v>
      </c>
      <c r="B2962" s="156" t="inlineStr">
        <is>
          <t>DS</t>
        </is>
      </c>
      <c r="C2962" s="156" t="inlineStr">
        <is>
          <t>HD-903</t>
        </is>
      </c>
      <c r="D2962" s="156" t="inlineStr">
        <is>
          <t>SRT 95C</t>
        </is>
      </c>
      <c r="E2962" s="156" t="inlineStr">
        <is>
          <t>Hauler</t>
        </is>
      </c>
      <c r="F2962" s="156" t="inlineStr">
        <is>
          <t>Hauling OB</t>
        </is>
      </c>
      <c r="G2962" s="182" t="n">
        <v>2.21</v>
      </c>
      <c r="H2962" s="182" t="n">
        <v>0</v>
      </c>
      <c r="I2962" s="182" t="n">
        <v>0</v>
      </c>
      <c r="J2962" s="182" t="n">
        <v>0</v>
      </c>
      <c r="K2962" s="182" t="n">
        <v>9.789999999999999</v>
      </c>
      <c r="L2962" s="182" t="n">
        <v>12</v>
      </c>
      <c r="M2962" s="182" t="n">
        <v>2.21</v>
      </c>
      <c r="N2962" s="182" t="n">
        <v>0</v>
      </c>
      <c r="O2962" s="183" t="n">
        <v>3</v>
      </c>
      <c r="P2962" s="183" t="n">
        <v>0</v>
      </c>
      <c r="Q2962" s="184" t="n">
        <v>107.1</v>
      </c>
      <c r="R2962" s="184" t="n">
        <v>0</v>
      </c>
      <c r="S2962" s="183" t="n">
        <v>0</v>
      </c>
      <c r="T2962" s="183" t="n">
        <v>0</v>
      </c>
      <c r="U2962" s="182" t="n">
        <v>0</v>
      </c>
      <c r="V2962" s="182" t="n">
        <v>0</v>
      </c>
      <c r="W2962" s="182" t="n">
        <v>0</v>
      </c>
      <c r="X2962" s="182" t="n">
        <v>0.98</v>
      </c>
      <c r="Y2962" s="182" t="n">
        <v>0</v>
      </c>
      <c r="Z2962" s="182" t="n">
        <v>0</v>
      </c>
      <c r="AA2962" s="182" t="n">
        <v>0</v>
      </c>
      <c r="AB2962" s="182" t="n">
        <v>0</v>
      </c>
      <c r="AC2962" s="182" t="n">
        <v>0</v>
      </c>
      <c r="AD2962" s="182" t="n">
        <v>0</v>
      </c>
      <c r="AE2962" s="182" t="n">
        <v>8.73</v>
      </c>
      <c r="AF2962" s="182" t="n">
        <v>0</v>
      </c>
      <c r="AG2962" s="182" t="n">
        <v>0</v>
      </c>
      <c r="AH2962" s="182" t="n">
        <v>0</v>
      </c>
      <c r="AI2962" s="182" t="n">
        <v>0</v>
      </c>
      <c r="AJ2962" s="182" t="n">
        <v>0</v>
      </c>
      <c r="AK2962" s="182" t="n">
        <v>0</v>
      </c>
      <c r="AL2962" s="182" t="n">
        <v>0</v>
      </c>
      <c r="AM2962" s="182" t="n">
        <v>0.08</v>
      </c>
      <c r="AN2962" s="182" t="n">
        <v>0</v>
      </c>
    </row>
    <row r="2963">
      <c r="A2963" s="155" t="n">
        <v>46095</v>
      </c>
      <c r="B2963" s="156" t="inlineStr">
        <is>
          <t>DS</t>
        </is>
      </c>
      <c r="C2963" s="156" t="inlineStr">
        <is>
          <t>HD-905</t>
        </is>
      </c>
      <c r="D2963" s="156" t="inlineStr">
        <is>
          <t>SRT 95C</t>
        </is>
      </c>
      <c r="E2963" s="156" t="inlineStr">
        <is>
          <t>Hauler</t>
        </is>
      </c>
      <c r="F2963" s="156" t="inlineStr">
        <is>
          <t>Hauling OB</t>
        </is>
      </c>
      <c r="G2963" s="182" t="n">
        <v>9.5</v>
      </c>
      <c r="H2963" s="182" t="n">
        <v>0</v>
      </c>
      <c r="I2963" s="182" t="n">
        <v>0</v>
      </c>
      <c r="J2963" s="182" t="n">
        <v>0</v>
      </c>
      <c r="K2963" s="182" t="n">
        <v>2.5</v>
      </c>
      <c r="L2963" s="182" t="n">
        <v>12</v>
      </c>
      <c r="M2963" s="182" t="n">
        <v>9.5</v>
      </c>
      <c r="N2963" s="182" t="n">
        <v>0</v>
      </c>
      <c r="O2963" s="183" t="n">
        <v>45</v>
      </c>
      <c r="P2963" s="183" t="n">
        <v>0</v>
      </c>
      <c r="Q2963" s="184" t="n">
        <v>1606.5</v>
      </c>
      <c r="R2963" s="184" t="n">
        <v>0</v>
      </c>
      <c r="S2963" s="183" t="n">
        <v>0</v>
      </c>
      <c r="T2963" s="183" t="n">
        <v>0</v>
      </c>
      <c r="U2963" s="182" t="n">
        <v>0</v>
      </c>
      <c r="V2963" s="182" t="n">
        <v>0</v>
      </c>
      <c r="W2963" s="182" t="n">
        <v>0</v>
      </c>
      <c r="X2963" s="182" t="n">
        <v>0.89</v>
      </c>
      <c r="Y2963" s="182" t="n">
        <v>0.09</v>
      </c>
      <c r="Z2963" s="182" t="n">
        <v>0</v>
      </c>
      <c r="AA2963" s="182" t="n">
        <v>0</v>
      </c>
      <c r="AB2963" s="182" t="n">
        <v>0</v>
      </c>
      <c r="AC2963" s="182" t="n">
        <v>0</v>
      </c>
      <c r="AD2963" s="182" t="n">
        <v>1.34</v>
      </c>
      <c r="AE2963" s="182" t="n">
        <v>0</v>
      </c>
      <c r="AF2963" s="182" t="n">
        <v>0</v>
      </c>
      <c r="AG2963" s="182" t="n">
        <v>0</v>
      </c>
      <c r="AH2963" s="182" t="n">
        <v>0.11</v>
      </c>
      <c r="AI2963" s="182" t="n">
        <v>0</v>
      </c>
      <c r="AJ2963" s="182" t="n">
        <v>0</v>
      </c>
      <c r="AK2963" s="182" t="n">
        <v>0</v>
      </c>
      <c r="AL2963" s="182" t="n">
        <v>0</v>
      </c>
      <c r="AM2963" s="182" t="n">
        <v>0.07000000000000001</v>
      </c>
      <c r="AN2963" s="182" t="n">
        <v>0</v>
      </c>
    </row>
    <row r="2964">
      <c r="A2964" s="155" t="n">
        <v>46095</v>
      </c>
      <c r="B2964" s="156" t="inlineStr">
        <is>
          <t>DS</t>
        </is>
      </c>
      <c r="C2964" s="156" t="inlineStr">
        <is>
          <t>HD-901</t>
        </is>
      </c>
      <c r="D2964" s="156" t="inlineStr">
        <is>
          <t>SRT 95C</t>
        </is>
      </c>
      <c r="E2964" s="156" t="inlineStr">
        <is>
          <t>Hauler</t>
        </is>
      </c>
      <c r="F2964" s="156" t="inlineStr">
        <is>
          <t>Hauling OB</t>
        </is>
      </c>
      <c r="G2964" s="182" t="n">
        <v>9.029999999999999</v>
      </c>
      <c r="H2964" s="182" t="n">
        <v>0</v>
      </c>
      <c r="I2964" s="182" t="n">
        <v>0.92</v>
      </c>
      <c r="J2964" s="182" t="n">
        <v>0.92</v>
      </c>
      <c r="K2964" s="182" t="n">
        <v>2.05</v>
      </c>
      <c r="L2964" s="182" t="n">
        <v>12</v>
      </c>
      <c r="M2964" s="182" t="n">
        <v>9.029999999999999</v>
      </c>
      <c r="N2964" s="182" t="n">
        <v>0</v>
      </c>
      <c r="O2964" s="183" t="n">
        <v>47</v>
      </c>
      <c r="P2964" s="183" t="n">
        <v>0</v>
      </c>
      <c r="Q2964" s="184" t="n">
        <v>1677.9</v>
      </c>
      <c r="R2964" s="184" t="n">
        <v>0</v>
      </c>
      <c r="S2964" s="183" t="n">
        <v>0</v>
      </c>
      <c r="T2964" s="183" t="n">
        <v>0</v>
      </c>
      <c r="U2964" s="182" t="n">
        <v>0</v>
      </c>
      <c r="V2964" s="182" t="n">
        <v>0</v>
      </c>
      <c r="W2964" s="182" t="n">
        <v>0</v>
      </c>
      <c r="X2964" s="182" t="n">
        <v>1.04</v>
      </c>
      <c r="Y2964" s="182" t="n">
        <v>0.1</v>
      </c>
      <c r="Z2964" s="182" t="n">
        <v>0</v>
      </c>
      <c r="AA2964" s="182" t="n">
        <v>0</v>
      </c>
      <c r="AB2964" s="182" t="n">
        <v>0</v>
      </c>
      <c r="AC2964" s="182" t="n">
        <v>0</v>
      </c>
      <c r="AD2964" s="182" t="n">
        <v>0.83</v>
      </c>
      <c r="AE2964" s="182" t="n">
        <v>0</v>
      </c>
      <c r="AF2964" s="182" t="n">
        <v>0</v>
      </c>
      <c r="AG2964" s="182" t="n">
        <v>0</v>
      </c>
      <c r="AH2964" s="182" t="n">
        <v>0</v>
      </c>
      <c r="AI2964" s="182" t="n">
        <v>0</v>
      </c>
      <c r="AJ2964" s="182" t="n">
        <v>0</v>
      </c>
      <c r="AK2964" s="182" t="n">
        <v>0</v>
      </c>
      <c r="AL2964" s="182" t="n">
        <v>0</v>
      </c>
      <c r="AM2964" s="182" t="n">
        <v>0.08</v>
      </c>
      <c r="AN2964" s="182" t="n">
        <v>0</v>
      </c>
    </row>
    <row r="2965">
      <c r="A2965" s="155" t="n">
        <v>46095</v>
      </c>
      <c r="B2965" s="156" t="inlineStr">
        <is>
          <t>DS</t>
        </is>
      </c>
      <c r="C2965" s="156" t="inlineStr">
        <is>
          <t>HD-904</t>
        </is>
      </c>
      <c r="D2965" s="156" t="inlineStr">
        <is>
          <t>SRT 95C</t>
        </is>
      </c>
      <c r="E2965" s="156" t="inlineStr">
        <is>
          <t>Hauler</t>
        </is>
      </c>
      <c r="F2965" s="156" t="inlineStr">
        <is>
          <t>Hauling OB</t>
        </is>
      </c>
      <c r="G2965" s="182" t="n">
        <v>7.59</v>
      </c>
      <c r="H2965" s="182" t="n">
        <v>0</v>
      </c>
      <c r="I2965" s="182" t="n">
        <v>1</v>
      </c>
      <c r="J2965" s="182" t="n">
        <v>1</v>
      </c>
      <c r="K2965" s="182" t="n">
        <v>3.41</v>
      </c>
      <c r="L2965" s="182" t="n">
        <v>12</v>
      </c>
      <c r="M2965" s="182" t="n">
        <v>7.59</v>
      </c>
      <c r="N2965" s="182" t="n">
        <v>0</v>
      </c>
      <c r="O2965" s="183" t="n">
        <v>29</v>
      </c>
      <c r="P2965" s="183" t="n">
        <v>0</v>
      </c>
      <c r="Q2965" s="184" t="n">
        <v>1035.3</v>
      </c>
      <c r="R2965" s="184" t="n">
        <v>0</v>
      </c>
      <c r="S2965" s="183" t="n">
        <v>0</v>
      </c>
      <c r="T2965" s="183" t="n">
        <v>0</v>
      </c>
      <c r="U2965" s="182" t="n">
        <v>0</v>
      </c>
      <c r="V2965" s="182" t="n">
        <v>0</v>
      </c>
      <c r="W2965" s="182" t="n">
        <v>0</v>
      </c>
      <c r="X2965" s="182" t="n">
        <v>1.1</v>
      </c>
      <c r="Y2965" s="182" t="n">
        <v>0.11</v>
      </c>
      <c r="Z2965" s="182" t="n">
        <v>0</v>
      </c>
      <c r="AA2965" s="182" t="n">
        <v>0</v>
      </c>
      <c r="AB2965" s="182" t="n">
        <v>0</v>
      </c>
      <c r="AC2965" s="182" t="n">
        <v>0</v>
      </c>
      <c r="AD2965" s="182" t="n">
        <v>1.65</v>
      </c>
      <c r="AE2965" s="182" t="n">
        <v>0</v>
      </c>
      <c r="AF2965" s="182" t="n">
        <v>0</v>
      </c>
      <c r="AG2965" s="182" t="n">
        <v>0</v>
      </c>
      <c r="AH2965" s="182" t="n">
        <v>0.46</v>
      </c>
      <c r="AI2965" s="182" t="n">
        <v>0</v>
      </c>
      <c r="AJ2965" s="182" t="n">
        <v>0</v>
      </c>
      <c r="AK2965" s="182" t="n">
        <v>0</v>
      </c>
      <c r="AL2965" s="182" t="n">
        <v>0</v>
      </c>
      <c r="AM2965" s="182" t="n">
        <v>0.09</v>
      </c>
      <c r="AN2965" s="182" t="n">
        <v>0</v>
      </c>
    </row>
    <row r="2966">
      <c r="A2966" s="155" t="n">
        <v>46095</v>
      </c>
      <c r="B2966" s="156" t="inlineStr">
        <is>
          <t>DS</t>
        </is>
      </c>
      <c r="C2966" s="156" t="inlineStr">
        <is>
          <t>HD-902</t>
        </is>
      </c>
      <c r="D2966" s="156" t="inlineStr">
        <is>
          <t>SRT 95C</t>
        </is>
      </c>
      <c r="E2966" s="156" t="inlineStr">
        <is>
          <t>Hauler</t>
        </is>
      </c>
      <c r="F2966" s="156" t="inlineStr">
        <is>
          <t>Hauling OB</t>
        </is>
      </c>
      <c r="G2966" s="182" t="n">
        <v>9.35</v>
      </c>
      <c r="H2966" s="182" t="n">
        <v>0</v>
      </c>
      <c r="I2966" s="182" t="n">
        <v>0</v>
      </c>
      <c r="J2966" s="182" t="n">
        <v>0</v>
      </c>
      <c r="K2966" s="182" t="n">
        <v>2.65</v>
      </c>
      <c r="L2966" s="182" t="n">
        <v>12</v>
      </c>
      <c r="M2966" s="182" t="n">
        <v>9.35</v>
      </c>
      <c r="N2966" s="182" t="n">
        <v>0</v>
      </c>
      <c r="O2966" s="183" t="n">
        <v>36</v>
      </c>
      <c r="P2966" s="183" t="n">
        <v>0</v>
      </c>
      <c r="Q2966" s="184" t="n">
        <v>1285.2</v>
      </c>
      <c r="R2966" s="184" t="n">
        <v>0</v>
      </c>
      <c r="S2966" s="183" t="n">
        <v>0</v>
      </c>
      <c r="T2966" s="183" t="n">
        <v>0</v>
      </c>
      <c r="U2966" s="182" t="n">
        <v>0</v>
      </c>
      <c r="V2966" s="182" t="n">
        <v>0</v>
      </c>
      <c r="W2966" s="182" t="n">
        <v>0</v>
      </c>
      <c r="X2966" s="182" t="n">
        <v>1.02</v>
      </c>
      <c r="Y2966" s="182" t="n">
        <v>0.1</v>
      </c>
      <c r="Z2966" s="182" t="n">
        <v>0</v>
      </c>
      <c r="AA2966" s="182" t="n">
        <v>0</v>
      </c>
      <c r="AB2966" s="182" t="n">
        <v>0</v>
      </c>
      <c r="AC2966" s="182" t="n">
        <v>0</v>
      </c>
      <c r="AD2966" s="182" t="n">
        <v>1.45</v>
      </c>
      <c r="AE2966" s="182" t="n">
        <v>0</v>
      </c>
      <c r="AF2966" s="182" t="n">
        <v>0</v>
      </c>
      <c r="AG2966" s="182" t="n">
        <v>0</v>
      </c>
      <c r="AH2966" s="182" t="n">
        <v>0</v>
      </c>
      <c r="AI2966" s="182" t="n">
        <v>0</v>
      </c>
      <c r="AJ2966" s="182" t="n">
        <v>0</v>
      </c>
      <c r="AK2966" s="182" t="n">
        <v>0</v>
      </c>
      <c r="AL2966" s="182" t="n">
        <v>0</v>
      </c>
      <c r="AM2966" s="182" t="n">
        <v>0.08</v>
      </c>
      <c r="AN2966" s="182" t="n">
        <v>0</v>
      </c>
    </row>
    <row r="2967">
      <c r="A2967" s="155" t="n">
        <v>46095</v>
      </c>
      <c r="B2967" s="156" t="inlineStr">
        <is>
          <t>DS</t>
        </is>
      </c>
      <c r="C2967" s="156" t="inlineStr">
        <is>
          <t>WL-025</t>
        </is>
      </c>
      <c r="D2967" s="156" t="inlineStr">
        <is>
          <t>SANY - Loader</t>
        </is>
      </c>
      <c r="E2967" s="156" t="inlineStr">
        <is>
          <t>Loader</t>
        </is>
      </c>
      <c r="F2967" s="156" t="inlineStr"/>
      <c r="G2967" s="182" t="n">
        <v>0</v>
      </c>
      <c r="H2967" s="182" t="n">
        <v>0</v>
      </c>
      <c r="I2967" s="182" t="n">
        <v>0.5</v>
      </c>
      <c r="J2967" s="182" t="n">
        <v>0.5</v>
      </c>
      <c r="K2967" s="182" t="n">
        <v>11.5</v>
      </c>
      <c r="L2967" s="182" t="n">
        <v>12</v>
      </c>
      <c r="M2967" s="182" t="n">
        <v>0</v>
      </c>
      <c r="N2967" s="182" t="n">
        <v>0</v>
      </c>
      <c r="O2967" s="183" t="n">
        <v>0</v>
      </c>
      <c r="P2967" s="183" t="n">
        <v>0</v>
      </c>
      <c r="Q2967" s="184" t="n">
        <v>0</v>
      </c>
      <c r="R2967" s="184" t="n">
        <v>0</v>
      </c>
      <c r="S2967" s="183" t="n">
        <v>0</v>
      </c>
      <c r="T2967" s="183" t="n">
        <v>0</v>
      </c>
      <c r="U2967" s="182" t="n">
        <v>0</v>
      </c>
      <c r="V2967" s="182" t="n">
        <v>0</v>
      </c>
      <c r="W2967" s="182" t="n">
        <v>0</v>
      </c>
      <c r="X2967" s="182" t="n">
        <v>1</v>
      </c>
      <c r="Y2967" s="182" t="n">
        <v>0</v>
      </c>
      <c r="Z2967" s="182" t="n">
        <v>0</v>
      </c>
      <c r="AA2967" s="182" t="n">
        <v>0</v>
      </c>
      <c r="AB2967" s="182" t="n">
        <v>0</v>
      </c>
      <c r="AC2967" s="182" t="n">
        <v>0</v>
      </c>
      <c r="AD2967" s="182" t="n">
        <v>0</v>
      </c>
      <c r="AE2967" s="182" t="n">
        <v>0</v>
      </c>
      <c r="AF2967" s="182" t="n">
        <v>0</v>
      </c>
      <c r="AG2967" s="182" t="n">
        <v>0</v>
      </c>
      <c r="AH2967" s="182" t="n">
        <v>0</v>
      </c>
      <c r="AI2967" s="182" t="n">
        <v>0</v>
      </c>
      <c r="AJ2967" s="182" t="n">
        <v>0</v>
      </c>
      <c r="AK2967" s="182" t="n">
        <v>10.42</v>
      </c>
      <c r="AL2967" s="182" t="n">
        <v>0</v>
      </c>
      <c r="AM2967" s="182" t="n">
        <v>0.08</v>
      </c>
      <c r="AN2967" s="182" t="n">
        <v>0</v>
      </c>
    </row>
    <row r="2968">
      <c r="A2968" s="155" t="n">
        <v>46095</v>
      </c>
      <c r="B2968" s="156" t="inlineStr">
        <is>
          <t>DS</t>
        </is>
      </c>
      <c r="C2968" s="156" t="inlineStr">
        <is>
          <t>WL-023</t>
        </is>
      </c>
      <c r="D2968" s="156" t="inlineStr">
        <is>
          <t>SANY - Loader</t>
        </is>
      </c>
      <c r="E2968" s="156" t="inlineStr">
        <is>
          <t>Loader</t>
        </is>
      </c>
      <c r="F2968" s="156" t="inlineStr">
        <is>
          <t>Trimming Coal di Jetty</t>
        </is>
      </c>
      <c r="G2968" s="182" t="n">
        <v>9.609999999999999</v>
      </c>
      <c r="H2968" s="182" t="n">
        <v>0</v>
      </c>
      <c r="I2968" s="182" t="n">
        <v>0</v>
      </c>
      <c r="J2968" s="182" t="n">
        <v>0</v>
      </c>
      <c r="K2968" s="182" t="n">
        <v>2.39</v>
      </c>
      <c r="L2968" s="182" t="n">
        <v>12</v>
      </c>
      <c r="M2968" s="182" t="n">
        <v>0</v>
      </c>
      <c r="N2968" s="182" t="n">
        <v>0</v>
      </c>
      <c r="O2968" s="183" t="n">
        <v>0</v>
      </c>
      <c r="P2968" s="183" t="n">
        <v>0</v>
      </c>
      <c r="Q2968" s="184" t="n">
        <v>0</v>
      </c>
      <c r="R2968" s="184" t="n">
        <v>0</v>
      </c>
      <c r="S2968" s="183" t="n">
        <v>0</v>
      </c>
      <c r="T2968" s="183" t="n">
        <v>0</v>
      </c>
      <c r="U2968" s="182" t="n">
        <v>0</v>
      </c>
      <c r="V2968" s="182" t="n">
        <v>0</v>
      </c>
      <c r="W2968" s="182" t="n">
        <v>0</v>
      </c>
      <c r="X2968" s="182" t="n">
        <v>1</v>
      </c>
      <c r="Y2968" s="182" t="n">
        <v>0</v>
      </c>
      <c r="Z2968" s="182" t="n">
        <v>0</v>
      </c>
      <c r="AA2968" s="182" t="n">
        <v>0</v>
      </c>
      <c r="AB2968" s="182" t="n">
        <v>0</v>
      </c>
      <c r="AC2968" s="182" t="n">
        <v>0</v>
      </c>
      <c r="AD2968" s="182" t="n">
        <v>0</v>
      </c>
      <c r="AE2968" s="182" t="n">
        <v>0</v>
      </c>
      <c r="AF2968" s="182" t="n">
        <v>0</v>
      </c>
      <c r="AG2968" s="182" t="n">
        <v>0</v>
      </c>
      <c r="AH2968" s="182" t="n">
        <v>0</v>
      </c>
      <c r="AI2968" s="182" t="n">
        <v>0</v>
      </c>
      <c r="AJ2968" s="182" t="n">
        <v>0</v>
      </c>
      <c r="AK2968" s="182" t="n">
        <v>1.31</v>
      </c>
      <c r="AL2968" s="182" t="n">
        <v>0</v>
      </c>
      <c r="AM2968" s="182" t="n">
        <v>0.08</v>
      </c>
      <c r="AN2968" s="182" t="n">
        <v>0</v>
      </c>
    </row>
    <row r="2969">
      <c r="A2969" s="155" t="n">
        <v>46095</v>
      </c>
      <c r="B2969" s="156" t="inlineStr">
        <is>
          <t>DS</t>
        </is>
      </c>
      <c r="C2969" s="156" t="inlineStr">
        <is>
          <t>WL-021</t>
        </is>
      </c>
      <c r="D2969" s="156" t="inlineStr">
        <is>
          <t>SANY - Loader</t>
        </is>
      </c>
      <c r="E2969" s="156" t="inlineStr">
        <is>
          <t>Loader</t>
        </is>
      </c>
      <c r="F2969" s="156" t="inlineStr"/>
      <c r="G2969" s="182" t="n">
        <v>0</v>
      </c>
      <c r="H2969" s="182" t="n">
        <v>0</v>
      </c>
      <c r="I2969" s="182" t="n">
        <v>12</v>
      </c>
      <c r="J2969" s="182" t="n">
        <v>12</v>
      </c>
      <c r="K2969" s="182" t="n">
        <v>0</v>
      </c>
      <c r="L2969" s="182" t="n">
        <v>12</v>
      </c>
      <c r="M2969" s="182" t="n">
        <v>0</v>
      </c>
      <c r="N2969" s="182" t="n">
        <v>0</v>
      </c>
      <c r="O2969" s="183" t="n">
        <v>0</v>
      </c>
      <c r="P2969" s="183" t="n">
        <v>0</v>
      </c>
      <c r="Q2969" s="184" t="n">
        <v>0</v>
      </c>
      <c r="R2969" s="184" t="n">
        <v>0</v>
      </c>
      <c r="S2969" s="183" t="n">
        <v>0</v>
      </c>
      <c r="T2969" s="183" t="n">
        <v>0</v>
      </c>
      <c r="U2969" s="182" t="n">
        <v>0</v>
      </c>
      <c r="V2969" s="182" t="n">
        <v>0</v>
      </c>
      <c r="W2969" s="182" t="n">
        <v>0</v>
      </c>
      <c r="X2969" s="182" t="n">
        <v>0</v>
      </c>
      <c r="Y2969" s="182" t="n">
        <v>0</v>
      </c>
      <c r="Z2969" s="182" t="n">
        <v>0</v>
      </c>
      <c r="AA2969" s="182" t="n">
        <v>0</v>
      </c>
      <c r="AB2969" s="182" t="n">
        <v>0</v>
      </c>
      <c r="AC2969" s="182" t="n">
        <v>0</v>
      </c>
      <c r="AD2969" s="182" t="n">
        <v>0</v>
      </c>
      <c r="AE2969" s="182" t="n">
        <v>0</v>
      </c>
      <c r="AF2969" s="182" t="n">
        <v>0</v>
      </c>
      <c r="AG2969" s="182" t="n">
        <v>0</v>
      </c>
      <c r="AH2969" s="182" t="n">
        <v>0</v>
      </c>
      <c r="AI2969" s="182" t="n">
        <v>0</v>
      </c>
      <c r="AJ2969" s="182" t="n">
        <v>0</v>
      </c>
      <c r="AK2969" s="182" t="n">
        <v>0</v>
      </c>
      <c r="AL2969" s="182" t="n">
        <v>0</v>
      </c>
      <c r="AM2969" s="182" t="n">
        <v>0</v>
      </c>
      <c r="AN2969" s="182" t="n">
        <v>0</v>
      </c>
    </row>
    <row r="2970">
      <c r="A2970" s="155" t="n">
        <v>46095</v>
      </c>
      <c r="B2970" s="156" t="inlineStr">
        <is>
          <t>DS</t>
        </is>
      </c>
      <c r="C2970" s="156" t="inlineStr">
        <is>
          <t>WL-022</t>
        </is>
      </c>
      <c r="D2970" s="156" t="inlineStr">
        <is>
          <t>SANY - Loader</t>
        </is>
      </c>
      <c r="E2970" s="156" t="inlineStr">
        <is>
          <t>Loader</t>
        </is>
      </c>
      <c r="F2970" s="156" t="inlineStr">
        <is>
          <t>Trimming Coal di Stock ROM</t>
        </is>
      </c>
      <c r="G2970" s="182" t="n">
        <v>11.17</v>
      </c>
      <c r="H2970" s="182" t="n">
        <v>0</v>
      </c>
      <c r="I2970" s="182" t="n">
        <v>0</v>
      </c>
      <c r="J2970" s="182" t="n">
        <v>0</v>
      </c>
      <c r="K2970" s="182" t="n">
        <v>0.83</v>
      </c>
      <c r="L2970" s="182" t="n">
        <v>12</v>
      </c>
      <c r="M2970" s="182" t="n">
        <v>0</v>
      </c>
      <c r="N2970" s="182" t="n">
        <v>0</v>
      </c>
      <c r="O2970" s="183" t="n">
        <v>0</v>
      </c>
      <c r="P2970" s="183" t="n">
        <v>0</v>
      </c>
      <c r="Q2970" s="184" t="n">
        <v>0</v>
      </c>
      <c r="R2970" s="184" t="n">
        <v>0</v>
      </c>
      <c r="S2970" s="183" t="n">
        <v>0</v>
      </c>
      <c r="T2970" s="183" t="n">
        <v>0</v>
      </c>
      <c r="U2970" s="182" t="n">
        <v>0</v>
      </c>
      <c r="V2970" s="182" t="n">
        <v>0</v>
      </c>
      <c r="W2970" s="182" t="n">
        <v>0</v>
      </c>
      <c r="X2970" s="182" t="n">
        <v>0.6899999999999999</v>
      </c>
      <c r="Y2970" s="182" t="n">
        <v>0</v>
      </c>
      <c r="Z2970" s="182" t="n">
        <v>0</v>
      </c>
      <c r="AA2970" s="182" t="n">
        <v>0</v>
      </c>
      <c r="AB2970" s="182" t="n">
        <v>0</v>
      </c>
      <c r="AC2970" s="182" t="n">
        <v>0</v>
      </c>
      <c r="AD2970" s="182" t="n">
        <v>0</v>
      </c>
      <c r="AE2970" s="182" t="n">
        <v>0</v>
      </c>
      <c r="AF2970" s="182" t="n">
        <v>0</v>
      </c>
      <c r="AG2970" s="182" t="n">
        <v>0</v>
      </c>
      <c r="AH2970" s="182" t="n">
        <v>0</v>
      </c>
      <c r="AI2970" s="182" t="n">
        <v>0</v>
      </c>
      <c r="AJ2970" s="182" t="n">
        <v>0</v>
      </c>
      <c r="AK2970" s="182" t="n">
        <v>0.08</v>
      </c>
      <c r="AL2970" s="182" t="n">
        <v>0</v>
      </c>
      <c r="AM2970" s="182" t="n">
        <v>0.06</v>
      </c>
      <c r="AN2970" s="182" t="n">
        <v>0</v>
      </c>
    </row>
    <row r="2971">
      <c r="A2971" s="155" t="n">
        <v>46095</v>
      </c>
      <c r="B2971" s="156" t="inlineStr">
        <is>
          <t>DS</t>
        </is>
      </c>
      <c r="C2971" s="156" t="inlineStr">
        <is>
          <t>WL-024</t>
        </is>
      </c>
      <c r="D2971" s="156" t="inlineStr">
        <is>
          <t>SANY - Loader</t>
        </is>
      </c>
      <c r="E2971" s="156" t="inlineStr">
        <is>
          <t>Loader</t>
        </is>
      </c>
      <c r="F2971" s="156" t="inlineStr">
        <is>
          <t>Produksi Washing Plant</t>
        </is>
      </c>
      <c r="G2971" s="182" t="n">
        <v>11.98</v>
      </c>
      <c r="H2971" s="182" t="n">
        <v>0</v>
      </c>
      <c r="I2971" s="182" t="n">
        <v>0</v>
      </c>
      <c r="J2971" s="182" t="n">
        <v>0</v>
      </c>
      <c r="K2971" s="182" t="n">
        <v>0.02</v>
      </c>
      <c r="L2971" s="182" t="n">
        <v>12</v>
      </c>
      <c r="M2971" s="182" t="n">
        <v>0</v>
      </c>
      <c r="N2971" s="182" t="n">
        <v>0</v>
      </c>
      <c r="O2971" s="183" t="n">
        <v>0</v>
      </c>
      <c r="P2971" s="183" t="n">
        <v>0</v>
      </c>
      <c r="Q2971" s="184" t="n">
        <v>0</v>
      </c>
      <c r="R2971" s="184" t="n">
        <v>0</v>
      </c>
      <c r="S2971" s="183" t="n">
        <v>0</v>
      </c>
      <c r="T2971" s="183" t="n">
        <v>0</v>
      </c>
      <c r="U2971" s="182" t="n">
        <v>0</v>
      </c>
      <c r="V2971" s="182" t="n">
        <v>0</v>
      </c>
      <c r="W2971" s="182" t="n">
        <v>0</v>
      </c>
      <c r="X2971" s="182" t="n">
        <v>0</v>
      </c>
      <c r="Y2971" s="182" t="n">
        <v>0</v>
      </c>
      <c r="Z2971" s="182" t="n">
        <v>0</v>
      </c>
      <c r="AA2971" s="182" t="n">
        <v>0</v>
      </c>
      <c r="AB2971" s="182" t="n">
        <v>0</v>
      </c>
      <c r="AC2971" s="182" t="n">
        <v>0</v>
      </c>
      <c r="AD2971" s="182" t="n">
        <v>0</v>
      </c>
      <c r="AE2971" s="182" t="n">
        <v>0</v>
      </c>
      <c r="AF2971" s="182" t="n">
        <v>0</v>
      </c>
      <c r="AG2971" s="182" t="n">
        <v>0</v>
      </c>
      <c r="AH2971" s="182" t="n">
        <v>0</v>
      </c>
      <c r="AI2971" s="182" t="n">
        <v>0</v>
      </c>
      <c r="AJ2971" s="182" t="n">
        <v>0</v>
      </c>
      <c r="AK2971" s="182" t="n">
        <v>0</v>
      </c>
      <c r="AL2971" s="182" t="n">
        <v>0</v>
      </c>
      <c r="AM2971" s="182" t="n">
        <v>0.02</v>
      </c>
      <c r="AN2971" s="182" t="n">
        <v>0</v>
      </c>
    </row>
    <row r="2972">
      <c r="A2972" s="155" t="n">
        <v>46095</v>
      </c>
      <c r="B2972" s="156" t="inlineStr">
        <is>
          <t>NS</t>
        </is>
      </c>
      <c r="C2972" s="156" t="inlineStr">
        <is>
          <t>DZ-034</t>
        </is>
      </c>
      <c r="D2972" s="156" t="inlineStr">
        <is>
          <t>D 68ESS-12EO</t>
        </is>
      </c>
      <c r="E2972" s="156" t="inlineStr">
        <is>
          <t>Bulldozer</t>
        </is>
      </c>
      <c r="F2972" s="156" t="inlineStr">
        <is>
          <t>Trimming Coal di Stock ROM</t>
        </is>
      </c>
      <c r="G2972" s="182" t="n">
        <v>7.49</v>
      </c>
      <c r="H2972" s="182" t="n">
        <v>0</v>
      </c>
      <c r="I2972" s="182" t="n">
        <v>0</v>
      </c>
      <c r="J2972" s="182" t="n">
        <v>0</v>
      </c>
      <c r="K2972" s="182" t="n">
        <v>4.51</v>
      </c>
      <c r="L2972" s="182" t="n">
        <v>12</v>
      </c>
      <c r="M2972" s="182" t="n">
        <v>0</v>
      </c>
      <c r="N2972" s="182" t="n">
        <v>0</v>
      </c>
      <c r="O2972" s="183" t="n">
        <v>0</v>
      </c>
      <c r="P2972" s="183" t="n">
        <v>0</v>
      </c>
      <c r="Q2972" s="184" t="n">
        <v>0</v>
      </c>
      <c r="R2972" s="184" t="n">
        <v>0</v>
      </c>
      <c r="S2972" s="183" t="n">
        <v>0</v>
      </c>
      <c r="T2972" s="183" t="n">
        <v>0</v>
      </c>
      <c r="U2972" s="182" t="n">
        <v>0</v>
      </c>
      <c r="V2972" s="182" t="n">
        <v>0</v>
      </c>
      <c r="W2972" s="182" t="n">
        <v>0</v>
      </c>
      <c r="X2972" s="182" t="n">
        <v>1</v>
      </c>
      <c r="Y2972" s="182" t="n">
        <v>0</v>
      </c>
      <c r="Z2972" s="182" t="n">
        <v>0</v>
      </c>
      <c r="AA2972" s="182" t="n">
        <v>0</v>
      </c>
      <c r="AB2972" s="182" t="n">
        <v>0</v>
      </c>
      <c r="AC2972" s="182" t="n">
        <v>0</v>
      </c>
      <c r="AD2972" s="182" t="n">
        <v>0</v>
      </c>
      <c r="AE2972" s="182" t="n">
        <v>0</v>
      </c>
      <c r="AF2972" s="182" t="n">
        <v>0</v>
      </c>
      <c r="AG2972" s="182" t="n">
        <v>0</v>
      </c>
      <c r="AH2972" s="182" t="n">
        <v>0</v>
      </c>
      <c r="AI2972" s="182" t="n">
        <v>0</v>
      </c>
      <c r="AJ2972" s="182" t="n">
        <v>0</v>
      </c>
      <c r="AK2972" s="182" t="n">
        <v>3.43</v>
      </c>
      <c r="AL2972" s="182" t="n">
        <v>0</v>
      </c>
      <c r="AM2972" s="182" t="n">
        <v>0.08</v>
      </c>
      <c r="AN2972" s="182" t="n">
        <v>0</v>
      </c>
    </row>
    <row r="2973">
      <c r="A2973" s="155" t="n">
        <v>46095</v>
      </c>
      <c r="B2973" s="156" t="inlineStr">
        <is>
          <t>NS</t>
        </is>
      </c>
      <c r="C2973" s="156" t="inlineStr">
        <is>
          <t>DZ-033</t>
        </is>
      </c>
      <c r="D2973" s="156" t="inlineStr">
        <is>
          <t>D 375A-6R</t>
        </is>
      </c>
      <c r="E2973" s="156" t="inlineStr">
        <is>
          <t>Bulldozer</t>
        </is>
      </c>
      <c r="F2973" s="156" t="inlineStr">
        <is>
          <t>Support Disposal</t>
        </is>
      </c>
      <c r="G2973" s="182" t="n">
        <v>10.88</v>
      </c>
      <c r="H2973" s="182" t="n">
        <v>0</v>
      </c>
      <c r="I2973" s="182" t="n">
        <v>0.17</v>
      </c>
      <c r="J2973" s="182" t="n">
        <v>0.17</v>
      </c>
      <c r="K2973" s="182" t="n">
        <v>0.95</v>
      </c>
      <c r="L2973" s="182" t="n">
        <v>12</v>
      </c>
      <c r="M2973" s="182" t="n">
        <v>0</v>
      </c>
      <c r="N2973" s="182" t="n">
        <v>0</v>
      </c>
      <c r="O2973" s="183" t="n">
        <v>0</v>
      </c>
      <c r="P2973" s="183" t="n">
        <v>0</v>
      </c>
      <c r="Q2973" s="184" t="n">
        <v>0</v>
      </c>
      <c r="R2973" s="184" t="n">
        <v>0</v>
      </c>
      <c r="S2973" s="183" t="n">
        <v>0</v>
      </c>
      <c r="T2973" s="183" t="n">
        <v>0</v>
      </c>
      <c r="U2973" s="182" t="n">
        <v>0</v>
      </c>
      <c r="V2973" s="182" t="n">
        <v>0</v>
      </c>
      <c r="W2973" s="182" t="n">
        <v>0</v>
      </c>
      <c r="X2973" s="182" t="n">
        <v>0.86</v>
      </c>
      <c r="Y2973" s="182" t="n">
        <v>0</v>
      </c>
      <c r="Z2973" s="182" t="n">
        <v>0</v>
      </c>
      <c r="AA2973" s="182" t="n">
        <v>0</v>
      </c>
      <c r="AB2973" s="182" t="n">
        <v>0</v>
      </c>
      <c r="AC2973" s="182" t="n">
        <v>0</v>
      </c>
      <c r="AD2973" s="182" t="n">
        <v>0</v>
      </c>
      <c r="AE2973" s="182" t="n">
        <v>0</v>
      </c>
      <c r="AF2973" s="182" t="n">
        <v>0</v>
      </c>
      <c r="AG2973" s="182" t="n">
        <v>0</v>
      </c>
      <c r="AH2973" s="182" t="n">
        <v>0</v>
      </c>
      <c r="AI2973" s="182" t="n">
        <v>0</v>
      </c>
      <c r="AJ2973" s="182" t="n">
        <v>0</v>
      </c>
      <c r="AK2973" s="182" t="n">
        <v>0</v>
      </c>
      <c r="AL2973" s="182" t="n">
        <v>0</v>
      </c>
      <c r="AM2973" s="182" t="n">
        <v>0.09</v>
      </c>
      <c r="AN2973" s="182" t="n">
        <v>0</v>
      </c>
    </row>
    <row r="2974">
      <c r="A2974" s="155" t="n">
        <v>46095</v>
      </c>
      <c r="B2974" s="156" t="inlineStr">
        <is>
          <t>NS</t>
        </is>
      </c>
      <c r="C2974" s="156" t="inlineStr">
        <is>
          <t>DZ-038</t>
        </is>
      </c>
      <c r="D2974" s="156" t="inlineStr">
        <is>
          <t>D 85 ESS-2</t>
        </is>
      </c>
      <c r="E2974" s="156" t="inlineStr">
        <is>
          <t>Bulldozer</t>
        </is>
      </c>
      <c r="F2974" s="156" t="inlineStr"/>
      <c r="G2974" s="182" t="n">
        <v>0</v>
      </c>
      <c r="H2974" s="182" t="n">
        <v>0</v>
      </c>
      <c r="I2974" s="182" t="n">
        <v>12</v>
      </c>
      <c r="J2974" s="182" t="n">
        <v>12</v>
      </c>
      <c r="K2974" s="182" t="n">
        <v>0</v>
      </c>
      <c r="L2974" s="182" t="n">
        <v>12</v>
      </c>
      <c r="M2974" s="182" t="n">
        <v>0</v>
      </c>
      <c r="N2974" s="182" t="n">
        <v>0</v>
      </c>
      <c r="O2974" s="183" t="n">
        <v>0</v>
      </c>
      <c r="P2974" s="183" t="n">
        <v>0</v>
      </c>
      <c r="Q2974" s="184" t="n">
        <v>0</v>
      </c>
      <c r="R2974" s="184" t="n">
        <v>0</v>
      </c>
      <c r="S2974" s="183" t="n">
        <v>0</v>
      </c>
      <c r="T2974" s="183" t="n">
        <v>0</v>
      </c>
      <c r="U2974" s="182" t="n">
        <v>0</v>
      </c>
      <c r="V2974" s="182" t="n">
        <v>0</v>
      </c>
      <c r="W2974" s="182" t="n">
        <v>0</v>
      </c>
      <c r="X2974" s="182" t="n">
        <v>0</v>
      </c>
      <c r="Y2974" s="182" t="n">
        <v>0</v>
      </c>
      <c r="Z2974" s="182" t="n">
        <v>0</v>
      </c>
      <c r="AA2974" s="182" t="n">
        <v>0</v>
      </c>
      <c r="AB2974" s="182" t="n">
        <v>0</v>
      </c>
      <c r="AC2974" s="182" t="n">
        <v>0</v>
      </c>
      <c r="AD2974" s="182" t="n">
        <v>0</v>
      </c>
      <c r="AE2974" s="182" t="n">
        <v>0</v>
      </c>
      <c r="AF2974" s="182" t="n">
        <v>0</v>
      </c>
      <c r="AG2974" s="182" t="n">
        <v>0</v>
      </c>
      <c r="AH2974" s="182" t="n">
        <v>0</v>
      </c>
      <c r="AI2974" s="182" t="n">
        <v>0</v>
      </c>
      <c r="AJ2974" s="182" t="n">
        <v>0</v>
      </c>
      <c r="AK2974" s="182" t="n">
        <v>0</v>
      </c>
      <c r="AL2974" s="182" t="n">
        <v>0</v>
      </c>
      <c r="AM2974" s="182" t="n">
        <v>0</v>
      </c>
      <c r="AN2974" s="182" t="n">
        <v>0</v>
      </c>
    </row>
    <row r="2975">
      <c r="A2975" s="155" t="n">
        <v>46095</v>
      </c>
      <c r="B2975" s="156" t="inlineStr">
        <is>
          <t>NS</t>
        </is>
      </c>
      <c r="C2975" s="156" t="inlineStr">
        <is>
          <t>DZ-039</t>
        </is>
      </c>
      <c r="D2975" s="156" t="inlineStr">
        <is>
          <t>D 85 ESS-2</t>
        </is>
      </c>
      <c r="E2975" s="156" t="inlineStr">
        <is>
          <t>Bulldozer</t>
        </is>
      </c>
      <c r="F2975" s="156" t="inlineStr"/>
      <c r="G2975" s="182" t="n">
        <v>0</v>
      </c>
      <c r="H2975" s="182" t="n">
        <v>0</v>
      </c>
      <c r="I2975" s="182" t="n">
        <v>12</v>
      </c>
      <c r="J2975" s="182" t="n">
        <v>12</v>
      </c>
      <c r="K2975" s="182" t="n">
        <v>0</v>
      </c>
      <c r="L2975" s="182" t="n">
        <v>12</v>
      </c>
      <c r="M2975" s="182" t="n">
        <v>0</v>
      </c>
      <c r="N2975" s="182" t="n">
        <v>0</v>
      </c>
      <c r="O2975" s="183" t="n">
        <v>0</v>
      </c>
      <c r="P2975" s="183" t="n">
        <v>0</v>
      </c>
      <c r="Q2975" s="184" t="n">
        <v>0</v>
      </c>
      <c r="R2975" s="184" t="n">
        <v>0</v>
      </c>
      <c r="S2975" s="183" t="n">
        <v>0</v>
      </c>
      <c r="T2975" s="183" t="n">
        <v>0</v>
      </c>
      <c r="U2975" s="182" t="n">
        <v>0</v>
      </c>
      <c r="V2975" s="182" t="n">
        <v>0</v>
      </c>
      <c r="W2975" s="182" t="n">
        <v>0</v>
      </c>
      <c r="X2975" s="182" t="n">
        <v>0</v>
      </c>
      <c r="Y2975" s="182" t="n">
        <v>0</v>
      </c>
      <c r="Z2975" s="182" t="n">
        <v>0</v>
      </c>
      <c r="AA2975" s="182" t="n">
        <v>0</v>
      </c>
      <c r="AB2975" s="182" t="n">
        <v>0</v>
      </c>
      <c r="AC2975" s="182" t="n">
        <v>0</v>
      </c>
      <c r="AD2975" s="182" t="n">
        <v>0</v>
      </c>
      <c r="AE2975" s="182" t="n">
        <v>0</v>
      </c>
      <c r="AF2975" s="182" t="n">
        <v>0</v>
      </c>
      <c r="AG2975" s="182" t="n">
        <v>0</v>
      </c>
      <c r="AH2975" s="182" t="n">
        <v>0</v>
      </c>
      <c r="AI2975" s="182" t="n">
        <v>0</v>
      </c>
      <c r="AJ2975" s="182" t="n">
        <v>0</v>
      </c>
      <c r="AK2975" s="182" t="n">
        <v>0</v>
      </c>
      <c r="AL2975" s="182" t="n">
        <v>0</v>
      </c>
      <c r="AM2975" s="182" t="n">
        <v>0</v>
      </c>
      <c r="AN2975" s="182" t="n">
        <v>0</v>
      </c>
    </row>
    <row r="2976">
      <c r="A2976" s="155" t="n">
        <v>46095</v>
      </c>
      <c r="B2976" s="156" t="inlineStr">
        <is>
          <t>NS</t>
        </is>
      </c>
      <c r="C2976" s="156" t="inlineStr">
        <is>
          <t>DZ-032</t>
        </is>
      </c>
      <c r="D2976" s="156" t="inlineStr">
        <is>
          <t>CAT</t>
        </is>
      </c>
      <c r="E2976" s="156" t="inlineStr">
        <is>
          <t>Bulldozer</t>
        </is>
      </c>
      <c r="F2976" s="156" t="inlineStr"/>
      <c r="G2976" s="182" t="n">
        <v>0</v>
      </c>
      <c r="H2976" s="182" t="n">
        <v>0</v>
      </c>
      <c r="I2976" s="182" t="n">
        <v>12</v>
      </c>
      <c r="J2976" s="182" t="n">
        <v>12</v>
      </c>
      <c r="K2976" s="182" t="n">
        <v>0</v>
      </c>
      <c r="L2976" s="182" t="n">
        <v>12</v>
      </c>
      <c r="M2976" s="182" t="n">
        <v>0</v>
      </c>
      <c r="N2976" s="182" t="n">
        <v>0</v>
      </c>
      <c r="O2976" s="183" t="n">
        <v>0</v>
      </c>
      <c r="P2976" s="183" t="n">
        <v>0</v>
      </c>
      <c r="Q2976" s="184" t="n">
        <v>0</v>
      </c>
      <c r="R2976" s="184" t="n">
        <v>0</v>
      </c>
      <c r="S2976" s="183" t="n">
        <v>0</v>
      </c>
      <c r="T2976" s="183" t="n">
        <v>0</v>
      </c>
      <c r="U2976" s="182" t="n">
        <v>0</v>
      </c>
      <c r="V2976" s="182" t="n">
        <v>0</v>
      </c>
      <c r="W2976" s="182" t="n">
        <v>0</v>
      </c>
      <c r="X2976" s="182" t="n">
        <v>0</v>
      </c>
      <c r="Y2976" s="182" t="n">
        <v>0</v>
      </c>
      <c r="Z2976" s="182" t="n">
        <v>0</v>
      </c>
      <c r="AA2976" s="182" t="n">
        <v>0</v>
      </c>
      <c r="AB2976" s="182" t="n">
        <v>0</v>
      </c>
      <c r="AC2976" s="182" t="n">
        <v>0</v>
      </c>
      <c r="AD2976" s="182" t="n">
        <v>0</v>
      </c>
      <c r="AE2976" s="182" t="n">
        <v>0</v>
      </c>
      <c r="AF2976" s="182" t="n">
        <v>0</v>
      </c>
      <c r="AG2976" s="182" t="n">
        <v>0</v>
      </c>
      <c r="AH2976" s="182" t="n">
        <v>0</v>
      </c>
      <c r="AI2976" s="182" t="n">
        <v>0</v>
      </c>
      <c r="AJ2976" s="182" t="n">
        <v>0</v>
      </c>
      <c r="AK2976" s="182" t="n">
        <v>0</v>
      </c>
      <c r="AL2976" s="182" t="n">
        <v>0</v>
      </c>
      <c r="AM2976" s="182" t="n">
        <v>0</v>
      </c>
      <c r="AN2976" s="182" t="n">
        <v>0</v>
      </c>
    </row>
    <row r="2977">
      <c r="A2977" s="155" t="n">
        <v>46095</v>
      </c>
      <c r="B2977" s="156" t="inlineStr">
        <is>
          <t>NS</t>
        </is>
      </c>
      <c r="C2977" s="156" t="inlineStr">
        <is>
          <t>DZ-031</t>
        </is>
      </c>
      <c r="D2977" s="156" t="inlineStr">
        <is>
          <t>CAT</t>
        </is>
      </c>
      <c r="E2977" s="156" t="inlineStr">
        <is>
          <t>Bulldozer</t>
        </is>
      </c>
      <c r="F2977" s="156" t="inlineStr">
        <is>
          <t>Support Front Loading</t>
        </is>
      </c>
      <c r="G2977" s="182" t="n">
        <v>11.05</v>
      </c>
      <c r="H2977" s="182" t="n">
        <v>0</v>
      </c>
      <c r="I2977" s="182" t="n">
        <v>0</v>
      </c>
      <c r="J2977" s="182" t="n">
        <v>0</v>
      </c>
      <c r="K2977" s="182" t="n">
        <v>0.95</v>
      </c>
      <c r="L2977" s="182" t="n">
        <v>12</v>
      </c>
      <c r="M2977" s="182" t="n">
        <v>0</v>
      </c>
      <c r="N2977" s="182" t="n">
        <v>0</v>
      </c>
      <c r="O2977" s="183" t="n">
        <v>0</v>
      </c>
      <c r="P2977" s="183" t="n">
        <v>0</v>
      </c>
      <c r="Q2977" s="184" t="n">
        <v>0</v>
      </c>
      <c r="R2977" s="184" t="n">
        <v>0</v>
      </c>
      <c r="S2977" s="183" t="n">
        <v>0</v>
      </c>
      <c r="T2977" s="183" t="n">
        <v>0</v>
      </c>
      <c r="U2977" s="182" t="n">
        <v>0</v>
      </c>
      <c r="V2977" s="182" t="n">
        <v>0</v>
      </c>
      <c r="W2977" s="182" t="n">
        <v>0</v>
      </c>
      <c r="X2977" s="182" t="n">
        <v>0.73</v>
      </c>
      <c r="Y2977" s="182" t="n">
        <v>0</v>
      </c>
      <c r="Z2977" s="182" t="n">
        <v>0</v>
      </c>
      <c r="AA2977" s="182" t="n">
        <v>0</v>
      </c>
      <c r="AB2977" s="182" t="n">
        <v>0</v>
      </c>
      <c r="AC2977" s="182" t="n">
        <v>0</v>
      </c>
      <c r="AD2977" s="182" t="n">
        <v>0</v>
      </c>
      <c r="AE2977" s="182" t="n">
        <v>0</v>
      </c>
      <c r="AF2977" s="182" t="n">
        <v>0</v>
      </c>
      <c r="AG2977" s="182" t="n">
        <v>0</v>
      </c>
      <c r="AH2977" s="182" t="n">
        <v>0</v>
      </c>
      <c r="AI2977" s="182" t="n">
        <v>0</v>
      </c>
      <c r="AJ2977" s="182" t="n">
        <v>0</v>
      </c>
      <c r="AK2977" s="182" t="n">
        <v>0.16</v>
      </c>
      <c r="AL2977" s="182" t="n">
        <v>0</v>
      </c>
      <c r="AM2977" s="182" t="n">
        <v>0.06</v>
      </c>
      <c r="AN2977" s="182" t="n">
        <v>0</v>
      </c>
    </row>
    <row r="2978">
      <c r="A2978" s="155" t="n">
        <v>46095</v>
      </c>
      <c r="B2978" s="156" t="inlineStr">
        <is>
          <t>NS</t>
        </is>
      </c>
      <c r="C2978" s="156" t="inlineStr">
        <is>
          <t>DZ-037</t>
        </is>
      </c>
      <c r="D2978" s="156" t="inlineStr">
        <is>
          <t>D 85 ESS-2</t>
        </is>
      </c>
      <c r="E2978" s="156" t="inlineStr">
        <is>
          <t>Bulldozer</t>
        </is>
      </c>
      <c r="F2978" s="156" t="inlineStr"/>
      <c r="G2978" s="182" t="n">
        <v>0</v>
      </c>
      <c r="H2978" s="182" t="n">
        <v>0</v>
      </c>
      <c r="I2978" s="182" t="n">
        <v>12</v>
      </c>
      <c r="J2978" s="182" t="n">
        <v>12</v>
      </c>
      <c r="K2978" s="182" t="n">
        <v>0</v>
      </c>
      <c r="L2978" s="182" t="n">
        <v>12</v>
      </c>
      <c r="M2978" s="182" t="n">
        <v>0</v>
      </c>
      <c r="N2978" s="182" t="n">
        <v>0</v>
      </c>
      <c r="O2978" s="183" t="n">
        <v>0</v>
      </c>
      <c r="P2978" s="183" t="n">
        <v>0</v>
      </c>
      <c r="Q2978" s="184" t="n">
        <v>0</v>
      </c>
      <c r="R2978" s="184" t="n">
        <v>0</v>
      </c>
      <c r="S2978" s="183" t="n">
        <v>0</v>
      </c>
      <c r="T2978" s="183" t="n">
        <v>0</v>
      </c>
      <c r="U2978" s="182" t="n">
        <v>0</v>
      </c>
      <c r="V2978" s="182" t="n">
        <v>0</v>
      </c>
      <c r="W2978" s="182" t="n">
        <v>0</v>
      </c>
      <c r="X2978" s="182" t="n">
        <v>0</v>
      </c>
      <c r="Y2978" s="182" t="n">
        <v>0</v>
      </c>
      <c r="Z2978" s="182" t="n">
        <v>0</v>
      </c>
      <c r="AA2978" s="182" t="n">
        <v>0</v>
      </c>
      <c r="AB2978" s="182" t="n">
        <v>0</v>
      </c>
      <c r="AC2978" s="182" t="n">
        <v>0</v>
      </c>
      <c r="AD2978" s="182" t="n">
        <v>0</v>
      </c>
      <c r="AE2978" s="182" t="n">
        <v>0</v>
      </c>
      <c r="AF2978" s="182" t="n">
        <v>0</v>
      </c>
      <c r="AG2978" s="182" t="n">
        <v>0</v>
      </c>
      <c r="AH2978" s="182" t="n">
        <v>0</v>
      </c>
      <c r="AI2978" s="182" t="n">
        <v>0</v>
      </c>
      <c r="AJ2978" s="182" t="n">
        <v>0</v>
      </c>
      <c r="AK2978" s="182" t="n">
        <v>0</v>
      </c>
      <c r="AL2978" s="182" t="n">
        <v>0</v>
      </c>
      <c r="AM2978" s="182" t="n">
        <v>0</v>
      </c>
      <c r="AN2978" s="182" t="n">
        <v>0</v>
      </c>
    </row>
    <row r="2979">
      <c r="A2979" s="155" t="n">
        <v>46095</v>
      </c>
      <c r="B2979" s="156" t="inlineStr">
        <is>
          <t>NS</t>
        </is>
      </c>
      <c r="C2979" s="156" t="inlineStr">
        <is>
          <t>DZ-036</t>
        </is>
      </c>
      <c r="D2979" s="156" t="inlineStr">
        <is>
          <t>D 85 ESS-2</t>
        </is>
      </c>
      <c r="E2979" s="156" t="inlineStr">
        <is>
          <t>Bulldozer</t>
        </is>
      </c>
      <c r="F2979" s="156" t="inlineStr"/>
      <c r="G2979" s="182" t="n">
        <v>0</v>
      </c>
      <c r="H2979" s="182" t="n">
        <v>0</v>
      </c>
      <c r="I2979" s="182" t="n">
        <v>0</v>
      </c>
      <c r="J2979" s="182" t="n">
        <v>0</v>
      </c>
      <c r="K2979" s="182" t="n">
        <v>12</v>
      </c>
      <c r="L2979" s="182" t="n">
        <v>12</v>
      </c>
      <c r="M2979" s="182" t="n">
        <v>0</v>
      </c>
      <c r="N2979" s="182" t="n">
        <v>0</v>
      </c>
      <c r="O2979" s="183" t="n">
        <v>0</v>
      </c>
      <c r="P2979" s="183" t="n">
        <v>0</v>
      </c>
      <c r="Q2979" s="184" t="n">
        <v>0</v>
      </c>
      <c r="R2979" s="184" t="n">
        <v>0</v>
      </c>
      <c r="S2979" s="183" t="n">
        <v>0</v>
      </c>
      <c r="T2979" s="183" t="n">
        <v>0</v>
      </c>
      <c r="U2979" s="182" t="n">
        <v>0</v>
      </c>
      <c r="V2979" s="182" t="n">
        <v>0</v>
      </c>
      <c r="W2979" s="182" t="n">
        <v>0</v>
      </c>
      <c r="X2979" s="182" t="n">
        <v>1</v>
      </c>
      <c r="Y2979" s="182" t="n">
        <v>0</v>
      </c>
      <c r="Z2979" s="182" t="n">
        <v>0</v>
      </c>
      <c r="AA2979" s="182" t="n">
        <v>0</v>
      </c>
      <c r="AB2979" s="182" t="n">
        <v>0</v>
      </c>
      <c r="AC2979" s="182" t="n">
        <v>0</v>
      </c>
      <c r="AD2979" s="182" t="n">
        <v>0</v>
      </c>
      <c r="AE2979" s="182" t="n">
        <v>0</v>
      </c>
      <c r="AF2979" s="182" t="n">
        <v>0</v>
      </c>
      <c r="AG2979" s="182" t="n">
        <v>0</v>
      </c>
      <c r="AH2979" s="182" t="n">
        <v>0</v>
      </c>
      <c r="AI2979" s="182" t="n">
        <v>0</v>
      </c>
      <c r="AJ2979" s="182" t="n">
        <v>0</v>
      </c>
      <c r="AK2979" s="182" t="n">
        <v>10.92</v>
      </c>
      <c r="AL2979" s="182" t="n">
        <v>0</v>
      </c>
      <c r="AM2979" s="182" t="n">
        <v>0.08</v>
      </c>
      <c r="AN2979" s="182" t="n">
        <v>0</v>
      </c>
    </row>
    <row r="2980">
      <c r="A2980" s="155" t="n">
        <v>46095</v>
      </c>
      <c r="B2980" s="156" t="inlineStr">
        <is>
          <t>NS</t>
        </is>
      </c>
      <c r="C2980" s="156" t="inlineStr">
        <is>
          <t>DZ-035</t>
        </is>
      </c>
      <c r="D2980" s="156" t="inlineStr">
        <is>
          <t>D 85 ESS-2</t>
        </is>
      </c>
      <c r="E2980" s="156" t="inlineStr">
        <is>
          <t>Bulldozer</t>
        </is>
      </c>
      <c r="F2980" s="156" t="inlineStr">
        <is>
          <t>Support Front Loading &amp; Disposal</t>
        </is>
      </c>
      <c r="G2980" s="182" t="n">
        <v>7.75</v>
      </c>
      <c r="H2980" s="182" t="n">
        <v>0</v>
      </c>
      <c r="I2980" s="182" t="n">
        <v>0.97</v>
      </c>
      <c r="J2980" s="182" t="n">
        <v>0.97</v>
      </c>
      <c r="K2980" s="182" t="n">
        <v>3.28</v>
      </c>
      <c r="L2980" s="182" t="n">
        <v>12</v>
      </c>
      <c r="M2980" s="182" t="n">
        <v>0</v>
      </c>
      <c r="N2980" s="182" t="n">
        <v>0</v>
      </c>
      <c r="O2980" s="183" t="n">
        <v>0</v>
      </c>
      <c r="P2980" s="183" t="n">
        <v>0</v>
      </c>
      <c r="Q2980" s="184" t="n">
        <v>0</v>
      </c>
      <c r="R2980" s="184" t="n">
        <v>0</v>
      </c>
      <c r="S2980" s="183" t="n">
        <v>0</v>
      </c>
      <c r="T2980" s="183" t="n">
        <v>0</v>
      </c>
      <c r="U2980" s="182" t="n">
        <v>0</v>
      </c>
      <c r="V2980" s="182" t="n">
        <v>0</v>
      </c>
      <c r="W2980" s="182" t="n">
        <v>0</v>
      </c>
      <c r="X2980" s="182" t="n">
        <v>1.2</v>
      </c>
      <c r="Y2980" s="182" t="n">
        <v>0</v>
      </c>
      <c r="Z2980" s="182" t="n">
        <v>0</v>
      </c>
      <c r="AA2980" s="182" t="n">
        <v>0</v>
      </c>
      <c r="AB2980" s="182" t="n">
        <v>0</v>
      </c>
      <c r="AC2980" s="182" t="n">
        <v>0</v>
      </c>
      <c r="AD2980" s="182" t="n">
        <v>0</v>
      </c>
      <c r="AE2980" s="182" t="n">
        <v>0</v>
      </c>
      <c r="AF2980" s="182" t="n">
        <v>0</v>
      </c>
      <c r="AG2980" s="182" t="n">
        <v>0</v>
      </c>
      <c r="AH2980" s="182" t="n">
        <v>0</v>
      </c>
      <c r="AI2980" s="182" t="n">
        <v>0</v>
      </c>
      <c r="AJ2980" s="182" t="n">
        <v>0</v>
      </c>
      <c r="AK2980" s="182" t="n">
        <v>1.98</v>
      </c>
      <c r="AL2980" s="182" t="n">
        <v>0</v>
      </c>
      <c r="AM2980" s="182" t="n">
        <v>0.1</v>
      </c>
      <c r="AN2980" s="182" t="n">
        <v>0</v>
      </c>
    </row>
    <row r="2981">
      <c r="A2981" s="155" t="n">
        <v>46095</v>
      </c>
      <c r="B2981" s="156" t="inlineStr">
        <is>
          <t>NS</t>
        </is>
      </c>
      <c r="C2981" s="156" t="inlineStr">
        <is>
          <t>CP-042</t>
        </is>
      </c>
      <c r="D2981" s="156" t="inlineStr">
        <is>
          <t>SANY - Compactor</t>
        </is>
      </c>
      <c r="E2981" s="156" t="inlineStr">
        <is>
          <t>Compactor</t>
        </is>
      </c>
      <c r="F2981" s="156" t="inlineStr"/>
      <c r="G2981" s="182" t="n">
        <v>0</v>
      </c>
      <c r="H2981" s="182" t="n">
        <v>0</v>
      </c>
      <c r="I2981" s="182" t="n">
        <v>0</v>
      </c>
      <c r="J2981" s="182" t="n">
        <v>0</v>
      </c>
      <c r="K2981" s="182" t="n">
        <v>12</v>
      </c>
      <c r="L2981" s="182" t="n">
        <v>12</v>
      </c>
      <c r="M2981" s="182" t="n">
        <v>0</v>
      </c>
      <c r="N2981" s="182" t="n">
        <v>0</v>
      </c>
      <c r="O2981" s="183" t="n">
        <v>0</v>
      </c>
      <c r="P2981" s="183" t="n">
        <v>0</v>
      </c>
      <c r="Q2981" s="184" t="n">
        <v>0</v>
      </c>
      <c r="R2981" s="184" t="n">
        <v>0</v>
      </c>
      <c r="S2981" s="183" t="n">
        <v>0</v>
      </c>
      <c r="T2981" s="183" t="n">
        <v>0</v>
      </c>
      <c r="U2981" s="182" t="n">
        <v>0</v>
      </c>
      <c r="V2981" s="182" t="n">
        <v>0</v>
      </c>
      <c r="W2981" s="182" t="n">
        <v>0</v>
      </c>
      <c r="X2981" s="182" t="n">
        <v>1</v>
      </c>
      <c r="Y2981" s="182" t="n">
        <v>0</v>
      </c>
      <c r="Z2981" s="182" t="n">
        <v>0</v>
      </c>
      <c r="AA2981" s="182" t="n">
        <v>0</v>
      </c>
      <c r="AB2981" s="182" t="n">
        <v>0</v>
      </c>
      <c r="AC2981" s="182" t="n">
        <v>0</v>
      </c>
      <c r="AD2981" s="182" t="n">
        <v>0</v>
      </c>
      <c r="AE2981" s="182" t="n">
        <v>0</v>
      </c>
      <c r="AF2981" s="182" t="n">
        <v>0</v>
      </c>
      <c r="AG2981" s="182" t="n">
        <v>0</v>
      </c>
      <c r="AH2981" s="182" t="n">
        <v>0</v>
      </c>
      <c r="AI2981" s="182" t="n">
        <v>0</v>
      </c>
      <c r="AJ2981" s="182" t="n">
        <v>0</v>
      </c>
      <c r="AK2981" s="182" t="n">
        <v>10.92</v>
      </c>
      <c r="AL2981" s="182" t="n">
        <v>0</v>
      </c>
      <c r="AM2981" s="182" t="n">
        <v>0.08</v>
      </c>
      <c r="AN2981" s="182" t="n">
        <v>0</v>
      </c>
    </row>
    <row r="2982">
      <c r="A2982" s="155" t="n">
        <v>46095</v>
      </c>
      <c r="B2982" s="156" t="inlineStr">
        <is>
          <t>NS</t>
        </is>
      </c>
      <c r="C2982" s="156" t="inlineStr">
        <is>
          <t>CP-041</t>
        </is>
      </c>
      <c r="D2982" s="156" t="inlineStr">
        <is>
          <t>SANY - Compactor</t>
        </is>
      </c>
      <c r="E2982" s="156" t="inlineStr">
        <is>
          <t>Compactor</t>
        </is>
      </c>
      <c r="F2982" s="156" t="inlineStr">
        <is>
          <t>General Road</t>
        </is>
      </c>
      <c r="G2982" s="182" t="n">
        <v>6.34</v>
      </c>
      <c r="H2982" s="182" t="n">
        <v>0</v>
      </c>
      <c r="I2982" s="182" t="n">
        <v>0</v>
      </c>
      <c r="J2982" s="182" t="n">
        <v>0</v>
      </c>
      <c r="K2982" s="182" t="n">
        <v>5.66</v>
      </c>
      <c r="L2982" s="182" t="n">
        <v>12</v>
      </c>
      <c r="M2982" s="182" t="n">
        <v>0</v>
      </c>
      <c r="N2982" s="182" t="n">
        <v>0</v>
      </c>
      <c r="O2982" s="183" t="n">
        <v>0</v>
      </c>
      <c r="P2982" s="183" t="n">
        <v>0</v>
      </c>
      <c r="Q2982" s="184" t="n">
        <v>0</v>
      </c>
      <c r="R2982" s="184" t="n">
        <v>0</v>
      </c>
      <c r="S2982" s="183" t="n">
        <v>0</v>
      </c>
      <c r="T2982" s="183" t="n">
        <v>0</v>
      </c>
      <c r="U2982" s="182" t="n">
        <v>0</v>
      </c>
      <c r="V2982" s="182" t="n">
        <v>0</v>
      </c>
      <c r="W2982" s="182" t="n">
        <v>0</v>
      </c>
      <c r="X2982" s="182" t="n">
        <v>1.11</v>
      </c>
      <c r="Y2982" s="182" t="n">
        <v>0</v>
      </c>
      <c r="Z2982" s="182" t="n">
        <v>0</v>
      </c>
      <c r="AA2982" s="182" t="n">
        <v>0</v>
      </c>
      <c r="AB2982" s="182" t="n">
        <v>0</v>
      </c>
      <c r="AC2982" s="182" t="n">
        <v>0</v>
      </c>
      <c r="AD2982" s="182" t="n">
        <v>0</v>
      </c>
      <c r="AE2982" s="182" t="n">
        <v>0</v>
      </c>
      <c r="AF2982" s="182" t="n">
        <v>0</v>
      </c>
      <c r="AG2982" s="182" t="n">
        <v>0</v>
      </c>
      <c r="AH2982" s="182" t="n">
        <v>0</v>
      </c>
      <c r="AI2982" s="182" t="n">
        <v>0</v>
      </c>
      <c r="AJ2982" s="182" t="n">
        <v>0</v>
      </c>
      <c r="AK2982" s="182" t="n">
        <v>4.46</v>
      </c>
      <c r="AL2982" s="182" t="n">
        <v>0</v>
      </c>
      <c r="AM2982" s="182" t="n">
        <v>0.09</v>
      </c>
      <c r="AN2982" s="182" t="n">
        <v>0</v>
      </c>
    </row>
    <row r="2983">
      <c r="A2983" s="155" t="n">
        <v>46095</v>
      </c>
      <c r="B2983" s="156" t="inlineStr">
        <is>
          <t>NS</t>
        </is>
      </c>
      <c r="C2983" s="156" t="inlineStr">
        <is>
          <t>HT-418</t>
        </is>
      </c>
      <c r="D2983" s="156" t="inlineStr">
        <is>
          <t>SY430</t>
        </is>
      </c>
      <c r="E2983" s="156" t="inlineStr">
        <is>
          <t>DT Hauling</t>
        </is>
      </c>
      <c r="F2983" s="156" t="inlineStr"/>
      <c r="G2983" s="182" t="n">
        <v>0</v>
      </c>
      <c r="H2983" s="182" t="n">
        <v>0</v>
      </c>
      <c r="I2983" s="182" t="n">
        <v>0</v>
      </c>
      <c r="J2983" s="182" t="n">
        <v>0</v>
      </c>
      <c r="K2983" s="182" t="n">
        <v>12</v>
      </c>
      <c r="L2983" s="182" t="n">
        <v>12</v>
      </c>
      <c r="M2983" s="182" t="n">
        <v>0</v>
      </c>
      <c r="N2983" s="182" t="n">
        <v>0</v>
      </c>
      <c r="O2983" s="183" t="n">
        <v>0</v>
      </c>
      <c r="P2983" s="183" t="n">
        <v>0</v>
      </c>
      <c r="Q2983" s="184" t="n">
        <v>0</v>
      </c>
      <c r="R2983" s="184" t="n">
        <v>0</v>
      </c>
      <c r="S2983" s="183" t="n">
        <v>0</v>
      </c>
      <c r="T2983" s="183" t="n">
        <v>0</v>
      </c>
      <c r="U2983" s="182" t="n">
        <v>0</v>
      </c>
      <c r="V2983" s="182" t="n">
        <v>0</v>
      </c>
      <c r="W2983" s="182" t="n">
        <v>0</v>
      </c>
      <c r="X2983" s="182" t="n">
        <v>1</v>
      </c>
      <c r="Y2983" s="182" t="n">
        <v>0</v>
      </c>
      <c r="Z2983" s="182" t="n">
        <v>0</v>
      </c>
      <c r="AA2983" s="182" t="n">
        <v>0</v>
      </c>
      <c r="AB2983" s="182" t="n">
        <v>0</v>
      </c>
      <c r="AC2983" s="182" t="n">
        <v>0</v>
      </c>
      <c r="AD2983" s="182" t="n">
        <v>0</v>
      </c>
      <c r="AE2983" s="182" t="n">
        <v>0</v>
      </c>
      <c r="AF2983" s="182" t="n">
        <v>0</v>
      </c>
      <c r="AG2983" s="182" t="n">
        <v>0</v>
      </c>
      <c r="AH2983" s="182" t="n">
        <v>0</v>
      </c>
      <c r="AI2983" s="182" t="n">
        <v>0</v>
      </c>
      <c r="AJ2983" s="182" t="n">
        <v>0</v>
      </c>
      <c r="AK2983" s="182" t="n">
        <v>10.92</v>
      </c>
      <c r="AL2983" s="182" t="n">
        <v>0</v>
      </c>
      <c r="AM2983" s="182" t="n">
        <v>0.08</v>
      </c>
      <c r="AN2983" s="182" t="n">
        <v>0</v>
      </c>
    </row>
    <row r="2984">
      <c r="A2984" s="155" t="n">
        <v>46095</v>
      </c>
      <c r="B2984" s="156" t="inlineStr">
        <is>
          <t>NS</t>
        </is>
      </c>
      <c r="C2984" s="156" t="inlineStr">
        <is>
          <t>HT-404</t>
        </is>
      </c>
      <c r="D2984" s="156" t="inlineStr">
        <is>
          <t>SY430</t>
        </is>
      </c>
      <c r="E2984" s="156" t="inlineStr">
        <is>
          <t>DT Hauling</t>
        </is>
      </c>
      <c r="F2984" s="156" t="inlineStr"/>
      <c r="G2984" s="182" t="n">
        <v>0</v>
      </c>
      <c r="H2984" s="182" t="n">
        <v>0</v>
      </c>
      <c r="I2984" s="182" t="n">
        <v>0</v>
      </c>
      <c r="J2984" s="182" t="n">
        <v>0</v>
      </c>
      <c r="K2984" s="182" t="n">
        <v>12</v>
      </c>
      <c r="L2984" s="182" t="n">
        <v>12</v>
      </c>
      <c r="M2984" s="182" t="n">
        <v>0</v>
      </c>
      <c r="N2984" s="182" t="n">
        <v>0</v>
      </c>
      <c r="O2984" s="183" t="n">
        <v>0</v>
      </c>
      <c r="P2984" s="183" t="n">
        <v>0</v>
      </c>
      <c r="Q2984" s="184" t="n">
        <v>0</v>
      </c>
      <c r="R2984" s="184" t="n">
        <v>0</v>
      </c>
      <c r="S2984" s="183" t="n">
        <v>0</v>
      </c>
      <c r="T2984" s="183" t="n">
        <v>0</v>
      </c>
      <c r="U2984" s="182" t="n">
        <v>0</v>
      </c>
      <c r="V2984" s="182" t="n">
        <v>0</v>
      </c>
      <c r="W2984" s="182" t="n">
        <v>0</v>
      </c>
      <c r="X2984" s="182" t="n">
        <v>1</v>
      </c>
      <c r="Y2984" s="182" t="n">
        <v>0</v>
      </c>
      <c r="Z2984" s="182" t="n">
        <v>0</v>
      </c>
      <c r="AA2984" s="182" t="n">
        <v>0</v>
      </c>
      <c r="AB2984" s="182" t="n">
        <v>0</v>
      </c>
      <c r="AC2984" s="182" t="n">
        <v>0</v>
      </c>
      <c r="AD2984" s="182" t="n">
        <v>0</v>
      </c>
      <c r="AE2984" s="182" t="n">
        <v>0</v>
      </c>
      <c r="AF2984" s="182" t="n">
        <v>0</v>
      </c>
      <c r="AG2984" s="182" t="n">
        <v>0</v>
      </c>
      <c r="AH2984" s="182" t="n">
        <v>0</v>
      </c>
      <c r="AI2984" s="182" t="n">
        <v>0</v>
      </c>
      <c r="AJ2984" s="182" t="n">
        <v>0</v>
      </c>
      <c r="AK2984" s="182" t="n">
        <v>10.92</v>
      </c>
      <c r="AL2984" s="182" t="n">
        <v>0</v>
      </c>
      <c r="AM2984" s="182" t="n">
        <v>0.08</v>
      </c>
      <c r="AN2984" s="182" t="n">
        <v>0</v>
      </c>
    </row>
    <row r="2985">
      <c r="A2985" s="155" t="n">
        <v>46095</v>
      </c>
      <c r="B2985" s="156" t="inlineStr">
        <is>
          <t>NS</t>
        </is>
      </c>
      <c r="C2985" s="156" t="inlineStr">
        <is>
          <t>HT-415</t>
        </is>
      </c>
      <c r="D2985" s="156" t="inlineStr">
        <is>
          <t>SY430</t>
        </is>
      </c>
      <c r="E2985" s="156" t="inlineStr">
        <is>
          <t>DT Hauling</t>
        </is>
      </c>
      <c r="F2985" s="156" t="inlineStr"/>
      <c r="G2985" s="182" t="n">
        <v>0</v>
      </c>
      <c r="H2985" s="182" t="n">
        <v>0</v>
      </c>
      <c r="I2985" s="182" t="n">
        <v>12</v>
      </c>
      <c r="J2985" s="182" t="n">
        <v>12</v>
      </c>
      <c r="K2985" s="182" t="n">
        <v>0</v>
      </c>
      <c r="L2985" s="182" t="n">
        <v>12</v>
      </c>
      <c r="M2985" s="182" t="n">
        <v>0</v>
      </c>
      <c r="N2985" s="182" t="n">
        <v>0</v>
      </c>
      <c r="O2985" s="183" t="n">
        <v>0</v>
      </c>
      <c r="P2985" s="183" t="n">
        <v>0</v>
      </c>
      <c r="Q2985" s="184" t="n">
        <v>0</v>
      </c>
      <c r="R2985" s="184" t="n">
        <v>0</v>
      </c>
      <c r="S2985" s="183" t="n">
        <v>0</v>
      </c>
      <c r="T2985" s="183" t="n">
        <v>0</v>
      </c>
      <c r="U2985" s="182" t="n">
        <v>0</v>
      </c>
      <c r="V2985" s="182" t="n">
        <v>0</v>
      </c>
      <c r="W2985" s="182" t="n">
        <v>0</v>
      </c>
      <c r="X2985" s="182" t="n">
        <v>0</v>
      </c>
      <c r="Y2985" s="182" t="n">
        <v>0</v>
      </c>
      <c r="Z2985" s="182" t="n">
        <v>0</v>
      </c>
      <c r="AA2985" s="182" t="n">
        <v>0</v>
      </c>
      <c r="AB2985" s="182" t="n">
        <v>0</v>
      </c>
      <c r="AC2985" s="182" t="n">
        <v>0</v>
      </c>
      <c r="AD2985" s="182" t="n">
        <v>0</v>
      </c>
      <c r="AE2985" s="182" t="n">
        <v>0</v>
      </c>
      <c r="AF2985" s="182" t="n">
        <v>0</v>
      </c>
      <c r="AG2985" s="182" t="n">
        <v>0</v>
      </c>
      <c r="AH2985" s="182" t="n">
        <v>0</v>
      </c>
      <c r="AI2985" s="182" t="n">
        <v>0</v>
      </c>
      <c r="AJ2985" s="182" t="n">
        <v>0</v>
      </c>
      <c r="AK2985" s="182" t="n">
        <v>0</v>
      </c>
      <c r="AL2985" s="182" t="n">
        <v>0</v>
      </c>
      <c r="AM2985" s="182" t="n">
        <v>0</v>
      </c>
      <c r="AN2985" s="182" t="n">
        <v>0</v>
      </c>
    </row>
    <row r="2986">
      <c r="A2986" s="155" t="n">
        <v>46095</v>
      </c>
      <c r="B2986" s="156" t="inlineStr">
        <is>
          <t>NS</t>
        </is>
      </c>
      <c r="C2986" s="156" t="inlineStr">
        <is>
          <t>HT-406</t>
        </is>
      </c>
      <c r="D2986" s="156" t="inlineStr">
        <is>
          <t>SY430</t>
        </is>
      </c>
      <c r="E2986" s="156" t="inlineStr">
        <is>
          <t>DT Hauling</t>
        </is>
      </c>
      <c r="F2986" s="156" t="inlineStr"/>
      <c r="G2986" s="182" t="n">
        <v>0</v>
      </c>
      <c r="H2986" s="182" t="n">
        <v>0</v>
      </c>
      <c r="I2986" s="182" t="n">
        <v>12</v>
      </c>
      <c r="J2986" s="182" t="n">
        <v>12</v>
      </c>
      <c r="K2986" s="182" t="n">
        <v>0</v>
      </c>
      <c r="L2986" s="182" t="n">
        <v>12</v>
      </c>
      <c r="M2986" s="182" t="n">
        <v>0</v>
      </c>
      <c r="N2986" s="182" t="n">
        <v>0</v>
      </c>
      <c r="O2986" s="183" t="n">
        <v>0</v>
      </c>
      <c r="P2986" s="183" t="n">
        <v>0</v>
      </c>
      <c r="Q2986" s="184" t="n">
        <v>0</v>
      </c>
      <c r="R2986" s="184" t="n">
        <v>0</v>
      </c>
      <c r="S2986" s="183" t="n">
        <v>0</v>
      </c>
      <c r="T2986" s="183" t="n">
        <v>0</v>
      </c>
      <c r="U2986" s="182" t="n">
        <v>0</v>
      </c>
      <c r="V2986" s="182" t="n">
        <v>0</v>
      </c>
      <c r="W2986" s="182" t="n">
        <v>0</v>
      </c>
      <c r="X2986" s="182" t="n">
        <v>0</v>
      </c>
      <c r="Y2986" s="182" t="n">
        <v>0</v>
      </c>
      <c r="Z2986" s="182" t="n">
        <v>0</v>
      </c>
      <c r="AA2986" s="182" t="n">
        <v>0</v>
      </c>
      <c r="AB2986" s="182" t="n">
        <v>0</v>
      </c>
      <c r="AC2986" s="182" t="n">
        <v>0</v>
      </c>
      <c r="AD2986" s="182" t="n">
        <v>0</v>
      </c>
      <c r="AE2986" s="182" t="n">
        <v>0</v>
      </c>
      <c r="AF2986" s="182" t="n">
        <v>0</v>
      </c>
      <c r="AG2986" s="182" t="n">
        <v>0</v>
      </c>
      <c r="AH2986" s="182" t="n">
        <v>0</v>
      </c>
      <c r="AI2986" s="182" t="n">
        <v>0</v>
      </c>
      <c r="AJ2986" s="182" t="n">
        <v>0</v>
      </c>
      <c r="AK2986" s="182" t="n">
        <v>0</v>
      </c>
      <c r="AL2986" s="182" t="n">
        <v>0</v>
      </c>
      <c r="AM2986" s="182" t="n">
        <v>0</v>
      </c>
      <c r="AN2986" s="182" t="n">
        <v>0</v>
      </c>
    </row>
    <row r="2987">
      <c r="A2987" s="155" t="n">
        <v>46095</v>
      </c>
      <c r="B2987" s="156" t="inlineStr">
        <is>
          <t>NS</t>
        </is>
      </c>
      <c r="C2987" s="156" t="inlineStr">
        <is>
          <t>HT-405</t>
        </is>
      </c>
      <c r="D2987" s="156" t="inlineStr">
        <is>
          <t>SY430</t>
        </is>
      </c>
      <c r="E2987" s="156" t="inlineStr">
        <is>
          <t>DT Hauling</t>
        </is>
      </c>
      <c r="F2987" s="156" t="inlineStr"/>
      <c r="G2987" s="182" t="n">
        <v>0</v>
      </c>
      <c r="H2987" s="182" t="n">
        <v>0</v>
      </c>
      <c r="I2987" s="182" t="n">
        <v>0</v>
      </c>
      <c r="J2987" s="182" t="n">
        <v>0</v>
      </c>
      <c r="K2987" s="182" t="n">
        <v>12</v>
      </c>
      <c r="L2987" s="182" t="n">
        <v>12</v>
      </c>
      <c r="M2987" s="182" t="n">
        <v>0</v>
      </c>
      <c r="N2987" s="182" t="n">
        <v>0</v>
      </c>
      <c r="O2987" s="183" t="n">
        <v>0</v>
      </c>
      <c r="P2987" s="183" t="n">
        <v>0</v>
      </c>
      <c r="Q2987" s="184" t="n">
        <v>0</v>
      </c>
      <c r="R2987" s="184" t="n">
        <v>0</v>
      </c>
      <c r="S2987" s="183" t="n">
        <v>0</v>
      </c>
      <c r="T2987" s="183" t="n">
        <v>0</v>
      </c>
      <c r="U2987" s="182" t="n">
        <v>0</v>
      </c>
      <c r="V2987" s="182" t="n">
        <v>0</v>
      </c>
      <c r="W2987" s="182" t="n">
        <v>0</v>
      </c>
      <c r="X2987" s="182" t="n">
        <v>1</v>
      </c>
      <c r="Y2987" s="182" t="n">
        <v>0</v>
      </c>
      <c r="Z2987" s="182" t="n">
        <v>0</v>
      </c>
      <c r="AA2987" s="182" t="n">
        <v>0</v>
      </c>
      <c r="AB2987" s="182" t="n">
        <v>0</v>
      </c>
      <c r="AC2987" s="182" t="n">
        <v>0</v>
      </c>
      <c r="AD2987" s="182" t="n">
        <v>0</v>
      </c>
      <c r="AE2987" s="182" t="n">
        <v>0</v>
      </c>
      <c r="AF2987" s="182" t="n">
        <v>0</v>
      </c>
      <c r="AG2987" s="182" t="n">
        <v>0</v>
      </c>
      <c r="AH2987" s="182" t="n">
        <v>0</v>
      </c>
      <c r="AI2987" s="182" t="n">
        <v>0</v>
      </c>
      <c r="AJ2987" s="182" t="n">
        <v>0</v>
      </c>
      <c r="AK2987" s="182" t="n">
        <v>10.92</v>
      </c>
      <c r="AL2987" s="182" t="n">
        <v>0</v>
      </c>
      <c r="AM2987" s="182" t="n">
        <v>0.08</v>
      </c>
      <c r="AN2987" s="182" t="n">
        <v>0</v>
      </c>
    </row>
    <row r="2988">
      <c r="A2988" s="155" t="n">
        <v>46095</v>
      </c>
      <c r="B2988" s="156" t="inlineStr">
        <is>
          <t>NS</t>
        </is>
      </c>
      <c r="C2988" s="156" t="inlineStr">
        <is>
          <t>HT-417</t>
        </is>
      </c>
      <c r="D2988" s="156" t="inlineStr">
        <is>
          <t>SY430</t>
        </is>
      </c>
      <c r="E2988" s="156" t="inlineStr">
        <is>
          <t>DT Hauling</t>
        </is>
      </c>
      <c r="F2988" s="156" t="inlineStr"/>
      <c r="G2988" s="182" t="n">
        <v>0</v>
      </c>
      <c r="H2988" s="182" t="n">
        <v>0</v>
      </c>
      <c r="I2988" s="182" t="n">
        <v>0</v>
      </c>
      <c r="J2988" s="182" t="n">
        <v>0</v>
      </c>
      <c r="K2988" s="182" t="n">
        <v>12</v>
      </c>
      <c r="L2988" s="182" t="n">
        <v>12</v>
      </c>
      <c r="M2988" s="182" t="n">
        <v>0</v>
      </c>
      <c r="N2988" s="182" t="n">
        <v>0</v>
      </c>
      <c r="O2988" s="183" t="n">
        <v>0</v>
      </c>
      <c r="P2988" s="183" t="n">
        <v>0</v>
      </c>
      <c r="Q2988" s="184" t="n">
        <v>0</v>
      </c>
      <c r="R2988" s="184" t="n">
        <v>0</v>
      </c>
      <c r="S2988" s="183" t="n">
        <v>0</v>
      </c>
      <c r="T2988" s="183" t="n">
        <v>0</v>
      </c>
      <c r="U2988" s="182" t="n">
        <v>0</v>
      </c>
      <c r="V2988" s="182" t="n">
        <v>0</v>
      </c>
      <c r="W2988" s="182" t="n">
        <v>0</v>
      </c>
      <c r="X2988" s="182" t="n">
        <v>1</v>
      </c>
      <c r="Y2988" s="182" t="n">
        <v>0</v>
      </c>
      <c r="Z2988" s="182" t="n">
        <v>0</v>
      </c>
      <c r="AA2988" s="182" t="n">
        <v>0</v>
      </c>
      <c r="AB2988" s="182" t="n">
        <v>0</v>
      </c>
      <c r="AC2988" s="182" t="n">
        <v>0</v>
      </c>
      <c r="AD2988" s="182" t="n">
        <v>0</v>
      </c>
      <c r="AE2988" s="182" t="n">
        <v>0</v>
      </c>
      <c r="AF2988" s="182" t="n">
        <v>0</v>
      </c>
      <c r="AG2988" s="182" t="n">
        <v>0</v>
      </c>
      <c r="AH2988" s="182" t="n">
        <v>0</v>
      </c>
      <c r="AI2988" s="182" t="n">
        <v>0</v>
      </c>
      <c r="AJ2988" s="182" t="n">
        <v>0</v>
      </c>
      <c r="AK2988" s="182" t="n">
        <v>10.92</v>
      </c>
      <c r="AL2988" s="182" t="n">
        <v>0</v>
      </c>
      <c r="AM2988" s="182" t="n">
        <v>0.08</v>
      </c>
      <c r="AN2988" s="182" t="n">
        <v>0</v>
      </c>
    </row>
    <row r="2989">
      <c r="A2989" s="155" t="n">
        <v>46095</v>
      </c>
      <c r="B2989" s="156" t="inlineStr">
        <is>
          <t>NS</t>
        </is>
      </c>
      <c r="C2989" s="156" t="inlineStr">
        <is>
          <t>HT-401</t>
        </is>
      </c>
      <c r="D2989" s="156" t="inlineStr">
        <is>
          <t>SY430</t>
        </is>
      </c>
      <c r="E2989" s="156" t="inlineStr">
        <is>
          <t>DT Hauling</t>
        </is>
      </c>
      <c r="F2989" s="156" t="inlineStr"/>
      <c r="G2989" s="182" t="n">
        <v>0</v>
      </c>
      <c r="H2989" s="182" t="n">
        <v>0</v>
      </c>
      <c r="I2989" s="182" t="n">
        <v>0</v>
      </c>
      <c r="J2989" s="182" t="n">
        <v>0</v>
      </c>
      <c r="K2989" s="182" t="n">
        <v>12</v>
      </c>
      <c r="L2989" s="182" t="n">
        <v>12</v>
      </c>
      <c r="M2989" s="182" t="n">
        <v>0</v>
      </c>
      <c r="N2989" s="182" t="n">
        <v>0</v>
      </c>
      <c r="O2989" s="183" t="n">
        <v>0</v>
      </c>
      <c r="P2989" s="183" t="n">
        <v>0</v>
      </c>
      <c r="Q2989" s="184" t="n">
        <v>0</v>
      </c>
      <c r="R2989" s="184" t="n">
        <v>0</v>
      </c>
      <c r="S2989" s="183" t="n">
        <v>0</v>
      </c>
      <c r="T2989" s="183" t="n">
        <v>0</v>
      </c>
      <c r="U2989" s="182" t="n">
        <v>0</v>
      </c>
      <c r="V2989" s="182" t="n">
        <v>0</v>
      </c>
      <c r="W2989" s="182" t="n">
        <v>0</v>
      </c>
      <c r="X2989" s="182" t="n">
        <v>1</v>
      </c>
      <c r="Y2989" s="182" t="n">
        <v>0</v>
      </c>
      <c r="Z2989" s="182" t="n">
        <v>0</v>
      </c>
      <c r="AA2989" s="182" t="n">
        <v>0</v>
      </c>
      <c r="AB2989" s="182" t="n">
        <v>0</v>
      </c>
      <c r="AC2989" s="182" t="n">
        <v>0</v>
      </c>
      <c r="AD2989" s="182" t="n">
        <v>0</v>
      </c>
      <c r="AE2989" s="182" t="n">
        <v>0</v>
      </c>
      <c r="AF2989" s="182" t="n">
        <v>0</v>
      </c>
      <c r="AG2989" s="182" t="n">
        <v>0</v>
      </c>
      <c r="AH2989" s="182" t="n">
        <v>0</v>
      </c>
      <c r="AI2989" s="182" t="n">
        <v>0</v>
      </c>
      <c r="AJ2989" s="182" t="n">
        <v>0</v>
      </c>
      <c r="AK2989" s="182" t="n">
        <v>10.92</v>
      </c>
      <c r="AL2989" s="182" t="n">
        <v>0</v>
      </c>
      <c r="AM2989" s="182" t="n">
        <v>0.08</v>
      </c>
      <c r="AN2989" s="182" t="n">
        <v>0</v>
      </c>
    </row>
    <row r="2990">
      <c r="A2990" s="155" t="n">
        <v>46095</v>
      </c>
      <c r="B2990" s="156" t="inlineStr">
        <is>
          <t>NS</t>
        </is>
      </c>
      <c r="C2990" s="156" t="inlineStr">
        <is>
          <t>HT-410</t>
        </is>
      </c>
      <c r="D2990" s="156" t="inlineStr">
        <is>
          <t>SY430</t>
        </is>
      </c>
      <c r="E2990" s="156" t="inlineStr">
        <is>
          <t>DT Hauling</t>
        </is>
      </c>
      <c r="F2990" s="156" t="inlineStr"/>
      <c r="G2990" s="182" t="n">
        <v>0</v>
      </c>
      <c r="H2990" s="182" t="n">
        <v>0</v>
      </c>
      <c r="I2990" s="182" t="n">
        <v>0</v>
      </c>
      <c r="J2990" s="182" t="n">
        <v>0</v>
      </c>
      <c r="K2990" s="182" t="n">
        <v>12</v>
      </c>
      <c r="L2990" s="182" t="n">
        <v>12</v>
      </c>
      <c r="M2990" s="182" t="n">
        <v>0</v>
      </c>
      <c r="N2990" s="182" t="n">
        <v>0</v>
      </c>
      <c r="O2990" s="183" t="n">
        <v>0</v>
      </c>
      <c r="P2990" s="183" t="n">
        <v>0</v>
      </c>
      <c r="Q2990" s="184" t="n">
        <v>0</v>
      </c>
      <c r="R2990" s="184" t="n">
        <v>0</v>
      </c>
      <c r="S2990" s="183" t="n">
        <v>0</v>
      </c>
      <c r="T2990" s="183" t="n">
        <v>0</v>
      </c>
      <c r="U2990" s="182" t="n">
        <v>0</v>
      </c>
      <c r="V2990" s="182" t="n">
        <v>0</v>
      </c>
      <c r="W2990" s="182" t="n">
        <v>0</v>
      </c>
      <c r="X2990" s="182" t="n">
        <v>1</v>
      </c>
      <c r="Y2990" s="182" t="n">
        <v>0</v>
      </c>
      <c r="Z2990" s="182" t="n">
        <v>0</v>
      </c>
      <c r="AA2990" s="182" t="n">
        <v>0</v>
      </c>
      <c r="AB2990" s="182" t="n">
        <v>0</v>
      </c>
      <c r="AC2990" s="182" t="n">
        <v>0</v>
      </c>
      <c r="AD2990" s="182" t="n">
        <v>0</v>
      </c>
      <c r="AE2990" s="182" t="n">
        <v>0</v>
      </c>
      <c r="AF2990" s="182" t="n">
        <v>0</v>
      </c>
      <c r="AG2990" s="182" t="n">
        <v>0</v>
      </c>
      <c r="AH2990" s="182" t="n">
        <v>0</v>
      </c>
      <c r="AI2990" s="182" t="n">
        <v>0</v>
      </c>
      <c r="AJ2990" s="182" t="n">
        <v>0</v>
      </c>
      <c r="AK2990" s="182" t="n">
        <v>10.92</v>
      </c>
      <c r="AL2990" s="182" t="n">
        <v>0</v>
      </c>
      <c r="AM2990" s="182" t="n">
        <v>0.08</v>
      </c>
      <c r="AN2990" s="182" t="n">
        <v>0</v>
      </c>
    </row>
    <row r="2991">
      <c r="A2991" s="155" t="n">
        <v>46095</v>
      </c>
      <c r="B2991" s="156" t="inlineStr">
        <is>
          <t>NS</t>
        </is>
      </c>
      <c r="C2991" s="156" t="inlineStr">
        <is>
          <t>HT-402</t>
        </is>
      </c>
      <c r="D2991" s="156" t="inlineStr">
        <is>
          <t>SY430</t>
        </is>
      </c>
      <c r="E2991" s="156" t="inlineStr">
        <is>
          <t>DT Hauling</t>
        </is>
      </c>
      <c r="F2991" s="156" t="inlineStr"/>
      <c r="G2991" s="182" t="n">
        <v>0</v>
      </c>
      <c r="H2991" s="182" t="n">
        <v>0</v>
      </c>
      <c r="I2991" s="182" t="n">
        <v>0</v>
      </c>
      <c r="J2991" s="182" t="n">
        <v>0</v>
      </c>
      <c r="K2991" s="182" t="n">
        <v>12</v>
      </c>
      <c r="L2991" s="182" t="n">
        <v>12</v>
      </c>
      <c r="M2991" s="182" t="n">
        <v>0</v>
      </c>
      <c r="N2991" s="182" t="n">
        <v>0</v>
      </c>
      <c r="O2991" s="183" t="n">
        <v>0</v>
      </c>
      <c r="P2991" s="183" t="n">
        <v>0</v>
      </c>
      <c r="Q2991" s="184" t="n">
        <v>0</v>
      </c>
      <c r="R2991" s="184" t="n">
        <v>0</v>
      </c>
      <c r="S2991" s="183" t="n">
        <v>0</v>
      </c>
      <c r="T2991" s="183" t="n">
        <v>0</v>
      </c>
      <c r="U2991" s="182" t="n">
        <v>0</v>
      </c>
      <c r="V2991" s="182" t="n">
        <v>0</v>
      </c>
      <c r="W2991" s="182" t="n">
        <v>0</v>
      </c>
      <c r="X2991" s="182" t="n">
        <v>1</v>
      </c>
      <c r="Y2991" s="182" t="n">
        <v>0</v>
      </c>
      <c r="Z2991" s="182" t="n">
        <v>0</v>
      </c>
      <c r="AA2991" s="182" t="n">
        <v>0</v>
      </c>
      <c r="AB2991" s="182" t="n">
        <v>0</v>
      </c>
      <c r="AC2991" s="182" t="n">
        <v>0</v>
      </c>
      <c r="AD2991" s="182" t="n">
        <v>0</v>
      </c>
      <c r="AE2991" s="182" t="n">
        <v>0</v>
      </c>
      <c r="AF2991" s="182" t="n">
        <v>0</v>
      </c>
      <c r="AG2991" s="182" t="n">
        <v>0</v>
      </c>
      <c r="AH2991" s="182" t="n">
        <v>0</v>
      </c>
      <c r="AI2991" s="182" t="n">
        <v>0</v>
      </c>
      <c r="AJ2991" s="182" t="n">
        <v>0</v>
      </c>
      <c r="AK2991" s="182" t="n">
        <v>10.92</v>
      </c>
      <c r="AL2991" s="182" t="n">
        <v>0</v>
      </c>
      <c r="AM2991" s="182" t="n">
        <v>0.08</v>
      </c>
      <c r="AN2991" s="182" t="n">
        <v>0</v>
      </c>
    </row>
    <row r="2992">
      <c r="A2992" s="155" t="n">
        <v>46095</v>
      </c>
      <c r="B2992" s="156" t="inlineStr">
        <is>
          <t>NS</t>
        </is>
      </c>
      <c r="C2992" s="156" t="inlineStr">
        <is>
          <t>HT-419</t>
        </is>
      </c>
      <c r="D2992" s="156" t="inlineStr">
        <is>
          <t>SY430</t>
        </is>
      </c>
      <c r="E2992" s="156" t="inlineStr">
        <is>
          <t>DT Hauling</t>
        </is>
      </c>
      <c r="F2992" s="156" t="inlineStr"/>
      <c r="G2992" s="182" t="n">
        <v>0</v>
      </c>
      <c r="H2992" s="182" t="n">
        <v>0</v>
      </c>
      <c r="I2992" s="182" t="n">
        <v>0</v>
      </c>
      <c r="J2992" s="182" t="n">
        <v>0</v>
      </c>
      <c r="K2992" s="182" t="n">
        <v>12</v>
      </c>
      <c r="L2992" s="182" t="n">
        <v>12</v>
      </c>
      <c r="M2992" s="182" t="n">
        <v>0</v>
      </c>
      <c r="N2992" s="182" t="n">
        <v>0</v>
      </c>
      <c r="O2992" s="183" t="n">
        <v>0</v>
      </c>
      <c r="P2992" s="183" t="n">
        <v>0</v>
      </c>
      <c r="Q2992" s="184" t="n">
        <v>0</v>
      </c>
      <c r="R2992" s="184" t="n">
        <v>0</v>
      </c>
      <c r="S2992" s="183" t="n">
        <v>0</v>
      </c>
      <c r="T2992" s="183" t="n">
        <v>0</v>
      </c>
      <c r="U2992" s="182" t="n">
        <v>0</v>
      </c>
      <c r="V2992" s="182" t="n">
        <v>0</v>
      </c>
      <c r="W2992" s="182" t="n">
        <v>0</v>
      </c>
      <c r="X2992" s="182" t="n">
        <v>1</v>
      </c>
      <c r="Y2992" s="182" t="n">
        <v>0</v>
      </c>
      <c r="Z2992" s="182" t="n">
        <v>0</v>
      </c>
      <c r="AA2992" s="182" t="n">
        <v>0</v>
      </c>
      <c r="AB2992" s="182" t="n">
        <v>0</v>
      </c>
      <c r="AC2992" s="182" t="n">
        <v>0</v>
      </c>
      <c r="AD2992" s="182" t="n">
        <v>0</v>
      </c>
      <c r="AE2992" s="182" t="n">
        <v>0</v>
      </c>
      <c r="AF2992" s="182" t="n">
        <v>0</v>
      </c>
      <c r="AG2992" s="182" t="n">
        <v>0</v>
      </c>
      <c r="AH2992" s="182" t="n">
        <v>0</v>
      </c>
      <c r="AI2992" s="182" t="n">
        <v>0</v>
      </c>
      <c r="AJ2992" s="182" t="n">
        <v>0</v>
      </c>
      <c r="AK2992" s="182" t="n">
        <v>10.92</v>
      </c>
      <c r="AL2992" s="182" t="n">
        <v>0</v>
      </c>
      <c r="AM2992" s="182" t="n">
        <v>0.08</v>
      </c>
      <c r="AN2992" s="182" t="n">
        <v>0</v>
      </c>
    </row>
    <row r="2993">
      <c r="A2993" s="155" t="n">
        <v>46095</v>
      </c>
      <c r="B2993" s="156" t="inlineStr">
        <is>
          <t>NS</t>
        </is>
      </c>
      <c r="C2993" s="156" t="inlineStr">
        <is>
          <t>HT-416</t>
        </is>
      </c>
      <c r="D2993" s="156" t="inlineStr">
        <is>
          <t>SY430</t>
        </is>
      </c>
      <c r="E2993" s="156" t="inlineStr">
        <is>
          <t>DT Hauling</t>
        </is>
      </c>
      <c r="F2993" s="156" t="inlineStr"/>
      <c r="G2993" s="182" t="n">
        <v>0</v>
      </c>
      <c r="H2993" s="182" t="n">
        <v>0</v>
      </c>
      <c r="I2993" s="182" t="n">
        <v>0</v>
      </c>
      <c r="J2993" s="182" t="n">
        <v>0</v>
      </c>
      <c r="K2993" s="182" t="n">
        <v>12</v>
      </c>
      <c r="L2993" s="182" t="n">
        <v>12</v>
      </c>
      <c r="M2993" s="182" t="n">
        <v>0</v>
      </c>
      <c r="N2993" s="182" t="n">
        <v>0</v>
      </c>
      <c r="O2993" s="183" t="n">
        <v>0</v>
      </c>
      <c r="P2993" s="183" t="n">
        <v>0</v>
      </c>
      <c r="Q2993" s="184" t="n">
        <v>0</v>
      </c>
      <c r="R2993" s="184" t="n">
        <v>0</v>
      </c>
      <c r="S2993" s="183" t="n">
        <v>0</v>
      </c>
      <c r="T2993" s="183" t="n">
        <v>0</v>
      </c>
      <c r="U2993" s="182" t="n">
        <v>0</v>
      </c>
      <c r="V2993" s="182" t="n">
        <v>0</v>
      </c>
      <c r="W2993" s="182" t="n">
        <v>0</v>
      </c>
      <c r="X2993" s="182" t="n">
        <v>1</v>
      </c>
      <c r="Y2993" s="182" t="n">
        <v>0</v>
      </c>
      <c r="Z2993" s="182" t="n">
        <v>0</v>
      </c>
      <c r="AA2993" s="182" t="n">
        <v>0</v>
      </c>
      <c r="AB2993" s="182" t="n">
        <v>0</v>
      </c>
      <c r="AC2993" s="182" t="n">
        <v>0</v>
      </c>
      <c r="AD2993" s="182" t="n">
        <v>0</v>
      </c>
      <c r="AE2993" s="182" t="n">
        <v>0</v>
      </c>
      <c r="AF2993" s="182" t="n">
        <v>0</v>
      </c>
      <c r="AG2993" s="182" t="n">
        <v>0</v>
      </c>
      <c r="AH2993" s="182" t="n">
        <v>0</v>
      </c>
      <c r="AI2993" s="182" t="n">
        <v>0</v>
      </c>
      <c r="AJ2993" s="182" t="n">
        <v>0</v>
      </c>
      <c r="AK2993" s="182" t="n">
        <v>10.92</v>
      </c>
      <c r="AL2993" s="182" t="n">
        <v>0</v>
      </c>
      <c r="AM2993" s="182" t="n">
        <v>0.08</v>
      </c>
      <c r="AN2993" s="182" t="n">
        <v>0</v>
      </c>
    </row>
    <row r="2994">
      <c r="A2994" s="155" t="n">
        <v>46095</v>
      </c>
      <c r="B2994" s="156" t="inlineStr">
        <is>
          <t>NS</t>
        </is>
      </c>
      <c r="C2994" s="156" t="inlineStr">
        <is>
          <t>HT-420</t>
        </is>
      </c>
      <c r="D2994" s="156" t="inlineStr">
        <is>
          <t>SY430</t>
        </is>
      </c>
      <c r="E2994" s="156" t="inlineStr">
        <is>
          <t>DT Hauling</t>
        </is>
      </c>
      <c r="F2994" s="156" t="inlineStr"/>
      <c r="G2994" s="182" t="n">
        <v>0</v>
      </c>
      <c r="H2994" s="182" t="n">
        <v>0</v>
      </c>
      <c r="I2994" s="182" t="n">
        <v>0</v>
      </c>
      <c r="J2994" s="182" t="n">
        <v>0</v>
      </c>
      <c r="K2994" s="182" t="n">
        <v>12</v>
      </c>
      <c r="L2994" s="182" t="n">
        <v>12</v>
      </c>
      <c r="M2994" s="182" t="n">
        <v>0</v>
      </c>
      <c r="N2994" s="182" t="n">
        <v>0</v>
      </c>
      <c r="O2994" s="183" t="n">
        <v>0</v>
      </c>
      <c r="P2994" s="183" t="n">
        <v>0</v>
      </c>
      <c r="Q2994" s="184" t="n">
        <v>0</v>
      </c>
      <c r="R2994" s="184" t="n">
        <v>0</v>
      </c>
      <c r="S2994" s="183" t="n">
        <v>0</v>
      </c>
      <c r="T2994" s="183" t="n">
        <v>0</v>
      </c>
      <c r="U2994" s="182" t="n">
        <v>0</v>
      </c>
      <c r="V2994" s="182" t="n">
        <v>0</v>
      </c>
      <c r="W2994" s="182" t="n">
        <v>0</v>
      </c>
      <c r="X2994" s="182" t="n">
        <v>1</v>
      </c>
      <c r="Y2994" s="182" t="n">
        <v>0</v>
      </c>
      <c r="Z2994" s="182" t="n">
        <v>0</v>
      </c>
      <c r="AA2994" s="182" t="n">
        <v>0</v>
      </c>
      <c r="AB2994" s="182" t="n">
        <v>0</v>
      </c>
      <c r="AC2994" s="182" t="n">
        <v>0</v>
      </c>
      <c r="AD2994" s="182" t="n">
        <v>0</v>
      </c>
      <c r="AE2994" s="182" t="n">
        <v>0</v>
      </c>
      <c r="AF2994" s="182" t="n">
        <v>0</v>
      </c>
      <c r="AG2994" s="182" t="n">
        <v>0</v>
      </c>
      <c r="AH2994" s="182" t="n">
        <v>0</v>
      </c>
      <c r="AI2994" s="182" t="n">
        <v>0</v>
      </c>
      <c r="AJ2994" s="182" t="n">
        <v>0</v>
      </c>
      <c r="AK2994" s="182" t="n">
        <v>10.92</v>
      </c>
      <c r="AL2994" s="182" t="n">
        <v>0</v>
      </c>
      <c r="AM2994" s="182" t="n">
        <v>0.08</v>
      </c>
      <c r="AN2994" s="182" t="n">
        <v>0</v>
      </c>
    </row>
    <row r="2995">
      <c r="A2995" s="155" t="n">
        <v>46095</v>
      </c>
      <c r="B2995" s="156" t="inlineStr">
        <is>
          <t>NS</t>
        </is>
      </c>
      <c r="C2995" s="156" t="inlineStr">
        <is>
          <t>HT-403</t>
        </is>
      </c>
      <c r="D2995" s="156" t="inlineStr">
        <is>
          <t>SY430</t>
        </is>
      </c>
      <c r="E2995" s="156" t="inlineStr">
        <is>
          <t>DT Hauling</t>
        </is>
      </c>
      <c r="F2995" s="156" t="inlineStr"/>
      <c r="G2995" s="182" t="n">
        <v>0</v>
      </c>
      <c r="H2995" s="182" t="n">
        <v>0</v>
      </c>
      <c r="I2995" s="182" t="n">
        <v>0</v>
      </c>
      <c r="J2995" s="182" t="n">
        <v>0</v>
      </c>
      <c r="K2995" s="182" t="n">
        <v>12</v>
      </c>
      <c r="L2995" s="182" t="n">
        <v>12</v>
      </c>
      <c r="M2995" s="182" t="n">
        <v>0</v>
      </c>
      <c r="N2995" s="182" t="n">
        <v>0</v>
      </c>
      <c r="O2995" s="183" t="n">
        <v>0</v>
      </c>
      <c r="P2995" s="183" t="n">
        <v>0</v>
      </c>
      <c r="Q2995" s="184" t="n">
        <v>0</v>
      </c>
      <c r="R2995" s="184" t="n">
        <v>0</v>
      </c>
      <c r="S2995" s="183" t="n">
        <v>0</v>
      </c>
      <c r="T2995" s="183" t="n">
        <v>0</v>
      </c>
      <c r="U2995" s="182" t="n">
        <v>0</v>
      </c>
      <c r="V2995" s="182" t="n">
        <v>0</v>
      </c>
      <c r="W2995" s="182" t="n">
        <v>0</v>
      </c>
      <c r="X2995" s="182" t="n">
        <v>1</v>
      </c>
      <c r="Y2995" s="182" t="n">
        <v>0</v>
      </c>
      <c r="Z2995" s="182" t="n">
        <v>0</v>
      </c>
      <c r="AA2995" s="182" t="n">
        <v>0</v>
      </c>
      <c r="AB2995" s="182" t="n">
        <v>0</v>
      </c>
      <c r="AC2995" s="182" t="n">
        <v>0</v>
      </c>
      <c r="AD2995" s="182" t="n">
        <v>0</v>
      </c>
      <c r="AE2995" s="182" t="n">
        <v>0</v>
      </c>
      <c r="AF2995" s="182" t="n">
        <v>0</v>
      </c>
      <c r="AG2995" s="182" t="n">
        <v>0</v>
      </c>
      <c r="AH2995" s="182" t="n">
        <v>0</v>
      </c>
      <c r="AI2995" s="182" t="n">
        <v>0</v>
      </c>
      <c r="AJ2995" s="182" t="n">
        <v>0</v>
      </c>
      <c r="AK2995" s="182" t="n">
        <v>10.92</v>
      </c>
      <c r="AL2995" s="182" t="n">
        <v>0</v>
      </c>
      <c r="AM2995" s="182" t="n">
        <v>0.08</v>
      </c>
      <c r="AN2995" s="182" t="n">
        <v>0</v>
      </c>
    </row>
    <row r="2996">
      <c r="A2996" s="155" t="n">
        <v>46095</v>
      </c>
      <c r="B2996" s="156" t="inlineStr">
        <is>
          <t>NS</t>
        </is>
      </c>
      <c r="C2996" s="156" t="inlineStr">
        <is>
          <t>HT-408</t>
        </is>
      </c>
      <c r="D2996" s="156" t="inlineStr">
        <is>
          <t>SY430</t>
        </is>
      </c>
      <c r="E2996" s="156" t="inlineStr">
        <is>
          <t>DT Hauling</t>
        </is>
      </c>
      <c r="F2996" s="156" t="inlineStr"/>
      <c r="G2996" s="182" t="n">
        <v>0</v>
      </c>
      <c r="H2996" s="182" t="n">
        <v>0</v>
      </c>
      <c r="I2996" s="182" t="n">
        <v>0</v>
      </c>
      <c r="J2996" s="182" t="n">
        <v>0</v>
      </c>
      <c r="K2996" s="182" t="n">
        <v>12</v>
      </c>
      <c r="L2996" s="182" t="n">
        <v>12</v>
      </c>
      <c r="M2996" s="182" t="n">
        <v>0</v>
      </c>
      <c r="N2996" s="182" t="n">
        <v>0</v>
      </c>
      <c r="O2996" s="183" t="n">
        <v>0</v>
      </c>
      <c r="P2996" s="183" t="n">
        <v>0</v>
      </c>
      <c r="Q2996" s="184" t="n">
        <v>0</v>
      </c>
      <c r="R2996" s="184" t="n">
        <v>0</v>
      </c>
      <c r="S2996" s="183" t="n">
        <v>0</v>
      </c>
      <c r="T2996" s="183" t="n">
        <v>0</v>
      </c>
      <c r="U2996" s="182" t="n">
        <v>0</v>
      </c>
      <c r="V2996" s="182" t="n">
        <v>0</v>
      </c>
      <c r="W2996" s="182" t="n">
        <v>0</v>
      </c>
      <c r="X2996" s="182" t="n">
        <v>1</v>
      </c>
      <c r="Y2996" s="182" t="n">
        <v>0</v>
      </c>
      <c r="Z2996" s="182" t="n">
        <v>0</v>
      </c>
      <c r="AA2996" s="182" t="n">
        <v>0</v>
      </c>
      <c r="AB2996" s="182" t="n">
        <v>0</v>
      </c>
      <c r="AC2996" s="182" t="n">
        <v>0</v>
      </c>
      <c r="AD2996" s="182" t="n">
        <v>0</v>
      </c>
      <c r="AE2996" s="182" t="n">
        <v>0</v>
      </c>
      <c r="AF2996" s="182" t="n">
        <v>0</v>
      </c>
      <c r="AG2996" s="182" t="n">
        <v>0</v>
      </c>
      <c r="AH2996" s="182" t="n">
        <v>0</v>
      </c>
      <c r="AI2996" s="182" t="n">
        <v>0</v>
      </c>
      <c r="AJ2996" s="182" t="n">
        <v>0</v>
      </c>
      <c r="AK2996" s="182" t="n">
        <v>10.92</v>
      </c>
      <c r="AL2996" s="182" t="n">
        <v>0</v>
      </c>
      <c r="AM2996" s="182" t="n">
        <v>0.08</v>
      </c>
      <c r="AN2996" s="182" t="n">
        <v>0</v>
      </c>
    </row>
    <row r="2997">
      <c r="A2997" s="155" t="n">
        <v>46095</v>
      </c>
      <c r="B2997" s="156" t="inlineStr">
        <is>
          <t>NS</t>
        </is>
      </c>
      <c r="C2997" s="156" t="inlineStr">
        <is>
          <t>HT-412</t>
        </is>
      </c>
      <c r="D2997" s="156" t="inlineStr">
        <is>
          <t>SY430</t>
        </is>
      </c>
      <c r="E2997" s="156" t="inlineStr">
        <is>
          <t>DT Hauling</t>
        </is>
      </c>
      <c r="F2997" s="156" t="inlineStr"/>
      <c r="G2997" s="182" t="n">
        <v>0</v>
      </c>
      <c r="H2997" s="182" t="n">
        <v>0</v>
      </c>
      <c r="I2997" s="182" t="n">
        <v>0</v>
      </c>
      <c r="J2997" s="182" t="n">
        <v>0</v>
      </c>
      <c r="K2997" s="182" t="n">
        <v>12</v>
      </c>
      <c r="L2997" s="182" t="n">
        <v>12</v>
      </c>
      <c r="M2997" s="182" t="n">
        <v>0</v>
      </c>
      <c r="N2997" s="182" t="n">
        <v>0</v>
      </c>
      <c r="O2997" s="183" t="n">
        <v>0</v>
      </c>
      <c r="P2997" s="183" t="n">
        <v>0</v>
      </c>
      <c r="Q2997" s="184" t="n">
        <v>0</v>
      </c>
      <c r="R2997" s="184" t="n">
        <v>0</v>
      </c>
      <c r="S2997" s="183" t="n">
        <v>0</v>
      </c>
      <c r="T2997" s="183" t="n">
        <v>0</v>
      </c>
      <c r="U2997" s="182" t="n">
        <v>0</v>
      </c>
      <c r="V2997" s="182" t="n">
        <v>0</v>
      </c>
      <c r="W2997" s="182" t="n">
        <v>0</v>
      </c>
      <c r="X2997" s="182" t="n">
        <v>1</v>
      </c>
      <c r="Y2997" s="182" t="n">
        <v>0</v>
      </c>
      <c r="Z2997" s="182" t="n">
        <v>0</v>
      </c>
      <c r="AA2997" s="182" t="n">
        <v>0</v>
      </c>
      <c r="AB2997" s="182" t="n">
        <v>0</v>
      </c>
      <c r="AC2997" s="182" t="n">
        <v>0</v>
      </c>
      <c r="AD2997" s="182" t="n">
        <v>0</v>
      </c>
      <c r="AE2997" s="182" t="n">
        <v>0</v>
      </c>
      <c r="AF2997" s="182" t="n">
        <v>0</v>
      </c>
      <c r="AG2997" s="182" t="n">
        <v>0</v>
      </c>
      <c r="AH2997" s="182" t="n">
        <v>0</v>
      </c>
      <c r="AI2997" s="182" t="n">
        <v>0</v>
      </c>
      <c r="AJ2997" s="182" t="n">
        <v>0</v>
      </c>
      <c r="AK2997" s="182" t="n">
        <v>10.92</v>
      </c>
      <c r="AL2997" s="182" t="n">
        <v>0</v>
      </c>
      <c r="AM2997" s="182" t="n">
        <v>0.08</v>
      </c>
      <c r="AN2997" s="182" t="n">
        <v>0</v>
      </c>
    </row>
    <row r="2998">
      <c r="A2998" s="155" t="n">
        <v>46095</v>
      </c>
      <c r="B2998" s="156" t="inlineStr">
        <is>
          <t>NS</t>
        </is>
      </c>
      <c r="C2998" s="156" t="inlineStr">
        <is>
          <t>HT-413</t>
        </is>
      </c>
      <c r="D2998" s="156" t="inlineStr">
        <is>
          <t>SY430</t>
        </is>
      </c>
      <c r="E2998" s="156" t="inlineStr">
        <is>
          <t>DT Hauling</t>
        </is>
      </c>
      <c r="F2998" s="156" t="inlineStr"/>
      <c r="G2998" s="182" t="n">
        <v>0</v>
      </c>
      <c r="H2998" s="182" t="n">
        <v>0</v>
      </c>
      <c r="I2998" s="182" t="n">
        <v>12</v>
      </c>
      <c r="J2998" s="182" t="n">
        <v>12</v>
      </c>
      <c r="K2998" s="182" t="n">
        <v>0</v>
      </c>
      <c r="L2998" s="182" t="n">
        <v>12</v>
      </c>
      <c r="M2998" s="182" t="n">
        <v>0</v>
      </c>
      <c r="N2998" s="182" t="n">
        <v>0</v>
      </c>
      <c r="O2998" s="183" t="n">
        <v>0</v>
      </c>
      <c r="P2998" s="183" t="n">
        <v>0</v>
      </c>
      <c r="Q2998" s="184" t="n">
        <v>0</v>
      </c>
      <c r="R2998" s="184" t="n">
        <v>0</v>
      </c>
      <c r="S2998" s="183" t="n">
        <v>0</v>
      </c>
      <c r="T2998" s="183" t="n">
        <v>0</v>
      </c>
      <c r="U2998" s="182" t="n">
        <v>0</v>
      </c>
      <c r="V2998" s="182" t="n">
        <v>0</v>
      </c>
      <c r="W2998" s="182" t="n">
        <v>0</v>
      </c>
      <c r="X2998" s="182" t="n">
        <v>0</v>
      </c>
      <c r="Y2998" s="182" t="n">
        <v>0</v>
      </c>
      <c r="Z2998" s="182" t="n">
        <v>0</v>
      </c>
      <c r="AA2998" s="182" t="n">
        <v>0</v>
      </c>
      <c r="AB2998" s="182" t="n">
        <v>0</v>
      </c>
      <c r="AC2998" s="182" t="n">
        <v>0</v>
      </c>
      <c r="AD2998" s="182" t="n">
        <v>0</v>
      </c>
      <c r="AE2998" s="182" t="n">
        <v>0</v>
      </c>
      <c r="AF2998" s="182" t="n">
        <v>0</v>
      </c>
      <c r="AG2998" s="182" t="n">
        <v>0</v>
      </c>
      <c r="AH2998" s="182" t="n">
        <v>0</v>
      </c>
      <c r="AI2998" s="182" t="n">
        <v>0</v>
      </c>
      <c r="AJ2998" s="182" t="n">
        <v>0</v>
      </c>
      <c r="AK2998" s="182" t="n">
        <v>0</v>
      </c>
      <c r="AL2998" s="182" t="n">
        <v>0</v>
      </c>
      <c r="AM2998" s="182" t="n">
        <v>0</v>
      </c>
      <c r="AN2998" s="182" t="n">
        <v>0</v>
      </c>
    </row>
    <row r="2999">
      <c r="A2999" s="155" t="n">
        <v>46095</v>
      </c>
      <c r="B2999" s="156" t="inlineStr">
        <is>
          <t>NS</t>
        </is>
      </c>
      <c r="C2999" s="156" t="inlineStr">
        <is>
          <t>HT-407</t>
        </is>
      </c>
      <c r="D2999" s="156" t="inlineStr">
        <is>
          <t>SY430</t>
        </is>
      </c>
      <c r="E2999" s="156" t="inlineStr">
        <is>
          <t>DT Hauling</t>
        </is>
      </c>
      <c r="F2999" s="156" t="inlineStr"/>
      <c r="G2999" s="182" t="n">
        <v>0</v>
      </c>
      <c r="H2999" s="182" t="n">
        <v>0</v>
      </c>
      <c r="I2999" s="182" t="n">
        <v>0</v>
      </c>
      <c r="J2999" s="182" t="n">
        <v>0</v>
      </c>
      <c r="K2999" s="182" t="n">
        <v>12</v>
      </c>
      <c r="L2999" s="182" t="n">
        <v>12</v>
      </c>
      <c r="M2999" s="182" t="n">
        <v>0</v>
      </c>
      <c r="N2999" s="182" t="n">
        <v>0</v>
      </c>
      <c r="O2999" s="183" t="n">
        <v>0</v>
      </c>
      <c r="P2999" s="183" t="n">
        <v>0</v>
      </c>
      <c r="Q2999" s="184" t="n">
        <v>0</v>
      </c>
      <c r="R2999" s="184" t="n">
        <v>0</v>
      </c>
      <c r="S2999" s="183" t="n">
        <v>0</v>
      </c>
      <c r="T2999" s="183" t="n">
        <v>0</v>
      </c>
      <c r="U2999" s="182" t="n">
        <v>0</v>
      </c>
      <c r="V2999" s="182" t="n">
        <v>0</v>
      </c>
      <c r="W2999" s="182" t="n">
        <v>0</v>
      </c>
      <c r="X2999" s="182" t="n">
        <v>1</v>
      </c>
      <c r="Y2999" s="182" t="n">
        <v>0</v>
      </c>
      <c r="Z2999" s="182" t="n">
        <v>0</v>
      </c>
      <c r="AA2999" s="182" t="n">
        <v>0</v>
      </c>
      <c r="AB2999" s="182" t="n">
        <v>0</v>
      </c>
      <c r="AC2999" s="182" t="n">
        <v>0</v>
      </c>
      <c r="AD2999" s="182" t="n">
        <v>0</v>
      </c>
      <c r="AE2999" s="182" t="n">
        <v>0</v>
      </c>
      <c r="AF2999" s="182" t="n">
        <v>0</v>
      </c>
      <c r="AG2999" s="182" t="n">
        <v>0</v>
      </c>
      <c r="AH2999" s="182" t="n">
        <v>0</v>
      </c>
      <c r="AI2999" s="182" t="n">
        <v>0</v>
      </c>
      <c r="AJ2999" s="182" t="n">
        <v>0</v>
      </c>
      <c r="AK2999" s="182" t="n">
        <v>10.92</v>
      </c>
      <c r="AL2999" s="182" t="n">
        <v>0</v>
      </c>
      <c r="AM2999" s="182" t="n">
        <v>0.08</v>
      </c>
      <c r="AN2999" s="182" t="n">
        <v>0</v>
      </c>
    </row>
    <row r="3000">
      <c r="A3000" s="155" t="n">
        <v>46095</v>
      </c>
      <c r="B3000" s="156" t="inlineStr">
        <is>
          <t>NS</t>
        </is>
      </c>
      <c r="C3000" s="156" t="inlineStr">
        <is>
          <t>HT-414</t>
        </is>
      </c>
      <c r="D3000" s="156" t="inlineStr">
        <is>
          <t>SY430</t>
        </is>
      </c>
      <c r="E3000" s="156" t="inlineStr">
        <is>
          <t>DT Hauling</t>
        </is>
      </c>
      <c r="F3000" s="156" t="inlineStr"/>
      <c r="G3000" s="182" t="n">
        <v>0</v>
      </c>
      <c r="H3000" s="182" t="n">
        <v>0</v>
      </c>
      <c r="I3000" s="182" t="n">
        <v>0</v>
      </c>
      <c r="J3000" s="182" t="n">
        <v>0</v>
      </c>
      <c r="K3000" s="182" t="n">
        <v>12</v>
      </c>
      <c r="L3000" s="182" t="n">
        <v>12</v>
      </c>
      <c r="M3000" s="182" t="n">
        <v>0</v>
      </c>
      <c r="N3000" s="182" t="n">
        <v>0</v>
      </c>
      <c r="O3000" s="183" t="n">
        <v>0</v>
      </c>
      <c r="P3000" s="183" t="n">
        <v>0</v>
      </c>
      <c r="Q3000" s="184" t="n">
        <v>0</v>
      </c>
      <c r="R3000" s="184" t="n">
        <v>0</v>
      </c>
      <c r="S3000" s="183" t="n">
        <v>0</v>
      </c>
      <c r="T3000" s="183" t="n">
        <v>0</v>
      </c>
      <c r="U3000" s="182" t="n">
        <v>0</v>
      </c>
      <c r="V3000" s="182" t="n">
        <v>0</v>
      </c>
      <c r="W3000" s="182" t="n">
        <v>0</v>
      </c>
      <c r="X3000" s="182" t="n">
        <v>1</v>
      </c>
      <c r="Y3000" s="182" t="n">
        <v>0</v>
      </c>
      <c r="Z3000" s="182" t="n">
        <v>0</v>
      </c>
      <c r="AA3000" s="182" t="n">
        <v>0</v>
      </c>
      <c r="AB3000" s="182" t="n">
        <v>0</v>
      </c>
      <c r="AC3000" s="182" t="n">
        <v>0</v>
      </c>
      <c r="AD3000" s="182" t="n">
        <v>0</v>
      </c>
      <c r="AE3000" s="182" t="n">
        <v>0</v>
      </c>
      <c r="AF3000" s="182" t="n">
        <v>0</v>
      </c>
      <c r="AG3000" s="182" t="n">
        <v>0</v>
      </c>
      <c r="AH3000" s="182" t="n">
        <v>0</v>
      </c>
      <c r="AI3000" s="182" t="n">
        <v>0</v>
      </c>
      <c r="AJ3000" s="182" t="n">
        <v>0</v>
      </c>
      <c r="AK3000" s="182" t="n">
        <v>10.92</v>
      </c>
      <c r="AL3000" s="182" t="n">
        <v>0</v>
      </c>
      <c r="AM3000" s="182" t="n">
        <v>0.08</v>
      </c>
      <c r="AN3000" s="182" t="n">
        <v>0</v>
      </c>
    </row>
    <row r="3001">
      <c r="A3001" s="155" t="n">
        <v>46095</v>
      </c>
      <c r="B3001" s="156" t="inlineStr">
        <is>
          <t>NS</t>
        </is>
      </c>
      <c r="C3001" s="156" t="inlineStr">
        <is>
          <t>HT-411</t>
        </is>
      </c>
      <c r="D3001" s="156" t="inlineStr">
        <is>
          <t>SY430</t>
        </is>
      </c>
      <c r="E3001" s="156" t="inlineStr">
        <is>
          <t>DT Hauling</t>
        </is>
      </c>
      <c r="F3001" s="156" t="inlineStr"/>
      <c r="G3001" s="182" t="n">
        <v>0</v>
      </c>
      <c r="H3001" s="182" t="n">
        <v>0</v>
      </c>
      <c r="I3001" s="182" t="n">
        <v>0</v>
      </c>
      <c r="J3001" s="182" t="n">
        <v>0</v>
      </c>
      <c r="K3001" s="182" t="n">
        <v>12</v>
      </c>
      <c r="L3001" s="182" t="n">
        <v>12</v>
      </c>
      <c r="M3001" s="182" t="n">
        <v>0</v>
      </c>
      <c r="N3001" s="182" t="n">
        <v>0</v>
      </c>
      <c r="O3001" s="183" t="n">
        <v>0</v>
      </c>
      <c r="P3001" s="183" t="n">
        <v>0</v>
      </c>
      <c r="Q3001" s="184" t="n">
        <v>0</v>
      </c>
      <c r="R3001" s="184" t="n">
        <v>0</v>
      </c>
      <c r="S3001" s="183" t="n">
        <v>0</v>
      </c>
      <c r="T3001" s="183" t="n">
        <v>0</v>
      </c>
      <c r="U3001" s="182" t="n">
        <v>0</v>
      </c>
      <c r="V3001" s="182" t="n">
        <v>0</v>
      </c>
      <c r="W3001" s="182" t="n">
        <v>0</v>
      </c>
      <c r="X3001" s="182" t="n">
        <v>1</v>
      </c>
      <c r="Y3001" s="182" t="n">
        <v>0</v>
      </c>
      <c r="Z3001" s="182" t="n">
        <v>0</v>
      </c>
      <c r="AA3001" s="182" t="n">
        <v>0</v>
      </c>
      <c r="AB3001" s="182" t="n">
        <v>0</v>
      </c>
      <c r="AC3001" s="182" t="n">
        <v>0</v>
      </c>
      <c r="AD3001" s="182" t="n">
        <v>0</v>
      </c>
      <c r="AE3001" s="182" t="n">
        <v>0</v>
      </c>
      <c r="AF3001" s="182" t="n">
        <v>0</v>
      </c>
      <c r="AG3001" s="182" t="n">
        <v>0</v>
      </c>
      <c r="AH3001" s="182" t="n">
        <v>0</v>
      </c>
      <c r="AI3001" s="182" t="n">
        <v>0</v>
      </c>
      <c r="AJ3001" s="182" t="n">
        <v>0</v>
      </c>
      <c r="AK3001" s="182" t="n">
        <v>10.92</v>
      </c>
      <c r="AL3001" s="182" t="n">
        <v>0</v>
      </c>
      <c r="AM3001" s="182" t="n">
        <v>0.08</v>
      </c>
      <c r="AN3001" s="182" t="n">
        <v>0</v>
      </c>
    </row>
    <row r="3002">
      <c r="A3002" s="155" t="n">
        <v>46095</v>
      </c>
      <c r="B3002" s="156" t="inlineStr">
        <is>
          <t>NS</t>
        </is>
      </c>
      <c r="C3002" s="156" t="inlineStr">
        <is>
          <t>HT-409</t>
        </is>
      </c>
      <c r="D3002" s="156" t="inlineStr">
        <is>
          <t>SY430</t>
        </is>
      </c>
      <c r="E3002" s="156" t="inlineStr">
        <is>
          <t>DT Hauling</t>
        </is>
      </c>
      <c r="F3002" s="156" t="inlineStr"/>
      <c r="G3002" s="182" t="n">
        <v>0</v>
      </c>
      <c r="H3002" s="182" t="n">
        <v>0</v>
      </c>
      <c r="I3002" s="182" t="n">
        <v>0</v>
      </c>
      <c r="J3002" s="182" t="n">
        <v>0</v>
      </c>
      <c r="K3002" s="182" t="n">
        <v>12</v>
      </c>
      <c r="L3002" s="182" t="n">
        <v>12</v>
      </c>
      <c r="M3002" s="182" t="n">
        <v>0</v>
      </c>
      <c r="N3002" s="182" t="n">
        <v>0</v>
      </c>
      <c r="O3002" s="183" t="n">
        <v>0</v>
      </c>
      <c r="P3002" s="183" t="n">
        <v>0</v>
      </c>
      <c r="Q3002" s="184" t="n">
        <v>0</v>
      </c>
      <c r="R3002" s="184" t="n">
        <v>0</v>
      </c>
      <c r="S3002" s="183" t="n">
        <v>0</v>
      </c>
      <c r="T3002" s="183" t="n">
        <v>0</v>
      </c>
      <c r="U3002" s="182" t="n">
        <v>0</v>
      </c>
      <c r="V3002" s="182" t="n">
        <v>0</v>
      </c>
      <c r="W3002" s="182" t="n">
        <v>0</v>
      </c>
      <c r="X3002" s="182" t="n">
        <v>1</v>
      </c>
      <c r="Y3002" s="182" t="n">
        <v>0</v>
      </c>
      <c r="Z3002" s="182" t="n">
        <v>0</v>
      </c>
      <c r="AA3002" s="182" t="n">
        <v>0</v>
      </c>
      <c r="AB3002" s="182" t="n">
        <v>0</v>
      </c>
      <c r="AC3002" s="182" t="n">
        <v>0</v>
      </c>
      <c r="AD3002" s="182" t="n">
        <v>0</v>
      </c>
      <c r="AE3002" s="182" t="n">
        <v>0</v>
      </c>
      <c r="AF3002" s="182" t="n">
        <v>0</v>
      </c>
      <c r="AG3002" s="182" t="n">
        <v>0</v>
      </c>
      <c r="AH3002" s="182" t="n">
        <v>0</v>
      </c>
      <c r="AI3002" s="182" t="n">
        <v>0</v>
      </c>
      <c r="AJ3002" s="182" t="n">
        <v>0</v>
      </c>
      <c r="AK3002" s="182" t="n">
        <v>10.92</v>
      </c>
      <c r="AL3002" s="182" t="n">
        <v>0</v>
      </c>
      <c r="AM3002" s="182" t="n">
        <v>0.08</v>
      </c>
      <c r="AN3002" s="182" t="n">
        <v>0</v>
      </c>
    </row>
    <row r="3003">
      <c r="A3003" s="155" t="n">
        <v>46095</v>
      </c>
      <c r="B3003" s="156" t="inlineStr">
        <is>
          <t>NS</t>
        </is>
      </c>
      <c r="C3003" s="156" t="inlineStr">
        <is>
          <t>DH-103</t>
        </is>
      </c>
      <c r="D3003" s="156" t="inlineStr">
        <is>
          <t>HINO FM260</t>
        </is>
      </c>
      <c r="E3003" s="156" t="inlineStr">
        <is>
          <t>DT Hino</t>
        </is>
      </c>
      <c r="F3003" s="156" t="inlineStr"/>
      <c r="G3003" s="182" t="n">
        <v>0</v>
      </c>
      <c r="H3003" s="182" t="n">
        <v>0</v>
      </c>
      <c r="I3003" s="182" t="n">
        <v>12</v>
      </c>
      <c r="J3003" s="182" t="n">
        <v>12</v>
      </c>
      <c r="K3003" s="182" t="n">
        <v>0</v>
      </c>
      <c r="L3003" s="182" t="n">
        <v>12</v>
      </c>
      <c r="M3003" s="182" t="n">
        <v>0</v>
      </c>
      <c r="N3003" s="182" t="n">
        <v>0</v>
      </c>
      <c r="O3003" s="183" t="n">
        <v>0</v>
      </c>
      <c r="P3003" s="183" t="n">
        <v>0</v>
      </c>
      <c r="Q3003" s="184" t="n">
        <v>0</v>
      </c>
      <c r="R3003" s="184" t="n">
        <v>0</v>
      </c>
      <c r="S3003" s="183" t="n">
        <v>0</v>
      </c>
      <c r="T3003" s="183" t="n">
        <v>0</v>
      </c>
      <c r="U3003" s="182" t="n">
        <v>0</v>
      </c>
      <c r="V3003" s="182" t="n">
        <v>0</v>
      </c>
      <c r="W3003" s="182" t="n">
        <v>0</v>
      </c>
      <c r="X3003" s="182" t="n">
        <v>0</v>
      </c>
      <c r="Y3003" s="182" t="n">
        <v>0</v>
      </c>
      <c r="Z3003" s="182" t="n">
        <v>0</v>
      </c>
      <c r="AA3003" s="182" t="n">
        <v>0</v>
      </c>
      <c r="AB3003" s="182" t="n">
        <v>0</v>
      </c>
      <c r="AC3003" s="182" t="n">
        <v>0</v>
      </c>
      <c r="AD3003" s="182" t="n">
        <v>0</v>
      </c>
      <c r="AE3003" s="182" t="n">
        <v>0</v>
      </c>
      <c r="AF3003" s="182" t="n">
        <v>0</v>
      </c>
      <c r="AG3003" s="182" t="n">
        <v>0</v>
      </c>
      <c r="AH3003" s="182" t="n">
        <v>0</v>
      </c>
      <c r="AI3003" s="182" t="n">
        <v>0</v>
      </c>
      <c r="AJ3003" s="182" t="n">
        <v>0</v>
      </c>
      <c r="AK3003" s="182" t="n">
        <v>0</v>
      </c>
      <c r="AL3003" s="182" t="n">
        <v>0</v>
      </c>
      <c r="AM3003" s="182" t="n">
        <v>0</v>
      </c>
      <c r="AN3003" s="182" t="n">
        <v>0</v>
      </c>
    </row>
    <row r="3004">
      <c r="A3004" s="155" t="n">
        <v>46095</v>
      </c>
      <c r="B3004" s="156" t="inlineStr">
        <is>
          <t>NS</t>
        </is>
      </c>
      <c r="C3004" s="156" t="inlineStr">
        <is>
          <t>DH-102</t>
        </is>
      </c>
      <c r="D3004" s="156" t="inlineStr">
        <is>
          <t>HINO FM260</t>
        </is>
      </c>
      <c r="E3004" s="156" t="inlineStr">
        <is>
          <t>DT Hino</t>
        </is>
      </c>
      <c r="F3004" s="156" t="inlineStr"/>
      <c r="G3004" s="182" t="n">
        <v>0</v>
      </c>
      <c r="H3004" s="182" t="n">
        <v>0</v>
      </c>
      <c r="I3004" s="182" t="n">
        <v>0</v>
      </c>
      <c r="J3004" s="182" t="n">
        <v>0</v>
      </c>
      <c r="K3004" s="182" t="n">
        <v>12</v>
      </c>
      <c r="L3004" s="182" t="n">
        <v>12</v>
      </c>
      <c r="M3004" s="182" t="n">
        <v>0</v>
      </c>
      <c r="N3004" s="182" t="n">
        <v>0</v>
      </c>
      <c r="O3004" s="183" t="n">
        <v>0</v>
      </c>
      <c r="P3004" s="183" t="n">
        <v>0</v>
      </c>
      <c r="Q3004" s="184" t="n">
        <v>0</v>
      </c>
      <c r="R3004" s="184" t="n">
        <v>0</v>
      </c>
      <c r="S3004" s="183" t="n">
        <v>0</v>
      </c>
      <c r="T3004" s="183" t="n">
        <v>0</v>
      </c>
      <c r="U3004" s="182" t="n">
        <v>0</v>
      </c>
      <c r="V3004" s="182" t="n">
        <v>0</v>
      </c>
      <c r="W3004" s="182" t="n">
        <v>0</v>
      </c>
      <c r="X3004" s="182" t="n">
        <v>1</v>
      </c>
      <c r="Y3004" s="182" t="n">
        <v>0</v>
      </c>
      <c r="Z3004" s="182" t="n">
        <v>0</v>
      </c>
      <c r="AA3004" s="182" t="n">
        <v>0</v>
      </c>
      <c r="AB3004" s="182" t="n">
        <v>0</v>
      </c>
      <c r="AC3004" s="182" t="n">
        <v>0</v>
      </c>
      <c r="AD3004" s="182" t="n">
        <v>0</v>
      </c>
      <c r="AE3004" s="182" t="n">
        <v>0</v>
      </c>
      <c r="AF3004" s="182" t="n">
        <v>0</v>
      </c>
      <c r="AG3004" s="182" t="n">
        <v>0</v>
      </c>
      <c r="AH3004" s="182" t="n">
        <v>0</v>
      </c>
      <c r="AI3004" s="182" t="n">
        <v>0</v>
      </c>
      <c r="AJ3004" s="182" t="n">
        <v>0</v>
      </c>
      <c r="AK3004" s="182" t="n">
        <v>10.92</v>
      </c>
      <c r="AL3004" s="182" t="n">
        <v>0</v>
      </c>
      <c r="AM3004" s="182" t="n">
        <v>0.08</v>
      </c>
      <c r="AN3004" s="182" t="n">
        <v>0</v>
      </c>
    </row>
    <row r="3005">
      <c r="A3005" s="155" t="n">
        <v>46095</v>
      </c>
      <c r="B3005" s="156" t="inlineStr">
        <is>
          <t>NS</t>
        </is>
      </c>
      <c r="C3005" s="156" t="inlineStr">
        <is>
          <t>DH-101</t>
        </is>
      </c>
      <c r="D3005" s="156" t="inlineStr">
        <is>
          <t>HINO FM260</t>
        </is>
      </c>
      <c r="E3005" s="156" t="inlineStr">
        <is>
          <t>DT Hino</t>
        </is>
      </c>
      <c r="F3005" s="156" t="inlineStr"/>
      <c r="G3005" s="182" t="n">
        <v>0</v>
      </c>
      <c r="H3005" s="182" t="n">
        <v>0</v>
      </c>
      <c r="I3005" s="182" t="n">
        <v>0</v>
      </c>
      <c r="J3005" s="182" t="n">
        <v>0</v>
      </c>
      <c r="K3005" s="182" t="n">
        <v>12</v>
      </c>
      <c r="L3005" s="182" t="n">
        <v>12</v>
      </c>
      <c r="M3005" s="182" t="n">
        <v>0</v>
      </c>
      <c r="N3005" s="182" t="n">
        <v>0</v>
      </c>
      <c r="O3005" s="183" t="n">
        <v>0</v>
      </c>
      <c r="P3005" s="183" t="n">
        <v>0</v>
      </c>
      <c r="Q3005" s="184" t="n">
        <v>0</v>
      </c>
      <c r="R3005" s="184" t="n">
        <v>0</v>
      </c>
      <c r="S3005" s="183" t="n">
        <v>0</v>
      </c>
      <c r="T3005" s="183" t="n">
        <v>0</v>
      </c>
      <c r="U3005" s="182" t="n">
        <v>0</v>
      </c>
      <c r="V3005" s="182" t="n">
        <v>0</v>
      </c>
      <c r="W3005" s="182" t="n">
        <v>0</v>
      </c>
      <c r="X3005" s="182" t="n">
        <v>1</v>
      </c>
      <c r="Y3005" s="182" t="n">
        <v>0</v>
      </c>
      <c r="Z3005" s="182" t="n">
        <v>0</v>
      </c>
      <c r="AA3005" s="182" t="n">
        <v>0</v>
      </c>
      <c r="AB3005" s="182" t="n">
        <v>0</v>
      </c>
      <c r="AC3005" s="182" t="n">
        <v>0</v>
      </c>
      <c r="AD3005" s="182" t="n">
        <v>0</v>
      </c>
      <c r="AE3005" s="182" t="n">
        <v>0</v>
      </c>
      <c r="AF3005" s="182" t="n">
        <v>0</v>
      </c>
      <c r="AG3005" s="182" t="n">
        <v>0</v>
      </c>
      <c r="AH3005" s="182" t="n">
        <v>0</v>
      </c>
      <c r="AI3005" s="182" t="n">
        <v>0</v>
      </c>
      <c r="AJ3005" s="182" t="n">
        <v>0</v>
      </c>
      <c r="AK3005" s="182" t="n">
        <v>10.92</v>
      </c>
      <c r="AL3005" s="182" t="n">
        <v>0</v>
      </c>
      <c r="AM3005" s="182" t="n">
        <v>0.08</v>
      </c>
      <c r="AN3005" s="182" t="n">
        <v>0</v>
      </c>
    </row>
    <row r="3006">
      <c r="A3006" s="155" t="n">
        <v>46095</v>
      </c>
      <c r="B3006" s="156" t="inlineStr">
        <is>
          <t>NS</t>
        </is>
      </c>
      <c r="C3006" s="156" t="inlineStr">
        <is>
          <t>EX-1251</t>
        </is>
      </c>
      <c r="D3006" s="156" t="inlineStr">
        <is>
          <t>SY1250</t>
        </is>
      </c>
      <c r="E3006" s="156" t="inlineStr">
        <is>
          <t>Excavator</t>
        </is>
      </c>
      <c r="F3006" s="156" t="inlineStr">
        <is>
          <t>Loading OB</t>
        </is>
      </c>
      <c r="G3006" s="182" t="n">
        <v>5.75</v>
      </c>
      <c r="H3006" s="182" t="n">
        <v>0</v>
      </c>
      <c r="I3006" s="182" t="n">
        <v>5.67</v>
      </c>
      <c r="J3006" s="182" t="n">
        <v>5.67</v>
      </c>
      <c r="K3006" s="182" t="n">
        <v>0.58</v>
      </c>
      <c r="L3006" s="182" t="n">
        <v>12</v>
      </c>
      <c r="M3006" s="182" t="n">
        <v>5.75</v>
      </c>
      <c r="N3006" s="182" t="n">
        <v>0</v>
      </c>
      <c r="O3006" s="183" t="n">
        <v>117</v>
      </c>
      <c r="P3006" s="183" t="n">
        <v>0</v>
      </c>
      <c r="Q3006" s="184" t="n">
        <v>2386.8</v>
      </c>
      <c r="R3006" s="184" t="n">
        <v>0</v>
      </c>
      <c r="S3006" s="183" t="n">
        <v>0</v>
      </c>
      <c r="T3006" s="183" t="n">
        <v>0</v>
      </c>
      <c r="U3006" s="182" t="n">
        <v>0</v>
      </c>
      <c r="V3006" s="182" t="n">
        <v>0</v>
      </c>
      <c r="W3006" s="182" t="n">
        <v>0</v>
      </c>
      <c r="X3006" s="182" t="n">
        <v>0</v>
      </c>
      <c r="Y3006" s="182" t="n">
        <v>0</v>
      </c>
      <c r="Z3006" s="182" t="n">
        <v>0</v>
      </c>
      <c r="AA3006" s="182" t="n">
        <v>0</v>
      </c>
      <c r="AB3006" s="182" t="n">
        <v>0</v>
      </c>
      <c r="AC3006" s="182" t="n">
        <v>0</v>
      </c>
      <c r="AD3006" s="182" t="n">
        <v>0</v>
      </c>
      <c r="AE3006" s="182" t="n">
        <v>0</v>
      </c>
      <c r="AF3006" s="182" t="n">
        <v>0</v>
      </c>
      <c r="AG3006" s="182" t="n">
        <v>0</v>
      </c>
      <c r="AH3006" s="182" t="n">
        <v>0.49</v>
      </c>
      <c r="AI3006" s="182" t="n">
        <v>0</v>
      </c>
      <c r="AJ3006" s="182" t="n">
        <v>0</v>
      </c>
      <c r="AK3006" s="182" t="n">
        <v>0</v>
      </c>
      <c r="AL3006" s="182" t="n">
        <v>0</v>
      </c>
      <c r="AM3006" s="182" t="n">
        <v>0.09</v>
      </c>
      <c r="AN3006" s="182" t="n">
        <v>0</v>
      </c>
    </row>
    <row r="3007">
      <c r="A3007" s="155" t="n">
        <v>46095</v>
      </c>
      <c r="B3007" s="156" t="inlineStr">
        <is>
          <t>NS</t>
        </is>
      </c>
      <c r="C3007" s="156" t="inlineStr">
        <is>
          <t>EX-1252</t>
        </is>
      </c>
      <c r="D3007" s="156" t="inlineStr">
        <is>
          <t>SY1250</t>
        </is>
      </c>
      <c r="E3007" s="156" t="inlineStr">
        <is>
          <t>Excavator</t>
        </is>
      </c>
      <c r="F3007" s="156" t="inlineStr"/>
      <c r="G3007" s="182" t="n">
        <v>0</v>
      </c>
      <c r="H3007" s="182" t="n">
        <v>0</v>
      </c>
      <c r="I3007" s="182" t="n">
        <v>12</v>
      </c>
      <c r="J3007" s="182" t="n">
        <v>12</v>
      </c>
      <c r="K3007" s="182" t="n">
        <v>0</v>
      </c>
      <c r="L3007" s="182" t="n">
        <v>12</v>
      </c>
      <c r="M3007" s="182" t="n">
        <v>0</v>
      </c>
      <c r="N3007" s="182" t="n">
        <v>0</v>
      </c>
      <c r="O3007" s="183" t="n">
        <v>0</v>
      </c>
      <c r="P3007" s="183" t="n">
        <v>0</v>
      </c>
      <c r="Q3007" s="184" t="n">
        <v>0</v>
      </c>
      <c r="R3007" s="184" t="n">
        <v>0</v>
      </c>
      <c r="S3007" s="183" t="n">
        <v>0</v>
      </c>
      <c r="T3007" s="183" t="n">
        <v>0</v>
      </c>
      <c r="U3007" s="182" t="n">
        <v>0</v>
      </c>
      <c r="V3007" s="182" t="n">
        <v>0</v>
      </c>
      <c r="W3007" s="182" t="n">
        <v>0</v>
      </c>
      <c r="X3007" s="182" t="n">
        <v>0</v>
      </c>
      <c r="Y3007" s="182" t="n">
        <v>0</v>
      </c>
      <c r="Z3007" s="182" t="n">
        <v>0</v>
      </c>
      <c r="AA3007" s="182" t="n">
        <v>0</v>
      </c>
      <c r="AB3007" s="182" t="n">
        <v>0</v>
      </c>
      <c r="AC3007" s="182" t="n">
        <v>0</v>
      </c>
      <c r="AD3007" s="182" t="n">
        <v>0</v>
      </c>
      <c r="AE3007" s="182" t="n">
        <v>0</v>
      </c>
      <c r="AF3007" s="182" t="n">
        <v>0</v>
      </c>
      <c r="AG3007" s="182" t="n">
        <v>0</v>
      </c>
      <c r="AH3007" s="182" t="n">
        <v>0</v>
      </c>
      <c r="AI3007" s="182" t="n">
        <v>0</v>
      </c>
      <c r="AJ3007" s="182" t="n">
        <v>0</v>
      </c>
      <c r="AK3007" s="182" t="n">
        <v>0</v>
      </c>
      <c r="AL3007" s="182" t="n">
        <v>0</v>
      </c>
      <c r="AM3007" s="182" t="n">
        <v>0</v>
      </c>
      <c r="AN3007" s="182" t="n">
        <v>0</v>
      </c>
    </row>
    <row r="3008">
      <c r="A3008" s="155" t="n">
        <v>46095</v>
      </c>
      <c r="B3008" s="156" t="inlineStr">
        <is>
          <t>NS</t>
        </is>
      </c>
      <c r="C3008" s="156" t="inlineStr">
        <is>
          <t>EX-2101</t>
        </is>
      </c>
      <c r="D3008" s="156" t="inlineStr">
        <is>
          <t>SY2000</t>
        </is>
      </c>
      <c r="E3008" s="156" t="inlineStr">
        <is>
          <t>Excavator</t>
        </is>
      </c>
      <c r="F3008" s="156" t="inlineStr">
        <is>
          <t>Loading OB</t>
        </is>
      </c>
      <c r="G3008" s="182" t="n">
        <v>10.54</v>
      </c>
      <c r="H3008" s="182" t="n">
        <v>0</v>
      </c>
      <c r="I3008" s="182" t="n">
        <v>0</v>
      </c>
      <c r="J3008" s="182" t="n">
        <v>0</v>
      </c>
      <c r="K3008" s="182" t="n">
        <v>1.46</v>
      </c>
      <c r="L3008" s="182" t="n">
        <v>12</v>
      </c>
      <c r="M3008" s="182" t="n">
        <v>10.34</v>
      </c>
      <c r="N3008" s="182" t="n">
        <v>0</v>
      </c>
      <c r="O3008" s="183" t="n">
        <v>186</v>
      </c>
      <c r="P3008" s="183" t="n">
        <v>0</v>
      </c>
      <c r="Q3008" s="184" t="n">
        <v>6640.2</v>
      </c>
      <c r="R3008" s="184" t="n">
        <v>0</v>
      </c>
      <c r="S3008" s="183" t="n">
        <v>0</v>
      </c>
      <c r="T3008" s="183" t="n">
        <v>0</v>
      </c>
      <c r="U3008" s="182" t="n">
        <v>0</v>
      </c>
      <c r="V3008" s="182" t="n">
        <v>0</v>
      </c>
      <c r="W3008" s="182" t="n">
        <v>0</v>
      </c>
      <c r="X3008" s="182" t="n">
        <v>1.01</v>
      </c>
      <c r="Y3008" s="182" t="n">
        <v>0</v>
      </c>
      <c r="Z3008" s="182" t="n">
        <v>0</v>
      </c>
      <c r="AA3008" s="182" t="n">
        <v>0</v>
      </c>
      <c r="AB3008" s="182" t="n">
        <v>0</v>
      </c>
      <c r="AC3008" s="182" t="n">
        <v>0</v>
      </c>
      <c r="AD3008" s="182" t="n">
        <v>0</v>
      </c>
      <c r="AE3008" s="182" t="n">
        <v>0</v>
      </c>
      <c r="AF3008" s="182" t="n">
        <v>0</v>
      </c>
      <c r="AG3008" s="182" t="n">
        <v>0</v>
      </c>
      <c r="AH3008" s="182" t="n">
        <v>0.37</v>
      </c>
      <c r="AI3008" s="182" t="n">
        <v>0</v>
      </c>
      <c r="AJ3008" s="182" t="n">
        <v>0</v>
      </c>
      <c r="AK3008" s="182" t="n">
        <v>0</v>
      </c>
      <c r="AL3008" s="182" t="n">
        <v>0</v>
      </c>
      <c r="AM3008" s="182" t="n">
        <v>0.08</v>
      </c>
      <c r="AN3008" s="182" t="n">
        <v>0</v>
      </c>
    </row>
    <row r="3009">
      <c r="A3009" s="155" t="n">
        <v>46095</v>
      </c>
      <c r="B3009" s="156" t="inlineStr">
        <is>
          <t>NS</t>
        </is>
      </c>
      <c r="C3009" s="156" t="inlineStr">
        <is>
          <t>EX-222</t>
        </is>
      </c>
      <c r="D3009" s="156" t="inlineStr">
        <is>
          <t>PC 200-8MI</t>
        </is>
      </c>
      <c r="E3009" s="156" t="inlineStr">
        <is>
          <t>Excavator</t>
        </is>
      </c>
      <c r="F3009" s="156" t="inlineStr">
        <is>
          <t>Loading lumpur washing plant</t>
        </is>
      </c>
      <c r="G3009" s="182" t="n">
        <v>10.96</v>
      </c>
      <c r="H3009" s="182" t="n">
        <v>0</v>
      </c>
      <c r="I3009" s="182" t="n">
        <v>0</v>
      </c>
      <c r="J3009" s="182" t="n">
        <v>0</v>
      </c>
      <c r="K3009" s="182" t="n">
        <v>1.04</v>
      </c>
      <c r="L3009" s="182" t="n">
        <v>12</v>
      </c>
      <c r="M3009" s="182" t="n">
        <v>0</v>
      </c>
      <c r="N3009" s="182" t="n">
        <v>0</v>
      </c>
      <c r="O3009" s="183" t="n">
        <v>0</v>
      </c>
      <c r="P3009" s="183" t="n">
        <v>0</v>
      </c>
      <c r="Q3009" s="184" t="n">
        <v>0</v>
      </c>
      <c r="R3009" s="184" t="n">
        <v>0</v>
      </c>
      <c r="S3009" s="183" t="n">
        <v>0</v>
      </c>
      <c r="T3009" s="183" t="n">
        <v>0</v>
      </c>
      <c r="U3009" s="182" t="n">
        <v>0</v>
      </c>
      <c r="V3009" s="182" t="n">
        <v>0</v>
      </c>
      <c r="W3009" s="182" t="n">
        <v>0</v>
      </c>
      <c r="X3009" s="182" t="n">
        <v>0.8</v>
      </c>
      <c r="Y3009" s="182" t="n">
        <v>0</v>
      </c>
      <c r="Z3009" s="182" t="n">
        <v>0</v>
      </c>
      <c r="AA3009" s="182" t="n">
        <v>0</v>
      </c>
      <c r="AB3009" s="182" t="n">
        <v>0</v>
      </c>
      <c r="AC3009" s="182" t="n">
        <v>0</v>
      </c>
      <c r="AD3009" s="182" t="n">
        <v>0</v>
      </c>
      <c r="AE3009" s="182" t="n">
        <v>0</v>
      </c>
      <c r="AF3009" s="182" t="n">
        <v>0</v>
      </c>
      <c r="AG3009" s="182" t="n">
        <v>0</v>
      </c>
      <c r="AH3009" s="182" t="n">
        <v>0</v>
      </c>
      <c r="AI3009" s="182" t="n">
        <v>0</v>
      </c>
      <c r="AJ3009" s="182" t="n">
        <v>0</v>
      </c>
      <c r="AK3009" s="182" t="n">
        <v>0.18</v>
      </c>
      <c r="AL3009" s="182" t="n">
        <v>0</v>
      </c>
      <c r="AM3009" s="182" t="n">
        <v>0.06</v>
      </c>
      <c r="AN3009" s="182" t="n">
        <v>0</v>
      </c>
    </row>
    <row r="3010">
      <c r="A3010" s="155" t="n">
        <v>46095</v>
      </c>
      <c r="B3010" s="156" t="inlineStr">
        <is>
          <t>NS</t>
        </is>
      </c>
      <c r="C3010" s="156" t="inlineStr">
        <is>
          <t>EX-225</t>
        </is>
      </c>
      <c r="D3010" s="156" t="inlineStr">
        <is>
          <t>PC 200-8</t>
        </is>
      </c>
      <c r="E3010" s="156" t="inlineStr">
        <is>
          <t>Excavator</t>
        </is>
      </c>
      <c r="F3010" s="156" t="inlineStr"/>
      <c r="G3010" s="182" t="n">
        <v>0</v>
      </c>
      <c r="H3010" s="182" t="n">
        <v>0</v>
      </c>
      <c r="I3010" s="182" t="n">
        <v>12</v>
      </c>
      <c r="J3010" s="182" t="n">
        <v>12</v>
      </c>
      <c r="K3010" s="182" t="n">
        <v>0</v>
      </c>
      <c r="L3010" s="182" t="n">
        <v>12</v>
      </c>
      <c r="M3010" s="182" t="n">
        <v>0</v>
      </c>
      <c r="N3010" s="182" t="n">
        <v>0</v>
      </c>
      <c r="O3010" s="183" t="n">
        <v>0</v>
      </c>
      <c r="P3010" s="183" t="n">
        <v>0</v>
      </c>
      <c r="Q3010" s="184" t="n">
        <v>0</v>
      </c>
      <c r="R3010" s="184" t="n">
        <v>0</v>
      </c>
      <c r="S3010" s="183" t="n">
        <v>0</v>
      </c>
      <c r="T3010" s="183" t="n">
        <v>0</v>
      </c>
      <c r="U3010" s="182" t="n">
        <v>0</v>
      </c>
      <c r="V3010" s="182" t="n">
        <v>0</v>
      </c>
      <c r="W3010" s="182" t="n">
        <v>0</v>
      </c>
      <c r="X3010" s="182" t="n">
        <v>0</v>
      </c>
      <c r="Y3010" s="182" t="n">
        <v>0</v>
      </c>
      <c r="Z3010" s="182" t="n">
        <v>0</v>
      </c>
      <c r="AA3010" s="182" t="n">
        <v>0</v>
      </c>
      <c r="AB3010" s="182" t="n">
        <v>0</v>
      </c>
      <c r="AC3010" s="182" t="n">
        <v>0</v>
      </c>
      <c r="AD3010" s="182" t="n">
        <v>0</v>
      </c>
      <c r="AE3010" s="182" t="n">
        <v>0</v>
      </c>
      <c r="AF3010" s="182" t="n">
        <v>0</v>
      </c>
      <c r="AG3010" s="182" t="n">
        <v>0</v>
      </c>
      <c r="AH3010" s="182" t="n">
        <v>0</v>
      </c>
      <c r="AI3010" s="182" t="n">
        <v>0</v>
      </c>
      <c r="AJ3010" s="182" t="n">
        <v>0</v>
      </c>
      <c r="AK3010" s="182" t="n">
        <v>0</v>
      </c>
      <c r="AL3010" s="182" t="n">
        <v>0</v>
      </c>
      <c r="AM3010" s="182" t="n">
        <v>0</v>
      </c>
      <c r="AN3010" s="182" t="n">
        <v>0</v>
      </c>
    </row>
    <row r="3011">
      <c r="A3011" s="155" t="n">
        <v>46095</v>
      </c>
      <c r="B3011" s="156" t="inlineStr">
        <is>
          <t>NS</t>
        </is>
      </c>
      <c r="C3011" s="156" t="inlineStr">
        <is>
          <t>EX-223</t>
        </is>
      </c>
      <c r="D3011" s="156" t="inlineStr">
        <is>
          <t>PC 200-8MI</t>
        </is>
      </c>
      <c r="E3011" s="156" t="inlineStr">
        <is>
          <t>Excavator</t>
        </is>
      </c>
      <c r="F3011" s="156" t="inlineStr"/>
      <c r="G3011" s="182" t="n">
        <v>0</v>
      </c>
      <c r="H3011" s="182" t="n">
        <v>0</v>
      </c>
      <c r="I3011" s="182" t="n">
        <v>0</v>
      </c>
      <c r="J3011" s="182" t="n">
        <v>0</v>
      </c>
      <c r="K3011" s="182" t="n">
        <v>12</v>
      </c>
      <c r="L3011" s="182" t="n">
        <v>12</v>
      </c>
      <c r="M3011" s="182" t="n">
        <v>0</v>
      </c>
      <c r="N3011" s="182" t="n">
        <v>0</v>
      </c>
      <c r="O3011" s="183" t="n">
        <v>0</v>
      </c>
      <c r="P3011" s="183" t="n">
        <v>0</v>
      </c>
      <c r="Q3011" s="184" t="n">
        <v>0</v>
      </c>
      <c r="R3011" s="184" t="n">
        <v>0</v>
      </c>
      <c r="S3011" s="183" t="n">
        <v>0</v>
      </c>
      <c r="T3011" s="183" t="n">
        <v>0</v>
      </c>
      <c r="U3011" s="182" t="n">
        <v>0</v>
      </c>
      <c r="V3011" s="182" t="n">
        <v>0</v>
      </c>
      <c r="W3011" s="182" t="n">
        <v>0</v>
      </c>
      <c r="X3011" s="182" t="n">
        <v>1</v>
      </c>
      <c r="Y3011" s="182" t="n">
        <v>0</v>
      </c>
      <c r="Z3011" s="182" t="n">
        <v>0</v>
      </c>
      <c r="AA3011" s="182" t="n">
        <v>0</v>
      </c>
      <c r="AB3011" s="182" t="n">
        <v>0</v>
      </c>
      <c r="AC3011" s="182" t="n">
        <v>0</v>
      </c>
      <c r="AD3011" s="182" t="n">
        <v>0</v>
      </c>
      <c r="AE3011" s="182" t="n">
        <v>0</v>
      </c>
      <c r="AF3011" s="182" t="n">
        <v>0</v>
      </c>
      <c r="AG3011" s="182" t="n">
        <v>0</v>
      </c>
      <c r="AH3011" s="182" t="n">
        <v>0</v>
      </c>
      <c r="AI3011" s="182" t="n">
        <v>0</v>
      </c>
      <c r="AJ3011" s="182" t="n">
        <v>0</v>
      </c>
      <c r="AK3011" s="182" t="n">
        <v>10.92</v>
      </c>
      <c r="AL3011" s="182" t="n">
        <v>0</v>
      </c>
      <c r="AM3011" s="182" t="n">
        <v>0.08</v>
      </c>
      <c r="AN3011" s="182" t="n">
        <v>0</v>
      </c>
    </row>
    <row r="3012">
      <c r="A3012" s="155" t="n">
        <v>46095</v>
      </c>
      <c r="B3012" s="156" t="inlineStr">
        <is>
          <t>NS</t>
        </is>
      </c>
      <c r="C3012" s="156" t="inlineStr">
        <is>
          <t>EX-221</t>
        </is>
      </c>
      <c r="D3012" s="156" t="inlineStr">
        <is>
          <t>PC 200-8MI</t>
        </is>
      </c>
      <c r="E3012" s="156" t="inlineStr">
        <is>
          <t>Excavator</t>
        </is>
      </c>
      <c r="F3012" s="156" t="inlineStr">
        <is>
          <t>General Jetty</t>
        </is>
      </c>
      <c r="G3012" s="182" t="n">
        <v>4.58</v>
      </c>
      <c r="H3012" s="182" t="n">
        <v>0</v>
      </c>
      <c r="I3012" s="182" t="n">
        <v>0</v>
      </c>
      <c r="J3012" s="182" t="n">
        <v>0</v>
      </c>
      <c r="K3012" s="182" t="n">
        <v>7.42</v>
      </c>
      <c r="L3012" s="182" t="n">
        <v>12</v>
      </c>
      <c r="M3012" s="182" t="n">
        <v>0</v>
      </c>
      <c r="N3012" s="182" t="n">
        <v>0</v>
      </c>
      <c r="O3012" s="183" t="n">
        <v>0</v>
      </c>
      <c r="P3012" s="183" t="n">
        <v>0</v>
      </c>
      <c r="Q3012" s="184" t="n">
        <v>0</v>
      </c>
      <c r="R3012" s="184" t="n">
        <v>0</v>
      </c>
      <c r="S3012" s="183" t="n">
        <v>0</v>
      </c>
      <c r="T3012" s="183" t="n">
        <v>0</v>
      </c>
      <c r="U3012" s="182" t="n">
        <v>0</v>
      </c>
      <c r="V3012" s="182" t="n">
        <v>0</v>
      </c>
      <c r="W3012" s="182" t="n">
        <v>0</v>
      </c>
      <c r="X3012" s="182" t="n">
        <v>0.96</v>
      </c>
      <c r="Y3012" s="182" t="n">
        <v>0</v>
      </c>
      <c r="Z3012" s="182" t="n">
        <v>0</v>
      </c>
      <c r="AA3012" s="182" t="n">
        <v>0</v>
      </c>
      <c r="AB3012" s="182" t="n">
        <v>0</v>
      </c>
      <c r="AC3012" s="182" t="n">
        <v>0</v>
      </c>
      <c r="AD3012" s="182" t="n">
        <v>0</v>
      </c>
      <c r="AE3012" s="182" t="n">
        <v>0</v>
      </c>
      <c r="AF3012" s="182" t="n">
        <v>0</v>
      </c>
      <c r="AG3012" s="182" t="n">
        <v>0</v>
      </c>
      <c r="AH3012" s="182" t="n">
        <v>0</v>
      </c>
      <c r="AI3012" s="182" t="n">
        <v>0</v>
      </c>
      <c r="AJ3012" s="182" t="n">
        <v>0</v>
      </c>
      <c r="AK3012" s="182" t="n">
        <v>6.38</v>
      </c>
      <c r="AL3012" s="182" t="n">
        <v>0</v>
      </c>
      <c r="AM3012" s="182" t="n">
        <v>0.08</v>
      </c>
      <c r="AN3012" s="182" t="n">
        <v>0</v>
      </c>
    </row>
    <row r="3013">
      <c r="A3013" s="155" t="n">
        <v>46095</v>
      </c>
      <c r="B3013" s="156" t="inlineStr">
        <is>
          <t>NS</t>
        </is>
      </c>
      <c r="C3013" s="156" t="inlineStr">
        <is>
          <t>EX-331</t>
        </is>
      </c>
      <c r="D3013" s="156" t="inlineStr">
        <is>
          <t>PC 300-8MO</t>
        </is>
      </c>
      <c r="E3013" s="156" t="inlineStr">
        <is>
          <t>Excavator</t>
        </is>
      </c>
      <c r="F3013" s="156" t="inlineStr"/>
      <c r="G3013" s="182" t="n">
        <v>0</v>
      </c>
      <c r="H3013" s="182" t="n">
        <v>0</v>
      </c>
      <c r="I3013" s="182" t="n">
        <v>12</v>
      </c>
      <c r="J3013" s="182" t="n">
        <v>12</v>
      </c>
      <c r="K3013" s="182" t="n">
        <v>0</v>
      </c>
      <c r="L3013" s="182" t="n">
        <v>12</v>
      </c>
      <c r="M3013" s="182" t="n">
        <v>0</v>
      </c>
      <c r="N3013" s="182" t="n">
        <v>0</v>
      </c>
      <c r="O3013" s="183" t="n">
        <v>0</v>
      </c>
      <c r="P3013" s="183" t="n">
        <v>0</v>
      </c>
      <c r="Q3013" s="184" t="n">
        <v>0</v>
      </c>
      <c r="R3013" s="184" t="n">
        <v>0</v>
      </c>
      <c r="S3013" s="183" t="n">
        <v>0</v>
      </c>
      <c r="T3013" s="183" t="n">
        <v>0</v>
      </c>
      <c r="U3013" s="182" t="n">
        <v>0</v>
      </c>
      <c r="V3013" s="182" t="n">
        <v>0</v>
      </c>
      <c r="W3013" s="182" t="n">
        <v>0</v>
      </c>
      <c r="X3013" s="182" t="n">
        <v>0</v>
      </c>
      <c r="Y3013" s="182" t="n">
        <v>0</v>
      </c>
      <c r="Z3013" s="182" t="n">
        <v>0</v>
      </c>
      <c r="AA3013" s="182" t="n">
        <v>0</v>
      </c>
      <c r="AB3013" s="182" t="n">
        <v>0</v>
      </c>
      <c r="AC3013" s="182" t="n">
        <v>0</v>
      </c>
      <c r="AD3013" s="182" t="n">
        <v>0</v>
      </c>
      <c r="AE3013" s="182" t="n">
        <v>0</v>
      </c>
      <c r="AF3013" s="182" t="n">
        <v>0</v>
      </c>
      <c r="AG3013" s="182" t="n">
        <v>0</v>
      </c>
      <c r="AH3013" s="182" t="n">
        <v>0</v>
      </c>
      <c r="AI3013" s="182" t="n">
        <v>0</v>
      </c>
      <c r="AJ3013" s="182" t="n">
        <v>0</v>
      </c>
      <c r="AK3013" s="182" t="n">
        <v>0</v>
      </c>
      <c r="AL3013" s="182" t="n">
        <v>0</v>
      </c>
      <c r="AM3013" s="182" t="n">
        <v>0</v>
      </c>
      <c r="AN3013" s="182" t="n">
        <v>0</v>
      </c>
    </row>
    <row r="3014">
      <c r="A3014" s="155" t="n">
        <v>46095</v>
      </c>
      <c r="B3014" s="156" t="inlineStr">
        <is>
          <t>NS</t>
        </is>
      </c>
      <c r="C3014" s="156" t="inlineStr">
        <is>
          <t>EX-334</t>
        </is>
      </c>
      <c r="D3014" s="156" t="inlineStr">
        <is>
          <t>PC 300-8MO</t>
        </is>
      </c>
      <c r="E3014" s="156" t="inlineStr">
        <is>
          <t>Excavator</t>
        </is>
      </c>
      <c r="F3014" s="156" t="inlineStr">
        <is>
          <t>Support Washing Plant</t>
        </is>
      </c>
      <c r="G3014" s="182" t="n">
        <v>12</v>
      </c>
      <c r="H3014" s="182" t="n">
        <v>0</v>
      </c>
      <c r="I3014" s="182" t="n">
        <v>0</v>
      </c>
      <c r="J3014" s="182" t="n">
        <v>0</v>
      </c>
      <c r="K3014" s="182" t="n">
        <v>0</v>
      </c>
      <c r="L3014" s="182" t="n">
        <v>12</v>
      </c>
      <c r="M3014" s="182" t="n">
        <v>0</v>
      </c>
      <c r="N3014" s="182" t="n">
        <v>0</v>
      </c>
      <c r="O3014" s="183" t="n">
        <v>0</v>
      </c>
      <c r="P3014" s="183" t="n">
        <v>0</v>
      </c>
      <c r="Q3014" s="184" t="n">
        <v>0</v>
      </c>
      <c r="R3014" s="184" t="n">
        <v>0</v>
      </c>
      <c r="S3014" s="183" t="n">
        <v>0</v>
      </c>
      <c r="T3014" s="183" t="n">
        <v>0</v>
      </c>
      <c r="U3014" s="182" t="n">
        <v>0</v>
      </c>
      <c r="V3014" s="182" t="n">
        <v>0</v>
      </c>
      <c r="W3014" s="182" t="n">
        <v>0</v>
      </c>
      <c r="X3014" s="182" t="n">
        <v>0</v>
      </c>
      <c r="Y3014" s="182" t="n">
        <v>0</v>
      </c>
      <c r="Z3014" s="182" t="n">
        <v>0</v>
      </c>
      <c r="AA3014" s="182" t="n">
        <v>0</v>
      </c>
      <c r="AB3014" s="182" t="n">
        <v>0</v>
      </c>
      <c r="AC3014" s="182" t="n">
        <v>0</v>
      </c>
      <c r="AD3014" s="182" t="n">
        <v>0</v>
      </c>
      <c r="AE3014" s="182" t="n">
        <v>0</v>
      </c>
      <c r="AF3014" s="182" t="n">
        <v>0</v>
      </c>
      <c r="AG3014" s="182" t="n">
        <v>0</v>
      </c>
      <c r="AH3014" s="182" t="n">
        <v>0</v>
      </c>
      <c r="AI3014" s="182" t="n">
        <v>0</v>
      </c>
      <c r="AJ3014" s="182" t="n">
        <v>0</v>
      </c>
      <c r="AK3014" s="182" t="n">
        <v>0</v>
      </c>
      <c r="AL3014" s="182" t="n">
        <v>0</v>
      </c>
      <c r="AM3014" s="182" t="n">
        <v>0</v>
      </c>
      <c r="AN3014" s="182" t="n">
        <v>0</v>
      </c>
    </row>
    <row r="3015">
      <c r="A3015" s="155" t="n">
        <v>46095</v>
      </c>
      <c r="B3015" s="156" t="inlineStr">
        <is>
          <t>NS</t>
        </is>
      </c>
      <c r="C3015" s="156" t="inlineStr">
        <is>
          <t>EX-332</t>
        </is>
      </c>
      <c r="D3015" s="156" t="inlineStr">
        <is>
          <t>PC 300-8MO</t>
        </is>
      </c>
      <c r="E3015" s="156" t="inlineStr">
        <is>
          <t>Excavator</t>
        </is>
      </c>
      <c r="F3015" s="156" t="inlineStr"/>
      <c r="G3015" s="182" t="n">
        <v>0</v>
      </c>
      <c r="H3015" s="182" t="n">
        <v>0</v>
      </c>
      <c r="I3015" s="182" t="n">
        <v>12</v>
      </c>
      <c r="J3015" s="182" t="n">
        <v>12</v>
      </c>
      <c r="K3015" s="182" t="n">
        <v>0</v>
      </c>
      <c r="L3015" s="182" t="n">
        <v>12</v>
      </c>
      <c r="M3015" s="182" t="n">
        <v>0</v>
      </c>
      <c r="N3015" s="182" t="n">
        <v>0</v>
      </c>
      <c r="O3015" s="183" t="n">
        <v>0</v>
      </c>
      <c r="P3015" s="183" t="n">
        <v>0</v>
      </c>
      <c r="Q3015" s="184" t="n">
        <v>0</v>
      </c>
      <c r="R3015" s="184" t="n">
        <v>0</v>
      </c>
      <c r="S3015" s="183" t="n">
        <v>0</v>
      </c>
      <c r="T3015" s="183" t="n">
        <v>0</v>
      </c>
      <c r="U3015" s="182" t="n">
        <v>0</v>
      </c>
      <c r="V3015" s="182" t="n">
        <v>0</v>
      </c>
      <c r="W3015" s="182" t="n">
        <v>0</v>
      </c>
      <c r="X3015" s="182" t="n">
        <v>0</v>
      </c>
      <c r="Y3015" s="182" t="n">
        <v>0</v>
      </c>
      <c r="Z3015" s="182" t="n">
        <v>0</v>
      </c>
      <c r="AA3015" s="182" t="n">
        <v>0</v>
      </c>
      <c r="AB3015" s="182" t="n">
        <v>0</v>
      </c>
      <c r="AC3015" s="182" t="n">
        <v>0</v>
      </c>
      <c r="AD3015" s="182" t="n">
        <v>0</v>
      </c>
      <c r="AE3015" s="182" t="n">
        <v>0</v>
      </c>
      <c r="AF3015" s="182" t="n">
        <v>0</v>
      </c>
      <c r="AG3015" s="182" t="n">
        <v>0</v>
      </c>
      <c r="AH3015" s="182" t="n">
        <v>0</v>
      </c>
      <c r="AI3015" s="182" t="n">
        <v>0</v>
      </c>
      <c r="AJ3015" s="182" t="n">
        <v>0</v>
      </c>
      <c r="AK3015" s="182" t="n">
        <v>0</v>
      </c>
      <c r="AL3015" s="182" t="n">
        <v>0</v>
      </c>
      <c r="AM3015" s="182" t="n">
        <v>0</v>
      </c>
      <c r="AN3015" s="182" t="n">
        <v>0</v>
      </c>
    </row>
    <row r="3016">
      <c r="A3016" s="155" t="n">
        <v>46095</v>
      </c>
      <c r="B3016" s="156" t="inlineStr">
        <is>
          <t>NS</t>
        </is>
      </c>
      <c r="C3016" s="156" t="inlineStr">
        <is>
          <t>EX-333</t>
        </is>
      </c>
      <c r="D3016" s="156" t="inlineStr">
        <is>
          <t>PC 300-8MO</t>
        </is>
      </c>
      <c r="E3016" s="156" t="inlineStr">
        <is>
          <t>Excavator</t>
        </is>
      </c>
      <c r="F3016" s="156" t="inlineStr">
        <is>
          <t>Loading Coal S60&amp; Parting &amp; Cleaning Coal</t>
        </is>
      </c>
      <c r="G3016" s="182" t="n">
        <v>11.95</v>
      </c>
      <c r="H3016" s="182" t="n">
        <v>0</v>
      </c>
      <c r="I3016" s="182" t="n">
        <v>0</v>
      </c>
      <c r="J3016" s="182" t="n">
        <v>0</v>
      </c>
      <c r="K3016" s="182" t="n">
        <v>0.05</v>
      </c>
      <c r="L3016" s="182" t="n">
        <v>12</v>
      </c>
      <c r="M3016" s="182" t="n">
        <v>0</v>
      </c>
      <c r="N3016" s="182" t="n">
        <v>8.140000000000001</v>
      </c>
      <c r="O3016" s="183" t="n">
        <v>3</v>
      </c>
      <c r="P3016" s="183" t="n">
        <v>45</v>
      </c>
      <c r="Q3016" s="184" t="n">
        <v>49</v>
      </c>
      <c r="R3016" s="184" t="n">
        <v>766.7</v>
      </c>
      <c r="S3016" s="183" t="n">
        <v>0</v>
      </c>
      <c r="T3016" s="183" t="n">
        <v>0</v>
      </c>
      <c r="U3016" s="182" t="n">
        <v>0</v>
      </c>
      <c r="V3016" s="182" t="n">
        <v>0</v>
      </c>
      <c r="W3016" s="182" t="n">
        <v>0</v>
      </c>
      <c r="X3016" s="182" t="n">
        <v>0</v>
      </c>
      <c r="Y3016" s="182" t="n">
        <v>0</v>
      </c>
      <c r="Z3016" s="182" t="n">
        <v>0</v>
      </c>
      <c r="AA3016" s="182" t="n">
        <v>0</v>
      </c>
      <c r="AB3016" s="182" t="n">
        <v>0</v>
      </c>
      <c r="AC3016" s="182" t="n">
        <v>0</v>
      </c>
      <c r="AD3016" s="182" t="n">
        <v>0</v>
      </c>
      <c r="AE3016" s="182" t="n">
        <v>0</v>
      </c>
      <c r="AF3016" s="182" t="n">
        <v>0</v>
      </c>
      <c r="AG3016" s="182" t="n">
        <v>0</v>
      </c>
      <c r="AH3016" s="182" t="n">
        <v>0</v>
      </c>
      <c r="AI3016" s="182" t="n">
        <v>0</v>
      </c>
      <c r="AJ3016" s="182" t="n">
        <v>0</v>
      </c>
      <c r="AK3016" s="182" t="n">
        <v>0</v>
      </c>
      <c r="AL3016" s="182" t="n">
        <v>0</v>
      </c>
      <c r="AM3016" s="182" t="n">
        <v>0</v>
      </c>
      <c r="AN3016" s="182" t="n">
        <v>0</v>
      </c>
    </row>
    <row r="3017">
      <c r="A3017" s="155" t="n">
        <v>46095</v>
      </c>
      <c r="B3017" s="156" t="inlineStr">
        <is>
          <t>NS</t>
        </is>
      </c>
      <c r="C3017" s="156" t="inlineStr">
        <is>
          <t>EX-336</t>
        </is>
      </c>
      <c r="D3017" s="156" t="inlineStr">
        <is>
          <t>PC 300-8MO</t>
        </is>
      </c>
      <c r="E3017" s="156" t="inlineStr">
        <is>
          <t>Excavator</t>
        </is>
      </c>
      <c r="F3017" s="156" t="inlineStr">
        <is>
          <t>Cleaning Coal</t>
        </is>
      </c>
      <c r="G3017" s="182" t="n">
        <v>11.89</v>
      </c>
      <c r="H3017" s="182" t="n">
        <v>0</v>
      </c>
      <c r="I3017" s="182" t="n">
        <v>0</v>
      </c>
      <c r="J3017" s="182" t="n">
        <v>0</v>
      </c>
      <c r="K3017" s="182" t="n">
        <v>0.11</v>
      </c>
      <c r="L3017" s="182" t="n">
        <v>12</v>
      </c>
      <c r="M3017" s="182" t="n">
        <v>0</v>
      </c>
      <c r="N3017" s="182" t="n">
        <v>0</v>
      </c>
      <c r="O3017" s="183" t="n">
        <v>0</v>
      </c>
      <c r="P3017" s="183" t="n">
        <v>0</v>
      </c>
      <c r="Q3017" s="184" t="n">
        <v>0</v>
      </c>
      <c r="R3017" s="184" t="n">
        <v>0</v>
      </c>
      <c r="S3017" s="183" t="n">
        <v>0</v>
      </c>
      <c r="T3017" s="183" t="n">
        <v>0</v>
      </c>
      <c r="U3017" s="182" t="n">
        <v>0</v>
      </c>
      <c r="V3017" s="182" t="n">
        <v>0</v>
      </c>
      <c r="W3017" s="182" t="n">
        <v>0</v>
      </c>
      <c r="X3017" s="182" t="n">
        <v>0</v>
      </c>
      <c r="Y3017" s="182" t="n">
        <v>0</v>
      </c>
      <c r="Z3017" s="182" t="n">
        <v>0</v>
      </c>
      <c r="AA3017" s="182" t="n">
        <v>0</v>
      </c>
      <c r="AB3017" s="182" t="n">
        <v>0</v>
      </c>
      <c r="AC3017" s="182" t="n">
        <v>0</v>
      </c>
      <c r="AD3017" s="182" t="n">
        <v>0</v>
      </c>
      <c r="AE3017" s="182" t="n">
        <v>0</v>
      </c>
      <c r="AF3017" s="182" t="n">
        <v>0</v>
      </c>
      <c r="AG3017" s="182" t="n">
        <v>0</v>
      </c>
      <c r="AH3017" s="182" t="n">
        <v>0</v>
      </c>
      <c r="AI3017" s="182" t="n">
        <v>0</v>
      </c>
      <c r="AJ3017" s="182" t="n">
        <v>0</v>
      </c>
      <c r="AK3017" s="182" t="n">
        <v>0</v>
      </c>
      <c r="AL3017" s="182" t="n">
        <v>0</v>
      </c>
      <c r="AM3017" s="182" t="n">
        <v>0</v>
      </c>
      <c r="AN3017" s="182" t="n">
        <v>0</v>
      </c>
    </row>
    <row r="3018">
      <c r="A3018" s="155" t="n">
        <v>46095</v>
      </c>
      <c r="B3018" s="156" t="inlineStr">
        <is>
          <t>NS</t>
        </is>
      </c>
      <c r="C3018" s="156" t="inlineStr">
        <is>
          <t>EX-335</t>
        </is>
      </c>
      <c r="D3018" s="156" t="inlineStr">
        <is>
          <t>PC 300-8MO</t>
        </is>
      </c>
      <c r="E3018" s="156" t="inlineStr">
        <is>
          <t>Excavator</t>
        </is>
      </c>
      <c r="F3018" s="156" t="inlineStr">
        <is>
          <t>Cleaning Coal</t>
        </is>
      </c>
      <c r="G3018" s="182" t="n">
        <v>11.34</v>
      </c>
      <c r="H3018" s="182" t="n">
        <v>0</v>
      </c>
      <c r="I3018" s="182" t="n">
        <v>0.17</v>
      </c>
      <c r="J3018" s="182" t="n">
        <v>0.17</v>
      </c>
      <c r="K3018" s="182" t="n">
        <v>0.49</v>
      </c>
      <c r="L3018" s="182" t="n">
        <v>12</v>
      </c>
      <c r="M3018" s="182" t="n">
        <v>0</v>
      </c>
      <c r="N3018" s="182" t="n">
        <v>0</v>
      </c>
      <c r="O3018" s="183" t="n">
        <v>0</v>
      </c>
      <c r="P3018" s="183" t="n">
        <v>0</v>
      </c>
      <c r="Q3018" s="184" t="n">
        <v>0</v>
      </c>
      <c r="R3018" s="184" t="n">
        <v>0</v>
      </c>
      <c r="S3018" s="183" t="n">
        <v>0</v>
      </c>
      <c r="T3018" s="183" t="n">
        <v>0</v>
      </c>
      <c r="U3018" s="182" t="n">
        <v>0</v>
      </c>
      <c r="V3018" s="182" t="n">
        <v>0</v>
      </c>
      <c r="W3018" s="182" t="n">
        <v>0</v>
      </c>
      <c r="X3018" s="182" t="n">
        <v>0.42</v>
      </c>
      <c r="Y3018" s="182" t="n">
        <v>0</v>
      </c>
      <c r="Z3018" s="182" t="n">
        <v>0</v>
      </c>
      <c r="AA3018" s="182" t="n">
        <v>0</v>
      </c>
      <c r="AB3018" s="182" t="n">
        <v>0</v>
      </c>
      <c r="AC3018" s="182" t="n">
        <v>0</v>
      </c>
      <c r="AD3018" s="182" t="n">
        <v>0</v>
      </c>
      <c r="AE3018" s="182" t="n">
        <v>0</v>
      </c>
      <c r="AF3018" s="182" t="n">
        <v>0</v>
      </c>
      <c r="AG3018" s="182" t="n">
        <v>0</v>
      </c>
      <c r="AH3018" s="182" t="n">
        <v>0</v>
      </c>
      <c r="AI3018" s="182" t="n">
        <v>0</v>
      </c>
      <c r="AJ3018" s="182" t="n">
        <v>0</v>
      </c>
      <c r="AK3018" s="182" t="n">
        <v>0</v>
      </c>
      <c r="AL3018" s="182" t="n">
        <v>0</v>
      </c>
      <c r="AM3018" s="182" t="n">
        <v>0.07000000000000001</v>
      </c>
      <c r="AN3018" s="182" t="n">
        <v>0</v>
      </c>
    </row>
    <row r="3019">
      <c r="A3019" s="155" t="n">
        <v>46095</v>
      </c>
      <c r="B3019" s="156" t="inlineStr">
        <is>
          <t>NS</t>
        </is>
      </c>
      <c r="C3019" s="156" t="inlineStr">
        <is>
          <t>EX-754</t>
        </is>
      </c>
      <c r="D3019" s="156" t="inlineStr">
        <is>
          <t>SY750H-PRO</t>
        </is>
      </c>
      <c r="E3019" s="156" t="inlineStr">
        <is>
          <t>Excavator</t>
        </is>
      </c>
      <c r="F3019" s="156" t="inlineStr">
        <is>
          <t>Loading OB</t>
        </is>
      </c>
      <c r="G3019" s="182" t="n">
        <v>10.36</v>
      </c>
      <c r="H3019" s="182" t="n">
        <v>0</v>
      </c>
      <c r="I3019" s="182" t="n">
        <v>0.17</v>
      </c>
      <c r="J3019" s="182" t="n">
        <v>0.17</v>
      </c>
      <c r="K3019" s="182" t="n">
        <v>1.47</v>
      </c>
      <c r="L3019" s="182" t="n">
        <v>12</v>
      </c>
      <c r="M3019" s="182" t="n">
        <v>10.22</v>
      </c>
      <c r="N3019" s="182" t="n">
        <v>0</v>
      </c>
      <c r="O3019" s="183" t="n">
        <v>117</v>
      </c>
      <c r="P3019" s="183" t="n">
        <v>0</v>
      </c>
      <c r="Q3019" s="184" t="n">
        <v>2386.8</v>
      </c>
      <c r="R3019" s="184" t="n">
        <v>0</v>
      </c>
      <c r="S3019" s="183" t="n">
        <v>0</v>
      </c>
      <c r="T3019" s="183" t="n">
        <v>0</v>
      </c>
      <c r="U3019" s="182" t="n">
        <v>0</v>
      </c>
      <c r="V3019" s="182" t="n">
        <v>0</v>
      </c>
      <c r="W3019" s="182" t="n">
        <v>0</v>
      </c>
      <c r="X3019" s="182" t="n">
        <v>0.95</v>
      </c>
      <c r="Y3019" s="182" t="n">
        <v>0</v>
      </c>
      <c r="Z3019" s="182" t="n">
        <v>0</v>
      </c>
      <c r="AA3019" s="182" t="n">
        <v>0</v>
      </c>
      <c r="AB3019" s="182" t="n">
        <v>0</v>
      </c>
      <c r="AC3019" s="182" t="n">
        <v>0</v>
      </c>
      <c r="AD3019" s="182" t="n">
        <v>0</v>
      </c>
      <c r="AE3019" s="182" t="n">
        <v>0</v>
      </c>
      <c r="AF3019" s="182" t="n">
        <v>0</v>
      </c>
      <c r="AG3019" s="182" t="n">
        <v>0</v>
      </c>
      <c r="AH3019" s="182" t="n">
        <v>0.44</v>
      </c>
      <c r="AI3019" s="182" t="n">
        <v>0</v>
      </c>
      <c r="AJ3019" s="182" t="n">
        <v>0</v>
      </c>
      <c r="AK3019" s="182" t="n">
        <v>0</v>
      </c>
      <c r="AL3019" s="182" t="n">
        <v>0</v>
      </c>
      <c r="AM3019" s="182" t="n">
        <v>0.08</v>
      </c>
      <c r="AN3019" s="182" t="n">
        <v>0</v>
      </c>
    </row>
    <row r="3020">
      <c r="A3020" s="155" t="n">
        <v>46095</v>
      </c>
      <c r="B3020" s="156" t="inlineStr">
        <is>
          <t>NS</t>
        </is>
      </c>
      <c r="C3020" s="156" t="inlineStr">
        <is>
          <t>EX-755</t>
        </is>
      </c>
      <c r="D3020" s="156" t="inlineStr">
        <is>
          <t>SY750H-PRO</t>
        </is>
      </c>
      <c r="E3020" s="156" t="inlineStr">
        <is>
          <t>Excavator</t>
        </is>
      </c>
      <c r="F3020" s="156" t="inlineStr">
        <is>
          <t>Loading OB</t>
        </is>
      </c>
      <c r="G3020" s="182" t="n">
        <v>10.37</v>
      </c>
      <c r="H3020" s="182" t="n">
        <v>0</v>
      </c>
      <c r="I3020" s="182" t="n">
        <v>0</v>
      </c>
      <c r="J3020" s="182" t="n">
        <v>0</v>
      </c>
      <c r="K3020" s="182" t="n">
        <v>1.63</v>
      </c>
      <c r="L3020" s="182" t="n">
        <v>12</v>
      </c>
      <c r="M3020" s="182" t="n">
        <v>9.27</v>
      </c>
      <c r="N3020" s="182" t="n">
        <v>0</v>
      </c>
      <c r="O3020" s="183" t="n">
        <v>126</v>
      </c>
      <c r="P3020" s="183" t="n">
        <v>0</v>
      </c>
      <c r="Q3020" s="184" t="n">
        <v>2570.4</v>
      </c>
      <c r="R3020" s="184" t="n">
        <v>0</v>
      </c>
      <c r="S3020" s="183" t="n">
        <v>0</v>
      </c>
      <c r="T3020" s="183" t="n">
        <v>0</v>
      </c>
      <c r="U3020" s="182" t="n">
        <v>0</v>
      </c>
      <c r="V3020" s="182" t="n">
        <v>0</v>
      </c>
      <c r="W3020" s="182" t="n">
        <v>0</v>
      </c>
      <c r="X3020" s="182" t="n">
        <v>0.89</v>
      </c>
      <c r="Y3020" s="182" t="n">
        <v>0</v>
      </c>
      <c r="Z3020" s="182" t="n">
        <v>0</v>
      </c>
      <c r="AA3020" s="182" t="n">
        <v>0</v>
      </c>
      <c r="AB3020" s="182" t="n">
        <v>0</v>
      </c>
      <c r="AC3020" s="182" t="n">
        <v>0</v>
      </c>
      <c r="AD3020" s="182" t="n">
        <v>0</v>
      </c>
      <c r="AE3020" s="182" t="n">
        <v>0</v>
      </c>
      <c r="AF3020" s="182" t="n">
        <v>0</v>
      </c>
      <c r="AG3020" s="182" t="n">
        <v>0</v>
      </c>
      <c r="AH3020" s="182" t="n">
        <v>0.67</v>
      </c>
      <c r="AI3020" s="182" t="n">
        <v>0</v>
      </c>
      <c r="AJ3020" s="182" t="n">
        <v>0</v>
      </c>
      <c r="AK3020" s="182" t="n">
        <v>0</v>
      </c>
      <c r="AL3020" s="182" t="n">
        <v>0</v>
      </c>
      <c r="AM3020" s="182" t="n">
        <v>0.07000000000000001</v>
      </c>
      <c r="AN3020" s="182" t="n">
        <v>0</v>
      </c>
    </row>
    <row r="3021">
      <c r="A3021" s="155" t="n">
        <v>46095</v>
      </c>
      <c r="B3021" s="156" t="inlineStr">
        <is>
          <t>NS</t>
        </is>
      </c>
      <c r="C3021" s="156" t="inlineStr">
        <is>
          <t>EX-752</t>
        </is>
      </c>
      <c r="D3021" s="156" t="inlineStr">
        <is>
          <t>SY750H-PRO</t>
        </is>
      </c>
      <c r="E3021" s="156" t="inlineStr">
        <is>
          <t>Excavator</t>
        </is>
      </c>
      <c r="F3021" s="156" t="inlineStr"/>
      <c r="G3021" s="182" t="n">
        <v>0</v>
      </c>
      <c r="H3021" s="182" t="n">
        <v>0</v>
      </c>
      <c r="I3021" s="182" t="n">
        <v>12</v>
      </c>
      <c r="J3021" s="182" t="n">
        <v>12</v>
      </c>
      <c r="K3021" s="182" t="n">
        <v>0</v>
      </c>
      <c r="L3021" s="182" t="n">
        <v>12</v>
      </c>
      <c r="M3021" s="182" t="n">
        <v>0</v>
      </c>
      <c r="N3021" s="182" t="n">
        <v>0</v>
      </c>
      <c r="O3021" s="183" t="n">
        <v>0</v>
      </c>
      <c r="P3021" s="183" t="n">
        <v>0</v>
      </c>
      <c r="Q3021" s="184" t="n">
        <v>0</v>
      </c>
      <c r="R3021" s="184" t="n">
        <v>0</v>
      </c>
      <c r="S3021" s="183" t="n">
        <v>0</v>
      </c>
      <c r="T3021" s="183" t="n">
        <v>0</v>
      </c>
      <c r="U3021" s="182" t="n">
        <v>0</v>
      </c>
      <c r="V3021" s="182" t="n">
        <v>0</v>
      </c>
      <c r="W3021" s="182" t="n">
        <v>0</v>
      </c>
      <c r="X3021" s="182" t="n">
        <v>0</v>
      </c>
      <c r="Y3021" s="182" t="n">
        <v>0</v>
      </c>
      <c r="Z3021" s="182" t="n">
        <v>0</v>
      </c>
      <c r="AA3021" s="182" t="n">
        <v>0</v>
      </c>
      <c r="AB3021" s="182" t="n">
        <v>0</v>
      </c>
      <c r="AC3021" s="182" t="n">
        <v>0</v>
      </c>
      <c r="AD3021" s="182" t="n">
        <v>0</v>
      </c>
      <c r="AE3021" s="182" t="n">
        <v>0</v>
      </c>
      <c r="AF3021" s="182" t="n">
        <v>0</v>
      </c>
      <c r="AG3021" s="182" t="n">
        <v>0</v>
      </c>
      <c r="AH3021" s="182" t="n">
        <v>0</v>
      </c>
      <c r="AI3021" s="182" t="n">
        <v>0</v>
      </c>
      <c r="AJ3021" s="182" t="n">
        <v>0</v>
      </c>
      <c r="AK3021" s="182" t="n">
        <v>0</v>
      </c>
      <c r="AL3021" s="182" t="n">
        <v>0</v>
      </c>
      <c r="AM3021" s="182" t="n">
        <v>0</v>
      </c>
      <c r="AN3021" s="182" t="n">
        <v>0</v>
      </c>
    </row>
    <row r="3022">
      <c r="A3022" s="155" t="n">
        <v>46095</v>
      </c>
      <c r="B3022" s="156" t="inlineStr">
        <is>
          <t>NS</t>
        </is>
      </c>
      <c r="C3022" s="156" t="inlineStr">
        <is>
          <t>EX-751</t>
        </is>
      </c>
      <c r="D3022" s="156" t="inlineStr">
        <is>
          <t>SY750H-PRO</t>
        </is>
      </c>
      <c r="E3022" s="156" t="inlineStr">
        <is>
          <t>Excavator</t>
        </is>
      </c>
      <c r="F3022" s="156" t="inlineStr"/>
      <c r="G3022" s="182" t="n">
        <v>0</v>
      </c>
      <c r="H3022" s="182" t="n">
        <v>0</v>
      </c>
      <c r="I3022" s="182" t="n">
        <v>12</v>
      </c>
      <c r="J3022" s="182" t="n">
        <v>12</v>
      </c>
      <c r="K3022" s="182" t="n">
        <v>0</v>
      </c>
      <c r="L3022" s="182" t="n">
        <v>12</v>
      </c>
      <c r="M3022" s="182" t="n">
        <v>0</v>
      </c>
      <c r="N3022" s="182" t="n">
        <v>0</v>
      </c>
      <c r="O3022" s="183" t="n">
        <v>0</v>
      </c>
      <c r="P3022" s="183" t="n">
        <v>0</v>
      </c>
      <c r="Q3022" s="184" t="n">
        <v>0</v>
      </c>
      <c r="R3022" s="184" t="n">
        <v>0</v>
      </c>
      <c r="S3022" s="183" t="n">
        <v>0</v>
      </c>
      <c r="T3022" s="183" t="n">
        <v>0</v>
      </c>
      <c r="U3022" s="182" t="n">
        <v>0</v>
      </c>
      <c r="V3022" s="182" t="n">
        <v>0</v>
      </c>
      <c r="W3022" s="182" t="n">
        <v>0</v>
      </c>
      <c r="X3022" s="182" t="n">
        <v>0</v>
      </c>
      <c r="Y3022" s="182" t="n">
        <v>0</v>
      </c>
      <c r="Z3022" s="182" t="n">
        <v>0</v>
      </c>
      <c r="AA3022" s="182" t="n">
        <v>0</v>
      </c>
      <c r="AB3022" s="182" t="n">
        <v>0</v>
      </c>
      <c r="AC3022" s="182" t="n">
        <v>0</v>
      </c>
      <c r="AD3022" s="182" t="n">
        <v>0</v>
      </c>
      <c r="AE3022" s="182" t="n">
        <v>0</v>
      </c>
      <c r="AF3022" s="182" t="n">
        <v>0</v>
      </c>
      <c r="AG3022" s="182" t="n">
        <v>0</v>
      </c>
      <c r="AH3022" s="182" t="n">
        <v>0</v>
      </c>
      <c r="AI3022" s="182" t="n">
        <v>0</v>
      </c>
      <c r="AJ3022" s="182" t="n">
        <v>0</v>
      </c>
      <c r="AK3022" s="182" t="n">
        <v>0</v>
      </c>
      <c r="AL3022" s="182" t="n">
        <v>0</v>
      </c>
      <c r="AM3022" s="182" t="n">
        <v>0</v>
      </c>
      <c r="AN3022" s="182" t="n">
        <v>0</v>
      </c>
    </row>
    <row r="3023">
      <c r="A3023" s="155" t="n">
        <v>46095</v>
      </c>
      <c r="B3023" s="156" t="inlineStr">
        <is>
          <t>NS</t>
        </is>
      </c>
      <c r="C3023" s="156" t="inlineStr">
        <is>
          <t>EX-753</t>
        </is>
      </c>
      <c r="D3023" s="156" t="inlineStr">
        <is>
          <t>SY750H-PRO</t>
        </is>
      </c>
      <c r="E3023" s="156" t="inlineStr">
        <is>
          <t>Excavator</t>
        </is>
      </c>
      <c r="F3023" s="156" t="inlineStr">
        <is>
          <t>Timesheet Kosong</t>
        </is>
      </c>
      <c r="G3023" s="182" t="n">
        <v>1.62</v>
      </c>
      <c r="H3023" s="182" t="n">
        <v>0</v>
      </c>
      <c r="I3023" s="182" t="n">
        <v>8.630000000000001</v>
      </c>
      <c r="J3023" s="182" t="n">
        <v>8.630000000000001</v>
      </c>
      <c r="K3023" s="182" t="n">
        <v>1.75</v>
      </c>
      <c r="L3023" s="182" t="n">
        <v>12</v>
      </c>
      <c r="M3023" s="182" t="n">
        <v>0</v>
      </c>
      <c r="N3023" s="182" t="n">
        <v>0</v>
      </c>
      <c r="O3023" s="183" t="n">
        <v>0</v>
      </c>
      <c r="P3023" s="183" t="n">
        <v>0</v>
      </c>
      <c r="Q3023" s="184" t="n">
        <v>0</v>
      </c>
      <c r="R3023" s="184" t="n">
        <v>0</v>
      </c>
      <c r="S3023" s="183" t="n">
        <v>0</v>
      </c>
      <c r="T3023" s="183" t="n">
        <v>0</v>
      </c>
      <c r="U3023" s="182" t="n">
        <v>0</v>
      </c>
      <c r="V3023" s="182" t="n">
        <v>0</v>
      </c>
      <c r="W3023" s="182" t="n">
        <v>0</v>
      </c>
      <c r="X3023" s="182" t="n">
        <v>1</v>
      </c>
      <c r="Y3023" s="182" t="n">
        <v>0</v>
      </c>
      <c r="Z3023" s="182" t="n">
        <v>0</v>
      </c>
      <c r="AA3023" s="182" t="n">
        <v>0</v>
      </c>
      <c r="AB3023" s="182" t="n">
        <v>0</v>
      </c>
      <c r="AC3023" s="182" t="n">
        <v>0</v>
      </c>
      <c r="AD3023" s="182" t="n">
        <v>0</v>
      </c>
      <c r="AE3023" s="182" t="n">
        <v>0</v>
      </c>
      <c r="AF3023" s="182" t="n">
        <v>0</v>
      </c>
      <c r="AG3023" s="182" t="n">
        <v>0</v>
      </c>
      <c r="AH3023" s="182" t="n">
        <v>0</v>
      </c>
      <c r="AI3023" s="182" t="n">
        <v>0</v>
      </c>
      <c r="AJ3023" s="182" t="n">
        <v>0</v>
      </c>
      <c r="AK3023" s="182" t="n">
        <v>0.66</v>
      </c>
      <c r="AL3023" s="182" t="n">
        <v>0</v>
      </c>
      <c r="AM3023" s="182" t="n">
        <v>0.08</v>
      </c>
      <c r="AN3023" s="182" t="n">
        <v>0</v>
      </c>
    </row>
    <row r="3024">
      <c r="A3024" s="155" t="n">
        <v>46095</v>
      </c>
      <c r="B3024" s="156" t="inlineStr">
        <is>
          <t>NS</t>
        </is>
      </c>
      <c r="C3024" s="156" t="inlineStr">
        <is>
          <t>GD-012</t>
        </is>
      </c>
      <c r="D3024" s="156" t="inlineStr">
        <is>
          <t>STG 230C - 8S</t>
        </is>
      </c>
      <c r="E3024" s="156" t="inlineStr">
        <is>
          <t>Grader</t>
        </is>
      </c>
      <c r="F3024" s="156" t="inlineStr"/>
      <c r="G3024" s="182" t="n">
        <v>0</v>
      </c>
      <c r="H3024" s="182" t="n">
        <v>0</v>
      </c>
      <c r="I3024" s="182" t="n">
        <v>0</v>
      </c>
      <c r="J3024" s="182" t="n">
        <v>0</v>
      </c>
      <c r="K3024" s="182" t="n">
        <v>12</v>
      </c>
      <c r="L3024" s="182" t="n">
        <v>12</v>
      </c>
      <c r="M3024" s="182" t="n">
        <v>0</v>
      </c>
      <c r="N3024" s="182" t="n">
        <v>0</v>
      </c>
      <c r="O3024" s="183" t="n">
        <v>0</v>
      </c>
      <c r="P3024" s="183" t="n">
        <v>0</v>
      </c>
      <c r="Q3024" s="184" t="n">
        <v>0</v>
      </c>
      <c r="R3024" s="184" t="n">
        <v>0</v>
      </c>
      <c r="S3024" s="183" t="n">
        <v>0</v>
      </c>
      <c r="T3024" s="183" t="n">
        <v>0</v>
      </c>
      <c r="U3024" s="182" t="n">
        <v>0</v>
      </c>
      <c r="V3024" s="182" t="n">
        <v>0</v>
      </c>
      <c r="W3024" s="182" t="n">
        <v>0</v>
      </c>
      <c r="X3024" s="182" t="n">
        <v>1</v>
      </c>
      <c r="Y3024" s="182" t="n">
        <v>0</v>
      </c>
      <c r="Z3024" s="182" t="n">
        <v>0</v>
      </c>
      <c r="AA3024" s="182" t="n">
        <v>0</v>
      </c>
      <c r="AB3024" s="182" t="n">
        <v>0</v>
      </c>
      <c r="AC3024" s="182" t="n">
        <v>0</v>
      </c>
      <c r="AD3024" s="182" t="n">
        <v>0</v>
      </c>
      <c r="AE3024" s="182" t="n">
        <v>0</v>
      </c>
      <c r="AF3024" s="182" t="n">
        <v>0</v>
      </c>
      <c r="AG3024" s="182" t="n">
        <v>0</v>
      </c>
      <c r="AH3024" s="182" t="n">
        <v>0</v>
      </c>
      <c r="AI3024" s="182" t="n">
        <v>0</v>
      </c>
      <c r="AJ3024" s="182" t="n">
        <v>0</v>
      </c>
      <c r="AK3024" s="182" t="n">
        <v>10.92</v>
      </c>
      <c r="AL3024" s="182" t="n">
        <v>0</v>
      </c>
      <c r="AM3024" s="182" t="n">
        <v>0.08</v>
      </c>
      <c r="AN3024" s="182" t="n">
        <v>0</v>
      </c>
    </row>
    <row r="3025">
      <c r="A3025" s="155" t="n">
        <v>46095</v>
      </c>
      <c r="B3025" s="156" t="inlineStr">
        <is>
          <t>NS</t>
        </is>
      </c>
      <c r="C3025" s="156" t="inlineStr">
        <is>
          <t>GD-011</t>
        </is>
      </c>
      <c r="D3025" s="156" t="inlineStr">
        <is>
          <t>STG 230C - 8S</t>
        </is>
      </c>
      <c r="E3025" s="156" t="inlineStr">
        <is>
          <t>Grader</t>
        </is>
      </c>
      <c r="F3025" s="156" t="inlineStr"/>
      <c r="G3025" s="182" t="n">
        <v>0</v>
      </c>
      <c r="H3025" s="182" t="n">
        <v>0</v>
      </c>
      <c r="I3025" s="182" t="n">
        <v>12</v>
      </c>
      <c r="J3025" s="182" t="n">
        <v>12</v>
      </c>
      <c r="K3025" s="182" t="n">
        <v>0</v>
      </c>
      <c r="L3025" s="182" t="n">
        <v>12</v>
      </c>
      <c r="M3025" s="182" t="n">
        <v>0</v>
      </c>
      <c r="N3025" s="182" t="n">
        <v>0</v>
      </c>
      <c r="O3025" s="183" t="n">
        <v>0</v>
      </c>
      <c r="P3025" s="183" t="n">
        <v>0</v>
      </c>
      <c r="Q3025" s="184" t="n">
        <v>0</v>
      </c>
      <c r="R3025" s="184" t="n">
        <v>0</v>
      </c>
      <c r="S3025" s="183" t="n">
        <v>0</v>
      </c>
      <c r="T3025" s="183" t="n">
        <v>0</v>
      </c>
      <c r="U3025" s="182" t="n">
        <v>0</v>
      </c>
      <c r="V3025" s="182" t="n">
        <v>0</v>
      </c>
      <c r="W3025" s="182" t="n">
        <v>0</v>
      </c>
      <c r="X3025" s="182" t="n">
        <v>0</v>
      </c>
      <c r="Y3025" s="182" t="n">
        <v>0</v>
      </c>
      <c r="Z3025" s="182" t="n">
        <v>0</v>
      </c>
      <c r="AA3025" s="182" t="n">
        <v>0</v>
      </c>
      <c r="AB3025" s="182" t="n">
        <v>0</v>
      </c>
      <c r="AC3025" s="182" t="n">
        <v>0</v>
      </c>
      <c r="AD3025" s="182" t="n">
        <v>0</v>
      </c>
      <c r="AE3025" s="182" t="n">
        <v>0</v>
      </c>
      <c r="AF3025" s="182" t="n">
        <v>0</v>
      </c>
      <c r="AG3025" s="182" t="n">
        <v>0</v>
      </c>
      <c r="AH3025" s="182" t="n">
        <v>0</v>
      </c>
      <c r="AI3025" s="182" t="n">
        <v>0</v>
      </c>
      <c r="AJ3025" s="182" t="n">
        <v>0</v>
      </c>
      <c r="AK3025" s="182" t="n">
        <v>0</v>
      </c>
      <c r="AL3025" s="182" t="n">
        <v>0</v>
      </c>
      <c r="AM3025" s="182" t="n">
        <v>0</v>
      </c>
      <c r="AN3025" s="182" t="n">
        <v>0</v>
      </c>
    </row>
    <row r="3026">
      <c r="A3026" s="155" t="n">
        <v>46095</v>
      </c>
      <c r="B3026" s="156" t="inlineStr">
        <is>
          <t>NS</t>
        </is>
      </c>
      <c r="C3026" s="156" t="inlineStr">
        <is>
          <t>GD-013</t>
        </is>
      </c>
      <c r="D3026" s="156" t="inlineStr">
        <is>
          <t>STG 265C - 10</t>
        </is>
      </c>
      <c r="E3026" s="156" t="inlineStr">
        <is>
          <t>Grader</t>
        </is>
      </c>
      <c r="F3026" s="156" t="inlineStr"/>
      <c r="G3026" s="182" t="n">
        <v>0</v>
      </c>
      <c r="H3026" s="182" t="n">
        <v>0</v>
      </c>
      <c r="I3026" s="182" t="n">
        <v>0</v>
      </c>
      <c r="J3026" s="182" t="n">
        <v>0</v>
      </c>
      <c r="K3026" s="182" t="n">
        <v>12</v>
      </c>
      <c r="L3026" s="182" t="n">
        <v>12</v>
      </c>
      <c r="M3026" s="182" t="n">
        <v>0</v>
      </c>
      <c r="N3026" s="182" t="n">
        <v>0</v>
      </c>
      <c r="O3026" s="183" t="n">
        <v>0</v>
      </c>
      <c r="P3026" s="183" t="n">
        <v>0</v>
      </c>
      <c r="Q3026" s="184" t="n">
        <v>0</v>
      </c>
      <c r="R3026" s="184" t="n">
        <v>0</v>
      </c>
      <c r="S3026" s="183" t="n">
        <v>0</v>
      </c>
      <c r="T3026" s="183" t="n">
        <v>0</v>
      </c>
      <c r="U3026" s="182" t="n">
        <v>0</v>
      </c>
      <c r="V3026" s="182" t="n">
        <v>0</v>
      </c>
      <c r="W3026" s="182" t="n">
        <v>0</v>
      </c>
      <c r="X3026" s="182" t="n">
        <v>1</v>
      </c>
      <c r="Y3026" s="182" t="n">
        <v>0</v>
      </c>
      <c r="Z3026" s="182" t="n">
        <v>0</v>
      </c>
      <c r="AA3026" s="182" t="n">
        <v>0</v>
      </c>
      <c r="AB3026" s="182" t="n">
        <v>0</v>
      </c>
      <c r="AC3026" s="182" t="n">
        <v>0</v>
      </c>
      <c r="AD3026" s="182" t="n">
        <v>0</v>
      </c>
      <c r="AE3026" s="182" t="n">
        <v>0</v>
      </c>
      <c r="AF3026" s="182" t="n">
        <v>0</v>
      </c>
      <c r="AG3026" s="182" t="n">
        <v>0</v>
      </c>
      <c r="AH3026" s="182" t="n">
        <v>0</v>
      </c>
      <c r="AI3026" s="182" t="n">
        <v>0</v>
      </c>
      <c r="AJ3026" s="182" t="n">
        <v>0</v>
      </c>
      <c r="AK3026" s="182" t="n">
        <v>10.92</v>
      </c>
      <c r="AL3026" s="182" t="n">
        <v>0</v>
      </c>
      <c r="AM3026" s="182" t="n">
        <v>0.08</v>
      </c>
      <c r="AN3026" s="182" t="n">
        <v>0</v>
      </c>
    </row>
    <row r="3027">
      <c r="A3027" s="155" t="n">
        <v>46095</v>
      </c>
      <c r="B3027" s="156" t="inlineStr">
        <is>
          <t>NS</t>
        </is>
      </c>
      <c r="C3027" s="156" t="inlineStr">
        <is>
          <t>GD-014</t>
        </is>
      </c>
      <c r="D3027" s="156" t="inlineStr">
        <is>
          <t>STG 335C - 10</t>
        </is>
      </c>
      <c r="E3027" s="156" t="inlineStr">
        <is>
          <t>Grader</t>
        </is>
      </c>
      <c r="F3027" s="156" t="inlineStr">
        <is>
          <t>Road Maintenance</t>
        </is>
      </c>
      <c r="G3027" s="182" t="n">
        <v>11.8</v>
      </c>
      <c r="H3027" s="182" t="n">
        <v>0</v>
      </c>
      <c r="I3027" s="182" t="n">
        <v>0</v>
      </c>
      <c r="J3027" s="182" t="n">
        <v>0</v>
      </c>
      <c r="K3027" s="182" t="n">
        <v>0.2</v>
      </c>
      <c r="L3027" s="182" t="n">
        <v>12</v>
      </c>
      <c r="M3027" s="182" t="n">
        <v>0</v>
      </c>
      <c r="N3027" s="182" t="n">
        <v>0</v>
      </c>
      <c r="O3027" s="183" t="n">
        <v>0</v>
      </c>
      <c r="P3027" s="183" t="n">
        <v>0</v>
      </c>
      <c r="Q3027" s="184" t="n">
        <v>0</v>
      </c>
      <c r="R3027" s="184" t="n">
        <v>0</v>
      </c>
      <c r="S3027" s="183" t="n">
        <v>0</v>
      </c>
      <c r="T3027" s="183" t="n">
        <v>0</v>
      </c>
      <c r="U3027" s="182" t="n">
        <v>0</v>
      </c>
      <c r="V3027" s="182" t="n">
        <v>0</v>
      </c>
      <c r="W3027" s="182" t="n">
        <v>0</v>
      </c>
      <c r="X3027" s="182" t="n">
        <v>0.12</v>
      </c>
      <c r="Y3027" s="182" t="n">
        <v>0</v>
      </c>
      <c r="Z3027" s="182" t="n">
        <v>0</v>
      </c>
      <c r="AA3027" s="182" t="n">
        <v>0</v>
      </c>
      <c r="AB3027" s="182" t="n">
        <v>0</v>
      </c>
      <c r="AC3027" s="182" t="n">
        <v>0</v>
      </c>
      <c r="AD3027" s="182" t="n">
        <v>0</v>
      </c>
      <c r="AE3027" s="182" t="n">
        <v>0</v>
      </c>
      <c r="AF3027" s="182" t="n">
        <v>0</v>
      </c>
      <c r="AG3027" s="182" t="n">
        <v>0</v>
      </c>
      <c r="AH3027" s="182" t="n">
        <v>0</v>
      </c>
      <c r="AI3027" s="182" t="n">
        <v>0</v>
      </c>
      <c r="AJ3027" s="182" t="n">
        <v>0</v>
      </c>
      <c r="AK3027" s="182" t="n">
        <v>0</v>
      </c>
      <c r="AL3027" s="182" t="n">
        <v>0</v>
      </c>
      <c r="AM3027" s="182" t="n">
        <v>0.08</v>
      </c>
      <c r="AN3027" s="182" t="n">
        <v>0</v>
      </c>
    </row>
    <row r="3028">
      <c r="A3028" s="155" t="n">
        <v>46095</v>
      </c>
      <c r="B3028" s="156" t="inlineStr">
        <is>
          <t>NS</t>
        </is>
      </c>
      <c r="C3028" s="156" t="inlineStr">
        <is>
          <t>DT-809</t>
        </is>
      </c>
      <c r="D3028" s="156" t="inlineStr">
        <is>
          <t>SKT 80S</t>
        </is>
      </c>
      <c r="E3028" s="156" t="inlineStr">
        <is>
          <t>Hauler</t>
        </is>
      </c>
      <c r="F3028" s="156" t="inlineStr"/>
      <c r="G3028" s="182" t="n">
        <v>0</v>
      </c>
      <c r="H3028" s="182" t="n">
        <v>0</v>
      </c>
      <c r="I3028" s="182" t="n">
        <v>0</v>
      </c>
      <c r="J3028" s="182" t="n">
        <v>0</v>
      </c>
      <c r="K3028" s="182" t="n">
        <v>12</v>
      </c>
      <c r="L3028" s="182" t="n">
        <v>12</v>
      </c>
      <c r="M3028" s="182" t="n">
        <v>0</v>
      </c>
      <c r="N3028" s="182" t="n">
        <v>0</v>
      </c>
      <c r="O3028" s="183" t="n">
        <v>0</v>
      </c>
      <c r="P3028" s="183" t="n">
        <v>0</v>
      </c>
      <c r="Q3028" s="184" t="n">
        <v>0</v>
      </c>
      <c r="R3028" s="184" t="n">
        <v>0</v>
      </c>
      <c r="S3028" s="183" t="n">
        <v>0</v>
      </c>
      <c r="T3028" s="183" t="n">
        <v>0</v>
      </c>
      <c r="U3028" s="182" t="n">
        <v>0</v>
      </c>
      <c r="V3028" s="182" t="n">
        <v>0</v>
      </c>
      <c r="W3028" s="182" t="n">
        <v>0</v>
      </c>
      <c r="X3028" s="182" t="n">
        <v>1</v>
      </c>
      <c r="Y3028" s="182" t="n">
        <v>0</v>
      </c>
      <c r="Z3028" s="182" t="n">
        <v>0</v>
      </c>
      <c r="AA3028" s="182" t="n">
        <v>0</v>
      </c>
      <c r="AB3028" s="182" t="n">
        <v>0</v>
      </c>
      <c r="AC3028" s="182" t="n">
        <v>0</v>
      </c>
      <c r="AD3028" s="182" t="n">
        <v>0</v>
      </c>
      <c r="AE3028" s="182" t="n">
        <v>0</v>
      </c>
      <c r="AF3028" s="182" t="n">
        <v>0</v>
      </c>
      <c r="AG3028" s="182" t="n">
        <v>0</v>
      </c>
      <c r="AH3028" s="182" t="n">
        <v>0</v>
      </c>
      <c r="AI3028" s="182" t="n">
        <v>0</v>
      </c>
      <c r="AJ3028" s="182" t="n">
        <v>0</v>
      </c>
      <c r="AK3028" s="182" t="n">
        <v>10.92</v>
      </c>
      <c r="AL3028" s="182" t="n">
        <v>0</v>
      </c>
      <c r="AM3028" s="182" t="n">
        <v>0.08</v>
      </c>
      <c r="AN3028" s="182" t="n">
        <v>0</v>
      </c>
    </row>
    <row r="3029">
      <c r="A3029" s="155" t="n">
        <v>46095</v>
      </c>
      <c r="B3029" s="156" t="inlineStr">
        <is>
          <t>NS</t>
        </is>
      </c>
      <c r="C3029" s="156" t="inlineStr">
        <is>
          <t>DT-806</t>
        </is>
      </c>
      <c r="D3029" s="156" t="inlineStr">
        <is>
          <t>SKT 80S</t>
        </is>
      </c>
      <c r="E3029" s="156" t="inlineStr">
        <is>
          <t>Hauler</t>
        </is>
      </c>
      <c r="F3029" s="156" t="inlineStr"/>
      <c r="G3029" s="182" t="n">
        <v>0</v>
      </c>
      <c r="H3029" s="182" t="n">
        <v>0</v>
      </c>
      <c r="I3029" s="182" t="n">
        <v>0</v>
      </c>
      <c r="J3029" s="182" t="n">
        <v>0</v>
      </c>
      <c r="K3029" s="182" t="n">
        <v>12</v>
      </c>
      <c r="L3029" s="182" t="n">
        <v>12</v>
      </c>
      <c r="M3029" s="182" t="n">
        <v>0</v>
      </c>
      <c r="N3029" s="182" t="n">
        <v>0</v>
      </c>
      <c r="O3029" s="183" t="n">
        <v>0</v>
      </c>
      <c r="P3029" s="183" t="n">
        <v>0</v>
      </c>
      <c r="Q3029" s="184" t="n">
        <v>0</v>
      </c>
      <c r="R3029" s="184" t="n">
        <v>0</v>
      </c>
      <c r="S3029" s="183" t="n">
        <v>0</v>
      </c>
      <c r="T3029" s="183" t="n">
        <v>0</v>
      </c>
      <c r="U3029" s="182" t="n">
        <v>0</v>
      </c>
      <c r="V3029" s="182" t="n">
        <v>0</v>
      </c>
      <c r="W3029" s="182" t="n">
        <v>0</v>
      </c>
      <c r="X3029" s="182" t="n">
        <v>1</v>
      </c>
      <c r="Y3029" s="182" t="n">
        <v>0</v>
      </c>
      <c r="Z3029" s="182" t="n">
        <v>0</v>
      </c>
      <c r="AA3029" s="182" t="n">
        <v>0</v>
      </c>
      <c r="AB3029" s="182" t="n">
        <v>0</v>
      </c>
      <c r="AC3029" s="182" t="n">
        <v>0</v>
      </c>
      <c r="AD3029" s="182" t="n">
        <v>0</v>
      </c>
      <c r="AE3029" s="182" t="n">
        <v>0</v>
      </c>
      <c r="AF3029" s="182" t="n">
        <v>0</v>
      </c>
      <c r="AG3029" s="182" t="n">
        <v>0</v>
      </c>
      <c r="AH3029" s="182" t="n">
        <v>0</v>
      </c>
      <c r="AI3029" s="182" t="n">
        <v>0</v>
      </c>
      <c r="AJ3029" s="182" t="n">
        <v>0</v>
      </c>
      <c r="AK3029" s="182" t="n">
        <v>10.92</v>
      </c>
      <c r="AL3029" s="182" t="n">
        <v>0</v>
      </c>
      <c r="AM3029" s="182" t="n">
        <v>0.08</v>
      </c>
      <c r="AN3029" s="182" t="n">
        <v>0</v>
      </c>
    </row>
    <row r="3030">
      <c r="A3030" s="155" t="n">
        <v>46095</v>
      </c>
      <c r="B3030" s="156" t="inlineStr">
        <is>
          <t>NS</t>
        </is>
      </c>
      <c r="C3030" s="156" t="inlineStr">
        <is>
          <t>DT-805</t>
        </is>
      </c>
      <c r="D3030" s="156" t="inlineStr">
        <is>
          <t>SKT 80S</t>
        </is>
      </c>
      <c r="E3030" s="156" t="inlineStr">
        <is>
          <t>Hauler</t>
        </is>
      </c>
      <c r="F3030" s="156" t="inlineStr"/>
      <c r="G3030" s="182" t="n">
        <v>0</v>
      </c>
      <c r="H3030" s="182" t="n">
        <v>0</v>
      </c>
      <c r="I3030" s="182" t="n">
        <v>0</v>
      </c>
      <c r="J3030" s="182" t="n">
        <v>0</v>
      </c>
      <c r="K3030" s="182" t="n">
        <v>12</v>
      </c>
      <c r="L3030" s="182" t="n">
        <v>12</v>
      </c>
      <c r="M3030" s="182" t="n">
        <v>0</v>
      </c>
      <c r="N3030" s="182" t="n">
        <v>0</v>
      </c>
      <c r="O3030" s="183" t="n">
        <v>0</v>
      </c>
      <c r="P3030" s="183" t="n">
        <v>0</v>
      </c>
      <c r="Q3030" s="184" t="n">
        <v>0</v>
      </c>
      <c r="R3030" s="184" t="n">
        <v>0</v>
      </c>
      <c r="S3030" s="183" t="n">
        <v>0</v>
      </c>
      <c r="T3030" s="183" t="n">
        <v>0</v>
      </c>
      <c r="U3030" s="182" t="n">
        <v>0</v>
      </c>
      <c r="V3030" s="182" t="n">
        <v>0</v>
      </c>
      <c r="W3030" s="182" t="n">
        <v>0</v>
      </c>
      <c r="X3030" s="182" t="n">
        <v>1</v>
      </c>
      <c r="Y3030" s="182" t="n">
        <v>0</v>
      </c>
      <c r="Z3030" s="182" t="n">
        <v>0</v>
      </c>
      <c r="AA3030" s="182" t="n">
        <v>0</v>
      </c>
      <c r="AB3030" s="182" t="n">
        <v>0</v>
      </c>
      <c r="AC3030" s="182" t="n">
        <v>0</v>
      </c>
      <c r="AD3030" s="182" t="n">
        <v>0</v>
      </c>
      <c r="AE3030" s="182" t="n">
        <v>0</v>
      </c>
      <c r="AF3030" s="182" t="n">
        <v>0</v>
      </c>
      <c r="AG3030" s="182" t="n">
        <v>0</v>
      </c>
      <c r="AH3030" s="182" t="n">
        <v>0</v>
      </c>
      <c r="AI3030" s="182" t="n">
        <v>0</v>
      </c>
      <c r="AJ3030" s="182" t="n">
        <v>0</v>
      </c>
      <c r="AK3030" s="182" t="n">
        <v>10.92</v>
      </c>
      <c r="AL3030" s="182" t="n">
        <v>0</v>
      </c>
      <c r="AM3030" s="182" t="n">
        <v>0.08</v>
      </c>
      <c r="AN3030" s="182" t="n">
        <v>0</v>
      </c>
    </row>
    <row r="3031">
      <c r="A3031" s="155" t="n">
        <v>46095</v>
      </c>
      <c r="B3031" s="156" t="inlineStr">
        <is>
          <t>NS</t>
        </is>
      </c>
      <c r="C3031" s="156" t="inlineStr">
        <is>
          <t>DT-801</t>
        </is>
      </c>
      <c r="D3031" s="156" t="inlineStr">
        <is>
          <t>SKT 80S</t>
        </is>
      </c>
      <c r="E3031" s="156" t="inlineStr">
        <is>
          <t>Hauler</t>
        </is>
      </c>
      <c r="F3031" s="156" t="inlineStr"/>
      <c r="G3031" s="182" t="n">
        <v>0</v>
      </c>
      <c r="H3031" s="182" t="n">
        <v>0</v>
      </c>
      <c r="I3031" s="182" t="n">
        <v>0</v>
      </c>
      <c r="J3031" s="182" t="n">
        <v>0</v>
      </c>
      <c r="K3031" s="182" t="n">
        <v>12</v>
      </c>
      <c r="L3031" s="182" t="n">
        <v>12</v>
      </c>
      <c r="M3031" s="182" t="n">
        <v>0</v>
      </c>
      <c r="N3031" s="182" t="n">
        <v>0</v>
      </c>
      <c r="O3031" s="183" t="n">
        <v>0</v>
      </c>
      <c r="P3031" s="183" t="n">
        <v>0</v>
      </c>
      <c r="Q3031" s="184" t="n">
        <v>0</v>
      </c>
      <c r="R3031" s="184" t="n">
        <v>0</v>
      </c>
      <c r="S3031" s="183" t="n">
        <v>0</v>
      </c>
      <c r="T3031" s="183" t="n">
        <v>0</v>
      </c>
      <c r="U3031" s="182" t="n">
        <v>0</v>
      </c>
      <c r="V3031" s="182" t="n">
        <v>0</v>
      </c>
      <c r="W3031" s="182" t="n">
        <v>0</v>
      </c>
      <c r="X3031" s="182" t="n">
        <v>1</v>
      </c>
      <c r="Y3031" s="182" t="n">
        <v>0</v>
      </c>
      <c r="Z3031" s="182" t="n">
        <v>0</v>
      </c>
      <c r="AA3031" s="182" t="n">
        <v>0</v>
      </c>
      <c r="AB3031" s="182" t="n">
        <v>0</v>
      </c>
      <c r="AC3031" s="182" t="n">
        <v>0</v>
      </c>
      <c r="AD3031" s="182" t="n">
        <v>0</v>
      </c>
      <c r="AE3031" s="182" t="n">
        <v>0</v>
      </c>
      <c r="AF3031" s="182" t="n">
        <v>0</v>
      </c>
      <c r="AG3031" s="182" t="n">
        <v>0</v>
      </c>
      <c r="AH3031" s="182" t="n">
        <v>0</v>
      </c>
      <c r="AI3031" s="182" t="n">
        <v>0</v>
      </c>
      <c r="AJ3031" s="182" t="n">
        <v>0</v>
      </c>
      <c r="AK3031" s="182" t="n">
        <v>10.92</v>
      </c>
      <c r="AL3031" s="182" t="n">
        <v>0</v>
      </c>
      <c r="AM3031" s="182" t="n">
        <v>0.08</v>
      </c>
      <c r="AN3031" s="182" t="n">
        <v>0</v>
      </c>
    </row>
    <row r="3032">
      <c r="A3032" s="155" t="n">
        <v>46095</v>
      </c>
      <c r="B3032" s="156" t="inlineStr">
        <is>
          <t>NS</t>
        </is>
      </c>
      <c r="C3032" s="156" t="inlineStr">
        <is>
          <t>DT-808</t>
        </is>
      </c>
      <c r="D3032" s="156" t="inlineStr">
        <is>
          <t>SKT 80S</t>
        </is>
      </c>
      <c r="E3032" s="156" t="inlineStr">
        <is>
          <t>Hauler</t>
        </is>
      </c>
      <c r="F3032" s="156" t="inlineStr">
        <is>
          <t>Hauling Lumpur dari Washing Plant</t>
        </is>
      </c>
      <c r="G3032" s="182" t="n">
        <v>9.300000000000001</v>
      </c>
      <c r="H3032" s="182" t="n">
        <v>0</v>
      </c>
      <c r="I3032" s="182" t="n">
        <v>0</v>
      </c>
      <c r="J3032" s="182" t="n">
        <v>0</v>
      </c>
      <c r="K3032" s="182" t="n">
        <v>2.7</v>
      </c>
      <c r="L3032" s="182" t="n">
        <v>12</v>
      </c>
      <c r="M3032" s="182" t="n">
        <v>0</v>
      </c>
      <c r="N3032" s="182" t="n">
        <v>0</v>
      </c>
      <c r="O3032" s="183" t="n">
        <v>0</v>
      </c>
      <c r="P3032" s="183" t="n">
        <v>0</v>
      </c>
      <c r="Q3032" s="184" t="n">
        <v>0</v>
      </c>
      <c r="R3032" s="184" t="n">
        <v>0</v>
      </c>
      <c r="S3032" s="183" t="n">
        <v>0</v>
      </c>
      <c r="T3032" s="183" t="n">
        <v>0</v>
      </c>
      <c r="U3032" s="182" t="n">
        <v>0</v>
      </c>
      <c r="V3032" s="182" t="n">
        <v>0</v>
      </c>
      <c r="W3032" s="182" t="n">
        <v>0</v>
      </c>
      <c r="X3032" s="182" t="n">
        <v>1.04</v>
      </c>
      <c r="Y3032" s="182" t="n">
        <v>0</v>
      </c>
      <c r="Z3032" s="182" t="n">
        <v>0</v>
      </c>
      <c r="AA3032" s="182" t="n">
        <v>0</v>
      </c>
      <c r="AB3032" s="182" t="n">
        <v>0</v>
      </c>
      <c r="AC3032" s="182" t="n">
        <v>0</v>
      </c>
      <c r="AD3032" s="182" t="n">
        <v>0</v>
      </c>
      <c r="AE3032" s="182" t="n">
        <v>0</v>
      </c>
      <c r="AF3032" s="182" t="n">
        <v>0</v>
      </c>
      <c r="AG3032" s="182" t="n">
        <v>0</v>
      </c>
      <c r="AH3032" s="182" t="n">
        <v>0</v>
      </c>
      <c r="AI3032" s="182" t="n">
        <v>0</v>
      </c>
      <c r="AJ3032" s="182" t="n">
        <v>0</v>
      </c>
      <c r="AK3032" s="182" t="n">
        <v>1.58</v>
      </c>
      <c r="AL3032" s="182" t="n">
        <v>0</v>
      </c>
      <c r="AM3032" s="182" t="n">
        <v>0.08</v>
      </c>
      <c r="AN3032" s="182" t="n">
        <v>0</v>
      </c>
    </row>
    <row r="3033">
      <c r="A3033" s="155" t="n">
        <v>46095</v>
      </c>
      <c r="B3033" s="156" t="inlineStr">
        <is>
          <t>NS</t>
        </is>
      </c>
      <c r="C3033" s="156" t="inlineStr">
        <is>
          <t>DT-811</t>
        </is>
      </c>
      <c r="D3033" s="156" t="inlineStr">
        <is>
          <t>SKT 80S</t>
        </is>
      </c>
      <c r="E3033" s="156" t="inlineStr">
        <is>
          <t>Hauler</t>
        </is>
      </c>
      <c r="F3033" s="156" t="inlineStr"/>
      <c r="G3033" s="182" t="n">
        <v>0</v>
      </c>
      <c r="H3033" s="182" t="n">
        <v>0</v>
      </c>
      <c r="I3033" s="182" t="n">
        <v>12</v>
      </c>
      <c r="J3033" s="182" t="n">
        <v>12</v>
      </c>
      <c r="K3033" s="182" t="n">
        <v>0</v>
      </c>
      <c r="L3033" s="182" t="n">
        <v>12</v>
      </c>
      <c r="M3033" s="182" t="n">
        <v>0</v>
      </c>
      <c r="N3033" s="182" t="n">
        <v>0</v>
      </c>
      <c r="O3033" s="183" t="n">
        <v>0</v>
      </c>
      <c r="P3033" s="183" t="n">
        <v>0</v>
      </c>
      <c r="Q3033" s="184" t="n">
        <v>0</v>
      </c>
      <c r="R3033" s="184" t="n">
        <v>0</v>
      </c>
      <c r="S3033" s="183" t="n">
        <v>0</v>
      </c>
      <c r="T3033" s="183" t="n">
        <v>0</v>
      </c>
      <c r="U3033" s="182" t="n">
        <v>0</v>
      </c>
      <c r="V3033" s="182" t="n">
        <v>0</v>
      </c>
      <c r="W3033" s="182" t="n">
        <v>0</v>
      </c>
      <c r="X3033" s="182" t="n">
        <v>0</v>
      </c>
      <c r="Y3033" s="182" t="n">
        <v>0</v>
      </c>
      <c r="Z3033" s="182" t="n">
        <v>0</v>
      </c>
      <c r="AA3033" s="182" t="n">
        <v>0</v>
      </c>
      <c r="AB3033" s="182" t="n">
        <v>0</v>
      </c>
      <c r="AC3033" s="182" t="n">
        <v>0</v>
      </c>
      <c r="AD3033" s="182" t="n">
        <v>0</v>
      </c>
      <c r="AE3033" s="182" t="n">
        <v>0</v>
      </c>
      <c r="AF3033" s="182" t="n">
        <v>0</v>
      </c>
      <c r="AG3033" s="182" t="n">
        <v>0</v>
      </c>
      <c r="AH3033" s="182" t="n">
        <v>0</v>
      </c>
      <c r="AI3033" s="182" t="n">
        <v>0</v>
      </c>
      <c r="AJ3033" s="182" t="n">
        <v>0</v>
      </c>
      <c r="AK3033" s="182" t="n">
        <v>0</v>
      </c>
      <c r="AL3033" s="182" t="n">
        <v>0</v>
      </c>
      <c r="AM3033" s="182" t="n">
        <v>0</v>
      </c>
      <c r="AN3033" s="182" t="n">
        <v>0</v>
      </c>
    </row>
    <row r="3034">
      <c r="A3034" s="155" t="n">
        <v>46095</v>
      </c>
      <c r="B3034" s="156" t="inlineStr">
        <is>
          <t>NS</t>
        </is>
      </c>
      <c r="C3034" s="156" t="inlineStr">
        <is>
          <t>DT-802</t>
        </is>
      </c>
      <c r="D3034" s="156" t="inlineStr">
        <is>
          <t>SKT 80S</t>
        </is>
      </c>
      <c r="E3034" s="156" t="inlineStr">
        <is>
          <t>Hauler</t>
        </is>
      </c>
      <c r="F3034" s="156" t="inlineStr"/>
      <c r="G3034" s="182" t="n">
        <v>0</v>
      </c>
      <c r="H3034" s="182" t="n">
        <v>0</v>
      </c>
      <c r="I3034" s="182" t="n">
        <v>0</v>
      </c>
      <c r="J3034" s="182" t="n">
        <v>0</v>
      </c>
      <c r="K3034" s="182" t="n">
        <v>12</v>
      </c>
      <c r="L3034" s="182" t="n">
        <v>12</v>
      </c>
      <c r="M3034" s="182" t="n">
        <v>0</v>
      </c>
      <c r="N3034" s="182" t="n">
        <v>0</v>
      </c>
      <c r="O3034" s="183" t="n">
        <v>0</v>
      </c>
      <c r="P3034" s="183" t="n">
        <v>0</v>
      </c>
      <c r="Q3034" s="184" t="n">
        <v>0</v>
      </c>
      <c r="R3034" s="184" t="n">
        <v>0</v>
      </c>
      <c r="S3034" s="183" t="n">
        <v>0</v>
      </c>
      <c r="T3034" s="183" t="n">
        <v>0</v>
      </c>
      <c r="U3034" s="182" t="n">
        <v>0</v>
      </c>
      <c r="V3034" s="182" t="n">
        <v>0</v>
      </c>
      <c r="W3034" s="182" t="n">
        <v>0</v>
      </c>
      <c r="X3034" s="182" t="n">
        <v>1</v>
      </c>
      <c r="Y3034" s="182" t="n">
        <v>0</v>
      </c>
      <c r="Z3034" s="182" t="n">
        <v>0</v>
      </c>
      <c r="AA3034" s="182" t="n">
        <v>0</v>
      </c>
      <c r="AB3034" s="182" t="n">
        <v>0</v>
      </c>
      <c r="AC3034" s="182" t="n">
        <v>0</v>
      </c>
      <c r="AD3034" s="182" t="n">
        <v>0</v>
      </c>
      <c r="AE3034" s="182" t="n">
        <v>0</v>
      </c>
      <c r="AF3034" s="182" t="n">
        <v>0</v>
      </c>
      <c r="AG3034" s="182" t="n">
        <v>0</v>
      </c>
      <c r="AH3034" s="182" t="n">
        <v>0</v>
      </c>
      <c r="AI3034" s="182" t="n">
        <v>0</v>
      </c>
      <c r="AJ3034" s="182" t="n">
        <v>0</v>
      </c>
      <c r="AK3034" s="182" t="n">
        <v>10.92</v>
      </c>
      <c r="AL3034" s="182" t="n">
        <v>0</v>
      </c>
      <c r="AM3034" s="182" t="n">
        <v>0.08</v>
      </c>
      <c r="AN3034" s="182" t="n">
        <v>0</v>
      </c>
    </row>
    <row r="3035">
      <c r="A3035" s="155" t="n">
        <v>46095</v>
      </c>
      <c r="B3035" s="156" t="inlineStr">
        <is>
          <t>NS</t>
        </is>
      </c>
      <c r="C3035" s="156" t="inlineStr">
        <is>
          <t>DT-807</t>
        </is>
      </c>
      <c r="D3035" s="156" t="inlineStr">
        <is>
          <t>SKT 80S</t>
        </is>
      </c>
      <c r="E3035" s="156" t="inlineStr">
        <is>
          <t>Hauler</t>
        </is>
      </c>
      <c r="F3035" s="156" t="inlineStr"/>
      <c r="G3035" s="182" t="n">
        <v>0</v>
      </c>
      <c r="H3035" s="182" t="n">
        <v>0</v>
      </c>
      <c r="I3035" s="182" t="n">
        <v>12</v>
      </c>
      <c r="J3035" s="182" t="n">
        <v>12</v>
      </c>
      <c r="K3035" s="182" t="n">
        <v>0</v>
      </c>
      <c r="L3035" s="182" t="n">
        <v>12</v>
      </c>
      <c r="M3035" s="182" t="n">
        <v>0</v>
      </c>
      <c r="N3035" s="182" t="n">
        <v>0</v>
      </c>
      <c r="O3035" s="183" t="n">
        <v>0</v>
      </c>
      <c r="P3035" s="183" t="n">
        <v>0</v>
      </c>
      <c r="Q3035" s="184" t="n">
        <v>0</v>
      </c>
      <c r="R3035" s="184" t="n">
        <v>0</v>
      </c>
      <c r="S3035" s="183" t="n">
        <v>0</v>
      </c>
      <c r="T3035" s="183" t="n">
        <v>0</v>
      </c>
      <c r="U3035" s="182" t="n">
        <v>0</v>
      </c>
      <c r="V3035" s="182" t="n">
        <v>0</v>
      </c>
      <c r="W3035" s="182" t="n">
        <v>0</v>
      </c>
      <c r="X3035" s="182" t="n">
        <v>0</v>
      </c>
      <c r="Y3035" s="182" t="n">
        <v>0</v>
      </c>
      <c r="Z3035" s="182" t="n">
        <v>0</v>
      </c>
      <c r="AA3035" s="182" t="n">
        <v>0</v>
      </c>
      <c r="AB3035" s="182" t="n">
        <v>0</v>
      </c>
      <c r="AC3035" s="182" t="n">
        <v>0</v>
      </c>
      <c r="AD3035" s="182" t="n">
        <v>0</v>
      </c>
      <c r="AE3035" s="182" t="n">
        <v>0</v>
      </c>
      <c r="AF3035" s="182" t="n">
        <v>0</v>
      </c>
      <c r="AG3035" s="182" t="n">
        <v>0</v>
      </c>
      <c r="AH3035" s="182" t="n">
        <v>0</v>
      </c>
      <c r="AI3035" s="182" t="n">
        <v>0</v>
      </c>
      <c r="AJ3035" s="182" t="n">
        <v>0</v>
      </c>
      <c r="AK3035" s="182" t="n">
        <v>0</v>
      </c>
      <c r="AL3035" s="182" t="n">
        <v>0</v>
      </c>
      <c r="AM3035" s="182" t="n">
        <v>0</v>
      </c>
      <c r="AN3035" s="182" t="n">
        <v>0</v>
      </c>
    </row>
    <row r="3036">
      <c r="A3036" s="155" t="n">
        <v>46095</v>
      </c>
      <c r="B3036" s="156" t="inlineStr">
        <is>
          <t>NS</t>
        </is>
      </c>
      <c r="C3036" s="156" t="inlineStr">
        <is>
          <t>DT-812</t>
        </is>
      </c>
      <c r="D3036" s="156" t="inlineStr">
        <is>
          <t>SKT 80S</t>
        </is>
      </c>
      <c r="E3036" s="156" t="inlineStr">
        <is>
          <t>Hauler</t>
        </is>
      </c>
      <c r="F3036" s="156" t="inlineStr">
        <is>
          <t>Hauling Coal</t>
        </is>
      </c>
      <c r="G3036" s="182" t="n">
        <v>5.69</v>
      </c>
      <c r="H3036" s="182" t="n">
        <v>0</v>
      </c>
      <c r="I3036" s="182" t="n">
        <v>0</v>
      </c>
      <c r="J3036" s="182" t="n">
        <v>0</v>
      </c>
      <c r="K3036" s="182" t="n">
        <v>6.31</v>
      </c>
      <c r="L3036" s="182" t="n">
        <v>12</v>
      </c>
      <c r="M3036" s="182" t="n">
        <v>0</v>
      </c>
      <c r="N3036" s="182" t="n">
        <v>5.69</v>
      </c>
      <c r="O3036" s="183" t="n">
        <v>0</v>
      </c>
      <c r="P3036" s="183" t="n">
        <v>12</v>
      </c>
      <c r="Q3036" s="184" t="n">
        <v>0</v>
      </c>
      <c r="R3036" s="184" t="n">
        <v>183.6</v>
      </c>
      <c r="S3036" s="183" t="n">
        <v>0</v>
      </c>
      <c r="T3036" s="183" t="n">
        <v>0</v>
      </c>
      <c r="U3036" s="182" t="n">
        <v>0</v>
      </c>
      <c r="V3036" s="182" t="n">
        <v>0</v>
      </c>
      <c r="W3036" s="182" t="n">
        <v>0</v>
      </c>
      <c r="X3036" s="182" t="n">
        <v>1</v>
      </c>
      <c r="Y3036" s="182" t="n">
        <v>0</v>
      </c>
      <c r="Z3036" s="182" t="n">
        <v>0</v>
      </c>
      <c r="AA3036" s="182" t="n">
        <v>0</v>
      </c>
      <c r="AB3036" s="182" t="n">
        <v>0</v>
      </c>
      <c r="AC3036" s="182" t="n">
        <v>0</v>
      </c>
      <c r="AD3036" s="182" t="n">
        <v>0</v>
      </c>
      <c r="AE3036" s="182" t="n">
        <v>0</v>
      </c>
      <c r="AF3036" s="182" t="n">
        <v>0</v>
      </c>
      <c r="AG3036" s="182" t="n">
        <v>0</v>
      </c>
      <c r="AH3036" s="182" t="n">
        <v>0</v>
      </c>
      <c r="AI3036" s="182" t="n">
        <v>0</v>
      </c>
      <c r="AJ3036" s="182" t="n">
        <v>0</v>
      </c>
      <c r="AK3036" s="182" t="n">
        <v>5.23</v>
      </c>
      <c r="AL3036" s="182" t="n">
        <v>0</v>
      </c>
      <c r="AM3036" s="182" t="n">
        <v>0.08</v>
      </c>
      <c r="AN3036" s="182" t="n">
        <v>0</v>
      </c>
    </row>
    <row r="3037">
      <c r="A3037" s="155" t="n">
        <v>46095</v>
      </c>
      <c r="B3037" s="156" t="inlineStr">
        <is>
          <t>NS</t>
        </is>
      </c>
      <c r="C3037" s="156" t="inlineStr">
        <is>
          <t>DT-803</t>
        </is>
      </c>
      <c r="D3037" s="156" t="inlineStr">
        <is>
          <t>SKT 80S</t>
        </is>
      </c>
      <c r="E3037" s="156" t="inlineStr">
        <is>
          <t>Hauler</t>
        </is>
      </c>
      <c r="F3037" s="156" t="inlineStr"/>
      <c r="G3037" s="182" t="n">
        <v>0</v>
      </c>
      <c r="H3037" s="182" t="n">
        <v>0</v>
      </c>
      <c r="I3037" s="182" t="n">
        <v>0</v>
      </c>
      <c r="J3037" s="182" t="n">
        <v>0</v>
      </c>
      <c r="K3037" s="182" t="n">
        <v>12</v>
      </c>
      <c r="L3037" s="182" t="n">
        <v>12</v>
      </c>
      <c r="M3037" s="182" t="n">
        <v>0</v>
      </c>
      <c r="N3037" s="182" t="n">
        <v>0</v>
      </c>
      <c r="O3037" s="183" t="n">
        <v>0</v>
      </c>
      <c r="P3037" s="183" t="n">
        <v>0</v>
      </c>
      <c r="Q3037" s="184" t="n">
        <v>0</v>
      </c>
      <c r="R3037" s="184" t="n">
        <v>0</v>
      </c>
      <c r="S3037" s="183" t="n">
        <v>0</v>
      </c>
      <c r="T3037" s="183" t="n">
        <v>0</v>
      </c>
      <c r="U3037" s="182" t="n">
        <v>0</v>
      </c>
      <c r="V3037" s="182" t="n">
        <v>0</v>
      </c>
      <c r="W3037" s="182" t="n">
        <v>0</v>
      </c>
      <c r="X3037" s="182" t="n">
        <v>1</v>
      </c>
      <c r="Y3037" s="182" t="n">
        <v>0</v>
      </c>
      <c r="Z3037" s="182" t="n">
        <v>0</v>
      </c>
      <c r="AA3037" s="182" t="n">
        <v>0</v>
      </c>
      <c r="AB3037" s="182" t="n">
        <v>0</v>
      </c>
      <c r="AC3037" s="182" t="n">
        <v>0</v>
      </c>
      <c r="AD3037" s="182" t="n">
        <v>0</v>
      </c>
      <c r="AE3037" s="182" t="n">
        <v>0</v>
      </c>
      <c r="AF3037" s="182" t="n">
        <v>0</v>
      </c>
      <c r="AG3037" s="182" t="n">
        <v>0</v>
      </c>
      <c r="AH3037" s="182" t="n">
        <v>0</v>
      </c>
      <c r="AI3037" s="182" t="n">
        <v>0</v>
      </c>
      <c r="AJ3037" s="182" t="n">
        <v>0</v>
      </c>
      <c r="AK3037" s="182" t="n">
        <v>10.92</v>
      </c>
      <c r="AL3037" s="182" t="n">
        <v>0</v>
      </c>
      <c r="AM3037" s="182" t="n">
        <v>0.08</v>
      </c>
      <c r="AN3037" s="182" t="n">
        <v>0</v>
      </c>
    </row>
    <row r="3038">
      <c r="A3038" s="155" t="n">
        <v>46095</v>
      </c>
      <c r="B3038" s="156" t="inlineStr">
        <is>
          <t>NS</t>
        </is>
      </c>
      <c r="C3038" s="156" t="inlineStr">
        <is>
          <t>DT-810</t>
        </is>
      </c>
      <c r="D3038" s="156" t="inlineStr">
        <is>
          <t>SKT 80S</t>
        </is>
      </c>
      <c r="E3038" s="156" t="inlineStr">
        <is>
          <t>Hauler</t>
        </is>
      </c>
      <c r="F3038" s="156" t="inlineStr">
        <is>
          <t>Hauling Coal</t>
        </is>
      </c>
      <c r="G3038" s="182" t="n">
        <v>5.8</v>
      </c>
      <c r="H3038" s="182" t="n">
        <v>0</v>
      </c>
      <c r="I3038" s="182" t="n">
        <v>0</v>
      </c>
      <c r="J3038" s="182" t="n">
        <v>0</v>
      </c>
      <c r="K3038" s="182" t="n">
        <v>6.2</v>
      </c>
      <c r="L3038" s="182" t="n">
        <v>12</v>
      </c>
      <c r="M3038" s="182" t="n">
        <v>0</v>
      </c>
      <c r="N3038" s="182" t="n">
        <v>5.79</v>
      </c>
      <c r="O3038" s="183" t="n">
        <v>0</v>
      </c>
      <c r="P3038" s="183" t="n">
        <v>12</v>
      </c>
      <c r="Q3038" s="184" t="n">
        <v>0</v>
      </c>
      <c r="R3038" s="184" t="n">
        <v>183.6</v>
      </c>
      <c r="S3038" s="183" t="n">
        <v>0</v>
      </c>
      <c r="T3038" s="183" t="n">
        <v>0</v>
      </c>
      <c r="U3038" s="182" t="n">
        <v>0</v>
      </c>
      <c r="V3038" s="182" t="n">
        <v>0</v>
      </c>
      <c r="W3038" s="182" t="n">
        <v>0</v>
      </c>
      <c r="X3038" s="182" t="n">
        <v>0.95</v>
      </c>
      <c r="Y3038" s="182" t="n">
        <v>0</v>
      </c>
      <c r="Z3038" s="182" t="n">
        <v>0</v>
      </c>
      <c r="AA3038" s="182" t="n">
        <v>0</v>
      </c>
      <c r="AB3038" s="182" t="n">
        <v>0</v>
      </c>
      <c r="AC3038" s="182" t="n">
        <v>0</v>
      </c>
      <c r="AD3038" s="182" t="n">
        <v>0</v>
      </c>
      <c r="AE3038" s="182" t="n">
        <v>0</v>
      </c>
      <c r="AF3038" s="182" t="n">
        <v>0</v>
      </c>
      <c r="AG3038" s="182" t="n">
        <v>0</v>
      </c>
      <c r="AH3038" s="182" t="n">
        <v>0</v>
      </c>
      <c r="AI3038" s="182" t="n">
        <v>0</v>
      </c>
      <c r="AJ3038" s="182" t="n">
        <v>0</v>
      </c>
      <c r="AK3038" s="182" t="n">
        <v>5.17</v>
      </c>
      <c r="AL3038" s="182" t="n">
        <v>0</v>
      </c>
      <c r="AM3038" s="182" t="n">
        <v>0.08</v>
      </c>
      <c r="AN3038" s="182" t="n">
        <v>0</v>
      </c>
    </row>
    <row r="3039">
      <c r="A3039" s="155" t="n">
        <v>46095</v>
      </c>
      <c r="B3039" s="156" t="inlineStr">
        <is>
          <t>NS</t>
        </is>
      </c>
      <c r="C3039" s="156" t="inlineStr">
        <is>
          <t>DT-804</t>
        </is>
      </c>
      <c r="D3039" s="156" t="inlineStr">
        <is>
          <t>SKT 80S</t>
        </is>
      </c>
      <c r="E3039" s="156" t="inlineStr">
        <is>
          <t>Hauler</t>
        </is>
      </c>
      <c r="F3039" s="156" t="inlineStr">
        <is>
          <t>Hauling Lumpur dari Washing Plant</t>
        </is>
      </c>
      <c r="G3039" s="182" t="n">
        <v>9.380000000000001</v>
      </c>
      <c r="H3039" s="182" t="n">
        <v>0</v>
      </c>
      <c r="I3039" s="182" t="n">
        <v>0</v>
      </c>
      <c r="J3039" s="182" t="n">
        <v>0</v>
      </c>
      <c r="K3039" s="182" t="n">
        <v>2.62</v>
      </c>
      <c r="L3039" s="182" t="n">
        <v>12</v>
      </c>
      <c r="M3039" s="182" t="n">
        <v>0</v>
      </c>
      <c r="N3039" s="182" t="n">
        <v>0</v>
      </c>
      <c r="O3039" s="183" t="n">
        <v>0</v>
      </c>
      <c r="P3039" s="183" t="n">
        <v>0</v>
      </c>
      <c r="Q3039" s="184" t="n">
        <v>0</v>
      </c>
      <c r="R3039" s="184" t="n">
        <v>0</v>
      </c>
      <c r="S3039" s="183" t="n">
        <v>0</v>
      </c>
      <c r="T3039" s="183" t="n">
        <v>0</v>
      </c>
      <c r="U3039" s="182" t="n">
        <v>0</v>
      </c>
      <c r="V3039" s="182" t="n">
        <v>0</v>
      </c>
      <c r="W3039" s="182" t="n">
        <v>0</v>
      </c>
      <c r="X3039" s="182" t="n">
        <v>1.14</v>
      </c>
      <c r="Y3039" s="182" t="n">
        <v>0</v>
      </c>
      <c r="Z3039" s="182" t="n">
        <v>0</v>
      </c>
      <c r="AA3039" s="182" t="n">
        <v>0</v>
      </c>
      <c r="AB3039" s="182" t="n">
        <v>0</v>
      </c>
      <c r="AC3039" s="182" t="n">
        <v>0</v>
      </c>
      <c r="AD3039" s="182" t="n">
        <v>0</v>
      </c>
      <c r="AE3039" s="182" t="n">
        <v>0</v>
      </c>
      <c r="AF3039" s="182" t="n">
        <v>0</v>
      </c>
      <c r="AG3039" s="182" t="n">
        <v>0</v>
      </c>
      <c r="AH3039" s="182" t="n">
        <v>0</v>
      </c>
      <c r="AI3039" s="182" t="n">
        <v>0</v>
      </c>
      <c r="AJ3039" s="182" t="n">
        <v>0</v>
      </c>
      <c r="AK3039" s="182" t="n">
        <v>1.39</v>
      </c>
      <c r="AL3039" s="182" t="n">
        <v>0</v>
      </c>
      <c r="AM3039" s="182" t="n">
        <v>0.09</v>
      </c>
      <c r="AN3039" s="182" t="n">
        <v>0</v>
      </c>
    </row>
    <row r="3040">
      <c r="A3040" s="155" t="n">
        <v>46095</v>
      </c>
      <c r="B3040" s="156" t="inlineStr">
        <is>
          <t>NS</t>
        </is>
      </c>
      <c r="C3040" s="156" t="inlineStr">
        <is>
          <t>DT-505</t>
        </is>
      </c>
      <c r="D3040" s="156" t="inlineStr">
        <is>
          <t>SKT 105S</t>
        </is>
      </c>
      <c r="E3040" s="156" t="inlineStr">
        <is>
          <t>Hauler</t>
        </is>
      </c>
      <c r="F3040" s="156" t="inlineStr">
        <is>
          <t>Hauling OB</t>
        </is>
      </c>
      <c r="G3040" s="182" t="n">
        <v>4.18</v>
      </c>
      <c r="H3040" s="182" t="n">
        <v>0</v>
      </c>
      <c r="I3040" s="182" t="n">
        <v>0</v>
      </c>
      <c r="J3040" s="182" t="n">
        <v>0</v>
      </c>
      <c r="K3040" s="182" t="n">
        <v>7.82</v>
      </c>
      <c r="L3040" s="182" t="n">
        <v>12</v>
      </c>
      <c r="M3040" s="182" t="n">
        <v>4.18</v>
      </c>
      <c r="N3040" s="182" t="n">
        <v>0</v>
      </c>
      <c r="O3040" s="183" t="n">
        <v>4</v>
      </c>
      <c r="P3040" s="183" t="n">
        <v>0</v>
      </c>
      <c r="Q3040" s="184" t="n">
        <v>81.59999999999999</v>
      </c>
      <c r="R3040" s="184" t="n">
        <v>0</v>
      </c>
      <c r="S3040" s="183" t="n">
        <v>0</v>
      </c>
      <c r="T3040" s="183" t="n">
        <v>0</v>
      </c>
      <c r="U3040" s="182" t="n">
        <v>0</v>
      </c>
      <c r="V3040" s="182" t="n">
        <v>0</v>
      </c>
      <c r="W3040" s="182" t="n">
        <v>0</v>
      </c>
      <c r="X3040" s="182" t="n">
        <v>1</v>
      </c>
      <c r="Y3040" s="182" t="n">
        <v>0</v>
      </c>
      <c r="Z3040" s="182" t="n">
        <v>0.1</v>
      </c>
      <c r="AA3040" s="182" t="n">
        <v>0</v>
      </c>
      <c r="AB3040" s="182" t="n">
        <v>0</v>
      </c>
      <c r="AC3040" s="182" t="n">
        <v>0</v>
      </c>
      <c r="AD3040" s="182" t="n">
        <v>6.64</v>
      </c>
      <c r="AE3040" s="182" t="n">
        <v>0</v>
      </c>
      <c r="AF3040" s="182" t="n">
        <v>0</v>
      </c>
      <c r="AG3040" s="182" t="n">
        <v>0</v>
      </c>
      <c r="AH3040" s="182" t="n">
        <v>0</v>
      </c>
      <c r="AI3040" s="182" t="n">
        <v>0</v>
      </c>
      <c r="AJ3040" s="182" t="n">
        <v>0</v>
      </c>
      <c r="AK3040" s="182" t="n">
        <v>0</v>
      </c>
      <c r="AL3040" s="182" t="n">
        <v>0</v>
      </c>
      <c r="AM3040" s="182" t="n">
        <v>0.08</v>
      </c>
      <c r="AN3040" s="182" t="n">
        <v>0</v>
      </c>
    </row>
    <row r="3041">
      <c r="A3041" s="155" t="n">
        <v>46095</v>
      </c>
      <c r="B3041" s="156" t="inlineStr">
        <is>
          <t>NS</t>
        </is>
      </c>
      <c r="C3041" s="156" t="inlineStr">
        <is>
          <t>DT-530</t>
        </is>
      </c>
      <c r="D3041" s="156" t="inlineStr">
        <is>
          <t>SKT 105S</t>
        </is>
      </c>
      <c r="E3041" s="156" t="inlineStr">
        <is>
          <t>Hauler</t>
        </is>
      </c>
      <c r="F3041" s="156" t="inlineStr"/>
      <c r="G3041" s="182" t="n">
        <v>0</v>
      </c>
      <c r="H3041" s="182" t="n">
        <v>0</v>
      </c>
      <c r="I3041" s="182" t="n">
        <v>12</v>
      </c>
      <c r="J3041" s="182" t="n">
        <v>12</v>
      </c>
      <c r="K3041" s="182" t="n">
        <v>0</v>
      </c>
      <c r="L3041" s="182" t="n">
        <v>12</v>
      </c>
      <c r="M3041" s="182" t="n">
        <v>0</v>
      </c>
      <c r="N3041" s="182" t="n">
        <v>0</v>
      </c>
      <c r="O3041" s="183" t="n">
        <v>0</v>
      </c>
      <c r="P3041" s="183" t="n">
        <v>0</v>
      </c>
      <c r="Q3041" s="184" t="n">
        <v>0</v>
      </c>
      <c r="R3041" s="184" t="n">
        <v>0</v>
      </c>
      <c r="S3041" s="183" t="n">
        <v>0</v>
      </c>
      <c r="T3041" s="183" t="n">
        <v>0</v>
      </c>
      <c r="U3041" s="182" t="n">
        <v>0</v>
      </c>
      <c r="V3041" s="182" t="n">
        <v>0</v>
      </c>
      <c r="W3041" s="182" t="n">
        <v>0</v>
      </c>
      <c r="X3041" s="182" t="n">
        <v>0</v>
      </c>
      <c r="Y3041" s="182" t="n">
        <v>0</v>
      </c>
      <c r="Z3041" s="182" t="n">
        <v>0</v>
      </c>
      <c r="AA3041" s="182" t="n">
        <v>0</v>
      </c>
      <c r="AB3041" s="182" t="n">
        <v>0</v>
      </c>
      <c r="AC3041" s="182" t="n">
        <v>0</v>
      </c>
      <c r="AD3041" s="182" t="n">
        <v>0</v>
      </c>
      <c r="AE3041" s="182" t="n">
        <v>0</v>
      </c>
      <c r="AF3041" s="182" t="n">
        <v>0</v>
      </c>
      <c r="AG3041" s="182" t="n">
        <v>0</v>
      </c>
      <c r="AH3041" s="182" t="n">
        <v>0</v>
      </c>
      <c r="AI3041" s="182" t="n">
        <v>0</v>
      </c>
      <c r="AJ3041" s="182" t="n">
        <v>0</v>
      </c>
      <c r="AK3041" s="182" t="n">
        <v>0</v>
      </c>
      <c r="AL3041" s="182" t="n">
        <v>0</v>
      </c>
      <c r="AM3041" s="182" t="n">
        <v>0</v>
      </c>
      <c r="AN3041" s="182" t="n">
        <v>0</v>
      </c>
    </row>
    <row r="3042">
      <c r="A3042" s="155" t="n">
        <v>46095</v>
      </c>
      <c r="B3042" s="156" t="inlineStr">
        <is>
          <t>NS</t>
        </is>
      </c>
      <c r="C3042" s="156" t="inlineStr">
        <is>
          <t>DT-525</t>
        </is>
      </c>
      <c r="D3042" s="156" t="inlineStr">
        <is>
          <t>SKT 105S</t>
        </is>
      </c>
      <c r="E3042" s="156" t="inlineStr">
        <is>
          <t>Hauler</t>
        </is>
      </c>
      <c r="F3042" s="156" t="inlineStr"/>
      <c r="G3042" s="182" t="n">
        <v>0</v>
      </c>
      <c r="H3042" s="182" t="n">
        <v>0</v>
      </c>
      <c r="I3042" s="182" t="n">
        <v>12</v>
      </c>
      <c r="J3042" s="182" t="n">
        <v>12</v>
      </c>
      <c r="K3042" s="182" t="n">
        <v>0</v>
      </c>
      <c r="L3042" s="182" t="n">
        <v>12</v>
      </c>
      <c r="M3042" s="182" t="n">
        <v>0</v>
      </c>
      <c r="N3042" s="182" t="n">
        <v>0</v>
      </c>
      <c r="O3042" s="183" t="n">
        <v>0</v>
      </c>
      <c r="P3042" s="183" t="n">
        <v>0</v>
      </c>
      <c r="Q3042" s="184" t="n">
        <v>0</v>
      </c>
      <c r="R3042" s="184" t="n">
        <v>0</v>
      </c>
      <c r="S3042" s="183" t="n">
        <v>0</v>
      </c>
      <c r="T3042" s="183" t="n">
        <v>0</v>
      </c>
      <c r="U3042" s="182" t="n">
        <v>0</v>
      </c>
      <c r="V3042" s="182" t="n">
        <v>0</v>
      </c>
      <c r="W3042" s="182" t="n">
        <v>0</v>
      </c>
      <c r="X3042" s="182" t="n">
        <v>0</v>
      </c>
      <c r="Y3042" s="182" t="n">
        <v>0</v>
      </c>
      <c r="Z3042" s="182" t="n">
        <v>0</v>
      </c>
      <c r="AA3042" s="182" t="n">
        <v>0</v>
      </c>
      <c r="AB3042" s="182" t="n">
        <v>0</v>
      </c>
      <c r="AC3042" s="182" t="n">
        <v>0</v>
      </c>
      <c r="AD3042" s="182" t="n">
        <v>0</v>
      </c>
      <c r="AE3042" s="182" t="n">
        <v>0</v>
      </c>
      <c r="AF3042" s="182" t="n">
        <v>0</v>
      </c>
      <c r="AG3042" s="182" t="n">
        <v>0</v>
      </c>
      <c r="AH3042" s="182" t="n">
        <v>0</v>
      </c>
      <c r="AI3042" s="182" t="n">
        <v>0</v>
      </c>
      <c r="AJ3042" s="182" t="n">
        <v>0</v>
      </c>
      <c r="AK3042" s="182" t="n">
        <v>0</v>
      </c>
      <c r="AL3042" s="182" t="n">
        <v>0</v>
      </c>
      <c r="AM3042" s="182" t="n">
        <v>0</v>
      </c>
      <c r="AN3042" s="182" t="n">
        <v>0</v>
      </c>
    </row>
    <row r="3043">
      <c r="A3043" s="155" t="n">
        <v>46095</v>
      </c>
      <c r="B3043" s="156" t="inlineStr">
        <is>
          <t>NS</t>
        </is>
      </c>
      <c r="C3043" s="156" t="inlineStr">
        <is>
          <t>DT-503</t>
        </is>
      </c>
      <c r="D3043" s="156" t="inlineStr">
        <is>
          <t>SKT 105S</t>
        </is>
      </c>
      <c r="E3043" s="156" t="inlineStr">
        <is>
          <t>Hauler</t>
        </is>
      </c>
      <c r="F3043" s="156" t="inlineStr">
        <is>
          <t>Hauling OB &amp; Coal</t>
        </is>
      </c>
      <c r="G3043" s="182" t="n">
        <v>10.49</v>
      </c>
      <c r="H3043" s="182" t="n">
        <v>0</v>
      </c>
      <c r="I3043" s="182" t="n">
        <v>0</v>
      </c>
      <c r="J3043" s="182" t="n">
        <v>0</v>
      </c>
      <c r="K3043" s="182" t="n">
        <v>1.51</v>
      </c>
      <c r="L3043" s="182" t="n">
        <v>12</v>
      </c>
      <c r="M3043" s="182" t="n">
        <v>10.06</v>
      </c>
      <c r="N3043" s="182" t="n">
        <v>0.42</v>
      </c>
      <c r="O3043" s="183" t="n">
        <v>31</v>
      </c>
      <c r="P3043" s="183" t="n">
        <v>1</v>
      </c>
      <c r="Q3043" s="184" t="n">
        <v>632.4</v>
      </c>
      <c r="R3043" s="184" t="n">
        <v>18.7</v>
      </c>
      <c r="S3043" s="183" t="n">
        <v>0</v>
      </c>
      <c r="T3043" s="183" t="n">
        <v>0</v>
      </c>
      <c r="U3043" s="182" t="n">
        <v>0</v>
      </c>
      <c r="V3043" s="182" t="n">
        <v>0</v>
      </c>
      <c r="W3043" s="182" t="n">
        <v>0</v>
      </c>
      <c r="X3043" s="182" t="n">
        <v>0.9399999999999999</v>
      </c>
      <c r="Y3043" s="182" t="n">
        <v>0</v>
      </c>
      <c r="Z3043" s="182" t="n">
        <v>0.09</v>
      </c>
      <c r="AA3043" s="182" t="n">
        <v>0</v>
      </c>
      <c r="AB3043" s="182" t="n">
        <v>0</v>
      </c>
      <c r="AC3043" s="182" t="n">
        <v>0</v>
      </c>
      <c r="AD3043" s="182" t="n">
        <v>0</v>
      </c>
      <c r="AE3043" s="182" t="n">
        <v>0</v>
      </c>
      <c r="AF3043" s="182" t="n">
        <v>0</v>
      </c>
      <c r="AG3043" s="182" t="n">
        <v>0</v>
      </c>
      <c r="AH3043" s="182" t="n">
        <v>0.4</v>
      </c>
      <c r="AI3043" s="182" t="n">
        <v>0</v>
      </c>
      <c r="AJ3043" s="182" t="n">
        <v>0</v>
      </c>
      <c r="AK3043" s="182" t="n">
        <v>0</v>
      </c>
      <c r="AL3043" s="182" t="n">
        <v>0</v>
      </c>
      <c r="AM3043" s="182" t="n">
        <v>0.08</v>
      </c>
      <c r="AN3043" s="182" t="n">
        <v>0</v>
      </c>
    </row>
    <row r="3044">
      <c r="A3044" s="155" t="n">
        <v>46095</v>
      </c>
      <c r="B3044" s="156" t="inlineStr">
        <is>
          <t>NS</t>
        </is>
      </c>
      <c r="C3044" s="156" t="inlineStr">
        <is>
          <t>DT-504</t>
        </is>
      </c>
      <c r="D3044" s="156" t="inlineStr">
        <is>
          <t>SKT 105S</t>
        </is>
      </c>
      <c r="E3044" s="156" t="inlineStr">
        <is>
          <t>Hauler</t>
        </is>
      </c>
      <c r="F3044" s="156" t="inlineStr">
        <is>
          <t>Hauling OB</t>
        </is>
      </c>
      <c r="G3044" s="182" t="n">
        <v>3.21</v>
      </c>
      <c r="H3044" s="182" t="n">
        <v>0</v>
      </c>
      <c r="I3044" s="182" t="n">
        <v>0</v>
      </c>
      <c r="J3044" s="182" t="n">
        <v>0</v>
      </c>
      <c r="K3044" s="182" t="n">
        <v>8.789999999999999</v>
      </c>
      <c r="L3044" s="182" t="n">
        <v>12</v>
      </c>
      <c r="M3044" s="182" t="n">
        <v>3.21</v>
      </c>
      <c r="N3044" s="182" t="n">
        <v>0</v>
      </c>
      <c r="O3044" s="183" t="n">
        <v>10</v>
      </c>
      <c r="P3044" s="183" t="n">
        <v>0</v>
      </c>
      <c r="Q3044" s="184" t="n">
        <v>204</v>
      </c>
      <c r="R3044" s="184" t="n">
        <v>0</v>
      </c>
      <c r="S3044" s="183" t="n">
        <v>0</v>
      </c>
      <c r="T3044" s="183" t="n">
        <v>0</v>
      </c>
      <c r="U3044" s="182" t="n">
        <v>0</v>
      </c>
      <c r="V3044" s="182" t="n">
        <v>0</v>
      </c>
      <c r="W3044" s="182" t="n">
        <v>0</v>
      </c>
      <c r="X3044" s="182" t="n">
        <v>0.99</v>
      </c>
      <c r="Y3044" s="182" t="n">
        <v>0</v>
      </c>
      <c r="Z3044" s="182" t="n">
        <v>0.1</v>
      </c>
      <c r="AA3044" s="182" t="n">
        <v>0</v>
      </c>
      <c r="AB3044" s="182" t="n">
        <v>0</v>
      </c>
      <c r="AC3044" s="182" t="n">
        <v>0</v>
      </c>
      <c r="AD3044" s="182" t="n">
        <v>7.62</v>
      </c>
      <c r="AE3044" s="182" t="n">
        <v>0</v>
      </c>
      <c r="AF3044" s="182" t="n">
        <v>0</v>
      </c>
      <c r="AG3044" s="182" t="n">
        <v>0</v>
      </c>
      <c r="AH3044" s="182" t="n">
        <v>0</v>
      </c>
      <c r="AI3044" s="182" t="n">
        <v>0</v>
      </c>
      <c r="AJ3044" s="182" t="n">
        <v>0</v>
      </c>
      <c r="AK3044" s="182" t="n">
        <v>0</v>
      </c>
      <c r="AL3044" s="182" t="n">
        <v>0</v>
      </c>
      <c r="AM3044" s="182" t="n">
        <v>0.08</v>
      </c>
      <c r="AN3044" s="182" t="n">
        <v>0</v>
      </c>
    </row>
    <row r="3045">
      <c r="A3045" s="155" t="n">
        <v>46095</v>
      </c>
      <c r="B3045" s="156" t="inlineStr">
        <is>
          <t>NS</t>
        </is>
      </c>
      <c r="C3045" s="156" t="inlineStr">
        <is>
          <t>DT-507</t>
        </is>
      </c>
      <c r="D3045" s="156" t="inlineStr">
        <is>
          <t>SKT 105S</t>
        </is>
      </c>
      <c r="E3045" s="156" t="inlineStr">
        <is>
          <t>Hauler</t>
        </is>
      </c>
      <c r="F3045" s="156" t="inlineStr"/>
      <c r="G3045" s="182" t="n">
        <v>0</v>
      </c>
      <c r="H3045" s="182" t="n">
        <v>0</v>
      </c>
      <c r="I3045" s="182" t="n">
        <v>12</v>
      </c>
      <c r="J3045" s="182" t="n">
        <v>12</v>
      </c>
      <c r="K3045" s="182" t="n">
        <v>0</v>
      </c>
      <c r="L3045" s="182" t="n">
        <v>12</v>
      </c>
      <c r="M3045" s="182" t="n">
        <v>0</v>
      </c>
      <c r="N3045" s="182" t="n">
        <v>0</v>
      </c>
      <c r="O3045" s="183" t="n">
        <v>0</v>
      </c>
      <c r="P3045" s="183" t="n">
        <v>0</v>
      </c>
      <c r="Q3045" s="184" t="n">
        <v>0</v>
      </c>
      <c r="R3045" s="184" t="n">
        <v>0</v>
      </c>
      <c r="S3045" s="183" t="n">
        <v>0</v>
      </c>
      <c r="T3045" s="183" t="n">
        <v>0</v>
      </c>
      <c r="U3045" s="182" t="n">
        <v>0</v>
      </c>
      <c r="V3045" s="182" t="n">
        <v>0</v>
      </c>
      <c r="W3045" s="182" t="n">
        <v>0</v>
      </c>
      <c r="X3045" s="182" t="n">
        <v>0</v>
      </c>
      <c r="Y3045" s="182" t="n">
        <v>0</v>
      </c>
      <c r="Z3045" s="182" t="n">
        <v>0</v>
      </c>
      <c r="AA3045" s="182" t="n">
        <v>0</v>
      </c>
      <c r="AB3045" s="182" t="n">
        <v>0</v>
      </c>
      <c r="AC3045" s="182" t="n">
        <v>0</v>
      </c>
      <c r="AD3045" s="182" t="n">
        <v>0</v>
      </c>
      <c r="AE3045" s="182" t="n">
        <v>0</v>
      </c>
      <c r="AF3045" s="182" t="n">
        <v>0</v>
      </c>
      <c r="AG3045" s="182" t="n">
        <v>0</v>
      </c>
      <c r="AH3045" s="182" t="n">
        <v>0</v>
      </c>
      <c r="AI3045" s="182" t="n">
        <v>0</v>
      </c>
      <c r="AJ3045" s="182" t="n">
        <v>0</v>
      </c>
      <c r="AK3045" s="182" t="n">
        <v>0</v>
      </c>
      <c r="AL3045" s="182" t="n">
        <v>0</v>
      </c>
      <c r="AM3045" s="182" t="n">
        <v>0</v>
      </c>
      <c r="AN3045" s="182" t="n">
        <v>0</v>
      </c>
    </row>
    <row r="3046">
      <c r="A3046" s="155" t="n">
        <v>46095</v>
      </c>
      <c r="B3046" s="156" t="inlineStr">
        <is>
          <t>NS</t>
        </is>
      </c>
      <c r="C3046" s="156" t="inlineStr">
        <is>
          <t>DT-501</t>
        </is>
      </c>
      <c r="D3046" s="156" t="inlineStr">
        <is>
          <t>SKT 105S</t>
        </is>
      </c>
      <c r="E3046" s="156" t="inlineStr">
        <is>
          <t>Hauler</t>
        </is>
      </c>
      <c r="F3046" s="156" t="inlineStr">
        <is>
          <t>Hauling OB</t>
        </is>
      </c>
      <c r="G3046" s="182" t="n">
        <v>1.07</v>
      </c>
      <c r="H3046" s="182" t="n">
        <v>0</v>
      </c>
      <c r="I3046" s="182" t="n">
        <v>9.1</v>
      </c>
      <c r="J3046" s="182" t="n">
        <v>9.1</v>
      </c>
      <c r="K3046" s="182" t="n">
        <v>1.83</v>
      </c>
      <c r="L3046" s="182" t="n">
        <v>12</v>
      </c>
      <c r="M3046" s="182" t="n">
        <v>1.07</v>
      </c>
      <c r="N3046" s="182" t="n">
        <v>0</v>
      </c>
      <c r="O3046" s="183" t="n">
        <v>2</v>
      </c>
      <c r="P3046" s="183" t="n">
        <v>0</v>
      </c>
      <c r="Q3046" s="184" t="n">
        <v>40.8</v>
      </c>
      <c r="R3046" s="184" t="n">
        <v>0</v>
      </c>
      <c r="S3046" s="183" t="n">
        <v>0</v>
      </c>
      <c r="T3046" s="183" t="n">
        <v>0</v>
      </c>
      <c r="U3046" s="182" t="n">
        <v>0</v>
      </c>
      <c r="V3046" s="182" t="n">
        <v>0</v>
      </c>
      <c r="W3046" s="182" t="n">
        <v>0</v>
      </c>
      <c r="X3046" s="182" t="n">
        <v>0.96</v>
      </c>
      <c r="Y3046" s="182" t="n">
        <v>0</v>
      </c>
      <c r="Z3046" s="182" t="n">
        <v>0.1</v>
      </c>
      <c r="AA3046" s="182" t="n">
        <v>0</v>
      </c>
      <c r="AB3046" s="182" t="n">
        <v>0</v>
      </c>
      <c r="AC3046" s="182" t="n">
        <v>0</v>
      </c>
      <c r="AD3046" s="182" t="n">
        <v>0</v>
      </c>
      <c r="AE3046" s="182" t="n">
        <v>0</v>
      </c>
      <c r="AF3046" s="182" t="n">
        <v>0</v>
      </c>
      <c r="AG3046" s="182" t="n">
        <v>0</v>
      </c>
      <c r="AH3046" s="182" t="n">
        <v>0.6899999999999999</v>
      </c>
      <c r="AI3046" s="182" t="n">
        <v>0</v>
      </c>
      <c r="AJ3046" s="182" t="n">
        <v>0</v>
      </c>
      <c r="AK3046" s="182" t="n">
        <v>0</v>
      </c>
      <c r="AL3046" s="182" t="n">
        <v>0</v>
      </c>
      <c r="AM3046" s="182" t="n">
        <v>0.08</v>
      </c>
      <c r="AN3046" s="182" t="n">
        <v>0</v>
      </c>
    </row>
    <row r="3047">
      <c r="A3047" s="155" t="n">
        <v>46095</v>
      </c>
      <c r="B3047" s="156" t="inlineStr">
        <is>
          <t>NS</t>
        </is>
      </c>
      <c r="C3047" s="156" t="inlineStr">
        <is>
          <t>DT-518</t>
        </is>
      </c>
      <c r="D3047" s="156" t="inlineStr">
        <is>
          <t>SKT 105S</t>
        </is>
      </c>
      <c r="E3047" s="156" t="inlineStr">
        <is>
          <t>Hauler</t>
        </is>
      </c>
      <c r="F3047" s="156" t="inlineStr">
        <is>
          <t>Hauling OB</t>
        </is>
      </c>
      <c r="G3047" s="182" t="n">
        <v>2.8</v>
      </c>
      <c r="H3047" s="182" t="n">
        <v>0</v>
      </c>
      <c r="I3047" s="182" t="n">
        <v>1.07</v>
      </c>
      <c r="J3047" s="182" t="n">
        <v>1.07</v>
      </c>
      <c r="K3047" s="182" t="n">
        <v>8.130000000000001</v>
      </c>
      <c r="L3047" s="182" t="n">
        <v>12</v>
      </c>
      <c r="M3047" s="182" t="n">
        <v>2.8</v>
      </c>
      <c r="N3047" s="182" t="n">
        <v>0</v>
      </c>
      <c r="O3047" s="183" t="n">
        <v>14</v>
      </c>
      <c r="P3047" s="183" t="n">
        <v>0</v>
      </c>
      <c r="Q3047" s="184" t="n">
        <v>285.6</v>
      </c>
      <c r="R3047" s="184" t="n">
        <v>0</v>
      </c>
      <c r="S3047" s="183" t="n">
        <v>0</v>
      </c>
      <c r="T3047" s="183" t="n">
        <v>0</v>
      </c>
      <c r="U3047" s="182" t="n">
        <v>0</v>
      </c>
      <c r="V3047" s="182" t="n">
        <v>0</v>
      </c>
      <c r="W3047" s="182" t="n">
        <v>0</v>
      </c>
      <c r="X3047" s="182" t="n">
        <v>1.04</v>
      </c>
      <c r="Y3047" s="182" t="n">
        <v>0</v>
      </c>
      <c r="Z3047" s="182" t="n">
        <v>0.1</v>
      </c>
      <c r="AA3047" s="182" t="n">
        <v>0</v>
      </c>
      <c r="AB3047" s="182" t="n">
        <v>0</v>
      </c>
      <c r="AC3047" s="182" t="n">
        <v>0</v>
      </c>
      <c r="AD3047" s="182" t="n">
        <v>6.9</v>
      </c>
      <c r="AE3047" s="182" t="n">
        <v>0</v>
      </c>
      <c r="AF3047" s="182" t="n">
        <v>0</v>
      </c>
      <c r="AG3047" s="182" t="n">
        <v>0</v>
      </c>
      <c r="AH3047" s="182" t="n">
        <v>0</v>
      </c>
      <c r="AI3047" s="182" t="n">
        <v>0</v>
      </c>
      <c r="AJ3047" s="182" t="n">
        <v>0</v>
      </c>
      <c r="AK3047" s="182" t="n">
        <v>0</v>
      </c>
      <c r="AL3047" s="182" t="n">
        <v>0</v>
      </c>
      <c r="AM3047" s="182" t="n">
        <v>0.08</v>
      </c>
      <c r="AN3047" s="182" t="n">
        <v>0</v>
      </c>
    </row>
    <row r="3048">
      <c r="A3048" s="155" t="n">
        <v>46095</v>
      </c>
      <c r="B3048" s="156" t="inlineStr">
        <is>
          <t>NS</t>
        </is>
      </c>
      <c r="C3048" s="156" t="inlineStr">
        <is>
          <t>DT-514</t>
        </is>
      </c>
      <c r="D3048" s="156" t="inlineStr">
        <is>
          <t>SKT 105S</t>
        </is>
      </c>
      <c r="E3048" s="156" t="inlineStr">
        <is>
          <t>Hauler</t>
        </is>
      </c>
      <c r="F3048" s="156" t="inlineStr"/>
      <c r="G3048" s="182" t="n">
        <v>0</v>
      </c>
      <c r="H3048" s="182" t="n">
        <v>0</v>
      </c>
      <c r="I3048" s="182" t="n">
        <v>12</v>
      </c>
      <c r="J3048" s="182" t="n">
        <v>12</v>
      </c>
      <c r="K3048" s="182" t="n">
        <v>0</v>
      </c>
      <c r="L3048" s="182" t="n">
        <v>12</v>
      </c>
      <c r="M3048" s="182" t="n">
        <v>0</v>
      </c>
      <c r="N3048" s="182" t="n">
        <v>0</v>
      </c>
      <c r="O3048" s="183" t="n">
        <v>0</v>
      </c>
      <c r="P3048" s="183" t="n">
        <v>0</v>
      </c>
      <c r="Q3048" s="184" t="n">
        <v>0</v>
      </c>
      <c r="R3048" s="184" t="n">
        <v>0</v>
      </c>
      <c r="S3048" s="183" t="n">
        <v>0</v>
      </c>
      <c r="T3048" s="183" t="n">
        <v>0</v>
      </c>
      <c r="U3048" s="182" t="n">
        <v>0</v>
      </c>
      <c r="V3048" s="182" t="n">
        <v>0</v>
      </c>
      <c r="W3048" s="182" t="n">
        <v>0</v>
      </c>
      <c r="X3048" s="182" t="n">
        <v>0</v>
      </c>
      <c r="Y3048" s="182" t="n">
        <v>0</v>
      </c>
      <c r="Z3048" s="182" t="n">
        <v>0</v>
      </c>
      <c r="AA3048" s="182" t="n">
        <v>0</v>
      </c>
      <c r="AB3048" s="182" t="n">
        <v>0</v>
      </c>
      <c r="AC3048" s="182" t="n">
        <v>0</v>
      </c>
      <c r="AD3048" s="182" t="n">
        <v>0</v>
      </c>
      <c r="AE3048" s="182" t="n">
        <v>0</v>
      </c>
      <c r="AF3048" s="182" t="n">
        <v>0</v>
      </c>
      <c r="AG3048" s="182" t="n">
        <v>0</v>
      </c>
      <c r="AH3048" s="182" t="n">
        <v>0</v>
      </c>
      <c r="AI3048" s="182" t="n">
        <v>0</v>
      </c>
      <c r="AJ3048" s="182" t="n">
        <v>0</v>
      </c>
      <c r="AK3048" s="182" t="n">
        <v>0</v>
      </c>
      <c r="AL3048" s="182" t="n">
        <v>0</v>
      </c>
      <c r="AM3048" s="182" t="n">
        <v>0</v>
      </c>
      <c r="AN3048" s="182" t="n">
        <v>0</v>
      </c>
    </row>
    <row r="3049">
      <c r="A3049" s="155" t="n">
        <v>46095</v>
      </c>
      <c r="B3049" s="156" t="inlineStr">
        <is>
          <t>NS</t>
        </is>
      </c>
      <c r="C3049" s="156" t="inlineStr">
        <is>
          <t>DT-523</t>
        </is>
      </c>
      <c r="D3049" s="156" t="inlineStr">
        <is>
          <t>SKT 105S</t>
        </is>
      </c>
      <c r="E3049" s="156" t="inlineStr">
        <is>
          <t>Hauler</t>
        </is>
      </c>
      <c r="F3049" s="156" t="inlineStr">
        <is>
          <t>Hauling OB &amp; Coal</t>
        </is>
      </c>
      <c r="G3049" s="182" t="n">
        <v>7.94</v>
      </c>
      <c r="H3049" s="182" t="n">
        <v>0</v>
      </c>
      <c r="I3049" s="182" t="n">
        <v>0</v>
      </c>
      <c r="J3049" s="182" t="n">
        <v>0</v>
      </c>
      <c r="K3049" s="182" t="n">
        <v>4.06</v>
      </c>
      <c r="L3049" s="182" t="n">
        <v>12</v>
      </c>
      <c r="M3049" s="182" t="n">
        <v>4.33</v>
      </c>
      <c r="N3049" s="182" t="n">
        <v>3.61</v>
      </c>
      <c r="O3049" s="183" t="n">
        <v>17</v>
      </c>
      <c r="P3049" s="183" t="n">
        <v>8</v>
      </c>
      <c r="Q3049" s="184" t="n">
        <v>342.7</v>
      </c>
      <c r="R3049" s="184" t="n">
        <v>149.6</v>
      </c>
      <c r="S3049" s="183" t="n">
        <v>0</v>
      </c>
      <c r="T3049" s="183" t="n">
        <v>0</v>
      </c>
      <c r="U3049" s="182" t="n">
        <v>0</v>
      </c>
      <c r="V3049" s="182" t="n">
        <v>0</v>
      </c>
      <c r="W3049" s="182" t="n">
        <v>0</v>
      </c>
      <c r="X3049" s="182" t="n">
        <v>0.9399999999999999</v>
      </c>
      <c r="Y3049" s="182" t="n">
        <v>0</v>
      </c>
      <c r="Z3049" s="182" t="n">
        <v>0.09</v>
      </c>
      <c r="AA3049" s="182" t="n">
        <v>0</v>
      </c>
      <c r="AB3049" s="182" t="n">
        <v>0</v>
      </c>
      <c r="AC3049" s="182" t="n">
        <v>0</v>
      </c>
      <c r="AD3049" s="182" t="n">
        <v>0</v>
      </c>
      <c r="AE3049" s="182" t="n">
        <v>0</v>
      </c>
      <c r="AF3049" s="182" t="n">
        <v>0</v>
      </c>
      <c r="AG3049" s="182" t="n">
        <v>0</v>
      </c>
      <c r="AH3049" s="182" t="n">
        <v>0</v>
      </c>
      <c r="AI3049" s="182" t="n">
        <v>2.95</v>
      </c>
      <c r="AJ3049" s="182" t="n">
        <v>0</v>
      </c>
      <c r="AK3049" s="182" t="n">
        <v>0</v>
      </c>
      <c r="AL3049" s="182" t="n">
        <v>0</v>
      </c>
      <c r="AM3049" s="182" t="n">
        <v>0.08</v>
      </c>
      <c r="AN3049" s="182" t="n">
        <v>0</v>
      </c>
    </row>
    <row r="3050">
      <c r="A3050" s="155" t="n">
        <v>46095</v>
      </c>
      <c r="B3050" s="156" t="inlineStr">
        <is>
          <t>NS</t>
        </is>
      </c>
      <c r="C3050" s="156" t="inlineStr">
        <is>
          <t>DT-519</t>
        </is>
      </c>
      <c r="D3050" s="156" t="inlineStr">
        <is>
          <t>SKT 105S</t>
        </is>
      </c>
      <c r="E3050" s="156" t="inlineStr">
        <is>
          <t>Hauler</t>
        </is>
      </c>
      <c r="F3050" s="156" t="inlineStr"/>
      <c r="G3050" s="182" t="n">
        <v>0</v>
      </c>
      <c r="H3050" s="182" t="n">
        <v>0</v>
      </c>
      <c r="I3050" s="182" t="n">
        <v>0</v>
      </c>
      <c r="J3050" s="182" t="n">
        <v>0</v>
      </c>
      <c r="K3050" s="182" t="n">
        <v>12</v>
      </c>
      <c r="L3050" s="182" t="n">
        <v>12</v>
      </c>
      <c r="M3050" s="182" t="n">
        <v>0</v>
      </c>
      <c r="N3050" s="182" t="n">
        <v>0</v>
      </c>
      <c r="O3050" s="183" t="n">
        <v>0</v>
      </c>
      <c r="P3050" s="183" t="n">
        <v>0</v>
      </c>
      <c r="Q3050" s="184" t="n">
        <v>0</v>
      </c>
      <c r="R3050" s="184" t="n">
        <v>0</v>
      </c>
      <c r="S3050" s="183" t="n">
        <v>0</v>
      </c>
      <c r="T3050" s="183" t="n">
        <v>0</v>
      </c>
      <c r="U3050" s="182" t="n">
        <v>0</v>
      </c>
      <c r="V3050" s="182" t="n">
        <v>0</v>
      </c>
      <c r="W3050" s="182" t="n">
        <v>0</v>
      </c>
      <c r="X3050" s="182" t="n">
        <v>1</v>
      </c>
      <c r="Y3050" s="182" t="n">
        <v>0</v>
      </c>
      <c r="Z3050" s="182" t="n">
        <v>0</v>
      </c>
      <c r="AA3050" s="182" t="n">
        <v>0</v>
      </c>
      <c r="AB3050" s="182" t="n">
        <v>0</v>
      </c>
      <c r="AC3050" s="182" t="n">
        <v>0</v>
      </c>
      <c r="AD3050" s="182" t="n">
        <v>0</v>
      </c>
      <c r="AE3050" s="182" t="n">
        <v>0</v>
      </c>
      <c r="AF3050" s="182" t="n">
        <v>0</v>
      </c>
      <c r="AG3050" s="182" t="n">
        <v>0</v>
      </c>
      <c r="AH3050" s="182" t="n">
        <v>0</v>
      </c>
      <c r="AI3050" s="182" t="n">
        <v>0</v>
      </c>
      <c r="AJ3050" s="182" t="n">
        <v>0</v>
      </c>
      <c r="AK3050" s="182" t="n">
        <v>10.92</v>
      </c>
      <c r="AL3050" s="182" t="n">
        <v>0</v>
      </c>
      <c r="AM3050" s="182" t="n">
        <v>0.08</v>
      </c>
      <c r="AN3050" s="182" t="n">
        <v>0</v>
      </c>
    </row>
    <row r="3051">
      <c r="A3051" s="155" t="n">
        <v>46095</v>
      </c>
      <c r="B3051" s="156" t="inlineStr">
        <is>
          <t>NS</t>
        </is>
      </c>
      <c r="C3051" s="156" t="inlineStr">
        <is>
          <t>DT-527</t>
        </is>
      </c>
      <c r="D3051" s="156" t="inlineStr">
        <is>
          <t>SKT 105S</t>
        </is>
      </c>
      <c r="E3051" s="156" t="inlineStr">
        <is>
          <t>Hauler</t>
        </is>
      </c>
      <c r="F3051" s="156" t="inlineStr">
        <is>
          <t>Hauling OB</t>
        </is>
      </c>
      <c r="G3051" s="182" t="n">
        <v>4.29</v>
      </c>
      <c r="H3051" s="182" t="n">
        <v>0</v>
      </c>
      <c r="I3051" s="182" t="n">
        <v>0</v>
      </c>
      <c r="J3051" s="182" t="n">
        <v>0</v>
      </c>
      <c r="K3051" s="182" t="n">
        <v>7.71</v>
      </c>
      <c r="L3051" s="182" t="n">
        <v>12</v>
      </c>
      <c r="M3051" s="182" t="n">
        <v>4.29</v>
      </c>
      <c r="N3051" s="182" t="n">
        <v>0</v>
      </c>
      <c r="O3051" s="183" t="n">
        <v>13</v>
      </c>
      <c r="P3051" s="183" t="n">
        <v>0</v>
      </c>
      <c r="Q3051" s="184" t="n">
        <v>265.2</v>
      </c>
      <c r="R3051" s="184" t="n">
        <v>0</v>
      </c>
      <c r="S3051" s="183" t="n">
        <v>0</v>
      </c>
      <c r="T3051" s="183" t="n">
        <v>0</v>
      </c>
      <c r="U3051" s="182" t="n">
        <v>0</v>
      </c>
      <c r="V3051" s="182" t="n">
        <v>0</v>
      </c>
      <c r="W3051" s="182" t="n">
        <v>0</v>
      </c>
      <c r="X3051" s="182" t="n">
        <v>1.03</v>
      </c>
      <c r="Y3051" s="182" t="n">
        <v>0</v>
      </c>
      <c r="Z3051" s="182" t="n">
        <v>0.1</v>
      </c>
      <c r="AA3051" s="182" t="n">
        <v>0</v>
      </c>
      <c r="AB3051" s="182" t="n">
        <v>0</v>
      </c>
      <c r="AC3051" s="182" t="n">
        <v>0</v>
      </c>
      <c r="AD3051" s="182" t="n">
        <v>6.5</v>
      </c>
      <c r="AE3051" s="182" t="n">
        <v>0</v>
      </c>
      <c r="AF3051" s="182" t="n">
        <v>0</v>
      </c>
      <c r="AG3051" s="182" t="n">
        <v>0</v>
      </c>
      <c r="AH3051" s="182" t="n">
        <v>0</v>
      </c>
      <c r="AI3051" s="182" t="n">
        <v>0</v>
      </c>
      <c r="AJ3051" s="182" t="n">
        <v>0</v>
      </c>
      <c r="AK3051" s="182" t="n">
        <v>0</v>
      </c>
      <c r="AL3051" s="182" t="n">
        <v>0</v>
      </c>
      <c r="AM3051" s="182" t="n">
        <v>0.08</v>
      </c>
      <c r="AN3051" s="182" t="n">
        <v>0</v>
      </c>
    </row>
    <row r="3052">
      <c r="A3052" s="155" t="n">
        <v>46095</v>
      </c>
      <c r="B3052" s="156" t="inlineStr">
        <is>
          <t>NS</t>
        </is>
      </c>
      <c r="C3052" s="156" t="inlineStr">
        <is>
          <t>DT-513</t>
        </is>
      </c>
      <c r="D3052" s="156" t="inlineStr">
        <is>
          <t>SKT 105S</t>
        </is>
      </c>
      <c r="E3052" s="156" t="inlineStr">
        <is>
          <t>Hauler</t>
        </is>
      </c>
      <c r="F3052" s="156" t="inlineStr"/>
      <c r="G3052" s="182" t="n">
        <v>0</v>
      </c>
      <c r="H3052" s="182" t="n">
        <v>0</v>
      </c>
      <c r="I3052" s="182" t="n">
        <v>12</v>
      </c>
      <c r="J3052" s="182" t="n">
        <v>12</v>
      </c>
      <c r="K3052" s="182" t="n">
        <v>0</v>
      </c>
      <c r="L3052" s="182" t="n">
        <v>12</v>
      </c>
      <c r="M3052" s="182" t="n">
        <v>0</v>
      </c>
      <c r="N3052" s="182" t="n">
        <v>0</v>
      </c>
      <c r="O3052" s="183" t="n">
        <v>0</v>
      </c>
      <c r="P3052" s="183" t="n">
        <v>0</v>
      </c>
      <c r="Q3052" s="184" t="n">
        <v>0</v>
      </c>
      <c r="R3052" s="184" t="n">
        <v>0</v>
      </c>
      <c r="S3052" s="183" t="n">
        <v>0</v>
      </c>
      <c r="T3052" s="183" t="n">
        <v>0</v>
      </c>
      <c r="U3052" s="182" t="n">
        <v>0</v>
      </c>
      <c r="V3052" s="182" t="n">
        <v>0</v>
      </c>
      <c r="W3052" s="182" t="n">
        <v>0</v>
      </c>
      <c r="X3052" s="182" t="n">
        <v>0</v>
      </c>
      <c r="Y3052" s="182" t="n">
        <v>0</v>
      </c>
      <c r="Z3052" s="182" t="n">
        <v>0</v>
      </c>
      <c r="AA3052" s="182" t="n">
        <v>0</v>
      </c>
      <c r="AB3052" s="182" t="n">
        <v>0</v>
      </c>
      <c r="AC3052" s="182" t="n">
        <v>0</v>
      </c>
      <c r="AD3052" s="182" t="n">
        <v>0</v>
      </c>
      <c r="AE3052" s="182" t="n">
        <v>0</v>
      </c>
      <c r="AF3052" s="182" t="n">
        <v>0</v>
      </c>
      <c r="AG3052" s="182" t="n">
        <v>0</v>
      </c>
      <c r="AH3052" s="182" t="n">
        <v>0</v>
      </c>
      <c r="AI3052" s="182" t="n">
        <v>0</v>
      </c>
      <c r="AJ3052" s="182" t="n">
        <v>0</v>
      </c>
      <c r="AK3052" s="182" t="n">
        <v>0</v>
      </c>
      <c r="AL3052" s="182" t="n">
        <v>0</v>
      </c>
      <c r="AM3052" s="182" t="n">
        <v>0</v>
      </c>
      <c r="AN3052" s="182" t="n">
        <v>0</v>
      </c>
    </row>
    <row r="3053">
      <c r="A3053" s="155" t="n">
        <v>46095</v>
      </c>
      <c r="B3053" s="156" t="inlineStr">
        <is>
          <t>NS</t>
        </is>
      </c>
      <c r="C3053" s="156" t="inlineStr">
        <is>
          <t>DT-512</t>
        </is>
      </c>
      <c r="D3053" s="156" t="inlineStr">
        <is>
          <t>SKT 105S</t>
        </is>
      </c>
      <c r="E3053" s="156" t="inlineStr">
        <is>
          <t>Hauler</t>
        </is>
      </c>
      <c r="F3053" s="156" t="inlineStr">
        <is>
          <t>Hauling OB &amp; Coal</t>
        </is>
      </c>
      <c r="G3053" s="182" t="n">
        <v>9.9</v>
      </c>
      <c r="H3053" s="182" t="n">
        <v>0</v>
      </c>
      <c r="I3053" s="182" t="n">
        <v>0</v>
      </c>
      <c r="J3053" s="182" t="n">
        <v>0</v>
      </c>
      <c r="K3053" s="182" t="n">
        <v>2.1</v>
      </c>
      <c r="L3053" s="182" t="n">
        <v>12</v>
      </c>
      <c r="M3053" s="182" t="n">
        <v>5.9</v>
      </c>
      <c r="N3053" s="182" t="n">
        <v>4</v>
      </c>
      <c r="O3053" s="183" t="n">
        <v>25</v>
      </c>
      <c r="P3053" s="183" t="n">
        <v>9</v>
      </c>
      <c r="Q3053" s="184" t="n">
        <v>510</v>
      </c>
      <c r="R3053" s="184" t="n">
        <v>168.3</v>
      </c>
      <c r="S3053" s="183" t="n">
        <v>0</v>
      </c>
      <c r="T3053" s="183" t="n">
        <v>0</v>
      </c>
      <c r="U3053" s="182" t="n">
        <v>0</v>
      </c>
      <c r="V3053" s="182" t="n">
        <v>0</v>
      </c>
      <c r="W3053" s="182" t="n">
        <v>0</v>
      </c>
      <c r="X3053" s="182" t="n">
        <v>1</v>
      </c>
      <c r="Y3053" s="182" t="n">
        <v>0</v>
      </c>
      <c r="Z3053" s="182" t="n">
        <v>0.1</v>
      </c>
      <c r="AA3053" s="182" t="n">
        <v>0</v>
      </c>
      <c r="AB3053" s="182" t="n">
        <v>0</v>
      </c>
      <c r="AC3053" s="182" t="n">
        <v>0</v>
      </c>
      <c r="AD3053" s="182" t="n">
        <v>0</v>
      </c>
      <c r="AE3053" s="182" t="n">
        <v>0</v>
      </c>
      <c r="AF3053" s="182" t="n">
        <v>0</v>
      </c>
      <c r="AG3053" s="182" t="n">
        <v>0</v>
      </c>
      <c r="AH3053" s="182" t="n">
        <v>0.92</v>
      </c>
      <c r="AI3053" s="182" t="n">
        <v>0</v>
      </c>
      <c r="AJ3053" s="182" t="n">
        <v>0</v>
      </c>
      <c r="AK3053" s="182" t="n">
        <v>0</v>
      </c>
      <c r="AL3053" s="182" t="n">
        <v>0</v>
      </c>
      <c r="AM3053" s="182" t="n">
        <v>0.08</v>
      </c>
      <c r="AN3053" s="182" t="n">
        <v>0</v>
      </c>
    </row>
    <row r="3054">
      <c r="A3054" s="155" t="n">
        <v>46095</v>
      </c>
      <c r="B3054" s="156" t="inlineStr">
        <is>
          <t>NS</t>
        </is>
      </c>
      <c r="C3054" s="156" t="inlineStr">
        <is>
          <t>DT-522</t>
        </is>
      </c>
      <c r="D3054" s="156" t="inlineStr">
        <is>
          <t>SKT 105S</t>
        </is>
      </c>
      <c r="E3054" s="156" t="inlineStr">
        <is>
          <t>Hauler</t>
        </is>
      </c>
      <c r="F3054" s="156" t="inlineStr"/>
      <c r="G3054" s="182" t="n">
        <v>0</v>
      </c>
      <c r="H3054" s="182" t="n">
        <v>12</v>
      </c>
      <c r="I3054" s="182" t="n">
        <v>0</v>
      </c>
      <c r="J3054" s="182" t="n">
        <v>12</v>
      </c>
      <c r="K3054" s="182" t="n">
        <v>0</v>
      </c>
      <c r="L3054" s="182" t="n">
        <v>12</v>
      </c>
      <c r="M3054" s="182" t="n">
        <v>0</v>
      </c>
      <c r="N3054" s="182" t="n">
        <v>0</v>
      </c>
      <c r="O3054" s="183" t="n">
        <v>0</v>
      </c>
      <c r="P3054" s="183" t="n">
        <v>0</v>
      </c>
      <c r="Q3054" s="184" t="n">
        <v>0</v>
      </c>
      <c r="R3054" s="184" t="n">
        <v>0</v>
      </c>
      <c r="S3054" s="183" t="n">
        <v>0</v>
      </c>
      <c r="T3054" s="183" t="n">
        <v>0</v>
      </c>
      <c r="U3054" s="182" t="n">
        <v>0</v>
      </c>
      <c r="V3054" s="182" t="n">
        <v>0</v>
      </c>
      <c r="W3054" s="182" t="n">
        <v>0</v>
      </c>
      <c r="X3054" s="182" t="n">
        <v>0</v>
      </c>
      <c r="Y3054" s="182" t="n">
        <v>0</v>
      </c>
      <c r="Z3054" s="182" t="n">
        <v>0</v>
      </c>
      <c r="AA3054" s="182" t="n">
        <v>0</v>
      </c>
      <c r="AB3054" s="182" t="n">
        <v>0</v>
      </c>
      <c r="AC3054" s="182" t="n">
        <v>0</v>
      </c>
      <c r="AD3054" s="182" t="n">
        <v>0</v>
      </c>
      <c r="AE3054" s="182" t="n">
        <v>0</v>
      </c>
      <c r="AF3054" s="182" t="n">
        <v>0</v>
      </c>
      <c r="AG3054" s="182" t="n">
        <v>0</v>
      </c>
      <c r="AH3054" s="182" t="n">
        <v>0</v>
      </c>
      <c r="AI3054" s="182" t="n">
        <v>0</v>
      </c>
      <c r="AJ3054" s="182" t="n">
        <v>0</v>
      </c>
      <c r="AK3054" s="182" t="n">
        <v>0</v>
      </c>
      <c r="AL3054" s="182" t="n">
        <v>0</v>
      </c>
      <c r="AM3054" s="182" t="n">
        <v>0</v>
      </c>
      <c r="AN3054" s="182" t="n">
        <v>0</v>
      </c>
    </row>
    <row r="3055">
      <c r="A3055" s="155" t="n">
        <v>46095</v>
      </c>
      <c r="B3055" s="156" t="inlineStr">
        <is>
          <t>NS</t>
        </is>
      </c>
      <c r="C3055" s="156" t="inlineStr">
        <is>
          <t>DT-517</t>
        </is>
      </c>
      <c r="D3055" s="156" t="inlineStr">
        <is>
          <t>SKT 105S</t>
        </is>
      </c>
      <c r="E3055" s="156" t="inlineStr">
        <is>
          <t>Hauler</t>
        </is>
      </c>
      <c r="F3055" s="156" t="inlineStr">
        <is>
          <t>Hauling OB</t>
        </is>
      </c>
      <c r="G3055" s="182" t="n">
        <v>4.04</v>
      </c>
      <c r="H3055" s="182" t="n">
        <v>0</v>
      </c>
      <c r="I3055" s="182" t="n">
        <v>7.92</v>
      </c>
      <c r="J3055" s="182" t="n">
        <v>7.92</v>
      </c>
      <c r="K3055" s="182" t="n">
        <v>0.04</v>
      </c>
      <c r="L3055" s="182" t="n">
        <v>12</v>
      </c>
      <c r="M3055" s="182" t="n">
        <v>4.04</v>
      </c>
      <c r="N3055" s="182" t="n">
        <v>0</v>
      </c>
      <c r="O3055" s="183" t="n">
        <v>16</v>
      </c>
      <c r="P3055" s="183" t="n">
        <v>0</v>
      </c>
      <c r="Q3055" s="184" t="n">
        <v>322.3</v>
      </c>
      <c r="R3055" s="184" t="n">
        <v>0</v>
      </c>
      <c r="S3055" s="183" t="n">
        <v>0</v>
      </c>
      <c r="T3055" s="183" t="n">
        <v>0</v>
      </c>
      <c r="U3055" s="182" t="n">
        <v>0</v>
      </c>
      <c r="V3055" s="182" t="n">
        <v>0</v>
      </c>
      <c r="W3055" s="182" t="n">
        <v>0</v>
      </c>
      <c r="X3055" s="182" t="n">
        <v>0</v>
      </c>
      <c r="Y3055" s="182" t="n">
        <v>0</v>
      </c>
      <c r="Z3055" s="182" t="n">
        <v>0</v>
      </c>
      <c r="AA3055" s="182" t="n">
        <v>0</v>
      </c>
      <c r="AB3055" s="182" t="n">
        <v>0</v>
      </c>
      <c r="AC3055" s="182" t="n">
        <v>0</v>
      </c>
      <c r="AD3055" s="182" t="n">
        <v>0</v>
      </c>
      <c r="AE3055" s="182" t="n">
        <v>0</v>
      </c>
      <c r="AF3055" s="182" t="n">
        <v>0</v>
      </c>
      <c r="AG3055" s="182" t="n">
        <v>0</v>
      </c>
      <c r="AH3055" s="182" t="n">
        <v>0</v>
      </c>
      <c r="AI3055" s="182" t="n">
        <v>0</v>
      </c>
      <c r="AJ3055" s="182" t="n">
        <v>0</v>
      </c>
      <c r="AK3055" s="182" t="n">
        <v>0</v>
      </c>
      <c r="AL3055" s="182" t="n">
        <v>0</v>
      </c>
      <c r="AM3055" s="182" t="n">
        <v>0.04</v>
      </c>
      <c r="AN3055" s="182" t="n">
        <v>0</v>
      </c>
    </row>
    <row r="3056">
      <c r="A3056" s="155" t="n">
        <v>46095</v>
      </c>
      <c r="B3056" s="156" t="inlineStr">
        <is>
          <t>NS</t>
        </is>
      </c>
      <c r="C3056" s="156" t="inlineStr">
        <is>
          <t>DT-510</t>
        </is>
      </c>
      <c r="D3056" s="156" t="inlineStr">
        <is>
          <t>SKT 105S</t>
        </is>
      </c>
      <c r="E3056" s="156" t="inlineStr">
        <is>
          <t>Hauler</t>
        </is>
      </c>
      <c r="F3056" s="156" t="inlineStr">
        <is>
          <t>Hauling OB</t>
        </is>
      </c>
      <c r="G3056" s="182" t="n">
        <v>5.89</v>
      </c>
      <c r="H3056" s="182" t="n">
        <v>0</v>
      </c>
      <c r="I3056" s="182" t="n">
        <v>0.83</v>
      </c>
      <c r="J3056" s="182" t="n">
        <v>0.83</v>
      </c>
      <c r="K3056" s="182" t="n">
        <v>5.28</v>
      </c>
      <c r="L3056" s="182" t="n">
        <v>12</v>
      </c>
      <c r="M3056" s="182" t="n">
        <v>5.89</v>
      </c>
      <c r="N3056" s="182" t="n">
        <v>0</v>
      </c>
      <c r="O3056" s="183" t="n">
        <v>19</v>
      </c>
      <c r="P3056" s="183" t="n">
        <v>0</v>
      </c>
      <c r="Q3056" s="184" t="n">
        <v>387.6</v>
      </c>
      <c r="R3056" s="184" t="n">
        <v>0</v>
      </c>
      <c r="S3056" s="183" t="n">
        <v>0</v>
      </c>
      <c r="T3056" s="183" t="n">
        <v>0</v>
      </c>
      <c r="U3056" s="182" t="n">
        <v>0</v>
      </c>
      <c r="V3056" s="182" t="n">
        <v>0</v>
      </c>
      <c r="W3056" s="182" t="n">
        <v>0</v>
      </c>
      <c r="X3056" s="182" t="n">
        <v>0.97</v>
      </c>
      <c r="Y3056" s="182" t="n">
        <v>0</v>
      </c>
      <c r="Z3056" s="182" t="n">
        <v>0.1</v>
      </c>
      <c r="AA3056" s="182" t="n">
        <v>0</v>
      </c>
      <c r="AB3056" s="182" t="n">
        <v>0</v>
      </c>
      <c r="AC3056" s="182" t="n">
        <v>0</v>
      </c>
      <c r="AD3056" s="182" t="n">
        <v>0</v>
      </c>
      <c r="AE3056" s="182" t="n">
        <v>0</v>
      </c>
      <c r="AF3056" s="182" t="n">
        <v>0</v>
      </c>
      <c r="AG3056" s="182" t="n">
        <v>0</v>
      </c>
      <c r="AH3056" s="182" t="n">
        <v>0</v>
      </c>
      <c r="AI3056" s="182" t="n">
        <v>4.13</v>
      </c>
      <c r="AJ3056" s="182" t="n">
        <v>0</v>
      </c>
      <c r="AK3056" s="182" t="n">
        <v>0</v>
      </c>
      <c r="AL3056" s="182" t="n">
        <v>0</v>
      </c>
      <c r="AM3056" s="182" t="n">
        <v>0.08</v>
      </c>
      <c r="AN3056" s="182" t="n">
        <v>0</v>
      </c>
    </row>
    <row r="3057">
      <c r="A3057" s="155" t="n">
        <v>46095</v>
      </c>
      <c r="B3057" s="156" t="inlineStr">
        <is>
          <t>NS</t>
        </is>
      </c>
      <c r="C3057" s="156" t="inlineStr">
        <is>
          <t>DT-521</t>
        </is>
      </c>
      <c r="D3057" s="156" t="inlineStr">
        <is>
          <t>SKT 105S</t>
        </is>
      </c>
      <c r="E3057" s="156" t="inlineStr">
        <is>
          <t>Hauler</t>
        </is>
      </c>
      <c r="F3057" s="156" t="inlineStr">
        <is>
          <t>Hauling OB</t>
        </is>
      </c>
      <c r="G3057" s="182" t="n">
        <v>10.35</v>
      </c>
      <c r="H3057" s="182" t="n">
        <v>0</v>
      </c>
      <c r="I3057" s="182" t="n">
        <v>0</v>
      </c>
      <c r="J3057" s="182" t="n">
        <v>0</v>
      </c>
      <c r="K3057" s="182" t="n">
        <v>1.65</v>
      </c>
      <c r="L3057" s="182" t="n">
        <v>12</v>
      </c>
      <c r="M3057" s="182" t="n">
        <v>10.35</v>
      </c>
      <c r="N3057" s="182" t="n">
        <v>0</v>
      </c>
      <c r="O3057" s="183" t="n">
        <v>32</v>
      </c>
      <c r="P3057" s="183" t="n">
        <v>0</v>
      </c>
      <c r="Q3057" s="184" t="n">
        <v>652.8</v>
      </c>
      <c r="R3057" s="184" t="n">
        <v>0</v>
      </c>
      <c r="S3057" s="183" t="n">
        <v>0</v>
      </c>
      <c r="T3057" s="183" t="n">
        <v>0</v>
      </c>
      <c r="U3057" s="182" t="n">
        <v>0</v>
      </c>
      <c r="V3057" s="182" t="n">
        <v>0</v>
      </c>
      <c r="W3057" s="182" t="n">
        <v>0</v>
      </c>
      <c r="X3057" s="182" t="n">
        <v>0.97</v>
      </c>
      <c r="Y3057" s="182" t="n">
        <v>0</v>
      </c>
      <c r="Z3057" s="182" t="n">
        <v>0.1</v>
      </c>
      <c r="AA3057" s="182" t="n">
        <v>0</v>
      </c>
      <c r="AB3057" s="182" t="n">
        <v>0</v>
      </c>
      <c r="AC3057" s="182" t="n">
        <v>0</v>
      </c>
      <c r="AD3057" s="182" t="n">
        <v>0</v>
      </c>
      <c r="AE3057" s="182" t="n">
        <v>0</v>
      </c>
      <c r="AF3057" s="182" t="n">
        <v>0</v>
      </c>
      <c r="AG3057" s="182" t="n">
        <v>0</v>
      </c>
      <c r="AH3057" s="182" t="n">
        <v>0.5</v>
      </c>
      <c r="AI3057" s="182" t="n">
        <v>0</v>
      </c>
      <c r="AJ3057" s="182" t="n">
        <v>0</v>
      </c>
      <c r="AK3057" s="182" t="n">
        <v>0</v>
      </c>
      <c r="AL3057" s="182" t="n">
        <v>0</v>
      </c>
      <c r="AM3057" s="182" t="n">
        <v>0.08</v>
      </c>
      <c r="AN3057" s="182" t="n">
        <v>0</v>
      </c>
    </row>
    <row r="3058">
      <c r="A3058" s="155" t="n">
        <v>46095</v>
      </c>
      <c r="B3058" s="156" t="inlineStr">
        <is>
          <t>NS</t>
        </is>
      </c>
      <c r="C3058" s="156" t="inlineStr">
        <is>
          <t>DT-516</t>
        </is>
      </c>
      <c r="D3058" s="156" t="inlineStr">
        <is>
          <t>SKT 105S</t>
        </is>
      </c>
      <c r="E3058" s="156" t="inlineStr">
        <is>
          <t>Hauler</t>
        </is>
      </c>
      <c r="F3058" s="156" t="inlineStr">
        <is>
          <t>Hauling OB</t>
        </is>
      </c>
      <c r="G3058" s="182" t="n">
        <v>9.539999999999999</v>
      </c>
      <c r="H3058" s="182" t="n">
        <v>0</v>
      </c>
      <c r="I3058" s="182" t="n">
        <v>0</v>
      </c>
      <c r="J3058" s="182" t="n">
        <v>0</v>
      </c>
      <c r="K3058" s="182" t="n">
        <v>2.46</v>
      </c>
      <c r="L3058" s="182" t="n">
        <v>12</v>
      </c>
      <c r="M3058" s="182" t="n">
        <v>9.539999999999999</v>
      </c>
      <c r="N3058" s="182" t="n">
        <v>0</v>
      </c>
      <c r="O3058" s="183" t="n">
        <v>34</v>
      </c>
      <c r="P3058" s="183" t="n">
        <v>0</v>
      </c>
      <c r="Q3058" s="184" t="n">
        <v>693.6</v>
      </c>
      <c r="R3058" s="184" t="n">
        <v>0</v>
      </c>
      <c r="S3058" s="183" t="n">
        <v>0</v>
      </c>
      <c r="T3058" s="183" t="n">
        <v>0</v>
      </c>
      <c r="U3058" s="182" t="n">
        <v>0</v>
      </c>
      <c r="V3058" s="182" t="n">
        <v>0</v>
      </c>
      <c r="W3058" s="182" t="n">
        <v>0</v>
      </c>
      <c r="X3058" s="182" t="n">
        <v>1.17</v>
      </c>
      <c r="Y3058" s="182" t="n">
        <v>0</v>
      </c>
      <c r="Z3058" s="182" t="n">
        <v>0.12</v>
      </c>
      <c r="AA3058" s="182" t="n">
        <v>0</v>
      </c>
      <c r="AB3058" s="182" t="n">
        <v>0</v>
      </c>
      <c r="AC3058" s="182" t="n">
        <v>0</v>
      </c>
      <c r="AD3058" s="182" t="n">
        <v>0</v>
      </c>
      <c r="AE3058" s="182" t="n">
        <v>0</v>
      </c>
      <c r="AF3058" s="182" t="n">
        <v>0</v>
      </c>
      <c r="AG3058" s="182" t="n">
        <v>0</v>
      </c>
      <c r="AH3058" s="182" t="n">
        <v>1.08</v>
      </c>
      <c r="AI3058" s="182" t="n">
        <v>0</v>
      </c>
      <c r="AJ3058" s="182" t="n">
        <v>0</v>
      </c>
      <c r="AK3058" s="182" t="n">
        <v>0</v>
      </c>
      <c r="AL3058" s="182" t="n">
        <v>0</v>
      </c>
      <c r="AM3058" s="182" t="n">
        <v>0.09</v>
      </c>
      <c r="AN3058" s="182" t="n">
        <v>0</v>
      </c>
    </row>
    <row r="3059">
      <c r="A3059" s="155" t="n">
        <v>46095</v>
      </c>
      <c r="B3059" s="156" t="inlineStr">
        <is>
          <t>NS</t>
        </is>
      </c>
      <c r="C3059" s="156" t="inlineStr">
        <is>
          <t>DT-506</t>
        </is>
      </c>
      <c r="D3059" s="156" t="inlineStr">
        <is>
          <t>SKT 105S</t>
        </is>
      </c>
      <c r="E3059" s="156" t="inlineStr">
        <is>
          <t>Hauler</t>
        </is>
      </c>
      <c r="F3059" s="156" t="inlineStr">
        <is>
          <t>Hauling OB</t>
        </is>
      </c>
      <c r="G3059" s="182" t="n">
        <v>5.08</v>
      </c>
      <c r="H3059" s="182" t="n">
        <v>0</v>
      </c>
      <c r="I3059" s="182" t="n">
        <v>0</v>
      </c>
      <c r="J3059" s="182" t="n">
        <v>0</v>
      </c>
      <c r="K3059" s="182" t="n">
        <v>6.92</v>
      </c>
      <c r="L3059" s="182" t="n">
        <v>12</v>
      </c>
      <c r="M3059" s="182" t="n">
        <v>5.08</v>
      </c>
      <c r="N3059" s="182" t="n">
        <v>0</v>
      </c>
      <c r="O3059" s="183" t="n">
        <v>15</v>
      </c>
      <c r="P3059" s="183" t="n">
        <v>0</v>
      </c>
      <c r="Q3059" s="184" t="n">
        <v>306</v>
      </c>
      <c r="R3059" s="184" t="n">
        <v>0</v>
      </c>
      <c r="S3059" s="183" t="n">
        <v>0</v>
      </c>
      <c r="T3059" s="183" t="n">
        <v>0</v>
      </c>
      <c r="U3059" s="182" t="n">
        <v>0</v>
      </c>
      <c r="V3059" s="182" t="n">
        <v>0</v>
      </c>
      <c r="W3059" s="182" t="n">
        <v>0</v>
      </c>
      <c r="X3059" s="182" t="n">
        <v>0.99</v>
      </c>
      <c r="Y3059" s="182" t="n">
        <v>0</v>
      </c>
      <c r="Z3059" s="182" t="n">
        <v>0.1</v>
      </c>
      <c r="AA3059" s="182" t="n">
        <v>0</v>
      </c>
      <c r="AB3059" s="182" t="n">
        <v>0</v>
      </c>
      <c r="AC3059" s="182" t="n">
        <v>0</v>
      </c>
      <c r="AD3059" s="182" t="n">
        <v>5.75</v>
      </c>
      <c r="AE3059" s="182" t="n">
        <v>0</v>
      </c>
      <c r="AF3059" s="182" t="n">
        <v>0</v>
      </c>
      <c r="AG3059" s="182" t="n">
        <v>0</v>
      </c>
      <c r="AH3059" s="182" t="n">
        <v>0</v>
      </c>
      <c r="AI3059" s="182" t="n">
        <v>0</v>
      </c>
      <c r="AJ3059" s="182" t="n">
        <v>0</v>
      </c>
      <c r="AK3059" s="182" t="n">
        <v>0</v>
      </c>
      <c r="AL3059" s="182" t="n">
        <v>0</v>
      </c>
      <c r="AM3059" s="182" t="n">
        <v>0.08</v>
      </c>
      <c r="AN3059" s="182" t="n">
        <v>0</v>
      </c>
    </row>
    <row r="3060">
      <c r="A3060" s="155" t="n">
        <v>46095</v>
      </c>
      <c r="B3060" s="156" t="inlineStr">
        <is>
          <t>NS</t>
        </is>
      </c>
      <c r="C3060" s="156" t="inlineStr">
        <is>
          <t>DT-502</t>
        </is>
      </c>
      <c r="D3060" s="156" t="inlineStr">
        <is>
          <t>SKT 105S</t>
        </is>
      </c>
      <c r="E3060" s="156" t="inlineStr">
        <is>
          <t>Hauler</t>
        </is>
      </c>
      <c r="F3060" s="156" t="inlineStr"/>
      <c r="G3060" s="182" t="n">
        <v>0</v>
      </c>
      <c r="H3060" s="182" t="n">
        <v>0</v>
      </c>
      <c r="I3060" s="182" t="n">
        <v>12</v>
      </c>
      <c r="J3060" s="182" t="n">
        <v>12</v>
      </c>
      <c r="K3060" s="182" t="n">
        <v>0</v>
      </c>
      <c r="L3060" s="182" t="n">
        <v>12</v>
      </c>
      <c r="M3060" s="182" t="n">
        <v>0</v>
      </c>
      <c r="N3060" s="182" t="n">
        <v>0</v>
      </c>
      <c r="O3060" s="183" t="n">
        <v>0</v>
      </c>
      <c r="P3060" s="183" t="n">
        <v>0</v>
      </c>
      <c r="Q3060" s="184" t="n">
        <v>0</v>
      </c>
      <c r="R3060" s="184" t="n">
        <v>0</v>
      </c>
      <c r="S3060" s="183" t="n">
        <v>0</v>
      </c>
      <c r="T3060" s="183" t="n">
        <v>0</v>
      </c>
      <c r="U3060" s="182" t="n">
        <v>0</v>
      </c>
      <c r="V3060" s="182" t="n">
        <v>0</v>
      </c>
      <c r="W3060" s="182" t="n">
        <v>0</v>
      </c>
      <c r="X3060" s="182" t="n">
        <v>0</v>
      </c>
      <c r="Y3060" s="182" t="n">
        <v>0</v>
      </c>
      <c r="Z3060" s="182" t="n">
        <v>0</v>
      </c>
      <c r="AA3060" s="182" t="n">
        <v>0</v>
      </c>
      <c r="AB3060" s="182" t="n">
        <v>0</v>
      </c>
      <c r="AC3060" s="182" t="n">
        <v>0</v>
      </c>
      <c r="AD3060" s="182" t="n">
        <v>0</v>
      </c>
      <c r="AE3060" s="182" t="n">
        <v>0</v>
      </c>
      <c r="AF3060" s="182" t="n">
        <v>0</v>
      </c>
      <c r="AG3060" s="182" t="n">
        <v>0</v>
      </c>
      <c r="AH3060" s="182" t="n">
        <v>0</v>
      </c>
      <c r="AI3060" s="182" t="n">
        <v>0</v>
      </c>
      <c r="AJ3060" s="182" t="n">
        <v>0</v>
      </c>
      <c r="AK3060" s="182" t="n">
        <v>0</v>
      </c>
      <c r="AL3060" s="182" t="n">
        <v>0</v>
      </c>
      <c r="AM3060" s="182" t="n">
        <v>0</v>
      </c>
      <c r="AN3060" s="182" t="n">
        <v>0</v>
      </c>
    </row>
    <row r="3061">
      <c r="A3061" s="155" t="n">
        <v>46095</v>
      </c>
      <c r="B3061" s="156" t="inlineStr">
        <is>
          <t>NS</t>
        </is>
      </c>
      <c r="C3061" s="156" t="inlineStr">
        <is>
          <t>DT-528</t>
        </is>
      </c>
      <c r="D3061" s="156" t="inlineStr">
        <is>
          <t>SKT 105S</t>
        </is>
      </c>
      <c r="E3061" s="156" t="inlineStr">
        <is>
          <t>Hauler</t>
        </is>
      </c>
      <c r="F3061" s="156" t="inlineStr">
        <is>
          <t>Hauling OB &amp; Coal</t>
        </is>
      </c>
      <c r="G3061" s="182" t="n">
        <v>10.41</v>
      </c>
      <c r="H3061" s="182" t="n">
        <v>0</v>
      </c>
      <c r="I3061" s="182" t="n">
        <v>0</v>
      </c>
      <c r="J3061" s="182" t="n">
        <v>0</v>
      </c>
      <c r="K3061" s="182" t="n">
        <v>1.59</v>
      </c>
      <c r="L3061" s="182" t="n">
        <v>12</v>
      </c>
      <c r="M3061" s="182" t="n">
        <v>6.44</v>
      </c>
      <c r="N3061" s="182" t="n">
        <v>3.96</v>
      </c>
      <c r="O3061" s="183" t="n">
        <v>25</v>
      </c>
      <c r="P3061" s="183" t="n">
        <v>9</v>
      </c>
      <c r="Q3061" s="184" t="n">
        <v>505.3</v>
      </c>
      <c r="R3061" s="184" t="n">
        <v>168.3</v>
      </c>
      <c r="S3061" s="183" t="n">
        <v>0</v>
      </c>
      <c r="T3061" s="183" t="n">
        <v>0</v>
      </c>
      <c r="U3061" s="182" t="n">
        <v>0</v>
      </c>
      <c r="V3061" s="182" t="n">
        <v>0</v>
      </c>
      <c r="W3061" s="182" t="n">
        <v>0</v>
      </c>
      <c r="X3061" s="182" t="n">
        <v>1.06</v>
      </c>
      <c r="Y3061" s="182" t="n">
        <v>0</v>
      </c>
      <c r="Z3061" s="182" t="n">
        <v>0.11</v>
      </c>
      <c r="AA3061" s="182" t="n">
        <v>0</v>
      </c>
      <c r="AB3061" s="182" t="n">
        <v>0</v>
      </c>
      <c r="AC3061" s="182" t="n">
        <v>0</v>
      </c>
      <c r="AD3061" s="182" t="n">
        <v>0</v>
      </c>
      <c r="AE3061" s="182" t="n">
        <v>0</v>
      </c>
      <c r="AF3061" s="182" t="n">
        <v>0</v>
      </c>
      <c r="AG3061" s="182" t="n">
        <v>0</v>
      </c>
      <c r="AH3061" s="182" t="n">
        <v>0.34</v>
      </c>
      <c r="AI3061" s="182" t="n">
        <v>0</v>
      </c>
      <c r="AJ3061" s="182" t="n">
        <v>0</v>
      </c>
      <c r="AK3061" s="182" t="n">
        <v>0</v>
      </c>
      <c r="AL3061" s="182" t="n">
        <v>0</v>
      </c>
      <c r="AM3061" s="182" t="n">
        <v>0.08</v>
      </c>
      <c r="AN3061" s="182" t="n">
        <v>0</v>
      </c>
    </row>
    <row r="3062">
      <c r="A3062" s="155" t="n">
        <v>46095</v>
      </c>
      <c r="B3062" s="156" t="inlineStr">
        <is>
          <t>NS</t>
        </is>
      </c>
      <c r="C3062" s="156" t="inlineStr">
        <is>
          <t>DT-529</t>
        </is>
      </c>
      <c r="D3062" s="156" t="inlineStr">
        <is>
          <t>SKT 105S</t>
        </is>
      </c>
      <c r="E3062" s="156" t="inlineStr">
        <is>
          <t>Hauler</t>
        </is>
      </c>
      <c r="F3062" s="156" t="inlineStr">
        <is>
          <t>Hauling OB</t>
        </is>
      </c>
      <c r="G3062" s="182" t="n">
        <v>6.11</v>
      </c>
      <c r="H3062" s="182" t="n">
        <v>0</v>
      </c>
      <c r="I3062" s="182" t="n">
        <v>1.55</v>
      </c>
      <c r="J3062" s="182" t="n">
        <v>1.55</v>
      </c>
      <c r="K3062" s="182" t="n">
        <v>4.34</v>
      </c>
      <c r="L3062" s="182" t="n">
        <v>12</v>
      </c>
      <c r="M3062" s="182" t="n">
        <v>6.11</v>
      </c>
      <c r="N3062" s="182" t="n">
        <v>0</v>
      </c>
      <c r="O3062" s="183" t="n">
        <v>13</v>
      </c>
      <c r="P3062" s="183" t="n">
        <v>0</v>
      </c>
      <c r="Q3062" s="184" t="n">
        <v>265.2</v>
      </c>
      <c r="R3062" s="184" t="n">
        <v>0</v>
      </c>
      <c r="S3062" s="183" t="n">
        <v>0</v>
      </c>
      <c r="T3062" s="183" t="n">
        <v>0</v>
      </c>
      <c r="U3062" s="182" t="n">
        <v>0</v>
      </c>
      <c r="V3062" s="182" t="n">
        <v>0</v>
      </c>
      <c r="W3062" s="182" t="n">
        <v>0.35</v>
      </c>
      <c r="X3062" s="182" t="n">
        <v>1.07</v>
      </c>
      <c r="Y3062" s="182" t="n">
        <v>0</v>
      </c>
      <c r="Z3062" s="182" t="n">
        <v>0.11</v>
      </c>
      <c r="AA3062" s="182" t="n">
        <v>0</v>
      </c>
      <c r="AB3062" s="182" t="n">
        <v>0</v>
      </c>
      <c r="AC3062" s="182" t="n">
        <v>0</v>
      </c>
      <c r="AD3062" s="182" t="n">
        <v>0</v>
      </c>
      <c r="AE3062" s="182" t="n">
        <v>0</v>
      </c>
      <c r="AF3062" s="182" t="n">
        <v>0</v>
      </c>
      <c r="AG3062" s="182" t="n">
        <v>0</v>
      </c>
      <c r="AH3062" s="182" t="n">
        <v>0</v>
      </c>
      <c r="AI3062" s="182" t="n">
        <v>1.64</v>
      </c>
      <c r="AJ3062" s="182" t="n">
        <v>0</v>
      </c>
      <c r="AK3062" s="182" t="n">
        <v>1.07</v>
      </c>
      <c r="AL3062" s="182" t="n">
        <v>0</v>
      </c>
      <c r="AM3062" s="182" t="n">
        <v>0.09</v>
      </c>
      <c r="AN3062" s="182" t="n">
        <v>0</v>
      </c>
    </row>
    <row r="3063">
      <c r="A3063" s="155" t="n">
        <v>46095</v>
      </c>
      <c r="B3063" s="156" t="inlineStr">
        <is>
          <t>NS</t>
        </is>
      </c>
      <c r="C3063" s="156" t="inlineStr">
        <is>
          <t>DT-520</t>
        </is>
      </c>
      <c r="D3063" s="156" t="inlineStr">
        <is>
          <t>SKT 105S</t>
        </is>
      </c>
      <c r="E3063" s="156" t="inlineStr">
        <is>
          <t>Hauler</t>
        </is>
      </c>
      <c r="F3063" s="156" t="inlineStr">
        <is>
          <t>Hauling OB</t>
        </is>
      </c>
      <c r="G3063" s="182" t="n">
        <v>10.49</v>
      </c>
      <c r="H3063" s="182" t="n">
        <v>0</v>
      </c>
      <c r="I3063" s="182" t="n">
        <v>0</v>
      </c>
      <c r="J3063" s="182" t="n">
        <v>0</v>
      </c>
      <c r="K3063" s="182" t="n">
        <v>1.51</v>
      </c>
      <c r="L3063" s="182" t="n">
        <v>12</v>
      </c>
      <c r="M3063" s="182" t="n">
        <v>10.37</v>
      </c>
      <c r="N3063" s="182" t="n">
        <v>0</v>
      </c>
      <c r="O3063" s="183" t="n">
        <v>33</v>
      </c>
      <c r="P3063" s="183" t="n">
        <v>0</v>
      </c>
      <c r="Q3063" s="184" t="n">
        <v>673.2</v>
      </c>
      <c r="R3063" s="184" t="n">
        <v>0</v>
      </c>
      <c r="S3063" s="183" t="n">
        <v>0</v>
      </c>
      <c r="T3063" s="183" t="n">
        <v>0</v>
      </c>
      <c r="U3063" s="182" t="n">
        <v>0</v>
      </c>
      <c r="V3063" s="182" t="n">
        <v>0</v>
      </c>
      <c r="W3063" s="182" t="n">
        <v>0</v>
      </c>
      <c r="X3063" s="182" t="n">
        <v>0.84</v>
      </c>
      <c r="Y3063" s="182" t="n">
        <v>0</v>
      </c>
      <c r="Z3063" s="182" t="n">
        <v>0.08</v>
      </c>
      <c r="AA3063" s="182" t="n">
        <v>0</v>
      </c>
      <c r="AB3063" s="182" t="n">
        <v>0</v>
      </c>
      <c r="AC3063" s="182" t="n">
        <v>0</v>
      </c>
      <c r="AD3063" s="182" t="n">
        <v>0</v>
      </c>
      <c r="AE3063" s="182" t="n">
        <v>0</v>
      </c>
      <c r="AF3063" s="182" t="n">
        <v>0</v>
      </c>
      <c r="AG3063" s="182" t="n">
        <v>0</v>
      </c>
      <c r="AH3063" s="182" t="n">
        <v>0.52</v>
      </c>
      <c r="AI3063" s="182" t="n">
        <v>0</v>
      </c>
      <c r="AJ3063" s="182" t="n">
        <v>0</v>
      </c>
      <c r="AK3063" s="182" t="n">
        <v>0</v>
      </c>
      <c r="AL3063" s="182" t="n">
        <v>0</v>
      </c>
      <c r="AM3063" s="182" t="n">
        <v>0.07000000000000001</v>
      </c>
      <c r="AN3063" s="182" t="n">
        <v>0</v>
      </c>
    </row>
    <row r="3064">
      <c r="A3064" s="155" t="n">
        <v>46095</v>
      </c>
      <c r="B3064" s="156" t="inlineStr">
        <is>
          <t>NS</t>
        </is>
      </c>
      <c r="C3064" s="156" t="inlineStr">
        <is>
          <t>DT-511</t>
        </is>
      </c>
      <c r="D3064" s="156" t="inlineStr">
        <is>
          <t>SKT 105S</t>
        </is>
      </c>
      <c r="E3064" s="156" t="inlineStr">
        <is>
          <t>Hauler</t>
        </is>
      </c>
      <c r="F3064" s="156" t="inlineStr"/>
      <c r="G3064" s="182" t="n">
        <v>0</v>
      </c>
      <c r="H3064" s="182" t="n">
        <v>0</v>
      </c>
      <c r="I3064" s="182" t="n">
        <v>12</v>
      </c>
      <c r="J3064" s="182" t="n">
        <v>12</v>
      </c>
      <c r="K3064" s="182" t="n">
        <v>0</v>
      </c>
      <c r="L3064" s="182" t="n">
        <v>12</v>
      </c>
      <c r="M3064" s="182" t="n">
        <v>0</v>
      </c>
      <c r="N3064" s="182" t="n">
        <v>0</v>
      </c>
      <c r="O3064" s="183" t="n">
        <v>0</v>
      </c>
      <c r="P3064" s="183" t="n">
        <v>0</v>
      </c>
      <c r="Q3064" s="184" t="n">
        <v>0</v>
      </c>
      <c r="R3064" s="184" t="n">
        <v>0</v>
      </c>
      <c r="S3064" s="183" t="n">
        <v>0</v>
      </c>
      <c r="T3064" s="183" t="n">
        <v>0</v>
      </c>
      <c r="U3064" s="182" t="n">
        <v>0</v>
      </c>
      <c r="V3064" s="182" t="n">
        <v>0</v>
      </c>
      <c r="W3064" s="182" t="n">
        <v>0</v>
      </c>
      <c r="X3064" s="182" t="n">
        <v>0</v>
      </c>
      <c r="Y3064" s="182" t="n">
        <v>0</v>
      </c>
      <c r="Z3064" s="182" t="n">
        <v>0</v>
      </c>
      <c r="AA3064" s="182" t="n">
        <v>0</v>
      </c>
      <c r="AB3064" s="182" t="n">
        <v>0</v>
      </c>
      <c r="AC3064" s="182" t="n">
        <v>0</v>
      </c>
      <c r="AD3064" s="182" t="n">
        <v>0</v>
      </c>
      <c r="AE3064" s="182" t="n">
        <v>0</v>
      </c>
      <c r="AF3064" s="182" t="n">
        <v>0</v>
      </c>
      <c r="AG3064" s="182" t="n">
        <v>0</v>
      </c>
      <c r="AH3064" s="182" t="n">
        <v>0</v>
      </c>
      <c r="AI3064" s="182" t="n">
        <v>0</v>
      </c>
      <c r="AJ3064" s="182" t="n">
        <v>0</v>
      </c>
      <c r="AK3064" s="182" t="n">
        <v>0</v>
      </c>
      <c r="AL3064" s="182" t="n">
        <v>0</v>
      </c>
      <c r="AM3064" s="182" t="n">
        <v>0</v>
      </c>
      <c r="AN3064" s="182" t="n">
        <v>0</v>
      </c>
    </row>
    <row r="3065">
      <c r="A3065" s="155" t="n">
        <v>46095</v>
      </c>
      <c r="B3065" s="156" t="inlineStr">
        <is>
          <t>NS</t>
        </is>
      </c>
      <c r="C3065" s="156" t="inlineStr">
        <is>
          <t>DT-509</t>
        </is>
      </c>
      <c r="D3065" s="156" t="inlineStr">
        <is>
          <t>SKT 105S</t>
        </is>
      </c>
      <c r="E3065" s="156" t="inlineStr">
        <is>
          <t>Hauler</t>
        </is>
      </c>
      <c r="F3065" s="156" t="inlineStr"/>
      <c r="G3065" s="182" t="n">
        <v>0</v>
      </c>
      <c r="H3065" s="182" t="n">
        <v>0</v>
      </c>
      <c r="I3065" s="182" t="n">
        <v>12</v>
      </c>
      <c r="J3065" s="182" t="n">
        <v>12</v>
      </c>
      <c r="K3065" s="182" t="n">
        <v>0</v>
      </c>
      <c r="L3065" s="182" t="n">
        <v>12</v>
      </c>
      <c r="M3065" s="182" t="n">
        <v>0</v>
      </c>
      <c r="N3065" s="182" t="n">
        <v>0</v>
      </c>
      <c r="O3065" s="183" t="n">
        <v>0</v>
      </c>
      <c r="P3065" s="183" t="n">
        <v>0</v>
      </c>
      <c r="Q3065" s="184" t="n">
        <v>0</v>
      </c>
      <c r="R3065" s="184" t="n">
        <v>0</v>
      </c>
      <c r="S3065" s="183" t="n">
        <v>0</v>
      </c>
      <c r="T3065" s="183" t="n">
        <v>0</v>
      </c>
      <c r="U3065" s="182" t="n">
        <v>0</v>
      </c>
      <c r="V3065" s="182" t="n">
        <v>0</v>
      </c>
      <c r="W3065" s="182" t="n">
        <v>0</v>
      </c>
      <c r="X3065" s="182" t="n">
        <v>0</v>
      </c>
      <c r="Y3065" s="182" t="n">
        <v>0</v>
      </c>
      <c r="Z3065" s="182" t="n">
        <v>0</v>
      </c>
      <c r="AA3065" s="182" t="n">
        <v>0</v>
      </c>
      <c r="AB3065" s="182" t="n">
        <v>0</v>
      </c>
      <c r="AC3065" s="182" t="n">
        <v>0</v>
      </c>
      <c r="AD3065" s="182" t="n">
        <v>0</v>
      </c>
      <c r="AE3065" s="182" t="n">
        <v>0</v>
      </c>
      <c r="AF3065" s="182" t="n">
        <v>0</v>
      </c>
      <c r="AG3065" s="182" t="n">
        <v>0</v>
      </c>
      <c r="AH3065" s="182" t="n">
        <v>0</v>
      </c>
      <c r="AI3065" s="182" t="n">
        <v>0</v>
      </c>
      <c r="AJ3065" s="182" t="n">
        <v>0</v>
      </c>
      <c r="AK3065" s="182" t="n">
        <v>0</v>
      </c>
      <c r="AL3065" s="182" t="n">
        <v>0</v>
      </c>
      <c r="AM3065" s="182" t="n">
        <v>0</v>
      </c>
      <c r="AN3065" s="182" t="n">
        <v>0</v>
      </c>
    </row>
    <row r="3066">
      <c r="A3066" s="155" t="n">
        <v>46095</v>
      </c>
      <c r="B3066" s="156" t="inlineStr">
        <is>
          <t>NS</t>
        </is>
      </c>
      <c r="C3066" s="156" t="inlineStr">
        <is>
          <t>DT-526</t>
        </is>
      </c>
      <c r="D3066" s="156" t="inlineStr">
        <is>
          <t>SKT 105S</t>
        </is>
      </c>
      <c r="E3066" s="156" t="inlineStr">
        <is>
          <t>Hauler</t>
        </is>
      </c>
      <c r="F3066" s="156" t="inlineStr">
        <is>
          <t>Hauling OB</t>
        </is>
      </c>
      <c r="G3066" s="182" t="n">
        <v>1.99</v>
      </c>
      <c r="H3066" s="182" t="n">
        <v>0</v>
      </c>
      <c r="I3066" s="182" t="n">
        <v>2.82</v>
      </c>
      <c r="J3066" s="182" t="n">
        <v>2.82</v>
      </c>
      <c r="K3066" s="182" t="n">
        <v>7.19</v>
      </c>
      <c r="L3066" s="182" t="n">
        <v>12</v>
      </c>
      <c r="M3066" s="182" t="n">
        <v>1.99</v>
      </c>
      <c r="N3066" s="182" t="n">
        <v>0</v>
      </c>
      <c r="O3066" s="183" t="n">
        <v>3</v>
      </c>
      <c r="P3066" s="183" t="n">
        <v>0</v>
      </c>
      <c r="Q3066" s="184" t="n">
        <v>61.2</v>
      </c>
      <c r="R3066" s="184" t="n">
        <v>0</v>
      </c>
      <c r="S3066" s="183" t="n">
        <v>0</v>
      </c>
      <c r="T3066" s="183" t="n">
        <v>0</v>
      </c>
      <c r="U3066" s="182" t="n">
        <v>0</v>
      </c>
      <c r="V3066" s="182" t="n">
        <v>0</v>
      </c>
      <c r="W3066" s="182" t="n">
        <v>0</v>
      </c>
      <c r="X3066" s="182" t="n">
        <v>0.9399999999999999</v>
      </c>
      <c r="Y3066" s="182" t="n">
        <v>0</v>
      </c>
      <c r="Z3066" s="182" t="n">
        <v>0.09</v>
      </c>
      <c r="AA3066" s="182" t="n">
        <v>0</v>
      </c>
      <c r="AB3066" s="182" t="n">
        <v>0</v>
      </c>
      <c r="AC3066" s="182" t="n">
        <v>0</v>
      </c>
      <c r="AD3066" s="182" t="n">
        <v>6.09</v>
      </c>
      <c r="AE3066" s="182" t="n">
        <v>0</v>
      </c>
      <c r="AF3066" s="182" t="n">
        <v>0</v>
      </c>
      <c r="AG3066" s="182" t="n">
        <v>0</v>
      </c>
      <c r="AH3066" s="182" t="n">
        <v>0</v>
      </c>
      <c r="AI3066" s="182" t="n">
        <v>0</v>
      </c>
      <c r="AJ3066" s="182" t="n">
        <v>0</v>
      </c>
      <c r="AK3066" s="182" t="n">
        <v>0</v>
      </c>
      <c r="AL3066" s="182" t="n">
        <v>0</v>
      </c>
      <c r="AM3066" s="182" t="n">
        <v>0.07000000000000001</v>
      </c>
      <c r="AN3066" s="182" t="n">
        <v>0</v>
      </c>
    </row>
    <row r="3067">
      <c r="A3067" s="155" t="n">
        <v>46095</v>
      </c>
      <c r="B3067" s="156" t="inlineStr">
        <is>
          <t>NS</t>
        </is>
      </c>
      <c r="C3067" s="156" t="inlineStr">
        <is>
          <t>DT-508</t>
        </is>
      </c>
      <c r="D3067" s="156" t="inlineStr">
        <is>
          <t>SKT 105S</t>
        </is>
      </c>
      <c r="E3067" s="156" t="inlineStr">
        <is>
          <t>Hauler</t>
        </is>
      </c>
      <c r="F3067" s="156" t="inlineStr">
        <is>
          <t>Hauling OB</t>
        </is>
      </c>
      <c r="G3067" s="182" t="n">
        <v>9.33</v>
      </c>
      <c r="H3067" s="182" t="n">
        <v>0</v>
      </c>
      <c r="I3067" s="182" t="n">
        <v>0</v>
      </c>
      <c r="J3067" s="182" t="n">
        <v>0</v>
      </c>
      <c r="K3067" s="182" t="n">
        <v>2.67</v>
      </c>
      <c r="L3067" s="182" t="n">
        <v>12</v>
      </c>
      <c r="M3067" s="182" t="n">
        <v>9.33</v>
      </c>
      <c r="N3067" s="182" t="n">
        <v>0</v>
      </c>
      <c r="O3067" s="183" t="n">
        <v>29</v>
      </c>
      <c r="P3067" s="183" t="n">
        <v>0</v>
      </c>
      <c r="Q3067" s="184" t="n">
        <v>591.6</v>
      </c>
      <c r="R3067" s="184" t="n">
        <v>0</v>
      </c>
      <c r="S3067" s="183" t="n">
        <v>0</v>
      </c>
      <c r="T3067" s="183" t="n">
        <v>0</v>
      </c>
      <c r="U3067" s="182" t="n">
        <v>0</v>
      </c>
      <c r="V3067" s="182" t="n">
        <v>0</v>
      </c>
      <c r="W3067" s="182" t="n">
        <v>0.89</v>
      </c>
      <c r="X3067" s="182" t="n">
        <v>1.07</v>
      </c>
      <c r="Y3067" s="182" t="n">
        <v>0</v>
      </c>
      <c r="Z3067" s="182" t="n">
        <v>0.11</v>
      </c>
      <c r="AA3067" s="182" t="n">
        <v>0</v>
      </c>
      <c r="AB3067" s="182" t="n">
        <v>0</v>
      </c>
      <c r="AC3067" s="182" t="n">
        <v>0</v>
      </c>
      <c r="AD3067" s="182" t="n">
        <v>0</v>
      </c>
      <c r="AE3067" s="182" t="n">
        <v>0</v>
      </c>
      <c r="AF3067" s="182" t="n">
        <v>0</v>
      </c>
      <c r="AG3067" s="182" t="n">
        <v>0</v>
      </c>
      <c r="AH3067" s="182" t="n">
        <v>0.52</v>
      </c>
      <c r="AI3067" s="182" t="n">
        <v>0</v>
      </c>
      <c r="AJ3067" s="182" t="n">
        <v>0</v>
      </c>
      <c r="AK3067" s="182" t="n">
        <v>0</v>
      </c>
      <c r="AL3067" s="182" t="n">
        <v>0</v>
      </c>
      <c r="AM3067" s="182" t="n">
        <v>0.09</v>
      </c>
      <c r="AN3067" s="182" t="n">
        <v>0</v>
      </c>
    </row>
    <row r="3068">
      <c r="A3068" s="155" t="n">
        <v>46095</v>
      </c>
      <c r="B3068" s="156" t="inlineStr">
        <is>
          <t>NS</t>
        </is>
      </c>
      <c r="C3068" s="156" t="inlineStr">
        <is>
          <t>DT-515</t>
        </is>
      </c>
      <c r="D3068" s="156" t="inlineStr">
        <is>
          <t>SKT 105S</t>
        </is>
      </c>
      <c r="E3068" s="156" t="inlineStr">
        <is>
          <t>Hauler</t>
        </is>
      </c>
      <c r="F3068" s="156" t="inlineStr"/>
      <c r="G3068" s="182" t="n">
        <v>0</v>
      </c>
      <c r="H3068" s="182" t="n">
        <v>12</v>
      </c>
      <c r="I3068" s="182" t="n">
        <v>0</v>
      </c>
      <c r="J3068" s="182" t="n">
        <v>12</v>
      </c>
      <c r="K3068" s="182" t="n">
        <v>0</v>
      </c>
      <c r="L3068" s="182" t="n">
        <v>12</v>
      </c>
      <c r="M3068" s="182" t="n">
        <v>0</v>
      </c>
      <c r="N3068" s="182" t="n">
        <v>0</v>
      </c>
      <c r="O3068" s="183" t="n">
        <v>0</v>
      </c>
      <c r="P3068" s="183" t="n">
        <v>0</v>
      </c>
      <c r="Q3068" s="184" t="n">
        <v>0</v>
      </c>
      <c r="R3068" s="184" t="n">
        <v>0</v>
      </c>
      <c r="S3068" s="183" t="n">
        <v>0</v>
      </c>
      <c r="T3068" s="183" t="n">
        <v>0</v>
      </c>
      <c r="U3068" s="182" t="n">
        <v>0</v>
      </c>
      <c r="V3068" s="182" t="n">
        <v>0</v>
      </c>
      <c r="W3068" s="182" t="n">
        <v>0</v>
      </c>
      <c r="X3068" s="182" t="n">
        <v>0</v>
      </c>
      <c r="Y3068" s="182" t="n">
        <v>0</v>
      </c>
      <c r="Z3068" s="182" t="n">
        <v>0</v>
      </c>
      <c r="AA3068" s="182" t="n">
        <v>0</v>
      </c>
      <c r="AB3068" s="182" t="n">
        <v>0</v>
      </c>
      <c r="AC3068" s="182" t="n">
        <v>0</v>
      </c>
      <c r="AD3068" s="182" t="n">
        <v>0</v>
      </c>
      <c r="AE3068" s="182" t="n">
        <v>0</v>
      </c>
      <c r="AF3068" s="182" t="n">
        <v>0</v>
      </c>
      <c r="AG3068" s="182" t="n">
        <v>0</v>
      </c>
      <c r="AH3068" s="182" t="n">
        <v>0</v>
      </c>
      <c r="AI3068" s="182" t="n">
        <v>0</v>
      </c>
      <c r="AJ3068" s="182" t="n">
        <v>0</v>
      </c>
      <c r="AK3068" s="182" t="n">
        <v>0</v>
      </c>
      <c r="AL3068" s="182" t="n">
        <v>0</v>
      </c>
      <c r="AM3068" s="182" t="n">
        <v>0</v>
      </c>
      <c r="AN3068" s="182" t="n">
        <v>0</v>
      </c>
    </row>
    <row r="3069">
      <c r="A3069" s="155" t="n">
        <v>46095</v>
      </c>
      <c r="B3069" s="156" t="inlineStr">
        <is>
          <t>NS</t>
        </is>
      </c>
      <c r="C3069" s="156" t="inlineStr">
        <is>
          <t>DT-524</t>
        </is>
      </c>
      <c r="D3069" s="156" t="inlineStr">
        <is>
          <t>SKT 105S</t>
        </is>
      </c>
      <c r="E3069" s="156" t="inlineStr">
        <is>
          <t>Hauler</t>
        </is>
      </c>
      <c r="F3069" s="156" t="inlineStr">
        <is>
          <t>Hauling OB</t>
        </is>
      </c>
      <c r="G3069" s="182" t="n">
        <v>9.210000000000001</v>
      </c>
      <c r="H3069" s="182" t="n">
        <v>0</v>
      </c>
      <c r="I3069" s="182" t="n">
        <v>0</v>
      </c>
      <c r="J3069" s="182" t="n">
        <v>0</v>
      </c>
      <c r="K3069" s="182" t="n">
        <v>2.79</v>
      </c>
      <c r="L3069" s="182" t="n">
        <v>12</v>
      </c>
      <c r="M3069" s="182" t="n">
        <v>9.210000000000001</v>
      </c>
      <c r="N3069" s="182" t="n">
        <v>0</v>
      </c>
      <c r="O3069" s="183" t="n">
        <v>33</v>
      </c>
      <c r="P3069" s="183" t="n">
        <v>0</v>
      </c>
      <c r="Q3069" s="184" t="n">
        <v>673.2</v>
      </c>
      <c r="R3069" s="184" t="n">
        <v>0</v>
      </c>
      <c r="S3069" s="183" t="n">
        <v>0</v>
      </c>
      <c r="T3069" s="183" t="n">
        <v>0</v>
      </c>
      <c r="U3069" s="182" t="n">
        <v>0</v>
      </c>
      <c r="V3069" s="182" t="n">
        <v>0</v>
      </c>
      <c r="W3069" s="182" t="n">
        <v>0.89</v>
      </c>
      <c r="X3069" s="182" t="n">
        <v>1.07</v>
      </c>
      <c r="Y3069" s="182" t="n">
        <v>0</v>
      </c>
      <c r="Z3069" s="182" t="n">
        <v>0.11</v>
      </c>
      <c r="AA3069" s="182" t="n">
        <v>0</v>
      </c>
      <c r="AB3069" s="182" t="n">
        <v>0</v>
      </c>
      <c r="AC3069" s="182" t="n">
        <v>0</v>
      </c>
      <c r="AD3069" s="182" t="n">
        <v>0</v>
      </c>
      <c r="AE3069" s="182" t="n">
        <v>0</v>
      </c>
      <c r="AF3069" s="182" t="n">
        <v>0</v>
      </c>
      <c r="AG3069" s="182" t="n">
        <v>0</v>
      </c>
      <c r="AH3069" s="182" t="n">
        <v>0.62</v>
      </c>
      <c r="AI3069" s="182" t="n">
        <v>0</v>
      </c>
      <c r="AJ3069" s="182" t="n">
        <v>0</v>
      </c>
      <c r="AK3069" s="182" t="n">
        <v>0</v>
      </c>
      <c r="AL3069" s="182" t="n">
        <v>0</v>
      </c>
      <c r="AM3069" s="182" t="n">
        <v>0.09</v>
      </c>
      <c r="AN3069" s="182" t="n">
        <v>0</v>
      </c>
    </row>
    <row r="3070">
      <c r="A3070" s="155" t="n">
        <v>46095</v>
      </c>
      <c r="B3070" s="156" t="inlineStr">
        <is>
          <t>NS</t>
        </is>
      </c>
      <c r="C3070" s="156" t="inlineStr">
        <is>
          <t>DT-341</t>
        </is>
      </c>
      <c r="D3070" s="156" t="inlineStr">
        <is>
          <t>SYZ324C-8W</t>
        </is>
      </c>
      <c r="E3070" s="156" t="inlineStr">
        <is>
          <t>Hauler</t>
        </is>
      </c>
      <c r="F3070" s="156" t="inlineStr">
        <is>
          <t>Rehandling Dirty</t>
        </is>
      </c>
      <c r="G3070" s="182" t="n">
        <v>6.12</v>
      </c>
      <c r="H3070" s="182" t="n">
        <v>0</v>
      </c>
      <c r="I3070" s="182" t="n">
        <v>0</v>
      </c>
      <c r="J3070" s="182" t="n">
        <v>0</v>
      </c>
      <c r="K3070" s="182" t="n">
        <v>5.88</v>
      </c>
      <c r="L3070" s="182" t="n">
        <v>12</v>
      </c>
      <c r="M3070" s="182" t="n">
        <v>0</v>
      </c>
      <c r="N3070" s="182" t="n">
        <v>0</v>
      </c>
      <c r="O3070" s="183" t="n">
        <v>0</v>
      </c>
      <c r="P3070" s="183" t="n">
        <v>0</v>
      </c>
      <c r="Q3070" s="184" t="n">
        <v>0</v>
      </c>
      <c r="R3070" s="184" t="n">
        <v>0</v>
      </c>
      <c r="S3070" s="183" t="n">
        <v>0</v>
      </c>
      <c r="T3070" s="183" t="n">
        <v>0</v>
      </c>
      <c r="U3070" s="182" t="n">
        <v>0</v>
      </c>
      <c r="V3070" s="182" t="n">
        <v>0</v>
      </c>
      <c r="W3070" s="182" t="n">
        <v>0</v>
      </c>
      <c r="X3070" s="182" t="n">
        <v>0.98</v>
      </c>
      <c r="Y3070" s="182" t="n">
        <v>0</v>
      </c>
      <c r="Z3070" s="182" t="n">
        <v>0</v>
      </c>
      <c r="AA3070" s="182" t="n">
        <v>0</v>
      </c>
      <c r="AB3070" s="182" t="n">
        <v>0</v>
      </c>
      <c r="AC3070" s="182" t="n">
        <v>0</v>
      </c>
      <c r="AD3070" s="182" t="n">
        <v>0</v>
      </c>
      <c r="AE3070" s="182" t="n">
        <v>0</v>
      </c>
      <c r="AF3070" s="182" t="n">
        <v>0</v>
      </c>
      <c r="AG3070" s="182" t="n">
        <v>0</v>
      </c>
      <c r="AH3070" s="182" t="n">
        <v>0</v>
      </c>
      <c r="AI3070" s="182" t="n">
        <v>0</v>
      </c>
      <c r="AJ3070" s="182" t="n">
        <v>0</v>
      </c>
      <c r="AK3070" s="182" t="n">
        <v>4.82</v>
      </c>
      <c r="AL3070" s="182" t="n">
        <v>0</v>
      </c>
      <c r="AM3070" s="182" t="n">
        <v>0.08</v>
      </c>
      <c r="AN3070" s="182" t="n">
        <v>0</v>
      </c>
    </row>
    <row r="3071">
      <c r="A3071" s="155" t="n">
        <v>46095</v>
      </c>
      <c r="B3071" s="156" t="inlineStr">
        <is>
          <t>NS</t>
        </is>
      </c>
      <c r="C3071" s="156" t="inlineStr">
        <is>
          <t>DT-342</t>
        </is>
      </c>
      <c r="D3071" s="156" t="inlineStr">
        <is>
          <t>SYZ324C-8W</t>
        </is>
      </c>
      <c r="E3071" s="156" t="inlineStr">
        <is>
          <t>Hauler</t>
        </is>
      </c>
      <c r="F3071" s="156" t="inlineStr">
        <is>
          <t>Rehandling Dirty</t>
        </is>
      </c>
      <c r="G3071" s="182" t="n">
        <v>6.5</v>
      </c>
      <c r="H3071" s="182" t="n">
        <v>0</v>
      </c>
      <c r="I3071" s="182" t="n">
        <v>0</v>
      </c>
      <c r="J3071" s="182" t="n">
        <v>0</v>
      </c>
      <c r="K3071" s="182" t="n">
        <v>5.5</v>
      </c>
      <c r="L3071" s="182" t="n">
        <v>12</v>
      </c>
      <c r="M3071" s="182" t="n">
        <v>0</v>
      </c>
      <c r="N3071" s="182" t="n">
        <v>0</v>
      </c>
      <c r="O3071" s="183" t="n">
        <v>0</v>
      </c>
      <c r="P3071" s="183" t="n">
        <v>0</v>
      </c>
      <c r="Q3071" s="184" t="n">
        <v>0</v>
      </c>
      <c r="R3071" s="184" t="n">
        <v>0</v>
      </c>
      <c r="S3071" s="183" t="n">
        <v>0</v>
      </c>
      <c r="T3071" s="183" t="n">
        <v>0</v>
      </c>
      <c r="U3071" s="182" t="n">
        <v>0</v>
      </c>
      <c r="V3071" s="182" t="n">
        <v>0</v>
      </c>
      <c r="W3071" s="182" t="n">
        <v>0</v>
      </c>
      <c r="X3071" s="182" t="n">
        <v>0.98</v>
      </c>
      <c r="Y3071" s="182" t="n">
        <v>0</v>
      </c>
      <c r="Z3071" s="182" t="n">
        <v>0</v>
      </c>
      <c r="AA3071" s="182" t="n">
        <v>0</v>
      </c>
      <c r="AB3071" s="182" t="n">
        <v>0</v>
      </c>
      <c r="AC3071" s="182" t="n">
        <v>0</v>
      </c>
      <c r="AD3071" s="182" t="n">
        <v>0</v>
      </c>
      <c r="AE3071" s="182" t="n">
        <v>0</v>
      </c>
      <c r="AF3071" s="182" t="n">
        <v>0</v>
      </c>
      <c r="AG3071" s="182" t="n">
        <v>0</v>
      </c>
      <c r="AH3071" s="182" t="n">
        <v>0</v>
      </c>
      <c r="AI3071" s="182" t="n">
        <v>0</v>
      </c>
      <c r="AJ3071" s="182" t="n">
        <v>0</v>
      </c>
      <c r="AK3071" s="182" t="n">
        <v>4.44</v>
      </c>
      <c r="AL3071" s="182" t="n">
        <v>0</v>
      </c>
      <c r="AM3071" s="182" t="n">
        <v>0.08</v>
      </c>
      <c r="AN3071" s="182" t="n">
        <v>0</v>
      </c>
    </row>
    <row r="3072">
      <c r="A3072" s="155" t="n">
        <v>46095</v>
      </c>
      <c r="B3072" s="156" t="inlineStr">
        <is>
          <t>NS</t>
        </is>
      </c>
      <c r="C3072" s="156" t="inlineStr">
        <is>
          <t>HD-903</t>
        </is>
      </c>
      <c r="D3072" s="156" t="inlineStr">
        <is>
          <t>SRT 95C</t>
        </is>
      </c>
      <c r="E3072" s="156" t="inlineStr">
        <is>
          <t>Hauler</t>
        </is>
      </c>
      <c r="F3072" s="156" t="inlineStr">
        <is>
          <t>Hauling OB</t>
        </is>
      </c>
      <c r="G3072" s="182" t="n">
        <v>10.68</v>
      </c>
      <c r="H3072" s="182" t="n">
        <v>0</v>
      </c>
      <c r="I3072" s="182" t="n">
        <v>0</v>
      </c>
      <c r="J3072" s="182" t="n">
        <v>0</v>
      </c>
      <c r="K3072" s="182" t="n">
        <v>1.32</v>
      </c>
      <c r="L3072" s="182" t="n">
        <v>12</v>
      </c>
      <c r="M3072" s="182" t="n">
        <v>10.68</v>
      </c>
      <c r="N3072" s="182" t="n">
        <v>0</v>
      </c>
      <c r="O3072" s="183" t="n">
        <v>42</v>
      </c>
      <c r="P3072" s="183" t="n">
        <v>0</v>
      </c>
      <c r="Q3072" s="184" t="n">
        <v>1499.4</v>
      </c>
      <c r="R3072" s="184" t="n">
        <v>0</v>
      </c>
      <c r="S3072" s="183" t="n">
        <v>0</v>
      </c>
      <c r="T3072" s="183" t="n">
        <v>0</v>
      </c>
      <c r="U3072" s="182" t="n">
        <v>0</v>
      </c>
      <c r="V3072" s="182" t="n">
        <v>0</v>
      </c>
      <c r="W3072" s="182" t="n">
        <v>0</v>
      </c>
      <c r="X3072" s="182" t="n">
        <v>1.02</v>
      </c>
      <c r="Y3072" s="182" t="n">
        <v>0</v>
      </c>
      <c r="Z3072" s="182" t="n">
        <v>0.1</v>
      </c>
      <c r="AA3072" s="182" t="n">
        <v>0</v>
      </c>
      <c r="AB3072" s="182" t="n">
        <v>0</v>
      </c>
      <c r="AC3072" s="182" t="n">
        <v>0</v>
      </c>
      <c r="AD3072" s="182" t="n">
        <v>0</v>
      </c>
      <c r="AE3072" s="182" t="n">
        <v>0</v>
      </c>
      <c r="AF3072" s="182" t="n">
        <v>0</v>
      </c>
      <c r="AG3072" s="182" t="n">
        <v>0</v>
      </c>
      <c r="AH3072" s="182" t="n">
        <v>0.12</v>
      </c>
      <c r="AI3072" s="182" t="n">
        <v>0</v>
      </c>
      <c r="AJ3072" s="182" t="n">
        <v>0</v>
      </c>
      <c r="AK3072" s="182" t="n">
        <v>0</v>
      </c>
      <c r="AL3072" s="182" t="n">
        <v>0</v>
      </c>
      <c r="AM3072" s="182" t="n">
        <v>0.08</v>
      </c>
      <c r="AN3072" s="182" t="n">
        <v>0</v>
      </c>
    </row>
    <row r="3073">
      <c r="A3073" s="155" t="n">
        <v>46095</v>
      </c>
      <c r="B3073" s="156" t="inlineStr">
        <is>
          <t>NS</t>
        </is>
      </c>
      <c r="C3073" s="156" t="inlineStr">
        <is>
          <t>HD-905</t>
        </is>
      </c>
      <c r="D3073" s="156" t="inlineStr">
        <is>
          <t>SRT 95C</t>
        </is>
      </c>
      <c r="E3073" s="156" t="inlineStr">
        <is>
          <t>Hauler</t>
        </is>
      </c>
      <c r="F3073" s="156" t="inlineStr">
        <is>
          <t>Hauling OB</t>
        </is>
      </c>
      <c r="G3073" s="182" t="n">
        <v>10.38</v>
      </c>
      <c r="H3073" s="182" t="n">
        <v>0</v>
      </c>
      <c r="I3073" s="182" t="n">
        <v>0</v>
      </c>
      <c r="J3073" s="182" t="n">
        <v>0</v>
      </c>
      <c r="K3073" s="182" t="n">
        <v>1.62</v>
      </c>
      <c r="L3073" s="182" t="n">
        <v>12</v>
      </c>
      <c r="M3073" s="182" t="n">
        <v>10.38</v>
      </c>
      <c r="N3073" s="182" t="n">
        <v>0</v>
      </c>
      <c r="O3073" s="183" t="n">
        <v>40</v>
      </c>
      <c r="P3073" s="183" t="n">
        <v>0</v>
      </c>
      <c r="Q3073" s="184" t="n">
        <v>1428</v>
      </c>
      <c r="R3073" s="184" t="n">
        <v>0</v>
      </c>
      <c r="S3073" s="183" t="n">
        <v>0</v>
      </c>
      <c r="T3073" s="183" t="n">
        <v>0</v>
      </c>
      <c r="U3073" s="182" t="n">
        <v>0</v>
      </c>
      <c r="V3073" s="182" t="n">
        <v>0</v>
      </c>
      <c r="W3073" s="182" t="n">
        <v>0</v>
      </c>
      <c r="X3073" s="182" t="n">
        <v>1.08</v>
      </c>
      <c r="Y3073" s="182" t="n">
        <v>0</v>
      </c>
      <c r="Z3073" s="182" t="n">
        <v>0.11</v>
      </c>
      <c r="AA3073" s="182" t="n">
        <v>0</v>
      </c>
      <c r="AB3073" s="182" t="n">
        <v>0</v>
      </c>
      <c r="AC3073" s="182" t="n">
        <v>0</v>
      </c>
      <c r="AD3073" s="182" t="n">
        <v>0</v>
      </c>
      <c r="AE3073" s="182" t="n">
        <v>0</v>
      </c>
      <c r="AF3073" s="182" t="n">
        <v>0</v>
      </c>
      <c r="AG3073" s="182" t="n">
        <v>0</v>
      </c>
      <c r="AH3073" s="182" t="n">
        <v>0.35</v>
      </c>
      <c r="AI3073" s="182" t="n">
        <v>0</v>
      </c>
      <c r="AJ3073" s="182" t="n">
        <v>0</v>
      </c>
      <c r="AK3073" s="182" t="n">
        <v>0</v>
      </c>
      <c r="AL3073" s="182" t="n">
        <v>0</v>
      </c>
      <c r="AM3073" s="182" t="n">
        <v>0.09</v>
      </c>
      <c r="AN3073" s="182" t="n">
        <v>0</v>
      </c>
    </row>
    <row r="3074">
      <c r="A3074" s="155" t="n">
        <v>46095</v>
      </c>
      <c r="B3074" s="156" t="inlineStr">
        <is>
          <t>NS</t>
        </is>
      </c>
      <c r="C3074" s="156" t="inlineStr">
        <is>
          <t>HD-901</t>
        </is>
      </c>
      <c r="D3074" s="156" t="inlineStr">
        <is>
          <t>SRT 95C</t>
        </is>
      </c>
      <c r="E3074" s="156" t="inlineStr">
        <is>
          <t>Hauler</t>
        </is>
      </c>
      <c r="F3074" s="156" t="inlineStr">
        <is>
          <t>Hauling OB</t>
        </is>
      </c>
      <c r="G3074" s="182" t="n">
        <v>9.69</v>
      </c>
      <c r="H3074" s="182" t="n">
        <v>0</v>
      </c>
      <c r="I3074" s="182" t="n">
        <v>0</v>
      </c>
      <c r="J3074" s="182" t="n">
        <v>0</v>
      </c>
      <c r="K3074" s="182" t="n">
        <v>2.31</v>
      </c>
      <c r="L3074" s="182" t="n">
        <v>12</v>
      </c>
      <c r="M3074" s="182" t="n">
        <v>9.57</v>
      </c>
      <c r="N3074" s="182" t="n">
        <v>0</v>
      </c>
      <c r="O3074" s="183" t="n">
        <v>39</v>
      </c>
      <c r="P3074" s="183" t="n">
        <v>0</v>
      </c>
      <c r="Q3074" s="184" t="n">
        <v>1392.3</v>
      </c>
      <c r="R3074" s="184" t="n">
        <v>0</v>
      </c>
      <c r="S3074" s="183" t="n">
        <v>0</v>
      </c>
      <c r="T3074" s="183" t="n">
        <v>0</v>
      </c>
      <c r="U3074" s="182" t="n">
        <v>0</v>
      </c>
      <c r="V3074" s="182" t="n">
        <v>0</v>
      </c>
      <c r="W3074" s="182" t="n">
        <v>0</v>
      </c>
      <c r="X3074" s="182" t="n">
        <v>1.22</v>
      </c>
      <c r="Y3074" s="182" t="n">
        <v>0</v>
      </c>
      <c r="Z3074" s="182" t="n">
        <v>0.12</v>
      </c>
      <c r="AA3074" s="182" t="n">
        <v>0</v>
      </c>
      <c r="AB3074" s="182" t="n">
        <v>0</v>
      </c>
      <c r="AC3074" s="182" t="n">
        <v>0</v>
      </c>
      <c r="AD3074" s="182" t="n">
        <v>0</v>
      </c>
      <c r="AE3074" s="182" t="n">
        <v>0</v>
      </c>
      <c r="AF3074" s="182" t="n">
        <v>0</v>
      </c>
      <c r="AG3074" s="182" t="n">
        <v>0</v>
      </c>
      <c r="AH3074" s="182" t="n">
        <v>0.88</v>
      </c>
      <c r="AI3074" s="182" t="n">
        <v>0</v>
      </c>
      <c r="AJ3074" s="182" t="n">
        <v>0</v>
      </c>
      <c r="AK3074" s="182" t="n">
        <v>0</v>
      </c>
      <c r="AL3074" s="182" t="n">
        <v>0</v>
      </c>
      <c r="AM3074" s="182" t="n">
        <v>0.1</v>
      </c>
      <c r="AN3074" s="182" t="n">
        <v>0</v>
      </c>
    </row>
    <row r="3075">
      <c r="A3075" s="155" t="n">
        <v>46095</v>
      </c>
      <c r="B3075" s="156" t="inlineStr">
        <is>
          <t>NS</t>
        </is>
      </c>
      <c r="C3075" s="156" t="inlineStr">
        <is>
          <t>HD-904</t>
        </is>
      </c>
      <c r="D3075" s="156" t="inlineStr">
        <is>
          <t>SRT 95C</t>
        </is>
      </c>
      <c r="E3075" s="156" t="inlineStr">
        <is>
          <t>Hauler</t>
        </is>
      </c>
      <c r="F3075" s="156" t="inlineStr">
        <is>
          <t>Hauling OB</t>
        </is>
      </c>
      <c r="G3075" s="182" t="n">
        <v>0.5</v>
      </c>
      <c r="H3075" s="182" t="n">
        <v>0</v>
      </c>
      <c r="I3075" s="182" t="n">
        <v>4.1</v>
      </c>
      <c r="J3075" s="182" t="n">
        <v>4.1</v>
      </c>
      <c r="K3075" s="182" t="n">
        <v>7.4</v>
      </c>
      <c r="L3075" s="182" t="n">
        <v>12</v>
      </c>
      <c r="M3075" s="182" t="n">
        <v>0.5</v>
      </c>
      <c r="N3075" s="182" t="n">
        <v>0</v>
      </c>
      <c r="O3075" s="183" t="n">
        <v>1</v>
      </c>
      <c r="P3075" s="183" t="n">
        <v>0</v>
      </c>
      <c r="Q3075" s="184" t="n">
        <v>35.7</v>
      </c>
      <c r="R3075" s="184" t="n">
        <v>0</v>
      </c>
      <c r="S3075" s="183" t="n">
        <v>0</v>
      </c>
      <c r="T3075" s="183" t="n">
        <v>0</v>
      </c>
      <c r="U3075" s="182" t="n">
        <v>0</v>
      </c>
      <c r="V3075" s="182" t="n">
        <v>0</v>
      </c>
      <c r="W3075" s="182" t="n">
        <v>0</v>
      </c>
      <c r="X3075" s="182" t="n">
        <v>1</v>
      </c>
      <c r="Y3075" s="182" t="n">
        <v>0</v>
      </c>
      <c r="Z3075" s="182" t="n">
        <v>0.1</v>
      </c>
      <c r="AA3075" s="182" t="n">
        <v>0</v>
      </c>
      <c r="AB3075" s="182" t="n">
        <v>0</v>
      </c>
      <c r="AC3075" s="182" t="n">
        <v>0</v>
      </c>
      <c r="AD3075" s="182" t="n">
        <v>0</v>
      </c>
      <c r="AE3075" s="182" t="n">
        <v>6.22</v>
      </c>
      <c r="AF3075" s="182" t="n">
        <v>0</v>
      </c>
      <c r="AG3075" s="182" t="n">
        <v>0</v>
      </c>
      <c r="AH3075" s="182" t="n">
        <v>0</v>
      </c>
      <c r="AI3075" s="182" t="n">
        <v>0</v>
      </c>
      <c r="AJ3075" s="182" t="n">
        <v>0</v>
      </c>
      <c r="AK3075" s="182" t="n">
        <v>0</v>
      </c>
      <c r="AL3075" s="182" t="n">
        <v>0</v>
      </c>
      <c r="AM3075" s="182" t="n">
        <v>0.08</v>
      </c>
      <c r="AN3075" s="182" t="n">
        <v>0</v>
      </c>
    </row>
    <row r="3076">
      <c r="A3076" s="155" t="n">
        <v>46095</v>
      </c>
      <c r="B3076" s="156" t="inlineStr">
        <is>
          <t>NS</t>
        </is>
      </c>
      <c r="C3076" s="156" t="inlineStr">
        <is>
          <t>HD-902</t>
        </is>
      </c>
      <c r="D3076" s="156" t="inlineStr">
        <is>
          <t>SRT 95C</t>
        </is>
      </c>
      <c r="E3076" s="156" t="inlineStr">
        <is>
          <t>Hauler</t>
        </is>
      </c>
      <c r="F3076" s="156" t="inlineStr">
        <is>
          <t>Hauling OB</t>
        </is>
      </c>
      <c r="G3076" s="182" t="n">
        <v>10.81</v>
      </c>
      <c r="H3076" s="182" t="n">
        <v>0</v>
      </c>
      <c r="I3076" s="182" t="n">
        <v>0</v>
      </c>
      <c r="J3076" s="182" t="n">
        <v>0</v>
      </c>
      <c r="K3076" s="182" t="n">
        <v>1.19</v>
      </c>
      <c r="L3076" s="182" t="n">
        <v>12</v>
      </c>
      <c r="M3076" s="182" t="n">
        <v>10.81</v>
      </c>
      <c r="N3076" s="182" t="n">
        <v>0</v>
      </c>
      <c r="O3076" s="183" t="n">
        <v>41</v>
      </c>
      <c r="P3076" s="183" t="n">
        <v>0</v>
      </c>
      <c r="Q3076" s="184" t="n">
        <v>1463.7</v>
      </c>
      <c r="R3076" s="184" t="n">
        <v>0</v>
      </c>
      <c r="S3076" s="183" t="n">
        <v>0</v>
      </c>
      <c r="T3076" s="183" t="n">
        <v>0</v>
      </c>
      <c r="U3076" s="182" t="n">
        <v>0</v>
      </c>
      <c r="V3076" s="182" t="n">
        <v>0</v>
      </c>
      <c r="W3076" s="182" t="n">
        <v>0</v>
      </c>
      <c r="X3076" s="182" t="n">
        <v>0.99</v>
      </c>
      <c r="Y3076" s="182" t="n">
        <v>0</v>
      </c>
      <c r="Z3076" s="182" t="n">
        <v>0.1</v>
      </c>
      <c r="AA3076" s="182" t="n">
        <v>0</v>
      </c>
      <c r="AB3076" s="182" t="n">
        <v>0</v>
      </c>
      <c r="AC3076" s="182" t="n">
        <v>0</v>
      </c>
      <c r="AD3076" s="182" t="n">
        <v>0</v>
      </c>
      <c r="AE3076" s="182" t="n">
        <v>0</v>
      </c>
      <c r="AF3076" s="182" t="n">
        <v>0</v>
      </c>
      <c r="AG3076" s="182" t="n">
        <v>0</v>
      </c>
      <c r="AH3076" s="182" t="n">
        <v>0.02</v>
      </c>
      <c r="AI3076" s="182" t="n">
        <v>0</v>
      </c>
      <c r="AJ3076" s="182" t="n">
        <v>0</v>
      </c>
      <c r="AK3076" s="182" t="n">
        <v>0</v>
      </c>
      <c r="AL3076" s="182" t="n">
        <v>0</v>
      </c>
      <c r="AM3076" s="182" t="n">
        <v>0.08</v>
      </c>
      <c r="AN3076" s="182" t="n">
        <v>0</v>
      </c>
    </row>
    <row r="3077">
      <c r="A3077" s="155" t="n">
        <v>46095</v>
      </c>
      <c r="B3077" s="156" t="inlineStr">
        <is>
          <t>NS</t>
        </is>
      </c>
      <c r="C3077" s="156" t="inlineStr">
        <is>
          <t>WL-025</t>
        </is>
      </c>
      <c r="D3077" s="156" t="inlineStr">
        <is>
          <t>SANY - Loader</t>
        </is>
      </c>
      <c r="E3077" s="156" t="inlineStr">
        <is>
          <t>Loader</t>
        </is>
      </c>
      <c r="F3077" s="156" t="inlineStr"/>
      <c r="G3077" s="182" t="n">
        <v>0</v>
      </c>
      <c r="H3077" s="182" t="n">
        <v>0</v>
      </c>
      <c r="I3077" s="182" t="n">
        <v>0</v>
      </c>
      <c r="J3077" s="182" t="n">
        <v>0</v>
      </c>
      <c r="K3077" s="182" t="n">
        <v>12</v>
      </c>
      <c r="L3077" s="182" t="n">
        <v>12</v>
      </c>
      <c r="M3077" s="182" t="n">
        <v>0</v>
      </c>
      <c r="N3077" s="182" t="n">
        <v>0</v>
      </c>
      <c r="O3077" s="183" t="n">
        <v>0</v>
      </c>
      <c r="P3077" s="183" t="n">
        <v>0</v>
      </c>
      <c r="Q3077" s="184" t="n">
        <v>0</v>
      </c>
      <c r="R3077" s="184" t="n">
        <v>0</v>
      </c>
      <c r="S3077" s="183" t="n">
        <v>0</v>
      </c>
      <c r="T3077" s="183" t="n">
        <v>0</v>
      </c>
      <c r="U3077" s="182" t="n">
        <v>0</v>
      </c>
      <c r="V3077" s="182" t="n">
        <v>0</v>
      </c>
      <c r="W3077" s="182" t="n">
        <v>0</v>
      </c>
      <c r="X3077" s="182" t="n">
        <v>1</v>
      </c>
      <c r="Y3077" s="182" t="n">
        <v>0</v>
      </c>
      <c r="Z3077" s="182" t="n">
        <v>0</v>
      </c>
      <c r="AA3077" s="182" t="n">
        <v>0</v>
      </c>
      <c r="AB3077" s="182" t="n">
        <v>0</v>
      </c>
      <c r="AC3077" s="182" t="n">
        <v>0</v>
      </c>
      <c r="AD3077" s="182" t="n">
        <v>0</v>
      </c>
      <c r="AE3077" s="182" t="n">
        <v>0</v>
      </c>
      <c r="AF3077" s="182" t="n">
        <v>0</v>
      </c>
      <c r="AG3077" s="182" t="n">
        <v>0</v>
      </c>
      <c r="AH3077" s="182" t="n">
        <v>0</v>
      </c>
      <c r="AI3077" s="182" t="n">
        <v>0</v>
      </c>
      <c r="AJ3077" s="182" t="n">
        <v>0</v>
      </c>
      <c r="AK3077" s="182" t="n">
        <v>10.92</v>
      </c>
      <c r="AL3077" s="182" t="n">
        <v>0</v>
      </c>
      <c r="AM3077" s="182" t="n">
        <v>0.08</v>
      </c>
      <c r="AN3077" s="182" t="n">
        <v>0</v>
      </c>
    </row>
    <row r="3078">
      <c r="A3078" s="155" t="n">
        <v>46095</v>
      </c>
      <c r="B3078" s="156" t="inlineStr">
        <is>
          <t>NS</t>
        </is>
      </c>
      <c r="C3078" s="156" t="inlineStr">
        <is>
          <t>WL-023</t>
        </is>
      </c>
      <c r="D3078" s="156" t="inlineStr">
        <is>
          <t>SANY - Loader</t>
        </is>
      </c>
      <c r="E3078" s="156" t="inlineStr">
        <is>
          <t>Loader</t>
        </is>
      </c>
      <c r="F3078" s="156" t="inlineStr"/>
      <c r="G3078" s="182" t="n">
        <v>0</v>
      </c>
      <c r="H3078" s="182" t="n">
        <v>0</v>
      </c>
      <c r="I3078" s="182" t="n">
        <v>0</v>
      </c>
      <c r="J3078" s="182" t="n">
        <v>0</v>
      </c>
      <c r="K3078" s="182" t="n">
        <v>12</v>
      </c>
      <c r="L3078" s="182" t="n">
        <v>12</v>
      </c>
      <c r="M3078" s="182" t="n">
        <v>0</v>
      </c>
      <c r="N3078" s="182" t="n">
        <v>0</v>
      </c>
      <c r="O3078" s="183" t="n">
        <v>0</v>
      </c>
      <c r="P3078" s="183" t="n">
        <v>0</v>
      </c>
      <c r="Q3078" s="184" t="n">
        <v>0</v>
      </c>
      <c r="R3078" s="184" t="n">
        <v>0</v>
      </c>
      <c r="S3078" s="183" t="n">
        <v>0</v>
      </c>
      <c r="T3078" s="183" t="n">
        <v>0</v>
      </c>
      <c r="U3078" s="182" t="n">
        <v>0</v>
      </c>
      <c r="V3078" s="182" t="n">
        <v>0</v>
      </c>
      <c r="W3078" s="182" t="n">
        <v>0</v>
      </c>
      <c r="X3078" s="182" t="n">
        <v>1</v>
      </c>
      <c r="Y3078" s="182" t="n">
        <v>0</v>
      </c>
      <c r="Z3078" s="182" t="n">
        <v>0</v>
      </c>
      <c r="AA3078" s="182" t="n">
        <v>0</v>
      </c>
      <c r="AB3078" s="182" t="n">
        <v>0</v>
      </c>
      <c r="AC3078" s="182" t="n">
        <v>0</v>
      </c>
      <c r="AD3078" s="182" t="n">
        <v>0</v>
      </c>
      <c r="AE3078" s="182" t="n">
        <v>0</v>
      </c>
      <c r="AF3078" s="182" t="n">
        <v>0</v>
      </c>
      <c r="AG3078" s="182" t="n">
        <v>0</v>
      </c>
      <c r="AH3078" s="182" t="n">
        <v>0</v>
      </c>
      <c r="AI3078" s="182" t="n">
        <v>0</v>
      </c>
      <c r="AJ3078" s="182" t="n">
        <v>0</v>
      </c>
      <c r="AK3078" s="182" t="n">
        <v>10.92</v>
      </c>
      <c r="AL3078" s="182" t="n">
        <v>0</v>
      </c>
      <c r="AM3078" s="182" t="n">
        <v>0.08</v>
      </c>
      <c r="AN3078" s="182" t="n">
        <v>0</v>
      </c>
    </row>
    <row r="3079">
      <c r="A3079" s="155" t="n">
        <v>46095</v>
      </c>
      <c r="B3079" s="156" t="inlineStr">
        <is>
          <t>NS</t>
        </is>
      </c>
      <c r="C3079" s="156" t="inlineStr">
        <is>
          <t>WL-021</t>
        </is>
      </c>
      <c r="D3079" s="156" t="inlineStr">
        <is>
          <t>SANY - Loader</t>
        </is>
      </c>
      <c r="E3079" s="156" t="inlineStr">
        <is>
          <t>Loader</t>
        </is>
      </c>
      <c r="F3079" s="156" t="inlineStr"/>
      <c r="G3079" s="182" t="n">
        <v>0</v>
      </c>
      <c r="H3079" s="182" t="n">
        <v>0</v>
      </c>
      <c r="I3079" s="182" t="n">
        <v>12</v>
      </c>
      <c r="J3079" s="182" t="n">
        <v>12</v>
      </c>
      <c r="K3079" s="182" t="n">
        <v>0</v>
      </c>
      <c r="L3079" s="182" t="n">
        <v>12</v>
      </c>
      <c r="M3079" s="182" t="n">
        <v>0</v>
      </c>
      <c r="N3079" s="182" t="n">
        <v>0</v>
      </c>
      <c r="O3079" s="183" t="n">
        <v>0</v>
      </c>
      <c r="P3079" s="183" t="n">
        <v>0</v>
      </c>
      <c r="Q3079" s="184" t="n">
        <v>0</v>
      </c>
      <c r="R3079" s="184" t="n">
        <v>0</v>
      </c>
      <c r="S3079" s="183" t="n">
        <v>0</v>
      </c>
      <c r="T3079" s="183" t="n">
        <v>0</v>
      </c>
      <c r="U3079" s="182" t="n">
        <v>0</v>
      </c>
      <c r="V3079" s="182" t="n">
        <v>0</v>
      </c>
      <c r="W3079" s="182" t="n">
        <v>0</v>
      </c>
      <c r="X3079" s="182" t="n">
        <v>0</v>
      </c>
      <c r="Y3079" s="182" t="n">
        <v>0</v>
      </c>
      <c r="Z3079" s="182" t="n">
        <v>0</v>
      </c>
      <c r="AA3079" s="182" t="n">
        <v>0</v>
      </c>
      <c r="AB3079" s="182" t="n">
        <v>0</v>
      </c>
      <c r="AC3079" s="182" t="n">
        <v>0</v>
      </c>
      <c r="AD3079" s="182" t="n">
        <v>0</v>
      </c>
      <c r="AE3079" s="182" t="n">
        <v>0</v>
      </c>
      <c r="AF3079" s="182" t="n">
        <v>0</v>
      </c>
      <c r="AG3079" s="182" t="n">
        <v>0</v>
      </c>
      <c r="AH3079" s="182" t="n">
        <v>0</v>
      </c>
      <c r="AI3079" s="182" t="n">
        <v>0</v>
      </c>
      <c r="AJ3079" s="182" t="n">
        <v>0</v>
      </c>
      <c r="AK3079" s="182" t="n">
        <v>0</v>
      </c>
      <c r="AL3079" s="182" t="n">
        <v>0</v>
      </c>
      <c r="AM3079" s="182" t="n">
        <v>0</v>
      </c>
      <c r="AN3079" s="182" t="n">
        <v>0</v>
      </c>
    </row>
    <row r="3080">
      <c r="A3080" s="155" t="n">
        <v>46095</v>
      </c>
      <c r="B3080" s="156" t="inlineStr">
        <is>
          <t>NS</t>
        </is>
      </c>
      <c r="C3080" s="156" t="inlineStr">
        <is>
          <t>WL-022</t>
        </is>
      </c>
      <c r="D3080" s="156" t="inlineStr">
        <is>
          <t>SANY - Loader</t>
        </is>
      </c>
      <c r="E3080" s="156" t="inlineStr">
        <is>
          <t>Loader</t>
        </is>
      </c>
      <c r="F3080" s="156" t="inlineStr">
        <is>
          <t>Rehandling Dirty</t>
        </is>
      </c>
      <c r="G3080" s="182" t="n">
        <v>10.43</v>
      </c>
      <c r="H3080" s="182" t="n">
        <v>0</v>
      </c>
      <c r="I3080" s="182" t="n">
        <v>0.17</v>
      </c>
      <c r="J3080" s="182" t="n">
        <v>0.17</v>
      </c>
      <c r="K3080" s="182" t="n">
        <v>1.4</v>
      </c>
      <c r="L3080" s="182" t="n">
        <v>12</v>
      </c>
      <c r="M3080" s="182" t="n">
        <v>0</v>
      </c>
      <c r="N3080" s="182" t="n">
        <v>0</v>
      </c>
      <c r="O3080" s="183" t="n">
        <v>0</v>
      </c>
      <c r="P3080" s="183" t="n">
        <v>0</v>
      </c>
      <c r="Q3080" s="184" t="n">
        <v>0</v>
      </c>
      <c r="R3080" s="184" t="n">
        <v>0</v>
      </c>
      <c r="S3080" s="183" t="n">
        <v>0</v>
      </c>
      <c r="T3080" s="183" t="n">
        <v>0</v>
      </c>
      <c r="U3080" s="182" t="n">
        <v>0</v>
      </c>
      <c r="V3080" s="182" t="n">
        <v>0</v>
      </c>
      <c r="W3080" s="182" t="n">
        <v>0</v>
      </c>
      <c r="X3080" s="182" t="n">
        <v>0.98</v>
      </c>
      <c r="Y3080" s="182" t="n">
        <v>0</v>
      </c>
      <c r="Z3080" s="182" t="n">
        <v>0</v>
      </c>
      <c r="AA3080" s="182" t="n">
        <v>0</v>
      </c>
      <c r="AB3080" s="182" t="n">
        <v>0</v>
      </c>
      <c r="AC3080" s="182" t="n">
        <v>0</v>
      </c>
      <c r="AD3080" s="182" t="n">
        <v>0</v>
      </c>
      <c r="AE3080" s="182" t="n">
        <v>0</v>
      </c>
      <c r="AF3080" s="182" t="n">
        <v>0</v>
      </c>
      <c r="AG3080" s="182" t="n">
        <v>0</v>
      </c>
      <c r="AH3080" s="182" t="n">
        <v>0</v>
      </c>
      <c r="AI3080" s="182" t="n">
        <v>0</v>
      </c>
      <c r="AJ3080" s="182" t="n">
        <v>0</v>
      </c>
      <c r="AK3080" s="182" t="n">
        <v>0.34</v>
      </c>
      <c r="AL3080" s="182" t="n">
        <v>0</v>
      </c>
      <c r="AM3080" s="182" t="n">
        <v>0.08</v>
      </c>
      <c r="AN3080" s="182" t="n">
        <v>0</v>
      </c>
    </row>
    <row r="3081">
      <c r="A3081" s="155" t="n">
        <v>46095</v>
      </c>
      <c r="B3081" s="156" t="inlineStr">
        <is>
          <t>NS</t>
        </is>
      </c>
      <c r="C3081" s="156" t="inlineStr">
        <is>
          <t>WL-024</t>
        </is>
      </c>
      <c r="D3081" s="156" t="inlineStr">
        <is>
          <t>SANY - Loader</t>
        </is>
      </c>
      <c r="E3081" s="156" t="inlineStr">
        <is>
          <t>Loader</t>
        </is>
      </c>
      <c r="F3081" s="156" t="inlineStr">
        <is>
          <t>Produksi Washing Plant</t>
        </is>
      </c>
      <c r="G3081" s="182" t="n">
        <v>11.63</v>
      </c>
      <c r="H3081" s="182" t="n">
        <v>0</v>
      </c>
      <c r="I3081" s="182" t="n">
        <v>0</v>
      </c>
      <c r="J3081" s="182" t="n">
        <v>0</v>
      </c>
      <c r="K3081" s="182" t="n">
        <v>0.37</v>
      </c>
      <c r="L3081" s="182" t="n">
        <v>12</v>
      </c>
      <c r="M3081" s="182" t="n">
        <v>0</v>
      </c>
      <c r="N3081" s="182" t="n">
        <v>0</v>
      </c>
      <c r="O3081" s="183" t="n">
        <v>0</v>
      </c>
      <c r="P3081" s="183" t="n">
        <v>0</v>
      </c>
      <c r="Q3081" s="184" t="n">
        <v>0</v>
      </c>
      <c r="R3081" s="184" t="n">
        <v>0</v>
      </c>
      <c r="S3081" s="183" t="n">
        <v>0</v>
      </c>
      <c r="T3081" s="183" t="n">
        <v>0</v>
      </c>
      <c r="U3081" s="182" t="n">
        <v>0</v>
      </c>
      <c r="V3081" s="182" t="n">
        <v>0</v>
      </c>
      <c r="W3081" s="182" t="n">
        <v>0</v>
      </c>
      <c r="X3081" s="182" t="n">
        <v>0</v>
      </c>
      <c r="Y3081" s="182" t="n">
        <v>0</v>
      </c>
      <c r="Z3081" s="182" t="n">
        <v>0</v>
      </c>
      <c r="AA3081" s="182" t="n">
        <v>0</v>
      </c>
      <c r="AB3081" s="182" t="n">
        <v>0</v>
      </c>
      <c r="AC3081" s="182" t="n">
        <v>0</v>
      </c>
      <c r="AD3081" s="182" t="n">
        <v>0</v>
      </c>
      <c r="AE3081" s="182" t="n">
        <v>0</v>
      </c>
      <c r="AF3081" s="182" t="n">
        <v>0</v>
      </c>
      <c r="AG3081" s="182" t="n">
        <v>0</v>
      </c>
      <c r="AH3081" s="182" t="n">
        <v>0</v>
      </c>
      <c r="AI3081" s="182" t="n">
        <v>0</v>
      </c>
      <c r="AJ3081" s="182" t="n">
        <v>0</v>
      </c>
      <c r="AK3081" s="182" t="n">
        <v>0</v>
      </c>
      <c r="AL3081" s="182" t="n">
        <v>0</v>
      </c>
      <c r="AM3081" s="182" t="n">
        <v>0</v>
      </c>
      <c r="AN3081" s="182" t="n">
        <v>0</v>
      </c>
    </row>
    <row r="3082">
      <c r="A3082" s="155" t="n">
        <v>46096</v>
      </c>
      <c r="B3082" s="156" t="inlineStr">
        <is>
          <t>DS</t>
        </is>
      </c>
      <c r="C3082" s="156" t="inlineStr">
        <is>
          <t>DZ-034</t>
        </is>
      </c>
      <c r="D3082" s="156" t="inlineStr">
        <is>
          <t>D 68ESS-12EO</t>
        </is>
      </c>
      <c r="E3082" s="156" t="inlineStr">
        <is>
          <t>Bulldozer</t>
        </is>
      </c>
      <c r="F3082" s="156" t="inlineStr">
        <is>
          <t>Dozing Stock ROM Dirty</t>
        </is>
      </c>
      <c r="G3082" s="182" t="n">
        <v>9.949999999999999</v>
      </c>
      <c r="H3082" s="182" t="n">
        <v>0</v>
      </c>
      <c r="I3082" s="182" t="n">
        <v>0</v>
      </c>
      <c r="J3082" s="182" t="n">
        <v>0</v>
      </c>
      <c r="K3082" s="182" t="n">
        <v>2.05</v>
      </c>
      <c r="L3082" s="182" t="n">
        <v>12</v>
      </c>
      <c r="M3082" s="182" t="n">
        <v>0</v>
      </c>
      <c r="N3082" s="182" t="n">
        <v>0</v>
      </c>
      <c r="O3082" s="183" t="n">
        <v>0</v>
      </c>
      <c r="P3082" s="183" t="n">
        <v>0</v>
      </c>
      <c r="Q3082" s="184" t="n">
        <v>0</v>
      </c>
      <c r="R3082" s="184" t="n">
        <v>0</v>
      </c>
      <c r="S3082" s="183" t="n">
        <v>0</v>
      </c>
      <c r="T3082" s="183" t="n">
        <v>0</v>
      </c>
      <c r="U3082" s="182" t="n">
        <v>1</v>
      </c>
      <c r="V3082" s="182" t="n">
        <v>0</v>
      </c>
      <c r="W3082" s="182" t="n">
        <v>0</v>
      </c>
      <c r="X3082" s="182" t="n">
        <v>0.98</v>
      </c>
      <c r="Y3082" s="182" t="n">
        <v>0</v>
      </c>
      <c r="Z3082" s="182" t="n">
        <v>0</v>
      </c>
      <c r="AA3082" s="182" t="n">
        <v>0</v>
      </c>
      <c r="AB3082" s="182" t="n">
        <v>0</v>
      </c>
      <c r="AC3082" s="182" t="n">
        <v>0</v>
      </c>
      <c r="AD3082" s="182" t="n">
        <v>0</v>
      </c>
      <c r="AE3082" s="182" t="n">
        <v>0</v>
      </c>
      <c r="AF3082" s="182" t="n">
        <v>0</v>
      </c>
      <c r="AG3082" s="182" t="n">
        <v>0</v>
      </c>
      <c r="AH3082" s="182" t="n">
        <v>0</v>
      </c>
      <c r="AI3082" s="182" t="n">
        <v>0</v>
      </c>
      <c r="AJ3082" s="182" t="n">
        <v>0</v>
      </c>
      <c r="AK3082" s="182" t="n">
        <v>0</v>
      </c>
      <c r="AL3082" s="182" t="n">
        <v>0</v>
      </c>
      <c r="AM3082" s="182" t="n">
        <v>0.08</v>
      </c>
      <c r="AN3082" s="182" t="n">
        <v>0</v>
      </c>
    </row>
    <row r="3083">
      <c r="A3083" s="155" t="n">
        <v>46096</v>
      </c>
      <c r="B3083" s="156" t="inlineStr">
        <is>
          <t>DS</t>
        </is>
      </c>
      <c r="C3083" s="156" t="inlineStr">
        <is>
          <t>DZ-033</t>
        </is>
      </c>
      <c r="D3083" s="156" t="inlineStr">
        <is>
          <t>D 375A-6R</t>
        </is>
      </c>
      <c r="E3083" s="156" t="inlineStr">
        <is>
          <t>Bulldozer</t>
        </is>
      </c>
      <c r="F3083" s="156" t="inlineStr">
        <is>
          <t>Support Disposal</t>
        </is>
      </c>
      <c r="G3083" s="182" t="n">
        <v>3.16</v>
      </c>
      <c r="H3083" s="182" t="n">
        <v>0</v>
      </c>
      <c r="I3083" s="182" t="n">
        <v>0.5</v>
      </c>
      <c r="J3083" s="182" t="n">
        <v>0.5</v>
      </c>
      <c r="K3083" s="182" t="n">
        <v>8.34</v>
      </c>
      <c r="L3083" s="182" t="n">
        <v>12</v>
      </c>
      <c r="M3083" s="182" t="n">
        <v>0</v>
      </c>
      <c r="N3083" s="182" t="n">
        <v>0</v>
      </c>
      <c r="O3083" s="183" t="n">
        <v>0</v>
      </c>
      <c r="P3083" s="183" t="n">
        <v>0</v>
      </c>
      <c r="Q3083" s="184" t="n">
        <v>0</v>
      </c>
      <c r="R3083" s="184" t="n">
        <v>0</v>
      </c>
      <c r="S3083" s="183" t="n">
        <v>0</v>
      </c>
      <c r="T3083" s="183" t="n">
        <v>0</v>
      </c>
      <c r="U3083" s="182" t="n">
        <v>1.4</v>
      </c>
      <c r="V3083" s="182" t="n">
        <v>0</v>
      </c>
      <c r="W3083" s="182" t="n">
        <v>0</v>
      </c>
      <c r="X3083" s="182" t="n">
        <v>0.98</v>
      </c>
      <c r="Y3083" s="182" t="n">
        <v>0</v>
      </c>
      <c r="Z3083" s="182" t="n">
        <v>0.07000000000000001</v>
      </c>
      <c r="AA3083" s="182" t="n">
        <v>0</v>
      </c>
      <c r="AB3083" s="182" t="n">
        <v>0</v>
      </c>
      <c r="AC3083" s="182" t="n">
        <v>0</v>
      </c>
      <c r="AD3083" s="182" t="n">
        <v>0</v>
      </c>
      <c r="AE3083" s="182" t="n">
        <v>0</v>
      </c>
      <c r="AF3083" s="182" t="n">
        <v>0</v>
      </c>
      <c r="AG3083" s="182" t="n">
        <v>0</v>
      </c>
      <c r="AH3083" s="182" t="n">
        <v>0</v>
      </c>
      <c r="AI3083" s="182" t="n">
        <v>0</v>
      </c>
      <c r="AJ3083" s="182" t="n">
        <v>0</v>
      </c>
      <c r="AK3083" s="182" t="n">
        <v>5.81</v>
      </c>
      <c r="AL3083" s="182" t="n">
        <v>0</v>
      </c>
      <c r="AM3083" s="182" t="n">
        <v>0.08</v>
      </c>
      <c r="AN3083" s="182" t="n">
        <v>0</v>
      </c>
    </row>
    <row r="3084">
      <c r="A3084" s="155" t="n">
        <v>46096</v>
      </c>
      <c r="B3084" s="156" t="inlineStr">
        <is>
          <t>DS</t>
        </is>
      </c>
      <c r="C3084" s="156" t="inlineStr">
        <is>
          <t>DZ-038</t>
        </is>
      </c>
      <c r="D3084" s="156" t="inlineStr">
        <is>
          <t>D 85 ESS-2</t>
        </is>
      </c>
      <c r="E3084" s="156" t="inlineStr">
        <is>
          <t>Bulldozer</t>
        </is>
      </c>
      <c r="F3084" s="156" t="inlineStr"/>
      <c r="G3084" s="182" t="n">
        <v>0</v>
      </c>
      <c r="H3084" s="182" t="n">
        <v>0</v>
      </c>
      <c r="I3084" s="182" t="n">
        <v>12</v>
      </c>
      <c r="J3084" s="182" t="n">
        <v>12</v>
      </c>
      <c r="K3084" s="182" t="n">
        <v>0</v>
      </c>
      <c r="L3084" s="182" t="n">
        <v>12</v>
      </c>
      <c r="M3084" s="182" t="n">
        <v>0</v>
      </c>
      <c r="N3084" s="182" t="n">
        <v>0</v>
      </c>
      <c r="O3084" s="183" t="n">
        <v>0</v>
      </c>
      <c r="P3084" s="183" t="n">
        <v>0</v>
      </c>
      <c r="Q3084" s="184" t="n">
        <v>0</v>
      </c>
      <c r="R3084" s="184" t="n">
        <v>0</v>
      </c>
      <c r="S3084" s="183" t="n">
        <v>0</v>
      </c>
      <c r="T3084" s="183" t="n">
        <v>0</v>
      </c>
      <c r="U3084" s="182" t="n">
        <v>0</v>
      </c>
      <c r="V3084" s="182" t="n">
        <v>0</v>
      </c>
      <c r="W3084" s="182" t="n">
        <v>0</v>
      </c>
      <c r="X3084" s="182" t="n">
        <v>0</v>
      </c>
      <c r="Y3084" s="182" t="n">
        <v>0</v>
      </c>
      <c r="Z3084" s="182" t="n">
        <v>0</v>
      </c>
      <c r="AA3084" s="182" t="n">
        <v>0</v>
      </c>
      <c r="AB3084" s="182" t="n">
        <v>0</v>
      </c>
      <c r="AC3084" s="182" t="n">
        <v>0</v>
      </c>
      <c r="AD3084" s="182" t="n">
        <v>0</v>
      </c>
      <c r="AE3084" s="182" t="n">
        <v>0</v>
      </c>
      <c r="AF3084" s="182" t="n">
        <v>0</v>
      </c>
      <c r="AG3084" s="182" t="n">
        <v>0</v>
      </c>
      <c r="AH3084" s="182" t="n">
        <v>0</v>
      </c>
      <c r="AI3084" s="182" t="n">
        <v>0</v>
      </c>
      <c r="AJ3084" s="182" t="n">
        <v>0</v>
      </c>
      <c r="AK3084" s="182" t="n">
        <v>0</v>
      </c>
      <c r="AL3084" s="182" t="n">
        <v>0</v>
      </c>
      <c r="AM3084" s="182" t="n">
        <v>0</v>
      </c>
      <c r="AN3084" s="182" t="n">
        <v>0</v>
      </c>
    </row>
    <row r="3085">
      <c r="A3085" s="155" t="n">
        <v>46096</v>
      </c>
      <c r="B3085" s="156" t="inlineStr">
        <is>
          <t>DS</t>
        </is>
      </c>
      <c r="C3085" s="156" t="inlineStr">
        <is>
          <t>DZ-039</t>
        </is>
      </c>
      <c r="D3085" s="156" t="inlineStr">
        <is>
          <t>D 85 ESS-2</t>
        </is>
      </c>
      <c r="E3085" s="156" t="inlineStr">
        <is>
          <t>Bulldozer</t>
        </is>
      </c>
      <c r="F3085" s="156" t="inlineStr">
        <is>
          <t>Support Front Loading</t>
        </is>
      </c>
      <c r="G3085" s="182" t="n">
        <v>9.41</v>
      </c>
      <c r="H3085" s="182" t="n">
        <v>0</v>
      </c>
      <c r="I3085" s="182" t="n">
        <v>0</v>
      </c>
      <c r="J3085" s="182" t="n">
        <v>0</v>
      </c>
      <c r="K3085" s="182" t="n">
        <v>2.59</v>
      </c>
      <c r="L3085" s="182" t="n">
        <v>12</v>
      </c>
      <c r="M3085" s="182" t="n">
        <v>0</v>
      </c>
      <c r="N3085" s="182" t="n">
        <v>0</v>
      </c>
      <c r="O3085" s="183" t="n">
        <v>0</v>
      </c>
      <c r="P3085" s="183" t="n">
        <v>0</v>
      </c>
      <c r="Q3085" s="184" t="n">
        <v>0</v>
      </c>
      <c r="R3085" s="184" t="n">
        <v>0</v>
      </c>
      <c r="S3085" s="183" t="n">
        <v>0</v>
      </c>
      <c r="T3085" s="183" t="n">
        <v>0</v>
      </c>
      <c r="U3085" s="182" t="n">
        <v>1.37</v>
      </c>
      <c r="V3085" s="182" t="n">
        <v>0</v>
      </c>
      <c r="W3085" s="182" t="n">
        <v>0</v>
      </c>
      <c r="X3085" s="182" t="n">
        <v>0.96</v>
      </c>
      <c r="Y3085" s="182" t="n">
        <v>0</v>
      </c>
      <c r="Z3085" s="182" t="n">
        <v>0</v>
      </c>
      <c r="AA3085" s="182" t="n">
        <v>0</v>
      </c>
      <c r="AB3085" s="182" t="n">
        <v>0</v>
      </c>
      <c r="AC3085" s="182" t="n">
        <v>0</v>
      </c>
      <c r="AD3085" s="182" t="n">
        <v>0</v>
      </c>
      <c r="AE3085" s="182" t="n">
        <v>0</v>
      </c>
      <c r="AF3085" s="182" t="n">
        <v>0</v>
      </c>
      <c r="AG3085" s="182" t="n">
        <v>0</v>
      </c>
      <c r="AH3085" s="182" t="n">
        <v>0</v>
      </c>
      <c r="AI3085" s="182" t="n">
        <v>0</v>
      </c>
      <c r="AJ3085" s="182" t="n">
        <v>0</v>
      </c>
      <c r="AK3085" s="182" t="n">
        <v>0.18</v>
      </c>
      <c r="AL3085" s="182" t="n">
        <v>0</v>
      </c>
      <c r="AM3085" s="182" t="n">
        <v>0.08</v>
      </c>
      <c r="AN3085" s="182" t="n">
        <v>0</v>
      </c>
    </row>
    <row r="3086">
      <c r="A3086" s="155" t="n">
        <v>46096</v>
      </c>
      <c r="B3086" s="156" t="inlineStr">
        <is>
          <t>DS</t>
        </is>
      </c>
      <c r="C3086" s="156" t="inlineStr">
        <is>
          <t>DZ-032</t>
        </is>
      </c>
      <c r="D3086" s="156" t="inlineStr">
        <is>
          <t>CAT</t>
        </is>
      </c>
      <c r="E3086" s="156" t="inlineStr">
        <is>
          <t>Bulldozer</t>
        </is>
      </c>
      <c r="F3086" s="156" t="inlineStr"/>
      <c r="G3086" s="182" t="n">
        <v>0</v>
      </c>
      <c r="H3086" s="182" t="n">
        <v>0</v>
      </c>
      <c r="I3086" s="182" t="n">
        <v>12</v>
      </c>
      <c r="J3086" s="182" t="n">
        <v>12</v>
      </c>
      <c r="K3086" s="182" t="n">
        <v>0</v>
      </c>
      <c r="L3086" s="182" t="n">
        <v>12</v>
      </c>
      <c r="M3086" s="182" t="n">
        <v>0</v>
      </c>
      <c r="N3086" s="182" t="n">
        <v>0</v>
      </c>
      <c r="O3086" s="183" t="n">
        <v>0</v>
      </c>
      <c r="P3086" s="183" t="n">
        <v>0</v>
      </c>
      <c r="Q3086" s="184" t="n">
        <v>0</v>
      </c>
      <c r="R3086" s="184" t="n">
        <v>0</v>
      </c>
      <c r="S3086" s="183" t="n">
        <v>0</v>
      </c>
      <c r="T3086" s="183" t="n">
        <v>0</v>
      </c>
      <c r="U3086" s="182" t="n">
        <v>0</v>
      </c>
      <c r="V3086" s="182" t="n">
        <v>0</v>
      </c>
      <c r="W3086" s="182" t="n">
        <v>0</v>
      </c>
      <c r="X3086" s="182" t="n">
        <v>0</v>
      </c>
      <c r="Y3086" s="182" t="n">
        <v>0</v>
      </c>
      <c r="Z3086" s="182" t="n">
        <v>0</v>
      </c>
      <c r="AA3086" s="182" t="n">
        <v>0</v>
      </c>
      <c r="AB3086" s="182" t="n">
        <v>0</v>
      </c>
      <c r="AC3086" s="182" t="n">
        <v>0</v>
      </c>
      <c r="AD3086" s="182" t="n">
        <v>0</v>
      </c>
      <c r="AE3086" s="182" t="n">
        <v>0</v>
      </c>
      <c r="AF3086" s="182" t="n">
        <v>0</v>
      </c>
      <c r="AG3086" s="182" t="n">
        <v>0</v>
      </c>
      <c r="AH3086" s="182" t="n">
        <v>0</v>
      </c>
      <c r="AI3086" s="182" t="n">
        <v>0</v>
      </c>
      <c r="AJ3086" s="182" t="n">
        <v>0</v>
      </c>
      <c r="AK3086" s="182" t="n">
        <v>0</v>
      </c>
      <c r="AL3086" s="182" t="n">
        <v>0</v>
      </c>
      <c r="AM3086" s="182" t="n">
        <v>0</v>
      </c>
      <c r="AN3086" s="182" t="n">
        <v>0</v>
      </c>
    </row>
    <row r="3087">
      <c r="A3087" s="155" t="n">
        <v>46096</v>
      </c>
      <c r="B3087" s="156" t="inlineStr">
        <is>
          <t>DS</t>
        </is>
      </c>
      <c r="C3087" s="156" t="inlineStr">
        <is>
          <t>DZ-031</t>
        </is>
      </c>
      <c r="D3087" s="156" t="inlineStr">
        <is>
          <t>CAT</t>
        </is>
      </c>
      <c r="E3087" s="156" t="inlineStr">
        <is>
          <t>Bulldozer</t>
        </is>
      </c>
      <c r="F3087" s="156" t="inlineStr">
        <is>
          <t>Support Front Loading</t>
        </is>
      </c>
      <c r="G3087" s="182" t="n">
        <v>10.66</v>
      </c>
      <c r="H3087" s="182" t="n">
        <v>0</v>
      </c>
      <c r="I3087" s="182" t="n">
        <v>1</v>
      </c>
      <c r="J3087" s="182" t="n">
        <v>1</v>
      </c>
      <c r="K3087" s="182" t="n">
        <v>0.34</v>
      </c>
      <c r="L3087" s="182" t="n">
        <v>12</v>
      </c>
      <c r="M3087" s="182" t="n">
        <v>0</v>
      </c>
      <c r="N3087" s="182" t="n">
        <v>0</v>
      </c>
      <c r="O3087" s="183" t="n">
        <v>0</v>
      </c>
      <c r="P3087" s="183" t="n">
        <v>0</v>
      </c>
      <c r="Q3087" s="184" t="n">
        <v>0</v>
      </c>
      <c r="R3087" s="184" t="n">
        <v>0</v>
      </c>
      <c r="S3087" s="183" t="n">
        <v>0</v>
      </c>
      <c r="T3087" s="183" t="n">
        <v>0</v>
      </c>
      <c r="U3087" s="182" t="n">
        <v>0</v>
      </c>
      <c r="V3087" s="182" t="n">
        <v>0</v>
      </c>
      <c r="W3087" s="182" t="n">
        <v>0</v>
      </c>
      <c r="X3087" s="182" t="n">
        <v>0.31</v>
      </c>
      <c r="Y3087" s="182" t="n">
        <v>0</v>
      </c>
      <c r="Z3087" s="182" t="n">
        <v>0</v>
      </c>
      <c r="AA3087" s="182" t="n">
        <v>0</v>
      </c>
      <c r="AB3087" s="182" t="n">
        <v>0</v>
      </c>
      <c r="AC3087" s="182" t="n">
        <v>0</v>
      </c>
      <c r="AD3087" s="182" t="n">
        <v>0</v>
      </c>
      <c r="AE3087" s="182" t="n">
        <v>0</v>
      </c>
      <c r="AF3087" s="182" t="n">
        <v>0</v>
      </c>
      <c r="AG3087" s="182" t="n">
        <v>0</v>
      </c>
      <c r="AH3087" s="182" t="n">
        <v>0</v>
      </c>
      <c r="AI3087" s="182" t="n">
        <v>0</v>
      </c>
      <c r="AJ3087" s="182" t="n">
        <v>0</v>
      </c>
      <c r="AK3087" s="182" t="n">
        <v>0</v>
      </c>
      <c r="AL3087" s="182" t="n">
        <v>0</v>
      </c>
      <c r="AM3087" s="182" t="n">
        <v>0.03</v>
      </c>
      <c r="AN3087" s="182" t="n">
        <v>0</v>
      </c>
    </row>
    <row r="3088">
      <c r="A3088" s="155" t="n">
        <v>46096</v>
      </c>
      <c r="B3088" s="156" t="inlineStr">
        <is>
          <t>DS</t>
        </is>
      </c>
      <c r="C3088" s="156" t="inlineStr">
        <is>
          <t>DZ-037</t>
        </is>
      </c>
      <c r="D3088" s="156" t="inlineStr">
        <is>
          <t>D 85 ESS-2</t>
        </is>
      </c>
      <c r="E3088" s="156" t="inlineStr">
        <is>
          <t>Bulldozer</t>
        </is>
      </c>
      <c r="F3088" s="156" t="inlineStr"/>
      <c r="G3088" s="182" t="n">
        <v>0</v>
      </c>
      <c r="H3088" s="182" t="n">
        <v>0</v>
      </c>
      <c r="I3088" s="182" t="n">
        <v>12</v>
      </c>
      <c r="J3088" s="182" t="n">
        <v>12</v>
      </c>
      <c r="K3088" s="182" t="n">
        <v>0</v>
      </c>
      <c r="L3088" s="182" t="n">
        <v>12</v>
      </c>
      <c r="M3088" s="182" t="n">
        <v>0</v>
      </c>
      <c r="N3088" s="182" t="n">
        <v>0</v>
      </c>
      <c r="O3088" s="183" t="n">
        <v>0</v>
      </c>
      <c r="P3088" s="183" t="n">
        <v>0</v>
      </c>
      <c r="Q3088" s="184" t="n">
        <v>0</v>
      </c>
      <c r="R3088" s="184" t="n">
        <v>0</v>
      </c>
      <c r="S3088" s="183" t="n">
        <v>0</v>
      </c>
      <c r="T3088" s="183" t="n">
        <v>0</v>
      </c>
      <c r="U3088" s="182" t="n">
        <v>0</v>
      </c>
      <c r="V3088" s="182" t="n">
        <v>0</v>
      </c>
      <c r="W3088" s="182" t="n">
        <v>0</v>
      </c>
      <c r="X3088" s="182" t="n">
        <v>0</v>
      </c>
      <c r="Y3088" s="182" t="n">
        <v>0</v>
      </c>
      <c r="Z3088" s="182" t="n">
        <v>0</v>
      </c>
      <c r="AA3088" s="182" t="n">
        <v>0</v>
      </c>
      <c r="AB3088" s="182" t="n">
        <v>0</v>
      </c>
      <c r="AC3088" s="182" t="n">
        <v>0</v>
      </c>
      <c r="AD3088" s="182" t="n">
        <v>0</v>
      </c>
      <c r="AE3088" s="182" t="n">
        <v>0</v>
      </c>
      <c r="AF3088" s="182" t="n">
        <v>0</v>
      </c>
      <c r="AG3088" s="182" t="n">
        <v>0</v>
      </c>
      <c r="AH3088" s="182" t="n">
        <v>0</v>
      </c>
      <c r="AI3088" s="182" t="n">
        <v>0</v>
      </c>
      <c r="AJ3088" s="182" t="n">
        <v>0</v>
      </c>
      <c r="AK3088" s="182" t="n">
        <v>0</v>
      </c>
      <c r="AL3088" s="182" t="n">
        <v>0</v>
      </c>
      <c r="AM3088" s="182" t="n">
        <v>0</v>
      </c>
      <c r="AN3088" s="182" t="n">
        <v>0</v>
      </c>
    </row>
    <row r="3089">
      <c r="A3089" s="155" t="n">
        <v>46096</v>
      </c>
      <c r="B3089" s="156" t="inlineStr">
        <is>
          <t>DS</t>
        </is>
      </c>
      <c r="C3089" s="156" t="inlineStr">
        <is>
          <t>DZ-036</t>
        </is>
      </c>
      <c r="D3089" s="156" t="inlineStr">
        <is>
          <t>D 85 ESS-2</t>
        </is>
      </c>
      <c r="E3089" s="156" t="inlineStr">
        <is>
          <t>Bulldozer</t>
        </is>
      </c>
      <c r="F3089" s="156" t="inlineStr"/>
      <c r="G3089" s="182" t="n">
        <v>0</v>
      </c>
      <c r="H3089" s="182" t="n">
        <v>0</v>
      </c>
      <c r="I3089" s="182" t="n">
        <v>0</v>
      </c>
      <c r="J3089" s="182" t="n">
        <v>0</v>
      </c>
      <c r="K3089" s="182" t="n">
        <v>12</v>
      </c>
      <c r="L3089" s="182" t="n">
        <v>12</v>
      </c>
      <c r="M3089" s="182" t="n">
        <v>0</v>
      </c>
      <c r="N3089" s="182" t="n">
        <v>0</v>
      </c>
      <c r="O3089" s="183" t="n">
        <v>0</v>
      </c>
      <c r="P3089" s="183" t="n">
        <v>0</v>
      </c>
      <c r="Q3089" s="184" t="n">
        <v>0</v>
      </c>
      <c r="R3089" s="184" t="n">
        <v>0</v>
      </c>
      <c r="S3089" s="183" t="n">
        <v>0</v>
      </c>
      <c r="T3089" s="183" t="n">
        <v>0</v>
      </c>
      <c r="U3089" s="182" t="n">
        <v>0</v>
      </c>
      <c r="V3089" s="182" t="n">
        <v>0</v>
      </c>
      <c r="W3089" s="182" t="n">
        <v>0</v>
      </c>
      <c r="X3089" s="182" t="n">
        <v>1</v>
      </c>
      <c r="Y3089" s="182" t="n">
        <v>0</v>
      </c>
      <c r="Z3089" s="182" t="n">
        <v>0</v>
      </c>
      <c r="AA3089" s="182" t="n">
        <v>0</v>
      </c>
      <c r="AB3089" s="182" t="n">
        <v>0</v>
      </c>
      <c r="AC3089" s="182" t="n">
        <v>0</v>
      </c>
      <c r="AD3089" s="182" t="n">
        <v>0</v>
      </c>
      <c r="AE3089" s="182" t="n">
        <v>0</v>
      </c>
      <c r="AF3089" s="182" t="n">
        <v>0</v>
      </c>
      <c r="AG3089" s="182" t="n">
        <v>0</v>
      </c>
      <c r="AH3089" s="182" t="n">
        <v>0</v>
      </c>
      <c r="AI3089" s="182" t="n">
        <v>0</v>
      </c>
      <c r="AJ3089" s="182" t="n">
        <v>0</v>
      </c>
      <c r="AK3089" s="182" t="n">
        <v>10.92</v>
      </c>
      <c r="AL3089" s="182" t="n">
        <v>0</v>
      </c>
      <c r="AM3089" s="182" t="n">
        <v>0.08</v>
      </c>
      <c r="AN3089" s="182" t="n">
        <v>0</v>
      </c>
    </row>
    <row r="3090">
      <c r="A3090" s="155" t="n">
        <v>46096</v>
      </c>
      <c r="B3090" s="156" t="inlineStr">
        <is>
          <t>DS</t>
        </is>
      </c>
      <c r="C3090" s="156" t="inlineStr">
        <is>
          <t>DZ-035</t>
        </is>
      </c>
      <c r="D3090" s="156" t="inlineStr">
        <is>
          <t>D 85 ESS-2</t>
        </is>
      </c>
      <c r="E3090" s="156" t="inlineStr">
        <is>
          <t>Bulldozer</t>
        </is>
      </c>
      <c r="F3090" s="156" t="inlineStr">
        <is>
          <t>Support Disposal</t>
        </is>
      </c>
      <c r="G3090" s="182" t="n">
        <v>4.65</v>
      </c>
      <c r="H3090" s="182" t="n">
        <v>5.33</v>
      </c>
      <c r="I3090" s="182" t="n">
        <v>0.83</v>
      </c>
      <c r="J3090" s="182" t="n">
        <v>6.16</v>
      </c>
      <c r="K3090" s="182" t="n">
        <v>1.18</v>
      </c>
      <c r="L3090" s="182" t="n">
        <v>12</v>
      </c>
      <c r="M3090" s="182" t="n">
        <v>0</v>
      </c>
      <c r="N3090" s="182" t="n">
        <v>0</v>
      </c>
      <c r="O3090" s="183" t="n">
        <v>0</v>
      </c>
      <c r="P3090" s="183" t="n">
        <v>0</v>
      </c>
      <c r="Q3090" s="184" t="n">
        <v>0</v>
      </c>
      <c r="R3090" s="184" t="n">
        <v>0</v>
      </c>
      <c r="S3090" s="183" t="n">
        <v>0</v>
      </c>
      <c r="T3090" s="183" t="n">
        <v>0</v>
      </c>
      <c r="U3090" s="182" t="n">
        <v>0</v>
      </c>
      <c r="V3090" s="182" t="n">
        <v>0</v>
      </c>
      <c r="W3090" s="182" t="n">
        <v>0</v>
      </c>
      <c r="X3090" s="182" t="n">
        <v>1.09</v>
      </c>
      <c r="Y3090" s="182" t="n">
        <v>0</v>
      </c>
      <c r="Z3090" s="182" t="n">
        <v>0</v>
      </c>
      <c r="AA3090" s="182" t="n">
        <v>0</v>
      </c>
      <c r="AB3090" s="182" t="n">
        <v>0</v>
      </c>
      <c r="AC3090" s="182" t="n">
        <v>0</v>
      </c>
      <c r="AD3090" s="182" t="n">
        <v>0</v>
      </c>
      <c r="AE3090" s="182" t="n">
        <v>0</v>
      </c>
      <c r="AF3090" s="182" t="n">
        <v>0</v>
      </c>
      <c r="AG3090" s="182" t="n">
        <v>0</v>
      </c>
      <c r="AH3090" s="182" t="n">
        <v>0</v>
      </c>
      <c r="AI3090" s="182" t="n">
        <v>0</v>
      </c>
      <c r="AJ3090" s="182" t="n">
        <v>0</v>
      </c>
      <c r="AK3090" s="182" t="n">
        <v>0</v>
      </c>
      <c r="AL3090" s="182" t="n">
        <v>0</v>
      </c>
      <c r="AM3090" s="182" t="n">
        <v>0.09</v>
      </c>
      <c r="AN3090" s="182" t="n">
        <v>0</v>
      </c>
    </row>
    <row r="3091">
      <c r="A3091" s="155" t="n">
        <v>46096</v>
      </c>
      <c r="B3091" s="156" t="inlineStr">
        <is>
          <t>DS</t>
        </is>
      </c>
      <c r="C3091" s="156" t="inlineStr">
        <is>
          <t>CP-042</t>
        </is>
      </c>
      <c r="D3091" s="156" t="inlineStr">
        <is>
          <t>SANY - Compactor</t>
        </is>
      </c>
      <c r="E3091" s="156" t="inlineStr">
        <is>
          <t>Compactor</t>
        </is>
      </c>
      <c r="F3091" s="156" t="inlineStr"/>
      <c r="G3091" s="182" t="n">
        <v>0</v>
      </c>
      <c r="H3091" s="182" t="n">
        <v>0</v>
      </c>
      <c r="I3091" s="182" t="n">
        <v>0</v>
      </c>
      <c r="J3091" s="182" t="n">
        <v>0</v>
      </c>
      <c r="K3091" s="182" t="n">
        <v>12</v>
      </c>
      <c r="L3091" s="182" t="n">
        <v>12</v>
      </c>
      <c r="M3091" s="182" t="n">
        <v>0</v>
      </c>
      <c r="N3091" s="182" t="n">
        <v>0</v>
      </c>
      <c r="O3091" s="183" t="n">
        <v>0</v>
      </c>
      <c r="P3091" s="183" t="n">
        <v>0</v>
      </c>
      <c r="Q3091" s="184" t="n">
        <v>0</v>
      </c>
      <c r="R3091" s="184" t="n">
        <v>0</v>
      </c>
      <c r="S3091" s="183" t="n">
        <v>0</v>
      </c>
      <c r="T3091" s="183" t="n">
        <v>0</v>
      </c>
      <c r="U3091" s="182" t="n">
        <v>0</v>
      </c>
      <c r="V3091" s="182" t="n">
        <v>0</v>
      </c>
      <c r="W3091" s="182" t="n">
        <v>0</v>
      </c>
      <c r="X3091" s="182" t="n">
        <v>1</v>
      </c>
      <c r="Y3091" s="182" t="n">
        <v>0</v>
      </c>
      <c r="Z3091" s="182" t="n">
        <v>0</v>
      </c>
      <c r="AA3091" s="182" t="n">
        <v>0</v>
      </c>
      <c r="AB3091" s="182" t="n">
        <v>0</v>
      </c>
      <c r="AC3091" s="182" t="n">
        <v>0</v>
      </c>
      <c r="AD3091" s="182" t="n">
        <v>0</v>
      </c>
      <c r="AE3091" s="182" t="n">
        <v>0</v>
      </c>
      <c r="AF3091" s="182" t="n">
        <v>0</v>
      </c>
      <c r="AG3091" s="182" t="n">
        <v>0</v>
      </c>
      <c r="AH3091" s="182" t="n">
        <v>0</v>
      </c>
      <c r="AI3091" s="182" t="n">
        <v>0</v>
      </c>
      <c r="AJ3091" s="182" t="n">
        <v>0</v>
      </c>
      <c r="AK3091" s="182" t="n">
        <v>10.92</v>
      </c>
      <c r="AL3091" s="182" t="n">
        <v>0</v>
      </c>
      <c r="AM3091" s="182" t="n">
        <v>0.08</v>
      </c>
      <c r="AN3091" s="182" t="n">
        <v>0</v>
      </c>
    </row>
    <row r="3092">
      <c r="A3092" s="155" t="n">
        <v>46096</v>
      </c>
      <c r="B3092" s="156" t="inlineStr">
        <is>
          <t>DS</t>
        </is>
      </c>
      <c r="C3092" s="156" t="inlineStr">
        <is>
          <t>CP-041</t>
        </is>
      </c>
      <c r="D3092" s="156" t="inlineStr">
        <is>
          <t>SANY - Compactor</t>
        </is>
      </c>
      <c r="E3092" s="156" t="inlineStr">
        <is>
          <t>Compactor</t>
        </is>
      </c>
      <c r="F3092" s="156" t="inlineStr">
        <is>
          <t>General Road</t>
        </is>
      </c>
      <c r="G3092" s="182" t="n">
        <v>8.35</v>
      </c>
      <c r="H3092" s="182" t="n">
        <v>0</v>
      </c>
      <c r="I3092" s="182" t="n">
        <v>0</v>
      </c>
      <c r="J3092" s="182" t="n">
        <v>0</v>
      </c>
      <c r="K3092" s="182" t="n">
        <v>3.65</v>
      </c>
      <c r="L3092" s="182" t="n">
        <v>12</v>
      </c>
      <c r="M3092" s="182" t="n">
        <v>0</v>
      </c>
      <c r="N3092" s="182" t="n">
        <v>0</v>
      </c>
      <c r="O3092" s="183" t="n">
        <v>0</v>
      </c>
      <c r="P3092" s="183" t="n">
        <v>0</v>
      </c>
      <c r="Q3092" s="184" t="n">
        <v>0</v>
      </c>
      <c r="R3092" s="184" t="n">
        <v>0</v>
      </c>
      <c r="S3092" s="183" t="n">
        <v>0</v>
      </c>
      <c r="T3092" s="183" t="n">
        <v>0</v>
      </c>
      <c r="U3092" s="182" t="n">
        <v>1.58</v>
      </c>
      <c r="V3092" s="182" t="n">
        <v>0</v>
      </c>
      <c r="W3092" s="182" t="n">
        <v>0</v>
      </c>
      <c r="X3092" s="182" t="n">
        <v>1.11</v>
      </c>
      <c r="Y3092" s="182" t="n">
        <v>0</v>
      </c>
      <c r="Z3092" s="182" t="n">
        <v>0</v>
      </c>
      <c r="AA3092" s="182" t="n">
        <v>0</v>
      </c>
      <c r="AB3092" s="182" t="n">
        <v>0</v>
      </c>
      <c r="AC3092" s="182" t="n">
        <v>0</v>
      </c>
      <c r="AD3092" s="182" t="n">
        <v>0</v>
      </c>
      <c r="AE3092" s="182" t="n">
        <v>0</v>
      </c>
      <c r="AF3092" s="182" t="n">
        <v>0</v>
      </c>
      <c r="AG3092" s="182" t="n">
        <v>0</v>
      </c>
      <c r="AH3092" s="182" t="n">
        <v>0</v>
      </c>
      <c r="AI3092" s="182" t="n">
        <v>0</v>
      </c>
      <c r="AJ3092" s="182" t="n">
        <v>0</v>
      </c>
      <c r="AK3092" s="182" t="n">
        <v>0.87</v>
      </c>
      <c r="AL3092" s="182" t="n">
        <v>0</v>
      </c>
      <c r="AM3092" s="182" t="n">
        <v>0.09</v>
      </c>
      <c r="AN3092" s="182" t="n">
        <v>0</v>
      </c>
    </row>
    <row r="3093">
      <c r="A3093" s="155" t="n">
        <v>46096</v>
      </c>
      <c r="B3093" s="156" t="inlineStr">
        <is>
          <t>DS</t>
        </is>
      </c>
      <c r="C3093" s="156" t="inlineStr">
        <is>
          <t>HT-418</t>
        </is>
      </c>
      <c r="D3093" s="156" t="inlineStr">
        <is>
          <t>SY430</t>
        </is>
      </c>
      <c r="E3093" s="156" t="inlineStr">
        <is>
          <t>DT Hauling</t>
        </is>
      </c>
      <c r="F3093" s="156" t="inlineStr"/>
      <c r="G3093" s="182" t="n">
        <v>0</v>
      </c>
      <c r="H3093" s="182" t="n">
        <v>0</v>
      </c>
      <c r="I3093" s="182" t="n">
        <v>0</v>
      </c>
      <c r="J3093" s="182" t="n">
        <v>0</v>
      </c>
      <c r="K3093" s="182" t="n">
        <v>12</v>
      </c>
      <c r="L3093" s="182" t="n">
        <v>12</v>
      </c>
      <c r="M3093" s="182" t="n">
        <v>0</v>
      </c>
      <c r="N3093" s="182" t="n">
        <v>0</v>
      </c>
      <c r="O3093" s="183" t="n">
        <v>0</v>
      </c>
      <c r="P3093" s="183" t="n">
        <v>0</v>
      </c>
      <c r="Q3093" s="184" t="n">
        <v>0</v>
      </c>
      <c r="R3093" s="184" t="n">
        <v>0</v>
      </c>
      <c r="S3093" s="183" t="n">
        <v>0</v>
      </c>
      <c r="T3093" s="183" t="n">
        <v>0</v>
      </c>
      <c r="U3093" s="182" t="n">
        <v>0</v>
      </c>
      <c r="V3093" s="182" t="n">
        <v>0</v>
      </c>
      <c r="W3093" s="182" t="n">
        <v>0</v>
      </c>
      <c r="X3093" s="182" t="n">
        <v>1</v>
      </c>
      <c r="Y3093" s="182" t="n">
        <v>0</v>
      </c>
      <c r="Z3093" s="182" t="n">
        <v>0</v>
      </c>
      <c r="AA3093" s="182" t="n">
        <v>0</v>
      </c>
      <c r="AB3093" s="182" t="n">
        <v>0</v>
      </c>
      <c r="AC3093" s="182" t="n">
        <v>0</v>
      </c>
      <c r="AD3093" s="182" t="n">
        <v>0</v>
      </c>
      <c r="AE3093" s="182" t="n">
        <v>0</v>
      </c>
      <c r="AF3093" s="182" t="n">
        <v>0</v>
      </c>
      <c r="AG3093" s="182" t="n">
        <v>0</v>
      </c>
      <c r="AH3093" s="182" t="n">
        <v>0</v>
      </c>
      <c r="AI3093" s="182" t="n">
        <v>0</v>
      </c>
      <c r="AJ3093" s="182" t="n">
        <v>0</v>
      </c>
      <c r="AK3093" s="182" t="n">
        <v>10.92</v>
      </c>
      <c r="AL3093" s="182" t="n">
        <v>0</v>
      </c>
      <c r="AM3093" s="182" t="n">
        <v>0.08</v>
      </c>
      <c r="AN3093" s="182" t="n">
        <v>0</v>
      </c>
    </row>
    <row r="3094">
      <c r="A3094" s="155" t="n">
        <v>46096</v>
      </c>
      <c r="B3094" s="156" t="inlineStr">
        <is>
          <t>DS</t>
        </is>
      </c>
      <c r="C3094" s="156" t="inlineStr">
        <is>
          <t>HT-404</t>
        </is>
      </c>
      <c r="D3094" s="156" t="inlineStr">
        <is>
          <t>SY430</t>
        </is>
      </c>
      <c r="E3094" s="156" t="inlineStr">
        <is>
          <t>DT Hauling</t>
        </is>
      </c>
      <c r="F3094" s="156" t="inlineStr"/>
      <c r="G3094" s="182" t="n">
        <v>0</v>
      </c>
      <c r="H3094" s="182" t="n">
        <v>0</v>
      </c>
      <c r="I3094" s="182" t="n">
        <v>12</v>
      </c>
      <c r="J3094" s="182" t="n">
        <v>12</v>
      </c>
      <c r="K3094" s="182" t="n">
        <v>0</v>
      </c>
      <c r="L3094" s="182" t="n">
        <v>12</v>
      </c>
      <c r="M3094" s="182" t="n">
        <v>0</v>
      </c>
      <c r="N3094" s="182" t="n">
        <v>0</v>
      </c>
      <c r="O3094" s="183" t="n">
        <v>0</v>
      </c>
      <c r="P3094" s="183" t="n">
        <v>0</v>
      </c>
      <c r="Q3094" s="184" t="n">
        <v>0</v>
      </c>
      <c r="R3094" s="184" t="n">
        <v>0</v>
      </c>
      <c r="S3094" s="183" t="n">
        <v>0</v>
      </c>
      <c r="T3094" s="183" t="n">
        <v>0</v>
      </c>
      <c r="U3094" s="182" t="n">
        <v>0</v>
      </c>
      <c r="V3094" s="182" t="n">
        <v>0</v>
      </c>
      <c r="W3094" s="182" t="n">
        <v>0</v>
      </c>
      <c r="X3094" s="182" t="n">
        <v>0</v>
      </c>
      <c r="Y3094" s="182" t="n">
        <v>0</v>
      </c>
      <c r="Z3094" s="182" t="n">
        <v>0</v>
      </c>
      <c r="AA3094" s="182" t="n">
        <v>0</v>
      </c>
      <c r="AB3094" s="182" t="n">
        <v>0</v>
      </c>
      <c r="AC3094" s="182" t="n">
        <v>0</v>
      </c>
      <c r="AD3094" s="182" t="n">
        <v>0</v>
      </c>
      <c r="AE3094" s="182" t="n">
        <v>0</v>
      </c>
      <c r="AF3094" s="182" t="n">
        <v>0</v>
      </c>
      <c r="AG3094" s="182" t="n">
        <v>0</v>
      </c>
      <c r="AH3094" s="182" t="n">
        <v>0</v>
      </c>
      <c r="AI3094" s="182" t="n">
        <v>0</v>
      </c>
      <c r="AJ3094" s="182" t="n">
        <v>0</v>
      </c>
      <c r="AK3094" s="182" t="n">
        <v>0</v>
      </c>
      <c r="AL3094" s="182" t="n">
        <v>0</v>
      </c>
      <c r="AM3094" s="182" t="n">
        <v>0</v>
      </c>
      <c r="AN3094" s="182" t="n">
        <v>0</v>
      </c>
    </row>
    <row r="3095">
      <c r="A3095" s="155" t="n">
        <v>46096</v>
      </c>
      <c r="B3095" s="156" t="inlineStr">
        <is>
          <t>DS</t>
        </is>
      </c>
      <c r="C3095" s="156" t="inlineStr">
        <is>
          <t>HT-415</t>
        </is>
      </c>
      <c r="D3095" s="156" t="inlineStr">
        <is>
          <t>SY430</t>
        </is>
      </c>
      <c r="E3095" s="156" t="inlineStr">
        <is>
          <t>DT Hauling</t>
        </is>
      </c>
      <c r="F3095" s="156" t="inlineStr"/>
      <c r="G3095" s="182" t="n">
        <v>0</v>
      </c>
      <c r="H3095" s="182" t="n">
        <v>0</v>
      </c>
      <c r="I3095" s="182" t="n">
        <v>12</v>
      </c>
      <c r="J3095" s="182" t="n">
        <v>12</v>
      </c>
      <c r="K3095" s="182" t="n">
        <v>0</v>
      </c>
      <c r="L3095" s="182" t="n">
        <v>12</v>
      </c>
      <c r="M3095" s="182" t="n">
        <v>0</v>
      </c>
      <c r="N3095" s="182" t="n">
        <v>0</v>
      </c>
      <c r="O3095" s="183" t="n">
        <v>0</v>
      </c>
      <c r="P3095" s="183" t="n">
        <v>0</v>
      </c>
      <c r="Q3095" s="184" t="n">
        <v>0</v>
      </c>
      <c r="R3095" s="184" t="n">
        <v>0</v>
      </c>
      <c r="S3095" s="183" t="n">
        <v>0</v>
      </c>
      <c r="T3095" s="183" t="n">
        <v>0</v>
      </c>
      <c r="U3095" s="182" t="n">
        <v>0</v>
      </c>
      <c r="V3095" s="182" t="n">
        <v>0</v>
      </c>
      <c r="W3095" s="182" t="n">
        <v>0</v>
      </c>
      <c r="X3095" s="182" t="n">
        <v>0</v>
      </c>
      <c r="Y3095" s="182" t="n">
        <v>0</v>
      </c>
      <c r="Z3095" s="182" t="n">
        <v>0</v>
      </c>
      <c r="AA3095" s="182" t="n">
        <v>0</v>
      </c>
      <c r="AB3095" s="182" t="n">
        <v>0</v>
      </c>
      <c r="AC3095" s="182" t="n">
        <v>0</v>
      </c>
      <c r="AD3095" s="182" t="n">
        <v>0</v>
      </c>
      <c r="AE3095" s="182" t="n">
        <v>0</v>
      </c>
      <c r="AF3095" s="182" t="n">
        <v>0</v>
      </c>
      <c r="AG3095" s="182" t="n">
        <v>0</v>
      </c>
      <c r="AH3095" s="182" t="n">
        <v>0</v>
      </c>
      <c r="AI3095" s="182" t="n">
        <v>0</v>
      </c>
      <c r="AJ3095" s="182" t="n">
        <v>0</v>
      </c>
      <c r="AK3095" s="182" t="n">
        <v>0</v>
      </c>
      <c r="AL3095" s="182" t="n">
        <v>0</v>
      </c>
      <c r="AM3095" s="182" t="n">
        <v>0</v>
      </c>
      <c r="AN3095" s="182" t="n">
        <v>0</v>
      </c>
    </row>
    <row r="3096">
      <c r="A3096" s="155" t="n">
        <v>46096</v>
      </c>
      <c r="B3096" s="156" t="inlineStr">
        <is>
          <t>DS</t>
        </is>
      </c>
      <c r="C3096" s="156" t="inlineStr">
        <is>
          <t>HT-406</t>
        </is>
      </c>
      <c r="D3096" s="156" t="inlineStr">
        <is>
          <t>SY430</t>
        </is>
      </c>
      <c r="E3096" s="156" t="inlineStr">
        <is>
          <t>DT Hauling</t>
        </is>
      </c>
      <c r="F3096" s="156" t="inlineStr"/>
      <c r="G3096" s="182" t="n">
        <v>0</v>
      </c>
      <c r="H3096" s="182" t="n">
        <v>0</v>
      </c>
      <c r="I3096" s="182" t="n">
        <v>12</v>
      </c>
      <c r="J3096" s="182" t="n">
        <v>12</v>
      </c>
      <c r="K3096" s="182" t="n">
        <v>0</v>
      </c>
      <c r="L3096" s="182" t="n">
        <v>12</v>
      </c>
      <c r="M3096" s="182" t="n">
        <v>0</v>
      </c>
      <c r="N3096" s="182" t="n">
        <v>0</v>
      </c>
      <c r="O3096" s="183" t="n">
        <v>0</v>
      </c>
      <c r="P3096" s="183" t="n">
        <v>0</v>
      </c>
      <c r="Q3096" s="184" t="n">
        <v>0</v>
      </c>
      <c r="R3096" s="184" t="n">
        <v>0</v>
      </c>
      <c r="S3096" s="183" t="n">
        <v>0</v>
      </c>
      <c r="T3096" s="183" t="n">
        <v>0</v>
      </c>
      <c r="U3096" s="182" t="n">
        <v>0</v>
      </c>
      <c r="V3096" s="182" t="n">
        <v>0</v>
      </c>
      <c r="W3096" s="182" t="n">
        <v>0</v>
      </c>
      <c r="X3096" s="182" t="n">
        <v>0</v>
      </c>
      <c r="Y3096" s="182" t="n">
        <v>0</v>
      </c>
      <c r="Z3096" s="182" t="n">
        <v>0</v>
      </c>
      <c r="AA3096" s="182" t="n">
        <v>0</v>
      </c>
      <c r="AB3096" s="182" t="n">
        <v>0</v>
      </c>
      <c r="AC3096" s="182" t="n">
        <v>0</v>
      </c>
      <c r="AD3096" s="182" t="n">
        <v>0</v>
      </c>
      <c r="AE3096" s="182" t="n">
        <v>0</v>
      </c>
      <c r="AF3096" s="182" t="n">
        <v>0</v>
      </c>
      <c r="AG3096" s="182" t="n">
        <v>0</v>
      </c>
      <c r="AH3096" s="182" t="n">
        <v>0</v>
      </c>
      <c r="AI3096" s="182" t="n">
        <v>0</v>
      </c>
      <c r="AJ3096" s="182" t="n">
        <v>0</v>
      </c>
      <c r="AK3096" s="182" t="n">
        <v>0</v>
      </c>
      <c r="AL3096" s="182" t="n">
        <v>0</v>
      </c>
      <c r="AM3096" s="182" t="n">
        <v>0</v>
      </c>
      <c r="AN3096" s="182" t="n">
        <v>0</v>
      </c>
    </row>
    <row r="3097">
      <c r="A3097" s="155" t="n">
        <v>46096</v>
      </c>
      <c r="B3097" s="156" t="inlineStr">
        <is>
          <t>DS</t>
        </is>
      </c>
      <c r="C3097" s="156" t="inlineStr">
        <is>
          <t>HT-405</t>
        </is>
      </c>
      <c r="D3097" s="156" t="inlineStr">
        <is>
          <t>SY430</t>
        </is>
      </c>
      <c r="E3097" s="156" t="inlineStr">
        <is>
          <t>DT Hauling</t>
        </is>
      </c>
      <c r="F3097" s="156" t="inlineStr"/>
      <c r="G3097" s="182" t="n">
        <v>0</v>
      </c>
      <c r="H3097" s="182" t="n">
        <v>0</v>
      </c>
      <c r="I3097" s="182" t="n">
        <v>0</v>
      </c>
      <c r="J3097" s="182" t="n">
        <v>0</v>
      </c>
      <c r="K3097" s="182" t="n">
        <v>12</v>
      </c>
      <c r="L3097" s="182" t="n">
        <v>12</v>
      </c>
      <c r="M3097" s="182" t="n">
        <v>0</v>
      </c>
      <c r="N3097" s="182" t="n">
        <v>0</v>
      </c>
      <c r="O3097" s="183" t="n">
        <v>0</v>
      </c>
      <c r="P3097" s="183" t="n">
        <v>0</v>
      </c>
      <c r="Q3097" s="184" t="n">
        <v>0</v>
      </c>
      <c r="R3097" s="184" t="n">
        <v>0</v>
      </c>
      <c r="S3097" s="183" t="n">
        <v>0</v>
      </c>
      <c r="T3097" s="183" t="n">
        <v>0</v>
      </c>
      <c r="U3097" s="182" t="n">
        <v>0</v>
      </c>
      <c r="V3097" s="182" t="n">
        <v>0</v>
      </c>
      <c r="W3097" s="182" t="n">
        <v>0</v>
      </c>
      <c r="X3097" s="182" t="n">
        <v>1</v>
      </c>
      <c r="Y3097" s="182" t="n">
        <v>0</v>
      </c>
      <c r="Z3097" s="182" t="n">
        <v>0</v>
      </c>
      <c r="AA3097" s="182" t="n">
        <v>0</v>
      </c>
      <c r="AB3097" s="182" t="n">
        <v>0</v>
      </c>
      <c r="AC3097" s="182" t="n">
        <v>0</v>
      </c>
      <c r="AD3097" s="182" t="n">
        <v>0</v>
      </c>
      <c r="AE3097" s="182" t="n">
        <v>0</v>
      </c>
      <c r="AF3097" s="182" t="n">
        <v>0</v>
      </c>
      <c r="AG3097" s="182" t="n">
        <v>0</v>
      </c>
      <c r="AH3097" s="182" t="n">
        <v>0</v>
      </c>
      <c r="AI3097" s="182" t="n">
        <v>0</v>
      </c>
      <c r="AJ3097" s="182" t="n">
        <v>0</v>
      </c>
      <c r="AK3097" s="182" t="n">
        <v>10.92</v>
      </c>
      <c r="AL3097" s="182" t="n">
        <v>0</v>
      </c>
      <c r="AM3097" s="182" t="n">
        <v>0.08</v>
      </c>
      <c r="AN3097" s="182" t="n">
        <v>0</v>
      </c>
    </row>
    <row r="3098">
      <c r="A3098" s="155" t="n">
        <v>46096</v>
      </c>
      <c r="B3098" s="156" t="inlineStr">
        <is>
          <t>DS</t>
        </is>
      </c>
      <c r="C3098" s="156" t="inlineStr">
        <is>
          <t>HT-417</t>
        </is>
      </c>
      <c r="D3098" s="156" t="inlineStr">
        <is>
          <t>SY430</t>
        </is>
      </c>
      <c r="E3098" s="156" t="inlineStr">
        <is>
          <t>DT Hauling</t>
        </is>
      </c>
      <c r="F3098" s="156" t="inlineStr"/>
      <c r="G3098" s="182" t="n">
        <v>0</v>
      </c>
      <c r="H3098" s="182" t="n">
        <v>0</v>
      </c>
      <c r="I3098" s="182" t="n">
        <v>0</v>
      </c>
      <c r="J3098" s="182" t="n">
        <v>0</v>
      </c>
      <c r="K3098" s="182" t="n">
        <v>12</v>
      </c>
      <c r="L3098" s="182" t="n">
        <v>12</v>
      </c>
      <c r="M3098" s="182" t="n">
        <v>0</v>
      </c>
      <c r="N3098" s="182" t="n">
        <v>0</v>
      </c>
      <c r="O3098" s="183" t="n">
        <v>0</v>
      </c>
      <c r="P3098" s="183" t="n">
        <v>0</v>
      </c>
      <c r="Q3098" s="184" t="n">
        <v>0</v>
      </c>
      <c r="R3098" s="184" t="n">
        <v>0</v>
      </c>
      <c r="S3098" s="183" t="n">
        <v>0</v>
      </c>
      <c r="T3098" s="183" t="n">
        <v>0</v>
      </c>
      <c r="U3098" s="182" t="n">
        <v>0</v>
      </c>
      <c r="V3098" s="182" t="n">
        <v>0</v>
      </c>
      <c r="W3098" s="182" t="n">
        <v>0</v>
      </c>
      <c r="X3098" s="182" t="n">
        <v>1</v>
      </c>
      <c r="Y3098" s="182" t="n">
        <v>0</v>
      </c>
      <c r="Z3098" s="182" t="n">
        <v>0</v>
      </c>
      <c r="AA3098" s="182" t="n">
        <v>0</v>
      </c>
      <c r="AB3098" s="182" t="n">
        <v>0</v>
      </c>
      <c r="AC3098" s="182" t="n">
        <v>0</v>
      </c>
      <c r="AD3098" s="182" t="n">
        <v>0</v>
      </c>
      <c r="AE3098" s="182" t="n">
        <v>0</v>
      </c>
      <c r="AF3098" s="182" t="n">
        <v>0</v>
      </c>
      <c r="AG3098" s="182" t="n">
        <v>0</v>
      </c>
      <c r="AH3098" s="182" t="n">
        <v>0</v>
      </c>
      <c r="AI3098" s="182" t="n">
        <v>0</v>
      </c>
      <c r="AJ3098" s="182" t="n">
        <v>0</v>
      </c>
      <c r="AK3098" s="182" t="n">
        <v>10.92</v>
      </c>
      <c r="AL3098" s="182" t="n">
        <v>0</v>
      </c>
      <c r="AM3098" s="182" t="n">
        <v>0.08</v>
      </c>
      <c r="AN3098" s="182" t="n">
        <v>0</v>
      </c>
    </row>
    <row r="3099">
      <c r="A3099" s="155" t="n">
        <v>46096</v>
      </c>
      <c r="B3099" s="156" t="inlineStr">
        <is>
          <t>DS</t>
        </is>
      </c>
      <c r="C3099" s="156" t="inlineStr">
        <is>
          <t>HT-401</t>
        </is>
      </c>
      <c r="D3099" s="156" t="inlineStr">
        <is>
          <t>SY430</t>
        </is>
      </c>
      <c r="E3099" s="156" t="inlineStr">
        <is>
          <t>DT Hauling</t>
        </is>
      </c>
      <c r="F3099" s="156" t="inlineStr"/>
      <c r="G3099" s="182" t="n">
        <v>0</v>
      </c>
      <c r="H3099" s="182" t="n">
        <v>0</v>
      </c>
      <c r="I3099" s="182" t="n">
        <v>0</v>
      </c>
      <c r="J3099" s="182" t="n">
        <v>0</v>
      </c>
      <c r="K3099" s="182" t="n">
        <v>12</v>
      </c>
      <c r="L3099" s="182" t="n">
        <v>12</v>
      </c>
      <c r="M3099" s="182" t="n">
        <v>0</v>
      </c>
      <c r="N3099" s="182" t="n">
        <v>0</v>
      </c>
      <c r="O3099" s="183" t="n">
        <v>0</v>
      </c>
      <c r="P3099" s="183" t="n">
        <v>0</v>
      </c>
      <c r="Q3099" s="184" t="n">
        <v>0</v>
      </c>
      <c r="R3099" s="184" t="n">
        <v>0</v>
      </c>
      <c r="S3099" s="183" t="n">
        <v>0</v>
      </c>
      <c r="T3099" s="183" t="n">
        <v>0</v>
      </c>
      <c r="U3099" s="182" t="n">
        <v>0</v>
      </c>
      <c r="V3099" s="182" t="n">
        <v>0</v>
      </c>
      <c r="W3099" s="182" t="n">
        <v>0</v>
      </c>
      <c r="X3099" s="182" t="n">
        <v>1</v>
      </c>
      <c r="Y3099" s="182" t="n">
        <v>0</v>
      </c>
      <c r="Z3099" s="182" t="n">
        <v>0</v>
      </c>
      <c r="AA3099" s="182" t="n">
        <v>0</v>
      </c>
      <c r="AB3099" s="182" t="n">
        <v>0</v>
      </c>
      <c r="AC3099" s="182" t="n">
        <v>0</v>
      </c>
      <c r="AD3099" s="182" t="n">
        <v>0</v>
      </c>
      <c r="AE3099" s="182" t="n">
        <v>0</v>
      </c>
      <c r="AF3099" s="182" t="n">
        <v>0</v>
      </c>
      <c r="AG3099" s="182" t="n">
        <v>0</v>
      </c>
      <c r="AH3099" s="182" t="n">
        <v>0</v>
      </c>
      <c r="AI3099" s="182" t="n">
        <v>0</v>
      </c>
      <c r="AJ3099" s="182" t="n">
        <v>0</v>
      </c>
      <c r="AK3099" s="182" t="n">
        <v>10.92</v>
      </c>
      <c r="AL3099" s="182" t="n">
        <v>0</v>
      </c>
      <c r="AM3099" s="182" t="n">
        <v>0.08</v>
      </c>
      <c r="AN3099" s="182" t="n">
        <v>0</v>
      </c>
    </row>
    <row r="3100">
      <c r="A3100" s="155" t="n">
        <v>46096</v>
      </c>
      <c r="B3100" s="156" t="inlineStr">
        <is>
          <t>DS</t>
        </is>
      </c>
      <c r="C3100" s="156" t="inlineStr">
        <is>
          <t>HT-410</t>
        </is>
      </c>
      <c r="D3100" s="156" t="inlineStr">
        <is>
          <t>SY430</t>
        </is>
      </c>
      <c r="E3100" s="156" t="inlineStr">
        <is>
          <t>DT Hauling</t>
        </is>
      </c>
      <c r="F3100" s="156" t="inlineStr"/>
      <c r="G3100" s="182" t="n">
        <v>0</v>
      </c>
      <c r="H3100" s="182" t="n">
        <v>0</v>
      </c>
      <c r="I3100" s="182" t="n">
        <v>0</v>
      </c>
      <c r="J3100" s="182" t="n">
        <v>0</v>
      </c>
      <c r="K3100" s="182" t="n">
        <v>12</v>
      </c>
      <c r="L3100" s="182" t="n">
        <v>12</v>
      </c>
      <c r="M3100" s="182" t="n">
        <v>0</v>
      </c>
      <c r="N3100" s="182" t="n">
        <v>0</v>
      </c>
      <c r="O3100" s="183" t="n">
        <v>0</v>
      </c>
      <c r="P3100" s="183" t="n">
        <v>0</v>
      </c>
      <c r="Q3100" s="184" t="n">
        <v>0</v>
      </c>
      <c r="R3100" s="184" t="n">
        <v>0</v>
      </c>
      <c r="S3100" s="183" t="n">
        <v>0</v>
      </c>
      <c r="T3100" s="183" t="n">
        <v>0</v>
      </c>
      <c r="U3100" s="182" t="n">
        <v>0</v>
      </c>
      <c r="V3100" s="182" t="n">
        <v>0</v>
      </c>
      <c r="W3100" s="182" t="n">
        <v>0</v>
      </c>
      <c r="X3100" s="182" t="n">
        <v>1</v>
      </c>
      <c r="Y3100" s="182" t="n">
        <v>0</v>
      </c>
      <c r="Z3100" s="182" t="n">
        <v>0</v>
      </c>
      <c r="AA3100" s="182" t="n">
        <v>0</v>
      </c>
      <c r="AB3100" s="182" t="n">
        <v>0</v>
      </c>
      <c r="AC3100" s="182" t="n">
        <v>0</v>
      </c>
      <c r="AD3100" s="182" t="n">
        <v>0</v>
      </c>
      <c r="AE3100" s="182" t="n">
        <v>0</v>
      </c>
      <c r="AF3100" s="182" t="n">
        <v>0</v>
      </c>
      <c r="AG3100" s="182" t="n">
        <v>0</v>
      </c>
      <c r="AH3100" s="182" t="n">
        <v>0</v>
      </c>
      <c r="AI3100" s="182" t="n">
        <v>0</v>
      </c>
      <c r="AJ3100" s="182" t="n">
        <v>0</v>
      </c>
      <c r="AK3100" s="182" t="n">
        <v>10.92</v>
      </c>
      <c r="AL3100" s="182" t="n">
        <v>0</v>
      </c>
      <c r="AM3100" s="182" t="n">
        <v>0.08</v>
      </c>
      <c r="AN3100" s="182" t="n">
        <v>0</v>
      </c>
    </row>
    <row r="3101">
      <c r="A3101" s="155" t="n">
        <v>46096</v>
      </c>
      <c r="B3101" s="156" t="inlineStr">
        <is>
          <t>DS</t>
        </is>
      </c>
      <c r="C3101" s="156" t="inlineStr">
        <is>
          <t>HT-402</t>
        </is>
      </c>
      <c r="D3101" s="156" t="inlineStr">
        <is>
          <t>SY430</t>
        </is>
      </c>
      <c r="E3101" s="156" t="inlineStr">
        <is>
          <t>DT Hauling</t>
        </is>
      </c>
      <c r="F3101" s="156" t="inlineStr"/>
      <c r="G3101" s="182" t="n">
        <v>0</v>
      </c>
      <c r="H3101" s="182" t="n">
        <v>0</v>
      </c>
      <c r="I3101" s="182" t="n">
        <v>12</v>
      </c>
      <c r="J3101" s="182" t="n">
        <v>12</v>
      </c>
      <c r="K3101" s="182" t="n">
        <v>0</v>
      </c>
      <c r="L3101" s="182" t="n">
        <v>12</v>
      </c>
      <c r="M3101" s="182" t="n">
        <v>0</v>
      </c>
      <c r="N3101" s="182" t="n">
        <v>0</v>
      </c>
      <c r="O3101" s="183" t="n">
        <v>0</v>
      </c>
      <c r="P3101" s="183" t="n">
        <v>0</v>
      </c>
      <c r="Q3101" s="184" t="n">
        <v>0</v>
      </c>
      <c r="R3101" s="184" t="n">
        <v>0</v>
      </c>
      <c r="S3101" s="183" t="n">
        <v>0</v>
      </c>
      <c r="T3101" s="183" t="n">
        <v>0</v>
      </c>
      <c r="U3101" s="182" t="n">
        <v>0</v>
      </c>
      <c r="V3101" s="182" t="n">
        <v>0</v>
      </c>
      <c r="W3101" s="182" t="n">
        <v>0</v>
      </c>
      <c r="X3101" s="182" t="n">
        <v>0</v>
      </c>
      <c r="Y3101" s="182" t="n">
        <v>0</v>
      </c>
      <c r="Z3101" s="182" t="n">
        <v>0</v>
      </c>
      <c r="AA3101" s="182" t="n">
        <v>0</v>
      </c>
      <c r="AB3101" s="182" t="n">
        <v>0</v>
      </c>
      <c r="AC3101" s="182" t="n">
        <v>0</v>
      </c>
      <c r="AD3101" s="182" t="n">
        <v>0</v>
      </c>
      <c r="AE3101" s="182" t="n">
        <v>0</v>
      </c>
      <c r="AF3101" s="182" t="n">
        <v>0</v>
      </c>
      <c r="AG3101" s="182" t="n">
        <v>0</v>
      </c>
      <c r="AH3101" s="182" t="n">
        <v>0</v>
      </c>
      <c r="AI3101" s="182" t="n">
        <v>0</v>
      </c>
      <c r="AJ3101" s="182" t="n">
        <v>0</v>
      </c>
      <c r="AK3101" s="182" t="n">
        <v>0</v>
      </c>
      <c r="AL3101" s="182" t="n">
        <v>0</v>
      </c>
      <c r="AM3101" s="182" t="n">
        <v>0</v>
      </c>
      <c r="AN3101" s="182" t="n">
        <v>0</v>
      </c>
    </row>
    <row r="3102">
      <c r="A3102" s="155" t="n">
        <v>46096</v>
      </c>
      <c r="B3102" s="156" t="inlineStr">
        <is>
          <t>DS</t>
        </is>
      </c>
      <c r="C3102" s="156" t="inlineStr">
        <is>
          <t>HT-419</t>
        </is>
      </c>
      <c r="D3102" s="156" t="inlineStr">
        <is>
          <t>SY430</t>
        </is>
      </c>
      <c r="E3102" s="156" t="inlineStr">
        <is>
          <t>DT Hauling</t>
        </is>
      </c>
      <c r="F3102" s="156" t="inlineStr"/>
      <c r="G3102" s="182" t="n">
        <v>0</v>
      </c>
      <c r="H3102" s="182" t="n">
        <v>0</v>
      </c>
      <c r="I3102" s="182" t="n">
        <v>0</v>
      </c>
      <c r="J3102" s="182" t="n">
        <v>0</v>
      </c>
      <c r="K3102" s="182" t="n">
        <v>12</v>
      </c>
      <c r="L3102" s="182" t="n">
        <v>12</v>
      </c>
      <c r="M3102" s="182" t="n">
        <v>0</v>
      </c>
      <c r="N3102" s="182" t="n">
        <v>0</v>
      </c>
      <c r="O3102" s="183" t="n">
        <v>0</v>
      </c>
      <c r="P3102" s="183" t="n">
        <v>0</v>
      </c>
      <c r="Q3102" s="184" t="n">
        <v>0</v>
      </c>
      <c r="R3102" s="184" t="n">
        <v>0</v>
      </c>
      <c r="S3102" s="183" t="n">
        <v>0</v>
      </c>
      <c r="T3102" s="183" t="n">
        <v>0</v>
      </c>
      <c r="U3102" s="182" t="n">
        <v>0</v>
      </c>
      <c r="V3102" s="182" t="n">
        <v>0</v>
      </c>
      <c r="W3102" s="182" t="n">
        <v>0</v>
      </c>
      <c r="X3102" s="182" t="n">
        <v>1</v>
      </c>
      <c r="Y3102" s="182" t="n">
        <v>0</v>
      </c>
      <c r="Z3102" s="182" t="n">
        <v>0</v>
      </c>
      <c r="AA3102" s="182" t="n">
        <v>0</v>
      </c>
      <c r="AB3102" s="182" t="n">
        <v>0</v>
      </c>
      <c r="AC3102" s="182" t="n">
        <v>0</v>
      </c>
      <c r="AD3102" s="182" t="n">
        <v>0</v>
      </c>
      <c r="AE3102" s="182" t="n">
        <v>0</v>
      </c>
      <c r="AF3102" s="182" t="n">
        <v>0</v>
      </c>
      <c r="AG3102" s="182" t="n">
        <v>0</v>
      </c>
      <c r="AH3102" s="182" t="n">
        <v>0</v>
      </c>
      <c r="AI3102" s="182" t="n">
        <v>0</v>
      </c>
      <c r="AJ3102" s="182" t="n">
        <v>0</v>
      </c>
      <c r="AK3102" s="182" t="n">
        <v>10.92</v>
      </c>
      <c r="AL3102" s="182" t="n">
        <v>0</v>
      </c>
      <c r="AM3102" s="182" t="n">
        <v>0.08</v>
      </c>
      <c r="AN3102" s="182" t="n">
        <v>0</v>
      </c>
    </row>
    <row r="3103">
      <c r="A3103" s="155" t="n">
        <v>46096</v>
      </c>
      <c r="B3103" s="156" t="inlineStr">
        <is>
          <t>DS</t>
        </is>
      </c>
      <c r="C3103" s="156" t="inlineStr">
        <is>
          <t>HT-416</t>
        </is>
      </c>
      <c r="D3103" s="156" t="inlineStr">
        <is>
          <t>SY430</t>
        </is>
      </c>
      <c r="E3103" s="156" t="inlineStr">
        <is>
          <t>DT Hauling</t>
        </is>
      </c>
      <c r="F3103" s="156" t="inlineStr"/>
      <c r="G3103" s="182" t="n">
        <v>0</v>
      </c>
      <c r="H3103" s="182" t="n">
        <v>0</v>
      </c>
      <c r="I3103" s="182" t="n">
        <v>0</v>
      </c>
      <c r="J3103" s="182" t="n">
        <v>0</v>
      </c>
      <c r="K3103" s="182" t="n">
        <v>12</v>
      </c>
      <c r="L3103" s="182" t="n">
        <v>12</v>
      </c>
      <c r="M3103" s="182" t="n">
        <v>0</v>
      </c>
      <c r="N3103" s="182" t="n">
        <v>0</v>
      </c>
      <c r="O3103" s="183" t="n">
        <v>0</v>
      </c>
      <c r="P3103" s="183" t="n">
        <v>0</v>
      </c>
      <c r="Q3103" s="184" t="n">
        <v>0</v>
      </c>
      <c r="R3103" s="184" t="n">
        <v>0</v>
      </c>
      <c r="S3103" s="183" t="n">
        <v>0</v>
      </c>
      <c r="T3103" s="183" t="n">
        <v>0</v>
      </c>
      <c r="U3103" s="182" t="n">
        <v>0</v>
      </c>
      <c r="V3103" s="182" t="n">
        <v>0</v>
      </c>
      <c r="W3103" s="182" t="n">
        <v>0</v>
      </c>
      <c r="X3103" s="182" t="n">
        <v>1</v>
      </c>
      <c r="Y3103" s="182" t="n">
        <v>0</v>
      </c>
      <c r="Z3103" s="182" t="n">
        <v>0</v>
      </c>
      <c r="AA3103" s="182" t="n">
        <v>0</v>
      </c>
      <c r="AB3103" s="182" t="n">
        <v>0</v>
      </c>
      <c r="AC3103" s="182" t="n">
        <v>0</v>
      </c>
      <c r="AD3103" s="182" t="n">
        <v>0</v>
      </c>
      <c r="AE3103" s="182" t="n">
        <v>0</v>
      </c>
      <c r="AF3103" s="182" t="n">
        <v>0</v>
      </c>
      <c r="AG3103" s="182" t="n">
        <v>0</v>
      </c>
      <c r="AH3103" s="182" t="n">
        <v>0</v>
      </c>
      <c r="AI3103" s="182" t="n">
        <v>0</v>
      </c>
      <c r="AJ3103" s="182" t="n">
        <v>0</v>
      </c>
      <c r="AK3103" s="182" t="n">
        <v>10.92</v>
      </c>
      <c r="AL3103" s="182" t="n">
        <v>0</v>
      </c>
      <c r="AM3103" s="182" t="n">
        <v>0.08</v>
      </c>
      <c r="AN3103" s="182" t="n">
        <v>0</v>
      </c>
    </row>
    <row r="3104">
      <c r="A3104" s="155" t="n">
        <v>46096</v>
      </c>
      <c r="B3104" s="156" t="inlineStr">
        <is>
          <t>DS</t>
        </is>
      </c>
      <c r="C3104" s="156" t="inlineStr">
        <is>
          <t>HT-420</t>
        </is>
      </c>
      <c r="D3104" s="156" t="inlineStr">
        <is>
          <t>SY430</t>
        </is>
      </c>
      <c r="E3104" s="156" t="inlineStr">
        <is>
          <t>DT Hauling</t>
        </is>
      </c>
      <c r="F3104" s="156" t="inlineStr"/>
      <c r="G3104" s="182" t="n">
        <v>0</v>
      </c>
      <c r="H3104" s="182" t="n">
        <v>0</v>
      </c>
      <c r="I3104" s="182" t="n">
        <v>0</v>
      </c>
      <c r="J3104" s="182" t="n">
        <v>0</v>
      </c>
      <c r="K3104" s="182" t="n">
        <v>12</v>
      </c>
      <c r="L3104" s="182" t="n">
        <v>12</v>
      </c>
      <c r="M3104" s="182" t="n">
        <v>0</v>
      </c>
      <c r="N3104" s="182" t="n">
        <v>0</v>
      </c>
      <c r="O3104" s="183" t="n">
        <v>0</v>
      </c>
      <c r="P3104" s="183" t="n">
        <v>0</v>
      </c>
      <c r="Q3104" s="184" t="n">
        <v>0</v>
      </c>
      <c r="R3104" s="184" t="n">
        <v>0</v>
      </c>
      <c r="S3104" s="183" t="n">
        <v>0</v>
      </c>
      <c r="T3104" s="183" t="n">
        <v>0</v>
      </c>
      <c r="U3104" s="182" t="n">
        <v>0</v>
      </c>
      <c r="V3104" s="182" t="n">
        <v>0</v>
      </c>
      <c r="W3104" s="182" t="n">
        <v>0</v>
      </c>
      <c r="X3104" s="182" t="n">
        <v>1</v>
      </c>
      <c r="Y3104" s="182" t="n">
        <v>0</v>
      </c>
      <c r="Z3104" s="182" t="n">
        <v>0</v>
      </c>
      <c r="AA3104" s="182" t="n">
        <v>0</v>
      </c>
      <c r="AB3104" s="182" t="n">
        <v>0</v>
      </c>
      <c r="AC3104" s="182" t="n">
        <v>0</v>
      </c>
      <c r="AD3104" s="182" t="n">
        <v>0</v>
      </c>
      <c r="AE3104" s="182" t="n">
        <v>0</v>
      </c>
      <c r="AF3104" s="182" t="n">
        <v>0</v>
      </c>
      <c r="AG3104" s="182" t="n">
        <v>0</v>
      </c>
      <c r="AH3104" s="182" t="n">
        <v>0</v>
      </c>
      <c r="AI3104" s="182" t="n">
        <v>0</v>
      </c>
      <c r="AJ3104" s="182" t="n">
        <v>0</v>
      </c>
      <c r="AK3104" s="182" t="n">
        <v>10.92</v>
      </c>
      <c r="AL3104" s="182" t="n">
        <v>0</v>
      </c>
      <c r="AM3104" s="182" t="n">
        <v>0.08</v>
      </c>
      <c r="AN3104" s="182" t="n">
        <v>0</v>
      </c>
    </row>
    <row r="3105">
      <c r="A3105" s="155" t="n">
        <v>46096</v>
      </c>
      <c r="B3105" s="156" t="inlineStr">
        <is>
          <t>DS</t>
        </is>
      </c>
      <c r="C3105" s="156" t="inlineStr">
        <is>
          <t>HT-403</t>
        </is>
      </c>
      <c r="D3105" s="156" t="inlineStr">
        <is>
          <t>SY430</t>
        </is>
      </c>
      <c r="E3105" s="156" t="inlineStr">
        <is>
          <t>DT Hauling</t>
        </is>
      </c>
      <c r="F3105" s="156" t="inlineStr"/>
      <c r="G3105" s="182" t="n">
        <v>0</v>
      </c>
      <c r="H3105" s="182" t="n">
        <v>0</v>
      </c>
      <c r="I3105" s="182" t="n">
        <v>0</v>
      </c>
      <c r="J3105" s="182" t="n">
        <v>0</v>
      </c>
      <c r="K3105" s="182" t="n">
        <v>12</v>
      </c>
      <c r="L3105" s="182" t="n">
        <v>12</v>
      </c>
      <c r="M3105" s="182" t="n">
        <v>0</v>
      </c>
      <c r="N3105" s="182" t="n">
        <v>0</v>
      </c>
      <c r="O3105" s="183" t="n">
        <v>0</v>
      </c>
      <c r="P3105" s="183" t="n">
        <v>0</v>
      </c>
      <c r="Q3105" s="184" t="n">
        <v>0</v>
      </c>
      <c r="R3105" s="184" t="n">
        <v>0</v>
      </c>
      <c r="S3105" s="183" t="n">
        <v>0</v>
      </c>
      <c r="T3105" s="183" t="n">
        <v>0</v>
      </c>
      <c r="U3105" s="182" t="n">
        <v>0</v>
      </c>
      <c r="V3105" s="182" t="n">
        <v>0</v>
      </c>
      <c r="W3105" s="182" t="n">
        <v>0</v>
      </c>
      <c r="X3105" s="182" t="n">
        <v>1</v>
      </c>
      <c r="Y3105" s="182" t="n">
        <v>0</v>
      </c>
      <c r="Z3105" s="182" t="n">
        <v>0</v>
      </c>
      <c r="AA3105" s="182" t="n">
        <v>0</v>
      </c>
      <c r="AB3105" s="182" t="n">
        <v>0</v>
      </c>
      <c r="AC3105" s="182" t="n">
        <v>0</v>
      </c>
      <c r="AD3105" s="182" t="n">
        <v>0</v>
      </c>
      <c r="AE3105" s="182" t="n">
        <v>0</v>
      </c>
      <c r="AF3105" s="182" t="n">
        <v>0</v>
      </c>
      <c r="AG3105" s="182" t="n">
        <v>0</v>
      </c>
      <c r="AH3105" s="182" t="n">
        <v>0</v>
      </c>
      <c r="AI3105" s="182" t="n">
        <v>0</v>
      </c>
      <c r="AJ3105" s="182" t="n">
        <v>0</v>
      </c>
      <c r="AK3105" s="182" t="n">
        <v>10.92</v>
      </c>
      <c r="AL3105" s="182" t="n">
        <v>0</v>
      </c>
      <c r="AM3105" s="182" t="n">
        <v>0.08</v>
      </c>
      <c r="AN3105" s="182" t="n">
        <v>0</v>
      </c>
    </row>
    <row r="3106">
      <c r="A3106" s="155" t="n">
        <v>46096</v>
      </c>
      <c r="B3106" s="156" t="inlineStr">
        <is>
          <t>DS</t>
        </is>
      </c>
      <c r="C3106" s="156" t="inlineStr">
        <is>
          <t>HT-408</t>
        </is>
      </c>
      <c r="D3106" s="156" t="inlineStr">
        <is>
          <t>SY430</t>
        </is>
      </c>
      <c r="E3106" s="156" t="inlineStr">
        <is>
          <t>DT Hauling</t>
        </is>
      </c>
      <c r="F3106" s="156" t="inlineStr"/>
      <c r="G3106" s="182" t="n">
        <v>0</v>
      </c>
      <c r="H3106" s="182" t="n">
        <v>0</v>
      </c>
      <c r="I3106" s="182" t="n">
        <v>0</v>
      </c>
      <c r="J3106" s="182" t="n">
        <v>0</v>
      </c>
      <c r="K3106" s="182" t="n">
        <v>12</v>
      </c>
      <c r="L3106" s="182" t="n">
        <v>12</v>
      </c>
      <c r="M3106" s="182" t="n">
        <v>0</v>
      </c>
      <c r="N3106" s="182" t="n">
        <v>0</v>
      </c>
      <c r="O3106" s="183" t="n">
        <v>0</v>
      </c>
      <c r="P3106" s="183" t="n">
        <v>0</v>
      </c>
      <c r="Q3106" s="184" t="n">
        <v>0</v>
      </c>
      <c r="R3106" s="184" t="n">
        <v>0</v>
      </c>
      <c r="S3106" s="183" t="n">
        <v>0</v>
      </c>
      <c r="T3106" s="183" t="n">
        <v>0</v>
      </c>
      <c r="U3106" s="182" t="n">
        <v>0</v>
      </c>
      <c r="V3106" s="182" t="n">
        <v>0</v>
      </c>
      <c r="W3106" s="182" t="n">
        <v>0</v>
      </c>
      <c r="X3106" s="182" t="n">
        <v>1</v>
      </c>
      <c r="Y3106" s="182" t="n">
        <v>0</v>
      </c>
      <c r="Z3106" s="182" t="n">
        <v>0</v>
      </c>
      <c r="AA3106" s="182" t="n">
        <v>0</v>
      </c>
      <c r="AB3106" s="182" t="n">
        <v>0</v>
      </c>
      <c r="AC3106" s="182" t="n">
        <v>0</v>
      </c>
      <c r="AD3106" s="182" t="n">
        <v>0</v>
      </c>
      <c r="AE3106" s="182" t="n">
        <v>0</v>
      </c>
      <c r="AF3106" s="182" t="n">
        <v>0</v>
      </c>
      <c r="AG3106" s="182" t="n">
        <v>0</v>
      </c>
      <c r="AH3106" s="182" t="n">
        <v>0</v>
      </c>
      <c r="AI3106" s="182" t="n">
        <v>0</v>
      </c>
      <c r="AJ3106" s="182" t="n">
        <v>0</v>
      </c>
      <c r="AK3106" s="182" t="n">
        <v>10.92</v>
      </c>
      <c r="AL3106" s="182" t="n">
        <v>0</v>
      </c>
      <c r="AM3106" s="182" t="n">
        <v>0.08</v>
      </c>
      <c r="AN3106" s="182" t="n">
        <v>0</v>
      </c>
    </row>
    <row r="3107">
      <c r="A3107" s="155" t="n">
        <v>46096</v>
      </c>
      <c r="B3107" s="156" t="inlineStr">
        <is>
          <t>DS</t>
        </is>
      </c>
      <c r="C3107" s="156" t="inlineStr">
        <is>
          <t>HT-412</t>
        </is>
      </c>
      <c r="D3107" s="156" t="inlineStr">
        <is>
          <t>SY430</t>
        </is>
      </c>
      <c r="E3107" s="156" t="inlineStr">
        <is>
          <t>DT Hauling</t>
        </is>
      </c>
      <c r="F3107" s="156" t="inlineStr"/>
      <c r="G3107" s="182" t="n">
        <v>0</v>
      </c>
      <c r="H3107" s="182" t="n">
        <v>0</v>
      </c>
      <c r="I3107" s="182" t="n">
        <v>0</v>
      </c>
      <c r="J3107" s="182" t="n">
        <v>0</v>
      </c>
      <c r="K3107" s="182" t="n">
        <v>12</v>
      </c>
      <c r="L3107" s="182" t="n">
        <v>12</v>
      </c>
      <c r="M3107" s="182" t="n">
        <v>0</v>
      </c>
      <c r="N3107" s="182" t="n">
        <v>0</v>
      </c>
      <c r="O3107" s="183" t="n">
        <v>0</v>
      </c>
      <c r="P3107" s="183" t="n">
        <v>0</v>
      </c>
      <c r="Q3107" s="184" t="n">
        <v>0</v>
      </c>
      <c r="R3107" s="184" t="n">
        <v>0</v>
      </c>
      <c r="S3107" s="183" t="n">
        <v>0</v>
      </c>
      <c r="T3107" s="183" t="n">
        <v>0</v>
      </c>
      <c r="U3107" s="182" t="n">
        <v>0</v>
      </c>
      <c r="V3107" s="182" t="n">
        <v>0</v>
      </c>
      <c r="W3107" s="182" t="n">
        <v>0</v>
      </c>
      <c r="X3107" s="182" t="n">
        <v>1</v>
      </c>
      <c r="Y3107" s="182" t="n">
        <v>0</v>
      </c>
      <c r="Z3107" s="182" t="n">
        <v>0</v>
      </c>
      <c r="AA3107" s="182" t="n">
        <v>0</v>
      </c>
      <c r="AB3107" s="182" t="n">
        <v>0</v>
      </c>
      <c r="AC3107" s="182" t="n">
        <v>0</v>
      </c>
      <c r="AD3107" s="182" t="n">
        <v>0</v>
      </c>
      <c r="AE3107" s="182" t="n">
        <v>0</v>
      </c>
      <c r="AF3107" s="182" t="n">
        <v>0</v>
      </c>
      <c r="AG3107" s="182" t="n">
        <v>0</v>
      </c>
      <c r="AH3107" s="182" t="n">
        <v>0</v>
      </c>
      <c r="AI3107" s="182" t="n">
        <v>0</v>
      </c>
      <c r="AJ3107" s="182" t="n">
        <v>0</v>
      </c>
      <c r="AK3107" s="182" t="n">
        <v>10.92</v>
      </c>
      <c r="AL3107" s="182" t="n">
        <v>0</v>
      </c>
      <c r="AM3107" s="182" t="n">
        <v>0.08</v>
      </c>
      <c r="AN3107" s="182" t="n">
        <v>0</v>
      </c>
    </row>
    <row r="3108">
      <c r="A3108" s="155" t="n">
        <v>46096</v>
      </c>
      <c r="B3108" s="156" t="inlineStr">
        <is>
          <t>DS</t>
        </is>
      </c>
      <c r="C3108" s="156" t="inlineStr">
        <is>
          <t>HT-413</t>
        </is>
      </c>
      <c r="D3108" s="156" t="inlineStr">
        <is>
          <t>SY430</t>
        </is>
      </c>
      <c r="E3108" s="156" t="inlineStr">
        <is>
          <t>DT Hauling</t>
        </is>
      </c>
      <c r="F3108" s="156" t="inlineStr"/>
      <c r="G3108" s="182" t="n">
        <v>0</v>
      </c>
      <c r="H3108" s="182" t="n">
        <v>0</v>
      </c>
      <c r="I3108" s="182" t="n">
        <v>12</v>
      </c>
      <c r="J3108" s="182" t="n">
        <v>12</v>
      </c>
      <c r="K3108" s="182" t="n">
        <v>0</v>
      </c>
      <c r="L3108" s="182" t="n">
        <v>12</v>
      </c>
      <c r="M3108" s="182" t="n">
        <v>0</v>
      </c>
      <c r="N3108" s="182" t="n">
        <v>0</v>
      </c>
      <c r="O3108" s="183" t="n">
        <v>0</v>
      </c>
      <c r="P3108" s="183" t="n">
        <v>0</v>
      </c>
      <c r="Q3108" s="184" t="n">
        <v>0</v>
      </c>
      <c r="R3108" s="184" t="n">
        <v>0</v>
      </c>
      <c r="S3108" s="183" t="n">
        <v>0</v>
      </c>
      <c r="T3108" s="183" t="n">
        <v>0</v>
      </c>
      <c r="U3108" s="182" t="n">
        <v>0</v>
      </c>
      <c r="V3108" s="182" t="n">
        <v>0</v>
      </c>
      <c r="W3108" s="182" t="n">
        <v>0</v>
      </c>
      <c r="X3108" s="182" t="n">
        <v>0</v>
      </c>
      <c r="Y3108" s="182" t="n">
        <v>0</v>
      </c>
      <c r="Z3108" s="182" t="n">
        <v>0</v>
      </c>
      <c r="AA3108" s="182" t="n">
        <v>0</v>
      </c>
      <c r="AB3108" s="182" t="n">
        <v>0</v>
      </c>
      <c r="AC3108" s="182" t="n">
        <v>0</v>
      </c>
      <c r="AD3108" s="182" t="n">
        <v>0</v>
      </c>
      <c r="AE3108" s="182" t="n">
        <v>0</v>
      </c>
      <c r="AF3108" s="182" t="n">
        <v>0</v>
      </c>
      <c r="AG3108" s="182" t="n">
        <v>0</v>
      </c>
      <c r="AH3108" s="182" t="n">
        <v>0</v>
      </c>
      <c r="AI3108" s="182" t="n">
        <v>0</v>
      </c>
      <c r="AJ3108" s="182" t="n">
        <v>0</v>
      </c>
      <c r="AK3108" s="182" t="n">
        <v>0</v>
      </c>
      <c r="AL3108" s="182" t="n">
        <v>0</v>
      </c>
      <c r="AM3108" s="182" t="n">
        <v>0</v>
      </c>
      <c r="AN3108" s="182" t="n">
        <v>0</v>
      </c>
    </row>
    <row r="3109">
      <c r="A3109" s="155" t="n">
        <v>46096</v>
      </c>
      <c r="B3109" s="156" t="inlineStr">
        <is>
          <t>DS</t>
        </is>
      </c>
      <c r="C3109" s="156" t="inlineStr">
        <is>
          <t>HT-407</t>
        </is>
      </c>
      <c r="D3109" s="156" t="inlineStr">
        <is>
          <t>SY430</t>
        </is>
      </c>
      <c r="E3109" s="156" t="inlineStr">
        <is>
          <t>DT Hauling</t>
        </is>
      </c>
      <c r="F3109" s="156" t="inlineStr">
        <is>
          <t>Travel ke WS</t>
        </is>
      </c>
      <c r="G3109" s="182" t="n">
        <v>1.11</v>
      </c>
      <c r="H3109" s="182" t="n">
        <v>2</v>
      </c>
      <c r="I3109" s="182" t="n">
        <v>0</v>
      </c>
      <c r="J3109" s="182" t="n">
        <v>2</v>
      </c>
      <c r="K3109" s="182" t="n">
        <v>8.890000000000001</v>
      </c>
      <c r="L3109" s="182" t="n">
        <v>12</v>
      </c>
      <c r="M3109" s="182" t="n">
        <v>0</v>
      </c>
      <c r="N3109" s="182" t="n">
        <v>0</v>
      </c>
      <c r="O3109" s="183" t="n">
        <v>0</v>
      </c>
      <c r="P3109" s="183" t="n">
        <v>0</v>
      </c>
      <c r="Q3109" s="184" t="n">
        <v>0</v>
      </c>
      <c r="R3109" s="184" t="n">
        <v>0</v>
      </c>
      <c r="S3109" s="183" t="n">
        <v>0</v>
      </c>
      <c r="T3109" s="183" t="n">
        <v>0</v>
      </c>
      <c r="U3109" s="182" t="n">
        <v>0</v>
      </c>
      <c r="V3109" s="182" t="n">
        <v>0</v>
      </c>
      <c r="W3109" s="182" t="n">
        <v>0</v>
      </c>
      <c r="X3109" s="182" t="n">
        <v>0.95</v>
      </c>
      <c r="Y3109" s="182" t="n">
        <v>0</v>
      </c>
      <c r="Z3109" s="182" t="n">
        <v>0</v>
      </c>
      <c r="AA3109" s="182" t="n">
        <v>0</v>
      </c>
      <c r="AB3109" s="182" t="n">
        <v>0</v>
      </c>
      <c r="AC3109" s="182" t="n">
        <v>0</v>
      </c>
      <c r="AD3109" s="182" t="n">
        <v>0</v>
      </c>
      <c r="AE3109" s="182" t="n">
        <v>0</v>
      </c>
      <c r="AF3109" s="182" t="n">
        <v>0</v>
      </c>
      <c r="AG3109" s="182" t="n">
        <v>0</v>
      </c>
      <c r="AH3109" s="182" t="n">
        <v>0</v>
      </c>
      <c r="AI3109" s="182" t="n">
        <v>0</v>
      </c>
      <c r="AJ3109" s="182" t="n">
        <v>0</v>
      </c>
      <c r="AK3109" s="182" t="n">
        <v>7.87</v>
      </c>
      <c r="AL3109" s="182" t="n">
        <v>0</v>
      </c>
      <c r="AM3109" s="182" t="n">
        <v>0.08</v>
      </c>
      <c r="AN3109" s="182" t="n">
        <v>0</v>
      </c>
    </row>
    <row r="3110">
      <c r="A3110" s="155" t="n">
        <v>46096</v>
      </c>
      <c r="B3110" s="156" t="inlineStr">
        <is>
          <t>DS</t>
        </is>
      </c>
      <c r="C3110" s="156" t="inlineStr">
        <is>
          <t>HT-414</t>
        </is>
      </c>
      <c r="D3110" s="156" t="inlineStr">
        <is>
          <t>SY430</t>
        </is>
      </c>
      <c r="E3110" s="156" t="inlineStr">
        <is>
          <t>DT Hauling</t>
        </is>
      </c>
      <c r="F3110" s="156" t="inlineStr"/>
      <c r="G3110" s="182" t="n">
        <v>0</v>
      </c>
      <c r="H3110" s="182" t="n">
        <v>0</v>
      </c>
      <c r="I3110" s="182" t="n">
        <v>0</v>
      </c>
      <c r="J3110" s="182" t="n">
        <v>0</v>
      </c>
      <c r="K3110" s="182" t="n">
        <v>12</v>
      </c>
      <c r="L3110" s="182" t="n">
        <v>12</v>
      </c>
      <c r="M3110" s="182" t="n">
        <v>0</v>
      </c>
      <c r="N3110" s="182" t="n">
        <v>0</v>
      </c>
      <c r="O3110" s="183" t="n">
        <v>0</v>
      </c>
      <c r="P3110" s="183" t="n">
        <v>0</v>
      </c>
      <c r="Q3110" s="184" t="n">
        <v>0</v>
      </c>
      <c r="R3110" s="184" t="n">
        <v>0</v>
      </c>
      <c r="S3110" s="183" t="n">
        <v>0</v>
      </c>
      <c r="T3110" s="183" t="n">
        <v>0</v>
      </c>
      <c r="U3110" s="182" t="n">
        <v>0</v>
      </c>
      <c r="V3110" s="182" t="n">
        <v>0</v>
      </c>
      <c r="W3110" s="182" t="n">
        <v>0</v>
      </c>
      <c r="X3110" s="182" t="n">
        <v>1</v>
      </c>
      <c r="Y3110" s="182" t="n">
        <v>0</v>
      </c>
      <c r="Z3110" s="182" t="n">
        <v>0</v>
      </c>
      <c r="AA3110" s="182" t="n">
        <v>0</v>
      </c>
      <c r="AB3110" s="182" t="n">
        <v>0</v>
      </c>
      <c r="AC3110" s="182" t="n">
        <v>0</v>
      </c>
      <c r="AD3110" s="182" t="n">
        <v>0</v>
      </c>
      <c r="AE3110" s="182" t="n">
        <v>0</v>
      </c>
      <c r="AF3110" s="182" t="n">
        <v>0</v>
      </c>
      <c r="AG3110" s="182" t="n">
        <v>0</v>
      </c>
      <c r="AH3110" s="182" t="n">
        <v>0</v>
      </c>
      <c r="AI3110" s="182" t="n">
        <v>0</v>
      </c>
      <c r="AJ3110" s="182" t="n">
        <v>0</v>
      </c>
      <c r="AK3110" s="182" t="n">
        <v>10.92</v>
      </c>
      <c r="AL3110" s="182" t="n">
        <v>0</v>
      </c>
      <c r="AM3110" s="182" t="n">
        <v>0.08</v>
      </c>
      <c r="AN3110" s="182" t="n">
        <v>0</v>
      </c>
    </row>
    <row r="3111">
      <c r="A3111" s="155" t="n">
        <v>46096</v>
      </c>
      <c r="B3111" s="156" t="inlineStr">
        <is>
          <t>DS</t>
        </is>
      </c>
      <c r="C3111" s="156" t="inlineStr">
        <is>
          <t>HT-411</t>
        </is>
      </c>
      <c r="D3111" s="156" t="inlineStr">
        <is>
          <t>SY430</t>
        </is>
      </c>
      <c r="E3111" s="156" t="inlineStr">
        <is>
          <t>DT Hauling</t>
        </is>
      </c>
      <c r="F3111" s="156" t="inlineStr"/>
      <c r="G3111" s="182" t="n">
        <v>0</v>
      </c>
      <c r="H3111" s="182" t="n">
        <v>0</v>
      </c>
      <c r="I3111" s="182" t="n">
        <v>0</v>
      </c>
      <c r="J3111" s="182" t="n">
        <v>0</v>
      </c>
      <c r="K3111" s="182" t="n">
        <v>12</v>
      </c>
      <c r="L3111" s="182" t="n">
        <v>12</v>
      </c>
      <c r="M3111" s="182" t="n">
        <v>0</v>
      </c>
      <c r="N3111" s="182" t="n">
        <v>0</v>
      </c>
      <c r="O3111" s="183" t="n">
        <v>0</v>
      </c>
      <c r="P3111" s="183" t="n">
        <v>0</v>
      </c>
      <c r="Q3111" s="184" t="n">
        <v>0</v>
      </c>
      <c r="R3111" s="184" t="n">
        <v>0</v>
      </c>
      <c r="S3111" s="183" t="n">
        <v>0</v>
      </c>
      <c r="T3111" s="183" t="n">
        <v>0</v>
      </c>
      <c r="U3111" s="182" t="n">
        <v>0</v>
      </c>
      <c r="V3111" s="182" t="n">
        <v>0</v>
      </c>
      <c r="W3111" s="182" t="n">
        <v>0</v>
      </c>
      <c r="X3111" s="182" t="n">
        <v>1</v>
      </c>
      <c r="Y3111" s="182" t="n">
        <v>0</v>
      </c>
      <c r="Z3111" s="182" t="n">
        <v>0</v>
      </c>
      <c r="AA3111" s="182" t="n">
        <v>0</v>
      </c>
      <c r="AB3111" s="182" t="n">
        <v>0</v>
      </c>
      <c r="AC3111" s="182" t="n">
        <v>0</v>
      </c>
      <c r="AD3111" s="182" t="n">
        <v>0</v>
      </c>
      <c r="AE3111" s="182" t="n">
        <v>0</v>
      </c>
      <c r="AF3111" s="182" t="n">
        <v>0</v>
      </c>
      <c r="AG3111" s="182" t="n">
        <v>0</v>
      </c>
      <c r="AH3111" s="182" t="n">
        <v>0</v>
      </c>
      <c r="AI3111" s="182" t="n">
        <v>0</v>
      </c>
      <c r="AJ3111" s="182" t="n">
        <v>0</v>
      </c>
      <c r="AK3111" s="182" t="n">
        <v>10.92</v>
      </c>
      <c r="AL3111" s="182" t="n">
        <v>0</v>
      </c>
      <c r="AM3111" s="182" t="n">
        <v>0.08</v>
      </c>
      <c r="AN3111" s="182" t="n">
        <v>0</v>
      </c>
    </row>
    <row r="3112">
      <c r="A3112" s="155" t="n">
        <v>46096</v>
      </c>
      <c r="B3112" s="156" t="inlineStr">
        <is>
          <t>DS</t>
        </is>
      </c>
      <c r="C3112" s="156" t="inlineStr">
        <is>
          <t>HT-409</t>
        </is>
      </c>
      <c r="D3112" s="156" t="inlineStr">
        <is>
          <t>SY430</t>
        </is>
      </c>
      <c r="E3112" s="156" t="inlineStr">
        <is>
          <t>DT Hauling</t>
        </is>
      </c>
      <c r="F3112" s="156" t="inlineStr"/>
      <c r="G3112" s="182" t="n">
        <v>0</v>
      </c>
      <c r="H3112" s="182" t="n">
        <v>0</v>
      </c>
      <c r="I3112" s="182" t="n">
        <v>0</v>
      </c>
      <c r="J3112" s="182" t="n">
        <v>0</v>
      </c>
      <c r="K3112" s="182" t="n">
        <v>12</v>
      </c>
      <c r="L3112" s="182" t="n">
        <v>12</v>
      </c>
      <c r="M3112" s="182" t="n">
        <v>0</v>
      </c>
      <c r="N3112" s="182" t="n">
        <v>0</v>
      </c>
      <c r="O3112" s="183" t="n">
        <v>0</v>
      </c>
      <c r="P3112" s="183" t="n">
        <v>0</v>
      </c>
      <c r="Q3112" s="184" t="n">
        <v>0</v>
      </c>
      <c r="R3112" s="184" t="n">
        <v>0</v>
      </c>
      <c r="S3112" s="183" t="n">
        <v>0</v>
      </c>
      <c r="T3112" s="183" t="n">
        <v>0</v>
      </c>
      <c r="U3112" s="182" t="n">
        <v>0</v>
      </c>
      <c r="V3112" s="182" t="n">
        <v>0</v>
      </c>
      <c r="W3112" s="182" t="n">
        <v>0</v>
      </c>
      <c r="X3112" s="182" t="n">
        <v>1</v>
      </c>
      <c r="Y3112" s="182" t="n">
        <v>0</v>
      </c>
      <c r="Z3112" s="182" t="n">
        <v>0</v>
      </c>
      <c r="AA3112" s="182" t="n">
        <v>0</v>
      </c>
      <c r="AB3112" s="182" t="n">
        <v>0</v>
      </c>
      <c r="AC3112" s="182" t="n">
        <v>0</v>
      </c>
      <c r="AD3112" s="182" t="n">
        <v>0</v>
      </c>
      <c r="AE3112" s="182" t="n">
        <v>0</v>
      </c>
      <c r="AF3112" s="182" t="n">
        <v>0</v>
      </c>
      <c r="AG3112" s="182" t="n">
        <v>0</v>
      </c>
      <c r="AH3112" s="182" t="n">
        <v>0</v>
      </c>
      <c r="AI3112" s="182" t="n">
        <v>0</v>
      </c>
      <c r="AJ3112" s="182" t="n">
        <v>0</v>
      </c>
      <c r="AK3112" s="182" t="n">
        <v>10.92</v>
      </c>
      <c r="AL3112" s="182" t="n">
        <v>0</v>
      </c>
      <c r="AM3112" s="182" t="n">
        <v>0.08</v>
      </c>
      <c r="AN3112" s="182" t="n">
        <v>0</v>
      </c>
    </row>
    <row r="3113">
      <c r="A3113" s="155" t="n">
        <v>46096</v>
      </c>
      <c r="B3113" s="156" t="inlineStr">
        <is>
          <t>DS</t>
        </is>
      </c>
      <c r="C3113" s="156" t="inlineStr">
        <is>
          <t>DH-103</t>
        </is>
      </c>
      <c r="D3113" s="156" t="inlineStr">
        <is>
          <t>HINO FM260</t>
        </is>
      </c>
      <c r="E3113" s="156" t="inlineStr">
        <is>
          <t>DT Hino</t>
        </is>
      </c>
      <c r="F3113" s="156" t="inlineStr"/>
      <c r="G3113" s="182" t="n">
        <v>0</v>
      </c>
      <c r="H3113" s="182" t="n">
        <v>0</v>
      </c>
      <c r="I3113" s="182" t="n">
        <v>12</v>
      </c>
      <c r="J3113" s="182" t="n">
        <v>12</v>
      </c>
      <c r="K3113" s="182" t="n">
        <v>0</v>
      </c>
      <c r="L3113" s="182" t="n">
        <v>12</v>
      </c>
      <c r="M3113" s="182" t="n">
        <v>0</v>
      </c>
      <c r="N3113" s="182" t="n">
        <v>0</v>
      </c>
      <c r="O3113" s="183" t="n">
        <v>0</v>
      </c>
      <c r="P3113" s="183" t="n">
        <v>0</v>
      </c>
      <c r="Q3113" s="184" t="n">
        <v>0</v>
      </c>
      <c r="R3113" s="184" t="n">
        <v>0</v>
      </c>
      <c r="S3113" s="183" t="n">
        <v>0</v>
      </c>
      <c r="T3113" s="183" t="n">
        <v>0</v>
      </c>
      <c r="U3113" s="182" t="n">
        <v>0</v>
      </c>
      <c r="V3113" s="182" t="n">
        <v>0</v>
      </c>
      <c r="W3113" s="182" t="n">
        <v>0</v>
      </c>
      <c r="X3113" s="182" t="n">
        <v>0</v>
      </c>
      <c r="Y3113" s="182" t="n">
        <v>0</v>
      </c>
      <c r="Z3113" s="182" t="n">
        <v>0</v>
      </c>
      <c r="AA3113" s="182" t="n">
        <v>0</v>
      </c>
      <c r="AB3113" s="182" t="n">
        <v>0</v>
      </c>
      <c r="AC3113" s="182" t="n">
        <v>0</v>
      </c>
      <c r="AD3113" s="182" t="n">
        <v>0</v>
      </c>
      <c r="AE3113" s="182" t="n">
        <v>0</v>
      </c>
      <c r="AF3113" s="182" t="n">
        <v>0</v>
      </c>
      <c r="AG3113" s="182" t="n">
        <v>0</v>
      </c>
      <c r="AH3113" s="182" t="n">
        <v>0</v>
      </c>
      <c r="AI3113" s="182" t="n">
        <v>0</v>
      </c>
      <c r="AJ3113" s="182" t="n">
        <v>0</v>
      </c>
      <c r="AK3113" s="182" t="n">
        <v>0</v>
      </c>
      <c r="AL3113" s="182" t="n">
        <v>0</v>
      </c>
      <c r="AM3113" s="182" t="n">
        <v>0</v>
      </c>
      <c r="AN3113" s="182" t="n">
        <v>0</v>
      </c>
    </row>
    <row r="3114">
      <c r="A3114" s="155" t="n">
        <v>46096</v>
      </c>
      <c r="B3114" s="156" t="inlineStr">
        <is>
          <t>DS</t>
        </is>
      </c>
      <c r="C3114" s="156" t="inlineStr">
        <is>
          <t>DH-102</t>
        </is>
      </c>
      <c r="D3114" s="156" t="inlineStr">
        <is>
          <t>HINO FM260</t>
        </is>
      </c>
      <c r="E3114" s="156" t="inlineStr">
        <is>
          <t>DT Hino</t>
        </is>
      </c>
      <c r="F3114" s="156" t="inlineStr"/>
      <c r="G3114" s="182" t="n">
        <v>0</v>
      </c>
      <c r="H3114" s="182" t="n">
        <v>0</v>
      </c>
      <c r="I3114" s="182" t="n">
        <v>0</v>
      </c>
      <c r="J3114" s="182" t="n">
        <v>0</v>
      </c>
      <c r="K3114" s="182" t="n">
        <v>12</v>
      </c>
      <c r="L3114" s="182" t="n">
        <v>12</v>
      </c>
      <c r="M3114" s="182" t="n">
        <v>0</v>
      </c>
      <c r="N3114" s="182" t="n">
        <v>0</v>
      </c>
      <c r="O3114" s="183" t="n">
        <v>0</v>
      </c>
      <c r="P3114" s="183" t="n">
        <v>0</v>
      </c>
      <c r="Q3114" s="184" t="n">
        <v>0</v>
      </c>
      <c r="R3114" s="184" t="n">
        <v>0</v>
      </c>
      <c r="S3114" s="183" t="n">
        <v>0</v>
      </c>
      <c r="T3114" s="183" t="n">
        <v>0</v>
      </c>
      <c r="U3114" s="182" t="n">
        <v>0</v>
      </c>
      <c r="V3114" s="182" t="n">
        <v>0</v>
      </c>
      <c r="W3114" s="182" t="n">
        <v>0</v>
      </c>
      <c r="X3114" s="182" t="n">
        <v>1</v>
      </c>
      <c r="Y3114" s="182" t="n">
        <v>0</v>
      </c>
      <c r="Z3114" s="182" t="n">
        <v>0</v>
      </c>
      <c r="AA3114" s="182" t="n">
        <v>0</v>
      </c>
      <c r="AB3114" s="182" t="n">
        <v>0</v>
      </c>
      <c r="AC3114" s="182" t="n">
        <v>0</v>
      </c>
      <c r="AD3114" s="182" t="n">
        <v>0</v>
      </c>
      <c r="AE3114" s="182" t="n">
        <v>0</v>
      </c>
      <c r="AF3114" s="182" t="n">
        <v>0</v>
      </c>
      <c r="AG3114" s="182" t="n">
        <v>0</v>
      </c>
      <c r="AH3114" s="182" t="n">
        <v>0</v>
      </c>
      <c r="AI3114" s="182" t="n">
        <v>0</v>
      </c>
      <c r="AJ3114" s="182" t="n">
        <v>0</v>
      </c>
      <c r="AK3114" s="182" t="n">
        <v>10.92</v>
      </c>
      <c r="AL3114" s="182" t="n">
        <v>0</v>
      </c>
      <c r="AM3114" s="182" t="n">
        <v>0.08</v>
      </c>
      <c r="AN3114" s="182" t="n">
        <v>0</v>
      </c>
    </row>
    <row r="3115">
      <c r="A3115" s="155" t="n">
        <v>46096</v>
      </c>
      <c r="B3115" s="156" t="inlineStr">
        <is>
          <t>DS</t>
        </is>
      </c>
      <c r="C3115" s="156" t="inlineStr">
        <is>
          <t>DH-101</t>
        </is>
      </c>
      <c r="D3115" s="156" t="inlineStr">
        <is>
          <t>HINO FM260</t>
        </is>
      </c>
      <c r="E3115" s="156" t="inlineStr">
        <is>
          <t>DT Hino</t>
        </is>
      </c>
      <c r="F3115" s="156" t="inlineStr"/>
      <c r="G3115" s="182" t="n">
        <v>0</v>
      </c>
      <c r="H3115" s="182" t="n">
        <v>0</v>
      </c>
      <c r="I3115" s="182" t="n">
        <v>0</v>
      </c>
      <c r="J3115" s="182" t="n">
        <v>0</v>
      </c>
      <c r="K3115" s="182" t="n">
        <v>12</v>
      </c>
      <c r="L3115" s="182" t="n">
        <v>12</v>
      </c>
      <c r="M3115" s="182" t="n">
        <v>0</v>
      </c>
      <c r="N3115" s="182" t="n">
        <v>0</v>
      </c>
      <c r="O3115" s="183" t="n">
        <v>0</v>
      </c>
      <c r="P3115" s="183" t="n">
        <v>0</v>
      </c>
      <c r="Q3115" s="184" t="n">
        <v>0</v>
      </c>
      <c r="R3115" s="184" t="n">
        <v>0</v>
      </c>
      <c r="S3115" s="183" t="n">
        <v>0</v>
      </c>
      <c r="T3115" s="183" t="n">
        <v>0</v>
      </c>
      <c r="U3115" s="182" t="n">
        <v>0</v>
      </c>
      <c r="V3115" s="182" t="n">
        <v>0</v>
      </c>
      <c r="W3115" s="182" t="n">
        <v>0</v>
      </c>
      <c r="X3115" s="182" t="n">
        <v>1</v>
      </c>
      <c r="Y3115" s="182" t="n">
        <v>0</v>
      </c>
      <c r="Z3115" s="182" t="n">
        <v>0</v>
      </c>
      <c r="AA3115" s="182" t="n">
        <v>0</v>
      </c>
      <c r="AB3115" s="182" t="n">
        <v>0</v>
      </c>
      <c r="AC3115" s="182" t="n">
        <v>0</v>
      </c>
      <c r="AD3115" s="182" t="n">
        <v>0</v>
      </c>
      <c r="AE3115" s="182" t="n">
        <v>0</v>
      </c>
      <c r="AF3115" s="182" t="n">
        <v>0</v>
      </c>
      <c r="AG3115" s="182" t="n">
        <v>0</v>
      </c>
      <c r="AH3115" s="182" t="n">
        <v>0</v>
      </c>
      <c r="AI3115" s="182" t="n">
        <v>0</v>
      </c>
      <c r="AJ3115" s="182" t="n">
        <v>0</v>
      </c>
      <c r="AK3115" s="182" t="n">
        <v>10.92</v>
      </c>
      <c r="AL3115" s="182" t="n">
        <v>0</v>
      </c>
      <c r="AM3115" s="182" t="n">
        <v>0.08</v>
      </c>
      <c r="AN3115" s="182" t="n">
        <v>0</v>
      </c>
    </row>
    <row r="3116">
      <c r="A3116" s="155" t="n">
        <v>46096</v>
      </c>
      <c r="B3116" s="156" t="inlineStr">
        <is>
          <t>DS</t>
        </is>
      </c>
      <c r="C3116" s="156" t="inlineStr">
        <is>
          <t>EX-1251</t>
        </is>
      </c>
      <c r="D3116" s="156" t="inlineStr">
        <is>
          <t>SY1250</t>
        </is>
      </c>
      <c r="E3116" s="156" t="inlineStr">
        <is>
          <t>Excavator</t>
        </is>
      </c>
      <c r="F3116" s="156" t="inlineStr">
        <is>
          <t>Loading Spoil &amp; OB</t>
        </is>
      </c>
      <c r="G3116" s="182" t="n">
        <v>4.58</v>
      </c>
      <c r="H3116" s="182" t="n">
        <v>0</v>
      </c>
      <c r="I3116" s="182" t="n">
        <v>3.75</v>
      </c>
      <c r="J3116" s="182" t="n">
        <v>3.75</v>
      </c>
      <c r="K3116" s="182" t="n">
        <v>3.67</v>
      </c>
      <c r="L3116" s="182" t="n">
        <v>12</v>
      </c>
      <c r="M3116" s="182" t="n">
        <v>3.26</v>
      </c>
      <c r="N3116" s="182" t="n">
        <v>0</v>
      </c>
      <c r="O3116" s="183" t="n">
        <v>69</v>
      </c>
      <c r="P3116" s="183" t="n">
        <v>0</v>
      </c>
      <c r="Q3116" s="184" t="n">
        <v>1407.6</v>
      </c>
      <c r="R3116" s="184" t="n">
        <v>0</v>
      </c>
      <c r="S3116" s="183" t="n">
        <v>0</v>
      </c>
      <c r="T3116" s="183" t="n">
        <v>0</v>
      </c>
      <c r="U3116" s="182" t="n">
        <v>1.57</v>
      </c>
      <c r="V3116" s="182" t="n">
        <v>0.57</v>
      </c>
      <c r="W3116" s="182" t="n">
        <v>0</v>
      </c>
      <c r="X3116" s="182" t="n">
        <v>1.1</v>
      </c>
      <c r="Y3116" s="182" t="n">
        <v>0</v>
      </c>
      <c r="Z3116" s="182" t="n">
        <v>0</v>
      </c>
      <c r="AA3116" s="182" t="n">
        <v>0</v>
      </c>
      <c r="AB3116" s="182" t="n">
        <v>0</v>
      </c>
      <c r="AC3116" s="182" t="n">
        <v>0</v>
      </c>
      <c r="AD3116" s="182" t="n">
        <v>0</v>
      </c>
      <c r="AE3116" s="182" t="n">
        <v>0</v>
      </c>
      <c r="AF3116" s="182" t="n">
        <v>0</v>
      </c>
      <c r="AG3116" s="182" t="n">
        <v>0</v>
      </c>
      <c r="AH3116" s="182" t="n">
        <v>0.34</v>
      </c>
      <c r="AI3116" s="182" t="n">
        <v>0</v>
      </c>
      <c r="AJ3116" s="182" t="n">
        <v>0</v>
      </c>
      <c r="AK3116" s="182" t="n">
        <v>0</v>
      </c>
      <c r="AL3116" s="182" t="n">
        <v>0</v>
      </c>
      <c r="AM3116" s="182" t="n">
        <v>0.09</v>
      </c>
      <c r="AN3116" s="182" t="n">
        <v>0</v>
      </c>
    </row>
    <row r="3117">
      <c r="A3117" s="155" t="n">
        <v>46096</v>
      </c>
      <c r="B3117" s="156" t="inlineStr">
        <is>
          <t>DS</t>
        </is>
      </c>
      <c r="C3117" s="156" t="inlineStr">
        <is>
          <t>EX-1252</t>
        </is>
      </c>
      <c r="D3117" s="156" t="inlineStr">
        <is>
          <t>SY1250</t>
        </is>
      </c>
      <c r="E3117" s="156" t="inlineStr">
        <is>
          <t>Excavator</t>
        </is>
      </c>
      <c r="F3117" s="156" t="inlineStr">
        <is>
          <t>Loading OB</t>
        </is>
      </c>
      <c r="G3117" s="182" t="n">
        <v>2.17</v>
      </c>
      <c r="H3117" s="182" t="n">
        <v>0</v>
      </c>
      <c r="I3117" s="182" t="n">
        <v>7.33</v>
      </c>
      <c r="J3117" s="182" t="n">
        <v>7.33</v>
      </c>
      <c r="K3117" s="182" t="n">
        <v>2.5</v>
      </c>
      <c r="L3117" s="182" t="n">
        <v>12</v>
      </c>
      <c r="M3117" s="182" t="n">
        <v>1.62</v>
      </c>
      <c r="N3117" s="182" t="n">
        <v>0</v>
      </c>
      <c r="O3117" s="183" t="n">
        <v>21</v>
      </c>
      <c r="P3117" s="183" t="n">
        <v>0</v>
      </c>
      <c r="Q3117" s="184" t="n">
        <v>688.5</v>
      </c>
      <c r="R3117" s="184" t="n">
        <v>0</v>
      </c>
      <c r="S3117" s="183" t="n">
        <v>0</v>
      </c>
      <c r="T3117" s="183" t="n">
        <v>0</v>
      </c>
      <c r="U3117" s="182" t="n">
        <v>1.39</v>
      </c>
      <c r="V3117" s="182" t="n">
        <v>0.54</v>
      </c>
      <c r="W3117" s="182" t="n">
        <v>0</v>
      </c>
      <c r="X3117" s="182" t="n">
        <v>0</v>
      </c>
      <c r="Y3117" s="182" t="n">
        <v>0</v>
      </c>
      <c r="Z3117" s="182" t="n">
        <v>0</v>
      </c>
      <c r="AA3117" s="182" t="n">
        <v>0</v>
      </c>
      <c r="AB3117" s="182" t="n">
        <v>0</v>
      </c>
      <c r="AC3117" s="182" t="n">
        <v>0</v>
      </c>
      <c r="AD3117" s="182" t="n">
        <v>0</v>
      </c>
      <c r="AE3117" s="182" t="n">
        <v>0</v>
      </c>
      <c r="AF3117" s="182" t="n">
        <v>0</v>
      </c>
      <c r="AG3117" s="182" t="n">
        <v>0</v>
      </c>
      <c r="AH3117" s="182" t="n">
        <v>0.49</v>
      </c>
      <c r="AI3117" s="182" t="n">
        <v>0</v>
      </c>
      <c r="AJ3117" s="182" t="n">
        <v>0</v>
      </c>
      <c r="AK3117" s="182" t="n">
        <v>0</v>
      </c>
      <c r="AL3117" s="182" t="n">
        <v>0</v>
      </c>
      <c r="AM3117" s="182" t="n">
        <v>0.08</v>
      </c>
      <c r="AN3117" s="182" t="n">
        <v>0</v>
      </c>
    </row>
    <row r="3118">
      <c r="A3118" s="155" t="n">
        <v>46096</v>
      </c>
      <c r="B3118" s="156" t="inlineStr">
        <is>
          <t>DS</t>
        </is>
      </c>
      <c r="C3118" s="156" t="inlineStr">
        <is>
          <t>EX-2101</t>
        </is>
      </c>
      <c r="D3118" s="156" t="inlineStr">
        <is>
          <t>SY2000</t>
        </is>
      </c>
      <c r="E3118" s="156" t="inlineStr">
        <is>
          <t>Excavator</t>
        </is>
      </c>
      <c r="F3118" s="156" t="inlineStr"/>
      <c r="G3118" s="182" t="n">
        <v>0</v>
      </c>
      <c r="H3118" s="182" t="n">
        <v>0</v>
      </c>
      <c r="I3118" s="182" t="n">
        <v>12</v>
      </c>
      <c r="J3118" s="182" t="n">
        <v>12</v>
      </c>
      <c r="K3118" s="182" t="n">
        <v>0</v>
      </c>
      <c r="L3118" s="182" t="n">
        <v>12</v>
      </c>
      <c r="M3118" s="182" t="n">
        <v>0</v>
      </c>
      <c r="N3118" s="182" t="n">
        <v>0</v>
      </c>
      <c r="O3118" s="183" t="n">
        <v>0</v>
      </c>
      <c r="P3118" s="183" t="n">
        <v>0</v>
      </c>
      <c r="Q3118" s="184" t="n">
        <v>0</v>
      </c>
      <c r="R3118" s="184" t="n">
        <v>0</v>
      </c>
      <c r="S3118" s="183" t="n">
        <v>0</v>
      </c>
      <c r="T3118" s="183" t="n">
        <v>0</v>
      </c>
      <c r="U3118" s="182" t="n">
        <v>0</v>
      </c>
      <c r="V3118" s="182" t="n">
        <v>0</v>
      </c>
      <c r="W3118" s="182" t="n">
        <v>0</v>
      </c>
      <c r="X3118" s="182" t="n">
        <v>0</v>
      </c>
      <c r="Y3118" s="182" t="n">
        <v>0</v>
      </c>
      <c r="Z3118" s="182" t="n">
        <v>0</v>
      </c>
      <c r="AA3118" s="182" t="n">
        <v>0</v>
      </c>
      <c r="AB3118" s="182" t="n">
        <v>0</v>
      </c>
      <c r="AC3118" s="182" t="n">
        <v>0</v>
      </c>
      <c r="AD3118" s="182" t="n">
        <v>0</v>
      </c>
      <c r="AE3118" s="182" t="n">
        <v>0</v>
      </c>
      <c r="AF3118" s="182" t="n">
        <v>0</v>
      </c>
      <c r="AG3118" s="182" t="n">
        <v>0</v>
      </c>
      <c r="AH3118" s="182" t="n">
        <v>0</v>
      </c>
      <c r="AI3118" s="182" t="n">
        <v>0</v>
      </c>
      <c r="AJ3118" s="182" t="n">
        <v>0</v>
      </c>
      <c r="AK3118" s="182" t="n">
        <v>0</v>
      </c>
      <c r="AL3118" s="182" t="n">
        <v>0</v>
      </c>
      <c r="AM3118" s="182" t="n">
        <v>0</v>
      </c>
      <c r="AN3118" s="182" t="n">
        <v>0</v>
      </c>
    </row>
    <row r="3119">
      <c r="A3119" s="155" t="n">
        <v>46096</v>
      </c>
      <c r="B3119" s="156" t="inlineStr">
        <is>
          <t>DS</t>
        </is>
      </c>
      <c r="C3119" s="156" t="inlineStr">
        <is>
          <t>EX-222</t>
        </is>
      </c>
      <c r="D3119" s="156" t="inlineStr">
        <is>
          <t>PC 200-8MI</t>
        </is>
      </c>
      <c r="E3119" s="156" t="inlineStr">
        <is>
          <t>Excavator</t>
        </is>
      </c>
      <c r="F3119" s="156" t="inlineStr">
        <is>
          <t>Sidecast coal ke hopper Washing Plant</t>
        </is>
      </c>
      <c r="G3119" s="182" t="n">
        <v>10.24</v>
      </c>
      <c r="H3119" s="182" t="n">
        <v>0</v>
      </c>
      <c r="I3119" s="182" t="n">
        <v>1.72</v>
      </c>
      <c r="J3119" s="182" t="n">
        <v>1.72</v>
      </c>
      <c r="K3119" s="182" t="n">
        <v>0.04</v>
      </c>
      <c r="L3119" s="182" t="n">
        <v>12</v>
      </c>
      <c r="M3119" s="182" t="n">
        <v>0</v>
      </c>
      <c r="N3119" s="182" t="n">
        <v>0</v>
      </c>
      <c r="O3119" s="183" t="n">
        <v>0</v>
      </c>
      <c r="P3119" s="183" t="n">
        <v>0</v>
      </c>
      <c r="Q3119" s="184" t="n">
        <v>0</v>
      </c>
      <c r="R3119" s="184" t="n">
        <v>0</v>
      </c>
      <c r="S3119" s="183" t="n">
        <v>0</v>
      </c>
      <c r="T3119" s="183" t="n">
        <v>0</v>
      </c>
      <c r="U3119" s="182" t="n">
        <v>0</v>
      </c>
      <c r="V3119" s="182" t="n">
        <v>0</v>
      </c>
      <c r="W3119" s="182" t="n">
        <v>0</v>
      </c>
      <c r="X3119" s="182" t="n">
        <v>0</v>
      </c>
      <c r="Y3119" s="182" t="n">
        <v>0</v>
      </c>
      <c r="Z3119" s="182" t="n">
        <v>0</v>
      </c>
      <c r="AA3119" s="182" t="n">
        <v>0</v>
      </c>
      <c r="AB3119" s="182" t="n">
        <v>0</v>
      </c>
      <c r="AC3119" s="182" t="n">
        <v>0</v>
      </c>
      <c r="AD3119" s="182" t="n">
        <v>0</v>
      </c>
      <c r="AE3119" s="182" t="n">
        <v>0</v>
      </c>
      <c r="AF3119" s="182" t="n">
        <v>0</v>
      </c>
      <c r="AG3119" s="182" t="n">
        <v>0</v>
      </c>
      <c r="AH3119" s="182" t="n">
        <v>0</v>
      </c>
      <c r="AI3119" s="182" t="n">
        <v>0</v>
      </c>
      <c r="AJ3119" s="182" t="n">
        <v>0</v>
      </c>
      <c r="AK3119" s="182" t="n">
        <v>0</v>
      </c>
      <c r="AL3119" s="182" t="n">
        <v>0</v>
      </c>
      <c r="AM3119" s="182" t="n">
        <v>0.04</v>
      </c>
      <c r="AN3119" s="182" t="n">
        <v>0</v>
      </c>
    </row>
    <row r="3120">
      <c r="A3120" s="155" t="n">
        <v>46096</v>
      </c>
      <c r="B3120" s="156" t="inlineStr">
        <is>
          <t>DS</t>
        </is>
      </c>
      <c r="C3120" s="156" t="inlineStr">
        <is>
          <t>EX-225</t>
        </is>
      </c>
      <c r="D3120" s="156" t="inlineStr">
        <is>
          <t>PC 200-8</t>
        </is>
      </c>
      <c r="E3120" s="156" t="inlineStr">
        <is>
          <t>Excavator</t>
        </is>
      </c>
      <c r="F3120" s="156" t="inlineStr"/>
      <c r="G3120" s="182" t="n">
        <v>0</v>
      </c>
      <c r="H3120" s="182" t="n">
        <v>0</v>
      </c>
      <c r="I3120" s="182" t="n">
        <v>12</v>
      </c>
      <c r="J3120" s="182" t="n">
        <v>12</v>
      </c>
      <c r="K3120" s="182" t="n">
        <v>0</v>
      </c>
      <c r="L3120" s="182" t="n">
        <v>12</v>
      </c>
      <c r="M3120" s="182" t="n">
        <v>0</v>
      </c>
      <c r="N3120" s="182" t="n">
        <v>0</v>
      </c>
      <c r="O3120" s="183" t="n">
        <v>0</v>
      </c>
      <c r="P3120" s="183" t="n">
        <v>0</v>
      </c>
      <c r="Q3120" s="184" t="n">
        <v>0</v>
      </c>
      <c r="R3120" s="184" t="n">
        <v>0</v>
      </c>
      <c r="S3120" s="183" t="n">
        <v>0</v>
      </c>
      <c r="T3120" s="183" t="n">
        <v>0</v>
      </c>
      <c r="U3120" s="182" t="n">
        <v>0</v>
      </c>
      <c r="V3120" s="182" t="n">
        <v>0</v>
      </c>
      <c r="W3120" s="182" t="n">
        <v>0</v>
      </c>
      <c r="X3120" s="182" t="n">
        <v>0</v>
      </c>
      <c r="Y3120" s="182" t="n">
        <v>0</v>
      </c>
      <c r="Z3120" s="182" t="n">
        <v>0</v>
      </c>
      <c r="AA3120" s="182" t="n">
        <v>0</v>
      </c>
      <c r="AB3120" s="182" t="n">
        <v>0</v>
      </c>
      <c r="AC3120" s="182" t="n">
        <v>0</v>
      </c>
      <c r="AD3120" s="182" t="n">
        <v>0</v>
      </c>
      <c r="AE3120" s="182" t="n">
        <v>0</v>
      </c>
      <c r="AF3120" s="182" t="n">
        <v>0</v>
      </c>
      <c r="AG3120" s="182" t="n">
        <v>0</v>
      </c>
      <c r="AH3120" s="182" t="n">
        <v>0</v>
      </c>
      <c r="AI3120" s="182" t="n">
        <v>0</v>
      </c>
      <c r="AJ3120" s="182" t="n">
        <v>0</v>
      </c>
      <c r="AK3120" s="182" t="n">
        <v>0</v>
      </c>
      <c r="AL3120" s="182" t="n">
        <v>0</v>
      </c>
      <c r="AM3120" s="182" t="n">
        <v>0</v>
      </c>
      <c r="AN3120" s="182" t="n">
        <v>0</v>
      </c>
    </row>
    <row r="3121">
      <c r="A3121" s="155" t="n">
        <v>46096</v>
      </c>
      <c r="B3121" s="156" t="inlineStr">
        <is>
          <t>DS</t>
        </is>
      </c>
      <c r="C3121" s="156" t="inlineStr">
        <is>
          <t>EX-223</t>
        </is>
      </c>
      <c r="D3121" s="156" t="inlineStr">
        <is>
          <t>PC 200-8MI</t>
        </is>
      </c>
      <c r="E3121" s="156" t="inlineStr">
        <is>
          <t>Excavator</t>
        </is>
      </c>
      <c r="F3121" s="156" t="inlineStr">
        <is>
          <t>General WS Lama, Gudang Handak &amp; Bikin parit kantin</t>
        </is>
      </c>
      <c r="G3121" s="182" t="n">
        <v>7.5</v>
      </c>
      <c r="H3121" s="182" t="n">
        <v>0</v>
      </c>
      <c r="I3121" s="182" t="n">
        <v>0</v>
      </c>
      <c r="J3121" s="182" t="n">
        <v>0</v>
      </c>
      <c r="K3121" s="182" t="n">
        <v>4.5</v>
      </c>
      <c r="L3121" s="182" t="n">
        <v>12</v>
      </c>
      <c r="M3121" s="182" t="n">
        <v>0</v>
      </c>
      <c r="N3121" s="182" t="n">
        <v>0</v>
      </c>
      <c r="O3121" s="183" t="n">
        <v>0</v>
      </c>
      <c r="P3121" s="183" t="n">
        <v>0</v>
      </c>
      <c r="Q3121" s="184" t="n">
        <v>0</v>
      </c>
      <c r="R3121" s="184" t="n">
        <v>0</v>
      </c>
      <c r="S3121" s="183" t="n">
        <v>0</v>
      </c>
      <c r="T3121" s="183" t="n">
        <v>0</v>
      </c>
      <c r="U3121" s="182" t="n">
        <v>1.46</v>
      </c>
      <c r="V3121" s="182" t="n">
        <v>0</v>
      </c>
      <c r="W3121" s="182" t="n">
        <v>0</v>
      </c>
      <c r="X3121" s="182" t="n">
        <v>1.02</v>
      </c>
      <c r="Y3121" s="182" t="n">
        <v>0</v>
      </c>
      <c r="Z3121" s="182" t="n">
        <v>0</v>
      </c>
      <c r="AA3121" s="182" t="n">
        <v>0</v>
      </c>
      <c r="AB3121" s="182" t="n">
        <v>0</v>
      </c>
      <c r="AC3121" s="182" t="n">
        <v>0</v>
      </c>
      <c r="AD3121" s="182" t="n">
        <v>0</v>
      </c>
      <c r="AE3121" s="182" t="n">
        <v>0</v>
      </c>
      <c r="AF3121" s="182" t="n">
        <v>0</v>
      </c>
      <c r="AG3121" s="182" t="n">
        <v>0</v>
      </c>
      <c r="AH3121" s="182" t="n">
        <v>0</v>
      </c>
      <c r="AI3121" s="182" t="n">
        <v>0</v>
      </c>
      <c r="AJ3121" s="182" t="n">
        <v>0</v>
      </c>
      <c r="AK3121" s="182" t="n">
        <v>1.93</v>
      </c>
      <c r="AL3121" s="182" t="n">
        <v>0</v>
      </c>
      <c r="AM3121" s="182" t="n">
        <v>0.08</v>
      </c>
      <c r="AN3121" s="182" t="n">
        <v>0</v>
      </c>
    </row>
    <row r="3122">
      <c r="A3122" s="155" t="n">
        <v>46096</v>
      </c>
      <c r="B3122" s="156" t="inlineStr">
        <is>
          <t>DS</t>
        </is>
      </c>
      <c r="C3122" s="156" t="inlineStr">
        <is>
          <t>EX-221</t>
        </is>
      </c>
      <c r="D3122" s="156" t="inlineStr">
        <is>
          <t>PC 200-8MI</t>
        </is>
      </c>
      <c r="E3122" s="156" t="inlineStr">
        <is>
          <t>Excavator</t>
        </is>
      </c>
      <c r="F3122" s="156" t="inlineStr">
        <is>
          <t>General Jetty</t>
        </is>
      </c>
      <c r="G3122" s="182" t="n">
        <v>3.96</v>
      </c>
      <c r="H3122" s="182" t="n">
        <v>0</v>
      </c>
      <c r="I3122" s="182" t="n">
        <v>0.42</v>
      </c>
      <c r="J3122" s="182" t="n">
        <v>0.42</v>
      </c>
      <c r="K3122" s="182" t="n">
        <v>7.62</v>
      </c>
      <c r="L3122" s="182" t="n">
        <v>12</v>
      </c>
      <c r="M3122" s="182" t="n">
        <v>0</v>
      </c>
      <c r="N3122" s="182" t="n">
        <v>0</v>
      </c>
      <c r="O3122" s="183" t="n">
        <v>0</v>
      </c>
      <c r="P3122" s="183" t="n">
        <v>0</v>
      </c>
      <c r="Q3122" s="184" t="n">
        <v>0</v>
      </c>
      <c r="R3122" s="184" t="n">
        <v>0</v>
      </c>
      <c r="S3122" s="183" t="n">
        <v>0</v>
      </c>
      <c r="T3122" s="183" t="n">
        <v>0</v>
      </c>
      <c r="U3122" s="182" t="n">
        <v>1.4</v>
      </c>
      <c r="V3122" s="182" t="n">
        <v>0</v>
      </c>
      <c r="W3122" s="182" t="n">
        <v>0</v>
      </c>
      <c r="X3122" s="182" t="n">
        <v>0.98</v>
      </c>
      <c r="Y3122" s="182" t="n">
        <v>0</v>
      </c>
      <c r="Z3122" s="182" t="n">
        <v>0</v>
      </c>
      <c r="AA3122" s="182" t="n">
        <v>0</v>
      </c>
      <c r="AB3122" s="182" t="n">
        <v>0</v>
      </c>
      <c r="AC3122" s="182" t="n">
        <v>0</v>
      </c>
      <c r="AD3122" s="182" t="n">
        <v>0</v>
      </c>
      <c r="AE3122" s="182" t="n">
        <v>0</v>
      </c>
      <c r="AF3122" s="182" t="n">
        <v>0</v>
      </c>
      <c r="AG3122" s="182" t="n">
        <v>0</v>
      </c>
      <c r="AH3122" s="182" t="n">
        <v>0</v>
      </c>
      <c r="AI3122" s="182" t="n">
        <v>0</v>
      </c>
      <c r="AJ3122" s="182" t="n">
        <v>0</v>
      </c>
      <c r="AK3122" s="182" t="n">
        <v>5.16</v>
      </c>
      <c r="AL3122" s="182" t="n">
        <v>0</v>
      </c>
      <c r="AM3122" s="182" t="n">
        <v>0.08</v>
      </c>
      <c r="AN3122" s="182" t="n">
        <v>0</v>
      </c>
    </row>
    <row r="3123">
      <c r="A3123" s="155" t="n">
        <v>46096</v>
      </c>
      <c r="B3123" s="156" t="inlineStr">
        <is>
          <t>DS</t>
        </is>
      </c>
      <c r="C3123" s="156" t="inlineStr">
        <is>
          <t>EX-331</t>
        </is>
      </c>
      <c r="D3123" s="156" t="inlineStr">
        <is>
          <t>PC 300-8MO</t>
        </is>
      </c>
      <c r="E3123" s="156" t="inlineStr">
        <is>
          <t>Excavator</t>
        </is>
      </c>
      <c r="F3123" s="156" t="inlineStr"/>
      <c r="G3123" s="182" t="n">
        <v>0</v>
      </c>
      <c r="H3123" s="182" t="n">
        <v>0</v>
      </c>
      <c r="I3123" s="182" t="n">
        <v>12</v>
      </c>
      <c r="J3123" s="182" t="n">
        <v>12</v>
      </c>
      <c r="K3123" s="182" t="n">
        <v>0</v>
      </c>
      <c r="L3123" s="182" t="n">
        <v>12</v>
      </c>
      <c r="M3123" s="182" t="n">
        <v>0</v>
      </c>
      <c r="N3123" s="182" t="n">
        <v>0</v>
      </c>
      <c r="O3123" s="183" t="n">
        <v>0</v>
      </c>
      <c r="P3123" s="183" t="n">
        <v>0</v>
      </c>
      <c r="Q3123" s="184" t="n">
        <v>0</v>
      </c>
      <c r="R3123" s="184" t="n">
        <v>0</v>
      </c>
      <c r="S3123" s="183" t="n">
        <v>0</v>
      </c>
      <c r="T3123" s="183" t="n">
        <v>0</v>
      </c>
      <c r="U3123" s="182" t="n">
        <v>0</v>
      </c>
      <c r="V3123" s="182" t="n">
        <v>0</v>
      </c>
      <c r="W3123" s="182" t="n">
        <v>0</v>
      </c>
      <c r="X3123" s="182" t="n">
        <v>0</v>
      </c>
      <c r="Y3123" s="182" t="n">
        <v>0</v>
      </c>
      <c r="Z3123" s="182" t="n">
        <v>0</v>
      </c>
      <c r="AA3123" s="182" t="n">
        <v>0</v>
      </c>
      <c r="AB3123" s="182" t="n">
        <v>0</v>
      </c>
      <c r="AC3123" s="182" t="n">
        <v>0</v>
      </c>
      <c r="AD3123" s="182" t="n">
        <v>0</v>
      </c>
      <c r="AE3123" s="182" t="n">
        <v>0</v>
      </c>
      <c r="AF3123" s="182" t="n">
        <v>0</v>
      </c>
      <c r="AG3123" s="182" t="n">
        <v>0</v>
      </c>
      <c r="AH3123" s="182" t="n">
        <v>0</v>
      </c>
      <c r="AI3123" s="182" t="n">
        <v>0</v>
      </c>
      <c r="AJ3123" s="182" t="n">
        <v>0</v>
      </c>
      <c r="AK3123" s="182" t="n">
        <v>0</v>
      </c>
      <c r="AL3123" s="182" t="n">
        <v>0</v>
      </c>
      <c r="AM3123" s="182" t="n">
        <v>0</v>
      </c>
      <c r="AN3123" s="182" t="n">
        <v>0</v>
      </c>
    </row>
    <row r="3124">
      <c r="A3124" s="155" t="n">
        <v>46096</v>
      </c>
      <c r="B3124" s="156" t="inlineStr">
        <is>
          <t>DS</t>
        </is>
      </c>
      <c r="C3124" s="156" t="inlineStr">
        <is>
          <t>EX-334</t>
        </is>
      </c>
      <c r="D3124" s="156" t="inlineStr">
        <is>
          <t>PC 300-8MO</t>
        </is>
      </c>
      <c r="E3124" s="156" t="inlineStr">
        <is>
          <t>Excavator</t>
        </is>
      </c>
      <c r="F3124" s="156" t="inlineStr">
        <is>
          <t>General di Stock ROM &amp; WP</t>
        </is>
      </c>
      <c r="G3124" s="182" t="n">
        <v>11.86</v>
      </c>
      <c r="H3124" s="182" t="n">
        <v>0</v>
      </c>
      <c r="I3124" s="182" t="n">
        <v>0</v>
      </c>
      <c r="J3124" s="182" t="n">
        <v>0</v>
      </c>
      <c r="K3124" s="182" t="n">
        <v>0.14</v>
      </c>
      <c r="L3124" s="182" t="n">
        <v>12</v>
      </c>
      <c r="M3124" s="182" t="n">
        <v>0</v>
      </c>
      <c r="N3124" s="182" t="n">
        <v>0</v>
      </c>
      <c r="O3124" s="183" t="n">
        <v>0</v>
      </c>
      <c r="P3124" s="183" t="n">
        <v>0</v>
      </c>
      <c r="Q3124" s="184" t="n">
        <v>0</v>
      </c>
      <c r="R3124" s="184" t="n">
        <v>0</v>
      </c>
      <c r="S3124" s="183" t="n">
        <v>0</v>
      </c>
      <c r="T3124" s="183" t="n">
        <v>0</v>
      </c>
      <c r="U3124" s="182" t="n">
        <v>0</v>
      </c>
      <c r="V3124" s="182" t="n">
        <v>0</v>
      </c>
      <c r="W3124" s="182" t="n">
        <v>0</v>
      </c>
      <c r="X3124" s="182" t="n">
        <v>0.08</v>
      </c>
      <c r="Y3124" s="182" t="n">
        <v>0</v>
      </c>
      <c r="Z3124" s="182" t="n">
        <v>0</v>
      </c>
      <c r="AA3124" s="182" t="n">
        <v>0</v>
      </c>
      <c r="AB3124" s="182" t="n">
        <v>0</v>
      </c>
      <c r="AC3124" s="182" t="n">
        <v>0</v>
      </c>
      <c r="AD3124" s="182" t="n">
        <v>0</v>
      </c>
      <c r="AE3124" s="182" t="n">
        <v>0</v>
      </c>
      <c r="AF3124" s="182" t="n">
        <v>0</v>
      </c>
      <c r="AG3124" s="182" t="n">
        <v>0</v>
      </c>
      <c r="AH3124" s="182" t="n">
        <v>0</v>
      </c>
      <c r="AI3124" s="182" t="n">
        <v>0</v>
      </c>
      <c r="AJ3124" s="182" t="n">
        <v>0</v>
      </c>
      <c r="AK3124" s="182" t="n">
        <v>0</v>
      </c>
      <c r="AL3124" s="182" t="n">
        <v>0</v>
      </c>
      <c r="AM3124" s="182" t="n">
        <v>0.06</v>
      </c>
      <c r="AN3124" s="182" t="n">
        <v>0</v>
      </c>
    </row>
    <row r="3125">
      <c r="A3125" s="155" t="n">
        <v>46096</v>
      </c>
      <c r="B3125" s="156" t="inlineStr">
        <is>
          <t>DS</t>
        </is>
      </c>
      <c r="C3125" s="156" t="inlineStr">
        <is>
          <t>EX-332</t>
        </is>
      </c>
      <c r="D3125" s="156" t="inlineStr">
        <is>
          <t>PC 300-8MO</t>
        </is>
      </c>
      <c r="E3125" s="156" t="inlineStr">
        <is>
          <t>Excavator</t>
        </is>
      </c>
      <c r="F3125" s="156" t="inlineStr"/>
      <c r="G3125" s="182" t="n">
        <v>0</v>
      </c>
      <c r="H3125" s="182" t="n">
        <v>0</v>
      </c>
      <c r="I3125" s="182" t="n">
        <v>12</v>
      </c>
      <c r="J3125" s="182" t="n">
        <v>12</v>
      </c>
      <c r="K3125" s="182" t="n">
        <v>0</v>
      </c>
      <c r="L3125" s="182" t="n">
        <v>12</v>
      </c>
      <c r="M3125" s="182" t="n">
        <v>0</v>
      </c>
      <c r="N3125" s="182" t="n">
        <v>0</v>
      </c>
      <c r="O3125" s="183" t="n">
        <v>0</v>
      </c>
      <c r="P3125" s="183" t="n">
        <v>0</v>
      </c>
      <c r="Q3125" s="184" t="n">
        <v>0</v>
      </c>
      <c r="R3125" s="184" t="n">
        <v>0</v>
      </c>
      <c r="S3125" s="183" t="n">
        <v>0</v>
      </c>
      <c r="T3125" s="183" t="n">
        <v>0</v>
      </c>
      <c r="U3125" s="182" t="n">
        <v>0</v>
      </c>
      <c r="V3125" s="182" t="n">
        <v>0</v>
      </c>
      <c r="W3125" s="182" t="n">
        <v>0</v>
      </c>
      <c r="X3125" s="182" t="n">
        <v>0</v>
      </c>
      <c r="Y3125" s="182" t="n">
        <v>0</v>
      </c>
      <c r="Z3125" s="182" t="n">
        <v>0</v>
      </c>
      <c r="AA3125" s="182" t="n">
        <v>0</v>
      </c>
      <c r="AB3125" s="182" t="n">
        <v>0</v>
      </c>
      <c r="AC3125" s="182" t="n">
        <v>0</v>
      </c>
      <c r="AD3125" s="182" t="n">
        <v>0</v>
      </c>
      <c r="AE3125" s="182" t="n">
        <v>0</v>
      </c>
      <c r="AF3125" s="182" t="n">
        <v>0</v>
      </c>
      <c r="AG3125" s="182" t="n">
        <v>0</v>
      </c>
      <c r="AH3125" s="182" t="n">
        <v>0</v>
      </c>
      <c r="AI3125" s="182" t="n">
        <v>0</v>
      </c>
      <c r="AJ3125" s="182" t="n">
        <v>0</v>
      </c>
      <c r="AK3125" s="182" t="n">
        <v>0</v>
      </c>
      <c r="AL3125" s="182" t="n">
        <v>0</v>
      </c>
      <c r="AM3125" s="182" t="n">
        <v>0</v>
      </c>
      <c r="AN3125" s="182" t="n">
        <v>0</v>
      </c>
    </row>
    <row r="3126">
      <c r="A3126" s="155" t="n">
        <v>46096</v>
      </c>
      <c r="B3126" s="156" t="inlineStr">
        <is>
          <t>DS</t>
        </is>
      </c>
      <c r="C3126" s="156" t="inlineStr">
        <is>
          <t>EX-333</t>
        </is>
      </c>
      <c r="D3126" s="156" t="inlineStr">
        <is>
          <t>PC 300-8MO</t>
        </is>
      </c>
      <c r="E3126" s="156" t="inlineStr">
        <is>
          <t>Excavator</t>
        </is>
      </c>
      <c r="F3126" s="156" t="inlineStr">
        <is>
          <t>Loading coal S30 barat</t>
        </is>
      </c>
      <c r="G3126" s="182" t="n">
        <v>9.710000000000001</v>
      </c>
      <c r="H3126" s="182" t="n">
        <v>0</v>
      </c>
      <c r="I3126" s="182" t="n">
        <v>0.5</v>
      </c>
      <c r="J3126" s="182" t="n">
        <v>0.5</v>
      </c>
      <c r="K3126" s="182" t="n">
        <v>1.79</v>
      </c>
      <c r="L3126" s="182" t="n">
        <v>12</v>
      </c>
      <c r="M3126" s="182" t="n">
        <v>0</v>
      </c>
      <c r="N3126" s="182" t="n">
        <v>0.64</v>
      </c>
      <c r="O3126" s="183" t="n">
        <v>0</v>
      </c>
      <c r="P3126" s="183" t="n">
        <v>5</v>
      </c>
      <c r="Q3126" s="184" t="n">
        <v>0</v>
      </c>
      <c r="R3126" s="184" t="n">
        <v>76.5</v>
      </c>
      <c r="S3126" s="183" t="n">
        <v>0</v>
      </c>
      <c r="T3126" s="183" t="n">
        <v>0</v>
      </c>
      <c r="U3126" s="182" t="n">
        <v>0.41</v>
      </c>
      <c r="V3126" s="182" t="n">
        <v>0</v>
      </c>
      <c r="W3126" s="182" t="n">
        <v>0</v>
      </c>
      <c r="X3126" s="182" t="n">
        <v>1.28</v>
      </c>
      <c r="Y3126" s="182" t="n">
        <v>0</v>
      </c>
      <c r="Z3126" s="182" t="n">
        <v>0</v>
      </c>
      <c r="AA3126" s="182" t="n">
        <v>0</v>
      </c>
      <c r="AB3126" s="182" t="n">
        <v>0</v>
      </c>
      <c r="AC3126" s="182" t="n">
        <v>0</v>
      </c>
      <c r="AD3126" s="182" t="n">
        <v>0</v>
      </c>
      <c r="AE3126" s="182" t="n">
        <v>0</v>
      </c>
      <c r="AF3126" s="182" t="n">
        <v>0</v>
      </c>
      <c r="AG3126" s="182" t="n">
        <v>0</v>
      </c>
      <c r="AH3126" s="182" t="n">
        <v>0</v>
      </c>
      <c r="AI3126" s="182" t="n">
        <v>0</v>
      </c>
      <c r="AJ3126" s="182" t="n">
        <v>0</v>
      </c>
      <c r="AK3126" s="182" t="n">
        <v>0</v>
      </c>
      <c r="AL3126" s="182" t="n">
        <v>0</v>
      </c>
      <c r="AM3126" s="182" t="n">
        <v>0.1</v>
      </c>
      <c r="AN3126" s="182" t="n">
        <v>0</v>
      </c>
    </row>
    <row r="3127">
      <c r="A3127" s="155" t="n">
        <v>46096</v>
      </c>
      <c r="B3127" s="156" t="inlineStr">
        <is>
          <t>DS</t>
        </is>
      </c>
      <c r="C3127" s="156" t="inlineStr">
        <is>
          <t>EX-336</t>
        </is>
      </c>
      <c r="D3127" s="156" t="inlineStr">
        <is>
          <t>PC 300-8MO</t>
        </is>
      </c>
      <c r="E3127" s="156" t="inlineStr">
        <is>
          <t>Excavator</t>
        </is>
      </c>
      <c r="F3127" s="156" t="inlineStr">
        <is>
          <t>HM Loncat</t>
        </is>
      </c>
      <c r="G3127" s="182" t="n">
        <v>7.4</v>
      </c>
      <c r="H3127" s="182" t="n">
        <v>0</v>
      </c>
      <c r="I3127" s="182" t="n">
        <v>4</v>
      </c>
      <c r="J3127" s="182" t="n">
        <v>4</v>
      </c>
      <c r="K3127" s="182" t="n">
        <v>0.6</v>
      </c>
      <c r="L3127" s="182" t="n">
        <v>12</v>
      </c>
      <c r="M3127" s="182" t="n">
        <v>0</v>
      </c>
      <c r="N3127" s="182" t="n">
        <v>0</v>
      </c>
      <c r="O3127" s="183" t="n">
        <v>0</v>
      </c>
      <c r="P3127" s="183" t="n">
        <v>0</v>
      </c>
      <c r="Q3127" s="184" t="n">
        <v>0</v>
      </c>
      <c r="R3127" s="184" t="n">
        <v>0</v>
      </c>
      <c r="S3127" s="183" t="n">
        <v>0</v>
      </c>
      <c r="T3127" s="183" t="n">
        <v>0</v>
      </c>
      <c r="U3127" s="182" t="n">
        <v>0</v>
      </c>
      <c r="V3127" s="182" t="n">
        <v>0</v>
      </c>
      <c r="W3127" s="182" t="n">
        <v>0</v>
      </c>
      <c r="X3127" s="182" t="n">
        <v>0</v>
      </c>
      <c r="Y3127" s="182" t="n">
        <v>0</v>
      </c>
      <c r="Z3127" s="182" t="n">
        <v>0</v>
      </c>
      <c r="AA3127" s="182" t="n">
        <v>0</v>
      </c>
      <c r="AB3127" s="182" t="n">
        <v>0</v>
      </c>
      <c r="AC3127" s="182" t="n">
        <v>0</v>
      </c>
      <c r="AD3127" s="182" t="n">
        <v>0</v>
      </c>
      <c r="AE3127" s="182" t="n">
        <v>0</v>
      </c>
      <c r="AF3127" s="182" t="n">
        <v>0</v>
      </c>
      <c r="AG3127" s="182" t="n">
        <v>0</v>
      </c>
      <c r="AH3127" s="182" t="n">
        <v>0</v>
      </c>
      <c r="AI3127" s="182" t="n">
        <v>0</v>
      </c>
      <c r="AJ3127" s="182" t="n">
        <v>0</v>
      </c>
      <c r="AK3127" s="182" t="n">
        <v>0</v>
      </c>
      <c r="AL3127" s="182" t="n">
        <v>0</v>
      </c>
      <c r="AM3127" s="182" t="n">
        <v>0</v>
      </c>
      <c r="AN3127" s="182" t="n">
        <v>0</v>
      </c>
    </row>
    <row r="3128">
      <c r="A3128" s="155" t="n">
        <v>46096</v>
      </c>
      <c r="B3128" s="156" t="inlineStr">
        <is>
          <t>DS</t>
        </is>
      </c>
      <c r="C3128" s="156" t="inlineStr">
        <is>
          <t>EX-335</t>
        </is>
      </c>
      <c r="D3128" s="156" t="inlineStr">
        <is>
          <t>PC 300-8MO</t>
        </is>
      </c>
      <c r="E3128" s="156" t="inlineStr">
        <is>
          <t>Excavator</t>
        </is>
      </c>
      <c r="F3128" s="156" t="inlineStr"/>
      <c r="G3128" s="182" t="n">
        <v>0</v>
      </c>
      <c r="H3128" s="182" t="n">
        <v>0</v>
      </c>
      <c r="I3128" s="182" t="n">
        <v>12</v>
      </c>
      <c r="J3128" s="182" t="n">
        <v>12</v>
      </c>
      <c r="K3128" s="182" t="n">
        <v>0</v>
      </c>
      <c r="L3128" s="182" t="n">
        <v>12</v>
      </c>
      <c r="M3128" s="182" t="n">
        <v>0</v>
      </c>
      <c r="N3128" s="182" t="n">
        <v>0</v>
      </c>
      <c r="O3128" s="183" t="n">
        <v>0</v>
      </c>
      <c r="P3128" s="183" t="n">
        <v>0</v>
      </c>
      <c r="Q3128" s="184" t="n">
        <v>0</v>
      </c>
      <c r="R3128" s="184" t="n">
        <v>0</v>
      </c>
      <c r="S3128" s="183" t="n">
        <v>0</v>
      </c>
      <c r="T3128" s="183" t="n">
        <v>0</v>
      </c>
      <c r="U3128" s="182" t="n">
        <v>0</v>
      </c>
      <c r="V3128" s="182" t="n">
        <v>0</v>
      </c>
      <c r="W3128" s="182" t="n">
        <v>0</v>
      </c>
      <c r="X3128" s="182" t="n">
        <v>0</v>
      </c>
      <c r="Y3128" s="182" t="n">
        <v>0</v>
      </c>
      <c r="Z3128" s="182" t="n">
        <v>0</v>
      </c>
      <c r="AA3128" s="182" t="n">
        <v>0</v>
      </c>
      <c r="AB3128" s="182" t="n">
        <v>0</v>
      </c>
      <c r="AC3128" s="182" t="n">
        <v>0</v>
      </c>
      <c r="AD3128" s="182" t="n">
        <v>0</v>
      </c>
      <c r="AE3128" s="182" t="n">
        <v>0</v>
      </c>
      <c r="AF3128" s="182" t="n">
        <v>0</v>
      </c>
      <c r="AG3128" s="182" t="n">
        <v>0</v>
      </c>
      <c r="AH3128" s="182" t="n">
        <v>0</v>
      </c>
      <c r="AI3128" s="182" t="n">
        <v>0</v>
      </c>
      <c r="AJ3128" s="182" t="n">
        <v>0</v>
      </c>
      <c r="AK3128" s="182" t="n">
        <v>0</v>
      </c>
      <c r="AL3128" s="182" t="n">
        <v>0</v>
      </c>
      <c r="AM3128" s="182" t="n">
        <v>0</v>
      </c>
      <c r="AN3128" s="182" t="n">
        <v>0</v>
      </c>
    </row>
    <row r="3129">
      <c r="A3129" s="155" t="n">
        <v>46096</v>
      </c>
      <c r="B3129" s="156" t="inlineStr">
        <is>
          <t>DS</t>
        </is>
      </c>
      <c r="C3129" s="156" t="inlineStr">
        <is>
          <t>EX-754</t>
        </is>
      </c>
      <c r="D3129" s="156" t="inlineStr">
        <is>
          <t>SY750H-PRO</t>
        </is>
      </c>
      <c r="E3129" s="156" t="inlineStr">
        <is>
          <t>Excavator</t>
        </is>
      </c>
      <c r="F3129" s="156" t="inlineStr">
        <is>
          <t>Loading OB &amp; Blend</t>
        </is>
      </c>
      <c r="G3129" s="182" t="n">
        <v>6.98</v>
      </c>
      <c r="H3129" s="182" t="n">
        <v>0</v>
      </c>
      <c r="I3129" s="182" t="n">
        <v>2</v>
      </c>
      <c r="J3129" s="182" t="n">
        <v>2</v>
      </c>
      <c r="K3129" s="182" t="n">
        <v>3.02</v>
      </c>
      <c r="L3129" s="182" t="n">
        <v>12</v>
      </c>
      <c r="M3129" s="182" t="n">
        <v>6.43</v>
      </c>
      <c r="N3129" s="182" t="n">
        <v>0</v>
      </c>
      <c r="O3129" s="183" t="n">
        <v>57</v>
      </c>
      <c r="P3129" s="183" t="n">
        <v>0</v>
      </c>
      <c r="Q3129" s="184" t="n">
        <v>1108.4</v>
      </c>
      <c r="R3129" s="184" t="n">
        <v>0</v>
      </c>
      <c r="S3129" s="183" t="n">
        <v>0</v>
      </c>
      <c r="T3129" s="183" t="n">
        <v>0</v>
      </c>
      <c r="U3129" s="182" t="n">
        <v>1.34</v>
      </c>
      <c r="V3129" s="182" t="n">
        <v>0.67</v>
      </c>
      <c r="W3129" s="182" t="n">
        <v>0</v>
      </c>
      <c r="X3129" s="182" t="n">
        <v>0.93</v>
      </c>
      <c r="Y3129" s="182" t="n">
        <v>0</v>
      </c>
      <c r="Z3129" s="182" t="n">
        <v>0</v>
      </c>
      <c r="AA3129" s="182" t="n">
        <v>0</v>
      </c>
      <c r="AB3129" s="182" t="n">
        <v>0</v>
      </c>
      <c r="AC3129" s="182" t="n">
        <v>0</v>
      </c>
      <c r="AD3129" s="182" t="n">
        <v>0</v>
      </c>
      <c r="AE3129" s="182" t="n">
        <v>0</v>
      </c>
      <c r="AF3129" s="182" t="n">
        <v>0</v>
      </c>
      <c r="AG3129" s="182" t="n">
        <v>0</v>
      </c>
      <c r="AH3129" s="182" t="n">
        <v>0</v>
      </c>
      <c r="AI3129" s="182" t="n">
        <v>0</v>
      </c>
      <c r="AJ3129" s="182" t="n">
        <v>0</v>
      </c>
      <c r="AK3129" s="182" t="n">
        <v>0</v>
      </c>
      <c r="AL3129" s="182" t="n">
        <v>0</v>
      </c>
      <c r="AM3129" s="182" t="n">
        <v>0.07000000000000001</v>
      </c>
      <c r="AN3129" s="182" t="n">
        <v>0</v>
      </c>
    </row>
    <row r="3130">
      <c r="A3130" s="155" t="n">
        <v>46096</v>
      </c>
      <c r="B3130" s="156" t="inlineStr">
        <is>
          <t>DS</t>
        </is>
      </c>
      <c r="C3130" s="156" t="inlineStr">
        <is>
          <t>EX-755</t>
        </is>
      </c>
      <c r="D3130" s="156" t="inlineStr">
        <is>
          <t>SY750H-PRO</t>
        </is>
      </c>
      <c r="E3130" s="156" t="inlineStr">
        <is>
          <t>Excavator</t>
        </is>
      </c>
      <c r="F3130" s="156" t="inlineStr">
        <is>
          <t>Loading OB &amp; Material longsor campur spoil</t>
        </is>
      </c>
      <c r="G3130" s="182" t="n">
        <v>8.32</v>
      </c>
      <c r="H3130" s="182" t="n">
        <v>0</v>
      </c>
      <c r="I3130" s="182" t="n">
        <v>0</v>
      </c>
      <c r="J3130" s="182" t="n">
        <v>0</v>
      </c>
      <c r="K3130" s="182" t="n">
        <v>3.68</v>
      </c>
      <c r="L3130" s="182" t="n">
        <v>12</v>
      </c>
      <c r="M3130" s="182" t="n">
        <v>8.09</v>
      </c>
      <c r="N3130" s="182" t="n">
        <v>0</v>
      </c>
      <c r="O3130" s="183" t="n">
        <v>141</v>
      </c>
      <c r="P3130" s="183" t="n">
        <v>0</v>
      </c>
      <c r="Q3130" s="184" t="n">
        <v>2635.7</v>
      </c>
      <c r="R3130" s="184" t="n">
        <v>0</v>
      </c>
      <c r="S3130" s="183" t="n">
        <v>0</v>
      </c>
      <c r="T3130" s="183" t="n">
        <v>0</v>
      </c>
      <c r="U3130" s="182" t="n">
        <v>1.63</v>
      </c>
      <c r="V3130" s="182" t="n">
        <v>0.8100000000000001</v>
      </c>
      <c r="W3130" s="182" t="n">
        <v>0</v>
      </c>
      <c r="X3130" s="182" t="n">
        <v>1.14</v>
      </c>
      <c r="Y3130" s="182" t="n">
        <v>0</v>
      </c>
      <c r="Z3130" s="182" t="n">
        <v>0</v>
      </c>
      <c r="AA3130" s="182" t="n">
        <v>0</v>
      </c>
      <c r="AB3130" s="182" t="n">
        <v>0</v>
      </c>
      <c r="AC3130" s="182" t="n">
        <v>0</v>
      </c>
      <c r="AD3130" s="182" t="n">
        <v>0</v>
      </c>
      <c r="AE3130" s="182" t="n">
        <v>0</v>
      </c>
      <c r="AF3130" s="182" t="n">
        <v>0</v>
      </c>
      <c r="AG3130" s="182" t="n">
        <v>0</v>
      </c>
      <c r="AH3130" s="182" t="n">
        <v>0</v>
      </c>
      <c r="AI3130" s="182" t="n">
        <v>0</v>
      </c>
      <c r="AJ3130" s="182" t="n">
        <v>0</v>
      </c>
      <c r="AK3130" s="182" t="n">
        <v>0</v>
      </c>
      <c r="AL3130" s="182" t="n">
        <v>0</v>
      </c>
      <c r="AM3130" s="182" t="n">
        <v>0.09</v>
      </c>
      <c r="AN3130" s="182" t="n">
        <v>0</v>
      </c>
    </row>
    <row r="3131">
      <c r="A3131" s="155" t="n">
        <v>46096</v>
      </c>
      <c r="B3131" s="156" t="inlineStr">
        <is>
          <t>DS</t>
        </is>
      </c>
      <c r="C3131" s="156" t="inlineStr">
        <is>
          <t>EX-752</t>
        </is>
      </c>
      <c r="D3131" s="156" t="inlineStr">
        <is>
          <t>SY750H-PRO</t>
        </is>
      </c>
      <c r="E3131" s="156" t="inlineStr">
        <is>
          <t>Excavator</t>
        </is>
      </c>
      <c r="F3131" s="156" t="inlineStr"/>
      <c r="G3131" s="182" t="n">
        <v>0</v>
      </c>
      <c r="H3131" s="182" t="n">
        <v>0</v>
      </c>
      <c r="I3131" s="182" t="n">
        <v>12</v>
      </c>
      <c r="J3131" s="182" t="n">
        <v>12</v>
      </c>
      <c r="K3131" s="182" t="n">
        <v>0</v>
      </c>
      <c r="L3131" s="182" t="n">
        <v>12</v>
      </c>
      <c r="M3131" s="182" t="n">
        <v>0</v>
      </c>
      <c r="N3131" s="182" t="n">
        <v>0</v>
      </c>
      <c r="O3131" s="183" t="n">
        <v>0</v>
      </c>
      <c r="P3131" s="183" t="n">
        <v>0</v>
      </c>
      <c r="Q3131" s="184" t="n">
        <v>0</v>
      </c>
      <c r="R3131" s="184" t="n">
        <v>0</v>
      </c>
      <c r="S3131" s="183" t="n">
        <v>0</v>
      </c>
      <c r="T3131" s="183" t="n">
        <v>0</v>
      </c>
      <c r="U3131" s="182" t="n">
        <v>0</v>
      </c>
      <c r="V3131" s="182" t="n">
        <v>0</v>
      </c>
      <c r="W3131" s="182" t="n">
        <v>0</v>
      </c>
      <c r="X3131" s="182" t="n">
        <v>0</v>
      </c>
      <c r="Y3131" s="182" t="n">
        <v>0</v>
      </c>
      <c r="Z3131" s="182" t="n">
        <v>0</v>
      </c>
      <c r="AA3131" s="182" t="n">
        <v>0</v>
      </c>
      <c r="AB3131" s="182" t="n">
        <v>0</v>
      </c>
      <c r="AC3131" s="182" t="n">
        <v>0</v>
      </c>
      <c r="AD3131" s="182" t="n">
        <v>0</v>
      </c>
      <c r="AE3131" s="182" t="n">
        <v>0</v>
      </c>
      <c r="AF3131" s="182" t="n">
        <v>0</v>
      </c>
      <c r="AG3131" s="182" t="n">
        <v>0</v>
      </c>
      <c r="AH3131" s="182" t="n">
        <v>0</v>
      </c>
      <c r="AI3131" s="182" t="n">
        <v>0</v>
      </c>
      <c r="AJ3131" s="182" t="n">
        <v>0</v>
      </c>
      <c r="AK3131" s="182" t="n">
        <v>0</v>
      </c>
      <c r="AL3131" s="182" t="n">
        <v>0</v>
      </c>
      <c r="AM3131" s="182" t="n">
        <v>0</v>
      </c>
      <c r="AN3131" s="182" t="n">
        <v>0</v>
      </c>
    </row>
    <row r="3132">
      <c r="A3132" s="155" t="n">
        <v>46096</v>
      </c>
      <c r="B3132" s="156" t="inlineStr">
        <is>
          <t>DS</t>
        </is>
      </c>
      <c r="C3132" s="156" t="inlineStr">
        <is>
          <t>EX-751</t>
        </is>
      </c>
      <c r="D3132" s="156" t="inlineStr">
        <is>
          <t>SY750H-PRO</t>
        </is>
      </c>
      <c r="E3132" s="156" t="inlineStr">
        <is>
          <t>Excavator</t>
        </is>
      </c>
      <c r="F3132" s="156" t="inlineStr"/>
      <c r="G3132" s="182" t="n">
        <v>0</v>
      </c>
      <c r="H3132" s="182" t="n">
        <v>0</v>
      </c>
      <c r="I3132" s="182" t="n">
        <v>12</v>
      </c>
      <c r="J3132" s="182" t="n">
        <v>12</v>
      </c>
      <c r="K3132" s="182" t="n">
        <v>0</v>
      </c>
      <c r="L3132" s="182" t="n">
        <v>12</v>
      </c>
      <c r="M3132" s="182" t="n">
        <v>0</v>
      </c>
      <c r="N3132" s="182" t="n">
        <v>0</v>
      </c>
      <c r="O3132" s="183" t="n">
        <v>0</v>
      </c>
      <c r="P3132" s="183" t="n">
        <v>0</v>
      </c>
      <c r="Q3132" s="184" t="n">
        <v>0</v>
      </c>
      <c r="R3132" s="184" t="n">
        <v>0</v>
      </c>
      <c r="S3132" s="183" t="n">
        <v>0</v>
      </c>
      <c r="T3132" s="183" t="n">
        <v>0</v>
      </c>
      <c r="U3132" s="182" t="n">
        <v>0</v>
      </c>
      <c r="V3132" s="182" t="n">
        <v>0</v>
      </c>
      <c r="W3132" s="182" t="n">
        <v>0</v>
      </c>
      <c r="X3132" s="182" t="n">
        <v>0</v>
      </c>
      <c r="Y3132" s="182" t="n">
        <v>0</v>
      </c>
      <c r="Z3132" s="182" t="n">
        <v>0</v>
      </c>
      <c r="AA3132" s="182" t="n">
        <v>0</v>
      </c>
      <c r="AB3132" s="182" t="n">
        <v>0</v>
      </c>
      <c r="AC3132" s="182" t="n">
        <v>0</v>
      </c>
      <c r="AD3132" s="182" t="n">
        <v>0</v>
      </c>
      <c r="AE3132" s="182" t="n">
        <v>0</v>
      </c>
      <c r="AF3132" s="182" t="n">
        <v>0</v>
      </c>
      <c r="AG3132" s="182" t="n">
        <v>0</v>
      </c>
      <c r="AH3132" s="182" t="n">
        <v>0</v>
      </c>
      <c r="AI3132" s="182" t="n">
        <v>0</v>
      </c>
      <c r="AJ3132" s="182" t="n">
        <v>0</v>
      </c>
      <c r="AK3132" s="182" t="n">
        <v>0</v>
      </c>
      <c r="AL3132" s="182" t="n">
        <v>0</v>
      </c>
      <c r="AM3132" s="182" t="n">
        <v>0</v>
      </c>
      <c r="AN3132" s="182" t="n">
        <v>0</v>
      </c>
    </row>
    <row r="3133">
      <c r="A3133" s="155" t="n">
        <v>46096</v>
      </c>
      <c r="B3133" s="156" t="inlineStr">
        <is>
          <t>DS</t>
        </is>
      </c>
      <c r="C3133" s="156" t="inlineStr">
        <is>
          <t>EX-753</t>
        </is>
      </c>
      <c r="D3133" s="156" t="inlineStr">
        <is>
          <t>SY750H-PRO</t>
        </is>
      </c>
      <c r="E3133" s="156" t="inlineStr">
        <is>
          <t>Excavator</t>
        </is>
      </c>
      <c r="F3133" s="156" t="inlineStr">
        <is>
          <t>Loading Coal &amp; OB</t>
        </is>
      </c>
      <c r="G3133" s="182" t="n">
        <v>8.6</v>
      </c>
      <c r="H3133" s="182" t="n">
        <v>0</v>
      </c>
      <c r="I3133" s="182" t="n">
        <v>0</v>
      </c>
      <c r="J3133" s="182" t="n">
        <v>0</v>
      </c>
      <c r="K3133" s="182" t="n">
        <v>3.4</v>
      </c>
      <c r="L3133" s="182" t="n">
        <v>12</v>
      </c>
      <c r="M3133" s="182" t="n">
        <v>4.47</v>
      </c>
      <c r="N3133" s="182" t="n">
        <v>3.83</v>
      </c>
      <c r="O3133" s="183" t="n">
        <v>78</v>
      </c>
      <c r="P3133" s="183" t="n">
        <v>58</v>
      </c>
      <c r="Q3133" s="184" t="n">
        <v>1591.2</v>
      </c>
      <c r="R3133" s="184" t="n">
        <v>1074.4</v>
      </c>
      <c r="S3133" s="183" t="n">
        <v>0</v>
      </c>
      <c r="T3133" s="183" t="n">
        <v>0</v>
      </c>
      <c r="U3133" s="182" t="n">
        <v>1.43</v>
      </c>
      <c r="V3133" s="182" t="n">
        <v>0.72</v>
      </c>
      <c r="W3133" s="182" t="n">
        <v>0</v>
      </c>
      <c r="X3133" s="182" t="n">
        <v>1</v>
      </c>
      <c r="Y3133" s="182" t="n">
        <v>0</v>
      </c>
      <c r="Z3133" s="182" t="n">
        <v>0</v>
      </c>
      <c r="AA3133" s="182" t="n">
        <v>0</v>
      </c>
      <c r="AB3133" s="182" t="n">
        <v>0</v>
      </c>
      <c r="AC3133" s="182" t="n">
        <v>0</v>
      </c>
      <c r="AD3133" s="182" t="n">
        <v>0</v>
      </c>
      <c r="AE3133" s="182" t="n">
        <v>0</v>
      </c>
      <c r="AF3133" s="182" t="n">
        <v>0</v>
      </c>
      <c r="AG3133" s="182" t="n">
        <v>0</v>
      </c>
      <c r="AH3133" s="182" t="n">
        <v>0.17</v>
      </c>
      <c r="AI3133" s="182" t="n">
        <v>0</v>
      </c>
      <c r="AJ3133" s="182" t="n">
        <v>0</v>
      </c>
      <c r="AK3133" s="182" t="n">
        <v>0</v>
      </c>
      <c r="AL3133" s="182" t="n">
        <v>0</v>
      </c>
      <c r="AM3133" s="182" t="n">
        <v>0.08</v>
      </c>
      <c r="AN3133" s="182" t="n">
        <v>0</v>
      </c>
    </row>
    <row r="3134">
      <c r="A3134" s="155" t="n">
        <v>46096</v>
      </c>
      <c r="B3134" s="156" t="inlineStr">
        <is>
          <t>DS</t>
        </is>
      </c>
      <c r="C3134" s="156" t="inlineStr">
        <is>
          <t>GD-012</t>
        </is>
      </c>
      <c r="D3134" s="156" t="inlineStr">
        <is>
          <t>STG 230C - 8S</t>
        </is>
      </c>
      <c r="E3134" s="156" t="inlineStr">
        <is>
          <t>Grader</t>
        </is>
      </c>
      <c r="F3134" s="156" t="inlineStr">
        <is>
          <t>Support Jetty</t>
        </is>
      </c>
      <c r="G3134" s="182" t="n">
        <v>2.1</v>
      </c>
      <c r="H3134" s="182" t="n">
        <v>0</v>
      </c>
      <c r="I3134" s="182" t="n">
        <v>0</v>
      </c>
      <c r="J3134" s="182" t="n">
        <v>0</v>
      </c>
      <c r="K3134" s="182" t="n">
        <v>9.9</v>
      </c>
      <c r="L3134" s="182" t="n">
        <v>12</v>
      </c>
      <c r="M3134" s="182" t="n">
        <v>0</v>
      </c>
      <c r="N3134" s="182" t="n">
        <v>0</v>
      </c>
      <c r="O3134" s="183" t="n">
        <v>0</v>
      </c>
      <c r="P3134" s="183" t="n">
        <v>0</v>
      </c>
      <c r="Q3134" s="184" t="n">
        <v>0</v>
      </c>
      <c r="R3134" s="184" t="n">
        <v>0</v>
      </c>
      <c r="S3134" s="183" t="n">
        <v>0</v>
      </c>
      <c r="T3134" s="183" t="n">
        <v>0</v>
      </c>
      <c r="U3134" s="182" t="n">
        <v>0</v>
      </c>
      <c r="V3134" s="182" t="n">
        <v>0</v>
      </c>
      <c r="W3134" s="182" t="n">
        <v>0</v>
      </c>
      <c r="X3134" s="182" t="n">
        <v>0.97</v>
      </c>
      <c r="Y3134" s="182" t="n">
        <v>0</v>
      </c>
      <c r="Z3134" s="182" t="n">
        <v>0</v>
      </c>
      <c r="AA3134" s="182" t="n">
        <v>0</v>
      </c>
      <c r="AB3134" s="182" t="n">
        <v>0</v>
      </c>
      <c r="AC3134" s="182" t="n">
        <v>0</v>
      </c>
      <c r="AD3134" s="182" t="n">
        <v>0</v>
      </c>
      <c r="AE3134" s="182" t="n">
        <v>0</v>
      </c>
      <c r="AF3134" s="182" t="n">
        <v>0</v>
      </c>
      <c r="AG3134" s="182" t="n">
        <v>0</v>
      </c>
      <c r="AH3134" s="182" t="n">
        <v>0</v>
      </c>
      <c r="AI3134" s="182" t="n">
        <v>0</v>
      </c>
      <c r="AJ3134" s="182" t="n">
        <v>0</v>
      </c>
      <c r="AK3134" s="182" t="n">
        <v>8.85</v>
      </c>
      <c r="AL3134" s="182" t="n">
        <v>0</v>
      </c>
      <c r="AM3134" s="182" t="n">
        <v>0.08</v>
      </c>
      <c r="AN3134" s="182" t="n">
        <v>0</v>
      </c>
    </row>
    <row r="3135">
      <c r="A3135" s="155" t="n">
        <v>46096</v>
      </c>
      <c r="B3135" s="156" t="inlineStr">
        <is>
          <t>DS</t>
        </is>
      </c>
      <c r="C3135" s="156" t="inlineStr">
        <is>
          <t>GD-011</t>
        </is>
      </c>
      <c r="D3135" s="156" t="inlineStr">
        <is>
          <t>STG 230C - 8S</t>
        </is>
      </c>
      <c r="E3135" s="156" t="inlineStr">
        <is>
          <t>Grader</t>
        </is>
      </c>
      <c r="F3135" s="156" t="inlineStr"/>
      <c r="G3135" s="182" t="n">
        <v>0</v>
      </c>
      <c r="H3135" s="182" t="n">
        <v>0</v>
      </c>
      <c r="I3135" s="182" t="n">
        <v>12</v>
      </c>
      <c r="J3135" s="182" t="n">
        <v>12</v>
      </c>
      <c r="K3135" s="182" t="n">
        <v>0</v>
      </c>
      <c r="L3135" s="182" t="n">
        <v>12</v>
      </c>
      <c r="M3135" s="182" t="n">
        <v>0</v>
      </c>
      <c r="N3135" s="182" t="n">
        <v>0</v>
      </c>
      <c r="O3135" s="183" t="n">
        <v>0</v>
      </c>
      <c r="P3135" s="183" t="n">
        <v>0</v>
      </c>
      <c r="Q3135" s="184" t="n">
        <v>0</v>
      </c>
      <c r="R3135" s="184" t="n">
        <v>0</v>
      </c>
      <c r="S3135" s="183" t="n">
        <v>0</v>
      </c>
      <c r="T3135" s="183" t="n">
        <v>0</v>
      </c>
      <c r="U3135" s="182" t="n">
        <v>0</v>
      </c>
      <c r="V3135" s="182" t="n">
        <v>0</v>
      </c>
      <c r="W3135" s="182" t="n">
        <v>0</v>
      </c>
      <c r="X3135" s="182" t="n">
        <v>0</v>
      </c>
      <c r="Y3135" s="182" t="n">
        <v>0</v>
      </c>
      <c r="Z3135" s="182" t="n">
        <v>0</v>
      </c>
      <c r="AA3135" s="182" t="n">
        <v>0</v>
      </c>
      <c r="AB3135" s="182" t="n">
        <v>0</v>
      </c>
      <c r="AC3135" s="182" t="n">
        <v>0</v>
      </c>
      <c r="AD3135" s="182" t="n">
        <v>0</v>
      </c>
      <c r="AE3135" s="182" t="n">
        <v>0</v>
      </c>
      <c r="AF3135" s="182" t="n">
        <v>0</v>
      </c>
      <c r="AG3135" s="182" t="n">
        <v>0</v>
      </c>
      <c r="AH3135" s="182" t="n">
        <v>0</v>
      </c>
      <c r="AI3135" s="182" t="n">
        <v>0</v>
      </c>
      <c r="AJ3135" s="182" t="n">
        <v>0</v>
      </c>
      <c r="AK3135" s="182" t="n">
        <v>0</v>
      </c>
      <c r="AL3135" s="182" t="n">
        <v>0</v>
      </c>
      <c r="AM3135" s="182" t="n">
        <v>0</v>
      </c>
      <c r="AN3135" s="182" t="n">
        <v>0</v>
      </c>
    </row>
    <row r="3136">
      <c r="A3136" s="155" t="n">
        <v>46096</v>
      </c>
      <c r="B3136" s="156" t="inlineStr">
        <is>
          <t>DS</t>
        </is>
      </c>
      <c r="C3136" s="156" t="inlineStr">
        <is>
          <t>GD-013</t>
        </is>
      </c>
      <c r="D3136" s="156" t="inlineStr">
        <is>
          <t>STG 265C - 10</t>
        </is>
      </c>
      <c r="E3136" s="156" t="inlineStr">
        <is>
          <t>Grader</t>
        </is>
      </c>
      <c r="F3136" s="156" t="inlineStr">
        <is>
          <t>Road Maintenance</t>
        </is>
      </c>
      <c r="G3136" s="182" t="n">
        <v>3.24</v>
      </c>
      <c r="H3136" s="182" t="n">
        <v>0</v>
      </c>
      <c r="I3136" s="182" t="n">
        <v>0</v>
      </c>
      <c r="J3136" s="182" t="n">
        <v>0</v>
      </c>
      <c r="K3136" s="182" t="n">
        <v>8.76</v>
      </c>
      <c r="L3136" s="182" t="n">
        <v>12</v>
      </c>
      <c r="M3136" s="182" t="n">
        <v>0</v>
      </c>
      <c r="N3136" s="182" t="n">
        <v>0</v>
      </c>
      <c r="O3136" s="183" t="n">
        <v>0</v>
      </c>
      <c r="P3136" s="183" t="n">
        <v>0</v>
      </c>
      <c r="Q3136" s="184" t="n">
        <v>0</v>
      </c>
      <c r="R3136" s="184" t="n">
        <v>0</v>
      </c>
      <c r="S3136" s="183" t="n">
        <v>0</v>
      </c>
      <c r="T3136" s="183" t="n">
        <v>0</v>
      </c>
      <c r="U3136" s="182" t="n">
        <v>1.41</v>
      </c>
      <c r="V3136" s="182" t="n">
        <v>0</v>
      </c>
      <c r="W3136" s="182" t="n">
        <v>0</v>
      </c>
      <c r="X3136" s="182" t="n">
        <v>0.98</v>
      </c>
      <c r="Y3136" s="182" t="n">
        <v>0</v>
      </c>
      <c r="Z3136" s="182" t="n">
        <v>0</v>
      </c>
      <c r="AA3136" s="182" t="n">
        <v>0</v>
      </c>
      <c r="AB3136" s="182" t="n">
        <v>0</v>
      </c>
      <c r="AC3136" s="182" t="n">
        <v>0</v>
      </c>
      <c r="AD3136" s="182" t="n">
        <v>0</v>
      </c>
      <c r="AE3136" s="182" t="n">
        <v>0</v>
      </c>
      <c r="AF3136" s="182" t="n">
        <v>0</v>
      </c>
      <c r="AG3136" s="182" t="n">
        <v>0</v>
      </c>
      <c r="AH3136" s="182" t="n">
        <v>0</v>
      </c>
      <c r="AI3136" s="182" t="n">
        <v>0</v>
      </c>
      <c r="AJ3136" s="182" t="n">
        <v>0</v>
      </c>
      <c r="AK3136" s="182" t="n">
        <v>6.29</v>
      </c>
      <c r="AL3136" s="182" t="n">
        <v>0</v>
      </c>
      <c r="AM3136" s="182" t="n">
        <v>0.08</v>
      </c>
      <c r="AN3136" s="182" t="n">
        <v>0</v>
      </c>
    </row>
    <row r="3137">
      <c r="A3137" s="155" t="n">
        <v>46096</v>
      </c>
      <c r="B3137" s="156" t="inlineStr">
        <is>
          <t>DS</t>
        </is>
      </c>
      <c r="C3137" s="156" t="inlineStr">
        <is>
          <t>GD-014</t>
        </is>
      </c>
      <c r="D3137" s="156" t="inlineStr">
        <is>
          <t>STG 335C - 10</t>
        </is>
      </c>
      <c r="E3137" s="156" t="inlineStr">
        <is>
          <t>Grader</t>
        </is>
      </c>
      <c r="F3137" s="156" t="inlineStr">
        <is>
          <t>Road Maintenance</t>
        </is>
      </c>
      <c r="G3137" s="182" t="n">
        <v>10.64</v>
      </c>
      <c r="H3137" s="182" t="n">
        <v>0</v>
      </c>
      <c r="I3137" s="182" t="n">
        <v>0</v>
      </c>
      <c r="J3137" s="182" t="n">
        <v>0</v>
      </c>
      <c r="K3137" s="182" t="n">
        <v>1.36</v>
      </c>
      <c r="L3137" s="182" t="n">
        <v>12</v>
      </c>
      <c r="M3137" s="182" t="n">
        <v>0</v>
      </c>
      <c r="N3137" s="182" t="n">
        <v>0</v>
      </c>
      <c r="O3137" s="183" t="n">
        <v>0</v>
      </c>
      <c r="P3137" s="183" t="n">
        <v>0</v>
      </c>
      <c r="Q3137" s="184" t="n">
        <v>0</v>
      </c>
      <c r="R3137" s="184" t="n">
        <v>0</v>
      </c>
      <c r="S3137" s="183" t="n">
        <v>0</v>
      </c>
      <c r="T3137" s="183" t="n">
        <v>0</v>
      </c>
      <c r="U3137" s="182" t="n">
        <v>0.5</v>
      </c>
      <c r="V3137" s="182" t="n">
        <v>0</v>
      </c>
      <c r="W3137" s="182" t="n">
        <v>0</v>
      </c>
      <c r="X3137" s="182" t="n">
        <v>0.8</v>
      </c>
      <c r="Y3137" s="182" t="n">
        <v>0</v>
      </c>
      <c r="Z3137" s="182" t="n">
        <v>0</v>
      </c>
      <c r="AA3137" s="182" t="n">
        <v>0</v>
      </c>
      <c r="AB3137" s="182" t="n">
        <v>0</v>
      </c>
      <c r="AC3137" s="182" t="n">
        <v>0</v>
      </c>
      <c r="AD3137" s="182" t="n">
        <v>0</v>
      </c>
      <c r="AE3137" s="182" t="n">
        <v>0</v>
      </c>
      <c r="AF3137" s="182" t="n">
        <v>0</v>
      </c>
      <c r="AG3137" s="182" t="n">
        <v>0</v>
      </c>
      <c r="AH3137" s="182" t="n">
        <v>0</v>
      </c>
      <c r="AI3137" s="182" t="n">
        <v>0</v>
      </c>
      <c r="AJ3137" s="182" t="n">
        <v>0</v>
      </c>
      <c r="AK3137" s="182" t="n">
        <v>0</v>
      </c>
      <c r="AL3137" s="182" t="n">
        <v>0</v>
      </c>
      <c r="AM3137" s="182" t="n">
        <v>0.06</v>
      </c>
      <c r="AN3137" s="182" t="n">
        <v>0</v>
      </c>
    </row>
    <row r="3138">
      <c r="A3138" s="155" t="n">
        <v>46096</v>
      </c>
      <c r="B3138" s="156" t="inlineStr">
        <is>
          <t>DS</t>
        </is>
      </c>
      <c r="C3138" s="156" t="inlineStr">
        <is>
          <t>DT-809</t>
        </is>
      </c>
      <c r="D3138" s="156" t="inlineStr">
        <is>
          <t>SKT 80S</t>
        </is>
      </c>
      <c r="E3138" s="156" t="inlineStr">
        <is>
          <t>Hauler</t>
        </is>
      </c>
      <c r="F3138" s="156" t="inlineStr"/>
      <c r="G3138" s="182" t="n">
        <v>0</v>
      </c>
      <c r="H3138" s="182" t="n">
        <v>0</v>
      </c>
      <c r="I3138" s="182" t="n">
        <v>12</v>
      </c>
      <c r="J3138" s="182" t="n">
        <v>12</v>
      </c>
      <c r="K3138" s="182" t="n">
        <v>0</v>
      </c>
      <c r="L3138" s="182" t="n">
        <v>12</v>
      </c>
      <c r="M3138" s="182" t="n">
        <v>0</v>
      </c>
      <c r="N3138" s="182" t="n">
        <v>0</v>
      </c>
      <c r="O3138" s="183" t="n">
        <v>0</v>
      </c>
      <c r="P3138" s="183" t="n">
        <v>0</v>
      </c>
      <c r="Q3138" s="184" t="n">
        <v>0</v>
      </c>
      <c r="R3138" s="184" t="n">
        <v>0</v>
      </c>
      <c r="S3138" s="183" t="n">
        <v>0</v>
      </c>
      <c r="T3138" s="183" t="n">
        <v>0</v>
      </c>
      <c r="U3138" s="182" t="n">
        <v>0</v>
      </c>
      <c r="V3138" s="182" t="n">
        <v>0</v>
      </c>
      <c r="W3138" s="182" t="n">
        <v>0</v>
      </c>
      <c r="X3138" s="182" t="n">
        <v>0</v>
      </c>
      <c r="Y3138" s="182" t="n">
        <v>0</v>
      </c>
      <c r="Z3138" s="182" t="n">
        <v>0</v>
      </c>
      <c r="AA3138" s="182" t="n">
        <v>0</v>
      </c>
      <c r="AB3138" s="182" t="n">
        <v>0</v>
      </c>
      <c r="AC3138" s="182" t="n">
        <v>0</v>
      </c>
      <c r="AD3138" s="182" t="n">
        <v>0</v>
      </c>
      <c r="AE3138" s="182" t="n">
        <v>0</v>
      </c>
      <c r="AF3138" s="182" t="n">
        <v>0</v>
      </c>
      <c r="AG3138" s="182" t="n">
        <v>0</v>
      </c>
      <c r="AH3138" s="182" t="n">
        <v>0</v>
      </c>
      <c r="AI3138" s="182" t="n">
        <v>0</v>
      </c>
      <c r="AJ3138" s="182" t="n">
        <v>0</v>
      </c>
      <c r="AK3138" s="182" t="n">
        <v>0</v>
      </c>
      <c r="AL3138" s="182" t="n">
        <v>0</v>
      </c>
      <c r="AM3138" s="182" t="n">
        <v>0</v>
      </c>
      <c r="AN3138" s="182" t="n">
        <v>0</v>
      </c>
    </row>
    <row r="3139">
      <c r="A3139" s="155" t="n">
        <v>46096</v>
      </c>
      <c r="B3139" s="156" t="inlineStr">
        <is>
          <t>DS</t>
        </is>
      </c>
      <c r="C3139" s="156" t="inlineStr">
        <is>
          <t>DT-806</t>
        </is>
      </c>
      <c r="D3139" s="156" t="inlineStr">
        <is>
          <t>SKT 80S</t>
        </is>
      </c>
      <c r="E3139" s="156" t="inlineStr">
        <is>
          <t>Hauler</t>
        </is>
      </c>
      <c r="F3139" s="156" t="inlineStr"/>
      <c r="G3139" s="182" t="n">
        <v>0</v>
      </c>
      <c r="H3139" s="182" t="n">
        <v>0</v>
      </c>
      <c r="I3139" s="182" t="n">
        <v>12</v>
      </c>
      <c r="J3139" s="182" t="n">
        <v>12</v>
      </c>
      <c r="K3139" s="182" t="n">
        <v>0</v>
      </c>
      <c r="L3139" s="182" t="n">
        <v>12</v>
      </c>
      <c r="M3139" s="182" t="n">
        <v>0</v>
      </c>
      <c r="N3139" s="182" t="n">
        <v>0</v>
      </c>
      <c r="O3139" s="183" t="n">
        <v>0</v>
      </c>
      <c r="P3139" s="183" t="n">
        <v>0</v>
      </c>
      <c r="Q3139" s="184" t="n">
        <v>0</v>
      </c>
      <c r="R3139" s="184" t="n">
        <v>0</v>
      </c>
      <c r="S3139" s="183" t="n">
        <v>0</v>
      </c>
      <c r="T3139" s="183" t="n">
        <v>0</v>
      </c>
      <c r="U3139" s="182" t="n">
        <v>0</v>
      </c>
      <c r="V3139" s="182" t="n">
        <v>0</v>
      </c>
      <c r="W3139" s="182" t="n">
        <v>0</v>
      </c>
      <c r="X3139" s="182" t="n">
        <v>0</v>
      </c>
      <c r="Y3139" s="182" t="n">
        <v>0</v>
      </c>
      <c r="Z3139" s="182" t="n">
        <v>0</v>
      </c>
      <c r="AA3139" s="182" t="n">
        <v>0</v>
      </c>
      <c r="AB3139" s="182" t="n">
        <v>0</v>
      </c>
      <c r="AC3139" s="182" t="n">
        <v>0</v>
      </c>
      <c r="AD3139" s="182" t="n">
        <v>0</v>
      </c>
      <c r="AE3139" s="182" t="n">
        <v>0</v>
      </c>
      <c r="AF3139" s="182" t="n">
        <v>0</v>
      </c>
      <c r="AG3139" s="182" t="n">
        <v>0</v>
      </c>
      <c r="AH3139" s="182" t="n">
        <v>0</v>
      </c>
      <c r="AI3139" s="182" t="n">
        <v>0</v>
      </c>
      <c r="AJ3139" s="182" t="n">
        <v>0</v>
      </c>
      <c r="AK3139" s="182" t="n">
        <v>0</v>
      </c>
      <c r="AL3139" s="182" t="n">
        <v>0</v>
      </c>
      <c r="AM3139" s="182" t="n">
        <v>0</v>
      </c>
      <c r="AN3139" s="182" t="n">
        <v>0</v>
      </c>
    </row>
    <row r="3140">
      <c r="A3140" s="155" t="n">
        <v>46096</v>
      </c>
      <c r="B3140" s="156" t="inlineStr">
        <is>
          <t>DS</t>
        </is>
      </c>
      <c r="C3140" s="156" t="inlineStr">
        <is>
          <t>DT-805</t>
        </is>
      </c>
      <c r="D3140" s="156" t="inlineStr">
        <is>
          <t>SKT 80S</t>
        </is>
      </c>
      <c r="E3140" s="156" t="inlineStr">
        <is>
          <t>Hauler</t>
        </is>
      </c>
      <c r="F3140" s="156" t="inlineStr"/>
      <c r="G3140" s="182" t="n">
        <v>0</v>
      </c>
      <c r="H3140" s="182" t="n">
        <v>0</v>
      </c>
      <c r="I3140" s="182" t="n">
        <v>12</v>
      </c>
      <c r="J3140" s="182" t="n">
        <v>12</v>
      </c>
      <c r="K3140" s="182" t="n">
        <v>0</v>
      </c>
      <c r="L3140" s="182" t="n">
        <v>12</v>
      </c>
      <c r="M3140" s="182" t="n">
        <v>0</v>
      </c>
      <c r="N3140" s="182" t="n">
        <v>0</v>
      </c>
      <c r="O3140" s="183" t="n">
        <v>0</v>
      </c>
      <c r="P3140" s="183" t="n">
        <v>0</v>
      </c>
      <c r="Q3140" s="184" t="n">
        <v>0</v>
      </c>
      <c r="R3140" s="184" t="n">
        <v>0</v>
      </c>
      <c r="S3140" s="183" t="n">
        <v>0</v>
      </c>
      <c r="T3140" s="183" t="n">
        <v>0</v>
      </c>
      <c r="U3140" s="182" t="n">
        <v>0</v>
      </c>
      <c r="V3140" s="182" t="n">
        <v>0</v>
      </c>
      <c r="W3140" s="182" t="n">
        <v>0</v>
      </c>
      <c r="X3140" s="182" t="n">
        <v>0</v>
      </c>
      <c r="Y3140" s="182" t="n">
        <v>0</v>
      </c>
      <c r="Z3140" s="182" t="n">
        <v>0</v>
      </c>
      <c r="AA3140" s="182" t="n">
        <v>0</v>
      </c>
      <c r="AB3140" s="182" t="n">
        <v>0</v>
      </c>
      <c r="AC3140" s="182" t="n">
        <v>0</v>
      </c>
      <c r="AD3140" s="182" t="n">
        <v>0</v>
      </c>
      <c r="AE3140" s="182" t="n">
        <v>0</v>
      </c>
      <c r="AF3140" s="182" t="n">
        <v>0</v>
      </c>
      <c r="AG3140" s="182" t="n">
        <v>0</v>
      </c>
      <c r="AH3140" s="182" t="n">
        <v>0</v>
      </c>
      <c r="AI3140" s="182" t="n">
        <v>0</v>
      </c>
      <c r="AJ3140" s="182" t="n">
        <v>0</v>
      </c>
      <c r="AK3140" s="182" t="n">
        <v>0</v>
      </c>
      <c r="AL3140" s="182" t="n">
        <v>0</v>
      </c>
      <c r="AM3140" s="182" t="n">
        <v>0</v>
      </c>
      <c r="AN3140" s="182" t="n">
        <v>0</v>
      </c>
    </row>
    <row r="3141">
      <c r="A3141" s="155" t="n">
        <v>46096</v>
      </c>
      <c r="B3141" s="156" t="inlineStr">
        <is>
          <t>DS</t>
        </is>
      </c>
      <c r="C3141" s="156" t="inlineStr">
        <is>
          <t>DT-801</t>
        </is>
      </c>
      <c r="D3141" s="156" t="inlineStr">
        <is>
          <t>SKT 80S</t>
        </is>
      </c>
      <c r="E3141" s="156" t="inlineStr">
        <is>
          <t>Hauler</t>
        </is>
      </c>
      <c r="F3141" s="156" t="inlineStr"/>
      <c r="G3141" s="182" t="n">
        <v>0</v>
      </c>
      <c r="H3141" s="182" t="n">
        <v>0</v>
      </c>
      <c r="I3141" s="182" t="n">
        <v>12</v>
      </c>
      <c r="J3141" s="182" t="n">
        <v>12</v>
      </c>
      <c r="K3141" s="182" t="n">
        <v>0</v>
      </c>
      <c r="L3141" s="182" t="n">
        <v>12</v>
      </c>
      <c r="M3141" s="182" t="n">
        <v>0</v>
      </c>
      <c r="N3141" s="182" t="n">
        <v>0</v>
      </c>
      <c r="O3141" s="183" t="n">
        <v>0</v>
      </c>
      <c r="P3141" s="183" t="n">
        <v>0</v>
      </c>
      <c r="Q3141" s="184" t="n">
        <v>0</v>
      </c>
      <c r="R3141" s="184" t="n">
        <v>0</v>
      </c>
      <c r="S3141" s="183" t="n">
        <v>0</v>
      </c>
      <c r="T3141" s="183" t="n">
        <v>0</v>
      </c>
      <c r="U3141" s="182" t="n">
        <v>0</v>
      </c>
      <c r="V3141" s="182" t="n">
        <v>0</v>
      </c>
      <c r="W3141" s="182" t="n">
        <v>0</v>
      </c>
      <c r="X3141" s="182" t="n">
        <v>0</v>
      </c>
      <c r="Y3141" s="182" t="n">
        <v>0</v>
      </c>
      <c r="Z3141" s="182" t="n">
        <v>0</v>
      </c>
      <c r="AA3141" s="182" t="n">
        <v>0</v>
      </c>
      <c r="AB3141" s="182" t="n">
        <v>0</v>
      </c>
      <c r="AC3141" s="182" t="n">
        <v>0</v>
      </c>
      <c r="AD3141" s="182" t="n">
        <v>0</v>
      </c>
      <c r="AE3141" s="182" t="n">
        <v>0</v>
      </c>
      <c r="AF3141" s="182" t="n">
        <v>0</v>
      </c>
      <c r="AG3141" s="182" t="n">
        <v>0</v>
      </c>
      <c r="AH3141" s="182" t="n">
        <v>0</v>
      </c>
      <c r="AI3141" s="182" t="n">
        <v>0</v>
      </c>
      <c r="AJ3141" s="182" t="n">
        <v>0</v>
      </c>
      <c r="AK3141" s="182" t="n">
        <v>0</v>
      </c>
      <c r="AL3141" s="182" t="n">
        <v>0</v>
      </c>
      <c r="AM3141" s="182" t="n">
        <v>0</v>
      </c>
      <c r="AN3141" s="182" t="n">
        <v>0</v>
      </c>
    </row>
    <row r="3142">
      <c r="A3142" s="155" t="n">
        <v>46096</v>
      </c>
      <c r="B3142" s="156" t="inlineStr">
        <is>
          <t>DS</t>
        </is>
      </c>
      <c r="C3142" s="156" t="inlineStr">
        <is>
          <t>DT-808</t>
        </is>
      </c>
      <c r="D3142" s="156" t="inlineStr">
        <is>
          <t>SKT 80S</t>
        </is>
      </c>
      <c r="E3142" s="156" t="inlineStr">
        <is>
          <t>Hauler</t>
        </is>
      </c>
      <c r="F3142" s="156" t="inlineStr"/>
      <c r="G3142" s="182" t="n">
        <v>0</v>
      </c>
      <c r="H3142" s="182" t="n">
        <v>0</v>
      </c>
      <c r="I3142" s="182" t="n">
        <v>0</v>
      </c>
      <c r="J3142" s="182" t="n">
        <v>0</v>
      </c>
      <c r="K3142" s="182" t="n">
        <v>12</v>
      </c>
      <c r="L3142" s="182" t="n">
        <v>12</v>
      </c>
      <c r="M3142" s="182" t="n">
        <v>0</v>
      </c>
      <c r="N3142" s="182" t="n">
        <v>0</v>
      </c>
      <c r="O3142" s="183" t="n">
        <v>0</v>
      </c>
      <c r="P3142" s="183" t="n">
        <v>0</v>
      </c>
      <c r="Q3142" s="184" t="n">
        <v>0</v>
      </c>
      <c r="R3142" s="184" t="n">
        <v>0</v>
      </c>
      <c r="S3142" s="183" t="n">
        <v>0</v>
      </c>
      <c r="T3142" s="183" t="n">
        <v>0</v>
      </c>
      <c r="U3142" s="182" t="n">
        <v>1.43</v>
      </c>
      <c r="V3142" s="182" t="n">
        <v>0</v>
      </c>
      <c r="W3142" s="182" t="n">
        <v>0</v>
      </c>
      <c r="X3142" s="182" t="n">
        <v>1</v>
      </c>
      <c r="Y3142" s="182" t="n">
        <v>0</v>
      </c>
      <c r="Z3142" s="182" t="n">
        <v>0</v>
      </c>
      <c r="AA3142" s="182" t="n">
        <v>0</v>
      </c>
      <c r="AB3142" s="182" t="n">
        <v>0</v>
      </c>
      <c r="AC3142" s="182" t="n">
        <v>0</v>
      </c>
      <c r="AD3142" s="182" t="n">
        <v>0</v>
      </c>
      <c r="AE3142" s="182" t="n">
        <v>0</v>
      </c>
      <c r="AF3142" s="182" t="n">
        <v>0</v>
      </c>
      <c r="AG3142" s="182" t="n">
        <v>0</v>
      </c>
      <c r="AH3142" s="182" t="n">
        <v>0</v>
      </c>
      <c r="AI3142" s="182" t="n">
        <v>0</v>
      </c>
      <c r="AJ3142" s="182" t="n">
        <v>0</v>
      </c>
      <c r="AK3142" s="182" t="n">
        <v>9.49</v>
      </c>
      <c r="AL3142" s="182" t="n">
        <v>0</v>
      </c>
      <c r="AM3142" s="182" t="n">
        <v>0.08</v>
      </c>
      <c r="AN3142" s="182" t="n">
        <v>0</v>
      </c>
    </row>
    <row r="3143">
      <c r="A3143" s="155" t="n">
        <v>46096</v>
      </c>
      <c r="B3143" s="156" t="inlineStr">
        <is>
          <t>DS</t>
        </is>
      </c>
      <c r="C3143" s="156" t="inlineStr">
        <is>
          <t>DT-811</t>
        </is>
      </c>
      <c r="D3143" s="156" t="inlineStr">
        <is>
          <t>SKT 80S</t>
        </is>
      </c>
      <c r="E3143" s="156" t="inlineStr">
        <is>
          <t>Hauler</t>
        </is>
      </c>
      <c r="F3143" s="156" t="inlineStr"/>
      <c r="G3143" s="182" t="n">
        <v>0</v>
      </c>
      <c r="H3143" s="182" t="n">
        <v>0</v>
      </c>
      <c r="I3143" s="182" t="n">
        <v>0</v>
      </c>
      <c r="J3143" s="182" t="n">
        <v>0</v>
      </c>
      <c r="K3143" s="182" t="n">
        <v>12</v>
      </c>
      <c r="L3143" s="182" t="n">
        <v>12</v>
      </c>
      <c r="M3143" s="182" t="n">
        <v>0</v>
      </c>
      <c r="N3143" s="182" t="n">
        <v>0</v>
      </c>
      <c r="O3143" s="183" t="n">
        <v>0</v>
      </c>
      <c r="P3143" s="183" t="n">
        <v>0</v>
      </c>
      <c r="Q3143" s="184" t="n">
        <v>0</v>
      </c>
      <c r="R3143" s="184" t="n">
        <v>0</v>
      </c>
      <c r="S3143" s="183" t="n">
        <v>0</v>
      </c>
      <c r="T3143" s="183" t="n">
        <v>0</v>
      </c>
      <c r="U3143" s="182" t="n">
        <v>1.43</v>
      </c>
      <c r="V3143" s="182" t="n">
        <v>0</v>
      </c>
      <c r="W3143" s="182" t="n">
        <v>0</v>
      </c>
      <c r="X3143" s="182" t="n">
        <v>1</v>
      </c>
      <c r="Y3143" s="182" t="n">
        <v>0</v>
      </c>
      <c r="Z3143" s="182" t="n">
        <v>0</v>
      </c>
      <c r="AA3143" s="182" t="n">
        <v>0</v>
      </c>
      <c r="AB3143" s="182" t="n">
        <v>0</v>
      </c>
      <c r="AC3143" s="182" t="n">
        <v>0</v>
      </c>
      <c r="AD3143" s="182" t="n">
        <v>0</v>
      </c>
      <c r="AE3143" s="182" t="n">
        <v>0</v>
      </c>
      <c r="AF3143" s="182" t="n">
        <v>0</v>
      </c>
      <c r="AG3143" s="182" t="n">
        <v>0</v>
      </c>
      <c r="AH3143" s="182" t="n">
        <v>0</v>
      </c>
      <c r="AI3143" s="182" t="n">
        <v>0</v>
      </c>
      <c r="AJ3143" s="182" t="n">
        <v>0</v>
      </c>
      <c r="AK3143" s="182" t="n">
        <v>9.49</v>
      </c>
      <c r="AL3143" s="182" t="n">
        <v>0</v>
      </c>
      <c r="AM3143" s="182" t="n">
        <v>0.08</v>
      </c>
      <c r="AN3143" s="182" t="n">
        <v>0</v>
      </c>
    </row>
    <row r="3144">
      <c r="A3144" s="155" t="n">
        <v>46096</v>
      </c>
      <c r="B3144" s="156" t="inlineStr">
        <is>
          <t>DS</t>
        </is>
      </c>
      <c r="C3144" s="156" t="inlineStr">
        <is>
          <t>DT-802</t>
        </is>
      </c>
      <c r="D3144" s="156" t="inlineStr">
        <is>
          <t>SKT 80S</t>
        </is>
      </c>
      <c r="E3144" s="156" t="inlineStr">
        <is>
          <t>Hauler</t>
        </is>
      </c>
      <c r="F3144" s="156" t="inlineStr"/>
      <c r="G3144" s="182" t="n">
        <v>0</v>
      </c>
      <c r="H3144" s="182" t="n">
        <v>0</v>
      </c>
      <c r="I3144" s="182" t="n">
        <v>0</v>
      </c>
      <c r="J3144" s="182" t="n">
        <v>0</v>
      </c>
      <c r="K3144" s="182" t="n">
        <v>12</v>
      </c>
      <c r="L3144" s="182" t="n">
        <v>12</v>
      </c>
      <c r="M3144" s="182" t="n">
        <v>0</v>
      </c>
      <c r="N3144" s="182" t="n">
        <v>0</v>
      </c>
      <c r="O3144" s="183" t="n">
        <v>0</v>
      </c>
      <c r="P3144" s="183" t="n">
        <v>0</v>
      </c>
      <c r="Q3144" s="184" t="n">
        <v>0</v>
      </c>
      <c r="R3144" s="184" t="n">
        <v>0</v>
      </c>
      <c r="S3144" s="183" t="n">
        <v>0</v>
      </c>
      <c r="T3144" s="183" t="n">
        <v>0</v>
      </c>
      <c r="U3144" s="182" t="n">
        <v>1.43</v>
      </c>
      <c r="V3144" s="182" t="n">
        <v>0</v>
      </c>
      <c r="W3144" s="182" t="n">
        <v>0</v>
      </c>
      <c r="X3144" s="182" t="n">
        <v>1</v>
      </c>
      <c r="Y3144" s="182" t="n">
        <v>0</v>
      </c>
      <c r="Z3144" s="182" t="n">
        <v>0</v>
      </c>
      <c r="AA3144" s="182" t="n">
        <v>0</v>
      </c>
      <c r="AB3144" s="182" t="n">
        <v>0</v>
      </c>
      <c r="AC3144" s="182" t="n">
        <v>0</v>
      </c>
      <c r="AD3144" s="182" t="n">
        <v>0</v>
      </c>
      <c r="AE3144" s="182" t="n">
        <v>0</v>
      </c>
      <c r="AF3144" s="182" t="n">
        <v>0</v>
      </c>
      <c r="AG3144" s="182" t="n">
        <v>0</v>
      </c>
      <c r="AH3144" s="182" t="n">
        <v>0</v>
      </c>
      <c r="AI3144" s="182" t="n">
        <v>0</v>
      </c>
      <c r="AJ3144" s="182" t="n">
        <v>0</v>
      </c>
      <c r="AK3144" s="182" t="n">
        <v>9.49</v>
      </c>
      <c r="AL3144" s="182" t="n">
        <v>0</v>
      </c>
      <c r="AM3144" s="182" t="n">
        <v>0.08</v>
      </c>
      <c r="AN3144" s="182" t="n">
        <v>0</v>
      </c>
    </row>
    <row r="3145">
      <c r="A3145" s="155" t="n">
        <v>46096</v>
      </c>
      <c r="B3145" s="156" t="inlineStr">
        <is>
          <t>DS</t>
        </is>
      </c>
      <c r="C3145" s="156" t="inlineStr">
        <is>
          <t>DT-807</t>
        </is>
      </c>
      <c r="D3145" s="156" t="inlineStr">
        <is>
          <t>SKT 80S</t>
        </is>
      </c>
      <c r="E3145" s="156" t="inlineStr">
        <is>
          <t>Hauler</t>
        </is>
      </c>
      <c r="F3145" s="156" t="inlineStr">
        <is>
          <t>Hauling Coal S30 Barat &amp; Rehandling</t>
        </is>
      </c>
      <c r="G3145" s="182" t="n">
        <v>5.62</v>
      </c>
      <c r="H3145" s="182" t="n">
        <v>0</v>
      </c>
      <c r="I3145" s="182" t="n">
        <v>0</v>
      </c>
      <c r="J3145" s="182" t="n">
        <v>0</v>
      </c>
      <c r="K3145" s="182" t="n">
        <v>6.38</v>
      </c>
      <c r="L3145" s="182" t="n">
        <v>12</v>
      </c>
      <c r="M3145" s="182" t="n">
        <v>0</v>
      </c>
      <c r="N3145" s="182" t="n">
        <v>0.7</v>
      </c>
      <c r="O3145" s="183" t="n">
        <v>0</v>
      </c>
      <c r="P3145" s="183" t="n">
        <v>2</v>
      </c>
      <c r="Q3145" s="184" t="n">
        <v>0</v>
      </c>
      <c r="R3145" s="184" t="n">
        <v>30.6</v>
      </c>
      <c r="S3145" s="183" t="n">
        <v>0</v>
      </c>
      <c r="T3145" s="183" t="n">
        <v>0</v>
      </c>
      <c r="U3145" s="182" t="n">
        <v>1.38</v>
      </c>
      <c r="V3145" s="182" t="n">
        <v>0</v>
      </c>
      <c r="W3145" s="182" t="n">
        <v>0</v>
      </c>
      <c r="X3145" s="182" t="n">
        <v>0.97</v>
      </c>
      <c r="Y3145" s="182" t="n">
        <v>0</v>
      </c>
      <c r="Z3145" s="182" t="n">
        <v>0</v>
      </c>
      <c r="AA3145" s="182" t="n">
        <v>0</v>
      </c>
      <c r="AB3145" s="182" t="n">
        <v>0</v>
      </c>
      <c r="AC3145" s="182" t="n">
        <v>0</v>
      </c>
      <c r="AD3145" s="182" t="n">
        <v>0</v>
      </c>
      <c r="AE3145" s="182" t="n">
        <v>0</v>
      </c>
      <c r="AF3145" s="182" t="n">
        <v>0</v>
      </c>
      <c r="AG3145" s="182" t="n">
        <v>0</v>
      </c>
      <c r="AH3145" s="182" t="n">
        <v>0.48</v>
      </c>
      <c r="AI3145" s="182" t="n">
        <v>0</v>
      </c>
      <c r="AJ3145" s="182" t="n">
        <v>0</v>
      </c>
      <c r="AK3145" s="182" t="n">
        <v>3.47</v>
      </c>
      <c r="AL3145" s="182" t="n">
        <v>0</v>
      </c>
      <c r="AM3145" s="182" t="n">
        <v>0.08</v>
      </c>
      <c r="AN3145" s="182" t="n">
        <v>0</v>
      </c>
    </row>
    <row r="3146">
      <c r="A3146" s="155" t="n">
        <v>46096</v>
      </c>
      <c r="B3146" s="156" t="inlineStr">
        <is>
          <t>DS</t>
        </is>
      </c>
      <c r="C3146" s="156" t="inlineStr">
        <is>
          <t>DT-812</t>
        </is>
      </c>
      <c r="D3146" s="156" t="inlineStr">
        <is>
          <t>SKT 80S</t>
        </is>
      </c>
      <c r="E3146" s="156" t="inlineStr">
        <is>
          <t>Hauler</t>
        </is>
      </c>
      <c r="F3146" s="156" t="inlineStr">
        <is>
          <t>Hauling Coal S30 Barat &amp; Rehandling</t>
        </is>
      </c>
      <c r="G3146" s="182" t="n">
        <v>5.83</v>
      </c>
      <c r="H3146" s="182" t="n">
        <v>0</v>
      </c>
      <c r="I3146" s="182" t="n">
        <v>0</v>
      </c>
      <c r="J3146" s="182" t="n">
        <v>0</v>
      </c>
      <c r="K3146" s="182" t="n">
        <v>6.17</v>
      </c>
      <c r="L3146" s="182" t="n">
        <v>12</v>
      </c>
      <c r="M3146" s="182" t="n">
        <v>0</v>
      </c>
      <c r="N3146" s="182" t="n">
        <v>1.02</v>
      </c>
      <c r="O3146" s="183" t="n">
        <v>0</v>
      </c>
      <c r="P3146" s="183" t="n">
        <v>3</v>
      </c>
      <c r="Q3146" s="184" t="n">
        <v>0</v>
      </c>
      <c r="R3146" s="184" t="n">
        <v>45.9</v>
      </c>
      <c r="S3146" s="183" t="n">
        <v>0</v>
      </c>
      <c r="T3146" s="183" t="n">
        <v>0</v>
      </c>
      <c r="U3146" s="182" t="n">
        <v>1.4</v>
      </c>
      <c r="V3146" s="182" t="n">
        <v>0</v>
      </c>
      <c r="W3146" s="182" t="n">
        <v>0</v>
      </c>
      <c r="X3146" s="182" t="n">
        <v>0.98</v>
      </c>
      <c r="Y3146" s="182" t="n">
        <v>0</v>
      </c>
      <c r="Z3146" s="182" t="n">
        <v>0.07000000000000001</v>
      </c>
      <c r="AA3146" s="182" t="n">
        <v>0</v>
      </c>
      <c r="AB3146" s="182" t="n">
        <v>0</v>
      </c>
      <c r="AC3146" s="182" t="n">
        <v>0</v>
      </c>
      <c r="AD3146" s="182" t="n">
        <v>0</v>
      </c>
      <c r="AE3146" s="182" t="n">
        <v>0</v>
      </c>
      <c r="AF3146" s="182" t="n">
        <v>0</v>
      </c>
      <c r="AG3146" s="182" t="n">
        <v>0</v>
      </c>
      <c r="AH3146" s="182" t="n">
        <v>0.49</v>
      </c>
      <c r="AI3146" s="182" t="n">
        <v>0</v>
      </c>
      <c r="AJ3146" s="182" t="n">
        <v>0</v>
      </c>
      <c r="AK3146" s="182" t="n">
        <v>3.15</v>
      </c>
      <c r="AL3146" s="182" t="n">
        <v>0</v>
      </c>
      <c r="AM3146" s="182" t="n">
        <v>0.08</v>
      </c>
      <c r="AN3146" s="182" t="n">
        <v>0</v>
      </c>
    </row>
    <row r="3147">
      <c r="A3147" s="155" t="n">
        <v>46096</v>
      </c>
      <c r="B3147" s="156" t="inlineStr">
        <is>
          <t>DS</t>
        </is>
      </c>
      <c r="C3147" s="156" t="inlineStr">
        <is>
          <t>DT-803</t>
        </is>
      </c>
      <c r="D3147" s="156" t="inlineStr">
        <is>
          <t>SKT 80S</t>
        </is>
      </c>
      <c r="E3147" s="156" t="inlineStr">
        <is>
          <t>Hauler</t>
        </is>
      </c>
      <c r="F3147" s="156" t="inlineStr"/>
      <c r="G3147" s="182" t="n">
        <v>0</v>
      </c>
      <c r="H3147" s="182" t="n">
        <v>0</v>
      </c>
      <c r="I3147" s="182" t="n">
        <v>0</v>
      </c>
      <c r="J3147" s="182" t="n">
        <v>0</v>
      </c>
      <c r="K3147" s="182" t="n">
        <v>12</v>
      </c>
      <c r="L3147" s="182" t="n">
        <v>12</v>
      </c>
      <c r="M3147" s="182" t="n">
        <v>0</v>
      </c>
      <c r="N3147" s="182" t="n">
        <v>0</v>
      </c>
      <c r="O3147" s="183" t="n">
        <v>0</v>
      </c>
      <c r="P3147" s="183" t="n">
        <v>0</v>
      </c>
      <c r="Q3147" s="184" t="n">
        <v>0</v>
      </c>
      <c r="R3147" s="184" t="n">
        <v>0</v>
      </c>
      <c r="S3147" s="183" t="n">
        <v>0</v>
      </c>
      <c r="T3147" s="183" t="n">
        <v>0</v>
      </c>
      <c r="U3147" s="182" t="n">
        <v>1.43</v>
      </c>
      <c r="V3147" s="182" t="n">
        <v>0</v>
      </c>
      <c r="W3147" s="182" t="n">
        <v>0</v>
      </c>
      <c r="X3147" s="182" t="n">
        <v>1</v>
      </c>
      <c r="Y3147" s="182" t="n">
        <v>0</v>
      </c>
      <c r="Z3147" s="182" t="n">
        <v>0</v>
      </c>
      <c r="AA3147" s="182" t="n">
        <v>0</v>
      </c>
      <c r="AB3147" s="182" t="n">
        <v>0</v>
      </c>
      <c r="AC3147" s="182" t="n">
        <v>0</v>
      </c>
      <c r="AD3147" s="182" t="n">
        <v>0</v>
      </c>
      <c r="AE3147" s="182" t="n">
        <v>0</v>
      </c>
      <c r="AF3147" s="182" t="n">
        <v>0</v>
      </c>
      <c r="AG3147" s="182" t="n">
        <v>0</v>
      </c>
      <c r="AH3147" s="182" t="n">
        <v>0</v>
      </c>
      <c r="AI3147" s="182" t="n">
        <v>0</v>
      </c>
      <c r="AJ3147" s="182" t="n">
        <v>0</v>
      </c>
      <c r="AK3147" s="182" t="n">
        <v>9.49</v>
      </c>
      <c r="AL3147" s="182" t="n">
        <v>0</v>
      </c>
      <c r="AM3147" s="182" t="n">
        <v>0.08</v>
      </c>
      <c r="AN3147" s="182" t="n">
        <v>0</v>
      </c>
    </row>
    <row r="3148">
      <c r="A3148" s="155" t="n">
        <v>46096</v>
      </c>
      <c r="B3148" s="156" t="inlineStr">
        <is>
          <t>DS</t>
        </is>
      </c>
      <c r="C3148" s="156" t="inlineStr">
        <is>
          <t>DT-810</t>
        </is>
      </c>
      <c r="D3148" s="156" t="inlineStr">
        <is>
          <t>SKT 80S</t>
        </is>
      </c>
      <c r="E3148" s="156" t="inlineStr">
        <is>
          <t>Hauler</t>
        </is>
      </c>
      <c r="F3148" s="156" t="inlineStr">
        <is>
          <t>Hauling Coal S60 S45 &amp; Rehandling Dirty Coal</t>
        </is>
      </c>
      <c r="G3148" s="182" t="n">
        <v>2.31</v>
      </c>
      <c r="H3148" s="182" t="n">
        <v>0</v>
      </c>
      <c r="I3148" s="182" t="n">
        <v>0</v>
      </c>
      <c r="J3148" s="182" t="n">
        <v>0</v>
      </c>
      <c r="K3148" s="182" t="n">
        <v>9.69</v>
      </c>
      <c r="L3148" s="182" t="n">
        <v>12</v>
      </c>
      <c r="M3148" s="182" t="n">
        <v>0</v>
      </c>
      <c r="N3148" s="182" t="n">
        <v>0.92</v>
      </c>
      <c r="O3148" s="183" t="n">
        <v>0</v>
      </c>
      <c r="P3148" s="183" t="n">
        <v>3</v>
      </c>
      <c r="Q3148" s="184" t="n">
        <v>0</v>
      </c>
      <c r="R3148" s="184" t="n">
        <v>45.9</v>
      </c>
      <c r="S3148" s="183" t="n">
        <v>0</v>
      </c>
      <c r="T3148" s="183" t="n">
        <v>0</v>
      </c>
      <c r="U3148" s="182" t="n">
        <v>1.46</v>
      </c>
      <c r="V3148" s="182" t="n">
        <v>0</v>
      </c>
      <c r="W3148" s="182" t="n">
        <v>0</v>
      </c>
      <c r="X3148" s="182" t="n">
        <v>1.02</v>
      </c>
      <c r="Y3148" s="182" t="n">
        <v>0</v>
      </c>
      <c r="Z3148" s="182" t="n">
        <v>0</v>
      </c>
      <c r="AA3148" s="182" t="n">
        <v>0</v>
      </c>
      <c r="AB3148" s="182" t="n">
        <v>0</v>
      </c>
      <c r="AC3148" s="182" t="n">
        <v>0</v>
      </c>
      <c r="AD3148" s="182" t="n">
        <v>0</v>
      </c>
      <c r="AE3148" s="182" t="n">
        <v>0</v>
      </c>
      <c r="AF3148" s="182" t="n">
        <v>0</v>
      </c>
      <c r="AG3148" s="182" t="n">
        <v>0</v>
      </c>
      <c r="AH3148" s="182" t="n">
        <v>0.51</v>
      </c>
      <c r="AI3148" s="182" t="n">
        <v>0</v>
      </c>
      <c r="AJ3148" s="182" t="n">
        <v>0</v>
      </c>
      <c r="AK3148" s="182" t="n">
        <v>6.62</v>
      </c>
      <c r="AL3148" s="182" t="n">
        <v>0</v>
      </c>
      <c r="AM3148" s="182" t="n">
        <v>0.08</v>
      </c>
      <c r="AN3148" s="182" t="n">
        <v>0</v>
      </c>
    </row>
    <row r="3149">
      <c r="A3149" s="155" t="n">
        <v>46096</v>
      </c>
      <c r="B3149" s="156" t="inlineStr">
        <is>
          <t>DS</t>
        </is>
      </c>
      <c r="C3149" s="156" t="inlineStr">
        <is>
          <t>DT-804</t>
        </is>
      </c>
      <c r="D3149" s="156" t="inlineStr">
        <is>
          <t>SKT 80S</t>
        </is>
      </c>
      <c r="E3149" s="156" t="inlineStr">
        <is>
          <t>Hauler</t>
        </is>
      </c>
      <c r="F3149" s="156" t="inlineStr">
        <is>
          <t>Rehandling Lumpur WP</t>
        </is>
      </c>
      <c r="G3149" s="182" t="n">
        <v>0.3</v>
      </c>
      <c r="H3149" s="182" t="n">
        <v>0</v>
      </c>
      <c r="I3149" s="182" t="n">
        <v>0</v>
      </c>
      <c r="J3149" s="182" t="n">
        <v>0</v>
      </c>
      <c r="K3149" s="182" t="n">
        <v>11.7</v>
      </c>
      <c r="L3149" s="182" t="n">
        <v>12</v>
      </c>
      <c r="M3149" s="182" t="n">
        <v>0</v>
      </c>
      <c r="N3149" s="182" t="n">
        <v>0</v>
      </c>
      <c r="O3149" s="183" t="n">
        <v>0</v>
      </c>
      <c r="P3149" s="183" t="n">
        <v>0</v>
      </c>
      <c r="Q3149" s="184" t="n">
        <v>0</v>
      </c>
      <c r="R3149" s="184" t="n">
        <v>0</v>
      </c>
      <c r="S3149" s="183" t="n">
        <v>0</v>
      </c>
      <c r="T3149" s="183" t="n">
        <v>0</v>
      </c>
      <c r="U3149" s="182" t="n">
        <v>1.43</v>
      </c>
      <c r="V3149" s="182" t="n">
        <v>0</v>
      </c>
      <c r="W3149" s="182" t="n">
        <v>0</v>
      </c>
      <c r="X3149" s="182" t="n">
        <v>1</v>
      </c>
      <c r="Y3149" s="182" t="n">
        <v>0</v>
      </c>
      <c r="Z3149" s="182" t="n">
        <v>0</v>
      </c>
      <c r="AA3149" s="182" t="n">
        <v>0</v>
      </c>
      <c r="AB3149" s="182" t="n">
        <v>0</v>
      </c>
      <c r="AC3149" s="182" t="n">
        <v>0</v>
      </c>
      <c r="AD3149" s="182" t="n">
        <v>0</v>
      </c>
      <c r="AE3149" s="182" t="n">
        <v>0</v>
      </c>
      <c r="AF3149" s="182" t="n">
        <v>0</v>
      </c>
      <c r="AG3149" s="182" t="n">
        <v>0</v>
      </c>
      <c r="AH3149" s="182" t="n">
        <v>0.5</v>
      </c>
      <c r="AI3149" s="182" t="n">
        <v>0</v>
      </c>
      <c r="AJ3149" s="182" t="n">
        <v>0</v>
      </c>
      <c r="AK3149" s="182" t="n">
        <v>8.69</v>
      </c>
      <c r="AL3149" s="182" t="n">
        <v>0</v>
      </c>
      <c r="AM3149" s="182" t="n">
        <v>0.08</v>
      </c>
      <c r="AN3149" s="182" t="n">
        <v>0</v>
      </c>
    </row>
    <row r="3150">
      <c r="A3150" s="155" t="n">
        <v>46096</v>
      </c>
      <c r="B3150" s="156" t="inlineStr">
        <is>
          <t>DS</t>
        </is>
      </c>
      <c r="C3150" s="156" t="inlineStr">
        <is>
          <t>DT-505</t>
        </is>
      </c>
      <c r="D3150" s="156" t="inlineStr">
        <is>
          <t>SKT 105S</t>
        </is>
      </c>
      <c r="E3150" s="156" t="inlineStr">
        <is>
          <t>Hauler</t>
        </is>
      </c>
      <c r="F3150" s="156" t="inlineStr">
        <is>
          <t>Hauling Coal &amp; OB</t>
        </is>
      </c>
      <c r="G3150" s="182" t="n">
        <v>5.68</v>
      </c>
      <c r="H3150" s="182" t="n">
        <v>0</v>
      </c>
      <c r="I3150" s="182" t="n">
        <v>0.83</v>
      </c>
      <c r="J3150" s="182" t="n">
        <v>0.83</v>
      </c>
      <c r="K3150" s="182" t="n">
        <v>5.49</v>
      </c>
      <c r="L3150" s="182" t="n">
        <v>12</v>
      </c>
      <c r="M3150" s="182" t="n">
        <v>1.76</v>
      </c>
      <c r="N3150" s="182" t="n">
        <v>3.91</v>
      </c>
      <c r="O3150" s="183" t="n">
        <v>4</v>
      </c>
      <c r="P3150" s="183" t="n">
        <v>13</v>
      </c>
      <c r="Q3150" s="184" t="n">
        <v>81.59999999999999</v>
      </c>
      <c r="R3150" s="184" t="n">
        <v>243.1</v>
      </c>
      <c r="S3150" s="183" t="n">
        <v>0</v>
      </c>
      <c r="T3150" s="183" t="n">
        <v>0</v>
      </c>
      <c r="U3150" s="182" t="n">
        <v>1.46</v>
      </c>
      <c r="V3150" s="182" t="n">
        <v>0.5600000000000001</v>
      </c>
      <c r="W3150" s="182" t="n">
        <v>0</v>
      </c>
      <c r="X3150" s="182" t="n">
        <v>1.02</v>
      </c>
      <c r="Y3150" s="182" t="n">
        <v>0</v>
      </c>
      <c r="Z3150" s="182" t="n">
        <v>0.07000000000000001</v>
      </c>
      <c r="AA3150" s="182" t="n">
        <v>0</v>
      </c>
      <c r="AB3150" s="182" t="n">
        <v>0</v>
      </c>
      <c r="AC3150" s="182" t="n">
        <v>0</v>
      </c>
      <c r="AD3150" s="182" t="n">
        <v>0</v>
      </c>
      <c r="AE3150" s="182" t="n">
        <v>0</v>
      </c>
      <c r="AF3150" s="182" t="n">
        <v>0</v>
      </c>
      <c r="AG3150" s="182" t="n">
        <v>0</v>
      </c>
      <c r="AH3150" s="182" t="n">
        <v>0.51</v>
      </c>
      <c r="AI3150" s="182" t="n">
        <v>0</v>
      </c>
      <c r="AJ3150" s="182" t="n">
        <v>0</v>
      </c>
      <c r="AK3150" s="182" t="n">
        <v>1.77</v>
      </c>
      <c r="AL3150" s="182" t="n">
        <v>0</v>
      </c>
      <c r="AM3150" s="182" t="n">
        <v>0.08</v>
      </c>
      <c r="AN3150" s="182" t="n">
        <v>0</v>
      </c>
    </row>
    <row r="3151">
      <c r="A3151" s="155" t="n">
        <v>46096</v>
      </c>
      <c r="B3151" s="156" t="inlineStr">
        <is>
          <t>DS</t>
        </is>
      </c>
      <c r="C3151" s="156" t="inlineStr">
        <is>
          <t>DT-530</t>
        </is>
      </c>
      <c r="D3151" s="156" t="inlineStr">
        <is>
          <t>SKT 105S</t>
        </is>
      </c>
      <c r="E3151" s="156" t="inlineStr">
        <is>
          <t>Hauler</t>
        </is>
      </c>
      <c r="F3151" s="156" t="inlineStr"/>
      <c r="G3151" s="182" t="n">
        <v>0</v>
      </c>
      <c r="H3151" s="182" t="n">
        <v>0</v>
      </c>
      <c r="I3151" s="182" t="n">
        <v>12</v>
      </c>
      <c r="J3151" s="182" t="n">
        <v>12</v>
      </c>
      <c r="K3151" s="182" t="n">
        <v>0</v>
      </c>
      <c r="L3151" s="182" t="n">
        <v>12</v>
      </c>
      <c r="M3151" s="182" t="n">
        <v>0</v>
      </c>
      <c r="N3151" s="182" t="n">
        <v>0</v>
      </c>
      <c r="O3151" s="183" t="n">
        <v>0</v>
      </c>
      <c r="P3151" s="183" t="n">
        <v>0</v>
      </c>
      <c r="Q3151" s="184" t="n">
        <v>0</v>
      </c>
      <c r="R3151" s="184" t="n">
        <v>0</v>
      </c>
      <c r="S3151" s="183" t="n">
        <v>0</v>
      </c>
      <c r="T3151" s="183" t="n">
        <v>0</v>
      </c>
      <c r="U3151" s="182" t="n">
        <v>0</v>
      </c>
      <c r="V3151" s="182" t="n">
        <v>0</v>
      </c>
      <c r="W3151" s="182" t="n">
        <v>0</v>
      </c>
      <c r="X3151" s="182" t="n">
        <v>0</v>
      </c>
      <c r="Y3151" s="182" t="n">
        <v>0</v>
      </c>
      <c r="Z3151" s="182" t="n">
        <v>0</v>
      </c>
      <c r="AA3151" s="182" t="n">
        <v>0</v>
      </c>
      <c r="AB3151" s="182" t="n">
        <v>0</v>
      </c>
      <c r="AC3151" s="182" t="n">
        <v>0</v>
      </c>
      <c r="AD3151" s="182" t="n">
        <v>0</v>
      </c>
      <c r="AE3151" s="182" t="n">
        <v>0</v>
      </c>
      <c r="AF3151" s="182" t="n">
        <v>0</v>
      </c>
      <c r="AG3151" s="182" t="n">
        <v>0</v>
      </c>
      <c r="AH3151" s="182" t="n">
        <v>0</v>
      </c>
      <c r="AI3151" s="182" t="n">
        <v>0</v>
      </c>
      <c r="AJ3151" s="182" t="n">
        <v>0</v>
      </c>
      <c r="AK3151" s="182" t="n">
        <v>0</v>
      </c>
      <c r="AL3151" s="182" t="n">
        <v>0</v>
      </c>
      <c r="AM3151" s="182" t="n">
        <v>0</v>
      </c>
      <c r="AN3151" s="182" t="n">
        <v>0</v>
      </c>
    </row>
    <row r="3152">
      <c r="A3152" s="155" t="n">
        <v>46096</v>
      </c>
      <c r="B3152" s="156" t="inlineStr">
        <is>
          <t>DS</t>
        </is>
      </c>
      <c r="C3152" s="156" t="inlineStr">
        <is>
          <t>DT-525</t>
        </is>
      </c>
      <c r="D3152" s="156" t="inlineStr">
        <is>
          <t>SKT 105S</t>
        </is>
      </c>
      <c r="E3152" s="156" t="inlineStr">
        <is>
          <t>Hauler</t>
        </is>
      </c>
      <c r="F3152" s="156" t="inlineStr"/>
      <c r="G3152" s="182" t="n">
        <v>0</v>
      </c>
      <c r="H3152" s="182" t="n">
        <v>0</v>
      </c>
      <c r="I3152" s="182" t="n">
        <v>12</v>
      </c>
      <c r="J3152" s="182" t="n">
        <v>12</v>
      </c>
      <c r="K3152" s="182" t="n">
        <v>0</v>
      </c>
      <c r="L3152" s="182" t="n">
        <v>12</v>
      </c>
      <c r="M3152" s="182" t="n">
        <v>0</v>
      </c>
      <c r="N3152" s="182" t="n">
        <v>0</v>
      </c>
      <c r="O3152" s="183" t="n">
        <v>0</v>
      </c>
      <c r="P3152" s="183" t="n">
        <v>0</v>
      </c>
      <c r="Q3152" s="184" t="n">
        <v>0</v>
      </c>
      <c r="R3152" s="184" t="n">
        <v>0</v>
      </c>
      <c r="S3152" s="183" t="n">
        <v>0</v>
      </c>
      <c r="T3152" s="183" t="n">
        <v>0</v>
      </c>
      <c r="U3152" s="182" t="n">
        <v>0</v>
      </c>
      <c r="V3152" s="182" t="n">
        <v>0</v>
      </c>
      <c r="W3152" s="182" t="n">
        <v>0</v>
      </c>
      <c r="X3152" s="182" t="n">
        <v>0</v>
      </c>
      <c r="Y3152" s="182" t="n">
        <v>0</v>
      </c>
      <c r="Z3152" s="182" t="n">
        <v>0</v>
      </c>
      <c r="AA3152" s="182" t="n">
        <v>0</v>
      </c>
      <c r="AB3152" s="182" t="n">
        <v>0</v>
      </c>
      <c r="AC3152" s="182" t="n">
        <v>0</v>
      </c>
      <c r="AD3152" s="182" t="n">
        <v>0</v>
      </c>
      <c r="AE3152" s="182" t="n">
        <v>0</v>
      </c>
      <c r="AF3152" s="182" t="n">
        <v>0</v>
      </c>
      <c r="AG3152" s="182" t="n">
        <v>0</v>
      </c>
      <c r="AH3152" s="182" t="n">
        <v>0</v>
      </c>
      <c r="AI3152" s="182" t="n">
        <v>0</v>
      </c>
      <c r="AJ3152" s="182" t="n">
        <v>0</v>
      </c>
      <c r="AK3152" s="182" t="n">
        <v>0</v>
      </c>
      <c r="AL3152" s="182" t="n">
        <v>0</v>
      </c>
      <c r="AM3152" s="182" t="n">
        <v>0</v>
      </c>
      <c r="AN3152" s="182" t="n">
        <v>0</v>
      </c>
    </row>
    <row r="3153">
      <c r="A3153" s="155" t="n">
        <v>46096</v>
      </c>
      <c r="B3153" s="156" t="inlineStr">
        <is>
          <t>DS</t>
        </is>
      </c>
      <c r="C3153" s="156" t="inlineStr">
        <is>
          <t>DT-503</t>
        </is>
      </c>
      <c r="D3153" s="156" t="inlineStr">
        <is>
          <t>SKT 105S</t>
        </is>
      </c>
      <c r="E3153" s="156" t="inlineStr">
        <is>
          <t>Hauler</t>
        </is>
      </c>
      <c r="F3153" s="156" t="inlineStr">
        <is>
          <t>Hauling OB &amp; longosoran campur spoil</t>
        </is>
      </c>
      <c r="G3153" s="182" t="n">
        <v>8.07</v>
      </c>
      <c r="H3153" s="182" t="n">
        <v>0</v>
      </c>
      <c r="I3153" s="182" t="n">
        <v>0</v>
      </c>
      <c r="J3153" s="182" t="n">
        <v>0</v>
      </c>
      <c r="K3153" s="182" t="n">
        <v>3.93</v>
      </c>
      <c r="L3153" s="182" t="n">
        <v>12</v>
      </c>
      <c r="M3153" s="182" t="n">
        <v>8.07</v>
      </c>
      <c r="N3153" s="182" t="n">
        <v>0</v>
      </c>
      <c r="O3153" s="183" t="n">
        <v>25</v>
      </c>
      <c r="P3153" s="183" t="n">
        <v>0</v>
      </c>
      <c r="Q3153" s="184" t="n">
        <v>471.3</v>
      </c>
      <c r="R3153" s="184" t="n">
        <v>0</v>
      </c>
      <c r="S3153" s="183" t="n">
        <v>0</v>
      </c>
      <c r="T3153" s="183" t="n">
        <v>0</v>
      </c>
      <c r="U3153" s="182" t="n">
        <v>1.44</v>
      </c>
      <c r="V3153" s="182" t="n">
        <v>0.96</v>
      </c>
      <c r="W3153" s="182" t="n">
        <v>0</v>
      </c>
      <c r="X3153" s="182" t="n">
        <v>1.01</v>
      </c>
      <c r="Y3153" s="182" t="n">
        <v>0</v>
      </c>
      <c r="Z3153" s="182" t="n">
        <v>0.07000000000000001</v>
      </c>
      <c r="AA3153" s="182" t="n">
        <v>0</v>
      </c>
      <c r="AB3153" s="182" t="n">
        <v>0</v>
      </c>
      <c r="AC3153" s="182" t="n">
        <v>0</v>
      </c>
      <c r="AD3153" s="182" t="n">
        <v>0</v>
      </c>
      <c r="AE3153" s="182" t="n">
        <v>0</v>
      </c>
      <c r="AF3153" s="182" t="n">
        <v>0</v>
      </c>
      <c r="AG3153" s="182" t="n">
        <v>0</v>
      </c>
      <c r="AH3153" s="182" t="n">
        <v>0.37</v>
      </c>
      <c r="AI3153" s="182" t="n">
        <v>0</v>
      </c>
      <c r="AJ3153" s="182" t="n">
        <v>0</v>
      </c>
      <c r="AK3153" s="182" t="n">
        <v>0</v>
      </c>
      <c r="AL3153" s="182" t="n">
        <v>0</v>
      </c>
      <c r="AM3153" s="182" t="n">
        <v>0.08</v>
      </c>
      <c r="AN3153" s="182" t="n">
        <v>0</v>
      </c>
    </row>
    <row r="3154">
      <c r="A3154" s="155" t="n">
        <v>46096</v>
      </c>
      <c r="B3154" s="156" t="inlineStr">
        <is>
          <t>DS</t>
        </is>
      </c>
      <c r="C3154" s="156" t="inlineStr">
        <is>
          <t>DT-504</t>
        </is>
      </c>
      <c r="D3154" s="156" t="inlineStr">
        <is>
          <t>SKT 105S</t>
        </is>
      </c>
      <c r="E3154" s="156" t="inlineStr">
        <is>
          <t>Hauler</t>
        </is>
      </c>
      <c r="F3154" s="156" t="inlineStr"/>
      <c r="G3154" s="182" t="n">
        <v>0</v>
      </c>
      <c r="H3154" s="182" t="n">
        <v>0</v>
      </c>
      <c r="I3154" s="182" t="n">
        <v>2.25</v>
      </c>
      <c r="J3154" s="182" t="n">
        <v>2.25</v>
      </c>
      <c r="K3154" s="182" t="n">
        <v>9.75</v>
      </c>
      <c r="L3154" s="182" t="n">
        <v>12</v>
      </c>
      <c r="M3154" s="182" t="n">
        <v>0</v>
      </c>
      <c r="N3154" s="182" t="n">
        <v>0</v>
      </c>
      <c r="O3154" s="183" t="n">
        <v>0</v>
      </c>
      <c r="P3154" s="183" t="n">
        <v>0</v>
      </c>
      <c r="Q3154" s="184" t="n">
        <v>0</v>
      </c>
      <c r="R3154" s="184" t="n">
        <v>0</v>
      </c>
      <c r="S3154" s="183" t="n">
        <v>0</v>
      </c>
      <c r="T3154" s="183" t="n">
        <v>0</v>
      </c>
      <c r="U3154" s="182" t="n">
        <v>1.43</v>
      </c>
      <c r="V3154" s="182" t="n">
        <v>0</v>
      </c>
      <c r="W3154" s="182" t="n">
        <v>0</v>
      </c>
      <c r="X3154" s="182" t="n">
        <v>1</v>
      </c>
      <c r="Y3154" s="182" t="n">
        <v>0</v>
      </c>
      <c r="Z3154" s="182" t="n">
        <v>0</v>
      </c>
      <c r="AA3154" s="182" t="n">
        <v>0</v>
      </c>
      <c r="AB3154" s="182" t="n">
        <v>0</v>
      </c>
      <c r="AC3154" s="182" t="n">
        <v>0</v>
      </c>
      <c r="AD3154" s="182" t="n">
        <v>0</v>
      </c>
      <c r="AE3154" s="182" t="n">
        <v>0</v>
      </c>
      <c r="AF3154" s="182" t="n">
        <v>0</v>
      </c>
      <c r="AG3154" s="182" t="n">
        <v>0</v>
      </c>
      <c r="AH3154" s="182" t="n">
        <v>0</v>
      </c>
      <c r="AI3154" s="182" t="n">
        <v>0</v>
      </c>
      <c r="AJ3154" s="182" t="n">
        <v>0</v>
      </c>
      <c r="AK3154" s="182" t="n">
        <v>7.24</v>
      </c>
      <c r="AL3154" s="182" t="n">
        <v>0</v>
      </c>
      <c r="AM3154" s="182" t="n">
        <v>0.08</v>
      </c>
      <c r="AN3154" s="182" t="n">
        <v>0</v>
      </c>
    </row>
    <row r="3155">
      <c r="A3155" s="155" t="n">
        <v>46096</v>
      </c>
      <c r="B3155" s="156" t="inlineStr">
        <is>
          <t>DS</t>
        </is>
      </c>
      <c r="C3155" s="156" t="inlineStr">
        <is>
          <t>DT-507</t>
        </is>
      </c>
      <c r="D3155" s="156" t="inlineStr">
        <is>
          <t>SKT 105S</t>
        </is>
      </c>
      <c r="E3155" s="156" t="inlineStr">
        <is>
          <t>Hauler</t>
        </is>
      </c>
      <c r="F3155" s="156" t="inlineStr"/>
      <c r="G3155" s="182" t="n">
        <v>0</v>
      </c>
      <c r="H3155" s="182" t="n">
        <v>0</v>
      </c>
      <c r="I3155" s="182" t="n">
        <v>12</v>
      </c>
      <c r="J3155" s="182" t="n">
        <v>12</v>
      </c>
      <c r="K3155" s="182" t="n">
        <v>0</v>
      </c>
      <c r="L3155" s="182" t="n">
        <v>12</v>
      </c>
      <c r="M3155" s="182" t="n">
        <v>0</v>
      </c>
      <c r="N3155" s="182" t="n">
        <v>0</v>
      </c>
      <c r="O3155" s="183" t="n">
        <v>0</v>
      </c>
      <c r="P3155" s="183" t="n">
        <v>0</v>
      </c>
      <c r="Q3155" s="184" t="n">
        <v>0</v>
      </c>
      <c r="R3155" s="184" t="n">
        <v>0</v>
      </c>
      <c r="S3155" s="183" t="n">
        <v>0</v>
      </c>
      <c r="T3155" s="183" t="n">
        <v>0</v>
      </c>
      <c r="U3155" s="182" t="n">
        <v>0</v>
      </c>
      <c r="V3155" s="182" t="n">
        <v>0</v>
      </c>
      <c r="W3155" s="182" t="n">
        <v>0</v>
      </c>
      <c r="X3155" s="182" t="n">
        <v>0</v>
      </c>
      <c r="Y3155" s="182" t="n">
        <v>0</v>
      </c>
      <c r="Z3155" s="182" t="n">
        <v>0</v>
      </c>
      <c r="AA3155" s="182" t="n">
        <v>0</v>
      </c>
      <c r="AB3155" s="182" t="n">
        <v>0</v>
      </c>
      <c r="AC3155" s="182" t="n">
        <v>0</v>
      </c>
      <c r="AD3155" s="182" t="n">
        <v>0</v>
      </c>
      <c r="AE3155" s="182" t="n">
        <v>0</v>
      </c>
      <c r="AF3155" s="182" t="n">
        <v>0</v>
      </c>
      <c r="AG3155" s="182" t="n">
        <v>0</v>
      </c>
      <c r="AH3155" s="182" t="n">
        <v>0</v>
      </c>
      <c r="AI3155" s="182" t="n">
        <v>0</v>
      </c>
      <c r="AJ3155" s="182" t="n">
        <v>0</v>
      </c>
      <c r="AK3155" s="182" t="n">
        <v>0</v>
      </c>
      <c r="AL3155" s="182" t="n">
        <v>0</v>
      </c>
      <c r="AM3155" s="182" t="n">
        <v>0</v>
      </c>
      <c r="AN3155" s="182" t="n">
        <v>0</v>
      </c>
    </row>
    <row r="3156">
      <c r="A3156" s="155" t="n">
        <v>46096</v>
      </c>
      <c r="B3156" s="156" t="inlineStr">
        <is>
          <t>DS</t>
        </is>
      </c>
      <c r="C3156" s="156" t="inlineStr">
        <is>
          <t>DT-501</t>
        </is>
      </c>
      <c r="D3156" s="156" t="inlineStr">
        <is>
          <t>SKT 105S</t>
        </is>
      </c>
      <c r="E3156" s="156" t="inlineStr">
        <is>
          <t>Hauler</t>
        </is>
      </c>
      <c r="F3156" s="156" t="inlineStr">
        <is>
          <t>Hauling OB &amp; longosoran campur spoil</t>
        </is>
      </c>
      <c r="G3156" s="182" t="n">
        <v>8.970000000000001</v>
      </c>
      <c r="H3156" s="182" t="n">
        <v>0</v>
      </c>
      <c r="I3156" s="182" t="n">
        <v>0</v>
      </c>
      <c r="J3156" s="182" t="n">
        <v>0</v>
      </c>
      <c r="K3156" s="182" t="n">
        <v>3.03</v>
      </c>
      <c r="L3156" s="182" t="n">
        <v>12</v>
      </c>
      <c r="M3156" s="182" t="n">
        <v>8.970000000000001</v>
      </c>
      <c r="N3156" s="182" t="n">
        <v>0</v>
      </c>
      <c r="O3156" s="183" t="n">
        <v>29</v>
      </c>
      <c r="P3156" s="183" t="n">
        <v>0</v>
      </c>
      <c r="Q3156" s="184" t="n">
        <v>537.8</v>
      </c>
      <c r="R3156" s="184" t="n">
        <v>0</v>
      </c>
      <c r="S3156" s="183" t="n">
        <v>0</v>
      </c>
      <c r="T3156" s="183" t="n">
        <v>0</v>
      </c>
      <c r="U3156" s="182" t="n">
        <v>1.2</v>
      </c>
      <c r="V3156" s="182" t="n">
        <v>0.8</v>
      </c>
      <c r="W3156" s="182" t="n">
        <v>0</v>
      </c>
      <c r="X3156" s="182" t="n">
        <v>0.84</v>
      </c>
      <c r="Y3156" s="182" t="n">
        <v>0</v>
      </c>
      <c r="Z3156" s="182" t="n">
        <v>0.06</v>
      </c>
      <c r="AA3156" s="182" t="n">
        <v>0</v>
      </c>
      <c r="AB3156" s="182" t="n">
        <v>0</v>
      </c>
      <c r="AC3156" s="182" t="n">
        <v>0</v>
      </c>
      <c r="AD3156" s="182" t="n">
        <v>0</v>
      </c>
      <c r="AE3156" s="182" t="n">
        <v>0</v>
      </c>
      <c r="AF3156" s="182" t="n">
        <v>0</v>
      </c>
      <c r="AG3156" s="182" t="n">
        <v>0</v>
      </c>
      <c r="AH3156" s="182" t="n">
        <v>0.06</v>
      </c>
      <c r="AI3156" s="182" t="n">
        <v>0</v>
      </c>
      <c r="AJ3156" s="182" t="n">
        <v>0</v>
      </c>
      <c r="AK3156" s="182" t="n">
        <v>0</v>
      </c>
      <c r="AL3156" s="182" t="n">
        <v>0</v>
      </c>
      <c r="AM3156" s="182" t="n">
        <v>0.07000000000000001</v>
      </c>
      <c r="AN3156" s="182" t="n">
        <v>0</v>
      </c>
    </row>
    <row r="3157">
      <c r="A3157" s="155" t="n">
        <v>46096</v>
      </c>
      <c r="B3157" s="156" t="inlineStr">
        <is>
          <t>DS</t>
        </is>
      </c>
      <c r="C3157" s="156" t="inlineStr">
        <is>
          <t>DT-518</t>
        </is>
      </c>
      <c r="D3157" s="156" t="inlineStr">
        <is>
          <t>SKT 105S</t>
        </is>
      </c>
      <c r="E3157" s="156" t="inlineStr">
        <is>
          <t>Hauler</t>
        </is>
      </c>
      <c r="F3157" s="156" t="inlineStr">
        <is>
          <t>Hauling Spoil &amp; OB</t>
        </is>
      </c>
      <c r="G3157" s="182" t="n">
        <v>4.55</v>
      </c>
      <c r="H3157" s="182" t="n">
        <v>0</v>
      </c>
      <c r="I3157" s="182" t="n">
        <v>0</v>
      </c>
      <c r="J3157" s="182" t="n">
        <v>0</v>
      </c>
      <c r="K3157" s="182" t="n">
        <v>7.45</v>
      </c>
      <c r="L3157" s="182" t="n">
        <v>12</v>
      </c>
      <c r="M3157" s="182" t="n">
        <v>3.65</v>
      </c>
      <c r="N3157" s="182" t="n">
        <v>0</v>
      </c>
      <c r="O3157" s="183" t="n">
        <v>12</v>
      </c>
      <c r="P3157" s="183" t="n">
        <v>0</v>
      </c>
      <c r="Q3157" s="184" t="n">
        <v>244.8</v>
      </c>
      <c r="R3157" s="184" t="n">
        <v>0</v>
      </c>
      <c r="S3157" s="183" t="n">
        <v>0</v>
      </c>
      <c r="T3157" s="183" t="n">
        <v>0</v>
      </c>
      <c r="U3157" s="182" t="n">
        <v>1.46</v>
      </c>
      <c r="V3157" s="182" t="n">
        <v>0.53</v>
      </c>
      <c r="W3157" s="182" t="n">
        <v>0</v>
      </c>
      <c r="X3157" s="182" t="n">
        <v>1.02</v>
      </c>
      <c r="Y3157" s="182" t="n">
        <v>0</v>
      </c>
      <c r="Z3157" s="182" t="n">
        <v>0.07000000000000001</v>
      </c>
      <c r="AA3157" s="182" t="n">
        <v>0</v>
      </c>
      <c r="AB3157" s="182" t="n">
        <v>0</v>
      </c>
      <c r="AC3157" s="182" t="n">
        <v>0</v>
      </c>
      <c r="AD3157" s="182" t="n">
        <v>0</v>
      </c>
      <c r="AE3157" s="182" t="n">
        <v>0</v>
      </c>
      <c r="AF3157" s="182" t="n">
        <v>0</v>
      </c>
      <c r="AG3157" s="182" t="n">
        <v>0</v>
      </c>
      <c r="AH3157" s="182" t="n">
        <v>0.46</v>
      </c>
      <c r="AI3157" s="182" t="n">
        <v>3.83</v>
      </c>
      <c r="AJ3157" s="182" t="n">
        <v>0</v>
      </c>
      <c r="AK3157" s="182" t="n">
        <v>0</v>
      </c>
      <c r="AL3157" s="182" t="n">
        <v>0</v>
      </c>
      <c r="AM3157" s="182" t="n">
        <v>0.08</v>
      </c>
      <c r="AN3157" s="182" t="n">
        <v>0</v>
      </c>
    </row>
    <row r="3158">
      <c r="A3158" s="155" t="n">
        <v>46096</v>
      </c>
      <c r="B3158" s="156" t="inlineStr">
        <is>
          <t>DS</t>
        </is>
      </c>
      <c r="C3158" s="156" t="inlineStr">
        <is>
          <t>DT-514</t>
        </is>
      </c>
      <c r="D3158" s="156" t="inlineStr">
        <is>
          <t>SKT 105S</t>
        </is>
      </c>
      <c r="E3158" s="156" t="inlineStr">
        <is>
          <t>Hauler</t>
        </is>
      </c>
      <c r="F3158" s="156" t="inlineStr">
        <is>
          <t>Hauling OB &amp; Blend</t>
        </is>
      </c>
      <c r="G3158" s="182" t="n">
        <v>5</v>
      </c>
      <c r="H3158" s="182" t="n">
        <v>0</v>
      </c>
      <c r="I3158" s="182" t="n">
        <v>0</v>
      </c>
      <c r="J3158" s="182" t="n">
        <v>0</v>
      </c>
      <c r="K3158" s="182" t="n">
        <v>7</v>
      </c>
      <c r="L3158" s="182" t="n">
        <v>12</v>
      </c>
      <c r="M3158" s="182" t="n">
        <v>5</v>
      </c>
      <c r="N3158" s="182" t="n">
        <v>0</v>
      </c>
      <c r="O3158" s="183" t="n">
        <v>14</v>
      </c>
      <c r="P3158" s="183" t="n">
        <v>0</v>
      </c>
      <c r="Q3158" s="184" t="n">
        <v>274.9</v>
      </c>
      <c r="R3158" s="184" t="n">
        <v>0</v>
      </c>
      <c r="S3158" s="183" t="n">
        <v>0</v>
      </c>
      <c r="T3158" s="183" t="n">
        <v>0</v>
      </c>
      <c r="U3158" s="182" t="n">
        <v>1.45</v>
      </c>
      <c r="V3158" s="182" t="n">
        <v>0.89</v>
      </c>
      <c r="W3158" s="182" t="n">
        <v>0</v>
      </c>
      <c r="X3158" s="182" t="n">
        <v>1.01</v>
      </c>
      <c r="Y3158" s="182" t="n">
        <v>0</v>
      </c>
      <c r="Z3158" s="182" t="n">
        <v>0</v>
      </c>
      <c r="AA3158" s="182" t="n">
        <v>0</v>
      </c>
      <c r="AB3158" s="182" t="n">
        <v>0</v>
      </c>
      <c r="AC3158" s="182" t="n">
        <v>0</v>
      </c>
      <c r="AD3158" s="182" t="n">
        <v>0</v>
      </c>
      <c r="AE3158" s="182" t="n">
        <v>0</v>
      </c>
      <c r="AF3158" s="182" t="n">
        <v>0</v>
      </c>
      <c r="AG3158" s="182" t="n">
        <v>0.6</v>
      </c>
      <c r="AH3158" s="182" t="n">
        <v>0.93</v>
      </c>
      <c r="AI3158" s="182" t="n">
        <v>2.03</v>
      </c>
      <c r="AJ3158" s="182" t="n">
        <v>0</v>
      </c>
      <c r="AK3158" s="182" t="n">
        <v>0</v>
      </c>
      <c r="AL3158" s="182" t="n">
        <v>0</v>
      </c>
      <c r="AM3158" s="182" t="n">
        <v>0.08</v>
      </c>
      <c r="AN3158" s="182" t="n">
        <v>0</v>
      </c>
    </row>
    <row r="3159">
      <c r="A3159" s="155" t="n">
        <v>46096</v>
      </c>
      <c r="B3159" s="156" t="inlineStr">
        <is>
          <t>DS</t>
        </is>
      </c>
      <c r="C3159" s="156" t="inlineStr">
        <is>
          <t>DT-523</t>
        </is>
      </c>
      <c r="D3159" s="156" t="inlineStr">
        <is>
          <t>SKT 105S</t>
        </is>
      </c>
      <c r="E3159" s="156" t="inlineStr">
        <is>
          <t>Hauler</t>
        </is>
      </c>
      <c r="F3159" s="156" t="inlineStr">
        <is>
          <t>Hauling Coal &amp; OB</t>
        </is>
      </c>
      <c r="G3159" s="182" t="n">
        <v>7.84</v>
      </c>
      <c r="H3159" s="182" t="n">
        <v>0</v>
      </c>
      <c r="I3159" s="182" t="n">
        <v>0</v>
      </c>
      <c r="J3159" s="182" t="n">
        <v>0</v>
      </c>
      <c r="K3159" s="182" t="n">
        <v>4.16</v>
      </c>
      <c r="L3159" s="182" t="n">
        <v>12</v>
      </c>
      <c r="M3159" s="182" t="n">
        <v>4.29</v>
      </c>
      <c r="N3159" s="182" t="n">
        <v>3.55</v>
      </c>
      <c r="O3159" s="183" t="n">
        <v>16</v>
      </c>
      <c r="P3159" s="183" t="n">
        <v>10</v>
      </c>
      <c r="Q3159" s="184" t="n">
        <v>326.4</v>
      </c>
      <c r="R3159" s="184" t="n">
        <v>187</v>
      </c>
      <c r="S3159" s="183" t="n">
        <v>0</v>
      </c>
      <c r="T3159" s="183" t="n">
        <v>0</v>
      </c>
      <c r="U3159" s="182" t="n">
        <v>1.53</v>
      </c>
      <c r="V3159" s="182" t="n">
        <v>0.9399999999999999</v>
      </c>
      <c r="W3159" s="182" t="n">
        <v>0</v>
      </c>
      <c r="X3159" s="182" t="n">
        <v>1.07</v>
      </c>
      <c r="Y3159" s="182" t="n">
        <v>0</v>
      </c>
      <c r="Z3159" s="182" t="n">
        <v>0.07000000000000001</v>
      </c>
      <c r="AA3159" s="182" t="n">
        <v>0</v>
      </c>
      <c r="AB3159" s="182" t="n">
        <v>0</v>
      </c>
      <c r="AC3159" s="182" t="n">
        <v>0</v>
      </c>
      <c r="AD3159" s="182" t="n">
        <v>0</v>
      </c>
      <c r="AE3159" s="182" t="n">
        <v>0</v>
      </c>
      <c r="AF3159" s="182" t="n">
        <v>0</v>
      </c>
      <c r="AG3159" s="182" t="n">
        <v>0</v>
      </c>
      <c r="AH3159" s="182" t="n">
        <v>0.47</v>
      </c>
      <c r="AI3159" s="182" t="n">
        <v>0</v>
      </c>
      <c r="AJ3159" s="182" t="n">
        <v>0</v>
      </c>
      <c r="AK3159" s="182" t="n">
        <v>0</v>
      </c>
      <c r="AL3159" s="182" t="n">
        <v>0</v>
      </c>
      <c r="AM3159" s="182" t="n">
        <v>0.09</v>
      </c>
      <c r="AN3159" s="182" t="n">
        <v>0</v>
      </c>
    </row>
    <row r="3160">
      <c r="A3160" s="155" t="n">
        <v>46096</v>
      </c>
      <c r="B3160" s="156" t="inlineStr">
        <is>
          <t>DS</t>
        </is>
      </c>
      <c r="C3160" s="156" t="inlineStr">
        <is>
          <t>DT-519</t>
        </is>
      </c>
      <c r="D3160" s="156" t="inlineStr">
        <is>
          <t>SKT 105S</t>
        </is>
      </c>
      <c r="E3160" s="156" t="inlineStr">
        <is>
          <t>Hauler</t>
        </is>
      </c>
      <c r="F3160" s="156" t="inlineStr">
        <is>
          <t>Hauling Coal &amp; OB</t>
        </is>
      </c>
      <c r="G3160" s="182" t="n">
        <v>7.28</v>
      </c>
      <c r="H3160" s="182" t="n">
        <v>0</v>
      </c>
      <c r="I3160" s="182" t="n">
        <v>0</v>
      </c>
      <c r="J3160" s="182" t="n">
        <v>0</v>
      </c>
      <c r="K3160" s="182" t="n">
        <v>4.72</v>
      </c>
      <c r="L3160" s="182" t="n">
        <v>12</v>
      </c>
      <c r="M3160" s="182" t="n">
        <v>6.26</v>
      </c>
      <c r="N3160" s="182" t="n">
        <v>1.03</v>
      </c>
      <c r="O3160" s="183" t="n">
        <v>18</v>
      </c>
      <c r="P3160" s="183" t="n">
        <v>3</v>
      </c>
      <c r="Q3160" s="184" t="n">
        <v>348.9</v>
      </c>
      <c r="R3160" s="184" t="n">
        <v>56.1</v>
      </c>
      <c r="S3160" s="183" t="n">
        <v>0</v>
      </c>
      <c r="T3160" s="183" t="n">
        <v>0</v>
      </c>
      <c r="U3160" s="182" t="n">
        <v>1.38</v>
      </c>
      <c r="V3160" s="182" t="n">
        <v>0</v>
      </c>
      <c r="W3160" s="182" t="n">
        <v>0</v>
      </c>
      <c r="X3160" s="182" t="n">
        <v>0.96</v>
      </c>
      <c r="Y3160" s="182" t="n">
        <v>0</v>
      </c>
      <c r="Z3160" s="182" t="n">
        <v>0.07000000000000001</v>
      </c>
      <c r="AA3160" s="182" t="n">
        <v>0</v>
      </c>
      <c r="AB3160" s="182" t="n">
        <v>0</v>
      </c>
      <c r="AC3160" s="182" t="n">
        <v>0</v>
      </c>
      <c r="AD3160" s="182" t="n">
        <v>0</v>
      </c>
      <c r="AE3160" s="182" t="n">
        <v>0</v>
      </c>
      <c r="AF3160" s="182" t="n">
        <v>0</v>
      </c>
      <c r="AG3160" s="182" t="n">
        <v>0</v>
      </c>
      <c r="AH3160" s="182" t="n">
        <v>0</v>
      </c>
      <c r="AI3160" s="182" t="n">
        <v>0</v>
      </c>
      <c r="AJ3160" s="182" t="n">
        <v>0</v>
      </c>
      <c r="AK3160" s="182" t="n">
        <v>2.23</v>
      </c>
      <c r="AL3160" s="182" t="n">
        <v>0</v>
      </c>
      <c r="AM3160" s="182" t="n">
        <v>0.08</v>
      </c>
      <c r="AN3160" s="182" t="n">
        <v>0</v>
      </c>
    </row>
    <row r="3161">
      <c r="A3161" s="155" t="n">
        <v>46096</v>
      </c>
      <c r="B3161" s="156" t="inlineStr">
        <is>
          <t>DS</t>
        </is>
      </c>
      <c r="C3161" s="156" t="inlineStr">
        <is>
          <t>DT-527</t>
        </is>
      </c>
      <c r="D3161" s="156" t="inlineStr">
        <is>
          <t>SKT 105S</t>
        </is>
      </c>
      <c r="E3161" s="156" t="inlineStr">
        <is>
          <t>Hauler</t>
        </is>
      </c>
      <c r="F3161" s="156" t="inlineStr">
        <is>
          <t>Hauling Coal &amp; OB</t>
        </is>
      </c>
      <c r="G3161" s="182" t="n">
        <v>6.77</v>
      </c>
      <c r="H3161" s="182" t="n">
        <v>0</v>
      </c>
      <c r="I3161" s="182" t="n">
        <v>1</v>
      </c>
      <c r="J3161" s="182" t="n">
        <v>1</v>
      </c>
      <c r="K3161" s="182" t="n">
        <v>4.23</v>
      </c>
      <c r="L3161" s="182" t="n">
        <v>12</v>
      </c>
      <c r="M3161" s="182" t="n">
        <v>5.1</v>
      </c>
      <c r="N3161" s="182" t="n">
        <v>1.66</v>
      </c>
      <c r="O3161" s="183" t="n">
        <v>18</v>
      </c>
      <c r="P3161" s="183" t="n">
        <v>6</v>
      </c>
      <c r="Q3161" s="184" t="n">
        <v>367.2</v>
      </c>
      <c r="R3161" s="184" t="n">
        <v>112.2</v>
      </c>
      <c r="S3161" s="183" t="n">
        <v>0</v>
      </c>
      <c r="T3161" s="183" t="n">
        <v>0</v>
      </c>
      <c r="U3161" s="182" t="n">
        <v>1.44</v>
      </c>
      <c r="V3161" s="182" t="n">
        <v>0.89</v>
      </c>
      <c r="W3161" s="182" t="n">
        <v>0</v>
      </c>
      <c r="X3161" s="182" t="n">
        <v>1.01</v>
      </c>
      <c r="Y3161" s="182" t="n">
        <v>0</v>
      </c>
      <c r="Z3161" s="182" t="n">
        <v>0.07000000000000001</v>
      </c>
      <c r="AA3161" s="182" t="n">
        <v>0</v>
      </c>
      <c r="AB3161" s="182" t="n">
        <v>0</v>
      </c>
      <c r="AC3161" s="182" t="n">
        <v>0</v>
      </c>
      <c r="AD3161" s="182" t="n">
        <v>0</v>
      </c>
      <c r="AE3161" s="182" t="n">
        <v>0</v>
      </c>
      <c r="AF3161" s="182" t="n">
        <v>0</v>
      </c>
      <c r="AG3161" s="182" t="n">
        <v>0</v>
      </c>
      <c r="AH3161" s="182" t="n">
        <v>0.75</v>
      </c>
      <c r="AI3161" s="182" t="n">
        <v>0</v>
      </c>
      <c r="AJ3161" s="182" t="n">
        <v>0</v>
      </c>
      <c r="AK3161" s="182" t="n">
        <v>0</v>
      </c>
      <c r="AL3161" s="182" t="n">
        <v>0</v>
      </c>
      <c r="AM3161" s="182" t="n">
        <v>0.08</v>
      </c>
      <c r="AN3161" s="182" t="n">
        <v>0</v>
      </c>
    </row>
    <row r="3162">
      <c r="A3162" s="155" t="n">
        <v>46096</v>
      </c>
      <c r="B3162" s="156" t="inlineStr">
        <is>
          <t>DS</t>
        </is>
      </c>
      <c r="C3162" s="156" t="inlineStr">
        <is>
          <t>DT-513</t>
        </is>
      </c>
      <c r="D3162" s="156" t="inlineStr">
        <is>
          <t>SKT 105S</t>
        </is>
      </c>
      <c r="E3162" s="156" t="inlineStr">
        <is>
          <t>Hauler</t>
        </is>
      </c>
      <c r="F3162" s="156" t="inlineStr">
        <is>
          <t>Hauling Spoil &amp; OB</t>
        </is>
      </c>
      <c r="G3162" s="182" t="n">
        <v>5.33</v>
      </c>
      <c r="H3162" s="182" t="n">
        <v>0</v>
      </c>
      <c r="I3162" s="182" t="n">
        <v>0</v>
      </c>
      <c r="J3162" s="182" t="n">
        <v>0</v>
      </c>
      <c r="K3162" s="182" t="n">
        <v>6.67</v>
      </c>
      <c r="L3162" s="182" t="n">
        <v>12</v>
      </c>
      <c r="M3162" s="182" t="n">
        <v>4.34</v>
      </c>
      <c r="N3162" s="182" t="n">
        <v>0</v>
      </c>
      <c r="O3162" s="183" t="n">
        <v>13</v>
      </c>
      <c r="P3162" s="183" t="n">
        <v>0</v>
      </c>
      <c r="Q3162" s="184" t="n">
        <v>265.2</v>
      </c>
      <c r="R3162" s="184" t="n">
        <v>0</v>
      </c>
      <c r="S3162" s="183" t="n">
        <v>0</v>
      </c>
      <c r="T3162" s="183" t="n">
        <v>0</v>
      </c>
      <c r="U3162" s="182" t="n">
        <v>1.36</v>
      </c>
      <c r="V3162" s="182" t="n">
        <v>0.5</v>
      </c>
      <c r="W3162" s="182" t="n">
        <v>0</v>
      </c>
      <c r="X3162" s="182" t="n">
        <v>0.95</v>
      </c>
      <c r="Y3162" s="182" t="n">
        <v>0</v>
      </c>
      <c r="Z3162" s="182" t="n">
        <v>0</v>
      </c>
      <c r="AA3162" s="182" t="n">
        <v>0</v>
      </c>
      <c r="AB3162" s="182" t="n">
        <v>0</v>
      </c>
      <c r="AC3162" s="182" t="n">
        <v>0</v>
      </c>
      <c r="AD3162" s="182" t="n">
        <v>0</v>
      </c>
      <c r="AE3162" s="182" t="n">
        <v>0</v>
      </c>
      <c r="AF3162" s="182" t="n">
        <v>0</v>
      </c>
      <c r="AG3162" s="182" t="n">
        <v>0</v>
      </c>
      <c r="AH3162" s="182" t="n">
        <v>0.21</v>
      </c>
      <c r="AI3162" s="182" t="n">
        <v>3.57</v>
      </c>
      <c r="AJ3162" s="182" t="n">
        <v>0</v>
      </c>
      <c r="AK3162" s="182" t="n">
        <v>0</v>
      </c>
      <c r="AL3162" s="182" t="n">
        <v>0</v>
      </c>
      <c r="AM3162" s="182" t="n">
        <v>0.08</v>
      </c>
      <c r="AN3162" s="182" t="n">
        <v>0</v>
      </c>
    </row>
    <row r="3163">
      <c r="A3163" s="155" t="n">
        <v>46096</v>
      </c>
      <c r="B3163" s="156" t="inlineStr">
        <is>
          <t>DS</t>
        </is>
      </c>
      <c r="C3163" s="156" t="inlineStr">
        <is>
          <t>DT-512</t>
        </is>
      </c>
      <c r="D3163" s="156" t="inlineStr">
        <is>
          <t>SKT 105S</t>
        </is>
      </c>
      <c r="E3163" s="156" t="inlineStr">
        <is>
          <t>Hauler</t>
        </is>
      </c>
      <c r="F3163" s="156" t="inlineStr">
        <is>
          <t>Hauling OB &amp; longosoran campur spoil</t>
        </is>
      </c>
      <c r="G3163" s="182" t="n">
        <v>8.94</v>
      </c>
      <c r="H3163" s="182" t="n">
        <v>0</v>
      </c>
      <c r="I3163" s="182" t="n">
        <v>0</v>
      </c>
      <c r="J3163" s="182" t="n">
        <v>0</v>
      </c>
      <c r="K3163" s="182" t="n">
        <v>3.06</v>
      </c>
      <c r="L3163" s="182" t="n">
        <v>12</v>
      </c>
      <c r="M3163" s="182" t="n">
        <v>8.94</v>
      </c>
      <c r="N3163" s="182" t="n">
        <v>0</v>
      </c>
      <c r="O3163" s="183" t="n">
        <v>30</v>
      </c>
      <c r="P3163" s="183" t="n">
        <v>0</v>
      </c>
      <c r="Q3163" s="184" t="n">
        <v>560.7</v>
      </c>
      <c r="R3163" s="184" t="n">
        <v>0</v>
      </c>
      <c r="S3163" s="183" t="n">
        <v>0</v>
      </c>
      <c r="T3163" s="183" t="n">
        <v>0</v>
      </c>
      <c r="U3163" s="182" t="n">
        <v>1.29</v>
      </c>
      <c r="V3163" s="182" t="n">
        <v>0.74</v>
      </c>
      <c r="W3163" s="182" t="n">
        <v>0</v>
      </c>
      <c r="X3163" s="182" t="n">
        <v>0.9</v>
      </c>
      <c r="Y3163" s="182" t="n">
        <v>0</v>
      </c>
      <c r="Z3163" s="182" t="n">
        <v>0.06</v>
      </c>
      <c r="AA3163" s="182" t="n">
        <v>0</v>
      </c>
      <c r="AB3163" s="182" t="n">
        <v>0</v>
      </c>
      <c r="AC3163" s="182" t="n">
        <v>0</v>
      </c>
      <c r="AD3163" s="182" t="n">
        <v>0</v>
      </c>
      <c r="AE3163" s="182" t="n">
        <v>0</v>
      </c>
      <c r="AF3163" s="182" t="n">
        <v>0</v>
      </c>
      <c r="AG3163" s="182" t="n">
        <v>0</v>
      </c>
      <c r="AH3163" s="182" t="n">
        <v>0</v>
      </c>
      <c r="AI3163" s="182" t="n">
        <v>0</v>
      </c>
      <c r="AJ3163" s="182" t="n">
        <v>0</v>
      </c>
      <c r="AK3163" s="182" t="n">
        <v>0</v>
      </c>
      <c r="AL3163" s="182" t="n">
        <v>0</v>
      </c>
      <c r="AM3163" s="182" t="n">
        <v>0.07000000000000001</v>
      </c>
      <c r="AN3163" s="182" t="n">
        <v>0</v>
      </c>
    </row>
    <row r="3164">
      <c r="A3164" s="155" t="n">
        <v>46096</v>
      </c>
      <c r="B3164" s="156" t="inlineStr">
        <is>
          <t>DS</t>
        </is>
      </c>
      <c r="C3164" s="156" t="inlineStr">
        <is>
          <t>DT-522</t>
        </is>
      </c>
      <c r="D3164" s="156" t="inlineStr">
        <is>
          <t>SKT 105S</t>
        </is>
      </c>
      <c r="E3164" s="156" t="inlineStr">
        <is>
          <t>Hauler</t>
        </is>
      </c>
      <c r="F3164" s="156" t="inlineStr">
        <is>
          <t>Hauling Spoil &amp; OB</t>
        </is>
      </c>
      <c r="G3164" s="182" t="n">
        <v>4.96</v>
      </c>
      <c r="H3164" s="182" t="n">
        <v>1.67</v>
      </c>
      <c r="I3164" s="182" t="n">
        <v>0</v>
      </c>
      <c r="J3164" s="182" t="n">
        <v>1.67</v>
      </c>
      <c r="K3164" s="182" t="n">
        <v>5.37</v>
      </c>
      <c r="L3164" s="182" t="n">
        <v>12</v>
      </c>
      <c r="M3164" s="182" t="n">
        <v>4.11</v>
      </c>
      <c r="N3164" s="182" t="n">
        <v>0</v>
      </c>
      <c r="O3164" s="183" t="n">
        <v>10</v>
      </c>
      <c r="P3164" s="183" t="n">
        <v>0</v>
      </c>
      <c r="Q3164" s="184" t="n">
        <v>204</v>
      </c>
      <c r="R3164" s="184" t="n">
        <v>0</v>
      </c>
      <c r="S3164" s="183" t="n">
        <v>0</v>
      </c>
      <c r="T3164" s="183" t="n">
        <v>0</v>
      </c>
      <c r="U3164" s="182" t="n">
        <v>0.11</v>
      </c>
      <c r="V3164" s="182" t="n">
        <v>0</v>
      </c>
      <c r="W3164" s="182" t="n">
        <v>0</v>
      </c>
      <c r="X3164" s="182" t="n">
        <v>1.09</v>
      </c>
      <c r="Y3164" s="182" t="n">
        <v>0</v>
      </c>
      <c r="Z3164" s="182" t="n">
        <v>0</v>
      </c>
      <c r="AA3164" s="182" t="n">
        <v>0</v>
      </c>
      <c r="AB3164" s="182" t="n">
        <v>0</v>
      </c>
      <c r="AC3164" s="182" t="n">
        <v>0</v>
      </c>
      <c r="AD3164" s="182" t="n">
        <v>0</v>
      </c>
      <c r="AE3164" s="182" t="n">
        <v>0</v>
      </c>
      <c r="AF3164" s="182" t="n">
        <v>0</v>
      </c>
      <c r="AG3164" s="182" t="n">
        <v>0</v>
      </c>
      <c r="AH3164" s="182" t="n">
        <v>0</v>
      </c>
      <c r="AI3164" s="182" t="n">
        <v>4.08</v>
      </c>
      <c r="AJ3164" s="182" t="n">
        <v>0</v>
      </c>
      <c r="AK3164" s="182" t="n">
        <v>0</v>
      </c>
      <c r="AL3164" s="182" t="n">
        <v>0</v>
      </c>
      <c r="AM3164" s="182" t="n">
        <v>0.09</v>
      </c>
      <c r="AN3164" s="182" t="n">
        <v>0</v>
      </c>
    </row>
    <row r="3165">
      <c r="A3165" s="155" t="n">
        <v>46096</v>
      </c>
      <c r="B3165" s="156" t="inlineStr">
        <is>
          <t>DS</t>
        </is>
      </c>
      <c r="C3165" s="156" t="inlineStr">
        <is>
          <t>DT-517</t>
        </is>
      </c>
      <c r="D3165" s="156" t="inlineStr">
        <is>
          <t>SKT 105S</t>
        </is>
      </c>
      <c r="E3165" s="156" t="inlineStr">
        <is>
          <t>Hauler</t>
        </is>
      </c>
      <c r="F3165" s="156" t="inlineStr">
        <is>
          <t>Hauling OB &amp; Blend</t>
        </is>
      </c>
      <c r="G3165" s="182" t="n">
        <v>6</v>
      </c>
      <c r="H3165" s="182" t="n">
        <v>0</v>
      </c>
      <c r="I3165" s="182" t="n">
        <v>0</v>
      </c>
      <c r="J3165" s="182" t="n">
        <v>0</v>
      </c>
      <c r="K3165" s="182" t="n">
        <v>6</v>
      </c>
      <c r="L3165" s="182" t="n">
        <v>12</v>
      </c>
      <c r="M3165" s="182" t="n">
        <v>6</v>
      </c>
      <c r="N3165" s="182" t="n">
        <v>0</v>
      </c>
      <c r="O3165" s="183" t="n">
        <v>14</v>
      </c>
      <c r="P3165" s="183" t="n">
        <v>0</v>
      </c>
      <c r="Q3165" s="184" t="n">
        <v>271.3</v>
      </c>
      <c r="R3165" s="184" t="n">
        <v>0</v>
      </c>
      <c r="S3165" s="183" t="n">
        <v>0</v>
      </c>
      <c r="T3165" s="183" t="n">
        <v>0</v>
      </c>
      <c r="U3165" s="182" t="n">
        <v>1.3</v>
      </c>
      <c r="V3165" s="182" t="n">
        <v>0.8</v>
      </c>
      <c r="W3165" s="182" t="n">
        <v>0</v>
      </c>
      <c r="X3165" s="182" t="n">
        <v>0.91</v>
      </c>
      <c r="Y3165" s="182" t="n">
        <v>0</v>
      </c>
      <c r="Z3165" s="182" t="n">
        <v>0</v>
      </c>
      <c r="AA3165" s="182" t="n">
        <v>0</v>
      </c>
      <c r="AB3165" s="182" t="n">
        <v>0</v>
      </c>
      <c r="AC3165" s="182" t="n">
        <v>0</v>
      </c>
      <c r="AD3165" s="182" t="n">
        <v>0</v>
      </c>
      <c r="AE3165" s="182" t="n">
        <v>0</v>
      </c>
      <c r="AF3165" s="182" t="n">
        <v>0</v>
      </c>
      <c r="AG3165" s="182" t="n">
        <v>0.63</v>
      </c>
      <c r="AH3165" s="182" t="n">
        <v>0.47</v>
      </c>
      <c r="AI3165" s="182" t="n">
        <v>1.82</v>
      </c>
      <c r="AJ3165" s="182" t="n">
        <v>0</v>
      </c>
      <c r="AK3165" s="182" t="n">
        <v>0</v>
      </c>
      <c r="AL3165" s="182" t="n">
        <v>0</v>
      </c>
      <c r="AM3165" s="182" t="n">
        <v>0.07000000000000001</v>
      </c>
      <c r="AN3165" s="182" t="n">
        <v>0</v>
      </c>
    </row>
    <row r="3166">
      <c r="A3166" s="155" t="n">
        <v>46096</v>
      </c>
      <c r="B3166" s="156" t="inlineStr">
        <is>
          <t>DS</t>
        </is>
      </c>
      <c r="C3166" s="156" t="inlineStr">
        <is>
          <t>DT-510</t>
        </is>
      </c>
      <c r="D3166" s="156" t="inlineStr">
        <is>
          <t>SKT 105S</t>
        </is>
      </c>
      <c r="E3166" s="156" t="inlineStr">
        <is>
          <t>Hauler</t>
        </is>
      </c>
      <c r="F3166" s="156" t="inlineStr">
        <is>
          <t>Hauling Coal &amp; OB</t>
        </is>
      </c>
      <c r="G3166" s="182" t="n">
        <v>7.57</v>
      </c>
      <c r="H3166" s="182" t="n">
        <v>0</v>
      </c>
      <c r="I3166" s="182" t="n">
        <v>0</v>
      </c>
      <c r="J3166" s="182" t="n">
        <v>0</v>
      </c>
      <c r="K3166" s="182" t="n">
        <v>4.43</v>
      </c>
      <c r="L3166" s="182" t="n">
        <v>12</v>
      </c>
      <c r="M3166" s="182" t="n">
        <v>3.42</v>
      </c>
      <c r="N3166" s="182" t="n">
        <v>4.15</v>
      </c>
      <c r="O3166" s="183" t="n">
        <v>15</v>
      </c>
      <c r="P3166" s="183" t="n">
        <v>12</v>
      </c>
      <c r="Q3166" s="184" t="n">
        <v>306</v>
      </c>
      <c r="R3166" s="184" t="n">
        <v>224.4</v>
      </c>
      <c r="S3166" s="183" t="n">
        <v>0</v>
      </c>
      <c r="T3166" s="183" t="n">
        <v>0</v>
      </c>
      <c r="U3166" s="182" t="n">
        <v>1.35</v>
      </c>
      <c r="V3166" s="182" t="n">
        <v>0.83</v>
      </c>
      <c r="W3166" s="182" t="n">
        <v>0</v>
      </c>
      <c r="X3166" s="182" t="n">
        <v>0.9399999999999999</v>
      </c>
      <c r="Y3166" s="182" t="n">
        <v>0</v>
      </c>
      <c r="Z3166" s="182" t="n">
        <v>0.07000000000000001</v>
      </c>
      <c r="AA3166" s="182" t="n">
        <v>0</v>
      </c>
      <c r="AB3166" s="182" t="n">
        <v>0</v>
      </c>
      <c r="AC3166" s="182" t="n">
        <v>0</v>
      </c>
      <c r="AD3166" s="182" t="n">
        <v>0</v>
      </c>
      <c r="AE3166" s="182" t="n">
        <v>0</v>
      </c>
      <c r="AF3166" s="182" t="n">
        <v>0</v>
      </c>
      <c r="AG3166" s="182" t="n">
        <v>0.71</v>
      </c>
      <c r="AH3166" s="182" t="n">
        <v>0.45</v>
      </c>
      <c r="AI3166" s="182" t="n">
        <v>0</v>
      </c>
      <c r="AJ3166" s="182" t="n">
        <v>0</v>
      </c>
      <c r="AK3166" s="182" t="n">
        <v>0</v>
      </c>
      <c r="AL3166" s="182" t="n">
        <v>0</v>
      </c>
      <c r="AM3166" s="182" t="n">
        <v>0.08</v>
      </c>
      <c r="AN3166" s="182" t="n">
        <v>0</v>
      </c>
    </row>
    <row r="3167">
      <c r="A3167" s="155" t="n">
        <v>46096</v>
      </c>
      <c r="B3167" s="156" t="inlineStr">
        <is>
          <t>DS</t>
        </is>
      </c>
      <c r="C3167" s="156" t="inlineStr">
        <is>
          <t>DT-521</t>
        </is>
      </c>
      <c r="D3167" s="156" t="inlineStr">
        <is>
          <t>SKT 105S</t>
        </is>
      </c>
      <c r="E3167" s="156" t="inlineStr">
        <is>
          <t>Hauler</t>
        </is>
      </c>
      <c r="F3167" s="156" t="inlineStr">
        <is>
          <t>Hauling Coal &amp; OB</t>
        </is>
      </c>
      <c r="G3167" s="182" t="n">
        <v>4.59</v>
      </c>
      <c r="H3167" s="182" t="n">
        <v>3.5</v>
      </c>
      <c r="I3167" s="182" t="n">
        <v>0</v>
      </c>
      <c r="J3167" s="182" t="n">
        <v>3.5</v>
      </c>
      <c r="K3167" s="182" t="n">
        <v>3.91</v>
      </c>
      <c r="L3167" s="182" t="n">
        <v>12</v>
      </c>
      <c r="M3167" s="182" t="n">
        <v>4.59</v>
      </c>
      <c r="N3167" s="182" t="n">
        <v>0</v>
      </c>
      <c r="O3167" s="183" t="n">
        <v>15</v>
      </c>
      <c r="P3167" s="183" t="n">
        <v>0</v>
      </c>
      <c r="Q3167" s="184" t="n">
        <v>306</v>
      </c>
      <c r="R3167" s="184" t="n">
        <v>0</v>
      </c>
      <c r="S3167" s="183" t="n">
        <v>0</v>
      </c>
      <c r="T3167" s="183" t="n">
        <v>0</v>
      </c>
      <c r="U3167" s="182" t="n">
        <v>1.47</v>
      </c>
      <c r="V3167" s="182" t="n">
        <v>0.91</v>
      </c>
      <c r="W3167" s="182" t="n">
        <v>0</v>
      </c>
      <c r="X3167" s="182" t="n">
        <v>1.03</v>
      </c>
      <c r="Y3167" s="182" t="n">
        <v>0</v>
      </c>
      <c r="Z3167" s="182" t="n">
        <v>0</v>
      </c>
      <c r="AA3167" s="182" t="n">
        <v>0</v>
      </c>
      <c r="AB3167" s="182" t="n">
        <v>0</v>
      </c>
      <c r="AC3167" s="182" t="n">
        <v>0</v>
      </c>
      <c r="AD3167" s="182" t="n">
        <v>0</v>
      </c>
      <c r="AE3167" s="182" t="n">
        <v>0</v>
      </c>
      <c r="AF3167" s="182" t="n">
        <v>0</v>
      </c>
      <c r="AG3167" s="182" t="n">
        <v>0</v>
      </c>
      <c r="AH3167" s="182" t="n">
        <v>0.41</v>
      </c>
      <c r="AI3167" s="182" t="n">
        <v>0</v>
      </c>
      <c r="AJ3167" s="182" t="n">
        <v>0</v>
      </c>
      <c r="AK3167" s="182" t="n">
        <v>0</v>
      </c>
      <c r="AL3167" s="182" t="n">
        <v>0</v>
      </c>
      <c r="AM3167" s="182" t="n">
        <v>0.08</v>
      </c>
      <c r="AN3167" s="182" t="n">
        <v>0</v>
      </c>
    </row>
    <row r="3168">
      <c r="A3168" s="155" t="n">
        <v>46096</v>
      </c>
      <c r="B3168" s="156" t="inlineStr">
        <is>
          <t>DS</t>
        </is>
      </c>
      <c r="C3168" s="156" t="inlineStr">
        <is>
          <t>DT-516</t>
        </is>
      </c>
      <c r="D3168" s="156" t="inlineStr">
        <is>
          <t>SKT 105S</t>
        </is>
      </c>
      <c r="E3168" s="156" t="inlineStr">
        <is>
          <t>Hauler</t>
        </is>
      </c>
      <c r="F3168" s="156" t="inlineStr">
        <is>
          <t>Hauling OB &amp; longosoran campur spoil</t>
        </is>
      </c>
      <c r="G3168" s="182" t="n">
        <v>8.43</v>
      </c>
      <c r="H3168" s="182" t="n">
        <v>0</v>
      </c>
      <c r="I3168" s="182" t="n">
        <v>0</v>
      </c>
      <c r="J3168" s="182" t="n">
        <v>0</v>
      </c>
      <c r="K3168" s="182" t="n">
        <v>3.57</v>
      </c>
      <c r="L3168" s="182" t="n">
        <v>12</v>
      </c>
      <c r="M3168" s="182" t="n">
        <v>8.43</v>
      </c>
      <c r="N3168" s="182" t="n">
        <v>0</v>
      </c>
      <c r="O3168" s="183" t="n">
        <v>33</v>
      </c>
      <c r="P3168" s="183" t="n">
        <v>0</v>
      </c>
      <c r="Q3168" s="184" t="n">
        <v>616.8</v>
      </c>
      <c r="R3168" s="184" t="n">
        <v>0</v>
      </c>
      <c r="S3168" s="183" t="n">
        <v>0</v>
      </c>
      <c r="T3168" s="183" t="n">
        <v>0</v>
      </c>
      <c r="U3168" s="182" t="n">
        <v>1.31</v>
      </c>
      <c r="V3168" s="182" t="n">
        <v>0.87</v>
      </c>
      <c r="W3168" s="182" t="n">
        <v>0</v>
      </c>
      <c r="X3168" s="182" t="n">
        <v>0.92</v>
      </c>
      <c r="Y3168" s="182" t="n">
        <v>0</v>
      </c>
      <c r="Z3168" s="182" t="n">
        <v>0.06</v>
      </c>
      <c r="AA3168" s="182" t="n">
        <v>0</v>
      </c>
      <c r="AB3168" s="182" t="n">
        <v>0</v>
      </c>
      <c r="AC3168" s="182" t="n">
        <v>0</v>
      </c>
      <c r="AD3168" s="182" t="n">
        <v>0</v>
      </c>
      <c r="AE3168" s="182" t="n">
        <v>0</v>
      </c>
      <c r="AF3168" s="182" t="n">
        <v>0</v>
      </c>
      <c r="AG3168" s="182" t="n">
        <v>0</v>
      </c>
      <c r="AH3168" s="182" t="n">
        <v>0.34</v>
      </c>
      <c r="AI3168" s="182" t="n">
        <v>0</v>
      </c>
      <c r="AJ3168" s="182" t="n">
        <v>0</v>
      </c>
      <c r="AK3168" s="182" t="n">
        <v>0</v>
      </c>
      <c r="AL3168" s="182" t="n">
        <v>0</v>
      </c>
      <c r="AM3168" s="182" t="n">
        <v>0.07000000000000001</v>
      </c>
      <c r="AN3168" s="182" t="n">
        <v>0</v>
      </c>
    </row>
    <row r="3169">
      <c r="A3169" s="155" t="n">
        <v>46096</v>
      </c>
      <c r="B3169" s="156" t="inlineStr">
        <is>
          <t>DS</t>
        </is>
      </c>
      <c r="C3169" s="156" t="inlineStr">
        <is>
          <t>DT-506</t>
        </is>
      </c>
      <c r="D3169" s="156" t="inlineStr">
        <is>
          <t>SKT 105S</t>
        </is>
      </c>
      <c r="E3169" s="156" t="inlineStr">
        <is>
          <t>Hauler</t>
        </is>
      </c>
      <c r="F3169" s="156" t="inlineStr">
        <is>
          <t>Hauling Spoil &amp; OB</t>
        </is>
      </c>
      <c r="G3169" s="182" t="n">
        <v>4.43</v>
      </c>
      <c r="H3169" s="182" t="n">
        <v>0</v>
      </c>
      <c r="I3169" s="182" t="n">
        <v>0</v>
      </c>
      <c r="J3169" s="182" t="n">
        <v>0</v>
      </c>
      <c r="K3169" s="182" t="n">
        <v>7.57</v>
      </c>
      <c r="L3169" s="182" t="n">
        <v>12</v>
      </c>
      <c r="M3169" s="182" t="n">
        <v>3.55</v>
      </c>
      <c r="N3169" s="182" t="n">
        <v>0</v>
      </c>
      <c r="O3169" s="183" t="n">
        <v>12</v>
      </c>
      <c r="P3169" s="183" t="n">
        <v>0</v>
      </c>
      <c r="Q3169" s="184" t="n">
        <v>244.8</v>
      </c>
      <c r="R3169" s="184" t="n">
        <v>0</v>
      </c>
      <c r="S3169" s="183" t="n">
        <v>0</v>
      </c>
      <c r="T3169" s="183" t="n">
        <v>0</v>
      </c>
      <c r="U3169" s="182" t="n">
        <v>1.48</v>
      </c>
      <c r="V3169" s="182" t="n">
        <v>0.54</v>
      </c>
      <c r="W3169" s="182" t="n">
        <v>0</v>
      </c>
      <c r="X3169" s="182" t="n">
        <v>1.04</v>
      </c>
      <c r="Y3169" s="182" t="n">
        <v>0</v>
      </c>
      <c r="Z3169" s="182" t="n">
        <v>0</v>
      </c>
      <c r="AA3169" s="182" t="n">
        <v>0</v>
      </c>
      <c r="AB3169" s="182" t="n">
        <v>0</v>
      </c>
      <c r="AC3169" s="182" t="n">
        <v>0</v>
      </c>
      <c r="AD3169" s="182" t="n">
        <v>0</v>
      </c>
      <c r="AE3169" s="182" t="n">
        <v>0</v>
      </c>
      <c r="AF3169" s="182" t="n">
        <v>0</v>
      </c>
      <c r="AG3169" s="182" t="n">
        <v>0</v>
      </c>
      <c r="AH3169" s="182" t="n">
        <v>0.54</v>
      </c>
      <c r="AI3169" s="182" t="n">
        <v>3.89</v>
      </c>
      <c r="AJ3169" s="182" t="n">
        <v>0</v>
      </c>
      <c r="AK3169" s="182" t="n">
        <v>0</v>
      </c>
      <c r="AL3169" s="182" t="n">
        <v>0</v>
      </c>
      <c r="AM3169" s="182" t="n">
        <v>0.08</v>
      </c>
      <c r="AN3169" s="182" t="n">
        <v>0</v>
      </c>
    </row>
    <row r="3170">
      <c r="A3170" s="155" t="n">
        <v>46096</v>
      </c>
      <c r="B3170" s="156" t="inlineStr">
        <is>
          <t>DS</t>
        </is>
      </c>
      <c r="C3170" s="156" t="inlineStr">
        <is>
          <t>DT-502</t>
        </is>
      </c>
      <c r="D3170" s="156" t="inlineStr">
        <is>
          <t>SKT 105S</t>
        </is>
      </c>
      <c r="E3170" s="156" t="inlineStr">
        <is>
          <t>Hauler</t>
        </is>
      </c>
      <c r="F3170" s="156" t="inlineStr"/>
      <c r="G3170" s="182" t="n">
        <v>0</v>
      </c>
      <c r="H3170" s="182" t="n">
        <v>0</v>
      </c>
      <c r="I3170" s="182" t="n">
        <v>12</v>
      </c>
      <c r="J3170" s="182" t="n">
        <v>12</v>
      </c>
      <c r="K3170" s="182" t="n">
        <v>0</v>
      </c>
      <c r="L3170" s="182" t="n">
        <v>12</v>
      </c>
      <c r="M3170" s="182" t="n">
        <v>0</v>
      </c>
      <c r="N3170" s="182" t="n">
        <v>0</v>
      </c>
      <c r="O3170" s="183" t="n">
        <v>0</v>
      </c>
      <c r="P3170" s="183" t="n">
        <v>0</v>
      </c>
      <c r="Q3170" s="184" t="n">
        <v>0</v>
      </c>
      <c r="R3170" s="184" t="n">
        <v>0</v>
      </c>
      <c r="S3170" s="183" t="n">
        <v>0</v>
      </c>
      <c r="T3170" s="183" t="n">
        <v>0</v>
      </c>
      <c r="U3170" s="182" t="n">
        <v>0</v>
      </c>
      <c r="V3170" s="182" t="n">
        <v>0</v>
      </c>
      <c r="W3170" s="182" t="n">
        <v>0</v>
      </c>
      <c r="X3170" s="182" t="n">
        <v>0</v>
      </c>
      <c r="Y3170" s="182" t="n">
        <v>0</v>
      </c>
      <c r="Z3170" s="182" t="n">
        <v>0</v>
      </c>
      <c r="AA3170" s="182" t="n">
        <v>0</v>
      </c>
      <c r="AB3170" s="182" t="n">
        <v>0</v>
      </c>
      <c r="AC3170" s="182" t="n">
        <v>0</v>
      </c>
      <c r="AD3170" s="182" t="n">
        <v>0</v>
      </c>
      <c r="AE3170" s="182" t="n">
        <v>0</v>
      </c>
      <c r="AF3170" s="182" t="n">
        <v>0</v>
      </c>
      <c r="AG3170" s="182" t="n">
        <v>0</v>
      </c>
      <c r="AH3170" s="182" t="n">
        <v>0</v>
      </c>
      <c r="AI3170" s="182" t="n">
        <v>0</v>
      </c>
      <c r="AJ3170" s="182" t="n">
        <v>0</v>
      </c>
      <c r="AK3170" s="182" t="n">
        <v>0</v>
      </c>
      <c r="AL3170" s="182" t="n">
        <v>0</v>
      </c>
      <c r="AM3170" s="182" t="n">
        <v>0</v>
      </c>
      <c r="AN3170" s="182" t="n">
        <v>0</v>
      </c>
    </row>
    <row r="3171">
      <c r="A3171" s="155" t="n">
        <v>46096</v>
      </c>
      <c r="B3171" s="156" t="inlineStr">
        <is>
          <t>DS</t>
        </is>
      </c>
      <c r="C3171" s="156" t="inlineStr">
        <is>
          <t>DT-528</t>
        </is>
      </c>
      <c r="D3171" s="156" t="inlineStr">
        <is>
          <t>SKT 105S</t>
        </is>
      </c>
      <c r="E3171" s="156" t="inlineStr">
        <is>
          <t>Hauler</t>
        </is>
      </c>
      <c r="F3171" s="156" t="inlineStr"/>
      <c r="G3171" s="182" t="n">
        <v>0</v>
      </c>
      <c r="H3171" s="182" t="n">
        <v>12</v>
      </c>
      <c r="I3171" s="182" t="n">
        <v>0</v>
      </c>
      <c r="J3171" s="182" t="n">
        <v>12</v>
      </c>
      <c r="K3171" s="182" t="n">
        <v>0</v>
      </c>
      <c r="L3171" s="182" t="n">
        <v>12</v>
      </c>
      <c r="M3171" s="182" t="n">
        <v>0</v>
      </c>
      <c r="N3171" s="182" t="n">
        <v>0</v>
      </c>
      <c r="O3171" s="183" t="n">
        <v>0</v>
      </c>
      <c r="P3171" s="183" t="n">
        <v>0</v>
      </c>
      <c r="Q3171" s="184" t="n">
        <v>0</v>
      </c>
      <c r="R3171" s="184" t="n">
        <v>0</v>
      </c>
      <c r="S3171" s="183" t="n">
        <v>0</v>
      </c>
      <c r="T3171" s="183" t="n">
        <v>0</v>
      </c>
      <c r="U3171" s="182" t="n">
        <v>0</v>
      </c>
      <c r="V3171" s="182" t="n">
        <v>0</v>
      </c>
      <c r="W3171" s="182" t="n">
        <v>0</v>
      </c>
      <c r="X3171" s="182" t="n">
        <v>0</v>
      </c>
      <c r="Y3171" s="182" t="n">
        <v>0</v>
      </c>
      <c r="Z3171" s="182" t="n">
        <v>0</v>
      </c>
      <c r="AA3171" s="182" t="n">
        <v>0</v>
      </c>
      <c r="AB3171" s="182" t="n">
        <v>0</v>
      </c>
      <c r="AC3171" s="182" t="n">
        <v>0</v>
      </c>
      <c r="AD3171" s="182" t="n">
        <v>0</v>
      </c>
      <c r="AE3171" s="182" t="n">
        <v>0</v>
      </c>
      <c r="AF3171" s="182" t="n">
        <v>0</v>
      </c>
      <c r="AG3171" s="182" t="n">
        <v>0</v>
      </c>
      <c r="AH3171" s="182" t="n">
        <v>0</v>
      </c>
      <c r="AI3171" s="182" t="n">
        <v>0</v>
      </c>
      <c r="AJ3171" s="182" t="n">
        <v>0</v>
      </c>
      <c r="AK3171" s="182" t="n">
        <v>0</v>
      </c>
      <c r="AL3171" s="182" t="n">
        <v>0</v>
      </c>
      <c r="AM3171" s="182" t="n">
        <v>0</v>
      </c>
      <c r="AN3171" s="182" t="n">
        <v>0</v>
      </c>
    </row>
    <row r="3172">
      <c r="A3172" s="155" t="n">
        <v>46096</v>
      </c>
      <c r="B3172" s="156" t="inlineStr">
        <is>
          <t>DS</t>
        </is>
      </c>
      <c r="C3172" s="156" t="inlineStr">
        <is>
          <t>DT-529</t>
        </is>
      </c>
      <c r="D3172" s="156" t="inlineStr">
        <is>
          <t>SKT 105S</t>
        </is>
      </c>
      <c r="E3172" s="156" t="inlineStr">
        <is>
          <t>Hauler</t>
        </is>
      </c>
      <c r="F3172" s="156" t="inlineStr">
        <is>
          <t>Hauling Coal &amp; OB</t>
        </is>
      </c>
      <c r="G3172" s="182" t="n">
        <v>5.09</v>
      </c>
      <c r="H3172" s="182" t="n">
        <v>0</v>
      </c>
      <c r="I3172" s="182" t="n">
        <v>2.92</v>
      </c>
      <c r="J3172" s="182" t="n">
        <v>2.92</v>
      </c>
      <c r="K3172" s="182" t="n">
        <v>3.99</v>
      </c>
      <c r="L3172" s="182" t="n">
        <v>12</v>
      </c>
      <c r="M3172" s="182" t="n">
        <v>5.09</v>
      </c>
      <c r="N3172" s="182" t="n">
        <v>0</v>
      </c>
      <c r="O3172" s="183" t="n">
        <v>12</v>
      </c>
      <c r="P3172" s="183" t="n">
        <v>0</v>
      </c>
      <c r="Q3172" s="184" t="n">
        <v>244.8</v>
      </c>
      <c r="R3172" s="184" t="n">
        <v>0</v>
      </c>
      <c r="S3172" s="183" t="n">
        <v>0</v>
      </c>
      <c r="T3172" s="183" t="n">
        <v>0</v>
      </c>
      <c r="U3172" s="182" t="n">
        <v>1.47</v>
      </c>
      <c r="V3172" s="182" t="n">
        <v>0.9</v>
      </c>
      <c r="W3172" s="182" t="n">
        <v>0</v>
      </c>
      <c r="X3172" s="182" t="n">
        <v>1.03</v>
      </c>
      <c r="Y3172" s="182" t="n">
        <v>0</v>
      </c>
      <c r="Z3172" s="182" t="n">
        <v>0</v>
      </c>
      <c r="AA3172" s="182" t="n">
        <v>0</v>
      </c>
      <c r="AB3172" s="182" t="n">
        <v>0</v>
      </c>
      <c r="AC3172" s="182" t="n">
        <v>0</v>
      </c>
      <c r="AD3172" s="182" t="n">
        <v>0</v>
      </c>
      <c r="AE3172" s="182" t="n">
        <v>0</v>
      </c>
      <c r="AF3172" s="182" t="n">
        <v>0</v>
      </c>
      <c r="AG3172" s="182" t="n">
        <v>0</v>
      </c>
      <c r="AH3172" s="182" t="n">
        <v>0.5</v>
      </c>
      <c r="AI3172" s="182" t="n">
        <v>0</v>
      </c>
      <c r="AJ3172" s="182" t="n">
        <v>0</v>
      </c>
      <c r="AK3172" s="182" t="n">
        <v>0</v>
      </c>
      <c r="AL3172" s="182" t="n">
        <v>0</v>
      </c>
      <c r="AM3172" s="182" t="n">
        <v>0.08</v>
      </c>
      <c r="AN3172" s="182" t="n">
        <v>0</v>
      </c>
    </row>
    <row r="3173">
      <c r="A3173" s="155" t="n">
        <v>46096</v>
      </c>
      <c r="B3173" s="156" t="inlineStr">
        <is>
          <t>DS</t>
        </is>
      </c>
      <c r="C3173" s="156" t="inlineStr">
        <is>
          <t>DT-520</t>
        </is>
      </c>
      <c r="D3173" s="156" t="inlineStr">
        <is>
          <t>SKT 105S</t>
        </is>
      </c>
      <c r="E3173" s="156" t="inlineStr">
        <is>
          <t>Hauler</t>
        </is>
      </c>
      <c r="F3173" s="156" t="inlineStr">
        <is>
          <t>Hauling Coal &amp; OB</t>
        </is>
      </c>
      <c r="G3173" s="182" t="n">
        <v>2.72</v>
      </c>
      <c r="H3173" s="182" t="n">
        <v>0</v>
      </c>
      <c r="I3173" s="182" t="n">
        <v>6.67</v>
      </c>
      <c r="J3173" s="182" t="n">
        <v>6.67</v>
      </c>
      <c r="K3173" s="182" t="n">
        <v>2.61</v>
      </c>
      <c r="L3173" s="182" t="n">
        <v>12</v>
      </c>
      <c r="M3173" s="182" t="n">
        <v>0</v>
      </c>
      <c r="N3173" s="182" t="n">
        <v>2.72</v>
      </c>
      <c r="O3173" s="183" t="n">
        <v>0</v>
      </c>
      <c r="P3173" s="183" t="n">
        <v>9</v>
      </c>
      <c r="Q3173" s="184" t="n">
        <v>0</v>
      </c>
      <c r="R3173" s="184" t="n">
        <v>168.3</v>
      </c>
      <c r="S3173" s="183" t="n">
        <v>0</v>
      </c>
      <c r="T3173" s="183" t="n">
        <v>0</v>
      </c>
      <c r="U3173" s="182" t="n">
        <v>1.75</v>
      </c>
      <c r="V3173" s="182" t="n">
        <v>0.76</v>
      </c>
      <c r="W3173" s="182" t="n">
        <v>0</v>
      </c>
      <c r="X3173" s="182" t="n">
        <v>0</v>
      </c>
      <c r="Y3173" s="182" t="n">
        <v>0</v>
      </c>
      <c r="Z3173" s="182" t="n">
        <v>0</v>
      </c>
      <c r="AA3173" s="182" t="n">
        <v>0</v>
      </c>
      <c r="AB3173" s="182" t="n">
        <v>0</v>
      </c>
      <c r="AC3173" s="182" t="n">
        <v>0</v>
      </c>
      <c r="AD3173" s="182" t="n">
        <v>0</v>
      </c>
      <c r="AE3173" s="182" t="n">
        <v>0</v>
      </c>
      <c r="AF3173" s="182" t="n">
        <v>0</v>
      </c>
      <c r="AG3173" s="182" t="n">
        <v>0</v>
      </c>
      <c r="AH3173" s="182" t="n">
        <v>0</v>
      </c>
      <c r="AI3173" s="182" t="n">
        <v>0</v>
      </c>
      <c r="AJ3173" s="182" t="n">
        <v>0</v>
      </c>
      <c r="AK3173" s="182" t="n">
        <v>0</v>
      </c>
      <c r="AL3173" s="182" t="n">
        <v>0</v>
      </c>
      <c r="AM3173" s="182" t="n">
        <v>0.1</v>
      </c>
      <c r="AN3173" s="182" t="n">
        <v>0</v>
      </c>
    </row>
    <row r="3174">
      <c r="A3174" s="155" t="n">
        <v>46096</v>
      </c>
      <c r="B3174" s="156" t="inlineStr">
        <is>
          <t>DS</t>
        </is>
      </c>
      <c r="C3174" s="156" t="inlineStr">
        <is>
          <t>DT-511</t>
        </is>
      </c>
      <c r="D3174" s="156" t="inlineStr">
        <is>
          <t>SKT 105S</t>
        </is>
      </c>
      <c r="E3174" s="156" t="inlineStr">
        <is>
          <t>Hauler</t>
        </is>
      </c>
      <c r="F3174" s="156" t="inlineStr"/>
      <c r="G3174" s="182" t="n">
        <v>0</v>
      </c>
      <c r="H3174" s="182" t="n">
        <v>0</v>
      </c>
      <c r="I3174" s="182" t="n">
        <v>12</v>
      </c>
      <c r="J3174" s="182" t="n">
        <v>12</v>
      </c>
      <c r="K3174" s="182" t="n">
        <v>0</v>
      </c>
      <c r="L3174" s="182" t="n">
        <v>12</v>
      </c>
      <c r="M3174" s="182" t="n">
        <v>0</v>
      </c>
      <c r="N3174" s="182" t="n">
        <v>0</v>
      </c>
      <c r="O3174" s="183" t="n">
        <v>0</v>
      </c>
      <c r="P3174" s="183" t="n">
        <v>0</v>
      </c>
      <c r="Q3174" s="184" t="n">
        <v>0</v>
      </c>
      <c r="R3174" s="184" t="n">
        <v>0</v>
      </c>
      <c r="S3174" s="183" t="n">
        <v>0</v>
      </c>
      <c r="T3174" s="183" t="n">
        <v>0</v>
      </c>
      <c r="U3174" s="182" t="n">
        <v>0</v>
      </c>
      <c r="V3174" s="182" t="n">
        <v>0</v>
      </c>
      <c r="W3174" s="182" t="n">
        <v>0</v>
      </c>
      <c r="X3174" s="182" t="n">
        <v>0</v>
      </c>
      <c r="Y3174" s="182" t="n">
        <v>0</v>
      </c>
      <c r="Z3174" s="182" t="n">
        <v>0</v>
      </c>
      <c r="AA3174" s="182" t="n">
        <v>0</v>
      </c>
      <c r="AB3174" s="182" t="n">
        <v>0</v>
      </c>
      <c r="AC3174" s="182" t="n">
        <v>0</v>
      </c>
      <c r="AD3174" s="182" t="n">
        <v>0</v>
      </c>
      <c r="AE3174" s="182" t="n">
        <v>0</v>
      </c>
      <c r="AF3174" s="182" t="n">
        <v>0</v>
      </c>
      <c r="AG3174" s="182" t="n">
        <v>0</v>
      </c>
      <c r="AH3174" s="182" t="n">
        <v>0</v>
      </c>
      <c r="AI3174" s="182" t="n">
        <v>0</v>
      </c>
      <c r="AJ3174" s="182" t="n">
        <v>0</v>
      </c>
      <c r="AK3174" s="182" t="n">
        <v>0</v>
      </c>
      <c r="AL3174" s="182" t="n">
        <v>0</v>
      </c>
      <c r="AM3174" s="182" t="n">
        <v>0</v>
      </c>
      <c r="AN3174" s="182" t="n">
        <v>0</v>
      </c>
    </row>
    <row r="3175">
      <c r="A3175" s="155" t="n">
        <v>46096</v>
      </c>
      <c r="B3175" s="156" t="inlineStr">
        <is>
          <t>DS</t>
        </is>
      </c>
      <c r="C3175" s="156" t="inlineStr">
        <is>
          <t>DT-509</t>
        </is>
      </c>
      <c r="D3175" s="156" t="inlineStr">
        <is>
          <t>SKT 105S</t>
        </is>
      </c>
      <c r="E3175" s="156" t="inlineStr">
        <is>
          <t>Hauler</t>
        </is>
      </c>
      <c r="F3175" s="156" t="inlineStr"/>
      <c r="G3175" s="182" t="n">
        <v>0</v>
      </c>
      <c r="H3175" s="182" t="n">
        <v>0</v>
      </c>
      <c r="I3175" s="182" t="n">
        <v>12</v>
      </c>
      <c r="J3175" s="182" t="n">
        <v>12</v>
      </c>
      <c r="K3175" s="182" t="n">
        <v>0</v>
      </c>
      <c r="L3175" s="182" t="n">
        <v>12</v>
      </c>
      <c r="M3175" s="182" t="n">
        <v>0</v>
      </c>
      <c r="N3175" s="182" t="n">
        <v>0</v>
      </c>
      <c r="O3175" s="183" t="n">
        <v>0</v>
      </c>
      <c r="P3175" s="183" t="n">
        <v>0</v>
      </c>
      <c r="Q3175" s="184" t="n">
        <v>0</v>
      </c>
      <c r="R3175" s="184" t="n">
        <v>0</v>
      </c>
      <c r="S3175" s="183" t="n">
        <v>0</v>
      </c>
      <c r="T3175" s="183" t="n">
        <v>0</v>
      </c>
      <c r="U3175" s="182" t="n">
        <v>0</v>
      </c>
      <c r="V3175" s="182" t="n">
        <v>0</v>
      </c>
      <c r="W3175" s="182" t="n">
        <v>0</v>
      </c>
      <c r="X3175" s="182" t="n">
        <v>0</v>
      </c>
      <c r="Y3175" s="182" t="n">
        <v>0</v>
      </c>
      <c r="Z3175" s="182" t="n">
        <v>0</v>
      </c>
      <c r="AA3175" s="182" t="n">
        <v>0</v>
      </c>
      <c r="AB3175" s="182" t="n">
        <v>0</v>
      </c>
      <c r="AC3175" s="182" t="n">
        <v>0</v>
      </c>
      <c r="AD3175" s="182" t="n">
        <v>0</v>
      </c>
      <c r="AE3175" s="182" t="n">
        <v>0</v>
      </c>
      <c r="AF3175" s="182" t="n">
        <v>0</v>
      </c>
      <c r="AG3175" s="182" t="n">
        <v>0</v>
      </c>
      <c r="AH3175" s="182" t="n">
        <v>0</v>
      </c>
      <c r="AI3175" s="182" t="n">
        <v>0</v>
      </c>
      <c r="AJ3175" s="182" t="n">
        <v>0</v>
      </c>
      <c r="AK3175" s="182" t="n">
        <v>0</v>
      </c>
      <c r="AL3175" s="182" t="n">
        <v>0</v>
      </c>
      <c r="AM3175" s="182" t="n">
        <v>0</v>
      </c>
      <c r="AN3175" s="182" t="n">
        <v>0</v>
      </c>
    </row>
    <row r="3176">
      <c r="A3176" s="155" t="n">
        <v>46096</v>
      </c>
      <c r="B3176" s="156" t="inlineStr">
        <is>
          <t>DS</t>
        </is>
      </c>
      <c r="C3176" s="156" t="inlineStr">
        <is>
          <t>DT-526</t>
        </is>
      </c>
      <c r="D3176" s="156" t="inlineStr">
        <is>
          <t>SKT 105S</t>
        </is>
      </c>
      <c r="E3176" s="156" t="inlineStr">
        <is>
          <t>Hauler</t>
        </is>
      </c>
      <c r="F3176" s="156" t="inlineStr"/>
      <c r="G3176" s="182" t="n">
        <v>0</v>
      </c>
      <c r="H3176" s="182" t="n">
        <v>12</v>
      </c>
      <c r="I3176" s="182" t="n">
        <v>0</v>
      </c>
      <c r="J3176" s="182" t="n">
        <v>12</v>
      </c>
      <c r="K3176" s="182" t="n">
        <v>0</v>
      </c>
      <c r="L3176" s="182" t="n">
        <v>12</v>
      </c>
      <c r="M3176" s="182" t="n">
        <v>0</v>
      </c>
      <c r="N3176" s="182" t="n">
        <v>0</v>
      </c>
      <c r="O3176" s="183" t="n">
        <v>0</v>
      </c>
      <c r="P3176" s="183" t="n">
        <v>0</v>
      </c>
      <c r="Q3176" s="184" t="n">
        <v>0</v>
      </c>
      <c r="R3176" s="184" t="n">
        <v>0</v>
      </c>
      <c r="S3176" s="183" t="n">
        <v>0</v>
      </c>
      <c r="T3176" s="183" t="n">
        <v>0</v>
      </c>
      <c r="U3176" s="182" t="n">
        <v>0</v>
      </c>
      <c r="V3176" s="182" t="n">
        <v>0</v>
      </c>
      <c r="W3176" s="182" t="n">
        <v>0</v>
      </c>
      <c r="X3176" s="182" t="n">
        <v>0</v>
      </c>
      <c r="Y3176" s="182" t="n">
        <v>0</v>
      </c>
      <c r="Z3176" s="182" t="n">
        <v>0</v>
      </c>
      <c r="AA3176" s="182" t="n">
        <v>0</v>
      </c>
      <c r="AB3176" s="182" t="n">
        <v>0</v>
      </c>
      <c r="AC3176" s="182" t="n">
        <v>0</v>
      </c>
      <c r="AD3176" s="182" t="n">
        <v>0</v>
      </c>
      <c r="AE3176" s="182" t="n">
        <v>0</v>
      </c>
      <c r="AF3176" s="182" t="n">
        <v>0</v>
      </c>
      <c r="AG3176" s="182" t="n">
        <v>0</v>
      </c>
      <c r="AH3176" s="182" t="n">
        <v>0</v>
      </c>
      <c r="AI3176" s="182" t="n">
        <v>0</v>
      </c>
      <c r="AJ3176" s="182" t="n">
        <v>0</v>
      </c>
      <c r="AK3176" s="182" t="n">
        <v>0</v>
      </c>
      <c r="AL3176" s="182" t="n">
        <v>0</v>
      </c>
      <c r="AM3176" s="182" t="n">
        <v>0</v>
      </c>
      <c r="AN3176" s="182" t="n">
        <v>0</v>
      </c>
    </row>
    <row r="3177">
      <c r="A3177" s="155" t="n">
        <v>46096</v>
      </c>
      <c r="B3177" s="156" t="inlineStr">
        <is>
          <t>DS</t>
        </is>
      </c>
      <c r="C3177" s="156" t="inlineStr">
        <is>
          <t>DT-508</t>
        </is>
      </c>
      <c r="D3177" s="156" t="inlineStr">
        <is>
          <t>SKT 105S</t>
        </is>
      </c>
      <c r="E3177" s="156" t="inlineStr">
        <is>
          <t>Hauler</t>
        </is>
      </c>
      <c r="F3177" s="156" t="inlineStr">
        <is>
          <t>Hauling Spoil &amp; OB</t>
        </is>
      </c>
      <c r="G3177" s="182" t="n">
        <v>4.51</v>
      </c>
      <c r="H3177" s="182" t="n">
        <v>0</v>
      </c>
      <c r="I3177" s="182" t="n">
        <v>0</v>
      </c>
      <c r="J3177" s="182" t="n">
        <v>0</v>
      </c>
      <c r="K3177" s="182" t="n">
        <v>7.49</v>
      </c>
      <c r="L3177" s="182" t="n">
        <v>12</v>
      </c>
      <c r="M3177" s="182" t="n">
        <v>3.39</v>
      </c>
      <c r="N3177" s="182" t="n">
        <v>0</v>
      </c>
      <c r="O3177" s="183" t="n">
        <v>12</v>
      </c>
      <c r="P3177" s="183" t="n">
        <v>0</v>
      </c>
      <c r="Q3177" s="184" t="n">
        <v>244.8</v>
      </c>
      <c r="R3177" s="184" t="n">
        <v>0</v>
      </c>
      <c r="S3177" s="183" t="n">
        <v>0</v>
      </c>
      <c r="T3177" s="183" t="n">
        <v>0</v>
      </c>
      <c r="U3177" s="182" t="n">
        <v>1.47</v>
      </c>
      <c r="V3177" s="182" t="n">
        <v>0.53</v>
      </c>
      <c r="W3177" s="182" t="n">
        <v>0</v>
      </c>
      <c r="X3177" s="182" t="n">
        <v>1.03</v>
      </c>
      <c r="Y3177" s="182" t="n">
        <v>0</v>
      </c>
      <c r="Z3177" s="182" t="n">
        <v>0.07000000000000001</v>
      </c>
      <c r="AA3177" s="182" t="n">
        <v>0</v>
      </c>
      <c r="AB3177" s="182" t="n">
        <v>0</v>
      </c>
      <c r="AC3177" s="182" t="n">
        <v>0</v>
      </c>
      <c r="AD3177" s="182" t="n">
        <v>0</v>
      </c>
      <c r="AE3177" s="182" t="n">
        <v>0</v>
      </c>
      <c r="AF3177" s="182" t="n">
        <v>0</v>
      </c>
      <c r="AG3177" s="182" t="n">
        <v>0</v>
      </c>
      <c r="AH3177" s="182" t="n">
        <v>0.46</v>
      </c>
      <c r="AI3177" s="182" t="n">
        <v>3.85</v>
      </c>
      <c r="AJ3177" s="182" t="n">
        <v>0</v>
      </c>
      <c r="AK3177" s="182" t="n">
        <v>0</v>
      </c>
      <c r="AL3177" s="182" t="n">
        <v>0</v>
      </c>
      <c r="AM3177" s="182" t="n">
        <v>0.08</v>
      </c>
      <c r="AN3177" s="182" t="n">
        <v>0</v>
      </c>
    </row>
    <row r="3178">
      <c r="A3178" s="155" t="n">
        <v>46096</v>
      </c>
      <c r="B3178" s="156" t="inlineStr">
        <is>
          <t>DS</t>
        </is>
      </c>
      <c r="C3178" s="156" t="inlineStr">
        <is>
          <t>DT-515</t>
        </is>
      </c>
      <c r="D3178" s="156" t="inlineStr">
        <is>
          <t>SKT 105S</t>
        </is>
      </c>
      <c r="E3178" s="156" t="inlineStr">
        <is>
          <t>Hauler</t>
        </is>
      </c>
      <c r="F3178" s="156" t="inlineStr"/>
      <c r="G3178" s="182" t="n">
        <v>0</v>
      </c>
      <c r="H3178" s="182" t="n">
        <v>12</v>
      </c>
      <c r="I3178" s="182" t="n">
        <v>0</v>
      </c>
      <c r="J3178" s="182" t="n">
        <v>12</v>
      </c>
      <c r="K3178" s="182" t="n">
        <v>0</v>
      </c>
      <c r="L3178" s="182" t="n">
        <v>12</v>
      </c>
      <c r="M3178" s="182" t="n">
        <v>0</v>
      </c>
      <c r="N3178" s="182" t="n">
        <v>0</v>
      </c>
      <c r="O3178" s="183" t="n">
        <v>0</v>
      </c>
      <c r="P3178" s="183" t="n">
        <v>0</v>
      </c>
      <c r="Q3178" s="184" t="n">
        <v>0</v>
      </c>
      <c r="R3178" s="184" t="n">
        <v>0</v>
      </c>
      <c r="S3178" s="183" t="n">
        <v>0</v>
      </c>
      <c r="T3178" s="183" t="n">
        <v>0</v>
      </c>
      <c r="U3178" s="182" t="n">
        <v>0</v>
      </c>
      <c r="V3178" s="182" t="n">
        <v>0</v>
      </c>
      <c r="W3178" s="182" t="n">
        <v>0</v>
      </c>
      <c r="X3178" s="182" t="n">
        <v>0</v>
      </c>
      <c r="Y3178" s="182" t="n">
        <v>0</v>
      </c>
      <c r="Z3178" s="182" t="n">
        <v>0</v>
      </c>
      <c r="AA3178" s="182" t="n">
        <v>0</v>
      </c>
      <c r="AB3178" s="182" t="n">
        <v>0</v>
      </c>
      <c r="AC3178" s="182" t="n">
        <v>0</v>
      </c>
      <c r="AD3178" s="182" t="n">
        <v>0</v>
      </c>
      <c r="AE3178" s="182" t="n">
        <v>0</v>
      </c>
      <c r="AF3178" s="182" t="n">
        <v>0</v>
      </c>
      <c r="AG3178" s="182" t="n">
        <v>0</v>
      </c>
      <c r="AH3178" s="182" t="n">
        <v>0</v>
      </c>
      <c r="AI3178" s="182" t="n">
        <v>0</v>
      </c>
      <c r="AJ3178" s="182" t="n">
        <v>0</v>
      </c>
      <c r="AK3178" s="182" t="n">
        <v>0</v>
      </c>
      <c r="AL3178" s="182" t="n">
        <v>0</v>
      </c>
      <c r="AM3178" s="182" t="n">
        <v>0</v>
      </c>
      <c r="AN3178" s="182" t="n">
        <v>0</v>
      </c>
    </row>
    <row r="3179">
      <c r="A3179" s="155" t="n">
        <v>46096</v>
      </c>
      <c r="B3179" s="156" t="inlineStr">
        <is>
          <t>DS</t>
        </is>
      </c>
      <c r="C3179" s="156" t="inlineStr">
        <is>
          <t>DT-524</t>
        </is>
      </c>
      <c r="D3179" s="156" t="inlineStr">
        <is>
          <t>SKT 105S</t>
        </is>
      </c>
      <c r="E3179" s="156" t="inlineStr">
        <is>
          <t>Hauler</t>
        </is>
      </c>
      <c r="F3179" s="156" t="inlineStr">
        <is>
          <t>Hauling OB &amp; Blend</t>
        </is>
      </c>
      <c r="G3179" s="182" t="n">
        <v>6.43</v>
      </c>
      <c r="H3179" s="182" t="n">
        <v>0</v>
      </c>
      <c r="I3179" s="182" t="n">
        <v>0</v>
      </c>
      <c r="J3179" s="182" t="n">
        <v>0</v>
      </c>
      <c r="K3179" s="182" t="n">
        <v>5.57</v>
      </c>
      <c r="L3179" s="182" t="n">
        <v>12</v>
      </c>
      <c r="M3179" s="182" t="n">
        <v>6.43</v>
      </c>
      <c r="N3179" s="182" t="n">
        <v>0</v>
      </c>
      <c r="O3179" s="183" t="n">
        <v>15</v>
      </c>
      <c r="P3179" s="183" t="n">
        <v>0</v>
      </c>
      <c r="Q3179" s="184" t="n">
        <v>290.7</v>
      </c>
      <c r="R3179" s="184" t="n">
        <v>0</v>
      </c>
      <c r="S3179" s="183" t="n">
        <v>0</v>
      </c>
      <c r="T3179" s="183" t="n">
        <v>0</v>
      </c>
      <c r="U3179" s="182" t="n">
        <v>1.38</v>
      </c>
      <c r="V3179" s="182" t="n">
        <v>0.85</v>
      </c>
      <c r="W3179" s="182" t="n">
        <v>0</v>
      </c>
      <c r="X3179" s="182" t="n">
        <v>0.96</v>
      </c>
      <c r="Y3179" s="182" t="n">
        <v>0</v>
      </c>
      <c r="Z3179" s="182" t="n">
        <v>0.07000000000000001</v>
      </c>
      <c r="AA3179" s="182" t="n">
        <v>0</v>
      </c>
      <c r="AB3179" s="182" t="n">
        <v>0</v>
      </c>
      <c r="AC3179" s="182" t="n">
        <v>0</v>
      </c>
      <c r="AD3179" s="182" t="n">
        <v>0</v>
      </c>
      <c r="AE3179" s="182" t="n">
        <v>0</v>
      </c>
      <c r="AF3179" s="182" t="n">
        <v>0</v>
      </c>
      <c r="AG3179" s="182" t="n">
        <v>0</v>
      </c>
      <c r="AH3179" s="182" t="n">
        <v>0.31</v>
      </c>
      <c r="AI3179" s="182" t="n">
        <v>1.93</v>
      </c>
      <c r="AJ3179" s="182" t="n">
        <v>0</v>
      </c>
      <c r="AK3179" s="182" t="n">
        <v>0</v>
      </c>
      <c r="AL3179" s="182" t="n">
        <v>0</v>
      </c>
      <c r="AM3179" s="182" t="n">
        <v>0.08</v>
      </c>
      <c r="AN3179" s="182" t="n">
        <v>0</v>
      </c>
    </row>
    <row r="3180">
      <c r="A3180" s="155" t="n">
        <v>46096</v>
      </c>
      <c r="B3180" s="156" t="inlineStr">
        <is>
          <t>DS</t>
        </is>
      </c>
      <c r="C3180" s="156" t="inlineStr">
        <is>
          <t>DT-341</t>
        </is>
      </c>
      <c r="D3180" s="156" t="inlineStr">
        <is>
          <t>SYZ324C-8W</t>
        </is>
      </c>
      <c r="E3180" s="156" t="inlineStr">
        <is>
          <t>Hauler</t>
        </is>
      </c>
      <c r="F3180" s="156" t="inlineStr">
        <is>
          <t>Rehandling Material di Washing Plant</t>
        </is>
      </c>
      <c r="G3180" s="182" t="n">
        <v>7.1</v>
      </c>
      <c r="H3180" s="182" t="n">
        <v>0</v>
      </c>
      <c r="I3180" s="182" t="n">
        <v>0</v>
      </c>
      <c r="J3180" s="182" t="n">
        <v>0</v>
      </c>
      <c r="K3180" s="182" t="n">
        <v>4.9</v>
      </c>
      <c r="L3180" s="182" t="n">
        <v>12</v>
      </c>
      <c r="M3180" s="182" t="n">
        <v>0</v>
      </c>
      <c r="N3180" s="182" t="n">
        <v>0</v>
      </c>
      <c r="O3180" s="183" t="n">
        <v>0</v>
      </c>
      <c r="P3180" s="183" t="n">
        <v>0</v>
      </c>
      <c r="Q3180" s="184" t="n">
        <v>0</v>
      </c>
      <c r="R3180" s="184" t="n">
        <v>0</v>
      </c>
      <c r="S3180" s="183" t="n">
        <v>0</v>
      </c>
      <c r="T3180" s="183" t="n">
        <v>0</v>
      </c>
      <c r="U3180" s="182" t="n">
        <v>1.46</v>
      </c>
      <c r="V3180" s="182" t="n">
        <v>0</v>
      </c>
      <c r="W3180" s="182" t="n">
        <v>0</v>
      </c>
      <c r="X3180" s="182" t="n">
        <v>1.02</v>
      </c>
      <c r="Y3180" s="182" t="n">
        <v>0</v>
      </c>
      <c r="Z3180" s="182" t="n">
        <v>0</v>
      </c>
      <c r="AA3180" s="182" t="n">
        <v>0</v>
      </c>
      <c r="AB3180" s="182" t="n">
        <v>0</v>
      </c>
      <c r="AC3180" s="182" t="n">
        <v>0</v>
      </c>
      <c r="AD3180" s="182" t="n">
        <v>0</v>
      </c>
      <c r="AE3180" s="182" t="n">
        <v>0</v>
      </c>
      <c r="AF3180" s="182" t="n">
        <v>0</v>
      </c>
      <c r="AG3180" s="182" t="n">
        <v>0</v>
      </c>
      <c r="AH3180" s="182" t="n">
        <v>0</v>
      </c>
      <c r="AI3180" s="182" t="n">
        <v>0</v>
      </c>
      <c r="AJ3180" s="182" t="n">
        <v>0</v>
      </c>
      <c r="AK3180" s="182" t="n">
        <v>2.34</v>
      </c>
      <c r="AL3180" s="182" t="n">
        <v>0</v>
      </c>
      <c r="AM3180" s="182" t="n">
        <v>0.08</v>
      </c>
      <c r="AN3180" s="182" t="n">
        <v>0</v>
      </c>
    </row>
    <row r="3181">
      <c r="A3181" s="155" t="n">
        <v>46096</v>
      </c>
      <c r="B3181" s="156" t="inlineStr">
        <is>
          <t>DS</t>
        </is>
      </c>
      <c r="C3181" s="156" t="inlineStr">
        <is>
          <t>DT-342</t>
        </is>
      </c>
      <c r="D3181" s="156" t="inlineStr">
        <is>
          <t>SYZ324C-8W</t>
        </is>
      </c>
      <c r="E3181" s="156" t="inlineStr">
        <is>
          <t>Hauler</t>
        </is>
      </c>
      <c r="F3181" s="156" t="inlineStr">
        <is>
          <t>Rehandling Material di Washing Plant</t>
        </is>
      </c>
      <c r="G3181" s="182" t="n">
        <v>7.85</v>
      </c>
      <c r="H3181" s="182" t="n">
        <v>0</v>
      </c>
      <c r="I3181" s="182" t="n">
        <v>0</v>
      </c>
      <c r="J3181" s="182" t="n">
        <v>0</v>
      </c>
      <c r="K3181" s="182" t="n">
        <v>4.15</v>
      </c>
      <c r="L3181" s="182" t="n">
        <v>12</v>
      </c>
      <c r="M3181" s="182" t="n">
        <v>0</v>
      </c>
      <c r="N3181" s="182" t="n">
        <v>0</v>
      </c>
      <c r="O3181" s="183" t="n">
        <v>0</v>
      </c>
      <c r="P3181" s="183" t="n">
        <v>0</v>
      </c>
      <c r="Q3181" s="184" t="n">
        <v>0</v>
      </c>
      <c r="R3181" s="184" t="n">
        <v>0</v>
      </c>
      <c r="S3181" s="183" t="n">
        <v>0</v>
      </c>
      <c r="T3181" s="183" t="n">
        <v>0</v>
      </c>
      <c r="U3181" s="182" t="n">
        <v>1.6</v>
      </c>
      <c r="V3181" s="182" t="n">
        <v>0</v>
      </c>
      <c r="W3181" s="182" t="n">
        <v>0</v>
      </c>
      <c r="X3181" s="182" t="n">
        <v>1.12</v>
      </c>
      <c r="Y3181" s="182" t="n">
        <v>0</v>
      </c>
      <c r="Z3181" s="182" t="n">
        <v>0</v>
      </c>
      <c r="AA3181" s="182" t="n">
        <v>0</v>
      </c>
      <c r="AB3181" s="182" t="n">
        <v>0</v>
      </c>
      <c r="AC3181" s="182" t="n">
        <v>0</v>
      </c>
      <c r="AD3181" s="182" t="n">
        <v>0</v>
      </c>
      <c r="AE3181" s="182" t="n">
        <v>0</v>
      </c>
      <c r="AF3181" s="182" t="n">
        <v>0</v>
      </c>
      <c r="AG3181" s="182" t="n">
        <v>0</v>
      </c>
      <c r="AH3181" s="182" t="n">
        <v>0</v>
      </c>
      <c r="AI3181" s="182" t="n">
        <v>0</v>
      </c>
      <c r="AJ3181" s="182" t="n">
        <v>0</v>
      </c>
      <c r="AK3181" s="182" t="n">
        <v>1.33</v>
      </c>
      <c r="AL3181" s="182" t="n">
        <v>0</v>
      </c>
      <c r="AM3181" s="182" t="n">
        <v>0.09</v>
      </c>
      <c r="AN3181" s="182" t="n">
        <v>0</v>
      </c>
    </row>
    <row r="3182">
      <c r="A3182" s="155" t="n">
        <v>46096</v>
      </c>
      <c r="B3182" s="156" t="inlineStr">
        <is>
          <t>DS</t>
        </is>
      </c>
      <c r="C3182" s="156" t="inlineStr">
        <is>
          <t>HD-903</t>
        </is>
      </c>
      <c r="D3182" s="156" t="inlineStr">
        <is>
          <t>SRT 95C</t>
        </is>
      </c>
      <c r="E3182" s="156" t="inlineStr">
        <is>
          <t>Hauler</t>
        </is>
      </c>
      <c r="F3182" s="156" t="inlineStr"/>
      <c r="G3182" s="182" t="n">
        <v>0</v>
      </c>
      <c r="H3182" s="182" t="n">
        <v>0</v>
      </c>
      <c r="I3182" s="182" t="n">
        <v>12</v>
      </c>
      <c r="J3182" s="182" t="n">
        <v>12</v>
      </c>
      <c r="K3182" s="182" t="n">
        <v>0</v>
      </c>
      <c r="L3182" s="182" t="n">
        <v>12</v>
      </c>
      <c r="M3182" s="182" t="n">
        <v>0</v>
      </c>
      <c r="N3182" s="182" t="n">
        <v>0</v>
      </c>
      <c r="O3182" s="183" t="n">
        <v>0</v>
      </c>
      <c r="P3182" s="183" t="n">
        <v>0</v>
      </c>
      <c r="Q3182" s="184" t="n">
        <v>0</v>
      </c>
      <c r="R3182" s="184" t="n">
        <v>0</v>
      </c>
      <c r="S3182" s="183" t="n">
        <v>0</v>
      </c>
      <c r="T3182" s="183" t="n">
        <v>0</v>
      </c>
      <c r="U3182" s="182" t="n">
        <v>0</v>
      </c>
      <c r="V3182" s="182" t="n">
        <v>0</v>
      </c>
      <c r="W3182" s="182" t="n">
        <v>0</v>
      </c>
      <c r="X3182" s="182" t="n">
        <v>0</v>
      </c>
      <c r="Y3182" s="182" t="n">
        <v>0</v>
      </c>
      <c r="Z3182" s="182" t="n">
        <v>0</v>
      </c>
      <c r="AA3182" s="182" t="n">
        <v>0</v>
      </c>
      <c r="AB3182" s="182" t="n">
        <v>0</v>
      </c>
      <c r="AC3182" s="182" t="n">
        <v>0</v>
      </c>
      <c r="AD3182" s="182" t="n">
        <v>0</v>
      </c>
      <c r="AE3182" s="182" t="n">
        <v>0</v>
      </c>
      <c r="AF3182" s="182" t="n">
        <v>0</v>
      </c>
      <c r="AG3182" s="182" t="n">
        <v>0</v>
      </c>
      <c r="AH3182" s="182" t="n">
        <v>0</v>
      </c>
      <c r="AI3182" s="182" t="n">
        <v>0</v>
      </c>
      <c r="AJ3182" s="182" t="n">
        <v>0</v>
      </c>
      <c r="AK3182" s="182" t="n">
        <v>0</v>
      </c>
      <c r="AL3182" s="182" t="n">
        <v>0</v>
      </c>
      <c r="AM3182" s="182" t="n">
        <v>0</v>
      </c>
      <c r="AN3182" s="182" t="n">
        <v>0</v>
      </c>
    </row>
    <row r="3183">
      <c r="A3183" s="155" t="n">
        <v>46096</v>
      </c>
      <c r="B3183" s="156" t="inlineStr">
        <is>
          <t>DS</t>
        </is>
      </c>
      <c r="C3183" s="156" t="inlineStr">
        <is>
          <t>HD-905</t>
        </is>
      </c>
      <c r="D3183" s="156" t="inlineStr">
        <is>
          <t>SRT 95C</t>
        </is>
      </c>
      <c r="E3183" s="156" t="inlineStr">
        <is>
          <t>Hauler</t>
        </is>
      </c>
      <c r="F3183" s="156" t="inlineStr"/>
      <c r="G3183" s="182" t="n">
        <v>0</v>
      </c>
      <c r="H3183" s="182" t="n">
        <v>0</v>
      </c>
      <c r="I3183" s="182" t="n">
        <v>0</v>
      </c>
      <c r="J3183" s="182" t="n">
        <v>0</v>
      </c>
      <c r="K3183" s="182" t="n">
        <v>12</v>
      </c>
      <c r="L3183" s="182" t="n">
        <v>12</v>
      </c>
      <c r="M3183" s="182" t="n">
        <v>0</v>
      </c>
      <c r="N3183" s="182" t="n">
        <v>0</v>
      </c>
      <c r="O3183" s="183" t="n">
        <v>0</v>
      </c>
      <c r="P3183" s="183" t="n">
        <v>0</v>
      </c>
      <c r="Q3183" s="184" t="n">
        <v>0</v>
      </c>
      <c r="R3183" s="184" t="n">
        <v>0</v>
      </c>
      <c r="S3183" s="183" t="n">
        <v>0</v>
      </c>
      <c r="T3183" s="183" t="n">
        <v>0</v>
      </c>
      <c r="U3183" s="182" t="n">
        <v>1.43</v>
      </c>
      <c r="V3183" s="182" t="n">
        <v>0</v>
      </c>
      <c r="W3183" s="182" t="n">
        <v>0</v>
      </c>
      <c r="X3183" s="182" t="n">
        <v>1</v>
      </c>
      <c r="Y3183" s="182" t="n">
        <v>0</v>
      </c>
      <c r="Z3183" s="182" t="n">
        <v>0</v>
      </c>
      <c r="AA3183" s="182" t="n">
        <v>0</v>
      </c>
      <c r="AB3183" s="182" t="n">
        <v>0</v>
      </c>
      <c r="AC3183" s="182" t="n">
        <v>0</v>
      </c>
      <c r="AD3183" s="182" t="n">
        <v>0</v>
      </c>
      <c r="AE3183" s="182" t="n">
        <v>0</v>
      </c>
      <c r="AF3183" s="182" t="n">
        <v>0</v>
      </c>
      <c r="AG3183" s="182" t="n">
        <v>0</v>
      </c>
      <c r="AH3183" s="182" t="n">
        <v>0</v>
      </c>
      <c r="AI3183" s="182" t="n">
        <v>9.49</v>
      </c>
      <c r="AJ3183" s="182" t="n">
        <v>0</v>
      </c>
      <c r="AK3183" s="182" t="n">
        <v>0</v>
      </c>
      <c r="AL3183" s="182" t="n">
        <v>0</v>
      </c>
      <c r="AM3183" s="182" t="n">
        <v>0.08</v>
      </c>
      <c r="AN3183" s="182" t="n">
        <v>0</v>
      </c>
    </row>
    <row r="3184">
      <c r="A3184" s="155" t="n">
        <v>46096</v>
      </c>
      <c r="B3184" s="156" t="inlineStr">
        <is>
          <t>DS</t>
        </is>
      </c>
      <c r="C3184" s="156" t="inlineStr">
        <is>
          <t>HD-901</t>
        </is>
      </c>
      <c r="D3184" s="156" t="inlineStr">
        <is>
          <t>SRT 95C</t>
        </is>
      </c>
      <c r="E3184" s="156" t="inlineStr">
        <is>
          <t>Hauler</t>
        </is>
      </c>
      <c r="F3184" s="156" t="inlineStr">
        <is>
          <t>Hauling OB</t>
        </is>
      </c>
      <c r="G3184" s="182" t="n">
        <v>1.18</v>
      </c>
      <c r="H3184" s="182" t="n">
        <v>0</v>
      </c>
      <c r="I3184" s="182" t="n">
        <v>0</v>
      </c>
      <c r="J3184" s="182" t="n">
        <v>0</v>
      </c>
      <c r="K3184" s="182" t="n">
        <v>10.82</v>
      </c>
      <c r="L3184" s="182" t="n">
        <v>12</v>
      </c>
      <c r="M3184" s="182" t="n">
        <v>1.08</v>
      </c>
      <c r="N3184" s="182" t="n">
        <v>0</v>
      </c>
      <c r="O3184" s="183" t="n">
        <v>5</v>
      </c>
      <c r="P3184" s="183" t="n">
        <v>0</v>
      </c>
      <c r="Q3184" s="184" t="n">
        <v>178.5</v>
      </c>
      <c r="R3184" s="184" t="n">
        <v>0</v>
      </c>
      <c r="S3184" s="183" t="n">
        <v>0</v>
      </c>
      <c r="T3184" s="183" t="n">
        <v>0</v>
      </c>
      <c r="U3184" s="182" t="n">
        <v>1.46</v>
      </c>
      <c r="V3184" s="182" t="n">
        <v>0</v>
      </c>
      <c r="W3184" s="182" t="n">
        <v>0</v>
      </c>
      <c r="X3184" s="182" t="n">
        <v>1.02</v>
      </c>
      <c r="Y3184" s="182" t="n">
        <v>0</v>
      </c>
      <c r="Z3184" s="182" t="n">
        <v>0.07000000000000001</v>
      </c>
      <c r="AA3184" s="182" t="n">
        <v>0</v>
      </c>
      <c r="AB3184" s="182" t="n">
        <v>0</v>
      </c>
      <c r="AC3184" s="182" t="n">
        <v>0</v>
      </c>
      <c r="AD3184" s="182" t="n">
        <v>0</v>
      </c>
      <c r="AE3184" s="182" t="n">
        <v>0</v>
      </c>
      <c r="AF3184" s="182" t="n">
        <v>0</v>
      </c>
      <c r="AG3184" s="182" t="n">
        <v>0</v>
      </c>
      <c r="AH3184" s="182" t="n">
        <v>0.39</v>
      </c>
      <c r="AI3184" s="182" t="n">
        <v>7.8</v>
      </c>
      <c r="AJ3184" s="182" t="n">
        <v>0</v>
      </c>
      <c r="AK3184" s="182" t="n">
        <v>0</v>
      </c>
      <c r="AL3184" s="182" t="n">
        <v>0</v>
      </c>
      <c r="AM3184" s="182" t="n">
        <v>0.08</v>
      </c>
      <c r="AN3184" s="182" t="n">
        <v>0</v>
      </c>
    </row>
    <row r="3185">
      <c r="A3185" s="155" t="n">
        <v>46096</v>
      </c>
      <c r="B3185" s="156" t="inlineStr">
        <is>
          <t>DS</t>
        </is>
      </c>
      <c r="C3185" s="156" t="inlineStr">
        <is>
          <t>HD-904</t>
        </is>
      </c>
      <c r="D3185" s="156" t="inlineStr">
        <is>
          <t>SRT 95C</t>
        </is>
      </c>
      <c r="E3185" s="156" t="inlineStr">
        <is>
          <t>Hauler</t>
        </is>
      </c>
      <c r="F3185" s="156" t="inlineStr">
        <is>
          <t>Hauling OB</t>
        </is>
      </c>
      <c r="G3185" s="182" t="n">
        <v>1.8</v>
      </c>
      <c r="H3185" s="182" t="n">
        <v>0</v>
      </c>
      <c r="I3185" s="182" t="n">
        <v>0</v>
      </c>
      <c r="J3185" s="182" t="n">
        <v>0</v>
      </c>
      <c r="K3185" s="182" t="n">
        <v>10.2</v>
      </c>
      <c r="L3185" s="182" t="n">
        <v>12</v>
      </c>
      <c r="M3185" s="182" t="n">
        <v>1.8</v>
      </c>
      <c r="N3185" s="182" t="n">
        <v>0</v>
      </c>
      <c r="O3185" s="183" t="n">
        <v>5</v>
      </c>
      <c r="P3185" s="183" t="n">
        <v>0</v>
      </c>
      <c r="Q3185" s="184" t="n">
        <v>178.5</v>
      </c>
      <c r="R3185" s="184" t="n">
        <v>0</v>
      </c>
      <c r="S3185" s="183" t="n">
        <v>0</v>
      </c>
      <c r="T3185" s="183" t="n">
        <v>0</v>
      </c>
      <c r="U3185" s="182" t="n">
        <v>1.39</v>
      </c>
      <c r="V3185" s="182" t="n">
        <v>0</v>
      </c>
      <c r="W3185" s="182" t="n">
        <v>0</v>
      </c>
      <c r="X3185" s="182" t="n">
        <v>0.97</v>
      </c>
      <c r="Y3185" s="182" t="n">
        <v>0</v>
      </c>
      <c r="Z3185" s="182" t="n">
        <v>0.07000000000000001</v>
      </c>
      <c r="AA3185" s="182" t="n">
        <v>0</v>
      </c>
      <c r="AB3185" s="182" t="n">
        <v>0</v>
      </c>
      <c r="AC3185" s="182" t="n">
        <v>0</v>
      </c>
      <c r="AD3185" s="182" t="n">
        <v>0</v>
      </c>
      <c r="AE3185" s="182" t="n">
        <v>0</v>
      </c>
      <c r="AF3185" s="182" t="n">
        <v>0</v>
      </c>
      <c r="AG3185" s="182" t="n">
        <v>0</v>
      </c>
      <c r="AH3185" s="182" t="n">
        <v>0.36</v>
      </c>
      <c r="AI3185" s="182" t="n">
        <v>7.33</v>
      </c>
      <c r="AJ3185" s="182" t="n">
        <v>0</v>
      </c>
      <c r="AK3185" s="182" t="n">
        <v>0</v>
      </c>
      <c r="AL3185" s="182" t="n">
        <v>0</v>
      </c>
      <c r="AM3185" s="182" t="n">
        <v>0.08</v>
      </c>
      <c r="AN3185" s="182" t="n">
        <v>0</v>
      </c>
    </row>
    <row r="3186">
      <c r="A3186" s="155" t="n">
        <v>46096</v>
      </c>
      <c r="B3186" s="156" t="inlineStr">
        <is>
          <t>DS</t>
        </is>
      </c>
      <c r="C3186" s="156" t="inlineStr">
        <is>
          <t>HD-902</t>
        </is>
      </c>
      <c r="D3186" s="156" t="inlineStr">
        <is>
          <t>SRT 95C</t>
        </is>
      </c>
      <c r="E3186" s="156" t="inlineStr">
        <is>
          <t>Hauler</t>
        </is>
      </c>
      <c r="F3186" s="156" t="inlineStr">
        <is>
          <t>Hauling OB</t>
        </is>
      </c>
      <c r="G3186" s="182" t="n">
        <v>1.29</v>
      </c>
      <c r="H3186" s="182" t="n">
        <v>0</v>
      </c>
      <c r="I3186" s="182" t="n">
        <v>0</v>
      </c>
      <c r="J3186" s="182" t="n">
        <v>0</v>
      </c>
      <c r="K3186" s="182" t="n">
        <v>10.71</v>
      </c>
      <c r="L3186" s="182" t="n">
        <v>12</v>
      </c>
      <c r="M3186" s="182" t="n">
        <v>1.29</v>
      </c>
      <c r="N3186" s="182" t="n">
        <v>0</v>
      </c>
      <c r="O3186" s="183" t="n">
        <v>5</v>
      </c>
      <c r="P3186" s="183" t="n">
        <v>0</v>
      </c>
      <c r="Q3186" s="184" t="n">
        <v>178.5</v>
      </c>
      <c r="R3186" s="184" t="n">
        <v>0</v>
      </c>
      <c r="S3186" s="183" t="n">
        <v>0</v>
      </c>
      <c r="T3186" s="183" t="n">
        <v>0</v>
      </c>
      <c r="U3186" s="182" t="n">
        <v>1.43</v>
      </c>
      <c r="V3186" s="182" t="n">
        <v>0</v>
      </c>
      <c r="W3186" s="182" t="n">
        <v>0</v>
      </c>
      <c r="X3186" s="182" t="n">
        <v>1</v>
      </c>
      <c r="Y3186" s="182" t="n">
        <v>0</v>
      </c>
      <c r="Z3186" s="182" t="n">
        <v>0.07000000000000001</v>
      </c>
      <c r="AA3186" s="182" t="n">
        <v>0</v>
      </c>
      <c r="AB3186" s="182" t="n">
        <v>0</v>
      </c>
      <c r="AC3186" s="182" t="n">
        <v>0</v>
      </c>
      <c r="AD3186" s="182" t="n">
        <v>0</v>
      </c>
      <c r="AE3186" s="182" t="n">
        <v>0</v>
      </c>
      <c r="AF3186" s="182" t="n">
        <v>0</v>
      </c>
      <c r="AG3186" s="182" t="n">
        <v>0</v>
      </c>
      <c r="AH3186" s="182" t="n">
        <v>0.43</v>
      </c>
      <c r="AI3186" s="182" t="n">
        <v>7.7</v>
      </c>
      <c r="AJ3186" s="182" t="n">
        <v>0</v>
      </c>
      <c r="AK3186" s="182" t="n">
        <v>0</v>
      </c>
      <c r="AL3186" s="182" t="n">
        <v>0</v>
      </c>
      <c r="AM3186" s="182" t="n">
        <v>0.08</v>
      </c>
      <c r="AN3186" s="182" t="n">
        <v>0</v>
      </c>
    </row>
    <row r="3187">
      <c r="A3187" s="155" t="n">
        <v>46096</v>
      </c>
      <c r="B3187" s="156" t="inlineStr">
        <is>
          <t>DS</t>
        </is>
      </c>
      <c r="C3187" s="156" t="inlineStr">
        <is>
          <t>WL-025</t>
        </is>
      </c>
      <c r="D3187" s="156" t="inlineStr">
        <is>
          <t>SANY - Loader</t>
        </is>
      </c>
      <c r="E3187" s="156" t="inlineStr">
        <is>
          <t>Loader</t>
        </is>
      </c>
      <c r="F3187" s="156" t="inlineStr"/>
      <c r="G3187" s="182" t="n">
        <v>0</v>
      </c>
      <c r="H3187" s="182" t="n">
        <v>0</v>
      </c>
      <c r="I3187" s="182" t="n">
        <v>0</v>
      </c>
      <c r="J3187" s="182" t="n">
        <v>0</v>
      </c>
      <c r="K3187" s="182" t="n">
        <v>12</v>
      </c>
      <c r="L3187" s="182" t="n">
        <v>12</v>
      </c>
      <c r="M3187" s="182" t="n">
        <v>0</v>
      </c>
      <c r="N3187" s="182" t="n">
        <v>0</v>
      </c>
      <c r="O3187" s="183" t="n">
        <v>0</v>
      </c>
      <c r="P3187" s="183" t="n">
        <v>0</v>
      </c>
      <c r="Q3187" s="184" t="n">
        <v>0</v>
      </c>
      <c r="R3187" s="184" t="n">
        <v>0</v>
      </c>
      <c r="S3187" s="183" t="n">
        <v>0</v>
      </c>
      <c r="T3187" s="183" t="n">
        <v>0</v>
      </c>
      <c r="U3187" s="182" t="n">
        <v>0</v>
      </c>
      <c r="V3187" s="182" t="n">
        <v>0</v>
      </c>
      <c r="W3187" s="182" t="n">
        <v>0</v>
      </c>
      <c r="X3187" s="182" t="n">
        <v>1</v>
      </c>
      <c r="Y3187" s="182" t="n">
        <v>0</v>
      </c>
      <c r="Z3187" s="182" t="n">
        <v>0</v>
      </c>
      <c r="AA3187" s="182" t="n">
        <v>0</v>
      </c>
      <c r="AB3187" s="182" t="n">
        <v>0</v>
      </c>
      <c r="AC3187" s="182" t="n">
        <v>0</v>
      </c>
      <c r="AD3187" s="182" t="n">
        <v>0</v>
      </c>
      <c r="AE3187" s="182" t="n">
        <v>0</v>
      </c>
      <c r="AF3187" s="182" t="n">
        <v>0</v>
      </c>
      <c r="AG3187" s="182" t="n">
        <v>0</v>
      </c>
      <c r="AH3187" s="182" t="n">
        <v>0</v>
      </c>
      <c r="AI3187" s="182" t="n">
        <v>0</v>
      </c>
      <c r="AJ3187" s="182" t="n">
        <v>0</v>
      </c>
      <c r="AK3187" s="182" t="n">
        <v>10.92</v>
      </c>
      <c r="AL3187" s="182" t="n">
        <v>0</v>
      </c>
      <c r="AM3187" s="182" t="n">
        <v>0.08</v>
      </c>
      <c r="AN3187" s="182" t="n">
        <v>0</v>
      </c>
    </row>
    <row r="3188">
      <c r="A3188" s="155" t="n">
        <v>46096</v>
      </c>
      <c r="B3188" s="156" t="inlineStr">
        <is>
          <t>DS</t>
        </is>
      </c>
      <c r="C3188" s="156" t="inlineStr">
        <is>
          <t>WL-023</t>
        </is>
      </c>
      <c r="D3188" s="156" t="inlineStr">
        <is>
          <t>SANY - Loader</t>
        </is>
      </c>
      <c r="E3188" s="156" t="inlineStr">
        <is>
          <t>Loader</t>
        </is>
      </c>
      <c r="F3188" s="156" t="inlineStr"/>
      <c r="G3188" s="182" t="n">
        <v>0</v>
      </c>
      <c r="H3188" s="182" t="n">
        <v>0</v>
      </c>
      <c r="I3188" s="182" t="n">
        <v>0.42</v>
      </c>
      <c r="J3188" s="182" t="n">
        <v>0.42</v>
      </c>
      <c r="K3188" s="182" t="n">
        <v>11.58</v>
      </c>
      <c r="L3188" s="182" t="n">
        <v>12</v>
      </c>
      <c r="M3188" s="182" t="n">
        <v>0</v>
      </c>
      <c r="N3188" s="182" t="n">
        <v>0</v>
      </c>
      <c r="O3188" s="183" t="n">
        <v>0</v>
      </c>
      <c r="P3188" s="183" t="n">
        <v>0</v>
      </c>
      <c r="Q3188" s="184" t="n">
        <v>0</v>
      </c>
      <c r="R3188" s="184" t="n">
        <v>0</v>
      </c>
      <c r="S3188" s="183" t="n">
        <v>0</v>
      </c>
      <c r="T3188" s="183" t="n">
        <v>0</v>
      </c>
      <c r="U3188" s="182" t="n">
        <v>0</v>
      </c>
      <c r="V3188" s="182" t="n">
        <v>0</v>
      </c>
      <c r="W3188" s="182" t="n">
        <v>0</v>
      </c>
      <c r="X3188" s="182" t="n">
        <v>1</v>
      </c>
      <c r="Y3188" s="182" t="n">
        <v>0</v>
      </c>
      <c r="Z3188" s="182" t="n">
        <v>0</v>
      </c>
      <c r="AA3188" s="182" t="n">
        <v>0</v>
      </c>
      <c r="AB3188" s="182" t="n">
        <v>0</v>
      </c>
      <c r="AC3188" s="182" t="n">
        <v>0</v>
      </c>
      <c r="AD3188" s="182" t="n">
        <v>0</v>
      </c>
      <c r="AE3188" s="182" t="n">
        <v>0</v>
      </c>
      <c r="AF3188" s="182" t="n">
        <v>0</v>
      </c>
      <c r="AG3188" s="182" t="n">
        <v>0</v>
      </c>
      <c r="AH3188" s="182" t="n">
        <v>0</v>
      </c>
      <c r="AI3188" s="182" t="n">
        <v>0</v>
      </c>
      <c r="AJ3188" s="182" t="n">
        <v>0</v>
      </c>
      <c r="AK3188" s="182" t="n">
        <v>10.5</v>
      </c>
      <c r="AL3188" s="182" t="n">
        <v>0</v>
      </c>
      <c r="AM3188" s="182" t="n">
        <v>0.08</v>
      </c>
      <c r="AN3188" s="182" t="n">
        <v>0</v>
      </c>
    </row>
    <row r="3189">
      <c r="A3189" s="155" t="n">
        <v>46096</v>
      </c>
      <c r="B3189" s="156" t="inlineStr">
        <is>
          <t>DS</t>
        </is>
      </c>
      <c r="C3189" s="156" t="inlineStr">
        <is>
          <t>WL-021</t>
        </is>
      </c>
      <c r="D3189" s="156" t="inlineStr">
        <is>
          <t>SANY - Loader</t>
        </is>
      </c>
      <c r="E3189" s="156" t="inlineStr">
        <is>
          <t>Loader</t>
        </is>
      </c>
      <c r="F3189" s="156" t="inlineStr"/>
      <c r="G3189" s="182" t="n">
        <v>0</v>
      </c>
      <c r="H3189" s="182" t="n">
        <v>0</v>
      </c>
      <c r="I3189" s="182" t="n">
        <v>12</v>
      </c>
      <c r="J3189" s="182" t="n">
        <v>12</v>
      </c>
      <c r="K3189" s="182" t="n">
        <v>0</v>
      </c>
      <c r="L3189" s="182" t="n">
        <v>12</v>
      </c>
      <c r="M3189" s="182" t="n">
        <v>0</v>
      </c>
      <c r="N3189" s="182" t="n">
        <v>0</v>
      </c>
      <c r="O3189" s="183" t="n">
        <v>0</v>
      </c>
      <c r="P3189" s="183" t="n">
        <v>0</v>
      </c>
      <c r="Q3189" s="184" t="n">
        <v>0</v>
      </c>
      <c r="R3189" s="184" t="n">
        <v>0</v>
      </c>
      <c r="S3189" s="183" t="n">
        <v>0</v>
      </c>
      <c r="T3189" s="183" t="n">
        <v>0</v>
      </c>
      <c r="U3189" s="182" t="n">
        <v>0</v>
      </c>
      <c r="V3189" s="182" t="n">
        <v>0</v>
      </c>
      <c r="W3189" s="182" t="n">
        <v>0</v>
      </c>
      <c r="X3189" s="182" t="n">
        <v>0</v>
      </c>
      <c r="Y3189" s="182" t="n">
        <v>0</v>
      </c>
      <c r="Z3189" s="182" t="n">
        <v>0</v>
      </c>
      <c r="AA3189" s="182" t="n">
        <v>0</v>
      </c>
      <c r="AB3189" s="182" t="n">
        <v>0</v>
      </c>
      <c r="AC3189" s="182" t="n">
        <v>0</v>
      </c>
      <c r="AD3189" s="182" t="n">
        <v>0</v>
      </c>
      <c r="AE3189" s="182" t="n">
        <v>0</v>
      </c>
      <c r="AF3189" s="182" t="n">
        <v>0</v>
      </c>
      <c r="AG3189" s="182" t="n">
        <v>0</v>
      </c>
      <c r="AH3189" s="182" t="n">
        <v>0</v>
      </c>
      <c r="AI3189" s="182" t="n">
        <v>0</v>
      </c>
      <c r="AJ3189" s="182" t="n">
        <v>0</v>
      </c>
      <c r="AK3189" s="182" t="n">
        <v>0</v>
      </c>
      <c r="AL3189" s="182" t="n">
        <v>0</v>
      </c>
      <c r="AM3189" s="182" t="n">
        <v>0</v>
      </c>
      <c r="AN3189" s="182" t="n">
        <v>0</v>
      </c>
    </row>
    <row r="3190">
      <c r="A3190" s="155" t="n">
        <v>46096</v>
      </c>
      <c r="B3190" s="156" t="inlineStr">
        <is>
          <t>DS</t>
        </is>
      </c>
      <c r="C3190" s="156" t="inlineStr">
        <is>
          <t>WL-022</t>
        </is>
      </c>
      <c r="D3190" s="156" t="inlineStr">
        <is>
          <t>SANY - Loader</t>
        </is>
      </c>
      <c r="E3190" s="156" t="inlineStr">
        <is>
          <t>Loader</t>
        </is>
      </c>
      <c r="F3190" s="156" t="inlineStr">
        <is>
          <t>Support Washing Plant</t>
        </is>
      </c>
      <c r="G3190" s="182" t="n">
        <v>10.7</v>
      </c>
      <c r="H3190" s="182" t="n">
        <v>0</v>
      </c>
      <c r="I3190" s="182" t="n">
        <v>0</v>
      </c>
      <c r="J3190" s="182" t="n">
        <v>0</v>
      </c>
      <c r="K3190" s="182" t="n">
        <v>1.3</v>
      </c>
      <c r="L3190" s="182" t="n">
        <v>12</v>
      </c>
      <c r="M3190" s="182" t="n">
        <v>0</v>
      </c>
      <c r="N3190" s="182" t="n">
        <v>0</v>
      </c>
      <c r="O3190" s="183" t="n">
        <v>0</v>
      </c>
      <c r="P3190" s="183" t="n">
        <v>0</v>
      </c>
      <c r="Q3190" s="184" t="n">
        <v>0</v>
      </c>
      <c r="R3190" s="184" t="n">
        <v>0</v>
      </c>
      <c r="S3190" s="183" t="n">
        <v>0</v>
      </c>
      <c r="T3190" s="183" t="n">
        <v>0</v>
      </c>
      <c r="U3190" s="182" t="n">
        <v>0.3</v>
      </c>
      <c r="V3190" s="182" t="n">
        <v>0</v>
      </c>
      <c r="W3190" s="182" t="n">
        <v>0</v>
      </c>
      <c r="X3190" s="182" t="n">
        <v>0.93</v>
      </c>
      <c r="Y3190" s="182" t="n">
        <v>0</v>
      </c>
      <c r="Z3190" s="182" t="n">
        <v>0</v>
      </c>
      <c r="AA3190" s="182" t="n">
        <v>0</v>
      </c>
      <c r="AB3190" s="182" t="n">
        <v>0</v>
      </c>
      <c r="AC3190" s="182" t="n">
        <v>0</v>
      </c>
      <c r="AD3190" s="182" t="n">
        <v>0</v>
      </c>
      <c r="AE3190" s="182" t="n">
        <v>0</v>
      </c>
      <c r="AF3190" s="182" t="n">
        <v>0</v>
      </c>
      <c r="AG3190" s="182" t="n">
        <v>0</v>
      </c>
      <c r="AH3190" s="182" t="n">
        <v>0</v>
      </c>
      <c r="AI3190" s="182" t="n">
        <v>0</v>
      </c>
      <c r="AJ3190" s="182" t="n">
        <v>0</v>
      </c>
      <c r="AK3190" s="182" t="n">
        <v>0</v>
      </c>
      <c r="AL3190" s="182" t="n">
        <v>0</v>
      </c>
      <c r="AM3190" s="182" t="n">
        <v>0.07000000000000001</v>
      </c>
      <c r="AN3190" s="182" t="n">
        <v>0</v>
      </c>
    </row>
    <row r="3191">
      <c r="A3191" s="155" t="n">
        <v>46096</v>
      </c>
      <c r="B3191" s="156" t="inlineStr">
        <is>
          <t>DS</t>
        </is>
      </c>
      <c r="C3191" s="156" t="inlineStr">
        <is>
          <t>WL-024</t>
        </is>
      </c>
      <c r="D3191" s="156" t="inlineStr">
        <is>
          <t>SANY - Loader</t>
        </is>
      </c>
      <c r="E3191" s="156" t="inlineStr">
        <is>
          <t>Loader</t>
        </is>
      </c>
      <c r="F3191" s="156" t="inlineStr">
        <is>
          <t>Support Rehandling Dirty WP</t>
        </is>
      </c>
      <c r="G3191" s="182" t="n">
        <v>11.92</v>
      </c>
      <c r="H3191" s="182" t="n">
        <v>0</v>
      </c>
      <c r="I3191" s="182" t="n">
        <v>0</v>
      </c>
      <c r="J3191" s="182" t="n">
        <v>0</v>
      </c>
      <c r="K3191" s="182" t="n">
        <v>0.08</v>
      </c>
      <c r="L3191" s="182" t="n">
        <v>12</v>
      </c>
      <c r="M3191" s="182" t="n">
        <v>0</v>
      </c>
      <c r="N3191" s="182" t="n">
        <v>0</v>
      </c>
      <c r="O3191" s="183" t="n">
        <v>0</v>
      </c>
      <c r="P3191" s="183" t="n">
        <v>0</v>
      </c>
      <c r="Q3191" s="184" t="n">
        <v>0</v>
      </c>
      <c r="R3191" s="184" t="n">
        <v>0</v>
      </c>
      <c r="S3191" s="183" t="n">
        <v>0</v>
      </c>
      <c r="T3191" s="183" t="n">
        <v>0</v>
      </c>
      <c r="U3191" s="182" t="n">
        <v>0</v>
      </c>
      <c r="V3191" s="182" t="n">
        <v>0</v>
      </c>
      <c r="W3191" s="182" t="n">
        <v>0</v>
      </c>
      <c r="X3191" s="182" t="n">
        <v>0.05</v>
      </c>
      <c r="Y3191" s="182" t="n">
        <v>0</v>
      </c>
      <c r="Z3191" s="182" t="n">
        <v>0</v>
      </c>
      <c r="AA3191" s="182" t="n">
        <v>0</v>
      </c>
      <c r="AB3191" s="182" t="n">
        <v>0</v>
      </c>
      <c r="AC3191" s="182" t="n">
        <v>0</v>
      </c>
      <c r="AD3191" s="182" t="n">
        <v>0</v>
      </c>
      <c r="AE3191" s="182" t="n">
        <v>0</v>
      </c>
      <c r="AF3191" s="182" t="n">
        <v>0</v>
      </c>
      <c r="AG3191" s="182" t="n">
        <v>0</v>
      </c>
      <c r="AH3191" s="182" t="n">
        <v>0</v>
      </c>
      <c r="AI3191" s="182" t="n">
        <v>0</v>
      </c>
      <c r="AJ3191" s="182" t="n">
        <v>0</v>
      </c>
      <c r="AK3191" s="182" t="n">
        <v>0</v>
      </c>
      <c r="AL3191" s="182" t="n">
        <v>0</v>
      </c>
      <c r="AM3191" s="182" t="n">
        <v>0.03</v>
      </c>
      <c r="AN3191" s="182" t="n">
        <v>0</v>
      </c>
    </row>
    <row r="3192">
      <c r="A3192" s="155" t="n">
        <v>46096</v>
      </c>
      <c r="B3192" s="156" t="inlineStr">
        <is>
          <t>NS</t>
        </is>
      </c>
      <c r="C3192" s="156" t="inlineStr">
        <is>
          <t>DZ-034</t>
        </is>
      </c>
      <c r="D3192" s="156" t="inlineStr">
        <is>
          <t>D 68ESS-12EO</t>
        </is>
      </c>
      <c r="E3192" s="156" t="inlineStr">
        <is>
          <t>Bulldozer</t>
        </is>
      </c>
      <c r="F3192" s="156" t="inlineStr">
        <is>
          <t>Support Stock ROM Dirty</t>
        </is>
      </c>
      <c r="G3192" s="182" t="n">
        <v>8.050000000000001</v>
      </c>
      <c r="H3192" s="182" t="n">
        <v>0</v>
      </c>
      <c r="I3192" s="182" t="n">
        <v>0</v>
      </c>
      <c r="J3192" s="182" t="n">
        <v>0</v>
      </c>
      <c r="K3192" s="182" t="n">
        <v>3.95</v>
      </c>
      <c r="L3192" s="182" t="n">
        <v>12</v>
      </c>
      <c r="M3192" s="182" t="n">
        <v>0</v>
      </c>
      <c r="N3192" s="182" t="n">
        <v>0</v>
      </c>
      <c r="O3192" s="183" t="n">
        <v>0</v>
      </c>
      <c r="P3192" s="183" t="n">
        <v>0</v>
      </c>
      <c r="Q3192" s="184" t="n">
        <v>0</v>
      </c>
      <c r="R3192" s="184" t="n">
        <v>0</v>
      </c>
      <c r="S3192" s="183" t="n">
        <v>0</v>
      </c>
      <c r="T3192" s="183" t="n">
        <v>0</v>
      </c>
      <c r="U3192" s="182" t="n">
        <v>2.88</v>
      </c>
      <c r="V3192" s="182" t="n">
        <v>0</v>
      </c>
      <c r="W3192" s="182" t="n">
        <v>0</v>
      </c>
      <c r="X3192" s="182" t="n">
        <v>0.99</v>
      </c>
      <c r="Y3192" s="182" t="n">
        <v>0</v>
      </c>
      <c r="Z3192" s="182" t="n">
        <v>0</v>
      </c>
      <c r="AA3192" s="182" t="n">
        <v>0</v>
      </c>
      <c r="AB3192" s="182" t="n">
        <v>0</v>
      </c>
      <c r="AC3192" s="182" t="n">
        <v>0</v>
      </c>
      <c r="AD3192" s="182" t="n">
        <v>0</v>
      </c>
      <c r="AE3192" s="182" t="n">
        <v>0</v>
      </c>
      <c r="AF3192" s="182" t="n">
        <v>0</v>
      </c>
      <c r="AG3192" s="182" t="n">
        <v>0</v>
      </c>
      <c r="AH3192" s="182" t="n">
        <v>0</v>
      </c>
      <c r="AI3192" s="182" t="n">
        <v>0</v>
      </c>
      <c r="AJ3192" s="182" t="n">
        <v>0</v>
      </c>
      <c r="AK3192" s="182" t="n">
        <v>0</v>
      </c>
      <c r="AL3192" s="182" t="n">
        <v>0</v>
      </c>
      <c r="AM3192" s="182" t="n">
        <v>0.08</v>
      </c>
      <c r="AN3192" s="182" t="n">
        <v>0</v>
      </c>
    </row>
    <row r="3193">
      <c r="A3193" s="155" t="n">
        <v>46096</v>
      </c>
      <c r="B3193" s="156" t="inlineStr">
        <is>
          <t>NS</t>
        </is>
      </c>
      <c r="C3193" s="156" t="inlineStr">
        <is>
          <t>DZ-033</t>
        </is>
      </c>
      <c r="D3193" s="156" t="inlineStr">
        <is>
          <t>D 375A-6R</t>
        </is>
      </c>
      <c r="E3193" s="156" t="inlineStr">
        <is>
          <t>Bulldozer</t>
        </is>
      </c>
      <c r="F3193" s="156" t="inlineStr">
        <is>
          <t>Support Disposal</t>
        </is>
      </c>
      <c r="G3193" s="182" t="n">
        <v>6.9</v>
      </c>
      <c r="H3193" s="182" t="n">
        <v>0</v>
      </c>
      <c r="I3193" s="182" t="n">
        <v>1.38</v>
      </c>
      <c r="J3193" s="182" t="n">
        <v>1.38</v>
      </c>
      <c r="K3193" s="182" t="n">
        <v>3.72</v>
      </c>
      <c r="L3193" s="182" t="n">
        <v>12</v>
      </c>
      <c r="M3193" s="182" t="n">
        <v>0</v>
      </c>
      <c r="N3193" s="182" t="n">
        <v>0</v>
      </c>
      <c r="O3193" s="183" t="n">
        <v>0</v>
      </c>
      <c r="P3193" s="183" t="n">
        <v>0</v>
      </c>
      <c r="Q3193" s="184" t="n">
        <v>0</v>
      </c>
      <c r="R3193" s="184" t="n">
        <v>0</v>
      </c>
      <c r="S3193" s="183" t="n">
        <v>0</v>
      </c>
      <c r="T3193" s="183" t="n">
        <v>0</v>
      </c>
      <c r="U3193" s="182" t="n">
        <v>2.6</v>
      </c>
      <c r="V3193" s="182" t="n">
        <v>0</v>
      </c>
      <c r="W3193" s="182" t="n">
        <v>0</v>
      </c>
      <c r="X3193" s="182" t="n">
        <v>1.03</v>
      </c>
      <c r="Y3193" s="182" t="n">
        <v>0</v>
      </c>
      <c r="Z3193" s="182" t="n">
        <v>0</v>
      </c>
      <c r="AA3193" s="182" t="n">
        <v>0</v>
      </c>
      <c r="AB3193" s="182" t="n">
        <v>0</v>
      </c>
      <c r="AC3193" s="182" t="n">
        <v>0</v>
      </c>
      <c r="AD3193" s="182" t="n">
        <v>0</v>
      </c>
      <c r="AE3193" s="182" t="n">
        <v>0</v>
      </c>
      <c r="AF3193" s="182" t="n">
        <v>0</v>
      </c>
      <c r="AG3193" s="182" t="n">
        <v>0</v>
      </c>
      <c r="AH3193" s="182" t="n">
        <v>0</v>
      </c>
      <c r="AI3193" s="182" t="n">
        <v>0</v>
      </c>
      <c r="AJ3193" s="182" t="n">
        <v>0</v>
      </c>
      <c r="AK3193" s="182" t="n">
        <v>0</v>
      </c>
      <c r="AL3193" s="182" t="n">
        <v>0</v>
      </c>
      <c r="AM3193" s="182" t="n">
        <v>0.08</v>
      </c>
      <c r="AN3193" s="182" t="n">
        <v>0</v>
      </c>
    </row>
    <row r="3194">
      <c r="A3194" s="155" t="n">
        <v>46096</v>
      </c>
      <c r="B3194" s="156" t="inlineStr">
        <is>
          <t>NS</t>
        </is>
      </c>
      <c r="C3194" s="156" t="inlineStr">
        <is>
          <t>DZ-038</t>
        </is>
      </c>
      <c r="D3194" s="156" t="inlineStr">
        <is>
          <t>D 85 ESS-2</t>
        </is>
      </c>
      <c r="E3194" s="156" t="inlineStr">
        <is>
          <t>Bulldozer</t>
        </is>
      </c>
      <c r="F3194" s="156" t="inlineStr"/>
      <c r="G3194" s="182" t="n">
        <v>0</v>
      </c>
      <c r="H3194" s="182" t="n">
        <v>0</v>
      </c>
      <c r="I3194" s="182" t="n">
        <v>12</v>
      </c>
      <c r="J3194" s="182" t="n">
        <v>12</v>
      </c>
      <c r="K3194" s="182" t="n">
        <v>0</v>
      </c>
      <c r="L3194" s="182" t="n">
        <v>12</v>
      </c>
      <c r="M3194" s="182" t="n">
        <v>0</v>
      </c>
      <c r="N3194" s="182" t="n">
        <v>0</v>
      </c>
      <c r="O3194" s="183" t="n">
        <v>0</v>
      </c>
      <c r="P3194" s="183" t="n">
        <v>0</v>
      </c>
      <c r="Q3194" s="184" t="n">
        <v>0</v>
      </c>
      <c r="R3194" s="184" t="n">
        <v>0</v>
      </c>
      <c r="S3194" s="183" t="n">
        <v>0</v>
      </c>
      <c r="T3194" s="183" t="n">
        <v>0</v>
      </c>
      <c r="U3194" s="182" t="n">
        <v>0</v>
      </c>
      <c r="V3194" s="182" t="n">
        <v>0</v>
      </c>
      <c r="W3194" s="182" t="n">
        <v>0</v>
      </c>
      <c r="X3194" s="182" t="n">
        <v>0</v>
      </c>
      <c r="Y3194" s="182" t="n">
        <v>0</v>
      </c>
      <c r="Z3194" s="182" t="n">
        <v>0</v>
      </c>
      <c r="AA3194" s="182" t="n">
        <v>0</v>
      </c>
      <c r="AB3194" s="182" t="n">
        <v>0</v>
      </c>
      <c r="AC3194" s="182" t="n">
        <v>0</v>
      </c>
      <c r="AD3194" s="182" t="n">
        <v>0</v>
      </c>
      <c r="AE3194" s="182" t="n">
        <v>0</v>
      </c>
      <c r="AF3194" s="182" t="n">
        <v>0</v>
      </c>
      <c r="AG3194" s="182" t="n">
        <v>0</v>
      </c>
      <c r="AH3194" s="182" t="n">
        <v>0</v>
      </c>
      <c r="AI3194" s="182" t="n">
        <v>0</v>
      </c>
      <c r="AJ3194" s="182" t="n">
        <v>0</v>
      </c>
      <c r="AK3194" s="182" t="n">
        <v>0</v>
      </c>
      <c r="AL3194" s="182" t="n">
        <v>0</v>
      </c>
      <c r="AM3194" s="182" t="n">
        <v>0</v>
      </c>
      <c r="AN3194" s="182" t="n">
        <v>0</v>
      </c>
    </row>
    <row r="3195">
      <c r="A3195" s="155" t="n">
        <v>46096</v>
      </c>
      <c r="B3195" s="156" t="inlineStr">
        <is>
          <t>NS</t>
        </is>
      </c>
      <c r="C3195" s="156" t="inlineStr">
        <is>
          <t>DZ-039</t>
        </is>
      </c>
      <c r="D3195" s="156" t="inlineStr">
        <is>
          <t>D 85 ESS-2</t>
        </is>
      </c>
      <c r="E3195" s="156" t="inlineStr">
        <is>
          <t>Bulldozer</t>
        </is>
      </c>
      <c r="F3195" s="156" t="inlineStr">
        <is>
          <t>Support Front Loading</t>
        </is>
      </c>
      <c r="G3195" s="182" t="n">
        <v>5.12</v>
      </c>
      <c r="H3195" s="182" t="n">
        <v>0.17</v>
      </c>
      <c r="I3195" s="182" t="n">
        <v>4.48</v>
      </c>
      <c r="J3195" s="182" t="n">
        <v>4.65</v>
      </c>
      <c r="K3195" s="182" t="n">
        <v>2.23</v>
      </c>
      <c r="L3195" s="182" t="n">
        <v>12</v>
      </c>
      <c r="M3195" s="182" t="n">
        <v>0</v>
      </c>
      <c r="N3195" s="182" t="n">
        <v>0</v>
      </c>
      <c r="O3195" s="183" t="n">
        <v>0</v>
      </c>
      <c r="P3195" s="183" t="n">
        <v>0</v>
      </c>
      <c r="Q3195" s="184" t="n">
        <v>0</v>
      </c>
      <c r="R3195" s="184" t="n">
        <v>0</v>
      </c>
      <c r="S3195" s="183" t="n">
        <v>0</v>
      </c>
      <c r="T3195" s="183" t="n">
        <v>0</v>
      </c>
      <c r="U3195" s="182" t="n">
        <v>1.16</v>
      </c>
      <c r="V3195" s="182" t="n">
        <v>0</v>
      </c>
      <c r="W3195" s="182" t="n">
        <v>0</v>
      </c>
      <c r="X3195" s="182" t="n">
        <v>0.99</v>
      </c>
      <c r="Y3195" s="182" t="n">
        <v>0</v>
      </c>
      <c r="Z3195" s="182" t="n">
        <v>0</v>
      </c>
      <c r="AA3195" s="182" t="n">
        <v>0</v>
      </c>
      <c r="AB3195" s="182" t="n">
        <v>0</v>
      </c>
      <c r="AC3195" s="182" t="n">
        <v>0</v>
      </c>
      <c r="AD3195" s="182" t="n">
        <v>0</v>
      </c>
      <c r="AE3195" s="182" t="n">
        <v>0</v>
      </c>
      <c r="AF3195" s="182" t="n">
        <v>0</v>
      </c>
      <c r="AG3195" s="182" t="n">
        <v>0</v>
      </c>
      <c r="AH3195" s="182" t="n">
        <v>0</v>
      </c>
      <c r="AI3195" s="182" t="n">
        <v>0</v>
      </c>
      <c r="AJ3195" s="182" t="n">
        <v>0</v>
      </c>
      <c r="AK3195" s="182" t="n">
        <v>0</v>
      </c>
      <c r="AL3195" s="182" t="n">
        <v>0</v>
      </c>
      <c r="AM3195" s="182" t="n">
        <v>0.08</v>
      </c>
      <c r="AN3195" s="182" t="n">
        <v>0</v>
      </c>
    </row>
    <row r="3196">
      <c r="A3196" s="155" t="n">
        <v>46096</v>
      </c>
      <c r="B3196" s="156" t="inlineStr">
        <is>
          <t>NS</t>
        </is>
      </c>
      <c r="C3196" s="156" t="inlineStr">
        <is>
          <t>DZ-032</t>
        </is>
      </c>
      <c r="D3196" s="156" t="inlineStr">
        <is>
          <t>CAT</t>
        </is>
      </c>
      <c r="E3196" s="156" t="inlineStr">
        <is>
          <t>Bulldozer</t>
        </is>
      </c>
      <c r="F3196" s="156" t="inlineStr"/>
      <c r="G3196" s="182" t="n">
        <v>0</v>
      </c>
      <c r="H3196" s="182" t="n">
        <v>0</v>
      </c>
      <c r="I3196" s="182" t="n">
        <v>12</v>
      </c>
      <c r="J3196" s="182" t="n">
        <v>12</v>
      </c>
      <c r="K3196" s="182" t="n">
        <v>0</v>
      </c>
      <c r="L3196" s="182" t="n">
        <v>12</v>
      </c>
      <c r="M3196" s="182" t="n">
        <v>0</v>
      </c>
      <c r="N3196" s="182" t="n">
        <v>0</v>
      </c>
      <c r="O3196" s="183" t="n">
        <v>0</v>
      </c>
      <c r="P3196" s="183" t="n">
        <v>0</v>
      </c>
      <c r="Q3196" s="184" t="n">
        <v>0</v>
      </c>
      <c r="R3196" s="184" t="n">
        <v>0</v>
      </c>
      <c r="S3196" s="183" t="n">
        <v>0</v>
      </c>
      <c r="T3196" s="183" t="n">
        <v>0</v>
      </c>
      <c r="U3196" s="182" t="n">
        <v>0</v>
      </c>
      <c r="V3196" s="182" t="n">
        <v>0</v>
      </c>
      <c r="W3196" s="182" t="n">
        <v>0</v>
      </c>
      <c r="X3196" s="182" t="n">
        <v>0</v>
      </c>
      <c r="Y3196" s="182" t="n">
        <v>0</v>
      </c>
      <c r="Z3196" s="182" t="n">
        <v>0</v>
      </c>
      <c r="AA3196" s="182" t="n">
        <v>0</v>
      </c>
      <c r="AB3196" s="182" t="n">
        <v>0</v>
      </c>
      <c r="AC3196" s="182" t="n">
        <v>0</v>
      </c>
      <c r="AD3196" s="182" t="n">
        <v>0</v>
      </c>
      <c r="AE3196" s="182" t="n">
        <v>0</v>
      </c>
      <c r="AF3196" s="182" t="n">
        <v>0</v>
      </c>
      <c r="AG3196" s="182" t="n">
        <v>0</v>
      </c>
      <c r="AH3196" s="182" t="n">
        <v>0</v>
      </c>
      <c r="AI3196" s="182" t="n">
        <v>0</v>
      </c>
      <c r="AJ3196" s="182" t="n">
        <v>0</v>
      </c>
      <c r="AK3196" s="182" t="n">
        <v>0</v>
      </c>
      <c r="AL3196" s="182" t="n">
        <v>0</v>
      </c>
      <c r="AM3196" s="182" t="n">
        <v>0</v>
      </c>
      <c r="AN3196" s="182" t="n">
        <v>0</v>
      </c>
    </row>
    <row r="3197">
      <c r="A3197" s="155" t="n">
        <v>46096</v>
      </c>
      <c r="B3197" s="156" t="inlineStr">
        <is>
          <t>NS</t>
        </is>
      </c>
      <c r="C3197" s="156" t="inlineStr">
        <is>
          <t>DZ-031</t>
        </is>
      </c>
      <c r="D3197" s="156" t="inlineStr">
        <is>
          <t>CAT</t>
        </is>
      </c>
      <c r="E3197" s="156" t="inlineStr">
        <is>
          <t>Bulldozer</t>
        </is>
      </c>
      <c r="F3197" s="156" t="inlineStr">
        <is>
          <t>Support Front Loading</t>
        </is>
      </c>
      <c r="G3197" s="182" t="n">
        <v>5.66</v>
      </c>
      <c r="H3197" s="182" t="n">
        <v>0</v>
      </c>
      <c r="I3197" s="182" t="n">
        <v>0.5</v>
      </c>
      <c r="J3197" s="182" t="n">
        <v>0.5</v>
      </c>
      <c r="K3197" s="182" t="n">
        <v>5.84</v>
      </c>
      <c r="L3197" s="182" t="n">
        <v>12</v>
      </c>
      <c r="M3197" s="182" t="n">
        <v>0</v>
      </c>
      <c r="N3197" s="182" t="n">
        <v>0</v>
      </c>
      <c r="O3197" s="183" t="n">
        <v>0</v>
      </c>
      <c r="P3197" s="183" t="n">
        <v>0</v>
      </c>
      <c r="Q3197" s="184" t="n">
        <v>0</v>
      </c>
      <c r="R3197" s="184" t="n">
        <v>0</v>
      </c>
      <c r="S3197" s="183" t="n">
        <v>0</v>
      </c>
      <c r="T3197" s="183" t="n">
        <v>0</v>
      </c>
      <c r="U3197" s="182" t="n">
        <v>4.31</v>
      </c>
      <c r="V3197" s="182" t="n">
        <v>0</v>
      </c>
      <c r="W3197" s="182" t="n">
        <v>0</v>
      </c>
      <c r="X3197" s="182" t="n">
        <v>0.96</v>
      </c>
      <c r="Y3197" s="182" t="n">
        <v>0</v>
      </c>
      <c r="Z3197" s="182" t="n">
        <v>0</v>
      </c>
      <c r="AA3197" s="182" t="n">
        <v>0</v>
      </c>
      <c r="AB3197" s="182" t="n">
        <v>0</v>
      </c>
      <c r="AC3197" s="182" t="n">
        <v>0</v>
      </c>
      <c r="AD3197" s="182" t="n">
        <v>0</v>
      </c>
      <c r="AE3197" s="182" t="n">
        <v>0</v>
      </c>
      <c r="AF3197" s="182" t="n">
        <v>0</v>
      </c>
      <c r="AG3197" s="182" t="n">
        <v>0</v>
      </c>
      <c r="AH3197" s="182" t="n">
        <v>0</v>
      </c>
      <c r="AI3197" s="182" t="n">
        <v>0</v>
      </c>
      <c r="AJ3197" s="182" t="n">
        <v>0</v>
      </c>
      <c r="AK3197" s="182" t="n">
        <v>0.5</v>
      </c>
      <c r="AL3197" s="182" t="n">
        <v>0</v>
      </c>
      <c r="AM3197" s="182" t="n">
        <v>0.08</v>
      </c>
      <c r="AN3197" s="182" t="n">
        <v>0</v>
      </c>
    </row>
    <row r="3198">
      <c r="A3198" s="155" t="n">
        <v>46096</v>
      </c>
      <c r="B3198" s="156" t="inlineStr">
        <is>
          <t>NS</t>
        </is>
      </c>
      <c r="C3198" s="156" t="inlineStr">
        <is>
          <t>DZ-037</t>
        </is>
      </c>
      <c r="D3198" s="156" t="inlineStr">
        <is>
          <t>D 85 ESS-2</t>
        </is>
      </c>
      <c r="E3198" s="156" t="inlineStr">
        <is>
          <t>Bulldozer</t>
        </is>
      </c>
      <c r="F3198" s="156" t="inlineStr"/>
      <c r="G3198" s="182" t="n">
        <v>0</v>
      </c>
      <c r="H3198" s="182" t="n">
        <v>0</v>
      </c>
      <c r="I3198" s="182" t="n">
        <v>12</v>
      </c>
      <c r="J3198" s="182" t="n">
        <v>12</v>
      </c>
      <c r="K3198" s="182" t="n">
        <v>0</v>
      </c>
      <c r="L3198" s="182" t="n">
        <v>12</v>
      </c>
      <c r="M3198" s="182" t="n">
        <v>0</v>
      </c>
      <c r="N3198" s="182" t="n">
        <v>0</v>
      </c>
      <c r="O3198" s="183" t="n">
        <v>0</v>
      </c>
      <c r="P3198" s="183" t="n">
        <v>0</v>
      </c>
      <c r="Q3198" s="184" t="n">
        <v>0</v>
      </c>
      <c r="R3198" s="184" t="n">
        <v>0</v>
      </c>
      <c r="S3198" s="183" t="n">
        <v>0</v>
      </c>
      <c r="T3198" s="183" t="n">
        <v>0</v>
      </c>
      <c r="U3198" s="182" t="n">
        <v>0</v>
      </c>
      <c r="V3198" s="182" t="n">
        <v>0</v>
      </c>
      <c r="W3198" s="182" t="n">
        <v>0</v>
      </c>
      <c r="X3198" s="182" t="n">
        <v>0</v>
      </c>
      <c r="Y3198" s="182" t="n">
        <v>0</v>
      </c>
      <c r="Z3198" s="182" t="n">
        <v>0</v>
      </c>
      <c r="AA3198" s="182" t="n">
        <v>0</v>
      </c>
      <c r="AB3198" s="182" t="n">
        <v>0</v>
      </c>
      <c r="AC3198" s="182" t="n">
        <v>0</v>
      </c>
      <c r="AD3198" s="182" t="n">
        <v>0</v>
      </c>
      <c r="AE3198" s="182" t="n">
        <v>0</v>
      </c>
      <c r="AF3198" s="182" t="n">
        <v>0</v>
      </c>
      <c r="AG3198" s="182" t="n">
        <v>0</v>
      </c>
      <c r="AH3198" s="182" t="n">
        <v>0</v>
      </c>
      <c r="AI3198" s="182" t="n">
        <v>0</v>
      </c>
      <c r="AJ3198" s="182" t="n">
        <v>0</v>
      </c>
      <c r="AK3198" s="182" t="n">
        <v>0</v>
      </c>
      <c r="AL3198" s="182" t="n">
        <v>0</v>
      </c>
      <c r="AM3198" s="182" t="n">
        <v>0</v>
      </c>
      <c r="AN3198" s="182" t="n">
        <v>0</v>
      </c>
    </row>
    <row r="3199">
      <c r="A3199" s="155" t="n">
        <v>46096</v>
      </c>
      <c r="B3199" s="156" t="inlineStr">
        <is>
          <t>NS</t>
        </is>
      </c>
      <c r="C3199" s="156" t="inlineStr">
        <is>
          <t>DZ-036</t>
        </is>
      </c>
      <c r="D3199" s="156" t="inlineStr">
        <is>
          <t>D 85 ESS-2</t>
        </is>
      </c>
      <c r="E3199" s="156" t="inlineStr">
        <is>
          <t>Bulldozer</t>
        </is>
      </c>
      <c r="F3199" s="156" t="inlineStr"/>
      <c r="G3199" s="182" t="n">
        <v>0</v>
      </c>
      <c r="H3199" s="182" t="n">
        <v>0</v>
      </c>
      <c r="I3199" s="182" t="n">
        <v>0</v>
      </c>
      <c r="J3199" s="182" t="n">
        <v>0</v>
      </c>
      <c r="K3199" s="182" t="n">
        <v>12</v>
      </c>
      <c r="L3199" s="182" t="n">
        <v>12</v>
      </c>
      <c r="M3199" s="182" t="n">
        <v>0</v>
      </c>
      <c r="N3199" s="182" t="n">
        <v>0</v>
      </c>
      <c r="O3199" s="183" t="n">
        <v>0</v>
      </c>
      <c r="P3199" s="183" t="n">
        <v>0</v>
      </c>
      <c r="Q3199" s="184" t="n">
        <v>0</v>
      </c>
      <c r="R3199" s="184" t="n">
        <v>0</v>
      </c>
      <c r="S3199" s="183" t="n">
        <v>0</v>
      </c>
      <c r="T3199" s="183" t="n">
        <v>0</v>
      </c>
      <c r="U3199" s="182" t="n">
        <v>0</v>
      </c>
      <c r="V3199" s="182" t="n">
        <v>0</v>
      </c>
      <c r="W3199" s="182" t="n">
        <v>0</v>
      </c>
      <c r="X3199" s="182" t="n">
        <v>1</v>
      </c>
      <c r="Y3199" s="182" t="n">
        <v>0</v>
      </c>
      <c r="Z3199" s="182" t="n">
        <v>0</v>
      </c>
      <c r="AA3199" s="182" t="n">
        <v>0</v>
      </c>
      <c r="AB3199" s="182" t="n">
        <v>0</v>
      </c>
      <c r="AC3199" s="182" t="n">
        <v>0</v>
      </c>
      <c r="AD3199" s="182" t="n">
        <v>0</v>
      </c>
      <c r="AE3199" s="182" t="n">
        <v>0</v>
      </c>
      <c r="AF3199" s="182" t="n">
        <v>0</v>
      </c>
      <c r="AG3199" s="182" t="n">
        <v>0</v>
      </c>
      <c r="AH3199" s="182" t="n">
        <v>0</v>
      </c>
      <c r="AI3199" s="182" t="n">
        <v>0</v>
      </c>
      <c r="AJ3199" s="182" t="n">
        <v>0</v>
      </c>
      <c r="AK3199" s="182" t="n">
        <v>10.92</v>
      </c>
      <c r="AL3199" s="182" t="n">
        <v>0</v>
      </c>
      <c r="AM3199" s="182" t="n">
        <v>0.08</v>
      </c>
      <c r="AN3199" s="182" t="n">
        <v>0</v>
      </c>
    </row>
    <row r="3200">
      <c r="A3200" s="155" t="n">
        <v>46096</v>
      </c>
      <c r="B3200" s="156" t="inlineStr">
        <is>
          <t>NS</t>
        </is>
      </c>
      <c r="C3200" s="156" t="inlineStr">
        <is>
          <t>DZ-035</t>
        </is>
      </c>
      <c r="D3200" s="156" t="inlineStr">
        <is>
          <t>D 85 ESS-2</t>
        </is>
      </c>
      <c r="E3200" s="156" t="inlineStr">
        <is>
          <t>Bulldozer</t>
        </is>
      </c>
      <c r="F3200" s="156" t="inlineStr">
        <is>
          <t>Support Disposal</t>
        </is>
      </c>
      <c r="G3200" s="182" t="n">
        <v>7.96</v>
      </c>
      <c r="H3200" s="182" t="n">
        <v>0</v>
      </c>
      <c r="I3200" s="182" t="n">
        <v>0</v>
      </c>
      <c r="J3200" s="182" t="n">
        <v>0</v>
      </c>
      <c r="K3200" s="182" t="n">
        <v>4.04</v>
      </c>
      <c r="L3200" s="182" t="n">
        <v>12</v>
      </c>
      <c r="M3200" s="182" t="n">
        <v>0</v>
      </c>
      <c r="N3200" s="182" t="n">
        <v>0</v>
      </c>
      <c r="O3200" s="183" t="n">
        <v>0</v>
      </c>
      <c r="P3200" s="183" t="n">
        <v>0</v>
      </c>
      <c r="Q3200" s="184" t="n">
        <v>0</v>
      </c>
      <c r="R3200" s="184" t="n">
        <v>0</v>
      </c>
      <c r="S3200" s="183" t="n">
        <v>0</v>
      </c>
      <c r="T3200" s="183" t="n">
        <v>0</v>
      </c>
      <c r="U3200" s="182" t="n">
        <v>3</v>
      </c>
      <c r="V3200" s="182" t="n">
        <v>0</v>
      </c>
      <c r="W3200" s="182" t="n">
        <v>0</v>
      </c>
      <c r="X3200" s="182" t="n">
        <v>0.96</v>
      </c>
      <c r="Y3200" s="182" t="n">
        <v>0</v>
      </c>
      <c r="Z3200" s="182" t="n">
        <v>0</v>
      </c>
      <c r="AA3200" s="182" t="n">
        <v>0</v>
      </c>
      <c r="AB3200" s="182" t="n">
        <v>0</v>
      </c>
      <c r="AC3200" s="182" t="n">
        <v>0</v>
      </c>
      <c r="AD3200" s="182" t="n">
        <v>0</v>
      </c>
      <c r="AE3200" s="182" t="n">
        <v>0</v>
      </c>
      <c r="AF3200" s="182" t="n">
        <v>0</v>
      </c>
      <c r="AG3200" s="182" t="n">
        <v>0</v>
      </c>
      <c r="AH3200" s="182" t="n">
        <v>0</v>
      </c>
      <c r="AI3200" s="182" t="n">
        <v>0</v>
      </c>
      <c r="AJ3200" s="182" t="n">
        <v>0</v>
      </c>
      <c r="AK3200" s="182" t="n">
        <v>0</v>
      </c>
      <c r="AL3200" s="182" t="n">
        <v>0</v>
      </c>
      <c r="AM3200" s="182" t="n">
        <v>0.08</v>
      </c>
      <c r="AN3200" s="182" t="n">
        <v>0</v>
      </c>
    </row>
    <row r="3201">
      <c r="A3201" s="155" t="n">
        <v>46096</v>
      </c>
      <c r="B3201" s="156" t="inlineStr">
        <is>
          <t>NS</t>
        </is>
      </c>
      <c r="C3201" s="156" t="inlineStr">
        <is>
          <t>CP-042</t>
        </is>
      </c>
      <c r="D3201" s="156" t="inlineStr">
        <is>
          <t>SANY - Compactor</t>
        </is>
      </c>
      <c r="E3201" s="156" t="inlineStr">
        <is>
          <t>Compactor</t>
        </is>
      </c>
      <c r="F3201" s="156" t="inlineStr"/>
      <c r="G3201" s="182" t="n">
        <v>0</v>
      </c>
      <c r="H3201" s="182" t="n">
        <v>0</v>
      </c>
      <c r="I3201" s="182" t="n">
        <v>0</v>
      </c>
      <c r="J3201" s="182" t="n">
        <v>0</v>
      </c>
      <c r="K3201" s="182" t="n">
        <v>12</v>
      </c>
      <c r="L3201" s="182" t="n">
        <v>12</v>
      </c>
      <c r="M3201" s="182" t="n">
        <v>0</v>
      </c>
      <c r="N3201" s="182" t="n">
        <v>0</v>
      </c>
      <c r="O3201" s="183" t="n">
        <v>0</v>
      </c>
      <c r="P3201" s="183" t="n">
        <v>0</v>
      </c>
      <c r="Q3201" s="184" t="n">
        <v>0</v>
      </c>
      <c r="R3201" s="184" t="n">
        <v>0</v>
      </c>
      <c r="S3201" s="183" t="n">
        <v>0</v>
      </c>
      <c r="T3201" s="183" t="n">
        <v>0</v>
      </c>
      <c r="U3201" s="182" t="n">
        <v>0</v>
      </c>
      <c r="V3201" s="182" t="n">
        <v>0</v>
      </c>
      <c r="W3201" s="182" t="n">
        <v>0</v>
      </c>
      <c r="X3201" s="182" t="n">
        <v>1</v>
      </c>
      <c r="Y3201" s="182" t="n">
        <v>0</v>
      </c>
      <c r="Z3201" s="182" t="n">
        <v>0</v>
      </c>
      <c r="AA3201" s="182" t="n">
        <v>0</v>
      </c>
      <c r="AB3201" s="182" t="n">
        <v>0</v>
      </c>
      <c r="AC3201" s="182" t="n">
        <v>0</v>
      </c>
      <c r="AD3201" s="182" t="n">
        <v>0</v>
      </c>
      <c r="AE3201" s="182" t="n">
        <v>0</v>
      </c>
      <c r="AF3201" s="182" t="n">
        <v>0</v>
      </c>
      <c r="AG3201" s="182" t="n">
        <v>0</v>
      </c>
      <c r="AH3201" s="182" t="n">
        <v>0</v>
      </c>
      <c r="AI3201" s="182" t="n">
        <v>0</v>
      </c>
      <c r="AJ3201" s="182" t="n">
        <v>0</v>
      </c>
      <c r="AK3201" s="182" t="n">
        <v>10.92</v>
      </c>
      <c r="AL3201" s="182" t="n">
        <v>0</v>
      </c>
      <c r="AM3201" s="182" t="n">
        <v>0.08</v>
      </c>
      <c r="AN3201" s="182" t="n">
        <v>0</v>
      </c>
    </row>
    <row r="3202">
      <c r="A3202" s="155" t="n">
        <v>46096</v>
      </c>
      <c r="B3202" s="156" t="inlineStr">
        <is>
          <t>NS</t>
        </is>
      </c>
      <c r="C3202" s="156" t="inlineStr">
        <is>
          <t>CP-041</t>
        </is>
      </c>
      <c r="D3202" s="156" t="inlineStr">
        <is>
          <t>SANY - Compactor</t>
        </is>
      </c>
      <c r="E3202" s="156" t="inlineStr">
        <is>
          <t>Compactor</t>
        </is>
      </c>
      <c r="F3202" s="156" t="inlineStr">
        <is>
          <t>Timesheet Kosong</t>
        </is>
      </c>
      <c r="G3202" s="182" t="n">
        <v>3.5</v>
      </c>
      <c r="H3202" s="182" t="n">
        <v>0</v>
      </c>
      <c r="I3202" s="182" t="n">
        <v>0</v>
      </c>
      <c r="J3202" s="182" t="n">
        <v>0</v>
      </c>
      <c r="K3202" s="182" t="n">
        <v>8.5</v>
      </c>
      <c r="L3202" s="182" t="n">
        <v>12</v>
      </c>
      <c r="M3202" s="182" t="n">
        <v>0</v>
      </c>
      <c r="N3202" s="182" t="n">
        <v>0</v>
      </c>
      <c r="O3202" s="183" t="n">
        <v>0</v>
      </c>
      <c r="P3202" s="183" t="n">
        <v>0</v>
      </c>
      <c r="Q3202" s="184" t="n">
        <v>0</v>
      </c>
      <c r="R3202" s="184" t="n">
        <v>0</v>
      </c>
      <c r="S3202" s="183" t="n">
        <v>0</v>
      </c>
      <c r="T3202" s="183" t="n">
        <v>0</v>
      </c>
      <c r="U3202" s="182" t="n">
        <v>4.4</v>
      </c>
      <c r="V3202" s="182" t="n">
        <v>0</v>
      </c>
      <c r="W3202" s="182" t="n">
        <v>0</v>
      </c>
      <c r="X3202" s="182" t="n">
        <v>0.98</v>
      </c>
      <c r="Y3202" s="182" t="n">
        <v>0</v>
      </c>
      <c r="Z3202" s="182" t="n">
        <v>0</v>
      </c>
      <c r="AA3202" s="182" t="n">
        <v>0</v>
      </c>
      <c r="AB3202" s="182" t="n">
        <v>0</v>
      </c>
      <c r="AC3202" s="182" t="n">
        <v>0</v>
      </c>
      <c r="AD3202" s="182" t="n">
        <v>0</v>
      </c>
      <c r="AE3202" s="182" t="n">
        <v>3.05</v>
      </c>
      <c r="AF3202" s="182" t="n">
        <v>0</v>
      </c>
      <c r="AG3202" s="182" t="n">
        <v>0</v>
      </c>
      <c r="AH3202" s="182" t="n">
        <v>0</v>
      </c>
      <c r="AI3202" s="182" t="n">
        <v>0</v>
      </c>
      <c r="AJ3202" s="182" t="n">
        <v>0</v>
      </c>
      <c r="AK3202" s="182" t="n">
        <v>0</v>
      </c>
      <c r="AL3202" s="182" t="n">
        <v>0</v>
      </c>
      <c r="AM3202" s="182" t="n">
        <v>0.08</v>
      </c>
      <c r="AN3202" s="182" t="n">
        <v>0</v>
      </c>
    </row>
    <row r="3203">
      <c r="A3203" s="155" t="n">
        <v>46096</v>
      </c>
      <c r="B3203" s="156" t="inlineStr">
        <is>
          <t>NS</t>
        </is>
      </c>
      <c r="C3203" s="156" t="inlineStr">
        <is>
          <t>HT-418</t>
        </is>
      </c>
      <c r="D3203" s="156" t="inlineStr">
        <is>
          <t>SY430</t>
        </is>
      </c>
      <c r="E3203" s="156" t="inlineStr">
        <is>
          <t>DT Hauling</t>
        </is>
      </c>
      <c r="F3203" s="156" t="inlineStr"/>
      <c r="G3203" s="182" t="n">
        <v>0</v>
      </c>
      <c r="H3203" s="182" t="n">
        <v>0</v>
      </c>
      <c r="I3203" s="182" t="n">
        <v>0</v>
      </c>
      <c r="J3203" s="182" t="n">
        <v>0</v>
      </c>
      <c r="K3203" s="182" t="n">
        <v>12</v>
      </c>
      <c r="L3203" s="182" t="n">
        <v>12</v>
      </c>
      <c r="M3203" s="182" t="n">
        <v>0</v>
      </c>
      <c r="N3203" s="182" t="n">
        <v>0</v>
      </c>
      <c r="O3203" s="183" t="n">
        <v>0</v>
      </c>
      <c r="P3203" s="183" t="n">
        <v>0</v>
      </c>
      <c r="Q3203" s="184" t="n">
        <v>0</v>
      </c>
      <c r="R3203" s="184" t="n">
        <v>0</v>
      </c>
      <c r="S3203" s="183" t="n">
        <v>0</v>
      </c>
      <c r="T3203" s="183" t="n">
        <v>0</v>
      </c>
      <c r="U3203" s="182" t="n">
        <v>0</v>
      </c>
      <c r="V3203" s="182" t="n">
        <v>0</v>
      </c>
      <c r="W3203" s="182" t="n">
        <v>0</v>
      </c>
      <c r="X3203" s="182" t="n">
        <v>1</v>
      </c>
      <c r="Y3203" s="182" t="n">
        <v>0</v>
      </c>
      <c r="Z3203" s="182" t="n">
        <v>0</v>
      </c>
      <c r="AA3203" s="182" t="n">
        <v>0</v>
      </c>
      <c r="AB3203" s="182" t="n">
        <v>0</v>
      </c>
      <c r="AC3203" s="182" t="n">
        <v>0</v>
      </c>
      <c r="AD3203" s="182" t="n">
        <v>0</v>
      </c>
      <c r="AE3203" s="182" t="n">
        <v>0</v>
      </c>
      <c r="AF3203" s="182" t="n">
        <v>0</v>
      </c>
      <c r="AG3203" s="182" t="n">
        <v>0</v>
      </c>
      <c r="AH3203" s="182" t="n">
        <v>0</v>
      </c>
      <c r="AI3203" s="182" t="n">
        <v>0</v>
      </c>
      <c r="AJ3203" s="182" t="n">
        <v>0</v>
      </c>
      <c r="AK3203" s="182" t="n">
        <v>10.92</v>
      </c>
      <c r="AL3203" s="182" t="n">
        <v>0</v>
      </c>
      <c r="AM3203" s="182" t="n">
        <v>0.08</v>
      </c>
      <c r="AN3203" s="182" t="n">
        <v>0</v>
      </c>
    </row>
    <row r="3204">
      <c r="A3204" s="155" t="n">
        <v>46096</v>
      </c>
      <c r="B3204" s="156" t="inlineStr">
        <is>
          <t>NS</t>
        </is>
      </c>
      <c r="C3204" s="156" t="inlineStr">
        <is>
          <t>HT-404</t>
        </is>
      </c>
      <c r="D3204" s="156" t="inlineStr">
        <is>
          <t>SY430</t>
        </is>
      </c>
      <c r="E3204" s="156" t="inlineStr">
        <is>
          <t>DT Hauling</t>
        </is>
      </c>
      <c r="F3204" s="156" t="inlineStr"/>
      <c r="G3204" s="182" t="n">
        <v>0</v>
      </c>
      <c r="H3204" s="182" t="n">
        <v>0</v>
      </c>
      <c r="I3204" s="182" t="n">
        <v>12</v>
      </c>
      <c r="J3204" s="182" t="n">
        <v>12</v>
      </c>
      <c r="K3204" s="182" t="n">
        <v>0</v>
      </c>
      <c r="L3204" s="182" t="n">
        <v>12</v>
      </c>
      <c r="M3204" s="182" t="n">
        <v>0</v>
      </c>
      <c r="N3204" s="182" t="n">
        <v>0</v>
      </c>
      <c r="O3204" s="183" t="n">
        <v>0</v>
      </c>
      <c r="P3204" s="183" t="n">
        <v>0</v>
      </c>
      <c r="Q3204" s="184" t="n">
        <v>0</v>
      </c>
      <c r="R3204" s="184" t="n">
        <v>0</v>
      </c>
      <c r="S3204" s="183" t="n">
        <v>0</v>
      </c>
      <c r="T3204" s="183" t="n">
        <v>0</v>
      </c>
      <c r="U3204" s="182" t="n">
        <v>0</v>
      </c>
      <c r="V3204" s="182" t="n">
        <v>0</v>
      </c>
      <c r="W3204" s="182" t="n">
        <v>0</v>
      </c>
      <c r="X3204" s="182" t="n">
        <v>0</v>
      </c>
      <c r="Y3204" s="182" t="n">
        <v>0</v>
      </c>
      <c r="Z3204" s="182" t="n">
        <v>0</v>
      </c>
      <c r="AA3204" s="182" t="n">
        <v>0</v>
      </c>
      <c r="AB3204" s="182" t="n">
        <v>0</v>
      </c>
      <c r="AC3204" s="182" t="n">
        <v>0</v>
      </c>
      <c r="AD3204" s="182" t="n">
        <v>0</v>
      </c>
      <c r="AE3204" s="182" t="n">
        <v>0</v>
      </c>
      <c r="AF3204" s="182" t="n">
        <v>0</v>
      </c>
      <c r="AG3204" s="182" t="n">
        <v>0</v>
      </c>
      <c r="AH3204" s="182" t="n">
        <v>0</v>
      </c>
      <c r="AI3204" s="182" t="n">
        <v>0</v>
      </c>
      <c r="AJ3204" s="182" t="n">
        <v>0</v>
      </c>
      <c r="AK3204" s="182" t="n">
        <v>0</v>
      </c>
      <c r="AL3204" s="182" t="n">
        <v>0</v>
      </c>
      <c r="AM3204" s="182" t="n">
        <v>0</v>
      </c>
      <c r="AN3204" s="182" t="n">
        <v>0</v>
      </c>
    </row>
    <row r="3205">
      <c r="A3205" s="155" t="n">
        <v>46096</v>
      </c>
      <c r="B3205" s="156" t="inlineStr">
        <is>
          <t>NS</t>
        </is>
      </c>
      <c r="C3205" s="156" t="inlineStr">
        <is>
          <t>HT-415</t>
        </is>
      </c>
      <c r="D3205" s="156" t="inlineStr">
        <is>
          <t>SY430</t>
        </is>
      </c>
      <c r="E3205" s="156" t="inlineStr">
        <is>
          <t>DT Hauling</t>
        </is>
      </c>
      <c r="F3205" s="156" t="inlineStr"/>
      <c r="G3205" s="182" t="n">
        <v>0</v>
      </c>
      <c r="H3205" s="182" t="n">
        <v>0</v>
      </c>
      <c r="I3205" s="182" t="n">
        <v>12</v>
      </c>
      <c r="J3205" s="182" t="n">
        <v>12</v>
      </c>
      <c r="K3205" s="182" t="n">
        <v>0</v>
      </c>
      <c r="L3205" s="182" t="n">
        <v>12</v>
      </c>
      <c r="M3205" s="182" t="n">
        <v>0</v>
      </c>
      <c r="N3205" s="182" t="n">
        <v>0</v>
      </c>
      <c r="O3205" s="183" t="n">
        <v>0</v>
      </c>
      <c r="P3205" s="183" t="n">
        <v>0</v>
      </c>
      <c r="Q3205" s="184" t="n">
        <v>0</v>
      </c>
      <c r="R3205" s="184" t="n">
        <v>0</v>
      </c>
      <c r="S3205" s="183" t="n">
        <v>0</v>
      </c>
      <c r="T3205" s="183" t="n">
        <v>0</v>
      </c>
      <c r="U3205" s="182" t="n">
        <v>0</v>
      </c>
      <c r="V3205" s="182" t="n">
        <v>0</v>
      </c>
      <c r="W3205" s="182" t="n">
        <v>0</v>
      </c>
      <c r="X3205" s="182" t="n">
        <v>0</v>
      </c>
      <c r="Y3205" s="182" t="n">
        <v>0</v>
      </c>
      <c r="Z3205" s="182" t="n">
        <v>0</v>
      </c>
      <c r="AA3205" s="182" t="n">
        <v>0</v>
      </c>
      <c r="AB3205" s="182" t="n">
        <v>0</v>
      </c>
      <c r="AC3205" s="182" t="n">
        <v>0</v>
      </c>
      <c r="AD3205" s="182" t="n">
        <v>0</v>
      </c>
      <c r="AE3205" s="182" t="n">
        <v>0</v>
      </c>
      <c r="AF3205" s="182" t="n">
        <v>0</v>
      </c>
      <c r="AG3205" s="182" t="n">
        <v>0</v>
      </c>
      <c r="AH3205" s="182" t="n">
        <v>0</v>
      </c>
      <c r="AI3205" s="182" t="n">
        <v>0</v>
      </c>
      <c r="AJ3205" s="182" t="n">
        <v>0</v>
      </c>
      <c r="AK3205" s="182" t="n">
        <v>0</v>
      </c>
      <c r="AL3205" s="182" t="n">
        <v>0</v>
      </c>
      <c r="AM3205" s="182" t="n">
        <v>0</v>
      </c>
      <c r="AN3205" s="182" t="n">
        <v>0</v>
      </c>
    </row>
    <row r="3206">
      <c r="A3206" s="155" t="n">
        <v>46096</v>
      </c>
      <c r="B3206" s="156" t="inlineStr">
        <is>
          <t>NS</t>
        </is>
      </c>
      <c r="C3206" s="156" t="inlineStr">
        <is>
          <t>HT-406</t>
        </is>
      </c>
      <c r="D3206" s="156" t="inlineStr">
        <is>
          <t>SY430</t>
        </is>
      </c>
      <c r="E3206" s="156" t="inlineStr">
        <is>
          <t>DT Hauling</t>
        </is>
      </c>
      <c r="F3206" s="156" t="inlineStr"/>
      <c r="G3206" s="182" t="n">
        <v>0</v>
      </c>
      <c r="H3206" s="182" t="n">
        <v>0</v>
      </c>
      <c r="I3206" s="182" t="n">
        <v>12</v>
      </c>
      <c r="J3206" s="182" t="n">
        <v>12</v>
      </c>
      <c r="K3206" s="182" t="n">
        <v>0</v>
      </c>
      <c r="L3206" s="182" t="n">
        <v>12</v>
      </c>
      <c r="M3206" s="182" t="n">
        <v>0</v>
      </c>
      <c r="N3206" s="182" t="n">
        <v>0</v>
      </c>
      <c r="O3206" s="183" t="n">
        <v>0</v>
      </c>
      <c r="P3206" s="183" t="n">
        <v>0</v>
      </c>
      <c r="Q3206" s="184" t="n">
        <v>0</v>
      </c>
      <c r="R3206" s="184" t="n">
        <v>0</v>
      </c>
      <c r="S3206" s="183" t="n">
        <v>0</v>
      </c>
      <c r="T3206" s="183" t="n">
        <v>0</v>
      </c>
      <c r="U3206" s="182" t="n">
        <v>0</v>
      </c>
      <c r="V3206" s="182" t="n">
        <v>0</v>
      </c>
      <c r="W3206" s="182" t="n">
        <v>0</v>
      </c>
      <c r="X3206" s="182" t="n">
        <v>0</v>
      </c>
      <c r="Y3206" s="182" t="n">
        <v>0</v>
      </c>
      <c r="Z3206" s="182" t="n">
        <v>0</v>
      </c>
      <c r="AA3206" s="182" t="n">
        <v>0</v>
      </c>
      <c r="AB3206" s="182" t="n">
        <v>0</v>
      </c>
      <c r="AC3206" s="182" t="n">
        <v>0</v>
      </c>
      <c r="AD3206" s="182" t="n">
        <v>0</v>
      </c>
      <c r="AE3206" s="182" t="n">
        <v>0</v>
      </c>
      <c r="AF3206" s="182" t="n">
        <v>0</v>
      </c>
      <c r="AG3206" s="182" t="n">
        <v>0</v>
      </c>
      <c r="AH3206" s="182" t="n">
        <v>0</v>
      </c>
      <c r="AI3206" s="182" t="n">
        <v>0</v>
      </c>
      <c r="AJ3206" s="182" t="n">
        <v>0</v>
      </c>
      <c r="AK3206" s="182" t="n">
        <v>0</v>
      </c>
      <c r="AL3206" s="182" t="n">
        <v>0</v>
      </c>
      <c r="AM3206" s="182" t="n">
        <v>0</v>
      </c>
      <c r="AN3206" s="182" t="n">
        <v>0</v>
      </c>
    </row>
    <row r="3207">
      <c r="A3207" s="155" t="n">
        <v>46096</v>
      </c>
      <c r="B3207" s="156" t="inlineStr">
        <is>
          <t>NS</t>
        </is>
      </c>
      <c r="C3207" s="156" t="inlineStr">
        <is>
          <t>HT-405</t>
        </is>
      </c>
      <c r="D3207" s="156" t="inlineStr">
        <is>
          <t>SY430</t>
        </is>
      </c>
      <c r="E3207" s="156" t="inlineStr">
        <is>
          <t>DT Hauling</t>
        </is>
      </c>
      <c r="F3207" s="156" t="inlineStr"/>
      <c r="G3207" s="182" t="n">
        <v>0</v>
      </c>
      <c r="H3207" s="182" t="n">
        <v>0</v>
      </c>
      <c r="I3207" s="182" t="n">
        <v>0</v>
      </c>
      <c r="J3207" s="182" t="n">
        <v>0</v>
      </c>
      <c r="K3207" s="182" t="n">
        <v>12</v>
      </c>
      <c r="L3207" s="182" t="n">
        <v>12</v>
      </c>
      <c r="M3207" s="182" t="n">
        <v>0</v>
      </c>
      <c r="N3207" s="182" t="n">
        <v>0</v>
      </c>
      <c r="O3207" s="183" t="n">
        <v>0</v>
      </c>
      <c r="P3207" s="183" t="n">
        <v>0</v>
      </c>
      <c r="Q3207" s="184" t="n">
        <v>0</v>
      </c>
      <c r="R3207" s="184" t="n">
        <v>0</v>
      </c>
      <c r="S3207" s="183" t="n">
        <v>0</v>
      </c>
      <c r="T3207" s="183" t="n">
        <v>0</v>
      </c>
      <c r="U3207" s="182" t="n">
        <v>0</v>
      </c>
      <c r="V3207" s="182" t="n">
        <v>0</v>
      </c>
      <c r="W3207" s="182" t="n">
        <v>0</v>
      </c>
      <c r="X3207" s="182" t="n">
        <v>1</v>
      </c>
      <c r="Y3207" s="182" t="n">
        <v>0</v>
      </c>
      <c r="Z3207" s="182" t="n">
        <v>0</v>
      </c>
      <c r="AA3207" s="182" t="n">
        <v>0</v>
      </c>
      <c r="AB3207" s="182" t="n">
        <v>0</v>
      </c>
      <c r="AC3207" s="182" t="n">
        <v>0</v>
      </c>
      <c r="AD3207" s="182" t="n">
        <v>0</v>
      </c>
      <c r="AE3207" s="182" t="n">
        <v>0</v>
      </c>
      <c r="AF3207" s="182" t="n">
        <v>0</v>
      </c>
      <c r="AG3207" s="182" t="n">
        <v>0</v>
      </c>
      <c r="AH3207" s="182" t="n">
        <v>0</v>
      </c>
      <c r="AI3207" s="182" t="n">
        <v>0</v>
      </c>
      <c r="AJ3207" s="182" t="n">
        <v>0</v>
      </c>
      <c r="AK3207" s="182" t="n">
        <v>10.92</v>
      </c>
      <c r="AL3207" s="182" t="n">
        <v>0</v>
      </c>
      <c r="AM3207" s="182" t="n">
        <v>0.08</v>
      </c>
      <c r="AN3207" s="182" t="n">
        <v>0</v>
      </c>
    </row>
    <row r="3208">
      <c r="A3208" s="155" t="n">
        <v>46096</v>
      </c>
      <c r="B3208" s="156" t="inlineStr">
        <is>
          <t>NS</t>
        </is>
      </c>
      <c r="C3208" s="156" t="inlineStr">
        <is>
          <t>HT-417</t>
        </is>
      </c>
      <c r="D3208" s="156" t="inlineStr">
        <is>
          <t>SY430</t>
        </is>
      </c>
      <c r="E3208" s="156" t="inlineStr">
        <is>
          <t>DT Hauling</t>
        </is>
      </c>
      <c r="F3208" s="156" t="inlineStr"/>
      <c r="G3208" s="182" t="n">
        <v>0</v>
      </c>
      <c r="H3208" s="182" t="n">
        <v>0</v>
      </c>
      <c r="I3208" s="182" t="n">
        <v>0</v>
      </c>
      <c r="J3208" s="182" t="n">
        <v>0</v>
      </c>
      <c r="K3208" s="182" t="n">
        <v>12</v>
      </c>
      <c r="L3208" s="182" t="n">
        <v>12</v>
      </c>
      <c r="M3208" s="182" t="n">
        <v>0</v>
      </c>
      <c r="N3208" s="182" t="n">
        <v>0</v>
      </c>
      <c r="O3208" s="183" t="n">
        <v>0</v>
      </c>
      <c r="P3208" s="183" t="n">
        <v>0</v>
      </c>
      <c r="Q3208" s="184" t="n">
        <v>0</v>
      </c>
      <c r="R3208" s="184" t="n">
        <v>0</v>
      </c>
      <c r="S3208" s="183" t="n">
        <v>0</v>
      </c>
      <c r="T3208" s="183" t="n">
        <v>0</v>
      </c>
      <c r="U3208" s="182" t="n">
        <v>0</v>
      </c>
      <c r="V3208" s="182" t="n">
        <v>0</v>
      </c>
      <c r="W3208" s="182" t="n">
        <v>0</v>
      </c>
      <c r="X3208" s="182" t="n">
        <v>1</v>
      </c>
      <c r="Y3208" s="182" t="n">
        <v>0</v>
      </c>
      <c r="Z3208" s="182" t="n">
        <v>0</v>
      </c>
      <c r="AA3208" s="182" t="n">
        <v>0</v>
      </c>
      <c r="AB3208" s="182" t="n">
        <v>0</v>
      </c>
      <c r="AC3208" s="182" t="n">
        <v>0</v>
      </c>
      <c r="AD3208" s="182" t="n">
        <v>0</v>
      </c>
      <c r="AE3208" s="182" t="n">
        <v>0</v>
      </c>
      <c r="AF3208" s="182" t="n">
        <v>0</v>
      </c>
      <c r="AG3208" s="182" t="n">
        <v>0</v>
      </c>
      <c r="AH3208" s="182" t="n">
        <v>0</v>
      </c>
      <c r="AI3208" s="182" t="n">
        <v>0</v>
      </c>
      <c r="AJ3208" s="182" t="n">
        <v>0</v>
      </c>
      <c r="AK3208" s="182" t="n">
        <v>10.92</v>
      </c>
      <c r="AL3208" s="182" t="n">
        <v>0</v>
      </c>
      <c r="AM3208" s="182" t="n">
        <v>0.08</v>
      </c>
      <c r="AN3208" s="182" t="n">
        <v>0</v>
      </c>
    </row>
    <row r="3209">
      <c r="A3209" s="155" t="n">
        <v>46096</v>
      </c>
      <c r="B3209" s="156" t="inlineStr">
        <is>
          <t>NS</t>
        </is>
      </c>
      <c r="C3209" s="156" t="inlineStr">
        <is>
          <t>HT-401</t>
        </is>
      </c>
      <c r="D3209" s="156" t="inlineStr">
        <is>
          <t>SY430</t>
        </is>
      </c>
      <c r="E3209" s="156" t="inlineStr">
        <is>
          <t>DT Hauling</t>
        </is>
      </c>
      <c r="F3209" s="156" t="inlineStr"/>
      <c r="G3209" s="182" t="n">
        <v>0</v>
      </c>
      <c r="H3209" s="182" t="n">
        <v>0</v>
      </c>
      <c r="I3209" s="182" t="n">
        <v>0</v>
      </c>
      <c r="J3209" s="182" t="n">
        <v>0</v>
      </c>
      <c r="K3209" s="182" t="n">
        <v>12</v>
      </c>
      <c r="L3209" s="182" t="n">
        <v>12</v>
      </c>
      <c r="M3209" s="182" t="n">
        <v>0</v>
      </c>
      <c r="N3209" s="182" t="n">
        <v>0</v>
      </c>
      <c r="O3209" s="183" t="n">
        <v>0</v>
      </c>
      <c r="P3209" s="183" t="n">
        <v>0</v>
      </c>
      <c r="Q3209" s="184" t="n">
        <v>0</v>
      </c>
      <c r="R3209" s="184" t="n">
        <v>0</v>
      </c>
      <c r="S3209" s="183" t="n">
        <v>0</v>
      </c>
      <c r="T3209" s="183" t="n">
        <v>0</v>
      </c>
      <c r="U3209" s="182" t="n">
        <v>0</v>
      </c>
      <c r="V3209" s="182" t="n">
        <v>0</v>
      </c>
      <c r="W3209" s="182" t="n">
        <v>0</v>
      </c>
      <c r="X3209" s="182" t="n">
        <v>1</v>
      </c>
      <c r="Y3209" s="182" t="n">
        <v>0</v>
      </c>
      <c r="Z3209" s="182" t="n">
        <v>0</v>
      </c>
      <c r="AA3209" s="182" t="n">
        <v>0</v>
      </c>
      <c r="AB3209" s="182" t="n">
        <v>0</v>
      </c>
      <c r="AC3209" s="182" t="n">
        <v>0</v>
      </c>
      <c r="AD3209" s="182" t="n">
        <v>0</v>
      </c>
      <c r="AE3209" s="182" t="n">
        <v>0</v>
      </c>
      <c r="AF3209" s="182" t="n">
        <v>0</v>
      </c>
      <c r="AG3209" s="182" t="n">
        <v>0</v>
      </c>
      <c r="AH3209" s="182" t="n">
        <v>0</v>
      </c>
      <c r="AI3209" s="182" t="n">
        <v>0</v>
      </c>
      <c r="AJ3209" s="182" t="n">
        <v>0</v>
      </c>
      <c r="AK3209" s="182" t="n">
        <v>10.92</v>
      </c>
      <c r="AL3209" s="182" t="n">
        <v>0</v>
      </c>
      <c r="AM3209" s="182" t="n">
        <v>0.08</v>
      </c>
      <c r="AN3209" s="182" t="n">
        <v>0</v>
      </c>
    </row>
    <row r="3210">
      <c r="A3210" s="155" t="n">
        <v>46096</v>
      </c>
      <c r="B3210" s="156" t="inlineStr">
        <is>
          <t>NS</t>
        </is>
      </c>
      <c r="C3210" s="156" t="inlineStr">
        <is>
          <t>HT-410</t>
        </is>
      </c>
      <c r="D3210" s="156" t="inlineStr">
        <is>
          <t>SY430</t>
        </is>
      </c>
      <c r="E3210" s="156" t="inlineStr">
        <is>
          <t>DT Hauling</t>
        </is>
      </c>
      <c r="F3210" s="156" t="inlineStr"/>
      <c r="G3210" s="182" t="n">
        <v>0</v>
      </c>
      <c r="H3210" s="182" t="n">
        <v>0</v>
      </c>
      <c r="I3210" s="182" t="n">
        <v>0</v>
      </c>
      <c r="J3210" s="182" t="n">
        <v>0</v>
      </c>
      <c r="K3210" s="182" t="n">
        <v>12</v>
      </c>
      <c r="L3210" s="182" t="n">
        <v>12</v>
      </c>
      <c r="M3210" s="182" t="n">
        <v>0</v>
      </c>
      <c r="N3210" s="182" t="n">
        <v>0</v>
      </c>
      <c r="O3210" s="183" t="n">
        <v>0</v>
      </c>
      <c r="P3210" s="183" t="n">
        <v>0</v>
      </c>
      <c r="Q3210" s="184" t="n">
        <v>0</v>
      </c>
      <c r="R3210" s="184" t="n">
        <v>0</v>
      </c>
      <c r="S3210" s="183" t="n">
        <v>0</v>
      </c>
      <c r="T3210" s="183" t="n">
        <v>0</v>
      </c>
      <c r="U3210" s="182" t="n">
        <v>0</v>
      </c>
      <c r="V3210" s="182" t="n">
        <v>0</v>
      </c>
      <c r="W3210" s="182" t="n">
        <v>0</v>
      </c>
      <c r="X3210" s="182" t="n">
        <v>1</v>
      </c>
      <c r="Y3210" s="182" t="n">
        <v>0</v>
      </c>
      <c r="Z3210" s="182" t="n">
        <v>0</v>
      </c>
      <c r="AA3210" s="182" t="n">
        <v>0</v>
      </c>
      <c r="AB3210" s="182" t="n">
        <v>0</v>
      </c>
      <c r="AC3210" s="182" t="n">
        <v>0</v>
      </c>
      <c r="AD3210" s="182" t="n">
        <v>0</v>
      </c>
      <c r="AE3210" s="182" t="n">
        <v>0</v>
      </c>
      <c r="AF3210" s="182" t="n">
        <v>0</v>
      </c>
      <c r="AG3210" s="182" t="n">
        <v>0</v>
      </c>
      <c r="AH3210" s="182" t="n">
        <v>0</v>
      </c>
      <c r="AI3210" s="182" t="n">
        <v>0</v>
      </c>
      <c r="AJ3210" s="182" t="n">
        <v>0</v>
      </c>
      <c r="AK3210" s="182" t="n">
        <v>10.92</v>
      </c>
      <c r="AL3210" s="182" t="n">
        <v>0</v>
      </c>
      <c r="AM3210" s="182" t="n">
        <v>0.08</v>
      </c>
      <c r="AN3210" s="182" t="n">
        <v>0</v>
      </c>
    </row>
    <row r="3211">
      <c r="A3211" s="155" t="n">
        <v>46096</v>
      </c>
      <c r="B3211" s="156" t="inlineStr">
        <is>
          <t>NS</t>
        </is>
      </c>
      <c r="C3211" s="156" t="inlineStr">
        <is>
          <t>HT-402</t>
        </is>
      </c>
      <c r="D3211" s="156" t="inlineStr">
        <is>
          <t>SY430</t>
        </is>
      </c>
      <c r="E3211" s="156" t="inlineStr">
        <is>
          <t>DT Hauling</t>
        </is>
      </c>
      <c r="F3211" s="156" t="inlineStr"/>
      <c r="G3211" s="182" t="n">
        <v>0</v>
      </c>
      <c r="H3211" s="182" t="n">
        <v>0</v>
      </c>
      <c r="I3211" s="182" t="n">
        <v>12</v>
      </c>
      <c r="J3211" s="182" t="n">
        <v>12</v>
      </c>
      <c r="K3211" s="182" t="n">
        <v>0</v>
      </c>
      <c r="L3211" s="182" t="n">
        <v>12</v>
      </c>
      <c r="M3211" s="182" t="n">
        <v>0</v>
      </c>
      <c r="N3211" s="182" t="n">
        <v>0</v>
      </c>
      <c r="O3211" s="183" t="n">
        <v>0</v>
      </c>
      <c r="P3211" s="183" t="n">
        <v>0</v>
      </c>
      <c r="Q3211" s="184" t="n">
        <v>0</v>
      </c>
      <c r="R3211" s="184" t="n">
        <v>0</v>
      </c>
      <c r="S3211" s="183" t="n">
        <v>0</v>
      </c>
      <c r="T3211" s="183" t="n">
        <v>0</v>
      </c>
      <c r="U3211" s="182" t="n">
        <v>0</v>
      </c>
      <c r="V3211" s="182" t="n">
        <v>0</v>
      </c>
      <c r="W3211" s="182" t="n">
        <v>0</v>
      </c>
      <c r="X3211" s="182" t="n">
        <v>0</v>
      </c>
      <c r="Y3211" s="182" t="n">
        <v>0</v>
      </c>
      <c r="Z3211" s="182" t="n">
        <v>0</v>
      </c>
      <c r="AA3211" s="182" t="n">
        <v>0</v>
      </c>
      <c r="AB3211" s="182" t="n">
        <v>0</v>
      </c>
      <c r="AC3211" s="182" t="n">
        <v>0</v>
      </c>
      <c r="AD3211" s="182" t="n">
        <v>0</v>
      </c>
      <c r="AE3211" s="182" t="n">
        <v>0</v>
      </c>
      <c r="AF3211" s="182" t="n">
        <v>0</v>
      </c>
      <c r="AG3211" s="182" t="n">
        <v>0</v>
      </c>
      <c r="AH3211" s="182" t="n">
        <v>0</v>
      </c>
      <c r="AI3211" s="182" t="n">
        <v>0</v>
      </c>
      <c r="AJ3211" s="182" t="n">
        <v>0</v>
      </c>
      <c r="AK3211" s="182" t="n">
        <v>0</v>
      </c>
      <c r="AL3211" s="182" t="n">
        <v>0</v>
      </c>
      <c r="AM3211" s="182" t="n">
        <v>0</v>
      </c>
      <c r="AN3211" s="182" t="n">
        <v>0</v>
      </c>
    </row>
    <row r="3212">
      <c r="A3212" s="155" t="n">
        <v>46096</v>
      </c>
      <c r="B3212" s="156" t="inlineStr">
        <is>
          <t>NS</t>
        </is>
      </c>
      <c r="C3212" s="156" t="inlineStr">
        <is>
          <t>HT-419</t>
        </is>
      </c>
      <c r="D3212" s="156" t="inlineStr">
        <is>
          <t>SY430</t>
        </is>
      </c>
      <c r="E3212" s="156" t="inlineStr">
        <is>
          <t>DT Hauling</t>
        </is>
      </c>
      <c r="F3212" s="156" t="inlineStr"/>
      <c r="G3212" s="182" t="n">
        <v>0</v>
      </c>
      <c r="H3212" s="182" t="n">
        <v>0</v>
      </c>
      <c r="I3212" s="182" t="n">
        <v>0</v>
      </c>
      <c r="J3212" s="182" t="n">
        <v>0</v>
      </c>
      <c r="K3212" s="182" t="n">
        <v>12</v>
      </c>
      <c r="L3212" s="182" t="n">
        <v>12</v>
      </c>
      <c r="M3212" s="182" t="n">
        <v>0</v>
      </c>
      <c r="N3212" s="182" t="n">
        <v>0</v>
      </c>
      <c r="O3212" s="183" t="n">
        <v>0</v>
      </c>
      <c r="P3212" s="183" t="n">
        <v>0</v>
      </c>
      <c r="Q3212" s="184" t="n">
        <v>0</v>
      </c>
      <c r="R3212" s="184" t="n">
        <v>0</v>
      </c>
      <c r="S3212" s="183" t="n">
        <v>0</v>
      </c>
      <c r="T3212" s="183" t="n">
        <v>0</v>
      </c>
      <c r="U3212" s="182" t="n">
        <v>0</v>
      </c>
      <c r="V3212" s="182" t="n">
        <v>0</v>
      </c>
      <c r="W3212" s="182" t="n">
        <v>0</v>
      </c>
      <c r="X3212" s="182" t="n">
        <v>1</v>
      </c>
      <c r="Y3212" s="182" t="n">
        <v>0</v>
      </c>
      <c r="Z3212" s="182" t="n">
        <v>0</v>
      </c>
      <c r="AA3212" s="182" t="n">
        <v>0</v>
      </c>
      <c r="AB3212" s="182" t="n">
        <v>0</v>
      </c>
      <c r="AC3212" s="182" t="n">
        <v>0</v>
      </c>
      <c r="AD3212" s="182" t="n">
        <v>0</v>
      </c>
      <c r="AE3212" s="182" t="n">
        <v>0</v>
      </c>
      <c r="AF3212" s="182" t="n">
        <v>0</v>
      </c>
      <c r="AG3212" s="182" t="n">
        <v>0</v>
      </c>
      <c r="AH3212" s="182" t="n">
        <v>0</v>
      </c>
      <c r="AI3212" s="182" t="n">
        <v>0</v>
      </c>
      <c r="AJ3212" s="182" t="n">
        <v>0</v>
      </c>
      <c r="AK3212" s="182" t="n">
        <v>10.92</v>
      </c>
      <c r="AL3212" s="182" t="n">
        <v>0</v>
      </c>
      <c r="AM3212" s="182" t="n">
        <v>0.08</v>
      </c>
      <c r="AN3212" s="182" t="n">
        <v>0</v>
      </c>
    </row>
    <row r="3213">
      <c r="A3213" s="155" t="n">
        <v>46096</v>
      </c>
      <c r="B3213" s="156" t="inlineStr">
        <is>
          <t>NS</t>
        </is>
      </c>
      <c r="C3213" s="156" t="inlineStr">
        <is>
          <t>HT-416</t>
        </is>
      </c>
      <c r="D3213" s="156" t="inlineStr">
        <is>
          <t>SY430</t>
        </is>
      </c>
      <c r="E3213" s="156" t="inlineStr">
        <is>
          <t>DT Hauling</t>
        </is>
      </c>
      <c r="F3213" s="156" t="inlineStr"/>
      <c r="G3213" s="182" t="n">
        <v>0</v>
      </c>
      <c r="H3213" s="182" t="n">
        <v>0</v>
      </c>
      <c r="I3213" s="182" t="n">
        <v>0</v>
      </c>
      <c r="J3213" s="182" t="n">
        <v>0</v>
      </c>
      <c r="K3213" s="182" t="n">
        <v>12</v>
      </c>
      <c r="L3213" s="182" t="n">
        <v>12</v>
      </c>
      <c r="M3213" s="182" t="n">
        <v>0</v>
      </c>
      <c r="N3213" s="182" t="n">
        <v>0</v>
      </c>
      <c r="O3213" s="183" t="n">
        <v>0</v>
      </c>
      <c r="P3213" s="183" t="n">
        <v>0</v>
      </c>
      <c r="Q3213" s="184" t="n">
        <v>0</v>
      </c>
      <c r="R3213" s="184" t="n">
        <v>0</v>
      </c>
      <c r="S3213" s="183" t="n">
        <v>0</v>
      </c>
      <c r="T3213" s="183" t="n">
        <v>0</v>
      </c>
      <c r="U3213" s="182" t="n">
        <v>0</v>
      </c>
      <c r="V3213" s="182" t="n">
        <v>0</v>
      </c>
      <c r="W3213" s="182" t="n">
        <v>0</v>
      </c>
      <c r="X3213" s="182" t="n">
        <v>1</v>
      </c>
      <c r="Y3213" s="182" t="n">
        <v>0</v>
      </c>
      <c r="Z3213" s="182" t="n">
        <v>0</v>
      </c>
      <c r="AA3213" s="182" t="n">
        <v>0</v>
      </c>
      <c r="AB3213" s="182" t="n">
        <v>0</v>
      </c>
      <c r="AC3213" s="182" t="n">
        <v>0</v>
      </c>
      <c r="AD3213" s="182" t="n">
        <v>0</v>
      </c>
      <c r="AE3213" s="182" t="n">
        <v>0</v>
      </c>
      <c r="AF3213" s="182" t="n">
        <v>0</v>
      </c>
      <c r="AG3213" s="182" t="n">
        <v>0</v>
      </c>
      <c r="AH3213" s="182" t="n">
        <v>0</v>
      </c>
      <c r="AI3213" s="182" t="n">
        <v>0</v>
      </c>
      <c r="AJ3213" s="182" t="n">
        <v>0</v>
      </c>
      <c r="AK3213" s="182" t="n">
        <v>10.92</v>
      </c>
      <c r="AL3213" s="182" t="n">
        <v>0</v>
      </c>
      <c r="AM3213" s="182" t="n">
        <v>0.08</v>
      </c>
      <c r="AN3213" s="182" t="n">
        <v>0</v>
      </c>
    </row>
    <row r="3214">
      <c r="A3214" s="155" t="n">
        <v>46096</v>
      </c>
      <c r="B3214" s="156" t="inlineStr">
        <is>
          <t>NS</t>
        </is>
      </c>
      <c r="C3214" s="156" t="inlineStr">
        <is>
          <t>HT-420</t>
        </is>
      </c>
      <c r="D3214" s="156" t="inlineStr">
        <is>
          <t>SY430</t>
        </is>
      </c>
      <c r="E3214" s="156" t="inlineStr">
        <is>
          <t>DT Hauling</t>
        </is>
      </c>
      <c r="F3214" s="156" t="inlineStr"/>
      <c r="G3214" s="182" t="n">
        <v>0</v>
      </c>
      <c r="H3214" s="182" t="n">
        <v>0</v>
      </c>
      <c r="I3214" s="182" t="n">
        <v>0</v>
      </c>
      <c r="J3214" s="182" t="n">
        <v>0</v>
      </c>
      <c r="K3214" s="182" t="n">
        <v>12</v>
      </c>
      <c r="L3214" s="182" t="n">
        <v>12</v>
      </c>
      <c r="M3214" s="182" t="n">
        <v>0</v>
      </c>
      <c r="N3214" s="182" t="n">
        <v>0</v>
      </c>
      <c r="O3214" s="183" t="n">
        <v>0</v>
      </c>
      <c r="P3214" s="183" t="n">
        <v>0</v>
      </c>
      <c r="Q3214" s="184" t="n">
        <v>0</v>
      </c>
      <c r="R3214" s="184" t="n">
        <v>0</v>
      </c>
      <c r="S3214" s="183" t="n">
        <v>0</v>
      </c>
      <c r="T3214" s="183" t="n">
        <v>0</v>
      </c>
      <c r="U3214" s="182" t="n">
        <v>0</v>
      </c>
      <c r="V3214" s="182" t="n">
        <v>0</v>
      </c>
      <c r="W3214" s="182" t="n">
        <v>0</v>
      </c>
      <c r="X3214" s="182" t="n">
        <v>1</v>
      </c>
      <c r="Y3214" s="182" t="n">
        <v>0</v>
      </c>
      <c r="Z3214" s="182" t="n">
        <v>0</v>
      </c>
      <c r="AA3214" s="182" t="n">
        <v>0</v>
      </c>
      <c r="AB3214" s="182" t="n">
        <v>0</v>
      </c>
      <c r="AC3214" s="182" t="n">
        <v>0</v>
      </c>
      <c r="AD3214" s="182" t="n">
        <v>0</v>
      </c>
      <c r="AE3214" s="182" t="n">
        <v>0</v>
      </c>
      <c r="AF3214" s="182" t="n">
        <v>0</v>
      </c>
      <c r="AG3214" s="182" t="n">
        <v>0</v>
      </c>
      <c r="AH3214" s="182" t="n">
        <v>0</v>
      </c>
      <c r="AI3214" s="182" t="n">
        <v>0</v>
      </c>
      <c r="AJ3214" s="182" t="n">
        <v>0</v>
      </c>
      <c r="AK3214" s="182" t="n">
        <v>10.92</v>
      </c>
      <c r="AL3214" s="182" t="n">
        <v>0</v>
      </c>
      <c r="AM3214" s="182" t="n">
        <v>0.08</v>
      </c>
      <c r="AN3214" s="182" t="n">
        <v>0</v>
      </c>
    </row>
    <row r="3215">
      <c r="A3215" s="155" t="n">
        <v>46096</v>
      </c>
      <c r="B3215" s="156" t="inlineStr">
        <is>
          <t>NS</t>
        </is>
      </c>
      <c r="C3215" s="156" t="inlineStr">
        <is>
          <t>HT-403</t>
        </is>
      </c>
      <c r="D3215" s="156" t="inlineStr">
        <is>
          <t>SY430</t>
        </is>
      </c>
      <c r="E3215" s="156" t="inlineStr">
        <is>
          <t>DT Hauling</t>
        </is>
      </c>
      <c r="F3215" s="156" t="inlineStr"/>
      <c r="G3215" s="182" t="n">
        <v>0</v>
      </c>
      <c r="H3215" s="182" t="n">
        <v>0</v>
      </c>
      <c r="I3215" s="182" t="n">
        <v>0</v>
      </c>
      <c r="J3215" s="182" t="n">
        <v>0</v>
      </c>
      <c r="K3215" s="182" t="n">
        <v>12</v>
      </c>
      <c r="L3215" s="182" t="n">
        <v>12</v>
      </c>
      <c r="M3215" s="182" t="n">
        <v>0</v>
      </c>
      <c r="N3215" s="182" t="n">
        <v>0</v>
      </c>
      <c r="O3215" s="183" t="n">
        <v>0</v>
      </c>
      <c r="P3215" s="183" t="n">
        <v>0</v>
      </c>
      <c r="Q3215" s="184" t="n">
        <v>0</v>
      </c>
      <c r="R3215" s="184" t="n">
        <v>0</v>
      </c>
      <c r="S3215" s="183" t="n">
        <v>0</v>
      </c>
      <c r="T3215" s="183" t="n">
        <v>0</v>
      </c>
      <c r="U3215" s="182" t="n">
        <v>0</v>
      </c>
      <c r="V3215" s="182" t="n">
        <v>0</v>
      </c>
      <c r="W3215" s="182" t="n">
        <v>0</v>
      </c>
      <c r="X3215" s="182" t="n">
        <v>1</v>
      </c>
      <c r="Y3215" s="182" t="n">
        <v>0</v>
      </c>
      <c r="Z3215" s="182" t="n">
        <v>0</v>
      </c>
      <c r="AA3215" s="182" t="n">
        <v>0</v>
      </c>
      <c r="AB3215" s="182" t="n">
        <v>0</v>
      </c>
      <c r="AC3215" s="182" t="n">
        <v>0</v>
      </c>
      <c r="AD3215" s="182" t="n">
        <v>0</v>
      </c>
      <c r="AE3215" s="182" t="n">
        <v>0</v>
      </c>
      <c r="AF3215" s="182" t="n">
        <v>0</v>
      </c>
      <c r="AG3215" s="182" t="n">
        <v>0</v>
      </c>
      <c r="AH3215" s="182" t="n">
        <v>0</v>
      </c>
      <c r="AI3215" s="182" t="n">
        <v>0</v>
      </c>
      <c r="AJ3215" s="182" t="n">
        <v>0</v>
      </c>
      <c r="AK3215" s="182" t="n">
        <v>10.92</v>
      </c>
      <c r="AL3215" s="182" t="n">
        <v>0</v>
      </c>
      <c r="AM3215" s="182" t="n">
        <v>0.08</v>
      </c>
      <c r="AN3215" s="182" t="n">
        <v>0</v>
      </c>
    </row>
    <row r="3216">
      <c r="A3216" s="155" t="n">
        <v>46096</v>
      </c>
      <c r="B3216" s="156" t="inlineStr">
        <is>
          <t>NS</t>
        </is>
      </c>
      <c r="C3216" s="156" t="inlineStr">
        <is>
          <t>HT-408</t>
        </is>
      </c>
      <c r="D3216" s="156" t="inlineStr">
        <is>
          <t>SY430</t>
        </is>
      </c>
      <c r="E3216" s="156" t="inlineStr">
        <is>
          <t>DT Hauling</t>
        </is>
      </c>
      <c r="F3216" s="156" t="inlineStr"/>
      <c r="G3216" s="182" t="n">
        <v>0</v>
      </c>
      <c r="H3216" s="182" t="n">
        <v>0</v>
      </c>
      <c r="I3216" s="182" t="n">
        <v>0</v>
      </c>
      <c r="J3216" s="182" t="n">
        <v>0</v>
      </c>
      <c r="K3216" s="182" t="n">
        <v>12</v>
      </c>
      <c r="L3216" s="182" t="n">
        <v>12</v>
      </c>
      <c r="M3216" s="182" t="n">
        <v>0</v>
      </c>
      <c r="N3216" s="182" t="n">
        <v>0</v>
      </c>
      <c r="O3216" s="183" t="n">
        <v>0</v>
      </c>
      <c r="P3216" s="183" t="n">
        <v>0</v>
      </c>
      <c r="Q3216" s="184" t="n">
        <v>0</v>
      </c>
      <c r="R3216" s="184" t="n">
        <v>0</v>
      </c>
      <c r="S3216" s="183" t="n">
        <v>0</v>
      </c>
      <c r="T3216" s="183" t="n">
        <v>0</v>
      </c>
      <c r="U3216" s="182" t="n">
        <v>0</v>
      </c>
      <c r="V3216" s="182" t="n">
        <v>0</v>
      </c>
      <c r="W3216" s="182" t="n">
        <v>0</v>
      </c>
      <c r="X3216" s="182" t="n">
        <v>1</v>
      </c>
      <c r="Y3216" s="182" t="n">
        <v>0</v>
      </c>
      <c r="Z3216" s="182" t="n">
        <v>0</v>
      </c>
      <c r="AA3216" s="182" t="n">
        <v>0</v>
      </c>
      <c r="AB3216" s="182" t="n">
        <v>0</v>
      </c>
      <c r="AC3216" s="182" t="n">
        <v>0</v>
      </c>
      <c r="AD3216" s="182" t="n">
        <v>0</v>
      </c>
      <c r="AE3216" s="182" t="n">
        <v>0</v>
      </c>
      <c r="AF3216" s="182" t="n">
        <v>0</v>
      </c>
      <c r="AG3216" s="182" t="n">
        <v>0</v>
      </c>
      <c r="AH3216" s="182" t="n">
        <v>0</v>
      </c>
      <c r="AI3216" s="182" t="n">
        <v>0</v>
      </c>
      <c r="AJ3216" s="182" t="n">
        <v>0</v>
      </c>
      <c r="AK3216" s="182" t="n">
        <v>10.92</v>
      </c>
      <c r="AL3216" s="182" t="n">
        <v>0</v>
      </c>
      <c r="AM3216" s="182" t="n">
        <v>0.08</v>
      </c>
      <c r="AN3216" s="182" t="n">
        <v>0</v>
      </c>
    </row>
    <row r="3217">
      <c r="A3217" s="155" t="n">
        <v>46096</v>
      </c>
      <c r="B3217" s="156" t="inlineStr">
        <is>
          <t>NS</t>
        </is>
      </c>
      <c r="C3217" s="156" t="inlineStr">
        <is>
          <t>HT-412</t>
        </is>
      </c>
      <c r="D3217" s="156" t="inlineStr">
        <is>
          <t>SY430</t>
        </is>
      </c>
      <c r="E3217" s="156" t="inlineStr">
        <is>
          <t>DT Hauling</t>
        </is>
      </c>
      <c r="F3217" s="156" t="inlineStr"/>
      <c r="G3217" s="182" t="n">
        <v>0</v>
      </c>
      <c r="H3217" s="182" t="n">
        <v>0</v>
      </c>
      <c r="I3217" s="182" t="n">
        <v>0</v>
      </c>
      <c r="J3217" s="182" t="n">
        <v>0</v>
      </c>
      <c r="K3217" s="182" t="n">
        <v>12</v>
      </c>
      <c r="L3217" s="182" t="n">
        <v>12</v>
      </c>
      <c r="M3217" s="182" t="n">
        <v>0</v>
      </c>
      <c r="N3217" s="182" t="n">
        <v>0</v>
      </c>
      <c r="O3217" s="183" t="n">
        <v>0</v>
      </c>
      <c r="P3217" s="183" t="n">
        <v>0</v>
      </c>
      <c r="Q3217" s="184" t="n">
        <v>0</v>
      </c>
      <c r="R3217" s="184" t="n">
        <v>0</v>
      </c>
      <c r="S3217" s="183" t="n">
        <v>0</v>
      </c>
      <c r="T3217" s="183" t="n">
        <v>0</v>
      </c>
      <c r="U3217" s="182" t="n">
        <v>0</v>
      </c>
      <c r="V3217" s="182" t="n">
        <v>0</v>
      </c>
      <c r="W3217" s="182" t="n">
        <v>0</v>
      </c>
      <c r="X3217" s="182" t="n">
        <v>1</v>
      </c>
      <c r="Y3217" s="182" t="n">
        <v>0</v>
      </c>
      <c r="Z3217" s="182" t="n">
        <v>0</v>
      </c>
      <c r="AA3217" s="182" t="n">
        <v>0</v>
      </c>
      <c r="AB3217" s="182" t="n">
        <v>0</v>
      </c>
      <c r="AC3217" s="182" t="n">
        <v>0</v>
      </c>
      <c r="AD3217" s="182" t="n">
        <v>0</v>
      </c>
      <c r="AE3217" s="182" t="n">
        <v>0</v>
      </c>
      <c r="AF3217" s="182" t="n">
        <v>0</v>
      </c>
      <c r="AG3217" s="182" t="n">
        <v>0</v>
      </c>
      <c r="AH3217" s="182" t="n">
        <v>0</v>
      </c>
      <c r="AI3217" s="182" t="n">
        <v>0</v>
      </c>
      <c r="AJ3217" s="182" t="n">
        <v>0</v>
      </c>
      <c r="AK3217" s="182" t="n">
        <v>10.92</v>
      </c>
      <c r="AL3217" s="182" t="n">
        <v>0</v>
      </c>
      <c r="AM3217" s="182" t="n">
        <v>0.08</v>
      </c>
      <c r="AN3217" s="182" t="n">
        <v>0</v>
      </c>
    </row>
    <row r="3218">
      <c r="A3218" s="155" t="n">
        <v>46096</v>
      </c>
      <c r="B3218" s="156" t="inlineStr">
        <is>
          <t>NS</t>
        </is>
      </c>
      <c r="C3218" s="156" t="inlineStr">
        <is>
          <t>HT-413</t>
        </is>
      </c>
      <c r="D3218" s="156" t="inlineStr">
        <is>
          <t>SY430</t>
        </is>
      </c>
      <c r="E3218" s="156" t="inlineStr">
        <is>
          <t>DT Hauling</t>
        </is>
      </c>
      <c r="F3218" s="156" t="inlineStr"/>
      <c r="G3218" s="182" t="n">
        <v>0</v>
      </c>
      <c r="H3218" s="182" t="n">
        <v>0</v>
      </c>
      <c r="I3218" s="182" t="n">
        <v>12</v>
      </c>
      <c r="J3218" s="182" t="n">
        <v>12</v>
      </c>
      <c r="K3218" s="182" t="n">
        <v>0</v>
      </c>
      <c r="L3218" s="182" t="n">
        <v>12</v>
      </c>
      <c r="M3218" s="182" t="n">
        <v>0</v>
      </c>
      <c r="N3218" s="182" t="n">
        <v>0</v>
      </c>
      <c r="O3218" s="183" t="n">
        <v>0</v>
      </c>
      <c r="P3218" s="183" t="n">
        <v>0</v>
      </c>
      <c r="Q3218" s="184" t="n">
        <v>0</v>
      </c>
      <c r="R3218" s="184" t="n">
        <v>0</v>
      </c>
      <c r="S3218" s="183" t="n">
        <v>0</v>
      </c>
      <c r="T3218" s="183" t="n">
        <v>0</v>
      </c>
      <c r="U3218" s="182" t="n">
        <v>0</v>
      </c>
      <c r="V3218" s="182" t="n">
        <v>0</v>
      </c>
      <c r="W3218" s="182" t="n">
        <v>0</v>
      </c>
      <c r="X3218" s="182" t="n">
        <v>0</v>
      </c>
      <c r="Y3218" s="182" t="n">
        <v>0</v>
      </c>
      <c r="Z3218" s="182" t="n">
        <v>0</v>
      </c>
      <c r="AA3218" s="182" t="n">
        <v>0</v>
      </c>
      <c r="AB3218" s="182" t="n">
        <v>0</v>
      </c>
      <c r="AC3218" s="182" t="n">
        <v>0</v>
      </c>
      <c r="AD3218" s="182" t="n">
        <v>0</v>
      </c>
      <c r="AE3218" s="182" t="n">
        <v>0</v>
      </c>
      <c r="AF3218" s="182" t="n">
        <v>0</v>
      </c>
      <c r="AG3218" s="182" t="n">
        <v>0</v>
      </c>
      <c r="AH3218" s="182" t="n">
        <v>0</v>
      </c>
      <c r="AI3218" s="182" t="n">
        <v>0</v>
      </c>
      <c r="AJ3218" s="182" t="n">
        <v>0</v>
      </c>
      <c r="AK3218" s="182" t="n">
        <v>0</v>
      </c>
      <c r="AL3218" s="182" t="n">
        <v>0</v>
      </c>
      <c r="AM3218" s="182" t="n">
        <v>0</v>
      </c>
      <c r="AN3218" s="182" t="n">
        <v>0</v>
      </c>
    </row>
    <row r="3219">
      <c r="A3219" s="155" t="n">
        <v>46096</v>
      </c>
      <c r="B3219" s="156" t="inlineStr">
        <is>
          <t>NS</t>
        </is>
      </c>
      <c r="C3219" s="156" t="inlineStr">
        <is>
          <t>HT-407</t>
        </is>
      </c>
      <c r="D3219" s="156" t="inlineStr">
        <is>
          <t>SY430</t>
        </is>
      </c>
      <c r="E3219" s="156" t="inlineStr">
        <is>
          <t>DT Hauling</t>
        </is>
      </c>
      <c r="F3219" s="156" t="inlineStr"/>
      <c r="G3219" s="182" t="n">
        <v>0</v>
      </c>
      <c r="H3219" s="182" t="n">
        <v>0</v>
      </c>
      <c r="I3219" s="182" t="n">
        <v>0</v>
      </c>
      <c r="J3219" s="182" t="n">
        <v>0</v>
      </c>
      <c r="K3219" s="182" t="n">
        <v>12</v>
      </c>
      <c r="L3219" s="182" t="n">
        <v>12</v>
      </c>
      <c r="M3219" s="182" t="n">
        <v>0</v>
      </c>
      <c r="N3219" s="182" t="n">
        <v>0</v>
      </c>
      <c r="O3219" s="183" t="n">
        <v>0</v>
      </c>
      <c r="P3219" s="183" t="n">
        <v>0</v>
      </c>
      <c r="Q3219" s="184" t="n">
        <v>0</v>
      </c>
      <c r="R3219" s="184" t="n">
        <v>0</v>
      </c>
      <c r="S3219" s="183" t="n">
        <v>0</v>
      </c>
      <c r="T3219" s="183" t="n">
        <v>0</v>
      </c>
      <c r="U3219" s="182" t="n">
        <v>0</v>
      </c>
      <c r="V3219" s="182" t="n">
        <v>0</v>
      </c>
      <c r="W3219" s="182" t="n">
        <v>0</v>
      </c>
      <c r="X3219" s="182" t="n">
        <v>1</v>
      </c>
      <c r="Y3219" s="182" t="n">
        <v>0</v>
      </c>
      <c r="Z3219" s="182" t="n">
        <v>0</v>
      </c>
      <c r="AA3219" s="182" t="n">
        <v>0</v>
      </c>
      <c r="AB3219" s="182" t="n">
        <v>0</v>
      </c>
      <c r="AC3219" s="182" t="n">
        <v>0</v>
      </c>
      <c r="AD3219" s="182" t="n">
        <v>0</v>
      </c>
      <c r="AE3219" s="182" t="n">
        <v>0</v>
      </c>
      <c r="AF3219" s="182" t="n">
        <v>0</v>
      </c>
      <c r="AG3219" s="182" t="n">
        <v>0</v>
      </c>
      <c r="AH3219" s="182" t="n">
        <v>0</v>
      </c>
      <c r="AI3219" s="182" t="n">
        <v>0</v>
      </c>
      <c r="AJ3219" s="182" t="n">
        <v>0</v>
      </c>
      <c r="AK3219" s="182" t="n">
        <v>10.92</v>
      </c>
      <c r="AL3219" s="182" t="n">
        <v>0</v>
      </c>
      <c r="AM3219" s="182" t="n">
        <v>0.08</v>
      </c>
      <c r="AN3219" s="182" t="n">
        <v>0</v>
      </c>
    </row>
    <row r="3220">
      <c r="A3220" s="155" t="n">
        <v>46096</v>
      </c>
      <c r="B3220" s="156" t="inlineStr">
        <is>
          <t>NS</t>
        </is>
      </c>
      <c r="C3220" s="156" t="inlineStr">
        <is>
          <t>HT-414</t>
        </is>
      </c>
      <c r="D3220" s="156" t="inlineStr">
        <is>
          <t>SY430</t>
        </is>
      </c>
      <c r="E3220" s="156" t="inlineStr">
        <is>
          <t>DT Hauling</t>
        </is>
      </c>
      <c r="F3220" s="156" t="inlineStr"/>
      <c r="G3220" s="182" t="n">
        <v>0</v>
      </c>
      <c r="H3220" s="182" t="n">
        <v>0</v>
      </c>
      <c r="I3220" s="182" t="n">
        <v>0</v>
      </c>
      <c r="J3220" s="182" t="n">
        <v>0</v>
      </c>
      <c r="K3220" s="182" t="n">
        <v>12</v>
      </c>
      <c r="L3220" s="182" t="n">
        <v>12</v>
      </c>
      <c r="M3220" s="182" t="n">
        <v>0</v>
      </c>
      <c r="N3220" s="182" t="n">
        <v>0</v>
      </c>
      <c r="O3220" s="183" t="n">
        <v>0</v>
      </c>
      <c r="P3220" s="183" t="n">
        <v>0</v>
      </c>
      <c r="Q3220" s="184" t="n">
        <v>0</v>
      </c>
      <c r="R3220" s="184" t="n">
        <v>0</v>
      </c>
      <c r="S3220" s="183" t="n">
        <v>0</v>
      </c>
      <c r="T3220" s="183" t="n">
        <v>0</v>
      </c>
      <c r="U3220" s="182" t="n">
        <v>0</v>
      </c>
      <c r="V3220" s="182" t="n">
        <v>0</v>
      </c>
      <c r="W3220" s="182" t="n">
        <v>0</v>
      </c>
      <c r="X3220" s="182" t="n">
        <v>1</v>
      </c>
      <c r="Y3220" s="182" t="n">
        <v>0</v>
      </c>
      <c r="Z3220" s="182" t="n">
        <v>0</v>
      </c>
      <c r="AA3220" s="182" t="n">
        <v>0</v>
      </c>
      <c r="AB3220" s="182" t="n">
        <v>0</v>
      </c>
      <c r="AC3220" s="182" t="n">
        <v>0</v>
      </c>
      <c r="AD3220" s="182" t="n">
        <v>0</v>
      </c>
      <c r="AE3220" s="182" t="n">
        <v>0</v>
      </c>
      <c r="AF3220" s="182" t="n">
        <v>0</v>
      </c>
      <c r="AG3220" s="182" t="n">
        <v>0</v>
      </c>
      <c r="AH3220" s="182" t="n">
        <v>0</v>
      </c>
      <c r="AI3220" s="182" t="n">
        <v>0</v>
      </c>
      <c r="AJ3220" s="182" t="n">
        <v>0</v>
      </c>
      <c r="AK3220" s="182" t="n">
        <v>10.92</v>
      </c>
      <c r="AL3220" s="182" t="n">
        <v>0</v>
      </c>
      <c r="AM3220" s="182" t="n">
        <v>0.08</v>
      </c>
      <c r="AN3220" s="182" t="n">
        <v>0</v>
      </c>
    </row>
    <row r="3221">
      <c r="A3221" s="155" t="n">
        <v>46096</v>
      </c>
      <c r="B3221" s="156" t="inlineStr">
        <is>
          <t>NS</t>
        </is>
      </c>
      <c r="C3221" s="156" t="inlineStr">
        <is>
          <t>HT-411</t>
        </is>
      </c>
      <c r="D3221" s="156" t="inlineStr">
        <is>
          <t>SY430</t>
        </is>
      </c>
      <c r="E3221" s="156" t="inlineStr">
        <is>
          <t>DT Hauling</t>
        </is>
      </c>
      <c r="F3221" s="156" t="inlineStr"/>
      <c r="G3221" s="182" t="n">
        <v>0</v>
      </c>
      <c r="H3221" s="182" t="n">
        <v>0</v>
      </c>
      <c r="I3221" s="182" t="n">
        <v>0</v>
      </c>
      <c r="J3221" s="182" t="n">
        <v>0</v>
      </c>
      <c r="K3221" s="182" t="n">
        <v>12</v>
      </c>
      <c r="L3221" s="182" t="n">
        <v>12</v>
      </c>
      <c r="M3221" s="182" t="n">
        <v>0</v>
      </c>
      <c r="N3221" s="182" t="n">
        <v>0</v>
      </c>
      <c r="O3221" s="183" t="n">
        <v>0</v>
      </c>
      <c r="P3221" s="183" t="n">
        <v>0</v>
      </c>
      <c r="Q3221" s="184" t="n">
        <v>0</v>
      </c>
      <c r="R3221" s="184" t="n">
        <v>0</v>
      </c>
      <c r="S3221" s="183" t="n">
        <v>0</v>
      </c>
      <c r="T3221" s="183" t="n">
        <v>0</v>
      </c>
      <c r="U3221" s="182" t="n">
        <v>0</v>
      </c>
      <c r="V3221" s="182" t="n">
        <v>0</v>
      </c>
      <c r="W3221" s="182" t="n">
        <v>0</v>
      </c>
      <c r="X3221" s="182" t="n">
        <v>1</v>
      </c>
      <c r="Y3221" s="182" t="n">
        <v>0</v>
      </c>
      <c r="Z3221" s="182" t="n">
        <v>0</v>
      </c>
      <c r="AA3221" s="182" t="n">
        <v>0</v>
      </c>
      <c r="AB3221" s="182" t="n">
        <v>0</v>
      </c>
      <c r="AC3221" s="182" t="n">
        <v>0</v>
      </c>
      <c r="AD3221" s="182" t="n">
        <v>0</v>
      </c>
      <c r="AE3221" s="182" t="n">
        <v>0</v>
      </c>
      <c r="AF3221" s="182" t="n">
        <v>0</v>
      </c>
      <c r="AG3221" s="182" t="n">
        <v>0</v>
      </c>
      <c r="AH3221" s="182" t="n">
        <v>0</v>
      </c>
      <c r="AI3221" s="182" t="n">
        <v>0</v>
      </c>
      <c r="AJ3221" s="182" t="n">
        <v>0</v>
      </c>
      <c r="AK3221" s="182" t="n">
        <v>10.92</v>
      </c>
      <c r="AL3221" s="182" t="n">
        <v>0</v>
      </c>
      <c r="AM3221" s="182" t="n">
        <v>0.08</v>
      </c>
      <c r="AN3221" s="182" t="n">
        <v>0</v>
      </c>
    </row>
    <row r="3222">
      <c r="A3222" s="155" t="n">
        <v>46096</v>
      </c>
      <c r="B3222" s="156" t="inlineStr">
        <is>
          <t>NS</t>
        </is>
      </c>
      <c r="C3222" s="156" t="inlineStr">
        <is>
          <t>HT-409</t>
        </is>
      </c>
      <c r="D3222" s="156" t="inlineStr">
        <is>
          <t>SY430</t>
        </is>
      </c>
      <c r="E3222" s="156" t="inlineStr">
        <is>
          <t>DT Hauling</t>
        </is>
      </c>
      <c r="F3222" s="156" t="inlineStr"/>
      <c r="G3222" s="182" t="n">
        <v>0</v>
      </c>
      <c r="H3222" s="182" t="n">
        <v>0</v>
      </c>
      <c r="I3222" s="182" t="n">
        <v>0</v>
      </c>
      <c r="J3222" s="182" t="n">
        <v>0</v>
      </c>
      <c r="K3222" s="182" t="n">
        <v>12</v>
      </c>
      <c r="L3222" s="182" t="n">
        <v>12</v>
      </c>
      <c r="M3222" s="182" t="n">
        <v>0</v>
      </c>
      <c r="N3222" s="182" t="n">
        <v>0</v>
      </c>
      <c r="O3222" s="183" t="n">
        <v>0</v>
      </c>
      <c r="P3222" s="183" t="n">
        <v>0</v>
      </c>
      <c r="Q3222" s="184" t="n">
        <v>0</v>
      </c>
      <c r="R3222" s="184" t="n">
        <v>0</v>
      </c>
      <c r="S3222" s="183" t="n">
        <v>0</v>
      </c>
      <c r="T3222" s="183" t="n">
        <v>0</v>
      </c>
      <c r="U3222" s="182" t="n">
        <v>0</v>
      </c>
      <c r="V3222" s="182" t="n">
        <v>0</v>
      </c>
      <c r="W3222" s="182" t="n">
        <v>0</v>
      </c>
      <c r="X3222" s="182" t="n">
        <v>1</v>
      </c>
      <c r="Y3222" s="182" t="n">
        <v>0</v>
      </c>
      <c r="Z3222" s="182" t="n">
        <v>0</v>
      </c>
      <c r="AA3222" s="182" t="n">
        <v>0</v>
      </c>
      <c r="AB3222" s="182" t="n">
        <v>0</v>
      </c>
      <c r="AC3222" s="182" t="n">
        <v>0</v>
      </c>
      <c r="AD3222" s="182" t="n">
        <v>0</v>
      </c>
      <c r="AE3222" s="182" t="n">
        <v>0</v>
      </c>
      <c r="AF3222" s="182" t="n">
        <v>0</v>
      </c>
      <c r="AG3222" s="182" t="n">
        <v>0</v>
      </c>
      <c r="AH3222" s="182" t="n">
        <v>0</v>
      </c>
      <c r="AI3222" s="182" t="n">
        <v>0</v>
      </c>
      <c r="AJ3222" s="182" t="n">
        <v>0</v>
      </c>
      <c r="AK3222" s="182" t="n">
        <v>10.92</v>
      </c>
      <c r="AL3222" s="182" t="n">
        <v>0</v>
      </c>
      <c r="AM3222" s="182" t="n">
        <v>0.08</v>
      </c>
      <c r="AN3222" s="182" t="n">
        <v>0</v>
      </c>
    </row>
    <row r="3223">
      <c r="A3223" s="155" t="n">
        <v>46096</v>
      </c>
      <c r="B3223" s="156" t="inlineStr">
        <is>
          <t>NS</t>
        </is>
      </c>
      <c r="C3223" s="156" t="inlineStr">
        <is>
          <t>DH-103</t>
        </is>
      </c>
      <c r="D3223" s="156" t="inlineStr">
        <is>
          <t>HINO FM260</t>
        </is>
      </c>
      <c r="E3223" s="156" t="inlineStr">
        <is>
          <t>DT Hino</t>
        </is>
      </c>
      <c r="F3223" s="156" t="inlineStr"/>
      <c r="G3223" s="182" t="n">
        <v>0</v>
      </c>
      <c r="H3223" s="182" t="n">
        <v>0</v>
      </c>
      <c r="I3223" s="182" t="n">
        <v>12</v>
      </c>
      <c r="J3223" s="182" t="n">
        <v>12</v>
      </c>
      <c r="K3223" s="182" t="n">
        <v>0</v>
      </c>
      <c r="L3223" s="182" t="n">
        <v>12</v>
      </c>
      <c r="M3223" s="182" t="n">
        <v>0</v>
      </c>
      <c r="N3223" s="182" t="n">
        <v>0</v>
      </c>
      <c r="O3223" s="183" t="n">
        <v>0</v>
      </c>
      <c r="P3223" s="183" t="n">
        <v>0</v>
      </c>
      <c r="Q3223" s="184" t="n">
        <v>0</v>
      </c>
      <c r="R3223" s="184" t="n">
        <v>0</v>
      </c>
      <c r="S3223" s="183" t="n">
        <v>0</v>
      </c>
      <c r="T3223" s="183" t="n">
        <v>0</v>
      </c>
      <c r="U3223" s="182" t="n">
        <v>0</v>
      </c>
      <c r="V3223" s="182" t="n">
        <v>0</v>
      </c>
      <c r="W3223" s="182" t="n">
        <v>0</v>
      </c>
      <c r="X3223" s="182" t="n">
        <v>0</v>
      </c>
      <c r="Y3223" s="182" t="n">
        <v>0</v>
      </c>
      <c r="Z3223" s="182" t="n">
        <v>0</v>
      </c>
      <c r="AA3223" s="182" t="n">
        <v>0</v>
      </c>
      <c r="AB3223" s="182" t="n">
        <v>0</v>
      </c>
      <c r="AC3223" s="182" t="n">
        <v>0</v>
      </c>
      <c r="AD3223" s="182" t="n">
        <v>0</v>
      </c>
      <c r="AE3223" s="182" t="n">
        <v>0</v>
      </c>
      <c r="AF3223" s="182" t="n">
        <v>0</v>
      </c>
      <c r="AG3223" s="182" t="n">
        <v>0</v>
      </c>
      <c r="AH3223" s="182" t="n">
        <v>0</v>
      </c>
      <c r="AI3223" s="182" t="n">
        <v>0</v>
      </c>
      <c r="AJ3223" s="182" t="n">
        <v>0</v>
      </c>
      <c r="AK3223" s="182" t="n">
        <v>0</v>
      </c>
      <c r="AL3223" s="182" t="n">
        <v>0</v>
      </c>
      <c r="AM3223" s="182" t="n">
        <v>0</v>
      </c>
      <c r="AN3223" s="182" t="n">
        <v>0</v>
      </c>
    </row>
    <row r="3224">
      <c r="A3224" s="155" t="n">
        <v>46096</v>
      </c>
      <c r="B3224" s="156" t="inlineStr">
        <is>
          <t>NS</t>
        </is>
      </c>
      <c r="C3224" s="156" t="inlineStr">
        <is>
          <t>DH-102</t>
        </is>
      </c>
      <c r="D3224" s="156" t="inlineStr">
        <is>
          <t>HINO FM260</t>
        </is>
      </c>
      <c r="E3224" s="156" t="inlineStr">
        <is>
          <t>DT Hino</t>
        </is>
      </c>
      <c r="F3224" s="156" t="inlineStr"/>
      <c r="G3224" s="182" t="n">
        <v>0</v>
      </c>
      <c r="H3224" s="182" t="n">
        <v>0</v>
      </c>
      <c r="I3224" s="182" t="n">
        <v>0</v>
      </c>
      <c r="J3224" s="182" t="n">
        <v>0</v>
      </c>
      <c r="K3224" s="182" t="n">
        <v>12</v>
      </c>
      <c r="L3224" s="182" t="n">
        <v>12</v>
      </c>
      <c r="M3224" s="182" t="n">
        <v>0</v>
      </c>
      <c r="N3224" s="182" t="n">
        <v>0</v>
      </c>
      <c r="O3224" s="183" t="n">
        <v>0</v>
      </c>
      <c r="P3224" s="183" t="n">
        <v>0</v>
      </c>
      <c r="Q3224" s="184" t="n">
        <v>0</v>
      </c>
      <c r="R3224" s="184" t="n">
        <v>0</v>
      </c>
      <c r="S3224" s="183" t="n">
        <v>0</v>
      </c>
      <c r="T3224" s="183" t="n">
        <v>0</v>
      </c>
      <c r="U3224" s="182" t="n">
        <v>0</v>
      </c>
      <c r="V3224" s="182" t="n">
        <v>0</v>
      </c>
      <c r="W3224" s="182" t="n">
        <v>0</v>
      </c>
      <c r="X3224" s="182" t="n">
        <v>1</v>
      </c>
      <c r="Y3224" s="182" t="n">
        <v>0</v>
      </c>
      <c r="Z3224" s="182" t="n">
        <v>0</v>
      </c>
      <c r="AA3224" s="182" t="n">
        <v>0</v>
      </c>
      <c r="AB3224" s="182" t="n">
        <v>0</v>
      </c>
      <c r="AC3224" s="182" t="n">
        <v>0</v>
      </c>
      <c r="AD3224" s="182" t="n">
        <v>0</v>
      </c>
      <c r="AE3224" s="182" t="n">
        <v>0</v>
      </c>
      <c r="AF3224" s="182" t="n">
        <v>0</v>
      </c>
      <c r="AG3224" s="182" t="n">
        <v>0</v>
      </c>
      <c r="AH3224" s="182" t="n">
        <v>0</v>
      </c>
      <c r="AI3224" s="182" t="n">
        <v>0</v>
      </c>
      <c r="AJ3224" s="182" t="n">
        <v>0</v>
      </c>
      <c r="AK3224" s="182" t="n">
        <v>10.92</v>
      </c>
      <c r="AL3224" s="182" t="n">
        <v>0</v>
      </c>
      <c r="AM3224" s="182" t="n">
        <v>0.08</v>
      </c>
      <c r="AN3224" s="182" t="n">
        <v>0</v>
      </c>
    </row>
    <row r="3225">
      <c r="A3225" s="155" t="n">
        <v>46096</v>
      </c>
      <c r="B3225" s="156" t="inlineStr">
        <is>
          <t>NS</t>
        </is>
      </c>
      <c r="C3225" s="156" t="inlineStr">
        <is>
          <t>DH-101</t>
        </is>
      </c>
      <c r="D3225" s="156" t="inlineStr">
        <is>
          <t>HINO FM260</t>
        </is>
      </c>
      <c r="E3225" s="156" t="inlineStr">
        <is>
          <t>DT Hino</t>
        </is>
      </c>
      <c r="F3225" s="156" t="inlineStr"/>
      <c r="G3225" s="182" t="n">
        <v>0</v>
      </c>
      <c r="H3225" s="182" t="n">
        <v>0</v>
      </c>
      <c r="I3225" s="182" t="n">
        <v>0</v>
      </c>
      <c r="J3225" s="182" t="n">
        <v>0</v>
      </c>
      <c r="K3225" s="182" t="n">
        <v>12</v>
      </c>
      <c r="L3225" s="182" t="n">
        <v>12</v>
      </c>
      <c r="M3225" s="182" t="n">
        <v>0</v>
      </c>
      <c r="N3225" s="182" t="n">
        <v>0</v>
      </c>
      <c r="O3225" s="183" t="n">
        <v>0</v>
      </c>
      <c r="P3225" s="183" t="n">
        <v>0</v>
      </c>
      <c r="Q3225" s="184" t="n">
        <v>0</v>
      </c>
      <c r="R3225" s="184" t="n">
        <v>0</v>
      </c>
      <c r="S3225" s="183" t="n">
        <v>0</v>
      </c>
      <c r="T3225" s="183" t="n">
        <v>0</v>
      </c>
      <c r="U3225" s="182" t="n">
        <v>0</v>
      </c>
      <c r="V3225" s="182" t="n">
        <v>0</v>
      </c>
      <c r="W3225" s="182" t="n">
        <v>0</v>
      </c>
      <c r="X3225" s="182" t="n">
        <v>1</v>
      </c>
      <c r="Y3225" s="182" t="n">
        <v>0</v>
      </c>
      <c r="Z3225" s="182" t="n">
        <v>0</v>
      </c>
      <c r="AA3225" s="182" t="n">
        <v>0</v>
      </c>
      <c r="AB3225" s="182" t="n">
        <v>0</v>
      </c>
      <c r="AC3225" s="182" t="n">
        <v>0</v>
      </c>
      <c r="AD3225" s="182" t="n">
        <v>0</v>
      </c>
      <c r="AE3225" s="182" t="n">
        <v>0</v>
      </c>
      <c r="AF3225" s="182" t="n">
        <v>0</v>
      </c>
      <c r="AG3225" s="182" t="n">
        <v>0</v>
      </c>
      <c r="AH3225" s="182" t="n">
        <v>0</v>
      </c>
      <c r="AI3225" s="182" t="n">
        <v>0</v>
      </c>
      <c r="AJ3225" s="182" t="n">
        <v>0</v>
      </c>
      <c r="AK3225" s="182" t="n">
        <v>10.92</v>
      </c>
      <c r="AL3225" s="182" t="n">
        <v>0</v>
      </c>
      <c r="AM3225" s="182" t="n">
        <v>0.08</v>
      </c>
      <c r="AN3225" s="182" t="n">
        <v>0</v>
      </c>
    </row>
    <row r="3226">
      <c r="A3226" s="155" t="n">
        <v>46096</v>
      </c>
      <c r="B3226" s="156" t="inlineStr">
        <is>
          <t>NS</t>
        </is>
      </c>
      <c r="C3226" s="156" t="inlineStr">
        <is>
          <t>EX-1251</t>
        </is>
      </c>
      <c r="D3226" s="156" t="inlineStr">
        <is>
          <t>SY1250</t>
        </is>
      </c>
      <c r="E3226" s="156" t="inlineStr">
        <is>
          <t>Excavator</t>
        </is>
      </c>
      <c r="F3226" s="156" t="inlineStr">
        <is>
          <t>Loading OB</t>
        </is>
      </c>
      <c r="G3226" s="182" t="n">
        <v>6.65</v>
      </c>
      <c r="H3226" s="182" t="n">
        <v>0</v>
      </c>
      <c r="I3226" s="182" t="n">
        <v>0</v>
      </c>
      <c r="J3226" s="182" t="n">
        <v>0</v>
      </c>
      <c r="K3226" s="182" t="n">
        <v>5.35</v>
      </c>
      <c r="L3226" s="182" t="n">
        <v>12</v>
      </c>
      <c r="M3226" s="182" t="n">
        <v>6.27</v>
      </c>
      <c r="N3226" s="182" t="n">
        <v>0</v>
      </c>
      <c r="O3226" s="183" t="n">
        <v>96</v>
      </c>
      <c r="P3226" s="183" t="n">
        <v>0</v>
      </c>
      <c r="Q3226" s="184" t="n">
        <v>1958.4</v>
      </c>
      <c r="R3226" s="184" t="n">
        <v>0</v>
      </c>
      <c r="S3226" s="183" t="n">
        <v>0</v>
      </c>
      <c r="T3226" s="183" t="n">
        <v>0</v>
      </c>
      <c r="U3226" s="182" t="n">
        <v>4.27</v>
      </c>
      <c r="V3226" s="182" t="n">
        <v>0</v>
      </c>
      <c r="W3226" s="182" t="n">
        <v>0</v>
      </c>
      <c r="X3226" s="182" t="n">
        <v>1</v>
      </c>
      <c r="Y3226" s="182" t="n">
        <v>0</v>
      </c>
      <c r="Z3226" s="182" t="n">
        <v>0</v>
      </c>
      <c r="AA3226" s="182" t="n">
        <v>0</v>
      </c>
      <c r="AB3226" s="182" t="n">
        <v>0</v>
      </c>
      <c r="AC3226" s="182" t="n">
        <v>0</v>
      </c>
      <c r="AD3226" s="182" t="n">
        <v>0</v>
      </c>
      <c r="AE3226" s="182" t="n">
        <v>0</v>
      </c>
      <c r="AF3226" s="182" t="n">
        <v>0</v>
      </c>
      <c r="AG3226" s="182" t="n">
        <v>0</v>
      </c>
      <c r="AH3226" s="182" t="n">
        <v>0</v>
      </c>
      <c r="AI3226" s="182" t="n">
        <v>0</v>
      </c>
      <c r="AJ3226" s="182" t="n">
        <v>0</v>
      </c>
      <c r="AK3226" s="182" t="n">
        <v>0</v>
      </c>
      <c r="AL3226" s="182" t="n">
        <v>0</v>
      </c>
      <c r="AM3226" s="182" t="n">
        <v>0.08</v>
      </c>
      <c r="AN3226" s="182" t="n">
        <v>0</v>
      </c>
    </row>
    <row r="3227">
      <c r="A3227" s="155" t="n">
        <v>46096</v>
      </c>
      <c r="B3227" s="156" t="inlineStr">
        <is>
          <t>NS</t>
        </is>
      </c>
      <c r="C3227" s="156" t="inlineStr">
        <is>
          <t>EX-1252</t>
        </is>
      </c>
      <c r="D3227" s="156" t="inlineStr">
        <is>
          <t>SY1250</t>
        </is>
      </c>
      <c r="E3227" s="156" t="inlineStr">
        <is>
          <t>Excavator</t>
        </is>
      </c>
      <c r="F3227" s="156" t="inlineStr">
        <is>
          <t>Loading OB</t>
        </is>
      </c>
      <c r="G3227" s="182" t="n">
        <v>4.11</v>
      </c>
      <c r="H3227" s="182" t="n">
        <v>0</v>
      </c>
      <c r="I3227" s="182" t="n">
        <v>0</v>
      </c>
      <c r="J3227" s="182" t="n">
        <v>0</v>
      </c>
      <c r="K3227" s="182" t="n">
        <v>7.89</v>
      </c>
      <c r="L3227" s="182" t="n">
        <v>12</v>
      </c>
      <c r="M3227" s="182" t="n">
        <v>3.95</v>
      </c>
      <c r="N3227" s="182" t="n">
        <v>0</v>
      </c>
      <c r="O3227" s="183" t="n">
        <v>52</v>
      </c>
      <c r="P3227" s="183" t="n">
        <v>0</v>
      </c>
      <c r="Q3227" s="184" t="n">
        <v>1856.4</v>
      </c>
      <c r="R3227" s="184" t="n">
        <v>0</v>
      </c>
      <c r="S3227" s="183" t="n">
        <v>0</v>
      </c>
      <c r="T3227" s="183" t="n">
        <v>0</v>
      </c>
      <c r="U3227" s="182" t="n">
        <v>4.73</v>
      </c>
      <c r="V3227" s="182" t="n">
        <v>0</v>
      </c>
      <c r="W3227" s="182" t="n">
        <v>0</v>
      </c>
      <c r="X3227" s="182" t="n">
        <v>1.05</v>
      </c>
      <c r="Y3227" s="182" t="n">
        <v>0</v>
      </c>
      <c r="Z3227" s="182" t="n">
        <v>0</v>
      </c>
      <c r="AA3227" s="182" t="n">
        <v>0</v>
      </c>
      <c r="AB3227" s="182" t="n">
        <v>0</v>
      </c>
      <c r="AC3227" s="182" t="n">
        <v>0</v>
      </c>
      <c r="AD3227" s="182" t="n">
        <v>2.02</v>
      </c>
      <c r="AE3227" s="182" t="n">
        <v>0</v>
      </c>
      <c r="AF3227" s="182" t="n">
        <v>0</v>
      </c>
      <c r="AG3227" s="182" t="n">
        <v>0</v>
      </c>
      <c r="AH3227" s="182" t="n">
        <v>0</v>
      </c>
      <c r="AI3227" s="182" t="n">
        <v>0</v>
      </c>
      <c r="AJ3227" s="182" t="n">
        <v>0</v>
      </c>
      <c r="AK3227" s="182" t="n">
        <v>0</v>
      </c>
      <c r="AL3227" s="182" t="n">
        <v>0</v>
      </c>
      <c r="AM3227" s="182" t="n">
        <v>0.08</v>
      </c>
      <c r="AN3227" s="182" t="n">
        <v>0</v>
      </c>
    </row>
    <row r="3228">
      <c r="A3228" s="155" t="n">
        <v>46096</v>
      </c>
      <c r="B3228" s="156" t="inlineStr">
        <is>
          <t>NS</t>
        </is>
      </c>
      <c r="C3228" s="156" t="inlineStr">
        <is>
          <t>EX-2101</t>
        </is>
      </c>
      <c r="D3228" s="156" t="inlineStr">
        <is>
          <t>SY2000</t>
        </is>
      </c>
      <c r="E3228" s="156" t="inlineStr">
        <is>
          <t>Excavator</t>
        </is>
      </c>
      <c r="F3228" s="156" t="inlineStr"/>
      <c r="G3228" s="182" t="n">
        <v>0</v>
      </c>
      <c r="H3228" s="182" t="n">
        <v>0</v>
      </c>
      <c r="I3228" s="182" t="n">
        <v>12</v>
      </c>
      <c r="J3228" s="182" t="n">
        <v>12</v>
      </c>
      <c r="K3228" s="182" t="n">
        <v>0</v>
      </c>
      <c r="L3228" s="182" t="n">
        <v>12</v>
      </c>
      <c r="M3228" s="182" t="n">
        <v>0</v>
      </c>
      <c r="N3228" s="182" t="n">
        <v>0</v>
      </c>
      <c r="O3228" s="183" t="n">
        <v>0</v>
      </c>
      <c r="P3228" s="183" t="n">
        <v>0</v>
      </c>
      <c r="Q3228" s="184" t="n">
        <v>0</v>
      </c>
      <c r="R3228" s="184" t="n">
        <v>0</v>
      </c>
      <c r="S3228" s="183" t="n">
        <v>0</v>
      </c>
      <c r="T3228" s="183" t="n">
        <v>0</v>
      </c>
      <c r="U3228" s="182" t="n">
        <v>0</v>
      </c>
      <c r="V3228" s="182" t="n">
        <v>0</v>
      </c>
      <c r="W3228" s="182" t="n">
        <v>0</v>
      </c>
      <c r="X3228" s="182" t="n">
        <v>0</v>
      </c>
      <c r="Y3228" s="182" t="n">
        <v>0</v>
      </c>
      <c r="Z3228" s="182" t="n">
        <v>0</v>
      </c>
      <c r="AA3228" s="182" t="n">
        <v>0</v>
      </c>
      <c r="AB3228" s="182" t="n">
        <v>0</v>
      </c>
      <c r="AC3228" s="182" t="n">
        <v>0</v>
      </c>
      <c r="AD3228" s="182" t="n">
        <v>0</v>
      </c>
      <c r="AE3228" s="182" t="n">
        <v>0</v>
      </c>
      <c r="AF3228" s="182" t="n">
        <v>0</v>
      </c>
      <c r="AG3228" s="182" t="n">
        <v>0</v>
      </c>
      <c r="AH3228" s="182" t="n">
        <v>0</v>
      </c>
      <c r="AI3228" s="182" t="n">
        <v>0</v>
      </c>
      <c r="AJ3228" s="182" t="n">
        <v>0</v>
      </c>
      <c r="AK3228" s="182" t="n">
        <v>0</v>
      </c>
      <c r="AL3228" s="182" t="n">
        <v>0</v>
      </c>
      <c r="AM3228" s="182" t="n">
        <v>0</v>
      </c>
      <c r="AN3228" s="182" t="n">
        <v>0</v>
      </c>
    </row>
    <row r="3229">
      <c r="A3229" s="155" t="n">
        <v>46096</v>
      </c>
      <c r="B3229" s="156" t="inlineStr">
        <is>
          <t>NS</t>
        </is>
      </c>
      <c r="C3229" s="156" t="inlineStr">
        <is>
          <t>EX-222</t>
        </is>
      </c>
      <c r="D3229" s="156" t="inlineStr">
        <is>
          <t>PC 200-8MI</t>
        </is>
      </c>
      <c r="E3229" s="156" t="inlineStr">
        <is>
          <t>Excavator</t>
        </is>
      </c>
      <c r="F3229" s="156" t="inlineStr">
        <is>
          <t>Support Washing Plant</t>
        </is>
      </c>
      <c r="G3229" s="182" t="n">
        <v>11.44</v>
      </c>
      <c r="H3229" s="182" t="n">
        <v>0</v>
      </c>
      <c r="I3229" s="182" t="n">
        <v>0.42</v>
      </c>
      <c r="J3229" s="182" t="n">
        <v>0.42</v>
      </c>
      <c r="K3229" s="182" t="n">
        <v>0.14</v>
      </c>
      <c r="L3229" s="182" t="n">
        <v>12</v>
      </c>
      <c r="M3229" s="182" t="n">
        <v>0</v>
      </c>
      <c r="N3229" s="182" t="n">
        <v>0</v>
      </c>
      <c r="O3229" s="183" t="n">
        <v>0</v>
      </c>
      <c r="P3229" s="183" t="n">
        <v>0</v>
      </c>
      <c r="Q3229" s="184" t="n">
        <v>0</v>
      </c>
      <c r="R3229" s="184" t="n">
        <v>0</v>
      </c>
      <c r="S3229" s="183" t="n">
        <v>0</v>
      </c>
      <c r="T3229" s="183" t="n">
        <v>0</v>
      </c>
      <c r="U3229" s="182" t="n">
        <v>0</v>
      </c>
      <c r="V3229" s="182" t="n">
        <v>0</v>
      </c>
      <c r="W3229" s="182" t="n">
        <v>0</v>
      </c>
      <c r="X3229" s="182" t="n">
        <v>0</v>
      </c>
      <c r="Y3229" s="182" t="n">
        <v>0</v>
      </c>
      <c r="Z3229" s="182" t="n">
        <v>0</v>
      </c>
      <c r="AA3229" s="182" t="n">
        <v>0</v>
      </c>
      <c r="AB3229" s="182" t="n">
        <v>0</v>
      </c>
      <c r="AC3229" s="182" t="n">
        <v>0</v>
      </c>
      <c r="AD3229" s="182" t="n">
        <v>0</v>
      </c>
      <c r="AE3229" s="182" t="n">
        <v>0</v>
      </c>
      <c r="AF3229" s="182" t="n">
        <v>0</v>
      </c>
      <c r="AG3229" s="182" t="n">
        <v>0</v>
      </c>
      <c r="AH3229" s="182" t="n">
        <v>0</v>
      </c>
      <c r="AI3229" s="182" t="n">
        <v>0</v>
      </c>
      <c r="AJ3229" s="182" t="n">
        <v>0</v>
      </c>
      <c r="AK3229" s="182" t="n">
        <v>0</v>
      </c>
      <c r="AL3229" s="182" t="n">
        <v>0</v>
      </c>
      <c r="AM3229" s="182" t="n">
        <v>0.14</v>
      </c>
      <c r="AN3229" s="182" t="n">
        <v>0</v>
      </c>
    </row>
    <row r="3230">
      <c r="A3230" s="155" t="n">
        <v>46096</v>
      </c>
      <c r="B3230" s="156" t="inlineStr">
        <is>
          <t>NS</t>
        </is>
      </c>
      <c r="C3230" s="156" t="inlineStr">
        <is>
          <t>EX-225</t>
        </is>
      </c>
      <c r="D3230" s="156" t="inlineStr">
        <is>
          <t>PC 200-8</t>
        </is>
      </c>
      <c r="E3230" s="156" t="inlineStr">
        <is>
          <t>Excavator</t>
        </is>
      </c>
      <c r="F3230" s="156" t="inlineStr"/>
      <c r="G3230" s="182" t="n">
        <v>0</v>
      </c>
      <c r="H3230" s="182" t="n">
        <v>0</v>
      </c>
      <c r="I3230" s="182" t="n">
        <v>12</v>
      </c>
      <c r="J3230" s="182" t="n">
        <v>12</v>
      </c>
      <c r="K3230" s="182" t="n">
        <v>0</v>
      </c>
      <c r="L3230" s="182" t="n">
        <v>12</v>
      </c>
      <c r="M3230" s="182" t="n">
        <v>0</v>
      </c>
      <c r="N3230" s="182" t="n">
        <v>0</v>
      </c>
      <c r="O3230" s="183" t="n">
        <v>0</v>
      </c>
      <c r="P3230" s="183" t="n">
        <v>0</v>
      </c>
      <c r="Q3230" s="184" t="n">
        <v>0</v>
      </c>
      <c r="R3230" s="184" t="n">
        <v>0</v>
      </c>
      <c r="S3230" s="183" t="n">
        <v>0</v>
      </c>
      <c r="T3230" s="183" t="n">
        <v>0</v>
      </c>
      <c r="U3230" s="182" t="n">
        <v>0</v>
      </c>
      <c r="V3230" s="182" t="n">
        <v>0</v>
      </c>
      <c r="W3230" s="182" t="n">
        <v>0</v>
      </c>
      <c r="X3230" s="182" t="n">
        <v>0</v>
      </c>
      <c r="Y3230" s="182" t="n">
        <v>0</v>
      </c>
      <c r="Z3230" s="182" t="n">
        <v>0</v>
      </c>
      <c r="AA3230" s="182" t="n">
        <v>0</v>
      </c>
      <c r="AB3230" s="182" t="n">
        <v>0</v>
      </c>
      <c r="AC3230" s="182" t="n">
        <v>0</v>
      </c>
      <c r="AD3230" s="182" t="n">
        <v>0</v>
      </c>
      <c r="AE3230" s="182" t="n">
        <v>0</v>
      </c>
      <c r="AF3230" s="182" t="n">
        <v>0</v>
      </c>
      <c r="AG3230" s="182" t="n">
        <v>0</v>
      </c>
      <c r="AH3230" s="182" t="n">
        <v>0</v>
      </c>
      <c r="AI3230" s="182" t="n">
        <v>0</v>
      </c>
      <c r="AJ3230" s="182" t="n">
        <v>0</v>
      </c>
      <c r="AK3230" s="182" t="n">
        <v>0</v>
      </c>
      <c r="AL3230" s="182" t="n">
        <v>0</v>
      </c>
      <c r="AM3230" s="182" t="n">
        <v>0</v>
      </c>
      <c r="AN3230" s="182" t="n">
        <v>0</v>
      </c>
    </row>
    <row r="3231">
      <c r="A3231" s="155" t="n">
        <v>46096</v>
      </c>
      <c r="B3231" s="156" t="inlineStr">
        <is>
          <t>NS</t>
        </is>
      </c>
      <c r="C3231" s="156" t="inlineStr">
        <is>
          <t>EX-223</t>
        </is>
      </c>
      <c r="D3231" s="156" t="inlineStr">
        <is>
          <t>PC 200-8MI</t>
        </is>
      </c>
      <c r="E3231" s="156" t="inlineStr">
        <is>
          <t>Excavator</t>
        </is>
      </c>
      <c r="F3231" s="156" t="inlineStr">
        <is>
          <t>Support Washing Plant</t>
        </is>
      </c>
      <c r="G3231" s="182" t="n">
        <v>10.23</v>
      </c>
      <c r="H3231" s="182" t="n">
        <v>0</v>
      </c>
      <c r="I3231" s="182" t="n">
        <v>0</v>
      </c>
      <c r="J3231" s="182" t="n">
        <v>0</v>
      </c>
      <c r="K3231" s="182" t="n">
        <v>1.77</v>
      </c>
      <c r="L3231" s="182" t="n">
        <v>12</v>
      </c>
      <c r="M3231" s="182" t="n">
        <v>0</v>
      </c>
      <c r="N3231" s="182" t="n">
        <v>0</v>
      </c>
      <c r="O3231" s="183" t="n">
        <v>0</v>
      </c>
      <c r="P3231" s="183" t="n">
        <v>0</v>
      </c>
      <c r="Q3231" s="184" t="n">
        <v>0</v>
      </c>
      <c r="R3231" s="184" t="n">
        <v>0</v>
      </c>
      <c r="S3231" s="183" t="n">
        <v>0</v>
      </c>
      <c r="T3231" s="183" t="n">
        <v>0</v>
      </c>
      <c r="U3231" s="182" t="n">
        <v>0.71</v>
      </c>
      <c r="V3231" s="182" t="n">
        <v>0</v>
      </c>
      <c r="W3231" s="182" t="n">
        <v>0</v>
      </c>
      <c r="X3231" s="182" t="n">
        <v>0.98</v>
      </c>
      <c r="Y3231" s="182" t="n">
        <v>0</v>
      </c>
      <c r="Z3231" s="182" t="n">
        <v>0</v>
      </c>
      <c r="AA3231" s="182" t="n">
        <v>0</v>
      </c>
      <c r="AB3231" s="182" t="n">
        <v>0</v>
      </c>
      <c r="AC3231" s="182" t="n">
        <v>0</v>
      </c>
      <c r="AD3231" s="182" t="n">
        <v>0</v>
      </c>
      <c r="AE3231" s="182" t="n">
        <v>0</v>
      </c>
      <c r="AF3231" s="182" t="n">
        <v>0</v>
      </c>
      <c r="AG3231" s="182" t="n">
        <v>0</v>
      </c>
      <c r="AH3231" s="182" t="n">
        <v>0</v>
      </c>
      <c r="AI3231" s="182" t="n">
        <v>0</v>
      </c>
      <c r="AJ3231" s="182" t="n">
        <v>0</v>
      </c>
      <c r="AK3231" s="182" t="n">
        <v>0</v>
      </c>
      <c r="AL3231" s="182" t="n">
        <v>0</v>
      </c>
      <c r="AM3231" s="182" t="n">
        <v>0.08</v>
      </c>
      <c r="AN3231" s="182" t="n">
        <v>0</v>
      </c>
    </row>
    <row r="3232">
      <c r="A3232" s="155" t="n">
        <v>46096</v>
      </c>
      <c r="B3232" s="156" t="inlineStr">
        <is>
          <t>NS</t>
        </is>
      </c>
      <c r="C3232" s="156" t="inlineStr">
        <is>
          <t>EX-221</t>
        </is>
      </c>
      <c r="D3232" s="156" t="inlineStr">
        <is>
          <t>PC 200-8MI</t>
        </is>
      </c>
      <c r="E3232" s="156" t="inlineStr">
        <is>
          <t>Excavator</t>
        </is>
      </c>
      <c r="F3232" s="156" t="inlineStr"/>
      <c r="G3232" s="182" t="n">
        <v>0</v>
      </c>
      <c r="H3232" s="182" t="n">
        <v>0</v>
      </c>
      <c r="I3232" s="182" t="n">
        <v>0</v>
      </c>
      <c r="J3232" s="182" t="n">
        <v>0</v>
      </c>
      <c r="K3232" s="182" t="n">
        <v>12</v>
      </c>
      <c r="L3232" s="182" t="n">
        <v>12</v>
      </c>
      <c r="M3232" s="182" t="n">
        <v>0</v>
      </c>
      <c r="N3232" s="182" t="n">
        <v>0</v>
      </c>
      <c r="O3232" s="183" t="n">
        <v>0</v>
      </c>
      <c r="P3232" s="183" t="n">
        <v>0</v>
      </c>
      <c r="Q3232" s="184" t="n">
        <v>0</v>
      </c>
      <c r="R3232" s="184" t="n">
        <v>0</v>
      </c>
      <c r="S3232" s="183" t="n">
        <v>0</v>
      </c>
      <c r="T3232" s="183" t="n">
        <v>0</v>
      </c>
      <c r="U3232" s="182" t="n">
        <v>0</v>
      </c>
      <c r="V3232" s="182" t="n">
        <v>0</v>
      </c>
      <c r="W3232" s="182" t="n">
        <v>0</v>
      </c>
      <c r="X3232" s="182" t="n">
        <v>1</v>
      </c>
      <c r="Y3232" s="182" t="n">
        <v>0</v>
      </c>
      <c r="Z3232" s="182" t="n">
        <v>0</v>
      </c>
      <c r="AA3232" s="182" t="n">
        <v>0</v>
      </c>
      <c r="AB3232" s="182" t="n">
        <v>0</v>
      </c>
      <c r="AC3232" s="182" t="n">
        <v>0</v>
      </c>
      <c r="AD3232" s="182" t="n">
        <v>0</v>
      </c>
      <c r="AE3232" s="182" t="n">
        <v>0</v>
      </c>
      <c r="AF3232" s="182" t="n">
        <v>0</v>
      </c>
      <c r="AG3232" s="182" t="n">
        <v>0</v>
      </c>
      <c r="AH3232" s="182" t="n">
        <v>0</v>
      </c>
      <c r="AI3232" s="182" t="n">
        <v>0</v>
      </c>
      <c r="AJ3232" s="182" t="n">
        <v>0</v>
      </c>
      <c r="AK3232" s="182" t="n">
        <v>10.92</v>
      </c>
      <c r="AL3232" s="182" t="n">
        <v>0</v>
      </c>
      <c r="AM3232" s="182" t="n">
        <v>0.08</v>
      </c>
      <c r="AN3232" s="182" t="n">
        <v>0</v>
      </c>
    </row>
    <row r="3233">
      <c r="A3233" s="155" t="n">
        <v>46096</v>
      </c>
      <c r="B3233" s="156" t="inlineStr">
        <is>
          <t>NS</t>
        </is>
      </c>
      <c r="C3233" s="156" t="inlineStr">
        <is>
          <t>EX-331</t>
        </is>
      </c>
      <c r="D3233" s="156" t="inlineStr">
        <is>
          <t>PC 300-8MO</t>
        </is>
      </c>
      <c r="E3233" s="156" t="inlineStr">
        <is>
          <t>Excavator</t>
        </is>
      </c>
      <c r="F3233" s="156" t="inlineStr"/>
      <c r="G3233" s="182" t="n">
        <v>0</v>
      </c>
      <c r="H3233" s="182" t="n">
        <v>0</v>
      </c>
      <c r="I3233" s="182" t="n">
        <v>12</v>
      </c>
      <c r="J3233" s="182" t="n">
        <v>12</v>
      </c>
      <c r="K3233" s="182" t="n">
        <v>0</v>
      </c>
      <c r="L3233" s="182" t="n">
        <v>12</v>
      </c>
      <c r="M3233" s="182" t="n">
        <v>0</v>
      </c>
      <c r="N3233" s="182" t="n">
        <v>0</v>
      </c>
      <c r="O3233" s="183" t="n">
        <v>0</v>
      </c>
      <c r="P3233" s="183" t="n">
        <v>0</v>
      </c>
      <c r="Q3233" s="184" t="n">
        <v>0</v>
      </c>
      <c r="R3233" s="184" t="n">
        <v>0</v>
      </c>
      <c r="S3233" s="183" t="n">
        <v>0</v>
      </c>
      <c r="T3233" s="183" t="n">
        <v>0</v>
      </c>
      <c r="U3233" s="182" t="n">
        <v>0</v>
      </c>
      <c r="V3233" s="182" t="n">
        <v>0</v>
      </c>
      <c r="W3233" s="182" t="n">
        <v>0</v>
      </c>
      <c r="X3233" s="182" t="n">
        <v>0</v>
      </c>
      <c r="Y3233" s="182" t="n">
        <v>0</v>
      </c>
      <c r="Z3233" s="182" t="n">
        <v>0</v>
      </c>
      <c r="AA3233" s="182" t="n">
        <v>0</v>
      </c>
      <c r="AB3233" s="182" t="n">
        <v>0</v>
      </c>
      <c r="AC3233" s="182" t="n">
        <v>0</v>
      </c>
      <c r="AD3233" s="182" t="n">
        <v>0</v>
      </c>
      <c r="AE3233" s="182" t="n">
        <v>0</v>
      </c>
      <c r="AF3233" s="182" t="n">
        <v>0</v>
      </c>
      <c r="AG3233" s="182" t="n">
        <v>0</v>
      </c>
      <c r="AH3233" s="182" t="n">
        <v>0</v>
      </c>
      <c r="AI3233" s="182" t="n">
        <v>0</v>
      </c>
      <c r="AJ3233" s="182" t="n">
        <v>0</v>
      </c>
      <c r="AK3233" s="182" t="n">
        <v>0</v>
      </c>
      <c r="AL3233" s="182" t="n">
        <v>0</v>
      </c>
      <c r="AM3233" s="182" t="n">
        <v>0</v>
      </c>
      <c r="AN3233" s="182" t="n">
        <v>0</v>
      </c>
    </row>
    <row r="3234">
      <c r="A3234" s="155" t="n">
        <v>46096</v>
      </c>
      <c r="B3234" s="156" t="inlineStr">
        <is>
          <t>NS</t>
        </is>
      </c>
      <c r="C3234" s="156" t="inlineStr">
        <is>
          <t>EX-334</t>
        </is>
      </c>
      <c r="D3234" s="156" t="inlineStr">
        <is>
          <t>PC 300-8MO</t>
        </is>
      </c>
      <c r="E3234" s="156" t="inlineStr">
        <is>
          <t>Excavator</t>
        </is>
      </c>
      <c r="F3234" s="156" t="inlineStr">
        <is>
          <t>Support Stock ROM</t>
        </is>
      </c>
      <c r="G3234" s="182" t="n">
        <v>10.5</v>
      </c>
      <c r="H3234" s="182" t="n">
        <v>0</v>
      </c>
      <c r="I3234" s="182" t="n">
        <v>0</v>
      </c>
      <c r="J3234" s="182" t="n">
        <v>0</v>
      </c>
      <c r="K3234" s="182" t="n">
        <v>1.5</v>
      </c>
      <c r="L3234" s="182" t="n">
        <v>12</v>
      </c>
      <c r="M3234" s="182" t="n">
        <v>0</v>
      </c>
      <c r="N3234" s="182" t="n">
        <v>0</v>
      </c>
      <c r="O3234" s="183" t="n">
        <v>0</v>
      </c>
      <c r="P3234" s="183" t="n">
        <v>0</v>
      </c>
      <c r="Q3234" s="184" t="n">
        <v>0</v>
      </c>
      <c r="R3234" s="184" t="n">
        <v>0</v>
      </c>
      <c r="S3234" s="183" t="n">
        <v>0</v>
      </c>
      <c r="T3234" s="183" t="n">
        <v>0</v>
      </c>
      <c r="U3234" s="182" t="n">
        <v>0.55</v>
      </c>
      <c r="V3234" s="182" t="n">
        <v>0</v>
      </c>
      <c r="W3234" s="182" t="n">
        <v>0</v>
      </c>
      <c r="X3234" s="182" t="n">
        <v>0.88</v>
      </c>
      <c r="Y3234" s="182" t="n">
        <v>0</v>
      </c>
      <c r="Z3234" s="182" t="n">
        <v>0</v>
      </c>
      <c r="AA3234" s="182" t="n">
        <v>0</v>
      </c>
      <c r="AB3234" s="182" t="n">
        <v>0</v>
      </c>
      <c r="AC3234" s="182" t="n">
        <v>0</v>
      </c>
      <c r="AD3234" s="182" t="n">
        <v>0</v>
      </c>
      <c r="AE3234" s="182" t="n">
        <v>0</v>
      </c>
      <c r="AF3234" s="182" t="n">
        <v>0</v>
      </c>
      <c r="AG3234" s="182" t="n">
        <v>0</v>
      </c>
      <c r="AH3234" s="182" t="n">
        <v>0</v>
      </c>
      <c r="AI3234" s="182" t="n">
        <v>0</v>
      </c>
      <c r="AJ3234" s="182" t="n">
        <v>0</v>
      </c>
      <c r="AK3234" s="182" t="n">
        <v>0</v>
      </c>
      <c r="AL3234" s="182" t="n">
        <v>0</v>
      </c>
      <c r="AM3234" s="182" t="n">
        <v>0.07000000000000001</v>
      </c>
      <c r="AN3234" s="182" t="n">
        <v>0</v>
      </c>
    </row>
    <row r="3235">
      <c r="A3235" s="155" t="n">
        <v>46096</v>
      </c>
      <c r="B3235" s="156" t="inlineStr">
        <is>
          <t>NS</t>
        </is>
      </c>
      <c r="C3235" s="156" t="inlineStr">
        <is>
          <t>EX-332</t>
        </is>
      </c>
      <c r="D3235" s="156" t="inlineStr">
        <is>
          <t>PC 300-8MO</t>
        </is>
      </c>
      <c r="E3235" s="156" t="inlineStr">
        <is>
          <t>Excavator</t>
        </is>
      </c>
      <c r="F3235" s="156" t="inlineStr"/>
      <c r="G3235" s="182" t="n">
        <v>0</v>
      </c>
      <c r="H3235" s="182" t="n">
        <v>0</v>
      </c>
      <c r="I3235" s="182" t="n">
        <v>12</v>
      </c>
      <c r="J3235" s="182" t="n">
        <v>12</v>
      </c>
      <c r="K3235" s="182" t="n">
        <v>0</v>
      </c>
      <c r="L3235" s="182" t="n">
        <v>12</v>
      </c>
      <c r="M3235" s="182" t="n">
        <v>0</v>
      </c>
      <c r="N3235" s="182" t="n">
        <v>0</v>
      </c>
      <c r="O3235" s="183" t="n">
        <v>0</v>
      </c>
      <c r="P3235" s="183" t="n">
        <v>0</v>
      </c>
      <c r="Q3235" s="184" t="n">
        <v>0</v>
      </c>
      <c r="R3235" s="184" t="n">
        <v>0</v>
      </c>
      <c r="S3235" s="183" t="n">
        <v>0</v>
      </c>
      <c r="T3235" s="183" t="n">
        <v>0</v>
      </c>
      <c r="U3235" s="182" t="n">
        <v>0</v>
      </c>
      <c r="V3235" s="182" t="n">
        <v>0</v>
      </c>
      <c r="W3235" s="182" t="n">
        <v>0</v>
      </c>
      <c r="X3235" s="182" t="n">
        <v>0</v>
      </c>
      <c r="Y3235" s="182" t="n">
        <v>0</v>
      </c>
      <c r="Z3235" s="182" t="n">
        <v>0</v>
      </c>
      <c r="AA3235" s="182" t="n">
        <v>0</v>
      </c>
      <c r="AB3235" s="182" t="n">
        <v>0</v>
      </c>
      <c r="AC3235" s="182" t="n">
        <v>0</v>
      </c>
      <c r="AD3235" s="182" t="n">
        <v>0</v>
      </c>
      <c r="AE3235" s="182" t="n">
        <v>0</v>
      </c>
      <c r="AF3235" s="182" t="n">
        <v>0</v>
      </c>
      <c r="AG3235" s="182" t="n">
        <v>0</v>
      </c>
      <c r="AH3235" s="182" t="n">
        <v>0</v>
      </c>
      <c r="AI3235" s="182" t="n">
        <v>0</v>
      </c>
      <c r="AJ3235" s="182" t="n">
        <v>0</v>
      </c>
      <c r="AK3235" s="182" t="n">
        <v>0</v>
      </c>
      <c r="AL3235" s="182" t="n">
        <v>0</v>
      </c>
      <c r="AM3235" s="182" t="n">
        <v>0</v>
      </c>
      <c r="AN3235" s="182" t="n">
        <v>0</v>
      </c>
    </row>
    <row r="3236">
      <c r="A3236" s="155" t="n">
        <v>46096</v>
      </c>
      <c r="B3236" s="156" t="inlineStr">
        <is>
          <t>NS</t>
        </is>
      </c>
      <c r="C3236" s="156" t="inlineStr">
        <is>
          <t>EX-333</t>
        </is>
      </c>
      <c r="D3236" s="156" t="inlineStr">
        <is>
          <t>PC 300-8MO</t>
        </is>
      </c>
      <c r="E3236" s="156" t="inlineStr">
        <is>
          <t>Excavator</t>
        </is>
      </c>
      <c r="F3236" s="156" t="inlineStr">
        <is>
          <t>Loading Coal</t>
        </is>
      </c>
      <c r="G3236" s="182" t="n">
        <v>10.13</v>
      </c>
      <c r="H3236" s="182" t="n">
        <v>0</v>
      </c>
      <c r="I3236" s="182" t="n">
        <v>0</v>
      </c>
      <c r="J3236" s="182" t="n">
        <v>0</v>
      </c>
      <c r="K3236" s="182" t="n">
        <v>1.87</v>
      </c>
      <c r="L3236" s="182" t="n">
        <v>12</v>
      </c>
      <c r="M3236" s="182" t="n">
        <v>0</v>
      </c>
      <c r="N3236" s="182" t="n">
        <v>0.74</v>
      </c>
      <c r="O3236" s="183" t="n">
        <v>0</v>
      </c>
      <c r="P3236" s="183" t="n">
        <v>5</v>
      </c>
      <c r="Q3236" s="184" t="n">
        <v>0</v>
      </c>
      <c r="R3236" s="184" t="n">
        <v>93.5</v>
      </c>
      <c r="S3236" s="183" t="n">
        <v>0</v>
      </c>
      <c r="T3236" s="183" t="n">
        <v>0</v>
      </c>
      <c r="U3236" s="182" t="n">
        <v>0.68</v>
      </c>
      <c r="V3236" s="182" t="n">
        <v>0</v>
      </c>
      <c r="W3236" s="182" t="n">
        <v>0</v>
      </c>
      <c r="X3236" s="182" t="n">
        <v>1.1</v>
      </c>
      <c r="Y3236" s="182" t="n">
        <v>0</v>
      </c>
      <c r="Z3236" s="182" t="n">
        <v>0</v>
      </c>
      <c r="AA3236" s="182" t="n">
        <v>0</v>
      </c>
      <c r="AB3236" s="182" t="n">
        <v>0</v>
      </c>
      <c r="AC3236" s="182" t="n">
        <v>0</v>
      </c>
      <c r="AD3236" s="182" t="n">
        <v>0</v>
      </c>
      <c r="AE3236" s="182" t="n">
        <v>0</v>
      </c>
      <c r="AF3236" s="182" t="n">
        <v>0</v>
      </c>
      <c r="AG3236" s="182" t="n">
        <v>0</v>
      </c>
      <c r="AH3236" s="182" t="n">
        <v>0</v>
      </c>
      <c r="AI3236" s="182" t="n">
        <v>0</v>
      </c>
      <c r="AJ3236" s="182" t="n">
        <v>0</v>
      </c>
      <c r="AK3236" s="182" t="n">
        <v>0</v>
      </c>
      <c r="AL3236" s="182" t="n">
        <v>0</v>
      </c>
      <c r="AM3236" s="182" t="n">
        <v>0.09</v>
      </c>
      <c r="AN3236" s="182" t="n">
        <v>0</v>
      </c>
    </row>
    <row r="3237">
      <c r="A3237" s="155" t="n">
        <v>46096</v>
      </c>
      <c r="B3237" s="156" t="inlineStr">
        <is>
          <t>NS</t>
        </is>
      </c>
      <c r="C3237" s="156" t="inlineStr">
        <is>
          <t>EX-336</t>
        </is>
      </c>
      <c r="D3237" s="156" t="inlineStr">
        <is>
          <t>PC 300-8MO</t>
        </is>
      </c>
      <c r="E3237" s="156" t="inlineStr">
        <is>
          <t>Excavator</t>
        </is>
      </c>
      <c r="F3237" s="156" t="inlineStr">
        <is>
          <t>Coal Cleaning S45</t>
        </is>
      </c>
      <c r="G3237" s="182" t="n">
        <v>5.08</v>
      </c>
      <c r="H3237" s="182" t="n">
        <v>0</v>
      </c>
      <c r="I3237" s="182" t="n">
        <v>4.43</v>
      </c>
      <c r="J3237" s="182" t="n">
        <v>4.43</v>
      </c>
      <c r="K3237" s="182" t="n">
        <v>2.49</v>
      </c>
      <c r="L3237" s="182" t="n">
        <v>12</v>
      </c>
      <c r="M3237" s="182" t="n">
        <v>0</v>
      </c>
      <c r="N3237" s="182" t="n">
        <v>0</v>
      </c>
      <c r="O3237" s="183" t="n">
        <v>0</v>
      </c>
      <c r="P3237" s="183" t="n">
        <v>0</v>
      </c>
      <c r="Q3237" s="184" t="n">
        <v>0</v>
      </c>
      <c r="R3237" s="184" t="n">
        <v>0</v>
      </c>
      <c r="S3237" s="183" t="n">
        <v>0</v>
      </c>
      <c r="T3237" s="183" t="n">
        <v>0</v>
      </c>
      <c r="U3237" s="182" t="n">
        <v>1.43</v>
      </c>
      <c r="V3237" s="182" t="n">
        <v>0</v>
      </c>
      <c r="W3237" s="182" t="n">
        <v>0</v>
      </c>
      <c r="X3237" s="182" t="n">
        <v>0.97</v>
      </c>
      <c r="Y3237" s="182" t="n">
        <v>0</v>
      </c>
      <c r="Z3237" s="182" t="n">
        <v>0</v>
      </c>
      <c r="AA3237" s="182" t="n">
        <v>0</v>
      </c>
      <c r="AB3237" s="182" t="n">
        <v>0</v>
      </c>
      <c r="AC3237" s="182" t="n">
        <v>0</v>
      </c>
      <c r="AD3237" s="182" t="n">
        <v>0</v>
      </c>
      <c r="AE3237" s="182" t="n">
        <v>0</v>
      </c>
      <c r="AF3237" s="182" t="n">
        <v>0</v>
      </c>
      <c r="AG3237" s="182" t="n">
        <v>0</v>
      </c>
      <c r="AH3237" s="182" t="n">
        <v>0</v>
      </c>
      <c r="AI3237" s="182" t="n">
        <v>0</v>
      </c>
      <c r="AJ3237" s="182" t="n">
        <v>0</v>
      </c>
      <c r="AK3237" s="182" t="n">
        <v>0</v>
      </c>
      <c r="AL3237" s="182" t="n">
        <v>0</v>
      </c>
      <c r="AM3237" s="182" t="n">
        <v>0.08</v>
      </c>
      <c r="AN3237" s="182" t="n">
        <v>0</v>
      </c>
    </row>
    <row r="3238">
      <c r="A3238" s="155" t="n">
        <v>46096</v>
      </c>
      <c r="B3238" s="156" t="inlineStr">
        <is>
          <t>NS</t>
        </is>
      </c>
      <c r="C3238" s="156" t="inlineStr">
        <is>
          <t>EX-335</t>
        </is>
      </c>
      <c r="D3238" s="156" t="inlineStr">
        <is>
          <t>PC 300-8MO</t>
        </is>
      </c>
      <c r="E3238" s="156" t="inlineStr">
        <is>
          <t>Excavator</t>
        </is>
      </c>
      <c r="F3238" s="156" t="inlineStr"/>
      <c r="G3238" s="182" t="n">
        <v>0</v>
      </c>
      <c r="H3238" s="182" t="n">
        <v>0</v>
      </c>
      <c r="I3238" s="182" t="n">
        <v>12</v>
      </c>
      <c r="J3238" s="182" t="n">
        <v>12</v>
      </c>
      <c r="K3238" s="182" t="n">
        <v>0</v>
      </c>
      <c r="L3238" s="182" t="n">
        <v>12</v>
      </c>
      <c r="M3238" s="182" t="n">
        <v>0</v>
      </c>
      <c r="N3238" s="182" t="n">
        <v>0</v>
      </c>
      <c r="O3238" s="183" t="n">
        <v>0</v>
      </c>
      <c r="P3238" s="183" t="n">
        <v>0</v>
      </c>
      <c r="Q3238" s="184" t="n">
        <v>0</v>
      </c>
      <c r="R3238" s="184" t="n">
        <v>0</v>
      </c>
      <c r="S3238" s="183" t="n">
        <v>0</v>
      </c>
      <c r="T3238" s="183" t="n">
        <v>0</v>
      </c>
      <c r="U3238" s="182" t="n">
        <v>0</v>
      </c>
      <c r="V3238" s="182" t="n">
        <v>0</v>
      </c>
      <c r="W3238" s="182" t="n">
        <v>0</v>
      </c>
      <c r="X3238" s="182" t="n">
        <v>0</v>
      </c>
      <c r="Y3238" s="182" t="n">
        <v>0</v>
      </c>
      <c r="Z3238" s="182" t="n">
        <v>0</v>
      </c>
      <c r="AA3238" s="182" t="n">
        <v>0</v>
      </c>
      <c r="AB3238" s="182" t="n">
        <v>0</v>
      </c>
      <c r="AC3238" s="182" t="n">
        <v>0</v>
      </c>
      <c r="AD3238" s="182" t="n">
        <v>0</v>
      </c>
      <c r="AE3238" s="182" t="n">
        <v>0</v>
      </c>
      <c r="AF3238" s="182" t="n">
        <v>0</v>
      </c>
      <c r="AG3238" s="182" t="n">
        <v>0</v>
      </c>
      <c r="AH3238" s="182" t="n">
        <v>0</v>
      </c>
      <c r="AI3238" s="182" t="n">
        <v>0</v>
      </c>
      <c r="AJ3238" s="182" t="n">
        <v>0</v>
      </c>
      <c r="AK3238" s="182" t="n">
        <v>0</v>
      </c>
      <c r="AL3238" s="182" t="n">
        <v>0</v>
      </c>
      <c r="AM3238" s="182" t="n">
        <v>0</v>
      </c>
      <c r="AN3238" s="182" t="n">
        <v>0</v>
      </c>
    </row>
    <row r="3239">
      <c r="A3239" s="155" t="n">
        <v>46096</v>
      </c>
      <c r="B3239" s="156" t="inlineStr">
        <is>
          <t>NS</t>
        </is>
      </c>
      <c r="C3239" s="156" t="inlineStr">
        <is>
          <t>EX-754</t>
        </is>
      </c>
      <c r="D3239" s="156" t="inlineStr">
        <is>
          <t>SY750H-PRO</t>
        </is>
      </c>
      <c r="E3239" s="156" t="inlineStr">
        <is>
          <t>Excavator</t>
        </is>
      </c>
      <c r="F3239" s="156" t="inlineStr">
        <is>
          <t>Loading OB</t>
        </is>
      </c>
      <c r="G3239" s="182" t="n">
        <v>5.2</v>
      </c>
      <c r="H3239" s="182" t="n">
        <v>0</v>
      </c>
      <c r="I3239" s="182" t="n">
        <v>0</v>
      </c>
      <c r="J3239" s="182" t="n">
        <v>0</v>
      </c>
      <c r="K3239" s="182" t="n">
        <v>6.8</v>
      </c>
      <c r="L3239" s="182" t="n">
        <v>12</v>
      </c>
      <c r="M3239" s="182" t="n">
        <v>4.81</v>
      </c>
      <c r="N3239" s="182" t="n">
        <v>0</v>
      </c>
      <c r="O3239" s="183" t="n">
        <v>59</v>
      </c>
      <c r="P3239" s="183" t="n">
        <v>0</v>
      </c>
      <c r="Q3239" s="184" t="n">
        <v>1203.6</v>
      </c>
      <c r="R3239" s="184" t="n">
        <v>0</v>
      </c>
      <c r="S3239" s="183" t="n">
        <v>0</v>
      </c>
      <c r="T3239" s="183" t="n">
        <v>0</v>
      </c>
      <c r="U3239" s="182" t="n">
        <v>4.3</v>
      </c>
      <c r="V3239" s="182" t="n">
        <v>0</v>
      </c>
      <c r="W3239" s="182" t="n">
        <v>0</v>
      </c>
      <c r="X3239" s="182" t="n">
        <v>0.96</v>
      </c>
      <c r="Y3239" s="182" t="n">
        <v>0</v>
      </c>
      <c r="Z3239" s="182" t="n">
        <v>0</v>
      </c>
      <c r="AA3239" s="182" t="n">
        <v>0</v>
      </c>
      <c r="AB3239" s="182" t="n">
        <v>0</v>
      </c>
      <c r="AC3239" s="182" t="n">
        <v>0</v>
      </c>
      <c r="AD3239" s="182" t="n">
        <v>0.86</v>
      </c>
      <c r="AE3239" s="182" t="n">
        <v>0</v>
      </c>
      <c r="AF3239" s="182" t="n">
        <v>0</v>
      </c>
      <c r="AG3239" s="182" t="n">
        <v>0</v>
      </c>
      <c r="AH3239" s="182" t="n">
        <v>0.61</v>
      </c>
      <c r="AI3239" s="182" t="n">
        <v>0</v>
      </c>
      <c r="AJ3239" s="182" t="n">
        <v>0</v>
      </c>
      <c r="AK3239" s="182" t="n">
        <v>0</v>
      </c>
      <c r="AL3239" s="182" t="n">
        <v>0</v>
      </c>
      <c r="AM3239" s="182" t="n">
        <v>0.08</v>
      </c>
      <c r="AN3239" s="182" t="n">
        <v>0</v>
      </c>
    </row>
    <row r="3240">
      <c r="A3240" s="155" t="n">
        <v>46096</v>
      </c>
      <c r="B3240" s="156" t="inlineStr">
        <is>
          <t>NS</t>
        </is>
      </c>
      <c r="C3240" s="156" t="inlineStr">
        <is>
          <t>EX-755</t>
        </is>
      </c>
      <c r="D3240" s="156" t="inlineStr">
        <is>
          <t>SY750H-PRO</t>
        </is>
      </c>
      <c r="E3240" s="156" t="inlineStr">
        <is>
          <t>Excavator</t>
        </is>
      </c>
      <c r="F3240" s="156" t="inlineStr">
        <is>
          <t>Loading OB</t>
        </is>
      </c>
      <c r="G3240" s="182" t="n">
        <v>6.72</v>
      </c>
      <c r="H3240" s="182" t="n">
        <v>0</v>
      </c>
      <c r="I3240" s="182" t="n">
        <v>0</v>
      </c>
      <c r="J3240" s="182" t="n">
        <v>0</v>
      </c>
      <c r="K3240" s="182" t="n">
        <v>5.28</v>
      </c>
      <c r="L3240" s="182" t="n">
        <v>12</v>
      </c>
      <c r="M3240" s="182" t="n">
        <v>6.07</v>
      </c>
      <c r="N3240" s="182" t="n">
        <v>0</v>
      </c>
      <c r="O3240" s="183" t="n">
        <v>69</v>
      </c>
      <c r="P3240" s="183" t="n">
        <v>0</v>
      </c>
      <c r="Q3240" s="184" t="n">
        <v>1407.6</v>
      </c>
      <c r="R3240" s="184" t="n">
        <v>0</v>
      </c>
      <c r="S3240" s="183" t="n">
        <v>0</v>
      </c>
      <c r="T3240" s="183" t="n">
        <v>0</v>
      </c>
      <c r="U3240" s="182" t="n">
        <v>4.14</v>
      </c>
      <c r="V3240" s="182" t="n">
        <v>0</v>
      </c>
      <c r="W3240" s="182" t="n">
        <v>0</v>
      </c>
      <c r="X3240" s="182" t="n">
        <v>1.06</v>
      </c>
      <c r="Y3240" s="182" t="n">
        <v>0</v>
      </c>
      <c r="Z3240" s="182" t="n">
        <v>0</v>
      </c>
      <c r="AA3240" s="182" t="n">
        <v>0</v>
      </c>
      <c r="AB3240" s="182" t="n">
        <v>0</v>
      </c>
      <c r="AC3240" s="182" t="n">
        <v>0</v>
      </c>
      <c r="AD3240" s="182" t="n">
        <v>0</v>
      </c>
      <c r="AE3240" s="182" t="n">
        <v>0</v>
      </c>
      <c r="AF3240" s="182" t="n">
        <v>0</v>
      </c>
      <c r="AG3240" s="182" t="n">
        <v>0</v>
      </c>
      <c r="AH3240" s="182" t="n">
        <v>0</v>
      </c>
      <c r="AI3240" s="182" t="n">
        <v>0</v>
      </c>
      <c r="AJ3240" s="182" t="n">
        <v>0</v>
      </c>
      <c r="AK3240" s="182" t="n">
        <v>0</v>
      </c>
      <c r="AL3240" s="182" t="n">
        <v>0</v>
      </c>
      <c r="AM3240" s="182" t="n">
        <v>0.08</v>
      </c>
      <c r="AN3240" s="182" t="n">
        <v>0</v>
      </c>
    </row>
    <row r="3241">
      <c r="A3241" s="155" t="n">
        <v>46096</v>
      </c>
      <c r="B3241" s="156" t="inlineStr">
        <is>
          <t>NS</t>
        </is>
      </c>
      <c r="C3241" s="156" t="inlineStr">
        <is>
          <t>EX-752</t>
        </is>
      </c>
      <c r="D3241" s="156" t="inlineStr">
        <is>
          <t>SY750H-PRO</t>
        </is>
      </c>
      <c r="E3241" s="156" t="inlineStr">
        <is>
          <t>Excavator</t>
        </is>
      </c>
      <c r="F3241" s="156" t="inlineStr"/>
      <c r="G3241" s="182" t="n">
        <v>0</v>
      </c>
      <c r="H3241" s="182" t="n">
        <v>0</v>
      </c>
      <c r="I3241" s="182" t="n">
        <v>12</v>
      </c>
      <c r="J3241" s="182" t="n">
        <v>12</v>
      </c>
      <c r="K3241" s="182" t="n">
        <v>0</v>
      </c>
      <c r="L3241" s="182" t="n">
        <v>12</v>
      </c>
      <c r="M3241" s="182" t="n">
        <v>0</v>
      </c>
      <c r="N3241" s="182" t="n">
        <v>0</v>
      </c>
      <c r="O3241" s="183" t="n">
        <v>0</v>
      </c>
      <c r="P3241" s="183" t="n">
        <v>0</v>
      </c>
      <c r="Q3241" s="184" t="n">
        <v>0</v>
      </c>
      <c r="R3241" s="184" t="n">
        <v>0</v>
      </c>
      <c r="S3241" s="183" t="n">
        <v>0</v>
      </c>
      <c r="T3241" s="183" t="n">
        <v>0</v>
      </c>
      <c r="U3241" s="182" t="n">
        <v>0</v>
      </c>
      <c r="V3241" s="182" t="n">
        <v>0</v>
      </c>
      <c r="W3241" s="182" t="n">
        <v>0</v>
      </c>
      <c r="X3241" s="182" t="n">
        <v>0</v>
      </c>
      <c r="Y3241" s="182" t="n">
        <v>0</v>
      </c>
      <c r="Z3241" s="182" t="n">
        <v>0</v>
      </c>
      <c r="AA3241" s="182" t="n">
        <v>0</v>
      </c>
      <c r="AB3241" s="182" t="n">
        <v>0</v>
      </c>
      <c r="AC3241" s="182" t="n">
        <v>0</v>
      </c>
      <c r="AD3241" s="182" t="n">
        <v>0</v>
      </c>
      <c r="AE3241" s="182" t="n">
        <v>0</v>
      </c>
      <c r="AF3241" s="182" t="n">
        <v>0</v>
      </c>
      <c r="AG3241" s="182" t="n">
        <v>0</v>
      </c>
      <c r="AH3241" s="182" t="n">
        <v>0</v>
      </c>
      <c r="AI3241" s="182" t="n">
        <v>0</v>
      </c>
      <c r="AJ3241" s="182" t="n">
        <v>0</v>
      </c>
      <c r="AK3241" s="182" t="n">
        <v>0</v>
      </c>
      <c r="AL3241" s="182" t="n">
        <v>0</v>
      </c>
      <c r="AM3241" s="182" t="n">
        <v>0</v>
      </c>
      <c r="AN3241" s="182" t="n">
        <v>0</v>
      </c>
    </row>
    <row r="3242">
      <c r="A3242" s="155" t="n">
        <v>46096</v>
      </c>
      <c r="B3242" s="156" t="inlineStr">
        <is>
          <t>NS</t>
        </is>
      </c>
      <c r="C3242" s="156" t="inlineStr">
        <is>
          <t>EX-751</t>
        </is>
      </c>
      <c r="D3242" s="156" t="inlineStr">
        <is>
          <t>SY750H-PRO</t>
        </is>
      </c>
      <c r="E3242" s="156" t="inlineStr">
        <is>
          <t>Excavator</t>
        </is>
      </c>
      <c r="F3242" s="156" t="inlineStr"/>
      <c r="G3242" s="182" t="n">
        <v>0</v>
      </c>
      <c r="H3242" s="182" t="n">
        <v>0</v>
      </c>
      <c r="I3242" s="182" t="n">
        <v>12</v>
      </c>
      <c r="J3242" s="182" t="n">
        <v>12</v>
      </c>
      <c r="K3242" s="182" t="n">
        <v>0</v>
      </c>
      <c r="L3242" s="182" t="n">
        <v>12</v>
      </c>
      <c r="M3242" s="182" t="n">
        <v>0</v>
      </c>
      <c r="N3242" s="182" t="n">
        <v>0</v>
      </c>
      <c r="O3242" s="183" t="n">
        <v>0</v>
      </c>
      <c r="P3242" s="183" t="n">
        <v>0</v>
      </c>
      <c r="Q3242" s="184" t="n">
        <v>0</v>
      </c>
      <c r="R3242" s="184" t="n">
        <v>0</v>
      </c>
      <c r="S3242" s="183" t="n">
        <v>0</v>
      </c>
      <c r="T3242" s="183" t="n">
        <v>0</v>
      </c>
      <c r="U3242" s="182" t="n">
        <v>0</v>
      </c>
      <c r="V3242" s="182" t="n">
        <v>0</v>
      </c>
      <c r="W3242" s="182" t="n">
        <v>0</v>
      </c>
      <c r="X3242" s="182" t="n">
        <v>0</v>
      </c>
      <c r="Y3242" s="182" t="n">
        <v>0</v>
      </c>
      <c r="Z3242" s="182" t="n">
        <v>0</v>
      </c>
      <c r="AA3242" s="182" t="n">
        <v>0</v>
      </c>
      <c r="AB3242" s="182" t="n">
        <v>0</v>
      </c>
      <c r="AC3242" s="182" t="n">
        <v>0</v>
      </c>
      <c r="AD3242" s="182" t="n">
        <v>0</v>
      </c>
      <c r="AE3242" s="182" t="n">
        <v>0</v>
      </c>
      <c r="AF3242" s="182" t="n">
        <v>0</v>
      </c>
      <c r="AG3242" s="182" t="n">
        <v>0</v>
      </c>
      <c r="AH3242" s="182" t="n">
        <v>0</v>
      </c>
      <c r="AI3242" s="182" t="n">
        <v>0</v>
      </c>
      <c r="AJ3242" s="182" t="n">
        <v>0</v>
      </c>
      <c r="AK3242" s="182" t="n">
        <v>0</v>
      </c>
      <c r="AL3242" s="182" t="n">
        <v>0</v>
      </c>
      <c r="AM3242" s="182" t="n">
        <v>0</v>
      </c>
      <c r="AN3242" s="182" t="n">
        <v>0</v>
      </c>
    </row>
    <row r="3243">
      <c r="A3243" s="155" t="n">
        <v>46096</v>
      </c>
      <c r="B3243" s="156" t="inlineStr">
        <is>
          <t>NS</t>
        </is>
      </c>
      <c r="C3243" s="156" t="inlineStr">
        <is>
          <t>EX-753</t>
        </is>
      </c>
      <c r="D3243" s="156" t="inlineStr">
        <is>
          <t>SY750H-PRO</t>
        </is>
      </c>
      <c r="E3243" s="156" t="inlineStr">
        <is>
          <t>Excavator</t>
        </is>
      </c>
      <c r="F3243" s="156" t="inlineStr">
        <is>
          <t>Loading OB</t>
        </is>
      </c>
      <c r="G3243" s="182" t="n">
        <v>1.3</v>
      </c>
      <c r="H3243" s="182" t="n">
        <v>0</v>
      </c>
      <c r="I3243" s="182" t="n">
        <v>0</v>
      </c>
      <c r="J3243" s="182" t="n">
        <v>0</v>
      </c>
      <c r="K3243" s="182" t="n">
        <v>10.7</v>
      </c>
      <c r="L3243" s="182" t="n">
        <v>12</v>
      </c>
      <c r="M3243" s="182" t="n">
        <v>0.83</v>
      </c>
      <c r="N3243" s="182" t="n">
        <v>0</v>
      </c>
      <c r="O3243" s="183" t="n">
        <v>16</v>
      </c>
      <c r="P3243" s="183" t="n">
        <v>0</v>
      </c>
      <c r="Q3243" s="184" t="n">
        <v>326.4</v>
      </c>
      <c r="R3243" s="184" t="n">
        <v>0</v>
      </c>
      <c r="S3243" s="183" t="n">
        <v>0</v>
      </c>
      <c r="T3243" s="183" t="n">
        <v>0</v>
      </c>
      <c r="U3243" s="182" t="n">
        <v>4.5</v>
      </c>
      <c r="V3243" s="182" t="n">
        <v>0</v>
      </c>
      <c r="W3243" s="182" t="n">
        <v>0</v>
      </c>
      <c r="X3243" s="182" t="n">
        <v>1</v>
      </c>
      <c r="Y3243" s="182" t="n">
        <v>0</v>
      </c>
      <c r="Z3243" s="182" t="n">
        <v>0</v>
      </c>
      <c r="AA3243" s="182" t="n">
        <v>0</v>
      </c>
      <c r="AB3243" s="182" t="n">
        <v>0</v>
      </c>
      <c r="AC3243" s="182" t="n">
        <v>0</v>
      </c>
      <c r="AD3243" s="182" t="n">
        <v>5.12</v>
      </c>
      <c r="AE3243" s="182" t="n">
        <v>0</v>
      </c>
      <c r="AF3243" s="182" t="n">
        <v>0</v>
      </c>
      <c r="AG3243" s="182" t="n">
        <v>0</v>
      </c>
      <c r="AH3243" s="182" t="n">
        <v>0</v>
      </c>
      <c r="AI3243" s="182" t="n">
        <v>0</v>
      </c>
      <c r="AJ3243" s="182" t="n">
        <v>0</v>
      </c>
      <c r="AK3243" s="182" t="n">
        <v>0</v>
      </c>
      <c r="AL3243" s="182" t="n">
        <v>0</v>
      </c>
      <c r="AM3243" s="182" t="n">
        <v>0.08</v>
      </c>
      <c r="AN3243" s="182" t="n">
        <v>0</v>
      </c>
    </row>
    <row r="3244">
      <c r="A3244" s="155" t="n">
        <v>46096</v>
      </c>
      <c r="B3244" s="156" t="inlineStr">
        <is>
          <t>NS</t>
        </is>
      </c>
      <c r="C3244" s="156" t="inlineStr">
        <is>
          <t>GD-012</t>
        </is>
      </c>
      <c r="D3244" s="156" t="inlineStr">
        <is>
          <t>STG 230C - 8S</t>
        </is>
      </c>
      <c r="E3244" s="156" t="inlineStr">
        <is>
          <t>Grader</t>
        </is>
      </c>
      <c r="F3244" s="156" t="inlineStr"/>
      <c r="G3244" s="182" t="n">
        <v>0</v>
      </c>
      <c r="H3244" s="182" t="n">
        <v>0</v>
      </c>
      <c r="I3244" s="182" t="n">
        <v>0</v>
      </c>
      <c r="J3244" s="182" t="n">
        <v>0</v>
      </c>
      <c r="K3244" s="182" t="n">
        <v>12</v>
      </c>
      <c r="L3244" s="182" t="n">
        <v>12</v>
      </c>
      <c r="M3244" s="182" t="n">
        <v>0</v>
      </c>
      <c r="N3244" s="182" t="n">
        <v>0</v>
      </c>
      <c r="O3244" s="183" t="n">
        <v>0</v>
      </c>
      <c r="P3244" s="183" t="n">
        <v>0</v>
      </c>
      <c r="Q3244" s="184" t="n">
        <v>0</v>
      </c>
      <c r="R3244" s="184" t="n">
        <v>0</v>
      </c>
      <c r="S3244" s="183" t="n">
        <v>0</v>
      </c>
      <c r="T3244" s="183" t="n">
        <v>0</v>
      </c>
      <c r="U3244" s="182" t="n">
        <v>0</v>
      </c>
      <c r="V3244" s="182" t="n">
        <v>0</v>
      </c>
      <c r="W3244" s="182" t="n">
        <v>0</v>
      </c>
      <c r="X3244" s="182" t="n">
        <v>1</v>
      </c>
      <c r="Y3244" s="182" t="n">
        <v>0</v>
      </c>
      <c r="Z3244" s="182" t="n">
        <v>0</v>
      </c>
      <c r="AA3244" s="182" t="n">
        <v>0</v>
      </c>
      <c r="AB3244" s="182" t="n">
        <v>0</v>
      </c>
      <c r="AC3244" s="182" t="n">
        <v>0</v>
      </c>
      <c r="AD3244" s="182" t="n">
        <v>0</v>
      </c>
      <c r="AE3244" s="182" t="n">
        <v>0</v>
      </c>
      <c r="AF3244" s="182" t="n">
        <v>0</v>
      </c>
      <c r="AG3244" s="182" t="n">
        <v>0</v>
      </c>
      <c r="AH3244" s="182" t="n">
        <v>0</v>
      </c>
      <c r="AI3244" s="182" t="n">
        <v>0</v>
      </c>
      <c r="AJ3244" s="182" t="n">
        <v>0</v>
      </c>
      <c r="AK3244" s="182" t="n">
        <v>10.92</v>
      </c>
      <c r="AL3244" s="182" t="n">
        <v>0</v>
      </c>
      <c r="AM3244" s="182" t="n">
        <v>0.08</v>
      </c>
      <c r="AN3244" s="182" t="n">
        <v>0</v>
      </c>
    </row>
    <row r="3245">
      <c r="A3245" s="155" t="n">
        <v>46096</v>
      </c>
      <c r="B3245" s="156" t="inlineStr">
        <is>
          <t>NS</t>
        </is>
      </c>
      <c r="C3245" s="156" t="inlineStr">
        <is>
          <t>GD-011</t>
        </is>
      </c>
      <c r="D3245" s="156" t="inlineStr">
        <is>
          <t>STG 230C - 8S</t>
        </is>
      </c>
      <c r="E3245" s="156" t="inlineStr">
        <is>
          <t>Grader</t>
        </is>
      </c>
      <c r="F3245" s="156" t="inlineStr"/>
      <c r="G3245" s="182" t="n">
        <v>0</v>
      </c>
      <c r="H3245" s="182" t="n">
        <v>0</v>
      </c>
      <c r="I3245" s="182" t="n">
        <v>12</v>
      </c>
      <c r="J3245" s="182" t="n">
        <v>12</v>
      </c>
      <c r="K3245" s="182" t="n">
        <v>0</v>
      </c>
      <c r="L3245" s="182" t="n">
        <v>12</v>
      </c>
      <c r="M3245" s="182" t="n">
        <v>0</v>
      </c>
      <c r="N3245" s="182" t="n">
        <v>0</v>
      </c>
      <c r="O3245" s="183" t="n">
        <v>0</v>
      </c>
      <c r="P3245" s="183" t="n">
        <v>0</v>
      </c>
      <c r="Q3245" s="184" t="n">
        <v>0</v>
      </c>
      <c r="R3245" s="184" t="n">
        <v>0</v>
      </c>
      <c r="S3245" s="183" t="n">
        <v>0</v>
      </c>
      <c r="T3245" s="183" t="n">
        <v>0</v>
      </c>
      <c r="U3245" s="182" t="n">
        <v>0</v>
      </c>
      <c r="V3245" s="182" t="n">
        <v>0</v>
      </c>
      <c r="W3245" s="182" t="n">
        <v>0</v>
      </c>
      <c r="X3245" s="182" t="n">
        <v>0</v>
      </c>
      <c r="Y3245" s="182" t="n">
        <v>0</v>
      </c>
      <c r="Z3245" s="182" t="n">
        <v>0</v>
      </c>
      <c r="AA3245" s="182" t="n">
        <v>0</v>
      </c>
      <c r="AB3245" s="182" t="n">
        <v>0</v>
      </c>
      <c r="AC3245" s="182" t="n">
        <v>0</v>
      </c>
      <c r="AD3245" s="182" t="n">
        <v>0</v>
      </c>
      <c r="AE3245" s="182" t="n">
        <v>0</v>
      </c>
      <c r="AF3245" s="182" t="n">
        <v>0</v>
      </c>
      <c r="AG3245" s="182" t="n">
        <v>0</v>
      </c>
      <c r="AH3245" s="182" t="n">
        <v>0</v>
      </c>
      <c r="AI3245" s="182" t="n">
        <v>0</v>
      </c>
      <c r="AJ3245" s="182" t="n">
        <v>0</v>
      </c>
      <c r="AK3245" s="182" t="n">
        <v>0</v>
      </c>
      <c r="AL3245" s="182" t="n">
        <v>0</v>
      </c>
      <c r="AM3245" s="182" t="n">
        <v>0</v>
      </c>
      <c r="AN3245" s="182" t="n">
        <v>0</v>
      </c>
    </row>
    <row r="3246">
      <c r="A3246" s="155" t="n">
        <v>46096</v>
      </c>
      <c r="B3246" s="156" t="inlineStr">
        <is>
          <t>NS</t>
        </is>
      </c>
      <c r="C3246" s="156" t="inlineStr">
        <is>
          <t>GD-013</t>
        </is>
      </c>
      <c r="D3246" s="156" t="inlineStr">
        <is>
          <t>STG 265C - 10</t>
        </is>
      </c>
      <c r="E3246" s="156" t="inlineStr">
        <is>
          <t>Grader</t>
        </is>
      </c>
      <c r="F3246" s="156" t="inlineStr">
        <is>
          <t>Road Maintenance</t>
        </is>
      </c>
      <c r="G3246" s="182" t="n">
        <v>2.51</v>
      </c>
      <c r="H3246" s="182" t="n">
        <v>0</v>
      </c>
      <c r="I3246" s="182" t="n">
        <v>9.4</v>
      </c>
      <c r="J3246" s="182" t="n">
        <v>9.4</v>
      </c>
      <c r="K3246" s="182" t="n">
        <v>0.09</v>
      </c>
      <c r="L3246" s="182" t="n">
        <v>12</v>
      </c>
      <c r="M3246" s="182" t="n">
        <v>0</v>
      </c>
      <c r="N3246" s="182" t="n">
        <v>0</v>
      </c>
      <c r="O3246" s="183" t="n">
        <v>0</v>
      </c>
      <c r="P3246" s="183" t="n">
        <v>0</v>
      </c>
      <c r="Q3246" s="184" t="n">
        <v>0</v>
      </c>
      <c r="R3246" s="184" t="n">
        <v>0</v>
      </c>
      <c r="S3246" s="183" t="n">
        <v>0</v>
      </c>
      <c r="T3246" s="183" t="n">
        <v>0</v>
      </c>
      <c r="U3246" s="182" t="n">
        <v>0</v>
      </c>
      <c r="V3246" s="182" t="n">
        <v>0</v>
      </c>
      <c r="W3246" s="182" t="n">
        <v>0</v>
      </c>
      <c r="X3246" s="182" t="n">
        <v>0</v>
      </c>
      <c r="Y3246" s="182" t="n">
        <v>0</v>
      </c>
      <c r="Z3246" s="182" t="n">
        <v>0</v>
      </c>
      <c r="AA3246" s="182" t="n">
        <v>0</v>
      </c>
      <c r="AB3246" s="182" t="n">
        <v>0</v>
      </c>
      <c r="AC3246" s="182" t="n">
        <v>0</v>
      </c>
      <c r="AD3246" s="182" t="n">
        <v>0</v>
      </c>
      <c r="AE3246" s="182" t="n">
        <v>0</v>
      </c>
      <c r="AF3246" s="182" t="n">
        <v>0</v>
      </c>
      <c r="AG3246" s="182" t="n">
        <v>0</v>
      </c>
      <c r="AH3246" s="182" t="n">
        <v>0</v>
      </c>
      <c r="AI3246" s="182" t="n">
        <v>0</v>
      </c>
      <c r="AJ3246" s="182" t="n">
        <v>0</v>
      </c>
      <c r="AK3246" s="182" t="n">
        <v>0</v>
      </c>
      <c r="AL3246" s="182" t="n">
        <v>0</v>
      </c>
      <c r="AM3246" s="182" t="n">
        <v>0</v>
      </c>
      <c r="AN3246" s="182" t="n">
        <v>0</v>
      </c>
    </row>
    <row r="3247">
      <c r="A3247" s="155" t="n">
        <v>46096</v>
      </c>
      <c r="B3247" s="156" t="inlineStr">
        <is>
          <t>NS</t>
        </is>
      </c>
      <c r="C3247" s="156" t="inlineStr">
        <is>
          <t>GD-014</t>
        </is>
      </c>
      <c r="D3247" s="156" t="inlineStr">
        <is>
          <t>STG 335C - 10</t>
        </is>
      </c>
      <c r="E3247" s="156" t="inlineStr">
        <is>
          <t>Grader</t>
        </is>
      </c>
      <c r="F3247" s="156" t="inlineStr">
        <is>
          <t>Road Maintenance</t>
        </is>
      </c>
      <c r="G3247" s="182" t="n">
        <v>6.57</v>
      </c>
      <c r="H3247" s="182" t="n">
        <v>0</v>
      </c>
      <c r="I3247" s="182" t="n">
        <v>0</v>
      </c>
      <c r="J3247" s="182" t="n">
        <v>0</v>
      </c>
      <c r="K3247" s="182" t="n">
        <v>5.43</v>
      </c>
      <c r="L3247" s="182" t="n">
        <v>12</v>
      </c>
      <c r="M3247" s="182" t="n">
        <v>0</v>
      </c>
      <c r="N3247" s="182" t="n">
        <v>0</v>
      </c>
      <c r="O3247" s="183" t="n">
        <v>0</v>
      </c>
      <c r="P3247" s="183" t="n">
        <v>0</v>
      </c>
      <c r="Q3247" s="184" t="n">
        <v>0</v>
      </c>
      <c r="R3247" s="184" t="n">
        <v>0</v>
      </c>
      <c r="S3247" s="183" t="n">
        <v>0</v>
      </c>
      <c r="T3247" s="183" t="n">
        <v>0</v>
      </c>
      <c r="U3247" s="182" t="n">
        <v>4.36</v>
      </c>
      <c r="V3247" s="182" t="n">
        <v>0</v>
      </c>
      <c r="W3247" s="182" t="n">
        <v>0</v>
      </c>
      <c r="X3247" s="182" t="n">
        <v>0.99</v>
      </c>
      <c r="Y3247" s="182" t="n">
        <v>0</v>
      </c>
      <c r="Z3247" s="182" t="n">
        <v>0</v>
      </c>
      <c r="AA3247" s="182" t="n">
        <v>0</v>
      </c>
      <c r="AB3247" s="182" t="n">
        <v>0</v>
      </c>
      <c r="AC3247" s="182" t="n">
        <v>0</v>
      </c>
      <c r="AD3247" s="182" t="n">
        <v>0</v>
      </c>
      <c r="AE3247" s="182" t="n">
        <v>0</v>
      </c>
      <c r="AF3247" s="182" t="n">
        <v>0</v>
      </c>
      <c r="AG3247" s="182" t="n">
        <v>0</v>
      </c>
      <c r="AH3247" s="182" t="n">
        <v>0</v>
      </c>
      <c r="AI3247" s="182" t="n">
        <v>0</v>
      </c>
      <c r="AJ3247" s="182" t="n">
        <v>0</v>
      </c>
      <c r="AK3247" s="182" t="n">
        <v>0</v>
      </c>
      <c r="AL3247" s="182" t="n">
        <v>0</v>
      </c>
      <c r="AM3247" s="182" t="n">
        <v>0.08</v>
      </c>
      <c r="AN3247" s="182" t="n">
        <v>0</v>
      </c>
    </row>
    <row r="3248">
      <c r="A3248" s="155" t="n">
        <v>46096</v>
      </c>
      <c r="B3248" s="156" t="inlineStr">
        <is>
          <t>NS</t>
        </is>
      </c>
      <c r="C3248" s="156" t="inlineStr">
        <is>
          <t>DT-809</t>
        </is>
      </c>
      <c r="D3248" s="156" t="inlineStr">
        <is>
          <t>SKT 80S</t>
        </is>
      </c>
      <c r="E3248" s="156" t="inlineStr">
        <is>
          <t>Hauler</t>
        </is>
      </c>
      <c r="F3248" s="156" t="inlineStr"/>
      <c r="G3248" s="182" t="n">
        <v>0</v>
      </c>
      <c r="H3248" s="182" t="n">
        <v>0</v>
      </c>
      <c r="I3248" s="182" t="n">
        <v>12</v>
      </c>
      <c r="J3248" s="182" t="n">
        <v>12</v>
      </c>
      <c r="K3248" s="182" t="n">
        <v>0</v>
      </c>
      <c r="L3248" s="182" t="n">
        <v>12</v>
      </c>
      <c r="M3248" s="182" t="n">
        <v>0</v>
      </c>
      <c r="N3248" s="182" t="n">
        <v>0</v>
      </c>
      <c r="O3248" s="183" t="n">
        <v>0</v>
      </c>
      <c r="P3248" s="183" t="n">
        <v>0</v>
      </c>
      <c r="Q3248" s="184" t="n">
        <v>0</v>
      </c>
      <c r="R3248" s="184" t="n">
        <v>0</v>
      </c>
      <c r="S3248" s="183" t="n">
        <v>0</v>
      </c>
      <c r="T3248" s="183" t="n">
        <v>0</v>
      </c>
      <c r="U3248" s="182" t="n">
        <v>0</v>
      </c>
      <c r="V3248" s="182" t="n">
        <v>0</v>
      </c>
      <c r="W3248" s="182" t="n">
        <v>0</v>
      </c>
      <c r="X3248" s="182" t="n">
        <v>0</v>
      </c>
      <c r="Y3248" s="182" t="n">
        <v>0</v>
      </c>
      <c r="Z3248" s="182" t="n">
        <v>0</v>
      </c>
      <c r="AA3248" s="182" t="n">
        <v>0</v>
      </c>
      <c r="AB3248" s="182" t="n">
        <v>0</v>
      </c>
      <c r="AC3248" s="182" t="n">
        <v>0</v>
      </c>
      <c r="AD3248" s="182" t="n">
        <v>0</v>
      </c>
      <c r="AE3248" s="182" t="n">
        <v>0</v>
      </c>
      <c r="AF3248" s="182" t="n">
        <v>0</v>
      </c>
      <c r="AG3248" s="182" t="n">
        <v>0</v>
      </c>
      <c r="AH3248" s="182" t="n">
        <v>0</v>
      </c>
      <c r="AI3248" s="182" t="n">
        <v>0</v>
      </c>
      <c r="AJ3248" s="182" t="n">
        <v>0</v>
      </c>
      <c r="AK3248" s="182" t="n">
        <v>0</v>
      </c>
      <c r="AL3248" s="182" t="n">
        <v>0</v>
      </c>
      <c r="AM3248" s="182" t="n">
        <v>0</v>
      </c>
      <c r="AN3248" s="182" t="n">
        <v>0</v>
      </c>
    </row>
    <row r="3249">
      <c r="A3249" s="155" t="n">
        <v>46096</v>
      </c>
      <c r="B3249" s="156" t="inlineStr">
        <is>
          <t>NS</t>
        </is>
      </c>
      <c r="C3249" s="156" t="inlineStr">
        <is>
          <t>DT-806</t>
        </is>
      </c>
      <c r="D3249" s="156" t="inlineStr">
        <is>
          <t>SKT 80S</t>
        </is>
      </c>
      <c r="E3249" s="156" t="inlineStr">
        <is>
          <t>Hauler</t>
        </is>
      </c>
      <c r="F3249" s="156" t="inlineStr"/>
      <c r="G3249" s="182" t="n">
        <v>0</v>
      </c>
      <c r="H3249" s="182" t="n">
        <v>0</v>
      </c>
      <c r="I3249" s="182" t="n">
        <v>12</v>
      </c>
      <c r="J3249" s="182" t="n">
        <v>12</v>
      </c>
      <c r="K3249" s="182" t="n">
        <v>0</v>
      </c>
      <c r="L3249" s="182" t="n">
        <v>12</v>
      </c>
      <c r="M3249" s="182" t="n">
        <v>0</v>
      </c>
      <c r="N3249" s="182" t="n">
        <v>0</v>
      </c>
      <c r="O3249" s="183" t="n">
        <v>0</v>
      </c>
      <c r="P3249" s="183" t="n">
        <v>0</v>
      </c>
      <c r="Q3249" s="184" t="n">
        <v>0</v>
      </c>
      <c r="R3249" s="184" t="n">
        <v>0</v>
      </c>
      <c r="S3249" s="183" t="n">
        <v>0</v>
      </c>
      <c r="T3249" s="183" t="n">
        <v>0</v>
      </c>
      <c r="U3249" s="182" t="n">
        <v>0</v>
      </c>
      <c r="V3249" s="182" t="n">
        <v>0</v>
      </c>
      <c r="W3249" s="182" t="n">
        <v>0</v>
      </c>
      <c r="X3249" s="182" t="n">
        <v>0</v>
      </c>
      <c r="Y3249" s="182" t="n">
        <v>0</v>
      </c>
      <c r="Z3249" s="182" t="n">
        <v>0</v>
      </c>
      <c r="AA3249" s="182" t="n">
        <v>0</v>
      </c>
      <c r="AB3249" s="182" t="n">
        <v>0</v>
      </c>
      <c r="AC3249" s="182" t="n">
        <v>0</v>
      </c>
      <c r="AD3249" s="182" t="n">
        <v>0</v>
      </c>
      <c r="AE3249" s="182" t="n">
        <v>0</v>
      </c>
      <c r="AF3249" s="182" t="n">
        <v>0</v>
      </c>
      <c r="AG3249" s="182" t="n">
        <v>0</v>
      </c>
      <c r="AH3249" s="182" t="n">
        <v>0</v>
      </c>
      <c r="AI3249" s="182" t="n">
        <v>0</v>
      </c>
      <c r="AJ3249" s="182" t="n">
        <v>0</v>
      </c>
      <c r="AK3249" s="182" t="n">
        <v>0</v>
      </c>
      <c r="AL3249" s="182" t="n">
        <v>0</v>
      </c>
      <c r="AM3249" s="182" t="n">
        <v>0</v>
      </c>
      <c r="AN3249" s="182" t="n">
        <v>0</v>
      </c>
    </row>
    <row r="3250">
      <c r="A3250" s="155" t="n">
        <v>46096</v>
      </c>
      <c r="B3250" s="156" t="inlineStr">
        <is>
          <t>NS</t>
        </is>
      </c>
      <c r="C3250" s="156" t="inlineStr">
        <is>
          <t>DT-805</t>
        </is>
      </c>
      <c r="D3250" s="156" t="inlineStr">
        <is>
          <t>SKT 80S</t>
        </is>
      </c>
      <c r="E3250" s="156" t="inlineStr">
        <is>
          <t>Hauler</t>
        </is>
      </c>
      <c r="F3250" s="156" t="inlineStr"/>
      <c r="G3250" s="182" t="n">
        <v>0</v>
      </c>
      <c r="H3250" s="182" t="n">
        <v>0</v>
      </c>
      <c r="I3250" s="182" t="n">
        <v>12</v>
      </c>
      <c r="J3250" s="182" t="n">
        <v>12</v>
      </c>
      <c r="K3250" s="182" t="n">
        <v>0</v>
      </c>
      <c r="L3250" s="182" t="n">
        <v>12</v>
      </c>
      <c r="M3250" s="182" t="n">
        <v>0</v>
      </c>
      <c r="N3250" s="182" t="n">
        <v>0</v>
      </c>
      <c r="O3250" s="183" t="n">
        <v>0</v>
      </c>
      <c r="P3250" s="183" t="n">
        <v>0</v>
      </c>
      <c r="Q3250" s="184" t="n">
        <v>0</v>
      </c>
      <c r="R3250" s="184" t="n">
        <v>0</v>
      </c>
      <c r="S3250" s="183" t="n">
        <v>0</v>
      </c>
      <c r="T3250" s="183" t="n">
        <v>0</v>
      </c>
      <c r="U3250" s="182" t="n">
        <v>0</v>
      </c>
      <c r="V3250" s="182" t="n">
        <v>0</v>
      </c>
      <c r="W3250" s="182" t="n">
        <v>0</v>
      </c>
      <c r="X3250" s="182" t="n">
        <v>0</v>
      </c>
      <c r="Y3250" s="182" t="n">
        <v>0</v>
      </c>
      <c r="Z3250" s="182" t="n">
        <v>0</v>
      </c>
      <c r="AA3250" s="182" t="n">
        <v>0</v>
      </c>
      <c r="AB3250" s="182" t="n">
        <v>0</v>
      </c>
      <c r="AC3250" s="182" t="n">
        <v>0</v>
      </c>
      <c r="AD3250" s="182" t="n">
        <v>0</v>
      </c>
      <c r="AE3250" s="182" t="n">
        <v>0</v>
      </c>
      <c r="AF3250" s="182" t="n">
        <v>0</v>
      </c>
      <c r="AG3250" s="182" t="n">
        <v>0</v>
      </c>
      <c r="AH3250" s="182" t="n">
        <v>0</v>
      </c>
      <c r="AI3250" s="182" t="n">
        <v>0</v>
      </c>
      <c r="AJ3250" s="182" t="n">
        <v>0</v>
      </c>
      <c r="AK3250" s="182" t="n">
        <v>0</v>
      </c>
      <c r="AL3250" s="182" t="n">
        <v>0</v>
      </c>
      <c r="AM3250" s="182" t="n">
        <v>0</v>
      </c>
      <c r="AN3250" s="182" t="n">
        <v>0</v>
      </c>
    </row>
    <row r="3251">
      <c r="A3251" s="155" t="n">
        <v>46096</v>
      </c>
      <c r="B3251" s="156" t="inlineStr">
        <is>
          <t>NS</t>
        </is>
      </c>
      <c r="C3251" s="156" t="inlineStr">
        <is>
          <t>DT-801</t>
        </is>
      </c>
      <c r="D3251" s="156" t="inlineStr">
        <is>
          <t>SKT 80S</t>
        </is>
      </c>
      <c r="E3251" s="156" t="inlineStr">
        <is>
          <t>Hauler</t>
        </is>
      </c>
      <c r="F3251" s="156" t="inlineStr"/>
      <c r="G3251" s="182" t="n">
        <v>0</v>
      </c>
      <c r="H3251" s="182" t="n">
        <v>0</v>
      </c>
      <c r="I3251" s="182" t="n">
        <v>12</v>
      </c>
      <c r="J3251" s="182" t="n">
        <v>12</v>
      </c>
      <c r="K3251" s="182" t="n">
        <v>0</v>
      </c>
      <c r="L3251" s="182" t="n">
        <v>12</v>
      </c>
      <c r="M3251" s="182" t="n">
        <v>0</v>
      </c>
      <c r="N3251" s="182" t="n">
        <v>0</v>
      </c>
      <c r="O3251" s="183" t="n">
        <v>0</v>
      </c>
      <c r="P3251" s="183" t="n">
        <v>0</v>
      </c>
      <c r="Q3251" s="184" t="n">
        <v>0</v>
      </c>
      <c r="R3251" s="184" t="n">
        <v>0</v>
      </c>
      <c r="S3251" s="183" t="n">
        <v>0</v>
      </c>
      <c r="T3251" s="183" t="n">
        <v>0</v>
      </c>
      <c r="U3251" s="182" t="n">
        <v>0</v>
      </c>
      <c r="V3251" s="182" t="n">
        <v>0</v>
      </c>
      <c r="W3251" s="182" t="n">
        <v>0</v>
      </c>
      <c r="X3251" s="182" t="n">
        <v>0</v>
      </c>
      <c r="Y3251" s="182" t="n">
        <v>0</v>
      </c>
      <c r="Z3251" s="182" t="n">
        <v>0</v>
      </c>
      <c r="AA3251" s="182" t="n">
        <v>0</v>
      </c>
      <c r="AB3251" s="182" t="n">
        <v>0</v>
      </c>
      <c r="AC3251" s="182" t="n">
        <v>0</v>
      </c>
      <c r="AD3251" s="182" t="n">
        <v>0</v>
      </c>
      <c r="AE3251" s="182" t="n">
        <v>0</v>
      </c>
      <c r="AF3251" s="182" t="n">
        <v>0</v>
      </c>
      <c r="AG3251" s="182" t="n">
        <v>0</v>
      </c>
      <c r="AH3251" s="182" t="n">
        <v>0</v>
      </c>
      <c r="AI3251" s="182" t="n">
        <v>0</v>
      </c>
      <c r="AJ3251" s="182" t="n">
        <v>0</v>
      </c>
      <c r="AK3251" s="182" t="n">
        <v>0</v>
      </c>
      <c r="AL3251" s="182" t="n">
        <v>0</v>
      </c>
      <c r="AM3251" s="182" t="n">
        <v>0</v>
      </c>
      <c r="AN3251" s="182" t="n">
        <v>0</v>
      </c>
    </row>
    <row r="3252">
      <c r="A3252" s="155" t="n">
        <v>46096</v>
      </c>
      <c r="B3252" s="156" t="inlineStr">
        <is>
          <t>NS</t>
        </is>
      </c>
      <c r="C3252" s="156" t="inlineStr">
        <is>
          <t>DT-808</t>
        </is>
      </c>
      <c r="D3252" s="156" t="inlineStr">
        <is>
          <t>SKT 80S</t>
        </is>
      </c>
      <c r="E3252" s="156" t="inlineStr">
        <is>
          <t>Hauler</t>
        </is>
      </c>
      <c r="F3252" s="156" t="inlineStr"/>
      <c r="G3252" s="182" t="n">
        <v>0</v>
      </c>
      <c r="H3252" s="182" t="n">
        <v>0</v>
      </c>
      <c r="I3252" s="182" t="n">
        <v>0</v>
      </c>
      <c r="J3252" s="182" t="n">
        <v>0</v>
      </c>
      <c r="K3252" s="182" t="n">
        <v>12</v>
      </c>
      <c r="L3252" s="182" t="n">
        <v>12</v>
      </c>
      <c r="M3252" s="182" t="n">
        <v>0</v>
      </c>
      <c r="N3252" s="182" t="n">
        <v>0</v>
      </c>
      <c r="O3252" s="183" t="n">
        <v>0</v>
      </c>
      <c r="P3252" s="183" t="n">
        <v>0</v>
      </c>
      <c r="Q3252" s="184" t="n">
        <v>0</v>
      </c>
      <c r="R3252" s="184" t="n">
        <v>0</v>
      </c>
      <c r="S3252" s="183" t="n">
        <v>0</v>
      </c>
      <c r="T3252" s="183" t="n">
        <v>0</v>
      </c>
      <c r="U3252" s="182" t="n">
        <v>4.5</v>
      </c>
      <c r="V3252" s="182" t="n">
        <v>0</v>
      </c>
      <c r="W3252" s="182" t="n">
        <v>0</v>
      </c>
      <c r="X3252" s="182" t="n">
        <v>1</v>
      </c>
      <c r="Y3252" s="182" t="n">
        <v>0</v>
      </c>
      <c r="Z3252" s="182" t="n">
        <v>0</v>
      </c>
      <c r="AA3252" s="182" t="n">
        <v>0</v>
      </c>
      <c r="AB3252" s="182" t="n">
        <v>0</v>
      </c>
      <c r="AC3252" s="182" t="n">
        <v>0</v>
      </c>
      <c r="AD3252" s="182" t="n">
        <v>0</v>
      </c>
      <c r="AE3252" s="182" t="n">
        <v>0</v>
      </c>
      <c r="AF3252" s="182" t="n">
        <v>0</v>
      </c>
      <c r="AG3252" s="182" t="n">
        <v>0</v>
      </c>
      <c r="AH3252" s="182" t="n">
        <v>0</v>
      </c>
      <c r="AI3252" s="182" t="n">
        <v>0</v>
      </c>
      <c r="AJ3252" s="182" t="n">
        <v>0</v>
      </c>
      <c r="AK3252" s="182" t="n">
        <v>6.42</v>
      </c>
      <c r="AL3252" s="182" t="n">
        <v>0</v>
      </c>
      <c r="AM3252" s="182" t="n">
        <v>0.08</v>
      </c>
      <c r="AN3252" s="182" t="n">
        <v>0</v>
      </c>
    </row>
    <row r="3253">
      <c r="A3253" s="155" t="n">
        <v>46096</v>
      </c>
      <c r="B3253" s="156" t="inlineStr">
        <is>
          <t>NS</t>
        </is>
      </c>
      <c r="C3253" s="156" t="inlineStr">
        <is>
          <t>DT-811</t>
        </is>
      </c>
      <c r="D3253" s="156" t="inlineStr">
        <is>
          <t>SKT 80S</t>
        </is>
      </c>
      <c r="E3253" s="156" t="inlineStr">
        <is>
          <t>Hauler</t>
        </is>
      </c>
      <c r="F3253" s="156" t="inlineStr"/>
      <c r="G3253" s="182" t="n">
        <v>0</v>
      </c>
      <c r="H3253" s="182" t="n">
        <v>0</v>
      </c>
      <c r="I3253" s="182" t="n">
        <v>0</v>
      </c>
      <c r="J3253" s="182" t="n">
        <v>0</v>
      </c>
      <c r="K3253" s="182" t="n">
        <v>12</v>
      </c>
      <c r="L3253" s="182" t="n">
        <v>12</v>
      </c>
      <c r="M3253" s="182" t="n">
        <v>0</v>
      </c>
      <c r="N3253" s="182" t="n">
        <v>0</v>
      </c>
      <c r="O3253" s="183" t="n">
        <v>0</v>
      </c>
      <c r="P3253" s="183" t="n">
        <v>0</v>
      </c>
      <c r="Q3253" s="184" t="n">
        <v>0</v>
      </c>
      <c r="R3253" s="184" t="n">
        <v>0</v>
      </c>
      <c r="S3253" s="183" t="n">
        <v>0</v>
      </c>
      <c r="T3253" s="183" t="n">
        <v>0</v>
      </c>
      <c r="U3253" s="182" t="n">
        <v>4.5</v>
      </c>
      <c r="V3253" s="182" t="n">
        <v>0</v>
      </c>
      <c r="W3253" s="182" t="n">
        <v>0</v>
      </c>
      <c r="X3253" s="182" t="n">
        <v>1</v>
      </c>
      <c r="Y3253" s="182" t="n">
        <v>0</v>
      </c>
      <c r="Z3253" s="182" t="n">
        <v>0</v>
      </c>
      <c r="AA3253" s="182" t="n">
        <v>0</v>
      </c>
      <c r="AB3253" s="182" t="n">
        <v>0</v>
      </c>
      <c r="AC3253" s="182" t="n">
        <v>0</v>
      </c>
      <c r="AD3253" s="182" t="n">
        <v>0</v>
      </c>
      <c r="AE3253" s="182" t="n">
        <v>0</v>
      </c>
      <c r="AF3253" s="182" t="n">
        <v>0</v>
      </c>
      <c r="AG3253" s="182" t="n">
        <v>0</v>
      </c>
      <c r="AH3253" s="182" t="n">
        <v>0</v>
      </c>
      <c r="AI3253" s="182" t="n">
        <v>0</v>
      </c>
      <c r="AJ3253" s="182" t="n">
        <v>0</v>
      </c>
      <c r="AK3253" s="182" t="n">
        <v>6.42</v>
      </c>
      <c r="AL3253" s="182" t="n">
        <v>0</v>
      </c>
      <c r="AM3253" s="182" t="n">
        <v>0.08</v>
      </c>
      <c r="AN3253" s="182" t="n">
        <v>0</v>
      </c>
    </row>
    <row r="3254">
      <c r="A3254" s="155" t="n">
        <v>46096</v>
      </c>
      <c r="B3254" s="156" t="inlineStr">
        <is>
          <t>NS</t>
        </is>
      </c>
      <c r="C3254" s="156" t="inlineStr">
        <is>
          <t>DT-802</t>
        </is>
      </c>
      <c r="D3254" s="156" t="inlineStr">
        <is>
          <t>SKT 80S</t>
        </is>
      </c>
      <c r="E3254" s="156" t="inlineStr">
        <is>
          <t>Hauler</t>
        </is>
      </c>
      <c r="F3254" s="156" t="inlineStr"/>
      <c r="G3254" s="182" t="n">
        <v>0</v>
      </c>
      <c r="H3254" s="182" t="n">
        <v>0</v>
      </c>
      <c r="I3254" s="182" t="n">
        <v>0</v>
      </c>
      <c r="J3254" s="182" t="n">
        <v>0</v>
      </c>
      <c r="K3254" s="182" t="n">
        <v>12</v>
      </c>
      <c r="L3254" s="182" t="n">
        <v>12</v>
      </c>
      <c r="M3254" s="182" t="n">
        <v>0</v>
      </c>
      <c r="N3254" s="182" t="n">
        <v>0</v>
      </c>
      <c r="O3254" s="183" t="n">
        <v>0</v>
      </c>
      <c r="P3254" s="183" t="n">
        <v>0</v>
      </c>
      <c r="Q3254" s="184" t="n">
        <v>0</v>
      </c>
      <c r="R3254" s="184" t="n">
        <v>0</v>
      </c>
      <c r="S3254" s="183" t="n">
        <v>0</v>
      </c>
      <c r="T3254" s="183" t="n">
        <v>0</v>
      </c>
      <c r="U3254" s="182" t="n">
        <v>4.5</v>
      </c>
      <c r="V3254" s="182" t="n">
        <v>0</v>
      </c>
      <c r="W3254" s="182" t="n">
        <v>0</v>
      </c>
      <c r="X3254" s="182" t="n">
        <v>1</v>
      </c>
      <c r="Y3254" s="182" t="n">
        <v>0</v>
      </c>
      <c r="Z3254" s="182" t="n">
        <v>0</v>
      </c>
      <c r="AA3254" s="182" t="n">
        <v>0</v>
      </c>
      <c r="AB3254" s="182" t="n">
        <v>0</v>
      </c>
      <c r="AC3254" s="182" t="n">
        <v>0</v>
      </c>
      <c r="AD3254" s="182" t="n">
        <v>0</v>
      </c>
      <c r="AE3254" s="182" t="n">
        <v>0</v>
      </c>
      <c r="AF3254" s="182" t="n">
        <v>0</v>
      </c>
      <c r="AG3254" s="182" t="n">
        <v>0</v>
      </c>
      <c r="AH3254" s="182" t="n">
        <v>0</v>
      </c>
      <c r="AI3254" s="182" t="n">
        <v>0</v>
      </c>
      <c r="AJ3254" s="182" t="n">
        <v>0</v>
      </c>
      <c r="AK3254" s="182" t="n">
        <v>6.42</v>
      </c>
      <c r="AL3254" s="182" t="n">
        <v>0</v>
      </c>
      <c r="AM3254" s="182" t="n">
        <v>0.08</v>
      </c>
      <c r="AN3254" s="182" t="n">
        <v>0</v>
      </c>
    </row>
    <row r="3255">
      <c r="A3255" s="155" t="n">
        <v>46096</v>
      </c>
      <c r="B3255" s="156" t="inlineStr">
        <is>
          <t>NS</t>
        </is>
      </c>
      <c r="C3255" s="156" t="inlineStr">
        <is>
          <t>DT-807</t>
        </is>
      </c>
      <c r="D3255" s="156" t="inlineStr">
        <is>
          <t>SKT 80S</t>
        </is>
      </c>
      <c r="E3255" s="156" t="inlineStr">
        <is>
          <t>Hauler</t>
        </is>
      </c>
      <c r="F3255" s="156" t="inlineStr"/>
      <c r="G3255" s="182" t="n">
        <v>0</v>
      </c>
      <c r="H3255" s="182" t="n">
        <v>0</v>
      </c>
      <c r="I3255" s="182" t="n">
        <v>0.22</v>
      </c>
      <c r="J3255" s="182" t="n">
        <v>0.22</v>
      </c>
      <c r="K3255" s="182" t="n">
        <v>11.78</v>
      </c>
      <c r="L3255" s="182" t="n">
        <v>12</v>
      </c>
      <c r="M3255" s="182" t="n">
        <v>0</v>
      </c>
      <c r="N3255" s="182" t="n">
        <v>0</v>
      </c>
      <c r="O3255" s="183" t="n">
        <v>0</v>
      </c>
      <c r="P3255" s="183" t="n">
        <v>0</v>
      </c>
      <c r="Q3255" s="184" t="n">
        <v>0</v>
      </c>
      <c r="R3255" s="184" t="n">
        <v>0</v>
      </c>
      <c r="S3255" s="183" t="n">
        <v>0</v>
      </c>
      <c r="T3255" s="183" t="n">
        <v>0</v>
      </c>
      <c r="U3255" s="182" t="n">
        <v>4.5</v>
      </c>
      <c r="V3255" s="182" t="n">
        <v>0</v>
      </c>
      <c r="W3255" s="182" t="n">
        <v>0</v>
      </c>
      <c r="X3255" s="182" t="n">
        <v>1</v>
      </c>
      <c r="Y3255" s="182" t="n">
        <v>0</v>
      </c>
      <c r="Z3255" s="182" t="n">
        <v>0</v>
      </c>
      <c r="AA3255" s="182" t="n">
        <v>0</v>
      </c>
      <c r="AB3255" s="182" t="n">
        <v>0</v>
      </c>
      <c r="AC3255" s="182" t="n">
        <v>0</v>
      </c>
      <c r="AD3255" s="182" t="n">
        <v>0</v>
      </c>
      <c r="AE3255" s="182" t="n">
        <v>0</v>
      </c>
      <c r="AF3255" s="182" t="n">
        <v>0</v>
      </c>
      <c r="AG3255" s="182" t="n">
        <v>0</v>
      </c>
      <c r="AH3255" s="182" t="n">
        <v>0</v>
      </c>
      <c r="AI3255" s="182" t="n">
        <v>0</v>
      </c>
      <c r="AJ3255" s="182" t="n">
        <v>0</v>
      </c>
      <c r="AK3255" s="182" t="n">
        <v>6.2</v>
      </c>
      <c r="AL3255" s="182" t="n">
        <v>0</v>
      </c>
      <c r="AM3255" s="182" t="n">
        <v>0.08</v>
      </c>
      <c r="AN3255" s="182" t="n">
        <v>0</v>
      </c>
    </row>
    <row r="3256">
      <c r="A3256" s="155" t="n">
        <v>46096</v>
      </c>
      <c r="B3256" s="156" t="inlineStr">
        <is>
          <t>NS</t>
        </is>
      </c>
      <c r="C3256" s="156" t="inlineStr">
        <is>
          <t>DT-812</t>
        </is>
      </c>
      <c r="D3256" s="156" t="inlineStr">
        <is>
          <t>SKT 80S</t>
        </is>
      </c>
      <c r="E3256" s="156" t="inlineStr">
        <is>
          <t>Hauler</t>
        </is>
      </c>
      <c r="F3256" s="156" t="inlineStr">
        <is>
          <t>Rehandling Tailing WP</t>
        </is>
      </c>
      <c r="G3256" s="182" t="n">
        <v>4.11</v>
      </c>
      <c r="H3256" s="182" t="n">
        <v>0</v>
      </c>
      <c r="I3256" s="182" t="n">
        <v>0</v>
      </c>
      <c r="J3256" s="182" t="n">
        <v>0</v>
      </c>
      <c r="K3256" s="182" t="n">
        <v>7.89</v>
      </c>
      <c r="L3256" s="182" t="n">
        <v>12</v>
      </c>
      <c r="M3256" s="182" t="n">
        <v>0</v>
      </c>
      <c r="N3256" s="182" t="n">
        <v>0</v>
      </c>
      <c r="O3256" s="183" t="n">
        <v>0</v>
      </c>
      <c r="P3256" s="183" t="n">
        <v>0</v>
      </c>
      <c r="Q3256" s="184" t="n">
        <v>0</v>
      </c>
      <c r="R3256" s="184" t="n">
        <v>0</v>
      </c>
      <c r="S3256" s="183" t="n">
        <v>0</v>
      </c>
      <c r="T3256" s="183" t="n">
        <v>0</v>
      </c>
      <c r="U3256" s="182" t="n">
        <v>4.49</v>
      </c>
      <c r="V3256" s="182" t="n">
        <v>0</v>
      </c>
      <c r="W3256" s="182" t="n">
        <v>0</v>
      </c>
      <c r="X3256" s="182" t="n">
        <v>1</v>
      </c>
      <c r="Y3256" s="182" t="n">
        <v>0</v>
      </c>
      <c r="Z3256" s="182" t="n">
        <v>0</v>
      </c>
      <c r="AA3256" s="182" t="n">
        <v>0</v>
      </c>
      <c r="AB3256" s="182" t="n">
        <v>0</v>
      </c>
      <c r="AC3256" s="182" t="n">
        <v>0</v>
      </c>
      <c r="AD3256" s="182" t="n">
        <v>0</v>
      </c>
      <c r="AE3256" s="182" t="n">
        <v>0</v>
      </c>
      <c r="AF3256" s="182" t="n">
        <v>0</v>
      </c>
      <c r="AG3256" s="182" t="n">
        <v>0</v>
      </c>
      <c r="AH3256" s="182" t="n">
        <v>0</v>
      </c>
      <c r="AI3256" s="182" t="n">
        <v>0</v>
      </c>
      <c r="AJ3256" s="182" t="n">
        <v>0</v>
      </c>
      <c r="AK3256" s="182" t="n">
        <v>2.32</v>
      </c>
      <c r="AL3256" s="182" t="n">
        <v>0</v>
      </c>
      <c r="AM3256" s="182" t="n">
        <v>0.08</v>
      </c>
      <c r="AN3256" s="182" t="n">
        <v>0</v>
      </c>
    </row>
    <row r="3257">
      <c r="A3257" s="155" t="n">
        <v>46096</v>
      </c>
      <c r="B3257" s="156" t="inlineStr">
        <is>
          <t>NS</t>
        </is>
      </c>
      <c r="C3257" s="156" t="inlineStr">
        <is>
          <t>DT-803</t>
        </is>
      </c>
      <c r="D3257" s="156" t="inlineStr">
        <is>
          <t>SKT 80S</t>
        </is>
      </c>
      <c r="E3257" s="156" t="inlineStr">
        <is>
          <t>Hauler</t>
        </is>
      </c>
      <c r="F3257" s="156" t="inlineStr"/>
      <c r="G3257" s="182" t="n">
        <v>0</v>
      </c>
      <c r="H3257" s="182" t="n">
        <v>0</v>
      </c>
      <c r="I3257" s="182" t="n">
        <v>0</v>
      </c>
      <c r="J3257" s="182" t="n">
        <v>0</v>
      </c>
      <c r="K3257" s="182" t="n">
        <v>12</v>
      </c>
      <c r="L3257" s="182" t="n">
        <v>12</v>
      </c>
      <c r="M3257" s="182" t="n">
        <v>0</v>
      </c>
      <c r="N3257" s="182" t="n">
        <v>0</v>
      </c>
      <c r="O3257" s="183" t="n">
        <v>0</v>
      </c>
      <c r="P3257" s="183" t="n">
        <v>0</v>
      </c>
      <c r="Q3257" s="184" t="n">
        <v>0</v>
      </c>
      <c r="R3257" s="184" t="n">
        <v>0</v>
      </c>
      <c r="S3257" s="183" t="n">
        <v>0</v>
      </c>
      <c r="T3257" s="183" t="n">
        <v>0</v>
      </c>
      <c r="U3257" s="182" t="n">
        <v>4.5</v>
      </c>
      <c r="V3257" s="182" t="n">
        <v>0</v>
      </c>
      <c r="W3257" s="182" t="n">
        <v>0</v>
      </c>
      <c r="X3257" s="182" t="n">
        <v>1</v>
      </c>
      <c r="Y3257" s="182" t="n">
        <v>0</v>
      </c>
      <c r="Z3257" s="182" t="n">
        <v>0</v>
      </c>
      <c r="AA3257" s="182" t="n">
        <v>0</v>
      </c>
      <c r="AB3257" s="182" t="n">
        <v>0</v>
      </c>
      <c r="AC3257" s="182" t="n">
        <v>0</v>
      </c>
      <c r="AD3257" s="182" t="n">
        <v>0</v>
      </c>
      <c r="AE3257" s="182" t="n">
        <v>0</v>
      </c>
      <c r="AF3257" s="182" t="n">
        <v>0</v>
      </c>
      <c r="AG3257" s="182" t="n">
        <v>0</v>
      </c>
      <c r="AH3257" s="182" t="n">
        <v>0</v>
      </c>
      <c r="AI3257" s="182" t="n">
        <v>0</v>
      </c>
      <c r="AJ3257" s="182" t="n">
        <v>0</v>
      </c>
      <c r="AK3257" s="182" t="n">
        <v>6.42</v>
      </c>
      <c r="AL3257" s="182" t="n">
        <v>0</v>
      </c>
      <c r="AM3257" s="182" t="n">
        <v>0.08</v>
      </c>
      <c r="AN3257" s="182" t="n">
        <v>0</v>
      </c>
    </row>
    <row r="3258">
      <c r="A3258" s="155" t="n">
        <v>46096</v>
      </c>
      <c r="B3258" s="156" t="inlineStr">
        <is>
          <t>NS</t>
        </is>
      </c>
      <c r="C3258" s="156" t="inlineStr">
        <is>
          <t>DT-810</t>
        </is>
      </c>
      <c r="D3258" s="156" t="inlineStr">
        <is>
          <t>SKT 80S</t>
        </is>
      </c>
      <c r="E3258" s="156" t="inlineStr">
        <is>
          <t>Hauler</t>
        </is>
      </c>
      <c r="F3258" s="156" t="inlineStr">
        <is>
          <t>Rehandling Tailing WP</t>
        </is>
      </c>
      <c r="G3258" s="182" t="n">
        <v>4.34</v>
      </c>
      <c r="H3258" s="182" t="n">
        <v>0</v>
      </c>
      <c r="I3258" s="182" t="n">
        <v>0</v>
      </c>
      <c r="J3258" s="182" t="n">
        <v>0</v>
      </c>
      <c r="K3258" s="182" t="n">
        <v>7.66</v>
      </c>
      <c r="L3258" s="182" t="n">
        <v>12</v>
      </c>
      <c r="M3258" s="182" t="n">
        <v>0</v>
      </c>
      <c r="N3258" s="182" t="n">
        <v>0</v>
      </c>
      <c r="O3258" s="183" t="n">
        <v>0</v>
      </c>
      <c r="P3258" s="183" t="n">
        <v>0</v>
      </c>
      <c r="Q3258" s="184" t="n">
        <v>0</v>
      </c>
      <c r="R3258" s="184" t="n">
        <v>0</v>
      </c>
      <c r="S3258" s="183" t="n">
        <v>0</v>
      </c>
      <c r="T3258" s="183" t="n">
        <v>0</v>
      </c>
      <c r="U3258" s="182" t="n">
        <v>4.48</v>
      </c>
      <c r="V3258" s="182" t="n">
        <v>0</v>
      </c>
      <c r="W3258" s="182" t="n">
        <v>0</v>
      </c>
      <c r="X3258" s="182" t="n">
        <v>0.99</v>
      </c>
      <c r="Y3258" s="182" t="n">
        <v>0</v>
      </c>
      <c r="Z3258" s="182" t="n">
        <v>0</v>
      </c>
      <c r="AA3258" s="182" t="n">
        <v>0</v>
      </c>
      <c r="AB3258" s="182" t="n">
        <v>0</v>
      </c>
      <c r="AC3258" s="182" t="n">
        <v>0</v>
      </c>
      <c r="AD3258" s="182" t="n">
        <v>0</v>
      </c>
      <c r="AE3258" s="182" t="n">
        <v>0</v>
      </c>
      <c r="AF3258" s="182" t="n">
        <v>0</v>
      </c>
      <c r="AG3258" s="182" t="n">
        <v>0</v>
      </c>
      <c r="AH3258" s="182" t="n">
        <v>0</v>
      </c>
      <c r="AI3258" s="182" t="n">
        <v>0</v>
      </c>
      <c r="AJ3258" s="182" t="n">
        <v>0</v>
      </c>
      <c r="AK3258" s="182" t="n">
        <v>2.11</v>
      </c>
      <c r="AL3258" s="182" t="n">
        <v>0</v>
      </c>
      <c r="AM3258" s="182" t="n">
        <v>0.08</v>
      </c>
      <c r="AN3258" s="182" t="n">
        <v>0</v>
      </c>
    </row>
    <row r="3259">
      <c r="A3259" s="155" t="n">
        <v>46096</v>
      </c>
      <c r="B3259" s="156" t="inlineStr">
        <is>
          <t>NS</t>
        </is>
      </c>
      <c r="C3259" s="156" t="inlineStr">
        <is>
          <t>DT-804</t>
        </is>
      </c>
      <c r="D3259" s="156" t="inlineStr">
        <is>
          <t>SKT 80S</t>
        </is>
      </c>
      <c r="E3259" s="156" t="inlineStr">
        <is>
          <t>Hauler</t>
        </is>
      </c>
      <c r="F3259" s="156" t="inlineStr"/>
      <c r="G3259" s="182" t="n">
        <v>0</v>
      </c>
      <c r="H3259" s="182" t="n">
        <v>0</v>
      </c>
      <c r="I3259" s="182" t="n">
        <v>0</v>
      </c>
      <c r="J3259" s="182" t="n">
        <v>0</v>
      </c>
      <c r="K3259" s="182" t="n">
        <v>12</v>
      </c>
      <c r="L3259" s="182" t="n">
        <v>12</v>
      </c>
      <c r="M3259" s="182" t="n">
        <v>0</v>
      </c>
      <c r="N3259" s="182" t="n">
        <v>0</v>
      </c>
      <c r="O3259" s="183" t="n">
        <v>0</v>
      </c>
      <c r="P3259" s="183" t="n">
        <v>0</v>
      </c>
      <c r="Q3259" s="184" t="n">
        <v>0</v>
      </c>
      <c r="R3259" s="184" t="n">
        <v>0</v>
      </c>
      <c r="S3259" s="183" t="n">
        <v>0</v>
      </c>
      <c r="T3259" s="183" t="n">
        <v>0</v>
      </c>
      <c r="U3259" s="182" t="n">
        <v>4.5</v>
      </c>
      <c r="V3259" s="182" t="n">
        <v>0</v>
      </c>
      <c r="W3259" s="182" t="n">
        <v>0</v>
      </c>
      <c r="X3259" s="182" t="n">
        <v>1</v>
      </c>
      <c r="Y3259" s="182" t="n">
        <v>0</v>
      </c>
      <c r="Z3259" s="182" t="n">
        <v>0</v>
      </c>
      <c r="AA3259" s="182" t="n">
        <v>0</v>
      </c>
      <c r="AB3259" s="182" t="n">
        <v>0</v>
      </c>
      <c r="AC3259" s="182" t="n">
        <v>0</v>
      </c>
      <c r="AD3259" s="182" t="n">
        <v>0</v>
      </c>
      <c r="AE3259" s="182" t="n">
        <v>0</v>
      </c>
      <c r="AF3259" s="182" t="n">
        <v>0</v>
      </c>
      <c r="AG3259" s="182" t="n">
        <v>0</v>
      </c>
      <c r="AH3259" s="182" t="n">
        <v>0</v>
      </c>
      <c r="AI3259" s="182" t="n">
        <v>0</v>
      </c>
      <c r="AJ3259" s="182" t="n">
        <v>0</v>
      </c>
      <c r="AK3259" s="182" t="n">
        <v>6.42</v>
      </c>
      <c r="AL3259" s="182" t="n">
        <v>0</v>
      </c>
      <c r="AM3259" s="182" t="n">
        <v>0.08</v>
      </c>
      <c r="AN3259" s="182" t="n">
        <v>0</v>
      </c>
    </row>
    <row r="3260">
      <c r="A3260" s="155" t="n">
        <v>46096</v>
      </c>
      <c r="B3260" s="156" t="inlineStr">
        <is>
          <t>NS</t>
        </is>
      </c>
      <c r="C3260" s="156" t="inlineStr">
        <is>
          <t>DT-505</t>
        </is>
      </c>
      <c r="D3260" s="156" t="inlineStr">
        <is>
          <t>SKT 105S</t>
        </is>
      </c>
      <c r="E3260" s="156" t="inlineStr">
        <is>
          <t>Hauler</t>
        </is>
      </c>
      <c r="F3260" s="156" t="inlineStr">
        <is>
          <t>Hauling OB &amp; Coal</t>
        </is>
      </c>
      <c r="G3260" s="182" t="n">
        <v>2.41</v>
      </c>
      <c r="H3260" s="182" t="n">
        <v>0</v>
      </c>
      <c r="I3260" s="182" t="n">
        <v>0</v>
      </c>
      <c r="J3260" s="182" t="n">
        <v>0</v>
      </c>
      <c r="K3260" s="182" t="n">
        <v>9.59</v>
      </c>
      <c r="L3260" s="182" t="n">
        <v>12</v>
      </c>
      <c r="M3260" s="182" t="n">
        <v>1.76</v>
      </c>
      <c r="N3260" s="182" t="n">
        <v>0.65</v>
      </c>
      <c r="O3260" s="183" t="n">
        <v>3</v>
      </c>
      <c r="P3260" s="183" t="n">
        <v>2</v>
      </c>
      <c r="Q3260" s="184" t="n">
        <v>61.2</v>
      </c>
      <c r="R3260" s="184" t="n">
        <v>37.4</v>
      </c>
      <c r="S3260" s="183" t="n">
        <v>0</v>
      </c>
      <c r="T3260" s="183" t="n">
        <v>0</v>
      </c>
      <c r="U3260" s="182" t="n">
        <v>4.54</v>
      </c>
      <c r="V3260" s="182" t="n">
        <v>0</v>
      </c>
      <c r="W3260" s="182" t="n">
        <v>0</v>
      </c>
      <c r="X3260" s="182" t="n">
        <v>1.01</v>
      </c>
      <c r="Y3260" s="182" t="n">
        <v>0</v>
      </c>
      <c r="Z3260" s="182" t="n">
        <v>0.07000000000000001</v>
      </c>
      <c r="AA3260" s="182" t="n">
        <v>0</v>
      </c>
      <c r="AB3260" s="182" t="n">
        <v>0</v>
      </c>
      <c r="AC3260" s="182" t="n">
        <v>0</v>
      </c>
      <c r="AD3260" s="182" t="n">
        <v>3.38</v>
      </c>
      <c r="AE3260" s="182" t="n">
        <v>0</v>
      </c>
      <c r="AF3260" s="182" t="n">
        <v>0</v>
      </c>
      <c r="AG3260" s="182" t="n">
        <v>0</v>
      </c>
      <c r="AH3260" s="182" t="n">
        <v>0.5</v>
      </c>
      <c r="AI3260" s="182" t="n">
        <v>0</v>
      </c>
      <c r="AJ3260" s="182" t="n">
        <v>0</v>
      </c>
      <c r="AK3260" s="182" t="n">
        <v>0</v>
      </c>
      <c r="AL3260" s="182" t="n">
        <v>0</v>
      </c>
      <c r="AM3260" s="182" t="n">
        <v>0.08</v>
      </c>
      <c r="AN3260" s="182" t="n">
        <v>0</v>
      </c>
    </row>
    <row r="3261">
      <c r="A3261" s="155" t="n">
        <v>46096</v>
      </c>
      <c r="B3261" s="156" t="inlineStr">
        <is>
          <t>NS</t>
        </is>
      </c>
      <c r="C3261" s="156" t="inlineStr">
        <is>
          <t>DT-530</t>
        </is>
      </c>
      <c r="D3261" s="156" t="inlineStr">
        <is>
          <t>SKT 105S</t>
        </is>
      </c>
      <c r="E3261" s="156" t="inlineStr">
        <is>
          <t>Hauler</t>
        </is>
      </c>
      <c r="F3261" s="156" t="inlineStr"/>
      <c r="G3261" s="182" t="n">
        <v>0</v>
      </c>
      <c r="H3261" s="182" t="n">
        <v>0</v>
      </c>
      <c r="I3261" s="182" t="n">
        <v>12</v>
      </c>
      <c r="J3261" s="182" t="n">
        <v>12</v>
      </c>
      <c r="K3261" s="182" t="n">
        <v>0</v>
      </c>
      <c r="L3261" s="182" t="n">
        <v>12</v>
      </c>
      <c r="M3261" s="182" t="n">
        <v>0</v>
      </c>
      <c r="N3261" s="182" t="n">
        <v>0</v>
      </c>
      <c r="O3261" s="183" t="n">
        <v>0</v>
      </c>
      <c r="P3261" s="183" t="n">
        <v>0</v>
      </c>
      <c r="Q3261" s="184" t="n">
        <v>0</v>
      </c>
      <c r="R3261" s="184" t="n">
        <v>0</v>
      </c>
      <c r="S3261" s="183" t="n">
        <v>0</v>
      </c>
      <c r="T3261" s="183" t="n">
        <v>0</v>
      </c>
      <c r="U3261" s="182" t="n">
        <v>0</v>
      </c>
      <c r="V3261" s="182" t="n">
        <v>0</v>
      </c>
      <c r="W3261" s="182" t="n">
        <v>0</v>
      </c>
      <c r="X3261" s="182" t="n">
        <v>0</v>
      </c>
      <c r="Y3261" s="182" t="n">
        <v>0</v>
      </c>
      <c r="Z3261" s="182" t="n">
        <v>0</v>
      </c>
      <c r="AA3261" s="182" t="n">
        <v>0</v>
      </c>
      <c r="AB3261" s="182" t="n">
        <v>0</v>
      </c>
      <c r="AC3261" s="182" t="n">
        <v>0</v>
      </c>
      <c r="AD3261" s="182" t="n">
        <v>0</v>
      </c>
      <c r="AE3261" s="182" t="n">
        <v>0</v>
      </c>
      <c r="AF3261" s="182" t="n">
        <v>0</v>
      </c>
      <c r="AG3261" s="182" t="n">
        <v>0</v>
      </c>
      <c r="AH3261" s="182" t="n">
        <v>0</v>
      </c>
      <c r="AI3261" s="182" t="n">
        <v>0</v>
      </c>
      <c r="AJ3261" s="182" t="n">
        <v>0</v>
      </c>
      <c r="AK3261" s="182" t="n">
        <v>0</v>
      </c>
      <c r="AL3261" s="182" t="n">
        <v>0</v>
      </c>
      <c r="AM3261" s="182" t="n">
        <v>0</v>
      </c>
      <c r="AN3261" s="182" t="n">
        <v>0</v>
      </c>
    </row>
    <row r="3262">
      <c r="A3262" s="155" t="n">
        <v>46096</v>
      </c>
      <c r="B3262" s="156" t="inlineStr">
        <is>
          <t>NS</t>
        </is>
      </c>
      <c r="C3262" s="156" t="inlineStr">
        <is>
          <t>DT-525</t>
        </is>
      </c>
      <c r="D3262" s="156" t="inlineStr">
        <is>
          <t>SKT 105S</t>
        </is>
      </c>
      <c r="E3262" s="156" t="inlineStr">
        <is>
          <t>Hauler</t>
        </is>
      </c>
      <c r="F3262" s="156" t="inlineStr"/>
      <c r="G3262" s="182" t="n">
        <v>0</v>
      </c>
      <c r="H3262" s="182" t="n">
        <v>0</v>
      </c>
      <c r="I3262" s="182" t="n">
        <v>12</v>
      </c>
      <c r="J3262" s="182" t="n">
        <v>12</v>
      </c>
      <c r="K3262" s="182" t="n">
        <v>0</v>
      </c>
      <c r="L3262" s="182" t="n">
        <v>12</v>
      </c>
      <c r="M3262" s="182" t="n">
        <v>0</v>
      </c>
      <c r="N3262" s="182" t="n">
        <v>0</v>
      </c>
      <c r="O3262" s="183" t="n">
        <v>0</v>
      </c>
      <c r="P3262" s="183" t="n">
        <v>0</v>
      </c>
      <c r="Q3262" s="184" t="n">
        <v>0</v>
      </c>
      <c r="R3262" s="184" t="n">
        <v>0</v>
      </c>
      <c r="S3262" s="183" t="n">
        <v>0</v>
      </c>
      <c r="T3262" s="183" t="n">
        <v>0</v>
      </c>
      <c r="U3262" s="182" t="n">
        <v>0</v>
      </c>
      <c r="V3262" s="182" t="n">
        <v>0</v>
      </c>
      <c r="W3262" s="182" t="n">
        <v>0</v>
      </c>
      <c r="X3262" s="182" t="n">
        <v>0</v>
      </c>
      <c r="Y3262" s="182" t="n">
        <v>0</v>
      </c>
      <c r="Z3262" s="182" t="n">
        <v>0</v>
      </c>
      <c r="AA3262" s="182" t="n">
        <v>0</v>
      </c>
      <c r="AB3262" s="182" t="n">
        <v>0</v>
      </c>
      <c r="AC3262" s="182" t="n">
        <v>0</v>
      </c>
      <c r="AD3262" s="182" t="n">
        <v>0</v>
      </c>
      <c r="AE3262" s="182" t="n">
        <v>0</v>
      </c>
      <c r="AF3262" s="182" t="n">
        <v>0</v>
      </c>
      <c r="AG3262" s="182" t="n">
        <v>0</v>
      </c>
      <c r="AH3262" s="182" t="n">
        <v>0</v>
      </c>
      <c r="AI3262" s="182" t="n">
        <v>0</v>
      </c>
      <c r="AJ3262" s="182" t="n">
        <v>0</v>
      </c>
      <c r="AK3262" s="182" t="n">
        <v>0</v>
      </c>
      <c r="AL3262" s="182" t="n">
        <v>0</v>
      </c>
      <c r="AM3262" s="182" t="n">
        <v>0</v>
      </c>
      <c r="AN3262" s="182" t="n">
        <v>0</v>
      </c>
    </row>
    <row r="3263">
      <c r="A3263" s="155" t="n">
        <v>46096</v>
      </c>
      <c r="B3263" s="156" t="inlineStr">
        <is>
          <t>NS</t>
        </is>
      </c>
      <c r="C3263" s="156" t="inlineStr">
        <is>
          <t>DT-503</t>
        </is>
      </c>
      <c r="D3263" s="156" t="inlineStr">
        <is>
          <t>SKT 105S</t>
        </is>
      </c>
      <c r="E3263" s="156" t="inlineStr">
        <is>
          <t>Hauler</t>
        </is>
      </c>
      <c r="F3263" s="156" t="inlineStr">
        <is>
          <t>Hauling OB</t>
        </is>
      </c>
      <c r="G3263" s="182" t="n">
        <v>5.63</v>
      </c>
      <c r="H3263" s="182" t="n">
        <v>0</v>
      </c>
      <c r="I3263" s="182" t="n">
        <v>0</v>
      </c>
      <c r="J3263" s="182" t="n">
        <v>0</v>
      </c>
      <c r="K3263" s="182" t="n">
        <v>6.37</v>
      </c>
      <c r="L3263" s="182" t="n">
        <v>12</v>
      </c>
      <c r="M3263" s="182" t="n">
        <v>5.52</v>
      </c>
      <c r="N3263" s="182" t="n">
        <v>0</v>
      </c>
      <c r="O3263" s="183" t="n">
        <v>21</v>
      </c>
      <c r="P3263" s="183" t="n">
        <v>0</v>
      </c>
      <c r="Q3263" s="184" t="n">
        <v>428.4</v>
      </c>
      <c r="R3263" s="184" t="n">
        <v>0</v>
      </c>
      <c r="S3263" s="183" t="n">
        <v>0</v>
      </c>
      <c r="T3263" s="183" t="n">
        <v>0</v>
      </c>
      <c r="U3263" s="182" t="n">
        <v>4.52</v>
      </c>
      <c r="V3263" s="182" t="n">
        <v>0</v>
      </c>
      <c r="W3263" s="182" t="n">
        <v>0</v>
      </c>
      <c r="X3263" s="182" t="n">
        <v>1.01</v>
      </c>
      <c r="Y3263" s="182" t="n">
        <v>0</v>
      </c>
      <c r="Z3263" s="182" t="n">
        <v>0.07000000000000001</v>
      </c>
      <c r="AA3263" s="182" t="n">
        <v>0</v>
      </c>
      <c r="AB3263" s="182" t="n">
        <v>0</v>
      </c>
      <c r="AC3263" s="182" t="n">
        <v>0</v>
      </c>
      <c r="AD3263" s="182" t="n">
        <v>0.6899999999999999</v>
      </c>
      <c r="AE3263" s="182" t="n">
        <v>0</v>
      </c>
      <c r="AF3263" s="182" t="n">
        <v>0</v>
      </c>
      <c r="AG3263" s="182" t="n">
        <v>0</v>
      </c>
      <c r="AH3263" s="182" t="n">
        <v>0</v>
      </c>
      <c r="AI3263" s="182" t="n">
        <v>0</v>
      </c>
      <c r="AJ3263" s="182" t="n">
        <v>0</v>
      </c>
      <c r="AK3263" s="182" t="n">
        <v>0</v>
      </c>
      <c r="AL3263" s="182" t="n">
        <v>0</v>
      </c>
      <c r="AM3263" s="182" t="n">
        <v>0.08</v>
      </c>
      <c r="AN3263" s="182" t="n">
        <v>0</v>
      </c>
    </row>
    <row r="3264">
      <c r="A3264" s="155" t="n">
        <v>46096</v>
      </c>
      <c r="B3264" s="156" t="inlineStr">
        <is>
          <t>NS</t>
        </is>
      </c>
      <c r="C3264" s="156" t="inlineStr">
        <is>
          <t>DT-504</t>
        </is>
      </c>
      <c r="D3264" s="156" t="inlineStr">
        <is>
          <t>SKT 105S</t>
        </is>
      </c>
      <c r="E3264" s="156" t="inlineStr">
        <is>
          <t>Hauler</t>
        </is>
      </c>
      <c r="F3264" s="156" t="inlineStr"/>
      <c r="G3264" s="182" t="n">
        <v>0</v>
      </c>
      <c r="H3264" s="182" t="n">
        <v>0</v>
      </c>
      <c r="I3264" s="182" t="n">
        <v>0</v>
      </c>
      <c r="J3264" s="182" t="n">
        <v>0</v>
      </c>
      <c r="K3264" s="182" t="n">
        <v>12</v>
      </c>
      <c r="L3264" s="182" t="n">
        <v>12</v>
      </c>
      <c r="M3264" s="182" t="n">
        <v>0</v>
      </c>
      <c r="N3264" s="182" t="n">
        <v>0</v>
      </c>
      <c r="O3264" s="183" t="n">
        <v>0</v>
      </c>
      <c r="P3264" s="183" t="n">
        <v>0</v>
      </c>
      <c r="Q3264" s="184" t="n">
        <v>0</v>
      </c>
      <c r="R3264" s="184" t="n">
        <v>0</v>
      </c>
      <c r="S3264" s="183" t="n">
        <v>0</v>
      </c>
      <c r="T3264" s="183" t="n">
        <v>0</v>
      </c>
      <c r="U3264" s="182" t="n">
        <v>4.5</v>
      </c>
      <c r="V3264" s="182" t="n">
        <v>0</v>
      </c>
      <c r="W3264" s="182" t="n">
        <v>0</v>
      </c>
      <c r="X3264" s="182" t="n">
        <v>1</v>
      </c>
      <c r="Y3264" s="182" t="n">
        <v>0</v>
      </c>
      <c r="Z3264" s="182" t="n">
        <v>0</v>
      </c>
      <c r="AA3264" s="182" t="n">
        <v>0</v>
      </c>
      <c r="AB3264" s="182" t="n">
        <v>0</v>
      </c>
      <c r="AC3264" s="182" t="n">
        <v>0</v>
      </c>
      <c r="AD3264" s="182" t="n">
        <v>0</v>
      </c>
      <c r="AE3264" s="182" t="n">
        <v>0</v>
      </c>
      <c r="AF3264" s="182" t="n">
        <v>0</v>
      </c>
      <c r="AG3264" s="182" t="n">
        <v>0</v>
      </c>
      <c r="AH3264" s="182" t="n">
        <v>0</v>
      </c>
      <c r="AI3264" s="182" t="n">
        <v>0</v>
      </c>
      <c r="AJ3264" s="182" t="n">
        <v>0</v>
      </c>
      <c r="AK3264" s="182" t="n">
        <v>6.42</v>
      </c>
      <c r="AL3264" s="182" t="n">
        <v>0</v>
      </c>
      <c r="AM3264" s="182" t="n">
        <v>0.08</v>
      </c>
      <c r="AN3264" s="182" t="n">
        <v>0</v>
      </c>
    </row>
    <row r="3265">
      <c r="A3265" s="155" t="n">
        <v>46096</v>
      </c>
      <c r="B3265" s="156" t="inlineStr">
        <is>
          <t>NS</t>
        </is>
      </c>
      <c r="C3265" s="156" t="inlineStr">
        <is>
          <t>DT-507</t>
        </is>
      </c>
      <c r="D3265" s="156" t="inlineStr">
        <is>
          <t>SKT 105S</t>
        </is>
      </c>
      <c r="E3265" s="156" t="inlineStr">
        <is>
          <t>Hauler</t>
        </is>
      </c>
      <c r="F3265" s="156" t="inlineStr"/>
      <c r="G3265" s="182" t="n">
        <v>0</v>
      </c>
      <c r="H3265" s="182" t="n">
        <v>0</v>
      </c>
      <c r="I3265" s="182" t="n">
        <v>12</v>
      </c>
      <c r="J3265" s="182" t="n">
        <v>12</v>
      </c>
      <c r="K3265" s="182" t="n">
        <v>0</v>
      </c>
      <c r="L3265" s="182" t="n">
        <v>12</v>
      </c>
      <c r="M3265" s="182" t="n">
        <v>0</v>
      </c>
      <c r="N3265" s="182" t="n">
        <v>0</v>
      </c>
      <c r="O3265" s="183" t="n">
        <v>0</v>
      </c>
      <c r="P3265" s="183" t="n">
        <v>0</v>
      </c>
      <c r="Q3265" s="184" t="n">
        <v>0</v>
      </c>
      <c r="R3265" s="184" t="n">
        <v>0</v>
      </c>
      <c r="S3265" s="183" t="n">
        <v>0</v>
      </c>
      <c r="T3265" s="183" t="n">
        <v>0</v>
      </c>
      <c r="U3265" s="182" t="n">
        <v>0</v>
      </c>
      <c r="V3265" s="182" t="n">
        <v>0</v>
      </c>
      <c r="W3265" s="182" t="n">
        <v>0</v>
      </c>
      <c r="X3265" s="182" t="n">
        <v>0</v>
      </c>
      <c r="Y3265" s="182" t="n">
        <v>0</v>
      </c>
      <c r="Z3265" s="182" t="n">
        <v>0</v>
      </c>
      <c r="AA3265" s="182" t="n">
        <v>0</v>
      </c>
      <c r="AB3265" s="182" t="n">
        <v>0</v>
      </c>
      <c r="AC3265" s="182" t="n">
        <v>0</v>
      </c>
      <c r="AD3265" s="182" t="n">
        <v>0</v>
      </c>
      <c r="AE3265" s="182" t="n">
        <v>0</v>
      </c>
      <c r="AF3265" s="182" t="n">
        <v>0</v>
      </c>
      <c r="AG3265" s="182" t="n">
        <v>0</v>
      </c>
      <c r="AH3265" s="182" t="n">
        <v>0</v>
      </c>
      <c r="AI3265" s="182" t="n">
        <v>0</v>
      </c>
      <c r="AJ3265" s="182" t="n">
        <v>0</v>
      </c>
      <c r="AK3265" s="182" t="n">
        <v>0</v>
      </c>
      <c r="AL3265" s="182" t="n">
        <v>0</v>
      </c>
      <c r="AM3265" s="182" t="n">
        <v>0</v>
      </c>
      <c r="AN3265" s="182" t="n">
        <v>0</v>
      </c>
    </row>
    <row r="3266">
      <c r="A3266" s="155" t="n">
        <v>46096</v>
      </c>
      <c r="B3266" s="156" t="inlineStr">
        <is>
          <t>NS</t>
        </is>
      </c>
      <c r="C3266" s="156" t="inlineStr">
        <is>
          <t>DT-501</t>
        </is>
      </c>
      <c r="D3266" s="156" t="inlineStr">
        <is>
          <t>SKT 105S</t>
        </is>
      </c>
      <c r="E3266" s="156" t="inlineStr">
        <is>
          <t>Hauler</t>
        </is>
      </c>
      <c r="F3266" s="156" t="inlineStr">
        <is>
          <t>Hauling OB</t>
        </is>
      </c>
      <c r="G3266" s="182" t="n">
        <v>4.64</v>
      </c>
      <c r="H3266" s="182" t="n">
        <v>0</v>
      </c>
      <c r="I3266" s="182" t="n">
        <v>0</v>
      </c>
      <c r="J3266" s="182" t="n">
        <v>0</v>
      </c>
      <c r="K3266" s="182" t="n">
        <v>7.36</v>
      </c>
      <c r="L3266" s="182" t="n">
        <v>12</v>
      </c>
      <c r="M3266" s="182" t="n">
        <v>4.64</v>
      </c>
      <c r="N3266" s="182" t="n">
        <v>0</v>
      </c>
      <c r="O3266" s="183" t="n">
        <v>20</v>
      </c>
      <c r="P3266" s="183" t="n">
        <v>0</v>
      </c>
      <c r="Q3266" s="184" t="n">
        <v>408</v>
      </c>
      <c r="R3266" s="184" t="n">
        <v>0</v>
      </c>
      <c r="S3266" s="183" t="n">
        <v>0</v>
      </c>
      <c r="T3266" s="183" t="n">
        <v>0</v>
      </c>
      <c r="U3266" s="182" t="n">
        <v>4.6</v>
      </c>
      <c r="V3266" s="182" t="n">
        <v>0</v>
      </c>
      <c r="W3266" s="182" t="n">
        <v>0</v>
      </c>
      <c r="X3266" s="182" t="n">
        <v>1.02</v>
      </c>
      <c r="Y3266" s="182" t="n">
        <v>0</v>
      </c>
      <c r="Z3266" s="182" t="n">
        <v>0.07000000000000001</v>
      </c>
      <c r="AA3266" s="182" t="n">
        <v>0</v>
      </c>
      <c r="AB3266" s="182" t="n">
        <v>0</v>
      </c>
      <c r="AC3266" s="182" t="n">
        <v>0</v>
      </c>
      <c r="AD3266" s="182" t="n">
        <v>1.58</v>
      </c>
      <c r="AE3266" s="182" t="n">
        <v>0</v>
      </c>
      <c r="AF3266" s="182" t="n">
        <v>0</v>
      </c>
      <c r="AG3266" s="182" t="n">
        <v>0</v>
      </c>
      <c r="AH3266" s="182" t="n">
        <v>0</v>
      </c>
      <c r="AI3266" s="182" t="n">
        <v>0</v>
      </c>
      <c r="AJ3266" s="182" t="n">
        <v>0</v>
      </c>
      <c r="AK3266" s="182" t="n">
        <v>0</v>
      </c>
      <c r="AL3266" s="182" t="n">
        <v>0</v>
      </c>
      <c r="AM3266" s="182" t="n">
        <v>0.08</v>
      </c>
      <c r="AN3266" s="182" t="n">
        <v>0</v>
      </c>
    </row>
    <row r="3267">
      <c r="A3267" s="155" t="n">
        <v>46096</v>
      </c>
      <c r="B3267" s="156" t="inlineStr">
        <is>
          <t>NS</t>
        </is>
      </c>
      <c r="C3267" s="156" t="inlineStr">
        <is>
          <t>DT-518</t>
        </is>
      </c>
      <c r="D3267" s="156" t="inlineStr">
        <is>
          <t>SKT 105S</t>
        </is>
      </c>
      <c r="E3267" s="156" t="inlineStr">
        <is>
          <t>Hauler</t>
        </is>
      </c>
      <c r="F3267" s="156" t="inlineStr">
        <is>
          <t>Hauling OB</t>
        </is>
      </c>
      <c r="G3267" s="182" t="n">
        <v>5.29</v>
      </c>
      <c r="H3267" s="182" t="n">
        <v>0</v>
      </c>
      <c r="I3267" s="182" t="n">
        <v>0.85</v>
      </c>
      <c r="J3267" s="182" t="n">
        <v>0.85</v>
      </c>
      <c r="K3267" s="182" t="n">
        <v>5.86</v>
      </c>
      <c r="L3267" s="182" t="n">
        <v>12</v>
      </c>
      <c r="M3267" s="182" t="n">
        <v>5.29</v>
      </c>
      <c r="N3267" s="182" t="n">
        <v>0</v>
      </c>
      <c r="O3267" s="183" t="n">
        <v>19</v>
      </c>
      <c r="P3267" s="183" t="n">
        <v>0</v>
      </c>
      <c r="Q3267" s="184" t="n">
        <v>387.6</v>
      </c>
      <c r="R3267" s="184" t="n">
        <v>0</v>
      </c>
      <c r="S3267" s="183" t="n">
        <v>0</v>
      </c>
      <c r="T3267" s="183" t="n">
        <v>0</v>
      </c>
      <c r="U3267" s="182" t="n">
        <v>3.81</v>
      </c>
      <c r="V3267" s="182" t="n">
        <v>0</v>
      </c>
      <c r="W3267" s="182" t="n">
        <v>0</v>
      </c>
      <c r="X3267" s="182" t="n">
        <v>1.04</v>
      </c>
      <c r="Y3267" s="182" t="n">
        <v>0</v>
      </c>
      <c r="Z3267" s="182" t="n">
        <v>0</v>
      </c>
      <c r="AA3267" s="182" t="n">
        <v>0</v>
      </c>
      <c r="AB3267" s="182" t="n">
        <v>0</v>
      </c>
      <c r="AC3267" s="182" t="n">
        <v>0</v>
      </c>
      <c r="AD3267" s="182" t="n">
        <v>0.93</v>
      </c>
      <c r="AE3267" s="182" t="n">
        <v>0</v>
      </c>
      <c r="AF3267" s="182" t="n">
        <v>0</v>
      </c>
      <c r="AG3267" s="182" t="n">
        <v>0</v>
      </c>
      <c r="AH3267" s="182" t="n">
        <v>0</v>
      </c>
      <c r="AI3267" s="182" t="n">
        <v>0</v>
      </c>
      <c r="AJ3267" s="182" t="n">
        <v>0</v>
      </c>
      <c r="AK3267" s="182" t="n">
        <v>0</v>
      </c>
      <c r="AL3267" s="182" t="n">
        <v>0</v>
      </c>
      <c r="AM3267" s="182" t="n">
        <v>0.08</v>
      </c>
      <c r="AN3267" s="182" t="n">
        <v>0</v>
      </c>
    </row>
    <row r="3268">
      <c r="A3268" s="155" t="n">
        <v>46096</v>
      </c>
      <c r="B3268" s="156" t="inlineStr">
        <is>
          <t>NS</t>
        </is>
      </c>
      <c r="C3268" s="156" t="inlineStr">
        <is>
          <t>DT-514</t>
        </is>
      </c>
      <c r="D3268" s="156" t="inlineStr">
        <is>
          <t>SKT 105S</t>
        </is>
      </c>
      <c r="E3268" s="156" t="inlineStr">
        <is>
          <t>Hauler</t>
        </is>
      </c>
      <c r="F3268" s="156" t="inlineStr">
        <is>
          <t>Hauling OB</t>
        </is>
      </c>
      <c r="G3268" s="182" t="n">
        <v>3.01</v>
      </c>
      <c r="H3268" s="182" t="n">
        <v>0</v>
      </c>
      <c r="I3268" s="182" t="n">
        <v>0.22</v>
      </c>
      <c r="J3268" s="182" t="n">
        <v>0.22</v>
      </c>
      <c r="K3268" s="182" t="n">
        <v>8.77</v>
      </c>
      <c r="L3268" s="182" t="n">
        <v>12</v>
      </c>
      <c r="M3268" s="182" t="n">
        <v>3.01</v>
      </c>
      <c r="N3268" s="182" t="n">
        <v>0</v>
      </c>
      <c r="O3268" s="183" t="n">
        <v>8</v>
      </c>
      <c r="P3268" s="183" t="n">
        <v>0</v>
      </c>
      <c r="Q3268" s="184" t="n">
        <v>163.2</v>
      </c>
      <c r="R3268" s="184" t="n">
        <v>0</v>
      </c>
      <c r="S3268" s="183" t="n">
        <v>0</v>
      </c>
      <c r="T3268" s="183" t="n">
        <v>0</v>
      </c>
      <c r="U3268" s="182" t="n">
        <v>4.25</v>
      </c>
      <c r="V3268" s="182" t="n">
        <v>0</v>
      </c>
      <c r="W3268" s="182" t="n">
        <v>0</v>
      </c>
      <c r="X3268" s="182" t="n">
        <v>0.95</v>
      </c>
      <c r="Y3268" s="182" t="n">
        <v>0</v>
      </c>
      <c r="Z3268" s="182" t="n">
        <v>0</v>
      </c>
      <c r="AA3268" s="182" t="n">
        <v>0</v>
      </c>
      <c r="AB3268" s="182" t="n">
        <v>0</v>
      </c>
      <c r="AC3268" s="182" t="n">
        <v>0</v>
      </c>
      <c r="AD3268" s="182" t="n">
        <v>0.64</v>
      </c>
      <c r="AE3268" s="182" t="n">
        <v>0</v>
      </c>
      <c r="AF3268" s="182" t="n">
        <v>0</v>
      </c>
      <c r="AG3268" s="182" t="n">
        <v>0</v>
      </c>
      <c r="AH3268" s="182" t="n">
        <v>0.26</v>
      </c>
      <c r="AI3268" s="182" t="n">
        <v>0</v>
      </c>
      <c r="AJ3268" s="182" t="n">
        <v>0</v>
      </c>
      <c r="AK3268" s="182" t="n">
        <v>2.6</v>
      </c>
      <c r="AL3268" s="182" t="n">
        <v>0</v>
      </c>
      <c r="AM3268" s="182" t="n">
        <v>0.08</v>
      </c>
      <c r="AN3268" s="182" t="n">
        <v>0</v>
      </c>
    </row>
    <row r="3269">
      <c r="A3269" s="155" t="n">
        <v>46096</v>
      </c>
      <c r="B3269" s="156" t="inlineStr">
        <is>
          <t>NS</t>
        </is>
      </c>
      <c r="C3269" s="156" t="inlineStr">
        <is>
          <t>DT-523</t>
        </is>
      </c>
      <c r="D3269" s="156" t="inlineStr">
        <is>
          <t>SKT 105S</t>
        </is>
      </c>
      <c r="E3269" s="156" t="inlineStr">
        <is>
          <t>Hauler</t>
        </is>
      </c>
      <c r="F3269" s="156" t="inlineStr">
        <is>
          <t>Hauling Coal &amp; OB</t>
        </is>
      </c>
      <c r="G3269" s="182" t="n">
        <v>5.56</v>
      </c>
      <c r="H3269" s="182" t="n">
        <v>0</v>
      </c>
      <c r="I3269" s="182" t="n">
        <v>0</v>
      </c>
      <c r="J3269" s="182" t="n">
        <v>0</v>
      </c>
      <c r="K3269" s="182" t="n">
        <v>6.44</v>
      </c>
      <c r="L3269" s="182" t="n">
        <v>12</v>
      </c>
      <c r="M3269" s="182" t="n">
        <v>5.25</v>
      </c>
      <c r="N3269" s="182" t="n">
        <v>0.32</v>
      </c>
      <c r="O3269" s="183" t="n">
        <v>18</v>
      </c>
      <c r="P3269" s="183" t="n">
        <v>1</v>
      </c>
      <c r="Q3269" s="184" t="n">
        <v>367.2</v>
      </c>
      <c r="R3269" s="184" t="n">
        <v>18.7</v>
      </c>
      <c r="S3269" s="183" t="n">
        <v>0</v>
      </c>
      <c r="T3269" s="183" t="n">
        <v>0</v>
      </c>
      <c r="U3269" s="182" t="n">
        <v>4.31</v>
      </c>
      <c r="V3269" s="182" t="n">
        <v>0</v>
      </c>
      <c r="W3269" s="182" t="n">
        <v>0</v>
      </c>
      <c r="X3269" s="182" t="n">
        <v>1.04</v>
      </c>
      <c r="Y3269" s="182" t="n">
        <v>0</v>
      </c>
      <c r="Z3269" s="182" t="n">
        <v>0.07000000000000001</v>
      </c>
      <c r="AA3269" s="182" t="n">
        <v>0</v>
      </c>
      <c r="AB3269" s="182" t="n">
        <v>0</v>
      </c>
      <c r="AC3269" s="182" t="n">
        <v>0</v>
      </c>
      <c r="AD3269" s="182" t="n">
        <v>0.93</v>
      </c>
      <c r="AE3269" s="182" t="n">
        <v>0</v>
      </c>
      <c r="AF3269" s="182" t="n">
        <v>0</v>
      </c>
      <c r="AG3269" s="182" t="n">
        <v>0</v>
      </c>
      <c r="AH3269" s="182" t="n">
        <v>0</v>
      </c>
      <c r="AI3269" s="182" t="n">
        <v>0</v>
      </c>
      <c r="AJ3269" s="182" t="n">
        <v>0</v>
      </c>
      <c r="AK3269" s="182" t="n">
        <v>0</v>
      </c>
      <c r="AL3269" s="182" t="n">
        <v>0</v>
      </c>
      <c r="AM3269" s="182" t="n">
        <v>0.08</v>
      </c>
      <c r="AN3269" s="182" t="n">
        <v>0</v>
      </c>
    </row>
    <row r="3270">
      <c r="A3270" s="155" t="n">
        <v>46096</v>
      </c>
      <c r="B3270" s="156" t="inlineStr">
        <is>
          <t>NS</t>
        </is>
      </c>
      <c r="C3270" s="156" t="inlineStr">
        <is>
          <t>DT-519</t>
        </is>
      </c>
      <c r="D3270" s="156" t="inlineStr">
        <is>
          <t>SKT 105S</t>
        </is>
      </c>
      <c r="E3270" s="156" t="inlineStr">
        <is>
          <t>Hauler</t>
        </is>
      </c>
      <c r="F3270" s="156" t="inlineStr">
        <is>
          <t>Hauling OB</t>
        </is>
      </c>
      <c r="G3270" s="182" t="n">
        <v>0.97</v>
      </c>
      <c r="H3270" s="182" t="n">
        <v>0</v>
      </c>
      <c r="I3270" s="182" t="n">
        <v>10.98</v>
      </c>
      <c r="J3270" s="182" t="n">
        <v>10.98</v>
      </c>
      <c r="K3270" s="182" t="n">
        <v>0.05</v>
      </c>
      <c r="L3270" s="182" t="n">
        <v>12</v>
      </c>
      <c r="M3270" s="182" t="n">
        <v>0.97</v>
      </c>
      <c r="N3270" s="182" t="n">
        <v>0</v>
      </c>
      <c r="O3270" s="183" t="n">
        <v>3</v>
      </c>
      <c r="P3270" s="183" t="n">
        <v>0</v>
      </c>
      <c r="Q3270" s="184" t="n">
        <v>61.2</v>
      </c>
      <c r="R3270" s="184" t="n">
        <v>0</v>
      </c>
      <c r="S3270" s="183" t="n">
        <v>0</v>
      </c>
      <c r="T3270" s="183" t="n">
        <v>0</v>
      </c>
      <c r="U3270" s="182" t="n">
        <v>0</v>
      </c>
      <c r="V3270" s="182" t="n">
        <v>0</v>
      </c>
      <c r="W3270" s="182" t="n">
        <v>0</v>
      </c>
      <c r="X3270" s="182" t="n">
        <v>0</v>
      </c>
      <c r="Y3270" s="182" t="n">
        <v>0</v>
      </c>
      <c r="Z3270" s="182" t="n">
        <v>0</v>
      </c>
      <c r="AA3270" s="182" t="n">
        <v>0</v>
      </c>
      <c r="AB3270" s="182" t="n">
        <v>0</v>
      </c>
      <c r="AC3270" s="182" t="n">
        <v>0</v>
      </c>
      <c r="AD3270" s="182" t="n">
        <v>0</v>
      </c>
      <c r="AE3270" s="182" t="n">
        <v>0</v>
      </c>
      <c r="AF3270" s="182" t="n">
        <v>0</v>
      </c>
      <c r="AG3270" s="182" t="n">
        <v>0</v>
      </c>
      <c r="AH3270" s="182" t="n">
        <v>0</v>
      </c>
      <c r="AI3270" s="182" t="n">
        <v>0</v>
      </c>
      <c r="AJ3270" s="182" t="n">
        <v>0</v>
      </c>
      <c r="AK3270" s="182" t="n">
        <v>0</v>
      </c>
      <c r="AL3270" s="182" t="n">
        <v>0</v>
      </c>
      <c r="AM3270" s="182" t="n">
        <v>0.05</v>
      </c>
      <c r="AN3270" s="182" t="n">
        <v>0</v>
      </c>
    </row>
    <row r="3271">
      <c r="A3271" s="155" t="n">
        <v>46096</v>
      </c>
      <c r="B3271" s="156" t="inlineStr">
        <is>
          <t>NS</t>
        </is>
      </c>
      <c r="C3271" s="156" t="inlineStr">
        <is>
          <t>DT-527</t>
        </is>
      </c>
      <c r="D3271" s="156" t="inlineStr">
        <is>
          <t>SKT 105S</t>
        </is>
      </c>
      <c r="E3271" s="156" t="inlineStr">
        <is>
          <t>Hauler</t>
        </is>
      </c>
      <c r="F3271" s="156" t="inlineStr">
        <is>
          <t>Hauling OB &amp; Coal</t>
        </is>
      </c>
      <c r="G3271" s="182" t="n">
        <v>1.85</v>
      </c>
      <c r="H3271" s="182" t="n">
        <v>0</v>
      </c>
      <c r="I3271" s="182" t="n">
        <v>0</v>
      </c>
      <c r="J3271" s="182" t="n">
        <v>0</v>
      </c>
      <c r="K3271" s="182" t="n">
        <v>10.15</v>
      </c>
      <c r="L3271" s="182" t="n">
        <v>12</v>
      </c>
      <c r="M3271" s="182" t="n">
        <v>1.26</v>
      </c>
      <c r="N3271" s="182" t="n">
        <v>0.59</v>
      </c>
      <c r="O3271" s="183" t="n">
        <v>3</v>
      </c>
      <c r="P3271" s="183" t="n">
        <v>2</v>
      </c>
      <c r="Q3271" s="184" t="n">
        <v>61.2</v>
      </c>
      <c r="R3271" s="184" t="n">
        <v>37.4</v>
      </c>
      <c r="S3271" s="183" t="n">
        <v>0</v>
      </c>
      <c r="T3271" s="183" t="n">
        <v>0</v>
      </c>
      <c r="U3271" s="182" t="n">
        <v>4.61</v>
      </c>
      <c r="V3271" s="182" t="n">
        <v>0</v>
      </c>
      <c r="W3271" s="182" t="n">
        <v>0</v>
      </c>
      <c r="X3271" s="182" t="n">
        <v>1.03</v>
      </c>
      <c r="Y3271" s="182" t="n">
        <v>0</v>
      </c>
      <c r="Z3271" s="182" t="n">
        <v>0</v>
      </c>
      <c r="AA3271" s="182" t="n">
        <v>0</v>
      </c>
      <c r="AB3271" s="182" t="n">
        <v>0</v>
      </c>
      <c r="AC3271" s="182" t="n">
        <v>0</v>
      </c>
      <c r="AD3271" s="182" t="n">
        <v>3.92</v>
      </c>
      <c r="AE3271" s="182" t="n">
        <v>0</v>
      </c>
      <c r="AF3271" s="182" t="n">
        <v>0</v>
      </c>
      <c r="AG3271" s="182" t="n">
        <v>0</v>
      </c>
      <c r="AH3271" s="182" t="n">
        <v>0.51</v>
      </c>
      <c r="AI3271" s="182" t="n">
        <v>0</v>
      </c>
      <c r="AJ3271" s="182" t="n">
        <v>0</v>
      </c>
      <c r="AK3271" s="182" t="n">
        <v>0</v>
      </c>
      <c r="AL3271" s="182" t="n">
        <v>0</v>
      </c>
      <c r="AM3271" s="182" t="n">
        <v>0.08</v>
      </c>
      <c r="AN3271" s="182" t="n">
        <v>0</v>
      </c>
    </row>
    <row r="3272">
      <c r="A3272" s="155" t="n">
        <v>46096</v>
      </c>
      <c r="B3272" s="156" t="inlineStr">
        <is>
          <t>NS</t>
        </is>
      </c>
      <c r="C3272" s="156" t="inlineStr">
        <is>
          <t>DT-513</t>
        </is>
      </c>
      <c r="D3272" s="156" t="inlineStr">
        <is>
          <t>SKT 105S</t>
        </is>
      </c>
      <c r="E3272" s="156" t="inlineStr">
        <is>
          <t>Hauler</t>
        </is>
      </c>
      <c r="F3272" s="156" t="inlineStr">
        <is>
          <t>Hauling OB</t>
        </is>
      </c>
      <c r="G3272" s="182" t="n">
        <v>5.98</v>
      </c>
      <c r="H3272" s="182" t="n">
        <v>0</v>
      </c>
      <c r="I3272" s="182" t="n">
        <v>0</v>
      </c>
      <c r="J3272" s="182" t="n">
        <v>0</v>
      </c>
      <c r="K3272" s="182" t="n">
        <v>6.02</v>
      </c>
      <c r="L3272" s="182" t="n">
        <v>12</v>
      </c>
      <c r="M3272" s="182" t="n">
        <v>5.98</v>
      </c>
      <c r="N3272" s="182" t="n">
        <v>0</v>
      </c>
      <c r="O3272" s="183" t="n">
        <v>18</v>
      </c>
      <c r="P3272" s="183" t="n">
        <v>0</v>
      </c>
      <c r="Q3272" s="184" t="n">
        <v>367.2</v>
      </c>
      <c r="R3272" s="184" t="n">
        <v>0</v>
      </c>
      <c r="S3272" s="183" t="n">
        <v>0</v>
      </c>
      <c r="T3272" s="183" t="n">
        <v>0</v>
      </c>
      <c r="U3272" s="182" t="n">
        <v>4.03</v>
      </c>
      <c r="V3272" s="182" t="n">
        <v>0</v>
      </c>
      <c r="W3272" s="182" t="n">
        <v>0</v>
      </c>
      <c r="X3272" s="182" t="n">
        <v>0.97</v>
      </c>
      <c r="Y3272" s="182" t="n">
        <v>0</v>
      </c>
      <c r="Z3272" s="182" t="n">
        <v>0.07000000000000001</v>
      </c>
      <c r="AA3272" s="182" t="n">
        <v>0</v>
      </c>
      <c r="AB3272" s="182" t="n">
        <v>0</v>
      </c>
      <c r="AC3272" s="182" t="n">
        <v>0</v>
      </c>
      <c r="AD3272" s="182" t="n">
        <v>0.87</v>
      </c>
      <c r="AE3272" s="182" t="n">
        <v>0</v>
      </c>
      <c r="AF3272" s="182" t="n">
        <v>0</v>
      </c>
      <c r="AG3272" s="182" t="n">
        <v>0</v>
      </c>
      <c r="AH3272" s="182" t="n">
        <v>0</v>
      </c>
      <c r="AI3272" s="182" t="n">
        <v>0</v>
      </c>
      <c r="AJ3272" s="182" t="n">
        <v>0</v>
      </c>
      <c r="AK3272" s="182" t="n">
        <v>0</v>
      </c>
      <c r="AL3272" s="182" t="n">
        <v>0</v>
      </c>
      <c r="AM3272" s="182" t="n">
        <v>0.08</v>
      </c>
      <c r="AN3272" s="182" t="n">
        <v>0</v>
      </c>
    </row>
    <row r="3273">
      <c r="A3273" s="155" t="n">
        <v>46096</v>
      </c>
      <c r="B3273" s="156" t="inlineStr">
        <is>
          <t>NS</t>
        </is>
      </c>
      <c r="C3273" s="156" t="inlineStr">
        <is>
          <t>DT-512</t>
        </is>
      </c>
      <c r="D3273" s="156" t="inlineStr">
        <is>
          <t>SKT 105S</t>
        </is>
      </c>
      <c r="E3273" s="156" t="inlineStr">
        <is>
          <t>Hauler</t>
        </is>
      </c>
      <c r="F3273" s="156" t="inlineStr">
        <is>
          <t>Hauling OB</t>
        </is>
      </c>
      <c r="G3273" s="182" t="n">
        <v>2.28</v>
      </c>
      <c r="H3273" s="182" t="n">
        <v>0</v>
      </c>
      <c r="I3273" s="182" t="n">
        <v>0</v>
      </c>
      <c r="J3273" s="182" t="n">
        <v>0</v>
      </c>
      <c r="K3273" s="182" t="n">
        <v>9.720000000000001</v>
      </c>
      <c r="L3273" s="182" t="n">
        <v>12</v>
      </c>
      <c r="M3273" s="182" t="n">
        <v>2.28</v>
      </c>
      <c r="N3273" s="182" t="n">
        <v>0</v>
      </c>
      <c r="O3273" s="183" t="n">
        <v>3</v>
      </c>
      <c r="P3273" s="183" t="n">
        <v>0</v>
      </c>
      <c r="Q3273" s="184" t="n">
        <v>61.2</v>
      </c>
      <c r="R3273" s="184" t="n">
        <v>0</v>
      </c>
      <c r="S3273" s="183" t="n">
        <v>0</v>
      </c>
      <c r="T3273" s="183" t="n">
        <v>0</v>
      </c>
      <c r="U3273" s="182" t="n">
        <v>4.42</v>
      </c>
      <c r="V3273" s="182" t="n">
        <v>0</v>
      </c>
      <c r="W3273" s="182" t="n">
        <v>0</v>
      </c>
      <c r="X3273" s="182" t="n">
        <v>0.98</v>
      </c>
      <c r="Y3273" s="182" t="n">
        <v>0</v>
      </c>
      <c r="Z3273" s="182" t="n">
        <v>0.07000000000000001</v>
      </c>
      <c r="AA3273" s="182" t="n">
        <v>0</v>
      </c>
      <c r="AB3273" s="182" t="n">
        <v>0</v>
      </c>
      <c r="AC3273" s="182" t="n">
        <v>0</v>
      </c>
      <c r="AD3273" s="182" t="n">
        <v>4.17</v>
      </c>
      <c r="AE3273" s="182" t="n">
        <v>0</v>
      </c>
      <c r="AF3273" s="182" t="n">
        <v>0</v>
      </c>
      <c r="AG3273" s="182" t="n">
        <v>0</v>
      </c>
      <c r="AH3273" s="182" t="n">
        <v>0</v>
      </c>
      <c r="AI3273" s="182" t="n">
        <v>0</v>
      </c>
      <c r="AJ3273" s="182" t="n">
        <v>0</v>
      </c>
      <c r="AK3273" s="182" t="n">
        <v>0</v>
      </c>
      <c r="AL3273" s="182" t="n">
        <v>0</v>
      </c>
      <c r="AM3273" s="182" t="n">
        <v>0.08</v>
      </c>
      <c r="AN3273" s="182" t="n">
        <v>0</v>
      </c>
    </row>
    <row r="3274">
      <c r="A3274" s="155" t="n">
        <v>46096</v>
      </c>
      <c r="B3274" s="156" t="inlineStr">
        <is>
          <t>NS</t>
        </is>
      </c>
      <c r="C3274" s="156" t="inlineStr">
        <is>
          <t>DT-522</t>
        </is>
      </c>
      <c r="D3274" s="156" t="inlineStr">
        <is>
          <t>SKT 105S</t>
        </is>
      </c>
      <c r="E3274" s="156" t="inlineStr">
        <is>
          <t>Hauler</t>
        </is>
      </c>
      <c r="F3274" s="156" t="inlineStr">
        <is>
          <t>Hauling OB</t>
        </is>
      </c>
      <c r="G3274" s="182" t="n">
        <v>6.52</v>
      </c>
      <c r="H3274" s="182" t="n">
        <v>0</v>
      </c>
      <c r="I3274" s="182" t="n">
        <v>0</v>
      </c>
      <c r="J3274" s="182" t="n">
        <v>0</v>
      </c>
      <c r="K3274" s="182" t="n">
        <v>5.48</v>
      </c>
      <c r="L3274" s="182" t="n">
        <v>12</v>
      </c>
      <c r="M3274" s="182" t="n">
        <v>6.52</v>
      </c>
      <c r="N3274" s="182" t="n">
        <v>0</v>
      </c>
      <c r="O3274" s="183" t="n">
        <v>20</v>
      </c>
      <c r="P3274" s="183" t="n">
        <v>0</v>
      </c>
      <c r="Q3274" s="184" t="n">
        <v>408</v>
      </c>
      <c r="R3274" s="184" t="n">
        <v>0</v>
      </c>
      <c r="S3274" s="183" t="n">
        <v>0</v>
      </c>
      <c r="T3274" s="183" t="n">
        <v>0</v>
      </c>
      <c r="U3274" s="182" t="n">
        <v>4.31</v>
      </c>
      <c r="V3274" s="182" t="n">
        <v>0</v>
      </c>
      <c r="W3274" s="182" t="n">
        <v>0</v>
      </c>
      <c r="X3274" s="182" t="n">
        <v>1.01</v>
      </c>
      <c r="Y3274" s="182" t="n">
        <v>0</v>
      </c>
      <c r="Z3274" s="182" t="n">
        <v>0.07000000000000001</v>
      </c>
      <c r="AA3274" s="182" t="n">
        <v>0</v>
      </c>
      <c r="AB3274" s="182" t="n">
        <v>0</v>
      </c>
      <c r="AC3274" s="182" t="n">
        <v>0</v>
      </c>
      <c r="AD3274" s="182" t="n">
        <v>0</v>
      </c>
      <c r="AE3274" s="182" t="n">
        <v>0</v>
      </c>
      <c r="AF3274" s="182" t="n">
        <v>0</v>
      </c>
      <c r="AG3274" s="182" t="n">
        <v>0</v>
      </c>
      <c r="AH3274" s="182" t="n">
        <v>0</v>
      </c>
      <c r="AI3274" s="182" t="n">
        <v>0</v>
      </c>
      <c r="AJ3274" s="182" t="n">
        <v>0</v>
      </c>
      <c r="AK3274" s="182" t="n">
        <v>0</v>
      </c>
      <c r="AL3274" s="182" t="n">
        <v>0</v>
      </c>
      <c r="AM3274" s="182" t="n">
        <v>0.08</v>
      </c>
      <c r="AN3274" s="182" t="n">
        <v>0</v>
      </c>
    </row>
    <row r="3275">
      <c r="A3275" s="155" t="n">
        <v>46096</v>
      </c>
      <c r="B3275" s="156" t="inlineStr">
        <is>
          <t>NS</t>
        </is>
      </c>
      <c r="C3275" s="156" t="inlineStr">
        <is>
          <t>DT-517</t>
        </is>
      </c>
      <c r="D3275" s="156" t="inlineStr">
        <is>
          <t>SKT 105S</t>
        </is>
      </c>
      <c r="E3275" s="156" t="inlineStr">
        <is>
          <t>Hauler</t>
        </is>
      </c>
      <c r="F3275" s="156" t="inlineStr">
        <is>
          <t>Hauling OB</t>
        </is>
      </c>
      <c r="G3275" s="182" t="n">
        <v>5.95</v>
      </c>
      <c r="H3275" s="182" t="n">
        <v>0</v>
      </c>
      <c r="I3275" s="182" t="n">
        <v>0</v>
      </c>
      <c r="J3275" s="182" t="n">
        <v>0</v>
      </c>
      <c r="K3275" s="182" t="n">
        <v>6.05</v>
      </c>
      <c r="L3275" s="182" t="n">
        <v>12</v>
      </c>
      <c r="M3275" s="182" t="n">
        <v>5.72</v>
      </c>
      <c r="N3275" s="182" t="n">
        <v>0</v>
      </c>
      <c r="O3275" s="183" t="n">
        <v>16</v>
      </c>
      <c r="P3275" s="183" t="n">
        <v>0</v>
      </c>
      <c r="Q3275" s="184" t="n">
        <v>326.4</v>
      </c>
      <c r="R3275" s="184" t="n">
        <v>0</v>
      </c>
      <c r="S3275" s="183" t="n">
        <v>0</v>
      </c>
      <c r="T3275" s="183" t="n">
        <v>0</v>
      </c>
      <c r="U3275" s="182" t="n">
        <v>4.39</v>
      </c>
      <c r="V3275" s="182" t="n">
        <v>0</v>
      </c>
      <c r="W3275" s="182" t="n">
        <v>0</v>
      </c>
      <c r="X3275" s="182" t="n">
        <v>0.98</v>
      </c>
      <c r="Y3275" s="182" t="n">
        <v>0</v>
      </c>
      <c r="Z3275" s="182" t="n">
        <v>0.07000000000000001</v>
      </c>
      <c r="AA3275" s="182" t="n">
        <v>0</v>
      </c>
      <c r="AB3275" s="182" t="n">
        <v>0</v>
      </c>
      <c r="AC3275" s="182" t="n">
        <v>0</v>
      </c>
      <c r="AD3275" s="182" t="n">
        <v>0</v>
      </c>
      <c r="AE3275" s="182" t="n">
        <v>0</v>
      </c>
      <c r="AF3275" s="182" t="n">
        <v>0</v>
      </c>
      <c r="AG3275" s="182" t="n">
        <v>0</v>
      </c>
      <c r="AH3275" s="182" t="n">
        <v>0.54</v>
      </c>
      <c r="AI3275" s="182" t="n">
        <v>0</v>
      </c>
      <c r="AJ3275" s="182" t="n">
        <v>0</v>
      </c>
      <c r="AK3275" s="182" t="n">
        <v>0</v>
      </c>
      <c r="AL3275" s="182" t="n">
        <v>0</v>
      </c>
      <c r="AM3275" s="182" t="n">
        <v>0.08</v>
      </c>
      <c r="AN3275" s="182" t="n">
        <v>0</v>
      </c>
    </row>
    <row r="3276">
      <c r="A3276" s="155" t="n">
        <v>46096</v>
      </c>
      <c r="B3276" s="156" t="inlineStr">
        <is>
          <t>NS</t>
        </is>
      </c>
      <c r="C3276" s="156" t="inlineStr">
        <is>
          <t>DT-510</t>
        </is>
      </c>
      <c r="D3276" s="156" t="inlineStr">
        <is>
          <t>SKT 105S</t>
        </is>
      </c>
      <c r="E3276" s="156" t="inlineStr">
        <is>
          <t>Hauler</t>
        </is>
      </c>
      <c r="F3276" s="156" t="inlineStr">
        <is>
          <t>Hauling OB</t>
        </is>
      </c>
      <c r="G3276" s="182" t="n">
        <v>4.85</v>
      </c>
      <c r="H3276" s="182" t="n">
        <v>0</v>
      </c>
      <c r="I3276" s="182" t="n">
        <v>0</v>
      </c>
      <c r="J3276" s="182" t="n">
        <v>0</v>
      </c>
      <c r="K3276" s="182" t="n">
        <v>7.15</v>
      </c>
      <c r="L3276" s="182" t="n">
        <v>12</v>
      </c>
      <c r="M3276" s="182" t="n">
        <v>4.85</v>
      </c>
      <c r="N3276" s="182" t="n">
        <v>0</v>
      </c>
      <c r="O3276" s="183" t="n">
        <v>13</v>
      </c>
      <c r="P3276" s="183" t="n">
        <v>0</v>
      </c>
      <c r="Q3276" s="184" t="n">
        <v>265.2</v>
      </c>
      <c r="R3276" s="184" t="n">
        <v>0</v>
      </c>
      <c r="S3276" s="183" t="n">
        <v>0</v>
      </c>
      <c r="T3276" s="183" t="n">
        <v>0</v>
      </c>
      <c r="U3276" s="182" t="n">
        <v>4.35</v>
      </c>
      <c r="V3276" s="182" t="n">
        <v>0</v>
      </c>
      <c r="W3276" s="182" t="n">
        <v>0</v>
      </c>
      <c r="X3276" s="182" t="n">
        <v>0.97</v>
      </c>
      <c r="Y3276" s="182" t="n">
        <v>0</v>
      </c>
      <c r="Z3276" s="182" t="n">
        <v>0</v>
      </c>
      <c r="AA3276" s="182" t="n">
        <v>0</v>
      </c>
      <c r="AB3276" s="182" t="n">
        <v>0</v>
      </c>
      <c r="AC3276" s="182" t="n">
        <v>0</v>
      </c>
      <c r="AD3276" s="182" t="n">
        <v>0</v>
      </c>
      <c r="AE3276" s="182" t="n">
        <v>0</v>
      </c>
      <c r="AF3276" s="182" t="n">
        <v>0</v>
      </c>
      <c r="AG3276" s="182" t="n">
        <v>0.65</v>
      </c>
      <c r="AH3276" s="182" t="n">
        <v>0.29</v>
      </c>
      <c r="AI3276" s="182" t="n">
        <v>0</v>
      </c>
      <c r="AJ3276" s="182" t="n">
        <v>0</v>
      </c>
      <c r="AK3276" s="182" t="n">
        <v>0.82</v>
      </c>
      <c r="AL3276" s="182" t="n">
        <v>0</v>
      </c>
      <c r="AM3276" s="182" t="n">
        <v>0.08</v>
      </c>
      <c r="AN3276" s="182" t="n">
        <v>0</v>
      </c>
    </row>
    <row r="3277">
      <c r="A3277" s="155" t="n">
        <v>46096</v>
      </c>
      <c r="B3277" s="156" t="inlineStr">
        <is>
          <t>NS</t>
        </is>
      </c>
      <c r="C3277" s="156" t="inlineStr">
        <is>
          <t>DT-521</t>
        </is>
      </c>
      <c r="D3277" s="156" t="inlineStr">
        <is>
          <t>SKT 105S</t>
        </is>
      </c>
      <c r="E3277" s="156" t="inlineStr">
        <is>
          <t>Hauler</t>
        </is>
      </c>
      <c r="F3277" s="156" t="inlineStr">
        <is>
          <t>Hauling OB</t>
        </is>
      </c>
      <c r="G3277" s="182" t="n">
        <v>5.32</v>
      </c>
      <c r="H3277" s="182" t="n">
        <v>0</v>
      </c>
      <c r="I3277" s="182" t="n">
        <v>0</v>
      </c>
      <c r="J3277" s="182" t="n">
        <v>0</v>
      </c>
      <c r="K3277" s="182" t="n">
        <v>6.68</v>
      </c>
      <c r="L3277" s="182" t="n">
        <v>12</v>
      </c>
      <c r="M3277" s="182" t="n">
        <v>5.32</v>
      </c>
      <c r="N3277" s="182" t="n">
        <v>0</v>
      </c>
      <c r="O3277" s="183" t="n">
        <v>14</v>
      </c>
      <c r="P3277" s="183" t="n">
        <v>0</v>
      </c>
      <c r="Q3277" s="184" t="n">
        <v>285.6</v>
      </c>
      <c r="R3277" s="184" t="n">
        <v>0</v>
      </c>
      <c r="S3277" s="183" t="n">
        <v>0</v>
      </c>
      <c r="T3277" s="183" t="n">
        <v>0</v>
      </c>
      <c r="U3277" s="182" t="n">
        <v>4.57</v>
      </c>
      <c r="V3277" s="182" t="n">
        <v>0</v>
      </c>
      <c r="W3277" s="182" t="n">
        <v>0</v>
      </c>
      <c r="X3277" s="182" t="n">
        <v>1.03</v>
      </c>
      <c r="Y3277" s="182" t="n">
        <v>0</v>
      </c>
      <c r="Z3277" s="182" t="n">
        <v>0.07000000000000001</v>
      </c>
      <c r="AA3277" s="182" t="n">
        <v>0</v>
      </c>
      <c r="AB3277" s="182" t="n">
        <v>0</v>
      </c>
      <c r="AC3277" s="182" t="n">
        <v>0</v>
      </c>
      <c r="AD3277" s="182" t="n">
        <v>0.92</v>
      </c>
      <c r="AE3277" s="182" t="n">
        <v>0</v>
      </c>
      <c r="AF3277" s="182" t="n">
        <v>0</v>
      </c>
      <c r="AG3277" s="182" t="n">
        <v>0</v>
      </c>
      <c r="AH3277" s="182" t="n">
        <v>0</v>
      </c>
      <c r="AI3277" s="182" t="n">
        <v>0</v>
      </c>
      <c r="AJ3277" s="182" t="n">
        <v>0</v>
      </c>
      <c r="AK3277" s="182" t="n">
        <v>0</v>
      </c>
      <c r="AL3277" s="182" t="n">
        <v>0</v>
      </c>
      <c r="AM3277" s="182" t="n">
        <v>0.08</v>
      </c>
      <c r="AN3277" s="182" t="n">
        <v>0</v>
      </c>
    </row>
    <row r="3278">
      <c r="A3278" s="155" t="n">
        <v>46096</v>
      </c>
      <c r="B3278" s="156" t="inlineStr">
        <is>
          <t>NS</t>
        </is>
      </c>
      <c r="C3278" s="156" t="inlineStr">
        <is>
          <t>DT-516</t>
        </is>
      </c>
      <c r="D3278" s="156" t="inlineStr">
        <is>
          <t>SKT 105S</t>
        </is>
      </c>
      <c r="E3278" s="156" t="inlineStr">
        <is>
          <t>Hauler</t>
        </is>
      </c>
      <c r="F3278" s="156" t="inlineStr">
        <is>
          <t>Hauling OB</t>
        </is>
      </c>
      <c r="G3278" s="182" t="n">
        <v>3.56</v>
      </c>
      <c r="H3278" s="182" t="n">
        <v>0</v>
      </c>
      <c r="I3278" s="182" t="n">
        <v>0</v>
      </c>
      <c r="J3278" s="182" t="n">
        <v>0</v>
      </c>
      <c r="K3278" s="182" t="n">
        <v>8.44</v>
      </c>
      <c r="L3278" s="182" t="n">
        <v>12</v>
      </c>
      <c r="M3278" s="182" t="n">
        <v>3.56</v>
      </c>
      <c r="N3278" s="182" t="n">
        <v>0</v>
      </c>
      <c r="O3278" s="183" t="n">
        <v>15</v>
      </c>
      <c r="P3278" s="183" t="n">
        <v>0</v>
      </c>
      <c r="Q3278" s="184" t="n">
        <v>306</v>
      </c>
      <c r="R3278" s="184" t="n">
        <v>0</v>
      </c>
      <c r="S3278" s="183" t="n">
        <v>0</v>
      </c>
      <c r="T3278" s="183" t="n">
        <v>0</v>
      </c>
      <c r="U3278" s="182" t="n">
        <v>4.52</v>
      </c>
      <c r="V3278" s="182" t="n">
        <v>0</v>
      </c>
      <c r="W3278" s="182" t="n">
        <v>0</v>
      </c>
      <c r="X3278" s="182" t="n">
        <v>1</v>
      </c>
      <c r="Y3278" s="182" t="n">
        <v>0</v>
      </c>
      <c r="Z3278" s="182" t="n">
        <v>0</v>
      </c>
      <c r="AA3278" s="182" t="n">
        <v>0</v>
      </c>
      <c r="AB3278" s="182" t="n">
        <v>0</v>
      </c>
      <c r="AC3278" s="182" t="n">
        <v>0</v>
      </c>
      <c r="AD3278" s="182" t="n">
        <v>0</v>
      </c>
      <c r="AE3278" s="182" t="n">
        <v>0</v>
      </c>
      <c r="AF3278" s="182" t="n">
        <v>0</v>
      </c>
      <c r="AG3278" s="182" t="n">
        <v>0</v>
      </c>
      <c r="AH3278" s="182" t="n">
        <v>0.72</v>
      </c>
      <c r="AI3278" s="182" t="n">
        <v>0</v>
      </c>
      <c r="AJ3278" s="182" t="n">
        <v>0</v>
      </c>
      <c r="AK3278" s="182" t="n">
        <v>2.11</v>
      </c>
      <c r="AL3278" s="182" t="n">
        <v>0</v>
      </c>
      <c r="AM3278" s="182" t="n">
        <v>0.08</v>
      </c>
      <c r="AN3278" s="182" t="n">
        <v>0</v>
      </c>
    </row>
    <row r="3279">
      <c r="A3279" s="155" t="n">
        <v>46096</v>
      </c>
      <c r="B3279" s="156" t="inlineStr">
        <is>
          <t>NS</t>
        </is>
      </c>
      <c r="C3279" s="156" t="inlineStr">
        <is>
          <t>DT-506</t>
        </is>
      </c>
      <c r="D3279" s="156" t="inlineStr">
        <is>
          <t>SKT 105S</t>
        </is>
      </c>
      <c r="E3279" s="156" t="inlineStr">
        <is>
          <t>Hauler</t>
        </is>
      </c>
      <c r="F3279" s="156" t="inlineStr">
        <is>
          <t>Hauling OB</t>
        </is>
      </c>
      <c r="G3279" s="182" t="n">
        <v>5.21</v>
      </c>
      <c r="H3279" s="182" t="n">
        <v>0</v>
      </c>
      <c r="I3279" s="182" t="n">
        <v>0</v>
      </c>
      <c r="J3279" s="182" t="n">
        <v>0</v>
      </c>
      <c r="K3279" s="182" t="n">
        <v>6.79</v>
      </c>
      <c r="L3279" s="182" t="n">
        <v>12</v>
      </c>
      <c r="M3279" s="182" t="n">
        <v>5.09</v>
      </c>
      <c r="N3279" s="182" t="n">
        <v>0</v>
      </c>
      <c r="O3279" s="183" t="n">
        <v>17</v>
      </c>
      <c r="P3279" s="183" t="n">
        <v>0</v>
      </c>
      <c r="Q3279" s="184" t="n">
        <v>346.8</v>
      </c>
      <c r="R3279" s="184" t="n">
        <v>0</v>
      </c>
      <c r="S3279" s="183" t="n">
        <v>0</v>
      </c>
      <c r="T3279" s="183" t="n">
        <v>0</v>
      </c>
      <c r="U3279" s="182" t="n">
        <v>4.49</v>
      </c>
      <c r="V3279" s="182" t="n">
        <v>0</v>
      </c>
      <c r="W3279" s="182" t="n">
        <v>0</v>
      </c>
      <c r="X3279" s="182" t="n">
        <v>1</v>
      </c>
      <c r="Y3279" s="182" t="n">
        <v>0</v>
      </c>
      <c r="Z3279" s="182" t="n">
        <v>0.07000000000000001</v>
      </c>
      <c r="AA3279" s="182" t="n">
        <v>0</v>
      </c>
      <c r="AB3279" s="182" t="n">
        <v>0</v>
      </c>
      <c r="AC3279" s="182" t="n">
        <v>0</v>
      </c>
      <c r="AD3279" s="182" t="n">
        <v>0</v>
      </c>
      <c r="AE3279" s="182" t="n">
        <v>0</v>
      </c>
      <c r="AF3279" s="182" t="n">
        <v>0</v>
      </c>
      <c r="AG3279" s="182" t="n">
        <v>0.9</v>
      </c>
      <c r="AH3279" s="182" t="n">
        <v>0.25</v>
      </c>
      <c r="AI3279" s="182" t="n">
        <v>0</v>
      </c>
      <c r="AJ3279" s="182" t="n">
        <v>0</v>
      </c>
      <c r="AK3279" s="182" t="n">
        <v>0</v>
      </c>
      <c r="AL3279" s="182" t="n">
        <v>0</v>
      </c>
      <c r="AM3279" s="182" t="n">
        <v>0.08</v>
      </c>
      <c r="AN3279" s="182" t="n">
        <v>0</v>
      </c>
    </row>
    <row r="3280">
      <c r="A3280" s="155" t="n">
        <v>46096</v>
      </c>
      <c r="B3280" s="156" t="inlineStr">
        <is>
          <t>NS</t>
        </is>
      </c>
      <c r="C3280" s="156" t="inlineStr">
        <is>
          <t>DT-502</t>
        </is>
      </c>
      <c r="D3280" s="156" t="inlineStr">
        <is>
          <t>SKT 105S</t>
        </is>
      </c>
      <c r="E3280" s="156" t="inlineStr">
        <is>
          <t>Hauler</t>
        </is>
      </c>
      <c r="F3280" s="156" t="inlineStr"/>
      <c r="G3280" s="182" t="n">
        <v>0</v>
      </c>
      <c r="H3280" s="182" t="n">
        <v>0</v>
      </c>
      <c r="I3280" s="182" t="n">
        <v>12</v>
      </c>
      <c r="J3280" s="182" t="n">
        <v>12</v>
      </c>
      <c r="K3280" s="182" t="n">
        <v>0</v>
      </c>
      <c r="L3280" s="182" t="n">
        <v>12</v>
      </c>
      <c r="M3280" s="182" t="n">
        <v>0</v>
      </c>
      <c r="N3280" s="182" t="n">
        <v>0</v>
      </c>
      <c r="O3280" s="183" t="n">
        <v>0</v>
      </c>
      <c r="P3280" s="183" t="n">
        <v>0</v>
      </c>
      <c r="Q3280" s="184" t="n">
        <v>0</v>
      </c>
      <c r="R3280" s="184" t="n">
        <v>0</v>
      </c>
      <c r="S3280" s="183" t="n">
        <v>0</v>
      </c>
      <c r="T3280" s="183" t="n">
        <v>0</v>
      </c>
      <c r="U3280" s="182" t="n">
        <v>0</v>
      </c>
      <c r="V3280" s="182" t="n">
        <v>0</v>
      </c>
      <c r="W3280" s="182" t="n">
        <v>0</v>
      </c>
      <c r="X3280" s="182" t="n">
        <v>0</v>
      </c>
      <c r="Y3280" s="182" t="n">
        <v>0</v>
      </c>
      <c r="Z3280" s="182" t="n">
        <v>0</v>
      </c>
      <c r="AA3280" s="182" t="n">
        <v>0</v>
      </c>
      <c r="AB3280" s="182" t="n">
        <v>0</v>
      </c>
      <c r="AC3280" s="182" t="n">
        <v>0</v>
      </c>
      <c r="AD3280" s="182" t="n">
        <v>0</v>
      </c>
      <c r="AE3280" s="182" t="n">
        <v>0</v>
      </c>
      <c r="AF3280" s="182" t="n">
        <v>0</v>
      </c>
      <c r="AG3280" s="182" t="n">
        <v>0</v>
      </c>
      <c r="AH3280" s="182" t="n">
        <v>0</v>
      </c>
      <c r="AI3280" s="182" t="n">
        <v>0</v>
      </c>
      <c r="AJ3280" s="182" t="n">
        <v>0</v>
      </c>
      <c r="AK3280" s="182" t="n">
        <v>0</v>
      </c>
      <c r="AL3280" s="182" t="n">
        <v>0</v>
      </c>
      <c r="AM3280" s="182" t="n">
        <v>0</v>
      </c>
      <c r="AN3280" s="182" t="n">
        <v>0</v>
      </c>
    </row>
    <row r="3281">
      <c r="A3281" s="155" t="n">
        <v>46096</v>
      </c>
      <c r="B3281" s="156" t="inlineStr">
        <is>
          <t>NS</t>
        </is>
      </c>
      <c r="C3281" s="156" t="inlineStr">
        <is>
          <t>DT-528</t>
        </is>
      </c>
      <c r="D3281" s="156" t="inlineStr">
        <is>
          <t>SKT 105S</t>
        </is>
      </c>
      <c r="E3281" s="156" t="inlineStr">
        <is>
          <t>Hauler</t>
        </is>
      </c>
      <c r="F3281" s="156" t="inlineStr"/>
      <c r="G3281" s="182" t="n">
        <v>0</v>
      </c>
      <c r="H3281" s="182" t="n">
        <v>12</v>
      </c>
      <c r="I3281" s="182" t="n">
        <v>0</v>
      </c>
      <c r="J3281" s="182" t="n">
        <v>12</v>
      </c>
      <c r="K3281" s="182" t="n">
        <v>0</v>
      </c>
      <c r="L3281" s="182" t="n">
        <v>12</v>
      </c>
      <c r="M3281" s="182" t="n">
        <v>0</v>
      </c>
      <c r="N3281" s="182" t="n">
        <v>0</v>
      </c>
      <c r="O3281" s="183" t="n">
        <v>0</v>
      </c>
      <c r="P3281" s="183" t="n">
        <v>0</v>
      </c>
      <c r="Q3281" s="184" t="n">
        <v>0</v>
      </c>
      <c r="R3281" s="184" t="n">
        <v>0</v>
      </c>
      <c r="S3281" s="183" t="n">
        <v>0</v>
      </c>
      <c r="T3281" s="183" t="n">
        <v>0</v>
      </c>
      <c r="U3281" s="182" t="n">
        <v>0</v>
      </c>
      <c r="V3281" s="182" t="n">
        <v>0</v>
      </c>
      <c r="W3281" s="182" t="n">
        <v>0</v>
      </c>
      <c r="X3281" s="182" t="n">
        <v>0</v>
      </c>
      <c r="Y3281" s="182" t="n">
        <v>0</v>
      </c>
      <c r="Z3281" s="182" t="n">
        <v>0</v>
      </c>
      <c r="AA3281" s="182" t="n">
        <v>0</v>
      </c>
      <c r="AB3281" s="182" t="n">
        <v>0</v>
      </c>
      <c r="AC3281" s="182" t="n">
        <v>0</v>
      </c>
      <c r="AD3281" s="182" t="n">
        <v>0</v>
      </c>
      <c r="AE3281" s="182" t="n">
        <v>0</v>
      </c>
      <c r="AF3281" s="182" t="n">
        <v>0</v>
      </c>
      <c r="AG3281" s="182" t="n">
        <v>0</v>
      </c>
      <c r="AH3281" s="182" t="n">
        <v>0</v>
      </c>
      <c r="AI3281" s="182" t="n">
        <v>0</v>
      </c>
      <c r="AJ3281" s="182" t="n">
        <v>0</v>
      </c>
      <c r="AK3281" s="182" t="n">
        <v>0</v>
      </c>
      <c r="AL3281" s="182" t="n">
        <v>0</v>
      </c>
      <c r="AM3281" s="182" t="n">
        <v>0</v>
      </c>
      <c r="AN3281" s="182" t="n">
        <v>0</v>
      </c>
    </row>
    <row r="3282">
      <c r="A3282" s="155" t="n">
        <v>46096</v>
      </c>
      <c r="B3282" s="156" t="inlineStr">
        <is>
          <t>NS</t>
        </is>
      </c>
      <c r="C3282" s="156" t="inlineStr">
        <is>
          <t>DT-529</t>
        </is>
      </c>
      <c r="D3282" s="156" t="inlineStr">
        <is>
          <t>SKT 105S</t>
        </is>
      </c>
      <c r="E3282" s="156" t="inlineStr">
        <is>
          <t>Hauler</t>
        </is>
      </c>
      <c r="F3282" s="156" t="inlineStr">
        <is>
          <t>Hauling OB</t>
        </is>
      </c>
      <c r="G3282" s="182" t="n">
        <v>6.05</v>
      </c>
      <c r="H3282" s="182" t="n">
        <v>0</v>
      </c>
      <c r="I3282" s="182" t="n">
        <v>0</v>
      </c>
      <c r="J3282" s="182" t="n">
        <v>0</v>
      </c>
      <c r="K3282" s="182" t="n">
        <v>5.95</v>
      </c>
      <c r="L3282" s="182" t="n">
        <v>12</v>
      </c>
      <c r="M3282" s="182" t="n">
        <v>6.05</v>
      </c>
      <c r="N3282" s="182" t="n">
        <v>0</v>
      </c>
      <c r="O3282" s="183" t="n">
        <v>25</v>
      </c>
      <c r="P3282" s="183" t="n">
        <v>0</v>
      </c>
      <c r="Q3282" s="184" t="n">
        <v>510</v>
      </c>
      <c r="R3282" s="184" t="n">
        <v>0</v>
      </c>
      <c r="S3282" s="183" t="n">
        <v>0</v>
      </c>
      <c r="T3282" s="183" t="n">
        <v>0</v>
      </c>
      <c r="U3282" s="182" t="n">
        <v>4.71</v>
      </c>
      <c r="V3282" s="182" t="n">
        <v>0</v>
      </c>
      <c r="W3282" s="182" t="n">
        <v>0</v>
      </c>
      <c r="X3282" s="182" t="n">
        <v>1.08</v>
      </c>
      <c r="Y3282" s="182" t="n">
        <v>0</v>
      </c>
      <c r="Z3282" s="182" t="n">
        <v>0.08</v>
      </c>
      <c r="AA3282" s="182" t="n">
        <v>0</v>
      </c>
      <c r="AB3282" s="182" t="n">
        <v>0</v>
      </c>
      <c r="AC3282" s="182" t="n">
        <v>0</v>
      </c>
      <c r="AD3282" s="182" t="n">
        <v>0</v>
      </c>
      <c r="AE3282" s="182" t="n">
        <v>0</v>
      </c>
      <c r="AF3282" s="182" t="n">
        <v>0</v>
      </c>
      <c r="AG3282" s="182" t="n">
        <v>0</v>
      </c>
      <c r="AH3282" s="182" t="n">
        <v>0</v>
      </c>
      <c r="AI3282" s="182" t="n">
        <v>0</v>
      </c>
      <c r="AJ3282" s="182" t="n">
        <v>0</v>
      </c>
      <c r="AK3282" s="182" t="n">
        <v>0</v>
      </c>
      <c r="AL3282" s="182" t="n">
        <v>0</v>
      </c>
      <c r="AM3282" s="182" t="n">
        <v>0.09</v>
      </c>
      <c r="AN3282" s="182" t="n">
        <v>0</v>
      </c>
    </row>
    <row r="3283">
      <c r="A3283" s="155" t="n">
        <v>46096</v>
      </c>
      <c r="B3283" s="156" t="inlineStr">
        <is>
          <t>NS</t>
        </is>
      </c>
      <c r="C3283" s="156" t="inlineStr">
        <is>
          <t>DT-520</t>
        </is>
      </c>
      <c r="D3283" s="156" t="inlineStr">
        <is>
          <t>SKT 105S</t>
        </is>
      </c>
      <c r="E3283" s="156" t="inlineStr">
        <is>
          <t>Hauler</t>
        </is>
      </c>
      <c r="F3283" s="156" t="inlineStr"/>
      <c r="G3283" s="182" t="n">
        <v>0</v>
      </c>
      <c r="H3283" s="182" t="n">
        <v>0</v>
      </c>
      <c r="I3283" s="182" t="n">
        <v>12</v>
      </c>
      <c r="J3283" s="182" t="n">
        <v>12</v>
      </c>
      <c r="K3283" s="182" t="n">
        <v>0</v>
      </c>
      <c r="L3283" s="182" t="n">
        <v>12</v>
      </c>
      <c r="M3283" s="182" t="n">
        <v>0</v>
      </c>
      <c r="N3283" s="182" t="n">
        <v>0</v>
      </c>
      <c r="O3283" s="183" t="n">
        <v>0</v>
      </c>
      <c r="P3283" s="183" t="n">
        <v>0</v>
      </c>
      <c r="Q3283" s="184" t="n">
        <v>0</v>
      </c>
      <c r="R3283" s="184" t="n">
        <v>0</v>
      </c>
      <c r="S3283" s="183" t="n">
        <v>0</v>
      </c>
      <c r="T3283" s="183" t="n">
        <v>0</v>
      </c>
      <c r="U3283" s="182" t="n">
        <v>0</v>
      </c>
      <c r="V3283" s="182" t="n">
        <v>0</v>
      </c>
      <c r="W3283" s="182" t="n">
        <v>0</v>
      </c>
      <c r="X3283" s="182" t="n">
        <v>0</v>
      </c>
      <c r="Y3283" s="182" t="n">
        <v>0</v>
      </c>
      <c r="Z3283" s="182" t="n">
        <v>0</v>
      </c>
      <c r="AA3283" s="182" t="n">
        <v>0</v>
      </c>
      <c r="AB3283" s="182" t="n">
        <v>0</v>
      </c>
      <c r="AC3283" s="182" t="n">
        <v>0</v>
      </c>
      <c r="AD3283" s="182" t="n">
        <v>0</v>
      </c>
      <c r="AE3283" s="182" t="n">
        <v>0</v>
      </c>
      <c r="AF3283" s="182" t="n">
        <v>0</v>
      </c>
      <c r="AG3283" s="182" t="n">
        <v>0</v>
      </c>
      <c r="AH3283" s="182" t="n">
        <v>0</v>
      </c>
      <c r="AI3283" s="182" t="n">
        <v>0</v>
      </c>
      <c r="AJ3283" s="182" t="n">
        <v>0</v>
      </c>
      <c r="AK3283" s="182" t="n">
        <v>0</v>
      </c>
      <c r="AL3283" s="182" t="n">
        <v>0</v>
      </c>
      <c r="AM3283" s="182" t="n">
        <v>0</v>
      </c>
      <c r="AN3283" s="182" t="n">
        <v>0</v>
      </c>
    </row>
    <row r="3284">
      <c r="A3284" s="155" t="n">
        <v>46096</v>
      </c>
      <c r="B3284" s="156" t="inlineStr">
        <is>
          <t>NS</t>
        </is>
      </c>
      <c r="C3284" s="156" t="inlineStr">
        <is>
          <t>DT-511</t>
        </is>
      </c>
      <c r="D3284" s="156" t="inlineStr">
        <is>
          <t>SKT 105S</t>
        </is>
      </c>
      <c r="E3284" s="156" t="inlineStr">
        <is>
          <t>Hauler</t>
        </is>
      </c>
      <c r="F3284" s="156" t="inlineStr"/>
      <c r="G3284" s="182" t="n">
        <v>0</v>
      </c>
      <c r="H3284" s="182" t="n">
        <v>0</v>
      </c>
      <c r="I3284" s="182" t="n">
        <v>12</v>
      </c>
      <c r="J3284" s="182" t="n">
        <v>12</v>
      </c>
      <c r="K3284" s="182" t="n">
        <v>0</v>
      </c>
      <c r="L3284" s="182" t="n">
        <v>12</v>
      </c>
      <c r="M3284" s="182" t="n">
        <v>0</v>
      </c>
      <c r="N3284" s="182" t="n">
        <v>0</v>
      </c>
      <c r="O3284" s="183" t="n">
        <v>0</v>
      </c>
      <c r="P3284" s="183" t="n">
        <v>0</v>
      </c>
      <c r="Q3284" s="184" t="n">
        <v>0</v>
      </c>
      <c r="R3284" s="184" t="n">
        <v>0</v>
      </c>
      <c r="S3284" s="183" t="n">
        <v>0</v>
      </c>
      <c r="T3284" s="183" t="n">
        <v>0</v>
      </c>
      <c r="U3284" s="182" t="n">
        <v>0</v>
      </c>
      <c r="V3284" s="182" t="n">
        <v>0</v>
      </c>
      <c r="W3284" s="182" t="n">
        <v>0</v>
      </c>
      <c r="X3284" s="182" t="n">
        <v>0</v>
      </c>
      <c r="Y3284" s="182" t="n">
        <v>0</v>
      </c>
      <c r="Z3284" s="182" t="n">
        <v>0</v>
      </c>
      <c r="AA3284" s="182" t="n">
        <v>0</v>
      </c>
      <c r="AB3284" s="182" t="n">
        <v>0</v>
      </c>
      <c r="AC3284" s="182" t="n">
        <v>0</v>
      </c>
      <c r="AD3284" s="182" t="n">
        <v>0</v>
      </c>
      <c r="AE3284" s="182" t="n">
        <v>0</v>
      </c>
      <c r="AF3284" s="182" t="n">
        <v>0</v>
      </c>
      <c r="AG3284" s="182" t="n">
        <v>0</v>
      </c>
      <c r="AH3284" s="182" t="n">
        <v>0</v>
      </c>
      <c r="AI3284" s="182" t="n">
        <v>0</v>
      </c>
      <c r="AJ3284" s="182" t="n">
        <v>0</v>
      </c>
      <c r="AK3284" s="182" t="n">
        <v>0</v>
      </c>
      <c r="AL3284" s="182" t="n">
        <v>0</v>
      </c>
      <c r="AM3284" s="182" t="n">
        <v>0</v>
      </c>
      <c r="AN3284" s="182" t="n">
        <v>0</v>
      </c>
    </row>
    <row r="3285">
      <c r="A3285" s="155" t="n">
        <v>46096</v>
      </c>
      <c r="B3285" s="156" t="inlineStr">
        <is>
          <t>NS</t>
        </is>
      </c>
      <c r="C3285" s="156" t="inlineStr">
        <is>
          <t>DT-509</t>
        </is>
      </c>
      <c r="D3285" s="156" t="inlineStr">
        <is>
          <t>SKT 105S</t>
        </is>
      </c>
      <c r="E3285" s="156" t="inlineStr">
        <is>
          <t>Hauler</t>
        </is>
      </c>
      <c r="F3285" s="156" t="inlineStr"/>
      <c r="G3285" s="182" t="n">
        <v>0</v>
      </c>
      <c r="H3285" s="182" t="n">
        <v>0</v>
      </c>
      <c r="I3285" s="182" t="n">
        <v>12</v>
      </c>
      <c r="J3285" s="182" t="n">
        <v>12</v>
      </c>
      <c r="K3285" s="182" t="n">
        <v>0</v>
      </c>
      <c r="L3285" s="182" t="n">
        <v>12</v>
      </c>
      <c r="M3285" s="182" t="n">
        <v>0</v>
      </c>
      <c r="N3285" s="182" t="n">
        <v>0</v>
      </c>
      <c r="O3285" s="183" t="n">
        <v>0</v>
      </c>
      <c r="P3285" s="183" t="n">
        <v>0</v>
      </c>
      <c r="Q3285" s="184" t="n">
        <v>0</v>
      </c>
      <c r="R3285" s="184" t="n">
        <v>0</v>
      </c>
      <c r="S3285" s="183" t="n">
        <v>0</v>
      </c>
      <c r="T3285" s="183" t="n">
        <v>0</v>
      </c>
      <c r="U3285" s="182" t="n">
        <v>0</v>
      </c>
      <c r="V3285" s="182" t="n">
        <v>0</v>
      </c>
      <c r="W3285" s="182" t="n">
        <v>0</v>
      </c>
      <c r="X3285" s="182" t="n">
        <v>0</v>
      </c>
      <c r="Y3285" s="182" t="n">
        <v>0</v>
      </c>
      <c r="Z3285" s="182" t="n">
        <v>0</v>
      </c>
      <c r="AA3285" s="182" t="n">
        <v>0</v>
      </c>
      <c r="AB3285" s="182" t="n">
        <v>0</v>
      </c>
      <c r="AC3285" s="182" t="n">
        <v>0</v>
      </c>
      <c r="AD3285" s="182" t="n">
        <v>0</v>
      </c>
      <c r="AE3285" s="182" t="n">
        <v>0</v>
      </c>
      <c r="AF3285" s="182" t="n">
        <v>0</v>
      </c>
      <c r="AG3285" s="182" t="n">
        <v>0</v>
      </c>
      <c r="AH3285" s="182" t="n">
        <v>0</v>
      </c>
      <c r="AI3285" s="182" t="n">
        <v>0</v>
      </c>
      <c r="AJ3285" s="182" t="n">
        <v>0</v>
      </c>
      <c r="AK3285" s="182" t="n">
        <v>0</v>
      </c>
      <c r="AL3285" s="182" t="n">
        <v>0</v>
      </c>
      <c r="AM3285" s="182" t="n">
        <v>0</v>
      </c>
      <c r="AN3285" s="182" t="n">
        <v>0</v>
      </c>
    </row>
    <row r="3286">
      <c r="A3286" s="155" t="n">
        <v>46096</v>
      </c>
      <c r="B3286" s="156" t="inlineStr">
        <is>
          <t>NS</t>
        </is>
      </c>
      <c r="C3286" s="156" t="inlineStr">
        <is>
          <t>DT-526</t>
        </is>
      </c>
      <c r="D3286" s="156" t="inlineStr">
        <is>
          <t>SKT 105S</t>
        </is>
      </c>
      <c r="E3286" s="156" t="inlineStr">
        <is>
          <t>Hauler</t>
        </is>
      </c>
      <c r="F3286" s="156" t="inlineStr"/>
      <c r="G3286" s="182" t="n">
        <v>0</v>
      </c>
      <c r="H3286" s="182" t="n">
        <v>12</v>
      </c>
      <c r="I3286" s="182" t="n">
        <v>0</v>
      </c>
      <c r="J3286" s="182" t="n">
        <v>12</v>
      </c>
      <c r="K3286" s="182" t="n">
        <v>0</v>
      </c>
      <c r="L3286" s="182" t="n">
        <v>12</v>
      </c>
      <c r="M3286" s="182" t="n">
        <v>0</v>
      </c>
      <c r="N3286" s="182" t="n">
        <v>0</v>
      </c>
      <c r="O3286" s="183" t="n">
        <v>0</v>
      </c>
      <c r="P3286" s="183" t="n">
        <v>0</v>
      </c>
      <c r="Q3286" s="184" t="n">
        <v>0</v>
      </c>
      <c r="R3286" s="184" t="n">
        <v>0</v>
      </c>
      <c r="S3286" s="183" t="n">
        <v>0</v>
      </c>
      <c r="T3286" s="183" t="n">
        <v>0</v>
      </c>
      <c r="U3286" s="182" t="n">
        <v>0</v>
      </c>
      <c r="V3286" s="182" t="n">
        <v>0</v>
      </c>
      <c r="W3286" s="182" t="n">
        <v>0</v>
      </c>
      <c r="X3286" s="182" t="n">
        <v>0</v>
      </c>
      <c r="Y3286" s="182" t="n">
        <v>0</v>
      </c>
      <c r="Z3286" s="182" t="n">
        <v>0</v>
      </c>
      <c r="AA3286" s="182" t="n">
        <v>0</v>
      </c>
      <c r="AB3286" s="182" t="n">
        <v>0</v>
      </c>
      <c r="AC3286" s="182" t="n">
        <v>0</v>
      </c>
      <c r="AD3286" s="182" t="n">
        <v>0</v>
      </c>
      <c r="AE3286" s="182" t="n">
        <v>0</v>
      </c>
      <c r="AF3286" s="182" t="n">
        <v>0</v>
      </c>
      <c r="AG3286" s="182" t="n">
        <v>0</v>
      </c>
      <c r="AH3286" s="182" t="n">
        <v>0</v>
      </c>
      <c r="AI3286" s="182" t="n">
        <v>0</v>
      </c>
      <c r="AJ3286" s="182" t="n">
        <v>0</v>
      </c>
      <c r="AK3286" s="182" t="n">
        <v>0</v>
      </c>
      <c r="AL3286" s="182" t="n">
        <v>0</v>
      </c>
      <c r="AM3286" s="182" t="n">
        <v>0</v>
      </c>
      <c r="AN3286" s="182" t="n">
        <v>0</v>
      </c>
    </row>
    <row r="3287">
      <c r="A3287" s="155" t="n">
        <v>46096</v>
      </c>
      <c r="B3287" s="156" t="inlineStr">
        <is>
          <t>NS</t>
        </is>
      </c>
      <c r="C3287" s="156" t="inlineStr">
        <is>
          <t>DT-508</t>
        </is>
      </c>
      <c r="D3287" s="156" t="inlineStr">
        <is>
          <t>SKT 105S</t>
        </is>
      </c>
      <c r="E3287" s="156" t="inlineStr">
        <is>
          <t>Hauler</t>
        </is>
      </c>
      <c r="F3287" s="156" t="inlineStr">
        <is>
          <t>Hauling OB</t>
        </is>
      </c>
      <c r="G3287" s="182" t="n">
        <v>6.2</v>
      </c>
      <c r="H3287" s="182" t="n">
        <v>0</v>
      </c>
      <c r="I3287" s="182" t="n">
        <v>0</v>
      </c>
      <c r="J3287" s="182" t="n">
        <v>0</v>
      </c>
      <c r="K3287" s="182" t="n">
        <v>5.8</v>
      </c>
      <c r="L3287" s="182" t="n">
        <v>12</v>
      </c>
      <c r="M3287" s="182" t="n">
        <v>6.2</v>
      </c>
      <c r="N3287" s="182" t="n">
        <v>0</v>
      </c>
      <c r="O3287" s="183" t="n">
        <v>21</v>
      </c>
      <c r="P3287" s="183" t="n">
        <v>0</v>
      </c>
      <c r="Q3287" s="184" t="n">
        <v>428.4</v>
      </c>
      <c r="R3287" s="184" t="n">
        <v>0</v>
      </c>
      <c r="S3287" s="183" t="n">
        <v>0</v>
      </c>
      <c r="T3287" s="183" t="n">
        <v>0</v>
      </c>
      <c r="U3287" s="182" t="n">
        <v>4.5</v>
      </c>
      <c r="V3287" s="182" t="n">
        <v>0</v>
      </c>
      <c r="W3287" s="182" t="n">
        <v>0</v>
      </c>
      <c r="X3287" s="182" t="n">
        <v>1</v>
      </c>
      <c r="Y3287" s="182" t="n">
        <v>0</v>
      </c>
      <c r="Z3287" s="182" t="n">
        <v>0.07000000000000001</v>
      </c>
      <c r="AA3287" s="182" t="n">
        <v>0</v>
      </c>
      <c r="AB3287" s="182" t="n">
        <v>0</v>
      </c>
      <c r="AC3287" s="182" t="n">
        <v>0</v>
      </c>
      <c r="AD3287" s="182" t="n">
        <v>0</v>
      </c>
      <c r="AE3287" s="182" t="n">
        <v>0</v>
      </c>
      <c r="AF3287" s="182" t="n">
        <v>0</v>
      </c>
      <c r="AG3287" s="182" t="n">
        <v>0</v>
      </c>
      <c r="AH3287" s="182" t="n">
        <v>0.15</v>
      </c>
      <c r="AI3287" s="182" t="n">
        <v>0</v>
      </c>
      <c r="AJ3287" s="182" t="n">
        <v>0</v>
      </c>
      <c r="AK3287" s="182" t="n">
        <v>0</v>
      </c>
      <c r="AL3287" s="182" t="n">
        <v>0</v>
      </c>
      <c r="AM3287" s="182" t="n">
        <v>0.08</v>
      </c>
      <c r="AN3287" s="182" t="n">
        <v>0</v>
      </c>
    </row>
    <row r="3288">
      <c r="A3288" s="155" t="n">
        <v>46096</v>
      </c>
      <c r="B3288" s="156" t="inlineStr">
        <is>
          <t>NS</t>
        </is>
      </c>
      <c r="C3288" s="156" t="inlineStr">
        <is>
          <t>DT-515</t>
        </is>
      </c>
      <c r="D3288" s="156" t="inlineStr">
        <is>
          <t>SKT 105S</t>
        </is>
      </c>
      <c r="E3288" s="156" t="inlineStr">
        <is>
          <t>Hauler</t>
        </is>
      </c>
      <c r="F3288" s="156" t="inlineStr"/>
      <c r="G3288" s="182" t="n">
        <v>0</v>
      </c>
      <c r="H3288" s="182" t="n">
        <v>12</v>
      </c>
      <c r="I3288" s="182" t="n">
        <v>0</v>
      </c>
      <c r="J3288" s="182" t="n">
        <v>12</v>
      </c>
      <c r="K3288" s="182" t="n">
        <v>0</v>
      </c>
      <c r="L3288" s="182" t="n">
        <v>12</v>
      </c>
      <c r="M3288" s="182" t="n">
        <v>0</v>
      </c>
      <c r="N3288" s="182" t="n">
        <v>0</v>
      </c>
      <c r="O3288" s="183" t="n">
        <v>0</v>
      </c>
      <c r="P3288" s="183" t="n">
        <v>0</v>
      </c>
      <c r="Q3288" s="184" t="n">
        <v>0</v>
      </c>
      <c r="R3288" s="184" t="n">
        <v>0</v>
      </c>
      <c r="S3288" s="183" t="n">
        <v>0</v>
      </c>
      <c r="T3288" s="183" t="n">
        <v>0</v>
      </c>
      <c r="U3288" s="182" t="n">
        <v>0</v>
      </c>
      <c r="V3288" s="182" t="n">
        <v>0</v>
      </c>
      <c r="W3288" s="182" t="n">
        <v>0</v>
      </c>
      <c r="X3288" s="182" t="n">
        <v>0</v>
      </c>
      <c r="Y3288" s="182" t="n">
        <v>0</v>
      </c>
      <c r="Z3288" s="182" t="n">
        <v>0</v>
      </c>
      <c r="AA3288" s="182" t="n">
        <v>0</v>
      </c>
      <c r="AB3288" s="182" t="n">
        <v>0</v>
      </c>
      <c r="AC3288" s="182" t="n">
        <v>0</v>
      </c>
      <c r="AD3288" s="182" t="n">
        <v>0</v>
      </c>
      <c r="AE3288" s="182" t="n">
        <v>0</v>
      </c>
      <c r="AF3288" s="182" t="n">
        <v>0</v>
      </c>
      <c r="AG3288" s="182" t="n">
        <v>0</v>
      </c>
      <c r="AH3288" s="182" t="n">
        <v>0</v>
      </c>
      <c r="AI3288" s="182" t="n">
        <v>0</v>
      </c>
      <c r="AJ3288" s="182" t="n">
        <v>0</v>
      </c>
      <c r="AK3288" s="182" t="n">
        <v>0</v>
      </c>
      <c r="AL3288" s="182" t="n">
        <v>0</v>
      </c>
      <c r="AM3288" s="182" t="n">
        <v>0</v>
      </c>
      <c r="AN3288" s="182" t="n">
        <v>0</v>
      </c>
    </row>
    <row r="3289">
      <c r="A3289" s="155" t="n">
        <v>46096</v>
      </c>
      <c r="B3289" s="156" t="inlineStr">
        <is>
          <t>NS</t>
        </is>
      </c>
      <c r="C3289" s="156" t="inlineStr">
        <is>
          <t>DT-524</t>
        </is>
      </c>
      <c r="D3289" s="156" t="inlineStr">
        <is>
          <t>SKT 105S</t>
        </is>
      </c>
      <c r="E3289" s="156" t="inlineStr">
        <is>
          <t>Hauler</t>
        </is>
      </c>
      <c r="F3289" s="156" t="inlineStr">
        <is>
          <t>Hauling OB</t>
        </is>
      </c>
      <c r="G3289" s="182" t="n">
        <v>2.15</v>
      </c>
      <c r="H3289" s="182" t="n">
        <v>0</v>
      </c>
      <c r="I3289" s="182" t="n">
        <v>9.449999999999999</v>
      </c>
      <c r="J3289" s="182" t="n">
        <v>9.449999999999999</v>
      </c>
      <c r="K3289" s="182" t="n">
        <v>0.4</v>
      </c>
      <c r="L3289" s="182" t="n">
        <v>12</v>
      </c>
      <c r="M3289" s="182" t="n">
        <v>2.04</v>
      </c>
      <c r="N3289" s="182" t="n">
        <v>0</v>
      </c>
      <c r="O3289" s="183" t="n">
        <v>5</v>
      </c>
      <c r="P3289" s="183" t="n">
        <v>0</v>
      </c>
      <c r="Q3289" s="184" t="n">
        <v>102</v>
      </c>
      <c r="R3289" s="184" t="n">
        <v>0</v>
      </c>
      <c r="S3289" s="183" t="n">
        <v>0</v>
      </c>
      <c r="T3289" s="183" t="n">
        <v>0</v>
      </c>
      <c r="U3289" s="182" t="n">
        <v>0</v>
      </c>
      <c r="V3289" s="182" t="n">
        <v>0</v>
      </c>
      <c r="W3289" s="182" t="n">
        <v>0</v>
      </c>
      <c r="X3289" s="182" t="n">
        <v>0</v>
      </c>
      <c r="Y3289" s="182" t="n">
        <v>0</v>
      </c>
      <c r="Z3289" s="182" t="n">
        <v>0.19</v>
      </c>
      <c r="AA3289" s="182" t="n">
        <v>0</v>
      </c>
      <c r="AB3289" s="182" t="n">
        <v>0</v>
      </c>
      <c r="AC3289" s="182" t="n">
        <v>0</v>
      </c>
      <c r="AD3289" s="182" t="n">
        <v>0</v>
      </c>
      <c r="AE3289" s="182" t="n">
        <v>0</v>
      </c>
      <c r="AF3289" s="182" t="n">
        <v>0</v>
      </c>
      <c r="AG3289" s="182" t="n">
        <v>0</v>
      </c>
      <c r="AH3289" s="182" t="n">
        <v>0</v>
      </c>
      <c r="AI3289" s="182" t="n">
        <v>0</v>
      </c>
      <c r="AJ3289" s="182" t="n">
        <v>0</v>
      </c>
      <c r="AK3289" s="182" t="n">
        <v>0</v>
      </c>
      <c r="AL3289" s="182" t="n">
        <v>0</v>
      </c>
      <c r="AM3289" s="182" t="n">
        <v>0.21</v>
      </c>
      <c r="AN3289" s="182" t="n">
        <v>0</v>
      </c>
    </row>
    <row r="3290">
      <c r="A3290" s="155" t="n">
        <v>46096</v>
      </c>
      <c r="B3290" s="156" t="inlineStr">
        <is>
          <t>NS</t>
        </is>
      </c>
      <c r="C3290" s="156" t="inlineStr">
        <is>
          <t>DT-341</t>
        </is>
      </c>
      <c r="D3290" s="156" t="inlineStr">
        <is>
          <t>SYZ324C-8W</t>
        </is>
      </c>
      <c r="E3290" s="156" t="inlineStr">
        <is>
          <t>Hauler</t>
        </is>
      </c>
      <c r="F3290" s="156" t="inlineStr"/>
      <c r="G3290" s="182" t="n">
        <v>0</v>
      </c>
      <c r="H3290" s="182" t="n">
        <v>0</v>
      </c>
      <c r="I3290" s="182" t="n">
        <v>0</v>
      </c>
      <c r="J3290" s="182" t="n">
        <v>0</v>
      </c>
      <c r="K3290" s="182" t="n">
        <v>12</v>
      </c>
      <c r="L3290" s="182" t="n">
        <v>12</v>
      </c>
      <c r="M3290" s="182" t="n">
        <v>0</v>
      </c>
      <c r="N3290" s="182" t="n">
        <v>0</v>
      </c>
      <c r="O3290" s="183" t="n">
        <v>0</v>
      </c>
      <c r="P3290" s="183" t="n">
        <v>0</v>
      </c>
      <c r="Q3290" s="184" t="n">
        <v>0</v>
      </c>
      <c r="R3290" s="184" t="n">
        <v>0</v>
      </c>
      <c r="S3290" s="183" t="n">
        <v>0</v>
      </c>
      <c r="T3290" s="183" t="n">
        <v>0</v>
      </c>
      <c r="U3290" s="182" t="n">
        <v>4.5</v>
      </c>
      <c r="V3290" s="182" t="n">
        <v>0</v>
      </c>
      <c r="W3290" s="182" t="n">
        <v>0</v>
      </c>
      <c r="X3290" s="182" t="n">
        <v>1</v>
      </c>
      <c r="Y3290" s="182" t="n">
        <v>0</v>
      </c>
      <c r="Z3290" s="182" t="n">
        <v>0</v>
      </c>
      <c r="AA3290" s="182" t="n">
        <v>0</v>
      </c>
      <c r="AB3290" s="182" t="n">
        <v>0</v>
      </c>
      <c r="AC3290" s="182" t="n">
        <v>0</v>
      </c>
      <c r="AD3290" s="182" t="n">
        <v>0</v>
      </c>
      <c r="AE3290" s="182" t="n">
        <v>6.42</v>
      </c>
      <c r="AF3290" s="182" t="n">
        <v>0</v>
      </c>
      <c r="AG3290" s="182" t="n">
        <v>0</v>
      </c>
      <c r="AH3290" s="182" t="n">
        <v>0</v>
      </c>
      <c r="AI3290" s="182" t="n">
        <v>0</v>
      </c>
      <c r="AJ3290" s="182" t="n">
        <v>0</v>
      </c>
      <c r="AK3290" s="182" t="n">
        <v>0</v>
      </c>
      <c r="AL3290" s="182" t="n">
        <v>0</v>
      </c>
      <c r="AM3290" s="182" t="n">
        <v>0.08</v>
      </c>
      <c r="AN3290" s="182" t="n">
        <v>0</v>
      </c>
    </row>
    <row r="3291">
      <c r="A3291" s="155" t="n">
        <v>46096</v>
      </c>
      <c r="B3291" s="156" t="inlineStr">
        <is>
          <t>NS</t>
        </is>
      </c>
      <c r="C3291" s="156" t="inlineStr">
        <is>
          <t>DT-342</t>
        </is>
      </c>
      <c r="D3291" s="156" t="inlineStr">
        <is>
          <t>SYZ324C-8W</t>
        </is>
      </c>
      <c r="E3291" s="156" t="inlineStr">
        <is>
          <t>Hauler</t>
        </is>
      </c>
      <c r="F3291" s="156" t="inlineStr"/>
      <c r="G3291" s="182" t="n">
        <v>0</v>
      </c>
      <c r="H3291" s="182" t="n">
        <v>0</v>
      </c>
      <c r="I3291" s="182" t="n">
        <v>0</v>
      </c>
      <c r="J3291" s="182" t="n">
        <v>0</v>
      </c>
      <c r="K3291" s="182" t="n">
        <v>12</v>
      </c>
      <c r="L3291" s="182" t="n">
        <v>12</v>
      </c>
      <c r="M3291" s="182" t="n">
        <v>0</v>
      </c>
      <c r="N3291" s="182" t="n">
        <v>0</v>
      </c>
      <c r="O3291" s="183" t="n">
        <v>0</v>
      </c>
      <c r="P3291" s="183" t="n">
        <v>0</v>
      </c>
      <c r="Q3291" s="184" t="n">
        <v>0</v>
      </c>
      <c r="R3291" s="184" t="n">
        <v>0</v>
      </c>
      <c r="S3291" s="183" t="n">
        <v>0</v>
      </c>
      <c r="T3291" s="183" t="n">
        <v>0</v>
      </c>
      <c r="U3291" s="182" t="n">
        <v>4.5</v>
      </c>
      <c r="V3291" s="182" t="n">
        <v>0</v>
      </c>
      <c r="W3291" s="182" t="n">
        <v>0</v>
      </c>
      <c r="X3291" s="182" t="n">
        <v>1</v>
      </c>
      <c r="Y3291" s="182" t="n">
        <v>0</v>
      </c>
      <c r="Z3291" s="182" t="n">
        <v>0</v>
      </c>
      <c r="AA3291" s="182" t="n">
        <v>0</v>
      </c>
      <c r="AB3291" s="182" t="n">
        <v>0</v>
      </c>
      <c r="AC3291" s="182" t="n">
        <v>0</v>
      </c>
      <c r="AD3291" s="182" t="n">
        <v>0</v>
      </c>
      <c r="AE3291" s="182" t="n">
        <v>6.42</v>
      </c>
      <c r="AF3291" s="182" t="n">
        <v>0</v>
      </c>
      <c r="AG3291" s="182" t="n">
        <v>0</v>
      </c>
      <c r="AH3291" s="182" t="n">
        <v>0</v>
      </c>
      <c r="AI3291" s="182" t="n">
        <v>0</v>
      </c>
      <c r="AJ3291" s="182" t="n">
        <v>0</v>
      </c>
      <c r="AK3291" s="182" t="n">
        <v>0</v>
      </c>
      <c r="AL3291" s="182" t="n">
        <v>0</v>
      </c>
      <c r="AM3291" s="182" t="n">
        <v>0.08</v>
      </c>
      <c r="AN3291" s="182" t="n">
        <v>0</v>
      </c>
    </row>
    <row r="3292">
      <c r="A3292" s="155" t="n">
        <v>46096</v>
      </c>
      <c r="B3292" s="156" t="inlineStr">
        <is>
          <t>NS</t>
        </is>
      </c>
      <c r="C3292" s="156" t="inlineStr">
        <is>
          <t>HD-903</t>
        </is>
      </c>
      <c r="D3292" s="156" t="inlineStr">
        <is>
          <t>SRT 95C</t>
        </is>
      </c>
      <c r="E3292" s="156" t="inlineStr">
        <is>
          <t>Hauler</t>
        </is>
      </c>
      <c r="F3292" s="156" t="inlineStr"/>
      <c r="G3292" s="182" t="n">
        <v>0</v>
      </c>
      <c r="H3292" s="182" t="n">
        <v>0</v>
      </c>
      <c r="I3292" s="182" t="n">
        <v>12</v>
      </c>
      <c r="J3292" s="182" t="n">
        <v>12</v>
      </c>
      <c r="K3292" s="182" t="n">
        <v>0</v>
      </c>
      <c r="L3292" s="182" t="n">
        <v>12</v>
      </c>
      <c r="M3292" s="182" t="n">
        <v>0</v>
      </c>
      <c r="N3292" s="182" t="n">
        <v>0</v>
      </c>
      <c r="O3292" s="183" t="n">
        <v>0</v>
      </c>
      <c r="P3292" s="183" t="n">
        <v>0</v>
      </c>
      <c r="Q3292" s="184" t="n">
        <v>0</v>
      </c>
      <c r="R3292" s="184" t="n">
        <v>0</v>
      </c>
      <c r="S3292" s="183" t="n">
        <v>0</v>
      </c>
      <c r="T3292" s="183" t="n">
        <v>0</v>
      </c>
      <c r="U3292" s="182" t="n">
        <v>0</v>
      </c>
      <c r="V3292" s="182" t="n">
        <v>0</v>
      </c>
      <c r="W3292" s="182" t="n">
        <v>0</v>
      </c>
      <c r="X3292" s="182" t="n">
        <v>0</v>
      </c>
      <c r="Y3292" s="182" t="n">
        <v>0</v>
      </c>
      <c r="Z3292" s="182" t="n">
        <v>0</v>
      </c>
      <c r="AA3292" s="182" t="n">
        <v>0</v>
      </c>
      <c r="AB3292" s="182" t="n">
        <v>0</v>
      </c>
      <c r="AC3292" s="182" t="n">
        <v>0</v>
      </c>
      <c r="AD3292" s="182" t="n">
        <v>0</v>
      </c>
      <c r="AE3292" s="182" t="n">
        <v>0</v>
      </c>
      <c r="AF3292" s="182" t="n">
        <v>0</v>
      </c>
      <c r="AG3292" s="182" t="n">
        <v>0</v>
      </c>
      <c r="AH3292" s="182" t="n">
        <v>0</v>
      </c>
      <c r="AI3292" s="182" t="n">
        <v>0</v>
      </c>
      <c r="AJ3292" s="182" t="n">
        <v>0</v>
      </c>
      <c r="AK3292" s="182" t="n">
        <v>0</v>
      </c>
      <c r="AL3292" s="182" t="n">
        <v>0</v>
      </c>
      <c r="AM3292" s="182" t="n">
        <v>0</v>
      </c>
      <c r="AN3292" s="182" t="n">
        <v>0</v>
      </c>
    </row>
    <row r="3293">
      <c r="A3293" s="155" t="n">
        <v>46096</v>
      </c>
      <c r="B3293" s="156" t="inlineStr">
        <is>
          <t>NS</t>
        </is>
      </c>
      <c r="C3293" s="156" t="inlineStr">
        <is>
          <t>HD-905</t>
        </is>
      </c>
      <c r="D3293" s="156" t="inlineStr">
        <is>
          <t>SRT 95C</t>
        </is>
      </c>
      <c r="E3293" s="156" t="inlineStr">
        <is>
          <t>Hauler</t>
        </is>
      </c>
      <c r="F3293" s="156" t="inlineStr"/>
      <c r="G3293" s="182" t="n">
        <v>0</v>
      </c>
      <c r="H3293" s="182" t="n">
        <v>0</v>
      </c>
      <c r="I3293" s="182" t="n">
        <v>0.62</v>
      </c>
      <c r="J3293" s="182" t="n">
        <v>0.62</v>
      </c>
      <c r="K3293" s="182" t="n">
        <v>11.38</v>
      </c>
      <c r="L3293" s="182" t="n">
        <v>12</v>
      </c>
      <c r="M3293" s="182" t="n">
        <v>0</v>
      </c>
      <c r="N3293" s="182" t="n">
        <v>0</v>
      </c>
      <c r="O3293" s="183" t="n">
        <v>0</v>
      </c>
      <c r="P3293" s="183" t="n">
        <v>0</v>
      </c>
      <c r="Q3293" s="184" t="n">
        <v>0</v>
      </c>
      <c r="R3293" s="184" t="n">
        <v>0</v>
      </c>
      <c r="S3293" s="183" t="n">
        <v>0</v>
      </c>
      <c r="T3293" s="183" t="n">
        <v>0</v>
      </c>
      <c r="U3293" s="182" t="n">
        <v>4.5</v>
      </c>
      <c r="V3293" s="182" t="n">
        <v>0</v>
      </c>
      <c r="W3293" s="182" t="n">
        <v>0</v>
      </c>
      <c r="X3293" s="182" t="n">
        <v>1</v>
      </c>
      <c r="Y3293" s="182" t="n">
        <v>0</v>
      </c>
      <c r="Z3293" s="182" t="n">
        <v>0</v>
      </c>
      <c r="AA3293" s="182" t="n">
        <v>0</v>
      </c>
      <c r="AB3293" s="182" t="n">
        <v>0</v>
      </c>
      <c r="AC3293" s="182" t="n">
        <v>0</v>
      </c>
      <c r="AD3293" s="182" t="n">
        <v>0</v>
      </c>
      <c r="AE3293" s="182" t="n">
        <v>0</v>
      </c>
      <c r="AF3293" s="182" t="n">
        <v>0</v>
      </c>
      <c r="AG3293" s="182" t="n">
        <v>0</v>
      </c>
      <c r="AH3293" s="182" t="n">
        <v>0</v>
      </c>
      <c r="AI3293" s="182" t="n">
        <v>5.8</v>
      </c>
      <c r="AJ3293" s="182" t="n">
        <v>0</v>
      </c>
      <c r="AK3293" s="182" t="n">
        <v>0</v>
      </c>
      <c r="AL3293" s="182" t="n">
        <v>0</v>
      </c>
      <c r="AM3293" s="182" t="n">
        <v>0.08</v>
      </c>
      <c r="AN3293" s="182" t="n">
        <v>0</v>
      </c>
    </row>
    <row r="3294">
      <c r="A3294" s="155" t="n">
        <v>46096</v>
      </c>
      <c r="B3294" s="156" t="inlineStr">
        <is>
          <t>NS</t>
        </is>
      </c>
      <c r="C3294" s="156" t="inlineStr">
        <is>
          <t>HD-901</t>
        </is>
      </c>
      <c r="D3294" s="156" t="inlineStr">
        <is>
          <t>SRT 95C</t>
        </is>
      </c>
      <c r="E3294" s="156" t="inlineStr">
        <is>
          <t>Hauler</t>
        </is>
      </c>
      <c r="F3294" s="156" t="inlineStr">
        <is>
          <t>Hauling OB</t>
        </is>
      </c>
      <c r="G3294" s="182" t="n">
        <v>4.45</v>
      </c>
      <c r="H3294" s="182" t="n">
        <v>0</v>
      </c>
      <c r="I3294" s="182" t="n">
        <v>0</v>
      </c>
      <c r="J3294" s="182" t="n">
        <v>0</v>
      </c>
      <c r="K3294" s="182" t="n">
        <v>7.55</v>
      </c>
      <c r="L3294" s="182" t="n">
        <v>12</v>
      </c>
      <c r="M3294" s="182" t="n">
        <v>4.45</v>
      </c>
      <c r="N3294" s="182" t="n">
        <v>0</v>
      </c>
      <c r="O3294" s="183" t="n">
        <v>18</v>
      </c>
      <c r="P3294" s="183" t="n">
        <v>0</v>
      </c>
      <c r="Q3294" s="184" t="n">
        <v>642.6</v>
      </c>
      <c r="R3294" s="184" t="n">
        <v>0</v>
      </c>
      <c r="S3294" s="183" t="n">
        <v>0</v>
      </c>
      <c r="T3294" s="183" t="n">
        <v>0</v>
      </c>
      <c r="U3294" s="182" t="n">
        <v>4.36</v>
      </c>
      <c r="V3294" s="182" t="n">
        <v>0</v>
      </c>
      <c r="W3294" s="182" t="n">
        <v>0</v>
      </c>
      <c r="X3294" s="182" t="n">
        <v>0.97</v>
      </c>
      <c r="Y3294" s="182" t="n">
        <v>0</v>
      </c>
      <c r="Z3294" s="182" t="n">
        <v>0</v>
      </c>
      <c r="AA3294" s="182" t="n">
        <v>0</v>
      </c>
      <c r="AB3294" s="182" t="n">
        <v>0</v>
      </c>
      <c r="AC3294" s="182" t="n">
        <v>0</v>
      </c>
      <c r="AD3294" s="182" t="n">
        <v>2.15</v>
      </c>
      <c r="AE3294" s="182" t="n">
        <v>0</v>
      </c>
      <c r="AF3294" s="182" t="n">
        <v>0</v>
      </c>
      <c r="AG3294" s="182" t="n">
        <v>0</v>
      </c>
      <c r="AH3294" s="182" t="n">
        <v>0</v>
      </c>
      <c r="AI3294" s="182" t="n">
        <v>0</v>
      </c>
      <c r="AJ3294" s="182" t="n">
        <v>0</v>
      </c>
      <c r="AK3294" s="182" t="n">
        <v>0</v>
      </c>
      <c r="AL3294" s="182" t="n">
        <v>0</v>
      </c>
      <c r="AM3294" s="182" t="n">
        <v>0.08</v>
      </c>
      <c r="AN3294" s="182" t="n">
        <v>0</v>
      </c>
    </row>
    <row r="3295">
      <c r="A3295" s="155" t="n">
        <v>46096</v>
      </c>
      <c r="B3295" s="156" t="inlineStr">
        <is>
          <t>NS</t>
        </is>
      </c>
      <c r="C3295" s="156" t="inlineStr">
        <is>
          <t>HD-904</t>
        </is>
      </c>
      <c r="D3295" s="156" t="inlineStr">
        <is>
          <t>SRT 95C</t>
        </is>
      </c>
      <c r="E3295" s="156" t="inlineStr">
        <is>
          <t>Hauler</t>
        </is>
      </c>
      <c r="F3295" s="156" t="inlineStr">
        <is>
          <t>Hauling OB</t>
        </is>
      </c>
      <c r="G3295" s="182" t="n">
        <v>3.95</v>
      </c>
      <c r="H3295" s="182" t="n">
        <v>0</v>
      </c>
      <c r="I3295" s="182" t="n">
        <v>0</v>
      </c>
      <c r="J3295" s="182" t="n">
        <v>0</v>
      </c>
      <c r="K3295" s="182" t="n">
        <v>8.050000000000001</v>
      </c>
      <c r="L3295" s="182" t="n">
        <v>12</v>
      </c>
      <c r="M3295" s="182" t="n">
        <v>3.95</v>
      </c>
      <c r="N3295" s="182" t="n">
        <v>0</v>
      </c>
      <c r="O3295" s="183" t="n">
        <v>19</v>
      </c>
      <c r="P3295" s="183" t="n">
        <v>0</v>
      </c>
      <c r="Q3295" s="184" t="n">
        <v>678.3</v>
      </c>
      <c r="R3295" s="184" t="n">
        <v>0</v>
      </c>
      <c r="S3295" s="183" t="n">
        <v>0</v>
      </c>
      <c r="T3295" s="183" t="n">
        <v>0</v>
      </c>
      <c r="U3295" s="182" t="n">
        <v>4.7</v>
      </c>
      <c r="V3295" s="182" t="n">
        <v>0</v>
      </c>
      <c r="W3295" s="182" t="n">
        <v>0</v>
      </c>
      <c r="X3295" s="182" t="n">
        <v>1.05</v>
      </c>
      <c r="Y3295" s="182" t="n">
        <v>0</v>
      </c>
      <c r="Z3295" s="182" t="n">
        <v>0.07000000000000001</v>
      </c>
      <c r="AA3295" s="182" t="n">
        <v>0</v>
      </c>
      <c r="AB3295" s="182" t="n">
        <v>0</v>
      </c>
      <c r="AC3295" s="182" t="n">
        <v>0</v>
      </c>
      <c r="AD3295" s="182" t="n">
        <v>2.14</v>
      </c>
      <c r="AE3295" s="182" t="n">
        <v>0</v>
      </c>
      <c r="AF3295" s="182" t="n">
        <v>0</v>
      </c>
      <c r="AG3295" s="182" t="n">
        <v>0</v>
      </c>
      <c r="AH3295" s="182" t="n">
        <v>0</v>
      </c>
      <c r="AI3295" s="182" t="n">
        <v>0</v>
      </c>
      <c r="AJ3295" s="182" t="n">
        <v>0</v>
      </c>
      <c r="AK3295" s="182" t="n">
        <v>0</v>
      </c>
      <c r="AL3295" s="182" t="n">
        <v>0</v>
      </c>
      <c r="AM3295" s="182" t="n">
        <v>0.08</v>
      </c>
      <c r="AN3295" s="182" t="n">
        <v>0</v>
      </c>
    </row>
    <row r="3296">
      <c r="A3296" s="155" t="n">
        <v>46096</v>
      </c>
      <c r="B3296" s="156" t="inlineStr">
        <is>
          <t>NS</t>
        </is>
      </c>
      <c r="C3296" s="156" t="inlineStr">
        <is>
          <t>HD-902</t>
        </is>
      </c>
      <c r="D3296" s="156" t="inlineStr">
        <is>
          <t>SRT 95C</t>
        </is>
      </c>
      <c r="E3296" s="156" t="inlineStr">
        <is>
          <t>Hauler</t>
        </is>
      </c>
      <c r="F3296" s="156" t="inlineStr">
        <is>
          <t>Hauling OB</t>
        </is>
      </c>
      <c r="G3296" s="182" t="n">
        <v>4.35</v>
      </c>
      <c r="H3296" s="182" t="n">
        <v>0</v>
      </c>
      <c r="I3296" s="182" t="n">
        <v>0</v>
      </c>
      <c r="J3296" s="182" t="n">
        <v>0</v>
      </c>
      <c r="K3296" s="182" t="n">
        <v>7.65</v>
      </c>
      <c r="L3296" s="182" t="n">
        <v>12</v>
      </c>
      <c r="M3296" s="182" t="n">
        <v>4.35</v>
      </c>
      <c r="N3296" s="182" t="n">
        <v>0</v>
      </c>
      <c r="O3296" s="183" t="n">
        <v>18</v>
      </c>
      <c r="P3296" s="183" t="n">
        <v>0</v>
      </c>
      <c r="Q3296" s="184" t="n">
        <v>642.6</v>
      </c>
      <c r="R3296" s="184" t="n">
        <v>0</v>
      </c>
      <c r="S3296" s="183" t="n">
        <v>0</v>
      </c>
      <c r="T3296" s="183" t="n">
        <v>0</v>
      </c>
      <c r="U3296" s="182" t="n">
        <v>4.25</v>
      </c>
      <c r="V3296" s="182" t="n">
        <v>0</v>
      </c>
      <c r="W3296" s="182" t="n">
        <v>0</v>
      </c>
      <c r="X3296" s="182" t="n">
        <v>0.9399999999999999</v>
      </c>
      <c r="Y3296" s="182" t="n">
        <v>0</v>
      </c>
      <c r="Z3296" s="182" t="n">
        <v>0.07000000000000001</v>
      </c>
      <c r="AA3296" s="182" t="n">
        <v>0</v>
      </c>
      <c r="AB3296" s="182" t="n">
        <v>0</v>
      </c>
      <c r="AC3296" s="182" t="n">
        <v>0</v>
      </c>
      <c r="AD3296" s="182" t="n">
        <v>2.12</v>
      </c>
      <c r="AE3296" s="182" t="n">
        <v>0</v>
      </c>
      <c r="AF3296" s="182" t="n">
        <v>0</v>
      </c>
      <c r="AG3296" s="182" t="n">
        <v>0</v>
      </c>
      <c r="AH3296" s="182" t="n">
        <v>0.19</v>
      </c>
      <c r="AI3296" s="182" t="n">
        <v>0</v>
      </c>
      <c r="AJ3296" s="182" t="n">
        <v>0</v>
      </c>
      <c r="AK3296" s="182" t="n">
        <v>0</v>
      </c>
      <c r="AL3296" s="182" t="n">
        <v>0</v>
      </c>
      <c r="AM3296" s="182" t="n">
        <v>0.08</v>
      </c>
      <c r="AN3296" s="182" t="n">
        <v>0</v>
      </c>
    </row>
    <row r="3297">
      <c r="A3297" s="155" t="n">
        <v>46096</v>
      </c>
      <c r="B3297" s="156" t="inlineStr">
        <is>
          <t>NS</t>
        </is>
      </c>
      <c r="C3297" s="156" t="inlineStr">
        <is>
          <t>WL-025</t>
        </is>
      </c>
      <c r="D3297" s="156" t="inlineStr">
        <is>
          <t>SANY - Loader</t>
        </is>
      </c>
      <c r="E3297" s="156" t="inlineStr">
        <is>
          <t>Loader</t>
        </is>
      </c>
      <c r="F3297" s="156" t="inlineStr"/>
      <c r="G3297" s="182" t="n">
        <v>0</v>
      </c>
      <c r="H3297" s="182" t="n">
        <v>0</v>
      </c>
      <c r="I3297" s="182" t="n">
        <v>0</v>
      </c>
      <c r="J3297" s="182" t="n">
        <v>0</v>
      </c>
      <c r="K3297" s="182" t="n">
        <v>12</v>
      </c>
      <c r="L3297" s="182" t="n">
        <v>12</v>
      </c>
      <c r="M3297" s="182" t="n">
        <v>0</v>
      </c>
      <c r="N3297" s="182" t="n">
        <v>0</v>
      </c>
      <c r="O3297" s="183" t="n">
        <v>0</v>
      </c>
      <c r="P3297" s="183" t="n">
        <v>0</v>
      </c>
      <c r="Q3297" s="184" t="n">
        <v>0</v>
      </c>
      <c r="R3297" s="184" t="n">
        <v>0</v>
      </c>
      <c r="S3297" s="183" t="n">
        <v>0</v>
      </c>
      <c r="T3297" s="183" t="n">
        <v>0</v>
      </c>
      <c r="U3297" s="182" t="n">
        <v>0</v>
      </c>
      <c r="V3297" s="182" t="n">
        <v>0</v>
      </c>
      <c r="W3297" s="182" t="n">
        <v>0</v>
      </c>
      <c r="X3297" s="182" t="n">
        <v>1</v>
      </c>
      <c r="Y3297" s="182" t="n">
        <v>0</v>
      </c>
      <c r="Z3297" s="182" t="n">
        <v>0</v>
      </c>
      <c r="AA3297" s="182" t="n">
        <v>0</v>
      </c>
      <c r="AB3297" s="182" t="n">
        <v>0</v>
      </c>
      <c r="AC3297" s="182" t="n">
        <v>0</v>
      </c>
      <c r="AD3297" s="182" t="n">
        <v>0</v>
      </c>
      <c r="AE3297" s="182" t="n">
        <v>0</v>
      </c>
      <c r="AF3297" s="182" t="n">
        <v>0</v>
      </c>
      <c r="AG3297" s="182" t="n">
        <v>0</v>
      </c>
      <c r="AH3297" s="182" t="n">
        <v>0</v>
      </c>
      <c r="AI3297" s="182" t="n">
        <v>0</v>
      </c>
      <c r="AJ3297" s="182" t="n">
        <v>0</v>
      </c>
      <c r="AK3297" s="182" t="n">
        <v>10.92</v>
      </c>
      <c r="AL3297" s="182" t="n">
        <v>0</v>
      </c>
      <c r="AM3297" s="182" t="n">
        <v>0.08</v>
      </c>
      <c r="AN3297" s="182" t="n">
        <v>0</v>
      </c>
    </row>
    <row r="3298">
      <c r="A3298" s="155" t="n">
        <v>46096</v>
      </c>
      <c r="B3298" s="156" t="inlineStr">
        <is>
          <t>NS</t>
        </is>
      </c>
      <c r="C3298" s="156" t="inlineStr">
        <is>
          <t>WL-023</t>
        </is>
      </c>
      <c r="D3298" s="156" t="inlineStr">
        <is>
          <t>SANY - Loader</t>
        </is>
      </c>
      <c r="E3298" s="156" t="inlineStr">
        <is>
          <t>Loader</t>
        </is>
      </c>
      <c r="F3298" s="156" t="inlineStr"/>
      <c r="G3298" s="182" t="n">
        <v>0</v>
      </c>
      <c r="H3298" s="182" t="n">
        <v>0</v>
      </c>
      <c r="I3298" s="182" t="n">
        <v>0</v>
      </c>
      <c r="J3298" s="182" t="n">
        <v>0</v>
      </c>
      <c r="K3298" s="182" t="n">
        <v>12</v>
      </c>
      <c r="L3298" s="182" t="n">
        <v>12</v>
      </c>
      <c r="M3298" s="182" t="n">
        <v>0</v>
      </c>
      <c r="N3298" s="182" t="n">
        <v>0</v>
      </c>
      <c r="O3298" s="183" t="n">
        <v>0</v>
      </c>
      <c r="P3298" s="183" t="n">
        <v>0</v>
      </c>
      <c r="Q3298" s="184" t="n">
        <v>0</v>
      </c>
      <c r="R3298" s="184" t="n">
        <v>0</v>
      </c>
      <c r="S3298" s="183" t="n">
        <v>0</v>
      </c>
      <c r="T3298" s="183" t="n">
        <v>0</v>
      </c>
      <c r="U3298" s="182" t="n">
        <v>0</v>
      </c>
      <c r="V3298" s="182" t="n">
        <v>0</v>
      </c>
      <c r="W3298" s="182" t="n">
        <v>0</v>
      </c>
      <c r="X3298" s="182" t="n">
        <v>1</v>
      </c>
      <c r="Y3298" s="182" t="n">
        <v>0</v>
      </c>
      <c r="Z3298" s="182" t="n">
        <v>0</v>
      </c>
      <c r="AA3298" s="182" t="n">
        <v>0</v>
      </c>
      <c r="AB3298" s="182" t="n">
        <v>0</v>
      </c>
      <c r="AC3298" s="182" t="n">
        <v>0</v>
      </c>
      <c r="AD3298" s="182" t="n">
        <v>0</v>
      </c>
      <c r="AE3298" s="182" t="n">
        <v>0</v>
      </c>
      <c r="AF3298" s="182" t="n">
        <v>0</v>
      </c>
      <c r="AG3298" s="182" t="n">
        <v>0</v>
      </c>
      <c r="AH3298" s="182" t="n">
        <v>0</v>
      </c>
      <c r="AI3298" s="182" t="n">
        <v>0</v>
      </c>
      <c r="AJ3298" s="182" t="n">
        <v>0</v>
      </c>
      <c r="AK3298" s="182" t="n">
        <v>10.92</v>
      </c>
      <c r="AL3298" s="182" t="n">
        <v>0</v>
      </c>
      <c r="AM3298" s="182" t="n">
        <v>0.08</v>
      </c>
      <c r="AN3298" s="182" t="n">
        <v>0</v>
      </c>
    </row>
    <row r="3299">
      <c r="A3299" s="155" t="n">
        <v>46096</v>
      </c>
      <c r="B3299" s="156" t="inlineStr">
        <is>
          <t>NS</t>
        </is>
      </c>
      <c r="C3299" s="156" t="inlineStr">
        <is>
          <t>WL-021</t>
        </is>
      </c>
      <c r="D3299" s="156" t="inlineStr">
        <is>
          <t>SANY - Loader</t>
        </is>
      </c>
      <c r="E3299" s="156" t="inlineStr">
        <is>
          <t>Loader</t>
        </is>
      </c>
      <c r="F3299" s="156" t="inlineStr"/>
      <c r="G3299" s="182" t="n">
        <v>0</v>
      </c>
      <c r="H3299" s="182" t="n">
        <v>0</v>
      </c>
      <c r="I3299" s="182" t="n">
        <v>12</v>
      </c>
      <c r="J3299" s="182" t="n">
        <v>12</v>
      </c>
      <c r="K3299" s="182" t="n">
        <v>0</v>
      </c>
      <c r="L3299" s="182" t="n">
        <v>12</v>
      </c>
      <c r="M3299" s="182" t="n">
        <v>0</v>
      </c>
      <c r="N3299" s="182" t="n">
        <v>0</v>
      </c>
      <c r="O3299" s="183" t="n">
        <v>0</v>
      </c>
      <c r="P3299" s="183" t="n">
        <v>0</v>
      </c>
      <c r="Q3299" s="184" t="n">
        <v>0</v>
      </c>
      <c r="R3299" s="184" t="n">
        <v>0</v>
      </c>
      <c r="S3299" s="183" t="n">
        <v>0</v>
      </c>
      <c r="T3299" s="183" t="n">
        <v>0</v>
      </c>
      <c r="U3299" s="182" t="n">
        <v>0</v>
      </c>
      <c r="V3299" s="182" t="n">
        <v>0</v>
      </c>
      <c r="W3299" s="182" t="n">
        <v>0</v>
      </c>
      <c r="X3299" s="182" t="n">
        <v>0</v>
      </c>
      <c r="Y3299" s="182" t="n">
        <v>0</v>
      </c>
      <c r="Z3299" s="182" t="n">
        <v>0</v>
      </c>
      <c r="AA3299" s="182" t="n">
        <v>0</v>
      </c>
      <c r="AB3299" s="182" t="n">
        <v>0</v>
      </c>
      <c r="AC3299" s="182" t="n">
        <v>0</v>
      </c>
      <c r="AD3299" s="182" t="n">
        <v>0</v>
      </c>
      <c r="AE3299" s="182" t="n">
        <v>0</v>
      </c>
      <c r="AF3299" s="182" t="n">
        <v>0</v>
      </c>
      <c r="AG3299" s="182" t="n">
        <v>0</v>
      </c>
      <c r="AH3299" s="182" t="n">
        <v>0</v>
      </c>
      <c r="AI3299" s="182" t="n">
        <v>0</v>
      </c>
      <c r="AJ3299" s="182" t="n">
        <v>0</v>
      </c>
      <c r="AK3299" s="182" t="n">
        <v>0</v>
      </c>
      <c r="AL3299" s="182" t="n">
        <v>0</v>
      </c>
      <c r="AM3299" s="182" t="n">
        <v>0</v>
      </c>
      <c r="AN3299" s="182" t="n">
        <v>0</v>
      </c>
    </row>
    <row r="3300">
      <c r="A3300" s="155" t="n">
        <v>46096</v>
      </c>
      <c r="B3300" s="156" t="inlineStr">
        <is>
          <t>NS</t>
        </is>
      </c>
      <c r="C3300" s="156" t="inlineStr">
        <is>
          <t>WL-022</t>
        </is>
      </c>
      <c r="D3300" s="156" t="inlineStr">
        <is>
          <t>SANY - Loader</t>
        </is>
      </c>
      <c r="E3300" s="156" t="inlineStr">
        <is>
          <t>Loader</t>
        </is>
      </c>
      <c r="F3300" s="156" t="inlineStr">
        <is>
          <t>Support Washing Plant</t>
        </is>
      </c>
      <c r="G3300" s="182" t="n">
        <v>11.07</v>
      </c>
      <c r="H3300" s="182" t="n">
        <v>0</v>
      </c>
      <c r="I3300" s="182" t="n">
        <v>0</v>
      </c>
      <c r="J3300" s="182" t="n">
        <v>0</v>
      </c>
      <c r="K3300" s="182" t="n">
        <v>0.93</v>
      </c>
      <c r="L3300" s="182" t="n">
        <v>12</v>
      </c>
      <c r="M3300" s="182" t="n">
        <v>0</v>
      </c>
      <c r="N3300" s="182" t="n">
        <v>0</v>
      </c>
      <c r="O3300" s="183" t="n">
        <v>0</v>
      </c>
      <c r="P3300" s="183" t="n">
        <v>0</v>
      </c>
      <c r="Q3300" s="184" t="n">
        <v>0</v>
      </c>
      <c r="R3300" s="184" t="n">
        <v>0</v>
      </c>
      <c r="S3300" s="183" t="n">
        <v>0</v>
      </c>
      <c r="T3300" s="183" t="n">
        <v>0</v>
      </c>
      <c r="U3300" s="182" t="n">
        <v>0.02</v>
      </c>
      <c r="V3300" s="182" t="n">
        <v>0</v>
      </c>
      <c r="W3300" s="182" t="n">
        <v>0</v>
      </c>
      <c r="X3300" s="182" t="n">
        <v>0.85</v>
      </c>
      <c r="Y3300" s="182" t="n">
        <v>0</v>
      </c>
      <c r="Z3300" s="182" t="n">
        <v>0</v>
      </c>
      <c r="AA3300" s="182" t="n">
        <v>0</v>
      </c>
      <c r="AB3300" s="182" t="n">
        <v>0</v>
      </c>
      <c r="AC3300" s="182" t="n">
        <v>0</v>
      </c>
      <c r="AD3300" s="182" t="n">
        <v>0</v>
      </c>
      <c r="AE3300" s="182" t="n">
        <v>0</v>
      </c>
      <c r="AF3300" s="182" t="n">
        <v>0</v>
      </c>
      <c r="AG3300" s="182" t="n">
        <v>0</v>
      </c>
      <c r="AH3300" s="182" t="n">
        <v>0</v>
      </c>
      <c r="AI3300" s="182" t="n">
        <v>0</v>
      </c>
      <c r="AJ3300" s="182" t="n">
        <v>0</v>
      </c>
      <c r="AK3300" s="182" t="n">
        <v>0</v>
      </c>
      <c r="AL3300" s="182" t="n">
        <v>0</v>
      </c>
      <c r="AM3300" s="182" t="n">
        <v>0.07000000000000001</v>
      </c>
      <c r="AN3300" s="182" t="n">
        <v>0</v>
      </c>
    </row>
    <row r="3301">
      <c r="A3301" s="155" t="n">
        <v>46096</v>
      </c>
      <c r="B3301" s="156" t="inlineStr">
        <is>
          <t>NS</t>
        </is>
      </c>
      <c r="C3301" s="156" t="inlineStr">
        <is>
          <t>WL-024</t>
        </is>
      </c>
      <c r="D3301" s="156" t="inlineStr">
        <is>
          <t>SANY - Loader</t>
        </is>
      </c>
      <c r="E3301" s="156" t="inlineStr">
        <is>
          <t>Loader</t>
        </is>
      </c>
      <c r="F3301" s="156" t="inlineStr">
        <is>
          <t>Support Washing Plant</t>
        </is>
      </c>
      <c r="G3301" s="182" t="n">
        <v>5.11</v>
      </c>
      <c r="H3301" s="182" t="n">
        <v>0</v>
      </c>
      <c r="I3301" s="182" t="n">
        <v>0</v>
      </c>
      <c r="J3301" s="182" t="n">
        <v>0</v>
      </c>
      <c r="K3301" s="182" t="n">
        <v>6.89</v>
      </c>
      <c r="L3301" s="182" t="n">
        <v>12</v>
      </c>
      <c r="M3301" s="182" t="n">
        <v>0</v>
      </c>
      <c r="N3301" s="182" t="n">
        <v>0</v>
      </c>
      <c r="O3301" s="183" t="n">
        <v>0</v>
      </c>
      <c r="P3301" s="183" t="n">
        <v>0</v>
      </c>
      <c r="Q3301" s="184" t="n">
        <v>0</v>
      </c>
      <c r="R3301" s="184" t="n">
        <v>0</v>
      </c>
      <c r="S3301" s="183" t="n">
        <v>0</v>
      </c>
      <c r="T3301" s="183" t="n">
        <v>0</v>
      </c>
      <c r="U3301" s="182" t="n">
        <v>4.31</v>
      </c>
      <c r="V3301" s="182" t="n">
        <v>0</v>
      </c>
      <c r="W3301" s="182" t="n">
        <v>0</v>
      </c>
      <c r="X3301" s="182" t="n">
        <v>0.96</v>
      </c>
      <c r="Y3301" s="182" t="n">
        <v>0</v>
      </c>
      <c r="Z3301" s="182" t="n">
        <v>0</v>
      </c>
      <c r="AA3301" s="182" t="n">
        <v>0</v>
      </c>
      <c r="AB3301" s="182" t="n">
        <v>0</v>
      </c>
      <c r="AC3301" s="182" t="n">
        <v>0</v>
      </c>
      <c r="AD3301" s="182" t="n">
        <v>0</v>
      </c>
      <c r="AE3301" s="182" t="n">
        <v>0</v>
      </c>
      <c r="AF3301" s="182" t="n">
        <v>0</v>
      </c>
      <c r="AG3301" s="182" t="n">
        <v>0</v>
      </c>
      <c r="AH3301" s="182" t="n">
        <v>0</v>
      </c>
      <c r="AI3301" s="182" t="n">
        <v>0</v>
      </c>
      <c r="AJ3301" s="182" t="n">
        <v>0</v>
      </c>
      <c r="AK3301" s="182" t="n">
        <v>1.55</v>
      </c>
      <c r="AL3301" s="182" t="n">
        <v>0</v>
      </c>
      <c r="AM3301" s="182" t="n">
        <v>0.08</v>
      </c>
      <c r="AN3301" s="182" t="n">
        <v>0</v>
      </c>
    </row>
    <row r="3302">
      <c r="A3302" s="155" t="n">
        <v>46097</v>
      </c>
      <c r="B3302" s="156" t="inlineStr">
        <is>
          <t>DS</t>
        </is>
      </c>
      <c r="C3302" s="156" t="inlineStr">
        <is>
          <t>DZ-034</t>
        </is>
      </c>
      <c r="D3302" s="156" t="inlineStr">
        <is>
          <t>D 68ESS-12EO</t>
        </is>
      </c>
      <c r="E3302" s="156" t="inlineStr">
        <is>
          <t>Bulldozer</t>
        </is>
      </c>
      <c r="F3302" s="156" t="inlineStr">
        <is>
          <t>Support Stock ROM</t>
        </is>
      </c>
      <c r="G3302" s="182" t="n">
        <v>9.1</v>
      </c>
      <c r="H3302" s="182" t="n">
        <v>0</v>
      </c>
      <c r="I3302" s="182" t="n">
        <v>0</v>
      </c>
      <c r="J3302" s="182" t="n">
        <v>0</v>
      </c>
      <c r="K3302" s="182" t="n">
        <v>2.9</v>
      </c>
      <c r="L3302" s="182" t="n">
        <v>12</v>
      </c>
      <c r="M3302" s="182" t="n">
        <v>0</v>
      </c>
      <c r="N3302" s="182" t="n">
        <v>0</v>
      </c>
      <c r="O3302" s="183" t="n">
        <v>0</v>
      </c>
      <c r="P3302" s="183" t="n">
        <v>0</v>
      </c>
      <c r="Q3302" s="184" t="n">
        <v>0</v>
      </c>
      <c r="R3302" s="184" t="n">
        <v>0</v>
      </c>
      <c r="S3302" s="183" t="n">
        <v>0</v>
      </c>
      <c r="T3302" s="183" t="n">
        <v>0</v>
      </c>
      <c r="U3302" s="182" t="n">
        <v>0</v>
      </c>
      <c r="V3302" s="182" t="n">
        <v>0</v>
      </c>
      <c r="W3302" s="182" t="n">
        <v>0</v>
      </c>
      <c r="X3302" s="182" t="n">
        <v>1</v>
      </c>
      <c r="Y3302" s="182" t="n">
        <v>0</v>
      </c>
      <c r="Z3302" s="182" t="n">
        <v>0</v>
      </c>
      <c r="AA3302" s="182" t="n">
        <v>0</v>
      </c>
      <c r="AB3302" s="182" t="n">
        <v>1</v>
      </c>
      <c r="AC3302" s="182" t="n">
        <v>0</v>
      </c>
      <c r="AD3302" s="182" t="n">
        <v>0</v>
      </c>
      <c r="AE3302" s="182" t="n">
        <v>0</v>
      </c>
      <c r="AF3302" s="182" t="n">
        <v>0</v>
      </c>
      <c r="AG3302" s="182" t="n">
        <v>0</v>
      </c>
      <c r="AH3302" s="182" t="n">
        <v>0</v>
      </c>
      <c r="AI3302" s="182" t="n">
        <v>0</v>
      </c>
      <c r="AJ3302" s="182" t="n">
        <v>0</v>
      </c>
      <c r="AK3302" s="182" t="n">
        <v>0.82</v>
      </c>
      <c r="AL3302" s="182" t="n">
        <v>0</v>
      </c>
      <c r="AM3302" s="182" t="n">
        <v>0.08</v>
      </c>
      <c r="AN3302" s="182" t="n">
        <v>0</v>
      </c>
    </row>
    <row r="3303">
      <c r="A3303" s="155" t="n">
        <v>46097</v>
      </c>
      <c r="B3303" s="156" t="inlineStr">
        <is>
          <t>DS</t>
        </is>
      </c>
      <c r="C3303" s="156" t="inlineStr">
        <is>
          <t>DZ-033</t>
        </is>
      </c>
      <c r="D3303" s="156" t="inlineStr">
        <is>
          <t>D 375A-6R</t>
        </is>
      </c>
      <c r="E3303" s="156" t="inlineStr">
        <is>
          <t>Bulldozer</t>
        </is>
      </c>
      <c r="F3303" s="156" t="inlineStr">
        <is>
          <t>Support Disposal</t>
        </is>
      </c>
      <c r="G3303" s="182" t="n">
        <v>9.4</v>
      </c>
      <c r="H3303" s="182" t="n">
        <v>0</v>
      </c>
      <c r="I3303" s="182" t="n">
        <v>0.5</v>
      </c>
      <c r="J3303" s="182" t="n">
        <v>0.5</v>
      </c>
      <c r="K3303" s="182" t="n">
        <v>2.1</v>
      </c>
      <c r="L3303" s="182" t="n">
        <v>12</v>
      </c>
      <c r="M3303" s="182" t="n">
        <v>0</v>
      </c>
      <c r="N3303" s="182" t="n">
        <v>0</v>
      </c>
      <c r="O3303" s="183" t="n">
        <v>0</v>
      </c>
      <c r="P3303" s="183" t="n">
        <v>0</v>
      </c>
      <c r="Q3303" s="184" t="n">
        <v>0</v>
      </c>
      <c r="R3303" s="184" t="n">
        <v>0</v>
      </c>
      <c r="S3303" s="183" t="n">
        <v>0</v>
      </c>
      <c r="T3303" s="183" t="n">
        <v>0</v>
      </c>
      <c r="U3303" s="182" t="n">
        <v>0</v>
      </c>
      <c r="V3303" s="182" t="n">
        <v>0</v>
      </c>
      <c r="W3303" s="182" t="n">
        <v>0</v>
      </c>
      <c r="X3303" s="182" t="n">
        <v>0.84</v>
      </c>
      <c r="Y3303" s="182" t="n">
        <v>0</v>
      </c>
      <c r="Z3303" s="182" t="n">
        <v>0</v>
      </c>
      <c r="AA3303" s="182" t="n">
        <v>0</v>
      </c>
      <c r="AB3303" s="182" t="n">
        <v>0.84</v>
      </c>
      <c r="AC3303" s="182" t="n">
        <v>0</v>
      </c>
      <c r="AD3303" s="182" t="n">
        <v>0</v>
      </c>
      <c r="AE3303" s="182" t="n">
        <v>0</v>
      </c>
      <c r="AF3303" s="182" t="n">
        <v>0</v>
      </c>
      <c r="AG3303" s="182" t="n">
        <v>0</v>
      </c>
      <c r="AH3303" s="182" t="n">
        <v>0</v>
      </c>
      <c r="AI3303" s="182" t="n">
        <v>0</v>
      </c>
      <c r="AJ3303" s="182" t="n">
        <v>0</v>
      </c>
      <c r="AK3303" s="182" t="n">
        <v>0.35</v>
      </c>
      <c r="AL3303" s="182" t="n">
        <v>0</v>
      </c>
      <c r="AM3303" s="182" t="n">
        <v>0.07000000000000001</v>
      </c>
      <c r="AN3303" s="182" t="n">
        <v>0</v>
      </c>
    </row>
    <row r="3304">
      <c r="A3304" s="155" t="n">
        <v>46097</v>
      </c>
      <c r="B3304" s="156" t="inlineStr">
        <is>
          <t>DS</t>
        </is>
      </c>
      <c r="C3304" s="156" t="inlineStr">
        <is>
          <t>DZ-038</t>
        </is>
      </c>
      <c r="D3304" s="156" t="inlineStr">
        <is>
          <t>D 85 ESS-2</t>
        </is>
      </c>
      <c r="E3304" s="156" t="inlineStr">
        <is>
          <t>Bulldozer</t>
        </is>
      </c>
      <c r="F3304" s="156" t="inlineStr"/>
      <c r="G3304" s="182" t="n">
        <v>0</v>
      </c>
      <c r="H3304" s="182" t="n">
        <v>0</v>
      </c>
      <c r="I3304" s="182" t="n">
        <v>12</v>
      </c>
      <c r="J3304" s="182" t="n">
        <v>12</v>
      </c>
      <c r="K3304" s="182" t="n">
        <v>0</v>
      </c>
      <c r="L3304" s="182" t="n">
        <v>12</v>
      </c>
      <c r="M3304" s="182" t="n">
        <v>0</v>
      </c>
      <c r="N3304" s="182" t="n">
        <v>0</v>
      </c>
      <c r="O3304" s="183" t="n">
        <v>0</v>
      </c>
      <c r="P3304" s="183" t="n">
        <v>0</v>
      </c>
      <c r="Q3304" s="184" t="n">
        <v>0</v>
      </c>
      <c r="R3304" s="184" t="n">
        <v>0</v>
      </c>
      <c r="S3304" s="183" t="n">
        <v>0</v>
      </c>
      <c r="T3304" s="183" t="n">
        <v>0</v>
      </c>
      <c r="U3304" s="182" t="n">
        <v>0</v>
      </c>
      <c r="V3304" s="182" t="n">
        <v>0</v>
      </c>
      <c r="W3304" s="182" t="n">
        <v>0</v>
      </c>
      <c r="X3304" s="182" t="n">
        <v>0</v>
      </c>
      <c r="Y3304" s="182" t="n">
        <v>0</v>
      </c>
      <c r="Z3304" s="182" t="n">
        <v>0</v>
      </c>
      <c r="AA3304" s="182" t="n">
        <v>0</v>
      </c>
      <c r="AB3304" s="182" t="n">
        <v>0</v>
      </c>
      <c r="AC3304" s="182" t="n">
        <v>0</v>
      </c>
      <c r="AD3304" s="182" t="n">
        <v>0</v>
      </c>
      <c r="AE3304" s="182" t="n">
        <v>0</v>
      </c>
      <c r="AF3304" s="182" t="n">
        <v>0</v>
      </c>
      <c r="AG3304" s="182" t="n">
        <v>0</v>
      </c>
      <c r="AH3304" s="182" t="n">
        <v>0</v>
      </c>
      <c r="AI3304" s="182" t="n">
        <v>0</v>
      </c>
      <c r="AJ3304" s="182" t="n">
        <v>0</v>
      </c>
      <c r="AK3304" s="182" t="n">
        <v>0</v>
      </c>
      <c r="AL3304" s="182" t="n">
        <v>0</v>
      </c>
      <c r="AM3304" s="182" t="n">
        <v>0</v>
      </c>
      <c r="AN3304" s="182" t="n">
        <v>0</v>
      </c>
    </row>
    <row r="3305">
      <c r="A3305" s="155" t="n">
        <v>46097</v>
      </c>
      <c r="B3305" s="156" t="inlineStr">
        <is>
          <t>DS</t>
        </is>
      </c>
      <c r="C3305" s="156" t="inlineStr">
        <is>
          <t>DZ-039</t>
        </is>
      </c>
      <c r="D3305" s="156" t="inlineStr">
        <is>
          <t>D 85 ESS-2</t>
        </is>
      </c>
      <c r="E3305" s="156" t="inlineStr">
        <is>
          <t>Bulldozer</t>
        </is>
      </c>
      <c r="F3305" s="156" t="inlineStr">
        <is>
          <t>Support Front Loading</t>
        </is>
      </c>
      <c r="G3305" s="182" t="n">
        <v>6.14</v>
      </c>
      <c r="H3305" s="182" t="n">
        <v>0</v>
      </c>
      <c r="I3305" s="182" t="n">
        <v>3</v>
      </c>
      <c r="J3305" s="182" t="n">
        <v>3</v>
      </c>
      <c r="K3305" s="182" t="n">
        <v>2.86</v>
      </c>
      <c r="L3305" s="182" t="n">
        <v>12</v>
      </c>
      <c r="M3305" s="182" t="n">
        <v>0</v>
      </c>
      <c r="N3305" s="182" t="n">
        <v>0</v>
      </c>
      <c r="O3305" s="183" t="n">
        <v>0</v>
      </c>
      <c r="P3305" s="183" t="n">
        <v>0</v>
      </c>
      <c r="Q3305" s="184" t="n">
        <v>0</v>
      </c>
      <c r="R3305" s="184" t="n">
        <v>0</v>
      </c>
      <c r="S3305" s="183" t="n">
        <v>0</v>
      </c>
      <c r="T3305" s="183" t="n">
        <v>0</v>
      </c>
      <c r="U3305" s="182" t="n">
        <v>0</v>
      </c>
      <c r="V3305" s="182" t="n">
        <v>0</v>
      </c>
      <c r="W3305" s="182" t="n">
        <v>0</v>
      </c>
      <c r="X3305" s="182" t="n">
        <v>0.99</v>
      </c>
      <c r="Y3305" s="182" t="n">
        <v>0</v>
      </c>
      <c r="Z3305" s="182" t="n">
        <v>0</v>
      </c>
      <c r="AA3305" s="182" t="n">
        <v>0</v>
      </c>
      <c r="AB3305" s="182" t="n">
        <v>0.99</v>
      </c>
      <c r="AC3305" s="182" t="n">
        <v>0</v>
      </c>
      <c r="AD3305" s="182" t="n">
        <v>0</v>
      </c>
      <c r="AE3305" s="182" t="n">
        <v>0</v>
      </c>
      <c r="AF3305" s="182" t="n">
        <v>0</v>
      </c>
      <c r="AG3305" s="182" t="n">
        <v>0</v>
      </c>
      <c r="AH3305" s="182" t="n">
        <v>0</v>
      </c>
      <c r="AI3305" s="182" t="n">
        <v>0</v>
      </c>
      <c r="AJ3305" s="182" t="n">
        <v>0</v>
      </c>
      <c r="AK3305" s="182" t="n">
        <v>0.8100000000000001</v>
      </c>
      <c r="AL3305" s="182" t="n">
        <v>0</v>
      </c>
      <c r="AM3305" s="182" t="n">
        <v>0.08</v>
      </c>
      <c r="AN3305" s="182" t="n">
        <v>0</v>
      </c>
    </row>
    <row r="3306">
      <c r="A3306" s="155" t="n">
        <v>46097</v>
      </c>
      <c r="B3306" s="156" t="inlineStr">
        <is>
          <t>DS</t>
        </is>
      </c>
      <c r="C3306" s="156" t="inlineStr">
        <is>
          <t>DZ-032</t>
        </is>
      </c>
      <c r="D3306" s="156" t="inlineStr">
        <is>
          <t>CAT</t>
        </is>
      </c>
      <c r="E3306" s="156" t="inlineStr">
        <is>
          <t>Bulldozer</t>
        </is>
      </c>
      <c r="F3306" s="156" t="inlineStr"/>
      <c r="G3306" s="182" t="n">
        <v>0</v>
      </c>
      <c r="H3306" s="182" t="n">
        <v>0</v>
      </c>
      <c r="I3306" s="182" t="n">
        <v>12</v>
      </c>
      <c r="J3306" s="182" t="n">
        <v>12</v>
      </c>
      <c r="K3306" s="182" t="n">
        <v>0</v>
      </c>
      <c r="L3306" s="182" t="n">
        <v>12</v>
      </c>
      <c r="M3306" s="182" t="n">
        <v>0</v>
      </c>
      <c r="N3306" s="182" t="n">
        <v>0</v>
      </c>
      <c r="O3306" s="183" t="n">
        <v>0</v>
      </c>
      <c r="P3306" s="183" t="n">
        <v>0</v>
      </c>
      <c r="Q3306" s="184" t="n">
        <v>0</v>
      </c>
      <c r="R3306" s="184" t="n">
        <v>0</v>
      </c>
      <c r="S3306" s="183" t="n">
        <v>0</v>
      </c>
      <c r="T3306" s="183" t="n">
        <v>0</v>
      </c>
      <c r="U3306" s="182" t="n">
        <v>0</v>
      </c>
      <c r="V3306" s="182" t="n">
        <v>0</v>
      </c>
      <c r="W3306" s="182" t="n">
        <v>0</v>
      </c>
      <c r="X3306" s="182" t="n">
        <v>0</v>
      </c>
      <c r="Y3306" s="182" t="n">
        <v>0</v>
      </c>
      <c r="Z3306" s="182" t="n">
        <v>0</v>
      </c>
      <c r="AA3306" s="182" t="n">
        <v>0</v>
      </c>
      <c r="AB3306" s="182" t="n">
        <v>0</v>
      </c>
      <c r="AC3306" s="182" t="n">
        <v>0</v>
      </c>
      <c r="AD3306" s="182" t="n">
        <v>0</v>
      </c>
      <c r="AE3306" s="182" t="n">
        <v>0</v>
      </c>
      <c r="AF3306" s="182" t="n">
        <v>0</v>
      </c>
      <c r="AG3306" s="182" t="n">
        <v>0</v>
      </c>
      <c r="AH3306" s="182" t="n">
        <v>0</v>
      </c>
      <c r="AI3306" s="182" t="n">
        <v>0</v>
      </c>
      <c r="AJ3306" s="182" t="n">
        <v>0</v>
      </c>
      <c r="AK3306" s="182" t="n">
        <v>0</v>
      </c>
      <c r="AL3306" s="182" t="n">
        <v>0</v>
      </c>
      <c r="AM3306" s="182" t="n">
        <v>0</v>
      </c>
      <c r="AN3306" s="182" t="n">
        <v>0</v>
      </c>
    </row>
    <row r="3307">
      <c r="A3307" s="155" t="n">
        <v>46097</v>
      </c>
      <c r="B3307" s="156" t="inlineStr">
        <is>
          <t>DS</t>
        </is>
      </c>
      <c r="C3307" s="156" t="inlineStr">
        <is>
          <t>DZ-031</t>
        </is>
      </c>
      <c r="D3307" s="156" t="inlineStr">
        <is>
          <t>CAT</t>
        </is>
      </c>
      <c r="E3307" s="156" t="inlineStr">
        <is>
          <t>Bulldozer</t>
        </is>
      </c>
      <c r="F3307" s="156" t="inlineStr">
        <is>
          <t>Support Front Loading</t>
        </is>
      </c>
      <c r="G3307" s="182" t="n">
        <v>8.550000000000001</v>
      </c>
      <c r="H3307" s="182" t="n">
        <v>0</v>
      </c>
      <c r="I3307" s="182" t="n">
        <v>1.17</v>
      </c>
      <c r="J3307" s="182" t="n">
        <v>1.17</v>
      </c>
      <c r="K3307" s="182" t="n">
        <v>2.28</v>
      </c>
      <c r="L3307" s="182" t="n">
        <v>12</v>
      </c>
      <c r="M3307" s="182" t="n">
        <v>0</v>
      </c>
      <c r="N3307" s="182" t="n">
        <v>0</v>
      </c>
      <c r="O3307" s="183" t="n">
        <v>0</v>
      </c>
      <c r="P3307" s="183" t="n">
        <v>0</v>
      </c>
      <c r="Q3307" s="184" t="n">
        <v>0</v>
      </c>
      <c r="R3307" s="184" t="n">
        <v>0</v>
      </c>
      <c r="S3307" s="183" t="n">
        <v>0</v>
      </c>
      <c r="T3307" s="183" t="n">
        <v>0</v>
      </c>
      <c r="U3307" s="182" t="n">
        <v>0</v>
      </c>
      <c r="V3307" s="182" t="n">
        <v>0</v>
      </c>
      <c r="W3307" s="182" t="n">
        <v>0</v>
      </c>
      <c r="X3307" s="182" t="n">
        <v>0.9</v>
      </c>
      <c r="Y3307" s="182" t="n">
        <v>0</v>
      </c>
      <c r="Z3307" s="182" t="n">
        <v>0</v>
      </c>
      <c r="AA3307" s="182" t="n">
        <v>0</v>
      </c>
      <c r="AB3307" s="182" t="n">
        <v>0.9</v>
      </c>
      <c r="AC3307" s="182" t="n">
        <v>0</v>
      </c>
      <c r="AD3307" s="182" t="n">
        <v>0</v>
      </c>
      <c r="AE3307" s="182" t="n">
        <v>0</v>
      </c>
      <c r="AF3307" s="182" t="n">
        <v>0</v>
      </c>
      <c r="AG3307" s="182" t="n">
        <v>0</v>
      </c>
      <c r="AH3307" s="182" t="n">
        <v>0</v>
      </c>
      <c r="AI3307" s="182" t="n">
        <v>0</v>
      </c>
      <c r="AJ3307" s="182" t="n">
        <v>0</v>
      </c>
      <c r="AK3307" s="182" t="n">
        <v>0.41</v>
      </c>
      <c r="AL3307" s="182" t="n">
        <v>0</v>
      </c>
      <c r="AM3307" s="182" t="n">
        <v>0.07000000000000001</v>
      </c>
      <c r="AN3307" s="182" t="n">
        <v>0</v>
      </c>
    </row>
    <row r="3308">
      <c r="A3308" s="155" t="n">
        <v>46097</v>
      </c>
      <c r="B3308" s="156" t="inlineStr">
        <is>
          <t>DS</t>
        </is>
      </c>
      <c r="C3308" s="156" t="inlineStr">
        <is>
          <t>DZ-037</t>
        </is>
      </c>
      <c r="D3308" s="156" t="inlineStr">
        <is>
          <t>D 85 ESS-2</t>
        </is>
      </c>
      <c r="E3308" s="156" t="inlineStr">
        <is>
          <t>Bulldozer</t>
        </is>
      </c>
      <c r="F3308" s="156" t="inlineStr"/>
      <c r="G3308" s="182" t="n">
        <v>0</v>
      </c>
      <c r="H3308" s="182" t="n">
        <v>0</v>
      </c>
      <c r="I3308" s="182" t="n">
        <v>12</v>
      </c>
      <c r="J3308" s="182" t="n">
        <v>12</v>
      </c>
      <c r="K3308" s="182" t="n">
        <v>0</v>
      </c>
      <c r="L3308" s="182" t="n">
        <v>12</v>
      </c>
      <c r="M3308" s="182" t="n">
        <v>0</v>
      </c>
      <c r="N3308" s="182" t="n">
        <v>0</v>
      </c>
      <c r="O3308" s="183" t="n">
        <v>0</v>
      </c>
      <c r="P3308" s="183" t="n">
        <v>0</v>
      </c>
      <c r="Q3308" s="184" t="n">
        <v>0</v>
      </c>
      <c r="R3308" s="184" t="n">
        <v>0</v>
      </c>
      <c r="S3308" s="183" t="n">
        <v>0</v>
      </c>
      <c r="T3308" s="183" t="n">
        <v>0</v>
      </c>
      <c r="U3308" s="182" t="n">
        <v>0</v>
      </c>
      <c r="V3308" s="182" t="n">
        <v>0</v>
      </c>
      <c r="W3308" s="182" t="n">
        <v>0</v>
      </c>
      <c r="X3308" s="182" t="n">
        <v>0</v>
      </c>
      <c r="Y3308" s="182" t="n">
        <v>0</v>
      </c>
      <c r="Z3308" s="182" t="n">
        <v>0</v>
      </c>
      <c r="AA3308" s="182" t="n">
        <v>0</v>
      </c>
      <c r="AB3308" s="182" t="n">
        <v>0</v>
      </c>
      <c r="AC3308" s="182" t="n">
        <v>0</v>
      </c>
      <c r="AD3308" s="182" t="n">
        <v>0</v>
      </c>
      <c r="AE3308" s="182" t="n">
        <v>0</v>
      </c>
      <c r="AF3308" s="182" t="n">
        <v>0</v>
      </c>
      <c r="AG3308" s="182" t="n">
        <v>0</v>
      </c>
      <c r="AH3308" s="182" t="n">
        <v>0</v>
      </c>
      <c r="AI3308" s="182" t="n">
        <v>0</v>
      </c>
      <c r="AJ3308" s="182" t="n">
        <v>0</v>
      </c>
      <c r="AK3308" s="182" t="n">
        <v>0</v>
      </c>
      <c r="AL3308" s="182" t="n">
        <v>0</v>
      </c>
      <c r="AM3308" s="182" t="n">
        <v>0</v>
      </c>
      <c r="AN3308" s="182" t="n">
        <v>0</v>
      </c>
    </row>
    <row r="3309">
      <c r="A3309" s="155" t="n">
        <v>46097</v>
      </c>
      <c r="B3309" s="156" t="inlineStr">
        <is>
          <t>DS</t>
        </is>
      </c>
      <c r="C3309" s="156" t="inlineStr">
        <is>
          <t>DZ-036</t>
        </is>
      </c>
      <c r="D3309" s="156" t="inlineStr">
        <is>
          <t>D 85 ESS-2</t>
        </is>
      </c>
      <c r="E3309" s="156" t="inlineStr">
        <is>
          <t>Bulldozer</t>
        </is>
      </c>
      <c r="F3309" s="156" t="inlineStr"/>
      <c r="G3309" s="182" t="n">
        <v>0</v>
      </c>
      <c r="H3309" s="182" t="n">
        <v>0</v>
      </c>
      <c r="I3309" s="182" t="n">
        <v>0</v>
      </c>
      <c r="J3309" s="182" t="n">
        <v>0</v>
      </c>
      <c r="K3309" s="182" t="n">
        <v>12</v>
      </c>
      <c r="L3309" s="182" t="n">
        <v>12</v>
      </c>
      <c r="M3309" s="182" t="n">
        <v>0</v>
      </c>
      <c r="N3309" s="182" t="n">
        <v>0</v>
      </c>
      <c r="O3309" s="183" t="n">
        <v>0</v>
      </c>
      <c r="P3309" s="183" t="n">
        <v>0</v>
      </c>
      <c r="Q3309" s="184" t="n">
        <v>0</v>
      </c>
      <c r="R3309" s="184" t="n">
        <v>0</v>
      </c>
      <c r="S3309" s="183" t="n">
        <v>0</v>
      </c>
      <c r="T3309" s="183" t="n">
        <v>0</v>
      </c>
      <c r="U3309" s="182" t="n">
        <v>0</v>
      </c>
      <c r="V3309" s="182" t="n">
        <v>0</v>
      </c>
      <c r="W3309" s="182" t="n">
        <v>0</v>
      </c>
      <c r="X3309" s="182" t="n">
        <v>1</v>
      </c>
      <c r="Y3309" s="182" t="n">
        <v>0</v>
      </c>
      <c r="Z3309" s="182" t="n">
        <v>0</v>
      </c>
      <c r="AA3309" s="182" t="n">
        <v>0</v>
      </c>
      <c r="AB3309" s="182" t="n">
        <v>1</v>
      </c>
      <c r="AC3309" s="182" t="n">
        <v>0</v>
      </c>
      <c r="AD3309" s="182" t="n">
        <v>0</v>
      </c>
      <c r="AE3309" s="182" t="n">
        <v>0</v>
      </c>
      <c r="AF3309" s="182" t="n">
        <v>0</v>
      </c>
      <c r="AG3309" s="182" t="n">
        <v>0</v>
      </c>
      <c r="AH3309" s="182" t="n">
        <v>0</v>
      </c>
      <c r="AI3309" s="182" t="n">
        <v>0</v>
      </c>
      <c r="AJ3309" s="182" t="n">
        <v>0</v>
      </c>
      <c r="AK3309" s="182" t="n">
        <v>9.92</v>
      </c>
      <c r="AL3309" s="182" t="n">
        <v>0</v>
      </c>
      <c r="AM3309" s="182" t="n">
        <v>0.08</v>
      </c>
      <c r="AN3309" s="182" t="n">
        <v>0</v>
      </c>
    </row>
    <row r="3310">
      <c r="A3310" s="155" t="n">
        <v>46097</v>
      </c>
      <c r="B3310" s="156" t="inlineStr">
        <is>
          <t>DS</t>
        </is>
      </c>
      <c r="C3310" s="156" t="inlineStr">
        <is>
          <t>DZ-035</t>
        </is>
      </c>
      <c r="D3310" s="156" t="inlineStr">
        <is>
          <t>D 85 ESS-2</t>
        </is>
      </c>
      <c r="E3310" s="156" t="inlineStr">
        <is>
          <t>Bulldozer</t>
        </is>
      </c>
      <c r="F3310" s="156" t="inlineStr">
        <is>
          <t>Support Disposal</t>
        </is>
      </c>
      <c r="G3310" s="182" t="n">
        <v>7.74</v>
      </c>
      <c r="H3310" s="182" t="n">
        <v>0</v>
      </c>
      <c r="I3310" s="182" t="n">
        <v>1.33</v>
      </c>
      <c r="J3310" s="182" t="n">
        <v>1.33</v>
      </c>
      <c r="K3310" s="182" t="n">
        <v>2.93</v>
      </c>
      <c r="L3310" s="182" t="n">
        <v>12</v>
      </c>
      <c r="M3310" s="182" t="n">
        <v>0</v>
      </c>
      <c r="N3310" s="182" t="n">
        <v>0</v>
      </c>
      <c r="O3310" s="183" t="n">
        <v>0</v>
      </c>
      <c r="P3310" s="183" t="n">
        <v>0</v>
      </c>
      <c r="Q3310" s="184" t="n">
        <v>0</v>
      </c>
      <c r="R3310" s="184" t="n">
        <v>0</v>
      </c>
      <c r="S3310" s="183" t="n">
        <v>0</v>
      </c>
      <c r="T3310" s="183" t="n">
        <v>0</v>
      </c>
      <c r="U3310" s="182" t="n">
        <v>0</v>
      </c>
      <c r="V3310" s="182" t="n">
        <v>0</v>
      </c>
      <c r="W3310" s="182" t="n">
        <v>0</v>
      </c>
      <c r="X3310" s="182" t="n">
        <v>1.02</v>
      </c>
      <c r="Y3310" s="182" t="n">
        <v>0</v>
      </c>
      <c r="Z3310" s="182" t="n">
        <v>0</v>
      </c>
      <c r="AA3310" s="182" t="n">
        <v>0</v>
      </c>
      <c r="AB3310" s="182" t="n">
        <v>1.02</v>
      </c>
      <c r="AC3310" s="182" t="n">
        <v>0</v>
      </c>
      <c r="AD3310" s="182" t="n">
        <v>0</v>
      </c>
      <c r="AE3310" s="182" t="n">
        <v>0</v>
      </c>
      <c r="AF3310" s="182" t="n">
        <v>0</v>
      </c>
      <c r="AG3310" s="182" t="n">
        <v>0</v>
      </c>
      <c r="AH3310" s="182" t="n">
        <v>0</v>
      </c>
      <c r="AI3310" s="182" t="n">
        <v>0</v>
      </c>
      <c r="AJ3310" s="182" t="n">
        <v>0</v>
      </c>
      <c r="AK3310" s="182" t="n">
        <v>0.8</v>
      </c>
      <c r="AL3310" s="182" t="n">
        <v>0</v>
      </c>
      <c r="AM3310" s="182" t="n">
        <v>0.08</v>
      </c>
      <c r="AN3310" s="182" t="n">
        <v>0</v>
      </c>
    </row>
    <row r="3311">
      <c r="A3311" s="155" t="n">
        <v>46097</v>
      </c>
      <c r="B3311" s="156" t="inlineStr">
        <is>
          <t>DS</t>
        </is>
      </c>
      <c r="C3311" s="156" t="inlineStr">
        <is>
          <t>CP-042</t>
        </is>
      </c>
      <c r="D3311" s="156" t="inlineStr">
        <is>
          <t>SANY - Compactor</t>
        </is>
      </c>
      <c r="E3311" s="156" t="inlineStr">
        <is>
          <t>Compactor</t>
        </is>
      </c>
      <c r="F3311" s="156" t="inlineStr"/>
      <c r="G3311" s="182" t="n">
        <v>0</v>
      </c>
      <c r="H3311" s="182" t="n">
        <v>0</v>
      </c>
      <c r="I3311" s="182" t="n">
        <v>0</v>
      </c>
      <c r="J3311" s="182" t="n">
        <v>0</v>
      </c>
      <c r="K3311" s="182" t="n">
        <v>12</v>
      </c>
      <c r="L3311" s="182" t="n">
        <v>12</v>
      </c>
      <c r="M3311" s="182" t="n">
        <v>0</v>
      </c>
      <c r="N3311" s="182" t="n">
        <v>0</v>
      </c>
      <c r="O3311" s="183" t="n">
        <v>0</v>
      </c>
      <c r="P3311" s="183" t="n">
        <v>0</v>
      </c>
      <c r="Q3311" s="184" t="n">
        <v>0</v>
      </c>
      <c r="R3311" s="184" t="n">
        <v>0</v>
      </c>
      <c r="S3311" s="183" t="n">
        <v>0</v>
      </c>
      <c r="T3311" s="183" t="n">
        <v>0</v>
      </c>
      <c r="U3311" s="182" t="n">
        <v>0</v>
      </c>
      <c r="V3311" s="182" t="n">
        <v>0</v>
      </c>
      <c r="W3311" s="182" t="n">
        <v>0</v>
      </c>
      <c r="X3311" s="182" t="n">
        <v>1</v>
      </c>
      <c r="Y3311" s="182" t="n">
        <v>0</v>
      </c>
      <c r="Z3311" s="182" t="n">
        <v>0</v>
      </c>
      <c r="AA3311" s="182" t="n">
        <v>0</v>
      </c>
      <c r="AB3311" s="182" t="n">
        <v>1</v>
      </c>
      <c r="AC3311" s="182" t="n">
        <v>0</v>
      </c>
      <c r="AD3311" s="182" t="n">
        <v>0</v>
      </c>
      <c r="AE3311" s="182" t="n">
        <v>0</v>
      </c>
      <c r="AF3311" s="182" t="n">
        <v>0</v>
      </c>
      <c r="AG3311" s="182" t="n">
        <v>0</v>
      </c>
      <c r="AH3311" s="182" t="n">
        <v>0</v>
      </c>
      <c r="AI3311" s="182" t="n">
        <v>0</v>
      </c>
      <c r="AJ3311" s="182" t="n">
        <v>0</v>
      </c>
      <c r="AK3311" s="182" t="n">
        <v>9.92</v>
      </c>
      <c r="AL3311" s="182" t="n">
        <v>0</v>
      </c>
      <c r="AM3311" s="182" t="n">
        <v>0.08</v>
      </c>
      <c r="AN3311" s="182" t="n">
        <v>0</v>
      </c>
    </row>
    <row r="3312">
      <c r="A3312" s="155" t="n">
        <v>46097</v>
      </c>
      <c r="B3312" s="156" t="inlineStr">
        <is>
          <t>DS</t>
        </is>
      </c>
      <c r="C3312" s="156" t="inlineStr">
        <is>
          <t>CP-041</t>
        </is>
      </c>
      <c r="D3312" s="156" t="inlineStr">
        <is>
          <t>SANY - Compactor</t>
        </is>
      </c>
      <c r="E3312" s="156" t="inlineStr">
        <is>
          <t>Compactor</t>
        </is>
      </c>
      <c r="F3312" s="156" t="inlineStr">
        <is>
          <t>General Road</t>
        </is>
      </c>
      <c r="G3312" s="182" t="n">
        <v>5.17</v>
      </c>
      <c r="H3312" s="182" t="n">
        <v>0</v>
      </c>
      <c r="I3312" s="182" t="n">
        <v>0</v>
      </c>
      <c r="J3312" s="182" t="n">
        <v>0</v>
      </c>
      <c r="K3312" s="182" t="n">
        <v>6.83</v>
      </c>
      <c r="L3312" s="182" t="n">
        <v>12</v>
      </c>
      <c r="M3312" s="182" t="n">
        <v>0</v>
      </c>
      <c r="N3312" s="182" t="n">
        <v>0</v>
      </c>
      <c r="O3312" s="183" t="n">
        <v>0</v>
      </c>
      <c r="P3312" s="183" t="n">
        <v>0</v>
      </c>
      <c r="Q3312" s="184" t="n">
        <v>0</v>
      </c>
      <c r="R3312" s="184" t="n">
        <v>0</v>
      </c>
      <c r="S3312" s="183" t="n">
        <v>0</v>
      </c>
      <c r="T3312" s="183" t="n">
        <v>0</v>
      </c>
      <c r="U3312" s="182" t="n">
        <v>0</v>
      </c>
      <c r="V3312" s="182" t="n">
        <v>0</v>
      </c>
      <c r="W3312" s="182" t="n">
        <v>0</v>
      </c>
      <c r="X3312" s="182" t="n">
        <v>1.02</v>
      </c>
      <c r="Y3312" s="182" t="n">
        <v>0</v>
      </c>
      <c r="Z3312" s="182" t="n">
        <v>0</v>
      </c>
      <c r="AA3312" s="182" t="n">
        <v>0</v>
      </c>
      <c r="AB3312" s="182" t="n">
        <v>1.02</v>
      </c>
      <c r="AC3312" s="182" t="n">
        <v>0</v>
      </c>
      <c r="AD3312" s="182" t="n">
        <v>0</v>
      </c>
      <c r="AE3312" s="182" t="n">
        <v>0</v>
      </c>
      <c r="AF3312" s="182" t="n">
        <v>0</v>
      </c>
      <c r="AG3312" s="182" t="n">
        <v>0</v>
      </c>
      <c r="AH3312" s="182" t="n">
        <v>0</v>
      </c>
      <c r="AI3312" s="182" t="n">
        <v>0</v>
      </c>
      <c r="AJ3312" s="182" t="n">
        <v>0</v>
      </c>
      <c r="AK3312" s="182" t="n">
        <v>4.71</v>
      </c>
      <c r="AL3312" s="182" t="n">
        <v>0</v>
      </c>
      <c r="AM3312" s="182" t="n">
        <v>0.08</v>
      </c>
      <c r="AN3312" s="182" t="n">
        <v>0</v>
      </c>
    </row>
    <row r="3313">
      <c r="A3313" s="155" t="n">
        <v>46097</v>
      </c>
      <c r="B3313" s="156" t="inlineStr">
        <is>
          <t>DS</t>
        </is>
      </c>
      <c r="C3313" s="156" t="inlineStr">
        <is>
          <t>HT-418</t>
        </is>
      </c>
      <c r="D3313" s="156" t="inlineStr">
        <is>
          <t>SY430</t>
        </is>
      </c>
      <c r="E3313" s="156" t="inlineStr">
        <is>
          <t>DT Hauling</t>
        </is>
      </c>
      <c r="F3313" s="156" t="inlineStr"/>
      <c r="G3313" s="182" t="n">
        <v>0</v>
      </c>
      <c r="H3313" s="182" t="n">
        <v>0</v>
      </c>
      <c r="I3313" s="182" t="n">
        <v>0</v>
      </c>
      <c r="J3313" s="182" t="n">
        <v>0</v>
      </c>
      <c r="K3313" s="182" t="n">
        <v>12</v>
      </c>
      <c r="L3313" s="182" t="n">
        <v>12</v>
      </c>
      <c r="M3313" s="182" t="n">
        <v>0</v>
      </c>
      <c r="N3313" s="182" t="n">
        <v>0</v>
      </c>
      <c r="O3313" s="183" t="n">
        <v>0</v>
      </c>
      <c r="P3313" s="183" t="n">
        <v>0</v>
      </c>
      <c r="Q3313" s="184" t="n">
        <v>0</v>
      </c>
      <c r="R3313" s="184" t="n">
        <v>0</v>
      </c>
      <c r="S3313" s="183" t="n">
        <v>0</v>
      </c>
      <c r="T3313" s="183" t="n">
        <v>0</v>
      </c>
      <c r="U3313" s="182" t="n">
        <v>0</v>
      </c>
      <c r="V3313" s="182" t="n">
        <v>0</v>
      </c>
      <c r="W3313" s="182" t="n">
        <v>0</v>
      </c>
      <c r="X3313" s="182" t="n">
        <v>1</v>
      </c>
      <c r="Y3313" s="182" t="n">
        <v>0</v>
      </c>
      <c r="Z3313" s="182" t="n">
        <v>0</v>
      </c>
      <c r="AA3313" s="182" t="n">
        <v>0</v>
      </c>
      <c r="AB3313" s="182" t="n">
        <v>1</v>
      </c>
      <c r="AC3313" s="182" t="n">
        <v>0</v>
      </c>
      <c r="AD3313" s="182" t="n">
        <v>0</v>
      </c>
      <c r="AE3313" s="182" t="n">
        <v>0</v>
      </c>
      <c r="AF3313" s="182" t="n">
        <v>0</v>
      </c>
      <c r="AG3313" s="182" t="n">
        <v>0</v>
      </c>
      <c r="AH3313" s="182" t="n">
        <v>0</v>
      </c>
      <c r="AI3313" s="182" t="n">
        <v>0</v>
      </c>
      <c r="AJ3313" s="182" t="n">
        <v>0</v>
      </c>
      <c r="AK3313" s="182" t="n">
        <v>9.92</v>
      </c>
      <c r="AL3313" s="182" t="n">
        <v>0</v>
      </c>
      <c r="AM3313" s="182" t="n">
        <v>0.08</v>
      </c>
      <c r="AN3313" s="182" t="n">
        <v>0</v>
      </c>
    </row>
    <row r="3314">
      <c r="A3314" s="155" t="n">
        <v>46097</v>
      </c>
      <c r="B3314" s="156" t="inlineStr">
        <is>
          <t>DS</t>
        </is>
      </c>
      <c r="C3314" s="156" t="inlineStr">
        <is>
          <t>HT-404</t>
        </is>
      </c>
      <c r="D3314" s="156" t="inlineStr">
        <is>
          <t>SY430</t>
        </is>
      </c>
      <c r="E3314" s="156" t="inlineStr">
        <is>
          <t>DT Hauling</t>
        </is>
      </c>
      <c r="F3314" s="156" t="inlineStr">
        <is>
          <t>Hauling Coal ke Jetty</t>
        </is>
      </c>
      <c r="G3314" s="182" t="n">
        <v>7.35</v>
      </c>
      <c r="H3314" s="182" t="n">
        <v>0</v>
      </c>
      <c r="I3314" s="182" t="n">
        <v>2.67</v>
      </c>
      <c r="J3314" s="182" t="n">
        <v>2.67</v>
      </c>
      <c r="K3314" s="182" t="n">
        <v>1.98</v>
      </c>
      <c r="L3314" s="182" t="n">
        <v>12</v>
      </c>
      <c r="M3314" s="182" t="n">
        <v>0</v>
      </c>
      <c r="N3314" s="182" t="n">
        <v>0</v>
      </c>
      <c r="O3314" s="183" t="n">
        <v>0</v>
      </c>
      <c r="P3314" s="183" t="n">
        <v>0</v>
      </c>
      <c r="Q3314" s="184" t="n">
        <v>0</v>
      </c>
      <c r="R3314" s="184" t="n">
        <v>0</v>
      </c>
      <c r="S3314" s="183" t="n">
        <v>0</v>
      </c>
      <c r="T3314" s="183" t="n">
        <v>0</v>
      </c>
      <c r="U3314" s="182" t="n">
        <v>0</v>
      </c>
      <c r="V3314" s="182" t="n">
        <v>0</v>
      </c>
      <c r="W3314" s="182" t="n">
        <v>0</v>
      </c>
      <c r="X3314" s="182" t="n">
        <v>0.8100000000000001</v>
      </c>
      <c r="Y3314" s="182" t="n">
        <v>0</v>
      </c>
      <c r="Z3314" s="182" t="n">
        <v>0</v>
      </c>
      <c r="AA3314" s="182" t="n">
        <v>0</v>
      </c>
      <c r="AB3314" s="182" t="n">
        <v>1.08</v>
      </c>
      <c r="AC3314" s="182" t="n">
        <v>0</v>
      </c>
      <c r="AD3314" s="182" t="n">
        <v>0</v>
      </c>
      <c r="AE3314" s="182" t="n">
        <v>0</v>
      </c>
      <c r="AF3314" s="182" t="n">
        <v>0</v>
      </c>
      <c r="AG3314" s="182" t="n">
        <v>0</v>
      </c>
      <c r="AH3314" s="182" t="n">
        <v>0</v>
      </c>
      <c r="AI3314" s="182" t="n">
        <v>0</v>
      </c>
      <c r="AJ3314" s="182" t="n">
        <v>0</v>
      </c>
      <c r="AK3314" s="182" t="n">
        <v>0</v>
      </c>
      <c r="AL3314" s="182" t="n">
        <v>0</v>
      </c>
      <c r="AM3314" s="182" t="n">
        <v>0.09</v>
      </c>
      <c r="AN3314" s="182" t="n">
        <v>0</v>
      </c>
    </row>
    <row r="3315">
      <c r="A3315" s="155" t="n">
        <v>46097</v>
      </c>
      <c r="B3315" s="156" t="inlineStr">
        <is>
          <t>DS</t>
        </is>
      </c>
      <c r="C3315" s="156" t="inlineStr">
        <is>
          <t>HT-415</t>
        </is>
      </c>
      <c r="D3315" s="156" t="inlineStr">
        <is>
          <t>SY430</t>
        </is>
      </c>
      <c r="E3315" s="156" t="inlineStr">
        <is>
          <t>DT Hauling</t>
        </is>
      </c>
      <c r="F3315" s="156" t="inlineStr"/>
      <c r="G3315" s="182" t="n">
        <v>0</v>
      </c>
      <c r="H3315" s="182" t="n">
        <v>0</v>
      </c>
      <c r="I3315" s="182" t="n">
        <v>12</v>
      </c>
      <c r="J3315" s="182" t="n">
        <v>12</v>
      </c>
      <c r="K3315" s="182" t="n">
        <v>0</v>
      </c>
      <c r="L3315" s="182" t="n">
        <v>12</v>
      </c>
      <c r="M3315" s="182" t="n">
        <v>0</v>
      </c>
      <c r="N3315" s="182" t="n">
        <v>0</v>
      </c>
      <c r="O3315" s="183" t="n">
        <v>0</v>
      </c>
      <c r="P3315" s="183" t="n">
        <v>0</v>
      </c>
      <c r="Q3315" s="184" t="n">
        <v>0</v>
      </c>
      <c r="R3315" s="184" t="n">
        <v>0</v>
      </c>
      <c r="S3315" s="183" t="n">
        <v>0</v>
      </c>
      <c r="T3315" s="183" t="n">
        <v>0</v>
      </c>
      <c r="U3315" s="182" t="n">
        <v>0</v>
      </c>
      <c r="V3315" s="182" t="n">
        <v>0</v>
      </c>
      <c r="W3315" s="182" t="n">
        <v>0</v>
      </c>
      <c r="X3315" s="182" t="n">
        <v>0</v>
      </c>
      <c r="Y3315" s="182" t="n">
        <v>0</v>
      </c>
      <c r="Z3315" s="182" t="n">
        <v>0</v>
      </c>
      <c r="AA3315" s="182" t="n">
        <v>0</v>
      </c>
      <c r="AB3315" s="182" t="n">
        <v>0</v>
      </c>
      <c r="AC3315" s="182" t="n">
        <v>0</v>
      </c>
      <c r="AD3315" s="182" t="n">
        <v>0</v>
      </c>
      <c r="AE3315" s="182" t="n">
        <v>0</v>
      </c>
      <c r="AF3315" s="182" t="n">
        <v>0</v>
      </c>
      <c r="AG3315" s="182" t="n">
        <v>0</v>
      </c>
      <c r="AH3315" s="182" t="n">
        <v>0</v>
      </c>
      <c r="AI3315" s="182" t="n">
        <v>0</v>
      </c>
      <c r="AJ3315" s="182" t="n">
        <v>0</v>
      </c>
      <c r="AK3315" s="182" t="n">
        <v>0</v>
      </c>
      <c r="AL3315" s="182" t="n">
        <v>0</v>
      </c>
      <c r="AM3315" s="182" t="n">
        <v>0</v>
      </c>
      <c r="AN3315" s="182" t="n">
        <v>0</v>
      </c>
    </row>
    <row r="3316">
      <c r="A3316" s="155" t="n">
        <v>46097</v>
      </c>
      <c r="B3316" s="156" t="inlineStr">
        <is>
          <t>DS</t>
        </is>
      </c>
      <c r="C3316" s="156" t="inlineStr">
        <is>
          <t>HT-406</t>
        </is>
      </c>
      <c r="D3316" s="156" t="inlineStr">
        <is>
          <t>SY430</t>
        </is>
      </c>
      <c r="E3316" s="156" t="inlineStr">
        <is>
          <t>DT Hauling</t>
        </is>
      </c>
      <c r="F3316" s="156" t="inlineStr"/>
      <c r="G3316" s="182" t="n">
        <v>0</v>
      </c>
      <c r="H3316" s="182" t="n">
        <v>0</v>
      </c>
      <c r="I3316" s="182" t="n">
        <v>12</v>
      </c>
      <c r="J3316" s="182" t="n">
        <v>12</v>
      </c>
      <c r="K3316" s="182" t="n">
        <v>0</v>
      </c>
      <c r="L3316" s="182" t="n">
        <v>12</v>
      </c>
      <c r="M3316" s="182" t="n">
        <v>0</v>
      </c>
      <c r="N3316" s="182" t="n">
        <v>0</v>
      </c>
      <c r="O3316" s="183" t="n">
        <v>0</v>
      </c>
      <c r="P3316" s="183" t="n">
        <v>0</v>
      </c>
      <c r="Q3316" s="184" t="n">
        <v>0</v>
      </c>
      <c r="R3316" s="184" t="n">
        <v>0</v>
      </c>
      <c r="S3316" s="183" t="n">
        <v>0</v>
      </c>
      <c r="T3316" s="183" t="n">
        <v>0</v>
      </c>
      <c r="U3316" s="182" t="n">
        <v>0</v>
      </c>
      <c r="V3316" s="182" t="n">
        <v>0</v>
      </c>
      <c r="W3316" s="182" t="n">
        <v>0</v>
      </c>
      <c r="X3316" s="182" t="n">
        <v>0</v>
      </c>
      <c r="Y3316" s="182" t="n">
        <v>0</v>
      </c>
      <c r="Z3316" s="182" t="n">
        <v>0</v>
      </c>
      <c r="AA3316" s="182" t="n">
        <v>0</v>
      </c>
      <c r="AB3316" s="182" t="n">
        <v>0</v>
      </c>
      <c r="AC3316" s="182" t="n">
        <v>0</v>
      </c>
      <c r="AD3316" s="182" t="n">
        <v>0</v>
      </c>
      <c r="AE3316" s="182" t="n">
        <v>0</v>
      </c>
      <c r="AF3316" s="182" t="n">
        <v>0</v>
      </c>
      <c r="AG3316" s="182" t="n">
        <v>0</v>
      </c>
      <c r="AH3316" s="182" t="n">
        <v>0</v>
      </c>
      <c r="AI3316" s="182" t="n">
        <v>0</v>
      </c>
      <c r="AJ3316" s="182" t="n">
        <v>0</v>
      </c>
      <c r="AK3316" s="182" t="n">
        <v>0</v>
      </c>
      <c r="AL3316" s="182" t="n">
        <v>0</v>
      </c>
      <c r="AM3316" s="182" t="n">
        <v>0</v>
      </c>
      <c r="AN3316" s="182" t="n">
        <v>0</v>
      </c>
    </row>
    <row r="3317">
      <c r="A3317" s="155" t="n">
        <v>46097</v>
      </c>
      <c r="B3317" s="156" t="inlineStr">
        <is>
          <t>DS</t>
        </is>
      </c>
      <c r="C3317" s="156" t="inlineStr">
        <is>
          <t>HT-405</t>
        </is>
      </c>
      <c r="D3317" s="156" t="inlineStr">
        <is>
          <t>SY430</t>
        </is>
      </c>
      <c r="E3317" s="156" t="inlineStr">
        <is>
          <t>DT Hauling</t>
        </is>
      </c>
      <c r="F3317" s="156" t="inlineStr">
        <is>
          <t>Hauling Coal ke Jetty</t>
        </is>
      </c>
      <c r="G3317" s="182" t="n">
        <v>7.15</v>
      </c>
      <c r="H3317" s="182" t="n">
        <v>0</v>
      </c>
      <c r="I3317" s="182" t="n">
        <v>0</v>
      </c>
      <c r="J3317" s="182" t="n">
        <v>0</v>
      </c>
      <c r="K3317" s="182" t="n">
        <v>4.85</v>
      </c>
      <c r="L3317" s="182" t="n">
        <v>12</v>
      </c>
      <c r="M3317" s="182" t="n">
        <v>0</v>
      </c>
      <c r="N3317" s="182" t="n">
        <v>0</v>
      </c>
      <c r="O3317" s="183" t="n">
        <v>0</v>
      </c>
      <c r="P3317" s="183" t="n">
        <v>0</v>
      </c>
      <c r="Q3317" s="184" t="n">
        <v>0</v>
      </c>
      <c r="R3317" s="184" t="n">
        <v>0</v>
      </c>
      <c r="S3317" s="183" t="n">
        <v>0</v>
      </c>
      <c r="T3317" s="183" t="n">
        <v>0</v>
      </c>
      <c r="U3317" s="182" t="n">
        <v>0</v>
      </c>
      <c r="V3317" s="182" t="n">
        <v>0</v>
      </c>
      <c r="W3317" s="182" t="n">
        <v>0</v>
      </c>
      <c r="X3317" s="182" t="n">
        <v>0.93</v>
      </c>
      <c r="Y3317" s="182" t="n">
        <v>0</v>
      </c>
      <c r="Z3317" s="182" t="n">
        <v>0.07000000000000001</v>
      </c>
      <c r="AA3317" s="182" t="n">
        <v>0</v>
      </c>
      <c r="AB3317" s="182" t="n">
        <v>0.93</v>
      </c>
      <c r="AC3317" s="182" t="n">
        <v>0</v>
      </c>
      <c r="AD3317" s="182" t="n">
        <v>0</v>
      </c>
      <c r="AE3317" s="182" t="n">
        <v>0</v>
      </c>
      <c r="AF3317" s="182" t="n">
        <v>0</v>
      </c>
      <c r="AG3317" s="182" t="n">
        <v>0</v>
      </c>
      <c r="AH3317" s="182" t="n">
        <v>0</v>
      </c>
      <c r="AI3317" s="182" t="n">
        <v>0</v>
      </c>
      <c r="AJ3317" s="182" t="n">
        <v>0</v>
      </c>
      <c r="AK3317" s="182" t="n">
        <v>2.84</v>
      </c>
      <c r="AL3317" s="182" t="n">
        <v>0</v>
      </c>
      <c r="AM3317" s="182" t="n">
        <v>0.07000000000000001</v>
      </c>
      <c r="AN3317" s="182" t="n">
        <v>0</v>
      </c>
    </row>
    <row r="3318">
      <c r="A3318" s="155" t="n">
        <v>46097</v>
      </c>
      <c r="B3318" s="156" t="inlineStr">
        <is>
          <t>DS</t>
        </is>
      </c>
      <c r="C3318" s="156" t="inlineStr">
        <is>
          <t>HT-417</t>
        </is>
      </c>
      <c r="D3318" s="156" t="inlineStr">
        <is>
          <t>SY430</t>
        </is>
      </c>
      <c r="E3318" s="156" t="inlineStr">
        <is>
          <t>DT Hauling</t>
        </is>
      </c>
      <c r="F3318" s="156" t="inlineStr"/>
      <c r="G3318" s="182" t="n">
        <v>0</v>
      </c>
      <c r="H3318" s="182" t="n">
        <v>0</v>
      </c>
      <c r="I3318" s="182" t="n">
        <v>0</v>
      </c>
      <c r="J3318" s="182" t="n">
        <v>0</v>
      </c>
      <c r="K3318" s="182" t="n">
        <v>12</v>
      </c>
      <c r="L3318" s="182" t="n">
        <v>12</v>
      </c>
      <c r="M3318" s="182" t="n">
        <v>0</v>
      </c>
      <c r="N3318" s="182" t="n">
        <v>0</v>
      </c>
      <c r="O3318" s="183" t="n">
        <v>0</v>
      </c>
      <c r="P3318" s="183" t="n">
        <v>0</v>
      </c>
      <c r="Q3318" s="184" t="n">
        <v>0</v>
      </c>
      <c r="R3318" s="184" t="n">
        <v>0</v>
      </c>
      <c r="S3318" s="183" t="n">
        <v>0</v>
      </c>
      <c r="T3318" s="183" t="n">
        <v>0</v>
      </c>
      <c r="U3318" s="182" t="n">
        <v>0</v>
      </c>
      <c r="V3318" s="182" t="n">
        <v>0</v>
      </c>
      <c r="W3318" s="182" t="n">
        <v>0</v>
      </c>
      <c r="X3318" s="182" t="n">
        <v>1</v>
      </c>
      <c r="Y3318" s="182" t="n">
        <v>0</v>
      </c>
      <c r="Z3318" s="182" t="n">
        <v>0</v>
      </c>
      <c r="AA3318" s="182" t="n">
        <v>0</v>
      </c>
      <c r="AB3318" s="182" t="n">
        <v>1</v>
      </c>
      <c r="AC3318" s="182" t="n">
        <v>0</v>
      </c>
      <c r="AD3318" s="182" t="n">
        <v>0</v>
      </c>
      <c r="AE3318" s="182" t="n">
        <v>9.92</v>
      </c>
      <c r="AF3318" s="182" t="n">
        <v>0</v>
      </c>
      <c r="AG3318" s="182" t="n">
        <v>0</v>
      </c>
      <c r="AH3318" s="182" t="n">
        <v>0</v>
      </c>
      <c r="AI3318" s="182" t="n">
        <v>0</v>
      </c>
      <c r="AJ3318" s="182" t="n">
        <v>0</v>
      </c>
      <c r="AK3318" s="182" t="n">
        <v>0</v>
      </c>
      <c r="AL3318" s="182" t="n">
        <v>0</v>
      </c>
      <c r="AM3318" s="182" t="n">
        <v>0.08</v>
      </c>
      <c r="AN3318" s="182" t="n">
        <v>0</v>
      </c>
    </row>
    <row r="3319">
      <c r="A3319" s="155" t="n">
        <v>46097</v>
      </c>
      <c r="B3319" s="156" t="inlineStr">
        <is>
          <t>DS</t>
        </is>
      </c>
      <c r="C3319" s="156" t="inlineStr">
        <is>
          <t>HT-401</t>
        </is>
      </c>
      <c r="D3319" s="156" t="inlineStr">
        <is>
          <t>SY430</t>
        </is>
      </c>
      <c r="E3319" s="156" t="inlineStr">
        <is>
          <t>DT Hauling</t>
        </is>
      </c>
      <c r="F3319" s="156" t="inlineStr"/>
      <c r="G3319" s="182" t="n">
        <v>0</v>
      </c>
      <c r="H3319" s="182" t="n">
        <v>0</v>
      </c>
      <c r="I3319" s="182" t="n">
        <v>0</v>
      </c>
      <c r="J3319" s="182" t="n">
        <v>0</v>
      </c>
      <c r="K3319" s="182" t="n">
        <v>12</v>
      </c>
      <c r="L3319" s="182" t="n">
        <v>12</v>
      </c>
      <c r="M3319" s="182" t="n">
        <v>0</v>
      </c>
      <c r="N3319" s="182" t="n">
        <v>0</v>
      </c>
      <c r="O3319" s="183" t="n">
        <v>0</v>
      </c>
      <c r="P3319" s="183" t="n">
        <v>0</v>
      </c>
      <c r="Q3319" s="184" t="n">
        <v>0</v>
      </c>
      <c r="R3319" s="184" t="n">
        <v>0</v>
      </c>
      <c r="S3319" s="183" t="n">
        <v>0</v>
      </c>
      <c r="T3319" s="183" t="n">
        <v>0</v>
      </c>
      <c r="U3319" s="182" t="n">
        <v>0</v>
      </c>
      <c r="V3319" s="182" t="n">
        <v>0</v>
      </c>
      <c r="W3319" s="182" t="n">
        <v>0</v>
      </c>
      <c r="X3319" s="182" t="n">
        <v>1</v>
      </c>
      <c r="Y3319" s="182" t="n">
        <v>0</v>
      </c>
      <c r="Z3319" s="182" t="n">
        <v>0</v>
      </c>
      <c r="AA3319" s="182" t="n">
        <v>0</v>
      </c>
      <c r="AB3319" s="182" t="n">
        <v>1</v>
      </c>
      <c r="AC3319" s="182" t="n">
        <v>0</v>
      </c>
      <c r="AD3319" s="182" t="n">
        <v>0</v>
      </c>
      <c r="AE3319" s="182" t="n">
        <v>9.92</v>
      </c>
      <c r="AF3319" s="182" t="n">
        <v>0</v>
      </c>
      <c r="AG3319" s="182" t="n">
        <v>0</v>
      </c>
      <c r="AH3319" s="182" t="n">
        <v>0</v>
      </c>
      <c r="AI3319" s="182" t="n">
        <v>0</v>
      </c>
      <c r="AJ3319" s="182" t="n">
        <v>0</v>
      </c>
      <c r="AK3319" s="182" t="n">
        <v>0</v>
      </c>
      <c r="AL3319" s="182" t="n">
        <v>0</v>
      </c>
      <c r="AM3319" s="182" t="n">
        <v>0.08</v>
      </c>
      <c r="AN3319" s="182" t="n">
        <v>0</v>
      </c>
    </row>
    <row r="3320">
      <c r="A3320" s="155" t="n">
        <v>46097</v>
      </c>
      <c r="B3320" s="156" t="inlineStr">
        <is>
          <t>DS</t>
        </is>
      </c>
      <c r="C3320" s="156" t="inlineStr">
        <is>
          <t>HT-410</t>
        </is>
      </c>
      <c r="D3320" s="156" t="inlineStr">
        <is>
          <t>SY430</t>
        </is>
      </c>
      <c r="E3320" s="156" t="inlineStr">
        <is>
          <t>DT Hauling</t>
        </is>
      </c>
      <c r="F3320" s="156" t="inlineStr"/>
      <c r="G3320" s="182" t="n">
        <v>0</v>
      </c>
      <c r="H3320" s="182" t="n">
        <v>0</v>
      </c>
      <c r="I3320" s="182" t="n">
        <v>0</v>
      </c>
      <c r="J3320" s="182" t="n">
        <v>0</v>
      </c>
      <c r="K3320" s="182" t="n">
        <v>12</v>
      </c>
      <c r="L3320" s="182" t="n">
        <v>12</v>
      </c>
      <c r="M3320" s="182" t="n">
        <v>0</v>
      </c>
      <c r="N3320" s="182" t="n">
        <v>0</v>
      </c>
      <c r="O3320" s="183" t="n">
        <v>0</v>
      </c>
      <c r="P3320" s="183" t="n">
        <v>0</v>
      </c>
      <c r="Q3320" s="184" t="n">
        <v>0</v>
      </c>
      <c r="R3320" s="184" t="n">
        <v>0</v>
      </c>
      <c r="S3320" s="183" t="n">
        <v>0</v>
      </c>
      <c r="T3320" s="183" t="n">
        <v>0</v>
      </c>
      <c r="U3320" s="182" t="n">
        <v>0</v>
      </c>
      <c r="V3320" s="182" t="n">
        <v>0</v>
      </c>
      <c r="W3320" s="182" t="n">
        <v>0</v>
      </c>
      <c r="X3320" s="182" t="n">
        <v>1</v>
      </c>
      <c r="Y3320" s="182" t="n">
        <v>0</v>
      </c>
      <c r="Z3320" s="182" t="n">
        <v>0</v>
      </c>
      <c r="AA3320" s="182" t="n">
        <v>0</v>
      </c>
      <c r="AB3320" s="182" t="n">
        <v>1</v>
      </c>
      <c r="AC3320" s="182" t="n">
        <v>0</v>
      </c>
      <c r="AD3320" s="182" t="n">
        <v>0</v>
      </c>
      <c r="AE3320" s="182" t="n">
        <v>9.92</v>
      </c>
      <c r="AF3320" s="182" t="n">
        <v>0</v>
      </c>
      <c r="AG3320" s="182" t="n">
        <v>0</v>
      </c>
      <c r="AH3320" s="182" t="n">
        <v>0</v>
      </c>
      <c r="AI3320" s="182" t="n">
        <v>0</v>
      </c>
      <c r="AJ3320" s="182" t="n">
        <v>0</v>
      </c>
      <c r="AK3320" s="182" t="n">
        <v>0</v>
      </c>
      <c r="AL3320" s="182" t="n">
        <v>0</v>
      </c>
      <c r="AM3320" s="182" t="n">
        <v>0.08</v>
      </c>
      <c r="AN3320" s="182" t="n">
        <v>0</v>
      </c>
    </row>
    <row r="3321">
      <c r="A3321" s="155" t="n">
        <v>46097</v>
      </c>
      <c r="B3321" s="156" t="inlineStr">
        <is>
          <t>DS</t>
        </is>
      </c>
      <c r="C3321" s="156" t="inlineStr">
        <is>
          <t>HT-402</t>
        </is>
      </c>
      <c r="D3321" s="156" t="inlineStr">
        <is>
          <t>SY430</t>
        </is>
      </c>
      <c r="E3321" s="156" t="inlineStr">
        <is>
          <t>DT Hauling</t>
        </is>
      </c>
      <c r="F3321" s="156" t="inlineStr">
        <is>
          <t>Hauling Coal ke Jetty</t>
        </is>
      </c>
      <c r="G3321" s="182" t="n">
        <v>7.4</v>
      </c>
      <c r="H3321" s="182" t="n">
        <v>0</v>
      </c>
      <c r="I3321" s="182" t="n">
        <v>2.42</v>
      </c>
      <c r="J3321" s="182" t="n">
        <v>2.42</v>
      </c>
      <c r="K3321" s="182" t="n">
        <v>2.18</v>
      </c>
      <c r="L3321" s="182" t="n">
        <v>12</v>
      </c>
      <c r="M3321" s="182" t="n">
        <v>0</v>
      </c>
      <c r="N3321" s="182" t="n">
        <v>0</v>
      </c>
      <c r="O3321" s="183" t="n">
        <v>0</v>
      </c>
      <c r="P3321" s="183" t="n">
        <v>0</v>
      </c>
      <c r="Q3321" s="184" t="n">
        <v>0</v>
      </c>
      <c r="R3321" s="184" t="n">
        <v>0</v>
      </c>
      <c r="S3321" s="183" t="n">
        <v>0</v>
      </c>
      <c r="T3321" s="183" t="n">
        <v>0</v>
      </c>
      <c r="U3321" s="182" t="n">
        <v>0</v>
      </c>
      <c r="V3321" s="182" t="n">
        <v>0</v>
      </c>
      <c r="W3321" s="182" t="n">
        <v>0</v>
      </c>
      <c r="X3321" s="182" t="n">
        <v>0.92</v>
      </c>
      <c r="Y3321" s="182" t="n">
        <v>0</v>
      </c>
      <c r="Z3321" s="182" t="n">
        <v>0</v>
      </c>
      <c r="AA3321" s="182" t="n">
        <v>0</v>
      </c>
      <c r="AB3321" s="182" t="n">
        <v>0.92</v>
      </c>
      <c r="AC3321" s="182" t="n">
        <v>0</v>
      </c>
      <c r="AD3321" s="182" t="n">
        <v>0</v>
      </c>
      <c r="AE3321" s="182" t="n">
        <v>0</v>
      </c>
      <c r="AF3321" s="182" t="n">
        <v>0</v>
      </c>
      <c r="AG3321" s="182" t="n">
        <v>0</v>
      </c>
      <c r="AH3321" s="182" t="n">
        <v>0</v>
      </c>
      <c r="AI3321" s="182" t="n">
        <v>0</v>
      </c>
      <c r="AJ3321" s="182" t="n">
        <v>0</v>
      </c>
      <c r="AK3321" s="182" t="n">
        <v>0.27</v>
      </c>
      <c r="AL3321" s="182" t="n">
        <v>0</v>
      </c>
      <c r="AM3321" s="182" t="n">
        <v>0.07000000000000001</v>
      </c>
      <c r="AN3321" s="182" t="n">
        <v>0</v>
      </c>
    </row>
    <row r="3322">
      <c r="A3322" s="155" t="n">
        <v>46097</v>
      </c>
      <c r="B3322" s="156" t="inlineStr">
        <is>
          <t>DS</t>
        </is>
      </c>
      <c r="C3322" s="156" t="inlineStr">
        <is>
          <t>HT-419</t>
        </is>
      </c>
      <c r="D3322" s="156" t="inlineStr">
        <is>
          <t>SY430</t>
        </is>
      </c>
      <c r="E3322" s="156" t="inlineStr">
        <is>
          <t>DT Hauling</t>
        </is>
      </c>
      <c r="F3322" s="156" t="inlineStr"/>
      <c r="G3322" s="182" t="n">
        <v>0</v>
      </c>
      <c r="H3322" s="182" t="n">
        <v>0</v>
      </c>
      <c r="I3322" s="182" t="n">
        <v>0</v>
      </c>
      <c r="J3322" s="182" t="n">
        <v>0</v>
      </c>
      <c r="K3322" s="182" t="n">
        <v>12</v>
      </c>
      <c r="L3322" s="182" t="n">
        <v>12</v>
      </c>
      <c r="M3322" s="182" t="n">
        <v>0</v>
      </c>
      <c r="N3322" s="182" t="n">
        <v>0</v>
      </c>
      <c r="O3322" s="183" t="n">
        <v>0</v>
      </c>
      <c r="P3322" s="183" t="n">
        <v>0</v>
      </c>
      <c r="Q3322" s="184" t="n">
        <v>0</v>
      </c>
      <c r="R3322" s="184" t="n">
        <v>0</v>
      </c>
      <c r="S3322" s="183" t="n">
        <v>0</v>
      </c>
      <c r="T3322" s="183" t="n">
        <v>0</v>
      </c>
      <c r="U3322" s="182" t="n">
        <v>0</v>
      </c>
      <c r="V3322" s="182" t="n">
        <v>0</v>
      </c>
      <c r="W3322" s="182" t="n">
        <v>0</v>
      </c>
      <c r="X3322" s="182" t="n">
        <v>1</v>
      </c>
      <c r="Y3322" s="182" t="n">
        <v>0</v>
      </c>
      <c r="Z3322" s="182" t="n">
        <v>0</v>
      </c>
      <c r="AA3322" s="182" t="n">
        <v>0</v>
      </c>
      <c r="AB3322" s="182" t="n">
        <v>1</v>
      </c>
      <c r="AC3322" s="182" t="n">
        <v>0</v>
      </c>
      <c r="AD3322" s="182" t="n">
        <v>0</v>
      </c>
      <c r="AE3322" s="182" t="n">
        <v>0</v>
      </c>
      <c r="AF3322" s="182" t="n">
        <v>0</v>
      </c>
      <c r="AG3322" s="182" t="n">
        <v>0</v>
      </c>
      <c r="AH3322" s="182" t="n">
        <v>0</v>
      </c>
      <c r="AI3322" s="182" t="n">
        <v>0</v>
      </c>
      <c r="AJ3322" s="182" t="n">
        <v>0</v>
      </c>
      <c r="AK3322" s="182" t="n">
        <v>9.92</v>
      </c>
      <c r="AL3322" s="182" t="n">
        <v>0</v>
      </c>
      <c r="AM3322" s="182" t="n">
        <v>0.08</v>
      </c>
      <c r="AN3322" s="182" t="n">
        <v>0</v>
      </c>
    </row>
    <row r="3323">
      <c r="A3323" s="155" t="n">
        <v>46097</v>
      </c>
      <c r="B3323" s="156" t="inlineStr">
        <is>
          <t>DS</t>
        </is>
      </c>
      <c r="C3323" s="156" t="inlineStr">
        <is>
          <t>HT-416</t>
        </is>
      </c>
      <c r="D3323" s="156" t="inlineStr">
        <is>
          <t>SY430</t>
        </is>
      </c>
      <c r="E3323" s="156" t="inlineStr">
        <is>
          <t>DT Hauling</t>
        </is>
      </c>
      <c r="F3323" s="156" t="inlineStr">
        <is>
          <t>Hauling Coal ke Jetty</t>
        </is>
      </c>
      <c r="G3323" s="182" t="n">
        <v>8.880000000000001</v>
      </c>
      <c r="H3323" s="182" t="n">
        <v>0</v>
      </c>
      <c r="I3323" s="182" t="n">
        <v>1</v>
      </c>
      <c r="J3323" s="182" t="n">
        <v>1</v>
      </c>
      <c r="K3323" s="182" t="n">
        <v>2.12</v>
      </c>
      <c r="L3323" s="182" t="n">
        <v>12</v>
      </c>
      <c r="M3323" s="182" t="n">
        <v>0</v>
      </c>
      <c r="N3323" s="182" t="n">
        <v>0</v>
      </c>
      <c r="O3323" s="183" t="n">
        <v>0</v>
      </c>
      <c r="P3323" s="183" t="n">
        <v>0</v>
      </c>
      <c r="Q3323" s="184" t="n">
        <v>0</v>
      </c>
      <c r="R3323" s="184" t="n">
        <v>0</v>
      </c>
      <c r="S3323" s="183" t="n">
        <v>0</v>
      </c>
      <c r="T3323" s="183" t="n">
        <v>0</v>
      </c>
      <c r="U3323" s="182" t="n">
        <v>0</v>
      </c>
      <c r="V3323" s="182" t="n">
        <v>0</v>
      </c>
      <c r="W3323" s="182" t="n">
        <v>0</v>
      </c>
      <c r="X3323" s="182" t="n">
        <v>0.92</v>
      </c>
      <c r="Y3323" s="182" t="n">
        <v>0</v>
      </c>
      <c r="Z3323" s="182" t="n">
        <v>0.06</v>
      </c>
      <c r="AA3323" s="182" t="n">
        <v>0</v>
      </c>
      <c r="AB3323" s="182" t="n">
        <v>0.92</v>
      </c>
      <c r="AC3323" s="182" t="n">
        <v>0</v>
      </c>
      <c r="AD3323" s="182" t="n">
        <v>0</v>
      </c>
      <c r="AE3323" s="182" t="n">
        <v>0</v>
      </c>
      <c r="AF3323" s="182" t="n">
        <v>0</v>
      </c>
      <c r="AG3323" s="182" t="n">
        <v>0</v>
      </c>
      <c r="AH3323" s="182" t="n">
        <v>0</v>
      </c>
      <c r="AI3323" s="182" t="n">
        <v>0</v>
      </c>
      <c r="AJ3323" s="182" t="n">
        <v>0</v>
      </c>
      <c r="AK3323" s="182" t="n">
        <v>0.14</v>
      </c>
      <c r="AL3323" s="182" t="n">
        <v>0</v>
      </c>
      <c r="AM3323" s="182" t="n">
        <v>0.07000000000000001</v>
      </c>
      <c r="AN3323" s="182" t="n">
        <v>0</v>
      </c>
    </row>
    <row r="3324">
      <c r="A3324" s="155" t="n">
        <v>46097</v>
      </c>
      <c r="B3324" s="156" t="inlineStr">
        <is>
          <t>DS</t>
        </is>
      </c>
      <c r="C3324" s="156" t="inlineStr">
        <is>
          <t>HT-420</t>
        </is>
      </c>
      <c r="D3324" s="156" t="inlineStr">
        <is>
          <t>SY430</t>
        </is>
      </c>
      <c r="E3324" s="156" t="inlineStr">
        <is>
          <t>DT Hauling</t>
        </is>
      </c>
      <c r="F3324" s="156" t="inlineStr">
        <is>
          <t>Hauling Coal ke Jetty</t>
        </is>
      </c>
      <c r="G3324" s="182" t="n">
        <v>7.77</v>
      </c>
      <c r="H3324" s="182" t="n">
        <v>0</v>
      </c>
      <c r="I3324" s="182" t="n">
        <v>0.75</v>
      </c>
      <c r="J3324" s="182" t="n">
        <v>0.75</v>
      </c>
      <c r="K3324" s="182" t="n">
        <v>3.48</v>
      </c>
      <c r="L3324" s="182" t="n">
        <v>12</v>
      </c>
      <c r="M3324" s="182" t="n">
        <v>0</v>
      </c>
      <c r="N3324" s="182" t="n">
        <v>0</v>
      </c>
      <c r="O3324" s="183" t="n">
        <v>0</v>
      </c>
      <c r="P3324" s="183" t="n">
        <v>0</v>
      </c>
      <c r="Q3324" s="184" t="n">
        <v>0</v>
      </c>
      <c r="R3324" s="184" t="n">
        <v>0</v>
      </c>
      <c r="S3324" s="183" t="n">
        <v>0</v>
      </c>
      <c r="T3324" s="183" t="n">
        <v>0</v>
      </c>
      <c r="U3324" s="182" t="n">
        <v>0</v>
      </c>
      <c r="V3324" s="182" t="n">
        <v>0</v>
      </c>
      <c r="W3324" s="182" t="n">
        <v>0</v>
      </c>
      <c r="X3324" s="182" t="n">
        <v>1.05</v>
      </c>
      <c r="Y3324" s="182" t="n">
        <v>0</v>
      </c>
      <c r="Z3324" s="182" t="n">
        <v>0</v>
      </c>
      <c r="AA3324" s="182" t="n">
        <v>0</v>
      </c>
      <c r="AB3324" s="182" t="n">
        <v>1.05</v>
      </c>
      <c r="AC3324" s="182" t="n">
        <v>0</v>
      </c>
      <c r="AD3324" s="182" t="n">
        <v>0</v>
      </c>
      <c r="AE3324" s="182" t="n">
        <v>0</v>
      </c>
      <c r="AF3324" s="182" t="n">
        <v>0</v>
      </c>
      <c r="AG3324" s="182" t="n">
        <v>0</v>
      </c>
      <c r="AH3324" s="182" t="n">
        <v>0</v>
      </c>
      <c r="AI3324" s="182" t="n">
        <v>0</v>
      </c>
      <c r="AJ3324" s="182" t="n">
        <v>0</v>
      </c>
      <c r="AK3324" s="182" t="n">
        <v>1.29</v>
      </c>
      <c r="AL3324" s="182" t="n">
        <v>0</v>
      </c>
      <c r="AM3324" s="182" t="n">
        <v>0.08</v>
      </c>
      <c r="AN3324" s="182" t="n">
        <v>0</v>
      </c>
    </row>
    <row r="3325">
      <c r="A3325" s="155" t="n">
        <v>46097</v>
      </c>
      <c r="B3325" s="156" t="inlineStr">
        <is>
          <t>DS</t>
        </is>
      </c>
      <c r="C3325" s="156" t="inlineStr">
        <is>
          <t>HT-403</t>
        </is>
      </c>
      <c r="D3325" s="156" t="inlineStr">
        <is>
          <t>SY430</t>
        </is>
      </c>
      <c r="E3325" s="156" t="inlineStr">
        <is>
          <t>DT Hauling</t>
        </is>
      </c>
      <c r="F3325" s="156" t="inlineStr"/>
      <c r="G3325" s="182" t="n">
        <v>0</v>
      </c>
      <c r="H3325" s="182" t="n">
        <v>0</v>
      </c>
      <c r="I3325" s="182" t="n">
        <v>0</v>
      </c>
      <c r="J3325" s="182" t="n">
        <v>0</v>
      </c>
      <c r="K3325" s="182" t="n">
        <v>12</v>
      </c>
      <c r="L3325" s="182" t="n">
        <v>12</v>
      </c>
      <c r="M3325" s="182" t="n">
        <v>0</v>
      </c>
      <c r="N3325" s="182" t="n">
        <v>0</v>
      </c>
      <c r="O3325" s="183" t="n">
        <v>0</v>
      </c>
      <c r="P3325" s="183" t="n">
        <v>0</v>
      </c>
      <c r="Q3325" s="184" t="n">
        <v>0</v>
      </c>
      <c r="R3325" s="184" t="n">
        <v>0</v>
      </c>
      <c r="S3325" s="183" t="n">
        <v>0</v>
      </c>
      <c r="T3325" s="183" t="n">
        <v>0</v>
      </c>
      <c r="U3325" s="182" t="n">
        <v>0</v>
      </c>
      <c r="V3325" s="182" t="n">
        <v>0</v>
      </c>
      <c r="W3325" s="182" t="n">
        <v>0</v>
      </c>
      <c r="X3325" s="182" t="n">
        <v>1</v>
      </c>
      <c r="Y3325" s="182" t="n">
        <v>0</v>
      </c>
      <c r="Z3325" s="182" t="n">
        <v>0</v>
      </c>
      <c r="AA3325" s="182" t="n">
        <v>0</v>
      </c>
      <c r="AB3325" s="182" t="n">
        <v>1</v>
      </c>
      <c r="AC3325" s="182" t="n">
        <v>0</v>
      </c>
      <c r="AD3325" s="182" t="n">
        <v>0</v>
      </c>
      <c r="AE3325" s="182" t="n">
        <v>0</v>
      </c>
      <c r="AF3325" s="182" t="n">
        <v>0</v>
      </c>
      <c r="AG3325" s="182" t="n">
        <v>0</v>
      </c>
      <c r="AH3325" s="182" t="n">
        <v>0</v>
      </c>
      <c r="AI3325" s="182" t="n">
        <v>0</v>
      </c>
      <c r="AJ3325" s="182" t="n">
        <v>0</v>
      </c>
      <c r="AK3325" s="182" t="n">
        <v>9.92</v>
      </c>
      <c r="AL3325" s="182" t="n">
        <v>0</v>
      </c>
      <c r="AM3325" s="182" t="n">
        <v>0.08</v>
      </c>
      <c r="AN3325" s="182" t="n">
        <v>0</v>
      </c>
    </row>
    <row r="3326">
      <c r="A3326" s="155" t="n">
        <v>46097</v>
      </c>
      <c r="B3326" s="156" t="inlineStr">
        <is>
          <t>DS</t>
        </is>
      </c>
      <c r="C3326" s="156" t="inlineStr">
        <is>
          <t>HT-408</t>
        </is>
      </c>
      <c r="D3326" s="156" t="inlineStr">
        <is>
          <t>SY430</t>
        </is>
      </c>
      <c r="E3326" s="156" t="inlineStr">
        <is>
          <t>DT Hauling</t>
        </is>
      </c>
      <c r="F3326" s="156" t="inlineStr">
        <is>
          <t>Hauling Coal ke Jetty</t>
        </is>
      </c>
      <c r="G3326" s="182" t="n">
        <v>8.93</v>
      </c>
      <c r="H3326" s="182" t="n">
        <v>0</v>
      </c>
      <c r="I3326" s="182" t="n">
        <v>1.08</v>
      </c>
      <c r="J3326" s="182" t="n">
        <v>1.08</v>
      </c>
      <c r="K3326" s="182" t="n">
        <v>1.99</v>
      </c>
      <c r="L3326" s="182" t="n">
        <v>12</v>
      </c>
      <c r="M3326" s="182" t="n">
        <v>0</v>
      </c>
      <c r="N3326" s="182" t="n">
        <v>0</v>
      </c>
      <c r="O3326" s="183" t="n">
        <v>0</v>
      </c>
      <c r="P3326" s="183" t="n">
        <v>0</v>
      </c>
      <c r="Q3326" s="184" t="n">
        <v>0</v>
      </c>
      <c r="R3326" s="184" t="n">
        <v>0</v>
      </c>
      <c r="S3326" s="183" t="n">
        <v>0</v>
      </c>
      <c r="T3326" s="183" t="n">
        <v>0</v>
      </c>
      <c r="U3326" s="182" t="n">
        <v>0</v>
      </c>
      <c r="V3326" s="182" t="n">
        <v>0</v>
      </c>
      <c r="W3326" s="182" t="n">
        <v>0</v>
      </c>
      <c r="X3326" s="182" t="n">
        <v>0.73</v>
      </c>
      <c r="Y3326" s="182" t="n">
        <v>0</v>
      </c>
      <c r="Z3326" s="182" t="n">
        <v>0</v>
      </c>
      <c r="AA3326" s="182" t="n">
        <v>0</v>
      </c>
      <c r="AB3326" s="182" t="n">
        <v>1.16</v>
      </c>
      <c r="AC3326" s="182" t="n">
        <v>0</v>
      </c>
      <c r="AD3326" s="182" t="n">
        <v>0</v>
      </c>
      <c r="AE3326" s="182" t="n">
        <v>0</v>
      </c>
      <c r="AF3326" s="182" t="n">
        <v>0</v>
      </c>
      <c r="AG3326" s="182" t="n">
        <v>0</v>
      </c>
      <c r="AH3326" s="182" t="n">
        <v>0</v>
      </c>
      <c r="AI3326" s="182" t="n">
        <v>0</v>
      </c>
      <c r="AJ3326" s="182" t="n">
        <v>0</v>
      </c>
      <c r="AK3326" s="182" t="n">
        <v>0</v>
      </c>
      <c r="AL3326" s="182" t="n">
        <v>0</v>
      </c>
      <c r="AM3326" s="182" t="n">
        <v>0.09</v>
      </c>
      <c r="AN3326" s="182" t="n">
        <v>0</v>
      </c>
    </row>
    <row r="3327">
      <c r="A3327" s="155" t="n">
        <v>46097</v>
      </c>
      <c r="B3327" s="156" t="inlineStr">
        <is>
          <t>DS</t>
        </is>
      </c>
      <c r="C3327" s="156" t="inlineStr">
        <is>
          <t>HT-412</t>
        </is>
      </c>
      <c r="D3327" s="156" t="inlineStr">
        <is>
          <t>SY430</t>
        </is>
      </c>
      <c r="E3327" s="156" t="inlineStr">
        <is>
          <t>DT Hauling</t>
        </is>
      </c>
      <c r="F3327" s="156" t="inlineStr">
        <is>
          <t>Hauling Coal ke Jetty</t>
        </is>
      </c>
      <c r="G3327" s="182" t="n">
        <v>7.04</v>
      </c>
      <c r="H3327" s="182" t="n">
        <v>0</v>
      </c>
      <c r="I3327" s="182" t="n">
        <v>0</v>
      </c>
      <c r="J3327" s="182" t="n">
        <v>0</v>
      </c>
      <c r="K3327" s="182" t="n">
        <v>4.96</v>
      </c>
      <c r="L3327" s="182" t="n">
        <v>12</v>
      </c>
      <c r="M3327" s="182" t="n">
        <v>0</v>
      </c>
      <c r="N3327" s="182" t="n">
        <v>0</v>
      </c>
      <c r="O3327" s="183" t="n">
        <v>0</v>
      </c>
      <c r="P3327" s="183" t="n">
        <v>0</v>
      </c>
      <c r="Q3327" s="184" t="n">
        <v>0</v>
      </c>
      <c r="R3327" s="184" t="n">
        <v>0</v>
      </c>
      <c r="S3327" s="183" t="n">
        <v>0</v>
      </c>
      <c r="T3327" s="183" t="n">
        <v>0</v>
      </c>
      <c r="U3327" s="182" t="n">
        <v>0</v>
      </c>
      <c r="V3327" s="182" t="n">
        <v>0</v>
      </c>
      <c r="W3327" s="182" t="n">
        <v>0</v>
      </c>
      <c r="X3327" s="182" t="n">
        <v>1.03</v>
      </c>
      <c r="Y3327" s="182" t="n">
        <v>0</v>
      </c>
      <c r="Z3327" s="182" t="n">
        <v>0.07000000000000001</v>
      </c>
      <c r="AA3327" s="182" t="n">
        <v>0</v>
      </c>
      <c r="AB3327" s="182" t="n">
        <v>1.03</v>
      </c>
      <c r="AC3327" s="182" t="n">
        <v>0</v>
      </c>
      <c r="AD3327" s="182" t="n">
        <v>0</v>
      </c>
      <c r="AE3327" s="182" t="n">
        <v>0</v>
      </c>
      <c r="AF3327" s="182" t="n">
        <v>0</v>
      </c>
      <c r="AG3327" s="182" t="n">
        <v>0</v>
      </c>
      <c r="AH3327" s="182" t="n">
        <v>0</v>
      </c>
      <c r="AI3327" s="182" t="n">
        <v>0</v>
      </c>
      <c r="AJ3327" s="182" t="n">
        <v>0</v>
      </c>
      <c r="AK3327" s="182" t="n">
        <v>2.74</v>
      </c>
      <c r="AL3327" s="182" t="n">
        <v>0</v>
      </c>
      <c r="AM3327" s="182" t="n">
        <v>0.08</v>
      </c>
      <c r="AN3327" s="182" t="n">
        <v>0</v>
      </c>
    </row>
    <row r="3328">
      <c r="A3328" s="155" t="n">
        <v>46097</v>
      </c>
      <c r="B3328" s="156" t="inlineStr">
        <is>
          <t>DS</t>
        </is>
      </c>
      <c r="C3328" s="156" t="inlineStr">
        <is>
          <t>HT-413</t>
        </is>
      </c>
      <c r="D3328" s="156" t="inlineStr">
        <is>
          <t>SY430</t>
        </is>
      </c>
      <c r="E3328" s="156" t="inlineStr">
        <is>
          <t>DT Hauling</t>
        </is>
      </c>
      <c r="F3328" s="156" t="inlineStr"/>
      <c r="G3328" s="182" t="n">
        <v>0</v>
      </c>
      <c r="H3328" s="182" t="n">
        <v>0</v>
      </c>
      <c r="I3328" s="182" t="n">
        <v>12</v>
      </c>
      <c r="J3328" s="182" t="n">
        <v>12</v>
      </c>
      <c r="K3328" s="182" t="n">
        <v>0</v>
      </c>
      <c r="L3328" s="182" t="n">
        <v>12</v>
      </c>
      <c r="M3328" s="182" t="n">
        <v>0</v>
      </c>
      <c r="N3328" s="182" t="n">
        <v>0</v>
      </c>
      <c r="O3328" s="183" t="n">
        <v>0</v>
      </c>
      <c r="P3328" s="183" t="n">
        <v>0</v>
      </c>
      <c r="Q3328" s="184" t="n">
        <v>0</v>
      </c>
      <c r="R3328" s="184" t="n">
        <v>0</v>
      </c>
      <c r="S3328" s="183" t="n">
        <v>0</v>
      </c>
      <c r="T3328" s="183" t="n">
        <v>0</v>
      </c>
      <c r="U3328" s="182" t="n">
        <v>0</v>
      </c>
      <c r="V3328" s="182" t="n">
        <v>0</v>
      </c>
      <c r="W3328" s="182" t="n">
        <v>0</v>
      </c>
      <c r="X3328" s="182" t="n">
        <v>0</v>
      </c>
      <c r="Y3328" s="182" t="n">
        <v>0</v>
      </c>
      <c r="Z3328" s="182" t="n">
        <v>0</v>
      </c>
      <c r="AA3328" s="182" t="n">
        <v>0</v>
      </c>
      <c r="AB3328" s="182" t="n">
        <v>0</v>
      </c>
      <c r="AC3328" s="182" t="n">
        <v>0</v>
      </c>
      <c r="AD3328" s="182" t="n">
        <v>0</v>
      </c>
      <c r="AE3328" s="182" t="n">
        <v>0</v>
      </c>
      <c r="AF3328" s="182" t="n">
        <v>0</v>
      </c>
      <c r="AG3328" s="182" t="n">
        <v>0</v>
      </c>
      <c r="AH3328" s="182" t="n">
        <v>0</v>
      </c>
      <c r="AI3328" s="182" t="n">
        <v>0</v>
      </c>
      <c r="AJ3328" s="182" t="n">
        <v>0</v>
      </c>
      <c r="AK3328" s="182" t="n">
        <v>0</v>
      </c>
      <c r="AL3328" s="182" t="n">
        <v>0</v>
      </c>
      <c r="AM3328" s="182" t="n">
        <v>0</v>
      </c>
      <c r="AN3328" s="182" t="n">
        <v>0</v>
      </c>
    </row>
    <row r="3329">
      <c r="A3329" s="155" t="n">
        <v>46097</v>
      </c>
      <c r="B3329" s="156" t="inlineStr">
        <is>
          <t>DS</t>
        </is>
      </c>
      <c r="C3329" s="156" t="inlineStr">
        <is>
          <t>HT-407</t>
        </is>
      </c>
      <c r="D3329" s="156" t="inlineStr">
        <is>
          <t>SY430</t>
        </is>
      </c>
      <c r="E3329" s="156" t="inlineStr">
        <is>
          <t>DT Hauling</t>
        </is>
      </c>
      <c r="F3329" s="156" t="inlineStr">
        <is>
          <t>Hauling Coal ke Jetty</t>
        </is>
      </c>
      <c r="G3329" s="182" t="n">
        <v>9.07</v>
      </c>
      <c r="H3329" s="182" t="n">
        <v>0</v>
      </c>
      <c r="I3329" s="182" t="n">
        <v>0</v>
      </c>
      <c r="J3329" s="182" t="n">
        <v>0</v>
      </c>
      <c r="K3329" s="182" t="n">
        <v>2.93</v>
      </c>
      <c r="L3329" s="182" t="n">
        <v>12</v>
      </c>
      <c r="M3329" s="182" t="n">
        <v>0</v>
      </c>
      <c r="N3329" s="182" t="n">
        <v>0</v>
      </c>
      <c r="O3329" s="183" t="n">
        <v>0</v>
      </c>
      <c r="P3329" s="183" t="n">
        <v>0</v>
      </c>
      <c r="Q3329" s="184" t="n">
        <v>0</v>
      </c>
      <c r="R3329" s="184" t="n">
        <v>0</v>
      </c>
      <c r="S3329" s="183" t="n">
        <v>0</v>
      </c>
      <c r="T3329" s="183" t="n">
        <v>0</v>
      </c>
      <c r="U3329" s="182" t="n">
        <v>0</v>
      </c>
      <c r="V3329" s="182" t="n">
        <v>0</v>
      </c>
      <c r="W3329" s="182" t="n">
        <v>0</v>
      </c>
      <c r="X3329" s="182" t="n">
        <v>1.13</v>
      </c>
      <c r="Y3329" s="182" t="n">
        <v>0</v>
      </c>
      <c r="Z3329" s="182" t="n">
        <v>0.08</v>
      </c>
      <c r="AA3329" s="182" t="n">
        <v>0</v>
      </c>
      <c r="AB3329" s="182" t="n">
        <v>1.13</v>
      </c>
      <c r="AC3329" s="182" t="n">
        <v>0</v>
      </c>
      <c r="AD3329" s="182" t="n">
        <v>0</v>
      </c>
      <c r="AE3329" s="182" t="n">
        <v>0</v>
      </c>
      <c r="AF3329" s="182" t="n">
        <v>0</v>
      </c>
      <c r="AG3329" s="182" t="n">
        <v>0</v>
      </c>
      <c r="AH3329" s="182" t="n">
        <v>0</v>
      </c>
      <c r="AI3329" s="182" t="n">
        <v>0</v>
      </c>
      <c r="AJ3329" s="182" t="n">
        <v>0</v>
      </c>
      <c r="AK3329" s="182" t="n">
        <v>0.51</v>
      </c>
      <c r="AL3329" s="182" t="n">
        <v>0</v>
      </c>
      <c r="AM3329" s="182" t="n">
        <v>0.09</v>
      </c>
      <c r="AN3329" s="182" t="n">
        <v>0</v>
      </c>
    </row>
    <row r="3330">
      <c r="A3330" s="155" t="n">
        <v>46097</v>
      </c>
      <c r="B3330" s="156" t="inlineStr">
        <is>
          <t>DS</t>
        </is>
      </c>
      <c r="C3330" s="156" t="inlineStr">
        <is>
          <t>HT-414</t>
        </is>
      </c>
      <c r="D3330" s="156" t="inlineStr">
        <is>
          <t>SY430</t>
        </is>
      </c>
      <c r="E3330" s="156" t="inlineStr">
        <is>
          <t>DT Hauling</t>
        </is>
      </c>
      <c r="F3330" s="156" t="inlineStr">
        <is>
          <t>Hauling Coal ke Jetty</t>
        </is>
      </c>
      <c r="G3330" s="182" t="n">
        <v>7.66</v>
      </c>
      <c r="H3330" s="182" t="n">
        <v>0</v>
      </c>
      <c r="I3330" s="182" t="n">
        <v>0.33</v>
      </c>
      <c r="J3330" s="182" t="n">
        <v>0.33</v>
      </c>
      <c r="K3330" s="182" t="n">
        <v>4.01</v>
      </c>
      <c r="L3330" s="182" t="n">
        <v>12</v>
      </c>
      <c r="M3330" s="182" t="n">
        <v>0</v>
      </c>
      <c r="N3330" s="182" t="n">
        <v>0</v>
      </c>
      <c r="O3330" s="183" t="n">
        <v>0</v>
      </c>
      <c r="P3330" s="183" t="n">
        <v>0</v>
      </c>
      <c r="Q3330" s="184" t="n">
        <v>0</v>
      </c>
      <c r="R3330" s="184" t="n">
        <v>0</v>
      </c>
      <c r="S3330" s="183" t="n">
        <v>0</v>
      </c>
      <c r="T3330" s="183" t="n">
        <v>0</v>
      </c>
      <c r="U3330" s="182" t="n">
        <v>0</v>
      </c>
      <c r="V3330" s="182" t="n">
        <v>0</v>
      </c>
      <c r="W3330" s="182" t="n">
        <v>0</v>
      </c>
      <c r="X3330" s="182" t="n">
        <v>1.04</v>
      </c>
      <c r="Y3330" s="182" t="n">
        <v>0</v>
      </c>
      <c r="Z3330" s="182" t="n">
        <v>0.07000000000000001</v>
      </c>
      <c r="AA3330" s="182" t="n">
        <v>0</v>
      </c>
      <c r="AB3330" s="182" t="n">
        <v>1.04</v>
      </c>
      <c r="AC3330" s="182" t="n">
        <v>0</v>
      </c>
      <c r="AD3330" s="182" t="n">
        <v>0</v>
      </c>
      <c r="AE3330" s="182" t="n">
        <v>0</v>
      </c>
      <c r="AF3330" s="182" t="n">
        <v>0</v>
      </c>
      <c r="AG3330" s="182" t="n">
        <v>0</v>
      </c>
      <c r="AH3330" s="182" t="n">
        <v>0</v>
      </c>
      <c r="AI3330" s="182" t="n">
        <v>0</v>
      </c>
      <c r="AJ3330" s="182" t="n">
        <v>0</v>
      </c>
      <c r="AK3330" s="182" t="n">
        <v>1.78</v>
      </c>
      <c r="AL3330" s="182" t="n">
        <v>0</v>
      </c>
      <c r="AM3330" s="182" t="n">
        <v>0.08</v>
      </c>
      <c r="AN3330" s="182" t="n">
        <v>0</v>
      </c>
    </row>
    <row r="3331">
      <c r="A3331" s="155" t="n">
        <v>46097</v>
      </c>
      <c r="B3331" s="156" t="inlineStr">
        <is>
          <t>DS</t>
        </is>
      </c>
      <c r="C3331" s="156" t="inlineStr">
        <is>
          <t>HT-411</t>
        </is>
      </c>
      <c r="D3331" s="156" t="inlineStr">
        <is>
          <t>SY430</t>
        </is>
      </c>
      <c r="E3331" s="156" t="inlineStr">
        <is>
          <t>DT Hauling</t>
        </is>
      </c>
      <c r="F3331" s="156" t="inlineStr">
        <is>
          <t>Hauling Coal ke Jetty</t>
        </is>
      </c>
      <c r="G3331" s="182" t="n">
        <v>9.56</v>
      </c>
      <c r="H3331" s="182" t="n">
        <v>0</v>
      </c>
      <c r="I3331" s="182" t="n">
        <v>0</v>
      </c>
      <c r="J3331" s="182" t="n">
        <v>0</v>
      </c>
      <c r="K3331" s="182" t="n">
        <v>2.44</v>
      </c>
      <c r="L3331" s="182" t="n">
        <v>12</v>
      </c>
      <c r="M3331" s="182" t="n">
        <v>0</v>
      </c>
      <c r="N3331" s="182" t="n">
        <v>0</v>
      </c>
      <c r="O3331" s="183" t="n">
        <v>0</v>
      </c>
      <c r="P3331" s="183" t="n">
        <v>0</v>
      </c>
      <c r="Q3331" s="184" t="n">
        <v>0</v>
      </c>
      <c r="R3331" s="184" t="n">
        <v>0</v>
      </c>
      <c r="S3331" s="183" t="n">
        <v>0</v>
      </c>
      <c r="T3331" s="183" t="n">
        <v>0</v>
      </c>
      <c r="U3331" s="182" t="n">
        <v>0</v>
      </c>
      <c r="V3331" s="182" t="n">
        <v>0</v>
      </c>
      <c r="W3331" s="182" t="n">
        <v>0</v>
      </c>
      <c r="X3331" s="182" t="n">
        <v>1.02</v>
      </c>
      <c r="Y3331" s="182" t="n">
        <v>0</v>
      </c>
      <c r="Z3331" s="182" t="n">
        <v>0</v>
      </c>
      <c r="AA3331" s="182" t="n">
        <v>0</v>
      </c>
      <c r="AB3331" s="182" t="n">
        <v>1.02</v>
      </c>
      <c r="AC3331" s="182" t="n">
        <v>0</v>
      </c>
      <c r="AD3331" s="182" t="n">
        <v>0</v>
      </c>
      <c r="AE3331" s="182" t="n">
        <v>0</v>
      </c>
      <c r="AF3331" s="182" t="n">
        <v>0</v>
      </c>
      <c r="AG3331" s="182" t="n">
        <v>0</v>
      </c>
      <c r="AH3331" s="182" t="n">
        <v>0</v>
      </c>
      <c r="AI3331" s="182" t="n">
        <v>0</v>
      </c>
      <c r="AJ3331" s="182" t="n">
        <v>0</v>
      </c>
      <c r="AK3331" s="182" t="n">
        <v>0.33</v>
      </c>
      <c r="AL3331" s="182" t="n">
        <v>0</v>
      </c>
      <c r="AM3331" s="182" t="n">
        <v>0.08</v>
      </c>
      <c r="AN3331" s="182" t="n">
        <v>0</v>
      </c>
    </row>
    <row r="3332">
      <c r="A3332" s="155" t="n">
        <v>46097</v>
      </c>
      <c r="B3332" s="156" t="inlineStr">
        <is>
          <t>DS</t>
        </is>
      </c>
      <c r="C3332" s="156" t="inlineStr">
        <is>
          <t>HT-409</t>
        </is>
      </c>
      <c r="D3332" s="156" t="inlineStr">
        <is>
          <t>SY430</t>
        </is>
      </c>
      <c r="E3332" s="156" t="inlineStr">
        <is>
          <t>DT Hauling</t>
        </is>
      </c>
      <c r="F3332" s="156" t="inlineStr"/>
      <c r="G3332" s="182" t="n">
        <v>0</v>
      </c>
      <c r="H3332" s="182" t="n">
        <v>0</v>
      </c>
      <c r="I3332" s="182" t="n">
        <v>0</v>
      </c>
      <c r="J3332" s="182" t="n">
        <v>0</v>
      </c>
      <c r="K3332" s="182" t="n">
        <v>12</v>
      </c>
      <c r="L3332" s="182" t="n">
        <v>12</v>
      </c>
      <c r="M3332" s="182" t="n">
        <v>0</v>
      </c>
      <c r="N3332" s="182" t="n">
        <v>0</v>
      </c>
      <c r="O3332" s="183" t="n">
        <v>0</v>
      </c>
      <c r="P3332" s="183" t="n">
        <v>0</v>
      </c>
      <c r="Q3332" s="184" t="n">
        <v>0</v>
      </c>
      <c r="R3332" s="184" t="n">
        <v>0</v>
      </c>
      <c r="S3332" s="183" t="n">
        <v>0</v>
      </c>
      <c r="T3332" s="183" t="n">
        <v>0</v>
      </c>
      <c r="U3332" s="182" t="n">
        <v>0</v>
      </c>
      <c r="V3332" s="182" t="n">
        <v>0</v>
      </c>
      <c r="W3332" s="182" t="n">
        <v>0</v>
      </c>
      <c r="X3332" s="182" t="n">
        <v>1</v>
      </c>
      <c r="Y3332" s="182" t="n">
        <v>0</v>
      </c>
      <c r="Z3332" s="182" t="n">
        <v>0</v>
      </c>
      <c r="AA3332" s="182" t="n">
        <v>0</v>
      </c>
      <c r="AB3332" s="182" t="n">
        <v>1</v>
      </c>
      <c r="AC3332" s="182" t="n">
        <v>0</v>
      </c>
      <c r="AD3332" s="182" t="n">
        <v>0</v>
      </c>
      <c r="AE3332" s="182" t="n">
        <v>0</v>
      </c>
      <c r="AF3332" s="182" t="n">
        <v>0</v>
      </c>
      <c r="AG3332" s="182" t="n">
        <v>0</v>
      </c>
      <c r="AH3332" s="182" t="n">
        <v>0</v>
      </c>
      <c r="AI3332" s="182" t="n">
        <v>0</v>
      </c>
      <c r="AJ3332" s="182" t="n">
        <v>0</v>
      </c>
      <c r="AK3332" s="182" t="n">
        <v>9.92</v>
      </c>
      <c r="AL3332" s="182" t="n">
        <v>0</v>
      </c>
      <c r="AM3332" s="182" t="n">
        <v>0.08</v>
      </c>
      <c r="AN3332" s="182" t="n">
        <v>0</v>
      </c>
    </row>
    <row r="3333">
      <c r="A3333" s="155" t="n">
        <v>46097</v>
      </c>
      <c r="B3333" s="156" t="inlineStr">
        <is>
          <t>DS</t>
        </is>
      </c>
      <c r="C3333" s="156" t="inlineStr">
        <is>
          <t>DH-103</t>
        </is>
      </c>
      <c r="D3333" s="156" t="inlineStr">
        <is>
          <t>HINO FM260</t>
        </is>
      </c>
      <c r="E3333" s="156" t="inlineStr">
        <is>
          <t>DT Hino</t>
        </is>
      </c>
      <c r="F3333" s="156" t="inlineStr"/>
      <c r="G3333" s="182" t="n">
        <v>0</v>
      </c>
      <c r="H3333" s="182" t="n">
        <v>0</v>
      </c>
      <c r="I3333" s="182" t="n">
        <v>12</v>
      </c>
      <c r="J3333" s="182" t="n">
        <v>12</v>
      </c>
      <c r="K3333" s="182" t="n">
        <v>0</v>
      </c>
      <c r="L3333" s="182" t="n">
        <v>12</v>
      </c>
      <c r="M3333" s="182" t="n">
        <v>0</v>
      </c>
      <c r="N3333" s="182" t="n">
        <v>0</v>
      </c>
      <c r="O3333" s="183" t="n">
        <v>0</v>
      </c>
      <c r="P3333" s="183" t="n">
        <v>0</v>
      </c>
      <c r="Q3333" s="184" t="n">
        <v>0</v>
      </c>
      <c r="R3333" s="184" t="n">
        <v>0</v>
      </c>
      <c r="S3333" s="183" t="n">
        <v>0</v>
      </c>
      <c r="T3333" s="183" t="n">
        <v>0</v>
      </c>
      <c r="U3333" s="182" t="n">
        <v>0</v>
      </c>
      <c r="V3333" s="182" t="n">
        <v>0</v>
      </c>
      <c r="W3333" s="182" t="n">
        <v>0</v>
      </c>
      <c r="X3333" s="182" t="n">
        <v>0</v>
      </c>
      <c r="Y3333" s="182" t="n">
        <v>0</v>
      </c>
      <c r="Z3333" s="182" t="n">
        <v>0</v>
      </c>
      <c r="AA3333" s="182" t="n">
        <v>0</v>
      </c>
      <c r="AB3333" s="182" t="n">
        <v>0</v>
      </c>
      <c r="AC3333" s="182" t="n">
        <v>0</v>
      </c>
      <c r="AD3333" s="182" t="n">
        <v>0</v>
      </c>
      <c r="AE3333" s="182" t="n">
        <v>0</v>
      </c>
      <c r="AF3333" s="182" t="n">
        <v>0</v>
      </c>
      <c r="AG3333" s="182" t="n">
        <v>0</v>
      </c>
      <c r="AH3333" s="182" t="n">
        <v>0</v>
      </c>
      <c r="AI3333" s="182" t="n">
        <v>0</v>
      </c>
      <c r="AJ3333" s="182" t="n">
        <v>0</v>
      </c>
      <c r="AK3333" s="182" t="n">
        <v>0</v>
      </c>
      <c r="AL3333" s="182" t="n">
        <v>0</v>
      </c>
      <c r="AM3333" s="182" t="n">
        <v>0</v>
      </c>
      <c r="AN3333" s="182" t="n">
        <v>0</v>
      </c>
    </row>
    <row r="3334">
      <c r="A3334" s="155" t="n">
        <v>46097</v>
      </c>
      <c r="B3334" s="156" t="inlineStr">
        <is>
          <t>DS</t>
        </is>
      </c>
      <c r="C3334" s="156" t="inlineStr">
        <is>
          <t>DH-102</t>
        </is>
      </c>
      <c r="D3334" s="156" t="inlineStr">
        <is>
          <t>HINO FM260</t>
        </is>
      </c>
      <c r="E3334" s="156" t="inlineStr">
        <is>
          <t>DT Hino</t>
        </is>
      </c>
      <c r="F3334" s="156" t="inlineStr"/>
      <c r="G3334" s="182" t="n">
        <v>0</v>
      </c>
      <c r="H3334" s="182" t="n">
        <v>0</v>
      </c>
      <c r="I3334" s="182" t="n">
        <v>0</v>
      </c>
      <c r="J3334" s="182" t="n">
        <v>0</v>
      </c>
      <c r="K3334" s="182" t="n">
        <v>12</v>
      </c>
      <c r="L3334" s="182" t="n">
        <v>12</v>
      </c>
      <c r="M3334" s="182" t="n">
        <v>0</v>
      </c>
      <c r="N3334" s="182" t="n">
        <v>0</v>
      </c>
      <c r="O3334" s="183" t="n">
        <v>0</v>
      </c>
      <c r="P3334" s="183" t="n">
        <v>0</v>
      </c>
      <c r="Q3334" s="184" t="n">
        <v>0</v>
      </c>
      <c r="R3334" s="184" t="n">
        <v>0</v>
      </c>
      <c r="S3334" s="183" t="n">
        <v>0</v>
      </c>
      <c r="T3334" s="183" t="n">
        <v>0</v>
      </c>
      <c r="U3334" s="182" t="n">
        <v>0</v>
      </c>
      <c r="V3334" s="182" t="n">
        <v>0</v>
      </c>
      <c r="W3334" s="182" t="n">
        <v>0</v>
      </c>
      <c r="X3334" s="182" t="n">
        <v>1</v>
      </c>
      <c r="Y3334" s="182" t="n">
        <v>0</v>
      </c>
      <c r="Z3334" s="182" t="n">
        <v>0</v>
      </c>
      <c r="AA3334" s="182" t="n">
        <v>0</v>
      </c>
      <c r="AB3334" s="182" t="n">
        <v>1</v>
      </c>
      <c r="AC3334" s="182" t="n">
        <v>0</v>
      </c>
      <c r="AD3334" s="182" t="n">
        <v>0</v>
      </c>
      <c r="AE3334" s="182" t="n">
        <v>0</v>
      </c>
      <c r="AF3334" s="182" t="n">
        <v>0</v>
      </c>
      <c r="AG3334" s="182" t="n">
        <v>0</v>
      </c>
      <c r="AH3334" s="182" t="n">
        <v>0</v>
      </c>
      <c r="AI3334" s="182" t="n">
        <v>0</v>
      </c>
      <c r="AJ3334" s="182" t="n">
        <v>0</v>
      </c>
      <c r="AK3334" s="182" t="n">
        <v>9.92</v>
      </c>
      <c r="AL3334" s="182" t="n">
        <v>0</v>
      </c>
      <c r="AM3334" s="182" t="n">
        <v>0.08</v>
      </c>
      <c r="AN3334" s="182" t="n">
        <v>0</v>
      </c>
    </row>
    <row r="3335">
      <c r="A3335" s="155" t="n">
        <v>46097</v>
      </c>
      <c r="B3335" s="156" t="inlineStr">
        <is>
          <t>DS</t>
        </is>
      </c>
      <c r="C3335" s="156" t="inlineStr">
        <is>
          <t>DH-101</t>
        </is>
      </c>
      <c r="D3335" s="156" t="inlineStr">
        <is>
          <t>HINO FM260</t>
        </is>
      </c>
      <c r="E3335" s="156" t="inlineStr">
        <is>
          <t>DT Hino</t>
        </is>
      </c>
      <c r="F3335" s="156" t="inlineStr"/>
      <c r="G3335" s="182" t="n">
        <v>0</v>
      </c>
      <c r="H3335" s="182" t="n">
        <v>0</v>
      </c>
      <c r="I3335" s="182" t="n">
        <v>0</v>
      </c>
      <c r="J3335" s="182" t="n">
        <v>0</v>
      </c>
      <c r="K3335" s="182" t="n">
        <v>12</v>
      </c>
      <c r="L3335" s="182" t="n">
        <v>12</v>
      </c>
      <c r="M3335" s="182" t="n">
        <v>0</v>
      </c>
      <c r="N3335" s="182" t="n">
        <v>0</v>
      </c>
      <c r="O3335" s="183" t="n">
        <v>0</v>
      </c>
      <c r="P3335" s="183" t="n">
        <v>0</v>
      </c>
      <c r="Q3335" s="184" t="n">
        <v>0</v>
      </c>
      <c r="R3335" s="184" t="n">
        <v>0</v>
      </c>
      <c r="S3335" s="183" t="n">
        <v>0</v>
      </c>
      <c r="T3335" s="183" t="n">
        <v>0</v>
      </c>
      <c r="U3335" s="182" t="n">
        <v>0</v>
      </c>
      <c r="V3335" s="182" t="n">
        <v>0</v>
      </c>
      <c r="W3335" s="182" t="n">
        <v>0</v>
      </c>
      <c r="X3335" s="182" t="n">
        <v>1</v>
      </c>
      <c r="Y3335" s="182" t="n">
        <v>0</v>
      </c>
      <c r="Z3335" s="182" t="n">
        <v>0</v>
      </c>
      <c r="AA3335" s="182" t="n">
        <v>0</v>
      </c>
      <c r="AB3335" s="182" t="n">
        <v>1</v>
      </c>
      <c r="AC3335" s="182" t="n">
        <v>0</v>
      </c>
      <c r="AD3335" s="182" t="n">
        <v>0</v>
      </c>
      <c r="AE3335" s="182" t="n">
        <v>0</v>
      </c>
      <c r="AF3335" s="182" t="n">
        <v>0</v>
      </c>
      <c r="AG3335" s="182" t="n">
        <v>0</v>
      </c>
      <c r="AH3335" s="182" t="n">
        <v>0</v>
      </c>
      <c r="AI3335" s="182" t="n">
        <v>0</v>
      </c>
      <c r="AJ3335" s="182" t="n">
        <v>0</v>
      </c>
      <c r="AK3335" s="182" t="n">
        <v>9.92</v>
      </c>
      <c r="AL3335" s="182" t="n">
        <v>0</v>
      </c>
      <c r="AM3335" s="182" t="n">
        <v>0.08</v>
      </c>
      <c r="AN3335" s="182" t="n">
        <v>0</v>
      </c>
    </row>
    <row r="3336">
      <c r="A3336" s="155" t="n">
        <v>46097</v>
      </c>
      <c r="B3336" s="156" t="inlineStr">
        <is>
          <t>DS</t>
        </is>
      </c>
      <c r="C3336" s="156" t="inlineStr">
        <is>
          <t>EX-1251</t>
        </is>
      </c>
      <c r="D3336" s="156" t="inlineStr">
        <is>
          <t>SY1250</t>
        </is>
      </c>
      <c r="E3336" s="156" t="inlineStr">
        <is>
          <t>Excavator</t>
        </is>
      </c>
      <c r="F3336" s="156" t="inlineStr">
        <is>
          <t>Loading OB Longsoran LW</t>
        </is>
      </c>
      <c r="G3336" s="182" t="n">
        <v>7.56</v>
      </c>
      <c r="H3336" s="182" t="n">
        <v>0</v>
      </c>
      <c r="I3336" s="182" t="n">
        <v>0.33</v>
      </c>
      <c r="J3336" s="182" t="n">
        <v>0.33</v>
      </c>
      <c r="K3336" s="182" t="n">
        <v>4.11</v>
      </c>
      <c r="L3336" s="182" t="n">
        <v>12</v>
      </c>
      <c r="M3336" s="182" t="n">
        <v>7.32</v>
      </c>
      <c r="N3336" s="182" t="n">
        <v>0</v>
      </c>
      <c r="O3336" s="183" t="n">
        <v>125</v>
      </c>
      <c r="P3336" s="183" t="n">
        <v>0</v>
      </c>
      <c r="Q3336" s="184" t="n">
        <v>2040</v>
      </c>
      <c r="R3336" s="184" t="n">
        <v>0</v>
      </c>
      <c r="S3336" s="183" t="n">
        <v>0</v>
      </c>
      <c r="T3336" s="183" t="n">
        <v>0</v>
      </c>
      <c r="U3336" s="182" t="n">
        <v>1.06</v>
      </c>
      <c r="V3336" s="182" t="n">
        <v>1.17</v>
      </c>
      <c r="W3336" s="182" t="n">
        <v>0</v>
      </c>
      <c r="X3336" s="182" t="n">
        <v>0.91</v>
      </c>
      <c r="Y3336" s="182" t="n">
        <v>0</v>
      </c>
      <c r="Z3336" s="182" t="n">
        <v>0</v>
      </c>
      <c r="AA3336" s="182" t="n">
        <v>0</v>
      </c>
      <c r="AB3336" s="182" t="n">
        <v>0.91</v>
      </c>
      <c r="AC3336" s="182" t="n">
        <v>0</v>
      </c>
      <c r="AD3336" s="182" t="n">
        <v>0</v>
      </c>
      <c r="AE3336" s="182" t="n">
        <v>0</v>
      </c>
      <c r="AF3336" s="182" t="n">
        <v>0</v>
      </c>
      <c r="AG3336" s="182" t="n">
        <v>0</v>
      </c>
      <c r="AH3336" s="182" t="n">
        <v>0</v>
      </c>
      <c r="AI3336" s="182" t="n">
        <v>0</v>
      </c>
      <c r="AJ3336" s="182" t="n">
        <v>0</v>
      </c>
      <c r="AK3336" s="182" t="n">
        <v>0</v>
      </c>
      <c r="AL3336" s="182" t="n">
        <v>0</v>
      </c>
      <c r="AM3336" s="182" t="n">
        <v>0.07000000000000001</v>
      </c>
      <c r="AN3336" s="182" t="n">
        <v>0</v>
      </c>
    </row>
    <row r="3337">
      <c r="A3337" s="155" t="n">
        <v>46097</v>
      </c>
      <c r="B3337" s="156" t="inlineStr">
        <is>
          <t>DS</t>
        </is>
      </c>
      <c r="C3337" s="156" t="inlineStr">
        <is>
          <t>EX-1252</t>
        </is>
      </c>
      <c r="D3337" s="156" t="inlineStr">
        <is>
          <t>SY1250</t>
        </is>
      </c>
      <c r="E3337" s="156" t="inlineStr">
        <is>
          <t>Excavator</t>
        </is>
      </c>
      <c r="F3337" s="156" t="inlineStr"/>
      <c r="G3337" s="182" t="n">
        <v>0</v>
      </c>
      <c r="H3337" s="182" t="n">
        <v>0</v>
      </c>
      <c r="I3337" s="182" t="n">
        <v>12</v>
      </c>
      <c r="J3337" s="182" t="n">
        <v>12</v>
      </c>
      <c r="K3337" s="182" t="n">
        <v>0</v>
      </c>
      <c r="L3337" s="182" t="n">
        <v>12</v>
      </c>
      <c r="M3337" s="182" t="n">
        <v>0</v>
      </c>
      <c r="N3337" s="182" t="n">
        <v>0</v>
      </c>
      <c r="O3337" s="183" t="n">
        <v>0</v>
      </c>
      <c r="P3337" s="183" t="n">
        <v>0</v>
      </c>
      <c r="Q3337" s="184" t="n">
        <v>0</v>
      </c>
      <c r="R3337" s="184" t="n">
        <v>0</v>
      </c>
      <c r="S3337" s="183" t="n">
        <v>0</v>
      </c>
      <c r="T3337" s="183" t="n">
        <v>0</v>
      </c>
      <c r="U3337" s="182" t="n">
        <v>0</v>
      </c>
      <c r="V3337" s="182" t="n">
        <v>0</v>
      </c>
      <c r="W3337" s="182" t="n">
        <v>0</v>
      </c>
      <c r="X3337" s="182" t="n">
        <v>0</v>
      </c>
      <c r="Y3337" s="182" t="n">
        <v>0</v>
      </c>
      <c r="Z3337" s="182" t="n">
        <v>0</v>
      </c>
      <c r="AA3337" s="182" t="n">
        <v>0</v>
      </c>
      <c r="AB3337" s="182" t="n">
        <v>0</v>
      </c>
      <c r="AC3337" s="182" t="n">
        <v>0</v>
      </c>
      <c r="AD3337" s="182" t="n">
        <v>0</v>
      </c>
      <c r="AE3337" s="182" t="n">
        <v>0</v>
      </c>
      <c r="AF3337" s="182" t="n">
        <v>0</v>
      </c>
      <c r="AG3337" s="182" t="n">
        <v>0</v>
      </c>
      <c r="AH3337" s="182" t="n">
        <v>0</v>
      </c>
      <c r="AI3337" s="182" t="n">
        <v>0</v>
      </c>
      <c r="AJ3337" s="182" t="n">
        <v>0</v>
      </c>
      <c r="AK3337" s="182" t="n">
        <v>0</v>
      </c>
      <c r="AL3337" s="182" t="n">
        <v>0</v>
      </c>
      <c r="AM3337" s="182" t="n">
        <v>0</v>
      </c>
      <c r="AN3337" s="182" t="n">
        <v>0</v>
      </c>
    </row>
    <row r="3338">
      <c r="A3338" s="155" t="n">
        <v>46097</v>
      </c>
      <c r="B3338" s="156" t="inlineStr">
        <is>
          <t>DS</t>
        </is>
      </c>
      <c r="C3338" s="156" t="inlineStr">
        <is>
          <t>EX-2101</t>
        </is>
      </c>
      <c r="D3338" s="156" t="inlineStr">
        <is>
          <t>SY2000</t>
        </is>
      </c>
      <c r="E3338" s="156" t="inlineStr">
        <is>
          <t>Excavator</t>
        </is>
      </c>
      <c r="F3338" s="156" t="inlineStr">
        <is>
          <t>Loading OB</t>
        </is>
      </c>
      <c r="G3338" s="182" t="n">
        <v>6.48</v>
      </c>
      <c r="H3338" s="182" t="n">
        <v>0</v>
      </c>
      <c r="I3338" s="182" t="n">
        <v>1.25</v>
      </c>
      <c r="J3338" s="182" t="n">
        <v>1.25</v>
      </c>
      <c r="K3338" s="182" t="n">
        <v>4.27</v>
      </c>
      <c r="L3338" s="182" t="n">
        <v>12</v>
      </c>
      <c r="M3338" s="182" t="n">
        <v>6.48</v>
      </c>
      <c r="N3338" s="182" t="n">
        <v>0</v>
      </c>
      <c r="O3338" s="183" t="n">
        <v>100</v>
      </c>
      <c r="P3338" s="183" t="n">
        <v>0</v>
      </c>
      <c r="Q3338" s="184" t="n">
        <v>3294.6</v>
      </c>
      <c r="R3338" s="184" t="n">
        <v>0</v>
      </c>
      <c r="S3338" s="183" t="n">
        <v>0</v>
      </c>
      <c r="T3338" s="183" t="n">
        <v>0</v>
      </c>
      <c r="U3338" s="182" t="n">
        <v>1.11</v>
      </c>
      <c r="V3338" s="182" t="n">
        <v>1.19</v>
      </c>
      <c r="W3338" s="182" t="n">
        <v>0</v>
      </c>
      <c r="X3338" s="182" t="n">
        <v>0.95</v>
      </c>
      <c r="Y3338" s="182" t="n">
        <v>0</v>
      </c>
      <c r="Z3338" s="182" t="n">
        <v>0</v>
      </c>
      <c r="AA3338" s="182" t="n">
        <v>0</v>
      </c>
      <c r="AB3338" s="182" t="n">
        <v>0.95</v>
      </c>
      <c r="AC3338" s="182" t="n">
        <v>0</v>
      </c>
      <c r="AD3338" s="182" t="n">
        <v>0</v>
      </c>
      <c r="AE3338" s="182" t="n">
        <v>0</v>
      </c>
      <c r="AF3338" s="182" t="n">
        <v>0</v>
      </c>
      <c r="AG3338" s="182" t="n">
        <v>0</v>
      </c>
      <c r="AH3338" s="182" t="n">
        <v>0</v>
      </c>
      <c r="AI3338" s="182" t="n">
        <v>0</v>
      </c>
      <c r="AJ3338" s="182" t="n">
        <v>0</v>
      </c>
      <c r="AK3338" s="182" t="n">
        <v>0</v>
      </c>
      <c r="AL3338" s="182" t="n">
        <v>0</v>
      </c>
      <c r="AM3338" s="182" t="n">
        <v>0.08</v>
      </c>
      <c r="AN3338" s="182" t="n">
        <v>0</v>
      </c>
    </row>
    <row r="3339">
      <c r="A3339" s="155" t="n">
        <v>46097</v>
      </c>
      <c r="B3339" s="156" t="inlineStr">
        <is>
          <t>DS</t>
        </is>
      </c>
      <c r="C3339" s="156" t="inlineStr">
        <is>
          <t>EX-222</t>
        </is>
      </c>
      <c r="D3339" s="156" t="inlineStr">
        <is>
          <t>PC 200-8MI</t>
        </is>
      </c>
      <c r="E3339" s="156" t="inlineStr">
        <is>
          <t>Excavator</t>
        </is>
      </c>
      <c r="F3339" s="156" t="inlineStr">
        <is>
          <t>Sidecast Coal ke Hopper Washing &amp; Loading Tailing 2</t>
        </is>
      </c>
      <c r="G3339" s="182" t="n">
        <v>10.73</v>
      </c>
      <c r="H3339" s="182" t="n">
        <v>0</v>
      </c>
      <c r="I3339" s="182" t="n">
        <v>0</v>
      </c>
      <c r="J3339" s="182" t="n">
        <v>0</v>
      </c>
      <c r="K3339" s="182" t="n">
        <v>1.27</v>
      </c>
      <c r="L3339" s="182" t="n">
        <v>12</v>
      </c>
      <c r="M3339" s="182" t="n">
        <v>0</v>
      </c>
      <c r="N3339" s="182" t="n">
        <v>0</v>
      </c>
      <c r="O3339" s="183" t="n">
        <v>0</v>
      </c>
      <c r="P3339" s="183" t="n">
        <v>0</v>
      </c>
      <c r="Q3339" s="184" t="n">
        <v>0</v>
      </c>
      <c r="R3339" s="184" t="n">
        <v>0</v>
      </c>
      <c r="S3339" s="183" t="n">
        <v>0</v>
      </c>
      <c r="T3339" s="183" t="n">
        <v>0</v>
      </c>
      <c r="U3339" s="182" t="n">
        <v>0</v>
      </c>
      <c r="V3339" s="182" t="n">
        <v>0</v>
      </c>
      <c r="W3339" s="182" t="n">
        <v>0</v>
      </c>
      <c r="X3339" s="182" t="n">
        <v>0.51</v>
      </c>
      <c r="Y3339" s="182" t="n">
        <v>0</v>
      </c>
      <c r="Z3339" s="182" t="n">
        <v>0</v>
      </c>
      <c r="AA3339" s="182" t="n">
        <v>0</v>
      </c>
      <c r="AB3339" s="182" t="n">
        <v>0.71</v>
      </c>
      <c r="AC3339" s="182" t="n">
        <v>0</v>
      </c>
      <c r="AD3339" s="182" t="n">
        <v>0</v>
      </c>
      <c r="AE3339" s="182" t="n">
        <v>0</v>
      </c>
      <c r="AF3339" s="182" t="n">
        <v>0</v>
      </c>
      <c r="AG3339" s="182" t="n">
        <v>0</v>
      </c>
      <c r="AH3339" s="182" t="n">
        <v>0</v>
      </c>
      <c r="AI3339" s="182" t="n">
        <v>0</v>
      </c>
      <c r="AJ3339" s="182" t="n">
        <v>0</v>
      </c>
      <c r="AK3339" s="182" t="n">
        <v>0</v>
      </c>
      <c r="AL3339" s="182" t="n">
        <v>0</v>
      </c>
      <c r="AM3339" s="182" t="n">
        <v>0.06</v>
      </c>
      <c r="AN3339" s="182" t="n">
        <v>0</v>
      </c>
    </row>
    <row r="3340">
      <c r="A3340" s="155" t="n">
        <v>46097</v>
      </c>
      <c r="B3340" s="156" t="inlineStr">
        <is>
          <t>DS</t>
        </is>
      </c>
      <c r="C3340" s="156" t="inlineStr">
        <is>
          <t>EX-225</t>
        </is>
      </c>
      <c r="D3340" s="156" t="inlineStr">
        <is>
          <t>PC 200-8</t>
        </is>
      </c>
      <c r="E3340" s="156" t="inlineStr">
        <is>
          <t>Excavator</t>
        </is>
      </c>
      <c r="F3340" s="156" t="inlineStr"/>
      <c r="G3340" s="182" t="n">
        <v>0</v>
      </c>
      <c r="H3340" s="182" t="n">
        <v>0</v>
      </c>
      <c r="I3340" s="182" t="n">
        <v>12</v>
      </c>
      <c r="J3340" s="182" t="n">
        <v>12</v>
      </c>
      <c r="K3340" s="182" t="n">
        <v>0</v>
      </c>
      <c r="L3340" s="182" t="n">
        <v>12</v>
      </c>
      <c r="M3340" s="182" t="n">
        <v>0</v>
      </c>
      <c r="N3340" s="182" t="n">
        <v>0</v>
      </c>
      <c r="O3340" s="183" t="n">
        <v>0</v>
      </c>
      <c r="P3340" s="183" t="n">
        <v>0</v>
      </c>
      <c r="Q3340" s="184" t="n">
        <v>0</v>
      </c>
      <c r="R3340" s="184" t="n">
        <v>0</v>
      </c>
      <c r="S3340" s="183" t="n">
        <v>0</v>
      </c>
      <c r="T3340" s="183" t="n">
        <v>0</v>
      </c>
      <c r="U3340" s="182" t="n">
        <v>0</v>
      </c>
      <c r="V3340" s="182" t="n">
        <v>0</v>
      </c>
      <c r="W3340" s="182" t="n">
        <v>0</v>
      </c>
      <c r="X3340" s="182" t="n">
        <v>0</v>
      </c>
      <c r="Y3340" s="182" t="n">
        <v>0</v>
      </c>
      <c r="Z3340" s="182" t="n">
        <v>0</v>
      </c>
      <c r="AA3340" s="182" t="n">
        <v>0</v>
      </c>
      <c r="AB3340" s="182" t="n">
        <v>0</v>
      </c>
      <c r="AC3340" s="182" t="n">
        <v>0</v>
      </c>
      <c r="AD3340" s="182" t="n">
        <v>0</v>
      </c>
      <c r="AE3340" s="182" t="n">
        <v>0</v>
      </c>
      <c r="AF3340" s="182" t="n">
        <v>0</v>
      </c>
      <c r="AG3340" s="182" t="n">
        <v>0</v>
      </c>
      <c r="AH3340" s="182" t="n">
        <v>0</v>
      </c>
      <c r="AI3340" s="182" t="n">
        <v>0</v>
      </c>
      <c r="AJ3340" s="182" t="n">
        <v>0</v>
      </c>
      <c r="AK3340" s="182" t="n">
        <v>0</v>
      </c>
      <c r="AL3340" s="182" t="n">
        <v>0</v>
      </c>
      <c r="AM3340" s="182" t="n">
        <v>0</v>
      </c>
      <c r="AN3340" s="182" t="n">
        <v>0</v>
      </c>
    </row>
    <row r="3341">
      <c r="A3341" s="155" t="n">
        <v>46097</v>
      </c>
      <c r="B3341" s="156" t="inlineStr">
        <is>
          <t>DS</t>
        </is>
      </c>
      <c r="C3341" s="156" t="inlineStr">
        <is>
          <t>EX-223</t>
        </is>
      </c>
      <c r="D3341" s="156" t="inlineStr">
        <is>
          <t>PC 200-8MI</t>
        </is>
      </c>
      <c r="E3341" s="156" t="inlineStr">
        <is>
          <t>Excavator</t>
        </is>
      </c>
      <c r="F3341" s="156" t="inlineStr">
        <is>
          <t>General di Washing Plant</t>
        </is>
      </c>
      <c r="G3341" s="182" t="n">
        <v>8.49</v>
      </c>
      <c r="H3341" s="182" t="n">
        <v>0</v>
      </c>
      <c r="I3341" s="182" t="n">
        <v>0</v>
      </c>
      <c r="J3341" s="182" t="n">
        <v>0</v>
      </c>
      <c r="K3341" s="182" t="n">
        <v>3.51</v>
      </c>
      <c r="L3341" s="182" t="n">
        <v>12</v>
      </c>
      <c r="M3341" s="182" t="n">
        <v>0</v>
      </c>
      <c r="N3341" s="182" t="n">
        <v>0</v>
      </c>
      <c r="O3341" s="183" t="n">
        <v>0</v>
      </c>
      <c r="P3341" s="183" t="n">
        <v>0</v>
      </c>
      <c r="Q3341" s="184" t="n">
        <v>0</v>
      </c>
      <c r="R3341" s="184" t="n">
        <v>0</v>
      </c>
      <c r="S3341" s="183" t="n">
        <v>0</v>
      </c>
      <c r="T3341" s="183" t="n">
        <v>0</v>
      </c>
      <c r="U3341" s="182" t="n">
        <v>0</v>
      </c>
      <c r="V3341" s="182" t="n">
        <v>0</v>
      </c>
      <c r="W3341" s="182" t="n">
        <v>0</v>
      </c>
      <c r="X3341" s="182" t="n">
        <v>1.1</v>
      </c>
      <c r="Y3341" s="182" t="n">
        <v>0</v>
      </c>
      <c r="Z3341" s="182" t="n">
        <v>0</v>
      </c>
      <c r="AA3341" s="182" t="n">
        <v>0</v>
      </c>
      <c r="AB3341" s="182" t="n">
        <v>1.1</v>
      </c>
      <c r="AC3341" s="182" t="n">
        <v>0</v>
      </c>
      <c r="AD3341" s="182" t="n">
        <v>0</v>
      </c>
      <c r="AE3341" s="182" t="n">
        <v>0</v>
      </c>
      <c r="AF3341" s="182" t="n">
        <v>0</v>
      </c>
      <c r="AG3341" s="182" t="n">
        <v>0</v>
      </c>
      <c r="AH3341" s="182" t="n">
        <v>0</v>
      </c>
      <c r="AI3341" s="182" t="n">
        <v>0</v>
      </c>
      <c r="AJ3341" s="182" t="n">
        <v>0</v>
      </c>
      <c r="AK3341" s="182" t="n">
        <v>1.23</v>
      </c>
      <c r="AL3341" s="182" t="n">
        <v>0</v>
      </c>
      <c r="AM3341" s="182" t="n">
        <v>0.09</v>
      </c>
      <c r="AN3341" s="182" t="n">
        <v>0</v>
      </c>
    </row>
    <row r="3342">
      <c r="A3342" s="155" t="n">
        <v>46097</v>
      </c>
      <c r="B3342" s="156" t="inlineStr">
        <is>
          <t>DS</t>
        </is>
      </c>
      <c r="C3342" s="156" t="inlineStr">
        <is>
          <t>EX-221</t>
        </is>
      </c>
      <c r="D3342" s="156" t="inlineStr">
        <is>
          <t>PC 200-8MI</t>
        </is>
      </c>
      <c r="E3342" s="156" t="inlineStr">
        <is>
          <t>Excavator</t>
        </is>
      </c>
      <c r="F3342" s="156" t="inlineStr">
        <is>
          <t>General Jetty</t>
        </is>
      </c>
      <c r="G3342" s="182" t="n">
        <v>8</v>
      </c>
      <c r="H3342" s="182" t="n">
        <v>0</v>
      </c>
      <c r="I3342" s="182" t="n">
        <v>0</v>
      </c>
      <c r="J3342" s="182" t="n">
        <v>0</v>
      </c>
      <c r="K3342" s="182" t="n">
        <v>4</v>
      </c>
      <c r="L3342" s="182" t="n">
        <v>12</v>
      </c>
      <c r="M3342" s="182" t="n">
        <v>0</v>
      </c>
      <c r="N3342" s="182" t="n">
        <v>0</v>
      </c>
      <c r="O3342" s="183" t="n">
        <v>0</v>
      </c>
      <c r="P3342" s="183" t="n">
        <v>0</v>
      </c>
      <c r="Q3342" s="184" t="n">
        <v>0</v>
      </c>
      <c r="R3342" s="184" t="n">
        <v>0</v>
      </c>
      <c r="S3342" s="183" t="n">
        <v>0</v>
      </c>
      <c r="T3342" s="183" t="n">
        <v>0</v>
      </c>
      <c r="U3342" s="182" t="n">
        <v>0</v>
      </c>
      <c r="V3342" s="182" t="n">
        <v>0</v>
      </c>
      <c r="W3342" s="182" t="n">
        <v>0</v>
      </c>
      <c r="X3342" s="182" t="n">
        <v>0.95</v>
      </c>
      <c r="Y3342" s="182" t="n">
        <v>0</v>
      </c>
      <c r="Z3342" s="182" t="n">
        <v>0</v>
      </c>
      <c r="AA3342" s="182" t="n">
        <v>0</v>
      </c>
      <c r="AB3342" s="182" t="n">
        <v>0.95</v>
      </c>
      <c r="AC3342" s="182" t="n">
        <v>0</v>
      </c>
      <c r="AD3342" s="182" t="n">
        <v>0</v>
      </c>
      <c r="AE3342" s="182" t="n">
        <v>0</v>
      </c>
      <c r="AF3342" s="182" t="n">
        <v>0</v>
      </c>
      <c r="AG3342" s="182" t="n">
        <v>0</v>
      </c>
      <c r="AH3342" s="182" t="n">
        <v>0</v>
      </c>
      <c r="AI3342" s="182" t="n">
        <v>0</v>
      </c>
      <c r="AJ3342" s="182" t="n">
        <v>0</v>
      </c>
      <c r="AK3342" s="182" t="n">
        <v>2.02</v>
      </c>
      <c r="AL3342" s="182" t="n">
        <v>0</v>
      </c>
      <c r="AM3342" s="182" t="n">
        <v>0.08</v>
      </c>
      <c r="AN3342" s="182" t="n">
        <v>0</v>
      </c>
    </row>
    <row r="3343">
      <c r="A3343" s="155" t="n">
        <v>46097</v>
      </c>
      <c r="B3343" s="156" t="inlineStr">
        <is>
          <t>DS</t>
        </is>
      </c>
      <c r="C3343" s="156" t="inlineStr">
        <is>
          <t>EX-331</t>
        </is>
      </c>
      <c r="D3343" s="156" t="inlineStr">
        <is>
          <t>PC 300-8MO</t>
        </is>
      </c>
      <c r="E3343" s="156" t="inlineStr">
        <is>
          <t>Excavator</t>
        </is>
      </c>
      <c r="F3343" s="156" t="inlineStr"/>
      <c r="G3343" s="182" t="n">
        <v>0</v>
      </c>
      <c r="H3343" s="182" t="n">
        <v>0</v>
      </c>
      <c r="I3343" s="182" t="n">
        <v>12</v>
      </c>
      <c r="J3343" s="182" t="n">
        <v>12</v>
      </c>
      <c r="K3343" s="182" t="n">
        <v>0</v>
      </c>
      <c r="L3343" s="182" t="n">
        <v>12</v>
      </c>
      <c r="M3343" s="182" t="n">
        <v>0</v>
      </c>
      <c r="N3343" s="182" t="n">
        <v>0</v>
      </c>
      <c r="O3343" s="183" t="n">
        <v>0</v>
      </c>
      <c r="P3343" s="183" t="n">
        <v>0</v>
      </c>
      <c r="Q3343" s="184" t="n">
        <v>0</v>
      </c>
      <c r="R3343" s="184" t="n">
        <v>0</v>
      </c>
      <c r="S3343" s="183" t="n">
        <v>0</v>
      </c>
      <c r="T3343" s="183" t="n">
        <v>0</v>
      </c>
      <c r="U3343" s="182" t="n">
        <v>0</v>
      </c>
      <c r="V3343" s="182" t="n">
        <v>0</v>
      </c>
      <c r="W3343" s="182" t="n">
        <v>0</v>
      </c>
      <c r="X3343" s="182" t="n">
        <v>0</v>
      </c>
      <c r="Y3343" s="182" t="n">
        <v>0</v>
      </c>
      <c r="Z3343" s="182" t="n">
        <v>0</v>
      </c>
      <c r="AA3343" s="182" t="n">
        <v>0</v>
      </c>
      <c r="AB3343" s="182" t="n">
        <v>0</v>
      </c>
      <c r="AC3343" s="182" t="n">
        <v>0</v>
      </c>
      <c r="AD3343" s="182" t="n">
        <v>0</v>
      </c>
      <c r="AE3343" s="182" t="n">
        <v>0</v>
      </c>
      <c r="AF3343" s="182" t="n">
        <v>0</v>
      </c>
      <c r="AG3343" s="182" t="n">
        <v>0</v>
      </c>
      <c r="AH3343" s="182" t="n">
        <v>0</v>
      </c>
      <c r="AI3343" s="182" t="n">
        <v>0</v>
      </c>
      <c r="AJ3343" s="182" t="n">
        <v>0</v>
      </c>
      <c r="AK3343" s="182" t="n">
        <v>0</v>
      </c>
      <c r="AL3343" s="182" t="n">
        <v>0</v>
      </c>
      <c r="AM3343" s="182" t="n">
        <v>0</v>
      </c>
      <c r="AN3343" s="182" t="n">
        <v>0</v>
      </c>
    </row>
    <row r="3344">
      <c r="A3344" s="155" t="n">
        <v>46097</v>
      </c>
      <c r="B3344" s="156" t="inlineStr">
        <is>
          <t>DS</t>
        </is>
      </c>
      <c r="C3344" s="156" t="inlineStr">
        <is>
          <t>EX-334</t>
        </is>
      </c>
      <c r="D3344" s="156" t="inlineStr">
        <is>
          <t>PC 300-8MO</t>
        </is>
      </c>
      <c r="E3344" s="156" t="inlineStr">
        <is>
          <t>Excavator</t>
        </is>
      </c>
      <c r="F3344" s="156" t="inlineStr">
        <is>
          <t>Loading Coal Hauling di Stock ROM</t>
        </is>
      </c>
      <c r="G3344" s="182" t="n">
        <v>9.859999999999999</v>
      </c>
      <c r="H3344" s="182" t="n">
        <v>0</v>
      </c>
      <c r="I3344" s="182" t="n">
        <v>0</v>
      </c>
      <c r="J3344" s="182" t="n">
        <v>0</v>
      </c>
      <c r="K3344" s="182" t="n">
        <v>2.14</v>
      </c>
      <c r="L3344" s="182" t="n">
        <v>12</v>
      </c>
      <c r="M3344" s="182" t="n">
        <v>0</v>
      </c>
      <c r="N3344" s="182" t="n">
        <v>0</v>
      </c>
      <c r="O3344" s="183" t="n">
        <v>0</v>
      </c>
      <c r="P3344" s="183" t="n">
        <v>0</v>
      </c>
      <c r="Q3344" s="184" t="n">
        <v>0</v>
      </c>
      <c r="R3344" s="184" t="n">
        <v>0</v>
      </c>
      <c r="S3344" s="183" t="n">
        <v>0</v>
      </c>
      <c r="T3344" s="183" t="n">
        <v>0</v>
      </c>
      <c r="U3344" s="182" t="n">
        <v>0.12</v>
      </c>
      <c r="V3344" s="182" t="n">
        <v>0</v>
      </c>
      <c r="W3344" s="182" t="n">
        <v>0</v>
      </c>
      <c r="X3344" s="182" t="n">
        <v>0.97</v>
      </c>
      <c r="Y3344" s="182" t="n">
        <v>0</v>
      </c>
      <c r="Z3344" s="182" t="n">
        <v>0</v>
      </c>
      <c r="AA3344" s="182" t="n">
        <v>0</v>
      </c>
      <c r="AB3344" s="182" t="n">
        <v>0.97</v>
      </c>
      <c r="AC3344" s="182" t="n">
        <v>0</v>
      </c>
      <c r="AD3344" s="182" t="n">
        <v>0</v>
      </c>
      <c r="AE3344" s="182" t="n">
        <v>0</v>
      </c>
      <c r="AF3344" s="182" t="n">
        <v>0</v>
      </c>
      <c r="AG3344" s="182" t="n">
        <v>0</v>
      </c>
      <c r="AH3344" s="182" t="n">
        <v>0</v>
      </c>
      <c r="AI3344" s="182" t="n">
        <v>0</v>
      </c>
      <c r="AJ3344" s="182" t="n">
        <v>0</v>
      </c>
      <c r="AK3344" s="182" t="n">
        <v>0</v>
      </c>
      <c r="AL3344" s="182" t="n">
        <v>0</v>
      </c>
      <c r="AM3344" s="182" t="n">
        <v>0.08</v>
      </c>
      <c r="AN3344" s="182" t="n">
        <v>0</v>
      </c>
    </row>
    <row r="3345">
      <c r="A3345" s="155" t="n">
        <v>46097</v>
      </c>
      <c r="B3345" s="156" t="inlineStr">
        <is>
          <t>DS</t>
        </is>
      </c>
      <c r="C3345" s="156" t="inlineStr">
        <is>
          <t>EX-332</t>
        </is>
      </c>
      <c r="D3345" s="156" t="inlineStr">
        <is>
          <t>PC 300-8MO</t>
        </is>
      </c>
      <c r="E3345" s="156" t="inlineStr">
        <is>
          <t>Excavator</t>
        </is>
      </c>
      <c r="F3345" s="156" t="inlineStr"/>
      <c r="G3345" s="182" t="n">
        <v>0</v>
      </c>
      <c r="H3345" s="182" t="n">
        <v>0</v>
      </c>
      <c r="I3345" s="182" t="n">
        <v>12</v>
      </c>
      <c r="J3345" s="182" t="n">
        <v>12</v>
      </c>
      <c r="K3345" s="182" t="n">
        <v>0</v>
      </c>
      <c r="L3345" s="182" t="n">
        <v>12</v>
      </c>
      <c r="M3345" s="182" t="n">
        <v>0</v>
      </c>
      <c r="N3345" s="182" t="n">
        <v>0</v>
      </c>
      <c r="O3345" s="183" t="n">
        <v>0</v>
      </c>
      <c r="P3345" s="183" t="n">
        <v>0</v>
      </c>
      <c r="Q3345" s="184" t="n">
        <v>0</v>
      </c>
      <c r="R3345" s="184" t="n">
        <v>0</v>
      </c>
      <c r="S3345" s="183" t="n">
        <v>0</v>
      </c>
      <c r="T3345" s="183" t="n">
        <v>0</v>
      </c>
      <c r="U3345" s="182" t="n">
        <v>0</v>
      </c>
      <c r="V3345" s="182" t="n">
        <v>0</v>
      </c>
      <c r="W3345" s="182" t="n">
        <v>0</v>
      </c>
      <c r="X3345" s="182" t="n">
        <v>0</v>
      </c>
      <c r="Y3345" s="182" t="n">
        <v>0</v>
      </c>
      <c r="Z3345" s="182" t="n">
        <v>0</v>
      </c>
      <c r="AA3345" s="182" t="n">
        <v>0</v>
      </c>
      <c r="AB3345" s="182" t="n">
        <v>0</v>
      </c>
      <c r="AC3345" s="182" t="n">
        <v>0</v>
      </c>
      <c r="AD3345" s="182" t="n">
        <v>0</v>
      </c>
      <c r="AE3345" s="182" t="n">
        <v>0</v>
      </c>
      <c r="AF3345" s="182" t="n">
        <v>0</v>
      </c>
      <c r="AG3345" s="182" t="n">
        <v>0</v>
      </c>
      <c r="AH3345" s="182" t="n">
        <v>0</v>
      </c>
      <c r="AI3345" s="182" t="n">
        <v>0</v>
      </c>
      <c r="AJ3345" s="182" t="n">
        <v>0</v>
      </c>
      <c r="AK3345" s="182" t="n">
        <v>0</v>
      </c>
      <c r="AL3345" s="182" t="n">
        <v>0</v>
      </c>
      <c r="AM3345" s="182" t="n">
        <v>0</v>
      </c>
      <c r="AN3345" s="182" t="n">
        <v>0</v>
      </c>
    </row>
    <row r="3346">
      <c r="A3346" s="155" t="n">
        <v>46097</v>
      </c>
      <c r="B3346" s="156" t="inlineStr">
        <is>
          <t>DS</t>
        </is>
      </c>
      <c r="C3346" s="156" t="inlineStr">
        <is>
          <t>EX-333</t>
        </is>
      </c>
      <c r="D3346" s="156" t="inlineStr">
        <is>
          <t>PC 300-8MO</t>
        </is>
      </c>
      <c r="E3346" s="156" t="inlineStr">
        <is>
          <t>Excavator</t>
        </is>
      </c>
      <c r="F3346" s="156" t="inlineStr">
        <is>
          <t>Loading &amp; Cleaning S30 Dirty</t>
        </is>
      </c>
      <c r="G3346" s="182" t="n">
        <v>9.220000000000001</v>
      </c>
      <c r="H3346" s="182" t="n">
        <v>0</v>
      </c>
      <c r="I3346" s="182" t="n">
        <v>0.5</v>
      </c>
      <c r="J3346" s="182" t="n">
        <v>0.5</v>
      </c>
      <c r="K3346" s="182" t="n">
        <v>2.28</v>
      </c>
      <c r="L3346" s="182" t="n">
        <v>12</v>
      </c>
      <c r="M3346" s="182" t="n">
        <v>0</v>
      </c>
      <c r="N3346" s="182" t="n">
        <v>2.56</v>
      </c>
      <c r="O3346" s="183" t="n">
        <v>0</v>
      </c>
      <c r="P3346" s="183" t="n">
        <v>17</v>
      </c>
      <c r="Q3346" s="184" t="n">
        <v>0</v>
      </c>
      <c r="R3346" s="184" t="n">
        <v>260.1</v>
      </c>
      <c r="S3346" s="183" t="n">
        <v>0</v>
      </c>
      <c r="T3346" s="183" t="n">
        <v>0</v>
      </c>
      <c r="U3346" s="182" t="n">
        <v>0</v>
      </c>
      <c r="V3346" s="182" t="n">
        <v>0</v>
      </c>
      <c r="W3346" s="182" t="n">
        <v>0</v>
      </c>
      <c r="X3346" s="182" t="n">
        <v>0.91</v>
      </c>
      <c r="Y3346" s="182" t="n">
        <v>0</v>
      </c>
      <c r="Z3346" s="182" t="n">
        <v>0</v>
      </c>
      <c r="AA3346" s="182" t="n">
        <v>0</v>
      </c>
      <c r="AB3346" s="182" t="n">
        <v>0.91</v>
      </c>
      <c r="AC3346" s="182" t="n">
        <v>0</v>
      </c>
      <c r="AD3346" s="182" t="n">
        <v>0</v>
      </c>
      <c r="AE3346" s="182" t="n">
        <v>0</v>
      </c>
      <c r="AF3346" s="182" t="n">
        <v>0</v>
      </c>
      <c r="AG3346" s="182" t="n">
        <v>0</v>
      </c>
      <c r="AH3346" s="182" t="n">
        <v>0</v>
      </c>
      <c r="AI3346" s="182" t="n">
        <v>0</v>
      </c>
      <c r="AJ3346" s="182" t="n">
        <v>0</v>
      </c>
      <c r="AK3346" s="182" t="n">
        <v>0.38</v>
      </c>
      <c r="AL3346" s="182" t="n">
        <v>0</v>
      </c>
      <c r="AM3346" s="182" t="n">
        <v>0.07000000000000001</v>
      </c>
      <c r="AN3346" s="182" t="n">
        <v>0</v>
      </c>
    </row>
    <row r="3347">
      <c r="A3347" s="155" t="n">
        <v>46097</v>
      </c>
      <c r="B3347" s="156" t="inlineStr">
        <is>
          <t>DS</t>
        </is>
      </c>
      <c r="C3347" s="156" t="inlineStr">
        <is>
          <t>EX-336</t>
        </is>
      </c>
      <c r="D3347" s="156" t="inlineStr">
        <is>
          <t>PC 300-8MO</t>
        </is>
      </c>
      <c r="E3347" s="156" t="inlineStr">
        <is>
          <t>Excavator</t>
        </is>
      </c>
      <c r="F3347" s="156" t="inlineStr"/>
      <c r="G3347" s="182" t="n">
        <v>0</v>
      </c>
      <c r="H3347" s="182" t="n">
        <v>0</v>
      </c>
      <c r="I3347" s="182" t="n">
        <v>12</v>
      </c>
      <c r="J3347" s="182" t="n">
        <v>12</v>
      </c>
      <c r="K3347" s="182" t="n">
        <v>0</v>
      </c>
      <c r="L3347" s="182" t="n">
        <v>12</v>
      </c>
      <c r="M3347" s="182" t="n">
        <v>0</v>
      </c>
      <c r="N3347" s="182" t="n">
        <v>0</v>
      </c>
      <c r="O3347" s="183" t="n">
        <v>0</v>
      </c>
      <c r="P3347" s="183" t="n">
        <v>0</v>
      </c>
      <c r="Q3347" s="184" t="n">
        <v>0</v>
      </c>
      <c r="R3347" s="184" t="n">
        <v>0</v>
      </c>
      <c r="S3347" s="183" t="n">
        <v>0</v>
      </c>
      <c r="T3347" s="183" t="n">
        <v>0</v>
      </c>
      <c r="U3347" s="182" t="n">
        <v>0</v>
      </c>
      <c r="V3347" s="182" t="n">
        <v>0</v>
      </c>
      <c r="W3347" s="182" t="n">
        <v>0</v>
      </c>
      <c r="X3347" s="182" t="n">
        <v>0</v>
      </c>
      <c r="Y3347" s="182" t="n">
        <v>0</v>
      </c>
      <c r="Z3347" s="182" t="n">
        <v>0</v>
      </c>
      <c r="AA3347" s="182" t="n">
        <v>0</v>
      </c>
      <c r="AB3347" s="182" t="n">
        <v>0</v>
      </c>
      <c r="AC3347" s="182" t="n">
        <v>0</v>
      </c>
      <c r="AD3347" s="182" t="n">
        <v>0</v>
      </c>
      <c r="AE3347" s="182" t="n">
        <v>0</v>
      </c>
      <c r="AF3347" s="182" t="n">
        <v>0</v>
      </c>
      <c r="AG3347" s="182" t="n">
        <v>0</v>
      </c>
      <c r="AH3347" s="182" t="n">
        <v>0</v>
      </c>
      <c r="AI3347" s="182" t="n">
        <v>0</v>
      </c>
      <c r="AJ3347" s="182" t="n">
        <v>0</v>
      </c>
      <c r="AK3347" s="182" t="n">
        <v>0</v>
      </c>
      <c r="AL3347" s="182" t="n">
        <v>0</v>
      </c>
      <c r="AM3347" s="182" t="n">
        <v>0</v>
      </c>
      <c r="AN3347" s="182" t="n">
        <v>0</v>
      </c>
    </row>
    <row r="3348">
      <c r="A3348" s="155" t="n">
        <v>46097</v>
      </c>
      <c r="B3348" s="156" t="inlineStr">
        <is>
          <t>DS</t>
        </is>
      </c>
      <c r="C3348" s="156" t="inlineStr">
        <is>
          <t>EX-335</t>
        </is>
      </c>
      <c r="D3348" s="156" t="inlineStr">
        <is>
          <t>PC 300-8MO</t>
        </is>
      </c>
      <c r="E3348" s="156" t="inlineStr">
        <is>
          <t>Excavator</t>
        </is>
      </c>
      <c r="F3348" s="156" t="inlineStr">
        <is>
          <t>Coal Cleaning</t>
        </is>
      </c>
      <c r="G3348" s="182" t="n">
        <v>3.98</v>
      </c>
      <c r="H3348" s="182" t="n">
        <v>0</v>
      </c>
      <c r="I3348" s="182" t="n">
        <v>4.5</v>
      </c>
      <c r="J3348" s="182" t="n">
        <v>4.5</v>
      </c>
      <c r="K3348" s="182" t="n">
        <v>3.52</v>
      </c>
      <c r="L3348" s="182" t="n">
        <v>12</v>
      </c>
      <c r="M3348" s="182" t="n">
        <v>0</v>
      </c>
      <c r="N3348" s="182" t="n">
        <v>0</v>
      </c>
      <c r="O3348" s="183" t="n">
        <v>0</v>
      </c>
      <c r="P3348" s="183" t="n">
        <v>0</v>
      </c>
      <c r="Q3348" s="184" t="n">
        <v>0</v>
      </c>
      <c r="R3348" s="184" t="n">
        <v>0</v>
      </c>
      <c r="S3348" s="183" t="n">
        <v>0</v>
      </c>
      <c r="T3348" s="183" t="n">
        <v>0</v>
      </c>
      <c r="U3348" s="182" t="n">
        <v>0</v>
      </c>
      <c r="V3348" s="182" t="n">
        <v>0</v>
      </c>
      <c r="W3348" s="182" t="n">
        <v>0</v>
      </c>
      <c r="X3348" s="182" t="n">
        <v>0.98</v>
      </c>
      <c r="Y3348" s="182" t="n">
        <v>0</v>
      </c>
      <c r="Z3348" s="182" t="n">
        <v>0</v>
      </c>
      <c r="AA3348" s="182" t="n">
        <v>0</v>
      </c>
      <c r="AB3348" s="182" t="n">
        <v>0.98</v>
      </c>
      <c r="AC3348" s="182" t="n">
        <v>0</v>
      </c>
      <c r="AD3348" s="182" t="n">
        <v>0</v>
      </c>
      <c r="AE3348" s="182" t="n">
        <v>0</v>
      </c>
      <c r="AF3348" s="182" t="n">
        <v>0</v>
      </c>
      <c r="AG3348" s="182" t="n">
        <v>0</v>
      </c>
      <c r="AH3348" s="182" t="n">
        <v>0</v>
      </c>
      <c r="AI3348" s="182" t="n">
        <v>0</v>
      </c>
      <c r="AJ3348" s="182" t="n">
        <v>0</v>
      </c>
      <c r="AK3348" s="182" t="n">
        <v>1.49</v>
      </c>
      <c r="AL3348" s="182" t="n">
        <v>0</v>
      </c>
      <c r="AM3348" s="182" t="n">
        <v>0.08</v>
      </c>
      <c r="AN3348" s="182" t="n">
        <v>0</v>
      </c>
    </row>
    <row r="3349">
      <c r="A3349" s="155" t="n">
        <v>46097</v>
      </c>
      <c r="B3349" s="156" t="inlineStr">
        <is>
          <t>DS</t>
        </is>
      </c>
      <c r="C3349" s="156" t="inlineStr">
        <is>
          <t>EX-754</t>
        </is>
      </c>
      <c r="D3349" s="156" t="inlineStr">
        <is>
          <t>SY750H-PRO</t>
        </is>
      </c>
      <c r="E3349" s="156" t="inlineStr">
        <is>
          <t>Excavator</t>
        </is>
      </c>
      <c r="F3349" s="156" t="inlineStr">
        <is>
          <t>Loading Spoil &amp; OB</t>
        </is>
      </c>
      <c r="G3349" s="182" t="n">
        <v>7.05</v>
      </c>
      <c r="H3349" s="182" t="n">
        <v>0</v>
      </c>
      <c r="I3349" s="182" t="n">
        <v>0</v>
      </c>
      <c r="J3349" s="182" t="n">
        <v>0</v>
      </c>
      <c r="K3349" s="182" t="n">
        <v>4.95</v>
      </c>
      <c r="L3349" s="182" t="n">
        <v>12</v>
      </c>
      <c r="M3349" s="182" t="n">
        <v>4.54</v>
      </c>
      <c r="N3349" s="182" t="n">
        <v>0</v>
      </c>
      <c r="O3349" s="183" t="n">
        <v>68</v>
      </c>
      <c r="P3349" s="183" t="n">
        <v>0</v>
      </c>
      <c r="Q3349" s="184" t="n">
        <v>1387.2</v>
      </c>
      <c r="R3349" s="184" t="n">
        <v>0</v>
      </c>
      <c r="S3349" s="183" t="n">
        <v>0</v>
      </c>
      <c r="T3349" s="183" t="n">
        <v>0</v>
      </c>
      <c r="U3349" s="182" t="n">
        <v>1.2</v>
      </c>
      <c r="V3349" s="182" t="n">
        <v>0.9399999999999999</v>
      </c>
      <c r="W3349" s="182" t="n">
        <v>0</v>
      </c>
      <c r="X3349" s="182" t="n">
        <v>1.02</v>
      </c>
      <c r="Y3349" s="182" t="n">
        <v>0</v>
      </c>
      <c r="Z3349" s="182" t="n">
        <v>0</v>
      </c>
      <c r="AA3349" s="182" t="n">
        <v>0</v>
      </c>
      <c r="AB3349" s="182" t="n">
        <v>1.02</v>
      </c>
      <c r="AC3349" s="182" t="n">
        <v>0</v>
      </c>
      <c r="AD3349" s="182" t="n">
        <v>0</v>
      </c>
      <c r="AE3349" s="182" t="n">
        <v>0</v>
      </c>
      <c r="AF3349" s="182" t="n">
        <v>0</v>
      </c>
      <c r="AG3349" s="182" t="n">
        <v>0.17</v>
      </c>
      <c r="AH3349" s="182" t="n">
        <v>0.52</v>
      </c>
      <c r="AI3349" s="182" t="n">
        <v>0</v>
      </c>
      <c r="AJ3349" s="182" t="n">
        <v>0</v>
      </c>
      <c r="AK3349" s="182" t="n">
        <v>0</v>
      </c>
      <c r="AL3349" s="182" t="n">
        <v>0</v>
      </c>
      <c r="AM3349" s="182" t="n">
        <v>0.08</v>
      </c>
      <c r="AN3349" s="182" t="n">
        <v>0</v>
      </c>
    </row>
    <row r="3350">
      <c r="A3350" s="155" t="n">
        <v>46097</v>
      </c>
      <c r="B3350" s="156" t="inlineStr">
        <is>
          <t>DS</t>
        </is>
      </c>
      <c r="C3350" s="156" t="inlineStr">
        <is>
          <t>EX-755</t>
        </is>
      </c>
      <c r="D3350" s="156" t="inlineStr">
        <is>
          <t>SY750H-PRO</t>
        </is>
      </c>
      <c r="E3350" s="156" t="inlineStr">
        <is>
          <t>Excavator</t>
        </is>
      </c>
      <c r="F3350" s="156" t="inlineStr">
        <is>
          <t>Loading Spoil Blend &amp; OB</t>
        </is>
      </c>
      <c r="G3350" s="182" t="n">
        <v>8.470000000000001</v>
      </c>
      <c r="H3350" s="182" t="n">
        <v>0</v>
      </c>
      <c r="I3350" s="182" t="n">
        <v>0</v>
      </c>
      <c r="J3350" s="182" t="n">
        <v>0</v>
      </c>
      <c r="K3350" s="182" t="n">
        <v>3.53</v>
      </c>
      <c r="L3350" s="182" t="n">
        <v>12</v>
      </c>
      <c r="M3350" s="182" t="n">
        <v>8.470000000000001</v>
      </c>
      <c r="N3350" s="182" t="n">
        <v>0</v>
      </c>
      <c r="O3350" s="183" t="n">
        <v>83</v>
      </c>
      <c r="P3350" s="183" t="n">
        <v>0</v>
      </c>
      <c r="Q3350" s="184" t="n">
        <v>1644.2</v>
      </c>
      <c r="R3350" s="184" t="n">
        <v>0</v>
      </c>
      <c r="S3350" s="183" t="n">
        <v>0</v>
      </c>
      <c r="T3350" s="183" t="n">
        <v>0</v>
      </c>
      <c r="U3350" s="182" t="n">
        <v>1.02</v>
      </c>
      <c r="V3350" s="182" t="n">
        <v>0.7</v>
      </c>
      <c r="W3350" s="182" t="n">
        <v>0</v>
      </c>
      <c r="X3350" s="182" t="n">
        <v>0.87</v>
      </c>
      <c r="Y3350" s="182" t="n">
        <v>0</v>
      </c>
      <c r="Z3350" s="182" t="n">
        <v>0</v>
      </c>
      <c r="AA3350" s="182" t="n">
        <v>0</v>
      </c>
      <c r="AB3350" s="182" t="n">
        <v>0.87</v>
      </c>
      <c r="AC3350" s="182" t="n">
        <v>0</v>
      </c>
      <c r="AD3350" s="182" t="n">
        <v>0</v>
      </c>
      <c r="AE3350" s="182" t="n">
        <v>0</v>
      </c>
      <c r="AF3350" s="182" t="n">
        <v>0</v>
      </c>
      <c r="AG3350" s="182" t="n">
        <v>0</v>
      </c>
      <c r="AH3350" s="182" t="n">
        <v>0</v>
      </c>
      <c r="AI3350" s="182" t="n">
        <v>0</v>
      </c>
      <c r="AJ3350" s="182" t="n">
        <v>0</v>
      </c>
      <c r="AK3350" s="182" t="n">
        <v>0</v>
      </c>
      <c r="AL3350" s="182" t="n">
        <v>0</v>
      </c>
      <c r="AM3350" s="182" t="n">
        <v>0.07000000000000001</v>
      </c>
      <c r="AN3350" s="182" t="n">
        <v>0</v>
      </c>
    </row>
    <row r="3351">
      <c r="A3351" s="155" t="n">
        <v>46097</v>
      </c>
      <c r="B3351" s="156" t="inlineStr">
        <is>
          <t>DS</t>
        </is>
      </c>
      <c r="C3351" s="156" t="inlineStr">
        <is>
          <t>EX-752</t>
        </is>
      </c>
      <c r="D3351" s="156" t="inlineStr">
        <is>
          <t>SY750H-PRO</t>
        </is>
      </c>
      <c r="E3351" s="156" t="inlineStr">
        <is>
          <t>Excavator</t>
        </is>
      </c>
      <c r="F3351" s="156" t="inlineStr"/>
      <c r="G3351" s="182" t="n">
        <v>0</v>
      </c>
      <c r="H3351" s="182" t="n">
        <v>0</v>
      </c>
      <c r="I3351" s="182" t="n">
        <v>12</v>
      </c>
      <c r="J3351" s="182" t="n">
        <v>12</v>
      </c>
      <c r="K3351" s="182" t="n">
        <v>0</v>
      </c>
      <c r="L3351" s="182" t="n">
        <v>12</v>
      </c>
      <c r="M3351" s="182" t="n">
        <v>0</v>
      </c>
      <c r="N3351" s="182" t="n">
        <v>0</v>
      </c>
      <c r="O3351" s="183" t="n">
        <v>0</v>
      </c>
      <c r="P3351" s="183" t="n">
        <v>0</v>
      </c>
      <c r="Q3351" s="184" t="n">
        <v>0</v>
      </c>
      <c r="R3351" s="184" t="n">
        <v>0</v>
      </c>
      <c r="S3351" s="183" t="n">
        <v>0</v>
      </c>
      <c r="T3351" s="183" t="n">
        <v>0</v>
      </c>
      <c r="U3351" s="182" t="n">
        <v>0</v>
      </c>
      <c r="V3351" s="182" t="n">
        <v>0</v>
      </c>
      <c r="W3351" s="182" t="n">
        <v>0</v>
      </c>
      <c r="X3351" s="182" t="n">
        <v>0</v>
      </c>
      <c r="Y3351" s="182" t="n">
        <v>0</v>
      </c>
      <c r="Z3351" s="182" t="n">
        <v>0</v>
      </c>
      <c r="AA3351" s="182" t="n">
        <v>0</v>
      </c>
      <c r="AB3351" s="182" t="n">
        <v>0</v>
      </c>
      <c r="AC3351" s="182" t="n">
        <v>0</v>
      </c>
      <c r="AD3351" s="182" t="n">
        <v>0</v>
      </c>
      <c r="AE3351" s="182" t="n">
        <v>0</v>
      </c>
      <c r="AF3351" s="182" t="n">
        <v>0</v>
      </c>
      <c r="AG3351" s="182" t="n">
        <v>0</v>
      </c>
      <c r="AH3351" s="182" t="n">
        <v>0</v>
      </c>
      <c r="AI3351" s="182" t="n">
        <v>0</v>
      </c>
      <c r="AJ3351" s="182" t="n">
        <v>0</v>
      </c>
      <c r="AK3351" s="182" t="n">
        <v>0</v>
      </c>
      <c r="AL3351" s="182" t="n">
        <v>0</v>
      </c>
      <c r="AM3351" s="182" t="n">
        <v>0</v>
      </c>
      <c r="AN3351" s="182" t="n">
        <v>0</v>
      </c>
    </row>
    <row r="3352">
      <c r="A3352" s="155" t="n">
        <v>46097</v>
      </c>
      <c r="B3352" s="156" t="inlineStr">
        <is>
          <t>DS</t>
        </is>
      </c>
      <c r="C3352" s="156" t="inlineStr">
        <is>
          <t>EX-751</t>
        </is>
      </c>
      <c r="D3352" s="156" t="inlineStr">
        <is>
          <t>SY750H-PRO</t>
        </is>
      </c>
      <c r="E3352" s="156" t="inlineStr">
        <is>
          <t>Excavator</t>
        </is>
      </c>
      <c r="F3352" s="156" t="inlineStr"/>
      <c r="G3352" s="182" t="n">
        <v>0</v>
      </c>
      <c r="H3352" s="182" t="n">
        <v>0</v>
      </c>
      <c r="I3352" s="182" t="n">
        <v>12</v>
      </c>
      <c r="J3352" s="182" t="n">
        <v>12</v>
      </c>
      <c r="K3352" s="182" t="n">
        <v>0</v>
      </c>
      <c r="L3352" s="182" t="n">
        <v>12</v>
      </c>
      <c r="M3352" s="182" t="n">
        <v>0</v>
      </c>
      <c r="N3352" s="182" t="n">
        <v>0</v>
      </c>
      <c r="O3352" s="183" t="n">
        <v>0</v>
      </c>
      <c r="P3352" s="183" t="n">
        <v>0</v>
      </c>
      <c r="Q3352" s="184" t="n">
        <v>0</v>
      </c>
      <c r="R3352" s="184" t="n">
        <v>0</v>
      </c>
      <c r="S3352" s="183" t="n">
        <v>0</v>
      </c>
      <c r="T3352" s="183" t="n">
        <v>0</v>
      </c>
      <c r="U3352" s="182" t="n">
        <v>0</v>
      </c>
      <c r="V3352" s="182" t="n">
        <v>0</v>
      </c>
      <c r="W3352" s="182" t="n">
        <v>0</v>
      </c>
      <c r="X3352" s="182" t="n">
        <v>0</v>
      </c>
      <c r="Y3352" s="182" t="n">
        <v>0</v>
      </c>
      <c r="Z3352" s="182" t="n">
        <v>0</v>
      </c>
      <c r="AA3352" s="182" t="n">
        <v>0</v>
      </c>
      <c r="AB3352" s="182" t="n">
        <v>0</v>
      </c>
      <c r="AC3352" s="182" t="n">
        <v>0</v>
      </c>
      <c r="AD3352" s="182" t="n">
        <v>0</v>
      </c>
      <c r="AE3352" s="182" t="n">
        <v>0</v>
      </c>
      <c r="AF3352" s="182" t="n">
        <v>0</v>
      </c>
      <c r="AG3352" s="182" t="n">
        <v>0</v>
      </c>
      <c r="AH3352" s="182" t="n">
        <v>0</v>
      </c>
      <c r="AI3352" s="182" t="n">
        <v>0</v>
      </c>
      <c r="AJ3352" s="182" t="n">
        <v>0</v>
      </c>
      <c r="AK3352" s="182" t="n">
        <v>0</v>
      </c>
      <c r="AL3352" s="182" t="n">
        <v>0</v>
      </c>
      <c r="AM3352" s="182" t="n">
        <v>0</v>
      </c>
      <c r="AN3352" s="182" t="n">
        <v>0</v>
      </c>
    </row>
    <row r="3353">
      <c r="A3353" s="155" t="n">
        <v>46097</v>
      </c>
      <c r="B3353" s="156" t="inlineStr">
        <is>
          <t>DS</t>
        </is>
      </c>
      <c r="C3353" s="156" t="inlineStr">
        <is>
          <t>EX-753</t>
        </is>
      </c>
      <c r="D3353" s="156" t="inlineStr">
        <is>
          <t>SY750H-PRO</t>
        </is>
      </c>
      <c r="E3353" s="156" t="inlineStr">
        <is>
          <t>Excavator</t>
        </is>
      </c>
      <c r="F3353" s="156" t="inlineStr">
        <is>
          <t>Loading Coal S60</t>
        </is>
      </c>
      <c r="G3353" s="182" t="n">
        <v>5.51</v>
      </c>
      <c r="H3353" s="182" t="n">
        <v>0</v>
      </c>
      <c r="I3353" s="182" t="n">
        <v>1.18</v>
      </c>
      <c r="J3353" s="182" t="n">
        <v>1.18</v>
      </c>
      <c r="K3353" s="182" t="n">
        <v>5.31</v>
      </c>
      <c r="L3353" s="182" t="n">
        <v>12</v>
      </c>
      <c r="M3353" s="182" t="n">
        <v>0</v>
      </c>
      <c r="N3353" s="182" t="n">
        <v>5.51</v>
      </c>
      <c r="O3353" s="183" t="n">
        <v>0</v>
      </c>
      <c r="P3353" s="183" t="n">
        <v>52</v>
      </c>
      <c r="Q3353" s="184" t="n">
        <v>0</v>
      </c>
      <c r="R3353" s="184" t="n">
        <v>972.4</v>
      </c>
      <c r="S3353" s="183" t="n">
        <v>0</v>
      </c>
      <c r="T3353" s="183" t="n">
        <v>0</v>
      </c>
      <c r="U3353" s="182" t="n">
        <v>1.08</v>
      </c>
      <c r="V3353" s="182" t="n">
        <v>2.19</v>
      </c>
      <c r="W3353" s="182" t="n">
        <v>0</v>
      </c>
      <c r="X3353" s="182" t="n">
        <v>0.93</v>
      </c>
      <c r="Y3353" s="182" t="n">
        <v>0</v>
      </c>
      <c r="Z3353" s="182" t="n">
        <v>0</v>
      </c>
      <c r="AA3353" s="182" t="n">
        <v>0</v>
      </c>
      <c r="AB3353" s="182" t="n">
        <v>0.93</v>
      </c>
      <c r="AC3353" s="182" t="n">
        <v>0</v>
      </c>
      <c r="AD3353" s="182" t="n">
        <v>0</v>
      </c>
      <c r="AE3353" s="182" t="n">
        <v>0</v>
      </c>
      <c r="AF3353" s="182" t="n">
        <v>0</v>
      </c>
      <c r="AG3353" s="182" t="n">
        <v>0</v>
      </c>
      <c r="AH3353" s="182" t="n">
        <v>0.11</v>
      </c>
      <c r="AI3353" s="182" t="n">
        <v>0</v>
      </c>
      <c r="AJ3353" s="182" t="n">
        <v>0</v>
      </c>
      <c r="AK3353" s="182" t="n">
        <v>0</v>
      </c>
      <c r="AL3353" s="182" t="n">
        <v>0</v>
      </c>
      <c r="AM3353" s="182" t="n">
        <v>0.07000000000000001</v>
      </c>
      <c r="AN3353" s="182" t="n">
        <v>0</v>
      </c>
    </row>
    <row r="3354">
      <c r="A3354" s="155" t="n">
        <v>46097</v>
      </c>
      <c r="B3354" s="156" t="inlineStr">
        <is>
          <t>DS</t>
        </is>
      </c>
      <c r="C3354" s="156" t="inlineStr">
        <is>
          <t>GD-012</t>
        </is>
      </c>
      <c r="D3354" s="156" t="inlineStr">
        <is>
          <t>STG 230C - 8S</t>
        </is>
      </c>
      <c r="E3354" s="156" t="inlineStr">
        <is>
          <t>Grader</t>
        </is>
      </c>
      <c r="F3354" s="156" t="inlineStr"/>
      <c r="G3354" s="182" t="n">
        <v>0</v>
      </c>
      <c r="H3354" s="182" t="n">
        <v>0</v>
      </c>
      <c r="I3354" s="182" t="n">
        <v>0</v>
      </c>
      <c r="J3354" s="182" t="n">
        <v>0</v>
      </c>
      <c r="K3354" s="182" t="n">
        <v>12</v>
      </c>
      <c r="L3354" s="182" t="n">
        <v>12</v>
      </c>
      <c r="M3354" s="182" t="n">
        <v>0</v>
      </c>
      <c r="N3354" s="182" t="n">
        <v>0</v>
      </c>
      <c r="O3354" s="183" t="n">
        <v>0</v>
      </c>
      <c r="P3354" s="183" t="n">
        <v>0</v>
      </c>
      <c r="Q3354" s="184" t="n">
        <v>0</v>
      </c>
      <c r="R3354" s="184" t="n">
        <v>0</v>
      </c>
      <c r="S3354" s="183" t="n">
        <v>0</v>
      </c>
      <c r="T3354" s="183" t="n">
        <v>0</v>
      </c>
      <c r="U3354" s="182" t="n">
        <v>0</v>
      </c>
      <c r="V3354" s="182" t="n">
        <v>0</v>
      </c>
      <c r="W3354" s="182" t="n">
        <v>0</v>
      </c>
      <c r="X3354" s="182" t="n">
        <v>1</v>
      </c>
      <c r="Y3354" s="182" t="n">
        <v>0</v>
      </c>
      <c r="Z3354" s="182" t="n">
        <v>0</v>
      </c>
      <c r="AA3354" s="182" t="n">
        <v>0</v>
      </c>
      <c r="AB3354" s="182" t="n">
        <v>1</v>
      </c>
      <c r="AC3354" s="182" t="n">
        <v>0</v>
      </c>
      <c r="AD3354" s="182" t="n">
        <v>0</v>
      </c>
      <c r="AE3354" s="182" t="n">
        <v>0</v>
      </c>
      <c r="AF3354" s="182" t="n">
        <v>0</v>
      </c>
      <c r="AG3354" s="182" t="n">
        <v>0</v>
      </c>
      <c r="AH3354" s="182" t="n">
        <v>0</v>
      </c>
      <c r="AI3354" s="182" t="n">
        <v>0</v>
      </c>
      <c r="AJ3354" s="182" t="n">
        <v>0</v>
      </c>
      <c r="AK3354" s="182" t="n">
        <v>9.92</v>
      </c>
      <c r="AL3354" s="182" t="n">
        <v>0</v>
      </c>
      <c r="AM3354" s="182" t="n">
        <v>0.08</v>
      </c>
      <c r="AN3354" s="182" t="n">
        <v>0</v>
      </c>
    </row>
    <row r="3355">
      <c r="A3355" s="155" t="n">
        <v>46097</v>
      </c>
      <c r="B3355" s="156" t="inlineStr">
        <is>
          <t>DS</t>
        </is>
      </c>
      <c r="C3355" s="156" t="inlineStr">
        <is>
          <t>GD-011</t>
        </is>
      </c>
      <c r="D3355" s="156" t="inlineStr">
        <is>
          <t>STG 230C - 8S</t>
        </is>
      </c>
      <c r="E3355" s="156" t="inlineStr">
        <is>
          <t>Grader</t>
        </is>
      </c>
      <c r="F3355" s="156" t="inlineStr"/>
      <c r="G3355" s="182" t="n">
        <v>0</v>
      </c>
      <c r="H3355" s="182" t="n">
        <v>0</v>
      </c>
      <c r="I3355" s="182" t="n">
        <v>12</v>
      </c>
      <c r="J3355" s="182" t="n">
        <v>12</v>
      </c>
      <c r="K3355" s="182" t="n">
        <v>0</v>
      </c>
      <c r="L3355" s="182" t="n">
        <v>12</v>
      </c>
      <c r="M3355" s="182" t="n">
        <v>0</v>
      </c>
      <c r="N3355" s="182" t="n">
        <v>0</v>
      </c>
      <c r="O3355" s="183" t="n">
        <v>0</v>
      </c>
      <c r="P3355" s="183" t="n">
        <v>0</v>
      </c>
      <c r="Q3355" s="184" t="n">
        <v>0</v>
      </c>
      <c r="R3355" s="184" t="n">
        <v>0</v>
      </c>
      <c r="S3355" s="183" t="n">
        <v>0</v>
      </c>
      <c r="T3355" s="183" t="n">
        <v>0</v>
      </c>
      <c r="U3355" s="182" t="n">
        <v>0</v>
      </c>
      <c r="V3355" s="182" t="n">
        <v>0</v>
      </c>
      <c r="W3355" s="182" t="n">
        <v>0</v>
      </c>
      <c r="X3355" s="182" t="n">
        <v>0</v>
      </c>
      <c r="Y3355" s="182" t="n">
        <v>0</v>
      </c>
      <c r="Z3355" s="182" t="n">
        <v>0</v>
      </c>
      <c r="AA3355" s="182" t="n">
        <v>0</v>
      </c>
      <c r="AB3355" s="182" t="n">
        <v>0</v>
      </c>
      <c r="AC3355" s="182" t="n">
        <v>0</v>
      </c>
      <c r="AD3355" s="182" t="n">
        <v>0</v>
      </c>
      <c r="AE3355" s="182" t="n">
        <v>0</v>
      </c>
      <c r="AF3355" s="182" t="n">
        <v>0</v>
      </c>
      <c r="AG3355" s="182" t="n">
        <v>0</v>
      </c>
      <c r="AH3355" s="182" t="n">
        <v>0</v>
      </c>
      <c r="AI3355" s="182" t="n">
        <v>0</v>
      </c>
      <c r="AJ3355" s="182" t="n">
        <v>0</v>
      </c>
      <c r="AK3355" s="182" t="n">
        <v>0</v>
      </c>
      <c r="AL3355" s="182" t="n">
        <v>0</v>
      </c>
      <c r="AM3355" s="182" t="n">
        <v>0</v>
      </c>
      <c r="AN3355" s="182" t="n">
        <v>0</v>
      </c>
    </row>
    <row r="3356">
      <c r="A3356" s="155" t="n">
        <v>46097</v>
      </c>
      <c r="B3356" s="156" t="inlineStr">
        <is>
          <t>DS</t>
        </is>
      </c>
      <c r="C3356" s="156" t="inlineStr">
        <is>
          <t>GD-013</t>
        </is>
      </c>
      <c r="D3356" s="156" t="inlineStr">
        <is>
          <t>STG 265C - 10</t>
        </is>
      </c>
      <c r="E3356" s="156" t="inlineStr">
        <is>
          <t>Grader</t>
        </is>
      </c>
      <c r="F3356" s="156" t="inlineStr">
        <is>
          <t>Road Maintenance</t>
        </is>
      </c>
      <c r="G3356" s="182" t="n">
        <v>7.73</v>
      </c>
      <c r="H3356" s="182" t="n">
        <v>0</v>
      </c>
      <c r="I3356" s="182" t="n">
        <v>2.5</v>
      </c>
      <c r="J3356" s="182" t="n">
        <v>2.5</v>
      </c>
      <c r="K3356" s="182" t="n">
        <v>1.77</v>
      </c>
      <c r="L3356" s="182" t="n">
        <v>12</v>
      </c>
      <c r="M3356" s="182" t="n">
        <v>0</v>
      </c>
      <c r="N3356" s="182" t="n">
        <v>0</v>
      </c>
      <c r="O3356" s="183" t="n">
        <v>0</v>
      </c>
      <c r="P3356" s="183" t="n">
        <v>0</v>
      </c>
      <c r="Q3356" s="184" t="n">
        <v>0</v>
      </c>
      <c r="R3356" s="184" t="n">
        <v>0</v>
      </c>
      <c r="S3356" s="183" t="n">
        <v>0</v>
      </c>
      <c r="T3356" s="183" t="n">
        <v>0</v>
      </c>
      <c r="U3356" s="182" t="n">
        <v>0</v>
      </c>
      <c r="V3356" s="182" t="n">
        <v>0</v>
      </c>
      <c r="W3356" s="182" t="n">
        <v>0</v>
      </c>
      <c r="X3356" s="182" t="n">
        <v>0.89</v>
      </c>
      <c r="Y3356" s="182" t="n">
        <v>0</v>
      </c>
      <c r="Z3356" s="182" t="n">
        <v>0</v>
      </c>
      <c r="AA3356" s="182" t="n">
        <v>0</v>
      </c>
      <c r="AB3356" s="182" t="n">
        <v>0.89</v>
      </c>
      <c r="AC3356" s="182" t="n">
        <v>0</v>
      </c>
      <c r="AD3356" s="182" t="n">
        <v>0</v>
      </c>
      <c r="AE3356" s="182" t="n">
        <v>0</v>
      </c>
      <c r="AF3356" s="182" t="n">
        <v>0</v>
      </c>
      <c r="AG3356" s="182" t="n">
        <v>0</v>
      </c>
      <c r="AH3356" s="182" t="n">
        <v>0</v>
      </c>
      <c r="AI3356" s="182" t="n">
        <v>0</v>
      </c>
      <c r="AJ3356" s="182" t="n">
        <v>0</v>
      </c>
      <c r="AK3356" s="182" t="n">
        <v>0</v>
      </c>
      <c r="AL3356" s="182" t="n">
        <v>0</v>
      </c>
      <c r="AM3356" s="182" t="n">
        <v>0</v>
      </c>
      <c r="AN3356" s="182" t="n">
        <v>0</v>
      </c>
    </row>
    <row r="3357">
      <c r="A3357" s="155" t="n">
        <v>46097</v>
      </c>
      <c r="B3357" s="156" t="inlineStr">
        <is>
          <t>DS</t>
        </is>
      </c>
      <c r="C3357" s="156" t="inlineStr">
        <is>
          <t>GD-014</t>
        </is>
      </c>
      <c r="D3357" s="156" t="inlineStr">
        <is>
          <t>STG 335C - 10</t>
        </is>
      </c>
      <c r="E3357" s="156" t="inlineStr">
        <is>
          <t>Grader</t>
        </is>
      </c>
      <c r="F3357" s="156" t="inlineStr">
        <is>
          <t>Road Maintenance</t>
        </is>
      </c>
      <c r="G3357" s="182" t="n">
        <v>9.529999999999999</v>
      </c>
      <c r="H3357" s="182" t="n">
        <v>0</v>
      </c>
      <c r="I3357" s="182" t="n">
        <v>0</v>
      </c>
      <c r="J3357" s="182" t="n">
        <v>0</v>
      </c>
      <c r="K3357" s="182" t="n">
        <v>2.47</v>
      </c>
      <c r="L3357" s="182" t="n">
        <v>12</v>
      </c>
      <c r="M3357" s="182" t="n">
        <v>0</v>
      </c>
      <c r="N3357" s="182" t="n">
        <v>0</v>
      </c>
      <c r="O3357" s="183" t="n">
        <v>0</v>
      </c>
      <c r="P3357" s="183" t="n">
        <v>0</v>
      </c>
      <c r="Q3357" s="184" t="n">
        <v>0</v>
      </c>
      <c r="R3357" s="184" t="n">
        <v>0</v>
      </c>
      <c r="S3357" s="183" t="n">
        <v>0</v>
      </c>
      <c r="T3357" s="183" t="n">
        <v>0</v>
      </c>
      <c r="U3357" s="182" t="n">
        <v>0</v>
      </c>
      <c r="V3357" s="182" t="n">
        <v>0</v>
      </c>
      <c r="W3357" s="182" t="n">
        <v>0</v>
      </c>
      <c r="X3357" s="182" t="n">
        <v>1.03</v>
      </c>
      <c r="Y3357" s="182" t="n">
        <v>0</v>
      </c>
      <c r="Z3357" s="182" t="n">
        <v>0</v>
      </c>
      <c r="AA3357" s="182" t="n">
        <v>0</v>
      </c>
      <c r="AB3357" s="182" t="n">
        <v>1.03</v>
      </c>
      <c r="AC3357" s="182" t="n">
        <v>0</v>
      </c>
      <c r="AD3357" s="182" t="n">
        <v>0</v>
      </c>
      <c r="AE3357" s="182" t="n">
        <v>0</v>
      </c>
      <c r="AF3357" s="182" t="n">
        <v>0</v>
      </c>
      <c r="AG3357" s="182" t="n">
        <v>0</v>
      </c>
      <c r="AH3357" s="182" t="n">
        <v>0</v>
      </c>
      <c r="AI3357" s="182" t="n">
        <v>0</v>
      </c>
      <c r="AJ3357" s="182" t="n">
        <v>0</v>
      </c>
      <c r="AK3357" s="182" t="n">
        <v>0.33</v>
      </c>
      <c r="AL3357" s="182" t="n">
        <v>0</v>
      </c>
      <c r="AM3357" s="182" t="n">
        <v>0.08</v>
      </c>
      <c r="AN3357" s="182" t="n">
        <v>0</v>
      </c>
    </row>
    <row r="3358">
      <c r="A3358" s="155" t="n">
        <v>46097</v>
      </c>
      <c r="B3358" s="156" t="inlineStr">
        <is>
          <t>DS</t>
        </is>
      </c>
      <c r="C3358" s="156" t="inlineStr">
        <is>
          <t>DT-809</t>
        </is>
      </c>
      <c r="D3358" s="156" t="inlineStr">
        <is>
          <t>SKT 80S</t>
        </is>
      </c>
      <c r="E3358" s="156" t="inlineStr">
        <is>
          <t>Hauler</t>
        </is>
      </c>
      <c r="F3358" s="156" t="inlineStr"/>
      <c r="G3358" s="182" t="n">
        <v>0</v>
      </c>
      <c r="H3358" s="182" t="n">
        <v>0</v>
      </c>
      <c r="I3358" s="182" t="n">
        <v>12</v>
      </c>
      <c r="J3358" s="182" t="n">
        <v>12</v>
      </c>
      <c r="K3358" s="182" t="n">
        <v>0</v>
      </c>
      <c r="L3358" s="182" t="n">
        <v>12</v>
      </c>
      <c r="M3358" s="182" t="n">
        <v>0</v>
      </c>
      <c r="N3358" s="182" t="n">
        <v>0</v>
      </c>
      <c r="O3358" s="183" t="n">
        <v>0</v>
      </c>
      <c r="P3358" s="183" t="n">
        <v>0</v>
      </c>
      <c r="Q3358" s="184" t="n">
        <v>0</v>
      </c>
      <c r="R3358" s="184" t="n">
        <v>0</v>
      </c>
      <c r="S3358" s="183" t="n">
        <v>0</v>
      </c>
      <c r="T3358" s="183" t="n">
        <v>0</v>
      </c>
      <c r="U3358" s="182" t="n">
        <v>0</v>
      </c>
      <c r="V3358" s="182" t="n">
        <v>0</v>
      </c>
      <c r="W3358" s="182" t="n">
        <v>0</v>
      </c>
      <c r="X3358" s="182" t="n">
        <v>0</v>
      </c>
      <c r="Y3358" s="182" t="n">
        <v>0</v>
      </c>
      <c r="Z3358" s="182" t="n">
        <v>0</v>
      </c>
      <c r="AA3358" s="182" t="n">
        <v>0</v>
      </c>
      <c r="AB3358" s="182" t="n">
        <v>0</v>
      </c>
      <c r="AC3358" s="182" t="n">
        <v>0</v>
      </c>
      <c r="AD3358" s="182" t="n">
        <v>0</v>
      </c>
      <c r="AE3358" s="182" t="n">
        <v>0</v>
      </c>
      <c r="AF3358" s="182" t="n">
        <v>0</v>
      </c>
      <c r="AG3358" s="182" t="n">
        <v>0</v>
      </c>
      <c r="AH3358" s="182" t="n">
        <v>0</v>
      </c>
      <c r="AI3358" s="182" t="n">
        <v>0</v>
      </c>
      <c r="AJ3358" s="182" t="n">
        <v>0</v>
      </c>
      <c r="AK3358" s="182" t="n">
        <v>0</v>
      </c>
      <c r="AL3358" s="182" t="n">
        <v>0</v>
      </c>
      <c r="AM3358" s="182" t="n">
        <v>0</v>
      </c>
      <c r="AN3358" s="182" t="n">
        <v>0</v>
      </c>
    </row>
    <row r="3359">
      <c r="A3359" s="155" t="n">
        <v>46097</v>
      </c>
      <c r="B3359" s="156" t="inlineStr">
        <is>
          <t>DS</t>
        </is>
      </c>
      <c r="C3359" s="156" t="inlineStr">
        <is>
          <t>DT-806</t>
        </is>
      </c>
      <c r="D3359" s="156" t="inlineStr">
        <is>
          <t>SKT 80S</t>
        </is>
      </c>
      <c r="E3359" s="156" t="inlineStr">
        <is>
          <t>Hauler</t>
        </is>
      </c>
      <c r="F3359" s="156" t="inlineStr"/>
      <c r="G3359" s="182" t="n">
        <v>0</v>
      </c>
      <c r="H3359" s="182" t="n">
        <v>0</v>
      </c>
      <c r="I3359" s="182" t="n">
        <v>12</v>
      </c>
      <c r="J3359" s="182" t="n">
        <v>12</v>
      </c>
      <c r="K3359" s="182" t="n">
        <v>0</v>
      </c>
      <c r="L3359" s="182" t="n">
        <v>12</v>
      </c>
      <c r="M3359" s="182" t="n">
        <v>0</v>
      </c>
      <c r="N3359" s="182" t="n">
        <v>0</v>
      </c>
      <c r="O3359" s="183" t="n">
        <v>0</v>
      </c>
      <c r="P3359" s="183" t="n">
        <v>0</v>
      </c>
      <c r="Q3359" s="184" t="n">
        <v>0</v>
      </c>
      <c r="R3359" s="184" t="n">
        <v>0</v>
      </c>
      <c r="S3359" s="183" t="n">
        <v>0</v>
      </c>
      <c r="T3359" s="183" t="n">
        <v>0</v>
      </c>
      <c r="U3359" s="182" t="n">
        <v>0</v>
      </c>
      <c r="V3359" s="182" t="n">
        <v>0</v>
      </c>
      <c r="W3359" s="182" t="n">
        <v>0</v>
      </c>
      <c r="X3359" s="182" t="n">
        <v>0</v>
      </c>
      <c r="Y3359" s="182" t="n">
        <v>0</v>
      </c>
      <c r="Z3359" s="182" t="n">
        <v>0</v>
      </c>
      <c r="AA3359" s="182" t="n">
        <v>0</v>
      </c>
      <c r="AB3359" s="182" t="n">
        <v>0</v>
      </c>
      <c r="AC3359" s="182" t="n">
        <v>0</v>
      </c>
      <c r="AD3359" s="182" t="n">
        <v>0</v>
      </c>
      <c r="AE3359" s="182" t="n">
        <v>0</v>
      </c>
      <c r="AF3359" s="182" t="n">
        <v>0</v>
      </c>
      <c r="AG3359" s="182" t="n">
        <v>0</v>
      </c>
      <c r="AH3359" s="182" t="n">
        <v>0</v>
      </c>
      <c r="AI3359" s="182" t="n">
        <v>0</v>
      </c>
      <c r="AJ3359" s="182" t="n">
        <v>0</v>
      </c>
      <c r="AK3359" s="182" t="n">
        <v>0</v>
      </c>
      <c r="AL3359" s="182" t="n">
        <v>0</v>
      </c>
      <c r="AM3359" s="182" t="n">
        <v>0</v>
      </c>
      <c r="AN3359" s="182" t="n">
        <v>0</v>
      </c>
    </row>
    <row r="3360">
      <c r="A3360" s="155" t="n">
        <v>46097</v>
      </c>
      <c r="B3360" s="156" t="inlineStr">
        <is>
          <t>DS</t>
        </is>
      </c>
      <c r="C3360" s="156" t="inlineStr">
        <is>
          <t>DT-805</t>
        </is>
      </c>
      <c r="D3360" s="156" t="inlineStr">
        <is>
          <t>SKT 80S</t>
        </is>
      </c>
      <c r="E3360" s="156" t="inlineStr">
        <is>
          <t>Hauler</t>
        </is>
      </c>
      <c r="F3360" s="156" t="inlineStr"/>
      <c r="G3360" s="182" t="n">
        <v>0</v>
      </c>
      <c r="H3360" s="182" t="n">
        <v>0</v>
      </c>
      <c r="I3360" s="182" t="n">
        <v>12</v>
      </c>
      <c r="J3360" s="182" t="n">
        <v>12</v>
      </c>
      <c r="K3360" s="182" t="n">
        <v>0</v>
      </c>
      <c r="L3360" s="182" t="n">
        <v>12</v>
      </c>
      <c r="M3360" s="182" t="n">
        <v>0</v>
      </c>
      <c r="N3360" s="182" t="n">
        <v>0</v>
      </c>
      <c r="O3360" s="183" t="n">
        <v>0</v>
      </c>
      <c r="P3360" s="183" t="n">
        <v>0</v>
      </c>
      <c r="Q3360" s="184" t="n">
        <v>0</v>
      </c>
      <c r="R3360" s="184" t="n">
        <v>0</v>
      </c>
      <c r="S3360" s="183" t="n">
        <v>0</v>
      </c>
      <c r="T3360" s="183" t="n">
        <v>0</v>
      </c>
      <c r="U3360" s="182" t="n">
        <v>0</v>
      </c>
      <c r="V3360" s="182" t="n">
        <v>0</v>
      </c>
      <c r="W3360" s="182" t="n">
        <v>0</v>
      </c>
      <c r="X3360" s="182" t="n">
        <v>0</v>
      </c>
      <c r="Y3360" s="182" t="n">
        <v>0</v>
      </c>
      <c r="Z3360" s="182" t="n">
        <v>0</v>
      </c>
      <c r="AA3360" s="182" t="n">
        <v>0</v>
      </c>
      <c r="AB3360" s="182" t="n">
        <v>0</v>
      </c>
      <c r="AC3360" s="182" t="n">
        <v>0</v>
      </c>
      <c r="AD3360" s="182" t="n">
        <v>0</v>
      </c>
      <c r="AE3360" s="182" t="n">
        <v>0</v>
      </c>
      <c r="AF3360" s="182" t="n">
        <v>0</v>
      </c>
      <c r="AG3360" s="182" t="n">
        <v>0</v>
      </c>
      <c r="AH3360" s="182" t="n">
        <v>0</v>
      </c>
      <c r="AI3360" s="182" t="n">
        <v>0</v>
      </c>
      <c r="AJ3360" s="182" t="n">
        <v>0</v>
      </c>
      <c r="AK3360" s="182" t="n">
        <v>0</v>
      </c>
      <c r="AL3360" s="182" t="n">
        <v>0</v>
      </c>
      <c r="AM3360" s="182" t="n">
        <v>0</v>
      </c>
      <c r="AN3360" s="182" t="n">
        <v>0</v>
      </c>
    </row>
    <row r="3361">
      <c r="A3361" s="155" t="n">
        <v>46097</v>
      </c>
      <c r="B3361" s="156" t="inlineStr">
        <is>
          <t>DS</t>
        </is>
      </c>
      <c r="C3361" s="156" t="inlineStr">
        <is>
          <t>DT-801</t>
        </is>
      </c>
      <c r="D3361" s="156" t="inlineStr">
        <is>
          <t>SKT 80S</t>
        </is>
      </c>
      <c r="E3361" s="156" t="inlineStr">
        <is>
          <t>Hauler</t>
        </is>
      </c>
      <c r="F3361" s="156" t="inlineStr"/>
      <c r="G3361" s="182" t="n">
        <v>0</v>
      </c>
      <c r="H3361" s="182" t="n">
        <v>0</v>
      </c>
      <c r="I3361" s="182" t="n">
        <v>12</v>
      </c>
      <c r="J3361" s="182" t="n">
        <v>12</v>
      </c>
      <c r="K3361" s="182" t="n">
        <v>0</v>
      </c>
      <c r="L3361" s="182" t="n">
        <v>12</v>
      </c>
      <c r="M3361" s="182" t="n">
        <v>0</v>
      </c>
      <c r="N3361" s="182" t="n">
        <v>0</v>
      </c>
      <c r="O3361" s="183" t="n">
        <v>0</v>
      </c>
      <c r="P3361" s="183" t="n">
        <v>0</v>
      </c>
      <c r="Q3361" s="184" t="n">
        <v>0</v>
      </c>
      <c r="R3361" s="184" t="n">
        <v>0</v>
      </c>
      <c r="S3361" s="183" t="n">
        <v>0</v>
      </c>
      <c r="T3361" s="183" t="n">
        <v>0</v>
      </c>
      <c r="U3361" s="182" t="n">
        <v>0</v>
      </c>
      <c r="V3361" s="182" t="n">
        <v>0</v>
      </c>
      <c r="W3361" s="182" t="n">
        <v>0</v>
      </c>
      <c r="X3361" s="182" t="n">
        <v>0</v>
      </c>
      <c r="Y3361" s="182" t="n">
        <v>0</v>
      </c>
      <c r="Z3361" s="182" t="n">
        <v>0</v>
      </c>
      <c r="AA3361" s="182" t="n">
        <v>0</v>
      </c>
      <c r="AB3361" s="182" t="n">
        <v>0</v>
      </c>
      <c r="AC3361" s="182" t="n">
        <v>0</v>
      </c>
      <c r="AD3361" s="182" t="n">
        <v>0</v>
      </c>
      <c r="AE3361" s="182" t="n">
        <v>0</v>
      </c>
      <c r="AF3361" s="182" t="n">
        <v>0</v>
      </c>
      <c r="AG3361" s="182" t="n">
        <v>0</v>
      </c>
      <c r="AH3361" s="182" t="n">
        <v>0</v>
      </c>
      <c r="AI3361" s="182" t="n">
        <v>0</v>
      </c>
      <c r="AJ3361" s="182" t="n">
        <v>0</v>
      </c>
      <c r="AK3361" s="182" t="n">
        <v>0</v>
      </c>
      <c r="AL3361" s="182" t="n">
        <v>0</v>
      </c>
      <c r="AM3361" s="182" t="n">
        <v>0</v>
      </c>
      <c r="AN3361" s="182" t="n">
        <v>0</v>
      </c>
    </row>
    <row r="3362">
      <c r="A3362" s="155" t="n">
        <v>46097</v>
      </c>
      <c r="B3362" s="156" t="inlineStr">
        <is>
          <t>DS</t>
        </is>
      </c>
      <c r="C3362" s="156" t="inlineStr">
        <is>
          <t>DT-808</t>
        </is>
      </c>
      <c r="D3362" s="156" t="inlineStr">
        <is>
          <t>SKT 80S</t>
        </is>
      </c>
      <c r="E3362" s="156" t="inlineStr">
        <is>
          <t>Hauler</t>
        </is>
      </c>
      <c r="F3362" s="156" t="inlineStr"/>
      <c r="G3362" s="182" t="n">
        <v>0</v>
      </c>
      <c r="H3362" s="182" t="n">
        <v>0</v>
      </c>
      <c r="I3362" s="182" t="n">
        <v>0</v>
      </c>
      <c r="J3362" s="182" t="n">
        <v>0</v>
      </c>
      <c r="K3362" s="182" t="n">
        <v>12</v>
      </c>
      <c r="L3362" s="182" t="n">
        <v>12</v>
      </c>
      <c r="M3362" s="182" t="n">
        <v>0</v>
      </c>
      <c r="N3362" s="182" t="n">
        <v>0</v>
      </c>
      <c r="O3362" s="183" t="n">
        <v>0</v>
      </c>
      <c r="P3362" s="183" t="n">
        <v>0</v>
      </c>
      <c r="Q3362" s="184" t="n">
        <v>0</v>
      </c>
      <c r="R3362" s="184" t="n">
        <v>0</v>
      </c>
      <c r="S3362" s="183" t="n">
        <v>0</v>
      </c>
      <c r="T3362" s="183" t="n">
        <v>0</v>
      </c>
      <c r="U3362" s="182" t="n">
        <v>1.17</v>
      </c>
      <c r="V3362" s="182" t="n">
        <v>0</v>
      </c>
      <c r="W3362" s="182" t="n">
        <v>0</v>
      </c>
      <c r="X3362" s="182" t="n">
        <v>1</v>
      </c>
      <c r="Y3362" s="182" t="n">
        <v>0</v>
      </c>
      <c r="Z3362" s="182" t="n">
        <v>0</v>
      </c>
      <c r="AA3362" s="182" t="n">
        <v>0</v>
      </c>
      <c r="AB3362" s="182" t="n">
        <v>1</v>
      </c>
      <c r="AC3362" s="182" t="n">
        <v>0</v>
      </c>
      <c r="AD3362" s="182" t="n">
        <v>0</v>
      </c>
      <c r="AE3362" s="182" t="n">
        <v>0</v>
      </c>
      <c r="AF3362" s="182" t="n">
        <v>0</v>
      </c>
      <c r="AG3362" s="182" t="n">
        <v>0</v>
      </c>
      <c r="AH3362" s="182" t="n">
        <v>0</v>
      </c>
      <c r="AI3362" s="182" t="n">
        <v>0</v>
      </c>
      <c r="AJ3362" s="182" t="n">
        <v>0</v>
      </c>
      <c r="AK3362" s="182" t="n">
        <v>8.75</v>
      </c>
      <c r="AL3362" s="182" t="n">
        <v>0</v>
      </c>
      <c r="AM3362" s="182" t="n">
        <v>0.08</v>
      </c>
      <c r="AN3362" s="182" t="n">
        <v>0</v>
      </c>
    </row>
    <row r="3363">
      <c r="A3363" s="155" t="n">
        <v>46097</v>
      </c>
      <c r="B3363" s="156" t="inlineStr">
        <is>
          <t>DS</t>
        </is>
      </c>
      <c r="C3363" s="156" t="inlineStr">
        <is>
          <t>DT-811</t>
        </is>
      </c>
      <c r="D3363" s="156" t="inlineStr">
        <is>
          <t>SKT 80S</t>
        </is>
      </c>
      <c r="E3363" s="156" t="inlineStr">
        <is>
          <t>Hauler</t>
        </is>
      </c>
      <c r="F3363" s="156" t="inlineStr"/>
      <c r="G3363" s="182" t="n">
        <v>0</v>
      </c>
      <c r="H3363" s="182" t="n">
        <v>0</v>
      </c>
      <c r="I3363" s="182" t="n">
        <v>0</v>
      </c>
      <c r="J3363" s="182" t="n">
        <v>0</v>
      </c>
      <c r="K3363" s="182" t="n">
        <v>12</v>
      </c>
      <c r="L3363" s="182" t="n">
        <v>12</v>
      </c>
      <c r="M3363" s="182" t="n">
        <v>0</v>
      </c>
      <c r="N3363" s="182" t="n">
        <v>0</v>
      </c>
      <c r="O3363" s="183" t="n">
        <v>0</v>
      </c>
      <c r="P3363" s="183" t="n">
        <v>0</v>
      </c>
      <c r="Q3363" s="184" t="n">
        <v>0</v>
      </c>
      <c r="R3363" s="184" t="n">
        <v>0</v>
      </c>
      <c r="S3363" s="183" t="n">
        <v>0</v>
      </c>
      <c r="T3363" s="183" t="n">
        <v>0</v>
      </c>
      <c r="U3363" s="182" t="n">
        <v>1.17</v>
      </c>
      <c r="V3363" s="182" t="n">
        <v>0</v>
      </c>
      <c r="W3363" s="182" t="n">
        <v>0</v>
      </c>
      <c r="X3363" s="182" t="n">
        <v>1</v>
      </c>
      <c r="Y3363" s="182" t="n">
        <v>0</v>
      </c>
      <c r="Z3363" s="182" t="n">
        <v>0</v>
      </c>
      <c r="AA3363" s="182" t="n">
        <v>0</v>
      </c>
      <c r="AB3363" s="182" t="n">
        <v>1</v>
      </c>
      <c r="AC3363" s="182" t="n">
        <v>0</v>
      </c>
      <c r="AD3363" s="182" t="n">
        <v>0</v>
      </c>
      <c r="AE3363" s="182" t="n">
        <v>0</v>
      </c>
      <c r="AF3363" s="182" t="n">
        <v>0</v>
      </c>
      <c r="AG3363" s="182" t="n">
        <v>0</v>
      </c>
      <c r="AH3363" s="182" t="n">
        <v>0</v>
      </c>
      <c r="AI3363" s="182" t="n">
        <v>0</v>
      </c>
      <c r="AJ3363" s="182" t="n">
        <v>0</v>
      </c>
      <c r="AK3363" s="182" t="n">
        <v>8.75</v>
      </c>
      <c r="AL3363" s="182" t="n">
        <v>0</v>
      </c>
      <c r="AM3363" s="182" t="n">
        <v>0.08</v>
      </c>
      <c r="AN3363" s="182" t="n">
        <v>0</v>
      </c>
    </row>
    <row r="3364">
      <c r="A3364" s="155" t="n">
        <v>46097</v>
      </c>
      <c r="B3364" s="156" t="inlineStr">
        <is>
          <t>DS</t>
        </is>
      </c>
      <c r="C3364" s="156" t="inlineStr">
        <is>
          <t>DT-802</t>
        </is>
      </c>
      <c r="D3364" s="156" t="inlineStr">
        <is>
          <t>SKT 80S</t>
        </is>
      </c>
      <c r="E3364" s="156" t="inlineStr">
        <is>
          <t>Hauler</t>
        </is>
      </c>
      <c r="F3364" s="156" t="inlineStr"/>
      <c r="G3364" s="182" t="n">
        <v>0</v>
      </c>
      <c r="H3364" s="182" t="n">
        <v>0</v>
      </c>
      <c r="I3364" s="182" t="n">
        <v>0</v>
      </c>
      <c r="J3364" s="182" t="n">
        <v>0</v>
      </c>
      <c r="K3364" s="182" t="n">
        <v>12</v>
      </c>
      <c r="L3364" s="182" t="n">
        <v>12</v>
      </c>
      <c r="M3364" s="182" t="n">
        <v>0</v>
      </c>
      <c r="N3364" s="182" t="n">
        <v>0</v>
      </c>
      <c r="O3364" s="183" t="n">
        <v>0</v>
      </c>
      <c r="P3364" s="183" t="n">
        <v>0</v>
      </c>
      <c r="Q3364" s="184" t="n">
        <v>0</v>
      </c>
      <c r="R3364" s="184" t="n">
        <v>0</v>
      </c>
      <c r="S3364" s="183" t="n">
        <v>0</v>
      </c>
      <c r="T3364" s="183" t="n">
        <v>0</v>
      </c>
      <c r="U3364" s="182" t="n">
        <v>1.17</v>
      </c>
      <c r="V3364" s="182" t="n">
        <v>0</v>
      </c>
      <c r="W3364" s="182" t="n">
        <v>0</v>
      </c>
      <c r="X3364" s="182" t="n">
        <v>1</v>
      </c>
      <c r="Y3364" s="182" t="n">
        <v>0</v>
      </c>
      <c r="Z3364" s="182" t="n">
        <v>0</v>
      </c>
      <c r="AA3364" s="182" t="n">
        <v>0</v>
      </c>
      <c r="AB3364" s="182" t="n">
        <v>1</v>
      </c>
      <c r="AC3364" s="182" t="n">
        <v>0</v>
      </c>
      <c r="AD3364" s="182" t="n">
        <v>0</v>
      </c>
      <c r="AE3364" s="182" t="n">
        <v>0</v>
      </c>
      <c r="AF3364" s="182" t="n">
        <v>0</v>
      </c>
      <c r="AG3364" s="182" t="n">
        <v>0</v>
      </c>
      <c r="AH3364" s="182" t="n">
        <v>0</v>
      </c>
      <c r="AI3364" s="182" t="n">
        <v>0</v>
      </c>
      <c r="AJ3364" s="182" t="n">
        <v>0</v>
      </c>
      <c r="AK3364" s="182" t="n">
        <v>8.75</v>
      </c>
      <c r="AL3364" s="182" t="n">
        <v>0</v>
      </c>
      <c r="AM3364" s="182" t="n">
        <v>0.08</v>
      </c>
      <c r="AN3364" s="182" t="n">
        <v>0</v>
      </c>
    </row>
    <row r="3365">
      <c r="A3365" s="155" t="n">
        <v>46097</v>
      </c>
      <c r="B3365" s="156" t="inlineStr">
        <is>
          <t>DS</t>
        </is>
      </c>
      <c r="C3365" s="156" t="inlineStr">
        <is>
          <t>DT-807</t>
        </is>
      </c>
      <c r="D3365" s="156" t="inlineStr">
        <is>
          <t>SKT 80S</t>
        </is>
      </c>
      <c r="E3365" s="156" t="inlineStr">
        <is>
          <t>Hauler</t>
        </is>
      </c>
      <c r="F3365" s="156" t="inlineStr">
        <is>
          <t>Rehandling Tailing 2</t>
        </is>
      </c>
      <c r="G3365" s="182" t="n">
        <v>3.21</v>
      </c>
      <c r="H3365" s="182" t="n">
        <v>0</v>
      </c>
      <c r="I3365" s="182" t="n">
        <v>0</v>
      </c>
      <c r="J3365" s="182" t="n">
        <v>0</v>
      </c>
      <c r="K3365" s="182" t="n">
        <v>8.789999999999999</v>
      </c>
      <c r="L3365" s="182" t="n">
        <v>12</v>
      </c>
      <c r="M3365" s="182" t="n">
        <v>0</v>
      </c>
      <c r="N3365" s="182" t="n">
        <v>0</v>
      </c>
      <c r="O3365" s="183" t="n">
        <v>0</v>
      </c>
      <c r="P3365" s="183" t="n">
        <v>0</v>
      </c>
      <c r="Q3365" s="184" t="n">
        <v>0</v>
      </c>
      <c r="R3365" s="184" t="n">
        <v>0</v>
      </c>
      <c r="S3365" s="183" t="n">
        <v>0</v>
      </c>
      <c r="T3365" s="183" t="n">
        <v>0</v>
      </c>
      <c r="U3365" s="182" t="n">
        <v>1.17</v>
      </c>
      <c r="V3365" s="182" t="n">
        <v>0.92</v>
      </c>
      <c r="W3365" s="182" t="n">
        <v>0</v>
      </c>
      <c r="X3365" s="182" t="n">
        <v>1</v>
      </c>
      <c r="Y3365" s="182" t="n">
        <v>0</v>
      </c>
      <c r="Z3365" s="182" t="n">
        <v>0</v>
      </c>
      <c r="AA3365" s="182" t="n">
        <v>0</v>
      </c>
      <c r="AB3365" s="182" t="n">
        <v>1</v>
      </c>
      <c r="AC3365" s="182" t="n">
        <v>0</v>
      </c>
      <c r="AD3365" s="182" t="n">
        <v>0</v>
      </c>
      <c r="AE3365" s="182" t="n">
        <v>0</v>
      </c>
      <c r="AF3365" s="182" t="n">
        <v>0</v>
      </c>
      <c r="AG3365" s="182" t="n">
        <v>0</v>
      </c>
      <c r="AH3365" s="182" t="n">
        <v>0</v>
      </c>
      <c r="AI3365" s="182" t="n">
        <v>0</v>
      </c>
      <c r="AJ3365" s="182" t="n">
        <v>0</v>
      </c>
      <c r="AK3365" s="182" t="n">
        <v>4.62</v>
      </c>
      <c r="AL3365" s="182" t="n">
        <v>0</v>
      </c>
      <c r="AM3365" s="182" t="n">
        <v>0.08</v>
      </c>
      <c r="AN3365" s="182" t="n">
        <v>0</v>
      </c>
    </row>
    <row r="3366">
      <c r="A3366" s="155" t="n">
        <v>46097</v>
      </c>
      <c r="B3366" s="156" t="inlineStr">
        <is>
          <t>DS</t>
        </is>
      </c>
      <c r="C3366" s="156" t="inlineStr">
        <is>
          <t>DT-812</t>
        </is>
      </c>
      <c r="D3366" s="156" t="inlineStr">
        <is>
          <t>SKT 80S</t>
        </is>
      </c>
      <c r="E3366" s="156" t="inlineStr">
        <is>
          <t>Hauler</t>
        </is>
      </c>
      <c r="F3366" s="156" t="inlineStr">
        <is>
          <t>Hauling Coal Dirty S30</t>
        </is>
      </c>
      <c r="G3366" s="182" t="n">
        <v>2.64</v>
      </c>
      <c r="H3366" s="182" t="n">
        <v>0</v>
      </c>
      <c r="I3366" s="182" t="n">
        <v>0</v>
      </c>
      <c r="J3366" s="182" t="n">
        <v>0</v>
      </c>
      <c r="K3366" s="182" t="n">
        <v>9.359999999999999</v>
      </c>
      <c r="L3366" s="182" t="n">
        <v>12</v>
      </c>
      <c r="M3366" s="182" t="n">
        <v>0</v>
      </c>
      <c r="N3366" s="182" t="n">
        <v>2.64</v>
      </c>
      <c r="O3366" s="183" t="n">
        <v>0</v>
      </c>
      <c r="P3366" s="183" t="n">
        <v>8</v>
      </c>
      <c r="Q3366" s="184" t="n">
        <v>0</v>
      </c>
      <c r="R3366" s="184" t="n">
        <v>122.4</v>
      </c>
      <c r="S3366" s="183" t="n">
        <v>0</v>
      </c>
      <c r="T3366" s="183" t="n">
        <v>0</v>
      </c>
      <c r="U3366" s="182" t="n">
        <v>1.14</v>
      </c>
      <c r="V3366" s="182" t="n">
        <v>2.85</v>
      </c>
      <c r="W3366" s="182" t="n">
        <v>0</v>
      </c>
      <c r="X3366" s="182" t="n">
        <v>0.97</v>
      </c>
      <c r="Y3366" s="182" t="n">
        <v>0</v>
      </c>
      <c r="Z3366" s="182" t="n">
        <v>0</v>
      </c>
      <c r="AA3366" s="182" t="n">
        <v>0</v>
      </c>
      <c r="AB3366" s="182" t="n">
        <v>0.97</v>
      </c>
      <c r="AC3366" s="182" t="n">
        <v>0</v>
      </c>
      <c r="AD3366" s="182" t="n">
        <v>0</v>
      </c>
      <c r="AE3366" s="182" t="n">
        <v>0</v>
      </c>
      <c r="AF3366" s="182" t="n">
        <v>0</v>
      </c>
      <c r="AG3366" s="182" t="n">
        <v>0</v>
      </c>
      <c r="AH3366" s="182" t="n">
        <v>0.49</v>
      </c>
      <c r="AI3366" s="182" t="n">
        <v>0</v>
      </c>
      <c r="AJ3366" s="182" t="n">
        <v>0</v>
      </c>
      <c r="AK3366" s="182" t="n">
        <v>2.86</v>
      </c>
      <c r="AL3366" s="182" t="n">
        <v>0</v>
      </c>
      <c r="AM3366" s="182" t="n">
        <v>0.08</v>
      </c>
      <c r="AN3366" s="182" t="n">
        <v>0</v>
      </c>
    </row>
    <row r="3367">
      <c r="A3367" s="155" t="n">
        <v>46097</v>
      </c>
      <c r="B3367" s="156" t="inlineStr">
        <is>
          <t>DS</t>
        </is>
      </c>
      <c r="C3367" s="156" t="inlineStr">
        <is>
          <t>DT-803</t>
        </is>
      </c>
      <c r="D3367" s="156" t="inlineStr">
        <is>
          <t>SKT 80S</t>
        </is>
      </c>
      <c r="E3367" s="156" t="inlineStr">
        <is>
          <t>Hauler</t>
        </is>
      </c>
      <c r="F3367" s="156" t="inlineStr"/>
      <c r="G3367" s="182" t="n">
        <v>0</v>
      </c>
      <c r="H3367" s="182" t="n">
        <v>0</v>
      </c>
      <c r="I3367" s="182" t="n">
        <v>0</v>
      </c>
      <c r="J3367" s="182" t="n">
        <v>0</v>
      </c>
      <c r="K3367" s="182" t="n">
        <v>12</v>
      </c>
      <c r="L3367" s="182" t="n">
        <v>12</v>
      </c>
      <c r="M3367" s="182" t="n">
        <v>0</v>
      </c>
      <c r="N3367" s="182" t="n">
        <v>0</v>
      </c>
      <c r="O3367" s="183" t="n">
        <v>0</v>
      </c>
      <c r="P3367" s="183" t="n">
        <v>0</v>
      </c>
      <c r="Q3367" s="184" t="n">
        <v>0</v>
      </c>
      <c r="R3367" s="184" t="n">
        <v>0</v>
      </c>
      <c r="S3367" s="183" t="n">
        <v>0</v>
      </c>
      <c r="T3367" s="183" t="n">
        <v>0</v>
      </c>
      <c r="U3367" s="182" t="n">
        <v>0</v>
      </c>
      <c r="V3367" s="182" t="n">
        <v>0</v>
      </c>
      <c r="W3367" s="182" t="n">
        <v>0</v>
      </c>
      <c r="X3367" s="182" t="n">
        <v>1</v>
      </c>
      <c r="Y3367" s="182" t="n">
        <v>0</v>
      </c>
      <c r="Z3367" s="182" t="n">
        <v>0</v>
      </c>
      <c r="AA3367" s="182" t="n">
        <v>0</v>
      </c>
      <c r="AB3367" s="182" t="n">
        <v>1</v>
      </c>
      <c r="AC3367" s="182" t="n">
        <v>0</v>
      </c>
      <c r="AD3367" s="182" t="n">
        <v>0</v>
      </c>
      <c r="AE3367" s="182" t="n">
        <v>0</v>
      </c>
      <c r="AF3367" s="182" t="n">
        <v>0</v>
      </c>
      <c r="AG3367" s="182" t="n">
        <v>0</v>
      </c>
      <c r="AH3367" s="182" t="n">
        <v>0</v>
      </c>
      <c r="AI3367" s="182" t="n">
        <v>0</v>
      </c>
      <c r="AJ3367" s="182" t="n">
        <v>0</v>
      </c>
      <c r="AK3367" s="182" t="n">
        <v>9.92</v>
      </c>
      <c r="AL3367" s="182" t="n">
        <v>0</v>
      </c>
      <c r="AM3367" s="182" t="n">
        <v>0.08</v>
      </c>
      <c r="AN3367" s="182" t="n">
        <v>0</v>
      </c>
    </row>
    <row r="3368">
      <c r="A3368" s="155" t="n">
        <v>46097</v>
      </c>
      <c r="B3368" s="156" t="inlineStr">
        <is>
          <t>DS</t>
        </is>
      </c>
      <c r="C3368" s="156" t="inlineStr">
        <is>
          <t>DT-810</t>
        </is>
      </c>
      <c r="D3368" s="156" t="inlineStr">
        <is>
          <t>SKT 80S</t>
        </is>
      </c>
      <c r="E3368" s="156" t="inlineStr">
        <is>
          <t>Hauler</t>
        </is>
      </c>
      <c r="F3368" s="156" t="inlineStr">
        <is>
          <t>Hauling Coal Dirty S30 &amp; Rehandling</t>
        </is>
      </c>
      <c r="G3368" s="182" t="n">
        <v>4.47</v>
      </c>
      <c r="H3368" s="182" t="n">
        <v>0</v>
      </c>
      <c r="I3368" s="182" t="n">
        <v>0</v>
      </c>
      <c r="J3368" s="182" t="n">
        <v>0</v>
      </c>
      <c r="K3368" s="182" t="n">
        <v>7.53</v>
      </c>
      <c r="L3368" s="182" t="n">
        <v>12</v>
      </c>
      <c r="M3368" s="182" t="n">
        <v>0</v>
      </c>
      <c r="N3368" s="182" t="n">
        <v>2.19</v>
      </c>
      <c r="O3368" s="183" t="n">
        <v>0</v>
      </c>
      <c r="P3368" s="183" t="n">
        <v>8</v>
      </c>
      <c r="Q3368" s="184" t="n">
        <v>0</v>
      </c>
      <c r="R3368" s="184" t="n">
        <v>122.4</v>
      </c>
      <c r="S3368" s="183" t="n">
        <v>0</v>
      </c>
      <c r="T3368" s="183" t="n">
        <v>0</v>
      </c>
      <c r="U3368" s="182" t="n">
        <v>1.24</v>
      </c>
      <c r="V3368" s="182" t="n">
        <v>3.1</v>
      </c>
      <c r="W3368" s="182" t="n">
        <v>0</v>
      </c>
      <c r="X3368" s="182" t="n">
        <v>1.06</v>
      </c>
      <c r="Y3368" s="182" t="n">
        <v>0</v>
      </c>
      <c r="Z3368" s="182" t="n">
        <v>0</v>
      </c>
      <c r="AA3368" s="182" t="n">
        <v>0</v>
      </c>
      <c r="AB3368" s="182" t="n">
        <v>1.06</v>
      </c>
      <c r="AC3368" s="182" t="n">
        <v>0</v>
      </c>
      <c r="AD3368" s="182" t="n">
        <v>0</v>
      </c>
      <c r="AE3368" s="182" t="n">
        <v>0</v>
      </c>
      <c r="AF3368" s="182" t="n">
        <v>0</v>
      </c>
      <c r="AG3368" s="182" t="n">
        <v>0</v>
      </c>
      <c r="AH3368" s="182" t="n">
        <v>0.99</v>
      </c>
      <c r="AI3368" s="182" t="n">
        <v>0</v>
      </c>
      <c r="AJ3368" s="182" t="n">
        <v>0</v>
      </c>
      <c r="AK3368" s="182" t="n">
        <v>0</v>
      </c>
      <c r="AL3368" s="182" t="n">
        <v>0</v>
      </c>
      <c r="AM3368" s="182" t="n">
        <v>0.08</v>
      </c>
      <c r="AN3368" s="182" t="n">
        <v>0</v>
      </c>
    </row>
    <row r="3369">
      <c r="A3369" s="155" t="n">
        <v>46097</v>
      </c>
      <c r="B3369" s="156" t="inlineStr">
        <is>
          <t>DS</t>
        </is>
      </c>
      <c r="C3369" s="156" t="inlineStr">
        <is>
          <t>DT-804</t>
        </is>
      </c>
      <c r="D3369" s="156" t="inlineStr">
        <is>
          <t>SKT 80S</t>
        </is>
      </c>
      <c r="E3369" s="156" t="inlineStr">
        <is>
          <t>Hauler</t>
        </is>
      </c>
      <c r="F3369" s="156" t="inlineStr"/>
      <c r="G3369" s="182" t="n">
        <v>0</v>
      </c>
      <c r="H3369" s="182" t="n">
        <v>0</v>
      </c>
      <c r="I3369" s="182" t="n">
        <v>0</v>
      </c>
      <c r="J3369" s="182" t="n">
        <v>0</v>
      </c>
      <c r="K3369" s="182" t="n">
        <v>12</v>
      </c>
      <c r="L3369" s="182" t="n">
        <v>12</v>
      </c>
      <c r="M3369" s="182" t="n">
        <v>0</v>
      </c>
      <c r="N3369" s="182" t="n">
        <v>0</v>
      </c>
      <c r="O3369" s="183" t="n">
        <v>0</v>
      </c>
      <c r="P3369" s="183" t="n">
        <v>0</v>
      </c>
      <c r="Q3369" s="184" t="n">
        <v>0</v>
      </c>
      <c r="R3369" s="184" t="n">
        <v>0</v>
      </c>
      <c r="S3369" s="183" t="n">
        <v>0</v>
      </c>
      <c r="T3369" s="183" t="n">
        <v>0</v>
      </c>
      <c r="U3369" s="182" t="n">
        <v>0</v>
      </c>
      <c r="V3369" s="182" t="n">
        <v>0</v>
      </c>
      <c r="W3369" s="182" t="n">
        <v>0</v>
      </c>
      <c r="X3369" s="182" t="n">
        <v>1</v>
      </c>
      <c r="Y3369" s="182" t="n">
        <v>0</v>
      </c>
      <c r="Z3369" s="182" t="n">
        <v>0</v>
      </c>
      <c r="AA3369" s="182" t="n">
        <v>0</v>
      </c>
      <c r="AB3369" s="182" t="n">
        <v>1</v>
      </c>
      <c r="AC3369" s="182" t="n">
        <v>0</v>
      </c>
      <c r="AD3369" s="182" t="n">
        <v>0</v>
      </c>
      <c r="AE3369" s="182" t="n">
        <v>0</v>
      </c>
      <c r="AF3369" s="182" t="n">
        <v>0</v>
      </c>
      <c r="AG3369" s="182" t="n">
        <v>0</v>
      </c>
      <c r="AH3369" s="182" t="n">
        <v>0</v>
      </c>
      <c r="AI3369" s="182" t="n">
        <v>0</v>
      </c>
      <c r="AJ3369" s="182" t="n">
        <v>0</v>
      </c>
      <c r="AK3369" s="182" t="n">
        <v>9.92</v>
      </c>
      <c r="AL3369" s="182" t="n">
        <v>0</v>
      </c>
      <c r="AM3369" s="182" t="n">
        <v>0.08</v>
      </c>
      <c r="AN3369" s="182" t="n">
        <v>0</v>
      </c>
    </row>
    <row r="3370">
      <c r="A3370" s="155" t="n">
        <v>46097</v>
      </c>
      <c r="B3370" s="156" t="inlineStr">
        <is>
          <t>DS</t>
        </is>
      </c>
      <c r="C3370" s="156" t="inlineStr">
        <is>
          <t>DT-505</t>
        </is>
      </c>
      <c r="D3370" s="156" t="inlineStr">
        <is>
          <t>SKT 105S</t>
        </is>
      </c>
      <c r="E3370" s="156" t="inlineStr">
        <is>
          <t>Hauler</t>
        </is>
      </c>
      <c r="F3370" s="156" t="inlineStr">
        <is>
          <t>Hauling Coal S60</t>
        </is>
      </c>
      <c r="G3370" s="182" t="n">
        <v>5.5</v>
      </c>
      <c r="H3370" s="182" t="n">
        <v>0</v>
      </c>
      <c r="I3370" s="182" t="n">
        <v>0</v>
      </c>
      <c r="J3370" s="182" t="n">
        <v>0</v>
      </c>
      <c r="K3370" s="182" t="n">
        <v>6.5</v>
      </c>
      <c r="L3370" s="182" t="n">
        <v>12</v>
      </c>
      <c r="M3370" s="182" t="n">
        <v>0</v>
      </c>
      <c r="N3370" s="182" t="n">
        <v>5.5</v>
      </c>
      <c r="O3370" s="183" t="n">
        <v>0</v>
      </c>
      <c r="P3370" s="183" t="n">
        <v>12</v>
      </c>
      <c r="Q3370" s="184" t="n">
        <v>0</v>
      </c>
      <c r="R3370" s="184" t="n">
        <v>224.4</v>
      </c>
      <c r="S3370" s="183" t="n">
        <v>0</v>
      </c>
      <c r="T3370" s="183" t="n">
        <v>0</v>
      </c>
      <c r="U3370" s="182" t="n">
        <v>1.14</v>
      </c>
      <c r="V3370" s="182" t="n">
        <v>2.3</v>
      </c>
      <c r="W3370" s="182" t="n">
        <v>0</v>
      </c>
      <c r="X3370" s="182" t="n">
        <v>0.97</v>
      </c>
      <c r="Y3370" s="182" t="n">
        <v>0</v>
      </c>
      <c r="Z3370" s="182" t="n">
        <v>0.07000000000000001</v>
      </c>
      <c r="AA3370" s="182" t="n">
        <v>0</v>
      </c>
      <c r="AB3370" s="182" t="n">
        <v>0.97</v>
      </c>
      <c r="AC3370" s="182" t="n">
        <v>0</v>
      </c>
      <c r="AD3370" s="182" t="n">
        <v>0</v>
      </c>
      <c r="AE3370" s="182" t="n">
        <v>0</v>
      </c>
      <c r="AF3370" s="182" t="n">
        <v>0</v>
      </c>
      <c r="AG3370" s="182" t="n">
        <v>0</v>
      </c>
      <c r="AH3370" s="182" t="n">
        <v>0</v>
      </c>
      <c r="AI3370" s="182" t="n">
        <v>0.99</v>
      </c>
      <c r="AJ3370" s="182" t="n">
        <v>0</v>
      </c>
      <c r="AK3370" s="182" t="n">
        <v>0</v>
      </c>
      <c r="AL3370" s="182" t="n">
        <v>0</v>
      </c>
      <c r="AM3370" s="182" t="n">
        <v>0.08</v>
      </c>
      <c r="AN3370" s="182" t="n">
        <v>0</v>
      </c>
    </row>
    <row r="3371">
      <c r="A3371" s="155" t="n">
        <v>46097</v>
      </c>
      <c r="B3371" s="156" t="inlineStr">
        <is>
          <t>DS</t>
        </is>
      </c>
      <c r="C3371" s="156" t="inlineStr">
        <is>
          <t>DT-530</t>
        </is>
      </c>
      <c r="D3371" s="156" t="inlineStr">
        <is>
          <t>SKT 105S</t>
        </is>
      </c>
      <c r="E3371" s="156" t="inlineStr">
        <is>
          <t>Hauler</t>
        </is>
      </c>
      <c r="F3371" s="156" t="inlineStr"/>
      <c r="G3371" s="182" t="n">
        <v>0</v>
      </c>
      <c r="H3371" s="182" t="n">
        <v>0</v>
      </c>
      <c r="I3371" s="182" t="n">
        <v>12</v>
      </c>
      <c r="J3371" s="182" t="n">
        <v>12</v>
      </c>
      <c r="K3371" s="182" t="n">
        <v>0</v>
      </c>
      <c r="L3371" s="182" t="n">
        <v>12</v>
      </c>
      <c r="M3371" s="182" t="n">
        <v>0</v>
      </c>
      <c r="N3371" s="182" t="n">
        <v>0</v>
      </c>
      <c r="O3371" s="183" t="n">
        <v>0</v>
      </c>
      <c r="P3371" s="183" t="n">
        <v>0</v>
      </c>
      <c r="Q3371" s="184" t="n">
        <v>0</v>
      </c>
      <c r="R3371" s="184" t="n">
        <v>0</v>
      </c>
      <c r="S3371" s="183" t="n">
        <v>0</v>
      </c>
      <c r="T3371" s="183" t="n">
        <v>0</v>
      </c>
      <c r="U3371" s="182" t="n">
        <v>0</v>
      </c>
      <c r="V3371" s="182" t="n">
        <v>0</v>
      </c>
      <c r="W3371" s="182" t="n">
        <v>0</v>
      </c>
      <c r="X3371" s="182" t="n">
        <v>0</v>
      </c>
      <c r="Y3371" s="182" t="n">
        <v>0</v>
      </c>
      <c r="Z3371" s="182" t="n">
        <v>0</v>
      </c>
      <c r="AA3371" s="182" t="n">
        <v>0</v>
      </c>
      <c r="AB3371" s="182" t="n">
        <v>0</v>
      </c>
      <c r="AC3371" s="182" t="n">
        <v>0</v>
      </c>
      <c r="AD3371" s="182" t="n">
        <v>0</v>
      </c>
      <c r="AE3371" s="182" t="n">
        <v>0</v>
      </c>
      <c r="AF3371" s="182" t="n">
        <v>0</v>
      </c>
      <c r="AG3371" s="182" t="n">
        <v>0</v>
      </c>
      <c r="AH3371" s="182" t="n">
        <v>0</v>
      </c>
      <c r="AI3371" s="182" t="n">
        <v>0</v>
      </c>
      <c r="AJ3371" s="182" t="n">
        <v>0</v>
      </c>
      <c r="AK3371" s="182" t="n">
        <v>0</v>
      </c>
      <c r="AL3371" s="182" t="n">
        <v>0</v>
      </c>
      <c r="AM3371" s="182" t="n">
        <v>0</v>
      </c>
      <c r="AN3371" s="182" t="n">
        <v>0</v>
      </c>
    </row>
    <row r="3372">
      <c r="A3372" s="155" t="n">
        <v>46097</v>
      </c>
      <c r="B3372" s="156" t="inlineStr">
        <is>
          <t>DS</t>
        </is>
      </c>
      <c r="C3372" s="156" t="inlineStr">
        <is>
          <t>DT-525</t>
        </is>
      </c>
      <c r="D3372" s="156" t="inlineStr">
        <is>
          <t>SKT 105S</t>
        </is>
      </c>
      <c r="E3372" s="156" t="inlineStr">
        <is>
          <t>Hauler</t>
        </is>
      </c>
      <c r="F3372" s="156" t="inlineStr"/>
      <c r="G3372" s="182" t="n">
        <v>0</v>
      </c>
      <c r="H3372" s="182" t="n">
        <v>0</v>
      </c>
      <c r="I3372" s="182" t="n">
        <v>12</v>
      </c>
      <c r="J3372" s="182" t="n">
        <v>12</v>
      </c>
      <c r="K3372" s="182" t="n">
        <v>0</v>
      </c>
      <c r="L3372" s="182" t="n">
        <v>12</v>
      </c>
      <c r="M3372" s="182" t="n">
        <v>0</v>
      </c>
      <c r="N3372" s="182" t="n">
        <v>0</v>
      </c>
      <c r="O3372" s="183" t="n">
        <v>0</v>
      </c>
      <c r="P3372" s="183" t="n">
        <v>0</v>
      </c>
      <c r="Q3372" s="184" t="n">
        <v>0</v>
      </c>
      <c r="R3372" s="184" t="n">
        <v>0</v>
      </c>
      <c r="S3372" s="183" t="n">
        <v>0</v>
      </c>
      <c r="T3372" s="183" t="n">
        <v>0</v>
      </c>
      <c r="U3372" s="182" t="n">
        <v>0</v>
      </c>
      <c r="V3372" s="182" t="n">
        <v>0</v>
      </c>
      <c r="W3372" s="182" t="n">
        <v>0</v>
      </c>
      <c r="X3372" s="182" t="n">
        <v>0</v>
      </c>
      <c r="Y3372" s="182" t="n">
        <v>0</v>
      </c>
      <c r="Z3372" s="182" t="n">
        <v>0</v>
      </c>
      <c r="AA3372" s="182" t="n">
        <v>0</v>
      </c>
      <c r="AB3372" s="182" t="n">
        <v>0</v>
      </c>
      <c r="AC3372" s="182" t="n">
        <v>0</v>
      </c>
      <c r="AD3372" s="182" t="n">
        <v>0</v>
      </c>
      <c r="AE3372" s="182" t="n">
        <v>0</v>
      </c>
      <c r="AF3372" s="182" t="n">
        <v>0</v>
      </c>
      <c r="AG3372" s="182" t="n">
        <v>0</v>
      </c>
      <c r="AH3372" s="182" t="n">
        <v>0</v>
      </c>
      <c r="AI3372" s="182" t="n">
        <v>0</v>
      </c>
      <c r="AJ3372" s="182" t="n">
        <v>0</v>
      </c>
      <c r="AK3372" s="182" t="n">
        <v>0</v>
      </c>
      <c r="AL3372" s="182" t="n">
        <v>0</v>
      </c>
      <c r="AM3372" s="182" t="n">
        <v>0</v>
      </c>
      <c r="AN3372" s="182" t="n">
        <v>0</v>
      </c>
    </row>
    <row r="3373">
      <c r="A3373" s="155" t="n">
        <v>46097</v>
      </c>
      <c r="B3373" s="156" t="inlineStr">
        <is>
          <t>DS</t>
        </is>
      </c>
      <c r="C3373" s="156" t="inlineStr">
        <is>
          <t>DT-503</t>
        </is>
      </c>
      <c r="D3373" s="156" t="inlineStr">
        <is>
          <t>SKT 105S</t>
        </is>
      </c>
      <c r="E3373" s="156" t="inlineStr">
        <is>
          <t>Hauler</t>
        </is>
      </c>
      <c r="F3373" s="156" t="inlineStr">
        <is>
          <t>Hauling OB Longsoran LW</t>
        </is>
      </c>
      <c r="G3373" s="182" t="n">
        <v>7.48</v>
      </c>
      <c r="H3373" s="182" t="n">
        <v>0</v>
      </c>
      <c r="I3373" s="182" t="n">
        <v>0</v>
      </c>
      <c r="J3373" s="182" t="n">
        <v>0</v>
      </c>
      <c r="K3373" s="182" t="n">
        <v>4.52</v>
      </c>
      <c r="L3373" s="182" t="n">
        <v>12</v>
      </c>
      <c r="M3373" s="182" t="n">
        <v>7.48</v>
      </c>
      <c r="N3373" s="182" t="n">
        <v>0</v>
      </c>
      <c r="O3373" s="183" t="n">
        <v>28</v>
      </c>
      <c r="P3373" s="183" t="n">
        <v>0</v>
      </c>
      <c r="Q3373" s="184" t="n">
        <v>457</v>
      </c>
      <c r="R3373" s="184" t="n">
        <v>0</v>
      </c>
      <c r="S3373" s="183" t="n">
        <v>0</v>
      </c>
      <c r="T3373" s="183" t="n">
        <v>0</v>
      </c>
      <c r="U3373" s="182" t="n">
        <v>1.1</v>
      </c>
      <c r="V3373" s="182" t="n">
        <v>1.24</v>
      </c>
      <c r="W3373" s="182" t="n">
        <v>0</v>
      </c>
      <c r="X3373" s="182" t="n">
        <v>0.9399999999999999</v>
      </c>
      <c r="Y3373" s="182" t="n">
        <v>0</v>
      </c>
      <c r="Z3373" s="182" t="n">
        <v>0.07000000000000001</v>
      </c>
      <c r="AA3373" s="182" t="n">
        <v>0</v>
      </c>
      <c r="AB3373" s="182" t="n">
        <v>0.9399999999999999</v>
      </c>
      <c r="AC3373" s="182" t="n">
        <v>0</v>
      </c>
      <c r="AD3373" s="182" t="n">
        <v>0</v>
      </c>
      <c r="AE3373" s="182" t="n">
        <v>0</v>
      </c>
      <c r="AF3373" s="182" t="n">
        <v>0</v>
      </c>
      <c r="AG3373" s="182" t="n">
        <v>0</v>
      </c>
      <c r="AH3373" s="182" t="n">
        <v>0.16</v>
      </c>
      <c r="AI3373" s="182" t="n">
        <v>0</v>
      </c>
      <c r="AJ3373" s="182" t="n">
        <v>0</v>
      </c>
      <c r="AK3373" s="182" t="n">
        <v>0</v>
      </c>
      <c r="AL3373" s="182" t="n">
        <v>0</v>
      </c>
      <c r="AM3373" s="182" t="n">
        <v>0.08</v>
      </c>
      <c r="AN3373" s="182" t="n">
        <v>0</v>
      </c>
    </row>
    <row r="3374">
      <c r="A3374" s="155" t="n">
        <v>46097</v>
      </c>
      <c r="B3374" s="156" t="inlineStr">
        <is>
          <t>DS</t>
        </is>
      </c>
      <c r="C3374" s="156" t="inlineStr">
        <is>
          <t>DT-504</t>
        </is>
      </c>
      <c r="D3374" s="156" t="inlineStr">
        <is>
          <t>SKT 105S</t>
        </is>
      </c>
      <c r="E3374" s="156" t="inlineStr">
        <is>
          <t>Hauler</t>
        </is>
      </c>
      <c r="F3374" s="156" t="inlineStr">
        <is>
          <t>Hauling Spoil Blend &amp; OB</t>
        </is>
      </c>
      <c r="G3374" s="182" t="n">
        <v>6.18</v>
      </c>
      <c r="H3374" s="182" t="n">
        <v>0</v>
      </c>
      <c r="I3374" s="182" t="n">
        <v>0</v>
      </c>
      <c r="J3374" s="182" t="n">
        <v>0</v>
      </c>
      <c r="K3374" s="182" t="n">
        <v>5.82</v>
      </c>
      <c r="L3374" s="182" t="n">
        <v>12</v>
      </c>
      <c r="M3374" s="182" t="n">
        <v>6.18</v>
      </c>
      <c r="N3374" s="182" t="n">
        <v>0</v>
      </c>
      <c r="O3374" s="183" t="n">
        <v>23</v>
      </c>
      <c r="P3374" s="183" t="n">
        <v>0</v>
      </c>
      <c r="Q3374" s="184" t="n">
        <v>457</v>
      </c>
      <c r="R3374" s="184" t="n">
        <v>0</v>
      </c>
      <c r="S3374" s="183" t="n">
        <v>0</v>
      </c>
      <c r="T3374" s="183" t="n">
        <v>0</v>
      </c>
      <c r="U3374" s="182" t="n">
        <v>1.24</v>
      </c>
      <c r="V3374" s="182" t="n">
        <v>1.27</v>
      </c>
      <c r="W3374" s="182" t="n">
        <v>0</v>
      </c>
      <c r="X3374" s="182" t="n">
        <v>1.06</v>
      </c>
      <c r="Y3374" s="182" t="n">
        <v>0</v>
      </c>
      <c r="Z3374" s="182" t="n">
        <v>0.07000000000000001</v>
      </c>
      <c r="AA3374" s="182" t="n">
        <v>0</v>
      </c>
      <c r="AB3374" s="182" t="n">
        <v>1.06</v>
      </c>
      <c r="AC3374" s="182" t="n">
        <v>0</v>
      </c>
      <c r="AD3374" s="182" t="n">
        <v>0</v>
      </c>
      <c r="AE3374" s="182" t="n">
        <v>0</v>
      </c>
      <c r="AF3374" s="182" t="n">
        <v>0</v>
      </c>
      <c r="AG3374" s="182" t="n">
        <v>0</v>
      </c>
      <c r="AH3374" s="182" t="n">
        <v>1.04</v>
      </c>
      <c r="AI3374" s="182" t="n">
        <v>0</v>
      </c>
      <c r="AJ3374" s="182" t="n">
        <v>0</v>
      </c>
      <c r="AK3374" s="182" t="n">
        <v>0</v>
      </c>
      <c r="AL3374" s="182" t="n">
        <v>0</v>
      </c>
      <c r="AM3374" s="182" t="n">
        <v>0.08</v>
      </c>
      <c r="AN3374" s="182" t="n">
        <v>0</v>
      </c>
    </row>
    <row r="3375">
      <c r="A3375" s="155" t="n">
        <v>46097</v>
      </c>
      <c r="B3375" s="156" t="inlineStr">
        <is>
          <t>DS</t>
        </is>
      </c>
      <c r="C3375" s="156" t="inlineStr">
        <is>
          <t>DT-507</t>
        </is>
      </c>
      <c r="D3375" s="156" t="inlineStr">
        <is>
          <t>SKT 105S</t>
        </is>
      </c>
      <c r="E3375" s="156" t="inlineStr">
        <is>
          <t>Hauler</t>
        </is>
      </c>
      <c r="F3375" s="156" t="inlineStr"/>
      <c r="G3375" s="182" t="n">
        <v>0</v>
      </c>
      <c r="H3375" s="182" t="n">
        <v>0</v>
      </c>
      <c r="I3375" s="182" t="n">
        <v>12</v>
      </c>
      <c r="J3375" s="182" t="n">
        <v>12</v>
      </c>
      <c r="K3375" s="182" t="n">
        <v>0</v>
      </c>
      <c r="L3375" s="182" t="n">
        <v>12</v>
      </c>
      <c r="M3375" s="182" t="n">
        <v>0</v>
      </c>
      <c r="N3375" s="182" t="n">
        <v>0</v>
      </c>
      <c r="O3375" s="183" t="n">
        <v>0</v>
      </c>
      <c r="P3375" s="183" t="n">
        <v>0</v>
      </c>
      <c r="Q3375" s="184" t="n">
        <v>0</v>
      </c>
      <c r="R3375" s="184" t="n">
        <v>0</v>
      </c>
      <c r="S3375" s="183" t="n">
        <v>0</v>
      </c>
      <c r="T3375" s="183" t="n">
        <v>0</v>
      </c>
      <c r="U3375" s="182" t="n">
        <v>0</v>
      </c>
      <c r="V3375" s="182" t="n">
        <v>0</v>
      </c>
      <c r="W3375" s="182" t="n">
        <v>0</v>
      </c>
      <c r="X3375" s="182" t="n">
        <v>0</v>
      </c>
      <c r="Y3375" s="182" t="n">
        <v>0</v>
      </c>
      <c r="Z3375" s="182" t="n">
        <v>0</v>
      </c>
      <c r="AA3375" s="182" t="n">
        <v>0</v>
      </c>
      <c r="AB3375" s="182" t="n">
        <v>0</v>
      </c>
      <c r="AC3375" s="182" t="n">
        <v>0</v>
      </c>
      <c r="AD3375" s="182" t="n">
        <v>0</v>
      </c>
      <c r="AE3375" s="182" t="n">
        <v>0</v>
      </c>
      <c r="AF3375" s="182" t="n">
        <v>0</v>
      </c>
      <c r="AG3375" s="182" t="n">
        <v>0</v>
      </c>
      <c r="AH3375" s="182" t="n">
        <v>0</v>
      </c>
      <c r="AI3375" s="182" t="n">
        <v>0</v>
      </c>
      <c r="AJ3375" s="182" t="n">
        <v>0</v>
      </c>
      <c r="AK3375" s="182" t="n">
        <v>0</v>
      </c>
      <c r="AL3375" s="182" t="n">
        <v>0</v>
      </c>
      <c r="AM3375" s="182" t="n">
        <v>0</v>
      </c>
      <c r="AN3375" s="182" t="n">
        <v>0</v>
      </c>
    </row>
    <row r="3376">
      <c r="A3376" s="155" t="n">
        <v>46097</v>
      </c>
      <c r="B3376" s="156" t="inlineStr">
        <is>
          <t>DS</t>
        </is>
      </c>
      <c r="C3376" s="156" t="inlineStr">
        <is>
          <t>DT-501</t>
        </is>
      </c>
      <c r="D3376" s="156" t="inlineStr">
        <is>
          <t>SKT 105S</t>
        </is>
      </c>
      <c r="E3376" s="156" t="inlineStr">
        <is>
          <t>Hauler</t>
        </is>
      </c>
      <c r="F3376" s="156" t="inlineStr">
        <is>
          <t>Hauling Coal S60</t>
        </is>
      </c>
      <c r="G3376" s="182" t="n">
        <v>4.72</v>
      </c>
      <c r="H3376" s="182" t="n">
        <v>0</v>
      </c>
      <c r="I3376" s="182" t="n">
        <v>1.92</v>
      </c>
      <c r="J3376" s="182" t="n">
        <v>1.92</v>
      </c>
      <c r="K3376" s="182" t="n">
        <v>5.36</v>
      </c>
      <c r="L3376" s="182" t="n">
        <v>12</v>
      </c>
      <c r="M3376" s="182" t="n">
        <v>0</v>
      </c>
      <c r="N3376" s="182" t="n">
        <v>4.72</v>
      </c>
      <c r="O3376" s="183" t="n">
        <v>0</v>
      </c>
      <c r="P3376" s="183" t="n">
        <v>11</v>
      </c>
      <c r="Q3376" s="184" t="n">
        <v>0</v>
      </c>
      <c r="R3376" s="184" t="n">
        <v>205.7</v>
      </c>
      <c r="S3376" s="183" t="n">
        <v>0</v>
      </c>
      <c r="T3376" s="183" t="n">
        <v>0</v>
      </c>
      <c r="U3376" s="182" t="n">
        <v>1.14</v>
      </c>
      <c r="V3376" s="182" t="n">
        <v>0.96</v>
      </c>
      <c r="W3376" s="182" t="n">
        <v>0</v>
      </c>
      <c r="X3376" s="182" t="n">
        <v>0.98</v>
      </c>
      <c r="Y3376" s="182" t="n">
        <v>0</v>
      </c>
      <c r="Z3376" s="182" t="n">
        <v>0.07000000000000001</v>
      </c>
      <c r="AA3376" s="182" t="n">
        <v>0</v>
      </c>
      <c r="AB3376" s="182" t="n">
        <v>0.98</v>
      </c>
      <c r="AC3376" s="182" t="n">
        <v>0</v>
      </c>
      <c r="AD3376" s="182" t="n">
        <v>0</v>
      </c>
      <c r="AE3376" s="182" t="n">
        <v>0</v>
      </c>
      <c r="AF3376" s="182" t="n">
        <v>0</v>
      </c>
      <c r="AG3376" s="182" t="n">
        <v>0</v>
      </c>
      <c r="AH3376" s="182" t="n">
        <v>0</v>
      </c>
      <c r="AI3376" s="182" t="n">
        <v>1.15</v>
      </c>
      <c r="AJ3376" s="182" t="n">
        <v>0</v>
      </c>
      <c r="AK3376" s="182" t="n">
        <v>0</v>
      </c>
      <c r="AL3376" s="182" t="n">
        <v>0</v>
      </c>
      <c r="AM3376" s="182" t="n">
        <v>0.08</v>
      </c>
      <c r="AN3376" s="182" t="n">
        <v>0</v>
      </c>
    </row>
    <row r="3377">
      <c r="A3377" s="155" t="n">
        <v>46097</v>
      </c>
      <c r="B3377" s="156" t="inlineStr">
        <is>
          <t>DS</t>
        </is>
      </c>
      <c r="C3377" s="156" t="inlineStr">
        <is>
          <t>DT-518</t>
        </is>
      </c>
      <c r="D3377" s="156" t="inlineStr">
        <is>
          <t>SKT 105S</t>
        </is>
      </c>
      <c r="E3377" s="156" t="inlineStr">
        <is>
          <t>Hauler</t>
        </is>
      </c>
      <c r="F3377" s="156" t="inlineStr">
        <is>
          <t>Hauling OB Support Material Ke Dirty ROM &amp; WS Lama</t>
        </is>
      </c>
      <c r="G3377" s="182" t="n">
        <v>5.69</v>
      </c>
      <c r="H3377" s="182" t="n">
        <v>0</v>
      </c>
      <c r="I3377" s="182" t="n">
        <v>0</v>
      </c>
      <c r="J3377" s="182" t="n">
        <v>0</v>
      </c>
      <c r="K3377" s="182" t="n">
        <v>6.31</v>
      </c>
      <c r="L3377" s="182" t="n">
        <v>12</v>
      </c>
      <c r="M3377" s="182" t="n">
        <v>5.69</v>
      </c>
      <c r="N3377" s="182" t="n">
        <v>0</v>
      </c>
      <c r="O3377" s="183" t="n">
        <v>17</v>
      </c>
      <c r="P3377" s="183" t="n">
        <v>0</v>
      </c>
      <c r="Q3377" s="184" t="n">
        <v>346.8</v>
      </c>
      <c r="R3377" s="184" t="n">
        <v>0</v>
      </c>
      <c r="S3377" s="183" t="n">
        <v>0</v>
      </c>
      <c r="T3377" s="183" t="n">
        <v>0</v>
      </c>
      <c r="U3377" s="182" t="n">
        <v>1.17</v>
      </c>
      <c r="V3377" s="182" t="n">
        <v>2.17</v>
      </c>
      <c r="W3377" s="182" t="n">
        <v>0</v>
      </c>
      <c r="X3377" s="182" t="n">
        <v>1</v>
      </c>
      <c r="Y3377" s="182" t="n">
        <v>0</v>
      </c>
      <c r="Z3377" s="182" t="n">
        <v>0.07000000000000001</v>
      </c>
      <c r="AA3377" s="182" t="n">
        <v>0</v>
      </c>
      <c r="AB3377" s="182" t="n">
        <v>1</v>
      </c>
      <c r="AC3377" s="182" t="n">
        <v>0</v>
      </c>
      <c r="AD3377" s="182" t="n">
        <v>0</v>
      </c>
      <c r="AE3377" s="182" t="n">
        <v>0</v>
      </c>
      <c r="AF3377" s="182" t="n">
        <v>0</v>
      </c>
      <c r="AG3377" s="182" t="n">
        <v>0</v>
      </c>
      <c r="AH3377" s="182" t="n">
        <v>0.82</v>
      </c>
      <c r="AI3377" s="182" t="n">
        <v>0</v>
      </c>
      <c r="AJ3377" s="182" t="n">
        <v>0</v>
      </c>
      <c r="AK3377" s="182" t="n">
        <v>0</v>
      </c>
      <c r="AL3377" s="182" t="n">
        <v>0</v>
      </c>
      <c r="AM3377" s="182" t="n">
        <v>0.08</v>
      </c>
      <c r="AN3377" s="182" t="n">
        <v>0</v>
      </c>
    </row>
    <row r="3378">
      <c r="A3378" s="155" t="n">
        <v>46097</v>
      </c>
      <c r="B3378" s="156" t="inlineStr">
        <is>
          <t>DS</t>
        </is>
      </c>
      <c r="C3378" s="156" t="inlineStr">
        <is>
          <t>DT-514</t>
        </is>
      </c>
      <c r="D3378" s="156" t="inlineStr">
        <is>
          <t>SKT 105S</t>
        </is>
      </c>
      <c r="E3378" s="156" t="inlineStr">
        <is>
          <t>Hauler</t>
        </is>
      </c>
      <c r="F3378" s="156" t="inlineStr">
        <is>
          <t>Hauling Coal S60</t>
        </is>
      </c>
      <c r="G3378" s="182" t="n">
        <v>4.48</v>
      </c>
      <c r="H3378" s="182" t="n">
        <v>0</v>
      </c>
      <c r="I3378" s="182" t="n">
        <v>0</v>
      </c>
      <c r="J3378" s="182" t="n">
        <v>0</v>
      </c>
      <c r="K3378" s="182" t="n">
        <v>7.52</v>
      </c>
      <c r="L3378" s="182" t="n">
        <v>12</v>
      </c>
      <c r="M3378" s="182" t="n">
        <v>0</v>
      </c>
      <c r="N3378" s="182" t="n">
        <v>4.48</v>
      </c>
      <c r="O3378" s="183" t="n">
        <v>0</v>
      </c>
      <c r="P3378" s="183" t="n">
        <v>13</v>
      </c>
      <c r="Q3378" s="184" t="n">
        <v>0</v>
      </c>
      <c r="R3378" s="184" t="n">
        <v>243.1</v>
      </c>
      <c r="S3378" s="183" t="n">
        <v>0</v>
      </c>
      <c r="T3378" s="183" t="n">
        <v>0</v>
      </c>
      <c r="U3378" s="182" t="n">
        <v>1.16</v>
      </c>
      <c r="V3378" s="182" t="n">
        <v>2.35</v>
      </c>
      <c r="W3378" s="182" t="n">
        <v>0</v>
      </c>
      <c r="X3378" s="182" t="n">
        <v>0.99</v>
      </c>
      <c r="Y3378" s="182" t="n">
        <v>0</v>
      </c>
      <c r="Z3378" s="182" t="n">
        <v>0</v>
      </c>
      <c r="AA3378" s="182" t="n">
        <v>0</v>
      </c>
      <c r="AB3378" s="182" t="n">
        <v>0.99</v>
      </c>
      <c r="AC3378" s="182" t="n">
        <v>0</v>
      </c>
      <c r="AD3378" s="182" t="n">
        <v>0</v>
      </c>
      <c r="AE3378" s="182" t="n">
        <v>0</v>
      </c>
      <c r="AF3378" s="182" t="n">
        <v>0</v>
      </c>
      <c r="AG3378" s="182" t="n">
        <v>0</v>
      </c>
      <c r="AH3378" s="182" t="n">
        <v>0.79</v>
      </c>
      <c r="AI3378" s="182" t="n">
        <v>1.17</v>
      </c>
      <c r="AJ3378" s="182" t="n">
        <v>0</v>
      </c>
      <c r="AK3378" s="182" t="n">
        <v>0</v>
      </c>
      <c r="AL3378" s="182" t="n">
        <v>0</v>
      </c>
      <c r="AM3378" s="182" t="n">
        <v>0.08</v>
      </c>
      <c r="AN3378" s="182" t="n">
        <v>0</v>
      </c>
    </row>
    <row r="3379">
      <c r="A3379" s="155" t="n">
        <v>46097</v>
      </c>
      <c r="B3379" s="156" t="inlineStr">
        <is>
          <t>DS</t>
        </is>
      </c>
      <c r="C3379" s="156" t="inlineStr">
        <is>
          <t>DT-523</t>
        </is>
      </c>
      <c r="D3379" s="156" t="inlineStr">
        <is>
          <t>SKT 105S</t>
        </is>
      </c>
      <c r="E3379" s="156" t="inlineStr">
        <is>
          <t>Hauler</t>
        </is>
      </c>
      <c r="F3379" s="156" t="inlineStr">
        <is>
          <t>Hauling Spoil Blend &amp; OB</t>
        </is>
      </c>
      <c r="G3379" s="182" t="n">
        <v>6.55</v>
      </c>
      <c r="H3379" s="182" t="n">
        <v>0</v>
      </c>
      <c r="I3379" s="182" t="n">
        <v>0</v>
      </c>
      <c r="J3379" s="182" t="n">
        <v>0</v>
      </c>
      <c r="K3379" s="182" t="n">
        <v>5.45</v>
      </c>
      <c r="L3379" s="182" t="n">
        <v>12</v>
      </c>
      <c r="M3379" s="182" t="n">
        <v>6.55</v>
      </c>
      <c r="N3379" s="182" t="n">
        <v>0</v>
      </c>
      <c r="O3379" s="183" t="n">
        <v>23</v>
      </c>
      <c r="P3379" s="183" t="n">
        <v>0</v>
      </c>
      <c r="Q3379" s="184" t="n">
        <v>457.5</v>
      </c>
      <c r="R3379" s="184" t="n">
        <v>0</v>
      </c>
      <c r="S3379" s="183" t="n">
        <v>0</v>
      </c>
      <c r="T3379" s="183" t="n">
        <v>0</v>
      </c>
      <c r="U3379" s="182" t="n">
        <v>1.25</v>
      </c>
      <c r="V3379" s="182" t="n">
        <v>1.28</v>
      </c>
      <c r="W3379" s="182" t="n">
        <v>0</v>
      </c>
      <c r="X3379" s="182" t="n">
        <v>1.07</v>
      </c>
      <c r="Y3379" s="182" t="n">
        <v>0</v>
      </c>
      <c r="Z3379" s="182" t="n">
        <v>0.07000000000000001</v>
      </c>
      <c r="AA3379" s="182" t="n">
        <v>0</v>
      </c>
      <c r="AB3379" s="182" t="n">
        <v>1.07</v>
      </c>
      <c r="AC3379" s="182" t="n">
        <v>0</v>
      </c>
      <c r="AD3379" s="182" t="n">
        <v>0</v>
      </c>
      <c r="AE3379" s="182" t="n">
        <v>0</v>
      </c>
      <c r="AF3379" s="182" t="n">
        <v>0</v>
      </c>
      <c r="AG3379" s="182" t="n">
        <v>0</v>
      </c>
      <c r="AH3379" s="182" t="n">
        <v>0.62</v>
      </c>
      <c r="AI3379" s="182" t="n">
        <v>0</v>
      </c>
      <c r="AJ3379" s="182" t="n">
        <v>0</v>
      </c>
      <c r="AK3379" s="182" t="n">
        <v>0</v>
      </c>
      <c r="AL3379" s="182" t="n">
        <v>0</v>
      </c>
      <c r="AM3379" s="182" t="n">
        <v>0.09</v>
      </c>
      <c r="AN3379" s="182" t="n">
        <v>0</v>
      </c>
    </row>
    <row r="3380">
      <c r="A3380" s="155" t="n">
        <v>46097</v>
      </c>
      <c r="B3380" s="156" t="inlineStr">
        <is>
          <t>DS</t>
        </is>
      </c>
      <c r="C3380" s="156" t="inlineStr">
        <is>
          <t>DT-519</t>
        </is>
      </c>
      <c r="D3380" s="156" t="inlineStr">
        <is>
          <t>SKT 105S</t>
        </is>
      </c>
      <c r="E3380" s="156" t="inlineStr">
        <is>
          <t>Hauler</t>
        </is>
      </c>
      <c r="F3380" s="156" t="inlineStr">
        <is>
          <t>Hauling Coal S60</t>
        </is>
      </c>
      <c r="G3380" s="182" t="n">
        <v>2.03</v>
      </c>
      <c r="H3380" s="182" t="n">
        <v>0</v>
      </c>
      <c r="I3380" s="182" t="n">
        <v>0.25</v>
      </c>
      <c r="J3380" s="182" t="n">
        <v>0.25</v>
      </c>
      <c r="K3380" s="182" t="n">
        <v>9.720000000000001</v>
      </c>
      <c r="L3380" s="182" t="n">
        <v>12</v>
      </c>
      <c r="M3380" s="182" t="n">
        <v>0</v>
      </c>
      <c r="N3380" s="182" t="n">
        <v>2.03</v>
      </c>
      <c r="O3380" s="183" t="n">
        <v>0</v>
      </c>
      <c r="P3380" s="183" t="n">
        <v>3</v>
      </c>
      <c r="Q3380" s="184" t="n">
        <v>0</v>
      </c>
      <c r="R3380" s="184" t="n">
        <v>56.1</v>
      </c>
      <c r="S3380" s="183" t="n">
        <v>0</v>
      </c>
      <c r="T3380" s="183" t="n">
        <v>0</v>
      </c>
      <c r="U3380" s="182" t="n">
        <v>1.15</v>
      </c>
      <c r="V3380" s="182" t="n">
        <v>2.34</v>
      </c>
      <c r="W3380" s="182" t="n">
        <v>0</v>
      </c>
      <c r="X3380" s="182" t="n">
        <v>0.99</v>
      </c>
      <c r="Y3380" s="182" t="n">
        <v>0</v>
      </c>
      <c r="Z3380" s="182" t="n">
        <v>0</v>
      </c>
      <c r="AA3380" s="182" t="n">
        <v>0</v>
      </c>
      <c r="AB3380" s="182" t="n">
        <v>0.99</v>
      </c>
      <c r="AC3380" s="182" t="n">
        <v>0</v>
      </c>
      <c r="AD3380" s="182" t="n">
        <v>0</v>
      </c>
      <c r="AE3380" s="182" t="n">
        <v>0</v>
      </c>
      <c r="AF3380" s="182" t="n">
        <v>0</v>
      </c>
      <c r="AG3380" s="182" t="n">
        <v>0</v>
      </c>
      <c r="AH3380" s="182" t="n">
        <v>0.49</v>
      </c>
      <c r="AI3380" s="182" t="n">
        <v>1.16</v>
      </c>
      <c r="AJ3380" s="182" t="n">
        <v>0</v>
      </c>
      <c r="AK3380" s="182" t="n">
        <v>2.52</v>
      </c>
      <c r="AL3380" s="182" t="n">
        <v>0</v>
      </c>
      <c r="AM3380" s="182" t="n">
        <v>0.08</v>
      </c>
      <c r="AN3380" s="182" t="n">
        <v>0</v>
      </c>
    </row>
    <row r="3381">
      <c r="A3381" s="155" t="n">
        <v>46097</v>
      </c>
      <c r="B3381" s="156" t="inlineStr">
        <is>
          <t>DS</t>
        </is>
      </c>
      <c r="C3381" s="156" t="inlineStr">
        <is>
          <t>DT-527</t>
        </is>
      </c>
      <c r="D3381" s="156" t="inlineStr">
        <is>
          <t>SKT 105S</t>
        </is>
      </c>
      <c r="E3381" s="156" t="inlineStr">
        <is>
          <t>Hauler</t>
        </is>
      </c>
      <c r="F3381" s="156" t="inlineStr">
        <is>
          <t>Hauling spoil &amp; OB</t>
        </is>
      </c>
      <c r="G3381" s="182" t="n">
        <v>7.83</v>
      </c>
      <c r="H3381" s="182" t="n">
        <v>0</v>
      </c>
      <c r="I3381" s="182" t="n">
        <v>1</v>
      </c>
      <c r="J3381" s="182" t="n">
        <v>1</v>
      </c>
      <c r="K3381" s="182" t="n">
        <v>3.17</v>
      </c>
      <c r="L3381" s="182" t="n">
        <v>12</v>
      </c>
      <c r="M3381" s="182" t="n">
        <v>5.64</v>
      </c>
      <c r="N3381" s="182" t="n">
        <v>0</v>
      </c>
      <c r="O3381" s="183" t="n">
        <v>15</v>
      </c>
      <c r="P3381" s="183" t="n">
        <v>0</v>
      </c>
      <c r="Q3381" s="184" t="n">
        <v>306</v>
      </c>
      <c r="R3381" s="184" t="n">
        <v>0</v>
      </c>
      <c r="S3381" s="183" t="n">
        <v>0</v>
      </c>
      <c r="T3381" s="183" t="n">
        <v>0</v>
      </c>
      <c r="U3381" s="182" t="n">
        <v>1.06</v>
      </c>
      <c r="V3381" s="182" t="n">
        <v>0.16</v>
      </c>
      <c r="W3381" s="182" t="n">
        <v>0</v>
      </c>
      <c r="X3381" s="182" t="n">
        <v>0.91</v>
      </c>
      <c r="Y3381" s="182" t="n">
        <v>0</v>
      </c>
      <c r="Z3381" s="182" t="n">
        <v>0.06</v>
      </c>
      <c r="AA3381" s="182" t="n">
        <v>0</v>
      </c>
      <c r="AB3381" s="182" t="n">
        <v>0.91</v>
      </c>
      <c r="AC3381" s="182" t="n">
        <v>0</v>
      </c>
      <c r="AD3381" s="182" t="n">
        <v>0</v>
      </c>
      <c r="AE3381" s="182" t="n">
        <v>0</v>
      </c>
      <c r="AF3381" s="182" t="n">
        <v>0</v>
      </c>
      <c r="AG3381" s="182" t="n">
        <v>0</v>
      </c>
      <c r="AH3381" s="182" t="n">
        <v>0</v>
      </c>
      <c r="AI3381" s="182" t="n">
        <v>0</v>
      </c>
      <c r="AJ3381" s="182" t="n">
        <v>0</v>
      </c>
      <c r="AK3381" s="182" t="n">
        <v>0</v>
      </c>
      <c r="AL3381" s="182" t="n">
        <v>0</v>
      </c>
      <c r="AM3381" s="182" t="n">
        <v>0.07000000000000001</v>
      </c>
      <c r="AN3381" s="182" t="n">
        <v>0</v>
      </c>
    </row>
    <row r="3382">
      <c r="A3382" s="155" t="n">
        <v>46097</v>
      </c>
      <c r="B3382" s="156" t="inlineStr">
        <is>
          <t>DS</t>
        </is>
      </c>
      <c r="C3382" s="156" t="inlineStr">
        <is>
          <t>DT-513</t>
        </is>
      </c>
      <c r="D3382" s="156" t="inlineStr">
        <is>
          <t>SKT 105S</t>
        </is>
      </c>
      <c r="E3382" s="156" t="inlineStr">
        <is>
          <t>Hauler</t>
        </is>
      </c>
      <c r="F3382" s="156" t="inlineStr">
        <is>
          <t>Hauling Coal S60</t>
        </is>
      </c>
      <c r="G3382" s="182" t="n">
        <v>4.4</v>
      </c>
      <c r="H3382" s="182" t="n">
        <v>0</v>
      </c>
      <c r="I3382" s="182" t="n">
        <v>0</v>
      </c>
      <c r="J3382" s="182" t="n">
        <v>0</v>
      </c>
      <c r="K3382" s="182" t="n">
        <v>7.6</v>
      </c>
      <c r="L3382" s="182" t="n">
        <v>12</v>
      </c>
      <c r="M3382" s="182" t="n">
        <v>0</v>
      </c>
      <c r="N3382" s="182" t="n">
        <v>4.4</v>
      </c>
      <c r="O3382" s="183" t="n">
        <v>0</v>
      </c>
      <c r="P3382" s="183" t="n">
        <v>9</v>
      </c>
      <c r="Q3382" s="184" t="n">
        <v>0</v>
      </c>
      <c r="R3382" s="184" t="n">
        <v>168.3</v>
      </c>
      <c r="S3382" s="183" t="n">
        <v>0</v>
      </c>
      <c r="T3382" s="183" t="n">
        <v>0</v>
      </c>
      <c r="U3382" s="182" t="n">
        <v>1.13</v>
      </c>
      <c r="V3382" s="182" t="n">
        <v>2.28</v>
      </c>
      <c r="W3382" s="182" t="n">
        <v>0</v>
      </c>
      <c r="X3382" s="182" t="n">
        <v>0.96</v>
      </c>
      <c r="Y3382" s="182" t="n">
        <v>0</v>
      </c>
      <c r="Z3382" s="182" t="n">
        <v>0</v>
      </c>
      <c r="AA3382" s="182" t="n">
        <v>0</v>
      </c>
      <c r="AB3382" s="182" t="n">
        <v>0.96</v>
      </c>
      <c r="AC3382" s="182" t="n">
        <v>0</v>
      </c>
      <c r="AD3382" s="182" t="n">
        <v>0</v>
      </c>
      <c r="AE3382" s="182" t="n">
        <v>0</v>
      </c>
      <c r="AF3382" s="182" t="n">
        <v>0</v>
      </c>
      <c r="AG3382" s="182" t="n">
        <v>0</v>
      </c>
      <c r="AH3382" s="182" t="n">
        <v>0.48</v>
      </c>
      <c r="AI3382" s="182" t="n">
        <v>1.14</v>
      </c>
      <c r="AJ3382" s="182" t="n">
        <v>0</v>
      </c>
      <c r="AK3382" s="182" t="n">
        <v>0.58</v>
      </c>
      <c r="AL3382" s="182" t="n">
        <v>0</v>
      </c>
      <c r="AM3382" s="182" t="n">
        <v>0.08</v>
      </c>
      <c r="AN3382" s="182" t="n">
        <v>0</v>
      </c>
    </row>
    <row r="3383">
      <c r="A3383" s="155" t="n">
        <v>46097</v>
      </c>
      <c r="B3383" s="156" t="inlineStr">
        <is>
          <t>DS</t>
        </is>
      </c>
      <c r="C3383" s="156" t="inlineStr">
        <is>
          <t>DT-512</t>
        </is>
      </c>
      <c r="D3383" s="156" t="inlineStr">
        <is>
          <t>SKT 105S</t>
        </is>
      </c>
      <c r="E3383" s="156" t="inlineStr">
        <is>
          <t>Hauler</t>
        </is>
      </c>
      <c r="F3383" s="156" t="inlineStr">
        <is>
          <t>Hauling spoil &amp; OB</t>
        </is>
      </c>
      <c r="G3383" s="182" t="n">
        <v>7.79</v>
      </c>
      <c r="H3383" s="182" t="n">
        <v>0</v>
      </c>
      <c r="I3383" s="182" t="n">
        <v>0</v>
      </c>
      <c r="J3383" s="182" t="n">
        <v>0</v>
      </c>
      <c r="K3383" s="182" t="n">
        <v>4.21</v>
      </c>
      <c r="L3383" s="182" t="n">
        <v>12</v>
      </c>
      <c r="M3383" s="182" t="n">
        <v>6.1</v>
      </c>
      <c r="N3383" s="182" t="n">
        <v>0</v>
      </c>
      <c r="O3383" s="183" t="n">
        <v>18</v>
      </c>
      <c r="P3383" s="183" t="n">
        <v>0</v>
      </c>
      <c r="Q3383" s="184" t="n">
        <v>367.2</v>
      </c>
      <c r="R3383" s="184" t="n">
        <v>0</v>
      </c>
      <c r="S3383" s="183" t="n">
        <v>0</v>
      </c>
      <c r="T3383" s="183" t="n">
        <v>0</v>
      </c>
      <c r="U3383" s="182" t="n">
        <v>1.09</v>
      </c>
      <c r="V3383" s="182" t="n">
        <v>0.86</v>
      </c>
      <c r="W3383" s="182" t="n">
        <v>0</v>
      </c>
      <c r="X3383" s="182" t="n">
        <v>0.9399999999999999</v>
      </c>
      <c r="Y3383" s="182" t="n">
        <v>0</v>
      </c>
      <c r="Z3383" s="182" t="n">
        <v>0.07000000000000001</v>
      </c>
      <c r="AA3383" s="182" t="n">
        <v>0</v>
      </c>
      <c r="AB3383" s="182" t="n">
        <v>0.9399999999999999</v>
      </c>
      <c r="AC3383" s="182" t="n">
        <v>0</v>
      </c>
      <c r="AD3383" s="182" t="n">
        <v>0</v>
      </c>
      <c r="AE3383" s="182" t="n">
        <v>0</v>
      </c>
      <c r="AF3383" s="182" t="n">
        <v>0</v>
      </c>
      <c r="AG3383" s="182" t="n">
        <v>0</v>
      </c>
      <c r="AH3383" s="182" t="n">
        <v>0.25</v>
      </c>
      <c r="AI3383" s="182" t="n">
        <v>0</v>
      </c>
      <c r="AJ3383" s="182" t="n">
        <v>0</v>
      </c>
      <c r="AK3383" s="182" t="n">
        <v>0</v>
      </c>
      <c r="AL3383" s="182" t="n">
        <v>0</v>
      </c>
      <c r="AM3383" s="182" t="n">
        <v>0.07000000000000001</v>
      </c>
      <c r="AN3383" s="182" t="n">
        <v>0</v>
      </c>
    </row>
    <row r="3384">
      <c r="A3384" s="155" t="n">
        <v>46097</v>
      </c>
      <c r="B3384" s="156" t="inlineStr">
        <is>
          <t>DS</t>
        </is>
      </c>
      <c r="C3384" s="156" t="inlineStr">
        <is>
          <t>DT-522</t>
        </is>
      </c>
      <c r="D3384" s="156" t="inlineStr">
        <is>
          <t>SKT 105S</t>
        </is>
      </c>
      <c r="E3384" s="156" t="inlineStr">
        <is>
          <t>Hauler</t>
        </is>
      </c>
      <c r="F3384" s="156" t="inlineStr"/>
      <c r="G3384" s="182" t="n">
        <v>0</v>
      </c>
      <c r="H3384" s="182" t="n">
        <v>12</v>
      </c>
      <c r="I3384" s="182" t="n">
        <v>0</v>
      </c>
      <c r="J3384" s="182" t="n">
        <v>12</v>
      </c>
      <c r="K3384" s="182" t="n">
        <v>0</v>
      </c>
      <c r="L3384" s="182" t="n">
        <v>12</v>
      </c>
      <c r="M3384" s="182" t="n">
        <v>0</v>
      </c>
      <c r="N3384" s="182" t="n">
        <v>0</v>
      </c>
      <c r="O3384" s="183" t="n">
        <v>0</v>
      </c>
      <c r="P3384" s="183" t="n">
        <v>0</v>
      </c>
      <c r="Q3384" s="184" t="n">
        <v>0</v>
      </c>
      <c r="R3384" s="184" t="n">
        <v>0</v>
      </c>
      <c r="S3384" s="183" t="n">
        <v>0</v>
      </c>
      <c r="T3384" s="183" t="n">
        <v>0</v>
      </c>
      <c r="U3384" s="182" t="n">
        <v>0</v>
      </c>
      <c r="V3384" s="182" t="n">
        <v>0</v>
      </c>
      <c r="W3384" s="182" t="n">
        <v>0</v>
      </c>
      <c r="X3384" s="182" t="n">
        <v>0</v>
      </c>
      <c r="Y3384" s="182" t="n">
        <v>0</v>
      </c>
      <c r="Z3384" s="182" t="n">
        <v>0</v>
      </c>
      <c r="AA3384" s="182" t="n">
        <v>0</v>
      </c>
      <c r="AB3384" s="182" t="n">
        <v>0</v>
      </c>
      <c r="AC3384" s="182" t="n">
        <v>0</v>
      </c>
      <c r="AD3384" s="182" t="n">
        <v>0</v>
      </c>
      <c r="AE3384" s="182" t="n">
        <v>0</v>
      </c>
      <c r="AF3384" s="182" t="n">
        <v>0</v>
      </c>
      <c r="AG3384" s="182" t="n">
        <v>0</v>
      </c>
      <c r="AH3384" s="182" t="n">
        <v>0</v>
      </c>
      <c r="AI3384" s="182" t="n">
        <v>0</v>
      </c>
      <c r="AJ3384" s="182" t="n">
        <v>0</v>
      </c>
      <c r="AK3384" s="182" t="n">
        <v>0</v>
      </c>
      <c r="AL3384" s="182" t="n">
        <v>0</v>
      </c>
      <c r="AM3384" s="182" t="n">
        <v>0</v>
      </c>
      <c r="AN3384" s="182" t="n">
        <v>0</v>
      </c>
    </row>
    <row r="3385">
      <c r="A3385" s="155" t="n">
        <v>46097</v>
      </c>
      <c r="B3385" s="156" t="inlineStr">
        <is>
          <t>DS</t>
        </is>
      </c>
      <c r="C3385" s="156" t="inlineStr">
        <is>
          <t>DT-517</t>
        </is>
      </c>
      <c r="D3385" s="156" t="inlineStr">
        <is>
          <t>SKT 105S</t>
        </is>
      </c>
      <c r="E3385" s="156" t="inlineStr">
        <is>
          <t>Hauler</t>
        </is>
      </c>
      <c r="F3385" s="156" t="inlineStr">
        <is>
          <t>Hauling OB</t>
        </is>
      </c>
      <c r="G3385" s="182" t="n">
        <v>4.69</v>
      </c>
      <c r="H3385" s="182" t="n">
        <v>0</v>
      </c>
      <c r="I3385" s="182" t="n">
        <v>0</v>
      </c>
      <c r="J3385" s="182" t="n">
        <v>0</v>
      </c>
      <c r="K3385" s="182" t="n">
        <v>7.31</v>
      </c>
      <c r="L3385" s="182" t="n">
        <v>12</v>
      </c>
      <c r="M3385" s="182" t="n">
        <v>4.69</v>
      </c>
      <c r="N3385" s="182" t="n">
        <v>0</v>
      </c>
      <c r="O3385" s="183" t="n">
        <v>15</v>
      </c>
      <c r="P3385" s="183" t="n">
        <v>0</v>
      </c>
      <c r="Q3385" s="184" t="n">
        <v>306</v>
      </c>
      <c r="R3385" s="184" t="n">
        <v>0</v>
      </c>
      <c r="S3385" s="183" t="n">
        <v>0</v>
      </c>
      <c r="T3385" s="183" t="n">
        <v>0</v>
      </c>
      <c r="U3385" s="182" t="n">
        <v>0</v>
      </c>
      <c r="V3385" s="182" t="n">
        <v>0</v>
      </c>
      <c r="W3385" s="182" t="n">
        <v>0</v>
      </c>
      <c r="X3385" s="182" t="n">
        <v>1.02</v>
      </c>
      <c r="Y3385" s="182" t="n">
        <v>0</v>
      </c>
      <c r="Z3385" s="182" t="n">
        <v>0</v>
      </c>
      <c r="AA3385" s="182" t="n">
        <v>0</v>
      </c>
      <c r="AB3385" s="182" t="n">
        <v>1.02</v>
      </c>
      <c r="AC3385" s="182" t="n">
        <v>0</v>
      </c>
      <c r="AD3385" s="182" t="n">
        <v>0</v>
      </c>
      <c r="AE3385" s="182" t="n">
        <v>0</v>
      </c>
      <c r="AF3385" s="182" t="n">
        <v>0</v>
      </c>
      <c r="AG3385" s="182" t="n">
        <v>0</v>
      </c>
      <c r="AH3385" s="182" t="n">
        <v>0.41</v>
      </c>
      <c r="AI3385" s="182" t="n">
        <v>0</v>
      </c>
      <c r="AJ3385" s="182" t="n">
        <v>0</v>
      </c>
      <c r="AK3385" s="182" t="n">
        <v>4.79</v>
      </c>
      <c r="AL3385" s="182" t="n">
        <v>0</v>
      </c>
      <c r="AM3385" s="182" t="n">
        <v>0.08</v>
      </c>
      <c r="AN3385" s="182" t="n">
        <v>0</v>
      </c>
    </row>
    <row r="3386">
      <c r="A3386" s="155" t="n">
        <v>46097</v>
      </c>
      <c r="B3386" s="156" t="inlineStr">
        <is>
          <t>DS</t>
        </is>
      </c>
      <c r="C3386" s="156" t="inlineStr">
        <is>
          <t>DT-510</t>
        </is>
      </c>
      <c r="D3386" s="156" t="inlineStr">
        <is>
          <t>SKT 105S</t>
        </is>
      </c>
      <c r="E3386" s="156" t="inlineStr">
        <is>
          <t>Hauler</t>
        </is>
      </c>
      <c r="F3386" s="156" t="inlineStr">
        <is>
          <t>Hauling spoil &amp; OB</t>
        </is>
      </c>
      <c r="G3386" s="182" t="n">
        <v>6.69</v>
      </c>
      <c r="H3386" s="182" t="n">
        <v>0</v>
      </c>
      <c r="I3386" s="182" t="n">
        <v>0</v>
      </c>
      <c r="J3386" s="182" t="n">
        <v>0</v>
      </c>
      <c r="K3386" s="182" t="n">
        <v>5.31</v>
      </c>
      <c r="L3386" s="182" t="n">
        <v>12</v>
      </c>
      <c r="M3386" s="182" t="n">
        <v>5.04</v>
      </c>
      <c r="N3386" s="182" t="n">
        <v>0</v>
      </c>
      <c r="O3386" s="183" t="n">
        <v>17</v>
      </c>
      <c r="P3386" s="183" t="n">
        <v>0</v>
      </c>
      <c r="Q3386" s="184" t="n">
        <v>346.8</v>
      </c>
      <c r="R3386" s="184" t="n">
        <v>0</v>
      </c>
      <c r="S3386" s="183" t="n">
        <v>0</v>
      </c>
      <c r="T3386" s="183" t="n">
        <v>0</v>
      </c>
      <c r="U3386" s="182" t="n">
        <v>1.15</v>
      </c>
      <c r="V3386" s="182" t="n">
        <v>0.9</v>
      </c>
      <c r="W3386" s="182" t="n">
        <v>0</v>
      </c>
      <c r="X3386" s="182" t="n">
        <v>0.98</v>
      </c>
      <c r="Y3386" s="182" t="n">
        <v>0</v>
      </c>
      <c r="Z3386" s="182" t="n">
        <v>0.07000000000000001</v>
      </c>
      <c r="AA3386" s="182" t="n">
        <v>0</v>
      </c>
      <c r="AB3386" s="182" t="n">
        <v>0.98</v>
      </c>
      <c r="AC3386" s="182" t="n">
        <v>0</v>
      </c>
      <c r="AD3386" s="182" t="n">
        <v>0</v>
      </c>
      <c r="AE3386" s="182" t="n">
        <v>0</v>
      </c>
      <c r="AF3386" s="182" t="n">
        <v>0</v>
      </c>
      <c r="AG3386" s="182" t="n">
        <v>0.51</v>
      </c>
      <c r="AH3386" s="182" t="n">
        <v>0.64</v>
      </c>
      <c r="AI3386" s="182" t="n">
        <v>0</v>
      </c>
      <c r="AJ3386" s="182" t="n">
        <v>0</v>
      </c>
      <c r="AK3386" s="182" t="n">
        <v>0</v>
      </c>
      <c r="AL3386" s="182" t="n">
        <v>0</v>
      </c>
      <c r="AM3386" s="182" t="n">
        <v>0.08</v>
      </c>
      <c r="AN3386" s="182" t="n">
        <v>0</v>
      </c>
    </row>
    <row r="3387">
      <c r="A3387" s="155" t="n">
        <v>46097</v>
      </c>
      <c r="B3387" s="156" t="inlineStr">
        <is>
          <t>DS</t>
        </is>
      </c>
      <c r="C3387" s="156" t="inlineStr">
        <is>
          <t>DT-521</t>
        </is>
      </c>
      <c r="D3387" s="156" t="inlineStr">
        <is>
          <t>SKT 105S</t>
        </is>
      </c>
      <c r="E3387" s="156" t="inlineStr">
        <is>
          <t>Hauler</t>
        </is>
      </c>
      <c r="F3387" s="156" t="inlineStr">
        <is>
          <t>Hauling spoil &amp; OB</t>
        </is>
      </c>
      <c r="G3387" s="182" t="n">
        <v>6.76</v>
      </c>
      <c r="H3387" s="182" t="n">
        <v>4.92</v>
      </c>
      <c r="I3387" s="182" t="n">
        <v>0</v>
      </c>
      <c r="J3387" s="182" t="n">
        <v>4.92</v>
      </c>
      <c r="K3387" s="182" t="n">
        <v>0.32</v>
      </c>
      <c r="L3387" s="182" t="n">
        <v>12</v>
      </c>
      <c r="M3387" s="182" t="n">
        <v>4.95</v>
      </c>
      <c r="N3387" s="182" t="n">
        <v>0</v>
      </c>
      <c r="O3387" s="183" t="n">
        <v>15</v>
      </c>
      <c r="P3387" s="183" t="n">
        <v>0</v>
      </c>
      <c r="Q3387" s="184" t="n">
        <v>306</v>
      </c>
      <c r="R3387" s="184" t="n">
        <v>0</v>
      </c>
      <c r="S3387" s="183" t="n">
        <v>0</v>
      </c>
      <c r="T3387" s="183" t="n">
        <v>0</v>
      </c>
      <c r="U3387" s="182" t="n">
        <v>0</v>
      </c>
      <c r="V3387" s="182" t="n">
        <v>0</v>
      </c>
      <c r="W3387" s="182" t="n">
        <v>0</v>
      </c>
      <c r="X3387" s="182" t="n">
        <v>0</v>
      </c>
      <c r="Y3387" s="182" t="n">
        <v>0</v>
      </c>
      <c r="Z3387" s="182" t="n">
        <v>0</v>
      </c>
      <c r="AA3387" s="182" t="n">
        <v>0</v>
      </c>
      <c r="AB3387" s="182" t="n">
        <v>0</v>
      </c>
      <c r="AC3387" s="182" t="n">
        <v>0</v>
      </c>
      <c r="AD3387" s="182" t="n">
        <v>0</v>
      </c>
      <c r="AE3387" s="182" t="n">
        <v>0</v>
      </c>
      <c r="AF3387" s="182" t="n">
        <v>0</v>
      </c>
      <c r="AG3387" s="182" t="n">
        <v>0</v>
      </c>
      <c r="AH3387" s="182" t="n">
        <v>0</v>
      </c>
      <c r="AI3387" s="182" t="n">
        <v>0</v>
      </c>
      <c r="AJ3387" s="182" t="n">
        <v>0</v>
      </c>
      <c r="AK3387" s="182" t="n">
        <v>0</v>
      </c>
      <c r="AL3387" s="182" t="n">
        <v>0</v>
      </c>
      <c r="AM3387" s="182" t="n">
        <v>0.32</v>
      </c>
      <c r="AN3387" s="182" t="n">
        <v>0</v>
      </c>
    </row>
    <row r="3388">
      <c r="A3388" s="155" t="n">
        <v>46097</v>
      </c>
      <c r="B3388" s="156" t="inlineStr">
        <is>
          <t>DS</t>
        </is>
      </c>
      <c r="C3388" s="156" t="inlineStr">
        <is>
          <t>DT-516</t>
        </is>
      </c>
      <c r="D3388" s="156" t="inlineStr">
        <is>
          <t>SKT 105S</t>
        </is>
      </c>
      <c r="E3388" s="156" t="inlineStr">
        <is>
          <t>Hauler</t>
        </is>
      </c>
      <c r="F3388" s="156" t="inlineStr">
        <is>
          <t>Hauling OB Longsoran LW</t>
        </is>
      </c>
      <c r="G3388" s="182" t="n">
        <v>6.96</v>
      </c>
      <c r="H3388" s="182" t="n">
        <v>0</v>
      </c>
      <c r="I3388" s="182" t="n">
        <v>0</v>
      </c>
      <c r="J3388" s="182" t="n">
        <v>0</v>
      </c>
      <c r="K3388" s="182" t="n">
        <v>5.04</v>
      </c>
      <c r="L3388" s="182" t="n">
        <v>12</v>
      </c>
      <c r="M3388" s="182" t="n">
        <v>6.96</v>
      </c>
      <c r="N3388" s="182" t="n">
        <v>0</v>
      </c>
      <c r="O3388" s="183" t="n">
        <v>27</v>
      </c>
      <c r="P3388" s="183" t="n">
        <v>0</v>
      </c>
      <c r="Q3388" s="184" t="n">
        <v>440.7</v>
      </c>
      <c r="R3388" s="184" t="n">
        <v>0</v>
      </c>
      <c r="S3388" s="183" t="n">
        <v>0</v>
      </c>
      <c r="T3388" s="183" t="n">
        <v>0</v>
      </c>
      <c r="U3388" s="182" t="n">
        <v>1.18</v>
      </c>
      <c r="V3388" s="182" t="n">
        <v>1.33</v>
      </c>
      <c r="W3388" s="182" t="n">
        <v>0</v>
      </c>
      <c r="X3388" s="182" t="n">
        <v>1.01</v>
      </c>
      <c r="Y3388" s="182" t="n">
        <v>0</v>
      </c>
      <c r="Z3388" s="182" t="n">
        <v>0</v>
      </c>
      <c r="AA3388" s="182" t="n">
        <v>0</v>
      </c>
      <c r="AB3388" s="182" t="n">
        <v>1.01</v>
      </c>
      <c r="AC3388" s="182" t="n">
        <v>0</v>
      </c>
      <c r="AD3388" s="182" t="n">
        <v>0</v>
      </c>
      <c r="AE3388" s="182" t="n">
        <v>0</v>
      </c>
      <c r="AF3388" s="182" t="n">
        <v>0</v>
      </c>
      <c r="AG3388" s="182" t="n">
        <v>0</v>
      </c>
      <c r="AH3388" s="182" t="n">
        <v>0.43</v>
      </c>
      <c r="AI3388" s="182" t="n">
        <v>0</v>
      </c>
      <c r="AJ3388" s="182" t="n">
        <v>0</v>
      </c>
      <c r="AK3388" s="182" t="n">
        <v>0</v>
      </c>
      <c r="AL3388" s="182" t="n">
        <v>0</v>
      </c>
      <c r="AM3388" s="182" t="n">
        <v>0.08</v>
      </c>
      <c r="AN3388" s="182" t="n">
        <v>0</v>
      </c>
    </row>
    <row r="3389">
      <c r="A3389" s="155" t="n">
        <v>46097</v>
      </c>
      <c r="B3389" s="156" t="inlineStr">
        <is>
          <t>DS</t>
        </is>
      </c>
      <c r="C3389" s="156" t="inlineStr">
        <is>
          <t>DT-506</t>
        </is>
      </c>
      <c r="D3389" s="156" t="inlineStr">
        <is>
          <t>SKT 105S</t>
        </is>
      </c>
      <c r="E3389" s="156" t="inlineStr">
        <is>
          <t>Hauler</t>
        </is>
      </c>
      <c r="F3389" s="156" t="inlineStr">
        <is>
          <t>Hauling Spoil Blend &amp; OB</t>
        </is>
      </c>
      <c r="G3389" s="182" t="n">
        <v>7.53</v>
      </c>
      <c r="H3389" s="182" t="n">
        <v>0</v>
      </c>
      <c r="I3389" s="182" t="n">
        <v>0</v>
      </c>
      <c r="J3389" s="182" t="n">
        <v>0</v>
      </c>
      <c r="K3389" s="182" t="n">
        <v>4.47</v>
      </c>
      <c r="L3389" s="182" t="n">
        <v>12</v>
      </c>
      <c r="M3389" s="182" t="n">
        <v>7.53</v>
      </c>
      <c r="N3389" s="182" t="n">
        <v>0</v>
      </c>
      <c r="O3389" s="183" t="n">
        <v>23</v>
      </c>
      <c r="P3389" s="183" t="n">
        <v>0</v>
      </c>
      <c r="Q3389" s="184" t="n">
        <v>454.2</v>
      </c>
      <c r="R3389" s="184" t="n">
        <v>0</v>
      </c>
      <c r="S3389" s="183" t="n">
        <v>0</v>
      </c>
      <c r="T3389" s="183" t="n">
        <v>0</v>
      </c>
      <c r="U3389" s="182" t="n">
        <v>1.07</v>
      </c>
      <c r="V3389" s="182" t="n">
        <v>1.09</v>
      </c>
      <c r="W3389" s="182" t="n">
        <v>0</v>
      </c>
      <c r="X3389" s="182" t="n">
        <v>0.91</v>
      </c>
      <c r="Y3389" s="182" t="n">
        <v>0</v>
      </c>
      <c r="Z3389" s="182" t="n">
        <v>0.06</v>
      </c>
      <c r="AA3389" s="182" t="n">
        <v>0</v>
      </c>
      <c r="AB3389" s="182" t="n">
        <v>0.91</v>
      </c>
      <c r="AC3389" s="182" t="n">
        <v>0</v>
      </c>
      <c r="AD3389" s="182" t="n">
        <v>0</v>
      </c>
      <c r="AE3389" s="182" t="n">
        <v>0</v>
      </c>
      <c r="AF3389" s="182" t="n">
        <v>0</v>
      </c>
      <c r="AG3389" s="182" t="n">
        <v>0</v>
      </c>
      <c r="AH3389" s="182" t="n">
        <v>0.35</v>
      </c>
      <c r="AI3389" s="182" t="n">
        <v>0</v>
      </c>
      <c r="AJ3389" s="182" t="n">
        <v>0</v>
      </c>
      <c r="AK3389" s="182" t="n">
        <v>0</v>
      </c>
      <c r="AL3389" s="182" t="n">
        <v>0</v>
      </c>
      <c r="AM3389" s="182" t="n">
        <v>0.07000000000000001</v>
      </c>
      <c r="AN3389" s="182" t="n">
        <v>0</v>
      </c>
    </row>
    <row r="3390">
      <c r="A3390" s="155" t="n">
        <v>46097</v>
      </c>
      <c r="B3390" s="156" t="inlineStr">
        <is>
          <t>DS</t>
        </is>
      </c>
      <c r="C3390" s="156" t="inlineStr">
        <is>
          <t>DT-502</t>
        </is>
      </c>
      <c r="D3390" s="156" t="inlineStr">
        <is>
          <t>SKT 105S</t>
        </is>
      </c>
      <c r="E3390" s="156" t="inlineStr">
        <is>
          <t>Hauler</t>
        </is>
      </c>
      <c r="F3390" s="156" t="inlineStr"/>
      <c r="G3390" s="182" t="n">
        <v>0</v>
      </c>
      <c r="H3390" s="182" t="n">
        <v>0</v>
      </c>
      <c r="I3390" s="182" t="n">
        <v>12</v>
      </c>
      <c r="J3390" s="182" t="n">
        <v>12</v>
      </c>
      <c r="K3390" s="182" t="n">
        <v>0</v>
      </c>
      <c r="L3390" s="182" t="n">
        <v>12</v>
      </c>
      <c r="M3390" s="182" t="n">
        <v>0</v>
      </c>
      <c r="N3390" s="182" t="n">
        <v>0</v>
      </c>
      <c r="O3390" s="183" t="n">
        <v>0</v>
      </c>
      <c r="P3390" s="183" t="n">
        <v>0</v>
      </c>
      <c r="Q3390" s="184" t="n">
        <v>0</v>
      </c>
      <c r="R3390" s="184" t="n">
        <v>0</v>
      </c>
      <c r="S3390" s="183" t="n">
        <v>0</v>
      </c>
      <c r="T3390" s="183" t="n">
        <v>0</v>
      </c>
      <c r="U3390" s="182" t="n">
        <v>0</v>
      </c>
      <c r="V3390" s="182" t="n">
        <v>0</v>
      </c>
      <c r="W3390" s="182" t="n">
        <v>0</v>
      </c>
      <c r="X3390" s="182" t="n">
        <v>0</v>
      </c>
      <c r="Y3390" s="182" t="n">
        <v>0</v>
      </c>
      <c r="Z3390" s="182" t="n">
        <v>0</v>
      </c>
      <c r="AA3390" s="182" t="n">
        <v>0</v>
      </c>
      <c r="AB3390" s="182" t="n">
        <v>0</v>
      </c>
      <c r="AC3390" s="182" t="n">
        <v>0</v>
      </c>
      <c r="AD3390" s="182" t="n">
        <v>0</v>
      </c>
      <c r="AE3390" s="182" t="n">
        <v>0</v>
      </c>
      <c r="AF3390" s="182" t="n">
        <v>0</v>
      </c>
      <c r="AG3390" s="182" t="n">
        <v>0</v>
      </c>
      <c r="AH3390" s="182" t="n">
        <v>0</v>
      </c>
      <c r="AI3390" s="182" t="n">
        <v>0</v>
      </c>
      <c r="AJ3390" s="182" t="n">
        <v>0</v>
      </c>
      <c r="AK3390" s="182" t="n">
        <v>0</v>
      </c>
      <c r="AL3390" s="182" t="n">
        <v>0</v>
      </c>
      <c r="AM3390" s="182" t="n">
        <v>0</v>
      </c>
      <c r="AN3390" s="182" t="n">
        <v>0</v>
      </c>
    </row>
    <row r="3391">
      <c r="A3391" s="155" t="n">
        <v>46097</v>
      </c>
      <c r="B3391" s="156" t="inlineStr">
        <is>
          <t>DS</t>
        </is>
      </c>
      <c r="C3391" s="156" t="inlineStr">
        <is>
          <t>DT-528</t>
        </is>
      </c>
      <c r="D3391" s="156" t="inlineStr">
        <is>
          <t>SKT 105S</t>
        </is>
      </c>
      <c r="E3391" s="156" t="inlineStr">
        <is>
          <t>Hauler</t>
        </is>
      </c>
      <c r="F3391" s="156" t="inlineStr"/>
      <c r="G3391" s="182" t="n">
        <v>0</v>
      </c>
      <c r="H3391" s="182" t="n">
        <v>12</v>
      </c>
      <c r="I3391" s="182" t="n">
        <v>0</v>
      </c>
      <c r="J3391" s="182" t="n">
        <v>12</v>
      </c>
      <c r="K3391" s="182" t="n">
        <v>0</v>
      </c>
      <c r="L3391" s="182" t="n">
        <v>12</v>
      </c>
      <c r="M3391" s="182" t="n">
        <v>0</v>
      </c>
      <c r="N3391" s="182" t="n">
        <v>0</v>
      </c>
      <c r="O3391" s="183" t="n">
        <v>0</v>
      </c>
      <c r="P3391" s="183" t="n">
        <v>0</v>
      </c>
      <c r="Q3391" s="184" t="n">
        <v>0</v>
      </c>
      <c r="R3391" s="184" t="n">
        <v>0</v>
      </c>
      <c r="S3391" s="183" t="n">
        <v>0</v>
      </c>
      <c r="T3391" s="183" t="n">
        <v>0</v>
      </c>
      <c r="U3391" s="182" t="n">
        <v>0</v>
      </c>
      <c r="V3391" s="182" t="n">
        <v>0</v>
      </c>
      <c r="W3391" s="182" t="n">
        <v>0</v>
      </c>
      <c r="X3391" s="182" t="n">
        <v>0</v>
      </c>
      <c r="Y3391" s="182" t="n">
        <v>0</v>
      </c>
      <c r="Z3391" s="182" t="n">
        <v>0</v>
      </c>
      <c r="AA3391" s="182" t="n">
        <v>0</v>
      </c>
      <c r="AB3391" s="182" t="n">
        <v>0</v>
      </c>
      <c r="AC3391" s="182" t="n">
        <v>0</v>
      </c>
      <c r="AD3391" s="182" t="n">
        <v>0</v>
      </c>
      <c r="AE3391" s="182" t="n">
        <v>0</v>
      </c>
      <c r="AF3391" s="182" t="n">
        <v>0</v>
      </c>
      <c r="AG3391" s="182" t="n">
        <v>0</v>
      </c>
      <c r="AH3391" s="182" t="n">
        <v>0</v>
      </c>
      <c r="AI3391" s="182" t="n">
        <v>0</v>
      </c>
      <c r="AJ3391" s="182" t="n">
        <v>0</v>
      </c>
      <c r="AK3391" s="182" t="n">
        <v>0</v>
      </c>
      <c r="AL3391" s="182" t="n">
        <v>0</v>
      </c>
      <c r="AM3391" s="182" t="n">
        <v>0</v>
      </c>
      <c r="AN3391" s="182" t="n">
        <v>0</v>
      </c>
    </row>
    <row r="3392">
      <c r="A3392" s="155" t="n">
        <v>46097</v>
      </c>
      <c r="B3392" s="156" t="inlineStr">
        <is>
          <t>DS</t>
        </is>
      </c>
      <c r="C3392" s="156" t="inlineStr">
        <is>
          <t>DT-529</t>
        </is>
      </c>
      <c r="D3392" s="156" t="inlineStr">
        <is>
          <t>SKT 105S</t>
        </is>
      </c>
      <c r="E3392" s="156" t="inlineStr">
        <is>
          <t>Hauler</t>
        </is>
      </c>
      <c r="F3392" s="156" t="inlineStr">
        <is>
          <t>Hauling OB Longsoran LW</t>
        </is>
      </c>
      <c r="G3392" s="182" t="n">
        <v>7.16</v>
      </c>
      <c r="H3392" s="182" t="n">
        <v>0</v>
      </c>
      <c r="I3392" s="182" t="n">
        <v>0</v>
      </c>
      <c r="J3392" s="182" t="n">
        <v>0</v>
      </c>
      <c r="K3392" s="182" t="n">
        <v>4.84</v>
      </c>
      <c r="L3392" s="182" t="n">
        <v>12</v>
      </c>
      <c r="M3392" s="182" t="n">
        <v>7.16</v>
      </c>
      <c r="N3392" s="182" t="n">
        <v>0</v>
      </c>
      <c r="O3392" s="183" t="n">
        <v>28</v>
      </c>
      <c r="P3392" s="183" t="n">
        <v>0</v>
      </c>
      <c r="Q3392" s="184" t="n">
        <v>457</v>
      </c>
      <c r="R3392" s="184" t="n">
        <v>0</v>
      </c>
      <c r="S3392" s="183" t="n">
        <v>0</v>
      </c>
      <c r="T3392" s="183" t="n">
        <v>0</v>
      </c>
      <c r="U3392" s="182" t="n">
        <v>1.18</v>
      </c>
      <c r="V3392" s="182" t="n">
        <v>1.33</v>
      </c>
      <c r="W3392" s="182" t="n">
        <v>0</v>
      </c>
      <c r="X3392" s="182" t="n">
        <v>1.01</v>
      </c>
      <c r="Y3392" s="182" t="n">
        <v>0</v>
      </c>
      <c r="Z3392" s="182" t="n">
        <v>0</v>
      </c>
      <c r="AA3392" s="182" t="n">
        <v>0</v>
      </c>
      <c r="AB3392" s="182" t="n">
        <v>1.01</v>
      </c>
      <c r="AC3392" s="182" t="n">
        <v>0</v>
      </c>
      <c r="AD3392" s="182" t="n">
        <v>0</v>
      </c>
      <c r="AE3392" s="182" t="n">
        <v>0</v>
      </c>
      <c r="AF3392" s="182" t="n">
        <v>0</v>
      </c>
      <c r="AG3392" s="182" t="n">
        <v>0</v>
      </c>
      <c r="AH3392" s="182" t="n">
        <v>0.23</v>
      </c>
      <c r="AI3392" s="182" t="n">
        <v>0</v>
      </c>
      <c r="AJ3392" s="182" t="n">
        <v>0</v>
      </c>
      <c r="AK3392" s="182" t="n">
        <v>0</v>
      </c>
      <c r="AL3392" s="182" t="n">
        <v>0</v>
      </c>
      <c r="AM3392" s="182" t="n">
        <v>0.08</v>
      </c>
      <c r="AN3392" s="182" t="n">
        <v>0</v>
      </c>
    </row>
    <row r="3393">
      <c r="A3393" s="155" t="n">
        <v>46097</v>
      </c>
      <c r="B3393" s="156" t="inlineStr">
        <is>
          <t>DS</t>
        </is>
      </c>
      <c r="C3393" s="156" t="inlineStr">
        <is>
          <t>DT-520</t>
        </is>
      </c>
      <c r="D3393" s="156" t="inlineStr">
        <is>
          <t>SKT 105S</t>
        </is>
      </c>
      <c r="E3393" s="156" t="inlineStr">
        <is>
          <t>Hauler</t>
        </is>
      </c>
      <c r="F3393" s="156" t="inlineStr">
        <is>
          <t>Hauling OB Longsoran LW</t>
        </is>
      </c>
      <c r="G3393" s="182" t="n">
        <v>7.18</v>
      </c>
      <c r="H3393" s="182" t="n">
        <v>0</v>
      </c>
      <c r="I3393" s="182" t="n">
        <v>0</v>
      </c>
      <c r="J3393" s="182" t="n">
        <v>0</v>
      </c>
      <c r="K3393" s="182" t="n">
        <v>4.82</v>
      </c>
      <c r="L3393" s="182" t="n">
        <v>12</v>
      </c>
      <c r="M3393" s="182" t="n">
        <v>7.18</v>
      </c>
      <c r="N3393" s="182" t="n">
        <v>0</v>
      </c>
      <c r="O3393" s="183" t="n">
        <v>25</v>
      </c>
      <c r="P3393" s="183" t="n">
        <v>0</v>
      </c>
      <c r="Q3393" s="184" t="n">
        <v>408</v>
      </c>
      <c r="R3393" s="184" t="n">
        <v>0</v>
      </c>
      <c r="S3393" s="183" t="n">
        <v>0</v>
      </c>
      <c r="T3393" s="183" t="n">
        <v>0</v>
      </c>
      <c r="U3393" s="182" t="n">
        <v>1.13</v>
      </c>
      <c r="V3393" s="182" t="n">
        <v>1.27</v>
      </c>
      <c r="W3393" s="182" t="n">
        <v>0</v>
      </c>
      <c r="X3393" s="182" t="n">
        <v>0.96</v>
      </c>
      <c r="Y3393" s="182" t="n">
        <v>0</v>
      </c>
      <c r="Z3393" s="182" t="n">
        <v>0.07000000000000001</v>
      </c>
      <c r="AA3393" s="182" t="n">
        <v>0</v>
      </c>
      <c r="AB3393" s="182" t="n">
        <v>0.96</v>
      </c>
      <c r="AC3393" s="182" t="n">
        <v>0</v>
      </c>
      <c r="AD3393" s="182" t="n">
        <v>0</v>
      </c>
      <c r="AE3393" s="182" t="n">
        <v>0</v>
      </c>
      <c r="AF3393" s="182" t="n">
        <v>0</v>
      </c>
      <c r="AG3393" s="182" t="n">
        <v>0</v>
      </c>
      <c r="AH3393" s="182" t="n">
        <v>0.36</v>
      </c>
      <c r="AI3393" s="182" t="n">
        <v>0</v>
      </c>
      <c r="AJ3393" s="182" t="n">
        <v>0</v>
      </c>
      <c r="AK3393" s="182" t="n">
        <v>0</v>
      </c>
      <c r="AL3393" s="182" t="n">
        <v>0</v>
      </c>
      <c r="AM3393" s="182" t="n">
        <v>0.08</v>
      </c>
      <c r="AN3393" s="182" t="n">
        <v>0</v>
      </c>
    </row>
    <row r="3394">
      <c r="A3394" s="155" t="n">
        <v>46097</v>
      </c>
      <c r="B3394" s="156" t="inlineStr">
        <is>
          <t>DS</t>
        </is>
      </c>
      <c r="C3394" s="156" t="inlineStr">
        <is>
          <t>DT-511</t>
        </is>
      </c>
      <c r="D3394" s="156" t="inlineStr">
        <is>
          <t>SKT 105S</t>
        </is>
      </c>
      <c r="E3394" s="156" t="inlineStr">
        <is>
          <t>Hauler</t>
        </is>
      </c>
      <c r="F3394" s="156" t="inlineStr"/>
      <c r="G3394" s="182" t="n">
        <v>0</v>
      </c>
      <c r="H3394" s="182" t="n">
        <v>0</v>
      </c>
      <c r="I3394" s="182" t="n">
        <v>12</v>
      </c>
      <c r="J3394" s="182" t="n">
        <v>12</v>
      </c>
      <c r="K3394" s="182" t="n">
        <v>0</v>
      </c>
      <c r="L3394" s="182" t="n">
        <v>12</v>
      </c>
      <c r="M3394" s="182" t="n">
        <v>0</v>
      </c>
      <c r="N3394" s="182" t="n">
        <v>0</v>
      </c>
      <c r="O3394" s="183" t="n">
        <v>0</v>
      </c>
      <c r="P3394" s="183" t="n">
        <v>0</v>
      </c>
      <c r="Q3394" s="184" t="n">
        <v>0</v>
      </c>
      <c r="R3394" s="184" t="n">
        <v>0</v>
      </c>
      <c r="S3394" s="183" t="n">
        <v>0</v>
      </c>
      <c r="T3394" s="183" t="n">
        <v>0</v>
      </c>
      <c r="U3394" s="182" t="n">
        <v>0</v>
      </c>
      <c r="V3394" s="182" t="n">
        <v>0</v>
      </c>
      <c r="W3394" s="182" t="n">
        <v>0</v>
      </c>
      <c r="X3394" s="182" t="n">
        <v>0</v>
      </c>
      <c r="Y3394" s="182" t="n">
        <v>0</v>
      </c>
      <c r="Z3394" s="182" t="n">
        <v>0</v>
      </c>
      <c r="AA3394" s="182" t="n">
        <v>0</v>
      </c>
      <c r="AB3394" s="182" t="n">
        <v>0</v>
      </c>
      <c r="AC3394" s="182" t="n">
        <v>0</v>
      </c>
      <c r="AD3394" s="182" t="n">
        <v>0</v>
      </c>
      <c r="AE3394" s="182" t="n">
        <v>0</v>
      </c>
      <c r="AF3394" s="182" t="n">
        <v>0</v>
      </c>
      <c r="AG3394" s="182" t="n">
        <v>0</v>
      </c>
      <c r="AH3394" s="182" t="n">
        <v>0</v>
      </c>
      <c r="AI3394" s="182" t="n">
        <v>0</v>
      </c>
      <c r="AJ3394" s="182" t="n">
        <v>0</v>
      </c>
      <c r="AK3394" s="182" t="n">
        <v>0</v>
      </c>
      <c r="AL3394" s="182" t="n">
        <v>0</v>
      </c>
      <c r="AM3394" s="182" t="n">
        <v>0</v>
      </c>
      <c r="AN3394" s="182" t="n">
        <v>0</v>
      </c>
    </row>
    <row r="3395">
      <c r="A3395" s="155" t="n">
        <v>46097</v>
      </c>
      <c r="B3395" s="156" t="inlineStr">
        <is>
          <t>DS</t>
        </is>
      </c>
      <c r="C3395" s="156" t="inlineStr">
        <is>
          <t>DT-509</t>
        </is>
      </c>
      <c r="D3395" s="156" t="inlineStr">
        <is>
          <t>SKT 105S</t>
        </is>
      </c>
      <c r="E3395" s="156" t="inlineStr">
        <is>
          <t>Hauler</t>
        </is>
      </c>
      <c r="F3395" s="156" t="inlineStr"/>
      <c r="G3395" s="182" t="n">
        <v>0</v>
      </c>
      <c r="H3395" s="182" t="n">
        <v>0</v>
      </c>
      <c r="I3395" s="182" t="n">
        <v>12</v>
      </c>
      <c r="J3395" s="182" t="n">
        <v>12</v>
      </c>
      <c r="K3395" s="182" t="n">
        <v>0</v>
      </c>
      <c r="L3395" s="182" t="n">
        <v>12</v>
      </c>
      <c r="M3395" s="182" t="n">
        <v>0</v>
      </c>
      <c r="N3395" s="182" t="n">
        <v>0</v>
      </c>
      <c r="O3395" s="183" t="n">
        <v>0</v>
      </c>
      <c r="P3395" s="183" t="n">
        <v>0</v>
      </c>
      <c r="Q3395" s="184" t="n">
        <v>0</v>
      </c>
      <c r="R3395" s="184" t="n">
        <v>0</v>
      </c>
      <c r="S3395" s="183" t="n">
        <v>0</v>
      </c>
      <c r="T3395" s="183" t="n">
        <v>0</v>
      </c>
      <c r="U3395" s="182" t="n">
        <v>0</v>
      </c>
      <c r="V3395" s="182" t="n">
        <v>0</v>
      </c>
      <c r="W3395" s="182" t="n">
        <v>0</v>
      </c>
      <c r="X3395" s="182" t="n">
        <v>0</v>
      </c>
      <c r="Y3395" s="182" t="n">
        <v>0</v>
      </c>
      <c r="Z3395" s="182" t="n">
        <v>0</v>
      </c>
      <c r="AA3395" s="182" t="n">
        <v>0</v>
      </c>
      <c r="AB3395" s="182" t="n">
        <v>0</v>
      </c>
      <c r="AC3395" s="182" t="n">
        <v>0</v>
      </c>
      <c r="AD3395" s="182" t="n">
        <v>0</v>
      </c>
      <c r="AE3395" s="182" t="n">
        <v>0</v>
      </c>
      <c r="AF3395" s="182" t="n">
        <v>0</v>
      </c>
      <c r="AG3395" s="182" t="n">
        <v>0</v>
      </c>
      <c r="AH3395" s="182" t="n">
        <v>0</v>
      </c>
      <c r="AI3395" s="182" t="n">
        <v>0</v>
      </c>
      <c r="AJ3395" s="182" t="n">
        <v>0</v>
      </c>
      <c r="AK3395" s="182" t="n">
        <v>0</v>
      </c>
      <c r="AL3395" s="182" t="n">
        <v>0</v>
      </c>
      <c r="AM3395" s="182" t="n">
        <v>0</v>
      </c>
      <c r="AN3395" s="182" t="n">
        <v>0</v>
      </c>
    </row>
    <row r="3396">
      <c r="A3396" s="155" t="n">
        <v>46097</v>
      </c>
      <c r="B3396" s="156" t="inlineStr">
        <is>
          <t>DS</t>
        </is>
      </c>
      <c r="C3396" s="156" t="inlineStr">
        <is>
          <t>DT-526</t>
        </is>
      </c>
      <c r="D3396" s="156" t="inlineStr">
        <is>
          <t>SKT 105S</t>
        </is>
      </c>
      <c r="E3396" s="156" t="inlineStr">
        <is>
          <t>Hauler</t>
        </is>
      </c>
      <c r="F3396" s="156" t="inlineStr"/>
      <c r="G3396" s="182" t="n">
        <v>0</v>
      </c>
      <c r="H3396" s="182" t="n">
        <v>11.17</v>
      </c>
      <c r="I3396" s="182" t="n">
        <v>0</v>
      </c>
      <c r="J3396" s="182" t="n">
        <v>11.17</v>
      </c>
      <c r="K3396" s="182" t="n">
        <v>0.83</v>
      </c>
      <c r="L3396" s="182" t="n">
        <v>12</v>
      </c>
      <c r="M3396" s="182" t="n">
        <v>0</v>
      </c>
      <c r="N3396" s="182" t="n">
        <v>0</v>
      </c>
      <c r="O3396" s="183" t="n">
        <v>0</v>
      </c>
      <c r="P3396" s="183" t="n">
        <v>0</v>
      </c>
      <c r="Q3396" s="184" t="n">
        <v>0</v>
      </c>
      <c r="R3396" s="184" t="n">
        <v>0</v>
      </c>
      <c r="S3396" s="183" t="n">
        <v>0</v>
      </c>
      <c r="T3396" s="183" t="n">
        <v>0</v>
      </c>
      <c r="U3396" s="182" t="n">
        <v>0</v>
      </c>
      <c r="V3396" s="182" t="n">
        <v>0</v>
      </c>
      <c r="W3396" s="182" t="n">
        <v>0</v>
      </c>
      <c r="X3396" s="182" t="n">
        <v>0</v>
      </c>
      <c r="Y3396" s="182" t="n">
        <v>0</v>
      </c>
      <c r="Z3396" s="182" t="n">
        <v>0</v>
      </c>
      <c r="AA3396" s="182" t="n">
        <v>0</v>
      </c>
      <c r="AB3396" s="182" t="n">
        <v>0</v>
      </c>
      <c r="AC3396" s="182" t="n">
        <v>0</v>
      </c>
      <c r="AD3396" s="182" t="n">
        <v>0</v>
      </c>
      <c r="AE3396" s="182" t="n">
        <v>0</v>
      </c>
      <c r="AF3396" s="182" t="n">
        <v>0</v>
      </c>
      <c r="AG3396" s="182" t="n">
        <v>0</v>
      </c>
      <c r="AH3396" s="182" t="n">
        <v>0.75</v>
      </c>
      <c r="AI3396" s="182" t="n">
        <v>0</v>
      </c>
      <c r="AJ3396" s="182" t="n">
        <v>0</v>
      </c>
      <c r="AK3396" s="182" t="n">
        <v>0</v>
      </c>
      <c r="AL3396" s="182" t="n">
        <v>0</v>
      </c>
      <c r="AM3396" s="182" t="n">
        <v>0.08</v>
      </c>
      <c r="AN3396" s="182" t="n">
        <v>0</v>
      </c>
    </row>
    <row r="3397">
      <c r="A3397" s="155" t="n">
        <v>46097</v>
      </c>
      <c r="B3397" s="156" t="inlineStr">
        <is>
          <t>DS</t>
        </is>
      </c>
      <c r="C3397" s="156" t="inlineStr">
        <is>
          <t>DT-508</t>
        </is>
      </c>
      <c r="D3397" s="156" t="inlineStr">
        <is>
          <t>SKT 105S</t>
        </is>
      </c>
      <c r="E3397" s="156" t="inlineStr">
        <is>
          <t>Hauler</t>
        </is>
      </c>
      <c r="F3397" s="156" t="inlineStr">
        <is>
          <t>Hauling OB Longsoran LW</t>
        </is>
      </c>
      <c r="G3397" s="182" t="n">
        <v>7</v>
      </c>
      <c r="H3397" s="182" t="n">
        <v>0</v>
      </c>
      <c r="I3397" s="182" t="n">
        <v>0</v>
      </c>
      <c r="J3397" s="182" t="n">
        <v>0</v>
      </c>
      <c r="K3397" s="182" t="n">
        <v>5</v>
      </c>
      <c r="L3397" s="182" t="n">
        <v>12</v>
      </c>
      <c r="M3397" s="182" t="n">
        <v>7</v>
      </c>
      <c r="N3397" s="182" t="n">
        <v>0</v>
      </c>
      <c r="O3397" s="183" t="n">
        <v>27</v>
      </c>
      <c r="P3397" s="183" t="n">
        <v>0</v>
      </c>
      <c r="Q3397" s="184" t="n">
        <v>440.6</v>
      </c>
      <c r="R3397" s="184" t="n">
        <v>0</v>
      </c>
      <c r="S3397" s="183" t="n">
        <v>0</v>
      </c>
      <c r="T3397" s="183" t="n">
        <v>0</v>
      </c>
      <c r="U3397" s="182" t="n">
        <v>1.19</v>
      </c>
      <c r="V3397" s="182" t="n">
        <v>1.35</v>
      </c>
      <c r="W3397" s="182" t="n">
        <v>0</v>
      </c>
      <c r="X3397" s="182" t="n">
        <v>1.02</v>
      </c>
      <c r="Y3397" s="182" t="n">
        <v>0</v>
      </c>
      <c r="Z3397" s="182" t="n">
        <v>0.07000000000000001</v>
      </c>
      <c r="AA3397" s="182" t="n">
        <v>0</v>
      </c>
      <c r="AB3397" s="182" t="n">
        <v>1.02</v>
      </c>
      <c r="AC3397" s="182" t="n">
        <v>0</v>
      </c>
      <c r="AD3397" s="182" t="n">
        <v>0</v>
      </c>
      <c r="AE3397" s="182" t="n">
        <v>0</v>
      </c>
      <c r="AF3397" s="182" t="n">
        <v>0</v>
      </c>
      <c r="AG3397" s="182" t="n">
        <v>0</v>
      </c>
      <c r="AH3397" s="182" t="n">
        <v>0.28</v>
      </c>
      <c r="AI3397" s="182" t="n">
        <v>0</v>
      </c>
      <c r="AJ3397" s="182" t="n">
        <v>0</v>
      </c>
      <c r="AK3397" s="182" t="n">
        <v>0</v>
      </c>
      <c r="AL3397" s="182" t="n">
        <v>0</v>
      </c>
      <c r="AM3397" s="182" t="n">
        <v>0.08</v>
      </c>
      <c r="AN3397" s="182" t="n">
        <v>0</v>
      </c>
    </row>
    <row r="3398">
      <c r="A3398" s="155" t="n">
        <v>46097</v>
      </c>
      <c r="B3398" s="156" t="inlineStr">
        <is>
          <t>DS</t>
        </is>
      </c>
      <c r="C3398" s="156" t="inlineStr">
        <is>
          <t>DT-515</t>
        </is>
      </c>
      <c r="D3398" s="156" t="inlineStr">
        <is>
          <t>SKT 105S</t>
        </is>
      </c>
      <c r="E3398" s="156" t="inlineStr">
        <is>
          <t>Hauler</t>
        </is>
      </c>
      <c r="F3398" s="156" t="inlineStr"/>
      <c r="G3398" s="182" t="n">
        <v>0</v>
      </c>
      <c r="H3398" s="182" t="n">
        <v>12</v>
      </c>
      <c r="I3398" s="182" t="n">
        <v>0</v>
      </c>
      <c r="J3398" s="182" t="n">
        <v>12</v>
      </c>
      <c r="K3398" s="182" t="n">
        <v>0</v>
      </c>
      <c r="L3398" s="182" t="n">
        <v>12</v>
      </c>
      <c r="M3398" s="182" t="n">
        <v>0</v>
      </c>
      <c r="N3398" s="182" t="n">
        <v>0</v>
      </c>
      <c r="O3398" s="183" t="n">
        <v>0</v>
      </c>
      <c r="P3398" s="183" t="n">
        <v>0</v>
      </c>
      <c r="Q3398" s="184" t="n">
        <v>0</v>
      </c>
      <c r="R3398" s="184" t="n">
        <v>0</v>
      </c>
      <c r="S3398" s="183" t="n">
        <v>0</v>
      </c>
      <c r="T3398" s="183" t="n">
        <v>0</v>
      </c>
      <c r="U3398" s="182" t="n">
        <v>0</v>
      </c>
      <c r="V3398" s="182" t="n">
        <v>0</v>
      </c>
      <c r="W3398" s="182" t="n">
        <v>0</v>
      </c>
      <c r="X3398" s="182" t="n">
        <v>0</v>
      </c>
      <c r="Y3398" s="182" t="n">
        <v>0</v>
      </c>
      <c r="Z3398" s="182" t="n">
        <v>0</v>
      </c>
      <c r="AA3398" s="182" t="n">
        <v>0</v>
      </c>
      <c r="AB3398" s="182" t="n">
        <v>0</v>
      </c>
      <c r="AC3398" s="182" t="n">
        <v>0</v>
      </c>
      <c r="AD3398" s="182" t="n">
        <v>0</v>
      </c>
      <c r="AE3398" s="182" t="n">
        <v>0</v>
      </c>
      <c r="AF3398" s="182" t="n">
        <v>0</v>
      </c>
      <c r="AG3398" s="182" t="n">
        <v>0</v>
      </c>
      <c r="AH3398" s="182" t="n">
        <v>0</v>
      </c>
      <c r="AI3398" s="182" t="n">
        <v>0</v>
      </c>
      <c r="AJ3398" s="182" t="n">
        <v>0</v>
      </c>
      <c r="AK3398" s="182" t="n">
        <v>0</v>
      </c>
      <c r="AL3398" s="182" t="n">
        <v>0</v>
      </c>
      <c r="AM3398" s="182" t="n">
        <v>0</v>
      </c>
      <c r="AN3398" s="182" t="n">
        <v>0</v>
      </c>
    </row>
    <row r="3399">
      <c r="A3399" s="155" t="n">
        <v>46097</v>
      </c>
      <c r="B3399" s="156" t="inlineStr">
        <is>
          <t>DS</t>
        </is>
      </c>
      <c r="C3399" s="156" t="inlineStr">
        <is>
          <t>DT-524</t>
        </is>
      </c>
      <c r="D3399" s="156" t="inlineStr">
        <is>
          <t>SKT 105S</t>
        </is>
      </c>
      <c r="E3399" s="156" t="inlineStr">
        <is>
          <t>Hauler</t>
        </is>
      </c>
      <c r="F3399" s="156" t="inlineStr">
        <is>
          <t>Hauling Spoil Blend &amp; OB</t>
        </is>
      </c>
      <c r="G3399" s="182" t="n">
        <v>2.88</v>
      </c>
      <c r="H3399" s="182" t="n">
        <v>0</v>
      </c>
      <c r="I3399" s="182" t="n">
        <v>0</v>
      </c>
      <c r="J3399" s="182" t="n">
        <v>0</v>
      </c>
      <c r="K3399" s="182" t="n">
        <v>9.119999999999999</v>
      </c>
      <c r="L3399" s="182" t="n">
        <v>12</v>
      </c>
      <c r="M3399" s="182" t="n">
        <v>2.88</v>
      </c>
      <c r="N3399" s="182" t="n">
        <v>0</v>
      </c>
      <c r="O3399" s="183" t="n">
        <v>8</v>
      </c>
      <c r="P3399" s="183" t="n">
        <v>0</v>
      </c>
      <c r="Q3399" s="184" t="n">
        <v>146.9</v>
      </c>
      <c r="R3399" s="184" t="n">
        <v>0</v>
      </c>
      <c r="S3399" s="183" t="n">
        <v>0</v>
      </c>
      <c r="T3399" s="183" t="n">
        <v>0</v>
      </c>
      <c r="U3399" s="182" t="n">
        <v>1.14</v>
      </c>
      <c r="V3399" s="182" t="n">
        <v>1.16</v>
      </c>
      <c r="W3399" s="182" t="n">
        <v>0</v>
      </c>
      <c r="X3399" s="182" t="n">
        <v>0.97</v>
      </c>
      <c r="Y3399" s="182" t="n">
        <v>0</v>
      </c>
      <c r="Z3399" s="182" t="n">
        <v>0.07000000000000001</v>
      </c>
      <c r="AA3399" s="182" t="n">
        <v>0</v>
      </c>
      <c r="AB3399" s="182" t="n">
        <v>0.97</v>
      </c>
      <c r="AC3399" s="182" t="n">
        <v>0</v>
      </c>
      <c r="AD3399" s="182" t="n">
        <v>0</v>
      </c>
      <c r="AE3399" s="182" t="n">
        <v>0</v>
      </c>
      <c r="AF3399" s="182" t="n">
        <v>0</v>
      </c>
      <c r="AG3399" s="182" t="n">
        <v>0</v>
      </c>
      <c r="AH3399" s="182" t="n">
        <v>0</v>
      </c>
      <c r="AI3399" s="182" t="n">
        <v>0</v>
      </c>
      <c r="AJ3399" s="182" t="n">
        <v>0</v>
      </c>
      <c r="AK3399" s="182" t="n">
        <v>4.73</v>
      </c>
      <c r="AL3399" s="182" t="n">
        <v>0</v>
      </c>
      <c r="AM3399" s="182" t="n">
        <v>0.08</v>
      </c>
      <c r="AN3399" s="182" t="n">
        <v>0</v>
      </c>
    </row>
    <row r="3400">
      <c r="A3400" s="155" t="n">
        <v>46097</v>
      </c>
      <c r="B3400" s="156" t="inlineStr">
        <is>
          <t>DS</t>
        </is>
      </c>
      <c r="C3400" s="156" t="inlineStr">
        <is>
          <t>DT-341</t>
        </is>
      </c>
      <c r="D3400" s="156" t="inlineStr">
        <is>
          <t>SYZ324C-8W</t>
        </is>
      </c>
      <c r="E3400" s="156" t="inlineStr">
        <is>
          <t>Hauler</t>
        </is>
      </c>
      <c r="F3400" s="156" t="inlineStr">
        <is>
          <t>Rehandling Material di Washing Plant</t>
        </is>
      </c>
      <c r="G3400" s="182" t="n">
        <v>5.63</v>
      </c>
      <c r="H3400" s="182" t="n">
        <v>0</v>
      </c>
      <c r="I3400" s="182" t="n">
        <v>0</v>
      </c>
      <c r="J3400" s="182" t="n">
        <v>0</v>
      </c>
      <c r="K3400" s="182" t="n">
        <v>6.37</v>
      </c>
      <c r="L3400" s="182" t="n">
        <v>12</v>
      </c>
      <c r="M3400" s="182" t="n">
        <v>0</v>
      </c>
      <c r="N3400" s="182" t="n">
        <v>0</v>
      </c>
      <c r="O3400" s="183" t="n">
        <v>0</v>
      </c>
      <c r="P3400" s="183" t="n">
        <v>0</v>
      </c>
      <c r="Q3400" s="184" t="n">
        <v>0</v>
      </c>
      <c r="R3400" s="184" t="n">
        <v>0</v>
      </c>
      <c r="S3400" s="183" t="n">
        <v>0</v>
      </c>
      <c r="T3400" s="183" t="n">
        <v>0</v>
      </c>
      <c r="U3400" s="182" t="n">
        <v>0</v>
      </c>
      <c r="V3400" s="182" t="n">
        <v>0</v>
      </c>
      <c r="W3400" s="182" t="n">
        <v>0</v>
      </c>
      <c r="X3400" s="182" t="n">
        <v>1.04</v>
      </c>
      <c r="Y3400" s="182" t="n">
        <v>0</v>
      </c>
      <c r="Z3400" s="182" t="n">
        <v>0</v>
      </c>
      <c r="AA3400" s="182" t="n">
        <v>0</v>
      </c>
      <c r="AB3400" s="182" t="n">
        <v>1.04</v>
      </c>
      <c r="AC3400" s="182" t="n">
        <v>0</v>
      </c>
      <c r="AD3400" s="182" t="n">
        <v>0</v>
      </c>
      <c r="AE3400" s="182" t="n">
        <v>0</v>
      </c>
      <c r="AF3400" s="182" t="n">
        <v>0</v>
      </c>
      <c r="AG3400" s="182" t="n">
        <v>0</v>
      </c>
      <c r="AH3400" s="182" t="n">
        <v>0</v>
      </c>
      <c r="AI3400" s="182" t="n">
        <v>0</v>
      </c>
      <c r="AJ3400" s="182" t="n">
        <v>0</v>
      </c>
      <c r="AK3400" s="182" t="n">
        <v>4.2</v>
      </c>
      <c r="AL3400" s="182" t="n">
        <v>0</v>
      </c>
      <c r="AM3400" s="182" t="n">
        <v>0.08</v>
      </c>
      <c r="AN3400" s="182" t="n">
        <v>0</v>
      </c>
    </row>
    <row r="3401">
      <c r="A3401" s="155" t="n">
        <v>46097</v>
      </c>
      <c r="B3401" s="156" t="inlineStr">
        <is>
          <t>DS</t>
        </is>
      </c>
      <c r="C3401" s="156" t="inlineStr">
        <is>
          <t>DT-342</t>
        </is>
      </c>
      <c r="D3401" s="156" t="inlineStr">
        <is>
          <t>SYZ324C-8W</t>
        </is>
      </c>
      <c r="E3401" s="156" t="inlineStr">
        <is>
          <t>Hauler</t>
        </is>
      </c>
      <c r="F3401" s="156" t="inlineStr">
        <is>
          <t>Rehandling Material di Washing Plant</t>
        </is>
      </c>
      <c r="G3401" s="182" t="n">
        <v>5.57</v>
      </c>
      <c r="H3401" s="182" t="n">
        <v>0</v>
      </c>
      <c r="I3401" s="182" t="n">
        <v>0</v>
      </c>
      <c r="J3401" s="182" t="n">
        <v>0</v>
      </c>
      <c r="K3401" s="182" t="n">
        <v>6.43</v>
      </c>
      <c r="L3401" s="182" t="n">
        <v>12</v>
      </c>
      <c r="M3401" s="182" t="n">
        <v>0</v>
      </c>
      <c r="N3401" s="182" t="n">
        <v>0</v>
      </c>
      <c r="O3401" s="183" t="n">
        <v>0</v>
      </c>
      <c r="P3401" s="183" t="n">
        <v>0</v>
      </c>
      <c r="Q3401" s="184" t="n">
        <v>0</v>
      </c>
      <c r="R3401" s="184" t="n">
        <v>0</v>
      </c>
      <c r="S3401" s="183" t="n">
        <v>0</v>
      </c>
      <c r="T3401" s="183" t="n">
        <v>0</v>
      </c>
      <c r="U3401" s="182" t="n">
        <v>0</v>
      </c>
      <c r="V3401" s="182" t="n">
        <v>0</v>
      </c>
      <c r="W3401" s="182" t="n">
        <v>0</v>
      </c>
      <c r="X3401" s="182" t="n">
        <v>1</v>
      </c>
      <c r="Y3401" s="182" t="n">
        <v>0</v>
      </c>
      <c r="Z3401" s="182" t="n">
        <v>0</v>
      </c>
      <c r="AA3401" s="182" t="n">
        <v>0</v>
      </c>
      <c r="AB3401" s="182" t="n">
        <v>1</v>
      </c>
      <c r="AC3401" s="182" t="n">
        <v>0</v>
      </c>
      <c r="AD3401" s="182" t="n">
        <v>0</v>
      </c>
      <c r="AE3401" s="182" t="n">
        <v>0</v>
      </c>
      <c r="AF3401" s="182" t="n">
        <v>0</v>
      </c>
      <c r="AG3401" s="182" t="n">
        <v>0</v>
      </c>
      <c r="AH3401" s="182" t="n">
        <v>0</v>
      </c>
      <c r="AI3401" s="182" t="n">
        <v>0</v>
      </c>
      <c r="AJ3401" s="182" t="n">
        <v>0</v>
      </c>
      <c r="AK3401" s="182" t="n">
        <v>4.34</v>
      </c>
      <c r="AL3401" s="182" t="n">
        <v>0</v>
      </c>
      <c r="AM3401" s="182" t="n">
        <v>0.08</v>
      </c>
      <c r="AN3401" s="182" t="n">
        <v>0</v>
      </c>
    </row>
    <row r="3402">
      <c r="A3402" s="155" t="n">
        <v>46097</v>
      </c>
      <c r="B3402" s="156" t="inlineStr">
        <is>
          <t>DS</t>
        </is>
      </c>
      <c r="C3402" s="156" t="inlineStr">
        <is>
          <t>HD-903</t>
        </is>
      </c>
      <c r="D3402" s="156" t="inlineStr">
        <is>
          <t>SRT 95C</t>
        </is>
      </c>
      <c r="E3402" s="156" t="inlineStr">
        <is>
          <t>Hauler</t>
        </is>
      </c>
      <c r="F3402" s="156" t="inlineStr">
        <is>
          <t>Hauling OB</t>
        </is>
      </c>
      <c r="G3402" s="182" t="n">
        <v>3.06</v>
      </c>
      <c r="H3402" s="182" t="n">
        <v>0</v>
      </c>
      <c r="I3402" s="182" t="n">
        <v>3.25</v>
      </c>
      <c r="J3402" s="182" t="n">
        <v>3.25</v>
      </c>
      <c r="K3402" s="182" t="n">
        <v>5.69</v>
      </c>
      <c r="L3402" s="182" t="n">
        <v>12</v>
      </c>
      <c r="M3402" s="182" t="n">
        <v>3.06</v>
      </c>
      <c r="N3402" s="182" t="n">
        <v>0</v>
      </c>
      <c r="O3402" s="183" t="n">
        <v>9</v>
      </c>
      <c r="P3402" s="183" t="n">
        <v>0</v>
      </c>
      <c r="Q3402" s="184" t="n">
        <v>321.3</v>
      </c>
      <c r="R3402" s="184" t="n">
        <v>0</v>
      </c>
      <c r="S3402" s="183" t="n">
        <v>0</v>
      </c>
      <c r="T3402" s="183" t="n">
        <v>0</v>
      </c>
      <c r="U3402" s="182" t="n">
        <v>1.16</v>
      </c>
      <c r="V3402" s="182" t="n">
        <v>2.15</v>
      </c>
      <c r="W3402" s="182" t="n">
        <v>0</v>
      </c>
      <c r="X3402" s="182" t="n">
        <v>0.99</v>
      </c>
      <c r="Y3402" s="182" t="n">
        <v>0</v>
      </c>
      <c r="Z3402" s="182" t="n">
        <v>0.07000000000000001</v>
      </c>
      <c r="AA3402" s="182" t="n">
        <v>0</v>
      </c>
      <c r="AB3402" s="182" t="n">
        <v>0.99</v>
      </c>
      <c r="AC3402" s="182" t="n">
        <v>0</v>
      </c>
      <c r="AD3402" s="182" t="n">
        <v>0</v>
      </c>
      <c r="AE3402" s="182" t="n">
        <v>0</v>
      </c>
      <c r="AF3402" s="182" t="n">
        <v>0</v>
      </c>
      <c r="AG3402" s="182" t="n">
        <v>0</v>
      </c>
      <c r="AH3402" s="182" t="n">
        <v>0.27</v>
      </c>
      <c r="AI3402" s="182" t="n">
        <v>0</v>
      </c>
      <c r="AJ3402" s="182" t="n">
        <v>0</v>
      </c>
      <c r="AK3402" s="182" t="n">
        <v>0</v>
      </c>
      <c r="AL3402" s="182" t="n">
        <v>0</v>
      </c>
      <c r="AM3402" s="182" t="n">
        <v>0.08</v>
      </c>
      <c r="AN3402" s="182" t="n">
        <v>0</v>
      </c>
    </row>
    <row r="3403">
      <c r="A3403" s="155" t="n">
        <v>46097</v>
      </c>
      <c r="B3403" s="156" t="inlineStr">
        <is>
          <t>DS</t>
        </is>
      </c>
      <c r="C3403" s="156" t="inlineStr">
        <is>
          <t>HD-905</t>
        </is>
      </c>
      <c r="D3403" s="156" t="inlineStr">
        <is>
          <t>SRT 95C</t>
        </is>
      </c>
      <c r="E3403" s="156" t="inlineStr">
        <is>
          <t>Hauler</t>
        </is>
      </c>
      <c r="F3403" s="156" t="inlineStr">
        <is>
          <t>Hauling OB</t>
        </is>
      </c>
      <c r="G3403" s="182" t="n">
        <v>3.61</v>
      </c>
      <c r="H3403" s="182" t="n">
        <v>0</v>
      </c>
      <c r="I3403" s="182" t="n">
        <v>0</v>
      </c>
      <c r="J3403" s="182" t="n">
        <v>0</v>
      </c>
      <c r="K3403" s="182" t="n">
        <v>8.390000000000001</v>
      </c>
      <c r="L3403" s="182" t="n">
        <v>12</v>
      </c>
      <c r="M3403" s="182" t="n">
        <v>3.61</v>
      </c>
      <c r="N3403" s="182" t="n">
        <v>0</v>
      </c>
      <c r="O3403" s="183" t="n">
        <v>13</v>
      </c>
      <c r="P3403" s="183" t="n">
        <v>0</v>
      </c>
      <c r="Q3403" s="184" t="n">
        <v>464.1</v>
      </c>
      <c r="R3403" s="184" t="n">
        <v>0</v>
      </c>
      <c r="S3403" s="183" t="n">
        <v>0</v>
      </c>
      <c r="T3403" s="183" t="n">
        <v>0</v>
      </c>
      <c r="U3403" s="182" t="n">
        <v>1.14</v>
      </c>
      <c r="V3403" s="182" t="n">
        <v>2.12</v>
      </c>
      <c r="W3403" s="182" t="n">
        <v>0</v>
      </c>
      <c r="X3403" s="182" t="n">
        <v>0.98</v>
      </c>
      <c r="Y3403" s="182" t="n">
        <v>0</v>
      </c>
      <c r="Z3403" s="182" t="n">
        <v>0</v>
      </c>
      <c r="AA3403" s="182" t="n">
        <v>0</v>
      </c>
      <c r="AB3403" s="182" t="n">
        <v>0.98</v>
      </c>
      <c r="AC3403" s="182" t="n">
        <v>0</v>
      </c>
      <c r="AD3403" s="182" t="n">
        <v>0</v>
      </c>
      <c r="AE3403" s="182" t="n">
        <v>0</v>
      </c>
      <c r="AF3403" s="182" t="n">
        <v>0</v>
      </c>
      <c r="AG3403" s="182" t="n">
        <v>0</v>
      </c>
      <c r="AH3403" s="182" t="n">
        <v>0.42</v>
      </c>
      <c r="AI3403" s="182" t="n">
        <v>0</v>
      </c>
      <c r="AJ3403" s="182" t="n">
        <v>0</v>
      </c>
      <c r="AK3403" s="182" t="n">
        <v>2.68</v>
      </c>
      <c r="AL3403" s="182" t="n">
        <v>0</v>
      </c>
      <c r="AM3403" s="182" t="n">
        <v>0.08</v>
      </c>
      <c r="AN3403" s="182" t="n">
        <v>0</v>
      </c>
    </row>
    <row r="3404">
      <c r="A3404" s="155" t="n">
        <v>46097</v>
      </c>
      <c r="B3404" s="156" t="inlineStr">
        <is>
          <t>DS</t>
        </is>
      </c>
      <c r="C3404" s="156" t="inlineStr">
        <is>
          <t>HD-901</t>
        </is>
      </c>
      <c r="D3404" s="156" t="inlineStr">
        <is>
          <t>SRT 95C</t>
        </is>
      </c>
      <c r="E3404" s="156" t="inlineStr">
        <is>
          <t>Hauler</t>
        </is>
      </c>
      <c r="F3404" s="156" t="inlineStr">
        <is>
          <t>Hauling OB</t>
        </is>
      </c>
      <c r="G3404" s="182" t="n">
        <v>6.91</v>
      </c>
      <c r="H3404" s="182" t="n">
        <v>0</v>
      </c>
      <c r="I3404" s="182" t="n">
        <v>0</v>
      </c>
      <c r="J3404" s="182" t="n">
        <v>0</v>
      </c>
      <c r="K3404" s="182" t="n">
        <v>5.09</v>
      </c>
      <c r="L3404" s="182" t="n">
        <v>12</v>
      </c>
      <c r="M3404" s="182" t="n">
        <v>6.91</v>
      </c>
      <c r="N3404" s="182" t="n">
        <v>0</v>
      </c>
      <c r="O3404" s="183" t="n">
        <v>19</v>
      </c>
      <c r="P3404" s="183" t="n">
        <v>0</v>
      </c>
      <c r="Q3404" s="184" t="n">
        <v>678.3</v>
      </c>
      <c r="R3404" s="184" t="n">
        <v>0</v>
      </c>
      <c r="S3404" s="183" t="n">
        <v>0</v>
      </c>
      <c r="T3404" s="183" t="n">
        <v>0</v>
      </c>
      <c r="U3404" s="182" t="n">
        <v>1.19</v>
      </c>
      <c r="V3404" s="182" t="n">
        <v>1.78</v>
      </c>
      <c r="W3404" s="182" t="n">
        <v>0</v>
      </c>
      <c r="X3404" s="182" t="n">
        <v>1.02</v>
      </c>
      <c r="Y3404" s="182" t="n">
        <v>0</v>
      </c>
      <c r="Z3404" s="182" t="n">
        <v>0</v>
      </c>
      <c r="AA3404" s="182" t="n">
        <v>0</v>
      </c>
      <c r="AB3404" s="182" t="n">
        <v>1.02</v>
      </c>
      <c r="AC3404" s="182" t="n">
        <v>0</v>
      </c>
      <c r="AD3404" s="182" t="n">
        <v>0</v>
      </c>
      <c r="AE3404" s="182" t="n">
        <v>0</v>
      </c>
      <c r="AF3404" s="182" t="n">
        <v>0</v>
      </c>
      <c r="AG3404" s="182" t="n">
        <v>0</v>
      </c>
      <c r="AH3404" s="182" t="n">
        <v>0</v>
      </c>
      <c r="AI3404" s="182" t="n">
        <v>0</v>
      </c>
      <c r="AJ3404" s="182" t="n">
        <v>0</v>
      </c>
      <c r="AK3404" s="182" t="n">
        <v>0</v>
      </c>
      <c r="AL3404" s="182" t="n">
        <v>0</v>
      </c>
      <c r="AM3404" s="182" t="n">
        <v>0.08</v>
      </c>
      <c r="AN3404" s="182" t="n">
        <v>0</v>
      </c>
    </row>
    <row r="3405">
      <c r="A3405" s="155" t="n">
        <v>46097</v>
      </c>
      <c r="B3405" s="156" t="inlineStr">
        <is>
          <t>DS</t>
        </is>
      </c>
      <c r="C3405" s="156" t="inlineStr">
        <is>
          <t>HD-904</t>
        </is>
      </c>
      <c r="D3405" s="156" t="inlineStr">
        <is>
          <t>SRT 95C</t>
        </is>
      </c>
      <c r="E3405" s="156" t="inlineStr">
        <is>
          <t>Hauler</t>
        </is>
      </c>
      <c r="F3405" s="156" t="inlineStr">
        <is>
          <t>Hauling OB</t>
        </is>
      </c>
      <c r="G3405" s="182" t="n">
        <v>7.35</v>
      </c>
      <c r="H3405" s="182" t="n">
        <v>0</v>
      </c>
      <c r="I3405" s="182" t="n">
        <v>0</v>
      </c>
      <c r="J3405" s="182" t="n">
        <v>0</v>
      </c>
      <c r="K3405" s="182" t="n">
        <v>4.65</v>
      </c>
      <c r="L3405" s="182" t="n">
        <v>12</v>
      </c>
      <c r="M3405" s="182" t="n">
        <v>7.35</v>
      </c>
      <c r="N3405" s="182" t="n">
        <v>0</v>
      </c>
      <c r="O3405" s="183" t="n">
        <v>26</v>
      </c>
      <c r="P3405" s="183" t="n">
        <v>0</v>
      </c>
      <c r="Q3405" s="184" t="n">
        <v>928.2</v>
      </c>
      <c r="R3405" s="184" t="n">
        <v>0</v>
      </c>
      <c r="S3405" s="183" t="n">
        <v>0</v>
      </c>
      <c r="T3405" s="183" t="n">
        <v>0</v>
      </c>
      <c r="U3405" s="182" t="n">
        <v>1.24</v>
      </c>
      <c r="V3405" s="182" t="n">
        <v>1.14</v>
      </c>
      <c r="W3405" s="182" t="n">
        <v>0</v>
      </c>
      <c r="X3405" s="182" t="n">
        <v>1.06</v>
      </c>
      <c r="Y3405" s="182" t="n">
        <v>0</v>
      </c>
      <c r="Z3405" s="182" t="n">
        <v>0.07000000000000001</v>
      </c>
      <c r="AA3405" s="182" t="n">
        <v>0</v>
      </c>
      <c r="AB3405" s="182" t="n">
        <v>1.06</v>
      </c>
      <c r="AC3405" s="182" t="n">
        <v>0</v>
      </c>
      <c r="AD3405" s="182" t="n">
        <v>0</v>
      </c>
      <c r="AE3405" s="182" t="n">
        <v>0</v>
      </c>
      <c r="AF3405" s="182" t="n">
        <v>0</v>
      </c>
      <c r="AG3405" s="182" t="n">
        <v>0</v>
      </c>
      <c r="AH3405" s="182" t="n">
        <v>0</v>
      </c>
      <c r="AI3405" s="182" t="n">
        <v>0</v>
      </c>
      <c r="AJ3405" s="182" t="n">
        <v>0</v>
      </c>
      <c r="AK3405" s="182" t="n">
        <v>0</v>
      </c>
      <c r="AL3405" s="182" t="n">
        <v>0</v>
      </c>
      <c r="AM3405" s="182" t="n">
        <v>0.08</v>
      </c>
      <c r="AN3405" s="182" t="n">
        <v>0</v>
      </c>
    </row>
    <row r="3406">
      <c r="A3406" s="155" t="n">
        <v>46097</v>
      </c>
      <c r="B3406" s="156" t="inlineStr">
        <is>
          <t>DS</t>
        </is>
      </c>
      <c r="C3406" s="156" t="inlineStr">
        <is>
          <t>HD-902</t>
        </is>
      </c>
      <c r="D3406" s="156" t="inlineStr">
        <is>
          <t>SRT 95C</t>
        </is>
      </c>
      <c r="E3406" s="156" t="inlineStr">
        <is>
          <t>Hauler</t>
        </is>
      </c>
      <c r="F3406" s="156" t="inlineStr">
        <is>
          <t>Hauling OB</t>
        </is>
      </c>
      <c r="G3406" s="182" t="n">
        <v>6.03</v>
      </c>
      <c r="H3406" s="182" t="n">
        <v>0</v>
      </c>
      <c r="I3406" s="182" t="n">
        <v>0</v>
      </c>
      <c r="J3406" s="182" t="n">
        <v>0</v>
      </c>
      <c r="K3406" s="182" t="n">
        <v>5.97</v>
      </c>
      <c r="L3406" s="182" t="n">
        <v>12</v>
      </c>
      <c r="M3406" s="182" t="n">
        <v>6.03</v>
      </c>
      <c r="N3406" s="182" t="n">
        <v>0</v>
      </c>
      <c r="O3406" s="183" t="n">
        <v>28</v>
      </c>
      <c r="P3406" s="183" t="n">
        <v>0</v>
      </c>
      <c r="Q3406" s="184" t="n">
        <v>999.6</v>
      </c>
      <c r="R3406" s="184" t="n">
        <v>0</v>
      </c>
      <c r="S3406" s="183" t="n">
        <v>0</v>
      </c>
      <c r="T3406" s="183" t="n">
        <v>0</v>
      </c>
      <c r="U3406" s="182" t="n">
        <v>1.2</v>
      </c>
      <c r="V3406" s="182" t="n">
        <v>2.23</v>
      </c>
      <c r="W3406" s="182" t="n">
        <v>0</v>
      </c>
      <c r="X3406" s="182" t="n">
        <v>1.03</v>
      </c>
      <c r="Y3406" s="182" t="n">
        <v>0</v>
      </c>
      <c r="Z3406" s="182" t="n">
        <v>0</v>
      </c>
      <c r="AA3406" s="182" t="n">
        <v>0</v>
      </c>
      <c r="AB3406" s="182" t="n">
        <v>1.03</v>
      </c>
      <c r="AC3406" s="182" t="n">
        <v>0</v>
      </c>
      <c r="AD3406" s="182" t="n">
        <v>0</v>
      </c>
      <c r="AE3406" s="182" t="n">
        <v>0</v>
      </c>
      <c r="AF3406" s="182" t="n">
        <v>0</v>
      </c>
      <c r="AG3406" s="182" t="n">
        <v>0</v>
      </c>
      <c r="AH3406" s="182" t="n">
        <v>0.39</v>
      </c>
      <c r="AI3406" s="182" t="n">
        <v>0</v>
      </c>
      <c r="AJ3406" s="182" t="n">
        <v>0</v>
      </c>
      <c r="AK3406" s="182" t="n">
        <v>0</v>
      </c>
      <c r="AL3406" s="182" t="n">
        <v>0</v>
      </c>
      <c r="AM3406" s="182" t="n">
        <v>0.08</v>
      </c>
      <c r="AN3406" s="182" t="n">
        <v>0</v>
      </c>
    </row>
    <row r="3407">
      <c r="A3407" s="155" t="n">
        <v>46097</v>
      </c>
      <c r="B3407" s="156" t="inlineStr">
        <is>
          <t>DS</t>
        </is>
      </c>
      <c r="C3407" s="156" t="inlineStr">
        <is>
          <t>WL-025</t>
        </is>
      </c>
      <c r="D3407" s="156" t="inlineStr">
        <is>
          <t>SANY - Loader</t>
        </is>
      </c>
      <c r="E3407" s="156" t="inlineStr">
        <is>
          <t>Loader</t>
        </is>
      </c>
      <c r="F3407" s="156" t="inlineStr"/>
      <c r="G3407" s="182" t="n">
        <v>0</v>
      </c>
      <c r="H3407" s="182" t="n">
        <v>0</v>
      </c>
      <c r="I3407" s="182" t="n">
        <v>0</v>
      </c>
      <c r="J3407" s="182" t="n">
        <v>0</v>
      </c>
      <c r="K3407" s="182" t="n">
        <v>12</v>
      </c>
      <c r="L3407" s="182" t="n">
        <v>12</v>
      </c>
      <c r="M3407" s="182" t="n">
        <v>0</v>
      </c>
      <c r="N3407" s="182" t="n">
        <v>0</v>
      </c>
      <c r="O3407" s="183" t="n">
        <v>0</v>
      </c>
      <c r="P3407" s="183" t="n">
        <v>0</v>
      </c>
      <c r="Q3407" s="184" t="n">
        <v>0</v>
      </c>
      <c r="R3407" s="184" t="n">
        <v>0</v>
      </c>
      <c r="S3407" s="183" t="n">
        <v>0</v>
      </c>
      <c r="T3407" s="183" t="n">
        <v>0</v>
      </c>
      <c r="U3407" s="182" t="n">
        <v>0</v>
      </c>
      <c r="V3407" s="182" t="n">
        <v>0</v>
      </c>
      <c r="W3407" s="182" t="n">
        <v>0</v>
      </c>
      <c r="X3407" s="182" t="n">
        <v>1</v>
      </c>
      <c r="Y3407" s="182" t="n">
        <v>0</v>
      </c>
      <c r="Z3407" s="182" t="n">
        <v>0</v>
      </c>
      <c r="AA3407" s="182" t="n">
        <v>0</v>
      </c>
      <c r="AB3407" s="182" t="n">
        <v>1</v>
      </c>
      <c r="AC3407" s="182" t="n">
        <v>0</v>
      </c>
      <c r="AD3407" s="182" t="n">
        <v>0</v>
      </c>
      <c r="AE3407" s="182" t="n">
        <v>0</v>
      </c>
      <c r="AF3407" s="182" t="n">
        <v>0</v>
      </c>
      <c r="AG3407" s="182" t="n">
        <v>0</v>
      </c>
      <c r="AH3407" s="182" t="n">
        <v>0</v>
      </c>
      <c r="AI3407" s="182" t="n">
        <v>0</v>
      </c>
      <c r="AJ3407" s="182" t="n">
        <v>0</v>
      </c>
      <c r="AK3407" s="182" t="n">
        <v>9.92</v>
      </c>
      <c r="AL3407" s="182" t="n">
        <v>0</v>
      </c>
      <c r="AM3407" s="182" t="n">
        <v>0.08</v>
      </c>
      <c r="AN3407" s="182" t="n">
        <v>0</v>
      </c>
    </row>
    <row r="3408">
      <c r="A3408" s="155" t="n">
        <v>46097</v>
      </c>
      <c r="B3408" s="156" t="inlineStr">
        <is>
          <t>DS</t>
        </is>
      </c>
      <c r="C3408" s="156" t="inlineStr">
        <is>
          <t>WL-023</t>
        </is>
      </c>
      <c r="D3408" s="156" t="inlineStr">
        <is>
          <t>SANY - Loader</t>
        </is>
      </c>
      <c r="E3408" s="156" t="inlineStr">
        <is>
          <t>Loader</t>
        </is>
      </c>
      <c r="F3408" s="156" t="inlineStr">
        <is>
          <t>Trimming Coal di Jetty</t>
        </is>
      </c>
      <c r="G3408" s="182" t="n">
        <v>7.32</v>
      </c>
      <c r="H3408" s="182" t="n">
        <v>0</v>
      </c>
      <c r="I3408" s="182" t="n">
        <v>0</v>
      </c>
      <c r="J3408" s="182" t="n">
        <v>0</v>
      </c>
      <c r="K3408" s="182" t="n">
        <v>4.68</v>
      </c>
      <c r="L3408" s="182" t="n">
        <v>12</v>
      </c>
      <c r="M3408" s="182" t="n">
        <v>0</v>
      </c>
      <c r="N3408" s="182" t="n">
        <v>0</v>
      </c>
      <c r="O3408" s="183" t="n">
        <v>0</v>
      </c>
      <c r="P3408" s="183" t="n">
        <v>0</v>
      </c>
      <c r="Q3408" s="184" t="n">
        <v>0</v>
      </c>
      <c r="R3408" s="184" t="n">
        <v>0</v>
      </c>
      <c r="S3408" s="183" t="n">
        <v>0</v>
      </c>
      <c r="T3408" s="183" t="n">
        <v>0</v>
      </c>
      <c r="U3408" s="182" t="n">
        <v>0</v>
      </c>
      <c r="V3408" s="182" t="n">
        <v>0</v>
      </c>
      <c r="W3408" s="182" t="n">
        <v>0</v>
      </c>
      <c r="X3408" s="182" t="n">
        <v>1.09</v>
      </c>
      <c r="Y3408" s="182" t="n">
        <v>0</v>
      </c>
      <c r="Z3408" s="182" t="n">
        <v>0</v>
      </c>
      <c r="AA3408" s="182" t="n">
        <v>0</v>
      </c>
      <c r="AB3408" s="182" t="n">
        <v>1.09</v>
      </c>
      <c r="AC3408" s="182" t="n">
        <v>0</v>
      </c>
      <c r="AD3408" s="182" t="n">
        <v>0</v>
      </c>
      <c r="AE3408" s="182" t="n">
        <v>0</v>
      </c>
      <c r="AF3408" s="182" t="n">
        <v>0</v>
      </c>
      <c r="AG3408" s="182" t="n">
        <v>0</v>
      </c>
      <c r="AH3408" s="182" t="n">
        <v>0</v>
      </c>
      <c r="AI3408" s="182" t="n">
        <v>0</v>
      </c>
      <c r="AJ3408" s="182" t="n">
        <v>0</v>
      </c>
      <c r="AK3408" s="182" t="n">
        <v>2.42</v>
      </c>
      <c r="AL3408" s="182" t="n">
        <v>0</v>
      </c>
      <c r="AM3408" s="182" t="n">
        <v>0.09</v>
      </c>
      <c r="AN3408" s="182" t="n">
        <v>0</v>
      </c>
    </row>
    <row r="3409">
      <c r="A3409" s="155" t="n">
        <v>46097</v>
      </c>
      <c r="B3409" s="156" t="inlineStr">
        <is>
          <t>DS</t>
        </is>
      </c>
      <c r="C3409" s="156" t="inlineStr">
        <is>
          <t>WL-021</t>
        </is>
      </c>
      <c r="D3409" s="156" t="inlineStr">
        <is>
          <t>SANY - Loader</t>
        </is>
      </c>
      <c r="E3409" s="156" t="inlineStr">
        <is>
          <t>Loader</t>
        </is>
      </c>
      <c r="F3409" s="156" t="inlineStr"/>
      <c r="G3409" s="182" t="n">
        <v>0</v>
      </c>
      <c r="H3409" s="182" t="n">
        <v>0</v>
      </c>
      <c r="I3409" s="182" t="n">
        <v>12</v>
      </c>
      <c r="J3409" s="182" t="n">
        <v>12</v>
      </c>
      <c r="K3409" s="182" t="n">
        <v>0</v>
      </c>
      <c r="L3409" s="182" t="n">
        <v>12</v>
      </c>
      <c r="M3409" s="182" t="n">
        <v>0</v>
      </c>
      <c r="N3409" s="182" t="n">
        <v>0</v>
      </c>
      <c r="O3409" s="183" t="n">
        <v>0</v>
      </c>
      <c r="P3409" s="183" t="n">
        <v>0</v>
      </c>
      <c r="Q3409" s="184" t="n">
        <v>0</v>
      </c>
      <c r="R3409" s="184" t="n">
        <v>0</v>
      </c>
      <c r="S3409" s="183" t="n">
        <v>0</v>
      </c>
      <c r="T3409" s="183" t="n">
        <v>0</v>
      </c>
      <c r="U3409" s="182" t="n">
        <v>0</v>
      </c>
      <c r="V3409" s="182" t="n">
        <v>0</v>
      </c>
      <c r="W3409" s="182" t="n">
        <v>0</v>
      </c>
      <c r="X3409" s="182" t="n">
        <v>0</v>
      </c>
      <c r="Y3409" s="182" t="n">
        <v>0</v>
      </c>
      <c r="Z3409" s="182" t="n">
        <v>0</v>
      </c>
      <c r="AA3409" s="182" t="n">
        <v>0</v>
      </c>
      <c r="AB3409" s="182" t="n">
        <v>0</v>
      </c>
      <c r="AC3409" s="182" t="n">
        <v>0</v>
      </c>
      <c r="AD3409" s="182" t="n">
        <v>0</v>
      </c>
      <c r="AE3409" s="182" t="n">
        <v>0</v>
      </c>
      <c r="AF3409" s="182" t="n">
        <v>0</v>
      </c>
      <c r="AG3409" s="182" t="n">
        <v>0</v>
      </c>
      <c r="AH3409" s="182" t="n">
        <v>0</v>
      </c>
      <c r="AI3409" s="182" t="n">
        <v>0</v>
      </c>
      <c r="AJ3409" s="182" t="n">
        <v>0</v>
      </c>
      <c r="AK3409" s="182" t="n">
        <v>0</v>
      </c>
      <c r="AL3409" s="182" t="n">
        <v>0</v>
      </c>
      <c r="AM3409" s="182" t="n">
        <v>0</v>
      </c>
      <c r="AN3409" s="182" t="n">
        <v>0</v>
      </c>
    </row>
    <row r="3410">
      <c r="A3410" s="155" t="n">
        <v>46097</v>
      </c>
      <c r="B3410" s="156" t="inlineStr">
        <is>
          <t>DS</t>
        </is>
      </c>
      <c r="C3410" s="156" t="inlineStr">
        <is>
          <t>WL-022</t>
        </is>
      </c>
      <c r="D3410" s="156" t="inlineStr">
        <is>
          <t>SANY - Loader</t>
        </is>
      </c>
      <c r="E3410" s="156" t="inlineStr">
        <is>
          <t>Loader</t>
        </is>
      </c>
      <c r="F3410" s="156" t="inlineStr">
        <is>
          <t>General Support Washing Plant</t>
        </is>
      </c>
      <c r="G3410" s="182" t="n">
        <v>9.300000000000001</v>
      </c>
      <c r="H3410" s="182" t="n">
        <v>0</v>
      </c>
      <c r="I3410" s="182" t="n">
        <v>0</v>
      </c>
      <c r="J3410" s="182" t="n">
        <v>0</v>
      </c>
      <c r="K3410" s="182" t="n">
        <v>2.7</v>
      </c>
      <c r="L3410" s="182" t="n">
        <v>12</v>
      </c>
      <c r="M3410" s="182" t="n">
        <v>0</v>
      </c>
      <c r="N3410" s="182" t="n">
        <v>0</v>
      </c>
      <c r="O3410" s="183" t="n">
        <v>0</v>
      </c>
      <c r="P3410" s="183" t="n">
        <v>0</v>
      </c>
      <c r="Q3410" s="184" t="n">
        <v>0</v>
      </c>
      <c r="R3410" s="184" t="n">
        <v>0</v>
      </c>
      <c r="S3410" s="183" t="n">
        <v>0</v>
      </c>
      <c r="T3410" s="183" t="n">
        <v>0</v>
      </c>
      <c r="U3410" s="182" t="n">
        <v>0</v>
      </c>
      <c r="V3410" s="182" t="n">
        <v>0</v>
      </c>
      <c r="W3410" s="182" t="n">
        <v>0</v>
      </c>
      <c r="X3410" s="182" t="n">
        <v>1.13</v>
      </c>
      <c r="Y3410" s="182" t="n">
        <v>0</v>
      </c>
      <c r="Z3410" s="182" t="n">
        <v>0</v>
      </c>
      <c r="AA3410" s="182" t="n">
        <v>0</v>
      </c>
      <c r="AB3410" s="182" t="n">
        <v>1.13</v>
      </c>
      <c r="AC3410" s="182" t="n">
        <v>0</v>
      </c>
      <c r="AD3410" s="182" t="n">
        <v>0</v>
      </c>
      <c r="AE3410" s="182" t="n">
        <v>0</v>
      </c>
      <c r="AF3410" s="182" t="n">
        <v>0</v>
      </c>
      <c r="AG3410" s="182" t="n">
        <v>0</v>
      </c>
      <c r="AH3410" s="182" t="n">
        <v>0</v>
      </c>
      <c r="AI3410" s="182" t="n">
        <v>0</v>
      </c>
      <c r="AJ3410" s="182" t="n">
        <v>0</v>
      </c>
      <c r="AK3410" s="182" t="n">
        <v>0.36</v>
      </c>
      <c r="AL3410" s="182" t="n">
        <v>0</v>
      </c>
      <c r="AM3410" s="182" t="n">
        <v>0.09</v>
      </c>
      <c r="AN3410" s="182" t="n">
        <v>0</v>
      </c>
    </row>
    <row r="3411">
      <c r="A3411" s="155" t="n">
        <v>46097</v>
      </c>
      <c r="B3411" s="156" t="inlineStr">
        <is>
          <t>DS</t>
        </is>
      </c>
      <c r="C3411" s="156" t="inlineStr">
        <is>
          <t>WL-024</t>
        </is>
      </c>
      <c r="D3411" s="156" t="inlineStr">
        <is>
          <t>SANY - Loader</t>
        </is>
      </c>
      <c r="E3411" s="156" t="inlineStr">
        <is>
          <t>Loader</t>
        </is>
      </c>
      <c r="F3411" s="156" t="inlineStr">
        <is>
          <t>General Support Washing Plant</t>
        </is>
      </c>
      <c r="G3411" s="182" t="n">
        <v>9.699999999999999</v>
      </c>
      <c r="H3411" s="182" t="n">
        <v>0</v>
      </c>
      <c r="I3411" s="182" t="n">
        <v>0</v>
      </c>
      <c r="J3411" s="182" t="n">
        <v>0</v>
      </c>
      <c r="K3411" s="182" t="n">
        <v>2.3</v>
      </c>
      <c r="L3411" s="182" t="n">
        <v>12</v>
      </c>
      <c r="M3411" s="182" t="n">
        <v>0</v>
      </c>
      <c r="N3411" s="182" t="n">
        <v>0</v>
      </c>
      <c r="O3411" s="183" t="n">
        <v>0</v>
      </c>
      <c r="P3411" s="183" t="n">
        <v>0</v>
      </c>
      <c r="Q3411" s="184" t="n">
        <v>0</v>
      </c>
      <c r="R3411" s="184" t="n">
        <v>0</v>
      </c>
      <c r="S3411" s="183" t="n">
        <v>0</v>
      </c>
      <c r="T3411" s="183" t="n">
        <v>0</v>
      </c>
      <c r="U3411" s="182" t="n">
        <v>0</v>
      </c>
      <c r="V3411" s="182" t="n">
        <v>0</v>
      </c>
      <c r="W3411" s="182" t="n">
        <v>0</v>
      </c>
      <c r="X3411" s="182" t="n">
        <v>1</v>
      </c>
      <c r="Y3411" s="182" t="n">
        <v>0</v>
      </c>
      <c r="Z3411" s="182" t="n">
        <v>0</v>
      </c>
      <c r="AA3411" s="182" t="n">
        <v>0</v>
      </c>
      <c r="AB3411" s="182" t="n">
        <v>1</v>
      </c>
      <c r="AC3411" s="182" t="n">
        <v>0</v>
      </c>
      <c r="AD3411" s="182" t="n">
        <v>0</v>
      </c>
      <c r="AE3411" s="182" t="n">
        <v>0</v>
      </c>
      <c r="AF3411" s="182" t="n">
        <v>0</v>
      </c>
      <c r="AG3411" s="182" t="n">
        <v>0</v>
      </c>
      <c r="AH3411" s="182" t="n">
        <v>0</v>
      </c>
      <c r="AI3411" s="182" t="n">
        <v>0</v>
      </c>
      <c r="AJ3411" s="182" t="n">
        <v>0</v>
      </c>
      <c r="AK3411" s="182" t="n">
        <v>0.22</v>
      </c>
      <c r="AL3411" s="182" t="n">
        <v>0</v>
      </c>
      <c r="AM3411" s="182" t="n">
        <v>0.08</v>
      </c>
      <c r="AN3411" s="182" t="n">
        <v>0</v>
      </c>
    </row>
    <row r="3412">
      <c r="A3412" s="155" t="n">
        <v>46097</v>
      </c>
      <c r="B3412" s="156" t="inlineStr">
        <is>
          <t>NS</t>
        </is>
      </c>
      <c r="C3412" s="156" t="inlineStr">
        <is>
          <t>DZ-034</t>
        </is>
      </c>
      <c r="D3412" s="156" t="inlineStr">
        <is>
          <t>D 68ESS-12EO</t>
        </is>
      </c>
      <c r="E3412" s="156" t="inlineStr">
        <is>
          <t>Bulldozer</t>
        </is>
      </c>
      <c r="F3412" s="156" t="inlineStr">
        <is>
          <t>Dozing Stock ROM Dirty</t>
        </is>
      </c>
      <c r="G3412" s="182" t="n">
        <v>8.279999999999999</v>
      </c>
      <c r="H3412" s="182" t="n">
        <v>0</v>
      </c>
      <c r="I3412" s="182" t="n">
        <v>0.17</v>
      </c>
      <c r="J3412" s="182" t="n">
        <v>0.17</v>
      </c>
      <c r="K3412" s="182" t="n">
        <v>3.55</v>
      </c>
      <c r="L3412" s="182" t="n">
        <v>12</v>
      </c>
      <c r="M3412" s="182" t="n">
        <v>0</v>
      </c>
      <c r="N3412" s="182" t="n">
        <v>0</v>
      </c>
      <c r="O3412" s="183" t="n">
        <v>0</v>
      </c>
      <c r="P3412" s="183" t="n">
        <v>0</v>
      </c>
      <c r="Q3412" s="184" t="n">
        <v>0</v>
      </c>
      <c r="R3412" s="184" t="n">
        <v>0</v>
      </c>
      <c r="S3412" s="183" t="n">
        <v>0</v>
      </c>
      <c r="T3412" s="183" t="n">
        <v>0</v>
      </c>
      <c r="U3412" s="182" t="n">
        <v>0</v>
      </c>
      <c r="V3412" s="182" t="n">
        <v>0</v>
      </c>
      <c r="W3412" s="182" t="n">
        <v>0</v>
      </c>
      <c r="X3412" s="182" t="n">
        <v>1.13</v>
      </c>
      <c r="Y3412" s="182" t="n">
        <v>0</v>
      </c>
      <c r="Z3412" s="182" t="n">
        <v>0</v>
      </c>
      <c r="AA3412" s="182" t="n">
        <v>0</v>
      </c>
      <c r="AB3412" s="182" t="n">
        <v>0</v>
      </c>
      <c r="AC3412" s="182" t="n">
        <v>0</v>
      </c>
      <c r="AD3412" s="182" t="n">
        <v>0</v>
      </c>
      <c r="AE3412" s="182" t="n">
        <v>0</v>
      </c>
      <c r="AF3412" s="182" t="n">
        <v>0</v>
      </c>
      <c r="AG3412" s="182" t="n">
        <v>0</v>
      </c>
      <c r="AH3412" s="182" t="n">
        <v>0</v>
      </c>
      <c r="AI3412" s="182" t="n">
        <v>0</v>
      </c>
      <c r="AJ3412" s="182" t="n">
        <v>0</v>
      </c>
      <c r="AK3412" s="182" t="n">
        <v>2.33</v>
      </c>
      <c r="AL3412" s="182" t="n">
        <v>0</v>
      </c>
      <c r="AM3412" s="182" t="n">
        <v>0.09</v>
      </c>
      <c r="AN3412" s="182" t="n">
        <v>0</v>
      </c>
    </row>
    <row r="3413">
      <c r="A3413" s="155" t="n">
        <v>46097</v>
      </c>
      <c r="B3413" s="156" t="inlineStr">
        <is>
          <t>NS</t>
        </is>
      </c>
      <c r="C3413" s="156" t="inlineStr">
        <is>
          <t>DZ-033</t>
        </is>
      </c>
      <c r="D3413" s="156" t="inlineStr">
        <is>
          <t>D 375A-6R</t>
        </is>
      </c>
      <c r="E3413" s="156" t="inlineStr">
        <is>
          <t>Bulldozer</t>
        </is>
      </c>
      <c r="F3413" s="156" t="inlineStr">
        <is>
          <t>Support Disposal</t>
        </is>
      </c>
      <c r="G3413" s="182" t="n">
        <v>8.15</v>
      </c>
      <c r="H3413" s="182" t="n">
        <v>0</v>
      </c>
      <c r="I3413" s="182" t="n">
        <v>0</v>
      </c>
      <c r="J3413" s="182" t="n">
        <v>0</v>
      </c>
      <c r="K3413" s="182" t="n">
        <v>3.85</v>
      </c>
      <c r="L3413" s="182" t="n">
        <v>12</v>
      </c>
      <c r="M3413" s="182" t="n">
        <v>0</v>
      </c>
      <c r="N3413" s="182" t="n">
        <v>0</v>
      </c>
      <c r="O3413" s="183" t="n">
        <v>0</v>
      </c>
      <c r="P3413" s="183" t="n">
        <v>0</v>
      </c>
      <c r="Q3413" s="184" t="n">
        <v>0</v>
      </c>
      <c r="R3413" s="184" t="n">
        <v>0</v>
      </c>
      <c r="S3413" s="183" t="n">
        <v>0</v>
      </c>
      <c r="T3413" s="183" t="n">
        <v>0</v>
      </c>
      <c r="U3413" s="182" t="n">
        <v>0</v>
      </c>
      <c r="V3413" s="182" t="n">
        <v>0</v>
      </c>
      <c r="W3413" s="182" t="n">
        <v>0</v>
      </c>
      <c r="X3413" s="182" t="n">
        <v>0.96</v>
      </c>
      <c r="Y3413" s="182" t="n">
        <v>0</v>
      </c>
      <c r="Z3413" s="182" t="n">
        <v>0</v>
      </c>
      <c r="AA3413" s="182" t="n">
        <v>0</v>
      </c>
      <c r="AB3413" s="182" t="n">
        <v>0</v>
      </c>
      <c r="AC3413" s="182" t="n">
        <v>0</v>
      </c>
      <c r="AD3413" s="182" t="n">
        <v>0</v>
      </c>
      <c r="AE3413" s="182" t="n">
        <v>0</v>
      </c>
      <c r="AF3413" s="182" t="n">
        <v>0</v>
      </c>
      <c r="AG3413" s="182" t="n">
        <v>0</v>
      </c>
      <c r="AH3413" s="182" t="n">
        <v>0</v>
      </c>
      <c r="AI3413" s="182" t="n">
        <v>0</v>
      </c>
      <c r="AJ3413" s="182" t="n">
        <v>0</v>
      </c>
      <c r="AK3413" s="182" t="n">
        <v>2.81</v>
      </c>
      <c r="AL3413" s="182" t="n">
        <v>0</v>
      </c>
      <c r="AM3413" s="182" t="n">
        <v>0.08</v>
      </c>
      <c r="AN3413" s="182" t="n">
        <v>0</v>
      </c>
    </row>
    <row r="3414">
      <c r="A3414" s="155" t="n">
        <v>46097</v>
      </c>
      <c r="B3414" s="156" t="inlineStr">
        <is>
          <t>NS</t>
        </is>
      </c>
      <c r="C3414" s="156" t="inlineStr">
        <is>
          <t>DZ-038</t>
        </is>
      </c>
      <c r="D3414" s="156" t="inlineStr">
        <is>
          <t>D 85 ESS-2</t>
        </is>
      </c>
      <c r="E3414" s="156" t="inlineStr">
        <is>
          <t>Bulldozer</t>
        </is>
      </c>
      <c r="F3414" s="156" t="inlineStr"/>
      <c r="G3414" s="182" t="n">
        <v>0</v>
      </c>
      <c r="H3414" s="182" t="n">
        <v>0</v>
      </c>
      <c r="I3414" s="182" t="n">
        <v>12</v>
      </c>
      <c r="J3414" s="182" t="n">
        <v>12</v>
      </c>
      <c r="K3414" s="182" t="n">
        <v>0</v>
      </c>
      <c r="L3414" s="182" t="n">
        <v>12</v>
      </c>
      <c r="M3414" s="182" t="n">
        <v>0</v>
      </c>
      <c r="N3414" s="182" t="n">
        <v>0</v>
      </c>
      <c r="O3414" s="183" t="n">
        <v>0</v>
      </c>
      <c r="P3414" s="183" t="n">
        <v>0</v>
      </c>
      <c r="Q3414" s="184" t="n">
        <v>0</v>
      </c>
      <c r="R3414" s="184" t="n">
        <v>0</v>
      </c>
      <c r="S3414" s="183" t="n">
        <v>0</v>
      </c>
      <c r="T3414" s="183" t="n">
        <v>0</v>
      </c>
      <c r="U3414" s="182" t="n">
        <v>0</v>
      </c>
      <c r="V3414" s="182" t="n">
        <v>0</v>
      </c>
      <c r="W3414" s="182" t="n">
        <v>0</v>
      </c>
      <c r="X3414" s="182" t="n">
        <v>0</v>
      </c>
      <c r="Y3414" s="182" t="n">
        <v>0</v>
      </c>
      <c r="Z3414" s="182" t="n">
        <v>0</v>
      </c>
      <c r="AA3414" s="182" t="n">
        <v>0</v>
      </c>
      <c r="AB3414" s="182" t="n">
        <v>0</v>
      </c>
      <c r="AC3414" s="182" t="n">
        <v>0</v>
      </c>
      <c r="AD3414" s="182" t="n">
        <v>0</v>
      </c>
      <c r="AE3414" s="182" t="n">
        <v>0</v>
      </c>
      <c r="AF3414" s="182" t="n">
        <v>0</v>
      </c>
      <c r="AG3414" s="182" t="n">
        <v>0</v>
      </c>
      <c r="AH3414" s="182" t="n">
        <v>0</v>
      </c>
      <c r="AI3414" s="182" t="n">
        <v>0</v>
      </c>
      <c r="AJ3414" s="182" t="n">
        <v>0</v>
      </c>
      <c r="AK3414" s="182" t="n">
        <v>0</v>
      </c>
      <c r="AL3414" s="182" t="n">
        <v>0</v>
      </c>
      <c r="AM3414" s="182" t="n">
        <v>0</v>
      </c>
      <c r="AN3414" s="182" t="n">
        <v>0</v>
      </c>
    </row>
    <row r="3415">
      <c r="A3415" s="155" t="n">
        <v>46097</v>
      </c>
      <c r="B3415" s="156" t="inlineStr">
        <is>
          <t>NS</t>
        </is>
      </c>
      <c r="C3415" s="156" t="inlineStr">
        <is>
          <t>DZ-039</t>
        </is>
      </c>
      <c r="D3415" s="156" t="inlineStr">
        <is>
          <t>D 85 ESS-2</t>
        </is>
      </c>
      <c r="E3415" s="156" t="inlineStr">
        <is>
          <t>Bulldozer</t>
        </is>
      </c>
      <c r="F3415" s="156" t="inlineStr">
        <is>
          <t>Support Front Loading</t>
        </is>
      </c>
      <c r="G3415" s="182" t="n">
        <v>7.06</v>
      </c>
      <c r="H3415" s="182" t="n">
        <v>0</v>
      </c>
      <c r="I3415" s="182" t="n">
        <v>3.23</v>
      </c>
      <c r="J3415" s="182" t="n">
        <v>3.23</v>
      </c>
      <c r="K3415" s="182" t="n">
        <v>1.71</v>
      </c>
      <c r="L3415" s="182" t="n">
        <v>12</v>
      </c>
      <c r="M3415" s="182" t="n">
        <v>0</v>
      </c>
      <c r="N3415" s="182" t="n">
        <v>0</v>
      </c>
      <c r="O3415" s="183" t="n">
        <v>0</v>
      </c>
      <c r="P3415" s="183" t="n">
        <v>0</v>
      </c>
      <c r="Q3415" s="184" t="n">
        <v>0</v>
      </c>
      <c r="R3415" s="184" t="n">
        <v>0</v>
      </c>
      <c r="S3415" s="183" t="n">
        <v>0</v>
      </c>
      <c r="T3415" s="183" t="n">
        <v>0</v>
      </c>
      <c r="U3415" s="182" t="n">
        <v>0</v>
      </c>
      <c r="V3415" s="182" t="n">
        <v>0</v>
      </c>
      <c r="W3415" s="182" t="n">
        <v>0</v>
      </c>
      <c r="X3415" s="182" t="n">
        <v>1.35</v>
      </c>
      <c r="Y3415" s="182" t="n">
        <v>0</v>
      </c>
      <c r="Z3415" s="182" t="n">
        <v>0</v>
      </c>
      <c r="AA3415" s="182" t="n">
        <v>0</v>
      </c>
      <c r="AB3415" s="182" t="n">
        <v>0</v>
      </c>
      <c r="AC3415" s="182" t="n">
        <v>0</v>
      </c>
      <c r="AD3415" s="182" t="n">
        <v>0</v>
      </c>
      <c r="AE3415" s="182" t="n">
        <v>0</v>
      </c>
      <c r="AF3415" s="182" t="n">
        <v>0</v>
      </c>
      <c r="AG3415" s="182" t="n">
        <v>0</v>
      </c>
      <c r="AH3415" s="182" t="n">
        <v>0</v>
      </c>
      <c r="AI3415" s="182" t="n">
        <v>0</v>
      </c>
      <c r="AJ3415" s="182" t="n">
        <v>0</v>
      </c>
      <c r="AK3415" s="182" t="n">
        <v>0.24</v>
      </c>
      <c r="AL3415" s="182" t="n">
        <v>0</v>
      </c>
      <c r="AM3415" s="182" t="n">
        <v>0.11</v>
      </c>
      <c r="AN3415" s="182" t="n">
        <v>0</v>
      </c>
    </row>
    <row r="3416">
      <c r="A3416" s="155" t="n">
        <v>46097</v>
      </c>
      <c r="B3416" s="156" t="inlineStr">
        <is>
          <t>NS</t>
        </is>
      </c>
      <c r="C3416" s="156" t="inlineStr">
        <is>
          <t>DZ-032</t>
        </is>
      </c>
      <c r="D3416" s="156" t="inlineStr">
        <is>
          <t>CAT</t>
        </is>
      </c>
      <c r="E3416" s="156" t="inlineStr">
        <is>
          <t>Bulldozer</t>
        </is>
      </c>
      <c r="F3416" s="156" t="inlineStr"/>
      <c r="G3416" s="182" t="n">
        <v>0</v>
      </c>
      <c r="H3416" s="182" t="n">
        <v>0</v>
      </c>
      <c r="I3416" s="182" t="n">
        <v>12</v>
      </c>
      <c r="J3416" s="182" t="n">
        <v>12</v>
      </c>
      <c r="K3416" s="182" t="n">
        <v>0</v>
      </c>
      <c r="L3416" s="182" t="n">
        <v>12</v>
      </c>
      <c r="M3416" s="182" t="n">
        <v>0</v>
      </c>
      <c r="N3416" s="182" t="n">
        <v>0</v>
      </c>
      <c r="O3416" s="183" t="n">
        <v>0</v>
      </c>
      <c r="P3416" s="183" t="n">
        <v>0</v>
      </c>
      <c r="Q3416" s="184" t="n">
        <v>0</v>
      </c>
      <c r="R3416" s="184" t="n">
        <v>0</v>
      </c>
      <c r="S3416" s="183" t="n">
        <v>0</v>
      </c>
      <c r="T3416" s="183" t="n">
        <v>0</v>
      </c>
      <c r="U3416" s="182" t="n">
        <v>0</v>
      </c>
      <c r="V3416" s="182" t="n">
        <v>0</v>
      </c>
      <c r="W3416" s="182" t="n">
        <v>0</v>
      </c>
      <c r="X3416" s="182" t="n">
        <v>0</v>
      </c>
      <c r="Y3416" s="182" t="n">
        <v>0</v>
      </c>
      <c r="Z3416" s="182" t="n">
        <v>0</v>
      </c>
      <c r="AA3416" s="182" t="n">
        <v>0</v>
      </c>
      <c r="AB3416" s="182" t="n">
        <v>0</v>
      </c>
      <c r="AC3416" s="182" t="n">
        <v>0</v>
      </c>
      <c r="AD3416" s="182" t="n">
        <v>0</v>
      </c>
      <c r="AE3416" s="182" t="n">
        <v>0</v>
      </c>
      <c r="AF3416" s="182" t="n">
        <v>0</v>
      </c>
      <c r="AG3416" s="182" t="n">
        <v>0</v>
      </c>
      <c r="AH3416" s="182" t="n">
        <v>0</v>
      </c>
      <c r="AI3416" s="182" t="n">
        <v>0</v>
      </c>
      <c r="AJ3416" s="182" t="n">
        <v>0</v>
      </c>
      <c r="AK3416" s="182" t="n">
        <v>0</v>
      </c>
      <c r="AL3416" s="182" t="n">
        <v>0</v>
      </c>
      <c r="AM3416" s="182" t="n">
        <v>0</v>
      </c>
      <c r="AN3416" s="182" t="n">
        <v>0</v>
      </c>
    </row>
    <row r="3417">
      <c r="A3417" s="155" t="n">
        <v>46097</v>
      </c>
      <c r="B3417" s="156" t="inlineStr">
        <is>
          <t>NS</t>
        </is>
      </c>
      <c r="C3417" s="156" t="inlineStr">
        <is>
          <t>DZ-031</t>
        </is>
      </c>
      <c r="D3417" s="156" t="inlineStr">
        <is>
          <t>CAT</t>
        </is>
      </c>
      <c r="E3417" s="156" t="inlineStr">
        <is>
          <t>Bulldozer</t>
        </is>
      </c>
      <c r="F3417" s="156" t="inlineStr">
        <is>
          <t>Support Front Loading</t>
        </is>
      </c>
      <c r="G3417" s="182" t="n">
        <v>9.74</v>
      </c>
      <c r="H3417" s="182" t="n">
        <v>0</v>
      </c>
      <c r="I3417" s="182" t="n">
        <v>0.17</v>
      </c>
      <c r="J3417" s="182" t="n">
        <v>0.17</v>
      </c>
      <c r="K3417" s="182" t="n">
        <v>2.09</v>
      </c>
      <c r="L3417" s="182" t="n">
        <v>12</v>
      </c>
      <c r="M3417" s="182" t="n">
        <v>0</v>
      </c>
      <c r="N3417" s="182" t="n">
        <v>0</v>
      </c>
      <c r="O3417" s="183" t="n">
        <v>0</v>
      </c>
      <c r="P3417" s="183" t="n">
        <v>0</v>
      </c>
      <c r="Q3417" s="184" t="n">
        <v>0</v>
      </c>
      <c r="R3417" s="184" t="n">
        <v>0</v>
      </c>
      <c r="S3417" s="183" t="n">
        <v>0</v>
      </c>
      <c r="T3417" s="183" t="n">
        <v>0</v>
      </c>
      <c r="U3417" s="182" t="n">
        <v>0</v>
      </c>
      <c r="V3417" s="182" t="n">
        <v>0</v>
      </c>
      <c r="W3417" s="182" t="n">
        <v>0</v>
      </c>
      <c r="X3417" s="182" t="n">
        <v>0.98</v>
      </c>
      <c r="Y3417" s="182" t="n">
        <v>0</v>
      </c>
      <c r="Z3417" s="182" t="n">
        <v>0</v>
      </c>
      <c r="AA3417" s="182" t="n">
        <v>0</v>
      </c>
      <c r="AB3417" s="182" t="n">
        <v>0</v>
      </c>
      <c r="AC3417" s="182" t="n">
        <v>0</v>
      </c>
      <c r="AD3417" s="182" t="n">
        <v>0</v>
      </c>
      <c r="AE3417" s="182" t="n">
        <v>0</v>
      </c>
      <c r="AF3417" s="182" t="n">
        <v>0</v>
      </c>
      <c r="AG3417" s="182" t="n">
        <v>0</v>
      </c>
      <c r="AH3417" s="182" t="n">
        <v>0</v>
      </c>
      <c r="AI3417" s="182" t="n">
        <v>0</v>
      </c>
      <c r="AJ3417" s="182" t="n">
        <v>0</v>
      </c>
      <c r="AK3417" s="182" t="n">
        <v>1.03</v>
      </c>
      <c r="AL3417" s="182" t="n">
        <v>0</v>
      </c>
      <c r="AM3417" s="182" t="n">
        <v>0.08</v>
      </c>
      <c r="AN3417" s="182" t="n">
        <v>0</v>
      </c>
    </row>
    <row r="3418">
      <c r="A3418" s="155" t="n">
        <v>46097</v>
      </c>
      <c r="B3418" s="156" t="inlineStr">
        <is>
          <t>NS</t>
        </is>
      </c>
      <c r="C3418" s="156" t="inlineStr">
        <is>
          <t>DZ-037</t>
        </is>
      </c>
      <c r="D3418" s="156" t="inlineStr">
        <is>
          <t>D 85 ESS-2</t>
        </is>
      </c>
      <c r="E3418" s="156" t="inlineStr">
        <is>
          <t>Bulldozer</t>
        </is>
      </c>
      <c r="F3418" s="156" t="inlineStr"/>
      <c r="G3418" s="182" t="n">
        <v>0</v>
      </c>
      <c r="H3418" s="182" t="n">
        <v>0</v>
      </c>
      <c r="I3418" s="182" t="n">
        <v>12</v>
      </c>
      <c r="J3418" s="182" t="n">
        <v>12</v>
      </c>
      <c r="K3418" s="182" t="n">
        <v>0</v>
      </c>
      <c r="L3418" s="182" t="n">
        <v>12</v>
      </c>
      <c r="M3418" s="182" t="n">
        <v>0</v>
      </c>
      <c r="N3418" s="182" t="n">
        <v>0</v>
      </c>
      <c r="O3418" s="183" t="n">
        <v>0</v>
      </c>
      <c r="P3418" s="183" t="n">
        <v>0</v>
      </c>
      <c r="Q3418" s="184" t="n">
        <v>0</v>
      </c>
      <c r="R3418" s="184" t="n">
        <v>0</v>
      </c>
      <c r="S3418" s="183" t="n">
        <v>0</v>
      </c>
      <c r="T3418" s="183" t="n">
        <v>0</v>
      </c>
      <c r="U3418" s="182" t="n">
        <v>0</v>
      </c>
      <c r="V3418" s="182" t="n">
        <v>0</v>
      </c>
      <c r="W3418" s="182" t="n">
        <v>0</v>
      </c>
      <c r="X3418" s="182" t="n">
        <v>0</v>
      </c>
      <c r="Y3418" s="182" t="n">
        <v>0</v>
      </c>
      <c r="Z3418" s="182" t="n">
        <v>0</v>
      </c>
      <c r="AA3418" s="182" t="n">
        <v>0</v>
      </c>
      <c r="AB3418" s="182" t="n">
        <v>0</v>
      </c>
      <c r="AC3418" s="182" t="n">
        <v>0</v>
      </c>
      <c r="AD3418" s="182" t="n">
        <v>0</v>
      </c>
      <c r="AE3418" s="182" t="n">
        <v>0</v>
      </c>
      <c r="AF3418" s="182" t="n">
        <v>0</v>
      </c>
      <c r="AG3418" s="182" t="n">
        <v>0</v>
      </c>
      <c r="AH3418" s="182" t="n">
        <v>0</v>
      </c>
      <c r="AI3418" s="182" t="n">
        <v>0</v>
      </c>
      <c r="AJ3418" s="182" t="n">
        <v>0</v>
      </c>
      <c r="AK3418" s="182" t="n">
        <v>0</v>
      </c>
      <c r="AL3418" s="182" t="n">
        <v>0</v>
      </c>
      <c r="AM3418" s="182" t="n">
        <v>0</v>
      </c>
      <c r="AN3418" s="182" t="n">
        <v>0</v>
      </c>
    </row>
    <row r="3419">
      <c r="A3419" s="155" t="n">
        <v>46097</v>
      </c>
      <c r="B3419" s="156" t="inlineStr">
        <is>
          <t>NS</t>
        </is>
      </c>
      <c r="C3419" s="156" t="inlineStr">
        <is>
          <t>DZ-036</t>
        </is>
      </c>
      <c r="D3419" s="156" t="inlineStr">
        <is>
          <t>D 85 ESS-2</t>
        </is>
      </c>
      <c r="E3419" s="156" t="inlineStr">
        <is>
          <t>Bulldozer</t>
        </is>
      </c>
      <c r="F3419" s="156" t="inlineStr"/>
      <c r="G3419" s="182" t="n">
        <v>0</v>
      </c>
      <c r="H3419" s="182" t="n">
        <v>0</v>
      </c>
      <c r="I3419" s="182" t="n">
        <v>0</v>
      </c>
      <c r="J3419" s="182" t="n">
        <v>0</v>
      </c>
      <c r="K3419" s="182" t="n">
        <v>12</v>
      </c>
      <c r="L3419" s="182" t="n">
        <v>12</v>
      </c>
      <c r="M3419" s="182" t="n">
        <v>0</v>
      </c>
      <c r="N3419" s="182" t="n">
        <v>0</v>
      </c>
      <c r="O3419" s="183" t="n">
        <v>0</v>
      </c>
      <c r="P3419" s="183" t="n">
        <v>0</v>
      </c>
      <c r="Q3419" s="184" t="n">
        <v>0</v>
      </c>
      <c r="R3419" s="184" t="n">
        <v>0</v>
      </c>
      <c r="S3419" s="183" t="n">
        <v>0</v>
      </c>
      <c r="T3419" s="183" t="n">
        <v>0</v>
      </c>
      <c r="U3419" s="182" t="n">
        <v>0</v>
      </c>
      <c r="V3419" s="182" t="n">
        <v>0</v>
      </c>
      <c r="W3419" s="182" t="n">
        <v>0</v>
      </c>
      <c r="X3419" s="182" t="n">
        <v>1</v>
      </c>
      <c r="Y3419" s="182" t="n">
        <v>0</v>
      </c>
      <c r="Z3419" s="182" t="n">
        <v>0</v>
      </c>
      <c r="AA3419" s="182" t="n">
        <v>0</v>
      </c>
      <c r="AB3419" s="182" t="n">
        <v>0</v>
      </c>
      <c r="AC3419" s="182" t="n">
        <v>0</v>
      </c>
      <c r="AD3419" s="182" t="n">
        <v>0</v>
      </c>
      <c r="AE3419" s="182" t="n">
        <v>0</v>
      </c>
      <c r="AF3419" s="182" t="n">
        <v>0</v>
      </c>
      <c r="AG3419" s="182" t="n">
        <v>0</v>
      </c>
      <c r="AH3419" s="182" t="n">
        <v>0</v>
      </c>
      <c r="AI3419" s="182" t="n">
        <v>0</v>
      </c>
      <c r="AJ3419" s="182" t="n">
        <v>0</v>
      </c>
      <c r="AK3419" s="182" t="n">
        <v>10.92</v>
      </c>
      <c r="AL3419" s="182" t="n">
        <v>0</v>
      </c>
      <c r="AM3419" s="182" t="n">
        <v>0.08</v>
      </c>
      <c r="AN3419" s="182" t="n">
        <v>0</v>
      </c>
    </row>
    <row r="3420">
      <c r="A3420" s="155" t="n">
        <v>46097</v>
      </c>
      <c r="B3420" s="156" t="inlineStr">
        <is>
          <t>NS</t>
        </is>
      </c>
      <c r="C3420" s="156" t="inlineStr">
        <is>
          <t>DZ-035</t>
        </is>
      </c>
      <c r="D3420" s="156" t="inlineStr">
        <is>
          <t>D 85 ESS-2</t>
        </is>
      </c>
      <c r="E3420" s="156" t="inlineStr">
        <is>
          <t>Bulldozer</t>
        </is>
      </c>
      <c r="F3420" s="156" t="inlineStr">
        <is>
          <t>Support Disposal</t>
        </is>
      </c>
      <c r="G3420" s="182" t="n">
        <v>7.6</v>
      </c>
      <c r="H3420" s="182" t="n">
        <v>0</v>
      </c>
      <c r="I3420" s="182" t="n">
        <v>0.18</v>
      </c>
      <c r="J3420" s="182" t="n">
        <v>0.18</v>
      </c>
      <c r="K3420" s="182" t="n">
        <v>4.22</v>
      </c>
      <c r="L3420" s="182" t="n">
        <v>12</v>
      </c>
      <c r="M3420" s="182" t="n">
        <v>0</v>
      </c>
      <c r="N3420" s="182" t="n">
        <v>0</v>
      </c>
      <c r="O3420" s="183" t="n">
        <v>0</v>
      </c>
      <c r="P3420" s="183" t="n">
        <v>0</v>
      </c>
      <c r="Q3420" s="184" t="n">
        <v>0</v>
      </c>
      <c r="R3420" s="184" t="n">
        <v>0</v>
      </c>
      <c r="S3420" s="183" t="n">
        <v>0</v>
      </c>
      <c r="T3420" s="183" t="n">
        <v>0</v>
      </c>
      <c r="U3420" s="182" t="n">
        <v>0</v>
      </c>
      <c r="V3420" s="182" t="n">
        <v>0</v>
      </c>
      <c r="W3420" s="182" t="n">
        <v>0</v>
      </c>
      <c r="X3420" s="182" t="n">
        <v>0.88</v>
      </c>
      <c r="Y3420" s="182" t="n">
        <v>0</v>
      </c>
      <c r="Z3420" s="182" t="n">
        <v>0</v>
      </c>
      <c r="AA3420" s="182" t="n">
        <v>0</v>
      </c>
      <c r="AB3420" s="182" t="n">
        <v>0</v>
      </c>
      <c r="AC3420" s="182" t="n">
        <v>0</v>
      </c>
      <c r="AD3420" s="182" t="n">
        <v>0</v>
      </c>
      <c r="AE3420" s="182" t="n">
        <v>0</v>
      </c>
      <c r="AF3420" s="182" t="n">
        <v>0</v>
      </c>
      <c r="AG3420" s="182" t="n">
        <v>0</v>
      </c>
      <c r="AH3420" s="182" t="n">
        <v>0</v>
      </c>
      <c r="AI3420" s="182" t="n">
        <v>0</v>
      </c>
      <c r="AJ3420" s="182" t="n">
        <v>0</v>
      </c>
      <c r="AK3420" s="182" t="n">
        <v>3.27</v>
      </c>
      <c r="AL3420" s="182" t="n">
        <v>0</v>
      </c>
      <c r="AM3420" s="182" t="n">
        <v>0.07000000000000001</v>
      </c>
      <c r="AN3420" s="182" t="n">
        <v>0</v>
      </c>
    </row>
    <row r="3421">
      <c r="A3421" s="155" t="n">
        <v>46097</v>
      </c>
      <c r="B3421" s="156" t="inlineStr">
        <is>
          <t>NS</t>
        </is>
      </c>
      <c r="C3421" s="156" t="inlineStr">
        <is>
          <t>CP-042</t>
        </is>
      </c>
      <c r="D3421" s="156" t="inlineStr">
        <is>
          <t>SANY - Compactor</t>
        </is>
      </c>
      <c r="E3421" s="156" t="inlineStr">
        <is>
          <t>Compactor</t>
        </is>
      </c>
      <c r="F3421" s="156" t="inlineStr"/>
      <c r="G3421" s="182" t="n">
        <v>0</v>
      </c>
      <c r="H3421" s="182" t="n">
        <v>0</v>
      </c>
      <c r="I3421" s="182" t="n">
        <v>0</v>
      </c>
      <c r="J3421" s="182" t="n">
        <v>0</v>
      </c>
      <c r="K3421" s="182" t="n">
        <v>12</v>
      </c>
      <c r="L3421" s="182" t="n">
        <v>12</v>
      </c>
      <c r="M3421" s="182" t="n">
        <v>0</v>
      </c>
      <c r="N3421" s="182" t="n">
        <v>0</v>
      </c>
      <c r="O3421" s="183" t="n">
        <v>0</v>
      </c>
      <c r="P3421" s="183" t="n">
        <v>0</v>
      </c>
      <c r="Q3421" s="184" t="n">
        <v>0</v>
      </c>
      <c r="R3421" s="184" t="n">
        <v>0</v>
      </c>
      <c r="S3421" s="183" t="n">
        <v>0</v>
      </c>
      <c r="T3421" s="183" t="n">
        <v>0</v>
      </c>
      <c r="U3421" s="182" t="n">
        <v>0</v>
      </c>
      <c r="V3421" s="182" t="n">
        <v>0</v>
      </c>
      <c r="W3421" s="182" t="n">
        <v>0</v>
      </c>
      <c r="X3421" s="182" t="n">
        <v>1</v>
      </c>
      <c r="Y3421" s="182" t="n">
        <v>0</v>
      </c>
      <c r="Z3421" s="182" t="n">
        <v>0</v>
      </c>
      <c r="AA3421" s="182" t="n">
        <v>0</v>
      </c>
      <c r="AB3421" s="182" t="n">
        <v>0</v>
      </c>
      <c r="AC3421" s="182" t="n">
        <v>0</v>
      </c>
      <c r="AD3421" s="182" t="n">
        <v>0</v>
      </c>
      <c r="AE3421" s="182" t="n">
        <v>0</v>
      </c>
      <c r="AF3421" s="182" t="n">
        <v>0</v>
      </c>
      <c r="AG3421" s="182" t="n">
        <v>0</v>
      </c>
      <c r="AH3421" s="182" t="n">
        <v>0</v>
      </c>
      <c r="AI3421" s="182" t="n">
        <v>0</v>
      </c>
      <c r="AJ3421" s="182" t="n">
        <v>0</v>
      </c>
      <c r="AK3421" s="182" t="n">
        <v>10.92</v>
      </c>
      <c r="AL3421" s="182" t="n">
        <v>0</v>
      </c>
      <c r="AM3421" s="182" t="n">
        <v>0.08</v>
      </c>
      <c r="AN3421" s="182" t="n">
        <v>0</v>
      </c>
    </row>
    <row r="3422">
      <c r="A3422" s="155" t="n">
        <v>46097</v>
      </c>
      <c r="B3422" s="156" t="inlineStr">
        <is>
          <t>NS</t>
        </is>
      </c>
      <c r="C3422" s="156" t="inlineStr">
        <is>
          <t>CP-041</t>
        </is>
      </c>
      <c r="D3422" s="156" t="inlineStr">
        <is>
          <t>SANY - Compactor</t>
        </is>
      </c>
      <c r="E3422" s="156" t="inlineStr">
        <is>
          <t>Compactor</t>
        </is>
      </c>
      <c r="F3422" s="156" t="inlineStr">
        <is>
          <t>General Road</t>
        </is>
      </c>
      <c r="G3422" s="182" t="n">
        <v>7.82</v>
      </c>
      <c r="H3422" s="182" t="n">
        <v>0</v>
      </c>
      <c r="I3422" s="182" t="n">
        <v>0</v>
      </c>
      <c r="J3422" s="182" t="n">
        <v>0</v>
      </c>
      <c r="K3422" s="182" t="n">
        <v>4.18</v>
      </c>
      <c r="L3422" s="182" t="n">
        <v>12</v>
      </c>
      <c r="M3422" s="182" t="n">
        <v>0</v>
      </c>
      <c r="N3422" s="182" t="n">
        <v>0</v>
      </c>
      <c r="O3422" s="183" t="n">
        <v>0</v>
      </c>
      <c r="P3422" s="183" t="n">
        <v>0</v>
      </c>
      <c r="Q3422" s="184" t="n">
        <v>0</v>
      </c>
      <c r="R3422" s="184" t="n">
        <v>0</v>
      </c>
      <c r="S3422" s="183" t="n">
        <v>0</v>
      </c>
      <c r="T3422" s="183" t="n">
        <v>0</v>
      </c>
      <c r="U3422" s="182" t="n">
        <v>0</v>
      </c>
      <c r="V3422" s="182" t="n">
        <v>0</v>
      </c>
      <c r="W3422" s="182" t="n">
        <v>0</v>
      </c>
      <c r="X3422" s="182" t="n">
        <v>0.97</v>
      </c>
      <c r="Y3422" s="182" t="n">
        <v>0</v>
      </c>
      <c r="Z3422" s="182" t="n">
        <v>0</v>
      </c>
      <c r="AA3422" s="182" t="n">
        <v>0</v>
      </c>
      <c r="AB3422" s="182" t="n">
        <v>0</v>
      </c>
      <c r="AC3422" s="182" t="n">
        <v>0</v>
      </c>
      <c r="AD3422" s="182" t="n">
        <v>0</v>
      </c>
      <c r="AE3422" s="182" t="n">
        <v>0</v>
      </c>
      <c r="AF3422" s="182" t="n">
        <v>0</v>
      </c>
      <c r="AG3422" s="182" t="n">
        <v>0</v>
      </c>
      <c r="AH3422" s="182" t="n">
        <v>0</v>
      </c>
      <c r="AI3422" s="182" t="n">
        <v>0</v>
      </c>
      <c r="AJ3422" s="182" t="n">
        <v>0</v>
      </c>
      <c r="AK3422" s="182" t="n">
        <v>3.13</v>
      </c>
      <c r="AL3422" s="182" t="n">
        <v>0</v>
      </c>
      <c r="AM3422" s="182" t="n">
        <v>0.08</v>
      </c>
      <c r="AN3422" s="182" t="n">
        <v>0</v>
      </c>
    </row>
    <row r="3423">
      <c r="A3423" s="155" t="n">
        <v>46097</v>
      </c>
      <c r="B3423" s="156" t="inlineStr">
        <is>
          <t>NS</t>
        </is>
      </c>
      <c r="C3423" s="156" t="inlineStr">
        <is>
          <t>HT-418</t>
        </is>
      </c>
      <c r="D3423" s="156" t="inlineStr">
        <is>
          <t>SY430</t>
        </is>
      </c>
      <c r="E3423" s="156" t="inlineStr">
        <is>
          <t>DT Hauling</t>
        </is>
      </c>
      <c r="F3423" s="156" t="inlineStr"/>
      <c r="G3423" s="182" t="n">
        <v>0</v>
      </c>
      <c r="H3423" s="182" t="n">
        <v>0</v>
      </c>
      <c r="I3423" s="182" t="n">
        <v>0</v>
      </c>
      <c r="J3423" s="182" t="n">
        <v>0</v>
      </c>
      <c r="K3423" s="182" t="n">
        <v>12</v>
      </c>
      <c r="L3423" s="182" t="n">
        <v>12</v>
      </c>
      <c r="M3423" s="182" t="n">
        <v>0</v>
      </c>
      <c r="N3423" s="182" t="n">
        <v>0</v>
      </c>
      <c r="O3423" s="183" t="n">
        <v>0</v>
      </c>
      <c r="P3423" s="183" t="n">
        <v>0</v>
      </c>
      <c r="Q3423" s="184" t="n">
        <v>0</v>
      </c>
      <c r="R3423" s="184" t="n">
        <v>0</v>
      </c>
      <c r="S3423" s="183" t="n">
        <v>0</v>
      </c>
      <c r="T3423" s="183" t="n">
        <v>0</v>
      </c>
      <c r="U3423" s="182" t="n">
        <v>0</v>
      </c>
      <c r="V3423" s="182" t="n">
        <v>0</v>
      </c>
      <c r="W3423" s="182" t="n">
        <v>0</v>
      </c>
      <c r="X3423" s="182" t="n">
        <v>1</v>
      </c>
      <c r="Y3423" s="182" t="n">
        <v>0</v>
      </c>
      <c r="Z3423" s="182" t="n">
        <v>0</v>
      </c>
      <c r="AA3423" s="182" t="n">
        <v>0</v>
      </c>
      <c r="AB3423" s="182" t="n">
        <v>0</v>
      </c>
      <c r="AC3423" s="182" t="n">
        <v>0</v>
      </c>
      <c r="AD3423" s="182" t="n">
        <v>0</v>
      </c>
      <c r="AE3423" s="182" t="n">
        <v>0</v>
      </c>
      <c r="AF3423" s="182" t="n">
        <v>0</v>
      </c>
      <c r="AG3423" s="182" t="n">
        <v>0</v>
      </c>
      <c r="AH3423" s="182" t="n">
        <v>0</v>
      </c>
      <c r="AI3423" s="182" t="n">
        <v>0</v>
      </c>
      <c r="AJ3423" s="182" t="n">
        <v>0</v>
      </c>
      <c r="AK3423" s="182" t="n">
        <v>10.92</v>
      </c>
      <c r="AL3423" s="182" t="n">
        <v>0</v>
      </c>
      <c r="AM3423" s="182" t="n">
        <v>0.08</v>
      </c>
      <c r="AN3423" s="182" t="n">
        <v>0</v>
      </c>
    </row>
    <row r="3424">
      <c r="A3424" s="155" t="n">
        <v>46097</v>
      </c>
      <c r="B3424" s="156" t="inlineStr">
        <is>
          <t>NS</t>
        </is>
      </c>
      <c r="C3424" s="156" t="inlineStr">
        <is>
          <t>HT-404</t>
        </is>
      </c>
      <c r="D3424" s="156" t="inlineStr">
        <is>
          <t>SY430</t>
        </is>
      </c>
      <c r="E3424" s="156" t="inlineStr">
        <is>
          <t>DT Hauling</t>
        </is>
      </c>
      <c r="F3424" s="156" t="inlineStr"/>
      <c r="G3424" s="182" t="n">
        <v>0</v>
      </c>
      <c r="H3424" s="182" t="n">
        <v>0</v>
      </c>
      <c r="I3424" s="182" t="n">
        <v>12</v>
      </c>
      <c r="J3424" s="182" t="n">
        <v>12</v>
      </c>
      <c r="K3424" s="182" t="n">
        <v>0</v>
      </c>
      <c r="L3424" s="182" t="n">
        <v>12</v>
      </c>
      <c r="M3424" s="182" t="n">
        <v>0</v>
      </c>
      <c r="N3424" s="182" t="n">
        <v>0</v>
      </c>
      <c r="O3424" s="183" t="n">
        <v>0</v>
      </c>
      <c r="P3424" s="183" t="n">
        <v>0</v>
      </c>
      <c r="Q3424" s="184" t="n">
        <v>0</v>
      </c>
      <c r="R3424" s="184" t="n">
        <v>0</v>
      </c>
      <c r="S3424" s="183" t="n">
        <v>0</v>
      </c>
      <c r="T3424" s="183" t="n">
        <v>0</v>
      </c>
      <c r="U3424" s="182" t="n">
        <v>0</v>
      </c>
      <c r="V3424" s="182" t="n">
        <v>0</v>
      </c>
      <c r="W3424" s="182" t="n">
        <v>0</v>
      </c>
      <c r="X3424" s="182" t="n">
        <v>0</v>
      </c>
      <c r="Y3424" s="182" t="n">
        <v>0</v>
      </c>
      <c r="Z3424" s="182" t="n">
        <v>0</v>
      </c>
      <c r="AA3424" s="182" t="n">
        <v>0</v>
      </c>
      <c r="AB3424" s="182" t="n">
        <v>0</v>
      </c>
      <c r="AC3424" s="182" t="n">
        <v>0</v>
      </c>
      <c r="AD3424" s="182" t="n">
        <v>0</v>
      </c>
      <c r="AE3424" s="182" t="n">
        <v>0</v>
      </c>
      <c r="AF3424" s="182" t="n">
        <v>0</v>
      </c>
      <c r="AG3424" s="182" t="n">
        <v>0</v>
      </c>
      <c r="AH3424" s="182" t="n">
        <v>0</v>
      </c>
      <c r="AI3424" s="182" t="n">
        <v>0</v>
      </c>
      <c r="AJ3424" s="182" t="n">
        <v>0</v>
      </c>
      <c r="AK3424" s="182" t="n">
        <v>0</v>
      </c>
      <c r="AL3424" s="182" t="n">
        <v>0</v>
      </c>
      <c r="AM3424" s="182" t="n">
        <v>0</v>
      </c>
      <c r="AN3424" s="182" t="n">
        <v>0</v>
      </c>
    </row>
    <row r="3425">
      <c r="A3425" s="155" t="n">
        <v>46097</v>
      </c>
      <c r="B3425" s="156" t="inlineStr">
        <is>
          <t>NS</t>
        </is>
      </c>
      <c r="C3425" s="156" t="inlineStr">
        <is>
          <t>HT-415</t>
        </is>
      </c>
      <c r="D3425" s="156" t="inlineStr">
        <is>
          <t>SY430</t>
        </is>
      </c>
      <c r="E3425" s="156" t="inlineStr">
        <is>
          <t>DT Hauling</t>
        </is>
      </c>
      <c r="F3425" s="156" t="inlineStr"/>
      <c r="G3425" s="182" t="n">
        <v>0</v>
      </c>
      <c r="H3425" s="182" t="n">
        <v>0</v>
      </c>
      <c r="I3425" s="182" t="n">
        <v>12</v>
      </c>
      <c r="J3425" s="182" t="n">
        <v>12</v>
      </c>
      <c r="K3425" s="182" t="n">
        <v>0</v>
      </c>
      <c r="L3425" s="182" t="n">
        <v>12</v>
      </c>
      <c r="M3425" s="182" t="n">
        <v>0</v>
      </c>
      <c r="N3425" s="182" t="n">
        <v>0</v>
      </c>
      <c r="O3425" s="183" t="n">
        <v>0</v>
      </c>
      <c r="P3425" s="183" t="n">
        <v>0</v>
      </c>
      <c r="Q3425" s="184" t="n">
        <v>0</v>
      </c>
      <c r="R3425" s="184" t="n">
        <v>0</v>
      </c>
      <c r="S3425" s="183" t="n">
        <v>0</v>
      </c>
      <c r="T3425" s="183" t="n">
        <v>0</v>
      </c>
      <c r="U3425" s="182" t="n">
        <v>0</v>
      </c>
      <c r="V3425" s="182" t="n">
        <v>0</v>
      </c>
      <c r="W3425" s="182" t="n">
        <v>0</v>
      </c>
      <c r="X3425" s="182" t="n">
        <v>0</v>
      </c>
      <c r="Y3425" s="182" t="n">
        <v>0</v>
      </c>
      <c r="Z3425" s="182" t="n">
        <v>0</v>
      </c>
      <c r="AA3425" s="182" t="n">
        <v>0</v>
      </c>
      <c r="AB3425" s="182" t="n">
        <v>0</v>
      </c>
      <c r="AC3425" s="182" t="n">
        <v>0</v>
      </c>
      <c r="AD3425" s="182" t="n">
        <v>0</v>
      </c>
      <c r="AE3425" s="182" t="n">
        <v>0</v>
      </c>
      <c r="AF3425" s="182" t="n">
        <v>0</v>
      </c>
      <c r="AG3425" s="182" t="n">
        <v>0</v>
      </c>
      <c r="AH3425" s="182" t="n">
        <v>0</v>
      </c>
      <c r="AI3425" s="182" t="n">
        <v>0</v>
      </c>
      <c r="AJ3425" s="182" t="n">
        <v>0</v>
      </c>
      <c r="AK3425" s="182" t="n">
        <v>0</v>
      </c>
      <c r="AL3425" s="182" t="n">
        <v>0</v>
      </c>
      <c r="AM3425" s="182" t="n">
        <v>0</v>
      </c>
      <c r="AN3425" s="182" t="n">
        <v>0</v>
      </c>
    </row>
    <row r="3426">
      <c r="A3426" s="155" t="n">
        <v>46097</v>
      </c>
      <c r="B3426" s="156" t="inlineStr">
        <is>
          <t>NS</t>
        </is>
      </c>
      <c r="C3426" s="156" t="inlineStr">
        <is>
          <t>HT-406</t>
        </is>
      </c>
      <c r="D3426" s="156" t="inlineStr">
        <is>
          <t>SY430</t>
        </is>
      </c>
      <c r="E3426" s="156" t="inlineStr">
        <is>
          <t>DT Hauling</t>
        </is>
      </c>
      <c r="F3426" s="156" t="inlineStr"/>
      <c r="G3426" s="182" t="n">
        <v>0</v>
      </c>
      <c r="H3426" s="182" t="n">
        <v>0</v>
      </c>
      <c r="I3426" s="182" t="n">
        <v>12</v>
      </c>
      <c r="J3426" s="182" t="n">
        <v>12</v>
      </c>
      <c r="K3426" s="182" t="n">
        <v>0</v>
      </c>
      <c r="L3426" s="182" t="n">
        <v>12</v>
      </c>
      <c r="M3426" s="182" t="n">
        <v>0</v>
      </c>
      <c r="N3426" s="182" t="n">
        <v>0</v>
      </c>
      <c r="O3426" s="183" t="n">
        <v>0</v>
      </c>
      <c r="P3426" s="183" t="n">
        <v>0</v>
      </c>
      <c r="Q3426" s="184" t="n">
        <v>0</v>
      </c>
      <c r="R3426" s="184" t="n">
        <v>0</v>
      </c>
      <c r="S3426" s="183" t="n">
        <v>0</v>
      </c>
      <c r="T3426" s="183" t="n">
        <v>0</v>
      </c>
      <c r="U3426" s="182" t="n">
        <v>0</v>
      </c>
      <c r="V3426" s="182" t="n">
        <v>0</v>
      </c>
      <c r="W3426" s="182" t="n">
        <v>0</v>
      </c>
      <c r="X3426" s="182" t="n">
        <v>0</v>
      </c>
      <c r="Y3426" s="182" t="n">
        <v>0</v>
      </c>
      <c r="Z3426" s="182" t="n">
        <v>0</v>
      </c>
      <c r="AA3426" s="182" t="n">
        <v>0</v>
      </c>
      <c r="AB3426" s="182" t="n">
        <v>0</v>
      </c>
      <c r="AC3426" s="182" t="n">
        <v>0</v>
      </c>
      <c r="AD3426" s="182" t="n">
        <v>0</v>
      </c>
      <c r="AE3426" s="182" t="n">
        <v>0</v>
      </c>
      <c r="AF3426" s="182" t="n">
        <v>0</v>
      </c>
      <c r="AG3426" s="182" t="n">
        <v>0</v>
      </c>
      <c r="AH3426" s="182" t="n">
        <v>0</v>
      </c>
      <c r="AI3426" s="182" t="n">
        <v>0</v>
      </c>
      <c r="AJ3426" s="182" t="n">
        <v>0</v>
      </c>
      <c r="AK3426" s="182" t="n">
        <v>0</v>
      </c>
      <c r="AL3426" s="182" t="n">
        <v>0</v>
      </c>
      <c r="AM3426" s="182" t="n">
        <v>0</v>
      </c>
      <c r="AN3426" s="182" t="n">
        <v>0</v>
      </c>
    </row>
    <row r="3427">
      <c r="A3427" s="155" t="n">
        <v>46097</v>
      </c>
      <c r="B3427" s="156" t="inlineStr">
        <is>
          <t>NS</t>
        </is>
      </c>
      <c r="C3427" s="156" t="inlineStr">
        <is>
          <t>HT-405</t>
        </is>
      </c>
      <c r="D3427" s="156" t="inlineStr">
        <is>
          <t>SY430</t>
        </is>
      </c>
      <c r="E3427" s="156" t="inlineStr">
        <is>
          <t>DT Hauling</t>
        </is>
      </c>
      <c r="F3427" s="156" t="inlineStr"/>
      <c r="G3427" s="182" t="n">
        <v>0</v>
      </c>
      <c r="H3427" s="182" t="n">
        <v>0</v>
      </c>
      <c r="I3427" s="182" t="n">
        <v>0</v>
      </c>
      <c r="J3427" s="182" t="n">
        <v>0</v>
      </c>
      <c r="K3427" s="182" t="n">
        <v>12</v>
      </c>
      <c r="L3427" s="182" t="n">
        <v>12</v>
      </c>
      <c r="M3427" s="182" t="n">
        <v>0</v>
      </c>
      <c r="N3427" s="182" t="n">
        <v>0</v>
      </c>
      <c r="O3427" s="183" t="n">
        <v>0</v>
      </c>
      <c r="P3427" s="183" t="n">
        <v>0</v>
      </c>
      <c r="Q3427" s="184" t="n">
        <v>0</v>
      </c>
      <c r="R3427" s="184" t="n">
        <v>0</v>
      </c>
      <c r="S3427" s="183" t="n">
        <v>0</v>
      </c>
      <c r="T3427" s="183" t="n">
        <v>0</v>
      </c>
      <c r="U3427" s="182" t="n">
        <v>0</v>
      </c>
      <c r="V3427" s="182" t="n">
        <v>0</v>
      </c>
      <c r="W3427" s="182" t="n">
        <v>0</v>
      </c>
      <c r="X3427" s="182" t="n">
        <v>1</v>
      </c>
      <c r="Y3427" s="182" t="n">
        <v>0</v>
      </c>
      <c r="Z3427" s="182" t="n">
        <v>0</v>
      </c>
      <c r="AA3427" s="182" t="n">
        <v>0</v>
      </c>
      <c r="AB3427" s="182" t="n">
        <v>0</v>
      </c>
      <c r="AC3427" s="182" t="n">
        <v>0</v>
      </c>
      <c r="AD3427" s="182" t="n">
        <v>0</v>
      </c>
      <c r="AE3427" s="182" t="n">
        <v>0</v>
      </c>
      <c r="AF3427" s="182" t="n">
        <v>0</v>
      </c>
      <c r="AG3427" s="182" t="n">
        <v>0</v>
      </c>
      <c r="AH3427" s="182" t="n">
        <v>0</v>
      </c>
      <c r="AI3427" s="182" t="n">
        <v>0</v>
      </c>
      <c r="AJ3427" s="182" t="n">
        <v>0</v>
      </c>
      <c r="AK3427" s="182" t="n">
        <v>10.92</v>
      </c>
      <c r="AL3427" s="182" t="n">
        <v>0</v>
      </c>
      <c r="AM3427" s="182" t="n">
        <v>0.08</v>
      </c>
      <c r="AN3427" s="182" t="n">
        <v>0</v>
      </c>
    </row>
    <row r="3428">
      <c r="A3428" s="155" t="n">
        <v>46097</v>
      </c>
      <c r="B3428" s="156" t="inlineStr">
        <is>
          <t>NS</t>
        </is>
      </c>
      <c r="C3428" s="156" t="inlineStr">
        <is>
          <t>HT-417</t>
        </is>
      </c>
      <c r="D3428" s="156" t="inlineStr">
        <is>
          <t>SY430</t>
        </is>
      </c>
      <c r="E3428" s="156" t="inlineStr">
        <is>
          <t>DT Hauling</t>
        </is>
      </c>
      <c r="F3428" s="156" t="inlineStr"/>
      <c r="G3428" s="182" t="n">
        <v>0</v>
      </c>
      <c r="H3428" s="182" t="n">
        <v>0</v>
      </c>
      <c r="I3428" s="182" t="n">
        <v>0</v>
      </c>
      <c r="J3428" s="182" t="n">
        <v>0</v>
      </c>
      <c r="K3428" s="182" t="n">
        <v>12</v>
      </c>
      <c r="L3428" s="182" t="n">
        <v>12</v>
      </c>
      <c r="M3428" s="182" t="n">
        <v>0</v>
      </c>
      <c r="N3428" s="182" t="n">
        <v>0</v>
      </c>
      <c r="O3428" s="183" t="n">
        <v>0</v>
      </c>
      <c r="P3428" s="183" t="n">
        <v>0</v>
      </c>
      <c r="Q3428" s="184" t="n">
        <v>0</v>
      </c>
      <c r="R3428" s="184" t="n">
        <v>0</v>
      </c>
      <c r="S3428" s="183" t="n">
        <v>0</v>
      </c>
      <c r="T3428" s="183" t="n">
        <v>0</v>
      </c>
      <c r="U3428" s="182" t="n">
        <v>0</v>
      </c>
      <c r="V3428" s="182" t="n">
        <v>0</v>
      </c>
      <c r="W3428" s="182" t="n">
        <v>0</v>
      </c>
      <c r="X3428" s="182" t="n">
        <v>1</v>
      </c>
      <c r="Y3428" s="182" t="n">
        <v>0</v>
      </c>
      <c r="Z3428" s="182" t="n">
        <v>0</v>
      </c>
      <c r="AA3428" s="182" t="n">
        <v>0</v>
      </c>
      <c r="AB3428" s="182" t="n">
        <v>0</v>
      </c>
      <c r="AC3428" s="182" t="n">
        <v>0</v>
      </c>
      <c r="AD3428" s="182" t="n">
        <v>0</v>
      </c>
      <c r="AE3428" s="182" t="n">
        <v>0</v>
      </c>
      <c r="AF3428" s="182" t="n">
        <v>0</v>
      </c>
      <c r="AG3428" s="182" t="n">
        <v>0</v>
      </c>
      <c r="AH3428" s="182" t="n">
        <v>0</v>
      </c>
      <c r="AI3428" s="182" t="n">
        <v>0</v>
      </c>
      <c r="AJ3428" s="182" t="n">
        <v>0</v>
      </c>
      <c r="AK3428" s="182" t="n">
        <v>10.92</v>
      </c>
      <c r="AL3428" s="182" t="n">
        <v>0</v>
      </c>
      <c r="AM3428" s="182" t="n">
        <v>0.08</v>
      </c>
      <c r="AN3428" s="182" t="n">
        <v>0</v>
      </c>
    </row>
    <row r="3429">
      <c r="A3429" s="155" t="n">
        <v>46097</v>
      </c>
      <c r="B3429" s="156" t="inlineStr">
        <is>
          <t>NS</t>
        </is>
      </c>
      <c r="C3429" s="156" t="inlineStr">
        <is>
          <t>HT-401</t>
        </is>
      </c>
      <c r="D3429" s="156" t="inlineStr">
        <is>
          <t>SY430</t>
        </is>
      </c>
      <c r="E3429" s="156" t="inlineStr">
        <is>
          <t>DT Hauling</t>
        </is>
      </c>
      <c r="F3429" s="156" t="inlineStr"/>
      <c r="G3429" s="182" t="n">
        <v>0</v>
      </c>
      <c r="H3429" s="182" t="n">
        <v>0</v>
      </c>
      <c r="I3429" s="182" t="n">
        <v>0</v>
      </c>
      <c r="J3429" s="182" t="n">
        <v>0</v>
      </c>
      <c r="K3429" s="182" t="n">
        <v>12</v>
      </c>
      <c r="L3429" s="182" t="n">
        <v>12</v>
      </c>
      <c r="M3429" s="182" t="n">
        <v>0</v>
      </c>
      <c r="N3429" s="182" t="n">
        <v>0</v>
      </c>
      <c r="O3429" s="183" t="n">
        <v>0</v>
      </c>
      <c r="P3429" s="183" t="n">
        <v>0</v>
      </c>
      <c r="Q3429" s="184" t="n">
        <v>0</v>
      </c>
      <c r="R3429" s="184" t="n">
        <v>0</v>
      </c>
      <c r="S3429" s="183" t="n">
        <v>0</v>
      </c>
      <c r="T3429" s="183" t="n">
        <v>0</v>
      </c>
      <c r="U3429" s="182" t="n">
        <v>0</v>
      </c>
      <c r="V3429" s="182" t="n">
        <v>0</v>
      </c>
      <c r="W3429" s="182" t="n">
        <v>0</v>
      </c>
      <c r="X3429" s="182" t="n">
        <v>1</v>
      </c>
      <c r="Y3429" s="182" t="n">
        <v>0</v>
      </c>
      <c r="Z3429" s="182" t="n">
        <v>0</v>
      </c>
      <c r="AA3429" s="182" t="n">
        <v>0</v>
      </c>
      <c r="AB3429" s="182" t="n">
        <v>0</v>
      </c>
      <c r="AC3429" s="182" t="n">
        <v>0</v>
      </c>
      <c r="AD3429" s="182" t="n">
        <v>0</v>
      </c>
      <c r="AE3429" s="182" t="n">
        <v>0</v>
      </c>
      <c r="AF3429" s="182" t="n">
        <v>0</v>
      </c>
      <c r="AG3429" s="182" t="n">
        <v>0</v>
      </c>
      <c r="AH3429" s="182" t="n">
        <v>0</v>
      </c>
      <c r="AI3429" s="182" t="n">
        <v>0</v>
      </c>
      <c r="AJ3429" s="182" t="n">
        <v>0</v>
      </c>
      <c r="AK3429" s="182" t="n">
        <v>10.92</v>
      </c>
      <c r="AL3429" s="182" t="n">
        <v>0</v>
      </c>
      <c r="AM3429" s="182" t="n">
        <v>0.08</v>
      </c>
      <c r="AN3429" s="182" t="n">
        <v>0</v>
      </c>
    </row>
    <row r="3430">
      <c r="A3430" s="155" t="n">
        <v>46097</v>
      </c>
      <c r="B3430" s="156" t="inlineStr">
        <is>
          <t>NS</t>
        </is>
      </c>
      <c r="C3430" s="156" t="inlineStr">
        <is>
          <t>HT-410</t>
        </is>
      </c>
      <c r="D3430" s="156" t="inlineStr">
        <is>
          <t>SY430</t>
        </is>
      </c>
      <c r="E3430" s="156" t="inlineStr">
        <is>
          <t>DT Hauling</t>
        </is>
      </c>
      <c r="F3430" s="156" t="inlineStr"/>
      <c r="G3430" s="182" t="n">
        <v>0</v>
      </c>
      <c r="H3430" s="182" t="n">
        <v>0</v>
      </c>
      <c r="I3430" s="182" t="n">
        <v>0</v>
      </c>
      <c r="J3430" s="182" t="n">
        <v>0</v>
      </c>
      <c r="K3430" s="182" t="n">
        <v>12</v>
      </c>
      <c r="L3430" s="182" t="n">
        <v>12</v>
      </c>
      <c r="M3430" s="182" t="n">
        <v>0</v>
      </c>
      <c r="N3430" s="182" t="n">
        <v>0</v>
      </c>
      <c r="O3430" s="183" t="n">
        <v>0</v>
      </c>
      <c r="P3430" s="183" t="n">
        <v>0</v>
      </c>
      <c r="Q3430" s="184" t="n">
        <v>0</v>
      </c>
      <c r="R3430" s="184" t="n">
        <v>0</v>
      </c>
      <c r="S3430" s="183" t="n">
        <v>0</v>
      </c>
      <c r="T3430" s="183" t="n">
        <v>0</v>
      </c>
      <c r="U3430" s="182" t="n">
        <v>0</v>
      </c>
      <c r="V3430" s="182" t="n">
        <v>0</v>
      </c>
      <c r="W3430" s="182" t="n">
        <v>0</v>
      </c>
      <c r="X3430" s="182" t="n">
        <v>1</v>
      </c>
      <c r="Y3430" s="182" t="n">
        <v>0</v>
      </c>
      <c r="Z3430" s="182" t="n">
        <v>0</v>
      </c>
      <c r="AA3430" s="182" t="n">
        <v>0</v>
      </c>
      <c r="AB3430" s="182" t="n">
        <v>0</v>
      </c>
      <c r="AC3430" s="182" t="n">
        <v>0</v>
      </c>
      <c r="AD3430" s="182" t="n">
        <v>0</v>
      </c>
      <c r="AE3430" s="182" t="n">
        <v>0</v>
      </c>
      <c r="AF3430" s="182" t="n">
        <v>0</v>
      </c>
      <c r="AG3430" s="182" t="n">
        <v>0</v>
      </c>
      <c r="AH3430" s="182" t="n">
        <v>0</v>
      </c>
      <c r="AI3430" s="182" t="n">
        <v>0</v>
      </c>
      <c r="AJ3430" s="182" t="n">
        <v>0</v>
      </c>
      <c r="AK3430" s="182" t="n">
        <v>10.92</v>
      </c>
      <c r="AL3430" s="182" t="n">
        <v>0</v>
      </c>
      <c r="AM3430" s="182" t="n">
        <v>0.08</v>
      </c>
      <c r="AN3430" s="182" t="n">
        <v>0</v>
      </c>
    </row>
    <row r="3431">
      <c r="A3431" s="155" t="n">
        <v>46097</v>
      </c>
      <c r="B3431" s="156" t="inlineStr">
        <is>
          <t>NS</t>
        </is>
      </c>
      <c r="C3431" s="156" t="inlineStr">
        <is>
          <t>HT-402</t>
        </is>
      </c>
      <c r="D3431" s="156" t="inlineStr">
        <is>
          <t>SY430</t>
        </is>
      </c>
      <c r="E3431" s="156" t="inlineStr">
        <is>
          <t>DT Hauling</t>
        </is>
      </c>
      <c r="F3431" s="156" t="inlineStr"/>
      <c r="G3431" s="182" t="n">
        <v>0</v>
      </c>
      <c r="H3431" s="182" t="n">
        <v>0</v>
      </c>
      <c r="I3431" s="182" t="n">
        <v>12</v>
      </c>
      <c r="J3431" s="182" t="n">
        <v>12</v>
      </c>
      <c r="K3431" s="182" t="n">
        <v>0</v>
      </c>
      <c r="L3431" s="182" t="n">
        <v>12</v>
      </c>
      <c r="M3431" s="182" t="n">
        <v>0</v>
      </c>
      <c r="N3431" s="182" t="n">
        <v>0</v>
      </c>
      <c r="O3431" s="183" t="n">
        <v>0</v>
      </c>
      <c r="P3431" s="183" t="n">
        <v>0</v>
      </c>
      <c r="Q3431" s="184" t="n">
        <v>0</v>
      </c>
      <c r="R3431" s="184" t="n">
        <v>0</v>
      </c>
      <c r="S3431" s="183" t="n">
        <v>0</v>
      </c>
      <c r="T3431" s="183" t="n">
        <v>0</v>
      </c>
      <c r="U3431" s="182" t="n">
        <v>0</v>
      </c>
      <c r="V3431" s="182" t="n">
        <v>0</v>
      </c>
      <c r="W3431" s="182" t="n">
        <v>0</v>
      </c>
      <c r="X3431" s="182" t="n">
        <v>0</v>
      </c>
      <c r="Y3431" s="182" t="n">
        <v>0</v>
      </c>
      <c r="Z3431" s="182" t="n">
        <v>0</v>
      </c>
      <c r="AA3431" s="182" t="n">
        <v>0</v>
      </c>
      <c r="AB3431" s="182" t="n">
        <v>0</v>
      </c>
      <c r="AC3431" s="182" t="n">
        <v>0</v>
      </c>
      <c r="AD3431" s="182" t="n">
        <v>0</v>
      </c>
      <c r="AE3431" s="182" t="n">
        <v>0</v>
      </c>
      <c r="AF3431" s="182" t="n">
        <v>0</v>
      </c>
      <c r="AG3431" s="182" t="n">
        <v>0</v>
      </c>
      <c r="AH3431" s="182" t="n">
        <v>0</v>
      </c>
      <c r="AI3431" s="182" t="n">
        <v>0</v>
      </c>
      <c r="AJ3431" s="182" t="n">
        <v>0</v>
      </c>
      <c r="AK3431" s="182" t="n">
        <v>0</v>
      </c>
      <c r="AL3431" s="182" t="n">
        <v>0</v>
      </c>
      <c r="AM3431" s="182" t="n">
        <v>0</v>
      </c>
      <c r="AN3431" s="182" t="n">
        <v>0</v>
      </c>
    </row>
    <row r="3432">
      <c r="A3432" s="155" t="n">
        <v>46097</v>
      </c>
      <c r="B3432" s="156" t="inlineStr">
        <is>
          <t>NS</t>
        </is>
      </c>
      <c r="C3432" s="156" t="inlineStr">
        <is>
          <t>HT-419</t>
        </is>
      </c>
      <c r="D3432" s="156" t="inlineStr">
        <is>
          <t>SY430</t>
        </is>
      </c>
      <c r="E3432" s="156" t="inlineStr">
        <is>
          <t>DT Hauling</t>
        </is>
      </c>
      <c r="F3432" s="156" t="inlineStr"/>
      <c r="G3432" s="182" t="n">
        <v>0</v>
      </c>
      <c r="H3432" s="182" t="n">
        <v>0</v>
      </c>
      <c r="I3432" s="182" t="n">
        <v>0</v>
      </c>
      <c r="J3432" s="182" t="n">
        <v>0</v>
      </c>
      <c r="K3432" s="182" t="n">
        <v>12</v>
      </c>
      <c r="L3432" s="182" t="n">
        <v>12</v>
      </c>
      <c r="M3432" s="182" t="n">
        <v>0</v>
      </c>
      <c r="N3432" s="182" t="n">
        <v>0</v>
      </c>
      <c r="O3432" s="183" t="n">
        <v>0</v>
      </c>
      <c r="P3432" s="183" t="n">
        <v>0</v>
      </c>
      <c r="Q3432" s="184" t="n">
        <v>0</v>
      </c>
      <c r="R3432" s="184" t="n">
        <v>0</v>
      </c>
      <c r="S3432" s="183" t="n">
        <v>0</v>
      </c>
      <c r="T3432" s="183" t="n">
        <v>0</v>
      </c>
      <c r="U3432" s="182" t="n">
        <v>0</v>
      </c>
      <c r="V3432" s="182" t="n">
        <v>0</v>
      </c>
      <c r="W3432" s="182" t="n">
        <v>0</v>
      </c>
      <c r="X3432" s="182" t="n">
        <v>1</v>
      </c>
      <c r="Y3432" s="182" t="n">
        <v>0</v>
      </c>
      <c r="Z3432" s="182" t="n">
        <v>0</v>
      </c>
      <c r="AA3432" s="182" t="n">
        <v>0</v>
      </c>
      <c r="AB3432" s="182" t="n">
        <v>0</v>
      </c>
      <c r="AC3432" s="182" t="n">
        <v>0</v>
      </c>
      <c r="AD3432" s="182" t="n">
        <v>0</v>
      </c>
      <c r="AE3432" s="182" t="n">
        <v>0</v>
      </c>
      <c r="AF3432" s="182" t="n">
        <v>0</v>
      </c>
      <c r="AG3432" s="182" t="n">
        <v>0</v>
      </c>
      <c r="AH3432" s="182" t="n">
        <v>0</v>
      </c>
      <c r="AI3432" s="182" t="n">
        <v>0</v>
      </c>
      <c r="AJ3432" s="182" t="n">
        <v>0</v>
      </c>
      <c r="AK3432" s="182" t="n">
        <v>10.92</v>
      </c>
      <c r="AL3432" s="182" t="n">
        <v>0</v>
      </c>
      <c r="AM3432" s="182" t="n">
        <v>0.08</v>
      </c>
      <c r="AN3432" s="182" t="n">
        <v>0</v>
      </c>
    </row>
    <row r="3433">
      <c r="A3433" s="155" t="n">
        <v>46097</v>
      </c>
      <c r="B3433" s="156" t="inlineStr">
        <is>
          <t>NS</t>
        </is>
      </c>
      <c r="C3433" s="156" t="inlineStr">
        <is>
          <t>HT-416</t>
        </is>
      </c>
      <c r="D3433" s="156" t="inlineStr">
        <is>
          <t>SY430</t>
        </is>
      </c>
      <c r="E3433" s="156" t="inlineStr">
        <is>
          <t>DT Hauling</t>
        </is>
      </c>
      <c r="F3433" s="156" t="inlineStr"/>
      <c r="G3433" s="182" t="n">
        <v>0</v>
      </c>
      <c r="H3433" s="182" t="n">
        <v>0</v>
      </c>
      <c r="I3433" s="182" t="n">
        <v>1.78</v>
      </c>
      <c r="J3433" s="182" t="n">
        <v>1.78</v>
      </c>
      <c r="K3433" s="182" t="n">
        <v>10.22</v>
      </c>
      <c r="L3433" s="182" t="n">
        <v>12</v>
      </c>
      <c r="M3433" s="182" t="n">
        <v>0</v>
      </c>
      <c r="N3433" s="182" t="n">
        <v>0</v>
      </c>
      <c r="O3433" s="183" t="n">
        <v>0</v>
      </c>
      <c r="P3433" s="183" t="n">
        <v>0</v>
      </c>
      <c r="Q3433" s="184" t="n">
        <v>0</v>
      </c>
      <c r="R3433" s="184" t="n">
        <v>0</v>
      </c>
      <c r="S3433" s="183" t="n">
        <v>0</v>
      </c>
      <c r="T3433" s="183" t="n">
        <v>0</v>
      </c>
      <c r="U3433" s="182" t="n">
        <v>0</v>
      </c>
      <c r="V3433" s="182" t="n">
        <v>0</v>
      </c>
      <c r="W3433" s="182" t="n">
        <v>0</v>
      </c>
      <c r="X3433" s="182" t="n">
        <v>1</v>
      </c>
      <c r="Y3433" s="182" t="n">
        <v>0</v>
      </c>
      <c r="Z3433" s="182" t="n">
        <v>0</v>
      </c>
      <c r="AA3433" s="182" t="n">
        <v>0</v>
      </c>
      <c r="AB3433" s="182" t="n">
        <v>0</v>
      </c>
      <c r="AC3433" s="182" t="n">
        <v>0</v>
      </c>
      <c r="AD3433" s="182" t="n">
        <v>0</v>
      </c>
      <c r="AE3433" s="182" t="n">
        <v>0</v>
      </c>
      <c r="AF3433" s="182" t="n">
        <v>0</v>
      </c>
      <c r="AG3433" s="182" t="n">
        <v>0</v>
      </c>
      <c r="AH3433" s="182" t="n">
        <v>0</v>
      </c>
      <c r="AI3433" s="182" t="n">
        <v>0</v>
      </c>
      <c r="AJ3433" s="182" t="n">
        <v>0</v>
      </c>
      <c r="AK3433" s="182" t="n">
        <v>9.130000000000001</v>
      </c>
      <c r="AL3433" s="182" t="n">
        <v>0</v>
      </c>
      <c r="AM3433" s="182" t="n">
        <v>0.08</v>
      </c>
      <c r="AN3433" s="182" t="n">
        <v>0</v>
      </c>
    </row>
    <row r="3434">
      <c r="A3434" s="155" t="n">
        <v>46097</v>
      </c>
      <c r="B3434" s="156" t="inlineStr">
        <is>
          <t>NS</t>
        </is>
      </c>
      <c r="C3434" s="156" t="inlineStr">
        <is>
          <t>HT-420</t>
        </is>
      </c>
      <c r="D3434" s="156" t="inlineStr">
        <is>
          <t>SY430</t>
        </is>
      </c>
      <c r="E3434" s="156" t="inlineStr">
        <is>
          <t>DT Hauling</t>
        </is>
      </c>
      <c r="F3434" s="156" t="inlineStr"/>
      <c r="G3434" s="182" t="n">
        <v>0</v>
      </c>
      <c r="H3434" s="182" t="n">
        <v>0</v>
      </c>
      <c r="I3434" s="182" t="n">
        <v>0</v>
      </c>
      <c r="J3434" s="182" t="n">
        <v>0</v>
      </c>
      <c r="K3434" s="182" t="n">
        <v>12</v>
      </c>
      <c r="L3434" s="182" t="n">
        <v>12</v>
      </c>
      <c r="M3434" s="182" t="n">
        <v>0</v>
      </c>
      <c r="N3434" s="182" t="n">
        <v>0</v>
      </c>
      <c r="O3434" s="183" t="n">
        <v>0</v>
      </c>
      <c r="P3434" s="183" t="n">
        <v>0</v>
      </c>
      <c r="Q3434" s="184" t="n">
        <v>0</v>
      </c>
      <c r="R3434" s="184" t="n">
        <v>0</v>
      </c>
      <c r="S3434" s="183" t="n">
        <v>0</v>
      </c>
      <c r="T3434" s="183" t="n">
        <v>0</v>
      </c>
      <c r="U3434" s="182" t="n">
        <v>0</v>
      </c>
      <c r="V3434" s="182" t="n">
        <v>0</v>
      </c>
      <c r="W3434" s="182" t="n">
        <v>0</v>
      </c>
      <c r="X3434" s="182" t="n">
        <v>1</v>
      </c>
      <c r="Y3434" s="182" t="n">
        <v>0</v>
      </c>
      <c r="Z3434" s="182" t="n">
        <v>0</v>
      </c>
      <c r="AA3434" s="182" t="n">
        <v>0</v>
      </c>
      <c r="AB3434" s="182" t="n">
        <v>0</v>
      </c>
      <c r="AC3434" s="182" t="n">
        <v>0</v>
      </c>
      <c r="AD3434" s="182" t="n">
        <v>0</v>
      </c>
      <c r="AE3434" s="182" t="n">
        <v>0</v>
      </c>
      <c r="AF3434" s="182" t="n">
        <v>0</v>
      </c>
      <c r="AG3434" s="182" t="n">
        <v>0</v>
      </c>
      <c r="AH3434" s="182" t="n">
        <v>0</v>
      </c>
      <c r="AI3434" s="182" t="n">
        <v>0</v>
      </c>
      <c r="AJ3434" s="182" t="n">
        <v>0</v>
      </c>
      <c r="AK3434" s="182" t="n">
        <v>10.92</v>
      </c>
      <c r="AL3434" s="182" t="n">
        <v>0</v>
      </c>
      <c r="AM3434" s="182" t="n">
        <v>0.08</v>
      </c>
      <c r="AN3434" s="182" t="n">
        <v>0</v>
      </c>
    </row>
    <row r="3435">
      <c r="A3435" s="155" t="n">
        <v>46097</v>
      </c>
      <c r="B3435" s="156" t="inlineStr">
        <is>
          <t>NS</t>
        </is>
      </c>
      <c r="C3435" s="156" t="inlineStr">
        <is>
          <t>HT-403</t>
        </is>
      </c>
      <c r="D3435" s="156" t="inlineStr">
        <is>
          <t>SY430</t>
        </is>
      </c>
      <c r="E3435" s="156" t="inlineStr">
        <is>
          <t>DT Hauling</t>
        </is>
      </c>
      <c r="F3435" s="156" t="inlineStr"/>
      <c r="G3435" s="182" t="n">
        <v>0</v>
      </c>
      <c r="H3435" s="182" t="n">
        <v>0</v>
      </c>
      <c r="I3435" s="182" t="n">
        <v>0</v>
      </c>
      <c r="J3435" s="182" t="n">
        <v>0</v>
      </c>
      <c r="K3435" s="182" t="n">
        <v>12</v>
      </c>
      <c r="L3435" s="182" t="n">
        <v>12</v>
      </c>
      <c r="M3435" s="182" t="n">
        <v>0</v>
      </c>
      <c r="N3435" s="182" t="n">
        <v>0</v>
      </c>
      <c r="O3435" s="183" t="n">
        <v>0</v>
      </c>
      <c r="P3435" s="183" t="n">
        <v>0</v>
      </c>
      <c r="Q3435" s="184" t="n">
        <v>0</v>
      </c>
      <c r="R3435" s="184" t="n">
        <v>0</v>
      </c>
      <c r="S3435" s="183" t="n">
        <v>0</v>
      </c>
      <c r="T3435" s="183" t="n">
        <v>0</v>
      </c>
      <c r="U3435" s="182" t="n">
        <v>0</v>
      </c>
      <c r="V3435" s="182" t="n">
        <v>0</v>
      </c>
      <c r="W3435" s="182" t="n">
        <v>0</v>
      </c>
      <c r="X3435" s="182" t="n">
        <v>1</v>
      </c>
      <c r="Y3435" s="182" t="n">
        <v>0</v>
      </c>
      <c r="Z3435" s="182" t="n">
        <v>0</v>
      </c>
      <c r="AA3435" s="182" t="n">
        <v>0</v>
      </c>
      <c r="AB3435" s="182" t="n">
        <v>0</v>
      </c>
      <c r="AC3435" s="182" t="n">
        <v>0</v>
      </c>
      <c r="AD3435" s="182" t="n">
        <v>0</v>
      </c>
      <c r="AE3435" s="182" t="n">
        <v>0</v>
      </c>
      <c r="AF3435" s="182" t="n">
        <v>0</v>
      </c>
      <c r="AG3435" s="182" t="n">
        <v>0</v>
      </c>
      <c r="AH3435" s="182" t="n">
        <v>0</v>
      </c>
      <c r="AI3435" s="182" t="n">
        <v>0</v>
      </c>
      <c r="AJ3435" s="182" t="n">
        <v>0</v>
      </c>
      <c r="AK3435" s="182" t="n">
        <v>10.92</v>
      </c>
      <c r="AL3435" s="182" t="n">
        <v>0</v>
      </c>
      <c r="AM3435" s="182" t="n">
        <v>0.08</v>
      </c>
      <c r="AN3435" s="182" t="n">
        <v>0</v>
      </c>
    </row>
    <row r="3436">
      <c r="A3436" s="155" t="n">
        <v>46097</v>
      </c>
      <c r="B3436" s="156" t="inlineStr">
        <is>
          <t>NS</t>
        </is>
      </c>
      <c r="C3436" s="156" t="inlineStr">
        <is>
          <t>HT-408</t>
        </is>
      </c>
      <c r="D3436" s="156" t="inlineStr">
        <is>
          <t>SY430</t>
        </is>
      </c>
      <c r="E3436" s="156" t="inlineStr">
        <is>
          <t>DT Hauling</t>
        </is>
      </c>
      <c r="F3436" s="156" t="inlineStr"/>
      <c r="G3436" s="182" t="n">
        <v>0</v>
      </c>
      <c r="H3436" s="182" t="n">
        <v>0</v>
      </c>
      <c r="I3436" s="182" t="n">
        <v>0</v>
      </c>
      <c r="J3436" s="182" t="n">
        <v>0</v>
      </c>
      <c r="K3436" s="182" t="n">
        <v>12</v>
      </c>
      <c r="L3436" s="182" t="n">
        <v>12</v>
      </c>
      <c r="M3436" s="182" t="n">
        <v>0</v>
      </c>
      <c r="N3436" s="182" t="n">
        <v>0</v>
      </c>
      <c r="O3436" s="183" t="n">
        <v>0</v>
      </c>
      <c r="P3436" s="183" t="n">
        <v>0</v>
      </c>
      <c r="Q3436" s="184" t="n">
        <v>0</v>
      </c>
      <c r="R3436" s="184" t="n">
        <v>0</v>
      </c>
      <c r="S3436" s="183" t="n">
        <v>0</v>
      </c>
      <c r="T3436" s="183" t="n">
        <v>0</v>
      </c>
      <c r="U3436" s="182" t="n">
        <v>0</v>
      </c>
      <c r="V3436" s="182" t="n">
        <v>0</v>
      </c>
      <c r="W3436" s="182" t="n">
        <v>0</v>
      </c>
      <c r="X3436" s="182" t="n">
        <v>1</v>
      </c>
      <c r="Y3436" s="182" t="n">
        <v>0</v>
      </c>
      <c r="Z3436" s="182" t="n">
        <v>0</v>
      </c>
      <c r="AA3436" s="182" t="n">
        <v>0</v>
      </c>
      <c r="AB3436" s="182" t="n">
        <v>0</v>
      </c>
      <c r="AC3436" s="182" t="n">
        <v>0</v>
      </c>
      <c r="AD3436" s="182" t="n">
        <v>0</v>
      </c>
      <c r="AE3436" s="182" t="n">
        <v>0</v>
      </c>
      <c r="AF3436" s="182" t="n">
        <v>0</v>
      </c>
      <c r="AG3436" s="182" t="n">
        <v>0</v>
      </c>
      <c r="AH3436" s="182" t="n">
        <v>0</v>
      </c>
      <c r="AI3436" s="182" t="n">
        <v>0</v>
      </c>
      <c r="AJ3436" s="182" t="n">
        <v>0</v>
      </c>
      <c r="AK3436" s="182" t="n">
        <v>10.92</v>
      </c>
      <c r="AL3436" s="182" t="n">
        <v>0</v>
      </c>
      <c r="AM3436" s="182" t="n">
        <v>0.08</v>
      </c>
      <c r="AN3436" s="182" t="n">
        <v>0</v>
      </c>
    </row>
    <row r="3437">
      <c r="A3437" s="155" t="n">
        <v>46097</v>
      </c>
      <c r="B3437" s="156" t="inlineStr">
        <is>
          <t>NS</t>
        </is>
      </c>
      <c r="C3437" s="156" t="inlineStr">
        <is>
          <t>HT-412</t>
        </is>
      </c>
      <c r="D3437" s="156" t="inlineStr">
        <is>
          <t>SY430</t>
        </is>
      </c>
      <c r="E3437" s="156" t="inlineStr">
        <is>
          <t>DT Hauling</t>
        </is>
      </c>
      <c r="F3437" s="156" t="inlineStr"/>
      <c r="G3437" s="182" t="n">
        <v>0</v>
      </c>
      <c r="H3437" s="182" t="n">
        <v>0</v>
      </c>
      <c r="I3437" s="182" t="n">
        <v>0</v>
      </c>
      <c r="J3437" s="182" t="n">
        <v>0</v>
      </c>
      <c r="K3437" s="182" t="n">
        <v>12</v>
      </c>
      <c r="L3437" s="182" t="n">
        <v>12</v>
      </c>
      <c r="M3437" s="182" t="n">
        <v>0</v>
      </c>
      <c r="N3437" s="182" t="n">
        <v>0</v>
      </c>
      <c r="O3437" s="183" t="n">
        <v>0</v>
      </c>
      <c r="P3437" s="183" t="n">
        <v>0</v>
      </c>
      <c r="Q3437" s="184" t="n">
        <v>0</v>
      </c>
      <c r="R3437" s="184" t="n">
        <v>0</v>
      </c>
      <c r="S3437" s="183" t="n">
        <v>0</v>
      </c>
      <c r="T3437" s="183" t="n">
        <v>0</v>
      </c>
      <c r="U3437" s="182" t="n">
        <v>0</v>
      </c>
      <c r="V3437" s="182" t="n">
        <v>0</v>
      </c>
      <c r="W3437" s="182" t="n">
        <v>0</v>
      </c>
      <c r="X3437" s="182" t="n">
        <v>1</v>
      </c>
      <c r="Y3437" s="182" t="n">
        <v>0</v>
      </c>
      <c r="Z3437" s="182" t="n">
        <v>0</v>
      </c>
      <c r="AA3437" s="182" t="n">
        <v>0</v>
      </c>
      <c r="AB3437" s="182" t="n">
        <v>0</v>
      </c>
      <c r="AC3437" s="182" t="n">
        <v>0</v>
      </c>
      <c r="AD3437" s="182" t="n">
        <v>0</v>
      </c>
      <c r="AE3437" s="182" t="n">
        <v>0</v>
      </c>
      <c r="AF3437" s="182" t="n">
        <v>0</v>
      </c>
      <c r="AG3437" s="182" t="n">
        <v>0</v>
      </c>
      <c r="AH3437" s="182" t="n">
        <v>0</v>
      </c>
      <c r="AI3437" s="182" t="n">
        <v>0</v>
      </c>
      <c r="AJ3437" s="182" t="n">
        <v>0</v>
      </c>
      <c r="AK3437" s="182" t="n">
        <v>10.92</v>
      </c>
      <c r="AL3437" s="182" t="n">
        <v>0</v>
      </c>
      <c r="AM3437" s="182" t="n">
        <v>0.08</v>
      </c>
      <c r="AN3437" s="182" t="n">
        <v>0</v>
      </c>
    </row>
    <row r="3438">
      <c r="A3438" s="155" t="n">
        <v>46097</v>
      </c>
      <c r="B3438" s="156" t="inlineStr">
        <is>
          <t>NS</t>
        </is>
      </c>
      <c r="C3438" s="156" t="inlineStr">
        <is>
          <t>HT-413</t>
        </is>
      </c>
      <c r="D3438" s="156" t="inlineStr">
        <is>
          <t>SY430</t>
        </is>
      </c>
      <c r="E3438" s="156" t="inlineStr">
        <is>
          <t>DT Hauling</t>
        </is>
      </c>
      <c r="F3438" s="156" t="inlineStr"/>
      <c r="G3438" s="182" t="n">
        <v>0</v>
      </c>
      <c r="H3438" s="182" t="n">
        <v>0</v>
      </c>
      <c r="I3438" s="182" t="n">
        <v>12</v>
      </c>
      <c r="J3438" s="182" t="n">
        <v>12</v>
      </c>
      <c r="K3438" s="182" t="n">
        <v>0</v>
      </c>
      <c r="L3438" s="182" t="n">
        <v>12</v>
      </c>
      <c r="M3438" s="182" t="n">
        <v>0</v>
      </c>
      <c r="N3438" s="182" t="n">
        <v>0</v>
      </c>
      <c r="O3438" s="183" t="n">
        <v>0</v>
      </c>
      <c r="P3438" s="183" t="n">
        <v>0</v>
      </c>
      <c r="Q3438" s="184" t="n">
        <v>0</v>
      </c>
      <c r="R3438" s="184" t="n">
        <v>0</v>
      </c>
      <c r="S3438" s="183" t="n">
        <v>0</v>
      </c>
      <c r="T3438" s="183" t="n">
        <v>0</v>
      </c>
      <c r="U3438" s="182" t="n">
        <v>0</v>
      </c>
      <c r="V3438" s="182" t="n">
        <v>0</v>
      </c>
      <c r="W3438" s="182" t="n">
        <v>0</v>
      </c>
      <c r="X3438" s="182" t="n">
        <v>0</v>
      </c>
      <c r="Y3438" s="182" t="n">
        <v>0</v>
      </c>
      <c r="Z3438" s="182" t="n">
        <v>0</v>
      </c>
      <c r="AA3438" s="182" t="n">
        <v>0</v>
      </c>
      <c r="AB3438" s="182" t="n">
        <v>0</v>
      </c>
      <c r="AC3438" s="182" t="n">
        <v>0</v>
      </c>
      <c r="AD3438" s="182" t="n">
        <v>0</v>
      </c>
      <c r="AE3438" s="182" t="n">
        <v>0</v>
      </c>
      <c r="AF3438" s="182" t="n">
        <v>0</v>
      </c>
      <c r="AG3438" s="182" t="n">
        <v>0</v>
      </c>
      <c r="AH3438" s="182" t="n">
        <v>0</v>
      </c>
      <c r="AI3438" s="182" t="n">
        <v>0</v>
      </c>
      <c r="AJ3438" s="182" t="n">
        <v>0</v>
      </c>
      <c r="AK3438" s="182" t="n">
        <v>0</v>
      </c>
      <c r="AL3438" s="182" t="n">
        <v>0</v>
      </c>
      <c r="AM3438" s="182" t="n">
        <v>0</v>
      </c>
      <c r="AN3438" s="182" t="n">
        <v>0</v>
      </c>
    </row>
    <row r="3439">
      <c r="A3439" s="155" t="n">
        <v>46097</v>
      </c>
      <c r="B3439" s="156" t="inlineStr">
        <is>
          <t>NS</t>
        </is>
      </c>
      <c r="C3439" s="156" t="inlineStr">
        <is>
          <t>HT-407</t>
        </is>
      </c>
      <c r="D3439" s="156" t="inlineStr">
        <is>
          <t>SY430</t>
        </is>
      </c>
      <c r="E3439" s="156" t="inlineStr">
        <is>
          <t>DT Hauling</t>
        </is>
      </c>
      <c r="F3439" s="156" t="inlineStr"/>
      <c r="G3439" s="182" t="n">
        <v>0</v>
      </c>
      <c r="H3439" s="182" t="n">
        <v>0</v>
      </c>
      <c r="I3439" s="182" t="n">
        <v>0</v>
      </c>
      <c r="J3439" s="182" t="n">
        <v>0</v>
      </c>
      <c r="K3439" s="182" t="n">
        <v>12</v>
      </c>
      <c r="L3439" s="182" t="n">
        <v>12</v>
      </c>
      <c r="M3439" s="182" t="n">
        <v>0</v>
      </c>
      <c r="N3439" s="182" t="n">
        <v>0</v>
      </c>
      <c r="O3439" s="183" t="n">
        <v>0</v>
      </c>
      <c r="P3439" s="183" t="n">
        <v>0</v>
      </c>
      <c r="Q3439" s="184" t="n">
        <v>0</v>
      </c>
      <c r="R3439" s="184" t="n">
        <v>0</v>
      </c>
      <c r="S3439" s="183" t="n">
        <v>0</v>
      </c>
      <c r="T3439" s="183" t="n">
        <v>0</v>
      </c>
      <c r="U3439" s="182" t="n">
        <v>0</v>
      </c>
      <c r="V3439" s="182" t="n">
        <v>0</v>
      </c>
      <c r="W3439" s="182" t="n">
        <v>0</v>
      </c>
      <c r="X3439" s="182" t="n">
        <v>1</v>
      </c>
      <c r="Y3439" s="182" t="n">
        <v>0</v>
      </c>
      <c r="Z3439" s="182" t="n">
        <v>0</v>
      </c>
      <c r="AA3439" s="182" t="n">
        <v>0</v>
      </c>
      <c r="AB3439" s="182" t="n">
        <v>0</v>
      </c>
      <c r="AC3439" s="182" t="n">
        <v>0</v>
      </c>
      <c r="AD3439" s="182" t="n">
        <v>0</v>
      </c>
      <c r="AE3439" s="182" t="n">
        <v>0</v>
      </c>
      <c r="AF3439" s="182" t="n">
        <v>0</v>
      </c>
      <c r="AG3439" s="182" t="n">
        <v>0</v>
      </c>
      <c r="AH3439" s="182" t="n">
        <v>0</v>
      </c>
      <c r="AI3439" s="182" t="n">
        <v>0</v>
      </c>
      <c r="AJ3439" s="182" t="n">
        <v>0</v>
      </c>
      <c r="AK3439" s="182" t="n">
        <v>10.92</v>
      </c>
      <c r="AL3439" s="182" t="n">
        <v>0</v>
      </c>
      <c r="AM3439" s="182" t="n">
        <v>0.08</v>
      </c>
      <c r="AN3439" s="182" t="n">
        <v>0</v>
      </c>
    </row>
    <row r="3440">
      <c r="A3440" s="155" t="n">
        <v>46097</v>
      </c>
      <c r="B3440" s="156" t="inlineStr">
        <is>
          <t>NS</t>
        </is>
      </c>
      <c r="C3440" s="156" t="inlineStr">
        <is>
          <t>HT-414</t>
        </is>
      </c>
      <c r="D3440" s="156" t="inlineStr">
        <is>
          <t>SY430</t>
        </is>
      </c>
      <c r="E3440" s="156" t="inlineStr">
        <is>
          <t>DT Hauling</t>
        </is>
      </c>
      <c r="F3440" s="156" t="inlineStr"/>
      <c r="G3440" s="182" t="n">
        <v>0</v>
      </c>
      <c r="H3440" s="182" t="n">
        <v>0</v>
      </c>
      <c r="I3440" s="182" t="n">
        <v>0</v>
      </c>
      <c r="J3440" s="182" t="n">
        <v>0</v>
      </c>
      <c r="K3440" s="182" t="n">
        <v>12</v>
      </c>
      <c r="L3440" s="182" t="n">
        <v>12</v>
      </c>
      <c r="M3440" s="182" t="n">
        <v>0</v>
      </c>
      <c r="N3440" s="182" t="n">
        <v>0</v>
      </c>
      <c r="O3440" s="183" t="n">
        <v>0</v>
      </c>
      <c r="P3440" s="183" t="n">
        <v>0</v>
      </c>
      <c r="Q3440" s="184" t="n">
        <v>0</v>
      </c>
      <c r="R3440" s="184" t="n">
        <v>0</v>
      </c>
      <c r="S3440" s="183" t="n">
        <v>0</v>
      </c>
      <c r="T3440" s="183" t="n">
        <v>0</v>
      </c>
      <c r="U3440" s="182" t="n">
        <v>0</v>
      </c>
      <c r="V3440" s="182" t="n">
        <v>0</v>
      </c>
      <c r="W3440" s="182" t="n">
        <v>0</v>
      </c>
      <c r="X3440" s="182" t="n">
        <v>1</v>
      </c>
      <c r="Y3440" s="182" t="n">
        <v>0</v>
      </c>
      <c r="Z3440" s="182" t="n">
        <v>0</v>
      </c>
      <c r="AA3440" s="182" t="n">
        <v>0</v>
      </c>
      <c r="AB3440" s="182" t="n">
        <v>0</v>
      </c>
      <c r="AC3440" s="182" t="n">
        <v>0</v>
      </c>
      <c r="AD3440" s="182" t="n">
        <v>0</v>
      </c>
      <c r="AE3440" s="182" t="n">
        <v>0</v>
      </c>
      <c r="AF3440" s="182" t="n">
        <v>0</v>
      </c>
      <c r="AG3440" s="182" t="n">
        <v>0</v>
      </c>
      <c r="AH3440" s="182" t="n">
        <v>0</v>
      </c>
      <c r="AI3440" s="182" t="n">
        <v>0</v>
      </c>
      <c r="AJ3440" s="182" t="n">
        <v>0</v>
      </c>
      <c r="AK3440" s="182" t="n">
        <v>10.92</v>
      </c>
      <c r="AL3440" s="182" t="n">
        <v>0</v>
      </c>
      <c r="AM3440" s="182" t="n">
        <v>0.08</v>
      </c>
      <c r="AN3440" s="182" t="n">
        <v>0</v>
      </c>
    </row>
    <row r="3441">
      <c r="A3441" s="155" t="n">
        <v>46097</v>
      </c>
      <c r="B3441" s="156" t="inlineStr">
        <is>
          <t>NS</t>
        </is>
      </c>
      <c r="C3441" s="156" t="inlineStr">
        <is>
          <t>HT-411</t>
        </is>
      </c>
      <c r="D3441" s="156" t="inlineStr">
        <is>
          <t>SY430</t>
        </is>
      </c>
      <c r="E3441" s="156" t="inlineStr">
        <is>
          <t>DT Hauling</t>
        </is>
      </c>
      <c r="F3441" s="156" t="inlineStr"/>
      <c r="G3441" s="182" t="n">
        <v>0</v>
      </c>
      <c r="H3441" s="182" t="n">
        <v>0</v>
      </c>
      <c r="I3441" s="182" t="n">
        <v>0</v>
      </c>
      <c r="J3441" s="182" t="n">
        <v>0</v>
      </c>
      <c r="K3441" s="182" t="n">
        <v>12</v>
      </c>
      <c r="L3441" s="182" t="n">
        <v>12</v>
      </c>
      <c r="M3441" s="182" t="n">
        <v>0</v>
      </c>
      <c r="N3441" s="182" t="n">
        <v>0</v>
      </c>
      <c r="O3441" s="183" t="n">
        <v>0</v>
      </c>
      <c r="P3441" s="183" t="n">
        <v>0</v>
      </c>
      <c r="Q3441" s="184" t="n">
        <v>0</v>
      </c>
      <c r="R3441" s="184" t="n">
        <v>0</v>
      </c>
      <c r="S3441" s="183" t="n">
        <v>0</v>
      </c>
      <c r="T3441" s="183" t="n">
        <v>0</v>
      </c>
      <c r="U3441" s="182" t="n">
        <v>0</v>
      </c>
      <c r="V3441" s="182" t="n">
        <v>0</v>
      </c>
      <c r="W3441" s="182" t="n">
        <v>0</v>
      </c>
      <c r="X3441" s="182" t="n">
        <v>1</v>
      </c>
      <c r="Y3441" s="182" t="n">
        <v>0</v>
      </c>
      <c r="Z3441" s="182" t="n">
        <v>0</v>
      </c>
      <c r="AA3441" s="182" t="n">
        <v>0</v>
      </c>
      <c r="AB3441" s="182" t="n">
        <v>0</v>
      </c>
      <c r="AC3441" s="182" t="n">
        <v>0</v>
      </c>
      <c r="AD3441" s="182" t="n">
        <v>0</v>
      </c>
      <c r="AE3441" s="182" t="n">
        <v>0</v>
      </c>
      <c r="AF3441" s="182" t="n">
        <v>0</v>
      </c>
      <c r="AG3441" s="182" t="n">
        <v>0</v>
      </c>
      <c r="AH3441" s="182" t="n">
        <v>0</v>
      </c>
      <c r="AI3441" s="182" t="n">
        <v>0</v>
      </c>
      <c r="AJ3441" s="182" t="n">
        <v>0</v>
      </c>
      <c r="AK3441" s="182" t="n">
        <v>10.92</v>
      </c>
      <c r="AL3441" s="182" t="n">
        <v>0</v>
      </c>
      <c r="AM3441" s="182" t="n">
        <v>0.08</v>
      </c>
      <c r="AN3441" s="182" t="n">
        <v>0</v>
      </c>
    </row>
    <row r="3442">
      <c r="A3442" s="155" t="n">
        <v>46097</v>
      </c>
      <c r="B3442" s="156" t="inlineStr">
        <is>
          <t>NS</t>
        </is>
      </c>
      <c r="C3442" s="156" t="inlineStr">
        <is>
          <t>HT-409</t>
        </is>
      </c>
      <c r="D3442" s="156" t="inlineStr">
        <is>
          <t>SY430</t>
        </is>
      </c>
      <c r="E3442" s="156" t="inlineStr">
        <is>
          <t>DT Hauling</t>
        </is>
      </c>
      <c r="F3442" s="156" t="inlineStr"/>
      <c r="G3442" s="182" t="n">
        <v>0</v>
      </c>
      <c r="H3442" s="182" t="n">
        <v>0</v>
      </c>
      <c r="I3442" s="182" t="n">
        <v>0</v>
      </c>
      <c r="J3442" s="182" t="n">
        <v>0</v>
      </c>
      <c r="K3442" s="182" t="n">
        <v>12</v>
      </c>
      <c r="L3442" s="182" t="n">
        <v>12</v>
      </c>
      <c r="M3442" s="182" t="n">
        <v>0</v>
      </c>
      <c r="N3442" s="182" t="n">
        <v>0</v>
      </c>
      <c r="O3442" s="183" t="n">
        <v>0</v>
      </c>
      <c r="P3442" s="183" t="n">
        <v>0</v>
      </c>
      <c r="Q3442" s="184" t="n">
        <v>0</v>
      </c>
      <c r="R3442" s="184" t="n">
        <v>0</v>
      </c>
      <c r="S3442" s="183" t="n">
        <v>0</v>
      </c>
      <c r="T3442" s="183" t="n">
        <v>0</v>
      </c>
      <c r="U3442" s="182" t="n">
        <v>0</v>
      </c>
      <c r="V3442" s="182" t="n">
        <v>0</v>
      </c>
      <c r="W3442" s="182" t="n">
        <v>0</v>
      </c>
      <c r="X3442" s="182" t="n">
        <v>1</v>
      </c>
      <c r="Y3442" s="182" t="n">
        <v>0</v>
      </c>
      <c r="Z3442" s="182" t="n">
        <v>0</v>
      </c>
      <c r="AA3442" s="182" t="n">
        <v>0</v>
      </c>
      <c r="AB3442" s="182" t="n">
        <v>0</v>
      </c>
      <c r="AC3442" s="182" t="n">
        <v>0</v>
      </c>
      <c r="AD3442" s="182" t="n">
        <v>0</v>
      </c>
      <c r="AE3442" s="182" t="n">
        <v>0</v>
      </c>
      <c r="AF3442" s="182" t="n">
        <v>0</v>
      </c>
      <c r="AG3442" s="182" t="n">
        <v>0</v>
      </c>
      <c r="AH3442" s="182" t="n">
        <v>0</v>
      </c>
      <c r="AI3442" s="182" t="n">
        <v>0</v>
      </c>
      <c r="AJ3442" s="182" t="n">
        <v>0</v>
      </c>
      <c r="AK3442" s="182" t="n">
        <v>10.92</v>
      </c>
      <c r="AL3442" s="182" t="n">
        <v>0</v>
      </c>
      <c r="AM3442" s="182" t="n">
        <v>0.08</v>
      </c>
      <c r="AN3442" s="182" t="n">
        <v>0</v>
      </c>
    </row>
    <row r="3443">
      <c r="A3443" s="155" t="n">
        <v>46097</v>
      </c>
      <c r="B3443" s="156" t="inlineStr">
        <is>
          <t>NS</t>
        </is>
      </c>
      <c r="C3443" s="156" t="inlineStr">
        <is>
          <t>DH-103</t>
        </is>
      </c>
      <c r="D3443" s="156" t="inlineStr">
        <is>
          <t>HINO FM260</t>
        </is>
      </c>
      <c r="E3443" s="156" t="inlineStr">
        <is>
          <t>DT Hino</t>
        </is>
      </c>
      <c r="F3443" s="156" t="inlineStr"/>
      <c r="G3443" s="182" t="n">
        <v>0</v>
      </c>
      <c r="H3443" s="182" t="n">
        <v>0</v>
      </c>
      <c r="I3443" s="182" t="n">
        <v>12</v>
      </c>
      <c r="J3443" s="182" t="n">
        <v>12</v>
      </c>
      <c r="K3443" s="182" t="n">
        <v>0</v>
      </c>
      <c r="L3443" s="182" t="n">
        <v>12</v>
      </c>
      <c r="M3443" s="182" t="n">
        <v>0</v>
      </c>
      <c r="N3443" s="182" t="n">
        <v>0</v>
      </c>
      <c r="O3443" s="183" t="n">
        <v>0</v>
      </c>
      <c r="P3443" s="183" t="n">
        <v>0</v>
      </c>
      <c r="Q3443" s="184" t="n">
        <v>0</v>
      </c>
      <c r="R3443" s="184" t="n">
        <v>0</v>
      </c>
      <c r="S3443" s="183" t="n">
        <v>0</v>
      </c>
      <c r="T3443" s="183" t="n">
        <v>0</v>
      </c>
      <c r="U3443" s="182" t="n">
        <v>0</v>
      </c>
      <c r="V3443" s="182" t="n">
        <v>0</v>
      </c>
      <c r="W3443" s="182" t="n">
        <v>0</v>
      </c>
      <c r="X3443" s="182" t="n">
        <v>0</v>
      </c>
      <c r="Y3443" s="182" t="n">
        <v>0</v>
      </c>
      <c r="Z3443" s="182" t="n">
        <v>0</v>
      </c>
      <c r="AA3443" s="182" t="n">
        <v>0</v>
      </c>
      <c r="AB3443" s="182" t="n">
        <v>0</v>
      </c>
      <c r="AC3443" s="182" t="n">
        <v>0</v>
      </c>
      <c r="AD3443" s="182" t="n">
        <v>0</v>
      </c>
      <c r="AE3443" s="182" t="n">
        <v>0</v>
      </c>
      <c r="AF3443" s="182" t="n">
        <v>0</v>
      </c>
      <c r="AG3443" s="182" t="n">
        <v>0</v>
      </c>
      <c r="AH3443" s="182" t="n">
        <v>0</v>
      </c>
      <c r="AI3443" s="182" t="n">
        <v>0</v>
      </c>
      <c r="AJ3443" s="182" t="n">
        <v>0</v>
      </c>
      <c r="AK3443" s="182" t="n">
        <v>0</v>
      </c>
      <c r="AL3443" s="182" t="n">
        <v>0</v>
      </c>
      <c r="AM3443" s="182" t="n">
        <v>0</v>
      </c>
      <c r="AN3443" s="182" t="n">
        <v>0</v>
      </c>
    </row>
    <row r="3444">
      <c r="A3444" s="155" t="n">
        <v>46097</v>
      </c>
      <c r="B3444" s="156" t="inlineStr">
        <is>
          <t>NS</t>
        </is>
      </c>
      <c r="C3444" s="156" t="inlineStr">
        <is>
          <t>DH-102</t>
        </is>
      </c>
      <c r="D3444" s="156" t="inlineStr">
        <is>
          <t>HINO FM260</t>
        </is>
      </c>
      <c r="E3444" s="156" t="inlineStr">
        <is>
          <t>DT Hino</t>
        </is>
      </c>
      <c r="F3444" s="156" t="inlineStr"/>
      <c r="G3444" s="182" t="n">
        <v>0</v>
      </c>
      <c r="H3444" s="182" t="n">
        <v>0</v>
      </c>
      <c r="I3444" s="182" t="n">
        <v>0</v>
      </c>
      <c r="J3444" s="182" t="n">
        <v>0</v>
      </c>
      <c r="K3444" s="182" t="n">
        <v>12</v>
      </c>
      <c r="L3444" s="182" t="n">
        <v>12</v>
      </c>
      <c r="M3444" s="182" t="n">
        <v>0</v>
      </c>
      <c r="N3444" s="182" t="n">
        <v>0</v>
      </c>
      <c r="O3444" s="183" t="n">
        <v>0</v>
      </c>
      <c r="P3444" s="183" t="n">
        <v>0</v>
      </c>
      <c r="Q3444" s="184" t="n">
        <v>0</v>
      </c>
      <c r="R3444" s="184" t="n">
        <v>0</v>
      </c>
      <c r="S3444" s="183" t="n">
        <v>0</v>
      </c>
      <c r="T3444" s="183" t="n">
        <v>0</v>
      </c>
      <c r="U3444" s="182" t="n">
        <v>0</v>
      </c>
      <c r="V3444" s="182" t="n">
        <v>0</v>
      </c>
      <c r="W3444" s="182" t="n">
        <v>0</v>
      </c>
      <c r="X3444" s="182" t="n">
        <v>1</v>
      </c>
      <c r="Y3444" s="182" t="n">
        <v>0</v>
      </c>
      <c r="Z3444" s="182" t="n">
        <v>0</v>
      </c>
      <c r="AA3444" s="182" t="n">
        <v>0</v>
      </c>
      <c r="AB3444" s="182" t="n">
        <v>0</v>
      </c>
      <c r="AC3444" s="182" t="n">
        <v>0</v>
      </c>
      <c r="AD3444" s="182" t="n">
        <v>0</v>
      </c>
      <c r="AE3444" s="182" t="n">
        <v>0</v>
      </c>
      <c r="AF3444" s="182" t="n">
        <v>0</v>
      </c>
      <c r="AG3444" s="182" t="n">
        <v>0</v>
      </c>
      <c r="AH3444" s="182" t="n">
        <v>0</v>
      </c>
      <c r="AI3444" s="182" t="n">
        <v>0</v>
      </c>
      <c r="AJ3444" s="182" t="n">
        <v>0</v>
      </c>
      <c r="AK3444" s="182" t="n">
        <v>10.92</v>
      </c>
      <c r="AL3444" s="182" t="n">
        <v>0</v>
      </c>
      <c r="AM3444" s="182" t="n">
        <v>0.08</v>
      </c>
      <c r="AN3444" s="182" t="n">
        <v>0</v>
      </c>
    </row>
    <row r="3445">
      <c r="A3445" s="155" t="n">
        <v>46097</v>
      </c>
      <c r="B3445" s="156" t="inlineStr">
        <is>
          <t>NS</t>
        </is>
      </c>
      <c r="C3445" s="156" t="inlineStr">
        <is>
          <t>DH-101</t>
        </is>
      </c>
      <c r="D3445" s="156" t="inlineStr">
        <is>
          <t>HINO FM260</t>
        </is>
      </c>
      <c r="E3445" s="156" t="inlineStr">
        <is>
          <t>DT Hino</t>
        </is>
      </c>
      <c r="F3445" s="156" t="inlineStr"/>
      <c r="G3445" s="182" t="n">
        <v>0</v>
      </c>
      <c r="H3445" s="182" t="n">
        <v>0</v>
      </c>
      <c r="I3445" s="182" t="n">
        <v>0</v>
      </c>
      <c r="J3445" s="182" t="n">
        <v>0</v>
      </c>
      <c r="K3445" s="182" t="n">
        <v>12</v>
      </c>
      <c r="L3445" s="182" t="n">
        <v>12</v>
      </c>
      <c r="M3445" s="182" t="n">
        <v>0</v>
      </c>
      <c r="N3445" s="182" t="n">
        <v>0</v>
      </c>
      <c r="O3445" s="183" t="n">
        <v>0</v>
      </c>
      <c r="P3445" s="183" t="n">
        <v>0</v>
      </c>
      <c r="Q3445" s="184" t="n">
        <v>0</v>
      </c>
      <c r="R3445" s="184" t="n">
        <v>0</v>
      </c>
      <c r="S3445" s="183" t="n">
        <v>0</v>
      </c>
      <c r="T3445" s="183" t="n">
        <v>0</v>
      </c>
      <c r="U3445" s="182" t="n">
        <v>0</v>
      </c>
      <c r="V3445" s="182" t="n">
        <v>0</v>
      </c>
      <c r="W3445" s="182" t="n">
        <v>0</v>
      </c>
      <c r="X3445" s="182" t="n">
        <v>1</v>
      </c>
      <c r="Y3445" s="182" t="n">
        <v>0</v>
      </c>
      <c r="Z3445" s="182" t="n">
        <v>0</v>
      </c>
      <c r="AA3445" s="182" t="n">
        <v>0</v>
      </c>
      <c r="AB3445" s="182" t="n">
        <v>0</v>
      </c>
      <c r="AC3445" s="182" t="n">
        <v>0</v>
      </c>
      <c r="AD3445" s="182" t="n">
        <v>0</v>
      </c>
      <c r="AE3445" s="182" t="n">
        <v>0</v>
      </c>
      <c r="AF3445" s="182" t="n">
        <v>0</v>
      </c>
      <c r="AG3445" s="182" t="n">
        <v>0</v>
      </c>
      <c r="AH3445" s="182" t="n">
        <v>0</v>
      </c>
      <c r="AI3445" s="182" t="n">
        <v>0</v>
      </c>
      <c r="AJ3445" s="182" t="n">
        <v>0</v>
      </c>
      <c r="AK3445" s="182" t="n">
        <v>10.92</v>
      </c>
      <c r="AL3445" s="182" t="n">
        <v>0</v>
      </c>
      <c r="AM3445" s="182" t="n">
        <v>0.08</v>
      </c>
      <c r="AN3445" s="182" t="n">
        <v>0</v>
      </c>
    </row>
    <row r="3446">
      <c r="A3446" s="155" t="n">
        <v>46097</v>
      </c>
      <c r="B3446" s="156" t="inlineStr">
        <is>
          <t>NS</t>
        </is>
      </c>
      <c r="C3446" s="156" t="inlineStr">
        <is>
          <t>EX-1251</t>
        </is>
      </c>
      <c r="D3446" s="156" t="inlineStr">
        <is>
          <t>SY1250</t>
        </is>
      </c>
      <c r="E3446" s="156" t="inlineStr">
        <is>
          <t>Excavator</t>
        </is>
      </c>
      <c r="F3446" s="156" t="inlineStr">
        <is>
          <t>Loading OB</t>
        </is>
      </c>
      <c r="G3446" s="182" t="n">
        <v>2.89</v>
      </c>
      <c r="H3446" s="182" t="n">
        <v>0</v>
      </c>
      <c r="I3446" s="182" t="n">
        <v>9.109999999999999</v>
      </c>
      <c r="J3446" s="182" t="n">
        <v>9.109999999999999</v>
      </c>
      <c r="K3446" s="182" t="n">
        <v>0</v>
      </c>
      <c r="L3446" s="182" t="n">
        <v>12</v>
      </c>
      <c r="M3446" s="182" t="n">
        <v>2.67</v>
      </c>
      <c r="N3446" s="182" t="n">
        <v>0</v>
      </c>
      <c r="O3446" s="183" t="n">
        <v>54</v>
      </c>
      <c r="P3446" s="183" t="n">
        <v>0</v>
      </c>
      <c r="Q3446" s="184" t="n">
        <v>1101.6</v>
      </c>
      <c r="R3446" s="184" t="n">
        <v>0</v>
      </c>
      <c r="S3446" s="183" t="n">
        <v>0</v>
      </c>
      <c r="T3446" s="183" t="n">
        <v>0</v>
      </c>
      <c r="U3446" s="182" t="n">
        <v>0</v>
      </c>
      <c r="V3446" s="182" t="n">
        <v>0</v>
      </c>
      <c r="W3446" s="182" t="n">
        <v>0</v>
      </c>
      <c r="X3446" s="182" t="n">
        <v>0</v>
      </c>
      <c r="Y3446" s="182" t="n">
        <v>0</v>
      </c>
      <c r="Z3446" s="182" t="n">
        <v>0</v>
      </c>
      <c r="AA3446" s="182" t="n">
        <v>0</v>
      </c>
      <c r="AB3446" s="182" t="n">
        <v>0</v>
      </c>
      <c r="AC3446" s="182" t="n">
        <v>0</v>
      </c>
      <c r="AD3446" s="182" t="n">
        <v>0</v>
      </c>
      <c r="AE3446" s="182" t="n">
        <v>0</v>
      </c>
      <c r="AF3446" s="182" t="n">
        <v>0</v>
      </c>
      <c r="AG3446" s="182" t="n">
        <v>0</v>
      </c>
      <c r="AH3446" s="182" t="n">
        <v>0</v>
      </c>
      <c r="AI3446" s="182" t="n">
        <v>0</v>
      </c>
      <c r="AJ3446" s="182" t="n">
        <v>0</v>
      </c>
      <c r="AK3446" s="182" t="n">
        <v>0</v>
      </c>
      <c r="AL3446" s="182" t="n">
        <v>0</v>
      </c>
      <c r="AM3446" s="182" t="n">
        <v>0</v>
      </c>
      <c r="AN3446" s="182" t="n">
        <v>0</v>
      </c>
    </row>
    <row r="3447">
      <c r="A3447" s="155" t="n">
        <v>46097</v>
      </c>
      <c r="B3447" s="156" t="inlineStr">
        <is>
          <t>NS</t>
        </is>
      </c>
      <c r="C3447" s="156" t="inlineStr">
        <is>
          <t>EX-1252</t>
        </is>
      </c>
      <c r="D3447" s="156" t="inlineStr">
        <is>
          <t>SY1250</t>
        </is>
      </c>
      <c r="E3447" s="156" t="inlineStr">
        <is>
          <t>Excavator</t>
        </is>
      </c>
      <c r="F3447" s="156" t="inlineStr">
        <is>
          <t>HM Loncat</t>
        </is>
      </c>
      <c r="G3447" s="182" t="n">
        <v>7.05</v>
      </c>
      <c r="H3447" s="182" t="n">
        <v>0</v>
      </c>
      <c r="I3447" s="182" t="n">
        <v>0</v>
      </c>
      <c r="J3447" s="182" t="n">
        <v>0</v>
      </c>
      <c r="K3447" s="182" t="n">
        <v>0.6</v>
      </c>
      <c r="L3447" s="182" t="n">
        <v>12</v>
      </c>
      <c r="M3447" s="182" t="n">
        <v>0</v>
      </c>
      <c r="N3447" s="182" t="n">
        <v>0</v>
      </c>
      <c r="O3447" s="183" t="n">
        <v>0</v>
      </c>
      <c r="P3447" s="183" t="n">
        <v>0</v>
      </c>
      <c r="Q3447" s="184" t="n">
        <v>0</v>
      </c>
      <c r="R3447" s="184" t="n">
        <v>0</v>
      </c>
      <c r="S3447" s="183" t="n">
        <v>0</v>
      </c>
      <c r="T3447" s="183" t="n">
        <v>0</v>
      </c>
      <c r="U3447" s="182" t="n">
        <v>0</v>
      </c>
      <c r="V3447" s="182" t="n">
        <v>0</v>
      </c>
      <c r="W3447" s="182" t="n">
        <v>0</v>
      </c>
      <c r="X3447" s="182" t="n">
        <v>0</v>
      </c>
      <c r="Y3447" s="182" t="n">
        <v>0</v>
      </c>
      <c r="Z3447" s="182" t="n">
        <v>0</v>
      </c>
      <c r="AA3447" s="182" t="n">
        <v>0</v>
      </c>
      <c r="AB3447" s="182" t="n">
        <v>0</v>
      </c>
      <c r="AC3447" s="182" t="n">
        <v>0</v>
      </c>
      <c r="AD3447" s="182" t="n">
        <v>0</v>
      </c>
      <c r="AE3447" s="182" t="n">
        <v>0</v>
      </c>
      <c r="AF3447" s="182" t="n">
        <v>0</v>
      </c>
      <c r="AG3447" s="182" t="n">
        <v>0</v>
      </c>
      <c r="AH3447" s="182" t="n">
        <v>0</v>
      </c>
      <c r="AI3447" s="182" t="n">
        <v>0</v>
      </c>
      <c r="AJ3447" s="182" t="n">
        <v>0</v>
      </c>
      <c r="AK3447" s="182" t="n">
        <v>0</v>
      </c>
      <c r="AL3447" s="182" t="n">
        <v>0</v>
      </c>
      <c r="AM3447" s="182" t="n">
        <v>0</v>
      </c>
      <c r="AN3447" s="182" t="n">
        <v>0</v>
      </c>
    </row>
    <row r="3448">
      <c r="A3448" s="155" t="n">
        <v>46097</v>
      </c>
      <c r="B3448" s="156" t="inlineStr">
        <is>
          <t>NS</t>
        </is>
      </c>
      <c r="C3448" s="156" t="inlineStr">
        <is>
          <t>EX-2101</t>
        </is>
      </c>
      <c r="D3448" s="156" t="inlineStr">
        <is>
          <t>SY2000</t>
        </is>
      </c>
      <c r="E3448" s="156" t="inlineStr">
        <is>
          <t>Excavator</t>
        </is>
      </c>
      <c r="F3448" s="156" t="inlineStr">
        <is>
          <t>Loading OB</t>
        </is>
      </c>
      <c r="G3448" s="182" t="n">
        <v>9.83</v>
      </c>
      <c r="H3448" s="182" t="n">
        <v>0</v>
      </c>
      <c r="I3448" s="182" t="n">
        <v>1.17</v>
      </c>
      <c r="J3448" s="182" t="n">
        <v>1.17</v>
      </c>
      <c r="K3448" s="182" t="n">
        <v>1</v>
      </c>
      <c r="L3448" s="182" t="n">
        <v>12</v>
      </c>
      <c r="M3448" s="182" t="n">
        <v>9.380000000000001</v>
      </c>
      <c r="N3448" s="182" t="n">
        <v>0</v>
      </c>
      <c r="O3448" s="183" t="n">
        <v>149</v>
      </c>
      <c r="P3448" s="183" t="n">
        <v>0</v>
      </c>
      <c r="Q3448" s="184" t="n">
        <v>5319.3</v>
      </c>
      <c r="R3448" s="184" t="n">
        <v>0</v>
      </c>
      <c r="S3448" s="183" t="n">
        <v>0</v>
      </c>
      <c r="T3448" s="183" t="n">
        <v>0</v>
      </c>
      <c r="U3448" s="182" t="n">
        <v>0</v>
      </c>
      <c r="V3448" s="182" t="n">
        <v>0</v>
      </c>
      <c r="W3448" s="182" t="n">
        <v>0</v>
      </c>
      <c r="X3448" s="182" t="n">
        <v>0.89</v>
      </c>
      <c r="Y3448" s="182" t="n">
        <v>0</v>
      </c>
      <c r="Z3448" s="182" t="n">
        <v>0</v>
      </c>
      <c r="AA3448" s="182" t="n">
        <v>0</v>
      </c>
      <c r="AB3448" s="182" t="n">
        <v>0</v>
      </c>
      <c r="AC3448" s="182" t="n">
        <v>0</v>
      </c>
      <c r="AD3448" s="182" t="n">
        <v>0</v>
      </c>
      <c r="AE3448" s="182" t="n">
        <v>0</v>
      </c>
      <c r="AF3448" s="182" t="n">
        <v>0</v>
      </c>
      <c r="AG3448" s="182" t="n">
        <v>0</v>
      </c>
      <c r="AH3448" s="182" t="n">
        <v>0.03</v>
      </c>
      <c r="AI3448" s="182" t="n">
        <v>0</v>
      </c>
      <c r="AJ3448" s="182" t="n">
        <v>0</v>
      </c>
      <c r="AK3448" s="182" t="n">
        <v>0</v>
      </c>
      <c r="AL3448" s="182" t="n">
        <v>0</v>
      </c>
      <c r="AM3448" s="182" t="n">
        <v>0.08</v>
      </c>
      <c r="AN3448" s="182" t="n">
        <v>0</v>
      </c>
    </row>
    <row r="3449">
      <c r="A3449" s="155" t="n">
        <v>46097</v>
      </c>
      <c r="B3449" s="156" t="inlineStr">
        <is>
          <t>NS</t>
        </is>
      </c>
      <c r="C3449" s="156" t="inlineStr">
        <is>
          <t>EX-222</t>
        </is>
      </c>
      <c r="D3449" s="156" t="inlineStr">
        <is>
          <t>PC 200-8MI</t>
        </is>
      </c>
      <c r="E3449" s="156" t="inlineStr">
        <is>
          <t>Excavator</t>
        </is>
      </c>
      <c r="F3449" s="156" t="inlineStr">
        <is>
          <t>Loading lumpur washing plant</t>
        </is>
      </c>
      <c r="G3449" s="182" t="n">
        <v>8.539999999999999</v>
      </c>
      <c r="H3449" s="182" t="n">
        <v>0</v>
      </c>
      <c r="I3449" s="182" t="n">
        <v>0</v>
      </c>
      <c r="J3449" s="182" t="n">
        <v>0</v>
      </c>
      <c r="K3449" s="182" t="n">
        <v>3.46</v>
      </c>
      <c r="L3449" s="182" t="n">
        <v>12</v>
      </c>
      <c r="M3449" s="182" t="n">
        <v>0</v>
      </c>
      <c r="N3449" s="182" t="n">
        <v>0</v>
      </c>
      <c r="O3449" s="183" t="n">
        <v>0</v>
      </c>
      <c r="P3449" s="183" t="n">
        <v>0</v>
      </c>
      <c r="Q3449" s="184" t="n">
        <v>0</v>
      </c>
      <c r="R3449" s="184" t="n">
        <v>0</v>
      </c>
      <c r="S3449" s="183" t="n">
        <v>0</v>
      </c>
      <c r="T3449" s="183" t="n">
        <v>0</v>
      </c>
      <c r="U3449" s="182" t="n">
        <v>0</v>
      </c>
      <c r="V3449" s="182" t="n">
        <v>0</v>
      </c>
      <c r="W3449" s="182" t="n">
        <v>0</v>
      </c>
      <c r="X3449" s="182" t="n">
        <v>1.02</v>
      </c>
      <c r="Y3449" s="182" t="n">
        <v>0</v>
      </c>
      <c r="Z3449" s="182" t="n">
        <v>0</v>
      </c>
      <c r="AA3449" s="182" t="n">
        <v>0</v>
      </c>
      <c r="AB3449" s="182" t="n">
        <v>0</v>
      </c>
      <c r="AC3449" s="182" t="n">
        <v>0</v>
      </c>
      <c r="AD3449" s="182" t="n">
        <v>0</v>
      </c>
      <c r="AE3449" s="182" t="n">
        <v>0</v>
      </c>
      <c r="AF3449" s="182" t="n">
        <v>0</v>
      </c>
      <c r="AG3449" s="182" t="n">
        <v>0</v>
      </c>
      <c r="AH3449" s="182" t="n">
        <v>0</v>
      </c>
      <c r="AI3449" s="182" t="n">
        <v>0</v>
      </c>
      <c r="AJ3449" s="182" t="n">
        <v>0</v>
      </c>
      <c r="AK3449" s="182" t="n">
        <v>2.36</v>
      </c>
      <c r="AL3449" s="182" t="n">
        <v>0</v>
      </c>
      <c r="AM3449" s="182" t="n">
        <v>0.08</v>
      </c>
      <c r="AN3449" s="182" t="n">
        <v>0</v>
      </c>
    </row>
    <row r="3450">
      <c r="A3450" s="155" t="n">
        <v>46097</v>
      </c>
      <c r="B3450" s="156" t="inlineStr">
        <is>
          <t>NS</t>
        </is>
      </c>
      <c r="C3450" s="156" t="inlineStr">
        <is>
          <t>EX-225</t>
        </is>
      </c>
      <c r="D3450" s="156" t="inlineStr">
        <is>
          <t>PC 200-8</t>
        </is>
      </c>
      <c r="E3450" s="156" t="inlineStr">
        <is>
          <t>Excavator</t>
        </is>
      </c>
      <c r="F3450" s="156" t="inlineStr"/>
      <c r="G3450" s="182" t="n">
        <v>0</v>
      </c>
      <c r="H3450" s="182" t="n">
        <v>0</v>
      </c>
      <c r="I3450" s="182" t="n">
        <v>12</v>
      </c>
      <c r="J3450" s="182" t="n">
        <v>12</v>
      </c>
      <c r="K3450" s="182" t="n">
        <v>0</v>
      </c>
      <c r="L3450" s="182" t="n">
        <v>12</v>
      </c>
      <c r="M3450" s="182" t="n">
        <v>0</v>
      </c>
      <c r="N3450" s="182" t="n">
        <v>0</v>
      </c>
      <c r="O3450" s="183" t="n">
        <v>0</v>
      </c>
      <c r="P3450" s="183" t="n">
        <v>0</v>
      </c>
      <c r="Q3450" s="184" t="n">
        <v>0</v>
      </c>
      <c r="R3450" s="184" t="n">
        <v>0</v>
      </c>
      <c r="S3450" s="183" t="n">
        <v>0</v>
      </c>
      <c r="T3450" s="183" t="n">
        <v>0</v>
      </c>
      <c r="U3450" s="182" t="n">
        <v>0</v>
      </c>
      <c r="V3450" s="182" t="n">
        <v>0</v>
      </c>
      <c r="W3450" s="182" t="n">
        <v>0</v>
      </c>
      <c r="X3450" s="182" t="n">
        <v>0</v>
      </c>
      <c r="Y3450" s="182" t="n">
        <v>0</v>
      </c>
      <c r="Z3450" s="182" t="n">
        <v>0</v>
      </c>
      <c r="AA3450" s="182" t="n">
        <v>0</v>
      </c>
      <c r="AB3450" s="182" t="n">
        <v>0</v>
      </c>
      <c r="AC3450" s="182" t="n">
        <v>0</v>
      </c>
      <c r="AD3450" s="182" t="n">
        <v>0</v>
      </c>
      <c r="AE3450" s="182" t="n">
        <v>0</v>
      </c>
      <c r="AF3450" s="182" t="n">
        <v>0</v>
      </c>
      <c r="AG3450" s="182" t="n">
        <v>0</v>
      </c>
      <c r="AH3450" s="182" t="n">
        <v>0</v>
      </c>
      <c r="AI3450" s="182" t="n">
        <v>0</v>
      </c>
      <c r="AJ3450" s="182" t="n">
        <v>0</v>
      </c>
      <c r="AK3450" s="182" t="n">
        <v>0</v>
      </c>
      <c r="AL3450" s="182" t="n">
        <v>0</v>
      </c>
      <c r="AM3450" s="182" t="n">
        <v>0</v>
      </c>
      <c r="AN3450" s="182" t="n">
        <v>0</v>
      </c>
    </row>
    <row r="3451">
      <c r="A3451" s="155" t="n">
        <v>46097</v>
      </c>
      <c r="B3451" s="156" t="inlineStr">
        <is>
          <t>NS</t>
        </is>
      </c>
      <c r="C3451" s="156" t="inlineStr">
        <is>
          <t>EX-223</t>
        </is>
      </c>
      <c r="D3451" s="156" t="inlineStr">
        <is>
          <t>PC 200-8MI</t>
        </is>
      </c>
      <c r="E3451" s="156" t="inlineStr">
        <is>
          <t>Excavator</t>
        </is>
      </c>
      <c r="F3451" s="156" t="inlineStr">
        <is>
          <t>Support Washing Plant</t>
        </is>
      </c>
      <c r="G3451" s="182" t="n">
        <v>11.68</v>
      </c>
      <c r="H3451" s="182" t="n">
        <v>0</v>
      </c>
      <c r="I3451" s="182" t="n">
        <v>0</v>
      </c>
      <c r="J3451" s="182" t="n">
        <v>0</v>
      </c>
      <c r="K3451" s="182" t="n">
        <v>0.32</v>
      </c>
      <c r="L3451" s="182" t="n">
        <v>12</v>
      </c>
      <c r="M3451" s="182" t="n">
        <v>0</v>
      </c>
      <c r="N3451" s="182" t="n">
        <v>0</v>
      </c>
      <c r="O3451" s="183" t="n">
        <v>0</v>
      </c>
      <c r="P3451" s="183" t="n">
        <v>0</v>
      </c>
      <c r="Q3451" s="184" t="n">
        <v>0</v>
      </c>
      <c r="R3451" s="184" t="n">
        <v>0</v>
      </c>
      <c r="S3451" s="183" t="n">
        <v>0</v>
      </c>
      <c r="T3451" s="183" t="n">
        <v>0</v>
      </c>
      <c r="U3451" s="182" t="n">
        <v>0</v>
      </c>
      <c r="V3451" s="182" t="n">
        <v>0</v>
      </c>
      <c r="W3451" s="182" t="n">
        <v>0</v>
      </c>
      <c r="X3451" s="182" t="n">
        <v>0.19</v>
      </c>
      <c r="Y3451" s="182" t="n">
        <v>0</v>
      </c>
      <c r="Z3451" s="182" t="n">
        <v>0</v>
      </c>
      <c r="AA3451" s="182" t="n">
        <v>0</v>
      </c>
      <c r="AB3451" s="182" t="n">
        <v>0</v>
      </c>
      <c r="AC3451" s="182" t="n">
        <v>0</v>
      </c>
      <c r="AD3451" s="182" t="n">
        <v>0</v>
      </c>
      <c r="AE3451" s="182" t="n">
        <v>0</v>
      </c>
      <c r="AF3451" s="182" t="n">
        <v>0</v>
      </c>
      <c r="AG3451" s="182" t="n">
        <v>0</v>
      </c>
      <c r="AH3451" s="182" t="n">
        <v>0</v>
      </c>
      <c r="AI3451" s="182" t="n">
        <v>0</v>
      </c>
      <c r="AJ3451" s="182" t="n">
        <v>0</v>
      </c>
      <c r="AK3451" s="182" t="n">
        <v>0</v>
      </c>
      <c r="AL3451" s="182" t="n">
        <v>0</v>
      </c>
      <c r="AM3451" s="182" t="n">
        <v>0.13</v>
      </c>
      <c r="AN3451" s="182" t="n">
        <v>0</v>
      </c>
    </row>
    <row r="3452">
      <c r="A3452" s="155" t="n">
        <v>46097</v>
      </c>
      <c r="B3452" s="156" t="inlineStr">
        <is>
          <t>NS</t>
        </is>
      </c>
      <c r="C3452" s="156" t="inlineStr">
        <is>
          <t>EX-221</t>
        </is>
      </c>
      <c r="D3452" s="156" t="inlineStr">
        <is>
          <t>PC 200-8MI</t>
        </is>
      </c>
      <c r="E3452" s="156" t="inlineStr">
        <is>
          <t>Excavator</t>
        </is>
      </c>
      <c r="F3452" s="156" t="inlineStr"/>
      <c r="G3452" s="182" t="n">
        <v>0</v>
      </c>
      <c r="H3452" s="182" t="n">
        <v>0</v>
      </c>
      <c r="I3452" s="182" t="n">
        <v>0</v>
      </c>
      <c r="J3452" s="182" t="n">
        <v>0</v>
      </c>
      <c r="K3452" s="182" t="n">
        <v>12</v>
      </c>
      <c r="L3452" s="182" t="n">
        <v>12</v>
      </c>
      <c r="M3452" s="182" t="n">
        <v>0</v>
      </c>
      <c r="N3452" s="182" t="n">
        <v>0</v>
      </c>
      <c r="O3452" s="183" t="n">
        <v>0</v>
      </c>
      <c r="P3452" s="183" t="n">
        <v>0</v>
      </c>
      <c r="Q3452" s="184" t="n">
        <v>0</v>
      </c>
      <c r="R3452" s="184" t="n">
        <v>0</v>
      </c>
      <c r="S3452" s="183" t="n">
        <v>0</v>
      </c>
      <c r="T3452" s="183" t="n">
        <v>0</v>
      </c>
      <c r="U3452" s="182" t="n">
        <v>0</v>
      </c>
      <c r="V3452" s="182" t="n">
        <v>0</v>
      </c>
      <c r="W3452" s="182" t="n">
        <v>0</v>
      </c>
      <c r="X3452" s="182" t="n">
        <v>1</v>
      </c>
      <c r="Y3452" s="182" t="n">
        <v>0</v>
      </c>
      <c r="Z3452" s="182" t="n">
        <v>0</v>
      </c>
      <c r="AA3452" s="182" t="n">
        <v>0</v>
      </c>
      <c r="AB3452" s="182" t="n">
        <v>0</v>
      </c>
      <c r="AC3452" s="182" t="n">
        <v>0</v>
      </c>
      <c r="AD3452" s="182" t="n">
        <v>0</v>
      </c>
      <c r="AE3452" s="182" t="n">
        <v>0</v>
      </c>
      <c r="AF3452" s="182" t="n">
        <v>0</v>
      </c>
      <c r="AG3452" s="182" t="n">
        <v>0</v>
      </c>
      <c r="AH3452" s="182" t="n">
        <v>0</v>
      </c>
      <c r="AI3452" s="182" t="n">
        <v>0</v>
      </c>
      <c r="AJ3452" s="182" t="n">
        <v>0</v>
      </c>
      <c r="AK3452" s="182" t="n">
        <v>10.92</v>
      </c>
      <c r="AL3452" s="182" t="n">
        <v>0</v>
      </c>
      <c r="AM3452" s="182" t="n">
        <v>0.08</v>
      </c>
      <c r="AN3452" s="182" t="n">
        <v>0</v>
      </c>
    </row>
    <row r="3453">
      <c r="A3453" s="155" t="n">
        <v>46097</v>
      </c>
      <c r="B3453" s="156" t="inlineStr">
        <is>
          <t>NS</t>
        </is>
      </c>
      <c r="C3453" s="156" t="inlineStr">
        <is>
          <t>EX-331</t>
        </is>
      </c>
      <c r="D3453" s="156" t="inlineStr">
        <is>
          <t>PC 300-8MO</t>
        </is>
      </c>
      <c r="E3453" s="156" t="inlineStr">
        <is>
          <t>Excavator</t>
        </is>
      </c>
      <c r="F3453" s="156" t="inlineStr"/>
      <c r="G3453" s="182" t="n">
        <v>0</v>
      </c>
      <c r="H3453" s="182" t="n">
        <v>0</v>
      </c>
      <c r="I3453" s="182" t="n">
        <v>12</v>
      </c>
      <c r="J3453" s="182" t="n">
        <v>12</v>
      </c>
      <c r="K3453" s="182" t="n">
        <v>0</v>
      </c>
      <c r="L3453" s="182" t="n">
        <v>12</v>
      </c>
      <c r="M3453" s="182" t="n">
        <v>0</v>
      </c>
      <c r="N3453" s="182" t="n">
        <v>0</v>
      </c>
      <c r="O3453" s="183" t="n">
        <v>0</v>
      </c>
      <c r="P3453" s="183" t="n">
        <v>0</v>
      </c>
      <c r="Q3453" s="184" t="n">
        <v>0</v>
      </c>
      <c r="R3453" s="184" t="n">
        <v>0</v>
      </c>
      <c r="S3453" s="183" t="n">
        <v>0</v>
      </c>
      <c r="T3453" s="183" t="n">
        <v>0</v>
      </c>
      <c r="U3453" s="182" t="n">
        <v>0</v>
      </c>
      <c r="V3453" s="182" t="n">
        <v>0</v>
      </c>
      <c r="W3453" s="182" t="n">
        <v>0</v>
      </c>
      <c r="X3453" s="182" t="n">
        <v>0</v>
      </c>
      <c r="Y3453" s="182" t="n">
        <v>0</v>
      </c>
      <c r="Z3453" s="182" t="n">
        <v>0</v>
      </c>
      <c r="AA3453" s="182" t="n">
        <v>0</v>
      </c>
      <c r="AB3453" s="182" t="n">
        <v>0</v>
      </c>
      <c r="AC3453" s="182" t="n">
        <v>0</v>
      </c>
      <c r="AD3453" s="182" t="n">
        <v>0</v>
      </c>
      <c r="AE3453" s="182" t="n">
        <v>0</v>
      </c>
      <c r="AF3453" s="182" t="n">
        <v>0</v>
      </c>
      <c r="AG3453" s="182" t="n">
        <v>0</v>
      </c>
      <c r="AH3453" s="182" t="n">
        <v>0</v>
      </c>
      <c r="AI3453" s="182" t="n">
        <v>0</v>
      </c>
      <c r="AJ3453" s="182" t="n">
        <v>0</v>
      </c>
      <c r="AK3453" s="182" t="n">
        <v>0</v>
      </c>
      <c r="AL3453" s="182" t="n">
        <v>0</v>
      </c>
      <c r="AM3453" s="182" t="n">
        <v>0</v>
      </c>
      <c r="AN3453" s="182" t="n">
        <v>0</v>
      </c>
    </row>
    <row r="3454">
      <c r="A3454" s="155" t="n">
        <v>46097</v>
      </c>
      <c r="B3454" s="156" t="inlineStr">
        <is>
          <t>NS</t>
        </is>
      </c>
      <c r="C3454" s="156" t="inlineStr">
        <is>
          <t>EX-334</t>
        </is>
      </c>
      <c r="D3454" s="156" t="inlineStr">
        <is>
          <t>PC 300-8MO</t>
        </is>
      </c>
      <c r="E3454" s="156" t="inlineStr">
        <is>
          <t>Excavator</t>
        </is>
      </c>
      <c r="F3454" s="156" t="inlineStr">
        <is>
          <t>General Loading Tailing 2</t>
        </is>
      </c>
      <c r="G3454" s="182" t="n">
        <v>9.94</v>
      </c>
      <c r="H3454" s="182" t="n">
        <v>0</v>
      </c>
      <c r="I3454" s="182" t="n">
        <v>0</v>
      </c>
      <c r="J3454" s="182" t="n">
        <v>0</v>
      </c>
      <c r="K3454" s="182" t="n">
        <v>2.06</v>
      </c>
      <c r="L3454" s="182" t="n">
        <v>12</v>
      </c>
      <c r="M3454" s="182" t="n">
        <v>0</v>
      </c>
      <c r="N3454" s="182" t="n">
        <v>0</v>
      </c>
      <c r="O3454" s="183" t="n">
        <v>0</v>
      </c>
      <c r="P3454" s="183" t="n">
        <v>0</v>
      </c>
      <c r="Q3454" s="184" t="n">
        <v>0</v>
      </c>
      <c r="R3454" s="184" t="n">
        <v>0</v>
      </c>
      <c r="S3454" s="183" t="n">
        <v>0</v>
      </c>
      <c r="T3454" s="183" t="n">
        <v>0</v>
      </c>
      <c r="U3454" s="182" t="n">
        <v>0</v>
      </c>
      <c r="V3454" s="182" t="n">
        <v>0</v>
      </c>
      <c r="W3454" s="182" t="n">
        <v>0</v>
      </c>
      <c r="X3454" s="182" t="n">
        <v>1.14</v>
      </c>
      <c r="Y3454" s="182" t="n">
        <v>0</v>
      </c>
      <c r="Z3454" s="182" t="n">
        <v>0</v>
      </c>
      <c r="AA3454" s="182" t="n">
        <v>0</v>
      </c>
      <c r="AB3454" s="182" t="n">
        <v>0</v>
      </c>
      <c r="AC3454" s="182" t="n">
        <v>0</v>
      </c>
      <c r="AD3454" s="182" t="n">
        <v>0</v>
      </c>
      <c r="AE3454" s="182" t="n">
        <v>0</v>
      </c>
      <c r="AF3454" s="182" t="n">
        <v>0</v>
      </c>
      <c r="AG3454" s="182" t="n">
        <v>0</v>
      </c>
      <c r="AH3454" s="182" t="n">
        <v>0</v>
      </c>
      <c r="AI3454" s="182" t="n">
        <v>0</v>
      </c>
      <c r="AJ3454" s="182" t="n">
        <v>0</v>
      </c>
      <c r="AK3454" s="182" t="n">
        <v>0.82</v>
      </c>
      <c r="AL3454" s="182" t="n">
        <v>0</v>
      </c>
      <c r="AM3454" s="182" t="n">
        <v>0.09</v>
      </c>
      <c r="AN3454" s="182" t="n">
        <v>0</v>
      </c>
    </row>
    <row r="3455">
      <c r="A3455" s="155" t="n">
        <v>46097</v>
      </c>
      <c r="B3455" s="156" t="inlineStr">
        <is>
          <t>NS</t>
        </is>
      </c>
      <c r="C3455" s="156" t="inlineStr">
        <is>
          <t>EX-332</t>
        </is>
      </c>
      <c r="D3455" s="156" t="inlineStr">
        <is>
          <t>PC 300-8MO</t>
        </is>
      </c>
      <c r="E3455" s="156" t="inlineStr">
        <is>
          <t>Excavator</t>
        </is>
      </c>
      <c r="F3455" s="156" t="inlineStr"/>
      <c r="G3455" s="182" t="n">
        <v>0</v>
      </c>
      <c r="H3455" s="182" t="n">
        <v>0</v>
      </c>
      <c r="I3455" s="182" t="n">
        <v>12</v>
      </c>
      <c r="J3455" s="182" t="n">
        <v>12</v>
      </c>
      <c r="K3455" s="182" t="n">
        <v>0</v>
      </c>
      <c r="L3455" s="182" t="n">
        <v>12</v>
      </c>
      <c r="M3455" s="182" t="n">
        <v>0</v>
      </c>
      <c r="N3455" s="182" t="n">
        <v>0</v>
      </c>
      <c r="O3455" s="183" t="n">
        <v>0</v>
      </c>
      <c r="P3455" s="183" t="n">
        <v>0</v>
      </c>
      <c r="Q3455" s="184" t="n">
        <v>0</v>
      </c>
      <c r="R3455" s="184" t="n">
        <v>0</v>
      </c>
      <c r="S3455" s="183" t="n">
        <v>0</v>
      </c>
      <c r="T3455" s="183" t="n">
        <v>0</v>
      </c>
      <c r="U3455" s="182" t="n">
        <v>0</v>
      </c>
      <c r="V3455" s="182" t="n">
        <v>0</v>
      </c>
      <c r="W3455" s="182" t="n">
        <v>0</v>
      </c>
      <c r="X3455" s="182" t="n">
        <v>0</v>
      </c>
      <c r="Y3455" s="182" t="n">
        <v>0</v>
      </c>
      <c r="Z3455" s="182" t="n">
        <v>0</v>
      </c>
      <c r="AA3455" s="182" t="n">
        <v>0</v>
      </c>
      <c r="AB3455" s="182" t="n">
        <v>0</v>
      </c>
      <c r="AC3455" s="182" t="n">
        <v>0</v>
      </c>
      <c r="AD3455" s="182" t="n">
        <v>0</v>
      </c>
      <c r="AE3455" s="182" t="n">
        <v>0</v>
      </c>
      <c r="AF3455" s="182" t="n">
        <v>0</v>
      </c>
      <c r="AG3455" s="182" t="n">
        <v>0</v>
      </c>
      <c r="AH3455" s="182" t="n">
        <v>0</v>
      </c>
      <c r="AI3455" s="182" t="n">
        <v>0</v>
      </c>
      <c r="AJ3455" s="182" t="n">
        <v>0</v>
      </c>
      <c r="AK3455" s="182" t="n">
        <v>0</v>
      </c>
      <c r="AL3455" s="182" t="n">
        <v>0</v>
      </c>
      <c r="AM3455" s="182" t="n">
        <v>0</v>
      </c>
      <c r="AN3455" s="182" t="n">
        <v>0</v>
      </c>
    </row>
    <row r="3456">
      <c r="A3456" s="155" t="n">
        <v>46097</v>
      </c>
      <c r="B3456" s="156" t="inlineStr">
        <is>
          <t>NS</t>
        </is>
      </c>
      <c r="C3456" s="156" t="inlineStr">
        <is>
          <t>EX-333</t>
        </is>
      </c>
      <c r="D3456" s="156" t="inlineStr">
        <is>
          <t>PC 300-8MO</t>
        </is>
      </c>
      <c r="E3456" s="156" t="inlineStr">
        <is>
          <t>Excavator</t>
        </is>
      </c>
      <c r="F3456" s="156" t="inlineStr">
        <is>
          <t>Coal Cleaning S45 &amp; S60D</t>
        </is>
      </c>
      <c r="G3456" s="182" t="n">
        <v>11.86</v>
      </c>
      <c r="H3456" s="182" t="n">
        <v>0</v>
      </c>
      <c r="I3456" s="182" t="n">
        <v>0</v>
      </c>
      <c r="J3456" s="182" t="n">
        <v>0</v>
      </c>
      <c r="K3456" s="182" t="n">
        <v>0.14</v>
      </c>
      <c r="L3456" s="182" t="n">
        <v>12</v>
      </c>
      <c r="M3456" s="182" t="n">
        <v>0</v>
      </c>
      <c r="N3456" s="182" t="n">
        <v>0</v>
      </c>
      <c r="O3456" s="183" t="n">
        <v>0</v>
      </c>
      <c r="P3456" s="183" t="n">
        <v>0</v>
      </c>
      <c r="Q3456" s="184" t="n">
        <v>0</v>
      </c>
      <c r="R3456" s="184" t="n">
        <v>0</v>
      </c>
      <c r="S3456" s="183" t="n">
        <v>0</v>
      </c>
      <c r="T3456" s="183" t="n">
        <v>0</v>
      </c>
      <c r="U3456" s="182" t="n">
        <v>0</v>
      </c>
      <c r="V3456" s="182" t="n">
        <v>0</v>
      </c>
      <c r="W3456" s="182" t="n">
        <v>0</v>
      </c>
      <c r="X3456" s="182" t="n">
        <v>0.08</v>
      </c>
      <c r="Y3456" s="182" t="n">
        <v>0</v>
      </c>
      <c r="Z3456" s="182" t="n">
        <v>0</v>
      </c>
      <c r="AA3456" s="182" t="n">
        <v>0</v>
      </c>
      <c r="AB3456" s="182" t="n">
        <v>0</v>
      </c>
      <c r="AC3456" s="182" t="n">
        <v>0</v>
      </c>
      <c r="AD3456" s="182" t="n">
        <v>0</v>
      </c>
      <c r="AE3456" s="182" t="n">
        <v>0</v>
      </c>
      <c r="AF3456" s="182" t="n">
        <v>0</v>
      </c>
      <c r="AG3456" s="182" t="n">
        <v>0</v>
      </c>
      <c r="AH3456" s="182" t="n">
        <v>0</v>
      </c>
      <c r="AI3456" s="182" t="n">
        <v>0</v>
      </c>
      <c r="AJ3456" s="182" t="n">
        <v>0</v>
      </c>
      <c r="AK3456" s="182" t="n">
        <v>0</v>
      </c>
      <c r="AL3456" s="182" t="n">
        <v>0</v>
      </c>
      <c r="AM3456" s="182" t="n">
        <v>0.06</v>
      </c>
      <c r="AN3456" s="182" t="n">
        <v>0</v>
      </c>
    </row>
    <row r="3457">
      <c r="A3457" s="155" t="n">
        <v>46097</v>
      </c>
      <c r="B3457" s="156" t="inlineStr">
        <is>
          <t>NS</t>
        </is>
      </c>
      <c r="C3457" s="156" t="inlineStr">
        <is>
          <t>EX-336</t>
        </is>
      </c>
      <c r="D3457" s="156" t="inlineStr">
        <is>
          <t>PC 300-8MO</t>
        </is>
      </c>
      <c r="E3457" s="156" t="inlineStr">
        <is>
          <t>Excavator</t>
        </is>
      </c>
      <c r="F3457" s="156" t="inlineStr"/>
      <c r="G3457" s="182" t="n">
        <v>0</v>
      </c>
      <c r="H3457" s="182" t="n">
        <v>0</v>
      </c>
      <c r="I3457" s="182" t="n">
        <v>12</v>
      </c>
      <c r="J3457" s="182" t="n">
        <v>12</v>
      </c>
      <c r="K3457" s="182" t="n">
        <v>0</v>
      </c>
      <c r="L3457" s="182" t="n">
        <v>12</v>
      </c>
      <c r="M3457" s="182" t="n">
        <v>0</v>
      </c>
      <c r="N3457" s="182" t="n">
        <v>0</v>
      </c>
      <c r="O3457" s="183" t="n">
        <v>0</v>
      </c>
      <c r="P3457" s="183" t="n">
        <v>0</v>
      </c>
      <c r="Q3457" s="184" t="n">
        <v>0</v>
      </c>
      <c r="R3457" s="184" t="n">
        <v>0</v>
      </c>
      <c r="S3457" s="183" t="n">
        <v>0</v>
      </c>
      <c r="T3457" s="183" t="n">
        <v>0</v>
      </c>
      <c r="U3457" s="182" t="n">
        <v>0</v>
      </c>
      <c r="V3457" s="182" t="n">
        <v>0</v>
      </c>
      <c r="W3457" s="182" t="n">
        <v>0</v>
      </c>
      <c r="X3457" s="182" t="n">
        <v>0</v>
      </c>
      <c r="Y3457" s="182" t="n">
        <v>0</v>
      </c>
      <c r="Z3457" s="182" t="n">
        <v>0</v>
      </c>
      <c r="AA3457" s="182" t="n">
        <v>0</v>
      </c>
      <c r="AB3457" s="182" t="n">
        <v>0</v>
      </c>
      <c r="AC3457" s="182" t="n">
        <v>0</v>
      </c>
      <c r="AD3457" s="182" t="n">
        <v>0</v>
      </c>
      <c r="AE3457" s="182" t="n">
        <v>0</v>
      </c>
      <c r="AF3457" s="182" t="n">
        <v>0</v>
      </c>
      <c r="AG3457" s="182" t="n">
        <v>0</v>
      </c>
      <c r="AH3457" s="182" t="n">
        <v>0</v>
      </c>
      <c r="AI3457" s="182" t="n">
        <v>0</v>
      </c>
      <c r="AJ3457" s="182" t="n">
        <v>0</v>
      </c>
      <c r="AK3457" s="182" t="n">
        <v>0</v>
      </c>
      <c r="AL3457" s="182" t="n">
        <v>0</v>
      </c>
      <c r="AM3457" s="182" t="n">
        <v>0</v>
      </c>
      <c r="AN3457" s="182" t="n">
        <v>0</v>
      </c>
    </row>
    <row r="3458">
      <c r="A3458" s="155" t="n">
        <v>46097</v>
      </c>
      <c r="B3458" s="156" t="inlineStr">
        <is>
          <t>NS</t>
        </is>
      </c>
      <c r="C3458" s="156" t="inlineStr">
        <is>
          <t>EX-335</t>
        </is>
      </c>
      <c r="D3458" s="156" t="inlineStr">
        <is>
          <t>PC 300-8MO</t>
        </is>
      </c>
      <c r="E3458" s="156" t="inlineStr">
        <is>
          <t>Excavator</t>
        </is>
      </c>
      <c r="F3458" s="156" t="inlineStr"/>
      <c r="G3458" s="182" t="n">
        <v>0</v>
      </c>
      <c r="H3458" s="182" t="n">
        <v>0</v>
      </c>
      <c r="I3458" s="182" t="n">
        <v>12</v>
      </c>
      <c r="J3458" s="182" t="n">
        <v>12</v>
      </c>
      <c r="K3458" s="182" t="n">
        <v>0</v>
      </c>
      <c r="L3458" s="182" t="n">
        <v>12</v>
      </c>
      <c r="M3458" s="182" t="n">
        <v>0</v>
      </c>
      <c r="N3458" s="182" t="n">
        <v>0</v>
      </c>
      <c r="O3458" s="183" t="n">
        <v>0</v>
      </c>
      <c r="P3458" s="183" t="n">
        <v>0</v>
      </c>
      <c r="Q3458" s="184" t="n">
        <v>0</v>
      </c>
      <c r="R3458" s="184" t="n">
        <v>0</v>
      </c>
      <c r="S3458" s="183" t="n">
        <v>0</v>
      </c>
      <c r="T3458" s="183" t="n">
        <v>0</v>
      </c>
      <c r="U3458" s="182" t="n">
        <v>0</v>
      </c>
      <c r="V3458" s="182" t="n">
        <v>0</v>
      </c>
      <c r="W3458" s="182" t="n">
        <v>0</v>
      </c>
      <c r="X3458" s="182" t="n">
        <v>0</v>
      </c>
      <c r="Y3458" s="182" t="n">
        <v>0</v>
      </c>
      <c r="Z3458" s="182" t="n">
        <v>0</v>
      </c>
      <c r="AA3458" s="182" t="n">
        <v>0</v>
      </c>
      <c r="AB3458" s="182" t="n">
        <v>0</v>
      </c>
      <c r="AC3458" s="182" t="n">
        <v>0</v>
      </c>
      <c r="AD3458" s="182" t="n">
        <v>0</v>
      </c>
      <c r="AE3458" s="182" t="n">
        <v>0</v>
      </c>
      <c r="AF3458" s="182" t="n">
        <v>0</v>
      </c>
      <c r="AG3458" s="182" t="n">
        <v>0</v>
      </c>
      <c r="AH3458" s="182" t="n">
        <v>0</v>
      </c>
      <c r="AI3458" s="182" t="n">
        <v>0</v>
      </c>
      <c r="AJ3458" s="182" t="n">
        <v>0</v>
      </c>
      <c r="AK3458" s="182" t="n">
        <v>0</v>
      </c>
      <c r="AL3458" s="182" t="n">
        <v>0</v>
      </c>
      <c r="AM3458" s="182" t="n">
        <v>0</v>
      </c>
      <c r="AN3458" s="182" t="n">
        <v>0</v>
      </c>
    </row>
    <row r="3459">
      <c r="A3459" s="155" t="n">
        <v>46097</v>
      </c>
      <c r="B3459" s="156" t="inlineStr">
        <is>
          <t>NS</t>
        </is>
      </c>
      <c r="C3459" s="156" t="inlineStr">
        <is>
          <t>EX-754</t>
        </is>
      </c>
      <c r="D3459" s="156" t="inlineStr">
        <is>
          <t>SY750H-PRO</t>
        </is>
      </c>
      <c r="E3459" s="156" t="inlineStr">
        <is>
          <t>Excavator</t>
        </is>
      </c>
      <c r="F3459" s="156" t="inlineStr">
        <is>
          <t>Loading OB</t>
        </is>
      </c>
      <c r="G3459" s="182" t="n">
        <v>9.050000000000001</v>
      </c>
      <c r="H3459" s="182" t="n">
        <v>0</v>
      </c>
      <c r="I3459" s="182" t="n">
        <v>1.17</v>
      </c>
      <c r="J3459" s="182" t="n">
        <v>1.17</v>
      </c>
      <c r="K3459" s="182" t="n">
        <v>1.78</v>
      </c>
      <c r="L3459" s="182" t="n">
        <v>12</v>
      </c>
      <c r="M3459" s="182" t="n">
        <v>9.050000000000001</v>
      </c>
      <c r="N3459" s="182" t="n">
        <v>0</v>
      </c>
      <c r="O3459" s="183" t="n">
        <v>128</v>
      </c>
      <c r="P3459" s="183" t="n">
        <v>0</v>
      </c>
      <c r="Q3459" s="184" t="n">
        <v>2611.2</v>
      </c>
      <c r="R3459" s="184" t="n">
        <v>0</v>
      </c>
      <c r="S3459" s="183" t="n">
        <v>0</v>
      </c>
      <c r="T3459" s="183" t="n">
        <v>0</v>
      </c>
      <c r="U3459" s="182" t="n">
        <v>0</v>
      </c>
      <c r="V3459" s="182" t="n">
        <v>0</v>
      </c>
      <c r="W3459" s="182" t="n">
        <v>0</v>
      </c>
      <c r="X3459" s="182" t="n">
        <v>0.9399999999999999</v>
      </c>
      <c r="Y3459" s="182" t="n">
        <v>0</v>
      </c>
      <c r="Z3459" s="182" t="n">
        <v>0</v>
      </c>
      <c r="AA3459" s="182" t="n">
        <v>0</v>
      </c>
      <c r="AB3459" s="182" t="n">
        <v>0</v>
      </c>
      <c r="AC3459" s="182" t="n">
        <v>0</v>
      </c>
      <c r="AD3459" s="182" t="n">
        <v>0</v>
      </c>
      <c r="AE3459" s="182" t="n">
        <v>0</v>
      </c>
      <c r="AF3459" s="182" t="n">
        <v>0</v>
      </c>
      <c r="AG3459" s="182" t="n">
        <v>0</v>
      </c>
      <c r="AH3459" s="182" t="n">
        <v>0.39</v>
      </c>
      <c r="AI3459" s="182" t="n">
        <v>0</v>
      </c>
      <c r="AJ3459" s="182" t="n">
        <v>0</v>
      </c>
      <c r="AK3459" s="182" t="n">
        <v>0</v>
      </c>
      <c r="AL3459" s="182" t="n">
        <v>0.37</v>
      </c>
      <c r="AM3459" s="182" t="n">
        <v>0.07000000000000001</v>
      </c>
      <c r="AN3459" s="182" t="n">
        <v>0</v>
      </c>
    </row>
    <row r="3460">
      <c r="A3460" s="155" t="n">
        <v>46097</v>
      </c>
      <c r="B3460" s="156" t="inlineStr">
        <is>
          <t>NS</t>
        </is>
      </c>
      <c r="C3460" s="156" t="inlineStr">
        <is>
          <t>EX-755</t>
        </is>
      </c>
      <c r="D3460" s="156" t="inlineStr">
        <is>
          <t>SY750H-PRO</t>
        </is>
      </c>
      <c r="E3460" s="156" t="inlineStr">
        <is>
          <t>Excavator</t>
        </is>
      </c>
      <c r="F3460" s="156" t="inlineStr">
        <is>
          <t>Loading OB</t>
        </is>
      </c>
      <c r="G3460" s="182" t="n">
        <v>10.5</v>
      </c>
      <c r="H3460" s="182" t="n">
        <v>0</v>
      </c>
      <c r="I3460" s="182" t="n">
        <v>0</v>
      </c>
      <c r="J3460" s="182" t="n">
        <v>0</v>
      </c>
      <c r="K3460" s="182" t="n">
        <v>1.5</v>
      </c>
      <c r="L3460" s="182" t="n">
        <v>12</v>
      </c>
      <c r="M3460" s="182" t="n">
        <v>9.859999999999999</v>
      </c>
      <c r="N3460" s="182" t="n">
        <v>0</v>
      </c>
      <c r="O3460" s="183" t="n">
        <v>111</v>
      </c>
      <c r="P3460" s="183" t="n">
        <v>0</v>
      </c>
      <c r="Q3460" s="184" t="n">
        <v>2264.4</v>
      </c>
      <c r="R3460" s="184" t="n">
        <v>0</v>
      </c>
      <c r="S3460" s="183" t="n">
        <v>0</v>
      </c>
      <c r="T3460" s="183" t="n">
        <v>0</v>
      </c>
      <c r="U3460" s="182" t="n">
        <v>0</v>
      </c>
      <c r="V3460" s="182" t="n">
        <v>0</v>
      </c>
      <c r="W3460" s="182" t="n">
        <v>0</v>
      </c>
      <c r="X3460" s="182" t="n">
        <v>0.86</v>
      </c>
      <c r="Y3460" s="182" t="n">
        <v>0</v>
      </c>
      <c r="Z3460" s="182" t="n">
        <v>0</v>
      </c>
      <c r="AA3460" s="182" t="n">
        <v>0</v>
      </c>
      <c r="AB3460" s="182" t="n">
        <v>0</v>
      </c>
      <c r="AC3460" s="182" t="n">
        <v>0</v>
      </c>
      <c r="AD3460" s="182" t="n">
        <v>0</v>
      </c>
      <c r="AE3460" s="182" t="n">
        <v>0</v>
      </c>
      <c r="AF3460" s="182" t="n">
        <v>0</v>
      </c>
      <c r="AG3460" s="182" t="n">
        <v>0</v>
      </c>
      <c r="AH3460" s="182" t="n">
        <v>0.57</v>
      </c>
      <c r="AI3460" s="182" t="n">
        <v>0</v>
      </c>
      <c r="AJ3460" s="182" t="n">
        <v>0</v>
      </c>
      <c r="AK3460" s="182" t="n">
        <v>0</v>
      </c>
      <c r="AL3460" s="182" t="n">
        <v>0</v>
      </c>
      <c r="AM3460" s="182" t="n">
        <v>0.07000000000000001</v>
      </c>
      <c r="AN3460" s="182" t="n">
        <v>0</v>
      </c>
    </row>
    <row r="3461">
      <c r="A3461" s="155" t="n">
        <v>46097</v>
      </c>
      <c r="B3461" s="156" t="inlineStr">
        <is>
          <t>NS</t>
        </is>
      </c>
      <c r="C3461" s="156" t="inlineStr">
        <is>
          <t>EX-752</t>
        </is>
      </c>
      <c r="D3461" s="156" t="inlineStr">
        <is>
          <t>SY750H-PRO</t>
        </is>
      </c>
      <c r="E3461" s="156" t="inlineStr">
        <is>
          <t>Excavator</t>
        </is>
      </c>
      <c r="F3461" s="156" t="inlineStr"/>
      <c r="G3461" s="182" t="n">
        <v>0</v>
      </c>
      <c r="H3461" s="182" t="n">
        <v>0</v>
      </c>
      <c r="I3461" s="182" t="n">
        <v>12</v>
      </c>
      <c r="J3461" s="182" t="n">
        <v>12</v>
      </c>
      <c r="K3461" s="182" t="n">
        <v>0</v>
      </c>
      <c r="L3461" s="182" t="n">
        <v>12</v>
      </c>
      <c r="M3461" s="182" t="n">
        <v>0</v>
      </c>
      <c r="N3461" s="182" t="n">
        <v>0</v>
      </c>
      <c r="O3461" s="183" t="n">
        <v>0</v>
      </c>
      <c r="P3461" s="183" t="n">
        <v>0</v>
      </c>
      <c r="Q3461" s="184" t="n">
        <v>0</v>
      </c>
      <c r="R3461" s="184" t="n">
        <v>0</v>
      </c>
      <c r="S3461" s="183" t="n">
        <v>0</v>
      </c>
      <c r="T3461" s="183" t="n">
        <v>0</v>
      </c>
      <c r="U3461" s="182" t="n">
        <v>0</v>
      </c>
      <c r="V3461" s="182" t="n">
        <v>0</v>
      </c>
      <c r="W3461" s="182" t="n">
        <v>0</v>
      </c>
      <c r="X3461" s="182" t="n">
        <v>0</v>
      </c>
      <c r="Y3461" s="182" t="n">
        <v>0</v>
      </c>
      <c r="Z3461" s="182" t="n">
        <v>0</v>
      </c>
      <c r="AA3461" s="182" t="n">
        <v>0</v>
      </c>
      <c r="AB3461" s="182" t="n">
        <v>0</v>
      </c>
      <c r="AC3461" s="182" t="n">
        <v>0</v>
      </c>
      <c r="AD3461" s="182" t="n">
        <v>0</v>
      </c>
      <c r="AE3461" s="182" t="n">
        <v>0</v>
      </c>
      <c r="AF3461" s="182" t="n">
        <v>0</v>
      </c>
      <c r="AG3461" s="182" t="n">
        <v>0</v>
      </c>
      <c r="AH3461" s="182" t="n">
        <v>0</v>
      </c>
      <c r="AI3461" s="182" t="n">
        <v>0</v>
      </c>
      <c r="AJ3461" s="182" t="n">
        <v>0</v>
      </c>
      <c r="AK3461" s="182" t="n">
        <v>0</v>
      </c>
      <c r="AL3461" s="182" t="n">
        <v>0</v>
      </c>
      <c r="AM3461" s="182" t="n">
        <v>0</v>
      </c>
      <c r="AN3461" s="182" t="n">
        <v>0</v>
      </c>
    </row>
    <row r="3462">
      <c r="A3462" s="155" t="n">
        <v>46097</v>
      </c>
      <c r="B3462" s="156" t="inlineStr">
        <is>
          <t>NS</t>
        </is>
      </c>
      <c r="C3462" s="156" t="inlineStr">
        <is>
          <t>EX-751</t>
        </is>
      </c>
      <c r="D3462" s="156" t="inlineStr">
        <is>
          <t>SY750H-PRO</t>
        </is>
      </c>
      <c r="E3462" s="156" t="inlineStr">
        <is>
          <t>Excavator</t>
        </is>
      </c>
      <c r="F3462" s="156" t="inlineStr"/>
      <c r="G3462" s="182" t="n">
        <v>0</v>
      </c>
      <c r="H3462" s="182" t="n">
        <v>0</v>
      </c>
      <c r="I3462" s="182" t="n">
        <v>12</v>
      </c>
      <c r="J3462" s="182" t="n">
        <v>12</v>
      </c>
      <c r="K3462" s="182" t="n">
        <v>0</v>
      </c>
      <c r="L3462" s="182" t="n">
        <v>12</v>
      </c>
      <c r="M3462" s="182" t="n">
        <v>0</v>
      </c>
      <c r="N3462" s="182" t="n">
        <v>0</v>
      </c>
      <c r="O3462" s="183" t="n">
        <v>0</v>
      </c>
      <c r="P3462" s="183" t="n">
        <v>0</v>
      </c>
      <c r="Q3462" s="184" t="n">
        <v>0</v>
      </c>
      <c r="R3462" s="184" t="n">
        <v>0</v>
      </c>
      <c r="S3462" s="183" t="n">
        <v>0</v>
      </c>
      <c r="T3462" s="183" t="n">
        <v>0</v>
      </c>
      <c r="U3462" s="182" t="n">
        <v>0</v>
      </c>
      <c r="V3462" s="182" t="n">
        <v>0</v>
      </c>
      <c r="W3462" s="182" t="n">
        <v>0</v>
      </c>
      <c r="X3462" s="182" t="n">
        <v>0</v>
      </c>
      <c r="Y3462" s="182" t="n">
        <v>0</v>
      </c>
      <c r="Z3462" s="182" t="n">
        <v>0</v>
      </c>
      <c r="AA3462" s="182" t="n">
        <v>0</v>
      </c>
      <c r="AB3462" s="182" t="n">
        <v>0</v>
      </c>
      <c r="AC3462" s="182" t="n">
        <v>0</v>
      </c>
      <c r="AD3462" s="182" t="n">
        <v>0</v>
      </c>
      <c r="AE3462" s="182" t="n">
        <v>0</v>
      </c>
      <c r="AF3462" s="182" t="n">
        <v>0</v>
      </c>
      <c r="AG3462" s="182" t="n">
        <v>0</v>
      </c>
      <c r="AH3462" s="182" t="n">
        <v>0</v>
      </c>
      <c r="AI3462" s="182" t="n">
        <v>0</v>
      </c>
      <c r="AJ3462" s="182" t="n">
        <v>0</v>
      </c>
      <c r="AK3462" s="182" t="n">
        <v>0</v>
      </c>
      <c r="AL3462" s="182" t="n">
        <v>0</v>
      </c>
      <c r="AM3462" s="182" t="n">
        <v>0</v>
      </c>
      <c r="AN3462" s="182" t="n">
        <v>0</v>
      </c>
    </row>
    <row r="3463">
      <c r="A3463" s="155" t="n">
        <v>46097</v>
      </c>
      <c r="B3463" s="156" t="inlineStr">
        <is>
          <t>NS</t>
        </is>
      </c>
      <c r="C3463" s="156" t="inlineStr">
        <is>
          <t>EX-753</t>
        </is>
      </c>
      <c r="D3463" s="156" t="inlineStr">
        <is>
          <t>SY750H-PRO</t>
        </is>
      </c>
      <c r="E3463" s="156" t="inlineStr">
        <is>
          <t>Excavator</t>
        </is>
      </c>
      <c r="F3463" s="156" t="inlineStr">
        <is>
          <t>Loading OB &amp; Coal</t>
        </is>
      </c>
      <c r="G3463" s="182" t="n">
        <v>10.64</v>
      </c>
      <c r="H3463" s="182" t="n">
        <v>0</v>
      </c>
      <c r="I3463" s="182" t="n">
        <v>0</v>
      </c>
      <c r="J3463" s="182" t="n">
        <v>0</v>
      </c>
      <c r="K3463" s="182" t="n">
        <v>1.36</v>
      </c>
      <c r="L3463" s="182" t="n">
        <v>12</v>
      </c>
      <c r="M3463" s="182" t="n">
        <v>0.5</v>
      </c>
      <c r="N3463" s="182" t="n">
        <v>9.970000000000001</v>
      </c>
      <c r="O3463" s="183" t="n">
        <v>13</v>
      </c>
      <c r="P3463" s="183" t="n">
        <v>84</v>
      </c>
      <c r="Q3463" s="184" t="n">
        <v>265.2</v>
      </c>
      <c r="R3463" s="184" t="n">
        <v>1570.8</v>
      </c>
      <c r="S3463" s="183" t="n">
        <v>0</v>
      </c>
      <c r="T3463" s="183" t="n">
        <v>0</v>
      </c>
      <c r="U3463" s="182" t="n">
        <v>0</v>
      </c>
      <c r="V3463" s="182" t="n">
        <v>0</v>
      </c>
      <c r="W3463" s="182" t="n">
        <v>0</v>
      </c>
      <c r="X3463" s="182" t="n">
        <v>0.96</v>
      </c>
      <c r="Y3463" s="182" t="n">
        <v>0</v>
      </c>
      <c r="Z3463" s="182" t="n">
        <v>0</v>
      </c>
      <c r="AA3463" s="182" t="n">
        <v>0</v>
      </c>
      <c r="AB3463" s="182" t="n">
        <v>0</v>
      </c>
      <c r="AC3463" s="182" t="n">
        <v>0</v>
      </c>
      <c r="AD3463" s="182" t="n">
        <v>0</v>
      </c>
      <c r="AE3463" s="182" t="n">
        <v>0</v>
      </c>
      <c r="AF3463" s="182" t="n">
        <v>0</v>
      </c>
      <c r="AG3463" s="182" t="n">
        <v>0</v>
      </c>
      <c r="AH3463" s="182" t="n">
        <v>0.32</v>
      </c>
      <c r="AI3463" s="182" t="n">
        <v>0</v>
      </c>
      <c r="AJ3463" s="182" t="n">
        <v>0</v>
      </c>
      <c r="AK3463" s="182" t="n">
        <v>0</v>
      </c>
      <c r="AL3463" s="182" t="n">
        <v>0</v>
      </c>
      <c r="AM3463" s="182" t="n">
        <v>0.08</v>
      </c>
      <c r="AN3463" s="182" t="n">
        <v>0</v>
      </c>
    </row>
    <row r="3464">
      <c r="A3464" s="155" t="n">
        <v>46097</v>
      </c>
      <c r="B3464" s="156" t="inlineStr">
        <is>
          <t>NS</t>
        </is>
      </c>
      <c r="C3464" s="156" t="inlineStr">
        <is>
          <t>GD-012</t>
        </is>
      </c>
      <c r="D3464" s="156" t="inlineStr">
        <is>
          <t>STG 230C - 8S</t>
        </is>
      </c>
      <c r="E3464" s="156" t="inlineStr">
        <is>
          <t>Grader</t>
        </is>
      </c>
      <c r="F3464" s="156" t="inlineStr"/>
      <c r="G3464" s="182" t="n">
        <v>0</v>
      </c>
      <c r="H3464" s="182" t="n">
        <v>0</v>
      </c>
      <c r="I3464" s="182" t="n">
        <v>0</v>
      </c>
      <c r="J3464" s="182" t="n">
        <v>0</v>
      </c>
      <c r="K3464" s="182" t="n">
        <v>12</v>
      </c>
      <c r="L3464" s="182" t="n">
        <v>12</v>
      </c>
      <c r="M3464" s="182" t="n">
        <v>0</v>
      </c>
      <c r="N3464" s="182" t="n">
        <v>0</v>
      </c>
      <c r="O3464" s="183" t="n">
        <v>0</v>
      </c>
      <c r="P3464" s="183" t="n">
        <v>0</v>
      </c>
      <c r="Q3464" s="184" t="n">
        <v>0</v>
      </c>
      <c r="R3464" s="184" t="n">
        <v>0</v>
      </c>
      <c r="S3464" s="183" t="n">
        <v>0</v>
      </c>
      <c r="T3464" s="183" t="n">
        <v>0</v>
      </c>
      <c r="U3464" s="182" t="n">
        <v>0</v>
      </c>
      <c r="V3464" s="182" t="n">
        <v>0</v>
      </c>
      <c r="W3464" s="182" t="n">
        <v>0</v>
      </c>
      <c r="X3464" s="182" t="n">
        <v>1</v>
      </c>
      <c r="Y3464" s="182" t="n">
        <v>0</v>
      </c>
      <c r="Z3464" s="182" t="n">
        <v>0</v>
      </c>
      <c r="AA3464" s="182" t="n">
        <v>0</v>
      </c>
      <c r="AB3464" s="182" t="n">
        <v>0</v>
      </c>
      <c r="AC3464" s="182" t="n">
        <v>0</v>
      </c>
      <c r="AD3464" s="182" t="n">
        <v>0</v>
      </c>
      <c r="AE3464" s="182" t="n">
        <v>0</v>
      </c>
      <c r="AF3464" s="182" t="n">
        <v>0</v>
      </c>
      <c r="AG3464" s="182" t="n">
        <v>0</v>
      </c>
      <c r="AH3464" s="182" t="n">
        <v>0</v>
      </c>
      <c r="AI3464" s="182" t="n">
        <v>0</v>
      </c>
      <c r="AJ3464" s="182" t="n">
        <v>0</v>
      </c>
      <c r="AK3464" s="182" t="n">
        <v>10.92</v>
      </c>
      <c r="AL3464" s="182" t="n">
        <v>0</v>
      </c>
      <c r="AM3464" s="182" t="n">
        <v>0.08</v>
      </c>
      <c r="AN3464" s="182" t="n">
        <v>0</v>
      </c>
    </row>
    <row r="3465">
      <c r="A3465" s="155" t="n">
        <v>46097</v>
      </c>
      <c r="B3465" s="156" t="inlineStr">
        <is>
          <t>NS</t>
        </is>
      </c>
      <c r="C3465" s="156" t="inlineStr">
        <is>
          <t>GD-011</t>
        </is>
      </c>
      <c r="D3465" s="156" t="inlineStr">
        <is>
          <t>STG 230C - 8S</t>
        </is>
      </c>
      <c r="E3465" s="156" t="inlineStr">
        <is>
          <t>Grader</t>
        </is>
      </c>
      <c r="F3465" s="156" t="inlineStr"/>
      <c r="G3465" s="182" t="n">
        <v>0</v>
      </c>
      <c r="H3465" s="182" t="n">
        <v>0</v>
      </c>
      <c r="I3465" s="182" t="n">
        <v>12</v>
      </c>
      <c r="J3465" s="182" t="n">
        <v>12</v>
      </c>
      <c r="K3465" s="182" t="n">
        <v>0</v>
      </c>
      <c r="L3465" s="182" t="n">
        <v>12</v>
      </c>
      <c r="M3465" s="182" t="n">
        <v>0</v>
      </c>
      <c r="N3465" s="182" t="n">
        <v>0</v>
      </c>
      <c r="O3465" s="183" t="n">
        <v>0</v>
      </c>
      <c r="P3465" s="183" t="n">
        <v>0</v>
      </c>
      <c r="Q3465" s="184" t="n">
        <v>0</v>
      </c>
      <c r="R3465" s="184" t="n">
        <v>0</v>
      </c>
      <c r="S3465" s="183" t="n">
        <v>0</v>
      </c>
      <c r="T3465" s="183" t="n">
        <v>0</v>
      </c>
      <c r="U3465" s="182" t="n">
        <v>0</v>
      </c>
      <c r="V3465" s="182" t="n">
        <v>0</v>
      </c>
      <c r="W3465" s="182" t="n">
        <v>0</v>
      </c>
      <c r="X3465" s="182" t="n">
        <v>0</v>
      </c>
      <c r="Y3465" s="182" t="n">
        <v>0</v>
      </c>
      <c r="Z3465" s="182" t="n">
        <v>0</v>
      </c>
      <c r="AA3465" s="182" t="n">
        <v>0</v>
      </c>
      <c r="AB3465" s="182" t="n">
        <v>0</v>
      </c>
      <c r="AC3465" s="182" t="n">
        <v>0</v>
      </c>
      <c r="AD3465" s="182" t="n">
        <v>0</v>
      </c>
      <c r="AE3465" s="182" t="n">
        <v>0</v>
      </c>
      <c r="AF3465" s="182" t="n">
        <v>0</v>
      </c>
      <c r="AG3465" s="182" t="n">
        <v>0</v>
      </c>
      <c r="AH3465" s="182" t="n">
        <v>0</v>
      </c>
      <c r="AI3465" s="182" t="n">
        <v>0</v>
      </c>
      <c r="AJ3465" s="182" t="n">
        <v>0</v>
      </c>
      <c r="AK3465" s="182" t="n">
        <v>0</v>
      </c>
      <c r="AL3465" s="182" t="n">
        <v>0</v>
      </c>
      <c r="AM3465" s="182" t="n">
        <v>0</v>
      </c>
      <c r="AN3465" s="182" t="n">
        <v>0</v>
      </c>
    </row>
    <row r="3466">
      <c r="A3466" s="155" t="n">
        <v>46097</v>
      </c>
      <c r="B3466" s="156" t="inlineStr">
        <is>
          <t>NS</t>
        </is>
      </c>
      <c r="C3466" s="156" t="inlineStr">
        <is>
          <t>GD-013</t>
        </is>
      </c>
      <c r="D3466" s="156" t="inlineStr">
        <is>
          <t>STG 265C - 10</t>
        </is>
      </c>
      <c r="E3466" s="156" t="inlineStr">
        <is>
          <t>Grader</t>
        </is>
      </c>
      <c r="F3466" s="156" t="inlineStr">
        <is>
          <t>Road Maintenance</t>
        </is>
      </c>
      <c r="G3466" s="182" t="n">
        <v>9.880000000000001</v>
      </c>
      <c r="H3466" s="182" t="n">
        <v>0</v>
      </c>
      <c r="I3466" s="182" t="n">
        <v>2.02</v>
      </c>
      <c r="J3466" s="182" t="n">
        <v>2.02</v>
      </c>
      <c r="K3466" s="182" t="n">
        <v>0.1</v>
      </c>
      <c r="L3466" s="182" t="n">
        <v>12</v>
      </c>
      <c r="M3466" s="182" t="n">
        <v>0</v>
      </c>
      <c r="N3466" s="182" t="n">
        <v>0</v>
      </c>
      <c r="O3466" s="183" t="n">
        <v>0</v>
      </c>
      <c r="P3466" s="183" t="n">
        <v>0</v>
      </c>
      <c r="Q3466" s="184" t="n">
        <v>0</v>
      </c>
      <c r="R3466" s="184" t="n">
        <v>0</v>
      </c>
      <c r="S3466" s="183" t="n">
        <v>0</v>
      </c>
      <c r="T3466" s="183" t="n">
        <v>0</v>
      </c>
      <c r="U3466" s="182" t="n">
        <v>0</v>
      </c>
      <c r="V3466" s="182" t="n">
        <v>0</v>
      </c>
      <c r="W3466" s="182" t="n">
        <v>0</v>
      </c>
      <c r="X3466" s="182" t="n">
        <v>0</v>
      </c>
      <c r="Y3466" s="182" t="n">
        <v>0</v>
      </c>
      <c r="Z3466" s="182" t="n">
        <v>0</v>
      </c>
      <c r="AA3466" s="182" t="n">
        <v>0</v>
      </c>
      <c r="AB3466" s="182" t="n">
        <v>0</v>
      </c>
      <c r="AC3466" s="182" t="n">
        <v>0</v>
      </c>
      <c r="AD3466" s="182" t="n">
        <v>0</v>
      </c>
      <c r="AE3466" s="182" t="n">
        <v>0</v>
      </c>
      <c r="AF3466" s="182" t="n">
        <v>0</v>
      </c>
      <c r="AG3466" s="182" t="n">
        <v>0</v>
      </c>
      <c r="AH3466" s="182" t="n">
        <v>0</v>
      </c>
      <c r="AI3466" s="182" t="n">
        <v>0</v>
      </c>
      <c r="AJ3466" s="182" t="n">
        <v>0</v>
      </c>
      <c r="AK3466" s="182" t="n">
        <v>0</v>
      </c>
      <c r="AL3466" s="182" t="n">
        <v>0</v>
      </c>
      <c r="AM3466" s="182" t="n">
        <v>0.1</v>
      </c>
      <c r="AN3466" s="182" t="n">
        <v>0</v>
      </c>
    </row>
    <row r="3467">
      <c r="A3467" s="155" t="n">
        <v>46097</v>
      </c>
      <c r="B3467" s="156" t="inlineStr">
        <is>
          <t>NS</t>
        </is>
      </c>
      <c r="C3467" s="156" t="inlineStr">
        <is>
          <t>GD-014</t>
        </is>
      </c>
      <c r="D3467" s="156" t="inlineStr">
        <is>
          <t>STG 335C - 10</t>
        </is>
      </c>
      <c r="E3467" s="156" t="inlineStr">
        <is>
          <t>Grader</t>
        </is>
      </c>
      <c r="F3467" s="156" t="inlineStr">
        <is>
          <t>Road Maintenance</t>
        </is>
      </c>
      <c r="G3467" s="182" t="n">
        <v>11.06</v>
      </c>
      <c r="H3467" s="182" t="n">
        <v>0</v>
      </c>
      <c r="I3467" s="182" t="n">
        <v>0</v>
      </c>
      <c r="J3467" s="182" t="n">
        <v>0</v>
      </c>
      <c r="K3467" s="182" t="n">
        <v>0.9399999999999999</v>
      </c>
      <c r="L3467" s="182" t="n">
        <v>12</v>
      </c>
      <c r="M3467" s="182" t="n">
        <v>0</v>
      </c>
      <c r="N3467" s="182" t="n">
        <v>0</v>
      </c>
      <c r="O3467" s="183" t="n">
        <v>0</v>
      </c>
      <c r="P3467" s="183" t="n">
        <v>0</v>
      </c>
      <c r="Q3467" s="184" t="n">
        <v>0</v>
      </c>
      <c r="R3467" s="184" t="n">
        <v>0</v>
      </c>
      <c r="S3467" s="183" t="n">
        <v>0</v>
      </c>
      <c r="T3467" s="183" t="n">
        <v>0</v>
      </c>
      <c r="U3467" s="182" t="n">
        <v>0</v>
      </c>
      <c r="V3467" s="182" t="n">
        <v>0</v>
      </c>
      <c r="W3467" s="182" t="n">
        <v>0</v>
      </c>
      <c r="X3467" s="182" t="n">
        <v>0.8100000000000001</v>
      </c>
      <c r="Y3467" s="182" t="n">
        <v>0</v>
      </c>
      <c r="Z3467" s="182" t="n">
        <v>0</v>
      </c>
      <c r="AA3467" s="182" t="n">
        <v>0</v>
      </c>
      <c r="AB3467" s="182" t="n">
        <v>0</v>
      </c>
      <c r="AC3467" s="182" t="n">
        <v>0</v>
      </c>
      <c r="AD3467" s="182" t="n">
        <v>0</v>
      </c>
      <c r="AE3467" s="182" t="n">
        <v>0</v>
      </c>
      <c r="AF3467" s="182" t="n">
        <v>0</v>
      </c>
      <c r="AG3467" s="182" t="n">
        <v>0</v>
      </c>
      <c r="AH3467" s="182" t="n">
        <v>0</v>
      </c>
      <c r="AI3467" s="182" t="n">
        <v>0</v>
      </c>
      <c r="AJ3467" s="182" t="n">
        <v>0</v>
      </c>
      <c r="AK3467" s="182" t="n">
        <v>0</v>
      </c>
      <c r="AL3467" s="182" t="n">
        <v>0</v>
      </c>
      <c r="AM3467" s="182" t="n">
        <v>0.13</v>
      </c>
      <c r="AN3467" s="182" t="n">
        <v>0</v>
      </c>
    </row>
    <row r="3468">
      <c r="A3468" s="155" t="n">
        <v>46097</v>
      </c>
      <c r="B3468" s="156" t="inlineStr">
        <is>
          <t>NS</t>
        </is>
      </c>
      <c r="C3468" s="156" t="inlineStr">
        <is>
          <t>DT-809</t>
        </is>
      </c>
      <c r="D3468" s="156" t="inlineStr">
        <is>
          <t>SKT 80S</t>
        </is>
      </c>
      <c r="E3468" s="156" t="inlineStr">
        <is>
          <t>Hauler</t>
        </is>
      </c>
      <c r="F3468" s="156" t="inlineStr"/>
      <c r="G3468" s="182" t="n">
        <v>0</v>
      </c>
      <c r="H3468" s="182" t="n">
        <v>0</v>
      </c>
      <c r="I3468" s="182" t="n">
        <v>12</v>
      </c>
      <c r="J3468" s="182" t="n">
        <v>12</v>
      </c>
      <c r="K3468" s="182" t="n">
        <v>0</v>
      </c>
      <c r="L3468" s="182" t="n">
        <v>12</v>
      </c>
      <c r="M3468" s="182" t="n">
        <v>0</v>
      </c>
      <c r="N3468" s="182" t="n">
        <v>0</v>
      </c>
      <c r="O3468" s="183" t="n">
        <v>0</v>
      </c>
      <c r="P3468" s="183" t="n">
        <v>0</v>
      </c>
      <c r="Q3468" s="184" t="n">
        <v>0</v>
      </c>
      <c r="R3468" s="184" t="n">
        <v>0</v>
      </c>
      <c r="S3468" s="183" t="n">
        <v>0</v>
      </c>
      <c r="T3468" s="183" t="n">
        <v>0</v>
      </c>
      <c r="U3468" s="182" t="n">
        <v>0</v>
      </c>
      <c r="V3468" s="182" t="n">
        <v>0</v>
      </c>
      <c r="W3468" s="182" t="n">
        <v>0</v>
      </c>
      <c r="X3468" s="182" t="n">
        <v>0</v>
      </c>
      <c r="Y3468" s="182" t="n">
        <v>0</v>
      </c>
      <c r="Z3468" s="182" t="n">
        <v>0</v>
      </c>
      <c r="AA3468" s="182" t="n">
        <v>0</v>
      </c>
      <c r="AB3468" s="182" t="n">
        <v>0</v>
      </c>
      <c r="AC3468" s="182" t="n">
        <v>0</v>
      </c>
      <c r="AD3468" s="182" t="n">
        <v>0</v>
      </c>
      <c r="AE3468" s="182" t="n">
        <v>0</v>
      </c>
      <c r="AF3468" s="182" t="n">
        <v>0</v>
      </c>
      <c r="AG3468" s="182" t="n">
        <v>0</v>
      </c>
      <c r="AH3468" s="182" t="n">
        <v>0</v>
      </c>
      <c r="AI3468" s="182" t="n">
        <v>0</v>
      </c>
      <c r="AJ3468" s="182" t="n">
        <v>0</v>
      </c>
      <c r="AK3468" s="182" t="n">
        <v>0</v>
      </c>
      <c r="AL3468" s="182" t="n">
        <v>0</v>
      </c>
      <c r="AM3468" s="182" t="n">
        <v>0</v>
      </c>
      <c r="AN3468" s="182" t="n">
        <v>0</v>
      </c>
    </row>
    <row r="3469">
      <c r="A3469" s="155" t="n">
        <v>46097</v>
      </c>
      <c r="B3469" s="156" t="inlineStr">
        <is>
          <t>NS</t>
        </is>
      </c>
      <c r="C3469" s="156" t="inlineStr">
        <is>
          <t>DT-806</t>
        </is>
      </c>
      <c r="D3469" s="156" t="inlineStr">
        <is>
          <t>SKT 80S</t>
        </is>
      </c>
      <c r="E3469" s="156" t="inlineStr">
        <is>
          <t>Hauler</t>
        </is>
      </c>
      <c r="F3469" s="156" t="inlineStr"/>
      <c r="G3469" s="182" t="n">
        <v>0</v>
      </c>
      <c r="H3469" s="182" t="n">
        <v>0</v>
      </c>
      <c r="I3469" s="182" t="n">
        <v>12</v>
      </c>
      <c r="J3469" s="182" t="n">
        <v>12</v>
      </c>
      <c r="K3469" s="182" t="n">
        <v>0</v>
      </c>
      <c r="L3469" s="182" t="n">
        <v>12</v>
      </c>
      <c r="M3469" s="182" t="n">
        <v>0</v>
      </c>
      <c r="N3469" s="182" t="n">
        <v>0</v>
      </c>
      <c r="O3469" s="183" t="n">
        <v>0</v>
      </c>
      <c r="P3469" s="183" t="n">
        <v>0</v>
      </c>
      <c r="Q3469" s="184" t="n">
        <v>0</v>
      </c>
      <c r="R3469" s="184" t="n">
        <v>0</v>
      </c>
      <c r="S3469" s="183" t="n">
        <v>0</v>
      </c>
      <c r="T3469" s="183" t="n">
        <v>0</v>
      </c>
      <c r="U3469" s="182" t="n">
        <v>0</v>
      </c>
      <c r="V3469" s="182" t="n">
        <v>0</v>
      </c>
      <c r="W3469" s="182" t="n">
        <v>0</v>
      </c>
      <c r="X3469" s="182" t="n">
        <v>0</v>
      </c>
      <c r="Y3469" s="182" t="n">
        <v>0</v>
      </c>
      <c r="Z3469" s="182" t="n">
        <v>0</v>
      </c>
      <c r="AA3469" s="182" t="n">
        <v>0</v>
      </c>
      <c r="AB3469" s="182" t="n">
        <v>0</v>
      </c>
      <c r="AC3469" s="182" t="n">
        <v>0</v>
      </c>
      <c r="AD3469" s="182" t="n">
        <v>0</v>
      </c>
      <c r="AE3469" s="182" t="n">
        <v>0</v>
      </c>
      <c r="AF3469" s="182" t="n">
        <v>0</v>
      </c>
      <c r="AG3469" s="182" t="n">
        <v>0</v>
      </c>
      <c r="AH3469" s="182" t="n">
        <v>0</v>
      </c>
      <c r="AI3469" s="182" t="n">
        <v>0</v>
      </c>
      <c r="AJ3469" s="182" t="n">
        <v>0</v>
      </c>
      <c r="AK3469" s="182" t="n">
        <v>0</v>
      </c>
      <c r="AL3469" s="182" t="n">
        <v>0</v>
      </c>
      <c r="AM3469" s="182" t="n">
        <v>0</v>
      </c>
      <c r="AN3469" s="182" t="n">
        <v>0</v>
      </c>
    </row>
    <row r="3470">
      <c r="A3470" s="155" t="n">
        <v>46097</v>
      </c>
      <c r="B3470" s="156" t="inlineStr">
        <is>
          <t>NS</t>
        </is>
      </c>
      <c r="C3470" s="156" t="inlineStr">
        <is>
          <t>DT-805</t>
        </is>
      </c>
      <c r="D3470" s="156" t="inlineStr">
        <is>
          <t>SKT 80S</t>
        </is>
      </c>
      <c r="E3470" s="156" t="inlineStr">
        <is>
          <t>Hauler</t>
        </is>
      </c>
      <c r="F3470" s="156" t="inlineStr"/>
      <c r="G3470" s="182" t="n">
        <v>0</v>
      </c>
      <c r="H3470" s="182" t="n">
        <v>0</v>
      </c>
      <c r="I3470" s="182" t="n">
        <v>12</v>
      </c>
      <c r="J3470" s="182" t="n">
        <v>12</v>
      </c>
      <c r="K3470" s="182" t="n">
        <v>0</v>
      </c>
      <c r="L3470" s="182" t="n">
        <v>12</v>
      </c>
      <c r="M3470" s="182" t="n">
        <v>0</v>
      </c>
      <c r="N3470" s="182" t="n">
        <v>0</v>
      </c>
      <c r="O3470" s="183" t="n">
        <v>0</v>
      </c>
      <c r="P3470" s="183" t="n">
        <v>0</v>
      </c>
      <c r="Q3470" s="184" t="n">
        <v>0</v>
      </c>
      <c r="R3470" s="184" t="n">
        <v>0</v>
      </c>
      <c r="S3470" s="183" t="n">
        <v>0</v>
      </c>
      <c r="T3470" s="183" t="n">
        <v>0</v>
      </c>
      <c r="U3470" s="182" t="n">
        <v>0</v>
      </c>
      <c r="V3470" s="182" t="n">
        <v>0</v>
      </c>
      <c r="W3470" s="182" t="n">
        <v>0</v>
      </c>
      <c r="X3470" s="182" t="n">
        <v>0</v>
      </c>
      <c r="Y3470" s="182" t="n">
        <v>0</v>
      </c>
      <c r="Z3470" s="182" t="n">
        <v>0</v>
      </c>
      <c r="AA3470" s="182" t="n">
        <v>0</v>
      </c>
      <c r="AB3470" s="182" t="n">
        <v>0</v>
      </c>
      <c r="AC3470" s="182" t="n">
        <v>0</v>
      </c>
      <c r="AD3470" s="182" t="n">
        <v>0</v>
      </c>
      <c r="AE3470" s="182" t="n">
        <v>0</v>
      </c>
      <c r="AF3470" s="182" t="n">
        <v>0</v>
      </c>
      <c r="AG3470" s="182" t="n">
        <v>0</v>
      </c>
      <c r="AH3470" s="182" t="n">
        <v>0</v>
      </c>
      <c r="AI3470" s="182" t="n">
        <v>0</v>
      </c>
      <c r="AJ3470" s="182" t="n">
        <v>0</v>
      </c>
      <c r="AK3470" s="182" t="n">
        <v>0</v>
      </c>
      <c r="AL3470" s="182" t="n">
        <v>0</v>
      </c>
      <c r="AM3470" s="182" t="n">
        <v>0</v>
      </c>
      <c r="AN3470" s="182" t="n">
        <v>0</v>
      </c>
    </row>
    <row r="3471">
      <c r="A3471" s="155" t="n">
        <v>46097</v>
      </c>
      <c r="B3471" s="156" t="inlineStr">
        <is>
          <t>NS</t>
        </is>
      </c>
      <c r="C3471" s="156" t="inlineStr">
        <is>
          <t>DT-801</t>
        </is>
      </c>
      <c r="D3471" s="156" t="inlineStr">
        <is>
          <t>SKT 80S</t>
        </is>
      </c>
      <c r="E3471" s="156" t="inlineStr">
        <is>
          <t>Hauler</t>
        </is>
      </c>
      <c r="F3471" s="156" t="inlineStr"/>
      <c r="G3471" s="182" t="n">
        <v>0</v>
      </c>
      <c r="H3471" s="182" t="n">
        <v>0</v>
      </c>
      <c r="I3471" s="182" t="n">
        <v>12</v>
      </c>
      <c r="J3471" s="182" t="n">
        <v>12</v>
      </c>
      <c r="K3471" s="182" t="n">
        <v>0</v>
      </c>
      <c r="L3471" s="182" t="n">
        <v>12</v>
      </c>
      <c r="M3471" s="182" t="n">
        <v>0</v>
      </c>
      <c r="N3471" s="182" t="n">
        <v>0</v>
      </c>
      <c r="O3471" s="183" t="n">
        <v>0</v>
      </c>
      <c r="P3471" s="183" t="n">
        <v>0</v>
      </c>
      <c r="Q3471" s="184" t="n">
        <v>0</v>
      </c>
      <c r="R3471" s="184" t="n">
        <v>0</v>
      </c>
      <c r="S3471" s="183" t="n">
        <v>0</v>
      </c>
      <c r="T3471" s="183" t="n">
        <v>0</v>
      </c>
      <c r="U3471" s="182" t="n">
        <v>0</v>
      </c>
      <c r="V3471" s="182" t="n">
        <v>0</v>
      </c>
      <c r="W3471" s="182" t="n">
        <v>0</v>
      </c>
      <c r="X3471" s="182" t="n">
        <v>0</v>
      </c>
      <c r="Y3471" s="182" t="n">
        <v>0</v>
      </c>
      <c r="Z3471" s="182" t="n">
        <v>0</v>
      </c>
      <c r="AA3471" s="182" t="n">
        <v>0</v>
      </c>
      <c r="AB3471" s="182" t="n">
        <v>0</v>
      </c>
      <c r="AC3471" s="182" t="n">
        <v>0</v>
      </c>
      <c r="AD3471" s="182" t="n">
        <v>0</v>
      </c>
      <c r="AE3471" s="182" t="n">
        <v>0</v>
      </c>
      <c r="AF3471" s="182" t="n">
        <v>0</v>
      </c>
      <c r="AG3471" s="182" t="n">
        <v>0</v>
      </c>
      <c r="AH3471" s="182" t="n">
        <v>0</v>
      </c>
      <c r="AI3471" s="182" t="n">
        <v>0</v>
      </c>
      <c r="AJ3471" s="182" t="n">
        <v>0</v>
      </c>
      <c r="AK3471" s="182" t="n">
        <v>0</v>
      </c>
      <c r="AL3471" s="182" t="n">
        <v>0</v>
      </c>
      <c r="AM3471" s="182" t="n">
        <v>0</v>
      </c>
      <c r="AN3471" s="182" t="n">
        <v>0</v>
      </c>
    </row>
    <row r="3472">
      <c r="A3472" s="155" t="n">
        <v>46097</v>
      </c>
      <c r="B3472" s="156" t="inlineStr">
        <is>
          <t>NS</t>
        </is>
      </c>
      <c r="C3472" s="156" t="inlineStr">
        <is>
          <t>DT-808</t>
        </is>
      </c>
      <c r="D3472" s="156" t="inlineStr">
        <is>
          <t>SKT 80S</t>
        </is>
      </c>
      <c r="E3472" s="156" t="inlineStr">
        <is>
          <t>Hauler</t>
        </is>
      </c>
      <c r="F3472" s="156" t="inlineStr">
        <is>
          <t>Rehandling Lumpur WP</t>
        </is>
      </c>
      <c r="G3472" s="182" t="n">
        <v>8.02</v>
      </c>
      <c r="H3472" s="182" t="n">
        <v>0</v>
      </c>
      <c r="I3472" s="182" t="n">
        <v>0</v>
      </c>
      <c r="J3472" s="182" t="n">
        <v>0</v>
      </c>
      <c r="K3472" s="182" t="n">
        <v>3.98</v>
      </c>
      <c r="L3472" s="182" t="n">
        <v>12</v>
      </c>
      <c r="M3472" s="182" t="n">
        <v>0</v>
      </c>
      <c r="N3472" s="182" t="n">
        <v>0</v>
      </c>
      <c r="O3472" s="183" t="n">
        <v>0</v>
      </c>
      <c r="P3472" s="183" t="n">
        <v>0</v>
      </c>
      <c r="Q3472" s="184" t="n">
        <v>0</v>
      </c>
      <c r="R3472" s="184" t="n">
        <v>0</v>
      </c>
      <c r="S3472" s="183" t="n">
        <v>0</v>
      </c>
      <c r="T3472" s="183" t="n">
        <v>0</v>
      </c>
      <c r="U3472" s="182" t="n">
        <v>0</v>
      </c>
      <c r="V3472" s="182" t="n">
        <v>0</v>
      </c>
      <c r="W3472" s="182" t="n">
        <v>0</v>
      </c>
      <c r="X3472" s="182" t="n">
        <v>0.99</v>
      </c>
      <c r="Y3472" s="182" t="n">
        <v>0</v>
      </c>
      <c r="Z3472" s="182" t="n">
        <v>0.07000000000000001</v>
      </c>
      <c r="AA3472" s="182" t="n">
        <v>0</v>
      </c>
      <c r="AB3472" s="182" t="n">
        <v>0</v>
      </c>
      <c r="AC3472" s="182" t="n">
        <v>0</v>
      </c>
      <c r="AD3472" s="182" t="n">
        <v>0</v>
      </c>
      <c r="AE3472" s="182" t="n">
        <v>0</v>
      </c>
      <c r="AF3472" s="182" t="n">
        <v>0</v>
      </c>
      <c r="AG3472" s="182" t="n">
        <v>0</v>
      </c>
      <c r="AH3472" s="182" t="n">
        <v>0</v>
      </c>
      <c r="AI3472" s="182" t="n">
        <v>0</v>
      </c>
      <c r="AJ3472" s="182" t="n">
        <v>0</v>
      </c>
      <c r="AK3472" s="182" t="n">
        <v>2.84</v>
      </c>
      <c r="AL3472" s="182" t="n">
        <v>0</v>
      </c>
      <c r="AM3472" s="182" t="n">
        <v>0.08</v>
      </c>
      <c r="AN3472" s="182" t="n">
        <v>0</v>
      </c>
    </row>
    <row r="3473">
      <c r="A3473" s="155" t="n">
        <v>46097</v>
      </c>
      <c r="B3473" s="156" t="inlineStr">
        <is>
          <t>NS</t>
        </is>
      </c>
      <c r="C3473" s="156" t="inlineStr">
        <is>
          <t>DT-811</t>
        </is>
      </c>
      <c r="D3473" s="156" t="inlineStr">
        <is>
          <t>SKT 80S</t>
        </is>
      </c>
      <c r="E3473" s="156" t="inlineStr">
        <is>
          <t>Hauler</t>
        </is>
      </c>
      <c r="F3473" s="156" t="inlineStr"/>
      <c r="G3473" s="182" t="n">
        <v>0</v>
      </c>
      <c r="H3473" s="182" t="n">
        <v>0</v>
      </c>
      <c r="I3473" s="182" t="n">
        <v>0</v>
      </c>
      <c r="J3473" s="182" t="n">
        <v>0</v>
      </c>
      <c r="K3473" s="182" t="n">
        <v>12</v>
      </c>
      <c r="L3473" s="182" t="n">
        <v>12</v>
      </c>
      <c r="M3473" s="182" t="n">
        <v>0</v>
      </c>
      <c r="N3473" s="182" t="n">
        <v>0</v>
      </c>
      <c r="O3473" s="183" t="n">
        <v>0</v>
      </c>
      <c r="P3473" s="183" t="n">
        <v>0</v>
      </c>
      <c r="Q3473" s="184" t="n">
        <v>0</v>
      </c>
      <c r="R3473" s="184" t="n">
        <v>0</v>
      </c>
      <c r="S3473" s="183" t="n">
        <v>0</v>
      </c>
      <c r="T3473" s="183" t="n">
        <v>0</v>
      </c>
      <c r="U3473" s="182" t="n">
        <v>0</v>
      </c>
      <c r="V3473" s="182" t="n">
        <v>0</v>
      </c>
      <c r="W3473" s="182" t="n">
        <v>0</v>
      </c>
      <c r="X3473" s="182" t="n">
        <v>1</v>
      </c>
      <c r="Y3473" s="182" t="n">
        <v>0</v>
      </c>
      <c r="Z3473" s="182" t="n">
        <v>0</v>
      </c>
      <c r="AA3473" s="182" t="n">
        <v>0</v>
      </c>
      <c r="AB3473" s="182" t="n">
        <v>0</v>
      </c>
      <c r="AC3473" s="182" t="n">
        <v>0</v>
      </c>
      <c r="AD3473" s="182" t="n">
        <v>0</v>
      </c>
      <c r="AE3473" s="182" t="n">
        <v>0</v>
      </c>
      <c r="AF3473" s="182" t="n">
        <v>0</v>
      </c>
      <c r="AG3473" s="182" t="n">
        <v>0</v>
      </c>
      <c r="AH3473" s="182" t="n">
        <v>0</v>
      </c>
      <c r="AI3473" s="182" t="n">
        <v>0</v>
      </c>
      <c r="AJ3473" s="182" t="n">
        <v>0</v>
      </c>
      <c r="AK3473" s="182" t="n">
        <v>10.92</v>
      </c>
      <c r="AL3473" s="182" t="n">
        <v>0</v>
      </c>
      <c r="AM3473" s="182" t="n">
        <v>0.08</v>
      </c>
      <c r="AN3473" s="182" t="n">
        <v>0</v>
      </c>
    </row>
    <row r="3474">
      <c r="A3474" s="155" t="n">
        <v>46097</v>
      </c>
      <c r="B3474" s="156" t="inlineStr">
        <is>
          <t>NS</t>
        </is>
      </c>
      <c r="C3474" s="156" t="inlineStr">
        <is>
          <t>DT-802</t>
        </is>
      </c>
      <c r="D3474" s="156" t="inlineStr">
        <is>
          <t>SKT 80S</t>
        </is>
      </c>
      <c r="E3474" s="156" t="inlineStr">
        <is>
          <t>Hauler</t>
        </is>
      </c>
      <c r="F3474" s="156" t="inlineStr"/>
      <c r="G3474" s="182" t="n">
        <v>0</v>
      </c>
      <c r="H3474" s="182" t="n">
        <v>0</v>
      </c>
      <c r="I3474" s="182" t="n">
        <v>0</v>
      </c>
      <c r="J3474" s="182" t="n">
        <v>0</v>
      </c>
      <c r="K3474" s="182" t="n">
        <v>12</v>
      </c>
      <c r="L3474" s="182" t="n">
        <v>12</v>
      </c>
      <c r="M3474" s="182" t="n">
        <v>0</v>
      </c>
      <c r="N3474" s="182" t="n">
        <v>0</v>
      </c>
      <c r="O3474" s="183" t="n">
        <v>0</v>
      </c>
      <c r="P3474" s="183" t="n">
        <v>0</v>
      </c>
      <c r="Q3474" s="184" t="n">
        <v>0</v>
      </c>
      <c r="R3474" s="184" t="n">
        <v>0</v>
      </c>
      <c r="S3474" s="183" t="n">
        <v>0</v>
      </c>
      <c r="T3474" s="183" t="n">
        <v>0</v>
      </c>
      <c r="U3474" s="182" t="n">
        <v>0</v>
      </c>
      <c r="V3474" s="182" t="n">
        <v>0</v>
      </c>
      <c r="W3474" s="182" t="n">
        <v>0</v>
      </c>
      <c r="X3474" s="182" t="n">
        <v>1</v>
      </c>
      <c r="Y3474" s="182" t="n">
        <v>0</v>
      </c>
      <c r="Z3474" s="182" t="n">
        <v>0</v>
      </c>
      <c r="AA3474" s="182" t="n">
        <v>0</v>
      </c>
      <c r="AB3474" s="182" t="n">
        <v>0</v>
      </c>
      <c r="AC3474" s="182" t="n">
        <v>0</v>
      </c>
      <c r="AD3474" s="182" t="n">
        <v>0</v>
      </c>
      <c r="AE3474" s="182" t="n">
        <v>0</v>
      </c>
      <c r="AF3474" s="182" t="n">
        <v>0</v>
      </c>
      <c r="AG3474" s="182" t="n">
        <v>0</v>
      </c>
      <c r="AH3474" s="182" t="n">
        <v>0</v>
      </c>
      <c r="AI3474" s="182" t="n">
        <v>0</v>
      </c>
      <c r="AJ3474" s="182" t="n">
        <v>0</v>
      </c>
      <c r="AK3474" s="182" t="n">
        <v>10.92</v>
      </c>
      <c r="AL3474" s="182" t="n">
        <v>0</v>
      </c>
      <c r="AM3474" s="182" t="n">
        <v>0.08</v>
      </c>
      <c r="AN3474" s="182" t="n">
        <v>0</v>
      </c>
    </row>
    <row r="3475">
      <c r="A3475" s="155" t="n">
        <v>46097</v>
      </c>
      <c r="B3475" s="156" t="inlineStr">
        <is>
          <t>NS</t>
        </is>
      </c>
      <c r="C3475" s="156" t="inlineStr">
        <is>
          <t>DT-807</t>
        </is>
      </c>
      <c r="D3475" s="156" t="inlineStr">
        <is>
          <t>SKT 80S</t>
        </is>
      </c>
      <c r="E3475" s="156" t="inlineStr">
        <is>
          <t>Hauler</t>
        </is>
      </c>
      <c r="F3475" s="156" t="inlineStr"/>
      <c r="G3475" s="182" t="n">
        <v>0</v>
      </c>
      <c r="H3475" s="182" t="n">
        <v>0</v>
      </c>
      <c r="I3475" s="182" t="n">
        <v>0</v>
      </c>
      <c r="J3475" s="182" t="n">
        <v>0</v>
      </c>
      <c r="K3475" s="182" t="n">
        <v>12</v>
      </c>
      <c r="L3475" s="182" t="n">
        <v>12</v>
      </c>
      <c r="M3475" s="182" t="n">
        <v>0</v>
      </c>
      <c r="N3475" s="182" t="n">
        <v>0</v>
      </c>
      <c r="O3475" s="183" t="n">
        <v>0</v>
      </c>
      <c r="P3475" s="183" t="n">
        <v>0</v>
      </c>
      <c r="Q3475" s="184" t="n">
        <v>0</v>
      </c>
      <c r="R3475" s="184" t="n">
        <v>0</v>
      </c>
      <c r="S3475" s="183" t="n">
        <v>0</v>
      </c>
      <c r="T3475" s="183" t="n">
        <v>0</v>
      </c>
      <c r="U3475" s="182" t="n">
        <v>0</v>
      </c>
      <c r="V3475" s="182" t="n">
        <v>0</v>
      </c>
      <c r="W3475" s="182" t="n">
        <v>0</v>
      </c>
      <c r="X3475" s="182" t="n">
        <v>1</v>
      </c>
      <c r="Y3475" s="182" t="n">
        <v>0</v>
      </c>
      <c r="Z3475" s="182" t="n">
        <v>0</v>
      </c>
      <c r="AA3475" s="182" t="n">
        <v>0</v>
      </c>
      <c r="AB3475" s="182" t="n">
        <v>0</v>
      </c>
      <c r="AC3475" s="182" t="n">
        <v>0</v>
      </c>
      <c r="AD3475" s="182" t="n">
        <v>0</v>
      </c>
      <c r="AE3475" s="182" t="n">
        <v>0</v>
      </c>
      <c r="AF3475" s="182" t="n">
        <v>0</v>
      </c>
      <c r="AG3475" s="182" t="n">
        <v>0</v>
      </c>
      <c r="AH3475" s="182" t="n">
        <v>0</v>
      </c>
      <c r="AI3475" s="182" t="n">
        <v>0</v>
      </c>
      <c r="AJ3475" s="182" t="n">
        <v>0</v>
      </c>
      <c r="AK3475" s="182" t="n">
        <v>10.92</v>
      </c>
      <c r="AL3475" s="182" t="n">
        <v>0</v>
      </c>
      <c r="AM3475" s="182" t="n">
        <v>0.08</v>
      </c>
      <c r="AN3475" s="182" t="n">
        <v>0</v>
      </c>
    </row>
    <row r="3476">
      <c r="A3476" s="155" t="n">
        <v>46097</v>
      </c>
      <c r="B3476" s="156" t="inlineStr">
        <is>
          <t>NS</t>
        </is>
      </c>
      <c r="C3476" s="156" t="inlineStr">
        <is>
          <t>DT-812</t>
        </is>
      </c>
      <c r="D3476" s="156" t="inlineStr">
        <is>
          <t>SKT 80S</t>
        </is>
      </c>
      <c r="E3476" s="156" t="inlineStr">
        <is>
          <t>Hauler</t>
        </is>
      </c>
      <c r="F3476" s="156" t="inlineStr">
        <is>
          <t>Rehandling Tailling 2</t>
        </is>
      </c>
      <c r="G3476" s="182" t="n">
        <v>7.26</v>
      </c>
      <c r="H3476" s="182" t="n">
        <v>0</v>
      </c>
      <c r="I3476" s="182" t="n">
        <v>0.33</v>
      </c>
      <c r="J3476" s="182" t="n">
        <v>0.33</v>
      </c>
      <c r="K3476" s="182" t="n">
        <v>4.41</v>
      </c>
      <c r="L3476" s="182" t="n">
        <v>12</v>
      </c>
      <c r="M3476" s="182" t="n">
        <v>0</v>
      </c>
      <c r="N3476" s="182" t="n">
        <v>0</v>
      </c>
      <c r="O3476" s="183" t="n">
        <v>0</v>
      </c>
      <c r="P3476" s="183" t="n">
        <v>0</v>
      </c>
      <c r="Q3476" s="184" t="n">
        <v>0</v>
      </c>
      <c r="R3476" s="184" t="n">
        <v>0</v>
      </c>
      <c r="S3476" s="183" t="n">
        <v>0</v>
      </c>
      <c r="T3476" s="183" t="n">
        <v>0</v>
      </c>
      <c r="U3476" s="182" t="n">
        <v>0</v>
      </c>
      <c r="V3476" s="182" t="n">
        <v>0</v>
      </c>
      <c r="W3476" s="182" t="n">
        <v>0</v>
      </c>
      <c r="X3476" s="182" t="n">
        <v>0.96</v>
      </c>
      <c r="Y3476" s="182" t="n">
        <v>0</v>
      </c>
      <c r="Z3476" s="182" t="n">
        <v>0</v>
      </c>
      <c r="AA3476" s="182" t="n">
        <v>0</v>
      </c>
      <c r="AB3476" s="182" t="n">
        <v>0</v>
      </c>
      <c r="AC3476" s="182" t="n">
        <v>0</v>
      </c>
      <c r="AD3476" s="182" t="n">
        <v>0</v>
      </c>
      <c r="AE3476" s="182" t="n">
        <v>0</v>
      </c>
      <c r="AF3476" s="182" t="n">
        <v>0</v>
      </c>
      <c r="AG3476" s="182" t="n">
        <v>0</v>
      </c>
      <c r="AH3476" s="182" t="n">
        <v>0</v>
      </c>
      <c r="AI3476" s="182" t="n">
        <v>0</v>
      </c>
      <c r="AJ3476" s="182" t="n">
        <v>0</v>
      </c>
      <c r="AK3476" s="182" t="n">
        <v>3.36</v>
      </c>
      <c r="AL3476" s="182" t="n">
        <v>0</v>
      </c>
      <c r="AM3476" s="182" t="n">
        <v>0.08</v>
      </c>
      <c r="AN3476" s="182" t="n">
        <v>0</v>
      </c>
    </row>
    <row r="3477">
      <c r="A3477" s="155" t="n">
        <v>46097</v>
      </c>
      <c r="B3477" s="156" t="inlineStr">
        <is>
          <t>NS</t>
        </is>
      </c>
      <c r="C3477" s="156" t="inlineStr">
        <is>
          <t>DT-803</t>
        </is>
      </c>
      <c r="D3477" s="156" t="inlineStr">
        <is>
          <t>SKT 80S</t>
        </is>
      </c>
      <c r="E3477" s="156" t="inlineStr">
        <is>
          <t>Hauler</t>
        </is>
      </c>
      <c r="F3477" s="156" t="inlineStr"/>
      <c r="G3477" s="182" t="n">
        <v>0</v>
      </c>
      <c r="H3477" s="182" t="n">
        <v>0</v>
      </c>
      <c r="I3477" s="182" t="n">
        <v>0</v>
      </c>
      <c r="J3477" s="182" t="n">
        <v>0</v>
      </c>
      <c r="K3477" s="182" t="n">
        <v>12</v>
      </c>
      <c r="L3477" s="182" t="n">
        <v>12</v>
      </c>
      <c r="M3477" s="182" t="n">
        <v>0</v>
      </c>
      <c r="N3477" s="182" t="n">
        <v>0</v>
      </c>
      <c r="O3477" s="183" t="n">
        <v>0</v>
      </c>
      <c r="P3477" s="183" t="n">
        <v>0</v>
      </c>
      <c r="Q3477" s="184" t="n">
        <v>0</v>
      </c>
      <c r="R3477" s="184" t="n">
        <v>0</v>
      </c>
      <c r="S3477" s="183" t="n">
        <v>0</v>
      </c>
      <c r="T3477" s="183" t="n">
        <v>0</v>
      </c>
      <c r="U3477" s="182" t="n">
        <v>0</v>
      </c>
      <c r="V3477" s="182" t="n">
        <v>0</v>
      </c>
      <c r="W3477" s="182" t="n">
        <v>0</v>
      </c>
      <c r="X3477" s="182" t="n">
        <v>1</v>
      </c>
      <c r="Y3477" s="182" t="n">
        <v>0</v>
      </c>
      <c r="Z3477" s="182" t="n">
        <v>0</v>
      </c>
      <c r="AA3477" s="182" t="n">
        <v>0</v>
      </c>
      <c r="AB3477" s="182" t="n">
        <v>0</v>
      </c>
      <c r="AC3477" s="182" t="n">
        <v>0</v>
      </c>
      <c r="AD3477" s="182" t="n">
        <v>0</v>
      </c>
      <c r="AE3477" s="182" t="n">
        <v>0</v>
      </c>
      <c r="AF3477" s="182" t="n">
        <v>0</v>
      </c>
      <c r="AG3477" s="182" t="n">
        <v>0</v>
      </c>
      <c r="AH3477" s="182" t="n">
        <v>0</v>
      </c>
      <c r="AI3477" s="182" t="n">
        <v>0</v>
      </c>
      <c r="AJ3477" s="182" t="n">
        <v>0</v>
      </c>
      <c r="AK3477" s="182" t="n">
        <v>10.92</v>
      </c>
      <c r="AL3477" s="182" t="n">
        <v>0</v>
      </c>
      <c r="AM3477" s="182" t="n">
        <v>0.08</v>
      </c>
      <c r="AN3477" s="182" t="n">
        <v>0</v>
      </c>
    </row>
    <row r="3478">
      <c r="A3478" s="155" t="n">
        <v>46097</v>
      </c>
      <c r="B3478" s="156" t="inlineStr">
        <is>
          <t>NS</t>
        </is>
      </c>
      <c r="C3478" s="156" t="inlineStr">
        <is>
          <t>DT-810</t>
        </is>
      </c>
      <c r="D3478" s="156" t="inlineStr">
        <is>
          <t>SKT 80S</t>
        </is>
      </c>
      <c r="E3478" s="156" t="inlineStr">
        <is>
          <t>Hauler</t>
        </is>
      </c>
      <c r="F3478" s="156" t="inlineStr">
        <is>
          <t>Rehandling Tailling 2</t>
        </is>
      </c>
      <c r="G3478" s="182" t="n">
        <v>7.33</v>
      </c>
      <c r="H3478" s="182" t="n">
        <v>0</v>
      </c>
      <c r="I3478" s="182" t="n">
        <v>0</v>
      </c>
      <c r="J3478" s="182" t="n">
        <v>0</v>
      </c>
      <c r="K3478" s="182" t="n">
        <v>4.67</v>
      </c>
      <c r="L3478" s="182" t="n">
        <v>12</v>
      </c>
      <c r="M3478" s="182" t="n">
        <v>0</v>
      </c>
      <c r="N3478" s="182" t="n">
        <v>0</v>
      </c>
      <c r="O3478" s="183" t="n">
        <v>0</v>
      </c>
      <c r="P3478" s="183" t="n">
        <v>0</v>
      </c>
      <c r="Q3478" s="184" t="n">
        <v>0</v>
      </c>
      <c r="R3478" s="184" t="n">
        <v>0</v>
      </c>
      <c r="S3478" s="183" t="n">
        <v>0</v>
      </c>
      <c r="T3478" s="183" t="n">
        <v>0</v>
      </c>
      <c r="U3478" s="182" t="n">
        <v>0</v>
      </c>
      <c r="V3478" s="182" t="n">
        <v>0</v>
      </c>
      <c r="W3478" s="182" t="n">
        <v>0</v>
      </c>
      <c r="X3478" s="182" t="n">
        <v>1.09</v>
      </c>
      <c r="Y3478" s="182" t="n">
        <v>0</v>
      </c>
      <c r="Z3478" s="182" t="n">
        <v>0.08</v>
      </c>
      <c r="AA3478" s="182" t="n">
        <v>0</v>
      </c>
      <c r="AB3478" s="182" t="n">
        <v>0</v>
      </c>
      <c r="AC3478" s="182" t="n">
        <v>0</v>
      </c>
      <c r="AD3478" s="182" t="n">
        <v>0</v>
      </c>
      <c r="AE3478" s="182" t="n">
        <v>0</v>
      </c>
      <c r="AF3478" s="182" t="n">
        <v>0</v>
      </c>
      <c r="AG3478" s="182" t="n">
        <v>0</v>
      </c>
      <c r="AH3478" s="182" t="n">
        <v>0</v>
      </c>
      <c r="AI3478" s="182" t="n">
        <v>0</v>
      </c>
      <c r="AJ3478" s="182" t="n">
        <v>0</v>
      </c>
      <c r="AK3478" s="182" t="n">
        <v>3.42</v>
      </c>
      <c r="AL3478" s="182" t="n">
        <v>0</v>
      </c>
      <c r="AM3478" s="182" t="n">
        <v>0.09</v>
      </c>
      <c r="AN3478" s="182" t="n">
        <v>0</v>
      </c>
    </row>
    <row r="3479">
      <c r="A3479" s="155" t="n">
        <v>46097</v>
      </c>
      <c r="B3479" s="156" t="inlineStr">
        <is>
          <t>NS</t>
        </is>
      </c>
      <c r="C3479" s="156" t="inlineStr">
        <is>
          <t>DT-804</t>
        </is>
      </c>
      <c r="D3479" s="156" t="inlineStr">
        <is>
          <t>SKT 80S</t>
        </is>
      </c>
      <c r="E3479" s="156" t="inlineStr">
        <is>
          <t>Hauler</t>
        </is>
      </c>
      <c r="F3479" s="156" t="inlineStr">
        <is>
          <t>Rehandling Lumpur WP</t>
        </is>
      </c>
      <c r="G3479" s="182" t="n">
        <v>7.41</v>
      </c>
      <c r="H3479" s="182" t="n">
        <v>0</v>
      </c>
      <c r="I3479" s="182" t="n">
        <v>0.15</v>
      </c>
      <c r="J3479" s="182" t="n">
        <v>0.15</v>
      </c>
      <c r="K3479" s="182" t="n">
        <v>4.44</v>
      </c>
      <c r="L3479" s="182" t="n">
        <v>12</v>
      </c>
      <c r="M3479" s="182" t="n">
        <v>0</v>
      </c>
      <c r="N3479" s="182" t="n">
        <v>0</v>
      </c>
      <c r="O3479" s="183" t="n">
        <v>0</v>
      </c>
      <c r="P3479" s="183" t="n">
        <v>0</v>
      </c>
      <c r="Q3479" s="184" t="n">
        <v>0</v>
      </c>
      <c r="R3479" s="184" t="n">
        <v>0</v>
      </c>
      <c r="S3479" s="183" t="n">
        <v>0</v>
      </c>
      <c r="T3479" s="183" t="n">
        <v>0</v>
      </c>
      <c r="U3479" s="182" t="n">
        <v>0</v>
      </c>
      <c r="V3479" s="182" t="n">
        <v>0</v>
      </c>
      <c r="W3479" s="182" t="n">
        <v>0</v>
      </c>
      <c r="X3479" s="182" t="n">
        <v>0.98</v>
      </c>
      <c r="Y3479" s="182" t="n">
        <v>0</v>
      </c>
      <c r="Z3479" s="182" t="n">
        <v>0</v>
      </c>
      <c r="AA3479" s="182" t="n">
        <v>0</v>
      </c>
      <c r="AB3479" s="182" t="n">
        <v>0</v>
      </c>
      <c r="AC3479" s="182" t="n">
        <v>0</v>
      </c>
      <c r="AD3479" s="182" t="n">
        <v>0</v>
      </c>
      <c r="AE3479" s="182" t="n">
        <v>0</v>
      </c>
      <c r="AF3479" s="182" t="n">
        <v>0</v>
      </c>
      <c r="AG3479" s="182" t="n">
        <v>0</v>
      </c>
      <c r="AH3479" s="182" t="n">
        <v>0</v>
      </c>
      <c r="AI3479" s="182" t="n">
        <v>0</v>
      </c>
      <c r="AJ3479" s="182" t="n">
        <v>0</v>
      </c>
      <c r="AK3479" s="182" t="n">
        <v>3.39</v>
      </c>
      <c r="AL3479" s="182" t="n">
        <v>0</v>
      </c>
      <c r="AM3479" s="182" t="n">
        <v>0.08</v>
      </c>
      <c r="AN3479" s="182" t="n">
        <v>0</v>
      </c>
    </row>
    <row r="3480">
      <c r="A3480" s="155" t="n">
        <v>46097</v>
      </c>
      <c r="B3480" s="156" t="inlineStr">
        <is>
          <t>NS</t>
        </is>
      </c>
      <c r="C3480" s="156" t="inlineStr">
        <is>
          <t>DT-505</t>
        </is>
      </c>
      <c r="D3480" s="156" t="inlineStr">
        <is>
          <t>SKT 105S</t>
        </is>
      </c>
      <c r="E3480" s="156" t="inlineStr">
        <is>
          <t>Hauler</t>
        </is>
      </c>
      <c r="F3480" s="156" t="inlineStr">
        <is>
          <t>Hauling OB</t>
        </is>
      </c>
      <c r="G3480" s="182" t="n">
        <v>5.79</v>
      </c>
      <c r="H3480" s="182" t="n">
        <v>0</v>
      </c>
      <c r="I3480" s="182" t="n">
        <v>0.92</v>
      </c>
      <c r="J3480" s="182" t="n">
        <v>0.92</v>
      </c>
      <c r="K3480" s="182" t="n">
        <v>5.29</v>
      </c>
      <c r="L3480" s="182" t="n">
        <v>12</v>
      </c>
      <c r="M3480" s="182" t="n">
        <v>5.79</v>
      </c>
      <c r="N3480" s="182" t="n">
        <v>0</v>
      </c>
      <c r="O3480" s="183" t="n">
        <v>16</v>
      </c>
      <c r="P3480" s="183" t="n">
        <v>0</v>
      </c>
      <c r="Q3480" s="184" t="n">
        <v>326.4</v>
      </c>
      <c r="R3480" s="184" t="n">
        <v>0</v>
      </c>
      <c r="S3480" s="183" t="n">
        <v>0</v>
      </c>
      <c r="T3480" s="183" t="n">
        <v>0</v>
      </c>
      <c r="U3480" s="182" t="n">
        <v>0</v>
      </c>
      <c r="V3480" s="182" t="n">
        <v>0</v>
      </c>
      <c r="W3480" s="182" t="n">
        <v>0</v>
      </c>
      <c r="X3480" s="182" t="n">
        <v>1.06</v>
      </c>
      <c r="Y3480" s="182" t="n">
        <v>0</v>
      </c>
      <c r="Z3480" s="182" t="n">
        <v>0.07000000000000001</v>
      </c>
      <c r="AA3480" s="182" t="n">
        <v>0</v>
      </c>
      <c r="AB3480" s="182" t="n">
        <v>0</v>
      </c>
      <c r="AC3480" s="182" t="n">
        <v>0</v>
      </c>
      <c r="AD3480" s="182" t="n">
        <v>0</v>
      </c>
      <c r="AE3480" s="182" t="n">
        <v>0</v>
      </c>
      <c r="AF3480" s="182" t="n">
        <v>0</v>
      </c>
      <c r="AG3480" s="182" t="n">
        <v>0.37</v>
      </c>
      <c r="AH3480" s="182" t="n">
        <v>0.34</v>
      </c>
      <c r="AI3480" s="182" t="n">
        <v>0</v>
      </c>
      <c r="AJ3480" s="182" t="n">
        <v>0</v>
      </c>
      <c r="AK3480" s="182" t="n">
        <v>3.37</v>
      </c>
      <c r="AL3480" s="182" t="n">
        <v>0</v>
      </c>
      <c r="AM3480" s="182" t="n">
        <v>0.08</v>
      </c>
      <c r="AN3480" s="182" t="n">
        <v>0</v>
      </c>
    </row>
    <row r="3481">
      <c r="A3481" s="155" t="n">
        <v>46097</v>
      </c>
      <c r="B3481" s="156" t="inlineStr">
        <is>
          <t>NS</t>
        </is>
      </c>
      <c r="C3481" s="156" t="inlineStr">
        <is>
          <t>DT-530</t>
        </is>
      </c>
      <c r="D3481" s="156" t="inlineStr">
        <is>
          <t>SKT 105S</t>
        </is>
      </c>
      <c r="E3481" s="156" t="inlineStr">
        <is>
          <t>Hauler</t>
        </is>
      </c>
      <c r="F3481" s="156" t="inlineStr"/>
      <c r="G3481" s="182" t="n">
        <v>0</v>
      </c>
      <c r="H3481" s="182" t="n">
        <v>0</v>
      </c>
      <c r="I3481" s="182" t="n">
        <v>12</v>
      </c>
      <c r="J3481" s="182" t="n">
        <v>12</v>
      </c>
      <c r="K3481" s="182" t="n">
        <v>0</v>
      </c>
      <c r="L3481" s="182" t="n">
        <v>12</v>
      </c>
      <c r="M3481" s="182" t="n">
        <v>0</v>
      </c>
      <c r="N3481" s="182" t="n">
        <v>0</v>
      </c>
      <c r="O3481" s="183" t="n">
        <v>0</v>
      </c>
      <c r="P3481" s="183" t="n">
        <v>0</v>
      </c>
      <c r="Q3481" s="184" t="n">
        <v>0</v>
      </c>
      <c r="R3481" s="184" t="n">
        <v>0</v>
      </c>
      <c r="S3481" s="183" t="n">
        <v>0</v>
      </c>
      <c r="T3481" s="183" t="n">
        <v>0</v>
      </c>
      <c r="U3481" s="182" t="n">
        <v>0</v>
      </c>
      <c r="V3481" s="182" t="n">
        <v>0</v>
      </c>
      <c r="W3481" s="182" t="n">
        <v>0</v>
      </c>
      <c r="X3481" s="182" t="n">
        <v>0</v>
      </c>
      <c r="Y3481" s="182" t="n">
        <v>0</v>
      </c>
      <c r="Z3481" s="182" t="n">
        <v>0</v>
      </c>
      <c r="AA3481" s="182" t="n">
        <v>0</v>
      </c>
      <c r="AB3481" s="182" t="n">
        <v>0</v>
      </c>
      <c r="AC3481" s="182" t="n">
        <v>0</v>
      </c>
      <c r="AD3481" s="182" t="n">
        <v>0</v>
      </c>
      <c r="AE3481" s="182" t="n">
        <v>0</v>
      </c>
      <c r="AF3481" s="182" t="n">
        <v>0</v>
      </c>
      <c r="AG3481" s="182" t="n">
        <v>0</v>
      </c>
      <c r="AH3481" s="182" t="n">
        <v>0</v>
      </c>
      <c r="AI3481" s="182" t="n">
        <v>0</v>
      </c>
      <c r="AJ3481" s="182" t="n">
        <v>0</v>
      </c>
      <c r="AK3481" s="182" t="n">
        <v>0</v>
      </c>
      <c r="AL3481" s="182" t="n">
        <v>0</v>
      </c>
      <c r="AM3481" s="182" t="n">
        <v>0</v>
      </c>
      <c r="AN3481" s="182" t="n">
        <v>0</v>
      </c>
    </row>
    <row r="3482">
      <c r="A3482" s="155" t="n">
        <v>46097</v>
      </c>
      <c r="B3482" s="156" t="inlineStr">
        <is>
          <t>NS</t>
        </is>
      </c>
      <c r="C3482" s="156" t="inlineStr">
        <is>
          <t>DT-525</t>
        </is>
      </c>
      <c r="D3482" s="156" t="inlineStr">
        <is>
          <t>SKT 105S</t>
        </is>
      </c>
      <c r="E3482" s="156" t="inlineStr">
        <is>
          <t>Hauler</t>
        </is>
      </c>
      <c r="F3482" s="156" t="inlineStr"/>
      <c r="G3482" s="182" t="n">
        <v>0</v>
      </c>
      <c r="H3482" s="182" t="n">
        <v>0</v>
      </c>
      <c r="I3482" s="182" t="n">
        <v>12</v>
      </c>
      <c r="J3482" s="182" t="n">
        <v>12</v>
      </c>
      <c r="K3482" s="182" t="n">
        <v>0</v>
      </c>
      <c r="L3482" s="182" t="n">
        <v>12</v>
      </c>
      <c r="M3482" s="182" t="n">
        <v>0</v>
      </c>
      <c r="N3482" s="182" t="n">
        <v>0</v>
      </c>
      <c r="O3482" s="183" t="n">
        <v>0</v>
      </c>
      <c r="P3482" s="183" t="n">
        <v>0</v>
      </c>
      <c r="Q3482" s="184" t="n">
        <v>0</v>
      </c>
      <c r="R3482" s="184" t="n">
        <v>0</v>
      </c>
      <c r="S3482" s="183" t="n">
        <v>0</v>
      </c>
      <c r="T3482" s="183" t="n">
        <v>0</v>
      </c>
      <c r="U3482" s="182" t="n">
        <v>0</v>
      </c>
      <c r="V3482" s="182" t="n">
        <v>0</v>
      </c>
      <c r="W3482" s="182" t="n">
        <v>0</v>
      </c>
      <c r="X3482" s="182" t="n">
        <v>0</v>
      </c>
      <c r="Y3482" s="182" t="n">
        <v>0</v>
      </c>
      <c r="Z3482" s="182" t="n">
        <v>0</v>
      </c>
      <c r="AA3482" s="182" t="n">
        <v>0</v>
      </c>
      <c r="AB3482" s="182" t="n">
        <v>0</v>
      </c>
      <c r="AC3482" s="182" t="n">
        <v>0</v>
      </c>
      <c r="AD3482" s="182" t="n">
        <v>0</v>
      </c>
      <c r="AE3482" s="182" t="n">
        <v>0</v>
      </c>
      <c r="AF3482" s="182" t="n">
        <v>0</v>
      </c>
      <c r="AG3482" s="182" t="n">
        <v>0</v>
      </c>
      <c r="AH3482" s="182" t="n">
        <v>0</v>
      </c>
      <c r="AI3482" s="182" t="n">
        <v>0</v>
      </c>
      <c r="AJ3482" s="182" t="n">
        <v>0</v>
      </c>
      <c r="AK3482" s="182" t="n">
        <v>0</v>
      </c>
      <c r="AL3482" s="182" t="n">
        <v>0</v>
      </c>
      <c r="AM3482" s="182" t="n">
        <v>0</v>
      </c>
      <c r="AN3482" s="182" t="n">
        <v>0</v>
      </c>
    </row>
    <row r="3483">
      <c r="A3483" s="155" t="n">
        <v>46097</v>
      </c>
      <c r="B3483" s="156" t="inlineStr">
        <is>
          <t>NS</t>
        </is>
      </c>
      <c r="C3483" s="156" t="inlineStr">
        <is>
          <t>DT-503</t>
        </is>
      </c>
      <c r="D3483" s="156" t="inlineStr">
        <is>
          <t>SKT 105S</t>
        </is>
      </c>
      <c r="E3483" s="156" t="inlineStr">
        <is>
          <t>Hauler</t>
        </is>
      </c>
      <c r="F3483" s="156" t="inlineStr">
        <is>
          <t>Hauling OB &amp; Coal</t>
        </is>
      </c>
      <c r="G3483" s="182" t="n">
        <v>7.66</v>
      </c>
      <c r="H3483" s="182" t="n">
        <v>0</v>
      </c>
      <c r="I3483" s="182" t="n">
        <v>0</v>
      </c>
      <c r="J3483" s="182" t="n">
        <v>0</v>
      </c>
      <c r="K3483" s="182" t="n">
        <v>4.34</v>
      </c>
      <c r="L3483" s="182" t="n">
        <v>12</v>
      </c>
      <c r="M3483" s="182" t="n">
        <v>0.68</v>
      </c>
      <c r="N3483" s="182" t="n">
        <v>6.98</v>
      </c>
      <c r="O3483" s="183" t="n">
        <v>3</v>
      </c>
      <c r="P3483" s="183" t="n">
        <v>16</v>
      </c>
      <c r="Q3483" s="184" t="n">
        <v>61.2</v>
      </c>
      <c r="R3483" s="184" t="n">
        <v>299.2</v>
      </c>
      <c r="S3483" s="183" t="n">
        <v>0</v>
      </c>
      <c r="T3483" s="183" t="n">
        <v>0</v>
      </c>
      <c r="U3483" s="182" t="n">
        <v>0</v>
      </c>
      <c r="V3483" s="182" t="n">
        <v>0</v>
      </c>
      <c r="W3483" s="182" t="n">
        <v>0</v>
      </c>
      <c r="X3483" s="182" t="n">
        <v>1.06</v>
      </c>
      <c r="Y3483" s="182" t="n">
        <v>0</v>
      </c>
      <c r="Z3483" s="182" t="n">
        <v>0.07000000000000001</v>
      </c>
      <c r="AA3483" s="182" t="n">
        <v>0</v>
      </c>
      <c r="AB3483" s="182" t="n">
        <v>0</v>
      </c>
      <c r="AC3483" s="182" t="n">
        <v>0</v>
      </c>
      <c r="AD3483" s="182" t="n">
        <v>0</v>
      </c>
      <c r="AE3483" s="182" t="n">
        <v>0</v>
      </c>
      <c r="AF3483" s="182" t="n">
        <v>0</v>
      </c>
      <c r="AG3483" s="182" t="n">
        <v>0</v>
      </c>
      <c r="AH3483" s="182" t="n">
        <v>0.53</v>
      </c>
      <c r="AI3483" s="182" t="n">
        <v>0</v>
      </c>
      <c r="AJ3483" s="182" t="n">
        <v>0</v>
      </c>
      <c r="AK3483" s="182" t="n">
        <v>2.59</v>
      </c>
      <c r="AL3483" s="182" t="n">
        <v>0</v>
      </c>
      <c r="AM3483" s="182" t="n">
        <v>0.08</v>
      </c>
      <c r="AN3483" s="182" t="n">
        <v>0</v>
      </c>
    </row>
    <row r="3484">
      <c r="A3484" s="155" t="n">
        <v>46097</v>
      </c>
      <c r="B3484" s="156" t="inlineStr">
        <is>
          <t>NS</t>
        </is>
      </c>
      <c r="C3484" s="156" t="inlineStr">
        <is>
          <t>DT-504</t>
        </is>
      </c>
      <c r="D3484" s="156" t="inlineStr">
        <is>
          <t>SKT 105S</t>
        </is>
      </c>
      <c r="E3484" s="156" t="inlineStr">
        <is>
          <t>Hauler</t>
        </is>
      </c>
      <c r="F3484" s="156" t="inlineStr">
        <is>
          <t>Hauling OB</t>
        </is>
      </c>
      <c r="G3484" s="182" t="n">
        <v>0.5</v>
      </c>
      <c r="H3484" s="182" t="n">
        <v>0</v>
      </c>
      <c r="I3484" s="182" t="n">
        <v>11.5</v>
      </c>
      <c r="J3484" s="182" t="n">
        <v>11.5</v>
      </c>
      <c r="K3484" s="182" t="n">
        <v>0</v>
      </c>
      <c r="L3484" s="182" t="n">
        <v>12</v>
      </c>
      <c r="M3484" s="182" t="n">
        <v>0.5</v>
      </c>
      <c r="N3484" s="182" t="n">
        <v>0</v>
      </c>
      <c r="O3484" s="183" t="n">
        <v>2</v>
      </c>
      <c r="P3484" s="183" t="n">
        <v>0</v>
      </c>
      <c r="Q3484" s="184" t="n">
        <v>40.8</v>
      </c>
      <c r="R3484" s="184" t="n">
        <v>0</v>
      </c>
      <c r="S3484" s="183" t="n">
        <v>0</v>
      </c>
      <c r="T3484" s="183" t="n">
        <v>0</v>
      </c>
      <c r="U3484" s="182" t="n">
        <v>0</v>
      </c>
      <c r="V3484" s="182" t="n">
        <v>0</v>
      </c>
      <c r="W3484" s="182" t="n">
        <v>0</v>
      </c>
      <c r="X3484" s="182" t="n">
        <v>0</v>
      </c>
      <c r="Y3484" s="182" t="n">
        <v>0</v>
      </c>
      <c r="Z3484" s="182" t="n">
        <v>0</v>
      </c>
      <c r="AA3484" s="182" t="n">
        <v>0</v>
      </c>
      <c r="AB3484" s="182" t="n">
        <v>0</v>
      </c>
      <c r="AC3484" s="182" t="n">
        <v>0</v>
      </c>
      <c r="AD3484" s="182" t="n">
        <v>0</v>
      </c>
      <c r="AE3484" s="182" t="n">
        <v>0</v>
      </c>
      <c r="AF3484" s="182" t="n">
        <v>0</v>
      </c>
      <c r="AG3484" s="182" t="n">
        <v>0</v>
      </c>
      <c r="AH3484" s="182" t="n">
        <v>0</v>
      </c>
      <c r="AI3484" s="182" t="n">
        <v>0</v>
      </c>
      <c r="AJ3484" s="182" t="n">
        <v>0</v>
      </c>
      <c r="AK3484" s="182" t="n">
        <v>0</v>
      </c>
      <c r="AL3484" s="182" t="n">
        <v>0</v>
      </c>
      <c r="AM3484" s="182" t="n">
        <v>0</v>
      </c>
      <c r="AN3484" s="182" t="n">
        <v>0</v>
      </c>
    </row>
    <row r="3485">
      <c r="A3485" s="155" t="n">
        <v>46097</v>
      </c>
      <c r="B3485" s="156" t="inlineStr">
        <is>
          <t>NS</t>
        </is>
      </c>
      <c r="C3485" s="156" t="inlineStr">
        <is>
          <t>DT-507</t>
        </is>
      </c>
      <c r="D3485" s="156" t="inlineStr">
        <is>
          <t>SKT 105S</t>
        </is>
      </c>
      <c r="E3485" s="156" t="inlineStr">
        <is>
          <t>Hauler</t>
        </is>
      </c>
      <c r="F3485" s="156" t="inlineStr"/>
      <c r="G3485" s="182" t="n">
        <v>0</v>
      </c>
      <c r="H3485" s="182" t="n">
        <v>0</v>
      </c>
      <c r="I3485" s="182" t="n">
        <v>12</v>
      </c>
      <c r="J3485" s="182" t="n">
        <v>12</v>
      </c>
      <c r="K3485" s="182" t="n">
        <v>0</v>
      </c>
      <c r="L3485" s="182" t="n">
        <v>12</v>
      </c>
      <c r="M3485" s="182" t="n">
        <v>0</v>
      </c>
      <c r="N3485" s="182" t="n">
        <v>0</v>
      </c>
      <c r="O3485" s="183" t="n">
        <v>0</v>
      </c>
      <c r="P3485" s="183" t="n">
        <v>0</v>
      </c>
      <c r="Q3485" s="184" t="n">
        <v>0</v>
      </c>
      <c r="R3485" s="184" t="n">
        <v>0</v>
      </c>
      <c r="S3485" s="183" t="n">
        <v>0</v>
      </c>
      <c r="T3485" s="183" t="n">
        <v>0</v>
      </c>
      <c r="U3485" s="182" t="n">
        <v>0</v>
      </c>
      <c r="V3485" s="182" t="n">
        <v>0</v>
      </c>
      <c r="W3485" s="182" t="n">
        <v>0</v>
      </c>
      <c r="X3485" s="182" t="n">
        <v>0</v>
      </c>
      <c r="Y3485" s="182" t="n">
        <v>0</v>
      </c>
      <c r="Z3485" s="182" t="n">
        <v>0</v>
      </c>
      <c r="AA3485" s="182" t="n">
        <v>0</v>
      </c>
      <c r="AB3485" s="182" t="n">
        <v>0</v>
      </c>
      <c r="AC3485" s="182" t="n">
        <v>0</v>
      </c>
      <c r="AD3485" s="182" t="n">
        <v>0</v>
      </c>
      <c r="AE3485" s="182" t="n">
        <v>0</v>
      </c>
      <c r="AF3485" s="182" t="n">
        <v>0</v>
      </c>
      <c r="AG3485" s="182" t="n">
        <v>0</v>
      </c>
      <c r="AH3485" s="182" t="n">
        <v>0</v>
      </c>
      <c r="AI3485" s="182" t="n">
        <v>0</v>
      </c>
      <c r="AJ3485" s="182" t="n">
        <v>0</v>
      </c>
      <c r="AK3485" s="182" t="n">
        <v>0</v>
      </c>
      <c r="AL3485" s="182" t="n">
        <v>0</v>
      </c>
      <c r="AM3485" s="182" t="n">
        <v>0</v>
      </c>
      <c r="AN3485" s="182" t="n">
        <v>0</v>
      </c>
    </row>
    <row r="3486">
      <c r="A3486" s="155" t="n">
        <v>46097</v>
      </c>
      <c r="B3486" s="156" t="inlineStr">
        <is>
          <t>NS</t>
        </is>
      </c>
      <c r="C3486" s="156" t="inlineStr">
        <is>
          <t>DT-501</t>
        </is>
      </c>
      <c r="D3486" s="156" t="inlineStr">
        <is>
          <t>SKT 105S</t>
        </is>
      </c>
      <c r="E3486" s="156" t="inlineStr">
        <is>
          <t>Hauler</t>
        </is>
      </c>
      <c r="F3486" s="156" t="inlineStr">
        <is>
          <t>Hauling OB</t>
        </is>
      </c>
      <c r="G3486" s="182" t="n">
        <v>6.47</v>
      </c>
      <c r="H3486" s="182" t="n">
        <v>0</v>
      </c>
      <c r="I3486" s="182" t="n">
        <v>0.77</v>
      </c>
      <c r="J3486" s="182" t="n">
        <v>0.77</v>
      </c>
      <c r="K3486" s="182" t="n">
        <v>4.76</v>
      </c>
      <c r="L3486" s="182" t="n">
        <v>12</v>
      </c>
      <c r="M3486" s="182" t="n">
        <v>6.47</v>
      </c>
      <c r="N3486" s="182" t="n">
        <v>0</v>
      </c>
      <c r="O3486" s="183" t="n">
        <v>12</v>
      </c>
      <c r="P3486" s="183" t="n">
        <v>0</v>
      </c>
      <c r="Q3486" s="184" t="n">
        <v>244.8</v>
      </c>
      <c r="R3486" s="184" t="n">
        <v>0</v>
      </c>
      <c r="S3486" s="183" t="n">
        <v>0</v>
      </c>
      <c r="T3486" s="183" t="n">
        <v>0</v>
      </c>
      <c r="U3486" s="182" t="n">
        <v>0</v>
      </c>
      <c r="V3486" s="182" t="n">
        <v>0</v>
      </c>
      <c r="W3486" s="182" t="n">
        <v>0</v>
      </c>
      <c r="X3486" s="182" t="n">
        <v>0.99</v>
      </c>
      <c r="Y3486" s="182" t="n">
        <v>0</v>
      </c>
      <c r="Z3486" s="182" t="n">
        <v>0</v>
      </c>
      <c r="AA3486" s="182" t="n">
        <v>0</v>
      </c>
      <c r="AB3486" s="182" t="n">
        <v>0</v>
      </c>
      <c r="AC3486" s="182" t="n">
        <v>0</v>
      </c>
      <c r="AD3486" s="182" t="n">
        <v>0</v>
      </c>
      <c r="AE3486" s="182" t="n">
        <v>0</v>
      </c>
      <c r="AF3486" s="182" t="n">
        <v>0</v>
      </c>
      <c r="AG3486" s="182" t="n">
        <v>0</v>
      </c>
      <c r="AH3486" s="182" t="n">
        <v>0.1</v>
      </c>
      <c r="AI3486" s="182" t="n">
        <v>0</v>
      </c>
      <c r="AJ3486" s="182" t="n">
        <v>0</v>
      </c>
      <c r="AK3486" s="182" t="n">
        <v>3.6</v>
      </c>
      <c r="AL3486" s="182" t="n">
        <v>0</v>
      </c>
      <c r="AM3486" s="182" t="n">
        <v>0.08</v>
      </c>
      <c r="AN3486" s="182" t="n">
        <v>0</v>
      </c>
    </row>
    <row r="3487">
      <c r="A3487" s="155" t="n">
        <v>46097</v>
      </c>
      <c r="B3487" s="156" t="inlineStr">
        <is>
          <t>NS</t>
        </is>
      </c>
      <c r="C3487" s="156" t="inlineStr">
        <is>
          <t>DT-518</t>
        </is>
      </c>
      <c r="D3487" s="156" t="inlineStr">
        <is>
          <t>SKT 105S</t>
        </is>
      </c>
      <c r="E3487" s="156" t="inlineStr">
        <is>
          <t>Hauler</t>
        </is>
      </c>
      <c r="F3487" s="156" t="inlineStr">
        <is>
          <t>Hauling OB &amp; Coal</t>
        </is>
      </c>
      <c r="G3487" s="182" t="n">
        <v>8.16</v>
      </c>
      <c r="H3487" s="182" t="n">
        <v>0</v>
      </c>
      <c r="I3487" s="182" t="n">
        <v>0.87</v>
      </c>
      <c r="J3487" s="182" t="n">
        <v>0.87</v>
      </c>
      <c r="K3487" s="182" t="n">
        <v>2.97</v>
      </c>
      <c r="L3487" s="182" t="n">
        <v>12</v>
      </c>
      <c r="M3487" s="182" t="n">
        <v>0.97</v>
      </c>
      <c r="N3487" s="182" t="n">
        <v>7.19</v>
      </c>
      <c r="O3487" s="183" t="n">
        <v>4</v>
      </c>
      <c r="P3487" s="183" t="n">
        <v>16</v>
      </c>
      <c r="Q3487" s="184" t="n">
        <v>81.59999999999999</v>
      </c>
      <c r="R3487" s="184" t="n">
        <v>299.2</v>
      </c>
      <c r="S3487" s="183" t="n">
        <v>0</v>
      </c>
      <c r="T3487" s="183" t="n">
        <v>0</v>
      </c>
      <c r="U3487" s="182" t="n">
        <v>0</v>
      </c>
      <c r="V3487" s="182" t="n">
        <v>0</v>
      </c>
      <c r="W3487" s="182" t="n">
        <v>0</v>
      </c>
      <c r="X3487" s="182" t="n">
        <v>0.89</v>
      </c>
      <c r="Y3487" s="182" t="n">
        <v>0</v>
      </c>
      <c r="Z3487" s="182" t="n">
        <v>0</v>
      </c>
      <c r="AA3487" s="182" t="n">
        <v>0</v>
      </c>
      <c r="AB3487" s="182" t="n">
        <v>0</v>
      </c>
      <c r="AC3487" s="182" t="n">
        <v>0</v>
      </c>
      <c r="AD3487" s="182" t="n">
        <v>0</v>
      </c>
      <c r="AE3487" s="182" t="n">
        <v>0</v>
      </c>
      <c r="AF3487" s="182" t="n">
        <v>0</v>
      </c>
      <c r="AG3487" s="182" t="n">
        <v>0</v>
      </c>
      <c r="AH3487" s="182" t="n">
        <v>0.45</v>
      </c>
      <c r="AI3487" s="182" t="n">
        <v>0</v>
      </c>
      <c r="AJ3487" s="182" t="n">
        <v>0</v>
      </c>
      <c r="AK3487" s="182" t="n">
        <v>1.56</v>
      </c>
      <c r="AL3487" s="182" t="n">
        <v>0</v>
      </c>
      <c r="AM3487" s="182" t="n">
        <v>0.07000000000000001</v>
      </c>
      <c r="AN3487" s="182" t="n">
        <v>0</v>
      </c>
    </row>
    <row r="3488">
      <c r="A3488" s="155" t="n">
        <v>46097</v>
      </c>
      <c r="B3488" s="156" t="inlineStr">
        <is>
          <t>NS</t>
        </is>
      </c>
      <c r="C3488" s="156" t="inlineStr">
        <is>
          <t>DT-514</t>
        </is>
      </c>
      <c r="D3488" s="156" t="inlineStr">
        <is>
          <t>SKT 105S</t>
        </is>
      </c>
      <c r="E3488" s="156" t="inlineStr">
        <is>
          <t>Hauler</t>
        </is>
      </c>
      <c r="F3488" s="156" t="inlineStr">
        <is>
          <t>Hauling OB</t>
        </is>
      </c>
      <c r="G3488" s="182" t="n">
        <v>4.7</v>
      </c>
      <c r="H3488" s="182" t="n">
        <v>0</v>
      </c>
      <c r="I3488" s="182" t="n">
        <v>0</v>
      </c>
      <c r="J3488" s="182" t="n">
        <v>0</v>
      </c>
      <c r="K3488" s="182" t="n">
        <v>7.3</v>
      </c>
      <c r="L3488" s="182" t="n">
        <v>12</v>
      </c>
      <c r="M3488" s="182" t="n">
        <v>4.7</v>
      </c>
      <c r="N3488" s="182" t="n">
        <v>0</v>
      </c>
      <c r="O3488" s="183" t="n">
        <v>16</v>
      </c>
      <c r="P3488" s="183" t="n">
        <v>0</v>
      </c>
      <c r="Q3488" s="184" t="n">
        <v>326.4</v>
      </c>
      <c r="R3488" s="184" t="n">
        <v>0</v>
      </c>
      <c r="S3488" s="183" t="n">
        <v>0</v>
      </c>
      <c r="T3488" s="183" t="n">
        <v>0</v>
      </c>
      <c r="U3488" s="182" t="n">
        <v>0</v>
      </c>
      <c r="V3488" s="182" t="n">
        <v>0</v>
      </c>
      <c r="W3488" s="182" t="n">
        <v>0</v>
      </c>
      <c r="X3488" s="182" t="n">
        <v>0.99</v>
      </c>
      <c r="Y3488" s="182" t="n">
        <v>0</v>
      </c>
      <c r="Z3488" s="182" t="n">
        <v>0</v>
      </c>
      <c r="AA3488" s="182" t="n">
        <v>0</v>
      </c>
      <c r="AB3488" s="182" t="n">
        <v>0</v>
      </c>
      <c r="AC3488" s="182" t="n">
        <v>0</v>
      </c>
      <c r="AD3488" s="182" t="n">
        <v>0</v>
      </c>
      <c r="AE3488" s="182" t="n">
        <v>0</v>
      </c>
      <c r="AF3488" s="182" t="n">
        <v>0</v>
      </c>
      <c r="AG3488" s="182" t="n">
        <v>0</v>
      </c>
      <c r="AH3488" s="182" t="n">
        <v>0</v>
      </c>
      <c r="AI3488" s="182" t="n">
        <v>1.48</v>
      </c>
      <c r="AJ3488" s="182" t="n">
        <v>0</v>
      </c>
      <c r="AK3488" s="182" t="n">
        <v>4.36</v>
      </c>
      <c r="AL3488" s="182" t="n">
        <v>0.39</v>
      </c>
      <c r="AM3488" s="182" t="n">
        <v>0.08</v>
      </c>
      <c r="AN3488" s="182" t="n">
        <v>0</v>
      </c>
    </row>
    <row r="3489">
      <c r="A3489" s="155" t="n">
        <v>46097</v>
      </c>
      <c r="B3489" s="156" t="inlineStr">
        <is>
          <t>NS</t>
        </is>
      </c>
      <c r="C3489" s="156" t="inlineStr">
        <is>
          <t>DT-523</t>
        </is>
      </c>
      <c r="D3489" s="156" t="inlineStr">
        <is>
          <t>SKT 105S</t>
        </is>
      </c>
      <c r="E3489" s="156" t="inlineStr">
        <is>
          <t>Hauler</t>
        </is>
      </c>
      <c r="F3489" s="156" t="inlineStr">
        <is>
          <t>Hauling OB</t>
        </is>
      </c>
      <c r="G3489" s="182" t="n">
        <v>5.77</v>
      </c>
      <c r="H3489" s="182" t="n">
        <v>0</v>
      </c>
      <c r="I3489" s="182" t="n">
        <v>0</v>
      </c>
      <c r="J3489" s="182" t="n">
        <v>0</v>
      </c>
      <c r="K3489" s="182" t="n">
        <v>6.23</v>
      </c>
      <c r="L3489" s="182" t="n">
        <v>12</v>
      </c>
      <c r="M3489" s="182" t="n">
        <v>5.64</v>
      </c>
      <c r="N3489" s="182" t="n">
        <v>0</v>
      </c>
      <c r="O3489" s="183" t="n">
        <v>19</v>
      </c>
      <c r="P3489" s="183" t="n">
        <v>0</v>
      </c>
      <c r="Q3489" s="184" t="n">
        <v>387.6</v>
      </c>
      <c r="R3489" s="184" t="n">
        <v>0</v>
      </c>
      <c r="S3489" s="183" t="n">
        <v>0</v>
      </c>
      <c r="T3489" s="183" t="n">
        <v>0</v>
      </c>
      <c r="U3489" s="182" t="n">
        <v>0</v>
      </c>
      <c r="V3489" s="182" t="n">
        <v>0</v>
      </c>
      <c r="W3489" s="182" t="n">
        <v>0</v>
      </c>
      <c r="X3489" s="182" t="n">
        <v>0.96</v>
      </c>
      <c r="Y3489" s="182" t="n">
        <v>0</v>
      </c>
      <c r="Z3489" s="182" t="n">
        <v>0.07000000000000001</v>
      </c>
      <c r="AA3489" s="182" t="n">
        <v>0</v>
      </c>
      <c r="AB3489" s="182" t="n">
        <v>0</v>
      </c>
      <c r="AC3489" s="182" t="n">
        <v>0</v>
      </c>
      <c r="AD3489" s="182" t="n">
        <v>0</v>
      </c>
      <c r="AE3489" s="182" t="n">
        <v>0</v>
      </c>
      <c r="AF3489" s="182" t="n">
        <v>0</v>
      </c>
      <c r="AG3489" s="182" t="n">
        <v>0</v>
      </c>
      <c r="AH3489" s="182" t="n">
        <v>0.41</v>
      </c>
      <c r="AI3489" s="182" t="n">
        <v>0</v>
      </c>
      <c r="AJ3489" s="182" t="n">
        <v>0</v>
      </c>
      <c r="AK3489" s="182" t="n">
        <v>4.72</v>
      </c>
      <c r="AL3489" s="182" t="n">
        <v>0</v>
      </c>
      <c r="AM3489" s="182" t="n">
        <v>0.08</v>
      </c>
      <c r="AN3489" s="182" t="n">
        <v>0</v>
      </c>
    </row>
    <row r="3490">
      <c r="A3490" s="155" t="n">
        <v>46097</v>
      </c>
      <c r="B3490" s="156" t="inlineStr">
        <is>
          <t>NS</t>
        </is>
      </c>
      <c r="C3490" s="156" t="inlineStr">
        <is>
          <t>DT-519</t>
        </is>
      </c>
      <c r="D3490" s="156" t="inlineStr">
        <is>
          <t>SKT 105S</t>
        </is>
      </c>
      <c r="E3490" s="156" t="inlineStr">
        <is>
          <t>Hauler</t>
        </is>
      </c>
      <c r="F3490" s="156" t="inlineStr"/>
      <c r="G3490" s="182" t="n">
        <v>0</v>
      </c>
      <c r="H3490" s="182" t="n">
        <v>0</v>
      </c>
      <c r="I3490" s="182" t="n">
        <v>0</v>
      </c>
      <c r="J3490" s="182" t="n">
        <v>0</v>
      </c>
      <c r="K3490" s="182" t="n">
        <v>12</v>
      </c>
      <c r="L3490" s="182" t="n">
        <v>12</v>
      </c>
      <c r="M3490" s="182" t="n">
        <v>0</v>
      </c>
      <c r="N3490" s="182" t="n">
        <v>0</v>
      </c>
      <c r="O3490" s="183" t="n">
        <v>0</v>
      </c>
      <c r="P3490" s="183" t="n">
        <v>0</v>
      </c>
      <c r="Q3490" s="184" t="n">
        <v>0</v>
      </c>
      <c r="R3490" s="184" t="n">
        <v>0</v>
      </c>
      <c r="S3490" s="183" t="n">
        <v>0</v>
      </c>
      <c r="T3490" s="183" t="n">
        <v>0</v>
      </c>
      <c r="U3490" s="182" t="n">
        <v>0</v>
      </c>
      <c r="V3490" s="182" t="n">
        <v>0</v>
      </c>
      <c r="W3490" s="182" t="n">
        <v>0</v>
      </c>
      <c r="X3490" s="182" t="n">
        <v>1</v>
      </c>
      <c r="Y3490" s="182" t="n">
        <v>0</v>
      </c>
      <c r="Z3490" s="182" t="n">
        <v>0</v>
      </c>
      <c r="AA3490" s="182" t="n">
        <v>0</v>
      </c>
      <c r="AB3490" s="182" t="n">
        <v>0</v>
      </c>
      <c r="AC3490" s="182" t="n">
        <v>0</v>
      </c>
      <c r="AD3490" s="182" t="n">
        <v>0</v>
      </c>
      <c r="AE3490" s="182" t="n">
        <v>0</v>
      </c>
      <c r="AF3490" s="182" t="n">
        <v>0</v>
      </c>
      <c r="AG3490" s="182" t="n">
        <v>0</v>
      </c>
      <c r="AH3490" s="182" t="n">
        <v>0</v>
      </c>
      <c r="AI3490" s="182" t="n">
        <v>0</v>
      </c>
      <c r="AJ3490" s="182" t="n">
        <v>0</v>
      </c>
      <c r="AK3490" s="182" t="n">
        <v>10.92</v>
      </c>
      <c r="AL3490" s="182" t="n">
        <v>0</v>
      </c>
      <c r="AM3490" s="182" t="n">
        <v>0.08</v>
      </c>
      <c r="AN3490" s="182" t="n">
        <v>0</v>
      </c>
    </row>
    <row r="3491">
      <c r="A3491" s="155" t="n">
        <v>46097</v>
      </c>
      <c r="B3491" s="156" t="inlineStr">
        <is>
          <t>NS</t>
        </is>
      </c>
      <c r="C3491" s="156" t="inlineStr">
        <is>
          <t>DT-527</t>
        </is>
      </c>
      <c r="D3491" s="156" t="inlineStr">
        <is>
          <t>SKT 105S</t>
        </is>
      </c>
      <c r="E3491" s="156" t="inlineStr">
        <is>
          <t>Hauler</t>
        </is>
      </c>
      <c r="F3491" s="156" t="inlineStr">
        <is>
          <t>Hauling OB</t>
        </is>
      </c>
      <c r="G3491" s="182" t="n">
        <v>9.51</v>
      </c>
      <c r="H3491" s="182" t="n">
        <v>0</v>
      </c>
      <c r="I3491" s="182" t="n">
        <v>0.08</v>
      </c>
      <c r="J3491" s="182" t="n">
        <v>0.08</v>
      </c>
      <c r="K3491" s="182" t="n">
        <v>2.41</v>
      </c>
      <c r="L3491" s="182" t="n">
        <v>12</v>
      </c>
      <c r="M3491" s="182" t="n">
        <v>9.51</v>
      </c>
      <c r="N3491" s="182" t="n">
        <v>0</v>
      </c>
      <c r="O3491" s="183" t="n">
        <v>34</v>
      </c>
      <c r="P3491" s="183" t="n">
        <v>0</v>
      </c>
      <c r="Q3491" s="184" t="n">
        <v>693.6</v>
      </c>
      <c r="R3491" s="184" t="n">
        <v>0</v>
      </c>
      <c r="S3491" s="183" t="n">
        <v>0</v>
      </c>
      <c r="T3491" s="183" t="n">
        <v>0</v>
      </c>
      <c r="U3491" s="182" t="n">
        <v>0</v>
      </c>
      <c r="V3491" s="182" t="n">
        <v>0</v>
      </c>
      <c r="W3491" s="182" t="n">
        <v>0</v>
      </c>
      <c r="X3491" s="182" t="n">
        <v>1.26</v>
      </c>
      <c r="Y3491" s="182" t="n">
        <v>0</v>
      </c>
      <c r="Z3491" s="182" t="n">
        <v>0.09</v>
      </c>
      <c r="AA3491" s="182" t="n">
        <v>0</v>
      </c>
      <c r="AB3491" s="182" t="n">
        <v>0</v>
      </c>
      <c r="AC3491" s="182" t="n">
        <v>0</v>
      </c>
      <c r="AD3491" s="182" t="n">
        <v>0</v>
      </c>
      <c r="AE3491" s="182" t="n">
        <v>0</v>
      </c>
      <c r="AF3491" s="182" t="n">
        <v>0</v>
      </c>
      <c r="AG3491" s="182" t="n">
        <v>0</v>
      </c>
      <c r="AH3491" s="182" t="n">
        <v>0.97</v>
      </c>
      <c r="AI3491" s="182" t="n">
        <v>0</v>
      </c>
      <c r="AJ3491" s="182" t="n">
        <v>0</v>
      </c>
      <c r="AK3491" s="182" t="n">
        <v>0</v>
      </c>
      <c r="AL3491" s="182" t="n">
        <v>0</v>
      </c>
      <c r="AM3491" s="182" t="n">
        <v>0.1</v>
      </c>
      <c r="AN3491" s="182" t="n">
        <v>0</v>
      </c>
    </row>
    <row r="3492">
      <c r="A3492" s="155" t="n">
        <v>46097</v>
      </c>
      <c r="B3492" s="156" t="inlineStr">
        <is>
          <t>NS</t>
        </is>
      </c>
      <c r="C3492" s="156" t="inlineStr">
        <is>
          <t>DT-513</t>
        </is>
      </c>
      <c r="D3492" s="156" t="inlineStr">
        <is>
          <t>SKT 105S</t>
        </is>
      </c>
      <c r="E3492" s="156" t="inlineStr">
        <is>
          <t>Hauler</t>
        </is>
      </c>
      <c r="F3492" s="156" t="inlineStr">
        <is>
          <t>Hauling Coal &amp; OB</t>
        </is>
      </c>
      <c r="G3492" s="182" t="n">
        <v>5.9</v>
      </c>
      <c r="H3492" s="182" t="n">
        <v>0</v>
      </c>
      <c r="I3492" s="182" t="n">
        <v>0</v>
      </c>
      <c r="J3492" s="182" t="n">
        <v>0</v>
      </c>
      <c r="K3492" s="182" t="n">
        <v>6.1</v>
      </c>
      <c r="L3492" s="182" t="n">
        <v>12</v>
      </c>
      <c r="M3492" s="182" t="n">
        <v>2.37</v>
      </c>
      <c r="N3492" s="182" t="n">
        <v>3.53</v>
      </c>
      <c r="O3492" s="183" t="n">
        <v>11</v>
      </c>
      <c r="P3492" s="183" t="n">
        <v>10</v>
      </c>
      <c r="Q3492" s="184" t="n">
        <v>224.4</v>
      </c>
      <c r="R3492" s="184" t="n">
        <v>187</v>
      </c>
      <c r="S3492" s="183" t="n">
        <v>0</v>
      </c>
      <c r="T3492" s="183" t="n">
        <v>0</v>
      </c>
      <c r="U3492" s="182" t="n">
        <v>0</v>
      </c>
      <c r="V3492" s="182" t="n">
        <v>0</v>
      </c>
      <c r="W3492" s="182" t="n">
        <v>0</v>
      </c>
      <c r="X3492" s="182" t="n">
        <v>0.98</v>
      </c>
      <c r="Y3492" s="182" t="n">
        <v>0</v>
      </c>
      <c r="Z3492" s="182" t="n">
        <v>0.07000000000000001</v>
      </c>
      <c r="AA3492" s="182" t="n">
        <v>0</v>
      </c>
      <c r="AB3492" s="182" t="n">
        <v>0</v>
      </c>
      <c r="AC3492" s="182" t="n">
        <v>0</v>
      </c>
      <c r="AD3492" s="182" t="n">
        <v>0</v>
      </c>
      <c r="AE3492" s="182" t="n">
        <v>0</v>
      </c>
      <c r="AF3492" s="182" t="n">
        <v>0</v>
      </c>
      <c r="AG3492" s="182" t="n">
        <v>0</v>
      </c>
      <c r="AH3492" s="182" t="n">
        <v>0.49</v>
      </c>
      <c r="AI3492" s="182" t="n">
        <v>0</v>
      </c>
      <c r="AJ3492" s="182" t="n">
        <v>0</v>
      </c>
      <c r="AK3492" s="182" t="n">
        <v>4.48</v>
      </c>
      <c r="AL3492" s="182" t="n">
        <v>0</v>
      </c>
      <c r="AM3492" s="182" t="n">
        <v>0.08</v>
      </c>
      <c r="AN3492" s="182" t="n">
        <v>0</v>
      </c>
    </row>
    <row r="3493">
      <c r="A3493" s="155" t="n">
        <v>46097</v>
      </c>
      <c r="B3493" s="156" t="inlineStr">
        <is>
          <t>NS</t>
        </is>
      </c>
      <c r="C3493" s="156" t="inlineStr">
        <is>
          <t>DT-512</t>
        </is>
      </c>
      <c r="D3493" s="156" t="inlineStr">
        <is>
          <t>SKT 105S</t>
        </is>
      </c>
      <c r="E3493" s="156" t="inlineStr">
        <is>
          <t>Hauler</t>
        </is>
      </c>
      <c r="F3493" s="156" t="inlineStr">
        <is>
          <t>Hauling OB</t>
        </is>
      </c>
      <c r="G3493" s="182" t="n">
        <v>9.49</v>
      </c>
      <c r="H3493" s="182" t="n">
        <v>0</v>
      </c>
      <c r="I3493" s="182" t="n">
        <v>0</v>
      </c>
      <c r="J3493" s="182" t="n">
        <v>0</v>
      </c>
      <c r="K3493" s="182" t="n">
        <v>2.51</v>
      </c>
      <c r="L3493" s="182" t="n">
        <v>12</v>
      </c>
      <c r="M3493" s="182" t="n">
        <v>9.17</v>
      </c>
      <c r="N3493" s="182" t="n">
        <v>0.33</v>
      </c>
      <c r="O3493" s="183" t="n">
        <v>26</v>
      </c>
      <c r="P3493" s="183" t="n">
        <v>1</v>
      </c>
      <c r="Q3493" s="184" t="n">
        <v>530.4</v>
      </c>
      <c r="R3493" s="184" t="n">
        <v>18.7</v>
      </c>
      <c r="S3493" s="183" t="n">
        <v>0</v>
      </c>
      <c r="T3493" s="183" t="n">
        <v>0</v>
      </c>
      <c r="U3493" s="182" t="n">
        <v>0</v>
      </c>
      <c r="V3493" s="182" t="n">
        <v>0</v>
      </c>
      <c r="W3493" s="182" t="n">
        <v>0</v>
      </c>
      <c r="X3493" s="182" t="n">
        <v>1.05</v>
      </c>
      <c r="Y3493" s="182" t="n">
        <v>0</v>
      </c>
      <c r="Z3493" s="182" t="n">
        <v>0.07000000000000001</v>
      </c>
      <c r="AA3493" s="182" t="n">
        <v>0</v>
      </c>
      <c r="AB3493" s="182" t="n">
        <v>0</v>
      </c>
      <c r="AC3493" s="182" t="n">
        <v>0</v>
      </c>
      <c r="AD3493" s="182" t="n">
        <v>0</v>
      </c>
      <c r="AE3493" s="182" t="n">
        <v>0</v>
      </c>
      <c r="AF3493" s="182" t="n">
        <v>0</v>
      </c>
      <c r="AG3493" s="182" t="n">
        <v>0.78</v>
      </c>
      <c r="AH3493" s="182" t="n">
        <v>0.52</v>
      </c>
      <c r="AI3493" s="182" t="n">
        <v>0</v>
      </c>
      <c r="AJ3493" s="182" t="n">
        <v>0</v>
      </c>
      <c r="AK3493" s="182" t="n">
        <v>0</v>
      </c>
      <c r="AL3493" s="182" t="n">
        <v>0</v>
      </c>
      <c r="AM3493" s="182" t="n">
        <v>0.08</v>
      </c>
      <c r="AN3493" s="182" t="n">
        <v>0</v>
      </c>
    </row>
    <row r="3494">
      <c r="A3494" s="155" t="n">
        <v>46097</v>
      </c>
      <c r="B3494" s="156" t="inlineStr">
        <is>
          <t>NS</t>
        </is>
      </c>
      <c r="C3494" s="156" t="inlineStr">
        <is>
          <t>DT-522</t>
        </is>
      </c>
      <c r="D3494" s="156" t="inlineStr">
        <is>
          <t>SKT 105S</t>
        </is>
      </c>
      <c r="E3494" s="156" t="inlineStr">
        <is>
          <t>Hauler</t>
        </is>
      </c>
      <c r="F3494" s="156" t="inlineStr"/>
      <c r="G3494" s="182" t="n">
        <v>0</v>
      </c>
      <c r="H3494" s="182" t="n">
        <v>12</v>
      </c>
      <c r="I3494" s="182" t="n">
        <v>0</v>
      </c>
      <c r="J3494" s="182" t="n">
        <v>12</v>
      </c>
      <c r="K3494" s="182" t="n">
        <v>0</v>
      </c>
      <c r="L3494" s="182" t="n">
        <v>12</v>
      </c>
      <c r="M3494" s="182" t="n">
        <v>0</v>
      </c>
      <c r="N3494" s="182" t="n">
        <v>0</v>
      </c>
      <c r="O3494" s="183" t="n">
        <v>0</v>
      </c>
      <c r="P3494" s="183" t="n">
        <v>0</v>
      </c>
      <c r="Q3494" s="184" t="n">
        <v>0</v>
      </c>
      <c r="R3494" s="184" t="n">
        <v>0</v>
      </c>
      <c r="S3494" s="183" t="n">
        <v>0</v>
      </c>
      <c r="T3494" s="183" t="n">
        <v>0</v>
      </c>
      <c r="U3494" s="182" t="n">
        <v>0</v>
      </c>
      <c r="V3494" s="182" t="n">
        <v>0</v>
      </c>
      <c r="W3494" s="182" t="n">
        <v>0</v>
      </c>
      <c r="X3494" s="182" t="n">
        <v>0</v>
      </c>
      <c r="Y3494" s="182" t="n">
        <v>0</v>
      </c>
      <c r="Z3494" s="182" t="n">
        <v>0</v>
      </c>
      <c r="AA3494" s="182" t="n">
        <v>0</v>
      </c>
      <c r="AB3494" s="182" t="n">
        <v>0</v>
      </c>
      <c r="AC3494" s="182" t="n">
        <v>0</v>
      </c>
      <c r="AD3494" s="182" t="n">
        <v>0</v>
      </c>
      <c r="AE3494" s="182" t="n">
        <v>0</v>
      </c>
      <c r="AF3494" s="182" t="n">
        <v>0</v>
      </c>
      <c r="AG3494" s="182" t="n">
        <v>0</v>
      </c>
      <c r="AH3494" s="182" t="n">
        <v>0</v>
      </c>
      <c r="AI3494" s="182" t="n">
        <v>0</v>
      </c>
      <c r="AJ3494" s="182" t="n">
        <v>0</v>
      </c>
      <c r="AK3494" s="182" t="n">
        <v>0</v>
      </c>
      <c r="AL3494" s="182" t="n">
        <v>0</v>
      </c>
      <c r="AM3494" s="182" t="n">
        <v>0</v>
      </c>
      <c r="AN3494" s="182" t="n">
        <v>0</v>
      </c>
    </row>
    <row r="3495">
      <c r="A3495" s="155" t="n">
        <v>46097</v>
      </c>
      <c r="B3495" s="156" t="inlineStr">
        <is>
          <t>NS</t>
        </is>
      </c>
      <c r="C3495" s="156" t="inlineStr">
        <is>
          <t>DT-517</t>
        </is>
      </c>
      <c r="D3495" s="156" t="inlineStr">
        <is>
          <t>SKT 105S</t>
        </is>
      </c>
      <c r="E3495" s="156" t="inlineStr">
        <is>
          <t>Hauler</t>
        </is>
      </c>
      <c r="F3495" s="156" t="inlineStr">
        <is>
          <t>Hauling OB</t>
        </is>
      </c>
      <c r="G3495" s="182" t="n">
        <v>7.69</v>
      </c>
      <c r="H3495" s="182" t="n">
        <v>0</v>
      </c>
      <c r="I3495" s="182" t="n">
        <v>0</v>
      </c>
      <c r="J3495" s="182" t="n">
        <v>0</v>
      </c>
      <c r="K3495" s="182" t="n">
        <v>4.31</v>
      </c>
      <c r="L3495" s="182" t="n">
        <v>12</v>
      </c>
      <c r="M3495" s="182" t="n">
        <v>7.69</v>
      </c>
      <c r="N3495" s="182" t="n">
        <v>0</v>
      </c>
      <c r="O3495" s="183" t="n">
        <v>21</v>
      </c>
      <c r="P3495" s="183" t="n">
        <v>0</v>
      </c>
      <c r="Q3495" s="184" t="n">
        <v>428.4</v>
      </c>
      <c r="R3495" s="184" t="n">
        <v>0</v>
      </c>
      <c r="S3495" s="183" t="n">
        <v>0</v>
      </c>
      <c r="T3495" s="183" t="n">
        <v>0</v>
      </c>
      <c r="U3495" s="182" t="n">
        <v>0</v>
      </c>
      <c r="V3495" s="182" t="n">
        <v>0</v>
      </c>
      <c r="W3495" s="182" t="n">
        <v>0</v>
      </c>
      <c r="X3495" s="182" t="n">
        <v>1.05</v>
      </c>
      <c r="Y3495" s="182" t="n">
        <v>0</v>
      </c>
      <c r="Z3495" s="182" t="n">
        <v>0.07000000000000001</v>
      </c>
      <c r="AA3495" s="182" t="n">
        <v>0</v>
      </c>
      <c r="AB3495" s="182" t="n">
        <v>0</v>
      </c>
      <c r="AC3495" s="182" t="n">
        <v>0</v>
      </c>
      <c r="AD3495" s="182" t="n">
        <v>0</v>
      </c>
      <c r="AE3495" s="182" t="n">
        <v>0</v>
      </c>
      <c r="AF3495" s="182" t="n">
        <v>0</v>
      </c>
      <c r="AG3495" s="182" t="n">
        <v>0.79</v>
      </c>
      <c r="AH3495" s="182" t="n">
        <v>0.32</v>
      </c>
      <c r="AI3495" s="182" t="n">
        <v>1.58</v>
      </c>
      <c r="AJ3495" s="182" t="n">
        <v>0</v>
      </c>
      <c r="AK3495" s="182" t="n">
        <v>0</v>
      </c>
      <c r="AL3495" s="182" t="n">
        <v>0.42</v>
      </c>
      <c r="AM3495" s="182" t="n">
        <v>0.08</v>
      </c>
      <c r="AN3495" s="182" t="n">
        <v>0</v>
      </c>
    </row>
    <row r="3496">
      <c r="A3496" s="155" t="n">
        <v>46097</v>
      </c>
      <c r="B3496" s="156" t="inlineStr">
        <is>
          <t>NS</t>
        </is>
      </c>
      <c r="C3496" s="156" t="inlineStr">
        <is>
          <t>DT-510</t>
        </is>
      </c>
      <c r="D3496" s="156" t="inlineStr">
        <is>
          <t>SKT 105S</t>
        </is>
      </c>
      <c r="E3496" s="156" t="inlineStr">
        <is>
          <t>Hauler</t>
        </is>
      </c>
      <c r="F3496" s="156" t="inlineStr">
        <is>
          <t>Hauling OB</t>
        </is>
      </c>
      <c r="G3496" s="182" t="n">
        <v>8.15</v>
      </c>
      <c r="H3496" s="182" t="n">
        <v>0</v>
      </c>
      <c r="I3496" s="182" t="n">
        <v>0.58</v>
      </c>
      <c r="J3496" s="182" t="n">
        <v>0.58</v>
      </c>
      <c r="K3496" s="182" t="n">
        <v>3.27</v>
      </c>
      <c r="L3496" s="182" t="n">
        <v>12</v>
      </c>
      <c r="M3496" s="182" t="n">
        <v>7.14</v>
      </c>
      <c r="N3496" s="182" t="n">
        <v>1.01</v>
      </c>
      <c r="O3496" s="183" t="n">
        <v>23</v>
      </c>
      <c r="P3496" s="183" t="n">
        <v>3</v>
      </c>
      <c r="Q3496" s="184" t="n">
        <v>469.2</v>
      </c>
      <c r="R3496" s="184" t="n">
        <v>56.1</v>
      </c>
      <c r="S3496" s="183" t="n">
        <v>0</v>
      </c>
      <c r="T3496" s="183" t="n">
        <v>0</v>
      </c>
      <c r="U3496" s="182" t="n">
        <v>0</v>
      </c>
      <c r="V3496" s="182" t="n">
        <v>0</v>
      </c>
      <c r="W3496" s="182" t="n">
        <v>0</v>
      </c>
      <c r="X3496" s="182" t="n">
        <v>0.98</v>
      </c>
      <c r="Y3496" s="182" t="n">
        <v>0</v>
      </c>
      <c r="Z3496" s="182" t="n">
        <v>0</v>
      </c>
      <c r="AA3496" s="182" t="n">
        <v>0</v>
      </c>
      <c r="AB3496" s="182" t="n">
        <v>0</v>
      </c>
      <c r="AC3496" s="182" t="n">
        <v>0</v>
      </c>
      <c r="AD3496" s="182" t="n">
        <v>0</v>
      </c>
      <c r="AE3496" s="182" t="n">
        <v>0</v>
      </c>
      <c r="AF3496" s="182" t="n">
        <v>0</v>
      </c>
      <c r="AG3496" s="182" t="n">
        <v>0</v>
      </c>
      <c r="AH3496" s="182" t="n">
        <v>0.49</v>
      </c>
      <c r="AI3496" s="182" t="n">
        <v>0</v>
      </c>
      <c r="AJ3496" s="182" t="n">
        <v>0</v>
      </c>
      <c r="AK3496" s="182" t="n">
        <v>1.7</v>
      </c>
      <c r="AL3496" s="182" t="n">
        <v>0</v>
      </c>
      <c r="AM3496" s="182" t="n">
        <v>0.08</v>
      </c>
      <c r="AN3496" s="182" t="n">
        <v>0</v>
      </c>
    </row>
    <row r="3497">
      <c r="A3497" s="155" t="n">
        <v>46097</v>
      </c>
      <c r="B3497" s="156" t="inlineStr">
        <is>
          <t>NS</t>
        </is>
      </c>
      <c r="C3497" s="156" t="inlineStr">
        <is>
          <t>DT-521</t>
        </is>
      </c>
      <c r="D3497" s="156" t="inlineStr">
        <is>
          <t>SKT 105S</t>
        </is>
      </c>
      <c r="E3497" s="156" t="inlineStr">
        <is>
          <t>Hauler</t>
        </is>
      </c>
      <c r="F3497" s="156" t="inlineStr">
        <is>
          <t>Hauling OB</t>
        </is>
      </c>
      <c r="G3497" s="182" t="n">
        <v>8.31</v>
      </c>
      <c r="H3497" s="182" t="n">
        <v>0</v>
      </c>
      <c r="I3497" s="182" t="n">
        <v>0</v>
      </c>
      <c r="J3497" s="182" t="n">
        <v>0</v>
      </c>
      <c r="K3497" s="182" t="n">
        <v>3.69</v>
      </c>
      <c r="L3497" s="182" t="n">
        <v>12</v>
      </c>
      <c r="M3497" s="182" t="n">
        <v>8.31</v>
      </c>
      <c r="N3497" s="182" t="n">
        <v>0</v>
      </c>
      <c r="O3497" s="183" t="n">
        <v>21</v>
      </c>
      <c r="P3497" s="183" t="n">
        <v>0</v>
      </c>
      <c r="Q3497" s="184" t="n">
        <v>428.4</v>
      </c>
      <c r="R3497" s="184" t="n">
        <v>0</v>
      </c>
      <c r="S3497" s="183" t="n">
        <v>0</v>
      </c>
      <c r="T3497" s="183" t="n">
        <v>0</v>
      </c>
      <c r="U3497" s="182" t="n">
        <v>0</v>
      </c>
      <c r="V3497" s="182" t="n">
        <v>0</v>
      </c>
      <c r="W3497" s="182" t="n">
        <v>0</v>
      </c>
      <c r="X3497" s="182" t="n">
        <v>0.88</v>
      </c>
      <c r="Y3497" s="182" t="n">
        <v>0</v>
      </c>
      <c r="Z3497" s="182" t="n">
        <v>0.06</v>
      </c>
      <c r="AA3497" s="182" t="n">
        <v>0</v>
      </c>
      <c r="AB3497" s="182" t="n">
        <v>0</v>
      </c>
      <c r="AC3497" s="182" t="n">
        <v>0</v>
      </c>
      <c r="AD3497" s="182" t="n">
        <v>0</v>
      </c>
      <c r="AE3497" s="182" t="n">
        <v>0</v>
      </c>
      <c r="AF3497" s="182" t="n">
        <v>0</v>
      </c>
      <c r="AG3497" s="182" t="n">
        <v>0.6899999999999999</v>
      </c>
      <c r="AH3497" s="182" t="n">
        <v>0.33</v>
      </c>
      <c r="AI3497" s="182" t="n">
        <v>1.32</v>
      </c>
      <c r="AJ3497" s="182" t="n">
        <v>0</v>
      </c>
      <c r="AK3497" s="182" t="n">
        <v>0</v>
      </c>
      <c r="AL3497" s="182" t="n">
        <v>0.35</v>
      </c>
      <c r="AM3497" s="182" t="n">
        <v>0.07000000000000001</v>
      </c>
      <c r="AN3497" s="182" t="n">
        <v>0</v>
      </c>
    </row>
    <row r="3498">
      <c r="A3498" s="155" t="n">
        <v>46097</v>
      </c>
      <c r="B3498" s="156" t="inlineStr">
        <is>
          <t>NS</t>
        </is>
      </c>
      <c r="C3498" s="156" t="inlineStr">
        <is>
          <t>DT-516</t>
        </is>
      </c>
      <c r="D3498" s="156" t="inlineStr">
        <is>
          <t>SKT 105S</t>
        </is>
      </c>
      <c r="E3498" s="156" t="inlineStr">
        <is>
          <t>Hauler</t>
        </is>
      </c>
      <c r="F3498" s="156" t="inlineStr">
        <is>
          <t>Hauling OB &amp; Coal</t>
        </is>
      </c>
      <c r="G3498" s="182" t="n">
        <v>10.21</v>
      </c>
      <c r="H3498" s="182" t="n">
        <v>0</v>
      </c>
      <c r="I3498" s="182" t="n">
        <v>0</v>
      </c>
      <c r="J3498" s="182" t="n">
        <v>0</v>
      </c>
      <c r="K3498" s="182" t="n">
        <v>1.79</v>
      </c>
      <c r="L3498" s="182" t="n">
        <v>12</v>
      </c>
      <c r="M3498" s="182" t="n">
        <v>0.6899999999999999</v>
      </c>
      <c r="N3498" s="182" t="n">
        <v>9.52</v>
      </c>
      <c r="O3498" s="183" t="n">
        <v>3</v>
      </c>
      <c r="P3498" s="183" t="n">
        <v>21</v>
      </c>
      <c r="Q3498" s="184" t="n">
        <v>61.2</v>
      </c>
      <c r="R3498" s="184" t="n">
        <v>392.7</v>
      </c>
      <c r="S3498" s="183" t="n">
        <v>0</v>
      </c>
      <c r="T3498" s="183" t="n">
        <v>0</v>
      </c>
      <c r="U3498" s="182" t="n">
        <v>0</v>
      </c>
      <c r="V3498" s="182" t="n">
        <v>0</v>
      </c>
      <c r="W3498" s="182" t="n">
        <v>0</v>
      </c>
      <c r="X3498" s="182" t="n">
        <v>1.12</v>
      </c>
      <c r="Y3498" s="182" t="n">
        <v>0</v>
      </c>
      <c r="Z3498" s="182" t="n">
        <v>0</v>
      </c>
      <c r="AA3498" s="182" t="n">
        <v>0</v>
      </c>
      <c r="AB3498" s="182" t="n">
        <v>0</v>
      </c>
      <c r="AC3498" s="182" t="n">
        <v>0</v>
      </c>
      <c r="AD3498" s="182" t="n">
        <v>0</v>
      </c>
      <c r="AE3498" s="182" t="n">
        <v>0</v>
      </c>
      <c r="AF3498" s="182" t="n">
        <v>0</v>
      </c>
      <c r="AG3498" s="182" t="n">
        <v>0</v>
      </c>
      <c r="AH3498" s="182" t="n">
        <v>0.58</v>
      </c>
      <c r="AI3498" s="182" t="n">
        <v>0</v>
      </c>
      <c r="AJ3498" s="182" t="n">
        <v>0</v>
      </c>
      <c r="AK3498" s="182" t="n">
        <v>0</v>
      </c>
      <c r="AL3498" s="182" t="n">
        <v>0</v>
      </c>
      <c r="AM3498" s="182" t="n">
        <v>0.09</v>
      </c>
      <c r="AN3498" s="182" t="n">
        <v>0</v>
      </c>
    </row>
    <row r="3499">
      <c r="A3499" s="155" t="n">
        <v>46097</v>
      </c>
      <c r="B3499" s="156" t="inlineStr">
        <is>
          <t>NS</t>
        </is>
      </c>
      <c r="C3499" s="156" t="inlineStr">
        <is>
          <t>DT-506</t>
        </is>
      </c>
      <c r="D3499" s="156" t="inlineStr">
        <is>
          <t>SKT 105S</t>
        </is>
      </c>
      <c r="E3499" s="156" t="inlineStr">
        <is>
          <t>Hauler</t>
        </is>
      </c>
      <c r="F3499" s="156" t="inlineStr">
        <is>
          <t>Hauling OB</t>
        </is>
      </c>
      <c r="G3499" s="182" t="n">
        <v>7.65</v>
      </c>
      <c r="H3499" s="182" t="n">
        <v>0</v>
      </c>
      <c r="I3499" s="182" t="n">
        <v>0</v>
      </c>
      <c r="J3499" s="182" t="n">
        <v>0</v>
      </c>
      <c r="K3499" s="182" t="n">
        <v>4.35</v>
      </c>
      <c r="L3499" s="182" t="n">
        <v>12</v>
      </c>
      <c r="M3499" s="182" t="n">
        <v>7.65</v>
      </c>
      <c r="N3499" s="182" t="n">
        <v>0</v>
      </c>
      <c r="O3499" s="183" t="n">
        <v>22</v>
      </c>
      <c r="P3499" s="183" t="n">
        <v>0</v>
      </c>
      <c r="Q3499" s="184" t="n">
        <v>448.8</v>
      </c>
      <c r="R3499" s="184" t="n">
        <v>0</v>
      </c>
      <c r="S3499" s="183" t="n">
        <v>0</v>
      </c>
      <c r="T3499" s="183" t="n">
        <v>0</v>
      </c>
      <c r="U3499" s="182" t="n">
        <v>0</v>
      </c>
      <c r="V3499" s="182" t="n">
        <v>0</v>
      </c>
      <c r="W3499" s="182" t="n">
        <v>0</v>
      </c>
      <c r="X3499" s="182" t="n">
        <v>1.06</v>
      </c>
      <c r="Y3499" s="182" t="n">
        <v>0</v>
      </c>
      <c r="Z3499" s="182" t="n">
        <v>0.07000000000000001</v>
      </c>
      <c r="AA3499" s="182" t="n">
        <v>0</v>
      </c>
      <c r="AB3499" s="182" t="n">
        <v>0</v>
      </c>
      <c r="AC3499" s="182" t="n">
        <v>0</v>
      </c>
      <c r="AD3499" s="182" t="n">
        <v>0</v>
      </c>
      <c r="AE3499" s="182" t="n">
        <v>0</v>
      </c>
      <c r="AF3499" s="182" t="n">
        <v>0</v>
      </c>
      <c r="AG3499" s="182" t="n">
        <v>0.67</v>
      </c>
      <c r="AH3499" s="182" t="n">
        <v>0.45</v>
      </c>
      <c r="AI3499" s="182" t="n">
        <v>1.59</v>
      </c>
      <c r="AJ3499" s="182" t="n">
        <v>0</v>
      </c>
      <c r="AK3499" s="182" t="n">
        <v>0</v>
      </c>
      <c r="AL3499" s="182" t="n">
        <v>0.42</v>
      </c>
      <c r="AM3499" s="182" t="n">
        <v>0.08</v>
      </c>
      <c r="AN3499" s="182" t="n">
        <v>0</v>
      </c>
    </row>
    <row r="3500">
      <c r="A3500" s="155" t="n">
        <v>46097</v>
      </c>
      <c r="B3500" s="156" t="inlineStr">
        <is>
          <t>NS</t>
        </is>
      </c>
      <c r="C3500" s="156" t="inlineStr">
        <is>
          <t>DT-502</t>
        </is>
      </c>
      <c r="D3500" s="156" t="inlineStr">
        <is>
          <t>SKT 105S</t>
        </is>
      </c>
      <c r="E3500" s="156" t="inlineStr">
        <is>
          <t>Hauler</t>
        </is>
      </c>
      <c r="F3500" s="156" t="inlineStr"/>
      <c r="G3500" s="182" t="n">
        <v>0</v>
      </c>
      <c r="H3500" s="182" t="n">
        <v>0</v>
      </c>
      <c r="I3500" s="182" t="n">
        <v>12</v>
      </c>
      <c r="J3500" s="182" t="n">
        <v>12</v>
      </c>
      <c r="K3500" s="182" t="n">
        <v>0</v>
      </c>
      <c r="L3500" s="182" t="n">
        <v>12</v>
      </c>
      <c r="M3500" s="182" t="n">
        <v>0</v>
      </c>
      <c r="N3500" s="182" t="n">
        <v>0</v>
      </c>
      <c r="O3500" s="183" t="n">
        <v>0</v>
      </c>
      <c r="P3500" s="183" t="n">
        <v>0</v>
      </c>
      <c r="Q3500" s="184" t="n">
        <v>0</v>
      </c>
      <c r="R3500" s="184" t="n">
        <v>0</v>
      </c>
      <c r="S3500" s="183" t="n">
        <v>0</v>
      </c>
      <c r="T3500" s="183" t="n">
        <v>0</v>
      </c>
      <c r="U3500" s="182" t="n">
        <v>0</v>
      </c>
      <c r="V3500" s="182" t="n">
        <v>0</v>
      </c>
      <c r="W3500" s="182" t="n">
        <v>0</v>
      </c>
      <c r="X3500" s="182" t="n">
        <v>0</v>
      </c>
      <c r="Y3500" s="182" t="n">
        <v>0</v>
      </c>
      <c r="Z3500" s="182" t="n">
        <v>0</v>
      </c>
      <c r="AA3500" s="182" t="n">
        <v>0</v>
      </c>
      <c r="AB3500" s="182" t="n">
        <v>0</v>
      </c>
      <c r="AC3500" s="182" t="n">
        <v>0</v>
      </c>
      <c r="AD3500" s="182" t="n">
        <v>0</v>
      </c>
      <c r="AE3500" s="182" t="n">
        <v>0</v>
      </c>
      <c r="AF3500" s="182" t="n">
        <v>0</v>
      </c>
      <c r="AG3500" s="182" t="n">
        <v>0</v>
      </c>
      <c r="AH3500" s="182" t="n">
        <v>0</v>
      </c>
      <c r="AI3500" s="182" t="n">
        <v>0</v>
      </c>
      <c r="AJ3500" s="182" t="n">
        <v>0</v>
      </c>
      <c r="AK3500" s="182" t="n">
        <v>0</v>
      </c>
      <c r="AL3500" s="182" t="n">
        <v>0</v>
      </c>
      <c r="AM3500" s="182" t="n">
        <v>0</v>
      </c>
      <c r="AN3500" s="182" t="n">
        <v>0</v>
      </c>
    </row>
    <row r="3501">
      <c r="A3501" s="155" t="n">
        <v>46097</v>
      </c>
      <c r="B3501" s="156" t="inlineStr">
        <is>
          <t>NS</t>
        </is>
      </c>
      <c r="C3501" s="156" t="inlineStr">
        <is>
          <t>DT-528</t>
        </is>
      </c>
      <c r="D3501" s="156" t="inlineStr">
        <is>
          <t>SKT 105S</t>
        </is>
      </c>
      <c r="E3501" s="156" t="inlineStr">
        <is>
          <t>Hauler</t>
        </is>
      </c>
      <c r="F3501" s="156" t="inlineStr"/>
      <c r="G3501" s="182" t="n">
        <v>0</v>
      </c>
      <c r="H3501" s="182" t="n">
        <v>12</v>
      </c>
      <c r="I3501" s="182" t="n">
        <v>0</v>
      </c>
      <c r="J3501" s="182" t="n">
        <v>12</v>
      </c>
      <c r="K3501" s="182" t="n">
        <v>0</v>
      </c>
      <c r="L3501" s="182" t="n">
        <v>12</v>
      </c>
      <c r="M3501" s="182" t="n">
        <v>0</v>
      </c>
      <c r="N3501" s="182" t="n">
        <v>0</v>
      </c>
      <c r="O3501" s="183" t="n">
        <v>0</v>
      </c>
      <c r="P3501" s="183" t="n">
        <v>0</v>
      </c>
      <c r="Q3501" s="184" t="n">
        <v>0</v>
      </c>
      <c r="R3501" s="184" t="n">
        <v>0</v>
      </c>
      <c r="S3501" s="183" t="n">
        <v>0</v>
      </c>
      <c r="T3501" s="183" t="n">
        <v>0</v>
      </c>
      <c r="U3501" s="182" t="n">
        <v>0</v>
      </c>
      <c r="V3501" s="182" t="n">
        <v>0</v>
      </c>
      <c r="W3501" s="182" t="n">
        <v>0</v>
      </c>
      <c r="X3501" s="182" t="n">
        <v>0</v>
      </c>
      <c r="Y3501" s="182" t="n">
        <v>0</v>
      </c>
      <c r="Z3501" s="182" t="n">
        <v>0</v>
      </c>
      <c r="AA3501" s="182" t="n">
        <v>0</v>
      </c>
      <c r="AB3501" s="182" t="n">
        <v>0</v>
      </c>
      <c r="AC3501" s="182" t="n">
        <v>0</v>
      </c>
      <c r="AD3501" s="182" t="n">
        <v>0</v>
      </c>
      <c r="AE3501" s="182" t="n">
        <v>0</v>
      </c>
      <c r="AF3501" s="182" t="n">
        <v>0</v>
      </c>
      <c r="AG3501" s="182" t="n">
        <v>0</v>
      </c>
      <c r="AH3501" s="182" t="n">
        <v>0</v>
      </c>
      <c r="AI3501" s="182" t="n">
        <v>0</v>
      </c>
      <c r="AJ3501" s="182" t="n">
        <v>0</v>
      </c>
      <c r="AK3501" s="182" t="n">
        <v>0</v>
      </c>
      <c r="AL3501" s="182" t="n">
        <v>0</v>
      </c>
      <c r="AM3501" s="182" t="n">
        <v>0</v>
      </c>
      <c r="AN3501" s="182" t="n">
        <v>0</v>
      </c>
    </row>
    <row r="3502">
      <c r="A3502" s="155" t="n">
        <v>46097</v>
      </c>
      <c r="B3502" s="156" t="inlineStr">
        <is>
          <t>NS</t>
        </is>
      </c>
      <c r="C3502" s="156" t="inlineStr">
        <is>
          <t>DT-529</t>
        </is>
      </c>
      <c r="D3502" s="156" t="inlineStr">
        <is>
          <t>SKT 105S</t>
        </is>
      </c>
      <c r="E3502" s="156" t="inlineStr">
        <is>
          <t>Hauler</t>
        </is>
      </c>
      <c r="F3502" s="156" t="inlineStr">
        <is>
          <t>Hauling OB &amp; Coal</t>
        </is>
      </c>
      <c r="G3502" s="182" t="n">
        <v>5.08</v>
      </c>
      <c r="H3502" s="182" t="n">
        <v>0</v>
      </c>
      <c r="I3502" s="182" t="n">
        <v>6.5</v>
      </c>
      <c r="J3502" s="182" t="n">
        <v>6.5</v>
      </c>
      <c r="K3502" s="182" t="n">
        <v>0.42</v>
      </c>
      <c r="L3502" s="182" t="n">
        <v>12</v>
      </c>
      <c r="M3502" s="182" t="n">
        <v>0.68</v>
      </c>
      <c r="N3502" s="182" t="n">
        <v>4.39</v>
      </c>
      <c r="O3502" s="183" t="n">
        <v>3</v>
      </c>
      <c r="P3502" s="183" t="n">
        <v>12</v>
      </c>
      <c r="Q3502" s="184" t="n">
        <v>61.2</v>
      </c>
      <c r="R3502" s="184" t="n">
        <v>224.4</v>
      </c>
      <c r="S3502" s="183" t="n">
        <v>0</v>
      </c>
      <c r="T3502" s="183" t="n">
        <v>0</v>
      </c>
      <c r="U3502" s="182" t="n">
        <v>0</v>
      </c>
      <c r="V3502" s="182" t="n">
        <v>0</v>
      </c>
      <c r="W3502" s="182" t="n">
        <v>0</v>
      </c>
      <c r="X3502" s="182" t="n">
        <v>0</v>
      </c>
      <c r="Y3502" s="182" t="n">
        <v>0</v>
      </c>
      <c r="Z3502" s="182" t="n">
        <v>0.1</v>
      </c>
      <c r="AA3502" s="182" t="n">
        <v>0</v>
      </c>
      <c r="AB3502" s="182" t="n">
        <v>0</v>
      </c>
      <c r="AC3502" s="182" t="n">
        <v>0</v>
      </c>
      <c r="AD3502" s="182" t="n">
        <v>0</v>
      </c>
      <c r="AE3502" s="182" t="n">
        <v>0</v>
      </c>
      <c r="AF3502" s="182" t="n">
        <v>0</v>
      </c>
      <c r="AG3502" s="182" t="n">
        <v>0</v>
      </c>
      <c r="AH3502" s="182" t="n">
        <v>0.21</v>
      </c>
      <c r="AI3502" s="182" t="n">
        <v>0</v>
      </c>
      <c r="AJ3502" s="182" t="n">
        <v>0</v>
      </c>
      <c r="AK3502" s="182" t="n">
        <v>0</v>
      </c>
      <c r="AL3502" s="182" t="n">
        <v>0</v>
      </c>
      <c r="AM3502" s="182" t="n">
        <v>0.11</v>
      </c>
      <c r="AN3502" s="182" t="n">
        <v>0</v>
      </c>
    </row>
    <row r="3503">
      <c r="A3503" s="155" t="n">
        <v>46097</v>
      </c>
      <c r="B3503" s="156" t="inlineStr">
        <is>
          <t>NS</t>
        </is>
      </c>
      <c r="C3503" s="156" t="inlineStr">
        <is>
          <t>DT-520</t>
        </is>
      </c>
      <c r="D3503" s="156" t="inlineStr">
        <is>
          <t>SKT 105S</t>
        </is>
      </c>
      <c r="E3503" s="156" t="inlineStr">
        <is>
          <t>Hauler</t>
        </is>
      </c>
      <c r="F3503" s="156" t="inlineStr">
        <is>
          <t>Hauling Coal &amp; OB</t>
        </is>
      </c>
      <c r="G3503" s="182" t="n">
        <v>5.89</v>
      </c>
      <c r="H3503" s="182" t="n">
        <v>0</v>
      </c>
      <c r="I3503" s="182" t="n">
        <v>0</v>
      </c>
      <c r="J3503" s="182" t="n">
        <v>0</v>
      </c>
      <c r="K3503" s="182" t="n">
        <v>6.11</v>
      </c>
      <c r="L3503" s="182" t="n">
        <v>12</v>
      </c>
      <c r="M3503" s="182" t="n">
        <v>2.7</v>
      </c>
      <c r="N3503" s="182" t="n">
        <v>3.19</v>
      </c>
      <c r="O3503" s="183" t="n">
        <v>11</v>
      </c>
      <c r="P3503" s="183" t="n">
        <v>7</v>
      </c>
      <c r="Q3503" s="184" t="n">
        <v>224.4</v>
      </c>
      <c r="R3503" s="184" t="n">
        <v>130.9</v>
      </c>
      <c r="S3503" s="183" t="n">
        <v>0</v>
      </c>
      <c r="T3503" s="183" t="n">
        <v>0</v>
      </c>
      <c r="U3503" s="182" t="n">
        <v>0</v>
      </c>
      <c r="V3503" s="182" t="n">
        <v>0</v>
      </c>
      <c r="W3503" s="182" t="n">
        <v>0</v>
      </c>
      <c r="X3503" s="182" t="n">
        <v>0.95</v>
      </c>
      <c r="Y3503" s="182" t="n">
        <v>0</v>
      </c>
      <c r="Z3503" s="182" t="n">
        <v>0.07000000000000001</v>
      </c>
      <c r="AA3503" s="182" t="n">
        <v>0</v>
      </c>
      <c r="AB3503" s="182" t="n">
        <v>0</v>
      </c>
      <c r="AC3503" s="182" t="n">
        <v>0</v>
      </c>
      <c r="AD3503" s="182" t="n">
        <v>0</v>
      </c>
      <c r="AE3503" s="182" t="n">
        <v>0</v>
      </c>
      <c r="AF3503" s="182" t="n">
        <v>0</v>
      </c>
      <c r="AG3503" s="182" t="n">
        <v>0</v>
      </c>
      <c r="AH3503" s="182" t="n">
        <v>0.48</v>
      </c>
      <c r="AI3503" s="182" t="n">
        <v>0</v>
      </c>
      <c r="AJ3503" s="182" t="n">
        <v>0</v>
      </c>
      <c r="AK3503" s="182" t="n">
        <v>4.53</v>
      </c>
      <c r="AL3503" s="182" t="n">
        <v>0</v>
      </c>
      <c r="AM3503" s="182" t="n">
        <v>0.08</v>
      </c>
      <c r="AN3503" s="182" t="n">
        <v>0</v>
      </c>
    </row>
    <row r="3504">
      <c r="A3504" s="155" t="n">
        <v>46097</v>
      </c>
      <c r="B3504" s="156" t="inlineStr">
        <is>
          <t>NS</t>
        </is>
      </c>
      <c r="C3504" s="156" t="inlineStr">
        <is>
          <t>DT-511</t>
        </is>
      </c>
      <c r="D3504" s="156" t="inlineStr">
        <is>
          <t>SKT 105S</t>
        </is>
      </c>
      <c r="E3504" s="156" t="inlineStr">
        <is>
          <t>Hauler</t>
        </is>
      </c>
      <c r="F3504" s="156" t="inlineStr"/>
      <c r="G3504" s="182" t="n">
        <v>0</v>
      </c>
      <c r="H3504" s="182" t="n">
        <v>0</v>
      </c>
      <c r="I3504" s="182" t="n">
        <v>12</v>
      </c>
      <c r="J3504" s="182" t="n">
        <v>12</v>
      </c>
      <c r="K3504" s="182" t="n">
        <v>0</v>
      </c>
      <c r="L3504" s="182" t="n">
        <v>12</v>
      </c>
      <c r="M3504" s="182" t="n">
        <v>0</v>
      </c>
      <c r="N3504" s="182" t="n">
        <v>0</v>
      </c>
      <c r="O3504" s="183" t="n">
        <v>0</v>
      </c>
      <c r="P3504" s="183" t="n">
        <v>0</v>
      </c>
      <c r="Q3504" s="184" t="n">
        <v>0</v>
      </c>
      <c r="R3504" s="184" t="n">
        <v>0</v>
      </c>
      <c r="S3504" s="183" t="n">
        <v>0</v>
      </c>
      <c r="T3504" s="183" t="n">
        <v>0</v>
      </c>
      <c r="U3504" s="182" t="n">
        <v>0</v>
      </c>
      <c r="V3504" s="182" t="n">
        <v>0</v>
      </c>
      <c r="W3504" s="182" t="n">
        <v>0</v>
      </c>
      <c r="X3504" s="182" t="n">
        <v>0</v>
      </c>
      <c r="Y3504" s="182" t="n">
        <v>0</v>
      </c>
      <c r="Z3504" s="182" t="n">
        <v>0</v>
      </c>
      <c r="AA3504" s="182" t="n">
        <v>0</v>
      </c>
      <c r="AB3504" s="182" t="n">
        <v>0</v>
      </c>
      <c r="AC3504" s="182" t="n">
        <v>0</v>
      </c>
      <c r="AD3504" s="182" t="n">
        <v>0</v>
      </c>
      <c r="AE3504" s="182" t="n">
        <v>0</v>
      </c>
      <c r="AF3504" s="182" t="n">
        <v>0</v>
      </c>
      <c r="AG3504" s="182" t="n">
        <v>0</v>
      </c>
      <c r="AH3504" s="182" t="n">
        <v>0</v>
      </c>
      <c r="AI3504" s="182" t="n">
        <v>0</v>
      </c>
      <c r="AJ3504" s="182" t="n">
        <v>0</v>
      </c>
      <c r="AK3504" s="182" t="n">
        <v>0</v>
      </c>
      <c r="AL3504" s="182" t="n">
        <v>0</v>
      </c>
      <c r="AM3504" s="182" t="n">
        <v>0</v>
      </c>
      <c r="AN3504" s="182" t="n">
        <v>0</v>
      </c>
    </row>
    <row r="3505">
      <c r="A3505" s="155" t="n">
        <v>46097</v>
      </c>
      <c r="B3505" s="156" t="inlineStr">
        <is>
          <t>NS</t>
        </is>
      </c>
      <c r="C3505" s="156" t="inlineStr">
        <is>
          <t>DT-509</t>
        </is>
      </c>
      <c r="D3505" s="156" t="inlineStr">
        <is>
          <t>SKT 105S</t>
        </is>
      </c>
      <c r="E3505" s="156" t="inlineStr">
        <is>
          <t>Hauler</t>
        </is>
      </c>
      <c r="F3505" s="156" t="inlineStr"/>
      <c r="G3505" s="182" t="n">
        <v>0</v>
      </c>
      <c r="H3505" s="182" t="n">
        <v>0</v>
      </c>
      <c r="I3505" s="182" t="n">
        <v>12</v>
      </c>
      <c r="J3505" s="182" t="n">
        <v>12</v>
      </c>
      <c r="K3505" s="182" t="n">
        <v>0</v>
      </c>
      <c r="L3505" s="182" t="n">
        <v>12</v>
      </c>
      <c r="M3505" s="182" t="n">
        <v>0</v>
      </c>
      <c r="N3505" s="182" t="n">
        <v>0</v>
      </c>
      <c r="O3505" s="183" t="n">
        <v>0</v>
      </c>
      <c r="P3505" s="183" t="n">
        <v>0</v>
      </c>
      <c r="Q3505" s="184" t="n">
        <v>0</v>
      </c>
      <c r="R3505" s="184" t="n">
        <v>0</v>
      </c>
      <c r="S3505" s="183" t="n">
        <v>0</v>
      </c>
      <c r="T3505" s="183" t="n">
        <v>0</v>
      </c>
      <c r="U3505" s="182" t="n">
        <v>0</v>
      </c>
      <c r="V3505" s="182" t="n">
        <v>0</v>
      </c>
      <c r="W3505" s="182" t="n">
        <v>0</v>
      </c>
      <c r="X3505" s="182" t="n">
        <v>0</v>
      </c>
      <c r="Y3505" s="182" t="n">
        <v>0</v>
      </c>
      <c r="Z3505" s="182" t="n">
        <v>0</v>
      </c>
      <c r="AA3505" s="182" t="n">
        <v>0</v>
      </c>
      <c r="AB3505" s="182" t="n">
        <v>0</v>
      </c>
      <c r="AC3505" s="182" t="n">
        <v>0</v>
      </c>
      <c r="AD3505" s="182" t="n">
        <v>0</v>
      </c>
      <c r="AE3505" s="182" t="n">
        <v>0</v>
      </c>
      <c r="AF3505" s="182" t="n">
        <v>0</v>
      </c>
      <c r="AG3505" s="182" t="n">
        <v>0</v>
      </c>
      <c r="AH3505" s="182" t="n">
        <v>0</v>
      </c>
      <c r="AI3505" s="182" t="n">
        <v>0</v>
      </c>
      <c r="AJ3505" s="182" t="n">
        <v>0</v>
      </c>
      <c r="AK3505" s="182" t="n">
        <v>0</v>
      </c>
      <c r="AL3505" s="182" t="n">
        <v>0</v>
      </c>
      <c r="AM3505" s="182" t="n">
        <v>0</v>
      </c>
      <c r="AN3505" s="182" t="n">
        <v>0</v>
      </c>
    </row>
    <row r="3506">
      <c r="A3506" s="155" t="n">
        <v>46097</v>
      </c>
      <c r="B3506" s="156" t="inlineStr">
        <is>
          <t>NS</t>
        </is>
      </c>
      <c r="C3506" s="156" t="inlineStr">
        <is>
          <t>DT-526</t>
        </is>
      </c>
      <c r="D3506" s="156" t="inlineStr">
        <is>
          <t>SKT 105S</t>
        </is>
      </c>
      <c r="E3506" s="156" t="inlineStr">
        <is>
          <t>Hauler</t>
        </is>
      </c>
      <c r="F3506" s="156" t="inlineStr"/>
      <c r="G3506" s="182" t="n">
        <v>0</v>
      </c>
      <c r="H3506" s="182" t="n">
        <v>12</v>
      </c>
      <c r="I3506" s="182" t="n">
        <v>0</v>
      </c>
      <c r="J3506" s="182" t="n">
        <v>12</v>
      </c>
      <c r="K3506" s="182" t="n">
        <v>0</v>
      </c>
      <c r="L3506" s="182" t="n">
        <v>12</v>
      </c>
      <c r="M3506" s="182" t="n">
        <v>0</v>
      </c>
      <c r="N3506" s="182" t="n">
        <v>0</v>
      </c>
      <c r="O3506" s="183" t="n">
        <v>0</v>
      </c>
      <c r="P3506" s="183" t="n">
        <v>0</v>
      </c>
      <c r="Q3506" s="184" t="n">
        <v>0</v>
      </c>
      <c r="R3506" s="184" t="n">
        <v>0</v>
      </c>
      <c r="S3506" s="183" t="n">
        <v>0</v>
      </c>
      <c r="T3506" s="183" t="n">
        <v>0</v>
      </c>
      <c r="U3506" s="182" t="n">
        <v>0</v>
      </c>
      <c r="V3506" s="182" t="n">
        <v>0</v>
      </c>
      <c r="W3506" s="182" t="n">
        <v>0</v>
      </c>
      <c r="X3506" s="182" t="n">
        <v>0</v>
      </c>
      <c r="Y3506" s="182" t="n">
        <v>0</v>
      </c>
      <c r="Z3506" s="182" t="n">
        <v>0</v>
      </c>
      <c r="AA3506" s="182" t="n">
        <v>0</v>
      </c>
      <c r="AB3506" s="182" t="n">
        <v>0</v>
      </c>
      <c r="AC3506" s="182" t="n">
        <v>0</v>
      </c>
      <c r="AD3506" s="182" t="n">
        <v>0</v>
      </c>
      <c r="AE3506" s="182" t="n">
        <v>0</v>
      </c>
      <c r="AF3506" s="182" t="n">
        <v>0</v>
      </c>
      <c r="AG3506" s="182" t="n">
        <v>0</v>
      </c>
      <c r="AH3506" s="182" t="n">
        <v>0</v>
      </c>
      <c r="AI3506" s="182" t="n">
        <v>0</v>
      </c>
      <c r="AJ3506" s="182" t="n">
        <v>0</v>
      </c>
      <c r="AK3506" s="182" t="n">
        <v>0</v>
      </c>
      <c r="AL3506" s="182" t="n">
        <v>0</v>
      </c>
      <c r="AM3506" s="182" t="n">
        <v>0</v>
      </c>
      <c r="AN3506" s="182" t="n">
        <v>0</v>
      </c>
    </row>
    <row r="3507">
      <c r="A3507" s="155" t="n">
        <v>46097</v>
      </c>
      <c r="B3507" s="156" t="inlineStr">
        <is>
          <t>NS</t>
        </is>
      </c>
      <c r="C3507" s="156" t="inlineStr">
        <is>
          <t>DT-508</t>
        </is>
      </c>
      <c r="D3507" s="156" t="inlineStr">
        <is>
          <t>SKT 105S</t>
        </is>
      </c>
      <c r="E3507" s="156" t="inlineStr">
        <is>
          <t>Hauler</t>
        </is>
      </c>
      <c r="F3507" s="156" t="inlineStr">
        <is>
          <t>Hauling OB</t>
        </is>
      </c>
      <c r="G3507" s="182" t="n">
        <v>4.62</v>
      </c>
      <c r="H3507" s="182" t="n">
        <v>0</v>
      </c>
      <c r="I3507" s="182" t="n">
        <v>0</v>
      </c>
      <c r="J3507" s="182" t="n">
        <v>0</v>
      </c>
      <c r="K3507" s="182" t="n">
        <v>7.38</v>
      </c>
      <c r="L3507" s="182" t="n">
        <v>12</v>
      </c>
      <c r="M3507" s="182" t="n">
        <v>4.62</v>
      </c>
      <c r="N3507" s="182" t="n">
        <v>0</v>
      </c>
      <c r="O3507" s="183" t="n">
        <v>17</v>
      </c>
      <c r="P3507" s="183" t="n">
        <v>0</v>
      </c>
      <c r="Q3507" s="184" t="n">
        <v>346.8</v>
      </c>
      <c r="R3507" s="184" t="n">
        <v>0</v>
      </c>
      <c r="S3507" s="183" t="n">
        <v>0</v>
      </c>
      <c r="T3507" s="183" t="n">
        <v>0</v>
      </c>
      <c r="U3507" s="182" t="n">
        <v>0</v>
      </c>
      <c r="V3507" s="182" t="n">
        <v>0</v>
      </c>
      <c r="W3507" s="182" t="n">
        <v>0</v>
      </c>
      <c r="X3507" s="182" t="n">
        <v>1</v>
      </c>
      <c r="Y3507" s="182" t="n">
        <v>0</v>
      </c>
      <c r="Z3507" s="182" t="n">
        <v>0</v>
      </c>
      <c r="AA3507" s="182" t="n">
        <v>0</v>
      </c>
      <c r="AB3507" s="182" t="n">
        <v>0</v>
      </c>
      <c r="AC3507" s="182" t="n">
        <v>0</v>
      </c>
      <c r="AD3507" s="182" t="n">
        <v>0</v>
      </c>
      <c r="AE3507" s="182" t="n">
        <v>0</v>
      </c>
      <c r="AF3507" s="182" t="n">
        <v>0</v>
      </c>
      <c r="AG3507" s="182" t="n">
        <v>0</v>
      </c>
      <c r="AH3507" s="182" t="n">
        <v>0.5</v>
      </c>
      <c r="AI3507" s="182" t="n">
        <v>0</v>
      </c>
      <c r="AJ3507" s="182" t="n">
        <v>0</v>
      </c>
      <c r="AK3507" s="182" t="n">
        <v>5.8</v>
      </c>
      <c r="AL3507" s="182" t="n">
        <v>0</v>
      </c>
      <c r="AM3507" s="182" t="n">
        <v>0.08</v>
      </c>
      <c r="AN3507" s="182" t="n">
        <v>0</v>
      </c>
    </row>
    <row r="3508">
      <c r="A3508" s="155" t="n">
        <v>46097</v>
      </c>
      <c r="B3508" s="156" t="inlineStr">
        <is>
          <t>NS</t>
        </is>
      </c>
      <c r="C3508" s="156" t="inlineStr">
        <is>
          <t>DT-515</t>
        </is>
      </c>
      <c r="D3508" s="156" t="inlineStr">
        <is>
          <t>SKT 105S</t>
        </is>
      </c>
      <c r="E3508" s="156" t="inlineStr">
        <is>
          <t>Hauler</t>
        </is>
      </c>
      <c r="F3508" s="156" t="inlineStr"/>
      <c r="G3508" s="182" t="n">
        <v>0</v>
      </c>
      <c r="H3508" s="182" t="n">
        <v>12</v>
      </c>
      <c r="I3508" s="182" t="n">
        <v>0</v>
      </c>
      <c r="J3508" s="182" t="n">
        <v>12</v>
      </c>
      <c r="K3508" s="182" t="n">
        <v>0</v>
      </c>
      <c r="L3508" s="182" t="n">
        <v>12</v>
      </c>
      <c r="M3508" s="182" t="n">
        <v>0</v>
      </c>
      <c r="N3508" s="182" t="n">
        <v>0</v>
      </c>
      <c r="O3508" s="183" t="n">
        <v>0</v>
      </c>
      <c r="P3508" s="183" t="n">
        <v>0</v>
      </c>
      <c r="Q3508" s="184" t="n">
        <v>0</v>
      </c>
      <c r="R3508" s="184" t="n">
        <v>0</v>
      </c>
      <c r="S3508" s="183" t="n">
        <v>0</v>
      </c>
      <c r="T3508" s="183" t="n">
        <v>0</v>
      </c>
      <c r="U3508" s="182" t="n">
        <v>0</v>
      </c>
      <c r="V3508" s="182" t="n">
        <v>0</v>
      </c>
      <c r="W3508" s="182" t="n">
        <v>0</v>
      </c>
      <c r="X3508" s="182" t="n">
        <v>0</v>
      </c>
      <c r="Y3508" s="182" t="n">
        <v>0</v>
      </c>
      <c r="Z3508" s="182" t="n">
        <v>0</v>
      </c>
      <c r="AA3508" s="182" t="n">
        <v>0</v>
      </c>
      <c r="AB3508" s="182" t="n">
        <v>0</v>
      </c>
      <c r="AC3508" s="182" t="n">
        <v>0</v>
      </c>
      <c r="AD3508" s="182" t="n">
        <v>0</v>
      </c>
      <c r="AE3508" s="182" t="n">
        <v>0</v>
      </c>
      <c r="AF3508" s="182" t="n">
        <v>0</v>
      </c>
      <c r="AG3508" s="182" t="n">
        <v>0</v>
      </c>
      <c r="AH3508" s="182" t="n">
        <v>0</v>
      </c>
      <c r="AI3508" s="182" t="n">
        <v>0</v>
      </c>
      <c r="AJ3508" s="182" t="n">
        <v>0</v>
      </c>
      <c r="AK3508" s="182" t="n">
        <v>0</v>
      </c>
      <c r="AL3508" s="182" t="n">
        <v>0</v>
      </c>
      <c r="AM3508" s="182" t="n">
        <v>0</v>
      </c>
      <c r="AN3508" s="182" t="n">
        <v>0</v>
      </c>
    </row>
    <row r="3509">
      <c r="A3509" s="155" t="n">
        <v>46097</v>
      </c>
      <c r="B3509" s="156" t="inlineStr">
        <is>
          <t>NS</t>
        </is>
      </c>
      <c r="C3509" s="156" t="inlineStr">
        <is>
          <t>DT-524</t>
        </is>
      </c>
      <c r="D3509" s="156" t="inlineStr">
        <is>
          <t>SKT 105S</t>
        </is>
      </c>
      <c r="E3509" s="156" t="inlineStr">
        <is>
          <t>Hauler</t>
        </is>
      </c>
      <c r="F3509" s="156" t="inlineStr">
        <is>
          <t>Hauling OB</t>
        </is>
      </c>
      <c r="G3509" s="182" t="n">
        <v>7.47</v>
      </c>
      <c r="H3509" s="182" t="n">
        <v>0</v>
      </c>
      <c r="I3509" s="182" t="n">
        <v>0</v>
      </c>
      <c r="J3509" s="182" t="n">
        <v>0</v>
      </c>
      <c r="K3509" s="182" t="n">
        <v>4.53</v>
      </c>
      <c r="L3509" s="182" t="n">
        <v>12</v>
      </c>
      <c r="M3509" s="182" t="n">
        <v>7.47</v>
      </c>
      <c r="N3509" s="182" t="n">
        <v>0</v>
      </c>
      <c r="O3509" s="183" t="n">
        <v>23</v>
      </c>
      <c r="P3509" s="183" t="n">
        <v>0</v>
      </c>
      <c r="Q3509" s="184" t="n">
        <v>469.2</v>
      </c>
      <c r="R3509" s="184" t="n">
        <v>0</v>
      </c>
      <c r="S3509" s="183" t="n">
        <v>0</v>
      </c>
      <c r="T3509" s="183" t="n">
        <v>0</v>
      </c>
      <c r="U3509" s="182" t="n">
        <v>0</v>
      </c>
      <c r="V3509" s="182" t="n">
        <v>0</v>
      </c>
      <c r="W3509" s="182" t="n">
        <v>0</v>
      </c>
      <c r="X3509" s="182" t="n">
        <v>0.92</v>
      </c>
      <c r="Y3509" s="182" t="n">
        <v>0</v>
      </c>
      <c r="Z3509" s="182" t="n">
        <v>0.06</v>
      </c>
      <c r="AA3509" s="182" t="n">
        <v>0</v>
      </c>
      <c r="AB3509" s="182" t="n">
        <v>0</v>
      </c>
      <c r="AC3509" s="182" t="n">
        <v>0</v>
      </c>
      <c r="AD3509" s="182" t="n">
        <v>0</v>
      </c>
      <c r="AE3509" s="182" t="n">
        <v>0</v>
      </c>
      <c r="AF3509" s="182" t="n">
        <v>0</v>
      </c>
      <c r="AG3509" s="182" t="n">
        <v>0.29</v>
      </c>
      <c r="AH3509" s="182" t="n">
        <v>0.23</v>
      </c>
      <c r="AI3509" s="182" t="n">
        <v>1.38</v>
      </c>
      <c r="AJ3509" s="182" t="n">
        <v>0</v>
      </c>
      <c r="AK3509" s="182" t="n">
        <v>1.2</v>
      </c>
      <c r="AL3509" s="182" t="n">
        <v>0.37</v>
      </c>
      <c r="AM3509" s="182" t="n">
        <v>0.07000000000000001</v>
      </c>
      <c r="AN3509" s="182" t="n">
        <v>0</v>
      </c>
    </row>
    <row r="3510">
      <c r="A3510" s="155" t="n">
        <v>46097</v>
      </c>
      <c r="B3510" s="156" t="inlineStr">
        <is>
          <t>NS</t>
        </is>
      </c>
      <c r="C3510" s="156" t="inlineStr">
        <is>
          <t>DT-341</t>
        </is>
      </c>
      <c r="D3510" s="156" t="inlineStr">
        <is>
          <t>SYZ324C-8W</t>
        </is>
      </c>
      <c r="E3510" s="156" t="inlineStr">
        <is>
          <t>Hauler</t>
        </is>
      </c>
      <c r="F3510" s="156" t="inlineStr">
        <is>
          <t>Rehandling Material di Washing Plant</t>
        </is>
      </c>
      <c r="G3510" s="182" t="n">
        <v>5.4</v>
      </c>
      <c r="H3510" s="182" t="n">
        <v>0</v>
      </c>
      <c r="I3510" s="182" t="n">
        <v>0</v>
      </c>
      <c r="J3510" s="182" t="n">
        <v>0</v>
      </c>
      <c r="K3510" s="182" t="n">
        <v>6.6</v>
      </c>
      <c r="L3510" s="182" t="n">
        <v>12</v>
      </c>
      <c r="M3510" s="182" t="n">
        <v>0</v>
      </c>
      <c r="N3510" s="182" t="n">
        <v>0</v>
      </c>
      <c r="O3510" s="183" t="n">
        <v>0</v>
      </c>
      <c r="P3510" s="183" t="n">
        <v>0</v>
      </c>
      <c r="Q3510" s="184" t="n">
        <v>0</v>
      </c>
      <c r="R3510" s="184" t="n">
        <v>0</v>
      </c>
      <c r="S3510" s="183" t="n">
        <v>0</v>
      </c>
      <c r="T3510" s="183" t="n">
        <v>0</v>
      </c>
      <c r="U3510" s="182" t="n">
        <v>0</v>
      </c>
      <c r="V3510" s="182" t="n">
        <v>0</v>
      </c>
      <c r="W3510" s="182" t="n">
        <v>0</v>
      </c>
      <c r="X3510" s="182" t="n">
        <v>0.96</v>
      </c>
      <c r="Y3510" s="182" t="n">
        <v>0</v>
      </c>
      <c r="Z3510" s="182" t="n">
        <v>0.07000000000000001</v>
      </c>
      <c r="AA3510" s="182" t="n">
        <v>0</v>
      </c>
      <c r="AB3510" s="182" t="n">
        <v>0</v>
      </c>
      <c r="AC3510" s="182" t="n">
        <v>0</v>
      </c>
      <c r="AD3510" s="182" t="n">
        <v>0</v>
      </c>
      <c r="AE3510" s="182" t="n">
        <v>0</v>
      </c>
      <c r="AF3510" s="182" t="n">
        <v>0</v>
      </c>
      <c r="AG3510" s="182" t="n">
        <v>0</v>
      </c>
      <c r="AH3510" s="182" t="n">
        <v>0</v>
      </c>
      <c r="AI3510" s="182" t="n">
        <v>0</v>
      </c>
      <c r="AJ3510" s="182" t="n">
        <v>0</v>
      </c>
      <c r="AK3510" s="182" t="n">
        <v>5.5</v>
      </c>
      <c r="AL3510" s="182" t="n">
        <v>0</v>
      </c>
      <c r="AM3510" s="182" t="n">
        <v>0.08</v>
      </c>
      <c r="AN3510" s="182" t="n">
        <v>0</v>
      </c>
    </row>
    <row r="3511">
      <c r="A3511" s="155" t="n">
        <v>46097</v>
      </c>
      <c r="B3511" s="156" t="inlineStr">
        <is>
          <t>NS</t>
        </is>
      </c>
      <c r="C3511" s="156" t="inlineStr">
        <is>
          <t>DT-342</t>
        </is>
      </c>
      <c r="D3511" s="156" t="inlineStr">
        <is>
          <t>SYZ324C-8W</t>
        </is>
      </c>
      <c r="E3511" s="156" t="inlineStr">
        <is>
          <t>Hauler</t>
        </is>
      </c>
      <c r="F3511" s="156" t="inlineStr">
        <is>
          <t>Rehandling Material di Washing Plant</t>
        </is>
      </c>
      <c r="G3511" s="182" t="n">
        <v>5.62</v>
      </c>
      <c r="H3511" s="182" t="n">
        <v>0</v>
      </c>
      <c r="I3511" s="182" t="n">
        <v>0</v>
      </c>
      <c r="J3511" s="182" t="n">
        <v>0</v>
      </c>
      <c r="K3511" s="182" t="n">
        <v>6.38</v>
      </c>
      <c r="L3511" s="182" t="n">
        <v>12</v>
      </c>
      <c r="M3511" s="182" t="n">
        <v>0</v>
      </c>
      <c r="N3511" s="182" t="n">
        <v>0</v>
      </c>
      <c r="O3511" s="183" t="n">
        <v>0</v>
      </c>
      <c r="P3511" s="183" t="n">
        <v>0</v>
      </c>
      <c r="Q3511" s="184" t="n">
        <v>0</v>
      </c>
      <c r="R3511" s="184" t="n">
        <v>0</v>
      </c>
      <c r="S3511" s="183" t="n">
        <v>0</v>
      </c>
      <c r="T3511" s="183" t="n">
        <v>0</v>
      </c>
      <c r="U3511" s="182" t="n">
        <v>0</v>
      </c>
      <c r="V3511" s="182" t="n">
        <v>0</v>
      </c>
      <c r="W3511" s="182" t="n">
        <v>0</v>
      </c>
      <c r="X3511" s="182" t="n">
        <v>1.05</v>
      </c>
      <c r="Y3511" s="182" t="n">
        <v>0</v>
      </c>
      <c r="Z3511" s="182" t="n">
        <v>0.07000000000000001</v>
      </c>
      <c r="AA3511" s="182" t="n">
        <v>0</v>
      </c>
      <c r="AB3511" s="182" t="n">
        <v>0</v>
      </c>
      <c r="AC3511" s="182" t="n">
        <v>0</v>
      </c>
      <c r="AD3511" s="182" t="n">
        <v>0</v>
      </c>
      <c r="AE3511" s="182" t="n">
        <v>0</v>
      </c>
      <c r="AF3511" s="182" t="n">
        <v>0</v>
      </c>
      <c r="AG3511" s="182" t="n">
        <v>0</v>
      </c>
      <c r="AH3511" s="182" t="n">
        <v>0</v>
      </c>
      <c r="AI3511" s="182" t="n">
        <v>0</v>
      </c>
      <c r="AJ3511" s="182" t="n">
        <v>0</v>
      </c>
      <c r="AK3511" s="182" t="n">
        <v>5.18</v>
      </c>
      <c r="AL3511" s="182" t="n">
        <v>0</v>
      </c>
      <c r="AM3511" s="182" t="n">
        <v>0.08</v>
      </c>
      <c r="AN3511" s="182" t="n">
        <v>0</v>
      </c>
    </row>
    <row r="3512">
      <c r="A3512" s="155" t="n">
        <v>46097</v>
      </c>
      <c r="B3512" s="156" t="inlineStr">
        <is>
          <t>NS</t>
        </is>
      </c>
      <c r="C3512" s="156" t="inlineStr">
        <is>
          <t>HD-903</t>
        </is>
      </c>
      <c r="D3512" s="156" t="inlineStr">
        <is>
          <t>SRT 95C</t>
        </is>
      </c>
      <c r="E3512" s="156" t="inlineStr">
        <is>
          <t>Hauler</t>
        </is>
      </c>
      <c r="F3512" s="156" t="inlineStr"/>
      <c r="G3512" s="182" t="n">
        <v>0</v>
      </c>
      <c r="H3512" s="182" t="n">
        <v>0</v>
      </c>
      <c r="I3512" s="182" t="n">
        <v>12</v>
      </c>
      <c r="J3512" s="182" t="n">
        <v>12</v>
      </c>
      <c r="K3512" s="182" t="n">
        <v>0</v>
      </c>
      <c r="L3512" s="182" t="n">
        <v>12</v>
      </c>
      <c r="M3512" s="182" t="n">
        <v>0</v>
      </c>
      <c r="N3512" s="182" t="n">
        <v>0</v>
      </c>
      <c r="O3512" s="183" t="n">
        <v>0</v>
      </c>
      <c r="P3512" s="183" t="n">
        <v>0</v>
      </c>
      <c r="Q3512" s="184" t="n">
        <v>0</v>
      </c>
      <c r="R3512" s="184" t="n">
        <v>0</v>
      </c>
      <c r="S3512" s="183" t="n">
        <v>0</v>
      </c>
      <c r="T3512" s="183" t="n">
        <v>0</v>
      </c>
      <c r="U3512" s="182" t="n">
        <v>0</v>
      </c>
      <c r="V3512" s="182" t="n">
        <v>0</v>
      </c>
      <c r="W3512" s="182" t="n">
        <v>0</v>
      </c>
      <c r="X3512" s="182" t="n">
        <v>0</v>
      </c>
      <c r="Y3512" s="182" t="n">
        <v>0</v>
      </c>
      <c r="Z3512" s="182" t="n">
        <v>0</v>
      </c>
      <c r="AA3512" s="182" t="n">
        <v>0</v>
      </c>
      <c r="AB3512" s="182" t="n">
        <v>0</v>
      </c>
      <c r="AC3512" s="182" t="n">
        <v>0</v>
      </c>
      <c r="AD3512" s="182" t="n">
        <v>0</v>
      </c>
      <c r="AE3512" s="182" t="n">
        <v>0</v>
      </c>
      <c r="AF3512" s="182" t="n">
        <v>0</v>
      </c>
      <c r="AG3512" s="182" t="n">
        <v>0</v>
      </c>
      <c r="AH3512" s="182" t="n">
        <v>0</v>
      </c>
      <c r="AI3512" s="182" t="n">
        <v>0</v>
      </c>
      <c r="AJ3512" s="182" t="n">
        <v>0</v>
      </c>
      <c r="AK3512" s="182" t="n">
        <v>0</v>
      </c>
      <c r="AL3512" s="182" t="n">
        <v>0</v>
      </c>
      <c r="AM3512" s="182" t="n">
        <v>0</v>
      </c>
      <c r="AN3512" s="182" t="n">
        <v>0</v>
      </c>
    </row>
    <row r="3513">
      <c r="A3513" s="155" t="n">
        <v>46097</v>
      </c>
      <c r="B3513" s="156" t="inlineStr">
        <is>
          <t>NS</t>
        </is>
      </c>
      <c r="C3513" s="156" t="inlineStr">
        <is>
          <t>HD-905</t>
        </is>
      </c>
      <c r="D3513" s="156" t="inlineStr">
        <is>
          <t>SRT 95C</t>
        </is>
      </c>
      <c r="E3513" s="156" t="inlineStr">
        <is>
          <t>Hauler</t>
        </is>
      </c>
      <c r="F3513" s="156" t="inlineStr">
        <is>
          <t>Hauling OB</t>
        </is>
      </c>
      <c r="G3513" s="182" t="n">
        <v>9.800000000000001</v>
      </c>
      <c r="H3513" s="182" t="n">
        <v>0</v>
      </c>
      <c r="I3513" s="182" t="n">
        <v>0</v>
      </c>
      <c r="J3513" s="182" t="n">
        <v>0</v>
      </c>
      <c r="K3513" s="182" t="n">
        <v>2.2</v>
      </c>
      <c r="L3513" s="182" t="n">
        <v>12</v>
      </c>
      <c r="M3513" s="182" t="n">
        <v>9.800000000000001</v>
      </c>
      <c r="N3513" s="182" t="n">
        <v>0</v>
      </c>
      <c r="O3513" s="183" t="n">
        <v>39</v>
      </c>
      <c r="P3513" s="183" t="n">
        <v>0</v>
      </c>
      <c r="Q3513" s="184" t="n">
        <v>1392.3</v>
      </c>
      <c r="R3513" s="184" t="n">
        <v>0</v>
      </c>
      <c r="S3513" s="183" t="n">
        <v>0</v>
      </c>
      <c r="T3513" s="183" t="n">
        <v>0</v>
      </c>
      <c r="U3513" s="182" t="n">
        <v>0</v>
      </c>
      <c r="V3513" s="182" t="n">
        <v>0</v>
      </c>
      <c r="W3513" s="182" t="n">
        <v>0</v>
      </c>
      <c r="X3513" s="182" t="n">
        <v>1</v>
      </c>
      <c r="Y3513" s="182" t="n">
        <v>0</v>
      </c>
      <c r="Z3513" s="182" t="n">
        <v>0</v>
      </c>
      <c r="AA3513" s="182" t="n">
        <v>0</v>
      </c>
      <c r="AB3513" s="182" t="n">
        <v>0</v>
      </c>
      <c r="AC3513" s="182" t="n">
        <v>0</v>
      </c>
      <c r="AD3513" s="182" t="n">
        <v>0</v>
      </c>
      <c r="AE3513" s="182" t="n">
        <v>0</v>
      </c>
      <c r="AF3513" s="182" t="n">
        <v>0</v>
      </c>
      <c r="AG3513" s="182" t="n">
        <v>0</v>
      </c>
      <c r="AH3513" s="182" t="n">
        <v>0</v>
      </c>
      <c r="AI3513" s="182" t="n">
        <v>1.12</v>
      </c>
      <c r="AJ3513" s="182" t="n">
        <v>0</v>
      </c>
      <c r="AK3513" s="182" t="n">
        <v>0</v>
      </c>
      <c r="AL3513" s="182" t="n">
        <v>0</v>
      </c>
      <c r="AM3513" s="182" t="n">
        <v>0.08</v>
      </c>
      <c r="AN3513" s="182" t="n">
        <v>0</v>
      </c>
    </row>
    <row r="3514">
      <c r="A3514" s="155" t="n">
        <v>46097</v>
      </c>
      <c r="B3514" s="156" t="inlineStr">
        <is>
          <t>NS</t>
        </is>
      </c>
      <c r="C3514" s="156" t="inlineStr">
        <is>
          <t>HD-901</t>
        </is>
      </c>
      <c r="D3514" s="156" t="inlineStr">
        <is>
          <t>SRT 95C</t>
        </is>
      </c>
      <c r="E3514" s="156" t="inlineStr">
        <is>
          <t>Hauler</t>
        </is>
      </c>
      <c r="F3514" s="156" t="inlineStr">
        <is>
          <t>Hauling OB</t>
        </is>
      </c>
      <c r="G3514" s="182" t="n">
        <v>9.52</v>
      </c>
      <c r="H3514" s="182" t="n">
        <v>0</v>
      </c>
      <c r="I3514" s="182" t="n">
        <v>0</v>
      </c>
      <c r="J3514" s="182" t="n">
        <v>0</v>
      </c>
      <c r="K3514" s="182" t="n">
        <v>2.48</v>
      </c>
      <c r="L3514" s="182" t="n">
        <v>12</v>
      </c>
      <c r="M3514" s="182" t="n">
        <v>9.52</v>
      </c>
      <c r="N3514" s="182" t="n">
        <v>0</v>
      </c>
      <c r="O3514" s="183" t="n">
        <v>36</v>
      </c>
      <c r="P3514" s="183" t="n">
        <v>0</v>
      </c>
      <c r="Q3514" s="184" t="n">
        <v>1285.2</v>
      </c>
      <c r="R3514" s="184" t="n">
        <v>0</v>
      </c>
      <c r="S3514" s="183" t="n">
        <v>0</v>
      </c>
      <c r="T3514" s="183" t="n">
        <v>0</v>
      </c>
      <c r="U3514" s="182" t="n">
        <v>0</v>
      </c>
      <c r="V3514" s="182" t="n">
        <v>0</v>
      </c>
      <c r="W3514" s="182" t="n">
        <v>0</v>
      </c>
      <c r="X3514" s="182" t="n">
        <v>0.95</v>
      </c>
      <c r="Y3514" s="182" t="n">
        <v>0</v>
      </c>
      <c r="Z3514" s="182" t="n">
        <v>0</v>
      </c>
      <c r="AA3514" s="182" t="n">
        <v>0</v>
      </c>
      <c r="AB3514" s="182" t="n">
        <v>0</v>
      </c>
      <c r="AC3514" s="182" t="n">
        <v>0</v>
      </c>
      <c r="AD3514" s="182" t="n">
        <v>0</v>
      </c>
      <c r="AE3514" s="182" t="n">
        <v>0</v>
      </c>
      <c r="AF3514" s="182" t="n">
        <v>0</v>
      </c>
      <c r="AG3514" s="182" t="n">
        <v>0</v>
      </c>
      <c r="AH3514" s="182" t="n">
        <v>0.33</v>
      </c>
      <c r="AI3514" s="182" t="n">
        <v>1.12</v>
      </c>
      <c r="AJ3514" s="182" t="n">
        <v>0</v>
      </c>
      <c r="AK3514" s="182" t="n">
        <v>0</v>
      </c>
      <c r="AL3514" s="182" t="n">
        <v>0</v>
      </c>
      <c r="AM3514" s="182" t="n">
        <v>0.08</v>
      </c>
      <c r="AN3514" s="182" t="n">
        <v>0</v>
      </c>
    </row>
    <row r="3515">
      <c r="A3515" s="155" t="n">
        <v>46097</v>
      </c>
      <c r="B3515" s="156" t="inlineStr">
        <is>
          <t>NS</t>
        </is>
      </c>
      <c r="C3515" s="156" t="inlineStr">
        <is>
          <t>HD-904</t>
        </is>
      </c>
      <c r="D3515" s="156" t="inlineStr">
        <is>
          <t>SRT 95C</t>
        </is>
      </c>
      <c r="E3515" s="156" t="inlineStr">
        <is>
          <t>Hauler</t>
        </is>
      </c>
      <c r="F3515" s="156" t="inlineStr">
        <is>
          <t>Hauling OB</t>
        </is>
      </c>
      <c r="G3515" s="182" t="n">
        <v>10.5</v>
      </c>
      <c r="H3515" s="182" t="n">
        <v>0</v>
      </c>
      <c r="I3515" s="182" t="n">
        <v>0</v>
      </c>
      <c r="J3515" s="182" t="n">
        <v>0</v>
      </c>
      <c r="K3515" s="182" t="n">
        <v>1.5</v>
      </c>
      <c r="L3515" s="182" t="n">
        <v>12</v>
      </c>
      <c r="M3515" s="182" t="n">
        <v>10.5</v>
      </c>
      <c r="N3515" s="182" t="n">
        <v>0</v>
      </c>
      <c r="O3515" s="183" t="n">
        <v>37</v>
      </c>
      <c r="P3515" s="183" t="n">
        <v>0</v>
      </c>
      <c r="Q3515" s="184" t="n">
        <v>1320.9</v>
      </c>
      <c r="R3515" s="184" t="n">
        <v>0</v>
      </c>
      <c r="S3515" s="183" t="n">
        <v>0</v>
      </c>
      <c r="T3515" s="183" t="n">
        <v>0</v>
      </c>
      <c r="U3515" s="182" t="n">
        <v>0</v>
      </c>
      <c r="V3515" s="182" t="n">
        <v>0</v>
      </c>
      <c r="W3515" s="182" t="n">
        <v>0</v>
      </c>
      <c r="X3515" s="182" t="n">
        <v>0.71</v>
      </c>
      <c r="Y3515" s="182" t="n">
        <v>0</v>
      </c>
      <c r="Z3515" s="182" t="n">
        <v>0.05</v>
      </c>
      <c r="AA3515" s="182" t="n">
        <v>0</v>
      </c>
      <c r="AB3515" s="182" t="n">
        <v>0</v>
      </c>
      <c r="AC3515" s="182" t="n">
        <v>0</v>
      </c>
      <c r="AD3515" s="182" t="n">
        <v>0</v>
      </c>
      <c r="AE3515" s="182" t="n">
        <v>0</v>
      </c>
      <c r="AF3515" s="182" t="n">
        <v>0</v>
      </c>
      <c r="AG3515" s="182" t="n">
        <v>0</v>
      </c>
      <c r="AH3515" s="182" t="n">
        <v>0</v>
      </c>
      <c r="AI3515" s="182" t="n">
        <v>0.68</v>
      </c>
      <c r="AJ3515" s="182" t="n">
        <v>0</v>
      </c>
      <c r="AK3515" s="182" t="n">
        <v>0</v>
      </c>
      <c r="AL3515" s="182" t="n">
        <v>0</v>
      </c>
      <c r="AM3515" s="182" t="n">
        <v>0.06</v>
      </c>
      <c r="AN3515" s="182" t="n">
        <v>0</v>
      </c>
    </row>
    <row r="3516">
      <c r="A3516" s="155" t="n">
        <v>46097</v>
      </c>
      <c r="B3516" s="156" t="inlineStr">
        <is>
          <t>NS</t>
        </is>
      </c>
      <c r="C3516" s="156" t="inlineStr">
        <is>
          <t>HD-902</t>
        </is>
      </c>
      <c r="D3516" s="156" t="inlineStr">
        <is>
          <t>SRT 95C</t>
        </is>
      </c>
      <c r="E3516" s="156" t="inlineStr">
        <is>
          <t>Hauler</t>
        </is>
      </c>
      <c r="F3516" s="156" t="inlineStr">
        <is>
          <t>Hauling OB</t>
        </is>
      </c>
      <c r="G3516" s="182" t="n">
        <v>9.58</v>
      </c>
      <c r="H3516" s="182" t="n">
        <v>0</v>
      </c>
      <c r="I3516" s="182" t="n">
        <v>0</v>
      </c>
      <c r="J3516" s="182" t="n">
        <v>0</v>
      </c>
      <c r="K3516" s="182" t="n">
        <v>2.42</v>
      </c>
      <c r="L3516" s="182" t="n">
        <v>12</v>
      </c>
      <c r="M3516" s="182" t="n">
        <v>9.58</v>
      </c>
      <c r="N3516" s="182" t="n">
        <v>0</v>
      </c>
      <c r="O3516" s="183" t="n">
        <v>30</v>
      </c>
      <c r="P3516" s="183" t="n">
        <v>0</v>
      </c>
      <c r="Q3516" s="184" t="n">
        <v>1071</v>
      </c>
      <c r="R3516" s="184" t="n">
        <v>0</v>
      </c>
      <c r="S3516" s="183" t="n">
        <v>0</v>
      </c>
      <c r="T3516" s="183" t="n">
        <v>0</v>
      </c>
      <c r="U3516" s="182" t="n">
        <v>0</v>
      </c>
      <c r="V3516" s="182" t="n">
        <v>0</v>
      </c>
      <c r="W3516" s="182" t="n">
        <v>0</v>
      </c>
      <c r="X3516" s="182" t="n">
        <v>1.01</v>
      </c>
      <c r="Y3516" s="182" t="n">
        <v>0</v>
      </c>
      <c r="Z3516" s="182" t="n">
        <v>0.07000000000000001</v>
      </c>
      <c r="AA3516" s="182" t="n">
        <v>0</v>
      </c>
      <c r="AB3516" s="182" t="n">
        <v>0</v>
      </c>
      <c r="AC3516" s="182" t="n">
        <v>0</v>
      </c>
      <c r="AD3516" s="182" t="n">
        <v>0</v>
      </c>
      <c r="AE3516" s="182" t="n">
        <v>0</v>
      </c>
      <c r="AF3516" s="182" t="n">
        <v>0</v>
      </c>
      <c r="AG3516" s="182" t="n">
        <v>0</v>
      </c>
      <c r="AH3516" s="182" t="n">
        <v>0.08</v>
      </c>
      <c r="AI3516" s="182" t="n">
        <v>1.18</v>
      </c>
      <c r="AJ3516" s="182" t="n">
        <v>0</v>
      </c>
      <c r="AK3516" s="182" t="n">
        <v>0</v>
      </c>
      <c r="AL3516" s="182" t="n">
        <v>0</v>
      </c>
      <c r="AM3516" s="182" t="n">
        <v>0.08</v>
      </c>
      <c r="AN3516" s="182" t="n">
        <v>0</v>
      </c>
    </row>
    <row r="3517">
      <c r="A3517" s="155" t="n">
        <v>46097</v>
      </c>
      <c r="B3517" s="156" t="inlineStr">
        <is>
          <t>NS</t>
        </is>
      </c>
      <c r="C3517" s="156" t="inlineStr">
        <is>
          <t>WL-025</t>
        </is>
      </c>
      <c r="D3517" s="156" t="inlineStr">
        <is>
          <t>SANY - Loader</t>
        </is>
      </c>
      <c r="E3517" s="156" t="inlineStr">
        <is>
          <t>Loader</t>
        </is>
      </c>
      <c r="F3517" s="156" t="inlineStr"/>
      <c r="G3517" s="182" t="n">
        <v>0</v>
      </c>
      <c r="H3517" s="182" t="n">
        <v>0</v>
      </c>
      <c r="I3517" s="182" t="n">
        <v>0</v>
      </c>
      <c r="J3517" s="182" t="n">
        <v>0</v>
      </c>
      <c r="K3517" s="182" t="n">
        <v>12</v>
      </c>
      <c r="L3517" s="182" t="n">
        <v>12</v>
      </c>
      <c r="M3517" s="182" t="n">
        <v>0</v>
      </c>
      <c r="N3517" s="182" t="n">
        <v>0</v>
      </c>
      <c r="O3517" s="183" t="n">
        <v>0</v>
      </c>
      <c r="P3517" s="183" t="n">
        <v>0</v>
      </c>
      <c r="Q3517" s="184" t="n">
        <v>0</v>
      </c>
      <c r="R3517" s="184" t="n">
        <v>0</v>
      </c>
      <c r="S3517" s="183" t="n">
        <v>0</v>
      </c>
      <c r="T3517" s="183" t="n">
        <v>0</v>
      </c>
      <c r="U3517" s="182" t="n">
        <v>0</v>
      </c>
      <c r="V3517" s="182" t="n">
        <v>0</v>
      </c>
      <c r="W3517" s="182" t="n">
        <v>0</v>
      </c>
      <c r="X3517" s="182" t="n">
        <v>1</v>
      </c>
      <c r="Y3517" s="182" t="n">
        <v>0</v>
      </c>
      <c r="Z3517" s="182" t="n">
        <v>0</v>
      </c>
      <c r="AA3517" s="182" t="n">
        <v>0</v>
      </c>
      <c r="AB3517" s="182" t="n">
        <v>0</v>
      </c>
      <c r="AC3517" s="182" t="n">
        <v>0</v>
      </c>
      <c r="AD3517" s="182" t="n">
        <v>0</v>
      </c>
      <c r="AE3517" s="182" t="n">
        <v>0</v>
      </c>
      <c r="AF3517" s="182" t="n">
        <v>0</v>
      </c>
      <c r="AG3517" s="182" t="n">
        <v>0</v>
      </c>
      <c r="AH3517" s="182" t="n">
        <v>0</v>
      </c>
      <c r="AI3517" s="182" t="n">
        <v>0</v>
      </c>
      <c r="AJ3517" s="182" t="n">
        <v>0</v>
      </c>
      <c r="AK3517" s="182" t="n">
        <v>10.92</v>
      </c>
      <c r="AL3517" s="182" t="n">
        <v>0</v>
      </c>
      <c r="AM3517" s="182" t="n">
        <v>0.08</v>
      </c>
      <c r="AN3517" s="182" t="n">
        <v>0</v>
      </c>
    </row>
    <row r="3518">
      <c r="A3518" s="155" t="n">
        <v>46097</v>
      </c>
      <c r="B3518" s="156" t="inlineStr">
        <is>
          <t>NS</t>
        </is>
      </c>
      <c r="C3518" s="156" t="inlineStr">
        <is>
          <t>WL-023</t>
        </is>
      </c>
      <c r="D3518" s="156" t="inlineStr">
        <is>
          <t>SANY - Loader</t>
        </is>
      </c>
      <c r="E3518" s="156" t="inlineStr">
        <is>
          <t>Loader</t>
        </is>
      </c>
      <c r="F3518" s="156" t="inlineStr"/>
      <c r="G3518" s="182" t="n">
        <v>0</v>
      </c>
      <c r="H3518" s="182" t="n">
        <v>0</v>
      </c>
      <c r="I3518" s="182" t="n">
        <v>0</v>
      </c>
      <c r="J3518" s="182" t="n">
        <v>0</v>
      </c>
      <c r="K3518" s="182" t="n">
        <v>12</v>
      </c>
      <c r="L3518" s="182" t="n">
        <v>12</v>
      </c>
      <c r="M3518" s="182" t="n">
        <v>0</v>
      </c>
      <c r="N3518" s="182" t="n">
        <v>0</v>
      </c>
      <c r="O3518" s="183" t="n">
        <v>0</v>
      </c>
      <c r="P3518" s="183" t="n">
        <v>0</v>
      </c>
      <c r="Q3518" s="184" t="n">
        <v>0</v>
      </c>
      <c r="R3518" s="184" t="n">
        <v>0</v>
      </c>
      <c r="S3518" s="183" t="n">
        <v>0</v>
      </c>
      <c r="T3518" s="183" t="n">
        <v>0</v>
      </c>
      <c r="U3518" s="182" t="n">
        <v>0</v>
      </c>
      <c r="V3518" s="182" t="n">
        <v>0</v>
      </c>
      <c r="W3518" s="182" t="n">
        <v>0</v>
      </c>
      <c r="X3518" s="182" t="n">
        <v>1</v>
      </c>
      <c r="Y3518" s="182" t="n">
        <v>0</v>
      </c>
      <c r="Z3518" s="182" t="n">
        <v>0</v>
      </c>
      <c r="AA3518" s="182" t="n">
        <v>0</v>
      </c>
      <c r="AB3518" s="182" t="n">
        <v>0</v>
      </c>
      <c r="AC3518" s="182" t="n">
        <v>0</v>
      </c>
      <c r="AD3518" s="182" t="n">
        <v>0</v>
      </c>
      <c r="AE3518" s="182" t="n">
        <v>0</v>
      </c>
      <c r="AF3518" s="182" t="n">
        <v>0</v>
      </c>
      <c r="AG3518" s="182" t="n">
        <v>0</v>
      </c>
      <c r="AH3518" s="182" t="n">
        <v>0</v>
      </c>
      <c r="AI3518" s="182" t="n">
        <v>0</v>
      </c>
      <c r="AJ3518" s="182" t="n">
        <v>0</v>
      </c>
      <c r="AK3518" s="182" t="n">
        <v>10.92</v>
      </c>
      <c r="AL3518" s="182" t="n">
        <v>0</v>
      </c>
      <c r="AM3518" s="182" t="n">
        <v>0.08</v>
      </c>
      <c r="AN3518" s="182" t="n">
        <v>0</v>
      </c>
    </row>
    <row r="3519">
      <c r="A3519" s="155" t="n">
        <v>46097</v>
      </c>
      <c r="B3519" s="156" t="inlineStr">
        <is>
          <t>NS</t>
        </is>
      </c>
      <c r="C3519" s="156" t="inlineStr">
        <is>
          <t>WL-021</t>
        </is>
      </c>
      <c r="D3519" s="156" t="inlineStr">
        <is>
          <t>SANY - Loader</t>
        </is>
      </c>
      <c r="E3519" s="156" t="inlineStr">
        <is>
          <t>Loader</t>
        </is>
      </c>
      <c r="F3519" s="156" t="inlineStr"/>
      <c r="G3519" s="182" t="n">
        <v>0</v>
      </c>
      <c r="H3519" s="182" t="n">
        <v>0</v>
      </c>
      <c r="I3519" s="182" t="n">
        <v>12</v>
      </c>
      <c r="J3519" s="182" t="n">
        <v>12</v>
      </c>
      <c r="K3519" s="182" t="n">
        <v>0</v>
      </c>
      <c r="L3519" s="182" t="n">
        <v>12</v>
      </c>
      <c r="M3519" s="182" t="n">
        <v>0</v>
      </c>
      <c r="N3519" s="182" t="n">
        <v>0</v>
      </c>
      <c r="O3519" s="183" t="n">
        <v>0</v>
      </c>
      <c r="P3519" s="183" t="n">
        <v>0</v>
      </c>
      <c r="Q3519" s="184" t="n">
        <v>0</v>
      </c>
      <c r="R3519" s="184" t="n">
        <v>0</v>
      </c>
      <c r="S3519" s="183" t="n">
        <v>0</v>
      </c>
      <c r="T3519" s="183" t="n">
        <v>0</v>
      </c>
      <c r="U3519" s="182" t="n">
        <v>0</v>
      </c>
      <c r="V3519" s="182" t="n">
        <v>0</v>
      </c>
      <c r="W3519" s="182" t="n">
        <v>0</v>
      </c>
      <c r="X3519" s="182" t="n">
        <v>0</v>
      </c>
      <c r="Y3519" s="182" t="n">
        <v>0</v>
      </c>
      <c r="Z3519" s="182" t="n">
        <v>0</v>
      </c>
      <c r="AA3519" s="182" t="n">
        <v>0</v>
      </c>
      <c r="AB3519" s="182" t="n">
        <v>0</v>
      </c>
      <c r="AC3519" s="182" t="n">
        <v>0</v>
      </c>
      <c r="AD3519" s="182" t="n">
        <v>0</v>
      </c>
      <c r="AE3519" s="182" t="n">
        <v>0</v>
      </c>
      <c r="AF3519" s="182" t="n">
        <v>0</v>
      </c>
      <c r="AG3519" s="182" t="n">
        <v>0</v>
      </c>
      <c r="AH3519" s="182" t="n">
        <v>0</v>
      </c>
      <c r="AI3519" s="182" t="n">
        <v>0</v>
      </c>
      <c r="AJ3519" s="182" t="n">
        <v>0</v>
      </c>
      <c r="AK3519" s="182" t="n">
        <v>0</v>
      </c>
      <c r="AL3519" s="182" t="n">
        <v>0</v>
      </c>
      <c r="AM3519" s="182" t="n">
        <v>0</v>
      </c>
      <c r="AN3519" s="182" t="n">
        <v>0</v>
      </c>
    </row>
    <row r="3520">
      <c r="A3520" s="155" t="n">
        <v>46097</v>
      </c>
      <c r="B3520" s="156" t="inlineStr">
        <is>
          <t>NS</t>
        </is>
      </c>
      <c r="C3520" s="156" t="inlineStr">
        <is>
          <t>WL-022</t>
        </is>
      </c>
      <c r="D3520" s="156" t="inlineStr">
        <is>
          <t>SANY - Loader</t>
        </is>
      </c>
      <c r="E3520" s="156" t="inlineStr">
        <is>
          <t>Loader</t>
        </is>
      </c>
      <c r="F3520" s="156" t="inlineStr">
        <is>
          <t>Support Washing Plant</t>
        </is>
      </c>
      <c r="G3520" s="182" t="n">
        <v>10.79</v>
      </c>
      <c r="H3520" s="182" t="n">
        <v>0</v>
      </c>
      <c r="I3520" s="182" t="n">
        <v>0</v>
      </c>
      <c r="J3520" s="182" t="n">
        <v>0</v>
      </c>
      <c r="K3520" s="182" t="n">
        <v>1.21</v>
      </c>
      <c r="L3520" s="182" t="n">
        <v>12</v>
      </c>
      <c r="M3520" s="182" t="n">
        <v>0</v>
      </c>
      <c r="N3520" s="182" t="n">
        <v>0</v>
      </c>
      <c r="O3520" s="183" t="n">
        <v>0</v>
      </c>
      <c r="P3520" s="183" t="n">
        <v>0</v>
      </c>
      <c r="Q3520" s="184" t="n">
        <v>0</v>
      </c>
      <c r="R3520" s="184" t="n">
        <v>0</v>
      </c>
      <c r="S3520" s="183" t="n">
        <v>0</v>
      </c>
      <c r="T3520" s="183" t="n">
        <v>0</v>
      </c>
      <c r="U3520" s="182" t="n">
        <v>0</v>
      </c>
      <c r="V3520" s="182" t="n">
        <v>0</v>
      </c>
      <c r="W3520" s="182" t="n">
        <v>0</v>
      </c>
      <c r="X3520" s="182" t="n">
        <v>0.86</v>
      </c>
      <c r="Y3520" s="182" t="n">
        <v>0</v>
      </c>
      <c r="Z3520" s="182" t="n">
        <v>0</v>
      </c>
      <c r="AA3520" s="182" t="n">
        <v>0</v>
      </c>
      <c r="AB3520" s="182" t="n">
        <v>0</v>
      </c>
      <c r="AC3520" s="182" t="n">
        <v>0</v>
      </c>
      <c r="AD3520" s="182" t="n">
        <v>0</v>
      </c>
      <c r="AE3520" s="182" t="n">
        <v>0</v>
      </c>
      <c r="AF3520" s="182" t="n">
        <v>0</v>
      </c>
      <c r="AG3520" s="182" t="n">
        <v>0</v>
      </c>
      <c r="AH3520" s="182" t="n">
        <v>0</v>
      </c>
      <c r="AI3520" s="182" t="n">
        <v>0</v>
      </c>
      <c r="AJ3520" s="182" t="n">
        <v>0</v>
      </c>
      <c r="AK3520" s="182" t="n">
        <v>0.28</v>
      </c>
      <c r="AL3520" s="182" t="n">
        <v>0</v>
      </c>
      <c r="AM3520" s="182" t="n">
        <v>0.07000000000000001</v>
      </c>
      <c r="AN3520" s="182" t="n">
        <v>0</v>
      </c>
    </row>
    <row r="3521">
      <c r="A3521" s="155" t="n">
        <v>46097</v>
      </c>
      <c r="B3521" s="156" t="inlineStr">
        <is>
          <t>NS</t>
        </is>
      </c>
      <c r="C3521" s="156" t="inlineStr">
        <is>
          <t>WL-024</t>
        </is>
      </c>
      <c r="D3521" s="156" t="inlineStr">
        <is>
          <t>SANY - Loader</t>
        </is>
      </c>
      <c r="E3521" s="156" t="inlineStr">
        <is>
          <t>Loader</t>
        </is>
      </c>
      <c r="F3521" s="156" t="inlineStr">
        <is>
          <t>Support Washing Plant</t>
        </is>
      </c>
      <c r="G3521" s="182" t="n">
        <v>9.109999999999999</v>
      </c>
      <c r="H3521" s="182" t="n">
        <v>0</v>
      </c>
      <c r="I3521" s="182" t="n">
        <v>0.53</v>
      </c>
      <c r="J3521" s="182" t="n">
        <v>0.53</v>
      </c>
      <c r="K3521" s="182" t="n">
        <v>2.36</v>
      </c>
      <c r="L3521" s="182" t="n">
        <v>12</v>
      </c>
      <c r="M3521" s="182" t="n">
        <v>0</v>
      </c>
      <c r="N3521" s="182" t="n">
        <v>0</v>
      </c>
      <c r="O3521" s="183" t="n">
        <v>0</v>
      </c>
      <c r="P3521" s="183" t="n">
        <v>0</v>
      </c>
      <c r="Q3521" s="184" t="n">
        <v>0</v>
      </c>
      <c r="R3521" s="184" t="n">
        <v>0</v>
      </c>
      <c r="S3521" s="183" t="n">
        <v>0</v>
      </c>
      <c r="T3521" s="183" t="n">
        <v>0</v>
      </c>
      <c r="U3521" s="182" t="n">
        <v>0</v>
      </c>
      <c r="V3521" s="182" t="n">
        <v>0</v>
      </c>
      <c r="W3521" s="182" t="n">
        <v>0</v>
      </c>
      <c r="X3521" s="182" t="n">
        <v>1.2</v>
      </c>
      <c r="Y3521" s="182" t="n">
        <v>0</v>
      </c>
      <c r="Z3521" s="182" t="n">
        <v>0</v>
      </c>
      <c r="AA3521" s="182" t="n">
        <v>0</v>
      </c>
      <c r="AB3521" s="182" t="n">
        <v>0</v>
      </c>
      <c r="AC3521" s="182" t="n">
        <v>0</v>
      </c>
      <c r="AD3521" s="182" t="n">
        <v>0</v>
      </c>
      <c r="AE3521" s="182" t="n">
        <v>0</v>
      </c>
      <c r="AF3521" s="182" t="n">
        <v>0</v>
      </c>
      <c r="AG3521" s="182" t="n">
        <v>0</v>
      </c>
      <c r="AH3521" s="182" t="n">
        <v>0</v>
      </c>
      <c r="AI3521" s="182" t="n">
        <v>0</v>
      </c>
      <c r="AJ3521" s="182" t="n">
        <v>0</v>
      </c>
      <c r="AK3521" s="182" t="n">
        <v>1.05</v>
      </c>
      <c r="AL3521" s="182" t="n">
        <v>0</v>
      </c>
      <c r="AM3521" s="182" t="n">
        <v>0.1</v>
      </c>
      <c r="AN3521" s="182" t="n">
        <v>0</v>
      </c>
    </row>
    <row r="3522">
      <c r="A3522" s="155" t="n">
        <v>46098</v>
      </c>
      <c r="B3522" s="156" t="inlineStr">
        <is>
          <t>DS</t>
        </is>
      </c>
      <c r="C3522" s="156" t="inlineStr">
        <is>
          <t>DZ-034</t>
        </is>
      </c>
      <c r="D3522" s="156" t="inlineStr">
        <is>
          <t>D 68ESS-12EO</t>
        </is>
      </c>
      <c r="E3522" s="156" t="inlineStr">
        <is>
          <t>Bulldozer</t>
        </is>
      </c>
      <c r="F3522" s="156" t="inlineStr">
        <is>
          <t>Support Washing Plant</t>
        </is>
      </c>
      <c r="G3522" s="182" t="n">
        <v>8.460000000000001</v>
      </c>
      <c r="H3522" s="182" t="n">
        <v>0</v>
      </c>
      <c r="I3522" s="182" t="n">
        <v>2.63</v>
      </c>
      <c r="J3522" s="182" t="n">
        <v>2.63</v>
      </c>
      <c r="K3522" s="182" t="n">
        <v>0.91</v>
      </c>
      <c r="L3522" s="182" t="n">
        <v>12</v>
      </c>
      <c r="M3522" s="182" t="n">
        <v>0</v>
      </c>
      <c r="N3522" s="182" t="n">
        <v>0</v>
      </c>
      <c r="O3522" s="183" t="n">
        <v>0</v>
      </c>
      <c r="P3522" s="183" t="n">
        <v>0</v>
      </c>
      <c r="Q3522" s="184" t="n">
        <v>0</v>
      </c>
      <c r="R3522" s="184" t="n">
        <v>0</v>
      </c>
      <c r="S3522" s="183" t="n">
        <v>0</v>
      </c>
      <c r="T3522" s="183" t="n">
        <v>0</v>
      </c>
      <c r="U3522" s="182" t="n">
        <v>0</v>
      </c>
      <c r="V3522" s="182" t="n">
        <v>0</v>
      </c>
      <c r="W3522" s="182" t="n">
        <v>0</v>
      </c>
      <c r="X3522" s="182" t="n">
        <v>0.8</v>
      </c>
      <c r="Y3522" s="182" t="n">
        <v>0</v>
      </c>
      <c r="Z3522" s="182" t="n">
        <v>0</v>
      </c>
      <c r="AA3522" s="182" t="n">
        <v>0</v>
      </c>
      <c r="AB3522" s="182" t="n">
        <v>0</v>
      </c>
      <c r="AC3522" s="182" t="n">
        <v>0</v>
      </c>
      <c r="AD3522" s="182" t="n">
        <v>0</v>
      </c>
      <c r="AE3522" s="182" t="n">
        <v>0</v>
      </c>
      <c r="AF3522" s="182" t="n">
        <v>0</v>
      </c>
      <c r="AG3522" s="182" t="n">
        <v>0</v>
      </c>
      <c r="AH3522" s="182" t="n">
        <v>0</v>
      </c>
      <c r="AI3522" s="182" t="n">
        <v>0</v>
      </c>
      <c r="AJ3522" s="182" t="n">
        <v>0</v>
      </c>
      <c r="AK3522" s="182" t="n">
        <v>0</v>
      </c>
      <c r="AL3522" s="182" t="n">
        <v>0</v>
      </c>
      <c r="AM3522" s="182" t="n">
        <v>0.09</v>
      </c>
      <c r="AN3522" s="182" t="n">
        <v>0</v>
      </c>
    </row>
    <row r="3523">
      <c r="A3523" s="155" t="n">
        <v>46098</v>
      </c>
      <c r="B3523" s="156" t="inlineStr">
        <is>
          <t>DS</t>
        </is>
      </c>
      <c r="C3523" s="156" t="inlineStr">
        <is>
          <t>DZ-033</t>
        </is>
      </c>
      <c r="D3523" s="156" t="inlineStr">
        <is>
          <t>D 375A-6R</t>
        </is>
      </c>
      <c r="E3523" s="156" t="inlineStr">
        <is>
          <t>Bulldozer</t>
        </is>
      </c>
      <c r="F3523" s="156" t="inlineStr">
        <is>
          <t>Support Disposal</t>
        </is>
      </c>
      <c r="G3523" s="182" t="n">
        <v>5.85</v>
      </c>
      <c r="H3523" s="182" t="n">
        <v>0</v>
      </c>
      <c r="I3523" s="182" t="n">
        <v>5</v>
      </c>
      <c r="J3523" s="182" t="n">
        <v>5</v>
      </c>
      <c r="K3523" s="182" t="n">
        <v>1.15</v>
      </c>
      <c r="L3523" s="182" t="n">
        <v>12</v>
      </c>
      <c r="M3523" s="182" t="n">
        <v>0</v>
      </c>
      <c r="N3523" s="182" t="n">
        <v>0</v>
      </c>
      <c r="O3523" s="183" t="n">
        <v>0</v>
      </c>
      <c r="P3523" s="183" t="n">
        <v>0</v>
      </c>
      <c r="Q3523" s="184" t="n">
        <v>0</v>
      </c>
      <c r="R3523" s="184" t="n">
        <v>0</v>
      </c>
      <c r="S3523" s="183" t="n">
        <v>0</v>
      </c>
      <c r="T3523" s="183" t="n">
        <v>0</v>
      </c>
      <c r="U3523" s="182" t="n">
        <v>0</v>
      </c>
      <c r="V3523" s="182" t="n">
        <v>0</v>
      </c>
      <c r="W3523" s="182" t="n">
        <v>0</v>
      </c>
      <c r="X3523" s="182" t="n">
        <v>1.06</v>
      </c>
      <c r="Y3523" s="182" t="n">
        <v>0</v>
      </c>
      <c r="Z3523" s="182" t="n">
        <v>0</v>
      </c>
      <c r="AA3523" s="182" t="n">
        <v>0</v>
      </c>
      <c r="AB3523" s="182" t="n">
        <v>0</v>
      </c>
      <c r="AC3523" s="182" t="n">
        <v>0</v>
      </c>
      <c r="AD3523" s="182" t="n">
        <v>0</v>
      </c>
      <c r="AE3523" s="182" t="n">
        <v>0</v>
      </c>
      <c r="AF3523" s="182" t="n">
        <v>0</v>
      </c>
      <c r="AG3523" s="182" t="n">
        <v>0</v>
      </c>
      <c r="AH3523" s="182" t="n">
        <v>0</v>
      </c>
      <c r="AI3523" s="182" t="n">
        <v>0</v>
      </c>
      <c r="AJ3523" s="182" t="n">
        <v>0</v>
      </c>
      <c r="AK3523" s="182" t="n">
        <v>0</v>
      </c>
      <c r="AL3523" s="182" t="n">
        <v>0</v>
      </c>
      <c r="AM3523" s="182" t="n">
        <v>0.09</v>
      </c>
      <c r="AN3523" s="182" t="n">
        <v>0</v>
      </c>
    </row>
    <row r="3524">
      <c r="A3524" s="155" t="n">
        <v>46098</v>
      </c>
      <c r="B3524" s="156" t="inlineStr">
        <is>
          <t>DS</t>
        </is>
      </c>
      <c r="C3524" s="156" t="inlineStr">
        <is>
          <t>DZ-038</t>
        </is>
      </c>
      <c r="D3524" s="156" t="inlineStr">
        <is>
          <t>D 85 ESS-2</t>
        </is>
      </c>
      <c r="E3524" s="156" t="inlineStr">
        <is>
          <t>Bulldozer</t>
        </is>
      </c>
      <c r="F3524" s="156" t="inlineStr">
        <is>
          <t>Support Front Loading</t>
        </is>
      </c>
      <c r="G3524" s="182" t="n">
        <v>9.15</v>
      </c>
      <c r="H3524" s="182" t="n">
        <v>0</v>
      </c>
      <c r="I3524" s="182" t="n">
        <v>0.97</v>
      </c>
      <c r="J3524" s="182" t="n">
        <v>0.97</v>
      </c>
      <c r="K3524" s="182" t="n">
        <v>1.88</v>
      </c>
      <c r="L3524" s="182" t="n">
        <v>12</v>
      </c>
      <c r="M3524" s="182" t="n">
        <v>0</v>
      </c>
      <c r="N3524" s="182" t="n">
        <v>0</v>
      </c>
      <c r="O3524" s="183" t="n">
        <v>0</v>
      </c>
      <c r="P3524" s="183" t="n">
        <v>0</v>
      </c>
      <c r="Q3524" s="184" t="n">
        <v>0</v>
      </c>
      <c r="R3524" s="184" t="n">
        <v>0</v>
      </c>
      <c r="S3524" s="183" t="n">
        <v>0</v>
      </c>
      <c r="T3524" s="183" t="n">
        <v>0</v>
      </c>
      <c r="U3524" s="182" t="n">
        <v>0</v>
      </c>
      <c r="V3524" s="182" t="n">
        <v>0</v>
      </c>
      <c r="W3524" s="182" t="n">
        <v>0</v>
      </c>
      <c r="X3524" s="182" t="n">
        <v>0.88</v>
      </c>
      <c r="Y3524" s="182" t="n">
        <v>0</v>
      </c>
      <c r="Z3524" s="182" t="n">
        <v>0</v>
      </c>
      <c r="AA3524" s="182" t="n">
        <v>0</v>
      </c>
      <c r="AB3524" s="182" t="n">
        <v>0</v>
      </c>
      <c r="AC3524" s="182" t="n">
        <v>0</v>
      </c>
      <c r="AD3524" s="182" t="n">
        <v>0</v>
      </c>
      <c r="AE3524" s="182" t="n">
        <v>0</v>
      </c>
      <c r="AF3524" s="182" t="n">
        <v>0</v>
      </c>
      <c r="AG3524" s="182" t="n">
        <v>0</v>
      </c>
      <c r="AH3524" s="182" t="n">
        <v>0</v>
      </c>
      <c r="AI3524" s="182" t="n">
        <v>0</v>
      </c>
      <c r="AJ3524" s="182" t="n">
        <v>0</v>
      </c>
      <c r="AK3524" s="182" t="n">
        <v>0.93</v>
      </c>
      <c r="AL3524" s="182" t="n">
        <v>0</v>
      </c>
      <c r="AM3524" s="182" t="n">
        <v>0.07000000000000001</v>
      </c>
      <c r="AN3524" s="182" t="n">
        <v>0</v>
      </c>
    </row>
    <row r="3525">
      <c r="A3525" s="155" t="n">
        <v>46098</v>
      </c>
      <c r="B3525" s="156" t="inlineStr">
        <is>
          <t>DS</t>
        </is>
      </c>
      <c r="C3525" s="156" t="inlineStr">
        <is>
          <t>DZ-039</t>
        </is>
      </c>
      <c r="D3525" s="156" t="inlineStr">
        <is>
          <t>D 85 ESS-2</t>
        </is>
      </c>
      <c r="E3525" s="156" t="inlineStr">
        <is>
          <t>Bulldozer</t>
        </is>
      </c>
      <c r="F3525" s="156" t="inlineStr">
        <is>
          <t>Support Front Loading</t>
        </is>
      </c>
      <c r="G3525" s="182" t="n">
        <v>0.51</v>
      </c>
      <c r="H3525" s="182" t="n">
        <v>0</v>
      </c>
      <c r="I3525" s="182" t="n">
        <v>10.32</v>
      </c>
      <c r="J3525" s="182" t="n">
        <v>10.32</v>
      </c>
      <c r="K3525" s="182" t="n">
        <v>1.17</v>
      </c>
      <c r="L3525" s="182" t="n">
        <v>12</v>
      </c>
      <c r="M3525" s="182" t="n">
        <v>0</v>
      </c>
      <c r="N3525" s="182" t="n">
        <v>0</v>
      </c>
      <c r="O3525" s="183" t="n">
        <v>0</v>
      </c>
      <c r="P3525" s="183" t="n">
        <v>0</v>
      </c>
      <c r="Q3525" s="184" t="n">
        <v>0</v>
      </c>
      <c r="R3525" s="184" t="n">
        <v>0</v>
      </c>
      <c r="S3525" s="183" t="n">
        <v>0</v>
      </c>
      <c r="T3525" s="183" t="n">
        <v>0</v>
      </c>
      <c r="U3525" s="182" t="n">
        <v>0</v>
      </c>
      <c r="V3525" s="182" t="n">
        <v>0</v>
      </c>
      <c r="W3525" s="182" t="n">
        <v>0</v>
      </c>
      <c r="X3525" s="182" t="n">
        <v>1.08</v>
      </c>
      <c r="Y3525" s="182" t="n">
        <v>0</v>
      </c>
      <c r="Z3525" s="182" t="n">
        <v>0</v>
      </c>
      <c r="AA3525" s="182" t="n">
        <v>0</v>
      </c>
      <c r="AB3525" s="182" t="n">
        <v>0</v>
      </c>
      <c r="AC3525" s="182" t="n">
        <v>0</v>
      </c>
      <c r="AD3525" s="182" t="n">
        <v>0</v>
      </c>
      <c r="AE3525" s="182" t="n">
        <v>0</v>
      </c>
      <c r="AF3525" s="182" t="n">
        <v>0</v>
      </c>
      <c r="AG3525" s="182" t="n">
        <v>0</v>
      </c>
      <c r="AH3525" s="182" t="n">
        <v>0</v>
      </c>
      <c r="AI3525" s="182" t="n">
        <v>0</v>
      </c>
      <c r="AJ3525" s="182" t="n">
        <v>0</v>
      </c>
      <c r="AK3525" s="182" t="n">
        <v>0</v>
      </c>
      <c r="AL3525" s="182" t="n">
        <v>0</v>
      </c>
      <c r="AM3525" s="182" t="n">
        <v>0.09</v>
      </c>
      <c r="AN3525" s="182" t="n">
        <v>0</v>
      </c>
    </row>
    <row r="3526">
      <c r="A3526" s="155" t="n">
        <v>46098</v>
      </c>
      <c r="B3526" s="156" t="inlineStr">
        <is>
          <t>DS</t>
        </is>
      </c>
      <c r="C3526" s="156" t="inlineStr">
        <is>
          <t>DZ-032</t>
        </is>
      </c>
      <c r="D3526" s="156" t="inlineStr">
        <is>
          <t>CAT</t>
        </is>
      </c>
      <c r="E3526" s="156" t="inlineStr">
        <is>
          <t>Bulldozer</t>
        </is>
      </c>
      <c r="F3526" s="156" t="inlineStr">
        <is>
          <t>Support Front Loading</t>
        </is>
      </c>
      <c r="G3526" s="182" t="n">
        <v>2.43</v>
      </c>
      <c r="H3526" s="182" t="n">
        <v>0</v>
      </c>
      <c r="I3526" s="182" t="n">
        <v>9.43</v>
      </c>
      <c r="J3526" s="182" t="n">
        <v>9.43</v>
      </c>
      <c r="K3526" s="182" t="n">
        <v>0.14</v>
      </c>
      <c r="L3526" s="182" t="n">
        <v>12</v>
      </c>
      <c r="M3526" s="182" t="n">
        <v>0</v>
      </c>
      <c r="N3526" s="182" t="n">
        <v>0</v>
      </c>
      <c r="O3526" s="183" t="n">
        <v>0</v>
      </c>
      <c r="P3526" s="183" t="n">
        <v>0</v>
      </c>
      <c r="Q3526" s="184" t="n">
        <v>0</v>
      </c>
      <c r="R3526" s="184" t="n">
        <v>0</v>
      </c>
      <c r="S3526" s="183" t="n">
        <v>0</v>
      </c>
      <c r="T3526" s="183" t="n">
        <v>0</v>
      </c>
      <c r="U3526" s="182" t="n">
        <v>0</v>
      </c>
      <c r="V3526" s="182" t="n">
        <v>0</v>
      </c>
      <c r="W3526" s="182" t="n">
        <v>0</v>
      </c>
      <c r="X3526" s="182" t="n">
        <v>0.07000000000000001</v>
      </c>
      <c r="Y3526" s="182" t="n">
        <v>0</v>
      </c>
      <c r="Z3526" s="182" t="n">
        <v>0</v>
      </c>
      <c r="AA3526" s="182" t="n">
        <v>0</v>
      </c>
      <c r="AB3526" s="182" t="n">
        <v>0</v>
      </c>
      <c r="AC3526" s="182" t="n">
        <v>0</v>
      </c>
      <c r="AD3526" s="182" t="n">
        <v>0</v>
      </c>
      <c r="AE3526" s="182" t="n">
        <v>0</v>
      </c>
      <c r="AF3526" s="182" t="n">
        <v>0</v>
      </c>
      <c r="AG3526" s="182" t="n">
        <v>0</v>
      </c>
      <c r="AH3526" s="182" t="n">
        <v>0</v>
      </c>
      <c r="AI3526" s="182" t="n">
        <v>0</v>
      </c>
      <c r="AJ3526" s="182" t="n">
        <v>0</v>
      </c>
      <c r="AK3526" s="182" t="n">
        <v>0</v>
      </c>
      <c r="AL3526" s="182" t="n">
        <v>0</v>
      </c>
      <c r="AM3526" s="182" t="n">
        <v>0.07000000000000001</v>
      </c>
      <c r="AN3526" s="182" t="n">
        <v>0</v>
      </c>
    </row>
    <row r="3527">
      <c r="A3527" s="155" t="n">
        <v>46098</v>
      </c>
      <c r="B3527" s="156" t="inlineStr">
        <is>
          <t>DS</t>
        </is>
      </c>
      <c r="C3527" s="156" t="inlineStr">
        <is>
          <t>DZ-031</t>
        </is>
      </c>
      <c r="D3527" s="156" t="inlineStr">
        <is>
          <t>CAT</t>
        </is>
      </c>
      <c r="E3527" s="156" t="inlineStr">
        <is>
          <t>Bulldozer</t>
        </is>
      </c>
      <c r="F3527" s="156" t="inlineStr">
        <is>
          <t>Support Front Loading</t>
        </is>
      </c>
      <c r="G3527" s="182" t="n">
        <v>0.5</v>
      </c>
      <c r="H3527" s="182" t="n">
        <v>0</v>
      </c>
      <c r="I3527" s="182" t="n">
        <v>11.42</v>
      </c>
      <c r="J3527" s="182" t="n">
        <v>11.42</v>
      </c>
      <c r="K3527" s="182" t="n">
        <v>0.08</v>
      </c>
      <c r="L3527" s="182" t="n">
        <v>12</v>
      </c>
      <c r="M3527" s="182" t="n">
        <v>0</v>
      </c>
      <c r="N3527" s="182" t="n">
        <v>0</v>
      </c>
      <c r="O3527" s="183" t="n">
        <v>0</v>
      </c>
      <c r="P3527" s="183" t="n">
        <v>0</v>
      </c>
      <c r="Q3527" s="184" t="n">
        <v>0</v>
      </c>
      <c r="R3527" s="184" t="n">
        <v>0</v>
      </c>
      <c r="S3527" s="183" t="n">
        <v>0</v>
      </c>
      <c r="T3527" s="183" t="n">
        <v>0</v>
      </c>
      <c r="U3527" s="182" t="n">
        <v>0</v>
      </c>
      <c r="V3527" s="182" t="n">
        <v>0</v>
      </c>
      <c r="W3527" s="182" t="n">
        <v>0</v>
      </c>
      <c r="X3527" s="182" t="n">
        <v>0</v>
      </c>
      <c r="Y3527" s="182" t="n">
        <v>0</v>
      </c>
      <c r="Z3527" s="182" t="n">
        <v>0</v>
      </c>
      <c r="AA3527" s="182" t="n">
        <v>0</v>
      </c>
      <c r="AB3527" s="182" t="n">
        <v>0</v>
      </c>
      <c r="AC3527" s="182" t="n">
        <v>0</v>
      </c>
      <c r="AD3527" s="182" t="n">
        <v>0</v>
      </c>
      <c r="AE3527" s="182" t="n">
        <v>0</v>
      </c>
      <c r="AF3527" s="182" t="n">
        <v>0</v>
      </c>
      <c r="AG3527" s="182" t="n">
        <v>0</v>
      </c>
      <c r="AH3527" s="182" t="n">
        <v>0</v>
      </c>
      <c r="AI3527" s="182" t="n">
        <v>0</v>
      </c>
      <c r="AJ3527" s="182" t="n">
        <v>0</v>
      </c>
      <c r="AK3527" s="182" t="n">
        <v>0</v>
      </c>
      <c r="AL3527" s="182" t="n">
        <v>0</v>
      </c>
      <c r="AM3527" s="182" t="n">
        <v>0.08</v>
      </c>
      <c r="AN3527" s="182" t="n">
        <v>0</v>
      </c>
    </row>
    <row r="3528">
      <c r="A3528" s="155" t="n">
        <v>46098</v>
      </c>
      <c r="B3528" s="156" t="inlineStr">
        <is>
          <t>DS</t>
        </is>
      </c>
      <c r="C3528" s="156" t="inlineStr">
        <is>
          <t>DZ-037</t>
        </is>
      </c>
      <c r="D3528" s="156" t="inlineStr">
        <is>
          <t>D 85 ESS-2</t>
        </is>
      </c>
      <c r="E3528" s="156" t="inlineStr">
        <is>
          <t>Bulldozer</t>
        </is>
      </c>
      <c r="F3528" s="156" t="inlineStr"/>
      <c r="G3528" s="182" t="n">
        <v>0</v>
      </c>
      <c r="H3528" s="182" t="n">
        <v>0</v>
      </c>
      <c r="I3528" s="182" t="n">
        <v>12</v>
      </c>
      <c r="J3528" s="182" t="n">
        <v>12</v>
      </c>
      <c r="K3528" s="182" t="n">
        <v>0</v>
      </c>
      <c r="L3528" s="182" t="n">
        <v>12</v>
      </c>
      <c r="M3528" s="182" t="n">
        <v>0</v>
      </c>
      <c r="N3528" s="182" t="n">
        <v>0</v>
      </c>
      <c r="O3528" s="183" t="n">
        <v>0</v>
      </c>
      <c r="P3528" s="183" t="n">
        <v>0</v>
      </c>
      <c r="Q3528" s="184" t="n">
        <v>0</v>
      </c>
      <c r="R3528" s="184" t="n">
        <v>0</v>
      </c>
      <c r="S3528" s="183" t="n">
        <v>0</v>
      </c>
      <c r="T3528" s="183" t="n">
        <v>0</v>
      </c>
      <c r="U3528" s="182" t="n">
        <v>0</v>
      </c>
      <c r="V3528" s="182" t="n">
        <v>0</v>
      </c>
      <c r="W3528" s="182" t="n">
        <v>0</v>
      </c>
      <c r="X3528" s="182" t="n">
        <v>0</v>
      </c>
      <c r="Y3528" s="182" t="n">
        <v>0</v>
      </c>
      <c r="Z3528" s="182" t="n">
        <v>0</v>
      </c>
      <c r="AA3528" s="182" t="n">
        <v>0</v>
      </c>
      <c r="AB3528" s="182" t="n">
        <v>0</v>
      </c>
      <c r="AC3528" s="182" t="n">
        <v>0</v>
      </c>
      <c r="AD3528" s="182" t="n">
        <v>0</v>
      </c>
      <c r="AE3528" s="182" t="n">
        <v>0</v>
      </c>
      <c r="AF3528" s="182" t="n">
        <v>0</v>
      </c>
      <c r="AG3528" s="182" t="n">
        <v>0</v>
      </c>
      <c r="AH3528" s="182" t="n">
        <v>0</v>
      </c>
      <c r="AI3528" s="182" t="n">
        <v>0</v>
      </c>
      <c r="AJ3528" s="182" t="n">
        <v>0</v>
      </c>
      <c r="AK3528" s="182" t="n">
        <v>0</v>
      </c>
      <c r="AL3528" s="182" t="n">
        <v>0</v>
      </c>
      <c r="AM3528" s="182" t="n">
        <v>0</v>
      </c>
      <c r="AN3528" s="182" t="n">
        <v>0</v>
      </c>
    </row>
    <row r="3529">
      <c r="A3529" s="155" t="n">
        <v>46098</v>
      </c>
      <c r="B3529" s="156" t="inlineStr">
        <is>
          <t>DS</t>
        </is>
      </c>
      <c r="C3529" s="156" t="inlineStr">
        <is>
          <t>DZ-036</t>
        </is>
      </c>
      <c r="D3529" s="156" t="inlineStr">
        <is>
          <t>D 85 ESS-2</t>
        </is>
      </c>
      <c r="E3529" s="156" t="inlineStr">
        <is>
          <t>Bulldozer</t>
        </is>
      </c>
      <c r="F3529" s="156" t="inlineStr"/>
      <c r="G3529" s="182" t="n">
        <v>0</v>
      </c>
      <c r="H3529" s="182" t="n">
        <v>2</v>
      </c>
      <c r="I3529" s="182" t="n">
        <v>0</v>
      </c>
      <c r="J3529" s="182" t="n">
        <v>2</v>
      </c>
      <c r="K3529" s="182" t="n">
        <v>10</v>
      </c>
      <c r="L3529" s="182" t="n">
        <v>12</v>
      </c>
      <c r="M3529" s="182" t="n">
        <v>0</v>
      </c>
      <c r="N3529" s="182" t="n">
        <v>0</v>
      </c>
      <c r="O3529" s="183" t="n">
        <v>0</v>
      </c>
      <c r="P3529" s="183" t="n">
        <v>0</v>
      </c>
      <c r="Q3529" s="184" t="n">
        <v>0</v>
      </c>
      <c r="R3529" s="184" t="n">
        <v>0</v>
      </c>
      <c r="S3529" s="183" t="n">
        <v>0</v>
      </c>
      <c r="T3529" s="183" t="n">
        <v>0</v>
      </c>
      <c r="U3529" s="182" t="n">
        <v>0</v>
      </c>
      <c r="V3529" s="182" t="n">
        <v>0</v>
      </c>
      <c r="W3529" s="182" t="n">
        <v>0</v>
      </c>
      <c r="X3529" s="182" t="n">
        <v>1</v>
      </c>
      <c r="Y3529" s="182" t="n">
        <v>0</v>
      </c>
      <c r="Z3529" s="182" t="n">
        <v>0</v>
      </c>
      <c r="AA3529" s="182" t="n">
        <v>0</v>
      </c>
      <c r="AB3529" s="182" t="n">
        <v>0</v>
      </c>
      <c r="AC3529" s="182" t="n">
        <v>0</v>
      </c>
      <c r="AD3529" s="182" t="n">
        <v>0</v>
      </c>
      <c r="AE3529" s="182" t="n">
        <v>0</v>
      </c>
      <c r="AF3529" s="182" t="n">
        <v>0</v>
      </c>
      <c r="AG3529" s="182" t="n">
        <v>0</v>
      </c>
      <c r="AH3529" s="182" t="n">
        <v>0</v>
      </c>
      <c r="AI3529" s="182" t="n">
        <v>0</v>
      </c>
      <c r="AJ3529" s="182" t="n">
        <v>0</v>
      </c>
      <c r="AK3529" s="182" t="n">
        <v>8.92</v>
      </c>
      <c r="AL3529" s="182" t="n">
        <v>0</v>
      </c>
      <c r="AM3529" s="182" t="n">
        <v>0.08</v>
      </c>
      <c r="AN3529" s="182" t="n">
        <v>0</v>
      </c>
    </row>
    <row r="3530">
      <c r="A3530" s="155" t="n">
        <v>46098</v>
      </c>
      <c r="B3530" s="156" t="inlineStr">
        <is>
          <t>DS</t>
        </is>
      </c>
      <c r="C3530" s="156" t="inlineStr">
        <is>
          <t>DZ-035</t>
        </is>
      </c>
      <c r="D3530" s="156" t="inlineStr">
        <is>
          <t>D 85 ESS-2</t>
        </is>
      </c>
      <c r="E3530" s="156" t="inlineStr">
        <is>
          <t>Bulldozer</t>
        </is>
      </c>
      <c r="F3530" s="156" t="inlineStr">
        <is>
          <t>Support Front Loading</t>
        </is>
      </c>
      <c r="G3530" s="182" t="n">
        <v>8.19</v>
      </c>
      <c r="H3530" s="182" t="n">
        <v>0</v>
      </c>
      <c r="I3530" s="182" t="n">
        <v>2.33</v>
      </c>
      <c r="J3530" s="182" t="n">
        <v>2.33</v>
      </c>
      <c r="K3530" s="182" t="n">
        <v>1.48</v>
      </c>
      <c r="L3530" s="182" t="n">
        <v>12</v>
      </c>
      <c r="M3530" s="182" t="n">
        <v>0</v>
      </c>
      <c r="N3530" s="182" t="n">
        <v>0</v>
      </c>
      <c r="O3530" s="183" t="n">
        <v>0</v>
      </c>
      <c r="P3530" s="183" t="n">
        <v>0</v>
      </c>
      <c r="Q3530" s="184" t="n">
        <v>0</v>
      </c>
      <c r="R3530" s="184" t="n">
        <v>0</v>
      </c>
      <c r="S3530" s="183" t="n">
        <v>0</v>
      </c>
      <c r="T3530" s="183" t="n">
        <v>0</v>
      </c>
      <c r="U3530" s="182" t="n">
        <v>0</v>
      </c>
      <c r="V3530" s="182" t="n">
        <v>0</v>
      </c>
      <c r="W3530" s="182" t="n">
        <v>0</v>
      </c>
      <c r="X3530" s="182" t="n">
        <v>0.89</v>
      </c>
      <c r="Y3530" s="182" t="n">
        <v>0</v>
      </c>
      <c r="Z3530" s="182" t="n">
        <v>0</v>
      </c>
      <c r="AA3530" s="182" t="n">
        <v>0</v>
      </c>
      <c r="AB3530" s="182" t="n">
        <v>0</v>
      </c>
      <c r="AC3530" s="182" t="n">
        <v>0</v>
      </c>
      <c r="AD3530" s="182" t="n">
        <v>0</v>
      </c>
      <c r="AE3530" s="182" t="n">
        <v>0</v>
      </c>
      <c r="AF3530" s="182" t="n">
        <v>0</v>
      </c>
      <c r="AG3530" s="182" t="n">
        <v>0</v>
      </c>
      <c r="AH3530" s="182" t="n">
        <v>0.51</v>
      </c>
      <c r="AI3530" s="182" t="n">
        <v>0</v>
      </c>
      <c r="AJ3530" s="182" t="n">
        <v>0</v>
      </c>
      <c r="AK3530" s="182" t="n">
        <v>0</v>
      </c>
      <c r="AL3530" s="182" t="n">
        <v>0</v>
      </c>
      <c r="AM3530" s="182" t="n">
        <v>0.07000000000000001</v>
      </c>
      <c r="AN3530" s="182" t="n">
        <v>0</v>
      </c>
    </row>
    <row r="3531">
      <c r="A3531" s="155" t="n">
        <v>46098</v>
      </c>
      <c r="B3531" s="156" t="inlineStr">
        <is>
          <t>DS</t>
        </is>
      </c>
      <c r="C3531" s="156" t="inlineStr">
        <is>
          <t>CP-042</t>
        </is>
      </c>
      <c r="D3531" s="156" t="inlineStr">
        <is>
          <t>SANY - Compactor</t>
        </is>
      </c>
      <c r="E3531" s="156" t="inlineStr">
        <is>
          <t>Compactor</t>
        </is>
      </c>
      <c r="F3531" s="156" t="inlineStr"/>
      <c r="G3531" s="182" t="n">
        <v>0</v>
      </c>
      <c r="H3531" s="182" t="n">
        <v>0</v>
      </c>
      <c r="I3531" s="182" t="n">
        <v>0</v>
      </c>
      <c r="J3531" s="182" t="n">
        <v>0</v>
      </c>
      <c r="K3531" s="182" t="n">
        <v>12</v>
      </c>
      <c r="L3531" s="182" t="n">
        <v>12</v>
      </c>
      <c r="M3531" s="182" t="n">
        <v>0</v>
      </c>
      <c r="N3531" s="182" t="n">
        <v>0</v>
      </c>
      <c r="O3531" s="183" t="n">
        <v>0</v>
      </c>
      <c r="P3531" s="183" t="n">
        <v>0</v>
      </c>
      <c r="Q3531" s="184" t="n">
        <v>0</v>
      </c>
      <c r="R3531" s="184" t="n">
        <v>0</v>
      </c>
      <c r="S3531" s="183" t="n">
        <v>0</v>
      </c>
      <c r="T3531" s="183" t="n">
        <v>0</v>
      </c>
      <c r="U3531" s="182" t="n">
        <v>0</v>
      </c>
      <c r="V3531" s="182" t="n">
        <v>0</v>
      </c>
      <c r="W3531" s="182" t="n">
        <v>0</v>
      </c>
      <c r="X3531" s="182" t="n">
        <v>1</v>
      </c>
      <c r="Y3531" s="182" t="n">
        <v>0</v>
      </c>
      <c r="Z3531" s="182" t="n">
        <v>0</v>
      </c>
      <c r="AA3531" s="182" t="n">
        <v>0</v>
      </c>
      <c r="AB3531" s="182" t="n">
        <v>0</v>
      </c>
      <c r="AC3531" s="182" t="n">
        <v>0</v>
      </c>
      <c r="AD3531" s="182" t="n">
        <v>0</v>
      </c>
      <c r="AE3531" s="182" t="n">
        <v>0</v>
      </c>
      <c r="AF3531" s="182" t="n">
        <v>0</v>
      </c>
      <c r="AG3531" s="182" t="n">
        <v>0</v>
      </c>
      <c r="AH3531" s="182" t="n">
        <v>0</v>
      </c>
      <c r="AI3531" s="182" t="n">
        <v>0</v>
      </c>
      <c r="AJ3531" s="182" t="n">
        <v>0</v>
      </c>
      <c r="AK3531" s="182" t="n">
        <v>10.92</v>
      </c>
      <c r="AL3531" s="182" t="n">
        <v>0</v>
      </c>
      <c r="AM3531" s="182" t="n">
        <v>0.08</v>
      </c>
      <c r="AN3531" s="182" t="n">
        <v>0</v>
      </c>
    </row>
    <row r="3532">
      <c r="A3532" s="155" t="n">
        <v>46098</v>
      </c>
      <c r="B3532" s="156" t="inlineStr">
        <is>
          <t>DS</t>
        </is>
      </c>
      <c r="C3532" s="156" t="inlineStr">
        <is>
          <t>CP-041</t>
        </is>
      </c>
      <c r="D3532" s="156" t="inlineStr">
        <is>
          <t>SANY - Compactor</t>
        </is>
      </c>
      <c r="E3532" s="156" t="inlineStr">
        <is>
          <t>Compactor</t>
        </is>
      </c>
      <c r="F3532" s="156" t="inlineStr">
        <is>
          <t>General Road</t>
        </is>
      </c>
      <c r="G3532" s="182" t="n">
        <v>6.45</v>
      </c>
      <c r="H3532" s="182" t="n">
        <v>0</v>
      </c>
      <c r="I3532" s="182" t="n">
        <v>0</v>
      </c>
      <c r="J3532" s="182" t="n">
        <v>0</v>
      </c>
      <c r="K3532" s="182" t="n">
        <v>5.55</v>
      </c>
      <c r="L3532" s="182" t="n">
        <v>12</v>
      </c>
      <c r="M3532" s="182" t="n">
        <v>0</v>
      </c>
      <c r="N3532" s="182" t="n">
        <v>0</v>
      </c>
      <c r="O3532" s="183" t="n">
        <v>0</v>
      </c>
      <c r="P3532" s="183" t="n">
        <v>0</v>
      </c>
      <c r="Q3532" s="184" t="n">
        <v>0</v>
      </c>
      <c r="R3532" s="184" t="n">
        <v>0</v>
      </c>
      <c r="S3532" s="183" t="n">
        <v>0</v>
      </c>
      <c r="T3532" s="183" t="n">
        <v>0</v>
      </c>
      <c r="U3532" s="182" t="n">
        <v>0</v>
      </c>
      <c r="V3532" s="182" t="n">
        <v>0</v>
      </c>
      <c r="W3532" s="182" t="n">
        <v>0</v>
      </c>
      <c r="X3532" s="182" t="n">
        <v>0.99</v>
      </c>
      <c r="Y3532" s="182" t="n">
        <v>0</v>
      </c>
      <c r="Z3532" s="182" t="n">
        <v>0</v>
      </c>
      <c r="AA3532" s="182" t="n">
        <v>0</v>
      </c>
      <c r="AB3532" s="182" t="n">
        <v>0</v>
      </c>
      <c r="AC3532" s="182" t="n">
        <v>0</v>
      </c>
      <c r="AD3532" s="182" t="n">
        <v>0</v>
      </c>
      <c r="AE3532" s="182" t="n">
        <v>0</v>
      </c>
      <c r="AF3532" s="182" t="n">
        <v>0</v>
      </c>
      <c r="AG3532" s="182" t="n">
        <v>0</v>
      </c>
      <c r="AH3532" s="182" t="n">
        <v>0</v>
      </c>
      <c r="AI3532" s="182" t="n">
        <v>0</v>
      </c>
      <c r="AJ3532" s="182" t="n">
        <v>0</v>
      </c>
      <c r="AK3532" s="182" t="n">
        <v>4.48</v>
      </c>
      <c r="AL3532" s="182" t="n">
        <v>0</v>
      </c>
      <c r="AM3532" s="182" t="n">
        <v>0.08</v>
      </c>
      <c r="AN3532" s="182" t="n">
        <v>0</v>
      </c>
    </row>
    <row r="3533">
      <c r="A3533" s="155" t="n">
        <v>46098</v>
      </c>
      <c r="B3533" s="156" t="inlineStr">
        <is>
          <t>DS</t>
        </is>
      </c>
      <c r="C3533" s="156" t="inlineStr">
        <is>
          <t>HT-418</t>
        </is>
      </c>
      <c r="D3533" s="156" t="inlineStr">
        <is>
          <t>SY430</t>
        </is>
      </c>
      <c r="E3533" s="156" t="inlineStr">
        <is>
          <t>DT Hauling</t>
        </is>
      </c>
      <c r="F3533" s="156" t="inlineStr"/>
      <c r="G3533" s="182" t="n">
        <v>0</v>
      </c>
      <c r="H3533" s="182" t="n">
        <v>0</v>
      </c>
      <c r="I3533" s="182" t="n">
        <v>0</v>
      </c>
      <c r="J3533" s="182" t="n">
        <v>0</v>
      </c>
      <c r="K3533" s="182" t="n">
        <v>12</v>
      </c>
      <c r="L3533" s="182" t="n">
        <v>12</v>
      </c>
      <c r="M3533" s="182" t="n">
        <v>0</v>
      </c>
      <c r="N3533" s="182" t="n">
        <v>0</v>
      </c>
      <c r="O3533" s="183" t="n">
        <v>0</v>
      </c>
      <c r="P3533" s="183" t="n">
        <v>0</v>
      </c>
      <c r="Q3533" s="184" t="n">
        <v>0</v>
      </c>
      <c r="R3533" s="184" t="n">
        <v>0</v>
      </c>
      <c r="S3533" s="183" t="n">
        <v>0</v>
      </c>
      <c r="T3533" s="183" t="n">
        <v>0</v>
      </c>
      <c r="U3533" s="182" t="n">
        <v>0</v>
      </c>
      <c r="V3533" s="182" t="n">
        <v>0</v>
      </c>
      <c r="W3533" s="182" t="n">
        <v>0</v>
      </c>
      <c r="X3533" s="182" t="n">
        <v>1</v>
      </c>
      <c r="Y3533" s="182" t="n">
        <v>0</v>
      </c>
      <c r="Z3533" s="182" t="n">
        <v>0</v>
      </c>
      <c r="AA3533" s="182" t="n">
        <v>0</v>
      </c>
      <c r="AB3533" s="182" t="n">
        <v>0</v>
      </c>
      <c r="AC3533" s="182" t="n">
        <v>0</v>
      </c>
      <c r="AD3533" s="182" t="n">
        <v>0</v>
      </c>
      <c r="AE3533" s="182" t="n">
        <v>0</v>
      </c>
      <c r="AF3533" s="182" t="n">
        <v>0</v>
      </c>
      <c r="AG3533" s="182" t="n">
        <v>0</v>
      </c>
      <c r="AH3533" s="182" t="n">
        <v>0</v>
      </c>
      <c r="AI3533" s="182" t="n">
        <v>0</v>
      </c>
      <c r="AJ3533" s="182" t="n">
        <v>0</v>
      </c>
      <c r="AK3533" s="182" t="n">
        <v>10.92</v>
      </c>
      <c r="AL3533" s="182" t="n">
        <v>0</v>
      </c>
      <c r="AM3533" s="182" t="n">
        <v>0.08</v>
      </c>
      <c r="AN3533" s="182" t="n">
        <v>0</v>
      </c>
    </row>
    <row r="3534">
      <c r="A3534" s="155" t="n">
        <v>46098</v>
      </c>
      <c r="B3534" s="156" t="inlineStr">
        <is>
          <t>DS</t>
        </is>
      </c>
      <c r="C3534" s="156" t="inlineStr">
        <is>
          <t>HT-404</t>
        </is>
      </c>
      <c r="D3534" s="156" t="inlineStr">
        <is>
          <t>SY430</t>
        </is>
      </c>
      <c r="E3534" s="156" t="inlineStr">
        <is>
          <t>DT Hauling</t>
        </is>
      </c>
      <c r="F3534" s="156" t="inlineStr"/>
      <c r="G3534" s="182" t="n">
        <v>0</v>
      </c>
      <c r="H3534" s="182" t="n">
        <v>0</v>
      </c>
      <c r="I3534" s="182" t="n">
        <v>0</v>
      </c>
      <c r="J3534" s="182" t="n">
        <v>0</v>
      </c>
      <c r="K3534" s="182" t="n">
        <v>12</v>
      </c>
      <c r="L3534" s="182" t="n">
        <v>12</v>
      </c>
      <c r="M3534" s="182" t="n">
        <v>0</v>
      </c>
      <c r="N3534" s="182" t="n">
        <v>0</v>
      </c>
      <c r="O3534" s="183" t="n">
        <v>0</v>
      </c>
      <c r="P3534" s="183" t="n">
        <v>0</v>
      </c>
      <c r="Q3534" s="184" t="n">
        <v>0</v>
      </c>
      <c r="R3534" s="184" t="n">
        <v>0</v>
      </c>
      <c r="S3534" s="183" t="n">
        <v>0</v>
      </c>
      <c r="T3534" s="183" t="n">
        <v>0</v>
      </c>
      <c r="U3534" s="182" t="n">
        <v>0</v>
      </c>
      <c r="V3534" s="182" t="n">
        <v>0</v>
      </c>
      <c r="W3534" s="182" t="n">
        <v>0</v>
      </c>
      <c r="X3534" s="182" t="n">
        <v>1</v>
      </c>
      <c r="Y3534" s="182" t="n">
        <v>0</v>
      </c>
      <c r="Z3534" s="182" t="n">
        <v>0</v>
      </c>
      <c r="AA3534" s="182" t="n">
        <v>0</v>
      </c>
      <c r="AB3534" s="182" t="n">
        <v>0</v>
      </c>
      <c r="AC3534" s="182" t="n">
        <v>0</v>
      </c>
      <c r="AD3534" s="182" t="n">
        <v>0</v>
      </c>
      <c r="AE3534" s="182" t="n">
        <v>0</v>
      </c>
      <c r="AF3534" s="182" t="n">
        <v>0</v>
      </c>
      <c r="AG3534" s="182" t="n">
        <v>0</v>
      </c>
      <c r="AH3534" s="182" t="n">
        <v>0</v>
      </c>
      <c r="AI3534" s="182" t="n">
        <v>0</v>
      </c>
      <c r="AJ3534" s="182" t="n">
        <v>0</v>
      </c>
      <c r="AK3534" s="182" t="n">
        <v>10.92</v>
      </c>
      <c r="AL3534" s="182" t="n">
        <v>0</v>
      </c>
      <c r="AM3534" s="182" t="n">
        <v>0.08</v>
      </c>
      <c r="AN3534" s="182" t="n">
        <v>0</v>
      </c>
    </row>
    <row r="3535">
      <c r="A3535" s="155" t="n">
        <v>46098</v>
      </c>
      <c r="B3535" s="156" t="inlineStr">
        <is>
          <t>DS</t>
        </is>
      </c>
      <c r="C3535" s="156" t="inlineStr">
        <is>
          <t>HT-415</t>
        </is>
      </c>
      <c r="D3535" s="156" t="inlineStr">
        <is>
          <t>SY430</t>
        </is>
      </c>
      <c r="E3535" s="156" t="inlineStr">
        <is>
          <t>DT Hauling</t>
        </is>
      </c>
      <c r="F3535" s="156" t="inlineStr"/>
      <c r="G3535" s="182" t="n">
        <v>0</v>
      </c>
      <c r="H3535" s="182" t="n">
        <v>0</v>
      </c>
      <c r="I3535" s="182" t="n">
        <v>12</v>
      </c>
      <c r="J3535" s="182" t="n">
        <v>12</v>
      </c>
      <c r="K3535" s="182" t="n">
        <v>0</v>
      </c>
      <c r="L3535" s="182" t="n">
        <v>12</v>
      </c>
      <c r="M3535" s="182" t="n">
        <v>0</v>
      </c>
      <c r="N3535" s="182" t="n">
        <v>0</v>
      </c>
      <c r="O3535" s="183" t="n">
        <v>0</v>
      </c>
      <c r="P3535" s="183" t="n">
        <v>0</v>
      </c>
      <c r="Q3535" s="184" t="n">
        <v>0</v>
      </c>
      <c r="R3535" s="184" t="n">
        <v>0</v>
      </c>
      <c r="S3535" s="183" t="n">
        <v>0</v>
      </c>
      <c r="T3535" s="183" t="n">
        <v>0</v>
      </c>
      <c r="U3535" s="182" t="n">
        <v>0</v>
      </c>
      <c r="V3535" s="182" t="n">
        <v>0</v>
      </c>
      <c r="W3535" s="182" t="n">
        <v>0</v>
      </c>
      <c r="X3535" s="182" t="n">
        <v>0</v>
      </c>
      <c r="Y3535" s="182" t="n">
        <v>0</v>
      </c>
      <c r="Z3535" s="182" t="n">
        <v>0</v>
      </c>
      <c r="AA3535" s="182" t="n">
        <v>0</v>
      </c>
      <c r="AB3535" s="182" t="n">
        <v>0</v>
      </c>
      <c r="AC3535" s="182" t="n">
        <v>0</v>
      </c>
      <c r="AD3535" s="182" t="n">
        <v>0</v>
      </c>
      <c r="AE3535" s="182" t="n">
        <v>0</v>
      </c>
      <c r="AF3535" s="182" t="n">
        <v>0</v>
      </c>
      <c r="AG3535" s="182" t="n">
        <v>0</v>
      </c>
      <c r="AH3535" s="182" t="n">
        <v>0</v>
      </c>
      <c r="AI3535" s="182" t="n">
        <v>0</v>
      </c>
      <c r="AJ3535" s="182" t="n">
        <v>0</v>
      </c>
      <c r="AK3535" s="182" t="n">
        <v>0</v>
      </c>
      <c r="AL3535" s="182" t="n">
        <v>0</v>
      </c>
      <c r="AM3535" s="182" t="n">
        <v>0</v>
      </c>
      <c r="AN3535" s="182" t="n">
        <v>0</v>
      </c>
    </row>
    <row r="3536">
      <c r="A3536" s="155" t="n">
        <v>46098</v>
      </c>
      <c r="B3536" s="156" t="inlineStr">
        <is>
          <t>DS</t>
        </is>
      </c>
      <c r="C3536" s="156" t="inlineStr">
        <is>
          <t>HT-406</t>
        </is>
      </c>
      <c r="D3536" s="156" t="inlineStr">
        <is>
          <t>SY430</t>
        </is>
      </c>
      <c r="E3536" s="156" t="inlineStr">
        <is>
          <t>DT Hauling</t>
        </is>
      </c>
      <c r="F3536" s="156" t="inlineStr"/>
      <c r="G3536" s="182" t="n">
        <v>0</v>
      </c>
      <c r="H3536" s="182" t="n">
        <v>0</v>
      </c>
      <c r="I3536" s="182" t="n">
        <v>0</v>
      </c>
      <c r="J3536" s="182" t="n">
        <v>0</v>
      </c>
      <c r="K3536" s="182" t="n">
        <v>12</v>
      </c>
      <c r="L3536" s="182" t="n">
        <v>12</v>
      </c>
      <c r="M3536" s="182" t="n">
        <v>0</v>
      </c>
      <c r="N3536" s="182" t="n">
        <v>0</v>
      </c>
      <c r="O3536" s="183" t="n">
        <v>0</v>
      </c>
      <c r="P3536" s="183" t="n">
        <v>0</v>
      </c>
      <c r="Q3536" s="184" t="n">
        <v>0</v>
      </c>
      <c r="R3536" s="184" t="n">
        <v>0</v>
      </c>
      <c r="S3536" s="183" t="n">
        <v>0</v>
      </c>
      <c r="T3536" s="183" t="n">
        <v>0</v>
      </c>
      <c r="U3536" s="182" t="n">
        <v>0</v>
      </c>
      <c r="V3536" s="182" t="n">
        <v>0</v>
      </c>
      <c r="W3536" s="182" t="n">
        <v>0</v>
      </c>
      <c r="X3536" s="182" t="n">
        <v>1</v>
      </c>
      <c r="Y3536" s="182" t="n">
        <v>0</v>
      </c>
      <c r="Z3536" s="182" t="n">
        <v>0</v>
      </c>
      <c r="AA3536" s="182" t="n">
        <v>0</v>
      </c>
      <c r="AB3536" s="182" t="n">
        <v>0</v>
      </c>
      <c r="AC3536" s="182" t="n">
        <v>0</v>
      </c>
      <c r="AD3536" s="182" t="n">
        <v>0</v>
      </c>
      <c r="AE3536" s="182" t="n">
        <v>0</v>
      </c>
      <c r="AF3536" s="182" t="n">
        <v>0</v>
      </c>
      <c r="AG3536" s="182" t="n">
        <v>0</v>
      </c>
      <c r="AH3536" s="182" t="n">
        <v>0</v>
      </c>
      <c r="AI3536" s="182" t="n">
        <v>0</v>
      </c>
      <c r="AJ3536" s="182" t="n">
        <v>0</v>
      </c>
      <c r="AK3536" s="182" t="n">
        <v>10.92</v>
      </c>
      <c r="AL3536" s="182" t="n">
        <v>0</v>
      </c>
      <c r="AM3536" s="182" t="n">
        <v>0.08</v>
      </c>
      <c r="AN3536" s="182" t="n">
        <v>0</v>
      </c>
    </row>
    <row r="3537">
      <c r="A3537" s="155" t="n">
        <v>46098</v>
      </c>
      <c r="B3537" s="156" t="inlineStr">
        <is>
          <t>DS</t>
        </is>
      </c>
      <c r="C3537" s="156" t="inlineStr">
        <is>
          <t>HT-405</t>
        </is>
      </c>
      <c r="D3537" s="156" t="inlineStr">
        <is>
          <t>SY430</t>
        </is>
      </c>
      <c r="E3537" s="156" t="inlineStr">
        <is>
          <t>DT Hauling</t>
        </is>
      </c>
      <c r="F3537" s="156" t="inlineStr"/>
      <c r="G3537" s="182" t="n">
        <v>0</v>
      </c>
      <c r="H3537" s="182" t="n">
        <v>0</v>
      </c>
      <c r="I3537" s="182" t="n">
        <v>12</v>
      </c>
      <c r="J3537" s="182" t="n">
        <v>12</v>
      </c>
      <c r="K3537" s="182" t="n">
        <v>0</v>
      </c>
      <c r="L3537" s="182" t="n">
        <v>12</v>
      </c>
      <c r="M3537" s="182" t="n">
        <v>0</v>
      </c>
      <c r="N3537" s="182" t="n">
        <v>0</v>
      </c>
      <c r="O3537" s="183" t="n">
        <v>0</v>
      </c>
      <c r="P3537" s="183" t="n">
        <v>0</v>
      </c>
      <c r="Q3537" s="184" t="n">
        <v>0</v>
      </c>
      <c r="R3537" s="184" t="n">
        <v>0</v>
      </c>
      <c r="S3537" s="183" t="n">
        <v>0</v>
      </c>
      <c r="T3537" s="183" t="n">
        <v>0</v>
      </c>
      <c r="U3537" s="182" t="n">
        <v>0</v>
      </c>
      <c r="V3537" s="182" t="n">
        <v>0</v>
      </c>
      <c r="W3537" s="182" t="n">
        <v>0</v>
      </c>
      <c r="X3537" s="182" t="n">
        <v>0</v>
      </c>
      <c r="Y3537" s="182" t="n">
        <v>0</v>
      </c>
      <c r="Z3537" s="182" t="n">
        <v>0</v>
      </c>
      <c r="AA3537" s="182" t="n">
        <v>0</v>
      </c>
      <c r="AB3537" s="182" t="n">
        <v>0</v>
      </c>
      <c r="AC3537" s="182" t="n">
        <v>0</v>
      </c>
      <c r="AD3537" s="182" t="n">
        <v>0</v>
      </c>
      <c r="AE3537" s="182" t="n">
        <v>0</v>
      </c>
      <c r="AF3537" s="182" t="n">
        <v>0</v>
      </c>
      <c r="AG3537" s="182" t="n">
        <v>0</v>
      </c>
      <c r="AH3537" s="182" t="n">
        <v>0</v>
      </c>
      <c r="AI3537" s="182" t="n">
        <v>0</v>
      </c>
      <c r="AJ3537" s="182" t="n">
        <v>0</v>
      </c>
      <c r="AK3537" s="182" t="n">
        <v>0</v>
      </c>
      <c r="AL3537" s="182" t="n">
        <v>0</v>
      </c>
      <c r="AM3537" s="182" t="n">
        <v>0</v>
      </c>
      <c r="AN3537" s="182" t="n">
        <v>0</v>
      </c>
    </row>
    <row r="3538">
      <c r="A3538" s="155" t="n">
        <v>46098</v>
      </c>
      <c r="B3538" s="156" t="inlineStr">
        <is>
          <t>DS</t>
        </is>
      </c>
      <c r="C3538" s="156" t="inlineStr">
        <is>
          <t>HT-417</t>
        </is>
      </c>
      <c r="D3538" s="156" t="inlineStr">
        <is>
          <t>SY430</t>
        </is>
      </c>
      <c r="E3538" s="156" t="inlineStr">
        <is>
          <t>DT Hauling</t>
        </is>
      </c>
      <c r="F3538" s="156" t="inlineStr"/>
      <c r="G3538" s="182" t="n">
        <v>0</v>
      </c>
      <c r="H3538" s="182" t="n">
        <v>0</v>
      </c>
      <c r="I3538" s="182" t="n">
        <v>0</v>
      </c>
      <c r="J3538" s="182" t="n">
        <v>0</v>
      </c>
      <c r="K3538" s="182" t="n">
        <v>12</v>
      </c>
      <c r="L3538" s="182" t="n">
        <v>12</v>
      </c>
      <c r="M3538" s="182" t="n">
        <v>0</v>
      </c>
      <c r="N3538" s="182" t="n">
        <v>0</v>
      </c>
      <c r="O3538" s="183" t="n">
        <v>0</v>
      </c>
      <c r="P3538" s="183" t="n">
        <v>0</v>
      </c>
      <c r="Q3538" s="184" t="n">
        <v>0</v>
      </c>
      <c r="R3538" s="184" t="n">
        <v>0</v>
      </c>
      <c r="S3538" s="183" t="n">
        <v>0</v>
      </c>
      <c r="T3538" s="183" t="n">
        <v>0</v>
      </c>
      <c r="U3538" s="182" t="n">
        <v>0</v>
      </c>
      <c r="V3538" s="182" t="n">
        <v>0</v>
      </c>
      <c r="W3538" s="182" t="n">
        <v>0</v>
      </c>
      <c r="X3538" s="182" t="n">
        <v>1</v>
      </c>
      <c r="Y3538" s="182" t="n">
        <v>0</v>
      </c>
      <c r="Z3538" s="182" t="n">
        <v>0</v>
      </c>
      <c r="AA3538" s="182" t="n">
        <v>0</v>
      </c>
      <c r="AB3538" s="182" t="n">
        <v>0</v>
      </c>
      <c r="AC3538" s="182" t="n">
        <v>0</v>
      </c>
      <c r="AD3538" s="182" t="n">
        <v>0</v>
      </c>
      <c r="AE3538" s="182" t="n">
        <v>0</v>
      </c>
      <c r="AF3538" s="182" t="n">
        <v>0</v>
      </c>
      <c r="AG3538" s="182" t="n">
        <v>0</v>
      </c>
      <c r="AH3538" s="182" t="n">
        <v>0</v>
      </c>
      <c r="AI3538" s="182" t="n">
        <v>0</v>
      </c>
      <c r="AJ3538" s="182" t="n">
        <v>0</v>
      </c>
      <c r="AK3538" s="182" t="n">
        <v>10.92</v>
      </c>
      <c r="AL3538" s="182" t="n">
        <v>0</v>
      </c>
      <c r="AM3538" s="182" t="n">
        <v>0.08</v>
      </c>
      <c r="AN3538" s="182" t="n">
        <v>0</v>
      </c>
    </row>
    <row r="3539">
      <c r="A3539" s="155" t="n">
        <v>46098</v>
      </c>
      <c r="B3539" s="156" t="inlineStr">
        <is>
          <t>DS</t>
        </is>
      </c>
      <c r="C3539" s="156" t="inlineStr">
        <is>
          <t>HT-401</t>
        </is>
      </c>
      <c r="D3539" s="156" t="inlineStr">
        <is>
          <t>SY430</t>
        </is>
      </c>
      <c r="E3539" s="156" t="inlineStr">
        <is>
          <t>DT Hauling</t>
        </is>
      </c>
      <c r="F3539" s="156" t="inlineStr"/>
      <c r="G3539" s="182" t="n">
        <v>0</v>
      </c>
      <c r="H3539" s="182" t="n">
        <v>0</v>
      </c>
      <c r="I3539" s="182" t="n">
        <v>0</v>
      </c>
      <c r="J3539" s="182" t="n">
        <v>0</v>
      </c>
      <c r="K3539" s="182" t="n">
        <v>12</v>
      </c>
      <c r="L3539" s="182" t="n">
        <v>12</v>
      </c>
      <c r="M3539" s="182" t="n">
        <v>0</v>
      </c>
      <c r="N3539" s="182" t="n">
        <v>0</v>
      </c>
      <c r="O3539" s="183" t="n">
        <v>0</v>
      </c>
      <c r="P3539" s="183" t="n">
        <v>0</v>
      </c>
      <c r="Q3539" s="184" t="n">
        <v>0</v>
      </c>
      <c r="R3539" s="184" t="n">
        <v>0</v>
      </c>
      <c r="S3539" s="183" t="n">
        <v>0</v>
      </c>
      <c r="T3539" s="183" t="n">
        <v>0</v>
      </c>
      <c r="U3539" s="182" t="n">
        <v>0</v>
      </c>
      <c r="V3539" s="182" t="n">
        <v>0</v>
      </c>
      <c r="W3539" s="182" t="n">
        <v>0</v>
      </c>
      <c r="X3539" s="182" t="n">
        <v>1</v>
      </c>
      <c r="Y3539" s="182" t="n">
        <v>0</v>
      </c>
      <c r="Z3539" s="182" t="n">
        <v>0</v>
      </c>
      <c r="AA3539" s="182" t="n">
        <v>0</v>
      </c>
      <c r="AB3539" s="182" t="n">
        <v>0</v>
      </c>
      <c r="AC3539" s="182" t="n">
        <v>0</v>
      </c>
      <c r="AD3539" s="182" t="n">
        <v>0</v>
      </c>
      <c r="AE3539" s="182" t="n">
        <v>0</v>
      </c>
      <c r="AF3539" s="182" t="n">
        <v>0</v>
      </c>
      <c r="AG3539" s="182" t="n">
        <v>0</v>
      </c>
      <c r="AH3539" s="182" t="n">
        <v>0</v>
      </c>
      <c r="AI3539" s="182" t="n">
        <v>0</v>
      </c>
      <c r="AJ3539" s="182" t="n">
        <v>0</v>
      </c>
      <c r="AK3539" s="182" t="n">
        <v>10.92</v>
      </c>
      <c r="AL3539" s="182" t="n">
        <v>0</v>
      </c>
      <c r="AM3539" s="182" t="n">
        <v>0.08</v>
      </c>
      <c r="AN3539" s="182" t="n">
        <v>0</v>
      </c>
    </row>
    <row r="3540">
      <c r="A3540" s="155" t="n">
        <v>46098</v>
      </c>
      <c r="B3540" s="156" t="inlineStr">
        <is>
          <t>DS</t>
        </is>
      </c>
      <c r="C3540" s="156" t="inlineStr">
        <is>
          <t>HT-410</t>
        </is>
      </c>
      <c r="D3540" s="156" t="inlineStr">
        <is>
          <t>SY430</t>
        </is>
      </c>
      <c r="E3540" s="156" t="inlineStr">
        <is>
          <t>DT Hauling</t>
        </is>
      </c>
      <c r="F3540" s="156" t="inlineStr"/>
      <c r="G3540" s="182" t="n">
        <v>0</v>
      </c>
      <c r="H3540" s="182" t="n">
        <v>0</v>
      </c>
      <c r="I3540" s="182" t="n">
        <v>0</v>
      </c>
      <c r="J3540" s="182" t="n">
        <v>0</v>
      </c>
      <c r="K3540" s="182" t="n">
        <v>12</v>
      </c>
      <c r="L3540" s="182" t="n">
        <v>12</v>
      </c>
      <c r="M3540" s="182" t="n">
        <v>0</v>
      </c>
      <c r="N3540" s="182" t="n">
        <v>0</v>
      </c>
      <c r="O3540" s="183" t="n">
        <v>0</v>
      </c>
      <c r="P3540" s="183" t="n">
        <v>0</v>
      </c>
      <c r="Q3540" s="184" t="n">
        <v>0</v>
      </c>
      <c r="R3540" s="184" t="n">
        <v>0</v>
      </c>
      <c r="S3540" s="183" t="n">
        <v>0</v>
      </c>
      <c r="T3540" s="183" t="n">
        <v>0</v>
      </c>
      <c r="U3540" s="182" t="n">
        <v>0</v>
      </c>
      <c r="V3540" s="182" t="n">
        <v>0</v>
      </c>
      <c r="W3540" s="182" t="n">
        <v>0</v>
      </c>
      <c r="X3540" s="182" t="n">
        <v>1</v>
      </c>
      <c r="Y3540" s="182" t="n">
        <v>0</v>
      </c>
      <c r="Z3540" s="182" t="n">
        <v>0</v>
      </c>
      <c r="AA3540" s="182" t="n">
        <v>0</v>
      </c>
      <c r="AB3540" s="182" t="n">
        <v>0</v>
      </c>
      <c r="AC3540" s="182" t="n">
        <v>0</v>
      </c>
      <c r="AD3540" s="182" t="n">
        <v>0</v>
      </c>
      <c r="AE3540" s="182" t="n">
        <v>0</v>
      </c>
      <c r="AF3540" s="182" t="n">
        <v>0</v>
      </c>
      <c r="AG3540" s="182" t="n">
        <v>0</v>
      </c>
      <c r="AH3540" s="182" t="n">
        <v>0</v>
      </c>
      <c r="AI3540" s="182" t="n">
        <v>0</v>
      </c>
      <c r="AJ3540" s="182" t="n">
        <v>0</v>
      </c>
      <c r="AK3540" s="182" t="n">
        <v>10.92</v>
      </c>
      <c r="AL3540" s="182" t="n">
        <v>0</v>
      </c>
      <c r="AM3540" s="182" t="n">
        <v>0.08</v>
      </c>
      <c r="AN3540" s="182" t="n">
        <v>0</v>
      </c>
    </row>
    <row r="3541">
      <c r="A3541" s="155" t="n">
        <v>46098</v>
      </c>
      <c r="B3541" s="156" t="inlineStr">
        <is>
          <t>DS</t>
        </is>
      </c>
      <c r="C3541" s="156" t="inlineStr">
        <is>
          <t>HT-402</t>
        </is>
      </c>
      <c r="D3541" s="156" t="inlineStr">
        <is>
          <t>SY430</t>
        </is>
      </c>
      <c r="E3541" s="156" t="inlineStr">
        <is>
          <t>DT Hauling</t>
        </is>
      </c>
      <c r="F3541" s="156" t="inlineStr"/>
      <c r="G3541" s="182" t="n">
        <v>0</v>
      </c>
      <c r="H3541" s="182" t="n">
        <v>0</v>
      </c>
      <c r="I3541" s="182" t="n">
        <v>12</v>
      </c>
      <c r="J3541" s="182" t="n">
        <v>12</v>
      </c>
      <c r="K3541" s="182" t="n">
        <v>0</v>
      </c>
      <c r="L3541" s="182" t="n">
        <v>12</v>
      </c>
      <c r="M3541" s="182" t="n">
        <v>0</v>
      </c>
      <c r="N3541" s="182" t="n">
        <v>0</v>
      </c>
      <c r="O3541" s="183" t="n">
        <v>0</v>
      </c>
      <c r="P3541" s="183" t="n">
        <v>0</v>
      </c>
      <c r="Q3541" s="184" t="n">
        <v>0</v>
      </c>
      <c r="R3541" s="184" t="n">
        <v>0</v>
      </c>
      <c r="S3541" s="183" t="n">
        <v>0</v>
      </c>
      <c r="T3541" s="183" t="n">
        <v>0</v>
      </c>
      <c r="U3541" s="182" t="n">
        <v>0</v>
      </c>
      <c r="V3541" s="182" t="n">
        <v>0</v>
      </c>
      <c r="W3541" s="182" t="n">
        <v>0</v>
      </c>
      <c r="X3541" s="182" t="n">
        <v>0</v>
      </c>
      <c r="Y3541" s="182" t="n">
        <v>0</v>
      </c>
      <c r="Z3541" s="182" t="n">
        <v>0</v>
      </c>
      <c r="AA3541" s="182" t="n">
        <v>0</v>
      </c>
      <c r="AB3541" s="182" t="n">
        <v>0</v>
      </c>
      <c r="AC3541" s="182" t="n">
        <v>0</v>
      </c>
      <c r="AD3541" s="182" t="n">
        <v>0</v>
      </c>
      <c r="AE3541" s="182" t="n">
        <v>0</v>
      </c>
      <c r="AF3541" s="182" t="n">
        <v>0</v>
      </c>
      <c r="AG3541" s="182" t="n">
        <v>0</v>
      </c>
      <c r="AH3541" s="182" t="n">
        <v>0</v>
      </c>
      <c r="AI3541" s="182" t="n">
        <v>0</v>
      </c>
      <c r="AJ3541" s="182" t="n">
        <v>0</v>
      </c>
      <c r="AK3541" s="182" t="n">
        <v>0</v>
      </c>
      <c r="AL3541" s="182" t="n">
        <v>0</v>
      </c>
      <c r="AM3541" s="182" t="n">
        <v>0</v>
      </c>
      <c r="AN3541" s="182" t="n">
        <v>0</v>
      </c>
    </row>
    <row r="3542">
      <c r="A3542" s="155" t="n">
        <v>46098</v>
      </c>
      <c r="B3542" s="156" t="inlineStr">
        <is>
          <t>DS</t>
        </is>
      </c>
      <c r="C3542" s="156" t="inlineStr">
        <is>
          <t>HT-419</t>
        </is>
      </c>
      <c r="D3542" s="156" t="inlineStr">
        <is>
          <t>SY430</t>
        </is>
      </c>
      <c r="E3542" s="156" t="inlineStr">
        <is>
          <t>DT Hauling</t>
        </is>
      </c>
      <c r="F3542" s="156" t="inlineStr"/>
      <c r="G3542" s="182" t="n">
        <v>0</v>
      </c>
      <c r="H3542" s="182" t="n">
        <v>0</v>
      </c>
      <c r="I3542" s="182" t="n">
        <v>12</v>
      </c>
      <c r="J3542" s="182" t="n">
        <v>12</v>
      </c>
      <c r="K3542" s="182" t="n">
        <v>0</v>
      </c>
      <c r="L3542" s="182" t="n">
        <v>12</v>
      </c>
      <c r="M3542" s="182" t="n">
        <v>0</v>
      </c>
      <c r="N3542" s="182" t="n">
        <v>0</v>
      </c>
      <c r="O3542" s="183" t="n">
        <v>0</v>
      </c>
      <c r="P3542" s="183" t="n">
        <v>0</v>
      </c>
      <c r="Q3542" s="184" t="n">
        <v>0</v>
      </c>
      <c r="R3542" s="184" t="n">
        <v>0</v>
      </c>
      <c r="S3542" s="183" t="n">
        <v>0</v>
      </c>
      <c r="T3542" s="183" t="n">
        <v>0</v>
      </c>
      <c r="U3542" s="182" t="n">
        <v>0</v>
      </c>
      <c r="V3542" s="182" t="n">
        <v>0</v>
      </c>
      <c r="W3542" s="182" t="n">
        <v>0</v>
      </c>
      <c r="X3542" s="182" t="n">
        <v>0</v>
      </c>
      <c r="Y3542" s="182" t="n">
        <v>0</v>
      </c>
      <c r="Z3542" s="182" t="n">
        <v>0</v>
      </c>
      <c r="AA3542" s="182" t="n">
        <v>0</v>
      </c>
      <c r="AB3542" s="182" t="n">
        <v>0</v>
      </c>
      <c r="AC3542" s="182" t="n">
        <v>0</v>
      </c>
      <c r="AD3542" s="182" t="n">
        <v>0</v>
      </c>
      <c r="AE3542" s="182" t="n">
        <v>0</v>
      </c>
      <c r="AF3542" s="182" t="n">
        <v>0</v>
      </c>
      <c r="AG3542" s="182" t="n">
        <v>0</v>
      </c>
      <c r="AH3542" s="182" t="n">
        <v>0</v>
      </c>
      <c r="AI3542" s="182" t="n">
        <v>0</v>
      </c>
      <c r="AJ3542" s="182" t="n">
        <v>0</v>
      </c>
      <c r="AK3542" s="182" t="n">
        <v>0</v>
      </c>
      <c r="AL3542" s="182" t="n">
        <v>0</v>
      </c>
      <c r="AM3542" s="182" t="n">
        <v>0</v>
      </c>
      <c r="AN3542" s="182" t="n">
        <v>0</v>
      </c>
    </row>
    <row r="3543">
      <c r="A3543" s="155" t="n">
        <v>46098</v>
      </c>
      <c r="B3543" s="156" t="inlineStr">
        <is>
          <t>DS</t>
        </is>
      </c>
      <c r="C3543" s="156" t="inlineStr">
        <is>
          <t>HT-416</t>
        </is>
      </c>
      <c r="D3543" s="156" t="inlineStr">
        <is>
          <t>SY430</t>
        </is>
      </c>
      <c r="E3543" s="156" t="inlineStr">
        <is>
          <t>DT Hauling</t>
        </is>
      </c>
      <c r="F3543" s="156" t="inlineStr"/>
      <c r="G3543" s="182" t="n">
        <v>0</v>
      </c>
      <c r="H3543" s="182" t="n">
        <v>0</v>
      </c>
      <c r="I3543" s="182" t="n">
        <v>0</v>
      </c>
      <c r="J3543" s="182" t="n">
        <v>0</v>
      </c>
      <c r="K3543" s="182" t="n">
        <v>12</v>
      </c>
      <c r="L3543" s="182" t="n">
        <v>12</v>
      </c>
      <c r="M3543" s="182" t="n">
        <v>0</v>
      </c>
      <c r="N3543" s="182" t="n">
        <v>0</v>
      </c>
      <c r="O3543" s="183" t="n">
        <v>0</v>
      </c>
      <c r="P3543" s="183" t="n">
        <v>0</v>
      </c>
      <c r="Q3543" s="184" t="n">
        <v>0</v>
      </c>
      <c r="R3543" s="184" t="n">
        <v>0</v>
      </c>
      <c r="S3543" s="183" t="n">
        <v>0</v>
      </c>
      <c r="T3543" s="183" t="n">
        <v>0</v>
      </c>
      <c r="U3543" s="182" t="n">
        <v>0</v>
      </c>
      <c r="V3543" s="182" t="n">
        <v>0</v>
      </c>
      <c r="W3543" s="182" t="n">
        <v>0</v>
      </c>
      <c r="X3543" s="182" t="n">
        <v>1</v>
      </c>
      <c r="Y3543" s="182" t="n">
        <v>0</v>
      </c>
      <c r="Z3543" s="182" t="n">
        <v>0</v>
      </c>
      <c r="AA3543" s="182" t="n">
        <v>0</v>
      </c>
      <c r="AB3543" s="182" t="n">
        <v>0</v>
      </c>
      <c r="AC3543" s="182" t="n">
        <v>0</v>
      </c>
      <c r="AD3543" s="182" t="n">
        <v>0</v>
      </c>
      <c r="AE3543" s="182" t="n">
        <v>0</v>
      </c>
      <c r="AF3543" s="182" t="n">
        <v>0</v>
      </c>
      <c r="AG3543" s="182" t="n">
        <v>0</v>
      </c>
      <c r="AH3543" s="182" t="n">
        <v>0</v>
      </c>
      <c r="AI3543" s="182" t="n">
        <v>0</v>
      </c>
      <c r="AJ3543" s="182" t="n">
        <v>0</v>
      </c>
      <c r="AK3543" s="182" t="n">
        <v>10.92</v>
      </c>
      <c r="AL3543" s="182" t="n">
        <v>0</v>
      </c>
      <c r="AM3543" s="182" t="n">
        <v>0.08</v>
      </c>
      <c r="AN3543" s="182" t="n">
        <v>0</v>
      </c>
    </row>
    <row r="3544">
      <c r="A3544" s="155" t="n">
        <v>46098</v>
      </c>
      <c r="B3544" s="156" t="inlineStr">
        <is>
          <t>DS</t>
        </is>
      </c>
      <c r="C3544" s="156" t="inlineStr">
        <is>
          <t>HT-420</t>
        </is>
      </c>
      <c r="D3544" s="156" t="inlineStr">
        <is>
          <t>SY430</t>
        </is>
      </c>
      <c r="E3544" s="156" t="inlineStr">
        <is>
          <t>DT Hauling</t>
        </is>
      </c>
      <c r="F3544" s="156" t="inlineStr"/>
      <c r="G3544" s="182" t="n">
        <v>0</v>
      </c>
      <c r="H3544" s="182" t="n">
        <v>0</v>
      </c>
      <c r="I3544" s="182" t="n">
        <v>0</v>
      </c>
      <c r="J3544" s="182" t="n">
        <v>0</v>
      </c>
      <c r="K3544" s="182" t="n">
        <v>12</v>
      </c>
      <c r="L3544" s="182" t="n">
        <v>12</v>
      </c>
      <c r="M3544" s="182" t="n">
        <v>0</v>
      </c>
      <c r="N3544" s="182" t="n">
        <v>0</v>
      </c>
      <c r="O3544" s="183" t="n">
        <v>0</v>
      </c>
      <c r="P3544" s="183" t="n">
        <v>0</v>
      </c>
      <c r="Q3544" s="184" t="n">
        <v>0</v>
      </c>
      <c r="R3544" s="184" t="n">
        <v>0</v>
      </c>
      <c r="S3544" s="183" t="n">
        <v>0</v>
      </c>
      <c r="T3544" s="183" t="n">
        <v>0</v>
      </c>
      <c r="U3544" s="182" t="n">
        <v>0</v>
      </c>
      <c r="V3544" s="182" t="n">
        <v>0</v>
      </c>
      <c r="W3544" s="182" t="n">
        <v>0</v>
      </c>
      <c r="X3544" s="182" t="n">
        <v>1</v>
      </c>
      <c r="Y3544" s="182" t="n">
        <v>0</v>
      </c>
      <c r="Z3544" s="182" t="n">
        <v>0</v>
      </c>
      <c r="AA3544" s="182" t="n">
        <v>0</v>
      </c>
      <c r="AB3544" s="182" t="n">
        <v>0</v>
      </c>
      <c r="AC3544" s="182" t="n">
        <v>0</v>
      </c>
      <c r="AD3544" s="182" t="n">
        <v>0</v>
      </c>
      <c r="AE3544" s="182" t="n">
        <v>0</v>
      </c>
      <c r="AF3544" s="182" t="n">
        <v>0</v>
      </c>
      <c r="AG3544" s="182" t="n">
        <v>0</v>
      </c>
      <c r="AH3544" s="182" t="n">
        <v>0</v>
      </c>
      <c r="AI3544" s="182" t="n">
        <v>0</v>
      </c>
      <c r="AJ3544" s="182" t="n">
        <v>0</v>
      </c>
      <c r="AK3544" s="182" t="n">
        <v>10.92</v>
      </c>
      <c r="AL3544" s="182" t="n">
        <v>0</v>
      </c>
      <c r="AM3544" s="182" t="n">
        <v>0.08</v>
      </c>
      <c r="AN3544" s="182" t="n">
        <v>0</v>
      </c>
    </row>
    <row r="3545">
      <c r="A3545" s="155" t="n">
        <v>46098</v>
      </c>
      <c r="B3545" s="156" t="inlineStr">
        <is>
          <t>DS</t>
        </is>
      </c>
      <c r="C3545" s="156" t="inlineStr">
        <is>
          <t>HT-403</t>
        </is>
      </c>
      <c r="D3545" s="156" t="inlineStr">
        <is>
          <t>SY430</t>
        </is>
      </c>
      <c r="E3545" s="156" t="inlineStr">
        <is>
          <t>DT Hauling</t>
        </is>
      </c>
      <c r="F3545" s="156" t="inlineStr"/>
      <c r="G3545" s="182" t="n">
        <v>0</v>
      </c>
      <c r="H3545" s="182" t="n">
        <v>0</v>
      </c>
      <c r="I3545" s="182" t="n">
        <v>0</v>
      </c>
      <c r="J3545" s="182" t="n">
        <v>0</v>
      </c>
      <c r="K3545" s="182" t="n">
        <v>12</v>
      </c>
      <c r="L3545" s="182" t="n">
        <v>12</v>
      </c>
      <c r="M3545" s="182" t="n">
        <v>0</v>
      </c>
      <c r="N3545" s="182" t="n">
        <v>0</v>
      </c>
      <c r="O3545" s="183" t="n">
        <v>0</v>
      </c>
      <c r="P3545" s="183" t="n">
        <v>0</v>
      </c>
      <c r="Q3545" s="184" t="n">
        <v>0</v>
      </c>
      <c r="R3545" s="184" t="n">
        <v>0</v>
      </c>
      <c r="S3545" s="183" t="n">
        <v>0</v>
      </c>
      <c r="T3545" s="183" t="n">
        <v>0</v>
      </c>
      <c r="U3545" s="182" t="n">
        <v>0</v>
      </c>
      <c r="V3545" s="182" t="n">
        <v>0</v>
      </c>
      <c r="W3545" s="182" t="n">
        <v>0</v>
      </c>
      <c r="X3545" s="182" t="n">
        <v>1</v>
      </c>
      <c r="Y3545" s="182" t="n">
        <v>0</v>
      </c>
      <c r="Z3545" s="182" t="n">
        <v>0</v>
      </c>
      <c r="AA3545" s="182" t="n">
        <v>0</v>
      </c>
      <c r="AB3545" s="182" t="n">
        <v>0</v>
      </c>
      <c r="AC3545" s="182" t="n">
        <v>0</v>
      </c>
      <c r="AD3545" s="182" t="n">
        <v>0</v>
      </c>
      <c r="AE3545" s="182" t="n">
        <v>0</v>
      </c>
      <c r="AF3545" s="182" t="n">
        <v>0</v>
      </c>
      <c r="AG3545" s="182" t="n">
        <v>0</v>
      </c>
      <c r="AH3545" s="182" t="n">
        <v>0</v>
      </c>
      <c r="AI3545" s="182" t="n">
        <v>0</v>
      </c>
      <c r="AJ3545" s="182" t="n">
        <v>0</v>
      </c>
      <c r="AK3545" s="182" t="n">
        <v>10.92</v>
      </c>
      <c r="AL3545" s="182" t="n">
        <v>0</v>
      </c>
      <c r="AM3545" s="182" t="n">
        <v>0.08</v>
      </c>
      <c r="AN3545" s="182" t="n">
        <v>0</v>
      </c>
    </row>
    <row r="3546">
      <c r="A3546" s="155" t="n">
        <v>46098</v>
      </c>
      <c r="B3546" s="156" t="inlineStr">
        <is>
          <t>DS</t>
        </is>
      </c>
      <c r="C3546" s="156" t="inlineStr">
        <is>
          <t>HT-408</t>
        </is>
      </c>
      <c r="D3546" s="156" t="inlineStr">
        <is>
          <t>SY430</t>
        </is>
      </c>
      <c r="E3546" s="156" t="inlineStr">
        <is>
          <t>DT Hauling</t>
        </is>
      </c>
      <c r="F3546" s="156" t="inlineStr"/>
      <c r="G3546" s="182" t="n">
        <v>0</v>
      </c>
      <c r="H3546" s="182" t="n">
        <v>0</v>
      </c>
      <c r="I3546" s="182" t="n">
        <v>0.17</v>
      </c>
      <c r="J3546" s="182" t="n">
        <v>0.17</v>
      </c>
      <c r="K3546" s="182" t="n">
        <v>11.83</v>
      </c>
      <c r="L3546" s="182" t="n">
        <v>12</v>
      </c>
      <c r="M3546" s="182" t="n">
        <v>0</v>
      </c>
      <c r="N3546" s="182" t="n">
        <v>0</v>
      </c>
      <c r="O3546" s="183" t="n">
        <v>0</v>
      </c>
      <c r="P3546" s="183" t="n">
        <v>0</v>
      </c>
      <c r="Q3546" s="184" t="n">
        <v>0</v>
      </c>
      <c r="R3546" s="184" t="n">
        <v>0</v>
      </c>
      <c r="S3546" s="183" t="n">
        <v>0</v>
      </c>
      <c r="T3546" s="183" t="n">
        <v>0</v>
      </c>
      <c r="U3546" s="182" t="n">
        <v>0</v>
      </c>
      <c r="V3546" s="182" t="n">
        <v>0</v>
      </c>
      <c r="W3546" s="182" t="n">
        <v>0</v>
      </c>
      <c r="X3546" s="182" t="n">
        <v>1</v>
      </c>
      <c r="Y3546" s="182" t="n">
        <v>0</v>
      </c>
      <c r="Z3546" s="182" t="n">
        <v>0</v>
      </c>
      <c r="AA3546" s="182" t="n">
        <v>0</v>
      </c>
      <c r="AB3546" s="182" t="n">
        <v>0</v>
      </c>
      <c r="AC3546" s="182" t="n">
        <v>0</v>
      </c>
      <c r="AD3546" s="182" t="n">
        <v>0</v>
      </c>
      <c r="AE3546" s="182" t="n">
        <v>0</v>
      </c>
      <c r="AF3546" s="182" t="n">
        <v>0</v>
      </c>
      <c r="AG3546" s="182" t="n">
        <v>0</v>
      </c>
      <c r="AH3546" s="182" t="n">
        <v>0</v>
      </c>
      <c r="AI3546" s="182" t="n">
        <v>0</v>
      </c>
      <c r="AJ3546" s="182" t="n">
        <v>0</v>
      </c>
      <c r="AK3546" s="182" t="n">
        <v>10.75</v>
      </c>
      <c r="AL3546" s="182" t="n">
        <v>0</v>
      </c>
      <c r="AM3546" s="182" t="n">
        <v>0.08</v>
      </c>
      <c r="AN3546" s="182" t="n">
        <v>0</v>
      </c>
    </row>
    <row r="3547">
      <c r="A3547" s="155" t="n">
        <v>46098</v>
      </c>
      <c r="B3547" s="156" t="inlineStr">
        <is>
          <t>DS</t>
        </is>
      </c>
      <c r="C3547" s="156" t="inlineStr">
        <is>
          <t>HT-412</t>
        </is>
      </c>
      <c r="D3547" s="156" t="inlineStr">
        <is>
          <t>SY430</t>
        </is>
      </c>
      <c r="E3547" s="156" t="inlineStr">
        <is>
          <t>DT Hauling</t>
        </is>
      </c>
      <c r="F3547" s="156" t="inlineStr">
        <is>
          <t>Travel</t>
        </is>
      </c>
      <c r="G3547" s="182" t="n">
        <v>0.97</v>
      </c>
      <c r="H3547" s="182" t="n">
        <v>0</v>
      </c>
      <c r="I3547" s="182" t="n">
        <v>7.3</v>
      </c>
      <c r="J3547" s="182" t="n">
        <v>7.3</v>
      </c>
      <c r="K3547" s="182" t="n">
        <v>3.73</v>
      </c>
      <c r="L3547" s="182" t="n">
        <v>12</v>
      </c>
      <c r="M3547" s="182" t="n">
        <v>0</v>
      </c>
      <c r="N3547" s="182" t="n">
        <v>0</v>
      </c>
      <c r="O3547" s="183" t="n">
        <v>0</v>
      </c>
      <c r="P3547" s="183" t="n">
        <v>0</v>
      </c>
      <c r="Q3547" s="184" t="n">
        <v>0</v>
      </c>
      <c r="R3547" s="184" t="n">
        <v>0</v>
      </c>
      <c r="S3547" s="183" t="n">
        <v>0</v>
      </c>
      <c r="T3547" s="183" t="n">
        <v>0</v>
      </c>
      <c r="U3547" s="182" t="n">
        <v>0</v>
      </c>
      <c r="V3547" s="182" t="n">
        <v>0</v>
      </c>
      <c r="W3547" s="182" t="n">
        <v>0</v>
      </c>
      <c r="X3547" s="182" t="n">
        <v>0.98</v>
      </c>
      <c r="Y3547" s="182" t="n">
        <v>0</v>
      </c>
      <c r="Z3547" s="182" t="n">
        <v>0</v>
      </c>
      <c r="AA3547" s="182" t="n">
        <v>0</v>
      </c>
      <c r="AB3547" s="182" t="n">
        <v>0</v>
      </c>
      <c r="AC3547" s="182" t="n">
        <v>0</v>
      </c>
      <c r="AD3547" s="182" t="n">
        <v>0</v>
      </c>
      <c r="AE3547" s="182" t="n">
        <v>0</v>
      </c>
      <c r="AF3547" s="182" t="n">
        <v>0</v>
      </c>
      <c r="AG3547" s="182" t="n">
        <v>0</v>
      </c>
      <c r="AH3547" s="182" t="n">
        <v>0</v>
      </c>
      <c r="AI3547" s="182" t="n">
        <v>0</v>
      </c>
      <c r="AJ3547" s="182" t="n">
        <v>0</v>
      </c>
      <c r="AK3547" s="182" t="n">
        <v>2.67</v>
      </c>
      <c r="AL3547" s="182" t="n">
        <v>0</v>
      </c>
      <c r="AM3547" s="182" t="n">
        <v>0.08</v>
      </c>
      <c r="AN3547" s="182" t="n">
        <v>0</v>
      </c>
    </row>
    <row r="3548">
      <c r="A3548" s="155" t="n">
        <v>46098</v>
      </c>
      <c r="B3548" s="156" t="inlineStr">
        <is>
          <t>DS</t>
        </is>
      </c>
      <c r="C3548" s="156" t="inlineStr">
        <is>
          <t>HT-413</t>
        </is>
      </c>
      <c r="D3548" s="156" t="inlineStr">
        <is>
          <t>SY430</t>
        </is>
      </c>
      <c r="E3548" s="156" t="inlineStr">
        <is>
          <t>DT Hauling</t>
        </is>
      </c>
      <c r="F3548" s="156" t="inlineStr"/>
      <c r="G3548" s="182" t="n">
        <v>0</v>
      </c>
      <c r="H3548" s="182" t="n">
        <v>0</v>
      </c>
      <c r="I3548" s="182" t="n">
        <v>12</v>
      </c>
      <c r="J3548" s="182" t="n">
        <v>12</v>
      </c>
      <c r="K3548" s="182" t="n">
        <v>0</v>
      </c>
      <c r="L3548" s="182" t="n">
        <v>12</v>
      </c>
      <c r="M3548" s="182" t="n">
        <v>0</v>
      </c>
      <c r="N3548" s="182" t="n">
        <v>0</v>
      </c>
      <c r="O3548" s="183" t="n">
        <v>0</v>
      </c>
      <c r="P3548" s="183" t="n">
        <v>0</v>
      </c>
      <c r="Q3548" s="184" t="n">
        <v>0</v>
      </c>
      <c r="R3548" s="184" t="n">
        <v>0</v>
      </c>
      <c r="S3548" s="183" t="n">
        <v>0</v>
      </c>
      <c r="T3548" s="183" t="n">
        <v>0</v>
      </c>
      <c r="U3548" s="182" t="n">
        <v>0</v>
      </c>
      <c r="V3548" s="182" t="n">
        <v>0</v>
      </c>
      <c r="W3548" s="182" t="n">
        <v>0</v>
      </c>
      <c r="X3548" s="182" t="n">
        <v>0</v>
      </c>
      <c r="Y3548" s="182" t="n">
        <v>0</v>
      </c>
      <c r="Z3548" s="182" t="n">
        <v>0</v>
      </c>
      <c r="AA3548" s="182" t="n">
        <v>0</v>
      </c>
      <c r="AB3548" s="182" t="n">
        <v>0</v>
      </c>
      <c r="AC3548" s="182" t="n">
        <v>0</v>
      </c>
      <c r="AD3548" s="182" t="n">
        <v>0</v>
      </c>
      <c r="AE3548" s="182" t="n">
        <v>0</v>
      </c>
      <c r="AF3548" s="182" t="n">
        <v>0</v>
      </c>
      <c r="AG3548" s="182" t="n">
        <v>0</v>
      </c>
      <c r="AH3548" s="182" t="n">
        <v>0</v>
      </c>
      <c r="AI3548" s="182" t="n">
        <v>0</v>
      </c>
      <c r="AJ3548" s="182" t="n">
        <v>0</v>
      </c>
      <c r="AK3548" s="182" t="n">
        <v>0</v>
      </c>
      <c r="AL3548" s="182" t="n">
        <v>0</v>
      </c>
      <c r="AM3548" s="182" t="n">
        <v>0</v>
      </c>
      <c r="AN3548" s="182" t="n">
        <v>0</v>
      </c>
    </row>
    <row r="3549">
      <c r="A3549" s="155" t="n">
        <v>46098</v>
      </c>
      <c r="B3549" s="156" t="inlineStr">
        <is>
          <t>DS</t>
        </is>
      </c>
      <c r="C3549" s="156" t="inlineStr">
        <is>
          <t>HT-407</t>
        </is>
      </c>
      <c r="D3549" s="156" t="inlineStr">
        <is>
          <t>SY430</t>
        </is>
      </c>
      <c r="E3549" s="156" t="inlineStr">
        <is>
          <t>DT Hauling</t>
        </is>
      </c>
      <c r="F3549" s="156" t="inlineStr"/>
      <c r="G3549" s="182" t="n">
        <v>0</v>
      </c>
      <c r="H3549" s="182" t="n">
        <v>0</v>
      </c>
      <c r="I3549" s="182" t="n">
        <v>0</v>
      </c>
      <c r="J3549" s="182" t="n">
        <v>0</v>
      </c>
      <c r="K3549" s="182" t="n">
        <v>12</v>
      </c>
      <c r="L3549" s="182" t="n">
        <v>12</v>
      </c>
      <c r="M3549" s="182" t="n">
        <v>0</v>
      </c>
      <c r="N3549" s="182" t="n">
        <v>0</v>
      </c>
      <c r="O3549" s="183" t="n">
        <v>0</v>
      </c>
      <c r="P3549" s="183" t="n">
        <v>0</v>
      </c>
      <c r="Q3549" s="184" t="n">
        <v>0</v>
      </c>
      <c r="R3549" s="184" t="n">
        <v>0</v>
      </c>
      <c r="S3549" s="183" t="n">
        <v>0</v>
      </c>
      <c r="T3549" s="183" t="n">
        <v>0</v>
      </c>
      <c r="U3549" s="182" t="n">
        <v>0</v>
      </c>
      <c r="V3549" s="182" t="n">
        <v>0</v>
      </c>
      <c r="W3549" s="182" t="n">
        <v>0</v>
      </c>
      <c r="X3549" s="182" t="n">
        <v>1</v>
      </c>
      <c r="Y3549" s="182" t="n">
        <v>0</v>
      </c>
      <c r="Z3549" s="182" t="n">
        <v>0</v>
      </c>
      <c r="AA3549" s="182" t="n">
        <v>0</v>
      </c>
      <c r="AB3549" s="182" t="n">
        <v>0</v>
      </c>
      <c r="AC3549" s="182" t="n">
        <v>0</v>
      </c>
      <c r="AD3549" s="182" t="n">
        <v>0</v>
      </c>
      <c r="AE3549" s="182" t="n">
        <v>0</v>
      </c>
      <c r="AF3549" s="182" t="n">
        <v>0</v>
      </c>
      <c r="AG3549" s="182" t="n">
        <v>0</v>
      </c>
      <c r="AH3549" s="182" t="n">
        <v>0</v>
      </c>
      <c r="AI3549" s="182" t="n">
        <v>0</v>
      </c>
      <c r="AJ3549" s="182" t="n">
        <v>0</v>
      </c>
      <c r="AK3549" s="182" t="n">
        <v>10.92</v>
      </c>
      <c r="AL3549" s="182" t="n">
        <v>0</v>
      </c>
      <c r="AM3549" s="182" t="n">
        <v>0.08</v>
      </c>
      <c r="AN3549" s="182" t="n">
        <v>0</v>
      </c>
    </row>
    <row r="3550">
      <c r="A3550" s="155" t="n">
        <v>46098</v>
      </c>
      <c r="B3550" s="156" t="inlineStr">
        <is>
          <t>DS</t>
        </is>
      </c>
      <c r="C3550" s="156" t="inlineStr">
        <is>
          <t>HT-414</t>
        </is>
      </c>
      <c r="D3550" s="156" t="inlineStr">
        <is>
          <t>SY430</t>
        </is>
      </c>
      <c r="E3550" s="156" t="inlineStr">
        <is>
          <t>DT Hauling</t>
        </is>
      </c>
      <c r="F3550" s="156" t="inlineStr"/>
      <c r="G3550" s="182" t="n">
        <v>0</v>
      </c>
      <c r="H3550" s="182" t="n">
        <v>0</v>
      </c>
      <c r="I3550" s="182" t="n">
        <v>0</v>
      </c>
      <c r="J3550" s="182" t="n">
        <v>0</v>
      </c>
      <c r="K3550" s="182" t="n">
        <v>12</v>
      </c>
      <c r="L3550" s="182" t="n">
        <v>12</v>
      </c>
      <c r="M3550" s="182" t="n">
        <v>0</v>
      </c>
      <c r="N3550" s="182" t="n">
        <v>0</v>
      </c>
      <c r="O3550" s="183" t="n">
        <v>0</v>
      </c>
      <c r="P3550" s="183" t="n">
        <v>0</v>
      </c>
      <c r="Q3550" s="184" t="n">
        <v>0</v>
      </c>
      <c r="R3550" s="184" t="n">
        <v>0</v>
      </c>
      <c r="S3550" s="183" t="n">
        <v>0</v>
      </c>
      <c r="T3550" s="183" t="n">
        <v>0</v>
      </c>
      <c r="U3550" s="182" t="n">
        <v>0</v>
      </c>
      <c r="V3550" s="182" t="n">
        <v>0</v>
      </c>
      <c r="W3550" s="182" t="n">
        <v>0</v>
      </c>
      <c r="X3550" s="182" t="n">
        <v>1</v>
      </c>
      <c r="Y3550" s="182" t="n">
        <v>0</v>
      </c>
      <c r="Z3550" s="182" t="n">
        <v>0</v>
      </c>
      <c r="AA3550" s="182" t="n">
        <v>0</v>
      </c>
      <c r="AB3550" s="182" t="n">
        <v>0</v>
      </c>
      <c r="AC3550" s="182" t="n">
        <v>0</v>
      </c>
      <c r="AD3550" s="182" t="n">
        <v>0</v>
      </c>
      <c r="AE3550" s="182" t="n">
        <v>0</v>
      </c>
      <c r="AF3550" s="182" t="n">
        <v>0</v>
      </c>
      <c r="AG3550" s="182" t="n">
        <v>0</v>
      </c>
      <c r="AH3550" s="182" t="n">
        <v>0</v>
      </c>
      <c r="AI3550" s="182" t="n">
        <v>0</v>
      </c>
      <c r="AJ3550" s="182" t="n">
        <v>0</v>
      </c>
      <c r="AK3550" s="182" t="n">
        <v>10.92</v>
      </c>
      <c r="AL3550" s="182" t="n">
        <v>0</v>
      </c>
      <c r="AM3550" s="182" t="n">
        <v>0.08</v>
      </c>
      <c r="AN3550" s="182" t="n">
        <v>0</v>
      </c>
    </row>
    <row r="3551">
      <c r="A3551" s="155" t="n">
        <v>46098</v>
      </c>
      <c r="B3551" s="156" t="inlineStr">
        <is>
          <t>DS</t>
        </is>
      </c>
      <c r="C3551" s="156" t="inlineStr">
        <is>
          <t>HT-411</t>
        </is>
      </c>
      <c r="D3551" s="156" t="inlineStr">
        <is>
          <t>SY430</t>
        </is>
      </c>
      <c r="E3551" s="156" t="inlineStr">
        <is>
          <t>DT Hauling</t>
        </is>
      </c>
      <c r="F3551" s="156" t="inlineStr"/>
      <c r="G3551" s="182" t="n">
        <v>0</v>
      </c>
      <c r="H3551" s="182" t="n">
        <v>0</v>
      </c>
      <c r="I3551" s="182" t="n">
        <v>0</v>
      </c>
      <c r="J3551" s="182" t="n">
        <v>0</v>
      </c>
      <c r="K3551" s="182" t="n">
        <v>12</v>
      </c>
      <c r="L3551" s="182" t="n">
        <v>12</v>
      </c>
      <c r="M3551" s="182" t="n">
        <v>0</v>
      </c>
      <c r="N3551" s="182" t="n">
        <v>0</v>
      </c>
      <c r="O3551" s="183" t="n">
        <v>0</v>
      </c>
      <c r="P3551" s="183" t="n">
        <v>0</v>
      </c>
      <c r="Q3551" s="184" t="n">
        <v>0</v>
      </c>
      <c r="R3551" s="184" t="n">
        <v>0</v>
      </c>
      <c r="S3551" s="183" t="n">
        <v>0</v>
      </c>
      <c r="T3551" s="183" t="n">
        <v>0</v>
      </c>
      <c r="U3551" s="182" t="n">
        <v>0</v>
      </c>
      <c r="V3551" s="182" t="n">
        <v>0</v>
      </c>
      <c r="W3551" s="182" t="n">
        <v>0</v>
      </c>
      <c r="X3551" s="182" t="n">
        <v>1</v>
      </c>
      <c r="Y3551" s="182" t="n">
        <v>0</v>
      </c>
      <c r="Z3551" s="182" t="n">
        <v>0</v>
      </c>
      <c r="AA3551" s="182" t="n">
        <v>0</v>
      </c>
      <c r="AB3551" s="182" t="n">
        <v>0</v>
      </c>
      <c r="AC3551" s="182" t="n">
        <v>0</v>
      </c>
      <c r="AD3551" s="182" t="n">
        <v>0</v>
      </c>
      <c r="AE3551" s="182" t="n">
        <v>0</v>
      </c>
      <c r="AF3551" s="182" t="n">
        <v>0</v>
      </c>
      <c r="AG3551" s="182" t="n">
        <v>0</v>
      </c>
      <c r="AH3551" s="182" t="n">
        <v>0</v>
      </c>
      <c r="AI3551" s="182" t="n">
        <v>0</v>
      </c>
      <c r="AJ3551" s="182" t="n">
        <v>0</v>
      </c>
      <c r="AK3551" s="182" t="n">
        <v>10.92</v>
      </c>
      <c r="AL3551" s="182" t="n">
        <v>0</v>
      </c>
      <c r="AM3551" s="182" t="n">
        <v>0.08</v>
      </c>
      <c r="AN3551" s="182" t="n">
        <v>0</v>
      </c>
    </row>
    <row r="3552">
      <c r="A3552" s="155" t="n">
        <v>46098</v>
      </c>
      <c r="B3552" s="156" t="inlineStr">
        <is>
          <t>DS</t>
        </is>
      </c>
      <c r="C3552" s="156" t="inlineStr">
        <is>
          <t>HT-409</t>
        </is>
      </c>
      <c r="D3552" s="156" t="inlineStr">
        <is>
          <t>SY430</t>
        </is>
      </c>
      <c r="E3552" s="156" t="inlineStr">
        <is>
          <t>DT Hauling</t>
        </is>
      </c>
      <c r="F3552" s="156" t="inlineStr"/>
      <c r="G3552" s="182" t="n">
        <v>0</v>
      </c>
      <c r="H3552" s="182" t="n">
        <v>0</v>
      </c>
      <c r="I3552" s="182" t="n">
        <v>12</v>
      </c>
      <c r="J3552" s="182" t="n">
        <v>12</v>
      </c>
      <c r="K3552" s="182" t="n">
        <v>0</v>
      </c>
      <c r="L3552" s="182" t="n">
        <v>12</v>
      </c>
      <c r="M3552" s="182" t="n">
        <v>0</v>
      </c>
      <c r="N3552" s="182" t="n">
        <v>0</v>
      </c>
      <c r="O3552" s="183" t="n">
        <v>0</v>
      </c>
      <c r="P3552" s="183" t="n">
        <v>0</v>
      </c>
      <c r="Q3552" s="184" t="n">
        <v>0</v>
      </c>
      <c r="R3552" s="184" t="n">
        <v>0</v>
      </c>
      <c r="S3552" s="183" t="n">
        <v>0</v>
      </c>
      <c r="T3552" s="183" t="n">
        <v>0</v>
      </c>
      <c r="U3552" s="182" t="n">
        <v>0</v>
      </c>
      <c r="V3552" s="182" t="n">
        <v>0</v>
      </c>
      <c r="W3552" s="182" t="n">
        <v>0</v>
      </c>
      <c r="X3552" s="182" t="n">
        <v>0</v>
      </c>
      <c r="Y3552" s="182" t="n">
        <v>0</v>
      </c>
      <c r="Z3552" s="182" t="n">
        <v>0</v>
      </c>
      <c r="AA3552" s="182" t="n">
        <v>0</v>
      </c>
      <c r="AB3552" s="182" t="n">
        <v>0</v>
      </c>
      <c r="AC3552" s="182" t="n">
        <v>0</v>
      </c>
      <c r="AD3552" s="182" t="n">
        <v>0</v>
      </c>
      <c r="AE3552" s="182" t="n">
        <v>0</v>
      </c>
      <c r="AF3552" s="182" t="n">
        <v>0</v>
      </c>
      <c r="AG3552" s="182" t="n">
        <v>0</v>
      </c>
      <c r="AH3552" s="182" t="n">
        <v>0</v>
      </c>
      <c r="AI3552" s="182" t="n">
        <v>0</v>
      </c>
      <c r="AJ3552" s="182" t="n">
        <v>0</v>
      </c>
      <c r="AK3552" s="182" t="n">
        <v>0</v>
      </c>
      <c r="AL3552" s="182" t="n">
        <v>0</v>
      </c>
      <c r="AM3552" s="182" t="n">
        <v>0</v>
      </c>
      <c r="AN3552" s="182" t="n">
        <v>0</v>
      </c>
    </row>
    <row r="3553">
      <c r="A3553" s="155" t="n">
        <v>46098</v>
      </c>
      <c r="B3553" s="156" t="inlineStr">
        <is>
          <t>DS</t>
        </is>
      </c>
      <c r="C3553" s="156" t="inlineStr">
        <is>
          <t>DH-103</t>
        </is>
      </c>
      <c r="D3553" s="156" t="inlineStr">
        <is>
          <t>HINO FM260</t>
        </is>
      </c>
      <c r="E3553" s="156" t="inlineStr">
        <is>
          <t>DT Hino</t>
        </is>
      </c>
      <c r="F3553" s="156" t="inlineStr"/>
      <c r="G3553" s="182" t="n">
        <v>0</v>
      </c>
      <c r="H3553" s="182" t="n">
        <v>0</v>
      </c>
      <c r="I3553" s="182" t="n">
        <v>0</v>
      </c>
      <c r="J3553" s="182" t="n">
        <v>0</v>
      </c>
      <c r="K3553" s="182" t="n">
        <v>12</v>
      </c>
      <c r="L3553" s="182" t="n">
        <v>12</v>
      </c>
      <c r="M3553" s="182" t="n">
        <v>0</v>
      </c>
      <c r="N3553" s="182" t="n">
        <v>0</v>
      </c>
      <c r="O3553" s="183" t="n">
        <v>0</v>
      </c>
      <c r="P3553" s="183" t="n">
        <v>0</v>
      </c>
      <c r="Q3553" s="184" t="n">
        <v>0</v>
      </c>
      <c r="R3553" s="184" t="n">
        <v>0</v>
      </c>
      <c r="S3553" s="183" t="n">
        <v>0</v>
      </c>
      <c r="T3553" s="183" t="n">
        <v>0</v>
      </c>
      <c r="U3553" s="182" t="n">
        <v>0</v>
      </c>
      <c r="V3553" s="182" t="n">
        <v>0</v>
      </c>
      <c r="W3553" s="182" t="n">
        <v>0</v>
      </c>
      <c r="X3553" s="182" t="n">
        <v>1</v>
      </c>
      <c r="Y3553" s="182" t="n">
        <v>0</v>
      </c>
      <c r="Z3553" s="182" t="n">
        <v>0</v>
      </c>
      <c r="AA3553" s="182" t="n">
        <v>0</v>
      </c>
      <c r="AB3553" s="182" t="n">
        <v>0</v>
      </c>
      <c r="AC3553" s="182" t="n">
        <v>0</v>
      </c>
      <c r="AD3553" s="182" t="n">
        <v>0</v>
      </c>
      <c r="AE3553" s="182" t="n">
        <v>0</v>
      </c>
      <c r="AF3553" s="182" t="n">
        <v>0</v>
      </c>
      <c r="AG3553" s="182" t="n">
        <v>0</v>
      </c>
      <c r="AH3553" s="182" t="n">
        <v>0</v>
      </c>
      <c r="AI3553" s="182" t="n">
        <v>0</v>
      </c>
      <c r="AJ3553" s="182" t="n">
        <v>0</v>
      </c>
      <c r="AK3553" s="182" t="n">
        <v>10.92</v>
      </c>
      <c r="AL3553" s="182" t="n">
        <v>0</v>
      </c>
      <c r="AM3553" s="182" t="n">
        <v>0.08</v>
      </c>
      <c r="AN3553" s="182" t="n">
        <v>0</v>
      </c>
    </row>
    <row r="3554">
      <c r="A3554" s="155" t="n">
        <v>46098</v>
      </c>
      <c r="B3554" s="156" t="inlineStr">
        <is>
          <t>DS</t>
        </is>
      </c>
      <c r="C3554" s="156" t="inlineStr">
        <is>
          <t>DH-102</t>
        </is>
      </c>
      <c r="D3554" s="156" t="inlineStr">
        <is>
          <t>HINO FM260</t>
        </is>
      </c>
      <c r="E3554" s="156" t="inlineStr">
        <is>
          <t>DT Hino</t>
        </is>
      </c>
      <c r="F3554" s="156" t="inlineStr"/>
      <c r="G3554" s="182" t="n">
        <v>0</v>
      </c>
      <c r="H3554" s="182" t="n">
        <v>0</v>
      </c>
      <c r="I3554" s="182" t="n">
        <v>0</v>
      </c>
      <c r="J3554" s="182" t="n">
        <v>0</v>
      </c>
      <c r="K3554" s="182" t="n">
        <v>12</v>
      </c>
      <c r="L3554" s="182" t="n">
        <v>12</v>
      </c>
      <c r="M3554" s="182" t="n">
        <v>0</v>
      </c>
      <c r="N3554" s="182" t="n">
        <v>0</v>
      </c>
      <c r="O3554" s="183" t="n">
        <v>0</v>
      </c>
      <c r="P3554" s="183" t="n">
        <v>0</v>
      </c>
      <c r="Q3554" s="184" t="n">
        <v>0</v>
      </c>
      <c r="R3554" s="184" t="n">
        <v>0</v>
      </c>
      <c r="S3554" s="183" t="n">
        <v>0</v>
      </c>
      <c r="T3554" s="183" t="n">
        <v>0</v>
      </c>
      <c r="U3554" s="182" t="n">
        <v>0</v>
      </c>
      <c r="V3554" s="182" t="n">
        <v>0</v>
      </c>
      <c r="W3554" s="182" t="n">
        <v>0</v>
      </c>
      <c r="X3554" s="182" t="n">
        <v>1</v>
      </c>
      <c r="Y3554" s="182" t="n">
        <v>0</v>
      </c>
      <c r="Z3554" s="182" t="n">
        <v>0</v>
      </c>
      <c r="AA3554" s="182" t="n">
        <v>0</v>
      </c>
      <c r="AB3554" s="182" t="n">
        <v>0</v>
      </c>
      <c r="AC3554" s="182" t="n">
        <v>0</v>
      </c>
      <c r="AD3554" s="182" t="n">
        <v>0</v>
      </c>
      <c r="AE3554" s="182" t="n">
        <v>0</v>
      </c>
      <c r="AF3554" s="182" t="n">
        <v>0</v>
      </c>
      <c r="AG3554" s="182" t="n">
        <v>0</v>
      </c>
      <c r="AH3554" s="182" t="n">
        <v>0</v>
      </c>
      <c r="AI3554" s="182" t="n">
        <v>0</v>
      </c>
      <c r="AJ3554" s="182" t="n">
        <v>0</v>
      </c>
      <c r="AK3554" s="182" t="n">
        <v>10.92</v>
      </c>
      <c r="AL3554" s="182" t="n">
        <v>0</v>
      </c>
      <c r="AM3554" s="182" t="n">
        <v>0.08</v>
      </c>
      <c r="AN3554" s="182" t="n">
        <v>0</v>
      </c>
    </row>
    <row r="3555">
      <c r="A3555" s="155" t="n">
        <v>46098</v>
      </c>
      <c r="B3555" s="156" t="inlineStr">
        <is>
          <t>DS</t>
        </is>
      </c>
      <c r="C3555" s="156" t="inlineStr">
        <is>
          <t>DH-101</t>
        </is>
      </c>
      <c r="D3555" s="156" t="inlineStr">
        <is>
          <t>HINO FM260</t>
        </is>
      </c>
      <c r="E3555" s="156" t="inlineStr">
        <is>
          <t>DT Hino</t>
        </is>
      </c>
      <c r="F3555" s="156" t="inlineStr"/>
      <c r="G3555" s="182" t="n">
        <v>0</v>
      </c>
      <c r="H3555" s="182" t="n">
        <v>0</v>
      </c>
      <c r="I3555" s="182" t="n">
        <v>0</v>
      </c>
      <c r="J3555" s="182" t="n">
        <v>0</v>
      </c>
      <c r="K3555" s="182" t="n">
        <v>12</v>
      </c>
      <c r="L3555" s="182" t="n">
        <v>12</v>
      </c>
      <c r="M3555" s="182" t="n">
        <v>0</v>
      </c>
      <c r="N3555" s="182" t="n">
        <v>0</v>
      </c>
      <c r="O3555" s="183" t="n">
        <v>0</v>
      </c>
      <c r="P3555" s="183" t="n">
        <v>0</v>
      </c>
      <c r="Q3555" s="184" t="n">
        <v>0</v>
      </c>
      <c r="R3555" s="184" t="n">
        <v>0</v>
      </c>
      <c r="S3555" s="183" t="n">
        <v>0</v>
      </c>
      <c r="T3555" s="183" t="n">
        <v>0</v>
      </c>
      <c r="U3555" s="182" t="n">
        <v>0</v>
      </c>
      <c r="V3555" s="182" t="n">
        <v>0</v>
      </c>
      <c r="W3555" s="182" t="n">
        <v>0</v>
      </c>
      <c r="X3555" s="182" t="n">
        <v>1</v>
      </c>
      <c r="Y3555" s="182" t="n">
        <v>0</v>
      </c>
      <c r="Z3555" s="182" t="n">
        <v>0</v>
      </c>
      <c r="AA3555" s="182" t="n">
        <v>0</v>
      </c>
      <c r="AB3555" s="182" t="n">
        <v>0</v>
      </c>
      <c r="AC3555" s="182" t="n">
        <v>0</v>
      </c>
      <c r="AD3555" s="182" t="n">
        <v>0</v>
      </c>
      <c r="AE3555" s="182" t="n">
        <v>0</v>
      </c>
      <c r="AF3555" s="182" t="n">
        <v>0</v>
      </c>
      <c r="AG3555" s="182" t="n">
        <v>0</v>
      </c>
      <c r="AH3555" s="182" t="n">
        <v>0</v>
      </c>
      <c r="AI3555" s="182" t="n">
        <v>0</v>
      </c>
      <c r="AJ3555" s="182" t="n">
        <v>0</v>
      </c>
      <c r="AK3555" s="182" t="n">
        <v>10.92</v>
      </c>
      <c r="AL3555" s="182" t="n">
        <v>0</v>
      </c>
      <c r="AM3555" s="182" t="n">
        <v>0.08</v>
      </c>
      <c r="AN3555" s="182" t="n">
        <v>0</v>
      </c>
    </row>
    <row r="3556">
      <c r="A3556" s="155" t="n">
        <v>46098</v>
      </c>
      <c r="B3556" s="156" t="inlineStr">
        <is>
          <t>DS</t>
        </is>
      </c>
      <c r="C3556" s="156" t="inlineStr">
        <is>
          <t>EX-1251</t>
        </is>
      </c>
      <c r="D3556" s="156" t="inlineStr">
        <is>
          <t>SY1250</t>
        </is>
      </c>
      <c r="E3556" s="156" t="inlineStr">
        <is>
          <t>Excavator</t>
        </is>
      </c>
      <c r="F3556" s="156" t="inlineStr">
        <is>
          <t>Loading OB</t>
        </is>
      </c>
      <c r="G3556" s="182" t="n">
        <v>8.779999999999999</v>
      </c>
      <c r="H3556" s="182" t="n">
        <v>0</v>
      </c>
      <c r="I3556" s="182" t="n">
        <v>0</v>
      </c>
      <c r="J3556" s="182" t="n">
        <v>0</v>
      </c>
      <c r="K3556" s="182" t="n">
        <v>3.22</v>
      </c>
      <c r="L3556" s="182" t="n">
        <v>12</v>
      </c>
      <c r="M3556" s="182" t="n">
        <v>8.6</v>
      </c>
      <c r="N3556" s="182" t="n">
        <v>0</v>
      </c>
      <c r="O3556" s="183" t="n">
        <v>192</v>
      </c>
      <c r="P3556" s="183" t="n">
        <v>0</v>
      </c>
      <c r="Q3556" s="184" t="n">
        <v>3916.8</v>
      </c>
      <c r="R3556" s="184" t="n">
        <v>0</v>
      </c>
      <c r="S3556" s="183" t="n">
        <v>0</v>
      </c>
      <c r="T3556" s="183" t="n">
        <v>0</v>
      </c>
      <c r="U3556" s="182" t="n">
        <v>0</v>
      </c>
      <c r="V3556" s="182" t="n">
        <v>0</v>
      </c>
      <c r="W3556" s="182" t="n">
        <v>0</v>
      </c>
      <c r="X3556" s="182" t="n">
        <v>0.92</v>
      </c>
      <c r="Y3556" s="182" t="n">
        <v>0</v>
      </c>
      <c r="Z3556" s="182" t="n">
        <v>0</v>
      </c>
      <c r="AA3556" s="182" t="n">
        <v>0</v>
      </c>
      <c r="AB3556" s="182" t="n">
        <v>0</v>
      </c>
      <c r="AC3556" s="182" t="n">
        <v>0</v>
      </c>
      <c r="AD3556" s="182" t="n">
        <v>2.23</v>
      </c>
      <c r="AE3556" s="182" t="n">
        <v>0</v>
      </c>
      <c r="AF3556" s="182" t="n">
        <v>0</v>
      </c>
      <c r="AG3556" s="182" t="n">
        <v>0</v>
      </c>
      <c r="AH3556" s="182" t="n">
        <v>0</v>
      </c>
      <c r="AI3556" s="182" t="n">
        <v>0</v>
      </c>
      <c r="AJ3556" s="182" t="n">
        <v>0</v>
      </c>
      <c r="AK3556" s="182" t="n">
        <v>0</v>
      </c>
      <c r="AL3556" s="182" t="n">
        <v>0</v>
      </c>
      <c r="AM3556" s="182" t="n">
        <v>0.07000000000000001</v>
      </c>
      <c r="AN3556" s="182" t="n">
        <v>0</v>
      </c>
    </row>
    <row r="3557">
      <c r="A3557" s="155" t="n">
        <v>46098</v>
      </c>
      <c r="B3557" s="156" t="inlineStr">
        <is>
          <t>DS</t>
        </is>
      </c>
      <c r="C3557" s="156" t="inlineStr">
        <is>
          <t>EX-1252</t>
        </is>
      </c>
      <c r="D3557" s="156" t="inlineStr">
        <is>
          <t>SY1250</t>
        </is>
      </c>
      <c r="E3557" s="156" t="inlineStr">
        <is>
          <t>Excavator</t>
        </is>
      </c>
      <c r="F3557" s="156" t="inlineStr">
        <is>
          <t>Loading OB</t>
        </is>
      </c>
      <c r="G3557" s="182" t="n">
        <v>6.77</v>
      </c>
      <c r="H3557" s="182" t="n">
        <v>0</v>
      </c>
      <c r="I3557" s="182" t="n">
        <v>0</v>
      </c>
      <c r="J3557" s="182" t="n">
        <v>0</v>
      </c>
      <c r="K3557" s="182" t="n">
        <v>5.23</v>
      </c>
      <c r="L3557" s="182" t="n">
        <v>12</v>
      </c>
      <c r="M3557" s="182" t="n">
        <v>5.98</v>
      </c>
      <c r="N3557" s="182" t="n">
        <v>0</v>
      </c>
      <c r="O3557" s="183" t="n">
        <v>126</v>
      </c>
      <c r="P3557" s="183" t="n">
        <v>0</v>
      </c>
      <c r="Q3557" s="184" t="n">
        <v>2313.4</v>
      </c>
      <c r="R3557" s="184" t="n">
        <v>0</v>
      </c>
      <c r="S3557" s="183" t="n">
        <v>0</v>
      </c>
      <c r="T3557" s="183" t="n">
        <v>0</v>
      </c>
      <c r="U3557" s="182" t="n">
        <v>0</v>
      </c>
      <c r="V3557" s="182" t="n">
        <v>0</v>
      </c>
      <c r="W3557" s="182" t="n">
        <v>0</v>
      </c>
      <c r="X3557" s="182" t="n">
        <v>1.05</v>
      </c>
      <c r="Y3557" s="182" t="n">
        <v>0</v>
      </c>
      <c r="Z3557" s="182" t="n">
        <v>0</v>
      </c>
      <c r="AA3557" s="182" t="n">
        <v>0</v>
      </c>
      <c r="AB3557" s="182" t="n">
        <v>0</v>
      </c>
      <c r="AC3557" s="182" t="n">
        <v>0</v>
      </c>
      <c r="AD3557" s="182" t="n">
        <v>4.1</v>
      </c>
      <c r="AE3557" s="182" t="n">
        <v>0</v>
      </c>
      <c r="AF3557" s="182" t="n">
        <v>0</v>
      </c>
      <c r="AG3557" s="182" t="n">
        <v>0</v>
      </c>
      <c r="AH3557" s="182" t="n">
        <v>0</v>
      </c>
      <c r="AI3557" s="182" t="n">
        <v>0</v>
      </c>
      <c r="AJ3557" s="182" t="n">
        <v>0</v>
      </c>
      <c r="AK3557" s="182" t="n">
        <v>0</v>
      </c>
      <c r="AL3557" s="182" t="n">
        <v>0</v>
      </c>
      <c r="AM3557" s="182" t="n">
        <v>0.08</v>
      </c>
      <c r="AN3557" s="182" t="n">
        <v>0</v>
      </c>
    </row>
    <row r="3558">
      <c r="A3558" s="155" t="n">
        <v>46098</v>
      </c>
      <c r="B3558" s="156" t="inlineStr">
        <is>
          <t>DS</t>
        </is>
      </c>
      <c r="C3558" s="156" t="inlineStr">
        <is>
          <t>EX-2101</t>
        </is>
      </c>
      <c r="D3558" s="156" t="inlineStr">
        <is>
          <t>SY2000</t>
        </is>
      </c>
      <c r="E3558" s="156" t="inlineStr">
        <is>
          <t>Excavator</t>
        </is>
      </c>
      <c r="F3558" s="156" t="inlineStr">
        <is>
          <t>Loading OB</t>
        </is>
      </c>
      <c r="G3558" s="182" t="n">
        <v>7.71</v>
      </c>
      <c r="H3558" s="182" t="n">
        <v>0</v>
      </c>
      <c r="I3558" s="182" t="n">
        <v>0</v>
      </c>
      <c r="J3558" s="182" t="n">
        <v>0</v>
      </c>
      <c r="K3558" s="182" t="n">
        <v>4.29</v>
      </c>
      <c r="L3558" s="182" t="n">
        <v>12</v>
      </c>
      <c r="M3558" s="182" t="n">
        <v>7.46</v>
      </c>
      <c r="N3558" s="182" t="n">
        <v>0</v>
      </c>
      <c r="O3558" s="183" t="n">
        <v>141</v>
      </c>
      <c r="P3558" s="183" t="n">
        <v>0</v>
      </c>
      <c r="Q3558" s="184" t="n">
        <v>4360.5</v>
      </c>
      <c r="R3558" s="184" t="n">
        <v>0</v>
      </c>
      <c r="S3558" s="183" t="n">
        <v>0</v>
      </c>
      <c r="T3558" s="183" t="n">
        <v>0</v>
      </c>
      <c r="U3558" s="182" t="n">
        <v>0</v>
      </c>
      <c r="V3558" s="182" t="n">
        <v>0</v>
      </c>
      <c r="W3558" s="182" t="n">
        <v>0</v>
      </c>
      <c r="X3558" s="182" t="n">
        <v>1.01</v>
      </c>
      <c r="Y3558" s="182" t="n">
        <v>0</v>
      </c>
      <c r="Z3558" s="182" t="n">
        <v>0</v>
      </c>
      <c r="AA3558" s="182" t="n">
        <v>0</v>
      </c>
      <c r="AB3558" s="182" t="n">
        <v>0</v>
      </c>
      <c r="AC3558" s="182" t="n">
        <v>0</v>
      </c>
      <c r="AD3558" s="182" t="n">
        <v>2.03</v>
      </c>
      <c r="AE3558" s="182" t="n">
        <v>0</v>
      </c>
      <c r="AF3558" s="182" t="n">
        <v>0</v>
      </c>
      <c r="AG3558" s="182" t="n">
        <v>0</v>
      </c>
      <c r="AH3558" s="182" t="n">
        <v>0</v>
      </c>
      <c r="AI3558" s="182" t="n">
        <v>0</v>
      </c>
      <c r="AJ3558" s="182" t="n">
        <v>1.17</v>
      </c>
      <c r="AK3558" s="182" t="n">
        <v>0</v>
      </c>
      <c r="AL3558" s="182" t="n">
        <v>0</v>
      </c>
      <c r="AM3558" s="182" t="n">
        <v>0.08</v>
      </c>
      <c r="AN3558" s="182" t="n">
        <v>0</v>
      </c>
    </row>
    <row r="3559">
      <c r="A3559" s="155" t="n">
        <v>46098</v>
      </c>
      <c r="B3559" s="156" t="inlineStr">
        <is>
          <t>DS</t>
        </is>
      </c>
      <c r="C3559" s="156" t="inlineStr">
        <is>
          <t>EX-222</t>
        </is>
      </c>
      <c r="D3559" s="156" t="inlineStr">
        <is>
          <t>PC 200-8MI</t>
        </is>
      </c>
      <c r="E3559" s="156" t="inlineStr">
        <is>
          <t>Excavator</t>
        </is>
      </c>
      <c r="F3559" s="156" t="inlineStr">
        <is>
          <t>Support Washing Plant</t>
        </is>
      </c>
      <c r="G3559" s="182" t="n">
        <v>12</v>
      </c>
      <c r="H3559" s="182" t="n">
        <v>0</v>
      </c>
      <c r="I3559" s="182" t="n">
        <v>0</v>
      </c>
      <c r="J3559" s="182" t="n">
        <v>0</v>
      </c>
      <c r="K3559" s="182" t="n">
        <v>0</v>
      </c>
      <c r="L3559" s="182" t="n">
        <v>12</v>
      </c>
      <c r="M3559" s="182" t="n">
        <v>0</v>
      </c>
      <c r="N3559" s="182" t="n">
        <v>0</v>
      </c>
      <c r="O3559" s="183" t="n">
        <v>0</v>
      </c>
      <c r="P3559" s="183" t="n">
        <v>0</v>
      </c>
      <c r="Q3559" s="184" t="n">
        <v>0</v>
      </c>
      <c r="R3559" s="184" t="n">
        <v>0</v>
      </c>
      <c r="S3559" s="183" t="n">
        <v>0</v>
      </c>
      <c r="T3559" s="183" t="n">
        <v>0</v>
      </c>
      <c r="U3559" s="182" t="n">
        <v>0</v>
      </c>
      <c r="V3559" s="182" t="n">
        <v>0</v>
      </c>
      <c r="W3559" s="182" t="n">
        <v>0</v>
      </c>
      <c r="X3559" s="182" t="n">
        <v>0</v>
      </c>
      <c r="Y3559" s="182" t="n">
        <v>0</v>
      </c>
      <c r="Z3559" s="182" t="n">
        <v>0</v>
      </c>
      <c r="AA3559" s="182" t="n">
        <v>0</v>
      </c>
      <c r="AB3559" s="182" t="n">
        <v>0</v>
      </c>
      <c r="AC3559" s="182" t="n">
        <v>0</v>
      </c>
      <c r="AD3559" s="182" t="n">
        <v>0</v>
      </c>
      <c r="AE3559" s="182" t="n">
        <v>0</v>
      </c>
      <c r="AF3559" s="182" t="n">
        <v>0</v>
      </c>
      <c r="AG3559" s="182" t="n">
        <v>0</v>
      </c>
      <c r="AH3559" s="182" t="n">
        <v>0</v>
      </c>
      <c r="AI3559" s="182" t="n">
        <v>0</v>
      </c>
      <c r="AJ3559" s="182" t="n">
        <v>0</v>
      </c>
      <c r="AK3559" s="182" t="n">
        <v>0</v>
      </c>
      <c r="AL3559" s="182" t="n">
        <v>0</v>
      </c>
      <c r="AM3559" s="182" t="n">
        <v>0</v>
      </c>
      <c r="AN3559" s="182" t="n">
        <v>0</v>
      </c>
    </row>
    <row r="3560">
      <c r="A3560" s="155" t="n">
        <v>46098</v>
      </c>
      <c r="B3560" s="156" t="inlineStr">
        <is>
          <t>DS</t>
        </is>
      </c>
      <c r="C3560" s="156" t="inlineStr">
        <is>
          <t>EX-225</t>
        </is>
      </c>
      <c r="D3560" s="156" t="inlineStr">
        <is>
          <t>PC 200-8</t>
        </is>
      </c>
      <c r="E3560" s="156" t="inlineStr">
        <is>
          <t>Excavator</t>
        </is>
      </c>
      <c r="F3560" s="156" t="inlineStr"/>
      <c r="G3560" s="182" t="n">
        <v>0</v>
      </c>
      <c r="H3560" s="182" t="n">
        <v>0</v>
      </c>
      <c r="I3560" s="182" t="n">
        <v>12</v>
      </c>
      <c r="J3560" s="182" t="n">
        <v>12</v>
      </c>
      <c r="K3560" s="182" t="n">
        <v>0</v>
      </c>
      <c r="L3560" s="182" t="n">
        <v>12</v>
      </c>
      <c r="M3560" s="182" t="n">
        <v>0</v>
      </c>
      <c r="N3560" s="182" t="n">
        <v>0</v>
      </c>
      <c r="O3560" s="183" t="n">
        <v>0</v>
      </c>
      <c r="P3560" s="183" t="n">
        <v>0</v>
      </c>
      <c r="Q3560" s="184" t="n">
        <v>0</v>
      </c>
      <c r="R3560" s="184" t="n">
        <v>0</v>
      </c>
      <c r="S3560" s="183" t="n">
        <v>0</v>
      </c>
      <c r="T3560" s="183" t="n">
        <v>0</v>
      </c>
      <c r="U3560" s="182" t="n">
        <v>0</v>
      </c>
      <c r="V3560" s="182" t="n">
        <v>0</v>
      </c>
      <c r="W3560" s="182" t="n">
        <v>0</v>
      </c>
      <c r="X3560" s="182" t="n">
        <v>0</v>
      </c>
      <c r="Y3560" s="182" t="n">
        <v>0</v>
      </c>
      <c r="Z3560" s="182" t="n">
        <v>0</v>
      </c>
      <c r="AA3560" s="182" t="n">
        <v>0</v>
      </c>
      <c r="AB3560" s="182" t="n">
        <v>0</v>
      </c>
      <c r="AC3560" s="182" t="n">
        <v>0</v>
      </c>
      <c r="AD3560" s="182" t="n">
        <v>0</v>
      </c>
      <c r="AE3560" s="182" t="n">
        <v>0</v>
      </c>
      <c r="AF3560" s="182" t="n">
        <v>0</v>
      </c>
      <c r="AG3560" s="182" t="n">
        <v>0</v>
      </c>
      <c r="AH3560" s="182" t="n">
        <v>0</v>
      </c>
      <c r="AI3560" s="182" t="n">
        <v>0</v>
      </c>
      <c r="AJ3560" s="182" t="n">
        <v>0</v>
      </c>
      <c r="AK3560" s="182" t="n">
        <v>0</v>
      </c>
      <c r="AL3560" s="182" t="n">
        <v>0</v>
      </c>
      <c r="AM3560" s="182" t="n">
        <v>0</v>
      </c>
      <c r="AN3560" s="182" t="n">
        <v>0</v>
      </c>
    </row>
    <row r="3561">
      <c r="A3561" s="155" t="n">
        <v>46098</v>
      </c>
      <c r="B3561" s="156" t="inlineStr">
        <is>
          <t>DS</t>
        </is>
      </c>
      <c r="C3561" s="156" t="inlineStr">
        <is>
          <t>EX-223</t>
        </is>
      </c>
      <c r="D3561" s="156" t="inlineStr">
        <is>
          <t>PC 200-8MI</t>
        </is>
      </c>
      <c r="E3561" s="156" t="inlineStr">
        <is>
          <t>Excavator</t>
        </is>
      </c>
      <c r="F3561" s="156" t="inlineStr">
        <is>
          <t>Support Washing Plant</t>
        </is>
      </c>
      <c r="G3561" s="182" t="n">
        <v>10.93</v>
      </c>
      <c r="H3561" s="182" t="n">
        <v>0</v>
      </c>
      <c r="I3561" s="182" t="n">
        <v>0</v>
      </c>
      <c r="J3561" s="182" t="n">
        <v>0</v>
      </c>
      <c r="K3561" s="182" t="n">
        <v>1.07</v>
      </c>
      <c r="L3561" s="182" t="n">
        <v>12</v>
      </c>
      <c r="M3561" s="182" t="n">
        <v>0</v>
      </c>
      <c r="N3561" s="182" t="n">
        <v>0</v>
      </c>
      <c r="O3561" s="183" t="n">
        <v>0</v>
      </c>
      <c r="P3561" s="183" t="n">
        <v>0</v>
      </c>
      <c r="Q3561" s="184" t="n">
        <v>0</v>
      </c>
      <c r="R3561" s="184" t="n">
        <v>0</v>
      </c>
      <c r="S3561" s="183" t="n">
        <v>0</v>
      </c>
      <c r="T3561" s="183" t="n">
        <v>0</v>
      </c>
      <c r="U3561" s="182" t="n">
        <v>0</v>
      </c>
      <c r="V3561" s="182" t="n">
        <v>0</v>
      </c>
      <c r="W3561" s="182" t="n">
        <v>0</v>
      </c>
      <c r="X3561" s="182" t="n">
        <v>0.76</v>
      </c>
      <c r="Y3561" s="182" t="n">
        <v>0</v>
      </c>
      <c r="Z3561" s="182" t="n">
        <v>0</v>
      </c>
      <c r="AA3561" s="182" t="n">
        <v>0</v>
      </c>
      <c r="AB3561" s="182" t="n">
        <v>0</v>
      </c>
      <c r="AC3561" s="182" t="n">
        <v>0</v>
      </c>
      <c r="AD3561" s="182" t="n">
        <v>0</v>
      </c>
      <c r="AE3561" s="182" t="n">
        <v>0</v>
      </c>
      <c r="AF3561" s="182" t="n">
        <v>0</v>
      </c>
      <c r="AG3561" s="182" t="n">
        <v>0</v>
      </c>
      <c r="AH3561" s="182" t="n">
        <v>0.24</v>
      </c>
      <c r="AI3561" s="182" t="n">
        <v>0</v>
      </c>
      <c r="AJ3561" s="182" t="n">
        <v>0</v>
      </c>
      <c r="AK3561" s="182" t="n">
        <v>0</v>
      </c>
      <c r="AL3561" s="182" t="n">
        <v>0</v>
      </c>
      <c r="AM3561" s="182" t="n">
        <v>0.06</v>
      </c>
      <c r="AN3561" s="182" t="n">
        <v>0</v>
      </c>
    </row>
    <row r="3562">
      <c r="A3562" s="155" t="n">
        <v>46098</v>
      </c>
      <c r="B3562" s="156" t="inlineStr">
        <is>
          <t>DS</t>
        </is>
      </c>
      <c r="C3562" s="156" t="inlineStr">
        <is>
          <t>EX-221</t>
        </is>
      </c>
      <c r="D3562" s="156" t="inlineStr">
        <is>
          <t>PC 200-8MI</t>
        </is>
      </c>
      <c r="E3562" s="156" t="inlineStr">
        <is>
          <t>Excavator</t>
        </is>
      </c>
      <c r="F3562" s="156" t="inlineStr">
        <is>
          <t>General Jetty</t>
        </is>
      </c>
      <c r="G3562" s="182" t="n">
        <v>6.27</v>
      </c>
      <c r="H3562" s="182" t="n">
        <v>0</v>
      </c>
      <c r="I3562" s="182" t="n">
        <v>0</v>
      </c>
      <c r="J3562" s="182" t="n">
        <v>0</v>
      </c>
      <c r="K3562" s="182" t="n">
        <v>5.73</v>
      </c>
      <c r="L3562" s="182" t="n">
        <v>12</v>
      </c>
      <c r="M3562" s="182" t="n">
        <v>0</v>
      </c>
      <c r="N3562" s="182" t="n">
        <v>0</v>
      </c>
      <c r="O3562" s="183" t="n">
        <v>0</v>
      </c>
      <c r="P3562" s="183" t="n">
        <v>0</v>
      </c>
      <c r="Q3562" s="184" t="n">
        <v>0</v>
      </c>
      <c r="R3562" s="184" t="n">
        <v>0</v>
      </c>
      <c r="S3562" s="183" t="n">
        <v>0</v>
      </c>
      <c r="T3562" s="183" t="n">
        <v>0</v>
      </c>
      <c r="U3562" s="182" t="n">
        <v>0</v>
      </c>
      <c r="V3562" s="182" t="n">
        <v>0</v>
      </c>
      <c r="W3562" s="182" t="n">
        <v>0</v>
      </c>
      <c r="X3562" s="182" t="n">
        <v>1.02</v>
      </c>
      <c r="Y3562" s="182" t="n">
        <v>0</v>
      </c>
      <c r="Z3562" s="182" t="n">
        <v>0</v>
      </c>
      <c r="AA3562" s="182" t="n">
        <v>0</v>
      </c>
      <c r="AB3562" s="182" t="n">
        <v>0</v>
      </c>
      <c r="AC3562" s="182" t="n">
        <v>0</v>
      </c>
      <c r="AD3562" s="182" t="n">
        <v>0</v>
      </c>
      <c r="AE3562" s="182" t="n">
        <v>0</v>
      </c>
      <c r="AF3562" s="182" t="n">
        <v>0</v>
      </c>
      <c r="AG3562" s="182" t="n">
        <v>0</v>
      </c>
      <c r="AH3562" s="182" t="n">
        <v>0</v>
      </c>
      <c r="AI3562" s="182" t="n">
        <v>0</v>
      </c>
      <c r="AJ3562" s="182" t="n">
        <v>0</v>
      </c>
      <c r="AK3562" s="182" t="n">
        <v>4.62</v>
      </c>
      <c r="AL3562" s="182" t="n">
        <v>0</v>
      </c>
      <c r="AM3562" s="182" t="n">
        <v>0.08</v>
      </c>
      <c r="AN3562" s="182" t="n">
        <v>0</v>
      </c>
    </row>
    <row r="3563">
      <c r="A3563" s="155" t="n">
        <v>46098</v>
      </c>
      <c r="B3563" s="156" t="inlineStr">
        <is>
          <t>DS</t>
        </is>
      </c>
      <c r="C3563" s="156" t="inlineStr">
        <is>
          <t>EX-331</t>
        </is>
      </c>
      <c r="D3563" s="156" t="inlineStr">
        <is>
          <t>PC 300-8MO</t>
        </is>
      </c>
      <c r="E3563" s="156" t="inlineStr">
        <is>
          <t>Excavator</t>
        </is>
      </c>
      <c r="F3563" s="156" t="inlineStr"/>
      <c r="G3563" s="182" t="n">
        <v>0</v>
      </c>
      <c r="H3563" s="182" t="n">
        <v>0</v>
      </c>
      <c r="I3563" s="182" t="n">
        <v>12</v>
      </c>
      <c r="J3563" s="182" t="n">
        <v>12</v>
      </c>
      <c r="K3563" s="182" t="n">
        <v>0</v>
      </c>
      <c r="L3563" s="182" t="n">
        <v>12</v>
      </c>
      <c r="M3563" s="182" t="n">
        <v>0</v>
      </c>
      <c r="N3563" s="182" t="n">
        <v>0</v>
      </c>
      <c r="O3563" s="183" t="n">
        <v>0</v>
      </c>
      <c r="P3563" s="183" t="n">
        <v>0</v>
      </c>
      <c r="Q3563" s="184" t="n">
        <v>0</v>
      </c>
      <c r="R3563" s="184" t="n">
        <v>0</v>
      </c>
      <c r="S3563" s="183" t="n">
        <v>0</v>
      </c>
      <c r="T3563" s="183" t="n">
        <v>0</v>
      </c>
      <c r="U3563" s="182" t="n">
        <v>0</v>
      </c>
      <c r="V3563" s="182" t="n">
        <v>0</v>
      </c>
      <c r="W3563" s="182" t="n">
        <v>0</v>
      </c>
      <c r="X3563" s="182" t="n">
        <v>0</v>
      </c>
      <c r="Y3563" s="182" t="n">
        <v>0</v>
      </c>
      <c r="Z3563" s="182" t="n">
        <v>0</v>
      </c>
      <c r="AA3563" s="182" t="n">
        <v>0</v>
      </c>
      <c r="AB3563" s="182" t="n">
        <v>0</v>
      </c>
      <c r="AC3563" s="182" t="n">
        <v>0</v>
      </c>
      <c r="AD3563" s="182" t="n">
        <v>0</v>
      </c>
      <c r="AE3563" s="182" t="n">
        <v>0</v>
      </c>
      <c r="AF3563" s="182" t="n">
        <v>0</v>
      </c>
      <c r="AG3563" s="182" t="n">
        <v>0</v>
      </c>
      <c r="AH3563" s="182" t="n">
        <v>0</v>
      </c>
      <c r="AI3563" s="182" t="n">
        <v>0</v>
      </c>
      <c r="AJ3563" s="182" t="n">
        <v>0</v>
      </c>
      <c r="AK3563" s="182" t="n">
        <v>0</v>
      </c>
      <c r="AL3563" s="182" t="n">
        <v>0</v>
      </c>
      <c r="AM3563" s="182" t="n">
        <v>0</v>
      </c>
      <c r="AN3563" s="182" t="n">
        <v>0</v>
      </c>
    </row>
    <row r="3564">
      <c r="A3564" s="155" t="n">
        <v>46098</v>
      </c>
      <c r="B3564" s="156" t="inlineStr">
        <is>
          <t>DS</t>
        </is>
      </c>
      <c r="C3564" s="156" t="inlineStr">
        <is>
          <t>EX-334</t>
        </is>
      </c>
      <c r="D3564" s="156" t="inlineStr">
        <is>
          <t>PC 300-8MO</t>
        </is>
      </c>
      <c r="E3564" s="156" t="inlineStr">
        <is>
          <t>Excavator</t>
        </is>
      </c>
      <c r="F3564" s="156" t="inlineStr">
        <is>
          <t>General Estapet Soil</t>
        </is>
      </c>
      <c r="G3564" s="182" t="n">
        <v>10.3</v>
      </c>
      <c r="H3564" s="182" t="n">
        <v>0</v>
      </c>
      <c r="I3564" s="182" t="n">
        <v>0</v>
      </c>
      <c r="J3564" s="182" t="n">
        <v>0</v>
      </c>
      <c r="K3564" s="182" t="n">
        <v>1.7</v>
      </c>
      <c r="L3564" s="182" t="n">
        <v>12</v>
      </c>
      <c r="M3564" s="182" t="n">
        <v>0</v>
      </c>
      <c r="N3564" s="182" t="n">
        <v>0</v>
      </c>
      <c r="O3564" s="183" t="n">
        <v>0</v>
      </c>
      <c r="P3564" s="183" t="n">
        <v>0</v>
      </c>
      <c r="Q3564" s="184" t="n">
        <v>0</v>
      </c>
      <c r="R3564" s="184" t="n">
        <v>0</v>
      </c>
      <c r="S3564" s="183" t="n">
        <v>0</v>
      </c>
      <c r="T3564" s="183" t="n">
        <v>0</v>
      </c>
      <c r="U3564" s="182" t="n">
        <v>0</v>
      </c>
      <c r="V3564" s="182" t="n">
        <v>0</v>
      </c>
      <c r="W3564" s="182" t="n">
        <v>0</v>
      </c>
      <c r="X3564" s="182" t="n">
        <v>1.55</v>
      </c>
      <c r="Y3564" s="182" t="n">
        <v>0</v>
      </c>
      <c r="Z3564" s="182" t="n">
        <v>0</v>
      </c>
      <c r="AA3564" s="182" t="n">
        <v>0</v>
      </c>
      <c r="AB3564" s="182" t="n">
        <v>0</v>
      </c>
      <c r="AC3564" s="182" t="n">
        <v>0</v>
      </c>
      <c r="AD3564" s="182" t="n">
        <v>0</v>
      </c>
      <c r="AE3564" s="182" t="n">
        <v>0</v>
      </c>
      <c r="AF3564" s="182" t="n">
        <v>0</v>
      </c>
      <c r="AG3564" s="182" t="n">
        <v>0</v>
      </c>
      <c r="AH3564" s="182" t="n">
        <v>0.03</v>
      </c>
      <c r="AI3564" s="182" t="n">
        <v>0</v>
      </c>
      <c r="AJ3564" s="182" t="n">
        <v>0</v>
      </c>
      <c r="AK3564" s="182" t="n">
        <v>0</v>
      </c>
      <c r="AL3564" s="182" t="n">
        <v>0</v>
      </c>
      <c r="AM3564" s="182" t="n">
        <v>0.12</v>
      </c>
      <c r="AN3564" s="182" t="n">
        <v>0</v>
      </c>
    </row>
    <row r="3565">
      <c r="A3565" s="155" t="n">
        <v>46098</v>
      </c>
      <c r="B3565" s="156" t="inlineStr">
        <is>
          <t>DS</t>
        </is>
      </c>
      <c r="C3565" s="156" t="inlineStr">
        <is>
          <t>EX-332</t>
        </is>
      </c>
      <c r="D3565" s="156" t="inlineStr">
        <is>
          <t>PC 300-8MO</t>
        </is>
      </c>
      <c r="E3565" s="156" t="inlineStr">
        <is>
          <t>Excavator</t>
        </is>
      </c>
      <c r="F3565" s="156" t="inlineStr">
        <is>
          <t>Loading Coal &amp; Cleaning Coal</t>
        </is>
      </c>
      <c r="G3565" s="182" t="n">
        <v>7.79</v>
      </c>
      <c r="H3565" s="182" t="n">
        <v>0</v>
      </c>
      <c r="I3565" s="182" t="n">
        <v>0.73</v>
      </c>
      <c r="J3565" s="182" t="n">
        <v>0.73</v>
      </c>
      <c r="K3565" s="182" t="n">
        <v>3.48</v>
      </c>
      <c r="L3565" s="182" t="n">
        <v>12</v>
      </c>
      <c r="M3565" s="182" t="n">
        <v>0</v>
      </c>
      <c r="N3565" s="182" t="n">
        <v>3.5</v>
      </c>
      <c r="O3565" s="183" t="n">
        <v>0</v>
      </c>
      <c r="P3565" s="183" t="n">
        <v>24</v>
      </c>
      <c r="Q3565" s="184" t="n">
        <v>0</v>
      </c>
      <c r="R3565" s="184" t="n">
        <v>367.2</v>
      </c>
      <c r="S3565" s="183" t="n">
        <v>0</v>
      </c>
      <c r="T3565" s="183" t="n">
        <v>0</v>
      </c>
      <c r="U3565" s="182" t="n">
        <v>0</v>
      </c>
      <c r="V3565" s="182" t="n">
        <v>0</v>
      </c>
      <c r="W3565" s="182" t="n">
        <v>0</v>
      </c>
      <c r="X3565" s="182" t="n">
        <v>1</v>
      </c>
      <c r="Y3565" s="182" t="n">
        <v>0</v>
      </c>
      <c r="Z3565" s="182" t="n">
        <v>0</v>
      </c>
      <c r="AA3565" s="182" t="n">
        <v>0</v>
      </c>
      <c r="AB3565" s="182" t="n">
        <v>0</v>
      </c>
      <c r="AC3565" s="182" t="n">
        <v>0</v>
      </c>
      <c r="AD3565" s="182" t="n">
        <v>0</v>
      </c>
      <c r="AE3565" s="182" t="n">
        <v>0</v>
      </c>
      <c r="AF3565" s="182" t="n">
        <v>0</v>
      </c>
      <c r="AG3565" s="182" t="n">
        <v>0</v>
      </c>
      <c r="AH3565" s="182" t="n">
        <v>0</v>
      </c>
      <c r="AI3565" s="182" t="n">
        <v>0</v>
      </c>
      <c r="AJ3565" s="182" t="n">
        <v>0</v>
      </c>
      <c r="AK3565" s="182" t="n">
        <v>2.39</v>
      </c>
      <c r="AL3565" s="182" t="n">
        <v>0</v>
      </c>
      <c r="AM3565" s="182" t="n">
        <v>0.08</v>
      </c>
      <c r="AN3565" s="182" t="n">
        <v>0</v>
      </c>
    </row>
    <row r="3566">
      <c r="A3566" s="155" t="n">
        <v>46098</v>
      </c>
      <c r="B3566" s="156" t="inlineStr">
        <is>
          <t>DS</t>
        </is>
      </c>
      <c r="C3566" s="156" t="inlineStr">
        <is>
          <t>EX-333</t>
        </is>
      </c>
      <c r="D3566" s="156" t="inlineStr">
        <is>
          <t>PC 300-8MO</t>
        </is>
      </c>
      <c r="E3566" s="156" t="inlineStr">
        <is>
          <t>Excavator</t>
        </is>
      </c>
      <c r="F3566" s="156" t="inlineStr">
        <is>
          <t>General Soil Disposal</t>
        </is>
      </c>
      <c r="G3566" s="182" t="n">
        <v>8.31</v>
      </c>
      <c r="H3566" s="182" t="n">
        <v>0</v>
      </c>
      <c r="I3566" s="182" t="n">
        <v>2.42</v>
      </c>
      <c r="J3566" s="182" t="n">
        <v>2.42</v>
      </c>
      <c r="K3566" s="182" t="n">
        <v>1.27</v>
      </c>
      <c r="L3566" s="182" t="n">
        <v>12</v>
      </c>
      <c r="M3566" s="182" t="n">
        <v>0</v>
      </c>
      <c r="N3566" s="182" t="n">
        <v>0</v>
      </c>
      <c r="O3566" s="183" t="n">
        <v>0</v>
      </c>
      <c r="P3566" s="183" t="n">
        <v>0</v>
      </c>
      <c r="Q3566" s="184" t="n">
        <v>0</v>
      </c>
      <c r="R3566" s="184" t="n">
        <v>0</v>
      </c>
      <c r="S3566" s="183" t="n">
        <v>0</v>
      </c>
      <c r="T3566" s="183" t="n">
        <v>0</v>
      </c>
      <c r="U3566" s="182" t="n">
        <v>0</v>
      </c>
      <c r="V3566" s="182" t="n">
        <v>0</v>
      </c>
      <c r="W3566" s="182" t="n">
        <v>0</v>
      </c>
      <c r="X3566" s="182" t="n">
        <v>0.71</v>
      </c>
      <c r="Y3566" s="182" t="n">
        <v>0</v>
      </c>
      <c r="Z3566" s="182" t="n">
        <v>0</v>
      </c>
      <c r="AA3566" s="182" t="n">
        <v>0</v>
      </c>
      <c r="AB3566" s="182" t="n">
        <v>0</v>
      </c>
      <c r="AC3566" s="182" t="n">
        <v>0</v>
      </c>
      <c r="AD3566" s="182" t="n">
        <v>0</v>
      </c>
      <c r="AE3566" s="182" t="n">
        <v>0</v>
      </c>
      <c r="AF3566" s="182" t="n">
        <v>0</v>
      </c>
      <c r="AG3566" s="182" t="n">
        <v>0</v>
      </c>
      <c r="AH3566" s="182" t="n">
        <v>0.5</v>
      </c>
      <c r="AI3566" s="182" t="n">
        <v>0</v>
      </c>
      <c r="AJ3566" s="182" t="n">
        <v>0</v>
      </c>
      <c r="AK3566" s="182" t="n">
        <v>0</v>
      </c>
      <c r="AL3566" s="182" t="n">
        <v>0</v>
      </c>
      <c r="AM3566" s="182" t="n">
        <v>0.06</v>
      </c>
      <c r="AN3566" s="182" t="n">
        <v>0</v>
      </c>
    </row>
    <row r="3567">
      <c r="A3567" s="155" t="n">
        <v>46098</v>
      </c>
      <c r="B3567" s="156" t="inlineStr">
        <is>
          <t>DS</t>
        </is>
      </c>
      <c r="C3567" s="156" t="inlineStr">
        <is>
          <t>EX-336</t>
        </is>
      </c>
      <c r="D3567" s="156" t="inlineStr">
        <is>
          <t>PC 300-8MO</t>
        </is>
      </c>
      <c r="E3567" s="156" t="inlineStr">
        <is>
          <t>Excavator</t>
        </is>
      </c>
      <c r="F3567" s="156" t="inlineStr">
        <is>
          <t>General Estapet Soil</t>
        </is>
      </c>
      <c r="G3567" s="182" t="n">
        <v>10.1</v>
      </c>
      <c r="H3567" s="182" t="n">
        <v>0</v>
      </c>
      <c r="I3567" s="182" t="n">
        <v>0</v>
      </c>
      <c r="J3567" s="182" t="n">
        <v>0</v>
      </c>
      <c r="K3567" s="182" t="n">
        <v>1.9</v>
      </c>
      <c r="L3567" s="182" t="n">
        <v>12</v>
      </c>
      <c r="M3567" s="182" t="n">
        <v>0</v>
      </c>
      <c r="N3567" s="182" t="n">
        <v>0</v>
      </c>
      <c r="O3567" s="183" t="n">
        <v>0</v>
      </c>
      <c r="P3567" s="183" t="n">
        <v>0</v>
      </c>
      <c r="Q3567" s="184" t="n">
        <v>0</v>
      </c>
      <c r="R3567" s="184" t="n">
        <v>0</v>
      </c>
      <c r="S3567" s="183" t="n">
        <v>0</v>
      </c>
      <c r="T3567" s="183" t="n">
        <v>0</v>
      </c>
      <c r="U3567" s="182" t="n">
        <v>0</v>
      </c>
      <c r="V3567" s="182" t="n">
        <v>0</v>
      </c>
      <c r="W3567" s="182" t="n">
        <v>0</v>
      </c>
      <c r="X3567" s="182" t="n">
        <v>0.95</v>
      </c>
      <c r="Y3567" s="182" t="n">
        <v>0</v>
      </c>
      <c r="Z3567" s="182" t="n">
        <v>0</v>
      </c>
      <c r="AA3567" s="182" t="n">
        <v>0</v>
      </c>
      <c r="AB3567" s="182" t="n">
        <v>0</v>
      </c>
      <c r="AC3567" s="182" t="n">
        <v>0</v>
      </c>
      <c r="AD3567" s="182" t="n">
        <v>0</v>
      </c>
      <c r="AE3567" s="182" t="n">
        <v>0</v>
      </c>
      <c r="AF3567" s="182" t="n">
        <v>0</v>
      </c>
      <c r="AG3567" s="182" t="n">
        <v>0</v>
      </c>
      <c r="AH3567" s="182" t="n">
        <v>0.87</v>
      </c>
      <c r="AI3567" s="182" t="n">
        <v>0</v>
      </c>
      <c r="AJ3567" s="182" t="n">
        <v>0</v>
      </c>
      <c r="AK3567" s="182" t="n">
        <v>0</v>
      </c>
      <c r="AL3567" s="182" t="n">
        <v>0</v>
      </c>
      <c r="AM3567" s="182" t="n">
        <v>0.08</v>
      </c>
      <c r="AN3567" s="182" t="n">
        <v>0</v>
      </c>
    </row>
    <row r="3568">
      <c r="A3568" s="155" t="n">
        <v>46098</v>
      </c>
      <c r="B3568" s="156" t="inlineStr">
        <is>
          <t>DS</t>
        </is>
      </c>
      <c r="C3568" s="156" t="inlineStr">
        <is>
          <t>EX-335</t>
        </is>
      </c>
      <c r="D3568" s="156" t="inlineStr">
        <is>
          <t>PC 300-8MO</t>
        </is>
      </c>
      <c r="E3568" s="156" t="inlineStr">
        <is>
          <t>Excavator</t>
        </is>
      </c>
      <c r="F3568" s="156" t="inlineStr"/>
      <c r="G3568" s="182" t="n">
        <v>0</v>
      </c>
      <c r="H3568" s="182" t="n">
        <v>0</v>
      </c>
      <c r="I3568" s="182" t="n">
        <v>12</v>
      </c>
      <c r="J3568" s="182" t="n">
        <v>12</v>
      </c>
      <c r="K3568" s="182" t="n">
        <v>0</v>
      </c>
      <c r="L3568" s="182" t="n">
        <v>12</v>
      </c>
      <c r="M3568" s="182" t="n">
        <v>0</v>
      </c>
      <c r="N3568" s="182" t="n">
        <v>0</v>
      </c>
      <c r="O3568" s="183" t="n">
        <v>0</v>
      </c>
      <c r="P3568" s="183" t="n">
        <v>0</v>
      </c>
      <c r="Q3568" s="184" t="n">
        <v>0</v>
      </c>
      <c r="R3568" s="184" t="n">
        <v>0</v>
      </c>
      <c r="S3568" s="183" t="n">
        <v>0</v>
      </c>
      <c r="T3568" s="183" t="n">
        <v>0</v>
      </c>
      <c r="U3568" s="182" t="n">
        <v>0</v>
      </c>
      <c r="V3568" s="182" t="n">
        <v>0</v>
      </c>
      <c r="W3568" s="182" t="n">
        <v>0</v>
      </c>
      <c r="X3568" s="182" t="n">
        <v>0</v>
      </c>
      <c r="Y3568" s="182" t="n">
        <v>0</v>
      </c>
      <c r="Z3568" s="182" t="n">
        <v>0</v>
      </c>
      <c r="AA3568" s="182" t="n">
        <v>0</v>
      </c>
      <c r="AB3568" s="182" t="n">
        <v>0</v>
      </c>
      <c r="AC3568" s="182" t="n">
        <v>0</v>
      </c>
      <c r="AD3568" s="182" t="n">
        <v>0</v>
      </c>
      <c r="AE3568" s="182" t="n">
        <v>0</v>
      </c>
      <c r="AF3568" s="182" t="n">
        <v>0</v>
      </c>
      <c r="AG3568" s="182" t="n">
        <v>0</v>
      </c>
      <c r="AH3568" s="182" t="n">
        <v>0</v>
      </c>
      <c r="AI3568" s="182" t="n">
        <v>0</v>
      </c>
      <c r="AJ3568" s="182" t="n">
        <v>0</v>
      </c>
      <c r="AK3568" s="182" t="n">
        <v>0</v>
      </c>
      <c r="AL3568" s="182" t="n">
        <v>0</v>
      </c>
      <c r="AM3568" s="182" t="n">
        <v>0</v>
      </c>
      <c r="AN3568" s="182" t="n">
        <v>0</v>
      </c>
    </row>
    <row r="3569">
      <c r="A3569" s="155" t="n">
        <v>46098</v>
      </c>
      <c r="B3569" s="156" t="inlineStr">
        <is>
          <t>DS</t>
        </is>
      </c>
      <c r="C3569" s="156" t="inlineStr">
        <is>
          <t>EX-754</t>
        </is>
      </c>
      <c r="D3569" s="156" t="inlineStr">
        <is>
          <t>SY750H-PRO</t>
        </is>
      </c>
      <c r="E3569" s="156" t="inlineStr">
        <is>
          <t>Excavator</t>
        </is>
      </c>
      <c r="F3569" s="156" t="inlineStr"/>
      <c r="G3569" s="182" t="n">
        <v>0</v>
      </c>
      <c r="H3569" s="182" t="n">
        <v>0</v>
      </c>
      <c r="I3569" s="182" t="n">
        <v>12</v>
      </c>
      <c r="J3569" s="182" t="n">
        <v>12</v>
      </c>
      <c r="K3569" s="182" t="n">
        <v>0</v>
      </c>
      <c r="L3569" s="182" t="n">
        <v>12</v>
      </c>
      <c r="M3569" s="182" t="n">
        <v>0</v>
      </c>
      <c r="N3569" s="182" t="n">
        <v>0</v>
      </c>
      <c r="O3569" s="183" t="n">
        <v>0</v>
      </c>
      <c r="P3569" s="183" t="n">
        <v>0</v>
      </c>
      <c r="Q3569" s="184" t="n">
        <v>0</v>
      </c>
      <c r="R3569" s="184" t="n">
        <v>0</v>
      </c>
      <c r="S3569" s="183" t="n">
        <v>0</v>
      </c>
      <c r="T3569" s="183" t="n">
        <v>0</v>
      </c>
      <c r="U3569" s="182" t="n">
        <v>0</v>
      </c>
      <c r="V3569" s="182" t="n">
        <v>0</v>
      </c>
      <c r="W3569" s="182" t="n">
        <v>0</v>
      </c>
      <c r="X3569" s="182" t="n">
        <v>0</v>
      </c>
      <c r="Y3569" s="182" t="n">
        <v>0</v>
      </c>
      <c r="Z3569" s="182" t="n">
        <v>0</v>
      </c>
      <c r="AA3569" s="182" t="n">
        <v>0</v>
      </c>
      <c r="AB3569" s="182" t="n">
        <v>0</v>
      </c>
      <c r="AC3569" s="182" t="n">
        <v>0</v>
      </c>
      <c r="AD3569" s="182" t="n">
        <v>0</v>
      </c>
      <c r="AE3569" s="182" t="n">
        <v>0</v>
      </c>
      <c r="AF3569" s="182" t="n">
        <v>0</v>
      </c>
      <c r="AG3569" s="182" t="n">
        <v>0</v>
      </c>
      <c r="AH3569" s="182" t="n">
        <v>0</v>
      </c>
      <c r="AI3569" s="182" t="n">
        <v>0</v>
      </c>
      <c r="AJ3569" s="182" t="n">
        <v>0</v>
      </c>
      <c r="AK3569" s="182" t="n">
        <v>0</v>
      </c>
      <c r="AL3569" s="182" t="n">
        <v>0</v>
      </c>
      <c r="AM3569" s="182" t="n">
        <v>0</v>
      </c>
      <c r="AN3569" s="182" t="n">
        <v>0</v>
      </c>
    </row>
    <row r="3570">
      <c r="A3570" s="155" t="n">
        <v>46098</v>
      </c>
      <c r="B3570" s="156" t="inlineStr">
        <is>
          <t>DS</t>
        </is>
      </c>
      <c r="C3570" s="156" t="inlineStr">
        <is>
          <t>EX-755</t>
        </is>
      </c>
      <c r="D3570" s="156" t="inlineStr">
        <is>
          <t>SY750H-PRO</t>
        </is>
      </c>
      <c r="E3570" s="156" t="inlineStr">
        <is>
          <t>Excavator</t>
        </is>
      </c>
      <c r="F3570" s="156" t="inlineStr">
        <is>
          <t>Loading OB, Coal &amp; Mud</t>
        </is>
      </c>
      <c r="G3570" s="182" t="n">
        <v>11.72</v>
      </c>
      <c r="H3570" s="182" t="n">
        <v>0</v>
      </c>
      <c r="I3570" s="182" t="n">
        <v>0</v>
      </c>
      <c r="J3570" s="182" t="n">
        <v>0</v>
      </c>
      <c r="K3570" s="182" t="n">
        <v>0.28</v>
      </c>
      <c r="L3570" s="182" t="n">
        <v>12</v>
      </c>
      <c r="M3570" s="182" t="n">
        <v>4.31</v>
      </c>
      <c r="N3570" s="182" t="n">
        <v>4.03</v>
      </c>
      <c r="O3570" s="183" t="n">
        <v>70</v>
      </c>
      <c r="P3570" s="183" t="n">
        <v>40</v>
      </c>
      <c r="Q3570" s="184" t="n">
        <v>1081.2</v>
      </c>
      <c r="R3570" s="184" t="n">
        <v>748</v>
      </c>
      <c r="S3570" s="183" t="n">
        <v>0</v>
      </c>
      <c r="T3570" s="183" t="n">
        <v>0</v>
      </c>
      <c r="U3570" s="182" t="n">
        <v>0</v>
      </c>
      <c r="V3570" s="182" t="n">
        <v>0</v>
      </c>
      <c r="W3570" s="182" t="n">
        <v>0</v>
      </c>
      <c r="X3570" s="182" t="n">
        <v>0.22</v>
      </c>
      <c r="Y3570" s="182" t="n">
        <v>0</v>
      </c>
      <c r="Z3570" s="182" t="n">
        <v>0</v>
      </c>
      <c r="AA3570" s="182" t="n">
        <v>0</v>
      </c>
      <c r="AB3570" s="182" t="n">
        <v>0</v>
      </c>
      <c r="AC3570" s="182" t="n">
        <v>0</v>
      </c>
      <c r="AD3570" s="182" t="n">
        <v>0</v>
      </c>
      <c r="AE3570" s="182" t="n">
        <v>0</v>
      </c>
      <c r="AF3570" s="182" t="n">
        <v>0</v>
      </c>
      <c r="AG3570" s="182" t="n">
        <v>0</v>
      </c>
      <c r="AH3570" s="182" t="n">
        <v>0</v>
      </c>
      <c r="AI3570" s="182" t="n">
        <v>0</v>
      </c>
      <c r="AJ3570" s="182" t="n">
        <v>0</v>
      </c>
      <c r="AK3570" s="182" t="n">
        <v>0</v>
      </c>
      <c r="AL3570" s="182" t="n">
        <v>0</v>
      </c>
      <c r="AM3570" s="182" t="n">
        <v>0.06</v>
      </c>
      <c r="AN3570" s="182" t="n">
        <v>0</v>
      </c>
    </row>
    <row r="3571">
      <c r="A3571" s="155" t="n">
        <v>46098</v>
      </c>
      <c r="B3571" s="156" t="inlineStr">
        <is>
          <t>DS</t>
        </is>
      </c>
      <c r="C3571" s="156" t="inlineStr">
        <is>
          <t>EX-752</t>
        </is>
      </c>
      <c r="D3571" s="156" t="inlineStr">
        <is>
          <t>SY750H-PRO</t>
        </is>
      </c>
      <c r="E3571" s="156" t="inlineStr">
        <is>
          <t>Excavator</t>
        </is>
      </c>
      <c r="F3571" s="156" t="inlineStr"/>
      <c r="G3571" s="182" t="n">
        <v>0</v>
      </c>
      <c r="H3571" s="182" t="n">
        <v>0</v>
      </c>
      <c r="I3571" s="182" t="n">
        <v>12</v>
      </c>
      <c r="J3571" s="182" t="n">
        <v>12</v>
      </c>
      <c r="K3571" s="182" t="n">
        <v>0</v>
      </c>
      <c r="L3571" s="182" t="n">
        <v>12</v>
      </c>
      <c r="M3571" s="182" t="n">
        <v>0</v>
      </c>
      <c r="N3571" s="182" t="n">
        <v>0</v>
      </c>
      <c r="O3571" s="183" t="n">
        <v>0</v>
      </c>
      <c r="P3571" s="183" t="n">
        <v>0</v>
      </c>
      <c r="Q3571" s="184" t="n">
        <v>0</v>
      </c>
      <c r="R3571" s="184" t="n">
        <v>0</v>
      </c>
      <c r="S3571" s="183" t="n">
        <v>0</v>
      </c>
      <c r="T3571" s="183" t="n">
        <v>0</v>
      </c>
      <c r="U3571" s="182" t="n">
        <v>0</v>
      </c>
      <c r="V3571" s="182" t="n">
        <v>0</v>
      </c>
      <c r="W3571" s="182" t="n">
        <v>0</v>
      </c>
      <c r="X3571" s="182" t="n">
        <v>0</v>
      </c>
      <c r="Y3571" s="182" t="n">
        <v>0</v>
      </c>
      <c r="Z3571" s="182" t="n">
        <v>0</v>
      </c>
      <c r="AA3571" s="182" t="n">
        <v>0</v>
      </c>
      <c r="AB3571" s="182" t="n">
        <v>0</v>
      </c>
      <c r="AC3571" s="182" t="n">
        <v>0</v>
      </c>
      <c r="AD3571" s="182" t="n">
        <v>0</v>
      </c>
      <c r="AE3571" s="182" t="n">
        <v>0</v>
      </c>
      <c r="AF3571" s="182" t="n">
        <v>0</v>
      </c>
      <c r="AG3571" s="182" t="n">
        <v>0</v>
      </c>
      <c r="AH3571" s="182" t="n">
        <v>0</v>
      </c>
      <c r="AI3571" s="182" t="n">
        <v>0</v>
      </c>
      <c r="AJ3571" s="182" t="n">
        <v>0</v>
      </c>
      <c r="AK3571" s="182" t="n">
        <v>0</v>
      </c>
      <c r="AL3571" s="182" t="n">
        <v>0</v>
      </c>
      <c r="AM3571" s="182" t="n">
        <v>0</v>
      </c>
      <c r="AN3571" s="182" t="n">
        <v>0</v>
      </c>
    </row>
    <row r="3572">
      <c r="A3572" s="155" t="n">
        <v>46098</v>
      </c>
      <c r="B3572" s="156" t="inlineStr">
        <is>
          <t>DS</t>
        </is>
      </c>
      <c r="C3572" s="156" t="inlineStr">
        <is>
          <t>EX-751</t>
        </is>
      </c>
      <c r="D3572" s="156" t="inlineStr">
        <is>
          <t>SY750H-PRO</t>
        </is>
      </c>
      <c r="E3572" s="156" t="inlineStr">
        <is>
          <t>Excavator</t>
        </is>
      </c>
      <c r="F3572" s="156" t="inlineStr"/>
      <c r="G3572" s="182" t="n">
        <v>0</v>
      </c>
      <c r="H3572" s="182" t="n">
        <v>0</v>
      </c>
      <c r="I3572" s="182" t="n">
        <v>12</v>
      </c>
      <c r="J3572" s="182" t="n">
        <v>12</v>
      </c>
      <c r="K3572" s="182" t="n">
        <v>0</v>
      </c>
      <c r="L3572" s="182" t="n">
        <v>12</v>
      </c>
      <c r="M3572" s="182" t="n">
        <v>0</v>
      </c>
      <c r="N3572" s="182" t="n">
        <v>0</v>
      </c>
      <c r="O3572" s="183" t="n">
        <v>0</v>
      </c>
      <c r="P3572" s="183" t="n">
        <v>0</v>
      </c>
      <c r="Q3572" s="184" t="n">
        <v>0</v>
      </c>
      <c r="R3572" s="184" t="n">
        <v>0</v>
      </c>
      <c r="S3572" s="183" t="n">
        <v>0</v>
      </c>
      <c r="T3572" s="183" t="n">
        <v>0</v>
      </c>
      <c r="U3572" s="182" t="n">
        <v>0</v>
      </c>
      <c r="V3572" s="182" t="n">
        <v>0</v>
      </c>
      <c r="W3572" s="182" t="n">
        <v>0</v>
      </c>
      <c r="X3572" s="182" t="n">
        <v>0</v>
      </c>
      <c r="Y3572" s="182" t="n">
        <v>0</v>
      </c>
      <c r="Z3572" s="182" t="n">
        <v>0</v>
      </c>
      <c r="AA3572" s="182" t="n">
        <v>0</v>
      </c>
      <c r="AB3572" s="182" t="n">
        <v>0</v>
      </c>
      <c r="AC3572" s="182" t="n">
        <v>0</v>
      </c>
      <c r="AD3572" s="182" t="n">
        <v>0</v>
      </c>
      <c r="AE3572" s="182" t="n">
        <v>0</v>
      </c>
      <c r="AF3572" s="182" t="n">
        <v>0</v>
      </c>
      <c r="AG3572" s="182" t="n">
        <v>0</v>
      </c>
      <c r="AH3572" s="182" t="n">
        <v>0</v>
      </c>
      <c r="AI3572" s="182" t="n">
        <v>0</v>
      </c>
      <c r="AJ3572" s="182" t="n">
        <v>0</v>
      </c>
      <c r="AK3572" s="182" t="n">
        <v>0</v>
      </c>
      <c r="AL3572" s="182" t="n">
        <v>0</v>
      </c>
      <c r="AM3572" s="182" t="n">
        <v>0</v>
      </c>
      <c r="AN3572" s="182" t="n">
        <v>0</v>
      </c>
    </row>
    <row r="3573">
      <c r="A3573" s="155" t="n">
        <v>46098</v>
      </c>
      <c r="B3573" s="156" t="inlineStr">
        <is>
          <t>DS</t>
        </is>
      </c>
      <c r="C3573" s="156" t="inlineStr">
        <is>
          <t>EX-753</t>
        </is>
      </c>
      <c r="D3573" s="156" t="inlineStr">
        <is>
          <t>SY750H-PRO</t>
        </is>
      </c>
      <c r="E3573" s="156" t="inlineStr">
        <is>
          <t>Excavator</t>
        </is>
      </c>
      <c r="F3573" s="156" t="inlineStr">
        <is>
          <t>Trimming Coal di Stock ROM</t>
        </is>
      </c>
      <c r="G3573" s="182" t="n">
        <v>4.04</v>
      </c>
      <c r="H3573" s="182" t="n">
        <v>0</v>
      </c>
      <c r="I3573" s="182" t="n">
        <v>0</v>
      </c>
      <c r="J3573" s="182" t="n">
        <v>0</v>
      </c>
      <c r="K3573" s="182" t="n">
        <v>7.96</v>
      </c>
      <c r="L3573" s="182" t="n">
        <v>12</v>
      </c>
      <c r="M3573" s="182" t="n">
        <v>0</v>
      </c>
      <c r="N3573" s="182" t="n">
        <v>0</v>
      </c>
      <c r="O3573" s="183" t="n">
        <v>0</v>
      </c>
      <c r="P3573" s="183" t="n">
        <v>0</v>
      </c>
      <c r="Q3573" s="184" t="n">
        <v>0</v>
      </c>
      <c r="R3573" s="184" t="n">
        <v>0</v>
      </c>
      <c r="S3573" s="183" t="n">
        <v>0</v>
      </c>
      <c r="T3573" s="183" t="n">
        <v>0</v>
      </c>
      <c r="U3573" s="182" t="n">
        <v>0</v>
      </c>
      <c r="V3573" s="182" t="n">
        <v>0</v>
      </c>
      <c r="W3573" s="182" t="n">
        <v>0</v>
      </c>
      <c r="X3573" s="182" t="n">
        <v>0.98</v>
      </c>
      <c r="Y3573" s="182" t="n">
        <v>0</v>
      </c>
      <c r="Z3573" s="182" t="n">
        <v>0</v>
      </c>
      <c r="AA3573" s="182" t="n">
        <v>0</v>
      </c>
      <c r="AB3573" s="182" t="n">
        <v>0</v>
      </c>
      <c r="AC3573" s="182" t="n">
        <v>0</v>
      </c>
      <c r="AD3573" s="182" t="n">
        <v>0</v>
      </c>
      <c r="AE3573" s="182" t="n">
        <v>0</v>
      </c>
      <c r="AF3573" s="182" t="n">
        <v>0</v>
      </c>
      <c r="AG3573" s="182" t="n">
        <v>0</v>
      </c>
      <c r="AH3573" s="182" t="n">
        <v>0</v>
      </c>
      <c r="AI3573" s="182" t="n">
        <v>0</v>
      </c>
      <c r="AJ3573" s="182" t="n">
        <v>0</v>
      </c>
      <c r="AK3573" s="182" t="n">
        <v>6.9</v>
      </c>
      <c r="AL3573" s="182" t="n">
        <v>0</v>
      </c>
      <c r="AM3573" s="182" t="n">
        <v>0.08</v>
      </c>
      <c r="AN3573" s="182" t="n">
        <v>0</v>
      </c>
    </row>
    <row r="3574">
      <c r="A3574" s="155" t="n">
        <v>46098</v>
      </c>
      <c r="B3574" s="156" t="inlineStr">
        <is>
          <t>DS</t>
        </is>
      </c>
      <c r="C3574" s="156" t="inlineStr">
        <is>
          <t>GD-012</t>
        </is>
      </c>
      <c r="D3574" s="156" t="inlineStr">
        <is>
          <t>STG 230C - 8S</t>
        </is>
      </c>
      <c r="E3574" s="156" t="inlineStr">
        <is>
          <t>Grader</t>
        </is>
      </c>
      <c r="F3574" s="156" t="inlineStr">
        <is>
          <t>General Jetty</t>
        </is>
      </c>
      <c r="G3574" s="182" t="n">
        <v>3.64</v>
      </c>
      <c r="H3574" s="182" t="n">
        <v>0</v>
      </c>
      <c r="I3574" s="182" t="n">
        <v>0</v>
      </c>
      <c r="J3574" s="182" t="n">
        <v>0</v>
      </c>
      <c r="K3574" s="182" t="n">
        <v>8.359999999999999</v>
      </c>
      <c r="L3574" s="182" t="n">
        <v>12</v>
      </c>
      <c r="M3574" s="182" t="n">
        <v>0</v>
      </c>
      <c r="N3574" s="182" t="n">
        <v>0</v>
      </c>
      <c r="O3574" s="183" t="n">
        <v>0</v>
      </c>
      <c r="P3574" s="183" t="n">
        <v>0</v>
      </c>
      <c r="Q3574" s="184" t="n">
        <v>0</v>
      </c>
      <c r="R3574" s="184" t="n">
        <v>0</v>
      </c>
      <c r="S3574" s="183" t="n">
        <v>0</v>
      </c>
      <c r="T3574" s="183" t="n">
        <v>0</v>
      </c>
      <c r="U3574" s="182" t="n">
        <v>0</v>
      </c>
      <c r="V3574" s="182" t="n">
        <v>0</v>
      </c>
      <c r="W3574" s="182" t="n">
        <v>0</v>
      </c>
      <c r="X3574" s="182" t="n">
        <v>1.07</v>
      </c>
      <c r="Y3574" s="182" t="n">
        <v>0</v>
      </c>
      <c r="Z3574" s="182" t="n">
        <v>0</v>
      </c>
      <c r="AA3574" s="182" t="n">
        <v>0</v>
      </c>
      <c r="AB3574" s="182" t="n">
        <v>0</v>
      </c>
      <c r="AC3574" s="182" t="n">
        <v>0</v>
      </c>
      <c r="AD3574" s="182" t="n">
        <v>0</v>
      </c>
      <c r="AE3574" s="182" t="n">
        <v>0</v>
      </c>
      <c r="AF3574" s="182" t="n">
        <v>0</v>
      </c>
      <c r="AG3574" s="182" t="n">
        <v>0</v>
      </c>
      <c r="AH3574" s="182" t="n">
        <v>0</v>
      </c>
      <c r="AI3574" s="182" t="n">
        <v>0</v>
      </c>
      <c r="AJ3574" s="182" t="n">
        <v>0</v>
      </c>
      <c r="AK3574" s="182" t="n">
        <v>7.2</v>
      </c>
      <c r="AL3574" s="182" t="n">
        <v>0</v>
      </c>
      <c r="AM3574" s="182" t="n">
        <v>0.09</v>
      </c>
      <c r="AN3574" s="182" t="n">
        <v>0</v>
      </c>
    </row>
    <row r="3575">
      <c r="A3575" s="155" t="n">
        <v>46098</v>
      </c>
      <c r="B3575" s="156" t="inlineStr">
        <is>
          <t>DS</t>
        </is>
      </c>
      <c r="C3575" s="156" t="inlineStr">
        <is>
          <t>GD-011</t>
        </is>
      </c>
      <c r="D3575" s="156" t="inlineStr">
        <is>
          <t>STG 230C - 8S</t>
        </is>
      </c>
      <c r="E3575" s="156" t="inlineStr">
        <is>
          <t>Grader</t>
        </is>
      </c>
      <c r="F3575" s="156" t="inlineStr"/>
      <c r="G3575" s="182" t="n">
        <v>0</v>
      </c>
      <c r="H3575" s="182" t="n">
        <v>0</v>
      </c>
      <c r="I3575" s="182" t="n">
        <v>12</v>
      </c>
      <c r="J3575" s="182" t="n">
        <v>12</v>
      </c>
      <c r="K3575" s="182" t="n">
        <v>0</v>
      </c>
      <c r="L3575" s="182" t="n">
        <v>12</v>
      </c>
      <c r="M3575" s="182" t="n">
        <v>0</v>
      </c>
      <c r="N3575" s="182" t="n">
        <v>0</v>
      </c>
      <c r="O3575" s="183" t="n">
        <v>0</v>
      </c>
      <c r="P3575" s="183" t="n">
        <v>0</v>
      </c>
      <c r="Q3575" s="184" t="n">
        <v>0</v>
      </c>
      <c r="R3575" s="184" t="n">
        <v>0</v>
      </c>
      <c r="S3575" s="183" t="n">
        <v>0</v>
      </c>
      <c r="T3575" s="183" t="n">
        <v>0</v>
      </c>
      <c r="U3575" s="182" t="n">
        <v>0</v>
      </c>
      <c r="V3575" s="182" t="n">
        <v>0</v>
      </c>
      <c r="W3575" s="182" t="n">
        <v>0</v>
      </c>
      <c r="X3575" s="182" t="n">
        <v>0</v>
      </c>
      <c r="Y3575" s="182" t="n">
        <v>0</v>
      </c>
      <c r="Z3575" s="182" t="n">
        <v>0</v>
      </c>
      <c r="AA3575" s="182" t="n">
        <v>0</v>
      </c>
      <c r="AB3575" s="182" t="n">
        <v>0</v>
      </c>
      <c r="AC3575" s="182" t="n">
        <v>0</v>
      </c>
      <c r="AD3575" s="182" t="n">
        <v>0</v>
      </c>
      <c r="AE3575" s="182" t="n">
        <v>0</v>
      </c>
      <c r="AF3575" s="182" t="n">
        <v>0</v>
      </c>
      <c r="AG3575" s="182" t="n">
        <v>0</v>
      </c>
      <c r="AH3575" s="182" t="n">
        <v>0</v>
      </c>
      <c r="AI3575" s="182" t="n">
        <v>0</v>
      </c>
      <c r="AJ3575" s="182" t="n">
        <v>0</v>
      </c>
      <c r="AK3575" s="182" t="n">
        <v>0</v>
      </c>
      <c r="AL3575" s="182" t="n">
        <v>0</v>
      </c>
      <c r="AM3575" s="182" t="n">
        <v>0</v>
      </c>
      <c r="AN3575" s="182" t="n">
        <v>0</v>
      </c>
    </row>
    <row r="3576">
      <c r="A3576" s="155" t="n">
        <v>46098</v>
      </c>
      <c r="B3576" s="156" t="inlineStr">
        <is>
          <t>DS</t>
        </is>
      </c>
      <c r="C3576" s="156" t="inlineStr">
        <is>
          <t>GD-013</t>
        </is>
      </c>
      <c r="D3576" s="156" t="inlineStr">
        <is>
          <t>STG 265C - 10</t>
        </is>
      </c>
      <c r="E3576" s="156" t="inlineStr">
        <is>
          <t>Grader</t>
        </is>
      </c>
      <c r="F3576" s="156" t="inlineStr">
        <is>
          <t>Road Maintenance</t>
        </is>
      </c>
      <c r="G3576" s="182" t="n">
        <v>11.04</v>
      </c>
      <c r="H3576" s="182" t="n">
        <v>0</v>
      </c>
      <c r="I3576" s="182" t="n">
        <v>0</v>
      </c>
      <c r="J3576" s="182" t="n">
        <v>0</v>
      </c>
      <c r="K3576" s="182" t="n">
        <v>0.96</v>
      </c>
      <c r="L3576" s="182" t="n">
        <v>12</v>
      </c>
      <c r="M3576" s="182" t="n">
        <v>0</v>
      </c>
      <c r="N3576" s="182" t="n">
        <v>0</v>
      </c>
      <c r="O3576" s="183" t="n">
        <v>0</v>
      </c>
      <c r="P3576" s="183" t="n">
        <v>0</v>
      </c>
      <c r="Q3576" s="184" t="n">
        <v>0</v>
      </c>
      <c r="R3576" s="184" t="n">
        <v>0</v>
      </c>
      <c r="S3576" s="183" t="n">
        <v>0</v>
      </c>
      <c r="T3576" s="183" t="n">
        <v>0</v>
      </c>
      <c r="U3576" s="182" t="n">
        <v>0</v>
      </c>
      <c r="V3576" s="182" t="n">
        <v>0</v>
      </c>
      <c r="W3576" s="182" t="n">
        <v>0</v>
      </c>
      <c r="X3576" s="182" t="n">
        <v>0.87</v>
      </c>
      <c r="Y3576" s="182" t="n">
        <v>0</v>
      </c>
      <c r="Z3576" s="182" t="n">
        <v>0</v>
      </c>
      <c r="AA3576" s="182" t="n">
        <v>0</v>
      </c>
      <c r="AB3576" s="182" t="n">
        <v>0</v>
      </c>
      <c r="AC3576" s="182" t="n">
        <v>0</v>
      </c>
      <c r="AD3576" s="182" t="n">
        <v>0</v>
      </c>
      <c r="AE3576" s="182" t="n">
        <v>0</v>
      </c>
      <c r="AF3576" s="182" t="n">
        <v>0</v>
      </c>
      <c r="AG3576" s="182" t="n">
        <v>0</v>
      </c>
      <c r="AH3576" s="182" t="n">
        <v>0.02</v>
      </c>
      <c r="AI3576" s="182" t="n">
        <v>0</v>
      </c>
      <c r="AJ3576" s="182" t="n">
        <v>0</v>
      </c>
      <c r="AK3576" s="182" t="n">
        <v>0</v>
      </c>
      <c r="AL3576" s="182" t="n">
        <v>0</v>
      </c>
      <c r="AM3576" s="182" t="n">
        <v>0.07000000000000001</v>
      </c>
      <c r="AN3576" s="182" t="n">
        <v>0</v>
      </c>
    </row>
    <row r="3577">
      <c r="A3577" s="155" t="n">
        <v>46098</v>
      </c>
      <c r="B3577" s="156" t="inlineStr">
        <is>
          <t>DS</t>
        </is>
      </c>
      <c r="C3577" s="156" t="inlineStr">
        <is>
          <t>GD-014</t>
        </is>
      </c>
      <c r="D3577" s="156" t="inlineStr">
        <is>
          <t>STG 335C - 10</t>
        </is>
      </c>
      <c r="E3577" s="156" t="inlineStr">
        <is>
          <t>Grader</t>
        </is>
      </c>
      <c r="F3577" s="156" t="inlineStr">
        <is>
          <t>Road Maintenance</t>
        </is>
      </c>
      <c r="G3577" s="182" t="n">
        <v>11.29</v>
      </c>
      <c r="H3577" s="182" t="n">
        <v>0</v>
      </c>
      <c r="I3577" s="182" t="n">
        <v>0</v>
      </c>
      <c r="J3577" s="182" t="n">
        <v>0</v>
      </c>
      <c r="K3577" s="182" t="n">
        <v>0.71</v>
      </c>
      <c r="L3577" s="182" t="n">
        <v>12</v>
      </c>
      <c r="M3577" s="182" t="n">
        <v>0</v>
      </c>
      <c r="N3577" s="182" t="n">
        <v>0</v>
      </c>
      <c r="O3577" s="183" t="n">
        <v>0</v>
      </c>
      <c r="P3577" s="183" t="n">
        <v>0</v>
      </c>
      <c r="Q3577" s="184" t="n">
        <v>0</v>
      </c>
      <c r="R3577" s="184" t="n">
        <v>0</v>
      </c>
      <c r="S3577" s="183" t="n">
        <v>0</v>
      </c>
      <c r="T3577" s="183" t="n">
        <v>0</v>
      </c>
      <c r="U3577" s="182" t="n">
        <v>0</v>
      </c>
      <c r="V3577" s="182" t="n">
        <v>0</v>
      </c>
      <c r="W3577" s="182" t="n">
        <v>0</v>
      </c>
      <c r="X3577" s="182" t="n">
        <v>0.65</v>
      </c>
      <c r="Y3577" s="182" t="n">
        <v>0</v>
      </c>
      <c r="Z3577" s="182" t="n">
        <v>0</v>
      </c>
      <c r="AA3577" s="182" t="n">
        <v>0</v>
      </c>
      <c r="AB3577" s="182" t="n">
        <v>0</v>
      </c>
      <c r="AC3577" s="182" t="n">
        <v>0</v>
      </c>
      <c r="AD3577" s="182" t="n">
        <v>0</v>
      </c>
      <c r="AE3577" s="182" t="n">
        <v>0</v>
      </c>
      <c r="AF3577" s="182" t="n">
        <v>0</v>
      </c>
      <c r="AG3577" s="182" t="n">
        <v>0</v>
      </c>
      <c r="AH3577" s="182" t="n">
        <v>0</v>
      </c>
      <c r="AI3577" s="182" t="n">
        <v>0</v>
      </c>
      <c r="AJ3577" s="182" t="n">
        <v>0</v>
      </c>
      <c r="AK3577" s="182" t="n">
        <v>0</v>
      </c>
      <c r="AL3577" s="182" t="n">
        <v>0</v>
      </c>
      <c r="AM3577" s="182" t="n">
        <v>0.06</v>
      </c>
      <c r="AN3577" s="182" t="n">
        <v>0</v>
      </c>
    </row>
    <row r="3578">
      <c r="A3578" s="155" t="n">
        <v>46098</v>
      </c>
      <c r="B3578" s="156" t="inlineStr">
        <is>
          <t>DS</t>
        </is>
      </c>
      <c r="C3578" s="156" t="inlineStr">
        <is>
          <t>DT-809</t>
        </is>
      </c>
      <c r="D3578" s="156" t="inlineStr">
        <is>
          <t>SKT 80S</t>
        </is>
      </c>
      <c r="E3578" s="156" t="inlineStr">
        <is>
          <t>Hauler</t>
        </is>
      </c>
      <c r="F3578" s="156" t="inlineStr"/>
      <c r="G3578" s="182" t="n">
        <v>0</v>
      </c>
      <c r="H3578" s="182" t="n">
        <v>0</v>
      </c>
      <c r="I3578" s="182" t="n">
        <v>12</v>
      </c>
      <c r="J3578" s="182" t="n">
        <v>12</v>
      </c>
      <c r="K3578" s="182" t="n">
        <v>0</v>
      </c>
      <c r="L3578" s="182" t="n">
        <v>12</v>
      </c>
      <c r="M3578" s="182" t="n">
        <v>0</v>
      </c>
      <c r="N3578" s="182" t="n">
        <v>0</v>
      </c>
      <c r="O3578" s="183" t="n">
        <v>0</v>
      </c>
      <c r="P3578" s="183" t="n">
        <v>0</v>
      </c>
      <c r="Q3578" s="184" t="n">
        <v>0</v>
      </c>
      <c r="R3578" s="184" t="n">
        <v>0</v>
      </c>
      <c r="S3578" s="183" t="n">
        <v>0</v>
      </c>
      <c r="T3578" s="183" t="n">
        <v>0</v>
      </c>
      <c r="U3578" s="182" t="n">
        <v>0</v>
      </c>
      <c r="V3578" s="182" t="n">
        <v>0</v>
      </c>
      <c r="W3578" s="182" t="n">
        <v>0</v>
      </c>
      <c r="X3578" s="182" t="n">
        <v>0</v>
      </c>
      <c r="Y3578" s="182" t="n">
        <v>0</v>
      </c>
      <c r="Z3578" s="182" t="n">
        <v>0</v>
      </c>
      <c r="AA3578" s="182" t="n">
        <v>0</v>
      </c>
      <c r="AB3578" s="182" t="n">
        <v>0</v>
      </c>
      <c r="AC3578" s="182" t="n">
        <v>0</v>
      </c>
      <c r="AD3578" s="182" t="n">
        <v>0</v>
      </c>
      <c r="AE3578" s="182" t="n">
        <v>0</v>
      </c>
      <c r="AF3578" s="182" t="n">
        <v>0</v>
      </c>
      <c r="AG3578" s="182" t="n">
        <v>0</v>
      </c>
      <c r="AH3578" s="182" t="n">
        <v>0</v>
      </c>
      <c r="AI3578" s="182" t="n">
        <v>0</v>
      </c>
      <c r="AJ3578" s="182" t="n">
        <v>0</v>
      </c>
      <c r="AK3578" s="182" t="n">
        <v>0</v>
      </c>
      <c r="AL3578" s="182" t="n">
        <v>0</v>
      </c>
      <c r="AM3578" s="182" t="n">
        <v>0</v>
      </c>
      <c r="AN3578" s="182" t="n">
        <v>0</v>
      </c>
    </row>
    <row r="3579">
      <c r="A3579" s="155" t="n">
        <v>46098</v>
      </c>
      <c r="B3579" s="156" t="inlineStr">
        <is>
          <t>DS</t>
        </is>
      </c>
      <c r="C3579" s="156" t="inlineStr">
        <is>
          <t>DT-806</t>
        </is>
      </c>
      <c r="D3579" s="156" t="inlineStr">
        <is>
          <t>SKT 80S</t>
        </is>
      </c>
      <c r="E3579" s="156" t="inlineStr">
        <is>
          <t>Hauler</t>
        </is>
      </c>
      <c r="F3579" s="156" t="inlineStr"/>
      <c r="G3579" s="182" t="n">
        <v>0</v>
      </c>
      <c r="H3579" s="182" t="n">
        <v>0</v>
      </c>
      <c r="I3579" s="182" t="n">
        <v>12</v>
      </c>
      <c r="J3579" s="182" t="n">
        <v>12</v>
      </c>
      <c r="K3579" s="182" t="n">
        <v>0</v>
      </c>
      <c r="L3579" s="182" t="n">
        <v>12</v>
      </c>
      <c r="M3579" s="182" t="n">
        <v>0</v>
      </c>
      <c r="N3579" s="182" t="n">
        <v>0</v>
      </c>
      <c r="O3579" s="183" t="n">
        <v>0</v>
      </c>
      <c r="P3579" s="183" t="n">
        <v>0</v>
      </c>
      <c r="Q3579" s="184" t="n">
        <v>0</v>
      </c>
      <c r="R3579" s="184" t="n">
        <v>0</v>
      </c>
      <c r="S3579" s="183" t="n">
        <v>0</v>
      </c>
      <c r="T3579" s="183" t="n">
        <v>0</v>
      </c>
      <c r="U3579" s="182" t="n">
        <v>0</v>
      </c>
      <c r="V3579" s="182" t="n">
        <v>0</v>
      </c>
      <c r="W3579" s="182" t="n">
        <v>0</v>
      </c>
      <c r="X3579" s="182" t="n">
        <v>0</v>
      </c>
      <c r="Y3579" s="182" t="n">
        <v>0</v>
      </c>
      <c r="Z3579" s="182" t="n">
        <v>0</v>
      </c>
      <c r="AA3579" s="182" t="n">
        <v>0</v>
      </c>
      <c r="AB3579" s="182" t="n">
        <v>0</v>
      </c>
      <c r="AC3579" s="182" t="n">
        <v>0</v>
      </c>
      <c r="AD3579" s="182" t="n">
        <v>0</v>
      </c>
      <c r="AE3579" s="182" t="n">
        <v>0</v>
      </c>
      <c r="AF3579" s="182" t="n">
        <v>0</v>
      </c>
      <c r="AG3579" s="182" t="n">
        <v>0</v>
      </c>
      <c r="AH3579" s="182" t="n">
        <v>0</v>
      </c>
      <c r="AI3579" s="182" t="n">
        <v>0</v>
      </c>
      <c r="AJ3579" s="182" t="n">
        <v>0</v>
      </c>
      <c r="AK3579" s="182" t="n">
        <v>0</v>
      </c>
      <c r="AL3579" s="182" t="n">
        <v>0</v>
      </c>
      <c r="AM3579" s="182" t="n">
        <v>0</v>
      </c>
      <c r="AN3579" s="182" t="n">
        <v>0</v>
      </c>
    </row>
    <row r="3580">
      <c r="A3580" s="155" t="n">
        <v>46098</v>
      </c>
      <c r="B3580" s="156" t="inlineStr">
        <is>
          <t>DS</t>
        </is>
      </c>
      <c r="C3580" s="156" t="inlineStr">
        <is>
          <t>DT-805</t>
        </is>
      </c>
      <c r="D3580" s="156" t="inlineStr">
        <is>
          <t>SKT 80S</t>
        </is>
      </c>
      <c r="E3580" s="156" t="inlineStr">
        <is>
          <t>Hauler</t>
        </is>
      </c>
      <c r="F3580" s="156" t="inlineStr"/>
      <c r="G3580" s="182" t="n">
        <v>0</v>
      </c>
      <c r="H3580" s="182" t="n">
        <v>0</v>
      </c>
      <c r="I3580" s="182" t="n">
        <v>12</v>
      </c>
      <c r="J3580" s="182" t="n">
        <v>12</v>
      </c>
      <c r="K3580" s="182" t="n">
        <v>0</v>
      </c>
      <c r="L3580" s="182" t="n">
        <v>12</v>
      </c>
      <c r="M3580" s="182" t="n">
        <v>0</v>
      </c>
      <c r="N3580" s="182" t="n">
        <v>0</v>
      </c>
      <c r="O3580" s="183" t="n">
        <v>0</v>
      </c>
      <c r="P3580" s="183" t="n">
        <v>0</v>
      </c>
      <c r="Q3580" s="184" t="n">
        <v>0</v>
      </c>
      <c r="R3580" s="184" t="n">
        <v>0</v>
      </c>
      <c r="S3580" s="183" t="n">
        <v>0</v>
      </c>
      <c r="T3580" s="183" t="n">
        <v>0</v>
      </c>
      <c r="U3580" s="182" t="n">
        <v>0</v>
      </c>
      <c r="V3580" s="182" t="n">
        <v>0</v>
      </c>
      <c r="W3580" s="182" t="n">
        <v>0</v>
      </c>
      <c r="X3580" s="182" t="n">
        <v>0</v>
      </c>
      <c r="Y3580" s="182" t="n">
        <v>0</v>
      </c>
      <c r="Z3580" s="182" t="n">
        <v>0</v>
      </c>
      <c r="AA3580" s="182" t="n">
        <v>0</v>
      </c>
      <c r="AB3580" s="182" t="n">
        <v>0</v>
      </c>
      <c r="AC3580" s="182" t="n">
        <v>0</v>
      </c>
      <c r="AD3580" s="182" t="n">
        <v>0</v>
      </c>
      <c r="AE3580" s="182" t="n">
        <v>0</v>
      </c>
      <c r="AF3580" s="182" t="n">
        <v>0</v>
      </c>
      <c r="AG3580" s="182" t="n">
        <v>0</v>
      </c>
      <c r="AH3580" s="182" t="n">
        <v>0</v>
      </c>
      <c r="AI3580" s="182" t="n">
        <v>0</v>
      </c>
      <c r="AJ3580" s="182" t="n">
        <v>0</v>
      </c>
      <c r="AK3580" s="182" t="n">
        <v>0</v>
      </c>
      <c r="AL3580" s="182" t="n">
        <v>0</v>
      </c>
      <c r="AM3580" s="182" t="n">
        <v>0</v>
      </c>
      <c r="AN3580" s="182" t="n">
        <v>0</v>
      </c>
    </row>
    <row r="3581">
      <c r="A3581" s="155" t="n">
        <v>46098</v>
      </c>
      <c r="B3581" s="156" t="inlineStr">
        <is>
          <t>DS</t>
        </is>
      </c>
      <c r="C3581" s="156" t="inlineStr">
        <is>
          <t>DT-801</t>
        </is>
      </c>
      <c r="D3581" s="156" t="inlineStr">
        <is>
          <t>SKT 80S</t>
        </is>
      </c>
      <c r="E3581" s="156" t="inlineStr">
        <is>
          <t>Hauler</t>
        </is>
      </c>
      <c r="F3581" s="156" t="inlineStr"/>
      <c r="G3581" s="182" t="n">
        <v>0</v>
      </c>
      <c r="H3581" s="182" t="n">
        <v>0</v>
      </c>
      <c r="I3581" s="182" t="n">
        <v>12</v>
      </c>
      <c r="J3581" s="182" t="n">
        <v>12</v>
      </c>
      <c r="K3581" s="182" t="n">
        <v>0</v>
      </c>
      <c r="L3581" s="182" t="n">
        <v>12</v>
      </c>
      <c r="M3581" s="182" t="n">
        <v>0</v>
      </c>
      <c r="N3581" s="182" t="n">
        <v>0</v>
      </c>
      <c r="O3581" s="183" t="n">
        <v>0</v>
      </c>
      <c r="P3581" s="183" t="n">
        <v>0</v>
      </c>
      <c r="Q3581" s="184" t="n">
        <v>0</v>
      </c>
      <c r="R3581" s="184" t="n">
        <v>0</v>
      </c>
      <c r="S3581" s="183" t="n">
        <v>0</v>
      </c>
      <c r="T3581" s="183" t="n">
        <v>0</v>
      </c>
      <c r="U3581" s="182" t="n">
        <v>0</v>
      </c>
      <c r="V3581" s="182" t="n">
        <v>0</v>
      </c>
      <c r="W3581" s="182" t="n">
        <v>0</v>
      </c>
      <c r="X3581" s="182" t="n">
        <v>0</v>
      </c>
      <c r="Y3581" s="182" t="n">
        <v>0</v>
      </c>
      <c r="Z3581" s="182" t="n">
        <v>0</v>
      </c>
      <c r="AA3581" s="182" t="n">
        <v>0</v>
      </c>
      <c r="AB3581" s="182" t="n">
        <v>0</v>
      </c>
      <c r="AC3581" s="182" t="n">
        <v>0</v>
      </c>
      <c r="AD3581" s="182" t="n">
        <v>0</v>
      </c>
      <c r="AE3581" s="182" t="n">
        <v>0</v>
      </c>
      <c r="AF3581" s="182" t="n">
        <v>0</v>
      </c>
      <c r="AG3581" s="182" t="n">
        <v>0</v>
      </c>
      <c r="AH3581" s="182" t="n">
        <v>0</v>
      </c>
      <c r="AI3581" s="182" t="n">
        <v>0</v>
      </c>
      <c r="AJ3581" s="182" t="n">
        <v>0</v>
      </c>
      <c r="AK3581" s="182" t="n">
        <v>0</v>
      </c>
      <c r="AL3581" s="182" t="n">
        <v>0</v>
      </c>
      <c r="AM3581" s="182" t="n">
        <v>0</v>
      </c>
      <c r="AN3581" s="182" t="n">
        <v>0</v>
      </c>
    </row>
    <row r="3582">
      <c r="A3582" s="155" t="n">
        <v>46098</v>
      </c>
      <c r="B3582" s="156" t="inlineStr">
        <is>
          <t>DS</t>
        </is>
      </c>
      <c r="C3582" s="156" t="inlineStr">
        <is>
          <t>DT-808</t>
        </is>
      </c>
      <c r="D3582" s="156" t="inlineStr">
        <is>
          <t>SKT 80S</t>
        </is>
      </c>
      <c r="E3582" s="156" t="inlineStr">
        <is>
          <t>Hauler</t>
        </is>
      </c>
      <c r="F3582" s="156" t="inlineStr">
        <is>
          <t>Support Washing Plant</t>
        </is>
      </c>
      <c r="G3582" s="182" t="n">
        <v>8.390000000000001</v>
      </c>
      <c r="H3582" s="182" t="n">
        <v>0</v>
      </c>
      <c r="I3582" s="182" t="n">
        <v>0</v>
      </c>
      <c r="J3582" s="182" t="n">
        <v>0</v>
      </c>
      <c r="K3582" s="182" t="n">
        <v>3.61</v>
      </c>
      <c r="L3582" s="182" t="n">
        <v>12</v>
      </c>
      <c r="M3582" s="182" t="n">
        <v>0</v>
      </c>
      <c r="N3582" s="182" t="n">
        <v>0</v>
      </c>
      <c r="O3582" s="183" t="n">
        <v>0</v>
      </c>
      <c r="P3582" s="183" t="n">
        <v>0</v>
      </c>
      <c r="Q3582" s="184" t="n">
        <v>0</v>
      </c>
      <c r="R3582" s="184" t="n">
        <v>0</v>
      </c>
      <c r="S3582" s="183" t="n">
        <v>0</v>
      </c>
      <c r="T3582" s="183" t="n">
        <v>0</v>
      </c>
      <c r="U3582" s="182" t="n">
        <v>0</v>
      </c>
      <c r="V3582" s="182" t="n">
        <v>0</v>
      </c>
      <c r="W3582" s="182" t="n">
        <v>0</v>
      </c>
      <c r="X3582" s="182" t="n">
        <v>1.03</v>
      </c>
      <c r="Y3582" s="182" t="n">
        <v>0</v>
      </c>
      <c r="Z3582" s="182" t="n">
        <v>0</v>
      </c>
      <c r="AA3582" s="182" t="n">
        <v>0</v>
      </c>
      <c r="AB3582" s="182" t="n">
        <v>0</v>
      </c>
      <c r="AC3582" s="182" t="n">
        <v>0</v>
      </c>
      <c r="AD3582" s="182" t="n">
        <v>0</v>
      </c>
      <c r="AE3582" s="182" t="n">
        <v>0</v>
      </c>
      <c r="AF3582" s="182" t="n">
        <v>0</v>
      </c>
      <c r="AG3582" s="182" t="n">
        <v>0</v>
      </c>
      <c r="AH3582" s="182" t="n">
        <v>0</v>
      </c>
      <c r="AI3582" s="182" t="n">
        <v>0</v>
      </c>
      <c r="AJ3582" s="182" t="n">
        <v>0</v>
      </c>
      <c r="AK3582" s="182" t="n">
        <v>2.5</v>
      </c>
      <c r="AL3582" s="182" t="n">
        <v>0</v>
      </c>
      <c r="AM3582" s="182" t="n">
        <v>0.08</v>
      </c>
      <c r="AN3582" s="182" t="n">
        <v>0</v>
      </c>
    </row>
    <row r="3583">
      <c r="A3583" s="155" t="n">
        <v>46098</v>
      </c>
      <c r="B3583" s="156" t="inlineStr">
        <is>
          <t>DS</t>
        </is>
      </c>
      <c r="C3583" s="156" t="inlineStr">
        <is>
          <t>DT-811</t>
        </is>
      </c>
      <c r="D3583" s="156" t="inlineStr">
        <is>
          <t>SKT 80S</t>
        </is>
      </c>
      <c r="E3583" s="156" t="inlineStr">
        <is>
          <t>Hauler</t>
        </is>
      </c>
      <c r="F3583" s="156" t="inlineStr">
        <is>
          <t>Hauling Coal</t>
        </is>
      </c>
      <c r="G3583" s="182" t="n">
        <v>5.03</v>
      </c>
      <c r="H3583" s="182" t="n">
        <v>0</v>
      </c>
      <c r="I3583" s="182" t="n">
        <v>0</v>
      </c>
      <c r="J3583" s="182" t="n">
        <v>0</v>
      </c>
      <c r="K3583" s="182" t="n">
        <v>6.97</v>
      </c>
      <c r="L3583" s="182" t="n">
        <v>12</v>
      </c>
      <c r="M3583" s="182" t="n">
        <v>0</v>
      </c>
      <c r="N3583" s="182" t="n">
        <v>5.03</v>
      </c>
      <c r="O3583" s="183" t="n">
        <v>0</v>
      </c>
      <c r="P3583" s="183" t="n">
        <v>13</v>
      </c>
      <c r="Q3583" s="184" t="n">
        <v>0</v>
      </c>
      <c r="R3583" s="184" t="n">
        <v>198.9</v>
      </c>
      <c r="S3583" s="183" t="n">
        <v>0</v>
      </c>
      <c r="T3583" s="183" t="n">
        <v>0</v>
      </c>
      <c r="U3583" s="182" t="n">
        <v>0</v>
      </c>
      <c r="V3583" s="182" t="n">
        <v>0</v>
      </c>
      <c r="W3583" s="182" t="n">
        <v>0</v>
      </c>
      <c r="X3583" s="182" t="n">
        <v>0.98</v>
      </c>
      <c r="Y3583" s="182" t="n">
        <v>0</v>
      </c>
      <c r="Z3583" s="182" t="n">
        <v>0</v>
      </c>
      <c r="AA3583" s="182" t="n">
        <v>0</v>
      </c>
      <c r="AB3583" s="182" t="n">
        <v>0</v>
      </c>
      <c r="AC3583" s="182" t="n">
        <v>0</v>
      </c>
      <c r="AD3583" s="182" t="n">
        <v>0</v>
      </c>
      <c r="AE3583" s="182" t="n">
        <v>0</v>
      </c>
      <c r="AF3583" s="182" t="n">
        <v>0</v>
      </c>
      <c r="AG3583" s="182" t="n">
        <v>0</v>
      </c>
      <c r="AH3583" s="182" t="n">
        <v>0</v>
      </c>
      <c r="AI3583" s="182" t="n">
        <v>0</v>
      </c>
      <c r="AJ3583" s="182" t="n">
        <v>0</v>
      </c>
      <c r="AK3583" s="182" t="n">
        <v>5.91</v>
      </c>
      <c r="AL3583" s="182" t="n">
        <v>0</v>
      </c>
      <c r="AM3583" s="182" t="n">
        <v>0.08</v>
      </c>
      <c r="AN3583" s="182" t="n">
        <v>0</v>
      </c>
    </row>
    <row r="3584">
      <c r="A3584" s="155" t="n">
        <v>46098</v>
      </c>
      <c r="B3584" s="156" t="inlineStr">
        <is>
          <t>DS</t>
        </is>
      </c>
      <c r="C3584" s="156" t="inlineStr">
        <is>
          <t>DT-802</t>
        </is>
      </c>
      <c r="D3584" s="156" t="inlineStr">
        <is>
          <t>SKT 80S</t>
        </is>
      </c>
      <c r="E3584" s="156" t="inlineStr">
        <is>
          <t>Hauler</t>
        </is>
      </c>
      <c r="F3584" s="156" t="inlineStr"/>
      <c r="G3584" s="182" t="n">
        <v>0</v>
      </c>
      <c r="H3584" s="182" t="n">
        <v>0</v>
      </c>
      <c r="I3584" s="182" t="n">
        <v>12</v>
      </c>
      <c r="J3584" s="182" t="n">
        <v>12</v>
      </c>
      <c r="K3584" s="182" t="n">
        <v>0</v>
      </c>
      <c r="L3584" s="182" t="n">
        <v>12</v>
      </c>
      <c r="M3584" s="182" t="n">
        <v>0</v>
      </c>
      <c r="N3584" s="182" t="n">
        <v>0</v>
      </c>
      <c r="O3584" s="183" t="n">
        <v>0</v>
      </c>
      <c r="P3584" s="183" t="n">
        <v>0</v>
      </c>
      <c r="Q3584" s="184" t="n">
        <v>0</v>
      </c>
      <c r="R3584" s="184" t="n">
        <v>0</v>
      </c>
      <c r="S3584" s="183" t="n">
        <v>0</v>
      </c>
      <c r="T3584" s="183" t="n">
        <v>0</v>
      </c>
      <c r="U3584" s="182" t="n">
        <v>0</v>
      </c>
      <c r="V3584" s="182" t="n">
        <v>0</v>
      </c>
      <c r="W3584" s="182" t="n">
        <v>0</v>
      </c>
      <c r="X3584" s="182" t="n">
        <v>0</v>
      </c>
      <c r="Y3584" s="182" t="n">
        <v>0</v>
      </c>
      <c r="Z3584" s="182" t="n">
        <v>0</v>
      </c>
      <c r="AA3584" s="182" t="n">
        <v>0</v>
      </c>
      <c r="AB3584" s="182" t="n">
        <v>0</v>
      </c>
      <c r="AC3584" s="182" t="n">
        <v>0</v>
      </c>
      <c r="AD3584" s="182" t="n">
        <v>0</v>
      </c>
      <c r="AE3584" s="182" t="n">
        <v>0</v>
      </c>
      <c r="AF3584" s="182" t="n">
        <v>0</v>
      </c>
      <c r="AG3584" s="182" t="n">
        <v>0</v>
      </c>
      <c r="AH3584" s="182" t="n">
        <v>0</v>
      </c>
      <c r="AI3584" s="182" t="n">
        <v>0</v>
      </c>
      <c r="AJ3584" s="182" t="n">
        <v>0</v>
      </c>
      <c r="AK3584" s="182" t="n">
        <v>0</v>
      </c>
      <c r="AL3584" s="182" t="n">
        <v>0</v>
      </c>
      <c r="AM3584" s="182" t="n">
        <v>0</v>
      </c>
      <c r="AN3584" s="182" t="n">
        <v>0</v>
      </c>
    </row>
    <row r="3585">
      <c r="A3585" s="155" t="n">
        <v>46098</v>
      </c>
      <c r="B3585" s="156" t="inlineStr">
        <is>
          <t>DS</t>
        </is>
      </c>
      <c r="C3585" s="156" t="inlineStr">
        <is>
          <t>DT-807</t>
        </is>
      </c>
      <c r="D3585" s="156" t="inlineStr">
        <is>
          <t>SKT 80S</t>
        </is>
      </c>
      <c r="E3585" s="156" t="inlineStr">
        <is>
          <t>Hauler</t>
        </is>
      </c>
      <c r="F3585" s="156" t="inlineStr"/>
      <c r="G3585" s="182" t="n">
        <v>0</v>
      </c>
      <c r="H3585" s="182" t="n">
        <v>0</v>
      </c>
      <c r="I3585" s="182" t="n">
        <v>12</v>
      </c>
      <c r="J3585" s="182" t="n">
        <v>12</v>
      </c>
      <c r="K3585" s="182" t="n">
        <v>0</v>
      </c>
      <c r="L3585" s="182" t="n">
        <v>12</v>
      </c>
      <c r="M3585" s="182" t="n">
        <v>0</v>
      </c>
      <c r="N3585" s="182" t="n">
        <v>0</v>
      </c>
      <c r="O3585" s="183" t="n">
        <v>0</v>
      </c>
      <c r="P3585" s="183" t="n">
        <v>0</v>
      </c>
      <c r="Q3585" s="184" t="n">
        <v>0</v>
      </c>
      <c r="R3585" s="184" t="n">
        <v>0</v>
      </c>
      <c r="S3585" s="183" t="n">
        <v>0</v>
      </c>
      <c r="T3585" s="183" t="n">
        <v>0</v>
      </c>
      <c r="U3585" s="182" t="n">
        <v>0</v>
      </c>
      <c r="V3585" s="182" t="n">
        <v>0</v>
      </c>
      <c r="W3585" s="182" t="n">
        <v>0</v>
      </c>
      <c r="X3585" s="182" t="n">
        <v>0</v>
      </c>
      <c r="Y3585" s="182" t="n">
        <v>0</v>
      </c>
      <c r="Z3585" s="182" t="n">
        <v>0</v>
      </c>
      <c r="AA3585" s="182" t="n">
        <v>0</v>
      </c>
      <c r="AB3585" s="182" t="n">
        <v>0</v>
      </c>
      <c r="AC3585" s="182" t="n">
        <v>0</v>
      </c>
      <c r="AD3585" s="182" t="n">
        <v>0</v>
      </c>
      <c r="AE3585" s="182" t="n">
        <v>0</v>
      </c>
      <c r="AF3585" s="182" t="n">
        <v>0</v>
      </c>
      <c r="AG3585" s="182" t="n">
        <v>0</v>
      </c>
      <c r="AH3585" s="182" t="n">
        <v>0</v>
      </c>
      <c r="AI3585" s="182" t="n">
        <v>0</v>
      </c>
      <c r="AJ3585" s="182" t="n">
        <v>0</v>
      </c>
      <c r="AK3585" s="182" t="n">
        <v>0</v>
      </c>
      <c r="AL3585" s="182" t="n">
        <v>0</v>
      </c>
      <c r="AM3585" s="182" t="n">
        <v>0</v>
      </c>
      <c r="AN3585" s="182" t="n">
        <v>0</v>
      </c>
    </row>
    <row r="3586">
      <c r="A3586" s="155" t="n">
        <v>46098</v>
      </c>
      <c r="B3586" s="156" t="inlineStr">
        <is>
          <t>DS</t>
        </is>
      </c>
      <c r="C3586" s="156" t="inlineStr">
        <is>
          <t>DT-812</t>
        </is>
      </c>
      <c r="D3586" s="156" t="inlineStr">
        <is>
          <t>SKT 80S</t>
        </is>
      </c>
      <c r="E3586" s="156" t="inlineStr">
        <is>
          <t>Hauler</t>
        </is>
      </c>
      <c r="F3586" s="156" t="inlineStr">
        <is>
          <t>Hauling Coal</t>
        </is>
      </c>
      <c r="G3586" s="182" t="n">
        <v>5.71</v>
      </c>
      <c r="H3586" s="182" t="n">
        <v>0</v>
      </c>
      <c r="I3586" s="182" t="n">
        <v>0</v>
      </c>
      <c r="J3586" s="182" t="n">
        <v>0</v>
      </c>
      <c r="K3586" s="182" t="n">
        <v>6.29</v>
      </c>
      <c r="L3586" s="182" t="n">
        <v>12</v>
      </c>
      <c r="M3586" s="182" t="n">
        <v>0</v>
      </c>
      <c r="N3586" s="182" t="n">
        <v>5.71</v>
      </c>
      <c r="O3586" s="183" t="n">
        <v>0</v>
      </c>
      <c r="P3586" s="183" t="n">
        <v>10</v>
      </c>
      <c r="Q3586" s="184" t="n">
        <v>0</v>
      </c>
      <c r="R3586" s="184" t="n">
        <v>153</v>
      </c>
      <c r="S3586" s="183" t="n">
        <v>0</v>
      </c>
      <c r="T3586" s="183" t="n">
        <v>0</v>
      </c>
      <c r="U3586" s="182" t="n">
        <v>0</v>
      </c>
      <c r="V3586" s="182" t="n">
        <v>0</v>
      </c>
      <c r="W3586" s="182" t="n">
        <v>0</v>
      </c>
      <c r="X3586" s="182" t="n">
        <v>0.97</v>
      </c>
      <c r="Y3586" s="182" t="n">
        <v>0</v>
      </c>
      <c r="Z3586" s="182" t="n">
        <v>0</v>
      </c>
      <c r="AA3586" s="182" t="n">
        <v>0</v>
      </c>
      <c r="AB3586" s="182" t="n">
        <v>0</v>
      </c>
      <c r="AC3586" s="182" t="n">
        <v>0</v>
      </c>
      <c r="AD3586" s="182" t="n">
        <v>0</v>
      </c>
      <c r="AE3586" s="182" t="n">
        <v>0</v>
      </c>
      <c r="AF3586" s="182" t="n">
        <v>0</v>
      </c>
      <c r="AG3586" s="182" t="n">
        <v>0</v>
      </c>
      <c r="AH3586" s="182" t="n">
        <v>0</v>
      </c>
      <c r="AI3586" s="182" t="n">
        <v>0</v>
      </c>
      <c r="AJ3586" s="182" t="n">
        <v>0</v>
      </c>
      <c r="AK3586" s="182" t="n">
        <v>5.24</v>
      </c>
      <c r="AL3586" s="182" t="n">
        <v>0</v>
      </c>
      <c r="AM3586" s="182" t="n">
        <v>0.08</v>
      </c>
      <c r="AN3586" s="182" t="n">
        <v>0</v>
      </c>
    </row>
    <row r="3587">
      <c r="A3587" s="155" t="n">
        <v>46098</v>
      </c>
      <c r="B3587" s="156" t="inlineStr">
        <is>
          <t>DS</t>
        </is>
      </c>
      <c r="C3587" s="156" t="inlineStr">
        <is>
          <t>DT-803</t>
        </is>
      </c>
      <c r="D3587" s="156" t="inlineStr">
        <is>
          <t>SKT 80S</t>
        </is>
      </c>
      <c r="E3587" s="156" t="inlineStr">
        <is>
          <t>Hauler</t>
        </is>
      </c>
      <c r="F3587" s="156" t="inlineStr"/>
      <c r="G3587" s="182" t="n">
        <v>0</v>
      </c>
      <c r="H3587" s="182" t="n">
        <v>0</v>
      </c>
      <c r="I3587" s="182" t="n">
        <v>0</v>
      </c>
      <c r="J3587" s="182" t="n">
        <v>0</v>
      </c>
      <c r="K3587" s="182" t="n">
        <v>12</v>
      </c>
      <c r="L3587" s="182" t="n">
        <v>12</v>
      </c>
      <c r="M3587" s="182" t="n">
        <v>0</v>
      </c>
      <c r="N3587" s="182" t="n">
        <v>0</v>
      </c>
      <c r="O3587" s="183" t="n">
        <v>0</v>
      </c>
      <c r="P3587" s="183" t="n">
        <v>0</v>
      </c>
      <c r="Q3587" s="184" t="n">
        <v>0</v>
      </c>
      <c r="R3587" s="184" t="n">
        <v>0</v>
      </c>
      <c r="S3587" s="183" t="n">
        <v>0</v>
      </c>
      <c r="T3587" s="183" t="n">
        <v>0</v>
      </c>
      <c r="U3587" s="182" t="n">
        <v>0</v>
      </c>
      <c r="V3587" s="182" t="n">
        <v>0</v>
      </c>
      <c r="W3587" s="182" t="n">
        <v>0</v>
      </c>
      <c r="X3587" s="182" t="n">
        <v>1</v>
      </c>
      <c r="Y3587" s="182" t="n">
        <v>0</v>
      </c>
      <c r="Z3587" s="182" t="n">
        <v>0</v>
      </c>
      <c r="AA3587" s="182" t="n">
        <v>0</v>
      </c>
      <c r="AB3587" s="182" t="n">
        <v>0</v>
      </c>
      <c r="AC3587" s="182" t="n">
        <v>0</v>
      </c>
      <c r="AD3587" s="182" t="n">
        <v>0</v>
      </c>
      <c r="AE3587" s="182" t="n">
        <v>0</v>
      </c>
      <c r="AF3587" s="182" t="n">
        <v>0</v>
      </c>
      <c r="AG3587" s="182" t="n">
        <v>0</v>
      </c>
      <c r="AH3587" s="182" t="n">
        <v>0</v>
      </c>
      <c r="AI3587" s="182" t="n">
        <v>0</v>
      </c>
      <c r="AJ3587" s="182" t="n">
        <v>0</v>
      </c>
      <c r="AK3587" s="182" t="n">
        <v>10.92</v>
      </c>
      <c r="AL3587" s="182" t="n">
        <v>0</v>
      </c>
      <c r="AM3587" s="182" t="n">
        <v>0.08</v>
      </c>
      <c r="AN3587" s="182" t="n">
        <v>0</v>
      </c>
    </row>
    <row r="3588">
      <c r="A3588" s="155" t="n">
        <v>46098</v>
      </c>
      <c r="B3588" s="156" t="inlineStr">
        <is>
          <t>DS</t>
        </is>
      </c>
      <c r="C3588" s="156" t="inlineStr">
        <is>
          <t>DT-810</t>
        </is>
      </c>
      <c r="D3588" s="156" t="inlineStr">
        <is>
          <t>SKT 80S</t>
        </is>
      </c>
      <c r="E3588" s="156" t="inlineStr">
        <is>
          <t>Hauler</t>
        </is>
      </c>
      <c r="F3588" s="156" t="inlineStr">
        <is>
          <t>Hauling Coal</t>
        </is>
      </c>
      <c r="G3588" s="182" t="n">
        <v>5.04</v>
      </c>
      <c r="H3588" s="182" t="n">
        <v>0</v>
      </c>
      <c r="I3588" s="182" t="n">
        <v>0</v>
      </c>
      <c r="J3588" s="182" t="n">
        <v>0</v>
      </c>
      <c r="K3588" s="182" t="n">
        <v>6.96</v>
      </c>
      <c r="L3588" s="182" t="n">
        <v>12</v>
      </c>
      <c r="M3588" s="182" t="n">
        <v>0</v>
      </c>
      <c r="N3588" s="182" t="n">
        <v>5.04</v>
      </c>
      <c r="O3588" s="183" t="n">
        <v>0</v>
      </c>
      <c r="P3588" s="183" t="n">
        <v>5</v>
      </c>
      <c r="Q3588" s="184" t="n">
        <v>0</v>
      </c>
      <c r="R3588" s="184" t="n">
        <v>76.5</v>
      </c>
      <c r="S3588" s="183" t="n">
        <v>0</v>
      </c>
      <c r="T3588" s="183" t="n">
        <v>0</v>
      </c>
      <c r="U3588" s="182" t="n">
        <v>0</v>
      </c>
      <c r="V3588" s="182" t="n">
        <v>0</v>
      </c>
      <c r="W3588" s="182" t="n">
        <v>0</v>
      </c>
      <c r="X3588" s="182" t="n">
        <v>0.97</v>
      </c>
      <c r="Y3588" s="182" t="n">
        <v>0</v>
      </c>
      <c r="Z3588" s="182" t="n">
        <v>0</v>
      </c>
      <c r="AA3588" s="182" t="n">
        <v>0</v>
      </c>
      <c r="AB3588" s="182" t="n">
        <v>0</v>
      </c>
      <c r="AC3588" s="182" t="n">
        <v>0</v>
      </c>
      <c r="AD3588" s="182" t="n">
        <v>0</v>
      </c>
      <c r="AE3588" s="182" t="n">
        <v>0</v>
      </c>
      <c r="AF3588" s="182" t="n">
        <v>0</v>
      </c>
      <c r="AG3588" s="182" t="n">
        <v>0</v>
      </c>
      <c r="AH3588" s="182" t="n">
        <v>0</v>
      </c>
      <c r="AI3588" s="182" t="n">
        <v>0</v>
      </c>
      <c r="AJ3588" s="182" t="n">
        <v>0</v>
      </c>
      <c r="AK3588" s="182" t="n">
        <v>5.92</v>
      </c>
      <c r="AL3588" s="182" t="n">
        <v>0</v>
      </c>
      <c r="AM3588" s="182" t="n">
        <v>0.08</v>
      </c>
      <c r="AN3588" s="182" t="n">
        <v>0</v>
      </c>
    </row>
    <row r="3589">
      <c r="A3589" s="155" t="n">
        <v>46098</v>
      </c>
      <c r="B3589" s="156" t="inlineStr">
        <is>
          <t>DS</t>
        </is>
      </c>
      <c r="C3589" s="156" t="inlineStr">
        <is>
          <t>DT-804</t>
        </is>
      </c>
      <c r="D3589" s="156" t="inlineStr">
        <is>
          <t>SKT 80S</t>
        </is>
      </c>
      <c r="E3589" s="156" t="inlineStr">
        <is>
          <t>Hauler</t>
        </is>
      </c>
      <c r="F3589" s="156" t="inlineStr">
        <is>
          <t>Support Washing Plant</t>
        </is>
      </c>
      <c r="G3589" s="182" t="n">
        <v>8.710000000000001</v>
      </c>
      <c r="H3589" s="182" t="n">
        <v>0</v>
      </c>
      <c r="I3589" s="182" t="n">
        <v>0</v>
      </c>
      <c r="J3589" s="182" t="n">
        <v>0</v>
      </c>
      <c r="K3589" s="182" t="n">
        <v>3.29</v>
      </c>
      <c r="L3589" s="182" t="n">
        <v>12</v>
      </c>
      <c r="M3589" s="182" t="n">
        <v>0</v>
      </c>
      <c r="N3589" s="182" t="n">
        <v>0</v>
      </c>
      <c r="O3589" s="183" t="n">
        <v>0</v>
      </c>
      <c r="P3589" s="183" t="n">
        <v>0</v>
      </c>
      <c r="Q3589" s="184" t="n">
        <v>0</v>
      </c>
      <c r="R3589" s="184" t="n">
        <v>0</v>
      </c>
      <c r="S3589" s="183" t="n">
        <v>0</v>
      </c>
      <c r="T3589" s="183" t="n">
        <v>0</v>
      </c>
      <c r="U3589" s="182" t="n">
        <v>0</v>
      </c>
      <c r="V3589" s="182" t="n">
        <v>0</v>
      </c>
      <c r="W3589" s="182" t="n">
        <v>0</v>
      </c>
      <c r="X3589" s="182" t="n">
        <v>1.03</v>
      </c>
      <c r="Y3589" s="182" t="n">
        <v>0</v>
      </c>
      <c r="Z3589" s="182" t="n">
        <v>0</v>
      </c>
      <c r="AA3589" s="182" t="n">
        <v>0</v>
      </c>
      <c r="AB3589" s="182" t="n">
        <v>0</v>
      </c>
      <c r="AC3589" s="182" t="n">
        <v>0</v>
      </c>
      <c r="AD3589" s="182" t="n">
        <v>0</v>
      </c>
      <c r="AE3589" s="182" t="n">
        <v>0</v>
      </c>
      <c r="AF3589" s="182" t="n">
        <v>0</v>
      </c>
      <c r="AG3589" s="182" t="n">
        <v>0</v>
      </c>
      <c r="AH3589" s="182" t="n">
        <v>0</v>
      </c>
      <c r="AI3589" s="182" t="n">
        <v>0</v>
      </c>
      <c r="AJ3589" s="182" t="n">
        <v>0</v>
      </c>
      <c r="AK3589" s="182" t="n">
        <v>2.18</v>
      </c>
      <c r="AL3589" s="182" t="n">
        <v>0</v>
      </c>
      <c r="AM3589" s="182" t="n">
        <v>0.08</v>
      </c>
      <c r="AN3589" s="182" t="n">
        <v>0</v>
      </c>
    </row>
    <row r="3590">
      <c r="A3590" s="155" t="n">
        <v>46098</v>
      </c>
      <c r="B3590" s="156" t="inlineStr">
        <is>
          <t>DS</t>
        </is>
      </c>
      <c r="C3590" s="156" t="inlineStr">
        <is>
          <t>DT-505</t>
        </is>
      </c>
      <c r="D3590" s="156" t="inlineStr">
        <is>
          <t>SKT 105S</t>
        </is>
      </c>
      <c r="E3590" s="156" t="inlineStr">
        <is>
          <t>Hauler</t>
        </is>
      </c>
      <c r="F3590" s="156" t="inlineStr">
        <is>
          <t>Hauling OB</t>
        </is>
      </c>
      <c r="G3590" s="182" t="n">
        <v>6.09</v>
      </c>
      <c r="H3590" s="182" t="n">
        <v>0</v>
      </c>
      <c r="I3590" s="182" t="n">
        <v>0</v>
      </c>
      <c r="J3590" s="182" t="n">
        <v>0</v>
      </c>
      <c r="K3590" s="182" t="n">
        <v>5.91</v>
      </c>
      <c r="L3590" s="182" t="n">
        <v>12</v>
      </c>
      <c r="M3590" s="182" t="n">
        <v>6.09</v>
      </c>
      <c r="N3590" s="182" t="n">
        <v>0</v>
      </c>
      <c r="O3590" s="183" t="n">
        <v>24</v>
      </c>
      <c r="P3590" s="183" t="n">
        <v>0</v>
      </c>
      <c r="Q3590" s="184" t="n">
        <v>424.3</v>
      </c>
      <c r="R3590" s="184" t="n">
        <v>0</v>
      </c>
      <c r="S3590" s="183" t="n">
        <v>0</v>
      </c>
      <c r="T3590" s="183" t="n">
        <v>0</v>
      </c>
      <c r="U3590" s="182" t="n">
        <v>0</v>
      </c>
      <c r="V3590" s="182" t="n">
        <v>0</v>
      </c>
      <c r="W3590" s="182" t="n">
        <v>0</v>
      </c>
      <c r="X3590" s="182" t="n">
        <v>1.04</v>
      </c>
      <c r="Y3590" s="182" t="n">
        <v>0</v>
      </c>
      <c r="Z3590" s="182" t="n">
        <v>0</v>
      </c>
      <c r="AA3590" s="182" t="n">
        <v>0</v>
      </c>
      <c r="AB3590" s="182" t="n">
        <v>0</v>
      </c>
      <c r="AC3590" s="182" t="n">
        <v>0</v>
      </c>
      <c r="AD3590" s="182" t="n">
        <v>4.79</v>
      </c>
      <c r="AE3590" s="182" t="n">
        <v>0</v>
      </c>
      <c r="AF3590" s="182" t="n">
        <v>0</v>
      </c>
      <c r="AG3590" s="182" t="n">
        <v>0</v>
      </c>
      <c r="AH3590" s="182" t="n">
        <v>0</v>
      </c>
      <c r="AI3590" s="182" t="n">
        <v>0</v>
      </c>
      <c r="AJ3590" s="182" t="n">
        <v>0</v>
      </c>
      <c r="AK3590" s="182" t="n">
        <v>0</v>
      </c>
      <c r="AL3590" s="182" t="n">
        <v>0</v>
      </c>
      <c r="AM3590" s="182" t="n">
        <v>0.08</v>
      </c>
      <c r="AN3590" s="182" t="n">
        <v>0</v>
      </c>
    </row>
    <row r="3591">
      <c r="A3591" s="155" t="n">
        <v>46098</v>
      </c>
      <c r="B3591" s="156" t="inlineStr">
        <is>
          <t>DS</t>
        </is>
      </c>
      <c r="C3591" s="156" t="inlineStr">
        <is>
          <t>DT-530</t>
        </is>
      </c>
      <c r="D3591" s="156" t="inlineStr">
        <is>
          <t>SKT 105S</t>
        </is>
      </c>
      <c r="E3591" s="156" t="inlineStr">
        <is>
          <t>Hauler</t>
        </is>
      </c>
      <c r="F3591" s="156" t="inlineStr"/>
      <c r="G3591" s="182" t="n">
        <v>0</v>
      </c>
      <c r="H3591" s="182" t="n">
        <v>0</v>
      </c>
      <c r="I3591" s="182" t="n">
        <v>12</v>
      </c>
      <c r="J3591" s="182" t="n">
        <v>12</v>
      </c>
      <c r="K3591" s="182" t="n">
        <v>0</v>
      </c>
      <c r="L3591" s="182" t="n">
        <v>12</v>
      </c>
      <c r="M3591" s="182" t="n">
        <v>0</v>
      </c>
      <c r="N3591" s="182" t="n">
        <v>0</v>
      </c>
      <c r="O3591" s="183" t="n">
        <v>0</v>
      </c>
      <c r="P3591" s="183" t="n">
        <v>0</v>
      </c>
      <c r="Q3591" s="184" t="n">
        <v>0</v>
      </c>
      <c r="R3591" s="184" t="n">
        <v>0</v>
      </c>
      <c r="S3591" s="183" t="n">
        <v>0</v>
      </c>
      <c r="T3591" s="183" t="n">
        <v>0</v>
      </c>
      <c r="U3591" s="182" t="n">
        <v>0</v>
      </c>
      <c r="V3591" s="182" t="n">
        <v>0</v>
      </c>
      <c r="W3591" s="182" t="n">
        <v>0</v>
      </c>
      <c r="X3591" s="182" t="n">
        <v>0</v>
      </c>
      <c r="Y3591" s="182" t="n">
        <v>0</v>
      </c>
      <c r="Z3591" s="182" t="n">
        <v>0</v>
      </c>
      <c r="AA3591" s="182" t="n">
        <v>0</v>
      </c>
      <c r="AB3591" s="182" t="n">
        <v>0</v>
      </c>
      <c r="AC3591" s="182" t="n">
        <v>0</v>
      </c>
      <c r="AD3591" s="182" t="n">
        <v>0</v>
      </c>
      <c r="AE3591" s="182" t="n">
        <v>0</v>
      </c>
      <c r="AF3591" s="182" t="n">
        <v>0</v>
      </c>
      <c r="AG3591" s="182" t="n">
        <v>0</v>
      </c>
      <c r="AH3591" s="182" t="n">
        <v>0</v>
      </c>
      <c r="AI3591" s="182" t="n">
        <v>0</v>
      </c>
      <c r="AJ3591" s="182" t="n">
        <v>0</v>
      </c>
      <c r="AK3591" s="182" t="n">
        <v>0</v>
      </c>
      <c r="AL3591" s="182" t="n">
        <v>0</v>
      </c>
      <c r="AM3591" s="182" t="n">
        <v>0</v>
      </c>
      <c r="AN3591" s="182" t="n">
        <v>0</v>
      </c>
    </row>
    <row r="3592">
      <c r="A3592" s="155" t="n">
        <v>46098</v>
      </c>
      <c r="B3592" s="156" t="inlineStr">
        <is>
          <t>DS</t>
        </is>
      </c>
      <c r="C3592" s="156" t="inlineStr">
        <is>
          <t>DT-525</t>
        </is>
      </c>
      <c r="D3592" s="156" t="inlineStr">
        <is>
          <t>SKT 105S</t>
        </is>
      </c>
      <c r="E3592" s="156" t="inlineStr">
        <is>
          <t>Hauler</t>
        </is>
      </c>
      <c r="F3592" s="156" t="inlineStr"/>
      <c r="G3592" s="182" t="n">
        <v>0</v>
      </c>
      <c r="H3592" s="182" t="n">
        <v>0</v>
      </c>
      <c r="I3592" s="182" t="n">
        <v>12</v>
      </c>
      <c r="J3592" s="182" t="n">
        <v>12</v>
      </c>
      <c r="K3592" s="182" t="n">
        <v>0</v>
      </c>
      <c r="L3592" s="182" t="n">
        <v>12</v>
      </c>
      <c r="M3592" s="182" t="n">
        <v>0</v>
      </c>
      <c r="N3592" s="182" t="n">
        <v>0</v>
      </c>
      <c r="O3592" s="183" t="n">
        <v>0</v>
      </c>
      <c r="P3592" s="183" t="n">
        <v>0</v>
      </c>
      <c r="Q3592" s="184" t="n">
        <v>0</v>
      </c>
      <c r="R3592" s="184" t="n">
        <v>0</v>
      </c>
      <c r="S3592" s="183" t="n">
        <v>0</v>
      </c>
      <c r="T3592" s="183" t="n">
        <v>0</v>
      </c>
      <c r="U3592" s="182" t="n">
        <v>0</v>
      </c>
      <c r="V3592" s="182" t="n">
        <v>0</v>
      </c>
      <c r="W3592" s="182" t="n">
        <v>0</v>
      </c>
      <c r="X3592" s="182" t="n">
        <v>0</v>
      </c>
      <c r="Y3592" s="182" t="n">
        <v>0</v>
      </c>
      <c r="Z3592" s="182" t="n">
        <v>0</v>
      </c>
      <c r="AA3592" s="182" t="n">
        <v>0</v>
      </c>
      <c r="AB3592" s="182" t="n">
        <v>0</v>
      </c>
      <c r="AC3592" s="182" t="n">
        <v>0</v>
      </c>
      <c r="AD3592" s="182" t="n">
        <v>0</v>
      </c>
      <c r="AE3592" s="182" t="n">
        <v>0</v>
      </c>
      <c r="AF3592" s="182" t="n">
        <v>0</v>
      </c>
      <c r="AG3592" s="182" t="n">
        <v>0</v>
      </c>
      <c r="AH3592" s="182" t="n">
        <v>0</v>
      </c>
      <c r="AI3592" s="182" t="n">
        <v>0</v>
      </c>
      <c r="AJ3592" s="182" t="n">
        <v>0</v>
      </c>
      <c r="AK3592" s="182" t="n">
        <v>0</v>
      </c>
      <c r="AL3592" s="182" t="n">
        <v>0</v>
      </c>
      <c r="AM3592" s="182" t="n">
        <v>0</v>
      </c>
      <c r="AN3592" s="182" t="n">
        <v>0</v>
      </c>
    </row>
    <row r="3593">
      <c r="A3593" s="155" t="n">
        <v>46098</v>
      </c>
      <c r="B3593" s="156" t="inlineStr">
        <is>
          <t>DS</t>
        </is>
      </c>
      <c r="C3593" s="156" t="inlineStr">
        <is>
          <t>DT-503</t>
        </is>
      </c>
      <c r="D3593" s="156" t="inlineStr">
        <is>
          <t>SKT 105S</t>
        </is>
      </c>
      <c r="E3593" s="156" t="inlineStr">
        <is>
          <t>Hauler</t>
        </is>
      </c>
      <c r="F3593" s="156" t="inlineStr">
        <is>
          <t>Hauling OB</t>
        </is>
      </c>
      <c r="G3593" s="182" t="n">
        <v>8.52</v>
      </c>
      <c r="H3593" s="182" t="n">
        <v>0</v>
      </c>
      <c r="I3593" s="182" t="n">
        <v>0</v>
      </c>
      <c r="J3593" s="182" t="n">
        <v>0</v>
      </c>
      <c r="K3593" s="182" t="n">
        <v>3.48</v>
      </c>
      <c r="L3593" s="182" t="n">
        <v>12</v>
      </c>
      <c r="M3593" s="182" t="n">
        <v>8.52</v>
      </c>
      <c r="N3593" s="182" t="n">
        <v>0</v>
      </c>
      <c r="O3593" s="183" t="n">
        <v>43</v>
      </c>
      <c r="P3593" s="183" t="n">
        <v>0</v>
      </c>
      <c r="Q3593" s="184" t="n">
        <v>877.2</v>
      </c>
      <c r="R3593" s="184" t="n">
        <v>0</v>
      </c>
      <c r="S3593" s="183" t="n">
        <v>0</v>
      </c>
      <c r="T3593" s="183" t="n">
        <v>0</v>
      </c>
      <c r="U3593" s="182" t="n">
        <v>0</v>
      </c>
      <c r="V3593" s="182" t="n">
        <v>0</v>
      </c>
      <c r="W3593" s="182" t="n">
        <v>0</v>
      </c>
      <c r="X3593" s="182" t="n">
        <v>0.97</v>
      </c>
      <c r="Y3593" s="182" t="n">
        <v>0</v>
      </c>
      <c r="Z3593" s="182" t="n">
        <v>0</v>
      </c>
      <c r="AA3593" s="182" t="n">
        <v>0</v>
      </c>
      <c r="AB3593" s="182" t="n">
        <v>0</v>
      </c>
      <c r="AC3593" s="182" t="n">
        <v>0</v>
      </c>
      <c r="AD3593" s="182" t="n">
        <v>1.93</v>
      </c>
      <c r="AE3593" s="182" t="n">
        <v>0</v>
      </c>
      <c r="AF3593" s="182" t="n">
        <v>0</v>
      </c>
      <c r="AG3593" s="182" t="n">
        <v>0</v>
      </c>
      <c r="AH3593" s="182" t="n">
        <v>0.5</v>
      </c>
      <c r="AI3593" s="182" t="n">
        <v>0</v>
      </c>
      <c r="AJ3593" s="182" t="n">
        <v>0</v>
      </c>
      <c r="AK3593" s="182" t="n">
        <v>0</v>
      </c>
      <c r="AL3593" s="182" t="n">
        <v>0</v>
      </c>
      <c r="AM3593" s="182" t="n">
        <v>0.08</v>
      </c>
      <c r="AN3593" s="182" t="n">
        <v>0</v>
      </c>
    </row>
    <row r="3594">
      <c r="A3594" s="155" t="n">
        <v>46098</v>
      </c>
      <c r="B3594" s="156" t="inlineStr">
        <is>
          <t>DS</t>
        </is>
      </c>
      <c r="C3594" s="156" t="inlineStr">
        <is>
          <t>DT-504</t>
        </is>
      </c>
      <c r="D3594" s="156" t="inlineStr">
        <is>
          <t>SKT 105S</t>
        </is>
      </c>
      <c r="E3594" s="156" t="inlineStr">
        <is>
          <t>Hauler</t>
        </is>
      </c>
      <c r="F3594" s="156" t="inlineStr">
        <is>
          <t>Hauling OB</t>
        </is>
      </c>
      <c r="G3594" s="182" t="n">
        <v>2.3</v>
      </c>
      <c r="H3594" s="182" t="n">
        <v>3.2</v>
      </c>
      <c r="I3594" s="182" t="n">
        <v>0</v>
      </c>
      <c r="J3594" s="182" t="n">
        <v>3.2</v>
      </c>
      <c r="K3594" s="182" t="n">
        <v>6.5</v>
      </c>
      <c r="L3594" s="182" t="n">
        <v>12</v>
      </c>
      <c r="M3594" s="182" t="n">
        <v>2.3</v>
      </c>
      <c r="N3594" s="182" t="n">
        <v>0</v>
      </c>
      <c r="O3594" s="183" t="n">
        <v>2</v>
      </c>
      <c r="P3594" s="183" t="n">
        <v>0</v>
      </c>
      <c r="Q3594" s="184" t="n">
        <v>40.8</v>
      </c>
      <c r="R3594" s="184" t="n">
        <v>0</v>
      </c>
      <c r="S3594" s="183" t="n">
        <v>0</v>
      </c>
      <c r="T3594" s="183" t="n">
        <v>0</v>
      </c>
      <c r="U3594" s="182" t="n">
        <v>0</v>
      </c>
      <c r="V3594" s="182" t="n">
        <v>0</v>
      </c>
      <c r="W3594" s="182" t="n">
        <v>0</v>
      </c>
      <c r="X3594" s="182" t="n">
        <v>1.05</v>
      </c>
      <c r="Y3594" s="182" t="n">
        <v>0</v>
      </c>
      <c r="Z3594" s="182" t="n">
        <v>0</v>
      </c>
      <c r="AA3594" s="182" t="n">
        <v>0</v>
      </c>
      <c r="AB3594" s="182" t="n">
        <v>0</v>
      </c>
      <c r="AC3594" s="182" t="n">
        <v>0</v>
      </c>
      <c r="AD3594" s="182" t="n">
        <v>5.37</v>
      </c>
      <c r="AE3594" s="182" t="n">
        <v>0</v>
      </c>
      <c r="AF3594" s="182" t="n">
        <v>0</v>
      </c>
      <c r="AG3594" s="182" t="n">
        <v>0</v>
      </c>
      <c r="AH3594" s="182" t="n">
        <v>0</v>
      </c>
      <c r="AI3594" s="182" t="n">
        <v>0</v>
      </c>
      <c r="AJ3594" s="182" t="n">
        <v>0</v>
      </c>
      <c r="AK3594" s="182" t="n">
        <v>0</v>
      </c>
      <c r="AL3594" s="182" t="n">
        <v>0</v>
      </c>
      <c r="AM3594" s="182" t="n">
        <v>0.08</v>
      </c>
      <c r="AN3594" s="182" t="n">
        <v>0</v>
      </c>
    </row>
    <row r="3595">
      <c r="A3595" s="155" t="n">
        <v>46098</v>
      </c>
      <c r="B3595" s="156" t="inlineStr">
        <is>
          <t>DS</t>
        </is>
      </c>
      <c r="C3595" s="156" t="inlineStr">
        <is>
          <t>DT-507</t>
        </is>
      </c>
      <c r="D3595" s="156" t="inlineStr">
        <is>
          <t>SKT 105S</t>
        </is>
      </c>
      <c r="E3595" s="156" t="inlineStr">
        <is>
          <t>Hauler</t>
        </is>
      </c>
      <c r="F3595" s="156" t="inlineStr">
        <is>
          <t>Hauling OB, Coal &amp; Mud</t>
        </is>
      </c>
      <c r="G3595" s="182" t="n">
        <v>8.33</v>
      </c>
      <c r="H3595" s="182" t="n">
        <v>0</v>
      </c>
      <c r="I3595" s="182" t="n">
        <v>0</v>
      </c>
      <c r="J3595" s="182" t="n">
        <v>0</v>
      </c>
      <c r="K3595" s="182" t="n">
        <v>3.67</v>
      </c>
      <c r="L3595" s="182" t="n">
        <v>12</v>
      </c>
      <c r="M3595" s="182" t="n">
        <v>4.41</v>
      </c>
      <c r="N3595" s="182" t="n">
        <v>3.92</v>
      </c>
      <c r="O3595" s="183" t="n">
        <v>15</v>
      </c>
      <c r="P3595" s="183" t="n">
        <v>9</v>
      </c>
      <c r="Q3595" s="184" t="n">
        <v>229.5</v>
      </c>
      <c r="R3595" s="184" t="n">
        <v>168.3</v>
      </c>
      <c r="S3595" s="183" t="n">
        <v>0</v>
      </c>
      <c r="T3595" s="183" t="n">
        <v>0</v>
      </c>
      <c r="U3595" s="182" t="n">
        <v>0</v>
      </c>
      <c r="V3595" s="182" t="n">
        <v>0</v>
      </c>
      <c r="W3595" s="182" t="n">
        <v>0</v>
      </c>
      <c r="X3595" s="182" t="n">
        <v>1.05</v>
      </c>
      <c r="Y3595" s="182" t="n">
        <v>0</v>
      </c>
      <c r="Z3595" s="182" t="n">
        <v>0</v>
      </c>
      <c r="AA3595" s="182" t="n">
        <v>0</v>
      </c>
      <c r="AB3595" s="182" t="n">
        <v>0</v>
      </c>
      <c r="AC3595" s="182" t="n">
        <v>0</v>
      </c>
      <c r="AD3595" s="182" t="n">
        <v>2.54</v>
      </c>
      <c r="AE3595" s="182" t="n">
        <v>0</v>
      </c>
      <c r="AF3595" s="182" t="n">
        <v>0</v>
      </c>
      <c r="AG3595" s="182" t="n">
        <v>0</v>
      </c>
      <c r="AH3595" s="182" t="n">
        <v>0</v>
      </c>
      <c r="AI3595" s="182" t="n">
        <v>0</v>
      </c>
      <c r="AJ3595" s="182" t="n">
        <v>0</v>
      </c>
      <c r="AK3595" s="182" t="n">
        <v>0</v>
      </c>
      <c r="AL3595" s="182" t="n">
        <v>0</v>
      </c>
      <c r="AM3595" s="182" t="n">
        <v>0.08</v>
      </c>
      <c r="AN3595" s="182" t="n">
        <v>0</v>
      </c>
    </row>
    <row r="3596">
      <c r="A3596" s="155" t="n">
        <v>46098</v>
      </c>
      <c r="B3596" s="156" t="inlineStr">
        <is>
          <t>DS</t>
        </is>
      </c>
      <c r="C3596" s="156" t="inlineStr">
        <is>
          <t>DT-501</t>
        </is>
      </c>
      <c r="D3596" s="156" t="inlineStr">
        <is>
          <t>SKT 105S</t>
        </is>
      </c>
      <c r="E3596" s="156" t="inlineStr">
        <is>
          <t>Hauler</t>
        </is>
      </c>
      <c r="F3596" s="156" t="inlineStr"/>
      <c r="G3596" s="182" t="n">
        <v>0</v>
      </c>
      <c r="H3596" s="182" t="n">
        <v>0</v>
      </c>
      <c r="I3596" s="182" t="n">
        <v>0.5</v>
      </c>
      <c r="J3596" s="182" t="n">
        <v>0.5</v>
      </c>
      <c r="K3596" s="182" t="n">
        <v>11.5</v>
      </c>
      <c r="L3596" s="182" t="n">
        <v>12</v>
      </c>
      <c r="M3596" s="182" t="n">
        <v>0</v>
      </c>
      <c r="N3596" s="182" t="n">
        <v>0</v>
      </c>
      <c r="O3596" s="183" t="n">
        <v>0</v>
      </c>
      <c r="P3596" s="183" t="n">
        <v>0</v>
      </c>
      <c r="Q3596" s="184" t="n">
        <v>0</v>
      </c>
      <c r="R3596" s="184" t="n">
        <v>0</v>
      </c>
      <c r="S3596" s="183" t="n">
        <v>0</v>
      </c>
      <c r="T3596" s="183" t="n">
        <v>0</v>
      </c>
      <c r="U3596" s="182" t="n">
        <v>0</v>
      </c>
      <c r="V3596" s="182" t="n">
        <v>0</v>
      </c>
      <c r="W3596" s="182" t="n">
        <v>0</v>
      </c>
      <c r="X3596" s="182" t="n">
        <v>1</v>
      </c>
      <c r="Y3596" s="182" t="n">
        <v>0</v>
      </c>
      <c r="Z3596" s="182" t="n">
        <v>0</v>
      </c>
      <c r="AA3596" s="182" t="n">
        <v>0</v>
      </c>
      <c r="AB3596" s="182" t="n">
        <v>0</v>
      </c>
      <c r="AC3596" s="182" t="n">
        <v>0</v>
      </c>
      <c r="AD3596" s="182" t="n">
        <v>2.5</v>
      </c>
      <c r="AE3596" s="182" t="n">
        <v>0</v>
      </c>
      <c r="AF3596" s="182" t="n">
        <v>0</v>
      </c>
      <c r="AG3596" s="182" t="n">
        <v>0</v>
      </c>
      <c r="AH3596" s="182" t="n">
        <v>0</v>
      </c>
      <c r="AI3596" s="182" t="n">
        <v>0</v>
      </c>
      <c r="AJ3596" s="182" t="n">
        <v>0</v>
      </c>
      <c r="AK3596" s="182" t="n">
        <v>7.92</v>
      </c>
      <c r="AL3596" s="182" t="n">
        <v>0</v>
      </c>
      <c r="AM3596" s="182" t="n">
        <v>0.08</v>
      </c>
      <c r="AN3596" s="182" t="n">
        <v>0</v>
      </c>
    </row>
    <row r="3597">
      <c r="A3597" s="155" t="n">
        <v>46098</v>
      </c>
      <c r="B3597" s="156" t="inlineStr">
        <is>
          <t>DS</t>
        </is>
      </c>
      <c r="C3597" s="156" t="inlineStr">
        <is>
          <t>DT-518</t>
        </is>
      </c>
      <c r="D3597" s="156" t="inlineStr">
        <is>
          <t>SKT 105S</t>
        </is>
      </c>
      <c r="E3597" s="156" t="inlineStr">
        <is>
          <t>Hauler</t>
        </is>
      </c>
      <c r="F3597" s="156" t="inlineStr">
        <is>
          <t>Travel</t>
        </is>
      </c>
      <c r="G3597" s="182" t="n">
        <v>0.3</v>
      </c>
      <c r="H3597" s="182" t="n">
        <v>0</v>
      </c>
      <c r="I3597" s="182" t="n">
        <v>1.55</v>
      </c>
      <c r="J3597" s="182" t="n">
        <v>1.55</v>
      </c>
      <c r="K3597" s="182" t="n">
        <v>10.15</v>
      </c>
      <c r="L3597" s="182" t="n">
        <v>12</v>
      </c>
      <c r="M3597" s="182" t="n">
        <v>0</v>
      </c>
      <c r="N3597" s="182" t="n">
        <v>0</v>
      </c>
      <c r="O3597" s="183" t="n">
        <v>0</v>
      </c>
      <c r="P3597" s="183" t="n">
        <v>0</v>
      </c>
      <c r="Q3597" s="184" t="n">
        <v>0</v>
      </c>
      <c r="R3597" s="184" t="n">
        <v>0</v>
      </c>
      <c r="S3597" s="183" t="n">
        <v>0</v>
      </c>
      <c r="T3597" s="183" t="n">
        <v>0</v>
      </c>
      <c r="U3597" s="182" t="n">
        <v>0</v>
      </c>
      <c r="V3597" s="182" t="n">
        <v>0</v>
      </c>
      <c r="W3597" s="182" t="n">
        <v>0</v>
      </c>
      <c r="X3597" s="182" t="n">
        <v>1</v>
      </c>
      <c r="Y3597" s="182" t="n">
        <v>0</v>
      </c>
      <c r="Z3597" s="182" t="n">
        <v>0</v>
      </c>
      <c r="AA3597" s="182" t="n">
        <v>0</v>
      </c>
      <c r="AB3597" s="182" t="n">
        <v>0</v>
      </c>
      <c r="AC3597" s="182" t="n">
        <v>0</v>
      </c>
      <c r="AD3597" s="182" t="n">
        <v>2.5</v>
      </c>
      <c r="AE3597" s="182" t="n">
        <v>0</v>
      </c>
      <c r="AF3597" s="182" t="n">
        <v>0</v>
      </c>
      <c r="AG3597" s="182" t="n">
        <v>0</v>
      </c>
      <c r="AH3597" s="182" t="n">
        <v>0</v>
      </c>
      <c r="AI3597" s="182" t="n">
        <v>0</v>
      </c>
      <c r="AJ3597" s="182" t="n">
        <v>0</v>
      </c>
      <c r="AK3597" s="182" t="n">
        <v>6.57</v>
      </c>
      <c r="AL3597" s="182" t="n">
        <v>0</v>
      </c>
      <c r="AM3597" s="182" t="n">
        <v>0.08</v>
      </c>
      <c r="AN3597" s="182" t="n">
        <v>0</v>
      </c>
    </row>
    <row r="3598">
      <c r="A3598" s="155" t="n">
        <v>46098</v>
      </c>
      <c r="B3598" s="156" t="inlineStr">
        <is>
          <t>DS</t>
        </is>
      </c>
      <c r="C3598" s="156" t="inlineStr">
        <is>
          <t>DT-514</t>
        </is>
      </c>
      <c r="D3598" s="156" t="inlineStr">
        <is>
          <t>SKT 105S</t>
        </is>
      </c>
      <c r="E3598" s="156" t="inlineStr">
        <is>
          <t>Hauler</t>
        </is>
      </c>
      <c r="F3598" s="156" t="inlineStr"/>
      <c r="G3598" s="182" t="n">
        <v>0</v>
      </c>
      <c r="H3598" s="182" t="n">
        <v>0</v>
      </c>
      <c r="I3598" s="182" t="n">
        <v>12</v>
      </c>
      <c r="J3598" s="182" t="n">
        <v>12</v>
      </c>
      <c r="K3598" s="182" t="n">
        <v>0</v>
      </c>
      <c r="L3598" s="182" t="n">
        <v>12</v>
      </c>
      <c r="M3598" s="182" t="n">
        <v>0</v>
      </c>
      <c r="N3598" s="182" t="n">
        <v>0</v>
      </c>
      <c r="O3598" s="183" t="n">
        <v>0</v>
      </c>
      <c r="P3598" s="183" t="n">
        <v>0</v>
      </c>
      <c r="Q3598" s="184" t="n">
        <v>0</v>
      </c>
      <c r="R3598" s="184" t="n">
        <v>0</v>
      </c>
      <c r="S3598" s="183" t="n">
        <v>0</v>
      </c>
      <c r="T3598" s="183" t="n">
        <v>0</v>
      </c>
      <c r="U3598" s="182" t="n">
        <v>0</v>
      </c>
      <c r="V3598" s="182" t="n">
        <v>0</v>
      </c>
      <c r="W3598" s="182" t="n">
        <v>0</v>
      </c>
      <c r="X3598" s="182" t="n">
        <v>0</v>
      </c>
      <c r="Y3598" s="182" t="n">
        <v>0</v>
      </c>
      <c r="Z3598" s="182" t="n">
        <v>0</v>
      </c>
      <c r="AA3598" s="182" t="n">
        <v>0</v>
      </c>
      <c r="AB3598" s="182" t="n">
        <v>0</v>
      </c>
      <c r="AC3598" s="182" t="n">
        <v>0</v>
      </c>
      <c r="AD3598" s="182" t="n">
        <v>0</v>
      </c>
      <c r="AE3598" s="182" t="n">
        <v>0</v>
      </c>
      <c r="AF3598" s="182" t="n">
        <v>0</v>
      </c>
      <c r="AG3598" s="182" t="n">
        <v>0</v>
      </c>
      <c r="AH3598" s="182" t="n">
        <v>0</v>
      </c>
      <c r="AI3598" s="182" t="n">
        <v>0</v>
      </c>
      <c r="AJ3598" s="182" t="n">
        <v>0</v>
      </c>
      <c r="AK3598" s="182" t="n">
        <v>0</v>
      </c>
      <c r="AL3598" s="182" t="n">
        <v>0</v>
      </c>
      <c r="AM3598" s="182" t="n">
        <v>0</v>
      </c>
      <c r="AN3598" s="182" t="n">
        <v>0</v>
      </c>
    </row>
    <row r="3599">
      <c r="A3599" s="155" t="n">
        <v>46098</v>
      </c>
      <c r="B3599" s="156" t="inlineStr">
        <is>
          <t>DS</t>
        </is>
      </c>
      <c r="C3599" s="156" t="inlineStr">
        <is>
          <t>DT-523</t>
        </is>
      </c>
      <c r="D3599" s="156" t="inlineStr">
        <is>
          <t>SKT 105S</t>
        </is>
      </c>
      <c r="E3599" s="156" t="inlineStr">
        <is>
          <t>Hauler</t>
        </is>
      </c>
      <c r="F3599" s="156" t="inlineStr">
        <is>
          <t>Hauling OB</t>
        </is>
      </c>
      <c r="G3599" s="182" t="n">
        <v>7.34</v>
      </c>
      <c r="H3599" s="182" t="n">
        <v>0</v>
      </c>
      <c r="I3599" s="182" t="n">
        <v>0</v>
      </c>
      <c r="J3599" s="182" t="n">
        <v>0</v>
      </c>
      <c r="K3599" s="182" t="n">
        <v>4.66</v>
      </c>
      <c r="L3599" s="182" t="n">
        <v>12</v>
      </c>
      <c r="M3599" s="182" t="n">
        <v>7.34</v>
      </c>
      <c r="N3599" s="182" t="n">
        <v>0</v>
      </c>
      <c r="O3599" s="183" t="n">
        <v>42</v>
      </c>
      <c r="P3599" s="183" t="n">
        <v>0</v>
      </c>
      <c r="Q3599" s="184" t="n">
        <v>856.8</v>
      </c>
      <c r="R3599" s="184" t="n">
        <v>0</v>
      </c>
      <c r="S3599" s="183" t="n">
        <v>0</v>
      </c>
      <c r="T3599" s="183" t="n">
        <v>0</v>
      </c>
      <c r="U3599" s="182" t="n">
        <v>0</v>
      </c>
      <c r="V3599" s="182" t="n">
        <v>0</v>
      </c>
      <c r="W3599" s="182" t="n">
        <v>0</v>
      </c>
      <c r="X3599" s="182" t="n">
        <v>1.01</v>
      </c>
      <c r="Y3599" s="182" t="n">
        <v>0</v>
      </c>
      <c r="Z3599" s="182" t="n">
        <v>0</v>
      </c>
      <c r="AA3599" s="182" t="n">
        <v>0</v>
      </c>
      <c r="AB3599" s="182" t="n">
        <v>0</v>
      </c>
      <c r="AC3599" s="182" t="n">
        <v>0</v>
      </c>
      <c r="AD3599" s="182" t="n">
        <v>3.57</v>
      </c>
      <c r="AE3599" s="182" t="n">
        <v>0</v>
      </c>
      <c r="AF3599" s="182" t="n">
        <v>0</v>
      </c>
      <c r="AG3599" s="182" t="n">
        <v>0</v>
      </c>
      <c r="AH3599" s="182" t="n">
        <v>0</v>
      </c>
      <c r="AI3599" s="182" t="n">
        <v>0</v>
      </c>
      <c r="AJ3599" s="182" t="n">
        <v>0</v>
      </c>
      <c r="AK3599" s="182" t="n">
        <v>0</v>
      </c>
      <c r="AL3599" s="182" t="n">
        <v>0</v>
      </c>
      <c r="AM3599" s="182" t="n">
        <v>0.08</v>
      </c>
      <c r="AN3599" s="182" t="n">
        <v>0</v>
      </c>
    </row>
    <row r="3600">
      <c r="A3600" s="155" t="n">
        <v>46098</v>
      </c>
      <c r="B3600" s="156" t="inlineStr">
        <is>
          <t>DS</t>
        </is>
      </c>
      <c r="C3600" s="156" t="inlineStr">
        <is>
          <t>DT-519</t>
        </is>
      </c>
      <c r="D3600" s="156" t="inlineStr">
        <is>
          <t>SKT 105S</t>
        </is>
      </c>
      <c r="E3600" s="156" t="inlineStr">
        <is>
          <t>Hauler</t>
        </is>
      </c>
      <c r="F3600" s="156" t="inlineStr"/>
      <c r="G3600" s="182" t="n">
        <v>0</v>
      </c>
      <c r="H3600" s="182" t="n">
        <v>0</v>
      </c>
      <c r="I3600" s="182" t="n">
        <v>12</v>
      </c>
      <c r="J3600" s="182" t="n">
        <v>12</v>
      </c>
      <c r="K3600" s="182" t="n">
        <v>0</v>
      </c>
      <c r="L3600" s="182" t="n">
        <v>12</v>
      </c>
      <c r="M3600" s="182" t="n">
        <v>0</v>
      </c>
      <c r="N3600" s="182" t="n">
        <v>0</v>
      </c>
      <c r="O3600" s="183" t="n">
        <v>0</v>
      </c>
      <c r="P3600" s="183" t="n">
        <v>0</v>
      </c>
      <c r="Q3600" s="184" t="n">
        <v>0</v>
      </c>
      <c r="R3600" s="184" t="n">
        <v>0</v>
      </c>
      <c r="S3600" s="183" t="n">
        <v>0</v>
      </c>
      <c r="T3600" s="183" t="n">
        <v>0</v>
      </c>
      <c r="U3600" s="182" t="n">
        <v>0</v>
      </c>
      <c r="V3600" s="182" t="n">
        <v>0</v>
      </c>
      <c r="W3600" s="182" t="n">
        <v>0</v>
      </c>
      <c r="X3600" s="182" t="n">
        <v>0</v>
      </c>
      <c r="Y3600" s="182" t="n">
        <v>0</v>
      </c>
      <c r="Z3600" s="182" t="n">
        <v>0</v>
      </c>
      <c r="AA3600" s="182" t="n">
        <v>0</v>
      </c>
      <c r="AB3600" s="182" t="n">
        <v>0</v>
      </c>
      <c r="AC3600" s="182" t="n">
        <v>0</v>
      </c>
      <c r="AD3600" s="182" t="n">
        <v>0</v>
      </c>
      <c r="AE3600" s="182" t="n">
        <v>0</v>
      </c>
      <c r="AF3600" s="182" t="n">
        <v>0</v>
      </c>
      <c r="AG3600" s="182" t="n">
        <v>0</v>
      </c>
      <c r="AH3600" s="182" t="n">
        <v>0</v>
      </c>
      <c r="AI3600" s="182" t="n">
        <v>0</v>
      </c>
      <c r="AJ3600" s="182" t="n">
        <v>0</v>
      </c>
      <c r="AK3600" s="182" t="n">
        <v>0</v>
      </c>
      <c r="AL3600" s="182" t="n">
        <v>0</v>
      </c>
      <c r="AM3600" s="182" t="n">
        <v>0</v>
      </c>
      <c r="AN3600" s="182" t="n">
        <v>0</v>
      </c>
    </row>
    <row r="3601">
      <c r="A3601" s="155" t="n">
        <v>46098</v>
      </c>
      <c r="B3601" s="156" t="inlineStr">
        <is>
          <t>DS</t>
        </is>
      </c>
      <c r="C3601" s="156" t="inlineStr">
        <is>
          <t>DT-527</t>
        </is>
      </c>
      <c r="D3601" s="156" t="inlineStr">
        <is>
          <t>SKT 105S</t>
        </is>
      </c>
      <c r="E3601" s="156" t="inlineStr">
        <is>
          <t>Hauler</t>
        </is>
      </c>
      <c r="F3601" s="156" t="inlineStr">
        <is>
          <t>Hauling OB</t>
        </is>
      </c>
      <c r="G3601" s="182" t="n">
        <v>4.31</v>
      </c>
      <c r="H3601" s="182" t="n">
        <v>0</v>
      </c>
      <c r="I3601" s="182" t="n">
        <v>0</v>
      </c>
      <c r="J3601" s="182" t="n">
        <v>0</v>
      </c>
      <c r="K3601" s="182" t="n">
        <v>7.69</v>
      </c>
      <c r="L3601" s="182" t="n">
        <v>12</v>
      </c>
      <c r="M3601" s="182" t="n">
        <v>4.31</v>
      </c>
      <c r="N3601" s="182" t="n">
        <v>0</v>
      </c>
      <c r="O3601" s="183" t="n">
        <v>30</v>
      </c>
      <c r="P3601" s="183" t="n">
        <v>0</v>
      </c>
      <c r="Q3601" s="184" t="n">
        <v>550.8</v>
      </c>
      <c r="R3601" s="184" t="n">
        <v>0</v>
      </c>
      <c r="S3601" s="183" t="n">
        <v>0</v>
      </c>
      <c r="T3601" s="183" t="n">
        <v>0</v>
      </c>
      <c r="U3601" s="182" t="n">
        <v>0</v>
      </c>
      <c r="V3601" s="182" t="n">
        <v>0</v>
      </c>
      <c r="W3601" s="182" t="n">
        <v>0</v>
      </c>
      <c r="X3601" s="182" t="n">
        <v>1</v>
      </c>
      <c r="Y3601" s="182" t="n">
        <v>0</v>
      </c>
      <c r="Z3601" s="182" t="n">
        <v>0</v>
      </c>
      <c r="AA3601" s="182" t="n">
        <v>0</v>
      </c>
      <c r="AB3601" s="182" t="n">
        <v>0</v>
      </c>
      <c r="AC3601" s="182" t="n">
        <v>0</v>
      </c>
      <c r="AD3601" s="182" t="n">
        <v>6.61</v>
      </c>
      <c r="AE3601" s="182" t="n">
        <v>0</v>
      </c>
      <c r="AF3601" s="182" t="n">
        <v>0</v>
      </c>
      <c r="AG3601" s="182" t="n">
        <v>0</v>
      </c>
      <c r="AH3601" s="182" t="n">
        <v>0</v>
      </c>
      <c r="AI3601" s="182" t="n">
        <v>0</v>
      </c>
      <c r="AJ3601" s="182" t="n">
        <v>0</v>
      </c>
      <c r="AK3601" s="182" t="n">
        <v>0</v>
      </c>
      <c r="AL3601" s="182" t="n">
        <v>0</v>
      </c>
      <c r="AM3601" s="182" t="n">
        <v>0.08</v>
      </c>
      <c r="AN3601" s="182" t="n">
        <v>0</v>
      </c>
    </row>
    <row r="3602">
      <c r="A3602" s="155" t="n">
        <v>46098</v>
      </c>
      <c r="B3602" s="156" t="inlineStr">
        <is>
          <t>DS</t>
        </is>
      </c>
      <c r="C3602" s="156" t="inlineStr">
        <is>
          <t>DT-513</t>
        </is>
      </c>
      <c r="D3602" s="156" t="inlineStr">
        <is>
          <t>SKT 105S</t>
        </is>
      </c>
      <c r="E3602" s="156" t="inlineStr">
        <is>
          <t>Hauler</t>
        </is>
      </c>
      <c r="F3602" s="156" t="inlineStr">
        <is>
          <t>Hauling OB, Coal &amp; Mud</t>
        </is>
      </c>
      <c r="G3602" s="182" t="n">
        <v>7.52</v>
      </c>
      <c r="H3602" s="182" t="n">
        <v>0</v>
      </c>
      <c r="I3602" s="182" t="n">
        <v>0.13</v>
      </c>
      <c r="J3602" s="182" t="n">
        <v>0.13</v>
      </c>
      <c r="K3602" s="182" t="n">
        <v>4.35</v>
      </c>
      <c r="L3602" s="182" t="n">
        <v>12</v>
      </c>
      <c r="M3602" s="182" t="n">
        <v>4.06</v>
      </c>
      <c r="N3602" s="182" t="n">
        <v>3.46</v>
      </c>
      <c r="O3602" s="183" t="n">
        <v>11</v>
      </c>
      <c r="P3602" s="183" t="n">
        <v>6</v>
      </c>
      <c r="Q3602" s="184" t="n">
        <v>177.7</v>
      </c>
      <c r="R3602" s="184" t="n">
        <v>112.2</v>
      </c>
      <c r="S3602" s="183" t="n">
        <v>0</v>
      </c>
      <c r="T3602" s="183" t="n">
        <v>0</v>
      </c>
      <c r="U3602" s="182" t="n">
        <v>0</v>
      </c>
      <c r="V3602" s="182" t="n">
        <v>0</v>
      </c>
      <c r="W3602" s="182" t="n">
        <v>0</v>
      </c>
      <c r="X3602" s="182" t="n">
        <v>1.02</v>
      </c>
      <c r="Y3602" s="182" t="n">
        <v>0</v>
      </c>
      <c r="Z3602" s="182" t="n">
        <v>0</v>
      </c>
      <c r="AA3602" s="182" t="n">
        <v>0</v>
      </c>
      <c r="AB3602" s="182" t="n">
        <v>0</v>
      </c>
      <c r="AC3602" s="182" t="n">
        <v>0</v>
      </c>
      <c r="AD3602" s="182" t="n">
        <v>3.24</v>
      </c>
      <c r="AE3602" s="182" t="n">
        <v>0</v>
      </c>
      <c r="AF3602" s="182" t="n">
        <v>0</v>
      </c>
      <c r="AG3602" s="182" t="n">
        <v>0</v>
      </c>
      <c r="AH3602" s="182" t="n">
        <v>0</v>
      </c>
      <c r="AI3602" s="182" t="n">
        <v>0</v>
      </c>
      <c r="AJ3602" s="182" t="n">
        <v>0</v>
      </c>
      <c r="AK3602" s="182" t="n">
        <v>0</v>
      </c>
      <c r="AL3602" s="182" t="n">
        <v>0</v>
      </c>
      <c r="AM3602" s="182" t="n">
        <v>0.08</v>
      </c>
      <c r="AN3602" s="182" t="n">
        <v>0</v>
      </c>
    </row>
    <row r="3603">
      <c r="A3603" s="155" t="n">
        <v>46098</v>
      </c>
      <c r="B3603" s="156" t="inlineStr">
        <is>
          <t>DS</t>
        </is>
      </c>
      <c r="C3603" s="156" t="inlineStr">
        <is>
          <t>DT-512</t>
        </is>
      </c>
      <c r="D3603" s="156" t="inlineStr">
        <is>
          <t>SKT 105S</t>
        </is>
      </c>
      <c r="E3603" s="156" t="inlineStr">
        <is>
          <t>Hauler</t>
        </is>
      </c>
      <c r="F3603" s="156" t="inlineStr"/>
      <c r="G3603" s="182" t="n">
        <v>0</v>
      </c>
      <c r="H3603" s="182" t="n">
        <v>0</v>
      </c>
      <c r="I3603" s="182" t="n">
        <v>9.17</v>
      </c>
      <c r="J3603" s="182" t="n">
        <v>9.17</v>
      </c>
      <c r="K3603" s="182" t="n">
        <v>2.83</v>
      </c>
      <c r="L3603" s="182" t="n">
        <v>12</v>
      </c>
      <c r="M3603" s="182" t="n">
        <v>0</v>
      </c>
      <c r="N3603" s="182" t="n">
        <v>0</v>
      </c>
      <c r="O3603" s="183" t="n">
        <v>0</v>
      </c>
      <c r="P3603" s="183" t="n">
        <v>0</v>
      </c>
      <c r="Q3603" s="184" t="n">
        <v>0</v>
      </c>
      <c r="R3603" s="184" t="n">
        <v>0</v>
      </c>
      <c r="S3603" s="183" t="n">
        <v>0</v>
      </c>
      <c r="T3603" s="183" t="n">
        <v>0</v>
      </c>
      <c r="U3603" s="182" t="n">
        <v>0</v>
      </c>
      <c r="V3603" s="182" t="n">
        <v>0</v>
      </c>
      <c r="W3603" s="182" t="n">
        <v>0</v>
      </c>
      <c r="X3603" s="182" t="n">
        <v>1</v>
      </c>
      <c r="Y3603" s="182" t="n">
        <v>0</v>
      </c>
      <c r="Z3603" s="182" t="n">
        <v>0</v>
      </c>
      <c r="AA3603" s="182" t="n">
        <v>0</v>
      </c>
      <c r="AB3603" s="182" t="n">
        <v>0</v>
      </c>
      <c r="AC3603" s="182" t="n">
        <v>0</v>
      </c>
      <c r="AD3603" s="182" t="n">
        <v>1.75</v>
      </c>
      <c r="AE3603" s="182" t="n">
        <v>0</v>
      </c>
      <c r="AF3603" s="182" t="n">
        <v>0</v>
      </c>
      <c r="AG3603" s="182" t="n">
        <v>0</v>
      </c>
      <c r="AH3603" s="182" t="n">
        <v>0</v>
      </c>
      <c r="AI3603" s="182" t="n">
        <v>0</v>
      </c>
      <c r="AJ3603" s="182" t="n">
        <v>0</v>
      </c>
      <c r="AK3603" s="182" t="n">
        <v>0</v>
      </c>
      <c r="AL3603" s="182" t="n">
        <v>0</v>
      </c>
      <c r="AM3603" s="182" t="n">
        <v>0.08</v>
      </c>
      <c r="AN3603" s="182" t="n">
        <v>0</v>
      </c>
    </row>
    <row r="3604">
      <c r="A3604" s="155" t="n">
        <v>46098</v>
      </c>
      <c r="B3604" s="156" t="inlineStr">
        <is>
          <t>DS</t>
        </is>
      </c>
      <c r="C3604" s="156" t="inlineStr">
        <is>
          <t>DT-522</t>
        </is>
      </c>
      <c r="D3604" s="156" t="inlineStr">
        <is>
          <t>SKT 105S</t>
        </is>
      </c>
      <c r="E3604" s="156" t="inlineStr">
        <is>
          <t>Hauler</t>
        </is>
      </c>
      <c r="F3604" s="156" t="inlineStr">
        <is>
          <t>Hauling OB</t>
        </is>
      </c>
      <c r="G3604" s="182" t="n">
        <v>5.39</v>
      </c>
      <c r="H3604" s="182" t="n">
        <v>0</v>
      </c>
      <c r="I3604" s="182" t="n">
        <v>0</v>
      </c>
      <c r="J3604" s="182" t="n">
        <v>0</v>
      </c>
      <c r="K3604" s="182" t="n">
        <v>6.61</v>
      </c>
      <c r="L3604" s="182" t="n">
        <v>12</v>
      </c>
      <c r="M3604" s="182" t="n">
        <v>5.39</v>
      </c>
      <c r="N3604" s="182" t="n">
        <v>0</v>
      </c>
      <c r="O3604" s="183" t="n">
        <v>23</v>
      </c>
      <c r="P3604" s="183" t="n">
        <v>0</v>
      </c>
      <c r="Q3604" s="184" t="n">
        <v>426.5</v>
      </c>
      <c r="R3604" s="184" t="n">
        <v>0</v>
      </c>
      <c r="S3604" s="183" t="n">
        <v>0</v>
      </c>
      <c r="T3604" s="183" t="n">
        <v>0</v>
      </c>
      <c r="U3604" s="182" t="n">
        <v>0</v>
      </c>
      <c r="V3604" s="182" t="n">
        <v>0</v>
      </c>
      <c r="W3604" s="182" t="n">
        <v>0</v>
      </c>
      <c r="X3604" s="182" t="n">
        <v>0.97</v>
      </c>
      <c r="Y3604" s="182" t="n">
        <v>0</v>
      </c>
      <c r="Z3604" s="182" t="n">
        <v>0</v>
      </c>
      <c r="AA3604" s="182" t="n">
        <v>0</v>
      </c>
      <c r="AB3604" s="182" t="n">
        <v>0</v>
      </c>
      <c r="AC3604" s="182" t="n">
        <v>0</v>
      </c>
      <c r="AD3604" s="182" t="n">
        <v>5.56</v>
      </c>
      <c r="AE3604" s="182" t="n">
        <v>0</v>
      </c>
      <c r="AF3604" s="182" t="n">
        <v>0</v>
      </c>
      <c r="AG3604" s="182" t="n">
        <v>0</v>
      </c>
      <c r="AH3604" s="182" t="n">
        <v>0</v>
      </c>
      <c r="AI3604" s="182" t="n">
        <v>0</v>
      </c>
      <c r="AJ3604" s="182" t="n">
        <v>0</v>
      </c>
      <c r="AK3604" s="182" t="n">
        <v>0</v>
      </c>
      <c r="AL3604" s="182" t="n">
        <v>0</v>
      </c>
      <c r="AM3604" s="182" t="n">
        <v>0.08</v>
      </c>
      <c r="AN3604" s="182" t="n">
        <v>0</v>
      </c>
    </row>
    <row r="3605">
      <c r="A3605" s="155" t="n">
        <v>46098</v>
      </c>
      <c r="B3605" s="156" t="inlineStr">
        <is>
          <t>DS</t>
        </is>
      </c>
      <c r="C3605" s="156" t="inlineStr">
        <is>
          <t>DT-517</t>
        </is>
      </c>
      <c r="D3605" s="156" t="inlineStr">
        <is>
          <t>SKT 105S</t>
        </is>
      </c>
      <c r="E3605" s="156" t="inlineStr">
        <is>
          <t>Hauler</t>
        </is>
      </c>
      <c r="F3605" s="156" t="inlineStr">
        <is>
          <t>Hauling OB</t>
        </is>
      </c>
      <c r="G3605" s="182" t="n">
        <v>7.29</v>
      </c>
      <c r="H3605" s="182" t="n">
        <v>0</v>
      </c>
      <c r="I3605" s="182" t="n">
        <v>0.07000000000000001</v>
      </c>
      <c r="J3605" s="182" t="n">
        <v>0.07000000000000001</v>
      </c>
      <c r="K3605" s="182" t="n">
        <v>4.64</v>
      </c>
      <c r="L3605" s="182" t="n">
        <v>12</v>
      </c>
      <c r="M3605" s="182" t="n">
        <v>7.29</v>
      </c>
      <c r="N3605" s="182" t="n">
        <v>0</v>
      </c>
      <c r="O3605" s="183" t="n">
        <v>39</v>
      </c>
      <c r="P3605" s="183" t="n">
        <v>0</v>
      </c>
      <c r="Q3605" s="184" t="n">
        <v>795.6</v>
      </c>
      <c r="R3605" s="184" t="n">
        <v>0</v>
      </c>
      <c r="S3605" s="183" t="n">
        <v>0</v>
      </c>
      <c r="T3605" s="183" t="n">
        <v>0</v>
      </c>
      <c r="U3605" s="182" t="n">
        <v>0</v>
      </c>
      <c r="V3605" s="182" t="n">
        <v>0</v>
      </c>
      <c r="W3605" s="182" t="n">
        <v>0</v>
      </c>
      <c r="X3605" s="182" t="n">
        <v>0.98</v>
      </c>
      <c r="Y3605" s="182" t="n">
        <v>0</v>
      </c>
      <c r="Z3605" s="182" t="n">
        <v>0</v>
      </c>
      <c r="AA3605" s="182" t="n">
        <v>0</v>
      </c>
      <c r="AB3605" s="182" t="n">
        <v>0</v>
      </c>
      <c r="AC3605" s="182" t="n">
        <v>0</v>
      </c>
      <c r="AD3605" s="182" t="n">
        <v>3.58</v>
      </c>
      <c r="AE3605" s="182" t="n">
        <v>0</v>
      </c>
      <c r="AF3605" s="182" t="n">
        <v>0</v>
      </c>
      <c r="AG3605" s="182" t="n">
        <v>0</v>
      </c>
      <c r="AH3605" s="182" t="n">
        <v>0</v>
      </c>
      <c r="AI3605" s="182" t="n">
        <v>0</v>
      </c>
      <c r="AJ3605" s="182" t="n">
        <v>0</v>
      </c>
      <c r="AK3605" s="182" t="n">
        <v>0</v>
      </c>
      <c r="AL3605" s="182" t="n">
        <v>0</v>
      </c>
      <c r="AM3605" s="182" t="n">
        <v>0.08</v>
      </c>
      <c r="AN3605" s="182" t="n">
        <v>0</v>
      </c>
    </row>
    <row r="3606">
      <c r="A3606" s="155" t="n">
        <v>46098</v>
      </c>
      <c r="B3606" s="156" t="inlineStr">
        <is>
          <t>DS</t>
        </is>
      </c>
      <c r="C3606" s="156" t="inlineStr">
        <is>
          <t>DT-510</t>
        </is>
      </c>
      <c r="D3606" s="156" t="inlineStr">
        <is>
          <t>SKT 105S</t>
        </is>
      </c>
      <c r="E3606" s="156" t="inlineStr">
        <is>
          <t>Hauler</t>
        </is>
      </c>
      <c r="F3606" s="156" t="inlineStr">
        <is>
          <t>Hauling OB, Coal &amp; Mud</t>
        </is>
      </c>
      <c r="G3606" s="182" t="n">
        <v>8.24</v>
      </c>
      <c r="H3606" s="182" t="n">
        <v>0</v>
      </c>
      <c r="I3606" s="182" t="n">
        <v>0</v>
      </c>
      <c r="J3606" s="182" t="n">
        <v>0</v>
      </c>
      <c r="K3606" s="182" t="n">
        <v>3.76</v>
      </c>
      <c r="L3606" s="182" t="n">
        <v>12</v>
      </c>
      <c r="M3606" s="182" t="n">
        <v>4.85</v>
      </c>
      <c r="N3606" s="182" t="n">
        <v>3.39</v>
      </c>
      <c r="O3606" s="183" t="n">
        <v>15</v>
      </c>
      <c r="P3606" s="183" t="n">
        <v>7</v>
      </c>
      <c r="Q3606" s="184" t="n">
        <v>224.4</v>
      </c>
      <c r="R3606" s="184" t="n">
        <v>130.9</v>
      </c>
      <c r="S3606" s="183" t="n">
        <v>0</v>
      </c>
      <c r="T3606" s="183" t="n">
        <v>0</v>
      </c>
      <c r="U3606" s="182" t="n">
        <v>0</v>
      </c>
      <c r="V3606" s="182" t="n">
        <v>0</v>
      </c>
      <c r="W3606" s="182" t="n">
        <v>0</v>
      </c>
      <c r="X3606" s="182" t="n">
        <v>1.07</v>
      </c>
      <c r="Y3606" s="182" t="n">
        <v>0</v>
      </c>
      <c r="Z3606" s="182" t="n">
        <v>0</v>
      </c>
      <c r="AA3606" s="182" t="n">
        <v>0</v>
      </c>
      <c r="AB3606" s="182" t="n">
        <v>0</v>
      </c>
      <c r="AC3606" s="182" t="n">
        <v>0</v>
      </c>
      <c r="AD3606" s="182" t="n">
        <v>2.6</v>
      </c>
      <c r="AE3606" s="182" t="n">
        <v>0</v>
      </c>
      <c r="AF3606" s="182" t="n">
        <v>0</v>
      </c>
      <c r="AG3606" s="182" t="n">
        <v>0</v>
      </c>
      <c r="AH3606" s="182" t="n">
        <v>0</v>
      </c>
      <c r="AI3606" s="182" t="n">
        <v>0</v>
      </c>
      <c r="AJ3606" s="182" t="n">
        <v>0</v>
      </c>
      <c r="AK3606" s="182" t="n">
        <v>0</v>
      </c>
      <c r="AL3606" s="182" t="n">
        <v>0</v>
      </c>
      <c r="AM3606" s="182" t="n">
        <v>0.09</v>
      </c>
      <c r="AN3606" s="182" t="n">
        <v>0</v>
      </c>
    </row>
    <row r="3607">
      <c r="A3607" s="155" t="n">
        <v>46098</v>
      </c>
      <c r="B3607" s="156" t="inlineStr">
        <is>
          <t>DS</t>
        </is>
      </c>
      <c r="C3607" s="156" t="inlineStr">
        <is>
          <t>DT-521</t>
        </is>
      </c>
      <c r="D3607" s="156" t="inlineStr">
        <is>
          <t>SKT 105S</t>
        </is>
      </c>
      <c r="E3607" s="156" t="inlineStr">
        <is>
          <t>Hauler</t>
        </is>
      </c>
      <c r="F3607" s="156" t="inlineStr">
        <is>
          <t>Hauling OB, Coal &amp; Mud</t>
        </is>
      </c>
      <c r="G3607" s="182" t="n">
        <v>7.95</v>
      </c>
      <c r="H3607" s="182" t="n">
        <v>0</v>
      </c>
      <c r="I3607" s="182" t="n">
        <v>0</v>
      </c>
      <c r="J3607" s="182" t="n">
        <v>0</v>
      </c>
      <c r="K3607" s="182" t="n">
        <v>4.05</v>
      </c>
      <c r="L3607" s="182" t="n">
        <v>12</v>
      </c>
      <c r="M3607" s="182" t="n">
        <v>3.93</v>
      </c>
      <c r="N3607" s="182" t="n">
        <v>4.03</v>
      </c>
      <c r="O3607" s="183" t="n">
        <v>12</v>
      </c>
      <c r="P3607" s="183" t="n">
        <v>8</v>
      </c>
      <c r="Q3607" s="184" t="n">
        <v>183.6</v>
      </c>
      <c r="R3607" s="184" t="n">
        <v>149.6</v>
      </c>
      <c r="S3607" s="183" t="n">
        <v>0</v>
      </c>
      <c r="T3607" s="183" t="n">
        <v>0</v>
      </c>
      <c r="U3607" s="182" t="n">
        <v>0</v>
      </c>
      <c r="V3607" s="182" t="n">
        <v>0</v>
      </c>
      <c r="W3607" s="182" t="n">
        <v>0</v>
      </c>
      <c r="X3607" s="182" t="n">
        <v>0.99</v>
      </c>
      <c r="Y3607" s="182" t="n">
        <v>0</v>
      </c>
      <c r="Z3607" s="182" t="n">
        <v>0</v>
      </c>
      <c r="AA3607" s="182" t="n">
        <v>0</v>
      </c>
      <c r="AB3607" s="182" t="n">
        <v>0</v>
      </c>
      <c r="AC3607" s="182" t="n">
        <v>0</v>
      </c>
      <c r="AD3607" s="182" t="n">
        <v>2.98</v>
      </c>
      <c r="AE3607" s="182" t="n">
        <v>0</v>
      </c>
      <c r="AF3607" s="182" t="n">
        <v>0</v>
      </c>
      <c r="AG3607" s="182" t="n">
        <v>0</v>
      </c>
      <c r="AH3607" s="182" t="n">
        <v>0</v>
      </c>
      <c r="AI3607" s="182" t="n">
        <v>0</v>
      </c>
      <c r="AJ3607" s="182" t="n">
        <v>0</v>
      </c>
      <c r="AK3607" s="182" t="n">
        <v>0</v>
      </c>
      <c r="AL3607" s="182" t="n">
        <v>0</v>
      </c>
      <c r="AM3607" s="182" t="n">
        <v>0.08</v>
      </c>
      <c r="AN3607" s="182" t="n">
        <v>0</v>
      </c>
    </row>
    <row r="3608">
      <c r="A3608" s="155" t="n">
        <v>46098</v>
      </c>
      <c r="B3608" s="156" t="inlineStr">
        <is>
          <t>DS</t>
        </is>
      </c>
      <c r="C3608" s="156" t="inlineStr">
        <is>
          <t>DT-516</t>
        </is>
      </c>
      <c r="D3608" s="156" t="inlineStr">
        <is>
          <t>SKT 105S</t>
        </is>
      </c>
      <c r="E3608" s="156" t="inlineStr">
        <is>
          <t>Hauler</t>
        </is>
      </c>
      <c r="F3608" s="156" t="inlineStr"/>
      <c r="G3608" s="182" t="n">
        <v>0</v>
      </c>
      <c r="H3608" s="182" t="n">
        <v>0</v>
      </c>
      <c r="I3608" s="182" t="n">
        <v>0</v>
      </c>
      <c r="J3608" s="182" t="n">
        <v>0</v>
      </c>
      <c r="K3608" s="182" t="n">
        <v>12</v>
      </c>
      <c r="L3608" s="182" t="n">
        <v>12</v>
      </c>
      <c r="M3608" s="182" t="n">
        <v>0</v>
      </c>
      <c r="N3608" s="182" t="n">
        <v>0</v>
      </c>
      <c r="O3608" s="183" t="n">
        <v>0</v>
      </c>
      <c r="P3608" s="183" t="n">
        <v>0</v>
      </c>
      <c r="Q3608" s="184" t="n">
        <v>0</v>
      </c>
      <c r="R3608" s="184" t="n">
        <v>0</v>
      </c>
      <c r="S3608" s="183" t="n">
        <v>0</v>
      </c>
      <c r="T3608" s="183" t="n">
        <v>0</v>
      </c>
      <c r="U3608" s="182" t="n">
        <v>0</v>
      </c>
      <c r="V3608" s="182" t="n">
        <v>0</v>
      </c>
      <c r="W3608" s="182" t="n">
        <v>0</v>
      </c>
      <c r="X3608" s="182" t="n">
        <v>1</v>
      </c>
      <c r="Y3608" s="182" t="n">
        <v>0</v>
      </c>
      <c r="Z3608" s="182" t="n">
        <v>0</v>
      </c>
      <c r="AA3608" s="182" t="n">
        <v>0</v>
      </c>
      <c r="AB3608" s="182" t="n">
        <v>0</v>
      </c>
      <c r="AC3608" s="182" t="n">
        <v>0</v>
      </c>
      <c r="AD3608" s="182" t="n">
        <v>0</v>
      </c>
      <c r="AE3608" s="182" t="n">
        <v>0</v>
      </c>
      <c r="AF3608" s="182" t="n">
        <v>0</v>
      </c>
      <c r="AG3608" s="182" t="n">
        <v>0</v>
      </c>
      <c r="AH3608" s="182" t="n">
        <v>0</v>
      </c>
      <c r="AI3608" s="182" t="n">
        <v>0</v>
      </c>
      <c r="AJ3608" s="182" t="n">
        <v>0</v>
      </c>
      <c r="AK3608" s="182" t="n">
        <v>10.92</v>
      </c>
      <c r="AL3608" s="182" t="n">
        <v>0</v>
      </c>
      <c r="AM3608" s="182" t="n">
        <v>0.08</v>
      </c>
      <c r="AN3608" s="182" t="n">
        <v>0</v>
      </c>
    </row>
    <row r="3609">
      <c r="A3609" s="155" t="n">
        <v>46098</v>
      </c>
      <c r="B3609" s="156" t="inlineStr">
        <is>
          <t>DS</t>
        </is>
      </c>
      <c r="C3609" s="156" t="inlineStr">
        <is>
          <t>DT-506</t>
        </is>
      </c>
      <c r="D3609" s="156" t="inlineStr">
        <is>
          <t>SKT 105S</t>
        </is>
      </c>
      <c r="E3609" s="156" t="inlineStr">
        <is>
          <t>Hauler</t>
        </is>
      </c>
      <c r="F3609" s="156" t="inlineStr">
        <is>
          <t>Hauling OB</t>
        </is>
      </c>
      <c r="G3609" s="182" t="n">
        <v>7.82</v>
      </c>
      <c r="H3609" s="182" t="n">
        <v>0</v>
      </c>
      <c r="I3609" s="182" t="n">
        <v>0</v>
      </c>
      <c r="J3609" s="182" t="n">
        <v>0</v>
      </c>
      <c r="K3609" s="182" t="n">
        <v>4.18</v>
      </c>
      <c r="L3609" s="182" t="n">
        <v>12</v>
      </c>
      <c r="M3609" s="182" t="n">
        <v>7.82</v>
      </c>
      <c r="N3609" s="182" t="n">
        <v>0</v>
      </c>
      <c r="O3609" s="183" t="n">
        <v>41</v>
      </c>
      <c r="P3609" s="183" t="n">
        <v>0</v>
      </c>
      <c r="Q3609" s="184" t="n">
        <v>836.4</v>
      </c>
      <c r="R3609" s="184" t="n">
        <v>0</v>
      </c>
      <c r="S3609" s="183" t="n">
        <v>0</v>
      </c>
      <c r="T3609" s="183" t="n">
        <v>0</v>
      </c>
      <c r="U3609" s="182" t="n">
        <v>0</v>
      </c>
      <c r="V3609" s="182" t="n">
        <v>0</v>
      </c>
      <c r="W3609" s="182" t="n">
        <v>0</v>
      </c>
      <c r="X3609" s="182" t="n">
        <v>0.95</v>
      </c>
      <c r="Y3609" s="182" t="n">
        <v>0</v>
      </c>
      <c r="Z3609" s="182" t="n">
        <v>0</v>
      </c>
      <c r="AA3609" s="182" t="n">
        <v>0</v>
      </c>
      <c r="AB3609" s="182" t="n">
        <v>0</v>
      </c>
      <c r="AC3609" s="182" t="n">
        <v>0</v>
      </c>
      <c r="AD3609" s="182" t="n">
        <v>3.15</v>
      </c>
      <c r="AE3609" s="182" t="n">
        <v>0</v>
      </c>
      <c r="AF3609" s="182" t="n">
        <v>0</v>
      </c>
      <c r="AG3609" s="182" t="n">
        <v>0</v>
      </c>
      <c r="AH3609" s="182" t="n">
        <v>0</v>
      </c>
      <c r="AI3609" s="182" t="n">
        <v>0</v>
      </c>
      <c r="AJ3609" s="182" t="n">
        <v>0</v>
      </c>
      <c r="AK3609" s="182" t="n">
        <v>0</v>
      </c>
      <c r="AL3609" s="182" t="n">
        <v>0</v>
      </c>
      <c r="AM3609" s="182" t="n">
        <v>0.08</v>
      </c>
      <c r="AN3609" s="182" t="n">
        <v>0</v>
      </c>
    </row>
    <row r="3610">
      <c r="A3610" s="155" t="n">
        <v>46098</v>
      </c>
      <c r="B3610" s="156" t="inlineStr">
        <is>
          <t>DS</t>
        </is>
      </c>
      <c r="C3610" s="156" t="inlineStr">
        <is>
          <t>DT-502</t>
        </is>
      </c>
      <c r="D3610" s="156" t="inlineStr">
        <is>
          <t>SKT 105S</t>
        </is>
      </c>
      <c r="E3610" s="156" t="inlineStr">
        <is>
          <t>Hauler</t>
        </is>
      </c>
      <c r="F3610" s="156" t="inlineStr"/>
      <c r="G3610" s="182" t="n">
        <v>0</v>
      </c>
      <c r="H3610" s="182" t="n">
        <v>0</v>
      </c>
      <c r="I3610" s="182" t="n">
        <v>12</v>
      </c>
      <c r="J3610" s="182" t="n">
        <v>12</v>
      </c>
      <c r="K3610" s="182" t="n">
        <v>0</v>
      </c>
      <c r="L3610" s="182" t="n">
        <v>12</v>
      </c>
      <c r="M3610" s="182" t="n">
        <v>0</v>
      </c>
      <c r="N3610" s="182" t="n">
        <v>0</v>
      </c>
      <c r="O3610" s="183" t="n">
        <v>0</v>
      </c>
      <c r="P3610" s="183" t="n">
        <v>0</v>
      </c>
      <c r="Q3610" s="184" t="n">
        <v>0</v>
      </c>
      <c r="R3610" s="184" t="n">
        <v>0</v>
      </c>
      <c r="S3610" s="183" t="n">
        <v>0</v>
      </c>
      <c r="T3610" s="183" t="n">
        <v>0</v>
      </c>
      <c r="U3610" s="182" t="n">
        <v>0</v>
      </c>
      <c r="V3610" s="182" t="n">
        <v>0</v>
      </c>
      <c r="W3610" s="182" t="n">
        <v>0</v>
      </c>
      <c r="X3610" s="182" t="n">
        <v>0</v>
      </c>
      <c r="Y3610" s="182" t="n">
        <v>0</v>
      </c>
      <c r="Z3610" s="182" t="n">
        <v>0</v>
      </c>
      <c r="AA3610" s="182" t="n">
        <v>0</v>
      </c>
      <c r="AB3610" s="182" t="n">
        <v>0</v>
      </c>
      <c r="AC3610" s="182" t="n">
        <v>0</v>
      </c>
      <c r="AD3610" s="182" t="n">
        <v>0</v>
      </c>
      <c r="AE3610" s="182" t="n">
        <v>0</v>
      </c>
      <c r="AF3610" s="182" t="n">
        <v>0</v>
      </c>
      <c r="AG3610" s="182" t="n">
        <v>0</v>
      </c>
      <c r="AH3610" s="182" t="n">
        <v>0</v>
      </c>
      <c r="AI3610" s="182" t="n">
        <v>0</v>
      </c>
      <c r="AJ3610" s="182" t="n">
        <v>0</v>
      </c>
      <c r="AK3610" s="182" t="n">
        <v>0</v>
      </c>
      <c r="AL3610" s="182" t="n">
        <v>0</v>
      </c>
      <c r="AM3610" s="182" t="n">
        <v>0</v>
      </c>
      <c r="AN3610" s="182" t="n">
        <v>0</v>
      </c>
    </row>
    <row r="3611">
      <c r="A3611" s="155" t="n">
        <v>46098</v>
      </c>
      <c r="B3611" s="156" t="inlineStr">
        <is>
          <t>DS</t>
        </is>
      </c>
      <c r="C3611" s="156" t="inlineStr">
        <is>
          <t>DT-528</t>
        </is>
      </c>
      <c r="D3611" s="156" t="inlineStr">
        <is>
          <t>SKT 105S</t>
        </is>
      </c>
      <c r="E3611" s="156" t="inlineStr">
        <is>
          <t>Hauler</t>
        </is>
      </c>
      <c r="F3611" s="156" t="inlineStr">
        <is>
          <t>Hauling OB, Coal &amp; Mud</t>
        </is>
      </c>
      <c r="G3611" s="182" t="n">
        <v>8.050000000000001</v>
      </c>
      <c r="H3611" s="182" t="n">
        <v>0</v>
      </c>
      <c r="I3611" s="182" t="n">
        <v>0</v>
      </c>
      <c r="J3611" s="182" t="n">
        <v>0</v>
      </c>
      <c r="K3611" s="182" t="n">
        <v>3.95</v>
      </c>
      <c r="L3611" s="182" t="n">
        <v>12</v>
      </c>
      <c r="M3611" s="182" t="n">
        <v>4.02</v>
      </c>
      <c r="N3611" s="182" t="n">
        <v>4.02</v>
      </c>
      <c r="O3611" s="183" t="n">
        <v>14</v>
      </c>
      <c r="P3611" s="183" t="n">
        <v>8</v>
      </c>
      <c r="Q3611" s="184" t="n">
        <v>219.7</v>
      </c>
      <c r="R3611" s="184" t="n">
        <v>149.6</v>
      </c>
      <c r="S3611" s="183" t="n">
        <v>0</v>
      </c>
      <c r="T3611" s="183" t="n">
        <v>0</v>
      </c>
      <c r="U3611" s="182" t="n">
        <v>0</v>
      </c>
      <c r="V3611" s="182" t="n">
        <v>0</v>
      </c>
      <c r="W3611" s="182" t="n">
        <v>0</v>
      </c>
      <c r="X3611" s="182" t="n">
        <v>0.99</v>
      </c>
      <c r="Y3611" s="182" t="n">
        <v>0</v>
      </c>
      <c r="Z3611" s="182" t="n">
        <v>0</v>
      </c>
      <c r="AA3611" s="182" t="n">
        <v>0</v>
      </c>
      <c r="AB3611" s="182" t="n">
        <v>0</v>
      </c>
      <c r="AC3611" s="182" t="n">
        <v>0</v>
      </c>
      <c r="AD3611" s="182" t="n">
        <v>2.88</v>
      </c>
      <c r="AE3611" s="182" t="n">
        <v>0</v>
      </c>
      <c r="AF3611" s="182" t="n">
        <v>0</v>
      </c>
      <c r="AG3611" s="182" t="n">
        <v>0</v>
      </c>
      <c r="AH3611" s="182" t="n">
        <v>0</v>
      </c>
      <c r="AI3611" s="182" t="n">
        <v>0</v>
      </c>
      <c r="AJ3611" s="182" t="n">
        <v>0</v>
      </c>
      <c r="AK3611" s="182" t="n">
        <v>0</v>
      </c>
      <c r="AL3611" s="182" t="n">
        <v>0</v>
      </c>
      <c r="AM3611" s="182" t="n">
        <v>0.08</v>
      </c>
      <c r="AN3611" s="182" t="n">
        <v>0</v>
      </c>
    </row>
    <row r="3612">
      <c r="A3612" s="155" t="n">
        <v>46098</v>
      </c>
      <c r="B3612" s="156" t="inlineStr">
        <is>
          <t>DS</t>
        </is>
      </c>
      <c r="C3612" s="156" t="inlineStr">
        <is>
          <t>DT-529</t>
        </is>
      </c>
      <c r="D3612" s="156" t="inlineStr">
        <is>
          <t>SKT 105S</t>
        </is>
      </c>
      <c r="E3612" s="156" t="inlineStr">
        <is>
          <t>Hauler</t>
        </is>
      </c>
      <c r="F3612" s="156" t="inlineStr">
        <is>
          <t>Hauling OB</t>
        </is>
      </c>
      <c r="G3612" s="182" t="n">
        <v>8.699999999999999</v>
      </c>
      <c r="H3612" s="182" t="n">
        <v>0</v>
      </c>
      <c r="I3612" s="182" t="n">
        <v>0</v>
      </c>
      <c r="J3612" s="182" t="n">
        <v>0</v>
      </c>
      <c r="K3612" s="182" t="n">
        <v>3.3</v>
      </c>
      <c r="L3612" s="182" t="n">
        <v>12</v>
      </c>
      <c r="M3612" s="182" t="n">
        <v>8.699999999999999</v>
      </c>
      <c r="N3612" s="182" t="n">
        <v>0</v>
      </c>
      <c r="O3612" s="183" t="n">
        <v>38</v>
      </c>
      <c r="P3612" s="183" t="n">
        <v>0</v>
      </c>
      <c r="Q3612" s="184" t="n">
        <v>775.2</v>
      </c>
      <c r="R3612" s="184" t="n">
        <v>0</v>
      </c>
      <c r="S3612" s="183" t="n">
        <v>0</v>
      </c>
      <c r="T3612" s="183" t="n">
        <v>0</v>
      </c>
      <c r="U3612" s="182" t="n">
        <v>0</v>
      </c>
      <c r="V3612" s="182" t="n">
        <v>0</v>
      </c>
      <c r="W3612" s="182" t="n">
        <v>0</v>
      </c>
      <c r="X3612" s="182" t="n">
        <v>1.06</v>
      </c>
      <c r="Y3612" s="182" t="n">
        <v>0</v>
      </c>
      <c r="Z3612" s="182" t="n">
        <v>0</v>
      </c>
      <c r="AA3612" s="182" t="n">
        <v>0</v>
      </c>
      <c r="AB3612" s="182" t="n">
        <v>0</v>
      </c>
      <c r="AC3612" s="182" t="n">
        <v>0</v>
      </c>
      <c r="AD3612" s="182" t="n">
        <v>2.13</v>
      </c>
      <c r="AE3612" s="182" t="n">
        <v>0</v>
      </c>
      <c r="AF3612" s="182" t="n">
        <v>0</v>
      </c>
      <c r="AG3612" s="182" t="n">
        <v>0</v>
      </c>
      <c r="AH3612" s="182" t="n">
        <v>0.02</v>
      </c>
      <c r="AI3612" s="182" t="n">
        <v>0</v>
      </c>
      <c r="AJ3612" s="182" t="n">
        <v>0</v>
      </c>
      <c r="AK3612" s="182" t="n">
        <v>0</v>
      </c>
      <c r="AL3612" s="182" t="n">
        <v>0</v>
      </c>
      <c r="AM3612" s="182" t="n">
        <v>0.09</v>
      </c>
      <c r="AN3612" s="182" t="n">
        <v>0</v>
      </c>
    </row>
    <row r="3613">
      <c r="A3613" s="155" t="n">
        <v>46098</v>
      </c>
      <c r="B3613" s="156" t="inlineStr">
        <is>
          <t>DS</t>
        </is>
      </c>
      <c r="C3613" s="156" t="inlineStr">
        <is>
          <t>DT-520</t>
        </is>
      </c>
      <c r="D3613" s="156" t="inlineStr">
        <is>
          <t>SKT 105S</t>
        </is>
      </c>
      <c r="E3613" s="156" t="inlineStr">
        <is>
          <t>Hauler</t>
        </is>
      </c>
      <c r="F3613" s="156" t="inlineStr">
        <is>
          <t>Hauling OB</t>
        </is>
      </c>
      <c r="G3613" s="182" t="n">
        <v>6.48</v>
      </c>
      <c r="H3613" s="182" t="n">
        <v>0</v>
      </c>
      <c r="I3613" s="182" t="n">
        <v>0</v>
      </c>
      <c r="J3613" s="182" t="n">
        <v>0</v>
      </c>
      <c r="K3613" s="182" t="n">
        <v>5.52</v>
      </c>
      <c r="L3613" s="182" t="n">
        <v>12</v>
      </c>
      <c r="M3613" s="182" t="n">
        <v>6.48</v>
      </c>
      <c r="N3613" s="182" t="n">
        <v>0</v>
      </c>
      <c r="O3613" s="183" t="n">
        <v>29</v>
      </c>
      <c r="P3613" s="183" t="n">
        <v>0</v>
      </c>
      <c r="Q3613" s="184" t="n">
        <v>534.7</v>
      </c>
      <c r="R3613" s="184" t="n">
        <v>0</v>
      </c>
      <c r="S3613" s="183" t="n">
        <v>0</v>
      </c>
      <c r="T3613" s="183" t="n">
        <v>0</v>
      </c>
      <c r="U3613" s="182" t="n">
        <v>0</v>
      </c>
      <c r="V3613" s="182" t="n">
        <v>0</v>
      </c>
      <c r="W3613" s="182" t="n">
        <v>0</v>
      </c>
      <c r="X3613" s="182" t="n">
        <v>0.99</v>
      </c>
      <c r="Y3613" s="182" t="n">
        <v>0</v>
      </c>
      <c r="Z3613" s="182" t="n">
        <v>0</v>
      </c>
      <c r="AA3613" s="182" t="n">
        <v>0</v>
      </c>
      <c r="AB3613" s="182" t="n">
        <v>0</v>
      </c>
      <c r="AC3613" s="182" t="n">
        <v>0</v>
      </c>
      <c r="AD3613" s="182" t="n">
        <v>4.46</v>
      </c>
      <c r="AE3613" s="182" t="n">
        <v>0</v>
      </c>
      <c r="AF3613" s="182" t="n">
        <v>0</v>
      </c>
      <c r="AG3613" s="182" t="n">
        <v>0</v>
      </c>
      <c r="AH3613" s="182" t="n">
        <v>0</v>
      </c>
      <c r="AI3613" s="182" t="n">
        <v>0</v>
      </c>
      <c r="AJ3613" s="182" t="n">
        <v>0</v>
      </c>
      <c r="AK3613" s="182" t="n">
        <v>0</v>
      </c>
      <c r="AL3613" s="182" t="n">
        <v>0</v>
      </c>
      <c r="AM3613" s="182" t="n">
        <v>0.08</v>
      </c>
      <c r="AN3613" s="182" t="n">
        <v>0</v>
      </c>
    </row>
    <row r="3614">
      <c r="A3614" s="155" t="n">
        <v>46098</v>
      </c>
      <c r="B3614" s="156" t="inlineStr">
        <is>
          <t>DS</t>
        </is>
      </c>
      <c r="C3614" s="156" t="inlineStr">
        <is>
          <t>DT-511</t>
        </is>
      </c>
      <c r="D3614" s="156" t="inlineStr">
        <is>
          <t>SKT 105S</t>
        </is>
      </c>
      <c r="E3614" s="156" t="inlineStr">
        <is>
          <t>Hauler</t>
        </is>
      </c>
      <c r="F3614" s="156" t="inlineStr"/>
      <c r="G3614" s="182" t="n">
        <v>0</v>
      </c>
      <c r="H3614" s="182" t="n">
        <v>0</v>
      </c>
      <c r="I3614" s="182" t="n">
        <v>12</v>
      </c>
      <c r="J3614" s="182" t="n">
        <v>12</v>
      </c>
      <c r="K3614" s="182" t="n">
        <v>0</v>
      </c>
      <c r="L3614" s="182" t="n">
        <v>12</v>
      </c>
      <c r="M3614" s="182" t="n">
        <v>0</v>
      </c>
      <c r="N3614" s="182" t="n">
        <v>0</v>
      </c>
      <c r="O3614" s="183" t="n">
        <v>0</v>
      </c>
      <c r="P3614" s="183" t="n">
        <v>0</v>
      </c>
      <c r="Q3614" s="184" t="n">
        <v>0</v>
      </c>
      <c r="R3614" s="184" t="n">
        <v>0</v>
      </c>
      <c r="S3614" s="183" t="n">
        <v>0</v>
      </c>
      <c r="T3614" s="183" t="n">
        <v>0</v>
      </c>
      <c r="U3614" s="182" t="n">
        <v>0</v>
      </c>
      <c r="V3614" s="182" t="n">
        <v>0</v>
      </c>
      <c r="W3614" s="182" t="n">
        <v>0</v>
      </c>
      <c r="X3614" s="182" t="n">
        <v>0</v>
      </c>
      <c r="Y3614" s="182" t="n">
        <v>0</v>
      </c>
      <c r="Z3614" s="182" t="n">
        <v>0</v>
      </c>
      <c r="AA3614" s="182" t="n">
        <v>0</v>
      </c>
      <c r="AB3614" s="182" t="n">
        <v>0</v>
      </c>
      <c r="AC3614" s="182" t="n">
        <v>0</v>
      </c>
      <c r="AD3614" s="182" t="n">
        <v>0</v>
      </c>
      <c r="AE3614" s="182" t="n">
        <v>0</v>
      </c>
      <c r="AF3614" s="182" t="n">
        <v>0</v>
      </c>
      <c r="AG3614" s="182" t="n">
        <v>0</v>
      </c>
      <c r="AH3614" s="182" t="n">
        <v>0</v>
      </c>
      <c r="AI3614" s="182" t="n">
        <v>0</v>
      </c>
      <c r="AJ3614" s="182" t="n">
        <v>0</v>
      </c>
      <c r="AK3614" s="182" t="n">
        <v>0</v>
      </c>
      <c r="AL3614" s="182" t="n">
        <v>0</v>
      </c>
      <c r="AM3614" s="182" t="n">
        <v>0</v>
      </c>
      <c r="AN3614" s="182" t="n">
        <v>0</v>
      </c>
    </row>
    <row r="3615">
      <c r="A3615" s="155" t="n">
        <v>46098</v>
      </c>
      <c r="B3615" s="156" t="inlineStr">
        <is>
          <t>DS</t>
        </is>
      </c>
      <c r="C3615" s="156" t="inlineStr">
        <is>
          <t>DT-509</t>
        </is>
      </c>
      <c r="D3615" s="156" t="inlineStr">
        <is>
          <t>SKT 105S</t>
        </is>
      </c>
      <c r="E3615" s="156" t="inlineStr">
        <is>
          <t>Hauler</t>
        </is>
      </c>
      <c r="F3615" s="156" t="inlineStr"/>
      <c r="G3615" s="182" t="n">
        <v>0</v>
      </c>
      <c r="H3615" s="182" t="n">
        <v>0</v>
      </c>
      <c r="I3615" s="182" t="n">
        <v>12</v>
      </c>
      <c r="J3615" s="182" t="n">
        <v>12</v>
      </c>
      <c r="K3615" s="182" t="n">
        <v>0</v>
      </c>
      <c r="L3615" s="182" t="n">
        <v>12</v>
      </c>
      <c r="M3615" s="182" t="n">
        <v>0</v>
      </c>
      <c r="N3615" s="182" t="n">
        <v>0</v>
      </c>
      <c r="O3615" s="183" t="n">
        <v>0</v>
      </c>
      <c r="P3615" s="183" t="n">
        <v>0</v>
      </c>
      <c r="Q3615" s="184" t="n">
        <v>0</v>
      </c>
      <c r="R3615" s="184" t="n">
        <v>0</v>
      </c>
      <c r="S3615" s="183" t="n">
        <v>0</v>
      </c>
      <c r="T3615" s="183" t="n">
        <v>0</v>
      </c>
      <c r="U3615" s="182" t="n">
        <v>0</v>
      </c>
      <c r="V3615" s="182" t="n">
        <v>0</v>
      </c>
      <c r="W3615" s="182" t="n">
        <v>0</v>
      </c>
      <c r="X3615" s="182" t="n">
        <v>0</v>
      </c>
      <c r="Y3615" s="182" t="n">
        <v>0</v>
      </c>
      <c r="Z3615" s="182" t="n">
        <v>0</v>
      </c>
      <c r="AA3615" s="182" t="n">
        <v>0</v>
      </c>
      <c r="AB3615" s="182" t="n">
        <v>0</v>
      </c>
      <c r="AC3615" s="182" t="n">
        <v>0</v>
      </c>
      <c r="AD3615" s="182" t="n">
        <v>0</v>
      </c>
      <c r="AE3615" s="182" t="n">
        <v>0</v>
      </c>
      <c r="AF3615" s="182" t="n">
        <v>0</v>
      </c>
      <c r="AG3615" s="182" t="n">
        <v>0</v>
      </c>
      <c r="AH3615" s="182" t="n">
        <v>0</v>
      </c>
      <c r="AI3615" s="182" t="n">
        <v>0</v>
      </c>
      <c r="AJ3615" s="182" t="n">
        <v>0</v>
      </c>
      <c r="AK3615" s="182" t="n">
        <v>0</v>
      </c>
      <c r="AL3615" s="182" t="n">
        <v>0</v>
      </c>
      <c r="AM3615" s="182" t="n">
        <v>0</v>
      </c>
      <c r="AN3615" s="182" t="n">
        <v>0</v>
      </c>
    </row>
    <row r="3616">
      <c r="A3616" s="155" t="n">
        <v>46098</v>
      </c>
      <c r="B3616" s="156" t="inlineStr">
        <is>
          <t>DS</t>
        </is>
      </c>
      <c r="C3616" s="156" t="inlineStr">
        <is>
          <t>DT-526</t>
        </is>
      </c>
      <c r="D3616" s="156" t="inlineStr">
        <is>
          <t>SKT 105S</t>
        </is>
      </c>
      <c r="E3616" s="156" t="inlineStr">
        <is>
          <t>Hauler</t>
        </is>
      </c>
      <c r="F3616" s="156" t="inlineStr"/>
      <c r="G3616" s="182" t="n">
        <v>0</v>
      </c>
      <c r="H3616" s="182" t="n">
        <v>0</v>
      </c>
      <c r="I3616" s="182" t="n">
        <v>12</v>
      </c>
      <c r="J3616" s="182" t="n">
        <v>12</v>
      </c>
      <c r="K3616" s="182" t="n">
        <v>0</v>
      </c>
      <c r="L3616" s="182" t="n">
        <v>12</v>
      </c>
      <c r="M3616" s="182" t="n">
        <v>0</v>
      </c>
      <c r="N3616" s="182" t="n">
        <v>0</v>
      </c>
      <c r="O3616" s="183" t="n">
        <v>0</v>
      </c>
      <c r="P3616" s="183" t="n">
        <v>0</v>
      </c>
      <c r="Q3616" s="184" t="n">
        <v>0</v>
      </c>
      <c r="R3616" s="184" t="n">
        <v>0</v>
      </c>
      <c r="S3616" s="183" t="n">
        <v>0</v>
      </c>
      <c r="T3616" s="183" t="n">
        <v>0</v>
      </c>
      <c r="U3616" s="182" t="n">
        <v>0</v>
      </c>
      <c r="V3616" s="182" t="n">
        <v>0</v>
      </c>
      <c r="W3616" s="182" t="n">
        <v>0</v>
      </c>
      <c r="X3616" s="182" t="n">
        <v>0</v>
      </c>
      <c r="Y3616" s="182" t="n">
        <v>0</v>
      </c>
      <c r="Z3616" s="182" t="n">
        <v>0</v>
      </c>
      <c r="AA3616" s="182" t="n">
        <v>0</v>
      </c>
      <c r="AB3616" s="182" t="n">
        <v>0</v>
      </c>
      <c r="AC3616" s="182" t="n">
        <v>0</v>
      </c>
      <c r="AD3616" s="182" t="n">
        <v>0</v>
      </c>
      <c r="AE3616" s="182" t="n">
        <v>0</v>
      </c>
      <c r="AF3616" s="182" t="n">
        <v>0</v>
      </c>
      <c r="AG3616" s="182" t="n">
        <v>0</v>
      </c>
      <c r="AH3616" s="182" t="n">
        <v>0</v>
      </c>
      <c r="AI3616" s="182" t="n">
        <v>0</v>
      </c>
      <c r="AJ3616" s="182" t="n">
        <v>0</v>
      </c>
      <c r="AK3616" s="182" t="n">
        <v>0</v>
      </c>
      <c r="AL3616" s="182" t="n">
        <v>0</v>
      </c>
      <c r="AM3616" s="182" t="n">
        <v>0</v>
      </c>
      <c r="AN3616" s="182" t="n">
        <v>0</v>
      </c>
    </row>
    <row r="3617">
      <c r="A3617" s="155" t="n">
        <v>46098</v>
      </c>
      <c r="B3617" s="156" t="inlineStr">
        <is>
          <t>DS</t>
        </is>
      </c>
      <c r="C3617" s="156" t="inlineStr">
        <is>
          <t>DT-508</t>
        </is>
      </c>
      <c r="D3617" s="156" t="inlineStr">
        <is>
          <t>SKT 105S</t>
        </is>
      </c>
      <c r="E3617" s="156" t="inlineStr">
        <is>
          <t>Hauler</t>
        </is>
      </c>
      <c r="F3617" s="156" t="inlineStr">
        <is>
          <t>Hauling OB</t>
        </is>
      </c>
      <c r="G3617" s="182" t="n">
        <v>7.48</v>
      </c>
      <c r="H3617" s="182" t="n">
        <v>0</v>
      </c>
      <c r="I3617" s="182" t="n">
        <v>0</v>
      </c>
      <c r="J3617" s="182" t="n">
        <v>0</v>
      </c>
      <c r="K3617" s="182" t="n">
        <v>4.52</v>
      </c>
      <c r="L3617" s="182" t="n">
        <v>12</v>
      </c>
      <c r="M3617" s="182" t="n">
        <v>7.48</v>
      </c>
      <c r="N3617" s="182" t="n">
        <v>0</v>
      </c>
      <c r="O3617" s="183" t="n">
        <v>32</v>
      </c>
      <c r="P3617" s="183" t="n">
        <v>0</v>
      </c>
      <c r="Q3617" s="184" t="n">
        <v>652.8</v>
      </c>
      <c r="R3617" s="184" t="n">
        <v>0</v>
      </c>
      <c r="S3617" s="183" t="n">
        <v>0</v>
      </c>
      <c r="T3617" s="183" t="n">
        <v>0</v>
      </c>
      <c r="U3617" s="182" t="n">
        <v>0</v>
      </c>
      <c r="V3617" s="182" t="n">
        <v>0</v>
      </c>
      <c r="W3617" s="182" t="n">
        <v>0</v>
      </c>
      <c r="X3617" s="182" t="n">
        <v>1</v>
      </c>
      <c r="Y3617" s="182" t="n">
        <v>0</v>
      </c>
      <c r="Z3617" s="182" t="n">
        <v>0</v>
      </c>
      <c r="AA3617" s="182" t="n">
        <v>0</v>
      </c>
      <c r="AB3617" s="182" t="n">
        <v>0</v>
      </c>
      <c r="AC3617" s="182" t="n">
        <v>0</v>
      </c>
      <c r="AD3617" s="182" t="n">
        <v>3.44</v>
      </c>
      <c r="AE3617" s="182" t="n">
        <v>0</v>
      </c>
      <c r="AF3617" s="182" t="n">
        <v>0</v>
      </c>
      <c r="AG3617" s="182" t="n">
        <v>0</v>
      </c>
      <c r="AH3617" s="182" t="n">
        <v>0</v>
      </c>
      <c r="AI3617" s="182" t="n">
        <v>0</v>
      </c>
      <c r="AJ3617" s="182" t="n">
        <v>0</v>
      </c>
      <c r="AK3617" s="182" t="n">
        <v>0</v>
      </c>
      <c r="AL3617" s="182" t="n">
        <v>0</v>
      </c>
      <c r="AM3617" s="182" t="n">
        <v>0.08</v>
      </c>
      <c r="AN3617" s="182" t="n">
        <v>0</v>
      </c>
    </row>
    <row r="3618">
      <c r="A3618" s="155" t="n">
        <v>46098</v>
      </c>
      <c r="B3618" s="156" t="inlineStr">
        <is>
          <t>DS</t>
        </is>
      </c>
      <c r="C3618" s="156" t="inlineStr">
        <is>
          <t>DT-515</t>
        </is>
      </c>
      <c r="D3618" s="156" t="inlineStr">
        <is>
          <t>SKT 105S</t>
        </is>
      </c>
      <c r="E3618" s="156" t="inlineStr">
        <is>
          <t>Hauler</t>
        </is>
      </c>
      <c r="F3618" s="156" t="inlineStr">
        <is>
          <t>Hauling OB</t>
        </is>
      </c>
      <c r="G3618" s="182" t="n">
        <v>4.05</v>
      </c>
      <c r="H3618" s="182" t="n">
        <v>0</v>
      </c>
      <c r="I3618" s="182" t="n">
        <v>0</v>
      </c>
      <c r="J3618" s="182" t="n">
        <v>0</v>
      </c>
      <c r="K3618" s="182" t="n">
        <v>7.95</v>
      </c>
      <c r="L3618" s="182" t="n">
        <v>12</v>
      </c>
      <c r="M3618" s="182" t="n">
        <v>4.05</v>
      </c>
      <c r="N3618" s="182" t="n">
        <v>0</v>
      </c>
      <c r="O3618" s="183" t="n">
        <v>11</v>
      </c>
      <c r="P3618" s="183" t="n">
        <v>0</v>
      </c>
      <c r="Q3618" s="184" t="n">
        <v>199.9</v>
      </c>
      <c r="R3618" s="184" t="n">
        <v>0</v>
      </c>
      <c r="S3618" s="183" t="n">
        <v>0</v>
      </c>
      <c r="T3618" s="183" t="n">
        <v>0</v>
      </c>
      <c r="U3618" s="182" t="n">
        <v>0</v>
      </c>
      <c r="V3618" s="182" t="n">
        <v>0</v>
      </c>
      <c r="W3618" s="182" t="n">
        <v>0</v>
      </c>
      <c r="X3618" s="182" t="n">
        <v>0.96</v>
      </c>
      <c r="Y3618" s="182" t="n">
        <v>0</v>
      </c>
      <c r="Z3618" s="182" t="n">
        <v>0</v>
      </c>
      <c r="AA3618" s="182" t="n">
        <v>0</v>
      </c>
      <c r="AB3618" s="182" t="n">
        <v>0</v>
      </c>
      <c r="AC3618" s="182" t="n">
        <v>0</v>
      </c>
      <c r="AD3618" s="182" t="n">
        <v>6.92</v>
      </c>
      <c r="AE3618" s="182" t="n">
        <v>0</v>
      </c>
      <c r="AF3618" s="182" t="n">
        <v>0</v>
      </c>
      <c r="AG3618" s="182" t="n">
        <v>0</v>
      </c>
      <c r="AH3618" s="182" t="n">
        <v>0</v>
      </c>
      <c r="AI3618" s="182" t="n">
        <v>0</v>
      </c>
      <c r="AJ3618" s="182" t="n">
        <v>0</v>
      </c>
      <c r="AK3618" s="182" t="n">
        <v>0</v>
      </c>
      <c r="AL3618" s="182" t="n">
        <v>0</v>
      </c>
      <c r="AM3618" s="182" t="n">
        <v>0.08</v>
      </c>
      <c r="AN3618" s="182" t="n">
        <v>0</v>
      </c>
    </row>
    <row r="3619">
      <c r="A3619" s="155" t="n">
        <v>46098</v>
      </c>
      <c r="B3619" s="156" t="inlineStr">
        <is>
          <t>DS</t>
        </is>
      </c>
      <c r="C3619" s="156" t="inlineStr">
        <is>
          <t>DT-524</t>
        </is>
      </c>
      <c r="D3619" s="156" t="inlineStr">
        <is>
          <t>SKT 105S</t>
        </is>
      </c>
      <c r="E3619" s="156" t="inlineStr">
        <is>
          <t>Hauler</t>
        </is>
      </c>
      <c r="F3619" s="156" t="inlineStr">
        <is>
          <t>Travel</t>
        </is>
      </c>
      <c r="G3619" s="182" t="n">
        <v>0.3</v>
      </c>
      <c r="H3619" s="182" t="n">
        <v>0</v>
      </c>
      <c r="I3619" s="182" t="n">
        <v>0</v>
      </c>
      <c r="J3619" s="182" t="n">
        <v>0</v>
      </c>
      <c r="K3619" s="182" t="n">
        <v>11.7</v>
      </c>
      <c r="L3619" s="182" t="n">
        <v>12</v>
      </c>
      <c r="M3619" s="182" t="n">
        <v>0</v>
      </c>
      <c r="N3619" s="182" t="n">
        <v>0</v>
      </c>
      <c r="O3619" s="183" t="n">
        <v>0</v>
      </c>
      <c r="P3619" s="183" t="n">
        <v>0</v>
      </c>
      <c r="Q3619" s="184" t="n">
        <v>0</v>
      </c>
      <c r="R3619" s="184" t="n">
        <v>0</v>
      </c>
      <c r="S3619" s="183" t="n">
        <v>0</v>
      </c>
      <c r="T3619" s="183" t="n">
        <v>0</v>
      </c>
      <c r="U3619" s="182" t="n">
        <v>0</v>
      </c>
      <c r="V3619" s="182" t="n">
        <v>0</v>
      </c>
      <c r="W3619" s="182" t="n">
        <v>0</v>
      </c>
      <c r="X3619" s="182" t="n">
        <v>1</v>
      </c>
      <c r="Y3619" s="182" t="n">
        <v>0</v>
      </c>
      <c r="Z3619" s="182" t="n">
        <v>0</v>
      </c>
      <c r="AA3619" s="182" t="n">
        <v>0</v>
      </c>
      <c r="AB3619" s="182" t="n">
        <v>0</v>
      </c>
      <c r="AC3619" s="182" t="n">
        <v>0</v>
      </c>
      <c r="AD3619" s="182" t="n">
        <v>2.5</v>
      </c>
      <c r="AE3619" s="182" t="n">
        <v>0</v>
      </c>
      <c r="AF3619" s="182" t="n">
        <v>0</v>
      </c>
      <c r="AG3619" s="182" t="n">
        <v>0</v>
      </c>
      <c r="AH3619" s="182" t="n">
        <v>0</v>
      </c>
      <c r="AI3619" s="182" t="n">
        <v>0</v>
      </c>
      <c r="AJ3619" s="182" t="n">
        <v>0</v>
      </c>
      <c r="AK3619" s="182" t="n">
        <v>8.119999999999999</v>
      </c>
      <c r="AL3619" s="182" t="n">
        <v>0</v>
      </c>
      <c r="AM3619" s="182" t="n">
        <v>0.08</v>
      </c>
      <c r="AN3619" s="182" t="n">
        <v>0</v>
      </c>
    </row>
    <row r="3620">
      <c r="A3620" s="155" t="n">
        <v>46098</v>
      </c>
      <c r="B3620" s="156" t="inlineStr">
        <is>
          <t>DS</t>
        </is>
      </c>
      <c r="C3620" s="156" t="inlineStr">
        <is>
          <t>DT-341</t>
        </is>
      </c>
      <c r="D3620" s="156" t="inlineStr">
        <is>
          <t>SYZ324C-8W</t>
        </is>
      </c>
      <c r="E3620" s="156" t="inlineStr">
        <is>
          <t>Hauler</t>
        </is>
      </c>
      <c r="F3620" s="156" t="inlineStr">
        <is>
          <t>Support Washing Plant</t>
        </is>
      </c>
      <c r="G3620" s="182" t="n">
        <v>9.279999999999999</v>
      </c>
      <c r="H3620" s="182" t="n">
        <v>0</v>
      </c>
      <c r="I3620" s="182" t="n">
        <v>0</v>
      </c>
      <c r="J3620" s="182" t="n">
        <v>0</v>
      </c>
      <c r="K3620" s="182" t="n">
        <v>2.72</v>
      </c>
      <c r="L3620" s="182" t="n">
        <v>12</v>
      </c>
      <c r="M3620" s="182" t="n">
        <v>0</v>
      </c>
      <c r="N3620" s="182" t="n">
        <v>0</v>
      </c>
      <c r="O3620" s="183" t="n">
        <v>0</v>
      </c>
      <c r="P3620" s="183" t="n">
        <v>0</v>
      </c>
      <c r="Q3620" s="184" t="n">
        <v>0</v>
      </c>
      <c r="R3620" s="184" t="n">
        <v>0</v>
      </c>
      <c r="S3620" s="183" t="n">
        <v>0</v>
      </c>
      <c r="T3620" s="183" t="n">
        <v>0</v>
      </c>
      <c r="U3620" s="182" t="n">
        <v>0</v>
      </c>
      <c r="V3620" s="182" t="n">
        <v>0</v>
      </c>
      <c r="W3620" s="182" t="n">
        <v>0</v>
      </c>
      <c r="X3620" s="182" t="n">
        <v>1.01</v>
      </c>
      <c r="Y3620" s="182" t="n">
        <v>0</v>
      </c>
      <c r="Z3620" s="182" t="n">
        <v>0</v>
      </c>
      <c r="AA3620" s="182" t="n">
        <v>0</v>
      </c>
      <c r="AB3620" s="182" t="n">
        <v>0</v>
      </c>
      <c r="AC3620" s="182" t="n">
        <v>0</v>
      </c>
      <c r="AD3620" s="182" t="n">
        <v>0</v>
      </c>
      <c r="AE3620" s="182" t="n">
        <v>0</v>
      </c>
      <c r="AF3620" s="182" t="n">
        <v>0</v>
      </c>
      <c r="AG3620" s="182" t="n">
        <v>0</v>
      </c>
      <c r="AH3620" s="182" t="n">
        <v>0</v>
      </c>
      <c r="AI3620" s="182" t="n">
        <v>0</v>
      </c>
      <c r="AJ3620" s="182" t="n">
        <v>0</v>
      </c>
      <c r="AK3620" s="182" t="n">
        <v>1.63</v>
      </c>
      <c r="AL3620" s="182" t="n">
        <v>0</v>
      </c>
      <c r="AM3620" s="182" t="n">
        <v>0.08</v>
      </c>
      <c r="AN3620" s="182" t="n">
        <v>0</v>
      </c>
    </row>
    <row r="3621">
      <c r="A3621" s="155" t="n">
        <v>46098</v>
      </c>
      <c r="B3621" s="156" t="inlineStr">
        <is>
          <t>DS</t>
        </is>
      </c>
      <c r="C3621" s="156" t="inlineStr">
        <is>
          <t>DT-342</t>
        </is>
      </c>
      <c r="D3621" s="156" t="inlineStr">
        <is>
          <t>SYZ324C-8W</t>
        </is>
      </c>
      <c r="E3621" s="156" t="inlineStr">
        <is>
          <t>Hauler</t>
        </is>
      </c>
      <c r="F3621" s="156" t="inlineStr">
        <is>
          <t>Support Washing Plant</t>
        </is>
      </c>
      <c r="G3621" s="182" t="n">
        <v>10.36</v>
      </c>
      <c r="H3621" s="182" t="n">
        <v>0</v>
      </c>
      <c r="I3621" s="182" t="n">
        <v>0</v>
      </c>
      <c r="J3621" s="182" t="n">
        <v>0</v>
      </c>
      <c r="K3621" s="182" t="n">
        <v>1.64</v>
      </c>
      <c r="L3621" s="182" t="n">
        <v>12</v>
      </c>
      <c r="M3621" s="182" t="n">
        <v>0</v>
      </c>
      <c r="N3621" s="182" t="n">
        <v>0</v>
      </c>
      <c r="O3621" s="183" t="n">
        <v>0</v>
      </c>
      <c r="P3621" s="183" t="n">
        <v>0</v>
      </c>
      <c r="Q3621" s="184" t="n">
        <v>0</v>
      </c>
      <c r="R3621" s="184" t="n">
        <v>0</v>
      </c>
      <c r="S3621" s="183" t="n">
        <v>0</v>
      </c>
      <c r="T3621" s="183" t="n">
        <v>0</v>
      </c>
      <c r="U3621" s="182" t="n">
        <v>0</v>
      </c>
      <c r="V3621" s="182" t="n">
        <v>0</v>
      </c>
      <c r="W3621" s="182" t="n">
        <v>0</v>
      </c>
      <c r="X3621" s="182" t="n">
        <v>0.78</v>
      </c>
      <c r="Y3621" s="182" t="n">
        <v>0</v>
      </c>
      <c r="Z3621" s="182" t="n">
        <v>0</v>
      </c>
      <c r="AA3621" s="182" t="n">
        <v>0</v>
      </c>
      <c r="AB3621" s="182" t="n">
        <v>0</v>
      </c>
      <c r="AC3621" s="182" t="n">
        <v>0</v>
      </c>
      <c r="AD3621" s="182" t="n">
        <v>0</v>
      </c>
      <c r="AE3621" s="182" t="n">
        <v>0</v>
      </c>
      <c r="AF3621" s="182" t="n">
        <v>0</v>
      </c>
      <c r="AG3621" s="182" t="n">
        <v>0</v>
      </c>
      <c r="AH3621" s="182" t="n">
        <v>0</v>
      </c>
      <c r="AI3621" s="182" t="n">
        <v>0</v>
      </c>
      <c r="AJ3621" s="182" t="n">
        <v>0</v>
      </c>
      <c r="AK3621" s="182" t="n">
        <v>0.8</v>
      </c>
      <c r="AL3621" s="182" t="n">
        <v>0</v>
      </c>
      <c r="AM3621" s="182" t="n">
        <v>0.06</v>
      </c>
      <c r="AN3621" s="182" t="n">
        <v>0</v>
      </c>
    </row>
    <row r="3622">
      <c r="A3622" s="155" t="n">
        <v>46098</v>
      </c>
      <c r="B3622" s="156" t="inlineStr">
        <is>
          <t>DS</t>
        </is>
      </c>
      <c r="C3622" s="156" t="inlineStr">
        <is>
          <t>HD-903</t>
        </is>
      </c>
      <c r="D3622" s="156" t="inlineStr">
        <is>
          <t>SRT 95C</t>
        </is>
      </c>
      <c r="E3622" s="156" t="inlineStr">
        <is>
          <t>Hauler</t>
        </is>
      </c>
      <c r="F3622" s="156" t="inlineStr">
        <is>
          <t>Hauling OB</t>
        </is>
      </c>
      <c r="G3622" s="182" t="n">
        <v>7.23</v>
      </c>
      <c r="H3622" s="182" t="n">
        <v>0</v>
      </c>
      <c r="I3622" s="182" t="n">
        <v>1.5</v>
      </c>
      <c r="J3622" s="182" t="n">
        <v>1.5</v>
      </c>
      <c r="K3622" s="182" t="n">
        <v>3.27</v>
      </c>
      <c r="L3622" s="182" t="n">
        <v>12</v>
      </c>
      <c r="M3622" s="182" t="n">
        <v>7.23</v>
      </c>
      <c r="N3622" s="182" t="n">
        <v>0</v>
      </c>
      <c r="O3622" s="183" t="n">
        <v>33</v>
      </c>
      <c r="P3622" s="183" t="n">
        <v>0</v>
      </c>
      <c r="Q3622" s="184" t="n">
        <v>1178.1</v>
      </c>
      <c r="R3622" s="184" t="n">
        <v>0</v>
      </c>
      <c r="S3622" s="183" t="n">
        <v>0</v>
      </c>
      <c r="T3622" s="183" t="n">
        <v>0</v>
      </c>
      <c r="U3622" s="182" t="n">
        <v>0</v>
      </c>
      <c r="V3622" s="182" t="n">
        <v>0</v>
      </c>
      <c r="W3622" s="182" t="n">
        <v>0</v>
      </c>
      <c r="X3622" s="182" t="n">
        <v>1.02</v>
      </c>
      <c r="Y3622" s="182" t="n">
        <v>0</v>
      </c>
      <c r="Z3622" s="182" t="n">
        <v>0</v>
      </c>
      <c r="AA3622" s="182" t="n">
        <v>0</v>
      </c>
      <c r="AB3622" s="182" t="n">
        <v>0</v>
      </c>
      <c r="AC3622" s="182" t="n">
        <v>0</v>
      </c>
      <c r="AD3622" s="182" t="n">
        <v>2.04</v>
      </c>
      <c r="AE3622" s="182" t="n">
        <v>0</v>
      </c>
      <c r="AF3622" s="182" t="n">
        <v>0</v>
      </c>
      <c r="AG3622" s="182" t="n">
        <v>0</v>
      </c>
      <c r="AH3622" s="182" t="n">
        <v>0.12</v>
      </c>
      <c r="AI3622" s="182" t="n">
        <v>0</v>
      </c>
      <c r="AJ3622" s="182" t="n">
        <v>0</v>
      </c>
      <c r="AK3622" s="182" t="n">
        <v>0</v>
      </c>
      <c r="AL3622" s="182" t="n">
        <v>0</v>
      </c>
      <c r="AM3622" s="182" t="n">
        <v>0.08</v>
      </c>
      <c r="AN3622" s="182" t="n">
        <v>0</v>
      </c>
    </row>
    <row r="3623">
      <c r="A3623" s="155" t="n">
        <v>46098</v>
      </c>
      <c r="B3623" s="156" t="inlineStr">
        <is>
          <t>DS</t>
        </is>
      </c>
      <c r="C3623" s="156" t="inlineStr">
        <is>
          <t>HD-905</t>
        </is>
      </c>
      <c r="D3623" s="156" t="inlineStr">
        <is>
          <t>SRT 95C</t>
        </is>
      </c>
      <c r="E3623" s="156" t="inlineStr">
        <is>
          <t>Hauler</t>
        </is>
      </c>
      <c r="F3623" s="156" t="inlineStr"/>
      <c r="G3623" s="182" t="n">
        <v>0</v>
      </c>
      <c r="H3623" s="182" t="n">
        <v>0</v>
      </c>
      <c r="I3623" s="182" t="n">
        <v>12</v>
      </c>
      <c r="J3623" s="182" t="n">
        <v>12</v>
      </c>
      <c r="K3623" s="182" t="n">
        <v>0</v>
      </c>
      <c r="L3623" s="182" t="n">
        <v>12</v>
      </c>
      <c r="M3623" s="182" t="n">
        <v>0</v>
      </c>
      <c r="N3623" s="182" t="n">
        <v>0</v>
      </c>
      <c r="O3623" s="183" t="n">
        <v>0</v>
      </c>
      <c r="P3623" s="183" t="n">
        <v>0</v>
      </c>
      <c r="Q3623" s="184" t="n">
        <v>0</v>
      </c>
      <c r="R3623" s="184" t="n">
        <v>0</v>
      </c>
      <c r="S3623" s="183" t="n">
        <v>0</v>
      </c>
      <c r="T3623" s="183" t="n">
        <v>0</v>
      </c>
      <c r="U3623" s="182" t="n">
        <v>0</v>
      </c>
      <c r="V3623" s="182" t="n">
        <v>0</v>
      </c>
      <c r="W3623" s="182" t="n">
        <v>0</v>
      </c>
      <c r="X3623" s="182" t="n">
        <v>0</v>
      </c>
      <c r="Y3623" s="182" t="n">
        <v>0</v>
      </c>
      <c r="Z3623" s="182" t="n">
        <v>0</v>
      </c>
      <c r="AA3623" s="182" t="n">
        <v>0</v>
      </c>
      <c r="AB3623" s="182" t="n">
        <v>0</v>
      </c>
      <c r="AC3623" s="182" t="n">
        <v>0</v>
      </c>
      <c r="AD3623" s="182" t="n">
        <v>0</v>
      </c>
      <c r="AE3623" s="182" t="n">
        <v>0</v>
      </c>
      <c r="AF3623" s="182" t="n">
        <v>0</v>
      </c>
      <c r="AG3623" s="182" t="n">
        <v>0</v>
      </c>
      <c r="AH3623" s="182" t="n">
        <v>0</v>
      </c>
      <c r="AI3623" s="182" t="n">
        <v>0</v>
      </c>
      <c r="AJ3623" s="182" t="n">
        <v>0</v>
      </c>
      <c r="AK3623" s="182" t="n">
        <v>0</v>
      </c>
      <c r="AL3623" s="182" t="n">
        <v>0</v>
      </c>
      <c r="AM3623" s="182" t="n">
        <v>0</v>
      </c>
      <c r="AN3623" s="182" t="n">
        <v>0</v>
      </c>
    </row>
    <row r="3624">
      <c r="A3624" s="155" t="n">
        <v>46098</v>
      </c>
      <c r="B3624" s="156" t="inlineStr">
        <is>
          <t>DS</t>
        </is>
      </c>
      <c r="C3624" s="156" t="inlineStr">
        <is>
          <t>HD-901</t>
        </is>
      </c>
      <c r="D3624" s="156" t="inlineStr">
        <is>
          <t>SRT 95C</t>
        </is>
      </c>
      <c r="E3624" s="156" t="inlineStr">
        <is>
          <t>Hauler</t>
        </is>
      </c>
      <c r="F3624" s="156" t="inlineStr">
        <is>
          <t>Hauling OB</t>
        </is>
      </c>
      <c r="G3624" s="182" t="n">
        <v>7.24</v>
      </c>
      <c r="H3624" s="182" t="n">
        <v>0</v>
      </c>
      <c r="I3624" s="182" t="n">
        <v>0</v>
      </c>
      <c r="J3624" s="182" t="n">
        <v>0</v>
      </c>
      <c r="K3624" s="182" t="n">
        <v>4.76</v>
      </c>
      <c r="L3624" s="182" t="n">
        <v>12</v>
      </c>
      <c r="M3624" s="182" t="n">
        <v>7.24</v>
      </c>
      <c r="N3624" s="182" t="n">
        <v>0</v>
      </c>
      <c r="O3624" s="183" t="n">
        <v>24</v>
      </c>
      <c r="P3624" s="183" t="n">
        <v>0</v>
      </c>
      <c r="Q3624" s="184" t="n">
        <v>856.8</v>
      </c>
      <c r="R3624" s="184" t="n">
        <v>0</v>
      </c>
      <c r="S3624" s="183" t="n">
        <v>0</v>
      </c>
      <c r="T3624" s="183" t="n">
        <v>0</v>
      </c>
      <c r="U3624" s="182" t="n">
        <v>0</v>
      </c>
      <c r="V3624" s="182" t="n">
        <v>0</v>
      </c>
      <c r="W3624" s="182" t="n">
        <v>0</v>
      </c>
      <c r="X3624" s="182" t="n">
        <v>1.01</v>
      </c>
      <c r="Y3624" s="182" t="n">
        <v>0</v>
      </c>
      <c r="Z3624" s="182" t="n">
        <v>0</v>
      </c>
      <c r="AA3624" s="182" t="n">
        <v>0</v>
      </c>
      <c r="AB3624" s="182" t="n">
        <v>0</v>
      </c>
      <c r="AC3624" s="182" t="n">
        <v>0</v>
      </c>
      <c r="AD3624" s="182" t="n">
        <v>2.03</v>
      </c>
      <c r="AE3624" s="182" t="n">
        <v>0</v>
      </c>
      <c r="AF3624" s="182" t="n">
        <v>0</v>
      </c>
      <c r="AG3624" s="182" t="n">
        <v>0</v>
      </c>
      <c r="AH3624" s="182" t="n">
        <v>0</v>
      </c>
      <c r="AI3624" s="182" t="n">
        <v>0</v>
      </c>
      <c r="AJ3624" s="182" t="n">
        <v>0</v>
      </c>
      <c r="AK3624" s="182" t="n">
        <v>1.64</v>
      </c>
      <c r="AL3624" s="182" t="n">
        <v>0</v>
      </c>
      <c r="AM3624" s="182" t="n">
        <v>0.08</v>
      </c>
      <c r="AN3624" s="182" t="n">
        <v>0</v>
      </c>
    </row>
    <row r="3625">
      <c r="A3625" s="155" t="n">
        <v>46098</v>
      </c>
      <c r="B3625" s="156" t="inlineStr">
        <is>
          <t>DS</t>
        </is>
      </c>
      <c r="C3625" s="156" t="inlineStr">
        <is>
          <t>HD-904</t>
        </is>
      </c>
      <c r="D3625" s="156" t="inlineStr">
        <is>
          <t>SRT 95C</t>
        </is>
      </c>
      <c r="E3625" s="156" t="inlineStr">
        <is>
          <t>Hauler</t>
        </is>
      </c>
      <c r="F3625" s="156" t="inlineStr">
        <is>
          <t>Hauling OB</t>
        </is>
      </c>
      <c r="G3625" s="182" t="n">
        <v>7.77</v>
      </c>
      <c r="H3625" s="182" t="n">
        <v>0</v>
      </c>
      <c r="I3625" s="182" t="n">
        <v>0</v>
      </c>
      <c r="J3625" s="182" t="n">
        <v>0</v>
      </c>
      <c r="K3625" s="182" t="n">
        <v>4.23</v>
      </c>
      <c r="L3625" s="182" t="n">
        <v>12</v>
      </c>
      <c r="M3625" s="182" t="n">
        <v>7.77</v>
      </c>
      <c r="N3625" s="182" t="n">
        <v>0</v>
      </c>
      <c r="O3625" s="183" t="n">
        <v>35</v>
      </c>
      <c r="P3625" s="183" t="n">
        <v>0</v>
      </c>
      <c r="Q3625" s="184" t="n">
        <v>1249.5</v>
      </c>
      <c r="R3625" s="184" t="n">
        <v>0</v>
      </c>
      <c r="S3625" s="183" t="n">
        <v>0</v>
      </c>
      <c r="T3625" s="183" t="n">
        <v>0</v>
      </c>
      <c r="U3625" s="182" t="n">
        <v>0</v>
      </c>
      <c r="V3625" s="182" t="n">
        <v>0</v>
      </c>
      <c r="W3625" s="182" t="n">
        <v>0</v>
      </c>
      <c r="X3625" s="182" t="n">
        <v>1.06</v>
      </c>
      <c r="Y3625" s="182" t="n">
        <v>0</v>
      </c>
      <c r="Z3625" s="182" t="n">
        <v>0</v>
      </c>
      <c r="AA3625" s="182" t="n">
        <v>0</v>
      </c>
      <c r="AB3625" s="182" t="n">
        <v>0</v>
      </c>
      <c r="AC3625" s="182" t="n">
        <v>0</v>
      </c>
      <c r="AD3625" s="182" t="n">
        <v>2.12</v>
      </c>
      <c r="AE3625" s="182" t="n">
        <v>0</v>
      </c>
      <c r="AF3625" s="182" t="n">
        <v>0</v>
      </c>
      <c r="AG3625" s="182" t="n">
        <v>0</v>
      </c>
      <c r="AH3625" s="182" t="n">
        <v>0.97</v>
      </c>
      <c r="AI3625" s="182" t="n">
        <v>0</v>
      </c>
      <c r="AJ3625" s="182" t="n">
        <v>0</v>
      </c>
      <c r="AK3625" s="182" t="n">
        <v>0</v>
      </c>
      <c r="AL3625" s="182" t="n">
        <v>0</v>
      </c>
      <c r="AM3625" s="182" t="n">
        <v>0.08</v>
      </c>
      <c r="AN3625" s="182" t="n">
        <v>0</v>
      </c>
    </row>
    <row r="3626">
      <c r="A3626" s="155" t="n">
        <v>46098</v>
      </c>
      <c r="B3626" s="156" t="inlineStr">
        <is>
          <t>DS</t>
        </is>
      </c>
      <c r="C3626" s="156" t="inlineStr">
        <is>
          <t>HD-902</t>
        </is>
      </c>
      <c r="D3626" s="156" t="inlineStr">
        <is>
          <t>SRT 95C</t>
        </is>
      </c>
      <c r="E3626" s="156" t="inlineStr">
        <is>
          <t>Hauler</t>
        </is>
      </c>
      <c r="F3626" s="156" t="inlineStr"/>
      <c r="G3626" s="182" t="n">
        <v>0</v>
      </c>
      <c r="H3626" s="182" t="n">
        <v>0</v>
      </c>
      <c r="I3626" s="182" t="n">
        <v>12</v>
      </c>
      <c r="J3626" s="182" t="n">
        <v>12</v>
      </c>
      <c r="K3626" s="182" t="n">
        <v>0</v>
      </c>
      <c r="L3626" s="182" t="n">
        <v>12</v>
      </c>
      <c r="M3626" s="182" t="n">
        <v>0</v>
      </c>
      <c r="N3626" s="182" t="n">
        <v>0</v>
      </c>
      <c r="O3626" s="183" t="n">
        <v>0</v>
      </c>
      <c r="P3626" s="183" t="n">
        <v>0</v>
      </c>
      <c r="Q3626" s="184" t="n">
        <v>0</v>
      </c>
      <c r="R3626" s="184" t="n">
        <v>0</v>
      </c>
      <c r="S3626" s="183" t="n">
        <v>0</v>
      </c>
      <c r="T3626" s="183" t="n">
        <v>0</v>
      </c>
      <c r="U3626" s="182" t="n">
        <v>0</v>
      </c>
      <c r="V3626" s="182" t="n">
        <v>0</v>
      </c>
      <c r="W3626" s="182" t="n">
        <v>0</v>
      </c>
      <c r="X3626" s="182" t="n">
        <v>0</v>
      </c>
      <c r="Y3626" s="182" t="n">
        <v>0</v>
      </c>
      <c r="Z3626" s="182" t="n">
        <v>0</v>
      </c>
      <c r="AA3626" s="182" t="n">
        <v>0</v>
      </c>
      <c r="AB3626" s="182" t="n">
        <v>0</v>
      </c>
      <c r="AC3626" s="182" t="n">
        <v>0</v>
      </c>
      <c r="AD3626" s="182" t="n">
        <v>0</v>
      </c>
      <c r="AE3626" s="182" t="n">
        <v>0</v>
      </c>
      <c r="AF3626" s="182" t="n">
        <v>0</v>
      </c>
      <c r="AG3626" s="182" t="n">
        <v>0</v>
      </c>
      <c r="AH3626" s="182" t="n">
        <v>0</v>
      </c>
      <c r="AI3626" s="182" t="n">
        <v>0</v>
      </c>
      <c r="AJ3626" s="182" t="n">
        <v>0</v>
      </c>
      <c r="AK3626" s="182" t="n">
        <v>0</v>
      </c>
      <c r="AL3626" s="182" t="n">
        <v>0</v>
      </c>
      <c r="AM3626" s="182" t="n">
        <v>0</v>
      </c>
      <c r="AN3626" s="182" t="n">
        <v>0</v>
      </c>
    </row>
    <row r="3627">
      <c r="A3627" s="155" t="n">
        <v>46098</v>
      </c>
      <c r="B3627" s="156" t="inlineStr">
        <is>
          <t>DS</t>
        </is>
      </c>
      <c r="C3627" s="156" t="inlineStr">
        <is>
          <t>WL-025</t>
        </is>
      </c>
      <c r="D3627" s="156" t="inlineStr">
        <is>
          <t>SANY - Loader</t>
        </is>
      </c>
      <c r="E3627" s="156" t="inlineStr">
        <is>
          <t>Loader</t>
        </is>
      </c>
      <c r="F3627" s="156" t="inlineStr"/>
      <c r="G3627" s="182" t="n">
        <v>0</v>
      </c>
      <c r="H3627" s="182" t="n">
        <v>3</v>
      </c>
      <c r="I3627" s="182" t="n">
        <v>0</v>
      </c>
      <c r="J3627" s="182" t="n">
        <v>3</v>
      </c>
      <c r="K3627" s="182" t="n">
        <v>9</v>
      </c>
      <c r="L3627" s="182" t="n">
        <v>12</v>
      </c>
      <c r="M3627" s="182" t="n">
        <v>0</v>
      </c>
      <c r="N3627" s="182" t="n">
        <v>0</v>
      </c>
      <c r="O3627" s="183" t="n">
        <v>0</v>
      </c>
      <c r="P3627" s="183" t="n">
        <v>0</v>
      </c>
      <c r="Q3627" s="184" t="n">
        <v>0</v>
      </c>
      <c r="R3627" s="184" t="n">
        <v>0</v>
      </c>
      <c r="S3627" s="183" t="n">
        <v>0</v>
      </c>
      <c r="T3627" s="183" t="n">
        <v>0</v>
      </c>
      <c r="U3627" s="182" t="n">
        <v>0</v>
      </c>
      <c r="V3627" s="182" t="n">
        <v>0</v>
      </c>
      <c r="W3627" s="182" t="n">
        <v>0</v>
      </c>
      <c r="X3627" s="182" t="n">
        <v>1</v>
      </c>
      <c r="Y3627" s="182" t="n">
        <v>0</v>
      </c>
      <c r="Z3627" s="182" t="n">
        <v>0</v>
      </c>
      <c r="AA3627" s="182" t="n">
        <v>0</v>
      </c>
      <c r="AB3627" s="182" t="n">
        <v>0</v>
      </c>
      <c r="AC3627" s="182" t="n">
        <v>0</v>
      </c>
      <c r="AD3627" s="182" t="n">
        <v>0</v>
      </c>
      <c r="AE3627" s="182" t="n">
        <v>0</v>
      </c>
      <c r="AF3627" s="182" t="n">
        <v>0</v>
      </c>
      <c r="AG3627" s="182" t="n">
        <v>0</v>
      </c>
      <c r="AH3627" s="182" t="n">
        <v>0</v>
      </c>
      <c r="AI3627" s="182" t="n">
        <v>0</v>
      </c>
      <c r="AJ3627" s="182" t="n">
        <v>0</v>
      </c>
      <c r="AK3627" s="182" t="n">
        <v>7.92</v>
      </c>
      <c r="AL3627" s="182" t="n">
        <v>0</v>
      </c>
      <c r="AM3627" s="182" t="n">
        <v>0.08</v>
      </c>
      <c r="AN3627" s="182" t="n">
        <v>0</v>
      </c>
    </row>
    <row r="3628">
      <c r="A3628" s="155" t="n">
        <v>46098</v>
      </c>
      <c r="B3628" s="156" t="inlineStr">
        <is>
          <t>DS</t>
        </is>
      </c>
      <c r="C3628" s="156" t="inlineStr">
        <is>
          <t>WL-023</t>
        </is>
      </c>
      <c r="D3628" s="156" t="inlineStr">
        <is>
          <t>SANY - Loader</t>
        </is>
      </c>
      <c r="E3628" s="156" t="inlineStr">
        <is>
          <t>Loader</t>
        </is>
      </c>
      <c r="F3628" s="156" t="inlineStr"/>
      <c r="G3628" s="182" t="n">
        <v>0</v>
      </c>
      <c r="H3628" s="182" t="n">
        <v>0</v>
      </c>
      <c r="I3628" s="182" t="n">
        <v>0</v>
      </c>
      <c r="J3628" s="182" t="n">
        <v>0</v>
      </c>
      <c r="K3628" s="182" t="n">
        <v>12</v>
      </c>
      <c r="L3628" s="182" t="n">
        <v>12</v>
      </c>
      <c r="M3628" s="182" t="n">
        <v>0</v>
      </c>
      <c r="N3628" s="182" t="n">
        <v>0</v>
      </c>
      <c r="O3628" s="183" t="n">
        <v>0</v>
      </c>
      <c r="P3628" s="183" t="n">
        <v>0</v>
      </c>
      <c r="Q3628" s="184" t="n">
        <v>0</v>
      </c>
      <c r="R3628" s="184" t="n">
        <v>0</v>
      </c>
      <c r="S3628" s="183" t="n">
        <v>0</v>
      </c>
      <c r="T3628" s="183" t="n">
        <v>0</v>
      </c>
      <c r="U3628" s="182" t="n">
        <v>0</v>
      </c>
      <c r="V3628" s="182" t="n">
        <v>0</v>
      </c>
      <c r="W3628" s="182" t="n">
        <v>0</v>
      </c>
      <c r="X3628" s="182" t="n">
        <v>1</v>
      </c>
      <c r="Y3628" s="182" t="n">
        <v>0</v>
      </c>
      <c r="Z3628" s="182" t="n">
        <v>0</v>
      </c>
      <c r="AA3628" s="182" t="n">
        <v>0</v>
      </c>
      <c r="AB3628" s="182" t="n">
        <v>0</v>
      </c>
      <c r="AC3628" s="182" t="n">
        <v>0</v>
      </c>
      <c r="AD3628" s="182" t="n">
        <v>0</v>
      </c>
      <c r="AE3628" s="182" t="n">
        <v>0</v>
      </c>
      <c r="AF3628" s="182" t="n">
        <v>0</v>
      </c>
      <c r="AG3628" s="182" t="n">
        <v>0</v>
      </c>
      <c r="AH3628" s="182" t="n">
        <v>0</v>
      </c>
      <c r="AI3628" s="182" t="n">
        <v>0</v>
      </c>
      <c r="AJ3628" s="182" t="n">
        <v>0</v>
      </c>
      <c r="AK3628" s="182" t="n">
        <v>10.92</v>
      </c>
      <c r="AL3628" s="182" t="n">
        <v>0</v>
      </c>
      <c r="AM3628" s="182" t="n">
        <v>0.08</v>
      </c>
      <c r="AN3628" s="182" t="n">
        <v>0</v>
      </c>
    </row>
    <row r="3629">
      <c r="A3629" s="155" t="n">
        <v>46098</v>
      </c>
      <c r="B3629" s="156" t="inlineStr">
        <is>
          <t>DS</t>
        </is>
      </c>
      <c r="C3629" s="156" t="inlineStr">
        <is>
          <t>WL-021</t>
        </is>
      </c>
      <c r="D3629" s="156" t="inlineStr">
        <is>
          <t>SANY - Loader</t>
        </is>
      </c>
      <c r="E3629" s="156" t="inlineStr">
        <is>
          <t>Loader</t>
        </is>
      </c>
      <c r="F3629" s="156" t="inlineStr"/>
      <c r="G3629" s="182" t="n">
        <v>0</v>
      </c>
      <c r="H3629" s="182" t="n">
        <v>0</v>
      </c>
      <c r="I3629" s="182" t="n">
        <v>12</v>
      </c>
      <c r="J3629" s="182" t="n">
        <v>12</v>
      </c>
      <c r="K3629" s="182" t="n">
        <v>0</v>
      </c>
      <c r="L3629" s="182" t="n">
        <v>12</v>
      </c>
      <c r="M3629" s="182" t="n">
        <v>0</v>
      </c>
      <c r="N3629" s="182" t="n">
        <v>0</v>
      </c>
      <c r="O3629" s="183" t="n">
        <v>0</v>
      </c>
      <c r="P3629" s="183" t="n">
        <v>0</v>
      </c>
      <c r="Q3629" s="184" t="n">
        <v>0</v>
      </c>
      <c r="R3629" s="184" t="n">
        <v>0</v>
      </c>
      <c r="S3629" s="183" t="n">
        <v>0</v>
      </c>
      <c r="T3629" s="183" t="n">
        <v>0</v>
      </c>
      <c r="U3629" s="182" t="n">
        <v>0</v>
      </c>
      <c r="V3629" s="182" t="n">
        <v>0</v>
      </c>
      <c r="W3629" s="182" t="n">
        <v>0</v>
      </c>
      <c r="X3629" s="182" t="n">
        <v>0</v>
      </c>
      <c r="Y3629" s="182" t="n">
        <v>0</v>
      </c>
      <c r="Z3629" s="182" t="n">
        <v>0</v>
      </c>
      <c r="AA3629" s="182" t="n">
        <v>0</v>
      </c>
      <c r="AB3629" s="182" t="n">
        <v>0</v>
      </c>
      <c r="AC3629" s="182" t="n">
        <v>0</v>
      </c>
      <c r="AD3629" s="182" t="n">
        <v>0</v>
      </c>
      <c r="AE3629" s="182" t="n">
        <v>0</v>
      </c>
      <c r="AF3629" s="182" t="n">
        <v>0</v>
      </c>
      <c r="AG3629" s="182" t="n">
        <v>0</v>
      </c>
      <c r="AH3629" s="182" t="n">
        <v>0</v>
      </c>
      <c r="AI3629" s="182" t="n">
        <v>0</v>
      </c>
      <c r="AJ3629" s="182" t="n">
        <v>0</v>
      </c>
      <c r="AK3629" s="182" t="n">
        <v>0</v>
      </c>
      <c r="AL3629" s="182" t="n">
        <v>0</v>
      </c>
      <c r="AM3629" s="182" t="n">
        <v>0</v>
      </c>
      <c r="AN3629" s="182" t="n">
        <v>0</v>
      </c>
    </row>
    <row r="3630">
      <c r="A3630" s="155" t="n">
        <v>46098</v>
      </c>
      <c r="B3630" s="156" t="inlineStr">
        <is>
          <t>DS</t>
        </is>
      </c>
      <c r="C3630" s="156" t="inlineStr">
        <is>
          <t>WL-022</t>
        </is>
      </c>
      <c r="D3630" s="156" t="inlineStr">
        <is>
          <t>SANY - Loader</t>
        </is>
      </c>
      <c r="E3630" s="156" t="inlineStr">
        <is>
          <t>Loader</t>
        </is>
      </c>
      <c r="F3630" s="156" t="inlineStr">
        <is>
          <t>Support Washing Plant</t>
        </is>
      </c>
      <c r="G3630" s="182" t="n">
        <v>10.36</v>
      </c>
      <c r="H3630" s="182" t="n">
        <v>0</v>
      </c>
      <c r="I3630" s="182" t="n">
        <v>0</v>
      </c>
      <c r="J3630" s="182" t="n">
        <v>0</v>
      </c>
      <c r="K3630" s="182" t="n">
        <v>1.64</v>
      </c>
      <c r="L3630" s="182" t="n">
        <v>12</v>
      </c>
      <c r="M3630" s="182" t="n">
        <v>0</v>
      </c>
      <c r="N3630" s="182" t="n">
        <v>0</v>
      </c>
      <c r="O3630" s="183" t="n">
        <v>0</v>
      </c>
      <c r="P3630" s="183" t="n">
        <v>0</v>
      </c>
      <c r="Q3630" s="184" t="n">
        <v>0</v>
      </c>
      <c r="R3630" s="184" t="n">
        <v>0</v>
      </c>
      <c r="S3630" s="183" t="n">
        <v>0</v>
      </c>
      <c r="T3630" s="183" t="n">
        <v>0</v>
      </c>
      <c r="U3630" s="182" t="n">
        <v>0</v>
      </c>
      <c r="V3630" s="182" t="n">
        <v>0</v>
      </c>
      <c r="W3630" s="182" t="n">
        <v>0</v>
      </c>
      <c r="X3630" s="182" t="n">
        <v>1.26</v>
      </c>
      <c r="Y3630" s="182" t="n">
        <v>0</v>
      </c>
      <c r="Z3630" s="182" t="n">
        <v>0</v>
      </c>
      <c r="AA3630" s="182" t="n">
        <v>0</v>
      </c>
      <c r="AB3630" s="182" t="n">
        <v>0</v>
      </c>
      <c r="AC3630" s="182" t="n">
        <v>0</v>
      </c>
      <c r="AD3630" s="182" t="n">
        <v>0</v>
      </c>
      <c r="AE3630" s="182" t="n">
        <v>0</v>
      </c>
      <c r="AF3630" s="182" t="n">
        <v>0</v>
      </c>
      <c r="AG3630" s="182" t="n">
        <v>0</v>
      </c>
      <c r="AH3630" s="182" t="n">
        <v>0.28</v>
      </c>
      <c r="AI3630" s="182" t="n">
        <v>0</v>
      </c>
      <c r="AJ3630" s="182" t="n">
        <v>0</v>
      </c>
      <c r="AK3630" s="182" t="n">
        <v>0</v>
      </c>
      <c r="AL3630" s="182" t="n">
        <v>0</v>
      </c>
      <c r="AM3630" s="182" t="n">
        <v>0.1</v>
      </c>
      <c r="AN3630" s="182" t="n">
        <v>0</v>
      </c>
    </row>
    <row r="3631">
      <c r="A3631" s="155" t="n">
        <v>46098</v>
      </c>
      <c r="B3631" s="156" t="inlineStr">
        <is>
          <t>DS</t>
        </is>
      </c>
      <c r="C3631" s="156" t="inlineStr">
        <is>
          <t>WL-024</t>
        </is>
      </c>
      <c r="D3631" s="156" t="inlineStr">
        <is>
          <t>SANY - Loader</t>
        </is>
      </c>
      <c r="E3631" s="156" t="inlineStr">
        <is>
          <t>Loader</t>
        </is>
      </c>
      <c r="F3631" s="156" t="inlineStr">
        <is>
          <t>Support Washing Plant</t>
        </is>
      </c>
      <c r="G3631" s="182" t="n">
        <v>10.9</v>
      </c>
      <c r="H3631" s="182" t="n">
        <v>0</v>
      </c>
      <c r="I3631" s="182" t="n">
        <v>0</v>
      </c>
      <c r="J3631" s="182" t="n">
        <v>0</v>
      </c>
      <c r="K3631" s="182" t="n">
        <v>1.1</v>
      </c>
      <c r="L3631" s="182" t="n">
        <v>12</v>
      </c>
      <c r="M3631" s="182" t="n">
        <v>0</v>
      </c>
      <c r="N3631" s="182" t="n">
        <v>0</v>
      </c>
      <c r="O3631" s="183" t="n">
        <v>0</v>
      </c>
      <c r="P3631" s="183" t="n">
        <v>0</v>
      </c>
      <c r="Q3631" s="184" t="n">
        <v>0</v>
      </c>
      <c r="R3631" s="184" t="n">
        <v>0</v>
      </c>
      <c r="S3631" s="183" t="n">
        <v>0</v>
      </c>
      <c r="T3631" s="183" t="n">
        <v>0</v>
      </c>
      <c r="U3631" s="182" t="n">
        <v>0</v>
      </c>
      <c r="V3631" s="182" t="n">
        <v>0</v>
      </c>
      <c r="W3631" s="182" t="n">
        <v>0</v>
      </c>
      <c r="X3631" s="182" t="n">
        <v>0.92</v>
      </c>
      <c r="Y3631" s="182" t="n">
        <v>0</v>
      </c>
      <c r="Z3631" s="182" t="n">
        <v>0</v>
      </c>
      <c r="AA3631" s="182" t="n">
        <v>0</v>
      </c>
      <c r="AB3631" s="182" t="n">
        <v>0</v>
      </c>
      <c r="AC3631" s="182" t="n">
        <v>0</v>
      </c>
      <c r="AD3631" s="182" t="n">
        <v>0</v>
      </c>
      <c r="AE3631" s="182" t="n">
        <v>0</v>
      </c>
      <c r="AF3631" s="182" t="n">
        <v>0</v>
      </c>
      <c r="AG3631" s="182" t="n">
        <v>0</v>
      </c>
      <c r="AH3631" s="182" t="n">
        <v>0.11</v>
      </c>
      <c r="AI3631" s="182" t="n">
        <v>0</v>
      </c>
      <c r="AJ3631" s="182" t="n">
        <v>0</v>
      </c>
      <c r="AK3631" s="182" t="n">
        <v>0</v>
      </c>
      <c r="AL3631" s="182" t="n">
        <v>0</v>
      </c>
      <c r="AM3631" s="182" t="n">
        <v>0.07000000000000001</v>
      </c>
      <c r="AN3631" s="182" t="n">
        <v>0</v>
      </c>
    </row>
    <row r="3632">
      <c r="A3632" s="155" t="n">
        <v>46098</v>
      </c>
      <c r="B3632" s="156" t="inlineStr">
        <is>
          <t>NS</t>
        </is>
      </c>
      <c r="C3632" s="156" t="inlineStr">
        <is>
          <t>DZ-034</t>
        </is>
      </c>
      <c r="D3632" s="156" t="inlineStr">
        <is>
          <t>D 68ESS-12EO</t>
        </is>
      </c>
      <c r="E3632" s="156" t="inlineStr">
        <is>
          <t>Bulldozer</t>
        </is>
      </c>
      <c r="F3632" s="156" t="inlineStr"/>
      <c r="G3632" s="182" t="n">
        <v>0</v>
      </c>
      <c r="H3632" s="182" t="n">
        <v>0</v>
      </c>
      <c r="I3632" s="182" t="n">
        <v>12</v>
      </c>
      <c r="J3632" s="182" t="n">
        <v>12</v>
      </c>
      <c r="K3632" s="182" t="n">
        <v>0</v>
      </c>
      <c r="L3632" s="182" t="n">
        <v>12</v>
      </c>
      <c r="M3632" s="182" t="n">
        <v>0</v>
      </c>
      <c r="N3632" s="182" t="n">
        <v>0</v>
      </c>
      <c r="O3632" s="183" t="n">
        <v>0</v>
      </c>
      <c r="P3632" s="183" t="n">
        <v>0</v>
      </c>
      <c r="Q3632" s="184" t="n">
        <v>0</v>
      </c>
      <c r="R3632" s="184" t="n">
        <v>0</v>
      </c>
      <c r="S3632" s="183" t="n">
        <v>0</v>
      </c>
      <c r="T3632" s="183" t="n">
        <v>0</v>
      </c>
      <c r="U3632" s="182" t="n">
        <v>0</v>
      </c>
      <c r="V3632" s="182" t="n">
        <v>0</v>
      </c>
      <c r="W3632" s="182" t="n">
        <v>0</v>
      </c>
      <c r="X3632" s="182" t="n">
        <v>0</v>
      </c>
      <c r="Y3632" s="182" t="n">
        <v>0</v>
      </c>
      <c r="Z3632" s="182" t="n">
        <v>0</v>
      </c>
      <c r="AA3632" s="182" t="n">
        <v>0</v>
      </c>
      <c r="AB3632" s="182" t="n">
        <v>0</v>
      </c>
      <c r="AC3632" s="182" t="n">
        <v>0</v>
      </c>
      <c r="AD3632" s="182" t="n">
        <v>0</v>
      </c>
      <c r="AE3632" s="182" t="n">
        <v>0</v>
      </c>
      <c r="AF3632" s="182" t="n">
        <v>0</v>
      </c>
      <c r="AG3632" s="182" t="n">
        <v>0</v>
      </c>
      <c r="AH3632" s="182" t="n">
        <v>0</v>
      </c>
      <c r="AI3632" s="182" t="n">
        <v>0</v>
      </c>
      <c r="AJ3632" s="182" t="n">
        <v>0</v>
      </c>
      <c r="AK3632" s="182" t="n">
        <v>0</v>
      </c>
      <c r="AL3632" s="182" t="n">
        <v>0</v>
      </c>
      <c r="AM3632" s="182" t="n">
        <v>0</v>
      </c>
      <c r="AN3632" s="182" t="n">
        <v>0</v>
      </c>
    </row>
    <row r="3633">
      <c r="A3633" s="155" t="n">
        <v>46098</v>
      </c>
      <c r="B3633" s="156" t="inlineStr">
        <is>
          <t>NS</t>
        </is>
      </c>
      <c r="C3633" s="156" t="inlineStr">
        <is>
          <t>DZ-033</t>
        </is>
      </c>
      <c r="D3633" s="156" t="inlineStr">
        <is>
          <t>D 375A-6R</t>
        </is>
      </c>
      <c r="E3633" s="156" t="inlineStr">
        <is>
          <t>Bulldozer</t>
        </is>
      </c>
      <c r="F3633" s="156" t="inlineStr"/>
      <c r="G3633" s="182" t="n">
        <v>0</v>
      </c>
      <c r="H3633" s="182" t="n">
        <v>0</v>
      </c>
      <c r="I3633" s="182" t="n">
        <v>4.2</v>
      </c>
      <c r="J3633" s="182" t="n">
        <v>4.2</v>
      </c>
      <c r="K3633" s="182" t="n">
        <v>7.8</v>
      </c>
      <c r="L3633" s="182" t="n">
        <v>12</v>
      </c>
      <c r="M3633" s="182" t="n">
        <v>0</v>
      </c>
      <c r="N3633" s="182" t="n">
        <v>0</v>
      </c>
      <c r="O3633" s="183" t="n">
        <v>0</v>
      </c>
      <c r="P3633" s="183" t="n">
        <v>0</v>
      </c>
      <c r="Q3633" s="184" t="n">
        <v>0</v>
      </c>
      <c r="R3633" s="184" t="n">
        <v>0</v>
      </c>
      <c r="S3633" s="183" t="n">
        <v>0</v>
      </c>
      <c r="T3633" s="183" t="n">
        <v>0</v>
      </c>
      <c r="U3633" s="182" t="n">
        <v>1.83</v>
      </c>
      <c r="V3633" s="182" t="n">
        <v>0</v>
      </c>
      <c r="W3633" s="182" t="n">
        <v>0</v>
      </c>
      <c r="X3633" s="182" t="n">
        <v>1</v>
      </c>
      <c r="Y3633" s="182" t="n">
        <v>0</v>
      </c>
      <c r="Z3633" s="182" t="n">
        <v>0</v>
      </c>
      <c r="AA3633" s="182" t="n">
        <v>0</v>
      </c>
      <c r="AB3633" s="182" t="n">
        <v>0</v>
      </c>
      <c r="AC3633" s="182" t="n">
        <v>0</v>
      </c>
      <c r="AD3633" s="182" t="n">
        <v>0</v>
      </c>
      <c r="AE3633" s="182" t="n">
        <v>0</v>
      </c>
      <c r="AF3633" s="182" t="n">
        <v>0</v>
      </c>
      <c r="AG3633" s="182" t="n">
        <v>0</v>
      </c>
      <c r="AH3633" s="182" t="n">
        <v>0</v>
      </c>
      <c r="AI3633" s="182" t="n">
        <v>0</v>
      </c>
      <c r="AJ3633" s="182" t="n">
        <v>0</v>
      </c>
      <c r="AK3633" s="182" t="n">
        <v>4.89</v>
      </c>
      <c r="AL3633" s="182" t="n">
        <v>0</v>
      </c>
      <c r="AM3633" s="182" t="n">
        <v>0.08</v>
      </c>
      <c r="AN3633" s="182" t="n">
        <v>0</v>
      </c>
    </row>
    <row r="3634">
      <c r="A3634" s="155" t="n">
        <v>46098</v>
      </c>
      <c r="B3634" s="156" t="inlineStr">
        <is>
          <t>NS</t>
        </is>
      </c>
      <c r="C3634" s="156" t="inlineStr">
        <is>
          <t>DZ-038</t>
        </is>
      </c>
      <c r="D3634" s="156" t="inlineStr">
        <is>
          <t>D 85 ESS-2</t>
        </is>
      </c>
      <c r="E3634" s="156" t="inlineStr">
        <is>
          <t>Bulldozer</t>
        </is>
      </c>
      <c r="F3634" s="156" t="inlineStr">
        <is>
          <t>Support Front Loading</t>
        </is>
      </c>
      <c r="G3634" s="182" t="n">
        <v>7.95</v>
      </c>
      <c r="H3634" s="182" t="n">
        <v>0</v>
      </c>
      <c r="I3634" s="182" t="n">
        <v>0</v>
      </c>
      <c r="J3634" s="182" t="n">
        <v>0</v>
      </c>
      <c r="K3634" s="182" t="n">
        <v>4.05</v>
      </c>
      <c r="L3634" s="182" t="n">
        <v>12</v>
      </c>
      <c r="M3634" s="182" t="n">
        <v>0</v>
      </c>
      <c r="N3634" s="182" t="n">
        <v>0</v>
      </c>
      <c r="O3634" s="183" t="n">
        <v>0</v>
      </c>
      <c r="P3634" s="183" t="n">
        <v>0</v>
      </c>
      <c r="Q3634" s="184" t="n">
        <v>0</v>
      </c>
      <c r="R3634" s="184" t="n">
        <v>0</v>
      </c>
      <c r="S3634" s="183" t="n">
        <v>0</v>
      </c>
      <c r="T3634" s="183" t="n">
        <v>0</v>
      </c>
      <c r="U3634" s="182" t="n">
        <v>1.9</v>
      </c>
      <c r="V3634" s="182" t="n">
        <v>1.03</v>
      </c>
      <c r="W3634" s="182" t="n">
        <v>0</v>
      </c>
      <c r="X3634" s="182" t="n">
        <v>1.04</v>
      </c>
      <c r="Y3634" s="182" t="n">
        <v>0</v>
      </c>
      <c r="Z3634" s="182" t="n">
        <v>0</v>
      </c>
      <c r="AA3634" s="182" t="n">
        <v>0</v>
      </c>
      <c r="AB3634" s="182" t="n">
        <v>0</v>
      </c>
      <c r="AC3634" s="182" t="n">
        <v>0</v>
      </c>
      <c r="AD3634" s="182" t="n">
        <v>0</v>
      </c>
      <c r="AE3634" s="182" t="n">
        <v>0</v>
      </c>
      <c r="AF3634" s="182" t="n">
        <v>0</v>
      </c>
      <c r="AG3634" s="182" t="n">
        <v>0</v>
      </c>
      <c r="AH3634" s="182" t="n">
        <v>0</v>
      </c>
      <c r="AI3634" s="182" t="n">
        <v>0</v>
      </c>
      <c r="AJ3634" s="182" t="n">
        <v>0</v>
      </c>
      <c r="AK3634" s="182" t="n">
        <v>0</v>
      </c>
      <c r="AL3634" s="182" t="n">
        <v>0</v>
      </c>
      <c r="AM3634" s="182" t="n">
        <v>0.08</v>
      </c>
      <c r="AN3634" s="182" t="n">
        <v>0</v>
      </c>
    </row>
    <row r="3635">
      <c r="A3635" s="155" t="n">
        <v>46098</v>
      </c>
      <c r="B3635" s="156" t="inlineStr">
        <is>
          <t>NS</t>
        </is>
      </c>
      <c r="C3635" s="156" t="inlineStr">
        <is>
          <t>DZ-039</t>
        </is>
      </c>
      <c r="D3635" s="156" t="inlineStr">
        <is>
          <t>D 85 ESS-2</t>
        </is>
      </c>
      <c r="E3635" s="156" t="inlineStr">
        <is>
          <t>Bulldozer</t>
        </is>
      </c>
      <c r="F3635" s="156" t="inlineStr">
        <is>
          <t>Support Disposal</t>
        </is>
      </c>
      <c r="G3635" s="182" t="n">
        <v>8.35</v>
      </c>
      <c r="H3635" s="182" t="n">
        <v>0</v>
      </c>
      <c r="I3635" s="182" t="n">
        <v>0</v>
      </c>
      <c r="J3635" s="182" t="n">
        <v>0</v>
      </c>
      <c r="K3635" s="182" t="n">
        <v>3.65</v>
      </c>
      <c r="L3635" s="182" t="n">
        <v>12</v>
      </c>
      <c r="M3635" s="182" t="n">
        <v>0</v>
      </c>
      <c r="N3635" s="182" t="n">
        <v>0</v>
      </c>
      <c r="O3635" s="183" t="n">
        <v>0</v>
      </c>
      <c r="P3635" s="183" t="n">
        <v>0</v>
      </c>
      <c r="Q3635" s="184" t="n">
        <v>0</v>
      </c>
      <c r="R3635" s="184" t="n">
        <v>0</v>
      </c>
      <c r="S3635" s="183" t="n">
        <v>0</v>
      </c>
      <c r="T3635" s="183" t="n">
        <v>0</v>
      </c>
      <c r="U3635" s="182" t="n">
        <v>1.71</v>
      </c>
      <c r="V3635" s="182" t="n">
        <v>0.93</v>
      </c>
      <c r="W3635" s="182" t="n">
        <v>0</v>
      </c>
      <c r="X3635" s="182" t="n">
        <v>0.9399999999999999</v>
      </c>
      <c r="Y3635" s="182" t="n">
        <v>0</v>
      </c>
      <c r="Z3635" s="182" t="n">
        <v>0</v>
      </c>
      <c r="AA3635" s="182" t="n">
        <v>0</v>
      </c>
      <c r="AB3635" s="182" t="n">
        <v>0</v>
      </c>
      <c r="AC3635" s="182" t="n">
        <v>0</v>
      </c>
      <c r="AD3635" s="182" t="n">
        <v>0</v>
      </c>
      <c r="AE3635" s="182" t="n">
        <v>0</v>
      </c>
      <c r="AF3635" s="182" t="n">
        <v>0</v>
      </c>
      <c r="AG3635" s="182" t="n">
        <v>0</v>
      </c>
      <c r="AH3635" s="182" t="n">
        <v>0</v>
      </c>
      <c r="AI3635" s="182" t="n">
        <v>0</v>
      </c>
      <c r="AJ3635" s="182" t="n">
        <v>0</v>
      </c>
      <c r="AK3635" s="182" t="n">
        <v>0</v>
      </c>
      <c r="AL3635" s="182" t="n">
        <v>0</v>
      </c>
      <c r="AM3635" s="182" t="n">
        <v>0.07000000000000001</v>
      </c>
      <c r="AN3635" s="182" t="n">
        <v>0</v>
      </c>
    </row>
    <row r="3636">
      <c r="A3636" s="155" t="n">
        <v>46098</v>
      </c>
      <c r="B3636" s="156" t="inlineStr">
        <is>
          <t>NS</t>
        </is>
      </c>
      <c r="C3636" s="156" t="inlineStr">
        <is>
          <t>DZ-032</t>
        </is>
      </c>
      <c r="D3636" s="156" t="inlineStr">
        <is>
          <t>CAT</t>
        </is>
      </c>
      <c r="E3636" s="156" t="inlineStr">
        <is>
          <t>Bulldozer</t>
        </is>
      </c>
      <c r="F3636" s="156" t="inlineStr">
        <is>
          <t>Support Disposal</t>
        </is>
      </c>
      <c r="G3636" s="182" t="n">
        <v>9</v>
      </c>
      <c r="H3636" s="182" t="n">
        <v>0</v>
      </c>
      <c r="I3636" s="182" t="n">
        <v>0</v>
      </c>
      <c r="J3636" s="182" t="n">
        <v>0</v>
      </c>
      <c r="K3636" s="182" t="n">
        <v>3</v>
      </c>
      <c r="L3636" s="182" t="n">
        <v>12</v>
      </c>
      <c r="M3636" s="182" t="n">
        <v>0</v>
      </c>
      <c r="N3636" s="182" t="n">
        <v>0</v>
      </c>
      <c r="O3636" s="183" t="n">
        <v>0</v>
      </c>
      <c r="P3636" s="183" t="n">
        <v>0</v>
      </c>
      <c r="Q3636" s="184" t="n">
        <v>0</v>
      </c>
      <c r="R3636" s="184" t="n">
        <v>0</v>
      </c>
      <c r="S3636" s="183" t="n">
        <v>0</v>
      </c>
      <c r="T3636" s="183" t="n">
        <v>0</v>
      </c>
      <c r="U3636" s="182" t="n">
        <v>1.84</v>
      </c>
      <c r="V3636" s="182" t="n">
        <v>0</v>
      </c>
      <c r="W3636" s="182" t="n">
        <v>0</v>
      </c>
      <c r="X3636" s="182" t="n">
        <v>1.07</v>
      </c>
      <c r="Y3636" s="182" t="n">
        <v>0</v>
      </c>
      <c r="Z3636" s="182" t="n">
        <v>0</v>
      </c>
      <c r="AA3636" s="182" t="n">
        <v>0</v>
      </c>
      <c r="AB3636" s="182" t="n">
        <v>0</v>
      </c>
      <c r="AC3636" s="182" t="n">
        <v>0</v>
      </c>
      <c r="AD3636" s="182" t="n">
        <v>0</v>
      </c>
      <c r="AE3636" s="182" t="n">
        <v>0</v>
      </c>
      <c r="AF3636" s="182" t="n">
        <v>0</v>
      </c>
      <c r="AG3636" s="182" t="n">
        <v>0</v>
      </c>
      <c r="AH3636" s="182" t="n">
        <v>0</v>
      </c>
      <c r="AI3636" s="182" t="n">
        <v>0</v>
      </c>
      <c r="AJ3636" s="182" t="n">
        <v>0</v>
      </c>
      <c r="AK3636" s="182" t="n">
        <v>0</v>
      </c>
      <c r="AL3636" s="182" t="n">
        <v>0</v>
      </c>
      <c r="AM3636" s="182" t="n">
        <v>0.09</v>
      </c>
      <c r="AN3636" s="182" t="n">
        <v>0</v>
      </c>
    </row>
    <row r="3637">
      <c r="A3637" s="155" t="n">
        <v>46098</v>
      </c>
      <c r="B3637" s="156" t="inlineStr">
        <is>
          <t>NS</t>
        </is>
      </c>
      <c r="C3637" s="156" t="inlineStr">
        <is>
          <t>DZ-031</t>
        </is>
      </c>
      <c r="D3637" s="156" t="inlineStr">
        <is>
          <t>CAT</t>
        </is>
      </c>
      <c r="E3637" s="156" t="inlineStr">
        <is>
          <t>Bulldozer</t>
        </is>
      </c>
      <c r="F3637" s="156" t="inlineStr"/>
      <c r="G3637" s="182" t="n">
        <v>0</v>
      </c>
      <c r="H3637" s="182" t="n">
        <v>0</v>
      </c>
      <c r="I3637" s="182" t="n">
        <v>12</v>
      </c>
      <c r="J3637" s="182" t="n">
        <v>12</v>
      </c>
      <c r="K3637" s="182" t="n">
        <v>0</v>
      </c>
      <c r="L3637" s="182" t="n">
        <v>12</v>
      </c>
      <c r="M3637" s="182" t="n">
        <v>0</v>
      </c>
      <c r="N3637" s="182" t="n">
        <v>0</v>
      </c>
      <c r="O3637" s="183" t="n">
        <v>0</v>
      </c>
      <c r="P3637" s="183" t="n">
        <v>0</v>
      </c>
      <c r="Q3637" s="184" t="n">
        <v>0</v>
      </c>
      <c r="R3637" s="184" t="n">
        <v>0</v>
      </c>
      <c r="S3637" s="183" t="n">
        <v>0</v>
      </c>
      <c r="T3637" s="183" t="n">
        <v>0</v>
      </c>
      <c r="U3637" s="182" t="n">
        <v>0</v>
      </c>
      <c r="V3637" s="182" t="n">
        <v>0</v>
      </c>
      <c r="W3637" s="182" t="n">
        <v>0</v>
      </c>
      <c r="X3637" s="182" t="n">
        <v>0</v>
      </c>
      <c r="Y3637" s="182" t="n">
        <v>0</v>
      </c>
      <c r="Z3637" s="182" t="n">
        <v>0</v>
      </c>
      <c r="AA3637" s="182" t="n">
        <v>0</v>
      </c>
      <c r="AB3637" s="182" t="n">
        <v>0</v>
      </c>
      <c r="AC3637" s="182" t="n">
        <v>0</v>
      </c>
      <c r="AD3637" s="182" t="n">
        <v>0</v>
      </c>
      <c r="AE3637" s="182" t="n">
        <v>0</v>
      </c>
      <c r="AF3637" s="182" t="n">
        <v>0</v>
      </c>
      <c r="AG3637" s="182" t="n">
        <v>0</v>
      </c>
      <c r="AH3637" s="182" t="n">
        <v>0</v>
      </c>
      <c r="AI3637" s="182" t="n">
        <v>0</v>
      </c>
      <c r="AJ3637" s="182" t="n">
        <v>0</v>
      </c>
      <c r="AK3637" s="182" t="n">
        <v>0</v>
      </c>
      <c r="AL3637" s="182" t="n">
        <v>0</v>
      </c>
      <c r="AM3637" s="182" t="n">
        <v>0</v>
      </c>
      <c r="AN3637" s="182" t="n">
        <v>0</v>
      </c>
    </row>
    <row r="3638">
      <c r="A3638" s="155" t="n">
        <v>46098</v>
      </c>
      <c r="B3638" s="156" t="inlineStr">
        <is>
          <t>NS</t>
        </is>
      </c>
      <c r="C3638" s="156" t="inlineStr">
        <is>
          <t>DZ-037</t>
        </is>
      </c>
      <c r="D3638" s="156" t="inlineStr">
        <is>
          <t>D 85 ESS-2</t>
        </is>
      </c>
      <c r="E3638" s="156" t="inlineStr">
        <is>
          <t>Bulldozer</t>
        </is>
      </c>
      <c r="F3638" s="156" t="inlineStr"/>
      <c r="G3638" s="182" t="n">
        <v>0</v>
      </c>
      <c r="H3638" s="182" t="n">
        <v>0</v>
      </c>
      <c r="I3638" s="182" t="n">
        <v>12</v>
      </c>
      <c r="J3638" s="182" t="n">
        <v>12</v>
      </c>
      <c r="K3638" s="182" t="n">
        <v>0</v>
      </c>
      <c r="L3638" s="182" t="n">
        <v>12</v>
      </c>
      <c r="M3638" s="182" t="n">
        <v>0</v>
      </c>
      <c r="N3638" s="182" t="n">
        <v>0</v>
      </c>
      <c r="O3638" s="183" t="n">
        <v>0</v>
      </c>
      <c r="P3638" s="183" t="n">
        <v>0</v>
      </c>
      <c r="Q3638" s="184" t="n">
        <v>0</v>
      </c>
      <c r="R3638" s="184" t="n">
        <v>0</v>
      </c>
      <c r="S3638" s="183" t="n">
        <v>0</v>
      </c>
      <c r="T3638" s="183" t="n">
        <v>0</v>
      </c>
      <c r="U3638" s="182" t="n">
        <v>0</v>
      </c>
      <c r="V3638" s="182" t="n">
        <v>0</v>
      </c>
      <c r="W3638" s="182" t="n">
        <v>0</v>
      </c>
      <c r="X3638" s="182" t="n">
        <v>0</v>
      </c>
      <c r="Y3638" s="182" t="n">
        <v>0</v>
      </c>
      <c r="Z3638" s="182" t="n">
        <v>0</v>
      </c>
      <c r="AA3638" s="182" t="n">
        <v>0</v>
      </c>
      <c r="AB3638" s="182" t="n">
        <v>0</v>
      </c>
      <c r="AC3638" s="182" t="n">
        <v>0</v>
      </c>
      <c r="AD3638" s="182" t="n">
        <v>0</v>
      </c>
      <c r="AE3638" s="182" t="n">
        <v>0</v>
      </c>
      <c r="AF3638" s="182" t="n">
        <v>0</v>
      </c>
      <c r="AG3638" s="182" t="n">
        <v>0</v>
      </c>
      <c r="AH3638" s="182" t="n">
        <v>0</v>
      </c>
      <c r="AI3638" s="182" t="n">
        <v>0</v>
      </c>
      <c r="AJ3638" s="182" t="n">
        <v>0</v>
      </c>
      <c r="AK3638" s="182" t="n">
        <v>0</v>
      </c>
      <c r="AL3638" s="182" t="n">
        <v>0</v>
      </c>
      <c r="AM3638" s="182" t="n">
        <v>0</v>
      </c>
      <c r="AN3638" s="182" t="n">
        <v>0</v>
      </c>
    </row>
    <row r="3639">
      <c r="A3639" s="155" t="n">
        <v>46098</v>
      </c>
      <c r="B3639" s="156" t="inlineStr">
        <is>
          <t>NS</t>
        </is>
      </c>
      <c r="C3639" s="156" t="inlineStr">
        <is>
          <t>DZ-036</t>
        </is>
      </c>
      <c r="D3639" s="156" t="inlineStr">
        <is>
          <t>D 85 ESS-2</t>
        </is>
      </c>
      <c r="E3639" s="156" t="inlineStr">
        <is>
          <t>Bulldozer</t>
        </is>
      </c>
      <c r="F3639" s="156" t="inlineStr"/>
      <c r="G3639" s="182" t="n">
        <v>0</v>
      </c>
      <c r="H3639" s="182" t="n">
        <v>0</v>
      </c>
      <c r="I3639" s="182" t="n">
        <v>0</v>
      </c>
      <c r="J3639" s="182" t="n">
        <v>0</v>
      </c>
      <c r="K3639" s="182" t="n">
        <v>12</v>
      </c>
      <c r="L3639" s="182" t="n">
        <v>12</v>
      </c>
      <c r="M3639" s="182" t="n">
        <v>0</v>
      </c>
      <c r="N3639" s="182" t="n">
        <v>0</v>
      </c>
      <c r="O3639" s="183" t="n">
        <v>0</v>
      </c>
      <c r="P3639" s="183" t="n">
        <v>0</v>
      </c>
      <c r="Q3639" s="184" t="n">
        <v>0</v>
      </c>
      <c r="R3639" s="184" t="n">
        <v>0</v>
      </c>
      <c r="S3639" s="183" t="n">
        <v>0</v>
      </c>
      <c r="T3639" s="183" t="n">
        <v>0</v>
      </c>
      <c r="U3639" s="182" t="n">
        <v>0</v>
      </c>
      <c r="V3639" s="182" t="n">
        <v>0</v>
      </c>
      <c r="W3639" s="182" t="n">
        <v>0</v>
      </c>
      <c r="X3639" s="182" t="n">
        <v>1</v>
      </c>
      <c r="Y3639" s="182" t="n">
        <v>0</v>
      </c>
      <c r="Z3639" s="182" t="n">
        <v>0</v>
      </c>
      <c r="AA3639" s="182" t="n">
        <v>0</v>
      </c>
      <c r="AB3639" s="182" t="n">
        <v>0</v>
      </c>
      <c r="AC3639" s="182" t="n">
        <v>0</v>
      </c>
      <c r="AD3639" s="182" t="n">
        <v>0</v>
      </c>
      <c r="AE3639" s="182" t="n">
        <v>0</v>
      </c>
      <c r="AF3639" s="182" t="n">
        <v>0</v>
      </c>
      <c r="AG3639" s="182" t="n">
        <v>0</v>
      </c>
      <c r="AH3639" s="182" t="n">
        <v>0</v>
      </c>
      <c r="AI3639" s="182" t="n">
        <v>0</v>
      </c>
      <c r="AJ3639" s="182" t="n">
        <v>0</v>
      </c>
      <c r="AK3639" s="182" t="n">
        <v>10.92</v>
      </c>
      <c r="AL3639" s="182" t="n">
        <v>0</v>
      </c>
      <c r="AM3639" s="182" t="n">
        <v>0.08</v>
      </c>
      <c r="AN3639" s="182" t="n">
        <v>0</v>
      </c>
    </row>
    <row r="3640">
      <c r="A3640" s="155" t="n">
        <v>46098</v>
      </c>
      <c r="B3640" s="156" t="inlineStr">
        <is>
          <t>NS</t>
        </is>
      </c>
      <c r="C3640" s="156" t="inlineStr">
        <is>
          <t>DZ-035</t>
        </is>
      </c>
      <c r="D3640" s="156" t="inlineStr">
        <is>
          <t>D 85 ESS-2</t>
        </is>
      </c>
      <c r="E3640" s="156" t="inlineStr">
        <is>
          <t>Bulldozer</t>
        </is>
      </c>
      <c r="F3640" s="156" t="inlineStr">
        <is>
          <t>Support Front Loading</t>
        </is>
      </c>
      <c r="G3640" s="182" t="n">
        <v>8.44</v>
      </c>
      <c r="H3640" s="182" t="n">
        <v>0</v>
      </c>
      <c r="I3640" s="182" t="n">
        <v>0.75</v>
      </c>
      <c r="J3640" s="182" t="n">
        <v>0.75</v>
      </c>
      <c r="K3640" s="182" t="n">
        <v>2.81</v>
      </c>
      <c r="L3640" s="182" t="n">
        <v>12</v>
      </c>
      <c r="M3640" s="182" t="n">
        <v>0</v>
      </c>
      <c r="N3640" s="182" t="n">
        <v>0</v>
      </c>
      <c r="O3640" s="183" t="n">
        <v>0</v>
      </c>
      <c r="P3640" s="183" t="n">
        <v>0</v>
      </c>
      <c r="Q3640" s="184" t="n">
        <v>0</v>
      </c>
      <c r="R3640" s="184" t="n">
        <v>0</v>
      </c>
      <c r="S3640" s="183" t="n">
        <v>0</v>
      </c>
      <c r="T3640" s="183" t="n">
        <v>0</v>
      </c>
      <c r="U3640" s="182" t="n">
        <v>1.78</v>
      </c>
      <c r="V3640" s="182" t="n">
        <v>0</v>
      </c>
      <c r="W3640" s="182" t="n">
        <v>0</v>
      </c>
      <c r="X3640" s="182" t="n">
        <v>0.95</v>
      </c>
      <c r="Y3640" s="182" t="n">
        <v>0</v>
      </c>
      <c r="Z3640" s="182" t="n">
        <v>0</v>
      </c>
      <c r="AA3640" s="182" t="n">
        <v>0</v>
      </c>
      <c r="AB3640" s="182" t="n">
        <v>0</v>
      </c>
      <c r="AC3640" s="182" t="n">
        <v>0</v>
      </c>
      <c r="AD3640" s="182" t="n">
        <v>0</v>
      </c>
      <c r="AE3640" s="182" t="n">
        <v>0</v>
      </c>
      <c r="AF3640" s="182" t="n">
        <v>0</v>
      </c>
      <c r="AG3640" s="182" t="n">
        <v>0</v>
      </c>
      <c r="AH3640" s="182" t="n">
        <v>0</v>
      </c>
      <c r="AI3640" s="182" t="n">
        <v>0</v>
      </c>
      <c r="AJ3640" s="182" t="n">
        <v>0</v>
      </c>
      <c r="AK3640" s="182" t="n">
        <v>0</v>
      </c>
      <c r="AL3640" s="182" t="n">
        <v>0</v>
      </c>
      <c r="AM3640" s="182" t="n">
        <v>0.08</v>
      </c>
      <c r="AN3640" s="182" t="n">
        <v>0</v>
      </c>
    </row>
    <row r="3641">
      <c r="A3641" s="155" t="n">
        <v>46098</v>
      </c>
      <c r="B3641" s="156" t="inlineStr">
        <is>
          <t>NS</t>
        </is>
      </c>
      <c r="C3641" s="156" t="inlineStr">
        <is>
          <t>CP-042</t>
        </is>
      </c>
      <c r="D3641" s="156" t="inlineStr">
        <is>
          <t>SANY - Compactor</t>
        </is>
      </c>
      <c r="E3641" s="156" t="inlineStr">
        <is>
          <t>Compactor</t>
        </is>
      </c>
      <c r="F3641" s="156" t="inlineStr"/>
      <c r="G3641" s="182" t="n">
        <v>0</v>
      </c>
      <c r="H3641" s="182" t="n">
        <v>0</v>
      </c>
      <c r="I3641" s="182" t="n">
        <v>0</v>
      </c>
      <c r="J3641" s="182" t="n">
        <v>0</v>
      </c>
      <c r="K3641" s="182" t="n">
        <v>12</v>
      </c>
      <c r="L3641" s="182" t="n">
        <v>12</v>
      </c>
      <c r="M3641" s="182" t="n">
        <v>0</v>
      </c>
      <c r="N3641" s="182" t="n">
        <v>0</v>
      </c>
      <c r="O3641" s="183" t="n">
        <v>0</v>
      </c>
      <c r="P3641" s="183" t="n">
        <v>0</v>
      </c>
      <c r="Q3641" s="184" t="n">
        <v>0</v>
      </c>
      <c r="R3641" s="184" t="n">
        <v>0</v>
      </c>
      <c r="S3641" s="183" t="n">
        <v>0</v>
      </c>
      <c r="T3641" s="183" t="n">
        <v>0</v>
      </c>
      <c r="U3641" s="182" t="n">
        <v>0</v>
      </c>
      <c r="V3641" s="182" t="n">
        <v>0</v>
      </c>
      <c r="W3641" s="182" t="n">
        <v>0</v>
      </c>
      <c r="X3641" s="182" t="n">
        <v>1</v>
      </c>
      <c r="Y3641" s="182" t="n">
        <v>0</v>
      </c>
      <c r="Z3641" s="182" t="n">
        <v>0</v>
      </c>
      <c r="AA3641" s="182" t="n">
        <v>0</v>
      </c>
      <c r="AB3641" s="182" t="n">
        <v>0</v>
      </c>
      <c r="AC3641" s="182" t="n">
        <v>0</v>
      </c>
      <c r="AD3641" s="182" t="n">
        <v>0</v>
      </c>
      <c r="AE3641" s="182" t="n">
        <v>0</v>
      </c>
      <c r="AF3641" s="182" t="n">
        <v>0</v>
      </c>
      <c r="AG3641" s="182" t="n">
        <v>0</v>
      </c>
      <c r="AH3641" s="182" t="n">
        <v>0</v>
      </c>
      <c r="AI3641" s="182" t="n">
        <v>0</v>
      </c>
      <c r="AJ3641" s="182" t="n">
        <v>0</v>
      </c>
      <c r="AK3641" s="182" t="n">
        <v>10.92</v>
      </c>
      <c r="AL3641" s="182" t="n">
        <v>0</v>
      </c>
      <c r="AM3641" s="182" t="n">
        <v>0.08</v>
      </c>
      <c r="AN3641" s="182" t="n">
        <v>0</v>
      </c>
    </row>
    <row r="3642">
      <c r="A3642" s="155" t="n">
        <v>46098</v>
      </c>
      <c r="B3642" s="156" t="inlineStr">
        <is>
          <t>NS</t>
        </is>
      </c>
      <c r="C3642" s="156" t="inlineStr">
        <is>
          <t>CP-041</t>
        </is>
      </c>
      <c r="D3642" s="156" t="inlineStr">
        <is>
          <t>SANY - Compactor</t>
        </is>
      </c>
      <c r="E3642" s="156" t="inlineStr">
        <is>
          <t>Compactor</t>
        </is>
      </c>
      <c r="F3642" s="156" t="inlineStr"/>
      <c r="G3642" s="182" t="n">
        <v>0</v>
      </c>
      <c r="H3642" s="182" t="n">
        <v>0</v>
      </c>
      <c r="I3642" s="182" t="n">
        <v>0</v>
      </c>
      <c r="J3642" s="182" t="n">
        <v>0</v>
      </c>
      <c r="K3642" s="182" t="n">
        <v>12</v>
      </c>
      <c r="L3642" s="182" t="n">
        <v>12</v>
      </c>
      <c r="M3642" s="182" t="n">
        <v>0</v>
      </c>
      <c r="N3642" s="182" t="n">
        <v>0</v>
      </c>
      <c r="O3642" s="183" t="n">
        <v>0</v>
      </c>
      <c r="P3642" s="183" t="n">
        <v>0</v>
      </c>
      <c r="Q3642" s="184" t="n">
        <v>0</v>
      </c>
      <c r="R3642" s="184" t="n">
        <v>0</v>
      </c>
      <c r="S3642" s="183" t="n">
        <v>0</v>
      </c>
      <c r="T3642" s="183" t="n">
        <v>0</v>
      </c>
      <c r="U3642" s="182" t="n">
        <v>0</v>
      </c>
      <c r="V3642" s="182" t="n">
        <v>0</v>
      </c>
      <c r="W3642" s="182" t="n">
        <v>0</v>
      </c>
      <c r="X3642" s="182" t="n">
        <v>1</v>
      </c>
      <c r="Y3642" s="182" t="n">
        <v>0</v>
      </c>
      <c r="Z3642" s="182" t="n">
        <v>0</v>
      </c>
      <c r="AA3642" s="182" t="n">
        <v>0</v>
      </c>
      <c r="AB3642" s="182" t="n">
        <v>0</v>
      </c>
      <c r="AC3642" s="182" t="n">
        <v>0</v>
      </c>
      <c r="AD3642" s="182" t="n">
        <v>0</v>
      </c>
      <c r="AE3642" s="182" t="n">
        <v>0</v>
      </c>
      <c r="AF3642" s="182" t="n">
        <v>0</v>
      </c>
      <c r="AG3642" s="182" t="n">
        <v>0</v>
      </c>
      <c r="AH3642" s="182" t="n">
        <v>0</v>
      </c>
      <c r="AI3642" s="182" t="n">
        <v>0</v>
      </c>
      <c r="AJ3642" s="182" t="n">
        <v>0</v>
      </c>
      <c r="AK3642" s="182" t="n">
        <v>10.92</v>
      </c>
      <c r="AL3642" s="182" t="n">
        <v>0</v>
      </c>
      <c r="AM3642" s="182" t="n">
        <v>0.08</v>
      </c>
      <c r="AN3642" s="182" t="n">
        <v>0</v>
      </c>
    </row>
    <row r="3643">
      <c r="A3643" s="155" t="n">
        <v>46098</v>
      </c>
      <c r="B3643" s="156" t="inlineStr">
        <is>
          <t>NS</t>
        </is>
      </c>
      <c r="C3643" s="156" t="inlineStr">
        <is>
          <t>HT-418</t>
        </is>
      </c>
      <c r="D3643" s="156" t="inlineStr">
        <is>
          <t>SY430</t>
        </is>
      </c>
      <c r="E3643" s="156" t="inlineStr">
        <is>
          <t>DT Hauling</t>
        </is>
      </c>
      <c r="F3643" s="156" t="inlineStr"/>
      <c r="G3643" s="182" t="n">
        <v>0</v>
      </c>
      <c r="H3643" s="182" t="n">
        <v>0</v>
      </c>
      <c r="I3643" s="182" t="n">
        <v>0</v>
      </c>
      <c r="J3643" s="182" t="n">
        <v>0</v>
      </c>
      <c r="K3643" s="182" t="n">
        <v>12</v>
      </c>
      <c r="L3643" s="182" t="n">
        <v>12</v>
      </c>
      <c r="M3643" s="182" t="n">
        <v>0</v>
      </c>
      <c r="N3643" s="182" t="n">
        <v>0</v>
      </c>
      <c r="O3643" s="183" t="n">
        <v>0</v>
      </c>
      <c r="P3643" s="183" t="n">
        <v>0</v>
      </c>
      <c r="Q3643" s="184" t="n">
        <v>0</v>
      </c>
      <c r="R3643" s="184" t="n">
        <v>0</v>
      </c>
      <c r="S3643" s="183" t="n">
        <v>0</v>
      </c>
      <c r="T3643" s="183" t="n">
        <v>0</v>
      </c>
      <c r="U3643" s="182" t="n">
        <v>0</v>
      </c>
      <c r="V3643" s="182" t="n">
        <v>0</v>
      </c>
      <c r="W3643" s="182" t="n">
        <v>0</v>
      </c>
      <c r="X3643" s="182" t="n">
        <v>1</v>
      </c>
      <c r="Y3643" s="182" t="n">
        <v>0</v>
      </c>
      <c r="Z3643" s="182" t="n">
        <v>0</v>
      </c>
      <c r="AA3643" s="182" t="n">
        <v>0</v>
      </c>
      <c r="AB3643" s="182" t="n">
        <v>0</v>
      </c>
      <c r="AC3643" s="182" t="n">
        <v>0</v>
      </c>
      <c r="AD3643" s="182" t="n">
        <v>0</v>
      </c>
      <c r="AE3643" s="182" t="n">
        <v>0</v>
      </c>
      <c r="AF3643" s="182" t="n">
        <v>0</v>
      </c>
      <c r="AG3643" s="182" t="n">
        <v>0</v>
      </c>
      <c r="AH3643" s="182" t="n">
        <v>0</v>
      </c>
      <c r="AI3643" s="182" t="n">
        <v>0</v>
      </c>
      <c r="AJ3643" s="182" t="n">
        <v>0</v>
      </c>
      <c r="AK3643" s="182" t="n">
        <v>10.92</v>
      </c>
      <c r="AL3643" s="182" t="n">
        <v>0</v>
      </c>
      <c r="AM3643" s="182" t="n">
        <v>0.08</v>
      </c>
      <c r="AN3643" s="182" t="n">
        <v>0</v>
      </c>
    </row>
    <row r="3644">
      <c r="A3644" s="155" t="n">
        <v>46098</v>
      </c>
      <c r="B3644" s="156" t="inlineStr">
        <is>
          <t>NS</t>
        </is>
      </c>
      <c r="C3644" s="156" t="inlineStr">
        <is>
          <t>HT-404</t>
        </is>
      </c>
      <c r="D3644" s="156" t="inlineStr">
        <is>
          <t>SY430</t>
        </is>
      </c>
      <c r="E3644" s="156" t="inlineStr">
        <is>
          <t>DT Hauling</t>
        </is>
      </c>
      <c r="F3644" s="156" t="inlineStr"/>
      <c r="G3644" s="182" t="n">
        <v>0</v>
      </c>
      <c r="H3644" s="182" t="n">
        <v>0</v>
      </c>
      <c r="I3644" s="182" t="n">
        <v>0</v>
      </c>
      <c r="J3644" s="182" t="n">
        <v>0</v>
      </c>
      <c r="K3644" s="182" t="n">
        <v>12</v>
      </c>
      <c r="L3644" s="182" t="n">
        <v>12</v>
      </c>
      <c r="M3644" s="182" t="n">
        <v>0</v>
      </c>
      <c r="N3644" s="182" t="n">
        <v>0</v>
      </c>
      <c r="O3644" s="183" t="n">
        <v>0</v>
      </c>
      <c r="P3644" s="183" t="n">
        <v>0</v>
      </c>
      <c r="Q3644" s="184" t="n">
        <v>0</v>
      </c>
      <c r="R3644" s="184" t="n">
        <v>0</v>
      </c>
      <c r="S3644" s="183" t="n">
        <v>0</v>
      </c>
      <c r="T3644" s="183" t="n">
        <v>0</v>
      </c>
      <c r="U3644" s="182" t="n">
        <v>0</v>
      </c>
      <c r="V3644" s="182" t="n">
        <v>0</v>
      </c>
      <c r="W3644" s="182" t="n">
        <v>0</v>
      </c>
      <c r="X3644" s="182" t="n">
        <v>1</v>
      </c>
      <c r="Y3644" s="182" t="n">
        <v>0</v>
      </c>
      <c r="Z3644" s="182" t="n">
        <v>0</v>
      </c>
      <c r="AA3644" s="182" t="n">
        <v>0</v>
      </c>
      <c r="AB3644" s="182" t="n">
        <v>0</v>
      </c>
      <c r="AC3644" s="182" t="n">
        <v>0</v>
      </c>
      <c r="AD3644" s="182" t="n">
        <v>0</v>
      </c>
      <c r="AE3644" s="182" t="n">
        <v>0</v>
      </c>
      <c r="AF3644" s="182" t="n">
        <v>0</v>
      </c>
      <c r="AG3644" s="182" t="n">
        <v>0</v>
      </c>
      <c r="AH3644" s="182" t="n">
        <v>0</v>
      </c>
      <c r="AI3644" s="182" t="n">
        <v>0</v>
      </c>
      <c r="AJ3644" s="182" t="n">
        <v>0</v>
      </c>
      <c r="AK3644" s="182" t="n">
        <v>10.92</v>
      </c>
      <c r="AL3644" s="182" t="n">
        <v>0</v>
      </c>
      <c r="AM3644" s="182" t="n">
        <v>0.08</v>
      </c>
      <c r="AN3644" s="182" t="n">
        <v>0</v>
      </c>
    </row>
    <row r="3645">
      <c r="A3645" s="155" t="n">
        <v>46098</v>
      </c>
      <c r="B3645" s="156" t="inlineStr">
        <is>
          <t>NS</t>
        </is>
      </c>
      <c r="C3645" s="156" t="inlineStr">
        <is>
          <t>HT-415</t>
        </is>
      </c>
      <c r="D3645" s="156" t="inlineStr">
        <is>
          <t>SY430</t>
        </is>
      </c>
      <c r="E3645" s="156" t="inlineStr">
        <is>
          <t>DT Hauling</t>
        </is>
      </c>
      <c r="F3645" s="156" t="inlineStr"/>
      <c r="G3645" s="182" t="n">
        <v>0</v>
      </c>
      <c r="H3645" s="182" t="n">
        <v>0</v>
      </c>
      <c r="I3645" s="182" t="n">
        <v>12</v>
      </c>
      <c r="J3645" s="182" t="n">
        <v>12</v>
      </c>
      <c r="K3645" s="182" t="n">
        <v>0</v>
      </c>
      <c r="L3645" s="182" t="n">
        <v>12</v>
      </c>
      <c r="M3645" s="182" t="n">
        <v>0</v>
      </c>
      <c r="N3645" s="182" t="n">
        <v>0</v>
      </c>
      <c r="O3645" s="183" t="n">
        <v>0</v>
      </c>
      <c r="P3645" s="183" t="n">
        <v>0</v>
      </c>
      <c r="Q3645" s="184" t="n">
        <v>0</v>
      </c>
      <c r="R3645" s="184" t="n">
        <v>0</v>
      </c>
      <c r="S3645" s="183" t="n">
        <v>0</v>
      </c>
      <c r="T3645" s="183" t="n">
        <v>0</v>
      </c>
      <c r="U3645" s="182" t="n">
        <v>0</v>
      </c>
      <c r="V3645" s="182" t="n">
        <v>0</v>
      </c>
      <c r="W3645" s="182" t="n">
        <v>0</v>
      </c>
      <c r="X3645" s="182" t="n">
        <v>0</v>
      </c>
      <c r="Y3645" s="182" t="n">
        <v>0</v>
      </c>
      <c r="Z3645" s="182" t="n">
        <v>0</v>
      </c>
      <c r="AA3645" s="182" t="n">
        <v>0</v>
      </c>
      <c r="AB3645" s="182" t="n">
        <v>0</v>
      </c>
      <c r="AC3645" s="182" t="n">
        <v>0</v>
      </c>
      <c r="AD3645" s="182" t="n">
        <v>0</v>
      </c>
      <c r="AE3645" s="182" t="n">
        <v>0</v>
      </c>
      <c r="AF3645" s="182" t="n">
        <v>0</v>
      </c>
      <c r="AG3645" s="182" t="n">
        <v>0</v>
      </c>
      <c r="AH3645" s="182" t="n">
        <v>0</v>
      </c>
      <c r="AI3645" s="182" t="n">
        <v>0</v>
      </c>
      <c r="AJ3645" s="182" t="n">
        <v>0</v>
      </c>
      <c r="AK3645" s="182" t="n">
        <v>0</v>
      </c>
      <c r="AL3645" s="182" t="n">
        <v>0</v>
      </c>
      <c r="AM3645" s="182" t="n">
        <v>0</v>
      </c>
      <c r="AN3645" s="182" t="n">
        <v>0</v>
      </c>
    </row>
    <row r="3646">
      <c r="A3646" s="155" t="n">
        <v>46098</v>
      </c>
      <c r="B3646" s="156" t="inlineStr">
        <is>
          <t>NS</t>
        </is>
      </c>
      <c r="C3646" s="156" t="inlineStr">
        <is>
          <t>HT-406</t>
        </is>
      </c>
      <c r="D3646" s="156" t="inlineStr">
        <is>
          <t>SY430</t>
        </is>
      </c>
      <c r="E3646" s="156" t="inlineStr">
        <is>
          <t>DT Hauling</t>
        </is>
      </c>
      <c r="F3646" s="156" t="inlineStr"/>
      <c r="G3646" s="182" t="n">
        <v>0</v>
      </c>
      <c r="H3646" s="182" t="n">
        <v>0</v>
      </c>
      <c r="I3646" s="182" t="n">
        <v>0</v>
      </c>
      <c r="J3646" s="182" t="n">
        <v>0</v>
      </c>
      <c r="K3646" s="182" t="n">
        <v>12</v>
      </c>
      <c r="L3646" s="182" t="n">
        <v>12</v>
      </c>
      <c r="M3646" s="182" t="n">
        <v>0</v>
      </c>
      <c r="N3646" s="182" t="n">
        <v>0</v>
      </c>
      <c r="O3646" s="183" t="n">
        <v>0</v>
      </c>
      <c r="P3646" s="183" t="n">
        <v>0</v>
      </c>
      <c r="Q3646" s="184" t="n">
        <v>0</v>
      </c>
      <c r="R3646" s="184" t="n">
        <v>0</v>
      </c>
      <c r="S3646" s="183" t="n">
        <v>0</v>
      </c>
      <c r="T3646" s="183" t="n">
        <v>0</v>
      </c>
      <c r="U3646" s="182" t="n">
        <v>0</v>
      </c>
      <c r="V3646" s="182" t="n">
        <v>0</v>
      </c>
      <c r="W3646" s="182" t="n">
        <v>0</v>
      </c>
      <c r="X3646" s="182" t="n">
        <v>1</v>
      </c>
      <c r="Y3646" s="182" t="n">
        <v>0</v>
      </c>
      <c r="Z3646" s="182" t="n">
        <v>0</v>
      </c>
      <c r="AA3646" s="182" t="n">
        <v>0</v>
      </c>
      <c r="AB3646" s="182" t="n">
        <v>0</v>
      </c>
      <c r="AC3646" s="182" t="n">
        <v>0</v>
      </c>
      <c r="AD3646" s="182" t="n">
        <v>0</v>
      </c>
      <c r="AE3646" s="182" t="n">
        <v>0</v>
      </c>
      <c r="AF3646" s="182" t="n">
        <v>0</v>
      </c>
      <c r="AG3646" s="182" t="n">
        <v>0</v>
      </c>
      <c r="AH3646" s="182" t="n">
        <v>0</v>
      </c>
      <c r="AI3646" s="182" t="n">
        <v>0</v>
      </c>
      <c r="AJ3646" s="182" t="n">
        <v>0</v>
      </c>
      <c r="AK3646" s="182" t="n">
        <v>10.92</v>
      </c>
      <c r="AL3646" s="182" t="n">
        <v>0</v>
      </c>
      <c r="AM3646" s="182" t="n">
        <v>0.08</v>
      </c>
      <c r="AN3646" s="182" t="n">
        <v>0</v>
      </c>
    </row>
    <row r="3647">
      <c r="A3647" s="155" t="n">
        <v>46098</v>
      </c>
      <c r="B3647" s="156" t="inlineStr">
        <is>
          <t>NS</t>
        </is>
      </c>
      <c r="C3647" s="156" t="inlineStr">
        <is>
          <t>HT-405</t>
        </is>
      </c>
      <c r="D3647" s="156" t="inlineStr">
        <is>
          <t>SY430</t>
        </is>
      </c>
      <c r="E3647" s="156" t="inlineStr">
        <is>
          <t>DT Hauling</t>
        </is>
      </c>
      <c r="F3647" s="156" t="inlineStr"/>
      <c r="G3647" s="182" t="n">
        <v>0</v>
      </c>
      <c r="H3647" s="182" t="n">
        <v>0</v>
      </c>
      <c r="I3647" s="182" t="n">
        <v>12</v>
      </c>
      <c r="J3647" s="182" t="n">
        <v>12</v>
      </c>
      <c r="K3647" s="182" t="n">
        <v>0</v>
      </c>
      <c r="L3647" s="182" t="n">
        <v>12</v>
      </c>
      <c r="M3647" s="182" t="n">
        <v>0</v>
      </c>
      <c r="N3647" s="182" t="n">
        <v>0</v>
      </c>
      <c r="O3647" s="183" t="n">
        <v>0</v>
      </c>
      <c r="P3647" s="183" t="n">
        <v>0</v>
      </c>
      <c r="Q3647" s="184" t="n">
        <v>0</v>
      </c>
      <c r="R3647" s="184" t="n">
        <v>0</v>
      </c>
      <c r="S3647" s="183" t="n">
        <v>0</v>
      </c>
      <c r="T3647" s="183" t="n">
        <v>0</v>
      </c>
      <c r="U3647" s="182" t="n">
        <v>0</v>
      </c>
      <c r="V3647" s="182" t="n">
        <v>0</v>
      </c>
      <c r="W3647" s="182" t="n">
        <v>0</v>
      </c>
      <c r="X3647" s="182" t="n">
        <v>0</v>
      </c>
      <c r="Y3647" s="182" t="n">
        <v>0</v>
      </c>
      <c r="Z3647" s="182" t="n">
        <v>0</v>
      </c>
      <c r="AA3647" s="182" t="n">
        <v>0</v>
      </c>
      <c r="AB3647" s="182" t="n">
        <v>0</v>
      </c>
      <c r="AC3647" s="182" t="n">
        <v>0</v>
      </c>
      <c r="AD3647" s="182" t="n">
        <v>0</v>
      </c>
      <c r="AE3647" s="182" t="n">
        <v>0</v>
      </c>
      <c r="AF3647" s="182" t="n">
        <v>0</v>
      </c>
      <c r="AG3647" s="182" t="n">
        <v>0</v>
      </c>
      <c r="AH3647" s="182" t="n">
        <v>0</v>
      </c>
      <c r="AI3647" s="182" t="n">
        <v>0</v>
      </c>
      <c r="AJ3647" s="182" t="n">
        <v>0</v>
      </c>
      <c r="AK3647" s="182" t="n">
        <v>0</v>
      </c>
      <c r="AL3647" s="182" t="n">
        <v>0</v>
      </c>
      <c r="AM3647" s="182" t="n">
        <v>0</v>
      </c>
      <c r="AN3647" s="182" t="n">
        <v>0</v>
      </c>
    </row>
    <row r="3648">
      <c r="A3648" s="155" t="n">
        <v>46098</v>
      </c>
      <c r="B3648" s="156" t="inlineStr">
        <is>
          <t>NS</t>
        </is>
      </c>
      <c r="C3648" s="156" t="inlineStr">
        <is>
          <t>HT-417</t>
        </is>
      </c>
      <c r="D3648" s="156" t="inlineStr">
        <is>
          <t>SY430</t>
        </is>
      </c>
      <c r="E3648" s="156" t="inlineStr">
        <is>
          <t>DT Hauling</t>
        </is>
      </c>
      <c r="F3648" s="156" t="inlineStr"/>
      <c r="G3648" s="182" t="n">
        <v>0</v>
      </c>
      <c r="H3648" s="182" t="n">
        <v>0</v>
      </c>
      <c r="I3648" s="182" t="n">
        <v>0</v>
      </c>
      <c r="J3648" s="182" t="n">
        <v>0</v>
      </c>
      <c r="K3648" s="182" t="n">
        <v>12</v>
      </c>
      <c r="L3648" s="182" t="n">
        <v>12</v>
      </c>
      <c r="M3648" s="182" t="n">
        <v>0</v>
      </c>
      <c r="N3648" s="182" t="n">
        <v>0</v>
      </c>
      <c r="O3648" s="183" t="n">
        <v>0</v>
      </c>
      <c r="P3648" s="183" t="n">
        <v>0</v>
      </c>
      <c r="Q3648" s="184" t="n">
        <v>0</v>
      </c>
      <c r="R3648" s="184" t="n">
        <v>0</v>
      </c>
      <c r="S3648" s="183" t="n">
        <v>0</v>
      </c>
      <c r="T3648" s="183" t="n">
        <v>0</v>
      </c>
      <c r="U3648" s="182" t="n">
        <v>0</v>
      </c>
      <c r="V3648" s="182" t="n">
        <v>0</v>
      </c>
      <c r="W3648" s="182" t="n">
        <v>0</v>
      </c>
      <c r="X3648" s="182" t="n">
        <v>1</v>
      </c>
      <c r="Y3648" s="182" t="n">
        <v>0</v>
      </c>
      <c r="Z3648" s="182" t="n">
        <v>0</v>
      </c>
      <c r="AA3648" s="182" t="n">
        <v>0</v>
      </c>
      <c r="AB3648" s="182" t="n">
        <v>0</v>
      </c>
      <c r="AC3648" s="182" t="n">
        <v>0</v>
      </c>
      <c r="AD3648" s="182" t="n">
        <v>0</v>
      </c>
      <c r="AE3648" s="182" t="n">
        <v>0</v>
      </c>
      <c r="AF3648" s="182" t="n">
        <v>0</v>
      </c>
      <c r="AG3648" s="182" t="n">
        <v>0</v>
      </c>
      <c r="AH3648" s="182" t="n">
        <v>0</v>
      </c>
      <c r="AI3648" s="182" t="n">
        <v>0</v>
      </c>
      <c r="AJ3648" s="182" t="n">
        <v>0</v>
      </c>
      <c r="AK3648" s="182" t="n">
        <v>10.92</v>
      </c>
      <c r="AL3648" s="182" t="n">
        <v>0</v>
      </c>
      <c r="AM3648" s="182" t="n">
        <v>0.08</v>
      </c>
      <c r="AN3648" s="182" t="n">
        <v>0</v>
      </c>
    </row>
    <row r="3649">
      <c r="A3649" s="155" t="n">
        <v>46098</v>
      </c>
      <c r="B3649" s="156" t="inlineStr">
        <is>
          <t>NS</t>
        </is>
      </c>
      <c r="C3649" s="156" t="inlineStr">
        <is>
          <t>HT-401</t>
        </is>
      </c>
      <c r="D3649" s="156" t="inlineStr">
        <is>
          <t>SY430</t>
        </is>
      </c>
      <c r="E3649" s="156" t="inlineStr">
        <is>
          <t>DT Hauling</t>
        </is>
      </c>
      <c r="F3649" s="156" t="inlineStr"/>
      <c r="G3649" s="182" t="n">
        <v>0</v>
      </c>
      <c r="H3649" s="182" t="n">
        <v>0</v>
      </c>
      <c r="I3649" s="182" t="n">
        <v>0</v>
      </c>
      <c r="J3649" s="182" t="n">
        <v>0</v>
      </c>
      <c r="K3649" s="182" t="n">
        <v>12</v>
      </c>
      <c r="L3649" s="182" t="n">
        <v>12</v>
      </c>
      <c r="M3649" s="182" t="n">
        <v>0</v>
      </c>
      <c r="N3649" s="182" t="n">
        <v>0</v>
      </c>
      <c r="O3649" s="183" t="n">
        <v>0</v>
      </c>
      <c r="P3649" s="183" t="n">
        <v>0</v>
      </c>
      <c r="Q3649" s="184" t="n">
        <v>0</v>
      </c>
      <c r="R3649" s="184" t="n">
        <v>0</v>
      </c>
      <c r="S3649" s="183" t="n">
        <v>0</v>
      </c>
      <c r="T3649" s="183" t="n">
        <v>0</v>
      </c>
      <c r="U3649" s="182" t="n">
        <v>0</v>
      </c>
      <c r="V3649" s="182" t="n">
        <v>0</v>
      </c>
      <c r="W3649" s="182" t="n">
        <v>0</v>
      </c>
      <c r="X3649" s="182" t="n">
        <v>1</v>
      </c>
      <c r="Y3649" s="182" t="n">
        <v>0</v>
      </c>
      <c r="Z3649" s="182" t="n">
        <v>0</v>
      </c>
      <c r="AA3649" s="182" t="n">
        <v>0</v>
      </c>
      <c r="AB3649" s="182" t="n">
        <v>0</v>
      </c>
      <c r="AC3649" s="182" t="n">
        <v>0</v>
      </c>
      <c r="AD3649" s="182" t="n">
        <v>0</v>
      </c>
      <c r="AE3649" s="182" t="n">
        <v>0</v>
      </c>
      <c r="AF3649" s="182" t="n">
        <v>0</v>
      </c>
      <c r="AG3649" s="182" t="n">
        <v>0</v>
      </c>
      <c r="AH3649" s="182" t="n">
        <v>0</v>
      </c>
      <c r="AI3649" s="182" t="n">
        <v>0</v>
      </c>
      <c r="AJ3649" s="182" t="n">
        <v>0</v>
      </c>
      <c r="AK3649" s="182" t="n">
        <v>10.92</v>
      </c>
      <c r="AL3649" s="182" t="n">
        <v>0</v>
      </c>
      <c r="AM3649" s="182" t="n">
        <v>0.08</v>
      </c>
      <c r="AN3649" s="182" t="n">
        <v>0</v>
      </c>
    </row>
    <row r="3650">
      <c r="A3650" s="155" t="n">
        <v>46098</v>
      </c>
      <c r="B3650" s="156" t="inlineStr">
        <is>
          <t>NS</t>
        </is>
      </c>
      <c r="C3650" s="156" t="inlineStr">
        <is>
          <t>HT-410</t>
        </is>
      </c>
      <c r="D3650" s="156" t="inlineStr">
        <is>
          <t>SY430</t>
        </is>
      </c>
      <c r="E3650" s="156" t="inlineStr">
        <is>
          <t>DT Hauling</t>
        </is>
      </c>
      <c r="F3650" s="156" t="inlineStr"/>
      <c r="G3650" s="182" t="n">
        <v>0</v>
      </c>
      <c r="H3650" s="182" t="n">
        <v>0</v>
      </c>
      <c r="I3650" s="182" t="n">
        <v>0</v>
      </c>
      <c r="J3650" s="182" t="n">
        <v>0</v>
      </c>
      <c r="K3650" s="182" t="n">
        <v>12</v>
      </c>
      <c r="L3650" s="182" t="n">
        <v>12</v>
      </c>
      <c r="M3650" s="182" t="n">
        <v>0</v>
      </c>
      <c r="N3650" s="182" t="n">
        <v>0</v>
      </c>
      <c r="O3650" s="183" t="n">
        <v>0</v>
      </c>
      <c r="P3650" s="183" t="n">
        <v>0</v>
      </c>
      <c r="Q3650" s="184" t="n">
        <v>0</v>
      </c>
      <c r="R3650" s="184" t="n">
        <v>0</v>
      </c>
      <c r="S3650" s="183" t="n">
        <v>0</v>
      </c>
      <c r="T3650" s="183" t="n">
        <v>0</v>
      </c>
      <c r="U3650" s="182" t="n">
        <v>0</v>
      </c>
      <c r="V3650" s="182" t="n">
        <v>0</v>
      </c>
      <c r="W3650" s="182" t="n">
        <v>0</v>
      </c>
      <c r="X3650" s="182" t="n">
        <v>1</v>
      </c>
      <c r="Y3650" s="182" t="n">
        <v>0</v>
      </c>
      <c r="Z3650" s="182" t="n">
        <v>0</v>
      </c>
      <c r="AA3650" s="182" t="n">
        <v>0</v>
      </c>
      <c r="AB3650" s="182" t="n">
        <v>0</v>
      </c>
      <c r="AC3650" s="182" t="n">
        <v>0</v>
      </c>
      <c r="AD3650" s="182" t="n">
        <v>0</v>
      </c>
      <c r="AE3650" s="182" t="n">
        <v>0</v>
      </c>
      <c r="AF3650" s="182" t="n">
        <v>0</v>
      </c>
      <c r="AG3650" s="182" t="n">
        <v>0</v>
      </c>
      <c r="AH3650" s="182" t="n">
        <v>0</v>
      </c>
      <c r="AI3650" s="182" t="n">
        <v>0</v>
      </c>
      <c r="AJ3650" s="182" t="n">
        <v>0</v>
      </c>
      <c r="AK3650" s="182" t="n">
        <v>10.92</v>
      </c>
      <c r="AL3650" s="182" t="n">
        <v>0</v>
      </c>
      <c r="AM3650" s="182" t="n">
        <v>0.08</v>
      </c>
      <c r="AN3650" s="182" t="n">
        <v>0</v>
      </c>
    </row>
    <row r="3651">
      <c r="A3651" s="155" t="n">
        <v>46098</v>
      </c>
      <c r="B3651" s="156" t="inlineStr">
        <is>
          <t>NS</t>
        </is>
      </c>
      <c r="C3651" s="156" t="inlineStr">
        <is>
          <t>HT-402</t>
        </is>
      </c>
      <c r="D3651" s="156" t="inlineStr">
        <is>
          <t>SY430</t>
        </is>
      </c>
      <c r="E3651" s="156" t="inlineStr">
        <is>
          <t>DT Hauling</t>
        </is>
      </c>
      <c r="F3651" s="156" t="inlineStr"/>
      <c r="G3651" s="182" t="n">
        <v>0</v>
      </c>
      <c r="H3651" s="182" t="n">
        <v>0</v>
      </c>
      <c r="I3651" s="182" t="n">
        <v>12</v>
      </c>
      <c r="J3651" s="182" t="n">
        <v>12</v>
      </c>
      <c r="K3651" s="182" t="n">
        <v>0</v>
      </c>
      <c r="L3651" s="182" t="n">
        <v>12</v>
      </c>
      <c r="M3651" s="182" t="n">
        <v>0</v>
      </c>
      <c r="N3651" s="182" t="n">
        <v>0</v>
      </c>
      <c r="O3651" s="183" t="n">
        <v>0</v>
      </c>
      <c r="P3651" s="183" t="n">
        <v>0</v>
      </c>
      <c r="Q3651" s="184" t="n">
        <v>0</v>
      </c>
      <c r="R3651" s="184" t="n">
        <v>0</v>
      </c>
      <c r="S3651" s="183" t="n">
        <v>0</v>
      </c>
      <c r="T3651" s="183" t="n">
        <v>0</v>
      </c>
      <c r="U3651" s="182" t="n">
        <v>0</v>
      </c>
      <c r="V3651" s="182" t="n">
        <v>0</v>
      </c>
      <c r="W3651" s="182" t="n">
        <v>0</v>
      </c>
      <c r="X3651" s="182" t="n">
        <v>0</v>
      </c>
      <c r="Y3651" s="182" t="n">
        <v>0</v>
      </c>
      <c r="Z3651" s="182" t="n">
        <v>0</v>
      </c>
      <c r="AA3651" s="182" t="n">
        <v>0</v>
      </c>
      <c r="AB3651" s="182" t="n">
        <v>0</v>
      </c>
      <c r="AC3651" s="182" t="n">
        <v>0</v>
      </c>
      <c r="AD3651" s="182" t="n">
        <v>0</v>
      </c>
      <c r="AE3651" s="182" t="n">
        <v>0</v>
      </c>
      <c r="AF3651" s="182" t="n">
        <v>0</v>
      </c>
      <c r="AG3651" s="182" t="n">
        <v>0</v>
      </c>
      <c r="AH3651" s="182" t="n">
        <v>0</v>
      </c>
      <c r="AI3651" s="182" t="n">
        <v>0</v>
      </c>
      <c r="AJ3651" s="182" t="n">
        <v>0</v>
      </c>
      <c r="AK3651" s="182" t="n">
        <v>0</v>
      </c>
      <c r="AL3651" s="182" t="n">
        <v>0</v>
      </c>
      <c r="AM3651" s="182" t="n">
        <v>0</v>
      </c>
      <c r="AN3651" s="182" t="n">
        <v>0</v>
      </c>
    </row>
    <row r="3652">
      <c r="A3652" s="155" t="n">
        <v>46098</v>
      </c>
      <c r="B3652" s="156" t="inlineStr">
        <is>
          <t>NS</t>
        </is>
      </c>
      <c r="C3652" s="156" t="inlineStr">
        <is>
          <t>HT-419</t>
        </is>
      </c>
      <c r="D3652" s="156" t="inlineStr">
        <is>
          <t>SY430</t>
        </is>
      </c>
      <c r="E3652" s="156" t="inlineStr">
        <is>
          <t>DT Hauling</t>
        </is>
      </c>
      <c r="F3652" s="156" t="inlineStr"/>
      <c r="G3652" s="182" t="n">
        <v>0</v>
      </c>
      <c r="H3652" s="182" t="n">
        <v>0</v>
      </c>
      <c r="I3652" s="182" t="n">
        <v>12</v>
      </c>
      <c r="J3652" s="182" t="n">
        <v>12</v>
      </c>
      <c r="K3652" s="182" t="n">
        <v>0</v>
      </c>
      <c r="L3652" s="182" t="n">
        <v>12</v>
      </c>
      <c r="M3652" s="182" t="n">
        <v>0</v>
      </c>
      <c r="N3652" s="182" t="n">
        <v>0</v>
      </c>
      <c r="O3652" s="183" t="n">
        <v>0</v>
      </c>
      <c r="P3652" s="183" t="n">
        <v>0</v>
      </c>
      <c r="Q3652" s="184" t="n">
        <v>0</v>
      </c>
      <c r="R3652" s="184" t="n">
        <v>0</v>
      </c>
      <c r="S3652" s="183" t="n">
        <v>0</v>
      </c>
      <c r="T3652" s="183" t="n">
        <v>0</v>
      </c>
      <c r="U3652" s="182" t="n">
        <v>0</v>
      </c>
      <c r="V3652" s="182" t="n">
        <v>0</v>
      </c>
      <c r="W3652" s="182" t="n">
        <v>0</v>
      </c>
      <c r="X3652" s="182" t="n">
        <v>0</v>
      </c>
      <c r="Y3652" s="182" t="n">
        <v>0</v>
      </c>
      <c r="Z3652" s="182" t="n">
        <v>0</v>
      </c>
      <c r="AA3652" s="182" t="n">
        <v>0</v>
      </c>
      <c r="AB3652" s="182" t="n">
        <v>0</v>
      </c>
      <c r="AC3652" s="182" t="n">
        <v>0</v>
      </c>
      <c r="AD3652" s="182" t="n">
        <v>0</v>
      </c>
      <c r="AE3652" s="182" t="n">
        <v>0</v>
      </c>
      <c r="AF3652" s="182" t="n">
        <v>0</v>
      </c>
      <c r="AG3652" s="182" t="n">
        <v>0</v>
      </c>
      <c r="AH3652" s="182" t="n">
        <v>0</v>
      </c>
      <c r="AI3652" s="182" t="n">
        <v>0</v>
      </c>
      <c r="AJ3652" s="182" t="n">
        <v>0</v>
      </c>
      <c r="AK3652" s="182" t="n">
        <v>0</v>
      </c>
      <c r="AL3652" s="182" t="n">
        <v>0</v>
      </c>
      <c r="AM3652" s="182" t="n">
        <v>0</v>
      </c>
      <c r="AN3652" s="182" t="n">
        <v>0</v>
      </c>
    </row>
    <row r="3653">
      <c r="A3653" s="155" t="n">
        <v>46098</v>
      </c>
      <c r="B3653" s="156" t="inlineStr">
        <is>
          <t>NS</t>
        </is>
      </c>
      <c r="C3653" s="156" t="inlineStr">
        <is>
          <t>HT-416</t>
        </is>
      </c>
      <c r="D3653" s="156" t="inlineStr">
        <is>
          <t>SY430</t>
        </is>
      </c>
      <c r="E3653" s="156" t="inlineStr">
        <is>
          <t>DT Hauling</t>
        </is>
      </c>
      <c r="F3653" s="156" t="inlineStr"/>
      <c r="G3653" s="182" t="n">
        <v>0</v>
      </c>
      <c r="H3653" s="182" t="n">
        <v>0</v>
      </c>
      <c r="I3653" s="182" t="n">
        <v>0</v>
      </c>
      <c r="J3653" s="182" t="n">
        <v>0</v>
      </c>
      <c r="K3653" s="182" t="n">
        <v>12</v>
      </c>
      <c r="L3653" s="182" t="n">
        <v>12</v>
      </c>
      <c r="M3653" s="182" t="n">
        <v>0</v>
      </c>
      <c r="N3653" s="182" t="n">
        <v>0</v>
      </c>
      <c r="O3653" s="183" t="n">
        <v>0</v>
      </c>
      <c r="P3653" s="183" t="n">
        <v>0</v>
      </c>
      <c r="Q3653" s="184" t="n">
        <v>0</v>
      </c>
      <c r="R3653" s="184" t="n">
        <v>0</v>
      </c>
      <c r="S3653" s="183" t="n">
        <v>0</v>
      </c>
      <c r="T3653" s="183" t="n">
        <v>0</v>
      </c>
      <c r="U3653" s="182" t="n">
        <v>0</v>
      </c>
      <c r="V3653" s="182" t="n">
        <v>0</v>
      </c>
      <c r="W3653" s="182" t="n">
        <v>0</v>
      </c>
      <c r="X3653" s="182" t="n">
        <v>1</v>
      </c>
      <c r="Y3653" s="182" t="n">
        <v>0</v>
      </c>
      <c r="Z3653" s="182" t="n">
        <v>0</v>
      </c>
      <c r="AA3653" s="182" t="n">
        <v>0</v>
      </c>
      <c r="AB3653" s="182" t="n">
        <v>0</v>
      </c>
      <c r="AC3653" s="182" t="n">
        <v>0</v>
      </c>
      <c r="AD3653" s="182" t="n">
        <v>0</v>
      </c>
      <c r="AE3653" s="182" t="n">
        <v>0</v>
      </c>
      <c r="AF3653" s="182" t="n">
        <v>0</v>
      </c>
      <c r="AG3653" s="182" t="n">
        <v>0</v>
      </c>
      <c r="AH3653" s="182" t="n">
        <v>0</v>
      </c>
      <c r="AI3653" s="182" t="n">
        <v>0</v>
      </c>
      <c r="AJ3653" s="182" t="n">
        <v>0</v>
      </c>
      <c r="AK3653" s="182" t="n">
        <v>10.92</v>
      </c>
      <c r="AL3653" s="182" t="n">
        <v>0</v>
      </c>
      <c r="AM3653" s="182" t="n">
        <v>0.08</v>
      </c>
      <c r="AN3653" s="182" t="n">
        <v>0</v>
      </c>
    </row>
    <row r="3654">
      <c r="A3654" s="155" t="n">
        <v>46098</v>
      </c>
      <c r="B3654" s="156" t="inlineStr">
        <is>
          <t>NS</t>
        </is>
      </c>
      <c r="C3654" s="156" t="inlineStr">
        <is>
          <t>HT-420</t>
        </is>
      </c>
      <c r="D3654" s="156" t="inlineStr">
        <is>
          <t>SY430</t>
        </is>
      </c>
      <c r="E3654" s="156" t="inlineStr">
        <is>
          <t>DT Hauling</t>
        </is>
      </c>
      <c r="F3654" s="156" t="inlineStr"/>
      <c r="G3654" s="182" t="n">
        <v>0</v>
      </c>
      <c r="H3654" s="182" t="n">
        <v>0</v>
      </c>
      <c r="I3654" s="182" t="n">
        <v>0</v>
      </c>
      <c r="J3654" s="182" t="n">
        <v>0</v>
      </c>
      <c r="K3654" s="182" t="n">
        <v>12</v>
      </c>
      <c r="L3654" s="182" t="n">
        <v>12</v>
      </c>
      <c r="M3654" s="182" t="n">
        <v>0</v>
      </c>
      <c r="N3654" s="182" t="n">
        <v>0</v>
      </c>
      <c r="O3654" s="183" t="n">
        <v>0</v>
      </c>
      <c r="P3654" s="183" t="n">
        <v>0</v>
      </c>
      <c r="Q3654" s="184" t="n">
        <v>0</v>
      </c>
      <c r="R3654" s="184" t="n">
        <v>0</v>
      </c>
      <c r="S3654" s="183" t="n">
        <v>0</v>
      </c>
      <c r="T3654" s="183" t="n">
        <v>0</v>
      </c>
      <c r="U3654" s="182" t="n">
        <v>0</v>
      </c>
      <c r="V3654" s="182" t="n">
        <v>0</v>
      </c>
      <c r="W3654" s="182" t="n">
        <v>0</v>
      </c>
      <c r="X3654" s="182" t="n">
        <v>1</v>
      </c>
      <c r="Y3654" s="182" t="n">
        <v>0</v>
      </c>
      <c r="Z3654" s="182" t="n">
        <v>0</v>
      </c>
      <c r="AA3654" s="182" t="n">
        <v>0</v>
      </c>
      <c r="AB3654" s="182" t="n">
        <v>0</v>
      </c>
      <c r="AC3654" s="182" t="n">
        <v>0</v>
      </c>
      <c r="AD3654" s="182" t="n">
        <v>0</v>
      </c>
      <c r="AE3654" s="182" t="n">
        <v>0</v>
      </c>
      <c r="AF3654" s="182" t="n">
        <v>0</v>
      </c>
      <c r="AG3654" s="182" t="n">
        <v>0</v>
      </c>
      <c r="AH3654" s="182" t="n">
        <v>0</v>
      </c>
      <c r="AI3654" s="182" t="n">
        <v>0</v>
      </c>
      <c r="AJ3654" s="182" t="n">
        <v>0</v>
      </c>
      <c r="AK3654" s="182" t="n">
        <v>10.92</v>
      </c>
      <c r="AL3654" s="182" t="n">
        <v>0</v>
      </c>
      <c r="AM3654" s="182" t="n">
        <v>0.08</v>
      </c>
      <c r="AN3654" s="182" t="n">
        <v>0</v>
      </c>
    </row>
    <row r="3655">
      <c r="A3655" s="155" t="n">
        <v>46098</v>
      </c>
      <c r="B3655" s="156" t="inlineStr">
        <is>
          <t>NS</t>
        </is>
      </c>
      <c r="C3655" s="156" t="inlineStr">
        <is>
          <t>HT-403</t>
        </is>
      </c>
      <c r="D3655" s="156" t="inlineStr">
        <is>
          <t>SY430</t>
        </is>
      </c>
      <c r="E3655" s="156" t="inlineStr">
        <is>
          <t>DT Hauling</t>
        </is>
      </c>
      <c r="F3655" s="156" t="inlineStr"/>
      <c r="G3655" s="182" t="n">
        <v>0</v>
      </c>
      <c r="H3655" s="182" t="n">
        <v>0</v>
      </c>
      <c r="I3655" s="182" t="n">
        <v>0</v>
      </c>
      <c r="J3655" s="182" t="n">
        <v>0</v>
      </c>
      <c r="K3655" s="182" t="n">
        <v>12</v>
      </c>
      <c r="L3655" s="182" t="n">
        <v>12</v>
      </c>
      <c r="M3655" s="182" t="n">
        <v>0</v>
      </c>
      <c r="N3655" s="182" t="n">
        <v>0</v>
      </c>
      <c r="O3655" s="183" t="n">
        <v>0</v>
      </c>
      <c r="P3655" s="183" t="n">
        <v>0</v>
      </c>
      <c r="Q3655" s="184" t="n">
        <v>0</v>
      </c>
      <c r="R3655" s="184" t="n">
        <v>0</v>
      </c>
      <c r="S3655" s="183" t="n">
        <v>0</v>
      </c>
      <c r="T3655" s="183" t="n">
        <v>0</v>
      </c>
      <c r="U3655" s="182" t="n">
        <v>0</v>
      </c>
      <c r="V3655" s="182" t="n">
        <v>0</v>
      </c>
      <c r="W3655" s="182" t="n">
        <v>0</v>
      </c>
      <c r="X3655" s="182" t="n">
        <v>1</v>
      </c>
      <c r="Y3655" s="182" t="n">
        <v>0</v>
      </c>
      <c r="Z3655" s="182" t="n">
        <v>0</v>
      </c>
      <c r="AA3655" s="182" t="n">
        <v>0</v>
      </c>
      <c r="AB3655" s="182" t="n">
        <v>0</v>
      </c>
      <c r="AC3655" s="182" t="n">
        <v>0</v>
      </c>
      <c r="AD3655" s="182" t="n">
        <v>0</v>
      </c>
      <c r="AE3655" s="182" t="n">
        <v>0</v>
      </c>
      <c r="AF3655" s="182" t="n">
        <v>0</v>
      </c>
      <c r="AG3655" s="182" t="n">
        <v>0</v>
      </c>
      <c r="AH3655" s="182" t="n">
        <v>0</v>
      </c>
      <c r="AI3655" s="182" t="n">
        <v>0</v>
      </c>
      <c r="AJ3655" s="182" t="n">
        <v>0</v>
      </c>
      <c r="AK3655" s="182" t="n">
        <v>10.92</v>
      </c>
      <c r="AL3655" s="182" t="n">
        <v>0</v>
      </c>
      <c r="AM3655" s="182" t="n">
        <v>0.08</v>
      </c>
      <c r="AN3655" s="182" t="n">
        <v>0</v>
      </c>
    </row>
    <row r="3656">
      <c r="A3656" s="155" t="n">
        <v>46098</v>
      </c>
      <c r="B3656" s="156" t="inlineStr">
        <is>
          <t>NS</t>
        </is>
      </c>
      <c r="C3656" s="156" t="inlineStr">
        <is>
          <t>HT-408</t>
        </is>
      </c>
      <c r="D3656" s="156" t="inlineStr">
        <is>
          <t>SY430</t>
        </is>
      </c>
      <c r="E3656" s="156" t="inlineStr">
        <is>
          <t>DT Hauling</t>
        </is>
      </c>
      <c r="F3656" s="156" t="inlineStr"/>
      <c r="G3656" s="182" t="n">
        <v>0</v>
      </c>
      <c r="H3656" s="182" t="n">
        <v>0</v>
      </c>
      <c r="I3656" s="182" t="n">
        <v>0</v>
      </c>
      <c r="J3656" s="182" t="n">
        <v>0</v>
      </c>
      <c r="K3656" s="182" t="n">
        <v>12</v>
      </c>
      <c r="L3656" s="182" t="n">
        <v>12</v>
      </c>
      <c r="M3656" s="182" t="n">
        <v>0</v>
      </c>
      <c r="N3656" s="182" t="n">
        <v>0</v>
      </c>
      <c r="O3656" s="183" t="n">
        <v>0</v>
      </c>
      <c r="P3656" s="183" t="n">
        <v>0</v>
      </c>
      <c r="Q3656" s="184" t="n">
        <v>0</v>
      </c>
      <c r="R3656" s="184" t="n">
        <v>0</v>
      </c>
      <c r="S3656" s="183" t="n">
        <v>0</v>
      </c>
      <c r="T3656" s="183" t="n">
        <v>0</v>
      </c>
      <c r="U3656" s="182" t="n">
        <v>0</v>
      </c>
      <c r="V3656" s="182" t="n">
        <v>0</v>
      </c>
      <c r="W3656" s="182" t="n">
        <v>0</v>
      </c>
      <c r="X3656" s="182" t="n">
        <v>1</v>
      </c>
      <c r="Y3656" s="182" t="n">
        <v>0</v>
      </c>
      <c r="Z3656" s="182" t="n">
        <v>0</v>
      </c>
      <c r="AA3656" s="182" t="n">
        <v>0</v>
      </c>
      <c r="AB3656" s="182" t="n">
        <v>0</v>
      </c>
      <c r="AC3656" s="182" t="n">
        <v>0</v>
      </c>
      <c r="AD3656" s="182" t="n">
        <v>0</v>
      </c>
      <c r="AE3656" s="182" t="n">
        <v>0</v>
      </c>
      <c r="AF3656" s="182" t="n">
        <v>0</v>
      </c>
      <c r="AG3656" s="182" t="n">
        <v>0</v>
      </c>
      <c r="AH3656" s="182" t="n">
        <v>0</v>
      </c>
      <c r="AI3656" s="182" t="n">
        <v>0</v>
      </c>
      <c r="AJ3656" s="182" t="n">
        <v>0</v>
      </c>
      <c r="AK3656" s="182" t="n">
        <v>10.92</v>
      </c>
      <c r="AL3656" s="182" t="n">
        <v>0</v>
      </c>
      <c r="AM3656" s="182" t="n">
        <v>0.08</v>
      </c>
      <c r="AN3656" s="182" t="n">
        <v>0</v>
      </c>
    </row>
    <row r="3657">
      <c r="A3657" s="155" t="n">
        <v>46098</v>
      </c>
      <c r="B3657" s="156" t="inlineStr">
        <is>
          <t>NS</t>
        </is>
      </c>
      <c r="C3657" s="156" t="inlineStr">
        <is>
          <t>HT-412</t>
        </is>
      </c>
      <c r="D3657" s="156" t="inlineStr">
        <is>
          <t>SY430</t>
        </is>
      </c>
      <c r="E3657" s="156" t="inlineStr">
        <is>
          <t>DT Hauling</t>
        </is>
      </c>
      <c r="F3657" s="156" t="inlineStr"/>
      <c r="G3657" s="182" t="n">
        <v>0</v>
      </c>
      <c r="H3657" s="182" t="n">
        <v>0</v>
      </c>
      <c r="I3657" s="182" t="n">
        <v>0</v>
      </c>
      <c r="J3657" s="182" t="n">
        <v>0</v>
      </c>
      <c r="K3657" s="182" t="n">
        <v>12</v>
      </c>
      <c r="L3657" s="182" t="n">
        <v>12</v>
      </c>
      <c r="M3657" s="182" t="n">
        <v>0</v>
      </c>
      <c r="N3657" s="182" t="n">
        <v>0</v>
      </c>
      <c r="O3657" s="183" t="n">
        <v>0</v>
      </c>
      <c r="P3657" s="183" t="n">
        <v>0</v>
      </c>
      <c r="Q3657" s="184" t="n">
        <v>0</v>
      </c>
      <c r="R3657" s="184" t="n">
        <v>0</v>
      </c>
      <c r="S3657" s="183" t="n">
        <v>0</v>
      </c>
      <c r="T3657" s="183" t="n">
        <v>0</v>
      </c>
      <c r="U3657" s="182" t="n">
        <v>0</v>
      </c>
      <c r="V3657" s="182" t="n">
        <v>0</v>
      </c>
      <c r="W3657" s="182" t="n">
        <v>0</v>
      </c>
      <c r="X3657" s="182" t="n">
        <v>1</v>
      </c>
      <c r="Y3657" s="182" t="n">
        <v>0</v>
      </c>
      <c r="Z3657" s="182" t="n">
        <v>0</v>
      </c>
      <c r="AA3657" s="182" t="n">
        <v>0</v>
      </c>
      <c r="AB3657" s="182" t="n">
        <v>0</v>
      </c>
      <c r="AC3657" s="182" t="n">
        <v>0</v>
      </c>
      <c r="AD3657" s="182" t="n">
        <v>0</v>
      </c>
      <c r="AE3657" s="182" t="n">
        <v>0</v>
      </c>
      <c r="AF3657" s="182" t="n">
        <v>0</v>
      </c>
      <c r="AG3657" s="182" t="n">
        <v>0</v>
      </c>
      <c r="AH3657" s="182" t="n">
        <v>0</v>
      </c>
      <c r="AI3657" s="182" t="n">
        <v>0</v>
      </c>
      <c r="AJ3657" s="182" t="n">
        <v>0</v>
      </c>
      <c r="AK3657" s="182" t="n">
        <v>10.92</v>
      </c>
      <c r="AL3657" s="182" t="n">
        <v>0</v>
      </c>
      <c r="AM3657" s="182" t="n">
        <v>0.08</v>
      </c>
      <c r="AN3657" s="182" t="n">
        <v>0</v>
      </c>
    </row>
    <row r="3658">
      <c r="A3658" s="155" t="n">
        <v>46098</v>
      </c>
      <c r="B3658" s="156" t="inlineStr">
        <is>
          <t>NS</t>
        </is>
      </c>
      <c r="C3658" s="156" t="inlineStr">
        <is>
          <t>HT-413</t>
        </is>
      </c>
      <c r="D3658" s="156" t="inlineStr">
        <is>
          <t>SY430</t>
        </is>
      </c>
      <c r="E3658" s="156" t="inlineStr">
        <is>
          <t>DT Hauling</t>
        </is>
      </c>
      <c r="F3658" s="156" t="inlineStr"/>
      <c r="G3658" s="182" t="n">
        <v>0</v>
      </c>
      <c r="H3658" s="182" t="n">
        <v>0</v>
      </c>
      <c r="I3658" s="182" t="n">
        <v>12</v>
      </c>
      <c r="J3658" s="182" t="n">
        <v>12</v>
      </c>
      <c r="K3658" s="182" t="n">
        <v>0</v>
      </c>
      <c r="L3658" s="182" t="n">
        <v>12</v>
      </c>
      <c r="M3658" s="182" t="n">
        <v>0</v>
      </c>
      <c r="N3658" s="182" t="n">
        <v>0</v>
      </c>
      <c r="O3658" s="183" t="n">
        <v>0</v>
      </c>
      <c r="P3658" s="183" t="n">
        <v>0</v>
      </c>
      <c r="Q3658" s="184" t="n">
        <v>0</v>
      </c>
      <c r="R3658" s="184" t="n">
        <v>0</v>
      </c>
      <c r="S3658" s="183" t="n">
        <v>0</v>
      </c>
      <c r="T3658" s="183" t="n">
        <v>0</v>
      </c>
      <c r="U3658" s="182" t="n">
        <v>0</v>
      </c>
      <c r="V3658" s="182" t="n">
        <v>0</v>
      </c>
      <c r="W3658" s="182" t="n">
        <v>0</v>
      </c>
      <c r="X3658" s="182" t="n">
        <v>0</v>
      </c>
      <c r="Y3658" s="182" t="n">
        <v>0</v>
      </c>
      <c r="Z3658" s="182" t="n">
        <v>0</v>
      </c>
      <c r="AA3658" s="182" t="n">
        <v>0</v>
      </c>
      <c r="AB3658" s="182" t="n">
        <v>0</v>
      </c>
      <c r="AC3658" s="182" t="n">
        <v>0</v>
      </c>
      <c r="AD3658" s="182" t="n">
        <v>0</v>
      </c>
      <c r="AE3658" s="182" t="n">
        <v>0</v>
      </c>
      <c r="AF3658" s="182" t="n">
        <v>0</v>
      </c>
      <c r="AG3658" s="182" t="n">
        <v>0</v>
      </c>
      <c r="AH3658" s="182" t="n">
        <v>0</v>
      </c>
      <c r="AI3658" s="182" t="n">
        <v>0</v>
      </c>
      <c r="AJ3658" s="182" t="n">
        <v>0</v>
      </c>
      <c r="AK3658" s="182" t="n">
        <v>0</v>
      </c>
      <c r="AL3658" s="182" t="n">
        <v>0</v>
      </c>
      <c r="AM3658" s="182" t="n">
        <v>0</v>
      </c>
      <c r="AN3658" s="182" t="n">
        <v>0</v>
      </c>
    </row>
    <row r="3659">
      <c r="A3659" s="155" t="n">
        <v>46098</v>
      </c>
      <c r="B3659" s="156" t="inlineStr">
        <is>
          <t>NS</t>
        </is>
      </c>
      <c r="C3659" s="156" t="inlineStr">
        <is>
          <t>HT-407</t>
        </is>
      </c>
      <c r="D3659" s="156" t="inlineStr">
        <is>
          <t>SY430</t>
        </is>
      </c>
      <c r="E3659" s="156" t="inlineStr">
        <is>
          <t>DT Hauling</t>
        </is>
      </c>
      <c r="F3659" s="156" t="inlineStr"/>
      <c r="G3659" s="182" t="n">
        <v>0</v>
      </c>
      <c r="H3659" s="182" t="n">
        <v>0</v>
      </c>
      <c r="I3659" s="182" t="n">
        <v>0</v>
      </c>
      <c r="J3659" s="182" t="n">
        <v>0</v>
      </c>
      <c r="K3659" s="182" t="n">
        <v>12</v>
      </c>
      <c r="L3659" s="182" t="n">
        <v>12</v>
      </c>
      <c r="M3659" s="182" t="n">
        <v>0</v>
      </c>
      <c r="N3659" s="182" t="n">
        <v>0</v>
      </c>
      <c r="O3659" s="183" t="n">
        <v>0</v>
      </c>
      <c r="P3659" s="183" t="n">
        <v>0</v>
      </c>
      <c r="Q3659" s="184" t="n">
        <v>0</v>
      </c>
      <c r="R3659" s="184" t="n">
        <v>0</v>
      </c>
      <c r="S3659" s="183" t="n">
        <v>0</v>
      </c>
      <c r="T3659" s="183" t="n">
        <v>0</v>
      </c>
      <c r="U3659" s="182" t="n">
        <v>0</v>
      </c>
      <c r="V3659" s="182" t="n">
        <v>0</v>
      </c>
      <c r="W3659" s="182" t="n">
        <v>0</v>
      </c>
      <c r="X3659" s="182" t="n">
        <v>1</v>
      </c>
      <c r="Y3659" s="182" t="n">
        <v>0</v>
      </c>
      <c r="Z3659" s="182" t="n">
        <v>0</v>
      </c>
      <c r="AA3659" s="182" t="n">
        <v>0</v>
      </c>
      <c r="AB3659" s="182" t="n">
        <v>0</v>
      </c>
      <c r="AC3659" s="182" t="n">
        <v>0</v>
      </c>
      <c r="AD3659" s="182" t="n">
        <v>0</v>
      </c>
      <c r="AE3659" s="182" t="n">
        <v>0</v>
      </c>
      <c r="AF3659" s="182" t="n">
        <v>0</v>
      </c>
      <c r="AG3659" s="182" t="n">
        <v>0</v>
      </c>
      <c r="AH3659" s="182" t="n">
        <v>0</v>
      </c>
      <c r="AI3659" s="182" t="n">
        <v>0</v>
      </c>
      <c r="AJ3659" s="182" t="n">
        <v>0</v>
      </c>
      <c r="AK3659" s="182" t="n">
        <v>10.92</v>
      </c>
      <c r="AL3659" s="182" t="n">
        <v>0</v>
      </c>
      <c r="AM3659" s="182" t="n">
        <v>0.08</v>
      </c>
      <c r="AN3659" s="182" t="n">
        <v>0</v>
      </c>
    </row>
    <row r="3660">
      <c r="A3660" s="155" t="n">
        <v>46098</v>
      </c>
      <c r="B3660" s="156" t="inlineStr">
        <is>
          <t>NS</t>
        </is>
      </c>
      <c r="C3660" s="156" t="inlineStr">
        <is>
          <t>HT-414</t>
        </is>
      </c>
      <c r="D3660" s="156" t="inlineStr">
        <is>
          <t>SY430</t>
        </is>
      </c>
      <c r="E3660" s="156" t="inlineStr">
        <is>
          <t>DT Hauling</t>
        </is>
      </c>
      <c r="F3660" s="156" t="inlineStr"/>
      <c r="G3660" s="182" t="n">
        <v>0</v>
      </c>
      <c r="H3660" s="182" t="n">
        <v>0</v>
      </c>
      <c r="I3660" s="182" t="n">
        <v>0</v>
      </c>
      <c r="J3660" s="182" t="n">
        <v>0</v>
      </c>
      <c r="K3660" s="182" t="n">
        <v>12</v>
      </c>
      <c r="L3660" s="182" t="n">
        <v>12</v>
      </c>
      <c r="M3660" s="182" t="n">
        <v>0</v>
      </c>
      <c r="N3660" s="182" t="n">
        <v>0</v>
      </c>
      <c r="O3660" s="183" t="n">
        <v>0</v>
      </c>
      <c r="P3660" s="183" t="n">
        <v>0</v>
      </c>
      <c r="Q3660" s="184" t="n">
        <v>0</v>
      </c>
      <c r="R3660" s="184" t="n">
        <v>0</v>
      </c>
      <c r="S3660" s="183" t="n">
        <v>0</v>
      </c>
      <c r="T3660" s="183" t="n">
        <v>0</v>
      </c>
      <c r="U3660" s="182" t="n">
        <v>0</v>
      </c>
      <c r="V3660" s="182" t="n">
        <v>0</v>
      </c>
      <c r="W3660" s="182" t="n">
        <v>0</v>
      </c>
      <c r="X3660" s="182" t="n">
        <v>1</v>
      </c>
      <c r="Y3660" s="182" t="n">
        <v>0</v>
      </c>
      <c r="Z3660" s="182" t="n">
        <v>0</v>
      </c>
      <c r="AA3660" s="182" t="n">
        <v>0</v>
      </c>
      <c r="AB3660" s="182" t="n">
        <v>0</v>
      </c>
      <c r="AC3660" s="182" t="n">
        <v>0</v>
      </c>
      <c r="AD3660" s="182" t="n">
        <v>0</v>
      </c>
      <c r="AE3660" s="182" t="n">
        <v>0</v>
      </c>
      <c r="AF3660" s="182" t="n">
        <v>0</v>
      </c>
      <c r="AG3660" s="182" t="n">
        <v>0</v>
      </c>
      <c r="AH3660" s="182" t="n">
        <v>0</v>
      </c>
      <c r="AI3660" s="182" t="n">
        <v>0</v>
      </c>
      <c r="AJ3660" s="182" t="n">
        <v>0</v>
      </c>
      <c r="AK3660" s="182" t="n">
        <v>10.92</v>
      </c>
      <c r="AL3660" s="182" t="n">
        <v>0</v>
      </c>
      <c r="AM3660" s="182" t="n">
        <v>0.08</v>
      </c>
      <c r="AN3660" s="182" t="n">
        <v>0</v>
      </c>
    </row>
    <row r="3661">
      <c r="A3661" s="155" t="n">
        <v>46098</v>
      </c>
      <c r="B3661" s="156" t="inlineStr">
        <is>
          <t>NS</t>
        </is>
      </c>
      <c r="C3661" s="156" t="inlineStr">
        <is>
          <t>HT-411</t>
        </is>
      </c>
      <c r="D3661" s="156" t="inlineStr">
        <is>
          <t>SY430</t>
        </is>
      </c>
      <c r="E3661" s="156" t="inlineStr">
        <is>
          <t>DT Hauling</t>
        </is>
      </c>
      <c r="F3661" s="156" t="inlineStr"/>
      <c r="G3661" s="182" t="n">
        <v>0</v>
      </c>
      <c r="H3661" s="182" t="n">
        <v>0</v>
      </c>
      <c r="I3661" s="182" t="n">
        <v>0</v>
      </c>
      <c r="J3661" s="182" t="n">
        <v>0</v>
      </c>
      <c r="K3661" s="182" t="n">
        <v>12</v>
      </c>
      <c r="L3661" s="182" t="n">
        <v>12</v>
      </c>
      <c r="M3661" s="182" t="n">
        <v>0</v>
      </c>
      <c r="N3661" s="182" t="n">
        <v>0</v>
      </c>
      <c r="O3661" s="183" t="n">
        <v>0</v>
      </c>
      <c r="P3661" s="183" t="n">
        <v>0</v>
      </c>
      <c r="Q3661" s="184" t="n">
        <v>0</v>
      </c>
      <c r="R3661" s="184" t="n">
        <v>0</v>
      </c>
      <c r="S3661" s="183" t="n">
        <v>0</v>
      </c>
      <c r="T3661" s="183" t="n">
        <v>0</v>
      </c>
      <c r="U3661" s="182" t="n">
        <v>0</v>
      </c>
      <c r="V3661" s="182" t="n">
        <v>0</v>
      </c>
      <c r="W3661" s="182" t="n">
        <v>0</v>
      </c>
      <c r="X3661" s="182" t="n">
        <v>1</v>
      </c>
      <c r="Y3661" s="182" t="n">
        <v>0</v>
      </c>
      <c r="Z3661" s="182" t="n">
        <v>0</v>
      </c>
      <c r="AA3661" s="182" t="n">
        <v>0</v>
      </c>
      <c r="AB3661" s="182" t="n">
        <v>0</v>
      </c>
      <c r="AC3661" s="182" t="n">
        <v>0</v>
      </c>
      <c r="AD3661" s="182" t="n">
        <v>0</v>
      </c>
      <c r="AE3661" s="182" t="n">
        <v>0</v>
      </c>
      <c r="AF3661" s="182" t="n">
        <v>0</v>
      </c>
      <c r="AG3661" s="182" t="n">
        <v>0</v>
      </c>
      <c r="AH3661" s="182" t="n">
        <v>0</v>
      </c>
      <c r="AI3661" s="182" t="n">
        <v>0</v>
      </c>
      <c r="AJ3661" s="182" t="n">
        <v>0</v>
      </c>
      <c r="AK3661" s="182" t="n">
        <v>10.92</v>
      </c>
      <c r="AL3661" s="182" t="n">
        <v>0</v>
      </c>
      <c r="AM3661" s="182" t="n">
        <v>0.08</v>
      </c>
      <c r="AN3661" s="182" t="n">
        <v>0</v>
      </c>
    </row>
    <row r="3662">
      <c r="A3662" s="155" t="n">
        <v>46098</v>
      </c>
      <c r="B3662" s="156" t="inlineStr">
        <is>
          <t>NS</t>
        </is>
      </c>
      <c r="C3662" s="156" t="inlineStr">
        <is>
          <t>HT-409</t>
        </is>
      </c>
      <c r="D3662" s="156" t="inlineStr">
        <is>
          <t>SY430</t>
        </is>
      </c>
      <c r="E3662" s="156" t="inlineStr">
        <is>
          <t>DT Hauling</t>
        </is>
      </c>
      <c r="F3662" s="156" t="inlineStr"/>
      <c r="G3662" s="182" t="n">
        <v>0</v>
      </c>
      <c r="H3662" s="182" t="n">
        <v>0</v>
      </c>
      <c r="I3662" s="182" t="n">
        <v>12</v>
      </c>
      <c r="J3662" s="182" t="n">
        <v>12</v>
      </c>
      <c r="K3662" s="182" t="n">
        <v>0</v>
      </c>
      <c r="L3662" s="182" t="n">
        <v>12</v>
      </c>
      <c r="M3662" s="182" t="n">
        <v>0</v>
      </c>
      <c r="N3662" s="182" t="n">
        <v>0</v>
      </c>
      <c r="O3662" s="183" t="n">
        <v>0</v>
      </c>
      <c r="P3662" s="183" t="n">
        <v>0</v>
      </c>
      <c r="Q3662" s="184" t="n">
        <v>0</v>
      </c>
      <c r="R3662" s="184" t="n">
        <v>0</v>
      </c>
      <c r="S3662" s="183" t="n">
        <v>0</v>
      </c>
      <c r="T3662" s="183" t="n">
        <v>0</v>
      </c>
      <c r="U3662" s="182" t="n">
        <v>0</v>
      </c>
      <c r="V3662" s="182" t="n">
        <v>0</v>
      </c>
      <c r="W3662" s="182" t="n">
        <v>0</v>
      </c>
      <c r="X3662" s="182" t="n">
        <v>0</v>
      </c>
      <c r="Y3662" s="182" t="n">
        <v>0</v>
      </c>
      <c r="Z3662" s="182" t="n">
        <v>0</v>
      </c>
      <c r="AA3662" s="182" t="n">
        <v>0</v>
      </c>
      <c r="AB3662" s="182" t="n">
        <v>0</v>
      </c>
      <c r="AC3662" s="182" t="n">
        <v>0</v>
      </c>
      <c r="AD3662" s="182" t="n">
        <v>0</v>
      </c>
      <c r="AE3662" s="182" t="n">
        <v>0</v>
      </c>
      <c r="AF3662" s="182" t="n">
        <v>0</v>
      </c>
      <c r="AG3662" s="182" t="n">
        <v>0</v>
      </c>
      <c r="AH3662" s="182" t="n">
        <v>0</v>
      </c>
      <c r="AI3662" s="182" t="n">
        <v>0</v>
      </c>
      <c r="AJ3662" s="182" t="n">
        <v>0</v>
      </c>
      <c r="AK3662" s="182" t="n">
        <v>0</v>
      </c>
      <c r="AL3662" s="182" t="n">
        <v>0</v>
      </c>
      <c r="AM3662" s="182" t="n">
        <v>0</v>
      </c>
      <c r="AN3662" s="182" t="n">
        <v>0</v>
      </c>
    </row>
    <row r="3663">
      <c r="A3663" s="155" t="n">
        <v>46098</v>
      </c>
      <c r="B3663" s="156" t="inlineStr">
        <is>
          <t>NS</t>
        </is>
      </c>
      <c r="C3663" s="156" t="inlineStr">
        <is>
          <t>DH-103</t>
        </is>
      </c>
      <c r="D3663" s="156" t="inlineStr">
        <is>
          <t>HINO FM260</t>
        </is>
      </c>
      <c r="E3663" s="156" t="inlineStr">
        <is>
          <t>DT Hino</t>
        </is>
      </c>
      <c r="F3663" s="156" t="inlineStr"/>
      <c r="G3663" s="182" t="n">
        <v>0</v>
      </c>
      <c r="H3663" s="182" t="n">
        <v>0</v>
      </c>
      <c r="I3663" s="182" t="n">
        <v>0</v>
      </c>
      <c r="J3663" s="182" t="n">
        <v>0</v>
      </c>
      <c r="K3663" s="182" t="n">
        <v>12</v>
      </c>
      <c r="L3663" s="182" t="n">
        <v>12</v>
      </c>
      <c r="M3663" s="182" t="n">
        <v>0</v>
      </c>
      <c r="N3663" s="182" t="n">
        <v>0</v>
      </c>
      <c r="O3663" s="183" t="n">
        <v>0</v>
      </c>
      <c r="P3663" s="183" t="n">
        <v>0</v>
      </c>
      <c r="Q3663" s="184" t="n">
        <v>0</v>
      </c>
      <c r="R3663" s="184" t="n">
        <v>0</v>
      </c>
      <c r="S3663" s="183" t="n">
        <v>0</v>
      </c>
      <c r="T3663" s="183" t="n">
        <v>0</v>
      </c>
      <c r="U3663" s="182" t="n">
        <v>0</v>
      </c>
      <c r="V3663" s="182" t="n">
        <v>0</v>
      </c>
      <c r="W3663" s="182" t="n">
        <v>0</v>
      </c>
      <c r="X3663" s="182" t="n">
        <v>1</v>
      </c>
      <c r="Y3663" s="182" t="n">
        <v>0</v>
      </c>
      <c r="Z3663" s="182" t="n">
        <v>0</v>
      </c>
      <c r="AA3663" s="182" t="n">
        <v>0</v>
      </c>
      <c r="AB3663" s="182" t="n">
        <v>0</v>
      </c>
      <c r="AC3663" s="182" t="n">
        <v>0</v>
      </c>
      <c r="AD3663" s="182" t="n">
        <v>0</v>
      </c>
      <c r="AE3663" s="182" t="n">
        <v>0</v>
      </c>
      <c r="AF3663" s="182" t="n">
        <v>0</v>
      </c>
      <c r="AG3663" s="182" t="n">
        <v>0</v>
      </c>
      <c r="AH3663" s="182" t="n">
        <v>0</v>
      </c>
      <c r="AI3663" s="182" t="n">
        <v>0</v>
      </c>
      <c r="AJ3663" s="182" t="n">
        <v>0</v>
      </c>
      <c r="AK3663" s="182" t="n">
        <v>10.92</v>
      </c>
      <c r="AL3663" s="182" t="n">
        <v>0</v>
      </c>
      <c r="AM3663" s="182" t="n">
        <v>0.08</v>
      </c>
      <c r="AN3663" s="182" t="n">
        <v>0</v>
      </c>
    </row>
    <row r="3664">
      <c r="A3664" s="155" t="n">
        <v>46098</v>
      </c>
      <c r="B3664" s="156" t="inlineStr">
        <is>
          <t>NS</t>
        </is>
      </c>
      <c r="C3664" s="156" t="inlineStr">
        <is>
          <t>DH-102</t>
        </is>
      </c>
      <c r="D3664" s="156" t="inlineStr">
        <is>
          <t>HINO FM260</t>
        </is>
      </c>
      <c r="E3664" s="156" t="inlineStr">
        <is>
          <t>DT Hino</t>
        </is>
      </c>
      <c r="F3664" s="156" t="inlineStr"/>
      <c r="G3664" s="182" t="n">
        <v>0</v>
      </c>
      <c r="H3664" s="182" t="n">
        <v>0</v>
      </c>
      <c r="I3664" s="182" t="n">
        <v>0</v>
      </c>
      <c r="J3664" s="182" t="n">
        <v>0</v>
      </c>
      <c r="K3664" s="182" t="n">
        <v>12</v>
      </c>
      <c r="L3664" s="182" t="n">
        <v>12</v>
      </c>
      <c r="M3664" s="182" t="n">
        <v>0</v>
      </c>
      <c r="N3664" s="182" t="n">
        <v>0</v>
      </c>
      <c r="O3664" s="183" t="n">
        <v>0</v>
      </c>
      <c r="P3664" s="183" t="n">
        <v>0</v>
      </c>
      <c r="Q3664" s="184" t="n">
        <v>0</v>
      </c>
      <c r="R3664" s="184" t="n">
        <v>0</v>
      </c>
      <c r="S3664" s="183" t="n">
        <v>0</v>
      </c>
      <c r="T3664" s="183" t="n">
        <v>0</v>
      </c>
      <c r="U3664" s="182" t="n">
        <v>0</v>
      </c>
      <c r="V3664" s="182" t="n">
        <v>0</v>
      </c>
      <c r="W3664" s="182" t="n">
        <v>0</v>
      </c>
      <c r="X3664" s="182" t="n">
        <v>1</v>
      </c>
      <c r="Y3664" s="182" t="n">
        <v>0</v>
      </c>
      <c r="Z3664" s="182" t="n">
        <v>0</v>
      </c>
      <c r="AA3664" s="182" t="n">
        <v>0</v>
      </c>
      <c r="AB3664" s="182" t="n">
        <v>0</v>
      </c>
      <c r="AC3664" s="182" t="n">
        <v>0</v>
      </c>
      <c r="AD3664" s="182" t="n">
        <v>0</v>
      </c>
      <c r="AE3664" s="182" t="n">
        <v>0</v>
      </c>
      <c r="AF3664" s="182" t="n">
        <v>0</v>
      </c>
      <c r="AG3664" s="182" t="n">
        <v>0</v>
      </c>
      <c r="AH3664" s="182" t="n">
        <v>0</v>
      </c>
      <c r="AI3664" s="182" t="n">
        <v>0</v>
      </c>
      <c r="AJ3664" s="182" t="n">
        <v>0</v>
      </c>
      <c r="AK3664" s="182" t="n">
        <v>10.92</v>
      </c>
      <c r="AL3664" s="182" t="n">
        <v>0</v>
      </c>
      <c r="AM3664" s="182" t="n">
        <v>0.08</v>
      </c>
      <c r="AN3664" s="182" t="n">
        <v>0</v>
      </c>
    </row>
    <row r="3665">
      <c r="A3665" s="155" t="n">
        <v>46098</v>
      </c>
      <c r="B3665" s="156" t="inlineStr">
        <is>
          <t>NS</t>
        </is>
      </c>
      <c r="C3665" s="156" t="inlineStr">
        <is>
          <t>DH-101</t>
        </is>
      </c>
      <c r="D3665" s="156" t="inlineStr">
        <is>
          <t>HINO FM260</t>
        </is>
      </c>
      <c r="E3665" s="156" t="inlineStr">
        <is>
          <t>DT Hino</t>
        </is>
      </c>
      <c r="F3665" s="156" t="inlineStr"/>
      <c r="G3665" s="182" t="n">
        <v>0</v>
      </c>
      <c r="H3665" s="182" t="n">
        <v>0</v>
      </c>
      <c r="I3665" s="182" t="n">
        <v>0</v>
      </c>
      <c r="J3665" s="182" t="n">
        <v>0</v>
      </c>
      <c r="K3665" s="182" t="n">
        <v>12</v>
      </c>
      <c r="L3665" s="182" t="n">
        <v>12</v>
      </c>
      <c r="M3665" s="182" t="n">
        <v>0</v>
      </c>
      <c r="N3665" s="182" t="n">
        <v>0</v>
      </c>
      <c r="O3665" s="183" t="n">
        <v>0</v>
      </c>
      <c r="P3665" s="183" t="n">
        <v>0</v>
      </c>
      <c r="Q3665" s="184" t="n">
        <v>0</v>
      </c>
      <c r="R3665" s="184" t="n">
        <v>0</v>
      </c>
      <c r="S3665" s="183" t="n">
        <v>0</v>
      </c>
      <c r="T3665" s="183" t="n">
        <v>0</v>
      </c>
      <c r="U3665" s="182" t="n">
        <v>0</v>
      </c>
      <c r="V3665" s="182" t="n">
        <v>0</v>
      </c>
      <c r="W3665" s="182" t="n">
        <v>0</v>
      </c>
      <c r="X3665" s="182" t="n">
        <v>1</v>
      </c>
      <c r="Y3665" s="182" t="n">
        <v>0</v>
      </c>
      <c r="Z3665" s="182" t="n">
        <v>0</v>
      </c>
      <c r="AA3665" s="182" t="n">
        <v>0</v>
      </c>
      <c r="AB3665" s="182" t="n">
        <v>0</v>
      </c>
      <c r="AC3665" s="182" t="n">
        <v>0</v>
      </c>
      <c r="AD3665" s="182" t="n">
        <v>0</v>
      </c>
      <c r="AE3665" s="182" t="n">
        <v>0</v>
      </c>
      <c r="AF3665" s="182" t="n">
        <v>0</v>
      </c>
      <c r="AG3665" s="182" t="n">
        <v>0</v>
      </c>
      <c r="AH3665" s="182" t="n">
        <v>0</v>
      </c>
      <c r="AI3665" s="182" t="n">
        <v>0</v>
      </c>
      <c r="AJ3665" s="182" t="n">
        <v>0</v>
      </c>
      <c r="AK3665" s="182" t="n">
        <v>10.92</v>
      </c>
      <c r="AL3665" s="182" t="n">
        <v>0</v>
      </c>
      <c r="AM3665" s="182" t="n">
        <v>0.08</v>
      </c>
      <c r="AN3665" s="182" t="n">
        <v>0</v>
      </c>
    </row>
    <row r="3666">
      <c r="A3666" s="155" t="n">
        <v>46098</v>
      </c>
      <c r="B3666" s="156" t="inlineStr">
        <is>
          <t>NS</t>
        </is>
      </c>
      <c r="C3666" s="156" t="inlineStr">
        <is>
          <t>EX-1251</t>
        </is>
      </c>
      <c r="D3666" s="156" t="inlineStr">
        <is>
          <t>SY1250</t>
        </is>
      </c>
      <c r="E3666" s="156" t="inlineStr">
        <is>
          <t>Excavator</t>
        </is>
      </c>
      <c r="F3666" s="156" t="inlineStr">
        <is>
          <t>Loading OB</t>
        </is>
      </c>
      <c r="G3666" s="182" t="n">
        <v>7.57</v>
      </c>
      <c r="H3666" s="182" t="n">
        <v>0</v>
      </c>
      <c r="I3666" s="182" t="n">
        <v>0</v>
      </c>
      <c r="J3666" s="182" t="n">
        <v>0</v>
      </c>
      <c r="K3666" s="182" t="n">
        <v>4.43</v>
      </c>
      <c r="L3666" s="182" t="n">
        <v>12</v>
      </c>
      <c r="M3666" s="182" t="n">
        <v>7.32</v>
      </c>
      <c r="N3666" s="182" t="n">
        <v>0</v>
      </c>
      <c r="O3666" s="183" t="n">
        <v>146</v>
      </c>
      <c r="P3666" s="183" t="n">
        <v>0</v>
      </c>
      <c r="Q3666" s="184" t="n">
        <v>2978.4</v>
      </c>
      <c r="R3666" s="184" t="n">
        <v>0</v>
      </c>
      <c r="S3666" s="183" t="n">
        <v>0</v>
      </c>
      <c r="T3666" s="183" t="n">
        <v>0</v>
      </c>
      <c r="U3666" s="182" t="n">
        <v>1.82</v>
      </c>
      <c r="V3666" s="182" t="n">
        <v>0.82</v>
      </c>
      <c r="W3666" s="182" t="n">
        <v>0.72</v>
      </c>
      <c r="X3666" s="182" t="n">
        <v>0.99</v>
      </c>
      <c r="Y3666" s="182" t="n">
        <v>0</v>
      </c>
      <c r="Z3666" s="182" t="n">
        <v>0</v>
      </c>
      <c r="AA3666" s="182" t="n">
        <v>0</v>
      </c>
      <c r="AB3666" s="182" t="n">
        <v>0</v>
      </c>
      <c r="AC3666" s="182" t="n">
        <v>0</v>
      </c>
      <c r="AD3666" s="182" t="n">
        <v>0</v>
      </c>
      <c r="AE3666" s="182" t="n">
        <v>0</v>
      </c>
      <c r="AF3666" s="182" t="n">
        <v>0</v>
      </c>
      <c r="AG3666" s="182" t="n">
        <v>0</v>
      </c>
      <c r="AH3666" s="182" t="n">
        <v>0</v>
      </c>
      <c r="AI3666" s="182" t="n">
        <v>0</v>
      </c>
      <c r="AJ3666" s="182" t="n">
        <v>0</v>
      </c>
      <c r="AK3666" s="182" t="n">
        <v>0</v>
      </c>
      <c r="AL3666" s="182" t="n">
        <v>0</v>
      </c>
      <c r="AM3666" s="182" t="n">
        <v>0.08</v>
      </c>
      <c r="AN3666" s="182" t="n">
        <v>0</v>
      </c>
    </row>
    <row r="3667">
      <c r="A3667" s="155" t="n">
        <v>46098</v>
      </c>
      <c r="B3667" s="156" t="inlineStr">
        <is>
          <t>NS</t>
        </is>
      </c>
      <c r="C3667" s="156" t="inlineStr">
        <is>
          <t>EX-1252</t>
        </is>
      </c>
      <c r="D3667" s="156" t="inlineStr">
        <is>
          <t>SY1250</t>
        </is>
      </c>
      <c r="E3667" s="156" t="inlineStr">
        <is>
          <t>Excavator</t>
        </is>
      </c>
      <c r="F3667" s="156" t="inlineStr">
        <is>
          <t>Loading OB</t>
        </is>
      </c>
      <c r="G3667" s="182" t="n">
        <v>6.38</v>
      </c>
      <c r="H3667" s="182" t="n">
        <v>0</v>
      </c>
      <c r="I3667" s="182" t="n">
        <v>0.37</v>
      </c>
      <c r="J3667" s="182" t="n">
        <v>0.37</v>
      </c>
      <c r="K3667" s="182" t="n">
        <v>5.25</v>
      </c>
      <c r="L3667" s="182" t="n">
        <v>12</v>
      </c>
      <c r="M3667" s="182" t="n">
        <v>6.38</v>
      </c>
      <c r="N3667" s="182" t="n">
        <v>0</v>
      </c>
      <c r="O3667" s="183" t="n">
        <v>177</v>
      </c>
      <c r="P3667" s="183" t="n">
        <v>0</v>
      </c>
      <c r="Q3667" s="184" t="n">
        <v>3610.8</v>
      </c>
      <c r="R3667" s="184" t="n">
        <v>0</v>
      </c>
      <c r="S3667" s="183" t="n">
        <v>0</v>
      </c>
      <c r="T3667" s="183" t="n">
        <v>0</v>
      </c>
      <c r="U3667" s="182" t="n">
        <v>1.97</v>
      </c>
      <c r="V3667" s="182" t="n">
        <v>0.89</v>
      </c>
      <c r="W3667" s="182" t="n">
        <v>1.23</v>
      </c>
      <c r="X3667" s="182" t="n">
        <v>1.08</v>
      </c>
      <c r="Y3667" s="182" t="n">
        <v>0</v>
      </c>
      <c r="Z3667" s="182" t="n">
        <v>0</v>
      </c>
      <c r="AA3667" s="182" t="n">
        <v>0</v>
      </c>
      <c r="AB3667" s="182" t="n">
        <v>0</v>
      </c>
      <c r="AC3667" s="182" t="n">
        <v>0</v>
      </c>
      <c r="AD3667" s="182" t="n">
        <v>0</v>
      </c>
      <c r="AE3667" s="182" t="n">
        <v>0</v>
      </c>
      <c r="AF3667" s="182" t="n">
        <v>0</v>
      </c>
      <c r="AG3667" s="182" t="n">
        <v>0</v>
      </c>
      <c r="AH3667" s="182" t="n">
        <v>0</v>
      </c>
      <c r="AI3667" s="182" t="n">
        <v>0</v>
      </c>
      <c r="AJ3667" s="182" t="n">
        <v>0</v>
      </c>
      <c r="AK3667" s="182" t="n">
        <v>0</v>
      </c>
      <c r="AL3667" s="182" t="n">
        <v>0</v>
      </c>
      <c r="AM3667" s="182" t="n">
        <v>0.09</v>
      </c>
      <c r="AN3667" s="182" t="n">
        <v>0</v>
      </c>
    </row>
    <row r="3668">
      <c r="A3668" s="155" t="n">
        <v>46098</v>
      </c>
      <c r="B3668" s="156" t="inlineStr">
        <is>
          <t>NS</t>
        </is>
      </c>
      <c r="C3668" s="156" t="inlineStr">
        <is>
          <t>EX-2101</t>
        </is>
      </c>
      <c r="D3668" s="156" t="inlineStr">
        <is>
          <t>SY2000</t>
        </is>
      </c>
      <c r="E3668" s="156" t="inlineStr">
        <is>
          <t>Excavator</t>
        </is>
      </c>
      <c r="F3668" s="156" t="inlineStr"/>
      <c r="G3668" s="182" t="n">
        <v>0</v>
      </c>
      <c r="H3668" s="182" t="n">
        <v>0</v>
      </c>
      <c r="I3668" s="182" t="n">
        <v>0</v>
      </c>
      <c r="J3668" s="182" t="n">
        <v>0</v>
      </c>
      <c r="K3668" s="182" t="n">
        <v>12</v>
      </c>
      <c r="L3668" s="182" t="n">
        <v>12</v>
      </c>
      <c r="M3668" s="182" t="n">
        <v>0</v>
      </c>
      <c r="N3668" s="182" t="n">
        <v>0</v>
      </c>
      <c r="O3668" s="183" t="n">
        <v>0</v>
      </c>
      <c r="P3668" s="183" t="n">
        <v>0</v>
      </c>
      <c r="Q3668" s="184" t="n">
        <v>0</v>
      </c>
      <c r="R3668" s="184" t="n">
        <v>0</v>
      </c>
      <c r="S3668" s="183" t="n">
        <v>0</v>
      </c>
      <c r="T3668" s="183" t="n">
        <v>0</v>
      </c>
      <c r="U3668" s="182" t="n">
        <v>0</v>
      </c>
      <c r="V3668" s="182" t="n">
        <v>0</v>
      </c>
      <c r="W3668" s="182" t="n">
        <v>0</v>
      </c>
      <c r="X3668" s="182" t="n">
        <v>1</v>
      </c>
      <c r="Y3668" s="182" t="n">
        <v>0</v>
      </c>
      <c r="Z3668" s="182" t="n">
        <v>0</v>
      </c>
      <c r="AA3668" s="182" t="n">
        <v>0</v>
      </c>
      <c r="AB3668" s="182" t="n">
        <v>0</v>
      </c>
      <c r="AC3668" s="182" t="n">
        <v>0</v>
      </c>
      <c r="AD3668" s="182" t="n">
        <v>0</v>
      </c>
      <c r="AE3668" s="182" t="n">
        <v>0</v>
      </c>
      <c r="AF3668" s="182" t="n">
        <v>0</v>
      </c>
      <c r="AG3668" s="182" t="n">
        <v>0</v>
      </c>
      <c r="AH3668" s="182" t="n">
        <v>0</v>
      </c>
      <c r="AI3668" s="182" t="n">
        <v>0</v>
      </c>
      <c r="AJ3668" s="182" t="n">
        <v>10.92</v>
      </c>
      <c r="AK3668" s="182" t="n">
        <v>0</v>
      </c>
      <c r="AL3668" s="182" t="n">
        <v>0</v>
      </c>
      <c r="AM3668" s="182" t="n">
        <v>0.08</v>
      </c>
      <c r="AN3668" s="182" t="n">
        <v>0</v>
      </c>
    </row>
    <row r="3669">
      <c r="A3669" s="155" t="n">
        <v>46098</v>
      </c>
      <c r="B3669" s="156" t="inlineStr">
        <is>
          <t>NS</t>
        </is>
      </c>
      <c r="C3669" s="156" t="inlineStr">
        <is>
          <t>EX-222</t>
        </is>
      </c>
      <c r="D3669" s="156" t="inlineStr">
        <is>
          <t>PC 200-8MI</t>
        </is>
      </c>
      <c r="E3669" s="156" t="inlineStr">
        <is>
          <t>Excavator</t>
        </is>
      </c>
      <c r="F3669" s="156" t="inlineStr">
        <is>
          <t>Support Washing Plant</t>
        </is>
      </c>
      <c r="G3669" s="182" t="n">
        <v>12</v>
      </c>
      <c r="H3669" s="182" t="n">
        <v>0</v>
      </c>
      <c r="I3669" s="182" t="n">
        <v>0</v>
      </c>
      <c r="J3669" s="182" t="n">
        <v>0</v>
      </c>
      <c r="K3669" s="182" t="n">
        <v>0</v>
      </c>
      <c r="L3669" s="182" t="n">
        <v>12</v>
      </c>
      <c r="M3669" s="182" t="n">
        <v>0</v>
      </c>
      <c r="N3669" s="182" t="n">
        <v>0</v>
      </c>
      <c r="O3669" s="183" t="n">
        <v>0</v>
      </c>
      <c r="P3669" s="183" t="n">
        <v>0</v>
      </c>
      <c r="Q3669" s="184" t="n">
        <v>0</v>
      </c>
      <c r="R3669" s="184" t="n">
        <v>0</v>
      </c>
      <c r="S3669" s="183" t="n">
        <v>0</v>
      </c>
      <c r="T3669" s="183" t="n">
        <v>0</v>
      </c>
      <c r="U3669" s="182" t="n">
        <v>0</v>
      </c>
      <c r="V3669" s="182" t="n">
        <v>0</v>
      </c>
      <c r="W3669" s="182" t="n">
        <v>0</v>
      </c>
      <c r="X3669" s="182" t="n">
        <v>0</v>
      </c>
      <c r="Y3669" s="182" t="n">
        <v>0</v>
      </c>
      <c r="Z3669" s="182" t="n">
        <v>0</v>
      </c>
      <c r="AA3669" s="182" t="n">
        <v>0</v>
      </c>
      <c r="AB3669" s="182" t="n">
        <v>0</v>
      </c>
      <c r="AC3669" s="182" t="n">
        <v>0</v>
      </c>
      <c r="AD3669" s="182" t="n">
        <v>0</v>
      </c>
      <c r="AE3669" s="182" t="n">
        <v>0</v>
      </c>
      <c r="AF3669" s="182" t="n">
        <v>0</v>
      </c>
      <c r="AG3669" s="182" t="n">
        <v>0</v>
      </c>
      <c r="AH3669" s="182" t="n">
        <v>0</v>
      </c>
      <c r="AI3669" s="182" t="n">
        <v>0</v>
      </c>
      <c r="AJ3669" s="182" t="n">
        <v>0</v>
      </c>
      <c r="AK3669" s="182" t="n">
        <v>0</v>
      </c>
      <c r="AL3669" s="182" t="n">
        <v>0</v>
      </c>
      <c r="AM3669" s="182" t="n">
        <v>0</v>
      </c>
      <c r="AN3669" s="182" t="n">
        <v>0</v>
      </c>
    </row>
    <row r="3670">
      <c r="A3670" s="155" t="n">
        <v>46098</v>
      </c>
      <c r="B3670" s="156" t="inlineStr">
        <is>
          <t>NS</t>
        </is>
      </c>
      <c r="C3670" s="156" t="inlineStr">
        <is>
          <t>EX-225</t>
        </is>
      </c>
      <c r="D3670" s="156" t="inlineStr">
        <is>
          <t>PC 200-8</t>
        </is>
      </c>
      <c r="E3670" s="156" t="inlineStr">
        <is>
          <t>Excavator</t>
        </is>
      </c>
      <c r="F3670" s="156" t="inlineStr"/>
      <c r="G3670" s="182" t="n">
        <v>0</v>
      </c>
      <c r="H3670" s="182" t="n">
        <v>0</v>
      </c>
      <c r="I3670" s="182" t="n">
        <v>12</v>
      </c>
      <c r="J3670" s="182" t="n">
        <v>12</v>
      </c>
      <c r="K3670" s="182" t="n">
        <v>0</v>
      </c>
      <c r="L3670" s="182" t="n">
        <v>12</v>
      </c>
      <c r="M3670" s="182" t="n">
        <v>0</v>
      </c>
      <c r="N3670" s="182" t="n">
        <v>0</v>
      </c>
      <c r="O3670" s="183" t="n">
        <v>0</v>
      </c>
      <c r="P3670" s="183" t="n">
        <v>0</v>
      </c>
      <c r="Q3670" s="184" t="n">
        <v>0</v>
      </c>
      <c r="R3670" s="184" t="n">
        <v>0</v>
      </c>
      <c r="S3670" s="183" t="n">
        <v>0</v>
      </c>
      <c r="T3670" s="183" t="n">
        <v>0</v>
      </c>
      <c r="U3670" s="182" t="n">
        <v>0</v>
      </c>
      <c r="V3670" s="182" t="n">
        <v>0</v>
      </c>
      <c r="W3670" s="182" t="n">
        <v>0</v>
      </c>
      <c r="X3670" s="182" t="n">
        <v>0</v>
      </c>
      <c r="Y3670" s="182" t="n">
        <v>0</v>
      </c>
      <c r="Z3670" s="182" t="n">
        <v>0</v>
      </c>
      <c r="AA3670" s="182" t="n">
        <v>0</v>
      </c>
      <c r="AB3670" s="182" t="n">
        <v>0</v>
      </c>
      <c r="AC3670" s="182" t="n">
        <v>0</v>
      </c>
      <c r="AD3670" s="182" t="n">
        <v>0</v>
      </c>
      <c r="AE3670" s="182" t="n">
        <v>0</v>
      </c>
      <c r="AF3670" s="182" t="n">
        <v>0</v>
      </c>
      <c r="AG3670" s="182" t="n">
        <v>0</v>
      </c>
      <c r="AH3670" s="182" t="n">
        <v>0</v>
      </c>
      <c r="AI3670" s="182" t="n">
        <v>0</v>
      </c>
      <c r="AJ3670" s="182" t="n">
        <v>0</v>
      </c>
      <c r="AK3670" s="182" t="n">
        <v>0</v>
      </c>
      <c r="AL3670" s="182" t="n">
        <v>0</v>
      </c>
      <c r="AM3670" s="182" t="n">
        <v>0</v>
      </c>
      <c r="AN3670" s="182" t="n">
        <v>0</v>
      </c>
    </row>
    <row r="3671">
      <c r="A3671" s="155" t="n">
        <v>46098</v>
      </c>
      <c r="B3671" s="156" t="inlineStr">
        <is>
          <t>NS</t>
        </is>
      </c>
      <c r="C3671" s="156" t="inlineStr">
        <is>
          <t>EX-223</t>
        </is>
      </c>
      <c r="D3671" s="156" t="inlineStr">
        <is>
          <t>PC 200-8MI</t>
        </is>
      </c>
      <c r="E3671" s="156" t="inlineStr">
        <is>
          <t>Excavator</t>
        </is>
      </c>
      <c r="F3671" s="156" t="inlineStr">
        <is>
          <t>Support Washing Plant</t>
        </is>
      </c>
      <c r="G3671" s="182" t="n">
        <v>10.38</v>
      </c>
      <c r="H3671" s="182" t="n">
        <v>0</v>
      </c>
      <c r="I3671" s="182" t="n">
        <v>0</v>
      </c>
      <c r="J3671" s="182" t="n">
        <v>0</v>
      </c>
      <c r="K3671" s="182" t="n">
        <v>1.62</v>
      </c>
      <c r="L3671" s="182" t="n">
        <v>12</v>
      </c>
      <c r="M3671" s="182" t="n">
        <v>0</v>
      </c>
      <c r="N3671" s="182" t="n">
        <v>0</v>
      </c>
      <c r="O3671" s="183" t="n">
        <v>0</v>
      </c>
      <c r="P3671" s="183" t="n">
        <v>0</v>
      </c>
      <c r="Q3671" s="184" t="n">
        <v>0</v>
      </c>
      <c r="R3671" s="184" t="n">
        <v>0</v>
      </c>
      <c r="S3671" s="183" t="n">
        <v>0</v>
      </c>
      <c r="T3671" s="183" t="n">
        <v>0</v>
      </c>
      <c r="U3671" s="182" t="n">
        <v>0</v>
      </c>
      <c r="V3671" s="182" t="n">
        <v>0</v>
      </c>
      <c r="W3671" s="182" t="n">
        <v>0</v>
      </c>
      <c r="X3671" s="182" t="n">
        <v>1.01</v>
      </c>
      <c r="Y3671" s="182" t="n">
        <v>0</v>
      </c>
      <c r="Z3671" s="182" t="n">
        <v>0</v>
      </c>
      <c r="AA3671" s="182" t="n">
        <v>0</v>
      </c>
      <c r="AB3671" s="182" t="n">
        <v>0</v>
      </c>
      <c r="AC3671" s="182" t="n">
        <v>0</v>
      </c>
      <c r="AD3671" s="182" t="n">
        <v>0</v>
      </c>
      <c r="AE3671" s="182" t="n">
        <v>0</v>
      </c>
      <c r="AF3671" s="182" t="n">
        <v>0</v>
      </c>
      <c r="AG3671" s="182" t="n">
        <v>0</v>
      </c>
      <c r="AH3671" s="182" t="n">
        <v>0.53</v>
      </c>
      <c r="AI3671" s="182" t="n">
        <v>0</v>
      </c>
      <c r="AJ3671" s="182" t="n">
        <v>0</v>
      </c>
      <c r="AK3671" s="182" t="n">
        <v>0</v>
      </c>
      <c r="AL3671" s="182" t="n">
        <v>0</v>
      </c>
      <c r="AM3671" s="182" t="n">
        <v>0.08</v>
      </c>
      <c r="AN3671" s="182" t="n">
        <v>0</v>
      </c>
    </row>
    <row r="3672">
      <c r="A3672" s="155" t="n">
        <v>46098</v>
      </c>
      <c r="B3672" s="156" t="inlineStr">
        <is>
          <t>NS</t>
        </is>
      </c>
      <c r="C3672" s="156" t="inlineStr">
        <is>
          <t>EX-221</t>
        </is>
      </c>
      <c r="D3672" s="156" t="inlineStr">
        <is>
          <t>PC 200-8MI</t>
        </is>
      </c>
      <c r="E3672" s="156" t="inlineStr">
        <is>
          <t>Excavator</t>
        </is>
      </c>
      <c r="F3672" s="156" t="inlineStr"/>
      <c r="G3672" s="182" t="n">
        <v>0</v>
      </c>
      <c r="H3672" s="182" t="n">
        <v>0</v>
      </c>
      <c r="I3672" s="182" t="n">
        <v>0</v>
      </c>
      <c r="J3672" s="182" t="n">
        <v>0</v>
      </c>
      <c r="K3672" s="182" t="n">
        <v>12</v>
      </c>
      <c r="L3672" s="182" t="n">
        <v>12</v>
      </c>
      <c r="M3672" s="182" t="n">
        <v>0</v>
      </c>
      <c r="N3672" s="182" t="n">
        <v>0</v>
      </c>
      <c r="O3672" s="183" t="n">
        <v>0</v>
      </c>
      <c r="P3672" s="183" t="n">
        <v>0</v>
      </c>
      <c r="Q3672" s="184" t="n">
        <v>0</v>
      </c>
      <c r="R3672" s="184" t="n">
        <v>0</v>
      </c>
      <c r="S3672" s="183" t="n">
        <v>0</v>
      </c>
      <c r="T3672" s="183" t="n">
        <v>0</v>
      </c>
      <c r="U3672" s="182" t="n">
        <v>0</v>
      </c>
      <c r="V3672" s="182" t="n">
        <v>0</v>
      </c>
      <c r="W3672" s="182" t="n">
        <v>0</v>
      </c>
      <c r="X3672" s="182" t="n">
        <v>1</v>
      </c>
      <c r="Y3672" s="182" t="n">
        <v>0</v>
      </c>
      <c r="Z3672" s="182" t="n">
        <v>0</v>
      </c>
      <c r="AA3672" s="182" t="n">
        <v>0</v>
      </c>
      <c r="AB3672" s="182" t="n">
        <v>0</v>
      </c>
      <c r="AC3672" s="182" t="n">
        <v>0</v>
      </c>
      <c r="AD3672" s="182" t="n">
        <v>0</v>
      </c>
      <c r="AE3672" s="182" t="n">
        <v>0</v>
      </c>
      <c r="AF3672" s="182" t="n">
        <v>0</v>
      </c>
      <c r="AG3672" s="182" t="n">
        <v>0</v>
      </c>
      <c r="AH3672" s="182" t="n">
        <v>0</v>
      </c>
      <c r="AI3672" s="182" t="n">
        <v>0</v>
      </c>
      <c r="AJ3672" s="182" t="n">
        <v>0</v>
      </c>
      <c r="AK3672" s="182" t="n">
        <v>10.92</v>
      </c>
      <c r="AL3672" s="182" t="n">
        <v>0</v>
      </c>
      <c r="AM3672" s="182" t="n">
        <v>0.08</v>
      </c>
      <c r="AN3672" s="182" t="n">
        <v>0</v>
      </c>
    </row>
    <row r="3673">
      <c r="A3673" s="155" t="n">
        <v>46098</v>
      </c>
      <c r="B3673" s="156" t="inlineStr">
        <is>
          <t>NS</t>
        </is>
      </c>
      <c r="C3673" s="156" t="inlineStr">
        <is>
          <t>EX-331</t>
        </is>
      </c>
      <c r="D3673" s="156" t="inlineStr">
        <is>
          <t>PC 300-8MO</t>
        </is>
      </c>
      <c r="E3673" s="156" t="inlineStr">
        <is>
          <t>Excavator</t>
        </is>
      </c>
      <c r="F3673" s="156" t="inlineStr"/>
      <c r="G3673" s="182" t="n">
        <v>0</v>
      </c>
      <c r="H3673" s="182" t="n">
        <v>0</v>
      </c>
      <c r="I3673" s="182" t="n">
        <v>12</v>
      </c>
      <c r="J3673" s="182" t="n">
        <v>12</v>
      </c>
      <c r="K3673" s="182" t="n">
        <v>0</v>
      </c>
      <c r="L3673" s="182" t="n">
        <v>12</v>
      </c>
      <c r="M3673" s="182" t="n">
        <v>0</v>
      </c>
      <c r="N3673" s="182" t="n">
        <v>0</v>
      </c>
      <c r="O3673" s="183" t="n">
        <v>0</v>
      </c>
      <c r="P3673" s="183" t="n">
        <v>0</v>
      </c>
      <c r="Q3673" s="184" t="n">
        <v>0</v>
      </c>
      <c r="R3673" s="184" t="n">
        <v>0</v>
      </c>
      <c r="S3673" s="183" t="n">
        <v>0</v>
      </c>
      <c r="T3673" s="183" t="n">
        <v>0</v>
      </c>
      <c r="U3673" s="182" t="n">
        <v>0</v>
      </c>
      <c r="V3673" s="182" t="n">
        <v>0</v>
      </c>
      <c r="W3673" s="182" t="n">
        <v>0</v>
      </c>
      <c r="X3673" s="182" t="n">
        <v>0</v>
      </c>
      <c r="Y3673" s="182" t="n">
        <v>0</v>
      </c>
      <c r="Z3673" s="182" t="n">
        <v>0</v>
      </c>
      <c r="AA3673" s="182" t="n">
        <v>0</v>
      </c>
      <c r="AB3673" s="182" t="n">
        <v>0</v>
      </c>
      <c r="AC3673" s="182" t="n">
        <v>0</v>
      </c>
      <c r="AD3673" s="182" t="n">
        <v>0</v>
      </c>
      <c r="AE3673" s="182" t="n">
        <v>0</v>
      </c>
      <c r="AF3673" s="182" t="n">
        <v>0</v>
      </c>
      <c r="AG3673" s="182" t="n">
        <v>0</v>
      </c>
      <c r="AH3673" s="182" t="n">
        <v>0</v>
      </c>
      <c r="AI3673" s="182" t="n">
        <v>0</v>
      </c>
      <c r="AJ3673" s="182" t="n">
        <v>0</v>
      </c>
      <c r="AK3673" s="182" t="n">
        <v>0</v>
      </c>
      <c r="AL3673" s="182" t="n">
        <v>0</v>
      </c>
      <c r="AM3673" s="182" t="n">
        <v>0</v>
      </c>
      <c r="AN3673" s="182" t="n">
        <v>0</v>
      </c>
    </row>
    <row r="3674">
      <c r="A3674" s="155" t="n">
        <v>46098</v>
      </c>
      <c r="B3674" s="156" t="inlineStr">
        <is>
          <t>NS</t>
        </is>
      </c>
      <c r="C3674" s="156" t="inlineStr">
        <is>
          <t>EX-334</t>
        </is>
      </c>
      <c r="D3674" s="156" t="inlineStr">
        <is>
          <t>PC 300-8MO</t>
        </is>
      </c>
      <c r="E3674" s="156" t="inlineStr">
        <is>
          <t>Excavator</t>
        </is>
      </c>
      <c r="F3674" s="156" t="inlineStr">
        <is>
          <t>Cleaning Coal</t>
        </is>
      </c>
      <c r="G3674" s="182" t="n">
        <v>12</v>
      </c>
      <c r="H3674" s="182" t="n">
        <v>0</v>
      </c>
      <c r="I3674" s="182" t="n">
        <v>0</v>
      </c>
      <c r="J3674" s="182" t="n">
        <v>0</v>
      </c>
      <c r="K3674" s="182" t="n">
        <v>0</v>
      </c>
      <c r="L3674" s="182" t="n">
        <v>12</v>
      </c>
      <c r="M3674" s="182" t="n">
        <v>0</v>
      </c>
      <c r="N3674" s="182" t="n">
        <v>0</v>
      </c>
      <c r="O3674" s="183" t="n">
        <v>0</v>
      </c>
      <c r="P3674" s="183" t="n">
        <v>0</v>
      </c>
      <c r="Q3674" s="184" t="n">
        <v>0</v>
      </c>
      <c r="R3674" s="184" t="n">
        <v>0</v>
      </c>
      <c r="S3674" s="183" t="n">
        <v>0</v>
      </c>
      <c r="T3674" s="183" t="n">
        <v>0</v>
      </c>
      <c r="U3674" s="182" t="n">
        <v>0</v>
      </c>
      <c r="V3674" s="182" t="n">
        <v>0</v>
      </c>
      <c r="W3674" s="182" t="n">
        <v>0</v>
      </c>
      <c r="X3674" s="182" t="n">
        <v>0</v>
      </c>
      <c r="Y3674" s="182" t="n">
        <v>0</v>
      </c>
      <c r="Z3674" s="182" t="n">
        <v>0</v>
      </c>
      <c r="AA3674" s="182" t="n">
        <v>0</v>
      </c>
      <c r="AB3674" s="182" t="n">
        <v>0</v>
      </c>
      <c r="AC3674" s="182" t="n">
        <v>0</v>
      </c>
      <c r="AD3674" s="182" t="n">
        <v>0</v>
      </c>
      <c r="AE3674" s="182" t="n">
        <v>0</v>
      </c>
      <c r="AF3674" s="182" t="n">
        <v>0</v>
      </c>
      <c r="AG3674" s="182" t="n">
        <v>0</v>
      </c>
      <c r="AH3674" s="182" t="n">
        <v>0</v>
      </c>
      <c r="AI3674" s="182" t="n">
        <v>0</v>
      </c>
      <c r="AJ3674" s="182" t="n">
        <v>0</v>
      </c>
      <c r="AK3674" s="182" t="n">
        <v>0</v>
      </c>
      <c r="AL3674" s="182" t="n">
        <v>0</v>
      </c>
      <c r="AM3674" s="182" t="n">
        <v>0</v>
      </c>
      <c r="AN3674" s="182" t="n">
        <v>0</v>
      </c>
    </row>
    <row r="3675">
      <c r="A3675" s="155" t="n">
        <v>46098</v>
      </c>
      <c r="B3675" s="156" t="inlineStr">
        <is>
          <t>NS</t>
        </is>
      </c>
      <c r="C3675" s="156" t="inlineStr">
        <is>
          <t>EX-332</t>
        </is>
      </c>
      <c r="D3675" s="156" t="inlineStr">
        <is>
          <t>PC 300-8MO</t>
        </is>
      </c>
      <c r="E3675" s="156" t="inlineStr">
        <is>
          <t>Excavator</t>
        </is>
      </c>
      <c r="F3675" s="156" t="inlineStr">
        <is>
          <t>General tarik TL</t>
        </is>
      </c>
      <c r="G3675" s="182" t="n">
        <v>0.9399999999999999</v>
      </c>
      <c r="H3675" s="182" t="n">
        <v>0</v>
      </c>
      <c r="I3675" s="182" t="n">
        <v>4.08</v>
      </c>
      <c r="J3675" s="182" t="n">
        <v>4.08</v>
      </c>
      <c r="K3675" s="182" t="n">
        <v>6.98</v>
      </c>
      <c r="L3675" s="182" t="n">
        <v>12</v>
      </c>
      <c r="M3675" s="182" t="n">
        <v>0</v>
      </c>
      <c r="N3675" s="182" t="n">
        <v>0</v>
      </c>
      <c r="O3675" s="183" t="n">
        <v>0</v>
      </c>
      <c r="P3675" s="183" t="n">
        <v>0</v>
      </c>
      <c r="Q3675" s="184" t="n">
        <v>0</v>
      </c>
      <c r="R3675" s="184" t="n">
        <v>0</v>
      </c>
      <c r="S3675" s="183" t="n">
        <v>0</v>
      </c>
      <c r="T3675" s="183" t="n">
        <v>0</v>
      </c>
      <c r="U3675" s="182" t="n">
        <v>0</v>
      </c>
      <c r="V3675" s="182" t="n">
        <v>0</v>
      </c>
      <c r="W3675" s="182" t="n">
        <v>0</v>
      </c>
      <c r="X3675" s="182" t="n">
        <v>1.01</v>
      </c>
      <c r="Y3675" s="182" t="n">
        <v>0</v>
      </c>
      <c r="Z3675" s="182" t="n">
        <v>0</v>
      </c>
      <c r="AA3675" s="182" t="n">
        <v>0</v>
      </c>
      <c r="AB3675" s="182" t="n">
        <v>0</v>
      </c>
      <c r="AC3675" s="182" t="n">
        <v>0</v>
      </c>
      <c r="AD3675" s="182" t="n">
        <v>0</v>
      </c>
      <c r="AE3675" s="182" t="n">
        <v>0</v>
      </c>
      <c r="AF3675" s="182" t="n">
        <v>0</v>
      </c>
      <c r="AG3675" s="182" t="n">
        <v>0</v>
      </c>
      <c r="AH3675" s="182" t="n">
        <v>0</v>
      </c>
      <c r="AI3675" s="182" t="n">
        <v>0</v>
      </c>
      <c r="AJ3675" s="182" t="n">
        <v>0</v>
      </c>
      <c r="AK3675" s="182" t="n">
        <v>5.88</v>
      </c>
      <c r="AL3675" s="182" t="n">
        <v>0</v>
      </c>
      <c r="AM3675" s="182" t="n">
        <v>0.08</v>
      </c>
      <c r="AN3675" s="182" t="n">
        <v>0</v>
      </c>
    </row>
    <row r="3676">
      <c r="A3676" s="155" t="n">
        <v>46098</v>
      </c>
      <c r="B3676" s="156" t="inlineStr">
        <is>
          <t>NS</t>
        </is>
      </c>
      <c r="C3676" s="156" t="inlineStr">
        <is>
          <t>EX-333</t>
        </is>
      </c>
      <c r="D3676" s="156" t="inlineStr">
        <is>
          <t>PC 300-8MO</t>
        </is>
      </c>
      <c r="E3676" s="156" t="inlineStr">
        <is>
          <t>Excavator</t>
        </is>
      </c>
      <c r="F3676" s="156" t="inlineStr">
        <is>
          <t>General Estapet Soil</t>
        </is>
      </c>
      <c r="G3676" s="182" t="n">
        <v>11.16</v>
      </c>
      <c r="H3676" s="182" t="n">
        <v>0</v>
      </c>
      <c r="I3676" s="182" t="n">
        <v>0</v>
      </c>
      <c r="J3676" s="182" t="n">
        <v>0</v>
      </c>
      <c r="K3676" s="182" t="n">
        <v>0.84</v>
      </c>
      <c r="L3676" s="182" t="n">
        <v>12</v>
      </c>
      <c r="M3676" s="182" t="n">
        <v>0</v>
      </c>
      <c r="N3676" s="182" t="n">
        <v>0</v>
      </c>
      <c r="O3676" s="183" t="n">
        <v>0</v>
      </c>
      <c r="P3676" s="183" t="n">
        <v>0</v>
      </c>
      <c r="Q3676" s="184" t="n">
        <v>0</v>
      </c>
      <c r="R3676" s="184" t="n">
        <v>0</v>
      </c>
      <c r="S3676" s="183" t="n">
        <v>0</v>
      </c>
      <c r="T3676" s="183" t="n">
        <v>0</v>
      </c>
      <c r="U3676" s="182" t="n">
        <v>0</v>
      </c>
      <c r="V3676" s="182" t="n">
        <v>0</v>
      </c>
      <c r="W3676" s="182" t="n">
        <v>0</v>
      </c>
      <c r="X3676" s="182" t="n">
        <v>0.73</v>
      </c>
      <c r="Y3676" s="182" t="n">
        <v>0</v>
      </c>
      <c r="Z3676" s="182" t="n">
        <v>0</v>
      </c>
      <c r="AA3676" s="182" t="n">
        <v>0</v>
      </c>
      <c r="AB3676" s="182" t="n">
        <v>0</v>
      </c>
      <c r="AC3676" s="182" t="n">
        <v>0</v>
      </c>
      <c r="AD3676" s="182" t="n">
        <v>0</v>
      </c>
      <c r="AE3676" s="182" t="n">
        <v>0</v>
      </c>
      <c r="AF3676" s="182" t="n">
        <v>0</v>
      </c>
      <c r="AG3676" s="182" t="n">
        <v>0</v>
      </c>
      <c r="AH3676" s="182" t="n">
        <v>0</v>
      </c>
      <c r="AI3676" s="182" t="n">
        <v>0</v>
      </c>
      <c r="AJ3676" s="182" t="n">
        <v>0</v>
      </c>
      <c r="AK3676" s="182" t="n">
        <v>0</v>
      </c>
      <c r="AL3676" s="182" t="n">
        <v>0</v>
      </c>
      <c r="AM3676" s="182" t="n">
        <v>0.11</v>
      </c>
      <c r="AN3676" s="182" t="n">
        <v>0</v>
      </c>
    </row>
    <row r="3677">
      <c r="A3677" s="155" t="n">
        <v>46098</v>
      </c>
      <c r="B3677" s="156" t="inlineStr">
        <is>
          <t>NS</t>
        </is>
      </c>
      <c r="C3677" s="156" t="inlineStr">
        <is>
          <t>EX-336</t>
        </is>
      </c>
      <c r="D3677" s="156" t="inlineStr">
        <is>
          <t>PC 300-8MO</t>
        </is>
      </c>
      <c r="E3677" s="156" t="inlineStr">
        <is>
          <t>Excavator</t>
        </is>
      </c>
      <c r="F3677" s="156" t="inlineStr">
        <is>
          <t>General Estapet Soil</t>
        </is>
      </c>
      <c r="G3677" s="182" t="n">
        <v>10.4</v>
      </c>
      <c r="H3677" s="182" t="n">
        <v>0</v>
      </c>
      <c r="I3677" s="182" t="n">
        <v>0</v>
      </c>
      <c r="J3677" s="182" t="n">
        <v>0</v>
      </c>
      <c r="K3677" s="182" t="n">
        <v>1.6</v>
      </c>
      <c r="L3677" s="182" t="n">
        <v>12</v>
      </c>
      <c r="M3677" s="182" t="n">
        <v>0</v>
      </c>
      <c r="N3677" s="182" t="n">
        <v>0</v>
      </c>
      <c r="O3677" s="183" t="n">
        <v>0</v>
      </c>
      <c r="P3677" s="183" t="n">
        <v>0</v>
      </c>
      <c r="Q3677" s="184" t="n">
        <v>0</v>
      </c>
      <c r="R3677" s="184" t="n">
        <v>0</v>
      </c>
      <c r="S3677" s="183" t="n">
        <v>0</v>
      </c>
      <c r="T3677" s="183" t="n">
        <v>0</v>
      </c>
      <c r="U3677" s="182" t="n">
        <v>0</v>
      </c>
      <c r="V3677" s="182" t="n">
        <v>0</v>
      </c>
      <c r="W3677" s="182" t="n">
        <v>0</v>
      </c>
      <c r="X3677" s="182" t="n">
        <v>1.47</v>
      </c>
      <c r="Y3677" s="182" t="n">
        <v>0</v>
      </c>
      <c r="Z3677" s="182" t="n">
        <v>0</v>
      </c>
      <c r="AA3677" s="182" t="n">
        <v>0</v>
      </c>
      <c r="AB3677" s="182" t="n">
        <v>0</v>
      </c>
      <c r="AC3677" s="182" t="n">
        <v>0</v>
      </c>
      <c r="AD3677" s="182" t="n">
        <v>0</v>
      </c>
      <c r="AE3677" s="182" t="n">
        <v>0</v>
      </c>
      <c r="AF3677" s="182" t="n">
        <v>0</v>
      </c>
      <c r="AG3677" s="182" t="n">
        <v>0</v>
      </c>
      <c r="AH3677" s="182" t="n">
        <v>0</v>
      </c>
      <c r="AI3677" s="182" t="n">
        <v>0</v>
      </c>
      <c r="AJ3677" s="182" t="n">
        <v>0</v>
      </c>
      <c r="AK3677" s="182" t="n">
        <v>0</v>
      </c>
      <c r="AL3677" s="182" t="n">
        <v>0</v>
      </c>
      <c r="AM3677" s="182" t="n">
        <v>0.13</v>
      </c>
      <c r="AN3677" s="182" t="n">
        <v>0</v>
      </c>
    </row>
    <row r="3678">
      <c r="A3678" s="155" t="n">
        <v>46098</v>
      </c>
      <c r="B3678" s="156" t="inlineStr">
        <is>
          <t>NS</t>
        </is>
      </c>
      <c r="C3678" s="156" t="inlineStr">
        <is>
          <t>EX-335</t>
        </is>
      </c>
      <c r="D3678" s="156" t="inlineStr">
        <is>
          <t>PC 300-8MO</t>
        </is>
      </c>
      <c r="E3678" s="156" t="inlineStr">
        <is>
          <t>Excavator</t>
        </is>
      </c>
      <c r="F3678" s="156" t="inlineStr"/>
      <c r="G3678" s="182" t="n">
        <v>0</v>
      </c>
      <c r="H3678" s="182" t="n">
        <v>0</v>
      </c>
      <c r="I3678" s="182" t="n">
        <v>12</v>
      </c>
      <c r="J3678" s="182" t="n">
        <v>12</v>
      </c>
      <c r="K3678" s="182" t="n">
        <v>0</v>
      </c>
      <c r="L3678" s="182" t="n">
        <v>12</v>
      </c>
      <c r="M3678" s="182" t="n">
        <v>0</v>
      </c>
      <c r="N3678" s="182" t="n">
        <v>0</v>
      </c>
      <c r="O3678" s="183" t="n">
        <v>0</v>
      </c>
      <c r="P3678" s="183" t="n">
        <v>0</v>
      </c>
      <c r="Q3678" s="184" t="n">
        <v>0</v>
      </c>
      <c r="R3678" s="184" t="n">
        <v>0</v>
      </c>
      <c r="S3678" s="183" t="n">
        <v>0</v>
      </c>
      <c r="T3678" s="183" t="n">
        <v>0</v>
      </c>
      <c r="U3678" s="182" t="n">
        <v>0</v>
      </c>
      <c r="V3678" s="182" t="n">
        <v>0</v>
      </c>
      <c r="W3678" s="182" t="n">
        <v>0</v>
      </c>
      <c r="X3678" s="182" t="n">
        <v>0</v>
      </c>
      <c r="Y3678" s="182" t="n">
        <v>0</v>
      </c>
      <c r="Z3678" s="182" t="n">
        <v>0</v>
      </c>
      <c r="AA3678" s="182" t="n">
        <v>0</v>
      </c>
      <c r="AB3678" s="182" t="n">
        <v>0</v>
      </c>
      <c r="AC3678" s="182" t="n">
        <v>0</v>
      </c>
      <c r="AD3678" s="182" t="n">
        <v>0</v>
      </c>
      <c r="AE3678" s="182" t="n">
        <v>0</v>
      </c>
      <c r="AF3678" s="182" t="n">
        <v>0</v>
      </c>
      <c r="AG3678" s="182" t="n">
        <v>0</v>
      </c>
      <c r="AH3678" s="182" t="n">
        <v>0</v>
      </c>
      <c r="AI3678" s="182" t="n">
        <v>0</v>
      </c>
      <c r="AJ3678" s="182" t="n">
        <v>0</v>
      </c>
      <c r="AK3678" s="182" t="n">
        <v>0</v>
      </c>
      <c r="AL3678" s="182" t="n">
        <v>0</v>
      </c>
      <c r="AM3678" s="182" t="n">
        <v>0</v>
      </c>
      <c r="AN3678" s="182" t="n">
        <v>0</v>
      </c>
    </row>
    <row r="3679">
      <c r="A3679" s="155" t="n">
        <v>46098</v>
      </c>
      <c r="B3679" s="156" t="inlineStr">
        <is>
          <t>NS</t>
        </is>
      </c>
      <c r="C3679" s="156" t="inlineStr">
        <is>
          <t>EX-754</t>
        </is>
      </c>
      <c r="D3679" s="156" t="inlineStr">
        <is>
          <t>SY750H-PRO</t>
        </is>
      </c>
      <c r="E3679" s="156" t="inlineStr">
        <is>
          <t>Excavator</t>
        </is>
      </c>
      <c r="F3679" s="156" t="inlineStr"/>
      <c r="G3679" s="182" t="n">
        <v>0</v>
      </c>
      <c r="H3679" s="182" t="n">
        <v>0</v>
      </c>
      <c r="I3679" s="182" t="n">
        <v>12</v>
      </c>
      <c r="J3679" s="182" t="n">
        <v>12</v>
      </c>
      <c r="K3679" s="182" t="n">
        <v>0</v>
      </c>
      <c r="L3679" s="182" t="n">
        <v>12</v>
      </c>
      <c r="M3679" s="182" t="n">
        <v>0</v>
      </c>
      <c r="N3679" s="182" t="n">
        <v>0</v>
      </c>
      <c r="O3679" s="183" t="n">
        <v>0</v>
      </c>
      <c r="P3679" s="183" t="n">
        <v>0</v>
      </c>
      <c r="Q3679" s="184" t="n">
        <v>0</v>
      </c>
      <c r="R3679" s="184" t="n">
        <v>0</v>
      </c>
      <c r="S3679" s="183" t="n">
        <v>0</v>
      </c>
      <c r="T3679" s="183" t="n">
        <v>0</v>
      </c>
      <c r="U3679" s="182" t="n">
        <v>0</v>
      </c>
      <c r="V3679" s="182" t="n">
        <v>0</v>
      </c>
      <c r="W3679" s="182" t="n">
        <v>0</v>
      </c>
      <c r="X3679" s="182" t="n">
        <v>0</v>
      </c>
      <c r="Y3679" s="182" t="n">
        <v>0</v>
      </c>
      <c r="Z3679" s="182" t="n">
        <v>0</v>
      </c>
      <c r="AA3679" s="182" t="n">
        <v>0</v>
      </c>
      <c r="AB3679" s="182" t="n">
        <v>0</v>
      </c>
      <c r="AC3679" s="182" t="n">
        <v>0</v>
      </c>
      <c r="AD3679" s="182" t="n">
        <v>0</v>
      </c>
      <c r="AE3679" s="182" t="n">
        <v>0</v>
      </c>
      <c r="AF3679" s="182" t="n">
        <v>0</v>
      </c>
      <c r="AG3679" s="182" t="n">
        <v>0</v>
      </c>
      <c r="AH3679" s="182" t="n">
        <v>0</v>
      </c>
      <c r="AI3679" s="182" t="n">
        <v>0</v>
      </c>
      <c r="AJ3679" s="182" t="n">
        <v>0</v>
      </c>
      <c r="AK3679" s="182" t="n">
        <v>0</v>
      </c>
      <c r="AL3679" s="182" t="n">
        <v>0</v>
      </c>
      <c r="AM3679" s="182" t="n">
        <v>0</v>
      </c>
      <c r="AN3679" s="182" t="n">
        <v>0</v>
      </c>
    </row>
    <row r="3680">
      <c r="A3680" s="155" t="n">
        <v>46098</v>
      </c>
      <c r="B3680" s="156" t="inlineStr">
        <is>
          <t>NS</t>
        </is>
      </c>
      <c r="C3680" s="156" t="inlineStr">
        <is>
          <t>EX-755</t>
        </is>
      </c>
      <c r="D3680" s="156" t="inlineStr">
        <is>
          <t>SY750H-PRO</t>
        </is>
      </c>
      <c r="E3680" s="156" t="inlineStr">
        <is>
          <t>Excavator</t>
        </is>
      </c>
      <c r="F3680" s="156" t="inlineStr">
        <is>
          <t>Loading OB</t>
        </is>
      </c>
      <c r="G3680" s="182" t="n">
        <v>8.720000000000001</v>
      </c>
      <c r="H3680" s="182" t="n">
        <v>0</v>
      </c>
      <c r="I3680" s="182" t="n">
        <v>0</v>
      </c>
      <c r="J3680" s="182" t="n">
        <v>0</v>
      </c>
      <c r="K3680" s="182" t="n">
        <v>3.28</v>
      </c>
      <c r="L3680" s="182" t="n">
        <v>12</v>
      </c>
      <c r="M3680" s="182" t="n">
        <v>8.35</v>
      </c>
      <c r="N3680" s="182" t="n">
        <v>0</v>
      </c>
      <c r="O3680" s="183" t="n">
        <v>105</v>
      </c>
      <c r="P3680" s="183" t="n">
        <v>0</v>
      </c>
      <c r="Q3680" s="184" t="n">
        <v>2142</v>
      </c>
      <c r="R3680" s="184" t="n">
        <v>0</v>
      </c>
      <c r="S3680" s="183" t="n">
        <v>0</v>
      </c>
      <c r="T3680" s="183" t="n">
        <v>0</v>
      </c>
      <c r="U3680" s="182" t="n">
        <v>1.8</v>
      </c>
      <c r="V3680" s="182" t="n">
        <v>0.41</v>
      </c>
      <c r="W3680" s="182" t="n">
        <v>0</v>
      </c>
      <c r="X3680" s="182" t="n">
        <v>0.98</v>
      </c>
      <c r="Y3680" s="182" t="n">
        <v>0</v>
      </c>
      <c r="Z3680" s="182" t="n">
        <v>0</v>
      </c>
      <c r="AA3680" s="182" t="n">
        <v>0</v>
      </c>
      <c r="AB3680" s="182" t="n">
        <v>0</v>
      </c>
      <c r="AC3680" s="182" t="n">
        <v>0</v>
      </c>
      <c r="AD3680" s="182" t="n">
        <v>0</v>
      </c>
      <c r="AE3680" s="182" t="n">
        <v>0</v>
      </c>
      <c r="AF3680" s="182" t="n">
        <v>0</v>
      </c>
      <c r="AG3680" s="182" t="n">
        <v>0</v>
      </c>
      <c r="AH3680" s="182" t="n">
        <v>0</v>
      </c>
      <c r="AI3680" s="182" t="n">
        <v>0</v>
      </c>
      <c r="AJ3680" s="182" t="n">
        <v>0</v>
      </c>
      <c r="AK3680" s="182" t="n">
        <v>0</v>
      </c>
      <c r="AL3680" s="182" t="n">
        <v>0</v>
      </c>
      <c r="AM3680" s="182" t="n">
        <v>0.08</v>
      </c>
      <c r="AN3680" s="182" t="n">
        <v>0</v>
      </c>
    </row>
    <row r="3681">
      <c r="A3681" s="155" t="n">
        <v>46098</v>
      </c>
      <c r="B3681" s="156" t="inlineStr">
        <is>
          <t>NS</t>
        </is>
      </c>
      <c r="C3681" s="156" t="inlineStr">
        <is>
          <t>EX-752</t>
        </is>
      </c>
      <c r="D3681" s="156" t="inlineStr">
        <is>
          <t>SY750H-PRO</t>
        </is>
      </c>
      <c r="E3681" s="156" t="inlineStr">
        <is>
          <t>Excavator</t>
        </is>
      </c>
      <c r="F3681" s="156" t="inlineStr"/>
      <c r="G3681" s="182" t="n">
        <v>0</v>
      </c>
      <c r="H3681" s="182" t="n">
        <v>0</v>
      </c>
      <c r="I3681" s="182" t="n">
        <v>12</v>
      </c>
      <c r="J3681" s="182" t="n">
        <v>12</v>
      </c>
      <c r="K3681" s="182" t="n">
        <v>0</v>
      </c>
      <c r="L3681" s="182" t="n">
        <v>12</v>
      </c>
      <c r="M3681" s="182" t="n">
        <v>0</v>
      </c>
      <c r="N3681" s="182" t="n">
        <v>0</v>
      </c>
      <c r="O3681" s="183" t="n">
        <v>0</v>
      </c>
      <c r="P3681" s="183" t="n">
        <v>0</v>
      </c>
      <c r="Q3681" s="184" t="n">
        <v>0</v>
      </c>
      <c r="R3681" s="184" t="n">
        <v>0</v>
      </c>
      <c r="S3681" s="183" t="n">
        <v>0</v>
      </c>
      <c r="T3681" s="183" t="n">
        <v>0</v>
      </c>
      <c r="U3681" s="182" t="n">
        <v>0</v>
      </c>
      <c r="V3681" s="182" t="n">
        <v>0</v>
      </c>
      <c r="W3681" s="182" t="n">
        <v>0</v>
      </c>
      <c r="X3681" s="182" t="n">
        <v>0</v>
      </c>
      <c r="Y3681" s="182" t="n">
        <v>0</v>
      </c>
      <c r="Z3681" s="182" t="n">
        <v>0</v>
      </c>
      <c r="AA3681" s="182" t="n">
        <v>0</v>
      </c>
      <c r="AB3681" s="182" t="n">
        <v>0</v>
      </c>
      <c r="AC3681" s="182" t="n">
        <v>0</v>
      </c>
      <c r="AD3681" s="182" t="n">
        <v>0</v>
      </c>
      <c r="AE3681" s="182" t="n">
        <v>0</v>
      </c>
      <c r="AF3681" s="182" t="n">
        <v>0</v>
      </c>
      <c r="AG3681" s="182" t="n">
        <v>0</v>
      </c>
      <c r="AH3681" s="182" t="n">
        <v>0</v>
      </c>
      <c r="AI3681" s="182" t="n">
        <v>0</v>
      </c>
      <c r="AJ3681" s="182" t="n">
        <v>0</v>
      </c>
      <c r="AK3681" s="182" t="n">
        <v>0</v>
      </c>
      <c r="AL3681" s="182" t="n">
        <v>0</v>
      </c>
      <c r="AM3681" s="182" t="n">
        <v>0</v>
      </c>
      <c r="AN3681" s="182" t="n">
        <v>0</v>
      </c>
    </row>
    <row r="3682">
      <c r="A3682" s="155" t="n">
        <v>46098</v>
      </c>
      <c r="B3682" s="156" t="inlineStr">
        <is>
          <t>NS</t>
        </is>
      </c>
      <c r="C3682" s="156" t="inlineStr">
        <is>
          <t>EX-751</t>
        </is>
      </c>
      <c r="D3682" s="156" t="inlineStr">
        <is>
          <t>SY750H-PRO</t>
        </is>
      </c>
      <c r="E3682" s="156" t="inlineStr">
        <is>
          <t>Excavator</t>
        </is>
      </c>
      <c r="F3682" s="156" t="inlineStr"/>
      <c r="G3682" s="182" t="n">
        <v>0</v>
      </c>
      <c r="H3682" s="182" t="n">
        <v>0</v>
      </c>
      <c r="I3682" s="182" t="n">
        <v>12</v>
      </c>
      <c r="J3682" s="182" t="n">
        <v>12</v>
      </c>
      <c r="K3682" s="182" t="n">
        <v>0</v>
      </c>
      <c r="L3682" s="182" t="n">
        <v>12</v>
      </c>
      <c r="M3682" s="182" t="n">
        <v>0</v>
      </c>
      <c r="N3682" s="182" t="n">
        <v>0</v>
      </c>
      <c r="O3682" s="183" t="n">
        <v>0</v>
      </c>
      <c r="P3682" s="183" t="n">
        <v>0</v>
      </c>
      <c r="Q3682" s="184" t="n">
        <v>0</v>
      </c>
      <c r="R3682" s="184" t="n">
        <v>0</v>
      </c>
      <c r="S3682" s="183" t="n">
        <v>0</v>
      </c>
      <c r="T3682" s="183" t="n">
        <v>0</v>
      </c>
      <c r="U3682" s="182" t="n">
        <v>0</v>
      </c>
      <c r="V3682" s="182" t="n">
        <v>0</v>
      </c>
      <c r="W3682" s="182" t="n">
        <v>0</v>
      </c>
      <c r="X3682" s="182" t="n">
        <v>0</v>
      </c>
      <c r="Y3682" s="182" t="n">
        <v>0</v>
      </c>
      <c r="Z3682" s="182" t="n">
        <v>0</v>
      </c>
      <c r="AA3682" s="182" t="n">
        <v>0</v>
      </c>
      <c r="AB3682" s="182" t="n">
        <v>0</v>
      </c>
      <c r="AC3682" s="182" t="n">
        <v>0</v>
      </c>
      <c r="AD3682" s="182" t="n">
        <v>0</v>
      </c>
      <c r="AE3682" s="182" t="n">
        <v>0</v>
      </c>
      <c r="AF3682" s="182" t="n">
        <v>0</v>
      </c>
      <c r="AG3682" s="182" t="n">
        <v>0</v>
      </c>
      <c r="AH3682" s="182" t="n">
        <v>0</v>
      </c>
      <c r="AI3682" s="182" t="n">
        <v>0</v>
      </c>
      <c r="AJ3682" s="182" t="n">
        <v>0</v>
      </c>
      <c r="AK3682" s="182" t="n">
        <v>0</v>
      </c>
      <c r="AL3682" s="182" t="n">
        <v>0</v>
      </c>
      <c r="AM3682" s="182" t="n">
        <v>0</v>
      </c>
      <c r="AN3682" s="182" t="n">
        <v>0</v>
      </c>
    </row>
    <row r="3683">
      <c r="A3683" s="155" t="n">
        <v>46098</v>
      </c>
      <c r="B3683" s="156" t="inlineStr">
        <is>
          <t>NS</t>
        </is>
      </c>
      <c r="C3683" s="156" t="inlineStr">
        <is>
          <t>EX-753</t>
        </is>
      </c>
      <c r="D3683" s="156" t="inlineStr">
        <is>
          <t>SY750H-PRO</t>
        </is>
      </c>
      <c r="E3683" s="156" t="inlineStr">
        <is>
          <t>Excavator</t>
        </is>
      </c>
      <c r="F3683" s="156" t="inlineStr"/>
      <c r="G3683" s="182" t="n">
        <v>0</v>
      </c>
      <c r="H3683" s="182" t="n">
        <v>0</v>
      </c>
      <c r="I3683" s="182" t="n">
        <v>0</v>
      </c>
      <c r="J3683" s="182" t="n">
        <v>0</v>
      </c>
      <c r="K3683" s="182" t="n">
        <v>12</v>
      </c>
      <c r="L3683" s="182" t="n">
        <v>12</v>
      </c>
      <c r="M3683" s="182" t="n">
        <v>0</v>
      </c>
      <c r="N3683" s="182" t="n">
        <v>0</v>
      </c>
      <c r="O3683" s="183" t="n">
        <v>0</v>
      </c>
      <c r="P3683" s="183" t="n">
        <v>0</v>
      </c>
      <c r="Q3683" s="184" t="n">
        <v>0</v>
      </c>
      <c r="R3683" s="184" t="n">
        <v>0</v>
      </c>
      <c r="S3683" s="183" t="n">
        <v>0</v>
      </c>
      <c r="T3683" s="183" t="n">
        <v>0</v>
      </c>
      <c r="U3683" s="182" t="n">
        <v>0</v>
      </c>
      <c r="V3683" s="182" t="n">
        <v>0</v>
      </c>
      <c r="W3683" s="182" t="n">
        <v>0</v>
      </c>
      <c r="X3683" s="182" t="n">
        <v>1</v>
      </c>
      <c r="Y3683" s="182" t="n">
        <v>0</v>
      </c>
      <c r="Z3683" s="182" t="n">
        <v>0</v>
      </c>
      <c r="AA3683" s="182" t="n">
        <v>0</v>
      </c>
      <c r="AB3683" s="182" t="n">
        <v>0</v>
      </c>
      <c r="AC3683" s="182" t="n">
        <v>0</v>
      </c>
      <c r="AD3683" s="182" t="n">
        <v>0</v>
      </c>
      <c r="AE3683" s="182" t="n">
        <v>0</v>
      </c>
      <c r="AF3683" s="182" t="n">
        <v>0</v>
      </c>
      <c r="AG3683" s="182" t="n">
        <v>0</v>
      </c>
      <c r="AH3683" s="182" t="n">
        <v>0</v>
      </c>
      <c r="AI3683" s="182" t="n">
        <v>0</v>
      </c>
      <c r="AJ3683" s="182" t="n">
        <v>0</v>
      </c>
      <c r="AK3683" s="182" t="n">
        <v>10.92</v>
      </c>
      <c r="AL3683" s="182" t="n">
        <v>0</v>
      </c>
      <c r="AM3683" s="182" t="n">
        <v>0.08</v>
      </c>
      <c r="AN3683" s="182" t="n">
        <v>0</v>
      </c>
    </row>
    <row r="3684">
      <c r="A3684" s="155" t="n">
        <v>46098</v>
      </c>
      <c r="B3684" s="156" t="inlineStr">
        <is>
          <t>NS</t>
        </is>
      </c>
      <c r="C3684" s="156" t="inlineStr">
        <is>
          <t>GD-012</t>
        </is>
      </c>
      <c r="D3684" s="156" t="inlineStr">
        <is>
          <t>STG 230C - 8S</t>
        </is>
      </c>
      <c r="E3684" s="156" t="inlineStr">
        <is>
          <t>Grader</t>
        </is>
      </c>
      <c r="F3684" s="156" t="inlineStr"/>
      <c r="G3684" s="182" t="n">
        <v>0</v>
      </c>
      <c r="H3684" s="182" t="n">
        <v>0</v>
      </c>
      <c r="I3684" s="182" t="n">
        <v>0</v>
      </c>
      <c r="J3684" s="182" t="n">
        <v>0</v>
      </c>
      <c r="K3684" s="182" t="n">
        <v>12</v>
      </c>
      <c r="L3684" s="182" t="n">
        <v>12</v>
      </c>
      <c r="M3684" s="182" t="n">
        <v>0</v>
      </c>
      <c r="N3684" s="182" t="n">
        <v>0</v>
      </c>
      <c r="O3684" s="183" t="n">
        <v>0</v>
      </c>
      <c r="P3684" s="183" t="n">
        <v>0</v>
      </c>
      <c r="Q3684" s="184" t="n">
        <v>0</v>
      </c>
      <c r="R3684" s="184" t="n">
        <v>0</v>
      </c>
      <c r="S3684" s="183" t="n">
        <v>0</v>
      </c>
      <c r="T3684" s="183" t="n">
        <v>0</v>
      </c>
      <c r="U3684" s="182" t="n">
        <v>0</v>
      </c>
      <c r="V3684" s="182" t="n">
        <v>0</v>
      </c>
      <c r="W3684" s="182" t="n">
        <v>0</v>
      </c>
      <c r="X3684" s="182" t="n">
        <v>1</v>
      </c>
      <c r="Y3684" s="182" t="n">
        <v>0</v>
      </c>
      <c r="Z3684" s="182" t="n">
        <v>0</v>
      </c>
      <c r="AA3684" s="182" t="n">
        <v>0</v>
      </c>
      <c r="AB3684" s="182" t="n">
        <v>0</v>
      </c>
      <c r="AC3684" s="182" t="n">
        <v>0</v>
      </c>
      <c r="AD3684" s="182" t="n">
        <v>0</v>
      </c>
      <c r="AE3684" s="182" t="n">
        <v>0</v>
      </c>
      <c r="AF3684" s="182" t="n">
        <v>0</v>
      </c>
      <c r="AG3684" s="182" t="n">
        <v>0</v>
      </c>
      <c r="AH3684" s="182" t="n">
        <v>0</v>
      </c>
      <c r="AI3684" s="182" t="n">
        <v>0</v>
      </c>
      <c r="AJ3684" s="182" t="n">
        <v>0</v>
      </c>
      <c r="AK3684" s="182" t="n">
        <v>10.92</v>
      </c>
      <c r="AL3684" s="182" t="n">
        <v>0</v>
      </c>
      <c r="AM3684" s="182" t="n">
        <v>0.08</v>
      </c>
      <c r="AN3684" s="182" t="n">
        <v>0</v>
      </c>
    </row>
    <row r="3685">
      <c r="A3685" s="155" t="n">
        <v>46098</v>
      </c>
      <c r="B3685" s="156" t="inlineStr">
        <is>
          <t>NS</t>
        </is>
      </c>
      <c r="C3685" s="156" t="inlineStr">
        <is>
          <t>GD-011</t>
        </is>
      </c>
      <c r="D3685" s="156" t="inlineStr">
        <is>
          <t>STG 230C - 8S</t>
        </is>
      </c>
      <c r="E3685" s="156" t="inlineStr">
        <is>
          <t>Grader</t>
        </is>
      </c>
      <c r="F3685" s="156" t="inlineStr"/>
      <c r="G3685" s="182" t="n">
        <v>0</v>
      </c>
      <c r="H3685" s="182" t="n">
        <v>0</v>
      </c>
      <c r="I3685" s="182" t="n">
        <v>12</v>
      </c>
      <c r="J3685" s="182" t="n">
        <v>12</v>
      </c>
      <c r="K3685" s="182" t="n">
        <v>0</v>
      </c>
      <c r="L3685" s="182" t="n">
        <v>12</v>
      </c>
      <c r="M3685" s="182" t="n">
        <v>0</v>
      </c>
      <c r="N3685" s="182" t="n">
        <v>0</v>
      </c>
      <c r="O3685" s="183" t="n">
        <v>0</v>
      </c>
      <c r="P3685" s="183" t="n">
        <v>0</v>
      </c>
      <c r="Q3685" s="184" t="n">
        <v>0</v>
      </c>
      <c r="R3685" s="184" t="n">
        <v>0</v>
      </c>
      <c r="S3685" s="183" t="n">
        <v>0</v>
      </c>
      <c r="T3685" s="183" t="n">
        <v>0</v>
      </c>
      <c r="U3685" s="182" t="n">
        <v>0</v>
      </c>
      <c r="V3685" s="182" t="n">
        <v>0</v>
      </c>
      <c r="W3685" s="182" t="n">
        <v>0</v>
      </c>
      <c r="X3685" s="182" t="n">
        <v>0</v>
      </c>
      <c r="Y3685" s="182" t="n">
        <v>0</v>
      </c>
      <c r="Z3685" s="182" t="n">
        <v>0</v>
      </c>
      <c r="AA3685" s="182" t="n">
        <v>0</v>
      </c>
      <c r="AB3685" s="182" t="n">
        <v>0</v>
      </c>
      <c r="AC3685" s="182" t="n">
        <v>0</v>
      </c>
      <c r="AD3685" s="182" t="n">
        <v>0</v>
      </c>
      <c r="AE3685" s="182" t="n">
        <v>0</v>
      </c>
      <c r="AF3685" s="182" t="n">
        <v>0</v>
      </c>
      <c r="AG3685" s="182" t="n">
        <v>0</v>
      </c>
      <c r="AH3685" s="182" t="n">
        <v>0</v>
      </c>
      <c r="AI3685" s="182" t="n">
        <v>0</v>
      </c>
      <c r="AJ3685" s="182" t="n">
        <v>0</v>
      </c>
      <c r="AK3685" s="182" t="n">
        <v>0</v>
      </c>
      <c r="AL3685" s="182" t="n">
        <v>0</v>
      </c>
      <c r="AM3685" s="182" t="n">
        <v>0</v>
      </c>
      <c r="AN3685" s="182" t="n">
        <v>0</v>
      </c>
    </row>
    <row r="3686">
      <c r="A3686" s="155" t="n">
        <v>46098</v>
      </c>
      <c r="B3686" s="156" t="inlineStr">
        <is>
          <t>NS</t>
        </is>
      </c>
      <c r="C3686" s="156" t="inlineStr">
        <is>
          <t>GD-013</t>
        </is>
      </c>
      <c r="D3686" s="156" t="inlineStr">
        <is>
          <t>STG 265C - 10</t>
        </is>
      </c>
      <c r="E3686" s="156" t="inlineStr">
        <is>
          <t>Grader</t>
        </is>
      </c>
      <c r="F3686" s="156" t="inlineStr">
        <is>
          <t>Road Maintenance</t>
        </is>
      </c>
      <c r="G3686" s="182" t="n">
        <v>9.93</v>
      </c>
      <c r="H3686" s="182" t="n">
        <v>0</v>
      </c>
      <c r="I3686" s="182" t="n">
        <v>0</v>
      </c>
      <c r="J3686" s="182" t="n">
        <v>0</v>
      </c>
      <c r="K3686" s="182" t="n">
        <v>2.07</v>
      </c>
      <c r="L3686" s="182" t="n">
        <v>12</v>
      </c>
      <c r="M3686" s="182" t="n">
        <v>0</v>
      </c>
      <c r="N3686" s="182" t="n">
        <v>0</v>
      </c>
      <c r="O3686" s="183" t="n">
        <v>0</v>
      </c>
      <c r="P3686" s="183" t="n">
        <v>0</v>
      </c>
      <c r="Q3686" s="184" t="n">
        <v>0</v>
      </c>
      <c r="R3686" s="184" t="n">
        <v>0</v>
      </c>
      <c r="S3686" s="183" t="n">
        <v>0</v>
      </c>
      <c r="T3686" s="183" t="n">
        <v>0</v>
      </c>
      <c r="U3686" s="182" t="n">
        <v>1.18</v>
      </c>
      <c r="V3686" s="182" t="n">
        <v>0</v>
      </c>
      <c r="W3686" s="182" t="n">
        <v>0</v>
      </c>
      <c r="X3686" s="182" t="n">
        <v>0.83</v>
      </c>
      <c r="Y3686" s="182" t="n">
        <v>0</v>
      </c>
      <c r="Z3686" s="182" t="n">
        <v>0</v>
      </c>
      <c r="AA3686" s="182" t="n">
        <v>0</v>
      </c>
      <c r="AB3686" s="182" t="n">
        <v>0</v>
      </c>
      <c r="AC3686" s="182" t="n">
        <v>0</v>
      </c>
      <c r="AD3686" s="182" t="n">
        <v>0</v>
      </c>
      <c r="AE3686" s="182" t="n">
        <v>0</v>
      </c>
      <c r="AF3686" s="182" t="n">
        <v>0</v>
      </c>
      <c r="AG3686" s="182" t="n">
        <v>0</v>
      </c>
      <c r="AH3686" s="182" t="n">
        <v>0</v>
      </c>
      <c r="AI3686" s="182" t="n">
        <v>0</v>
      </c>
      <c r="AJ3686" s="182" t="n">
        <v>0</v>
      </c>
      <c r="AK3686" s="182" t="n">
        <v>0</v>
      </c>
      <c r="AL3686" s="182" t="n">
        <v>0</v>
      </c>
      <c r="AM3686" s="182" t="n">
        <v>0.07000000000000001</v>
      </c>
      <c r="AN3686" s="182" t="n">
        <v>0</v>
      </c>
    </row>
    <row r="3687">
      <c r="A3687" s="155" t="n">
        <v>46098</v>
      </c>
      <c r="B3687" s="156" t="inlineStr">
        <is>
          <t>NS</t>
        </is>
      </c>
      <c r="C3687" s="156" t="inlineStr">
        <is>
          <t>GD-014</t>
        </is>
      </c>
      <c r="D3687" s="156" t="inlineStr">
        <is>
          <t>STG 335C - 10</t>
        </is>
      </c>
      <c r="E3687" s="156" t="inlineStr">
        <is>
          <t>Grader</t>
        </is>
      </c>
      <c r="F3687" s="156" t="inlineStr">
        <is>
          <t>Road Maintenance</t>
        </is>
      </c>
      <c r="G3687" s="182" t="n">
        <v>9.050000000000001</v>
      </c>
      <c r="H3687" s="182" t="n">
        <v>0</v>
      </c>
      <c r="I3687" s="182" t="n">
        <v>0</v>
      </c>
      <c r="J3687" s="182" t="n">
        <v>0</v>
      </c>
      <c r="K3687" s="182" t="n">
        <v>2.95</v>
      </c>
      <c r="L3687" s="182" t="n">
        <v>12</v>
      </c>
      <c r="M3687" s="182" t="n">
        <v>0</v>
      </c>
      <c r="N3687" s="182" t="n">
        <v>0</v>
      </c>
      <c r="O3687" s="183" t="n">
        <v>0</v>
      </c>
      <c r="P3687" s="183" t="n">
        <v>0</v>
      </c>
      <c r="Q3687" s="184" t="n">
        <v>0</v>
      </c>
      <c r="R3687" s="184" t="n">
        <v>0</v>
      </c>
      <c r="S3687" s="183" t="n">
        <v>0</v>
      </c>
      <c r="T3687" s="183" t="n">
        <v>0</v>
      </c>
      <c r="U3687" s="182" t="n">
        <v>1.72</v>
      </c>
      <c r="V3687" s="182" t="n">
        <v>0</v>
      </c>
      <c r="W3687" s="182" t="n">
        <v>0</v>
      </c>
      <c r="X3687" s="182" t="n">
        <v>1.13</v>
      </c>
      <c r="Y3687" s="182" t="n">
        <v>0</v>
      </c>
      <c r="Z3687" s="182" t="n">
        <v>0</v>
      </c>
      <c r="AA3687" s="182" t="n">
        <v>0</v>
      </c>
      <c r="AB3687" s="182" t="n">
        <v>0</v>
      </c>
      <c r="AC3687" s="182" t="n">
        <v>0</v>
      </c>
      <c r="AD3687" s="182" t="n">
        <v>0</v>
      </c>
      <c r="AE3687" s="182" t="n">
        <v>0</v>
      </c>
      <c r="AF3687" s="182" t="n">
        <v>0</v>
      </c>
      <c r="AG3687" s="182" t="n">
        <v>0</v>
      </c>
      <c r="AH3687" s="182" t="n">
        <v>0</v>
      </c>
      <c r="AI3687" s="182" t="n">
        <v>0</v>
      </c>
      <c r="AJ3687" s="182" t="n">
        <v>0</v>
      </c>
      <c r="AK3687" s="182" t="n">
        <v>0</v>
      </c>
      <c r="AL3687" s="182" t="n">
        <v>0</v>
      </c>
      <c r="AM3687" s="182" t="n">
        <v>0.09</v>
      </c>
      <c r="AN3687" s="182" t="n">
        <v>0</v>
      </c>
    </row>
    <row r="3688">
      <c r="A3688" s="155" t="n">
        <v>46098</v>
      </c>
      <c r="B3688" s="156" t="inlineStr">
        <is>
          <t>NS</t>
        </is>
      </c>
      <c r="C3688" s="156" t="inlineStr">
        <is>
          <t>DT-809</t>
        </is>
      </c>
      <c r="D3688" s="156" t="inlineStr">
        <is>
          <t>SKT 80S</t>
        </is>
      </c>
      <c r="E3688" s="156" t="inlineStr">
        <is>
          <t>Hauler</t>
        </is>
      </c>
      <c r="F3688" s="156" t="inlineStr"/>
      <c r="G3688" s="182" t="n">
        <v>0</v>
      </c>
      <c r="H3688" s="182" t="n">
        <v>0</v>
      </c>
      <c r="I3688" s="182" t="n">
        <v>12</v>
      </c>
      <c r="J3688" s="182" t="n">
        <v>12</v>
      </c>
      <c r="K3688" s="182" t="n">
        <v>0</v>
      </c>
      <c r="L3688" s="182" t="n">
        <v>12</v>
      </c>
      <c r="M3688" s="182" t="n">
        <v>0</v>
      </c>
      <c r="N3688" s="182" t="n">
        <v>0</v>
      </c>
      <c r="O3688" s="183" t="n">
        <v>0</v>
      </c>
      <c r="P3688" s="183" t="n">
        <v>0</v>
      </c>
      <c r="Q3688" s="184" t="n">
        <v>0</v>
      </c>
      <c r="R3688" s="184" t="n">
        <v>0</v>
      </c>
      <c r="S3688" s="183" t="n">
        <v>0</v>
      </c>
      <c r="T3688" s="183" t="n">
        <v>0</v>
      </c>
      <c r="U3688" s="182" t="n">
        <v>0</v>
      </c>
      <c r="V3688" s="182" t="n">
        <v>0</v>
      </c>
      <c r="W3688" s="182" t="n">
        <v>0</v>
      </c>
      <c r="X3688" s="182" t="n">
        <v>0</v>
      </c>
      <c r="Y3688" s="182" t="n">
        <v>0</v>
      </c>
      <c r="Z3688" s="182" t="n">
        <v>0</v>
      </c>
      <c r="AA3688" s="182" t="n">
        <v>0</v>
      </c>
      <c r="AB3688" s="182" t="n">
        <v>0</v>
      </c>
      <c r="AC3688" s="182" t="n">
        <v>0</v>
      </c>
      <c r="AD3688" s="182" t="n">
        <v>0</v>
      </c>
      <c r="AE3688" s="182" t="n">
        <v>0</v>
      </c>
      <c r="AF3688" s="182" t="n">
        <v>0</v>
      </c>
      <c r="AG3688" s="182" t="n">
        <v>0</v>
      </c>
      <c r="AH3688" s="182" t="n">
        <v>0</v>
      </c>
      <c r="AI3688" s="182" t="n">
        <v>0</v>
      </c>
      <c r="AJ3688" s="182" t="n">
        <v>0</v>
      </c>
      <c r="AK3688" s="182" t="n">
        <v>0</v>
      </c>
      <c r="AL3688" s="182" t="n">
        <v>0</v>
      </c>
      <c r="AM3688" s="182" t="n">
        <v>0</v>
      </c>
      <c r="AN3688" s="182" t="n">
        <v>0</v>
      </c>
    </row>
    <row r="3689">
      <c r="A3689" s="155" t="n">
        <v>46098</v>
      </c>
      <c r="B3689" s="156" t="inlineStr">
        <is>
          <t>NS</t>
        </is>
      </c>
      <c r="C3689" s="156" t="inlineStr">
        <is>
          <t>DT-806</t>
        </is>
      </c>
      <c r="D3689" s="156" t="inlineStr">
        <is>
          <t>SKT 80S</t>
        </is>
      </c>
      <c r="E3689" s="156" t="inlineStr">
        <is>
          <t>Hauler</t>
        </is>
      </c>
      <c r="F3689" s="156" t="inlineStr"/>
      <c r="G3689" s="182" t="n">
        <v>0</v>
      </c>
      <c r="H3689" s="182" t="n">
        <v>0</v>
      </c>
      <c r="I3689" s="182" t="n">
        <v>12</v>
      </c>
      <c r="J3689" s="182" t="n">
        <v>12</v>
      </c>
      <c r="K3689" s="182" t="n">
        <v>0</v>
      </c>
      <c r="L3689" s="182" t="n">
        <v>12</v>
      </c>
      <c r="M3689" s="182" t="n">
        <v>0</v>
      </c>
      <c r="N3689" s="182" t="n">
        <v>0</v>
      </c>
      <c r="O3689" s="183" t="n">
        <v>0</v>
      </c>
      <c r="P3689" s="183" t="n">
        <v>0</v>
      </c>
      <c r="Q3689" s="184" t="n">
        <v>0</v>
      </c>
      <c r="R3689" s="184" t="n">
        <v>0</v>
      </c>
      <c r="S3689" s="183" t="n">
        <v>0</v>
      </c>
      <c r="T3689" s="183" t="n">
        <v>0</v>
      </c>
      <c r="U3689" s="182" t="n">
        <v>0</v>
      </c>
      <c r="V3689" s="182" t="n">
        <v>0</v>
      </c>
      <c r="W3689" s="182" t="n">
        <v>0</v>
      </c>
      <c r="X3689" s="182" t="n">
        <v>0</v>
      </c>
      <c r="Y3689" s="182" t="n">
        <v>0</v>
      </c>
      <c r="Z3689" s="182" t="n">
        <v>0</v>
      </c>
      <c r="AA3689" s="182" t="n">
        <v>0</v>
      </c>
      <c r="AB3689" s="182" t="n">
        <v>0</v>
      </c>
      <c r="AC3689" s="182" t="n">
        <v>0</v>
      </c>
      <c r="AD3689" s="182" t="n">
        <v>0</v>
      </c>
      <c r="AE3689" s="182" t="n">
        <v>0</v>
      </c>
      <c r="AF3689" s="182" t="n">
        <v>0</v>
      </c>
      <c r="AG3689" s="182" t="n">
        <v>0</v>
      </c>
      <c r="AH3689" s="182" t="n">
        <v>0</v>
      </c>
      <c r="AI3689" s="182" t="n">
        <v>0</v>
      </c>
      <c r="AJ3689" s="182" t="n">
        <v>0</v>
      </c>
      <c r="AK3689" s="182" t="n">
        <v>0</v>
      </c>
      <c r="AL3689" s="182" t="n">
        <v>0</v>
      </c>
      <c r="AM3689" s="182" t="n">
        <v>0</v>
      </c>
      <c r="AN3689" s="182" t="n">
        <v>0</v>
      </c>
    </row>
    <row r="3690">
      <c r="A3690" s="155" t="n">
        <v>46098</v>
      </c>
      <c r="B3690" s="156" t="inlineStr">
        <is>
          <t>NS</t>
        </is>
      </c>
      <c r="C3690" s="156" t="inlineStr">
        <is>
          <t>DT-805</t>
        </is>
      </c>
      <c r="D3690" s="156" t="inlineStr">
        <is>
          <t>SKT 80S</t>
        </is>
      </c>
      <c r="E3690" s="156" t="inlineStr">
        <is>
          <t>Hauler</t>
        </is>
      </c>
      <c r="F3690" s="156" t="inlineStr"/>
      <c r="G3690" s="182" t="n">
        <v>0</v>
      </c>
      <c r="H3690" s="182" t="n">
        <v>0</v>
      </c>
      <c r="I3690" s="182" t="n">
        <v>12</v>
      </c>
      <c r="J3690" s="182" t="n">
        <v>12</v>
      </c>
      <c r="K3690" s="182" t="n">
        <v>0</v>
      </c>
      <c r="L3690" s="182" t="n">
        <v>12</v>
      </c>
      <c r="M3690" s="182" t="n">
        <v>0</v>
      </c>
      <c r="N3690" s="182" t="n">
        <v>0</v>
      </c>
      <c r="O3690" s="183" t="n">
        <v>0</v>
      </c>
      <c r="P3690" s="183" t="n">
        <v>0</v>
      </c>
      <c r="Q3690" s="184" t="n">
        <v>0</v>
      </c>
      <c r="R3690" s="184" t="n">
        <v>0</v>
      </c>
      <c r="S3690" s="183" t="n">
        <v>0</v>
      </c>
      <c r="T3690" s="183" t="n">
        <v>0</v>
      </c>
      <c r="U3690" s="182" t="n">
        <v>0</v>
      </c>
      <c r="V3690" s="182" t="n">
        <v>0</v>
      </c>
      <c r="W3690" s="182" t="n">
        <v>0</v>
      </c>
      <c r="X3690" s="182" t="n">
        <v>0</v>
      </c>
      <c r="Y3690" s="182" t="n">
        <v>0</v>
      </c>
      <c r="Z3690" s="182" t="n">
        <v>0</v>
      </c>
      <c r="AA3690" s="182" t="n">
        <v>0</v>
      </c>
      <c r="AB3690" s="182" t="n">
        <v>0</v>
      </c>
      <c r="AC3690" s="182" t="n">
        <v>0</v>
      </c>
      <c r="AD3690" s="182" t="n">
        <v>0</v>
      </c>
      <c r="AE3690" s="182" t="n">
        <v>0</v>
      </c>
      <c r="AF3690" s="182" t="n">
        <v>0</v>
      </c>
      <c r="AG3690" s="182" t="n">
        <v>0</v>
      </c>
      <c r="AH3690" s="182" t="n">
        <v>0</v>
      </c>
      <c r="AI3690" s="182" t="n">
        <v>0</v>
      </c>
      <c r="AJ3690" s="182" t="n">
        <v>0</v>
      </c>
      <c r="AK3690" s="182" t="n">
        <v>0</v>
      </c>
      <c r="AL3690" s="182" t="n">
        <v>0</v>
      </c>
      <c r="AM3690" s="182" t="n">
        <v>0</v>
      </c>
      <c r="AN3690" s="182" t="n">
        <v>0</v>
      </c>
    </row>
    <row r="3691">
      <c r="A3691" s="155" t="n">
        <v>46098</v>
      </c>
      <c r="B3691" s="156" t="inlineStr">
        <is>
          <t>NS</t>
        </is>
      </c>
      <c r="C3691" s="156" t="inlineStr">
        <is>
          <t>DT-801</t>
        </is>
      </c>
      <c r="D3691" s="156" t="inlineStr">
        <is>
          <t>SKT 80S</t>
        </is>
      </c>
      <c r="E3691" s="156" t="inlineStr">
        <is>
          <t>Hauler</t>
        </is>
      </c>
      <c r="F3691" s="156" t="inlineStr"/>
      <c r="G3691" s="182" t="n">
        <v>0</v>
      </c>
      <c r="H3691" s="182" t="n">
        <v>0</v>
      </c>
      <c r="I3691" s="182" t="n">
        <v>12</v>
      </c>
      <c r="J3691" s="182" t="n">
        <v>12</v>
      </c>
      <c r="K3691" s="182" t="n">
        <v>0</v>
      </c>
      <c r="L3691" s="182" t="n">
        <v>12</v>
      </c>
      <c r="M3691" s="182" t="n">
        <v>0</v>
      </c>
      <c r="N3691" s="182" t="n">
        <v>0</v>
      </c>
      <c r="O3691" s="183" t="n">
        <v>0</v>
      </c>
      <c r="P3691" s="183" t="n">
        <v>0</v>
      </c>
      <c r="Q3691" s="184" t="n">
        <v>0</v>
      </c>
      <c r="R3691" s="184" t="n">
        <v>0</v>
      </c>
      <c r="S3691" s="183" t="n">
        <v>0</v>
      </c>
      <c r="T3691" s="183" t="n">
        <v>0</v>
      </c>
      <c r="U3691" s="182" t="n">
        <v>0</v>
      </c>
      <c r="V3691" s="182" t="n">
        <v>0</v>
      </c>
      <c r="W3691" s="182" t="n">
        <v>0</v>
      </c>
      <c r="X3691" s="182" t="n">
        <v>0</v>
      </c>
      <c r="Y3691" s="182" t="n">
        <v>0</v>
      </c>
      <c r="Z3691" s="182" t="n">
        <v>0</v>
      </c>
      <c r="AA3691" s="182" t="n">
        <v>0</v>
      </c>
      <c r="AB3691" s="182" t="n">
        <v>0</v>
      </c>
      <c r="AC3691" s="182" t="n">
        <v>0</v>
      </c>
      <c r="AD3691" s="182" t="n">
        <v>0</v>
      </c>
      <c r="AE3691" s="182" t="n">
        <v>0</v>
      </c>
      <c r="AF3691" s="182" t="n">
        <v>0</v>
      </c>
      <c r="AG3691" s="182" t="n">
        <v>0</v>
      </c>
      <c r="AH3691" s="182" t="n">
        <v>0</v>
      </c>
      <c r="AI3691" s="182" t="n">
        <v>0</v>
      </c>
      <c r="AJ3691" s="182" t="n">
        <v>0</v>
      </c>
      <c r="AK3691" s="182" t="n">
        <v>0</v>
      </c>
      <c r="AL3691" s="182" t="n">
        <v>0</v>
      </c>
      <c r="AM3691" s="182" t="n">
        <v>0</v>
      </c>
      <c r="AN3691" s="182" t="n">
        <v>0</v>
      </c>
    </row>
    <row r="3692">
      <c r="A3692" s="155" t="n">
        <v>46098</v>
      </c>
      <c r="B3692" s="156" t="inlineStr">
        <is>
          <t>NS</t>
        </is>
      </c>
      <c r="C3692" s="156" t="inlineStr">
        <is>
          <t>DT-808</t>
        </is>
      </c>
      <c r="D3692" s="156" t="inlineStr">
        <is>
          <t>SKT 80S</t>
        </is>
      </c>
      <c r="E3692" s="156" t="inlineStr">
        <is>
          <t>Hauler</t>
        </is>
      </c>
      <c r="F3692" s="156" t="inlineStr"/>
      <c r="G3692" s="182" t="n">
        <v>0</v>
      </c>
      <c r="H3692" s="182" t="n">
        <v>0</v>
      </c>
      <c r="I3692" s="182" t="n">
        <v>0</v>
      </c>
      <c r="J3692" s="182" t="n">
        <v>0</v>
      </c>
      <c r="K3692" s="182" t="n">
        <v>12</v>
      </c>
      <c r="L3692" s="182" t="n">
        <v>12</v>
      </c>
      <c r="M3692" s="182" t="n">
        <v>0</v>
      </c>
      <c r="N3692" s="182" t="n">
        <v>0</v>
      </c>
      <c r="O3692" s="183" t="n">
        <v>0</v>
      </c>
      <c r="P3692" s="183" t="n">
        <v>0</v>
      </c>
      <c r="Q3692" s="184" t="n">
        <v>0</v>
      </c>
      <c r="R3692" s="184" t="n">
        <v>0</v>
      </c>
      <c r="S3692" s="183" t="n">
        <v>0</v>
      </c>
      <c r="T3692" s="183" t="n">
        <v>0</v>
      </c>
      <c r="U3692" s="182" t="n">
        <v>0</v>
      </c>
      <c r="V3692" s="182" t="n">
        <v>0</v>
      </c>
      <c r="W3692" s="182" t="n">
        <v>0</v>
      </c>
      <c r="X3692" s="182" t="n">
        <v>1</v>
      </c>
      <c r="Y3692" s="182" t="n">
        <v>0</v>
      </c>
      <c r="Z3692" s="182" t="n">
        <v>0</v>
      </c>
      <c r="AA3692" s="182" t="n">
        <v>0</v>
      </c>
      <c r="AB3692" s="182" t="n">
        <v>0</v>
      </c>
      <c r="AC3692" s="182" t="n">
        <v>0</v>
      </c>
      <c r="AD3692" s="182" t="n">
        <v>0</v>
      </c>
      <c r="AE3692" s="182" t="n">
        <v>0</v>
      </c>
      <c r="AF3692" s="182" t="n">
        <v>0</v>
      </c>
      <c r="AG3692" s="182" t="n">
        <v>0</v>
      </c>
      <c r="AH3692" s="182" t="n">
        <v>0</v>
      </c>
      <c r="AI3692" s="182" t="n">
        <v>0</v>
      </c>
      <c r="AJ3692" s="182" t="n">
        <v>0</v>
      </c>
      <c r="AK3692" s="182" t="n">
        <v>10.92</v>
      </c>
      <c r="AL3692" s="182" t="n">
        <v>0</v>
      </c>
      <c r="AM3692" s="182" t="n">
        <v>0.08</v>
      </c>
      <c r="AN3692" s="182" t="n">
        <v>0</v>
      </c>
    </row>
    <row r="3693">
      <c r="A3693" s="155" t="n">
        <v>46098</v>
      </c>
      <c r="B3693" s="156" t="inlineStr">
        <is>
          <t>NS</t>
        </is>
      </c>
      <c r="C3693" s="156" t="inlineStr">
        <is>
          <t>DT-811</t>
        </is>
      </c>
      <c r="D3693" s="156" t="inlineStr">
        <is>
          <t>SKT 80S</t>
        </is>
      </c>
      <c r="E3693" s="156" t="inlineStr">
        <is>
          <t>Hauler</t>
        </is>
      </c>
      <c r="F3693" s="156" t="inlineStr"/>
      <c r="G3693" s="182" t="n">
        <v>0</v>
      </c>
      <c r="H3693" s="182" t="n">
        <v>0</v>
      </c>
      <c r="I3693" s="182" t="n">
        <v>0</v>
      </c>
      <c r="J3693" s="182" t="n">
        <v>0</v>
      </c>
      <c r="K3693" s="182" t="n">
        <v>12</v>
      </c>
      <c r="L3693" s="182" t="n">
        <v>12</v>
      </c>
      <c r="M3693" s="182" t="n">
        <v>0</v>
      </c>
      <c r="N3693" s="182" t="n">
        <v>0</v>
      </c>
      <c r="O3693" s="183" t="n">
        <v>0</v>
      </c>
      <c r="P3693" s="183" t="n">
        <v>0</v>
      </c>
      <c r="Q3693" s="184" t="n">
        <v>0</v>
      </c>
      <c r="R3693" s="184" t="n">
        <v>0</v>
      </c>
      <c r="S3693" s="183" t="n">
        <v>0</v>
      </c>
      <c r="T3693" s="183" t="n">
        <v>0</v>
      </c>
      <c r="U3693" s="182" t="n">
        <v>0</v>
      </c>
      <c r="V3693" s="182" t="n">
        <v>0</v>
      </c>
      <c r="W3693" s="182" t="n">
        <v>0</v>
      </c>
      <c r="X3693" s="182" t="n">
        <v>1</v>
      </c>
      <c r="Y3693" s="182" t="n">
        <v>0</v>
      </c>
      <c r="Z3693" s="182" t="n">
        <v>0</v>
      </c>
      <c r="AA3693" s="182" t="n">
        <v>0</v>
      </c>
      <c r="AB3693" s="182" t="n">
        <v>0</v>
      </c>
      <c r="AC3693" s="182" t="n">
        <v>0</v>
      </c>
      <c r="AD3693" s="182" t="n">
        <v>0</v>
      </c>
      <c r="AE3693" s="182" t="n">
        <v>0</v>
      </c>
      <c r="AF3693" s="182" t="n">
        <v>0</v>
      </c>
      <c r="AG3693" s="182" t="n">
        <v>0</v>
      </c>
      <c r="AH3693" s="182" t="n">
        <v>0</v>
      </c>
      <c r="AI3693" s="182" t="n">
        <v>0</v>
      </c>
      <c r="AJ3693" s="182" t="n">
        <v>0</v>
      </c>
      <c r="AK3693" s="182" t="n">
        <v>10.92</v>
      </c>
      <c r="AL3693" s="182" t="n">
        <v>0</v>
      </c>
      <c r="AM3693" s="182" t="n">
        <v>0.08</v>
      </c>
      <c r="AN3693" s="182" t="n">
        <v>0</v>
      </c>
    </row>
    <row r="3694">
      <c r="A3694" s="155" t="n">
        <v>46098</v>
      </c>
      <c r="B3694" s="156" t="inlineStr">
        <is>
          <t>NS</t>
        </is>
      </c>
      <c r="C3694" s="156" t="inlineStr">
        <is>
          <t>DT-802</t>
        </is>
      </c>
      <c r="D3694" s="156" t="inlineStr">
        <is>
          <t>SKT 80S</t>
        </is>
      </c>
      <c r="E3694" s="156" t="inlineStr">
        <is>
          <t>Hauler</t>
        </is>
      </c>
      <c r="F3694" s="156" t="inlineStr"/>
      <c r="G3694" s="182" t="n">
        <v>0</v>
      </c>
      <c r="H3694" s="182" t="n">
        <v>0</v>
      </c>
      <c r="I3694" s="182" t="n">
        <v>0</v>
      </c>
      <c r="J3694" s="182" t="n">
        <v>0</v>
      </c>
      <c r="K3694" s="182" t="n">
        <v>12</v>
      </c>
      <c r="L3694" s="182" t="n">
        <v>12</v>
      </c>
      <c r="M3694" s="182" t="n">
        <v>0</v>
      </c>
      <c r="N3694" s="182" t="n">
        <v>0</v>
      </c>
      <c r="O3694" s="183" t="n">
        <v>0</v>
      </c>
      <c r="P3694" s="183" t="n">
        <v>0</v>
      </c>
      <c r="Q3694" s="184" t="n">
        <v>0</v>
      </c>
      <c r="R3694" s="184" t="n">
        <v>0</v>
      </c>
      <c r="S3694" s="183" t="n">
        <v>0</v>
      </c>
      <c r="T3694" s="183" t="n">
        <v>0</v>
      </c>
      <c r="U3694" s="182" t="n">
        <v>0</v>
      </c>
      <c r="V3694" s="182" t="n">
        <v>0</v>
      </c>
      <c r="W3694" s="182" t="n">
        <v>0</v>
      </c>
      <c r="X3694" s="182" t="n">
        <v>1</v>
      </c>
      <c r="Y3694" s="182" t="n">
        <v>0</v>
      </c>
      <c r="Z3694" s="182" t="n">
        <v>0</v>
      </c>
      <c r="AA3694" s="182" t="n">
        <v>0</v>
      </c>
      <c r="AB3694" s="182" t="n">
        <v>0</v>
      </c>
      <c r="AC3694" s="182" t="n">
        <v>0</v>
      </c>
      <c r="AD3694" s="182" t="n">
        <v>0</v>
      </c>
      <c r="AE3694" s="182" t="n">
        <v>0</v>
      </c>
      <c r="AF3694" s="182" t="n">
        <v>0</v>
      </c>
      <c r="AG3694" s="182" t="n">
        <v>0</v>
      </c>
      <c r="AH3694" s="182" t="n">
        <v>0</v>
      </c>
      <c r="AI3694" s="182" t="n">
        <v>0</v>
      </c>
      <c r="AJ3694" s="182" t="n">
        <v>0</v>
      </c>
      <c r="AK3694" s="182" t="n">
        <v>10.92</v>
      </c>
      <c r="AL3694" s="182" t="n">
        <v>0</v>
      </c>
      <c r="AM3694" s="182" t="n">
        <v>0.08</v>
      </c>
      <c r="AN3694" s="182" t="n">
        <v>0</v>
      </c>
    </row>
    <row r="3695">
      <c r="A3695" s="155" t="n">
        <v>46098</v>
      </c>
      <c r="B3695" s="156" t="inlineStr">
        <is>
          <t>NS</t>
        </is>
      </c>
      <c r="C3695" s="156" t="inlineStr">
        <is>
          <t>DT-807</t>
        </is>
      </c>
      <c r="D3695" s="156" t="inlineStr">
        <is>
          <t>SKT 80S</t>
        </is>
      </c>
      <c r="E3695" s="156" t="inlineStr">
        <is>
          <t>Hauler</t>
        </is>
      </c>
      <c r="F3695" s="156" t="inlineStr"/>
      <c r="G3695" s="182" t="n">
        <v>0</v>
      </c>
      <c r="H3695" s="182" t="n">
        <v>0</v>
      </c>
      <c r="I3695" s="182" t="n">
        <v>12</v>
      </c>
      <c r="J3695" s="182" t="n">
        <v>12</v>
      </c>
      <c r="K3695" s="182" t="n">
        <v>0</v>
      </c>
      <c r="L3695" s="182" t="n">
        <v>12</v>
      </c>
      <c r="M3695" s="182" t="n">
        <v>0</v>
      </c>
      <c r="N3695" s="182" t="n">
        <v>0</v>
      </c>
      <c r="O3695" s="183" t="n">
        <v>0</v>
      </c>
      <c r="P3695" s="183" t="n">
        <v>0</v>
      </c>
      <c r="Q3695" s="184" t="n">
        <v>0</v>
      </c>
      <c r="R3695" s="184" t="n">
        <v>0</v>
      </c>
      <c r="S3695" s="183" t="n">
        <v>0</v>
      </c>
      <c r="T3695" s="183" t="n">
        <v>0</v>
      </c>
      <c r="U3695" s="182" t="n">
        <v>0</v>
      </c>
      <c r="V3695" s="182" t="n">
        <v>0</v>
      </c>
      <c r="W3695" s="182" t="n">
        <v>0</v>
      </c>
      <c r="X3695" s="182" t="n">
        <v>0</v>
      </c>
      <c r="Y3695" s="182" t="n">
        <v>0</v>
      </c>
      <c r="Z3695" s="182" t="n">
        <v>0</v>
      </c>
      <c r="AA3695" s="182" t="n">
        <v>0</v>
      </c>
      <c r="AB3695" s="182" t="n">
        <v>0</v>
      </c>
      <c r="AC3695" s="182" t="n">
        <v>0</v>
      </c>
      <c r="AD3695" s="182" t="n">
        <v>0</v>
      </c>
      <c r="AE3695" s="182" t="n">
        <v>0</v>
      </c>
      <c r="AF3695" s="182" t="n">
        <v>0</v>
      </c>
      <c r="AG3695" s="182" t="n">
        <v>0</v>
      </c>
      <c r="AH3695" s="182" t="n">
        <v>0</v>
      </c>
      <c r="AI3695" s="182" t="n">
        <v>0</v>
      </c>
      <c r="AJ3695" s="182" t="n">
        <v>0</v>
      </c>
      <c r="AK3695" s="182" t="n">
        <v>0</v>
      </c>
      <c r="AL3695" s="182" t="n">
        <v>0</v>
      </c>
      <c r="AM3695" s="182" t="n">
        <v>0</v>
      </c>
      <c r="AN3695" s="182" t="n">
        <v>0</v>
      </c>
    </row>
    <row r="3696">
      <c r="A3696" s="155" t="n">
        <v>46098</v>
      </c>
      <c r="B3696" s="156" t="inlineStr">
        <is>
          <t>NS</t>
        </is>
      </c>
      <c r="C3696" s="156" t="inlineStr">
        <is>
          <t>DT-812</t>
        </is>
      </c>
      <c r="D3696" s="156" t="inlineStr">
        <is>
          <t>SKT 80S</t>
        </is>
      </c>
      <c r="E3696" s="156" t="inlineStr">
        <is>
          <t>Hauler</t>
        </is>
      </c>
      <c r="F3696" s="156" t="inlineStr"/>
      <c r="G3696" s="182" t="n">
        <v>0</v>
      </c>
      <c r="H3696" s="182" t="n">
        <v>0</v>
      </c>
      <c r="I3696" s="182" t="n">
        <v>0.08</v>
      </c>
      <c r="J3696" s="182" t="n">
        <v>0.08</v>
      </c>
      <c r="K3696" s="182" t="n">
        <v>11.92</v>
      </c>
      <c r="L3696" s="182" t="n">
        <v>12</v>
      </c>
      <c r="M3696" s="182" t="n">
        <v>0</v>
      </c>
      <c r="N3696" s="182" t="n">
        <v>0</v>
      </c>
      <c r="O3696" s="183" t="n">
        <v>0</v>
      </c>
      <c r="P3696" s="183" t="n">
        <v>0</v>
      </c>
      <c r="Q3696" s="184" t="n">
        <v>0</v>
      </c>
      <c r="R3696" s="184" t="n">
        <v>0</v>
      </c>
      <c r="S3696" s="183" t="n">
        <v>0</v>
      </c>
      <c r="T3696" s="183" t="n">
        <v>0</v>
      </c>
      <c r="U3696" s="182" t="n">
        <v>0</v>
      </c>
      <c r="V3696" s="182" t="n">
        <v>0</v>
      </c>
      <c r="W3696" s="182" t="n">
        <v>0</v>
      </c>
      <c r="X3696" s="182" t="n">
        <v>1</v>
      </c>
      <c r="Y3696" s="182" t="n">
        <v>0</v>
      </c>
      <c r="Z3696" s="182" t="n">
        <v>0</v>
      </c>
      <c r="AA3696" s="182" t="n">
        <v>0</v>
      </c>
      <c r="AB3696" s="182" t="n">
        <v>0</v>
      </c>
      <c r="AC3696" s="182" t="n">
        <v>0</v>
      </c>
      <c r="AD3696" s="182" t="n">
        <v>0</v>
      </c>
      <c r="AE3696" s="182" t="n">
        <v>0</v>
      </c>
      <c r="AF3696" s="182" t="n">
        <v>0</v>
      </c>
      <c r="AG3696" s="182" t="n">
        <v>0</v>
      </c>
      <c r="AH3696" s="182" t="n">
        <v>0</v>
      </c>
      <c r="AI3696" s="182" t="n">
        <v>0</v>
      </c>
      <c r="AJ3696" s="182" t="n">
        <v>0</v>
      </c>
      <c r="AK3696" s="182" t="n">
        <v>10.83</v>
      </c>
      <c r="AL3696" s="182" t="n">
        <v>0</v>
      </c>
      <c r="AM3696" s="182" t="n">
        <v>0.08</v>
      </c>
      <c r="AN3696" s="182" t="n">
        <v>0</v>
      </c>
    </row>
    <row r="3697">
      <c r="A3697" s="155" t="n">
        <v>46098</v>
      </c>
      <c r="B3697" s="156" t="inlineStr">
        <is>
          <t>NS</t>
        </is>
      </c>
      <c r="C3697" s="156" t="inlineStr">
        <is>
          <t>DT-803</t>
        </is>
      </c>
      <c r="D3697" s="156" t="inlineStr">
        <is>
          <t>SKT 80S</t>
        </is>
      </c>
      <c r="E3697" s="156" t="inlineStr">
        <is>
          <t>Hauler</t>
        </is>
      </c>
      <c r="F3697" s="156" t="inlineStr"/>
      <c r="G3697" s="182" t="n">
        <v>0</v>
      </c>
      <c r="H3697" s="182" t="n">
        <v>0</v>
      </c>
      <c r="I3697" s="182" t="n">
        <v>0</v>
      </c>
      <c r="J3697" s="182" t="n">
        <v>0</v>
      </c>
      <c r="K3697" s="182" t="n">
        <v>12</v>
      </c>
      <c r="L3697" s="182" t="n">
        <v>12</v>
      </c>
      <c r="M3697" s="182" t="n">
        <v>0</v>
      </c>
      <c r="N3697" s="182" t="n">
        <v>0</v>
      </c>
      <c r="O3697" s="183" t="n">
        <v>0</v>
      </c>
      <c r="P3697" s="183" t="n">
        <v>0</v>
      </c>
      <c r="Q3697" s="184" t="n">
        <v>0</v>
      </c>
      <c r="R3697" s="184" t="n">
        <v>0</v>
      </c>
      <c r="S3697" s="183" t="n">
        <v>0</v>
      </c>
      <c r="T3697" s="183" t="n">
        <v>0</v>
      </c>
      <c r="U3697" s="182" t="n">
        <v>0</v>
      </c>
      <c r="V3697" s="182" t="n">
        <v>0</v>
      </c>
      <c r="W3697" s="182" t="n">
        <v>0</v>
      </c>
      <c r="X3697" s="182" t="n">
        <v>1</v>
      </c>
      <c r="Y3697" s="182" t="n">
        <v>0</v>
      </c>
      <c r="Z3697" s="182" t="n">
        <v>0</v>
      </c>
      <c r="AA3697" s="182" t="n">
        <v>0</v>
      </c>
      <c r="AB3697" s="182" t="n">
        <v>0</v>
      </c>
      <c r="AC3697" s="182" t="n">
        <v>0</v>
      </c>
      <c r="AD3697" s="182" t="n">
        <v>0</v>
      </c>
      <c r="AE3697" s="182" t="n">
        <v>0</v>
      </c>
      <c r="AF3697" s="182" t="n">
        <v>0</v>
      </c>
      <c r="AG3697" s="182" t="n">
        <v>0</v>
      </c>
      <c r="AH3697" s="182" t="n">
        <v>0</v>
      </c>
      <c r="AI3697" s="182" t="n">
        <v>0</v>
      </c>
      <c r="AJ3697" s="182" t="n">
        <v>0</v>
      </c>
      <c r="AK3697" s="182" t="n">
        <v>10.92</v>
      </c>
      <c r="AL3697" s="182" t="n">
        <v>0</v>
      </c>
      <c r="AM3697" s="182" t="n">
        <v>0.08</v>
      </c>
      <c r="AN3697" s="182" t="n">
        <v>0</v>
      </c>
    </row>
    <row r="3698">
      <c r="A3698" s="155" t="n">
        <v>46098</v>
      </c>
      <c r="B3698" s="156" t="inlineStr">
        <is>
          <t>NS</t>
        </is>
      </c>
      <c r="C3698" s="156" t="inlineStr">
        <is>
          <t>DT-810</t>
        </is>
      </c>
      <c r="D3698" s="156" t="inlineStr">
        <is>
          <t>SKT 80S</t>
        </is>
      </c>
      <c r="E3698" s="156" t="inlineStr">
        <is>
          <t>Hauler</t>
        </is>
      </c>
      <c r="F3698" s="156" t="inlineStr"/>
      <c r="G3698" s="182" t="n">
        <v>0</v>
      </c>
      <c r="H3698" s="182" t="n">
        <v>0</v>
      </c>
      <c r="I3698" s="182" t="n">
        <v>0</v>
      </c>
      <c r="J3698" s="182" t="n">
        <v>0</v>
      </c>
      <c r="K3698" s="182" t="n">
        <v>12</v>
      </c>
      <c r="L3698" s="182" t="n">
        <v>12</v>
      </c>
      <c r="M3698" s="182" t="n">
        <v>0</v>
      </c>
      <c r="N3698" s="182" t="n">
        <v>0</v>
      </c>
      <c r="O3698" s="183" t="n">
        <v>0</v>
      </c>
      <c r="P3698" s="183" t="n">
        <v>0</v>
      </c>
      <c r="Q3698" s="184" t="n">
        <v>0</v>
      </c>
      <c r="R3698" s="184" t="n">
        <v>0</v>
      </c>
      <c r="S3698" s="183" t="n">
        <v>0</v>
      </c>
      <c r="T3698" s="183" t="n">
        <v>0</v>
      </c>
      <c r="U3698" s="182" t="n">
        <v>0</v>
      </c>
      <c r="V3698" s="182" t="n">
        <v>0</v>
      </c>
      <c r="W3698" s="182" t="n">
        <v>0</v>
      </c>
      <c r="X3698" s="182" t="n">
        <v>1</v>
      </c>
      <c r="Y3698" s="182" t="n">
        <v>0</v>
      </c>
      <c r="Z3698" s="182" t="n">
        <v>0</v>
      </c>
      <c r="AA3698" s="182" t="n">
        <v>0</v>
      </c>
      <c r="AB3698" s="182" t="n">
        <v>0</v>
      </c>
      <c r="AC3698" s="182" t="n">
        <v>0</v>
      </c>
      <c r="AD3698" s="182" t="n">
        <v>0</v>
      </c>
      <c r="AE3698" s="182" t="n">
        <v>0</v>
      </c>
      <c r="AF3698" s="182" t="n">
        <v>0</v>
      </c>
      <c r="AG3698" s="182" t="n">
        <v>0</v>
      </c>
      <c r="AH3698" s="182" t="n">
        <v>0</v>
      </c>
      <c r="AI3698" s="182" t="n">
        <v>0</v>
      </c>
      <c r="AJ3698" s="182" t="n">
        <v>0</v>
      </c>
      <c r="AK3698" s="182" t="n">
        <v>10.92</v>
      </c>
      <c r="AL3698" s="182" t="n">
        <v>0</v>
      </c>
      <c r="AM3698" s="182" t="n">
        <v>0.08</v>
      </c>
      <c r="AN3698" s="182" t="n">
        <v>0</v>
      </c>
    </row>
    <row r="3699">
      <c r="A3699" s="155" t="n">
        <v>46098</v>
      </c>
      <c r="B3699" s="156" t="inlineStr">
        <is>
          <t>NS</t>
        </is>
      </c>
      <c r="C3699" s="156" t="inlineStr">
        <is>
          <t>DT-804</t>
        </is>
      </c>
      <c r="D3699" s="156" t="inlineStr">
        <is>
          <t>SKT 80S</t>
        </is>
      </c>
      <c r="E3699" s="156" t="inlineStr">
        <is>
          <t>Hauler</t>
        </is>
      </c>
      <c r="F3699" s="156" t="inlineStr"/>
      <c r="G3699" s="182" t="n">
        <v>0</v>
      </c>
      <c r="H3699" s="182" t="n">
        <v>0</v>
      </c>
      <c r="I3699" s="182" t="n">
        <v>0</v>
      </c>
      <c r="J3699" s="182" t="n">
        <v>0</v>
      </c>
      <c r="K3699" s="182" t="n">
        <v>12</v>
      </c>
      <c r="L3699" s="182" t="n">
        <v>12</v>
      </c>
      <c r="M3699" s="182" t="n">
        <v>0</v>
      </c>
      <c r="N3699" s="182" t="n">
        <v>0</v>
      </c>
      <c r="O3699" s="183" t="n">
        <v>0</v>
      </c>
      <c r="P3699" s="183" t="n">
        <v>0</v>
      </c>
      <c r="Q3699" s="184" t="n">
        <v>0</v>
      </c>
      <c r="R3699" s="184" t="n">
        <v>0</v>
      </c>
      <c r="S3699" s="183" t="n">
        <v>0</v>
      </c>
      <c r="T3699" s="183" t="n">
        <v>0</v>
      </c>
      <c r="U3699" s="182" t="n">
        <v>0</v>
      </c>
      <c r="V3699" s="182" t="n">
        <v>0</v>
      </c>
      <c r="W3699" s="182" t="n">
        <v>0</v>
      </c>
      <c r="X3699" s="182" t="n">
        <v>1</v>
      </c>
      <c r="Y3699" s="182" t="n">
        <v>0</v>
      </c>
      <c r="Z3699" s="182" t="n">
        <v>0</v>
      </c>
      <c r="AA3699" s="182" t="n">
        <v>0</v>
      </c>
      <c r="AB3699" s="182" t="n">
        <v>0</v>
      </c>
      <c r="AC3699" s="182" t="n">
        <v>0</v>
      </c>
      <c r="AD3699" s="182" t="n">
        <v>0</v>
      </c>
      <c r="AE3699" s="182" t="n">
        <v>0</v>
      </c>
      <c r="AF3699" s="182" t="n">
        <v>0</v>
      </c>
      <c r="AG3699" s="182" t="n">
        <v>0</v>
      </c>
      <c r="AH3699" s="182" t="n">
        <v>0</v>
      </c>
      <c r="AI3699" s="182" t="n">
        <v>0</v>
      </c>
      <c r="AJ3699" s="182" t="n">
        <v>0</v>
      </c>
      <c r="AK3699" s="182" t="n">
        <v>10.92</v>
      </c>
      <c r="AL3699" s="182" t="n">
        <v>0</v>
      </c>
      <c r="AM3699" s="182" t="n">
        <v>0.08</v>
      </c>
      <c r="AN3699" s="182" t="n">
        <v>0</v>
      </c>
    </row>
    <row r="3700">
      <c r="A3700" s="155" t="n">
        <v>46098</v>
      </c>
      <c r="B3700" s="156" t="inlineStr">
        <is>
          <t>NS</t>
        </is>
      </c>
      <c r="C3700" s="156" t="inlineStr">
        <is>
          <t>DT-505</t>
        </is>
      </c>
      <c r="D3700" s="156" t="inlineStr">
        <is>
          <t>SKT 105S</t>
        </is>
      </c>
      <c r="E3700" s="156" t="inlineStr">
        <is>
          <t>Hauler</t>
        </is>
      </c>
      <c r="F3700" s="156" t="inlineStr">
        <is>
          <t>Hauling OB</t>
        </is>
      </c>
      <c r="G3700" s="182" t="n">
        <v>1.88</v>
      </c>
      <c r="H3700" s="182" t="n">
        <v>0</v>
      </c>
      <c r="I3700" s="182" t="n">
        <v>0</v>
      </c>
      <c r="J3700" s="182" t="n">
        <v>0</v>
      </c>
      <c r="K3700" s="182" t="n">
        <v>10.12</v>
      </c>
      <c r="L3700" s="182" t="n">
        <v>12</v>
      </c>
      <c r="M3700" s="182" t="n">
        <v>1.88</v>
      </c>
      <c r="N3700" s="182" t="n">
        <v>0</v>
      </c>
      <c r="O3700" s="183" t="n">
        <v>11</v>
      </c>
      <c r="P3700" s="183" t="n">
        <v>0</v>
      </c>
      <c r="Q3700" s="184" t="n">
        <v>224.4</v>
      </c>
      <c r="R3700" s="184" t="n">
        <v>0</v>
      </c>
      <c r="S3700" s="183" t="n">
        <v>0</v>
      </c>
      <c r="T3700" s="183" t="n">
        <v>0</v>
      </c>
      <c r="U3700" s="182" t="n">
        <v>1.83</v>
      </c>
      <c r="V3700" s="182" t="n">
        <v>0.83</v>
      </c>
      <c r="W3700" s="182" t="n">
        <v>2</v>
      </c>
      <c r="X3700" s="182" t="n">
        <v>1</v>
      </c>
      <c r="Y3700" s="182" t="n">
        <v>0</v>
      </c>
      <c r="Z3700" s="182" t="n">
        <v>0</v>
      </c>
      <c r="AA3700" s="182" t="n">
        <v>0</v>
      </c>
      <c r="AB3700" s="182" t="n">
        <v>0</v>
      </c>
      <c r="AC3700" s="182" t="n">
        <v>0</v>
      </c>
      <c r="AD3700" s="182" t="n">
        <v>0</v>
      </c>
      <c r="AE3700" s="182" t="n">
        <v>0</v>
      </c>
      <c r="AF3700" s="182" t="n">
        <v>0</v>
      </c>
      <c r="AG3700" s="182" t="n">
        <v>0</v>
      </c>
      <c r="AH3700" s="182" t="n">
        <v>0</v>
      </c>
      <c r="AI3700" s="182" t="n">
        <v>0</v>
      </c>
      <c r="AJ3700" s="182" t="n">
        <v>0</v>
      </c>
      <c r="AK3700" s="182" t="n">
        <v>4.37</v>
      </c>
      <c r="AL3700" s="182" t="n">
        <v>0</v>
      </c>
      <c r="AM3700" s="182" t="n">
        <v>0.08</v>
      </c>
      <c r="AN3700" s="182" t="n">
        <v>0</v>
      </c>
    </row>
    <row r="3701">
      <c r="A3701" s="155" t="n">
        <v>46098</v>
      </c>
      <c r="B3701" s="156" t="inlineStr">
        <is>
          <t>NS</t>
        </is>
      </c>
      <c r="C3701" s="156" t="inlineStr">
        <is>
          <t>DT-530</t>
        </is>
      </c>
      <c r="D3701" s="156" t="inlineStr">
        <is>
          <t>SKT 105S</t>
        </is>
      </c>
      <c r="E3701" s="156" t="inlineStr">
        <is>
          <t>Hauler</t>
        </is>
      </c>
      <c r="F3701" s="156" t="inlineStr"/>
      <c r="G3701" s="182" t="n">
        <v>0</v>
      </c>
      <c r="H3701" s="182" t="n">
        <v>0</v>
      </c>
      <c r="I3701" s="182" t="n">
        <v>12</v>
      </c>
      <c r="J3701" s="182" t="n">
        <v>12</v>
      </c>
      <c r="K3701" s="182" t="n">
        <v>0</v>
      </c>
      <c r="L3701" s="182" t="n">
        <v>12</v>
      </c>
      <c r="M3701" s="182" t="n">
        <v>0</v>
      </c>
      <c r="N3701" s="182" t="n">
        <v>0</v>
      </c>
      <c r="O3701" s="183" t="n">
        <v>0</v>
      </c>
      <c r="P3701" s="183" t="n">
        <v>0</v>
      </c>
      <c r="Q3701" s="184" t="n">
        <v>0</v>
      </c>
      <c r="R3701" s="184" t="n">
        <v>0</v>
      </c>
      <c r="S3701" s="183" t="n">
        <v>0</v>
      </c>
      <c r="T3701" s="183" t="n">
        <v>0</v>
      </c>
      <c r="U3701" s="182" t="n">
        <v>0</v>
      </c>
      <c r="V3701" s="182" t="n">
        <v>0</v>
      </c>
      <c r="W3701" s="182" t="n">
        <v>0</v>
      </c>
      <c r="X3701" s="182" t="n">
        <v>0</v>
      </c>
      <c r="Y3701" s="182" t="n">
        <v>0</v>
      </c>
      <c r="Z3701" s="182" t="n">
        <v>0</v>
      </c>
      <c r="AA3701" s="182" t="n">
        <v>0</v>
      </c>
      <c r="AB3701" s="182" t="n">
        <v>0</v>
      </c>
      <c r="AC3701" s="182" t="n">
        <v>0</v>
      </c>
      <c r="AD3701" s="182" t="n">
        <v>0</v>
      </c>
      <c r="AE3701" s="182" t="n">
        <v>0</v>
      </c>
      <c r="AF3701" s="182" t="n">
        <v>0</v>
      </c>
      <c r="AG3701" s="182" t="n">
        <v>0</v>
      </c>
      <c r="AH3701" s="182" t="n">
        <v>0</v>
      </c>
      <c r="AI3701" s="182" t="n">
        <v>0</v>
      </c>
      <c r="AJ3701" s="182" t="n">
        <v>0</v>
      </c>
      <c r="AK3701" s="182" t="n">
        <v>0</v>
      </c>
      <c r="AL3701" s="182" t="n">
        <v>0</v>
      </c>
      <c r="AM3701" s="182" t="n">
        <v>0</v>
      </c>
      <c r="AN3701" s="182" t="n">
        <v>0</v>
      </c>
    </row>
    <row r="3702">
      <c r="A3702" s="155" t="n">
        <v>46098</v>
      </c>
      <c r="B3702" s="156" t="inlineStr">
        <is>
          <t>NS</t>
        </is>
      </c>
      <c r="C3702" s="156" t="inlineStr">
        <is>
          <t>DT-525</t>
        </is>
      </c>
      <c r="D3702" s="156" t="inlineStr">
        <is>
          <t>SKT 105S</t>
        </is>
      </c>
      <c r="E3702" s="156" t="inlineStr">
        <is>
          <t>Hauler</t>
        </is>
      </c>
      <c r="F3702" s="156" t="inlineStr"/>
      <c r="G3702" s="182" t="n">
        <v>0</v>
      </c>
      <c r="H3702" s="182" t="n">
        <v>0</v>
      </c>
      <c r="I3702" s="182" t="n">
        <v>12</v>
      </c>
      <c r="J3702" s="182" t="n">
        <v>12</v>
      </c>
      <c r="K3702" s="182" t="n">
        <v>0</v>
      </c>
      <c r="L3702" s="182" t="n">
        <v>12</v>
      </c>
      <c r="M3702" s="182" t="n">
        <v>0</v>
      </c>
      <c r="N3702" s="182" t="n">
        <v>0</v>
      </c>
      <c r="O3702" s="183" t="n">
        <v>0</v>
      </c>
      <c r="P3702" s="183" t="n">
        <v>0</v>
      </c>
      <c r="Q3702" s="184" t="n">
        <v>0</v>
      </c>
      <c r="R3702" s="184" t="n">
        <v>0</v>
      </c>
      <c r="S3702" s="183" t="n">
        <v>0</v>
      </c>
      <c r="T3702" s="183" t="n">
        <v>0</v>
      </c>
      <c r="U3702" s="182" t="n">
        <v>0</v>
      </c>
      <c r="V3702" s="182" t="n">
        <v>0</v>
      </c>
      <c r="W3702" s="182" t="n">
        <v>0</v>
      </c>
      <c r="X3702" s="182" t="n">
        <v>0</v>
      </c>
      <c r="Y3702" s="182" t="n">
        <v>0</v>
      </c>
      <c r="Z3702" s="182" t="n">
        <v>0</v>
      </c>
      <c r="AA3702" s="182" t="n">
        <v>0</v>
      </c>
      <c r="AB3702" s="182" t="n">
        <v>0</v>
      </c>
      <c r="AC3702" s="182" t="n">
        <v>0</v>
      </c>
      <c r="AD3702" s="182" t="n">
        <v>0</v>
      </c>
      <c r="AE3702" s="182" t="n">
        <v>0</v>
      </c>
      <c r="AF3702" s="182" t="n">
        <v>0</v>
      </c>
      <c r="AG3702" s="182" t="n">
        <v>0</v>
      </c>
      <c r="AH3702" s="182" t="n">
        <v>0</v>
      </c>
      <c r="AI3702" s="182" t="n">
        <v>0</v>
      </c>
      <c r="AJ3702" s="182" t="n">
        <v>0</v>
      </c>
      <c r="AK3702" s="182" t="n">
        <v>0</v>
      </c>
      <c r="AL3702" s="182" t="n">
        <v>0</v>
      </c>
      <c r="AM3702" s="182" t="n">
        <v>0</v>
      </c>
      <c r="AN3702" s="182" t="n">
        <v>0</v>
      </c>
    </row>
    <row r="3703">
      <c r="A3703" s="155" t="n">
        <v>46098</v>
      </c>
      <c r="B3703" s="156" t="inlineStr">
        <is>
          <t>NS</t>
        </is>
      </c>
      <c r="C3703" s="156" t="inlineStr">
        <is>
          <t>DT-503</t>
        </is>
      </c>
      <c r="D3703" s="156" t="inlineStr">
        <is>
          <t>SKT 105S</t>
        </is>
      </c>
      <c r="E3703" s="156" t="inlineStr">
        <is>
          <t>Hauler</t>
        </is>
      </c>
      <c r="F3703" s="156" t="inlineStr">
        <is>
          <t>Hauling OB</t>
        </is>
      </c>
      <c r="G3703" s="182" t="n">
        <v>4.29</v>
      </c>
      <c r="H3703" s="182" t="n">
        <v>0</v>
      </c>
      <c r="I3703" s="182" t="n">
        <v>0</v>
      </c>
      <c r="J3703" s="182" t="n">
        <v>0</v>
      </c>
      <c r="K3703" s="182" t="n">
        <v>7.71</v>
      </c>
      <c r="L3703" s="182" t="n">
        <v>12</v>
      </c>
      <c r="M3703" s="182" t="n">
        <v>4.29</v>
      </c>
      <c r="N3703" s="182" t="n">
        <v>0</v>
      </c>
      <c r="O3703" s="183" t="n">
        <v>12</v>
      </c>
      <c r="P3703" s="183" t="n">
        <v>0</v>
      </c>
      <c r="Q3703" s="184" t="n">
        <v>244.8</v>
      </c>
      <c r="R3703" s="184" t="n">
        <v>0</v>
      </c>
      <c r="S3703" s="183" t="n">
        <v>0</v>
      </c>
      <c r="T3703" s="183" t="n">
        <v>0</v>
      </c>
      <c r="U3703" s="182" t="n">
        <v>1.81</v>
      </c>
      <c r="V3703" s="182" t="n">
        <v>0.82</v>
      </c>
      <c r="W3703" s="182" t="n">
        <v>0</v>
      </c>
      <c r="X3703" s="182" t="n">
        <v>0.99</v>
      </c>
      <c r="Y3703" s="182" t="n">
        <v>0</v>
      </c>
      <c r="Z3703" s="182" t="n">
        <v>0</v>
      </c>
      <c r="AA3703" s="182" t="n">
        <v>0</v>
      </c>
      <c r="AB3703" s="182" t="n">
        <v>0</v>
      </c>
      <c r="AC3703" s="182" t="n">
        <v>0</v>
      </c>
      <c r="AD3703" s="182" t="n">
        <v>0</v>
      </c>
      <c r="AE3703" s="182" t="n">
        <v>0</v>
      </c>
      <c r="AF3703" s="182" t="n">
        <v>0</v>
      </c>
      <c r="AG3703" s="182" t="n">
        <v>0</v>
      </c>
      <c r="AH3703" s="182" t="n">
        <v>0</v>
      </c>
      <c r="AI3703" s="182" t="n">
        <v>4.01</v>
      </c>
      <c r="AJ3703" s="182" t="n">
        <v>0</v>
      </c>
      <c r="AK3703" s="182" t="n">
        <v>0</v>
      </c>
      <c r="AL3703" s="182" t="n">
        <v>0</v>
      </c>
      <c r="AM3703" s="182" t="n">
        <v>0.08</v>
      </c>
      <c r="AN3703" s="182" t="n">
        <v>0</v>
      </c>
    </row>
    <row r="3704">
      <c r="A3704" s="155" t="n">
        <v>46098</v>
      </c>
      <c r="B3704" s="156" t="inlineStr">
        <is>
          <t>NS</t>
        </is>
      </c>
      <c r="C3704" s="156" t="inlineStr">
        <is>
          <t>DT-504</t>
        </is>
      </c>
      <c r="D3704" s="156" t="inlineStr">
        <is>
          <t>SKT 105S</t>
        </is>
      </c>
      <c r="E3704" s="156" t="inlineStr">
        <is>
          <t>Hauler</t>
        </is>
      </c>
      <c r="F3704" s="156" t="inlineStr">
        <is>
          <t>Hauling OB</t>
        </is>
      </c>
      <c r="G3704" s="182" t="n">
        <v>4.86</v>
      </c>
      <c r="H3704" s="182" t="n">
        <v>0</v>
      </c>
      <c r="I3704" s="182" t="n">
        <v>0</v>
      </c>
      <c r="J3704" s="182" t="n">
        <v>0</v>
      </c>
      <c r="K3704" s="182" t="n">
        <v>7.14</v>
      </c>
      <c r="L3704" s="182" t="n">
        <v>12</v>
      </c>
      <c r="M3704" s="182" t="n">
        <v>4.86</v>
      </c>
      <c r="N3704" s="182" t="n">
        <v>0</v>
      </c>
      <c r="O3704" s="183" t="n">
        <v>37</v>
      </c>
      <c r="P3704" s="183" t="n">
        <v>0</v>
      </c>
      <c r="Q3704" s="184" t="n">
        <v>754.8</v>
      </c>
      <c r="R3704" s="184" t="n">
        <v>0</v>
      </c>
      <c r="S3704" s="183" t="n">
        <v>0</v>
      </c>
      <c r="T3704" s="183" t="n">
        <v>0</v>
      </c>
      <c r="U3704" s="182" t="n">
        <v>1.95</v>
      </c>
      <c r="V3704" s="182" t="n">
        <v>0.88</v>
      </c>
      <c r="W3704" s="182" t="n">
        <v>3.15</v>
      </c>
      <c r="X3704" s="182" t="n">
        <v>1.07</v>
      </c>
      <c r="Y3704" s="182" t="n">
        <v>0</v>
      </c>
      <c r="Z3704" s="182" t="n">
        <v>0</v>
      </c>
      <c r="AA3704" s="182" t="n">
        <v>0</v>
      </c>
      <c r="AB3704" s="182" t="n">
        <v>0</v>
      </c>
      <c r="AC3704" s="182" t="n">
        <v>0</v>
      </c>
      <c r="AD3704" s="182" t="n">
        <v>0</v>
      </c>
      <c r="AE3704" s="182" t="n">
        <v>0</v>
      </c>
      <c r="AF3704" s="182" t="n">
        <v>0</v>
      </c>
      <c r="AG3704" s="182" t="n">
        <v>0</v>
      </c>
      <c r="AH3704" s="182" t="n">
        <v>0</v>
      </c>
      <c r="AI3704" s="182" t="n">
        <v>0</v>
      </c>
      <c r="AJ3704" s="182" t="n">
        <v>0</v>
      </c>
      <c r="AK3704" s="182" t="n">
        <v>0</v>
      </c>
      <c r="AL3704" s="182" t="n">
        <v>0</v>
      </c>
      <c r="AM3704" s="182" t="n">
        <v>0.09</v>
      </c>
      <c r="AN3704" s="182" t="n">
        <v>0</v>
      </c>
    </row>
    <row r="3705">
      <c r="A3705" s="155" t="n">
        <v>46098</v>
      </c>
      <c r="B3705" s="156" t="inlineStr">
        <is>
          <t>NS</t>
        </is>
      </c>
      <c r="C3705" s="156" t="inlineStr">
        <is>
          <t>DT-507</t>
        </is>
      </c>
      <c r="D3705" s="156" t="inlineStr">
        <is>
          <t>SKT 105S</t>
        </is>
      </c>
      <c r="E3705" s="156" t="inlineStr">
        <is>
          <t>Hauler</t>
        </is>
      </c>
      <c r="F3705" s="156" t="inlineStr">
        <is>
          <t>Hauling OB</t>
        </is>
      </c>
      <c r="G3705" s="182" t="n">
        <v>6.36</v>
      </c>
      <c r="H3705" s="182" t="n">
        <v>0</v>
      </c>
      <c r="I3705" s="182" t="n">
        <v>0</v>
      </c>
      <c r="J3705" s="182" t="n">
        <v>0</v>
      </c>
      <c r="K3705" s="182" t="n">
        <v>5.64</v>
      </c>
      <c r="L3705" s="182" t="n">
        <v>12</v>
      </c>
      <c r="M3705" s="182" t="n">
        <v>6.36</v>
      </c>
      <c r="N3705" s="182" t="n">
        <v>0</v>
      </c>
      <c r="O3705" s="183" t="n">
        <v>44</v>
      </c>
      <c r="P3705" s="183" t="n">
        <v>0</v>
      </c>
      <c r="Q3705" s="184" t="n">
        <v>897.6</v>
      </c>
      <c r="R3705" s="184" t="n">
        <v>0</v>
      </c>
      <c r="S3705" s="183" t="n">
        <v>0</v>
      </c>
      <c r="T3705" s="183" t="n">
        <v>0</v>
      </c>
      <c r="U3705" s="182" t="n">
        <v>1.95</v>
      </c>
      <c r="V3705" s="182" t="n">
        <v>0.88</v>
      </c>
      <c r="W3705" s="182" t="n">
        <v>1.66</v>
      </c>
      <c r="X3705" s="182" t="n">
        <v>1.06</v>
      </c>
      <c r="Y3705" s="182" t="n">
        <v>0</v>
      </c>
      <c r="Z3705" s="182" t="n">
        <v>0</v>
      </c>
      <c r="AA3705" s="182" t="n">
        <v>0</v>
      </c>
      <c r="AB3705" s="182" t="n">
        <v>0</v>
      </c>
      <c r="AC3705" s="182" t="n">
        <v>0</v>
      </c>
      <c r="AD3705" s="182" t="n">
        <v>0</v>
      </c>
      <c r="AE3705" s="182" t="n">
        <v>0</v>
      </c>
      <c r="AF3705" s="182" t="n">
        <v>0</v>
      </c>
      <c r="AG3705" s="182" t="n">
        <v>0</v>
      </c>
      <c r="AH3705" s="182" t="n">
        <v>0</v>
      </c>
      <c r="AI3705" s="182" t="n">
        <v>0</v>
      </c>
      <c r="AJ3705" s="182" t="n">
        <v>0</v>
      </c>
      <c r="AK3705" s="182" t="n">
        <v>0</v>
      </c>
      <c r="AL3705" s="182" t="n">
        <v>0</v>
      </c>
      <c r="AM3705" s="182" t="n">
        <v>0.09</v>
      </c>
      <c r="AN3705" s="182" t="n">
        <v>0</v>
      </c>
    </row>
    <row r="3706">
      <c r="A3706" s="155" t="n">
        <v>46098</v>
      </c>
      <c r="B3706" s="156" t="inlineStr">
        <is>
          <t>NS</t>
        </is>
      </c>
      <c r="C3706" s="156" t="inlineStr">
        <is>
          <t>DT-501</t>
        </is>
      </c>
      <c r="D3706" s="156" t="inlineStr">
        <is>
          <t>SKT 105S</t>
        </is>
      </c>
      <c r="E3706" s="156" t="inlineStr">
        <is>
          <t>Hauler</t>
        </is>
      </c>
      <c r="F3706" s="156" t="inlineStr">
        <is>
          <t>Hauling OB</t>
        </is>
      </c>
      <c r="G3706" s="182" t="n">
        <v>3.98</v>
      </c>
      <c r="H3706" s="182" t="n">
        <v>0</v>
      </c>
      <c r="I3706" s="182" t="n">
        <v>1</v>
      </c>
      <c r="J3706" s="182" t="n">
        <v>1</v>
      </c>
      <c r="K3706" s="182" t="n">
        <v>7.02</v>
      </c>
      <c r="L3706" s="182" t="n">
        <v>12</v>
      </c>
      <c r="M3706" s="182" t="n">
        <v>3.98</v>
      </c>
      <c r="N3706" s="182" t="n">
        <v>0</v>
      </c>
      <c r="O3706" s="183" t="n">
        <v>10</v>
      </c>
      <c r="P3706" s="183" t="n">
        <v>0</v>
      </c>
      <c r="Q3706" s="184" t="n">
        <v>204</v>
      </c>
      <c r="R3706" s="184" t="n">
        <v>0</v>
      </c>
      <c r="S3706" s="183" t="n">
        <v>0</v>
      </c>
      <c r="T3706" s="183" t="n">
        <v>0</v>
      </c>
      <c r="U3706" s="182" t="n">
        <v>1.95</v>
      </c>
      <c r="V3706" s="182" t="n">
        <v>0.88</v>
      </c>
      <c r="W3706" s="182" t="n">
        <v>0</v>
      </c>
      <c r="X3706" s="182" t="n">
        <v>1.06</v>
      </c>
      <c r="Y3706" s="182" t="n">
        <v>0</v>
      </c>
      <c r="Z3706" s="182" t="n">
        <v>0</v>
      </c>
      <c r="AA3706" s="182" t="n">
        <v>0</v>
      </c>
      <c r="AB3706" s="182" t="n">
        <v>0</v>
      </c>
      <c r="AC3706" s="182" t="n">
        <v>0</v>
      </c>
      <c r="AD3706" s="182" t="n">
        <v>0</v>
      </c>
      <c r="AE3706" s="182" t="n">
        <v>0</v>
      </c>
      <c r="AF3706" s="182" t="n">
        <v>0</v>
      </c>
      <c r="AG3706" s="182" t="n">
        <v>0</v>
      </c>
      <c r="AH3706" s="182" t="n">
        <v>0</v>
      </c>
      <c r="AI3706" s="182" t="n">
        <v>3.04</v>
      </c>
      <c r="AJ3706" s="182" t="n">
        <v>0</v>
      </c>
      <c r="AK3706" s="182" t="n">
        <v>0</v>
      </c>
      <c r="AL3706" s="182" t="n">
        <v>0</v>
      </c>
      <c r="AM3706" s="182" t="n">
        <v>0.09</v>
      </c>
      <c r="AN3706" s="182" t="n">
        <v>0</v>
      </c>
    </row>
    <row r="3707">
      <c r="A3707" s="155" t="n">
        <v>46098</v>
      </c>
      <c r="B3707" s="156" t="inlineStr">
        <is>
          <t>NS</t>
        </is>
      </c>
      <c r="C3707" s="156" t="inlineStr">
        <is>
          <t>DT-518</t>
        </is>
      </c>
      <c r="D3707" s="156" t="inlineStr">
        <is>
          <t>SKT 105S</t>
        </is>
      </c>
      <c r="E3707" s="156" t="inlineStr">
        <is>
          <t>Hauler</t>
        </is>
      </c>
      <c r="F3707" s="156" t="inlineStr">
        <is>
          <t>Hauling OB</t>
        </is>
      </c>
      <c r="G3707" s="182" t="n">
        <v>6.52</v>
      </c>
      <c r="H3707" s="182" t="n">
        <v>0</v>
      </c>
      <c r="I3707" s="182" t="n">
        <v>0</v>
      </c>
      <c r="J3707" s="182" t="n">
        <v>0</v>
      </c>
      <c r="K3707" s="182" t="n">
        <v>5.48</v>
      </c>
      <c r="L3707" s="182" t="n">
        <v>12</v>
      </c>
      <c r="M3707" s="182" t="n">
        <v>6.52</v>
      </c>
      <c r="N3707" s="182" t="n">
        <v>0</v>
      </c>
      <c r="O3707" s="183" t="n">
        <v>29</v>
      </c>
      <c r="P3707" s="183" t="n">
        <v>0</v>
      </c>
      <c r="Q3707" s="184" t="n">
        <v>591.6</v>
      </c>
      <c r="R3707" s="184" t="n">
        <v>0</v>
      </c>
      <c r="S3707" s="183" t="n">
        <v>0</v>
      </c>
      <c r="T3707" s="183" t="n">
        <v>0</v>
      </c>
      <c r="U3707" s="182" t="n">
        <v>1.82</v>
      </c>
      <c r="V3707" s="182" t="n">
        <v>0.83</v>
      </c>
      <c r="W3707" s="182" t="n">
        <v>1.75</v>
      </c>
      <c r="X3707" s="182" t="n">
        <v>1</v>
      </c>
      <c r="Y3707" s="182" t="n">
        <v>0</v>
      </c>
      <c r="Z3707" s="182" t="n">
        <v>0</v>
      </c>
      <c r="AA3707" s="182" t="n">
        <v>0</v>
      </c>
      <c r="AB3707" s="182" t="n">
        <v>0</v>
      </c>
      <c r="AC3707" s="182" t="n">
        <v>0</v>
      </c>
      <c r="AD3707" s="182" t="n">
        <v>0</v>
      </c>
      <c r="AE3707" s="182" t="n">
        <v>0</v>
      </c>
      <c r="AF3707" s="182" t="n">
        <v>0</v>
      </c>
      <c r="AG3707" s="182" t="n">
        <v>0</v>
      </c>
      <c r="AH3707" s="182" t="n">
        <v>0</v>
      </c>
      <c r="AI3707" s="182" t="n">
        <v>0</v>
      </c>
      <c r="AJ3707" s="182" t="n">
        <v>0</v>
      </c>
      <c r="AK3707" s="182" t="n">
        <v>0</v>
      </c>
      <c r="AL3707" s="182" t="n">
        <v>0</v>
      </c>
      <c r="AM3707" s="182" t="n">
        <v>0.08</v>
      </c>
      <c r="AN3707" s="182" t="n">
        <v>0</v>
      </c>
    </row>
    <row r="3708">
      <c r="A3708" s="155" t="n">
        <v>46098</v>
      </c>
      <c r="B3708" s="156" t="inlineStr">
        <is>
          <t>NS</t>
        </is>
      </c>
      <c r="C3708" s="156" t="inlineStr">
        <is>
          <t>DT-514</t>
        </is>
      </c>
      <c r="D3708" s="156" t="inlineStr">
        <is>
          <t>SKT 105S</t>
        </is>
      </c>
      <c r="E3708" s="156" t="inlineStr">
        <is>
          <t>Hauler</t>
        </is>
      </c>
      <c r="F3708" s="156" t="inlineStr"/>
      <c r="G3708" s="182" t="n">
        <v>0</v>
      </c>
      <c r="H3708" s="182" t="n">
        <v>0</v>
      </c>
      <c r="I3708" s="182" t="n">
        <v>12</v>
      </c>
      <c r="J3708" s="182" t="n">
        <v>12</v>
      </c>
      <c r="K3708" s="182" t="n">
        <v>0</v>
      </c>
      <c r="L3708" s="182" t="n">
        <v>12</v>
      </c>
      <c r="M3708" s="182" t="n">
        <v>0</v>
      </c>
      <c r="N3708" s="182" t="n">
        <v>0</v>
      </c>
      <c r="O3708" s="183" t="n">
        <v>0</v>
      </c>
      <c r="P3708" s="183" t="n">
        <v>0</v>
      </c>
      <c r="Q3708" s="184" t="n">
        <v>0</v>
      </c>
      <c r="R3708" s="184" t="n">
        <v>0</v>
      </c>
      <c r="S3708" s="183" t="n">
        <v>0</v>
      </c>
      <c r="T3708" s="183" t="n">
        <v>0</v>
      </c>
      <c r="U3708" s="182" t="n">
        <v>0</v>
      </c>
      <c r="V3708" s="182" t="n">
        <v>0</v>
      </c>
      <c r="W3708" s="182" t="n">
        <v>0</v>
      </c>
      <c r="X3708" s="182" t="n">
        <v>0</v>
      </c>
      <c r="Y3708" s="182" t="n">
        <v>0</v>
      </c>
      <c r="Z3708" s="182" t="n">
        <v>0</v>
      </c>
      <c r="AA3708" s="182" t="n">
        <v>0</v>
      </c>
      <c r="AB3708" s="182" t="n">
        <v>0</v>
      </c>
      <c r="AC3708" s="182" t="n">
        <v>0</v>
      </c>
      <c r="AD3708" s="182" t="n">
        <v>0</v>
      </c>
      <c r="AE3708" s="182" t="n">
        <v>0</v>
      </c>
      <c r="AF3708" s="182" t="n">
        <v>0</v>
      </c>
      <c r="AG3708" s="182" t="n">
        <v>0</v>
      </c>
      <c r="AH3708" s="182" t="n">
        <v>0</v>
      </c>
      <c r="AI3708" s="182" t="n">
        <v>0</v>
      </c>
      <c r="AJ3708" s="182" t="n">
        <v>0</v>
      </c>
      <c r="AK3708" s="182" t="n">
        <v>0</v>
      </c>
      <c r="AL3708" s="182" t="n">
        <v>0</v>
      </c>
      <c r="AM3708" s="182" t="n">
        <v>0</v>
      </c>
      <c r="AN3708" s="182" t="n">
        <v>0</v>
      </c>
    </row>
    <row r="3709">
      <c r="A3709" s="155" t="n">
        <v>46098</v>
      </c>
      <c r="B3709" s="156" t="inlineStr">
        <is>
          <t>NS</t>
        </is>
      </c>
      <c r="C3709" s="156" t="inlineStr">
        <is>
          <t>DT-523</t>
        </is>
      </c>
      <c r="D3709" s="156" t="inlineStr">
        <is>
          <t>SKT 105S</t>
        </is>
      </c>
      <c r="E3709" s="156" t="inlineStr">
        <is>
          <t>Hauler</t>
        </is>
      </c>
      <c r="F3709" s="156" t="inlineStr">
        <is>
          <t>Hauling OB</t>
        </is>
      </c>
      <c r="G3709" s="182" t="n">
        <v>5.05</v>
      </c>
      <c r="H3709" s="182" t="n">
        <v>0</v>
      </c>
      <c r="I3709" s="182" t="n">
        <v>0</v>
      </c>
      <c r="J3709" s="182" t="n">
        <v>0</v>
      </c>
      <c r="K3709" s="182" t="n">
        <v>6.95</v>
      </c>
      <c r="L3709" s="182" t="n">
        <v>12</v>
      </c>
      <c r="M3709" s="182" t="n">
        <v>5.05</v>
      </c>
      <c r="N3709" s="182" t="n">
        <v>0</v>
      </c>
      <c r="O3709" s="183" t="n">
        <v>14</v>
      </c>
      <c r="P3709" s="183" t="n">
        <v>0</v>
      </c>
      <c r="Q3709" s="184" t="n">
        <v>285.6</v>
      </c>
      <c r="R3709" s="184" t="n">
        <v>0</v>
      </c>
      <c r="S3709" s="183" t="n">
        <v>0</v>
      </c>
      <c r="T3709" s="183" t="n">
        <v>0</v>
      </c>
      <c r="U3709" s="182" t="n">
        <v>1.82</v>
      </c>
      <c r="V3709" s="182" t="n">
        <v>0.82</v>
      </c>
      <c r="W3709" s="182" t="n">
        <v>0</v>
      </c>
      <c r="X3709" s="182" t="n">
        <v>0.99</v>
      </c>
      <c r="Y3709" s="182" t="n">
        <v>0</v>
      </c>
      <c r="Z3709" s="182" t="n">
        <v>0</v>
      </c>
      <c r="AA3709" s="182" t="n">
        <v>0</v>
      </c>
      <c r="AB3709" s="182" t="n">
        <v>0</v>
      </c>
      <c r="AC3709" s="182" t="n">
        <v>0</v>
      </c>
      <c r="AD3709" s="182" t="n">
        <v>0</v>
      </c>
      <c r="AE3709" s="182" t="n">
        <v>0</v>
      </c>
      <c r="AF3709" s="182" t="n">
        <v>0</v>
      </c>
      <c r="AG3709" s="182" t="n">
        <v>0</v>
      </c>
      <c r="AH3709" s="182" t="n">
        <v>0</v>
      </c>
      <c r="AI3709" s="182" t="n">
        <v>3.24</v>
      </c>
      <c r="AJ3709" s="182" t="n">
        <v>0</v>
      </c>
      <c r="AK3709" s="182" t="n">
        <v>0</v>
      </c>
      <c r="AL3709" s="182" t="n">
        <v>0</v>
      </c>
      <c r="AM3709" s="182" t="n">
        <v>0.08</v>
      </c>
      <c r="AN3709" s="182" t="n">
        <v>0</v>
      </c>
    </row>
    <row r="3710">
      <c r="A3710" s="155" t="n">
        <v>46098</v>
      </c>
      <c r="B3710" s="156" t="inlineStr">
        <is>
          <t>NS</t>
        </is>
      </c>
      <c r="C3710" s="156" t="inlineStr">
        <is>
          <t>DT-519</t>
        </is>
      </c>
      <c r="D3710" s="156" t="inlineStr">
        <is>
          <t>SKT 105S</t>
        </is>
      </c>
      <c r="E3710" s="156" t="inlineStr">
        <is>
          <t>Hauler</t>
        </is>
      </c>
      <c r="F3710" s="156" t="inlineStr"/>
      <c r="G3710" s="182" t="n">
        <v>0</v>
      </c>
      <c r="H3710" s="182" t="n">
        <v>0</v>
      </c>
      <c r="I3710" s="182" t="n">
        <v>12</v>
      </c>
      <c r="J3710" s="182" t="n">
        <v>12</v>
      </c>
      <c r="K3710" s="182" t="n">
        <v>0</v>
      </c>
      <c r="L3710" s="182" t="n">
        <v>12</v>
      </c>
      <c r="M3710" s="182" t="n">
        <v>0</v>
      </c>
      <c r="N3710" s="182" t="n">
        <v>0</v>
      </c>
      <c r="O3710" s="183" t="n">
        <v>0</v>
      </c>
      <c r="P3710" s="183" t="n">
        <v>0</v>
      </c>
      <c r="Q3710" s="184" t="n">
        <v>0</v>
      </c>
      <c r="R3710" s="184" t="n">
        <v>0</v>
      </c>
      <c r="S3710" s="183" t="n">
        <v>0</v>
      </c>
      <c r="T3710" s="183" t="n">
        <v>0</v>
      </c>
      <c r="U3710" s="182" t="n">
        <v>0</v>
      </c>
      <c r="V3710" s="182" t="n">
        <v>0</v>
      </c>
      <c r="W3710" s="182" t="n">
        <v>0</v>
      </c>
      <c r="X3710" s="182" t="n">
        <v>0</v>
      </c>
      <c r="Y3710" s="182" t="n">
        <v>0</v>
      </c>
      <c r="Z3710" s="182" t="n">
        <v>0</v>
      </c>
      <c r="AA3710" s="182" t="n">
        <v>0</v>
      </c>
      <c r="AB3710" s="182" t="n">
        <v>0</v>
      </c>
      <c r="AC3710" s="182" t="n">
        <v>0</v>
      </c>
      <c r="AD3710" s="182" t="n">
        <v>0</v>
      </c>
      <c r="AE3710" s="182" t="n">
        <v>0</v>
      </c>
      <c r="AF3710" s="182" t="n">
        <v>0</v>
      </c>
      <c r="AG3710" s="182" t="n">
        <v>0</v>
      </c>
      <c r="AH3710" s="182" t="n">
        <v>0</v>
      </c>
      <c r="AI3710" s="182" t="n">
        <v>0</v>
      </c>
      <c r="AJ3710" s="182" t="n">
        <v>0</v>
      </c>
      <c r="AK3710" s="182" t="n">
        <v>0</v>
      </c>
      <c r="AL3710" s="182" t="n">
        <v>0</v>
      </c>
      <c r="AM3710" s="182" t="n">
        <v>0</v>
      </c>
      <c r="AN3710" s="182" t="n">
        <v>0</v>
      </c>
    </row>
    <row r="3711">
      <c r="A3711" s="155" t="n">
        <v>46098</v>
      </c>
      <c r="B3711" s="156" t="inlineStr">
        <is>
          <t>NS</t>
        </is>
      </c>
      <c r="C3711" s="156" t="inlineStr">
        <is>
          <t>DT-527</t>
        </is>
      </c>
      <c r="D3711" s="156" t="inlineStr">
        <is>
          <t>SKT 105S</t>
        </is>
      </c>
      <c r="E3711" s="156" t="inlineStr">
        <is>
          <t>Hauler</t>
        </is>
      </c>
      <c r="F3711" s="156" t="inlineStr">
        <is>
          <t>Hauling OB</t>
        </is>
      </c>
      <c r="G3711" s="182" t="n">
        <v>8.140000000000001</v>
      </c>
      <c r="H3711" s="182" t="n">
        <v>0</v>
      </c>
      <c r="I3711" s="182" t="n">
        <v>0</v>
      </c>
      <c r="J3711" s="182" t="n">
        <v>0</v>
      </c>
      <c r="K3711" s="182" t="n">
        <v>3.86</v>
      </c>
      <c r="L3711" s="182" t="n">
        <v>12</v>
      </c>
      <c r="M3711" s="182" t="n">
        <v>8.140000000000001</v>
      </c>
      <c r="N3711" s="182" t="n">
        <v>0</v>
      </c>
      <c r="O3711" s="183" t="n">
        <v>27</v>
      </c>
      <c r="P3711" s="183" t="n">
        <v>0</v>
      </c>
      <c r="Q3711" s="184" t="n">
        <v>550.8</v>
      </c>
      <c r="R3711" s="184" t="n">
        <v>0</v>
      </c>
      <c r="S3711" s="183" t="n">
        <v>0</v>
      </c>
      <c r="T3711" s="183" t="n">
        <v>0</v>
      </c>
      <c r="U3711" s="182" t="n">
        <v>1.86</v>
      </c>
      <c r="V3711" s="182" t="n">
        <v>0.84</v>
      </c>
      <c r="W3711" s="182" t="n">
        <v>0</v>
      </c>
      <c r="X3711" s="182" t="n">
        <v>1.02</v>
      </c>
      <c r="Y3711" s="182" t="n">
        <v>0</v>
      </c>
      <c r="Z3711" s="182" t="n">
        <v>0</v>
      </c>
      <c r="AA3711" s="182" t="n">
        <v>0</v>
      </c>
      <c r="AB3711" s="182" t="n">
        <v>0</v>
      </c>
      <c r="AC3711" s="182" t="n">
        <v>0</v>
      </c>
      <c r="AD3711" s="182" t="n">
        <v>0</v>
      </c>
      <c r="AE3711" s="182" t="n">
        <v>0</v>
      </c>
      <c r="AF3711" s="182" t="n">
        <v>0</v>
      </c>
      <c r="AG3711" s="182" t="n">
        <v>0</v>
      </c>
      <c r="AH3711" s="182" t="n">
        <v>0.06</v>
      </c>
      <c r="AI3711" s="182" t="n">
        <v>0</v>
      </c>
      <c r="AJ3711" s="182" t="n">
        <v>0</v>
      </c>
      <c r="AK3711" s="182" t="n">
        <v>0</v>
      </c>
      <c r="AL3711" s="182" t="n">
        <v>0</v>
      </c>
      <c r="AM3711" s="182" t="n">
        <v>0.08</v>
      </c>
      <c r="AN3711" s="182" t="n">
        <v>0</v>
      </c>
    </row>
    <row r="3712">
      <c r="A3712" s="155" t="n">
        <v>46098</v>
      </c>
      <c r="B3712" s="156" t="inlineStr">
        <is>
          <t>NS</t>
        </is>
      </c>
      <c r="C3712" s="156" t="inlineStr">
        <is>
          <t>DT-513</t>
        </is>
      </c>
      <c r="D3712" s="156" t="inlineStr">
        <is>
          <t>SKT 105S</t>
        </is>
      </c>
      <c r="E3712" s="156" t="inlineStr">
        <is>
          <t>Hauler</t>
        </is>
      </c>
      <c r="F3712" s="156" t="inlineStr">
        <is>
          <t>Hauling OB</t>
        </is>
      </c>
      <c r="G3712" s="182" t="n">
        <v>5.42</v>
      </c>
      <c r="H3712" s="182" t="n">
        <v>0</v>
      </c>
      <c r="I3712" s="182" t="n">
        <v>0</v>
      </c>
      <c r="J3712" s="182" t="n">
        <v>0</v>
      </c>
      <c r="K3712" s="182" t="n">
        <v>6.58</v>
      </c>
      <c r="L3712" s="182" t="n">
        <v>12</v>
      </c>
      <c r="M3712" s="182" t="n">
        <v>5.42</v>
      </c>
      <c r="N3712" s="182" t="n">
        <v>0</v>
      </c>
      <c r="O3712" s="183" t="n">
        <v>16</v>
      </c>
      <c r="P3712" s="183" t="n">
        <v>0</v>
      </c>
      <c r="Q3712" s="184" t="n">
        <v>326.4</v>
      </c>
      <c r="R3712" s="184" t="n">
        <v>0</v>
      </c>
      <c r="S3712" s="183" t="n">
        <v>0</v>
      </c>
      <c r="T3712" s="183" t="n">
        <v>0</v>
      </c>
      <c r="U3712" s="182" t="n">
        <v>1.75</v>
      </c>
      <c r="V3712" s="182" t="n">
        <v>0.79</v>
      </c>
      <c r="W3712" s="182" t="n">
        <v>0</v>
      </c>
      <c r="X3712" s="182" t="n">
        <v>0.95</v>
      </c>
      <c r="Y3712" s="182" t="n">
        <v>0</v>
      </c>
      <c r="Z3712" s="182" t="n">
        <v>0</v>
      </c>
      <c r="AA3712" s="182" t="n">
        <v>0</v>
      </c>
      <c r="AB3712" s="182" t="n">
        <v>0</v>
      </c>
      <c r="AC3712" s="182" t="n">
        <v>0</v>
      </c>
      <c r="AD3712" s="182" t="n">
        <v>0</v>
      </c>
      <c r="AE3712" s="182" t="n">
        <v>0</v>
      </c>
      <c r="AF3712" s="182" t="n">
        <v>0</v>
      </c>
      <c r="AG3712" s="182" t="n">
        <v>0</v>
      </c>
      <c r="AH3712" s="182" t="n">
        <v>0</v>
      </c>
      <c r="AI3712" s="182" t="n">
        <v>3.01</v>
      </c>
      <c r="AJ3712" s="182" t="n">
        <v>0</v>
      </c>
      <c r="AK3712" s="182" t="n">
        <v>0</v>
      </c>
      <c r="AL3712" s="182" t="n">
        <v>0</v>
      </c>
      <c r="AM3712" s="182" t="n">
        <v>0.08</v>
      </c>
      <c r="AN3712" s="182" t="n">
        <v>0</v>
      </c>
    </row>
    <row r="3713">
      <c r="A3713" s="155" t="n">
        <v>46098</v>
      </c>
      <c r="B3713" s="156" t="inlineStr">
        <is>
          <t>NS</t>
        </is>
      </c>
      <c r="C3713" s="156" t="inlineStr">
        <is>
          <t>DT-512</t>
        </is>
      </c>
      <c r="D3713" s="156" t="inlineStr">
        <is>
          <t>SKT 105S</t>
        </is>
      </c>
      <c r="E3713" s="156" t="inlineStr">
        <is>
          <t>Hauler</t>
        </is>
      </c>
      <c r="F3713" s="156" t="inlineStr"/>
      <c r="G3713" s="182" t="n">
        <v>0</v>
      </c>
      <c r="H3713" s="182" t="n">
        <v>0</v>
      </c>
      <c r="I3713" s="182" t="n">
        <v>0</v>
      </c>
      <c r="J3713" s="182" t="n">
        <v>0</v>
      </c>
      <c r="K3713" s="182" t="n">
        <v>12</v>
      </c>
      <c r="L3713" s="182" t="n">
        <v>12</v>
      </c>
      <c r="M3713" s="182" t="n">
        <v>0</v>
      </c>
      <c r="N3713" s="182" t="n">
        <v>0</v>
      </c>
      <c r="O3713" s="183" t="n">
        <v>0</v>
      </c>
      <c r="P3713" s="183" t="n">
        <v>0</v>
      </c>
      <c r="Q3713" s="184" t="n">
        <v>0</v>
      </c>
      <c r="R3713" s="184" t="n">
        <v>0</v>
      </c>
      <c r="S3713" s="183" t="n">
        <v>0</v>
      </c>
      <c r="T3713" s="183" t="n">
        <v>0</v>
      </c>
      <c r="U3713" s="182" t="n">
        <v>0</v>
      </c>
      <c r="V3713" s="182" t="n">
        <v>0</v>
      </c>
      <c r="W3713" s="182" t="n">
        <v>0</v>
      </c>
      <c r="X3713" s="182" t="n">
        <v>1</v>
      </c>
      <c r="Y3713" s="182" t="n">
        <v>0</v>
      </c>
      <c r="Z3713" s="182" t="n">
        <v>0</v>
      </c>
      <c r="AA3713" s="182" t="n">
        <v>0</v>
      </c>
      <c r="AB3713" s="182" t="n">
        <v>0</v>
      </c>
      <c r="AC3713" s="182" t="n">
        <v>0</v>
      </c>
      <c r="AD3713" s="182" t="n">
        <v>0</v>
      </c>
      <c r="AE3713" s="182" t="n">
        <v>0</v>
      </c>
      <c r="AF3713" s="182" t="n">
        <v>0</v>
      </c>
      <c r="AG3713" s="182" t="n">
        <v>0</v>
      </c>
      <c r="AH3713" s="182" t="n">
        <v>0</v>
      </c>
      <c r="AI3713" s="182" t="n">
        <v>0</v>
      </c>
      <c r="AJ3713" s="182" t="n">
        <v>0</v>
      </c>
      <c r="AK3713" s="182" t="n">
        <v>10.92</v>
      </c>
      <c r="AL3713" s="182" t="n">
        <v>0</v>
      </c>
      <c r="AM3713" s="182" t="n">
        <v>0.08</v>
      </c>
      <c r="AN3713" s="182" t="n">
        <v>0</v>
      </c>
    </row>
    <row r="3714">
      <c r="A3714" s="155" t="n">
        <v>46098</v>
      </c>
      <c r="B3714" s="156" t="inlineStr">
        <is>
          <t>NS</t>
        </is>
      </c>
      <c r="C3714" s="156" t="inlineStr">
        <is>
          <t>DT-522</t>
        </is>
      </c>
      <c r="D3714" s="156" t="inlineStr">
        <is>
          <t>SKT 105S</t>
        </is>
      </c>
      <c r="E3714" s="156" t="inlineStr">
        <is>
          <t>Hauler</t>
        </is>
      </c>
      <c r="F3714" s="156" t="inlineStr">
        <is>
          <t>Hauling OB</t>
        </is>
      </c>
      <c r="G3714" s="182" t="n">
        <v>2.61</v>
      </c>
      <c r="H3714" s="182" t="n">
        <v>0</v>
      </c>
      <c r="I3714" s="182" t="n">
        <v>0</v>
      </c>
      <c r="J3714" s="182" t="n">
        <v>0</v>
      </c>
      <c r="K3714" s="182" t="n">
        <v>9.390000000000001</v>
      </c>
      <c r="L3714" s="182" t="n">
        <v>12</v>
      </c>
      <c r="M3714" s="182" t="n">
        <v>2.61</v>
      </c>
      <c r="N3714" s="182" t="n">
        <v>0</v>
      </c>
      <c r="O3714" s="183" t="n">
        <v>11</v>
      </c>
      <c r="P3714" s="183" t="n">
        <v>0</v>
      </c>
      <c r="Q3714" s="184" t="n">
        <v>224.4</v>
      </c>
      <c r="R3714" s="184" t="n">
        <v>0</v>
      </c>
      <c r="S3714" s="183" t="n">
        <v>0</v>
      </c>
      <c r="T3714" s="183" t="n">
        <v>0</v>
      </c>
      <c r="U3714" s="182" t="n">
        <v>1.93</v>
      </c>
      <c r="V3714" s="182" t="n">
        <v>0.88</v>
      </c>
      <c r="W3714" s="182" t="n">
        <v>0</v>
      </c>
      <c r="X3714" s="182" t="n">
        <v>1.06</v>
      </c>
      <c r="Y3714" s="182" t="n">
        <v>0</v>
      </c>
      <c r="Z3714" s="182" t="n">
        <v>0</v>
      </c>
      <c r="AA3714" s="182" t="n">
        <v>0</v>
      </c>
      <c r="AB3714" s="182" t="n">
        <v>0</v>
      </c>
      <c r="AC3714" s="182" t="n">
        <v>0</v>
      </c>
      <c r="AD3714" s="182" t="n">
        <v>0</v>
      </c>
      <c r="AE3714" s="182" t="n">
        <v>0</v>
      </c>
      <c r="AF3714" s="182" t="n">
        <v>0</v>
      </c>
      <c r="AG3714" s="182" t="n">
        <v>0</v>
      </c>
      <c r="AH3714" s="182" t="n">
        <v>0</v>
      </c>
      <c r="AI3714" s="182" t="n">
        <v>5.44</v>
      </c>
      <c r="AJ3714" s="182" t="n">
        <v>0</v>
      </c>
      <c r="AK3714" s="182" t="n">
        <v>0</v>
      </c>
      <c r="AL3714" s="182" t="n">
        <v>0</v>
      </c>
      <c r="AM3714" s="182" t="n">
        <v>0.08</v>
      </c>
      <c r="AN3714" s="182" t="n">
        <v>0</v>
      </c>
    </row>
    <row r="3715">
      <c r="A3715" s="155" t="n">
        <v>46098</v>
      </c>
      <c r="B3715" s="156" t="inlineStr">
        <is>
          <t>NS</t>
        </is>
      </c>
      <c r="C3715" s="156" t="inlineStr">
        <is>
          <t>DT-517</t>
        </is>
      </c>
      <c r="D3715" s="156" t="inlineStr">
        <is>
          <t>SKT 105S</t>
        </is>
      </c>
      <c r="E3715" s="156" t="inlineStr">
        <is>
          <t>Hauler</t>
        </is>
      </c>
      <c r="F3715" s="156" t="inlineStr">
        <is>
          <t>Hauling OB</t>
        </is>
      </c>
      <c r="G3715" s="182" t="n">
        <v>3.2</v>
      </c>
      <c r="H3715" s="182" t="n">
        <v>0</v>
      </c>
      <c r="I3715" s="182" t="n">
        <v>0</v>
      </c>
      <c r="J3715" s="182" t="n">
        <v>0</v>
      </c>
      <c r="K3715" s="182" t="n">
        <v>8.800000000000001</v>
      </c>
      <c r="L3715" s="182" t="n">
        <v>12</v>
      </c>
      <c r="M3715" s="182" t="n">
        <v>3.2</v>
      </c>
      <c r="N3715" s="182" t="n">
        <v>0</v>
      </c>
      <c r="O3715" s="183" t="n">
        <v>16</v>
      </c>
      <c r="P3715" s="183" t="n">
        <v>0</v>
      </c>
      <c r="Q3715" s="184" t="n">
        <v>326.4</v>
      </c>
      <c r="R3715" s="184" t="n">
        <v>0</v>
      </c>
      <c r="S3715" s="183" t="n">
        <v>0</v>
      </c>
      <c r="T3715" s="183" t="n">
        <v>0</v>
      </c>
      <c r="U3715" s="182" t="n">
        <v>1.85</v>
      </c>
      <c r="V3715" s="182" t="n">
        <v>0.84</v>
      </c>
      <c r="W3715" s="182" t="n">
        <v>1.01</v>
      </c>
      <c r="X3715" s="182" t="n">
        <v>1.01</v>
      </c>
      <c r="Y3715" s="182" t="n">
        <v>0</v>
      </c>
      <c r="Z3715" s="182" t="n">
        <v>0</v>
      </c>
      <c r="AA3715" s="182" t="n">
        <v>0</v>
      </c>
      <c r="AB3715" s="182" t="n">
        <v>0</v>
      </c>
      <c r="AC3715" s="182" t="n">
        <v>0</v>
      </c>
      <c r="AD3715" s="182" t="n">
        <v>0</v>
      </c>
      <c r="AE3715" s="182" t="n">
        <v>0</v>
      </c>
      <c r="AF3715" s="182" t="n">
        <v>0</v>
      </c>
      <c r="AG3715" s="182" t="n">
        <v>0</v>
      </c>
      <c r="AH3715" s="182" t="n">
        <v>0</v>
      </c>
      <c r="AI3715" s="182" t="n">
        <v>4.01</v>
      </c>
      <c r="AJ3715" s="182" t="n">
        <v>0</v>
      </c>
      <c r="AK3715" s="182" t="n">
        <v>0</v>
      </c>
      <c r="AL3715" s="182" t="n">
        <v>0</v>
      </c>
      <c r="AM3715" s="182" t="n">
        <v>0.08</v>
      </c>
      <c r="AN3715" s="182" t="n">
        <v>0</v>
      </c>
    </row>
    <row r="3716">
      <c r="A3716" s="155" t="n">
        <v>46098</v>
      </c>
      <c r="B3716" s="156" t="inlineStr">
        <is>
          <t>NS</t>
        </is>
      </c>
      <c r="C3716" s="156" t="inlineStr">
        <is>
          <t>DT-510</t>
        </is>
      </c>
      <c r="D3716" s="156" t="inlineStr">
        <is>
          <t>SKT 105S</t>
        </is>
      </c>
      <c r="E3716" s="156" t="inlineStr">
        <is>
          <t>Hauler</t>
        </is>
      </c>
      <c r="F3716" s="156" t="inlineStr">
        <is>
          <t>Hauling OB</t>
        </is>
      </c>
      <c r="G3716" s="182" t="n">
        <v>6.88</v>
      </c>
      <c r="H3716" s="182" t="n">
        <v>0</v>
      </c>
      <c r="I3716" s="182" t="n">
        <v>0</v>
      </c>
      <c r="J3716" s="182" t="n">
        <v>0</v>
      </c>
      <c r="K3716" s="182" t="n">
        <v>5.12</v>
      </c>
      <c r="L3716" s="182" t="n">
        <v>12</v>
      </c>
      <c r="M3716" s="182" t="n">
        <v>6.88</v>
      </c>
      <c r="N3716" s="182" t="n">
        <v>0</v>
      </c>
      <c r="O3716" s="183" t="n">
        <v>32</v>
      </c>
      <c r="P3716" s="183" t="n">
        <v>0</v>
      </c>
      <c r="Q3716" s="184" t="n">
        <v>652.8</v>
      </c>
      <c r="R3716" s="184" t="n">
        <v>0</v>
      </c>
      <c r="S3716" s="183" t="n">
        <v>0</v>
      </c>
      <c r="T3716" s="183" t="n">
        <v>0</v>
      </c>
      <c r="U3716" s="182" t="n">
        <v>1.74</v>
      </c>
      <c r="V3716" s="182" t="n">
        <v>0.79</v>
      </c>
      <c r="W3716" s="182" t="n">
        <v>1.57</v>
      </c>
      <c r="X3716" s="182" t="n">
        <v>0.95</v>
      </c>
      <c r="Y3716" s="182" t="n">
        <v>0</v>
      </c>
      <c r="Z3716" s="182" t="n">
        <v>0</v>
      </c>
      <c r="AA3716" s="182" t="n">
        <v>0</v>
      </c>
      <c r="AB3716" s="182" t="n">
        <v>0</v>
      </c>
      <c r="AC3716" s="182" t="n">
        <v>0</v>
      </c>
      <c r="AD3716" s="182" t="n">
        <v>0</v>
      </c>
      <c r="AE3716" s="182" t="n">
        <v>0</v>
      </c>
      <c r="AF3716" s="182" t="n">
        <v>0</v>
      </c>
      <c r="AG3716" s="182" t="n">
        <v>0</v>
      </c>
      <c r="AH3716" s="182" t="n">
        <v>0</v>
      </c>
      <c r="AI3716" s="182" t="n">
        <v>0</v>
      </c>
      <c r="AJ3716" s="182" t="n">
        <v>0</v>
      </c>
      <c r="AK3716" s="182" t="n">
        <v>0</v>
      </c>
      <c r="AL3716" s="182" t="n">
        <v>0</v>
      </c>
      <c r="AM3716" s="182" t="n">
        <v>0.08</v>
      </c>
      <c r="AN3716" s="182" t="n">
        <v>0</v>
      </c>
    </row>
    <row r="3717">
      <c r="A3717" s="155" t="n">
        <v>46098</v>
      </c>
      <c r="B3717" s="156" t="inlineStr">
        <is>
          <t>NS</t>
        </is>
      </c>
      <c r="C3717" s="156" t="inlineStr">
        <is>
          <t>DT-521</t>
        </is>
      </c>
      <c r="D3717" s="156" t="inlineStr">
        <is>
          <t>SKT 105S</t>
        </is>
      </c>
      <c r="E3717" s="156" t="inlineStr">
        <is>
          <t>Hauler</t>
        </is>
      </c>
      <c r="F3717" s="156" t="inlineStr">
        <is>
          <t>Hauling OB</t>
        </is>
      </c>
      <c r="G3717" s="182" t="n">
        <v>7.05</v>
      </c>
      <c r="H3717" s="182" t="n">
        <v>0</v>
      </c>
      <c r="I3717" s="182" t="n">
        <v>0</v>
      </c>
      <c r="J3717" s="182" t="n">
        <v>0</v>
      </c>
      <c r="K3717" s="182" t="n">
        <v>4.95</v>
      </c>
      <c r="L3717" s="182" t="n">
        <v>12</v>
      </c>
      <c r="M3717" s="182" t="n">
        <v>7.05</v>
      </c>
      <c r="N3717" s="182" t="n">
        <v>0</v>
      </c>
      <c r="O3717" s="183" t="n">
        <v>41</v>
      </c>
      <c r="P3717" s="183" t="n">
        <v>0</v>
      </c>
      <c r="Q3717" s="184" t="n">
        <v>836.4</v>
      </c>
      <c r="R3717" s="184" t="n">
        <v>0</v>
      </c>
      <c r="S3717" s="183" t="n">
        <v>0</v>
      </c>
      <c r="T3717" s="183" t="n">
        <v>0</v>
      </c>
      <c r="U3717" s="182" t="n">
        <v>1.89</v>
      </c>
      <c r="V3717" s="182" t="n">
        <v>0.86</v>
      </c>
      <c r="W3717" s="182" t="n">
        <v>1.03</v>
      </c>
      <c r="X3717" s="182" t="n">
        <v>1.03</v>
      </c>
      <c r="Y3717" s="182" t="n">
        <v>0</v>
      </c>
      <c r="Z3717" s="182" t="n">
        <v>0</v>
      </c>
      <c r="AA3717" s="182" t="n">
        <v>0</v>
      </c>
      <c r="AB3717" s="182" t="n">
        <v>0</v>
      </c>
      <c r="AC3717" s="182" t="n">
        <v>0</v>
      </c>
      <c r="AD3717" s="182" t="n">
        <v>0</v>
      </c>
      <c r="AE3717" s="182" t="n">
        <v>0</v>
      </c>
      <c r="AF3717" s="182" t="n">
        <v>0</v>
      </c>
      <c r="AG3717" s="182" t="n">
        <v>0</v>
      </c>
      <c r="AH3717" s="182" t="n">
        <v>0.06</v>
      </c>
      <c r="AI3717" s="182" t="n">
        <v>0</v>
      </c>
      <c r="AJ3717" s="182" t="n">
        <v>0</v>
      </c>
      <c r="AK3717" s="182" t="n">
        <v>0</v>
      </c>
      <c r="AL3717" s="182" t="n">
        <v>0</v>
      </c>
      <c r="AM3717" s="182" t="n">
        <v>0.08</v>
      </c>
      <c r="AN3717" s="182" t="n">
        <v>0</v>
      </c>
    </row>
    <row r="3718">
      <c r="A3718" s="155" t="n">
        <v>46098</v>
      </c>
      <c r="B3718" s="156" t="inlineStr">
        <is>
          <t>NS</t>
        </is>
      </c>
      <c r="C3718" s="156" t="inlineStr">
        <is>
          <t>DT-516</t>
        </is>
      </c>
      <c r="D3718" s="156" t="inlineStr">
        <is>
          <t>SKT 105S</t>
        </is>
      </c>
      <c r="E3718" s="156" t="inlineStr">
        <is>
          <t>Hauler</t>
        </is>
      </c>
      <c r="F3718" s="156" t="inlineStr">
        <is>
          <t>Hauling OB</t>
        </is>
      </c>
      <c r="G3718" s="182" t="n">
        <v>5.17</v>
      </c>
      <c r="H3718" s="182" t="n">
        <v>0</v>
      </c>
      <c r="I3718" s="182" t="n">
        <v>0</v>
      </c>
      <c r="J3718" s="182" t="n">
        <v>0</v>
      </c>
      <c r="K3718" s="182" t="n">
        <v>6.83</v>
      </c>
      <c r="L3718" s="182" t="n">
        <v>12</v>
      </c>
      <c r="M3718" s="182" t="n">
        <v>5.17</v>
      </c>
      <c r="N3718" s="182" t="n">
        <v>0</v>
      </c>
      <c r="O3718" s="183" t="n">
        <v>14</v>
      </c>
      <c r="P3718" s="183" t="n">
        <v>0</v>
      </c>
      <c r="Q3718" s="184" t="n">
        <v>285.6</v>
      </c>
      <c r="R3718" s="184" t="n">
        <v>0</v>
      </c>
      <c r="S3718" s="183" t="n">
        <v>0</v>
      </c>
      <c r="T3718" s="183" t="n">
        <v>0</v>
      </c>
      <c r="U3718" s="182" t="n">
        <v>1.76</v>
      </c>
      <c r="V3718" s="182" t="n">
        <v>0.8</v>
      </c>
      <c r="W3718" s="182" t="n">
        <v>0</v>
      </c>
      <c r="X3718" s="182" t="n">
        <v>0.96</v>
      </c>
      <c r="Y3718" s="182" t="n">
        <v>0</v>
      </c>
      <c r="Z3718" s="182" t="n">
        <v>0</v>
      </c>
      <c r="AA3718" s="182" t="n">
        <v>0</v>
      </c>
      <c r="AB3718" s="182" t="n">
        <v>0</v>
      </c>
      <c r="AC3718" s="182" t="n">
        <v>0</v>
      </c>
      <c r="AD3718" s="182" t="n">
        <v>0</v>
      </c>
      <c r="AE3718" s="182" t="n">
        <v>0</v>
      </c>
      <c r="AF3718" s="182" t="n">
        <v>0</v>
      </c>
      <c r="AG3718" s="182" t="n">
        <v>0</v>
      </c>
      <c r="AH3718" s="182" t="n">
        <v>0</v>
      </c>
      <c r="AI3718" s="182" t="n">
        <v>3.23</v>
      </c>
      <c r="AJ3718" s="182" t="n">
        <v>0</v>
      </c>
      <c r="AK3718" s="182" t="n">
        <v>0</v>
      </c>
      <c r="AL3718" s="182" t="n">
        <v>0</v>
      </c>
      <c r="AM3718" s="182" t="n">
        <v>0.08</v>
      </c>
      <c r="AN3718" s="182" t="n">
        <v>0</v>
      </c>
    </row>
    <row r="3719">
      <c r="A3719" s="155" t="n">
        <v>46098</v>
      </c>
      <c r="B3719" s="156" t="inlineStr">
        <is>
          <t>NS</t>
        </is>
      </c>
      <c r="C3719" s="156" t="inlineStr">
        <is>
          <t>DT-506</t>
        </is>
      </c>
      <c r="D3719" s="156" t="inlineStr">
        <is>
          <t>SKT 105S</t>
        </is>
      </c>
      <c r="E3719" s="156" t="inlineStr">
        <is>
          <t>Hauler</t>
        </is>
      </c>
      <c r="F3719" s="156" t="inlineStr">
        <is>
          <t>Hauling OB</t>
        </is>
      </c>
      <c r="G3719" s="182" t="n">
        <v>7.87</v>
      </c>
      <c r="H3719" s="182" t="n">
        <v>0</v>
      </c>
      <c r="I3719" s="182" t="n">
        <v>0</v>
      </c>
      <c r="J3719" s="182" t="n">
        <v>0</v>
      </c>
      <c r="K3719" s="182" t="n">
        <v>4.13</v>
      </c>
      <c r="L3719" s="182" t="n">
        <v>12</v>
      </c>
      <c r="M3719" s="182" t="n">
        <v>7.87</v>
      </c>
      <c r="N3719" s="182" t="n">
        <v>0</v>
      </c>
      <c r="O3719" s="183" t="n">
        <v>22</v>
      </c>
      <c r="P3719" s="183" t="n">
        <v>0</v>
      </c>
      <c r="Q3719" s="184" t="n">
        <v>448.8</v>
      </c>
      <c r="R3719" s="184" t="n">
        <v>0</v>
      </c>
      <c r="S3719" s="183" t="n">
        <v>0</v>
      </c>
      <c r="T3719" s="183" t="n">
        <v>0</v>
      </c>
      <c r="U3719" s="182" t="n">
        <v>1.94</v>
      </c>
      <c r="V3719" s="182" t="n">
        <v>0.88</v>
      </c>
      <c r="W3719" s="182" t="n">
        <v>0</v>
      </c>
      <c r="X3719" s="182" t="n">
        <v>1.06</v>
      </c>
      <c r="Y3719" s="182" t="n">
        <v>0</v>
      </c>
      <c r="Z3719" s="182" t="n">
        <v>0</v>
      </c>
      <c r="AA3719" s="182" t="n">
        <v>0</v>
      </c>
      <c r="AB3719" s="182" t="n">
        <v>0</v>
      </c>
      <c r="AC3719" s="182" t="n">
        <v>0</v>
      </c>
      <c r="AD3719" s="182" t="n">
        <v>0</v>
      </c>
      <c r="AE3719" s="182" t="n">
        <v>0</v>
      </c>
      <c r="AF3719" s="182" t="n">
        <v>0</v>
      </c>
      <c r="AG3719" s="182" t="n">
        <v>0</v>
      </c>
      <c r="AH3719" s="182" t="n">
        <v>0.17</v>
      </c>
      <c r="AI3719" s="182" t="n">
        <v>0</v>
      </c>
      <c r="AJ3719" s="182" t="n">
        <v>0</v>
      </c>
      <c r="AK3719" s="182" t="n">
        <v>0</v>
      </c>
      <c r="AL3719" s="182" t="n">
        <v>0</v>
      </c>
      <c r="AM3719" s="182" t="n">
        <v>0.08</v>
      </c>
      <c r="AN3719" s="182" t="n">
        <v>0</v>
      </c>
    </row>
    <row r="3720">
      <c r="A3720" s="155" t="n">
        <v>46098</v>
      </c>
      <c r="B3720" s="156" t="inlineStr">
        <is>
          <t>NS</t>
        </is>
      </c>
      <c r="C3720" s="156" t="inlineStr">
        <is>
          <t>DT-502</t>
        </is>
      </c>
      <c r="D3720" s="156" t="inlineStr">
        <is>
          <t>SKT 105S</t>
        </is>
      </c>
      <c r="E3720" s="156" t="inlineStr">
        <is>
          <t>Hauler</t>
        </is>
      </c>
      <c r="F3720" s="156" t="inlineStr"/>
      <c r="G3720" s="182" t="n">
        <v>0</v>
      </c>
      <c r="H3720" s="182" t="n">
        <v>0</v>
      </c>
      <c r="I3720" s="182" t="n">
        <v>12</v>
      </c>
      <c r="J3720" s="182" t="n">
        <v>12</v>
      </c>
      <c r="K3720" s="182" t="n">
        <v>0</v>
      </c>
      <c r="L3720" s="182" t="n">
        <v>12</v>
      </c>
      <c r="M3720" s="182" t="n">
        <v>0</v>
      </c>
      <c r="N3720" s="182" t="n">
        <v>0</v>
      </c>
      <c r="O3720" s="183" t="n">
        <v>0</v>
      </c>
      <c r="P3720" s="183" t="n">
        <v>0</v>
      </c>
      <c r="Q3720" s="184" t="n">
        <v>0</v>
      </c>
      <c r="R3720" s="184" t="n">
        <v>0</v>
      </c>
      <c r="S3720" s="183" t="n">
        <v>0</v>
      </c>
      <c r="T3720" s="183" t="n">
        <v>0</v>
      </c>
      <c r="U3720" s="182" t="n">
        <v>0</v>
      </c>
      <c r="V3720" s="182" t="n">
        <v>0</v>
      </c>
      <c r="W3720" s="182" t="n">
        <v>0</v>
      </c>
      <c r="X3720" s="182" t="n">
        <v>0</v>
      </c>
      <c r="Y3720" s="182" t="n">
        <v>0</v>
      </c>
      <c r="Z3720" s="182" t="n">
        <v>0</v>
      </c>
      <c r="AA3720" s="182" t="n">
        <v>0</v>
      </c>
      <c r="AB3720" s="182" t="n">
        <v>0</v>
      </c>
      <c r="AC3720" s="182" t="n">
        <v>0</v>
      </c>
      <c r="AD3720" s="182" t="n">
        <v>0</v>
      </c>
      <c r="AE3720" s="182" t="n">
        <v>0</v>
      </c>
      <c r="AF3720" s="182" t="n">
        <v>0</v>
      </c>
      <c r="AG3720" s="182" t="n">
        <v>0</v>
      </c>
      <c r="AH3720" s="182" t="n">
        <v>0</v>
      </c>
      <c r="AI3720" s="182" t="n">
        <v>0</v>
      </c>
      <c r="AJ3720" s="182" t="n">
        <v>0</v>
      </c>
      <c r="AK3720" s="182" t="n">
        <v>0</v>
      </c>
      <c r="AL3720" s="182" t="n">
        <v>0</v>
      </c>
      <c r="AM3720" s="182" t="n">
        <v>0</v>
      </c>
      <c r="AN3720" s="182" t="n">
        <v>0</v>
      </c>
    </row>
    <row r="3721">
      <c r="A3721" s="155" t="n">
        <v>46098</v>
      </c>
      <c r="B3721" s="156" t="inlineStr">
        <is>
          <t>NS</t>
        </is>
      </c>
      <c r="C3721" s="156" t="inlineStr">
        <is>
          <t>DT-528</t>
        </is>
      </c>
      <c r="D3721" s="156" t="inlineStr">
        <is>
          <t>SKT 105S</t>
        </is>
      </c>
      <c r="E3721" s="156" t="inlineStr">
        <is>
          <t>Hauler</t>
        </is>
      </c>
      <c r="F3721" s="156" t="inlineStr">
        <is>
          <t>Hauling OB</t>
        </is>
      </c>
      <c r="G3721" s="182" t="n">
        <v>1.75</v>
      </c>
      <c r="H3721" s="182" t="n">
        <v>0</v>
      </c>
      <c r="I3721" s="182" t="n">
        <v>0</v>
      </c>
      <c r="J3721" s="182" t="n">
        <v>0</v>
      </c>
      <c r="K3721" s="182" t="n">
        <v>10.25</v>
      </c>
      <c r="L3721" s="182" t="n">
        <v>12</v>
      </c>
      <c r="M3721" s="182" t="n">
        <v>1.75</v>
      </c>
      <c r="N3721" s="182" t="n">
        <v>0</v>
      </c>
      <c r="O3721" s="183" t="n">
        <v>10</v>
      </c>
      <c r="P3721" s="183" t="n">
        <v>0</v>
      </c>
      <c r="Q3721" s="184" t="n">
        <v>204</v>
      </c>
      <c r="R3721" s="184" t="n">
        <v>0</v>
      </c>
      <c r="S3721" s="183" t="n">
        <v>0</v>
      </c>
      <c r="T3721" s="183" t="n">
        <v>0</v>
      </c>
      <c r="U3721" s="182" t="n">
        <v>1.77</v>
      </c>
      <c r="V3721" s="182" t="n">
        <v>0.8</v>
      </c>
      <c r="W3721" s="182" t="n">
        <v>1.93</v>
      </c>
      <c r="X3721" s="182" t="n">
        <v>0.97</v>
      </c>
      <c r="Y3721" s="182" t="n">
        <v>0</v>
      </c>
      <c r="Z3721" s="182" t="n">
        <v>0</v>
      </c>
      <c r="AA3721" s="182" t="n">
        <v>0</v>
      </c>
      <c r="AB3721" s="182" t="n">
        <v>0</v>
      </c>
      <c r="AC3721" s="182" t="n">
        <v>0</v>
      </c>
      <c r="AD3721" s="182" t="n">
        <v>0</v>
      </c>
      <c r="AE3721" s="182" t="n">
        <v>0</v>
      </c>
      <c r="AF3721" s="182" t="n">
        <v>0</v>
      </c>
      <c r="AG3721" s="182" t="n">
        <v>0</v>
      </c>
      <c r="AH3721" s="182" t="n">
        <v>0</v>
      </c>
      <c r="AI3721" s="182" t="n">
        <v>0</v>
      </c>
      <c r="AJ3721" s="182" t="n">
        <v>0</v>
      </c>
      <c r="AK3721" s="182" t="n">
        <v>4.7</v>
      </c>
      <c r="AL3721" s="182" t="n">
        <v>0</v>
      </c>
      <c r="AM3721" s="182" t="n">
        <v>0.08</v>
      </c>
      <c r="AN3721" s="182" t="n">
        <v>0</v>
      </c>
    </row>
    <row r="3722">
      <c r="A3722" s="155" t="n">
        <v>46098</v>
      </c>
      <c r="B3722" s="156" t="inlineStr">
        <is>
          <t>NS</t>
        </is>
      </c>
      <c r="C3722" s="156" t="inlineStr">
        <is>
          <t>DT-529</t>
        </is>
      </c>
      <c r="D3722" s="156" t="inlineStr">
        <is>
          <t>SKT 105S</t>
        </is>
      </c>
      <c r="E3722" s="156" t="inlineStr">
        <is>
          <t>Hauler</t>
        </is>
      </c>
      <c r="F3722" s="156" t="inlineStr"/>
      <c r="G3722" s="182" t="n">
        <v>0</v>
      </c>
      <c r="H3722" s="182" t="n">
        <v>0</v>
      </c>
      <c r="I3722" s="182" t="n">
        <v>0</v>
      </c>
      <c r="J3722" s="182" t="n">
        <v>0</v>
      </c>
      <c r="K3722" s="182" t="n">
        <v>12</v>
      </c>
      <c r="L3722" s="182" t="n">
        <v>12</v>
      </c>
      <c r="M3722" s="182" t="n">
        <v>0</v>
      </c>
      <c r="N3722" s="182" t="n">
        <v>0</v>
      </c>
      <c r="O3722" s="183" t="n">
        <v>0</v>
      </c>
      <c r="P3722" s="183" t="n">
        <v>0</v>
      </c>
      <c r="Q3722" s="184" t="n">
        <v>0</v>
      </c>
      <c r="R3722" s="184" t="n">
        <v>0</v>
      </c>
      <c r="S3722" s="183" t="n">
        <v>0</v>
      </c>
      <c r="T3722" s="183" t="n">
        <v>0</v>
      </c>
      <c r="U3722" s="182" t="n">
        <v>0</v>
      </c>
      <c r="V3722" s="182" t="n">
        <v>0</v>
      </c>
      <c r="W3722" s="182" t="n">
        <v>0</v>
      </c>
      <c r="X3722" s="182" t="n">
        <v>1</v>
      </c>
      <c r="Y3722" s="182" t="n">
        <v>0</v>
      </c>
      <c r="Z3722" s="182" t="n">
        <v>0</v>
      </c>
      <c r="AA3722" s="182" t="n">
        <v>0</v>
      </c>
      <c r="AB3722" s="182" t="n">
        <v>0</v>
      </c>
      <c r="AC3722" s="182" t="n">
        <v>0</v>
      </c>
      <c r="AD3722" s="182" t="n">
        <v>0</v>
      </c>
      <c r="AE3722" s="182" t="n">
        <v>0</v>
      </c>
      <c r="AF3722" s="182" t="n">
        <v>0</v>
      </c>
      <c r="AG3722" s="182" t="n">
        <v>0</v>
      </c>
      <c r="AH3722" s="182" t="n">
        <v>0</v>
      </c>
      <c r="AI3722" s="182" t="n">
        <v>0</v>
      </c>
      <c r="AJ3722" s="182" t="n">
        <v>0</v>
      </c>
      <c r="AK3722" s="182" t="n">
        <v>10.92</v>
      </c>
      <c r="AL3722" s="182" t="n">
        <v>0</v>
      </c>
      <c r="AM3722" s="182" t="n">
        <v>0.08</v>
      </c>
      <c r="AN3722" s="182" t="n">
        <v>0</v>
      </c>
    </row>
    <row r="3723">
      <c r="A3723" s="155" t="n">
        <v>46098</v>
      </c>
      <c r="B3723" s="156" t="inlineStr">
        <is>
          <t>NS</t>
        </is>
      </c>
      <c r="C3723" s="156" t="inlineStr">
        <is>
          <t>DT-520</t>
        </is>
      </c>
      <c r="D3723" s="156" t="inlineStr">
        <is>
          <t>SKT 105S</t>
        </is>
      </c>
      <c r="E3723" s="156" t="inlineStr">
        <is>
          <t>Hauler</t>
        </is>
      </c>
      <c r="F3723" s="156" t="inlineStr">
        <is>
          <t>Hauling OB</t>
        </is>
      </c>
      <c r="G3723" s="182" t="n">
        <v>4.01</v>
      </c>
      <c r="H3723" s="182" t="n">
        <v>0</v>
      </c>
      <c r="I3723" s="182" t="n">
        <v>0</v>
      </c>
      <c r="J3723" s="182" t="n">
        <v>0</v>
      </c>
      <c r="K3723" s="182" t="n">
        <v>7.99</v>
      </c>
      <c r="L3723" s="182" t="n">
        <v>12</v>
      </c>
      <c r="M3723" s="182" t="n">
        <v>4.01</v>
      </c>
      <c r="N3723" s="182" t="n">
        <v>0</v>
      </c>
      <c r="O3723" s="183" t="n">
        <v>25</v>
      </c>
      <c r="P3723" s="183" t="n">
        <v>0</v>
      </c>
      <c r="Q3723" s="184" t="n">
        <v>510</v>
      </c>
      <c r="R3723" s="184" t="n">
        <v>0</v>
      </c>
      <c r="S3723" s="183" t="n">
        <v>0</v>
      </c>
      <c r="T3723" s="183" t="n">
        <v>0</v>
      </c>
      <c r="U3723" s="182" t="n">
        <v>1.95</v>
      </c>
      <c r="V3723" s="182" t="n">
        <v>0.88</v>
      </c>
      <c r="W3723" s="182" t="n">
        <v>1.07</v>
      </c>
      <c r="X3723" s="182" t="n">
        <v>1.07</v>
      </c>
      <c r="Y3723" s="182" t="n">
        <v>0</v>
      </c>
      <c r="Z3723" s="182" t="n">
        <v>0</v>
      </c>
      <c r="AA3723" s="182" t="n">
        <v>0</v>
      </c>
      <c r="AB3723" s="182" t="n">
        <v>0</v>
      </c>
      <c r="AC3723" s="182" t="n">
        <v>0</v>
      </c>
      <c r="AD3723" s="182" t="n">
        <v>0</v>
      </c>
      <c r="AE3723" s="182" t="n">
        <v>0</v>
      </c>
      <c r="AF3723" s="182" t="n">
        <v>0</v>
      </c>
      <c r="AG3723" s="182" t="n">
        <v>0</v>
      </c>
      <c r="AH3723" s="182" t="n">
        <v>0</v>
      </c>
      <c r="AI3723" s="182" t="n">
        <v>2.94</v>
      </c>
      <c r="AJ3723" s="182" t="n">
        <v>0</v>
      </c>
      <c r="AK3723" s="182" t="n">
        <v>0</v>
      </c>
      <c r="AL3723" s="182" t="n">
        <v>0</v>
      </c>
      <c r="AM3723" s="182" t="n">
        <v>0.09</v>
      </c>
      <c r="AN3723" s="182" t="n">
        <v>0</v>
      </c>
    </row>
    <row r="3724">
      <c r="A3724" s="155" t="n">
        <v>46098</v>
      </c>
      <c r="B3724" s="156" t="inlineStr">
        <is>
          <t>NS</t>
        </is>
      </c>
      <c r="C3724" s="156" t="inlineStr">
        <is>
          <t>DT-511</t>
        </is>
      </c>
      <c r="D3724" s="156" t="inlineStr">
        <is>
          <t>SKT 105S</t>
        </is>
      </c>
      <c r="E3724" s="156" t="inlineStr">
        <is>
          <t>Hauler</t>
        </is>
      </c>
      <c r="F3724" s="156" t="inlineStr"/>
      <c r="G3724" s="182" t="n">
        <v>0</v>
      </c>
      <c r="H3724" s="182" t="n">
        <v>0</v>
      </c>
      <c r="I3724" s="182" t="n">
        <v>12</v>
      </c>
      <c r="J3724" s="182" t="n">
        <v>12</v>
      </c>
      <c r="K3724" s="182" t="n">
        <v>0</v>
      </c>
      <c r="L3724" s="182" t="n">
        <v>12</v>
      </c>
      <c r="M3724" s="182" t="n">
        <v>0</v>
      </c>
      <c r="N3724" s="182" t="n">
        <v>0</v>
      </c>
      <c r="O3724" s="183" t="n">
        <v>0</v>
      </c>
      <c r="P3724" s="183" t="n">
        <v>0</v>
      </c>
      <c r="Q3724" s="184" t="n">
        <v>0</v>
      </c>
      <c r="R3724" s="184" t="n">
        <v>0</v>
      </c>
      <c r="S3724" s="183" t="n">
        <v>0</v>
      </c>
      <c r="T3724" s="183" t="n">
        <v>0</v>
      </c>
      <c r="U3724" s="182" t="n">
        <v>0</v>
      </c>
      <c r="V3724" s="182" t="n">
        <v>0</v>
      </c>
      <c r="W3724" s="182" t="n">
        <v>0</v>
      </c>
      <c r="X3724" s="182" t="n">
        <v>0</v>
      </c>
      <c r="Y3724" s="182" t="n">
        <v>0</v>
      </c>
      <c r="Z3724" s="182" t="n">
        <v>0</v>
      </c>
      <c r="AA3724" s="182" t="n">
        <v>0</v>
      </c>
      <c r="AB3724" s="182" t="n">
        <v>0</v>
      </c>
      <c r="AC3724" s="182" t="n">
        <v>0</v>
      </c>
      <c r="AD3724" s="182" t="n">
        <v>0</v>
      </c>
      <c r="AE3724" s="182" t="n">
        <v>0</v>
      </c>
      <c r="AF3724" s="182" t="n">
        <v>0</v>
      </c>
      <c r="AG3724" s="182" t="n">
        <v>0</v>
      </c>
      <c r="AH3724" s="182" t="n">
        <v>0</v>
      </c>
      <c r="AI3724" s="182" t="n">
        <v>0</v>
      </c>
      <c r="AJ3724" s="182" t="n">
        <v>0</v>
      </c>
      <c r="AK3724" s="182" t="n">
        <v>0</v>
      </c>
      <c r="AL3724" s="182" t="n">
        <v>0</v>
      </c>
      <c r="AM3724" s="182" t="n">
        <v>0</v>
      </c>
      <c r="AN3724" s="182" t="n">
        <v>0</v>
      </c>
    </row>
    <row r="3725">
      <c r="A3725" s="155" t="n">
        <v>46098</v>
      </c>
      <c r="B3725" s="156" t="inlineStr">
        <is>
          <t>NS</t>
        </is>
      </c>
      <c r="C3725" s="156" t="inlineStr">
        <is>
          <t>DT-509</t>
        </is>
      </c>
      <c r="D3725" s="156" t="inlineStr">
        <is>
          <t>SKT 105S</t>
        </is>
      </c>
      <c r="E3725" s="156" t="inlineStr">
        <is>
          <t>Hauler</t>
        </is>
      </c>
      <c r="F3725" s="156" t="inlineStr"/>
      <c r="G3725" s="182" t="n">
        <v>0</v>
      </c>
      <c r="H3725" s="182" t="n">
        <v>0</v>
      </c>
      <c r="I3725" s="182" t="n">
        <v>12</v>
      </c>
      <c r="J3725" s="182" t="n">
        <v>12</v>
      </c>
      <c r="K3725" s="182" t="n">
        <v>0</v>
      </c>
      <c r="L3725" s="182" t="n">
        <v>12</v>
      </c>
      <c r="M3725" s="182" t="n">
        <v>0</v>
      </c>
      <c r="N3725" s="182" t="n">
        <v>0</v>
      </c>
      <c r="O3725" s="183" t="n">
        <v>0</v>
      </c>
      <c r="P3725" s="183" t="n">
        <v>0</v>
      </c>
      <c r="Q3725" s="184" t="n">
        <v>0</v>
      </c>
      <c r="R3725" s="184" t="n">
        <v>0</v>
      </c>
      <c r="S3725" s="183" t="n">
        <v>0</v>
      </c>
      <c r="T3725" s="183" t="n">
        <v>0</v>
      </c>
      <c r="U3725" s="182" t="n">
        <v>0</v>
      </c>
      <c r="V3725" s="182" t="n">
        <v>0</v>
      </c>
      <c r="W3725" s="182" t="n">
        <v>0</v>
      </c>
      <c r="X3725" s="182" t="n">
        <v>0</v>
      </c>
      <c r="Y3725" s="182" t="n">
        <v>0</v>
      </c>
      <c r="Z3725" s="182" t="n">
        <v>0</v>
      </c>
      <c r="AA3725" s="182" t="n">
        <v>0</v>
      </c>
      <c r="AB3725" s="182" t="n">
        <v>0</v>
      </c>
      <c r="AC3725" s="182" t="n">
        <v>0</v>
      </c>
      <c r="AD3725" s="182" t="n">
        <v>0</v>
      </c>
      <c r="AE3725" s="182" t="n">
        <v>0</v>
      </c>
      <c r="AF3725" s="182" t="n">
        <v>0</v>
      </c>
      <c r="AG3725" s="182" t="n">
        <v>0</v>
      </c>
      <c r="AH3725" s="182" t="n">
        <v>0</v>
      </c>
      <c r="AI3725" s="182" t="n">
        <v>0</v>
      </c>
      <c r="AJ3725" s="182" t="n">
        <v>0</v>
      </c>
      <c r="AK3725" s="182" t="n">
        <v>0</v>
      </c>
      <c r="AL3725" s="182" t="n">
        <v>0</v>
      </c>
      <c r="AM3725" s="182" t="n">
        <v>0</v>
      </c>
      <c r="AN3725" s="182" t="n">
        <v>0</v>
      </c>
    </row>
    <row r="3726">
      <c r="A3726" s="155" t="n">
        <v>46098</v>
      </c>
      <c r="B3726" s="156" t="inlineStr">
        <is>
          <t>NS</t>
        </is>
      </c>
      <c r="C3726" s="156" t="inlineStr">
        <is>
          <t>DT-526</t>
        </is>
      </c>
      <c r="D3726" s="156" t="inlineStr">
        <is>
          <t>SKT 105S</t>
        </is>
      </c>
      <c r="E3726" s="156" t="inlineStr">
        <is>
          <t>Hauler</t>
        </is>
      </c>
      <c r="F3726" s="156" t="inlineStr"/>
      <c r="G3726" s="182" t="n">
        <v>0</v>
      </c>
      <c r="H3726" s="182" t="n">
        <v>0</v>
      </c>
      <c r="I3726" s="182" t="n">
        <v>12</v>
      </c>
      <c r="J3726" s="182" t="n">
        <v>12</v>
      </c>
      <c r="K3726" s="182" t="n">
        <v>0</v>
      </c>
      <c r="L3726" s="182" t="n">
        <v>12</v>
      </c>
      <c r="M3726" s="182" t="n">
        <v>0</v>
      </c>
      <c r="N3726" s="182" t="n">
        <v>0</v>
      </c>
      <c r="O3726" s="183" t="n">
        <v>0</v>
      </c>
      <c r="P3726" s="183" t="n">
        <v>0</v>
      </c>
      <c r="Q3726" s="184" t="n">
        <v>0</v>
      </c>
      <c r="R3726" s="184" t="n">
        <v>0</v>
      </c>
      <c r="S3726" s="183" t="n">
        <v>0</v>
      </c>
      <c r="T3726" s="183" t="n">
        <v>0</v>
      </c>
      <c r="U3726" s="182" t="n">
        <v>0</v>
      </c>
      <c r="V3726" s="182" t="n">
        <v>0</v>
      </c>
      <c r="W3726" s="182" t="n">
        <v>0</v>
      </c>
      <c r="X3726" s="182" t="n">
        <v>0</v>
      </c>
      <c r="Y3726" s="182" t="n">
        <v>0</v>
      </c>
      <c r="Z3726" s="182" t="n">
        <v>0</v>
      </c>
      <c r="AA3726" s="182" t="n">
        <v>0</v>
      </c>
      <c r="AB3726" s="182" t="n">
        <v>0</v>
      </c>
      <c r="AC3726" s="182" t="n">
        <v>0</v>
      </c>
      <c r="AD3726" s="182" t="n">
        <v>0</v>
      </c>
      <c r="AE3726" s="182" t="n">
        <v>0</v>
      </c>
      <c r="AF3726" s="182" t="n">
        <v>0</v>
      </c>
      <c r="AG3726" s="182" t="n">
        <v>0</v>
      </c>
      <c r="AH3726" s="182" t="n">
        <v>0</v>
      </c>
      <c r="AI3726" s="182" t="n">
        <v>0</v>
      </c>
      <c r="AJ3726" s="182" t="n">
        <v>0</v>
      </c>
      <c r="AK3726" s="182" t="n">
        <v>0</v>
      </c>
      <c r="AL3726" s="182" t="n">
        <v>0</v>
      </c>
      <c r="AM3726" s="182" t="n">
        <v>0</v>
      </c>
      <c r="AN3726" s="182" t="n">
        <v>0</v>
      </c>
    </row>
    <row r="3727">
      <c r="A3727" s="155" t="n">
        <v>46098</v>
      </c>
      <c r="B3727" s="156" t="inlineStr">
        <is>
          <t>NS</t>
        </is>
      </c>
      <c r="C3727" s="156" t="inlineStr">
        <is>
          <t>DT-508</t>
        </is>
      </c>
      <c r="D3727" s="156" t="inlineStr">
        <is>
          <t>SKT 105S</t>
        </is>
      </c>
      <c r="E3727" s="156" t="inlineStr">
        <is>
          <t>Hauler</t>
        </is>
      </c>
      <c r="F3727" s="156" t="inlineStr">
        <is>
          <t>Hauling OB</t>
        </is>
      </c>
      <c r="G3727" s="182" t="n">
        <v>4.58</v>
      </c>
      <c r="H3727" s="182" t="n">
        <v>0</v>
      </c>
      <c r="I3727" s="182" t="n">
        <v>0</v>
      </c>
      <c r="J3727" s="182" t="n">
        <v>0</v>
      </c>
      <c r="K3727" s="182" t="n">
        <v>7.42</v>
      </c>
      <c r="L3727" s="182" t="n">
        <v>12</v>
      </c>
      <c r="M3727" s="182" t="n">
        <v>4.57</v>
      </c>
      <c r="N3727" s="182" t="n">
        <v>0</v>
      </c>
      <c r="O3727" s="183" t="n">
        <v>19</v>
      </c>
      <c r="P3727" s="183" t="n">
        <v>0</v>
      </c>
      <c r="Q3727" s="184" t="n">
        <v>387.6</v>
      </c>
      <c r="R3727" s="184" t="n">
        <v>0</v>
      </c>
      <c r="S3727" s="183" t="n">
        <v>0</v>
      </c>
      <c r="T3727" s="183" t="n">
        <v>0</v>
      </c>
      <c r="U3727" s="182" t="n">
        <v>1.76</v>
      </c>
      <c r="V3727" s="182" t="n">
        <v>0.8</v>
      </c>
      <c r="W3727" s="182" t="n">
        <v>0.96</v>
      </c>
      <c r="X3727" s="182" t="n">
        <v>0.96</v>
      </c>
      <c r="Y3727" s="182" t="n">
        <v>0</v>
      </c>
      <c r="Z3727" s="182" t="n">
        <v>0</v>
      </c>
      <c r="AA3727" s="182" t="n">
        <v>0</v>
      </c>
      <c r="AB3727" s="182" t="n">
        <v>0</v>
      </c>
      <c r="AC3727" s="182" t="n">
        <v>0</v>
      </c>
      <c r="AD3727" s="182" t="n">
        <v>0</v>
      </c>
      <c r="AE3727" s="182" t="n">
        <v>0</v>
      </c>
      <c r="AF3727" s="182" t="n">
        <v>0</v>
      </c>
      <c r="AG3727" s="182" t="n">
        <v>0</v>
      </c>
      <c r="AH3727" s="182" t="n">
        <v>0</v>
      </c>
      <c r="AI3727" s="182" t="n">
        <v>2.85</v>
      </c>
      <c r="AJ3727" s="182" t="n">
        <v>0</v>
      </c>
      <c r="AK3727" s="182" t="n">
        <v>0</v>
      </c>
      <c r="AL3727" s="182" t="n">
        <v>0</v>
      </c>
      <c r="AM3727" s="182" t="n">
        <v>0.08</v>
      </c>
      <c r="AN3727" s="182" t="n">
        <v>0</v>
      </c>
    </row>
    <row r="3728">
      <c r="A3728" s="155" t="n">
        <v>46098</v>
      </c>
      <c r="B3728" s="156" t="inlineStr">
        <is>
          <t>NS</t>
        </is>
      </c>
      <c r="C3728" s="156" t="inlineStr">
        <is>
          <t>DT-515</t>
        </is>
      </c>
      <c r="D3728" s="156" t="inlineStr">
        <is>
          <t>SKT 105S</t>
        </is>
      </c>
      <c r="E3728" s="156" t="inlineStr">
        <is>
          <t>Hauler</t>
        </is>
      </c>
      <c r="F3728" s="156" t="inlineStr">
        <is>
          <t>Hauling OB</t>
        </is>
      </c>
      <c r="G3728" s="182" t="n">
        <v>6.78</v>
      </c>
      <c r="H3728" s="182" t="n">
        <v>0</v>
      </c>
      <c r="I3728" s="182" t="n">
        <v>0</v>
      </c>
      <c r="J3728" s="182" t="n">
        <v>0</v>
      </c>
      <c r="K3728" s="182" t="n">
        <v>5.22</v>
      </c>
      <c r="L3728" s="182" t="n">
        <v>12</v>
      </c>
      <c r="M3728" s="182" t="n">
        <v>6.78</v>
      </c>
      <c r="N3728" s="182" t="n">
        <v>0</v>
      </c>
      <c r="O3728" s="183" t="n">
        <v>29</v>
      </c>
      <c r="P3728" s="183" t="n">
        <v>0</v>
      </c>
      <c r="Q3728" s="184" t="n">
        <v>591.6</v>
      </c>
      <c r="R3728" s="184" t="n">
        <v>0</v>
      </c>
      <c r="S3728" s="183" t="n">
        <v>0</v>
      </c>
      <c r="T3728" s="183" t="n">
        <v>0</v>
      </c>
      <c r="U3728" s="182" t="n">
        <v>1.87</v>
      </c>
      <c r="V3728" s="182" t="n">
        <v>0.85</v>
      </c>
      <c r="W3728" s="182" t="n">
        <v>1.02</v>
      </c>
      <c r="X3728" s="182" t="n">
        <v>1.02</v>
      </c>
      <c r="Y3728" s="182" t="n">
        <v>0</v>
      </c>
      <c r="Z3728" s="182" t="n">
        <v>0</v>
      </c>
      <c r="AA3728" s="182" t="n">
        <v>0</v>
      </c>
      <c r="AB3728" s="182" t="n">
        <v>0</v>
      </c>
      <c r="AC3728" s="182" t="n">
        <v>0</v>
      </c>
      <c r="AD3728" s="182" t="n">
        <v>0</v>
      </c>
      <c r="AE3728" s="182" t="n">
        <v>0</v>
      </c>
      <c r="AF3728" s="182" t="n">
        <v>0</v>
      </c>
      <c r="AG3728" s="182" t="n">
        <v>0</v>
      </c>
      <c r="AH3728" s="182" t="n">
        <v>0.37</v>
      </c>
      <c r="AI3728" s="182" t="n">
        <v>0</v>
      </c>
      <c r="AJ3728" s="182" t="n">
        <v>0</v>
      </c>
      <c r="AK3728" s="182" t="n">
        <v>0</v>
      </c>
      <c r="AL3728" s="182" t="n">
        <v>0</v>
      </c>
      <c r="AM3728" s="182" t="n">
        <v>0.08</v>
      </c>
      <c r="AN3728" s="182" t="n">
        <v>0</v>
      </c>
    </row>
    <row r="3729">
      <c r="A3729" s="155" t="n">
        <v>46098</v>
      </c>
      <c r="B3729" s="156" t="inlineStr">
        <is>
          <t>NS</t>
        </is>
      </c>
      <c r="C3729" s="156" t="inlineStr">
        <is>
          <t>DT-524</t>
        </is>
      </c>
      <c r="D3729" s="156" t="inlineStr">
        <is>
          <t>SKT 105S</t>
        </is>
      </c>
      <c r="E3729" s="156" t="inlineStr">
        <is>
          <t>Hauler</t>
        </is>
      </c>
      <c r="F3729" s="156" t="inlineStr">
        <is>
          <t>Hauling OB</t>
        </is>
      </c>
      <c r="G3729" s="182" t="n">
        <v>2.67</v>
      </c>
      <c r="H3729" s="182" t="n">
        <v>0</v>
      </c>
      <c r="I3729" s="182" t="n">
        <v>0</v>
      </c>
      <c r="J3729" s="182" t="n">
        <v>0</v>
      </c>
      <c r="K3729" s="182" t="n">
        <v>9.33</v>
      </c>
      <c r="L3729" s="182" t="n">
        <v>12</v>
      </c>
      <c r="M3729" s="182" t="n">
        <v>2.67</v>
      </c>
      <c r="N3729" s="182" t="n">
        <v>0</v>
      </c>
      <c r="O3729" s="183" t="n">
        <v>14</v>
      </c>
      <c r="P3729" s="183" t="n">
        <v>0</v>
      </c>
      <c r="Q3729" s="184" t="n">
        <v>285.6</v>
      </c>
      <c r="R3729" s="184" t="n">
        <v>0</v>
      </c>
      <c r="S3729" s="183" t="n">
        <v>0</v>
      </c>
      <c r="T3729" s="183" t="n">
        <v>0</v>
      </c>
      <c r="U3729" s="182" t="n">
        <v>1.92</v>
      </c>
      <c r="V3729" s="182" t="n">
        <v>0.87</v>
      </c>
      <c r="W3729" s="182" t="n">
        <v>1.05</v>
      </c>
      <c r="X3729" s="182" t="n">
        <v>1.05</v>
      </c>
      <c r="Y3729" s="182" t="n">
        <v>0</v>
      </c>
      <c r="Z3729" s="182" t="n">
        <v>0</v>
      </c>
      <c r="AA3729" s="182" t="n">
        <v>0</v>
      </c>
      <c r="AB3729" s="182" t="n">
        <v>0</v>
      </c>
      <c r="AC3729" s="182" t="n">
        <v>0</v>
      </c>
      <c r="AD3729" s="182" t="n">
        <v>0</v>
      </c>
      <c r="AE3729" s="182" t="n">
        <v>0</v>
      </c>
      <c r="AF3729" s="182" t="n">
        <v>0</v>
      </c>
      <c r="AG3729" s="182" t="n">
        <v>0</v>
      </c>
      <c r="AH3729" s="182" t="n">
        <v>0</v>
      </c>
      <c r="AI3729" s="182" t="n">
        <v>4.36</v>
      </c>
      <c r="AJ3729" s="182" t="n">
        <v>0</v>
      </c>
      <c r="AK3729" s="182" t="n">
        <v>0</v>
      </c>
      <c r="AL3729" s="182" t="n">
        <v>0</v>
      </c>
      <c r="AM3729" s="182" t="n">
        <v>0.08</v>
      </c>
      <c r="AN3729" s="182" t="n">
        <v>0</v>
      </c>
    </row>
    <row r="3730">
      <c r="A3730" s="155" t="n">
        <v>46098</v>
      </c>
      <c r="B3730" s="156" t="inlineStr">
        <is>
          <t>NS</t>
        </is>
      </c>
      <c r="C3730" s="156" t="inlineStr">
        <is>
          <t>DT-341</t>
        </is>
      </c>
      <c r="D3730" s="156" t="inlineStr">
        <is>
          <t>SYZ324C-8W</t>
        </is>
      </c>
      <c r="E3730" s="156" t="inlineStr">
        <is>
          <t>Hauler</t>
        </is>
      </c>
      <c r="F3730" s="156" t="inlineStr"/>
      <c r="G3730" s="182" t="n">
        <v>0</v>
      </c>
      <c r="H3730" s="182" t="n">
        <v>0</v>
      </c>
      <c r="I3730" s="182" t="n">
        <v>0</v>
      </c>
      <c r="J3730" s="182" t="n">
        <v>0</v>
      </c>
      <c r="K3730" s="182" t="n">
        <v>12</v>
      </c>
      <c r="L3730" s="182" t="n">
        <v>12</v>
      </c>
      <c r="M3730" s="182" t="n">
        <v>0</v>
      </c>
      <c r="N3730" s="182" t="n">
        <v>0</v>
      </c>
      <c r="O3730" s="183" t="n">
        <v>0</v>
      </c>
      <c r="P3730" s="183" t="n">
        <v>0</v>
      </c>
      <c r="Q3730" s="184" t="n">
        <v>0</v>
      </c>
      <c r="R3730" s="184" t="n">
        <v>0</v>
      </c>
      <c r="S3730" s="183" t="n">
        <v>0</v>
      </c>
      <c r="T3730" s="183" t="n">
        <v>0</v>
      </c>
      <c r="U3730" s="182" t="n">
        <v>0</v>
      </c>
      <c r="V3730" s="182" t="n">
        <v>0</v>
      </c>
      <c r="W3730" s="182" t="n">
        <v>0</v>
      </c>
      <c r="X3730" s="182" t="n">
        <v>1</v>
      </c>
      <c r="Y3730" s="182" t="n">
        <v>0</v>
      </c>
      <c r="Z3730" s="182" t="n">
        <v>0</v>
      </c>
      <c r="AA3730" s="182" t="n">
        <v>0</v>
      </c>
      <c r="AB3730" s="182" t="n">
        <v>0</v>
      </c>
      <c r="AC3730" s="182" t="n">
        <v>0</v>
      </c>
      <c r="AD3730" s="182" t="n">
        <v>0</v>
      </c>
      <c r="AE3730" s="182" t="n">
        <v>0</v>
      </c>
      <c r="AF3730" s="182" t="n">
        <v>0</v>
      </c>
      <c r="AG3730" s="182" t="n">
        <v>0</v>
      </c>
      <c r="AH3730" s="182" t="n">
        <v>0</v>
      </c>
      <c r="AI3730" s="182" t="n">
        <v>0</v>
      </c>
      <c r="AJ3730" s="182" t="n">
        <v>0</v>
      </c>
      <c r="AK3730" s="182" t="n">
        <v>10.92</v>
      </c>
      <c r="AL3730" s="182" t="n">
        <v>0</v>
      </c>
      <c r="AM3730" s="182" t="n">
        <v>0.08</v>
      </c>
      <c r="AN3730" s="182" t="n">
        <v>0</v>
      </c>
    </row>
    <row r="3731">
      <c r="A3731" s="155" t="n">
        <v>46098</v>
      </c>
      <c r="B3731" s="156" t="inlineStr">
        <is>
          <t>NS</t>
        </is>
      </c>
      <c r="C3731" s="156" t="inlineStr">
        <is>
          <t>DT-342</t>
        </is>
      </c>
      <c r="D3731" s="156" t="inlineStr">
        <is>
          <t>SYZ324C-8W</t>
        </is>
      </c>
      <c r="E3731" s="156" t="inlineStr">
        <is>
          <t>Hauler</t>
        </is>
      </c>
      <c r="F3731" s="156" t="inlineStr"/>
      <c r="G3731" s="182" t="n">
        <v>0</v>
      </c>
      <c r="H3731" s="182" t="n">
        <v>0</v>
      </c>
      <c r="I3731" s="182" t="n">
        <v>0</v>
      </c>
      <c r="J3731" s="182" t="n">
        <v>0</v>
      </c>
      <c r="K3731" s="182" t="n">
        <v>12</v>
      </c>
      <c r="L3731" s="182" t="n">
        <v>12</v>
      </c>
      <c r="M3731" s="182" t="n">
        <v>0</v>
      </c>
      <c r="N3731" s="182" t="n">
        <v>0</v>
      </c>
      <c r="O3731" s="183" t="n">
        <v>0</v>
      </c>
      <c r="P3731" s="183" t="n">
        <v>0</v>
      </c>
      <c r="Q3731" s="184" t="n">
        <v>0</v>
      </c>
      <c r="R3731" s="184" t="n">
        <v>0</v>
      </c>
      <c r="S3731" s="183" t="n">
        <v>0</v>
      </c>
      <c r="T3731" s="183" t="n">
        <v>0</v>
      </c>
      <c r="U3731" s="182" t="n">
        <v>0</v>
      </c>
      <c r="V3731" s="182" t="n">
        <v>0</v>
      </c>
      <c r="W3731" s="182" t="n">
        <v>0</v>
      </c>
      <c r="X3731" s="182" t="n">
        <v>1</v>
      </c>
      <c r="Y3731" s="182" t="n">
        <v>0</v>
      </c>
      <c r="Z3731" s="182" t="n">
        <v>0</v>
      </c>
      <c r="AA3731" s="182" t="n">
        <v>0</v>
      </c>
      <c r="AB3731" s="182" t="n">
        <v>0</v>
      </c>
      <c r="AC3731" s="182" t="n">
        <v>0</v>
      </c>
      <c r="AD3731" s="182" t="n">
        <v>0</v>
      </c>
      <c r="AE3731" s="182" t="n">
        <v>0</v>
      </c>
      <c r="AF3731" s="182" t="n">
        <v>0</v>
      </c>
      <c r="AG3731" s="182" t="n">
        <v>0</v>
      </c>
      <c r="AH3731" s="182" t="n">
        <v>0</v>
      </c>
      <c r="AI3731" s="182" t="n">
        <v>0</v>
      </c>
      <c r="AJ3731" s="182" t="n">
        <v>0</v>
      </c>
      <c r="AK3731" s="182" t="n">
        <v>10.92</v>
      </c>
      <c r="AL3731" s="182" t="n">
        <v>0</v>
      </c>
      <c r="AM3731" s="182" t="n">
        <v>0.08</v>
      </c>
      <c r="AN3731" s="182" t="n">
        <v>0</v>
      </c>
    </row>
    <row r="3732">
      <c r="A3732" s="155" t="n">
        <v>46098</v>
      </c>
      <c r="B3732" s="156" t="inlineStr">
        <is>
          <t>NS</t>
        </is>
      </c>
      <c r="C3732" s="156" t="inlineStr">
        <is>
          <t>HD-903</t>
        </is>
      </c>
      <c r="D3732" s="156" t="inlineStr">
        <is>
          <t>SRT 95C</t>
        </is>
      </c>
      <c r="E3732" s="156" t="inlineStr">
        <is>
          <t>Hauler</t>
        </is>
      </c>
      <c r="F3732" s="156" t="inlineStr"/>
      <c r="G3732" s="182" t="n">
        <v>0</v>
      </c>
      <c r="H3732" s="182" t="n">
        <v>0</v>
      </c>
      <c r="I3732" s="182" t="n">
        <v>12</v>
      </c>
      <c r="J3732" s="182" t="n">
        <v>12</v>
      </c>
      <c r="K3732" s="182" t="n">
        <v>0</v>
      </c>
      <c r="L3732" s="182" t="n">
        <v>12</v>
      </c>
      <c r="M3732" s="182" t="n">
        <v>0</v>
      </c>
      <c r="N3732" s="182" t="n">
        <v>0</v>
      </c>
      <c r="O3732" s="183" t="n">
        <v>0</v>
      </c>
      <c r="P3732" s="183" t="n">
        <v>0</v>
      </c>
      <c r="Q3732" s="184" t="n">
        <v>0</v>
      </c>
      <c r="R3732" s="184" t="n">
        <v>0</v>
      </c>
      <c r="S3732" s="183" t="n">
        <v>0</v>
      </c>
      <c r="T3732" s="183" t="n">
        <v>0</v>
      </c>
      <c r="U3732" s="182" t="n">
        <v>0</v>
      </c>
      <c r="V3732" s="182" t="n">
        <v>0</v>
      </c>
      <c r="W3732" s="182" t="n">
        <v>0</v>
      </c>
      <c r="X3732" s="182" t="n">
        <v>0</v>
      </c>
      <c r="Y3732" s="182" t="n">
        <v>0</v>
      </c>
      <c r="Z3732" s="182" t="n">
        <v>0</v>
      </c>
      <c r="AA3732" s="182" t="n">
        <v>0</v>
      </c>
      <c r="AB3732" s="182" t="n">
        <v>0</v>
      </c>
      <c r="AC3732" s="182" t="n">
        <v>0</v>
      </c>
      <c r="AD3732" s="182" t="n">
        <v>0</v>
      </c>
      <c r="AE3732" s="182" t="n">
        <v>0</v>
      </c>
      <c r="AF3732" s="182" t="n">
        <v>0</v>
      </c>
      <c r="AG3732" s="182" t="n">
        <v>0</v>
      </c>
      <c r="AH3732" s="182" t="n">
        <v>0</v>
      </c>
      <c r="AI3732" s="182" t="n">
        <v>0</v>
      </c>
      <c r="AJ3732" s="182" t="n">
        <v>0</v>
      </c>
      <c r="AK3732" s="182" t="n">
        <v>0</v>
      </c>
      <c r="AL3732" s="182" t="n">
        <v>0</v>
      </c>
      <c r="AM3732" s="182" t="n">
        <v>0</v>
      </c>
      <c r="AN3732" s="182" t="n">
        <v>0</v>
      </c>
    </row>
    <row r="3733">
      <c r="A3733" s="155" t="n">
        <v>46098</v>
      </c>
      <c r="B3733" s="156" t="inlineStr">
        <is>
          <t>NS</t>
        </is>
      </c>
      <c r="C3733" s="156" t="inlineStr">
        <is>
          <t>HD-905</t>
        </is>
      </c>
      <c r="D3733" s="156" t="inlineStr">
        <is>
          <t>SRT 95C</t>
        </is>
      </c>
      <c r="E3733" s="156" t="inlineStr">
        <is>
          <t>Hauler</t>
        </is>
      </c>
      <c r="F3733" s="156" t="inlineStr"/>
      <c r="G3733" s="182" t="n">
        <v>0</v>
      </c>
      <c r="H3733" s="182" t="n">
        <v>0</v>
      </c>
      <c r="I3733" s="182" t="n">
        <v>12</v>
      </c>
      <c r="J3733" s="182" t="n">
        <v>12</v>
      </c>
      <c r="K3733" s="182" t="n">
        <v>0</v>
      </c>
      <c r="L3733" s="182" t="n">
        <v>12</v>
      </c>
      <c r="M3733" s="182" t="n">
        <v>0</v>
      </c>
      <c r="N3733" s="182" t="n">
        <v>0</v>
      </c>
      <c r="O3733" s="183" t="n">
        <v>0</v>
      </c>
      <c r="P3733" s="183" t="n">
        <v>0</v>
      </c>
      <c r="Q3733" s="184" t="n">
        <v>0</v>
      </c>
      <c r="R3733" s="184" t="n">
        <v>0</v>
      </c>
      <c r="S3733" s="183" t="n">
        <v>0</v>
      </c>
      <c r="T3733" s="183" t="n">
        <v>0</v>
      </c>
      <c r="U3733" s="182" t="n">
        <v>0</v>
      </c>
      <c r="V3733" s="182" t="n">
        <v>0</v>
      </c>
      <c r="W3733" s="182" t="n">
        <v>0</v>
      </c>
      <c r="X3733" s="182" t="n">
        <v>0</v>
      </c>
      <c r="Y3733" s="182" t="n">
        <v>0</v>
      </c>
      <c r="Z3733" s="182" t="n">
        <v>0</v>
      </c>
      <c r="AA3733" s="182" t="n">
        <v>0</v>
      </c>
      <c r="AB3733" s="182" t="n">
        <v>0</v>
      </c>
      <c r="AC3733" s="182" t="n">
        <v>0</v>
      </c>
      <c r="AD3733" s="182" t="n">
        <v>0</v>
      </c>
      <c r="AE3733" s="182" t="n">
        <v>0</v>
      </c>
      <c r="AF3733" s="182" t="n">
        <v>0</v>
      </c>
      <c r="AG3733" s="182" t="n">
        <v>0</v>
      </c>
      <c r="AH3733" s="182" t="n">
        <v>0</v>
      </c>
      <c r="AI3733" s="182" t="n">
        <v>0</v>
      </c>
      <c r="AJ3733" s="182" t="n">
        <v>0</v>
      </c>
      <c r="AK3733" s="182" t="n">
        <v>0</v>
      </c>
      <c r="AL3733" s="182" t="n">
        <v>0</v>
      </c>
      <c r="AM3733" s="182" t="n">
        <v>0</v>
      </c>
      <c r="AN3733" s="182" t="n">
        <v>0</v>
      </c>
    </row>
    <row r="3734">
      <c r="A3734" s="155" t="n">
        <v>46098</v>
      </c>
      <c r="B3734" s="156" t="inlineStr">
        <is>
          <t>NS</t>
        </is>
      </c>
      <c r="C3734" s="156" t="inlineStr">
        <is>
          <t>HD-901</t>
        </is>
      </c>
      <c r="D3734" s="156" t="inlineStr">
        <is>
          <t>SRT 95C</t>
        </is>
      </c>
      <c r="E3734" s="156" t="inlineStr">
        <is>
          <t>Hauler</t>
        </is>
      </c>
      <c r="F3734" s="156" t="inlineStr"/>
      <c r="G3734" s="182" t="n">
        <v>0</v>
      </c>
      <c r="H3734" s="182" t="n">
        <v>0</v>
      </c>
      <c r="I3734" s="182" t="n">
        <v>0.08</v>
      </c>
      <c r="J3734" s="182" t="n">
        <v>0.08</v>
      </c>
      <c r="K3734" s="182" t="n">
        <v>11.92</v>
      </c>
      <c r="L3734" s="182" t="n">
        <v>12</v>
      </c>
      <c r="M3734" s="182" t="n">
        <v>0</v>
      </c>
      <c r="N3734" s="182" t="n">
        <v>0</v>
      </c>
      <c r="O3734" s="183" t="n">
        <v>0</v>
      </c>
      <c r="P3734" s="183" t="n">
        <v>0</v>
      </c>
      <c r="Q3734" s="184" t="n">
        <v>0</v>
      </c>
      <c r="R3734" s="184" t="n">
        <v>0</v>
      </c>
      <c r="S3734" s="183" t="n">
        <v>0</v>
      </c>
      <c r="T3734" s="183" t="n">
        <v>0</v>
      </c>
      <c r="U3734" s="182" t="n">
        <v>0</v>
      </c>
      <c r="V3734" s="182" t="n">
        <v>0</v>
      </c>
      <c r="W3734" s="182" t="n">
        <v>0</v>
      </c>
      <c r="X3734" s="182" t="n">
        <v>1</v>
      </c>
      <c r="Y3734" s="182" t="n">
        <v>0</v>
      </c>
      <c r="Z3734" s="182" t="n">
        <v>0</v>
      </c>
      <c r="AA3734" s="182" t="n">
        <v>0</v>
      </c>
      <c r="AB3734" s="182" t="n">
        <v>0</v>
      </c>
      <c r="AC3734" s="182" t="n">
        <v>0</v>
      </c>
      <c r="AD3734" s="182" t="n">
        <v>0</v>
      </c>
      <c r="AE3734" s="182" t="n">
        <v>0</v>
      </c>
      <c r="AF3734" s="182" t="n">
        <v>0</v>
      </c>
      <c r="AG3734" s="182" t="n">
        <v>0</v>
      </c>
      <c r="AH3734" s="182" t="n">
        <v>0</v>
      </c>
      <c r="AI3734" s="182" t="n">
        <v>0</v>
      </c>
      <c r="AJ3734" s="182" t="n">
        <v>0</v>
      </c>
      <c r="AK3734" s="182" t="n">
        <v>10.83</v>
      </c>
      <c r="AL3734" s="182" t="n">
        <v>0</v>
      </c>
      <c r="AM3734" s="182" t="n">
        <v>0.08</v>
      </c>
      <c r="AN3734" s="182" t="n">
        <v>0</v>
      </c>
    </row>
    <row r="3735">
      <c r="A3735" s="155" t="n">
        <v>46098</v>
      </c>
      <c r="B3735" s="156" t="inlineStr">
        <is>
          <t>NS</t>
        </is>
      </c>
      <c r="C3735" s="156" t="inlineStr">
        <is>
          <t>HD-904</t>
        </is>
      </c>
      <c r="D3735" s="156" t="inlineStr">
        <is>
          <t>SRT 95C</t>
        </is>
      </c>
      <c r="E3735" s="156" t="inlineStr">
        <is>
          <t>Hauler</t>
        </is>
      </c>
      <c r="F3735" s="156" t="inlineStr"/>
      <c r="G3735" s="182" t="n">
        <v>0</v>
      </c>
      <c r="H3735" s="182" t="n">
        <v>0</v>
      </c>
      <c r="I3735" s="182" t="n">
        <v>0</v>
      </c>
      <c r="J3735" s="182" t="n">
        <v>0</v>
      </c>
      <c r="K3735" s="182" t="n">
        <v>12</v>
      </c>
      <c r="L3735" s="182" t="n">
        <v>12</v>
      </c>
      <c r="M3735" s="182" t="n">
        <v>0</v>
      </c>
      <c r="N3735" s="182" t="n">
        <v>0</v>
      </c>
      <c r="O3735" s="183" t="n">
        <v>0</v>
      </c>
      <c r="P3735" s="183" t="n">
        <v>0</v>
      </c>
      <c r="Q3735" s="184" t="n">
        <v>0</v>
      </c>
      <c r="R3735" s="184" t="n">
        <v>0</v>
      </c>
      <c r="S3735" s="183" t="n">
        <v>0</v>
      </c>
      <c r="T3735" s="183" t="n">
        <v>0</v>
      </c>
      <c r="U3735" s="182" t="n">
        <v>0</v>
      </c>
      <c r="V3735" s="182" t="n">
        <v>0</v>
      </c>
      <c r="W3735" s="182" t="n">
        <v>0</v>
      </c>
      <c r="X3735" s="182" t="n">
        <v>1</v>
      </c>
      <c r="Y3735" s="182" t="n">
        <v>0</v>
      </c>
      <c r="Z3735" s="182" t="n">
        <v>0</v>
      </c>
      <c r="AA3735" s="182" t="n">
        <v>0</v>
      </c>
      <c r="AB3735" s="182" t="n">
        <v>0</v>
      </c>
      <c r="AC3735" s="182" t="n">
        <v>0</v>
      </c>
      <c r="AD3735" s="182" t="n">
        <v>0</v>
      </c>
      <c r="AE3735" s="182" t="n">
        <v>0</v>
      </c>
      <c r="AF3735" s="182" t="n">
        <v>0</v>
      </c>
      <c r="AG3735" s="182" t="n">
        <v>0</v>
      </c>
      <c r="AH3735" s="182" t="n">
        <v>0</v>
      </c>
      <c r="AI3735" s="182" t="n">
        <v>0</v>
      </c>
      <c r="AJ3735" s="182" t="n">
        <v>0</v>
      </c>
      <c r="AK3735" s="182" t="n">
        <v>10.92</v>
      </c>
      <c r="AL3735" s="182" t="n">
        <v>0</v>
      </c>
      <c r="AM3735" s="182" t="n">
        <v>0.08</v>
      </c>
      <c r="AN3735" s="182" t="n">
        <v>0</v>
      </c>
    </row>
    <row r="3736">
      <c r="A3736" s="155" t="n">
        <v>46098</v>
      </c>
      <c r="B3736" s="156" t="inlineStr">
        <is>
          <t>NS</t>
        </is>
      </c>
      <c r="C3736" s="156" t="inlineStr">
        <is>
          <t>HD-902</t>
        </is>
      </c>
      <c r="D3736" s="156" t="inlineStr">
        <is>
          <t>SRT 95C</t>
        </is>
      </c>
      <c r="E3736" s="156" t="inlineStr">
        <is>
          <t>Hauler</t>
        </is>
      </c>
      <c r="F3736" s="156" t="inlineStr"/>
      <c r="G3736" s="182" t="n">
        <v>0</v>
      </c>
      <c r="H3736" s="182" t="n">
        <v>0</v>
      </c>
      <c r="I3736" s="182" t="n">
        <v>12</v>
      </c>
      <c r="J3736" s="182" t="n">
        <v>12</v>
      </c>
      <c r="K3736" s="182" t="n">
        <v>0</v>
      </c>
      <c r="L3736" s="182" t="n">
        <v>12</v>
      </c>
      <c r="M3736" s="182" t="n">
        <v>0</v>
      </c>
      <c r="N3736" s="182" t="n">
        <v>0</v>
      </c>
      <c r="O3736" s="183" t="n">
        <v>0</v>
      </c>
      <c r="P3736" s="183" t="n">
        <v>0</v>
      </c>
      <c r="Q3736" s="184" t="n">
        <v>0</v>
      </c>
      <c r="R3736" s="184" t="n">
        <v>0</v>
      </c>
      <c r="S3736" s="183" t="n">
        <v>0</v>
      </c>
      <c r="T3736" s="183" t="n">
        <v>0</v>
      </c>
      <c r="U3736" s="182" t="n">
        <v>0</v>
      </c>
      <c r="V3736" s="182" t="n">
        <v>0</v>
      </c>
      <c r="W3736" s="182" t="n">
        <v>0</v>
      </c>
      <c r="X3736" s="182" t="n">
        <v>0</v>
      </c>
      <c r="Y3736" s="182" t="n">
        <v>0</v>
      </c>
      <c r="Z3736" s="182" t="n">
        <v>0</v>
      </c>
      <c r="AA3736" s="182" t="n">
        <v>0</v>
      </c>
      <c r="AB3736" s="182" t="n">
        <v>0</v>
      </c>
      <c r="AC3736" s="182" t="n">
        <v>0</v>
      </c>
      <c r="AD3736" s="182" t="n">
        <v>0</v>
      </c>
      <c r="AE3736" s="182" t="n">
        <v>0</v>
      </c>
      <c r="AF3736" s="182" t="n">
        <v>0</v>
      </c>
      <c r="AG3736" s="182" t="n">
        <v>0</v>
      </c>
      <c r="AH3736" s="182" t="n">
        <v>0</v>
      </c>
      <c r="AI3736" s="182" t="n">
        <v>0</v>
      </c>
      <c r="AJ3736" s="182" t="n">
        <v>0</v>
      </c>
      <c r="AK3736" s="182" t="n">
        <v>0</v>
      </c>
      <c r="AL3736" s="182" t="n">
        <v>0</v>
      </c>
      <c r="AM3736" s="182" t="n">
        <v>0</v>
      </c>
      <c r="AN3736" s="182" t="n">
        <v>0</v>
      </c>
    </row>
    <row r="3737">
      <c r="A3737" s="155" t="n">
        <v>46098</v>
      </c>
      <c r="B3737" s="156" t="inlineStr">
        <is>
          <t>NS</t>
        </is>
      </c>
      <c r="C3737" s="156" t="inlineStr">
        <is>
          <t>WL-025</t>
        </is>
      </c>
      <c r="D3737" s="156" t="inlineStr">
        <is>
          <t>SANY - Loader</t>
        </is>
      </c>
      <c r="E3737" s="156" t="inlineStr">
        <is>
          <t>Loader</t>
        </is>
      </c>
      <c r="F3737" s="156" t="inlineStr"/>
      <c r="G3737" s="182" t="n">
        <v>0</v>
      </c>
      <c r="H3737" s="182" t="n">
        <v>0</v>
      </c>
      <c r="I3737" s="182" t="n">
        <v>0</v>
      </c>
      <c r="J3737" s="182" t="n">
        <v>0</v>
      </c>
      <c r="K3737" s="182" t="n">
        <v>12</v>
      </c>
      <c r="L3737" s="182" t="n">
        <v>12</v>
      </c>
      <c r="M3737" s="182" t="n">
        <v>0</v>
      </c>
      <c r="N3737" s="182" t="n">
        <v>0</v>
      </c>
      <c r="O3737" s="183" t="n">
        <v>0</v>
      </c>
      <c r="P3737" s="183" t="n">
        <v>0</v>
      </c>
      <c r="Q3737" s="184" t="n">
        <v>0</v>
      </c>
      <c r="R3737" s="184" t="n">
        <v>0</v>
      </c>
      <c r="S3737" s="183" t="n">
        <v>0</v>
      </c>
      <c r="T3737" s="183" t="n">
        <v>0</v>
      </c>
      <c r="U3737" s="182" t="n">
        <v>0</v>
      </c>
      <c r="V3737" s="182" t="n">
        <v>0</v>
      </c>
      <c r="W3737" s="182" t="n">
        <v>0</v>
      </c>
      <c r="X3737" s="182" t="n">
        <v>1</v>
      </c>
      <c r="Y3737" s="182" t="n">
        <v>0</v>
      </c>
      <c r="Z3737" s="182" t="n">
        <v>0</v>
      </c>
      <c r="AA3737" s="182" t="n">
        <v>0</v>
      </c>
      <c r="AB3737" s="182" t="n">
        <v>0</v>
      </c>
      <c r="AC3737" s="182" t="n">
        <v>0</v>
      </c>
      <c r="AD3737" s="182" t="n">
        <v>0</v>
      </c>
      <c r="AE3737" s="182" t="n">
        <v>0</v>
      </c>
      <c r="AF3737" s="182" t="n">
        <v>0</v>
      </c>
      <c r="AG3737" s="182" t="n">
        <v>0</v>
      </c>
      <c r="AH3737" s="182" t="n">
        <v>0</v>
      </c>
      <c r="AI3737" s="182" t="n">
        <v>0</v>
      </c>
      <c r="AJ3737" s="182" t="n">
        <v>0</v>
      </c>
      <c r="AK3737" s="182" t="n">
        <v>10.92</v>
      </c>
      <c r="AL3737" s="182" t="n">
        <v>0</v>
      </c>
      <c r="AM3737" s="182" t="n">
        <v>0.08</v>
      </c>
      <c r="AN3737" s="182" t="n">
        <v>0</v>
      </c>
    </row>
    <row r="3738">
      <c r="A3738" s="155" t="n">
        <v>46098</v>
      </c>
      <c r="B3738" s="156" t="inlineStr">
        <is>
          <t>NS</t>
        </is>
      </c>
      <c r="C3738" s="156" t="inlineStr">
        <is>
          <t>WL-023</t>
        </is>
      </c>
      <c r="D3738" s="156" t="inlineStr">
        <is>
          <t>SANY - Loader</t>
        </is>
      </c>
      <c r="E3738" s="156" t="inlineStr">
        <is>
          <t>Loader</t>
        </is>
      </c>
      <c r="F3738" s="156" t="inlineStr">
        <is>
          <t>General Jetty</t>
        </is>
      </c>
      <c r="G3738" s="182" t="n">
        <v>1.28</v>
      </c>
      <c r="H3738" s="182" t="n">
        <v>0</v>
      </c>
      <c r="I3738" s="182" t="n">
        <v>0</v>
      </c>
      <c r="J3738" s="182" t="n">
        <v>0</v>
      </c>
      <c r="K3738" s="182" t="n">
        <v>10.72</v>
      </c>
      <c r="L3738" s="182" t="n">
        <v>12</v>
      </c>
      <c r="M3738" s="182" t="n">
        <v>0</v>
      </c>
      <c r="N3738" s="182" t="n">
        <v>0</v>
      </c>
      <c r="O3738" s="183" t="n">
        <v>0</v>
      </c>
      <c r="P3738" s="183" t="n">
        <v>0</v>
      </c>
      <c r="Q3738" s="184" t="n">
        <v>0</v>
      </c>
      <c r="R3738" s="184" t="n">
        <v>0</v>
      </c>
      <c r="S3738" s="183" t="n">
        <v>0</v>
      </c>
      <c r="T3738" s="183" t="n">
        <v>0</v>
      </c>
      <c r="U3738" s="182" t="n">
        <v>0</v>
      </c>
      <c r="V3738" s="182" t="n">
        <v>0</v>
      </c>
      <c r="W3738" s="182" t="n">
        <v>0</v>
      </c>
      <c r="X3738" s="182" t="n">
        <v>1.05</v>
      </c>
      <c r="Y3738" s="182" t="n">
        <v>0</v>
      </c>
      <c r="Z3738" s="182" t="n">
        <v>0</v>
      </c>
      <c r="AA3738" s="182" t="n">
        <v>0</v>
      </c>
      <c r="AB3738" s="182" t="n">
        <v>0</v>
      </c>
      <c r="AC3738" s="182" t="n">
        <v>0</v>
      </c>
      <c r="AD3738" s="182" t="n">
        <v>0</v>
      </c>
      <c r="AE3738" s="182" t="n">
        <v>0</v>
      </c>
      <c r="AF3738" s="182" t="n">
        <v>0</v>
      </c>
      <c r="AG3738" s="182" t="n">
        <v>0</v>
      </c>
      <c r="AH3738" s="182" t="n">
        <v>0</v>
      </c>
      <c r="AI3738" s="182" t="n">
        <v>0</v>
      </c>
      <c r="AJ3738" s="182" t="n">
        <v>0</v>
      </c>
      <c r="AK3738" s="182" t="n">
        <v>9.58</v>
      </c>
      <c r="AL3738" s="182" t="n">
        <v>0</v>
      </c>
      <c r="AM3738" s="182" t="n">
        <v>0.08</v>
      </c>
      <c r="AN3738" s="182" t="n">
        <v>0</v>
      </c>
    </row>
    <row r="3739">
      <c r="A3739" s="155" t="n">
        <v>46098</v>
      </c>
      <c r="B3739" s="156" t="inlineStr">
        <is>
          <t>NS</t>
        </is>
      </c>
      <c r="C3739" s="156" t="inlineStr">
        <is>
          <t>WL-021</t>
        </is>
      </c>
      <c r="D3739" s="156" t="inlineStr">
        <is>
          <t>SANY - Loader</t>
        </is>
      </c>
      <c r="E3739" s="156" t="inlineStr">
        <is>
          <t>Loader</t>
        </is>
      </c>
      <c r="F3739" s="156" t="inlineStr"/>
      <c r="G3739" s="182" t="n">
        <v>0</v>
      </c>
      <c r="H3739" s="182" t="n">
        <v>0</v>
      </c>
      <c r="I3739" s="182" t="n">
        <v>12</v>
      </c>
      <c r="J3739" s="182" t="n">
        <v>12</v>
      </c>
      <c r="K3739" s="182" t="n">
        <v>0</v>
      </c>
      <c r="L3739" s="182" t="n">
        <v>12</v>
      </c>
      <c r="M3739" s="182" t="n">
        <v>0</v>
      </c>
      <c r="N3739" s="182" t="n">
        <v>0</v>
      </c>
      <c r="O3739" s="183" t="n">
        <v>0</v>
      </c>
      <c r="P3739" s="183" t="n">
        <v>0</v>
      </c>
      <c r="Q3739" s="184" t="n">
        <v>0</v>
      </c>
      <c r="R3739" s="184" t="n">
        <v>0</v>
      </c>
      <c r="S3739" s="183" t="n">
        <v>0</v>
      </c>
      <c r="T3739" s="183" t="n">
        <v>0</v>
      </c>
      <c r="U3739" s="182" t="n">
        <v>0</v>
      </c>
      <c r="V3739" s="182" t="n">
        <v>0</v>
      </c>
      <c r="W3739" s="182" t="n">
        <v>0</v>
      </c>
      <c r="X3739" s="182" t="n">
        <v>0</v>
      </c>
      <c r="Y3739" s="182" t="n">
        <v>0</v>
      </c>
      <c r="Z3739" s="182" t="n">
        <v>0</v>
      </c>
      <c r="AA3739" s="182" t="n">
        <v>0</v>
      </c>
      <c r="AB3739" s="182" t="n">
        <v>0</v>
      </c>
      <c r="AC3739" s="182" t="n">
        <v>0</v>
      </c>
      <c r="AD3739" s="182" t="n">
        <v>0</v>
      </c>
      <c r="AE3739" s="182" t="n">
        <v>0</v>
      </c>
      <c r="AF3739" s="182" t="n">
        <v>0</v>
      </c>
      <c r="AG3739" s="182" t="n">
        <v>0</v>
      </c>
      <c r="AH3739" s="182" t="n">
        <v>0</v>
      </c>
      <c r="AI3739" s="182" t="n">
        <v>0</v>
      </c>
      <c r="AJ3739" s="182" t="n">
        <v>0</v>
      </c>
      <c r="AK3739" s="182" t="n">
        <v>0</v>
      </c>
      <c r="AL3739" s="182" t="n">
        <v>0</v>
      </c>
      <c r="AM3739" s="182" t="n">
        <v>0</v>
      </c>
      <c r="AN3739" s="182" t="n">
        <v>0</v>
      </c>
    </row>
    <row r="3740">
      <c r="A3740" s="155" t="n">
        <v>46098</v>
      </c>
      <c r="B3740" s="156" t="inlineStr">
        <is>
          <t>NS</t>
        </is>
      </c>
      <c r="C3740" s="156" t="inlineStr">
        <is>
          <t>WL-022</t>
        </is>
      </c>
      <c r="D3740" s="156" t="inlineStr">
        <is>
          <t>SANY - Loader</t>
        </is>
      </c>
      <c r="E3740" s="156" t="inlineStr">
        <is>
          <t>Loader</t>
        </is>
      </c>
      <c r="F3740" s="156" t="inlineStr">
        <is>
          <t>Support Washing Plant</t>
        </is>
      </c>
      <c r="G3740" s="182" t="n">
        <v>11.52</v>
      </c>
      <c r="H3740" s="182" t="n">
        <v>0</v>
      </c>
      <c r="I3740" s="182" t="n">
        <v>0</v>
      </c>
      <c r="J3740" s="182" t="n">
        <v>0</v>
      </c>
      <c r="K3740" s="182" t="n">
        <v>0.48</v>
      </c>
      <c r="L3740" s="182" t="n">
        <v>12</v>
      </c>
      <c r="M3740" s="182" t="n">
        <v>0</v>
      </c>
      <c r="N3740" s="182" t="n">
        <v>0</v>
      </c>
      <c r="O3740" s="183" t="n">
        <v>0</v>
      </c>
      <c r="P3740" s="183" t="n">
        <v>0</v>
      </c>
      <c r="Q3740" s="184" t="n">
        <v>0</v>
      </c>
      <c r="R3740" s="184" t="n">
        <v>0</v>
      </c>
      <c r="S3740" s="183" t="n">
        <v>0</v>
      </c>
      <c r="T3740" s="183" t="n">
        <v>0</v>
      </c>
      <c r="U3740" s="182" t="n">
        <v>0</v>
      </c>
      <c r="V3740" s="182" t="n">
        <v>0</v>
      </c>
      <c r="W3740" s="182" t="n">
        <v>0</v>
      </c>
      <c r="X3740" s="182" t="n">
        <v>0.42</v>
      </c>
      <c r="Y3740" s="182" t="n">
        <v>0</v>
      </c>
      <c r="Z3740" s="182" t="n">
        <v>0</v>
      </c>
      <c r="AA3740" s="182" t="n">
        <v>0</v>
      </c>
      <c r="AB3740" s="182" t="n">
        <v>0</v>
      </c>
      <c r="AC3740" s="182" t="n">
        <v>0</v>
      </c>
      <c r="AD3740" s="182" t="n">
        <v>0</v>
      </c>
      <c r="AE3740" s="182" t="n">
        <v>0</v>
      </c>
      <c r="AF3740" s="182" t="n">
        <v>0</v>
      </c>
      <c r="AG3740" s="182" t="n">
        <v>0</v>
      </c>
      <c r="AH3740" s="182" t="n">
        <v>0</v>
      </c>
      <c r="AI3740" s="182" t="n">
        <v>0</v>
      </c>
      <c r="AJ3740" s="182" t="n">
        <v>0</v>
      </c>
      <c r="AK3740" s="182" t="n">
        <v>0</v>
      </c>
      <c r="AL3740" s="182" t="n">
        <v>0</v>
      </c>
      <c r="AM3740" s="182" t="n">
        <v>0.06</v>
      </c>
      <c r="AN3740" s="182" t="n">
        <v>0</v>
      </c>
    </row>
    <row r="3741">
      <c r="A3741" s="155" t="n">
        <v>46098</v>
      </c>
      <c r="B3741" s="156" t="inlineStr">
        <is>
          <t>NS</t>
        </is>
      </c>
      <c r="C3741" s="156" t="inlineStr">
        <is>
          <t>WL-024</t>
        </is>
      </c>
      <c r="D3741" s="156" t="inlineStr">
        <is>
          <t>SANY - Loader</t>
        </is>
      </c>
      <c r="E3741" s="156" t="inlineStr">
        <is>
          <t>Loader</t>
        </is>
      </c>
      <c r="F3741" s="156" t="inlineStr">
        <is>
          <t>Support Washing Plant</t>
        </is>
      </c>
      <c r="G3741" s="182" t="n">
        <v>10.67</v>
      </c>
      <c r="H3741" s="182" t="n">
        <v>0</v>
      </c>
      <c r="I3741" s="182" t="n">
        <v>0</v>
      </c>
      <c r="J3741" s="182" t="n">
        <v>0</v>
      </c>
      <c r="K3741" s="182" t="n">
        <v>1.33</v>
      </c>
      <c r="L3741" s="182" t="n">
        <v>12</v>
      </c>
      <c r="M3741" s="182" t="n">
        <v>0</v>
      </c>
      <c r="N3741" s="182" t="n">
        <v>0</v>
      </c>
      <c r="O3741" s="183" t="n">
        <v>0</v>
      </c>
      <c r="P3741" s="183" t="n">
        <v>0</v>
      </c>
      <c r="Q3741" s="184" t="n">
        <v>0</v>
      </c>
      <c r="R3741" s="184" t="n">
        <v>0</v>
      </c>
      <c r="S3741" s="183" t="n">
        <v>0</v>
      </c>
      <c r="T3741" s="183" t="n">
        <v>0</v>
      </c>
      <c r="U3741" s="182" t="n">
        <v>0</v>
      </c>
      <c r="V3741" s="182" t="n">
        <v>0</v>
      </c>
      <c r="W3741" s="182" t="n">
        <v>0</v>
      </c>
      <c r="X3741" s="182" t="n">
        <v>1.11</v>
      </c>
      <c r="Y3741" s="182" t="n">
        <v>0</v>
      </c>
      <c r="Z3741" s="182" t="n">
        <v>0</v>
      </c>
      <c r="AA3741" s="182" t="n">
        <v>0</v>
      </c>
      <c r="AB3741" s="182" t="n">
        <v>0</v>
      </c>
      <c r="AC3741" s="182" t="n">
        <v>0</v>
      </c>
      <c r="AD3741" s="182" t="n">
        <v>0</v>
      </c>
      <c r="AE3741" s="182" t="n">
        <v>0</v>
      </c>
      <c r="AF3741" s="182" t="n">
        <v>0</v>
      </c>
      <c r="AG3741" s="182" t="n">
        <v>0</v>
      </c>
      <c r="AH3741" s="182" t="n">
        <v>0.13</v>
      </c>
      <c r="AI3741" s="182" t="n">
        <v>0</v>
      </c>
      <c r="AJ3741" s="182" t="n">
        <v>0</v>
      </c>
      <c r="AK3741" s="182" t="n">
        <v>0</v>
      </c>
      <c r="AL3741" s="182" t="n">
        <v>0</v>
      </c>
      <c r="AM3741" s="182" t="n">
        <v>0.09</v>
      </c>
      <c r="AN3741" s="182" t="n">
        <v>0</v>
      </c>
    </row>
    <row r="3742">
      <c r="A3742" s="155" t="n">
        <v>46099</v>
      </c>
      <c r="B3742" s="156" t="inlineStr">
        <is>
          <t>DS</t>
        </is>
      </c>
      <c r="C3742" s="156" t="inlineStr">
        <is>
          <t>DZ-034</t>
        </is>
      </c>
      <c r="D3742" s="156" t="inlineStr">
        <is>
          <t>D 68ESS-12EO</t>
        </is>
      </c>
      <c r="E3742" s="156" t="inlineStr">
        <is>
          <t>Bulldozer</t>
        </is>
      </c>
      <c r="F3742" s="156" t="inlineStr"/>
      <c r="G3742" s="182" t="n">
        <v>0</v>
      </c>
      <c r="H3742" s="182" t="n">
        <v>0</v>
      </c>
      <c r="I3742" s="182" t="n">
        <v>12</v>
      </c>
      <c r="J3742" s="182" t="n">
        <v>12</v>
      </c>
      <c r="K3742" s="182" t="n">
        <v>0</v>
      </c>
      <c r="L3742" s="182" t="n">
        <v>12</v>
      </c>
      <c r="M3742" s="182" t="n">
        <v>0</v>
      </c>
      <c r="N3742" s="182" t="n">
        <v>0</v>
      </c>
      <c r="O3742" s="183" t="n">
        <v>0</v>
      </c>
      <c r="P3742" s="183" t="n">
        <v>0</v>
      </c>
      <c r="Q3742" s="184" t="n">
        <v>0</v>
      </c>
      <c r="R3742" s="184" t="n">
        <v>0</v>
      </c>
      <c r="S3742" s="183" t="n">
        <v>0</v>
      </c>
      <c r="T3742" s="183" t="n">
        <v>0</v>
      </c>
      <c r="U3742" s="182" t="n">
        <v>0</v>
      </c>
      <c r="V3742" s="182" t="n">
        <v>0</v>
      </c>
      <c r="W3742" s="182" t="n">
        <v>0</v>
      </c>
      <c r="X3742" s="182" t="n">
        <v>0</v>
      </c>
      <c r="Y3742" s="182" t="n">
        <v>0</v>
      </c>
      <c r="Z3742" s="182" t="n">
        <v>0</v>
      </c>
      <c r="AA3742" s="182" t="n">
        <v>0</v>
      </c>
      <c r="AB3742" s="182" t="n">
        <v>0</v>
      </c>
      <c r="AC3742" s="182" t="n">
        <v>0</v>
      </c>
      <c r="AD3742" s="182" t="n">
        <v>0</v>
      </c>
      <c r="AE3742" s="182" t="n">
        <v>0</v>
      </c>
      <c r="AF3742" s="182" t="n">
        <v>0</v>
      </c>
      <c r="AG3742" s="182" t="n">
        <v>0</v>
      </c>
      <c r="AH3742" s="182" t="n">
        <v>0</v>
      </c>
      <c r="AI3742" s="182" t="n">
        <v>0</v>
      </c>
      <c r="AJ3742" s="182" t="n">
        <v>0</v>
      </c>
      <c r="AK3742" s="182" t="n">
        <v>0</v>
      </c>
      <c r="AL3742" s="182" t="n">
        <v>0</v>
      </c>
      <c r="AM3742" s="182" t="n">
        <v>0</v>
      </c>
      <c r="AN3742" s="182" t="n">
        <v>0</v>
      </c>
    </row>
    <row r="3743">
      <c r="A3743" s="155" t="n">
        <v>46099</v>
      </c>
      <c r="B3743" s="156" t="inlineStr">
        <is>
          <t>DS</t>
        </is>
      </c>
      <c r="C3743" s="156" t="inlineStr">
        <is>
          <t>DZ-033</t>
        </is>
      </c>
      <c r="D3743" s="156" t="inlineStr">
        <is>
          <t>D 375A-6R</t>
        </is>
      </c>
      <c r="E3743" s="156" t="inlineStr">
        <is>
          <t>Bulldozer</t>
        </is>
      </c>
      <c r="F3743" s="156" t="inlineStr">
        <is>
          <t>Support Front Loading</t>
        </is>
      </c>
      <c r="G3743" s="182" t="n">
        <v>4.08</v>
      </c>
      <c r="H3743" s="182" t="n">
        <v>0</v>
      </c>
      <c r="I3743" s="182" t="n">
        <v>7.92</v>
      </c>
      <c r="J3743" s="182" t="n">
        <v>7.92</v>
      </c>
      <c r="K3743" s="182" t="n">
        <v>0</v>
      </c>
      <c r="L3743" s="182" t="n">
        <v>12</v>
      </c>
      <c r="M3743" s="182" t="n">
        <v>0</v>
      </c>
      <c r="N3743" s="182" t="n">
        <v>0</v>
      </c>
      <c r="O3743" s="183" t="n">
        <v>0</v>
      </c>
      <c r="P3743" s="183" t="n">
        <v>0</v>
      </c>
      <c r="Q3743" s="184" t="n">
        <v>0</v>
      </c>
      <c r="R3743" s="184" t="n">
        <v>0</v>
      </c>
      <c r="S3743" s="183" t="n">
        <v>0</v>
      </c>
      <c r="T3743" s="183" t="n">
        <v>0</v>
      </c>
      <c r="U3743" s="182" t="n">
        <v>0</v>
      </c>
      <c r="V3743" s="182" t="n">
        <v>0</v>
      </c>
      <c r="W3743" s="182" t="n">
        <v>0</v>
      </c>
      <c r="X3743" s="182" t="n">
        <v>0</v>
      </c>
      <c r="Y3743" s="182" t="n">
        <v>0</v>
      </c>
      <c r="Z3743" s="182" t="n">
        <v>0</v>
      </c>
      <c r="AA3743" s="182" t="n">
        <v>0</v>
      </c>
      <c r="AB3743" s="182" t="n">
        <v>0</v>
      </c>
      <c r="AC3743" s="182" t="n">
        <v>0</v>
      </c>
      <c r="AD3743" s="182" t="n">
        <v>0</v>
      </c>
      <c r="AE3743" s="182" t="n">
        <v>0</v>
      </c>
      <c r="AF3743" s="182" t="n">
        <v>0</v>
      </c>
      <c r="AG3743" s="182" t="n">
        <v>0</v>
      </c>
      <c r="AH3743" s="182" t="n">
        <v>0</v>
      </c>
      <c r="AI3743" s="182" t="n">
        <v>0</v>
      </c>
      <c r="AJ3743" s="182" t="n">
        <v>0</v>
      </c>
      <c r="AK3743" s="182" t="n">
        <v>0</v>
      </c>
      <c r="AL3743" s="182" t="n">
        <v>0</v>
      </c>
      <c r="AM3743" s="182" t="n">
        <v>0</v>
      </c>
      <c r="AN3743" s="182" t="n">
        <v>0</v>
      </c>
    </row>
    <row r="3744">
      <c r="A3744" s="155" t="n">
        <v>46099</v>
      </c>
      <c r="B3744" s="156" t="inlineStr">
        <is>
          <t>DS</t>
        </is>
      </c>
      <c r="C3744" s="156" t="inlineStr">
        <is>
          <t>DZ-038</t>
        </is>
      </c>
      <c r="D3744" s="156" t="inlineStr">
        <is>
          <t>D 85 ESS-2</t>
        </is>
      </c>
      <c r="E3744" s="156" t="inlineStr">
        <is>
          <t>Bulldozer</t>
        </is>
      </c>
      <c r="F3744" s="156" t="inlineStr">
        <is>
          <t>Support Disposal</t>
        </is>
      </c>
      <c r="G3744" s="182" t="n">
        <v>2.98</v>
      </c>
      <c r="H3744" s="182" t="n">
        <v>0</v>
      </c>
      <c r="I3744" s="182" t="n">
        <v>8.92</v>
      </c>
      <c r="J3744" s="182" t="n">
        <v>8.92</v>
      </c>
      <c r="K3744" s="182" t="n">
        <v>0.1</v>
      </c>
      <c r="L3744" s="182" t="n">
        <v>12</v>
      </c>
      <c r="M3744" s="182" t="n">
        <v>0</v>
      </c>
      <c r="N3744" s="182" t="n">
        <v>0</v>
      </c>
      <c r="O3744" s="183" t="n">
        <v>0</v>
      </c>
      <c r="P3744" s="183" t="n">
        <v>0</v>
      </c>
      <c r="Q3744" s="184" t="n">
        <v>0</v>
      </c>
      <c r="R3744" s="184" t="n">
        <v>0</v>
      </c>
      <c r="S3744" s="183" t="n">
        <v>0</v>
      </c>
      <c r="T3744" s="183" t="n">
        <v>0</v>
      </c>
      <c r="U3744" s="182" t="n">
        <v>0</v>
      </c>
      <c r="V3744" s="182" t="n">
        <v>0</v>
      </c>
      <c r="W3744" s="182" t="n">
        <v>0</v>
      </c>
      <c r="X3744" s="182" t="n">
        <v>0</v>
      </c>
      <c r="Y3744" s="182" t="n">
        <v>0</v>
      </c>
      <c r="Z3744" s="182" t="n">
        <v>0</v>
      </c>
      <c r="AA3744" s="182" t="n">
        <v>0</v>
      </c>
      <c r="AB3744" s="182" t="n">
        <v>0</v>
      </c>
      <c r="AC3744" s="182" t="n">
        <v>0</v>
      </c>
      <c r="AD3744" s="182" t="n">
        <v>0</v>
      </c>
      <c r="AE3744" s="182" t="n">
        <v>0</v>
      </c>
      <c r="AF3744" s="182" t="n">
        <v>0</v>
      </c>
      <c r="AG3744" s="182" t="n">
        <v>0</v>
      </c>
      <c r="AH3744" s="182" t="n">
        <v>0</v>
      </c>
      <c r="AI3744" s="182" t="n">
        <v>0</v>
      </c>
      <c r="AJ3744" s="182" t="n">
        <v>0</v>
      </c>
      <c r="AK3744" s="182" t="n">
        <v>0</v>
      </c>
      <c r="AL3744" s="182" t="n">
        <v>0</v>
      </c>
      <c r="AM3744" s="182" t="n">
        <v>0.1</v>
      </c>
      <c r="AN3744" s="182" t="n">
        <v>0</v>
      </c>
    </row>
    <row r="3745">
      <c r="A3745" s="155" t="n">
        <v>46099</v>
      </c>
      <c r="B3745" s="156" t="inlineStr">
        <is>
          <t>DS</t>
        </is>
      </c>
      <c r="C3745" s="156" t="inlineStr">
        <is>
          <t>DZ-039</t>
        </is>
      </c>
      <c r="D3745" s="156" t="inlineStr">
        <is>
          <t>D 85 ESS-2</t>
        </is>
      </c>
      <c r="E3745" s="156" t="inlineStr">
        <is>
          <t>Bulldozer</t>
        </is>
      </c>
      <c r="F3745" s="156" t="inlineStr">
        <is>
          <t>Support Disposal</t>
        </is>
      </c>
      <c r="G3745" s="182" t="n">
        <v>10.18</v>
      </c>
      <c r="H3745" s="182" t="n">
        <v>0</v>
      </c>
      <c r="I3745" s="182" t="n">
        <v>1.82</v>
      </c>
      <c r="J3745" s="182" t="n">
        <v>1.82</v>
      </c>
      <c r="K3745" s="182" t="n">
        <v>0</v>
      </c>
      <c r="L3745" s="182" t="n">
        <v>12</v>
      </c>
      <c r="M3745" s="182" t="n">
        <v>0</v>
      </c>
      <c r="N3745" s="182" t="n">
        <v>0</v>
      </c>
      <c r="O3745" s="183" t="n">
        <v>0</v>
      </c>
      <c r="P3745" s="183" t="n">
        <v>0</v>
      </c>
      <c r="Q3745" s="184" t="n">
        <v>0</v>
      </c>
      <c r="R3745" s="184" t="n">
        <v>0</v>
      </c>
      <c r="S3745" s="183" t="n">
        <v>0</v>
      </c>
      <c r="T3745" s="183" t="n">
        <v>0</v>
      </c>
      <c r="U3745" s="182" t="n">
        <v>0</v>
      </c>
      <c r="V3745" s="182" t="n">
        <v>0</v>
      </c>
      <c r="W3745" s="182" t="n">
        <v>0</v>
      </c>
      <c r="X3745" s="182" t="n">
        <v>0</v>
      </c>
      <c r="Y3745" s="182" t="n">
        <v>0</v>
      </c>
      <c r="Z3745" s="182" t="n">
        <v>0</v>
      </c>
      <c r="AA3745" s="182" t="n">
        <v>0</v>
      </c>
      <c r="AB3745" s="182" t="n">
        <v>0</v>
      </c>
      <c r="AC3745" s="182" t="n">
        <v>0</v>
      </c>
      <c r="AD3745" s="182" t="n">
        <v>0</v>
      </c>
      <c r="AE3745" s="182" t="n">
        <v>0</v>
      </c>
      <c r="AF3745" s="182" t="n">
        <v>0</v>
      </c>
      <c r="AG3745" s="182" t="n">
        <v>0</v>
      </c>
      <c r="AH3745" s="182" t="n">
        <v>0</v>
      </c>
      <c r="AI3745" s="182" t="n">
        <v>0</v>
      </c>
      <c r="AJ3745" s="182" t="n">
        <v>0</v>
      </c>
      <c r="AK3745" s="182" t="n">
        <v>0</v>
      </c>
      <c r="AL3745" s="182" t="n">
        <v>0</v>
      </c>
      <c r="AM3745" s="182" t="n">
        <v>0</v>
      </c>
      <c r="AN3745" s="182" t="n">
        <v>0</v>
      </c>
    </row>
    <row r="3746">
      <c r="A3746" s="155" t="n">
        <v>46099</v>
      </c>
      <c r="B3746" s="156" t="inlineStr">
        <is>
          <t>DS</t>
        </is>
      </c>
      <c r="C3746" s="156" t="inlineStr">
        <is>
          <t>DZ-032</t>
        </is>
      </c>
      <c r="D3746" s="156" t="inlineStr">
        <is>
          <t>CAT</t>
        </is>
      </c>
      <c r="E3746" s="156" t="inlineStr">
        <is>
          <t>Bulldozer</t>
        </is>
      </c>
      <c r="F3746" s="156" t="inlineStr"/>
      <c r="G3746" s="182" t="n">
        <v>0</v>
      </c>
      <c r="H3746" s="182" t="n">
        <v>0</v>
      </c>
      <c r="I3746" s="182" t="n">
        <v>12</v>
      </c>
      <c r="J3746" s="182" t="n">
        <v>12</v>
      </c>
      <c r="K3746" s="182" t="n">
        <v>0</v>
      </c>
      <c r="L3746" s="182" t="n">
        <v>12</v>
      </c>
      <c r="M3746" s="182" t="n">
        <v>0</v>
      </c>
      <c r="N3746" s="182" t="n">
        <v>0</v>
      </c>
      <c r="O3746" s="183" t="n">
        <v>0</v>
      </c>
      <c r="P3746" s="183" t="n">
        <v>0</v>
      </c>
      <c r="Q3746" s="184" t="n">
        <v>0</v>
      </c>
      <c r="R3746" s="184" t="n">
        <v>0</v>
      </c>
      <c r="S3746" s="183" t="n">
        <v>0</v>
      </c>
      <c r="T3746" s="183" t="n">
        <v>0</v>
      </c>
      <c r="U3746" s="182" t="n">
        <v>0</v>
      </c>
      <c r="V3746" s="182" t="n">
        <v>0</v>
      </c>
      <c r="W3746" s="182" t="n">
        <v>0</v>
      </c>
      <c r="X3746" s="182" t="n">
        <v>0</v>
      </c>
      <c r="Y3746" s="182" t="n">
        <v>0</v>
      </c>
      <c r="Z3746" s="182" t="n">
        <v>0</v>
      </c>
      <c r="AA3746" s="182" t="n">
        <v>0</v>
      </c>
      <c r="AB3746" s="182" t="n">
        <v>0</v>
      </c>
      <c r="AC3746" s="182" t="n">
        <v>0</v>
      </c>
      <c r="AD3746" s="182" t="n">
        <v>0</v>
      </c>
      <c r="AE3746" s="182" t="n">
        <v>0</v>
      </c>
      <c r="AF3746" s="182" t="n">
        <v>0</v>
      </c>
      <c r="AG3746" s="182" t="n">
        <v>0</v>
      </c>
      <c r="AH3746" s="182" t="n">
        <v>0</v>
      </c>
      <c r="AI3746" s="182" t="n">
        <v>0</v>
      </c>
      <c r="AJ3746" s="182" t="n">
        <v>0</v>
      </c>
      <c r="AK3746" s="182" t="n">
        <v>0</v>
      </c>
      <c r="AL3746" s="182" t="n">
        <v>0</v>
      </c>
      <c r="AM3746" s="182" t="n">
        <v>0</v>
      </c>
      <c r="AN3746" s="182" t="n">
        <v>0</v>
      </c>
    </row>
    <row r="3747">
      <c r="A3747" s="155" t="n">
        <v>46099</v>
      </c>
      <c r="B3747" s="156" t="inlineStr">
        <is>
          <t>DS</t>
        </is>
      </c>
      <c r="C3747" s="156" t="inlineStr">
        <is>
          <t>DZ-031</t>
        </is>
      </c>
      <c r="D3747" s="156" t="inlineStr">
        <is>
          <t>CAT</t>
        </is>
      </c>
      <c r="E3747" s="156" t="inlineStr">
        <is>
          <t>Bulldozer</t>
        </is>
      </c>
      <c r="F3747" s="156" t="inlineStr">
        <is>
          <t>Support Front Loading</t>
        </is>
      </c>
      <c r="G3747" s="182" t="n">
        <v>11.12</v>
      </c>
      <c r="H3747" s="182" t="n">
        <v>0</v>
      </c>
      <c r="I3747" s="182" t="n">
        <v>0</v>
      </c>
      <c r="J3747" s="182" t="n">
        <v>0</v>
      </c>
      <c r="K3747" s="182" t="n">
        <v>0.88</v>
      </c>
      <c r="L3747" s="182" t="n">
        <v>12</v>
      </c>
      <c r="M3747" s="182" t="n">
        <v>0</v>
      </c>
      <c r="N3747" s="182" t="n">
        <v>0</v>
      </c>
      <c r="O3747" s="183" t="n">
        <v>0</v>
      </c>
      <c r="P3747" s="183" t="n">
        <v>0</v>
      </c>
      <c r="Q3747" s="184" t="n">
        <v>0</v>
      </c>
      <c r="R3747" s="184" t="n">
        <v>0</v>
      </c>
      <c r="S3747" s="183" t="n">
        <v>0</v>
      </c>
      <c r="T3747" s="183" t="n">
        <v>0</v>
      </c>
      <c r="U3747" s="182" t="n">
        <v>0</v>
      </c>
      <c r="V3747" s="182" t="n">
        <v>0</v>
      </c>
      <c r="W3747" s="182" t="n">
        <v>0</v>
      </c>
      <c r="X3747" s="182" t="n">
        <v>0</v>
      </c>
      <c r="Y3747" s="182" t="n">
        <v>0</v>
      </c>
      <c r="Z3747" s="182" t="n">
        <v>0</v>
      </c>
      <c r="AA3747" s="182" t="n">
        <v>0</v>
      </c>
      <c r="AB3747" s="182" t="n">
        <v>0</v>
      </c>
      <c r="AC3747" s="182" t="n">
        <v>0</v>
      </c>
      <c r="AD3747" s="182" t="n">
        <v>0</v>
      </c>
      <c r="AE3747" s="182" t="n">
        <v>0</v>
      </c>
      <c r="AF3747" s="182" t="n">
        <v>0</v>
      </c>
      <c r="AG3747" s="182" t="n">
        <v>0</v>
      </c>
      <c r="AH3747" s="182" t="n">
        <v>0</v>
      </c>
      <c r="AI3747" s="182" t="n">
        <v>0</v>
      </c>
      <c r="AJ3747" s="182" t="n">
        <v>0</v>
      </c>
      <c r="AK3747" s="182" t="n">
        <v>0.79</v>
      </c>
      <c r="AL3747" s="182" t="n">
        <v>0</v>
      </c>
      <c r="AM3747" s="182" t="n">
        <v>0.09</v>
      </c>
      <c r="AN3747" s="182" t="n">
        <v>0</v>
      </c>
    </row>
    <row r="3748">
      <c r="A3748" s="155" t="n">
        <v>46099</v>
      </c>
      <c r="B3748" s="156" t="inlineStr">
        <is>
          <t>DS</t>
        </is>
      </c>
      <c r="C3748" s="156" t="inlineStr">
        <is>
          <t>DZ-037</t>
        </is>
      </c>
      <c r="D3748" s="156" t="inlineStr">
        <is>
          <t>D 85 ESS-2</t>
        </is>
      </c>
      <c r="E3748" s="156" t="inlineStr">
        <is>
          <t>Bulldozer</t>
        </is>
      </c>
      <c r="F3748" s="156" t="inlineStr"/>
      <c r="G3748" s="182" t="n">
        <v>0</v>
      </c>
      <c r="H3748" s="182" t="n">
        <v>0</v>
      </c>
      <c r="I3748" s="182" t="n">
        <v>12</v>
      </c>
      <c r="J3748" s="182" t="n">
        <v>12</v>
      </c>
      <c r="K3748" s="182" t="n">
        <v>0</v>
      </c>
      <c r="L3748" s="182" t="n">
        <v>12</v>
      </c>
      <c r="M3748" s="182" t="n">
        <v>0</v>
      </c>
      <c r="N3748" s="182" t="n">
        <v>0</v>
      </c>
      <c r="O3748" s="183" t="n">
        <v>0</v>
      </c>
      <c r="P3748" s="183" t="n">
        <v>0</v>
      </c>
      <c r="Q3748" s="184" t="n">
        <v>0</v>
      </c>
      <c r="R3748" s="184" t="n">
        <v>0</v>
      </c>
      <c r="S3748" s="183" t="n">
        <v>0</v>
      </c>
      <c r="T3748" s="183" t="n">
        <v>0</v>
      </c>
      <c r="U3748" s="182" t="n">
        <v>0</v>
      </c>
      <c r="V3748" s="182" t="n">
        <v>0</v>
      </c>
      <c r="W3748" s="182" t="n">
        <v>0</v>
      </c>
      <c r="X3748" s="182" t="n">
        <v>0</v>
      </c>
      <c r="Y3748" s="182" t="n">
        <v>0</v>
      </c>
      <c r="Z3748" s="182" t="n">
        <v>0</v>
      </c>
      <c r="AA3748" s="182" t="n">
        <v>0</v>
      </c>
      <c r="AB3748" s="182" t="n">
        <v>0</v>
      </c>
      <c r="AC3748" s="182" t="n">
        <v>0</v>
      </c>
      <c r="AD3748" s="182" t="n">
        <v>0</v>
      </c>
      <c r="AE3748" s="182" t="n">
        <v>0</v>
      </c>
      <c r="AF3748" s="182" t="n">
        <v>0</v>
      </c>
      <c r="AG3748" s="182" t="n">
        <v>0</v>
      </c>
      <c r="AH3748" s="182" t="n">
        <v>0</v>
      </c>
      <c r="AI3748" s="182" t="n">
        <v>0</v>
      </c>
      <c r="AJ3748" s="182" t="n">
        <v>0</v>
      </c>
      <c r="AK3748" s="182" t="n">
        <v>0</v>
      </c>
      <c r="AL3748" s="182" t="n">
        <v>0</v>
      </c>
      <c r="AM3748" s="182" t="n">
        <v>0</v>
      </c>
      <c r="AN3748" s="182" t="n">
        <v>0</v>
      </c>
    </row>
    <row r="3749">
      <c r="A3749" s="155" t="n">
        <v>46099</v>
      </c>
      <c r="B3749" s="156" t="inlineStr">
        <is>
          <t>DS</t>
        </is>
      </c>
      <c r="C3749" s="156" t="inlineStr">
        <is>
          <t>DZ-036</t>
        </is>
      </c>
      <c r="D3749" s="156" t="inlineStr">
        <is>
          <t>D 85 ESS-2</t>
        </is>
      </c>
      <c r="E3749" s="156" t="inlineStr">
        <is>
          <t>Bulldozer</t>
        </is>
      </c>
      <c r="F3749" s="156" t="inlineStr">
        <is>
          <t>General Jetty</t>
        </is>
      </c>
      <c r="G3749" s="182" t="n">
        <v>3.53</v>
      </c>
      <c r="H3749" s="182" t="n">
        <v>0</v>
      </c>
      <c r="I3749" s="182" t="n">
        <v>0</v>
      </c>
      <c r="J3749" s="182" t="n">
        <v>0</v>
      </c>
      <c r="K3749" s="182" t="n">
        <v>8.470000000000001</v>
      </c>
      <c r="L3749" s="182" t="n">
        <v>12</v>
      </c>
      <c r="M3749" s="182" t="n">
        <v>0</v>
      </c>
      <c r="N3749" s="182" t="n">
        <v>0</v>
      </c>
      <c r="O3749" s="183" t="n">
        <v>0</v>
      </c>
      <c r="P3749" s="183" t="n">
        <v>0</v>
      </c>
      <c r="Q3749" s="184" t="n">
        <v>0</v>
      </c>
      <c r="R3749" s="184" t="n">
        <v>0</v>
      </c>
      <c r="S3749" s="183" t="n">
        <v>0</v>
      </c>
      <c r="T3749" s="183" t="n">
        <v>0</v>
      </c>
      <c r="U3749" s="182" t="n">
        <v>0</v>
      </c>
      <c r="V3749" s="182" t="n">
        <v>0</v>
      </c>
      <c r="W3749" s="182" t="n">
        <v>0</v>
      </c>
      <c r="X3749" s="182" t="n">
        <v>0.98</v>
      </c>
      <c r="Y3749" s="182" t="n">
        <v>0</v>
      </c>
      <c r="Z3749" s="182" t="n">
        <v>0</v>
      </c>
      <c r="AA3749" s="182" t="n">
        <v>0</v>
      </c>
      <c r="AB3749" s="182" t="n">
        <v>0</v>
      </c>
      <c r="AC3749" s="182" t="n">
        <v>0</v>
      </c>
      <c r="AD3749" s="182" t="n">
        <v>0</v>
      </c>
      <c r="AE3749" s="182" t="n">
        <v>0</v>
      </c>
      <c r="AF3749" s="182" t="n">
        <v>0</v>
      </c>
      <c r="AG3749" s="182" t="n">
        <v>0</v>
      </c>
      <c r="AH3749" s="182" t="n">
        <v>0</v>
      </c>
      <c r="AI3749" s="182" t="n">
        <v>0</v>
      </c>
      <c r="AJ3749" s="182" t="n">
        <v>0</v>
      </c>
      <c r="AK3749" s="182" t="n">
        <v>7.41</v>
      </c>
      <c r="AL3749" s="182" t="n">
        <v>0</v>
      </c>
      <c r="AM3749" s="182" t="n">
        <v>0.08</v>
      </c>
      <c r="AN3749" s="182" t="n">
        <v>0</v>
      </c>
    </row>
    <row r="3750">
      <c r="A3750" s="155" t="n">
        <v>46099</v>
      </c>
      <c r="B3750" s="156" t="inlineStr">
        <is>
          <t>DS</t>
        </is>
      </c>
      <c r="C3750" s="156" t="inlineStr">
        <is>
          <t>DZ-035</t>
        </is>
      </c>
      <c r="D3750" s="156" t="inlineStr">
        <is>
          <t>D 85 ESS-2</t>
        </is>
      </c>
      <c r="E3750" s="156" t="inlineStr">
        <is>
          <t>Bulldozer</t>
        </is>
      </c>
      <c r="F3750" s="156" t="inlineStr">
        <is>
          <t>Support Disposal</t>
        </is>
      </c>
      <c r="G3750" s="182" t="n">
        <v>11.71</v>
      </c>
      <c r="H3750" s="182" t="n">
        <v>0</v>
      </c>
      <c r="I3750" s="182" t="n">
        <v>0.17</v>
      </c>
      <c r="J3750" s="182" t="n">
        <v>0.17</v>
      </c>
      <c r="K3750" s="182" t="n">
        <v>0.12</v>
      </c>
      <c r="L3750" s="182" t="n">
        <v>12</v>
      </c>
      <c r="M3750" s="182" t="n">
        <v>0</v>
      </c>
      <c r="N3750" s="182" t="n">
        <v>0</v>
      </c>
      <c r="O3750" s="183" t="n">
        <v>0</v>
      </c>
      <c r="P3750" s="183" t="n">
        <v>0</v>
      </c>
      <c r="Q3750" s="184" t="n">
        <v>0</v>
      </c>
      <c r="R3750" s="184" t="n">
        <v>0</v>
      </c>
      <c r="S3750" s="183" t="n">
        <v>0</v>
      </c>
      <c r="T3750" s="183" t="n">
        <v>0</v>
      </c>
      <c r="U3750" s="182" t="n">
        <v>0</v>
      </c>
      <c r="V3750" s="182" t="n">
        <v>0</v>
      </c>
      <c r="W3750" s="182" t="n">
        <v>0</v>
      </c>
      <c r="X3750" s="182" t="n">
        <v>0</v>
      </c>
      <c r="Y3750" s="182" t="n">
        <v>0</v>
      </c>
      <c r="Z3750" s="182" t="n">
        <v>0</v>
      </c>
      <c r="AA3750" s="182" t="n">
        <v>0</v>
      </c>
      <c r="AB3750" s="182" t="n">
        <v>0</v>
      </c>
      <c r="AC3750" s="182" t="n">
        <v>0</v>
      </c>
      <c r="AD3750" s="182" t="n">
        <v>0</v>
      </c>
      <c r="AE3750" s="182" t="n">
        <v>0</v>
      </c>
      <c r="AF3750" s="182" t="n">
        <v>0</v>
      </c>
      <c r="AG3750" s="182" t="n">
        <v>0</v>
      </c>
      <c r="AH3750" s="182" t="n">
        <v>0</v>
      </c>
      <c r="AI3750" s="182" t="n">
        <v>0</v>
      </c>
      <c r="AJ3750" s="182" t="n">
        <v>0</v>
      </c>
      <c r="AK3750" s="182" t="n">
        <v>0.1</v>
      </c>
      <c r="AL3750" s="182" t="n">
        <v>0</v>
      </c>
      <c r="AM3750" s="182" t="n">
        <v>0.02</v>
      </c>
      <c r="AN3750" s="182" t="n">
        <v>0</v>
      </c>
    </row>
    <row r="3751">
      <c r="A3751" s="155" t="n">
        <v>46099</v>
      </c>
      <c r="B3751" s="156" t="inlineStr">
        <is>
          <t>DS</t>
        </is>
      </c>
      <c r="C3751" s="156" t="inlineStr">
        <is>
          <t>CP-042</t>
        </is>
      </c>
      <c r="D3751" s="156" t="inlineStr">
        <is>
          <t>SANY - Compactor</t>
        </is>
      </c>
      <c r="E3751" s="156" t="inlineStr">
        <is>
          <t>Compactor</t>
        </is>
      </c>
      <c r="F3751" s="156" t="inlineStr">
        <is>
          <t>Pemadatan Area Jetty</t>
        </is>
      </c>
      <c r="G3751" s="182" t="n">
        <v>3.27</v>
      </c>
      <c r="H3751" s="182" t="n">
        <v>0</v>
      </c>
      <c r="I3751" s="182" t="n">
        <v>0</v>
      </c>
      <c r="J3751" s="182" t="n">
        <v>0</v>
      </c>
      <c r="K3751" s="182" t="n">
        <v>8.73</v>
      </c>
      <c r="L3751" s="182" t="n">
        <v>12</v>
      </c>
      <c r="M3751" s="182" t="n">
        <v>0</v>
      </c>
      <c r="N3751" s="182" t="n">
        <v>0</v>
      </c>
      <c r="O3751" s="183" t="n">
        <v>0</v>
      </c>
      <c r="P3751" s="183" t="n">
        <v>0</v>
      </c>
      <c r="Q3751" s="184" t="n">
        <v>0</v>
      </c>
      <c r="R3751" s="184" t="n">
        <v>0</v>
      </c>
      <c r="S3751" s="183" t="n">
        <v>0</v>
      </c>
      <c r="T3751" s="183" t="n">
        <v>0</v>
      </c>
      <c r="U3751" s="182" t="n">
        <v>0</v>
      </c>
      <c r="V3751" s="182" t="n">
        <v>0</v>
      </c>
      <c r="W3751" s="182" t="n">
        <v>0</v>
      </c>
      <c r="X3751" s="182" t="n">
        <v>1.03</v>
      </c>
      <c r="Y3751" s="182" t="n">
        <v>0</v>
      </c>
      <c r="Z3751" s="182" t="n">
        <v>0</v>
      </c>
      <c r="AA3751" s="182" t="n">
        <v>0</v>
      </c>
      <c r="AB3751" s="182" t="n">
        <v>0</v>
      </c>
      <c r="AC3751" s="182" t="n">
        <v>0</v>
      </c>
      <c r="AD3751" s="182" t="n">
        <v>0</v>
      </c>
      <c r="AE3751" s="182" t="n">
        <v>0</v>
      </c>
      <c r="AF3751" s="182" t="n">
        <v>0</v>
      </c>
      <c r="AG3751" s="182" t="n">
        <v>0</v>
      </c>
      <c r="AH3751" s="182" t="n">
        <v>0</v>
      </c>
      <c r="AI3751" s="182" t="n">
        <v>0</v>
      </c>
      <c r="AJ3751" s="182" t="n">
        <v>0</v>
      </c>
      <c r="AK3751" s="182" t="n">
        <v>7.62</v>
      </c>
      <c r="AL3751" s="182" t="n">
        <v>0</v>
      </c>
      <c r="AM3751" s="182" t="n">
        <v>0.08</v>
      </c>
      <c r="AN3751" s="182" t="n">
        <v>0</v>
      </c>
    </row>
    <row r="3752">
      <c r="A3752" s="155" t="n">
        <v>46099</v>
      </c>
      <c r="B3752" s="156" t="inlineStr">
        <is>
          <t>DS</t>
        </is>
      </c>
      <c r="C3752" s="156" t="inlineStr">
        <is>
          <t>CP-041</t>
        </is>
      </c>
      <c r="D3752" s="156" t="inlineStr">
        <is>
          <t>SANY - Compactor</t>
        </is>
      </c>
      <c r="E3752" s="156" t="inlineStr">
        <is>
          <t>Compactor</t>
        </is>
      </c>
      <c r="F3752" s="156" t="inlineStr"/>
      <c r="G3752" s="182" t="n">
        <v>0</v>
      </c>
      <c r="H3752" s="182" t="n">
        <v>0</v>
      </c>
      <c r="I3752" s="182" t="n">
        <v>1.72</v>
      </c>
      <c r="J3752" s="182" t="n">
        <v>1.72</v>
      </c>
      <c r="K3752" s="182" t="n">
        <v>10.28</v>
      </c>
      <c r="L3752" s="182" t="n">
        <v>12</v>
      </c>
      <c r="M3752" s="182" t="n">
        <v>0</v>
      </c>
      <c r="N3752" s="182" t="n">
        <v>0</v>
      </c>
      <c r="O3752" s="183" t="n">
        <v>0</v>
      </c>
      <c r="P3752" s="183" t="n">
        <v>0</v>
      </c>
      <c r="Q3752" s="184" t="n">
        <v>0</v>
      </c>
      <c r="R3752" s="184" t="n">
        <v>0</v>
      </c>
      <c r="S3752" s="183" t="n">
        <v>0</v>
      </c>
      <c r="T3752" s="183" t="n">
        <v>0</v>
      </c>
      <c r="U3752" s="182" t="n">
        <v>0</v>
      </c>
      <c r="V3752" s="182" t="n">
        <v>0</v>
      </c>
      <c r="W3752" s="182" t="n">
        <v>0</v>
      </c>
      <c r="X3752" s="182" t="n">
        <v>1</v>
      </c>
      <c r="Y3752" s="182" t="n">
        <v>0</v>
      </c>
      <c r="Z3752" s="182" t="n">
        <v>0</v>
      </c>
      <c r="AA3752" s="182" t="n">
        <v>0</v>
      </c>
      <c r="AB3752" s="182" t="n">
        <v>0</v>
      </c>
      <c r="AC3752" s="182" t="n">
        <v>0</v>
      </c>
      <c r="AD3752" s="182" t="n">
        <v>0</v>
      </c>
      <c r="AE3752" s="182" t="n">
        <v>0</v>
      </c>
      <c r="AF3752" s="182" t="n">
        <v>0</v>
      </c>
      <c r="AG3752" s="182" t="n">
        <v>0</v>
      </c>
      <c r="AH3752" s="182" t="n">
        <v>0</v>
      </c>
      <c r="AI3752" s="182" t="n">
        <v>0</v>
      </c>
      <c r="AJ3752" s="182" t="n">
        <v>0</v>
      </c>
      <c r="AK3752" s="182" t="n">
        <v>9.199999999999999</v>
      </c>
      <c r="AL3752" s="182" t="n">
        <v>0</v>
      </c>
      <c r="AM3752" s="182" t="n">
        <v>0.08</v>
      </c>
      <c r="AN3752" s="182" t="n">
        <v>0</v>
      </c>
    </row>
    <row r="3753">
      <c r="A3753" s="155" t="n">
        <v>46099</v>
      </c>
      <c r="B3753" s="156" t="inlineStr">
        <is>
          <t>DS</t>
        </is>
      </c>
      <c r="C3753" s="156" t="inlineStr">
        <is>
          <t>HT-418</t>
        </is>
      </c>
      <c r="D3753" s="156" t="inlineStr">
        <is>
          <t>SY430</t>
        </is>
      </c>
      <c r="E3753" s="156" t="inlineStr">
        <is>
          <t>DT Hauling</t>
        </is>
      </c>
      <c r="F3753" s="156" t="inlineStr"/>
      <c r="G3753" s="182" t="n">
        <v>0</v>
      </c>
      <c r="H3753" s="182" t="n">
        <v>0</v>
      </c>
      <c r="I3753" s="182" t="n">
        <v>0</v>
      </c>
      <c r="J3753" s="182" t="n">
        <v>0</v>
      </c>
      <c r="K3753" s="182" t="n">
        <v>12</v>
      </c>
      <c r="L3753" s="182" t="n">
        <v>12</v>
      </c>
      <c r="M3753" s="182" t="n">
        <v>0</v>
      </c>
      <c r="N3753" s="182" t="n">
        <v>0</v>
      </c>
      <c r="O3753" s="183" t="n">
        <v>0</v>
      </c>
      <c r="P3753" s="183" t="n">
        <v>0</v>
      </c>
      <c r="Q3753" s="184" t="n">
        <v>0</v>
      </c>
      <c r="R3753" s="184" t="n">
        <v>0</v>
      </c>
      <c r="S3753" s="183" t="n">
        <v>0</v>
      </c>
      <c r="T3753" s="183" t="n">
        <v>0</v>
      </c>
      <c r="U3753" s="182" t="n">
        <v>0</v>
      </c>
      <c r="V3753" s="182" t="n">
        <v>0</v>
      </c>
      <c r="W3753" s="182" t="n">
        <v>0</v>
      </c>
      <c r="X3753" s="182" t="n">
        <v>1</v>
      </c>
      <c r="Y3753" s="182" t="n">
        <v>0</v>
      </c>
      <c r="Z3753" s="182" t="n">
        <v>0</v>
      </c>
      <c r="AA3753" s="182" t="n">
        <v>0</v>
      </c>
      <c r="AB3753" s="182" t="n">
        <v>0</v>
      </c>
      <c r="AC3753" s="182" t="n">
        <v>0</v>
      </c>
      <c r="AD3753" s="182" t="n">
        <v>0</v>
      </c>
      <c r="AE3753" s="182" t="n">
        <v>0</v>
      </c>
      <c r="AF3753" s="182" t="n">
        <v>0</v>
      </c>
      <c r="AG3753" s="182" t="n">
        <v>0</v>
      </c>
      <c r="AH3753" s="182" t="n">
        <v>0</v>
      </c>
      <c r="AI3753" s="182" t="n">
        <v>0</v>
      </c>
      <c r="AJ3753" s="182" t="n">
        <v>0</v>
      </c>
      <c r="AK3753" s="182" t="n">
        <v>10.92</v>
      </c>
      <c r="AL3753" s="182" t="n">
        <v>0</v>
      </c>
      <c r="AM3753" s="182" t="n">
        <v>0.08</v>
      </c>
      <c r="AN3753" s="182" t="n">
        <v>0</v>
      </c>
    </row>
    <row r="3754">
      <c r="A3754" s="155" t="n">
        <v>46099</v>
      </c>
      <c r="B3754" s="156" t="inlineStr">
        <is>
          <t>DS</t>
        </is>
      </c>
      <c r="C3754" s="156" t="inlineStr">
        <is>
          <t>HT-404</t>
        </is>
      </c>
      <c r="D3754" s="156" t="inlineStr">
        <is>
          <t>SY430</t>
        </is>
      </c>
      <c r="E3754" s="156" t="inlineStr">
        <is>
          <t>DT Hauling</t>
        </is>
      </c>
      <c r="F3754" s="156" t="inlineStr"/>
      <c r="G3754" s="182" t="n">
        <v>0</v>
      </c>
      <c r="H3754" s="182" t="n">
        <v>0</v>
      </c>
      <c r="I3754" s="182" t="n">
        <v>0</v>
      </c>
      <c r="J3754" s="182" t="n">
        <v>0</v>
      </c>
      <c r="K3754" s="182" t="n">
        <v>12</v>
      </c>
      <c r="L3754" s="182" t="n">
        <v>12</v>
      </c>
      <c r="M3754" s="182" t="n">
        <v>0</v>
      </c>
      <c r="N3754" s="182" t="n">
        <v>0</v>
      </c>
      <c r="O3754" s="183" t="n">
        <v>0</v>
      </c>
      <c r="P3754" s="183" t="n">
        <v>0</v>
      </c>
      <c r="Q3754" s="184" t="n">
        <v>0</v>
      </c>
      <c r="R3754" s="184" t="n">
        <v>0</v>
      </c>
      <c r="S3754" s="183" t="n">
        <v>0</v>
      </c>
      <c r="T3754" s="183" t="n">
        <v>0</v>
      </c>
      <c r="U3754" s="182" t="n">
        <v>0</v>
      </c>
      <c r="V3754" s="182" t="n">
        <v>0</v>
      </c>
      <c r="W3754" s="182" t="n">
        <v>0</v>
      </c>
      <c r="X3754" s="182" t="n">
        <v>1</v>
      </c>
      <c r="Y3754" s="182" t="n">
        <v>0</v>
      </c>
      <c r="Z3754" s="182" t="n">
        <v>0</v>
      </c>
      <c r="AA3754" s="182" t="n">
        <v>0</v>
      </c>
      <c r="AB3754" s="182" t="n">
        <v>0</v>
      </c>
      <c r="AC3754" s="182" t="n">
        <v>0</v>
      </c>
      <c r="AD3754" s="182" t="n">
        <v>0</v>
      </c>
      <c r="AE3754" s="182" t="n">
        <v>0</v>
      </c>
      <c r="AF3754" s="182" t="n">
        <v>0</v>
      </c>
      <c r="AG3754" s="182" t="n">
        <v>0</v>
      </c>
      <c r="AH3754" s="182" t="n">
        <v>0</v>
      </c>
      <c r="AI3754" s="182" t="n">
        <v>0</v>
      </c>
      <c r="AJ3754" s="182" t="n">
        <v>0</v>
      </c>
      <c r="AK3754" s="182" t="n">
        <v>10.92</v>
      </c>
      <c r="AL3754" s="182" t="n">
        <v>0</v>
      </c>
      <c r="AM3754" s="182" t="n">
        <v>0.08</v>
      </c>
      <c r="AN3754" s="182" t="n">
        <v>0</v>
      </c>
    </row>
    <row r="3755">
      <c r="A3755" s="155" t="n">
        <v>46099</v>
      </c>
      <c r="B3755" s="156" t="inlineStr">
        <is>
          <t>DS</t>
        </is>
      </c>
      <c r="C3755" s="156" t="inlineStr">
        <is>
          <t>HT-415</t>
        </is>
      </c>
      <c r="D3755" s="156" t="inlineStr">
        <is>
          <t>SY430</t>
        </is>
      </c>
      <c r="E3755" s="156" t="inlineStr">
        <is>
          <t>DT Hauling</t>
        </is>
      </c>
      <c r="F3755" s="156" t="inlineStr"/>
      <c r="G3755" s="182" t="n">
        <v>0</v>
      </c>
      <c r="H3755" s="182" t="n">
        <v>0</v>
      </c>
      <c r="I3755" s="182" t="n">
        <v>12</v>
      </c>
      <c r="J3755" s="182" t="n">
        <v>12</v>
      </c>
      <c r="K3755" s="182" t="n">
        <v>0</v>
      </c>
      <c r="L3755" s="182" t="n">
        <v>12</v>
      </c>
      <c r="M3755" s="182" t="n">
        <v>0</v>
      </c>
      <c r="N3755" s="182" t="n">
        <v>0</v>
      </c>
      <c r="O3755" s="183" t="n">
        <v>0</v>
      </c>
      <c r="P3755" s="183" t="n">
        <v>0</v>
      </c>
      <c r="Q3755" s="184" t="n">
        <v>0</v>
      </c>
      <c r="R3755" s="184" t="n">
        <v>0</v>
      </c>
      <c r="S3755" s="183" t="n">
        <v>0</v>
      </c>
      <c r="T3755" s="183" t="n">
        <v>0</v>
      </c>
      <c r="U3755" s="182" t="n">
        <v>0</v>
      </c>
      <c r="V3755" s="182" t="n">
        <v>0</v>
      </c>
      <c r="W3755" s="182" t="n">
        <v>0</v>
      </c>
      <c r="X3755" s="182" t="n">
        <v>0</v>
      </c>
      <c r="Y3755" s="182" t="n">
        <v>0</v>
      </c>
      <c r="Z3755" s="182" t="n">
        <v>0</v>
      </c>
      <c r="AA3755" s="182" t="n">
        <v>0</v>
      </c>
      <c r="AB3755" s="182" t="n">
        <v>0</v>
      </c>
      <c r="AC3755" s="182" t="n">
        <v>0</v>
      </c>
      <c r="AD3755" s="182" t="n">
        <v>0</v>
      </c>
      <c r="AE3755" s="182" t="n">
        <v>0</v>
      </c>
      <c r="AF3755" s="182" t="n">
        <v>0</v>
      </c>
      <c r="AG3755" s="182" t="n">
        <v>0</v>
      </c>
      <c r="AH3755" s="182" t="n">
        <v>0</v>
      </c>
      <c r="AI3755" s="182" t="n">
        <v>0</v>
      </c>
      <c r="AJ3755" s="182" t="n">
        <v>0</v>
      </c>
      <c r="AK3755" s="182" t="n">
        <v>0</v>
      </c>
      <c r="AL3755" s="182" t="n">
        <v>0</v>
      </c>
      <c r="AM3755" s="182" t="n">
        <v>0</v>
      </c>
      <c r="AN3755" s="182" t="n">
        <v>0</v>
      </c>
    </row>
    <row r="3756">
      <c r="A3756" s="155" t="n">
        <v>46099</v>
      </c>
      <c r="B3756" s="156" t="inlineStr">
        <is>
          <t>DS</t>
        </is>
      </c>
      <c r="C3756" s="156" t="inlineStr">
        <is>
          <t>HT-406</t>
        </is>
      </c>
      <c r="D3756" s="156" t="inlineStr">
        <is>
          <t>SY430</t>
        </is>
      </c>
      <c r="E3756" s="156" t="inlineStr">
        <is>
          <t>DT Hauling</t>
        </is>
      </c>
      <c r="F3756" s="156" t="inlineStr"/>
      <c r="G3756" s="182" t="n">
        <v>0</v>
      </c>
      <c r="H3756" s="182" t="n">
        <v>0</v>
      </c>
      <c r="I3756" s="182" t="n">
        <v>12</v>
      </c>
      <c r="J3756" s="182" t="n">
        <v>12</v>
      </c>
      <c r="K3756" s="182" t="n">
        <v>0</v>
      </c>
      <c r="L3756" s="182" t="n">
        <v>12</v>
      </c>
      <c r="M3756" s="182" t="n">
        <v>0</v>
      </c>
      <c r="N3756" s="182" t="n">
        <v>0</v>
      </c>
      <c r="O3756" s="183" t="n">
        <v>0</v>
      </c>
      <c r="P3756" s="183" t="n">
        <v>0</v>
      </c>
      <c r="Q3756" s="184" t="n">
        <v>0</v>
      </c>
      <c r="R3756" s="184" t="n">
        <v>0</v>
      </c>
      <c r="S3756" s="183" t="n">
        <v>0</v>
      </c>
      <c r="T3756" s="183" t="n">
        <v>0</v>
      </c>
      <c r="U3756" s="182" t="n">
        <v>0</v>
      </c>
      <c r="V3756" s="182" t="n">
        <v>0</v>
      </c>
      <c r="W3756" s="182" t="n">
        <v>0</v>
      </c>
      <c r="X3756" s="182" t="n">
        <v>0</v>
      </c>
      <c r="Y3756" s="182" t="n">
        <v>0</v>
      </c>
      <c r="Z3756" s="182" t="n">
        <v>0</v>
      </c>
      <c r="AA3756" s="182" t="n">
        <v>0</v>
      </c>
      <c r="AB3756" s="182" t="n">
        <v>0</v>
      </c>
      <c r="AC3756" s="182" t="n">
        <v>0</v>
      </c>
      <c r="AD3756" s="182" t="n">
        <v>0</v>
      </c>
      <c r="AE3756" s="182" t="n">
        <v>0</v>
      </c>
      <c r="AF3756" s="182" t="n">
        <v>0</v>
      </c>
      <c r="AG3756" s="182" t="n">
        <v>0</v>
      </c>
      <c r="AH3756" s="182" t="n">
        <v>0</v>
      </c>
      <c r="AI3756" s="182" t="n">
        <v>0</v>
      </c>
      <c r="AJ3756" s="182" t="n">
        <v>0</v>
      </c>
      <c r="AK3756" s="182" t="n">
        <v>0</v>
      </c>
      <c r="AL3756" s="182" t="n">
        <v>0</v>
      </c>
      <c r="AM3756" s="182" t="n">
        <v>0</v>
      </c>
      <c r="AN3756" s="182" t="n">
        <v>0</v>
      </c>
    </row>
    <row r="3757">
      <c r="A3757" s="155" t="n">
        <v>46099</v>
      </c>
      <c r="B3757" s="156" t="inlineStr">
        <is>
          <t>DS</t>
        </is>
      </c>
      <c r="C3757" s="156" t="inlineStr">
        <is>
          <t>HT-405</t>
        </is>
      </c>
      <c r="D3757" s="156" t="inlineStr">
        <is>
          <t>SY430</t>
        </is>
      </c>
      <c r="E3757" s="156" t="inlineStr">
        <is>
          <t>DT Hauling</t>
        </is>
      </c>
      <c r="F3757" s="156" t="inlineStr"/>
      <c r="G3757" s="182" t="n">
        <v>0</v>
      </c>
      <c r="H3757" s="182" t="n">
        <v>0</v>
      </c>
      <c r="I3757" s="182" t="n">
        <v>0</v>
      </c>
      <c r="J3757" s="182" t="n">
        <v>0</v>
      </c>
      <c r="K3757" s="182" t="n">
        <v>12</v>
      </c>
      <c r="L3757" s="182" t="n">
        <v>12</v>
      </c>
      <c r="M3757" s="182" t="n">
        <v>0</v>
      </c>
      <c r="N3757" s="182" t="n">
        <v>0</v>
      </c>
      <c r="O3757" s="183" t="n">
        <v>0</v>
      </c>
      <c r="P3757" s="183" t="n">
        <v>0</v>
      </c>
      <c r="Q3757" s="184" t="n">
        <v>0</v>
      </c>
      <c r="R3757" s="184" t="n">
        <v>0</v>
      </c>
      <c r="S3757" s="183" t="n">
        <v>0</v>
      </c>
      <c r="T3757" s="183" t="n">
        <v>0</v>
      </c>
      <c r="U3757" s="182" t="n">
        <v>0</v>
      </c>
      <c r="V3757" s="182" t="n">
        <v>0</v>
      </c>
      <c r="W3757" s="182" t="n">
        <v>0</v>
      </c>
      <c r="X3757" s="182" t="n">
        <v>1</v>
      </c>
      <c r="Y3757" s="182" t="n">
        <v>0</v>
      </c>
      <c r="Z3757" s="182" t="n">
        <v>0</v>
      </c>
      <c r="AA3757" s="182" t="n">
        <v>0</v>
      </c>
      <c r="AB3757" s="182" t="n">
        <v>0</v>
      </c>
      <c r="AC3757" s="182" t="n">
        <v>0</v>
      </c>
      <c r="AD3757" s="182" t="n">
        <v>0</v>
      </c>
      <c r="AE3757" s="182" t="n">
        <v>0</v>
      </c>
      <c r="AF3757" s="182" t="n">
        <v>0</v>
      </c>
      <c r="AG3757" s="182" t="n">
        <v>0</v>
      </c>
      <c r="AH3757" s="182" t="n">
        <v>0</v>
      </c>
      <c r="AI3757" s="182" t="n">
        <v>0</v>
      </c>
      <c r="AJ3757" s="182" t="n">
        <v>0</v>
      </c>
      <c r="AK3757" s="182" t="n">
        <v>10.92</v>
      </c>
      <c r="AL3757" s="182" t="n">
        <v>0</v>
      </c>
      <c r="AM3757" s="182" t="n">
        <v>0.08</v>
      </c>
      <c r="AN3757" s="182" t="n">
        <v>0</v>
      </c>
    </row>
    <row r="3758">
      <c r="A3758" s="155" t="n">
        <v>46099</v>
      </c>
      <c r="B3758" s="156" t="inlineStr">
        <is>
          <t>DS</t>
        </is>
      </c>
      <c r="C3758" s="156" t="inlineStr">
        <is>
          <t>HT-417</t>
        </is>
      </c>
      <c r="D3758" s="156" t="inlineStr">
        <is>
          <t>SY430</t>
        </is>
      </c>
      <c r="E3758" s="156" t="inlineStr">
        <is>
          <t>DT Hauling</t>
        </is>
      </c>
      <c r="F3758" s="156" t="inlineStr"/>
      <c r="G3758" s="182" t="n">
        <v>0</v>
      </c>
      <c r="H3758" s="182" t="n">
        <v>0</v>
      </c>
      <c r="I3758" s="182" t="n">
        <v>12</v>
      </c>
      <c r="J3758" s="182" t="n">
        <v>12</v>
      </c>
      <c r="K3758" s="182" t="n">
        <v>0</v>
      </c>
      <c r="L3758" s="182" t="n">
        <v>12</v>
      </c>
      <c r="M3758" s="182" t="n">
        <v>0</v>
      </c>
      <c r="N3758" s="182" t="n">
        <v>0</v>
      </c>
      <c r="O3758" s="183" t="n">
        <v>0</v>
      </c>
      <c r="P3758" s="183" t="n">
        <v>0</v>
      </c>
      <c r="Q3758" s="184" t="n">
        <v>0</v>
      </c>
      <c r="R3758" s="184" t="n">
        <v>0</v>
      </c>
      <c r="S3758" s="183" t="n">
        <v>0</v>
      </c>
      <c r="T3758" s="183" t="n">
        <v>0</v>
      </c>
      <c r="U3758" s="182" t="n">
        <v>0</v>
      </c>
      <c r="V3758" s="182" t="n">
        <v>0</v>
      </c>
      <c r="W3758" s="182" t="n">
        <v>0</v>
      </c>
      <c r="X3758" s="182" t="n">
        <v>0</v>
      </c>
      <c r="Y3758" s="182" t="n">
        <v>0</v>
      </c>
      <c r="Z3758" s="182" t="n">
        <v>0</v>
      </c>
      <c r="AA3758" s="182" t="n">
        <v>0</v>
      </c>
      <c r="AB3758" s="182" t="n">
        <v>0</v>
      </c>
      <c r="AC3758" s="182" t="n">
        <v>0</v>
      </c>
      <c r="AD3758" s="182" t="n">
        <v>0</v>
      </c>
      <c r="AE3758" s="182" t="n">
        <v>0</v>
      </c>
      <c r="AF3758" s="182" t="n">
        <v>0</v>
      </c>
      <c r="AG3758" s="182" t="n">
        <v>0</v>
      </c>
      <c r="AH3758" s="182" t="n">
        <v>0</v>
      </c>
      <c r="AI3758" s="182" t="n">
        <v>0</v>
      </c>
      <c r="AJ3758" s="182" t="n">
        <v>0</v>
      </c>
      <c r="AK3758" s="182" t="n">
        <v>0</v>
      </c>
      <c r="AL3758" s="182" t="n">
        <v>0</v>
      </c>
      <c r="AM3758" s="182" t="n">
        <v>0</v>
      </c>
      <c r="AN3758" s="182" t="n">
        <v>0</v>
      </c>
    </row>
    <row r="3759">
      <c r="A3759" s="155" t="n">
        <v>46099</v>
      </c>
      <c r="B3759" s="156" t="inlineStr">
        <is>
          <t>DS</t>
        </is>
      </c>
      <c r="C3759" s="156" t="inlineStr">
        <is>
          <t>HT-401</t>
        </is>
      </c>
      <c r="D3759" s="156" t="inlineStr">
        <is>
          <t>SY430</t>
        </is>
      </c>
      <c r="E3759" s="156" t="inlineStr">
        <is>
          <t>DT Hauling</t>
        </is>
      </c>
      <c r="F3759" s="156" t="inlineStr"/>
      <c r="G3759" s="182" t="n">
        <v>0</v>
      </c>
      <c r="H3759" s="182" t="n">
        <v>0</v>
      </c>
      <c r="I3759" s="182" t="n">
        <v>0</v>
      </c>
      <c r="J3759" s="182" t="n">
        <v>0</v>
      </c>
      <c r="K3759" s="182" t="n">
        <v>12</v>
      </c>
      <c r="L3759" s="182" t="n">
        <v>12</v>
      </c>
      <c r="M3759" s="182" t="n">
        <v>0</v>
      </c>
      <c r="N3759" s="182" t="n">
        <v>0</v>
      </c>
      <c r="O3759" s="183" t="n">
        <v>0</v>
      </c>
      <c r="P3759" s="183" t="n">
        <v>0</v>
      </c>
      <c r="Q3759" s="184" t="n">
        <v>0</v>
      </c>
      <c r="R3759" s="184" t="n">
        <v>0</v>
      </c>
      <c r="S3759" s="183" t="n">
        <v>0</v>
      </c>
      <c r="T3759" s="183" t="n">
        <v>0</v>
      </c>
      <c r="U3759" s="182" t="n">
        <v>0</v>
      </c>
      <c r="V3759" s="182" t="n">
        <v>0</v>
      </c>
      <c r="W3759" s="182" t="n">
        <v>0</v>
      </c>
      <c r="X3759" s="182" t="n">
        <v>1</v>
      </c>
      <c r="Y3759" s="182" t="n">
        <v>0</v>
      </c>
      <c r="Z3759" s="182" t="n">
        <v>0</v>
      </c>
      <c r="AA3759" s="182" t="n">
        <v>0</v>
      </c>
      <c r="AB3759" s="182" t="n">
        <v>0</v>
      </c>
      <c r="AC3759" s="182" t="n">
        <v>0</v>
      </c>
      <c r="AD3759" s="182" t="n">
        <v>0</v>
      </c>
      <c r="AE3759" s="182" t="n">
        <v>0</v>
      </c>
      <c r="AF3759" s="182" t="n">
        <v>0</v>
      </c>
      <c r="AG3759" s="182" t="n">
        <v>0</v>
      </c>
      <c r="AH3759" s="182" t="n">
        <v>0</v>
      </c>
      <c r="AI3759" s="182" t="n">
        <v>0</v>
      </c>
      <c r="AJ3759" s="182" t="n">
        <v>0</v>
      </c>
      <c r="AK3759" s="182" t="n">
        <v>10.92</v>
      </c>
      <c r="AL3759" s="182" t="n">
        <v>0</v>
      </c>
      <c r="AM3759" s="182" t="n">
        <v>0.08</v>
      </c>
      <c r="AN3759" s="182" t="n">
        <v>0</v>
      </c>
    </row>
    <row r="3760">
      <c r="A3760" s="155" t="n">
        <v>46099</v>
      </c>
      <c r="B3760" s="156" t="inlineStr">
        <is>
          <t>DS</t>
        </is>
      </c>
      <c r="C3760" s="156" t="inlineStr">
        <is>
          <t>HT-410</t>
        </is>
      </c>
      <c r="D3760" s="156" t="inlineStr">
        <is>
          <t>SY430</t>
        </is>
      </c>
      <c r="E3760" s="156" t="inlineStr">
        <is>
          <t>DT Hauling</t>
        </is>
      </c>
      <c r="F3760" s="156" t="inlineStr"/>
      <c r="G3760" s="182" t="n">
        <v>0</v>
      </c>
      <c r="H3760" s="182" t="n">
        <v>0</v>
      </c>
      <c r="I3760" s="182" t="n">
        <v>0</v>
      </c>
      <c r="J3760" s="182" t="n">
        <v>0</v>
      </c>
      <c r="K3760" s="182" t="n">
        <v>12</v>
      </c>
      <c r="L3760" s="182" t="n">
        <v>12</v>
      </c>
      <c r="M3760" s="182" t="n">
        <v>0</v>
      </c>
      <c r="N3760" s="182" t="n">
        <v>0</v>
      </c>
      <c r="O3760" s="183" t="n">
        <v>0</v>
      </c>
      <c r="P3760" s="183" t="n">
        <v>0</v>
      </c>
      <c r="Q3760" s="184" t="n">
        <v>0</v>
      </c>
      <c r="R3760" s="184" t="n">
        <v>0</v>
      </c>
      <c r="S3760" s="183" t="n">
        <v>0</v>
      </c>
      <c r="T3760" s="183" t="n">
        <v>0</v>
      </c>
      <c r="U3760" s="182" t="n">
        <v>0</v>
      </c>
      <c r="V3760" s="182" t="n">
        <v>0</v>
      </c>
      <c r="W3760" s="182" t="n">
        <v>0</v>
      </c>
      <c r="X3760" s="182" t="n">
        <v>1</v>
      </c>
      <c r="Y3760" s="182" t="n">
        <v>0</v>
      </c>
      <c r="Z3760" s="182" t="n">
        <v>0</v>
      </c>
      <c r="AA3760" s="182" t="n">
        <v>0</v>
      </c>
      <c r="AB3760" s="182" t="n">
        <v>0</v>
      </c>
      <c r="AC3760" s="182" t="n">
        <v>0</v>
      </c>
      <c r="AD3760" s="182" t="n">
        <v>0</v>
      </c>
      <c r="AE3760" s="182" t="n">
        <v>0</v>
      </c>
      <c r="AF3760" s="182" t="n">
        <v>0</v>
      </c>
      <c r="AG3760" s="182" t="n">
        <v>0</v>
      </c>
      <c r="AH3760" s="182" t="n">
        <v>0</v>
      </c>
      <c r="AI3760" s="182" t="n">
        <v>0</v>
      </c>
      <c r="AJ3760" s="182" t="n">
        <v>0</v>
      </c>
      <c r="AK3760" s="182" t="n">
        <v>10.92</v>
      </c>
      <c r="AL3760" s="182" t="n">
        <v>0</v>
      </c>
      <c r="AM3760" s="182" t="n">
        <v>0.08</v>
      </c>
      <c r="AN3760" s="182" t="n">
        <v>0</v>
      </c>
    </row>
    <row r="3761">
      <c r="A3761" s="155" t="n">
        <v>46099</v>
      </c>
      <c r="B3761" s="156" t="inlineStr">
        <is>
          <t>DS</t>
        </is>
      </c>
      <c r="C3761" s="156" t="inlineStr">
        <is>
          <t>HT-402</t>
        </is>
      </c>
      <c r="D3761" s="156" t="inlineStr">
        <is>
          <t>SY430</t>
        </is>
      </c>
      <c r="E3761" s="156" t="inlineStr">
        <is>
          <t>DT Hauling</t>
        </is>
      </c>
      <c r="F3761" s="156" t="inlineStr"/>
      <c r="G3761" s="182" t="n">
        <v>0</v>
      </c>
      <c r="H3761" s="182" t="n">
        <v>0</v>
      </c>
      <c r="I3761" s="182" t="n">
        <v>0</v>
      </c>
      <c r="J3761" s="182" t="n">
        <v>0</v>
      </c>
      <c r="K3761" s="182" t="n">
        <v>12</v>
      </c>
      <c r="L3761" s="182" t="n">
        <v>12</v>
      </c>
      <c r="M3761" s="182" t="n">
        <v>0</v>
      </c>
      <c r="N3761" s="182" t="n">
        <v>0</v>
      </c>
      <c r="O3761" s="183" t="n">
        <v>0</v>
      </c>
      <c r="P3761" s="183" t="n">
        <v>0</v>
      </c>
      <c r="Q3761" s="184" t="n">
        <v>0</v>
      </c>
      <c r="R3761" s="184" t="n">
        <v>0</v>
      </c>
      <c r="S3761" s="183" t="n">
        <v>0</v>
      </c>
      <c r="T3761" s="183" t="n">
        <v>0</v>
      </c>
      <c r="U3761" s="182" t="n">
        <v>0</v>
      </c>
      <c r="V3761" s="182" t="n">
        <v>0</v>
      </c>
      <c r="W3761" s="182" t="n">
        <v>0</v>
      </c>
      <c r="X3761" s="182" t="n">
        <v>1</v>
      </c>
      <c r="Y3761" s="182" t="n">
        <v>0</v>
      </c>
      <c r="Z3761" s="182" t="n">
        <v>0</v>
      </c>
      <c r="AA3761" s="182" t="n">
        <v>0</v>
      </c>
      <c r="AB3761" s="182" t="n">
        <v>0</v>
      </c>
      <c r="AC3761" s="182" t="n">
        <v>0</v>
      </c>
      <c r="AD3761" s="182" t="n">
        <v>0</v>
      </c>
      <c r="AE3761" s="182" t="n">
        <v>0</v>
      </c>
      <c r="AF3761" s="182" t="n">
        <v>0</v>
      </c>
      <c r="AG3761" s="182" t="n">
        <v>0</v>
      </c>
      <c r="AH3761" s="182" t="n">
        <v>0</v>
      </c>
      <c r="AI3761" s="182" t="n">
        <v>0</v>
      </c>
      <c r="AJ3761" s="182" t="n">
        <v>0</v>
      </c>
      <c r="AK3761" s="182" t="n">
        <v>10.92</v>
      </c>
      <c r="AL3761" s="182" t="n">
        <v>0</v>
      </c>
      <c r="AM3761" s="182" t="n">
        <v>0.08</v>
      </c>
      <c r="AN3761" s="182" t="n">
        <v>0</v>
      </c>
    </row>
    <row r="3762">
      <c r="A3762" s="155" t="n">
        <v>46099</v>
      </c>
      <c r="B3762" s="156" t="inlineStr">
        <is>
          <t>DS</t>
        </is>
      </c>
      <c r="C3762" s="156" t="inlineStr">
        <is>
          <t>HT-419</t>
        </is>
      </c>
      <c r="D3762" s="156" t="inlineStr">
        <is>
          <t>SY430</t>
        </is>
      </c>
      <c r="E3762" s="156" t="inlineStr">
        <is>
          <t>DT Hauling</t>
        </is>
      </c>
      <c r="F3762" s="156" t="inlineStr"/>
      <c r="G3762" s="182" t="n">
        <v>0</v>
      </c>
      <c r="H3762" s="182" t="n">
        <v>0</v>
      </c>
      <c r="I3762" s="182" t="n">
        <v>0</v>
      </c>
      <c r="J3762" s="182" t="n">
        <v>0</v>
      </c>
      <c r="K3762" s="182" t="n">
        <v>12</v>
      </c>
      <c r="L3762" s="182" t="n">
        <v>12</v>
      </c>
      <c r="M3762" s="182" t="n">
        <v>0</v>
      </c>
      <c r="N3762" s="182" t="n">
        <v>0</v>
      </c>
      <c r="O3762" s="183" t="n">
        <v>0</v>
      </c>
      <c r="P3762" s="183" t="n">
        <v>0</v>
      </c>
      <c r="Q3762" s="184" t="n">
        <v>0</v>
      </c>
      <c r="R3762" s="184" t="n">
        <v>0</v>
      </c>
      <c r="S3762" s="183" t="n">
        <v>0</v>
      </c>
      <c r="T3762" s="183" t="n">
        <v>0</v>
      </c>
      <c r="U3762" s="182" t="n">
        <v>0</v>
      </c>
      <c r="V3762" s="182" t="n">
        <v>0</v>
      </c>
      <c r="W3762" s="182" t="n">
        <v>0</v>
      </c>
      <c r="X3762" s="182" t="n">
        <v>1</v>
      </c>
      <c r="Y3762" s="182" t="n">
        <v>0</v>
      </c>
      <c r="Z3762" s="182" t="n">
        <v>0</v>
      </c>
      <c r="AA3762" s="182" t="n">
        <v>0</v>
      </c>
      <c r="AB3762" s="182" t="n">
        <v>0</v>
      </c>
      <c r="AC3762" s="182" t="n">
        <v>0</v>
      </c>
      <c r="AD3762" s="182" t="n">
        <v>0</v>
      </c>
      <c r="AE3762" s="182" t="n">
        <v>0</v>
      </c>
      <c r="AF3762" s="182" t="n">
        <v>0</v>
      </c>
      <c r="AG3762" s="182" t="n">
        <v>0</v>
      </c>
      <c r="AH3762" s="182" t="n">
        <v>0</v>
      </c>
      <c r="AI3762" s="182" t="n">
        <v>0</v>
      </c>
      <c r="AJ3762" s="182" t="n">
        <v>0</v>
      </c>
      <c r="AK3762" s="182" t="n">
        <v>10.92</v>
      </c>
      <c r="AL3762" s="182" t="n">
        <v>0</v>
      </c>
      <c r="AM3762" s="182" t="n">
        <v>0.08</v>
      </c>
      <c r="AN3762" s="182" t="n">
        <v>0</v>
      </c>
    </row>
    <row r="3763">
      <c r="A3763" s="155" t="n">
        <v>46099</v>
      </c>
      <c r="B3763" s="156" t="inlineStr">
        <is>
          <t>DS</t>
        </is>
      </c>
      <c r="C3763" s="156" t="inlineStr">
        <is>
          <t>HT-416</t>
        </is>
      </c>
      <c r="D3763" s="156" t="inlineStr">
        <is>
          <t>SY430</t>
        </is>
      </c>
      <c r="E3763" s="156" t="inlineStr">
        <is>
          <t>DT Hauling</t>
        </is>
      </c>
      <c r="F3763" s="156" t="inlineStr"/>
      <c r="G3763" s="182" t="n">
        <v>0</v>
      </c>
      <c r="H3763" s="182" t="n">
        <v>0</v>
      </c>
      <c r="I3763" s="182" t="n">
        <v>0</v>
      </c>
      <c r="J3763" s="182" t="n">
        <v>0</v>
      </c>
      <c r="K3763" s="182" t="n">
        <v>12</v>
      </c>
      <c r="L3763" s="182" t="n">
        <v>12</v>
      </c>
      <c r="M3763" s="182" t="n">
        <v>0</v>
      </c>
      <c r="N3763" s="182" t="n">
        <v>0</v>
      </c>
      <c r="O3763" s="183" t="n">
        <v>0</v>
      </c>
      <c r="P3763" s="183" t="n">
        <v>0</v>
      </c>
      <c r="Q3763" s="184" t="n">
        <v>0</v>
      </c>
      <c r="R3763" s="184" t="n">
        <v>0</v>
      </c>
      <c r="S3763" s="183" t="n">
        <v>0</v>
      </c>
      <c r="T3763" s="183" t="n">
        <v>0</v>
      </c>
      <c r="U3763" s="182" t="n">
        <v>0</v>
      </c>
      <c r="V3763" s="182" t="n">
        <v>0</v>
      </c>
      <c r="W3763" s="182" t="n">
        <v>0</v>
      </c>
      <c r="X3763" s="182" t="n">
        <v>1</v>
      </c>
      <c r="Y3763" s="182" t="n">
        <v>0</v>
      </c>
      <c r="Z3763" s="182" t="n">
        <v>0</v>
      </c>
      <c r="AA3763" s="182" t="n">
        <v>0</v>
      </c>
      <c r="AB3763" s="182" t="n">
        <v>0</v>
      </c>
      <c r="AC3763" s="182" t="n">
        <v>0</v>
      </c>
      <c r="AD3763" s="182" t="n">
        <v>0</v>
      </c>
      <c r="AE3763" s="182" t="n">
        <v>0</v>
      </c>
      <c r="AF3763" s="182" t="n">
        <v>0</v>
      </c>
      <c r="AG3763" s="182" t="n">
        <v>0</v>
      </c>
      <c r="AH3763" s="182" t="n">
        <v>0</v>
      </c>
      <c r="AI3763" s="182" t="n">
        <v>0</v>
      </c>
      <c r="AJ3763" s="182" t="n">
        <v>0</v>
      </c>
      <c r="AK3763" s="182" t="n">
        <v>10.92</v>
      </c>
      <c r="AL3763" s="182" t="n">
        <v>0</v>
      </c>
      <c r="AM3763" s="182" t="n">
        <v>0.08</v>
      </c>
      <c r="AN3763" s="182" t="n">
        <v>0</v>
      </c>
    </row>
    <row r="3764">
      <c r="A3764" s="155" t="n">
        <v>46099</v>
      </c>
      <c r="B3764" s="156" t="inlineStr">
        <is>
          <t>DS</t>
        </is>
      </c>
      <c r="C3764" s="156" t="inlineStr">
        <is>
          <t>HT-420</t>
        </is>
      </c>
      <c r="D3764" s="156" t="inlineStr">
        <is>
          <t>SY430</t>
        </is>
      </c>
      <c r="E3764" s="156" t="inlineStr">
        <is>
          <t>DT Hauling</t>
        </is>
      </c>
      <c r="F3764" s="156" t="inlineStr"/>
      <c r="G3764" s="182" t="n">
        <v>0</v>
      </c>
      <c r="H3764" s="182" t="n">
        <v>0</v>
      </c>
      <c r="I3764" s="182" t="n">
        <v>0</v>
      </c>
      <c r="J3764" s="182" t="n">
        <v>0</v>
      </c>
      <c r="K3764" s="182" t="n">
        <v>12</v>
      </c>
      <c r="L3764" s="182" t="n">
        <v>12</v>
      </c>
      <c r="M3764" s="182" t="n">
        <v>0</v>
      </c>
      <c r="N3764" s="182" t="n">
        <v>0</v>
      </c>
      <c r="O3764" s="183" t="n">
        <v>0</v>
      </c>
      <c r="P3764" s="183" t="n">
        <v>0</v>
      </c>
      <c r="Q3764" s="184" t="n">
        <v>0</v>
      </c>
      <c r="R3764" s="184" t="n">
        <v>0</v>
      </c>
      <c r="S3764" s="183" t="n">
        <v>0</v>
      </c>
      <c r="T3764" s="183" t="n">
        <v>0</v>
      </c>
      <c r="U3764" s="182" t="n">
        <v>0</v>
      </c>
      <c r="V3764" s="182" t="n">
        <v>0</v>
      </c>
      <c r="W3764" s="182" t="n">
        <v>0</v>
      </c>
      <c r="X3764" s="182" t="n">
        <v>1</v>
      </c>
      <c r="Y3764" s="182" t="n">
        <v>0</v>
      </c>
      <c r="Z3764" s="182" t="n">
        <v>0</v>
      </c>
      <c r="AA3764" s="182" t="n">
        <v>0</v>
      </c>
      <c r="AB3764" s="182" t="n">
        <v>0</v>
      </c>
      <c r="AC3764" s="182" t="n">
        <v>0</v>
      </c>
      <c r="AD3764" s="182" t="n">
        <v>0</v>
      </c>
      <c r="AE3764" s="182" t="n">
        <v>0</v>
      </c>
      <c r="AF3764" s="182" t="n">
        <v>0</v>
      </c>
      <c r="AG3764" s="182" t="n">
        <v>0</v>
      </c>
      <c r="AH3764" s="182" t="n">
        <v>0</v>
      </c>
      <c r="AI3764" s="182" t="n">
        <v>0</v>
      </c>
      <c r="AJ3764" s="182" t="n">
        <v>0</v>
      </c>
      <c r="AK3764" s="182" t="n">
        <v>10.92</v>
      </c>
      <c r="AL3764" s="182" t="n">
        <v>0</v>
      </c>
      <c r="AM3764" s="182" t="n">
        <v>0.08</v>
      </c>
      <c r="AN3764" s="182" t="n">
        <v>0</v>
      </c>
    </row>
    <row r="3765">
      <c r="A3765" s="155" t="n">
        <v>46099</v>
      </c>
      <c r="B3765" s="156" t="inlineStr">
        <is>
          <t>DS</t>
        </is>
      </c>
      <c r="C3765" s="156" t="inlineStr">
        <is>
          <t>HT-403</t>
        </is>
      </c>
      <c r="D3765" s="156" t="inlineStr">
        <is>
          <t>SY430</t>
        </is>
      </c>
      <c r="E3765" s="156" t="inlineStr">
        <is>
          <t>DT Hauling</t>
        </is>
      </c>
      <c r="F3765" s="156" t="inlineStr"/>
      <c r="G3765" s="182" t="n">
        <v>0</v>
      </c>
      <c r="H3765" s="182" t="n">
        <v>0</v>
      </c>
      <c r="I3765" s="182" t="n">
        <v>0</v>
      </c>
      <c r="J3765" s="182" t="n">
        <v>0</v>
      </c>
      <c r="K3765" s="182" t="n">
        <v>12</v>
      </c>
      <c r="L3765" s="182" t="n">
        <v>12</v>
      </c>
      <c r="M3765" s="182" t="n">
        <v>0</v>
      </c>
      <c r="N3765" s="182" t="n">
        <v>0</v>
      </c>
      <c r="O3765" s="183" t="n">
        <v>0</v>
      </c>
      <c r="P3765" s="183" t="n">
        <v>0</v>
      </c>
      <c r="Q3765" s="184" t="n">
        <v>0</v>
      </c>
      <c r="R3765" s="184" t="n">
        <v>0</v>
      </c>
      <c r="S3765" s="183" t="n">
        <v>0</v>
      </c>
      <c r="T3765" s="183" t="n">
        <v>0</v>
      </c>
      <c r="U3765" s="182" t="n">
        <v>0</v>
      </c>
      <c r="V3765" s="182" t="n">
        <v>0</v>
      </c>
      <c r="W3765" s="182" t="n">
        <v>0</v>
      </c>
      <c r="X3765" s="182" t="n">
        <v>1</v>
      </c>
      <c r="Y3765" s="182" t="n">
        <v>0</v>
      </c>
      <c r="Z3765" s="182" t="n">
        <v>0</v>
      </c>
      <c r="AA3765" s="182" t="n">
        <v>0</v>
      </c>
      <c r="AB3765" s="182" t="n">
        <v>0</v>
      </c>
      <c r="AC3765" s="182" t="n">
        <v>0</v>
      </c>
      <c r="AD3765" s="182" t="n">
        <v>0</v>
      </c>
      <c r="AE3765" s="182" t="n">
        <v>0</v>
      </c>
      <c r="AF3765" s="182" t="n">
        <v>0</v>
      </c>
      <c r="AG3765" s="182" t="n">
        <v>0</v>
      </c>
      <c r="AH3765" s="182" t="n">
        <v>0</v>
      </c>
      <c r="AI3765" s="182" t="n">
        <v>0</v>
      </c>
      <c r="AJ3765" s="182" t="n">
        <v>0</v>
      </c>
      <c r="AK3765" s="182" t="n">
        <v>10.92</v>
      </c>
      <c r="AL3765" s="182" t="n">
        <v>0</v>
      </c>
      <c r="AM3765" s="182" t="n">
        <v>0.08</v>
      </c>
      <c r="AN3765" s="182" t="n">
        <v>0</v>
      </c>
    </row>
    <row r="3766">
      <c r="A3766" s="155" t="n">
        <v>46099</v>
      </c>
      <c r="B3766" s="156" t="inlineStr">
        <is>
          <t>DS</t>
        </is>
      </c>
      <c r="C3766" s="156" t="inlineStr">
        <is>
          <t>HT-408</t>
        </is>
      </c>
      <c r="D3766" s="156" t="inlineStr">
        <is>
          <t>SY430</t>
        </is>
      </c>
      <c r="E3766" s="156" t="inlineStr">
        <is>
          <t>DT Hauling</t>
        </is>
      </c>
      <c r="F3766" s="156" t="inlineStr"/>
      <c r="G3766" s="182" t="n">
        <v>0</v>
      </c>
      <c r="H3766" s="182" t="n">
        <v>0</v>
      </c>
      <c r="I3766" s="182" t="n">
        <v>0</v>
      </c>
      <c r="J3766" s="182" t="n">
        <v>0</v>
      </c>
      <c r="K3766" s="182" t="n">
        <v>12</v>
      </c>
      <c r="L3766" s="182" t="n">
        <v>12</v>
      </c>
      <c r="M3766" s="182" t="n">
        <v>0</v>
      </c>
      <c r="N3766" s="182" t="n">
        <v>0</v>
      </c>
      <c r="O3766" s="183" t="n">
        <v>0</v>
      </c>
      <c r="P3766" s="183" t="n">
        <v>0</v>
      </c>
      <c r="Q3766" s="184" t="n">
        <v>0</v>
      </c>
      <c r="R3766" s="184" t="n">
        <v>0</v>
      </c>
      <c r="S3766" s="183" t="n">
        <v>0</v>
      </c>
      <c r="T3766" s="183" t="n">
        <v>0</v>
      </c>
      <c r="U3766" s="182" t="n">
        <v>0</v>
      </c>
      <c r="V3766" s="182" t="n">
        <v>0</v>
      </c>
      <c r="W3766" s="182" t="n">
        <v>0</v>
      </c>
      <c r="X3766" s="182" t="n">
        <v>1</v>
      </c>
      <c r="Y3766" s="182" t="n">
        <v>0</v>
      </c>
      <c r="Z3766" s="182" t="n">
        <v>0</v>
      </c>
      <c r="AA3766" s="182" t="n">
        <v>0</v>
      </c>
      <c r="AB3766" s="182" t="n">
        <v>0</v>
      </c>
      <c r="AC3766" s="182" t="n">
        <v>0</v>
      </c>
      <c r="AD3766" s="182" t="n">
        <v>0</v>
      </c>
      <c r="AE3766" s="182" t="n">
        <v>0</v>
      </c>
      <c r="AF3766" s="182" t="n">
        <v>0</v>
      </c>
      <c r="AG3766" s="182" t="n">
        <v>0</v>
      </c>
      <c r="AH3766" s="182" t="n">
        <v>0</v>
      </c>
      <c r="AI3766" s="182" t="n">
        <v>0</v>
      </c>
      <c r="AJ3766" s="182" t="n">
        <v>0</v>
      </c>
      <c r="AK3766" s="182" t="n">
        <v>10.92</v>
      </c>
      <c r="AL3766" s="182" t="n">
        <v>0</v>
      </c>
      <c r="AM3766" s="182" t="n">
        <v>0.08</v>
      </c>
      <c r="AN3766" s="182" t="n">
        <v>0</v>
      </c>
    </row>
    <row r="3767">
      <c r="A3767" s="155" t="n">
        <v>46099</v>
      </c>
      <c r="B3767" s="156" t="inlineStr">
        <is>
          <t>DS</t>
        </is>
      </c>
      <c r="C3767" s="156" t="inlineStr">
        <is>
          <t>HT-412</t>
        </is>
      </c>
      <c r="D3767" s="156" t="inlineStr">
        <is>
          <t>SY430</t>
        </is>
      </c>
      <c r="E3767" s="156" t="inlineStr">
        <is>
          <t>DT Hauling</t>
        </is>
      </c>
      <c r="F3767" s="156" t="inlineStr"/>
      <c r="G3767" s="182" t="n">
        <v>0</v>
      </c>
      <c r="H3767" s="182" t="n">
        <v>0</v>
      </c>
      <c r="I3767" s="182" t="n">
        <v>1.23</v>
      </c>
      <c r="J3767" s="182" t="n">
        <v>1.23</v>
      </c>
      <c r="K3767" s="182" t="n">
        <v>10.77</v>
      </c>
      <c r="L3767" s="182" t="n">
        <v>12</v>
      </c>
      <c r="M3767" s="182" t="n">
        <v>0</v>
      </c>
      <c r="N3767" s="182" t="n">
        <v>0</v>
      </c>
      <c r="O3767" s="183" t="n">
        <v>0</v>
      </c>
      <c r="P3767" s="183" t="n">
        <v>0</v>
      </c>
      <c r="Q3767" s="184" t="n">
        <v>0</v>
      </c>
      <c r="R3767" s="184" t="n">
        <v>0</v>
      </c>
      <c r="S3767" s="183" t="n">
        <v>0</v>
      </c>
      <c r="T3767" s="183" t="n">
        <v>0</v>
      </c>
      <c r="U3767" s="182" t="n">
        <v>0</v>
      </c>
      <c r="V3767" s="182" t="n">
        <v>0</v>
      </c>
      <c r="W3767" s="182" t="n">
        <v>0</v>
      </c>
      <c r="X3767" s="182" t="n">
        <v>1</v>
      </c>
      <c r="Y3767" s="182" t="n">
        <v>0</v>
      </c>
      <c r="Z3767" s="182" t="n">
        <v>0</v>
      </c>
      <c r="AA3767" s="182" t="n">
        <v>0</v>
      </c>
      <c r="AB3767" s="182" t="n">
        <v>0</v>
      </c>
      <c r="AC3767" s="182" t="n">
        <v>0</v>
      </c>
      <c r="AD3767" s="182" t="n">
        <v>0</v>
      </c>
      <c r="AE3767" s="182" t="n">
        <v>0</v>
      </c>
      <c r="AF3767" s="182" t="n">
        <v>0</v>
      </c>
      <c r="AG3767" s="182" t="n">
        <v>0</v>
      </c>
      <c r="AH3767" s="182" t="n">
        <v>0</v>
      </c>
      <c r="AI3767" s="182" t="n">
        <v>0</v>
      </c>
      <c r="AJ3767" s="182" t="n">
        <v>0</v>
      </c>
      <c r="AK3767" s="182" t="n">
        <v>9.68</v>
      </c>
      <c r="AL3767" s="182" t="n">
        <v>0</v>
      </c>
      <c r="AM3767" s="182" t="n">
        <v>0.08</v>
      </c>
      <c r="AN3767" s="182" t="n">
        <v>0</v>
      </c>
    </row>
    <row r="3768">
      <c r="A3768" s="155" t="n">
        <v>46099</v>
      </c>
      <c r="B3768" s="156" t="inlineStr">
        <is>
          <t>DS</t>
        </is>
      </c>
      <c r="C3768" s="156" t="inlineStr">
        <is>
          <t>HT-413</t>
        </is>
      </c>
      <c r="D3768" s="156" t="inlineStr">
        <is>
          <t>SY430</t>
        </is>
      </c>
      <c r="E3768" s="156" t="inlineStr">
        <is>
          <t>DT Hauling</t>
        </is>
      </c>
      <c r="F3768" s="156" t="inlineStr"/>
      <c r="G3768" s="182" t="n">
        <v>0</v>
      </c>
      <c r="H3768" s="182" t="n">
        <v>0</v>
      </c>
      <c r="I3768" s="182" t="n">
        <v>12</v>
      </c>
      <c r="J3768" s="182" t="n">
        <v>12</v>
      </c>
      <c r="K3768" s="182" t="n">
        <v>0</v>
      </c>
      <c r="L3768" s="182" t="n">
        <v>12</v>
      </c>
      <c r="M3768" s="182" t="n">
        <v>0</v>
      </c>
      <c r="N3768" s="182" t="n">
        <v>0</v>
      </c>
      <c r="O3768" s="183" t="n">
        <v>0</v>
      </c>
      <c r="P3768" s="183" t="n">
        <v>0</v>
      </c>
      <c r="Q3768" s="184" t="n">
        <v>0</v>
      </c>
      <c r="R3768" s="184" t="n">
        <v>0</v>
      </c>
      <c r="S3768" s="183" t="n">
        <v>0</v>
      </c>
      <c r="T3768" s="183" t="n">
        <v>0</v>
      </c>
      <c r="U3768" s="182" t="n">
        <v>0</v>
      </c>
      <c r="V3768" s="182" t="n">
        <v>0</v>
      </c>
      <c r="W3768" s="182" t="n">
        <v>0</v>
      </c>
      <c r="X3768" s="182" t="n">
        <v>0</v>
      </c>
      <c r="Y3768" s="182" t="n">
        <v>0</v>
      </c>
      <c r="Z3768" s="182" t="n">
        <v>0</v>
      </c>
      <c r="AA3768" s="182" t="n">
        <v>0</v>
      </c>
      <c r="AB3768" s="182" t="n">
        <v>0</v>
      </c>
      <c r="AC3768" s="182" t="n">
        <v>0</v>
      </c>
      <c r="AD3768" s="182" t="n">
        <v>0</v>
      </c>
      <c r="AE3768" s="182" t="n">
        <v>0</v>
      </c>
      <c r="AF3768" s="182" t="n">
        <v>0</v>
      </c>
      <c r="AG3768" s="182" t="n">
        <v>0</v>
      </c>
      <c r="AH3768" s="182" t="n">
        <v>0</v>
      </c>
      <c r="AI3768" s="182" t="n">
        <v>0</v>
      </c>
      <c r="AJ3768" s="182" t="n">
        <v>0</v>
      </c>
      <c r="AK3768" s="182" t="n">
        <v>0</v>
      </c>
      <c r="AL3768" s="182" t="n">
        <v>0</v>
      </c>
      <c r="AM3768" s="182" t="n">
        <v>0</v>
      </c>
      <c r="AN3768" s="182" t="n">
        <v>0</v>
      </c>
    </row>
    <row r="3769">
      <c r="A3769" s="155" t="n">
        <v>46099</v>
      </c>
      <c r="B3769" s="156" t="inlineStr">
        <is>
          <t>DS</t>
        </is>
      </c>
      <c r="C3769" s="156" t="inlineStr">
        <is>
          <t>HT-407</t>
        </is>
      </c>
      <c r="D3769" s="156" t="inlineStr">
        <is>
          <t>SY430</t>
        </is>
      </c>
      <c r="E3769" s="156" t="inlineStr">
        <is>
          <t>DT Hauling</t>
        </is>
      </c>
      <c r="F3769" s="156" t="inlineStr"/>
      <c r="G3769" s="182" t="n">
        <v>0</v>
      </c>
      <c r="H3769" s="182" t="n">
        <v>0</v>
      </c>
      <c r="I3769" s="182" t="n">
        <v>0</v>
      </c>
      <c r="J3769" s="182" t="n">
        <v>0</v>
      </c>
      <c r="K3769" s="182" t="n">
        <v>12</v>
      </c>
      <c r="L3769" s="182" t="n">
        <v>12</v>
      </c>
      <c r="M3769" s="182" t="n">
        <v>0</v>
      </c>
      <c r="N3769" s="182" t="n">
        <v>0</v>
      </c>
      <c r="O3769" s="183" t="n">
        <v>0</v>
      </c>
      <c r="P3769" s="183" t="n">
        <v>0</v>
      </c>
      <c r="Q3769" s="184" t="n">
        <v>0</v>
      </c>
      <c r="R3769" s="184" t="n">
        <v>0</v>
      </c>
      <c r="S3769" s="183" t="n">
        <v>0</v>
      </c>
      <c r="T3769" s="183" t="n">
        <v>0</v>
      </c>
      <c r="U3769" s="182" t="n">
        <v>0</v>
      </c>
      <c r="V3769" s="182" t="n">
        <v>0</v>
      </c>
      <c r="W3769" s="182" t="n">
        <v>0</v>
      </c>
      <c r="X3769" s="182" t="n">
        <v>1</v>
      </c>
      <c r="Y3769" s="182" t="n">
        <v>0</v>
      </c>
      <c r="Z3769" s="182" t="n">
        <v>0</v>
      </c>
      <c r="AA3769" s="182" t="n">
        <v>0</v>
      </c>
      <c r="AB3769" s="182" t="n">
        <v>0</v>
      </c>
      <c r="AC3769" s="182" t="n">
        <v>0</v>
      </c>
      <c r="AD3769" s="182" t="n">
        <v>0</v>
      </c>
      <c r="AE3769" s="182" t="n">
        <v>0</v>
      </c>
      <c r="AF3769" s="182" t="n">
        <v>0</v>
      </c>
      <c r="AG3769" s="182" t="n">
        <v>0</v>
      </c>
      <c r="AH3769" s="182" t="n">
        <v>0</v>
      </c>
      <c r="AI3769" s="182" t="n">
        <v>0</v>
      </c>
      <c r="AJ3769" s="182" t="n">
        <v>0</v>
      </c>
      <c r="AK3769" s="182" t="n">
        <v>10.92</v>
      </c>
      <c r="AL3769" s="182" t="n">
        <v>0</v>
      </c>
      <c r="AM3769" s="182" t="n">
        <v>0.08</v>
      </c>
      <c r="AN3769" s="182" t="n">
        <v>0</v>
      </c>
    </row>
    <row r="3770">
      <c r="A3770" s="155" t="n">
        <v>46099</v>
      </c>
      <c r="B3770" s="156" t="inlineStr">
        <is>
          <t>DS</t>
        </is>
      </c>
      <c r="C3770" s="156" t="inlineStr">
        <is>
          <t>HT-414</t>
        </is>
      </c>
      <c r="D3770" s="156" t="inlineStr">
        <is>
          <t>SY430</t>
        </is>
      </c>
      <c r="E3770" s="156" t="inlineStr">
        <is>
          <t>DT Hauling</t>
        </is>
      </c>
      <c r="F3770" s="156" t="inlineStr"/>
      <c r="G3770" s="182" t="n">
        <v>0</v>
      </c>
      <c r="H3770" s="182" t="n">
        <v>0</v>
      </c>
      <c r="I3770" s="182" t="n">
        <v>0</v>
      </c>
      <c r="J3770" s="182" t="n">
        <v>0</v>
      </c>
      <c r="K3770" s="182" t="n">
        <v>12</v>
      </c>
      <c r="L3770" s="182" t="n">
        <v>12</v>
      </c>
      <c r="M3770" s="182" t="n">
        <v>0</v>
      </c>
      <c r="N3770" s="182" t="n">
        <v>0</v>
      </c>
      <c r="O3770" s="183" t="n">
        <v>0</v>
      </c>
      <c r="P3770" s="183" t="n">
        <v>0</v>
      </c>
      <c r="Q3770" s="184" t="n">
        <v>0</v>
      </c>
      <c r="R3770" s="184" t="n">
        <v>0</v>
      </c>
      <c r="S3770" s="183" t="n">
        <v>0</v>
      </c>
      <c r="T3770" s="183" t="n">
        <v>0</v>
      </c>
      <c r="U3770" s="182" t="n">
        <v>0</v>
      </c>
      <c r="V3770" s="182" t="n">
        <v>0</v>
      </c>
      <c r="W3770" s="182" t="n">
        <v>0</v>
      </c>
      <c r="X3770" s="182" t="n">
        <v>1</v>
      </c>
      <c r="Y3770" s="182" t="n">
        <v>0</v>
      </c>
      <c r="Z3770" s="182" t="n">
        <v>0</v>
      </c>
      <c r="AA3770" s="182" t="n">
        <v>0</v>
      </c>
      <c r="AB3770" s="182" t="n">
        <v>0</v>
      </c>
      <c r="AC3770" s="182" t="n">
        <v>0</v>
      </c>
      <c r="AD3770" s="182" t="n">
        <v>0</v>
      </c>
      <c r="AE3770" s="182" t="n">
        <v>0</v>
      </c>
      <c r="AF3770" s="182" t="n">
        <v>0</v>
      </c>
      <c r="AG3770" s="182" t="n">
        <v>0</v>
      </c>
      <c r="AH3770" s="182" t="n">
        <v>0</v>
      </c>
      <c r="AI3770" s="182" t="n">
        <v>0</v>
      </c>
      <c r="AJ3770" s="182" t="n">
        <v>0</v>
      </c>
      <c r="AK3770" s="182" t="n">
        <v>10.92</v>
      </c>
      <c r="AL3770" s="182" t="n">
        <v>0</v>
      </c>
      <c r="AM3770" s="182" t="n">
        <v>0.08</v>
      </c>
      <c r="AN3770" s="182" t="n">
        <v>0</v>
      </c>
    </row>
    <row r="3771">
      <c r="A3771" s="155" t="n">
        <v>46099</v>
      </c>
      <c r="B3771" s="156" t="inlineStr">
        <is>
          <t>DS</t>
        </is>
      </c>
      <c r="C3771" s="156" t="inlineStr">
        <is>
          <t>HT-411</t>
        </is>
      </c>
      <c r="D3771" s="156" t="inlineStr">
        <is>
          <t>SY430</t>
        </is>
      </c>
      <c r="E3771" s="156" t="inlineStr">
        <is>
          <t>DT Hauling</t>
        </is>
      </c>
      <c r="F3771" s="156" t="inlineStr"/>
      <c r="G3771" s="182" t="n">
        <v>0</v>
      </c>
      <c r="H3771" s="182" t="n">
        <v>0</v>
      </c>
      <c r="I3771" s="182" t="n">
        <v>3.88</v>
      </c>
      <c r="J3771" s="182" t="n">
        <v>3.88</v>
      </c>
      <c r="K3771" s="182" t="n">
        <v>8.119999999999999</v>
      </c>
      <c r="L3771" s="182" t="n">
        <v>12</v>
      </c>
      <c r="M3771" s="182" t="n">
        <v>0</v>
      </c>
      <c r="N3771" s="182" t="n">
        <v>0</v>
      </c>
      <c r="O3771" s="183" t="n">
        <v>0</v>
      </c>
      <c r="P3771" s="183" t="n">
        <v>0</v>
      </c>
      <c r="Q3771" s="184" t="n">
        <v>0</v>
      </c>
      <c r="R3771" s="184" t="n">
        <v>0</v>
      </c>
      <c r="S3771" s="183" t="n">
        <v>0</v>
      </c>
      <c r="T3771" s="183" t="n">
        <v>0</v>
      </c>
      <c r="U3771" s="182" t="n">
        <v>0</v>
      </c>
      <c r="V3771" s="182" t="n">
        <v>0</v>
      </c>
      <c r="W3771" s="182" t="n">
        <v>0</v>
      </c>
      <c r="X3771" s="182" t="n">
        <v>1</v>
      </c>
      <c r="Y3771" s="182" t="n">
        <v>0</v>
      </c>
      <c r="Z3771" s="182" t="n">
        <v>0</v>
      </c>
      <c r="AA3771" s="182" t="n">
        <v>0</v>
      </c>
      <c r="AB3771" s="182" t="n">
        <v>0</v>
      </c>
      <c r="AC3771" s="182" t="n">
        <v>0</v>
      </c>
      <c r="AD3771" s="182" t="n">
        <v>0</v>
      </c>
      <c r="AE3771" s="182" t="n">
        <v>0</v>
      </c>
      <c r="AF3771" s="182" t="n">
        <v>0</v>
      </c>
      <c r="AG3771" s="182" t="n">
        <v>0</v>
      </c>
      <c r="AH3771" s="182" t="n">
        <v>0</v>
      </c>
      <c r="AI3771" s="182" t="n">
        <v>0</v>
      </c>
      <c r="AJ3771" s="182" t="n">
        <v>0</v>
      </c>
      <c r="AK3771" s="182" t="n">
        <v>7.03</v>
      </c>
      <c r="AL3771" s="182" t="n">
        <v>0</v>
      </c>
      <c r="AM3771" s="182" t="n">
        <v>0.08</v>
      </c>
      <c r="AN3771" s="182" t="n">
        <v>0</v>
      </c>
    </row>
    <row r="3772">
      <c r="A3772" s="155" t="n">
        <v>46099</v>
      </c>
      <c r="B3772" s="156" t="inlineStr">
        <is>
          <t>DS</t>
        </is>
      </c>
      <c r="C3772" s="156" t="inlineStr">
        <is>
          <t>HT-409</t>
        </is>
      </c>
      <c r="D3772" s="156" t="inlineStr">
        <is>
          <t>SY430</t>
        </is>
      </c>
      <c r="E3772" s="156" t="inlineStr">
        <is>
          <t>DT Hauling</t>
        </is>
      </c>
      <c r="F3772" s="156" t="inlineStr"/>
      <c r="G3772" s="182" t="n">
        <v>0</v>
      </c>
      <c r="H3772" s="182" t="n">
        <v>0</v>
      </c>
      <c r="I3772" s="182" t="n">
        <v>0</v>
      </c>
      <c r="J3772" s="182" t="n">
        <v>0</v>
      </c>
      <c r="K3772" s="182" t="n">
        <v>12</v>
      </c>
      <c r="L3772" s="182" t="n">
        <v>12</v>
      </c>
      <c r="M3772" s="182" t="n">
        <v>0</v>
      </c>
      <c r="N3772" s="182" t="n">
        <v>0</v>
      </c>
      <c r="O3772" s="183" t="n">
        <v>0</v>
      </c>
      <c r="P3772" s="183" t="n">
        <v>0</v>
      </c>
      <c r="Q3772" s="184" t="n">
        <v>0</v>
      </c>
      <c r="R3772" s="184" t="n">
        <v>0</v>
      </c>
      <c r="S3772" s="183" t="n">
        <v>0</v>
      </c>
      <c r="T3772" s="183" t="n">
        <v>0</v>
      </c>
      <c r="U3772" s="182" t="n">
        <v>0</v>
      </c>
      <c r="V3772" s="182" t="n">
        <v>0</v>
      </c>
      <c r="W3772" s="182" t="n">
        <v>0</v>
      </c>
      <c r="X3772" s="182" t="n">
        <v>1</v>
      </c>
      <c r="Y3772" s="182" t="n">
        <v>0</v>
      </c>
      <c r="Z3772" s="182" t="n">
        <v>0</v>
      </c>
      <c r="AA3772" s="182" t="n">
        <v>0</v>
      </c>
      <c r="AB3772" s="182" t="n">
        <v>0</v>
      </c>
      <c r="AC3772" s="182" t="n">
        <v>0</v>
      </c>
      <c r="AD3772" s="182" t="n">
        <v>0</v>
      </c>
      <c r="AE3772" s="182" t="n">
        <v>0</v>
      </c>
      <c r="AF3772" s="182" t="n">
        <v>0</v>
      </c>
      <c r="AG3772" s="182" t="n">
        <v>0</v>
      </c>
      <c r="AH3772" s="182" t="n">
        <v>0</v>
      </c>
      <c r="AI3772" s="182" t="n">
        <v>0</v>
      </c>
      <c r="AJ3772" s="182" t="n">
        <v>0</v>
      </c>
      <c r="AK3772" s="182" t="n">
        <v>10.92</v>
      </c>
      <c r="AL3772" s="182" t="n">
        <v>0</v>
      </c>
      <c r="AM3772" s="182" t="n">
        <v>0.08</v>
      </c>
      <c r="AN3772" s="182" t="n">
        <v>0</v>
      </c>
    </row>
    <row r="3773">
      <c r="A3773" s="155" t="n">
        <v>46099</v>
      </c>
      <c r="B3773" s="156" t="inlineStr">
        <is>
          <t>DS</t>
        </is>
      </c>
      <c r="C3773" s="156" t="inlineStr">
        <is>
          <t>DH-103</t>
        </is>
      </c>
      <c r="D3773" s="156" t="inlineStr">
        <is>
          <t>HINO FM260</t>
        </is>
      </c>
      <c r="E3773" s="156" t="inlineStr">
        <is>
          <t>DT Hino</t>
        </is>
      </c>
      <c r="F3773" s="156" t="inlineStr"/>
      <c r="G3773" s="182" t="n">
        <v>0</v>
      </c>
      <c r="H3773" s="182" t="n">
        <v>0</v>
      </c>
      <c r="I3773" s="182" t="n">
        <v>12</v>
      </c>
      <c r="J3773" s="182" t="n">
        <v>12</v>
      </c>
      <c r="K3773" s="182" t="n">
        <v>0</v>
      </c>
      <c r="L3773" s="182" t="n">
        <v>12</v>
      </c>
      <c r="M3773" s="182" t="n">
        <v>0</v>
      </c>
      <c r="N3773" s="182" t="n">
        <v>0</v>
      </c>
      <c r="O3773" s="183" t="n">
        <v>0</v>
      </c>
      <c r="P3773" s="183" t="n">
        <v>0</v>
      </c>
      <c r="Q3773" s="184" t="n">
        <v>0</v>
      </c>
      <c r="R3773" s="184" t="n">
        <v>0</v>
      </c>
      <c r="S3773" s="183" t="n">
        <v>0</v>
      </c>
      <c r="T3773" s="183" t="n">
        <v>0</v>
      </c>
      <c r="U3773" s="182" t="n">
        <v>0</v>
      </c>
      <c r="V3773" s="182" t="n">
        <v>0</v>
      </c>
      <c r="W3773" s="182" t="n">
        <v>0</v>
      </c>
      <c r="X3773" s="182" t="n">
        <v>0</v>
      </c>
      <c r="Y3773" s="182" t="n">
        <v>0</v>
      </c>
      <c r="Z3773" s="182" t="n">
        <v>0</v>
      </c>
      <c r="AA3773" s="182" t="n">
        <v>0</v>
      </c>
      <c r="AB3773" s="182" t="n">
        <v>0</v>
      </c>
      <c r="AC3773" s="182" t="n">
        <v>0</v>
      </c>
      <c r="AD3773" s="182" t="n">
        <v>0</v>
      </c>
      <c r="AE3773" s="182" t="n">
        <v>0</v>
      </c>
      <c r="AF3773" s="182" t="n">
        <v>0</v>
      </c>
      <c r="AG3773" s="182" t="n">
        <v>0</v>
      </c>
      <c r="AH3773" s="182" t="n">
        <v>0</v>
      </c>
      <c r="AI3773" s="182" t="n">
        <v>0</v>
      </c>
      <c r="AJ3773" s="182" t="n">
        <v>0</v>
      </c>
      <c r="AK3773" s="182" t="n">
        <v>0</v>
      </c>
      <c r="AL3773" s="182" t="n">
        <v>0</v>
      </c>
      <c r="AM3773" s="182" t="n">
        <v>0</v>
      </c>
      <c r="AN3773" s="182" t="n">
        <v>0</v>
      </c>
    </row>
    <row r="3774">
      <c r="A3774" s="155" t="n">
        <v>46099</v>
      </c>
      <c r="B3774" s="156" t="inlineStr">
        <is>
          <t>DS</t>
        </is>
      </c>
      <c r="C3774" s="156" t="inlineStr">
        <is>
          <t>DH-102</t>
        </is>
      </c>
      <c r="D3774" s="156" t="inlineStr">
        <is>
          <t>HINO FM260</t>
        </is>
      </c>
      <c r="E3774" s="156" t="inlineStr">
        <is>
          <t>DT Hino</t>
        </is>
      </c>
      <c r="F3774" s="156" t="inlineStr"/>
      <c r="G3774" s="182" t="n">
        <v>0</v>
      </c>
      <c r="H3774" s="182" t="n">
        <v>0</v>
      </c>
      <c r="I3774" s="182" t="n">
        <v>0</v>
      </c>
      <c r="J3774" s="182" t="n">
        <v>0</v>
      </c>
      <c r="K3774" s="182" t="n">
        <v>12</v>
      </c>
      <c r="L3774" s="182" t="n">
        <v>12</v>
      </c>
      <c r="M3774" s="182" t="n">
        <v>0</v>
      </c>
      <c r="N3774" s="182" t="n">
        <v>0</v>
      </c>
      <c r="O3774" s="183" t="n">
        <v>0</v>
      </c>
      <c r="P3774" s="183" t="n">
        <v>0</v>
      </c>
      <c r="Q3774" s="184" t="n">
        <v>0</v>
      </c>
      <c r="R3774" s="184" t="n">
        <v>0</v>
      </c>
      <c r="S3774" s="183" t="n">
        <v>0</v>
      </c>
      <c r="T3774" s="183" t="n">
        <v>0</v>
      </c>
      <c r="U3774" s="182" t="n">
        <v>0</v>
      </c>
      <c r="V3774" s="182" t="n">
        <v>0</v>
      </c>
      <c r="W3774" s="182" t="n">
        <v>0</v>
      </c>
      <c r="X3774" s="182" t="n">
        <v>1</v>
      </c>
      <c r="Y3774" s="182" t="n">
        <v>0</v>
      </c>
      <c r="Z3774" s="182" t="n">
        <v>0</v>
      </c>
      <c r="AA3774" s="182" t="n">
        <v>0</v>
      </c>
      <c r="AB3774" s="182" t="n">
        <v>0</v>
      </c>
      <c r="AC3774" s="182" t="n">
        <v>0</v>
      </c>
      <c r="AD3774" s="182" t="n">
        <v>0</v>
      </c>
      <c r="AE3774" s="182" t="n">
        <v>0</v>
      </c>
      <c r="AF3774" s="182" t="n">
        <v>0</v>
      </c>
      <c r="AG3774" s="182" t="n">
        <v>0</v>
      </c>
      <c r="AH3774" s="182" t="n">
        <v>0</v>
      </c>
      <c r="AI3774" s="182" t="n">
        <v>0</v>
      </c>
      <c r="AJ3774" s="182" t="n">
        <v>0</v>
      </c>
      <c r="AK3774" s="182" t="n">
        <v>10.92</v>
      </c>
      <c r="AL3774" s="182" t="n">
        <v>0</v>
      </c>
      <c r="AM3774" s="182" t="n">
        <v>0.08</v>
      </c>
      <c r="AN3774" s="182" t="n">
        <v>0</v>
      </c>
    </row>
    <row r="3775">
      <c r="A3775" s="155" t="n">
        <v>46099</v>
      </c>
      <c r="B3775" s="156" t="inlineStr">
        <is>
          <t>DS</t>
        </is>
      </c>
      <c r="C3775" s="156" t="inlineStr">
        <is>
          <t>DH-101</t>
        </is>
      </c>
      <c r="D3775" s="156" t="inlineStr">
        <is>
          <t>HINO FM260</t>
        </is>
      </c>
      <c r="E3775" s="156" t="inlineStr">
        <is>
          <t>DT Hino</t>
        </is>
      </c>
      <c r="F3775" s="156" t="inlineStr"/>
      <c r="G3775" s="182" t="n">
        <v>0</v>
      </c>
      <c r="H3775" s="182" t="n">
        <v>0</v>
      </c>
      <c r="I3775" s="182" t="n">
        <v>0</v>
      </c>
      <c r="J3775" s="182" t="n">
        <v>0</v>
      </c>
      <c r="K3775" s="182" t="n">
        <v>12</v>
      </c>
      <c r="L3775" s="182" t="n">
        <v>12</v>
      </c>
      <c r="M3775" s="182" t="n">
        <v>0</v>
      </c>
      <c r="N3775" s="182" t="n">
        <v>0</v>
      </c>
      <c r="O3775" s="183" t="n">
        <v>0</v>
      </c>
      <c r="P3775" s="183" t="n">
        <v>0</v>
      </c>
      <c r="Q3775" s="184" t="n">
        <v>0</v>
      </c>
      <c r="R3775" s="184" t="n">
        <v>0</v>
      </c>
      <c r="S3775" s="183" t="n">
        <v>0</v>
      </c>
      <c r="T3775" s="183" t="n">
        <v>0</v>
      </c>
      <c r="U3775" s="182" t="n">
        <v>0</v>
      </c>
      <c r="V3775" s="182" t="n">
        <v>0</v>
      </c>
      <c r="W3775" s="182" t="n">
        <v>0</v>
      </c>
      <c r="X3775" s="182" t="n">
        <v>1</v>
      </c>
      <c r="Y3775" s="182" t="n">
        <v>0</v>
      </c>
      <c r="Z3775" s="182" t="n">
        <v>0</v>
      </c>
      <c r="AA3775" s="182" t="n">
        <v>0</v>
      </c>
      <c r="AB3775" s="182" t="n">
        <v>0</v>
      </c>
      <c r="AC3775" s="182" t="n">
        <v>0</v>
      </c>
      <c r="AD3775" s="182" t="n">
        <v>0</v>
      </c>
      <c r="AE3775" s="182" t="n">
        <v>0</v>
      </c>
      <c r="AF3775" s="182" t="n">
        <v>0</v>
      </c>
      <c r="AG3775" s="182" t="n">
        <v>0</v>
      </c>
      <c r="AH3775" s="182" t="n">
        <v>0</v>
      </c>
      <c r="AI3775" s="182" t="n">
        <v>0</v>
      </c>
      <c r="AJ3775" s="182" t="n">
        <v>0</v>
      </c>
      <c r="AK3775" s="182" t="n">
        <v>10.92</v>
      </c>
      <c r="AL3775" s="182" t="n">
        <v>0</v>
      </c>
      <c r="AM3775" s="182" t="n">
        <v>0.08</v>
      </c>
      <c r="AN3775" s="182" t="n">
        <v>0</v>
      </c>
    </row>
    <row r="3776">
      <c r="A3776" s="155" t="n">
        <v>46099</v>
      </c>
      <c r="B3776" s="156" t="inlineStr">
        <is>
          <t>DS</t>
        </is>
      </c>
      <c r="C3776" s="156" t="inlineStr">
        <is>
          <t>EX-1251</t>
        </is>
      </c>
      <c r="D3776" s="156" t="inlineStr">
        <is>
          <t>SY1250</t>
        </is>
      </c>
      <c r="E3776" s="156" t="inlineStr">
        <is>
          <t>Excavator</t>
        </is>
      </c>
      <c r="F3776" s="156" t="inlineStr">
        <is>
          <t>Loading OB</t>
        </is>
      </c>
      <c r="G3776" s="182" t="n">
        <v>4.96</v>
      </c>
      <c r="H3776" s="182" t="n">
        <v>0</v>
      </c>
      <c r="I3776" s="182" t="n">
        <v>5</v>
      </c>
      <c r="J3776" s="182" t="n">
        <v>5</v>
      </c>
      <c r="K3776" s="182" t="n">
        <v>2.04</v>
      </c>
      <c r="L3776" s="182" t="n">
        <v>12</v>
      </c>
      <c r="M3776" s="182" t="n">
        <v>3.03</v>
      </c>
      <c r="N3776" s="182" t="n">
        <v>0</v>
      </c>
      <c r="O3776" s="183" t="n">
        <v>35</v>
      </c>
      <c r="P3776" s="183" t="n">
        <v>0</v>
      </c>
      <c r="Q3776" s="184" t="n">
        <v>1249.5</v>
      </c>
      <c r="R3776" s="184" t="n">
        <v>0</v>
      </c>
      <c r="S3776" s="183" t="n">
        <v>0</v>
      </c>
      <c r="T3776" s="183" t="n">
        <v>0</v>
      </c>
      <c r="U3776" s="182" t="n">
        <v>0</v>
      </c>
      <c r="V3776" s="182" t="n">
        <v>0</v>
      </c>
      <c r="W3776" s="182" t="n">
        <v>0</v>
      </c>
      <c r="X3776" s="182" t="n">
        <v>0.77</v>
      </c>
      <c r="Y3776" s="182" t="n">
        <v>0</v>
      </c>
      <c r="Z3776" s="182" t="n">
        <v>0</v>
      </c>
      <c r="AA3776" s="182" t="n">
        <v>0</v>
      </c>
      <c r="AB3776" s="182" t="n">
        <v>0</v>
      </c>
      <c r="AC3776" s="182" t="n">
        <v>0</v>
      </c>
      <c r="AD3776" s="182" t="n">
        <v>0</v>
      </c>
      <c r="AE3776" s="182" t="n">
        <v>0</v>
      </c>
      <c r="AF3776" s="182" t="n">
        <v>0</v>
      </c>
      <c r="AG3776" s="182" t="n">
        <v>0</v>
      </c>
      <c r="AH3776" s="182" t="n">
        <v>0</v>
      </c>
      <c r="AI3776" s="182" t="n">
        <v>0</v>
      </c>
      <c r="AJ3776" s="182" t="n">
        <v>1.21</v>
      </c>
      <c r="AK3776" s="182" t="n">
        <v>0</v>
      </c>
      <c r="AL3776" s="182" t="n">
        <v>0</v>
      </c>
      <c r="AM3776" s="182" t="n">
        <v>0.06</v>
      </c>
      <c r="AN3776" s="182" t="n">
        <v>0</v>
      </c>
    </row>
    <row r="3777">
      <c r="A3777" s="155" t="n">
        <v>46099</v>
      </c>
      <c r="B3777" s="156" t="inlineStr">
        <is>
          <t>DS</t>
        </is>
      </c>
      <c r="C3777" s="156" t="inlineStr">
        <is>
          <t>EX-1252</t>
        </is>
      </c>
      <c r="D3777" s="156" t="inlineStr">
        <is>
          <t>SY1250</t>
        </is>
      </c>
      <c r="E3777" s="156" t="inlineStr">
        <is>
          <t>Excavator</t>
        </is>
      </c>
      <c r="F3777" s="156" t="inlineStr"/>
      <c r="G3777" s="182" t="n">
        <v>0</v>
      </c>
      <c r="H3777" s="182" t="n">
        <v>0</v>
      </c>
      <c r="I3777" s="182" t="n">
        <v>12</v>
      </c>
      <c r="J3777" s="182" t="n">
        <v>12</v>
      </c>
      <c r="K3777" s="182" t="n">
        <v>0</v>
      </c>
      <c r="L3777" s="182" t="n">
        <v>12</v>
      </c>
      <c r="M3777" s="182" t="n">
        <v>0</v>
      </c>
      <c r="N3777" s="182" t="n">
        <v>0</v>
      </c>
      <c r="O3777" s="183" t="n">
        <v>0</v>
      </c>
      <c r="P3777" s="183" t="n">
        <v>0</v>
      </c>
      <c r="Q3777" s="184" t="n">
        <v>0</v>
      </c>
      <c r="R3777" s="184" t="n">
        <v>0</v>
      </c>
      <c r="S3777" s="183" t="n">
        <v>0</v>
      </c>
      <c r="T3777" s="183" t="n">
        <v>0</v>
      </c>
      <c r="U3777" s="182" t="n">
        <v>0</v>
      </c>
      <c r="V3777" s="182" t="n">
        <v>0</v>
      </c>
      <c r="W3777" s="182" t="n">
        <v>0</v>
      </c>
      <c r="X3777" s="182" t="n">
        <v>0</v>
      </c>
      <c r="Y3777" s="182" t="n">
        <v>0</v>
      </c>
      <c r="Z3777" s="182" t="n">
        <v>0</v>
      </c>
      <c r="AA3777" s="182" t="n">
        <v>0</v>
      </c>
      <c r="AB3777" s="182" t="n">
        <v>0</v>
      </c>
      <c r="AC3777" s="182" t="n">
        <v>0</v>
      </c>
      <c r="AD3777" s="182" t="n">
        <v>0</v>
      </c>
      <c r="AE3777" s="182" t="n">
        <v>0</v>
      </c>
      <c r="AF3777" s="182" t="n">
        <v>0</v>
      </c>
      <c r="AG3777" s="182" t="n">
        <v>0</v>
      </c>
      <c r="AH3777" s="182" t="n">
        <v>0</v>
      </c>
      <c r="AI3777" s="182" t="n">
        <v>0</v>
      </c>
      <c r="AJ3777" s="182" t="n">
        <v>0</v>
      </c>
      <c r="AK3777" s="182" t="n">
        <v>0</v>
      </c>
      <c r="AL3777" s="182" t="n">
        <v>0</v>
      </c>
      <c r="AM3777" s="182" t="n">
        <v>0</v>
      </c>
      <c r="AN3777" s="182" t="n">
        <v>0</v>
      </c>
    </row>
    <row r="3778">
      <c r="A3778" s="155" t="n">
        <v>46099</v>
      </c>
      <c r="B3778" s="156" t="inlineStr">
        <is>
          <t>DS</t>
        </is>
      </c>
      <c r="C3778" s="156" t="inlineStr">
        <is>
          <t>EX-2101</t>
        </is>
      </c>
      <c r="D3778" s="156" t="inlineStr">
        <is>
          <t>SY2000</t>
        </is>
      </c>
      <c r="E3778" s="156" t="inlineStr">
        <is>
          <t>Excavator</t>
        </is>
      </c>
      <c r="F3778" s="156" t="inlineStr">
        <is>
          <t>Loading OB</t>
        </is>
      </c>
      <c r="G3778" s="182" t="n">
        <v>4</v>
      </c>
      <c r="H3778" s="182" t="n">
        <v>0</v>
      </c>
      <c r="I3778" s="182" t="n">
        <v>6.46</v>
      </c>
      <c r="J3778" s="182" t="n">
        <v>6.46</v>
      </c>
      <c r="K3778" s="182" t="n">
        <v>1.54</v>
      </c>
      <c r="L3778" s="182" t="n">
        <v>12</v>
      </c>
      <c r="M3778" s="182" t="n">
        <v>4</v>
      </c>
      <c r="N3778" s="182" t="n">
        <v>0</v>
      </c>
      <c r="O3778" s="183" t="n">
        <v>69</v>
      </c>
      <c r="P3778" s="183" t="n">
        <v>0</v>
      </c>
      <c r="Q3778" s="184" t="n">
        <v>2463.3</v>
      </c>
      <c r="R3778" s="184" t="n">
        <v>0</v>
      </c>
      <c r="S3778" s="183" t="n">
        <v>0</v>
      </c>
      <c r="T3778" s="183" t="n">
        <v>0</v>
      </c>
      <c r="U3778" s="182" t="n">
        <v>0</v>
      </c>
      <c r="V3778" s="182" t="n">
        <v>0</v>
      </c>
      <c r="W3778" s="182" t="n">
        <v>0</v>
      </c>
      <c r="X3778" s="182" t="n">
        <v>1.04</v>
      </c>
      <c r="Y3778" s="182" t="n">
        <v>0</v>
      </c>
      <c r="Z3778" s="182" t="n">
        <v>0</v>
      </c>
      <c r="AA3778" s="182" t="n">
        <v>0</v>
      </c>
      <c r="AB3778" s="182" t="n">
        <v>0</v>
      </c>
      <c r="AC3778" s="182" t="n">
        <v>0</v>
      </c>
      <c r="AD3778" s="182" t="n">
        <v>0</v>
      </c>
      <c r="AE3778" s="182" t="n">
        <v>0</v>
      </c>
      <c r="AF3778" s="182" t="n">
        <v>0</v>
      </c>
      <c r="AG3778" s="182" t="n">
        <v>0</v>
      </c>
      <c r="AH3778" s="182" t="n">
        <v>0.42</v>
      </c>
      <c r="AI3778" s="182" t="n">
        <v>0</v>
      </c>
      <c r="AJ3778" s="182" t="n">
        <v>0</v>
      </c>
      <c r="AK3778" s="182" t="n">
        <v>0</v>
      </c>
      <c r="AL3778" s="182" t="n">
        <v>0</v>
      </c>
      <c r="AM3778" s="182" t="n">
        <v>0.08</v>
      </c>
      <c r="AN3778" s="182" t="n">
        <v>0</v>
      </c>
    </row>
    <row r="3779">
      <c r="A3779" s="155" t="n">
        <v>46099</v>
      </c>
      <c r="B3779" s="156" t="inlineStr">
        <is>
          <t>DS</t>
        </is>
      </c>
      <c r="C3779" s="156" t="inlineStr">
        <is>
          <t>EX-222</t>
        </is>
      </c>
      <c r="D3779" s="156" t="inlineStr">
        <is>
          <t>PC 200-8MI</t>
        </is>
      </c>
      <c r="E3779" s="156" t="inlineStr">
        <is>
          <t>Excavator</t>
        </is>
      </c>
      <c r="F3779" s="156" t="inlineStr">
        <is>
          <t>Trimming Coal diStockROM</t>
        </is>
      </c>
      <c r="G3779" s="182" t="n">
        <v>11.59</v>
      </c>
      <c r="H3779" s="182" t="n">
        <v>0</v>
      </c>
      <c r="I3779" s="182" t="n">
        <v>0</v>
      </c>
      <c r="J3779" s="182" t="n">
        <v>0</v>
      </c>
      <c r="K3779" s="182" t="n">
        <v>0.41</v>
      </c>
      <c r="L3779" s="182" t="n">
        <v>12</v>
      </c>
      <c r="M3779" s="182" t="n">
        <v>0</v>
      </c>
      <c r="N3779" s="182" t="n">
        <v>0</v>
      </c>
      <c r="O3779" s="183" t="n">
        <v>0</v>
      </c>
      <c r="P3779" s="183" t="n">
        <v>0</v>
      </c>
      <c r="Q3779" s="184" t="n">
        <v>0</v>
      </c>
      <c r="R3779" s="184" t="n">
        <v>0</v>
      </c>
      <c r="S3779" s="183" t="n">
        <v>0</v>
      </c>
      <c r="T3779" s="183" t="n">
        <v>0</v>
      </c>
      <c r="U3779" s="182" t="n">
        <v>0</v>
      </c>
      <c r="V3779" s="182" t="n">
        <v>0</v>
      </c>
      <c r="W3779" s="182" t="n">
        <v>0</v>
      </c>
      <c r="X3779" s="182" t="n">
        <v>0.36</v>
      </c>
      <c r="Y3779" s="182" t="n">
        <v>0</v>
      </c>
      <c r="Z3779" s="182" t="n">
        <v>0</v>
      </c>
      <c r="AA3779" s="182" t="n">
        <v>0</v>
      </c>
      <c r="AB3779" s="182" t="n">
        <v>0</v>
      </c>
      <c r="AC3779" s="182" t="n">
        <v>0</v>
      </c>
      <c r="AD3779" s="182" t="n">
        <v>0</v>
      </c>
      <c r="AE3779" s="182" t="n">
        <v>0</v>
      </c>
      <c r="AF3779" s="182" t="n">
        <v>0</v>
      </c>
      <c r="AG3779" s="182" t="n">
        <v>0</v>
      </c>
      <c r="AH3779" s="182" t="n">
        <v>0</v>
      </c>
      <c r="AI3779" s="182" t="n">
        <v>0</v>
      </c>
      <c r="AJ3779" s="182" t="n">
        <v>0</v>
      </c>
      <c r="AK3779" s="182" t="n">
        <v>0</v>
      </c>
      <c r="AL3779" s="182" t="n">
        <v>0</v>
      </c>
      <c r="AM3779" s="182" t="n">
        <v>0.05</v>
      </c>
      <c r="AN3779" s="182" t="n">
        <v>0</v>
      </c>
    </row>
    <row r="3780">
      <c r="A3780" s="155" t="n">
        <v>46099</v>
      </c>
      <c r="B3780" s="156" t="inlineStr">
        <is>
          <t>DS</t>
        </is>
      </c>
      <c r="C3780" s="156" t="inlineStr">
        <is>
          <t>EX-225</t>
        </is>
      </c>
      <c r="D3780" s="156" t="inlineStr">
        <is>
          <t>PC 200-8</t>
        </is>
      </c>
      <c r="E3780" s="156" t="inlineStr">
        <is>
          <t>Excavator</t>
        </is>
      </c>
      <c r="F3780" s="156" t="inlineStr"/>
      <c r="G3780" s="182" t="n">
        <v>0</v>
      </c>
      <c r="H3780" s="182" t="n">
        <v>0</v>
      </c>
      <c r="I3780" s="182" t="n">
        <v>12</v>
      </c>
      <c r="J3780" s="182" t="n">
        <v>12</v>
      </c>
      <c r="K3780" s="182" t="n">
        <v>0</v>
      </c>
      <c r="L3780" s="182" t="n">
        <v>12</v>
      </c>
      <c r="M3780" s="182" t="n">
        <v>0</v>
      </c>
      <c r="N3780" s="182" t="n">
        <v>0</v>
      </c>
      <c r="O3780" s="183" t="n">
        <v>0</v>
      </c>
      <c r="P3780" s="183" t="n">
        <v>0</v>
      </c>
      <c r="Q3780" s="184" t="n">
        <v>0</v>
      </c>
      <c r="R3780" s="184" t="n">
        <v>0</v>
      </c>
      <c r="S3780" s="183" t="n">
        <v>0</v>
      </c>
      <c r="T3780" s="183" t="n">
        <v>0</v>
      </c>
      <c r="U3780" s="182" t="n">
        <v>0</v>
      </c>
      <c r="V3780" s="182" t="n">
        <v>0</v>
      </c>
      <c r="W3780" s="182" t="n">
        <v>0</v>
      </c>
      <c r="X3780" s="182" t="n">
        <v>0</v>
      </c>
      <c r="Y3780" s="182" t="n">
        <v>0</v>
      </c>
      <c r="Z3780" s="182" t="n">
        <v>0</v>
      </c>
      <c r="AA3780" s="182" t="n">
        <v>0</v>
      </c>
      <c r="AB3780" s="182" t="n">
        <v>0</v>
      </c>
      <c r="AC3780" s="182" t="n">
        <v>0</v>
      </c>
      <c r="AD3780" s="182" t="n">
        <v>0</v>
      </c>
      <c r="AE3780" s="182" t="n">
        <v>0</v>
      </c>
      <c r="AF3780" s="182" t="n">
        <v>0</v>
      </c>
      <c r="AG3780" s="182" t="n">
        <v>0</v>
      </c>
      <c r="AH3780" s="182" t="n">
        <v>0</v>
      </c>
      <c r="AI3780" s="182" t="n">
        <v>0</v>
      </c>
      <c r="AJ3780" s="182" t="n">
        <v>0</v>
      </c>
      <c r="AK3780" s="182" t="n">
        <v>0</v>
      </c>
      <c r="AL3780" s="182" t="n">
        <v>0</v>
      </c>
      <c r="AM3780" s="182" t="n">
        <v>0</v>
      </c>
      <c r="AN3780" s="182" t="n">
        <v>0</v>
      </c>
    </row>
    <row r="3781">
      <c r="A3781" s="155" t="n">
        <v>46099</v>
      </c>
      <c r="B3781" s="156" t="inlineStr">
        <is>
          <t>DS</t>
        </is>
      </c>
      <c r="C3781" s="156" t="inlineStr">
        <is>
          <t>EX-223</t>
        </is>
      </c>
      <c r="D3781" s="156" t="inlineStr">
        <is>
          <t>PC 200-8MI</t>
        </is>
      </c>
      <c r="E3781" s="156" t="inlineStr">
        <is>
          <t>Excavator</t>
        </is>
      </c>
      <c r="F3781" s="156" t="inlineStr">
        <is>
          <t>Support Washing Plant</t>
        </is>
      </c>
      <c r="G3781" s="182" t="n">
        <v>11</v>
      </c>
      <c r="H3781" s="182" t="n">
        <v>0</v>
      </c>
      <c r="I3781" s="182" t="n">
        <v>0</v>
      </c>
      <c r="J3781" s="182" t="n">
        <v>0</v>
      </c>
      <c r="K3781" s="182" t="n">
        <v>1</v>
      </c>
      <c r="L3781" s="182" t="n">
        <v>12</v>
      </c>
      <c r="M3781" s="182" t="n">
        <v>0</v>
      </c>
      <c r="N3781" s="182" t="n">
        <v>0</v>
      </c>
      <c r="O3781" s="183" t="n">
        <v>0</v>
      </c>
      <c r="P3781" s="183" t="n">
        <v>0</v>
      </c>
      <c r="Q3781" s="184" t="n">
        <v>0</v>
      </c>
      <c r="R3781" s="184" t="n">
        <v>0</v>
      </c>
      <c r="S3781" s="183" t="n">
        <v>0</v>
      </c>
      <c r="T3781" s="183" t="n">
        <v>0</v>
      </c>
      <c r="U3781" s="182" t="n">
        <v>0</v>
      </c>
      <c r="V3781" s="182" t="n">
        <v>0</v>
      </c>
      <c r="W3781" s="182" t="n">
        <v>0</v>
      </c>
      <c r="X3781" s="182" t="n">
        <v>0.83</v>
      </c>
      <c r="Y3781" s="182" t="n">
        <v>0</v>
      </c>
      <c r="Z3781" s="182" t="n">
        <v>0</v>
      </c>
      <c r="AA3781" s="182" t="n">
        <v>0</v>
      </c>
      <c r="AB3781" s="182" t="n">
        <v>0</v>
      </c>
      <c r="AC3781" s="182" t="n">
        <v>0</v>
      </c>
      <c r="AD3781" s="182" t="n">
        <v>0</v>
      </c>
      <c r="AE3781" s="182" t="n">
        <v>0</v>
      </c>
      <c r="AF3781" s="182" t="n">
        <v>0</v>
      </c>
      <c r="AG3781" s="182" t="n">
        <v>0</v>
      </c>
      <c r="AH3781" s="182" t="n">
        <v>0</v>
      </c>
      <c r="AI3781" s="182" t="n">
        <v>0</v>
      </c>
      <c r="AJ3781" s="182" t="n">
        <v>0</v>
      </c>
      <c r="AK3781" s="182" t="n">
        <v>0.1</v>
      </c>
      <c r="AL3781" s="182" t="n">
        <v>0</v>
      </c>
      <c r="AM3781" s="182" t="n">
        <v>0.07000000000000001</v>
      </c>
      <c r="AN3781" s="182" t="n">
        <v>0</v>
      </c>
    </row>
    <row r="3782">
      <c r="A3782" s="155" t="n">
        <v>46099</v>
      </c>
      <c r="B3782" s="156" t="inlineStr">
        <is>
          <t>DS</t>
        </is>
      </c>
      <c r="C3782" s="156" t="inlineStr">
        <is>
          <t>EX-221</t>
        </is>
      </c>
      <c r="D3782" s="156" t="inlineStr">
        <is>
          <t>PC 200-8MI</t>
        </is>
      </c>
      <c r="E3782" s="156" t="inlineStr">
        <is>
          <t>Excavator</t>
        </is>
      </c>
      <c r="F3782" s="156" t="inlineStr">
        <is>
          <t>General Jetty</t>
        </is>
      </c>
      <c r="G3782" s="182" t="n">
        <v>4.15</v>
      </c>
      <c r="H3782" s="182" t="n">
        <v>0</v>
      </c>
      <c r="I3782" s="182" t="n">
        <v>0</v>
      </c>
      <c r="J3782" s="182" t="n">
        <v>0</v>
      </c>
      <c r="K3782" s="182" t="n">
        <v>7.85</v>
      </c>
      <c r="L3782" s="182" t="n">
        <v>12</v>
      </c>
      <c r="M3782" s="182" t="n">
        <v>0</v>
      </c>
      <c r="N3782" s="182" t="n">
        <v>0</v>
      </c>
      <c r="O3782" s="183" t="n">
        <v>0</v>
      </c>
      <c r="P3782" s="183" t="n">
        <v>0</v>
      </c>
      <c r="Q3782" s="184" t="n">
        <v>0</v>
      </c>
      <c r="R3782" s="184" t="n">
        <v>0</v>
      </c>
      <c r="S3782" s="183" t="n">
        <v>0</v>
      </c>
      <c r="T3782" s="183" t="n">
        <v>0</v>
      </c>
      <c r="U3782" s="182" t="n">
        <v>0</v>
      </c>
      <c r="V3782" s="182" t="n">
        <v>0</v>
      </c>
      <c r="W3782" s="182" t="n">
        <v>0</v>
      </c>
      <c r="X3782" s="182" t="n">
        <v>0.99</v>
      </c>
      <c r="Y3782" s="182" t="n">
        <v>0</v>
      </c>
      <c r="Z3782" s="182" t="n">
        <v>0</v>
      </c>
      <c r="AA3782" s="182" t="n">
        <v>0</v>
      </c>
      <c r="AB3782" s="182" t="n">
        <v>0</v>
      </c>
      <c r="AC3782" s="182" t="n">
        <v>0</v>
      </c>
      <c r="AD3782" s="182" t="n">
        <v>0</v>
      </c>
      <c r="AE3782" s="182" t="n">
        <v>0</v>
      </c>
      <c r="AF3782" s="182" t="n">
        <v>0</v>
      </c>
      <c r="AG3782" s="182" t="n">
        <v>0</v>
      </c>
      <c r="AH3782" s="182" t="n">
        <v>0</v>
      </c>
      <c r="AI3782" s="182" t="n">
        <v>0</v>
      </c>
      <c r="AJ3782" s="182" t="n">
        <v>0</v>
      </c>
      <c r="AK3782" s="182" t="n">
        <v>6.78</v>
      </c>
      <c r="AL3782" s="182" t="n">
        <v>0</v>
      </c>
      <c r="AM3782" s="182" t="n">
        <v>0.08</v>
      </c>
      <c r="AN3782" s="182" t="n">
        <v>0</v>
      </c>
    </row>
    <row r="3783">
      <c r="A3783" s="155" t="n">
        <v>46099</v>
      </c>
      <c r="B3783" s="156" t="inlineStr">
        <is>
          <t>DS</t>
        </is>
      </c>
      <c r="C3783" s="156" t="inlineStr">
        <is>
          <t>EX-331</t>
        </is>
      </c>
      <c r="D3783" s="156" t="inlineStr">
        <is>
          <t>PC 300-8MO</t>
        </is>
      </c>
      <c r="E3783" s="156" t="inlineStr">
        <is>
          <t>Excavator</t>
        </is>
      </c>
      <c r="F3783" s="156" t="inlineStr"/>
      <c r="G3783" s="182" t="n">
        <v>0</v>
      </c>
      <c r="H3783" s="182" t="n">
        <v>0</v>
      </c>
      <c r="I3783" s="182" t="n">
        <v>12</v>
      </c>
      <c r="J3783" s="182" t="n">
        <v>12</v>
      </c>
      <c r="K3783" s="182" t="n">
        <v>0</v>
      </c>
      <c r="L3783" s="182" t="n">
        <v>12</v>
      </c>
      <c r="M3783" s="182" t="n">
        <v>0</v>
      </c>
      <c r="N3783" s="182" t="n">
        <v>0</v>
      </c>
      <c r="O3783" s="183" t="n">
        <v>0</v>
      </c>
      <c r="P3783" s="183" t="n">
        <v>0</v>
      </c>
      <c r="Q3783" s="184" t="n">
        <v>0</v>
      </c>
      <c r="R3783" s="184" t="n">
        <v>0</v>
      </c>
      <c r="S3783" s="183" t="n">
        <v>0</v>
      </c>
      <c r="T3783" s="183" t="n">
        <v>0</v>
      </c>
      <c r="U3783" s="182" t="n">
        <v>0</v>
      </c>
      <c r="V3783" s="182" t="n">
        <v>0</v>
      </c>
      <c r="W3783" s="182" t="n">
        <v>0</v>
      </c>
      <c r="X3783" s="182" t="n">
        <v>0</v>
      </c>
      <c r="Y3783" s="182" t="n">
        <v>0</v>
      </c>
      <c r="Z3783" s="182" t="n">
        <v>0</v>
      </c>
      <c r="AA3783" s="182" t="n">
        <v>0</v>
      </c>
      <c r="AB3783" s="182" t="n">
        <v>0</v>
      </c>
      <c r="AC3783" s="182" t="n">
        <v>0</v>
      </c>
      <c r="AD3783" s="182" t="n">
        <v>0</v>
      </c>
      <c r="AE3783" s="182" t="n">
        <v>0</v>
      </c>
      <c r="AF3783" s="182" t="n">
        <v>0</v>
      </c>
      <c r="AG3783" s="182" t="n">
        <v>0</v>
      </c>
      <c r="AH3783" s="182" t="n">
        <v>0</v>
      </c>
      <c r="AI3783" s="182" t="n">
        <v>0</v>
      </c>
      <c r="AJ3783" s="182" t="n">
        <v>0</v>
      </c>
      <c r="AK3783" s="182" t="n">
        <v>0</v>
      </c>
      <c r="AL3783" s="182" t="n">
        <v>0</v>
      </c>
      <c r="AM3783" s="182" t="n">
        <v>0</v>
      </c>
      <c r="AN3783" s="182" t="n">
        <v>0</v>
      </c>
    </row>
    <row r="3784">
      <c r="A3784" s="155" t="n">
        <v>46099</v>
      </c>
      <c r="B3784" s="156" t="inlineStr">
        <is>
          <t>DS</t>
        </is>
      </c>
      <c r="C3784" s="156" t="inlineStr">
        <is>
          <t>EX-334</t>
        </is>
      </c>
      <c r="D3784" s="156" t="inlineStr">
        <is>
          <t>PC 300-8MO</t>
        </is>
      </c>
      <c r="E3784" s="156" t="inlineStr">
        <is>
          <t>Excavator</t>
        </is>
      </c>
      <c r="F3784" s="156" t="inlineStr">
        <is>
          <t>Cleaning Coal</t>
        </is>
      </c>
      <c r="G3784" s="182" t="n">
        <v>11.73</v>
      </c>
      <c r="H3784" s="182" t="n">
        <v>0</v>
      </c>
      <c r="I3784" s="182" t="n">
        <v>0</v>
      </c>
      <c r="J3784" s="182" t="n">
        <v>0</v>
      </c>
      <c r="K3784" s="182" t="n">
        <v>0.27</v>
      </c>
      <c r="L3784" s="182" t="n">
        <v>12</v>
      </c>
      <c r="M3784" s="182" t="n">
        <v>0</v>
      </c>
      <c r="N3784" s="182" t="n">
        <v>0</v>
      </c>
      <c r="O3784" s="183" t="n">
        <v>0</v>
      </c>
      <c r="P3784" s="183" t="n">
        <v>0</v>
      </c>
      <c r="Q3784" s="184" t="n">
        <v>0</v>
      </c>
      <c r="R3784" s="184" t="n">
        <v>0</v>
      </c>
      <c r="S3784" s="183" t="n">
        <v>0</v>
      </c>
      <c r="T3784" s="183" t="n">
        <v>0</v>
      </c>
      <c r="U3784" s="182" t="n">
        <v>0</v>
      </c>
      <c r="V3784" s="182" t="n">
        <v>0</v>
      </c>
      <c r="W3784" s="182" t="n">
        <v>0</v>
      </c>
      <c r="X3784" s="182" t="n">
        <v>0</v>
      </c>
      <c r="Y3784" s="182" t="n">
        <v>0</v>
      </c>
      <c r="Z3784" s="182" t="n">
        <v>0</v>
      </c>
      <c r="AA3784" s="182" t="n">
        <v>0</v>
      </c>
      <c r="AB3784" s="182" t="n">
        <v>0</v>
      </c>
      <c r="AC3784" s="182" t="n">
        <v>0</v>
      </c>
      <c r="AD3784" s="182" t="n">
        <v>0</v>
      </c>
      <c r="AE3784" s="182" t="n">
        <v>0</v>
      </c>
      <c r="AF3784" s="182" t="n">
        <v>0</v>
      </c>
      <c r="AG3784" s="182" t="n">
        <v>0</v>
      </c>
      <c r="AH3784" s="182" t="n">
        <v>0</v>
      </c>
      <c r="AI3784" s="182" t="n">
        <v>0</v>
      </c>
      <c r="AJ3784" s="182" t="n">
        <v>0</v>
      </c>
      <c r="AK3784" s="182" t="n">
        <v>0.24</v>
      </c>
      <c r="AL3784" s="182" t="n">
        <v>0</v>
      </c>
      <c r="AM3784" s="182" t="n">
        <v>0.03</v>
      </c>
      <c r="AN3784" s="182" t="n">
        <v>0</v>
      </c>
    </row>
    <row r="3785">
      <c r="A3785" s="155" t="n">
        <v>46099</v>
      </c>
      <c r="B3785" s="156" t="inlineStr">
        <is>
          <t>DS</t>
        </is>
      </c>
      <c r="C3785" s="156" t="inlineStr">
        <is>
          <t>EX-332</t>
        </is>
      </c>
      <c r="D3785" s="156" t="inlineStr">
        <is>
          <t>PC 300-8MO</t>
        </is>
      </c>
      <c r="E3785" s="156" t="inlineStr">
        <is>
          <t>Excavator</t>
        </is>
      </c>
      <c r="F3785" s="156" t="inlineStr"/>
      <c r="G3785" s="182" t="n">
        <v>0</v>
      </c>
      <c r="H3785" s="182" t="n">
        <v>0</v>
      </c>
      <c r="I3785" s="182" t="n">
        <v>12</v>
      </c>
      <c r="J3785" s="182" t="n">
        <v>12</v>
      </c>
      <c r="K3785" s="182" t="n">
        <v>0</v>
      </c>
      <c r="L3785" s="182" t="n">
        <v>12</v>
      </c>
      <c r="M3785" s="182" t="n">
        <v>0</v>
      </c>
      <c r="N3785" s="182" t="n">
        <v>0</v>
      </c>
      <c r="O3785" s="183" t="n">
        <v>0</v>
      </c>
      <c r="P3785" s="183" t="n">
        <v>0</v>
      </c>
      <c r="Q3785" s="184" t="n">
        <v>0</v>
      </c>
      <c r="R3785" s="184" t="n">
        <v>0</v>
      </c>
      <c r="S3785" s="183" t="n">
        <v>0</v>
      </c>
      <c r="T3785" s="183" t="n">
        <v>0</v>
      </c>
      <c r="U3785" s="182" t="n">
        <v>0</v>
      </c>
      <c r="V3785" s="182" t="n">
        <v>0</v>
      </c>
      <c r="W3785" s="182" t="n">
        <v>0</v>
      </c>
      <c r="X3785" s="182" t="n">
        <v>0</v>
      </c>
      <c r="Y3785" s="182" t="n">
        <v>0</v>
      </c>
      <c r="Z3785" s="182" t="n">
        <v>0</v>
      </c>
      <c r="AA3785" s="182" t="n">
        <v>0</v>
      </c>
      <c r="AB3785" s="182" t="n">
        <v>0</v>
      </c>
      <c r="AC3785" s="182" t="n">
        <v>0</v>
      </c>
      <c r="AD3785" s="182" t="n">
        <v>0</v>
      </c>
      <c r="AE3785" s="182" t="n">
        <v>0</v>
      </c>
      <c r="AF3785" s="182" t="n">
        <v>0</v>
      </c>
      <c r="AG3785" s="182" t="n">
        <v>0</v>
      </c>
      <c r="AH3785" s="182" t="n">
        <v>0</v>
      </c>
      <c r="AI3785" s="182" t="n">
        <v>0</v>
      </c>
      <c r="AJ3785" s="182" t="n">
        <v>0</v>
      </c>
      <c r="AK3785" s="182" t="n">
        <v>0</v>
      </c>
      <c r="AL3785" s="182" t="n">
        <v>0</v>
      </c>
      <c r="AM3785" s="182" t="n">
        <v>0</v>
      </c>
      <c r="AN3785" s="182" t="n">
        <v>0</v>
      </c>
    </row>
    <row r="3786">
      <c r="A3786" s="155" t="n">
        <v>46099</v>
      </c>
      <c r="B3786" s="156" t="inlineStr">
        <is>
          <t>DS</t>
        </is>
      </c>
      <c r="C3786" s="156" t="inlineStr">
        <is>
          <t>EX-333</t>
        </is>
      </c>
      <c r="D3786" s="156" t="inlineStr">
        <is>
          <t>PC 300-8MO</t>
        </is>
      </c>
      <c r="E3786" s="156" t="inlineStr">
        <is>
          <t>Excavator</t>
        </is>
      </c>
      <c r="F3786" s="156" t="inlineStr">
        <is>
          <t>Cleaning Coal</t>
        </is>
      </c>
      <c r="G3786" s="182" t="n">
        <v>11.34</v>
      </c>
      <c r="H3786" s="182" t="n">
        <v>0</v>
      </c>
      <c r="I3786" s="182" t="n">
        <v>0</v>
      </c>
      <c r="J3786" s="182" t="n">
        <v>0</v>
      </c>
      <c r="K3786" s="182" t="n">
        <v>0.66</v>
      </c>
      <c r="L3786" s="182" t="n">
        <v>12</v>
      </c>
      <c r="M3786" s="182" t="n">
        <v>0</v>
      </c>
      <c r="N3786" s="182" t="n">
        <v>0</v>
      </c>
      <c r="O3786" s="183" t="n">
        <v>0</v>
      </c>
      <c r="P3786" s="183" t="n">
        <v>0</v>
      </c>
      <c r="Q3786" s="184" t="n">
        <v>0</v>
      </c>
      <c r="R3786" s="184" t="n">
        <v>0</v>
      </c>
      <c r="S3786" s="183" t="n">
        <v>0</v>
      </c>
      <c r="T3786" s="183" t="n">
        <v>0</v>
      </c>
      <c r="U3786" s="182" t="n">
        <v>0</v>
      </c>
      <c r="V3786" s="182" t="n">
        <v>0</v>
      </c>
      <c r="W3786" s="182" t="n">
        <v>0</v>
      </c>
      <c r="X3786" s="182" t="n">
        <v>0</v>
      </c>
      <c r="Y3786" s="182" t="n">
        <v>0</v>
      </c>
      <c r="Z3786" s="182" t="n">
        <v>0</v>
      </c>
      <c r="AA3786" s="182" t="n">
        <v>0</v>
      </c>
      <c r="AB3786" s="182" t="n">
        <v>0</v>
      </c>
      <c r="AC3786" s="182" t="n">
        <v>0</v>
      </c>
      <c r="AD3786" s="182" t="n">
        <v>0</v>
      </c>
      <c r="AE3786" s="182" t="n">
        <v>0</v>
      </c>
      <c r="AF3786" s="182" t="n">
        <v>0</v>
      </c>
      <c r="AG3786" s="182" t="n">
        <v>0</v>
      </c>
      <c r="AH3786" s="182" t="n">
        <v>0</v>
      </c>
      <c r="AI3786" s="182" t="n">
        <v>0</v>
      </c>
      <c r="AJ3786" s="182" t="n">
        <v>0</v>
      </c>
      <c r="AK3786" s="182" t="n">
        <v>0.58</v>
      </c>
      <c r="AL3786" s="182" t="n">
        <v>0</v>
      </c>
      <c r="AM3786" s="182" t="n">
        <v>0.08</v>
      </c>
      <c r="AN3786" s="182" t="n">
        <v>0</v>
      </c>
    </row>
    <row r="3787">
      <c r="A3787" s="155" t="n">
        <v>46099</v>
      </c>
      <c r="B3787" s="156" t="inlineStr">
        <is>
          <t>DS</t>
        </is>
      </c>
      <c r="C3787" s="156" t="inlineStr">
        <is>
          <t>EX-336</t>
        </is>
      </c>
      <c r="D3787" s="156" t="inlineStr">
        <is>
          <t>PC 300-8MO</t>
        </is>
      </c>
      <c r="E3787" s="156" t="inlineStr">
        <is>
          <t>Excavator</t>
        </is>
      </c>
      <c r="F3787" s="156" t="inlineStr">
        <is>
          <t>Cleaning Coal</t>
        </is>
      </c>
      <c r="G3787" s="182" t="n">
        <v>11.96</v>
      </c>
      <c r="H3787" s="182" t="n">
        <v>0</v>
      </c>
      <c r="I3787" s="182" t="n">
        <v>0</v>
      </c>
      <c r="J3787" s="182" t="n">
        <v>0</v>
      </c>
      <c r="K3787" s="182" t="n">
        <v>0.04</v>
      </c>
      <c r="L3787" s="182" t="n">
        <v>12</v>
      </c>
      <c r="M3787" s="182" t="n">
        <v>0</v>
      </c>
      <c r="N3787" s="182" t="n">
        <v>0</v>
      </c>
      <c r="O3787" s="183" t="n">
        <v>0</v>
      </c>
      <c r="P3787" s="183" t="n">
        <v>0</v>
      </c>
      <c r="Q3787" s="184" t="n">
        <v>0</v>
      </c>
      <c r="R3787" s="184" t="n">
        <v>0</v>
      </c>
      <c r="S3787" s="183" t="n">
        <v>0</v>
      </c>
      <c r="T3787" s="183" t="n">
        <v>0</v>
      </c>
      <c r="U3787" s="182" t="n">
        <v>0</v>
      </c>
      <c r="V3787" s="182" t="n">
        <v>0</v>
      </c>
      <c r="W3787" s="182" t="n">
        <v>0</v>
      </c>
      <c r="X3787" s="182" t="n">
        <v>0</v>
      </c>
      <c r="Y3787" s="182" t="n">
        <v>0</v>
      </c>
      <c r="Z3787" s="182" t="n">
        <v>0</v>
      </c>
      <c r="AA3787" s="182" t="n">
        <v>0</v>
      </c>
      <c r="AB3787" s="182" t="n">
        <v>0</v>
      </c>
      <c r="AC3787" s="182" t="n">
        <v>0</v>
      </c>
      <c r="AD3787" s="182" t="n">
        <v>0</v>
      </c>
      <c r="AE3787" s="182" t="n">
        <v>0</v>
      </c>
      <c r="AF3787" s="182" t="n">
        <v>0</v>
      </c>
      <c r="AG3787" s="182" t="n">
        <v>0</v>
      </c>
      <c r="AH3787" s="182" t="n">
        <v>0</v>
      </c>
      <c r="AI3787" s="182" t="n">
        <v>0</v>
      </c>
      <c r="AJ3787" s="182" t="n">
        <v>0</v>
      </c>
      <c r="AK3787" s="182" t="n">
        <v>0</v>
      </c>
      <c r="AL3787" s="182" t="n">
        <v>0</v>
      </c>
      <c r="AM3787" s="182" t="n">
        <v>0</v>
      </c>
      <c r="AN3787" s="182" t="n">
        <v>0</v>
      </c>
    </row>
    <row r="3788">
      <c r="A3788" s="155" t="n">
        <v>46099</v>
      </c>
      <c r="B3788" s="156" t="inlineStr">
        <is>
          <t>DS</t>
        </is>
      </c>
      <c r="C3788" s="156" t="inlineStr">
        <is>
          <t>EX-335</t>
        </is>
      </c>
      <c r="D3788" s="156" t="inlineStr">
        <is>
          <t>PC 300-8MO</t>
        </is>
      </c>
      <c r="E3788" s="156" t="inlineStr">
        <is>
          <t>Excavator</t>
        </is>
      </c>
      <c r="F3788" s="156" t="inlineStr">
        <is>
          <t>Loading Coal S60 &amp; Cleaning Coal</t>
        </is>
      </c>
      <c r="G3788" s="182" t="n">
        <v>11.39</v>
      </c>
      <c r="H3788" s="182" t="n">
        <v>0</v>
      </c>
      <c r="I3788" s="182" t="n">
        <v>0</v>
      </c>
      <c r="J3788" s="182" t="n">
        <v>0</v>
      </c>
      <c r="K3788" s="182" t="n">
        <v>0.61</v>
      </c>
      <c r="L3788" s="182" t="n">
        <v>12</v>
      </c>
      <c r="M3788" s="182" t="n">
        <v>0</v>
      </c>
      <c r="N3788" s="182" t="n">
        <v>9.16</v>
      </c>
      <c r="O3788" s="183" t="n">
        <v>0</v>
      </c>
      <c r="P3788" s="183" t="n">
        <v>50</v>
      </c>
      <c r="Q3788" s="184" t="n">
        <v>0</v>
      </c>
      <c r="R3788" s="184" t="n">
        <v>921.4</v>
      </c>
      <c r="S3788" s="183" t="n">
        <v>0</v>
      </c>
      <c r="T3788" s="183" t="n">
        <v>0</v>
      </c>
      <c r="U3788" s="182" t="n">
        <v>0</v>
      </c>
      <c r="V3788" s="182" t="n">
        <v>0</v>
      </c>
      <c r="W3788" s="182" t="n">
        <v>0</v>
      </c>
      <c r="X3788" s="182" t="n">
        <v>0</v>
      </c>
      <c r="Y3788" s="182" t="n">
        <v>0</v>
      </c>
      <c r="Z3788" s="182" t="n">
        <v>0</v>
      </c>
      <c r="AA3788" s="182" t="n">
        <v>0</v>
      </c>
      <c r="AB3788" s="182" t="n">
        <v>0</v>
      </c>
      <c r="AC3788" s="182" t="n">
        <v>0</v>
      </c>
      <c r="AD3788" s="182" t="n">
        <v>0</v>
      </c>
      <c r="AE3788" s="182" t="n">
        <v>0</v>
      </c>
      <c r="AF3788" s="182" t="n">
        <v>0</v>
      </c>
      <c r="AG3788" s="182" t="n">
        <v>0</v>
      </c>
      <c r="AH3788" s="182" t="n">
        <v>0</v>
      </c>
      <c r="AI3788" s="182" t="n">
        <v>0</v>
      </c>
      <c r="AJ3788" s="182" t="n">
        <v>0</v>
      </c>
      <c r="AK3788" s="182" t="n">
        <v>0.49</v>
      </c>
      <c r="AL3788" s="182" t="n">
        <v>0</v>
      </c>
      <c r="AM3788" s="182" t="n">
        <v>0.12</v>
      </c>
      <c r="AN3788" s="182" t="n">
        <v>0</v>
      </c>
    </row>
    <row r="3789">
      <c r="A3789" s="155" t="n">
        <v>46099</v>
      </c>
      <c r="B3789" s="156" t="inlineStr">
        <is>
          <t>DS</t>
        </is>
      </c>
      <c r="C3789" s="156" t="inlineStr">
        <is>
          <t>EX-754</t>
        </is>
      </c>
      <c r="D3789" s="156" t="inlineStr">
        <is>
          <t>SY750H-PRO</t>
        </is>
      </c>
      <c r="E3789" s="156" t="inlineStr">
        <is>
          <t>Excavator</t>
        </is>
      </c>
      <c r="F3789" s="156" t="inlineStr">
        <is>
          <t>Loading OB</t>
        </is>
      </c>
      <c r="G3789" s="182" t="n">
        <v>11.64</v>
      </c>
      <c r="H3789" s="182" t="n">
        <v>0</v>
      </c>
      <c r="I3789" s="182" t="n">
        <v>0</v>
      </c>
      <c r="J3789" s="182" t="n">
        <v>0</v>
      </c>
      <c r="K3789" s="182" t="n">
        <v>0.36</v>
      </c>
      <c r="L3789" s="182" t="n">
        <v>12</v>
      </c>
      <c r="M3789" s="182" t="n">
        <v>9.42</v>
      </c>
      <c r="N3789" s="182" t="n">
        <v>0</v>
      </c>
      <c r="O3789" s="183" t="n">
        <v>171</v>
      </c>
      <c r="P3789" s="183" t="n">
        <v>0</v>
      </c>
      <c r="Q3789" s="184" t="n">
        <v>3488.4</v>
      </c>
      <c r="R3789" s="184" t="n">
        <v>0</v>
      </c>
      <c r="S3789" s="183" t="n">
        <v>0</v>
      </c>
      <c r="T3789" s="183" t="n">
        <v>0</v>
      </c>
      <c r="U3789" s="182" t="n">
        <v>0</v>
      </c>
      <c r="V3789" s="182" t="n">
        <v>0</v>
      </c>
      <c r="W3789" s="182" t="n">
        <v>0</v>
      </c>
      <c r="X3789" s="182" t="n">
        <v>0</v>
      </c>
      <c r="Y3789" s="182" t="n">
        <v>0</v>
      </c>
      <c r="Z3789" s="182" t="n">
        <v>0</v>
      </c>
      <c r="AA3789" s="182" t="n">
        <v>0</v>
      </c>
      <c r="AB3789" s="182" t="n">
        <v>0</v>
      </c>
      <c r="AC3789" s="182" t="n">
        <v>0</v>
      </c>
      <c r="AD3789" s="182" t="n">
        <v>0</v>
      </c>
      <c r="AE3789" s="182" t="n">
        <v>0</v>
      </c>
      <c r="AF3789" s="182" t="n">
        <v>0</v>
      </c>
      <c r="AG3789" s="182" t="n">
        <v>0</v>
      </c>
      <c r="AH3789" s="182" t="n">
        <v>0.31</v>
      </c>
      <c r="AI3789" s="182" t="n">
        <v>0</v>
      </c>
      <c r="AJ3789" s="182" t="n">
        <v>0</v>
      </c>
      <c r="AK3789" s="182" t="n">
        <v>0</v>
      </c>
      <c r="AL3789" s="182" t="n">
        <v>0</v>
      </c>
      <c r="AM3789" s="182" t="n">
        <v>0.05</v>
      </c>
      <c r="AN3789" s="182" t="n">
        <v>0</v>
      </c>
    </row>
    <row r="3790">
      <c r="A3790" s="155" t="n">
        <v>46099</v>
      </c>
      <c r="B3790" s="156" t="inlineStr">
        <is>
          <t>DS</t>
        </is>
      </c>
      <c r="C3790" s="156" t="inlineStr">
        <is>
          <t>EX-755</t>
        </is>
      </c>
      <c r="D3790" s="156" t="inlineStr">
        <is>
          <t>SY750H-PRO</t>
        </is>
      </c>
      <c r="E3790" s="156" t="inlineStr">
        <is>
          <t>Excavator</t>
        </is>
      </c>
      <c r="F3790" s="156" t="inlineStr">
        <is>
          <t>Loading OB</t>
        </is>
      </c>
      <c r="G3790" s="182" t="n">
        <v>10.23</v>
      </c>
      <c r="H3790" s="182" t="n">
        <v>0</v>
      </c>
      <c r="I3790" s="182" t="n">
        <v>0</v>
      </c>
      <c r="J3790" s="182" t="n">
        <v>0</v>
      </c>
      <c r="K3790" s="182" t="n">
        <v>1.77</v>
      </c>
      <c r="L3790" s="182" t="n">
        <v>12</v>
      </c>
      <c r="M3790" s="182" t="n">
        <v>10.11</v>
      </c>
      <c r="N3790" s="182" t="n">
        <v>0</v>
      </c>
      <c r="O3790" s="183" t="n">
        <v>194</v>
      </c>
      <c r="P3790" s="183" t="n">
        <v>0</v>
      </c>
      <c r="Q3790" s="184" t="n">
        <v>3957.6</v>
      </c>
      <c r="R3790" s="184" t="n">
        <v>0</v>
      </c>
      <c r="S3790" s="183" t="n">
        <v>0</v>
      </c>
      <c r="T3790" s="183" t="n">
        <v>0</v>
      </c>
      <c r="U3790" s="182" t="n">
        <v>0</v>
      </c>
      <c r="V3790" s="182" t="n">
        <v>0</v>
      </c>
      <c r="W3790" s="182" t="n">
        <v>0</v>
      </c>
      <c r="X3790" s="182" t="n">
        <v>1.06</v>
      </c>
      <c r="Y3790" s="182" t="n">
        <v>0</v>
      </c>
      <c r="Z3790" s="182" t="n">
        <v>0</v>
      </c>
      <c r="AA3790" s="182" t="n">
        <v>0</v>
      </c>
      <c r="AB3790" s="182" t="n">
        <v>0</v>
      </c>
      <c r="AC3790" s="182" t="n">
        <v>0</v>
      </c>
      <c r="AD3790" s="182" t="n">
        <v>0</v>
      </c>
      <c r="AE3790" s="182" t="n">
        <v>0</v>
      </c>
      <c r="AF3790" s="182" t="n">
        <v>0</v>
      </c>
      <c r="AG3790" s="182" t="n">
        <v>0</v>
      </c>
      <c r="AH3790" s="182" t="n">
        <v>0.63</v>
      </c>
      <c r="AI3790" s="182" t="n">
        <v>0</v>
      </c>
      <c r="AJ3790" s="182" t="n">
        <v>0</v>
      </c>
      <c r="AK3790" s="182" t="n">
        <v>0</v>
      </c>
      <c r="AL3790" s="182" t="n">
        <v>0</v>
      </c>
      <c r="AM3790" s="182" t="n">
        <v>0.08</v>
      </c>
      <c r="AN3790" s="182" t="n">
        <v>0</v>
      </c>
    </row>
    <row r="3791">
      <c r="A3791" s="155" t="n">
        <v>46099</v>
      </c>
      <c r="B3791" s="156" t="inlineStr">
        <is>
          <t>DS</t>
        </is>
      </c>
      <c r="C3791" s="156" t="inlineStr">
        <is>
          <t>EX-752</t>
        </is>
      </c>
      <c r="D3791" s="156" t="inlineStr">
        <is>
          <t>SY750H-PRO</t>
        </is>
      </c>
      <c r="E3791" s="156" t="inlineStr">
        <is>
          <t>Excavator</t>
        </is>
      </c>
      <c r="F3791" s="156" t="inlineStr"/>
      <c r="G3791" s="182" t="n">
        <v>0</v>
      </c>
      <c r="H3791" s="182" t="n">
        <v>0</v>
      </c>
      <c r="I3791" s="182" t="n">
        <v>12</v>
      </c>
      <c r="J3791" s="182" t="n">
        <v>12</v>
      </c>
      <c r="K3791" s="182" t="n">
        <v>0</v>
      </c>
      <c r="L3791" s="182" t="n">
        <v>12</v>
      </c>
      <c r="M3791" s="182" t="n">
        <v>0</v>
      </c>
      <c r="N3791" s="182" t="n">
        <v>0</v>
      </c>
      <c r="O3791" s="183" t="n">
        <v>0</v>
      </c>
      <c r="P3791" s="183" t="n">
        <v>0</v>
      </c>
      <c r="Q3791" s="184" t="n">
        <v>0</v>
      </c>
      <c r="R3791" s="184" t="n">
        <v>0</v>
      </c>
      <c r="S3791" s="183" t="n">
        <v>0</v>
      </c>
      <c r="T3791" s="183" t="n">
        <v>0</v>
      </c>
      <c r="U3791" s="182" t="n">
        <v>0</v>
      </c>
      <c r="V3791" s="182" t="n">
        <v>0</v>
      </c>
      <c r="W3791" s="182" t="n">
        <v>0</v>
      </c>
      <c r="X3791" s="182" t="n">
        <v>0</v>
      </c>
      <c r="Y3791" s="182" t="n">
        <v>0</v>
      </c>
      <c r="Z3791" s="182" t="n">
        <v>0</v>
      </c>
      <c r="AA3791" s="182" t="n">
        <v>0</v>
      </c>
      <c r="AB3791" s="182" t="n">
        <v>0</v>
      </c>
      <c r="AC3791" s="182" t="n">
        <v>0</v>
      </c>
      <c r="AD3791" s="182" t="n">
        <v>0</v>
      </c>
      <c r="AE3791" s="182" t="n">
        <v>0</v>
      </c>
      <c r="AF3791" s="182" t="n">
        <v>0</v>
      </c>
      <c r="AG3791" s="182" t="n">
        <v>0</v>
      </c>
      <c r="AH3791" s="182" t="n">
        <v>0</v>
      </c>
      <c r="AI3791" s="182" t="n">
        <v>0</v>
      </c>
      <c r="AJ3791" s="182" t="n">
        <v>0</v>
      </c>
      <c r="AK3791" s="182" t="n">
        <v>0</v>
      </c>
      <c r="AL3791" s="182" t="n">
        <v>0</v>
      </c>
      <c r="AM3791" s="182" t="n">
        <v>0</v>
      </c>
      <c r="AN3791" s="182" t="n">
        <v>0</v>
      </c>
    </row>
    <row r="3792">
      <c r="A3792" s="155" t="n">
        <v>46099</v>
      </c>
      <c r="B3792" s="156" t="inlineStr">
        <is>
          <t>DS</t>
        </is>
      </c>
      <c r="C3792" s="156" t="inlineStr">
        <is>
          <t>EX-751</t>
        </is>
      </c>
      <c r="D3792" s="156" t="inlineStr">
        <is>
          <t>SY750H-PRO</t>
        </is>
      </c>
      <c r="E3792" s="156" t="inlineStr">
        <is>
          <t>Excavator</t>
        </is>
      </c>
      <c r="F3792" s="156" t="inlineStr"/>
      <c r="G3792" s="182" t="n">
        <v>0</v>
      </c>
      <c r="H3792" s="182" t="n">
        <v>0</v>
      </c>
      <c r="I3792" s="182" t="n">
        <v>12</v>
      </c>
      <c r="J3792" s="182" t="n">
        <v>12</v>
      </c>
      <c r="K3792" s="182" t="n">
        <v>0</v>
      </c>
      <c r="L3792" s="182" t="n">
        <v>12</v>
      </c>
      <c r="M3792" s="182" t="n">
        <v>0</v>
      </c>
      <c r="N3792" s="182" t="n">
        <v>0</v>
      </c>
      <c r="O3792" s="183" t="n">
        <v>0</v>
      </c>
      <c r="P3792" s="183" t="n">
        <v>0</v>
      </c>
      <c r="Q3792" s="184" t="n">
        <v>0</v>
      </c>
      <c r="R3792" s="184" t="n">
        <v>0</v>
      </c>
      <c r="S3792" s="183" t="n">
        <v>0</v>
      </c>
      <c r="T3792" s="183" t="n">
        <v>0</v>
      </c>
      <c r="U3792" s="182" t="n">
        <v>0</v>
      </c>
      <c r="V3792" s="182" t="n">
        <v>0</v>
      </c>
      <c r="W3792" s="182" t="n">
        <v>0</v>
      </c>
      <c r="X3792" s="182" t="n">
        <v>0</v>
      </c>
      <c r="Y3792" s="182" t="n">
        <v>0</v>
      </c>
      <c r="Z3792" s="182" t="n">
        <v>0</v>
      </c>
      <c r="AA3792" s="182" t="n">
        <v>0</v>
      </c>
      <c r="AB3792" s="182" t="n">
        <v>0</v>
      </c>
      <c r="AC3792" s="182" t="n">
        <v>0</v>
      </c>
      <c r="AD3792" s="182" t="n">
        <v>0</v>
      </c>
      <c r="AE3792" s="182" t="n">
        <v>0</v>
      </c>
      <c r="AF3792" s="182" t="n">
        <v>0</v>
      </c>
      <c r="AG3792" s="182" t="n">
        <v>0</v>
      </c>
      <c r="AH3792" s="182" t="n">
        <v>0</v>
      </c>
      <c r="AI3792" s="182" t="n">
        <v>0</v>
      </c>
      <c r="AJ3792" s="182" t="n">
        <v>0</v>
      </c>
      <c r="AK3792" s="182" t="n">
        <v>0</v>
      </c>
      <c r="AL3792" s="182" t="n">
        <v>0</v>
      </c>
      <c r="AM3792" s="182" t="n">
        <v>0</v>
      </c>
      <c r="AN3792" s="182" t="n">
        <v>0</v>
      </c>
    </row>
    <row r="3793">
      <c r="A3793" s="155" t="n">
        <v>46099</v>
      </c>
      <c r="B3793" s="156" t="inlineStr">
        <is>
          <t>DS</t>
        </is>
      </c>
      <c r="C3793" s="156" t="inlineStr">
        <is>
          <t>EX-753</t>
        </is>
      </c>
      <c r="D3793" s="156" t="inlineStr">
        <is>
          <t>SY750H-PRO</t>
        </is>
      </c>
      <c r="E3793" s="156" t="inlineStr">
        <is>
          <t>Excavator</t>
        </is>
      </c>
      <c r="F3793" s="156" t="inlineStr">
        <is>
          <t>Loading OB &amp; Coal S60</t>
        </is>
      </c>
      <c r="G3793" s="182" t="n">
        <v>11.12</v>
      </c>
      <c r="H3793" s="182" t="n">
        <v>0</v>
      </c>
      <c r="I3793" s="182" t="n">
        <v>0.17</v>
      </c>
      <c r="J3793" s="182" t="n">
        <v>0.17</v>
      </c>
      <c r="K3793" s="182" t="n">
        <v>0.71</v>
      </c>
      <c r="L3793" s="182" t="n">
        <v>12</v>
      </c>
      <c r="M3793" s="182" t="n">
        <v>5.46</v>
      </c>
      <c r="N3793" s="182" t="n">
        <v>4.58</v>
      </c>
      <c r="O3793" s="183" t="n">
        <v>73</v>
      </c>
      <c r="P3793" s="183" t="n">
        <v>44</v>
      </c>
      <c r="Q3793" s="184" t="n">
        <v>1191.4</v>
      </c>
      <c r="R3793" s="184" t="n">
        <v>822.8</v>
      </c>
      <c r="S3793" s="183" t="n">
        <v>0</v>
      </c>
      <c r="T3793" s="183" t="n">
        <v>0</v>
      </c>
      <c r="U3793" s="182" t="n">
        <v>0</v>
      </c>
      <c r="V3793" s="182" t="n">
        <v>0</v>
      </c>
      <c r="W3793" s="182" t="n">
        <v>0</v>
      </c>
      <c r="X3793" s="182" t="n">
        <v>0</v>
      </c>
      <c r="Y3793" s="182" t="n">
        <v>0</v>
      </c>
      <c r="Z3793" s="182" t="n">
        <v>0</v>
      </c>
      <c r="AA3793" s="182" t="n">
        <v>0</v>
      </c>
      <c r="AB3793" s="182" t="n">
        <v>0</v>
      </c>
      <c r="AC3793" s="182" t="n">
        <v>0</v>
      </c>
      <c r="AD3793" s="182" t="n">
        <v>0</v>
      </c>
      <c r="AE3793" s="182" t="n">
        <v>0</v>
      </c>
      <c r="AF3793" s="182" t="n">
        <v>0</v>
      </c>
      <c r="AG3793" s="182" t="n">
        <v>0</v>
      </c>
      <c r="AH3793" s="182" t="n">
        <v>0.62</v>
      </c>
      <c r="AI3793" s="182" t="n">
        <v>0</v>
      </c>
      <c r="AJ3793" s="182" t="n">
        <v>0</v>
      </c>
      <c r="AK3793" s="182" t="n">
        <v>0</v>
      </c>
      <c r="AL3793" s="182" t="n">
        <v>0</v>
      </c>
      <c r="AM3793" s="182" t="n">
        <v>0.09</v>
      </c>
      <c r="AN3793" s="182" t="n">
        <v>0</v>
      </c>
    </row>
    <row r="3794">
      <c r="A3794" s="155" t="n">
        <v>46099</v>
      </c>
      <c r="B3794" s="156" t="inlineStr">
        <is>
          <t>DS</t>
        </is>
      </c>
      <c r="C3794" s="156" t="inlineStr">
        <is>
          <t>GD-012</t>
        </is>
      </c>
      <c r="D3794" s="156" t="inlineStr">
        <is>
          <t>STG 230C - 8S</t>
        </is>
      </c>
      <c r="E3794" s="156" t="inlineStr">
        <is>
          <t>Grader</t>
        </is>
      </c>
      <c r="F3794" s="156" t="inlineStr"/>
      <c r="G3794" s="182" t="n">
        <v>0</v>
      </c>
      <c r="H3794" s="182" t="n">
        <v>0</v>
      </c>
      <c r="I3794" s="182" t="n">
        <v>0</v>
      </c>
      <c r="J3794" s="182" t="n">
        <v>0</v>
      </c>
      <c r="K3794" s="182" t="n">
        <v>12</v>
      </c>
      <c r="L3794" s="182" t="n">
        <v>12</v>
      </c>
      <c r="M3794" s="182" t="n">
        <v>0</v>
      </c>
      <c r="N3794" s="182" t="n">
        <v>0</v>
      </c>
      <c r="O3794" s="183" t="n">
        <v>0</v>
      </c>
      <c r="P3794" s="183" t="n">
        <v>0</v>
      </c>
      <c r="Q3794" s="184" t="n">
        <v>0</v>
      </c>
      <c r="R3794" s="184" t="n">
        <v>0</v>
      </c>
      <c r="S3794" s="183" t="n">
        <v>0</v>
      </c>
      <c r="T3794" s="183" t="n">
        <v>0</v>
      </c>
      <c r="U3794" s="182" t="n">
        <v>0</v>
      </c>
      <c r="V3794" s="182" t="n">
        <v>0</v>
      </c>
      <c r="W3794" s="182" t="n">
        <v>0</v>
      </c>
      <c r="X3794" s="182" t="n">
        <v>1</v>
      </c>
      <c r="Y3794" s="182" t="n">
        <v>0</v>
      </c>
      <c r="Z3794" s="182" t="n">
        <v>0</v>
      </c>
      <c r="AA3794" s="182" t="n">
        <v>0</v>
      </c>
      <c r="AB3794" s="182" t="n">
        <v>0</v>
      </c>
      <c r="AC3794" s="182" t="n">
        <v>0</v>
      </c>
      <c r="AD3794" s="182" t="n">
        <v>0</v>
      </c>
      <c r="AE3794" s="182" t="n">
        <v>0</v>
      </c>
      <c r="AF3794" s="182" t="n">
        <v>0</v>
      </c>
      <c r="AG3794" s="182" t="n">
        <v>0</v>
      </c>
      <c r="AH3794" s="182" t="n">
        <v>0</v>
      </c>
      <c r="AI3794" s="182" t="n">
        <v>0</v>
      </c>
      <c r="AJ3794" s="182" t="n">
        <v>0</v>
      </c>
      <c r="AK3794" s="182" t="n">
        <v>10.92</v>
      </c>
      <c r="AL3794" s="182" t="n">
        <v>0</v>
      </c>
      <c r="AM3794" s="182" t="n">
        <v>0.08</v>
      </c>
      <c r="AN3794" s="182" t="n">
        <v>0</v>
      </c>
    </row>
    <row r="3795">
      <c r="A3795" s="155" t="n">
        <v>46099</v>
      </c>
      <c r="B3795" s="156" t="inlineStr">
        <is>
          <t>DS</t>
        </is>
      </c>
      <c r="C3795" s="156" t="inlineStr">
        <is>
          <t>GD-011</t>
        </is>
      </c>
      <c r="D3795" s="156" t="inlineStr">
        <is>
          <t>STG 230C - 8S</t>
        </is>
      </c>
      <c r="E3795" s="156" t="inlineStr">
        <is>
          <t>Grader</t>
        </is>
      </c>
      <c r="F3795" s="156" t="inlineStr"/>
      <c r="G3795" s="182" t="n">
        <v>0</v>
      </c>
      <c r="H3795" s="182" t="n">
        <v>0</v>
      </c>
      <c r="I3795" s="182" t="n">
        <v>12</v>
      </c>
      <c r="J3795" s="182" t="n">
        <v>12</v>
      </c>
      <c r="K3795" s="182" t="n">
        <v>0</v>
      </c>
      <c r="L3795" s="182" t="n">
        <v>12</v>
      </c>
      <c r="M3795" s="182" t="n">
        <v>0</v>
      </c>
      <c r="N3795" s="182" t="n">
        <v>0</v>
      </c>
      <c r="O3795" s="183" t="n">
        <v>0</v>
      </c>
      <c r="P3795" s="183" t="n">
        <v>0</v>
      </c>
      <c r="Q3795" s="184" t="n">
        <v>0</v>
      </c>
      <c r="R3795" s="184" t="n">
        <v>0</v>
      </c>
      <c r="S3795" s="183" t="n">
        <v>0</v>
      </c>
      <c r="T3795" s="183" t="n">
        <v>0</v>
      </c>
      <c r="U3795" s="182" t="n">
        <v>0</v>
      </c>
      <c r="V3795" s="182" t="n">
        <v>0</v>
      </c>
      <c r="W3795" s="182" t="n">
        <v>0</v>
      </c>
      <c r="X3795" s="182" t="n">
        <v>0</v>
      </c>
      <c r="Y3795" s="182" t="n">
        <v>0</v>
      </c>
      <c r="Z3795" s="182" t="n">
        <v>0</v>
      </c>
      <c r="AA3795" s="182" t="n">
        <v>0</v>
      </c>
      <c r="AB3795" s="182" t="n">
        <v>0</v>
      </c>
      <c r="AC3795" s="182" t="n">
        <v>0</v>
      </c>
      <c r="AD3795" s="182" t="n">
        <v>0</v>
      </c>
      <c r="AE3795" s="182" t="n">
        <v>0</v>
      </c>
      <c r="AF3795" s="182" t="n">
        <v>0</v>
      </c>
      <c r="AG3795" s="182" t="n">
        <v>0</v>
      </c>
      <c r="AH3795" s="182" t="n">
        <v>0</v>
      </c>
      <c r="AI3795" s="182" t="n">
        <v>0</v>
      </c>
      <c r="AJ3795" s="182" t="n">
        <v>0</v>
      </c>
      <c r="AK3795" s="182" t="n">
        <v>0</v>
      </c>
      <c r="AL3795" s="182" t="n">
        <v>0</v>
      </c>
      <c r="AM3795" s="182" t="n">
        <v>0</v>
      </c>
      <c r="AN3795" s="182" t="n">
        <v>0</v>
      </c>
    </row>
    <row r="3796">
      <c r="A3796" s="155" t="n">
        <v>46099</v>
      </c>
      <c r="B3796" s="156" t="inlineStr">
        <is>
          <t>DS</t>
        </is>
      </c>
      <c r="C3796" s="156" t="inlineStr">
        <is>
          <t>GD-013</t>
        </is>
      </c>
      <c r="D3796" s="156" t="inlineStr">
        <is>
          <t>STG 265C - 10</t>
        </is>
      </c>
      <c r="E3796" s="156" t="inlineStr">
        <is>
          <t>Grader</t>
        </is>
      </c>
      <c r="F3796" s="156" t="inlineStr">
        <is>
          <t>Road Maintenance</t>
        </is>
      </c>
      <c r="G3796" s="182" t="n">
        <v>9.279999999999999</v>
      </c>
      <c r="H3796" s="182" t="n">
        <v>1.72</v>
      </c>
      <c r="I3796" s="182" t="n">
        <v>0</v>
      </c>
      <c r="J3796" s="182" t="n">
        <v>1.72</v>
      </c>
      <c r="K3796" s="182" t="n">
        <v>1</v>
      </c>
      <c r="L3796" s="182" t="n">
        <v>12</v>
      </c>
      <c r="M3796" s="182" t="n">
        <v>0</v>
      </c>
      <c r="N3796" s="182" t="n">
        <v>0</v>
      </c>
      <c r="O3796" s="183" t="n">
        <v>0</v>
      </c>
      <c r="P3796" s="183" t="n">
        <v>0</v>
      </c>
      <c r="Q3796" s="184" t="n">
        <v>0</v>
      </c>
      <c r="R3796" s="184" t="n">
        <v>0</v>
      </c>
      <c r="S3796" s="183" t="n">
        <v>0</v>
      </c>
      <c r="T3796" s="183" t="n">
        <v>0</v>
      </c>
      <c r="U3796" s="182" t="n">
        <v>0</v>
      </c>
      <c r="V3796" s="182" t="n">
        <v>0</v>
      </c>
      <c r="W3796" s="182" t="n">
        <v>0</v>
      </c>
      <c r="X3796" s="182" t="n">
        <v>0</v>
      </c>
      <c r="Y3796" s="182" t="n">
        <v>0</v>
      </c>
      <c r="Z3796" s="182" t="n">
        <v>0</v>
      </c>
      <c r="AA3796" s="182" t="n">
        <v>0</v>
      </c>
      <c r="AB3796" s="182" t="n">
        <v>0</v>
      </c>
      <c r="AC3796" s="182" t="n">
        <v>0</v>
      </c>
      <c r="AD3796" s="182" t="n">
        <v>0</v>
      </c>
      <c r="AE3796" s="182" t="n">
        <v>0</v>
      </c>
      <c r="AF3796" s="182" t="n">
        <v>0</v>
      </c>
      <c r="AG3796" s="182" t="n">
        <v>0</v>
      </c>
      <c r="AH3796" s="182" t="n">
        <v>0</v>
      </c>
      <c r="AI3796" s="182" t="n">
        <v>0</v>
      </c>
      <c r="AJ3796" s="182" t="n">
        <v>0</v>
      </c>
      <c r="AK3796" s="182" t="n">
        <v>0.92</v>
      </c>
      <c r="AL3796" s="182" t="n">
        <v>0</v>
      </c>
      <c r="AM3796" s="182" t="n">
        <v>0.08</v>
      </c>
      <c r="AN3796" s="182" t="n">
        <v>0</v>
      </c>
    </row>
    <row r="3797">
      <c r="A3797" s="155" t="n">
        <v>46099</v>
      </c>
      <c r="B3797" s="156" t="inlineStr">
        <is>
          <t>DS</t>
        </is>
      </c>
      <c r="C3797" s="156" t="inlineStr">
        <is>
          <t>GD-014</t>
        </is>
      </c>
      <c r="D3797" s="156" t="inlineStr">
        <is>
          <t>STG 335C - 10</t>
        </is>
      </c>
      <c r="E3797" s="156" t="inlineStr">
        <is>
          <t>Grader</t>
        </is>
      </c>
      <c r="F3797" s="156" t="inlineStr">
        <is>
          <t>Road Maintenance</t>
        </is>
      </c>
      <c r="G3797" s="182" t="n">
        <v>10.29</v>
      </c>
      <c r="H3797" s="182" t="n">
        <v>0</v>
      </c>
      <c r="I3797" s="182" t="n">
        <v>0</v>
      </c>
      <c r="J3797" s="182" t="n">
        <v>0</v>
      </c>
      <c r="K3797" s="182" t="n">
        <v>1.71</v>
      </c>
      <c r="L3797" s="182" t="n">
        <v>12</v>
      </c>
      <c r="M3797" s="182" t="n">
        <v>0</v>
      </c>
      <c r="N3797" s="182" t="n">
        <v>0</v>
      </c>
      <c r="O3797" s="183" t="n">
        <v>0</v>
      </c>
      <c r="P3797" s="183" t="n">
        <v>0</v>
      </c>
      <c r="Q3797" s="184" t="n">
        <v>0</v>
      </c>
      <c r="R3797" s="184" t="n">
        <v>0</v>
      </c>
      <c r="S3797" s="183" t="n">
        <v>0</v>
      </c>
      <c r="T3797" s="183" t="n">
        <v>0</v>
      </c>
      <c r="U3797" s="182" t="n">
        <v>0</v>
      </c>
      <c r="V3797" s="182" t="n">
        <v>0</v>
      </c>
      <c r="W3797" s="182" t="n">
        <v>0</v>
      </c>
      <c r="X3797" s="182" t="n">
        <v>1.14</v>
      </c>
      <c r="Y3797" s="182" t="n">
        <v>0</v>
      </c>
      <c r="Z3797" s="182" t="n">
        <v>0</v>
      </c>
      <c r="AA3797" s="182" t="n">
        <v>0</v>
      </c>
      <c r="AB3797" s="182" t="n">
        <v>0</v>
      </c>
      <c r="AC3797" s="182" t="n">
        <v>0</v>
      </c>
      <c r="AD3797" s="182" t="n">
        <v>0</v>
      </c>
      <c r="AE3797" s="182" t="n">
        <v>0</v>
      </c>
      <c r="AF3797" s="182" t="n">
        <v>0</v>
      </c>
      <c r="AG3797" s="182" t="n">
        <v>0</v>
      </c>
      <c r="AH3797" s="182" t="n">
        <v>0</v>
      </c>
      <c r="AI3797" s="182" t="n">
        <v>0</v>
      </c>
      <c r="AJ3797" s="182" t="n">
        <v>0</v>
      </c>
      <c r="AK3797" s="182" t="n">
        <v>0.48</v>
      </c>
      <c r="AL3797" s="182" t="n">
        <v>0</v>
      </c>
      <c r="AM3797" s="182" t="n">
        <v>0.09</v>
      </c>
      <c r="AN3797" s="182" t="n">
        <v>0</v>
      </c>
    </row>
    <row r="3798">
      <c r="A3798" s="155" t="n">
        <v>46099</v>
      </c>
      <c r="B3798" s="156" t="inlineStr">
        <is>
          <t>DS</t>
        </is>
      </c>
      <c r="C3798" s="156" t="inlineStr">
        <is>
          <t>DT-809</t>
        </is>
      </c>
      <c r="D3798" s="156" t="inlineStr">
        <is>
          <t>SKT 80S</t>
        </is>
      </c>
      <c r="E3798" s="156" t="inlineStr">
        <is>
          <t>Hauler</t>
        </is>
      </c>
      <c r="F3798" s="156" t="inlineStr"/>
      <c r="G3798" s="182" t="n">
        <v>0</v>
      </c>
      <c r="H3798" s="182" t="n">
        <v>0</v>
      </c>
      <c r="I3798" s="182" t="n">
        <v>0</v>
      </c>
      <c r="J3798" s="182" t="n">
        <v>0</v>
      </c>
      <c r="K3798" s="182" t="n">
        <v>12</v>
      </c>
      <c r="L3798" s="182" t="n">
        <v>12</v>
      </c>
      <c r="M3798" s="182" t="n">
        <v>0</v>
      </c>
      <c r="N3798" s="182" t="n">
        <v>0</v>
      </c>
      <c r="O3798" s="183" t="n">
        <v>0</v>
      </c>
      <c r="P3798" s="183" t="n">
        <v>0</v>
      </c>
      <c r="Q3798" s="184" t="n">
        <v>0</v>
      </c>
      <c r="R3798" s="184" t="n">
        <v>0</v>
      </c>
      <c r="S3798" s="183" t="n">
        <v>0</v>
      </c>
      <c r="T3798" s="183" t="n">
        <v>0</v>
      </c>
      <c r="U3798" s="182" t="n">
        <v>0</v>
      </c>
      <c r="V3798" s="182" t="n">
        <v>0</v>
      </c>
      <c r="W3798" s="182" t="n">
        <v>0</v>
      </c>
      <c r="X3798" s="182" t="n">
        <v>1</v>
      </c>
      <c r="Y3798" s="182" t="n">
        <v>0</v>
      </c>
      <c r="Z3798" s="182" t="n">
        <v>0</v>
      </c>
      <c r="AA3798" s="182" t="n">
        <v>0</v>
      </c>
      <c r="AB3798" s="182" t="n">
        <v>0</v>
      </c>
      <c r="AC3798" s="182" t="n">
        <v>0</v>
      </c>
      <c r="AD3798" s="182" t="n">
        <v>0</v>
      </c>
      <c r="AE3798" s="182" t="n">
        <v>0</v>
      </c>
      <c r="AF3798" s="182" t="n">
        <v>0</v>
      </c>
      <c r="AG3798" s="182" t="n">
        <v>0</v>
      </c>
      <c r="AH3798" s="182" t="n">
        <v>0</v>
      </c>
      <c r="AI3798" s="182" t="n">
        <v>0</v>
      </c>
      <c r="AJ3798" s="182" t="n">
        <v>0</v>
      </c>
      <c r="AK3798" s="182" t="n">
        <v>10.92</v>
      </c>
      <c r="AL3798" s="182" t="n">
        <v>0</v>
      </c>
      <c r="AM3798" s="182" t="n">
        <v>0.08</v>
      </c>
      <c r="AN3798" s="182" t="n">
        <v>0</v>
      </c>
    </row>
    <row r="3799">
      <c r="A3799" s="155" t="n">
        <v>46099</v>
      </c>
      <c r="B3799" s="156" t="inlineStr">
        <is>
          <t>DS</t>
        </is>
      </c>
      <c r="C3799" s="156" t="inlineStr">
        <is>
          <t>DT-806</t>
        </is>
      </c>
      <c r="D3799" s="156" t="inlineStr">
        <is>
          <t>SKT 80S</t>
        </is>
      </c>
      <c r="E3799" s="156" t="inlineStr">
        <is>
          <t>Hauler</t>
        </is>
      </c>
      <c r="F3799" s="156" t="inlineStr"/>
      <c r="G3799" s="182" t="n">
        <v>0</v>
      </c>
      <c r="H3799" s="182" t="n">
        <v>0</v>
      </c>
      <c r="I3799" s="182" t="n">
        <v>0</v>
      </c>
      <c r="J3799" s="182" t="n">
        <v>0</v>
      </c>
      <c r="K3799" s="182" t="n">
        <v>12</v>
      </c>
      <c r="L3799" s="182" t="n">
        <v>12</v>
      </c>
      <c r="M3799" s="182" t="n">
        <v>0</v>
      </c>
      <c r="N3799" s="182" t="n">
        <v>0</v>
      </c>
      <c r="O3799" s="183" t="n">
        <v>0</v>
      </c>
      <c r="P3799" s="183" t="n">
        <v>0</v>
      </c>
      <c r="Q3799" s="184" t="n">
        <v>0</v>
      </c>
      <c r="R3799" s="184" t="n">
        <v>0</v>
      </c>
      <c r="S3799" s="183" t="n">
        <v>0</v>
      </c>
      <c r="T3799" s="183" t="n">
        <v>0</v>
      </c>
      <c r="U3799" s="182" t="n">
        <v>0</v>
      </c>
      <c r="V3799" s="182" t="n">
        <v>0</v>
      </c>
      <c r="W3799" s="182" t="n">
        <v>0</v>
      </c>
      <c r="X3799" s="182" t="n">
        <v>1</v>
      </c>
      <c r="Y3799" s="182" t="n">
        <v>0</v>
      </c>
      <c r="Z3799" s="182" t="n">
        <v>0</v>
      </c>
      <c r="AA3799" s="182" t="n">
        <v>0</v>
      </c>
      <c r="AB3799" s="182" t="n">
        <v>0</v>
      </c>
      <c r="AC3799" s="182" t="n">
        <v>0</v>
      </c>
      <c r="AD3799" s="182" t="n">
        <v>0</v>
      </c>
      <c r="AE3799" s="182" t="n">
        <v>0</v>
      </c>
      <c r="AF3799" s="182" t="n">
        <v>0</v>
      </c>
      <c r="AG3799" s="182" t="n">
        <v>0</v>
      </c>
      <c r="AH3799" s="182" t="n">
        <v>0</v>
      </c>
      <c r="AI3799" s="182" t="n">
        <v>0</v>
      </c>
      <c r="AJ3799" s="182" t="n">
        <v>0</v>
      </c>
      <c r="AK3799" s="182" t="n">
        <v>10.92</v>
      </c>
      <c r="AL3799" s="182" t="n">
        <v>0</v>
      </c>
      <c r="AM3799" s="182" t="n">
        <v>0.08</v>
      </c>
      <c r="AN3799" s="182" t="n">
        <v>0</v>
      </c>
    </row>
    <row r="3800">
      <c r="A3800" s="155" t="n">
        <v>46099</v>
      </c>
      <c r="B3800" s="156" t="inlineStr">
        <is>
          <t>DS</t>
        </is>
      </c>
      <c r="C3800" s="156" t="inlineStr">
        <is>
          <t>DT-805</t>
        </is>
      </c>
      <c r="D3800" s="156" t="inlineStr">
        <is>
          <t>SKT 80S</t>
        </is>
      </c>
      <c r="E3800" s="156" t="inlineStr">
        <is>
          <t>Hauler</t>
        </is>
      </c>
      <c r="F3800" s="156" t="inlineStr"/>
      <c r="G3800" s="182" t="n">
        <v>0</v>
      </c>
      <c r="H3800" s="182" t="n">
        <v>0</v>
      </c>
      <c r="I3800" s="182" t="n">
        <v>0</v>
      </c>
      <c r="J3800" s="182" t="n">
        <v>0</v>
      </c>
      <c r="K3800" s="182" t="n">
        <v>12</v>
      </c>
      <c r="L3800" s="182" t="n">
        <v>12</v>
      </c>
      <c r="M3800" s="182" t="n">
        <v>0</v>
      </c>
      <c r="N3800" s="182" t="n">
        <v>0</v>
      </c>
      <c r="O3800" s="183" t="n">
        <v>0</v>
      </c>
      <c r="P3800" s="183" t="n">
        <v>0</v>
      </c>
      <c r="Q3800" s="184" t="n">
        <v>0</v>
      </c>
      <c r="R3800" s="184" t="n">
        <v>0</v>
      </c>
      <c r="S3800" s="183" t="n">
        <v>0</v>
      </c>
      <c r="T3800" s="183" t="n">
        <v>0</v>
      </c>
      <c r="U3800" s="182" t="n">
        <v>0</v>
      </c>
      <c r="V3800" s="182" t="n">
        <v>0</v>
      </c>
      <c r="W3800" s="182" t="n">
        <v>0</v>
      </c>
      <c r="X3800" s="182" t="n">
        <v>1</v>
      </c>
      <c r="Y3800" s="182" t="n">
        <v>0</v>
      </c>
      <c r="Z3800" s="182" t="n">
        <v>0</v>
      </c>
      <c r="AA3800" s="182" t="n">
        <v>0</v>
      </c>
      <c r="AB3800" s="182" t="n">
        <v>0</v>
      </c>
      <c r="AC3800" s="182" t="n">
        <v>0</v>
      </c>
      <c r="AD3800" s="182" t="n">
        <v>0</v>
      </c>
      <c r="AE3800" s="182" t="n">
        <v>0</v>
      </c>
      <c r="AF3800" s="182" t="n">
        <v>0</v>
      </c>
      <c r="AG3800" s="182" t="n">
        <v>0</v>
      </c>
      <c r="AH3800" s="182" t="n">
        <v>0</v>
      </c>
      <c r="AI3800" s="182" t="n">
        <v>0</v>
      </c>
      <c r="AJ3800" s="182" t="n">
        <v>0</v>
      </c>
      <c r="AK3800" s="182" t="n">
        <v>10.92</v>
      </c>
      <c r="AL3800" s="182" t="n">
        <v>0</v>
      </c>
      <c r="AM3800" s="182" t="n">
        <v>0.08</v>
      </c>
      <c r="AN3800" s="182" t="n">
        <v>0</v>
      </c>
    </row>
    <row r="3801">
      <c r="A3801" s="155" t="n">
        <v>46099</v>
      </c>
      <c r="B3801" s="156" t="inlineStr">
        <is>
          <t>DS</t>
        </is>
      </c>
      <c r="C3801" s="156" t="inlineStr">
        <is>
          <t>DT-801</t>
        </is>
      </c>
      <c r="D3801" s="156" t="inlineStr">
        <is>
          <t>SKT 80S</t>
        </is>
      </c>
      <c r="E3801" s="156" t="inlineStr">
        <is>
          <t>Hauler</t>
        </is>
      </c>
      <c r="F3801" s="156" t="inlineStr"/>
      <c r="G3801" s="182" t="n">
        <v>0</v>
      </c>
      <c r="H3801" s="182" t="n">
        <v>0</v>
      </c>
      <c r="I3801" s="182" t="n">
        <v>0</v>
      </c>
      <c r="J3801" s="182" t="n">
        <v>0</v>
      </c>
      <c r="K3801" s="182" t="n">
        <v>12</v>
      </c>
      <c r="L3801" s="182" t="n">
        <v>12</v>
      </c>
      <c r="M3801" s="182" t="n">
        <v>0</v>
      </c>
      <c r="N3801" s="182" t="n">
        <v>0</v>
      </c>
      <c r="O3801" s="183" t="n">
        <v>0</v>
      </c>
      <c r="P3801" s="183" t="n">
        <v>0</v>
      </c>
      <c r="Q3801" s="184" t="n">
        <v>0</v>
      </c>
      <c r="R3801" s="184" t="n">
        <v>0</v>
      </c>
      <c r="S3801" s="183" t="n">
        <v>0</v>
      </c>
      <c r="T3801" s="183" t="n">
        <v>0</v>
      </c>
      <c r="U3801" s="182" t="n">
        <v>0</v>
      </c>
      <c r="V3801" s="182" t="n">
        <v>0</v>
      </c>
      <c r="W3801" s="182" t="n">
        <v>0</v>
      </c>
      <c r="X3801" s="182" t="n">
        <v>1</v>
      </c>
      <c r="Y3801" s="182" t="n">
        <v>0</v>
      </c>
      <c r="Z3801" s="182" t="n">
        <v>0</v>
      </c>
      <c r="AA3801" s="182" t="n">
        <v>0</v>
      </c>
      <c r="AB3801" s="182" t="n">
        <v>0</v>
      </c>
      <c r="AC3801" s="182" t="n">
        <v>0</v>
      </c>
      <c r="AD3801" s="182" t="n">
        <v>0</v>
      </c>
      <c r="AE3801" s="182" t="n">
        <v>0</v>
      </c>
      <c r="AF3801" s="182" t="n">
        <v>0</v>
      </c>
      <c r="AG3801" s="182" t="n">
        <v>0</v>
      </c>
      <c r="AH3801" s="182" t="n">
        <v>0</v>
      </c>
      <c r="AI3801" s="182" t="n">
        <v>0</v>
      </c>
      <c r="AJ3801" s="182" t="n">
        <v>0</v>
      </c>
      <c r="AK3801" s="182" t="n">
        <v>10.92</v>
      </c>
      <c r="AL3801" s="182" t="n">
        <v>0</v>
      </c>
      <c r="AM3801" s="182" t="n">
        <v>0.08</v>
      </c>
      <c r="AN3801" s="182" t="n">
        <v>0</v>
      </c>
    </row>
    <row r="3802">
      <c r="A3802" s="155" t="n">
        <v>46099</v>
      </c>
      <c r="B3802" s="156" t="inlineStr">
        <is>
          <t>DS</t>
        </is>
      </c>
      <c r="C3802" s="156" t="inlineStr">
        <is>
          <t>DT-808</t>
        </is>
      </c>
      <c r="D3802" s="156" t="inlineStr">
        <is>
          <t>SKT 80S</t>
        </is>
      </c>
      <c r="E3802" s="156" t="inlineStr">
        <is>
          <t>Hauler</t>
        </is>
      </c>
      <c r="F3802" s="156" t="inlineStr"/>
      <c r="G3802" s="182" t="n">
        <v>0</v>
      </c>
      <c r="H3802" s="182" t="n">
        <v>0</v>
      </c>
      <c r="I3802" s="182" t="n">
        <v>0</v>
      </c>
      <c r="J3802" s="182" t="n">
        <v>0</v>
      </c>
      <c r="K3802" s="182" t="n">
        <v>12</v>
      </c>
      <c r="L3802" s="182" t="n">
        <v>12</v>
      </c>
      <c r="M3802" s="182" t="n">
        <v>0</v>
      </c>
      <c r="N3802" s="182" t="n">
        <v>0</v>
      </c>
      <c r="O3802" s="183" t="n">
        <v>0</v>
      </c>
      <c r="P3802" s="183" t="n">
        <v>0</v>
      </c>
      <c r="Q3802" s="184" t="n">
        <v>0</v>
      </c>
      <c r="R3802" s="184" t="n">
        <v>0</v>
      </c>
      <c r="S3802" s="183" t="n">
        <v>0</v>
      </c>
      <c r="T3802" s="183" t="n">
        <v>0</v>
      </c>
      <c r="U3802" s="182" t="n">
        <v>0</v>
      </c>
      <c r="V3802" s="182" t="n">
        <v>0</v>
      </c>
      <c r="W3802" s="182" t="n">
        <v>0</v>
      </c>
      <c r="X3802" s="182" t="n">
        <v>1</v>
      </c>
      <c r="Y3802" s="182" t="n">
        <v>0</v>
      </c>
      <c r="Z3802" s="182" t="n">
        <v>0</v>
      </c>
      <c r="AA3802" s="182" t="n">
        <v>0</v>
      </c>
      <c r="AB3802" s="182" t="n">
        <v>0</v>
      </c>
      <c r="AC3802" s="182" t="n">
        <v>0</v>
      </c>
      <c r="AD3802" s="182" t="n">
        <v>0</v>
      </c>
      <c r="AE3802" s="182" t="n">
        <v>0</v>
      </c>
      <c r="AF3802" s="182" t="n">
        <v>0</v>
      </c>
      <c r="AG3802" s="182" t="n">
        <v>0</v>
      </c>
      <c r="AH3802" s="182" t="n">
        <v>0</v>
      </c>
      <c r="AI3802" s="182" t="n">
        <v>0</v>
      </c>
      <c r="AJ3802" s="182" t="n">
        <v>0</v>
      </c>
      <c r="AK3802" s="182" t="n">
        <v>10.92</v>
      </c>
      <c r="AL3802" s="182" t="n">
        <v>0</v>
      </c>
      <c r="AM3802" s="182" t="n">
        <v>0.08</v>
      </c>
      <c r="AN3802" s="182" t="n">
        <v>0</v>
      </c>
    </row>
    <row r="3803">
      <c r="A3803" s="155" t="n">
        <v>46099</v>
      </c>
      <c r="B3803" s="156" t="inlineStr">
        <is>
          <t>DS</t>
        </is>
      </c>
      <c r="C3803" s="156" t="inlineStr">
        <is>
          <t>DT-811</t>
        </is>
      </c>
      <c r="D3803" s="156" t="inlineStr">
        <is>
          <t>SKT 80S</t>
        </is>
      </c>
      <c r="E3803" s="156" t="inlineStr">
        <is>
          <t>Hauler</t>
        </is>
      </c>
      <c r="F3803" s="156" t="inlineStr"/>
      <c r="G3803" s="182" t="n">
        <v>0</v>
      </c>
      <c r="H3803" s="182" t="n">
        <v>0</v>
      </c>
      <c r="I3803" s="182" t="n">
        <v>12</v>
      </c>
      <c r="J3803" s="182" t="n">
        <v>12</v>
      </c>
      <c r="K3803" s="182" t="n">
        <v>0</v>
      </c>
      <c r="L3803" s="182" t="n">
        <v>12</v>
      </c>
      <c r="M3803" s="182" t="n">
        <v>0</v>
      </c>
      <c r="N3803" s="182" t="n">
        <v>0</v>
      </c>
      <c r="O3803" s="183" t="n">
        <v>0</v>
      </c>
      <c r="P3803" s="183" t="n">
        <v>0</v>
      </c>
      <c r="Q3803" s="184" t="n">
        <v>0</v>
      </c>
      <c r="R3803" s="184" t="n">
        <v>0</v>
      </c>
      <c r="S3803" s="183" t="n">
        <v>0</v>
      </c>
      <c r="T3803" s="183" t="n">
        <v>0</v>
      </c>
      <c r="U3803" s="182" t="n">
        <v>0</v>
      </c>
      <c r="V3803" s="182" t="n">
        <v>0</v>
      </c>
      <c r="W3803" s="182" t="n">
        <v>0</v>
      </c>
      <c r="X3803" s="182" t="n">
        <v>0</v>
      </c>
      <c r="Y3803" s="182" t="n">
        <v>0</v>
      </c>
      <c r="Z3803" s="182" t="n">
        <v>0</v>
      </c>
      <c r="AA3803" s="182" t="n">
        <v>0</v>
      </c>
      <c r="AB3803" s="182" t="n">
        <v>0</v>
      </c>
      <c r="AC3803" s="182" t="n">
        <v>0</v>
      </c>
      <c r="AD3803" s="182" t="n">
        <v>0</v>
      </c>
      <c r="AE3803" s="182" t="n">
        <v>0</v>
      </c>
      <c r="AF3803" s="182" t="n">
        <v>0</v>
      </c>
      <c r="AG3803" s="182" t="n">
        <v>0</v>
      </c>
      <c r="AH3803" s="182" t="n">
        <v>0</v>
      </c>
      <c r="AI3803" s="182" t="n">
        <v>0</v>
      </c>
      <c r="AJ3803" s="182" t="n">
        <v>0</v>
      </c>
      <c r="AK3803" s="182" t="n">
        <v>0</v>
      </c>
      <c r="AL3803" s="182" t="n">
        <v>0</v>
      </c>
      <c r="AM3803" s="182" t="n">
        <v>0</v>
      </c>
      <c r="AN3803" s="182" t="n">
        <v>0</v>
      </c>
    </row>
    <row r="3804">
      <c r="A3804" s="155" t="n">
        <v>46099</v>
      </c>
      <c r="B3804" s="156" t="inlineStr">
        <is>
          <t>DS</t>
        </is>
      </c>
      <c r="C3804" s="156" t="inlineStr">
        <is>
          <t>DT-802</t>
        </is>
      </c>
      <c r="D3804" s="156" t="inlineStr">
        <is>
          <t>SKT 80S</t>
        </is>
      </c>
      <c r="E3804" s="156" t="inlineStr">
        <is>
          <t>Hauler</t>
        </is>
      </c>
      <c r="F3804" s="156" t="inlineStr"/>
      <c r="G3804" s="182" t="n">
        <v>0</v>
      </c>
      <c r="H3804" s="182" t="n">
        <v>0</v>
      </c>
      <c r="I3804" s="182" t="n">
        <v>0</v>
      </c>
      <c r="J3804" s="182" t="n">
        <v>0</v>
      </c>
      <c r="K3804" s="182" t="n">
        <v>12</v>
      </c>
      <c r="L3804" s="182" t="n">
        <v>12</v>
      </c>
      <c r="M3804" s="182" t="n">
        <v>0</v>
      </c>
      <c r="N3804" s="182" t="n">
        <v>0</v>
      </c>
      <c r="O3804" s="183" t="n">
        <v>0</v>
      </c>
      <c r="P3804" s="183" t="n">
        <v>0</v>
      </c>
      <c r="Q3804" s="184" t="n">
        <v>0</v>
      </c>
      <c r="R3804" s="184" t="n">
        <v>0</v>
      </c>
      <c r="S3804" s="183" t="n">
        <v>0</v>
      </c>
      <c r="T3804" s="183" t="n">
        <v>0</v>
      </c>
      <c r="U3804" s="182" t="n">
        <v>0</v>
      </c>
      <c r="V3804" s="182" t="n">
        <v>0</v>
      </c>
      <c r="W3804" s="182" t="n">
        <v>0</v>
      </c>
      <c r="X3804" s="182" t="n">
        <v>1</v>
      </c>
      <c r="Y3804" s="182" t="n">
        <v>0</v>
      </c>
      <c r="Z3804" s="182" t="n">
        <v>0</v>
      </c>
      <c r="AA3804" s="182" t="n">
        <v>0</v>
      </c>
      <c r="AB3804" s="182" t="n">
        <v>0</v>
      </c>
      <c r="AC3804" s="182" t="n">
        <v>0</v>
      </c>
      <c r="AD3804" s="182" t="n">
        <v>0</v>
      </c>
      <c r="AE3804" s="182" t="n">
        <v>0</v>
      </c>
      <c r="AF3804" s="182" t="n">
        <v>0</v>
      </c>
      <c r="AG3804" s="182" t="n">
        <v>0</v>
      </c>
      <c r="AH3804" s="182" t="n">
        <v>0</v>
      </c>
      <c r="AI3804" s="182" t="n">
        <v>0</v>
      </c>
      <c r="AJ3804" s="182" t="n">
        <v>0</v>
      </c>
      <c r="AK3804" s="182" t="n">
        <v>10.92</v>
      </c>
      <c r="AL3804" s="182" t="n">
        <v>0</v>
      </c>
      <c r="AM3804" s="182" t="n">
        <v>0.08</v>
      </c>
      <c r="AN3804" s="182" t="n">
        <v>0</v>
      </c>
    </row>
    <row r="3805">
      <c r="A3805" s="155" t="n">
        <v>46099</v>
      </c>
      <c r="B3805" s="156" t="inlineStr">
        <is>
          <t>DS</t>
        </is>
      </c>
      <c r="C3805" s="156" t="inlineStr">
        <is>
          <t>DT-807</t>
        </is>
      </c>
      <c r="D3805" s="156" t="inlineStr">
        <is>
          <t>SKT 80S</t>
        </is>
      </c>
      <c r="E3805" s="156" t="inlineStr">
        <is>
          <t>Hauler</t>
        </is>
      </c>
      <c r="F3805" s="156" t="inlineStr"/>
      <c r="G3805" s="182" t="n">
        <v>0</v>
      </c>
      <c r="H3805" s="182" t="n">
        <v>0</v>
      </c>
      <c r="I3805" s="182" t="n">
        <v>0</v>
      </c>
      <c r="J3805" s="182" t="n">
        <v>0</v>
      </c>
      <c r="K3805" s="182" t="n">
        <v>12</v>
      </c>
      <c r="L3805" s="182" t="n">
        <v>12</v>
      </c>
      <c r="M3805" s="182" t="n">
        <v>0</v>
      </c>
      <c r="N3805" s="182" t="n">
        <v>0</v>
      </c>
      <c r="O3805" s="183" t="n">
        <v>0</v>
      </c>
      <c r="P3805" s="183" t="n">
        <v>0</v>
      </c>
      <c r="Q3805" s="184" t="n">
        <v>0</v>
      </c>
      <c r="R3805" s="184" t="n">
        <v>0</v>
      </c>
      <c r="S3805" s="183" t="n">
        <v>0</v>
      </c>
      <c r="T3805" s="183" t="n">
        <v>0</v>
      </c>
      <c r="U3805" s="182" t="n">
        <v>0</v>
      </c>
      <c r="V3805" s="182" t="n">
        <v>0</v>
      </c>
      <c r="W3805" s="182" t="n">
        <v>0</v>
      </c>
      <c r="X3805" s="182" t="n">
        <v>1</v>
      </c>
      <c r="Y3805" s="182" t="n">
        <v>0</v>
      </c>
      <c r="Z3805" s="182" t="n">
        <v>0</v>
      </c>
      <c r="AA3805" s="182" t="n">
        <v>0</v>
      </c>
      <c r="AB3805" s="182" t="n">
        <v>0</v>
      </c>
      <c r="AC3805" s="182" t="n">
        <v>0</v>
      </c>
      <c r="AD3805" s="182" t="n">
        <v>0</v>
      </c>
      <c r="AE3805" s="182" t="n">
        <v>0</v>
      </c>
      <c r="AF3805" s="182" t="n">
        <v>0</v>
      </c>
      <c r="AG3805" s="182" t="n">
        <v>0</v>
      </c>
      <c r="AH3805" s="182" t="n">
        <v>0</v>
      </c>
      <c r="AI3805" s="182" t="n">
        <v>0</v>
      </c>
      <c r="AJ3805" s="182" t="n">
        <v>0</v>
      </c>
      <c r="AK3805" s="182" t="n">
        <v>10.92</v>
      </c>
      <c r="AL3805" s="182" t="n">
        <v>0</v>
      </c>
      <c r="AM3805" s="182" t="n">
        <v>0.08</v>
      </c>
      <c r="AN3805" s="182" t="n">
        <v>0</v>
      </c>
    </row>
    <row r="3806">
      <c r="A3806" s="155" t="n">
        <v>46099</v>
      </c>
      <c r="B3806" s="156" t="inlineStr">
        <is>
          <t>DS</t>
        </is>
      </c>
      <c r="C3806" s="156" t="inlineStr">
        <is>
          <t>DT-812</t>
        </is>
      </c>
      <c r="D3806" s="156" t="inlineStr">
        <is>
          <t>SKT 80S</t>
        </is>
      </c>
      <c r="E3806" s="156" t="inlineStr">
        <is>
          <t>Hauler</t>
        </is>
      </c>
      <c r="F3806" s="156" t="inlineStr">
        <is>
          <t>Hauling Coal</t>
        </is>
      </c>
      <c r="G3806" s="182" t="n">
        <v>1.65</v>
      </c>
      <c r="H3806" s="182" t="n">
        <v>0</v>
      </c>
      <c r="I3806" s="182" t="n">
        <v>0</v>
      </c>
      <c r="J3806" s="182" t="n">
        <v>0</v>
      </c>
      <c r="K3806" s="182" t="n">
        <v>10.35</v>
      </c>
      <c r="L3806" s="182" t="n">
        <v>12</v>
      </c>
      <c r="M3806" s="182" t="n">
        <v>0</v>
      </c>
      <c r="N3806" s="182" t="n">
        <v>1.65</v>
      </c>
      <c r="O3806" s="183" t="n">
        <v>0</v>
      </c>
      <c r="P3806" s="183" t="n">
        <v>2</v>
      </c>
      <c r="Q3806" s="184" t="n">
        <v>0</v>
      </c>
      <c r="R3806" s="184" t="n">
        <v>30.6</v>
      </c>
      <c r="S3806" s="183" t="n">
        <v>0</v>
      </c>
      <c r="T3806" s="183" t="n">
        <v>0</v>
      </c>
      <c r="U3806" s="182" t="n">
        <v>0</v>
      </c>
      <c r="V3806" s="182" t="n">
        <v>0</v>
      </c>
      <c r="W3806" s="182" t="n">
        <v>0</v>
      </c>
      <c r="X3806" s="182" t="n">
        <v>0.97</v>
      </c>
      <c r="Y3806" s="182" t="n">
        <v>0</v>
      </c>
      <c r="Z3806" s="182" t="n">
        <v>0</v>
      </c>
      <c r="AA3806" s="182" t="n">
        <v>0</v>
      </c>
      <c r="AB3806" s="182" t="n">
        <v>0</v>
      </c>
      <c r="AC3806" s="182" t="n">
        <v>0</v>
      </c>
      <c r="AD3806" s="182" t="n">
        <v>0</v>
      </c>
      <c r="AE3806" s="182" t="n">
        <v>0</v>
      </c>
      <c r="AF3806" s="182" t="n">
        <v>0</v>
      </c>
      <c r="AG3806" s="182" t="n">
        <v>0</v>
      </c>
      <c r="AH3806" s="182" t="n">
        <v>0</v>
      </c>
      <c r="AI3806" s="182" t="n">
        <v>0</v>
      </c>
      <c r="AJ3806" s="182" t="n">
        <v>0</v>
      </c>
      <c r="AK3806" s="182" t="n">
        <v>9.31</v>
      </c>
      <c r="AL3806" s="182" t="n">
        <v>0</v>
      </c>
      <c r="AM3806" s="182" t="n">
        <v>0.08</v>
      </c>
      <c r="AN3806" s="182" t="n">
        <v>0</v>
      </c>
    </row>
    <row r="3807">
      <c r="A3807" s="155" t="n">
        <v>46099</v>
      </c>
      <c r="B3807" s="156" t="inlineStr">
        <is>
          <t>DS</t>
        </is>
      </c>
      <c r="C3807" s="156" t="inlineStr">
        <is>
          <t>DT-803</t>
        </is>
      </c>
      <c r="D3807" s="156" t="inlineStr">
        <is>
          <t>SKT 80S</t>
        </is>
      </c>
      <c r="E3807" s="156" t="inlineStr">
        <is>
          <t>Hauler</t>
        </is>
      </c>
      <c r="F3807" s="156" t="inlineStr"/>
      <c r="G3807" s="182" t="n">
        <v>0</v>
      </c>
      <c r="H3807" s="182" t="n">
        <v>0</v>
      </c>
      <c r="I3807" s="182" t="n">
        <v>0</v>
      </c>
      <c r="J3807" s="182" t="n">
        <v>0</v>
      </c>
      <c r="K3807" s="182" t="n">
        <v>12</v>
      </c>
      <c r="L3807" s="182" t="n">
        <v>12</v>
      </c>
      <c r="M3807" s="182" t="n">
        <v>0</v>
      </c>
      <c r="N3807" s="182" t="n">
        <v>0</v>
      </c>
      <c r="O3807" s="183" t="n">
        <v>0</v>
      </c>
      <c r="P3807" s="183" t="n">
        <v>0</v>
      </c>
      <c r="Q3807" s="184" t="n">
        <v>0</v>
      </c>
      <c r="R3807" s="184" t="n">
        <v>0</v>
      </c>
      <c r="S3807" s="183" t="n">
        <v>0</v>
      </c>
      <c r="T3807" s="183" t="n">
        <v>0</v>
      </c>
      <c r="U3807" s="182" t="n">
        <v>0</v>
      </c>
      <c r="V3807" s="182" t="n">
        <v>0</v>
      </c>
      <c r="W3807" s="182" t="n">
        <v>0</v>
      </c>
      <c r="X3807" s="182" t="n">
        <v>1</v>
      </c>
      <c r="Y3807" s="182" t="n">
        <v>0</v>
      </c>
      <c r="Z3807" s="182" t="n">
        <v>0</v>
      </c>
      <c r="AA3807" s="182" t="n">
        <v>0</v>
      </c>
      <c r="AB3807" s="182" t="n">
        <v>0</v>
      </c>
      <c r="AC3807" s="182" t="n">
        <v>0</v>
      </c>
      <c r="AD3807" s="182" t="n">
        <v>0</v>
      </c>
      <c r="AE3807" s="182" t="n">
        <v>0</v>
      </c>
      <c r="AF3807" s="182" t="n">
        <v>0</v>
      </c>
      <c r="AG3807" s="182" t="n">
        <v>0</v>
      </c>
      <c r="AH3807" s="182" t="n">
        <v>0</v>
      </c>
      <c r="AI3807" s="182" t="n">
        <v>0</v>
      </c>
      <c r="AJ3807" s="182" t="n">
        <v>0</v>
      </c>
      <c r="AK3807" s="182" t="n">
        <v>10.92</v>
      </c>
      <c r="AL3807" s="182" t="n">
        <v>0</v>
      </c>
      <c r="AM3807" s="182" t="n">
        <v>0.08</v>
      </c>
      <c r="AN3807" s="182" t="n">
        <v>0</v>
      </c>
    </row>
    <row r="3808">
      <c r="A3808" s="155" t="n">
        <v>46099</v>
      </c>
      <c r="B3808" s="156" t="inlineStr">
        <is>
          <t>DS</t>
        </is>
      </c>
      <c r="C3808" s="156" t="inlineStr">
        <is>
          <t>DT-810</t>
        </is>
      </c>
      <c r="D3808" s="156" t="inlineStr">
        <is>
          <t>SKT 80S</t>
        </is>
      </c>
      <c r="E3808" s="156" t="inlineStr">
        <is>
          <t>Hauler</t>
        </is>
      </c>
      <c r="F3808" s="156" t="inlineStr">
        <is>
          <t>Hauling Coal</t>
        </is>
      </c>
      <c r="G3808" s="182" t="n">
        <v>1.82</v>
      </c>
      <c r="H3808" s="182" t="n">
        <v>0</v>
      </c>
      <c r="I3808" s="182" t="n">
        <v>0</v>
      </c>
      <c r="J3808" s="182" t="n">
        <v>0</v>
      </c>
      <c r="K3808" s="182" t="n">
        <v>10.18</v>
      </c>
      <c r="L3808" s="182" t="n">
        <v>12</v>
      </c>
      <c r="M3808" s="182" t="n">
        <v>0</v>
      </c>
      <c r="N3808" s="182" t="n">
        <v>1.82</v>
      </c>
      <c r="O3808" s="183" t="n">
        <v>0</v>
      </c>
      <c r="P3808" s="183" t="n">
        <v>2</v>
      </c>
      <c r="Q3808" s="184" t="n">
        <v>0</v>
      </c>
      <c r="R3808" s="184" t="n">
        <v>30.6</v>
      </c>
      <c r="S3808" s="183" t="n">
        <v>0</v>
      </c>
      <c r="T3808" s="183" t="n">
        <v>0</v>
      </c>
      <c r="U3808" s="182" t="n">
        <v>0</v>
      </c>
      <c r="V3808" s="182" t="n">
        <v>0</v>
      </c>
      <c r="W3808" s="182" t="n">
        <v>0</v>
      </c>
      <c r="X3808" s="182" t="n">
        <v>0.96</v>
      </c>
      <c r="Y3808" s="182" t="n">
        <v>0</v>
      </c>
      <c r="Z3808" s="182" t="n">
        <v>0</v>
      </c>
      <c r="AA3808" s="182" t="n">
        <v>0</v>
      </c>
      <c r="AB3808" s="182" t="n">
        <v>0</v>
      </c>
      <c r="AC3808" s="182" t="n">
        <v>0</v>
      </c>
      <c r="AD3808" s="182" t="n">
        <v>0</v>
      </c>
      <c r="AE3808" s="182" t="n">
        <v>0</v>
      </c>
      <c r="AF3808" s="182" t="n">
        <v>0</v>
      </c>
      <c r="AG3808" s="182" t="n">
        <v>0</v>
      </c>
      <c r="AH3808" s="182" t="n">
        <v>0</v>
      </c>
      <c r="AI3808" s="182" t="n">
        <v>0</v>
      </c>
      <c r="AJ3808" s="182" t="n">
        <v>0</v>
      </c>
      <c r="AK3808" s="182" t="n">
        <v>9.140000000000001</v>
      </c>
      <c r="AL3808" s="182" t="n">
        <v>0</v>
      </c>
      <c r="AM3808" s="182" t="n">
        <v>0.08</v>
      </c>
      <c r="AN3808" s="182" t="n">
        <v>0</v>
      </c>
    </row>
    <row r="3809">
      <c r="A3809" s="155" t="n">
        <v>46099</v>
      </c>
      <c r="B3809" s="156" t="inlineStr">
        <is>
          <t>DS</t>
        </is>
      </c>
      <c r="C3809" s="156" t="inlineStr">
        <is>
          <t>DT-804</t>
        </is>
      </c>
      <c r="D3809" s="156" t="inlineStr">
        <is>
          <t>SKT 80S</t>
        </is>
      </c>
      <c r="E3809" s="156" t="inlineStr">
        <is>
          <t>Hauler</t>
        </is>
      </c>
      <c r="F3809" s="156" t="inlineStr"/>
      <c r="G3809" s="182" t="n">
        <v>0</v>
      </c>
      <c r="H3809" s="182" t="n">
        <v>0</v>
      </c>
      <c r="I3809" s="182" t="n">
        <v>0</v>
      </c>
      <c r="J3809" s="182" t="n">
        <v>0</v>
      </c>
      <c r="K3809" s="182" t="n">
        <v>12</v>
      </c>
      <c r="L3809" s="182" t="n">
        <v>12</v>
      </c>
      <c r="M3809" s="182" t="n">
        <v>0</v>
      </c>
      <c r="N3809" s="182" t="n">
        <v>0</v>
      </c>
      <c r="O3809" s="183" t="n">
        <v>0</v>
      </c>
      <c r="P3809" s="183" t="n">
        <v>0</v>
      </c>
      <c r="Q3809" s="184" t="n">
        <v>0</v>
      </c>
      <c r="R3809" s="184" t="n">
        <v>0</v>
      </c>
      <c r="S3809" s="183" t="n">
        <v>0</v>
      </c>
      <c r="T3809" s="183" t="n">
        <v>0</v>
      </c>
      <c r="U3809" s="182" t="n">
        <v>0</v>
      </c>
      <c r="V3809" s="182" t="n">
        <v>0</v>
      </c>
      <c r="W3809" s="182" t="n">
        <v>0</v>
      </c>
      <c r="X3809" s="182" t="n">
        <v>1</v>
      </c>
      <c r="Y3809" s="182" t="n">
        <v>0</v>
      </c>
      <c r="Z3809" s="182" t="n">
        <v>0</v>
      </c>
      <c r="AA3809" s="182" t="n">
        <v>0</v>
      </c>
      <c r="AB3809" s="182" t="n">
        <v>0</v>
      </c>
      <c r="AC3809" s="182" t="n">
        <v>0</v>
      </c>
      <c r="AD3809" s="182" t="n">
        <v>0</v>
      </c>
      <c r="AE3809" s="182" t="n">
        <v>0</v>
      </c>
      <c r="AF3809" s="182" t="n">
        <v>0</v>
      </c>
      <c r="AG3809" s="182" t="n">
        <v>0</v>
      </c>
      <c r="AH3809" s="182" t="n">
        <v>0</v>
      </c>
      <c r="AI3809" s="182" t="n">
        <v>0</v>
      </c>
      <c r="AJ3809" s="182" t="n">
        <v>0</v>
      </c>
      <c r="AK3809" s="182" t="n">
        <v>10.92</v>
      </c>
      <c r="AL3809" s="182" t="n">
        <v>0</v>
      </c>
      <c r="AM3809" s="182" t="n">
        <v>0.08</v>
      </c>
      <c r="AN3809" s="182" t="n">
        <v>0</v>
      </c>
    </row>
    <row r="3810">
      <c r="A3810" s="155" t="n">
        <v>46099</v>
      </c>
      <c r="B3810" s="156" t="inlineStr">
        <is>
          <t>DS</t>
        </is>
      </c>
      <c r="C3810" s="156" t="inlineStr">
        <is>
          <t>DT-505</t>
        </is>
      </c>
      <c r="D3810" s="156" t="inlineStr">
        <is>
          <t>SKT 105S</t>
        </is>
      </c>
      <c r="E3810" s="156" t="inlineStr">
        <is>
          <t>Hauler</t>
        </is>
      </c>
      <c r="F3810" s="156" t="inlineStr">
        <is>
          <t>Hauling Coal</t>
        </is>
      </c>
      <c r="G3810" s="182" t="n">
        <v>7.4</v>
      </c>
      <c r="H3810" s="182" t="n">
        <v>0</v>
      </c>
      <c r="I3810" s="182" t="n">
        <v>0</v>
      </c>
      <c r="J3810" s="182" t="n">
        <v>0</v>
      </c>
      <c r="K3810" s="182" t="n">
        <v>4.6</v>
      </c>
      <c r="L3810" s="182" t="n">
        <v>12</v>
      </c>
      <c r="M3810" s="182" t="n">
        <v>0</v>
      </c>
      <c r="N3810" s="182" t="n">
        <v>7.4</v>
      </c>
      <c r="O3810" s="183" t="n">
        <v>0</v>
      </c>
      <c r="P3810" s="183" t="n">
        <v>16</v>
      </c>
      <c r="Q3810" s="184" t="n">
        <v>0</v>
      </c>
      <c r="R3810" s="184" t="n">
        <v>299.2</v>
      </c>
      <c r="S3810" s="183" t="n">
        <v>0</v>
      </c>
      <c r="T3810" s="183" t="n">
        <v>0</v>
      </c>
      <c r="U3810" s="182" t="n">
        <v>0</v>
      </c>
      <c r="V3810" s="182" t="n">
        <v>0</v>
      </c>
      <c r="W3810" s="182" t="n">
        <v>0</v>
      </c>
      <c r="X3810" s="182" t="n">
        <v>1.07</v>
      </c>
      <c r="Y3810" s="182" t="n">
        <v>0</v>
      </c>
      <c r="Z3810" s="182" t="n">
        <v>0.11</v>
      </c>
      <c r="AA3810" s="182" t="n">
        <v>0</v>
      </c>
      <c r="AB3810" s="182" t="n">
        <v>0</v>
      </c>
      <c r="AC3810" s="182" t="n">
        <v>0</v>
      </c>
      <c r="AD3810" s="182" t="n">
        <v>0</v>
      </c>
      <c r="AE3810" s="182" t="n">
        <v>0</v>
      </c>
      <c r="AF3810" s="182" t="n">
        <v>0</v>
      </c>
      <c r="AG3810" s="182" t="n">
        <v>0</v>
      </c>
      <c r="AH3810" s="182" t="n">
        <v>0</v>
      </c>
      <c r="AI3810" s="182" t="n">
        <v>0</v>
      </c>
      <c r="AJ3810" s="182" t="n">
        <v>0</v>
      </c>
      <c r="AK3810" s="182" t="n">
        <v>3.34</v>
      </c>
      <c r="AL3810" s="182" t="n">
        <v>0</v>
      </c>
      <c r="AM3810" s="182" t="n">
        <v>0.09</v>
      </c>
      <c r="AN3810" s="182" t="n">
        <v>0</v>
      </c>
    </row>
    <row r="3811">
      <c r="A3811" s="155" t="n">
        <v>46099</v>
      </c>
      <c r="B3811" s="156" t="inlineStr">
        <is>
          <t>DS</t>
        </is>
      </c>
      <c r="C3811" s="156" t="inlineStr">
        <is>
          <t>DT-530</t>
        </is>
      </c>
      <c r="D3811" s="156" t="inlineStr">
        <is>
          <t>SKT 105S</t>
        </is>
      </c>
      <c r="E3811" s="156" t="inlineStr">
        <is>
          <t>Hauler</t>
        </is>
      </c>
      <c r="F3811" s="156" t="inlineStr"/>
      <c r="G3811" s="182" t="n">
        <v>0</v>
      </c>
      <c r="H3811" s="182" t="n">
        <v>0</v>
      </c>
      <c r="I3811" s="182" t="n">
        <v>12</v>
      </c>
      <c r="J3811" s="182" t="n">
        <v>12</v>
      </c>
      <c r="K3811" s="182" t="n">
        <v>0</v>
      </c>
      <c r="L3811" s="182" t="n">
        <v>12</v>
      </c>
      <c r="M3811" s="182" t="n">
        <v>0</v>
      </c>
      <c r="N3811" s="182" t="n">
        <v>0</v>
      </c>
      <c r="O3811" s="183" t="n">
        <v>0</v>
      </c>
      <c r="P3811" s="183" t="n">
        <v>0</v>
      </c>
      <c r="Q3811" s="184" t="n">
        <v>0</v>
      </c>
      <c r="R3811" s="184" t="n">
        <v>0</v>
      </c>
      <c r="S3811" s="183" t="n">
        <v>0</v>
      </c>
      <c r="T3811" s="183" t="n">
        <v>0</v>
      </c>
      <c r="U3811" s="182" t="n">
        <v>0</v>
      </c>
      <c r="V3811" s="182" t="n">
        <v>0</v>
      </c>
      <c r="W3811" s="182" t="n">
        <v>0</v>
      </c>
      <c r="X3811" s="182" t="n">
        <v>0</v>
      </c>
      <c r="Y3811" s="182" t="n">
        <v>0</v>
      </c>
      <c r="Z3811" s="182" t="n">
        <v>0</v>
      </c>
      <c r="AA3811" s="182" t="n">
        <v>0</v>
      </c>
      <c r="AB3811" s="182" t="n">
        <v>0</v>
      </c>
      <c r="AC3811" s="182" t="n">
        <v>0</v>
      </c>
      <c r="AD3811" s="182" t="n">
        <v>0</v>
      </c>
      <c r="AE3811" s="182" t="n">
        <v>0</v>
      </c>
      <c r="AF3811" s="182" t="n">
        <v>0</v>
      </c>
      <c r="AG3811" s="182" t="n">
        <v>0</v>
      </c>
      <c r="AH3811" s="182" t="n">
        <v>0</v>
      </c>
      <c r="AI3811" s="182" t="n">
        <v>0</v>
      </c>
      <c r="AJ3811" s="182" t="n">
        <v>0</v>
      </c>
      <c r="AK3811" s="182" t="n">
        <v>0</v>
      </c>
      <c r="AL3811" s="182" t="n">
        <v>0</v>
      </c>
      <c r="AM3811" s="182" t="n">
        <v>0</v>
      </c>
      <c r="AN3811" s="182" t="n">
        <v>0</v>
      </c>
    </row>
    <row r="3812">
      <c r="A3812" s="155" t="n">
        <v>46099</v>
      </c>
      <c r="B3812" s="156" t="inlineStr">
        <is>
          <t>DS</t>
        </is>
      </c>
      <c r="C3812" s="156" t="inlineStr">
        <is>
          <t>DT-525</t>
        </is>
      </c>
      <c r="D3812" s="156" t="inlineStr">
        <is>
          <t>SKT 105S</t>
        </is>
      </c>
      <c r="E3812" s="156" t="inlineStr">
        <is>
          <t>Hauler</t>
        </is>
      </c>
      <c r="F3812" s="156" t="inlineStr"/>
      <c r="G3812" s="182" t="n">
        <v>0</v>
      </c>
      <c r="H3812" s="182" t="n">
        <v>0</v>
      </c>
      <c r="I3812" s="182" t="n">
        <v>12</v>
      </c>
      <c r="J3812" s="182" t="n">
        <v>12</v>
      </c>
      <c r="K3812" s="182" t="n">
        <v>0</v>
      </c>
      <c r="L3812" s="182" t="n">
        <v>12</v>
      </c>
      <c r="M3812" s="182" t="n">
        <v>0</v>
      </c>
      <c r="N3812" s="182" t="n">
        <v>0</v>
      </c>
      <c r="O3812" s="183" t="n">
        <v>0</v>
      </c>
      <c r="P3812" s="183" t="n">
        <v>0</v>
      </c>
      <c r="Q3812" s="184" t="n">
        <v>0</v>
      </c>
      <c r="R3812" s="184" t="n">
        <v>0</v>
      </c>
      <c r="S3812" s="183" t="n">
        <v>0</v>
      </c>
      <c r="T3812" s="183" t="n">
        <v>0</v>
      </c>
      <c r="U3812" s="182" t="n">
        <v>0</v>
      </c>
      <c r="V3812" s="182" t="n">
        <v>0</v>
      </c>
      <c r="W3812" s="182" t="n">
        <v>0</v>
      </c>
      <c r="X3812" s="182" t="n">
        <v>0</v>
      </c>
      <c r="Y3812" s="182" t="n">
        <v>0</v>
      </c>
      <c r="Z3812" s="182" t="n">
        <v>0</v>
      </c>
      <c r="AA3812" s="182" t="n">
        <v>0</v>
      </c>
      <c r="AB3812" s="182" t="n">
        <v>0</v>
      </c>
      <c r="AC3812" s="182" t="n">
        <v>0</v>
      </c>
      <c r="AD3812" s="182" t="n">
        <v>0</v>
      </c>
      <c r="AE3812" s="182" t="n">
        <v>0</v>
      </c>
      <c r="AF3812" s="182" t="n">
        <v>0</v>
      </c>
      <c r="AG3812" s="182" t="n">
        <v>0</v>
      </c>
      <c r="AH3812" s="182" t="n">
        <v>0</v>
      </c>
      <c r="AI3812" s="182" t="n">
        <v>0</v>
      </c>
      <c r="AJ3812" s="182" t="n">
        <v>0</v>
      </c>
      <c r="AK3812" s="182" t="n">
        <v>0</v>
      </c>
      <c r="AL3812" s="182" t="n">
        <v>0</v>
      </c>
      <c r="AM3812" s="182" t="n">
        <v>0</v>
      </c>
      <c r="AN3812" s="182" t="n">
        <v>0</v>
      </c>
    </row>
    <row r="3813">
      <c r="A3813" s="155" t="n">
        <v>46099</v>
      </c>
      <c r="B3813" s="156" t="inlineStr">
        <is>
          <t>DS</t>
        </is>
      </c>
      <c r="C3813" s="156" t="inlineStr">
        <is>
          <t>DT-503</t>
        </is>
      </c>
      <c r="D3813" s="156" t="inlineStr">
        <is>
          <t>SKT 105S</t>
        </is>
      </c>
      <c r="E3813" s="156" t="inlineStr">
        <is>
          <t>Hauler</t>
        </is>
      </c>
      <c r="F3813" s="156" t="inlineStr">
        <is>
          <t>Hauling OB</t>
        </is>
      </c>
      <c r="G3813" s="182" t="n">
        <v>10.41</v>
      </c>
      <c r="H3813" s="182" t="n">
        <v>0</v>
      </c>
      <c r="I3813" s="182" t="n">
        <v>0</v>
      </c>
      <c r="J3813" s="182" t="n">
        <v>0</v>
      </c>
      <c r="K3813" s="182" t="n">
        <v>1.59</v>
      </c>
      <c r="L3813" s="182" t="n">
        <v>12</v>
      </c>
      <c r="M3813" s="182" t="n">
        <v>10.41</v>
      </c>
      <c r="N3813" s="182" t="n">
        <v>0</v>
      </c>
      <c r="O3813" s="183" t="n">
        <v>39</v>
      </c>
      <c r="P3813" s="183" t="n">
        <v>0</v>
      </c>
      <c r="Q3813" s="184" t="n">
        <v>795.6</v>
      </c>
      <c r="R3813" s="184" t="n">
        <v>0</v>
      </c>
      <c r="S3813" s="183" t="n">
        <v>0</v>
      </c>
      <c r="T3813" s="183" t="n">
        <v>0</v>
      </c>
      <c r="U3813" s="182" t="n">
        <v>0</v>
      </c>
      <c r="V3813" s="182" t="n">
        <v>0</v>
      </c>
      <c r="W3813" s="182" t="n">
        <v>0</v>
      </c>
      <c r="X3813" s="182" t="n">
        <v>1.22</v>
      </c>
      <c r="Y3813" s="182" t="n">
        <v>0</v>
      </c>
      <c r="Z3813" s="182" t="n">
        <v>0.12</v>
      </c>
      <c r="AA3813" s="182" t="n">
        <v>0</v>
      </c>
      <c r="AB3813" s="182" t="n">
        <v>0</v>
      </c>
      <c r="AC3813" s="182" t="n">
        <v>0</v>
      </c>
      <c r="AD3813" s="182" t="n">
        <v>0</v>
      </c>
      <c r="AE3813" s="182" t="n">
        <v>0</v>
      </c>
      <c r="AF3813" s="182" t="n">
        <v>0</v>
      </c>
      <c r="AG3813" s="182" t="n">
        <v>0</v>
      </c>
      <c r="AH3813" s="182" t="n">
        <v>0.15</v>
      </c>
      <c r="AI3813" s="182" t="n">
        <v>0</v>
      </c>
      <c r="AJ3813" s="182" t="n">
        <v>0</v>
      </c>
      <c r="AK3813" s="182" t="n">
        <v>0</v>
      </c>
      <c r="AL3813" s="182" t="n">
        <v>0</v>
      </c>
      <c r="AM3813" s="182" t="n">
        <v>0.1</v>
      </c>
      <c r="AN3813" s="182" t="n">
        <v>0</v>
      </c>
    </row>
    <row r="3814">
      <c r="A3814" s="155" t="n">
        <v>46099</v>
      </c>
      <c r="B3814" s="156" t="inlineStr">
        <is>
          <t>DS</t>
        </is>
      </c>
      <c r="C3814" s="156" t="inlineStr">
        <is>
          <t>DT-504</t>
        </is>
      </c>
      <c r="D3814" s="156" t="inlineStr">
        <is>
          <t>SKT 105S</t>
        </is>
      </c>
      <c r="E3814" s="156" t="inlineStr">
        <is>
          <t>Hauler</t>
        </is>
      </c>
      <c r="F3814" s="156" t="inlineStr">
        <is>
          <t>Hauling OB</t>
        </is>
      </c>
      <c r="G3814" s="182" t="n">
        <v>10</v>
      </c>
      <c r="H3814" s="182" t="n">
        <v>0</v>
      </c>
      <c r="I3814" s="182" t="n">
        <v>0</v>
      </c>
      <c r="J3814" s="182" t="n">
        <v>0</v>
      </c>
      <c r="K3814" s="182" t="n">
        <v>2</v>
      </c>
      <c r="L3814" s="182" t="n">
        <v>12</v>
      </c>
      <c r="M3814" s="182" t="n">
        <v>10</v>
      </c>
      <c r="N3814" s="182" t="n">
        <v>0</v>
      </c>
      <c r="O3814" s="183" t="n">
        <v>39</v>
      </c>
      <c r="P3814" s="183" t="n">
        <v>0</v>
      </c>
      <c r="Q3814" s="184" t="n">
        <v>795.6</v>
      </c>
      <c r="R3814" s="184" t="n">
        <v>0</v>
      </c>
      <c r="S3814" s="183" t="n">
        <v>0</v>
      </c>
      <c r="T3814" s="183" t="n">
        <v>0</v>
      </c>
      <c r="U3814" s="182" t="n">
        <v>0</v>
      </c>
      <c r="V3814" s="182" t="n">
        <v>0</v>
      </c>
      <c r="W3814" s="182" t="n">
        <v>0</v>
      </c>
      <c r="X3814" s="182" t="n">
        <v>1.11</v>
      </c>
      <c r="Y3814" s="182" t="n">
        <v>0</v>
      </c>
      <c r="Z3814" s="182" t="n">
        <v>0.11</v>
      </c>
      <c r="AA3814" s="182" t="n">
        <v>0</v>
      </c>
      <c r="AB3814" s="182" t="n">
        <v>0</v>
      </c>
      <c r="AC3814" s="182" t="n">
        <v>0</v>
      </c>
      <c r="AD3814" s="182" t="n">
        <v>0</v>
      </c>
      <c r="AE3814" s="182" t="n">
        <v>0</v>
      </c>
      <c r="AF3814" s="182" t="n">
        <v>0</v>
      </c>
      <c r="AG3814" s="182" t="n">
        <v>0</v>
      </c>
      <c r="AH3814" s="182" t="n">
        <v>0.6899999999999999</v>
      </c>
      <c r="AI3814" s="182" t="n">
        <v>0</v>
      </c>
      <c r="AJ3814" s="182" t="n">
        <v>0</v>
      </c>
      <c r="AK3814" s="182" t="n">
        <v>0</v>
      </c>
      <c r="AL3814" s="182" t="n">
        <v>0</v>
      </c>
      <c r="AM3814" s="182" t="n">
        <v>0.09</v>
      </c>
      <c r="AN3814" s="182" t="n">
        <v>0</v>
      </c>
    </row>
    <row r="3815">
      <c r="A3815" s="155" t="n">
        <v>46099</v>
      </c>
      <c r="B3815" s="156" t="inlineStr">
        <is>
          <t>DS</t>
        </is>
      </c>
      <c r="C3815" s="156" t="inlineStr">
        <is>
          <t>DT-507</t>
        </is>
      </c>
      <c r="D3815" s="156" t="inlineStr">
        <is>
          <t>SKT 105S</t>
        </is>
      </c>
      <c r="E3815" s="156" t="inlineStr">
        <is>
          <t>Hauler</t>
        </is>
      </c>
      <c r="F3815" s="156" t="inlineStr"/>
      <c r="G3815" s="182" t="n">
        <v>0</v>
      </c>
      <c r="H3815" s="182" t="n">
        <v>0</v>
      </c>
      <c r="I3815" s="182" t="n">
        <v>12</v>
      </c>
      <c r="J3815" s="182" t="n">
        <v>12</v>
      </c>
      <c r="K3815" s="182" t="n">
        <v>0</v>
      </c>
      <c r="L3815" s="182" t="n">
        <v>12</v>
      </c>
      <c r="M3815" s="182" t="n">
        <v>0</v>
      </c>
      <c r="N3815" s="182" t="n">
        <v>0</v>
      </c>
      <c r="O3815" s="183" t="n">
        <v>0</v>
      </c>
      <c r="P3815" s="183" t="n">
        <v>0</v>
      </c>
      <c r="Q3815" s="184" t="n">
        <v>0</v>
      </c>
      <c r="R3815" s="184" t="n">
        <v>0</v>
      </c>
      <c r="S3815" s="183" t="n">
        <v>0</v>
      </c>
      <c r="T3815" s="183" t="n">
        <v>0</v>
      </c>
      <c r="U3815" s="182" t="n">
        <v>0</v>
      </c>
      <c r="V3815" s="182" t="n">
        <v>0</v>
      </c>
      <c r="W3815" s="182" t="n">
        <v>0</v>
      </c>
      <c r="X3815" s="182" t="n">
        <v>0</v>
      </c>
      <c r="Y3815" s="182" t="n">
        <v>0</v>
      </c>
      <c r="Z3815" s="182" t="n">
        <v>0</v>
      </c>
      <c r="AA3815" s="182" t="n">
        <v>0</v>
      </c>
      <c r="AB3815" s="182" t="n">
        <v>0</v>
      </c>
      <c r="AC3815" s="182" t="n">
        <v>0</v>
      </c>
      <c r="AD3815" s="182" t="n">
        <v>0</v>
      </c>
      <c r="AE3815" s="182" t="n">
        <v>0</v>
      </c>
      <c r="AF3815" s="182" t="n">
        <v>0</v>
      </c>
      <c r="AG3815" s="182" t="n">
        <v>0</v>
      </c>
      <c r="AH3815" s="182" t="n">
        <v>0</v>
      </c>
      <c r="AI3815" s="182" t="n">
        <v>0</v>
      </c>
      <c r="AJ3815" s="182" t="n">
        <v>0</v>
      </c>
      <c r="AK3815" s="182" t="n">
        <v>0</v>
      </c>
      <c r="AL3815" s="182" t="n">
        <v>0</v>
      </c>
      <c r="AM3815" s="182" t="n">
        <v>0</v>
      </c>
      <c r="AN3815" s="182" t="n">
        <v>0</v>
      </c>
    </row>
    <row r="3816">
      <c r="A3816" s="155" t="n">
        <v>46099</v>
      </c>
      <c r="B3816" s="156" t="inlineStr">
        <is>
          <t>DS</t>
        </is>
      </c>
      <c r="C3816" s="156" t="inlineStr">
        <is>
          <t>DT-501</t>
        </is>
      </c>
      <c r="D3816" s="156" t="inlineStr">
        <is>
          <t>SKT 105S</t>
        </is>
      </c>
      <c r="E3816" s="156" t="inlineStr">
        <is>
          <t>Hauler</t>
        </is>
      </c>
      <c r="F3816" s="156" t="inlineStr">
        <is>
          <t>Hauling OB &amp; Coal</t>
        </is>
      </c>
      <c r="G3816" s="182" t="n">
        <v>5.97</v>
      </c>
      <c r="H3816" s="182" t="n">
        <v>0</v>
      </c>
      <c r="I3816" s="182" t="n">
        <v>2.9</v>
      </c>
      <c r="J3816" s="182" t="n">
        <v>2.9</v>
      </c>
      <c r="K3816" s="182" t="n">
        <v>3.13</v>
      </c>
      <c r="L3816" s="182" t="n">
        <v>12</v>
      </c>
      <c r="M3816" s="182" t="n">
        <v>0.26</v>
      </c>
      <c r="N3816" s="182" t="n">
        <v>5.71</v>
      </c>
      <c r="O3816" s="183" t="n">
        <v>1</v>
      </c>
      <c r="P3816" s="183" t="n">
        <v>9</v>
      </c>
      <c r="Q3816" s="184" t="n">
        <v>16.3</v>
      </c>
      <c r="R3816" s="184" t="n">
        <v>168.3</v>
      </c>
      <c r="S3816" s="183" t="n">
        <v>0</v>
      </c>
      <c r="T3816" s="183" t="n">
        <v>0</v>
      </c>
      <c r="U3816" s="182" t="n">
        <v>0</v>
      </c>
      <c r="V3816" s="182" t="n">
        <v>0</v>
      </c>
      <c r="W3816" s="182" t="n">
        <v>0</v>
      </c>
      <c r="X3816" s="182" t="n">
        <v>0.95</v>
      </c>
      <c r="Y3816" s="182" t="n">
        <v>0</v>
      </c>
      <c r="Z3816" s="182" t="n">
        <v>0.09</v>
      </c>
      <c r="AA3816" s="182" t="n">
        <v>0</v>
      </c>
      <c r="AB3816" s="182" t="n">
        <v>0</v>
      </c>
      <c r="AC3816" s="182" t="n">
        <v>0</v>
      </c>
      <c r="AD3816" s="182" t="n">
        <v>0</v>
      </c>
      <c r="AE3816" s="182" t="n">
        <v>0</v>
      </c>
      <c r="AF3816" s="182" t="n">
        <v>0</v>
      </c>
      <c r="AG3816" s="182" t="n">
        <v>0</v>
      </c>
      <c r="AH3816" s="182" t="n">
        <v>0</v>
      </c>
      <c r="AI3816" s="182" t="n">
        <v>2.01</v>
      </c>
      <c r="AJ3816" s="182" t="n">
        <v>0</v>
      </c>
      <c r="AK3816" s="182" t="n">
        <v>0</v>
      </c>
      <c r="AL3816" s="182" t="n">
        <v>0</v>
      </c>
      <c r="AM3816" s="182" t="n">
        <v>0.08</v>
      </c>
      <c r="AN3816" s="182" t="n">
        <v>0</v>
      </c>
    </row>
    <row r="3817">
      <c r="A3817" s="155" t="n">
        <v>46099</v>
      </c>
      <c r="B3817" s="156" t="inlineStr">
        <is>
          <t>DS</t>
        </is>
      </c>
      <c r="C3817" s="156" t="inlineStr">
        <is>
          <t>DT-518</t>
        </is>
      </c>
      <c r="D3817" s="156" t="inlineStr">
        <is>
          <t>SKT 105S</t>
        </is>
      </c>
      <c r="E3817" s="156" t="inlineStr">
        <is>
          <t>Hauler</t>
        </is>
      </c>
      <c r="F3817" s="156" t="inlineStr">
        <is>
          <t>Timesheet Kosong</t>
        </is>
      </c>
      <c r="G3817" s="182" t="n">
        <v>1.71</v>
      </c>
      <c r="H3817" s="182" t="n">
        <v>0</v>
      </c>
      <c r="I3817" s="182" t="n">
        <v>9.220000000000001</v>
      </c>
      <c r="J3817" s="182" t="n">
        <v>9.220000000000001</v>
      </c>
      <c r="K3817" s="182" t="n">
        <v>1.07</v>
      </c>
      <c r="L3817" s="182" t="n">
        <v>12</v>
      </c>
      <c r="M3817" s="182" t="n">
        <v>0</v>
      </c>
      <c r="N3817" s="182" t="n">
        <v>0</v>
      </c>
      <c r="O3817" s="183" t="n">
        <v>0</v>
      </c>
      <c r="P3817" s="183" t="n">
        <v>0</v>
      </c>
      <c r="Q3817" s="184" t="n">
        <v>0</v>
      </c>
      <c r="R3817" s="184" t="n">
        <v>0</v>
      </c>
      <c r="S3817" s="183" t="n">
        <v>0</v>
      </c>
      <c r="T3817" s="183" t="n">
        <v>0</v>
      </c>
      <c r="U3817" s="182" t="n">
        <v>0</v>
      </c>
      <c r="V3817" s="182" t="n">
        <v>0</v>
      </c>
      <c r="W3817" s="182" t="n">
        <v>0</v>
      </c>
      <c r="X3817" s="182" t="n">
        <v>0.91</v>
      </c>
      <c r="Y3817" s="182" t="n">
        <v>0</v>
      </c>
      <c r="Z3817" s="182" t="n">
        <v>0.09</v>
      </c>
      <c r="AA3817" s="182" t="n">
        <v>0</v>
      </c>
      <c r="AB3817" s="182" t="n">
        <v>0</v>
      </c>
      <c r="AC3817" s="182" t="n">
        <v>0</v>
      </c>
      <c r="AD3817" s="182" t="n">
        <v>0</v>
      </c>
      <c r="AE3817" s="182" t="n">
        <v>0</v>
      </c>
      <c r="AF3817" s="182" t="n">
        <v>0</v>
      </c>
      <c r="AG3817" s="182" t="n">
        <v>0</v>
      </c>
      <c r="AH3817" s="182" t="n">
        <v>0</v>
      </c>
      <c r="AI3817" s="182" t="n">
        <v>0</v>
      </c>
      <c r="AJ3817" s="182" t="n">
        <v>0</v>
      </c>
      <c r="AK3817" s="182" t="n">
        <v>0</v>
      </c>
      <c r="AL3817" s="182" t="n">
        <v>0</v>
      </c>
      <c r="AM3817" s="182" t="n">
        <v>0.07000000000000001</v>
      </c>
      <c r="AN3817" s="182" t="n">
        <v>0</v>
      </c>
    </row>
    <row r="3818">
      <c r="A3818" s="155" t="n">
        <v>46099</v>
      </c>
      <c r="B3818" s="156" t="inlineStr">
        <is>
          <t>DS</t>
        </is>
      </c>
      <c r="C3818" s="156" t="inlineStr">
        <is>
          <t>DT-514</t>
        </is>
      </c>
      <c r="D3818" s="156" t="inlineStr">
        <is>
          <t>SKT 105S</t>
        </is>
      </c>
      <c r="E3818" s="156" t="inlineStr">
        <is>
          <t>Hauler</t>
        </is>
      </c>
      <c r="F3818" s="156" t="inlineStr"/>
      <c r="G3818" s="182" t="n">
        <v>0</v>
      </c>
      <c r="H3818" s="182" t="n">
        <v>0</v>
      </c>
      <c r="I3818" s="182" t="n">
        <v>12</v>
      </c>
      <c r="J3818" s="182" t="n">
        <v>12</v>
      </c>
      <c r="K3818" s="182" t="n">
        <v>0</v>
      </c>
      <c r="L3818" s="182" t="n">
        <v>12</v>
      </c>
      <c r="M3818" s="182" t="n">
        <v>0</v>
      </c>
      <c r="N3818" s="182" t="n">
        <v>0</v>
      </c>
      <c r="O3818" s="183" t="n">
        <v>0</v>
      </c>
      <c r="P3818" s="183" t="n">
        <v>0</v>
      </c>
      <c r="Q3818" s="184" t="n">
        <v>0</v>
      </c>
      <c r="R3818" s="184" t="n">
        <v>0</v>
      </c>
      <c r="S3818" s="183" t="n">
        <v>0</v>
      </c>
      <c r="T3818" s="183" t="n">
        <v>0</v>
      </c>
      <c r="U3818" s="182" t="n">
        <v>0</v>
      </c>
      <c r="V3818" s="182" t="n">
        <v>0</v>
      </c>
      <c r="W3818" s="182" t="n">
        <v>0</v>
      </c>
      <c r="X3818" s="182" t="n">
        <v>0</v>
      </c>
      <c r="Y3818" s="182" t="n">
        <v>0</v>
      </c>
      <c r="Z3818" s="182" t="n">
        <v>0</v>
      </c>
      <c r="AA3818" s="182" t="n">
        <v>0</v>
      </c>
      <c r="AB3818" s="182" t="n">
        <v>0</v>
      </c>
      <c r="AC3818" s="182" t="n">
        <v>0</v>
      </c>
      <c r="AD3818" s="182" t="n">
        <v>0</v>
      </c>
      <c r="AE3818" s="182" t="n">
        <v>0</v>
      </c>
      <c r="AF3818" s="182" t="n">
        <v>0</v>
      </c>
      <c r="AG3818" s="182" t="n">
        <v>0</v>
      </c>
      <c r="AH3818" s="182" t="n">
        <v>0</v>
      </c>
      <c r="AI3818" s="182" t="n">
        <v>0</v>
      </c>
      <c r="AJ3818" s="182" t="n">
        <v>0</v>
      </c>
      <c r="AK3818" s="182" t="n">
        <v>0</v>
      </c>
      <c r="AL3818" s="182" t="n">
        <v>0</v>
      </c>
      <c r="AM3818" s="182" t="n">
        <v>0</v>
      </c>
      <c r="AN3818" s="182" t="n">
        <v>0</v>
      </c>
    </row>
    <row r="3819">
      <c r="A3819" s="155" t="n">
        <v>46099</v>
      </c>
      <c r="B3819" s="156" t="inlineStr">
        <is>
          <t>DS</t>
        </is>
      </c>
      <c r="C3819" s="156" t="inlineStr">
        <is>
          <t>DT-523</t>
        </is>
      </c>
      <c r="D3819" s="156" t="inlineStr">
        <is>
          <t>SKT 105S</t>
        </is>
      </c>
      <c r="E3819" s="156" t="inlineStr">
        <is>
          <t>Hauler</t>
        </is>
      </c>
      <c r="F3819" s="156" t="inlineStr"/>
      <c r="G3819" s="182" t="n">
        <v>0</v>
      </c>
      <c r="H3819" s="182" t="n">
        <v>7.95</v>
      </c>
      <c r="I3819" s="182" t="n">
        <v>0</v>
      </c>
      <c r="J3819" s="182" t="n">
        <v>7.95</v>
      </c>
      <c r="K3819" s="182" t="n">
        <v>4.05</v>
      </c>
      <c r="L3819" s="182" t="n">
        <v>12</v>
      </c>
      <c r="M3819" s="182" t="n">
        <v>0</v>
      </c>
      <c r="N3819" s="182" t="n">
        <v>0</v>
      </c>
      <c r="O3819" s="183" t="n">
        <v>0</v>
      </c>
      <c r="P3819" s="183" t="n">
        <v>0</v>
      </c>
      <c r="Q3819" s="184" t="n">
        <v>0</v>
      </c>
      <c r="R3819" s="184" t="n">
        <v>0</v>
      </c>
      <c r="S3819" s="183" t="n">
        <v>0</v>
      </c>
      <c r="T3819" s="183" t="n">
        <v>0</v>
      </c>
      <c r="U3819" s="182" t="n">
        <v>0</v>
      </c>
      <c r="V3819" s="182" t="n">
        <v>0</v>
      </c>
      <c r="W3819" s="182" t="n">
        <v>0</v>
      </c>
      <c r="X3819" s="182" t="n">
        <v>1</v>
      </c>
      <c r="Y3819" s="182" t="n">
        <v>0</v>
      </c>
      <c r="Z3819" s="182" t="n">
        <v>0.1</v>
      </c>
      <c r="AA3819" s="182" t="n">
        <v>0</v>
      </c>
      <c r="AB3819" s="182" t="n">
        <v>0</v>
      </c>
      <c r="AC3819" s="182" t="n">
        <v>0</v>
      </c>
      <c r="AD3819" s="182" t="n">
        <v>0</v>
      </c>
      <c r="AE3819" s="182" t="n">
        <v>0</v>
      </c>
      <c r="AF3819" s="182" t="n">
        <v>0</v>
      </c>
      <c r="AG3819" s="182" t="n">
        <v>0</v>
      </c>
      <c r="AH3819" s="182" t="n">
        <v>0</v>
      </c>
      <c r="AI3819" s="182" t="n">
        <v>2.87</v>
      </c>
      <c r="AJ3819" s="182" t="n">
        <v>0</v>
      </c>
      <c r="AK3819" s="182" t="n">
        <v>0</v>
      </c>
      <c r="AL3819" s="182" t="n">
        <v>0</v>
      </c>
      <c r="AM3819" s="182" t="n">
        <v>0.08</v>
      </c>
      <c r="AN3819" s="182" t="n">
        <v>0</v>
      </c>
    </row>
    <row r="3820">
      <c r="A3820" s="155" t="n">
        <v>46099</v>
      </c>
      <c r="B3820" s="156" t="inlineStr">
        <is>
          <t>DS</t>
        </is>
      </c>
      <c r="C3820" s="156" t="inlineStr">
        <is>
          <t>DT-519</t>
        </is>
      </c>
      <c r="D3820" s="156" t="inlineStr">
        <is>
          <t>SKT 105S</t>
        </is>
      </c>
      <c r="E3820" s="156" t="inlineStr">
        <is>
          <t>Hauler</t>
        </is>
      </c>
      <c r="F3820" s="156" t="inlineStr"/>
      <c r="G3820" s="182" t="n">
        <v>0</v>
      </c>
      <c r="H3820" s="182" t="n">
        <v>0</v>
      </c>
      <c r="I3820" s="182" t="n">
        <v>0</v>
      </c>
      <c r="J3820" s="182" t="n">
        <v>0</v>
      </c>
      <c r="K3820" s="182" t="n">
        <v>12</v>
      </c>
      <c r="L3820" s="182" t="n">
        <v>12</v>
      </c>
      <c r="M3820" s="182" t="n">
        <v>0</v>
      </c>
      <c r="N3820" s="182" t="n">
        <v>0</v>
      </c>
      <c r="O3820" s="183" t="n">
        <v>0</v>
      </c>
      <c r="P3820" s="183" t="n">
        <v>0</v>
      </c>
      <c r="Q3820" s="184" t="n">
        <v>0</v>
      </c>
      <c r="R3820" s="184" t="n">
        <v>0</v>
      </c>
      <c r="S3820" s="183" t="n">
        <v>0</v>
      </c>
      <c r="T3820" s="183" t="n">
        <v>0</v>
      </c>
      <c r="U3820" s="182" t="n">
        <v>0</v>
      </c>
      <c r="V3820" s="182" t="n">
        <v>0</v>
      </c>
      <c r="W3820" s="182" t="n">
        <v>0</v>
      </c>
      <c r="X3820" s="182" t="n">
        <v>1</v>
      </c>
      <c r="Y3820" s="182" t="n">
        <v>0</v>
      </c>
      <c r="Z3820" s="182" t="n">
        <v>0.1</v>
      </c>
      <c r="AA3820" s="182" t="n">
        <v>0</v>
      </c>
      <c r="AB3820" s="182" t="n">
        <v>0</v>
      </c>
      <c r="AC3820" s="182" t="n">
        <v>0</v>
      </c>
      <c r="AD3820" s="182" t="n">
        <v>0</v>
      </c>
      <c r="AE3820" s="182" t="n">
        <v>0</v>
      </c>
      <c r="AF3820" s="182" t="n">
        <v>0</v>
      </c>
      <c r="AG3820" s="182" t="n">
        <v>0</v>
      </c>
      <c r="AH3820" s="182" t="n">
        <v>0</v>
      </c>
      <c r="AI3820" s="182" t="n">
        <v>0</v>
      </c>
      <c r="AJ3820" s="182" t="n">
        <v>0</v>
      </c>
      <c r="AK3820" s="182" t="n">
        <v>10.82</v>
      </c>
      <c r="AL3820" s="182" t="n">
        <v>0</v>
      </c>
      <c r="AM3820" s="182" t="n">
        <v>0.08</v>
      </c>
      <c r="AN3820" s="182" t="n">
        <v>0</v>
      </c>
    </row>
    <row r="3821">
      <c r="A3821" s="155" t="n">
        <v>46099</v>
      </c>
      <c r="B3821" s="156" t="inlineStr">
        <is>
          <t>DS</t>
        </is>
      </c>
      <c r="C3821" s="156" t="inlineStr">
        <is>
          <t>DT-527</t>
        </is>
      </c>
      <c r="D3821" s="156" t="inlineStr">
        <is>
          <t>SKT 105S</t>
        </is>
      </c>
      <c r="E3821" s="156" t="inlineStr">
        <is>
          <t>Hauler</t>
        </is>
      </c>
      <c r="F3821" s="156" t="inlineStr">
        <is>
          <t>Hauling OB</t>
        </is>
      </c>
      <c r="G3821" s="182" t="n">
        <v>6.09</v>
      </c>
      <c r="H3821" s="182" t="n">
        <v>0</v>
      </c>
      <c r="I3821" s="182" t="n">
        <v>0</v>
      </c>
      <c r="J3821" s="182" t="n">
        <v>0</v>
      </c>
      <c r="K3821" s="182" t="n">
        <v>5.91</v>
      </c>
      <c r="L3821" s="182" t="n">
        <v>12</v>
      </c>
      <c r="M3821" s="182" t="n">
        <v>5.98</v>
      </c>
      <c r="N3821" s="182" t="n">
        <v>0</v>
      </c>
      <c r="O3821" s="183" t="n">
        <v>20</v>
      </c>
      <c r="P3821" s="183" t="n">
        <v>0</v>
      </c>
      <c r="Q3821" s="184" t="n">
        <v>408</v>
      </c>
      <c r="R3821" s="184" t="n">
        <v>0</v>
      </c>
      <c r="S3821" s="183" t="n">
        <v>0</v>
      </c>
      <c r="T3821" s="183" t="n">
        <v>0</v>
      </c>
      <c r="U3821" s="182" t="n">
        <v>0</v>
      </c>
      <c r="V3821" s="182" t="n">
        <v>0</v>
      </c>
      <c r="W3821" s="182" t="n">
        <v>0</v>
      </c>
      <c r="X3821" s="182" t="n">
        <v>1.06</v>
      </c>
      <c r="Y3821" s="182" t="n">
        <v>0</v>
      </c>
      <c r="Z3821" s="182" t="n">
        <v>0.11</v>
      </c>
      <c r="AA3821" s="182" t="n">
        <v>0</v>
      </c>
      <c r="AB3821" s="182" t="n">
        <v>0</v>
      </c>
      <c r="AC3821" s="182" t="n">
        <v>0</v>
      </c>
      <c r="AD3821" s="182" t="n">
        <v>0</v>
      </c>
      <c r="AE3821" s="182" t="n">
        <v>0</v>
      </c>
      <c r="AF3821" s="182" t="n">
        <v>0</v>
      </c>
      <c r="AG3821" s="182" t="n">
        <v>0</v>
      </c>
      <c r="AH3821" s="182" t="n">
        <v>0</v>
      </c>
      <c r="AI3821" s="182" t="n">
        <v>4.66</v>
      </c>
      <c r="AJ3821" s="182" t="n">
        <v>0</v>
      </c>
      <c r="AK3821" s="182" t="n">
        <v>0</v>
      </c>
      <c r="AL3821" s="182" t="n">
        <v>0</v>
      </c>
      <c r="AM3821" s="182" t="n">
        <v>0.08</v>
      </c>
      <c r="AN3821" s="182" t="n">
        <v>0</v>
      </c>
    </row>
    <row r="3822">
      <c r="A3822" s="155" t="n">
        <v>46099</v>
      </c>
      <c r="B3822" s="156" t="inlineStr">
        <is>
          <t>DS</t>
        </is>
      </c>
      <c r="C3822" s="156" t="inlineStr">
        <is>
          <t>DT-513</t>
        </is>
      </c>
      <c r="D3822" s="156" t="inlineStr">
        <is>
          <t>SKT 105S</t>
        </is>
      </c>
      <c r="E3822" s="156" t="inlineStr">
        <is>
          <t>Hauler</t>
        </is>
      </c>
      <c r="F3822" s="156" t="inlineStr">
        <is>
          <t>Hauling OB</t>
        </is>
      </c>
      <c r="G3822" s="182" t="n">
        <v>8.949999999999999</v>
      </c>
      <c r="H3822" s="182" t="n">
        <v>0</v>
      </c>
      <c r="I3822" s="182" t="n">
        <v>0.75</v>
      </c>
      <c r="J3822" s="182" t="n">
        <v>0.75</v>
      </c>
      <c r="K3822" s="182" t="n">
        <v>2.3</v>
      </c>
      <c r="L3822" s="182" t="n">
        <v>12</v>
      </c>
      <c r="M3822" s="182" t="n">
        <v>8.6</v>
      </c>
      <c r="N3822" s="182" t="n">
        <v>0</v>
      </c>
      <c r="O3822" s="183" t="n">
        <v>23</v>
      </c>
      <c r="P3822" s="183" t="n">
        <v>0</v>
      </c>
      <c r="Q3822" s="184" t="n">
        <v>469.2</v>
      </c>
      <c r="R3822" s="184" t="n">
        <v>0</v>
      </c>
      <c r="S3822" s="183" t="n">
        <v>0</v>
      </c>
      <c r="T3822" s="183" t="n">
        <v>0</v>
      </c>
      <c r="U3822" s="182" t="n">
        <v>0</v>
      </c>
      <c r="V3822" s="182" t="n">
        <v>0</v>
      </c>
      <c r="W3822" s="182" t="n">
        <v>0</v>
      </c>
      <c r="X3822" s="182" t="n">
        <v>0.98</v>
      </c>
      <c r="Y3822" s="182" t="n">
        <v>0</v>
      </c>
      <c r="Z3822" s="182" t="n">
        <v>0.1</v>
      </c>
      <c r="AA3822" s="182" t="n">
        <v>0</v>
      </c>
      <c r="AB3822" s="182" t="n">
        <v>0</v>
      </c>
      <c r="AC3822" s="182" t="n">
        <v>0</v>
      </c>
      <c r="AD3822" s="182" t="n">
        <v>0</v>
      </c>
      <c r="AE3822" s="182" t="n">
        <v>0</v>
      </c>
      <c r="AF3822" s="182" t="n">
        <v>0</v>
      </c>
      <c r="AG3822" s="182" t="n">
        <v>0</v>
      </c>
      <c r="AH3822" s="182" t="n">
        <v>0</v>
      </c>
      <c r="AI3822" s="182" t="n">
        <v>1.15</v>
      </c>
      <c r="AJ3822" s="182" t="n">
        <v>0</v>
      </c>
      <c r="AK3822" s="182" t="n">
        <v>0</v>
      </c>
      <c r="AL3822" s="182" t="n">
        <v>0</v>
      </c>
      <c r="AM3822" s="182" t="n">
        <v>0.08</v>
      </c>
      <c r="AN3822" s="182" t="n">
        <v>0</v>
      </c>
    </row>
    <row r="3823">
      <c r="A3823" s="155" t="n">
        <v>46099</v>
      </c>
      <c r="B3823" s="156" t="inlineStr">
        <is>
          <t>DS</t>
        </is>
      </c>
      <c r="C3823" s="156" t="inlineStr">
        <is>
          <t>DT-512</t>
        </is>
      </c>
      <c r="D3823" s="156" t="inlineStr">
        <is>
          <t>SKT 105S</t>
        </is>
      </c>
      <c r="E3823" s="156" t="inlineStr">
        <is>
          <t>Hauler</t>
        </is>
      </c>
      <c r="F3823" s="156" t="inlineStr">
        <is>
          <t>Hauling OB</t>
        </is>
      </c>
      <c r="G3823" s="182" t="n">
        <v>5.52</v>
      </c>
      <c r="H3823" s="182" t="n">
        <v>5.33</v>
      </c>
      <c r="I3823" s="182" t="n">
        <v>0</v>
      </c>
      <c r="J3823" s="182" t="n">
        <v>5.33</v>
      </c>
      <c r="K3823" s="182" t="n">
        <v>1.15</v>
      </c>
      <c r="L3823" s="182" t="n">
        <v>12</v>
      </c>
      <c r="M3823" s="182" t="n">
        <v>5.2</v>
      </c>
      <c r="N3823" s="182" t="n">
        <v>0</v>
      </c>
      <c r="O3823" s="183" t="n">
        <v>21</v>
      </c>
      <c r="P3823" s="183" t="n">
        <v>0</v>
      </c>
      <c r="Q3823" s="184" t="n">
        <v>428.4</v>
      </c>
      <c r="R3823" s="184" t="n">
        <v>0</v>
      </c>
      <c r="S3823" s="183" t="n">
        <v>0</v>
      </c>
      <c r="T3823" s="183" t="n">
        <v>0</v>
      </c>
      <c r="U3823" s="182" t="n">
        <v>0</v>
      </c>
      <c r="V3823" s="182" t="n">
        <v>0</v>
      </c>
      <c r="W3823" s="182" t="n">
        <v>0</v>
      </c>
      <c r="X3823" s="182" t="n">
        <v>0</v>
      </c>
      <c r="Y3823" s="182" t="n">
        <v>0</v>
      </c>
      <c r="Z3823" s="182" t="n">
        <v>0.15</v>
      </c>
      <c r="AA3823" s="182" t="n">
        <v>0</v>
      </c>
      <c r="AB3823" s="182" t="n">
        <v>0</v>
      </c>
      <c r="AC3823" s="182" t="n">
        <v>0</v>
      </c>
      <c r="AD3823" s="182" t="n">
        <v>0</v>
      </c>
      <c r="AE3823" s="182" t="n">
        <v>0</v>
      </c>
      <c r="AF3823" s="182" t="n">
        <v>0</v>
      </c>
      <c r="AG3823" s="182" t="n">
        <v>0</v>
      </c>
      <c r="AH3823" s="182" t="n">
        <v>0.87</v>
      </c>
      <c r="AI3823" s="182" t="n">
        <v>0</v>
      </c>
      <c r="AJ3823" s="182" t="n">
        <v>0</v>
      </c>
      <c r="AK3823" s="182" t="n">
        <v>0</v>
      </c>
      <c r="AL3823" s="182" t="n">
        <v>0</v>
      </c>
      <c r="AM3823" s="182" t="n">
        <v>0.12</v>
      </c>
      <c r="AN3823" s="182" t="n">
        <v>0</v>
      </c>
    </row>
    <row r="3824">
      <c r="A3824" s="155" t="n">
        <v>46099</v>
      </c>
      <c r="B3824" s="156" t="inlineStr">
        <is>
          <t>DS</t>
        </is>
      </c>
      <c r="C3824" s="156" t="inlineStr">
        <is>
          <t>DT-522</t>
        </is>
      </c>
      <c r="D3824" s="156" t="inlineStr">
        <is>
          <t>SKT 105S</t>
        </is>
      </c>
      <c r="E3824" s="156" t="inlineStr">
        <is>
          <t>Hauler</t>
        </is>
      </c>
      <c r="F3824" s="156" t="inlineStr">
        <is>
          <t>Hauling OB</t>
        </is>
      </c>
      <c r="G3824" s="182" t="n">
        <v>10.52</v>
      </c>
      <c r="H3824" s="182" t="n">
        <v>0</v>
      </c>
      <c r="I3824" s="182" t="n">
        <v>0</v>
      </c>
      <c r="J3824" s="182" t="n">
        <v>0</v>
      </c>
      <c r="K3824" s="182" t="n">
        <v>1.48</v>
      </c>
      <c r="L3824" s="182" t="n">
        <v>12</v>
      </c>
      <c r="M3824" s="182" t="n">
        <v>10.52</v>
      </c>
      <c r="N3824" s="182" t="n">
        <v>0</v>
      </c>
      <c r="O3824" s="183" t="n">
        <v>39</v>
      </c>
      <c r="P3824" s="183" t="n">
        <v>0</v>
      </c>
      <c r="Q3824" s="184" t="n">
        <v>795.6</v>
      </c>
      <c r="R3824" s="184" t="n">
        <v>0</v>
      </c>
      <c r="S3824" s="183" t="n">
        <v>0</v>
      </c>
      <c r="T3824" s="183" t="n">
        <v>0</v>
      </c>
      <c r="U3824" s="182" t="n">
        <v>0</v>
      </c>
      <c r="V3824" s="182" t="n">
        <v>0</v>
      </c>
      <c r="W3824" s="182" t="n">
        <v>0</v>
      </c>
      <c r="X3824" s="182" t="n">
        <v>0.87</v>
      </c>
      <c r="Y3824" s="182" t="n">
        <v>0</v>
      </c>
      <c r="Z3824" s="182" t="n">
        <v>0.09</v>
      </c>
      <c r="AA3824" s="182" t="n">
        <v>0</v>
      </c>
      <c r="AB3824" s="182" t="n">
        <v>0</v>
      </c>
      <c r="AC3824" s="182" t="n">
        <v>0</v>
      </c>
      <c r="AD3824" s="182" t="n">
        <v>0</v>
      </c>
      <c r="AE3824" s="182" t="n">
        <v>0</v>
      </c>
      <c r="AF3824" s="182" t="n">
        <v>0</v>
      </c>
      <c r="AG3824" s="182" t="n">
        <v>0</v>
      </c>
      <c r="AH3824" s="182" t="n">
        <v>0.45</v>
      </c>
      <c r="AI3824" s="182" t="n">
        <v>0</v>
      </c>
      <c r="AJ3824" s="182" t="n">
        <v>0</v>
      </c>
      <c r="AK3824" s="182" t="n">
        <v>0</v>
      </c>
      <c r="AL3824" s="182" t="n">
        <v>0</v>
      </c>
      <c r="AM3824" s="182" t="n">
        <v>0.07000000000000001</v>
      </c>
      <c r="AN3824" s="182" t="n">
        <v>0</v>
      </c>
    </row>
    <row r="3825">
      <c r="A3825" s="155" t="n">
        <v>46099</v>
      </c>
      <c r="B3825" s="156" t="inlineStr">
        <is>
          <t>DS</t>
        </is>
      </c>
      <c r="C3825" s="156" t="inlineStr">
        <is>
          <t>DT-517</t>
        </is>
      </c>
      <c r="D3825" s="156" t="inlineStr">
        <is>
          <t>SKT 105S</t>
        </is>
      </c>
      <c r="E3825" s="156" t="inlineStr">
        <is>
          <t>Hauler</t>
        </is>
      </c>
      <c r="F3825" s="156" t="inlineStr">
        <is>
          <t>Hauling OB &amp; Coal</t>
        </is>
      </c>
      <c r="G3825" s="182" t="n">
        <v>10.63</v>
      </c>
      <c r="H3825" s="182" t="n">
        <v>0</v>
      </c>
      <c r="I3825" s="182" t="n">
        <v>0</v>
      </c>
      <c r="J3825" s="182" t="n">
        <v>0</v>
      </c>
      <c r="K3825" s="182" t="n">
        <v>1.37</v>
      </c>
      <c r="L3825" s="182" t="n">
        <v>12</v>
      </c>
      <c r="M3825" s="182" t="n">
        <v>6.03</v>
      </c>
      <c r="N3825" s="182" t="n">
        <v>4.6</v>
      </c>
      <c r="O3825" s="183" t="n">
        <v>18</v>
      </c>
      <c r="P3825" s="183" t="n">
        <v>10</v>
      </c>
      <c r="Q3825" s="184" t="n">
        <v>293.8</v>
      </c>
      <c r="R3825" s="184" t="n">
        <v>187</v>
      </c>
      <c r="S3825" s="183" t="n">
        <v>0</v>
      </c>
      <c r="T3825" s="183" t="n">
        <v>0</v>
      </c>
      <c r="U3825" s="182" t="n">
        <v>0</v>
      </c>
      <c r="V3825" s="182" t="n">
        <v>0</v>
      </c>
      <c r="W3825" s="182" t="n">
        <v>0</v>
      </c>
      <c r="X3825" s="182" t="n">
        <v>0.86</v>
      </c>
      <c r="Y3825" s="182" t="n">
        <v>0</v>
      </c>
      <c r="Z3825" s="182" t="n">
        <v>0.09</v>
      </c>
      <c r="AA3825" s="182" t="n">
        <v>0</v>
      </c>
      <c r="AB3825" s="182" t="n">
        <v>0</v>
      </c>
      <c r="AC3825" s="182" t="n">
        <v>0</v>
      </c>
      <c r="AD3825" s="182" t="n">
        <v>0</v>
      </c>
      <c r="AE3825" s="182" t="n">
        <v>0</v>
      </c>
      <c r="AF3825" s="182" t="n">
        <v>0</v>
      </c>
      <c r="AG3825" s="182" t="n">
        <v>0</v>
      </c>
      <c r="AH3825" s="182" t="n">
        <v>0.36</v>
      </c>
      <c r="AI3825" s="182" t="n">
        <v>0</v>
      </c>
      <c r="AJ3825" s="182" t="n">
        <v>0</v>
      </c>
      <c r="AK3825" s="182" t="n">
        <v>0</v>
      </c>
      <c r="AL3825" s="182" t="n">
        <v>0</v>
      </c>
      <c r="AM3825" s="182" t="n">
        <v>0.07000000000000001</v>
      </c>
      <c r="AN3825" s="182" t="n">
        <v>0</v>
      </c>
    </row>
    <row r="3826">
      <c r="A3826" s="155" t="n">
        <v>46099</v>
      </c>
      <c r="B3826" s="156" t="inlineStr">
        <is>
          <t>DS</t>
        </is>
      </c>
      <c r="C3826" s="156" t="inlineStr">
        <is>
          <t>DT-510</t>
        </is>
      </c>
      <c r="D3826" s="156" t="inlineStr">
        <is>
          <t>SKT 105S</t>
        </is>
      </c>
      <c r="E3826" s="156" t="inlineStr">
        <is>
          <t>Hauler</t>
        </is>
      </c>
      <c r="F3826" s="156" t="inlineStr">
        <is>
          <t>Hauling Coal</t>
        </is>
      </c>
      <c r="G3826" s="182" t="n">
        <v>8.800000000000001</v>
      </c>
      <c r="H3826" s="182" t="n">
        <v>0</v>
      </c>
      <c r="I3826" s="182" t="n">
        <v>0</v>
      </c>
      <c r="J3826" s="182" t="n">
        <v>0</v>
      </c>
      <c r="K3826" s="182" t="n">
        <v>3.2</v>
      </c>
      <c r="L3826" s="182" t="n">
        <v>12</v>
      </c>
      <c r="M3826" s="182" t="n">
        <v>0</v>
      </c>
      <c r="N3826" s="182" t="n">
        <v>8.800000000000001</v>
      </c>
      <c r="O3826" s="183" t="n">
        <v>0</v>
      </c>
      <c r="P3826" s="183" t="n">
        <v>15</v>
      </c>
      <c r="Q3826" s="184" t="n">
        <v>0</v>
      </c>
      <c r="R3826" s="184" t="n">
        <v>280.5</v>
      </c>
      <c r="S3826" s="183" t="n">
        <v>0</v>
      </c>
      <c r="T3826" s="183" t="n">
        <v>0</v>
      </c>
      <c r="U3826" s="182" t="n">
        <v>0</v>
      </c>
      <c r="V3826" s="182" t="n">
        <v>0</v>
      </c>
      <c r="W3826" s="182" t="n">
        <v>0</v>
      </c>
      <c r="X3826" s="182" t="n">
        <v>0.89</v>
      </c>
      <c r="Y3826" s="182" t="n">
        <v>0</v>
      </c>
      <c r="Z3826" s="182" t="n">
        <v>0.09</v>
      </c>
      <c r="AA3826" s="182" t="n">
        <v>0</v>
      </c>
      <c r="AB3826" s="182" t="n">
        <v>0</v>
      </c>
      <c r="AC3826" s="182" t="n">
        <v>0</v>
      </c>
      <c r="AD3826" s="182" t="n">
        <v>0</v>
      </c>
      <c r="AE3826" s="182" t="n">
        <v>0</v>
      </c>
      <c r="AF3826" s="182" t="n">
        <v>0</v>
      </c>
      <c r="AG3826" s="182" t="n">
        <v>0</v>
      </c>
      <c r="AH3826" s="182" t="n">
        <v>0</v>
      </c>
      <c r="AI3826" s="182" t="n">
        <v>0</v>
      </c>
      <c r="AJ3826" s="182" t="n">
        <v>0</v>
      </c>
      <c r="AK3826" s="182" t="n">
        <v>2.15</v>
      </c>
      <c r="AL3826" s="182" t="n">
        <v>0</v>
      </c>
      <c r="AM3826" s="182" t="n">
        <v>0.07000000000000001</v>
      </c>
      <c r="AN3826" s="182" t="n">
        <v>0</v>
      </c>
    </row>
    <row r="3827">
      <c r="A3827" s="155" t="n">
        <v>46099</v>
      </c>
      <c r="B3827" s="156" t="inlineStr">
        <is>
          <t>DS</t>
        </is>
      </c>
      <c r="C3827" s="156" t="inlineStr">
        <is>
          <t>DT-521</t>
        </is>
      </c>
      <c r="D3827" s="156" t="inlineStr">
        <is>
          <t>SKT 105S</t>
        </is>
      </c>
      <c r="E3827" s="156" t="inlineStr">
        <is>
          <t>Hauler</t>
        </is>
      </c>
      <c r="F3827" s="156" t="inlineStr">
        <is>
          <t>Hauling OB &amp; Coal</t>
        </is>
      </c>
      <c r="G3827" s="182" t="n">
        <v>9.050000000000001</v>
      </c>
      <c r="H3827" s="182" t="n">
        <v>0</v>
      </c>
      <c r="I3827" s="182" t="n">
        <v>1.8</v>
      </c>
      <c r="J3827" s="182" t="n">
        <v>1.8</v>
      </c>
      <c r="K3827" s="182" t="n">
        <v>1.15</v>
      </c>
      <c r="L3827" s="182" t="n">
        <v>12</v>
      </c>
      <c r="M3827" s="182" t="n">
        <v>4.31</v>
      </c>
      <c r="N3827" s="182" t="n">
        <v>4.73</v>
      </c>
      <c r="O3827" s="183" t="n">
        <v>13</v>
      </c>
      <c r="P3827" s="183" t="n">
        <v>10</v>
      </c>
      <c r="Q3827" s="184" t="n">
        <v>212.2</v>
      </c>
      <c r="R3827" s="184" t="n">
        <v>187</v>
      </c>
      <c r="S3827" s="183" t="n">
        <v>0</v>
      </c>
      <c r="T3827" s="183" t="n">
        <v>0</v>
      </c>
      <c r="U3827" s="182" t="n">
        <v>0</v>
      </c>
      <c r="V3827" s="182" t="n">
        <v>0</v>
      </c>
      <c r="W3827" s="182" t="n">
        <v>0</v>
      </c>
      <c r="X3827" s="182" t="n">
        <v>0.72</v>
      </c>
      <c r="Y3827" s="182" t="n">
        <v>0</v>
      </c>
      <c r="Z3827" s="182" t="n">
        <v>0.07000000000000001</v>
      </c>
      <c r="AA3827" s="182" t="n">
        <v>0</v>
      </c>
      <c r="AB3827" s="182" t="n">
        <v>0</v>
      </c>
      <c r="AC3827" s="182" t="n">
        <v>0</v>
      </c>
      <c r="AD3827" s="182" t="n">
        <v>0</v>
      </c>
      <c r="AE3827" s="182" t="n">
        <v>0</v>
      </c>
      <c r="AF3827" s="182" t="n">
        <v>0</v>
      </c>
      <c r="AG3827" s="182" t="n">
        <v>0</v>
      </c>
      <c r="AH3827" s="182" t="n">
        <v>0.3</v>
      </c>
      <c r="AI3827" s="182" t="n">
        <v>0</v>
      </c>
      <c r="AJ3827" s="182" t="n">
        <v>0</v>
      </c>
      <c r="AK3827" s="182" t="n">
        <v>0</v>
      </c>
      <c r="AL3827" s="182" t="n">
        <v>0</v>
      </c>
      <c r="AM3827" s="182" t="n">
        <v>0.06</v>
      </c>
      <c r="AN3827" s="182" t="n">
        <v>0</v>
      </c>
    </row>
    <row r="3828">
      <c r="A3828" s="155" t="n">
        <v>46099</v>
      </c>
      <c r="B3828" s="156" t="inlineStr">
        <is>
          <t>DS</t>
        </is>
      </c>
      <c r="C3828" s="156" t="inlineStr">
        <is>
          <t>DT-516</t>
        </is>
      </c>
      <c r="D3828" s="156" t="inlineStr">
        <is>
          <t>SKT 105S</t>
        </is>
      </c>
      <c r="E3828" s="156" t="inlineStr">
        <is>
          <t>Hauler</t>
        </is>
      </c>
      <c r="F3828" s="156" t="inlineStr"/>
      <c r="G3828" s="182" t="n">
        <v>0</v>
      </c>
      <c r="H3828" s="182" t="n">
        <v>0</v>
      </c>
      <c r="I3828" s="182" t="n">
        <v>12</v>
      </c>
      <c r="J3828" s="182" t="n">
        <v>12</v>
      </c>
      <c r="K3828" s="182" t="n">
        <v>0</v>
      </c>
      <c r="L3828" s="182" t="n">
        <v>12</v>
      </c>
      <c r="M3828" s="182" t="n">
        <v>0</v>
      </c>
      <c r="N3828" s="182" t="n">
        <v>0</v>
      </c>
      <c r="O3828" s="183" t="n">
        <v>0</v>
      </c>
      <c r="P3828" s="183" t="n">
        <v>0</v>
      </c>
      <c r="Q3828" s="184" t="n">
        <v>0</v>
      </c>
      <c r="R3828" s="184" t="n">
        <v>0</v>
      </c>
      <c r="S3828" s="183" t="n">
        <v>0</v>
      </c>
      <c r="T3828" s="183" t="n">
        <v>0</v>
      </c>
      <c r="U3828" s="182" t="n">
        <v>0</v>
      </c>
      <c r="V3828" s="182" t="n">
        <v>0</v>
      </c>
      <c r="W3828" s="182" t="n">
        <v>0</v>
      </c>
      <c r="X3828" s="182" t="n">
        <v>0</v>
      </c>
      <c r="Y3828" s="182" t="n">
        <v>0</v>
      </c>
      <c r="Z3828" s="182" t="n">
        <v>0</v>
      </c>
      <c r="AA3828" s="182" t="n">
        <v>0</v>
      </c>
      <c r="AB3828" s="182" t="n">
        <v>0</v>
      </c>
      <c r="AC3828" s="182" t="n">
        <v>0</v>
      </c>
      <c r="AD3828" s="182" t="n">
        <v>0</v>
      </c>
      <c r="AE3828" s="182" t="n">
        <v>0</v>
      </c>
      <c r="AF3828" s="182" t="n">
        <v>0</v>
      </c>
      <c r="AG3828" s="182" t="n">
        <v>0</v>
      </c>
      <c r="AH3828" s="182" t="n">
        <v>0</v>
      </c>
      <c r="AI3828" s="182" t="n">
        <v>0</v>
      </c>
      <c r="AJ3828" s="182" t="n">
        <v>0</v>
      </c>
      <c r="AK3828" s="182" t="n">
        <v>0</v>
      </c>
      <c r="AL3828" s="182" t="n">
        <v>0</v>
      </c>
      <c r="AM3828" s="182" t="n">
        <v>0</v>
      </c>
      <c r="AN3828" s="182" t="n">
        <v>0</v>
      </c>
    </row>
    <row r="3829">
      <c r="A3829" s="155" t="n">
        <v>46099</v>
      </c>
      <c r="B3829" s="156" t="inlineStr">
        <is>
          <t>DS</t>
        </is>
      </c>
      <c r="C3829" s="156" t="inlineStr">
        <is>
          <t>DT-506</t>
        </is>
      </c>
      <c r="D3829" s="156" t="inlineStr">
        <is>
          <t>SKT 105S</t>
        </is>
      </c>
      <c r="E3829" s="156" t="inlineStr">
        <is>
          <t>Hauler</t>
        </is>
      </c>
      <c r="F3829" s="156" t="inlineStr">
        <is>
          <t>Hauling OB &amp; Coal</t>
        </is>
      </c>
      <c r="G3829" s="182" t="n">
        <v>9.98</v>
      </c>
      <c r="H3829" s="182" t="n">
        <v>0</v>
      </c>
      <c r="I3829" s="182" t="n">
        <v>0</v>
      </c>
      <c r="J3829" s="182" t="n">
        <v>0</v>
      </c>
      <c r="K3829" s="182" t="n">
        <v>2.02</v>
      </c>
      <c r="L3829" s="182" t="n">
        <v>12</v>
      </c>
      <c r="M3829" s="182" t="n">
        <v>5.62</v>
      </c>
      <c r="N3829" s="182" t="n">
        <v>4.36</v>
      </c>
      <c r="O3829" s="183" t="n">
        <v>23</v>
      </c>
      <c r="P3829" s="183" t="n">
        <v>10</v>
      </c>
      <c r="Q3829" s="184" t="n">
        <v>375.4</v>
      </c>
      <c r="R3829" s="184" t="n">
        <v>187</v>
      </c>
      <c r="S3829" s="183" t="n">
        <v>0</v>
      </c>
      <c r="T3829" s="183" t="n">
        <v>0</v>
      </c>
      <c r="U3829" s="182" t="n">
        <v>0</v>
      </c>
      <c r="V3829" s="182" t="n">
        <v>0</v>
      </c>
      <c r="W3829" s="182" t="n">
        <v>0</v>
      </c>
      <c r="X3829" s="182" t="n">
        <v>1.19</v>
      </c>
      <c r="Y3829" s="182" t="n">
        <v>0</v>
      </c>
      <c r="Z3829" s="182" t="n">
        <v>0.12</v>
      </c>
      <c r="AA3829" s="182" t="n">
        <v>0</v>
      </c>
      <c r="AB3829" s="182" t="n">
        <v>0</v>
      </c>
      <c r="AC3829" s="182" t="n">
        <v>0</v>
      </c>
      <c r="AD3829" s="182" t="n">
        <v>0</v>
      </c>
      <c r="AE3829" s="182" t="n">
        <v>0</v>
      </c>
      <c r="AF3829" s="182" t="n">
        <v>0</v>
      </c>
      <c r="AG3829" s="182" t="n">
        <v>0</v>
      </c>
      <c r="AH3829" s="182" t="n">
        <v>0.62</v>
      </c>
      <c r="AI3829" s="182" t="n">
        <v>0</v>
      </c>
      <c r="AJ3829" s="182" t="n">
        <v>0</v>
      </c>
      <c r="AK3829" s="182" t="n">
        <v>0</v>
      </c>
      <c r="AL3829" s="182" t="n">
        <v>0</v>
      </c>
      <c r="AM3829" s="182" t="n">
        <v>0.1</v>
      </c>
      <c r="AN3829" s="182" t="n">
        <v>0</v>
      </c>
    </row>
    <row r="3830">
      <c r="A3830" s="155" t="n">
        <v>46099</v>
      </c>
      <c r="B3830" s="156" t="inlineStr">
        <is>
          <t>DS</t>
        </is>
      </c>
      <c r="C3830" s="156" t="inlineStr">
        <is>
          <t>DT-502</t>
        </is>
      </c>
      <c r="D3830" s="156" t="inlineStr">
        <is>
          <t>SKT 105S</t>
        </is>
      </c>
      <c r="E3830" s="156" t="inlineStr">
        <is>
          <t>Hauler</t>
        </is>
      </c>
      <c r="F3830" s="156" t="inlineStr">
        <is>
          <t>Hauling Coal</t>
        </is>
      </c>
      <c r="G3830" s="182" t="n">
        <v>8.720000000000001</v>
      </c>
      <c r="H3830" s="182" t="n">
        <v>0</v>
      </c>
      <c r="I3830" s="182" t="n">
        <v>0.75</v>
      </c>
      <c r="J3830" s="182" t="n">
        <v>0.75</v>
      </c>
      <c r="K3830" s="182" t="n">
        <v>2.53</v>
      </c>
      <c r="L3830" s="182" t="n">
        <v>12</v>
      </c>
      <c r="M3830" s="182" t="n">
        <v>0</v>
      </c>
      <c r="N3830" s="182" t="n">
        <v>8.720000000000001</v>
      </c>
      <c r="O3830" s="183" t="n">
        <v>0</v>
      </c>
      <c r="P3830" s="183" t="n">
        <v>18</v>
      </c>
      <c r="Q3830" s="184" t="n">
        <v>0</v>
      </c>
      <c r="R3830" s="184" t="n">
        <v>336.6</v>
      </c>
      <c r="S3830" s="183" t="n">
        <v>0</v>
      </c>
      <c r="T3830" s="183" t="n">
        <v>0</v>
      </c>
      <c r="U3830" s="182" t="n">
        <v>0</v>
      </c>
      <c r="V3830" s="182" t="n">
        <v>0</v>
      </c>
      <c r="W3830" s="182" t="n">
        <v>0</v>
      </c>
      <c r="X3830" s="182" t="n">
        <v>0.83</v>
      </c>
      <c r="Y3830" s="182" t="n">
        <v>0</v>
      </c>
      <c r="Z3830" s="182" t="n">
        <v>0.08</v>
      </c>
      <c r="AA3830" s="182" t="n">
        <v>0</v>
      </c>
      <c r="AB3830" s="182" t="n">
        <v>0</v>
      </c>
      <c r="AC3830" s="182" t="n">
        <v>0</v>
      </c>
      <c r="AD3830" s="182" t="n">
        <v>0</v>
      </c>
      <c r="AE3830" s="182" t="n">
        <v>0</v>
      </c>
      <c r="AF3830" s="182" t="n">
        <v>0</v>
      </c>
      <c r="AG3830" s="182" t="n">
        <v>0</v>
      </c>
      <c r="AH3830" s="182" t="n">
        <v>0</v>
      </c>
      <c r="AI3830" s="182" t="n">
        <v>0</v>
      </c>
      <c r="AJ3830" s="182" t="n">
        <v>0</v>
      </c>
      <c r="AK3830" s="182" t="n">
        <v>1.55</v>
      </c>
      <c r="AL3830" s="182" t="n">
        <v>0</v>
      </c>
      <c r="AM3830" s="182" t="n">
        <v>0.07000000000000001</v>
      </c>
      <c r="AN3830" s="182" t="n">
        <v>0</v>
      </c>
    </row>
    <row r="3831">
      <c r="A3831" s="155" t="n">
        <v>46099</v>
      </c>
      <c r="B3831" s="156" t="inlineStr">
        <is>
          <t>DS</t>
        </is>
      </c>
      <c r="C3831" s="156" t="inlineStr">
        <is>
          <t>DT-528</t>
        </is>
      </c>
      <c r="D3831" s="156" t="inlineStr">
        <is>
          <t>SKT 105S</t>
        </is>
      </c>
      <c r="E3831" s="156" t="inlineStr">
        <is>
          <t>Hauler</t>
        </is>
      </c>
      <c r="F3831" s="156" t="inlineStr">
        <is>
          <t>Hauling OB</t>
        </is>
      </c>
      <c r="G3831" s="182" t="n">
        <v>11.54</v>
      </c>
      <c r="H3831" s="182" t="n">
        <v>0</v>
      </c>
      <c r="I3831" s="182" t="n">
        <v>0</v>
      </c>
      <c r="J3831" s="182" t="n">
        <v>0</v>
      </c>
      <c r="K3831" s="182" t="n">
        <v>0.46</v>
      </c>
      <c r="L3831" s="182" t="n">
        <v>12</v>
      </c>
      <c r="M3831" s="182" t="n">
        <v>10.73</v>
      </c>
      <c r="N3831" s="182" t="n">
        <v>0</v>
      </c>
      <c r="O3831" s="183" t="n">
        <v>38</v>
      </c>
      <c r="P3831" s="183" t="n">
        <v>0</v>
      </c>
      <c r="Q3831" s="184" t="n">
        <v>775.2</v>
      </c>
      <c r="R3831" s="184" t="n">
        <v>0</v>
      </c>
      <c r="S3831" s="183" t="n">
        <v>0</v>
      </c>
      <c r="T3831" s="183" t="n">
        <v>0</v>
      </c>
      <c r="U3831" s="182" t="n">
        <v>0</v>
      </c>
      <c r="V3831" s="182" t="n">
        <v>0</v>
      </c>
      <c r="W3831" s="182" t="n">
        <v>0</v>
      </c>
      <c r="X3831" s="182" t="n">
        <v>0</v>
      </c>
      <c r="Y3831" s="182" t="n">
        <v>0</v>
      </c>
      <c r="Z3831" s="182" t="n">
        <v>0.11</v>
      </c>
      <c r="AA3831" s="182" t="n">
        <v>0</v>
      </c>
      <c r="AB3831" s="182" t="n">
        <v>0</v>
      </c>
      <c r="AC3831" s="182" t="n">
        <v>0</v>
      </c>
      <c r="AD3831" s="182" t="n">
        <v>0</v>
      </c>
      <c r="AE3831" s="182" t="n">
        <v>0</v>
      </c>
      <c r="AF3831" s="182" t="n">
        <v>0</v>
      </c>
      <c r="AG3831" s="182" t="n">
        <v>0</v>
      </c>
      <c r="AH3831" s="182" t="n">
        <v>0.25</v>
      </c>
      <c r="AI3831" s="182" t="n">
        <v>0</v>
      </c>
      <c r="AJ3831" s="182" t="n">
        <v>0</v>
      </c>
      <c r="AK3831" s="182" t="n">
        <v>0</v>
      </c>
      <c r="AL3831" s="182" t="n">
        <v>0</v>
      </c>
      <c r="AM3831" s="182" t="n">
        <v>0.09</v>
      </c>
      <c r="AN3831" s="182" t="n">
        <v>0</v>
      </c>
    </row>
    <row r="3832">
      <c r="A3832" s="155" t="n">
        <v>46099</v>
      </c>
      <c r="B3832" s="156" t="inlineStr">
        <is>
          <t>DS</t>
        </is>
      </c>
      <c r="C3832" s="156" t="inlineStr">
        <is>
          <t>DT-529</t>
        </is>
      </c>
      <c r="D3832" s="156" t="inlineStr">
        <is>
          <t>SKT 105S</t>
        </is>
      </c>
      <c r="E3832" s="156" t="inlineStr">
        <is>
          <t>Hauler</t>
        </is>
      </c>
      <c r="F3832" s="156" t="inlineStr">
        <is>
          <t>Hauling OB</t>
        </is>
      </c>
      <c r="G3832" s="182" t="n">
        <v>5.89</v>
      </c>
      <c r="H3832" s="182" t="n">
        <v>0</v>
      </c>
      <c r="I3832" s="182" t="n">
        <v>0</v>
      </c>
      <c r="J3832" s="182" t="n">
        <v>0</v>
      </c>
      <c r="K3832" s="182" t="n">
        <v>6.11</v>
      </c>
      <c r="L3832" s="182" t="n">
        <v>12</v>
      </c>
      <c r="M3832" s="182" t="n">
        <v>5.78</v>
      </c>
      <c r="N3832" s="182" t="n">
        <v>0</v>
      </c>
      <c r="O3832" s="183" t="n">
        <v>20</v>
      </c>
      <c r="P3832" s="183" t="n">
        <v>0</v>
      </c>
      <c r="Q3832" s="184" t="n">
        <v>408</v>
      </c>
      <c r="R3832" s="184" t="n">
        <v>0</v>
      </c>
      <c r="S3832" s="183" t="n">
        <v>0</v>
      </c>
      <c r="T3832" s="183" t="n">
        <v>0</v>
      </c>
      <c r="U3832" s="182" t="n">
        <v>0</v>
      </c>
      <c r="V3832" s="182" t="n">
        <v>0</v>
      </c>
      <c r="W3832" s="182" t="n">
        <v>0</v>
      </c>
      <c r="X3832" s="182" t="n">
        <v>1.04</v>
      </c>
      <c r="Y3832" s="182" t="n">
        <v>0</v>
      </c>
      <c r="Z3832" s="182" t="n">
        <v>0</v>
      </c>
      <c r="AA3832" s="182" t="n">
        <v>0</v>
      </c>
      <c r="AB3832" s="182" t="n">
        <v>0</v>
      </c>
      <c r="AC3832" s="182" t="n">
        <v>0</v>
      </c>
      <c r="AD3832" s="182" t="n">
        <v>0</v>
      </c>
      <c r="AE3832" s="182" t="n">
        <v>0</v>
      </c>
      <c r="AF3832" s="182" t="n">
        <v>0</v>
      </c>
      <c r="AG3832" s="182" t="n">
        <v>0</v>
      </c>
      <c r="AH3832" s="182" t="n">
        <v>0</v>
      </c>
      <c r="AI3832" s="182" t="n">
        <v>4.99</v>
      </c>
      <c r="AJ3832" s="182" t="n">
        <v>0</v>
      </c>
      <c r="AK3832" s="182" t="n">
        <v>0</v>
      </c>
      <c r="AL3832" s="182" t="n">
        <v>0</v>
      </c>
      <c r="AM3832" s="182" t="n">
        <v>0.08</v>
      </c>
      <c r="AN3832" s="182" t="n">
        <v>0</v>
      </c>
    </row>
    <row r="3833">
      <c r="A3833" s="155" t="n">
        <v>46099</v>
      </c>
      <c r="B3833" s="156" t="inlineStr">
        <is>
          <t>DS</t>
        </is>
      </c>
      <c r="C3833" s="156" t="inlineStr">
        <is>
          <t>DT-520</t>
        </is>
      </c>
      <c r="D3833" s="156" t="inlineStr">
        <is>
          <t>SKT 105S</t>
        </is>
      </c>
      <c r="E3833" s="156" t="inlineStr">
        <is>
          <t>Hauler</t>
        </is>
      </c>
      <c r="F3833" s="156" t="inlineStr">
        <is>
          <t>Hauling OB</t>
        </is>
      </c>
      <c r="G3833" s="182" t="n">
        <v>5.13</v>
      </c>
      <c r="H3833" s="182" t="n">
        <v>0</v>
      </c>
      <c r="I3833" s="182" t="n">
        <v>6.02</v>
      </c>
      <c r="J3833" s="182" t="n">
        <v>6.02</v>
      </c>
      <c r="K3833" s="182" t="n">
        <v>0.85</v>
      </c>
      <c r="L3833" s="182" t="n">
        <v>12</v>
      </c>
      <c r="M3833" s="182" t="n">
        <v>5.13</v>
      </c>
      <c r="N3833" s="182" t="n">
        <v>0</v>
      </c>
      <c r="O3833" s="183" t="n">
        <v>15</v>
      </c>
      <c r="P3833" s="183" t="n">
        <v>0</v>
      </c>
      <c r="Q3833" s="184" t="n">
        <v>306</v>
      </c>
      <c r="R3833" s="184" t="n">
        <v>0</v>
      </c>
      <c r="S3833" s="183" t="n">
        <v>0</v>
      </c>
      <c r="T3833" s="183" t="n">
        <v>0</v>
      </c>
      <c r="U3833" s="182" t="n">
        <v>0</v>
      </c>
      <c r="V3833" s="182" t="n">
        <v>0</v>
      </c>
      <c r="W3833" s="182" t="n">
        <v>0</v>
      </c>
      <c r="X3833" s="182" t="n">
        <v>0</v>
      </c>
      <c r="Y3833" s="182" t="n">
        <v>0</v>
      </c>
      <c r="Z3833" s="182" t="n">
        <v>0.09</v>
      </c>
      <c r="AA3833" s="182" t="n">
        <v>0</v>
      </c>
      <c r="AB3833" s="182" t="n">
        <v>0</v>
      </c>
      <c r="AC3833" s="182" t="n">
        <v>0</v>
      </c>
      <c r="AD3833" s="182" t="n">
        <v>0</v>
      </c>
      <c r="AE3833" s="182" t="n">
        <v>0</v>
      </c>
      <c r="AF3833" s="182" t="n">
        <v>0</v>
      </c>
      <c r="AG3833" s="182" t="n">
        <v>0</v>
      </c>
      <c r="AH3833" s="182" t="n">
        <v>0.6899999999999999</v>
      </c>
      <c r="AI3833" s="182" t="n">
        <v>0</v>
      </c>
      <c r="AJ3833" s="182" t="n">
        <v>0</v>
      </c>
      <c r="AK3833" s="182" t="n">
        <v>0</v>
      </c>
      <c r="AL3833" s="182" t="n">
        <v>0</v>
      </c>
      <c r="AM3833" s="182" t="n">
        <v>0.07000000000000001</v>
      </c>
      <c r="AN3833" s="182" t="n">
        <v>0</v>
      </c>
    </row>
    <row r="3834">
      <c r="A3834" s="155" t="n">
        <v>46099</v>
      </c>
      <c r="B3834" s="156" t="inlineStr">
        <is>
          <t>DS</t>
        </is>
      </c>
      <c r="C3834" s="156" t="inlineStr">
        <is>
          <t>DT-511</t>
        </is>
      </c>
      <c r="D3834" s="156" t="inlineStr">
        <is>
          <t>SKT 105S</t>
        </is>
      </c>
      <c r="E3834" s="156" t="inlineStr">
        <is>
          <t>Hauler</t>
        </is>
      </c>
      <c r="F3834" s="156" t="inlineStr"/>
      <c r="G3834" s="182" t="n">
        <v>0</v>
      </c>
      <c r="H3834" s="182" t="n">
        <v>0</v>
      </c>
      <c r="I3834" s="182" t="n">
        <v>12</v>
      </c>
      <c r="J3834" s="182" t="n">
        <v>12</v>
      </c>
      <c r="K3834" s="182" t="n">
        <v>0</v>
      </c>
      <c r="L3834" s="182" t="n">
        <v>12</v>
      </c>
      <c r="M3834" s="182" t="n">
        <v>0</v>
      </c>
      <c r="N3834" s="182" t="n">
        <v>0</v>
      </c>
      <c r="O3834" s="183" t="n">
        <v>0</v>
      </c>
      <c r="P3834" s="183" t="n">
        <v>0</v>
      </c>
      <c r="Q3834" s="184" t="n">
        <v>0</v>
      </c>
      <c r="R3834" s="184" t="n">
        <v>0</v>
      </c>
      <c r="S3834" s="183" t="n">
        <v>0</v>
      </c>
      <c r="T3834" s="183" t="n">
        <v>0</v>
      </c>
      <c r="U3834" s="182" t="n">
        <v>0</v>
      </c>
      <c r="V3834" s="182" t="n">
        <v>0</v>
      </c>
      <c r="W3834" s="182" t="n">
        <v>0</v>
      </c>
      <c r="X3834" s="182" t="n">
        <v>0</v>
      </c>
      <c r="Y3834" s="182" t="n">
        <v>0</v>
      </c>
      <c r="Z3834" s="182" t="n">
        <v>0</v>
      </c>
      <c r="AA3834" s="182" t="n">
        <v>0</v>
      </c>
      <c r="AB3834" s="182" t="n">
        <v>0</v>
      </c>
      <c r="AC3834" s="182" t="n">
        <v>0</v>
      </c>
      <c r="AD3834" s="182" t="n">
        <v>0</v>
      </c>
      <c r="AE3834" s="182" t="n">
        <v>0</v>
      </c>
      <c r="AF3834" s="182" t="n">
        <v>0</v>
      </c>
      <c r="AG3834" s="182" t="n">
        <v>0</v>
      </c>
      <c r="AH3834" s="182" t="n">
        <v>0</v>
      </c>
      <c r="AI3834" s="182" t="n">
        <v>0</v>
      </c>
      <c r="AJ3834" s="182" t="n">
        <v>0</v>
      </c>
      <c r="AK3834" s="182" t="n">
        <v>0</v>
      </c>
      <c r="AL3834" s="182" t="n">
        <v>0</v>
      </c>
      <c r="AM3834" s="182" t="n">
        <v>0</v>
      </c>
      <c r="AN3834" s="182" t="n">
        <v>0</v>
      </c>
    </row>
    <row r="3835">
      <c r="A3835" s="155" t="n">
        <v>46099</v>
      </c>
      <c r="B3835" s="156" t="inlineStr">
        <is>
          <t>DS</t>
        </is>
      </c>
      <c r="C3835" s="156" t="inlineStr">
        <is>
          <t>DT-509</t>
        </is>
      </c>
      <c r="D3835" s="156" t="inlineStr">
        <is>
          <t>SKT 105S</t>
        </is>
      </c>
      <c r="E3835" s="156" t="inlineStr">
        <is>
          <t>Hauler</t>
        </is>
      </c>
      <c r="F3835" s="156" t="inlineStr"/>
      <c r="G3835" s="182" t="n">
        <v>0</v>
      </c>
      <c r="H3835" s="182" t="n">
        <v>0</v>
      </c>
      <c r="I3835" s="182" t="n">
        <v>12</v>
      </c>
      <c r="J3835" s="182" t="n">
        <v>12</v>
      </c>
      <c r="K3835" s="182" t="n">
        <v>0</v>
      </c>
      <c r="L3835" s="182" t="n">
        <v>12</v>
      </c>
      <c r="M3835" s="182" t="n">
        <v>0</v>
      </c>
      <c r="N3835" s="182" t="n">
        <v>0</v>
      </c>
      <c r="O3835" s="183" t="n">
        <v>0</v>
      </c>
      <c r="P3835" s="183" t="n">
        <v>0</v>
      </c>
      <c r="Q3835" s="184" t="n">
        <v>0</v>
      </c>
      <c r="R3835" s="184" t="n">
        <v>0</v>
      </c>
      <c r="S3835" s="183" t="n">
        <v>0</v>
      </c>
      <c r="T3835" s="183" t="n">
        <v>0</v>
      </c>
      <c r="U3835" s="182" t="n">
        <v>0</v>
      </c>
      <c r="V3835" s="182" t="n">
        <v>0</v>
      </c>
      <c r="W3835" s="182" t="n">
        <v>0</v>
      </c>
      <c r="X3835" s="182" t="n">
        <v>0</v>
      </c>
      <c r="Y3835" s="182" t="n">
        <v>0</v>
      </c>
      <c r="Z3835" s="182" t="n">
        <v>0</v>
      </c>
      <c r="AA3835" s="182" t="n">
        <v>0</v>
      </c>
      <c r="AB3835" s="182" t="n">
        <v>0</v>
      </c>
      <c r="AC3835" s="182" t="n">
        <v>0</v>
      </c>
      <c r="AD3835" s="182" t="n">
        <v>0</v>
      </c>
      <c r="AE3835" s="182" t="n">
        <v>0</v>
      </c>
      <c r="AF3835" s="182" t="n">
        <v>0</v>
      </c>
      <c r="AG3835" s="182" t="n">
        <v>0</v>
      </c>
      <c r="AH3835" s="182" t="n">
        <v>0</v>
      </c>
      <c r="AI3835" s="182" t="n">
        <v>0</v>
      </c>
      <c r="AJ3835" s="182" t="n">
        <v>0</v>
      </c>
      <c r="AK3835" s="182" t="n">
        <v>0</v>
      </c>
      <c r="AL3835" s="182" t="n">
        <v>0</v>
      </c>
      <c r="AM3835" s="182" t="n">
        <v>0</v>
      </c>
      <c r="AN3835" s="182" t="n">
        <v>0</v>
      </c>
    </row>
    <row r="3836">
      <c r="A3836" s="155" t="n">
        <v>46099</v>
      </c>
      <c r="B3836" s="156" t="inlineStr">
        <is>
          <t>DS</t>
        </is>
      </c>
      <c r="C3836" s="156" t="inlineStr">
        <is>
          <t>DT-526</t>
        </is>
      </c>
      <c r="D3836" s="156" t="inlineStr">
        <is>
          <t>SKT 105S</t>
        </is>
      </c>
      <c r="E3836" s="156" t="inlineStr">
        <is>
          <t>Hauler</t>
        </is>
      </c>
      <c r="F3836" s="156" t="inlineStr">
        <is>
          <t>Hauling OB</t>
        </is>
      </c>
      <c r="G3836" s="182" t="n">
        <v>7.73</v>
      </c>
      <c r="H3836" s="182" t="n">
        <v>0</v>
      </c>
      <c r="I3836" s="182" t="n">
        <v>0</v>
      </c>
      <c r="J3836" s="182" t="n">
        <v>0</v>
      </c>
      <c r="K3836" s="182" t="n">
        <v>4.27</v>
      </c>
      <c r="L3836" s="182" t="n">
        <v>12</v>
      </c>
      <c r="M3836" s="182" t="n">
        <v>7.73</v>
      </c>
      <c r="N3836" s="182" t="n">
        <v>0</v>
      </c>
      <c r="O3836" s="183" t="n">
        <v>26</v>
      </c>
      <c r="P3836" s="183" t="n">
        <v>0</v>
      </c>
      <c r="Q3836" s="184" t="n">
        <v>530.4</v>
      </c>
      <c r="R3836" s="184" t="n">
        <v>0</v>
      </c>
      <c r="S3836" s="183" t="n">
        <v>0</v>
      </c>
      <c r="T3836" s="183" t="n">
        <v>0</v>
      </c>
      <c r="U3836" s="182" t="n">
        <v>0</v>
      </c>
      <c r="V3836" s="182" t="n">
        <v>0</v>
      </c>
      <c r="W3836" s="182" t="n">
        <v>0</v>
      </c>
      <c r="X3836" s="182" t="n">
        <v>0.99</v>
      </c>
      <c r="Y3836" s="182" t="n">
        <v>0</v>
      </c>
      <c r="Z3836" s="182" t="n">
        <v>0.1</v>
      </c>
      <c r="AA3836" s="182" t="n">
        <v>0</v>
      </c>
      <c r="AB3836" s="182" t="n">
        <v>0</v>
      </c>
      <c r="AC3836" s="182" t="n">
        <v>0</v>
      </c>
      <c r="AD3836" s="182" t="n">
        <v>0</v>
      </c>
      <c r="AE3836" s="182" t="n">
        <v>0</v>
      </c>
      <c r="AF3836" s="182" t="n">
        <v>0</v>
      </c>
      <c r="AG3836" s="182" t="n">
        <v>0</v>
      </c>
      <c r="AH3836" s="182" t="n">
        <v>0</v>
      </c>
      <c r="AI3836" s="182" t="n">
        <v>3.1</v>
      </c>
      <c r="AJ3836" s="182" t="n">
        <v>0</v>
      </c>
      <c r="AK3836" s="182" t="n">
        <v>0</v>
      </c>
      <c r="AL3836" s="182" t="n">
        <v>0</v>
      </c>
      <c r="AM3836" s="182" t="n">
        <v>0.08</v>
      </c>
      <c r="AN3836" s="182" t="n">
        <v>0</v>
      </c>
    </row>
    <row r="3837">
      <c r="A3837" s="155" t="n">
        <v>46099</v>
      </c>
      <c r="B3837" s="156" t="inlineStr">
        <is>
          <t>DS</t>
        </is>
      </c>
      <c r="C3837" s="156" t="inlineStr">
        <is>
          <t>DT-508</t>
        </is>
      </c>
      <c r="D3837" s="156" t="inlineStr">
        <is>
          <t>SKT 105S</t>
        </is>
      </c>
      <c r="E3837" s="156" t="inlineStr">
        <is>
          <t>Hauler</t>
        </is>
      </c>
      <c r="F3837" s="156" t="inlineStr">
        <is>
          <t>Hauling OB</t>
        </is>
      </c>
      <c r="G3837" s="182" t="n">
        <v>10.48</v>
      </c>
      <c r="H3837" s="182" t="n">
        <v>0</v>
      </c>
      <c r="I3837" s="182" t="n">
        <v>0</v>
      </c>
      <c r="J3837" s="182" t="n">
        <v>0</v>
      </c>
      <c r="K3837" s="182" t="n">
        <v>1.52</v>
      </c>
      <c r="L3837" s="182" t="n">
        <v>12</v>
      </c>
      <c r="M3837" s="182" t="n">
        <v>10.48</v>
      </c>
      <c r="N3837" s="182" t="n">
        <v>0</v>
      </c>
      <c r="O3837" s="183" t="n">
        <v>49</v>
      </c>
      <c r="P3837" s="183" t="n">
        <v>0</v>
      </c>
      <c r="Q3837" s="184" t="n">
        <v>999.6</v>
      </c>
      <c r="R3837" s="184" t="n">
        <v>0</v>
      </c>
      <c r="S3837" s="183" t="n">
        <v>0</v>
      </c>
      <c r="T3837" s="183" t="n">
        <v>0</v>
      </c>
      <c r="U3837" s="182" t="n">
        <v>0</v>
      </c>
      <c r="V3837" s="182" t="n">
        <v>0</v>
      </c>
      <c r="W3837" s="182" t="n">
        <v>0</v>
      </c>
      <c r="X3837" s="182" t="n">
        <v>1.09</v>
      </c>
      <c r="Y3837" s="182" t="n">
        <v>0</v>
      </c>
      <c r="Z3837" s="182" t="n">
        <v>0.11</v>
      </c>
      <c r="AA3837" s="182" t="n">
        <v>0</v>
      </c>
      <c r="AB3837" s="182" t="n">
        <v>0</v>
      </c>
      <c r="AC3837" s="182" t="n">
        <v>0</v>
      </c>
      <c r="AD3837" s="182" t="n">
        <v>0</v>
      </c>
      <c r="AE3837" s="182" t="n">
        <v>0</v>
      </c>
      <c r="AF3837" s="182" t="n">
        <v>0</v>
      </c>
      <c r="AG3837" s="182" t="n">
        <v>0</v>
      </c>
      <c r="AH3837" s="182" t="n">
        <v>0.24</v>
      </c>
      <c r="AI3837" s="182" t="n">
        <v>0</v>
      </c>
      <c r="AJ3837" s="182" t="n">
        <v>0</v>
      </c>
      <c r="AK3837" s="182" t="n">
        <v>0</v>
      </c>
      <c r="AL3837" s="182" t="n">
        <v>0</v>
      </c>
      <c r="AM3837" s="182" t="n">
        <v>0.09</v>
      </c>
      <c r="AN3837" s="182" t="n">
        <v>0</v>
      </c>
    </row>
    <row r="3838">
      <c r="A3838" s="155" t="n">
        <v>46099</v>
      </c>
      <c r="B3838" s="156" t="inlineStr">
        <is>
          <t>DS</t>
        </is>
      </c>
      <c r="C3838" s="156" t="inlineStr">
        <is>
          <t>DT-515</t>
        </is>
      </c>
      <c r="D3838" s="156" t="inlineStr">
        <is>
          <t>SKT 105S</t>
        </is>
      </c>
      <c r="E3838" s="156" t="inlineStr">
        <is>
          <t>Hauler</t>
        </is>
      </c>
      <c r="F3838" s="156" t="inlineStr">
        <is>
          <t>Hauling OB &amp; Coal</t>
        </is>
      </c>
      <c r="G3838" s="182" t="n">
        <v>10.02</v>
      </c>
      <c r="H3838" s="182" t="n">
        <v>0</v>
      </c>
      <c r="I3838" s="182" t="n">
        <v>0</v>
      </c>
      <c r="J3838" s="182" t="n">
        <v>0</v>
      </c>
      <c r="K3838" s="182" t="n">
        <v>1.98</v>
      </c>
      <c r="L3838" s="182" t="n">
        <v>12</v>
      </c>
      <c r="M3838" s="182" t="n">
        <v>5.46</v>
      </c>
      <c r="N3838" s="182" t="n">
        <v>4.55</v>
      </c>
      <c r="O3838" s="183" t="n">
        <v>19</v>
      </c>
      <c r="P3838" s="183" t="n">
        <v>10</v>
      </c>
      <c r="Q3838" s="184" t="n">
        <v>310</v>
      </c>
      <c r="R3838" s="184" t="n">
        <v>187</v>
      </c>
      <c r="S3838" s="183" t="n">
        <v>0</v>
      </c>
      <c r="T3838" s="183" t="n">
        <v>0</v>
      </c>
      <c r="U3838" s="182" t="n">
        <v>0</v>
      </c>
      <c r="V3838" s="182" t="n">
        <v>0</v>
      </c>
      <c r="W3838" s="182" t="n">
        <v>0</v>
      </c>
      <c r="X3838" s="182" t="n">
        <v>0.9399999999999999</v>
      </c>
      <c r="Y3838" s="182" t="n">
        <v>0</v>
      </c>
      <c r="Z3838" s="182" t="n">
        <v>0.09</v>
      </c>
      <c r="AA3838" s="182" t="n">
        <v>0</v>
      </c>
      <c r="AB3838" s="182" t="n">
        <v>0</v>
      </c>
      <c r="AC3838" s="182" t="n">
        <v>0</v>
      </c>
      <c r="AD3838" s="182" t="n">
        <v>0</v>
      </c>
      <c r="AE3838" s="182" t="n">
        <v>0</v>
      </c>
      <c r="AF3838" s="182" t="n">
        <v>0</v>
      </c>
      <c r="AG3838" s="182" t="n">
        <v>0</v>
      </c>
      <c r="AH3838" s="182" t="n">
        <v>0.87</v>
      </c>
      <c r="AI3838" s="182" t="n">
        <v>0</v>
      </c>
      <c r="AJ3838" s="182" t="n">
        <v>0</v>
      </c>
      <c r="AK3838" s="182" t="n">
        <v>0</v>
      </c>
      <c r="AL3838" s="182" t="n">
        <v>0</v>
      </c>
      <c r="AM3838" s="182" t="n">
        <v>0.08</v>
      </c>
      <c r="AN3838" s="182" t="n">
        <v>0</v>
      </c>
    </row>
    <row r="3839">
      <c r="A3839" s="155" t="n">
        <v>46099</v>
      </c>
      <c r="B3839" s="156" t="inlineStr">
        <is>
          <t>DS</t>
        </is>
      </c>
      <c r="C3839" s="156" t="inlineStr">
        <is>
          <t>DT-524</t>
        </is>
      </c>
      <c r="D3839" s="156" t="inlineStr">
        <is>
          <t>SKT 105S</t>
        </is>
      </c>
      <c r="E3839" s="156" t="inlineStr">
        <is>
          <t>Hauler</t>
        </is>
      </c>
      <c r="F3839" s="156" t="inlineStr">
        <is>
          <t>Hauling OB</t>
        </is>
      </c>
      <c r="G3839" s="182" t="n">
        <v>5.65</v>
      </c>
      <c r="H3839" s="182" t="n">
        <v>4.43</v>
      </c>
      <c r="I3839" s="182" t="n">
        <v>0.1</v>
      </c>
      <c r="J3839" s="182" t="n">
        <v>4.53</v>
      </c>
      <c r="K3839" s="182" t="n">
        <v>1.82</v>
      </c>
      <c r="L3839" s="182" t="n">
        <v>12</v>
      </c>
      <c r="M3839" s="182" t="n">
        <v>2.08</v>
      </c>
      <c r="N3839" s="182" t="n">
        <v>0</v>
      </c>
      <c r="O3839" s="183" t="n">
        <v>6</v>
      </c>
      <c r="P3839" s="183" t="n">
        <v>0</v>
      </c>
      <c r="Q3839" s="184" t="n">
        <v>97.90000000000001</v>
      </c>
      <c r="R3839" s="184" t="n">
        <v>0</v>
      </c>
      <c r="S3839" s="183" t="n">
        <v>0</v>
      </c>
      <c r="T3839" s="183" t="n">
        <v>0</v>
      </c>
      <c r="U3839" s="182" t="n">
        <v>0</v>
      </c>
      <c r="V3839" s="182" t="n">
        <v>0</v>
      </c>
      <c r="W3839" s="182" t="n">
        <v>0</v>
      </c>
      <c r="X3839" s="182" t="n">
        <v>1.03</v>
      </c>
      <c r="Y3839" s="182" t="n">
        <v>0</v>
      </c>
      <c r="Z3839" s="182" t="n">
        <v>0.1</v>
      </c>
      <c r="AA3839" s="182" t="n">
        <v>0</v>
      </c>
      <c r="AB3839" s="182" t="n">
        <v>0</v>
      </c>
      <c r="AC3839" s="182" t="n">
        <v>0</v>
      </c>
      <c r="AD3839" s="182" t="n">
        <v>0</v>
      </c>
      <c r="AE3839" s="182" t="n">
        <v>0</v>
      </c>
      <c r="AF3839" s="182" t="n">
        <v>0</v>
      </c>
      <c r="AG3839" s="182" t="n">
        <v>0</v>
      </c>
      <c r="AH3839" s="182" t="n">
        <v>0.6</v>
      </c>
      <c r="AI3839" s="182" t="n">
        <v>0</v>
      </c>
      <c r="AJ3839" s="182" t="n">
        <v>0</v>
      </c>
      <c r="AK3839" s="182" t="n">
        <v>0</v>
      </c>
      <c r="AL3839" s="182" t="n">
        <v>0</v>
      </c>
      <c r="AM3839" s="182" t="n">
        <v>0.08</v>
      </c>
      <c r="AN3839" s="182" t="n">
        <v>0</v>
      </c>
    </row>
    <row r="3840">
      <c r="A3840" s="155" t="n">
        <v>46099</v>
      </c>
      <c r="B3840" s="156" t="inlineStr">
        <is>
          <t>DS</t>
        </is>
      </c>
      <c r="C3840" s="156" t="inlineStr">
        <is>
          <t>DT-341</t>
        </is>
      </c>
      <c r="D3840" s="156" t="inlineStr">
        <is>
          <t>SYZ324C-8W</t>
        </is>
      </c>
      <c r="E3840" s="156" t="inlineStr">
        <is>
          <t>Hauler</t>
        </is>
      </c>
      <c r="F3840" s="156" t="inlineStr">
        <is>
          <t>Rehandling Material di Washing Plant</t>
        </is>
      </c>
      <c r="G3840" s="182" t="n">
        <v>7.58</v>
      </c>
      <c r="H3840" s="182" t="n">
        <v>0</v>
      </c>
      <c r="I3840" s="182" t="n">
        <v>0</v>
      </c>
      <c r="J3840" s="182" t="n">
        <v>0</v>
      </c>
      <c r="K3840" s="182" t="n">
        <v>4.42</v>
      </c>
      <c r="L3840" s="182" t="n">
        <v>12</v>
      </c>
      <c r="M3840" s="182" t="n">
        <v>0</v>
      </c>
      <c r="N3840" s="182" t="n">
        <v>0</v>
      </c>
      <c r="O3840" s="183" t="n">
        <v>0</v>
      </c>
      <c r="P3840" s="183" t="n">
        <v>0</v>
      </c>
      <c r="Q3840" s="184" t="n">
        <v>0</v>
      </c>
      <c r="R3840" s="184" t="n">
        <v>0</v>
      </c>
      <c r="S3840" s="183" t="n">
        <v>0</v>
      </c>
      <c r="T3840" s="183" t="n">
        <v>0</v>
      </c>
      <c r="U3840" s="182" t="n">
        <v>0</v>
      </c>
      <c r="V3840" s="182" t="n">
        <v>0</v>
      </c>
      <c r="W3840" s="182" t="n">
        <v>0</v>
      </c>
      <c r="X3840" s="182" t="n">
        <v>1</v>
      </c>
      <c r="Y3840" s="182" t="n">
        <v>0</v>
      </c>
      <c r="Z3840" s="182" t="n">
        <v>0</v>
      </c>
      <c r="AA3840" s="182" t="n">
        <v>0</v>
      </c>
      <c r="AB3840" s="182" t="n">
        <v>0</v>
      </c>
      <c r="AC3840" s="182" t="n">
        <v>0</v>
      </c>
      <c r="AD3840" s="182" t="n">
        <v>0</v>
      </c>
      <c r="AE3840" s="182" t="n">
        <v>0</v>
      </c>
      <c r="AF3840" s="182" t="n">
        <v>0</v>
      </c>
      <c r="AG3840" s="182" t="n">
        <v>0</v>
      </c>
      <c r="AH3840" s="182" t="n">
        <v>0</v>
      </c>
      <c r="AI3840" s="182" t="n">
        <v>0</v>
      </c>
      <c r="AJ3840" s="182" t="n">
        <v>0</v>
      </c>
      <c r="AK3840" s="182" t="n">
        <v>3.34</v>
      </c>
      <c r="AL3840" s="182" t="n">
        <v>0</v>
      </c>
      <c r="AM3840" s="182" t="n">
        <v>0.08</v>
      </c>
      <c r="AN3840" s="182" t="n">
        <v>0</v>
      </c>
    </row>
    <row r="3841">
      <c r="A3841" s="155" t="n">
        <v>46099</v>
      </c>
      <c r="B3841" s="156" t="inlineStr">
        <is>
          <t>DS</t>
        </is>
      </c>
      <c r="C3841" s="156" t="inlineStr">
        <is>
          <t>DT-342</t>
        </is>
      </c>
      <c r="D3841" s="156" t="inlineStr">
        <is>
          <t>SYZ324C-8W</t>
        </is>
      </c>
      <c r="E3841" s="156" t="inlineStr">
        <is>
          <t>Hauler</t>
        </is>
      </c>
      <c r="F3841" s="156" t="inlineStr">
        <is>
          <t>Rehandling Material di Washing Plant</t>
        </is>
      </c>
      <c r="G3841" s="182" t="n">
        <v>9.15</v>
      </c>
      <c r="H3841" s="182" t="n">
        <v>0</v>
      </c>
      <c r="I3841" s="182" t="n">
        <v>0</v>
      </c>
      <c r="J3841" s="182" t="n">
        <v>0</v>
      </c>
      <c r="K3841" s="182" t="n">
        <v>2.85</v>
      </c>
      <c r="L3841" s="182" t="n">
        <v>12</v>
      </c>
      <c r="M3841" s="182" t="n">
        <v>0</v>
      </c>
      <c r="N3841" s="182" t="n">
        <v>0</v>
      </c>
      <c r="O3841" s="183" t="n">
        <v>0</v>
      </c>
      <c r="P3841" s="183" t="n">
        <v>0</v>
      </c>
      <c r="Q3841" s="184" t="n">
        <v>0</v>
      </c>
      <c r="R3841" s="184" t="n">
        <v>0</v>
      </c>
      <c r="S3841" s="183" t="n">
        <v>0</v>
      </c>
      <c r="T3841" s="183" t="n">
        <v>0</v>
      </c>
      <c r="U3841" s="182" t="n">
        <v>0</v>
      </c>
      <c r="V3841" s="182" t="n">
        <v>0</v>
      </c>
      <c r="W3841" s="182" t="n">
        <v>0</v>
      </c>
      <c r="X3841" s="182" t="n">
        <v>1.19</v>
      </c>
      <c r="Y3841" s="182" t="n">
        <v>0</v>
      </c>
      <c r="Z3841" s="182" t="n">
        <v>0</v>
      </c>
      <c r="AA3841" s="182" t="n">
        <v>0</v>
      </c>
      <c r="AB3841" s="182" t="n">
        <v>0</v>
      </c>
      <c r="AC3841" s="182" t="n">
        <v>0</v>
      </c>
      <c r="AD3841" s="182" t="n">
        <v>0</v>
      </c>
      <c r="AE3841" s="182" t="n">
        <v>0</v>
      </c>
      <c r="AF3841" s="182" t="n">
        <v>0</v>
      </c>
      <c r="AG3841" s="182" t="n">
        <v>0</v>
      </c>
      <c r="AH3841" s="182" t="n">
        <v>0</v>
      </c>
      <c r="AI3841" s="182" t="n">
        <v>0</v>
      </c>
      <c r="AJ3841" s="182" t="n">
        <v>0</v>
      </c>
      <c r="AK3841" s="182" t="n">
        <v>1.57</v>
      </c>
      <c r="AL3841" s="182" t="n">
        <v>0</v>
      </c>
      <c r="AM3841" s="182" t="n">
        <v>0.1</v>
      </c>
      <c r="AN3841" s="182" t="n">
        <v>0</v>
      </c>
    </row>
    <row r="3842">
      <c r="A3842" s="155" t="n">
        <v>46099</v>
      </c>
      <c r="B3842" s="156" t="inlineStr">
        <is>
          <t>DS</t>
        </is>
      </c>
      <c r="C3842" s="156" t="inlineStr">
        <is>
          <t>HD-903</t>
        </is>
      </c>
      <c r="D3842" s="156" t="inlineStr">
        <is>
          <t>SRT 95C</t>
        </is>
      </c>
      <c r="E3842" s="156" t="inlineStr">
        <is>
          <t>Hauler</t>
        </is>
      </c>
      <c r="F3842" s="156" t="inlineStr">
        <is>
          <t>Hauling OB</t>
        </is>
      </c>
      <c r="G3842" s="182" t="n">
        <v>1.86</v>
      </c>
      <c r="H3842" s="182" t="n">
        <v>1.3</v>
      </c>
      <c r="I3842" s="182" t="n">
        <v>3.1</v>
      </c>
      <c r="J3842" s="182" t="n">
        <v>4.4</v>
      </c>
      <c r="K3842" s="182" t="n">
        <v>5.74</v>
      </c>
      <c r="L3842" s="182" t="n">
        <v>12</v>
      </c>
      <c r="M3842" s="182" t="n">
        <v>1.86</v>
      </c>
      <c r="N3842" s="182" t="n">
        <v>0</v>
      </c>
      <c r="O3842" s="183" t="n">
        <v>1</v>
      </c>
      <c r="P3842" s="183" t="n">
        <v>0</v>
      </c>
      <c r="Q3842" s="184" t="n">
        <v>35.7</v>
      </c>
      <c r="R3842" s="184" t="n">
        <v>0</v>
      </c>
      <c r="S3842" s="183" t="n">
        <v>0</v>
      </c>
      <c r="T3842" s="183" t="n">
        <v>0</v>
      </c>
      <c r="U3842" s="182" t="n">
        <v>0</v>
      </c>
      <c r="V3842" s="182" t="n">
        <v>0</v>
      </c>
      <c r="W3842" s="182" t="n">
        <v>0</v>
      </c>
      <c r="X3842" s="182" t="n">
        <v>0.97</v>
      </c>
      <c r="Y3842" s="182" t="n">
        <v>0</v>
      </c>
      <c r="Z3842" s="182" t="n">
        <v>0</v>
      </c>
      <c r="AA3842" s="182" t="n">
        <v>0</v>
      </c>
      <c r="AB3842" s="182" t="n">
        <v>0</v>
      </c>
      <c r="AC3842" s="182" t="n">
        <v>0</v>
      </c>
      <c r="AD3842" s="182" t="n">
        <v>0</v>
      </c>
      <c r="AE3842" s="182" t="n">
        <v>0</v>
      </c>
      <c r="AF3842" s="182" t="n">
        <v>0</v>
      </c>
      <c r="AG3842" s="182" t="n">
        <v>0</v>
      </c>
      <c r="AH3842" s="182" t="n">
        <v>0</v>
      </c>
      <c r="AI3842" s="182" t="n">
        <v>4.69</v>
      </c>
      <c r="AJ3842" s="182" t="n">
        <v>0</v>
      </c>
      <c r="AK3842" s="182" t="n">
        <v>0</v>
      </c>
      <c r="AL3842" s="182" t="n">
        <v>0</v>
      </c>
      <c r="AM3842" s="182" t="n">
        <v>0.08</v>
      </c>
      <c r="AN3842" s="182" t="n">
        <v>0</v>
      </c>
    </row>
    <row r="3843">
      <c r="A3843" s="155" t="n">
        <v>46099</v>
      </c>
      <c r="B3843" s="156" t="inlineStr">
        <is>
          <t>DS</t>
        </is>
      </c>
      <c r="C3843" s="156" t="inlineStr">
        <is>
          <t>HD-905</t>
        </is>
      </c>
      <c r="D3843" s="156" t="inlineStr">
        <is>
          <t>SRT 95C</t>
        </is>
      </c>
      <c r="E3843" s="156" t="inlineStr">
        <is>
          <t>Hauler</t>
        </is>
      </c>
      <c r="F3843" s="156" t="inlineStr">
        <is>
          <t>Hauling OB</t>
        </is>
      </c>
      <c r="G3843" s="182" t="n">
        <v>3.25</v>
      </c>
      <c r="H3843" s="182" t="n">
        <v>0</v>
      </c>
      <c r="I3843" s="182" t="n">
        <v>0</v>
      </c>
      <c r="J3843" s="182" t="n">
        <v>0</v>
      </c>
      <c r="K3843" s="182" t="n">
        <v>8.75</v>
      </c>
      <c r="L3843" s="182" t="n">
        <v>12</v>
      </c>
      <c r="M3843" s="182" t="n">
        <v>3.25</v>
      </c>
      <c r="N3843" s="182" t="n">
        <v>0</v>
      </c>
      <c r="O3843" s="183" t="n">
        <v>22</v>
      </c>
      <c r="P3843" s="183" t="n">
        <v>0</v>
      </c>
      <c r="Q3843" s="184" t="n">
        <v>785.4</v>
      </c>
      <c r="R3843" s="184" t="n">
        <v>0</v>
      </c>
      <c r="S3843" s="183" t="n">
        <v>0</v>
      </c>
      <c r="T3843" s="183" t="n">
        <v>0</v>
      </c>
      <c r="U3843" s="182" t="n">
        <v>0</v>
      </c>
      <c r="V3843" s="182" t="n">
        <v>0</v>
      </c>
      <c r="W3843" s="182" t="n">
        <v>0</v>
      </c>
      <c r="X3843" s="182" t="n">
        <v>1.02</v>
      </c>
      <c r="Y3843" s="182" t="n">
        <v>0</v>
      </c>
      <c r="Z3843" s="182" t="n">
        <v>0</v>
      </c>
      <c r="AA3843" s="182" t="n">
        <v>0</v>
      </c>
      <c r="AB3843" s="182" t="n">
        <v>0</v>
      </c>
      <c r="AC3843" s="182" t="n">
        <v>0</v>
      </c>
      <c r="AD3843" s="182" t="n">
        <v>0</v>
      </c>
      <c r="AE3843" s="182" t="n">
        <v>0</v>
      </c>
      <c r="AF3843" s="182" t="n">
        <v>0</v>
      </c>
      <c r="AG3843" s="182" t="n">
        <v>0</v>
      </c>
      <c r="AH3843" s="182" t="n">
        <v>0.25</v>
      </c>
      <c r="AI3843" s="182" t="n">
        <v>7.4</v>
      </c>
      <c r="AJ3843" s="182" t="n">
        <v>0</v>
      </c>
      <c r="AK3843" s="182" t="n">
        <v>0</v>
      </c>
      <c r="AL3843" s="182" t="n">
        <v>0</v>
      </c>
      <c r="AM3843" s="182" t="n">
        <v>0.08</v>
      </c>
      <c r="AN3843" s="182" t="n">
        <v>0</v>
      </c>
    </row>
    <row r="3844">
      <c r="A3844" s="155" t="n">
        <v>46099</v>
      </c>
      <c r="B3844" s="156" t="inlineStr">
        <is>
          <t>DS</t>
        </is>
      </c>
      <c r="C3844" s="156" t="inlineStr">
        <is>
          <t>HD-901</t>
        </is>
      </c>
      <c r="D3844" s="156" t="inlineStr">
        <is>
          <t>SRT 95C</t>
        </is>
      </c>
      <c r="E3844" s="156" t="inlineStr">
        <is>
          <t>Hauler</t>
        </is>
      </c>
      <c r="F3844" s="156" t="inlineStr">
        <is>
          <t>Hauling OB</t>
        </is>
      </c>
      <c r="G3844" s="182" t="n">
        <v>6.85</v>
      </c>
      <c r="H3844" s="182" t="n">
        <v>0</v>
      </c>
      <c r="I3844" s="182" t="n">
        <v>0.17</v>
      </c>
      <c r="J3844" s="182" t="n">
        <v>0.17</v>
      </c>
      <c r="K3844" s="182" t="n">
        <v>4.98</v>
      </c>
      <c r="L3844" s="182" t="n">
        <v>12</v>
      </c>
      <c r="M3844" s="182" t="n">
        <v>6.85</v>
      </c>
      <c r="N3844" s="182" t="n">
        <v>0</v>
      </c>
      <c r="O3844" s="183" t="n">
        <v>36</v>
      </c>
      <c r="P3844" s="183" t="n">
        <v>0</v>
      </c>
      <c r="Q3844" s="184" t="n">
        <v>1285.2</v>
      </c>
      <c r="R3844" s="184" t="n">
        <v>0</v>
      </c>
      <c r="S3844" s="183" t="n">
        <v>0</v>
      </c>
      <c r="T3844" s="183" t="n">
        <v>0</v>
      </c>
      <c r="U3844" s="182" t="n">
        <v>0</v>
      </c>
      <c r="V3844" s="182" t="n">
        <v>0</v>
      </c>
      <c r="W3844" s="182" t="n">
        <v>0</v>
      </c>
      <c r="X3844" s="182" t="n">
        <v>0.95</v>
      </c>
      <c r="Y3844" s="182" t="n">
        <v>0</v>
      </c>
      <c r="Z3844" s="182" t="n">
        <v>0</v>
      </c>
      <c r="AA3844" s="182" t="n">
        <v>0</v>
      </c>
      <c r="AB3844" s="182" t="n">
        <v>0</v>
      </c>
      <c r="AC3844" s="182" t="n">
        <v>0</v>
      </c>
      <c r="AD3844" s="182" t="n">
        <v>0</v>
      </c>
      <c r="AE3844" s="182" t="n">
        <v>0</v>
      </c>
      <c r="AF3844" s="182" t="n">
        <v>0</v>
      </c>
      <c r="AG3844" s="182" t="n">
        <v>0</v>
      </c>
      <c r="AH3844" s="182" t="n">
        <v>0.24</v>
      </c>
      <c r="AI3844" s="182" t="n">
        <v>3.71</v>
      </c>
      <c r="AJ3844" s="182" t="n">
        <v>0</v>
      </c>
      <c r="AK3844" s="182" t="n">
        <v>0</v>
      </c>
      <c r="AL3844" s="182" t="n">
        <v>0</v>
      </c>
      <c r="AM3844" s="182" t="n">
        <v>0.08</v>
      </c>
      <c r="AN3844" s="182" t="n">
        <v>0</v>
      </c>
    </row>
    <row r="3845">
      <c r="A3845" s="155" t="n">
        <v>46099</v>
      </c>
      <c r="B3845" s="156" t="inlineStr">
        <is>
          <t>DS</t>
        </is>
      </c>
      <c r="C3845" s="156" t="inlineStr">
        <is>
          <t>HD-904</t>
        </is>
      </c>
      <c r="D3845" s="156" t="inlineStr">
        <is>
          <t>SRT 95C</t>
        </is>
      </c>
      <c r="E3845" s="156" t="inlineStr">
        <is>
          <t>Hauler</t>
        </is>
      </c>
      <c r="F3845" s="156" t="inlineStr">
        <is>
          <t>Hauling OB</t>
        </is>
      </c>
      <c r="G3845" s="182" t="n">
        <v>6.68</v>
      </c>
      <c r="H3845" s="182" t="n">
        <v>0</v>
      </c>
      <c r="I3845" s="182" t="n">
        <v>5.32</v>
      </c>
      <c r="J3845" s="182" t="n">
        <v>5.32</v>
      </c>
      <c r="K3845" s="182" t="n">
        <v>0</v>
      </c>
      <c r="L3845" s="182" t="n">
        <v>12</v>
      </c>
      <c r="M3845" s="182" t="n">
        <v>6.68</v>
      </c>
      <c r="N3845" s="182" t="n">
        <v>0</v>
      </c>
      <c r="O3845" s="183" t="n">
        <v>29</v>
      </c>
      <c r="P3845" s="183" t="n">
        <v>0</v>
      </c>
      <c r="Q3845" s="184" t="n">
        <v>1035.3</v>
      </c>
      <c r="R3845" s="184" t="n">
        <v>0</v>
      </c>
      <c r="S3845" s="183" t="n">
        <v>0</v>
      </c>
      <c r="T3845" s="183" t="n">
        <v>0</v>
      </c>
      <c r="U3845" s="182" t="n">
        <v>0</v>
      </c>
      <c r="V3845" s="182" t="n">
        <v>0</v>
      </c>
      <c r="W3845" s="182" t="n">
        <v>0</v>
      </c>
      <c r="X3845" s="182" t="n">
        <v>0</v>
      </c>
      <c r="Y3845" s="182" t="n">
        <v>0</v>
      </c>
      <c r="Z3845" s="182" t="n">
        <v>0</v>
      </c>
      <c r="AA3845" s="182" t="n">
        <v>0</v>
      </c>
      <c r="AB3845" s="182" t="n">
        <v>0</v>
      </c>
      <c r="AC3845" s="182" t="n">
        <v>0</v>
      </c>
      <c r="AD3845" s="182" t="n">
        <v>0</v>
      </c>
      <c r="AE3845" s="182" t="n">
        <v>0</v>
      </c>
      <c r="AF3845" s="182" t="n">
        <v>0</v>
      </c>
      <c r="AG3845" s="182" t="n">
        <v>0</v>
      </c>
      <c r="AH3845" s="182" t="n">
        <v>0</v>
      </c>
      <c r="AI3845" s="182" t="n">
        <v>0</v>
      </c>
      <c r="AJ3845" s="182" t="n">
        <v>0</v>
      </c>
      <c r="AK3845" s="182" t="n">
        <v>0</v>
      </c>
      <c r="AL3845" s="182" t="n">
        <v>0</v>
      </c>
      <c r="AM3845" s="182" t="n">
        <v>0</v>
      </c>
      <c r="AN3845" s="182" t="n">
        <v>0</v>
      </c>
    </row>
    <row r="3846">
      <c r="A3846" s="155" t="n">
        <v>46099</v>
      </c>
      <c r="B3846" s="156" t="inlineStr">
        <is>
          <t>DS</t>
        </is>
      </c>
      <c r="C3846" s="156" t="inlineStr">
        <is>
          <t>HD-902</t>
        </is>
      </c>
      <c r="D3846" s="156" t="inlineStr">
        <is>
          <t>SRT 95C</t>
        </is>
      </c>
      <c r="E3846" s="156" t="inlineStr">
        <is>
          <t>Hauler</t>
        </is>
      </c>
      <c r="F3846" s="156" t="inlineStr">
        <is>
          <t>Hauling OB</t>
        </is>
      </c>
      <c r="G3846" s="182" t="n">
        <v>6.09</v>
      </c>
      <c r="H3846" s="182" t="n">
        <v>0</v>
      </c>
      <c r="I3846" s="182" t="n">
        <v>0.17</v>
      </c>
      <c r="J3846" s="182" t="n">
        <v>0.17</v>
      </c>
      <c r="K3846" s="182" t="n">
        <v>5.74</v>
      </c>
      <c r="L3846" s="182" t="n">
        <v>12</v>
      </c>
      <c r="M3846" s="182" t="n">
        <v>6.09</v>
      </c>
      <c r="N3846" s="182" t="n">
        <v>0</v>
      </c>
      <c r="O3846" s="183" t="n">
        <v>32</v>
      </c>
      <c r="P3846" s="183" t="n">
        <v>0</v>
      </c>
      <c r="Q3846" s="184" t="n">
        <v>1142.4</v>
      </c>
      <c r="R3846" s="184" t="n">
        <v>0</v>
      </c>
      <c r="S3846" s="183" t="n">
        <v>0</v>
      </c>
      <c r="T3846" s="183" t="n">
        <v>0</v>
      </c>
      <c r="U3846" s="182" t="n">
        <v>0</v>
      </c>
      <c r="V3846" s="182" t="n">
        <v>0</v>
      </c>
      <c r="W3846" s="182" t="n">
        <v>0</v>
      </c>
      <c r="X3846" s="182" t="n">
        <v>1.1</v>
      </c>
      <c r="Y3846" s="182" t="n">
        <v>0</v>
      </c>
      <c r="Z3846" s="182" t="n">
        <v>0</v>
      </c>
      <c r="AA3846" s="182" t="n">
        <v>0</v>
      </c>
      <c r="AB3846" s="182" t="n">
        <v>0</v>
      </c>
      <c r="AC3846" s="182" t="n">
        <v>0</v>
      </c>
      <c r="AD3846" s="182" t="n">
        <v>0</v>
      </c>
      <c r="AE3846" s="182" t="n">
        <v>0</v>
      </c>
      <c r="AF3846" s="182" t="n">
        <v>0</v>
      </c>
      <c r="AG3846" s="182" t="n">
        <v>0</v>
      </c>
      <c r="AH3846" s="182" t="n">
        <v>0.27</v>
      </c>
      <c r="AI3846" s="182" t="n">
        <v>4.28</v>
      </c>
      <c r="AJ3846" s="182" t="n">
        <v>0</v>
      </c>
      <c r="AK3846" s="182" t="n">
        <v>0</v>
      </c>
      <c r="AL3846" s="182" t="n">
        <v>0</v>
      </c>
      <c r="AM3846" s="182" t="n">
        <v>0.09</v>
      </c>
      <c r="AN3846" s="182" t="n">
        <v>0</v>
      </c>
    </row>
    <row r="3847">
      <c r="A3847" s="155" t="n">
        <v>46099</v>
      </c>
      <c r="B3847" s="156" t="inlineStr">
        <is>
          <t>DS</t>
        </is>
      </c>
      <c r="C3847" s="156" t="inlineStr">
        <is>
          <t>WL-025</t>
        </is>
      </c>
      <c r="D3847" s="156" t="inlineStr">
        <is>
          <t>SANY - Loader</t>
        </is>
      </c>
      <c r="E3847" s="156" t="inlineStr">
        <is>
          <t>Loader</t>
        </is>
      </c>
      <c r="F3847" s="156" t="inlineStr"/>
      <c r="G3847" s="182" t="n">
        <v>0</v>
      </c>
      <c r="H3847" s="182" t="n">
        <v>0</v>
      </c>
      <c r="I3847" s="182" t="n">
        <v>12</v>
      </c>
      <c r="J3847" s="182" t="n">
        <v>12</v>
      </c>
      <c r="K3847" s="182" t="n">
        <v>0</v>
      </c>
      <c r="L3847" s="182" t="n">
        <v>12</v>
      </c>
      <c r="M3847" s="182" t="n">
        <v>0</v>
      </c>
      <c r="N3847" s="182" t="n">
        <v>0</v>
      </c>
      <c r="O3847" s="183" t="n">
        <v>0</v>
      </c>
      <c r="P3847" s="183" t="n">
        <v>0</v>
      </c>
      <c r="Q3847" s="184" t="n">
        <v>0</v>
      </c>
      <c r="R3847" s="184" t="n">
        <v>0</v>
      </c>
      <c r="S3847" s="183" t="n">
        <v>0</v>
      </c>
      <c r="T3847" s="183" t="n">
        <v>0</v>
      </c>
      <c r="U3847" s="182" t="n">
        <v>0</v>
      </c>
      <c r="V3847" s="182" t="n">
        <v>0</v>
      </c>
      <c r="W3847" s="182" t="n">
        <v>0</v>
      </c>
      <c r="X3847" s="182" t="n">
        <v>0</v>
      </c>
      <c r="Y3847" s="182" t="n">
        <v>0</v>
      </c>
      <c r="Z3847" s="182" t="n">
        <v>0</v>
      </c>
      <c r="AA3847" s="182" t="n">
        <v>0</v>
      </c>
      <c r="AB3847" s="182" t="n">
        <v>0</v>
      </c>
      <c r="AC3847" s="182" t="n">
        <v>0</v>
      </c>
      <c r="AD3847" s="182" t="n">
        <v>0</v>
      </c>
      <c r="AE3847" s="182" t="n">
        <v>0</v>
      </c>
      <c r="AF3847" s="182" t="n">
        <v>0</v>
      </c>
      <c r="AG3847" s="182" t="n">
        <v>0</v>
      </c>
      <c r="AH3847" s="182" t="n">
        <v>0</v>
      </c>
      <c r="AI3847" s="182" t="n">
        <v>0</v>
      </c>
      <c r="AJ3847" s="182" t="n">
        <v>0</v>
      </c>
      <c r="AK3847" s="182" t="n">
        <v>0</v>
      </c>
      <c r="AL3847" s="182" t="n">
        <v>0</v>
      </c>
      <c r="AM3847" s="182" t="n">
        <v>0</v>
      </c>
      <c r="AN3847" s="182" t="n">
        <v>0</v>
      </c>
    </row>
    <row r="3848">
      <c r="A3848" s="155" t="n">
        <v>46099</v>
      </c>
      <c r="B3848" s="156" t="inlineStr">
        <is>
          <t>DS</t>
        </is>
      </c>
      <c r="C3848" s="156" t="inlineStr">
        <is>
          <t>WL-023</t>
        </is>
      </c>
      <c r="D3848" s="156" t="inlineStr">
        <is>
          <t>SANY - Loader</t>
        </is>
      </c>
      <c r="E3848" s="156" t="inlineStr">
        <is>
          <t>Loader</t>
        </is>
      </c>
      <c r="F3848" s="156" t="inlineStr">
        <is>
          <t>Trimming Coal di Jetty</t>
        </is>
      </c>
      <c r="G3848" s="182" t="n">
        <v>5.61</v>
      </c>
      <c r="H3848" s="182" t="n">
        <v>0</v>
      </c>
      <c r="I3848" s="182" t="n">
        <v>0</v>
      </c>
      <c r="J3848" s="182" t="n">
        <v>0</v>
      </c>
      <c r="K3848" s="182" t="n">
        <v>6.39</v>
      </c>
      <c r="L3848" s="182" t="n">
        <v>12</v>
      </c>
      <c r="M3848" s="182" t="n">
        <v>0</v>
      </c>
      <c r="N3848" s="182" t="n">
        <v>0</v>
      </c>
      <c r="O3848" s="183" t="n">
        <v>0</v>
      </c>
      <c r="P3848" s="183" t="n">
        <v>0</v>
      </c>
      <c r="Q3848" s="184" t="n">
        <v>0</v>
      </c>
      <c r="R3848" s="184" t="n">
        <v>0</v>
      </c>
      <c r="S3848" s="183" t="n">
        <v>0</v>
      </c>
      <c r="T3848" s="183" t="n">
        <v>0</v>
      </c>
      <c r="U3848" s="182" t="n">
        <v>0</v>
      </c>
      <c r="V3848" s="182" t="n">
        <v>0</v>
      </c>
      <c r="W3848" s="182" t="n">
        <v>0</v>
      </c>
      <c r="X3848" s="182" t="n">
        <v>1</v>
      </c>
      <c r="Y3848" s="182" t="n">
        <v>0</v>
      </c>
      <c r="Z3848" s="182" t="n">
        <v>0</v>
      </c>
      <c r="AA3848" s="182" t="n">
        <v>0</v>
      </c>
      <c r="AB3848" s="182" t="n">
        <v>0</v>
      </c>
      <c r="AC3848" s="182" t="n">
        <v>0</v>
      </c>
      <c r="AD3848" s="182" t="n">
        <v>0</v>
      </c>
      <c r="AE3848" s="182" t="n">
        <v>0</v>
      </c>
      <c r="AF3848" s="182" t="n">
        <v>0</v>
      </c>
      <c r="AG3848" s="182" t="n">
        <v>0</v>
      </c>
      <c r="AH3848" s="182" t="n">
        <v>0</v>
      </c>
      <c r="AI3848" s="182" t="n">
        <v>0</v>
      </c>
      <c r="AJ3848" s="182" t="n">
        <v>0</v>
      </c>
      <c r="AK3848" s="182" t="n">
        <v>5.31</v>
      </c>
      <c r="AL3848" s="182" t="n">
        <v>0</v>
      </c>
      <c r="AM3848" s="182" t="n">
        <v>0.08</v>
      </c>
      <c r="AN3848" s="182" t="n">
        <v>0</v>
      </c>
    </row>
    <row r="3849">
      <c r="A3849" s="155" t="n">
        <v>46099</v>
      </c>
      <c r="B3849" s="156" t="inlineStr">
        <is>
          <t>DS</t>
        </is>
      </c>
      <c r="C3849" s="156" t="inlineStr">
        <is>
          <t>WL-021</t>
        </is>
      </c>
      <c r="D3849" s="156" t="inlineStr">
        <is>
          <t>SANY - Loader</t>
        </is>
      </c>
      <c r="E3849" s="156" t="inlineStr">
        <is>
          <t>Loader</t>
        </is>
      </c>
      <c r="F3849" s="156" t="inlineStr"/>
      <c r="G3849" s="182" t="n">
        <v>0</v>
      </c>
      <c r="H3849" s="182" t="n">
        <v>0</v>
      </c>
      <c r="I3849" s="182" t="n">
        <v>12</v>
      </c>
      <c r="J3849" s="182" t="n">
        <v>12</v>
      </c>
      <c r="K3849" s="182" t="n">
        <v>0</v>
      </c>
      <c r="L3849" s="182" t="n">
        <v>12</v>
      </c>
      <c r="M3849" s="182" t="n">
        <v>0</v>
      </c>
      <c r="N3849" s="182" t="n">
        <v>0</v>
      </c>
      <c r="O3849" s="183" t="n">
        <v>0</v>
      </c>
      <c r="P3849" s="183" t="n">
        <v>0</v>
      </c>
      <c r="Q3849" s="184" t="n">
        <v>0</v>
      </c>
      <c r="R3849" s="184" t="n">
        <v>0</v>
      </c>
      <c r="S3849" s="183" t="n">
        <v>0</v>
      </c>
      <c r="T3849" s="183" t="n">
        <v>0</v>
      </c>
      <c r="U3849" s="182" t="n">
        <v>0</v>
      </c>
      <c r="V3849" s="182" t="n">
        <v>0</v>
      </c>
      <c r="W3849" s="182" t="n">
        <v>0</v>
      </c>
      <c r="X3849" s="182" t="n">
        <v>0</v>
      </c>
      <c r="Y3849" s="182" t="n">
        <v>0</v>
      </c>
      <c r="Z3849" s="182" t="n">
        <v>0</v>
      </c>
      <c r="AA3849" s="182" t="n">
        <v>0</v>
      </c>
      <c r="AB3849" s="182" t="n">
        <v>0</v>
      </c>
      <c r="AC3849" s="182" t="n">
        <v>0</v>
      </c>
      <c r="AD3849" s="182" t="n">
        <v>0</v>
      </c>
      <c r="AE3849" s="182" t="n">
        <v>0</v>
      </c>
      <c r="AF3849" s="182" t="n">
        <v>0</v>
      </c>
      <c r="AG3849" s="182" t="n">
        <v>0</v>
      </c>
      <c r="AH3849" s="182" t="n">
        <v>0</v>
      </c>
      <c r="AI3849" s="182" t="n">
        <v>0</v>
      </c>
      <c r="AJ3849" s="182" t="n">
        <v>0</v>
      </c>
      <c r="AK3849" s="182" t="n">
        <v>0</v>
      </c>
      <c r="AL3849" s="182" t="n">
        <v>0</v>
      </c>
      <c r="AM3849" s="182" t="n">
        <v>0</v>
      </c>
      <c r="AN3849" s="182" t="n">
        <v>0</v>
      </c>
    </row>
    <row r="3850">
      <c r="A3850" s="155" t="n">
        <v>46099</v>
      </c>
      <c r="B3850" s="156" t="inlineStr">
        <is>
          <t>DS</t>
        </is>
      </c>
      <c r="C3850" s="156" t="inlineStr">
        <is>
          <t>WL-022</t>
        </is>
      </c>
      <c r="D3850" s="156" t="inlineStr">
        <is>
          <t>SANY - Loader</t>
        </is>
      </c>
      <c r="E3850" s="156" t="inlineStr">
        <is>
          <t>Loader</t>
        </is>
      </c>
      <c r="F3850" s="156" t="inlineStr">
        <is>
          <t>Trimming Coal diStockROM</t>
        </is>
      </c>
      <c r="G3850" s="182" t="n">
        <v>11.39</v>
      </c>
      <c r="H3850" s="182" t="n">
        <v>0</v>
      </c>
      <c r="I3850" s="182" t="n">
        <v>0</v>
      </c>
      <c r="J3850" s="182" t="n">
        <v>0</v>
      </c>
      <c r="K3850" s="182" t="n">
        <v>0.61</v>
      </c>
      <c r="L3850" s="182" t="n">
        <v>12</v>
      </c>
      <c r="M3850" s="182" t="n">
        <v>0</v>
      </c>
      <c r="N3850" s="182" t="n">
        <v>0</v>
      </c>
      <c r="O3850" s="183" t="n">
        <v>0</v>
      </c>
      <c r="P3850" s="183" t="n">
        <v>0</v>
      </c>
      <c r="Q3850" s="184" t="n">
        <v>0</v>
      </c>
      <c r="R3850" s="184" t="n">
        <v>0</v>
      </c>
      <c r="S3850" s="183" t="n">
        <v>0</v>
      </c>
      <c r="T3850" s="183" t="n">
        <v>0</v>
      </c>
      <c r="U3850" s="182" t="n">
        <v>0</v>
      </c>
      <c r="V3850" s="182" t="n">
        <v>0</v>
      </c>
      <c r="W3850" s="182" t="n">
        <v>0</v>
      </c>
      <c r="X3850" s="182" t="n">
        <v>0.51</v>
      </c>
      <c r="Y3850" s="182" t="n">
        <v>0</v>
      </c>
      <c r="Z3850" s="182" t="n">
        <v>0</v>
      </c>
      <c r="AA3850" s="182" t="n">
        <v>0</v>
      </c>
      <c r="AB3850" s="182" t="n">
        <v>0</v>
      </c>
      <c r="AC3850" s="182" t="n">
        <v>0</v>
      </c>
      <c r="AD3850" s="182" t="n">
        <v>0</v>
      </c>
      <c r="AE3850" s="182" t="n">
        <v>0</v>
      </c>
      <c r="AF3850" s="182" t="n">
        <v>0</v>
      </c>
      <c r="AG3850" s="182" t="n">
        <v>0</v>
      </c>
      <c r="AH3850" s="182" t="n">
        <v>0</v>
      </c>
      <c r="AI3850" s="182" t="n">
        <v>0</v>
      </c>
      <c r="AJ3850" s="182" t="n">
        <v>0</v>
      </c>
      <c r="AK3850" s="182" t="n">
        <v>0.06</v>
      </c>
      <c r="AL3850" s="182" t="n">
        <v>0</v>
      </c>
      <c r="AM3850" s="182" t="n">
        <v>0.04</v>
      </c>
      <c r="AN3850" s="182" t="n">
        <v>0</v>
      </c>
    </row>
    <row r="3851">
      <c r="A3851" s="155" t="n">
        <v>46099</v>
      </c>
      <c r="B3851" s="156" t="inlineStr">
        <is>
          <t>DS</t>
        </is>
      </c>
      <c r="C3851" s="156" t="inlineStr">
        <is>
          <t>WL-024</t>
        </is>
      </c>
      <c r="D3851" s="156" t="inlineStr">
        <is>
          <t>SANY - Loader</t>
        </is>
      </c>
      <c r="E3851" s="156" t="inlineStr">
        <is>
          <t>Loader</t>
        </is>
      </c>
      <c r="F3851" s="156" t="inlineStr">
        <is>
          <t>Produksi Washing Plant</t>
        </is>
      </c>
      <c r="G3851" s="182" t="n">
        <v>3.16</v>
      </c>
      <c r="H3851" s="182" t="n">
        <v>0</v>
      </c>
      <c r="I3851" s="182" t="n">
        <v>8.52</v>
      </c>
      <c r="J3851" s="182" t="n">
        <v>8.52</v>
      </c>
      <c r="K3851" s="182" t="n">
        <v>0.32</v>
      </c>
      <c r="L3851" s="182" t="n">
        <v>12</v>
      </c>
      <c r="M3851" s="182" t="n">
        <v>0</v>
      </c>
      <c r="N3851" s="182" t="n">
        <v>0</v>
      </c>
      <c r="O3851" s="183" t="n">
        <v>0</v>
      </c>
      <c r="P3851" s="183" t="n">
        <v>0</v>
      </c>
      <c r="Q3851" s="184" t="n">
        <v>0</v>
      </c>
      <c r="R3851" s="184" t="n">
        <v>0</v>
      </c>
      <c r="S3851" s="183" t="n">
        <v>0</v>
      </c>
      <c r="T3851" s="183" t="n">
        <v>0</v>
      </c>
      <c r="U3851" s="182" t="n">
        <v>0</v>
      </c>
      <c r="V3851" s="182" t="n">
        <v>0</v>
      </c>
      <c r="W3851" s="182" t="n">
        <v>0</v>
      </c>
      <c r="X3851" s="182" t="n">
        <v>0</v>
      </c>
      <c r="Y3851" s="182" t="n">
        <v>0</v>
      </c>
      <c r="Z3851" s="182" t="n">
        <v>0</v>
      </c>
      <c r="AA3851" s="182" t="n">
        <v>0</v>
      </c>
      <c r="AB3851" s="182" t="n">
        <v>0</v>
      </c>
      <c r="AC3851" s="182" t="n">
        <v>0</v>
      </c>
      <c r="AD3851" s="182" t="n">
        <v>0</v>
      </c>
      <c r="AE3851" s="182" t="n">
        <v>0</v>
      </c>
      <c r="AF3851" s="182" t="n">
        <v>0</v>
      </c>
      <c r="AG3851" s="182" t="n">
        <v>0</v>
      </c>
      <c r="AH3851" s="182" t="n">
        <v>0</v>
      </c>
      <c r="AI3851" s="182" t="n">
        <v>0</v>
      </c>
      <c r="AJ3851" s="182" t="n">
        <v>0</v>
      </c>
      <c r="AK3851" s="182" t="n">
        <v>0</v>
      </c>
      <c r="AL3851" s="182" t="n">
        <v>0</v>
      </c>
      <c r="AM3851" s="182" t="n">
        <v>0.32</v>
      </c>
      <c r="AN3851" s="182" t="n">
        <v>0</v>
      </c>
    </row>
    <row r="3852">
      <c r="A3852" s="155" t="n">
        <v>46099</v>
      </c>
      <c r="B3852" s="156" t="inlineStr">
        <is>
          <t>NS</t>
        </is>
      </c>
      <c r="C3852" s="156" t="inlineStr">
        <is>
          <t>DZ-034</t>
        </is>
      </c>
      <c r="D3852" s="156" t="inlineStr">
        <is>
          <t>D 68ESS-12EO</t>
        </is>
      </c>
      <c r="E3852" s="156" t="inlineStr">
        <is>
          <t>Bulldozer</t>
        </is>
      </c>
      <c r="F3852" s="156" t="inlineStr"/>
      <c r="G3852" s="182" t="n">
        <v>0</v>
      </c>
      <c r="H3852" s="182" t="n">
        <v>0</v>
      </c>
      <c r="I3852" s="182" t="n">
        <v>12</v>
      </c>
      <c r="J3852" s="182" t="n">
        <v>12</v>
      </c>
      <c r="K3852" s="182" t="n">
        <v>0</v>
      </c>
      <c r="L3852" s="182" t="n">
        <v>12</v>
      </c>
      <c r="M3852" s="182" t="n">
        <v>0</v>
      </c>
      <c r="N3852" s="182" t="n">
        <v>0</v>
      </c>
      <c r="O3852" s="183" t="n">
        <v>0</v>
      </c>
      <c r="P3852" s="183" t="n">
        <v>0</v>
      </c>
      <c r="Q3852" s="184" t="n">
        <v>0</v>
      </c>
      <c r="R3852" s="184" t="n">
        <v>0</v>
      </c>
      <c r="S3852" s="183" t="n">
        <v>0</v>
      </c>
      <c r="T3852" s="183" t="n">
        <v>0</v>
      </c>
      <c r="U3852" s="182" t="n">
        <v>0</v>
      </c>
      <c r="V3852" s="182" t="n">
        <v>0</v>
      </c>
      <c r="W3852" s="182" t="n">
        <v>0</v>
      </c>
      <c r="X3852" s="182" t="n">
        <v>0</v>
      </c>
      <c r="Y3852" s="182" t="n">
        <v>0</v>
      </c>
      <c r="Z3852" s="182" t="n">
        <v>0</v>
      </c>
      <c r="AA3852" s="182" t="n">
        <v>0</v>
      </c>
      <c r="AB3852" s="182" t="n">
        <v>0</v>
      </c>
      <c r="AC3852" s="182" t="n">
        <v>0</v>
      </c>
      <c r="AD3852" s="182" t="n">
        <v>0</v>
      </c>
      <c r="AE3852" s="182" t="n">
        <v>0</v>
      </c>
      <c r="AF3852" s="182" t="n">
        <v>0</v>
      </c>
      <c r="AG3852" s="182" t="n">
        <v>0</v>
      </c>
      <c r="AH3852" s="182" t="n">
        <v>0</v>
      </c>
      <c r="AI3852" s="182" t="n">
        <v>0</v>
      </c>
      <c r="AJ3852" s="182" t="n">
        <v>0</v>
      </c>
      <c r="AK3852" s="182" t="n">
        <v>0</v>
      </c>
      <c r="AL3852" s="182" t="n">
        <v>0</v>
      </c>
      <c r="AM3852" s="182" t="n">
        <v>0</v>
      </c>
      <c r="AN3852" s="182" t="n">
        <v>0</v>
      </c>
    </row>
    <row r="3853">
      <c r="A3853" s="155" t="n">
        <v>46099</v>
      </c>
      <c r="B3853" s="156" t="inlineStr">
        <is>
          <t>NS</t>
        </is>
      </c>
      <c r="C3853" s="156" t="inlineStr">
        <is>
          <t>DZ-033</t>
        </is>
      </c>
      <c r="D3853" s="156" t="inlineStr">
        <is>
          <t>D 375A-6R</t>
        </is>
      </c>
      <c r="E3853" s="156" t="inlineStr">
        <is>
          <t>Bulldozer</t>
        </is>
      </c>
      <c r="F3853" s="156" t="inlineStr"/>
      <c r="G3853" s="182" t="n">
        <v>0</v>
      </c>
      <c r="H3853" s="182" t="n">
        <v>0</v>
      </c>
      <c r="I3853" s="182" t="n">
        <v>12</v>
      </c>
      <c r="J3853" s="182" t="n">
        <v>12</v>
      </c>
      <c r="K3853" s="182" t="n">
        <v>0</v>
      </c>
      <c r="L3853" s="182" t="n">
        <v>12</v>
      </c>
      <c r="M3853" s="182" t="n">
        <v>0</v>
      </c>
      <c r="N3853" s="182" t="n">
        <v>0</v>
      </c>
      <c r="O3853" s="183" t="n">
        <v>0</v>
      </c>
      <c r="P3853" s="183" t="n">
        <v>0</v>
      </c>
      <c r="Q3853" s="184" t="n">
        <v>0</v>
      </c>
      <c r="R3853" s="184" t="n">
        <v>0</v>
      </c>
      <c r="S3853" s="183" t="n">
        <v>0</v>
      </c>
      <c r="T3853" s="183" t="n">
        <v>0</v>
      </c>
      <c r="U3853" s="182" t="n">
        <v>0</v>
      </c>
      <c r="V3853" s="182" t="n">
        <v>0</v>
      </c>
      <c r="W3853" s="182" t="n">
        <v>0</v>
      </c>
      <c r="X3853" s="182" t="n">
        <v>0</v>
      </c>
      <c r="Y3853" s="182" t="n">
        <v>0</v>
      </c>
      <c r="Z3853" s="182" t="n">
        <v>0</v>
      </c>
      <c r="AA3853" s="182" t="n">
        <v>0</v>
      </c>
      <c r="AB3853" s="182" t="n">
        <v>0</v>
      </c>
      <c r="AC3853" s="182" t="n">
        <v>0</v>
      </c>
      <c r="AD3853" s="182" t="n">
        <v>0</v>
      </c>
      <c r="AE3853" s="182" t="n">
        <v>0</v>
      </c>
      <c r="AF3853" s="182" t="n">
        <v>0</v>
      </c>
      <c r="AG3853" s="182" t="n">
        <v>0</v>
      </c>
      <c r="AH3853" s="182" t="n">
        <v>0</v>
      </c>
      <c r="AI3853" s="182" t="n">
        <v>0</v>
      </c>
      <c r="AJ3853" s="182" t="n">
        <v>0</v>
      </c>
      <c r="AK3853" s="182" t="n">
        <v>0</v>
      </c>
      <c r="AL3853" s="182" t="n">
        <v>0</v>
      </c>
      <c r="AM3853" s="182" t="n">
        <v>0</v>
      </c>
      <c r="AN3853" s="182" t="n">
        <v>0</v>
      </c>
    </row>
    <row r="3854">
      <c r="A3854" s="155" t="n">
        <v>46099</v>
      </c>
      <c r="B3854" s="156" t="inlineStr">
        <is>
          <t>NS</t>
        </is>
      </c>
      <c r="C3854" s="156" t="inlineStr">
        <is>
          <t>DZ-038</t>
        </is>
      </c>
      <c r="D3854" s="156" t="inlineStr">
        <is>
          <t>D 85 ESS-2</t>
        </is>
      </c>
      <c r="E3854" s="156" t="inlineStr">
        <is>
          <t>Bulldozer</t>
        </is>
      </c>
      <c r="F3854" s="156" t="inlineStr">
        <is>
          <t>Support Front Loading</t>
        </is>
      </c>
      <c r="G3854" s="182" t="n">
        <v>6.51</v>
      </c>
      <c r="H3854" s="182" t="n">
        <v>0</v>
      </c>
      <c r="I3854" s="182" t="n">
        <v>0.17</v>
      </c>
      <c r="J3854" s="182" t="n">
        <v>0.17</v>
      </c>
      <c r="K3854" s="182" t="n">
        <v>5.32</v>
      </c>
      <c r="L3854" s="182" t="n">
        <v>12</v>
      </c>
      <c r="M3854" s="182" t="n">
        <v>0</v>
      </c>
      <c r="N3854" s="182" t="n">
        <v>0</v>
      </c>
      <c r="O3854" s="183" t="n">
        <v>0</v>
      </c>
      <c r="P3854" s="183" t="n">
        <v>0</v>
      </c>
      <c r="Q3854" s="184" t="n">
        <v>0</v>
      </c>
      <c r="R3854" s="184" t="n">
        <v>0</v>
      </c>
      <c r="S3854" s="183" t="n">
        <v>0</v>
      </c>
      <c r="T3854" s="183" t="n">
        <v>0</v>
      </c>
      <c r="U3854" s="182" t="n">
        <v>0</v>
      </c>
      <c r="V3854" s="182" t="n">
        <v>0</v>
      </c>
      <c r="W3854" s="182" t="n">
        <v>0</v>
      </c>
      <c r="X3854" s="182" t="n">
        <v>1</v>
      </c>
      <c r="Y3854" s="182" t="n">
        <v>0</v>
      </c>
      <c r="Z3854" s="182" t="n">
        <v>0</v>
      </c>
      <c r="AA3854" s="182" t="n">
        <v>0</v>
      </c>
      <c r="AB3854" s="182" t="n">
        <v>0</v>
      </c>
      <c r="AC3854" s="182" t="n">
        <v>0</v>
      </c>
      <c r="AD3854" s="182" t="n">
        <v>0</v>
      </c>
      <c r="AE3854" s="182" t="n">
        <v>0</v>
      </c>
      <c r="AF3854" s="182" t="n">
        <v>0</v>
      </c>
      <c r="AG3854" s="182" t="n">
        <v>0</v>
      </c>
      <c r="AH3854" s="182" t="n">
        <v>0</v>
      </c>
      <c r="AI3854" s="182" t="n">
        <v>0</v>
      </c>
      <c r="AJ3854" s="182" t="n">
        <v>0</v>
      </c>
      <c r="AK3854" s="182" t="n">
        <v>4.24</v>
      </c>
      <c r="AL3854" s="182" t="n">
        <v>0</v>
      </c>
      <c r="AM3854" s="182" t="n">
        <v>0.08</v>
      </c>
      <c r="AN3854" s="182" t="n">
        <v>0</v>
      </c>
    </row>
    <row r="3855">
      <c r="A3855" s="155" t="n">
        <v>46099</v>
      </c>
      <c r="B3855" s="156" t="inlineStr">
        <is>
          <t>NS</t>
        </is>
      </c>
      <c r="C3855" s="156" t="inlineStr">
        <is>
          <t>DZ-039</t>
        </is>
      </c>
      <c r="D3855" s="156" t="inlineStr">
        <is>
          <t>D 85 ESS-2</t>
        </is>
      </c>
      <c r="E3855" s="156" t="inlineStr">
        <is>
          <t>Bulldozer</t>
        </is>
      </c>
      <c r="F3855" s="156" t="inlineStr">
        <is>
          <t>Support Disposal</t>
        </is>
      </c>
      <c r="G3855" s="182" t="n">
        <v>11.94</v>
      </c>
      <c r="H3855" s="182" t="n">
        <v>0</v>
      </c>
      <c r="I3855" s="182" t="n">
        <v>0</v>
      </c>
      <c r="J3855" s="182" t="n">
        <v>0</v>
      </c>
      <c r="K3855" s="182" t="n">
        <v>0.06</v>
      </c>
      <c r="L3855" s="182" t="n">
        <v>12</v>
      </c>
      <c r="M3855" s="182" t="n">
        <v>0</v>
      </c>
      <c r="N3855" s="182" t="n">
        <v>0</v>
      </c>
      <c r="O3855" s="183" t="n">
        <v>0</v>
      </c>
      <c r="P3855" s="183" t="n">
        <v>0</v>
      </c>
      <c r="Q3855" s="184" t="n">
        <v>0</v>
      </c>
      <c r="R3855" s="184" t="n">
        <v>0</v>
      </c>
      <c r="S3855" s="183" t="n">
        <v>0</v>
      </c>
      <c r="T3855" s="183" t="n">
        <v>0</v>
      </c>
      <c r="U3855" s="182" t="n">
        <v>0</v>
      </c>
      <c r="V3855" s="182" t="n">
        <v>0</v>
      </c>
      <c r="W3855" s="182" t="n">
        <v>0</v>
      </c>
      <c r="X3855" s="182" t="n">
        <v>0</v>
      </c>
      <c r="Y3855" s="182" t="n">
        <v>0</v>
      </c>
      <c r="Z3855" s="182" t="n">
        <v>0</v>
      </c>
      <c r="AA3855" s="182" t="n">
        <v>0</v>
      </c>
      <c r="AB3855" s="182" t="n">
        <v>0</v>
      </c>
      <c r="AC3855" s="182" t="n">
        <v>0</v>
      </c>
      <c r="AD3855" s="182" t="n">
        <v>0</v>
      </c>
      <c r="AE3855" s="182" t="n">
        <v>0</v>
      </c>
      <c r="AF3855" s="182" t="n">
        <v>0</v>
      </c>
      <c r="AG3855" s="182" t="n">
        <v>0</v>
      </c>
      <c r="AH3855" s="182" t="n">
        <v>0</v>
      </c>
      <c r="AI3855" s="182" t="n">
        <v>0</v>
      </c>
      <c r="AJ3855" s="182" t="n">
        <v>0</v>
      </c>
      <c r="AK3855" s="182" t="n">
        <v>0</v>
      </c>
      <c r="AL3855" s="182" t="n">
        <v>0</v>
      </c>
      <c r="AM3855" s="182" t="n">
        <v>0</v>
      </c>
      <c r="AN3855" s="182" t="n">
        <v>0</v>
      </c>
    </row>
    <row r="3856">
      <c r="A3856" s="155" t="n">
        <v>46099</v>
      </c>
      <c r="B3856" s="156" t="inlineStr">
        <is>
          <t>NS</t>
        </is>
      </c>
      <c r="C3856" s="156" t="inlineStr">
        <is>
          <t>DZ-032</t>
        </is>
      </c>
      <c r="D3856" s="156" t="inlineStr">
        <is>
          <t>CAT</t>
        </is>
      </c>
      <c r="E3856" s="156" t="inlineStr">
        <is>
          <t>Bulldozer</t>
        </is>
      </c>
      <c r="F3856" s="156" t="inlineStr"/>
      <c r="G3856" s="182" t="n">
        <v>0</v>
      </c>
      <c r="H3856" s="182" t="n">
        <v>0</v>
      </c>
      <c r="I3856" s="182" t="n">
        <v>12</v>
      </c>
      <c r="J3856" s="182" t="n">
        <v>12</v>
      </c>
      <c r="K3856" s="182" t="n">
        <v>0</v>
      </c>
      <c r="L3856" s="182" t="n">
        <v>12</v>
      </c>
      <c r="M3856" s="182" t="n">
        <v>0</v>
      </c>
      <c r="N3856" s="182" t="n">
        <v>0</v>
      </c>
      <c r="O3856" s="183" t="n">
        <v>0</v>
      </c>
      <c r="P3856" s="183" t="n">
        <v>0</v>
      </c>
      <c r="Q3856" s="184" t="n">
        <v>0</v>
      </c>
      <c r="R3856" s="184" t="n">
        <v>0</v>
      </c>
      <c r="S3856" s="183" t="n">
        <v>0</v>
      </c>
      <c r="T3856" s="183" t="n">
        <v>0</v>
      </c>
      <c r="U3856" s="182" t="n">
        <v>0</v>
      </c>
      <c r="V3856" s="182" t="n">
        <v>0</v>
      </c>
      <c r="W3856" s="182" t="n">
        <v>0</v>
      </c>
      <c r="X3856" s="182" t="n">
        <v>0</v>
      </c>
      <c r="Y3856" s="182" t="n">
        <v>0</v>
      </c>
      <c r="Z3856" s="182" t="n">
        <v>0</v>
      </c>
      <c r="AA3856" s="182" t="n">
        <v>0</v>
      </c>
      <c r="AB3856" s="182" t="n">
        <v>0</v>
      </c>
      <c r="AC3856" s="182" t="n">
        <v>0</v>
      </c>
      <c r="AD3856" s="182" t="n">
        <v>0</v>
      </c>
      <c r="AE3856" s="182" t="n">
        <v>0</v>
      </c>
      <c r="AF3856" s="182" t="n">
        <v>0</v>
      </c>
      <c r="AG3856" s="182" t="n">
        <v>0</v>
      </c>
      <c r="AH3856" s="182" t="n">
        <v>0</v>
      </c>
      <c r="AI3856" s="182" t="n">
        <v>0</v>
      </c>
      <c r="AJ3856" s="182" t="n">
        <v>0</v>
      </c>
      <c r="AK3856" s="182" t="n">
        <v>0</v>
      </c>
      <c r="AL3856" s="182" t="n">
        <v>0</v>
      </c>
      <c r="AM3856" s="182" t="n">
        <v>0</v>
      </c>
      <c r="AN3856" s="182" t="n">
        <v>0</v>
      </c>
    </row>
    <row r="3857">
      <c r="A3857" s="155" t="n">
        <v>46099</v>
      </c>
      <c r="B3857" s="156" t="inlineStr">
        <is>
          <t>NS</t>
        </is>
      </c>
      <c r="C3857" s="156" t="inlineStr">
        <is>
          <t>DZ-031</t>
        </is>
      </c>
      <c r="D3857" s="156" t="inlineStr">
        <is>
          <t>CAT</t>
        </is>
      </c>
      <c r="E3857" s="156" t="inlineStr">
        <is>
          <t>Bulldozer</t>
        </is>
      </c>
      <c r="F3857" s="156" t="inlineStr">
        <is>
          <t>Support Front Loading</t>
        </is>
      </c>
      <c r="G3857" s="182" t="n">
        <v>10.87</v>
      </c>
      <c r="H3857" s="182" t="n">
        <v>0</v>
      </c>
      <c r="I3857" s="182" t="n">
        <v>0</v>
      </c>
      <c r="J3857" s="182" t="n">
        <v>0</v>
      </c>
      <c r="K3857" s="182" t="n">
        <v>1.13</v>
      </c>
      <c r="L3857" s="182" t="n">
        <v>12</v>
      </c>
      <c r="M3857" s="182" t="n">
        <v>0</v>
      </c>
      <c r="N3857" s="182" t="n">
        <v>0</v>
      </c>
      <c r="O3857" s="183" t="n">
        <v>0</v>
      </c>
      <c r="P3857" s="183" t="n">
        <v>0</v>
      </c>
      <c r="Q3857" s="184" t="n">
        <v>0</v>
      </c>
      <c r="R3857" s="184" t="n">
        <v>0</v>
      </c>
      <c r="S3857" s="183" t="n">
        <v>0</v>
      </c>
      <c r="T3857" s="183" t="n">
        <v>0</v>
      </c>
      <c r="U3857" s="182" t="n">
        <v>0</v>
      </c>
      <c r="V3857" s="182" t="n">
        <v>0</v>
      </c>
      <c r="W3857" s="182" t="n">
        <v>0</v>
      </c>
      <c r="X3857" s="182" t="n">
        <v>1.04</v>
      </c>
      <c r="Y3857" s="182" t="n">
        <v>0</v>
      </c>
      <c r="Z3857" s="182" t="n">
        <v>0</v>
      </c>
      <c r="AA3857" s="182" t="n">
        <v>0</v>
      </c>
      <c r="AB3857" s="182" t="n">
        <v>0</v>
      </c>
      <c r="AC3857" s="182" t="n">
        <v>0</v>
      </c>
      <c r="AD3857" s="182" t="n">
        <v>0</v>
      </c>
      <c r="AE3857" s="182" t="n">
        <v>0</v>
      </c>
      <c r="AF3857" s="182" t="n">
        <v>0</v>
      </c>
      <c r="AG3857" s="182" t="n">
        <v>0</v>
      </c>
      <c r="AH3857" s="182" t="n">
        <v>0</v>
      </c>
      <c r="AI3857" s="182" t="n">
        <v>0</v>
      </c>
      <c r="AJ3857" s="182" t="n">
        <v>0</v>
      </c>
      <c r="AK3857" s="182" t="n">
        <v>0</v>
      </c>
      <c r="AL3857" s="182" t="n">
        <v>0</v>
      </c>
      <c r="AM3857" s="182" t="n">
        <v>0.09</v>
      </c>
      <c r="AN3857" s="182" t="n">
        <v>0</v>
      </c>
    </row>
    <row r="3858">
      <c r="A3858" s="155" t="n">
        <v>46099</v>
      </c>
      <c r="B3858" s="156" t="inlineStr">
        <is>
          <t>NS</t>
        </is>
      </c>
      <c r="C3858" s="156" t="inlineStr">
        <is>
          <t>DZ-037</t>
        </is>
      </c>
      <c r="D3858" s="156" t="inlineStr">
        <is>
          <t>D 85 ESS-2</t>
        </is>
      </c>
      <c r="E3858" s="156" t="inlineStr">
        <is>
          <t>Bulldozer</t>
        </is>
      </c>
      <c r="F3858" s="156" t="inlineStr"/>
      <c r="G3858" s="182" t="n">
        <v>0</v>
      </c>
      <c r="H3858" s="182" t="n">
        <v>0</v>
      </c>
      <c r="I3858" s="182" t="n">
        <v>12</v>
      </c>
      <c r="J3858" s="182" t="n">
        <v>12</v>
      </c>
      <c r="K3858" s="182" t="n">
        <v>0</v>
      </c>
      <c r="L3858" s="182" t="n">
        <v>12</v>
      </c>
      <c r="M3858" s="182" t="n">
        <v>0</v>
      </c>
      <c r="N3858" s="182" t="n">
        <v>0</v>
      </c>
      <c r="O3858" s="183" t="n">
        <v>0</v>
      </c>
      <c r="P3858" s="183" t="n">
        <v>0</v>
      </c>
      <c r="Q3858" s="184" t="n">
        <v>0</v>
      </c>
      <c r="R3858" s="184" t="n">
        <v>0</v>
      </c>
      <c r="S3858" s="183" t="n">
        <v>0</v>
      </c>
      <c r="T3858" s="183" t="n">
        <v>0</v>
      </c>
      <c r="U3858" s="182" t="n">
        <v>0</v>
      </c>
      <c r="V3858" s="182" t="n">
        <v>0</v>
      </c>
      <c r="W3858" s="182" t="n">
        <v>0</v>
      </c>
      <c r="X3858" s="182" t="n">
        <v>0</v>
      </c>
      <c r="Y3858" s="182" t="n">
        <v>0</v>
      </c>
      <c r="Z3858" s="182" t="n">
        <v>0</v>
      </c>
      <c r="AA3858" s="182" t="n">
        <v>0</v>
      </c>
      <c r="AB3858" s="182" t="n">
        <v>0</v>
      </c>
      <c r="AC3858" s="182" t="n">
        <v>0</v>
      </c>
      <c r="AD3858" s="182" t="n">
        <v>0</v>
      </c>
      <c r="AE3858" s="182" t="n">
        <v>0</v>
      </c>
      <c r="AF3858" s="182" t="n">
        <v>0</v>
      </c>
      <c r="AG3858" s="182" t="n">
        <v>0</v>
      </c>
      <c r="AH3858" s="182" t="n">
        <v>0</v>
      </c>
      <c r="AI3858" s="182" t="n">
        <v>0</v>
      </c>
      <c r="AJ3858" s="182" t="n">
        <v>0</v>
      </c>
      <c r="AK3858" s="182" t="n">
        <v>0</v>
      </c>
      <c r="AL3858" s="182" t="n">
        <v>0</v>
      </c>
      <c r="AM3858" s="182" t="n">
        <v>0</v>
      </c>
      <c r="AN3858" s="182" t="n">
        <v>0</v>
      </c>
    </row>
    <row r="3859">
      <c r="A3859" s="155" t="n">
        <v>46099</v>
      </c>
      <c r="B3859" s="156" t="inlineStr">
        <is>
          <t>NS</t>
        </is>
      </c>
      <c r="C3859" s="156" t="inlineStr">
        <is>
          <t>DZ-036</t>
        </is>
      </c>
      <c r="D3859" s="156" t="inlineStr">
        <is>
          <t>D 85 ESS-2</t>
        </is>
      </c>
      <c r="E3859" s="156" t="inlineStr">
        <is>
          <t>Bulldozer</t>
        </is>
      </c>
      <c r="F3859" s="156" t="inlineStr">
        <is>
          <t>General Jetty</t>
        </is>
      </c>
      <c r="G3859" s="182" t="n">
        <v>4.07</v>
      </c>
      <c r="H3859" s="182" t="n">
        <v>0</v>
      </c>
      <c r="I3859" s="182" t="n">
        <v>0</v>
      </c>
      <c r="J3859" s="182" t="n">
        <v>0</v>
      </c>
      <c r="K3859" s="182" t="n">
        <v>7.93</v>
      </c>
      <c r="L3859" s="182" t="n">
        <v>12</v>
      </c>
      <c r="M3859" s="182" t="n">
        <v>0</v>
      </c>
      <c r="N3859" s="182" t="n">
        <v>0</v>
      </c>
      <c r="O3859" s="183" t="n">
        <v>0</v>
      </c>
      <c r="P3859" s="183" t="n">
        <v>0</v>
      </c>
      <c r="Q3859" s="184" t="n">
        <v>0</v>
      </c>
      <c r="R3859" s="184" t="n">
        <v>0</v>
      </c>
      <c r="S3859" s="183" t="n">
        <v>0</v>
      </c>
      <c r="T3859" s="183" t="n">
        <v>0</v>
      </c>
      <c r="U3859" s="182" t="n">
        <v>0</v>
      </c>
      <c r="V3859" s="182" t="n">
        <v>0</v>
      </c>
      <c r="W3859" s="182" t="n">
        <v>0</v>
      </c>
      <c r="X3859" s="182" t="n">
        <v>1.06</v>
      </c>
      <c r="Y3859" s="182" t="n">
        <v>0</v>
      </c>
      <c r="Z3859" s="182" t="n">
        <v>0</v>
      </c>
      <c r="AA3859" s="182" t="n">
        <v>0</v>
      </c>
      <c r="AB3859" s="182" t="n">
        <v>0</v>
      </c>
      <c r="AC3859" s="182" t="n">
        <v>0</v>
      </c>
      <c r="AD3859" s="182" t="n">
        <v>0</v>
      </c>
      <c r="AE3859" s="182" t="n">
        <v>0</v>
      </c>
      <c r="AF3859" s="182" t="n">
        <v>0</v>
      </c>
      <c r="AG3859" s="182" t="n">
        <v>0</v>
      </c>
      <c r="AH3859" s="182" t="n">
        <v>0</v>
      </c>
      <c r="AI3859" s="182" t="n">
        <v>0</v>
      </c>
      <c r="AJ3859" s="182" t="n">
        <v>0</v>
      </c>
      <c r="AK3859" s="182" t="n">
        <v>6.79</v>
      </c>
      <c r="AL3859" s="182" t="n">
        <v>0</v>
      </c>
      <c r="AM3859" s="182" t="n">
        <v>0.08</v>
      </c>
      <c r="AN3859" s="182" t="n">
        <v>0</v>
      </c>
    </row>
    <row r="3860">
      <c r="A3860" s="155" t="n">
        <v>46099</v>
      </c>
      <c r="B3860" s="156" t="inlineStr">
        <is>
          <t>NS</t>
        </is>
      </c>
      <c r="C3860" s="156" t="inlineStr">
        <is>
          <t>DZ-035</t>
        </is>
      </c>
      <c r="D3860" s="156" t="inlineStr">
        <is>
          <t>D 85 ESS-2</t>
        </is>
      </c>
      <c r="E3860" s="156" t="inlineStr">
        <is>
          <t>Bulldozer</t>
        </is>
      </c>
      <c r="F3860" s="156" t="inlineStr">
        <is>
          <t>Support Disposal</t>
        </is>
      </c>
      <c r="G3860" s="182" t="n">
        <v>9.529999999999999</v>
      </c>
      <c r="H3860" s="182" t="n">
        <v>0</v>
      </c>
      <c r="I3860" s="182" t="n">
        <v>0.17</v>
      </c>
      <c r="J3860" s="182" t="n">
        <v>0.17</v>
      </c>
      <c r="K3860" s="182" t="n">
        <v>2.3</v>
      </c>
      <c r="L3860" s="182" t="n">
        <v>12</v>
      </c>
      <c r="M3860" s="182" t="n">
        <v>0</v>
      </c>
      <c r="N3860" s="182" t="n">
        <v>0</v>
      </c>
      <c r="O3860" s="183" t="n">
        <v>0</v>
      </c>
      <c r="P3860" s="183" t="n">
        <v>0</v>
      </c>
      <c r="Q3860" s="184" t="n">
        <v>0</v>
      </c>
      <c r="R3860" s="184" t="n">
        <v>0</v>
      </c>
      <c r="S3860" s="183" t="n">
        <v>0</v>
      </c>
      <c r="T3860" s="183" t="n">
        <v>0</v>
      </c>
      <c r="U3860" s="182" t="n">
        <v>0</v>
      </c>
      <c r="V3860" s="182" t="n">
        <v>0</v>
      </c>
      <c r="W3860" s="182" t="n">
        <v>0</v>
      </c>
      <c r="X3860" s="182" t="n">
        <v>0.87</v>
      </c>
      <c r="Y3860" s="182" t="n">
        <v>0</v>
      </c>
      <c r="Z3860" s="182" t="n">
        <v>0</v>
      </c>
      <c r="AA3860" s="182" t="n">
        <v>0</v>
      </c>
      <c r="AB3860" s="182" t="n">
        <v>0</v>
      </c>
      <c r="AC3860" s="182" t="n">
        <v>0</v>
      </c>
      <c r="AD3860" s="182" t="n">
        <v>0</v>
      </c>
      <c r="AE3860" s="182" t="n">
        <v>0</v>
      </c>
      <c r="AF3860" s="182" t="n">
        <v>0</v>
      </c>
      <c r="AG3860" s="182" t="n">
        <v>0</v>
      </c>
      <c r="AH3860" s="182" t="n">
        <v>0</v>
      </c>
      <c r="AI3860" s="182" t="n">
        <v>0</v>
      </c>
      <c r="AJ3860" s="182" t="n">
        <v>0</v>
      </c>
      <c r="AK3860" s="182" t="n">
        <v>1.36</v>
      </c>
      <c r="AL3860" s="182" t="n">
        <v>0</v>
      </c>
      <c r="AM3860" s="182" t="n">
        <v>0.07000000000000001</v>
      </c>
      <c r="AN3860" s="182" t="n">
        <v>0</v>
      </c>
    </row>
    <row r="3861">
      <c r="A3861" s="155" t="n">
        <v>46099</v>
      </c>
      <c r="B3861" s="156" t="inlineStr">
        <is>
          <t>NS</t>
        </is>
      </c>
      <c r="C3861" s="156" t="inlineStr">
        <is>
          <t>CP-042</t>
        </is>
      </c>
      <c r="D3861" s="156" t="inlineStr">
        <is>
          <t>SANY - Compactor</t>
        </is>
      </c>
      <c r="E3861" s="156" t="inlineStr">
        <is>
          <t>Compactor</t>
        </is>
      </c>
      <c r="F3861" s="156" t="inlineStr"/>
      <c r="G3861" s="182" t="n">
        <v>0</v>
      </c>
      <c r="H3861" s="182" t="n">
        <v>0</v>
      </c>
      <c r="I3861" s="182" t="n">
        <v>0</v>
      </c>
      <c r="J3861" s="182" t="n">
        <v>0</v>
      </c>
      <c r="K3861" s="182" t="n">
        <v>12</v>
      </c>
      <c r="L3861" s="182" t="n">
        <v>12</v>
      </c>
      <c r="M3861" s="182" t="n">
        <v>0</v>
      </c>
      <c r="N3861" s="182" t="n">
        <v>0</v>
      </c>
      <c r="O3861" s="183" t="n">
        <v>0</v>
      </c>
      <c r="P3861" s="183" t="n">
        <v>0</v>
      </c>
      <c r="Q3861" s="184" t="n">
        <v>0</v>
      </c>
      <c r="R3861" s="184" t="n">
        <v>0</v>
      </c>
      <c r="S3861" s="183" t="n">
        <v>0</v>
      </c>
      <c r="T3861" s="183" t="n">
        <v>0</v>
      </c>
      <c r="U3861" s="182" t="n">
        <v>0</v>
      </c>
      <c r="V3861" s="182" t="n">
        <v>0</v>
      </c>
      <c r="W3861" s="182" t="n">
        <v>0</v>
      </c>
      <c r="X3861" s="182" t="n">
        <v>1</v>
      </c>
      <c r="Y3861" s="182" t="n">
        <v>0</v>
      </c>
      <c r="Z3861" s="182" t="n">
        <v>0</v>
      </c>
      <c r="AA3861" s="182" t="n">
        <v>0</v>
      </c>
      <c r="AB3861" s="182" t="n">
        <v>0</v>
      </c>
      <c r="AC3861" s="182" t="n">
        <v>0</v>
      </c>
      <c r="AD3861" s="182" t="n">
        <v>0</v>
      </c>
      <c r="AE3861" s="182" t="n">
        <v>0</v>
      </c>
      <c r="AF3861" s="182" t="n">
        <v>0</v>
      </c>
      <c r="AG3861" s="182" t="n">
        <v>0</v>
      </c>
      <c r="AH3861" s="182" t="n">
        <v>0</v>
      </c>
      <c r="AI3861" s="182" t="n">
        <v>0</v>
      </c>
      <c r="AJ3861" s="182" t="n">
        <v>0</v>
      </c>
      <c r="AK3861" s="182" t="n">
        <v>10.92</v>
      </c>
      <c r="AL3861" s="182" t="n">
        <v>0</v>
      </c>
      <c r="AM3861" s="182" t="n">
        <v>0.08</v>
      </c>
      <c r="AN3861" s="182" t="n">
        <v>0</v>
      </c>
    </row>
    <row r="3862">
      <c r="A3862" s="155" t="n">
        <v>46099</v>
      </c>
      <c r="B3862" s="156" t="inlineStr">
        <is>
          <t>NS</t>
        </is>
      </c>
      <c r="C3862" s="156" t="inlineStr">
        <is>
          <t>CP-041</t>
        </is>
      </c>
      <c r="D3862" s="156" t="inlineStr">
        <is>
          <t>SANY - Compactor</t>
        </is>
      </c>
      <c r="E3862" s="156" t="inlineStr">
        <is>
          <t>Compactor</t>
        </is>
      </c>
      <c r="F3862" s="156" t="inlineStr">
        <is>
          <t>General ROAD</t>
        </is>
      </c>
      <c r="G3862" s="182" t="n">
        <v>7.29</v>
      </c>
      <c r="H3862" s="182" t="n">
        <v>0</v>
      </c>
      <c r="I3862" s="182" t="n">
        <v>0</v>
      </c>
      <c r="J3862" s="182" t="n">
        <v>0</v>
      </c>
      <c r="K3862" s="182" t="n">
        <v>4.71</v>
      </c>
      <c r="L3862" s="182" t="n">
        <v>12</v>
      </c>
      <c r="M3862" s="182" t="n">
        <v>0</v>
      </c>
      <c r="N3862" s="182" t="n">
        <v>0</v>
      </c>
      <c r="O3862" s="183" t="n">
        <v>0</v>
      </c>
      <c r="P3862" s="183" t="n">
        <v>0</v>
      </c>
      <c r="Q3862" s="184" t="n">
        <v>0</v>
      </c>
      <c r="R3862" s="184" t="n">
        <v>0</v>
      </c>
      <c r="S3862" s="183" t="n">
        <v>0</v>
      </c>
      <c r="T3862" s="183" t="n">
        <v>0</v>
      </c>
      <c r="U3862" s="182" t="n">
        <v>0</v>
      </c>
      <c r="V3862" s="182" t="n">
        <v>0</v>
      </c>
      <c r="W3862" s="182" t="n">
        <v>0</v>
      </c>
      <c r="X3862" s="182" t="n">
        <v>1</v>
      </c>
      <c r="Y3862" s="182" t="n">
        <v>0</v>
      </c>
      <c r="Z3862" s="182" t="n">
        <v>0</v>
      </c>
      <c r="AA3862" s="182" t="n">
        <v>0</v>
      </c>
      <c r="AB3862" s="182" t="n">
        <v>0</v>
      </c>
      <c r="AC3862" s="182" t="n">
        <v>0</v>
      </c>
      <c r="AD3862" s="182" t="n">
        <v>0</v>
      </c>
      <c r="AE3862" s="182" t="n">
        <v>0</v>
      </c>
      <c r="AF3862" s="182" t="n">
        <v>0</v>
      </c>
      <c r="AG3862" s="182" t="n">
        <v>0</v>
      </c>
      <c r="AH3862" s="182" t="n">
        <v>0</v>
      </c>
      <c r="AI3862" s="182" t="n">
        <v>0</v>
      </c>
      <c r="AJ3862" s="182" t="n">
        <v>0</v>
      </c>
      <c r="AK3862" s="182" t="n">
        <v>3.63</v>
      </c>
      <c r="AL3862" s="182" t="n">
        <v>0</v>
      </c>
      <c r="AM3862" s="182" t="n">
        <v>0.08</v>
      </c>
      <c r="AN3862" s="182" t="n">
        <v>0</v>
      </c>
    </row>
    <row r="3863">
      <c r="A3863" s="155" t="n">
        <v>46099</v>
      </c>
      <c r="B3863" s="156" t="inlineStr">
        <is>
          <t>NS</t>
        </is>
      </c>
      <c r="C3863" s="156" t="inlineStr">
        <is>
          <t>HT-418</t>
        </is>
      </c>
      <c r="D3863" s="156" t="inlineStr">
        <is>
          <t>SY430</t>
        </is>
      </c>
      <c r="E3863" s="156" t="inlineStr">
        <is>
          <t>DT Hauling</t>
        </is>
      </c>
      <c r="F3863" s="156" t="inlineStr"/>
      <c r="G3863" s="182" t="n">
        <v>0</v>
      </c>
      <c r="H3863" s="182" t="n">
        <v>0</v>
      </c>
      <c r="I3863" s="182" t="n">
        <v>0</v>
      </c>
      <c r="J3863" s="182" t="n">
        <v>0</v>
      </c>
      <c r="K3863" s="182" t="n">
        <v>12</v>
      </c>
      <c r="L3863" s="182" t="n">
        <v>12</v>
      </c>
      <c r="M3863" s="182" t="n">
        <v>0</v>
      </c>
      <c r="N3863" s="182" t="n">
        <v>0</v>
      </c>
      <c r="O3863" s="183" t="n">
        <v>0</v>
      </c>
      <c r="P3863" s="183" t="n">
        <v>0</v>
      </c>
      <c r="Q3863" s="184" t="n">
        <v>0</v>
      </c>
      <c r="R3863" s="184" t="n">
        <v>0</v>
      </c>
      <c r="S3863" s="183" t="n">
        <v>0</v>
      </c>
      <c r="T3863" s="183" t="n">
        <v>0</v>
      </c>
      <c r="U3863" s="182" t="n">
        <v>0</v>
      </c>
      <c r="V3863" s="182" t="n">
        <v>0</v>
      </c>
      <c r="W3863" s="182" t="n">
        <v>0</v>
      </c>
      <c r="X3863" s="182" t="n">
        <v>1</v>
      </c>
      <c r="Y3863" s="182" t="n">
        <v>0</v>
      </c>
      <c r="Z3863" s="182" t="n">
        <v>0</v>
      </c>
      <c r="AA3863" s="182" t="n">
        <v>0</v>
      </c>
      <c r="AB3863" s="182" t="n">
        <v>0</v>
      </c>
      <c r="AC3863" s="182" t="n">
        <v>0</v>
      </c>
      <c r="AD3863" s="182" t="n">
        <v>0</v>
      </c>
      <c r="AE3863" s="182" t="n">
        <v>0</v>
      </c>
      <c r="AF3863" s="182" t="n">
        <v>0</v>
      </c>
      <c r="AG3863" s="182" t="n">
        <v>0</v>
      </c>
      <c r="AH3863" s="182" t="n">
        <v>0</v>
      </c>
      <c r="AI3863" s="182" t="n">
        <v>0</v>
      </c>
      <c r="AJ3863" s="182" t="n">
        <v>0</v>
      </c>
      <c r="AK3863" s="182" t="n">
        <v>10.92</v>
      </c>
      <c r="AL3863" s="182" t="n">
        <v>0</v>
      </c>
      <c r="AM3863" s="182" t="n">
        <v>0.08</v>
      </c>
      <c r="AN3863" s="182" t="n">
        <v>0</v>
      </c>
    </row>
    <row r="3864">
      <c r="A3864" s="155" t="n">
        <v>46099</v>
      </c>
      <c r="B3864" s="156" t="inlineStr">
        <is>
          <t>NS</t>
        </is>
      </c>
      <c r="C3864" s="156" t="inlineStr">
        <is>
          <t>HT-404</t>
        </is>
      </c>
      <c r="D3864" s="156" t="inlineStr">
        <is>
          <t>SY430</t>
        </is>
      </c>
      <c r="E3864" s="156" t="inlineStr">
        <is>
          <t>DT Hauling</t>
        </is>
      </c>
      <c r="F3864" s="156" t="inlineStr"/>
      <c r="G3864" s="182" t="n">
        <v>0</v>
      </c>
      <c r="H3864" s="182" t="n">
        <v>0</v>
      </c>
      <c r="I3864" s="182" t="n">
        <v>0</v>
      </c>
      <c r="J3864" s="182" t="n">
        <v>0</v>
      </c>
      <c r="K3864" s="182" t="n">
        <v>12</v>
      </c>
      <c r="L3864" s="182" t="n">
        <v>12</v>
      </c>
      <c r="M3864" s="182" t="n">
        <v>0</v>
      </c>
      <c r="N3864" s="182" t="n">
        <v>0</v>
      </c>
      <c r="O3864" s="183" t="n">
        <v>0</v>
      </c>
      <c r="P3864" s="183" t="n">
        <v>0</v>
      </c>
      <c r="Q3864" s="184" t="n">
        <v>0</v>
      </c>
      <c r="R3864" s="184" t="n">
        <v>0</v>
      </c>
      <c r="S3864" s="183" t="n">
        <v>0</v>
      </c>
      <c r="T3864" s="183" t="n">
        <v>0</v>
      </c>
      <c r="U3864" s="182" t="n">
        <v>0</v>
      </c>
      <c r="V3864" s="182" t="n">
        <v>0</v>
      </c>
      <c r="W3864" s="182" t="n">
        <v>0</v>
      </c>
      <c r="X3864" s="182" t="n">
        <v>1</v>
      </c>
      <c r="Y3864" s="182" t="n">
        <v>0</v>
      </c>
      <c r="Z3864" s="182" t="n">
        <v>0</v>
      </c>
      <c r="AA3864" s="182" t="n">
        <v>0</v>
      </c>
      <c r="AB3864" s="182" t="n">
        <v>0</v>
      </c>
      <c r="AC3864" s="182" t="n">
        <v>0</v>
      </c>
      <c r="AD3864" s="182" t="n">
        <v>0</v>
      </c>
      <c r="AE3864" s="182" t="n">
        <v>0</v>
      </c>
      <c r="AF3864" s="182" t="n">
        <v>0</v>
      </c>
      <c r="AG3864" s="182" t="n">
        <v>0</v>
      </c>
      <c r="AH3864" s="182" t="n">
        <v>0</v>
      </c>
      <c r="AI3864" s="182" t="n">
        <v>0</v>
      </c>
      <c r="AJ3864" s="182" t="n">
        <v>0</v>
      </c>
      <c r="AK3864" s="182" t="n">
        <v>10.92</v>
      </c>
      <c r="AL3864" s="182" t="n">
        <v>0</v>
      </c>
      <c r="AM3864" s="182" t="n">
        <v>0.08</v>
      </c>
      <c r="AN3864" s="182" t="n">
        <v>0</v>
      </c>
    </row>
    <row r="3865">
      <c r="A3865" s="155" t="n">
        <v>46099</v>
      </c>
      <c r="B3865" s="156" t="inlineStr">
        <is>
          <t>NS</t>
        </is>
      </c>
      <c r="C3865" s="156" t="inlineStr">
        <is>
          <t>HT-415</t>
        </is>
      </c>
      <c r="D3865" s="156" t="inlineStr">
        <is>
          <t>SY430</t>
        </is>
      </c>
      <c r="E3865" s="156" t="inlineStr">
        <is>
          <t>DT Hauling</t>
        </is>
      </c>
      <c r="F3865" s="156" t="inlineStr"/>
      <c r="G3865" s="182" t="n">
        <v>0</v>
      </c>
      <c r="H3865" s="182" t="n">
        <v>0</v>
      </c>
      <c r="I3865" s="182" t="n">
        <v>12</v>
      </c>
      <c r="J3865" s="182" t="n">
        <v>12</v>
      </c>
      <c r="K3865" s="182" t="n">
        <v>0</v>
      </c>
      <c r="L3865" s="182" t="n">
        <v>12</v>
      </c>
      <c r="M3865" s="182" t="n">
        <v>0</v>
      </c>
      <c r="N3865" s="182" t="n">
        <v>0</v>
      </c>
      <c r="O3865" s="183" t="n">
        <v>0</v>
      </c>
      <c r="P3865" s="183" t="n">
        <v>0</v>
      </c>
      <c r="Q3865" s="184" t="n">
        <v>0</v>
      </c>
      <c r="R3865" s="184" t="n">
        <v>0</v>
      </c>
      <c r="S3865" s="183" t="n">
        <v>0</v>
      </c>
      <c r="T3865" s="183" t="n">
        <v>0</v>
      </c>
      <c r="U3865" s="182" t="n">
        <v>0</v>
      </c>
      <c r="V3865" s="182" t="n">
        <v>0</v>
      </c>
      <c r="W3865" s="182" t="n">
        <v>0</v>
      </c>
      <c r="X3865" s="182" t="n">
        <v>0</v>
      </c>
      <c r="Y3865" s="182" t="n">
        <v>0</v>
      </c>
      <c r="Z3865" s="182" t="n">
        <v>0</v>
      </c>
      <c r="AA3865" s="182" t="n">
        <v>0</v>
      </c>
      <c r="AB3865" s="182" t="n">
        <v>0</v>
      </c>
      <c r="AC3865" s="182" t="n">
        <v>0</v>
      </c>
      <c r="AD3865" s="182" t="n">
        <v>0</v>
      </c>
      <c r="AE3865" s="182" t="n">
        <v>0</v>
      </c>
      <c r="AF3865" s="182" t="n">
        <v>0</v>
      </c>
      <c r="AG3865" s="182" t="n">
        <v>0</v>
      </c>
      <c r="AH3865" s="182" t="n">
        <v>0</v>
      </c>
      <c r="AI3865" s="182" t="n">
        <v>0</v>
      </c>
      <c r="AJ3865" s="182" t="n">
        <v>0</v>
      </c>
      <c r="AK3865" s="182" t="n">
        <v>0</v>
      </c>
      <c r="AL3865" s="182" t="n">
        <v>0</v>
      </c>
      <c r="AM3865" s="182" t="n">
        <v>0</v>
      </c>
      <c r="AN3865" s="182" t="n">
        <v>0</v>
      </c>
    </row>
    <row r="3866">
      <c r="A3866" s="155" t="n">
        <v>46099</v>
      </c>
      <c r="B3866" s="156" t="inlineStr">
        <is>
          <t>NS</t>
        </is>
      </c>
      <c r="C3866" s="156" t="inlineStr">
        <is>
          <t>HT-406</t>
        </is>
      </c>
      <c r="D3866" s="156" t="inlineStr">
        <is>
          <t>SY430</t>
        </is>
      </c>
      <c r="E3866" s="156" t="inlineStr">
        <is>
          <t>DT Hauling</t>
        </is>
      </c>
      <c r="F3866" s="156" t="inlineStr"/>
      <c r="G3866" s="182" t="n">
        <v>0</v>
      </c>
      <c r="H3866" s="182" t="n">
        <v>0</v>
      </c>
      <c r="I3866" s="182" t="n">
        <v>12</v>
      </c>
      <c r="J3866" s="182" t="n">
        <v>12</v>
      </c>
      <c r="K3866" s="182" t="n">
        <v>0</v>
      </c>
      <c r="L3866" s="182" t="n">
        <v>12</v>
      </c>
      <c r="M3866" s="182" t="n">
        <v>0</v>
      </c>
      <c r="N3866" s="182" t="n">
        <v>0</v>
      </c>
      <c r="O3866" s="183" t="n">
        <v>0</v>
      </c>
      <c r="P3866" s="183" t="n">
        <v>0</v>
      </c>
      <c r="Q3866" s="184" t="n">
        <v>0</v>
      </c>
      <c r="R3866" s="184" t="n">
        <v>0</v>
      </c>
      <c r="S3866" s="183" t="n">
        <v>0</v>
      </c>
      <c r="T3866" s="183" t="n">
        <v>0</v>
      </c>
      <c r="U3866" s="182" t="n">
        <v>0</v>
      </c>
      <c r="V3866" s="182" t="n">
        <v>0</v>
      </c>
      <c r="W3866" s="182" t="n">
        <v>0</v>
      </c>
      <c r="X3866" s="182" t="n">
        <v>0</v>
      </c>
      <c r="Y3866" s="182" t="n">
        <v>0</v>
      </c>
      <c r="Z3866" s="182" t="n">
        <v>0</v>
      </c>
      <c r="AA3866" s="182" t="n">
        <v>0</v>
      </c>
      <c r="AB3866" s="182" t="n">
        <v>0</v>
      </c>
      <c r="AC3866" s="182" t="n">
        <v>0</v>
      </c>
      <c r="AD3866" s="182" t="n">
        <v>0</v>
      </c>
      <c r="AE3866" s="182" t="n">
        <v>0</v>
      </c>
      <c r="AF3866" s="182" t="n">
        <v>0</v>
      </c>
      <c r="AG3866" s="182" t="n">
        <v>0</v>
      </c>
      <c r="AH3866" s="182" t="n">
        <v>0</v>
      </c>
      <c r="AI3866" s="182" t="n">
        <v>0</v>
      </c>
      <c r="AJ3866" s="182" t="n">
        <v>0</v>
      </c>
      <c r="AK3866" s="182" t="n">
        <v>0</v>
      </c>
      <c r="AL3866" s="182" t="n">
        <v>0</v>
      </c>
      <c r="AM3866" s="182" t="n">
        <v>0</v>
      </c>
      <c r="AN3866" s="182" t="n">
        <v>0</v>
      </c>
    </row>
    <row r="3867">
      <c r="A3867" s="155" t="n">
        <v>46099</v>
      </c>
      <c r="B3867" s="156" t="inlineStr">
        <is>
          <t>NS</t>
        </is>
      </c>
      <c r="C3867" s="156" t="inlineStr">
        <is>
          <t>HT-405</t>
        </is>
      </c>
      <c r="D3867" s="156" t="inlineStr">
        <is>
          <t>SY430</t>
        </is>
      </c>
      <c r="E3867" s="156" t="inlineStr">
        <is>
          <t>DT Hauling</t>
        </is>
      </c>
      <c r="F3867" s="156" t="inlineStr"/>
      <c r="G3867" s="182" t="n">
        <v>0</v>
      </c>
      <c r="H3867" s="182" t="n">
        <v>0</v>
      </c>
      <c r="I3867" s="182" t="n">
        <v>0</v>
      </c>
      <c r="J3867" s="182" t="n">
        <v>0</v>
      </c>
      <c r="K3867" s="182" t="n">
        <v>12</v>
      </c>
      <c r="L3867" s="182" t="n">
        <v>12</v>
      </c>
      <c r="M3867" s="182" t="n">
        <v>0</v>
      </c>
      <c r="N3867" s="182" t="n">
        <v>0</v>
      </c>
      <c r="O3867" s="183" t="n">
        <v>0</v>
      </c>
      <c r="P3867" s="183" t="n">
        <v>0</v>
      </c>
      <c r="Q3867" s="184" t="n">
        <v>0</v>
      </c>
      <c r="R3867" s="184" t="n">
        <v>0</v>
      </c>
      <c r="S3867" s="183" t="n">
        <v>0</v>
      </c>
      <c r="T3867" s="183" t="n">
        <v>0</v>
      </c>
      <c r="U3867" s="182" t="n">
        <v>0</v>
      </c>
      <c r="V3867" s="182" t="n">
        <v>0</v>
      </c>
      <c r="W3867" s="182" t="n">
        <v>0</v>
      </c>
      <c r="X3867" s="182" t="n">
        <v>1</v>
      </c>
      <c r="Y3867" s="182" t="n">
        <v>0</v>
      </c>
      <c r="Z3867" s="182" t="n">
        <v>0</v>
      </c>
      <c r="AA3867" s="182" t="n">
        <v>0</v>
      </c>
      <c r="AB3867" s="182" t="n">
        <v>0</v>
      </c>
      <c r="AC3867" s="182" t="n">
        <v>0</v>
      </c>
      <c r="AD3867" s="182" t="n">
        <v>0</v>
      </c>
      <c r="AE3867" s="182" t="n">
        <v>0</v>
      </c>
      <c r="AF3867" s="182" t="n">
        <v>0</v>
      </c>
      <c r="AG3867" s="182" t="n">
        <v>0</v>
      </c>
      <c r="AH3867" s="182" t="n">
        <v>0</v>
      </c>
      <c r="AI3867" s="182" t="n">
        <v>0</v>
      </c>
      <c r="AJ3867" s="182" t="n">
        <v>0</v>
      </c>
      <c r="AK3867" s="182" t="n">
        <v>10.92</v>
      </c>
      <c r="AL3867" s="182" t="n">
        <v>0</v>
      </c>
      <c r="AM3867" s="182" t="n">
        <v>0.08</v>
      </c>
      <c r="AN3867" s="182" t="n">
        <v>0</v>
      </c>
    </row>
    <row r="3868">
      <c r="A3868" s="155" t="n">
        <v>46099</v>
      </c>
      <c r="B3868" s="156" t="inlineStr">
        <is>
          <t>NS</t>
        </is>
      </c>
      <c r="C3868" s="156" t="inlineStr">
        <is>
          <t>HT-417</t>
        </is>
      </c>
      <c r="D3868" s="156" t="inlineStr">
        <is>
          <t>SY430</t>
        </is>
      </c>
      <c r="E3868" s="156" t="inlineStr">
        <is>
          <t>DT Hauling</t>
        </is>
      </c>
      <c r="F3868" s="156" t="inlineStr"/>
      <c r="G3868" s="182" t="n">
        <v>0</v>
      </c>
      <c r="H3868" s="182" t="n">
        <v>0</v>
      </c>
      <c r="I3868" s="182" t="n">
        <v>12</v>
      </c>
      <c r="J3868" s="182" t="n">
        <v>12</v>
      </c>
      <c r="K3868" s="182" t="n">
        <v>0</v>
      </c>
      <c r="L3868" s="182" t="n">
        <v>12</v>
      </c>
      <c r="M3868" s="182" t="n">
        <v>0</v>
      </c>
      <c r="N3868" s="182" t="n">
        <v>0</v>
      </c>
      <c r="O3868" s="183" t="n">
        <v>0</v>
      </c>
      <c r="P3868" s="183" t="n">
        <v>0</v>
      </c>
      <c r="Q3868" s="184" t="n">
        <v>0</v>
      </c>
      <c r="R3868" s="184" t="n">
        <v>0</v>
      </c>
      <c r="S3868" s="183" t="n">
        <v>0</v>
      </c>
      <c r="T3868" s="183" t="n">
        <v>0</v>
      </c>
      <c r="U3868" s="182" t="n">
        <v>0</v>
      </c>
      <c r="V3868" s="182" t="n">
        <v>0</v>
      </c>
      <c r="W3868" s="182" t="n">
        <v>0</v>
      </c>
      <c r="X3868" s="182" t="n">
        <v>0</v>
      </c>
      <c r="Y3868" s="182" t="n">
        <v>0</v>
      </c>
      <c r="Z3868" s="182" t="n">
        <v>0</v>
      </c>
      <c r="AA3868" s="182" t="n">
        <v>0</v>
      </c>
      <c r="AB3868" s="182" t="n">
        <v>0</v>
      </c>
      <c r="AC3868" s="182" t="n">
        <v>0</v>
      </c>
      <c r="AD3868" s="182" t="n">
        <v>0</v>
      </c>
      <c r="AE3868" s="182" t="n">
        <v>0</v>
      </c>
      <c r="AF3868" s="182" t="n">
        <v>0</v>
      </c>
      <c r="AG3868" s="182" t="n">
        <v>0</v>
      </c>
      <c r="AH3868" s="182" t="n">
        <v>0</v>
      </c>
      <c r="AI3868" s="182" t="n">
        <v>0</v>
      </c>
      <c r="AJ3868" s="182" t="n">
        <v>0</v>
      </c>
      <c r="AK3868" s="182" t="n">
        <v>0</v>
      </c>
      <c r="AL3868" s="182" t="n">
        <v>0</v>
      </c>
      <c r="AM3868" s="182" t="n">
        <v>0</v>
      </c>
      <c r="AN3868" s="182" t="n">
        <v>0</v>
      </c>
    </row>
    <row r="3869">
      <c r="A3869" s="155" t="n">
        <v>46099</v>
      </c>
      <c r="B3869" s="156" t="inlineStr">
        <is>
          <t>NS</t>
        </is>
      </c>
      <c r="C3869" s="156" t="inlineStr">
        <is>
          <t>HT-401</t>
        </is>
      </c>
      <c r="D3869" s="156" t="inlineStr">
        <is>
          <t>SY430</t>
        </is>
      </c>
      <c r="E3869" s="156" t="inlineStr">
        <is>
          <t>DT Hauling</t>
        </is>
      </c>
      <c r="F3869" s="156" t="inlineStr"/>
      <c r="G3869" s="182" t="n">
        <v>0</v>
      </c>
      <c r="H3869" s="182" t="n">
        <v>0</v>
      </c>
      <c r="I3869" s="182" t="n">
        <v>0</v>
      </c>
      <c r="J3869" s="182" t="n">
        <v>0</v>
      </c>
      <c r="K3869" s="182" t="n">
        <v>12</v>
      </c>
      <c r="L3869" s="182" t="n">
        <v>12</v>
      </c>
      <c r="M3869" s="182" t="n">
        <v>0</v>
      </c>
      <c r="N3869" s="182" t="n">
        <v>0</v>
      </c>
      <c r="O3869" s="183" t="n">
        <v>0</v>
      </c>
      <c r="P3869" s="183" t="n">
        <v>0</v>
      </c>
      <c r="Q3869" s="184" t="n">
        <v>0</v>
      </c>
      <c r="R3869" s="184" t="n">
        <v>0</v>
      </c>
      <c r="S3869" s="183" t="n">
        <v>0</v>
      </c>
      <c r="T3869" s="183" t="n">
        <v>0</v>
      </c>
      <c r="U3869" s="182" t="n">
        <v>0</v>
      </c>
      <c r="V3869" s="182" t="n">
        <v>0</v>
      </c>
      <c r="W3869" s="182" t="n">
        <v>0</v>
      </c>
      <c r="X3869" s="182" t="n">
        <v>1</v>
      </c>
      <c r="Y3869" s="182" t="n">
        <v>0</v>
      </c>
      <c r="Z3869" s="182" t="n">
        <v>0</v>
      </c>
      <c r="AA3869" s="182" t="n">
        <v>0</v>
      </c>
      <c r="AB3869" s="182" t="n">
        <v>0</v>
      </c>
      <c r="AC3869" s="182" t="n">
        <v>0</v>
      </c>
      <c r="AD3869" s="182" t="n">
        <v>0</v>
      </c>
      <c r="AE3869" s="182" t="n">
        <v>0</v>
      </c>
      <c r="AF3869" s="182" t="n">
        <v>0</v>
      </c>
      <c r="AG3869" s="182" t="n">
        <v>0</v>
      </c>
      <c r="AH3869" s="182" t="n">
        <v>0</v>
      </c>
      <c r="AI3869" s="182" t="n">
        <v>0</v>
      </c>
      <c r="AJ3869" s="182" t="n">
        <v>0</v>
      </c>
      <c r="AK3869" s="182" t="n">
        <v>10.92</v>
      </c>
      <c r="AL3869" s="182" t="n">
        <v>0</v>
      </c>
      <c r="AM3869" s="182" t="n">
        <v>0.08</v>
      </c>
      <c r="AN3869" s="182" t="n">
        <v>0</v>
      </c>
    </row>
    <row r="3870">
      <c r="A3870" s="155" t="n">
        <v>46099</v>
      </c>
      <c r="B3870" s="156" t="inlineStr">
        <is>
          <t>NS</t>
        </is>
      </c>
      <c r="C3870" s="156" t="inlineStr">
        <is>
          <t>HT-410</t>
        </is>
      </c>
      <c r="D3870" s="156" t="inlineStr">
        <is>
          <t>SY430</t>
        </is>
      </c>
      <c r="E3870" s="156" t="inlineStr">
        <is>
          <t>DT Hauling</t>
        </is>
      </c>
      <c r="F3870" s="156" t="inlineStr"/>
      <c r="G3870" s="182" t="n">
        <v>0</v>
      </c>
      <c r="H3870" s="182" t="n">
        <v>0</v>
      </c>
      <c r="I3870" s="182" t="n">
        <v>0</v>
      </c>
      <c r="J3870" s="182" t="n">
        <v>0</v>
      </c>
      <c r="K3870" s="182" t="n">
        <v>12</v>
      </c>
      <c r="L3870" s="182" t="n">
        <v>12</v>
      </c>
      <c r="M3870" s="182" t="n">
        <v>0</v>
      </c>
      <c r="N3870" s="182" t="n">
        <v>0</v>
      </c>
      <c r="O3870" s="183" t="n">
        <v>0</v>
      </c>
      <c r="P3870" s="183" t="n">
        <v>0</v>
      </c>
      <c r="Q3870" s="184" t="n">
        <v>0</v>
      </c>
      <c r="R3870" s="184" t="n">
        <v>0</v>
      </c>
      <c r="S3870" s="183" t="n">
        <v>0</v>
      </c>
      <c r="T3870" s="183" t="n">
        <v>0</v>
      </c>
      <c r="U3870" s="182" t="n">
        <v>0</v>
      </c>
      <c r="V3870" s="182" t="n">
        <v>0</v>
      </c>
      <c r="W3870" s="182" t="n">
        <v>0</v>
      </c>
      <c r="X3870" s="182" t="n">
        <v>1</v>
      </c>
      <c r="Y3870" s="182" t="n">
        <v>0</v>
      </c>
      <c r="Z3870" s="182" t="n">
        <v>0</v>
      </c>
      <c r="AA3870" s="182" t="n">
        <v>0</v>
      </c>
      <c r="AB3870" s="182" t="n">
        <v>0</v>
      </c>
      <c r="AC3870" s="182" t="n">
        <v>0</v>
      </c>
      <c r="AD3870" s="182" t="n">
        <v>0</v>
      </c>
      <c r="AE3870" s="182" t="n">
        <v>0</v>
      </c>
      <c r="AF3870" s="182" t="n">
        <v>0</v>
      </c>
      <c r="AG3870" s="182" t="n">
        <v>0</v>
      </c>
      <c r="AH3870" s="182" t="n">
        <v>0</v>
      </c>
      <c r="AI3870" s="182" t="n">
        <v>0</v>
      </c>
      <c r="AJ3870" s="182" t="n">
        <v>0</v>
      </c>
      <c r="AK3870" s="182" t="n">
        <v>10.92</v>
      </c>
      <c r="AL3870" s="182" t="n">
        <v>0</v>
      </c>
      <c r="AM3870" s="182" t="n">
        <v>0.08</v>
      </c>
      <c r="AN3870" s="182" t="n">
        <v>0</v>
      </c>
    </row>
    <row r="3871">
      <c r="A3871" s="155" t="n">
        <v>46099</v>
      </c>
      <c r="B3871" s="156" t="inlineStr">
        <is>
          <t>NS</t>
        </is>
      </c>
      <c r="C3871" s="156" t="inlineStr">
        <is>
          <t>HT-402</t>
        </is>
      </c>
      <c r="D3871" s="156" t="inlineStr">
        <is>
          <t>SY430</t>
        </is>
      </c>
      <c r="E3871" s="156" t="inlineStr">
        <is>
          <t>DT Hauling</t>
        </is>
      </c>
      <c r="F3871" s="156" t="inlineStr"/>
      <c r="G3871" s="182" t="n">
        <v>0</v>
      </c>
      <c r="H3871" s="182" t="n">
        <v>0</v>
      </c>
      <c r="I3871" s="182" t="n">
        <v>0</v>
      </c>
      <c r="J3871" s="182" t="n">
        <v>0</v>
      </c>
      <c r="K3871" s="182" t="n">
        <v>12</v>
      </c>
      <c r="L3871" s="182" t="n">
        <v>12</v>
      </c>
      <c r="M3871" s="182" t="n">
        <v>0</v>
      </c>
      <c r="N3871" s="182" t="n">
        <v>0</v>
      </c>
      <c r="O3871" s="183" t="n">
        <v>0</v>
      </c>
      <c r="P3871" s="183" t="n">
        <v>0</v>
      </c>
      <c r="Q3871" s="184" t="n">
        <v>0</v>
      </c>
      <c r="R3871" s="184" t="n">
        <v>0</v>
      </c>
      <c r="S3871" s="183" t="n">
        <v>0</v>
      </c>
      <c r="T3871" s="183" t="n">
        <v>0</v>
      </c>
      <c r="U3871" s="182" t="n">
        <v>0</v>
      </c>
      <c r="V3871" s="182" t="n">
        <v>0</v>
      </c>
      <c r="W3871" s="182" t="n">
        <v>0</v>
      </c>
      <c r="X3871" s="182" t="n">
        <v>1</v>
      </c>
      <c r="Y3871" s="182" t="n">
        <v>0</v>
      </c>
      <c r="Z3871" s="182" t="n">
        <v>0</v>
      </c>
      <c r="AA3871" s="182" t="n">
        <v>0</v>
      </c>
      <c r="AB3871" s="182" t="n">
        <v>0</v>
      </c>
      <c r="AC3871" s="182" t="n">
        <v>0</v>
      </c>
      <c r="AD3871" s="182" t="n">
        <v>0</v>
      </c>
      <c r="AE3871" s="182" t="n">
        <v>0</v>
      </c>
      <c r="AF3871" s="182" t="n">
        <v>0</v>
      </c>
      <c r="AG3871" s="182" t="n">
        <v>0</v>
      </c>
      <c r="AH3871" s="182" t="n">
        <v>0</v>
      </c>
      <c r="AI3871" s="182" t="n">
        <v>0</v>
      </c>
      <c r="AJ3871" s="182" t="n">
        <v>0</v>
      </c>
      <c r="AK3871" s="182" t="n">
        <v>10.92</v>
      </c>
      <c r="AL3871" s="182" t="n">
        <v>0</v>
      </c>
      <c r="AM3871" s="182" t="n">
        <v>0.08</v>
      </c>
      <c r="AN3871" s="182" t="n">
        <v>0</v>
      </c>
    </row>
    <row r="3872">
      <c r="A3872" s="155" t="n">
        <v>46099</v>
      </c>
      <c r="B3872" s="156" t="inlineStr">
        <is>
          <t>NS</t>
        </is>
      </c>
      <c r="C3872" s="156" t="inlineStr">
        <is>
          <t>HT-419</t>
        </is>
      </c>
      <c r="D3872" s="156" t="inlineStr">
        <is>
          <t>SY430</t>
        </is>
      </c>
      <c r="E3872" s="156" t="inlineStr">
        <is>
          <t>DT Hauling</t>
        </is>
      </c>
      <c r="F3872" s="156" t="inlineStr"/>
      <c r="G3872" s="182" t="n">
        <v>0</v>
      </c>
      <c r="H3872" s="182" t="n">
        <v>0</v>
      </c>
      <c r="I3872" s="182" t="n">
        <v>0</v>
      </c>
      <c r="J3872" s="182" t="n">
        <v>0</v>
      </c>
      <c r="K3872" s="182" t="n">
        <v>12</v>
      </c>
      <c r="L3872" s="182" t="n">
        <v>12</v>
      </c>
      <c r="M3872" s="182" t="n">
        <v>0</v>
      </c>
      <c r="N3872" s="182" t="n">
        <v>0</v>
      </c>
      <c r="O3872" s="183" t="n">
        <v>0</v>
      </c>
      <c r="P3872" s="183" t="n">
        <v>0</v>
      </c>
      <c r="Q3872" s="184" t="n">
        <v>0</v>
      </c>
      <c r="R3872" s="184" t="n">
        <v>0</v>
      </c>
      <c r="S3872" s="183" t="n">
        <v>0</v>
      </c>
      <c r="T3872" s="183" t="n">
        <v>0</v>
      </c>
      <c r="U3872" s="182" t="n">
        <v>0</v>
      </c>
      <c r="V3872" s="182" t="n">
        <v>0</v>
      </c>
      <c r="W3872" s="182" t="n">
        <v>0</v>
      </c>
      <c r="X3872" s="182" t="n">
        <v>1</v>
      </c>
      <c r="Y3872" s="182" t="n">
        <v>0</v>
      </c>
      <c r="Z3872" s="182" t="n">
        <v>0</v>
      </c>
      <c r="AA3872" s="182" t="n">
        <v>0</v>
      </c>
      <c r="AB3872" s="182" t="n">
        <v>0</v>
      </c>
      <c r="AC3872" s="182" t="n">
        <v>0</v>
      </c>
      <c r="AD3872" s="182" t="n">
        <v>0</v>
      </c>
      <c r="AE3872" s="182" t="n">
        <v>0</v>
      </c>
      <c r="AF3872" s="182" t="n">
        <v>0</v>
      </c>
      <c r="AG3872" s="182" t="n">
        <v>0</v>
      </c>
      <c r="AH3872" s="182" t="n">
        <v>0</v>
      </c>
      <c r="AI3872" s="182" t="n">
        <v>0</v>
      </c>
      <c r="AJ3872" s="182" t="n">
        <v>0</v>
      </c>
      <c r="AK3872" s="182" t="n">
        <v>10.92</v>
      </c>
      <c r="AL3872" s="182" t="n">
        <v>0</v>
      </c>
      <c r="AM3872" s="182" t="n">
        <v>0.08</v>
      </c>
      <c r="AN3872" s="182" t="n">
        <v>0</v>
      </c>
    </row>
    <row r="3873">
      <c r="A3873" s="155" t="n">
        <v>46099</v>
      </c>
      <c r="B3873" s="156" t="inlineStr">
        <is>
          <t>NS</t>
        </is>
      </c>
      <c r="C3873" s="156" t="inlineStr">
        <is>
          <t>HT-416</t>
        </is>
      </c>
      <c r="D3873" s="156" t="inlineStr">
        <is>
          <t>SY430</t>
        </is>
      </c>
      <c r="E3873" s="156" t="inlineStr">
        <is>
          <t>DT Hauling</t>
        </is>
      </c>
      <c r="F3873" s="156" t="inlineStr"/>
      <c r="G3873" s="182" t="n">
        <v>0</v>
      </c>
      <c r="H3873" s="182" t="n">
        <v>0</v>
      </c>
      <c r="I3873" s="182" t="n">
        <v>0</v>
      </c>
      <c r="J3873" s="182" t="n">
        <v>0</v>
      </c>
      <c r="K3873" s="182" t="n">
        <v>12</v>
      </c>
      <c r="L3873" s="182" t="n">
        <v>12</v>
      </c>
      <c r="M3873" s="182" t="n">
        <v>0</v>
      </c>
      <c r="N3873" s="182" t="n">
        <v>0</v>
      </c>
      <c r="O3873" s="183" t="n">
        <v>0</v>
      </c>
      <c r="P3873" s="183" t="n">
        <v>0</v>
      </c>
      <c r="Q3873" s="184" t="n">
        <v>0</v>
      </c>
      <c r="R3873" s="184" t="n">
        <v>0</v>
      </c>
      <c r="S3873" s="183" t="n">
        <v>0</v>
      </c>
      <c r="T3873" s="183" t="n">
        <v>0</v>
      </c>
      <c r="U3873" s="182" t="n">
        <v>0</v>
      </c>
      <c r="V3873" s="182" t="n">
        <v>0</v>
      </c>
      <c r="W3873" s="182" t="n">
        <v>0</v>
      </c>
      <c r="X3873" s="182" t="n">
        <v>1</v>
      </c>
      <c r="Y3873" s="182" t="n">
        <v>0</v>
      </c>
      <c r="Z3873" s="182" t="n">
        <v>0</v>
      </c>
      <c r="AA3873" s="182" t="n">
        <v>0</v>
      </c>
      <c r="AB3873" s="182" t="n">
        <v>0</v>
      </c>
      <c r="AC3873" s="182" t="n">
        <v>0</v>
      </c>
      <c r="AD3873" s="182" t="n">
        <v>0</v>
      </c>
      <c r="AE3873" s="182" t="n">
        <v>0</v>
      </c>
      <c r="AF3873" s="182" t="n">
        <v>0</v>
      </c>
      <c r="AG3873" s="182" t="n">
        <v>0</v>
      </c>
      <c r="AH3873" s="182" t="n">
        <v>0</v>
      </c>
      <c r="AI3873" s="182" t="n">
        <v>0</v>
      </c>
      <c r="AJ3873" s="182" t="n">
        <v>0</v>
      </c>
      <c r="AK3873" s="182" t="n">
        <v>10.92</v>
      </c>
      <c r="AL3873" s="182" t="n">
        <v>0</v>
      </c>
      <c r="AM3873" s="182" t="n">
        <v>0.08</v>
      </c>
      <c r="AN3873" s="182" t="n">
        <v>0</v>
      </c>
    </row>
    <row r="3874">
      <c r="A3874" s="155" t="n">
        <v>46099</v>
      </c>
      <c r="B3874" s="156" t="inlineStr">
        <is>
          <t>NS</t>
        </is>
      </c>
      <c r="C3874" s="156" t="inlineStr">
        <is>
          <t>HT-420</t>
        </is>
      </c>
      <c r="D3874" s="156" t="inlineStr">
        <is>
          <t>SY430</t>
        </is>
      </c>
      <c r="E3874" s="156" t="inlineStr">
        <is>
          <t>DT Hauling</t>
        </is>
      </c>
      <c r="F3874" s="156" t="inlineStr"/>
      <c r="G3874" s="182" t="n">
        <v>0</v>
      </c>
      <c r="H3874" s="182" t="n">
        <v>0</v>
      </c>
      <c r="I3874" s="182" t="n">
        <v>0</v>
      </c>
      <c r="J3874" s="182" t="n">
        <v>0</v>
      </c>
      <c r="K3874" s="182" t="n">
        <v>12</v>
      </c>
      <c r="L3874" s="182" t="n">
        <v>12</v>
      </c>
      <c r="M3874" s="182" t="n">
        <v>0</v>
      </c>
      <c r="N3874" s="182" t="n">
        <v>0</v>
      </c>
      <c r="O3874" s="183" t="n">
        <v>0</v>
      </c>
      <c r="P3874" s="183" t="n">
        <v>0</v>
      </c>
      <c r="Q3874" s="184" t="n">
        <v>0</v>
      </c>
      <c r="R3874" s="184" t="n">
        <v>0</v>
      </c>
      <c r="S3874" s="183" t="n">
        <v>0</v>
      </c>
      <c r="T3874" s="183" t="n">
        <v>0</v>
      </c>
      <c r="U3874" s="182" t="n">
        <v>0</v>
      </c>
      <c r="V3874" s="182" t="n">
        <v>0</v>
      </c>
      <c r="W3874" s="182" t="n">
        <v>0</v>
      </c>
      <c r="X3874" s="182" t="n">
        <v>1</v>
      </c>
      <c r="Y3874" s="182" t="n">
        <v>0</v>
      </c>
      <c r="Z3874" s="182" t="n">
        <v>0</v>
      </c>
      <c r="AA3874" s="182" t="n">
        <v>0</v>
      </c>
      <c r="AB3874" s="182" t="n">
        <v>0</v>
      </c>
      <c r="AC3874" s="182" t="n">
        <v>0</v>
      </c>
      <c r="AD3874" s="182" t="n">
        <v>0</v>
      </c>
      <c r="AE3874" s="182" t="n">
        <v>0</v>
      </c>
      <c r="AF3874" s="182" t="n">
        <v>0</v>
      </c>
      <c r="AG3874" s="182" t="n">
        <v>0</v>
      </c>
      <c r="AH3874" s="182" t="n">
        <v>0</v>
      </c>
      <c r="AI3874" s="182" t="n">
        <v>0</v>
      </c>
      <c r="AJ3874" s="182" t="n">
        <v>0</v>
      </c>
      <c r="AK3874" s="182" t="n">
        <v>10.92</v>
      </c>
      <c r="AL3874" s="182" t="n">
        <v>0</v>
      </c>
      <c r="AM3874" s="182" t="n">
        <v>0.08</v>
      </c>
      <c r="AN3874" s="182" t="n">
        <v>0</v>
      </c>
    </row>
    <row r="3875">
      <c r="A3875" s="155" t="n">
        <v>46099</v>
      </c>
      <c r="B3875" s="156" t="inlineStr">
        <is>
          <t>NS</t>
        </is>
      </c>
      <c r="C3875" s="156" t="inlineStr">
        <is>
          <t>HT-403</t>
        </is>
      </c>
      <c r="D3875" s="156" t="inlineStr">
        <is>
          <t>SY430</t>
        </is>
      </c>
      <c r="E3875" s="156" t="inlineStr">
        <is>
          <t>DT Hauling</t>
        </is>
      </c>
      <c r="F3875" s="156" t="inlineStr"/>
      <c r="G3875" s="182" t="n">
        <v>0</v>
      </c>
      <c r="H3875" s="182" t="n">
        <v>0</v>
      </c>
      <c r="I3875" s="182" t="n">
        <v>0</v>
      </c>
      <c r="J3875" s="182" t="n">
        <v>0</v>
      </c>
      <c r="K3875" s="182" t="n">
        <v>12</v>
      </c>
      <c r="L3875" s="182" t="n">
        <v>12</v>
      </c>
      <c r="M3875" s="182" t="n">
        <v>0</v>
      </c>
      <c r="N3875" s="182" t="n">
        <v>0</v>
      </c>
      <c r="O3875" s="183" t="n">
        <v>0</v>
      </c>
      <c r="P3875" s="183" t="n">
        <v>0</v>
      </c>
      <c r="Q3875" s="184" t="n">
        <v>0</v>
      </c>
      <c r="R3875" s="184" t="n">
        <v>0</v>
      </c>
      <c r="S3875" s="183" t="n">
        <v>0</v>
      </c>
      <c r="T3875" s="183" t="n">
        <v>0</v>
      </c>
      <c r="U3875" s="182" t="n">
        <v>0</v>
      </c>
      <c r="V3875" s="182" t="n">
        <v>0</v>
      </c>
      <c r="W3875" s="182" t="n">
        <v>0</v>
      </c>
      <c r="X3875" s="182" t="n">
        <v>1</v>
      </c>
      <c r="Y3875" s="182" t="n">
        <v>0</v>
      </c>
      <c r="Z3875" s="182" t="n">
        <v>0</v>
      </c>
      <c r="AA3875" s="182" t="n">
        <v>0</v>
      </c>
      <c r="AB3875" s="182" t="n">
        <v>0</v>
      </c>
      <c r="AC3875" s="182" t="n">
        <v>0</v>
      </c>
      <c r="AD3875" s="182" t="n">
        <v>0</v>
      </c>
      <c r="AE3875" s="182" t="n">
        <v>0</v>
      </c>
      <c r="AF3875" s="182" t="n">
        <v>0</v>
      </c>
      <c r="AG3875" s="182" t="n">
        <v>0</v>
      </c>
      <c r="AH3875" s="182" t="n">
        <v>0</v>
      </c>
      <c r="AI3875" s="182" t="n">
        <v>0</v>
      </c>
      <c r="AJ3875" s="182" t="n">
        <v>0</v>
      </c>
      <c r="AK3875" s="182" t="n">
        <v>10.92</v>
      </c>
      <c r="AL3875" s="182" t="n">
        <v>0</v>
      </c>
      <c r="AM3875" s="182" t="n">
        <v>0.08</v>
      </c>
      <c r="AN3875" s="182" t="n">
        <v>0</v>
      </c>
    </row>
    <row r="3876">
      <c r="A3876" s="155" t="n">
        <v>46099</v>
      </c>
      <c r="B3876" s="156" t="inlineStr">
        <is>
          <t>NS</t>
        </is>
      </c>
      <c r="C3876" s="156" t="inlineStr">
        <is>
          <t>HT-408</t>
        </is>
      </c>
      <c r="D3876" s="156" t="inlineStr">
        <is>
          <t>SY430</t>
        </is>
      </c>
      <c r="E3876" s="156" t="inlineStr">
        <is>
          <t>DT Hauling</t>
        </is>
      </c>
      <c r="F3876" s="156" t="inlineStr"/>
      <c r="G3876" s="182" t="n">
        <v>0</v>
      </c>
      <c r="H3876" s="182" t="n">
        <v>0</v>
      </c>
      <c r="I3876" s="182" t="n">
        <v>0</v>
      </c>
      <c r="J3876" s="182" t="n">
        <v>0</v>
      </c>
      <c r="K3876" s="182" t="n">
        <v>12</v>
      </c>
      <c r="L3876" s="182" t="n">
        <v>12</v>
      </c>
      <c r="M3876" s="182" t="n">
        <v>0</v>
      </c>
      <c r="N3876" s="182" t="n">
        <v>0</v>
      </c>
      <c r="O3876" s="183" t="n">
        <v>0</v>
      </c>
      <c r="P3876" s="183" t="n">
        <v>0</v>
      </c>
      <c r="Q3876" s="184" t="n">
        <v>0</v>
      </c>
      <c r="R3876" s="184" t="n">
        <v>0</v>
      </c>
      <c r="S3876" s="183" t="n">
        <v>0</v>
      </c>
      <c r="T3876" s="183" t="n">
        <v>0</v>
      </c>
      <c r="U3876" s="182" t="n">
        <v>0</v>
      </c>
      <c r="V3876" s="182" t="n">
        <v>0</v>
      </c>
      <c r="W3876" s="182" t="n">
        <v>0</v>
      </c>
      <c r="X3876" s="182" t="n">
        <v>1</v>
      </c>
      <c r="Y3876" s="182" t="n">
        <v>0</v>
      </c>
      <c r="Z3876" s="182" t="n">
        <v>0</v>
      </c>
      <c r="AA3876" s="182" t="n">
        <v>0</v>
      </c>
      <c r="AB3876" s="182" t="n">
        <v>0</v>
      </c>
      <c r="AC3876" s="182" t="n">
        <v>0</v>
      </c>
      <c r="AD3876" s="182" t="n">
        <v>0</v>
      </c>
      <c r="AE3876" s="182" t="n">
        <v>0</v>
      </c>
      <c r="AF3876" s="182" t="n">
        <v>0</v>
      </c>
      <c r="AG3876" s="182" t="n">
        <v>0</v>
      </c>
      <c r="AH3876" s="182" t="n">
        <v>0</v>
      </c>
      <c r="AI3876" s="182" t="n">
        <v>0</v>
      </c>
      <c r="AJ3876" s="182" t="n">
        <v>0</v>
      </c>
      <c r="AK3876" s="182" t="n">
        <v>10.92</v>
      </c>
      <c r="AL3876" s="182" t="n">
        <v>0</v>
      </c>
      <c r="AM3876" s="182" t="n">
        <v>0.08</v>
      </c>
      <c r="AN3876" s="182" t="n">
        <v>0</v>
      </c>
    </row>
    <row r="3877">
      <c r="A3877" s="155" t="n">
        <v>46099</v>
      </c>
      <c r="B3877" s="156" t="inlineStr">
        <is>
          <t>NS</t>
        </is>
      </c>
      <c r="C3877" s="156" t="inlineStr">
        <is>
          <t>HT-412</t>
        </is>
      </c>
      <c r="D3877" s="156" t="inlineStr">
        <is>
          <t>SY430</t>
        </is>
      </c>
      <c r="E3877" s="156" t="inlineStr">
        <is>
          <t>DT Hauling</t>
        </is>
      </c>
      <c r="F3877" s="156" t="inlineStr"/>
      <c r="G3877" s="182" t="n">
        <v>0</v>
      </c>
      <c r="H3877" s="182" t="n">
        <v>0</v>
      </c>
      <c r="I3877" s="182" t="n">
        <v>0</v>
      </c>
      <c r="J3877" s="182" t="n">
        <v>0</v>
      </c>
      <c r="K3877" s="182" t="n">
        <v>12</v>
      </c>
      <c r="L3877" s="182" t="n">
        <v>12</v>
      </c>
      <c r="M3877" s="182" t="n">
        <v>0</v>
      </c>
      <c r="N3877" s="182" t="n">
        <v>0</v>
      </c>
      <c r="O3877" s="183" t="n">
        <v>0</v>
      </c>
      <c r="P3877" s="183" t="n">
        <v>0</v>
      </c>
      <c r="Q3877" s="184" t="n">
        <v>0</v>
      </c>
      <c r="R3877" s="184" t="n">
        <v>0</v>
      </c>
      <c r="S3877" s="183" t="n">
        <v>0</v>
      </c>
      <c r="T3877" s="183" t="n">
        <v>0</v>
      </c>
      <c r="U3877" s="182" t="n">
        <v>0</v>
      </c>
      <c r="V3877" s="182" t="n">
        <v>0</v>
      </c>
      <c r="W3877" s="182" t="n">
        <v>0</v>
      </c>
      <c r="X3877" s="182" t="n">
        <v>1</v>
      </c>
      <c r="Y3877" s="182" t="n">
        <v>0</v>
      </c>
      <c r="Z3877" s="182" t="n">
        <v>0</v>
      </c>
      <c r="AA3877" s="182" t="n">
        <v>0</v>
      </c>
      <c r="AB3877" s="182" t="n">
        <v>0</v>
      </c>
      <c r="AC3877" s="182" t="n">
        <v>0</v>
      </c>
      <c r="AD3877" s="182" t="n">
        <v>0</v>
      </c>
      <c r="AE3877" s="182" t="n">
        <v>0</v>
      </c>
      <c r="AF3877" s="182" t="n">
        <v>0</v>
      </c>
      <c r="AG3877" s="182" t="n">
        <v>0</v>
      </c>
      <c r="AH3877" s="182" t="n">
        <v>0</v>
      </c>
      <c r="AI3877" s="182" t="n">
        <v>0</v>
      </c>
      <c r="AJ3877" s="182" t="n">
        <v>0</v>
      </c>
      <c r="AK3877" s="182" t="n">
        <v>10.92</v>
      </c>
      <c r="AL3877" s="182" t="n">
        <v>0</v>
      </c>
      <c r="AM3877" s="182" t="n">
        <v>0.08</v>
      </c>
      <c r="AN3877" s="182" t="n">
        <v>0</v>
      </c>
    </row>
    <row r="3878">
      <c r="A3878" s="155" t="n">
        <v>46099</v>
      </c>
      <c r="B3878" s="156" t="inlineStr">
        <is>
          <t>NS</t>
        </is>
      </c>
      <c r="C3878" s="156" t="inlineStr">
        <is>
          <t>HT-413</t>
        </is>
      </c>
      <c r="D3878" s="156" t="inlineStr">
        <is>
          <t>SY430</t>
        </is>
      </c>
      <c r="E3878" s="156" t="inlineStr">
        <is>
          <t>DT Hauling</t>
        </is>
      </c>
      <c r="F3878" s="156" t="inlineStr"/>
      <c r="G3878" s="182" t="n">
        <v>0</v>
      </c>
      <c r="H3878" s="182" t="n">
        <v>0</v>
      </c>
      <c r="I3878" s="182" t="n">
        <v>12</v>
      </c>
      <c r="J3878" s="182" t="n">
        <v>12</v>
      </c>
      <c r="K3878" s="182" t="n">
        <v>0</v>
      </c>
      <c r="L3878" s="182" t="n">
        <v>12</v>
      </c>
      <c r="M3878" s="182" t="n">
        <v>0</v>
      </c>
      <c r="N3878" s="182" t="n">
        <v>0</v>
      </c>
      <c r="O3878" s="183" t="n">
        <v>0</v>
      </c>
      <c r="P3878" s="183" t="n">
        <v>0</v>
      </c>
      <c r="Q3878" s="184" t="n">
        <v>0</v>
      </c>
      <c r="R3878" s="184" t="n">
        <v>0</v>
      </c>
      <c r="S3878" s="183" t="n">
        <v>0</v>
      </c>
      <c r="T3878" s="183" t="n">
        <v>0</v>
      </c>
      <c r="U3878" s="182" t="n">
        <v>0</v>
      </c>
      <c r="V3878" s="182" t="n">
        <v>0</v>
      </c>
      <c r="W3878" s="182" t="n">
        <v>0</v>
      </c>
      <c r="X3878" s="182" t="n">
        <v>0</v>
      </c>
      <c r="Y3878" s="182" t="n">
        <v>0</v>
      </c>
      <c r="Z3878" s="182" t="n">
        <v>0</v>
      </c>
      <c r="AA3878" s="182" t="n">
        <v>0</v>
      </c>
      <c r="AB3878" s="182" t="n">
        <v>0</v>
      </c>
      <c r="AC3878" s="182" t="n">
        <v>0</v>
      </c>
      <c r="AD3878" s="182" t="n">
        <v>0</v>
      </c>
      <c r="AE3878" s="182" t="n">
        <v>0</v>
      </c>
      <c r="AF3878" s="182" t="n">
        <v>0</v>
      </c>
      <c r="AG3878" s="182" t="n">
        <v>0</v>
      </c>
      <c r="AH3878" s="182" t="n">
        <v>0</v>
      </c>
      <c r="AI3878" s="182" t="n">
        <v>0</v>
      </c>
      <c r="AJ3878" s="182" t="n">
        <v>0</v>
      </c>
      <c r="AK3878" s="182" t="n">
        <v>0</v>
      </c>
      <c r="AL3878" s="182" t="n">
        <v>0</v>
      </c>
      <c r="AM3878" s="182" t="n">
        <v>0</v>
      </c>
      <c r="AN3878" s="182" t="n">
        <v>0</v>
      </c>
    </row>
    <row r="3879">
      <c r="A3879" s="155" t="n">
        <v>46099</v>
      </c>
      <c r="B3879" s="156" t="inlineStr">
        <is>
          <t>NS</t>
        </is>
      </c>
      <c r="C3879" s="156" t="inlineStr">
        <is>
          <t>HT-407</t>
        </is>
      </c>
      <c r="D3879" s="156" t="inlineStr">
        <is>
          <t>SY430</t>
        </is>
      </c>
      <c r="E3879" s="156" t="inlineStr">
        <is>
          <t>DT Hauling</t>
        </is>
      </c>
      <c r="F3879" s="156" t="inlineStr"/>
      <c r="G3879" s="182" t="n">
        <v>0</v>
      </c>
      <c r="H3879" s="182" t="n">
        <v>0</v>
      </c>
      <c r="I3879" s="182" t="n">
        <v>0</v>
      </c>
      <c r="J3879" s="182" t="n">
        <v>0</v>
      </c>
      <c r="K3879" s="182" t="n">
        <v>12</v>
      </c>
      <c r="L3879" s="182" t="n">
        <v>12</v>
      </c>
      <c r="M3879" s="182" t="n">
        <v>0</v>
      </c>
      <c r="N3879" s="182" t="n">
        <v>0</v>
      </c>
      <c r="O3879" s="183" t="n">
        <v>0</v>
      </c>
      <c r="P3879" s="183" t="n">
        <v>0</v>
      </c>
      <c r="Q3879" s="184" t="n">
        <v>0</v>
      </c>
      <c r="R3879" s="184" t="n">
        <v>0</v>
      </c>
      <c r="S3879" s="183" t="n">
        <v>0</v>
      </c>
      <c r="T3879" s="183" t="n">
        <v>0</v>
      </c>
      <c r="U3879" s="182" t="n">
        <v>0</v>
      </c>
      <c r="V3879" s="182" t="n">
        <v>0</v>
      </c>
      <c r="W3879" s="182" t="n">
        <v>0</v>
      </c>
      <c r="X3879" s="182" t="n">
        <v>1</v>
      </c>
      <c r="Y3879" s="182" t="n">
        <v>0</v>
      </c>
      <c r="Z3879" s="182" t="n">
        <v>0</v>
      </c>
      <c r="AA3879" s="182" t="n">
        <v>0</v>
      </c>
      <c r="AB3879" s="182" t="n">
        <v>0</v>
      </c>
      <c r="AC3879" s="182" t="n">
        <v>0</v>
      </c>
      <c r="AD3879" s="182" t="n">
        <v>0</v>
      </c>
      <c r="AE3879" s="182" t="n">
        <v>0</v>
      </c>
      <c r="AF3879" s="182" t="n">
        <v>0</v>
      </c>
      <c r="AG3879" s="182" t="n">
        <v>0</v>
      </c>
      <c r="AH3879" s="182" t="n">
        <v>0</v>
      </c>
      <c r="AI3879" s="182" t="n">
        <v>0</v>
      </c>
      <c r="AJ3879" s="182" t="n">
        <v>0</v>
      </c>
      <c r="AK3879" s="182" t="n">
        <v>10.92</v>
      </c>
      <c r="AL3879" s="182" t="n">
        <v>0</v>
      </c>
      <c r="AM3879" s="182" t="n">
        <v>0.08</v>
      </c>
      <c r="AN3879" s="182" t="n">
        <v>0</v>
      </c>
    </row>
    <row r="3880">
      <c r="A3880" s="155" t="n">
        <v>46099</v>
      </c>
      <c r="B3880" s="156" t="inlineStr">
        <is>
          <t>NS</t>
        </is>
      </c>
      <c r="C3880" s="156" t="inlineStr">
        <is>
          <t>HT-414</t>
        </is>
      </c>
      <c r="D3880" s="156" t="inlineStr">
        <is>
          <t>SY430</t>
        </is>
      </c>
      <c r="E3880" s="156" t="inlineStr">
        <is>
          <t>DT Hauling</t>
        </is>
      </c>
      <c r="F3880" s="156" t="inlineStr"/>
      <c r="G3880" s="182" t="n">
        <v>0</v>
      </c>
      <c r="H3880" s="182" t="n">
        <v>0</v>
      </c>
      <c r="I3880" s="182" t="n">
        <v>0</v>
      </c>
      <c r="J3880" s="182" t="n">
        <v>0</v>
      </c>
      <c r="K3880" s="182" t="n">
        <v>12</v>
      </c>
      <c r="L3880" s="182" t="n">
        <v>12</v>
      </c>
      <c r="M3880" s="182" t="n">
        <v>0</v>
      </c>
      <c r="N3880" s="182" t="n">
        <v>0</v>
      </c>
      <c r="O3880" s="183" t="n">
        <v>0</v>
      </c>
      <c r="P3880" s="183" t="n">
        <v>0</v>
      </c>
      <c r="Q3880" s="184" t="n">
        <v>0</v>
      </c>
      <c r="R3880" s="184" t="n">
        <v>0</v>
      </c>
      <c r="S3880" s="183" t="n">
        <v>0</v>
      </c>
      <c r="T3880" s="183" t="n">
        <v>0</v>
      </c>
      <c r="U3880" s="182" t="n">
        <v>0</v>
      </c>
      <c r="V3880" s="182" t="n">
        <v>0</v>
      </c>
      <c r="W3880" s="182" t="n">
        <v>0</v>
      </c>
      <c r="X3880" s="182" t="n">
        <v>1</v>
      </c>
      <c r="Y3880" s="182" t="n">
        <v>0</v>
      </c>
      <c r="Z3880" s="182" t="n">
        <v>0</v>
      </c>
      <c r="AA3880" s="182" t="n">
        <v>0</v>
      </c>
      <c r="AB3880" s="182" t="n">
        <v>0</v>
      </c>
      <c r="AC3880" s="182" t="n">
        <v>0</v>
      </c>
      <c r="AD3880" s="182" t="n">
        <v>0</v>
      </c>
      <c r="AE3880" s="182" t="n">
        <v>0</v>
      </c>
      <c r="AF3880" s="182" t="n">
        <v>0</v>
      </c>
      <c r="AG3880" s="182" t="n">
        <v>0</v>
      </c>
      <c r="AH3880" s="182" t="n">
        <v>0</v>
      </c>
      <c r="AI3880" s="182" t="n">
        <v>0</v>
      </c>
      <c r="AJ3880" s="182" t="n">
        <v>0</v>
      </c>
      <c r="AK3880" s="182" t="n">
        <v>10.92</v>
      </c>
      <c r="AL3880" s="182" t="n">
        <v>0</v>
      </c>
      <c r="AM3880" s="182" t="n">
        <v>0.08</v>
      </c>
      <c r="AN3880" s="182" t="n">
        <v>0</v>
      </c>
    </row>
    <row r="3881">
      <c r="A3881" s="155" t="n">
        <v>46099</v>
      </c>
      <c r="B3881" s="156" t="inlineStr">
        <is>
          <t>NS</t>
        </is>
      </c>
      <c r="C3881" s="156" t="inlineStr">
        <is>
          <t>HT-411</t>
        </is>
      </c>
      <c r="D3881" s="156" t="inlineStr">
        <is>
          <t>SY430</t>
        </is>
      </c>
      <c r="E3881" s="156" t="inlineStr">
        <is>
          <t>DT Hauling</t>
        </is>
      </c>
      <c r="F3881" s="156" t="inlineStr"/>
      <c r="G3881" s="182" t="n">
        <v>0</v>
      </c>
      <c r="H3881" s="182" t="n">
        <v>0</v>
      </c>
      <c r="I3881" s="182" t="n">
        <v>0</v>
      </c>
      <c r="J3881" s="182" t="n">
        <v>0</v>
      </c>
      <c r="K3881" s="182" t="n">
        <v>12</v>
      </c>
      <c r="L3881" s="182" t="n">
        <v>12</v>
      </c>
      <c r="M3881" s="182" t="n">
        <v>0</v>
      </c>
      <c r="N3881" s="182" t="n">
        <v>0</v>
      </c>
      <c r="O3881" s="183" t="n">
        <v>0</v>
      </c>
      <c r="P3881" s="183" t="n">
        <v>0</v>
      </c>
      <c r="Q3881" s="184" t="n">
        <v>0</v>
      </c>
      <c r="R3881" s="184" t="n">
        <v>0</v>
      </c>
      <c r="S3881" s="183" t="n">
        <v>0</v>
      </c>
      <c r="T3881" s="183" t="n">
        <v>0</v>
      </c>
      <c r="U3881" s="182" t="n">
        <v>0</v>
      </c>
      <c r="V3881" s="182" t="n">
        <v>0</v>
      </c>
      <c r="W3881" s="182" t="n">
        <v>0</v>
      </c>
      <c r="X3881" s="182" t="n">
        <v>1</v>
      </c>
      <c r="Y3881" s="182" t="n">
        <v>0</v>
      </c>
      <c r="Z3881" s="182" t="n">
        <v>0</v>
      </c>
      <c r="AA3881" s="182" t="n">
        <v>0</v>
      </c>
      <c r="AB3881" s="182" t="n">
        <v>0</v>
      </c>
      <c r="AC3881" s="182" t="n">
        <v>0</v>
      </c>
      <c r="AD3881" s="182" t="n">
        <v>0</v>
      </c>
      <c r="AE3881" s="182" t="n">
        <v>0</v>
      </c>
      <c r="AF3881" s="182" t="n">
        <v>0</v>
      </c>
      <c r="AG3881" s="182" t="n">
        <v>0</v>
      </c>
      <c r="AH3881" s="182" t="n">
        <v>0</v>
      </c>
      <c r="AI3881" s="182" t="n">
        <v>0</v>
      </c>
      <c r="AJ3881" s="182" t="n">
        <v>0</v>
      </c>
      <c r="AK3881" s="182" t="n">
        <v>10.92</v>
      </c>
      <c r="AL3881" s="182" t="n">
        <v>0</v>
      </c>
      <c r="AM3881" s="182" t="n">
        <v>0.08</v>
      </c>
      <c r="AN3881" s="182" t="n">
        <v>0</v>
      </c>
    </row>
    <row r="3882">
      <c r="A3882" s="155" t="n">
        <v>46099</v>
      </c>
      <c r="B3882" s="156" t="inlineStr">
        <is>
          <t>NS</t>
        </is>
      </c>
      <c r="C3882" s="156" t="inlineStr">
        <is>
          <t>HT-409</t>
        </is>
      </c>
      <c r="D3882" s="156" t="inlineStr">
        <is>
          <t>SY430</t>
        </is>
      </c>
      <c r="E3882" s="156" t="inlineStr">
        <is>
          <t>DT Hauling</t>
        </is>
      </c>
      <c r="F3882" s="156" t="inlineStr"/>
      <c r="G3882" s="182" t="n">
        <v>0</v>
      </c>
      <c r="H3882" s="182" t="n">
        <v>0</v>
      </c>
      <c r="I3882" s="182" t="n">
        <v>0</v>
      </c>
      <c r="J3882" s="182" t="n">
        <v>0</v>
      </c>
      <c r="K3882" s="182" t="n">
        <v>12</v>
      </c>
      <c r="L3882" s="182" t="n">
        <v>12</v>
      </c>
      <c r="M3882" s="182" t="n">
        <v>0</v>
      </c>
      <c r="N3882" s="182" t="n">
        <v>0</v>
      </c>
      <c r="O3882" s="183" t="n">
        <v>0</v>
      </c>
      <c r="P3882" s="183" t="n">
        <v>0</v>
      </c>
      <c r="Q3882" s="184" t="n">
        <v>0</v>
      </c>
      <c r="R3882" s="184" t="n">
        <v>0</v>
      </c>
      <c r="S3882" s="183" t="n">
        <v>0</v>
      </c>
      <c r="T3882" s="183" t="n">
        <v>0</v>
      </c>
      <c r="U3882" s="182" t="n">
        <v>0</v>
      </c>
      <c r="V3882" s="182" t="n">
        <v>0</v>
      </c>
      <c r="W3882" s="182" t="n">
        <v>0</v>
      </c>
      <c r="X3882" s="182" t="n">
        <v>1</v>
      </c>
      <c r="Y3882" s="182" t="n">
        <v>0</v>
      </c>
      <c r="Z3882" s="182" t="n">
        <v>0</v>
      </c>
      <c r="AA3882" s="182" t="n">
        <v>0</v>
      </c>
      <c r="AB3882" s="182" t="n">
        <v>0</v>
      </c>
      <c r="AC3882" s="182" t="n">
        <v>0</v>
      </c>
      <c r="AD3882" s="182" t="n">
        <v>0</v>
      </c>
      <c r="AE3882" s="182" t="n">
        <v>0</v>
      </c>
      <c r="AF3882" s="182" t="n">
        <v>0</v>
      </c>
      <c r="AG3882" s="182" t="n">
        <v>0</v>
      </c>
      <c r="AH3882" s="182" t="n">
        <v>0</v>
      </c>
      <c r="AI3882" s="182" t="n">
        <v>0</v>
      </c>
      <c r="AJ3882" s="182" t="n">
        <v>0</v>
      </c>
      <c r="AK3882" s="182" t="n">
        <v>10.92</v>
      </c>
      <c r="AL3882" s="182" t="n">
        <v>0</v>
      </c>
      <c r="AM3882" s="182" t="n">
        <v>0.08</v>
      </c>
      <c r="AN3882" s="182" t="n">
        <v>0</v>
      </c>
    </row>
    <row r="3883">
      <c r="A3883" s="155" t="n">
        <v>46099</v>
      </c>
      <c r="B3883" s="156" t="inlineStr">
        <is>
          <t>NS</t>
        </is>
      </c>
      <c r="C3883" s="156" t="inlineStr">
        <is>
          <t>DH-103</t>
        </is>
      </c>
      <c r="D3883" s="156" t="inlineStr">
        <is>
          <t>HINO FM260</t>
        </is>
      </c>
      <c r="E3883" s="156" t="inlineStr">
        <is>
          <t>DT Hino</t>
        </is>
      </c>
      <c r="F3883" s="156" t="inlineStr"/>
      <c r="G3883" s="182" t="n">
        <v>0</v>
      </c>
      <c r="H3883" s="182" t="n">
        <v>0</v>
      </c>
      <c r="I3883" s="182" t="n">
        <v>12</v>
      </c>
      <c r="J3883" s="182" t="n">
        <v>12</v>
      </c>
      <c r="K3883" s="182" t="n">
        <v>0</v>
      </c>
      <c r="L3883" s="182" t="n">
        <v>12</v>
      </c>
      <c r="M3883" s="182" t="n">
        <v>0</v>
      </c>
      <c r="N3883" s="182" t="n">
        <v>0</v>
      </c>
      <c r="O3883" s="183" t="n">
        <v>0</v>
      </c>
      <c r="P3883" s="183" t="n">
        <v>0</v>
      </c>
      <c r="Q3883" s="184" t="n">
        <v>0</v>
      </c>
      <c r="R3883" s="184" t="n">
        <v>0</v>
      </c>
      <c r="S3883" s="183" t="n">
        <v>0</v>
      </c>
      <c r="T3883" s="183" t="n">
        <v>0</v>
      </c>
      <c r="U3883" s="182" t="n">
        <v>0</v>
      </c>
      <c r="V3883" s="182" t="n">
        <v>0</v>
      </c>
      <c r="W3883" s="182" t="n">
        <v>0</v>
      </c>
      <c r="X3883" s="182" t="n">
        <v>0</v>
      </c>
      <c r="Y3883" s="182" t="n">
        <v>0</v>
      </c>
      <c r="Z3883" s="182" t="n">
        <v>0</v>
      </c>
      <c r="AA3883" s="182" t="n">
        <v>0</v>
      </c>
      <c r="AB3883" s="182" t="n">
        <v>0</v>
      </c>
      <c r="AC3883" s="182" t="n">
        <v>0</v>
      </c>
      <c r="AD3883" s="182" t="n">
        <v>0</v>
      </c>
      <c r="AE3883" s="182" t="n">
        <v>0</v>
      </c>
      <c r="AF3883" s="182" t="n">
        <v>0</v>
      </c>
      <c r="AG3883" s="182" t="n">
        <v>0</v>
      </c>
      <c r="AH3883" s="182" t="n">
        <v>0</v>
      </c>
      <c r="AI3883" s="182" t="n">
        <v>0</v>
      </c>
      <c r="AJ3883" s="182" t="n">
        <v>0</v>
      </c>
      <c r="AK3883" s="182" t="n">
        <v>0</v>
      </c>
      <c r="AL3883" s="182" t="n">
        <v>0</v>
      </c>
      <c r="AM3883" s="182" t="n">
        <v>0</v>
      </c>
      <c r="AN3883" s="182" t="n">
        <v>0</v>
      </c>
    </row>
    <row r="3884">
      <c r="A3884" s="155" t="n">
        <v>46099</v>
      </c>
      <c r="B3884" s="156" t="inlineStr">
        <is>
          <t>NS</t>
        </is>
      </c>
      <c r="C3884" s="156" t="inlineStr">
        <is>
          <t>DH-102</t>
        </is>
      </c>
      <c r="D3884" s="156" t="inlineStr">
        <is>
          <t>HINO FM260</t>
        </is>
      </c>
      <c r="E3884" s="156" t="inlineStr">
        <is>
          <t>DT Hino</t>
        </is>
      </c>
      <c r="F3884" s="156" t="inlineStr"/>
      <c r="G3884" s="182" t="n">
        <v>0</v>
      </c>
      <c r="H3884" s="182" t="n">
        <v>0</v>
      </c>
      <c r="I3884" s="182" t="n">
        <v>0</v>
      </c>
      <c r="J3884" s="182" t="n">
        <v>0</v>
      </c>
      <c r="K3884" s="182" t="n">
        <v>12</v>
      </c>
      <c r="L3884" s="182" t="n">
        <v>12</v>
      </c>
      <c r="M3884" s="182" t="n">
        <v>0</v>
      </c>
      <c r="N3884" s="182" t="n">
        <v>0</v>
      </c>
      <c r="O3884" s="183" t="n">
        <v>0</v>
      </c>
      <c r="P3884" s="183" t="n">
        <v>0</v>
      </c>
      <c r="Q3884" s="184" t="n">
        <v>0</v>
      </c>
      <c r="R3884" s="184" t="n">
        <v>0</v>
      </c>
      <c r="S3884" s="183" t="n">
        <v>0</v>
      </c>
      <c r="T3884" s="183" t="n">
        <v>0</v>
      </c>
      <c r="U3884" s="182" t="n">
        <v>0</v>
      </c>
      <c r="V3884" s="182" t="n">
        <v>0</v>
      </c>
      <c r="W3884" s="182" t="n">
        <v>0</v>
      </c>
      <c r="X3884" s="182" t="n">
        <v>1</v>
      </c>
      <c r="Y3884" s="182" t="n">
        <v>0</v>
      </c>
      <c r="Z3884" s="182" t="n">
        <v>0</v>
      </c>
      <c r="AA3884" s="182" t="n">
        <v>0</v>
      </c>
      <c r="AB3884" s="182" t="n">
        <v>0</v>
      </c>
      <c r="AC3884" s="182" t="n">
        <v>0</v>
      </c>
      <c r="AD3884" s="182" t="n">
        <v>0</v>
      </c>
      <c r="AE3884" s="182" t="n">
        <v>0</v>
      </c>
      <c r="AF3884" s="182" t="n">
        <v>0</v>
      </c>
      <c r="AG3884" s="182" t="n">
        <v>0</v>
      </c>
      <c r="AH3884" s="182" t="n">
        <v>0</v>
      </c>
      <c r="AI3884" s="182" t="n">
        <v>0</v>
      </c>
      <c r="AJ3884" s="182" t="n">
        <v>0</v>
      </c>
      <c r="AK3884" s="182" t="n">
        <v>10.92</v>
      </c>
      <c r="AL3884" s="182" t="n">
        <v>0</v>
      </c>
      <c r="AM3884" s="182" t="n">
        <v>0.08</v>
      </c>
      <c r="AN3884" s="182" t="n">
        <v>0</v>
      </c>
    </row>
    <row r="3885">
      <c r="A3885" s="155" t="n">
        <v>46099</v>
      </c>
      <c r="B3885" s="156" t="inlineStr">
        <is>
          <t>NS</t>
        </is>
      </c>
      <c r="C3885" s="156" t="inlineStr">
        <is>
          <t>DH-101</t>
        </is>
      </c>
      <c r="D3885" s="156" t="inlineStr">
        <is>
          <t>HINO FM260</t>
        </is>
      </c>
      <c r="E3885" s="156" t="inlineStr">
        <is>
          <t>DT Hino</t>
        </is>
      </c>
      <c r="F3885" s="156" t="inlineStr"/>
      <c r="G3885" s="182" t="n">
        <v>0</v>
      </c>
      <c r="H3885" s="182" t="n">
        <v>0</v>
      </c>
      <c r="I3885" s="182" t="n">
        <v>0</v>
      </c>
      <c r="J3885" s="182" t="n">
        <v>0</v>
      </c>
      <c r="K3885" s="182" t="n">
        <v>12</v>
      </c>
      <c r="L3885" s="182" t="n">
        <v>12</v>
      </c>
      <c r="M3885" s="182" t="n">
        <v>0</v>
      </c>
      <c r="N3885" s="182" t="n">
        <v>0</v>
      </c>
      <c r="O3885" s="183" t="n">
        <v>0</v>
      </c>
      <c r="P3885" s="183" t="n">
        <v>0</v>
      </c>
      <c r="Q3885" s="184" t="n">
        <v>0</v>
      </c>
      <c r="R3885" s="184" t="n">
        <v>0</v>
      </c>
      <c r="S3885" s="183" t="n">
        <v>0</v>
      </c>
      <c r="T3885" s="183" t="n">
        <v>0</v>
      </c>
      <c r="U3885" s="182" t="n">
        <v>0</v>
      </c>
      <c r="V3885" s="182" t="n">
        <v>0</v>
      </c>
      <c r="W3885" s="182" t="n">
        <v>0</v>
      </c>
      <c r="X3885" s="182" t="n">
        <v>1</v>
      </c>
      <c r="Y3885" s="182" t="n">
        <v>0</v>
      </c>
      <c r="Z3885" s="182" t="n">
        <v>0</v>
      </c>
      <c r="AA3885" s="182" t="n">
        <v>0</v>
      </c>
      <c r="AB3885" s="182" t="n">
        <v>0</v>
      </c>
      <c r="AC3885" s="182" t="n">
        <v>0</v>
      </c>
      <c r="AD3885" s="182" t="n">
        <v>0</v>
      </c>
      <c r="AE3885" s="182" t="n">
        <v>0</v>
      </c>
      <c r="AF3885" s="182" t="n">
        <v>0</v>
      </c>
      <c r="AG3885" s="182" t="n">
        <v>0</v>
      </c>
      <c r="AH3885" s="182" t="n">
        <v>0</v>
      </c>
      <c r="AI3885" s="182" t="n">
        <v>0</v>
      </c>
      <c r="AJ3885" s="182" t="n">
        <v>0</v>
      </c>
      <c r="AK3885" s="182" t="n">
        <v>10.92</v>
      </c>
      <c r="AL3885" s="182" t="n">
        <v>0</v>
      </c>
      <c r="AM3885" s="182" t="n">
        <v>0.08</v>
      </c>
      <c r="AN3885" s="182" t="n">
        <v>0</v>
      </c>
    </row>
    <row r="3886">
      <c r="A3886" s="155" t="n">
        <v>46099</v>
      </c>
      <c r="B3886" s="156" t="inlineStr">
        <is>
          <t>NS</t>
        </is>
      </c>
      <c r="C3886" s="156" t="inlineStr">
        <is>
          <t>EX-1251</t>
        </is>
      </c>
      <c r="D3886" s="156" t="inlineStr">
        <is>
          <t>SY1250</t>
        </is>
      </c>
      <c r="E3886" s="156" t="inlineStr">
        <is>
          <t>Excavator</t>
        </is>
      </c>
      <c r="F3886" s="156" t="inlineStr">
        <is>
          <t>Loading OB</t>
        </is>
      </c>
      <c r="G3886" s="182" t="n">
        <v>10.93</v>
      </c>
      <c r="H3886" s="182" t="n">
        <v>0</v>
      </c>
      <c r="I3886" s="182" t="n">
        <v>0</v>
      </c>
      <c r="J3886" s="182" t="n">
        <v>0</v>
      </c>
      <c r="K3886" s="182" t="n">
        <v>1.07</v>
      </c>
      <c r="L3886" s="182" t="n">
        <v>12</v>
      </c>
      <c r="M3886" s="182" t="n">
        <v>10.75</v>
      </c>
      <c r="N3886" s="182" t="n">
        <v>0</v>
      </c>
      <c r="O3886" s="183" t="n">
        <v>218</v>
      </c>
      <c r="P3886" s="183" t="n">
        <v>0</v>
      </c>
      <c r="Q3886" s="184" t="n">
        <v>4508.4</v>
      </c>
      <c r="R3886" s="184" t="n">
        <v>0</v>
      </c>
      <c r="S3886" s="183" t="n">
        <v>0</v>
      </c>
      <c r="T3886" s="183" t="n">
        <v>0</v>
      </c>
      <c r="U3886" s="182" t="n">
        <v>0</v>
      </c>
      <c r="V3886" s="182" t="n">
        <v>0</v>
      </c>
      <c r="W3886" s="182" t="n">
        <v>0</v>
      </c>
      <c r="X3886" s="182" t="n">
        <v>0.95</v>
      </c>
      <c r="Y3886" s="182" t="n">
        <v>0</v>
      </c>
      <c r="Z3886" s="182" t="n">
        <v>0</v>
      </c>
      <c r="AA3886" s="182" t="n">
        <v>0</v>
      </c>
      <c r="AB3886" s="182" t="n">
        <v>0</v>
      </c>
      <c r="AC3886" s="182" t="n">
        <v>0</v>
      </c>
      <c r="AD3886" s="182" t="n">
        <v>0</v>
      </c>
      <c r="AE3886" s="182" t="n">
        <v>0</v>
      </c>
      <c r="AF3886" s="182" t="n">
        <v>0</v>
      </c>
      <c r="AG3886" s="182" t="n">
        <v>0</v>
      </c>
      <c r="AH3886" s="182" t="n">
        <v>0.05</v>
      </c>
      <c r="AI3886" s="182" t="n">
        <v>0</v>
      </c>
      <c r="AJ3886" s="182" t="n">
        <v>0</v>
      </c>
      <c r="AK3886" s="182" t="n">
        <v>0</v>
      </c>
      <c r="AL3886" s="182" t="n">
        <v>0</v>
      </c>
      <c r="AM3886" s="182" t="n">
        <v>0.08</v>
      </c>
      <c r="AN3886" s="182" t="n">
        <v>0</v>
      </c>
    </row>
    <row r="3887">
      <c r="A3887" s="155" t="n">
        <v>46099</v>
      </c>
      <c r="B3887" s="156" t="inlineStr">
        <is>
          <t>NS</t>
        </is>
      </c>
      <c r="C3887" s="156" t="inlineStr">
        <is>
          <t>EX-1252</t>
        </is>
      </c>
      <c r="D3887" s="156" t="inlineStr">
        <is>
          <t>SY1250</t>
        </is>
      </c>
      <c r="E3887" s="156" t="inlineStr">
        <is>
          <t>Excavator</t>
        </is>
      </c>
      <c r="F3887" s="156" t="inlineStr"/>
      <c r="G3887" s="182" t="n">
        <v>0</v>
      </c>
      <c r="H3887" s="182" t="n">
        <v>0</v>
      </c>
      <c r="I3887" s="182" t="n">
        <v>12</v>
      </c>
      <c r="J3887" s="182" t="n">
        <v>12</v>
      </c>
      <c r="K3887" s="182" t="n">
        <v>0</v>
      </c>
      <c r="L3887" s="182" t="n">
        <v>12</v>
      </c>
      <c r="M3887" s="182" t="n">
        <v>0</v>
      </c>
      <c r="N3887" s="182" t="n">
        <v>0</v>
      </c>
      <c r="O3887" s="183" t="n">
        <v>0</v>
      </c>
      <c r="P3887" s="183" t="n">
        <v>0</v>
      </c>
      <c r="Q3887" s="184" t="n">
        <v>0</v>
      </c>
      <c r="R3887" s="184" t="n">
        <v>0</v>
      </c>
      <c r="S3887" s="183" t="n">
        <v>0</v>
      </c>
      <c r="T3887" s="183" t="n">
        <v>0</v>
      </c>
      <c r="U3887" s="182" t="n">
        <v>0</v>
      </c>
      <c r="V3887" s="182" t="n">
        <v>0</v>
      </c>
      <c r="W3887" s="182" t="n">
        <v>0</v>
      </c>
      <c r="X3887" s="182" t="n">
        <v>0</v>
      </c>
      <c r="Y3887" s="182" t="n">
        <v>0</v>
      </c>
      <c r="Z3887" s="182" t="n">
        <v>0</v>
      </c>
      <c r="AA3887" s="182" t="n">
        <v>0</v>
      </c>
      <c r="AB3887" s="182" t="n">
        <v>0</v>
      </c>
      <c r="AC3887" s="182" t="n">
        <v>0</v>
      </c>
      <c r="AD3887" s="182" t="n">
        <v>0</v>
      </c>
      <c r="AE3887" s="182" t="n">
        <v>0</v>
      </c>
      <c r="AF3887" s="182" t="n">
        <v>0</v>
      </c>
      <c r="AG3887" s="182" t="n">
        <v>0</v>
      </c>
      <c r="AH3887" s="182" t="n">
        <v>0</v>
      </c>
      <c r="AI3887" s="182" t="n">
        <v>0</v>
      </c>
      <c r="AJ3887" s="182" t="n">
        <v>0</v>
      </c>
      <c r="AK3887" s="182" t="n">
        <v>0</v>
      </c>
      <c r="AL3887" s="182" t="n">
        <v>0</v>
      </c>
      <c r="AM3887" s="182" t="n">
        <v>0</v>
      </c>
      <c r="AN3887" s="182" t="n">
        <v>0</v>
      </c>
    </row>
    <row r="3888">
      <c r="A3888" s="155" t="n">
        <v>46099</v>
      </c>
      <c r="B3888" s="156" t="inlineStr">
        <is>
          <t>NS</t>
        </is>
      </c>
      <c r="C3888" s="156" t="inlineStr">
        <is>
          <t>EX-2101</t>
        </is>
      </c>
      <c r="D3888" s="156" t="inlineStr">
        <is>
          <t>SY2000</t>
        </is>
      </c>
      <c r="E3888" s="156" t="inlineStr">
        <is>
          <t>Excavator</t>
        </is>
      </c>
      <c r="F3888" s="156" t="inlineStr"/>
      <c r="G3888" s="182" t="n">
        <v>0</v>
      </c>
      <c r="H3888" s="182" t="n">
        <v>0</v>
      </c>
      <c r="I3888" s="182" t="n">
        <v>12</v>
      </c>
      <c r="J3888" s="182" t="n">
        <v>12</v>
      </c>
      <c r="K3888" s="182" t="n">
        <v>0</v>
      </c>
      <c r="L3888" s="182" t="n">
        <v>12</v>
      </c>
      <c r="M3888" s="182" t="n">
        <v>0</v>
      </c>
      <c r="N3888" s="182" t="n">
        <v>0</v>
      </c>
      <c r="O3888" s="183" t="n">
        <v>0</v>
      </c>
      <c r="P3888" s="183" t="n">
        <v>0</v>
      </c>
      <c r="Q3888" s="184" t="n">
        <v>0</v>
      </c>
      <c r="R3888" s="184" t="n">
        <v>0</v>
      </c>
      <c r="S3888" s="183" t="n">
        <v>0</v>
      </c>
      <c r="T3888" s="183" t="n">
        <v>0</v>
      </c>
      <c r="U3888" s="182" t="n">
        <v>0</v>
      </c>
      <c r="V3888" s="182" t="n">
        <v>0</v>
      </c>
      <c r="W3888" s="182" t="n">
        <v>0</v>
      </c>
      <c r="X3888" s="182" t="n">
        <v>0</v>
      </c>
      <c r="Y3888" s="182" t="n">
        <v>0</v>
      </c>
      <c r="Z3888" s="182" t="n">
        <v>0</v>
      </c>
      <c r="AA3888" s="182" t="n">
        <v>0</v>
      </c>
      <c r="AB3888" s="182" t="n">
        <v>0</v>
      </c>
      <c r="AC3888" s="182" t="n">
        <v>0</v>
      </c>
      <c r="AD3888" s="182" t="n">
        <v>0</v>
      </c>
      <c r="AE3888" s="182" t="n">
        <v>0</v>
      </c>
      <c r="AF3888" s="182" t="n">
        <v>0</v>
      </c>
      <c r="AG3888" s="182" t="n">
        <v>0</v>
      </c>
      <c r="AH3888" s="182" t="n">
        <v>0</v>
      </c>
      <c r="AI3888" s="182" t="n">
        <v>0</v>
      </c>
      <c r="AJ3888" s="182" t="n">
        <v>0</v>
      </c>
      <c r="AK3888" s="182" t="n">
        <v>0</v>
      </c>
      <c r="AL3888" s="182" t="n">
        <v>0</v>
      </c>
      <c r="AM3888" s="182" t="n">
        <v>0</v>
      </c>
      <c r="AN3888" s="182" t="n">
        <v>0</v>
      </c>
    </row>
    <row r="3889">
      <c r="A3889" s="155" t="n">
        <v>46099</v>
      </c>
      <c r="B3889" s="156" t="inlineStr">
        <is>
          <t>NS</t>
        </is>
      </c>
      <c r="C3889" s="156" t="inlineStr">
        <is>
          <t>EX-222</t>
        </is>
      </c>
      <c r="D3889" s="156" t="inlineStr">
        <is>
          <t>PC 200-8MI</t>
        </is>
      </c>
      <c r="E3889" s="156" t="inlineStr">
        <is>
          <t>Excavator</t>
        </is>
      </c>
      <c r="F3889" s="156" t="inlineStr">
        <is>
          <t>Support Washing Plant</t>
        </is>
      </c>
      <c r="G3889" s="182" t="n">
        <v>10.6</v>
      </c>
      <c r="H3889" s="182" t="n">
        <v>0</v>
      </c>
      <c r="I3889" s="182" t="n">
        <v>0</v>
      </c>
      <c r="J3889" s="182" t="n">
        <v>0</v>
      </c>
      <c r="K3889" s="182" t="n">
        <v>1.4</v>
      </c>
      <c r="L3889" s="182" t="n">
        <v>12</v>
      </c>
      <c r="M3889" s="182" t="n">
        <v>0</v>
      </c>
      <c r="N3889" s="182" t="n">
        <v>0</v>
      </c>
      <c r="O3889" s="183" t="n">
        <v>0</v>
      </c>
      <c r="P3889" s="183" t="n">
        <v>0</v>
      </c>
      <c r="Q3889" s="184" t="n">
        <v>0</v>
      </c>
      <c r="R3889" s="184" t="n">
        <v>0</v>
      </c>
      <c r="S3889" s="183" t="n">
        <v>0</v>
      </c>
      <c r="T3889" s="183" t="n">
        <v>0</v>
      </c>
      <c r="U3889" s="182" t="n">
        <v>0</v>
      </c>
      <c r="V3889" s="182" t="n">
        <v>0</v>
      </c>
      <c r="W3889" s="182" t="n">
        <v>0</v>
      </c>
      <c r="X3889" s="182" t="n">
        <v>1.17</v>
      </c>
      <c r="Y3889" s="182" t="n">
        <v>0</v>
      </c>
      <c r="Z3889" s="182" t="n">
        <v>0</v>
      </c>
      <c r="AA3889" s="182" t="n">
        <v>0</v>
      </c>
      <c r="AB3889" s="182" t="n">
        <v>0</v>
      </c>
      <c r="AC3889" s="182" t="n">
        <v>0</v>
      </c>
      <c r="AD3889" s="182" t="n">
        <v>0</v>
      </c>
      <c r="AE3889" s="182" t="n">
        <v>0</v>
      </c>
      <c r="AF3889" s="182" t="n">
        <v>0</v>
      </c>
      <c r="AG3889" s="182" t="n">
        <v>0</v>
      </c>
      <c r="AH3889" s="182" t="n">
        <v>0</v>
      </c>
      <c r="AI3889" s="182" t="n">
        <v>0</v>
      </c>
      <c r="AJ3889" s="182" t="n">
        <v>0</v>
      </c>
      <c r="AK3889" s="182" t="n">
        <v>0.14</v>
      </c>
      <c r="AL3889" s="182" t="n">
        <v>0</v>
      </c>
      <c r="AM3889" s="182" t="n">
        <v>0.09</v>
      </c>
      <c r="AN3889" s="182" t="n">
        <v>0</v>
      </c>
    </row>
    <row r="3890">
      <c r="A3890" s="155" t="n">
        <v>46099</v>
      </c>
      <c r="B3890" s="156" t="inlineStr">
        <is>
          <t>NS</t>
        </is>
      </c>
      <c r="C3890" s="156" t="inlineStr">
        <is>
          <t>EX-225</t>
        </is>
      </c>
      <c r="D3890" s="156" t="inlineStr">
        <is>
          <t>PC 200-8</t>
        </is>
      </c>
      <c r="E3890" s="156" t="inlineStr">
        <is>
          <t>Excavator</t>
        </is>
      </c>
      <c r="F3890" s="156" t="inlineStr"/>
      <c r="G3890" s="182" t="n">
        <v>0</v>
      </c>
      <c r="H3890" s="182" t="n">
        <v>0</v>
      </c>
      <c r="I3890" s="182" t="n">
        <v>12</v>
      </c>
      <c r="J3890" s="182" t="n">
        <v>12</v>
      </c>
      <c r="K3890" s="182" t="n">
        <v>0</v>
      </c>
      <c r="L3890" s="182" t="n">
        <v>12</v>
      </c>
      <c r="M3890" s="182" t="n">
        <v>0</v>
      </c>
      <c r="N3890" s="182" t="n">
        <v>0</v>
      </c>
      <c r="O3890" s="183" t="n">
        <v>0</v>
      </c>
      <c r="P3890" s="183" t="n">
        <v>0</v>
      </c>
      <c r="Q3890" s="184" t="n">
        <v>0</v>
      </c>
      <c r="R3890" s="184" t="n">
        <v>0</v>
      </c>
      <c r="S3890" s="183" t="n">
        <v>0</v>
      </c>
      <c r="T3890" s="183" t="n">
        <v>0</v>
      </c>
      <c r="U3890" s="182" t="n">
        <v>0</v>
      </c>
      <c r="V3890" s="182" t="n">
        <v>0</v>
      </c>
      <c r="W3890" s="182" t="n">
        <v>0</v>
      </c>
      <c r="X3890" s="182" t="n">
        <v>0</v>
      </c>
      <c r="Y3890" s="182" t="n">
        <v>0</v>
      </c>
      <c r="Z3890" s="182" t="n">
        <v>0</v>
      </c>
      <c r="AA3890" s="182" t="n">
        <v>0</v>
      </c>
      <c r="AB3890" s="182" t="n">
        <v>0</v>
      </c>
      <c r="AC3890" s="182" t="n">
        <v>0</v>
      </c>
      <c r="AD3890" s="182" t="n">
        <v>0</v>
      </c>
      <c r="AE3890" s="182" t="n">
        <v>0</v>
      </c>
      <c r="AF3890" s="182" t="n">
        <v>0</v>
      </c>
      <c r="AG3890" s="182" t="n">
        <v>0</v>
      </c>
      <c r="AH3890" s="182" t="n">
        <v>0</v>
      </c>
      <c r="AI3890" s="182" t="n">
        <v>0</v>
      </c>
      <c r="AJ3890" s="182" t="n">
        <v>0</v>
      </c>
      <c r="AK3890" s="182" t="n">
        <v>0</v>
      </c>
      <c r="AL3890" s="182" t="n">
        <v>0</v>
      </c>
      <c r="AM3890" s="182" t="n">
        <v>0</v>
      </c>
      <c r="AN3890" s="182" t="n">
        <v>0</v>
      </c>
    </row>
    <row r="3891">
      <c r="A3891" s="155" t="n">
        <v>46099</v>
      </c>
      <c r="B3891" s="156" t="inlineStr">
        <is>
          <t>NS</t>
        </is>
      </c>
      <c r="C3891" s="156" t="inlineStr">
        <is>
          <t>EX-223</t>
        </is>
      </c>
      <c r="D3891" s="156" t="inlineStr">
        <is>
          <t>PC 200-8MI</t>
        </is>
      </c>
      <c r="E3891" s="156" t="inlineStr">
        <is>
          <t>Excavator</t>
        </is>
      </c>
      <c r="F3891" s="156" t="inlineStr">
        <is>
          <t>Support Washing Plant</t>
        </is>
      </c>
      <c r="G3891" s="182" t="n">
        <v>12</v>
      </c>
      <c r="H3891" s="182" t="n">
        <v>0</v>
      </c>
      <c r="I3891" s="182" t="n">
        <v>0</v>
      </c>
      <c r="J3891" s="182" t="n">
        <v>0</v>
      </c>
      <c r="K3891" s="182" t="n">
        <v>0</v>
      </c>
      <c r="L3891" s="182" t="n">
        <v>12</v>
      </c>
      <c r="M3891" s="182" t="n">
        <v>0</v>
      </c>
      <c r="N3891" s="182" t="n">
        <v>0</v>
      </c>
      <c r="O3891" s="183" t="n">
        <v>0</v>
      </c>
      <c r="P3891" s="183" t="n">
        <v>0</v>
      </c>
      <c r="Q3891" s="184" t="n">
        <v>0</v>
      </c>
      <c r="R3891" s="184" t="n">
        <v>0</v>
      </c>
      <c r="S3891" s="183" t="n">
        <v>0</v>
      </c>
      <c r="T3891" s="183" t="n">
        <v>0</v>
      </c>
      <c r="U3891" s="182" t="n">
        <v>0</v>
      </c>
      <c r="V3891" s="182" t="n">
        <v>0</v>
      </c>
      <c r="W3891" s="182" t="n">
        <v>0</v>
      </c>
      <c r="X3891" s="182" t="n">
        <v>0</v>
      </c>
      <c r="Y3891" s="182" t="n">
        <v>0</v>
      </c>
      <c r="Z3891" s="182" t="n">
        <v>0</v>
      </c>
      <c r="AA3891" s="182" t="n">
        <v>0</v>
      </c>
      <c r="AB3891" s="182" t="n">
        <v>0</v>
      </c>
      <c r="AC3891" s="182" t="n">
        <v>0</v>
      </c>
      <c r="AD3891" s="182" t="n">
        <v>0</v>
      </c>
      <c r="AE3891" s="182" t="n">
        <v>0</v>
      </c>
      <c r="AF3891" s="182" t="n">
        <v>0</v>
      </c>
      <c r="AG3891" s="182" t="n">
        <v>0</v>
      </c>
      <c r="AH3891" s="182" t="n">
        <v>0</v>
      </c>
      <c r="AI3891" s="182" t="n">
        <v>0</v>
      </c>
      <c r="AJ3891" s="182" t="n">
        <v>0</v>
      </c>
      <c r="AK3891" s="182" t="n">
        <v>0</v>
      </c>
      <c r="AL3891" s="182" t="n">
        <v>0</v>
      </c>
      <c r="AM3891" s="182" t="n">
        <v>0</v>
      </c>
      <c r="AN3891" s="182" t="n">
        <v>0</v>
      </c>
    </row>
    <row r="3892">
      <c r="A3892" s="155" t="n">
        <v>46099</v>
      </c>
      <c r="B3892" s="156" t="inlineStr">
        <is>
          <t>NS</t>
        </is>
      </c>
      <c r="C3892" s="156" t="inlineStr">
        <is>
          <t>EX-221</t>
        </is>
      </c>
      <c r="D3892" s="156" t="inlineStr">
        <is>
          <t>PC 200-8MI</t>
        </is>
      </c>
      <c r="E3892" s="156" t="inlineStr">
        <is>
          <t>Excavator</t>
        </is>
      </c>
      <c r="F3892" s="156" t="inlineStr">
        <is>
          <t>General Jetty</t>
        </is>
      </c>
      <c r="G3892" s="182" t="n">
        <v>4.79</v>
      </c>
      <c r="H3892" s="182" t="n">
        <v>0</v>
      </c>
      <c r="I3892" s="182" t="n">
        <v>0</v>
      </c>
      <c r="J3892" s="182" t="n">
        <v>0</v>
      </c>
      <c r="K3892" s="182" t="n">
        <v>7.21</v>
      </c>
      <c r="L3892" s="182" t="n">
        <v>12</v>
      </c>
      <c r="M3892" s="182" t="n">
        <v>0</v>
      </c>
      <c r="N3892" s="182" t="n">
        <v>0</v>
      </c>
      <c r="O3892" s="183" t="n">
        <v>0</v>
      </c>
      <c r="P3892" s="183" t="n">
        <v>0</v>
      </c>
      <c r="Q3892" s="184" t="n">
        <v>0</v>
      </c>
      <c r="R3892" s="184" t="n">
        <v>0</v>
      </c>
      <c r="S3892" s="183" t="n">
        <v>0</v>
      </c>
      <c r="T3892" s="183" t="n">
        <v>0</v>
      </c>
      <c r="U3892" s="182" t="n">
        <v>0</v>
      </c>
      <c r="V3892" s="182" t="n">
        <v>0</v>
      </c>
      <c r="W3892" s="182" t="n">
        <v>0</v>
      </c>
      <c r="X3892" s="182" t="n">
        <v>0.96</v>
      </c>
      <c r="Y3892" s="182" t="n">
        <v>0</v>
      </c>
      <c r="Z3892" s="182" t="n">
        <v>0</v>
      </c>
      <c r="AA3892" s="182" t="n">
        <v>0</v>
      </c>
      <c r="AB3892" s="182" t="n">
        <v>0</v>
      </c>
      <c r="AC3892" s="182" t="n">
        <v>0</v>
      </c>
      <c r="AD3892" s="182" t="n">
        <v>0</v>
      </c>
      <c r="AE3892" s="182" t="n">
        <v>0</v>
      </c>
      <c r="AF3892" s="182" t="n">
        <v>0</v>
      </c>
      <c r="AG3892" s="182" t="n">
        <v>0</v>
      </c>
      <c r="AH3892" s="182" t="n">
        <v>0</v>
      </c>
      <c r="AI3892" s="182" t="n">
        <v>0</v>
      </c>
      <c r="AJ3892" s="182" t="n">
        <v>0</v>
      </c>
      <c r="AK3892" s="182" t="n">
        <v>6.17</v>
      </c>
      <c r="AL3892" s="182" t="n">
        <v>0</v>
      </c>
      <c r="AM3892" s="182" t="n">
        <v>0.08</v>
      </c>
      <c r="AN3892" s="182" t="n">
        <v>0</v>
      </c>
    </row>
    <row r="3893">
      <c r="A3893" s="155" t="n">
        <v>46099</v>
      </c>
      <c r="B3893" s="156" t="inlineStr">
        <is>
          <t>NS</t>
        </is>
      </c>
      <c r="C3893" s="156" t="inlineStr">
        <is>
          <t>EX-331</t>
        </is>
      </c>
      <c r="D3893" s="156" t="inlineStr">
        <is>
          <t>PC 300-8MO</t>
        </is>
      </c>
      <c r="E3893" s="156" t="inlineStr">
        <is>
          <t>Excavator</t>
        </is>
      </c>
      <c r="F3893" s="156" t="inlineStr"/>
      <c r="G3893" s="182" t="n">
        <v>0</v>
      </c>
      <c r="H3893" s="182" t="n">
        <v>0</v>
      </c>
      <c r="I3893" s="182" t="n">
        <v>12</v>
      </c>
      <c r="J3893" s="182" t="n">
        <v>12</v>
      </c>
      <c r="K3893" s="182" t="n">
        <v>0</v>
      </c>
      <c r="L3893" s="182" t="n">
        <v>12</v>
      </c>
      <c r="M3893" s="182" t="n">
        <v>0</v>
      </c>
      <c r="N3893" s="182" t="n">
        <v>0</v>
      </c>
      <c r="O3893" s="183" t="n">
        <v>0</v>
      </c>
      <c r="P3893" s="183" t="n">
        <v>0</v>
      </c>
      <c r="Q3893" s="184" t="n">
        <v>0</v>
      </c>
      <c r="R3893" s="184" t="n">
        <v>0</v>
      </c>
      <c r="S3893" s="183" t="n">
        <v>0</v>
      </c>
      <c r="T3893" s="183" t="n">
        <v>0</v>
      </c>
      <c r="U3893" s="182" t="n">
        <v>0</v>
      </c>
      <c r="V3893" s="182" t="n">
        <v>0</v>
      </c>
      <c r="W3893" s="182" t="n">
        <v>0</v>
      </c>
      <c r="X3893" s="182" t="n">
        <v>0</v>
      </c>
      <c r="Y3893" s="182" t="n">
        <v>0</v>
      </c>
      <c r="Z3893" s="182" t="n">
        <v>0</v>
      </c>
      <c r="AA3893" s="182" t="n">
        <v>0</v>
      </c>
      <c r="AB3893" s="182" t="n">
        <v>0</v>
      </c>
      <c r="AC3893" s="182" t="n">
        <v>0</v>
      </c>
      <c r="AD3893" s="182" t="n">
        <v>0</v>
      </c>
      <c r="AE3893" s="182" t="n">
        <v>0</v>
      </c>
      <c r="AF3893" s="182" t="n">
        <v>0</v>
      </c>
      <c r="AG3893" s="182" t="n">
        <v>0</v>
      </c>
      <c r="AH3893" s="182" t="n">
        <v>0</v>
      </c>
      <c r="AI3893" s="182" t="n">
        <v>0</v>
      </c>
      <c r="AJ3893" s="182" t="n">
        <v>0</v>
      </c>
      <c r="AK3893" s="182" t="n">
        <v>0</v>
      </c>
      <c r="AL3893" s="182" t="n">
        <v>0</v>
      </c>
      <c r="AM3893" s="182" t="n">
        <v>0</v>
      </c>
      <c r="AN3893" s="182" t="n">
        <v>0</v>
      </c>
    </row>
    <row r="3894">
      <c r="A3894" s="155" t="n">
        <v>46099</v>
      </c>
      <c r="B3894" s="156" t="inlineStr">
        <is>
          <t>NS</t>
        </is>
      </c>
      <c r="C3894" s="156" t="inlineStr">
        <is>
          <t>EX-334</t>
        </is>
      </c>
      <c r="D3894" s="156" t="inlineStr">
        <is>
          <t>PC 300-8MO</t>
        </is>
      </c>
      <c r="E3894" s="156" t="inlineStr">
        <is>
          <t>Excavator</t>
        </is>
      </c>
      <c r="F3894" s="156" t="inlineStr">
        <is>
          <t>General Support PIT</t>
        </is>
      </c>
      <c r="G3894" s="182" t="n">
        <v>10.35</v>
      </c>
      <c r="H3894" s="182" t="n">
        <v>0</v>
      </c>
      <c r="I3894" s="182" t="n">
        <v>0</v>
      </c>
      <c r="J3894" s="182" t="n">
        <v>0</v>
      </c>
      <c r="K3894" s="182" t="n">
        <v>1.65</v>
      </c>
      <c r="L3894" s="182" t="n">
        <v>12</v>
      </c>
      <c r="M3894" s="182" t="n">
        <v>0</v>
      </c>
      <c r="N3894" s="182" t="n">
        <v>0</v>
      </c>
      <c r="O3894" s="183" t="n">
        <v>0</v>
      </c>
      <c r="P3894" s="183" t="n">
        <v>0</v>
      </c>
      <c r="Q3894" s="184" t="n">
        <v>0</v>
      </c>
      <c r="R3894" s="184" t="n">
        <v>0</v>
      </c>
      <c r="S3894" s="183" t="n">
        <v>0</v>
      </c>
      <c r="T3894" s="183" t="n">
        <v>0</v>
      </c>
      <c r="U3894" s="182" t="n">
        <v>0</v>
      </c>
      <c r="V3894" s="182" t="n">
        <v>0</v>
      </c>
      <c r="W3894" s="182" t="n">
        <v>0</v>
      </c>
      <c r="X3894" s="182" t="n">
        <v>0.92</v>
      </c>
      <c r="Y3894" s="182" t="n">
        <v>0</v>
      </c>
      <c r="Z3894" s="182" t="n">
        <v>0</v>
      </c>
      <c r="AA3894" s="182" t="n">
        <v>0</v>
      </c>
      <c r="AB3894" s="182" t="n">
        <v>0</v>
      </c>
      <c r="AC3894" s="182" t="n">
        <v>0</v>
      </c>
      <c r="AD3894" s="182" t="n">
        <v>0</v>
      </c>
      <c r="AE3894" s="182" t="n">
        <v>0</v>
      </c>
      <c r="AF3894" s="182" t="n">
        <v>0</v>
      </c>
      <c r="AG3894" s="182" t="n">
        <v>0</v>
      </c>
      <c r="AH3894" s="182" t="n">
        <v>0</v>
      </c>
      <c r="AI3894" s="182" t="n">
        <v>0</v>
      </c>
      <c r="AJ3894" s="182" t="n">
        <v>0</v>
      </c>
      <c r="AK3894" s="182" t="n">
        <v>0.66</v>
      </c>
      <c r="AL3894" s="182" t="n">
        <v>0</v>
      </c>
      <c r="AM3894" s="182" t="n">
        <v>0.07000000000000001</v>
      </c>
      <c r="AN3894" s="182" t="n">
        <v>0</v>
      </c>
    </row>
    <row r="3895">
      <c r="A3895" s="155" t="n">
        <v>46099</v>
      </c>
      <c r="B3895" s="156" t="inlineStr">
        <is>
          <t>NS</t>
        </is>
      </c>
      <c r="C3895" s="156" t="inlineStr">
        <is>
          <t>EX-332</t>
        </is>
      </c>
      <c r="D3895" s="156" t="inlineStr">
        <is>
          <t>PC 300-8MO</t>
        </is>
      </c>
      <c r="E3895" s="156" t="inlineStr">
        <is>
          <t>Excavator</t>
        </is>
      </c>
      <c r="F3895" s="156" t="inlineStr"/>
      <c r="G3895" s="182" t="n">
        <v>0</v>
      </c>
      <c r="H3895" s="182" t="n">
        <v>0</v>
      </c>
      <c r="I3895" s="182" t="n">
        <v>12</v>
      </c>
      <c r="J3895" s="182" t="n">
        <v>12</v>
      </c>
      <c r="K3895" s="182" t="n">
        <v>0</v>
      </c>
      <c r="L3895" s="182" t="n">
        <v>12</v>
      </c>
      <c r="M3895" s="182" t="n">
        <v>0</v>
      </c>
      <c r="N3895" s="182" t="n">
        <v>0</v>
      </c>
      <c r="O3895" s="183" t="n">
        <v>0</v>
      </c>
      <c r="P3895" s="183" t="n">
        <v>0</v>
      </c>
      <c r="Q3895" s="184" t="n">
        <v>0</v>
      </c>
      <c r="R3895" s="184" t="n">
        <v>0</v>
      </c>
      <c r="S3895" s="183" t="n">
        <v>0</v>
      </c>
      <c r="T3895" s="183" t="n">
        <v>0</v>
      </c>
      <c r="U3895" s="182" t="n">
        <v>0</v>
      </c>
      <c r="V3895" s="182" t="n">
        <v>0</v>
      </c>
      <c r="W3895" s="182" t="n">
        <v>0</v>
      </c>
      <c r="X3895" s="182" t="n">
        <v>0</v>
      </c>
      <c r="Y3895" s="182" t="n">
        <v>0</v>
      </c>
      <c r="Z3895" s="182" t="n">
        <v>0</v>
      </c>
      <c r="AA3895" s="182" t="n">
        <v>0</v>
      </c>
      <c r="AB3895" s="182" t="n">
        <v>0</v>
      </c>
      <c r="AC3895" s="182" t="n">
        <v>0</v>
      </c>
      <c r="AD3895" s="182" t="n">
        <v>0</v>
      </c>
      <c r="AE3895" s="182" t="n">
        <v>0</v>
      </c>
      <c r="AF3895" s="182" t="n">
        <v>0</v>
      </c>
      <c r="AG3895" s="182" t="n">
        <v>0</v>
      </c>
      <c r="AH3895" s="182" t="n">
        <v>0</v>
      </c>
      <c r="AI3895" s="182" t="n">
        <v>0</v>
      </c>
      <c r="AJ3895" s="182" t="n">
        <v>0</v>
      </c>
      <c r="AK3895" s="182" t="n">
        <v>0</v>
      </c>
      <c r="AL3895" s="182" t="n">
        <v>0</v>
      </c>
      <c r="AM3895" s="182" t="n">
        <v>0</v>
      </c>
      <c r="AN3895" s="182" t="n">
        <v>0</v>
      </c>
    </row>
    <row r="3896">
      <c r="A3896" s="155" t="n">
        <v>46099</v>
      </c>
      <c r="B3896" s="156" t="inlineStr">
        <is>
          <t>NS</t>
        </is>
      </c>
      <c r="C3896" s="156" t="inlineStr">
        <is>
          <t>EX-333</t>
        </is>
      </c>
      <c r="D3896" s="156" t="inlineStr">
        <is>
          <t>PC 300-8MO</t>
        </is>
      </c>
      <c r="E3896" s="156" t="inlineStr">
        <is>
          <t>Excavator</t>
        </is>
      </c>
      <c r="F3896" s="156" t="inlineStr">
        <is>
          <t>Cleaning Coal</t>
        </is>
      </c>
      <c r="G3896" s="182" t="n">
        <v>6.45</v>
      </c>
      <c r="H3896" s="182" t="n">
        <v>0</v>
      </c>
      <c r="I3896" s="182" t="n">
        <v>2.47</v>
      </c>
      <c r="J3896" s="182" t="n">
        <v>2.47</v>
      </c>
      <c r="K3896" s="182" t="n">
        <v>3.08</v>
      </c>
      <c r="L3896" s="182" t="n">
        <v>12</v>
      </c>
      <c r="M3896" s="182" t="n">
        <v>0</v>
      </c>
      <c r="N3896" s="182" t="n">
        <v>0</v>
      </c>
      <c r="O3896" s="183" t="n">
        <v>0</v>
      </c>
      <c r="P3896" s="183" t="n">
        <v>0</v>
      </c>
      <c r="Q3896" s="184" t="n">
        <v>0</v>
      </c>
      <c r="R3896" s="184" t="n">
        <v>0</v>
      </c>
      <c r="S3896" s="183" t="n">
        <v>0</v>
      </c>
      <c r="T3896" s="183" t="n">
        <v>0</v>
      </c>
      <c r="U3896" s="182" t="n">
        <v>0</v>
      </c>
      <c r="V3896" s="182" t="n">
        <v>0</v>
      </c>
      <c r="W3896" s="182" t="n">
        <v>0</v>
      </c>
      <c r="X3896" s="182" t="n">
        <v>0.95</v>
      </c>
      <c r="Y3896" s="182" t="n">
        <v>0</v>
      </c>
      <c r="Z3896" s="182" t="n">
        <v>0</v>
      </c>
      <c r="AA3896" s="182" t="n">
        <v>0</v>
      </c>
      <c r="AB3896" s="182" t="n">
        <v>0</v>
      </c>
      <c r="AC3896" s="182" t="n">
        <v>0</v>
      </c>
      <c r="AD3896" s="182" t="n">
        <v>0</v>
      </c>
      <c r="AE3896" s="182" t="n">
        <v>0</v>
      </c>
      <c r="AF3896" s="182" t="n">
        <v>0</v>
      </c>
      <c r="AG3896" s="182" t="n">
        <v>0</v>
      </c>
      <c r="AH3896" s="182" t="n">
        <v>0</v>
      </c>
      <c r="AI3896" s="182" t="n">
        <v>0</v>
      </c>
      <c r="AJ3896" s="182" t="n">
        <v>0</v>
      </c>
      <c r="AK3896" s="182" t="n">
        <v>2.05</v>
      </c>
      <c r="AL3896" s="182" t="n">
        <v>0</v>
      </c>
      <c r="AM3896" s="182" t="n">
        <v>0.08</v>
      </c>
      <c r="AN3896" s="182" t="n">
        <v>0</v>
      </c>
    </row>
    <row r="3897">
      <c r="A3897" s="155" t="n">
        <v>46099</v>
      </c>
      <c r="B3897" s="156" t="inlineStr">
        <is>
          <t>NS</t>
        </is>
      </c>
      <c r="C3897" s="156" t="inlineStr">
        <is>
          <t>EX-336</t>
        </is>
      </c>
      <c r="D3897" s="156" t="inlineStr">
        <is>
          <t>PC 300-8MO</t>
        </is>
      </c>
      <c r="E3897" s="156" t="inlineStr">
        <is>
          <t>Excavator</t>
        </is>
      </c>
      <c r="F3897" s="156" t="inlineStr">
        <is>
          <t>General PIT</t>
        </is>
      </c>
      <c r="G3897" s="182" t="n">
        <v>10.24</v>
      </c>
      <c r="H3897" s="182" t="n">
        <v>0</v>
      </c>
      <c r="I3897" s="182" t="n">
        <v>0.42</v>
      </c>
      <c r="J3897" s="182" t="n">
        <v>0.42</v>
      </c>
      <c r="K3897" s="182" t="n">
        <v>1.34</v>
      </c>
      <c r="L3897" s="182" t="n">
        <v>12</v>
      </c>
      <c r="M3897" s="182" t="n">
        <v>0</v>
      </c>
      <c r="N3897" s="182" t="n">
        <v>0</v>
      </c>
      <c r="O3897" s="183" t="n">
        <v>0</v>
      </c>
      <c r="P3897" s="183" t="n">
        <v>0</v>
      </c>
      <c r="Q3897" s="184" t="n">
        <v>0</v>
      </c>
      <c r="R3897" s="184" t="n">
        <v>0</v>
      </c>
      <c r="S3897" s="183" t="n">
        <v>0</v>
      </c>
      <c r="T3897" s="183" t="n">
        <v>0</v>
      </c>
      <c r="U3897" s="182" t="n">
        <v>0</v>
      </c>
      <c r="V3897" s="182" t="n">
        <v>0</v>
      </c>
      <c r="W3897" s="182" t="n">
        <v>0</v>
      </c>
      <c r="X3897" s="182" t="n">
        <v>0.85</v>
      </c>
      <c r="Y3897" s="182" t="n">
        <v>0</v>
      </c>
      <c r="Z3897" s="182" t="n">
        <v>0</v>
      </c>
      <c r="AA3897" s="182" t="n">
        <v>0</v>
      </c>
      <c r="AB3897" s="182" t="n">
        <v>0</v>
      </c>
      <c r="AC3897" s="182" t="n">
        <v>0</v>
      </c>
      <c r="AD3897" s="182" t="n">
        <v>0</v>
      </c>
      <c r="AE3897" s="182" t="n">
        <v>0</v>
      </c>
      <c r="AF3897" s="182" t="n">
        <v>0</v>
      </c>
      <c r="AG3897" s="182" t="n">
        <v>0</v>
      </c>
      <c r="AH3897" s="182" t="n">
        <v>0</v>
      </c>
      <c r="AI3897" s="182" t="n">
        <v>0</v>
      </c>
      <c r="AJ3897" s="182" t="n">
        <v>0</v>
      </c>
      <c r="AK3897" s="182" t="n">
        <v>0.42</v>
      </c>
      <c r="AL3897" s="182" t="n">
        <v>0</v>
      </c>
      <c r="AM3897" s="182" t="n">
        <v>0.07000000000000001</v>
      </c>
      <c r="AN3897" s="182" t="n">
        <v>0</v>
      </c>
    </row>
    <row r="3898">
      <c r="A3898" s="155" t="n">
        <v>46099</v>
      </c>
      <c r="B3898" s="156" t="inlineStr">
        <is>
          <t>NS</t>
        </is>
      </c>
      <c r="C3898" s="156" t="inlineStr">
        <is>
          <t>EX-335</t>
        </is>
      </c>
      <c r="D3898" s="156" t="inlineStr">
        <is>
          <t>PC 300-8MO</t>
        </is>
      </c>
      <c r="E3898" s="156" t="inlineStr">
        <is>
          <t>Excavator</t>
        </is>
      </c>
      <c r="F3898" s="156" t="inlineStr">
        <is>
          <t>Loading Coal S60 &amp; Cleaning Coal</t>
        </is>
      </c>
      <c r="G3898" s="182" t="n">
        <v>11.23</v>
      </c>
      <c r="H3898" s="182" t="n">
        <v>0</v>
      </c>
      <c r="I3898" s="182" t="n">
        <v>0</v>
      </c>
      <c r="J3898" s="182" t="n">
        <v>0</v>
      </c>
      <c r="K3898" s="182" t="n">
        <v>0.77</v>
      </c>
      <c r="L3898" s="182" t="n">
        <v>12</v>
      </c>
      <c r="M3898" s="182" t="n">
        <v>0</v>
      </c>
      <c r="N3898" s="182" t="n">
        <v>4.42</v>
      </c>
      <c r="O3898" s="183" t="n">
        <v>0</v>
      </c>
      <c r="P3898" s="183" t="n">
        <v>25</v>
      </c>
      <c r="Q3898" s="184" t="n">
        <v>0</v>
      </c>
      <c r="R3898" s="184" t="n">
        <v>382.5</v>
      </c>
      <c r="S3898" s="183" t="n">
        <v>0</v>
      </c>
      <c r="T3898" s="183" t="n">
        <v>0</v>
      </c>
      <c r="U3898" s="182" t="n">
        <v>0</v>
      </c>
      <c r="V3898" s="182" t="n">
        <v>0</v>
      </c>
      <c r="W3898" s="182" t="n">
        <v>0</v>
      </c>
      <c r="X3898" s="182" t="n">
        <v>0.71</v>
      </c>
      <c r="Y3898" s="182" t="n">
        <v>0</v>
      </c>
      <c r="Z3898" s="182" t="n">
        <v>0</v>
      </c>
      <c r="AA3898" s="182" t="n">
        <v>0</v>
      </c>
      <c r="AB3898" s="182" t="n">
        <v>0</v>
      </c>
      <c r="AC3898" s="182" t="n">
        <v>0</v>
      </c>
      <c r="AD3898" s="182" t="n">
        <v>0</v>
      </c>
      <c r="AE3898" s="182" t="n">
        <v>0</v>
      </c>
      <c r="AF3898" s="182" t="n">
        <v>0</v>
      </c>
      <c r="AG3898" s="182" t="n">
        <v>0</v>
      </c>
      <c r="AH3898" s="182" t="n">
        <v>0</v>
      </c>
      <c r="AI3898" s="182" t="n">
        <v>0</v>
      </c>
      <c r="AJ3898" s="182" t="n">
        <v>0</v>
      </c>
      <c r="AK3898" s="182" t="n">
        <v>0</v>
      </c>
      <c r="AL3898" s="182" t="n">
        <v>0</v>
      </c>
      <c r="AM3898" s="182" t="n">
        <v>0.06</v>
      </c>
      <c r="AN3898" s="182" t="n">
        <v>0</v>
      </c>
    </row>
    <row r="3899">
      <c r="A3899" s="155" t="n">
        <v>46099</v>
      </c>
      <c r="B3899" s="156" t="inlineStr">
        <is>
          <t>NS</t>
        </is>
      </c>
      <c r="C3899" s="156" t="inlineStr">
        <is>
          <t>EX-754</t>
        </is>
      </c>
      <c r="D3899" s="156" t="inlineStr">
        <is>
          <t>SY750H-PRO</t>
        </is>
      </c>
      <c r="E3899" s="156" t="inlineStr">
        <is>
          <t>Excavator</t>
        </is>
      </c>
      <c r="F3899" s="156" t="inlineStr">
        <is>
          <t>Loading OB</t>
        </is>
      </c>
      <c r="G3899" s="182" t="n">
        <v>9.9</v>
      </c>
      <c r="H3899" s="182" t="n">
        <v>0</v>
      </c>
      <c r="I3899" s="182" t="n">
        <v>0.17</v>
      </c>
      <c r="J3899" s="182" t="n">
        <v>0.17</v>
      </c>
      <c r="K3899" s="182" t="n">
        <v>1.93</v>
      </c>
      <c r="L3899" s="182" t="n">
        <v>12</v>
      </c>
      <c r="M3899" s="182" t="n">
        <v>9.59</v>
      </c>
      <c r="N3899" s="182" t="n">
        <v>0</v>
      </c>
      <c r="O3899" s="183" t="n">
        <v>140</v>
      </c>
      <c r="P3899" s="183" t="n">
        <v>0</v>
      </c>
      <c r="Q3899" s="184" t="n">
        <v>2856</v>
      </c>
      <c r="R3899" s="184" t="n">
        <v>0</v>
      </c>
      <c r="S3899" s="183" t="n">
        <v>0</v>
      </c>
      <c r="T3899" s="183" t="n">
        <v>0</v>
      </c>
      <c r="U3899" s="182" t="n">
        <v>0</v>
      </c>
      <c r="V3899" s="182" t="n">
        <v>0</v>
      </c>
      <c r="W3899" s="182" t="n">
        <v>0</v>
      </c>
      <c r="X3899" s="182" t="n">
        <v>1.45</v>
      </c>
      <c r="Y3899" s="182" t="n">
        <v>0</v>
      </c>
      <c r="Z3899" s="182" t="n">
        <v>0</v>
      </c>
      <c r="AA3899" s="182" t="n">
        <v>0</v>
      </c>
      <c r="AB3899" s="182" t="n">
        <v>0</v>
      </c>
      <c r="AC3899" s="182" t="n">
        <v>0</v>
      </c>
      <c r="AD3899" s="182" t="n">
        <v>0</v>
      </c>
      <c r="AE3899" s="182" t="n">
        <v>0</v>
      </c>
      <c r="AF3899" s="182" t="n">
        <v>0</v>
      </c>
      <c r="AG3899" s="182" t="n">
        <v>0</v>
      </c>
      <c r="AH3899" s="182" t="n">
        <v>0.36</v>
      </c>
      <c r="AI3899" s="182" t="n">
        <v>0</v>
      </c>
      <c r="AJ3899" s="182" t="n">
        <v>0</v>
      </c>
      <c r="AK3899" s="182" t="n">
        <v>0</v>
      </c>
      <c r="AL3899" s="182" t="n">
        <v>0</v>
      </c>
      <c r="AM3899" s="182" t="n">
        <v>0.12</v>
      </c>
      <c r="AN3899" s="182" t="n">
        <v>0</v>
      </c>
    </row>
    <row r="3900">
      <c r="A3900" s="155" t="n">
        <v>46099</v>
      </c>
      <c r="B3900" s="156" t="inlineStr">
        <is>
          <t>NS</t>
        </is>
      </c>
      <c r="C3900" s="156" t="inlineStr">
        <is>
          <t>EX-755</t>
        </is>
      </c>
      <c r="D3900" s="156" t="inlineStr">
        <is>
          <t>SY750H-PRO</t>
        </is>
      </c>
      <c r="E3900" s="156" t="inlineStr">
        <is>
          <t>Excavator</t>
        </is>
      </c>
      <c r="F3900" s="156" t="inlineStr">
        <is>
          <t>Loading OB</t>
        </is>
      </c>
      <c r="G3900" s="182" t="n">
        <v>10.63</v>
      </c>
      <c r="H3900" s="182" t="n">
        <v>0</v>
      </c>
      <c r="I3900" s="182" t="n">
        <v>0.17</v>
      </c>
      <c r="J3900" s="182" t="n">
        <v>0.17</v>
      </c>
      <c r="K3900" s="182" t="n">
        <v>1.2</v>
      </c>
      <c r="L3900" s="182" t="n">
        <v>12</v>
      </c>
      <c r="M3900" s="182" t="n">
        <v>9.789999999999999</v>
      </c>
      <c r="N3900" s="182" t="n">
        <v>0</v>
      </c>
      <c r="O3900" s="183" t="n">
        <v>123</v>
      </c>
      <c r="P3900" s="183" t="n">
        <v>0</v>
      </c>
      <c r="Q3900" s="184" t="n">
        <v>2509.2</v>
      </c>
      <c r="R3900" s="184" t="n">
        <v>0</v>
      </c>
      <c r="S3900" s="183" t="n">
        <v>0</v>
      </c>
      <c r="T3900" s="183" t="n">
        <v>0</v>
      </c>
      <c r="U3900" s="182" t="n">
        <v>0</v>
      </c>
      <c r="V3900" s="182" t="n">
        <v>0</v>
      </c>
      <c r="W3900" s="182" t="n">
        <v>0</v>
      </c>
      <c r="X3900" s="182" t="n">
        <v>0.95</v>
      </c>
      <c r="Y3900" s="182" t="n">
        <v>0</v>
      </c>
      <c r="Z3900" s="182" t="n">
        <v>0</v>
      </c>
      <c r="AA3900" s="182" t="n">
        <v>0</v>
      </c>
      <c r="AB3900" s="182" t="n">
        <v>0</v>
      </c>
      <c r="AC3900" s="182" t="n">
        <v>0</v>
      </c>
      <c r="AD3900" s="182" t="n">
        <v>0</v>
      </c>
      <c r="AE3900" s="182" t="n">
        <v>0</v>
      </c>
      <c r="AF3900" s="182" t="n">
        <v>0</v>
      </c>
      <c r="AG3900" s="182" t="n">
        <v>0</v>
      </c>
      <c r="AH3900" s="182" t="n">
        <v>0.17</v>
      </c>
      <c r="AI3900" s="182" t="n">
        <v>0</v>
      </c>
      <c r="AJ3900" s="182" t="n">
        <v>0</v>
      </c>
      <c r="AK3900" s="182" t="n">
        <v>0</v>
      </c>
      <c r="AL3900" s="182" t="n">
        <v>0</v>
      </c>
      <c r="AM3900" s="182" t="n">
        <v>0.08</v>
      </c>
      <c r="AN3900" s="182" t="n">
        <v>0</v>
      </c>
    </row>
    <row r="3901">
      <c r="A3901" s="155" t="n">
        <v>46099</v>
      </c>
      <c r="B3901" s="156" t="inlineStr">
        <is>
          <t>NS</t>
        </is>
      </c>
      <c r="C3901" s="156" t="inlineStr">
        <is>
          <t>EX-752</t>
        </is>
      </c>
      <c r="D3901" s="156" t="inlineStr">
        <is>
          <t>SY750H-PRO</t>
        </is>
      </c>
      <c r="E3901" s="156" t="inlineStr">
        <is>
          <t>Excavator</t>
        </is>
      </c>
      <c r="F3901" s="156" t="inlineStr"/>
      <c r="G3901" s="182" t="n">
        <v>0</v>
      </c>
      <c r="H3901" s="182" t="n">
        <v>0</v>
      </c>
      <c r="I3901" s="182" t="n">
        <v>12</v>
      </c>
      <c r="J3901" s="182" t="n">
        <v>12</v>
      </c>
      <c r="K3901" s="182" t="n">
        <v>0</v>
      </c>
      <c r="L3901" s="182" t="n">
        <v>12</v>
      </c>
      <c r="M3901" s="182" t="n">
        <v>0</v>
      </c>
      <c r="N3901" s="182" t="n">
        <v>0</v>
      </c>
      <c r="O3901" s="183" t="n">
        <v>0</v>
      </c>
      <c r="P3901" s="183" t="n">
        <v>0</v>
      </c>
      <c r="Q3901" s="184" t="n">
        <v>0</v>
      </c>
      <c r="R3901" s="184" t="n">
        <v>0</v>
      </c>
      <c r="S3901" s="183" t="n">
        <v>0</v>
      </c>
      <c r="T3901" s="183" t="n">
        <v>0</v>
      </c>
      <c r="U3901" s="182" t="n">
        <v>0</v>
      </c>
      <c r="V3901" s="182" t="n">
        <v>0</v>
      </c>
      <c r="W3901" s="182" t="n">
        <v>0</v>
      </c>
      <c r="X3901" s="182" t="n">
        <v>0</v>
      </c>
      <c r="Y3901" s="182" t="n">
        <v>0</v>
      </c>
      <c r="Z3901" s="182" t="n">
        <v>0</v>
      </c>
      <c r="AA3901" s="182" t="n">
        <v>0</v>
      </c>
      <c r="AB3901" s="182" t="n">
        <v>0</v>
      </c>
      <c r="AC3901" s="182" t="n">
        <v>0</v>
      </c>
      <c r="AD3901" s="182" t="n">
        <v>0</v>
      </c>
      <c r="AE3901" s="182" t="n">
        <v>0</v>
      </c>
      <c r="AF3901" s="182" t="n">
        <v>0</v>
      </c>
      <c r="AG3901" s="182" t="n">
        <v>0</v>
      </c>
      <c r="AH3901" s="182" t="n">
        <v>0</v>
      </c>
      <c r="AI3901" s="182" t="n">
        <v>0</v>
      </c>
      <c r="AJ3901" s="182" t="n">
        <v>0</v>
      </c>
      <c r="AK3901" s="182" t="n">
        <v>0</v>
      </c>
      <c r="AL3901" s="182" t="n">
        <v>0</v>
      </c>
      <c r="AM3901" s="182" t="n">
        <v>0</v>
      </c>
      <c r="AN3901" s="182" t="n">
        <v>0</v>
      </c>
    </row>
    <row r="3902">
      <c r="A3902" s="155" t="n">
        <v>46099</v>
      </c>
      <c r="B3902" s="156" t="inlineStr">
        <is>
          <t>NS</t>
        </is>
      </c>
      <c r="C3902" s="156" t="inlineStr">
        <is>
          <t>EX-751</t>
        </is>
      </c>
      <c r="D3902" s="156" t="inlineStr">
        <is>
          <t>SY750H-PRO</t>
        </is>
      </c>
      <c r="E3902" s="156" t="inlineStr">
        <is>
          <t>Excavator</t>
        </is>
      </c>
      <c r="F3902" s="156" t="inlineStr"/>
      <c r="G3902" s="182" t="n">
        <v>0</v>
      </c>
      <c r="H3902" s="182" t="n">
        <v>0</v>
      </c>
      <c r="I3902" s="182" t="n">
        <v>12</v>
      </c>
      <c r="J3902" s="182" t="n">
        <v>12</v>
      </c>
      <c r="K3902" s="182" t="n">
        <v>0</v>
      </c>
      <c r="L3902" s="182" t="n">
        <v>12</v>
      </c>
      <c r="M3902" s="182" t="n">
        <v>0</v>
      </c>
      <c r="N3902" s="182" t="n">
        <v>0</v>
      </c>
      <c r="O3902" s="183" t="n">
        <v>0</v>
      </c>
      <c r="P3902" s="183" t="n">
        <v>0</v>
      </c>
      <c r="Q3902" s="184" t="n">
        <v>0</v>
      </c>
      <c r="R3902" s="184" t="n">
        <v>0</v>
      </c>
      <c r="S3902" s="183" t="n">
        <v>0</v>
      </c>
      <c r="T3902" s="183" t="n">
        <v>0</v>
      </c>
      <c r="U3902" s="182" t="n">
        <v>0</v>
      </c>
      <c r="V3902" s="182" t="n">
        <v>0</v>
      </c>
      <c r="W3902" s="182" t="n">
        <v>0</v>
      </c>
      <c r="X3902" s="182" t="n">
        <v>0</v>
      </c>
      <c r="Y3902" s="182" t="n">
        <v>0</v>
      </c>
      <c r="Z3902" s="182" t="n">
        <v>0</v>
      </c>
      <c r="AA3902" s="182" t="n">
        <v>0</v>
      </c>
      <c r="AB3902" s="182" t="n">
        <v>0</v>
      </c>
      <c r="AC3902" s="182" t="n">
        <v>0</v>
      </c>
      <c r="AD3902" s="182" t="n">
        <v>0</v>
      </c>
      <c r="AE3902" s="182" t="n">
        <v>0</v>
      </c>
      <c r="AF3902" s="182" t="n">
        <v>0</v>
      </c>
      <c r="AG3902" s="182" t="n">
        <v>0</v>
      </c>
      <c r="AH3902" s="182" t="n">
        <v>0</v>
      </c>
      <c r="AI3902" s="182" t="n">
        <v>0</v>
      </c>
      <c r="AJ3902" s="182" t="n">
        <v>0</v>
      </c>
      <c r="AK3902" s="182" t="n">
        <v>0</v>
      </c>
      <c r="AL3902" s="182" t="n">
        <v>0</v>
      </c>
      <c r="AM3902" s="182" t="n">
        <v>0</v>
      </c>
      <c r="AN3902" s="182" t="n">
        <v>0</v>
      </c>
    </row>
    <row r="3903">
      <c r="A3903" s="155" t="n">
        <v>46099</v>
      </c>
      <c r="B3903" s="156" t="inlineStr">
        <is>
          <t>NS</t>
        </is>
      </c>
      <c r="C3903" s="156" t="inlineStr">
        <is>
          <t>EX-753</t>
        </is>
      </c>
      <c r="D3903" s="156" t="inlineStr">
        <is>
          <t>SY750H-PRO</t>
        </is>
      </c>
      <c r="E3903" s="156" t="inlineStr">
        <is>
          <t>Excavator</t>
        </is>
      </c>
      <c r="F3903" s="156" t="inlineStr">
        <is>
          <t>Loading OB &amp; Coal</t>
        </is>
      </c>
      <c r="G3903" s="182" t="n">
        <v>10.24</v>
      </c>
      <c r="H3903" s="182" t="n">
        <v>0</v>
      </c>
      <c r="I3903" s="182" t="n">
        <v>0</v>
      </c>
      <c r="J3903" s="182" t="n">
        <v>0</v>
      </c>
      <c r="K3903" s="182" t="n">
        <v>1.76</v>
      </c>
      <c r="L3903" s="182" t="n">
        <v>12</v>
      </c>
      <c r="M3903" s="182" t="n">
        <v>2.47</v>
      </c>
      <c r="N3903" s="182" t="n">
        <v>7</v>
      </c>
      <c r="O3903" s="183" t="n">
        <v>29</v>
      </c>
      <c r="P3903" s="183" t="n">
        <v>70</v>
      </c>
      <c r="Q3903" s="184" t="n">
        <v>473.3</v>
      </c>
      <c r="R3903" s="184" t="n">
        <v>1309</v>
      </c>
      <c r="S3903" s="183" t="n">
        <v>0</v>
      </c>
      <c r="T3903" s="183" t="n">
        <v>0</v>
      </c>
      <c r="U3903" s="182" t="n">
        <v>0</v>
      </c>
      <c r="V3903" s="182" t="n">
        <v>0</v>
      </c>
      <c r="W3903" s="182" t="n">
        <v>0</v>
      </c>
      <c r="X3903" s="182" t="n">
        <v>1</v>
      </c>
      <c r="Y3903" s="182" t="n">
        <v>0</v>
      </c>
      <c r="Z3903" s="182" t="n">
        <v>0</v>
      </c>
      <c r="AA3903" s="182" t="n">
        <v>0</v>
      </c>
      <c r="AB3903" s="182" t="n">
        <v>0</v>
      </c>
      <c r="AC3903" s="182" t="n">
        <v>0</v>
      </c>
      <c r="AD3903" s="182" t="n">
        <v>0</v>
      </c>
      <c r="AE3903" s="182" t="n">
        <v>0</v>
      </c>
      <c r="AF3903" s="182" t="n">
        <v>0</v>
      </c>
      <c r="AG3903" s="182" t="n">
        <v>0</v>
      </c>
      <c r="AH3903" s="182" t="n">
        <v>0.68</v>
      </c>
      <c r="AI3903" s="182" t="n">
        <v>0</v>
      </c>
      <c r="AJ3903" s="182" t="n">
        <v>0</v>
      </c>
      <c r="AK3903" s="182" t="n">
        <v>0</v>
      </c>
      <c r="AL3903" s="182" t="n">
        <v>0</v>
      </c>
      <c r="AM3903" s="182" t="n">
        <v>0.08</v>
      </c>
      <c r="AN3903" s="182" t="n">
        <v>0</v>
      </c>
    </row>
    <row r="3904">
      <c r="A3904" s="155" t="n">
        <v>46099</v>
      </c>
      <c r="B3904" s="156" t="inlineStr">
        <is>
          <t>NS</t>
        </is>
      </c>
      <c r="C3904" s="156" t="inlineStr">
        <is>
          <t>GD-012</t>
        </is>
      </c>
      <c r="D3904" s="156" t="inlineStr">
        <is>
          <t>STG 230C - 8S</t>
        </is>
      </c>
      <c r="E3904" s="156" t="inlineStr">
        <is>
          <t>Grader</t>
        </is>
      </c>
      <c r="F3904" s="156" t="inlineStr"/>
      <c r="G3904" s="182" t="n">
        <v>0</v>
      </c>
      <c r="H3904" s="182" t="n">
        <v>0</v>
      </c>
      <c r="I3904" s="182" t="n">
        <v>0</v>
      </c>
      <c r="J3904" s="182" t="n">
        <v>0</v>
      </c>
      <c r="K3904" s="182" t="n">
        <v>12</v>
      </c>
      <c r="L3904" s="182" t="n">
        <v>12</v>
      </c>
      <c r="M3904" s="182" t="n">
        <v>0</v>
      </c>
      <c r="N3904" s="182" t="n">
        <v>0</v>
      </c>
      <c r="O3904" s="183" t="n">
        <v>0</v>
      </c>
      <c r="P3904" s="183" t="n">
        <v>0</v>
      </c>
      <c r="Q3904" s="184" t="n">
        <v>0</v>
      </c>
      <c r="R3904" s="184" t="n">
        <v>0</v>
      </c>
      <c r="S3904" s="183" t="n">
        <v>0</v>
      </c>
      <c r="T3904" s="183" t="n">
        <v>0</v>
      </c>
      <c r="U3904" s="182" t="n">
        <v>0</v>
      </c>
      <c r="V3904" s="182" t="n">
        <v>0</v>
      </c>
      <c r="W3904" s="182" t="n">
        <v>0</v>
      </c>
      <c r="X3904" s="182" t="n">
        <v>1</v>
      </c>
      <c r="Y3904" s="182" t="n">
        <v>0</v>
      </c>
      <c r="Z3904" s="182" t="n">
        <v>0</v>
      </c>
      <c r="AA3904" s="182" t="n">
        <v>0</v>
      </c>
      <c r="AB3904" s="182" t="n">
        <v>0</v>
      </c>
      <c r="AC3904" s="182" t="n">
        <v>0</v>
      </c>
      <c r="AD3904" s="182" t="n">
        <v>0</v>
      </c>
      <c r="AE3904" s="182" t="n">
        <v>0</v>
      </c>
      <c r="AF3904" s="182" t="n">
        <v>0</v>
      </c>
      <c r="AG3904" s="182" t="n">
        <v>0</v>
      </c>
      <c r="AH3904" s="182" t="n">
        <v>0</v>
      </c>
      <c r="AI3904" s="182" t="n">
        <v>0</v>
      </c>
      <c r="AJ3904" s="182" t="n">
        <v>0</v>
      </c>
      <c r="AK3904" s="182" t="n">
        <v>10.92</v>
      </c>
      <c r="AL3904" s="182" t="n">
        <v>0</v>
      </c>
      <c r="AM3904" s="182" t="n">
        <v>0.08</v>
      </c>
      <c r="AN3904" s="182" t="n">
        <v>0</v>
      </c>
    </row>
    <row r="3905">
      <c r="A3905" s="155" t="n">
        <v>46099</v>
      </c>
      <c r="B3905" s="156" t="inlineStr">
        <is>
          <t>NS</t>
        </is>
      </c>
      <c r="C3905" s="156" t="inlineStr">
        <is>
          <t>GD-011</t>
        </is>
      </c>
      <c r="D3905" s="156" t="inlineStr">
        <is>
          <t>STG 230C - 8S</t>
        </is>
      </c>
      <c r="E3905" s="156" t="inlineStr">
        <is>
          <t>Grader</t>
        </is>
      </c>
      <c r="F3905" s="156" t="inlineStr"/>
      <c r="G3905" s="182" t="n">
        <v>0</v>
      </c>
      <c r="H3905" s="182" t="n">
        <v>0</v>
      </c>
      <c r="I3905" s="182" t="n">
        <v>12</v>
      </c>
      <c r="J3905" s="182" t="n">
        <v>12</v>
      </c>
      <c r="K3905" s="182" t="n">
        <v>0</v>
      </c>
      <c r="L3905" s="182" t="n">
        <v>12</v>
      </c>
      <c r="M3905" s="182" t="n">
        <v>0</v>
      </c>
      <c r="N3905" s="182" t="n">
        <v>0</v>
      </c>
      <c r="O3905" s="183" t="n">
        <v>0</v>
      </c>
      <c r="P3905" s="183" t="n">
        <v>0</v>
      </c>
      <c r="Q3905" s="184" t="n">
        <v>0</v>
      </c>
      <c r="R3905" s="184" t="n">
        <v>0</v>
      </c>
      <c r="S3905" s="183" t="n">
        <v>0</v>
      </c>
      <c r="T3905" s="183" t="n">
        <v>0</v>
      </c>
      <c r="U3905" s="182" t="n">
        <v>0</v>
      </c>
      <c r="V3905" s="182" t="n">
        <v>0</v>
      </c>
      <c r="W3905" s="182" t="n">
        <v>0</v>
      </c>
      <c r="X3905" s="182" t="n">
        <v>0</v>
      </c>
      <c r="Y3905" s="182" t="n">
        <v>0</v>
      </c>
      <c r="Z3905" s="182" t="n">
        <v>0</v>
      </c>
      <c r="AA3905" s="182" t="n">
        <v>0</v>
      </c>
      <c r="AB3905" s="182" t="n">
        <v>0</v>
      </c>
      <c r="AC3905" s="182" t="n">
        <v>0</v>
      </c>
      <c r="AD3905" s="182" t="n">
        <v>0</v>
      </c>
      <c r="AE3905" s="182" t="n">
        <v>0</v>
      </c>
      <c r="AF3905" s="182" t="n">
        <v>0</v>
      </c>
      <c r="AG3905" s="182" t="n">
        <v>0</v>
      </c>
      <c r="AH3905" s="182" t="n">
        <v>0</v>
      </c>
      <c r="AI3905" s="182" t="n">
        <v>0</v>
      </c>
      <c r="AJ3905" s="182" t="n">
        <v>0</v>
      </c>
      <c r="AK3905" s="182" t="n">
        <v>0</v>
      </c>
      <c r="AL3905" s="182" t="n">
        <v>0</v>
      </c>
      <c r="AM3905" s="182" t="n">
        <v>0</v>
      </c>
      <c r="AN3905" s="182" t="n">
        <v>0</v>
      </c>
    </row>
    <row r="3906">
      <c r="A3906" s="155" t="n">
        <v>46099</v>
      </c>
      <c r="B3906" s="156" t="inlineStr">
        <is>
          <t>NS</t>
        </is>
      </c>
      <c r="C3906" s="156" t="inlineStr">
        <is>
          <t>GD-013</t>
        </is>
      </c>
      <c r="D3906" s="156" t="inlineStr">
        <is>
          <t>STG 265C - 10</t>
        </is>
      </c>
      <c r="E3906" s="156" t="inlineStr">
        <is>
          <t>Grader</t>
        </is>
      </c>
      <c r="F3906" s="156" t="inlineStr">
        <is>
          <t>Road Maintenance</t>
        </is>
      </c>
      <c r="G3906" s="182" t="n">
        <v>10.88</v>
      </c>
      <c r="H3906" s="182" t="n">
        <v>0</v>
      </c>
      <c r="I3906" s="182" t="n">
        <v>0</v>
      </c>
      <c r="J3906" s="182" t="n">
        <v>0</v>
      </c>
      <c r="K3906" s="182" t="n">
        <v>1.12</v>
      </c>
      <c r="L3906" s="182" t="n">
        <v>12</v>
      </c>
      <c r="M3906" s="182" t="n">
        <v>0</v>
      </c>
      <c r="N3906" s="182" t="n">
        <v>0</v>
      </c>
      <c r="O3906" s="183" t="n">
        <v>0</v>
      </c>
      <c r="P3906" s="183" t="n">
        <v>0</v>
      </c>
      <c r="Q3906" s="184" t="n">
        <v>0</v>
      </c>
      <c r="R3906" s="184" t="n">
        <v>0</v>
      </c>
      <c r="S3906" s="183" t="n">
        <v>0</v>
      </c>
      <c r="T3906" s="183" t="n">
        <v>0</v>
      </c>
      <c r="U3906" s="182" t="n">
        <v>0</v>
      </c>
      <c r="V3906" s="182" t="n">
        <v>0</v>
      </c>
      <c r="W3906" s="182" t="n">
        <v>0</v>
      </c>
      <c r="X3906" s="182" t="n">
        <v>0.93</v>
      </c>
      <c r="Y3906" s="182" t="n">
        <v>0</v>
      </c>
      <c r="Z3906" s="182" t="n">
        <v>0</v>
      </c>
      <c r="AA3906" s="182" t="n">
        <v>0</v>
      </c>
      <c r="AB3906" s="182" t="n">
        <v>0</v>
      </c>
      <c r="AC3906" s="182" t="n">
        <v>0</v>
      </c>
      <c r="AD3906" s="182" t="n">
        <v>0</v>
      </c>
      <c r="AE3906" s="182" t="n">
        <v>0</v>
      </c>
      <c r="AF3906" s="182" t="n">
        <v>0</v>
      </c>
      <c r="AG3906" s="182" t="n">
        <v>0</v>
      </c>
      <c r="AH3906" s="182" t="n">
        <v>0</v>
      </c>
      <c r="AI3906" s="182" t="n">
        <v>0</v>
      </c>
      <c r="AJ3906" s="182" t="n">
        <v>0</v>
      </c>
      <c r="AK3906" s="182" t="n">
        <v>0.11</v>
      </c>
      <c r="AL3906" s="182" t="n">
        <v>0</v>
      </c>
      <c r="AM3906" s="182" t="n">
        <v>0.07000000000000001</v>
      </c>
      <c r="AN3906" s="182" t="n">
        <v>0</v>
      </c>
    </row>
    <row r="3907">
      <c r="A3907" s="155" t="n">
        <v>46099</v>
      </c>
      <c r="B3907" s="156" t="inlineStr">
        <is>
          <t>NS</t>
        </is>
      </c>
      <c r="C3907" s="156" t="inlineStr">
        <is>
          <t>GD-014</t>
        </is>
      </c>
      <c r="D3907" s="156" t="inlineStr">
        <is>
          <t>STG 335C - 10</t>
        </is>
      </c>
      <c r="E3907" s="156" t="inlineStr">
        <is>
          <t>Grader</t>
        </is>
      </c>
      <c r="F3907" s="156" t="inlineStr">
        <is>
          <t>Road Maintenance</t>
        </is>
      </c>
      <c r="G3907" s="182" t="n">
        <v>10.79</v>
      </c>
      <c r="H3907" s="182" t="n">
        <v>0</v>
      </c>
      <c r="I3907" s="182" t="n">
        <v>0</v>
      </c>
      <c r="J3907" s="182" t="n">
        <v>0</v>
      </c>
      <c r="K3907" s="182" t="n">
        <v>1.21</v>
      </c>
      <c r="L3907" s="182" t="n">
        <v>12</v>
      </c>
      <c r="M3907" s="182" t="n">
        <v>0</v>
      </c>
      <c r="N3907" s="182" t="n">
        <v>0</v>
      </c>
      <c r="O3907" s="183" t="n">
        <v>0</v>
      </c>
      <c r="P3907" s="183" t="n">
        <v>0</v>
      </c>
      <c r="Q3907" s="184" t="n">
        <v>0</v>
      </c>
      <c r="R3907" s="184" t="n">
        <v>0</v>
      </c>
      <c r="S3907" s="183" t="n">
        <v>0</v>
      </c>
      <c r="T3907" s="183" t="n">
        <v>0</v>
      </c>
      <c r="U3907" s="182" t="n">
        <v>0</v>
      </c>
      <c r="V3907" s="182" t="n">
        <v>0</v>
      </c>
      <c r="W3907" s="182" t="n">
        <v>0</v>
      </c>
      <c r="X3907" s="182" t="n">
        <v>0.93</v>
      </c>
      <c r="Y3907" s="182" t="n">
        <v>0</v>
      </c>
      <c r="Z3907" s="182" t="n">
        <v>0</v>
      </c>
      <c r="AA3907" s="182" t="n">
        <v>0</v>
      </c>
      <c r="AB3907" s="182" t="n">
        <v>0</v>
      </c>
      <c r="AC3907" s="182" t="n">
        <v>0</v>
      </c>
      <c r="AD3907" s="182" t="n">
        <v>0</v>
      </c>
      <c r="AE3907" s="182" t="n">
        <v>0</v>
      </c>
      <c r="AF3907" s="182" t="n">
        <v>0</v>
      </c>
      <c r="AG3907" s="182" t="n">
        <v>0</v>
      </c>
      <c r="AH3907" s="182" t="n">
        <v>0</v>
      </c>
      <c r="AI3907" s="182" t="n">
        <v>0</v>
      </c>
      <c r="AJ3907" s="182" t="n">
        <v>0</v>
      </c>
      <c r="AK3907" s="182" t="n">
        <v>0.2</v>
      </c>
      <c r="AL3907" s="182" t="n">
        <v>0</v>
      </c>
      <c r="AM3907" s="182" t="n">
        <v>0.07000000000000001</v>
      </c>
      <c r="AN3907" s="182" t="n">
        <v>0</v>
      </c>
    </row>
    <row r="3908">
      <c r="A3908" s="155" t="n">
        <v>46099</v>
      </c>
      <c r="B3908" s="156" t="inlineStr">
        <is>
          <t>NS</t>
        </is>
      </c>
      <c r="C3908" s="156" t="inlineStr">
        <is>
          <t>DT-809</t>
        </is>
      </c>
      <c r="D3908" s="156" t="inlineStr">
        <is>
          <t>SKT 80S</t>
        </is>
      </c>
      <c r="E3908" s="156" t="inlineStr">
        <is>
          <t>Hauler</t>
        </is>
      </c>
      <c r="F3908" s="156" t="inlineStr"/>
      <c r="G3908" s="182" t="n">
        <v>0</v>
      </c>
      <c r="H3908" s="182" t="n">
        <v>0</v>
      </c>
      <c r="I3908" s="182" t="n">
        <v>0</v>
      </c>
      <c r="J3908" s="182" t="n">
        <v>0</v>
      </c>
      <c r="K3908" s="182" t="n">
        <v>12</v>
      </c>
      <c r="L3908" s="182" t="n">
        <v>12</v>
      </c>
      <c r="M3908" s="182" t="n">
        <v>0</v>
      </c>
      <c r="N3908" s="182" t="n">
        <v>0</v>
      </c>
      <c r="O3908" s="183" t="n">
        <v>0</v>
      </c>
      <c r="P3908" s="183" t="n">
        <v>0</v>
      </c>
      <c r="Q3908" s="184" t="n">
        <v>0</v>
      </c>
      <c r="R3908" s="184" t="n">
        <v>0</v>
      </c>
      <c r="S3908" s="183" t="n">
        <v>0</v>
      </c>
      <c r="T3908" s="183" t="n">
        <v>0</v>
      </c>
      <c r="U3908" s="182" t="n">
        <v>0</v>
      </c>
      <c r="V3908" s="182" t="n">
        <v>0</v>
      </c>
      <c r="W3908" s="182" t="n">
        <v>0</v>
      </c>
      <c r="X3908" s="182" t="n">
        <v>1</v>
      </c>
      <c r="Y3908" s="182" t="n">
        <v>0</v>
      </c>
      <c r="Z3908" s="182" t="n">
        <v>0</v>
      </c>
      <c r="AA3908" s="182" t="n">
        <v>0</v>
      </c>
      <c r="AB3908" s="182" t="n">
        <v>0</v>
      </c>
      <c r="AC3908" s="182" t="n">
        <v>0</v>
      </c>
      <c r="AD3908" s="182" t="n">
        <v>0</v>
      </c>
      <c r="AE3908" s="182" t="n">
        <v>0</v>
      </c>
      <c r="AF3908" s="182" t="n">
        <v>0</v>
      </c>
      <c r="AG3908" s="182" t="n">
        <v>0</v>
      </c>
      <c r="AH3908" s="182" t="n">
        <v>0</v>
      </c>
      <c r="AI3908" s="182" t="n">
        <v>0</v>
      </c>
      <c r="AJ3908" s="182" t="n">
        <v>0</v>
      </c>
      <c r="AK3908" s="182" t="n">
        <v>10.92</v>
      </c>
      <c r="AL3908" s="182" t="n">
        <v>0</v>
      </c>
      <c r="AM3908" s="182" t="n">
        <v>0.08</v>
      </c>
      <c r="AN3908" s="182" t="n">
        <v>0</v>
      </c>
    </row>
    <row r="3909">
      <c r="A3909" s="155" t="n">
        <v>46099</v>
      </c>
      <c r="B3909" s="156" t="inlineStr">
        <is>
          <t>NS</t>
        </is>
      </c>
      <c r="C3909" s="156" t="inlineStr">
        <is>
          <t>DT-806</t>
        </is>
      </c>
      <c r="D3909" s="156" t="inlineStr">
        <is>
          <t>SKT 80S</t>
        </is>
      </c>
      <c r="E3909" s="156" t="inlineStr">
        <is>
          <t>Hauler</t>
        </is>
      </c>
      <c r="F3909" s="156" t="inlineStr"/>
      <c r="G3909" s="182" t="n">
        <v>0</v>
      </c>
      <c r="H3909" s="182" t="n">
        <v>0</v>
      </c>
      <c r="I3909" s="182" t="n">
        <v>0</v>
      </c>
      <c r="J3909" s="182" t="n">
        <v>0</v>
      </c>
      <c r="K3909" s="182" t="n">
        <v>12</v>
      </c>
      <c r="L3909" s="182" t="n">
        <v>12</v>
      </c>
      <c r="M3909" s="182" t="n">
        <v>0</v>
      </c>
      <c r="N3909" s="182" t="n">
        <v>0</v>
      </c>
      <c r="O3909" s="183" t="n">
        <v>0</v>
      </c>
      <c r="P3909" s="183" t="n">
        <v>0</v>
      </c>
      <c r="Q3909" s="184" t="n">
        <v>0</v>
      </c>
      <c r="R3909" s="184" t="n">
        <v>0</v>
      </c>
      <c r="S3909" s="183" t="n">
        <v>0</v>
      </c>
      <c r="T3909" s="183" t="n">
        <v>0</v>
      </c>
      <c r="U3909" s="182" t="n">
        <v>0</v>
      </c>
      <c r="V3909" s="182" t="n">
        <v>0</v>
      </c>
      <c r="W3909" s="182" t="n">
        <v>0</v>
      </c>
      <c r="X3909" s="182" t="n">
        <v>1</v>
      </c>
      <c r="Y3909" s="182" t="n">
        <v>0</v>
      </c>
      <c r="Z3909" s="182" t="n">
        <v>0</v>
      </c>
      <c r="AA3909" s="182" t="n">
        <v>0</v>
      </c>
      <c r="AB3909" s="182" t="n">
        <v>0</v>
      </c>
      <c r="AC3909" s="182" t="n">
        <v>0</v>
      </c>
      <c r="AD3909" s="182" t="n">
        <v>0</v>
      </c>
      <c r="AE3909" s="182" t="n">
        <v>0</v>
      </c>
      <c r="AF3909" s="182" t="n">
        <v>0</v>
      </c>
      <c r="AG3909" s="182" t="n">
        <v>0</v>
      </c>
      <c r="AH3909" s="182" t="n">
        <v>0</v>
      </c>
      <c r="AI3909" s="182" t="n">
        <v>0</v>
      </c>
      <c r="AJ3909" s="182" t="n">
        <v>0</v>
      </c>
      <c r="AK3909" s="182" t="n">
        <v>10.92</v>
      </c>
      <c r="AL3909" s="182" t="n">
        <v>0</v>
      </c>
      <c r="AM3909" s="182" t="n">
        <v>0.08</v>
      </c>
      <c r="AN3909" s="182" t="n">
        <v>0</v>
      </c>
    </row>
    <row r="3910">
      <c r="A3910" s="155" t="n">
        <v>46099</v>
      </c>
      <c r="B3910" s="156" t="inlineStr">
        <is>
          <t>NS</t>
        </is>
      </c>
      <c r="C3910" s="156" t="inlineStr">
        <is>
          <t>DT-805</t>
        </is>
      </c>
      <c r="D3910" s="156" t="inlineStr">
        <is>
          <t>SKT 80S</t>
        </is>
      </c>
      <c r="E3910" s="156" t="inlineStr">
        <is>
          <t>Hauler</t>
        </is>
      </c>
      <c r="F3910" s="156" t="inlineStr"/>
      <c r="G3910" s="182" t="n">
        <v>0</v>
      </c>
      <c r="H3910" s="182" t="n">
        <v>0</v>
      </c>
      <c r="I3910" s="182" t="n">
        <v>0</v>
      </c>
      <c r="J3910" s="182" t="n">
        <v>0</v>
      </c>
      <c r="K3910" s="182" t="n">
        <v>12</v>
      </c>
      <c r="L3910" s="182" t="n">
        <v>12</v>
      </c>
      <c r="M3910" s="182" t="n">
        <v>0</v>
      </c>
      <c r="N3910" s="182" t="n">
        <v>0</v>
      </c>
      <c r="O3910" s="183" t="n">
        <v>0</v>
      </c>
      <c r="P3910" s="183" t="n">
        <v>0</v>
      </c>
      <c r="Q3910" s="184" t="n">
        <v>0</v>
      </c>
      <c r="R3910" s="184" t="n">
        <v>0</v>
      </c>
      <c r="S3910" s="183" t="n">
        <v>0</v>
      </c>
      <c r="T3910" s="183" t="n">
        <v>0</v>
      </c>
      <c r="U3910" s="182" t="n">
        <v>0</v>
      </c>
      <c r="V3910" s="182" t="n">
        <v>0</v>
      </c>
      <c r="W3910" s="182" t="n">
        <v>0</v>
      </c>
      <c r="X3910" s="182" t="n">
        <v>1</v>
      </c>
      <c r="Y3910" s="182" t="n">
        <v>0</v>
      </c>
      <c r="Z3910" s="182" t="n">
        <v>0</v>
      </c>
      <c r="AA3910" s="182" t="n">
        <v>0</v>
      </c>
      <c r="AB3910" s="182" t="n">
        <v>0</v>
      </c>
      <c r="AC3910" s="182" t="n">
        <v>0</v>
      </c>
      <c r="AD3910" s="182" t="n">
        <v>0</v>
      </c>
      <c r="AE3910" s="182" t="n">
        <v>0</v>
      </c>
      <c r="AF3910" s="182" t="n">
        <v>0</v>
      </c>
      <c r="AG3910" s="182" t="n">
        <v>0</v>
      </c>
      <c r="AH3910" s="182" t="n">
        <v>0</v>
      </c>
      <c r="AI3910" s="182" t="n">
        <v>0</v>
      </c>
      <c r="AJ3910" s="182" t="n">
        <v>0</v>
      </c>
      <c r="AK3910" s="182" t="n">
        <v>10.92</v>
      </c>
      <c r="AL3910" s="182" t="n">
        <v>0</v>
      </c>
      <c r="AM3910" s="182" t="n">
        <v>0.08</v>
      </c>
      <c r="AN3910" s="182" t="n">
        <v>0</v>
      </c>
    </row>
    <row r="3911">
      <c r="A3911" s="155" t="n">
        <v>46099</v>
      </c>
      <c r="B3911" s="156" t="inlineStr">
        <is>
          <t>NS</t>
        </is>
      </c>
      <c r="C3911" s="156" t="inlineStr">
        <is>
          <t>DT-801</t>
        </is>
      </c>
      <c r="D3911" s="156" t="inlineStr">
        <is>
          <t>SKT 80S</t>
        </is>
      </c>
      <c r="E3911" s="156" t="inlineStr">
        <is>
          <t>Hauler</t>
        </is>
      </c>
      <c r="F3911" s="156" t="inlineStr"/>
      <c r="G3911" s="182" t="n">
        <v>0</v>
      </c>
      <c r="H3911" s="182" t="n">
        <v>0</v>
      </c>
      <c r="I3911" s="182" t="n">
        <v>0</v>
      </c>
      <c r="J3911" s="182" t="n">
        <v>0</v>
      </c>
      <c r="K3911" s="182" t="n">
        <v>12</v>
      </c>
      <c r="L3911" s="182" t="n">
        <v>12</v>
      </c>
      <c r="M3911" s="182" t="n">
        <v>0</v>
      </c>
      <c r="N3911" s="182" t="n">
        <v>0</v>
      </c>
      <c r="O3911" s="183" t="n">
        <v>0</v>
      </c>
      <c r="P3911" s="183" t="n">
        <v>0</v>
      </c>
      <c r="Q3911" s="184" t="n">
        <v>0</v>
      </c>
      <c r="R3911" s="184" t="n">
        <v>0</v>
      </c>
      <c r="S3911" s="183" t="n">
        <v>0</v>
      </c>
      <c r="T3911" s="183" t="n">
        <v>0</v>
      </c>
      <c r="U3911" s="182" t="n">
        <v>0</v>
      </c>
      <c r="V3911" s="182" t="n">
        <v>0</v>
      </c>
      <c r="W3911" s="182" t="n">
        <v>0</v>
      </c>
      <c r="X3911" s="182" t="n">
        <v>1</v>
      </c>
      <c r="Y3911" s="182" t="n">
        <v>0</v>
      </c>
      <c r="Z3911" s="182" t="n">
        <v>0</v>
      </c>
      <c r="AA3911" s="182" t="n">
        <v>0</v>
      </c>
      <c r="AB3911" s="182" t="n">
        <v>0</v>
      </c>
      <c r="AC3911" s="182" t="n">
        <v>0</v>
      </c>
      <c r="AD3911" s="182" t="n">
        <v>0</v>
      </c>
      <c r="AE3911" s="182" t="n">
        <v>0</v>
      </c>
      <c r="AF3911" s="182" t="n">
        <v>0</v>
      </c>
      <c r="AG3911" s="182" t="n">
        <v>0</v>
      </c>
      <c r="AH3911" s="182" t="n">
        <v>0</v>
      </c>
      <c r="AI3911" s="182" t="n">
        <v>0</v>
      </c>
      <c r="AJ3911" s="182" t="n">
        <v>0</v>
      </c>
      <c r="AK3911" s="182" t="n">
        <v>10.92</v>
      </c>
      <c r="AL3911" s="182" t="n">
        <v>0</v>
      </c>
      <c r="AM3911" s="182" t="n">
        <v>0.08</v>
      </c>
      <c r="AN3911" s="182" t="n">
        <v>0</v>
      </c>
    </row>
    <row r="3912">
      <c r="A3912" s="155" t="n">
        <v>46099</v>
      </c>
      <c r="B3912" s="156" t="inlineStr">
        <is>
          <t>NS</t>
        </is>
      </c>
      <c r="C3912" s="156" t="inlineStr">
        <is>
          <t>DT-808</t>
        </is>
      </c>
      <c r="D3912" s="156" t="inlineStr">
        <is>
          <t>SKT 80S</t>
        </is>
      </c>
      <c r="E3912" s="156" t="inlineStr">
        <is>
          <t>Hauler</t>
        </is>
      </c>
      <c r="F3912" s="156" t="inlineStr">
        <is>
          <t>Support Washing Plant</t>
        </is>
      </c>
      <c r="G3912" s="182" t="n">
        <v>4.59</v>
      </c>
      <c r="H3912" s="182" t="n">
        <v>0</v>
      </c>
      <c r="I3912" s="182" t="n">
        <v>0</v>
      </c>
      <c r="J3912" s="182" t="n">
        <v>0</v>
      </c>
      <c r="K3912" s="182" t="n">
        <v>7.41</v>
      </c>
      <c r="L3912" s="182" t="n">
        <v>12</v>
      </c>
      <c r="M3912" s="182" t="n">
        <v>0</v>
      </c>
      <c r="N3912" s="182" t="n">
        <v>0</v>
      </c>
      <c r="O3912" s="183" t="n">
        <v>0</v>
      </c>
      <c r="P3912" s="183" t="n">
        <v>0</v>
      </c>
      <c r="Q3912" s="184" t="n">
        <v>0</v>
      </c>
      <c r="R3912" s="184" t="n">
        <v>0</v>
      </c>
      <c r="S3912" s="183" t="n">
        <v>0</v>
      </c>
      <c r="T3912" s="183" t="n">
        <v>0</v>
      </c>
      <c r="U3912" s="182" t="n">
        <v>0</v>
      </c>
      <c r="V3912" s="182" t="n">
        <v>0</v>
      </c>
      <c r="W3912" s="182" t="n">
        <v>0</v>
      </c>
      <c r="X3912" s="182" t="n">
        <v>1.04</v>
      </c>
      <c r="Y3912" s="182" t="n">
        <v>0</v>
      </c>
      <c r="Z3912" s="182" t="n">
        <v>0</v>
      </c>
      <c r="AA3912" s="182" t="n">
        <v>0</v>
      </c>
      <c r="AB3912" s="182" t="n">
        <v>0</v>
      </c>
      <c r="AC3912" s="182" t="n">
        <v>0</v>
      </c>
      <c r="AD3912" s="182" t="n">
        <v>0</v>
      </c>
      <c r="AE3912" s="182" t="n">
        <v>0</v>
      </c>
      <c r="AF3912" s="182" t="n">
        <v>0</v>
      </c>
      <c r="AG3912" s="182" t="n">
        <v>0</v>
      </c>
      <c r="AH3912" s="182" t="n">
        <v>0</v>
      </c>
      <c r="AI3912" s="182" t="n">
        <v>0</v>
      </c>
      <c r="AJ3912" s="182" t="n">
        <v>0</v>
      </c>
      <c r="AK3912" s="182" t="n">
        <v>6.28</v>
      </c>
      <c r="AL3912" s="182" t="n">
        <v>0</v>
      </c>
      <c r="AM3912" s="182" t="n">
        <v>0.08</v>
      </c>
      <c r="AN3912" s="182" t="n">
        <v>0</v>
      </c>
    </row>
    <row r="3913">
      <c r="A3913" s="155" t="n">
        <v>46099</v>
      </c>
      <c r="B3913" s="156" t="inlineStr">
        <is>
          <t>NS</t>
        </is>
      </c>
      <c r="C3913" s="156" t="inlineStr">
        <is>
          <t>DT-811</t>
        </is>
      </c>
      <c r="D3913" s="156" t="inlineStr">
        <is>
          <t>SKT 80S</t>
        </is>
      </c>
      <c r="E3913" s="156" t="inlineStr">
        <is>
          <t>Hauler</t>
        </is>
      </c>
      <c r="F3913" s="156" t="inlineStr"/>
      <c r="G3913" s="182" t="n">
        <v>0</v>
      </c>
      <c r="H3913" s="182" t="n">
        <v>0</v>
      </c>
      <c r="I3913" s="182" t="n">
        <v>12</v>
      </c>
      <c r="J3913" s="182" t="n">
        <v>12</v>
      </c>
      <c r="K3913" s="182" t="n">
        <v>0</v>
      </c>
      <c r="L3913" s="182" t="n">
        <v>12</v>
      </c>
      <c r="M3913" s="182" t="n">
        <v>0</v>
      </c>
      <c r="N3913" s="182" t="n">
        <v>0</v>
      </c>
      <c r="O3913" s="183" t="n">
        <v>0</v>
      </c>
      <c r="P3913" s="183" t="n">
        <v>0</v>
      </c>
      <c r="Q3913" s="184" t="n">
        <v>0</v>
      </c>
      <c r="R3913" s="184" t="n">
        <v>0</v>
      </c>
      <c r="S3913" s="183" t="n">
        <v>0</v>
      </c>
      <c r="T3913" s="183" t="n">
        <v>0</v>
      </c>
      <c r="U3913" s="182" t="n">
        <v>0</v>
      </c>
      <c r="V3913" s="182" t="n">
        <v>0</v>
      </c>
      <c r="W3913" s="182" t="n">
        <v>0</v>
      </c>
      <c r="X3913" s="182" t="n">
        <v>0</v>
      </c>
      <c r="Y3913" s="182" t="n">
        <v>0</v>
      </c>
      <c r="Z3913" s="182" t="n">
        <v>0</v>
      </c>
      <c r="AA3913" s="182" t="n">
        <v>0</v>
      </c>
      <c r="AB3913" s="182" t="n">
        <v>0</v>
      </c>
      <c r="AC3913" s="182" t="n">
        <v>0</v>
      </c>
      <c r="AD3913" s="182" t="n">
        <v>0</v>
      </c>
      <c r="AE3913" s="182" t="n">
        <v>0</v>
      </c>
      <c r="AF3913" s="182" t="n">
        <v>0</v>
      </c>
      <c r="AG3913" s="182" t="n">
        <v>0</v>
      </c>
      <c r="AH3913" s="182" t="n">
        <v>0</v>
      </c>
      <c r="AI3913" s="182" t="n">
        <v>0</v>
      </c>
      <c r="AJ3913" s="182" t="n">
        <v>0</v>
      </c>
      <c r="AK3913" s="182" t="n">
        <v>0</v>
      </c>
      <c r="AL3913" s="182" t="n">
        <v>0</v>
      </c>
      <c r="AM3913" s="182" t="n">
        <v>0</v>
      </c>
      <c r="AN3913" s="182" t="n">
        <v>0</v>
      </c>
    </row>
    <row r="3914">
      <c r="A3914" s="155" t="n">
        <v>46099</v>
      </c>
      <c r="B3914" s="156" t="inlineStr">
        <is>
          <t>NS</t>
        </is>
      </c>
      <c r="C3914" s="156" t="inlineStr">
        <is>
          <t>DT-802</t>
        </is>
      </c>
      <c r="D3914" s="156" t="inlineStr">
        <is>
          <t>SKT 80S</t>
        </is>
      </c>
      <c r="E3914" s="156" t="inlineStr">
        <is>
          <t>Hauler</t>
        </is>
      </c>
      <c r="F3914" s="156" t="inlineStr"/>
      <c r="G3914" s="182" t="n">
        <v>0</v>
      </c>
      <c r="H3914" s="182" t="n">
        <v>0</v>
      </c>
      <c r="I3914" s="182" t="n">
        <v>0</v>
      </c>
      <c r="J3914" s="182" t="n">
        <v>0</v>
      </c>
      <c r="K3914" s="182" t="n">
        <v>12</v>
      </c>
      <c r="L3914" s="182" t="n">
        <v>12</v>
      </c>
      <c r="M3914" s="182" t="n">
        <v>0</v>
      </c>
      <c r="N3914" s="182" t="n">
        <v>0</v>
      </c>
      <c r="O3914" s="183" t="n">
        <v>0</v>
      </c>
      <c r="P3914" s="183" t="n">
        <v>0</v>
      </c>
      <c r="Q3914" s="184" t="n">
        <v>0</v>
      </c>
      <c r="R3914" s="184" t="n">
        <v>0</v>
      </c>
      <c r="S3914" s="183" t="n">
        <v>0</v>
      </c>
      <c r="T3914" s="183" t="n">
        <v>0</v>
      </c>
      <c r="U3914" s="182" t="n">
        <v>0</v>
      </c>
      <c r="V3914" s="182" t="n">
        <v>0</v>
      </c>
      <c r="W3914" s="182" t="n">
        <v>0</v>
      </c>
      <c r="X3914" s="182" t="n">
        <v>1</v>
      </c>
      <c r="Y3914" s="182" t="n">
        <v>0</v>
      </c>
      <c r="Z3914" s="182" t="n">
        <v>0</v>
      </c>
      <c r="AA3914" s="182" t="n">
        <v>0</v>
      </c>
      <c r="AB3914" s="182" t="n">
        <v>0</v>
      </c>
      <c r="AC3914" s="182" t="n">
        <v>0</v>
      </c>
      <c r="AD3914" s="182" t="n">
        <v>0</v>
      </c>
      <c r="AE3914" s="182" t="n">
        <v>0</v>
      </c>
      <c r="AF3914" s="182" t="n">
        <v>0</v>
      </c>
      <c r="AG3914" s="182" t="n">
        <v>0</v>
      </c>
      <c r="AH3914" s="182" t="n">
        <v>0</v>
      </c>
      <c r="AI3914" s="182" t="n">
        <v>0</v>
      </c>
      <c r="AJ3914" s="182" t="n">
        <v>0</v>
      </c>
      <c r="AK3914" s="182" t="n">
        <v>10.92</v>
      </c>
      <c r="AL3914" s="182" t="n">
        <v>0</v>
      </c>
      <c r="AM3914" s="182" t="n">
        <v>0.08</v>
      </c>
      <c r="AN3914" s="182" t="n">
        <v>0</v>
      </c>
    </row>
    <row r="3915">
      <c r="A3915" s="155" t="n">
        <v>46099</v>
      </c>
      <c r="B3915" s="156" t="inlineStr">
        <is>
          <t>NS</t>
        </is>
      </c>
      <c r="C3915" s="156" t="inlineStr">
        <is>
          <t>DT-807</t>
        </is>
      </c>
      <c r="D3915" s="156" t="inlineStr">
        <is>
          <t>SKT 80S</t>
        </is>
      </c>
      <c r="E3915" s="156" t="inlineStr">
        <is>
          <t>Hauler</t>
        </is>
      </c>
      <c r="F3915" s="156" t="inlineStr"/>
      <c r="G3915" s="182" t="n">
        <v>0</v>
      </c>
      <c r="H3915" s="182" t="n">
        <v>0</v>
      </c>
      <c r="I3915" s="182" t="n">
        <v>0</v>
      </c>
      <c r="J3915" s="182" t="n">
        <v>0</v>
      </c>
      <c r="K3915" s="182" t="n">
        <v>12</v>
      </c>
      <c r="L3915" s="182" t="n">
        <v>12</v>
      </c>
      <c r="M3915" s="182" t="n">
        <v>0</v>
      </c>
      <c r="N3915" s="182" t="n">
        <v>0</v>
      </c>
      <c r="O3915" s="183" t="n">
        <v>0</v>
      </c>
      <c r="P3915" s="183" t="n">
        <v>0</v>
      </c>
      <c r="Q3915" s="184" t="n">
        <v>0</v>
      </c>
      <c r="R3915" s="184" t="n">
        <v>0</v>
      </c>
      <c r="S3915" s="183" t="n">
        <v>0</v>
      </c>
      <c r="T3915" s="183" t="n">
        <v>0</v>
      </c>
      <c r="U3915" s="182" t="n">
        <v>0</v>
      </c>
      <c r="V3915" s="182" t="n">
        <v>0</v>
      </c>
      <c r="W3915" s="182" t="n">
        <v>0</v>
      </c>
      <c r="X3915" s="182" t="n">
        <v>1</v>
      </c>
      <c r="Y3915" s="182" t="n">
        <v>0</v>
      </c>
      <c r="Z3915" s="182" t="n">
        <v>0</v>
      </c>
      <c r="AA3915" s="182" t="n">
        <v>0</v>
      </c>
      <c r="AB3915" s="182" t="n">
        <v>0</v>
      </c>
      <c r="AC3915" s="182" t="n">
        <v>0</v>
      </c>
      <c r="AD3915" s="182" t="n">
        <v>0</v>
      </c>
      <c r="AE3915" s="182" t="n">
        <v>0</v>
      </c>
      <c r="AF3915" s="182" t="n">
        <v>0</v>
      </c>
      <c r="AG3915" s="182" t="n">
        <v>0</v>
      </c>
      <c r="AH3915" s="182" t="n">
        <v>0</v>
      </c>
      <c r="AI3915" s="182" t="n">
        <v>0</v>
      </c>
      <c r="AJ3915" s="182" t="n">
        <v>0</v>
      </c>
      <c r="AK3915" s="182" t="n">
        <v>10.92</v>
      </c>
      <c r="AL3915" s="182" t="n">
        <v>0</v>
      </c>
      <c r="AM3915" s="182" t="n">
        <v>0.08</v>
      </c>
      <c r="AN3915" s="182" t="n">
        <v>0</v>
      </c>
    </row>
    <row r="3916">
      <c r="A3916" s="155" t="n">
        <v>46099</v>
      </c>
      <c r="B3916" s="156" t="inlineStr">
        <is>
          <t>NS</t>
        </is>
      </c>
      <c r="C3916" s="156" t="inlineStr">
        <is>
          <t>DT-812</t>
        </is>
      </c>
      <c r="D3916" s="156" t="inlineStr">
        <is>
          <t>SKT 80S</t>
        </is>
      </c>
      <c r="E3916" s="156" t="inlineStr">
        <is>
          <t>Hauler</t>
        </is>
      </c>
      <c r="F3916" s="156" t="inlineStr">
        <is>
          <t>Hauling Coal</t>
        </is>
      </c>
      <c r="G3916" s="182" t="n">
        <v>4.66</v>
      </c>
      <c r="H3916" s="182" t="n">
        <v>0</v>
      </c>
      <c r="I3916" s="182" t="n">
        <v>0</v>
      </c>
      <c r="J3916" s="182" t="n">
        <v>0</v>
      </c>
      <c r="K3916" s="182" t="n">
        <v>7.34</v>
      </c>
      <c r="L3916" s="182" t="n">
        <v>12</v>
      </c>
      <c r="M3916" s="182" t="n">
        <v>0</v>
      </c>
      <c r="N3916" s="182" t="n">
        <v>4.66</v>
      </c>
      <c r="O3916" s="183" t="n">
        <v>0</v>
      </c>
      <c r="P3916" s="183" t="n">
        <v>12</v>
      </c>
      <c r="Q3916" s="184" t="n">
        <v>0</v>
      </c>
      <c r="R3916" s="184" t="n">
        <v>183.6</v>
      </c>
      <c r="S3916" s="183" t="n">
        <v>0</v>
      </c>
      <c r="T3916" s="183" t="n">
        <v>0</v>
      </c>
      <c r="U3916" s="182" t="n">
        <v>0</v>
      </c>
      <c r="V3916" s="182" t="n">
        <v>0</v>
      </c>
      <c r="W3916" s="182" t="n">
        <v>0</v>
      </c>
      <c r="X3916" s="182" t="n">
        <v>0.98</v>
      </c>
      <c r="Y3916" s="182" t="n">
        <v>0</v>
      </c>
      <c r="Z3916" s="182" t="n">
        <v>0</v>
      </c>
      <c r="AA3916" s="182" t="n">
        <v>0</v>
      </c>
      <c r="AB3916" s="182" t="n">
        <v>0</v>
      </c>
      <c r="AC3916" s="182" t="n">
        <v>0</v>
      </c>
      <c r="AD3916" s="182" t="n">
        <v>0</v>
      </c>
      <c r="AE3916" s="182" t="n">
        <v>0</v>
      </c>
      <c r="AF3916" s="182" t="n">
        <v>0</v>
      </c>
      <c r="AG3916" s="182" t="n">
        <v>0</v>
      </c>
      <c r="AH3916" s="182" t="n">
        <v>0</v>
      </c>
      <c r="AI3916" s="182" t="n">
        <v>0</v>
      </c>
      <c r="AJ3916" s="182" t="n">
        <v>0</v>
      </c>
      <c r="AK3916" s="182" t="n">
        <v>6.28</v>
      </c>
      <c r="AL3916" s="182" t="n">
        <v>0</v>
      </c>
      <c r="AM3916" s="182" t="n">
        <v>0.08</v>
      </c>
      <c r="AN3916" s="182" t="n">
        <v>0</v>
      </c>
    </row>
    <row r="3917">
      <c r="A3917" s="155" t="n">
        <v>46099</v>
      </c>
      <c r="B3917" s="156" t="inlineStr">
        <is>
          <t>NS</t>
        </is>
      </c>
      <c r="C3917" s="156" t="inlineStr">
        <is>
          <t>DT-803</t>
        </is>
      </c>
      <c r="D3917" s="156" t="inlineStr">
        <is>
          <t>SKT 80S</t>
        </is>
      </c>
      <c r="E3917" s="156" t="inlineStr">
        <is>
          <t>Hauler</t>
        </is>
      </c>
      <c r="F3917" s="156" t="inlineStr"/>
      <c r="G3917" s="182" t="n">
        <v>0</v>
      </c>
      <c r="H3917" s="182" t="n">
        <v>0</v>
      </c>
      <c r="I3917" s="182" t="n">
        <v>0</v>
      </c>
      <c r="J3917" s="182" t="n">
        <v>0</v>
      </c>
      <c r="K3917" s="182" t="n">
        <v>12</v>
      </c>
      <c r="L3917" s="182" t="n">
        <v>12</v>
      </c>
      <c r="M3917" s="182" t="n">
        <v>0</v>
      </c>
      <c r="N3917" s="182" t="n">
        <v>0</v>
      </c>
      <c r="O3917" s="183" t="n">
        <v>0</v>
      </c>
      <c r="P3917" s="183" t="n">
        <v>0</v>
      </c>
      <c r="Q3917" s="184" t="n">
        <v>0</v>
      </c>
      <c r="R3917" s="184" t="n">
        <v>0</v>
      </c>
      <c r="S3917" s="183" t="n">
        <v>0</v>
      </c>
      <c r="T3917" s="183" t="n">
        <v>0</v>
      </c>
      <c r="U3917" s="182" t="n">
        <v>0</v>
      </c>
      <c r="V3917" s="182" t="n">
        <v>0</v>
      </c>
      <c r="W3917" s="182" t="n">
        <v>0</v>
      </c>
      <c r="X3917" s="182" t="n">
        <v>1</v>
      </c>
      <c r="Y3917" s="182" t="n">
        <v>0</v>
      </c>
      <c r="Z3917" s="182" t="n">
        <v>0</v>
      </c>
      <c r="AA3917" s="182" t="n">
        <v>0</v>
      </c>
      <c r="AB3917" s="182" t="n">
        <v>0</v>
      </c>
      <c r="AC3917" s="182" t="n">
        <v>0</v>
      </c>
      <c r="AD3917" s="182" t="n">
        <v>0</v>
      </c>
      <c r="AE3917" s="182" t="n">
        <v>0</v>
      </c>
      <c r="AF3917" s="182" t="n">
        <v>0</v>
      </c>
      <c r="AG3917" s="182" t="n">
        <v>0</v>
      </c>
      <c r="AH3917" s="182" t="n">
        <v>0</v>
      </c>
      <c r="AI3917" s="182" t="n">
        <v>0</v>
      </c>
      <c r="AJ3917" s="182" t="n">
        <v>0</v>
      </c>
      <c r="AK3917" s="182" t="n">
        <v>10.92</v>
      </c>
      <c r="AL3917" s="182" t="n">
        <v>0</v>
      </c>
      <c r="AM3917" s="182" t="n">
        <v>0.08</v>
      </c>
      <c r="AN3917" s="182" t="n">
        <v>0</v>
      </c>
    </row>
    <row r="3918">
      <c r="A3918" s="155" t="n">
        <v>46099</v>
      </c>
      <c r="B3918" s="156" t="inlineStr">
        <is>
          <t>NS</t>
        </is>
      </c>
      <c r="C3918" s="156" t="inlineStr">
        <is>
          <t>DT-810</t>
        </is>
      </c>
      <c r="D3918" s="156" t="inlineStr">
        <is>
          <t>SKT 80S</t>
        </is>
      </c>
      <c r="E3918" s="156" t="inlineStr">
        <is>
          <t>Hauler</t>
        </is>
      </c>
      <c r="F3918" s="156" t="inlineStr">
        <is>
          <t>Hauling Coal</t>
        </is>
      </c>
      <c r="G3918" s="182" t="n">
        <v>4.22</v>
      </c>
      <c r="H3918" s="182" t="n">
        <v>0</v>
      </c>
      <c r="I3918" s="182" t="n">
        <v>0</v>
      </c>
      <c r="J3918" s="182" t="n">
        <v>0</v>
      </c>
      <c r="K3918" s="182" t="n">
        <v>7.78</v>
      </c>
      <c r="L3918" s="182" t="n">
        <v>12</v>
      </c>
      <c r="M3918" s="182" t="n">
        <v>0</v>
      </c>
      <c r="N3918" s="182" t="n">
        <v>4.22</v>
      </c>
      <c r="O3918" s="183" t="n">
        <v>0</v>
      </c>
      <c r="P3918" s="183" t="n">
        <v>10</v>
      </c>
      <c r="Q3918" s="184" t="n">
        <v>0</v>
      </c>
      <c r="R3918" s="184" t="n">
        <v>153</v>
      </c>
      <c r="S3918" s="183" t="n">
        <v>0</v>
      </c>
      <c r="T3918" s="183" t="n">
        <v>0</v>
      </c>
      <c r="U3918" s="182" t="n">
        <v>0</v>
      </c>
      <c r="V3918" s="182" t="n">
        <v>0</v>
      </c>
      <c r="W3918" s="182" t="n">
        <v>0</v>
      </c>
      <c r="X3918" s="182" t="n">
        <v>0.97</v>
      </c>
      <c r="Y3918" s="182" t="n">
        <v>0</v>
      </c>
      <c r="Z3918" s="182" t="n">
        <v>0</v>
      </c>
      <c r="AA3918" s="182" t="n">
        <v>0</v>
      </c>
      <c r="AB3918" s="182" t="n">
        <v>0</v>
      </c>
      <c r="AC3918" s="182" t="n">
        <v>0</v>
      </c>
      <c r="AD3918" s="182" t="n">
        <v>0</v>
      </c>
      <c r="AE3918" s="182" t="n">
        <v>0</v>
      </c>
      <c r="AF3918" s="182" t="n">
        <v>0</v>
      </c>
      <c r="AG3918" s="182" t="n">
        <v>0</v>
      </c>
      <c r="AH3918" s="182" t="n">
        <v>0</v>
      </c>
      <c r="AI3918" s="182" t="n">
        <v>0</v>
      </c>
      <c r="AJ3918" s="182" t="n">
        <v>0</v>
      </c>
      <c r="AK3918" s="182" t="n">
        <v>6.73</v>
      </c>
      <c r="AL3918" s="182" t="n">
        <v>0</v>
      </c>
      <c r="AM3918" s="182" t="n">
        <v>0.08</v>
      </c>
      <c r="AN3918" s="182" t="n">
        <v>0</v>
      </c>
    </row>
    <row r="3919">
      <c r="A3919" s="155" t="n">
        <v>46099</v>
      </c>
      <c r="B3919" s="156" t="inlineStr">
        <is>
          <t>NS</t>
        </is>
      </c>
      <c r="C3919" s="156" t="inlineStr">
        <is>
          <t>DT-804</t>
        </is>
      </c>
      <c r="D3919" s="156" t="inlineStr">
        <is>
          <t>SKT 80S</t>
        </is>
      </c>
      <c r="E3919" s="156" t="inlineStr">
        <is>
          <t>Hauler</t>
        </is>
      </c>
      <c r="F3919" s="156" t="inlineStr">
        <is>
          <t>Support Washing Plant</t>
        </is>
      </c>
      <c r="G3919" s="182" t="n">
        <v>4.51</v>
      </c>
      <c r="H3919" s="182" t="n">
        <v>0</v>
      </c>
      <c r="I3919" s="182" t="n">
        <v>0</v>
      </c>
      <c r="J3919" s="182" t="n">
        <v>0</v>
      </c>
      <c r="K3919" s="182" t="n">
        <v>7.49</v>
      </c>
      <c r="L3919" s="182" t="n">
        <v>12</v>
      </c>
      <c r="M3919" s="182" t="n">
        <v>0</v>
      </c>
      <c r="N3919" s="182" t="n">
        <v>0</v>
      </c>
      <c r="O3919" s="183" t="n">
        <v>0</v>
      </c>
      <c r="P3919" s="183" t="n">
        <v>0</v>
      </c>
      <c r="Q3919" s="184" t="n">
        <v>0</v>
      </c>
      <c r="R3919" s="184" t="n">
        <v>0</v>
      </c>
      <c r="S3919" s="183" t="n">
        <v>0</v>
      </c>
      <c r="T3919" s="183" t="n">
        <v>0</v>
      </c>
      <c r="U3919" s="182" t="n">
        <v>0</v>
      </c>
      <c r="V3919" s="182" t="n">
        <v>0</v>
      </c>
      <c r="W3919" s="182" t="n">
        <v>0</v>
      </c>
      <c r="X3919" s="182" t="n">
        <v>1.05</v>
      </c>
      <c r="Y3919" s="182" t="n">
        <v>0</v>
      </c>
      <c r="Z3919" s="182" t="n">
        <v>0</v>
      </c>
      <c r="AA3919" s="182" t="n">
        <v>0</v>
      </c>
      <c r="AB3919" s="182" t="n">
        <v>0</v>
      </c>
      <c r="AC3919" s="182" t="n">
        <v>0</v>
      </c>
      <c r="AD3919" s="182" t="n">
        <v>0</v>
      </c>
      <c r="AE3919" s="182" t="n">
        <v>0</v>
      </c>
      <c r="AF3919" s="182" t="n">
        <v>0</v>
      </c>
      <c r="AG3919" s="182" t="n">
        <v>0</v>
      </c>
      <c r="AH3919" s="182" t="n">
        <v>0</v>
      </c>
      <c r="AI3919" s="182" t="n">
        <v>0</v>
      </c>
      <c r="AJ3919" s="182" t="n">
        <v>0</v>
      </c>
      <c r="AK3919" s="182" t="n">
        <v>6.35</v>
      </c>
      <c r="AL3919" s="182" t="n">
        <v>0</v>
      </c>
      <c r="AM3919" s="182" t="n">
        <v>0.08</v>
      </c>
      <c r="AN3919" s="182" t="n">
        <v>0</v>
      </c>
    </row>
    <row r="3920">
      <c r="A3920" s="155" t="n">
        <v>46099</v>
      </c>
      <c r="B3920" s="156" t="inlineStr">
        <is>
          <t>NS</t>
        </is>
      </c>
      <c r="C3920" s="156" t="inlineStr">
        <is>
          <t>DT-505</t>
        </is>
      </c>
      <c r="D3920" s="156" t="inlineStr">
        <is>
          <t>SKT 105S</t>
        </is>
      </c>
      <c r="E3920" s="156" t="inlineStr">
        <is>
          <t>Hauler</t>
        </is>
      </c>
      <c r="F3920" s="156" t="inlineStr">
        <is>
          <t>Hauling OB</t>
        </is>
      </c>
      <c r="G3920" s="182" t="n">
        <v>5.76</v>
      </c>
      <c r="H3920" s="182" t="n">
        <v>0</v>
      </c>
      <c r="I3920" s="182" t="n">
        <v>0</v>
      </c>
      <c r="J3920" s="182" t="n">
        <v>0</v>
      </c>
      <c r="K3920" s="182" t="n">
        <v>6.24</v>
      </c>
      <c r="L3920" s="182" t="n">
        <v>12</v>
      </c>
      <c r="M3920" s="182" t="n">
        <v>5.76</v>
      </c>
      <c r="N3920" s="182" t="n">
        <v>0</v>
      </c>
      <c r="O3920" s="183" t="n">
        <v>18</v>
      </c>
      <c r="P3920" s="183" t="n">
        <v>0</v>
      </c>
      <c r="Q3920" s="184" t="n">
        <v>367.2</v>
      </c>
      <c r="R3920" s="184" t="n">
        <v>0</v>
      </c>
      <c r="S3920" s="183" t="n">
        <v>0</v>
      </c>
      <c r="T3920" s="183" t="n">
        <v>0</v>
      </c>
      <c r="U3920" s="182" t="n">
        <v>0</v>
      </c>
      <c r="V3920" s="182" t="n">
        <v>0</v>
      </c>
      <c r="W3920" s="182" t="n">
        <v>0</v>
      </c>
      <c r="X3920" s="182" t="n">
        <v>0.99</v>
      </c>
      <c r="Y3920" s="182" t="n">
        <v>0</v>
      </c>
      <c r="Z3920" s="182" t="n">
        <v>0.1</v>
      </c>
      <c r="AA3920" s="182" t="n">
        <v>0</v>
      </c>
      <c r="AB3920" s="182" t="n">
        <v>0</v>
      </c>
      <c r="AC3920" s="182" t="n">
        <v>0</v>
      </c>
      <c r="AD3920" s="182" t="n">
        <v>0</v>
      </c>
      <c r="AE3920" s="182" t="n">
        <v>0</v>
      </c>
      <c r="AF3920" s="182" t="n">
        <v>0</v>
      </c>
      <c r="AG3920" s="182" t="n">
        <v>0</v>
      </c>
      <c r="AH3920" s="182" t="n">
        <v>0</v>
      </c>
      <c r="AI3920" s="182" t="n">
        <v>5.07</v>
      </c>
      <c r="AJ3920" s="182" t="n">
        <v>0</v>
      </c>
      <c r="AK3920" s="182" t="n">
        <v>0</v>
      </c>
      <c r="AL3920" s="182" t="n">
        <v>0</v>
      </c>
      <c r="AM3920" s="182" t="n">
        <v>0.08</v>
      </c>
      <c r="AN3920" s="182" t="n">
        <v>0</v>
      </c>
    </row>
    <row r="3921">
      <c r="A3921" s="155" t="n">
        <v>46099</v>
      </c>
      <c r="B3921" s="156" t="inlineStr">
        <is>
          <t>NS</t>
        </is>
      </c>
      <c r="C3921" s="156" t="inlineStr">
        <is>
          <t>DT-530</t>
        </is>
      </c>
      <c r="D3921" s="156" t="inlineStr">
        <is>
          <t>SKT 105S</t>
        </is>
      </c>
      <c r="E3921" s="156" t="inlineStr">
        <is>
          <t>Hauler</t>
        </is>
      </c>
      <c r="F3921" s="156" t="inlineStr"/>
      <c r="G3921" s="182" t="n">
        <v>0</v>
      </c>
      <c r="H3921" s="182" t="n">
        <v>0</v>
      </c>
      <c r="I3921" s="182" t="n">
        <v>12</v>
      </c>
      <c r="J3921" s="182" t="n">
        <v>12</v>
      </c>
      <c r="K3921" s="182" t="n">
        <v>0</v>
      </c>
      <c r="L3921" s="182" t="n">
        <v>12</v>
      </c>
      <c r="M3921" s="182" t="n">
        <v>0</v>
      </c>
      <c r="N3921" s="182" t="n">
        <v>0</v>
      </c>
      <c r="O3921" s="183" t="n">
        <v>0</v>
      </c>
      <c r="P3921" s="183" t="n">
        <v>0</v>
      </c>
      <c r="Q3921" s="184" t="n">
        <v>0</v>
      </c>
      <c r="R3921" s="184" t="n">
        <v>0</v>
      </c>
      <c r="S3921" s="183" t="n">
        <v>0</v>
      </c>
      <c r="T3921" s="183" t="n">
        <v>0</v>
      </c>
      <c r="U3921" s="182" t="n">
        <v>0</v>
      </c>
      <c r="V3921" s="182" t="n">
        <v>0</v>
      </c>
      <c r="W3921" s="182" t="n">
        <v>0</v>
      </c>
      <c r="X3921" s="182" t="n">
        <v>0</v>
      </c>
      <c r="Y3921" s="182" t="n">
        <v>0</v>
      </c>
      <c r="Z3921" s="182" t="n">
        <v>0</v>
      </c>
      <c r="AA3921" s="182" t="n">
        <v>0</v>
      </c>
      <c r="AB3921" s="182" t="n">
        <v>0</v>
      </c>
      <c r="AC3921" s="182" t="n">
        <v>0</v>
      </c>
      <c r="AD3921" s="182" t="n">
        <v>0</v>
      </c>
      <c r="AE3921" s="182" t="n">
        <v>0</v>
      </c>
      <c r="AF3921" s="182" t="n">
        <v>0</v>
      </c>
      <c r="AG3921" s="182" t="n">
        <v>0</v>
      </c>
      <c r="AH3921" s="182" t="n">
        <v>0</v>
      </c>
      <c r="AI3921" s="182" t="n">
        <v>0</v>
      </c>
      <c r="AJ3921" s="182" t="n">
        <v>0</v>
      </c>
      <c r="AK3921" s="182" t="n">
        <v>0</v>
      </c>
      <c r="AL3921" s="182" t="n">
        <v>0</v>
      </c>
      <c r="AM3921" s="182" t="n">
        <v>0</v>
      </c>
      <c r="AN3921" s="182" t="n">
        <v>0</v>
      </c>
    </row>
    <row r="3922">
      <c r="A3922" s="155" t="n">
        <v>46099</v>
      </c>
      <c r="B3922" s="156" t="inlineStr">
        <is>
          <t>NS</t>
        </is>
      </c>
      <c r="C3922" s="156" t="inlineStr">
        <is>
          <t>DT-525</t>
        </is>
      </c>
      <c r="D3922" s="156" t="inlineStr">
        <is>
          <t>SKT 105S</t>
        </is>
      </c>
      <c r="E3922" s="156" t="inlineStr">
        <is>
          <t>Hauler</t>
        </is>
      </c>
      <c r="F3922" s="156" t="inlineStr"/>
      <c r="G3922" s="182" t="n">
        <v>0</v>
      </c>
      <c r="H3922" s="182" t="n">
        <v>0</v>
      </c>
      <c r="I3922" s="182" t="n">
        <v>12</v>
      </c>
      <c r="J3922" s="182" t="n">
        <v>12</v>
      </c>
      <c r="K3922" s="182" t="n">
        <v>0</v>
      </c>
      <c r="L3922" s="182" t="n">
        <v>12</v>
      </c>
      <c r="M3922" s="182" t="n">
        <v>0</v>
      </c>
      <c r="N3922" s="182" t="n">
        <v>0</v>
      </c>
      <c r="O3922" s="183" t="n">
        <v>0</v>
      </c>
      <c r="P3922" s="183" t="n">
        <v>0</v>
      </c>
      <c r="Q3922" s="184" t="n">
        <v>0</v>
      </c>
      <c r="R3922" s="184" t="n">
        <v>0</v>
      </c>
      <c r="S3922" s="183" t="n">
        <v>0</v>
      </c>
      <c r="T3922" s="183" t="n">
        <v>0</v>
      </c>
      <c r="U3922" s="182" t="n">
        <v>0</v>
      </c>
      <c r="V3922" s="182" t="n">
        <v>0</v>
      </c>
      <c r="W3922" s="182" t="n">
        <v>0</v>
      </c>
      <c r="X3922" s="182" t="n">
        <v>0</v>
      </c>
      <c r="Y3922" s="182" t="n">
        <v>0</v>
      </c>
      <c r="Z3922" s="182" t="n">
        <v>0</v>
      </c>
      <c r="AA3922" s="182" t="n">
        <v>0</v>
      </c>
      <c r="AB3922" s="182" t="n">
        <v>0</v>
      </c>
      <c r="AC3922" s="182" t="n">
        <v>0</v>
      </c>
      <c r="AD3922" s="182" t="n">
        <v>0</v>
      </c>
      <c r="AE3922" s="182" t="n">
        <v>0</v>
      </c>
      <c r="AF3922" s="182" t="n">
        <v>0</v>
      </c>
      <c r="AG3922" s="182" t="n">
        <v>0</v>
      </c>
      <c r="AH3922" s="182" t="n">
        <v>0</v>
      </c>
      <c r="AI3922" s="182" t="n">
        <v>0</v>
      </c>
      <c r="AJ3922" s="182" t="n">
        <v>0</v>
      </c>
      <c r="AK3922" s="182" t="n">
        <v>0</v>
      </c>
      <c r="AL3922" s="182" t="n">
        <v>0</v>
      </c>
      <c r="AM3922" s="182" t="n">
        <v>0</v>
      </c>
      <c r="AN3922" s="182" t="n">
        <v>0</v>
      </c>
    </row>
    <row r="3923">
      <c r="A3923" s="155" t="n">
        <v>46099</v>
      </c>
      <c r="B3923" s="156" t="inlineStr">
        <is>
          <t>NS</t>
        </is>
      </c>
      <c r="C3923" s="156" t="inlineStr">
        <is>
          <t>DT-503</t>
        </is>
      </c>
      <c r="D3923" s="156" t="inlineStr">
        <is>
          <t>SKT 105S</t>
        </is>
      </c>
      <c r="E3923" s="156" t="inlineStr">
        <is>
          <t>Hauler</t>
        </is>
      </c>
      <c r="F3923" s="156" t="inlineStr">
        <is>
          <t>Hauling OB</t>
        </is>
      </c>
      <c r="G3923" s="182" t="n">
        <v>9.25</v>
      </c>
      <c r="H3923" s="182" t="n">
        <v>0</v>
      </c>
      <c r="I3923" s="182" t="n">
        <v>0.83</v>
      </c>
      <c r="J3923" s="182" t="n">
        <v>0.83</v>
      </c>
      <c r="K3923" s="182" t="n">
        <v>1.92</v>
      </c>
      <c r="L3923" s="182" t="n">
        <v>12</v>
      </c>
      <c r="M3923" s="182" t="n">
        <v>9.25</v>
      </c>
      <c r="N3923" s="182" t="n">
        <v>0</v>
      </c>
      <c r="O3923" s="183" t="n">
        <v>37</v>
      </c>
      <c r="P3923" s="183" t="n">
        <v>0</v>
      </c>
      <c r="Q3923" s="184" t="n">
        <v>754.8</v>
      </c>
      <c r="R3923" s="184" t="n">
        <v>0</v>
      </c>
      <c r="S3923" s="183" t="n">
        <v>0</v>
      </c>
      <c r="T3923" s="183" t="n">
        <v>0</v>
      </c>
      <c r="U3923" s="182" t="n">
        <v>0</v>
      </c>
      <c r="V3923" s="182" t="n">
        <v>0</v>
      </c>
      <c r="W3923" s="182" t="n">
        <v>0</v>
      </c>
      <c r="X3923" s="182" t="n">
        <v>1.08</v>
      </c>
      <c r="Y3923" s="182" t="n">
        <v>0</v>
      </c>
      <c r="Z3923" s="182" t="n">
        <v>0.11</v>
      </c>
      <c r="AA3923" s="182" t="n">
        <v>0</v>
      </c>
      <c r="AB3923" s="182" t="n">
        <v>0</v>
      </c>
      <c r="AC3923" s="182" t="n">
        <v>0</v>
      </c>
      <c r="AD3923" s="182" t="n">
        <v>0</v>
      </c>
      <c r="AE3923" s="182" t="n">
        <v>0</v>
      </c>
      <c r="AF3923" s="182" t="n">
        <v>0</v>
      </c>
      <c r="AG3923" s="182" t="n">
        <v>0</v>
      </c>
      <c r="AH3923" s="182" t="n">
        <v>0.63</v>
      </c>
      <c r="AI3923" s="182" t="n">
        <v>0</v>
      </c>
      <c r="AJ3923" s="182" t="n">
        <v>0</v>
      </c>
      <c r="AK3923" s="182" t="n">
        <v>0</v>
      </c>
      <c r="AL3923" s="182" t="n">
        <v>0</v>
      </c>
      <c r="AM3923" s="182" t="n">
        <v>0.09</v>
      </c>
      <c r="AN3923" s="182" t="n">
        <v>0</v>
      </c>
    </row>
    <row r="3924">
      <c r="A3924" s="155" t="n">
        <v>46099</v>
      </c>
      <c r="B3924" s="156" t="inlineStr">
        <is>
          <t>NS</t>
        </is>
      </c>
      <c r="C3924" s="156" t="inlineStr">
        <is>
          <t>DT-504</t>
        </is>
      </c>
      <c r="D3924" s="156" t="inlineStr">
        <is>
          <t>SKT 105S</t>
        </is>
      </c>
      <c r="E3924" s="156" t="inlineStr">
        <is>
          <t>Hauler</t>
        </is>
      </c>
      <c r="F3924" s="156" t="inlineStr">
        <is>
          <t>Hauling OB &amp; Coal</t>
        </is>
      </c>
      <c r="G3924" s="182" t="n">
        <v>9.710000000000001</v>
      </c>
      <c r="H3924" s="182" t="n">
        <v>0</v>
      </c>
      <c r="I3924" s="182" t="n">
        <v>0.08</v>
      </c>
      <c r="J3924" s="182" t="n">
        <v>0.08</v>
      </c>
      <c r="K3924" s="182" t="n">
        <v>2.21</v>
      </c>
      <c r="L3924" s="182" t="n">
        <v>12</v>
      </c>
      <c r="M3924" s="182" t="n">
        <v>1.96</v>
      </c>
      <c r="N3924" s="182" t="n">
        <v>7.75</v>
      </c>
      <c r="O3924" s="183" t="n">
        <v>7</v>
      </c>
      <c r="P3924" s="183" t="n">
        <v>21</v>
      </c>
      <c r="Q3924" s="184" t="n">
        <v>114.2</v>
      </c>
      <c r="R3924" s="184" t="n">
        <v>392.7</v>
      </c>
      <c r="S3924" s="183" t="n">
        <v>0</v>
      </c>
      <c r="T3924" s="183" t="n">
        <v>0</v>
      </c>
      <c r="U3924" s="182" t="n">
        <v>0</v>
      </c>
      <c r="V3924" s="182" t="n">
        <v>0</v>
      </c>
      <c r="W3924" s="182" t="n">
        <v>1.1</v>
      </c>
      <c r="X3924" s="182" t="n">
        <v>0.88</v>
      </c>
      <c r="Y3924" s="182" t="n">
        <v>0</v>
      </c>
      <c r="Z3924" s="182" t="n">
        <v>0.09</v>
      </c>
      <c r="AA3924" s="182" t="n">
        <v>0</v>
      </c>
      <c r="AB3924" s="182" t="n">
        <v>0</v>
      </c>
      <c r="AC3924" s="182" t="n">
        <v>0</v>
      </c>
      <c r="AD3924" s="182" t="n">
        <v>0</v>
      </c>
      <c r="AE3924" s="182" t="n">
        <v>0</v>
      </c>
      <c r="AF3924" s="182" t="n">
        <v>0</v>
      </c>
      <c r="AG3924" s="182" t="n">
        <v>0</v>
      </c>
      <c r="AH3924" s="182" t="n">
        <v>0.07000000000000001</v>
      </c>
      <c r="AI3924" s="182" t="n">
        <v>0</v>
      </c>
      <c r="AJ3924" s="182" t="n">
        <v>0</v>
      </c>
      <c r="AK3924" s="182" t="n">
        <v>0</v>
      </c>
      <c r="AL3924" s="182" t="n">
        <v>0</v>
      </c>
      <c r="AM3924" s="182" t="n">
        <v>0.07000000000000001</v>
      </c>
      <c r="AN3924" s="182" t="n">
        <v>0</v>
      </c>
    </row>
    <row r="3925">
      <c r="A3925" s="155" t="n">
        <v>46099</v>
      </c>
      <c r="B3925" s="156" t="inlineStr">
        <is>
          <t>NS</t>
        </is>
      </c>
      <c r="C3925" s="156" t="inlineStr">
        <is>
          <t>DT-507</t>
        </is>
      </c>
      <c r="D3925" s="156" t="inlineStr">
        <is>
          <t>SKT 105S</t>
        </is>
      </c>
      <c r="E3925" s="156" t="inlineStr">
        <is>
          <t>Hauler</t>
        </is>
      </c>
      <c r="F3925" s="156" t="inlineStr"/>
      <c r="G3925" s="182" t="n">
        <v>0</v>
      </c>
      <c r="H3925" s="182" t="n">
        <v>0</v>
      </c>
      <c r="I3925" s="182" t="n">
        <v>12</v>
      </c>
      <c r="J3925" s="182" t="n">
        <v>12</v>
      </c>
      <c r="K3925" s="182" t="n">
        <v>0</v>
      </c>
      <c r="L3925" s="182" t="n">
        <v>12</v>
      </c>
      <c r="M3925" s="182" t="n">
        <v>0</v>
      </c>
      <c r="N3925" s="182" t="n">
        <v>0</v>
      </c>
      <c r="O3925" s="183" t="n">
        <v>0</v>
      </c>
      <c r="P3925" s="183" t="n">
        <v>0</v>
      </c>
      <c r="Q3925" s="184" t="n">
        <v>0</v>
      </c>
      <c r="R3925" s="184" t="n">
        <v>0</v>
      </c>
      <c r="S3925" s="183" t="n">
        <v>0</v>
      </c>
      <c r="T3925" s="183" t="n">
        <v>0</v>
      </c>
      <c r="U3925" s="182" t="n">
        <v>0</v>
      </c>
      <c r="V3925" s="182" t="n">
        <v>0</v>
      </c>
      <c r="W3925" s="182" t="n">
        <v>0</v>
      </c>
      <c r="X3925" s="182" t="n">
        <v>0</v>
      </c>
      <c r="Y3925" s="182" t="n">
        <v>0</v>
      </c>
      <c r="Z3925" s="182" t="n">
        <v>0</v>
      </c>
      <c r="AA3925" s="182" t="n">
        <v>0</v>
      </c>
      <c r="AB3925" s="182" t="n">
        <v>0</v>
      </c>
      <c r="AC3925" s="182" t="n">
        <v>0</v>
      </c>
      <c r="AD3925" s="182" t="n">
        <v>0</v>
      </c>
      <c r="AE3925" s="182" t="n">
        <v>0</v>
      </c>
      <c r="AF3925" s="182" t="n">
        <v>0</v>
      </c>
      <c r="AG3925" s="182" t="n">
        <v>0</v>
      </c>
      <c r="AH3925" s="182" t="n">
        <v>0</v>
      </c>
      <c r="AI3925" s="182" t="n">
        <v>0</v>
      </c>
      <c r="AJ3925" s="182" t="n">
        <v>0</v>
      </c>
      <c r="AK3925" s="182" t="n">
        <v>0</v>
      </c>
      <c r="AL3925" s="182" t="n">
        <v>0</v>
      </c>
      <c r="AM3925" s="182" t="n">
        <v>0</v>
      </c>
      <c r="AN3925" s="182" t="n">
        <v>0</v>
      </c>
    </row>
    <row r="3926">
      <c r="A3926" s="155" t="n">
        <v>46099</v>
      </c>
      <c r="B3926" s="156" t="inlineStr">
        <is>
          <t>NS</t>
        </is>
      </c>
      <c r="C3926" s="156" t="inlineStr">
        <is>
          <t>DT-501</t>
        </is>
      </c>
      <c r="D3926" s="156" t="inlineStr">
        <is>
          <t>SKT 105S</t>
        </is>
      </c>
      <c r="E3926" s="156" t="inlineStr">
        <is>
          <t>Hauler</t>
        </is>
      </c>
      <c r="F3926" s="156" t="inlineStr">
        <is>
          <t>Hauling OB</t>
        </is>
      </c>
      <c r="G3926" s="182" t="n">
        <v>1.45</v>
      </c>
      <c r="H3926" s="182" t="n">
        <v>0</v>
      </c>
      <c r="I3926" s="182" t="n">
        <v>8.300000000000001</v>
      </c>
      <c r="J3926" s="182" t="n">
        <v>8.300000000000001</v>
      </c>
      <c r="K3926" s="182" t="n">
        <v>2.25</v>
      </c>
      <c r="L3926" s="182" t="n">
        <v>12</v>
      </c>
      <c r="M3926" s="182" t="n">
        <v>1.45</v>
      </c>
      <c r="N3926" s="182" t="n">
        <v>0</v>
      </c>
      <c r="O3926" s="183" t="n">
        <v>5</v>
      </c>
      <c r="P3926" s="183" t="n">
        <v>0</v>
      </c>
      <c r="Q3926" s="184" t="n">
        <v>102</v>
      </c>
      <c r="R3926" s="184" t="n">
        <v>0</v>
      </c>
      <c r="S3926" s="183" t="n">
        <v>0</v>
      </c>
      <c r="T3926" s="183" t="n">
        <v>0</v>
      </c>
      <c r="U3926" s="182" t="n">
        <v>0</v>
      </c>
      <c r="V3926" s="182" t="n">
        <v>0</v>
      </c>
      <c r="W3926" s="182" t="n">
        <v>0</v>
      </c>
      <c r="X3926" s="182" t="n">
        <v>1.12</v>
      </c>
      <c r="Y3926" s="182" t="n">
        <v>0</v>
      </c>
      <c r="Z3926" s="182" t="n">
        <v>0.11</v>
      </c>
      <c r="AA3926" s="182" t="n">
        <v>0</v>
      </c>
      <c r="AB3926" s="182" t="n">
        <v>0</v>
      </c>
      <c r="AC3926" s="182" t="n">
        <v>0</v>
      </c>
      <c r="AD3926" s="182" t="n">
        <v>0</v>
      </c>
      <c r="AE3926" s="182" t="n">
        <v>0</v>
      </c>
      <c r="AF3926" s="182" t="n">
        <v>0</v>
      </c>
      <c r="AG3926" s="182" t="n">
        <v>0</v>
      </c>
      <c r="AH3926" s="182" t="n">
        <v>0.92</v>
      </c>
      <c r="AI3926" s="182" t="n">
        <v>0</v>
      </c>
      <c r="AJ3926" s="182" t="n">
        <v>0</v>
      </c>
      <c r="AK3926" s="182" t="n">
        <v>0</v>
      </c>
      <c r="AL3926" s="182" t="n">
        <v>0</v>
      </c>
      <c r="AM3926" s="182" t="n">
        <v>0.09</v>
      </c>
      <c r="AN3926" s="182" t="n">
        <v>0</v>
      </c>
    </row>
    <row r="3927">
      <c r="A3927" s="155" t="n">
        <v>46099</v>
      </c>
      <c r="B3927" s="156" t="inlineStr">
        <is>
          <t>NS</t>
        </is>
      </c>
      <c r="C3927" s="156" t="inlineStr">
        <is>
          <t>DT-518</t>
        </is>
      </c>
      <c r="D3927" s="156" t="inlineStr">
        <is>
          <t>SKT 105S</t>
        </is>
      </c>
      <c r="E3927" s="156" t="inlineStr">
        <is>
          <t>Hauler</t>
        </is>
      </c>
      <c r="F3927" s="156" t="inlineStr">
        <is>
          <t>Hauling OB</t>
        </is>
      </c>
      <c r="G3927" s="182" t="n">
        <v>9.58</v>
      </c>
      <c r="H3927" s="182" t="n">
        <v>0</v>
      </c>
      <c r="I3927" s="182" t="n">
        <v>0</v>
      </c>
      <c r="J3927" s="182" t="n">
        <v>0</v>
      </c>
      <c r="K3927" s="182" t="n">
        <v>2.42</v>
      </c>
      <c r="L3927" s="182" t="n">
        <v>12</v>
      </c>
      <c r="M3927" s="182" t="n">
        <v>9.58</v>
      </c>
      <c r="N3927" s="182" t="n">
        <v>0</v>
      </c>
      <c r="O3927" s="183" t="n">
        <v>50</v>
      </c>
      <c r="P3927" s="183" t="n">
        <v>0</v>
      </c>
      <c r="Q3927" s="184" t="n">
        <v>1020</v>
      </c>
      <c r="R3927" s="184" t="n">
        <v>0</v>
      </c>
      <c r="S3927" s="183" t="n">
        <v>0</v>
      </c>
      <c r="T3927" s="183" t="n">
        <v>0</v>
      </c>
      <c r="U3927" s="182" t="n">
        <v>0</v>
      </c>
      <c r="V3927" s="182" t="n">
        <v>0</v>
      </c>
      <c r="W3927" s="182" t="n">
        <v>0.48</v>
      </c>
      <c r="X3927" s="182" t="n">
        <v>0.97</v>
      </c>
      <c r="Y3927" s="182" t="n">
        <v>0</v>
      </c>
      <c r="Z3927" s="182" t="n">
        <v>0.1</v>
      </c>
      <c r="AA3927" s="182" t="n">
        <v>0</v>
      </c>
      <c r="AB3927" s="182" t="n">
        <v>0</v>
      </c>
      <c r="AC3927" s="182" t="n">
        <v>0</v>
      </c>
      <c r="AD3927" s="182" t="n">
        <v>0</v>
      </c>
      <c r="AE3927" s="182" t="n">
        <v>0</v>
      </c>
      <c r="AF3927" s="182" t="n">
        <v>0</v>
      </c>
      <c r="AG3927" s="182" t="n">
        <v>0</v>
      </c>
      <c r="AH3927" s="182" t="n">
        <v>0.79</v>
      </c>
      <c r="AI3927" s="182" t="n">
        <v>0</v>
      </c>
      <c r="AJ3927" s="182" t="n">
        <v>0</v>
      </c>
      <c r="AK3927" s="182" t="n">
        <v>0</v>
      </c>
      <c r="AL3927" s="182" t="n">
        <v>0</v>
      </c>
      <c r="AM3927" s="182" t="n">
        <v>0.08</v>
      </c>
      <c r="AN3927" s="182" t="n">
        <v>0</v>
      </c>
    </row>
    <row r="3928">
      <c r="A3928" s="155" t="n">
        <v>46099</v>
      </c>
      <c r="B3928" s="156" t="inlineStr">
        <is>
          <t>NS</t>
        </is>
      </c>
      <c r="C3928" s="156" t="inlineStr">
        <is>
          <t>DT-514</t>
        </is>
      </c>
      <c r="D3928" s="156" t="inlineStr">
        <is>
          <t>SKT 105S</t>
        </is>
      </c>
      <c r="E3928" s="156" t="inlineStr">
        <is>
          <t>Hauler</t>
        </is>
      </c>
      <c r="F3928" s="156" t="inlineStr"/>
      <c r="G3928" s="182" t="n">
        <v>0</v>
      </c>
      <c r="H3928" s="182" t="n">
        <v>0</v>
      </c>
      <c r="I3928" s="182" t="n">
        <v>12</v>
      </c>
      <c r="J3928" s="182" t="n">
        <v>12</v>
      </c>
      <c r="K3928" s="182" t="n">
        <v>0</v>
      </c>
      <c r="L3928" s="182" t="n">
        <v>12</v>
      </c>
      <c r="M3928" s="182" t="n">
        <v>0</v>
      </c>
      <c r="N3928" s="182" t="n">
        <v>0</v>
      </c>
      <c r="O3928" s="183" t="n">
        <v>0</v>
      </c>
      <c r="P3928" s="183" t="n">
        <v>0</v>
      </c>
      <c r="Q3928" s="184" t="n">
        <v>0</v>
      </c>
      <c r="R3928" s="184" t="n">
        <v>0</v>
      </c>
      <c r="S3928" s="183" t="n">
        <v>0</v>
      </c>
      <c r="T3928" s="183" t="n">
        <v>0</v>
      </c>
      <c r="U3928" s="182" t="n">
        <v>0</v>
      </c>
      <c r="V3928" s="182" t="n">
        <v>0</v>
      </c>
      <c r="W3928" s="182" t="n">
        <v>0</v>
      </c>
      <c r="X3928" s="182" t="n">
        <v>0</v>
      </c>
      <c r="Y3928" s="182" t="n">
        <v>0</v>
      </c>
      <c r="Z3928" s="182" t="n">
        <v>0</v>
      </c>
      <c r="AA3928" s="182" t="n">
        <v>0</v>
      </c>
      <c r="AB3928" s="182" t="n">
        <v>0</v>
      </c>
      <c r="AC3928" s="182" t="n">
        <v>0</v>
      </c>
      <c r="AD3928" s="182" t="n">
        <v>0</v>
      </c>
      <c r="AE3928" s="182" t="n">
        <v>0</v>
      </c>
      <c r="AF3928" s="182" t="n">
        <v>0</v>
      </c>
      <c r="AG3928" s="182" t="n">
        <v>0</v>
      </c>
      <c r="AH3928" s="182" t="n">
        <v>0</v>
      </c>
      <c r="AI3928" s="182" t="n">
        <v>0</v>
      </c>
      <c r="AJ3928" s="182" t="n">
        <v>0</v>
      </c>
      <c r="AK3928" s="182" t="n">
        <v>0</v>
      </c>
      <c r="AL3928" s="182" t="n">
        <v>0</v>
      </c>
      <c r="AM3928" s="182" t="n">
        <v>0</v>
      </c>
      <c r="AN3928" s="182" t="n">
        <v>0</v>
      </c>
    </row>
    <row r="3929">
      <c r="A3929" s="155" t="n">
        <v>46099</v>
      </c>
      <c r="B3929" s="156" t="inlineStr">
        <is>
          <t>NS</t>
        </is>
      </c>
      <c r="C3929" s="156" t="inlineStr">
        <is>
          <t>DT-523</t>
        </is>
      </c>
      <c r="D3929" s="156" t="inlineStr">
        <is>
          <t>SKT 105S</t>
        </is>
      </c>
      <c r="E3929" s="156" t="inlineStr">
        <is>
          <t>Hauler</t>
        </is>
      </c>
      <c r="F3929" s="156" t="inlineStr">
        <is>
          <t>Hauling OB</t>
        </is>
      </c>
      <c r="G3929" s="182" t="n">
        <v>8.9</v>
      </c>
      <c r="H3929" s="182" t="n">
        <v>0</v>
      </c>
      <c r="I3929" s="182" t="n">
        <v>0</v>
      </c>
      <c r="J3929" s="182" t="n">
        <v>0</v>
      </c>
      <c r="K3929" s="182" t="n">
        <v>3.1</v>
      </c>
      <c r="L3929" s="182" t="n">
        <v>12</v>
      </c>
      <c r="M3929" s="182" t="n">
        <v>8.9</v>
      </c>
      <c r="N3929" s="182" t="n">
        <v>0</v>
      </c>
      <c r="O3929" s="183" t="n">
        <v>44</v>
      </c>
      <c r="P3929" s="183" t="n">
        <v>0</v>
      </c>
      <c r="Q3929" s="184" t="n">
        <v>897.6</v>
      </c>
      <c r="R3929" s="184" t="n">
        <v>0</v>
      </c>
      <c r="S3929" s="183" t="n">
        <v>0</v>
      </c>
      <c r="T3929" s="183" t="n">
        <v>0</v>
      </c>
      <c r="U3929" s="182" t="n">
        <v>0</v>
      </c>
      <c r="V3929" s="182" t="n">
        <v>0</v>
      </c>
      <c r="W3929" s="182" t="n">
        <v>0.5</v>
      </c>
      <c r="X3929" s="182" t="n">
        <v>1.11</v>
      </c>
      <c r="Y3929" s="182" t="n">
        <v>0</v>
      </c>
      <c r="Z3929" s="182" t="n">
        <v>0.11</v>
      </c>
      <c r="AA3929" s="182" t="n">
        <v>0</v>
      </c>
      <c r="AB3929" s="182" t="n">
        <v>0</v>
      </c>
      <c r="AC3929" s="182" t="n">
        <v>0</v>
      </c>
      <c r="AD3929" s="182" t="n">
        <v>0</v>
      </c>
      <c r="AE3929" s="182" t="n">
        <v>0</v>
      </c>
      <c r="AF3929" s="182" t="n">
        <v>0</v>
      </c>
      <c r="AG3929" s="182" t="n">
        <v>0.52</v>
      </c>
      <c r="AH3929" s="182" t="n">
        <v>0.78</v>
      </c>
      <c r="AI3929" s="182" t="n">
        <v>0</v>
      </c>
      <c r="AJ3929" s="182" t="n">
        <v>0</v>
      </c>
      <c r="AK3929" s="182" t="n">
        <v>0</v>
      </c>
      <c r="AL3929" s="182" t="n">
        <v>0</v>
      </c>
      <c r="AM3929" s="182" t="n">
        <v>0.09</v>
      </c>
      <c r="AN3929" s="182" t="n">
        <v>0</v>
      </c>
    </row>
    <row r="3930">
      <c r="A3930" s="155" t="n">
        <v>46099</v>
      </c>
      <c r="B3930" s="156" t="inlineStr">
        <is>
          <t>NS</t>
        </is>
      </c>
      <c r="C3930" s="156" t="inlineStr">
        <is>
          <t>DT-519</t>
        </is>
      </c>
      <c r="D3930" s="156" t="inlineStr">
        <is>
          <t>SKT 105S</t>
        </is>
      </c>
      <c r="E3930" s="156" t="inlineStr">
        <is>
          <t>Hauler</t>
        </is>
      </c>
      <c r="F3930" s="156" t="inlineStr"/>
      <c r="G3930" s="182" t="n">
        <v>0</v>
      </c>
      <c r="H3930" s="182" t="n">
        <v>0</v>
      </c>
      <c r="I3930" s="182" t="n">
        <v>0</v>
      </c>
      <c r="J3930" s="182" t="n">
        <v>0</v>
      </c>
      <c r="K3930" s="182" t="n">
        <v>12</v>
      </c>
      <c r="L3930" s="182" t="n">
        <v>12</v>
      </c>
      <c r="M3930" s="182" t="n">
        <v>0</v>
      </c>
      <c r="N3930" s="182" t="n">
        <v>0</v>
      </c>
      <c r="O3930" s="183" t="n">
        <v>0</v>
      </c>
      <c r="P3930" s="183" t="n">
        <v>0</v>
      </c>
      <c r="Q3930" s="184" t="n">
        <v>0</v>
      </c>
      <c r="R3930" s="184" t="n">
        <v>0</v>
      </c>
      <c r="S3930" s="183" t="n">
        <v>0</v>
      </c>
      <c r="T3930" s="183" t="n">
        <v>0</v>
      </c>
      <c r="U3930" s="182" t="n">
        <v>0</v>
      </c>
      <c r="V3930" s="182" t="n">
        <v>0</v>
      </c>
      <c r="W3930" s="182" t="n">
        <v>0</v>
      </c>
      <c r="X3930" s="182" t="n">
        <v>1</v>
      </c>
      <c r="Y3930" s="182" t="n">
        <v>0</v>
      </c>
      <c r="Z3930" s="182" t="n">
        <v>0.1</v>
      </c>
      <c r="AA3930" s="182" t="n">
        <v>0</v>
      </c>
      <c r="AB3930" s="182" t="n">
        <v>0</v>
      </c>
      <c r="AC3930" s="182" t="n">
        <v>0</v>
      </c>
      <c r="AD3930" s="182" t="n">
        <v>0</v>
      </c>
      <c r="AE3930" s="182" t="n">
        <v>0</v>
      </c>
      <c r="AF3930" s="182" t="n">
        <v>0</v>
      </c>
      <c r="AG3930" s="182" t="n">
        <v>0</v>
      </c>
      <c r="AH3930" s="182" t="n">
        <v>0</v>
      </c>
      <c r="AI3930" s="182" t="n">
        <v>0</v>
      </c>
      <c r="AJ3930" s="182" t="n">
        <v>0</v>
      </c>
      <c r="AK3930" s="182" t="n">
        <v>10.82</v>
      </c>
      <c r="AL3930" s="182" t="n">
        <v>0</v>
      </c>
      <c r="AM3930" s="182" t="n">
        <v>0.08</v>
      </c>
      <c r="AN3930" s="182" t="n">
        <v>0</v>
      </c>
    </row>
    <row r="3931">
      <c r="A3931" s="155" t="n">
        <v>46099</v>
      </c>
      <c r="B3931" s="156" t="inlineStr">
        <is>
          <t>NS</t>
        </is>
      </c>
      <c r="C3931" s="156" t="inlineStr">
        <is>
          <t>DT-527</t>
        </is>
      </c>
      <c r="D3931" s="156" t="inlineStr">
        <is>
          <t>SKT 105S</t>
        </is>
      </c>
      <c r="E3931" s="156" t="inlineStr">
        <is>
          <t>Hauler</t>
        </is>
      </c>
      <c r="F3931" s="156" t="inlineStr">
        <is>
          <t>Hauling OB</t>
        </is>
      </c>
      <c r="G3931" s="182" t="n">
        <v>10.82</v>
      </c>
      <c r="H3931" s="182" t="n">
        <v>0</v>
      </c>
      <c r="I3931" s="182" t="n">
        <v>0</v>
      </c>
      <c r="J3931" s="182" t="n">
        <v>0</v>
      </c>
      <c r="K3931" s="182" t="n">
        <v>1.18</v>
      </c>
      <c r="L3931" s="182" t="n">
        <v>12</v>
      </c>
      <c r="M3931" s="182" t="n">
        <v>10.82</v>
      </c>
      <c r="N3931" s="182" t="n">
        <v>0</v>
      </c>
      <c r="O3931" s="183" t="n">
        <v>42</v>
      </c>
      <c r="P3931" s="183" t="n">
        <v>0</v>
      </c>
      <c r="Q3931" s="184" t="n">
        <v>856.8</v>
      </c>
      <c r="R3931" s="184" t="n">
        <v>0</v>
      </c>
      <c r="S3931" s="183" t="n">
        <v>0</v>
      </c>
      <c r="T3931" s="183" t="n">
        <v>0</v>
      </c>
      <c r="U3931" s="182" t="n">
        <v>0</v>
      </c>
      <c r="V3931" s="182" t="n">
        <v>0</v>
      </c>
      <c r="W3931" s="182" t="n">
        <v>0</v>
      </c>
      <c r="X3931" s="182" t="n">
        <v>0.79</v>
      </c>
      <c r="Y3931" s="182" t="n">
        <v>0</v>
      </c>
      <c r="Z3931" s="182" t="n">
        <v>0.08</v>
      </c>
      <c r="AA3931" s="182" t="n">
        <v>0</v>
      </c>
      <c r="AB3931" s="182" t="n">
        <v>0</v>
      </c>
      <c r="AC3931" s="182" t="n">
        <v>0</v>
      </c>
      <c r="AD3931" s="182" t="n">
        <v>0</v>
      </c>
      <c r="AE3931" s="182" t="n">
        <v>0</v>
      </c>
      <c r="AF3931" s="182" t="n">
        <v>0</v>
      </c>
      <c r="AG3931" s="182" t="n">
        <v>0</v>
      </c>
      <c r="AH3931" s="182" t="n">
        <v>0.25</v>
      </c>
      <c r="AI3931" s="182" t="n">
        <v>0</v>
      </c>
      <c r="AJ3931" s="182" t="n">
        <v>0</v>
      </c>
      <c r="AK3931" s="182" t="n">
        <v>0</v>
      </c>
      <c r="AL3931" s="182" t="n">
        <v>0</v>
      </c>
      <c r="AM3931" s="182" t="n">
        <v>0.06</v>
      </c>
      <c r="AN3931" s="182" t="n">
        <v>0</v>
      </c>
    </row>
    <row r="3932">
      <c r="A3932" s="155" t="n">
        <v>46099</v>
      </c>
      <c r="B3932" s="156" t="inlineStr">
        <is>
          <t>NS</t>
        </is>
      </c>
      <c r="C3932" s="156" t="inlineStr">
        <is>
          <t>DT-513</t>
        </is>
      </c>
      <c r="D3932" s="156" t="inlineStr">
        <is>
          <t>SKT 105S</t>
        </is>
      </c>
      <c r="E3932" s="156" t="inlineStr">
        <is>
          <t>Hauler</t>
        </is>
      </c>
      <c r="F3932" s="156" t="inlineStr">
        <is>
          <t>Hauling OB</t>
        </is>
      </c>
      <c r="G3932" s="182" t="n">
        <v>6.35</v>
      </c>
      <c r="H3932" s="182" t="n">
        <v>0</v>
      </c>
      <c r="I3932" s="182" t="n">
        <v>0</v>
      </c>
      <c r="J3932" s="182" t="n">
        <v>0</v>
      </c>
      <c r="K3932" s="182" t="n">
        <v>5.65</v>
      </c>
      <c r="L3932" s="182" t="n">
        <v>12</v>
      </c>
      <c r="M3932" s="182" t="n">
        <v>6.35</v>
      </c>
      <c r="N3932" s="182" t="n">
        <v>0</v>
      </c>
      <c r="O3932" s="183" t="n">
        <v>24</v>
      </c>
      <c r="P3932" s="183" t="n">
        <v>0</v>
      </c>
      <c r="Q3932" s="184" t="n">
        <v>489.6</v>
      </c>
      <c r="R3932" s="184" t="n">
        <v>0</v>
      </c>
      <c r="S3932" s="183" t="n">
        <v>0</v>
      </c>
      <c r="T3932" s="183" t="n">
        <v>0</v>
      </c>
      <c r="U3932" s="182" t="n">
        <v>0</v>
      </c>
      <c r="V3932" s="182" t="n">
        <v>0</v>
      </c>
      <c r="W3932" s="182" t="n">
        <v>0</v>
      </c>
      <c r="X3932" s="182" t="n">
        <v>1.01</v>
      </c>
      <c r="Y3932" s="182" t="n">
        <v>0</v>
      </c>
      <c r="Z3932" s="182" t="n">
        <v>0.1</v>
      </c>
      <c r="AA3932" s="182" t="n">
        <v>0</v>
      </c>
      <c r="AB3932" s="182" t="n">
        <v>0</v>
      </c>
      <c r="AC3932" s="182" t="n">
        <v>0</v>
      </c>
      <c r="AD3932" s="182" t="n">
        <v>0</v>
      </c>
      <c r="AE3932" s="182" t="n">
        <v>0</v>
      </c>
      <c r="AF3932" s="182" t="n">
        <v>0</v>
      </c>
      <c r="AG3932" s="182" t="n">
        <v>0</v>
      </c>
      <c r="AH3932" s="182" t="n">
        <v>0</v>
      </c>
      <c r="AI3932" s="182" t="n">
        <v>4.46</v>
      </c>
      <c r="AJ3932" s="182" t="n">
        <v>0</v>
      </c>
      <c r="AK3932" s="182" t="n">
        <v>0</v>
      </c>
      <c r="AL3932" s="182" t="n">
        <v>0</v>
      </c>
      <c r="AM3932" s="182" t="n">
        <v>0.08</v>
      </c>
      <c r="AN3932" s="182" t="n">
        <v>0</v>
      </c>
    </row>
    <row r="3933">
      <c r="A3933" s="155" t="n">
        <v>46099</v>
      </c>
      <c r="B3933" s="156" t="inlineStr">
        <is>
          <t>NS</t>
        </is>
      </c>
      <c r="C3933" s="156" t="inlineStr">
        <is>
          <t>DT-512</t>
        </is>
      </c>
      <c r="D3933" s="156" t="inlineStr">
        <is>
          <t>SKT 105S</t>
        </is>
      </c>
      <c r="E3933" s="156" t="inlineStr">
        <is>
          <t>Hauler</t>
        </is>
      </c>
      <c r="F3933" s="156" t="inlineStr">
        <is>
          <t>Hauling OB</t>
        </is>
      </c>
      <c r="G3933" s="182" t="n">
        <v>10.77</v>
      </c>
      <c r="H3933" s="182" t="n">
        <v>0</v>
      </c>
      <c r="I3933" s="182" t="n">
        <v>0</v>
      </c>
      <c r="J3933" s="182" t="n">
        <v>0</v>
      </c>
      <c r="K3933" s="182" t="n">
        <v>1.23</v>
      </c>
      <c r="L3933" s="182" t="n">
        <v>12</v>
      </c>
      <c r="M3933" s="182" t="n">
        <v>10.77</v>
      </c>
      <c r="N3933" s="182" t="n">
        <v>0</v>
      </c>
      <c r="O3933" s="183" t="n">
        <v>32</v>
      </c>
      <c r="P3933" s="183" t="n">
        <v>0</v>
      </c>
      <c r="Q3933" s="184" t="n">
        <v>652.8</v>
      </c>
      <c r="R3933" s="184" t="n">
        <v>0</v>
      </c>
      <c r="S3933" s="183" t="n">
        <v>0</v>
      </c>
      <c r="T3933" s="183" t="n">
        <v>0</v>
      </c>
      <c r="U3933" s="182" t="n">
        <v>0</v>
      </c>
      <c r="V3933" s="182" t="n">
        <v>0</v>
      </c>
      <c r="W3933" s="182" t="n">
        <v>0</v>
      </c>
      <c r="X3933" s="182" t="n">
        <v>0.82</v>
      </c>
      <c r="Y3933" s="182" t="n">
        <v>0</v>
      </c>
      <c r="Z3933" s="182" t="n">
        <v>0.08</v>
      </c>
      <c r="AA3933" s="182" t="n">
        <v>0</v>
      </c>
      <c r="AB3933" s="182" t="n">
        <v>0</v>
      </c>
      <c r="AC3933" s="182" t="n">
        <v>0</v>
      </c>
      <c r="AD3933" s="182" t="n">
        <v>0</v>
      </c>
      <c r="AE3933" s="182" t="n">
        <v>0</v>
      </c>
      <c r="AF3933" s="182" t="n">
        <v>0</v>
      </c>
      <c r="AG3933" s="182" t="n">
        <v>0</v>
      </c>
      <c r="AH3933" s="182" t="n">
        <v>0.26</v>
      </c>
      <c r="AI3933" s="182" t="n">
        <v>0</v>
      </c>
      <c r="AJ3933" s="182" t="n">
        <v>0</v>
      </c>
      <c r="AK3933" s="182" t="n">
        <v>0</v>
      </c>
      <c r="AL3933" s="182" t="n">
        <v>0</v>
      </c>
      <c r="AM3933" s="182" t="n">
        <v>0.07000000000000001</v>
      </c>
      <c r="AN3933" s="182" t="n">
        <v>0</v>
      </c>
    </row>
    <row r="3934">
      <c r="A3934" s="155" t="n">
        <v>46099</v>
      </c>
      <c r="B3934" s="156" t="inlineStr">
        <is>
          <t>NS</t>
        </is>
      </c>
      <c r="C3934" s="156" t="inlineStr">
        <is>
          <t>DT-522</t>
        </is>
      </c>
      <c r="D3934" s="156" t="inlineStr">
        <is>
          <t>SKT 105S</t>
        </is>
      </c>
      <c r="E3934" s="156" t="inlineStr">
        <is>
          <t>Hauler</t>
        </is>
      </c>
      <c r="F3934" s="156" t="inlineStr">
        <is>
          <t>Hauling OB</t>
        </is>
      </c>
      <c r="G3934" s="182" t="n">
        <v>10.41</v>
      </c>
      <c r="H3934" s="182" t="n">
        <v>0</v>
      </c>
      <c r="I3934" s="182" t="n">
        <v>0</v>
      </c>
      <c r="J3934" s="182" t="n">
        <v>0</v>
      </c>
      <c r="K3934" s="182" t="n">
        <v>1.59</v>
      </c>
      <c r="L3934" s="182" t="n">
        <v>12</v>
      </c>
      <c r="M3934" s="182" t="n">
        <v>10.41</v>
      </c>
      <c r="N3934" s="182" t="n">
        <v>0</v>
      </c>
      <c r="O3934" s="183" t="n">
        <v>48</v>
      </c>
      <c r="P3934" s="183" t="n">
        <v>0</v>
      </c>
      <c r="Q3934" s="184" t="n">
        <v>979.2</v>
      </c>
      <c r="R3934" s="184" t="n">
        <v>0</v>
      </c>
      <c r="S3934" s="183" t="n">
        <v>0</v>
      </c>
      <c r="T3934" s="183" t="n">
        <v>0</v>
      </c>
      <c r="U3934" s="182" t="n">
        <v>0</v>
      </c>
      <c r="V3934" s="182" t="n">
        <v>0</v>
      </c>
      <c r="W3934" s="182" t="n">
        <v>0</v>
      </c>
      <c r="X3934" s="182" t="n">
        <v>0.88</v>
      </c>
      <c r="Y3934" s="182" t="n">
        <v>0</v>
      </c>
      <c r="Z3934" s="182" t="n">
        <v>0.09</v>
      </c>
      <c r="AA3934" s="182" t="n">
        <v>0</v>
      </c>
      <c r="AB3934" s="182" t="n">
        <v>0</v>
      </c>
      <c r="AC3934" s="182" t="n">
        <v>0</v>
      </c>
      <c r="AD3934" s="182" t="n">
        <v>0</v>
      </c>
      <c r="AE3934" s="182" t="n">
        <v>0</v>
      </c>
      <c r="AF3934" s="182" t="n">
        <v>0</v>
      </c>
      <c r="AG3934" s="182" t="n">
        <v>0</v>
      </c>
      <c r="AH3934" s="182" t="n">
        <v>0.55</v>
      </c>
      <c r="AI3934" s="182" t="n">
        <v>0</v>
      </c>
      <c r="AJ3934" s="182" t="n">
        <v>0</v>
      </c>
      <c r="AK3934" s="182" t="n">
        <v>0</v>
      </c>
      <c r="AL3934" s="182" t="n">
        <v>0</v>
      </c>
      <c r="AM3934" s="182" t="n">
        <v>0.07000000000000001</v>
      </c>
      <c r="AN3934" s="182" t="n">
        <v>0</v>
      </c>
    </row>
    <row r="3935">
      <c r="A3935" s="155" t="n">
        <v>46099</v>
      </c>
      <c r="B3935" s="156" t="inlineStr">
        <is>
          <t>NS</t>
        </is>
      </c>
      <c r="C3935" s="156" t="inlineStr">
        <is>
          <t>DT-517</t>
        </is>
      </c>
      <c r="D3935" s="156" t="inlineStr">
        <is>
          <t>SKT 105S</t>
        </is>
      </c>
      <c r="E3935" s="156" t="inlineStr">
        <is>
          <t>Hauler</t>
        </is>
      </c>
      <c r="F3935" s="156" t="inlineStr">
        <is>
          <t>Hauling OB &amp; Coal</t>
        </is>
      </c>
      <c r="G3935" s="182" t="n">
        <v>10.35</v>
      </c>
      <c r="H3935" s="182" t="n">
        <v>0</v>
      </c>
      <c r="I3935" s="182" t="n">
        <v>0</v>
      </c>
      <c r="J3935" s="182" t="n">
        <v>0</v>
      </c>
      <c r="K3935" s="182" t="n">
        <v>1.65</v>
      </c>
      <c r="L3935" s="182" t="n">
        <v>12</v>
      </c>
      <c r="M3935" s="182" t="n">
        <v>2.74</v>
      </c>
      <c r="N3935" s="182" t="n">
        <v>7.61</v>
      </c>
      <c r="O3935" s="183" t="n">
        <v>9</v>
      </c>
      <c r="P3935" s="183" t="n">
        <v>19</v>
      </c>
      <c r="Q3935" s="184" t="n">
        <v>146.9</v>
      </c>
      <c r="R3935" s="184" t="n">
        <v>355.3</v>
      </c>
      <c r="S3935" s="183" t="n">
        <v>0</v>
      </c>
      <c r="T3935" s="183" t="n">
        <v>0</v>
      </c>
      <c r="U3935" s="182" t="n">
        <v>0</v>
      </c>
      <c r="V3935" s="182" t="n">
        <v>0</v>
      </c>
      <c r="W3935" s="182" t="n">
        <v>0</v>
      </c>
      <c r="X3935" s="182" t="n">
        <v>0.92</v>
      </c>
      <c r="Y3935" s="182" t="n">
        <v>0</v>
      </c>
      <c r="Z3935" s="182" t="n">
        <v>0.09</v>
      </c>
      <c r="AA3935" s="182" t="n">
        <v>0</v>
      </c>
      <c r="AB3935" s="182" t="n">
        <v>0</v>
      </c>
      <c r="AC3935" s="182" t="n">
        <v>0</v>
      </c>
      <c r="AD3935" s="182" t="n">
        <v>0</v>
      </c>
      <c r="AE3935" s="182" t="n">
        <v>0</v>
      </c>
      <c r="AF3935" s="182" t="n">
        <v>0</v>
      </c>
      <c r="AG3935" s="182" t="n">
        <v>0</v>
      </c>
      <c r="AH3935" s="182" t="n">
        <v>0.57</v>
      </c>
      <c r="AI3935" s="182" t="n">
        <v>0</v>
      </c>
      <c r="AJ3935" s="182" t="n">
        <v>0</v>
      </c>
      <c r="AK3935" s="182" t="n">
        <v>0</v>
      </c>
      <c r="AL3935" s="182" t="n">
        <v>0</v>
      </c>
      <c r="AM3935" s="182" t="n">
        <v>0.07000000000000001</v>
      </c>
      <c r="AN3935" s="182" t="n">
        <v>0</v>
      </c>
    </row>
    <row r="3936">
      <c r="A3936" s="155" t="n">
        <v>46099</v>
      </c>
      <c r="B3936" s="156" t="inlineStr">
        <is>
          <t>NS</t>
        </is>
      </c>
      <c r="C3936" s="156" t="inlineStr">
        <is>
          <t>DT-510</t>
        </is>
      </c>
      <c r="D3936" s="156" t="inlineStr">
        <is>
          <t>SKT 105S</t>
        </is>
      </c>
      <c r="E3936" s="156" t="inlineStr">
        <is>
          <t>Hauler</t>
        </is>
      </c>
      <c r="F3936" s="156" t="inlineStr"/>
      <c r="G3936" s="182" t="n">
        <v>0</v>
      </c>
      <c r="H3936" s="182" t="n">
        <v>0</v>
      </c>
      <c r="I3936" s="182" t="n">
        <v>12</v>
      </c>
      <c r="J3936" s="182" t="n">
        <v>12</v>
      </c>
      <c r="K3936" s="182" t="n">
        <v>0</v>
      </c>
      <c r="L3936" s="182" t="n">
        <v>12</v>
      </c>
      <c r="M3936" s="182" t="n">
        <v>0</v>
      </c>
      <c r="N3936" s="182" t="n">
        <v>0</v>
      </c>
      <c r="O3936" s="183" t="n">
        <v>0</v>
      </c>
      <c r="P3936" s="183" t="n">
        <v>0</v>
      </c>
      <c r="Q3936" s="184" t="n">
        <v>0</v>
      </c>
      <c r="R3936" s="184" t="n">
        <v>0</v>
      </c>
      <c r="S3936" s="183" t="n">
        <v>0</v>
      </c>
      <c r="T3936" s="183" t="n">
        <v>0</v>
      </c>
      <c r="U3936" s="182" t="n">
        <v>0</v>
      </c>
      <c r="V3936" s="182" t="n">
        <v>0</v>
      </c>
      <c r="W3936" s="182" t="n">
        <v>0</v>
      </c>
      <c r="X3936" s="182" t="n">
        <v>0</v>
      </c>
      <c r="Y3936" s="182" t="n">
        <v>0</v>
      </c>
      <c r="Z3936" s="182" t="n">
        <v>0</v>
      </c>
      <c r="AA3936" s="182" t="n">
        <v>0</v>
      </c>
      <c r="AB3936" s="182" t="n">
        <v>0</v>
      </c>
      <c r="AC3936" s="182" t="n">
        <v>0</v>
      </c>
      <c r="AD3936" s="182" t="n">
        <v>0</v>
      </c>
      <c r="AE3936" s="182" t="n">
        <v>0</v>
      </c>
      <c r="AF3936" s="182" t="n">
        <v>0</v>
      </c>
      <c r="AG3936" s="182" t="n">
        <v>0</v>
      </c>
      <c r="AH3936" s="182" t="n">
        <v>0</v>
      </c>
      <c r="AI3936" s="182" t="n">
        <v>0</v>
      </c>
      <c r="AJ3936" s="182" t="n">
        <v>0</v>
      </c>
      <c r="AK3936" s="182" t="n">
        <v>0</v>
      </c>
      <c r="AL3936" s="182" t="n">
        <v>0</v>
      </c>
      <c r="AM3936" s="182" t="n">
        <v>0</v>
      </c>
      <c r="AN3936" s="182" t="n">
        <v>0</v>
      </c>
    </row>
    <row r="3937">
      <c r="A3937" s="155" t="n">
        <v>46099</v>
      </c>
      <c r="B3937" s="156" t="inlineStr">
        <is>
          <t>NS</t>
        </is>
      </c>
      <c r="C3937" s="156" t="inlineStr">
        <is>
          <t>DT-521</t>
        </is>
      </c>
      <c r="D3937" s="156" t="inlineStr">
        <is>
          <t>SKT 105S</t>
        </is>
      </c>
      <c r="E3937" s="156" t="inlineStr">
        <is>
          <t>Hauler</t>
        </is>
      </c>
      <c r="F3937" s="156" t="inlineStr"/>
      <c r="G3937" s="182" t="n">
        <v>0</v>
      </c>
      <c r="H3937" s="182" t="n">
        <v>0</v>
      </c>
      <c r="I3937" s="182" t="n">
        <v>12</v>
      </c>
      <c r="J3937" s="182" t="n">
        <v>12</v>
      </c>
      <c r="K3937" s="182" t="n">
        <v>0</v>
      </c>
      <c r="L3937" s="182" t="n">
        <v>12</v>
      </c>
      <c r="M3937" s="182" t="n">
        <v>0</v>
      </c>
      <c r="N3937" s="182" t="n">
        <v>0</v>
      </c>
      <c r="O3937" s="183" t="n">
        <v>0</v>
      </c>
      <c r="P3937" s="183" t="n">
        <v>0</v>
      </c>
      <c r="Q3937" s="184" t="n">
        <v>0</v>
      </c>
      <c r="R3937" s="184" t="n">
        <v>0</v>
      </c>
      <c r="S3937" s="183" t="n">
        <v>0</v>
      </c>
      <c r="T3937" s="183" t="n">
        <v>0</v>
      </c>
      <c r="U3937" s="182" t="n">
        <v>0</v>
      </c>
      <c r="V3937" s="182" t="n">
        <v>0</v>
      </c>
      <c r="W3937" s="182" t="n">
        <v>0</v>
      </c>
      <c r="X3937" s="182" t="n">
        <v>0</v>
      </c>
      <c r="Y3937" s="182" t="n">
        <v>0</v>
      </c>
      <c r="Z3937" s="182" t="n">
        <v>0</v>
      </c>
      <c r="AA3937" s="182" t="n">
        <v>0</v>
      </c>
      <c r="AB3937" s="182" t="n">
        <v>0</v>
      </c>
      <c r="AC3937" s="182" t="n">
        <v>0</v>
      </c>
      <c r="AD3937" s="182" t="n">
        <v>0</v>
      </c>
      <c r="AE3937" s="182" t="n">
        <v>0</v>
      </c>
      <c r="AF3937" s="182" t="n">
        <v>0</v>
      </c>
      <c r="AG3937" s="182" t="n">
        <v>0</v>
      </c>
      <c r="AH3937" s="182" t="n">
        <v>0</v>
      </c>
      <c r="AI3937" s="182" t="n">
        <v>0</v>
      </c>
      <c r="AJ3937" s="182" t="n">
        <v>0</v>
      </c>
      <c r="AK3937" s="182" t="n">
        <v>0</v>
      </c>
      <c r="AL3937" s="182" t="n">
        <v>0</v>
      </c>
      <c r="AM3937" s="182" t="n">
        <v>0</v>
      </c>
      <c r="AN3937" s="182" t="n">
        <v>0</v>
      </c>
    </row>
    <row r="3938">
      <c r="A3938" s="155" t="n">
        <v>46099</v>
      </c>
      <c r="B3938" s="156" t="inlineStr">
        <is>
          <t>NS</t>
        </is>
      </c>
      <c r="C3938" s="156" t="inlineStr">
        <is>
          <t>DT-516</t>
        </is>
      </c>
      <c r="D3938" s="156" t="inlineStr">
        <is>
          <t>SKT 105S</t>
        </is>
      </c>
      <c r="E3938" s="156" t="inlineStr">
        <is>
          <t>Hauler</t>
        </is>
      </c>
      <c r="F3938" s="156" t="inlineStr"/>
      <c r="G3938" s="182" t="n">
        <v>0</v>
      </c>
      <c r="H3938" s="182" t="n">
        <v>0</v>
      </c>
      <c r="I3938" s="182" t="n">
        <v>12</v>
      </c>
      <c r="J3938" s="182" t="n">
        <v>12</v>
      </c>
      <c r="K3938" s="182" t="n">
        <v>0</v>
      </c>
      <c r="L3938" s="182" t="n">
        <v>12</v>
      </c>
      <c r="M3938" s="182" t="n">
        <v>0</v>
      </c>
      <c r="N3938" s="182" t="n">
        <v>0</v>
      </c>
      <c r="O3938" s="183" t="n">
        <v>0</v>
      </c>
      <c r="P3938" s="183" t="n">
        <v>0</v>
      </c>
      <c r="Q3938" s="184" t="n">
        <v>0</v>
      </c>
      <c r="R3938" s="184" t="n">
        <v>0</v>
      </c>
      <c r="S3938" s="183" t="n">
        <v>0</v>
      </c>
      <c r="T3938" s="183" t="n">
        <v>0</v>
      </c>
      <c r="U3938" s="182" t="n">
        <v>0</v>
      </c>
      <c r="V3938" s="182" t="n">
        <v>0</v>
      </c>
      <c r="W3938" s="182" t="n">
        <v>0</v>
      </c>
      <c r="X3938" s="182" t="n">
        <v>0</v>
      </c>
      <c r="Y3938" s="182" t="n">
        <v>0</v>
      </c>
      <c r="Z3938" s="182" t="n">
        <v>0</v>
      </c>
      <c r="AA3938" s="182" t="n">
        <v>0</v>
      </c>
      <c r="AB3938" s="182" t="n">
        <v>0</v>
      </c>
      <c r="AC3938" s="182" t="n">
        <v>0</v>
      </c>
      <c r="AD3938" s="182" t="n">
        <v>0</v>
      </c>
      <c r="AE3938" s="182" t="n">
        <v>0</v>
      </c>
      <c r="AF3938" s="182" t="n">
        <v>0</v>
      </c>
      <c r="AG3938" s="182" t="n">
        <v>0</v>
      </c>
      <c r="AH3938" s="182" t="n">
        <v>0</v>
      </c>
      <c r="AI3938" s="182" t="n">
        <v>0</v>
      </c>
      <c r="AJ3938" s="182" t="n">
        <v>0</v>
      </c>
      <c r="AK3938" s="182" t="n">
        <v>0</v>
      </c>
      <c r="AL3938" s="182" t="n">
        <v>0</v>
      </c>
      <c r="AM3938" s="182" t="n">
        <v>0</v>
      </c>
      <c r="AN3938" s="182" t="n">
        <v>0</v>
      </c>
    </row>
    <row r="3939">
      <c r="A3939" s="155" t="n">
        <v>46099</v>
      </c>
      <c r="B3939" s="156" t="inlineStr">
        <is>
          <t>NS</t>
        </is>
      </c>
      <c r="C3939" s="156" t="inlineStr">
        <is>
          <t>DT-506</t>
        </is>
      </c>
      <c r="D3939" s="156" t="inlineStr">
        <is>
          <t>SKT 105S</t>
        </is>
      </c>
      <c r="E3939" s="156" t="inlineStr">
        <is>
          <t>Hauler</t>
        </is>
      </c>
      <c r="F3939" s="156" t="inlineStr">
        <is>
          <t>Hauling OB</t>
        </is>
      </c>
      <c r="G3939" s="182" t="n">
        <v>9.56</v>
      </c>
      <c r="H3939" s="182" t="n">
        <v>0</v>
      </c>
      <c r="I3939" s="182" t="n">
        <v>0</v>
      </c>
      <c r="J3939" s="182" t="n">
        <v>0</v>
      </c>
      <c r="K3939" s="182" t="n">
        <v>2.44</v>
      </c>
      <c r="L3939" s="182" t="n">
        <v>12</v>
      </c>
      <c r="M3939" s="182" t="n">
        <v>9.56</v>
      </c>
      <c r="N3939" s="182" t="n">
        <v>0</v>
      </c>
      <c r="O3939" s="183" t="n">
        <v>43</v>
      </c>
      <c r="P3939" s="183" t="n">
        <v>0</v>
      </c>
      <c r="Q3939" s="184" t="n">
        <v>877.2</v>
      </c>
      <c r="R3939" s="184" t="n">
        <v>0</v>
      </c>
      <c r="S3939" s="183" t="n">
        <v>0</v>
      </c>
      <c r="T3939" s="183" t="n">
        <v>0</v>
      </c>
      <c r="U3939" s="182" t="n">
        <v>0</v>
      </c>
      <c r="V3939" s="182" t="n">
        <v>0</v>
      </c>
      <c r="W3939" s="182" t="n">
        <v>0</v>
      </c>
      <c r="X3939" s="182" t="n">
        <v>1.22</v>
      </c>
      <c r="Y3939" s="182" t="n">
        <v>0</v>
      </c>
      <c r="Z3939" s="182" t="n">
        <v>0.12</v>
      </c>
      <c r="AA3939" s="182" t="n">
        <v>0</v>
      </c>
      <c r="AB3939" s="182" t="n">
        <v>0</v>
      </c>
      <c r="AC3939" s="182" t="n">
        <v>0</v>
      </c>
      <c r="AD3939" s="182" t="n">
        <v>0</v>
      </c>
      <c r="AE3939" s="182" t="n">
        <v>0</v>
      </c>
      <c r="AF3939" s="182" t="n">
        <v>0</v>
      </c>
      <c r="AG3939" s="182" t="n">
        <v>0</v>
      </c>
      <c r="AH3939" s="182" t="n">
        <v>1</v>
      </c>
      <c r="AI3939" s="182" t="n">
        <v>0</v>
      </c>
      <c r="AJ3939" s="182" t="n">
        <v>0</v>
      </c>
      <c r="AK3939" s="182" t="n">
        <v>0</v>
      </c>
      <c r="AL3939" s="182" t="n">
        <v>0</v>
      </c>
      <c r="AM3939" s="182" t="n">
        <v>0.1</v>
      </c>
      <c r="AN3939" s="182" t="n">
        <v>0</v>
      </c>
    </row>
    <row r="3940">
      <c r="A3940" s="155" t="n">
        <v>46099</v>
      </c>
      <c r="B3940" s="156" t="inlineStr">
        <is>
          <t>NS</t>
        </is>
      </c>
      <c r="C3940" s="156" t="inlineStr">
        <is>
          <t>DT-502</t>
        </is>
      </c>
      <c r="D3940" s="156" t="inlineStr">
        <is>
          <t>SKT 105S</t>
        </is>
      </c>
      <c r="E3940" s="156" t="inlineStr">
        <is>
          <t>Hauler</t>
        </is>
      </c>
      <c r="F3940" s="156" t="inlineStr">
        <is>
          <t>Hauling OB</t>
        </is>
      </c>
      <c r="G3940" s="182" t="n">
        <v>1.3</v>
      </c>
      <c r="H3940" s="182" t="n">
        <v>0</v>
      </c>
      <c r="I3940" s="182" t="n">
        <v>7.42</v>
      </c>
      <c r="J3940" s="182" t="n">
        <v>7.42</v>
      </c>
      <c r="K3940" s="182" t="n">
        <v>3.28</v>
      </c>
      <c r="L3940" s="182" t="n">
        <v>12</v>
      </c>
      <c r="M3940" s="182" t="n">
        <v>1.3</v>
      </c>
      <c r="N3940" s="182" t="n">
        <v>0</v>
      </c>
      <c r="O3940" s="183" t="n">
        <v>7</v>
      </c>
      <c r="P3940" s="183" t="n">
        <v>0</v>
      </c>
      <c r="Q3940" s="184" t="n">
        <v>114.2</v>
      </c>
      <c r="R3940" s="184" t="n">
        <v>0</v>
      </c>
      <c r="S3940" s="183" t="n">
        <v>0</v>
      </c>
      <c r="T3940" s="183" t="n">
        <v>0</v>
      </c>
      <c r="U3940" s="182" t="n">
        <v>0</v>
      </c>
      <c r="V3940" s="182" t="n">
        <v>0</v>
      </c>
      <c r="W3940" s="182" t="n">
        <v>0</v>
      </c>
      <c r="X3940" s="182" t="n">
        <v>0.9399999999999999</v>
      </c>
      <c r="Y3940" s="182" t="n">
        <v>0</v>
      </c>
      <c r="Z3940" s="182" t="n">
        <v>0.09</v>
      </c>
      <c r="AA3940" s="182" t="n">
        <v>0</v>
      </c>
      <c r="AB3940" s="182" t="n">
        <v>0</v>
      </c>
      <c r="AC3940" s="182" t="n">
        <v>0</v>
      </c>
      <c r="AD3940" s="182" t="n">
        <v>0</v>
      </c>
      <c r="AE3940" s="182" t="n">
        <v>0</v>
      </c>
      <c r="AF3940" s="182" t="n">
        <v>0</v>
      </c>
      <c r="AG3940" s="182" t="n">
        <v>0</v>
      </c>
      <c r="AH3940" s="182" t="n">
        <v>0</v>
      </c>
      <c r="AI3940" s="182" t="n">
        <v>2.17</v>
      </c>
      <c r="AJ3940" s="182" t="n">
        <v>0</v>
      </c>
      <c r="AK3940" s="182" t="n">
        <v>0</v>
      </c>
      <c r="AL3940" s="182" t="n">
        <v>0</v>
      </c>
      <c r="AM3940" s="182" t="n">
        <v>0.08</v>
      </c>
      <c r="AN3940" s="182" t="n">
        <v>0</v>
      </c>
    </row>
    <row r="3941">
      <c r="A3941" s="155" t="n">
        <v>46099</v>
      </c>
      <c r="B3941" s="156" t="inlineStr">
        <is>
          <t>NS</t>
        </is>
      </c>
      <c r="C3941" s="156" t="inlineStr">
        <is>
          <t>DT-528</t>
        </is>
      </c>
      <c r="D3941" s="156" t="inlineStr">
        <is>
          <t>SKT 105S</t>
        </is>
      </c>
      <c r="E3941" s="156" t="inlineStr">
        <is>
          <t>Hauler</t>
        </is>
      </c>
      <c r="F3941" s="156" t="inlineStr">
        <is>
          <t>Hauling OB &amp; Coal</t>
        </is>
      </c>
      <c r="G3941" s="182" t="n">
        <v>9.59</v>
      </c>
      <c r="H3941" s="182" t="n">
        <v>0</v>
      </c>
      <c r="I3941" s="182" t="n">
        <v>0</v>
      </c>
      <c r="J3941" s="182" t="n">
        <v>0</v>
      </c>
      <c r="K3941" s="182" t="n">
        <v>2.41</v>
      </c>
      <c r="L3941" s="182" t="n">
        <v>12</v>
      </c>
      <c r="M3941" s="182" t="n">
        <v>2.25</v>
      </c>
      <c r="N3941" s="182" t="n">
        <v>7.34</v>
      </c>
      <c r="O3941" s="183" t="n">
        <v>9</v>
      </c>
      <c r="P3941" s="183" t="n">
        <v>16</v>
      </c>
      <c r="Q3941" s="184" t="n">
        <v>146.9</v>
      </c>
      <c r="R3941" s="184" t="n">
        <v>299.2</v>
      </c>
      <c r="S3941" s="183" t="n">
        <v>0</v>
      </c>
      <c r="T3941" s="183" t="n">
        <v>0</v>
      </c>
      <c r="U3941" s="182" t="n">
        <v>0</v>
      </c>
      <c r="V3941" s="182" t="n">
        <v>0</v>
      </c>
      <c r="W3941" s="182" t="n">
        <v>0.49</v>
      </c>
      <c r="X3941" s="182" t="n">
        <v>1.1</v>
      </c>
      <c r="Y3941" s="182" t="n">
        <v>0</v>
      </c>
      <c r="Z3941" s="182" t="n">
        <v>0.11</v>
      </c>
      <c r="AA3941" s="182" t="n">
        <v>0</v>
      </c>
      <c r="AB3941" s="182" t="n">
        <v>0</v>
      </c>
      <c r="AC3941" s="182" t="n">
        <v>0</v>
      </c>
      <c r="AD3941" s="182" t="n">
        <v>0</v>
      </c>
      <c r="AE3941" s="182" t="n">
        <v>0</v>
      </c>
      <c r="AF3941" s="182" t="n">
        <v>0</v>
      </c>
      <c r="AG3941" s="182" t="n">
        <v>0</v>
      </c>
      <c r="AH3941" s="182" t="n">
        <v>0.62</v>
      </c>
      <c r="AI3941" s="182" t="n">
        <v>0</v>
      </c>
      <c r="AJ3941" s="182" t="n">
        <v>0</v>
      </c>
      <c r="AK3941" s="182" t="n">
        <v>0</v>
      </c>
      <c r="AL3941" s="182" t="n">
        <v>0</v>
      </c>
      <c r="AM3941" s="182" t="n">
        <v>0.09</v>
      </c>
      <c r="AN3941" s="182" t="n">
        <v>0</v>
      </c>
    </row>
    <row r="3942">
      <c r="A3942" s="155" t="n">
        <v>46099</v>
      </c>
      <c r="B3942" s="156" t="inlineStr">
        <is>
          <t>NS</t>
        </is>
      </c>
      <c r="C3942" s="156" t="inlineStr">
        <is>
          <t>DT-529</t>
        </is>
      </c>
      <c r="D3942" s="156" t="inlineStr">
        <is>
          <t>SKT 105S</t>
        </is>
      </c>
      <c r="E3942" s="156" t="inlineStr">
        <is>
          <t>Hauler</t>
        </is>
      </c>
      <c r="F3942" s="156" t="inlineStr">
        <is>
          <t>Hauling OB</t>
        </is>
      </c>
      <c r="G3942" s="182" t="n">
        <v>10.39</v>
      </c>
      <c r="H3942" s="182" t="n">
        <v>0</v>
      </c>
      <c r="I3942" s="182" t="n">
        <v>0</v>
      </c>
      <c r="J3942" s="182" t="n">
        <v>0</v>
      </c>
      <c r="K3942" s="182" t="n">
        <v>1.61</v>
      </c>
      <c r="L3942" s="182" t="n">
        <v>12</v>
      </c>
      <c r="M3942" s="182" t="n">
        <v>10.39</v>
      </c>
      <c r="N3942" s="182" t="n">
        <v>0</v>
      </c>
      <c r="O3942" s="183" t="n">
        <v>51</v>
      </c>
      <c r="P3942" s="183" t="n">
        <v>0</v>
      </c>
      <c r="Q3942" s="184" t="n">
        <v>1040.4</v>
      </c>
      <c r="R3942" s="184" t="n">
        <v>0</v>
      </c>
      <c r="S3942" s="183" t="n">
        <v>0</v>
      </c>
      <c r="T3942" s="183" t="n">
        <v>0</v>
      </c>
      <c r="U3942" s="182" t="n">
        <v>0</v>
      </c>
      <c r="V3942" s="182" t="n">
        <v>0</v>
      </c>
      <c r="W3942" s="182" t="n">
        <v>0</v>
      </c>
      <c r="X3942" s="182" t="n">
        <v>1.15</v>
      </c>
      <c r="Y3942" s="182" t="n">
        <v>0</v>
      </c>
      <c r="Z3942" s="182" t="n">
        <v>0.12</v>
      </c>
      <c r="AA3942" s="182" t="n">
        <v>0</v>
      </c>
      <c r="AB3942" s="182" t="n">
        <v>0</v>
      </c>
      <c r="AC3942" s="182" t="n">
        <v>0</v>
      </c>
      <c r="AD3942" s="182" t="n">
        <v>0</v>
      </c>
      <c r="AE3942" s="182" t="n">
        <v>0</v>
      </c>
      <c r="AF3942" s="182" t="n">
        <v>0</v>
      </c>
      <c r="AG3942" s="182" t="n">
        <v>0</v>
      </c>
      <c r="AH3942" s="182" t="n">
        <v>0.25</v>
      </c>
      <c r="AI3942" s="182" t="n">
        <v>0</v>
      </c>
      <c r="AJ3942" s="182" t="n">
        <v>0</v>
      </c>
      <c r="AK3942" s="182" t="n">
        <v>0</v>
      </c>
      <c r="AL3942" s="182" t="n">
        <v>0</v>
      </c>
      <c r="AM3942" s="182" t="n">
        <v>0.09</v>
      </c>
      <c r="AN3942" s="182" t="n">
        <v>0</v>
      </c>
    </row>
    <row r="3943">
      <c r="A3943" s="155" t="n">
        <v>46099</v>
      </c>
      <c r="B3943" s="156" t="inlineStr">
        <is>
          <t>NS</t>
        </is>
      </c>
      <c r="C3943" s="156" t="inlineStr">
        <is>
          <t>DT-520</t>
        </is>
      </c>
      <c r="D3943" s="156" t="inlineStr">
        <is>
          <t>SKT 105S</t>
        </is>
      </c>
      <c r="E3943" s="156" t="inlineStr">
        <is>
          <t>Hauler</t>
        </is>
      </c>
      <c r="F3943" s="156" t="inlineStr">
        <is>
          <t>Hauling Coal</t>
        </is>
      </c>
      <c r="G3943" s="182" t="n">
        <v>8.68</v>
      </c>
      <c r="H3943" s="182" t="n">
        <v>0</v>
      </c>
      <c r="I3943" s="182" t="n">
        <v>0</v>
      </c>
      <c r="J3943" s="182" t="n">
        <v>0</v>
      </c>
      <c r="K3943" s="182" t="n">
        <v>3.32</v>
      </c>
      <c r="L3943" s="182" t="n">
        <v>12</v>
      </c>
      <c r="M3943" s="182" t="n">
        <v>0</v>
      </c>
      <c r="N3943" s="182" t="n">
        <v>8.68</v>
      </c>
      <c r="O3943" s="183" t="n">
        <v>0</v>
      </c>
      <c r="P3943" s="183" t="n">
        <v>21</v>
      </c>
      <c r="Q3943" s="184" t="n">
        <v>0</v>
      </c>
      <c r="R3943" s="184" t="n">
        <v>392.7</v>
      </c>
      <c r="S3943" s="183" t="n">
        <v>0</v>
      </c>
      <c r="T3943" s="183" t="n">
        <v>0</v>
      </c>
      <c r="U3943" s="182" t="n">
        <v>0</v>
      </c>
      <c r="V3943" s="182" t="n">
        <v>0</v>
      </c>
      <c r="W3943" s="182" t="n">
        <v>0</v>
      </c>
      <c r="X3943" s="182" t="n">
        <v>0.98</v>
      </c>
      <c r="Y3943" s="182" t="n">
        <v>0</v>
      </c>
      <c r="Z3943" s="182" t="n">
        <v>0.1</v>
      </c>
      <c r="AA3943" s="182" t="n">
        <v>0</v>
      </c>
      <c r="AB3943" s="182" t="n">
        <v>0</v>
      </c>
      <c r="AC3943" s="182" t="n">
        <v>0</v>
      </c>
      <c r="AD3943" s="182" t="n">
        <v>0</v>
      </c>
      <c r="AE3943" s="182" t="n">
        <v>0</v>
      </c>
      <c r="AF3943" s="182" t="n">
        <v>0</v>
      </c>
      <c r="AG3943" s="182" t="n">
        <v>0</v>
      </c>
      <c r="AH3943" s="182" t="n">
        <v>0</v>
      </c>
      <c r="AI3943" s="182" t="n">
        <v>2.17</v>
      </c>
      <c r="AJ3943" s="182" t="n">
        <v>0</v>
      </c>
      <c r="AK3943" s="182" t="n">
        <v>0</v>
      </c>
      <c r="AL3943" s="182" t="n">
        <v>0</v>
      </c>
      <c r="AM3943" s="182" t="n">
        <v>0.08</v>
      </c>
      <c r="AN3943" s="182" t="n">
        <v>0</v>
      </c>
    </row>
    <row r="3944">
      <c r="A3944" s="155" t="n">
        <v>46099</v>
      </c>
      <c r="B3944" s="156" t="inlineStr">
        <is>
          <t>NS</t>
        </is>
      </c>
      <c r="C3944" s="156" t="inlineStr">
        <is>
          <t>DT-511</t>
        </is>
      </c>
      <c r="D3944" s="156" t="inlineStr">
        <is>
          <t>SKT 105S</t>
        </is>
      </c>
      <c r="E3944" s="156" t="inlineStr">
        <is>
          <t>Hauler</t>
        </is>
      </c>
      <c r="F3944" s="156" t="inlineStr"/>
      <c r="G3944" s="182" t="n">
        <v>0</v>
      </c>
      <c r="H3944" s="182" t="n">
        <v>0</v>
      </c>
      <c r="I3944" s="182" t="n">
        <v>12</v>
      </c>
      <c r="J3944" s="182" t="n">
        <v>12</v>
      </c>
      <c r="K3944" s="182" t="n">
        <v>0</v>
      </c>
      <c r="L3944" s="182" t="n">
        <v>12</v>
      </c>
      <c r="M3944" s="182" t="n">
        <v>0</v>
      </c>
      <c r="N3944" s="182" t="n">
        <v>0</v>
      </c>
      <c r="O3944" s="183" t="n">
        <v>0</v>
      </c>
      <c r="P3944" s="183" t="n">
        <v>0</v>
      </c>
      <c r="Q3944" s="184" t="n">
        <v>0</v>
      </c>
      <c r="R3944" s="184" t="n">
        <v>0</v>
      </c>
      <c r="S3944" s="183" t="n">
        <v>0</v>
      </c>
      <c r="T3944" s="183" t="n">
        <v>0</v>
      </c>
      <c r="U3944" s="182" t="n">
        <v>0</v>
      </c>
      <c r="V3944" s="182" t="n">
        <v>0</v>
      </c>
      <c r="W3944" s="182" t="n">
        <v>0</v>
      </c>
      <c r="X3944" s="182" t="n">
        <v>0</v>
      </c>
      <c r="Y3944" s="182" t="n">
        <v>0</v>
      </c>
      <c r="Z3944" s="182" t="n">
        <v>0</v>
      </c>
      <c r="AA3944" s="182" t="n">
        <v>0</v>
      </c>
      <c r="AB3944" s="182" t="n">
        <v>0</v>
      </c>
      <c r="AC3944" s="182" t="n">
        <v>0</v>
      </c>
      <c r="AD3944" s="182" t="n">
        <v>0</v>
      </c>
      <c r="AE3944" s="182" t="n">
        <v>0</v>
      </c>
      <c r="AF3944" s="182" t="n">
        <v>0</v>
      </c>
      <c r="AG3944" s="182" t="n">
        <v>0</v>
      </c>
      <c r="AH3944" s="182" t="n">
        <v>0</v>
      </c>
      <c r="AI3944" s="182" t="n">
        <v>0</v>
      </c>
      <c r="AJ3944" s="182" t="n">
        <v>0</v>
      </c>
      <c r="AK3944" s="182" t="n">
        <v>0</v>
      </c>
      <c r="AL3944" s="182" t="n">
        <v>0</v>
      </c>
      <c r="AM3944" s="182" t="n">
        <v>0</v>
      </c>
      <c r="AN3944" s="182" t="n">
        <v>0</v>
      </c>
    </row>
    <row r="3945">
      <c r="A3945" s="155" t="n">
        <v>46099</v>
      </c>
      <c r="B3945" s="156" t="inlineStr">
        <is>
          <t>NS</t>
        </is>
      </c>
      <c r="C3945" s="156" t="inlineStr">
        <is>
          <t>DT-509</t>
        </is>
      </c>
      <c r="D3945" s="156" t="inlineStr">
        <is>
          <t>SKT 105S</t>
        </is>
      </c>
      <c r="E3945" s="156" t="inlineStr">
        <is>
          <t>Hauler</t>
        </is>
      </c>
      <c r="F3945" s="156" t="inlineStr"/>
      <c r="G3945" s="182" t="n">
        <v>0</v>
      </c>
      <c r="H3945" s="182" t="n">
        <v>0</v>
      </c>
      <c r="I3945" s="182" t="n">
        <v>12</v>
      </c>
      <c r="J3945" s="182" t="n">
        <v>12</v>
      </c>
      <c r="K3945" s="182" t="n">
        <v>0</v>
      </c>
      <c r="L3945" s="182" t="n">
        <v>12</v>
      </c>
      <c r="M3945" s="182" t="n">
        <v>0</v>
      </c>
      <c r="N3945" s="182" t="n">
        <v>0</v>
      </c>
      <c r="O3945" s="183" t="n">
        <v>0</v>
      </c>
      <c r="P3945" s="183" t="n">
        <v>0</v>
      </c>
      <c r="Q3945" s="184" t="n">
        <v>0</v>
      </c>
      <c r="R3945" s="184" t="n">
        <v>0</v>
      </c>
      <c r="S3945" s="183" t="n">
        <v>0</v>
      </c>
      <c r="T3945" s="183" t="n">
        <v>0</v>
      </c>
      <c r="U3945" s="182" t="n">
        <v>0</v>
      </c>
      <c r="V3945" s="182" t="n">
        <v>0</v>
      </c>
      <c r="W3945" s="182" t="n">
        <v>0</v>
      </c>
      <c r="X3945" s="182" t="n">
        <v>0</v>
      </c>
      <c r="Y3945" s="182" t="n">
        <v>0</v>
      </c>
      <c r="Z3945" s="182" t="n">
        <v>0</v>
      </c>
      <c r="AA3945" s="182" t="n">
        <v>0</v>
      </c>
      <c r="AB3945" s="182" t="n">
        <v>0</v>
      </c>
      <c r="AC3945" s="182" t="n">
        <v>0</v>
      </c>
      <c r="AD3945" s="182" t="n">
        <v>0</v>
      </c>
      <c r="AE3945" s="182" t="n">
        <v>0</v>
      </c>
      <c r="AF3945" s="182" t="n">
        <v>0</v>
      </c>
      <c r="AG3945" s="182" t="n">
        <v>0</v>
      </c>
      <c r="AH3945" s="182" t="n">
        <v>0</v>
      </c>
      <c r="AI3945" s="182" t="n">
        <v>0</v>
      </c>
      <c r="AJ3945" s="182" t="n">
        <v>0</v>
      </c>
      <c r="AK3945" s="182" t="n">
        <v>0</v>
      </c>
      <c r="AL3945" s="182" t="n">
        <v>0</v>
      </c>
      <c r="AM3945" s="182" t="n">
        <v>0</v>
      </c>
      <c r="AN3945" s="182" t="n">
        <v>0</v>
      </c>
    </row>
    <row r="3946">
      <c r="A3946" s="155" t="n">
        <v>46099</v>
      </c>
      <c r="B3946" s="156" t="inlineStr">
        <is>
          <t>NS</t>
        </is>
      </c>
      <c r="C3946" s="156" t="inlineStr">
        <is>
          <t>DT-526</t>
        </is>
      </c>
      <c r="D3946" s="156" t="inlineStr">
        <is>
          <t>SKT 105S</t>
        </is>
      </c>
      <c r="E3946" s="156" t="inlineStr">
        <is>
          <t>Hauler</t>
        </is>
      </c>
      <c r="F3946" s="156" t="inlineStr">
        <is>
          <t>Hauling OB</t>
        </is>
      </c>
      <c r="G3946" s="182" t="n">
        <v>10.26</v>
      </c>
      <c r="H3946" s="182" t="n">
        <v>0</v>
      </c>
      <c r="I3946" s="182" t="n">
        <v>0</v>
      </c>
      <c r="J3946" s="182" t="n">
        <v>0</v>
      </c>
      <c r="K3946" s="182" t="n">
        <v>1.74</v>
      </c>
      <c r="L3946" s="182" t="n">
        <v>12</v>
      </c>
      <c r="M3946" s="182" t="n">
        <v>10.26</v>
      </c>
      <c r="N3946" s="182" t="n">
        <v>0</v>
      </c>
      <c r="O3946" s="183" t="n">
        <v>41</v>
      </c>
      <c r="P3946" s="183" t="n">
        <v>0</v>
      </c>
      <c r="Q3946" s="184" t="n">
        <v>836.4</v>
      </c>
      <c r="R3946" s="184" t="n">
        <v>0</v>
      </c>
      <c r="S3946" s="183" t="n">
        <v>0</v>
      </c>
      <c r="T3946" s="183" t="n">
        <v>0</v>
      </c>
      <c r="U3946" s="182" t="n">
        <v>0</v>
      </c>
      <c r="V3946" s="182" t="n">
        <v>0</v>
      </c>
      <c r="W3946" s="182" t="n">
        <v>0</v>
      </c>
      <c r="X3946" s="182" t="n">
        <v>1.24</v>
      </c>
      <c r="Y3946" s="182" t="n">
        <v>0</v>
      </c>
      <c r="Z3946" s="182" t="n">
        <v>0.12</v>
      </c>
      <c r="AA3946" s="182" t="n">
        <v>0</v>
      </c>
      <c r="AB3946" s="182" t="n">
        <v>0</v>
      </c>
      <c r="AC3946" s="182" t="n">
        <v>0</v>
      </c>
      <c r="AD3946" s="182" t="n">
        <v>0</v>
      </c>
      <c r="AE3946" s="182" t="n">
        <v>0</v>
      </c>
      <c r="AF3946" s="182" t="n">
        <v>0</v>
      </c>
      <c r="AG3946" s="182" t="n">
        <v>0</v>
      </c>
      <c r="AH3946" s="182" t="n">
        <v>0.27</v>
      </c>
      <c r="AI3946" s="182" t="n">
        <v>0</v>
      </c>
      <c r="AJ3946" s="182" t="n">
        <v>0</v>
      </c>
      <c r="AK3946" s="182" t="n">
        <v>0</v>
      </c>
      <c r="AL3946" s="182" t="n">
        <v>0</v>
      </c>
      <c r="AM3946" s="182" t="n">
        <v>0.1</v>
      </c>
      <c r="AN3946" s="182" t="n">
        <v>0</v>
      </c>
    </row>
    <row r="3947">
      <c r="A3947" s="155" t="n">
        <v>46099</v>
      </c>
      <c r="B3947" s="156" t="inlineStr">
        <is>
          <t>NS</t>
        </is>
      </c>
      <c r="C3947" s="156" t="inlineStr">
        <is>
          <t>DT-508</t>
        </is>
      </c>
      <c r="D3947" s="156" t="inlineStr">
        <is>
          <t>SKT 105S</t>
        </is>
      </c>
      <c r="E3947" s="156" t="inlineStr">
        <is>
          <t>Hauler</t>
        </is>
      </c>
      <c r="F3947" s="156" t="inlineStr">
        <is>
          <t>Hauling OB &amp; Coal</t>
        </is>
      </c>
      <c r="G3947" s="182" t="n">
        <v>8.42</v>
      </c>
      <c r="H3947" s="182" t="n">
        <v>0</v>
      </c>
      <c r="I3947" s="182" t="n">
        <v>0</v>
      </c>
      <c r="J3947" s="182" t="n">
        <v>0</v>
      </c>
      <c r="K3947" s="182" t="n">
        <v>3.58</v>
      </c>
      <c r="L3947" s="182" t="n">
        <v>12</v>
      </c>
      <c r="M3947" s="182" t="n">
        <v>8.02</v>
      </c>
      <c r="N3947" s="182" t="n">
        <v>0.4</v>
      </c>
      <c r="O3947" s="183" t="n">
        <v>35</v>
      </c>
      <c r="P3947" s="183" t="n">
        <v>1</v>
      </c>
      <c r="Q3947" s="184" t="n">
        <v>714</v>
      </c>
      <c r="R3947" s="184" t="n">
        <v>18.7</v>
      </c>
      <c r="S3947" s="183" t="n">
        <v>0</v>
      </c>
      <c r="T3947" s="183" t="n">
        <v>0</v>
      </c>
      <c r="U3947" s="182" t="n">
        <v>0</v>
      </c>
      <c r="V3947" s="182" t="n">
        <v>0</v>
      </c>
      <c r="W3947" s="182" t="n">
        <v>0</v>
      </c>
      <c r="X3947" s="182" t="n">
        <v>1.15</v>
      </c>
      <c r="Y3947" s="182" t="n">
        <v>0</v>
      </c>
      <c r="Z3947" s="182" t="n">
        <v>0.12</v>
      </c>
      <c r="AA3947" s="182" t="n">
        <v>1.73</v>
      </c>
      <c r="AB3947" s="182" t="n">
        <v>0</v>
      </c>
      <c r="AC3947" s="182" t="n">
        <v>0</v>
      </c>
      <c r="AD3947" s="182" t="n">
        <v>0</v>
      </c>
      <c r="AE3947" s="182" t="n">
        <v>0</v>
      </c>
      <c r="AF3947" s="182" t="n">
        <v>0</v>
      </c>
      <c r="AG3947" s="182" t="n">
        <v>0</v>
      </c>
      <c r="AH3947" s="182" t="n">
        <v>0.49</v>
      </c>
      <c r="AI3947" s="182" t="n">
        <v>0</v>
      </c>
      <c r="AJ3947" s="182" t="n">
        <v>0</v>
      </c>
      <c r="AK3947" s="182" t="n">
        <v>0</v>
      </c>
      <c r="AL3947" s="182" t="n">
        <v>0</v>
      </c>
      <c r="AM3947" s="182" t="n">
        <v>0.09</v>
      </c>
      <c r="AN3947" s="182" t="n">
        <v>0</v>
      </c>
    </row>
    <row r="3948">
      <c r="A3948" s="155" t="n">
        <v>46099</v>
      </c>
      <c r="B3948" s="156" t="inlineStr">
        <is>
          <t>NS</t>
        </is>
      </c>
      <c r="C3948" s="156" t="inlineStr">
        <is>
          <t>DT-515</t>
        </is>
      </c>
      <c r="D3948" s="156" t="inlineStr">
        <is>
          <t>SKT 105S</t>
        </is>
      </c>
      <c r="E3948" s="156" t="inlineStr">
        <is>
          <t>Hauler</t>
        </is>
      </c>
      <c r="F3948" s="156" t="inlineStr">
        <is>
          <t>Hauling OB</t>
        </is>
      </c>
      <c r="G3948" s="182" t="n">
        <v>10.21</v>
      </c>
      <c r="H3948" s="182" t="n">
        <v>0</v>
      </c>
      <c r="I3948" s="182" t="n">
        <v>0</v>
      </c>
      <c r="J3948" s="182" t="n">
        <v>0</v>
      </c>
      <c r="K3948" s="182" t="n">
        <v>1.79</v>
      </c>
      <c r="L3948" s="182" t="n">
        <v>12</v>
      </c>
      <c r="M3948" s="182" t="n">
        <v>10.21</v>
      </c>
      <c r="N3948" s="182" t="n">
        <v>0</v>
      </c>
      <c r="O3948" s="183" t="n">
        <v>42</v>
      </c>
      <c r="P3948" s="183" t="n">
        <v>0</v>
      </c>
      <c r="Q3948" s="184" t="n">
        <v>856.8</v>
      </c>
      <c r="R3948" s="184" t="n">
        <v>0</v>
      </c>
      <c r="S3948" s="183" t="n">
        <v>0</v>
      </c>
      <c r="T3948" s="183" t="n">
        <v>0</v>
      </c>
      <c r="U3948" s="182" t="n">
        <v>0</v>
      </c>
      <c r="V3948" s="182" t="n">
        <v>0</v>
      </c>
      <c r="W3948" s="182" t="n">
        <v>0</v>
      </c>
      <c r="X3948" s="182" t="n">
        <v>0.99</v>
      </c>
      <c r="Y3948" s="182" t="n">
        <v>0</v>
      </c>
      <c r="Z3948" s="182" t="n">
        <v>0.1</v>
      </c>
      <c r="AA3948" s="182" t="n">
        <v>0</v>
      </c>
      <c r="AB3948" s="182" t="n">
        <v>0</v>
      </c>
      <c r="AC3948" s="182" t="n">
        <v>0</v>
      </c>
      <c r="AD3948" s="182" t="n">
        <v>0</v>
      </c>
      <c r="AE3948" s="182" t="n">
        <v>0</v>
      </c>
      <c r="AF3948" s="182" t="n">
        <v>0</v>
      </c>
      <c r="AG3948" s="182" t="n">
        <v>0</v>
      </c>
      <c r="AH3948" s="182" t="n">
        <v>0.62</v>
      </c>
      <c r="AI3948" s="182" t="n">
        <v>0</v>
      </c>
      <c r="AJ3948" s="182" t="n">
        <v>0</v>
      </c>
      <c r="AK3948" s="182" t="n">
        <v>0</v>
      </c>
      <c r="AL3948" s="182" t="n">
        <v>0</v>
      </c>
      <c r="AM3948" s="182" t="n">
        <v>0.08</v>
      </c>
      <c r="AN3948" s="182" t="n">
        <v>0</v>
      </c>
    </row>
    <row r="3949">
      <c r="A3949" s="155" t="n">
        <v>46099</v>
      </c>
      <c r="B3949" s="156" t="inlineStr">
        <is>
          <t>NS</t>
        </is>
      </c>
      <c r="C3949" s="156" t="inlineStr">
        <is>
          <t>DT-524</t>
        </is>
      </c>
      <c r="D3949" s="156" t="inlineStr">
        <is>
          <t>SKT 105S</t>
        </is>
      </c>
      <c r="E3949" s="156" t="inlineStr">
        <is>
          <t>Hauler</t>
        </is>
      </c>
      <c r="F3949" s="156" t="inlineStr">
        <is>
          <t>Hauling OB</t>
        </is>
      </c>
      <c r="G3949" s="182" t="n">
        <v>8.08</v>
      </c>
      <c r="H3949" s="182" t="n">
        <v>0</v>
      </c>
      <c r="I3949" s="182" t="n">
        <v>1.27</v>
      </c>
      <c r="J3949" s="182" t="n">
        <v>1.27</v>
      </c>
      <c r="K3949" s="182" t="n">
        <v>2.65</v>
      </c>
      <c r="L3949" s="182" t="n">
        <v>12</v>
      </c>
      <c r="M3949" s="182" t="n">
        <v>8.08</v>
      </c>
      <c r="N3949" s="182" t="n">
        <v>0</v>
      </c>
      <c r="O3949" s="183" t="n">
        <v>29</v>
      </c>
      <c r="P3949" s="183" t="n">
        <v>0</v>
      </c>
      <c r="Q3949" s="184" t="n">
        <v>591.6</v>
      </c>
      <c r="R3949" s="184" t="n">
        <v>0</v>
      </c>
      <c r="S3949" s="183" t="n">
        <v>0</v>
      </c>
      <c r="T3949" s="183" t="n">
        <v>0</v>
      </c>
      <c r="U3949" s="182" t="n">
        <v>0</v>
      </c>
      <c r="V3949" s="182" t="n">
        <v>0</v>
      </c>
      <c r="W3949" s="182" t="n">
        <v>0.63</v>
      </c>
      <c r="X3949" s="182" t="n">
        <v>1.01</v>
      </c>
      <c r="Y3949" s="182" t="n">
        <v>0</v>
      </c>
      <c r="Z3949" s="182" t="n">
        <v>0.1</v>
      </c>
      <c r="AA3949" s="182" t="n">
        <v>0</v>
      </c>
      <c r="AB3949" s="182" t="n">
        <v>0</v>
      </c>
      <c r="AC3949" s="182" t="n">
        <v>0</v>
      </c>
      <c r="AD3949" s="182" t="n">
        <v>0</v>
      </c>
      <c r="AE3949" s="182" t="n">
        <v>0</v>
      </c>
      <c r="AF3949" s="182" t="n">
        <v>0</v>
      </c>
      <c r="AG3949" s="182" t="n">
        <v>0</v>
      </c>
      <c r="AH3949" s="182" t="n">
        <v>0.83</v>
      </c>
      <c r="AI3949" s="182" t="n">
        <v>0</v>
      </c>
      <c r="AJ3949" s="182" t="n">
        <v>0</v>
      </c>
      <c r="AK3949" s="182" t="n">
        <v>0</v>
      </c>
      <c r="AL3949" s="182" t="n">
        <v>0</v>
      </c>
      <c r="AM3949" s="182" t="n">
        <v>0.08</v>
      </c>
      <c r="AN3949" s="182" t="n">
        <v>0</v>
      </c>
    </row>
    <row r="3950">
      <c r="A3950" s="155" t="n">
        <v>46099</v>
      </c>
      <c r="B3950" s="156" t="inlineStr">
        <is>
          <t>NS</t>
        </is>
      </c>
      <c r="C3950" s="156" t="inlineStr">
        <is>
          <t>DT-341</t>
        </is>
      </c>
      <c r="D3950" s="156" t="inlineStr">
        <is>
          <t>SYZ324C-8W</t>
        </is>
      </c>
      <c r="E3950" s="156" t="inlineStr">
        <is>
          <t>Hauler</t>
        </is>
      </c>
      <c r="F3950" s="156" t="inlineStr"/>
      <c r="G3950" s="182" t="n">
        <v>0</v>
      </c>
      <c r="H3950" s="182" t="n">
        <v>0</v>
      </c>
      <c r="I3950" s="182" t="n">
        <v>0</v>
      </c>
      <c r="J3950" s="182" t="n">
        <v>0</v>
      </c>
      <c r="K3950" s="182" t="n">
        <v>12</v>
      </c>
      <c r="L3950" s="182" t="n">
        <v>12</v>
      </c>
      <c r="M3950" s="182" t="n">
        <v>0</v>
      </c>
      <c r="N3950" s="182" t="n">
        <v>0</v>
      </c>
      <c r="O3950" s="183" t="n">
        <v>0</v>
      </c>
      <c r="P3950" s="183" t="n">
        <v>0</v>
      </c>
      <c r="Q3950" s="184" t="n">
        <v>0</v>
      </c>
      <c r="R3950" s="184" t="n">
        <v>0</v>
      </c>
      <c r="S3950" s="183" t="n">
        <v>0</v>
      </c>
      <c r="T3950" s="183" t="n">
        <v>0</v>
      </c>
      <c r="U3950" s="182" t="n">
        <v>0</v>
      </c>
      <c r="V3950" s="182" t="n">
        <v>0</v>
      </c>
      <c r="W3950" s="182" t="n">
        <v>0</v>
      </c>
      <c r="X3950" s="182" t="n">
        <v>1</v>
      </c>
      <c r="Y3950" s="182" t="n">
        <v>0</v>
      </c>
      <c r="Z3950" s="182" t="n">
        <v>0</v>
      </c>
      <c r="AA3950" s="182" t="n">
        <v>0</v>
      </c>
      <c r="AB3950" s="182" t="n">
        <v>0</v>
      </c>
      <c r="AC3950" s="182" t="n">
        <v>0</v>
      </c>
      <c r="AD3950" s="182" t="n">
        <v>0</v>
      </c>
      <c r="AE3950" s="182" t="n">
        <v>0</v>
      </c>
      <c r="AF3950" s="182" t="n">
        <v>0</v>
      </c>
      <c r="AG3950" s="182" t="n">
        <v>0</v>
      </c>
      <c r="AH3950" s="182" t="n">
        <v>0</v>
      </c>
      <c r="AI3950" s="182" t="n">
        <v>0</v>
      </c>
      <c r="AJ3950" s="182" t="n">
        <v>0</v>
      </c>
      <c r="AK3950" s="182" t="n">
        <v>10.92</v>
      </c>
      <c r="AL3950" s="182" t="n">
        <v>0</v>
      </c>
      <c r="AM3950" s="182" t="n">
        <v>0.08</v>
      </c>
      <c r="AN3950" s="182" t="n">
        <v>0</v>
      </c>
    </row>
    <row r="3951">
      <c r="A3951" s="155" t="n">
        <v>46099</v>
      </c>
      <c r="B3951" s="156" t="inlineStr">
        <is>
          <t>NS</t>
        </is>
      </c>
      <c r="C3951" s="156" t="inlineStr">
        <is>
          <t>DT-342</t>
        </is>
      </c>
      <c r="D3951" s="156" t="inlineStr">
        <is>
          <t>SYZ324C-8W</t>
        </is>
      </c>
      <c r="E3951" s="156" t="inlineStr">
        <is>
          <t>Hauler</t>
        </is>
      </c>
      <c r="F3951" s="156" t="inlineStr"/>
      <c r="G3951" s="182" t="n">
        <v>0</v>
      </c>
      <c r="H3951" s="182" t="n">
        <v>0</v>
      </c>
      <c r="I3951" s="182" t="n">
        <v>0</v>
      </c>
      <c r="J3951" s="182" t="n">
        <v>0</v>
      </c>
      <c r="K3951" s="182" t="n">
        <v>12</v>
      </c>
      <c r="L3951" s="182" t="n">
        <v>12</v>
      </c>
      <c r="M3951" s="182" t="n">
        <v>0</v>
      </c>
      <c r="N3951" s="182" t="n">
        <v>0</v>
      </c>
      <c r="O3951" s="183" t="n">
        <v>0</v>
      </c>
      <c r="P3951" s="183" t="n">
        <v>0</v>
      </c>
      <c r="Q3951" s="184" t="n">
        <v>0</v>
      </c>
      <c r="R3951" s="184" t="n">
        <v>0</v>
      </c>
      <c r="S3951" s="183" t="n">
        <v>0</v>
      </c>
      <c r="T3951" s="183" t="n">
        <v>0</v>
      </c>
      <c r="U3951" s="182" t="n">
        <v>0</v>
      </c>
      <c r="V3951" s="182" t="n">
        <v>0</v>
      </c>
      <c r="W3951" s="182" t="n">
        <v>0</v>
      </c>
      <c r="X3951" s="182" t="n">
        <v>1</v>
      </c>
      <c r="Y3951" s="182" t="n">
        <v>0</v>
      </c>
      <c r="Z3951" s="182" t="n">
        <v>0</v>
      </c>
      <c r="AA3951" s="182" t="n">
        <v>0</v>
      </c>
      <c r="AB3951" s="182" t="n">
        <v>0</v>
      </c>
      <c r="AC3951" s="182" t="n">
        <v>0</v>
      </c>
      <c r="AD3951" s="182" t="n">
        <v>0</v>
      </c>
      <c r="AE3951" s="182" t="n">
        <v>0</v>
      </c>
      <c r="AF3951" s="182" t="n">
        <v>0</v>
      </c>
      <c r="AG3951" s="182" t="n">
        <v>0</v>
      </c>
      <c r="AH3951" s="182" t="n">
        <v>0</v>
      </c>
      <c r="AI3951" s="182" t="n">
        <v>0</v>
      </c>
      <c r="AJ3951" s="182" t="n">
        <v>0</v>
      </c>
      <c r="AK3951" s="182" t="n">
        <v>10.92</v>
      </c>
      <c r="AL3951" s="182" t="n">
        <v>0</v>
      </c>
      <c r="AM3951" s="182" t="n">
        <v>0.08</v>
      </c>
      <c r="AN3951" s="182" t="n">
        <v>0</v>
      </c>
    </row>
    <row r="3952">
      <c r="A3952" s="155" t="n">
        <v>46099</v>
      </c>
      <c r="B3952" s="156" t="inlineStr">
        <is>
          <t>NS</t>
        </is>
      </c>
      <c r="C3952" s="156" t="inlineStr">
        <is>
          <t>HD-903</t>
        </is>
      </c>
      <c r="D3952" s="156" t="inlineStr">
        <is>
          <t>SRT 95C</t>
        </is>
      </c>
      <c r="E3952" s="156" t="inlineStr">
        <is>
          <t>Hauler</t>
        </is>
      </c>
      <c r="F3952" s="156" t="inlineStr"/>
      <c r="G3952" s="182" t="n">
        <v>0</v>
      </c>
      <c r="H3952" s="182" t="n">
        <v>0</v>
      </c>
      <c r="I3952" s="182" t="n">
        <v>12</v>
      </c>
      <c r="J3952" s="182" t="n">
        <v>12</v>
      </c>
      <c r="K3952" s="182" t="n">
        <v>0</v>
      </c>
      <c r="L3952" s="182" t="n">
        <v>12</v>
      </c>
      <c r="M3952" s="182" t="n">
        <v>0</v>
      </c>
      <c r="N3952" s="182" t="n">
        <v>0</v>
      </c>
      <c r="O3952" s="183" t="n">
        <v>0</v>
      </c>
      <c r="P3952" s="183" t="n">
        <v>0</v>
      </c>
      <c r="Q3952" s="184" t="n">
        <v>0</v>
      </c>
      <c r="R3952" s="184" t="n">
        <v>0</v>
      </c>
      <c r="S3952" s="183" t="n">
        <v>0</v>
      </c>
      <c r="T3952" s="183" t="n">
        <v>0</v>
      </c>
      <c r="U3952" s="182" t="n">
        <v>0</v>
      </c>
      <c r="V3952" s="182" t="n">
        <v>0</v>
      </c>
      <c r="W3952" s="182" t="n">
        <v>0</v>
      </c>
      <c r="X3952" s="182" t="n">
        <v>0</v>
      </c>
      <c r="Y3952" s="182" t="n">
        <v>0</v>
      </c>
      <c r="Z3952" s="182" t="n">
        <v>0</v>
      </c>
      <c r="AA3952" s="182" t="n">
        <v>0</v>
      </c>
      <c r="AB3952" s="182" t="n">
        <v>0</v>
      </c>
      <c r="AC3952" s="182" t="n">
        <v>0</v>
      </c>
      <c r="AD3952" s="182" t="n">
        <v>0</v>
      </c>
      <c r="AE3952" s="182" t="n">
        <v>0</v>
      </c>
      <c r="AF3952" s="182" t="n">
        <v>0</v>
      </c>
      <c r="AG3952" s="182" t="n">
        <v>0</v>
      </c>
      <c r="AH3952" s="182" t="n">
        <v>0</v>
      </c>
      <c r="AI3952" s="182" t="n">
        <v>0</v>
      </c>
      <c r="AJ3952" s="182" t="n">
        <v>0</v>
      </c>
      <c r="AK3952" s="182" t="n">
        <v>0</v>
      </c>
      <c r="AL3952" s="182" t="n">
        <v>0</v>
      </c>
      <c r="AM3952" s="182" t="n">
        <v>0</v>
      </c>
      <c r="AN3952" s="182" t="n">
        <v>0</v>
      </c>
    </row>
    <row r="3953">
      <c r="A3953" s="155" t="n">
        <v>46099</v>
      </c>
      <c r="B3953" s="156" t="inlineStr">
        <is>
          <t>NS</t>
        </is>
      </c>
      <c r="C3953" s="156" t="inlineStr">
        <is>
          <t>HD-905</t>
        </is>
      </c>
      <c r="D3953" s="156" t="inlineStr">
        <is>
          <t>SRT 95C</t>
        </is>
      </c>
      <c r="E3953" s="156" t="inlineStr">
        <is>
          <t>Hauler</t>
        </is>
      </c>
      <c r="F3953" s="156" t="inlineStr">
        <is>
          <t>Hauling OB</t>
        </is>
      </c>
      <c r="G3953" s="182" t="n">
        <v>0</v>
      </c>
      <c r="H3953" s="182" t="n">
        <v>0</v>
      </c>
      <c r="I3953" s="182" t="n">
        <v>0</v>
      </c>
      <c r="J3953" s="182" t="n">
        <v>0</v>
      </c>
      <c r="K3953" s="182" t="n">
        <v>12</v>
      </c>
      <c r="L3953" s="182" t="n">
        <v>12</v>
      </c>
      <c r="M3953" s="182" t="n">
        <v>0</v>
      </c>
      <c r="N3953" s="182" t="n">
        <v>0</v>
      </c>
      <c r="O3953" s="183" t="n">
        <v>1</v>
      </c>
      <c r="P3953" s="183" t="n">
        <v>0</v>
      </c>
      <c r="Q3953" s="184" t="n">
        <v>35.7</v>
      </c>
      <c r="R3953" s="184" t="n">
        <v>0</v>
      </c>
      <c r="S3953" s="183" t="n">
        <v>0</v>
      </c>
      <c r="T3953" s="183" t="n">
        <v>0</v>
      </c>
      <c r="U3953" s="182" t="n">
        <v>0</v>
      </c>
      <c r="V3953" s="182" t="n">
        <v>0</v>
      </c>
      <c r="W3953" s="182" t="n">
        <v>0</v>
      </c>
      <c r="X3953" s="182" t="n">
        <v>1</v>
      </c>
      <c r="Y3953" s="182" t="n">
        <v>0</v>
      </c>
      <c r="Z3953" s="182" t="n">
        <v>0</v>
      </c>
      <c r="AA3953" s="182" t="n">
        <v>0</v>
      </c>
      <c r="AB3953" s="182" t="n">
        <v>0</v>
      </c>
      <c r="AC3953" s="182" t="n">
        <v>0</v>
      </c>
      <c r="AD3953" s="182" t="n">
        <v>0</v>
      </c>
      <c r="AE3953" s="182" t="n">
        <v>0</v>
      </c>
      <c r="AF3953" s="182" t="n">
        <v>0</v>
      </c>
      <c r="AG3953" s="182" t="n">
        <v>0</v>
      </c>
      <c r="AH3953" s="182" t="n">
        <v>0</v>
      </c>
      <c r="AI3953" s="182" t="n">
        <v>10.92</v>
      </c>
      <c r="AJ3953" s="182" t="n">
        <v>0</v>
      </c>
      <c r="AK3953" s="182" t="n">
        <v>0</v>
      </c>
      <c r="AL3953" s="182" t="n">
        <v>0</v>
      </c>
      <c r="AM3953" s="182" t="n">
        <v>0.08</v>
      </c>
      <c r="AN3953" s="182" t="n">
        <v>0</v>
      </c>
    </row>
    <row r="3954">
      <c r="A3954" s="155" t="n">
        <v>46099</v>
      </c>
      <c r="B3954" s="156" t="inlineStr">
        <is>
          <t>NS</t>
        </is>
      </c>
      <c r="C3954" s="156" t="inlineStr">
        <is>
          <t>HD-901</t>
        </is>
      </c>
      <c r="D3954" s="156" t="inlineStr">
        <is>
          <t>SRT 95C</t>
        </is>
      </c>
      <c r="E3954" s="156" t="inlineStr">
        <is>
          <t>Hauler</t>
        </is>
      </c>
      <c r="F3954" s="156" t="inlineStr">
        <is>
          <t>Hauling OB</t>
        </is>
      </c>
      <c r="G3954" s="182" t="n">
        <v>0.4</v>
      </c>
      <c r="H3954" s="182" t="n">
        <v>0</v>
      </c>
      <c r="I3954" s="182" t="n">
        <v>0</v>
      </c>
      <c r="J3954" s="182" t="n">
        <v>0</v>
      </c>
      <c r="K3954" s="182" t="n">
        <v>11.6</v>
      </c>
      <c r="L3954" s="182" t="n">
        <v>12</v>
      </c>
      <c r="M3954" s="182" t="n">
        <v>0.4</v>
      </c>
      <c r="N3954" s="182" t="n">
        <v>0</v>
      </c>
      <c r="O3954" s="183" t="n">
        <v>1</v>
      </c>
      <c r="P3954" s="183" t="n">
        <v>0</v>
      </c>
      <c r="Q3954" s="184" t="n">
        <v>35.7</v>
      </c>
      <c r="R3954" s="184" t="n">
        <v>0</v>
      </c>
      <c r="S3954" s="183" t="n">
        <v>0</v>
      </c>
      <c r="T3954" s="183" t="n">
        <v>0</v>
      </c>
      <c r="U3954" s="182" t="n">
        <v>0</v>
      </c>
      <c r="V3954" s="182" t="n">
        <v>0</v>
      </c>
      <c r="W3954" s="182" t="n">
        <v>0</v>
      </c>
      <c r="X3954" s="182" t="n">
        <v>1</v>
      </c>
      <c r="Y3954" s="182" t="n">
        <v>0</v>
      </c>
      <c r="Z3954" s="182" t="n">
        <v>0</v>
      </c>
      <c r="AA3954" s="182" t="n">
        <v>0</v>
      </c>
      <c r="AB3954" s="182" t="n">
        <v>0</v>
      </c>
      <c r="AC3954" s="182" t="n">
        <v>0</v>
      </c>
      <c r="AD3954" s="182" t="n">
        <v>0</v>
      </c>
      <c r="AE3954" s="182" t="n">
        <v>0</v>
      </c>
      <c r="AF3954" s="182" t="n">
        <v>0</v>
      </c>
      <c r="AG3954" s="182" t="n">
        <v>0</v>
      </c>
      <c r="AH3954" s="182" t="n">
        <v>0</v>
      </c>
      <c r="AI3954" s="182" t="n">
        <v>10.52</v>
      </c>
      <c r="AJ3954" s="182" t="n">
        <v>0</v>
      </c>
      <c r="AK3954" s="182" t="n">
        <v>0</v>
      </c>
      <c r="AL3954" s="182" t="n">
        <v>0</v>
      </c>
      <c r="AM3954" s="182" t="n">
        <v>0.08</v>
      </c>
      <c r="AN3954" s="182" t="n">
        <v>0</v>
      </c>
    </row>
    <row r="3955">
      <c r="A3955" s="155" t="n">
        <v>46099</v>
      </c>
      <c r="B3955" s="156" t="inlineStr">
        <is>
          <t>NS</t>
        </is>
      </c>
      <c r="C3955" s="156" t="inlineStr">
        <is>
          <t>HD-904</t>
        </is>
      </c>
      <c r="D3955" s="156" t="inlineStr">
        <is>
          <t>SRT 95C</t>
        </is>
      </c>
      <c r="E3955" s="156" t="inlineStr">
        <is>
          <t>Hauler</t>
        </is>
      </c>
      <c r="F3955" s="156" t="inlineStr">
        <is>
          <t>Hauling OB</t>
        </is>
      </c>
      <c r="G3955" s="182" t="n">
        <v>0.6</v>
      </c>
      <c r="H3955" s="182" t="n">
        <v>0</v>
      </c>
      <c r="I3955" s="182" t="n">
        <v>11.4</v>
      </c>
      <c r="J3955" s="182" t="n">
        <v>11.4</v>
      </c>
      <c r="K3955" s="182" t="n">
        <v>0</v>
      </c>
      <c r="L3955" s="182" t="n">
        <v>12</v>
      </c>
      <c r="M3955" s="182" t="n">
        <v>0.6</v>
      </c>
      <c r="N3955" s="182" t="n">
        <v>0</v>
      </c>
      <c r="O3955" s="183" t="n">
        <v>1</v>
      </c>
      <c r="P3955" s="183" t="n">
        <v>0</v>
      </c>
      <c r="Q3955" s="184" t="n">
        <v>35.7</v>
      </c>
      <c r="R3955" s="184" t="n">
        <v>0</v>
      </c>
      <c r="S3955" s="183" t="n">
        <v>0</v>
      </c>
      <c r="T3955" s="183" t="n">
        <v>0</v>
      </c>
      <c r="U3955" s="182" t="n">
        <v>0</v>
      </c>
      <c r="V3955" s="182" t="n">
        <v>0</v>
      </c>
      <c r="W3955" s="182" t="n">
        <v>0</v>
      </c>
      <c r="X3955" s="182" t="n">
        <v>0</v>
      </c>
      <c r="Y3955" s="182" t="n">
        <v>0</v>
      </c>
      <c r="Z3955" s="182" t="n">
        <v>0</v>
      </c>
      <c r="AA3955" s="182" t="n">
        <v>0</v>
      </c>
      <c r="AB3955" s="182" t="n">
        <v>0</v>
      </c>
      <c r="AC3955" s="182" t="n">
        <v>0</v>
      </c>
      <c r="AD3955" s="182" t="n">
        <v>0</v>
      </c>
      <c r="AE3955" s="182" t="n">
        <v>0</v>
      </c>
      <c r="AF3955" s="182" t="n">
        <v>0</v>
      </c>
      <c r="AG3955" s="182" t="n">
        <v>0</v>
      </c>
      <c r="AH3955" s="182" t="n">
        <v>0</v>
      </c>
      <c r="AI3955" s="182" t="n">
        <v>0</v>
      </c>
      <c r="AJ3955" s="182" t="n">
        <v>0</v>
      </c>
      <c r="AK3955" s="182" t="n">
        <v>0</v>
      </c>
      <c r="AL3955" s="182" t="n">
        <v>0</v>
      </c>
      <c r="AM3955" s="182" t="n">
        <v>0</v>
      </c>
      <c r="AN3955" s="182" t="n">
        <v>0</v>
      </c>
    </row>
    <row r="3956">
      <c r="A3956" s="155" t="n">
        <v>46099</v>
      </c>
      <c r="B3956" s="156" t="inlineStr">
        <is>
          <t>NS</t>
        </is>
      </c>
      <c r="C3956" s="156" t="inlineStr">
        <is>
          <t>HD-902</t>
        </is>
      </c>
      <c r="D3956" s="156" t="inlineStr">
        <is>
          <t>SRT 95C</t>
        </is>
      </c>
      <c r="E3956" s="156" t="inlineStr">
        <is>
          <t>Hauler</t>
        </is>
      </c>
      <c r="F3956" s="156" t="inlineStr">
        <is>
          <t>Hauling OB</t>
        </is>
      </c>
      <c r="G3956" s="182" t="n">
        <v>0.5</v>
      </c>
      <c r="H3956" s="182" t="n">
        <v>0</v>
      </c>
      <c r="I3956" s="182" t="n">
        <v>0</v>
      </c>
      <c r="J3956" s="182" t="n">
        <v>0</v>
      </c>
      <c r="K3956" s="182" t="n">
        <v>11.5</v>
      </c>
      <c r="L3956" s="182" t="n">
        <v>12</v>
      </c>
      <c r="M3956" s="182" t="n">
        <v>0.5</v>
      </c>
      <c r="N3956" s="182" t="n">
        <v>0</v>
      </c>
      <c r="O3956" s="183" t="n">
        <v>1</v>
      </c>
      <c r="P3956" s="183" t="n">
        <v>0</v>
      </c>
      <c r="Q3956" s="184" t="n">
        <v>35.7</v>
      </c>
      <c r="R3956" s="184" t="n">
        <v>0</v>
      </c>
      <c r="S3956" s="183" t="n">
        <v>0</v>
      </c>
      <c r="T3956" s="183" t="n">
        <v>0</v>
      </c>
      <c r="U3956" s="182" t="n">
        <v>0</v>
      </c>
      <c r="V3956" s="182" t="n">
        <v>0</v>
      </c>
      <c r="W3956" s="182" t="n">
        <v>0</v>
      </c>
      <c r="X3956" s="182" t="n">
        <v>1</v>
      </c>
      <c r="Y3956" s="182" t="n">
        <v>0</v>
      </c>
      <c r="Z3956" s="182" t="n">
        <v>0</v>
      </c>
      <c r="AA3956" s="182" t="n">
        <v>0</v>
      </c>
      <c r="AB3956" s="182" t="n">
        <v>0</v>
      </c>
      <c r="AC3956" s="182" t="n">
        <v>0</v>
      </c>
      <c r="AD3956" s="182" t="n">
        <v>0</v>
      </c>
      <c r="AE3956" s="182" t="n">
        <v>0</v>
      </c>
      <c r="AF3956" s="182" t="n">
        <v>0</v>
      </c>
      <c r="AG3956" s="182" t="n">
        <v>0</v>
      </c>
      <c r="AH3956" s="182" t="n">
        <v>0</v>
      </c>
      <c r="AI3956" s="182" t="n">
        <v>10.42</v>
      </c>
      <c r="AJ3956" s="182" t="n">
        <v>0</v>
      </c>
      <c r="AK3956" s="182" t="n">
        <v>0</v>
      </c>
      <c r="AL3956" s="182" t="n">
        <v>0</v>
      </c>
      <c r="AM3956" s="182" t="n">
        <v>0.08</v>
      </c>
      <c r="AN3956" s="182" t="n">
        <v>0</v>
      </c>
    </row>
    <row r="3957">
      <c r="A3957" s="155" t="n">
        <v>46099</v>
      </c>
      <c r="B3957" s="156" t="inlineStr">
        <is>
          <t>NS</t>
        </is>
      </c>
      <c r="C3957" s="156" t="inlineStr">
        <is>
          <t>WL-025</t>
        </is>
      </c>
      <c r="D3957" s="156" t="inlineStr">
        <is>
          <t>SANY - Loader</t>
        </is>
      </c>
      <c r="E3957" s="156" t="inlineStr">
        <is>
          <t>Loader</t>
        </is>
      </c>
      <c r="F3957" s="156" t="inlineStr">
        <is>
          <t>General Jetty</t>
        </is>
      </c>
      <c r="G3957" s="182" t="n">
        <v>4.3</v>
      </c>
      <c r="H3957" s="182" t="n">
        <v>0</v>
      </c>
      <c r="I3957" s="182" t="n">
        <v>0.5</v>
      </c>
      <c r="J3957" s="182" t="n">
        <v>0.5</v>
      </c>
      <c r="K3957" s="182" t="n">
        <v>7.2</v>
      </c>
      <c r="L3957" s="182" t="n">
        <v>12</v>
      </c>
      <c r="M3957" s="182" t="n">
        <v>0</v>
      </c>
      <c r="N3957" s="182" t="n">
        <v>0</v>
      </c>
      <c r="O3957" s="183" t="n">
        <v>0</v>
      </c>
      <c r="P3957" s="183" t="n">
        <v>0</v>
      </c>
      <c r="Q3957" s="184" t="n">
        <v>0</v>
      </c>
      <c r="R3957" s="184" t="n">
        <v>0</v>
      </c>
      <c r="S3957" s="183" t="n">
        <v>0</v>
      </c>
      <c r="T3957" s="183" t="n">
        <v>0</v>
      </c>
      <c r="U3957" s="182" t="n">
        <v>0</v>
      </c>
      <c r="V3957" s="182" t="n">
        <v>0</v>
      </c>
      <c r="W3957" s="182" t="n">
        <v>0</v>
      </c>
      <c r="X3957" s="182" t="n">
        <v>0.9399999999999999</v>
      </c>
      <c r="Y3957" s="182" t="n">
        <v>0</v>
      </c>
      <c r="Z3957" s="182" t="n">
        <v>0</v>
      </c>
      <c r="AA3957" s="182" t="n">
        <v>0</v>
      </c>
      <c r="AB3957" s="182" t="n">
        <v>0</v>
      </c>
      <c r="AC3957" s="182" t="n">
        <v>0</v>
      </c>
      <c r="AD3957" s="182" t="n">
        <v>0</v>
      </c>
      <c r="AE3957" s="182" t="n">
        <v>0</v>
      </c>
      <c r="AF3957" s="182" t="n">
        <v>0</v>
      </c>
      <c r="AG3957" s="182" t="n">
        <v>0</v>
      </c>
      <c r="AH3957" s="182" t="n">
        <v>0</v>
      </c>
      <c r="AI3957" s="182" t="n">
        <v>0</v>
      </c>
      <c r="AJ3957" s="182" t="n">
        <v>0</v>
      </c>
      <c r="AK3957" s="182" t="n">
        <v>6.19</v>
      </c>
      <c r="AL3957" s="182" t="n">
        <v>0</v>
      </c>
      <c r="AM3957" s="182" t="n">
        <v>0.07000000000000001</v>
      </c>
      <c r="AN3957" s="182" t="n">
        <v>0</v>
      </c>
    </row>
    <row r="3958">
      <c r="A3958" s="155" t="n">
        <v>46099</v>
      </c>
      <c r="B3958" s="156" t="inlineStr">
        <is>
          <t>NS</t>
        </is>
      </c>
      <c r="C3958" s="156" t="inlineStr">
        <is>
          <t>WL-023</t>
        </is>
      </c>
      <c r="D3958" s="156" t="inlineStr">
        <is>
          <t>SANY - Loader</t>
        </is>
      </c>
      <c r="E3958" s="156" t="inlineStr">
        <is>
          <t>Loader</t>
        </is>
      </c>
      <c r="F3958" s="156" t="inlineStr"/>
      <c r="G3958" s="182" t="n">
        <v>0</v>
      </c>
      <c r="H3958" s="182" t="n">
        <v>0</v>
      </c>
      <c r="I3958" s="182" t="n">
        <v>0</v>
      </c>
      <c r="J3958" s="182" t="n">
        <v>0</v>
      </c>
      <c r="K3958" s="182" t="n">
        <v>12</v>
      </c>
      <c r="L3958" s="182" t="n">
        <v>12</v>
      </c>
      <c r="M3958" s="182" t="n">
        <v>0</v>
      </c>
      <c r="N3958" s="182" t="n">
        <v>0</v>
      </c>
      <c r="O3958" s="183" t="n">
        <v>0</v>
      </c>
      <c r="P3958" s="183" t="n">
        <v>0</v>
      </c>
      <c r="Q3958" s="184" t="n">
        <v>0</v>
      </c>
      <c r="R3958" s="184" t="n">
        <v>0</v>
      </c>
      <c r="S3958" s="183" t="n">
        <v>0</v>
      </c>
      <c r="T3958" s="183" t="n">
        <v>0</v>
      </c>
      <c r="U3958" s="182" t="n">
        <v>0</v>
      </c>
      <c r="V3958" s="182" t="n">
        <v>0</v>
      </c>
      <c r="W3958" s="182" t="n">
        <v>0</v>
      </c>
      <c r="X3958" s="182" t="n">
        <v>1</v>
      </c>
      <c r="Y3958" s="182" t="n">
        <v>0</v>
      </c>
      <c r="Z3958" s="182" t="n">
        <v>0</v>
      </c>
      <c r="AA3958" s="182" t="n">
        <v>0</v>
      </c>
      <c r="AB3958" s="182" t="n">
        <v>0</v>
      </c>
      <c r="AC3958" s="182" t="n">
        <v>0</v>
      </c>
      <c r="AD3958" s="182" t="n">
        <v>0</v>
      </c>
      <c r="AE3958" s="182" t="n">
        <v>0</v>
      </c>
      <c r="AF3958" s="182" t="n">
        <v>0</v>
      </c>
      <c r="AG3958" s="182" t="n">
        <v>0</v>
      </c>
      <c r="AH3958" s="182" t="n">
        <v>0</v>
      </c>
      <c r="AI3958" s="182" t="n">
        <v>0</v>
      </c>
      <c r="AJ3958" s="182" t="n">
        <v>0</v>
      </c>
      <c r="AK3958" s="182" t="n">
        <v>10.92</v>
      </c>
      <c r="AL3958" s="182" t="n">
        <v>0</v>
      </c>
      <c r="AM3958" s="182" t="n">
        <v>0.08</v>
      </c>
      <c r="AN3958" s="182" t="n">
        <v>0</v>
      </c>
    </row>
    <row r="3959">
      <c r="A3959" s="155" t="n">
        <v>46099</v>
      </c>
      <c r="B3959" s="156" t="inlineStr">
        <is>
          <t>NS</t>
        </is>
      </c>
      <c r="C3959" s="156" t="inlineStr">
        <is>
          <t>WL-021</t>
        </is>
      </c>
      <c r="D3959" s="156" t="inlineStr">
        <is>
          <t>SANY - Loader</t>
        </is>
      </c>
      <c r="E3959" s="156" t="inlineStr">
        <is>
          <t>Loader</t>
        </is>
      </c>
      <c r="F3959" s="156" t="inlineStr"/>
      <c r="G3959" s="182" t="n">
        <v>0</v>
      </c>
      <c r="H3959" s="182" t="n">
        <v>0</v>
      </c>
      <c r="I3959" s="182" t="n">
        <v>12</v>
      </c>
      <c r="J3959" s="182" t="n">
        <v>12</v>
      </c>
      <c r="K3959" s="182" t="n">
        <v>0</v>
      </c>
      <c r="L3959" s="182" t="n">
        <v>12</v>
      </c>
      <c r="M3959" s="182" t="n">
        <v>0</v>
      </c>
      <c r="N3959" s="182" t="n">
        <v>0</v>
      </c>
      <c r="O3959" s="183" t="n">
        <v>0</v>
      </c>
      <c r="P3959" s="183" t="n">
        <v>0</v>
      </c>
      <c r="Q3959" s="184" t="n">
        <v>0</v>
      </c>
      <c r="R3959" s="184" t="n">
        <v>0</v>
      </c>
      <c r="S3959" s="183" t="n">
        <v>0</v>
      </c>
      <c r="T3959" s="183" t="n">
        <v>0</v>
      </c>
      <c r="U3959" s="182" t="n">
        <v>0</v>
      </c>
      <c r="V3959" s="182" t="n">
        <v>0</v>
      </c>
      <c r="W3959" s="182" t="n">
        <v>0</v>
      </c>
      <c r="X3959" s="182" t="n">
        <v>0</v>
      </c>
      <c r="Y3959" s="182" t="n">
        <v>0</v>
      </c>
      <c r="Z3959" s="182" t="n">
        <v>0</v>
      </c>
      <c r="AA3959" s="182" t="n">
        <v>0</v>
      </c>
      <c r="AB3959" s="182" t="n">
        <v>0</v>
      </c>
      <c r="AC3959" s="182" t="n">
        <v>0</v>
      </c>
      <c r="AD3959" s="182" t="n">
        <v>0</v>
      </c>
      <c r="AE3959" s="182" t="n">
        <v>0</v>
      </c>
      <c r="AF3959" s="182" t="n">
        <v>0</v>
      </c>
      <c r="AG3959" s="182" t="n">
        <v>0</v>
      </c>
      <c r="AH3959" s="182" t="n">
        <v>0</v>
      </c>
      <c r="AI3959" s="182" t="n">
        <v>0</v>
      </c>
      <c r="AJ3959" s="182" t="n">
        <v>0</v>
      </c>
      <c r="AK3959" s="182" t="n">
        <v>0</v>
      </c>
      <c r="AL3959" s="182" t="n">
        <v>0</v>
      </c>
      <c r="AM3959" s="182" t="n">
        <v>0</v>
      </c>
      <c r="AN3959" s="182" t="n">
        <v>0</v>
      </c>
    </row>
    <row r="3960">
      <c r="A3960" s="155" t="n">
        <v>46099</v>
      </c>
      <c r="B3960" s="156" t="inlineStr">
        <is>
          <t>NS</t>
        </is>
      </c>
      <c r="C3960" s="156" t="inlineStr">
        <is>
          <t>WL-022</t>
        </is>
      </c>
      <c r="D3960" s="156" t="inlineStr">
        <is>
          <t>SANY - Loader</t>
        </is>
      </c>
      <c r="E3960" s="156" t="inlineStr">
        <is>
          <t>Loader</t>
        </is>
      </c>
      <c r="F3960" s="156" t="inlineStr">
        <is>
          <t>Produksi Washing Plant</t>
        </is>
      </c>
      <c r="G3960" s="182" t="n">
        <v>12</v>
      </c>
      <c r="H3960" s="182" t="n">
        <v>0</v>
      </c>
      <c r="I3960" s="182" t="n">
        <v>0</v>
      </c>
      <c r="J3960" s="182" t="n">
        <v>0</v>
      </c>
      <c r="K3960" s="182" t="n">
        <v>0</v>
      </c>
      <c r="L3960" s="182" t="n">
        <v>12</v>
      </c>
      <c r="M3960" s="182" t="n">
        <v>0</v>
      </c>
      <c r="N3960" s="182" t="n">
        <v>0</v>
      </c>
      <c r="O3960" s="183" t="n">
        <v>0</v>
      </c>
      <c r="P3960" s="183" t="n">
        <v>0</v>
      </c>
      <c r="Q3960" s="184" t="n">
        <v>0</v>
      </c>
      <c r="R3960" s="184" t="n">
        <v>0</v>
      </c>
      <c r="S3960" s="183" t="n">
        <v>0</v>
      </c>
      <c r="T3960" s="183" t="n">
        <v>0</v>
      </c>
      <c r="U3960" s="182" t="n">
        <v>0</v>
      </c>
      <c r="V3960" s="182" t="n">
        <v>0</v>
      </c>
      <c r="W3960" s="182" t="n">
        <v>0</v>
      </c>
      <c r="X3960" s="182" t="n">
        <v>0</v>
      </c>
      <c r="Y3960" s="182" t="n">
        <v>0</v>
      </c>
      <c r="Z3960" s="182" t="n">
        <v>0</v>
      </c>
      <c r="AA3960" s="182" t="n">
        <v>0</v>
      </c>
      <c r="AB3960" s="182" t="n">
        <v>0</v>
      </c>
      <c r="AC3960" s="182" t="n">
        <v>0</v>
      </c>
      <c r="AD3960" s="182" t="n">
        <v>0</v>
      </c>
      <c r="AE3960" s="182" t="n">
        <v>0</v>
      </c>
      <c r="AF3960" s="182" t="n">
        <v>0</v>
      </c>
      <c r="AG3960" s="182" t="n">
        <v>0</v>
      </c>
      <c r="AH3960" s="182" t="n">
        <v>0</v>
      </c>
      <c r="AI3960" s="182" t="n">
        <v>0</v>
      </c>
      <c r="AJ3960" s="182" t="n">
        <v>0</v>
      </c>
      <c r="AK3960" s="182" t="n">
        <v>0</v>
      </c>
      <c r="AL3960" s="182" t="n">
        <v>0</v>
      </c>
      <c r="AM3960" s="182" t="n">
        <v>0</v>
      </c>
      <c r="AN3960" s="182" t="n">
        <v>0</v>
      </c>
    </row>
    <row r="3961">
      <c r="A3961" s="155" t="n">
        <v>46099</v>
      </c>
      <c r="B3961" s="156" t="inlineStr">
        <is>
          <t>NS</t>
        </is>
      </c>
      <c r="C3961" s="156" t="inlineStr">
        <is>
          <t>WL-024</t>
        </is>
      </c>
      <c r="D3961" s="156" t="inlineStr">
        <is>
          <t>SANY - Loader</t>
        </is>
      </c>
      <c r="E3961" s="156" t="inlineStr">
        <is>
          <t>Loader</t>
        </is>
      </c>
      <c r="F3961" s="156" t="inlineStr">
        <is>
          <t>Trimming Coal di Stock ROM</t>
        </is>
      </c>
      <c r="G3961" s="182" t="n">
        <v>10.58</v>
      </c>
      <c r="H3961" s="182" t="n">
        <v>0</v>
      </c>
      <c r="I3961" s="182" t="n">
        <v>0</v>
      </c>
      <c r="J3961" s="182" t="n">
        <v>0</v>
      </c>
      <c r="K3961" s="182" t="n">
        <v>1.42</v>
      </c>
      <c r="L3961" s="182" t="n">
        <v>12</v>
      </c>
      <c r="M3961" s="182" t="n">
        <v>0</v>
      </c>
      <c r="N3961" s="182" t="n">
        <v>0</v>
      </c>
      <c r="O3961" s="183" t="n">
        <v>0</v>
      </c>
      <c r="P3961" s="183" t="n">
        <v>0</v>
      </c>
      <c r="Q3961" s="184" t="n">
        <v>0</v>
      </c>
      <c r="R3961" s="184" t="n">
        <v>0</v>
      </c>
      <c r="S3961" s="183" t="n">
        <v>0</v>
      </c>
      <c r="T3961" s="183" t="n">
        <v>0</v>
      </c>
      <c r="U3961" s="182" t="n">
        <v>0</v>
      </c>
      <c r="V3961" s="182" t="n">
        <v>0</v>
      </c>
      <c r="W3961" s="182" t="n">
        <v>0</v>
      </c>
      <c r="X3961" s="182" t="n">
        <v>1.09</v>
      </c>
      <c r="Y3961" s="182" t="n">
        <v>0</v>
      </c>
      <c r="Z3961" s="182" t="n">
        <v>0</v>
      </c>
      <c r="AA3961" s="182" t="n">
        <v>0</v>
      </c>
      <c r="AB3961" s="182" t="n">
        <v>0</v>
      </c>
      <c r="AC3961" s="182" t="n">
        <v>0</v>
      </c>
      <c r="AD3961" s="182" t="n">
        <v>0</v>
      </c>
      <c r="AE3961" s="182" t="n">
        <v>0</v>
      </c>
      <c r="AF3961" s="182" t="n">
        <v>0</v>
      </c>
      <c r="AG3961" s="182" t="n">
        <v>0</v>
      </c>
      <c r="AH3961" s="182" t="n">
        <v>0</v>
      </c>
      <c r="AI3961" s="182" t="n">
        <v>0</v>
      </c>
      <c r="AJ3961" s="182" t="n">
        <v>0</v>
      </c>
      <c r="AK3961" s="182" t="n">
        <v>0.24</v>
      </c>
      <c r="AL3961" s="182" t="n">
        <v>0</v>
      </c>
      <c r="AM3961" s="182" t="n">
        <v>0.09</v>
      </c>
      <c r="AN3961" s="182" t="n">
        <v>0</v>
      </c>
    </row>
    <row r="3962">
      <c r="A3962" s="155" t="n">
        <v>46100</v>
      </c>
      <c r="B3962" s="156" t="inlineStr">
        <is>
          <t>DS</t>
        </is>
      </c>
      <c r="C3962" s="156" t="inlineStr">
        <is>
          <t>DZ-034</t>
        </is>
      </c>
      <c r="D3962" s="156" t="inlineStr">
        <is>
          <t>D 68ESS-12EO</t>
        </is>
      </c>
      <c r="E3962" s="156" t="inlineStr">
        <is>
          <t>Bulldozer</t>
        </is>
      </c>
      <c r="F3962" s="156" t="inlineStr">
        <is>
          <t>Support Washing Plant</t>
        </is>
      </c>
      <c r="G3962" s="182" t="n">
        <v>3</v>
      </c>
      <c r="H3962" s="182" t="n">
        <v>0</v>
      </c>
      <c r="I3962" s="182" t="n">
        <v>0</v>
      </c>
      <c r="J3962" s="182" t="n">
        <v>0</v>
      </c>
      <c r="K3962" s="182" t="n">
        <v>9</v>
      </c>
      <c r="L3962" s="182" t="n">
        <v>12</v>
      </c>
      <c r="M3962" s="182" t="n">
        <v>0</v>
      </c>
      <c r="N3962" s="182" t="n">
        <v>0</v>
      </c>
      <c r="O3962" s="183" t="n">
        <v>0</v>
      </c>
      <c r="P3962" s="183" t="n">
        <v>0</v>
      </c>
      <c r="Q3962" s="184" t="n">
        <v>0</v>
      </c>
      <c r="R3962" s="184" t="n">
        <v>0</v>
      </c>
      <c r="S3962" s="183" t="n">
        <v>0</v>
      </c>
      <c r="T3962" s="183" t="n">
        <v>0</v>
      </c>
      <c r="U3962" s="182" t="n">
        <v>0</v>
      </c>
      <c r="V3962" s="182" t="n">
        <v>0</v>
      </c>
      <c r="W3962" s="182" t="n">
        <v>0</v>
      </c>
      <c r="X3962" s="182" t="n">
        <v>0.96</v>
      </c>
      <c r="Y3962" s="182" t="n">
        <v>0</v>
      </c>
      <c r="Z3962" s="182" t="n">
        <v>0</v>
      </c>
      <c r="AA3962" s="182" t="n">
        <v>0</v>
      </c>
      <c r="AB3962" s="182" t="n">
        <v>0</v>
      </c>
      <c r="AC3962" s="182" t="n">
        <v>0</v>
      </c>
      <c r="AD3962" s="182" t="n">
        <v>0</v>
      </c>
      <c r="AE3962" s="182" t="n">
        <v>0</v>
      </c>
      <c r="AF3962" s="182" t="n">
        <v>0</v>
      </c>
      <c r="AG3962" s="182" t="n">
        <v>0</v>
      </c>
      <c r="AH3962" s="182" t="n">
        <v>0</v>
      </c>
      <c r="AI3962" s="182" t="n">
        <v>0</v>
      </c>
      <c r="AJ3962" s="182" t="n">
        <v>0</v>
      </c>
      <c r="AK3962" s="182" t="n">
        <v>7.97</v>
      </c>
      <c r="AL3962" s="182" t="n">
        <v>0</v>
      </c>
      <c r="AM3962" s="182" t="n">
        <v>0.08</v>
      </c>
      <c r="AN3962" s="182" t="n">
        <v>0</v>
      </c>
    </row>
    <row r="3963">
      <c r="A3963" s="155" t="n">
        <v>46100</v>
      </c>
      <c r="B3963" s="156" t="inlineStr">
        <is>
          <t>DS</t>
        </is>
      </c>
      <c r="C3963" s="156" t="inlineStr">
        <is>
          <t>DZ-033</t>
        </is>
      </c>
      <c r="D3963" s="156" t="inlineStr">
        <is>
          <t>D 375A-6R</t>
        </is>
      </c>
      <c r="E3963" s="156" t="inlineStr">
        <is>
          <t>Bulldozer</t>
        </is>
      </c>
      <c r="F3963" s="156" t="inlineStr">
        <is>
          <t>Support Disposal</t>
        </is>
      </c>
      <c r="G3963" s="182" t="n">
        <v>2.11</v>
      </c>
      <c r="H3963" s="182" t="n">
        <v>0</v>
      </c>
      <c r="I3963" s="182" t="n">
        <v>0.2</v>
      </c>
      <c r="J3963" s="182" t="n">
        <v>0.2</v>
      </c>
      <c r="K3963" s="182" t="n">
        <v>9.69</v>
      </c>
      <c r="L3963" s="182" t="n">
        <v>12</v>
      </c>
      <c r="M3963" s="182" t="n">
        <v>0</v>
      </c>
      <c r="N3963" s="182" t="n">
        <v>0</v>
      </c>
      <c r="O3963" s="183" t="n">
        <v>0</v>
      </c>
      <c r="P3963" s="183" t="n">
        <v>0</v>
      </c>
      <c r="Q3963" s="184" t="n">
        <v>0</v>
      </c>
      <c r="R3963" s="184" t="n">
        <v>0</v>
      </c>
      <c r="S3963" s="183" t="n">
        <v>0</v>
      </c>
      <c r="T3963" s="183" t="n">
        <v>0</v>
      </c>
      <c r="U3963" s="182" t="n">
        <v>4.94</v>
      </c>
      <c r="V3963" s="182" t="n">
        <v>1.98</v>
      </c>
      <c r="W3963" s="182" t="n">
        <v>0</v>
      </c>
      <c r="X3963" s="182" t="n">
        <v>0.99</v>
      </c>
      <c r="Y3963" s="182" t="n">
        <v>0</v>
      </c>
      <c r="Z3963" s="182" t="n">
        <v>0</v>
      </c>
      <c r="AA3963" s="182" t="n">
        <v>0</v>
      </c>
      <c r="AB3963" s="182" t="n">
        <v>0</v>
      </c>
      <c r="AC3963" s="182" t="n">
        <v>0</v>
      </c>
      <c r="AD3963" s="182" t="n">
        <v>0</v>
      </c>
      <c r="AE3963" s="182" t="n">
        <v>1.7</v>
      </c>
      <c r="AF3963" s="182" t="n">
        <v>0</v>
      </c>
      <c r="AG3963" s="182" t="n">
        <v>0</v>
      </c>
      <c r="AH3963" s="182" t="n">
        <v>0</v>
      </c>
      <c r="AI3963" s="182" t="n">
        <v>0</v>
      </c>
      <c r="AJ3963" s="182" t="n">
        <v>0</v>
      </c>
      <c r="AK3963" s="182" t="n">
        <v>0</v>
      </c>
      <c r="AL3963" s="182" t="n">
        <v>0</v>
      </c>
      <c r="AM3963" s="182" t="n">
        <v>0.08</v>
      </c>
      <c r="AN3963" s="182" t="n">
        <v>0</v>
      </c>
    </row>
    <row r="3964">
      <c r="A3964" s="155" t="n">
        <v>46100</v>
      </c>
      <c r="B3964" s="156" t="inlineStr">
        <is>
          <t>DS</t>
        </is>
      </c>
      <c r="C3964" s="156" t="inlineStr">
        <is>
          <t>DZ-038</t>
        </is>
      </c>
      <c r="D3964" s="156" t="inlineStr">
        <is>
          <t>D 85 ESS-2</t>
        </is>
      </c>
      <c r="E3964" s="156" t="inlineStr">
        <is>
          <t>Bulldozer</t>
        </is>
      </c>
      <c r="F3964" s="156" t="inlineStr"/>
      <c r="G3964" s="182" t="n">
        <v>0</v>
      </c>
      <c r="H3964" s="182" t="n">
        <v>0</v>
      </c>
      <c r="I3964" s="182" t="n">
        <v>8.42</v>
      </c>
      <c r="J3964" s="182" t="n">
        <v>8.42</v>
      </c>
      <c r="K3964" s="182" t="n">
        <v>3.58</v>
      </c>
      <c r="L3964" s="182" t="n">
        <v>12</v>
      </c>
      <c r="M3964" s="182" t="n">
        <v>0</v>
      </c>
      <c r="N3964" s="182" t="n">
        <v>0</v>
      </c>
      <c r="O3964" s="183" t="n">
        <v>0</v>
      </c>
      <c r="P3964" s="183" t="n">
        <v>0</v>
      </c>
      <c r="Q3964" s="184" t="n">
        <v>0</v>
      </c>
      <c r="R3964" s="184" t="n">
        <v>0</v>
      </c>
      <c r="S3964" s="183" t="n">
        <v>0</v>
      </c>
      <c r="T3964" s="183" t="n">
        <v>0</v>
      </c>
      <c r="U3964" s="182" t="n">
        <v>2.5</v>
      </c>
      <c r="V3964" s="182" t="n">
        <v>0</v>
      </c>
      <c r="W3964" s="182" t="n">
        <v>0</v>
      </c>
      <c r="X3964" s="182" t="n">
        <v>1</v>
      </c>
      <c r="Y3964" s="182" t="n">
        <v>0</v>
      </c>
      <c r="Z3964" s="182" t="n">
        <v>0</v>
      </c>
      <c r="AA3964" s="182" t="n">
        <v>0</v>
      </c>
      <c r="AB3964" s="182" t="n">
        <v>0</v>
      </c>
      <c r="AC3964" s="182" t="n">
        <v>0</v>
      </c>
      <c r="AD3964" s="182" t="n">
        <v>0</v>
      </c>
      <c r="AE3964" s="182" t="n">
        <v>0</v>
      </c>
      <c r="AF3964" s="182" t="n">
        <v>0</v>
      </c>
      <c r="AG3964" s="182" t="n">
        <v>0</v>
      </c>
      <c r="AH3964" s="182" t="n">
        <v>0</v>
      </c>
      <c r="AI3964" s="182" t="n">
        <v>0</v>
      </c>
      <c r="AJ3964" s="182" t="n">
        <v>0</v>
      </c>
      <c r="AK3964" s="182" t="n">
        <v>0</v>
      </c>
      <c r="AL3964" s="182" t="n">
        <v>0</v>
      </c>
      <c r="AM3964" s="182" t="n">
        <v>0.08</v>
      </c>
      <c r="AN3964" s="182" t="n">
        <v>0</v>
      </c>
    </row>
    <row r="3965">
      <c r="A3965" s="155" t="n">
        <v>46100</v>
      </c>
      <c r="B3965" s="156" t="inlineStr">
        <is>
          <t>DS</t>
        </is>
      </c>
      <c r="C3965" s="156" t="inlineStr">
        <is>
          <t>DZ-039</t>
        </is>
      </c>
      <c r="D3965" s="156" t="inlineStr">
        <is>
          <t>D 85 ESS-2</t>
        </is>
      </c>
      <c r="E3965" s="156" t="inlineStr">
        <is>
          <t>Bulldozer</t>
        </is>
      </c>
      <c r="F3965" s="156" t="inlineStr">
        <is>
          <t>Support Front Loading</t>
        </is>
      </c>
      <c r="G3965" s="182" t="n">
        <v>7.19</v>
      </c>
      <c r="H3965" s="182" t="n">
        <v>0</v>
      </c>
      <c r="I3965" s="182" t="n">
        <v>0</v>
      </c>
      <c r="J3965" s="182" t="n">
        <v>0</v>
      </c>
      <c r="K3965" s="182" t="n">
        <v>4.81</v>
      </c>
      <c r="L3965" s="182" t="n">
        <v>12</v>
      </c>
      <c r="M3965" s="182" t="n">
        <v>0</v>
      </c>
      <c r="N3965" s="182" t="n">
        <v>0</v>
      </c>
      <c r="O3965" s="183" t="n">
        <v>0</v>
      </c>
      <c r="P3965" s="183" t="n">
        <v>0</v>
      </c>
      <c r="Q3965" s="184" t="n">
        <v>0</v>
      </c>
      <c r="R3965" s="184" t="n">
        <v>0</v>
      </c>
      <c r="S3965" s="183" t="n">
        <v>0</v>
      </c>
      <c r="T3965" s="183" t="n">
        <v>0</v>
      </c>
      <c r="U3965" s="182" t="n">
        <v>3.66</v>
      </c>
      <c r="V3965" s="182" t="n">
        <v>0</v>
      </c>
      <c r="W3965" s="182" t="n">
        <v>0</v>
      </c>
      <c r="X3965" s="182" t="n">
        <v>1.07</v>
      </c>
      <c r="Y3965" s="182" t="n">
        <v>0</v>
      </c>
      <c r="Z3965" s="182" t="n">
        <v>0</v>
      </c>
      <c r="AA3965" s="182" t="n">
        <v>0</v>
      </c>
      <c r="AB3965" s="182" t="n">
        <v>0</v>
      </c>
      <c r="AC3965" s="182" t="n">
        <v>0</v>
      </c>
      <c r="AD3965" s="182" t="n">
        <v>0</v>
      </c>
      <c r="AE3965" s="182" t="n">
        <v>0</v>
      </c>
      <c r="AF3965" s="182" t="n">
        <v>0</v>
      </c>
      <c r="AG3965" s="182" t="n">
        <v>0</v>
      </c>
      <c r="AH3965" s="182" t="n">
        <v>0</v>
      </c>
      <c r="AI3965" s="182" t="n">
        <v>0</v>
      </c>
      <c r="AJ3965" s="182" t="n">
        <v>0</v>
      </c>
      <c r="AK3965" s="182" t="n">
        <v>0</v>
      </c>
      <c r="AL3965" s="182" t="n">
        <v>0</v>
      </c>
      <c r="AM3965" s="182" t="n">
        <v>0.09</v>
      </c>
      <c r="AN3965" s="182" t="n">
        <v>0</v>
      </c>
    </row>
    <row r="3966">
      <c r="A3966" s="155" t="n">
        <v>46100</v>
      </c>
      <c r="B3966" s="156" t="inlineStr">
        <is>
          <t>DS</t>
        </is>
      </c>
      <c r="C3966" s="156" t="inlineStr">
        <is>
          <t>DZ-032</t>
        </is>
      </c>
      <c r="D3966" s="156" t="inlineStr">
        <is>
          <t>CAT</t>
        </is>
      </c>
      <c r="E3966" s="156" t="inlineStr">
        <is>
          <t>Bulldozer</t>
        </is>
      </c>
      <c r="F3966" s="156" t="inlineStr">
        <is>
          <t>Support Front Loading</t>
        </is>
      </c>
      <c r="G3966" s="182" t="n">
        <v>3.87</v>
      </c>
      <c r="H3966" s="182" t="n">
        <v>0</v>
      </c>
      <c r="I3966" s="182" t="n">
        <v>0</v>
      </c>
      <c r="J3966" s="182" t="n">
        <v>0</v>
      </c>
      <c r="K3966" s="182" t="n">
        <v>8.130000000000001</v>
      </c>
      <c r="L3966" s="182" t="n">
        <v>12</v>
      </c>
      <c r="M3966" s="182" t="n">
        <v>0</v>
      </c>
      <c r="N3966" s="182" t="n">
        <v>0</v>
      </c>
      <c r="O3966" s="183" t="n">
        <v>0</v>
      </c>
      <c r="P3966" s="183" t="n">
        <v>0</v>
      </c>
      <c r="Q3966" s="184" t="n">
        <v>0</v>
      </c>
      <c r="R3966" s="184" t="n">
        <v>0</v>
      </c>
      <c r="S3966" s="183" t="n">
        <v>0</v>
      </c>
      <c r="T3966" s="183" t="n">
        <v>0</v>
      </c>
      <c r="U3966" s="182" t="n">
        <v>4.9</v>
      </c>
      <c r="V3966" s="182" t="n">
        <v>1.96</v>
      </c>
      <c r="W3966" s="182" t="n">
        <v>0</v>
      </c>
      <c r="X3966" s="182" t="n">
        <v>0.98</v>
      </c>
      <c r="Y3966" s="182" t="n">
        <v>0</v>
      </c>
      <c r="Z3966" s="182" t="n">
        <v>0</v>
      </c>
      <c r="AA3966" s="182" t="n">
        <v>0</v>
      </c>
      <c r="AB3966" s="182" t="n">
        <v>0</v>
      </c>
      <c r="AC3966" s="182" t="n">
        <v>0</v>
      </c>
      <c r="AD3966" s="182" t="n">
        <v>0</v>
      </c>
      <c r="AE3966" s="182" t="n">
        <v>0</v>
      </c>
      <c r="AF3966" s="182" t="n">
        <v>0</v>
      </c>
      <c r="AG3966" s="182" t="n">
        <v>0</v>
      </c>
      <c r="AH3966" s="182" t="n">
        <v>0.22</v>
      </c>
      <c r="AI3966" s="182" t="n">
        <v>0</v>
      </c>
      <c r="AJ3966" s="182" t="n">
        <v>0</v>
      </c>
      <c r="AK3966" s="182" t="n">
        <v>0</v>
      </c>
      <c r="AL3966" s="182" t="n">
        <v>0</v>
      </c>
      <c r="AM3966" s="182" t="n">
        <v>0.08</v>
      </c>
      <c r="AN3966" s="182" t="n">
        <v>0</v>
      </c>
    </row>
    <row r="3967">
      <c r="A3967" s="155" t="n">
        <v>46100</v>
      </c>
      <c r="B3967" s="156" t="inlineStr">
        <is>
          <t>DS</t>
        </is>
      </c>
      <c r="C3967" s="156" t="inlineStr">
        <is>
          <t>DZ-031</t>
        </is>
      </c>
      <c r="D3967" s="156" t="inlineStr">
        <is>
          <t>CAT</t>
        </is>
      </c>
      <c r="E3967" s="156" t="inlineStr">
        <is>
          <t>Bulldozer</t>
        </is>
      </c>
      <c r="F3967" s="156" t="inlineStr"/>
      <c r="G3967" s="182" t="n">
        <v>0</v>
      </c>
      <c r="H3967" s="182" t="n">
        <v>0</v>
      </c>
      <c r="I3967" s="182" t="n">
        <v>0</v>
      </c>
      <c r="J3967" s="182" t="n">
        <v>0</v>
      </c>
      <c r="K3967" s="182" t="n">
        <v>12</v>
      </c>
      <c r="L3967" s="182" t="n">
        <v>12</v>
      </c>
      <c r="M3967" s="182" t="n">
        <v>0</v>
      </c>
      <c r="N3967" s="182" t="n">
        <v>0</v>
      </c>
      <c r="O3967" s="183" t="n">
        <v>0</v>
      </c>
      <c r="P3967" s="183" t="n">
        <v>0</v>
      </c>
      <c r="Q3967" s="184" t="n">
        <v>0</v>
      </c>
      <c r="R3967" s="184" t="n">
        <v>0</v>
      </c>
      <c r="S3967" s="183" t="n">
        <v>0</v>
      </c>
      <c r="T3967" s="183" t="n">
        <v>0</v>
      </c>
      <c r="U3967" s="182" t="n">
        <v>0</v>
      </c>
      <c r="V3967" s="182" t="n">
        <v>0</v>
      </c>
      <c r="W3967" s="182" t="n">
        <v>0</v>
      </c>
      <c r="X3967" s="182" t="n">
        <v>1</v>
      </c>
      <c r="Y3967" s="182" t="n">
        <v>0</v>
      </c>
      <c r="Z3967" s="182" t="n">
        <v>0</v>
      </c>
      <c r="AA3967" s="182" t="n">
        <v>0</v>
      </c>
      <c r="AB3967" s="182" t="n">
        <v>0</v>
      </c>
      <c r="AC3967" s="182" t="n">
        <v>0</v>
      </c>
      <c r="AD3967" s="182" t="n">
        <v>0</v>
      </c>
      <c r="AE3967" s="182" t="n">
        <v>0</v>
      </c>
      <c r="AF3967" s="182" t="n">
        <v>0</v>
      </c>
      <c r="AG3967" s="182" t="n">
        <v>0</v>
      </c>
      <c r="AH3967" s="182" t="n">
        <v>0</v>
      </c>
      <c r="AI3967" s="182" t="n">
        <v>0</v>
      </c>
      <c r="AJ3967" s="182" t="n">
        <v>0</v>
      </c>
      <c r="AK3967" s="182" t="n">
        <v>10.92</v>
      </c>
      <c r="AL3967" s="182" t="n">
        <v>0</v>
      </c>
      <c r="AM3967" s="182" t="n">
        <v>0.08</v>
      </c>
      <c r="AN3967" s="182" t="n">
        <v>0</v>
      </c>
    </row>
    <row r="3968">
      <c r="A3968" s="155" t="n">
        <v>46100</v>
      </c>
      <c r="B3968" s="156" t="inlineStr">
        <is>
          <t>DS</t>
        </is>
      </c>
      <c r="C3968" s="156" t="inlineStr">
        <is>
          <t>DZ-037</t>
        </is>
      </c>
      <c r="D3968" s="156" t="inlineStr">
        <is>
          <t>D 85 ESS-2</t>
        </is>
      </c>
      <c r="E3968" s="156" t="inlineStr">
        <is>
          <t>Bulldozer</t>
        </is>
      </c>
      <c r="F3968" s="156" t="inlineStr"/>
      <c r="G3968" s="182" t="n">
        <v>0</v>
      </c>
      <c r="H3968" s="182" t="n">
        <v>0</v>
      </c>
      <c r="I3968" s="182" t="n">
        <v>12</v>
      </c>
      <c r="J3968" s="182" t="n">
        <v>12</v>
      </c>
      <c r="K3968" s="182" t="n">
        <v>0</v>
      </c>
      <c r="L3968" s="182" t="n">
        <v>12</v>
      </c>
      <c r="M3968" s="182" t="n">
        <v>0</v>
      </c>
      <c r="N3968" s="182" t="n">
        <v>0</v>
      </c>
      <c r="O3968" s="183" t="n">
        <v>0</v>
      </c>
      <c r="P3968" s="183" t="n">
        <v>0</v>
      </c>
      <c r="Q3968" s="184" t="n">
        <v>0</v>
      </c>
      <c r="R3968" s="184" t="n">
        <v>0</v>
      </c>
      <c r="S3968" s="183" t="n">
        <v>0</v>
      </c>
      <c r="T3968" s="183" t="n">
        <v>0</v>
      </c>
      <c r="U3968" s="182" t="n">
        <v>0</v>
      </c>
      <c r="V3968" s="182" t="n">
        <v>0</v>
      </c>
      <c r="W3968" s="182" t="n">
        <v>0</v>
      </c>
      <c r="X3968" s="182" t="n">
        <v>0</v>
      </c>
      <c r="Y3968" s="182" t="n">
        <v>0</v>
      </c>
      <c r="Z3968" s="182" t="n">
        <v>0</v>
      </c>
      <c r="AA3968" s="182" t="n">
        <v>0</v>
      </c>
      <c r="AB3968" s="182" t="n">
        <v>0</v>
      </c>
      <c r="AC3968" s="182" t="n">
        <v>0</v>
      </c>
      <c r="AD3968" s="182" t="n">
        <v>0</v>
      </c>
      <c r="AE3968" s="182" t="n">
        <v>0</v>
      </c>
      <c r="AF3968" s="182" t="n">
        <v>0</v>
      </c>
      <c r="AG3968" s="182" t="n">
        <v>0</v>
      </c>
      <c r="AH3968" s="182" t="n">
        <v>0</v>
      </c>
      <c r="AI3968" s="182" t="n">
        <v>0</v>
      </c>
      <c r="AJ3968" s="182" t="n">
        <v>0</v>
      </c>
      <c r="AK3968" s="182" t="n">
        <v>0</v>
      </c>
      <c r="AL3968" s="182" t="n">
        <v>0</v>
      </c>
      <c r="AM3968" s="182" t="n">
        <v>0</v>
      </c>
      <c r="AN3968" s="182" t="n">
        <v>0</v>
      </c>
    </row>
    <row r="3969">
      <c r="A3969" s="155" t="n">
        <v>46100</v>
      </c>
      <c r="B3969" s="156" t="inlineStr">
        <is>
          <t>DS</t>
        </is>
      </c>
      <c r="C3969" s="156" t="inlineStr">
        <is>
          <t>DZ-036</t>
        </is>
      </c>
      <c r="D3969" s="156" t="inlineStr">
        <is>
          <t>D 85 ESS-2</t>
        </is>
      </c>
      <c r="E3969" s="156" t="inlineStr">
        <is>
          <t>Bulldozer</t>
        </is>
      </c>
      <c r="F3969" s="156" t="inlineStr"/>
      <c r="G3969" s="182" t="n">
        <v>0</v>
      </c>
      <c r="H3969" s="182" t="n">
        <v>0</v>
      </c>
      <c r="I3969" s="182" t="n">
        <v>0</v>
      </c>
      <c r="J3969" s="182" t="n">
        <v>0</v>
      </c>
      <c r="K3969" s="182" t="n">
        <v>12</v>
      </c>
      <c r="L3969" s="182" t="n">
        <v>12</v>
      </c>
      <c r="M3969" s="182" t="n">
        <v>0</v>
      </c>
      <c r="N3969" s="182" t="n">
        <v>0</v>
      </c>
      <c r="O3969" s="183" t="n">
        <v>0</v>
      </c>
      <c r="P3969" s="183" t="n">
        <v>0</v>
      </c>
      <c r="Q3969" s="184" t="n">
        <v>0</v>
      </c>
      <c r="R3969" s="184" t="n">
        <v>0</v>
      </c>
      <c r="S3969" s="183" t="n">
        <v>0</v>
      </c>
      <c r="T3969" s="183" t="n">
        <v>0</v>
      </c>
      <c r="U3969" s="182" t="n">
        <v>0</v>
      </c>
      <c r="V3969" s="182" t="n">
        <v>0</v>
      </c>
      <c r="W3969" s="182" t="n">
        <v>0</v>
      </c>
      <c r="X3969" s="182" t="n">
        <v>1</v>
      </c>
      <c r="Y3969" s="182" t="n">
        <v>0</v>
      </c>
      <c r="Z3969" s="182" t="n">
        <v>0</v>
      </c>
      <c r="AA3969" s="182" t="n">
        <v>0</v>
      </c>
      <c r="AB3969" s="182" t="n">
        <v>0</v>
      </c>
      <c r="AC3969" s="182" t="n">
        <v>0</v>
      </c>
      <c r="AD3969" s="182" t="n">
        <v>0</v>
      </c>
      <c r="AE3969" s="182" t="n">
        <v>0</v>
      </c>
      <c r="AF3969" s="182" t="n">
        <v>0</v>
      </c>
      <c r="AG3969" s="182" t="n">
        <v>0</v>
      </c>
      <c r="AH3969" s="182" t="n">
        <v>0</v>
      </c>
      <c r="AI3969" s="182" t="n">
        <v>0</v>
      </c>
      <c r="AJ3969" s="182" t="n">
        <v>0</v>
      </c>
      <c r="AK3969" s="182" t="n">
        <v>10.92</v>
      </c>
      <c r="AL3969" s="182" t="n">
        <v>0</v>
      </c>
      <c r="AM3969" s="182" t="n">
        <v>0.08</v>
      </c>
      <c r="AN3969" s="182" t="n">
        <v>0</v>
      </c>
    </row>
    <row r="3970">
      <c r="A3970" s="155" t="n">
        <v>46100</v>
      </c>
      <c r="B3970" s="156" t="inlineStr">
        <is>
          <t>DS</t>
        </is>
      </c>
      <c r="C3970" s="156" t="inlineStr">
        <is>
          <t>DZ-035</t>
        </is>
      </c>
      <c r="D3970" s="156" t="inlineStr">
        <is>
          <t>D 85 ESS-2</t>
        </is>
      </c>
      <c r="E3970" s="156" t="inlineStr">
        <is>
          <t>Bulldozer</t>
        </is>
      </c>
      <c r="F3970" s="156" t="inlineStr">
        <is>
          <t>Support Front Loading</t>
        </is>
      </c>
      <c r="G3970" s="182" t="n">
        <v>1.38</v>
      </c>
      <c r="H3970" s="182" t="n">
        <v>0</v>
      </c>
      <c r="I3970" s="182" t="n">
        <v>0.28</v>
      </c>
      <c r="J3970" s="182" t="n">
        <v>0.28</v>
      </c>
      <c r="K3970" s="182" t="n">
        <v>10.34</v>
      </c>
      <c r="L3970" s="182" t="n">
        <v>12</v>
      </c>
      <c r="M3970" s="182" t="n">
        <v>0</v>
      </c>
      <c r="N3970" s="182" t="n">
        <v>0</v>
      </c>
      <c r="O3970" s="183" t="n">
        <v>0</v>
      </c>
      <c r="P3970" s="183" t="n">
        <v>0</v>
      </c>
      <c r="Q3970" s="184" t="n">
        <v>0</v>
      </c>
      <c r="R3970" s="184" t="n">
        <v>0</v>
      </c>
      <c r="S3970" s="183" t="n">
        <v>0</v>
      </c>
      <c r="T3970" s="183" t="n">
        <v>0</v>
      </c>
      <c r="U3970" s="182" t="n">
        <v>4.96</v>
      </c>
      <c r="V3970" s="182" t="n">
        <v>1.98</v>
      </c>
      <c r="W3970" s="182" t="n">
        <v>0</v>
      </c>
      <c r="X3970" s="182" t="n">
        <v>0.99</v>
      </c>
      <c r="Y3970" s="182" t="n">
        <v>0</v>
      </c>
      <c r="Z3970" s="182" t="n">
        <v>0</v>
      </c>
      <c r="AA3970" s="182" t="n">
        <v>0</v>
      </c>
      <c r="AB3970" s="182" t="n">
        <v>0</v>
      </c>
      <c r="AC3970" s="182" t="n">
        <v>0</v>
      </c>
      <c r="AD3970" s="182" t="n">
        <v>0</v>
      </c>
      <c r="AE3970" s="182" t="n">
        <v>2.31</v>
      </c>
      <c r="AF3970" s="182" t="n">
        <v>0</v>
      </c>
      <c r="AG3970" s="182" t="n">
        <v>0</v>
      </c>
      <c r="AH3970" s="182" t="n">
        <v>0</v>
      </c>
      <c r="AI3970" s="182" t="n">
        <v>0</v>
      </c>
      <c r="AJ3970" s="182" t="n">
        <v>0</v>
      </c>
      <c r="AK3970" s="182" t="n">
        <v>0</v>
      </c>
      <c r="AL3970" s="182" t="n">
        <v>0</v>
      </c>
      <c r="AM3970" s="182" t="n">
        <v>0.08</v>
      </c>
      <c r="AN3970" s="182" t="n">
        <v>0</v>
      </c>
    </row>
    <row r="3971">
      <c r="A3971" s="155" t="n">
        <v>46100</v>
      </c>
      <c r="B3971" s="156" t="inlineStr">
        <is>
          <t>DS</t>
        </is>
      </c>
      <c r="C3971" s="156" t="inlineStr">
        <is>
          <t>CP-042</t>
        </is>
      </c>
      <c r="D3971" s="156" t="inlineStr">
        <is>
          <t>SANY - Compactor</t>
        </is>
      </c>
      <c r="E3971" s="156" t="inlineStr">
        <is>
          <t>Compactor</t>
        </is>
      </c>
      <c r="F3971" s="156" t="inlineStr"/>
      <c r="G3971" s="182" t="n">
        <v>0</v>
      </c>
      <c r="H3971" s="182" t="n">
        <v>0</v>
      </c>
      <c r="I3971" s="182" t="n">
        <v>0</v>
      </c>
      <c r="J3971" s="182" t="n">
        <v>0</v>
      </c>
      <c r="K3971" s="182" t="n">
        <v>12</v>
      </c>
      <c r="L3971" s="182" t="n">
        <v>12</v>
      </c>
      <c r="M3971" s="182" t="n">
        <v>0</v>
      </c>
      <c r="N3971" s="182" t="n">
        <v>0</v>
      </c>
      <c r="O3971" s="183" t="n">
        <v>0</v>
      </c>
      <c r="P3971" s="183" t="n">
        <v>0</v>
      </c>
      <c r="Q3971" s="184" t="n">
        <v>0</v>
      </c>
      <c r="R3971" s="184" t="n">
        <v>0</v>
      </c>
      <c r="S3971" s="183" t="n">
        <v>0</v>
      </c>
      <c r="T3971" s="183" t="n">
        <v>0</v>
      </c>
      <c r="U3971" s="182" t="n">
        <v>0</v>
      </c>
      <c r="V3971" s="182" t="n">
        <v>0</v>
      </c>
      <c r="W3971" s="182" t="n">
        <v>0</v>
      </c>
      <c r="X3971" s="182" t="n">
        <v>1</v>
      </c>
      <c r="Y3971" s="182" t="n">
        <v>0</v>
      </c>
      <c r="Z3971" s="182" t="n">
        <v>0</v>
      </c>
      <c r="AA3971" s="182" t="n">
        <v>0</v>
      </c>
      <c r="AB3971" s="182" t="n">
        <v>0</v>
      </c>
      <c r="AC3971" s="182" t="n">
        <v>0</v>
      </c>
      <c r="AD3971" s="182" t="n">
        <v>0</v>
      </c>
      <c r="AE3971" s="182" t="n">
        <v>0</v>
      </c>
      <c r="AF3971" s="182" t="n">
        <v>0</v>
      </c>
      <c r="AG3971" s="182" t="n">
        <v>0</v>
      </c>
      <c r="AH3971" s="182" t="n">
        <v>0</v>
      </c>
      <c r="AI3971" s="182" t="n">
        <v>0</v>
      </c>
      <c r="AJ3971" s="182" t="n">
        <v>0</v>
      </c>
      <c r="AK3971" s="182" t="n">
        <v>10.92</v>
      </c>
      <c r="AL3971" s="182" t="n">
        <v>0</v>
      </c>
      <c r="AM3971" s="182" t="n">
        <v>0.08</v>
      </c>
      <c r="AN3971" s="182" t="n">
        <v>0</v>
      </c>
    </row>
    <row r="3972">
      <c r="A3972" s="155" t="n">
        <v>46100</v>
      </c>
      <c r="B3972" s="156" t="inlineStr">
        <is>
          <t>DS</t>
        </is>
      </c>
      <c r="C3972" s="156" t="inlineStr">
        <is>
          <t>CP-041</t>
        </is>
      </c>
      <c r="D3972" s="156" t="inlineStr">
        <is>
          <t>SANY - Compactor</t>
        </is>
      </c>
      <c r="E3972" s="156" t="inlineStr">
        <is>
          <t>Compactor</t>
        </is>
      </c>
      <c r="F3972" s="156" t="inlineStr"/>
      <c r="G3972" s="182" t="n">
        <v>0</v>
      </c>
      <c r="H3972" s="182" t="n">
        <v>0</v>
      </c>
      <c r="I3972" s="182" t="n">
        <v>0</v>
      </c>
      <c r="J3972" s="182" t="n">
        <v>0</v>
      </c>
      <c r="K3972" s="182" t="n">
        <v>12</v>
      </c>
      <c r="L3972" s="182" t="n">
        <v>12</v>
      </c>
      <c r="M3972" s="182" t="n">
        <v>0</v>
      </c>
      <c r="N3972" s="182" t="n">
        <v>0</v>
      </c>
      <c r="O3972" s="183" t="n">
        <v>0</v>
      </c>
      <c r="P3972" s="183" t="n">
        <v>0</v>
      </c>
      <c r="Q3972" s="184" t="n">
        <v>0</v>
      </c>
      <c r="R3972" s="184" t="n">
        <v>0</v>
      </c>
      <c r="S3972" s="183" t="n">
        <v>0</v>
      </c>
      <c r="T3972" s="183" t="n">
        <v>0</v>
      </c>
      <c r="U3972" s="182" t="n">
        <v>0</v>
      </c>
      <c r="V3972" s="182" t="n">
        <v>0</v>
      </c>
      <c r="W3972" s="182" t="n">
        <v>0</v>
      </c>
      <c r="X3972" s="182" t="n">
        <v>1</v>
      </c>
      <c r="Y3972" s="182" t="n">
        <v>0</v>
      </c>
      <c r="Z3972" s="182" t="n">
        <v>0</v>
      </c>
      <c r="AA3972" s="182" t="n">
        <v>0</v>
      </c>
      <c r="AB3972" s="182" t="n">
        <v>0</v>
      </c>
      <c r="AC3972" s="182" t="n">
        <v>0</v>
      </c>
      <c r="AD3972" s="182" t="n">
        <v>0</v>
      </c>
      <c r="AE3972" s="182" t="n">
        <v>0</v>
      </c>
      <c r="AF3972" s="182" t="n">
        <v>0</v>
      </c>
      <c r="AG3972" s="182" t="n">
        <v>0</v>
      </c>
      <c r="AH3972" s="182" t="n">
        <v>0</v>
      </c>
      <c r="AI3972" s="182" t="n">
        <v>0</v>
      </c>
      <c r="AJ3972" s="182" t="n">
        <v>0</v>
      </c>
      <c r="AK3972" s="182" t="n">
        <v>10.92</v>
      </c>
      <c r="AL3972" s="182" t="n">
        <v>0</v>
      </c>
      <c r="AM3972" s="182" t="n">
        <v>0.08</v>
      </c>
      <c r="AN3972" s="182" t="n">
        <v>0</v>
      </c>
    </row>
    <row r="3973">
      <c r="A3973" s="155" t="n">
        <v>46100</v>
      </c>
      <c r="B3973" s="156" t="inlineStr">
        <is>
          <t>DS</t>
        </is>
      </c>
      <c r="C3973" s="156" t="inlineStr">
        <is>
          <t>HT-418</t>
        </is>
      </c>
      <c r="D3973" s="156" t="inlineStr">
        <is>
          <t>SY430</t>
        </is>
      </c>
      <c r="E3973" s="156" t="inlineStr">
        <is>
          <t>DT Hauling</t>
        </is>
      </c>
      <c r="F3973" s="156" t="inlineStr"/>
      <c r="G3973" s="182" t="n">
        <v>0</v>
      </c>
      <c r="H3973" s="182" t="n">
        <v>0</v>
      </c>
      <c r="I3973" s="182" t="n">
        <v>0</v>
      </c>
      <c r="J3973" s="182" t="n">
        <v>0</v>
      </c>
      <c r="K3973" s="182" t="n">
        <v>12</v>
      </c>
      <c r="L3973" s="182" t="n">
        <v>12</v>
      </c>
      <c r="M3973" s="182" t="n">
        <v>0</v>
      </c>
      <c r="N3973" s="182" t="n">
        <v>0</v>
      </c>
      <c r="O3973" s="183" t="n">
        <v>0</v>
      </c>
      <c r="P3973" s="183" t="n">
        <v>0</v>
      </c>
      <c r="Q3973" s="184" t="n">
        <v>0</v>
      </c>
      <c r="R3973" s="184" t="n">
        <v>0</v>
      </c>
      <c r="S3973" s="183" t="n">
        <v>0</v>
      </c>
      <c r="T3973" s="183" t="n">
        <v>0</v>
      </c>
      <c r="U3973" s="182" t="n">
        <v>0</v>
      </c>
      <c r="V3973" s="182" t="n">
        <v>0</v>
      </c>
      <c r="W3973" s="182" t="n">
        <v>0</v>
      </c>
      <c r="X3973" s="182" t="n">
        <v>1</v>
      </c>
      <c r="Y3973" s="182" t="n">
        <v>0</v>
      </c>
      <c r="Z3973" s="182" t="n">
        <v>0</v>
      </c>
      <c r="AA3973" s="182" t="n">
        <v>0</v>
      </c>
      <c r="AB3973" s="182" t="n">
        <v>0</v>
      </c>
      <c r="AC3973" s="182" t="n">
        <v>0</v>
      </c>
      <c r="AD3973" s="182" t="n">
        <v>0</v>
      </c>
      <c r="AE3973" s="182" t="n">
        <v>0</v>
      </c>
      <c r="AF3973" s="182" t="n">
        <v>0</v>
      </c>
      <c r="AG3973" s="182" t="n">
        <v>0</v>
      </c>
      <c r="AH3973" s="182" t="n">
        <v>0</v>
      </c>
      <c r="AI3973" s="182" t="n">
        <v>0</v>
      </c>
      <c r="AJ3973" s="182" t="n">
        <v>0</v>
      </c>
      <c r="AK3973" s="182" t="n">
        <v>10.92</v>
      </c>
      <c r="AL3973" s="182" t="n">
        <v>0</v>
      </c>
      <c r="AM3973" s="182" t="n">
        <v>0.08</v>
      </c>
      <c r="AN3973" s="182" t="n">
        <v>0</v>
      </c>
    </row>
    <row r="3974">
      <c r="A3974" s="155" t="n">
        <v>46100</v>
      </c>
      <c r="B3974" s="156" t="inlineStr">
        <is>
          <t>DS</t>
        </is>
      </c>
      <c r="C3974" s="156" t="inlineStr">
        <is>
          <t>HT-404</t>
        </is>
      </c>
      <c r="D3974" s="156" t="inlineStr">
        <is>
          <t>SY430</t>
        </is>
      </c>
      <c r="E3974" s="156" t="inlineStr">
        <is>
          <t>DT Hauling</t>
        </is>
      </c>
      <c r="F3974" s="156" t="inlineStr"/>
      <c r="G3974" s="182" t="n">
        <v>0</v>
      </c>
      <c r="H3974" s="182" t="n">
        <v>0</v>
      </c>
      <c r="I3974" s="182" t="n">
        <v>0</v>
      </c>
      <c r="J3974" s="182" t="n">
        <v>0</v>
      </c>
      <c r="K3974" s="182" t="n">
        <v>12</v>
      </c>
      <c r="L3974" s="182" t="n">
        <v>12</v>
      </c>
      <c r="M3974" s="182" t="n">
        <v>0</v>
      </c>
      <c r="N3974" s="182" t="n">
        <v>0</v>
      </c>
      <c r="O3974" s="183" t="n">
        <v>0</v>
      </c>
      <c r="P3974" s="183" t="n">
        <v>0</v>
      </c>
      <c r="Q3974" s="184" t="n">
        <v>0</v>
      </c>
      <c r="R3974" s="184" t="n">
        <v>0</v>
      </c>
      <c r="S3974" s="183" t="n">
        <v>0</v>
      </c>
      <c r="T3974" s="183" t="n">
        <v>0</v>
      </c>
      <c r="U3974" s="182" t="n">
        <v>0</v>
      </c>
      <c r="V3974" s="182" t="n">
        <v>0</v>
      </c>
      <c r="W3974" s="182" t="n">
        <v>0</v>
      </c>
      <c r="X3974" s="182" t="n">
        <v>1</v>
      </c>
      <c r="Y3974" s="182" t="n">
        <v>0</v>
      </c>
      <c r="Z3974" s="182" t="n">
        <v>0</v>
      </c>
      <c r="AA3974" s="182" t="n">
        <v>0</v>
      </c>
      <c r="AB3974" s="182" t="n">
        <v>0</v>
      </c>
      <c r="AC3974" s="182" t="n">
        <v>0</v>
      </c>
      <c r="AD3974" s="182" t="n">
        <v>0</v>
      </c>
      <c r="AE3974" s="182" t="n">
        <v>0</v>
      </c>
      <c r="AF3974" s="182" t="n">
        <v>0</v>
      </c>
      <c r="AG3974" s="182" t="n">
        <v>0</v>
      </c>
      <c r="AH3974" s="182" t="n">
        <v>0</v>
      </c>
      <c r="AI3974" s="182" t="n">
        <v>0</v>
      </c>
      <c r="AJ3974" s="182" t="n">
        <v>0</v>
      </c>
      <c r="AK3974" s="182" t="n">
        <v>10.92</v>
      </c>
      <c r="AL3974" s="182" t="n">
        <v>0</v>
      </c>
      <c r="AM3974" s="182" t="n">
        <v>0.08</v>
      </c>
      <c r="AN3974" s="182" t="n">
        <v>0</v>
      </c>
    </row>
    <row r="3975">
      <c r="A3975" s="155" t="n">
        <v>46100</v>
      </c>
      <c r="B3975" s="156" t="inlineStr">
        <is>
          <t>DS</t>
        </is>
      </c>
      <c r="C3975" s="156" t="inlineStr">
        <is>
          <t>HT-415</t>
        </is>
      </c>
      <c r="D3975" s="156" t="inlineStr">
        <is>
          <t>SY430</t>
        </is>
      </c>
      <c r="E3975" s="156" t="inlineStr">
        <is>
          <t>DT Hauling</t>
        </is>
      </c>
      <c r="F3975" s="156" t="inlineStr"/>
      <c r="G3975" s="182" t="n">
        <v>0</v>
      </c>
      <c r="H3975" s="182" t="n">
        <v>0</v>
      </c>
      <c r="I3975" s="182" t="n">
        <v>12</v>
      </c>
      <c r="J3975" s="182" t="n">
        <v>12</v>
      </c>
      <c r="K3975" s="182" t="n">
        <v>0</v>
      </c>
      <c r="L3975" s="182" t="n">
        <v>12</v>
      </c>
      <c r="M3975" s="182" t="n">
        <v>0</v>
      </c>
      <c r="N3975" s="182" t="n">
        <v>0</v>
      </c>
      <c r="O3975" s="183" t="n">
        <v>0</v>
      </c>
      <c r="P3975" s="183" t="n">
        <v>0</v>
      </c>
      <c r="Q3975" s="184" t="n">
        <v>0</v>
      </c>
      <c r="R3975" s="184" t="n">
        <v>0</v>
      </c>
      <c r="S3975" s="183" t="n">
        <v>0</v>
      </c>
      <c r="T3975" s="183" t="n">
        <v>0</v>
      </c>
      <c r="U3975" s="182" t="n">
        <v>0</v>
      </c>
      <c r="V3975" s="182" t="n">
        <v>0</v>
      </c>
      <c r="W3975" s="182" t="n">
        <v>0</v>
      </c>
      <c r="X3975" s="182" t="n">
        <v>0</v>
      </c>
      <c r="Y3975" s="182" t="n">
        <v>0</v>
      </c>
      <c r="Z3975" s="182" t="n">
        <v>0</v>
      </c>
      <c r="AA3975" s="182" t="n">
        <v>0</v>
      </c>
      <c r="AB3975" s="182" t="n">
        <v>0</v>
      </c>
      <c r="AC3975" s="182" t="n">
        <v>0</v>
      </c>
      <c r="AD3975" s="182" t="n">
        <v>0</v>
      </c>
      <c r="AE3975" s="182" t="n">
        <v>0</v>
      </c>
      <c r="AF3975" s="182" t="n">
        <v>0</v>
      </c>
      <c r="AG3975" s="182" t="n">
        <v>0</v>
      </c>
      <c r="AH3975" s="182" t="n">
        <v>0</v>
      </c>
      <c r="AI3975" s="182" t="n">
        <v>0</v>
      </c>
      <c r="AJ3975" s="182" t="n">
        <v>0</v>
      </c>
      <c r="AK3975" s="182" t="n">
        <v>0</v>
      </c>
      <c r="AL3975" s="182" t="n">
        <v>0</v>
      </c>
      <c r="AM3975" s="182" t="n">
        <v>0</v>
      </c>
      <c r="AN3975" s="182" t="n">
        <v>0</v>
      </c>
    </row>
    <row r="3976">
      <c r="A3976" s="155" t="n">
        <v>46100</v>
      </c>
      <c r="B3976" s="156" t="inlineStr">
        <is>
          <t>DS</t>
        </is>
      </c>
      <c r="C3976" s="156" t="inlineStr">
        <is>
          <t>HT-406</t>
        </is>
      </c>
      <c r="D3976" s="156" t="inlineStr">
        <is>
          <t>SY430</t>
        </is>
      </c>
      <c r="E3976" s="156" t="inlineStr">
        <is>
          <t>DT Hauling</t>
        </is>
      </c>
      <c r="F3976" s="156" t="inlineStr"/>
      <c r="G3976" s="182" t="n">
        <v>0</v>
      </c>
      <c r="H3976" s="182" t="n">
        <v>0</v>
      </c>
      <c r="I3976" s="182" t="n">
        <v>0</v>
      </c>
      <c r="J3976" s="182" t="n">
        <v>0</v>
      </c>
      <c r="K3976" s="182" t="n">
        <v>12</v>
      </c>
      <c r="L3976" s="182" t="n">
        <v>12</v>
      </c>
      <c r="M3976" s="182" t="n">
        <v>0</v>
      </c>
      <c r="N3976" s="182" t="n">
        <v>0</v>
      </c>
      <c r="O3976" s="183" t="n">
        <v>0</v>
      </c>
      <c r="P3976" s="183" t="n">
        <v>0</v>
      </c>
      <c r="Q3976" s="184" t="n">
        <v>0</v>
      </c>
      <c r="R3976" s="184" t="n">
        <v>0</v>
      </c>
      <c r="S3976" s="183" t="n">
        <v>0</v>
      </c>
      <c r="T3976" s="183" t="n">
        <v>0</v>
      </c>
      <c r="U3976" s="182" t="n">
        <v>0</v>
      </c>
      <c r="V3976" s="182" t="n">
        <v>0</v>
      </c>
      <c r="W3976" s="182" t="n">
        <v>0</v>
      </c>
      <c r="X3976" s="182" t="n">
        <v>1</v>
      </c>
      <c r="Y3976" s="182" t="n">
        <v>0</v>
      </c>
      <c r="Z3976" s="182" t="n">
        <v>0</v>
      </c>
      <c r="AA3976" s="182" t="n">
        <v>0</v>
      </c>
      <c r="AB3976" s="182" t="n">
        <v>0</v>
      </c>
      <c r="AC3976" s="182" t="n">
        <v>0</v>
      </c>
      <c r="AD3976" s="182" t="n">
        <v>0</v>
      </c>
      <c r="AE3976" s="182" t="n">
        <v>0</v>
      </c>
      <c r="AF3976" s="182" t="n">
        <v>0</v>
      </c>
      <c r="AG3976" s="182" t="n">
        <v>0</v>
      </c>
      <c r="AH3976" s="182" t="n">
        <v>0</v>
      </c>
      <c r="AI3976" s="182" t="n">
        <v>0</v>
      </c>
      <c r="AJ3976" s="182" t="n">
        <v>0</v>
      </c>
      <c r="AK3976" s="182" t="n">
        <v>10.92</v>
      </c>
      <c r="AL3976" s="182" t="n">
        <v>0</v>
      </c>
      <c r="AM3976" s="182" t="n">
        <v>0.08</v>
      </c>
      <c r="AN3976" s="182" t="n">
        <v>0</v>
      </c>
    </row>
    <row r="3977">
      <c r="A3977" s="155" t="n">
        <v>46100</v>
      </c>
      <c r="B3977" s="156" t="inlineStr">
        <is>
          <t>DS</t>
        </is>
      </c>
      <c r="C3977" s="156" t="inlineStr">
        <is>
          <t>HT-405</t>
        </is>
      </c>
      <c r="D3977" s="156" t="inlineStr">
        <is>
          <t>SY430</t>
        </is>
      </c>
      <c r="E3977" s="156" t="inlineStr">
        <is>
          <t>DT Hauling</t>
        </is>
      </c>
      <c r="F3977" s="156" t="inlineStr"/>
      <c r="G3977" s="182" t="n">
        <v>0</v>
      </c>
      <c r="H3977" s="182" t="n">
        <v>0</v>
      </c>
      <c r="I3977" s="182" t="n">
        <v>12</v>
      </c>
      <c r="J3977" s="182" t="n">
        <v>12</v>
      </c>
      <c r="K3977" s="182" t="n">
        <v>0</v>
      </c>
      <c r="L3977" s="182" t="n">
        <v>12</v>
      </c>
      <c r="M3977" s="182" t="n">
        <v>0</v>
      </c>
      <c r="N3977" s="182" t="n">
        <v>0</v>
      </c>
      <c r="O3977" s="183" t="n">
        <v>0</v>
      </c>
      <c r="P3977" s="183" t="n">
        <v>0</v>
      </c>
      <c r="Q3977" s="184" t="n">
        <v>0</v>
      </c>
      <c r="R3977" s="184" t="n">
        <v>0</v>
      </c>
      <c r="S3977" s="183" t="n">
        <v>0</v>
      </c>
      <c r="T3977" s="183" t="n">
        <v>0</v>
      </c>
      <c r="U3977" s="182" t="n">
        <v>0</v>
      </c>
      <c r="V3977" s="182" t="n">
        <v>0</v>
      </c>
      <c r="W3977" s="182" t="n">
        <v>0</v>
      </c>
      <c r="X3977" s="182" t="n">
        <v>0</v>
      </c>
      <c r="Y3977" s="182" t="n">
        <v>0</v>
      </c>
      <c r="Z3977" s="182" t="n">
        <v>0</v>
      </c>
      <c r="AA3977" s="182" t="n">
        <v>0</v>
      </c>
      <c r="AB3977" s="182" t="n">
        <v>0</v>
      </c>
      <c r="AC3977" s="182" t="n">
        <v>0</v>
      </c>
      <c r="AD3977" s="182" t="n">
        <v>0</v>
      </c>
      <c r="AE3977" s="182" t="n">
        <v>0</v>
      </c>
      <c r="AF3977" s="182" t="n">
        <v>0</v>
      </c>
      <c r="AG3977" s="182" t="n">
        <v>0</v>
      </c>
      <c r="AH3977" s="182" t="n">
        <v>0</v>
      </c>
      <c r="AI3977" s="182" t="n">
        <v>0</v>
      </c>
      <c r="AJ3977" s="182" t="n">
        <v>0</v>
      </c>
      <c r="AK3977" s="182" t="n">
        <v>0</v>
      </c>
      <c r="AL3977" s="182" t="n">
        <v>0</v>
      </c>
      <c r="AM3977" s="182" t="n">
        <v>0</v>
      </c>
      <c r="AN3977" s="182" t="n">
        <v>0</v>
      </c>
    </row>
    <row r="3978">
      <c r="A3978" s="155" t="n">
        <v>46100</v>
      </c>
      <c r="B3978" s="156" t="inlineStr">
        <is>
          <t>DS</t>
        </is>
      </c>
      <c r="C3978" s="156" t="inlineStr">
        <is>
          <t>HT-417</t>
        </is>
      </c>
      <c r="D3978" s="156" t="inlineStr">
        <is>
          <t>SY430</t>
        </is>
      </c>
      <c r="E3978" s="156" t="inlineStr">
        <is>
          <t>DT Hauling</t>
        </is>
      </c>
      <c r="F3978" s="156" t="inlineStr"/>
      <c r="G3978" s="182" t="n">
        <v>0</v>
      </c>
      <c r="H3978" s="182" t="n">
        <v>0</v>
      </c>
      <c r="I3978" s="182" t="n">
        <v>0</v>
      </c>
      <c r="J3978" s="182" t="n">
        <v>0</v>
      </c>
      <c r="K3978" s="182" t="n">
        <v>12</v>
      </c>
      <c r="L3978" s="182" t="n">
        <v>12</v>
      </c>
      <c r="M3978" s="182" t="n">
        <v>0</v>
      </c>
      <c r="N3978" s="182" t="n">
        <v>0</v>
      </c>
      <c r="O3978" s="183" t="n">
        <v>0</v>
      </c>
      <c r="P3978" s="183" t="n">
        <v>0</v>
      </c>
      <c r="Q3978" s="184" t="n">
        <v>0</v>
      </c>
      <c r="R3978" s="184" t="n">
        <v>0</v>
      </c>
      <c r="S3978" s="183" t="n">
        <v>0</v>
      </c>
      <c r="T3978" s="183" t="n">
        <v>0</v>
      </c>
      <c r="U3978" s="182" t="n">
        <v>0</v>
      </c>
      <c r="V3978" s="182" t="n">
        <v>0</v>
      </c>
      <c r="W3978" s="182" t="n">
        <v>0</v>
      </c>
      <c r="X3978" s="182" t="n">
        <v>1</v>
      </c>
      <c r="Y3978" s="182" t="n">
        <v>0</v>
      </c>
      <c r="Z3978" s="182" t="n">
        <v>0</v>
      </c>
      <c r="AA3978" s="182" t="n">
        <v>0</v>
      </c>
      <c r="AB3978" s="182" t="n">
        <v>0</v>
      </c>
      <c r="AC3978" s="182" t="n">
        <v>0</v>
      </c>
      <c r="AD3978" s="182" t="n">
        <v>0</v>
      </c>
      <c r="AE3978" s="182" t="n">
        <v>0</v>
      </c>
      <c r="AF3978" s="182" t="n">
        <v>0</v>
      </c>
      <c r="AG3978" s="182" t="n">
        <v>0</v>
      </c>
      <c r="AH3978" s="182" t="n">
        <v>0</v>
      </c>
      <c r="AI3978" s="182" t="n">
        <v>0</v>
      </c>
      <c r="AJ3978" s="182" t="n">
        <v>0</v>
      </c>
      <c r="AK3978" s="182" t="n">
        <v>10.92</v>
      </c>
      <c r="AL3978" s="182" t="n">
        <v>0</v>
      </c>
      <c r="AM3978" s="182" t="n">
        <v>0.08</v>
      </c>
      <c r="AN3978" s="182" t="n">
        <v>0</v>
      </c>
    </row>
    <row r="3979">
      <c r="A3979" s="155" t="n">
        <v>46100</v>
      </c>
      <c r="B3979" s="156" t="inlineStr">
        <is>
          <t>DS</t>
        </is>
      </c>
      <c r="C3979" s="156" t="inlineStr">
        <is>
          <t>HT-401</t>
        </is>
      </c>
      <c r="D3979" s="156" t="inlineStr">
        <is>
          <t>SY430</t>
        </is>
      </c>
      <c r="E3979" s="156" t="inlineStr">
        <is>
          <t>DT Hauling</t>
        </is>
      </c>
      <c r="F3979" s="156" t="inlineStr"/>
      <c r="G3979" s="182" t="n">
        <v>0</v>
      </c>
      <c r="H3979" s="182" t="n">
        <v>0</v>
      </c>
      <c r="I3979" s="182" t="n">
        <v>0</v>
      </c>
      <c r="J3979" s="182" t="n">
        <v>0</v>
      </c>
      <c r="K3979" s="182" t="n">
        <v>12</v>
      </c>
      <c r="L3979" s="182" t="n">
        <v>12</v>
      </c>
      <c r="M3979" s="182" t="n">
        <v>0</v>
      </c>
      <c r="N3979" s="182" t="n">
        <v>0</v>
      </c>
      <c r="O3979" s="183" t="n">
        <v>0</v>
      </c>
      <c r="P3979" s="183" t="n">
        <v>0</v>
      </c>
      <c r="Q3979" s="184" t="n">
        <v>0</v>
      </c>
      <c r="R3979" s="184" t="n">
        <v>0</v>
      </c>
      <c r="S3979" s="183" t="n">
        <v>0</v>
      </c>
      <c r="T3979" s="183" t="n">
        <v>0</v>
      </c>
      <c r="U3979" s="182" t="n">
        <v>0</v>
      </c>
      <c r="V3979" s="182" t="n">
        <v>0</v>
      </c>
      <c r="W3979" s="182" t="n">
        <v>0</v>
      </c>
      <c r="X3979" s="182" t="n">
        <v>1</v>
      </c>
      <c r="Y3979" s="182" t="n">
        <v>0</v>
      </c>
      <c r="Z3979" s="182" t="n">
        <v>0</v>
      </c>
      <c r="AA3979" s="182" t="n">
        <v>0</v>
      </c>
      <c r="AB3979" s="182" t="n">
        <v>0</v>
      </c>
      <c r="AC3979" s="182" t="n">
        <v>0</v>
      </c>
      <c r="AD3979" s="182" t="n">
        <v>0</v>
      </c>
      <c r="AE3979" s="182" t="n">
        <v>0</v>
      </c>
      <c r="AF3979" s="182" t="n">
        <v>0</v>
      </c>
      <c r="AG3979" s="182" t="n">
        <v>0</v>
      </c>
      <c r="AH3979" s="182" t="n">
        <v>0</v>
      </c>
      <c r="AI3979" s="182" t="n">
        <v>0</v>
      </c>
      <c r="AJ3979" s="182" t="n">
        <v>0</v>
      </c>
      <c r="AK3979" s="182" t="n">
        <v>10.92</v>
      </c>
      <c r="AL3979" s="182" t="n">
        <v>0</v>
      </c>
      <c r="AM3979" s="182" t="n">
        <v>0.08</v>
      </c>
      <c r="AN3979" s="182" t="n">
        <v>0</v>
      </c>
    </row>
    <row r="3980">
      <c r="A3980" s="155" t="n">
        <v>46100</v>
      </c>
      <c r="B3980" s="156" t="inlineStr">
        <is>
          <t>DS</t>
        </is>
      </c>
      <c r="C3980" s="156" t="inlineStr">
        <is>
          <t>HT-410</t>
        </is>
      </c>
      <c r="D3980" s="156" t="inlineStr">
        <is>
          <t>SY430</t>
        </is>
      </c>
      <c r="E3980" s="156" t="inlineStr">
        <is>
          <t>DT Hauling</t>
        </is>
      </c>
      <c r="F3980" s="156" t="inlineStr"/>
      <c r="G3980" s="182" t="n">
        <v>0</v>
      </c>
      <c r="H3980" s="182" t="n">
        <v>0</v>
      </c>
      <c r="I3980" s="182" t="n">
        <v>0</v>
      </c>
      <c r="J3980" s="182" t="n">
        <v>0</v>
      </c>
      <c r="K3980" s="182" t="n">
        <v>12</v>
      </c>
      <c r="L3980" s="182" t="n">
        <v>12</v>
      </c>
      <c r="M3980" s="182" t="n">
        <v>0</v>
      </c>
      <c r="N3980" s="182" t="n">
        <v>0</v>
      </c>
      <c r="O3980" s="183" t="n">
        <v>0</v>
      </c>
      <c r="P3980" s="183" t="n">
        <v>0</v>
      </c>
      <c r="Q3980" s="184" t="n">
        <v>0</v>
      </c>
      <c r="R3980" s="184" t="n">
        <v>0</v>
      </c>
      <c r="S3980" s="183" t="n">
        <v>0</v>
      </c>
      <c r="T3980" s="183" t="n">
        <v>0</v>
      </c>
      <c r="U3980" s="182" t="n">
        <v>0</v>
      </c>
      <c r="V3980" s="182" t="n">
        <v>0</v>
      </c>
      <c r="W3980" s="182" t="n">
        <v>0</v>
      </c>
      <c r="X3980" s="182" t="n">
        <v>1</v>
      </c>
      <c r="Y3980" s="182" t="n">
        <v>0</v>
      </c>
      <c r="Z3980" s="182" t="n">
        <v>0</v>
      </c>
      <c r="AA3980" s="182" t="n">
        <v>0</v>
      </c>
      <c r="AB3980" s="182" t="n">
        <v>0</v>
      </c>
      <c r="AC3980" s="182" t="n">
        <v>0</v>
      </c>
      <c r="AD3980" s="182" t="n">
        <v>0</v>
      </c>
      <c r="AE3980" s="182" t="n">
        <v>0</v>
      </c>
      <c r="AF3980" s="182" t="n">
        <v>0</v>
      </c>
      <c r="AG3980" s="182" t="n">
        <v>0</v>
      </c>
      <c r="AH3980" s="182" t="n">
        <v>0</v>
      </c>
      <c r="AI3980" s="182" t="n">
        <v>0</v>
      </c>
      <c r="AJ3980" s="182" t="n">
        <v>0</v>
      </c>
      <c r="AK3980" s="182" t="n">
        <v>10.92</v>
      </c>
      <c r="AL3980" s="182" t="n">
        <v>0</v>
      </c>
      <c r="AM3980" s="182" t="n">
        <v>0.08</v>
      </c>
      <c r="AN3980" s="182" t="n">
        <v>0</v>
      </c>
    </row>
    <row r="3981">
      <c r="A3981" s="155" t="n">
        <v>46100</v>
      </c>
      <c r="B3981" s="156" t="inlineStr">
        <is>
          <t>DS</t>
        </is>
      </c>
      <c r="C3981" s="156" t="inlineStr">
        <is>
          <t>HT-402</t>
        </is>
      </c>
      <c r="D3981" s="156" t="inlineStr">
        <is>
          <t>SY430</t>
        </is>
      </c>
      <c r="E3981" s="156" t="inlineStr">
        <is>
          <t>DT Hauling</t>
        </is>
      </c>
      <c r="F3981" s="156" t="inlineStr"/>
      <c r="G3981" s="182" t="n">
        <v>0</v>
      </c>
      <c r="H3981" s="182" t="n">
        <v>0</v>
      </c>
      <c r="I3981" s="182" t="n">
        <v>12</v>
      </c>
      <c r="J3981" s="182" t="n">
        <v>12</v>
      </c>
      <c r="K3981" s="182" t="n">
        <v>0</v>
      </c>
      <c r="L3981" s="182" t="n">
        <v>12</v>
      </c>
      <c r="M3981" s="182" t="n">
        <v>0</v>
      </c>
      <c r="N3981" s="182" t="n">
        <v>0</v>
      </c>
      <c r="O3981" s="183" t="n">
        <v>0</v>
      </c>
      <c r="P3981" s="183" t="n">
        <v>0</v>
      </c>
      <c r="Q3981" s="184" t="n">
        <v>0</v>
      </c>
      <c r="R3981" s="184" t="n">
        <v>0</v>
      </c>
      <c r="S3981" s="183" t="n">
        <v>0</v>
      </c>
      <c r="T3981" s="183" t="n">
        <v>0</v>
      </c>
      <c r="U3981" s="182" t="n">
        <v>0</v>
      </c>
      <c r="V3981" s="182" t="n">
        <v>0</v>
      </c>
      <c r="W3981" s="182" t="n">
        <v>0</v>
      </c>
      <c r="X3981" s="182" t="n">
        <v>0</v>
      </c>
      <c r="Y3981" s="182" t="n">
        <v>0</v>
      </c>
      <c r="Z3981" s="182" t="n">
        <v>0</v>
      </c>
      <c r="AA3981" s="182" t="n">
        <v>0</v>
      </c>
      <c r="AB3981" s="182" t="n">
        <v>0</v>
      </c>
      <c r="AC3981" s="182" t="n">
        <v>0</v>
      </c>
      <c r="AD3981" s="182" t="n">
        <v>0</v>
      </c>
      <c r="AE3981" s="182" t="n">
        <v>0</v>
      </c>
      <c r="AF3981" s="182" t="n">
        <v>0</v>
      </c>
      <c r="AG3981" s="182" t="n">
        <v>0</v>
      </c>
      <c r="AH3981" s="182" t="n">
        <v>0</v>
      </c>
      <c r="AI3981" s="182" t="n">
        <v>0</v>
      </c>
      <c r="AJ3981" s="182" t="n">
        <v>0</v>
      </c>
      <c r="AK3981" s="182" t="n">
        <v>0</v>
      </c>
      <c r="AL3981" s="182" t="n">
        <v>0</v>
      </c>
      <c r="AM3981" s="182" t="n">
        <v>0</v>
      </c>
      <c r="AN3981" s="182" t="n">
        <v>0</v>
      </c>
    </row>
    <row r="3982">
      <c r="A3982" s="155" t="n">
        <v>46100</v>
      </c>
      <c r="B3982" s="156" t="inlineStr">
        <is>
          <t>DS</t>
        </is>
      </c>
      <c r="C3982" s="156" t="inlineStr">
        <is>
          <t>HT-419</t>
        </is>
      </c>
      <c r="D3982" s="156" t="inlineStr">
        <is>
          <t>SY430</t>
        </is>
      </c>
      <c r="E3982" s="156" t="inlineStr">
        <is>
          <t>DT Hauling</t>
        </is>
      </c>
      <c r="F3982" s="156" t="inlineStr"/>
      <c r="G3982" s="182" t="n">
        <v>0</v>
      </c>
      <c r="H3982" s="182" t="n">
        <v>0</v>
      </c>
      <c r="I3982" s="182" t="n">
        <v>12</v>
      </c>
      <c r="J3982" s="182" t="n">
        <v>12</v>
      </c>
      <c r="K3982" s="182" t="n">
        <v>0</v>
      </c>
      <c r="L3982" s="182" t="n">
        <v>12</v>
      </c>
      <c r="M3982" s="182" t="n">
        <v>0</v>
      </c>
      <c r="N3982" s="182" t="n">
        <v>0</v>
      </c>
      <c r="O3982" s="183" t="n">
        <v>0</v>
      </c>
      <c r="P3982" s="183" t="n">
        <v>0</v>
      </c>
      <c r="Q3982" s="184" t="n">
        <v>0</v>
      </c>
      <c r="R3982" s="184" t="n">
        <v>0</v>
      </c>
      <c r="S3982" s="183" t="n">
        <v>0</v>
      </c>
      <c r="T3982" s="183" t="n">
        <v>0</v>
      </c>
      <c r="U3982" s="182" t="n">
        <v>0</v>
      </c>
      <c r="V3982" s="182" t="n">
        <v>0</v>
      </c>
      <c r="W3982" s="182" t="n">
        <v>0</v>
      </c>
      <c r="X3982" s="182" t="n">
        <v>0</v>
      </c>
      <c r="Y3982" s="182" t="n">
        <v>0</v>
      </c>
      <c r="Z3982" s="182" t="n">
        <v>0</v>
      </c>
      <c r="AA3982" s="182" t="n">
        <v>0</v>
      </c>
      <c r="AB3982" s="182" t="n">
        <v>0</v>
      </c>
      <c r="AC3982" s="182" t="n">
        <v>0</v>
      </c>
      <c r="AD3982" s="182" t="n">
        <v>0</v>
      </c>
      <c r="AE3982" s="182" t="n">
        <v>0</v>
      </c>
      <c r="AF3982" s="182" t="n">
        <v>0</v>
      </c>
      <c r="AG3982" s="182" t="n">
        <v>0</v>
      </c>
      <c r="AH3982" s="182" t="n">
        <v>0</v>
      </c>
      <c r="AI3982" s="182" t="n">
        <v>0</v>
      </c>
      <c r="AJ3982" s="182" t="n">
        <v>0</v>
      </c>
      <c r="AK3982" s="182" t="n">
        <v>0</v>
      </c>
      <c r="AL3982" s="182" t="n">
        <v>0</v>
      </c>
      <c r="AM3982" s="182" t="n">
        <v>0</v>
      </c>
      <c r="AN3982" s="182" t="n">
        <v>0</v>
      </c>
    </row>
    <row r="3983">
      <c r="A3983" s="155" t="n">
        <v>46100</v>
      </c>
      <c r="B3983" s="156" t="inlineStr">
        <is>
          <t>DS</t>
        </is>
      </c>
      <c r="C3983" s="156" t="inlineStr">
        <is>
          <t>HT-416</t>
        </is>
      </c>
      <c r="D3983" s="156" t="inlineStr">
        <is>
          <t>SY430</t>
        </is>
      </c>
      <c r="E3983" s="156" t="inlineStr">
        <is>
          <t>DT Hauling</t>
        </is>
      </c>
      <c r="F3983" s="156" t="inlineStr"/>
      <c r="G3983" s="182" t="n">
        <v>0</v>
      </c>
      <c r="H3983" s="182" t="n">
        <v>0</v>
      </c>
      <c r="I3983" s="182" t="n">
        <v>0</v>
      </c>
      <c r="J3983" s="182" t="n">
        <v>0</v>
      </c>
      <c r="K3983" s="182" t="n">
        <v>12</v>
      </c>
      <c r="L3983" s="182" t="n">
        <v>12</v>
      </c>
      <c r="M3983" s="182" t="n">
        <v>0</v>
      </c>
      <c r="N3983" s="182" t="n">
        <v>0</v>
      </c>
      <c r="O3983" s="183" t="n">
        <v>0</v>
      </c>
      <c r="P3983" s="183" t="n">
        <v>0</v>
      </c>
      <c r="Q3983" s="184" t="n">
        <v>0</v>
      </c>
      <c r="R3983" s="184" t="n">
        <v>0</v>
      </c>
      <c r="S3983" s="183" t="n">
        <v>0</v>
      </c>
      <c r="T3983" s="183" t="n">
        <v>0</v>
      </c>
      <c r="U3983" s="182" t="n">
        <v>0</v>
      </c>
      <c r="V3983" s="182" t="n">
        <v>0</v>
      </c>
      <c r="W3983" s="182" t="n">
        <v>0</v>
      </c>
      <c r="X3983" s="182" t="n">
        <v>1</v>
      </c>
      <c r="Y3983" s="182" t="n">
        <v>0</v>
      </c>
      <c r="Z3983" s="182" t="n">
        <v>0</v>
      </c>
      <c r="AA3983" s="182" t="n">
        <v>0</v>
      </c>
      <c r="AB3983" s="182" t="n">
        <v>0</v>
      </c>
      <c r="AC3983" s="182" t="n">
        <v>0</v>
      </c>
      <c r="AD3983" s="182" t="n">
        <v>0</v>
      </c>
      <c r="AE3983" s="182" t="n">
        <v>0</v>
      </c>
      <c r="AF3983" s="182" t="n">
        <v>0</v>
      </c>
      <c r="AG3983" s="182" t="n">
        <v>0</v>
      </c>
      <c r="AH3983" s="182" t="n">
        <v>0</v>
      </c>
      <c r="AI3983" s="182" t="n">
        <v>0</v>
      </c>
      <c r="AJ3983" s="182" t="n">
        <v>0</v>
      </c>
      <c r="AK3983" s="182" t="n">
        <v>10.92</v>
      </c>
      <c r="AL3983" s="182" t="n">
        <v>0</v>
      </c>
      <c r="AM3983" s="182" t="n">
        <v>0.08</v>
      </c>
      <c r="AN3983" s="182" t="n">
        <v>0</v>
      </c>
    </row>
    <row r="3984">
      <c r="A3984" s="155" t="n">
        <v>46100</v>
      </c>
      <c r="B3984" s="156" t="inlineStr">
        <is>
          <t>DS</t>
        </is>
      </c>
      <c r="C3984" s="156" t="inlineStr">
        <is>
          <t>HT-420</t>
        </is>
      </c>
      <c r="D3984" s="156" t="inlineStr">
        <is>
          <t>SY430</t>
        </is>
      </c>
      <c r="E3984" s="156" t="inlineStr">
        <is>
          <t>DT Hauling</t>
        </is>
      </c>
      <c r="F3984" s="156" t="inlineStr"/>
      <c r="G3984" s="182" t="n">
        <v>0</v>
      </c>
      <c r="H3984" s="182" t="n">
        <v>0</v>
      </c>
      <c r="I3984" s="182" t="n">
        <v>0</v>
      </c>
      <c r="J3984" s="182" t="n">
        <v>0</v>
      </c>
      <c r="K3984" s="182" t="n">
        <v>12</v>
      </c>
      <c r="L3984" s="182" t="n">
        <v>12</v>
      </c>
      <c r="M3984" s="182" t="n">
        <v>0</v>
      </c>
      <c r="N3984" s="182" t="n">
        <v>0</v>
      </c>
      <c r="O3984" s="183" t="n">
        <v>0</v>
      </c>
      <c r="P3984" s="183" t="n">
        <v>0</v>
      </c>
      <c r="Q3984" s="184" t="n">
        <v>0</v>
      </c>
      <c r="R3984" s="184" t="n">
        <v>0</v>
      </c>
      <c r="S3984" s="183" t="n">
        <v>0</v>
      </c>
      <c r="T3984" s="183" t="n">
        <v>0</v>
      </c>
      <c r="U3984" s="182" t="n">
        <v>0</v>
      </c>
      <c r="V3984" s="182" t="n">
        <v>0</v>
      </c>
      <c r="W3984" s="182" t="n">
        <v>0</v>
      </c>
      <c r="X3984" s="182" t="n">
        <v>1</v>
      </c>
      <c r="Y3984" s="182" t="n">
        <v>0</v>
      </c>
      <c r="Z3984" s="182" t="n">
        <v>0</v>
      </c>
      <c r="AA3984" s="182" t="n">
        <v>0</v>
      </c>
      <c r="AB3984" s="182" t="n">
        <v>0</v>
      </c>
      <c r="AC3984" s="182" t="n">
        <v>0</v>
      </c>
      <c r="AD3984" s="182" t="n">
        <v>0</v>
      </c>
      <c r="AE3984" s="182" t="n">
        <v>0</v>
      </c>
      <c r="AF3984" s="182" t="n">
        <v>0</v>
      </c>
      <c r="AG3984" s="182" t="n">
        <v>0</v>
      </c>
      <c r="AH3984" s="182" t="n">
        <v>0</v>
      </c>
      <c r="AI3984" s="182" t="n">
        <v>0</v>
      </c>
      <c r="AJ3984" s="182" t="n">
        <v>0</v>
      </c>
      <c r="AK3984" s="182" t="n">
        <v>10.92</v>
      </c>
      <c r="AL3984" s="182" t="n">
        <v>0</v>
      </c>
      <c r="AM3984" s="182" t="n">
        <v>0.08</v>
      </c>
      <c r="AN3984" s="182" t="n">
        <v>0</v>
      </c>
    </row>
    <row r="3985">
      <c r="A3985" s="155" t="n">
        <v>46100</v>
      </c>
      <c r="B3985" s="156" t="inlineStr">
        <is>
          <t>DS</t>
        </is>
      </c>
      <c r="C3985" s="156" t="inlineStr">
        <is>
          <t>HT-403</t>
        </is>
      </c>
      <c r="D3985" s="156" t="inlineStr">
        <is>
          <t>SY430</t>
        </is>
      </c>
      <c r="E3985" s="156" t="inlineStr">
        <is>
          <t>DT Hauling</t>
        </is>
      </c>
      <c r="F3985" s="156" t="inlineStr"/>
      <c r="G3985" s="182" t="n">
        <v>0</v>
      </c>
      <c r="H3985" s="182" t="n">
        <v>0</v>
      </c>
      <c r="I3985" s="182" t="n">
        <v>0</v>
      </c>
      <c r="J3985" s="182" t="n">
        <v>0</v>
      </c>
      <c r="K3985" s="182" t="n">
        <v>12</v>
      </c>
      <c r="L3985" s="182" t="n">
        <v>12</v>
      </c>
      <c r="M3985" s="182" t="n">
        <v>0</v>
      </c>
      <c r="N3985" s="182" t="n">
        <v>0</v>
      </c>
      <c r="O3985" s="183" t="n">
        <v>0</v>
      </c>
      <c r="P3985" s="183" t="n">
        <v>0</v>
      </c>
      <c r="Q3985" s="184" t="n">
        <v>0</v>
      </c>
      <c r="R3985" s="184" t="n">
        <v>0</v>
      </c>
      <c r="S3985" s="183" t="n">
        <v>0</v>
      </c>
      <c r="T3985" s="183" t="n">
        <v>0</v>
      </c>
      <c r="U3985" s="182" t="n">
        <v>0</v>
      </c>
      <c r="V3985" s="182" t="n">
        <v>0</v>
      </c>
      <c r="W3985" s="182" t="n">
        <v>0</v>
      </c>
      <c r="X3985" s="182" t="n">
        <v>1</v>
      </c>
      <c r="Y3985" s="182" t="n">
        <v>0</v>
      </c>
      <c r="Z3985" s="182" t="n">
        <v>0</v>
      </c>
      <c r="AA3985" s="182" t="n">
        <v>0</v>
      </c>
      <c r="AB3985" s="182" t="n">
        <v>0</v>
      </c>
      <c r="AC3985" s="182" t="n">
        <v>0</v>
      </c>
      <c r="AD3985" s="182" t="n">
        <v>0</v>
      </c>
      <c r="AE3985" s="182" t="n">
        <v>0</v>
      </c>
      <c r="AF3985" s="182" t="n">
        <v>0</v>
      </c>
      <c r="AG3985" s="182" t="n">
        <v>0</v>
      </c>
      <c r="AH3985" s="182" t="n">
        <v>0</v>
      </c>
      <c r="AI3985" s="182" t="n">
        <v>0</v>
      </c>
      <c r="AJ3985" s="182" t="n">
        <v>0</v>
      </c>
      <c r="AK3985" s="182" t="n">
        <v>10.92</v>
      </c>
      <c r="AL3985" s="182" t="n">
        <v>0</v>
      </c>
      <c r="AM3985" s="182" t="n">
        <v>0.08</v>
      </c>
      <c r="AN3985" s="182" t="n">
        <v>0</v>
      </c>
    </row>
    <row r="3986">
      <c r="A3986" s="155" t="n">
        <v>46100</v>
      </c>
      <c r="B3986" s="156" t="inlineStr">
        <is>
          <t>DS</t>
        </is>
      </c>
      <c r="C3986" s="156" t="inlineStr">
        <is>
          <t>HT-408</t>
        </is>
      </c>
      <c r="D3986" s="156" t="inlineStr">
        <is>
          <t>SY430</t>
        </is>
      </c>
      <c r="E3986" s="156" t="inlineStr">
        <is>
          <t>DT Hauling</t>
        </is>
      </c>
      <c r="F3986" s="156" t="inlineStr"/>
      <c r="G3986" s="182" t="n">
        <v>0</v>
      </c>
      <c r="H3986" s="182" t="n">
        <v>0</v>
      </c>
      <c r="I3986" s="182" t="n">
        <v>0</v>
      </c>
      <c r="J3986" s="182" t="n">
        <v>0</v>
      </c>
      <c r="K3986" s="182" t="n">
        <v>12</v>
      </c>
      <c r="L3986" s="182" t="n">
        <v>12</v>
      </c>
      <c r="M3986" s="182" t="n">
        <v>0</v>
      </c>
      <c r="N3986" s="182" t="n">
        <v>0</v>
      </c>
      <c r="O3986" s="183" t="n">
        <v>0</v>
      </c>
      <c r="P3986" s="183" t="n">
        <v>0</v>
      </c>
      <c r="Q3986" s="184" t="n">
        <v>0</v>
      </c>
      <c r="R3986" s="184" t="n">
        <v>0</v>
      </c>
      <c r="S3986" s="183" t="n">
        <v>0</v>
      </c>
      <c r="T3986" s="183" t="n">
        <v>0</v>
      </c>
      <c r="U3986" s="182" t="n">
        <v>0</v>
      </c>
      <c r="V3986" s="182" t="n">
        <v>0</v>
      </c>
      <c r="W3986" s="182" t="n">
        <v>0</v>
      </c>
      <c r="X3986" s="182" t="n">
        <v>1</v>
      </c>
      <c r="Y3986" s="182" t="n">
        <v>0</v>
      </c>
      <c r="Z3986" s="182" t="n">
        <v>0</v>
      </c>
      <c r="AA3986" s="182" t="n">
        <v>0</v>
      </c>
      <c r="AB3986" s="182" t="n">
        <v>0</v>
      </c>
      <c r="AC3986" s="182" t="n">
        <v>0</v>
      </c>
      <c r="AD3986" s="182" t="n">
        <v>0</v>
      </c>
      <c r="AE3986" s="182" t="n">
        <v>0</v>
      </c>
      <c r="AF3986" s="182" t="n">
        <v>0</v>
      </c>
      <c r="AG3986" s="182" t="n">
        <v>0</v>
      </c>
      <c r="AH3986" s="182" t="n">
        <v>0</v>
      </c>
      <c r="AI3986" s="182" t="n">
        <v>0</v>
      </c>
      <c r="AJ3986" s="182" t="n">
        <v>0</v>
      </c>
      <c r="AK3986" s="182" t="n">
        <v>10.92</v>
      </c>
      <c r="AL3986" s="182" t="n">
        <v>0</v>
      </c>
      <c r="AM3986" s="182" t="n">
        <v>0.08</v>
      </c>
      <c r="AN3986" s="182" t="n">
        <v>0</v>
      </c>
    </row>
    <row r="3987">
      <c r="A3987" s="155" t="n">
        <v>46100</v>
      </c>
      <c r="B3987" s="156" t="inlineStr">
        <is>
          <t>DS</t>
        </is>
      </c>
      <c r="C3987" s="156" t="inlineStr">
        <is>
          <t>HT-412</t>
        </is>
      </c>
      <c r="D3987" s="156" t="inlineStr">
        <is>
          <t>SY430</t>
        </is>
      </c>
      <c r="E3987" s="156" t="inlineStr">
        <is>
          <t>DT Hauling</t>
        </is>
      </c>
      <c r="F3987" s="156" t="inlineStr"/>
      <c r="G3987" s="182" t="n">
        <v>0</v>
      </c>
      <c r="H3987" s="182" t="n">
        <v>0</v>
      </c>
      <c r="I3987" s="182" t="n">
        <v>0</v>
      </c>
      <c r="J3987" s="182" t="n">
        <v>0</v>
      </c>
      <c r="K3987" s="182" t="n">
        <v>12</v>
      </c>
      <c r="L3987" s="182" t="n">
        <v>12</v>
      </c>
      <c r="M3987" s="182" t="n">
        <v>0</v>
      </c>
      <c r="N3987" s="182" t="n">
        <v>0</v>
      </c>
      <c r="O3987" s="183" t="n">
        <v>0</v>
      </c>
      <c r="P3987" s="183" t="n">
        <v>0</v>
      </c>
      <c r="Q3987" s="184" t="n">
        <v>0</v>
      </c>
      <c r="R3987" s="184" t="n">
        <v>0</v>
      </c>
      <c r="S3987" s="183" t="n">
        <v>0</v>
      </c>
      <c r="T3987" s="183" t="n">
        <v>0</v>
      </c>
      <c r="U3987" s="182" t="n">
        <v>0</v>
      </c>
      <c r="V3987" s="182" t="n">
        <v>0</v>
      </c>
      <c r="W3987" s="182" t="n">
        <v>0</v>
      </c>
      <c r="X3987" s="182" t="n">
        <v>1</v>
      </c>
      <c r="Y3987" s="182" t="n">
        <v>0</v>
      </c>
      <c r="Z3987" s="182" t="n">
        <v>0</v>
      </c>
      <c r="AA3987" s="182" t="n">
        <v>0</v>
      </c>
      <c r="AB3987" s="182" t="n">
        <v>0</v>
      </c>
      <c r="AC3987" s="182" t="n">
        <v>0</v>
      </c>
      <c r="AD3987" s="182" t="n">
        <v>0</v>
      </c>
      <c r="AE3987" s="182" t="n">
        <v>0</v>
      </c>
      <c r="AF3987" s="182" t="n">
        <v>0</v>
      </c>
      <c r="AG3987" s="182" t="n">
        <v>0</v>
      </c>
      <c r="AH3987" s="182" t="n">
        <v>0</v>
      </c>
      <c r="AI3987" s="182" t="n">
        <v>0</v>
      </c>
      <c r="AJ3987" s="182" t="n">
        <v>0</v>
      </c>
      <c r="AK3987" s="182" t="n">
        <v>10.92</v>
      </c>
      <c r="AL3987" s="182" t="n">
        <v>0</v>
      </c>
      <c r="AM3987" s="182" t="n">
        <v>0.08</v>
      </c>
      <c r="AN3987" s="182" t="n">
        <v>0</v>
      </c>
    </row>
    <row r="3988">
      <c r="A3988" s="155" t="n">
        <v>46100</v>
      </c>
      <c r="B3988" s="156" t="inlineStr">
        <is>
          <t>DS</t>
        </is>
      </c>
      <c r="C3988" s="156" t="inlineStr">
        <is>
          <t>HT-413</t>
        </is>
      </c>
      <c r="D3988" s="156" t="inlineStr">
        <is>
          <t>SY430</t>
        </is>
      </c>
      <c r="E3988" s="156" t="inlineStr">
        <is>
          <t>DT Hauling</t>
        </is>
      </c>
      <c r="F3988" s="156" t="inlineStr"/>
      <c r="G3988" s="182" t="n">
        <v>0</v>
      </c>
      <c r="H3988" s="182" t="n">
        <v>0</v>
      </c>
      <c r="I3988" s="182" t="n">
        <v>12</v>
      </c>
      <c r="J3988" s="182" t="n">
        <v>12</v>
      </c>
      <c r="K3988" s="182" t="n">
        <v>0</v>
      </c>
      <c r="L3988" s="182" t="n">
        <v>12</v>
      </c>
      <c r="M3988" s="182" t="n">
        <v>0</v>
      </c>
      <c r="N3988" s="182" t="n">
        <v>0</v>
      </c>
      <c r="O3988" s="183" t="n">
        <v>0</v>
      </c>
      <c r="P3988" s="183" t="n">
        <v>0</v>
      </c>
      <c r="Q3988" s="184" t="n">
        <v>0</v>
      </c>
      <c r="R3988" s="184" t="n">
        <v>0</v>
      </c>
      <c r="S3988" s="183" t="n">
        <v>0</v>
      </c>
      <c r="T3988" s="183" t="n">
        <v>0</v>
      </c>
      <c r="U3988" s="182" t="n">
        <v>0</v>
      </c>
      <c r="V3988" s="182" t="n">
        <v>0</v>
      </c>
      <c r="W3988" s="182" t="n">
        <v>0</v>
      </c>
      <c r="X3988" s="182" t="n">
        <v>0</v>
      </c>
      <c r="Y3988" s="182" t="n">
        <v>0</v>
      </c>
      <c r="Z3988" s="182" t="n">
        <v>0</v>
      </c>
      <c r="AA3988" s="182" t="n">
        <v>0</v>
      </c>
      <c r="AB3988" s="182" t="n">
        <v>0</v>
      </c>
      <c r="AC3988" s="182" t="n">
        <v>0</v>
      </c>
      <c r="AD3988" s="182" t="n">
        <v>0</v>
      </c>
      <c r="AE3988" s="182" t="n">
        <v>0</v>
      </c>
      <c r="AF3988" s="182" t="n">
        <v>0</v>
      </c>
      <c r="AG3988" s="182" t="n">
        <v>0</v>
      </c>
      <c r="AH3988" s="182" t="n">
        <v>0</v>
      </c>
      <c r="AI3988" s="182" t="n">
        <v>0</v>
      </c>
      <c r="AJ3988" s="182" t="n">
        <v>0</v>
      </c>
      <c r="AK3988" s="182" t="n">
        <v>0</v>
      </c>
      <c r="AL3988" s="182" t="n">
        <v>0</v>
      </c>
      <c r="AM3988" s="182" t="n">
        <v>0</v>
      </c>
      <c r="AN3988" s="182" t="n">
        <v>0</v>
      </c>
    </row>
    <row r="3989">
      <c r="A3989" s="155" t="n">
        <v>46100</v>
      </c>
      <c r="B3989" s="156" t="inlineStr">
        <is>
          <t>DS</t>
        </is>
      </c>
      <c r="C3989" s="156" t="inlineStr">
        <is>
          <t>HT-407</t>
        </is>
      </c>
      <c r="D3989" s="156" t="inlineStr">
        <is>
          <t>SY430</t>
        </is>
      </c>
      <c r="E3989" s="156" t="inlineStr">
        <is>
          <t>DT Hauling</t>
        </is>
      </c>
      <c r="F3989" s="156" t="inlineStr"/>
      <c r="G3989" s="182" t="n">
        <v>0</v>
      </c>
      <c r="H3989" s="182" t="n">
        <v>0</v>
      </c>
      <c r="I3989" s="182" t="n">
        <v>0</v>
      </c>
      <c r="J3989" s="182" t="n">
        <v>0</v>
      </c>
      <c r="K3989" s="182" t="n">
        <v>12</v>
      </c>
      <c r="L3989" s="182" t="n">
        <v>12</v>
      </c>
      <c r="M3989" s="182" t="n">
        <v>0</v>
      </c>
      <c r="N3989" s="182" t="n">
        <v>0</v>
      </c>
      <c r="O3989" s="183" t="n">
        <v>0</v>
      </c>
      <c r="P3989" s="183" t="n">
        <v>0</v>
      </c>
      <c r="Q3989" s="184" t="n">
        <v>0</v>
      </c>
      <c r="R3989" s="184" t="n">
        <v>0</v>
      </c>
      <c r="S3989" s="183" t="n">
        <v>0</v>
      </c>
      <c r="T3989" s="183" t="n">
        <v>0</v>
      </c>
      <c r="U3989" s="182" t="n">
        <v>0</v>
      </c>
      <c r="V3989" s="182" t="n">
        <v>0</v>
      </c>
      <c r="W3989" s="182" t="n">
        <v>0</v>
      </c>
      <c r="X3989" s="182" t="n">
        <v>1</v>
      </c>
      <c r="Y3989" s="182" t="n">
        <v>0</v>
      </c>
      <c r="Z3989" s="182" t="n">
        <v>0</v>
      </c>
      <c r="AA3989" s="182" t="n">
        <v>0</v>
      </c>
      <c r="AB3989" s="182" t="n">
        <v>0</v>
      </c>
      <c r="AC3989" s="182" t="n">
        <v>0</v>
      </c>
      <c r="AD3989" s="182" t="n">
        <v>0</v>
      </c>
      <c r="AE3989" s="182" t="n">
        <v>0</v>
      </c>
      <c r="AF3989" s="182" t="n">
        <v>0</v>
      </c>
      <c r="AG3989" s="182" t="n">
        <v>0</v>
      </c>
      <c r="AH3989" s="182" t="n">
        <v>0</v>
      </c>
      <c r="AI3989" s="182" t="n">
        <v>0</v>
      </c>
      <c r="AJ3989" s="182" t="n">
        <v>0</v>
      </c>
      <c r="AK3989" s="182" t="n">
        <v>10.92</v>
      </c>
      <c r="AL3989" s="182" t="n">
        <v>0</v>
      </c>
      <c r="AM3989" s="182" t="n">
        <v>0.08</v>
      </c>
      <c r="AN3989" s="182" t="n">
        <v>0</v>
      </c>
    </row>
    <row r="3990">
      <c r="A3990" s="155" t="n">
        <v>46100</v>
      </c>
      <c r="B3990" s="156" t="inlineStr">
        <is>
          <t>DS</t>
        </is>
      </c>
      <c r="C3990" s="156" t="inlineStr">
        <is>
          <t>HT-414</t>
        </is>
      </c>
      <c r="D3990" s="156" t="inlineStr">
        <is>
          <t>SY430</t>
        </is>
      </c>
      <c r="E3990" s="156" t="inlineStr">
        <is>
          <t>DT Hauling</t>
        </is>
      </c>
      <c r="F3990" s="156" t="inlineStr"/>
      <c r="G3990" s="182" t="n">
        <v>0</v>
      </c>
      <c r="H3990" s="182" t="n">
        <v>0</v>
      </c>
      <c r="I3990" s="182" t="n">
        <v>0</v>
      </c>
      <c r="J3990" s="182" t="n">
        <v>0</v>
      </c>
      <c r="K3990" s="182" t="n">
        <v>12</v>
      </c>
      <c r="L3990" s="182" t="n">
        <v>12</v>
      </c>
      <c r="M3990" s="182" t="n">
        <v>0</v>
      </c>
      <c r="N3990" s="182" t="n">
        <v>0</v>
      </c>
      <c r="O3990" s="183" t="n">
        <v>0</v>
      </c>
      <c r="P3990" s="183" t="n">
        <v>0</v>
      </c>
      <c r="Q3990" s="184" t="n">
        <v>0</v>
      </c>
      <c r="R3990" s="184" t="n">
        <v>0</v>
      </c>
      <c r="S3990" s="183" t="n">
        <v>0</v>
      </c>
      <c r="T3990" s="183" t="n">
        <v>0</v>
      </c>
      <c r="U3990" s="182" t="n">
        <v>0</v>
      </c>
      <c r="V3990" s="182" t="n">
        <v>0</v>
      </c>
      <c r="W3990" s="182" t="n">
        <v>0</v>
      </c>
      <c r="X3990" s="182" t="n">
        <v>1</v>
      </c>
      <c r="Y3990" s="182" t="n">
        <v>0</v>
      </c>
      <c r="Z3990" s="182" t="n">
        <v>0</v>
      </c>
      <c r="AA3990" s="182" t="n">
        <v>0</v>
      </c>
      <c r="AB3990" s="182" t="n">
        <v>0</v>
      </c>
      <c r="AC3990" s="182" t="n">
        <v>0</v>
      </c>
      <c r="AD3990" s="182" t="n">
        <v>0</v>
      </c>
      <c r="AE3990" s="182" t="n">
        <v>0</v>
      </c>
      <c r="AF3990" s="182" t="n">
        <v>0</v>
      </c>
      <c r="AG3990" s="182" t="n">
        <v>0</v>
      </c>
      <c r="AH3990" s="182" t="n">
        <v>0</v>
      </c>
      <c r="AI3990" s="182" t="n">
        <v>0</v>
      </c>
      <c r="AJ3990" s="182" t="n">
        <v>0</v>
      </c>
      <c r="AK3990" s="182" t="n">
        <v>10.92</v>
      </c>
      <c r="AL3990" s="182" t="n">
        <v>0</v>
      </c>
      <c r="AM3990" s="182" t="n">
        <v>0.08</v>
      </c>
      <c r="AN3990" s="182" t="n">
        <v>0</v>
      </c>
    </row>
    <row r="3991">
      <c r="A3991" s="155" t="n">
        <v>46100</v>
      </c>
      <c r="B3991" s="156" t="inlineStr">
        <is>
          <t>DS</t>
        </is>
      </c>
      <c r="C3991" s="156" t="inlineStr">
        <is>
          <t>HT-411</t>
        </is>
      </c>
      <c r="D3991" s="156" t="inlineStr">
        <is>
          <t>SY430</t>
        </is>
      </c>
      <c r="E3991" s="156" t="inlineStr">
        <is>
          <t>DT Hauling</t>
        </is>
      </c>
      <c r="F3991" s="156" t="inlineStr"/>
      <c r="G3991" s="182" t="n">
        <v>0</v>
      </c>
      <c r="H3991" s="182" t="n">
        <v>0</v>
      </c>
      <c r="I3991" s="182" t="n">
        <v>0</v>
      </c>
      <c r="J3991" s="182" t="n">
        <v>0</v>
      </c>
      <c r="K3991" s="182" t="n">
        <v>12</v>
      </c>
      <c r="L3991" s="182" t="n">
        <v>12</v>
      </c>
      <c r="M3991" s="182" t="n">
        <v>0</v>
      </c>
      <c r="N3991" s="182" t="n">
        <v>0</v>
      </c>
      <c r="O3991" s="183" t="n">
        <v>0</v>
      </c>
      <c r="P3991" s="183" t="n">
        <v>0</v>
      </c>
      <c r="Q3991" s="184" t="n">
        <v>0</v>
      </c>
      <c r="R3991" s="184" t="n">
        <v>0</v>
      </c>
      <c r="S3991" s="183" t="n">
        <v>0</v>
      </c>
      <c r="T3991" s="183" t="n">
        <v>0</v>
      </c>
      <c r="U3991" s="182" t="n">
        <v>0</v>
      </c>
      <c r="V3991" s="182" t="n">
        <v>0</v>
      </c>
      <c r="W3991" s="182" t="n">
        <v>0</v>
      </c>
      <c r="X3991" s="182" t="n">
        <v>1</v>
      </c>
      <c r="Y3991" s="182" t="n">
        <v>0</v>
      </c>
      <c r="Z3991" s="182" t="n">
        <v>0</v>
      </c>
      <c r="AA3991" s="182" t="n">
        <v>0</v>
      </c>
      <c r="AB3991" s="182" t="n">
        <v>0</v>
      </c>
      <c r="AC3991" s="182" t="n">
        <v>0</v>
      </c>
      <c r="AD3991" s="182" t="n">
        <v>0</v>
      </c>
      <c r="AE3991" s="182" t="n">
        <v>0</v>
      </c>
      <c r="AF3991" s="182" t="n">
        <v>0</v>
      </c>
      <c r="AG3991" s="182" t="n">
        <v>0</v>
      </c>
      <c r="AH3991" s="182" t="n">
        <v>0</v>
      </c>
      <c r="AI3991" s="182" t="n">
        <v>0</v>
      </c>
      <c r="AJ3991" s="182" t="n">
        <v>0</v>
      </c>
      <c r="AK3991" s="182" t="n">
        <v>10.92</v>
      </c>
      <c r="AL3991" s="182" t="n">
        <v>0</v>
      </c>
      <c r="AM3991" s="182" t="n">
        <v>0.08</v>
      </c>
      <c r="AN3991" s="182" t="n">
        <v>0</v>
      </c>
    </row>
    <row r="3992">
      <c r="A3992" s="155" t="n">
        <v>46100</v>
      </c>
      <c r="B3992" s="156" t="inlineStr">
        <is>
          <t>DS</t>
        </is>
      </c>
      <c r="C3992" s="156" t="inlineStr">
        <is>
          <t>HT-409</t>
        </is>
      </c>
      <c r="D3992" s="156" t="inlineStr">
        <is>
          <t>SY430</t>
        </is>
      </c>
      <c r="E3992" s="156" t="inlineStr">
        <is>
          <t>DT Hauling</t>
        </is>
      </c>
      <c r="F3992" s="156" t="inlineStr"/>
      <c r="G3992" s="182" t="n">
        <v>0</v>
      </c>
      <c r="H3992" s="182" t="n">
        <v>0</v>
      </c>
      <c r="I3992" s="182" t="n">
        <v>12</v>
      </c>
      <c r="J3992" s="182" t="n">
        <v>12</v>
      </c>
      <c r="K3992" s="182" t="n">
        <v>0</v>
      </c>
      <c r="L3992" s="182" t="n">
        <v>12</v>
      </c>
      <c r="M3992" s="182" t="n">
        <v>0</v>
      </c>
      <c r="N3992" s="182" t="n">
        <v>0</v>
      </c>
      <c r="O3992" s="183" t="n">
        <v>0</v>
      </c>
      <c r="P3992" s="183" t="n">
        <v>0</v>
      </c>
      <c r="Q3992" s="184" t="n">
        <v>0</v>
      </c>
      <c r="R3992" s="184" t="n">
        <v>0</v>
      </c>
      <c r="S3992" s="183" t="n">
        <v>0</v>
      </c>
      <c r="T3992" s="183" t="n">
        <v>0</v>
      </c>
      <c r="U3992" s="182" t="n">
        <v>0</v>
      </c>
      <c r="V3992" s="182" t="n">
        <v>0</v>
      </c>
      <c r="W3992" s="182" t="n">
        <v>0</v>
      </c>
      <c r="X3992" s="182" t="n">
        <v>0</v>
      </c>
      <c r="Y3992" s="182" t="n">
        <v>0</v>
      </c>
      <c r="Z3992" s="182" t="n">
        <v>0</v>
      </c>
      <c r="AA3992" s="182" t="n">
        <v>0</v>
      </c>
      <c r="AB3992" s="182" t="n">
        <v>0</v>
      </c>
      <c r="AC3992" s="182" t="n">
        <v>0</v>
      </c>
      <c r="AD3992" s="182" t="n">
        <v>0</v>
      </c>
      <c r="AE3992" s="182" t="n">
        <v>0</v>
      </c>
      <c r="AF3992" s="182" t="n">
        <v>0</v>
      </c>
      <c r="AG3992" s="182" t="n">
        <v>0</v>
      </c>
      <c r="AH3992" s="182" t="n">
        <v>0</v>
      </c>
      <c r="AI3992" s="182" t="n">
        <v>0</v>
      </c>
      <c r="AJ3992" s="182" t="n">
        <v>0</v>
      </c>
      <c r="AK3992" s="182" t="n">
        <v>0</v>
      </c>
      <c r="AL3992" s="182" t="n">
        <v>0</v>
      </c>
      <c r="AM3992" s="182" t="n">
        <v>0</v>
      </c>
      <c r="AN3992" s="182" t="n">
        <v>0</v>
      </c>
    </row>
    <row r="3993">
      <c r="A3993" s="155" t="n">
        <v>46100</v>
      </c>
      <c r="B3993" s="156" t="inlineStr">
        <is>
          <t>DS</t>
        </is>
      </c>
      <c r="C3993" s="156" t="inlineStr">
        <is>
          <t>DH-103</t>
        </is>
      </c>
      <c r="D3993" s="156" t="inlineStr">
        <is>
          <t>HINO FM260</t>
        </is>
      </c>
      <c r="E3993" s="156" t="inlineStr">
        <is>
          <t>DT Hino</t>
        </is>
      </c>
      <c r="F3993" s="156" t="inlineStr"/>
      <c r="G3993" s="182" t="n">
        <v>0</v>
      </c>
      <c r="H3993" s="182" t="n">
        <v>0</v>
      </c>
      <c r="I3993" s="182" t="n">
        <v>0</v>
      </c>
      <c r="J3993" s="182" t="n">
        <v>0</v>
      </c>
      <c r="K3993" s="182" t="n">
        <v>12</v>
      </c>
      <c r="L3993" s="182" t="n">
        <v>12</v>
      </c>
      <c r="M3993" s="182" t="n">
        <v>0</v>
      </c>
      <c r="N3993" s="182" t="n">
        <v>0</v>
      </c>
      <c r="O3993" s="183" t="n">
        <v>0</v>
      </c>
      <c r="P3993" s="183" t="n">
        <v>0</v>
      </c>
      <c r="Q3993" s="184" t="n">
        <v>0</v>
      </c>
      <c r="R3993" s="184" t="n">
        <v>0</v>
      </c>
      <c r="S3993" s="183" t="n">
        <v>0</v>
      </c>
      <c r="T3993" s="183" t="n">
        <v>0</v>
      </c>
      <c r="U3993" s="182" t="n">
        <v>0</v>
      </c>
      <c r="V3993" s="182" t="n">
        <v>0</v>
      </c>
      <c r="W3993" s="182" t="n">
        <v>0</v>
      </c>
      <c r="X3993" s="182" t="n">
        <v>1</v>
      </c>
      <c r="Y3993" s="182" t="n">
        <v>0</v>
      </c>
      <c r="Z3993" s="182" t="n">
        <v>0</v>
      </c>
      <c r="AA3993" s="182" t="n">
        <v>0</v>
      </c>
      <c r="AB3993" s="182" t="n">
        <v>0</v>
      </c>
      <c r="AC3993" s="182" t="n">
        <v>0</v>
      </c>
      <c r="AD3993" s="182" t="n">
        <v>0</v>
      </c>
      <c r="AE3993" s="182" t="n">
        <v>0</v>
      </c>
      <c r="AF3993" s="182" t="n">
        <v>0</v>
      </c>
      <c r="AG3993" s="182" t="n">
        <v>0</v>
      </c>
      <c r="AH3993" s="182" t="n">
        <v>0</v>
      </c>
      <c r="AI3993" s="182" t="n">
        <v>0</v>
      </c>
      <c r="AJ3993" s="182" t="n">
        <v>0</v>
      </c>
      <c r="AK3993" s="182" t="n">
        <v>10.92</v>
      </c>
      <c r="AL3993" s="182" t="n">
        <v>0</v>
      </c>
      <c r="AM3993" s="182" t="n">
        <v>0.08</v>
      </c>
      <c r="AN3993" s="182" t="n">
        <v>0</v>
      </c>
    </row>
    <row r="3994">
      <c r="A3994" s="155" t="n">
        <v>46100</v>
      </c>
      <c r="B3994" s="156" t="inlineStr">
        <is>
          <t>DS</t>
        </is>
      </c>
      <c r="C3994" s="156" t="inlineStr">
        <is>
          <t>DH-102</t>
        </is>
      </c>
      <c r="D3994" s="156" t="inlineStr">
        <is>
          <t>HINO FM260</t>
        </is>
      </c>
      <c r="E3994" s="156" t="inlineStr">
        <is>
          <t>DT Hino</t>
        </is>
      </c>
      <c r="F3994" s="156" t="inlineStr"/>
      <c r="G3994" s="182" t="n">
        <v>0</v>
      </c>
      <c r="H3994" s="182" t="n">
        <v>0</v>
      </c>
      <c r="I3994" s="182" t="n">
        <v>0</v>
      </c>
      <c r="J3994" s="182" t="n">
        <v>0</v>
      </c>
      <c r="K3994" s="182" t="n">
        <v>12</v>
      </c>
      <c r="L3994" s="182" t="n">
        <v>12</v>
      </c>
      <c r="M3994" s="182" t="n">
        <v>0</v>
      </c>
      <c r="N3994" s="182" t="n">
        <v>0</v>
      </c>
      <c r="O3994" s="183" t="n">
        <v>0</v>
      </c>
      <c r="P3994" s="183" t="n">
        <v>0</v>
      </c>
      <c r="Q3994" s="184" t="n">
        <v>0</v>
      </c>
      <c r="R3994" s="184" t="n">
        <v>0</v>
      </c>
      <c r="S3994" s="183" t="n">
        <v>0</v>
      </c>
      <c r="T3994" s="183" t="n">
        <v>0</v>
      </c>
      <c r="U3994" s="182" t="n">
        <v>0</v>
      </c>
      <c r="V3994" s="182" t="n">
        <v>0</v>
      </c>
      <c r="W3994" s="182" t="n">
        <v>0</v>
      </c>
      <c r="X3994" s="182" t="n">
        <v>1</v>
      </c>
      <c r="Y3994" s="182" t="n">
        <v>0</v>
      </c>
      <c r="Z3994" s="182" t="n">
        <v>0</v>
      </c>
      <c r="AA3994" s="182" t="n">
        <v>0</v>
      </c>
      <c r="AB3994" s="182" t="n">
        <v>0</v>
      </c>
      <c r="AC3994" s="182" t="n">
        <v>0</v>
      </c>
      <c r="AD3994" s="182" t="n">
        <v>0</v>
      </c>
      <c r="AE3994" s="182" t="n">
        <v>0</v>
      </c>
      <c r="AF3994" s="182" t="n">
        <v>0</v>
      </c>
      <c r="AG3994" s="182" t="n">
        <v>0</v>
      </c>
      <c r="AH3994" s="182" t="n">
        <v>0</v>
      </c>
      <c r="AI3994" s="182" t="n">
        <v>0</v>
      </c>
      <c r="AJ3994" s="182" t="n">
        <v>0</v>
      </c>
      <c r="AK3994" s="182" t="n">
        <v>10.92</v>
      </c>
      <c r="AL3994" s="182" t="n">
        <v>0</v>
      </c>
      <c r="AM3994" s="182" t="n">
        <v>0.08</v>
      </c>
      <c r="AN3994" s="182" t="n">
        <v>0</v>
      </c>
    </row>
    <row r="3995">
      <c r="A3995" s="155" t="n">
        <v>46100</v>
      </c>
      <c r="B3995" s="156" t="inlineStr">
        <is>
          <t>DS</t>
        </is>
      </c>
      <c r="C3995" s="156" t="inlineStr">
        <is>
          <t>DH-101</t>
        </is>
      </c>
      <c r="D3995" s="156" t="inlineStr">
        <is>
          <t>HINO FM260</t>
        </is>
      </c>
      <c r="E3995" s="156" t="inlineStr">
        <is>
          <t>DT Hino</t>
        </is>
      </c>
      <c r="F3995" s="156" t="inlineStr"/>
      <c r="G3995" s="182" t="n">
        <v>0</v>
      </c>
      <c r="H3995" s="182" t="n">
        <v>0</v>
      </c>
      <c r="I3995" s="182" t="n">
        <v>0</v>
      </c>
      <c r="J3995" s="182" t="n">
        <v>0</v>
      </c>
      <c r="K3995" s="182" t="n">
        <v>12</v>
      </c>
      <c r="L3995" s="182" t="n">
        <v>12</v>
      </c>
      <c r="M3995" s="182" t="n">
        <v>0</v>
      </c>
      <c r="N3995" s="182" t="n">
        <v>0</v>
      </c>
      <c r="O3995" s="183" t="n">
        <v>0</v>
      </c>
      <c r="P3995" s="183" t="n">
        <v>0</v>
      </c>
      <c r="Q3995" s="184" t="n">
        <v>0</v>
      </c>
      <c r="R3995" s="184" t="n">
        <v>0</v>
      </c>
      <c r="S3995" s="183" t="n">
        <v>0</v>
      </c>
      <c r="T3995" s="183" t="n">
        <v>0</v>
      </c>
      <c r="U3995" s="182" t="n">
        <v>0</v>
      </c>
      <c r="V3995" s="182" t="n">
        <v>0</v>
      </c>
      <c r="W3995" s="182" t="n">
        <v>0</v>
      </c>
      <c r="X3995" s="182" t="n">
        <v>1</v>
      </c>
      <c r="Y3995" s="182" t="n">
        <v>0</v>
      </c>
      <c r="Z3995" s="182" t="n">
        <v>0</v>
      </c>
      <c r="AA3995" s="182" t="n">
        <v>0</v>
      </c>
      <c r="AB3995" s="182" t="n">
        <v>0</v>
      </c>
      <c r="AC3995" s="182" t="n">
        <v>0</v>
      </c>
      <c r="AD3995" s="182" t="n">
        <v>0</v>
      </c>
      <c r="AE3995" s="182" t="n">
        <v>0</v>
      </c>
      <c r="AF3995" s="182" t="n">
        <v>0</v>
      </c>
      <c r="AG3995" s="182" t="n">
        <v>0</v>
      </c>
      <c r="AH3995" s="182" t="n">
        <v>0</v>
      </c>
      <c r="AI3995" s="182" t="n">
        <v>0</v>
      </c>
      <c r="AJ3995" s="182" t="n">
        <v>0</v>
      </c>
      <c r="AK3995" s="182" t="n">
        <v>10.92</v>
      </c>
      <c r="AL3995" s="182" t="n">
        <v>0</v>
      </c>
      <c r="AM3995" s="182" t="n">
        <v>0.08</v>
      </c>
      <c r="AN3995" s="182" t="n">
        <v>0</v>
      </c>
    </row>
    <row r="3996">
      <c r="A3996" s="155" t="n">
        <v>46100</v>
      </c>
      <c r="B3996" s="156" t="inlineStr">
        <is>
          <t>DS</t>
        </is>
      </c>
      <c r="C3996" s="156" t="inlineStr">
        <is>
          <t>EX-1251</t>
        </is>
      </c>
      <c r="D3996" s="156" t="inlineStr">
        <is>
          <t>SY1250</t>
        </is>
      </c>
      <c r="E3996" s="156" t="inlineStr">
        <is>
          <t>Excavator</t>
        </is>
      </c>
      <c r="F3996" s="156" t="inlineStr">
        <is>
          <t>Loading OB</t>
        </is>
      </c>
      <c r="G3996" s="182" t="n">
        <v>4.08</v>
      </c>
      <c r="H3996" s="182" t="n">
        <v>0</v>
      </c>
      <c r="I3996" s="182" t="n">
        <v>0</v>
      </c>
      <c r="J3996" s="182" t="n">
        <v>0</v>
      </c>
      <c r="K3996" s="182" t="n">
        <v>7.92</v>
      </c>
      <c r="L3996" s="182" t="n">
        <v>12</v>
      </c>
      <c r="M3996" s="182" t="n">
        <v>3.32</v>
      </c>
      <c r="N3996" s="182" t="n">
        <v>0</v>
      </c>
      <c r="O3996" s="183" t="n">
        <v>94</v>
      </c>
      <c r="P3996" s="183" t="n">
        <v>0</v>
      </c>
      <c r="Q3996" s="184" t="n">
        <v>1917.6</v>
      </c>
      <c r="R3996" s="184" t="n">
        <v>0</v>
      </c>
      <c r="S3996" s="183" t="n">
        <v>0</v>
      </c>
      <c r="T3996" s="183" t="n">
        <v>0</v>
      </c>
      <c r="U3996" s="182" t="n">
        <v>5.24</v>
      </c>
      <c r="V3996" s="182" t="n">
        <v>1.55</v>
      </c>
      <c r="W3996" s="182" t="n">
        <v>0</v>
      </c>
      <c r="X3996" s="182" t="n">
        <v>1.05</v>
      </c>
      <c r="Y3996" s="182" t="n">
        <v>0</v>
      </c>
      <c r="Z3996" s="182" t="n">
        <v>0</v>
      </c>
      <c r="AA3996" s="182" t="n">
        <v>0</v>
      </c>
      <c r="AB3996" s="182" t="n">
        <v>0</v>
      </c>
      <c r="AC3996" s="182" t="n">
        <v>0</v>
      </c>
      <c r="AD3996" s="182" t="n">
        <v>0</v>
      </c>
      <c r="AE3996" s="182" t="n">
        <v>0</v>
      </c>
      <c r="AF3996" s="182" t="n">
        <v>0</v>
      </c>
      <c r="AG3996" s="182" t="n">
        <v>0</v>
      </c>
      <c r="AH3996" s="182" t="n">
        <v>0</v>
      </c>
      <c r="AI3996" s="182" t="n">
        <v>0</v>
      </c>
      <c r="AJ3996" s="182" t="n">
        <v>0</v>
      </c>
      <c r="AK3996" s="182" t="n">
        <v>0</v>
      </c>
      <c r="AL3996" s="182" t="n">
        <v>0</v>
      </c>
      <c r="AM3996" s="182" t="n">
        <v>0.08</v>
      </c>
      <c r="AN3996" s="182" t="n">
        <v>0</v>
      </c>
    </row>
    <row r="3997">
      <c r="A3997" s="155" t="n">
        <v>46100</v>
      </c>
      <c r="B3997" s="156" t="inlineStr">
        <is>
          <t>DS</t>
        </is>
      </c>
      <c r="C3997" s="156" t="inlineStr">
        <is>
          <t>EX-1252</t>
        </is>
      </c>
      <c r="D3997" s="156" t="inlineStr">
        <is>
          <t>SY1250</t>
        </is>
      </c>
      <c r="E3997" s="156" t="inlineStr">
        <is>
          <t>Excavator</t>
        </is>
      </c>
      <c r="F3997" s="156" t="inlineStr">
        <is>
          <t>Travel</t>
        </is>
      </c>
      <c r="G3997" s="182" t="n">
        <v>0.4</v>
      </c>
      <c r="H3997" s="182" t="n">
        <v>0</v>
      </c>
      <c r="I3997" s="182" t="n">
        <v>0</v>
      </c>
      <c r="J3997" s="182" t="n">
        <v>0</v>
      </c>
      <c r="K3997" s="182" t="n">
        <v>11.6</v>
      </c>
      <c r="L3997" s="182" t="n">
        <v>12</v>
      </c>
      <c r="M3997" s="182" t="n">
        <v>0</v>
      </c>
      <c r="N3997" s="182" t="n">
        <v>0</v>
      </c>
      <c r="O3997" s="183" t="n">
        <v>0</v>
      </c>
      <c r="P3997" s="183" t="n">
        <v>0</v>
      </c>
      <c r="Q3997" s="184" t="n">
        <v>0</v>
      </c>
      <c r="R3997" s="184" t="n">
        <v>0</v>
      </c>
      <c r="S3997" s="183" t="n">
        <v>0</v>
      </c>
      <c r="T3997" s="183" t="n">
        <v>0</v>
      </c>
      <c r="U3997" s="182" t="n">
        <v>5.09</v>
      </c>
      <c r="V3997" s="182" t="n">
        <v>3.06</v>
      </c>
      <c r="W3997" s="182" t="n">
        <v>2.35</v>
      </c>
      <c r="X3997" s="182" t="n">
        <v>1.02</v>
      </c>
      <c r="Y3997" s="182" t="n">
        <v>0</v>
      </c>
      <c r="Z3997" s="182" t="n">
        <v>0</v>
      </c>
      <c r="AA3997" s="182" t="n">
        <v>0</v>
      </c>
      <c r="AB3997" s="182" t="n">
        <v>0</v>
      </c>
      <c r="AC3997" s="182" t="n">
        <v>0</v>
      </c>
      <c r="AD3997" s="182" t="n">
        <v>0</v>
      </c>
      <c r="AE3997" s="182" t="n">
        <v>0</v>
      </c>
      <c r="AF3997" s="182" t="n">
        <v>0</v>
      </c>
      <c r="AG3997" s="182" t="n">
        <v>0</v>
      </c>
      <c r="AH3997" s="182" t="n">
        <v>0</v>
      </c>
      <c r="AI3997" s="182" t="n">
        <v>0</v>
      </c>
      <c r="AJ3997" s="182" t="n">
        <v>0</v>
      </c>
      <c r="AK3997" s="182" t="n">
        <v>0</v>
      </c>
      <c r="AL3997" s="182" t="n">
        <v>0</v>
      </c>
      <c r="AM3997" s="182" t="n">
        <v>0.08</v>
      </c>
      <c r="AN3997" s="182" t="n">
        <v>0</v>
      </c>
    </row>
    <row r="3998">
      <c r="A3998" s="155" t="n">
        <v>46100</v>
      </c>
      <c r="B3998" s="156" t="inlineStr">
        <is>
          <t>DS</t>
        </is>
      </c>
      <c r="C3998" s="156" t="inlineStr">
        <is>
          <t>EX-2101</t>
        </is>
      </c>
      <c r="D3998" s="156" t="inlineStr">
        <is>
          <t>SY2000</t>
        </is>
      </c>
      <c r="E3998" s="156" t="inlineStr">
        <is>
          <t>Excavator</t>
        </is>
      </c>
      <c r="F3998" s="156" t="inlineStr">
        <is>
          <t>Loading OB</t>
        </is>
      </c>
      <c r="G3998" s="182" t="n">
        <v>4.73</v>
      </c>
      <c r="H3998" s="182" t="n">
        <v>0</v>
      </c>
      <c r="I3998" s="182" t="n">
        <v>0.43</v>
      </c>
      <c r="J3998" s="182" t="n">
        <v>0.43</v>
      </c>
      <c r="K3998" s="182" t="n">
        <v>6.84</v>
      </c>
      <c r="L3998" s="182" t="n">
        <v>12</v>
      </c>
      <c r="M3998" s="182" t="n">
        <v>3.1</v>
      </c>
      <c r="N3998" s="182" t="n">
        <v>0</v>
      </c>
      <c r="O3998" s="183" t="n">
        <v>58</v>
      </c>
      <c r="P3998" s="183" t="n">
        <v>0</v>
      </c>
      <c r="Q3998" s="184" t="n">
        <v>1841.1</v>
      </c>
      <c r="R3998" s="184" t="n">
        <v>0</v>
      </c>
      <c r="S3998" s="183" t="n">
        <v>0</v>
      </c>
      <c r="T3998" s="183" t="n">
        <v>0</v>
      </c>
      <c r="U3998" s="182" t="n">
        <v>5.03</v>
      </c>
      <c r="V3998" s="182" t="n">
        <v>0.71</v>
      </c>
      <c r="W3998" s="182" t="n">
        <v>0</v>
      </c>
      <c r="X3998" s="182" t="n">
        <v>1.01</v>
      </c>
      <c r="Y3998" s="182" t="n">
        <v>0</v>
      </c>
      <c r="Z3998" s="182" t="n">
        <v>0</v>
      </c>
      <c r="AA3998" s="182" t="n">
        <v>0</v>
      </c>
      <c r="AB3998" s="182" t="n">
        <v>0</v>
      </c>
      <c r="AC3998" s="182" t="n">
        <v>0</v>
      </c>
      <c r="AD3998" s="182" t="n">
        <v>0</v>
      </c>
      <c r="AE3998" s="182" t="n">
        <v>0</v>
      </c>
      <c r="AF3998" s="182" t="n">
        <v>0</v>
      </c>
      <c r="AG3998" s="182" t="n">
        <v>0</v>
      </c>
      <c r="AH3998" s="182" t="n">
        <v>0</v>
      </c>
      <c r="AI3998" s="182" t="n">
        <v>0</v>
      </c>
      <c r="AJ3998" s="182" t="n">
        <v>0</v>
      </c>
      <c r="AK3998" s="182" t="n">
        <v>0</v>
      </c>
      <c r="AL3998" s="182" t="n">
        <v>0</v>
      </c>
      <c r="AM3998" s="182" t="n">
        <v>0.08</v>
      </c>
      <c r="AN3998" s="182" t="n">
        <v>0</v>
      </c>
    </row>
    <row r="3999">
      <c r="A3999" s="155" t="n">
        <v>46100</v>
      </c>
      <c r="B3999" s="156" t="inlineStr">
        <is>
          <t>DS</t>
        </is>
      </c>
      <c r="C3999" s="156" t="inlineStr">
        <is>
          <t>EX-222</t>
        </is>
      </c>
      <c r="D3999" s="156" t="inlineStr">
        <is>
          <t>PC 200-8MI</t>
        </is>
      </c>
      <c r="E3999" s="156" t="inlineStr">
        <is>
          <t>Excavator</t>
        </is>
      </c>
      <c r="F3999" s="156" t="inlineStr">
        <is>
          <t>Support Washing Plant</t>
        </is>
      </c>
      <c r="G3999" s="182" t="n">
        <v>11.38</v>
      </c>
      <c r="H3999" s="182" t="n">
        <v>0</v>
      </c>
      <c r="I3999" s="182" t="n">
        <v>0.62</v>
      </c>
      <c r="J3999" s="182" t="n">
        <v>0.62</v>
      </c>
      <c r="K3999" s="182" t="n">
        <v>0</v>
      </c>
      <c r="L3999" s="182" t="n">
        <v>12</v>
      </c>
      <c r="M3999" s="182" t="n">
        <v>0</v>
      </c>
      <c r="N3999" s="182" t="n">
        <v>0</v>
      </c>
      <c r="O3999" s="183" t="n">
        <v>0</v>
      </c>
      <c r="P3999" s="183" t="n">
        <v>0</v>
      </c>
      <c r="Q3999" s="184" t="n">
        <v>0</v>
      </c>
      <c r="R3999" s="184" t="n">
        <v>0</v>
      </c>
      <c r="S3999" s="183" t="n">
        <v>0</v>
      </c>
      <c r="T3999" s="183" t="n">
        <v>0</v>
      </c>
      <c r="U3999" s="182" t="n">
        <v>0</v>
      </c>
      <c r="V3999" s="182" t="n">
        <v>0</v>
      </c>
      <c r="W3999" s="182" t="n">
        <v>0</v>
      </c>
      <c r="X3999" s="182" t="n">
        <v>0</v>
      </c>
      <c r="Y3999" s="182" t="n">
        <v>0</v>
      </c>
      <c r="Z3999" s="182" t="n">
        <v>0</v>
      </c>
      <c r="AA3999" s="182" t="n">
        <v>0</v>
      </c>
      <c r="AB3999" s="182" t="n">
        <v>0</v>
      </c>
      <c r="AC3999" s="182" t="n">
        <v>0</v>
      </c>
      <c r="AD3999" s="182" t="n">
        <v>0</v>
      </c>
      <c r="AE3999" s="182" t="n">
        <v>0</v>
      </c>
      <c r="AF3999" s="182" t="n">
        <v>0</v>
      </c>
      <c r="AG3999" s="182" t="n">
        <v>0</v>
      </c>
      <c r="AH3999" s="182" t="n">
        <v>0</v>
      </c>
      <c r="AI3999" s="182" t="n">
        <v>0</v>
      </c>
      <c r="AJ3999" s="182" t="n">
        <v>0</v>
      </c>
      <c r="AK3999" s="182" t="n">
        <v>0</v>
      </c>
      <c r="AL3999" s="182" t="n">
        <v>0</v>
      </c>
      <c r="AM3999" s="182" t="n">
        <v>0</v>
      </c>
      <c r="AN3999" s="182" t="n">
        <v>0</v>
      </c>
    </row>
    <row r="4000">
      <c r="A4000" s="155" t="n">
        <v>46100</v>
      </c>
      <c r="B4000" s="156" t="inlineStr">
        <is>
          <t>DS</t>
        </is>
      </c>
      <c r="C4000" s="156" t="inlineStr">
        <is>
          <t>EX-225</t>
        </is>
      </c>
      <c r="D4000" s="156" t="inlineStr">
        <is>
          <t>PC 200-8</t>
        </is>
      </c>
      <c r="E4000" s="156" t="inlineStr">
        <is>
          <t>Excavator</t>
        </is>
      </c>
      <c r="F4000" s="156" t="inlineStr"/>
      <c r="G4000" s="182" t="n">
        <v>0</v>
      </c>
      <c r="H4000" s="182" t="n">
        <v>0</v>
      </c>
      <c r="I4000" s="182" t="n">
        <v>12</v>
      </c>
      <c r="J4000" s="182" t="n">
        <v>12</v>
      </c>
      <c r="K4000" s="182" t="n">
        <v>0</v>
      </c>
      <c r="L4000" s="182" t="n">
        <v>12</v>
      </c>
      <c r="M4000" s="182" t="n">
        <v>0</v>
      </c>
      <c r="N4000" s="182" t="n">
        <v>0</v>
      </c>
      <c r="O4000" s="183" t="n">
        <v>0</v>
      </c>
      <c r="P4000" s="183" t="n">
        <v>0</v>
      </c>
      <c r="Q4000" s="184" t="n">
        <v>0</v>
      </c>
      <c r="R4000" s="184" t="n">
        <v>0</v>
      </c>
      <c r="S4000" s="183" t="n">
        <v>0</v>
      </c>
      <c r="T4000" s="183" t="n">
        <v>0</v>
      </c>
      <c r="U4000" s="182" t="n">
        <v>0</v>
      </c>
      <c r="V4000" s="182" t="n">
        <v>0</v>
      </c>
      <c r="W4000" s="182" t="n">
        <v>0</v>
      </c>
      <c r="X4000" s="182" t="n">
        <v>0</v>
      </c>
      <c r="Y4000" s="182" t="n">
        <v>0</v>
      </c>
      <c r="Z4000" s="182" t="n">
        <v>0</v>
      </c>
      <c r="AA4000" s="182" t="n">
        <v>0</v>
      </c>
      <c r="AB4000" s="182" t="n">
        <v>0</v>
      </c>
      <c r="AC4000" s="182" t="n">
        <v>0</v>
      </c>
      <c r="AD4000" s="182" t="n">
        <v>0</v>
      </c>
      <c r="AE4000" s="182" t="n">
        <v>0</v>
      </c>
      <c r="AF4000" s="182" t="n">
        <v>0</v>
      </c>
      <c r="AG4000" s="182" t="n">
        <v>0</v>
      </c>
      <c r="AH4000" s="182" t="n">
        <v>0</v>
      </c>
      <c r="AI4000" s="182" t="n">
        <v>0</v>
      </c>
      <c r="AJ4000" s="182" t="n">
        <v>0</v>
      </c>
      <c r="AK4000" s="182" t="n">
        <v>0</v>
      </c>
      <c r="AL4000" s="182" t="n">
        <v>0</v>
      </c>
      <c r="AM4000" s="182" t="n">
        <v>0</v>
      </c>
      <c r="AN4000" s="182" t="n">
        <v>0</v>
      </c>
    </row>
    <row r="4001">
      <c r="A4001" s="155" t="n">
        <v>46100</v>
      </c>
      <c r="B4001" s="156" t="inlineStr">
        <is>
          <t>DS</t>
        </is>
      </c>
      <c r="C4001" s="156" t="inlineStr">
        <is>
          <t>EX-223</t>
        </is>
      </c>
      <c r="D4001" s="156" t="inlineStr">
        <is>
          <t>PC 200-8MI</t>
        </is>
      </c>
      <c r="E4001" s="156" t="inlineStr">
        <is>
          <t>Excavator</t>
        </is>
      </c>
      <c r="F4001" s="156" t="inlineStr">
        <is>
          <t>Support General Gudang Handak &amp; Support Washing Plant</t>
        </is>
      </c>
      <c r="G4001" s="182" t="n">
        <v>11.52</v>
      </c>
      <c r="H4001" s="182" t="n">
        <v>0</v>
      </c>
      <c r="I4001" s="182" t="n">
        <v>0</v>
      </c>
      <c r="J4001" s="182" t="n">
        <v>0</v>
      </c>
      <c r="K4001" s="182" t="n">
        <v>0.48</v>
      </c>
      <c r="L4001" s="182" t="n">
        <v>12</v>
      </c>
      <c r="M4001" s="182" t="n">
        <v>0</v>
      </c>
      <c r="N4001" s="182" t="n">
        <v>0</v>
      </c>
      <c r="O4001" s="183" t="n">
        <v>0</v>
      </c>
      <c r="P4001" s="183" t="n">
        <v>0</v>
      </c>
      <c r="Q4001" s="184" t="n">
        <v>0</v>
      </c>
      <c r="R4001" s="184" t="n">
        <v>0</v>
      </c>
      <c r="S4001" s="183" t="n">
        <v>0</v>
      </c>
      <c r="T4001" s="183" t="n">
        <v>0</v>
      </c>
      <c r="U4001" s="182" t="n">
        <v>0</v>
      </c>
      <c r="V4001" s="182" t="n">
        <v>0</v>
      </c>
      <c r="W4001" s="182" t="n">
        <v>0</v>
      </c>
      <c r="X4001" s="182" t="n">
        <v>0.43</v>
      </c>
      <c r="Y4001" s="182" t="n">
        <v>0</v>
      </c>
      <c r="Z4001" s="182" t="n">
        <v>0</v>
      </c>
      <c r="AA4001" s="182" t="n">
        <v>0</v>
      </c>
      <c r="AB4001" s="182" t="n">
        <v>0</v>
      </c>
      <c r="AC4001" s="182" t="n">
        <v>0</v>
      </c>
      <c r="AD4001" s="182" t="n">
        <v>0</v>
      </c>
      <c r="AE4001" s="182" t="n">
        <v>0</v>
      </c>
      <c r="AF4001" s="182" t="n">
        <v>0</v>
      </c>
      <c r="AG4001" s="182" t="n">
        <v>0</v>
      </c>
      <c r="AH4001" s="182" t="n">
        <v>0</v>
      </c>
      <c r="AI4001" s="182" t="n">
        <v>0</v>
      </c>
      <c r="AJ4001" s="182" t="n">
        <v>0</v>
      </c>
      <c r="AK4001" s="182" t="n">
        <v>0</v>
      </c>
      <c r="AL4001" s="182" t="n">
        <v>0</v>
      </c>
      <c r="AM4001" s="182" t="n">
        <v>0.05</v>
      </c>
      <c r="AN4001" s="182" t="n">
        <v>0</v>
      </c>
    </row>
    <row r="4002">
      <c r="A4002" s="155" t="n">
        <v>46100</v>
      </c>
      <c r="B4002" s="156" t="inlineStr">
        <is>
          <t>DS</t>
        </is>
      </c>
      <c r="C4002" s="156" t="inlineStr">
        <is>
          <t>EX-221</t>
        </is>
      </c>
      <c r="D4002" s="156" t="inlineStr">
        <is>
          <t>PC 200-8MI</t>
        </is>
      </c>
      <c r="E4002" s="156" t="inlineStr">
        <is>
          <t>Excavator</t>
        </is>
      </c>
      <c r="F4002" s="156" t="inlineStr"/>
      <c r="G4002" s="182" t="n">
        <v>0</v>
      </c>
      <c r="H4002" s="182" t="n">
        <v>0</v>
      </c>
      <c r="I4002" s="182" t="n">
        <v>0</v>
      </c>
      <c r="J4002" s="182" t="n">
        <v>0</v>
      </c>
      <c r="K4002" s="182" t="n">
        <v>12</v>
      </c>
      <c r="L4002" s="182" t="n">
        <v>12</v>
      </c>
      <c r="M4002" s="182" t="n">
        <v>0</v>
      </c>
      <c r="N4002" s="182" t="n">
        <v>0</v>
      </c>
      <c r="O4002" s="183" t="n">
        <v>0</v>
      </c>
      <c r="P4002" s="183" t="n">
        <v>0</v>
      </c>
      <c r="Q4002" s="184" t="n">
        <v>0</v>
      </c>
      <c r="R4002" s="184" t="n">
        <v>0</v>
      </c>
      <c r="S4002" s="183" t="n">
        <v>0</v>
      </c>
      <c r="T4002" s="183" t="n">
        <v>0</v>
      </c>
      <c r="U4002" s="182" t="n">
        <v>0</v>
      </c>
      <c r="V4002" s="182" t="n">
        <v>0</v>
      </c>
      <c r="W4002" s="182" t="n">
        <v>0</v>
      </c>
      <c r="X4002" s="182" t="n">
        <v>1</v>
      </c>
      <c r="Y4002" s="182" t="n">
        <v>0</v>
      </c>
      <c r="Z4002" s="182" t="n">
        <v>0</v>
      </c>
      <c r="AA4002" s="182" t="n">
        <v>0</v>
      </c>
      <c r="AB4002" s="182" t="n">
        <v>0</v>
      </c>
      <c r="AC4002" s="182" t="n">
        <v>0</v>
      </c>
      <c r="AD4002" s="182" t="n">
        <v>0</v>
      </c>
      <c r="AE4002" s="182" t="n">
        <v>0</v>
      </c>
      <c r="AF4002" s="182" t="n">
        <v>0</v>
      </c>
      <c r="AG4002" s="182" t="n">
        <v>0</v>
      </c>
      <c r="AH4002" s="182" t="n">
        <v>0</v>
      </c>
      <c r="AI4002" s="182" t="n">
        <v>0</v>
      </c>
      <c r="AJ4002" s="182" t="n">
        <v>0</v>
      </c>
      <c r="AK4002" s="182" t="n">
        <v>10.92</v>
      </c>
      <c r="AL4002" s="182" t="n">
        <v>0</v>
      </c>
      <c r="AM4002" s="182" t="n">
        <v>0.08</v>
      </c>
      <c r="AN4002" s="182" t="n">
        <v>0</v>
      </c>
    </row>
    <row r="4003">
      <c r="A4003" s="155" t="n">
        <v>46100</v>
      </c>
      <c r="B4003" s="156" t="inlineStr">
        <is>
          <t>DS</t>
        </is>
      </c>
      <c r="C4003" s="156" t="inlineStr">
        <is>
          <t>EX-331</t>
        </is>
      </c>
      <c r="D4003" s="156" t="inlineStr">
        <is>
          <t>PC 300-8MO</t>
        </is>
      </c>
      <c r="E4003" s="156" t="inlineStr">
        <is>
          <t>Excavator</t>
        </is>
      </c>
      <c r="F4003" s="156" t="inlineStr"/>
      <c r="G4003" s="182" t="n">
        <v>0</v>
      </c>
      <c r="H4003" s="182" t="n">
        <v>0</v>
      </c>
      <c r="I4003" s="182" t="n">
        <v>12</v>
      </c>
      <c r="J4003" s="182" t="n">
        <v>12</v>
      </c>
      <c r="K4003" s="182" t="n">
        <v>0</v>
      </c>
      <c r="L4003" s="182" t="n">
        <v>12</v>
      </c>
      <c r="M4003" s="182" t="n">
        <v>0</v>
      </c>
      <c r="N4003" s="182" t="n">
        <v>0</v>
      </c>
      <c r="O4003" s="183" t="n">
        <v>0</v>
      </c>
      <c r="P4003" s="183" t="n">
        <v>0</v>
      </c>
      <c r="Q4003" s="184" t="n">
        <v>0</v>
      </c>
      <c r="R4003" s="184" t="n">
        <v>0</v>
      </c>
      <c r="S4003" s="183" t="n">
        <v>0</v>
      </c>
      <c r="T4003" s="183" t="n">
        <v>0</v>
      </c>
      <c r="U4003" s="182" t="n">
        <v>0</v>
      </c>
      <c r="V4003" s="182" t="n">
        <v>0</v>
      </c>
      <c r="W4003" s="182" t="n">
        <v>0</v>
      </c>
      <c r="X4003" s="182" t="n">
        <v>0</v>
      </c>
      <c r="Y4003" s="182" t="n">
        <v>0</v>
      </c>
      <c r="Z4003" s="182" t="n">
        <v>0</v>
      </c>
      <c r="AA4003" s="182" t="n">
        <v>0</v>
      </c>
      <c r="AB4003" s="182" t="n">
        <v>0</v>
      </c>
      <c r="AC4003" s="182" t="n">
        <v>0</v>
      </c>
      <c r="AD4003" s="182" t="n">
        <v>0</v>
      </c>
      <c r="AE4003" s="182" t="n">
        <v>0</v>
      </c>
      <c r="AF4003" s="182" t="n">
        <v>0</v>
      </c>
      <c r="AG4003" s="182" t="n">
        <v>0</v>
      </c>
      <c r="AH4003" s="182" t="n">
        <v>0</v>
      </c>
      <c r="AI4003" s="182" t="n">
        <v>0</v>
      </c>
      <c r="AJ4003" s="182" t="n">
        <v>0</v>
      </c>
      <c r="AK4003" s="182" t="n">
        <v>0</v>
      </c>
      <c r="AL4003" s="182" t="n">
        <v>0</v>
      </c>
      <c r="AM4003" s="182" t="n">
        <v>0</v>
      </c>
      <c r="AN4003" s="182" t="n">
        <v>0</v>
      </c>
    </row>
    <row r="4004">
      <c r="A4004" s="155" t="n">
        <v>46100</v>
      </c>
      <c r="B4004" s="156" t="inlineStr">
        <is>
          <t>DS</t>
        </is>
      </c>
      <c r="C4004" s="156" t="inlineStr">
        <is>
          <t>EX-334</t>
        </is>
      </c>
      <c r="D4004" s="156" t="inlineStr">
        <is>
          <t>PC 300-8MO</t>
        </is>
      </c>
      <c r="E4004" s="156" t="inlineStr">
        <is>
          <t>Excavator</t>
        </is>
      </c>
      <c r="F4004" s="156" t="inlineStr">
        <is>
          <t>General Release Air</t>
        </is>
      </c>
      <c r="G4004" s="182" t="n">
        <v>10.35</v>
      </c>
      <c r="H4004" s="182" t="n">
        <v>0</v>
      </c>
      <c r="I4004" s="182" t="n">
        <v>0</v>
      </c>
      <c r="J4004" s="182" t="n">
        <v>0</v>
      </c>
      <c r="K4004" s="182" t="n">
        <v>1.65</v>
      </c>
      <c r="L4004" s="182" t="n">
        <v>12</v>
      </c>
      <c r="M4004" s="182" t="n">
        <v>0</v>
      </c>
      <c r="N4004" s="182" t="n">
        <v>0</v>
      </c>
      <c r="O4004" s="183" t="n">
        <v>0</v>
      </c>
      <c r="P4004" s="183" t="n">
        <v>0</v>
      </c>
      <c r="Q4004" s="184" t="n">
        <v>0</v>
      </c>
      <c r="R4004" s="184" t="n">
        <v>0</v>
      </c>
      <c r="S4004" s="183" t="n">
        <v>0</v>
      </c>
      <c r="T4004" s="183" t="n">
        <v>0</v>
      </c>
      <c r="U4004" s="182" t="n">
        <v>0.38</v>
      </c>
      <c r="V4004" s="182" t="n">
        <v>0</v>
      </c>
      <c r="W4004" s="182" t="n">
        <v>0</v>
      </c>
      <c r="X4004" s="182" t="n">
        <v>1.18</v>
      </c>
      <c r="Y4004" s="182" t="n">
        <v>0</v>
      </c>
      <c r="Z4004" s="182" t="n">
        <v>0</v>
      </c>
      <c r="AA4004" s="182" t="n">
        <v>0</v>
      </c>
      <c r="AB4004" s="182" t="n">
        <v>0</v>
      </c>
      <c r="AC4004" s="182" t="n">
        <v>0</v>
      </c>
      <c r="AD4004" s="182" t="n">
        <v>0</v>
      </c>
      <c r="AE4004" s="182" t="n">
        <v>0</v>
      </c>
      <c r="AF4004" s="182" t="n">
        <v>0</v>
      </c>
      <c r="AG4004" s="182" t="n">
        <v>0</v>
      </c>
      <c r="AH4004" s="182" t="n">
        <v>0</v>
      </c>
      <c r="AI4004" s="182" t="n">
        <v>0</v>
      </c>
      <c r="AJ4004" s="182" t="n">
        <v>0</v>
      </c>
      <c r="AK4004" s="182" t="n">
        <v>0</v>
      </c>
      <c r="AL4004" s="182" t="n">
        <v>0</v>
      </c>
      <c r="AM4004" s="182" t="n">
        <v>0.09</v>
      </c>
      <c r="AN4004" s="182" t="n">
        <v>0</v>
      </c>
    </row>
    <row r="4005">
      <c r="A4005" s="155" t="n">
        <v>46100</v>
      </c>
      <c r="B4005" s="156" t="inlineStr">
        <is>
          <t>DS</t>
        </is>
      </c>
      <c r="C4005" s="156" t="inlineStr">
        <is>
          <t>EX-332</t>
        </is>
      </c>
      <c r="D4005" s="156" t="inlineStr">
        <is>
          <t>PC 300-8MO</t>
        </is>
      </c>
      <c r="E4005" s="156" t="inlineStr">
        <is>
          <t>Excavator</t>
        </is>
      </c>
      <c r="F4005" s="156" t="inlineStr">
        <is>
          <t>Cleaning Coal</t>
        </is>
      </c>
      <c r="G4005" s="182" t="n">
        <v>10.29</v>
      </c>
      <c r="H4005" s="182" t="n">
        <v>0</v>
      </c>
      <c r="I4005" s="182" t="n">
        <v>0</v>
      </c>
      <c r="J4005" s="182" t="n">
        <v>0</v>
      </c>
      <c r="K4005" s="182" t="n">
        <v>1.71</v>
      </c>
      <c r="L4005" s="182" t="n">
        <v>12</v>
      </c>
      <c r="M4005" s="182" t="n">
        <v>0</v>
      </c>
      <c r="N4005" s="182" t="n">
        <v>0</v>
      </c>
      <c r="O4005" s="183" t="n">
        <v>0</v>
      </c>
      <c r="P4005" s="183" t="n">
        <v>0</v>
      </c>
      <c r="Q4005" s="184" t="n">
        <v>0</v>
      </c>
      <c r="R4005" s="184" t="n">
        <v>0</v>
      </c>
      <c r="S4005" s="183" t="n">
        <v>0</v>
      </c>
      <c r="T4005" s="183" t="n">
        <v>0</v>
      </c>
      <c r="U4005" s="182" t="n">
        <v>0.62</v>
      </c>
      <c r="V4005" s="182" t="n">
        <v>0</v>
      </c>
      <c r="W4005" s="182" t="n">
        <v>0</v>
      </c>
      <c r="X4005" s="182" t="n">
        <v>1.01</v>
      </c>
      <c r="Y4005" s="182" t="n">
        <v>0</v>
      </c>
      <c r="Z4005" s="182" t="n">
        <v>0</v>
      </c>
      <c r="AA4005" s="182" t="n">
        <v>0</v>
      </c>
      <c r="AB4005" s="182" t="n">
        <v>0</v>
      </c>
      <c r="AC4005" s="182" t="n">
        <v>0</v>
      </c>
      <c r="AD4005" s="182" t="n">
        <v>0</v>
      </c>
      <c r="AE4005" s="182" t="n">
        <v>0</v>
      </c>
      <c r="AF4005" s="182" t="n">
        <v>0</v>
      </c>
      <c r="AG4005" s="182" t="n">
        <v>0</v>
      </c>
      <c r="AH4005" s="182" t="n">
        <v>0</v>
      </c>
      <c r="AI4005" s="182" t="n">
        <v>0</v>
      </c>
      <c r="AJ4005" s="182" t="n">
        <v>0</v>
      </c>
      <c r="AK4005" s="182" t="n">
        <v>0</v>
      </c>
      <c r="AL4005" s="182" t="n">
        <v>0</v>
      </c>
      <c r="AM4005" s="182" t="n">
        <v>0.08</v>
      </c>
      <c r="AN4005" s="182" t="n">
        <v>0</v>
      </c>
    </row>
    <row r="4006">
      <c r="A4006" s="155" t="n">
        <v>46100</v>
      </c>
      <c r="B4006" s="156" t="inlineStr">
        <is>
          <t>DS</t>
        </is>
      </c>
      <c r="C4006" s="156" t="inlineStr">
        <is>
          <t>EX-333</t>
        </is>
      </c>
      <c r="D4006" s="156" t="inlineStr">
        <is>
          <t>PC 300-8MO</t>
        </is>
      </c>
      <c r="E4006" s="156" t="inlineStr">
        <is>
          <t>Excavator</t>
        </is>
      </c>
      <c r="F4006" s="156" t="inlineStr">
        <is>
          <t>General Estapet Soil</t>
        </is>
      </c>
      <c r="G4006" s="182" t="n">
        <v>10.77</v>
      </c>
      <c r="H4006" s="182" t="n">
        <v>0</v>
      </c>
      <c r="I4006" s="182" t="n">
        <v>0</v>
      </c>
      <c r="J4006" s="182" t="n">
        <v>0</v>
      </c>
      <c r="K4006" s="182" t="n">
        <v>1.23</v>
      </c>
      <c r="L4006" s="182" t="n">
        <v>12</v>
      </c>
      <c r="M4006" s="182" t="n">
        <v>0</v>
      </c>
      <c r="N4006" s="182" t="n">
        <v>0</v>
      </c>
      <c r="O4006" s="183" t="n">
        <v>0</v>
      </c>
      <c r="P4006" s="183" t="n">
        <v>0</v>
      </c>
      <c r="Q4006" s="184" t="n">
        <v>0</v>
      </c>
      <c r="R4006" s="184" t="n">
        <v>0</v>
      </c>
      <c r="S4006" s="183" t="n">
        <v>0</v>
      </c>
      <c r="T4006" s="183" t="n">
        <v>0</v>
      </c>
      <c r="U4006" s="182" t="n">
        <v>0.21</v>
      </c>
      <c r="V4006" s="182" t="n">
        <v>0</v>
      </c>
      <c r="W4006" s="182" t="n">
        <v>0</v>
      </c>
      <c r="X4006" s="182" t="n">
        <v>0.95</v>
      </c>
      <c r="Y4006" s="182" t="n">
        <v>0</v>
      </c>
      <c r="Z4006" s="182" t="n">
        <v>0</v>
      </c>
      <c r="AA4006" s="182" t="n">
        <v>0</v>
      </c>
      <c r="AB4006" s="182" t="n">
        <v>0</v>
      </c>
      <c r="AC4006" s="182" t="n">
        <v>0</v>
      </c>
      <c r="AD4006" s="182" t="n">
        <v>0</v>
      </c>
      <c r="AE4006" s="182" t="n">
        <v>0</v>
      </c>
      <c r="AF4006" s="182" t="n">
        <v>0</v>
      </c>
      <c r="AG4006" s="182" t="n">
        <v>0</v>
      </c>
      <c r="AH4006" s="182" t="n">
        <v>0</v>
      </c>
      <c r="AI4006" s="182" t="n">
        <v>0</v>
      </c>
      <c r="AJ4006" s="182" t="n">
        <v>0</v>
      </c>
      <c r="AK4006" s="182" t="n">
        <v>0</v>
      </c>
      <c r="AL4006" s="182" t="n">
        <v>0</v>
      </c>
      <c r="AM4006" s="182" t="n">
        <v>0.08</v>
      </c>
      <c r="AN4006" s="182" t="n">
        <v>0</v>
      </c>
    </row>
    <row r="4007">
      <c r="A4007" s="155" t="n">
        <v>46100</v>
      </c>
      <c r="B4007" s="156" t="inlineStr">
        <is>
          <t>DS</t>
        </is>
      </c>
      <c r="C4007" s="156" t="inlineStr">
        <is>
          <t>EX-336</t>
        </is>
      </c>
      <c r="D4007" s="156" t="inlineStr">
        <is>
          <t>PC 300-8MO</t>
        </is>
      </c>
      <c r="E4007" s="156" t="inlineStr">
        <is>
          <t>Excavator</t>
        </is>
      </c>
      <c r="F4007" s="156" t="inlineStr">
        <is>
          <t>Cleaning Coal</t>
        </is>
      </c>
      <c r="G4007" s="182" t="n">
        <v>10.94</v>
      </c>
      <c r="H4007" s="182" t="n">
        <v>0</v>
      </c>
      <c r="I4007" s="182" t="n">
        <v>0</v>
      </c>
      <c r="J4007" s="182" t="n">
        <v>0</v>
      </c>
      <c r="K4007" s="182" t="n">
        <v>1.06</v>
      </c>
      <c r="L4007" s="182" t="n">
        <v>12</v>
      </c>
      <c r="M4007" s="182" t="n">
        <v>0</v>
      </c>
      <c r="N4007" s="182" t="n">
        <v>0</v>
      </c>
      <c r="O4007" s="183" t="n">
        <v>0</v>
      </c>
      <c r="P4007" s="183" t="n">
        <v>0</v>
      </c>
      <c r="Q4007" s="184" t="n">
        <v>0</v>
      </c>
      <c r="R4007" s="184" t="n">
        <v>0</v>
      </c>
      <c r="S4007" s="183" t="n">
        <v>0</v>
      </c>
      <c r="T4007" s="183" t="n">
        <v>0</v>
      </c>
      <c r="U4007" s="182" t="n">
        <v>0</v>
      </c>
      <c r="V4007" s="182" t="n">
        <v>0</v>
      </c>
      <c r="W4007" s="182" t="n">
        <v>0</v>
      </c>
      <c r="X4007" s="182" t="n">
        <v>0.98</v>
      </c>
      <c r="Y4007" s="182" t="n">
        <v>0</v>
      </c>
      <c r="Z4007" s="182" t="n">
        <v>0</v>
      </c>
      <c r="AA4007" s="182" t="n">
        <v>0</v>
      </c>
      <c r="AB4007" s="182" t="n">
        <v>0</v>
      </c>
      <c r="AC4007" s="182" t="n">
        <v>0</v>
      </c>
      <c r="AD4007" s="182" t="n">
        <v>0</v>
      </c>
      <c r="AE4007" s="182" t="n">
        <v>0</v>
      </c>
      <c r="AF4007" s="182" t="n">
        <v>0</v>
      </c>
      <c r="AG4007" s="182" t="n">
        <v>0</v>
      </c>
      <c r="AH4007" s="182" t="n">
        <v>0</v>
      </c>
      <c r="AI4007" s="182" t="n">
        <v>0</v>
      </c>
      <c r="AJ4007" s="182" t="n">
        <v>0</v>
      </c>
      <c r="AK4007" s="182" t="n">
        <v>0</v>
      </c>
      <c r="AL4007" s="182" t="n">
        <v>0</v>
      </c>
      <c r="AM4007" s="182" t="n">
        <v>0.08</v>
      </c>
      <c r="AN4007" s="182" t="n">
        <v>0</v>
      </c>
    </row>
    <row r="4008">
      <c r="A4008" s="155" t="n">
        <v>46100</v>
      </c>
      <c r="B4008" s="156" t="inlineStr">
        <is>
          <t>DS</t>
        </is>
      </c>
      <c r="C4008" s="156" t="inlineStr">
        <is>
          <t>EX-335</t>
        </is>
      </c>
      <c r="D4008" s="156" t="inlineStr">
        <is>
          <t>PC 300-8MO</t>
        </is>
      </c>
      <c r="E4008" s="156" t="inlineStr">
        <is>
          <t>Excavator</t>
        </is>
      </c>
      <c r="F4008" s="156" t="inlineStr"/>
      <c r="G4008" s="182" t="n">
        <v>0</v>
      </c>
      <c r="H4008" s="182" t="n">
        <v>0</v>
      </c>
      <c r="I4008" s="182" t="n">
        <v>12</v>
      </c>
      <c r="J4008" s="182" t="n">
        <v>12</v>
      </c>
      <c r="K4008" s="182" t="n">
        <v>0</v>
      </c>
      <c r="L4008" s="182" t="n">
        <v>12</v>
      </c>
      <c r="M4008" s="182" t="n">
        <v>0</v>
      </c>
      <c r="N4008" s="182" t="n">
        <v>0</v>
      </c>
      <c r="O4008" s="183" t="n">
        <v>0</v>
      </c>
      <c r="P4008" s="183" t="n">
        <v>0</v>
      </c>
      <c r="Q4008" s="184" t="n">
        <v>0</v>
      </c>
      <c r="R4008" s="184" t="n">
        <v>0</v>
      </c>
      <c r="S4008" s="183" t="n">
        <v>0</v>
      </c>
      <c r="T4008" s="183" t="n">
        <v>0</v>
      </c>
      <c r="U4008" s="182" t="n">
        <v>0</v>
      </c>
      <c r="V4008" s="182" t="n">
        <v>0</v>
      </c>
      <c r="W4008" s="182" t="n">
        <v>0</v>
      </c>
      <c r="X4008" s="182" t="n">
        <v>0</v>
      </c>
      <c r="Y4008" s="182" t="n">
        <v>0</v>
      </c>
      <c r="Z4008" s="182" t="n">
        <v>0</v>
      </c>
      <c r="AA4008" s="182" t="n">
        <v>0</v>
      </c>
      <c r="AB4008" s="182" t="n">
        <v>0</v>
      </c>
      <c r="AC4008" s="182" t="n">
        <v>0</v>
      </c>
      <c r="AD4008" s="182" t="n">
        <v>0</v>
      </c>
      <c r="AE4008" s="182" t="n">
        <v>0</v>
      </c>
      <c r="AF4008" s="182" t="n">
        <v>0</v>
      </c>
      <c r="AG4008" s="182" t="n">
        <v>0</v>
      </c>
      <c r="AH4008" s="182" t="n">
        <v>0</v>
      </c>
      <c r="AI4008" s="182" t="n">
        <v>0</v>
      </c>
      <c r="AJ4008" s="182" t="n">
        <v>0</v>
      </c>
      <c r="AK4008" s="182" t="n">
        <v>0</v>
      </c>
      <c r="AL4008" s="182" t="n">
        <v>0</v>
      </c>
      <c r="AM4008" s="182" t="n">
        <v>0</v>
      </c>
      <c r="AN4008" s="182" t="n">
        <v>0</v>
      </c>
    </row>
    <row r="4009">
      <c r="A4009" s="155" t="n">
        <v>46100</v>
      </c>
      <c r="B4009" s="156" t="inlineStr">
        <is>
          <t>DS</t>
        </is>
      </c>
      <c r="C4009" s="156" t="inlineStr">
        <is>
          <t>EX-754</t>
        </is>
      </c>
      <c r="D4009" s="156" t="inlineStr">
        <is>
          <t>SY750H-PRO</t>
        </is>
      </c>
      <c r="E4009" s="156" t="inlineStr">
        <is>
          <t>Excavator</t>
        </is>
      </c>
      <c r="F4009" s="156" t="inlineStr"/>
      <c r="G4009" s="182" t="n">
        <v>0</v>
      </c>
      <c r="H4009" s="182" t="n">
        <v>0</v>
      </c>
      <c r="I4009" s="182" t="n">
        <v>12</v>
      </c>
      <c r="J4009" s="182" t="n">
        <v>12</v>
      </c>
      <c r="K4009" s="182" t="n">
        <v>0</v>
      </c>
      <c r="L4009" s="182" t="n">
        <v>12</v>
      </c>
      <c r="M4009" s="182" t="n">
        <v>0</v>
      </c>
      <c r="N4009" s="182" t="n">
        <v>0</v>
      </c>
      <c r="O4009" s="183" t="n">
        <v>0</v>
      </c>
      <c r="P4009" s="183" t="n">
        <v>0</v>
      </c>
      <c r="Q4009" s="184" t="n">
        <v>0</v>
      </c>
      <c r="R4009" s="184" t="n">
        <v>0</v>
      </c>
      <c r="S4009" s="183" t="n">
        <v>0</v>
      </c>
      <c r="T4009" s="183" t="n">
        <v>0</v>
      </c>
      <c r="U4009" s="182" t="n">
        <v>0</v>
      </c>
      <c r="V4009" s="182" t="n">
        <v>0</v>
      </c>
      <c r="W4009" s="182" t="n">
        <v>0</v>
      </c>
      <c r="X4009" s="182" t="n">
        <v>0</v>
      </c>
      <c r="Y4009" s="182" t="n">
        <v>0</v>
      </c>
      <c r="Z4009" s="182" t="n">
        <v>0</v>
      </c>
      <c r="AA4009" s="182" t="n">
        <v>0</v>
      </c>
      <c r="AB4009" s="182" t="n">
        <v>0</v>
      </c>
      <c r="AC4009" s="182" t="n">
        <v>0</v>
      </c>
      <c r="AD4009" s="182" t="n">
        <v>0</v>
      </c>
      <c r="AE4009" s="182" t="n">
        <v>0</v>
      </c>
      <c r="AF4009" s="182" t="n">
        <v>0</v>
      </c>
      <c r="AG4009" s="182" t="n">
        <v>0</v>
      </c>
      <c r="AH4009" s="182" t="n">
        <v>0</v>
      </c>
      <c r="AI4009" s="182" t="n">
        <v>0</v>
      </c>
      <c r="AJ4009" s="182" t="n">
        <v>0</v>
      </c>
      <c r="AK4009" s="182" t="n">
        <v>0</v>
      </c>
      <c r="AL4009" s="182" t="n">
        <v>0</v>
      </c>
      <c r="AM4009" s="182" t="n">
        <v>0</v>
      </c>
      <c r="AN4009" s="182" t="n">
        <v>0</v>
      </c>
    </row>
    <row r="4010">
      <c r="A4010" s="155" t="n">
        <v>46100</v>
      </c>
      <c r="B4010" s="156" t="inlineStr">
        <is>
          <t>DS</t>
        </is>
      </c>
      <c r="C4010" s="156" t="inlineStr">
        <is>
          <t>EX-755</t>
        </is>
      </c>
      <c r="D4010" s="156" t="inlineStr">
        <is>
          <t>SY750H-PRO</t>
        </is>
      </c>
      <c r="E4010" s="156" t="inlineStr">
        <is>
          <t>Excavator</t>
        </is>
      </c>
      <c r="F4010" s="156" t="inlineStr">
        <is>
          <t>Loading Parting &amp; Coal</t>
        </is>
      </c>
      <c r="G4010" s="182" t="n">
        <v>2.06</v>
      </c>
      <c r="H4010" s="182" t="n">
        <v>0</v>
      </c>
      <c r="I4010" s="182" t="n">
        <v>0</v>
      </c>
      <c r="J4010" s="182" t="n">
        <v>0</v>
      </c>
      <c r="K4010" s="182" t="n">
        <v>9.94</v>
      </c>
      <c r="L4010" s="182" t="n">
        <v>12</v>
      </c>
      <c r="M4010" s="182" t="n">
        <v>0.17</v>
      </c>
      <c r="N4010" s="182" t="n">
        <v>1.89</v>
      </c>
      <c r="O4010" s="183" t="n">
        <v>4</v>
      </c>
      <c r="P4010" s="183" t="n">
        <v>16</v>
      </c>
      <c r="Q4010" s="184" t="n">
        <v>65.3</v>
      </c>
      <c r="R4010" s="184" t="n">
        <v>299.2</v>
      </c>
      <c r="S4010" s="183" t="n">
        <v>0</v>
      </c>
      <c r="T4010" s="183" t="n">
        <v>0</v>
      </c>
      <c r="U4010" s="182" t="n">
        <v>5.29</v>
      </c>
      <c r="V4010" s="182" t="n">
        <v>3.17</v>
      </c>
      <c r="W4010" s="182" t="n">
        <v>0</v>
      </c>
      <c r="X4010" s="182" t="n">
        <v>1.06</v>
      </c>
      <c r="Y4010" s="182" t="n">
        <v>0</v>
      </c>
      <c r="Z4010" s="182" t="n">
        <v>0</v>
      </c>
      <c r="AA4010" s="182" t="n">
        <v>0</v>
      </c>
      <c r="AB4010" s="182" t="n">
        <v>0</v>
      </c>
      <c r="AC4010" s="182" t="n">
        <v>0</v>
      </c>
      <c r="AD4010" s="182" t="n">
        <v>0</v>
      </c>
      <c r="AE4010" s="182" t="n">
        <v>0</v>
      </c>
      <c r="AF4010" s="182" t="n">
        <v>0</v>
      </c>
      <c r="AG4010" s="182" t="n">
        <v>0</v>
      </c>
      <c r="AH4010" s="182" t="n">
        <v>0.34</v>
      </c>
      <c r="AI4010" s="182" t="n">
        <v>0</v>
      </c>
      <c r="AJ4010" s="182" t="n">
        <v>0</v>
      </c>
      <c r="AK4010" s="182" t="n">
        <v>0</v>
      </c>
      <c r="AL4010" s="182" t="n">
        <v>0</v>
      </c>
      <c r="AM4010" s="182" t="n">
        <v>0.08</v>
      </c>
      <c r="AN4010" s="182" t="n">
        <v>0</v>
      </c>
    </row>
    <row r="4011">
      <c r="A4011" s="155" t="n">
        <v>46100</v>
      </c>
      <c r="B4011" s="156" t="inlineStr">
        <is>
          <t>DS</t>
        </is>
      </c>
      <c r="C4011" s="156" t="inlineStr">
        <is>
          <t>EX-752</t>
        </is>
      </c>
      <c r="D4011" s="156" t="inlineStr">
        <is>
          <t>SY750H-PRO</t>
        </is>
      </c>
      <c r="E4011" s="156" t="inlineStr">
        <is>
          <t>Excavator</t>
        </is>
      </c>
      <c r="F4011" s="156" t="inlineStr"/>
      <c r="G4011" s="182" t="n">
        <v>0</v>
      </c>
      <c r="H4011" s="182" t="n">
        <v>0</v>
      </c>
      <c r="I4011" s="182" t="n">
        <v>12</v>
      </c>
      <c r="J4011" s="182" t="n">
        <v>12</v>
      </c>
      <c r="K4011" s="182" t="n">
        <v>0</v>
      </c>
      <c r="L4011" s="182" t="n">
        <v>12</v>
      </c>
      <c r="M4011" s="182" t="n">
        <v>0</v>
      </c>
      <c r="N4011" s="182" t="n">
        <v>0</v>
      </c>
      <c r="O4011" s="183" t="n">
        <v>0</v>
      </c>
      <c r="P4011" s="183" t="n">
        <v>0</v>
      </c>
      <c r="Q4011" s="184" t="n">
        <v>0</v>
      </c>
      <c r="R4011" s="184" t="n">
        <v>0</v>
      </c>
      <c r="S4011" s="183" t="n">
        <v>0</v>
      </c>
      <c r="T4011" s="183" t="n">
        <v>0</v>
      </c>
      <c r="U4011" s="182" t="n">
        <v>0</v>
      </c>
      <c r="V4011" s="182" t="n">
        <v>0</v>
      </c>
      <c r="W4011" s="182" t="n">
        <v>0</v>
      </c>
      <c r="X4011" s="182" t="n">
        <v>0</v>
      </c>
      <c r="Y4011" s="182" t="n">
        <v>0</v>
      </c>
      <c r="Z4011" s="182" t="n">
        <v>0</v>
      </c>
      <c r="AA4011" s="182" t="n">
        <v>0</v>
      </c>
      <c r="AB4011" s="182" t="n">
        <v>0</v>
      </c>
      <c r="AC4011" s="182" t="n">
        <v>0</v>
      </c>
      <c r="AD4011" s="182" t="n">
        <v>0</v>
      </c>
      <c r="AE4011" s="182" t="n">
        <v>0</v>
      </c>
      <c r="AF4011" s="182" t="n">
        <v>0</v>
      </c>
      <c r="AG4011" s="182" t="n">
        <v>0</v>
      </c>
      <c r="AH4011" s="182" t="n">
        <v>0</v>
      </c>
      <c r="AI4011" s="182" t="n">
        <v>0</v>
      </c>
      <c r="AJ4011" s="182" t="n">
        <v>0</v>
      </c>
      <c r="AK4011" s="182" t="n">
        <v>0</v>
      </c>
      <c r="AL4011" s="182" t="n">
        <v>0</v>
      </c>
      <c r="AM4011" s="182" t="n">
        <v>0</v>
      </c>
      <c r="AN4011" s="182" t="n">
        <v>0</v>
      </c>
    </row>
    <row r="4012">
      <c r="A4012" s="155" t="n">
        <v>46100</v>
      </c>
      <c r="B4012" s="156" t="inlineStr">
        <is>
          <t>DS</t>
        </is>
      </c>
      <c r="C4012" s="156" t="inlineStr">
        <is>
          <t>EX-751</t>
        </is>
      </c>
      <c r="D4012" s="156" t="inlineStr">
        <is>
          <t>SY750H-PRO</t>
        </is>
      </c>
      <c r="E4012" s="156" t="inlineStr">
        <is>
          <t>Excavator</t>
        </is>
      </c>
      <c r="F4012" s="156" t="inlineStr"/>
      <c r="G4012" s="182" t="n">
        <v>0</v>
      </c>
      <c r="H4012" s="182" t="n">
        <v>0</v>
      </c>
      <c r="I4012" s="182" t="n">
        <v>12</v>
      </c>
      <c r="J4012" s="182" t="n">
        <v>12</v>
      </c>
      <c r="K4012" s="182" t="n">
        <v>0</v>
      </c>
      <c r="L4012" s="182" t="n">
        <v>12</v>
      </c>
      <c r="M4012" s="182" t="n">
        <v>0</v>
      </c>
      <c r="N4012" s="182" t="n">
        <v>0</v>
      </c>
      <c r="O4012" s="183" t="n">
        <v>0</v>
      </c>
      <c r="P4012" s="183" t="n">
        <v>0</v>
      </c>
      <c r="Q4012" s="184" t="n">
        <v>0</v>
      </c>
      <c r="R4012" s="184" t="n">
        <v>0</v>
      </c>
      <c r="S4012" s="183" t="n">
        <v>0</v>
      </c>
      <c r="T4012" s="183" t="n">
        <v>0</v>
      </c>
      <c r="U4012" s="182" t="n">
        <v>0</v>
      </c>
      <c r="V4012" s="182" t="n">
        <v>0</v>
      </c>
      <c r="W4012" s="182" t="n">
        <v>0</v>
      </c>
      <c r="X4012" s="182" t="n">
        <v>0</v>
      </c>
      <c r="Y4012" s="182" t="n">
        <v>0</v>
      </c>
      <c r="Z4012" s="182" t="n">
        <v>0</v>
      </c>
      <c r="AA4012" s="182" t="n">
        <v>0</v>
      </c>
      <c r="AB4012" s="182" t="n">
        <v>0</v>
      </c>
      <c r="AC4012" s="182" t="n">
        <v>0</v>
      </c>
      <c r="AD4012" s="182" t="n">
        <v>0</v>
      </c>
      <c r="AE4012" s="182" t="n">
        <v>0</v>
      </c>
      <c r="AF4012" s="182" t="n">
        <v>0</v>
      </c>
      <c r="AG4012" s="182" t="n">
        <v>0</v>
      </c>
      <c r="AH4012" s="182" t="n">
        <v>0</v>
      </c>
      <c r="AI4012" s="182" t="n">
        <v>0</v>
      </c>
      <c r="AJ4012" s="182" t="n">
        <v>0</v>
      </c>
      <c r="AK4012" s="182" t="n">
        <v>0</v>
      </c>
      <c r="AL4012" s="182" t="n">
        <v>0</v>
      </c>
      <c r="AM4012" s="182" t="n">
        <v>0</v>
      </c>
      <c r="AN4012" s="182" t="n">
        <v>0</v>
      </c>
    </row>
    <row r="4013">
      <c r="A4013" s="155" t="n">
        <v>46100</v>
      </c>
      <c r="B4013" s="156" t="inlineStr">
        <is>
          <t>DS</t>
        </is>
      </c>
      <c r="C4013" s="156" t="inlineStr">
        <is>
          <t>EX-753</t>
        </is>
      </c>
      <c r="D4013" s="156" t="inlineStr">
        <is>
          <t>SY750H-PRO</t>
        </is>
      </c>
      <c r="E4013" s="156" t="inlineStr">
        <is>
          <t>Excavator</t>
        </is>
      </c>
      <c r="F4013" s="156" t="inlineStr"/>
      <c r="G4013" s="182" t="n">
        <v>0</v>
      </c>
      <c r="H4013" s="182" t="n">
        <v>0</v>
      </c>
      <c r="I4013" s="182" t="n">
        <v>4.7</v>
      </c>
      <c r="J4013" s="182" t="n">
        <v>4.7</v>
      </c>
      <c r="K4013" s="182" t="n">
        <v>7.3</v>
      </c>
      <c r="L4013" s="182" t="n">
        <v>12</v>
      </c>
      <c r="M4013" s="182" t="n">
        <v>0</v>
      </c>
      <c r="N4013" s="182" t="n">
        <v>0</v>
      </c>
      <c r="O4013" s="183" t="n">
        <v>0</v>
      </c>
      <c r="P4013" s="183" t="n">
        <v>0</v>
      </c>
      <c r="Q4013" s="184" t="n">
        <v>0</v>
      </c>
      <c r="R4013" s="184" t="n">
        <v>0</v>
      </c>
      <c r="S4013" s="183" t="n">
        <v>0</v>
      </c>
      <c r="T4013" s="183" t="n">
        <v>0</v>
      </c>
      <c r="U4013" s="182" t="n">
        <v>0</v>
      </c>
      <c r="V4013" s="182" t="n">
        <v>0</v>
      </c>
      <c r="W4013" s="182" t="n">
        <v>0</v>
      </c>
      <c r="X4013" s="182" t="n">
        <v>1</v>
      </c>
      <c r="Y4013" s="182" t="n">
        <v>0</v>
      </c>
      <c r="Z4013" s="182" t="n">
        <v>0</v>
      </c>
      <c r="AA4013" s="182" t="n">
        <v>0</v>
      </c>
      <c r="AB4013" s="182" t="n">
        <v>0</v>
      </c>
      <c r="AC4013" s="182" t="n">
        <v>0</v>
      </c>
      <c r="AD4013" s="182" t="n">
        <v>0</v>
      </c>
      <c r="AE4013" s="182" t="n">
        <v>0</v>
      </c>
      <c r="AF4013" s="182" t="n">
        <v>0</v>
      </c>
      <c r="AG4013" s="182" t="n">
        <v>0</v>
      </c>
      <c r="AH4013" s="182" t="n">
        <v>0</v>
      </c>
      <c r="AI4013" s="182" t="n">
        <v>0</v>
      </c>
      <c r="AJ4013" s="182" t="n">
        <v>0</v>
      </c>
      <c r="AK4013" s="182" t="n">
        <v>6.22</v>
      </c>
      <c r="AL4013" s="182" t="n">
        <v>0</v>
      </c>
      <c r="AM4013" s="182" t="n">
        <v>0.08</v>
      </c>
      <c r="AN4013" s="182" t="n">
        <v>0</v>
      </c>
    </row>
    <row r="4014">
      <c r="A4014" s="155" t="n">
        <v>46100</v>
      </c>
      <c r="B4014" s="156" t="inlineStr">
        <is>
          <t>DS</t>
        </is>
      </c>
      <c r="C4014" s="156" t="inlineStr">
        <is>
          <t>GD-012</t>
        </is>
      </c>
      <c r="D4014" s="156" t="inlineStr">
        <is>
          <t>STG 230C - 8S</t>
        </is>
      </c>
      <c r="E4014" s="156" t="inlineStr">
        <is>
          <t>Grader</t>
        </is>
      </c>
      <c r="F4014" s="156" t="inlineStr"/>
      <c r="G4014" s="182" t="n">
        <v>0</v>
      </c>
      <c r="H4014" s="182" t="n">
        <v>0</v>
      </c>
      <c r="I4014" s="182" t="n">
        <v>0</v>
      </c>
      <c r="J4014" s="182" t="n">
        <v>0</v>
      </c>
      <c r="K4014" s="182" t="n">
        <v>12</v>
      </c>
      <c r="L4014" s="182" t="n">
        <v>12</v>
      </c>
      <c r="M4014" s="182" t="n">
        <v>0</v>
      </c>
      <c r="N4014" s="182" t="n">
        <v>0</v>
      </c>
      <c r="O4014" s="183" t="n">
        <v>0</v>
      </c>
      <c r="P4014" s="183" t="n">
        <v>0</v>
      </c>
      <c r="Q4014" s="184" t="n">
        <v>0</v>
      </c>
      <c r="R4014" s="184" t="n">
        <v>0</v>
      </c>
      <c r="S4014" s="183" t="n">
        <v>0</v>
      </c>
      <c r="T4014" s="183" t="n">
        <v>0</v>
      </c>
      <c r="U4014" s="182" t="n">
        <v>0</v>
      </c>
      <c r="V4014" s="182" t="n">
        <v>0</v>
      </c>
      <c r="W4014" s="182" t="n">
        <v>0</v>
      </c>
      <c r="X4014" s="182" t="n">
        <v>1</v>
      </c>
      <c r="Y4014" s="182" t="n">
        <v>0</v>
      </c>
      <c r="Z4014" s="182" t="n">
        <v>0</v>
      </c>
      <c r="AA4014" s="182" t="n">
        <v>0</v>
      </c>
      <c r="AB4014" s="182" t="n">
        <v>0</v>
      </c>
      <c r="AC4014" s="182" t="n">
        <v>0</v>
      </c>
      <c r="AD4014" s="182" t="n">
        <v>0</v>
      </c>
      <c r="AE4014" s="182" t="n">
        <v>0</v>
      </c>
      <c r="AF4014" s="182" t="n">
        <v>0</v>
      </c>
      <c r="AG4014" s="182" t="n">
        <v>0</v>
      </c>
      <c r="AH4014" s="182" t="n">
        <v>0</v>
      </c>
      <c r="AI4014" s="182" t="n">
        <v>0</v>
      </c>
      <c r="AJ4014" s="182" t="n">
        <v>0</v>
      </c>
      <c r="AK4014" s="182" t="n">
        <v>10.92</v>
      </c>
      <c r="AL4014" s="182" t="n">
        <v>0</v>
      </c>
      <c r="AM4014" s="182" t="n">
        <v>0.08</v>
      </c>
      <c r="AN4014" s="182" t="n">
        <v>0</v>
      </c>
    </row>
    <row r="4015">
      <c r="A4015" s="155" t="n">
        <v>46100</v>
      </c>
      <c r="B4015" s="156" t="inlineStr">
        <is>
          <t>DS</t>
        </is>
      </c>
      <c r="C4015" s="156" t="inlineStr">
        <is>
          <t>GD-011</t>
        </is>
      </c>
      <c r="D4015" s="156" t="inlineStr">
        <is>
          <t>STG 230C - 8S</t>
        </is>
      </c>
      <c r="E4015" s="156" t="inlineStr">
        <is>
          <t>Grader</t>
        </is>
      </c>
      <c r="F4015" s="156" t="inlineStr"/>
      <c r="G4015" s="182" t="n">
        <v>0</v>
      </c>
      <c r="H4015" s="182" t="n">
        <v>0</v>
      </c>
      <c r="I4015" s="182" t="n">
        <v>12</v>
      </c>
      <c r="J4015" s="182" t="n">
        <v>12</v>
      </c>
      <c r="K4015" s="182" t="n">
        <v>0</v>
      </c>
      <c r="L4015" s="182" t="n">
        <v>12</v>
      </c>
      <c r="M4015" s="182" t="n">
        <v>0</v>
      </c>
      <c r="N4015" s="182" t="n">
        <v>0</v>
      </c>
      <c r="O4015" s="183" t="n">
        <v>0</v>
      </c>
      <c r="P4015" s="183" t="n">
        <v>0</v>
      </c>
      <c r="Q4015" s="184" t="n">
        <v>0</v>
      </c>
      <c r="R4015" s="184" t="n">
        <v>0</v>
      </c>
      <c r="S4015" s="183" t="n">
        <v>0</v>
      </c>
      <c r="T4015" s="183" t="n">
        <v>0</v>
      </c>
      <c r="U4015" s="182" t="n">
        <v>0</v>
      </c>
      <c r="V4015" s="182" t="n">
        <v>0</v>
      </c>
      <c r="W4015" s="182" t="n">
        <v>0</v>
      </c>
      <c r="X4015" s="182" t="n">
        <v>0</v>
      </c>
      <c r="Y4015" s="182" t="n">
        <v>0</v>
      </c>
      <c r="Z4015" s="182" t="n">
        <v>0</v>
      </c>
      <c r="AA4015" s="182" t="n">
        <v>0</v>
      </c>
      <c r="AB4015" s="182" t="n">
        <v>0</v>
      </c>
      <c r="AC4015" s="182" t="n">
        <v>0</v>
      </c>
      <c r="AD4015" s="182" t="n">
        <v>0</v>
      </c>
      <c r="AE4015" s="182" t="n">
        <v>0</v>
      </c>
      <c r="AF4015" s="182" t="n">
        <v>0</v>
      </c>
      <c r="AG4015" s="182" t="n">
        <v>0</v>
      </c>
      <c r="AH4015" s="182" t="n">
        <v>0</v>
      </c>
      <c r="AI4015" s="182" t="n">
        <v>0</v>
      </c>
      <c r="AJ4015" s="182" t="n">
        <v>0</v>
      </c>
      <c r="AK4015" s="182" t="n">
        <v>0</v>
      </c>
      <c r="AL4015" s="182" t="n">
        <v>0</v>
      </c>
      <c r="AM4015" s="182" t="n">
        <v>0</v>
      </c>
      <c r="AN4015" s="182" t="n">
        <v>0</v>
      </c>
    </row>
    <row r="4016">
      <c r="A4016" s="155" t="n">
        <v>46100</v>
      </c>
      <c r="B4016" s="156" t="inlineStr">
        <is>
          <t>DS</t>
        </is>
      </c>
      <c r="C4016" s="156" t="inlineStr">
        <is>
          <t>GD-013</t>
        </is>
      </c>
      <c r="D4016" s="156" t="inlineStr">
        <is>
          <t>STG 265C - 10</t>
        </is>
      </c>
      <c r="E4016" s="156" t="inlineStr">
        <is>
          <t>Grader</t>
        </is>
      </c>
      <c r="F4016" s="156" t="inlineStr">
        <is>
          <t>Road Maintenance</t>
        </is>
      </c>
      <c r="G4016" s="182" t="n">
        <v>2.85</v>
      </c>
      <c r="H4016" s="182" t="n">
        <v>7.08</v>
      </c>
      <c r="I4016" s="182" t="n">
        <v>2</v>
      </c>
      <c r="J4016" s="182" t="n">
        <v>9.08</v>
      </c>
      <c r="K4016" s="182" t="n">
        <v>0.07000000000000001</v>
      </c>
      <c r="L4016" s="182" t="n">
        <v>12</v>
      </c>
      <c r="M4016" s="182" t="n">
        <v>0</v>
      </c>
      <c r="N4016" s="182" t="n">
        <v>0</v>
      </c>
      <c r="O4016" s="183" t="n">
        <v>0</v>
      </c>
      <c r="P4016" s="183" t="n">
        <v>0</v>
      </c>
      <c r="Q4016" s="184" t="n">
        <v>0</v>
      </c>
      <c r="R4016" s="184" t="n">
        <v>0</v>
      </c>
      <c r="S4016" s="183" t="n">
        <v>0</v>
      </c>
      <c r="T4016" s="183" t="n">
        <v>0</v>
      </c>
      <c r="U4016" s="182" t="n">
        <v>0</v>
      </c>
      <c r="V4016" s="182" t="n">
        <v>0</v>
      </c>
      <c r="W4016" s="182" t="n">
        <v>0</v>
      </c>
      <c r="X4016" s="182" t="n">
        <v>0.02</v>
      </c>
      <c r="Y4016" s="182" t="n">
        <v>0</v>
      </c>
      <c r="Z4016" s="182" t="n">
        <v>0</v>
      </c>
      <c r="AA4016" s="182" t="n">
        <v>0</v>
      </c>
      <c r="AB4016" s="182" t="n">
        <v>0</v>
      </c>
      <c r="AC4016" s="182" t="n">
        <v>0</v>
      </c>
      <c r="AD4016" s="182" t="n">
        <v>0</v>
      </c>
      <c r="AE4016" s="182" t="n">
        <v>0</v>
      </c>
      <c r="AF4016" s="182" t="n">
        <v>0</v>
      </c>
      <c r="AG4016" s="182" t="n">
        <v>0</v>
      </c>
      <c r="AH4016" s="182" t="n">
        <v>0</v>
      </c>
      <c r="AI4016" s="182" t="n">
        <v>0</v>
      </c>
      <c r="AJ4016" s="182" t="n">
        <v>0</v>
      </c>
      <c r="AK4016" s="182" t="n">
        <v>0</v>
      </c>
      <c r="AL4016" s="182" t="n">
        <v>0</v>
      </c>
      <c r="AM4016" s="182" t="n">
        <v>0.05</v>
      </c>
      <c r="AN4016" s="182" t="n">
        <v>0</v>
      </c>
    </row>
    <row r="4017">
      <c r="A4017" s="155" t="n">
        <v>46100</v>
      </c>
      <c r="B4017" s="156" t="inlineStr">
        <is>
          <t>DS</t>
        </is>
      </c>
      <c r="C4017" s="156" t="inlineStr">
        <is>
          <t>GD-014</t>
        </is>
      </c>
      <c r="D4017" s="156" t="inlineStr">
        <is>
          <t>STG 335C - 10</t>
        </is>
      </c>
      <c r="E4017" s="156" t="inlineStr">
        <is>
          <t>Grader</t>
        </is>
      </c>
      <c r="F4017" s="156" t="inlineStr">
        <is>
          <t>Road Maintenance</t>
        </is>
      </c>
      <c r="G4017" s="182" t="n">
        <v>5.12</v>
      </c>
      <c r="H4017" s="182" t="n">
        <v>0</v>
      </c>
      <c r="I4017" s="182" t="n">
        <v>0</v>
      </c>
      <c r="J4017" s="182" t="n">
        <v>0</v>
      </c>
      <c r="K4017" s="182" t="n">
        <v>6.88</v>
      </c>
      <c r="L4017" s="182" t="n">
        <v>12</v>
      </c>
      <c r="M4017" s="182" t="n">
        <v>0</v>
      </c>
      <c r="N4017" s="182" t="n">
        <v>0</v>
      </c>
      <c r="O4017" s="183" t="n">
        <v>0</v>
      </c>
      <c r="P4017" s="183" t="n">
        <v>0</v>
      </c>
      <c r="Q4017" s="184" t="n">
        <v>0</v>
      </c>
      <c r="R4017" s="184" t="n">
        <v>0</v>
      </c>
      <c r="S4017" s="183" t="n">
        <v>0</v>
      </c>
      <c r="T4017" s="183" t="n">
        <v>0</v>
      </c>
      <c r="U4017" s="182" t="n">
        <v>5.29</v>
      </c>
      <c r="V4017" s="182" t="n">
        <v>0</v>
      </c>
      <c r="W4017" s="182" t="n">
        <v>0</v>
      </c>
      <c r="X4017" s="182" t="n">
        <v>1.06</v>
      </c>
      <c r="Y4017" s="182" t="n">
        <v>0</v>
      </c>
      <c r="Z4017" s="182" t="n">
        <v>0</v>
      </c>
      <c r="AA4017" s="182" t="n">
        <v>0</v>
      </c>
      <c r="AB4017" s="182" t="n">
        <v>0</v>
      </c>
      <c r="AC4017" s="182" t="n">
        <v>0</v>
      </c>
      <c r="AD4017" s="182" t="n">
        <v>0</v>
      </c>
      <c r="AE4017" s="182" t="n">
        <v>0</v>
      </c>
      <c r="AF4017" s="182" t="n">
        <v>0</v>
      </c>
      <c r="AG4017" s="182" t="n">
        <v>0</v>
      </c>
      <c r="AH4017" s="182" t="n">
        <v>0.44</v>
      </c>
      <c r="AI4017" s="182" t="n">
        <v>0</v>
      </c>
      <c r="AJ4017" s="182" t="n">
        <v>0</v>
      </c>
      <c r="AK4017" s="182" t="n">
        <v>0</v>
      </c>
      <c r="AL4017" s="182" t="n">
        <v>0</v>
      </c>
      <c r="AM4017" s="182" t="n">
        <v>0.08</v>
      </c>
      <c r="AN4017" s="182" t="n">
        <v>0</v>
      </c>
    </row>
    <row r="4018">
      <c r="A4018" s="155" t="n">
        <v>46100</v>
      </c>
      <c r="B4018" s="156" t="inlineStr">
        <is>
          <t>DS</t>
        </is>
      </c>
      <c r="C4018" s="156" t="inlineStr">
        <is>
          <t>DT-809</t>
        </is>
      </c>
      <c r="D4018" s="156" t="inlineStr">
        <is>
          <t>SKT 80S</t>
        </is>
      </c>
      <c r="E4018" s="156" t="inlineStr">
        <is>
          <t>Hauler</t>
        </is>
      </c>
      <c r="F4018" s="156" t="inlineStr"/>
      <c r="G4018" s="182" t="n">
        <v>0</v>
      </c>
      <c r="H4018" s="182" t="n">
        <v>0</v>
      </c>
      <c r="I4018" s="182" t="n">
        <v>12</v>
      </c>
      <c r="J4018" s="182" t="n">
        <v>12</v>
      </c>
      <c r="K4018" s="182" t="n">
        <v>0</v>
      </c>
      <c r="L4018" s="182" t="n">
        <v>12</v>
      </c>
      <c r="M4018" s="182" t="n">
        <v>0</v>
      </c>
      <c r="N4018" s="182" t="n">
        <v>0</v>
      </c>
      <c r="O4018" s="183" t="n">
        <v>0</v>
      </c>
      <c r="P4018" s="183" t="n">
        <v>0</v>
      </c>
      <c r="Q4018" s="184" t="n">
        <v>0</v>
      </c>
      <c r="R4018" s="184" t="n">
        <v>0</v>
      </c>
      <c r="S4018" s="183" t="n">
        <v>0</v>
      </c>
      <c r="T4018" s="183" t="n">
        <v>0</v>
      </c>
      <c r="U4018" s="182" t="n">
        <v>0</v>
      </c>
      <c r="V4018" s="182" t="n">
        <v>0</v>
      </c>
      <c r="W4018" s="182" t="n">
        <v>0</v>
      </c>
      <c r="X4018" s="182" t="n">
        <v>0</v>
      </c>
      <c r="Y4018" s="182" t="n">
        <v>0</v>
      </c>
      <c r="Z4018" s="182" t="n">
        <v>0</v>
      </c>
      <c r="AA4018" s="182" t="n">
        <v>0</v>
      </c>
      <c r="AB4018" s="182" t="n">
        <v>0</v>
      </c>
      <c r="AC4018" s="182" t="n">
        <v>0</v>
      </c>
      <c r="AD4018" s="182" t="n">
        <v>0</v>
      </c>
      <c r="AE4018" s="182" t="n">
        <v>0</v>
      </c>
      <c r="AF4018" s="182" t="n">
        <v>0</v>
      </c>
      <c r="AG4018" s="182" t="n">
        <v>0</v>
      </c>
      <c r="AH4018" s="182" t="n">
        <v>0</v>
      </c>
      <c r="AI4018" s="182" t="n">
        <v>0</v>
      </c>
      <c r="AJ4018" s="182" t="n">
        <v>0</v>
      </c>
      <c r="AK4018" s="182" t="n">
        <v>0</v>
      </c>
      <c r="AL4018" s="182" t="n">
        <v>0</v>
      </c>
      <c r="AM4018" s="182" t="n">
        <v>0</v>
      </c>
      <c r="AN4018" s="182" t="n">
        <v>0</v>
      </c>
    </row>
    <row r="4019">
      <c r="A4019" s="155" t="n">
        <v>46100</v>
      </c>
      <c r="B4019" s="156" t="inlineStr">
        <is>
          <t>DS</t>
        </is>
      </c>
      <c r="C4019" s="156" t="inlineStr">
        <is>
          <t>DT-806</t>
        </is>
      </c>
      <c r="D4019" s="156" t="inlineStr">
        <is>
          <t>SKT 80S</t>
        </is>
      </c>
      <c r="E4019" s="156" t="inlineStr">
        <is>
          <t>Hauler</t>
        </is>
      </c>
      <c r="F4019" s="156" t="inlineStr"/>
      <c r="G4019" s="182" t="n">
        <v>0</v>
      </c>
      <c r="H4019" s="182" t="n">
        <v>0</v>
      </c>
      <c r="I4019" s="182" t="n">
        <v>12</v>
      </c>
      <c r="J4019" s="182" t="n">
        <v>12</v>
      </c>
      <c r="K4019" s="182" t="n">
        <v>0</v>
      </c>
      <c r="L4019" s="182" t="n">
        <v>12</v>
      </c>
      <c r="M4019" s="182" t="n">
        <v>0</v>
      </c>
      <c r="N4019" s="182" t="n">
        <v>0</v>
      </c>
      <c r="O4019" s="183" t="n">
        <v>0</v>
      </c>
      <c r="P4019" s="183" t="n">
        <v>0</v>
      </c>
      <c r="Q4019" s="184" t="n">
        <v>0</v>
      </c>
      <c r="R4019" s="184" t="n">
        <v>0</v>
      </c>
      <c r="S4019" s="183" t="n">
        <v>0</v>
      </c>
      <c r="T4019" s="183" t="n">
        <v>0</v>
      </c>
      <c r="U4019" s="182" t="n">
        <v>0</v>
      </c>
      <c r="V4019" s="182" t="n">
        <v>0</v>
      </c>
      <c r="W4019" s="182" t="n">
        <v>0</v>
      </c>
      <c r="X4019" s="182" t="n">
        <v>0</v>
      </c>
      <c r="Y4019" s="182" t="n">
        <v>0</v>
      </c>
      <c r="Z4019" s="182" t="n">
        <v>0</v>
      </c>
      <c r="AA4019" s="182" t="n">
        <v>0</v>
      </c>
      <c r="AB4019" s="182" t="n">
        <v>0</v>
      </c>
      <c r="AC4019" s="182" t="n">
        <v>0</v>
      </c>
      <c r="AD4019" s="182" t="n">
        <v>0</v>
      </c>
      <c r="AE4019" s="182" t="n">
        <v>0</v>
      </c>
      <c r="AF4019" s="182" t="n">
        <v>0</v>
      </c>
      <c r="AG4019" s="182" t="n">
        <v>0</v>
      </c>
      <c r="AH4019" s="182" t="n">
        <v>0</v>
      </c>
      <c r="AI4019" s="182" t="n">
        <v>0</v>
      </c>
      <c r="AJ4019" s="182" t="n">
        <v>0</v>
      </c>
      <c r="AK4019" s="182" t="n">
        <v>0</v>
      </c>
      <c r="AL4019" s="182" t="n">
        <v>0</v>
      </c>
      <c r="AM4019" s="182" t="n">
        <v>0</v>
      </c>
      <c r="AN4019" s="182" t="n">
        <v>0</v>
      </c>
    </row>
    <row r="4020">
      <c r="A4020" s="155" t="n">
        <v>46100</v>
      </c>
      <c r="B4020" s="156" t="inlineStr">
        <is>
          <t>DS</t>
        </is>
      </c>
      <c r="C4020" s="156" t="inlineStr">
        <is>
          <t>DT-805</t>
        </is>
      </c>
      <c r="D4020" s="156" t="inlineStr">
        <is>
          <t>SKT 80S</t>
        </is>
      </c>
      <c r="E4020" s="156" t="inlineStr">
        <is>
          <t>Hauler</t>
        </is>
      </c>
      <c r="F4020" s="156" t="inlineStr"/>
      <c r="G4020" s="182" t="n">
        <v>0</v>
      </c>
      <c r="H4020" s="182" t="n">
        <v>0</v>
      </c>
      <c r="I4020" s="182" t="n">
        <v>12</v>
      </c>
      <c r="J4020" s="182" t="n">
        <v>12</v>
      </c>
      <c r="K4020" s="182" t="n">
        <v>0</v>
      </c>
      <c r="L4020" s="182" t="n">
        <v>12</v>
      </c>
      <c r="M4020" s="182" t="n">
        <v>0</v>
      </c>
      <c r="N4020" s="182" t="n">
        <v>0</v>
      </c>
      <c r="O4020" s="183" t="n">
        <v>0</v>
      </c>
      <c r="P4020" s="183" t="n">
        <v>0</v>
      </c>
      <c r="Q4020" s="184" t="n">
        <v>0</v>
      </c>
      <c r="R4020" s="184" t="n">
        <v>0</v>
      </c>
      <c r="S4020" s="183" t="n">
        <v>0</v>
      </c>
      <c r="T4020" s="183" t="n">
        <v>0</v>
      </c>
      <c r="U4020" s="182" t="n">
        <v>0</v>
      </c>
      <c r="V4020" s="182" t="n">
        <v>0</v>
      </c>
      <c r="W4020" s="182" t="n">
        <v>0</v>
      </c>
      <c r="X4020" s="182" t="n">
        <v>0</v>
      </c>
      <c r="Y4020" s="182" t="n">
        <v>0</v>
      </c>
      <c r="Z4020" s="182" t="n">
        <v>0</v>
      </c>
      <c r="AA4020" s="182" t="n">
        <v>0</v>
      </c>
      <c r="AB4020" s="182" t="n">
        <v>0</v>
      </c>
      <c r="AC4020" s="182" t="n">
        <v>0</v>
      </c>
      <c r="AD4020" s="182" t="n">
        <v>0</v>
      </c>
      <c r="AE4020" s="182" t="n">
        <v>0</v>
      </c>
      <c r="AF4020" s="182" t="n">
        <v>0</v>
      </c>
      <c r="AG4020" s="182" t="n">
        <v>0</v>
      </c>
      <c r="AH4020" s="182" t="n">
        <v>0</v>
      </c>
      <c r="AI4020" s="182" t="n">
        <v>0</v>
      </c>
      <c r="AJ4020" s="182" t="n">
        <v>0</v>
      </c>
      <c r="AK4020" s="182" t="n">
        <v>0</v>
      </c>
      <c r="AL4020" s="182" t="n">
        <v>0</v>
      </c>
      <c r="AM4020" s="182" t="n">
        <v>0</v>
      </c>
      <c r="AN4020" s="182" t="n">
        <v>0</v>
      </c>
    </row>
    <row r="4021">
      <c r="A4021" s="155" t="n">
        <v>46100</v>
      </c>
      <c r="B4021" s="156" t="inlineStr">
        <is>
          <t>DS</t>
        </is>
      </c>
      <c r="C4021" s="156" t="inlineStr">
        <is>
          <t>DT-801</t>
        </is>
      </c>
      <c r="D4021" s="156" t="inlineStr">
        <is>
          <t>SKT 80S</t>
        </is>
      </c>
      <c r="E4021" s="156" t="inlineStr">
        <is>
          <t>Hauler</t>
        </is>
      </c>
      <c r="F4021" s="156" t="inlineStr"/>
      <c r="G4021" s="182" t="n">
        <v>0</v>
      </c>
      <c r="H4021" s="182" t="n">
        <v>0</v>
      </c>
      <c r="I4021" s="182" t="n">
        <v>12</v>
      </c>
      <c r="J4021" s="182" t="n">
        <v>12</v>
      </c>
      <c r="K4021" s="182" t="n">
        <v>0</v>
      </c>
      <c r="L4021" s="182" t="n">
        <v>12</v>
      </c>
      <c r="M4021" s="182" t="n">
        <v>0</v>
      </c>
      <c r="N4021" s="182" t="n">
        <v>0</v>
      </c>
      <c r="O4021" s="183" t="n">
        <v>0</v>
      </c>
      <c r="P4021" s="183" t="n">
        <v>0</v>
      </c>
      <c r="Q4021" s="184" t="n">
        <v>0</v>
      </c>
      <c r="R4021" s="184" t="n">
        <v>0</v>
      </c>
      <c r="S4021" s="183" t="n">
        <v>0</v>
      </c>
      <c r="T4021" s="183" t="n">
        <v>0</v>
      </c>
      <c r="U4021" s="182" t="n">
        <v>0</v>
      </c>
      <c r="V4021" s="182" t="n">
        <v>0</v>
      </c>
      <c r="W4021" s="182" t="n">
        <v>0</v>
      </c>
      <c r="X4021" s="182" t="n">
        <v>0</v>
      </c>
      <c r="Y4021" s="182" t="n">
        <v>0</v>
      </c>
      <c r="Z4021" s="182" t="n">
        <v>0</v>
      </c>
      <c r="AA4021" s="182" t="n">
        <v>0</v>
      </c>
      <c r="AB4021" s="182" t="n">
        <v>0</v>
      </c>
      <c r="AC4021" s="182" t="n">
        <v>0</v>
      </c>
      <c r="AD4021" s="182" t="n">
        <v>0</v>
      </c>
      <c r="AE4021" s="182" t="n">
        <v>0</v>
      </c>
      <c r="AF4021" s="182" t="n">
        <v>0</v>
      </c>
      <c r="AG4021" s="182" t="n">
        <v>0</v>
      </c>
      <c r="AH4021" s="182" t="n">
        <v>0</v>
      </c>
      <c r="AI4021" s="182" t="n">
        <v>0</v>
      </c>
      <c r="AJ4021" s="182" t="n">
        <v>0</v>
      </c>
      <c r="AK4021" s="182" t="n">
        <v>0</v>
      </c>
      <c r="AL4021" s="182" t="n">
        <v>0</v>
      </c>
      <c r="AM4021" s="182" t="n">
        <v>0</v>
      </c>
      <c r="AN4021" s="182" t="n">
        <v>0</v>
      </c>
    </row>
    <row r="4022">
      <c r="A4022" s="155" t="n">
        <v>46100</v>
      </c>
      <c r="B4022" s="156" t="inlineStr">
        <is>
          <t>DS</t>
        </is>
      </c>
      <c r="C4022" s="156" t="inlineStr">
        <is>
          <t>DT-808</t>
        </is>
      </c>
      <c r="D4022" s="156" t="inlineStr">
        <is>
          <t>SKT 80S</t>
        </is>
      </c>
      <c r="E4022" s="156" t="inlineStr">
        <is>
          <t>Hauler</t>
        </is>
      </c>
      <c r="F4022" s="156" t="inlineStr">
        <is>
          <t>Support Washing Plant</t>
        </is>
      </c>
      <c r="G4022" s="182" t="n">
        <v>3.12</v>
      </c>
      <c r="H4022" s="182" t="n">
        <v>0</v>
      </c>
      <c r="I4022" s="182" t="n">
        <v>0.57</v>
      </c>
      <c r="J4022" s="182" t="n">
        <v>0.57</v>
      </c>
      <c r="K4022" s="182" t="n">
        <v>8.31</v>
      </c>
      <c r="L4022" s="182" t="n">
        <v>12</v>
      </c>
      <c r="M4022" s="182" t="n">
        <v>0</v>
      </c>
      <c r="N4022" s="182" t="n">
        <v>0</v>
      </c>
      <c r="O4022" s="183" t="n">
        <v>0</v>
      </c>
      <c r="P4022" s="183" t="n">
        <v>0</v>
      </c>
      <c r="Q4022" s="184" t="n">
        <v>0</v>
      </c>
      <c r="R4022" s="184" t="n">
        <v>0</v>
      </c>
      <c r="S4022" s="183" t="n">
        <v>0</v>
      </c>
      <c r="T4022" s="183" t="n">
        <v>0</v>
      </c>
      <c r="U4022" s="182" t="n">
        <v>4.93</v>
      </c>
      <c r="V4022" s="182" t="n">
        <v>2.32</v>
      </c>
      <c r="W4022" s="182" t="n">
        <v>0</v>
      </c>
      <c r="X4022" s="182" t="n">
        <v>0.99</v>
      </c>
      <c r="Y4022" s="182" t="n">
        <v>0</v>
      </c>
      <c r="Z4022" s="182" t="n">
        <v>0</v>
      </c>
      <c r="AA4022" s="182" t="n">
        <v>0</v>
      </c>
      <c r="AB4022" s="182" t="n">
        <v>0</v>
      </c>
      <c r="AC4022" s="182" t="n">
        <v>0</v>
      </c>
      <c r="AD4022" s="182" t="n">
        <v>0</v>
      </c>
      <c r="AE4022" s="182" t="n">
        <v>0</v>
      </c>
      <c r="AF4022" s="182" t="n">
        <v>0</v>
      </c>
      <c r="AG4022" s="182" t="n">
        <v>0</v>
      </c>
      <c r="AH4022" s="182" t="n">
        <v>0</v>
      </c>
      <c r="AI4022" s="182" t="n">
        <v>0</v>
      </c>
      <c r="AJ4022" s="182" t="n">
        <v>0</v>
      </c>
      <c r="AK4022" s="182" t="n">
        <v>0</v>
      </c>
      <c r="AL4022" s="182" t="n">
        <v>0</v>
      </c>
      <c r="AM4022" s="182" t="n">
        <v>0.08</v>
      </c>
      <c r="AN4022" s="182" t="n">
        <v>0</v>
      </c>
    </row>
    <row r="4023">
      <c r="A4023" s="155" t="n">
        <v>46100</v>
      </c>
      <c r="B4023" s="156" t="inlineStr">
        <is>
          <t>DS</t>
        </is>
      </c>
      <c r="C4023" s="156" t="inlineStr">
        <is>
          <t>DT-811</t>
        </is>
      </c>
      <c r="D4023" s="156" t="inlineStr">
        <is>
          <t>SKT 80S</t>
        </is>
      </c>
      <c r="E4023" s="156" t="inlineStr">
        <is>
          <t>Hauler</t>
        </is>
      </c>
      <c r="F4023" s="156" t="inlineStr">
        <is>
          <t>Travel</t>
        </is>
      </c>
      <c r="G4023" s="182" t="n">
        <v>0.1</v>
      </c>
      <c r="H4023" s="182" t="n">
        <v>0</v>
      </c>
      <c r="I4023" s="182" t="n">
        <v>0</v>
      </c>
      <c r="J4023" s="182" t="n">
        <v>0</v>
      </c>
      <c r="K4023" s="182" t="n">
        <v>11.9</v>
      </c>
      <c r="L4023" s="182" t="n">
        <v>12</v>
      </c>
      <c r="M4023" s="182" t="n">
        <v>0</v>
      </c>
      <c r="N4023" s="182" t="n">
        <v>0</v>
      </c>
      <c r="O4023" s="183" t="n">
        <v>0</v>
      </c>
      <c r="P4023" s="183" t="n">
        <v>0</v>
      </c>
      <c r="Q4023" s="184" t="n">
        <v>0</v>
      </c>
      <c r="R4023" s="184" t="n">
        <v>0</v>
      </c>
      <c r="S4023" s="183" t="n">
        <v>0</v>
      </c>
      <c r="T4023" s="183" t="n">
        <v>0</v>
      </c>
      <c r="U4023" s="182" t="n">
        <v>5</v>
      </c>
      <c r="V4023" s="182" t="n">
        <v>3</v>
      </c>
      <c r="W4023" s="182" t="n">
        <v>0</v>
      </c>
      <c r="X4023" s="182" t="n">
        <v>1</v>
      </c>
      <c r="Y4023" s="182" t="n">
        <v>0</v>
      </c>
      <c r="Z4023" s="182" t="n">
        <v>0</v>
      </c>
      <c r="AA4023" s="182" t="n">
        <v>0</v>
      </c>
      <c r="AB4023" s="182" t="n">
        <v>0</v>
      </c>
      <c r="AC4023" s="182" t="n">
        <v>0</v>
      </c>
      <c r="AD4023" s="182" t="n">
        <v>0</v>
      </c>
      <c r="AE4023" s="182" t="n">
        <v>0</v>
      </c>
      <c r="AF4023" s="182" t="n">
        <v>0</v>
      </c>
      <c r="AG4023" s="182" t="n">
        <v>0</v>
      </c>
      <c r="AH4023" s="182" t="n">
        <v>0</v>
      </c>
      <c r="AI4023" s="182" t="n">
        <v>0</v>
      </c>
      <c r="AJ4023" s="182" t="n">
        <v>0</v>
      </c>
      <c r="AK4023" s="182" t="n">
        <v>2.82</v>
      </c>
      <c r="AL4023" s="182" t="n">
        <v>0</v>
      </c>
      <c r="AM4023" s="182" t="n">
        <v>0.08</v>
      </c>
      <c r="AN4023" s="182" t="n">
        <v>0</v>
      </c>
    </row>
    <row r="4024">
      <c r="A4024" s="155" t="n">
        <v>46100</v>
      </c>
      <c r="B4024" s="156" t="inlineStr">
        <is>
          <t>DS</t>
        </is>
      </c>
      <c r="C4024" s="156" t="inlineStr">
        <is>
          <t>DT-802</t>
        </is>
      </c>
      <c r="D4024" s="156" t="inlineStr">
        <is>
          <t>SKT 80S</t>
        </is>
      </c>
      <c r="E4024" s="156" t="inlineStr">
        <is>
          <t>Hauler</t>
        </is>
      </c>
      <c r="F4024" s="156" t="inlineStr"/>
      <c r="G4024" s="182" t="n">
        <v>0</v>
      </c>
      <c r="H4024" s="182" t="n">
        <v>0</v>
      </c>
      <c r="I4024" s="182" t="n">
        <v>12</v>
      </c>
      <c r="J4024" s="182" t="n">
        <v>12</v>
      </c>
      <c r="K4024" s="182" t="n">
        <v>0</v>
      </c>
      <c r="L4024" s="182" t="n">
        <v>12</v>
      </c>
      <c r="M4024" s="182" t="n">
        <v>0</v>
      </c>
      <c r="N4024" s="182" t="n">
        <v>0</v>
      </c>
      <c r="O4024" s="183" t="n">
        <v>0</v>
      </c>
      <c r="P4024" s="183" t="n">
        <v>0</v>
      </c>
      <c r="Q4024" s="184" t="n">
        <v>0</v>
      </c>
      <c r="R4024" s="184" t="n">
        <v>0</v>
      </c>
      <c r="S4024" s="183" t="n">
        <v>0</v>
      </c>
      <c r="T4024" s="183" t="n">
        <v>0</v>
      </c>
      <c r="U4024" s="182" t="n">
        <v>0</v>
      </c>
      <c r="V4024" s="182" t="n">
        <v>0</v>
      </c>
      <c r="W4024" s="182" t="n">
        <v>0</v>
      </c>
      <c r="X4024" s="182" t="n">
        <v>0</v>
      </c>
      <c r="Y4024" s="182" t="n">
        <v>0</v>
      </c>
      <c r="Z4024" s="182" t="n">
        <v>0</v>
      </c>
      <c r="AA4024" s="182" t="n">
        <v>0</v>
      </c>
      <c r="AB4024" s="182" t="n">
        <v>0</v>
      </c>
      <c r="AC4024" s="182" t="n">
        <v>0</v>
      </c>
      <c r="AD4024" s="182" t="n">
        <v>0</v>
      </c>
      <c r="AE4024" s="182" t="n">
        <v>0</v>
      </c>
      <c r="AF4024" s="182" t="n">
        <v>0</v>
      </c>
      <c r="AG4024" s="182" t="n">
        <v>0</v>
      </c>
      <c r="AH4024" s="182" t="n">
        <v>0</v>
      </c>
      <c r="AI4024" s="182" t="n">
        <v>0</v>
      </c>
      <c r="AJ4024" s="182" t="n">
        <v>0</v>
      </c>
      <c r="AK4024" s="182" t="n">
        <v>0</v>
      </c>
      <c r="AL4024" s="182" t="n">
        <v>0</v>
      </c>
      <c r="AM4024" s="182" t="n">
        <v>0</v>
      </c>
      <c r="AN4024" s="182" t="n">
        <v>0</v>
      </c>
    </row>
    <row r="4025">
      <c r="A4025" s="155" t="n">
        <v>46100</v>
      </c>
      <c r="B4025" s="156" t="inlineStr">
        <is>
          <t>DS</t>
        </is>
      </c>
      <c r="C4025" s="156" t="inlineStr">
        <is>
          <t>DT-807</t>
        </is>
      </c>
      <c r="D4025" s="156" t="inlineStr">
        <is>
          <t>SKT 80S</t>
        </is>
      </c>
      <c r="E4025" s="156" t="inlineStr">
        <is>
          <t>Hauler</t>
        </is>
      </c>
      <c r="F4025" s="156" t="inlineStr"/>
      <c r="G4025" s="182" t="n">
        <v>0</v>
      </c>
      <c r="H4025" s="182" t="n">
        <v>0</v>
      </c>
      <c r="I4025" s="182" t="n">
        <v>12</v>
      </c>
      <c r="J4025" s="182" t="n">
        <v>12</v>
      </c>
      <c r="K4025" s="182" t="n">
        <v>0</v>
      </c>
      <c r="L4025" s="182" t="n">
        <v>12</v>
      </c>
      <c r="M4025" s="182" t="n">
        <v>0</v>
      </c>
      <c r="N4025" s="182" t="n">
        <v>0</v>
      </c>
      <c r="O4025" s="183" t="n">
        <v>0</v>
      </c>
      <c r="P4025" s="183" t="n">
        <v>0</v>
      </c>
      <c r="Q4025" s="184" t="n">
        <v>0</v>
      </c>
      <c r="R4025" s="184" t="n">
        <v>0</v>
      </c>
      <c r="S4025" s="183" t="n">
        <v>0</v>
      </c>
      <c r="T4025" s="183" t="n">
        <v>0</v>
      </c>
      <c r="U4025" s="182" t="n">
        <v>0</v>
      </c>
      <c r="V4025" s="182" t="n">
        <v>0</v>
      </c>
      <c r="W4025" s="182" t="n">
        <v>0</v>
      </c>
      <c r="X4025" s="182" t="n">
        <v>0</v>
      </c>
      <c r="Y4025" s="182" t="n">
        <v>0</v>
      </c>
      <c r="Z4025" s="182" t="n">
        <v>0</v>
      </c>
      <c r="AA4025" s="182" t="n">
        <v>0</v>
      </c>
      <c r="AB4025" s="182" t="n">
        <v>0</v>
      </c>
      <c r="AC4025" s="182" t="n">
        <v>0</v>
      </c>
      <c r="AD4025" s="182" t="n">
        <v>0</v>
      </c>
      <c r="AE4025" s="182" t="n">
        <v>0</v>
      </c>
      <c r="AF4025" s="182" t="n">
        <v>0</v>
      </c>
      <c r="AG4025" s="182" t="n">
        <v>0</v>
      </c>
      <c r="AH4025" s="182" t="n">
        <v>0</v>
      </c>
      <c r="AI4025" s="182" t="n">
        <v>0</v>
      </c>
      <c r="AJ4025" s="182" t="n">
        <v>0</v>
      </c>
      <c r="AK4025" s="182" t="n">
        <v>0</v>
      </c>
      <c r="AL4025" s="182" t="n">
        <v>0</v>
      </c>
      <c r="AM4025" s="182" t="n">
        <v>0</v>
      </c>
      <c r="AN4025" s="182" t="n">
        <v>0</v>
      </c>
    </row>
    <row r="4026">
      <c r="A4026" s="155" t="n">
        <v>46100</v>
      </c>
      <c r="B4026" s="156" t="inlineStr">
        <is>
          <t>DS</t>
        </is>
      </c>
      <c r="C4026" s="156" t="inlineStr">
        <is>
          <t>DT-812</t>
        </is>
      </c>
      <c r="D4026" s="156" t="inlineStr">
        <is>
          <t>SKT 80S</t>
        </is>
      </c>
      <c r="E4026" s="156" t="inlineStr">
        <is>
          <t>Hauler</t>
        </is>
      </c>
      <c r="F4026" s="156" t="inlineStr"/>
      <c r="G4026" s="182" t="n">
        <v>0</v>
      </c>
      <c r="H4026" s="182" t="n">
        <v>0</v>
      </c>
      <c r="I4026" s="182" t="n">
        <v>0</v>
      </c>
      <c r="J4026" s="182" t="n">
        <v>0</v>
      </c>
      <c r="K4026" s="182" t="n">
        <v>12</v>
      </c>
      <c r="L4026" s="182" t="n">
        <v>12</v>
      </c>
      <c r="M4026" s="182" t="n">
        <v>0</v>
      </c>
      <c r="N4026" s="182" t="n">
        <v>0</v>
      </c>
      <c r="O4026" s="183" t="n">
        <v>0</v>
      </c>
      <c r="P4026" s="183" t="n">
        <v>0</v>
      </c>
      <c r="Q4026" s="184" t="n">
        <v>0</v>
      </c>
      <c r="R4026" s="184" t="n">
        <v>0</v>
      </c>
      <c r="S4026" s="183" t="n">
        <v>0</v>
      </c>
      <c r="T4026" s="183" t="n">
        <v>0</v>
      </c>
      <c r="U4026" s="182" t="n">
        <v>5</v>
      </c>
      <c r="V4026" s="182" t="n">
        <v>0</v>
      </c>
      <c r="W4026" s="182" t="n">
        <v>0</v>
      </c>
      <c r="X4026" s="182" t="n">
        <v>1</v>
      </c>
      <c r="Y4026" s="182" t="n">
        <v>0</v>
      </c>
      <c r="Z4026" s="182" t="n">
        <v>0</v>
      </c>
      <c r="AA4026" s="182" t="n">
        <v>0</v>
      </c>
      <c r="AB4026" s="182" t="n">
        <v>0</v>
      </c>
      <c r="AC4026" s="182" t="n">
        <v>0</v>
      </c>
      <c r="AD4026" s="182" t="n">
        <v>0</v>
      </c>
      <c r="AE4026" s="182" t="n">
        <v>0</v>
      </c>
      <c r="AF4026" s="182" t="n">
        <v>0</v>
      </c>
      <c r="AG4026" s="182" t="n">
        <v>0</v>
      </c>
      <c r="AH4026" s="182" t="n">
        <v>0</v>
      </c>
      <c r="AI4026" s="182" t="n">
        <v>0</v>
      </c>
      <c r="AJ4026" s="182" t="n">
        <v>0</v>
      </c>
      <c r="AK4026" s="182" t="n">
        <v>5.92</v>
      </c>
      <c r="AL4026" s="182" t="n">
        <v>0</v>
      </c>
      <c r="AM4026" s="182" t="n">
        <v>0.08</v>
      </c>
      <c r="AN4026" s="182" t="n">
        <v>0</v>
      </c>
    </row>
    <row r="4027">
      <c r="A4027" s="155" t="n">
        <v>46100</v>
      </c>
      <c r="B4027" s="156" t="inlineStr">
        <is>
          <t>DS</t>
        </is>
      </c>
      <c r="C4027" s="156" t="inlineStr">
        <is>
          <t>DT-803</t>
        </is>
      </c>
      <c r="D4027" s="156" t="inlineStr">
        <is>
          <t>SKT 80S</t>
        </is>
      </c>
      <c r="E4027" s="156" t="inlineStr">
        <is>
          <t>Hauler</t>
        </is>
      </c>
      <c r="F4027" s="156" t="inlineStr"/>
      <c r="G4027" s="182" t="n">
        <v>0</v>
      </c>
      <c r="H4027" s="182" t="n">
        <v>0</v>
      </c>
      <c r="I4027" s="182" t="n">
        <v>0</v>
      </c>
      <c r="J4027" s="182" t="n">
        <v>0</v>
      </c>
      <c r="K4027" s="182" t="n">
        <v>12</v>
      </c>
      <c r="L4027" s="182" t="n">
        <v>12</v>
      </c>
      <c r="M4027" s="182" t="n">
        <v>0</v>
      </c>
      <c r="N4027" s="182" t="n">
        <v>0</v>
      </c>
      <c r="O4027" s="183" t="n">
        <v>0</v>
      </c>
      <c r="P4027" s="183" t="n">
        <v>0</v>
      </c>
      <c r="Q4027" s="184" t="n">
        <v>0</v>
      </c>
      <c r="R4027" s="184" t="n">
        <v>0</v>
      </c>
      <c r="S4027" s="183" t="n">
        <v>0</v>
      </c>
      <c r="T4027" s="183" t="n">
        <v>0</v>
      </c>
      <c r="U4027" s="182" t="n">
        <v>5</v>
      </c>
      <c r="V4027" s="182" t="n">
        <v>0</v>
      </c>
      <c r="W4027" s="182" t="n">
        <v>0</v>
      </c>
      <c r="X4027" s="182" t="n">
        <v>1</v>
      </c>
      <c r="Y4027" s="182" t="n">
        <v>0</v>
      </c>
      <c r="Z4027" s="182" t="n">
        <v>0</v>
      </c>
      <c r="AA4027" s="182" t="n">
        <v>0</v>
      </c>
      <c r="AB4027" s="182" t="n">
        <v>0</v>
      </c>
      <c r="AC4027" s="182" t="n">
        <v>0</v>
      </c>
      <c r="AD4027" s="182" t="n">
        <v>0</v>
      </c>
      <c r="AE4027" s="182" t="n">
        <v>0</v>
      </c>
      <c r="AF4027" s="182" t="n">
        <v>0</v>
      </c>
      <c r="AG4027" s="182" t="n">
        <v>0</v>
      </c>
      <c r="AH4027" s="182" t="n">
        <v>0</v>
      </c>
      <c r="AI4027" s="182" t="n">
        <v>0</v>
      </c>
      <c r="AJ4027" s="182" t="n">
        <v>0</v>
      </c>
      <c r="AK4027" s="182" t="n">
        <v>5.92</v>
      </c>
      <c r="AL4027" s="182" t="n">
        <v>0</v>
      </c>
      <c r="AM4027" s="182" t="n">
        <v>0.08</v>
      </c>
      <c r="AN4027" s="182" t="n">
        <v>0</v>
      </c>
    </row>
    <row r="4028">
      <c r="A4028" s="155" t="n">
        <v>46100</v>
      </c>
      <c r="B4028" s="156" t="inlineStr">
        <is>
          <t>DS</t>
        </is>
      </c>
      <c r="C4028" s="156" t="inlineStr">
        <is>
          <t>DT-810</t>
        </is>
      </c>
      <c r="D4028" s="156" t="inlineStr">
        <is>
          <t>SKT 80S</t>
        </is>
      </c>
      <c r="E4028" s="156" t="inlineStr">
        <is>
          <t>Hauler</t>
        </is>
      </c>
      <c r="F4028" s="156" t="inlineStr"/>
      <c r="G4028" s="182" t="n">
        <v>0</v>
      </c>
      <c r="H4028" s="182" t="n">
        <v>0</v>
      </c>
      <c r="I4028" s="182" t="n">
        <v>0</v>
      </c>
      <c r="J4028" s="182" t="n">
        <v>0</v>
      </c>
      <c r="K4028" s="182" t="n">
        <v>12</v>
      </c>
      <c r="L4028" s="182" t="n">
        <v>12</v>
      </c>
      <c r="M4028" s="182" t="n">
        <v>0</v>
      </c>
      <c r="N4028" s="182" t="n">
        <v>0</v>
      </c>
      <c r="O4028" s="183" t="n">
        <v>0</v>
      </c>
      <c r="P4028" s="183" t="n">
        <v>0</v>
      </c>
      <c r="Q4028" s="184" t="n">
        <v>0</v>
      </c>
      <c r="R4028" s="184" t="n">
        <v>0</v>
      </c>
      <c r="S4028" s="183" t="n">
        <v>0</v>
      </c>
      <c r="T4028" s="183" t="n">
        <v>0</v>
      </c>
      <c r="U4028" s="182" t="n">
        <v>5</v>
      </c>
      <c r="V4028" s="182" t="n">
        <v>0</v>
      </c>
      <c r="W4028" s="182" t="n">
        <v>0</v>
      </c>
      <c r="X4028" s="182" t="n">
        <v>1</v>
      </c>
      <c r="Y4028" s="182" t="n">
        <v>0</v>
      </c>
      <c r="Z4028" s="182" t="n">
        <v>0</v>
      </c>
      <c r="AA4028" s="182" t="n">
        <v>0</v>
      </c>
      <c r="AB4028" s="182" t="n">
        <v>0</v>
      </c>
      <c r="AC4028" s="182" t="n">
        <v>0</v>
      </c>
      <c r="AD4028" s="182" t="n">
        <v>0</v>
      </c>
      <c r="AE4028" s="182" t="n">
        <v>0</v>
      </c>
      <c r="AF4028" s="182" t="n">
        <v>0</v>
      </c>
      <c r="AG4028" s="182" t="n">
        <v>0</v>
      </c>
      <c r="AH4028" s="182" t="n">
        <v>0</v>
      </c>
      <c r="AI4028" s="182" t="n">
        <v>0</v>
      </c>
      <c r="AJ4028" s="182" t="n">
        <v>0</v>
      </c>
      <c r="AK4028" s="182" t="n">
        <v>5.92</v>
      </c>
      <c r="AL4028" s="182" t="n">
        <v>0</v>
      </c>
      <c r="AM4028" s="182" t="n">
        <v>0.08</v>
      </c>
      <c r="AN4028" s="182" t="n">
        <v>0</v>
      </c>
    </row>
    <row r="4029">
      <c r="A4029" s="155" t="n">
        <v>46100</v>
      </c>
      <c r="B4029" s="156" t="inlineStr">
        <is>
          <t>DS</t>
        </is>
      </c>
      <c r="C4029" s="156" t="inlineStr">
        <is>
          <t>DT-804</t>
        </is>
      </c>
      <c r="D4029" s="156" t="inlineStr">
        <is>
          <t>SKT 80S</t>
        </is>
      </c>
      <c r="E4029" s="156" t="inlineStr">
        <is>
          <t>Hauler</t>
        </is>
      </c>
      <c r="F4029" s="156" t="inlineStr">
        <is>
          <t>Support Washing Plant</t>
        </is>
      </c>
      <c r="G4029" s="182" t="n">
        <v>3.93</v>
      </c>
      <c r="H4029" s="182" t="n">
        <v>0</v>
      </c>
      <c r="I4029" s="182" t="n">
        <v>0</v>
      </c>
      <c r="J4029" s="182" t="n">
        <v>0</v>
      </c>
      <c r="K4029" s="182" t="n">
        <v>8.07</v>
      </c>
      <c r="L4029" s="182" t="n">
        <v>12</v>
      </c>
      <c r="M4029" s="182" t="n">
        <v>0</v>
      </c>
      <c r="N4029" s="182" t="n">
        <v>0</v>
      </c>
      <c r="O4029" s="183" t="n">
        <v>0</v>
      </c>
      <c r="P4029" s="183" t="n">
        <v>0</v>
      </c>
      <c r="Q4029" s="184" t="n">
        <v>0</v>
      </c>
      <c r="R4029" s="184" t="n">
        <v>0</v>
      </c>
      <c r="S4029" s="183" t="n">
        <v>0</v>
      </c>
      <c r="T4029" s="183" t="n">
        <v>0</v>
      </c>
      <c r="U4029" s="182" t="n">
        <v>4.8</v>
      </c>
      <c r="V4029" s="182" t="n">
        <v>2.23</v>
      </c>
      <c r="W4029" s="182" t="n">
        <v>0</v>
      </c>
      <c r="X4029" s="182" t="n">
        <v>0.96</v>
      </c>
      <c r="Y4029" s="182" t="n">
        <v>0</v>
      </c>
      <c r="Z4029" s="182" t="n">
        <v>0</v>
      </c>
      <c r="AA4029" s="182" t="n">
        <v>0</v>
      </c>
      <c r="AB4029" s="182" t="n">
        <v>0</v>
      </c>
      <c r="AC4029" s="182" t="n">
        <v>0</v>
      </c>
      <c r="AD4029" s="182" t="n">
        <v>0</v>
      </c>
      <c r="AE4029" s="182" t="n">
        <v>0</v>
      </c>
      <c r="AF4029" s="182" t="n">
        <v>0</v>
      </c>
      <c r="AG4029" s="182" t="n">
        <v>0</v>
      </c>
      <c r="AH4029" s="182" t="n">
        <v>0</v>
      </c>
      <c r="AI4029" s="182" t="n">
        <v>0</v>
      </c>
      <c r="AJ4029" s="182" t="n">
        <v>0</v>
      </c>
      <c r="AK4029" s="182" t="n">
        <v>0</v>
      </c>
      <c r="AL4029" s="182" t="n">
        <v>0</v>
      </c>
      <c r="AM4029" s="182" t="n">
        <v>0.08</v>
      </c>
      <c r="AN4029" s="182" t="n">
        <v>0</v>
      </c>
    </row>
    <row r="4030">
      <c r="A4030" s="155" t="n">
        <v>46100</v>
      </c>
      <c r="B4030" s="156" t="inlineStr">
        <is>
          <t>DS</t>
        </is>
      </c>
      <c r="C4030" s="156" t="inlineStr">
        <is>
          <t>DT-505</t>
        </is>
      </c>
      <c r="D4030" s="156" t="inlineStr">
        <is>
          <t>SKT 105S</t>
        </is>
      </c>
      <c r="E4030" s="156" t="inlineStr">
        <is>
          <t>Hauler</t>
        </is>
      </c>
      <c r="F4030" s="156" t="inlineStr">
        <is>
          <t>Hauling OB</t>
        </is>
      </c>
      <c r="G4030" s="182" t="n">
        <v>3.72</v>
      </c>
      <c r="H4030" s="182" t="n">
        <v>0</v>
      </c>
      <c r="I4030" s="182" t="n">
        <v>0</v>
      </c>
      <c r="J4030" s="182" t="n">
        <v>0</v>
      </c>
      <c r="K4030" s="182" t="n">
        <v>8.279999999999999</v>
      </c>
      <c r="L4030" s="182" t="n">
        <v>12</v>
      </c>
      <c r="M4030" s="182" t="n">
        <v>3.72</v>
      </c>
      <c r="N4030" s="182" t="n">
        <v>0</v>
      </c>
      <c r="O4030" s="183" t="n">
        <v>19</v>
      </c>
      <c r="P4030" s="183" t="n">
        <v>0</v>
      </c>
      <c r="Q4030" s="184" t="n">
        <v>387.6</v>
      </c>
      <c r="R4030" s="184" t="n">
        <v>0</v>
      </c>
      <c r="S4030" s="183" t="n">
        <v>0</v>
      </c>
      <c r="T4030" s="183" t="n">
        <v>0</v>
      </c>
      <c r="U4030" s="182" t="n">
        <v>4.93</v>
      </c>
      <c r="V4030" s="182" t="n">
        <v>1.97</v>
      </c>
      <c r="W4030" s="182" t="n">
        <v>0</v>
      </c>
      <c r="X4030" s="182" t="n">
        <v>0.99</v>
      </c>
      <c r="Y4030" s="182" t="n">
        <v>0</v>
      </c>
      <c r="Z4030" s="182" t="n">
        <v>0</v>
      </c>
      <c r="AA4030" s="182" t="n">
        <v>0</v>
      </c>
      <c r="AB4030" s="182" t="n">
        <v>0</v>
      </c>
      <c r="AC4030" s="182" t="n">
        <v>0</v>
      </c>
      <c r="AD4030" s="182" t="n">
        <v>0</v>
      </c>
      <c r="AE4030" s="182" t="n">
        <v>0</v>
      </c>
      <c r="AF4030" s="182" t="n">
        <v>0</v>
      </c>
      <c r="AG4030" s="182" t="n">
        <v>0</v>
      </c>
      <c r="AH4030" s="182" t="n">
        <v>0.32</v>
      </c>
      <c r="AI4030" s="182" t="n">
        <v>0</v>
      </c>
      <c r="AJ4030" s="182" t="n">
        <v>0</v>
      </c>
      <c r="AK4030" s="182" t="n">
        <v>0</v>
      </c>
      <c r="AL4030" s="182" t="n">
        <v>0</v>
      </c>
      <c r="AM4030" s="182" t="n">
        <v>0.08</v>
      </c>
      <c r="AN4030" s="182" t="n">
        <v>0</v>
      </c>
    </row>
    <row r="4031">
      <c r="A4031" s="155" t="n">
        <v>46100</v>
      </c>
      <c r="B4031" s="156" t="inlineStr">
        <is>
          <t>DS</t>
        </is>
      </c>
      <c r="C4031" s="156" t="inlineStr">
        <is>
          <t>DT-530</t>
        </is>
      </c>
      <c r="D4031" s="156" t="inlineStr">
        <is>
          <t>SKT 105S</t>
        </is>
      </c>
      <c r="E4031" s="156" t="inlineStr">
        <is>
          <t>Hauler</t>
        </is>
      </c>
      <c r="F4031" s="156" t="inlineStr"/>
      <c r="G4031" s="182" t="n">
        <v>0</v>
      </c>
      <c r="H4031" s="182" t="n">
        <v>0</v>
      </c>
      <c r="I4031" s="182" t="n">
        <v>12</v>
      </c>
      <c r="J4031" s="182" t="n">
        <v>12</v>
      </c>
      <c r="K4031" s="182" t="n">
        <v>0</v>
      </c>
      <c r="L4031" s="182" t="n">
        <v>12</v>
      </c>
      <c r="M4031" s="182" t="n">
        <v>0</v>
      </c>
      <c r="N4031" s="182" t="n">
        <v>0</v>
      </c>
      <c r="O4031" s="183" t="n">
        <v>0</v>
      </c>
      <c r="P4031" s="183" t="n">
        <v>0</v>
      </c>
      <c r="Q4031" s="184" t="n">
        <v>0</v>
      </c>
      <c r="R4031" s="184" t="n">
        <v>0</v>
      </c>
      <c r="S4031" s="183" t="n">
        <v>0</v>
      </c>
      <c r="T4031" s="183" t="n">
        <v>0</v>
      </c>
      <c r="U4031" s="182" t="n">
        <v>0</v>
      </c>
      <c r="V4031" s="182" t="n">
        <v>0</v>
      </c>
      <c r="W4031" s="182" t="n">
        <v>0</v>
      </c>
      <c r="X4031" s="182" t="n">
        <v>0</v>
      </c>
      <c r="Y4031" s="182" t="n">
        <v>0</v>
      </c>
      <c r="Z4031" s="182" t="n">
        <v>0</v>
      </c>
      <c r="AA4031" s="182" t="n">
        <v>0</v>
      </c>
      <c r="AB4031" s="182" t="n">
        <v>0</v>
      </c>
      <c r="AC4031" s="182" t="n">
        <v>0</v>
      </c>
      <c r="AD4031" s="182" t="n">
        <v>0</v>
      </c>
      <c r="AE4031" s="182" t="n">
        <v>0</v>
      </c>
      <c r="AF4031" s="182" t="n">
        <v>0</v>
      </c>
      <c r="AG4031" s="182" t="n">
        <v>0</v>
      </c>
      <c r="AH4031" s="182" t="n">
        <v>0</v>
      </c>
      <c r="AI4031" s="182" t="n">
        <v>0</v>
      </c>
      <c r="AJ4031" s="182" t="n">
        <v>0</v>
      </c>
      <c r="AK4031" s="182" t="n">
        <v>0</v>
      </c>
      <c r="AL4031" s="182" t="n">
        <v>0</v>
      </c>
      <c r="AM4031" s="182" t="n">
        <v>0</v>
      </c>
      <c r="AN4031" s="182" t="n">
        <v>0</v>
      </c>
    </row>
    <row r="4032">
      <c r="A4032" s="155" t="n">
        <v>46100</v>
      </c>
      <c r="B4032" s="156" t="inlineStr">
        <is>
          <t>DS</t>
        </is>
      </c>
      <c r="C4032" s="156" t="inlineStr">
        <is>
          <t>DT-525</t>
        </is>
      </c>
      <c r="D4032" s="156" t="inlineStr">
        <is>
          <t>SKT 105S</t>
        </is>
      </c>
      <c r="E4032" s="156" t="inlineStr">
        <is>
          <t>Hauler</t>
        </is>
      </c>
      <c r="F4032" s="156" t="inlineStr"/>
      <c r="G4032" s="182" t="n">
        <v>0</v>
      </c>
      <c r="H4032" s="182" t="n">
        <v>0</v>
      </c>
      <c r="I4032" s="182" t="n">
        <v>12</v>
      </c>
      <c r="J4032" s="182" t="n">
        <v>12</v>
      </c>
      <c r="K4032" s="182" t="n">
        <v>0</v>
      </c>
      <c r="L4032" s="182" t="n">
        <v>12</v>
      </c>
      <c r="M4032" s="182" t="n">
        <v>0</v>
      </c>
      <c r="N4032" s="182" t="n">
        <v>0</v>
      </c>
      <c r="O4032" s="183" t="n">
        <v>0</v>
      </c>
      <c r="P4032" s="183" t="n">
        <v>0</v>
      </c>
      <c r="Q4032" s="184" t="n">
        <v>0</v>
      </c>
      <c r="R4032" s="184" t="n">
        <v>0</v>
      </c>
      <c r="S4032" s="183" t="n">
        <v>0</v>
      </c>
      <c r="T4032" s="183" t="n">
        <v>0</v>
      </c>
      <c r="U4032" s="182" t="n">
        <v>0</v>
      </c>
      <c r="V4032" s="182" t="n">
        <v>0</v>
      </c>
      <c r="W4032" s="182" t="n">
        <v>0</v>
      </c>
      <c r="X4032" s="182" t="n">
        <v>0</v>
      </c>
      <c r="Y4032" s="182" t="n">
        <v>0</v>
      </c>
      <c r="Z4032" s="182" t="n">
        <v>0</v>
      </c>
      <c r="AA4032" s="182" t="n">
        <v>0</v>
      </c>
      <c r="AB4032" s="182" t="n">
        <v>0</v>
      </c>
      <c r="AC4032" s="182" t="n">
        <v>0</v>
      </c>
      <c r="AD4032" s="182" t="n">
        <v>0</v>
      </c>
      <c r="AE4032" s="182" t="n">
        <v>0</v>
      </c>
      <c r="AF4032" s="182" t="n">
        <v>0</v>
      </c>
      <c r="AG4032" s="182" t="n">
        <v>0</v>
      </c>
      <c r="AH4032" s="182" t="n">
        <v>0</v>
      </c>
      <c r="AI4032" s="182" t="n">
        <v>0</v>
      </c>
      <c r="AJ4032" s="182" t="n">
        <v>0</v>
      </c>
      <c r="AK4032" s="182" t="n">
        <v>0</v>
      </c>
      <c r="AL4032" s="182" t="n">
        <v>0</v>
      </c>
      <c r="AM4032" s="182" t="n">
        <v>0</v>
      </c>
      <c r="AN4032" s="182" t="n">
        <v>0</v>
      </c>
    </row>
    <row r="4033">
      <c r="A4033" s="155" t="n">
        <v>46100</v>
      </c>
      <c r="B4033" s="156" t="inlineStr">
        <is>
          <t>DS</t>
        </is>
      </c>
      <c r="C4033" s="156" t="inlineStr">
        <is>
          <t>DT-503</t>
        </is>
      </c>
      <c r="D4033" s="156" t="inlineStr">
        <is>
          <t>SKT 105S</t>
        </is>
      </c>
      <c r="E4033" s="156" t="inlineStr">
        <is>
          <t>Hauler</t>
        </is>
      </c>
      <c r="F4033" s="156" t="inlineStr"/>
      <c r="G4033" s="182" t="n">
        <v>0</v>
      </c>
      <c r="H4033" s="182" t="n">
        <v>0</v>
      </c>
      <c r="I4033" s="182" t="n">
        <v>0</v>
      </c>
      <c r="J4033" s="182" t="n">
        <v>0</v>
      </c>
      <c r="K4033" s="182" t="n">
        <v>12</v>
      </c>
      <c r="L4033" s="182" t="n">
        <v>12</v>
      </c>
      <c r="M4033" s="182" t="n">
        <v>0</v>
      </c>
      <c r="N4033" s="182" t="n">
        <v>0</v>
      </c>
      <c r="O4033" s="183" t="n">
        <v>0</v>
      </c>
      <c r="P4033" s="183" t="n">
        <v>0</v>
      </c>
      <c r="Q4033" s="184" t="n">
        <v>0</v>
      </c>
      <c r="R4033" s="184" t="n">
        <v>0</v>
      </c>
      <c r="S4033" s="183" t="n">
        <v>0</v>
      </c>
      <c r="T4033" s="183" t="n">
        <v>0</v>
      </c>
      <c r="U4033" s="182" t="n">
        <v>5</v>
      </c>
      <c r="V4033" s="182" t="n">
        <v>3</v>
      </c>
      <c r="W4033" s="182" t="n">
        <v>2.92</v>
      </c>
      <c r="X4033" s="182" t="n">
        <v>1</v>
      </c>
      <c r="Y4033" s="182" t="n">
        <v>0</v>
      </c>
      <c r="Z4033" s="182" t="n">
        <v>0</v>
      </c>
      <c r="AA4033" s="182" t="n">
        <v>0</v>
      </c>
      <c r="AB4033" s="182" t="n">
        <v>0</v>
      </c>
      <c r="AC4033" s="182" t="n">
        <v>0</v>
      </c>
      <c r="AD4033" s="182" t="n">
        <v>0</v>
      </c>
      <c r="AE4033" s="182" t="n">
        <v>0</v>
      </c>
      <c r="AF4033" s="182" t="n">
        <v>0</v>
      </c>
      <c r="AG4033" s="182" t="n">
        <v>0</v>
      </c>
      <c r="AH4033" s="182" t="n">
        <v>0</v>
      </c>
      <c r="AI4033" s="182" t="n">
        <v>0</v>
      </c>
      <c r="AJ4033" s="182" t="n">
        <v>0</v>
      </c>
      <c r="AK4033" s="182" t="n">
        <v>0</v>
      </c>
      <c r="AL4033" s="182" t="n">
        <v>0</v>
      </c>
      <c r="AM4033" s="182" t="n">
        <v>0.08</v>
      </c>
      <c r="AN4033" s="182" t="n">
        <v>0</v>
      </c>
    </row>
    <row r="4034">
      <c r="A4034" s="155" t="n">
        <v>46100</v>
      </c>
      <c r="B4034" s="156" t="inlineStr">
        <is>
          <t>DS</t>
        </is>
      </c>
      <c r="C4034" s="156" t="inlineStr">
        <is>
          <t>DT-504</t>
        </is>
      </c>
      <c r="D4034" s="156" t="inlineStr">
        <is>
          <t>SKT 105S</t>
        </is>
      </c>
      <c r="E4034" s="156" t="inlineStr">
        <is>
          <t>Hauler</t>
        </is>
      </c>
      <c r="F4034" s="156" t="inlineStr"/>
      <c r="G4034" s="182" t="n">
        <v>0</v>
      </c>
      <c r="H4034" s="182" t="n">
        <v>0</v>
      </c>
      <c r="I4034" s="182" t="n">
        <v>0</v>
      </c>
      <c r="J4034" s="182" t="n">
        <v>0</v>
      </c>
      <c r="K4034" s="182" t="n">
        <v>12</v>
      </c>
      <c r="L4034" s="182" t="n">
        <v>12</v>
      </c>
      <c r="M4034" s="182" t="n">
        <v>0</v>
      </c>
      <c r="N4034" s="182" t="n">
        <v>0</v>
      </c>
      <c r="O4034" s="183" t="n">
        <v>0</v>
      </c>
      <c r="P4034" s="183" t="n">
        <v>0</v>
      </c>
      <c r="Q4034" s="184" t="n">
        <v>0</v>
      </c>
      <c r="R4034" s="184" t="n">
        <v>0</v>
      </c>
      <c r="S4034" s="183" t="n">
        <v>0</v>
      </c>
      <c r="T4034" s="183" t="n">
        <v>0</v>
      </c>
      <c r="U4034" s="182" t="n">
        <v>5</v>
      </c>
      <c r="V4034" s="182" t="n">
        <v>3</v>
      </c>
      <c r="W4034" s="182" t="n">
        <v>2.92</v>
      </c>
      <c r="X4034" s="182" t="n">
        <v>1</v>
      </c>
      <c r="Y4034" s="182" t="n">
        <v>0</v>
      </c>
      <c r="Z4034" s="182" t="n">
        <v>0</v>
      </c>
      <c r="AA4034" s="182" t="n">
        <v>0</v>
      </c>
      <c r="AB4034" s="182" t="n">
        <v>0</v>
      </c>
      <c r="AC4034" s="182" t="n">
        <v>0</v>
      </c>
      <c r="AD4034" s="182" t="n">
        <v>0</v>
      </c>
      <c r="AE4034" s="182" t="n">
        <v>0</v>
      </c>
      <c r="AF4034" s="182" t="n">
        <v>0</v>
      </c>
      <c r="AG4034" s="182" t="n">
        <v>0</v>
      </c>
      <c r="AH4034" s="182" t="n">
        <v>0</v>
      </c>
      <c r="AI4034" s="182" t="n">
        <v>0</v>
      </c>
      <c r="AJ4034" s="182" t="n">
        <v>0</v>
      </c>
      <c r="AK4034" s="182" t="n">
        <v>0</v>
      </c>
      <c r="AL4034" s="182" t="n">
        <v>0</v>
      </c>
      <c r="AM4034" s="182" t="n">
        <v>0.08</v>
      </c>
      <c r="AN4034" s="182" t="n">
        <v>0</v>
      </c>
    </row>
    <row r="4035">
      <c r="A4035" s="155" t="n">
        <v>46100</v>
      </c>
      <c r="B4035" s="156" t="inlineStr">
        <is>
          <t>DS</t>
        </is>
      </c>
      <c r="C4035" s="156" t="inlineStr">
        <is>
          <t>DT-507</t>
        </is>
      </c>
      <c r="D4035" s="156" t="inlineStr">
        <is>
          <t>SKT 105S</t>
        </is>
      </c>
      <c r="E4035" s="156" t="inlineStr">
        <is>
          <t>Hauler</t>
        </is>
      </c>
      <c r="F4035" s="156" t="inlineStr"/>
      <c r="G4035" s="182" t="n">
        <v>0</v>
      </c>
      <c r="H4035" s="182" t="n">
        <v>0</v>
      </c>
      <c r="I4035" s="182" t="n">
        <v>0</v>
      </c>
      <c r="J4035" s="182" t="n">
        <v>0</v>
      </c>
      <c r="K4035" s="182" t="n">
        <v>12</v>
      </c>
      <c r="L4035" s="182" t="n">
        <v>12</v>
      </c>
      <c r="M4035" s="182" t="n">
        <v>0</v>
      </c>
      <c r="N4035" s="182" t="n">
        <v>0</v>
      </c>
      <c r="O4035" s="183" t="n">
        <v>0</v>
      </c>
      <c r="P4035" s="183" t="n">
        <v>0</v>
      </c>
      <c r="Q4035" s="184" t="n">
        <v>0</v>
      </c>
      <c r="R4035" s="184" t="n">
        <v>0</v>
      </c>
      <c r="S4035" s="183" t="n">
        <v>0</v>
      </c>
      <c r="T4035" s="183" t="n">
        <v>0</v>
      </c>
      <c r="U4035" s="182" t="n">
        <v>5</v>
      </c>
      <c r="V4035" s="182" t="n">
        <v>3</v>
      </c>
      <c r="W4035" s="182" t="n">
        <v>2.92</v>
      </c>
      <c r="X4035" s="182" t="n">
        <v>1</v>
      </c>
      <c r="Y4035" s="182" t="n">
        <v>0</v>
      </c>
      <c r="Z4035" s="182" t="n">
        <v>0</v>
      </c>
      <c r="AA4035" s="182" t="n">
        <v>0</v>
      </c>
      <c r="AB4035" s="182" t="n">
        <v>0</v>
      </c>
      <c r="AC4035" s="182" t="n">
        <v>0</v>
      </c>
      <c r="AD4035" s="182" t="n">
        <v>0</v>
      </c>
      <c r="AE4035" s="182" t="n">
        <v>0</v>
      </c>
      <c r="AF4035" s="182" t="n">
        <v>0</v>
      </c>
      <c r="AG4035" s="182" t="n">
        <v>0</v>
      </c>
      <c r="AH4035" s="182" t="n">
        <v>0</v>
      </c>
      <c r="AI4035" s="182" t="n">
        <v>0</v>
      </c>
      <c r="AJ4035" s="182" t="n">
        <v>0</v>
      </c>
      <c r="AK4035" s="182" t="n">
        <v>0</v>
      </c>
      <c r="AL4035" s="182" t="n">
        <v>0</v>
      </c>
      <c r="AM4035" s="182" t="n">
        <v>0.08</v>
      </c>
      <c r="AN4035" s="182" t="n">
        <v>0</v>
      </c>
    </row>
    <row r="4036">
      <c r="A4036" s="155" t="n">
        <v>46100</v>
      </c>
      <c r="B4036" s="156" t="inlineStr">
        <is>
          <t>DS</t>
        </is>
      </c>
      <c r="C4036" s="156" t="inlineStr">
        <is>
          <t>DT-501</t>
        </is>
      </c>
      <c r="D4036" s="156" t="inlineStr">
        <is>
          <t>SKT 105S</t>
        </is>
      </c>
      <c r="E4036" s="156" t="inlineStr">
        <is>
          <t>Hauler</t>
        </is>
      </c>
      <c r="F4036" s="156" t="inlineStr"/>
      <c r="G4036" s="182" t="n">
        <v>0</v>
      </c>
      <c r="H4036" s="182" t="n">
        <v>4.2</v>
      </c>
      <c r="I4036" s="182" t="n">
        <v>0</v>
      </c>
      <c r="J4036" s="182" t="n">
        <v>4.2</v>
      </c>
      <c r="K4036" s="182" t="n">
        <v>7.8</v>
      </c>
      <c r="L4036" s="182" t="n">
        <v>12</v>
      </c>
      <c r="M4036" s="182" t="n">
        <v>0</v>
      </c>
      <c r="N4036" s="182" t="n">
        <v>0</v>
      </c>
      <c r="O4036" s="183" t="n">
        <v>0</v>
      </c>
      <c r="P4036" s="183" t="n">
        <v>0</v>
      </c>
      <c r="Q4036" s="184" t="n">
        <v>0</v>
      </c>
      <c r="R4036" s="184" t="n">
        <v>0</v>
      </c>
      <c r="S4036" s="183" t="n">
        <v>0</v>
      </c>
      <c r="T4036" s="183" t="n">
        <v>0</v>
      </c>
      <c r="U4036" s="182" t="n">
        <v>5</v>
      </c>
      <c r="V4036" s="182" t="n">
        <v>1.72</v>
      </c>
      <c r="W4036" s="182" t="n">
        <v>0</v>
      </c>
      <c r="X4036" s="182" t="n">
        <v>1</v>
      </c>
      <c r="Y4036" s="182" t="n">
        <v>0</v>
      </c>
      <c r="Z4036" s="182" t="n">
        <v>0</v>
      </c>
      <c r="AA4036" s="182" t="n">
        <v>0</v>
      </c>
      <c r="AB4036" s="182" t="n">
        <v>0</v>
      </c>
      <c r="AC4036" s="182" t="n">
        <v>0</v>
      </c>
      <c r="AD4036" s="182" t="n">
        <v>0</v>
      </c>
      <c r="AE4036" s="182" t="n">
        <v>0</v>
      </c>
      <c r="AF4036" s="182" t="n">
        <v>0</v>
      </c>
      <c r="AG4036" s="182" t="n">
        <v>0</v>
      </c>
      <c r="AH4036" s="182" t="n">
        <v>0</v>
      </c>
      <c r="AI4036" s="182" t="n">
        <v>0</v>
      </c>
      <c r="AJ4036" s="182" t="n">
        <v>0</v>
      </c>
      <c r="AK4036" s="182" t="n">
        <v>0</v>
      </c>
      <c r="AL4036" s="182" t="n">
        <v>0</v>
      </c>
      <c r="AM4036" s="182" t="n">
        <v>0.08</v>
      </c>
      <c r="AN4036" s="182" t="n">
        <v>0</v>
      </c>
    </row>
    <row r="4037">
      <c r="A4037" s="155" t="n">
        <v>46100</v>
      </c>
      <c r="B4037" s="156" t="inlineStr">
        <is>
          <t>DS</t>
        </is>
      </c>
      <c r="C4037" s="156" t="inlineStr">
        <is>
          <t>DT-518</t>
        </is>
      </c>
      <c r="D4037" s="156" t="inlineStr">
        <is>
          <t>SKT 105S</t>
        </is>
      </c>
      <c r="E4037" s="156" t="inlineStr">
        <is>
          <t>Hauler</t>
        </is>
      </c>
      <c r="F4037" s="156" t="inlineStr">
        <is>
          <t>Hauling Parting &amp; Coal</t>
        </is>
      </c>
      <c r="G4037" s="182" t="n">
        <v>5.23</v>
      </c>
      <c r="H4037" s="182" t="n">
        <v>0</v>
      </c>
      <c r="I4037" s="182" t="n">
        <v>0</v>
      </c>
      <c r="J4037" s="182" t="n">
        <v>0</v>
      </c>
      <c r="K4037" s="182" t="n">
        <v>6.77</v>
      </c>
      <c r="L4037" s="182" t="n">
        <v>12</v>
      </c>
      <c r="M4037" s="182" t="n">
        <v>2.15</v>
      </c>
      <c r="N4037" s="182" t="n">
        <v>3.07</v>
      </c>
      <c r="O4037" s="183" t="n">
        <v>6</v>
      </c>
      <c r="P4037" s="183" t="n">
        <v>6</v>
      </c>
      <c r="Q4037" s="184" t="n">
        <v>118.9</v>
      </c>
      <c r="R4037" s="184" t="n">
        <v>112.2</v>
      </c>
      <c r="S4037" s="183" t="n">
        <v>0</v>
      </c>
      <c r="T4037" s="183" t="n">
        <v>0</v>
      </c>
      <c r="U4037" s="182" t="n">
        <v>4.91</v>
      </c>
      <c r="V4037" s="182" t="n">
        <v>0.8</v>
      </c>
      <c r="W4037" s="182" t="n">
        <v>0</v>
      </c>
      <c r="X4037" s="182" t="n">
        <v>0.98</v>
      </c>
      <c r="Y4037" s="182" t="n">
        <v>0</v>
      </c>
      <c r="Z4037" s="182" t="n">
        <v>0</v>
      </c>
      <c r="AA4037" s="182" t="n">
        <v>0</v>
      </c>
      <c r="AB4037" s="182" t="n">
        <v>0</v>
      </c>
      <c r="AC4037" s="182" t="n">
        <v>0</v>
      </c>
      <c r="AD4037" s="182" t="n">
        <v>0</v>
      </c>
      <c r="AE4037" s="182" t="n">
        <v>0</v>
      </c>
      <c r="AF4037" s="182" t="n">
        <v>0</v>
      </c>
      <c r="AG4037" s="182" t="n">
        <v>0</v>
      </c>
      <c r="AH4037" s="182" t="n">
        <v>0</v>
      </c>
      <c r="AI4037" s="182" t="n">
        <v>0</v>
      </c>
      <c r="AJ4037" s="182" t="n">
        <v>0</v>
      </c>
      <c r="AK4037" s="182" t="n">
        <v>0</v>
      </c>
      <c r="AL4037" s="182" t="n">
        <v>0</v>
      </c>
      <c r="AM4037" s="182" t="n">
        <v>0.08</v>
      </c>
      <c r="AN4037" s="182" t="n">
        <v>0</v>
      </c>
    </row>
    <row r="4038">
      <c r="A4038" s="155" t="n">
        <v>46100</v>
      </c>
      <c r="B4038" s="156" t="inlineStr">
        <is>
          <t>DS</t>
        </is>
      </c>
      <c r="C4038" s="156" t="inlineStr">
        <is>
          <t>DT-514</t>
        </is>
      </c>
      <c r="D4038" s="156" t="inlineStr">
        <is>
          <t>SKT 105S</t>
        </is>
      </c>
      <c r="E4038" s="156" t="inlineStr">
        <is>
          <t>Hauler</t>
        </is>
      </c>
      <c r="F4038" s="156" t="inlineStr"/>
      <c r="G4038" s="182" t="n">
        <v>0</v>
      </c>
      <c r="H4038" s="182" t="n">
        <v>0</v>
      </c>
      <c r="I4038" s="182" t="n">
        <v>12</v>
      </c>
      <c r="J4038" s="182" t="n">
        <v>12</v>
      </c>
      <c r="K4038" s="182" t="n">
        <v>0</v>
      </c>
      <c r="L4038" s="182" t="n">
        <v>12</v>
      </c>
      <c r="M4038" s="182" t="n">
        <v>0</v>
      </c>
      <c r="N4038" s="182" t="n">
        <v>0</v>
      </c>
      <c r="O4038" s="183" t="n">
        <v>0</v>
      </c>
      <c r="P4038" s="183" t="n">
        <v>0</v>
      </c>
      <c r="Q4038" s="184" t="n">
        <v>0</v>
      </c>
      <c r="R4038" s="184" t="n">
        <v>0</v>
      </c>
      <c r="S4038" s="183" t="n">
        <v>0</v>
      </c>
      <c r="T4038" s="183" t="n">
        <v>0</v>
      </c>
      <c r="U4038" s="182" t="n">
        <v>0</v>
      </c>
      <c r="V4038" s="182" t="n">
        <v>0</v>
      </c>
      <c r="W4038" s="182" t="n">
        <v>0</v>
      </c>
      <c r="X4038" s="182" t="n">
        <v>0</v>
      </c>
      <c r="Y4038" s="182" t="n">
        <v>0</v>
      </c>
      <c r="Z4038" s="182" t="n">
        <v>0</v>
      </c>
      <c r="AA4038" s="182" t="n">
        <v>0</v>
      </c>
      <c r="AB4038" s="182" t="n">
        <v>0</v>
      </c>
      <c r="AC4038" s="182" t="n">
        <v>0</v>
      </c>
      <c r="AD4038" s="182" t="n">
        <v>0</v>
      </c>
      <c r="AE4038" s="182" t="n">
        <v>0</v>
      </c>
      <c r="AF4038" s="182" t="n">
        <v>0</v>
      </c>
      <c r="AG4038" s="182" t="n">
        <v>0</v>
      </c>
      <c r="AH4038" s="182" t="n">
        <v>0</v>
      </c>
      <c r="AI4038" s="182" t="n">
        <v>0</v>
      </c>
      <c r="AJ4038" s="182" t="n">
        <v>0</v>
      </c>
      <c r="AK4038" s="182" t="n">
        <v>0</v>
      </c>
      <c r="AL4038" s="182" t="n">
        <v>0</v>
      </c>
      <c r="AM4038" s="182" t="n">
        <v>0</v>
      </c>
      <c r="AN4038" s="182" t="n">
        <v>0</v>
      </c>
    </row>
    <row r="4039">
      <c r="A4039" s="155" t="n">
        <v>46100</v>
      </c>
      <c r="B4039" s="156" t="inlineStr">
        <is>
          <t>DS</t>
        </is>
      </c>
      <c r="C4039" s="156" t="inlineStr">
        <is>
          <t>DT-523</t>
        </is>
      </c>
      <c r="D4039" s="156" t="inlineStr">
        <is>
          <t>SKT 105S</t>
        </is>
      </c>
      <c r="E4039" s="156" t="inlineStr">
        <is>
          <t>Hauler</t>
        </is>
      </c>
      <c r="F4039" s="156" t="inlineStr"/>
      <c r="G4039" s="182" t="n">
        <v>0</v>
      </c>
      <c r="H4039" s="182" t="n">
        <v>0</v>
      </c>
      <c r="I4039" s="182" t="n">
        <v>0</v>
      </c>
      <c r="J4039" s="182" t="n">
        <v>0</v>
      </c>
      <c r="K4039" s="182" t="n">
        <v>12</v>
      </c>
      <c r="L4039" s="182" t="n">
        <v>12</v>
      </c>
      <c r="M4039" s="182" t="n">
        <v>0</v>
      </c>
      <c r="N4039" s="182" t="n">
        <v>0</v>
      </c>
      <c r="O4039" s="183" t="n">
        <v>0</v>
      </c>
      <c r="P4039" s="183" t="n">
        <v>0</v>
      </c>
      <c r="Q4039" s="184" t="n">
        <v>0</v>
      </c>
      <c r="R4039" s="184" t="n">
        <v>0</v>
      </c>
      <c r="S4039" s="183" t="n">
        <v>0</v>
      </c>
      <c r="T4039" s="183" t="n">
        <v>0</v>
      </c>
      <c r="U4039" s="182" t="n">
        <v>5</v>
      </c>
      <c r="V4039" s="182" t="n">
        <v>3</v>
      </c>
      <c r="W4039" s="182" t="n">
        <v>2.92</v>
      </c>
      <c r="X4039" s="182" t="n">
        <v>1</v>
      </c>
      <c r="Y4039" s="182" t="n">
        <v>0</v>
      </c>
      <c r="Z4039" s="182" t="n">
        <v>0</v>
      </c>
      <c r="AA4039" s="182" t="n">
        <v>0</v>
      </c>
      <c r="AB4039" s="182" t="n">
        <v>0</v>
      </c>
      <c r="AC4039" s="182" t="n">
        <v>0</v>
      </c>
      <c r="AD4039" s="182" t="n">
        <v>0</v>
      </c>
      <c r="AE4039" s="182" t="n">
        <v>0</v>
      </c>
      <c r="AF4039" s="182" t="n">
        <v>0</v>
      </c>
      <c r="AG4039" s="182" t="n">
        <v>0</v>
      </c>
      <c r="AH4039" s="182" t="n">
        <v>0</v>
      </c>
      <c r="AI4039" s="182" t="n">
        <v>0</v>
      </c>
      <c r="AJ4039" s="182" t="n">
        <v>0</v>
      </c>
      <c r="AK4039" s="182" t="n">
        <v>0</v>
      </c>
      <c r="AL4039" s="182" t="n">
        <v>0</v>
      </c>
      <c r="AM4039" s="182" t="n">
        <v>0.08</v>
      </c>
      <c r="AN4039" s="182" t="n">
        <v>0</v>
      </c>
    </row>
    <row r="4040">
      <c r="A4040" s="155" t="n">
        <v>46100</v>
      </c>
      <c r="B4040" s="156" t="inlineStr">
        <is>
          <t>DS</t>
        </is>
      </c>
      <c r="C4040" s="156" t="inlineStr">
        <is>
          <t>DT-519</t>
        </is>
      </c>
      <c r="D4040" s="156" t="inlineStr">
        <is>
          <t>SKT 105S</t>
        </is>
      </c>
      <c r="E4040" s="156" t="inlineStr">
        <is>
          <t>Hauler</t>
        </is>
      </c>
      <c r="F4040" s="156" t="inlineStr"/>
      <c r="G4040" s="182" t="n">
        <v>0</v>
      </c>
      <c r="H4040" s="182" t="n">
        <v>0</v>
      </c>
      <c r="I4040" s="182" t="n">
        <v>12</v>
      </c>
      <c r="J4040" s="182" t="n">
        <v>12</v>
      </c>
      <c r="K4040" s="182" t="n">
        <v>0</v>
      </c>
      <c r="L4040" s="182" t="n">
        <v>12</v>
      </c>
      <c r="M4040" s="182" t="n">
        <v>0</v>
      </c>
      <c r="N4040" s="182" t="n">
        <v>0</v>
      </c>
      <c r="O4040" s="183" t="n">
        <v>0</v>
      </c>
      <c r="P4040" s="183" t="n">
        <v>0</v>
      </c>
      <c r="Q4040" s="184" t="n">
        <v>0</v>
      </c>
      <c r="R4040" s="184" t="n">
        <v>0</v>
      </c>
      <c r="S4040" s="183" t="n">
        <v>0</v>
      </c>
      <c r="T4040" s="183" t="n">
        <v>0</v>
      </c>
      <c r="U4040" s="182" t="n">
        <v>0</v>
      </c>
      <c r="V4040" s="182" t="n">
        <v>0</v>
      </c>
      <c r="W4040" s="182" t="n">
        <v>0</v>
      </c>
      <c r="X4040" s="182" t="n">
        <v>0</v>
      </c>
      <c r="Y4040" s="182" t="n">
        <v>0</v>
      </c>
      <c r="Z4040" s="182" t="n">
        <v>0</v>
      </c>
      <c r="AA4040" s="182" t="n">
        <v>0</v>
      </c>
      <c r="AB4040" s="182" t="n">
        <v>0</v>
      </c>
      <c r="AC4040" s="182" t="n">
        <v>0</v>
      </c>
      <c r="AD4040" s="182" t="n">
        <v>0</v>
      </c>
      <c r="AE4040" s="182" t="n">
        <v>0</v>
      </c>
      <c r="AF4040" s="182" t="n">
        <v>0</v>
      </c>
      <c r="AG4040" s="182" t="n">
        <v>0</v>
      </c>
      <c r="AH4040" s="182" t="n">
        <v>0</v>
      </c>
      <c r="AI4040" s="182" t="n">
        <v>0</v>
      </c>
      <c r="AJ4040" s="182" t="n">
        <v>0</v>
      </c>
      <c r="AK4040" s="182" t="n">
        <v>0</v>
      </c>
      <c r="AL4040" s="182" t="n">
        <v>0</v>
      </c>
      <c r="AM4040" s="182" t="n">
        <v>0</v>
      </c>
      <c r="AN4040" s="182" t="n">
        <v>0</v>
      </c>
    </row>
    <row r="4041">
      <c r="A4041" s="155" t="n">
        <v>46100</v>
      </c>
      <c r="B4041" s="156" t="inlineStr">
        <is>
          <t>DS</t>
        </is>
      </c>
      <c r="C4041" s="156" t="inlineStr">
        <is>
          <t>DT-527</t>
        </is>
      </c>
      <c r="D4041" s="156" t="inlineStr">
        <is>
          <t>SKT 105S</t>
        </is>
      </c>
      <c r="E4041" s="156" t="inlineStr">
        <is>
          <t>Hauler</t>
        </is>
      </c>
      <c r="F4041" s="156" t="inlineStr">
        <is>
          <t>Hauling Parting &amp; Coal</t>
        </is>
      </c>
      <c r="G4041" s="182" t="n">
        <v>3.1</v>
      </c>
      <c r="H4041" s="182" t="n">
        <v>0</v>
      </c>
      <c r="I4041" s="182" t="n">
        <v>0</v>
      </c>
      <c r="J4041" s="182" t="n">
        <v>0</v>
      </c>
      <c r="K4041" s="182" t="n">
        <v>8.9</v>
      </c>
      <c r="L4041" s="182" t="n">
        <v>12</v>
      </c>
      <c r="M4041" s="182" t="n">
        <v>0.5</v>
      </c>
      <c r="N4041" s="182" t="n">
        <v>2.6</v>
      </c>
      <c r="O4041" s="183" t="n">
        <v>1</v>
      </c>
      <c r="P4041" s="183" t="n">
        <v>5</v>
      </c>
      <c r="Q4041" s="184" t="n">
        <v>16.3</v>
      </c>
      <c r="R4041" s="184" t="n">
        <v>93.5</v>
      </c>
      <c r="S4041" s="183" t="n">
        <v>0</v>
      </c>
      <c r="T4041" s="183" t="n">
        <v>0</v>
      </c>
      <c r="U4041" s="182" t="n">
        <v>4.68</v>
      </c>
      <c r="V4041" s="182" t="n">
        <v>2.81</v>
      </c>
      <c r="W4041" s="182" t="n">
        <v>0</v>
      </c>
      <c r="X4041" s="182" t="n">
        <v>0.9399999999999999</v>
      </c>
      <c r="Y4041" s="182" t="n">
        <v>0</v>
      </c>
      <c r="Z4041" s="182" t="n">
        <v>0</v>
      </c>
      <c r="AA4041" s="182" t="n">
        <v>0</v>
      </c>
      <c r="AB4041" s="182" t="n">
        <v>0</v>
      </c>
      <c r="AC4041" s="182" t="n">
        <v>0</v>
      </c>
      <c r="AD4041" s="182" t="n">
        <v>0</v>
      </c>
      <c r="AE4041" s="182" t="n">
        <v>0</v>
      </c>
      <c r="AF4041" s="182" t="n">
        <v>0</v>
      </c>
      <c r="AG4041" s="182" t="n">
        <v>0</v>
      </c>
      <c r="AH4041" s="182" t="n">
        <v>0.39</v>
      </c>
      <c r="AI4041" s="182" t="n">
        <v>0</v>
      </c>
      <c r="AJ4041" s="182" t="n">
        <v>0</v>
      </c>
      <c r="AK4041" s="182" t="n">
        <v>0</v>
      </c>
      <c r="AL4041" s="182" t="n">
        <v>0</v>
      </c>
      <c r="AM4041" s="182" t="n">
        <v>0.07000000000000001</v>
      </c>
      <c r="AN4041" s="182" t="n">
        <v>0</v>
      </c>
    </row>
    <row r="4042">
      <c r="A4042" s="155" t="n">
        <v>46100</v>
      </c>
      <c r="B4042" s="156" t="inlineStr">
        <is>
          <t>DS</t>
        </is>
      </c>
      <c r="C4042" s="156" t="inlineStr">
        <is>
          <t>DT-513</t>
        </is>
      </c>
      <c r="D4042" s="156" t="inlineStr">
        <is>
          <t>SKT 105S</t>
        </is>
      </c>
      <c r="E4042" s="156" t="inlineStr">
        <is>
          <t>Hauler</t>
        </is>
      </c>
      <c r="F4042" s="156" t="inlineStr"/>
      <c r="G4042" s="182" t="n">
        <v>0</v>
      </c>
      <c r="H4042" s="182" t="n">
        <v>0</v>
      </c>
      <c r="I4042" s="182" t="n">
        <v>0</v>
      </c>
      <c r="J4042" s="182" t="n">
        <v>0</v>
      </c>
      <c r="K4042" s="182" t="n">
        <v>12</v>
      </c>
      <c r="L4042" s="182" t="n">
        <v>12</v>
      </c>
      <c r="M4042" s="182" t="n">
        <v>0</v>
      </c>
      <c r="N4042" s="182" t="n">
        <v>0</v>
      </c>
      <c r="O4042" s="183" t="n">
        <v>0</v>
      </c>
      <c r="P4042" s="183" t="n">
        <v>0</v>
      </c>
      <c r="Q4042" s="184" t="n">
        <v>0</v>
      </c>
      <c r="R4042" s="184" t="n">
        <v>0</v>
      </c>
      <c r="S4042" s="183" t="n">
        <v>0</v>
      </c>
      <c r="T4042" s="183" t="n">
        <v>0</v>
      </c>
      <c r="U4042" s="182" t="n">
        <v>5</v>
      </c>
      <c r="V4042" s="182" t="n">
        <v>3</v>
      </c>
      <c r="W4042" s="182" t="n">
        <v>2.92</v>
      </c>
      <c r="X4042" s="182" t="n">
        <v>1</v>
      </c>
      <c r="Y4042" s="182" t="n">
        <v>0</v>
      </c>
      <c r="Z4042" s="182" t="n">
        <v>0</v>
      </c>
      <c r="AA4042" s="182" t="n">
        <v>0</v>
      </c>
      <c r="AB4042" s="182" t="n">
        <v>0</v>
      </c>
      <c r="AC4042" s="182" t="n">
        <v>0</v>
      </c>
      <c r="AD4042" s="182" t="n">
        <v>0</v>
      </c>
      <c r="AE4042" s="182" t="n">
        <v>0</v>
      </c>
      <c r="AF4042" s="182" t="n">
        <v>0</v>
      </c>
      <c r="AG4042" s="182" t="n">
        <v>0</v>
      </c>
      <c r="AH4042" s="182" t="n">
        <v>0</v>
      </c>
      <c r="AI4042" s="182" t="n">
        <v>0</v>
      </c>
      <c r="AJ4042" s="182" t="n">
        <v>0</v>
      </c>
      <c r="AK4042" s="182" t="n">
        <v>0</v>
      </c>
      <c r="AL4042" s="182" t="n">
        <v>0</v>
      </c>
      <c r="AM4042" s="182" t="n">
        <v>0.08</v>
      </c>
      <c r="AN4042" s="182" t="n">
        <v>0</v>
      </c>
    </row>
    <row r="4043">
      <c r="A4043" s="155" t="n">
        <v>46100</v>
      </c>
      <c r="B4043" s="156" t="inlineStr">
        <is>
          <t>DS</t>
        </is>
      </c>
      <c r="C4043" s="156" t="inlineStr">
        <is>
          <t>DT-512</t>
        </is>
      </c>
      <c r="D4043" s="156" t="inlineStr">
        <is>
          <t>SKT 105S</t>
        </is>
      </c>
      <c r="E4043" s="156" t="inlineStr">
        <is>
          <t>Hauler</t>
        </is>
      </c>
      <c r="F4043" s="156" t="inlineStr"/>
      <c r="G4043" s="182" t="n">
        <v>0</v>
      </c>
      <c r="H4043" s="182" t="n">
        <v>0</v>
      </c>
      <c r="I4043" s="182" t="n">
        <v>0</v>
      </c>
      <c r="J4043" s="182" t="n">
        <v>0</v>
      </c>
      <c r="K4043" s="182" t="n">
        <v>12</v>
      </c>
      <c r="L4043" s="182" t="n">
        <v>12</v>
      </c>
      <c r="M4043" s="182" t="n">
        <v>0</v>
      </c>
      <c r="N4043" s="182" t="n">
        <v>0</v>
      </c>
      <c r="O4043" s="183" t="n">
        <v>0</v>
      </c>
      <c r="P4043" s="183" t="n">
        <v>0</v>
      </c>
      <c r="Q4043" s="184" t="n">
        <v>0</v>
      </c>
      <c r="R4043" s="184" t="n">
        <v>0</v>
      </c>
      <c r="S4043" s="183" t="n">
        <v>0</v>
      </c>
      <c r="T4043" s="183" t="n">
        <v>0</v>
      </c>
      <c r="U4043" s="182" t="n">
        <v>5</v>
      </c>
      <c r="V4043" s="182" t="n">
        <v>3</v>
      </c>
      <c r="W4043" s="182" t="n">
        <v>2.92</v>
      </c>
      <c r="X4043" s="182" t="n">
        <v>1</v>
      </c>
      <c r="Y4043" s="182" t="n">
        <v>0</v>
      </c>
      <c r="Z4043" s="182" t="n">
        <v>0</v>
      </c>
      <c r="AA4043" s="182" t="n">
        <v>0</v>
      </c>
      <c r="AB4043" s="182" t="n">
        <v>0</v>
      </c>
      <c r="AC4043" s="182" t="n">
        <v>0</v>
      </c>
      <c r="AD4043" s="182" t="n">
        <v>0</v>
      </c>
      <c r="AE4043" s="182" t="n">
        <v>0</v>
      </c>
      <c r="AF4043" s="182" t="n">
        <v>0</v>
      </c>
      <c r="AG4043" s="182" t="n">
        <v>0</v>
      </c>
      <c r="AH4043" s="182" t="n">
        <v>0</v>
      </c>
      <c r="AI4043" s="182" t="n">
        <v>0</v>
      </c>
      <c r="AJ4043" s="182" t="n">
        <v>0</v>
      </c>
      <c r="AK4043" s="182" t="n">
        <v>0</v>
      </c>
      <c r="AL4043" s="182" t="n">
        <v>0</v>
      </c>
      <c r="AM4043" s="182" t="n">
        <v>0.08</v>
      </c>
      <c r="AN4043" s="182" t="n">
        <v>0</v>
      </c>
    </row>
    <row r="4044">
      <c r="A4044" s="155" t="n">
        <v>46100</v>
      </c>
      <c r="B4044" s="156" t="inlineStr">
        <is>
          <t>DS</t>
        </is>
      </c>
      <c r="C4044" s="156" t="inlineStr">
        <is>
          <t>DT-522</t>
        </is>
      </c>
      <c r="D4044" s="156" t="inlineStr">
        <is>
          <t>SKT 105S</t>
        </is>
      </c>
      <c r="E4044" s="156" t="inlineStr">
        <is>
          <t>Hauler</t>
        </is>
      </c>
      <c r="F4044" s="156" t="inlineStr"/>
      <c r="G4044" s="182" t="n">
        <v>0</v>
      </c>
      <c r="H4044" s="182" t="n">
        <v>0</v>
      </c>
      <c r="I4044" s="182" t="n">
        <v>0</v>
      </c>
      <c r="J4044" s="182" t="n">
        <v>0</v>
      </c>
      <c r="K4044" s="182" t="n">
        <v>12</v>
      </c>
      <c r="L4044" s="182" t="n">
        <v>12</v>
      </c>
      <c r="M4044" s="182" t="n">
        <v>0</v>
      </c>
      <c r="N4044" s="182" t="n">
        <v>0</v>
      </c>
      <c r="O4044" s="183" t="n">
        <v>0</v>
      </c>
      <c r="P4044" s="183" t="n">
        <v>0</v>
      </c>
      <c r="Q4044" s="184" t="n">
        <v>0</v>
      </c>
      <c r="R4044" s="184" t="n">
        <v>0</v>
      </c>
      <c r="S4044" s="183" t="n">
        <v>0</v>
      </c>
      <c r="T4044" s="183" t="n">
        <v>0</v>
      </c>
      <c r="U4044" s="182" t="n">
        <v>5</v>
      </c>
      <c r="V4044" s="182" t="n">
        <v>3</v>
      </c>
      <c r="W4044" s="182" t="n">
        <v>2.92</v>
      </c>
      <c r="X4044" s="182" t="n">
        <v>1</v>
      </c>
      <c r="Y4044" s="182" t="n">
        <v>0</v>
      </c>
      <c r="Z4044" s="182" t="n">
        <v>0</v>
      </c>
      <c r="AA4044" s="182" t="n">
        <v>0</v>
      </c>
      <c r="AB4044" s="182" t="n">
        <v>0</v>
      </c>
      <c r="AC4044" s="182" t="n">
        <v>0</v>
      </c>
      <c r="AD4044" s="182" t="n">
        <v>0</v>
      </c>
      <c r="AE4044" s="182" t="n">
        <v>0</v>
      </c>
      <c r="AF4044" s="182" t="n">
        <v>0</v>
      </c>
      <c r="AG4044" s="182" t="n">
        <v>0</v>
      </c>
      <c r="AH4044" s="182" t="n">
        <v>0</v>
      </c>
      <c r="AI4044" s="182" t="n">
        <v>0</v>
      </c>
      <c r="AJ4044" s="182" t="n">
        <v>0</v>
      </c>
      <c r="AK4044" s="182" t="n">
        <v>0</v>
      </c>
      <c r="AL4044" s="182" t="n">
        <v>0</v>
      </c>
      <c r="AM4044" s="182" t="n">
        <v>0.08</v>
      </c>
      <c r="AN4044" s="182" t="n">
        <v>0</v>
      </c>
    </row>
    <row r="4045">
      <c r="A4045" s="155" t="n">
        <v>46100</v>
      </c>
      <c r="B4045" s="156" t="inlineStr">
        <is>
          <t>DS</t>
        </is>
      </c>
      <c r="C4045" s="156" t="inlineStr">
        <is>
          <t>DT-517</t>
        </is>
      </c>
      <c r="D4045" s="156" t="inlineStr">
        <is>
          <t>SKT 105S</t>
        </is>
      </c>
      <c r="E4045" s="156" t="inlineStr">
        <is>
          <t>Hauler</t>
        </is>
      </c>
      <c r="F4045" s="156" t="inlineStr">
        <is>
          <t>Hauling Coal</t>
        </is>
      </c>
      <c r="G4045" s="182" t="n">
        <v>6.3</v>
      </c>
      <c r="H4045" s="182" t="n">
        <v>0</v>
      </c>
      <c r="I4045" s="182" t="n">
        <v>0</v>
      </c>
      <c r="J4045" s="182" t="n">
        <v>0</v>
      </c>
      <c r="K4045" s="182" t="n">
        <v>5.7</v>
      </c>
      <c r="L4045" s="182" t="n">
        <v>12</v>
      </c>
      <c r="M4045" s="182" t="n">
        <v>0</v>
      </c>
      <c r="N4045" s="182" t="n">
        <v>6.3</v>
      </c>
      <c r="O4045" s="183" t="n">
        <v>0</v>
      </c>
      <c r="P4045" s="183" t="n">
        <v>2</v>
      </c>
      <c r="Q4045" s="184" t="n">
        <v>0</v>
      </c>
      <c r="R4045" s="184" t="n">
        <v>37.4</v>
      </c>
      <c r="S4045" s="183" t="n">
        <v>0</v>
      </c>
      <c r="T4045" s="183" t="n">
        <v>0</v>
      </c>
      <c r="U4045" s="182" t="n">
        <v>4.67</v>
      </c>
      <c r="V4045" s="182" t="n">
        <v>0</v>
      </c>
      <c r="W4045" s="182" t="n">
        <v>0</v>
      </c>
      <c r="X4045" s="182" t="n">
        <v>0.95</v>
      </c>
      <c r="Y4045" s="182" t="n">
        <v>0</v>
      </c>
      <c r="Z4045" s="182" t="n">
        <v>0</v>
      </c>
      <c r="AA4045" s="182" t="n">
        <v>0</v>
      </c>
      <c r="AB4045" s="182" t="n">
        <v>0</v>
      </c>
      <c r="AC4045" s="182" t="n">
        <v>0</v>
      </c>
      <c r="AD4045" s="182" t="n">
        <v>0</v>
      </c>
      <c r="AE4045" s="182" t="n">
        <v>0</v>
      </c>
      <c r="AF4045" s="182" t="n">
        <v>0</v>
      </c>
      <c r="AG4045" s="182" t="n">
        <v>0</v>
      </c>
      <c r="AH4045" s="182" t="n">
        <v>0</v>
      </c>
      <c r="AI4045" s="182" t="n">
        <v>0</v>
      </c>
      <c r="AJ4045" s="182" t="n">
        <v>0</v>
      </c>
      <c r="AK4045" s="182" t="n">
        <v>0</v>
      </c>
      <c r="AL4045" s="182" t="n">
        <v>0</v>
      </c>
      <c r="AM4045" s="182" t="n">
        <v>0.08</v>
      </c>
      <c r="AN4045" s="182" t="n">
        <v>0</v>
      </c>
    </row>
    <row r="4046">
      <c r="A4046" s="155" t="n">
        <v>46100</v>
      </c>
      <c r="B4046" s="156" t="inlineStr">
        <is>
          <t>DS</t>
        </is>
      </c>
      <c r="C4046" s="156" t="inlineStr">
        <is>
          <t>DT-510</t>
        </is>
      </c>
      <c r="D4046" s="156" t="inlineStr">
        <is>
          <t>SKT 105S</t>
        </is>
      </c>
      <c r="E4046" s="156" t="inlineStr">
        <is>
          <t>Hauler</t>
        </is>
      </c>
      <c r="F4046" s="156" t="inlineStr"/>
      <c r="G4046" s="182" t="n">
        <v>0</v>
      </c>
      <c r="H4046" s="182" t="n">
        <v>0</v>
      </c>
      <c r="I4046" s="182" t="n">
        <v>0</v>
      </c>
      <c r="J4046" s="182" t="n">
        <v>0</v>
      </c>
      <c r="K4046" s="182" t="n">
        <v>12</v>
      </c>
      <c r="L4046" s="182" t="n">
        <v>12</v>
      </c>
      <c r="M4046" s="182" t="n">
        <v>0</v>
      </c>
      <c r="N4046" s="182" t="n">
        <v>0</v>
      </c>
      <c r="O4046" s="183" t="n">
        <v>0</v>
      </c>
      <c r="P4046" s="183" t="n">
        <v>0</v>
      </c>
      <c r="Q4046" s="184" t="n">
        <v>0</v>
      </c>
      <c r="R4046" s="184" t="n">
        <v>0</v>
      </c>
      <c r="S4046" s="183" t="n">
        <v>0</v>
      </c>
      <c r="T4046" s="183" t="n">
        <v>0</v>
      </c>
      <c r="U4046" s="182" t="n">
        <v>5</v>
      </c>
      <c r="V4046" s="182" t="n">
        <v>3</v>
      </c>
      <c r="W4046" s="182" t="n">
        <v>2.92</v>
      </c>
      <c r="X4046" s="182" t="n">
        <v>1</v>
      </c>
      <c r="Y4046" s="182" t="n">
        <v>0</v>
      </c>
      <c r="Z4046" s="182" t="n">
        <v>0</v>
      </c>
      <c r="AA4046" s="182" t="n">
        <v>0</v>
      </c>
      <c r="AB4046" s="182" t="n">
        <v>0</v>
      </c>
      <c r="AC4046" s="182" t="n">
        <v>0</v>
      </c>
      <c r="AD4046" s="182" t="n">
        <v>0</v>
      </c>
      <c r="AE4046" s="182" t="n">
        <v>0</v>
      </c>
      <c r="AF4046" s="182" t="n">
        <v>0</v>
      </c>
      <c r="AG4046" s="182" t="n">
        <v>0</v>
      </c>
      <c r="AH4046" s="182" t="n">
        <v>0</v>
      </c>
      <c r="AI4046" s="182" t="n">
        <v>0</v>
      </c>
      <c r="AJ4046" s="182" t="n">
        <v>0</v>
      </c>
      <c r="AK4046" s="182" t="n">
        <v>0</v>
      </c>
      <c r="AL4046" s="182" t="n">
        <v>0</v>
      </c>
      <c r="AM4046" s="182" t="n">
        <v>0.08</v>
      </c>
      <c r="AN4046" s="182" t="n">
        <v>0</v>
      </c>
    </row>
    <row r="4047">
      <c r="A4047" s="155" t="n">
        <v>46100</v>
      </c>
      <c r="B4047" s="156" t="inlineStr">
        <is>
          <t>DS</t>
        </is>
      </c>
      <c r="C4047" s="156" t="inlineStr">
        <is>
          <t>DT-521</t>
        </is>
      </c>
      <c r="D4047" s="156" t="inlineStr">
        <is>
          <t>SKT 105S</t>
        </is>
      </c>
      <c r="E4047" s="156" t="inlineStr">
        <is>
          <t>Hauler</t>
        </is>
      </c>
      <c r="F4047" s="156" t="inlineStr">
        <is>
          <t>Hauling OB</t>
        </is>
      </c>
      <c r="G4047" s="182" t="n">
        <v>3.38</v>
      </c>
      <c r="H4047" s="182" t="n">
        <v>0</v>
      </c>
      <c r="I4047" s="182" t="n">
        <v>0</v>
      </c>
      <c r="J4047" s="182" t="n">
        <v>0</v>
      </c>
      <c r="K4047" s="182" t="n">
        <v>8.619999999999999</v>
      </c>
      <c r="L4047" s="182" t="n">
        <v>12</v>
      </c>
      <c r="M4047" s="182" t="n">
        <v>3.38</v>
      </c>
      <c r="N4047" s="182" t="n">
        <v>0</v>
      </c>
      <c r="O4047" s="183" t="n">
        <v>17</v>
      </c>
      <c r="P4047" s="183" t="n">
        <v>0</v>
      </c>
      <c r="Q4047" s="184" t="n">
        <v>346.8</v>
      </c>
      <c r="R4047" s="184" t="n">
        <v>0</v>
      </c>
      <c r="S4047" s="183" t="n">
        <v>0</v>
      </c>
      <c r="T4047" s="183" t="n">
        <v>0</v>
      </c>
      <c r="U4047" s="182" t="n">
        <v>5.26</v>
      </c>
      <c r="V4047" s="182" t="n">
        <v>2.1</v>
      </c>
      <c r="W4047" s="182" t="n">
        <v>0</v>
      </c>
      <c r="X4047" s="182" t="n">
        <v>1.05</v>
      </c>
      <c r="Y4047" s="182" t="n">
        <v>0</v>
      </c>
      <c r="Z4047" s="182" t="n">
        <v>0</v>
      </c>
      <c r="AA4047" s="182" t="n">
        <v>0</v>
      </c>
      <c r="AB4047" s="182" t="n">
        <v>0</v>
      </c>
      <c r="AC4047" s="182" t="n">
        <v>0</v>
      </c>
      <c r="AD4047" s="182" t="n">
        <v>0</v>
      </c>
      <c r="AE4047" s="182" t="n">
        <v>0</v>
      </c>
      <c r="AF4047" s="182" t="n">
        <v>0</v>
      </c>
      <c r="AG4047" s="182" t="n">
        <v>0</v>
      </c>
      <c r="AH4047" s="182" t="n">
        <v>0.13</v>
      </c>
      <c r="AI4047" s="182" t="n">
        <v>0</v>
      </c>
      <c r="AJ4047" s="182" t="n">
        <v>0</v>
      </c>
      <c r="AK4047" s="182" t="n">
        <v>0</v>
      </c>
      <c r="AL4047" s="182" t="n">
        <v>0</v>
      </c>
      <c r="AM4047" s="182" t="n">
        <v>0.08</v>
      </c>
      <c r="AN4047" s="182" t="n">
        <v>0</v>
      </c>
    </row>
    <row r="4048">
      <c r="A4048" s="155" t="n">
        <v>46100</v>
      </c>
      <c r="B4048" s="156" t="inlineStr">
        <is>
          <t>DS</t>
        </is>
      </c>
      <c r="C4048" s="156" t="inlineStr">
        <is>
          <t>DT-516</t>
        </is>
      </c>
      <c r="D4048" s="156" t="inlineStr">
        <is>
          <t>SKT 105S</t>
        </is>
      </c>
      <c r="E4048" s="156" t="inlineStr">
        <is>
          <t>Hauler</t>
        </is>
      </c>
      <c r="F4048" s="156" t="inlineStr"/>
      <c r="G4048" s="182" t="n">
        <v>0</v>
      </c>
      <c r="H4048" s="182" t="n">
        <v>0</v>
      </c>
      <c r="I4048" s="182" t="n">
        <v>0</v>
      </c>
      <c r="J4048" s="182" t="n">
        <v>0</v>
      </c>
      <c r="K4048" s="182" t="n">
        <v>12</v>
      </c>
      <c r="L4048" s="182" t="n">
        <v>12</v>
      </c>
      <c r="M4048" s="182" t="n">
        <v>0</v>
      </c>
      <c r="N4048" s="182" t="n">
        <v>0</v>
      </c>
      <c r="O4048" s="183" t="n">
        <v>0</v>
      </c>
      <c r="P4048" s="183" t="n">
        <v>0</v>
      </c>
      <c r="Q4048" s="184" t="n">
        <v>0</v>
      </c>
      <c r="R4048" s="184" t="n">
        <v>0</v>
      </c>
      <c r="S4048" s="183" t="n">
        <v>0</v>
      </c>
      <c r="T4048" s="183" t="n">
        <v>0</v>
      </c>
      <c r="U4048" s="182" t="n">
        <v>5</v>
      </c>
      <c r="V4048" s="182" t="n">
        <v>3</v>
      </c>
      <c r="W4048" s="182" t="n">
        <v>2.92</v>
      </c>
      <c r="X4048" s="182" t="n">
        <v>1</v>
      </c>
      <c r="Y4048" s="182" t="n">
        <v>0</v>
      </c>
      <c r="Z4048" s="182" t="n">
        <v>0</v>
      </c>
      <c r="AA4048" s="182" t="n">
        <v>0</v>
      </c>
      <c r="AB4048" s="182" t="n">
        <v>0</v>
      </c>
      <c r="AC4048" s="182" t="n">
        <v>0</v>
      </c>
      <c r="AD4048" s="182" t="n">
        <v>0</v>
      </c>
      <c r="AE4048" s="182" t="n">
        <v>0</v>
      </c>
      <c r="AF4048" s="182" t="n">
        <v>0</v>
      </c>
      <c r="AG4048" s="182" t="n">
        <v>0</v>
      </c>
      <c r="AH4048" s="182" t="n">
        <v>0</v>
      </c>
      <c r="AI4048" s="182" t="n">
        <v>0</v>
      </c>
      <c r="AJ4048" s="182" t="n">
        <v>0</v>
      </c>
      <c r="AK4048" s="182" t="n">
        <v>0</v>
      </c>
      <c r="AL4048" s="182" t="n">
        <v>0</v>
      </c>
      <c r="AM4048" s="182" t="n">
        <v>0.08</v>
      </c>
      <c r="AN4048" s="182" t="n">
        <v>0</v>
      </c>
    </row>
    <row r="4049">
      <c r="A4049" s="155" t="n">
        <v>46100</v>
      </c>
      <c r="B4049" s="156" t="inlineStr">
        <is>
          <t>DS</t>
        </is>
      </c>
      <c r="C4049" s="156" t="inlineStr">
        <is>
          <t>DT-506</t>
        </is>
      </c>
      <c r="D4049" s="156" t="inlineStr">
        <is>
          <t>SKT 105S</t>
        </is>
      </c>
      <c r="E4049" s="156" t="inlineStr">
        <is>
          <t>Hauler</t>
        </is>
      </c>
      <c r="F4049" s="156" t="inlineStr">
        <is>
          <t>Hauling Parting &amp; Coal</t>
        </is>
      </c>
      <c r="G4049" s="182" t="n">
        <v>3.28</v>
      </c>
      <c r="H4049" s="182" t="n">
        <v>0</v>
      </c>
      <c r="I4049" s="182" t="n">
        <v>0</v>
      </c>
      <c r="J4049" s="182" t="n">
        <v>0</v>
      </c>
      <c r="K4049" s="182" t="n">
        <v>8.720000000000001</v>
      </c>
      <c r="L4049" s="182" t="n">
        <v>12</v>
      </c>
      <c r="M4049" s="182" t="n">
        <v>0.35</v>
      </c>
      <c r="N4049" s="182" t="n">
        <v>2.93</v>
      </c>
      <c r="O4049" s="183" t="n">
        <v>1</v>
      </c>
      <c r="P4049" s="183" t="n">
        <v>3</v>
      </c>
      <c r="Q4049" s="184" t="n">
        <v>16.3</v>
      </c>
      <c r="R4049" s="184" t="n">
        <v>56.1</v>
      </c>
      <c r="S4049" s="183" t="n">
        <v>0</v>
      </c>
      <c r="T4049" s="183" t="n">
        <v>0</v>
      </c>
      <c r="U4049" s="182" t="n">
        <v>4.74</v>
      </c>
      <c r="V4049" s="182" t="n">
        <v>2.84</v>
      </c>
      <c r="W4049" s="182" t="n">
        <v>0</v>
      </c>
      <c r="X4049" s="182" t="n">
        <v>0.95</v>
      </c>
      <c r="Y4049" s="182" t="n">
        <v>0</v>
      </c>
      <c r="Z4049" s="182" t="n">
        <v>0</v>
      </c>
      <c r="AA4049" s="182" t="n">
        <v>0</v>
      </c>
      <c r="AB4049" s="182" t="n">
        <v>0</v>
      </c>
      <c r="AC4049" s="182" t="n">
        <v>0</v>
      </c>
      <c r="AD4049" s="182" t="n">
        <v>0</v>
      </c>
      <c r="AE4049" s="182" t="n">
        <v>0</v>
      </c>
      <c r="AF4049" s="182" t="n">
        <v>0</v>
      </c>
      <c r="AG4049" s="182" t="n">
        <v>0</v>
      </c>
      <c r="AH4049" s="182" t="n">
        <v>0.11</v>
      </c>
      <c r="AI4049" s="182" t="n">
        <v>0</v>
      </c>
      <c r="AJ4049" s="182" t="n">
        <v>0</v>
      </c>
      <c r="AK4049" s="182" t="n">
        <v>0</v>
      </c>
      <c r="AL4049" s="182" t="n">
        <v>0</v>
      </c>
      <c r="AM4049" s="182" t="n">
        <v>0.08</v>
      </c>
      <c r="AN4049" s="182" t="n">
        <v>0</v>
      </c>
    </row>
    <row r="4050">
      <c r="A4050" s="155" t="n">
        <v>46100</v>
      </c>
      <c r="B4050" s="156" t="inlineStr">
        <is>
          <t>DS</t>
        </is>
      </c>
      <c r="C4050" s="156" t="inlineStr">
        <is>
          <t>DT-502</t>
        </is>
      </c>
      <c r="D4050" s="156" t="inlineStr">
        <is>
          <t>SKT 105S</t>
        </is>
      </c>
      <c r="E4050" s="156" t="inlineStr">
        <is>
          <t>Hauler</t>
        </is>
      </c>
      <c r="F4050" s="156" t="inlineStr"/>
      <c r="G4050" s="182" t="n">
        <v>0</v>
      </c>
      <c r="H4050" s="182" t="n">
        <v>0</v>
      </c>
      <c r="I4050" s="182" t="n">
        <v>12</v>
      </c>
      <c r="J4050" s="182" t="n">
        <v>12</v>
      </c>
      <c r="K4050" s="182" t="n">
        <v>0</v>
      </c>
      <c r="L4050" s="182" t="n">
        <v>12</v>
      </c>
      <c r="M4050" s="182" t="n">
        <v>0</v>
      </c>
      <c r="N4050" s="182" t="n">
        <v>0</v>
      </c>
      <c r="O4050" s="183" t="n">
        <v>0</v>
      </c>
      <c r="P4050" s="183" t="n">
        <v>0</v>
      </c>
      <c r="Q4050" s="184" t="n">
        <v>0</v>
      </c>
      <c r="R4050" s="184" t="n">
        <v>0</v>
      </c>
      <c r="S4050" s="183" t="n">
        <v>0</v>
      </c>
      <c r="T4050" s="183" t="n">
        <v>0</v>
      </c>
      <c r="U4050" s="182" t="n">
        <v>0</v>
      </c>
      <c r="V4050" s="182" t="n">
        <v>0</v>
      </c>
      <c r="W4050" s="182" t="n">
        <v>0</v>
      </c>
      <c r="X4050" s="182" t="n">
        <v>0</v>
      </c>
      <c r="Y4050" s="182" t="n">
        <v>0</v>
      </c>
      <c r="Z4050" s="182" t="n">
        <v>0</v>
      </c>
      <c r="AA4050" s="182" t="n">
        <v>0</v>
      </c>
      <c r="AB4050" s="182" t="n">
        <v>0</v>
      </c>
      <c r="AC4050" s="182" t="n">
        <v>0</v>
      </c>
      <c r="AD4050" s="182" t="n">
        <v>0</v>
      </c>
      <c r="AE4050" s="182" t="n">
        <v>0</v>
      </c>
      <c r="AF4050" s="182" t="n">
        <v>0</v>
      </c>
      <c r="AG4050" s="182" t="n">
        <v>0</v>
      </c>
      <c r="AH4050" s="182" t="n">
        <v>0</v>
      </c>
      <c r="AI4050" s="182" t="n">
        <v>0</v>
      </c>
      <c r="AJ4050" s="182" t="n">
        <v>0</v>
      </c>
      <c r="AK4050" s="182" t="n">
        <v>0</v>
      </c>
      <c r="AL4050" s="182" t="n">
        <v>0</v>
      </c>
      <c r="AM4050" s="182" t="n">
        <v>0</v>
      </c>
      <c r="AN4050" s="182" t="n">
        <v>0</v>
      </c>
    </row>
    <row r="4051">
      <c r="A4051" s="155" t="n">
        <v>46100</v>
      </c>
      <c r="B4051" s="156" t="inlineStr">
        <is>
          <t>DS</t>
        </is>
      </c>
      <c r="C4051" s="156" t="inlineStr">
        <is>
          <t>DT-528</t>
        </is>
      </c>
      <c r="D4051" s="156" t="inlineStr">
        <is>
          <t>SKT 105S</t>
        </is>
      </c>
      <c r="E4051" s="156" t="inlineStr">
        <is>
          <t>Hauler</t>
        </is>
      </c>
      <c r="F4051" s="156" t="inlineStr">
        <is>
          <t>Hauling Parting &amp; Coal</t>
        </is>
      </c>
      <c r="G4051" s="182" t="n">
        <v>1.65</v>
      </c>
      <c r="H4051" s="182" t="n">
        <v>0</v>
      </c>
      <c r="I4051" s="182" t="n">
        <v>0</v>
      </c>
      <c r="J4051" s="182" t="n">
        <v>0</v>
      </c>
      <c r="K4051" s="182" t="n">
        <v>10.35</v>
      </c>
      <c r="L4051" s="182" t="n">
        <v>12</v>
      </c>
      <c r="M4051" s="182" t="n">
        <v>0.19</v>
      </c>
      <c r="N4051" s="182" t="n">
        <v>1.46</v>
      </c>
      <c r="O4051" s="183" t="n">
        <v>1</v>
      </c>
      <c r="P4051" s="183" t="n">
        <v>2</v>
      </c>
      <c r="Q4051" s="184" t="n">
        <v>16.3</v>
      </c>
      <c r="R4051" s="184" t="n">
        <v>37.4</v>
      </c>
      <c r="S4051" s="183" t="n">
        <v>0</v>
      </c>
      <c r="T4051" s="183" t="n">
        <v>0</v>
      </c>
      <c r="U4051" s="182" t="n">
        <v>5.02</v>
      </c>
      <c r="V4051" s="182" t="n">
        <v>3.01</v>
      </c>
      <c r="W4051" s="182" t="n">
        <v>0</v>
      </c>
      <c r="X4051" s="182" t="n">
        <v>1</v>
      </c>
      <c r="Y4051" s="182" t="n">
        <v>0</v>
      </c>
      <c r="Z4051" s="182" t="n">
        <v>0</v>
      </c>
      <c r="AA4051" s="182" t="n">
        <v>0</v>
      </c>
      <c r="AB4051" s="182" t="n">
        <v>0</v>
      </c>
      <c r="AC4051" s="182" t="n">
        <v>0</v>
      </c>
      <c r="AD4051" s="182" t="n">
        <v>0</v>
      </c>
      <c r="AE4051" s="182" t="n">
        <v>0</v>
      </c>
      <c r="AF4051" s="182" t="n">
        <v>0</v>
      </c>
      <c r="AG4051" s="182" t="n">
        <v>0</v>
      </c>
      <c r="AH4051" s="182" t="n">
        <v>0</v>
      </c>
      <c r="AI4051" s="182" t="n">
        <v>0</v>
      </c>
      <c r="AJ4051" s="182" t="n">
        <v>0</v>
      </c>
      <c r="AK4051" s="182" t="n">
        <v>1.23</v>
      </c>
      <c r="AL4051" s="182" t="n">
        <v>0</v>
      </c>
      <c r="AM4051" s="182" t="n">
        <v>0.08</v>
      </c>
      <c r="AN4051" s="182" t="n">
        <v>0</v>
      </c>
    </row>
    <row r="4052">
      <c r="A4052" s="155" t="n">
        <v>46100</v>
      </c>
      <c r="B4052" s="156" t="inlineStr">
        <is>
          <t>DS</t>
        </is>
      </c>
      <c r="C4052" s="156" t="inlineStr">
        <is>
          <t>DT-529</t>
        </is>
      </c>
      <c r="D4052" s="156" t="inlineStr">
        <is>
          <t>SKT 105S</t>
        </is>
      </c>
      <c r="E4052" s="156" t="inlineStr">
        <is>
          <t>Hauler</t>
        </is>
      </c>
      <c r="F4052" s="156" t="inlineStr"/>
      <c r="G4052" s="182" t="n">
        <v>0</v>
      </c>
      <c r="H4052" s="182" t="n">
        <v>0</v>
      </c>
      <c r="I4052" s="182" t="n">
        <v>8.279999999999999</v>
      </c>
      <c r="J4052" s="182" t="n">
        <v>8.279999999999999</v>
      </c>
      <c r="K4052" s="182" t="n">
        <v>3.72</v>
      </c>
      <c r="L4052" s="182" t="n">
        <v>12</v>
      </c>
      <c r="M4052" s="182" t="n">
        <v>0</v>
      </c>
      <c r="N4052" s="182" t="n">
        <v>0</v>
      </c>
      <c r="O4052" s="183" t="n">
        <v>0</v>
      </c>
      <c r="P4052" s="183" t="n">
        <v>0</v>
      </c>
      <c r="Q4052" s="184" t="n">
        <v>0</v>
      </c>
      <c r="R4052" s="184" t="n">
        <v>0</v>
      </c>
      <c r="S4052" s="183" t="n">
        <v>0</v>
      </c>
      <c r="T4052" s="183" t="n">
        <v>0</v>
      </c>
      <c r="U4052" s="182" t="n">
        <v>2.63</v>
      </c>
      <c r="V4052" s="182" t="n">
        <v>0</v>
      </c>
      <c r="W4052" s="182" t="n">
        <v>0</v>
      </c>
      <c r="X4052" s="182" t="n">
        <v>1</v>
      </c>
      <c r="Y4052" s="182" t="n">
        <v>0</v>
      </c>
      <c r="Z4052" s="182" t="n">
        <v>0</v>
      </c>
      <c r="AA4052" s="182" t="n">
        <v>0</v>
      </c>
      <c r="AB4052" s="182" t="n">
        <v>0</v>
      </c>
      <c r="AC4052" s="182" t="n">
        <v>0</v>
      </c>
      <c r="AD4052" s="182" t="n">
        <v>0</v>
      </c>
      <c r="AE4052" s="182" t="n">
        <v>0</v>
      </c>
      <c r="AF4052" s="182" t="n">
        <v>0</v>
      </c>
      <c r="AG4052" s="182" t="n">
        <v>0</v>
      </c>
      <c r="AH4052" s="182" t="n">
        <v>0</v>
      </c>
      <c r="AI4052" s="182" t="n">
        <v>0</v>
      </c>
      <c r="AJ4052" s="182" t="n">
        <v>0</v>
      </c>
      <c r="AK4052" s="182" t="n">
        <v>0</v>
      </c>
      <c r="AL4052" s="182" t="n">
        <v>0</v>
      </c>
      <c r="AM4052" s="182" t="n">
        <v>0.08</v>
      </c>
      <c r="AN4052" s="182" t="n">
        <v>0</v>
      </c>
    </row>
    <row r="4053">
      <c r="A4053" s="155" t="n">
        <v>46100</v>
      </c>
      <c r="B4053" s="156" t="inlineStr">
        <is>
          <t>DS</t>
        </is>
      </c>
      <c r="C4053" s="156" t="inlineStr">
        <is>
          <t>DT-520</t>
        </is>
      </c>
      <c r="D4053" s="156" t="inlineStr">
        <is>
          <t>SKT 105S</t>
        </is>
      </c>
      <c r="E4053" s="156" t="inlineStr">
        <is>
          <t>Hauler</t>
        </is>
      </c>
      <c r="F4053" s="156" t="inlineStr">
        <is>
          <t>Hauling OB</t>
        </is>
      </c>
      <c r="G4053" s="182" t="n">
        <v>3.54</v>
      </c>
      <c r="H4053" s="182" t="n">
        <v>0</v>
      </c>
      <c r="I4053" s="182" t="n">
        <v>0</v>
      </c>
      <c r="J4053" s="182" t="n">
        <v>0</v>
      </c>
      <c r="K4053" s="182" t="n">
        <v>8.460000000000001</v>
      </c>
      <c r="L4053" s="182" t="n">
        <v>12</v>
      </c>
      <c r="M4053" s="182" t="n">
        <v>3.54</v>
      </c>
      <c r="N4053" s="182" t="n">
        <v>0</v>
      </c>
      <c r="O4053" s="183" t="n">
        <v>22</v>
      </c>
      <c r="P4053" s="183" t="n">
        <v>0</v>
      </c>
      <c r="Q4053" s="184" t="n">
        <v>448.8</v>
      </c>
      <c r="R4053" s="184" t="n">
        <v>0</v>
      </c>
      <c r="S4053" s="183" t="n">
        <v>0</v>
      </c>
      <c r="T4053" s="183" t="n">
        <v>0</v>
      </c>
      <c r="U4053" s="182" t="n">
        <v>5.1</v>
      </c>
      <c r="V4053" s="182" t="n">
        <v>2.04</v>
      </c>
      <c r="W4053" s="182" t="n">
        <v>0</v>
      </c>
      <c r="X4053" s="182" t="n">
        <v>1.02</v>
      </c>
      <c r="Y4053" s="182" t="n">
        <v>0</v>
      </c>
      <c r="Z4053" s="182" t="n">
        <v>0</v>
      </c>
      <c r="AA4053" s="182" t="n">
        <v>0</v>
      </c>
      <c r="AB4053" s="182" t="n">
        <v>0</v>
      </c>
      <c r="AC4053" s="182" t="n">
        <v>0</v>
      </c>
      <c r="AD4053" s="182" t="n">
        <v>0</v>
      </c>
      <c r="AE4053" s="182" t="n">
        <v>0</v>
      </c>
      <c r="AF4053" s="182" t="n">
        <v>0</v>
      </c>
      <c r="AG4053" s="182" t="n">
        <v>0</v>
      </c>
      <c r="AH4053" s="182" t="n">
        <v>0.22</v>
      </c>
      <c r="AI4053" s="182" t="n">
        <v>0</v>
      </c>
      <c r="AJ4053" s="182" t="n">
        <v>0</v>
      </c>
      <c r="AK4053" s="182" t="n">
        <v>0</v>
      </c>
      <c r="AL4053" s="182" t="n">
        <v>0</v>
      </c>
      <c r="AM4053" s="182" t="n">
        <v>0.08</v>
      </c>
      <c r="AN4053" s="182" t="n">
        <v>0</v>
      </c>
    </row>
    <row r="4054">
      <c r="A4054" s="155" t="n">
        <v>46100</v>
      </c>
      <c r="B4054" s="156" t="inlineStr">
        <is>
          <t>DS</t>
        </is>
      </c>
      <c r="C4054" s="156" t="inlineStr">
        <is>
          <t>DT-511</t>
        </is>
      </c>
      <c r="D4054" s="156" t="inlineStr">
        <is>
          <t>SKT 105S</t>
        </is>
      </c>
      <c r="E4054" s="156" t="inlineStr">
        <is>
          <t>Hauler</t>
        </is>
      </c>
      <c r="F4054" s="156" t="inlineStr"/>
      <c r="G4054" s="182" t="n">
        <v>0</v>
      </c>
      <c r="H4054" s="182" t="n">
        <v>0</v>
      </c>
      <c r="I4054" s="182" t="n">
        <v>12</v>
      </c>
      <c r="J4054" s="182" t="n">
        <v>12</v>
      </c>
      <c r="K4054" s="182" t="n">
        <v>0</v>
      </c>
      <c r="L4054" s="182" t="n">
        <v>12</v>
      </c>
      <c r="M4054" s="182" t="n">
        <v>0</v>
      </c>
      <c r="N4054" s="182" t="n">
        <v>0</v>
      </c>
      <c r="O4054" s="183" t="n">
        <v>0</v>
      </c>
      <c r="P4054" s="183" t="n">
        <v>0</v>
      </c>
      <c r="Q4054" s="184" t="n">
        <v>0</v>
      </c>
      <c r="R4054" s="184" t="n">
        <v>0</v>
      </c>
      <c r="S4054" s="183" t="n">
        <v>0</v>
      </c>
      <c r="T4054" s="183" t="n">
        <v>0</v>
      </c>
      <c r="U4054" s="182" t="n">
        <v>0</v>
      </c>
      <c r="V4054" s="182" t="n">
        <v>0</v>
      </c>
      <c r="W4054" s="182" t="n">
        <v>0</v>
      </c>
      <c r="X4054" s="182" t="n">
        <v>0</v>
      </c>
      <c r="Y4054" s="182" t="n">
        <v>0</v>
      </c>
      <c r="Z4054" s="182" t="n">
        <v>0</v>
      </c>
      <c r="AA4054" s="182" t="n">
        <v>0</v>
      </c>
      <c r="AB4054" s="182" t="n">
        <v>0</v>
      </c>
      <c r="AC4054" s="182" t="n">
        <v>0</v>
      </c>
      <c r="AD4054" s="182" t="n">
        <v>0</v>
      </c>
      <c r="AE4054" s="182" t="n">
        <v>0</v>
      </c>
      <c r="AF4054" s="182" t="n">
        <v>0</v>
      </c>
      <c r="AG4054" s="182" t="n">
        <v>0</v>
      </c>
      <c r="AH4054" s="182" t="n">
        <v>0</v>
      </c>
      <c r="AI4054" s="182" t="n">
        <v>0</v>
      </c>
      <c r="AJ4054" s="182" t="n">
        <v>0</v>
      </c>
      <c r="AK4054" s="182" t="n">
        <v>0</v>
      </c>
      <c r="AL4054" s="182" t="n">
        <v>0</v>
      </c>
      <c r="AM4054" s="182" t="n">
        <v>0</v>
      </c>
      <c r="AN4054" s="182" t="n">
        <v>0</v>
      </c>
    </row>
    <row r="4055">
      <c r="A4055" s="155" t="n">
        <v>46100</v>
      </c>
      <c r="B4055" s="156" t="inlineStr">
        <is>
          <t>DS</t>
        </is>
      </c>
      <c r="C4055" s="156" t="inlineStr">
        <is>
          <t>DT-509</t>
        </is>
      </c>
      <c r="D4055" s="156" t="inlineStr">
        <is>
          <t>SKT 105S</t>
        </is>
      </c>
      <c r="E4055" s="156" t="inlineStr">
        <is>
          <t>Hauler</t>
        </is>
      </c>
      <c r="F4055" s="156" t="inlineStr"/>
      <c r="G4055" s="182" t="n">
        <v>0</v>
      </c>
      <c r="H4055" s="182" t="n">
        <v>0</v>
      </c>
      <c r="I4055" s="182" t="n">
        <v>12</v>
      </c>
      <c r="J4055" s="182" t="n">
        <v>12</v>
      </c>
      <c r="K4055" s="182" t="n">
        <v>0</v>
      </c>
      <c r="L4055" s="182" t="n">
        <v>12</v>
      </c>
      <c r="M4055" s="182" t="n">
        <v>0</v>
      </c>
      <c r="N4055" s="182" t="n">
        <v>0</v>
      </c>
      <c r="O4055" s="183" t="n">
        <v>0</v>
      </c>
      <c r="P4055" s="183" t="n">
        <v>0</v>
      </c>
      <c r="Q4055" s="184" t="n">
        <v>0</v>
      </c>
      <c r="R4055" s="184" t="n">
        <v>0</v>
      </c>
      <c r="S4055" s="183" t="n">
        <v>0</v>
      </c>
      <c r="T4055" s="183" t="n">
        <v>0</v>
      </c>
      <c r="U4055" s="182" t="n">
        <v>0</v>
      </c>
      <c r="V4055" s="182" t="n">
        <v>0</v>
      </c>
      <c r="W4055" s="182" t="n">
        <v>0</v>
      </c>
      <c r="X4055" s="182" t="n">
        <v>0</v>
      </c>
      <c r="Y4055" s="182" t="n">
        <v>0</v>
      </c>
      <c r="Z4055" s="182" t="n">
        <v>0</v>
      </c>
      <c r="AA4055" s="182" t="n">
        <v>0</v>
      </c>
      <c r="AB4055" s="182" t="n">
        <v>0</v>
      </c>
      <c r="AC4055" s="182" t="n">
        <v>0</v>
      </c>
      <c r="AD4055" s="182" t="n">
        <v>0</v>
      </c>
      <c r="AE4055" s="182" t="n">
        <v>0</v>
      </c>
      <c r="AF4055" s="182" t="n">
        <v>0</v>
      </c>
      <c r="AG4055" s="182" t="n">
        <v>0</v>
      </c>
      <c r="AH4055" s="182" t="n">
        <v>0</v>
      </c>
      <c r="AI4055" s="182" t="n">
        <v>0</v>
      </c>
      <c r="AJ4055" s="182" t="n">
        <v>0</v>
      </c>
      <c r="AK4055" s="182" t="n">
        <v>0</v>
      </c>
      <c r="AL4055" s="182" t="n">
        <v>0</v>
      </c>
      <c r="AM4055" s="182" t="n">
        <v>0</v>
      </c>
      <c r="AN4055" s="182" t="n">
        <v>0</v>
      </c>
    </row>
    <row r="4056">
      <c r="A4056" s="155" t="n">
        <v>46100</v>
      </c>
      <c r="B4056" s="156" t="inlineStr">
        <is>
          <t>DS</t>
        </is>
      </c>
      <c r="C4056" s="156" t="inlineStr">
        <is>
          <t>DT-526</t>
        </is>
      </c>
      <c r="D4056" s="156" t="inlineStr">
        <is>
          <t>SKT 105S</t>
        </is>
      </c>
      <c r="E4056" s="156" t="inlineStr">
        <is>
          <t>Hauler</t>
        </is>
      </c>
      <c r="F4056" s="156" t="inlineStr"/>
      <c r="G4056" s="182" t="n">
        <v>0</v>
      </c>
      <c r="H4056" s="182" t="n">
        <v>0</v>
      </c>
      <c r="I4056" s="182" t="n">
        <v>12</v>
      </c>
      <c r="J4056" s="182" t="n">
        <v>12</v>
      </c>
      <c r="K4056" s="182" t="n">
        <v>0</v>
      </c>
      <c r="L4056" s="182" t="n">
        <v>12</v>
      </c>
      <c r="M4056" s="182" t="n">
        <v>0</v>
      </c>
      <c r="N4056" s="182" t="n">
        <v>0</v>
      </c>
      <c r="O4056" s="183" t="n">
        <v>0</v>
      </c>
      <c r="P4056" s="183" t="n">
        <v>0</v>
      </c>
      <c r="Q4056" s="184" t="n">
        <v>0</v>
      </c>
      <c r="R4056" s="184" t="n">
        <v>0</v>
      </c>
      <c r="S4056" s="183" t="n">
        <v>0</v>
      </c>
      <c r="T4056" s="183" t="n">
        <v>0</v>
      </c>
      <c r="U4056" s="182" t="n">
        <v>0</v>
      </c>
      <c r="V4056" s="182" t="n">
        <v>0</v>
      </c>
      <c r="W4056" s="182" t="n">
        <v>0</v>
      </c>
      <c r="X4056" s="182" t="n">
        <v>0</v>
      </c>
      <c r="Y4056" s="182" t="n">
        <v>0</v>
      </c>
      <c r="Z4056" s="182" t="n">
        <v>0</v>
      </c>
      <c r="AA4056" s="182" t="n">
        <v>0</v>
      </c>
      <c r="AB4056" s="182" t="n">
        <v>0</v>
      </c>
      <c r="AC4056" s="182" t="n">
        <v>0</v>
      </c>
      <c r="AD4056" s="182" t="n">
        <v>0</v>
      </c>
      <c r="AE4056" s="182" t="n">
        <v>0</v>
      </c>
      <c r="AF4056" s="182" t="n">
        <v>0</v>
      </c>
      <c r="AG4056" s="182" t="n">
        <v>0</v>
      </c>
      <c r="AH4056" s="182" t="n">
        <v>0</v>
      </c>
      <c r="AI4056" s="182" t="n">
        <v>0</v>
      </c>
      <c r="AJ4056" s="182" t="n">
        <v>0</v>
      </c>
      <c r="AK4056" s="182" t="n">
        <v>0</v>
      </c>
      <c r="AL4056" s="182" t="n">
        <v>0</v>
      </c>
      <c r="AM4056" s="182" t="n">
        <v>0</v>
      </c>
      <c r="AN4056" s="182" t="n">
        <v>0</v>
      </c>
    </row>
    <row r="4057">
      <c r="A4057" s="155" t="n">
        <v>46100</v>
      </c>
      <c r="B4057" s="156" t="inlineStr">
        <is>
          <t>DS</t>
        </is>
      </c>
      <c r="C4057" s="156" t="inlineStr">
        <is>
          <t>DT-508</t>
        </is>
      </c>
      <c r="D4057" s="156" t="inlineStr">
        <is>
          <t>SKT 105S</t>
        </is>
      </c>
      <c r="E4057" s="156" t="inlineStr">
        <is>
          <t>Hauler</t>
        </is>
      </c>
      <c r="F4057" s="156" t="inlineStr">
        <is>
          <t>Hauling OB</t>
        </is>
      </c>
      <c r="G4057" s="182" t="n">
        <v>3.61</v>
      </c>
      <c r="H4057" s="182" t="n">
        <v>0</v>
      </c>
      <c r="I4057" s="182" t="n">
        <v>0</v>
      </c>
      <c r="J4057" s="182" t="n">
        <v>0</v>
      </c>
      <c r="K4057" s="182" t="n">
        <v>8.390000000000001</v>
      </c>
      <c r="L4057" s="182" t="n">
        <v>12</v>
      </c>
      <c r="M4057" s="182" t="n">
        <v>3.61</v>
      </c>
      <c r="N4057" s="182" t="n">
        <v>0</v>
      </c>
      <c r="O4057" s="183" t="n">
        <v>15</v>
      </c>
      <c r="P4057" s="183" t="n">
        <v>0</v>
      </c>
      <c r="Q4057" s="184" t="n">
        <v>306</v>
      </c>
      <c r="R4057" s="184" t="n">
        <v>0</v>
      </c>
      <c r="S4057" s="183" t="n">
        <v>0</v>
      </c>
      <c r="T4057" s="183" t="n">
        <v>0</v>
      </c>
      <c r="U4057" s="182" t="n">
        <v>5.12</v>
      </c>
      <c r="V4057" s="182" t="n">
        <v>2.17</v>
      </c>
      <c r="W4057" s="182" t="n">
        <v>0</v>
      </c>
      <c r="X4057" s="182" t="n">
        <v>1.02</v>
      </c>
      <c r="Y4057" s="182" t="n">
        <v>0</v>
      </c>
      <c r="Z4057" s="182" t="n">
        <v>0</v>
      </c>
      <c r="AA4057" s="182" t="n">
        <v>0</v>
      </c>
      <c r="AB4057" s="182" t="n">
        <v>0</v>
      </c>
      <c r="AC4057" s="182" t="n">
        <v>0</v>
      </c>
      <c r="AD4057" s="182" t="n">
        <v>0</v>
      </c>
      <c r="AE4057" s="182" t="n">
        <v>0</v>
      </c>
      <c r="AF4057" s="182" t="n">
        <v>0</v>
      </c>
      <c r="AG4057" s="182" t="n">
        <v>0</v>
      </c>
      <c r="AH4057" s="182" t="n">
        <v>0</v>
      </c>
      <c r="AI4057" s="182" t="n">
        <v>0</v>
      </c>
      <c r="AJ4057" s="182" t="n">
        <v>0</v>
      </c>
      <c r="AK4057" s="182" t="n">
        <v>0</v>
      </c>
      <c r="AL4057" s="182" t="n">
        <v>0</v>
      </c>
      <c r="AM4057" s="182" t="n">
        <v>0.08</v>
      </c>
      <c r="AN4057" s="182" t="n">
        <v>0</v>
      </c>
    </row>
    <row r="4058">
      <c r="A4058" s="155" t="n">
        <v>46100</v>
      </c>
      <c r="B4058" s="156" t="inlineStr">
        <is>
          <t>DS</t>
        </is>
      </c>
      <c r="C4058" s="156" t="inlineStr">
        <is>
          <t>DT-515</t>
        </is>
      </c>
      <c r="D4058" s="156" t="inlineStr">
        <is>
          <t>SKT 105S</t>
        </is>
      </c>
      <c r="E4058" s="156" t="inlineStr">
        <is>
          <t>Hauler</t>
        </is>
      </c>
      <c r="F4058" s="156" t="inlineStr">
        <is>
          <t>Evakuasi Unit</t>
        </is>
      </c>
      <c r="G4058" s="182" t="n">
        <v>0.4</v>
      </c>
      <c r="H4058" s="182" t="n">
        <v>0</v>
      </c>
      <c r="I4058" s="182" t="n">
        <v>0</v>
      </c>
      <c r="J4058" s="182" t="n">
        <v>0</v>
      </c>
      <c r="K4058" s="182" t="n">
        <v>11.6</v>
      </c>
      <c r="L4058" s="182" t="n">
        <v>12</v>
      </c>
      <c r="M4058" s="182" t="n">
        <v>0</v>
      </c>
      <c r="N4058" s="182" t="n">
        <v>0</v>
      </c>
      <c r="O4058" s="183" t="n">
        <v>0</v>
      </c>
      <c r="P4058" s="183" t="n">
        <v>0</v>
      </c>
      <c r="Q4058" s="184" t="n">
        <v>0</v>
      </c>
      <c r="R4058" s="184" t="n">
        <v>0</v>
      </c>
      <c r="S4058" s="183" t="n">
        <v>0</v>
      </c>
      <c r="T4058" s="183" t="n">
        <v>0</v>
      </c>
      <c r="U4058" s="182" t="n">
        <v>5</v>
      </c>
      <c r="V4058" s="182" t="n">
        <v>3</v>
      </c>
      <c r="W4058" s="182" t="n">
        <v>0</v>
      </c>
      <c r="X4058" s="182" t="n">
        <v>1</v>
      </c>
      <c r="Y4058" s="182" t="n">
        <v>0</v>
      </c>
      <c r="Z4058" s="182" t="n">
        <v>0</v>
      </c>
      <c r="AA4058" s="182" t="n">
        <v>0</v>
      </c>
      <c r="AB4058" s="182" t="n">
        <v>0</v>
      </c>
      <c r="AC4058" s="182" t="n">
        <v>0</v>
      </c>
      <c r="AD4058" s="182" t="n">
        <v>0</v>
      </c>
      <c r="AE4058" s="182" t="n">
        <v>0</v>
      </c>
      <c r="AF4058" s="182" t="n">
        <v>0</v>
      </c>
      <c r="AG4058" s="182" t="n">
        <v>0</v>
      </c>
      <c r="AH4058" s="182" t="n">
        <v>0</v>
      </c>
      <c r="AI4058" s="182" t="n">
        <v>0</v>
      </c>
      <c r="AJ4058" s="182" t="n">
        <v>0</v>
      </c>
      <c r="AK4058" s="182" t="n">
        <v>2.52</v>
      </c>
      <c r="AL4058" s="182" t="n">
        <v>0</v>
      </c>
      <c r="AM4058" s="182" t="n">
        <v>0.08</v>
      </c>
      <c r="AN4058" s="182" t="n">
        <v>0</v>
      </c>
    </row>
    <row r="4059">
      <c r="A4059" s="155" t="n">
        <v>46100</v>
      </c>
      <c r="B4059" s="156" t="inlineStr">
        <is>
          <t>DS</t>
        </is>
      </c>
      <c r="C4059" s="156" t="inlineStr">
        <is>
          <t>DT-524</t>
        </is>
      </c>
      <c r="D4059" s="156" t="inlineStr">
        <is>
          <t>SKT 105S</t>
        </is>
      </c>
      <c r="E4059" s="156" t="inlineStr">
        <is>
          <t>Hauler</t>
        </is>
      </c>
      <c r="F4059" s="156" t="inlineStr">
        <is>
          <t>Hauling OB</t>
        </is>
      </c>
      <c r="G4059" s="182" t="n">
        <v>4.61</v>
      </c>
      <c r="H4059" s="182" t="n">
        <v>0</v>
      </c>
      <c r="I4059" s="182" t="n">
        <v>0</v>
      </c>
      <c r="J4059" s="182" t="n">
        <v>0</v>
      </c>
      <c r="K4059" s="182" t="n">
        <v>7.39</v>
      </c>
      <c r="L4059" s="182" t="n">
        <v>12</v>
      </c>
      <c r="M4059" s="182" t="n">
        <v>4.61</v>
      </c>
      <c r="N4059" s="182" t="n">
        <v>0</v>
      </c>
      <c r="O4059" s="183" t="n">
        <v>19</v>
      </c>
      <c r="P4059" s="183" t="n">
        <v>0</v>
      </c>
      <c r="Q4059" s="184" t="n">
        <v>387.6</v>
      </c>
      <c r="R4059" s="184" t="n">
        <v>0</v>
      </c>
      <c r="S4059" s="183" t="n">
        <v>0</v>
      </c>
      <c r="T4059" s="183" t="n">
        <v>0</v>
      </c>
      <c r="U4059" s="182" t="n">
        <v>4.8</v>
      </c>
      <c r="V4059" s="182" t="n">
        <v>1.55</v>
      </c>
      <c r="W4059" s="182" t="n">
        <v>0</v>
      </c>
      <c r="X4059" s="182" t="n">
        <v>0.96</v>
      </c>
      <c r="Y4059" s="182" t="n">
        <v>0</v>
      </c>
      <c r="Z4059" s="182" t="n">
        <v>0</v>
      </c>
      <c r="AA4059" s="182" t="n">
        <v>0</v>
      </c>
      <c r="AB4059" s="182" t="n">
        <v>0</v>
      </c>
      <c r="AC4059" s="182" t="n">
        <v>0</v>
      </c>
      <c r="AD4059" s="182" t="n">
        <v>0</v>
      </c>
      <c r="AE4059" s="182" t="n">
        <v>0</v>
      </c>
      <c r="AF4059" s="182" t="n">
        <v>0</v>
      </c>
      <c r="AG4059" s="182" t="n">
        <v>0</v>
      </c>
      <c r="AH4059" s="182" t="n">
        <v>0</v>
      </c>
      <c r="AI4059" s="182" t="n">
        <v>0</v>
      </c>
      <c r="AJ4059" s="182" t="n">
        <v>0</v>
      </c>
      <c r="AK4059" s="182" t="n">
        <v>0</v>
      </c>
      <c r="AL4059" s="182" t="n">
        <v>0</v>
      </c>
      <c r="AM4059" s="182" t="n">
        <v>0.08</v>
      </c>
      <c r="AN4059" s="182" t="n">
        <v>0</v>
      </c>
    </row>
    <row r="4060">
      <c r="A4060" s="155" t="n">
        <v>46100</v>
      </c>
      <c r="B4060" s="156" t="inlineStr">
        <is>
          <t>DS</t>
        </is>
      </c>
      <c r="C4060" s="156" t="inlineStr">
        <is>
          <t>DT-341</t>
        </is>
      </c>
      <c r="D4060" s="156" t="inlineStr">
        <is>
          <t>SYZ324C-8W</t>
        </is>
      </c>
      <c r="E4060" s="156" t="inlineStr">
        <is>
          <t>Hauler</t>
        </is>
      </c>
      <c r="F4060" s="156" t="inlineStr">
        <is>
          <t>Support Washing Plant</t>
        </is>
      </c>
      <c r="G4060" s="182" t="n">
        <v>6.24</v>
      </c>
      <c r="H4060" s="182" t="n">
        <v>0</v>
      </c>
      <c r="I4060" s="182" t="n">
        <v>0</v>
      </c>
      <c r="J4060" s="182" t="n">
        <v>0</v>
      </c>
      <c r="K4060" s="182" t="n">
        <v>5.76</v>
      </c>
      <c r="L4060" s="182" t="n">
        <v>12</v>
      </c>
      <c r="M4060" s="182" t="n">
        <v>0</v>
      </c>
      <c r="N4060" s="182" t="n">
        <v>0</v>
      </c>
      <c r="O4060" s="183" t="n">
        <v>0</v>
      </c>
      <c r="P4060" s="183" t="n">
        <v>0</v>
      </c>
      <c r="Q4060" s="184" t="n">
        <v>0</v>
      </c>
      <c r="R4060" s="184" t="n">
        <v>0</v>
      </c>
      <c r="S4060" s="183" t="n">
        <v>0</v>
      </c>
      <c r="T4060" s="183" t="n">
        <v>0</v>
      </c>
      <c r="U4060" s="182" t="n">
        <v>0</v>
      </c>
      <c r="V4060" s="182" t="n">
        <v>0</v>
      </c>
      <c r="W4060" s="182" t="n">
        <v>0</v>
      </c>
      <c r="X4060" s="182" t="n">
        <v>1.03</v>
      </c>
      <c r="Y4060" s="182" t="n">
        <v>0</v>
      </c>
      <c r="Z4060" s="182" t="n">
        <v>0</v>
      </c>
      <c r="AA4060" s="182" t="n">
        <v>0</v>
      </c>
      <c r="AB4060" s="182" t="n">
        <v>0</v>
      </c>
      <c r="AC4060" s="182" t="n">
        <v>0</v>
      </c>
      <c r="AD4060" s="182" t="n">
        <v>0</v>
      </c>
      <c r="AE4060" s="182" t="n">
        <v>0</v>
      </c>
      <c r="AF4060" s="182" t="n">
        <v>0</v>
      </c>
      <c r="AG4060" s="182" t="n">
        <v>0</v>
      </c>
      <c r="AH4060" s="182" t="n">
        <v>0</v>
      </c>
      <c r="AI4060" s="182" t="n">
        <v>0</v>
      </c>
      <c r="AJ4060" s="182" t="n">
        <v>0</v>
      </c>
      <c r="AK4060" s="182" t="n">
        <v>4.65</v>
      </c>
      <c r="AL4060" s="182" t="n">
        <v>0</v>
      </c>
      <c r="AM4060" s="182" t="n">
        <v>0.08</v>
      </c>
      <c r="AN4060" s="182" t="n">
        <v>0</v>
      </c>
    </row>
    <row r="4061">
      <c r="A4061" s="155" t="n">
        <v>46100</v>
      </c>
      <c r="B4061" s="156" t="inlineStr">
        <is>
          <t>DS</t>
        </is>
      </c>
      <c r="C4061" s="156" t="inlineStr">
        <is>
          <t>DT-342</t>
        </is>
      </c>
      <c r="D4061" s="156" t="inlineStr">
        <is>
          <t>SYZ324C-8W</t>
        </is>
      </c>
      <c r="E4061" s="156" t="inlineStr">
        <is>
          <t>Hauler</t>
        </is>
      </c>
      <c r="F4061" s="156" t="inlineStr">
        <is>
          <t>Support Washing Plant</t>
        </is>
      </c>
      <c r="G4061" s="182" t="n">
        <v>6.86</v>
      </c>
      <c r="H4061" s="182" t="n">
        <v>0</v>
      </c>
      <c r="I4061" s="182" t="n">
        <v>0.75</v>
      </c>
      <c r="J4061" s="182" t="n">
        <v>0.75</v>
      </c>
      <c r="K4061" s="182" t="n">
        <v>4.39</v>
      </c>
      <c r="L4061" s="182" t="n">
        <v>12</v>
      </c>
      <c r="M4061" s="182" t="n">
        <v>0</v>
      </c>
      <c r="N4061" s="182" t="n">
        <v>0</v>
      </c>
      <c r="O4061" s="183" t="n">
        <v>0</v>
      </c>
      <c r="P4061" s="183" t="n">
        <v>0</v>
      </c>
      <c r="Q4061" s="184" t="n">
        <v>0</v>
      </c>
      <c r="R4061" s="184" t="n">
        <v>0</v>
      </c>
      <c r="S4061" s="183" t="n">
        <v>0</v>
      </c>
      <c r="T4061" s="183" t="n">
        <v>0</v>
      </c>
      <c r="U4061" s="182" t="n">
        <v>0</v>
      </c>
      <c r="V4061" s="182" t="n">
        <v>0</v>
      </c>
      <c r="W4061" s="182" t="n">
        <v>0</v>
      </c>
      <c r="X4061" s="182" t="n">
        <v>1.01</v>
      </c>
      <c r="Y4061" s="182" t="n">
        <v>0</v>
      </c>
      <c r="Z4061" s="182" t="n">
        <v>0</v>
      </c>
      <c r="AA4061" s="182" t="n">
        <v>0</v>
      </c>
      <c r="AB4061" s="182" t="n">
        <v>0</v>
      </c>
      <c r="AC4061" s="182" t="n">
        <v>0</v>
      </c>
      <c r="AD4061" s="182" t="n">
        <v>0</v>
      </c>
      <c r="AE4061" s="182" t="n">
        <v>0</v>
      </c>
      <c r="AF4061" s="182" t="n">
        <v>0</v>
      </c>
      <c r="AG4061" s="182" t="n">
        <v>0</v>
      </c>
      <c r="AH4061" s="182" t="n">
        <v>0</v>
      </c>
      <c r="AI4061" s="182" t="n">
        <v>0</v>
      </c>
      <c r="AJ4061" s="182" t="n">
        <v>0</v>
      </c>
      <c r="AK4061" s="182" t="n">
        <v>3.3</v>
      </c>
      <c r="AL4061" s="182" t="n">
        <v>0</v>
      </c>
      <c r="AM4061" s="182" t="n">
        <v>0.08</v>
      </c>
      <c r="AN4061" s="182" t="n">
        <v>0</v>
      </c>
    </row>
    <row r="4062">
      <c r="A4062" s="155" t="n">
        <v>46100</v>
      </c>
      <c r="B4062" s="156" t="inlineStr">
        <is>
          <t>DS</t>
        </is>
      </c>
      <c r="C4062" s="156" t="inlineStr">
        <is>
          <t>HD-903</t>
        </is>
      </c>
      <c r="D4062" s="156" t="inlineStr">
        <is>
          <t>SRT 95C</t>
        </is>
      </c>
      <c r="E4062" s="156" t="inlineStr">
        <is>
          <t>Hauler</t>
        </is>
      </c>
      <c r="F4062" s="156" t="inlineStr">
        <is>
          <t>Hauling OB</t>
        </is>
      </c>
      <c r="G4062" s="182" t="n">
        <v>3.88</v>
      </c>
      <c r="H4062" s="182" t="n">
        <v>0</v>
      </c>
      <c r="I4062" s="182" t="n">
        <v>0</v>
      </c>
      <c r="J4062" s="182" t="n">
        <v>0</v>
      </c>
      <c r="K4062" s="182" t="n">
        <v>8.119999999999999</v>
      </c>
      <c r="L4062" s="182" t="n">
        <v>12</v>
      </c>
      <c r="M4062" s="182" t="n">
        <v>3.88</v>
      </c>
      <c r="N4062" s="182" t="n">
        <v>0</v>
      </c>
      <c r="O4062" s="183" t="n">
        <v>16</v>
      </c>
      <c r="P4062" s="183" t="n">
        <v>0</v>
      </c>
      <c r="Q4062" s="184" t="n">
        <v>571.2</v>
      </c>
      <c r="R4062" s="184" t="n">
        <v>0</v>
      </c>
      <c r="S4062" s="183" t="n">
        <v>0</v>
      </c>
      <c r="T4062" s="183" t="n">
        <v>0</v>
      </c>
      <c r="U4062" s="182" t="n">
        <v>4.72</v>
      </c>
      <c r="V4062" s="182" t="n">
        <v>2.17</v>
      </c>
      <c r="W4062" s="182" t="n">
        <v>0</v>
      </c>
      <c r="X4062" s="182" t="n">
        <v>0.9399999999999999</v>
      </c>
      <c r="Y4062" s="182" t="n">
        <v>0</v>
      </c>
      <c r="Z4062" s="182" t="n">
        <v>0</v>
      </c>
      <c r="AA4062" s="182" t="n">
        <v>0</v>
      </c>
      <c r="AB4062" s="182" t="n">
        <v>0</v>
      </c>
      <c r="AC4062" s="182" t="n">
        <v>0</v>
      </c>
      <c r="AD4062" s="182" t="n">
        <v>0</v>
      </c>
      <c r="AE4062" s="182" t="n">
        <v>0</v>
      </c>
      <c r="AF4062" s="182" t="n">
        <v>0</v>
      </c>
      <c r="AG4062" s="182" t="n">
        <v>0</v>
      </c>
      <c r="AH4062" s="182" t="n">
        <v>0.21</v>
      </c>
      <c r="AI4062" s="182" t="n">
        <v>0</v>
      </c>
      <c r="AJ4062" s="182" t="n">
        <v>0</v>
      </c>
      <c r="AK4062" s="182" t="n">
        <v>0</v>
      </c>
      <c r="AL4062" s="182" t="n">
        <v>0</v>
      </c>
      <c r="AM4062" s="182" t="n">
        <v>0.08</v>
      </c>
      <c r="AN4062" s="182" t="n">
        <v>0</v>
      </c>
    </row>
    <row r="4063">
      <c r="A4063" s="155" t="n">
        <v>46100</v>
      </c>
      <c r="B4063" s="156" t="inlineStr">
        <is>
          <t>DS</t>
        </is>
      </c>
      <c r="C4063" s="156" t="inlineStr">
        <is>
          <t>HD-905</t>
        </is>
      </c>
      <c r="D4063" s="156" t="inlineStr">
        <is>
          <t>SRT 95C</t>
        </is>
      </c>
      <c r="E4063" s="156" t="inlineStr">
        <is>
          <t>Hauler</t>
        </is>
      </c>
      <c r="F4063" s="156" t="inlineStr"/>
      <c r="G4063" s="182" t="n">
        <v>0</v>
      </c>
      <c r="H4063" s="182" t="n">
        <v>0</v>
      </c>
      <c r="I4063" s="182" t="n">
        <v>12</v>
      </c>
      <c r="J4063" s="182" t="n">
        <v>12</v>
      </c>
      <c r="K4063" s="182" t="n">
        <v>0</v>
      </c>
      <c r="L4063" s="182" t="n">
        <v>12</v>
      </c>
      <c r="M4063" s="182" t="n">
        <v>0</v>
      </c>
      <c r="N4063" s="182" t="n">
        <v>0</v>
      </c>
      <c r="O4063" s="183" t="n">
        <v>0</v>
      </c>
      <c r="P4063" s="183" t="n">
        <v>0</v>
      </c>
      <c r="Q4063" s="184" t="n">
        <v>0</v>
      </c>
      <c r="R4063" s="184" t="n">
        <v>0</v>
      </c>
      <c r="S4063" s="183" t="n">
        <v>0</v>
      </c>
      <c r="T4063" s="183" t="n">
        <v>0</v>
      </c>
      <c r="U4063" s="182" t="n">
        <v>0</v>
      </c>
      <c r="V4063" s="182" t="n">
        <v>0</v>
      </c>
      <c r="W4063" s="182" t="n">
        <v>0</v>
      </c>
      <c r="X4063" s="182" t="n">
        <v>0</v>
      </c>
      <c r="Y4063" s="182" t="n">
        <v>0</v>
      </c>
      <c r="Z4063" s="182" t="n">
        <v>0</v>
      </c>
      <c r="AA4063" s="182" t="n">
        <v>0</v>
      </c>
      <c r="AB4063" s="182" t="n">
        <v>0</v>
      </c>
      <c r="AC4063" s="182" t="n">
        <v>0</v>
      </c>
      <c r="AD4063" s="182" t="n">
        <v>0</v>
      </c>
      <c r="AE4063" s="182" t="n">
        <v>0</v>
      </c>
      <c r="AF4063" s="182" t="n">
        <v>0</v>
      </c>
      <c r="AG4063" s="182" t="n">
        <v>0</v>
      </c>
      <c r="AH4063" s="182" t="n">
        <v>0</v>
      </c>
      <c r="AI4063" s="182" t="n">
        <v>0</v>
      </c>
      <c r="AJ4063" s="182" t="n">
        <v>0</v>
      </c>
      <c r="AK4063" s="182" t="n">
        <v>0</v>
      </c>
      <c r="AL4063" s="182" t="n">
        <v>0</v>
      </c>
      <c r="AM4063" s="182" t="n">
        <v>0</v>
      </c>
      <c r="AN4063" s="182" t="n">
        <v>0</v>
      </c>
    </row>
    <row r="4064">
      <c r="A4064" s="155" t="n">
        <v>46100</v>
      </c>
      <c r="B4064" s="156" t="inlineStr">
        <is>
          <t>DS</t>
        </is>
      </c>
      <c r="C4064" s="156" t="inlineStr">
        <is>
          <t>HD-901</t>
        </is>
      </c>
      <c r="D4064" s="156" t="inlineStr">
        <is>
          <t>SRT 95C</t>
        </is>
      </c>
      <c r="E4064" s="156" t="inlineStr">
        <is>
          <t>Hauler</t>
        </is>
      </c>
      <c r="F4064" s="156" t="inlineStr">
        <is>
          <t>Hauling OB</t>
        </is>
      </c>
      <c r="G4064" s="182" t="n">
        <v>2.53</v>
      </c>
      <c r="H4064" s="182" t="n">
        <v>0</v>
      </c>
      <c r="I4064" s="182" t="n">
        <v>0</v>
      </c>
      <c r="J4064" s="182" t="n">
        <v>0</v>
      </c>
      <c r="K4064" s="182" t="n">
        <v>9.470000000000001</v>
      </c>
      <c r="L4064" s="182" t="n">
        <v>12</v>
      </c>
      <c r="M4064" s="182" t="n">
        <v>2.53</v>
      </c>
      <c r="N4064" s="182" t="n">
        <v>0</v>
      </c>
      <c r="O4064" s="183" t="n">
        <v>12</v>
      </c>
      <c r="P4064" s="183" t="n">
        <v>0</v>
      </c>
      <c r="Q4064" s="184" t="n">
        <v>428.4</v>
      </c>
      <c r="R4064" s="184" t="n">
        <v>0</v>
      </c>
      <c r="S4064" s="183" t="n">
        <v>0</v>
      </c>
      <c r="T4064" s="183" t="n">
        <v>0</v>
      </c>
      <c r="U4064" s="182" t="n">
        <v>5.26</v>
      </c>
      <c r="V4064" s="182" t="n">
        <v>2.42</v>
      </c>
      <c r="W4064" s="182" t="n">
        <v>0</v>
      </c>
      <c r="X4064" s="182" t="n">
        <v>1.05</v>
      </c>
      <c r="Y4064" s="182" t="n">
        <v>0</v>
      </c>
      <c r="Z4064" s="182" t="n">
        <v>0</v>
      </c>
      <c r="AA4064" s="182" t="n">
        <v>0</v>
      </c>
      <c r="AB4064" s="182" t="n">
        <v>0</v>
      </c>
      <c r="AC4064" s="182" t="n">
        <v>0</v>
      </c>
      <c r="AD4064" s="182" t="n">
        <v>0</v>
      </c>
      <c r="AE4064" s="182" t="n">
        <v>0</v>
      </c>
      <c r="AF4064" s="182" t="n">
        <v>0</v>
      </c>
      <c r="AG4064" s="182" t="n">
        <v>0</v>
      </c>
      <c r="AH4064" s="182" t="n">
        <v>0.65</v>
      </c>
      <c r="AI4064" s="182" t="n">
        <v>0</v>
      </c>
      <c r="AJ4064" s="182" t="n">
        <v>0</v>
      </c>
      <c r="AK4064" s="182" t="n">
        <v>0</v>
      </c>
      <c r="AL4064" s="182" t="n">
        <v>0</v>
      </c>
      <c r="AM4064" s="182" t="n">
        <v>0.08</v>
      </c>
      <c r="AN4064" s="182" t="n">
        <v>0</v>
      </c>
    </row>
    <row r="4065">
      <c r="A4065" s="155" t="n">
        <v>46100</v>
      </c>
      <c r="B4065" s="156" t="inlineStr">
        <is>
          <t>DS</t>
        </is>
      </c>
      <c r="C4065" s="156" t="inlineStr">
        <is>
          <t>HD-904</t>
        </is>
      </c>
      <c r="D4065" s="156" t="inlineStr">
        <is>
          <t>SRT 95C</t>
        </is>
      </c>
      <c r="E4065" s="156" t="inlineStr">
        <is>
          <t>Hauler</t>
        </is>
      </c>
      <c r="F4065" s="156" t="inlineStr">
        <is>
          <t>Hauling OB</t>
        </is>
      </c>
      <c r="G4065" s="182" t="n">
        <v>3.77</v>
      </c>
      <c r="H4065" s="182" t="n">
        <v>0</v>
      </c>
      <c r="I4065" s="182" t="n">
        <v>0</v>
      </c>
      <c r="J4065" s="182" t="n">
        <v>0</v>
      </c>
      <c r="K4065" s="182" t="n">
        <v>8.23</v>
      </c>
      <c r="L4065" s="182" t="n">
        <v>12</v>
      </c>
      <c r="M4065" s="182" t="n">
        <v>3.77</v>
      </c>
      <c r="N4065" s="182" t="n">
        <v>0</v>
      </c>
      <c r="O4065" s="183" t="n">
        <v>13</v>
      </c>
      <c r="P4065" s="183" t="n">
        <v>0</v>
      </c>
      <c r="Q4065" s="184" t="n">
        <v>464.1</v>
      </c>
      <c r="R4065" s="184" t="n">
        <v>0</v>
      </c>
      <c r="S4065" s="183" t="n">
        <v>0</v>
      </c>
      <c r="T4065" s="183" t="n">
        <v>0</v>
      </c>
      <c r="U4065" s="182" t="n">
        <v>4.78</v>
      </c>
      <c r="V4065" s="182" t="n">
        <v>2.2</v>
      </c>
      <c r="W4065" s="182" t="n">
        <v>0</v>
      </c>
      <c r="X4065" s="182" t="n">
        <v>0.96</v>
      </c>
      <c r="Y4065" s="182" t="n">
        <v>0</v>
      </c>
      <c r="Z4065" s="182" t="n">
        <v>0</v>
      </c>
      <c r="AA4065" s="182" t="n">
        <v>0</v>
      </c>
      <c r="AB4065" s="182" t="n">
        <v>0</v>
      </c>
      <c r="AC4065" s="182" t="n">
        <v>0</v>
      </c>
      <c r="AD4065" s="182" t="n">
        <v>0</v>
      </c>
      <c r="AE4065" s="182" t="n">
        <v>0</v>
      </c>
      <c r="AF4065" s="182" t="n">
        <v>0</v>
      </c>
      <c r="AG4065" s="182" t="n">
        <v>0</v>
      </c>
      <c r="AH4065" s="182" t="n">
        <v>0.21</v>
      </c>
      <c r="AI4065" s="182" t="n">
        <v>0</v>
      </c>
      <c r="AJ4065" s="182" t="n">
        <v>0</v>
      </c>
      <c r="AK4065" s="182" t="n">
        <v>0</v>
      </c>
      <c r="AL4065" s="182" t="n">
        <v>0</v>
      </c>
      <c r="AM4065" s="182" t="n">
        <v>0.08</v>
      </c>
      <c r="AN4065" s="182" t="n">
        <v>0</v>
      </c>
    </row>
    <row r="4066">
      <c r="A4066" s="155" t="n">
        <v>46100</v>
      </c>
      <c r="B4066" s="156" t="inlineStr">
        <is>
          <t>DS</t>
        </is>
      </c>
      <c r="C4066" s="156" t="inlineStr">
        <is>
          <t>HD-902</t>
        </is>
      </c>
      <c r="D4066" s="156" t="inlineStr">
        <is>
          <t>SRT 95C</t>
        </is>
      </c>
      <c r="E4066" s="156" t="inlineStr">
        <is>
          <t>Hauler</t>
        </is>
      </c>
      <c r="F4066" s="156" t="inlineStr"/>
      <c r="G4066" s="182" t="n">
        <v>0</v>
      </c>
      <c r="H4066" s="182" t="n">
        <v>0</v>
      </c>
      <c r="I4066" s="182" t="n">
        <v>12</v>
      </c>
      <c r="J4066" s="182" t="n">
        <v>12</v>
      </c>
      <c r="K4066" s="182" t="n">
        <v>0</v>
      </c>
      <c r="L4066" s="182" t="n">
        <v>12</v>
      </c>
      <c r="M4066" s="182" t="n">
        <v>0</v>
      </c>
      <c r="N4066" s="182" t="n">
        <v>0</v>
      </c>
      <c r="O4066" s="183" t="n">
        <v>0</v>
      </c>
      <c r="P4066" s="183" t="n">
        <v>0</v>
      </c>
      <c r="Q4066" s="184" t="n">
        <v>0</v>
      </c>
      <c r="R4066" s="184" t="n">
        <v>0</v>
      </c>
      <c r="S4066" s="183" t="n">
        <v>0</v>
      </c>
      <c r="T4066" s="183" t="n">
        <v>0</v>
      </c>
      <c r="U4066" s="182" t="n">
        <v>0</v>
      </c>
      <c r="V4066" s="182" t="n">
        <v>0</v>
      </c>
      <c r="W4066" s="182" t="n">
        <v>0</v>
      </c>
      <c r="X4066" s="182" t="n">
        <v>0</v>
      </c>
      <c r="Y4066" s="182" t="n">
        <v>0</v>
      </c>
      <c r="Z4066" s="182" t="n">
        <v>0</v>
      </c>
      <c r="AA4066" s="182" t="n">
        <v>0</v>
      </c>
      <c r="AB4066" s="182" t="n">
        <v>0</v>
      </c>
      <c r="AC4066" s="182" t="n">
        <v>0</v>
      </c>
      <c r="AD4066" s="182" t="n">
        <v>0</v>
      </c>
      <c r="AE4066" s="182" t="n">
        <v>0</v>
      </c>
      <c r="AF4066" s="182" t="n">
        <v>0</v>
      </c>
      <c r="AG4066" s="182" t="n">
        <v>0</v>
      </c>
      <c r="AH4066" s="182" t="n">
        <v>0</v>
      </c>
      <c r="AI4066" s="182" t="n">
        <v>0</v>
      </c>
      <c r="AJ4066" s="182" t="n">
        <v>0</v>
      </c>
      <c r="AK4066" s="182" t="n">
        <v>0</v>
      </c>
      <c r="AL4066" s="182" t="n">
        <v>0</v>
      </c>
      <c r="AM4066" s="182" t="n">
        <v>0</v>
      </c>
      <c r="AN4066" s="182" t="n">
        <v>0</v>
      </c>
    </row>
    <row r="4067">
      <c r="A4067" s="155" t="n">
        <v>46100</v>
      </c>
      <c r="B4067" s="156" t="inlineStr">
        <is>
          <t>DS</t>
        </is>
      </c>
      <c r="C4067" s="156" t="inlineStr">
        <is>
          <t>WL-025</t>
        </is>
      </c>
      <c r="D4067" s="156" t="inlineStr">
        <is>
          <t>SANY - Loader</t>
        </is>
      </c>
      <c r="E4067" s="156" t="inlineStr">
        <is>
          <t>Loader</t>
        </is>
      </c>
      <c r="F4067" s="156" t="inlineStr"/>
      <c r="G4067" s="182" t="n">
        <v>0</v>
      </c>
      <c r="H4067" s="182" t="n">
        <v>0</v>
      </c>
      <c r="I4067" s="182" t="n">
        <v>0</v>
      </c>
      <c r="J4067" s="182" t="n">
        <v>0</v>
      </c>
      <c r="K4067" s="182" t="n">
        <v>12</v>
      </c>
      <c r="L4067" s="182" t="n">
        <v>12</v>
      </c>
      <c r="M4067" s="182" t="n">
        <v>0</v>
      </c>
      <c r="N4067" s="182" t="n">
        <v>0</v>
      </c>
      <c r="O4067" s="183" t="n">
        <v>0</v>
      </c>
      <c r="P4067" s="183" t="n">
        <v>0</v>
      </c>
      <c r="Q4067" s="184" t="n">
        <v>0</v>
      </c>
      <c r="R4067" s="184" t="n">
        <v>0</v>
      </c>
      <c r="S4067" s="183" t="n">
        <v>0</v>
      </c>
      <c r="T4067" s="183" t="n">
        <v>0</v>
      </c>
      <c r="U4067" s="182" t="n">
        <v>0</v>
      </c>
      <c r="V4067" s="182" t="n">
        <v>0</v>
      </c>
      <c r="W4067" s="182" t="n">
        <v>0</v>
      </c>
      <c r="X4067" s="182" t="n">
        <v>1</v>
      </c>
      <c r="Y4067" s="182" t="n">
        <v>0</v>
      </c>
      <c r="Z4067" s="182" t="n">
        <v>0</v>
      </c>
      <c r="AA4067" s="182" t="n">
        <v>0</v>
      </c>
      <c r="AB4067" s="182" t="n">
        <v>0</v>
      </c>
      <c r="AC4067" s="182" t="n">
        <v>0</v>
      </c>
      <c r="AD4067" s="182" t="n">
        <v>0</v>
      </c>
      <c r="AE4067" s="182" t="n">
        <v>0</v>
      </c>
      <c r="AF4067" s="182" t="n">
        <v>0</v>
      </c>
      <c r="AG4067" s="182" t="n">
        <v>0</v>
      </c>
      <c r="AH4067" s="182" t="n">
        <v>0</v>
      </c>
      <c r="AI4067" s="182" t="n">
        <v>0</v>
      </c>
      <c r="AJ4067" s="182" t="n">
        <v>0</v>
      </c>
      <c r="AK4067" s="182" t="n">
        <v>10.92</v>
      </c>
      <c r="AL4067" s="182" t="n">
        <v>0</v>
      </c>
      <c r="AM4067" s="182" t="n">
        <v>0.08</v>
      </c>
      <c r="AN4067" s="182" t="n">
        <v>0</v>
      </c>
    </row>
    <row r="4068">
      <c r="A4068" s="155" t="n">
        <v>46100</v>
      </c>
      <c r="B4068" s="156" t="inlineStr">
        <is>
          <t>DS</t>
        </is>
      </c>
      <c r="C4068" s="156" t="inlineStr">
        <is>
          <t>WL-023</t>
        </is>
      </c>
      <c r="D4068" s="156" t="inlineStr">
        <is>
          <t>SANY - Loader</t>
        </is>
      </c>
      <c r="E4068" s="156" t="inlineStr">
        <is>
          <t>Loader</t>
        </is>
      </c>
      <c r="F4068" s="156" t="inlineStr"/>
      <c r="G4068" s="182" t="n">
        <v>0</v>
      </c>
      <c r="H4068" s="182" t="n">
        <v>0</v>
      </c>
      <c r="I4068" s="182" t="n">
        <v>0</v>
      </c>
      <c r="J4068" s="182" t="n">
        <v>0</v>
      </c>
      <c r="K4068" s="182" t="n">
        <v>12</v>
      </c>
      <c r="L4068" s="182" t="n">
        <v>12</v>
      </c>
      <c r="M4068" s="182" t="n">
        <v>0</v>
      </c>
      <c r="N4068" s="182" t="n">
        <v>0</v>
      </c>
      <c r="O4068" s="183" t="n">
        <v>0</v>
      </c>
      <c r="P4068" s="183" t="n">
        <v>0</v>
      </c>
      <c r="Q4068" s="184" t="n">
        <v>0</v>
      </c>
      <c r="R4068" s="184" t="n">
        <v>0</v>
      </c>
      <c r="S4068" s="183" t="n">
        <v>0</v>
      </c>
      <c r="T4068" s="183" t="n">
        <v>0</v>
      </c>
      <c r="U4068" s="182" t="n">
        <v>0</v>
      </c>
      <c r="V4068" s="182" t="n">
        <v>0</v>
      </c>
      <c r="W4068" s="182" t="n">
        <v>0</v>
      </c>
      <c r="X4068" s="182" t="n">
        <v>1</v>
      </c>
      <c r="Y4068" s="182" t="n">
        <v>0</v>
      </c>
      <c r="Z4068" s="182" t="n">
        <v>0</v>
      </c>
      <c r="AA4068" s="182" t="n">
        <v>0</v>
      </c>
      <c r="AB4068" s="182" t="n">
        <v>0</v>
      </c>
      <c r="AC4068" s="182" t="n">
        <v>0</v>
      </c>
      <c r="AD4068" s="182" t="n">
        <v>0</v>
      </c>
      <c r="AE4068" s="182" t="n">
        <v>0</v>
      </c>
      <c r="AF4068" s="182" t="n">
        <v>0</v>
      </c>
      <c r="AG4068" s="182" t="n">
        <v>0</v>
      </c>
      <c r="AH4068" s="182" t="n">
        <v>0</v>
      </c>
      <c r="AI4068" s="182" t="n">
        <v>0</v>
      </c>
      <c r="AJ4068" s="182" t="n">
        <v>0</v>
      </c>
      <c r="AK4068" s="182" t="n">
        <v>10.92</v>
      </c>
      <c r="AL4068" s="182" t="n">
        <v>0</v>
      </c>
      <c r="AM4068" s="182" t="n">
        <v>0.08</v>
      </c>
      <c r="AN4068" s="182" t="n">
        <v>0</v>
      </c>
    </row>
    <row r="4069">
      <c r="A4069" s="155" t="n">
        <v>46100</v>
      </c>
      <c r="B4069" s="156" t="inlineStr">
        <is>
          <t>DS</t>
        </is>
      </c>
      <c r="C4069" s="156" t="inlineStr">
        <is>
          <t>WL-021</t>
        </is>
      </c>
      <c r="D4069" s="156" t="inlineStr">
        <is>
          <t>SANY - Loader</t>
        </is>
      </c>
      <c r="E4069" s="156" t="inlineStr">
        <is>
          <t>Loader</t>
        </is>
      </c>
      <c r="F4069" s="156" t="inlineStr"/>
      <c r="G4069" s="182" t="n">
        <v>0</v>
      </c>
      <c r="H4069" s="182" t="n">
        <v>0</v>
      </c>
      <c r="I4069" s="182" t="n">
        <v>12</v>
      </c>
      <c r="J4069" s="182" t="n">
        <v>12</v>
      </c>
      <c r="K4069" s="182" t="n">
        <v>0</v>
      </c>
      <c r="L4069" s="182" t="n">
        <v>12</v>
      </c>
      <c r="M4069" s="182" t="n">
        <v>0</v>
      </c>
      <c r="N4069" s="182" t="n">
        <v>0</v>
      </c>
      <c r="O4069" s="183" t="n">
        <v>0</v>
      </c>
      <c r="P4069" s="183" t="n">
        <v>0</v>
      </c>
      <c r="Q4069" s="184" t="n">
        <v>0</v>
      </c>
      <c r="R4069" s="184" t="n">
        <v>0</v>
      </c>
      <c r="S4069" s="183" t="n">
        <v>0</v>
      </c>
      <c r="T4069" s="183" t="n">
        <v>0</v>
      </c>
      <c r="U4069" s="182" t="n">
        <v>0</v>
      </c>
      <c r="V4069" s="182" t="n">
        <v>0</v>
      </c>
      <c r="W4069" s="182" t="n">
        <v>0</v>
      </c>
      <c r="X4069" s="182" t="n">
        <v>0</v>
      </c>
      <c r="Y4069" s="182" t="n">
        <v>0</v>
      </c>
      <c r="Z4069" s="182" t="n">
        <v>0</v>
      </c>
      <c r="AA4069" s="182" t="n">
        <v>0</v>
      </c>
      <c r="AB4069" s="182" t="n">
        <v>0</v>
      </c>
      <c r="AC4069" s="182" t="n">
        <v>0</v>
      </c>
      <c r="AD4069" s="182" t="n">
        <v>0</v>
      </c>
      <c r="AE4069" s="182" t="n">
        <v>0</v>
      </c>
      <c r="AF4069" s="182" t="n">
        <v>0</v>
      </c>
      <c r="AG4069" s="182" t="n">
        <v>0</v>
      </c>
      <c r="AH4069" s="182" t="n">
        <v>0</v>
      </c>
      <c r="AI4069" s="182" t="n">
        <v>0</v>
      </c>
      <c r="AJ4069" s="182" t="n">
        <v>0</v>
      </c>
      <c r="AK4069" s="182" t="n">
        <v>0</v>
      </c>
      <c r="AL4069" s="182" t="n">
        <v>0</v>
      </c>
      <c r="AM4069" s="182" t="n">
        <v>0</v>
      </c>
      <c r="AN4069" s="182" t="n">
        <v>0</v>
      </c>
    </row>
    <row r="4070">
      <c r="A4070" s="155" t="n">
        <v>46100</v>
      </c>
      <c r="B4070" s="156" t="inlineStr">
        <is>
          <t>DS</t>
        </is>
      </c>
      <c r="C4070" s="156" t="inlineStr">
        <is>
          <t>WL-022</t>
        </is>
      </c>
      <c r="D4070" s="156" t="inlineStr">
        <is>
          <t>SANY - Loader</t>
        </is>
      </c>
      <c r="E4070" s="156" t="inlineStr">
        <is>
          <t>Loader</t>
        </is>
      </c>
      <c r="F4070" s="156" t="inlineStr">
        <is>
          <t>Support Washing Plant</t>
        </is>
      </c>
      <c r="G4070" s="182" t="n">
        <v>10.34</v>
      </c>
      <c r="H4070" s="182" t="n">
        <v>0</v>
      </c>
      <c r="I4070" s="182" t="n">
        <v>0</v>
      </c>
      <c r="J4070" s="182" t="n">
        <v>0</v>
      </c>
      <c r="K4070" s="182" t="n">
        <v>1.66</v>
      </c>
      <c r="L4070" s="182" t="n">
        <v>12</v>
      </c>
      <c r="M4070" s="182" t="n">
        <v>0</v>
      </c>
      <c r="N4070" s="182" t="n">
        <v>0</v>
      </c>
      <c r="O4070" s="183" t="n">
        <v>0</v>
      </c>
      <c r="P4070" s="183" t="n">
        <v>0</v>
      </c>
      <c r="Q4070" s="184" t="n">
        <v>0</v>
      </c>
      <c r="R4070" s="184" t="n">
        <v>0</v>
      </c>
      <c r="S4070" s="183" t="n">
        <v>0</v>
      </c>
      <c r="T4070" s="183" t="n">
        <v>0</v>
      </c>
      <c r="U4070" s="182" t="n">
        <v>0</v>
      </c>
      <c r="V4070" s="182" t="n">
        <v>0</v>
      </c>
      <c r="W4070" s="182" t="n">
        <v>0</v>
      </c>
      <c r="X4070" s="182" t="n">
        <v>0.98</v>
      </c>
      <c r="Y4070" s="182" t="n">
        <v>0</v>
      </c>
      <c r="Z4070" s="182" t="n">
        <v>0</v>
      </c>
      <c r="AA4070" s="182" t="n">
        <v>0</v>
      </c>
      <c r="AB4070" s="182" t="n">
        <v>0</v>
      </c>
      <c r="AC4070" s="182" t="n">
        <v>0</v>
      </c>
      <c r="AD4070" s="182" t="n">
        <v>0</v>
      </c>
      <c r="AE4070" s="182" t="n">
        <v>0</v>
      </c>
      <c r="AF4070" s="182" t="n">
        <v>0</v>
      </c>
      <c r="AG4070" s="182" t="n">
        <v>0</v>
      </c>
      <c r="AH4070" s="182" t="n">
        <v>0.61</v>
      </c>
      <c r="AI4070" s="182" t="n">
        <v>0</v>
      </c>
      <c r="AJ4070" s="182" t="n">
        <v>0</v>
      </c>
      <c r="AK4070" s="182" t="n">
        <v>0</v>
      </c>
      <c r="AL4070" s="182" t="n">
        <v>0</v>
      </c>
      <c r="AM4070" s="182" t="n">
        <v>0.08</v>
      </c>
      <c r="AN4070" s="182" t="n">
        <v>0</v>
      </c>
    </row>
    <row r="4071">
      <c r="A4071" s="155" t="n">
        <v>46100</v>
      </c>
      <c r="B4071" s="156" t="inlineStr">
        <is>
          <t>DS</t>
        </is>
      </c>
      <c r="C4071" s="156" t="inlineStr">
        <is>
          <t>WL-024</t>
        </is>
      </c>
      <c r="D4071" s="156" t="inlineStr">
        <is>
          <t>SANY - Loader</t>
        </is>
      </c>
      <c r="E4071" s="156" t="inlineStr">
        <is>
          <t>Loader</t>
        </is>
      </c>
      <c r="F4071" s="156" t="inlineStr">
        <is>
          <t>Support Washing Plant</t>
        </is>
      </c>
      <c r="G4071" s="182" t="n">
        <v>9.67</v>
      </c>
      <c r="H4071" s="182" t="n">
        <v>0</v>
      </c>
      <c r="I4071" s="182" t="n">
        <v>0.53</v>
      </c>
      <c r="J4071" s="182" t="n">
        <v>0.53</v>
      </c>
      <c r="K4071" s="182" t="n">
        <v>1.8</v>
      </c>
      <c r="L4071" s="182" t="n">
        <v>12</v>
      </c>
      <c r="M4071" s="182" t="n">
        <v>0</v>
      </c>
      <c r="N4071" s="182" t="n">
        <v>0</v>
      </c>
      <c r="O4071" s="183" t="n">
        <v>0</v>
      </c>
      <c r="P4071" s="183" t="n">
        <v>0</v>
      </c>
      <c r="Q4071" s="184" t="n">
        <v>0</v>
      </c>
      <c r="R4071" s="184" t="n">
        <v>0</v>
      </c>
      <c r="S4071" s="183" t="n">
        <v>0</v>
      </c>
      <c r="T4071" s="183" t="n">
        <v>0</v>
      </c>
      <c r="U4071" s="182" t="n">
        <v>0</v>
      </c>
      <c r="V4071" s="182" t="n">
        <v>0</v>
      </c>
      <c r="W4071" s="182" t="n">
        <v>0</v>
      </c>
      <c r="X4071" s="182" t="n">
        <v>0.87</v>
      </c>
      <c r="Y4071" s="182" t="n">
        <v>0</v>
      </c>
      <c r="Z4071" s="182" t="n">
        <v>0</v>
      </c>
      <c r="AA4071" s="182" t="n">
        <v>0</v>
      </c>
      <c r="AB4071" s="182" t="n">
        <v>0</v>
      </c>
      <c r="AC4071" s="182" t="n">
        <v>0</v>
      </c>
      <c r="AD4071" s="182" t="n">
        <v>0</v>
      </c>
      <c r="AE4071" s="182" t="n">
        <v>0</v>
      </c>
      <c r="AF4071" s="182" t="n">
        <v>0</v>
      </c>
      <c r="AG4071" s="182" t="n">
        <v>0</v>
      </c>
      <c r="AH4071" s="182" t="n">
        <v>0.85</v>
      </c>
      <c r="AI4071" s="182" t="n">
        <v>0</v>
      </c>
      <c r="AJ4071" s="182" t="n">
        <v>0</v>
      </c>
      <c r="AK4071" s="182" t="n">
        <v>0</v>
      </c>
      <c r="AL4071" s="182" t="n">
        <v>0</v>
      </c>
      <c r="AM4071" s="182" t="n">
        <v>0.07000000000000001</v>
      </c>
      <c r="AN4071" s="182" t="n">
        <v>0</v>
      </c>
    </row>
    <row r="4072">
      <c r="A4072" s="155" t="n">
        <v>46100</v>
      </c>
      <c r="B4072" s="156" t="inlineStr">
        <is>
          <t>NS</t>
        </is>
      </c>
      <c r="C4072" s="156" t="inlineStr">
        <is>
          <t>DZ-034</t>
        </is>
      </c>
      <c r="D4072" s="156" t="inlineStr">
        <is>
          <t>D 68ESS-12EO</t>
        </is>
      </c>
      <c r="E4072" s="156" t="inlineStr">
        <is>
          <t>Bulldozer</t>
        </is>
      </c>
      <c r="F4072" s="156" t="inlineStr"/>
      <c r="G4072" s="182" t="n">
        <v>0</v>
      </c>
      <c r="H4072" s="182" t="n">
        <v>0</v>
      </c>
      <c r="I4072" s="182" t="n">
        <v>0</v>
      </c>
      <c r="J4072" s="182" t="n">
        <v>0</v>
      </c>
      <c r="K4072" s="182" t="n">
        <v>12</v>
      </c>
      <c r="L4072" s="182" t="n">
        <v>12</v>
      </c>
      <c r="M4072" s="182" t="n">
        <v>0</v>
      </c>
      <c r="N4072" s="182" t="n">
        <v>0</v>
      </c>
      <c r="O4072" s="183" t="n">
        <v>0</v>
      </c>
      <c r="P4072" s="183" t="n">
        <v>0</v>
      </c>
      <c r="Q4072" s="184" t="n">
        <v>0</v>
      </c>
      <c r="R4072" s="184" t="n">
        <v>0</v>
      </c>
      <c r="S4072" s="183" t="n">
        <v>0</v>
      </c>
      <c r="T4072" s="183" t="n">
        <v>0</v>
      </c>
      <c r="U4072" s="182" t="n">
        <v>0</v>
      </c>
      <c r="V4072" s="182" t="n">
        <v>0</v>
      </c>
      <c r="W4072" s="182" t="n">
        <v>0</v>
      </c>
      <c r="X4072" s="182" t="n">
        <v>1</v>
      </c>
      <c r="Y4072" s="182" t="n">
        <v>0</v>
      </c>
      <c r="Z4072" s="182" t="n">
        <v>0</v>
      </c>
      <c r="AA4072" s="182" t="n">
        <v>0</v>
      </c>
      <c r="AB4072" s="182" t="n">
        <v>0</v>
      </c>
      <c r="AC4072" s="182" t="n">
        <v>0</v>
      </c>
      <c r="AD4072" s="182" t="n">
        <v>0</v>
      </c>
      <c r="AE4072" s="182" t="n">
        <v>0</v>
      </c>
      <c r="AF4072" s="182" t="n">
        <v>0</v>
      </c>
      <c r="AG4072" s="182" t="n">
        <v>0</v>
      </c>
      <c r="AH4072" s="182" t="n">
        <v>0</v>
      </c>
      <c r="AI4072" s="182" t="n">
        <v>0</v>
      </c>
      <c r="AJ4072" s="182" t="n">
        <v>0</v>
      </c>
      <c r="AK4072" s="182" t="n">
        <v>10.92</v>
      </c>
      <c r="AL4072" s="182" t="n">
        <v>0</v>
      </c>
      <c r="AM4072" s="182" t="n">
        <v>0.08</v>
      </c>
      <c r="AN4072" s="182" t="n">
        <v>0</v>
      </c>
    </row>
    <row r="4073">
      <c r="A4073" s="155" t="n">
        <v>46100</v>
      </c>
      <c r="B4073" s="156" t="inlineStr">
        <is>
          <t>NS</t>
        </is>
      </c>
      <c r="C4073" s="156" t="inlineStr">
        <is>
          <t>DZ-033</t>
        </is>
      </c>
      <c r="D4073" s="156" t="inlineStr">
        <is>
          <t>D 375A-6R</t>
        </is>
      </c>
      <c r="E4073" s="156" t="inlineStr">
        <is>
          <t>Bulldozer</t>
        </is>
      </c>
      <c r="F4073" s="156" t="inlineStr">
        <is>
          <t>Support Disposal</t>
        </is>
      </c>
      <c r="G4073" s="182" t="n">
        <v>11.11</v>
      </c>
      <c r="H4073" s="182" t="n">
        <v>0</v>
      </c>
      <c r="I4073" s="182" t="n">
        <v>0</v>
      </c>
      <c r="J4073" s="182" t="n">
        <v>0</v>
      </c>
      <c r="K4073" s="182" t="n">
        <v>0.89</v>
      </c>
      <c r="L4073" s="182" t="n">
        <v>12</v>
      </c>
      <c r="M4073" s="182" t="n">
        <v>0</v>
      </c>
      <c r="N4073" s="182" t="n">
        <v>0</v>
      </c>
      <c r="O4073" s="183" t="n">
        <v>0</v>
      </c>
      <c r="P4073" s="183" t="n">
        <v>0</v>
      </c>
      <c r="Q4073" s="184" t="n">
        <v>0</v>
      </c>
      <c r="R4073" s="184" t="n">
        <v>0</v>
      </c>
      <c r="S4073" s="183" t="n">
        <v>0</v>
      </c>
      <c r="T4073" s="183" t="n">
        <v>0</v>
      </c>
      <c r="U4073" s="182" t="n">
        <v>0</v>
      </c>
      <c r="V4073" s="182" t="n">
        <v>0</v>
      </c>
      <c r="W4073" s="182" t="n">
        <v>0</v>
      </c>
      <c r="X4073" s="182" t="n">
        <v>0.82</v>
      </c>
      <c r="Y4073" s="182" t="n">
        <v>0</v>
      </c>
      <c r="Z4073" s="182" t="n">
        <v>0</v>
      </c>
      <c r="AA4073" s="182" t="n">
        <v>0</v>
      </c>
      <c r="AB4073" s="182" t="n">
        <v>0</v>
      </c>
      <c r="AC4073" s="182" t="n">
        <v>0</v>
      </c>
      <c r="AD4073" s="182" t="n">
        <v>0</v>
      </c>
      <c r="AE4073" s="182" t="n">
        <v>0</v>
      </c>
      <c r="AF4073" s="182" t="n">
        <v>0</v>
      </c>
      <c r="AG4073" s="182" t="n">
        <v>0</v>
      </c>
      <c r="AH4073" s="182" t="n">
        <v>0</v>
      </c>
      <c r="AI4073" s="182" t="n">
        <v>0</v>
      </c>
      <c r="AJ4073" s="182" t="n">
        <v>0</v>
      </c>
      <c r="AK4073" s="182" t="n">
        <v>0</v>
      </c>
      <c r="AL4073" s="182" t="n">
        <v>0</v>
      </c>
      <c r="AM4073" s="182" t="n">
        <v>0.07000000000000001</v>
      </c>
      <c r="AN4073" s="182" t="n">
        <v>0</v>
      </c>
    </row>
    <row r="4074">
      <c r="A4074" s="155" t="n">
        <v>46100</v>
      </c>
      <c r="B4074" s="156" t="inlineStr">
        <is>
          <t>NS</t>
        </is>
      </c>
      <c r="C4074" s="156" t="inlineStr">
        <is>
          <t>DZ-038</t>
        </is>
      </c>
      <c r="D4074" s="156" t="inlineStr">
        <is>
          <t>D 85 ESS-2</t>
        </is>
      </c>
      <c r="E4074" s="156" t="inlineStr">
        <is>
          <t>Bulldozer</t>
        </is>
      </c>
      <c r="F4074" s="156" t="inlineStr">
        <is>
          <t>Support Front Loading</t>
        </is>
      </c>
      <c r="G4074" s="182" t="n">
        <v>7.93</v>
      </c>
      <c r="H4074" s="182" t="n">
        <v>0</v>
      </c>
      <c r="I4074" s="182" t="n">
        <v>3.72</v>
      </c>
      <c r="J4074" s="182" t="n">
        <v>3.72</v>
      </c>
      <c r="K4074" s="182" t="n">
        <v>0.35</v>
      </c>
      <c r="L4074" s="182" t="n">
        <v>12</v>
      </c>
      <c r="M4074" s="182" t="n">
        <v>0</v>
      </c>
      <c r="N4074" s="182" t="n">
        <v>0</v>
      </c>
      <c r="O4074" s="183" t="n">
        <v>0</v>
      </c>
      <c r="P4074" s="183" t="n">
        <v>0</v>
      </c>
      <c r="Q4074" s="184" t="n">
        <v>0</v>
      </c>
      <c r="R4074" s="184" t="n">
        <v>0</v>
      </c>
      <c r="S4074" s="183" t="n">
        <v>0</v>
      </c>
      <c r="T4074" s="183" t="n">
        <v>0</v>
      </c>
      <c r="U4074" s="182" t="n">
        <v>0</v>
      </c>
      <c r="V4074" s="182" t="n">
        <v>0</v>
      </c>
      <c r="W4074" s="182" t="n">
        <v>0</v>
      </c>
      <c r="X4074" s="182" t="n">
        <v>0</v>
      </c>
      <c r="Y4074" s="182" t="n">
        <v>0</v>
      </c>
      <c r="Z4074" s="182" t="n">
        <v>0</v>
      </c>
      <c r="AA4074" s="182" t="n">
        <v>0</v>
      </c>
      <c r="AB4074" s="182" t="n">
        <v>0</v>
      </c>
      <c r="AC4074" s="182" t="n">
        <v>0</v>
      </c>
      <c r="AD4074" s="182" t="n">
        <v>0</v>
      </c>
      <c r="AE4074" s="182" t="n">
        <v>0</v>
      </c>
      <c r="AF4074" s="182" t="n">
        <v>0</v>
      </c>
      <c r="AG4074" s="182" t="n">
        <v>0</v>
      </c>
      <c r="AH4074" s="182" t="n">
        <v>0</v>
      </c>
      <c r="AI4074" s="182" t="n">
        <v>0</v>
      </c>
      <c r="AJ4074" s="182" t="n">
        <v>0</v>
      </c>
      <c r="AK4074" s="182" t="n">
        <v>0</v>
      </c>
      <c r="AL4074" s="182" t="n">
        <v>0</v>
      </c>
      <c r="AM4074" s="182" t="n">
        <v>0.35</v>
      </c>
      <c r="AN4074" s="182" t="n">
        <v>0</v>
      </c>
    </row>
    <row r="4075">
      <c r="A4075" s="155" t="n">
        <v>46100</v>
      </c>
      <c r="B4075" s="156" t="inlineStr">
        <is>
          <t>NS</t>
        </is>
      </c>
      <c r="C4075" s="156" t="inlineStr">
        <is>
          <t>DZ-039</t>
        </is>
      </c>
      <c r="D4075" s="156" t="inlineStr">
        <is>
          <t>D 85 ESS-2</t>
        </is>
      </c>
      <c r="E4075" s="156" t="inlineStr">
        <is>
          <t>Bulldozer</t>
        </is>
      </c>
      <c r="F4075" s="156" t="inlineStr">
        <is>
          <t>Support Disposal</t>
        </is>
      </c>
      <c r="G4075" s="182" t="n">
        <v>9.84</v>
      </c>
      <c r="H4075" s="182" t="n">
        <v>0</v>
      </c>
      <c r="I4075" s="182" t="n">
        <v>0</v>
      </c>
      <c r="J4075" s="182" t="n">
        <v>0</v>
      </c>
      <c r="K4075" s="182" t="n">
        <v>2.16</v>
      </c>
      <c r="L4075" s="182" t="n">
        <v>12</v>
      </c>
      <c r="M4075" s="182" t="n">
        <v>0</v>
      </c>
      <c r="N4075" s="182" t="n">
        <v>0</v>
      </c>
      <c r="O4075" s="183" t="n">
        <v>0</v>
      </c>
      <c r="P4075" s="183" t="n">
        <v>0</v>
      </c>
      <c r="Q4075" s="184" t="n">
        <v>0</v>
      </c>
      <c r="R4075" s="184" t="n">
        <v>0</v>
      </c>
      <c r="S4075" s="183" t="n">
        <v>0</v>
      </c>
      <c r="T4075" s="183" t="n">
        <v>0</v>
      </c>
      <c r="U4075" s="182" t="n">
        <v>0</v>
      </c>
      <c r="V4075" s="182" t="n">
        <v>0</v>
      </c>
      <c r="W4075" s="182" t="n">
        <v>0</v>
      </c>
      <c r="X4075" s="182" t="n">
        <v>1.2</v>
      </c>
      <c r="Y4075" s="182" t="n">
        <v>0</v>
      </c>
      <c r="Z4075" s="182" t="n">
        <v>0</v>
      </c>
      <c r="AA4075" s="182" t="n">
        <v>0</v>
      </c>
      <c r="AB4075" s="182" t="n">
        <v>0</v>
      </c>
      <c r="AC4075" s="182" t="n">
        <v>0</v>
      </c>
      <c r="AD4075" s="182" t="n">
        <v>0</v>
      </c>
      <c r="AE4075" s="182" t="n">
        <v>0</v>
      </c>
      <c r="AF4075" s="182" t="n">
        <v>0</v>
      </c>
      <c r="AG4075" s="182" t="n">
        <v>0</v>
      </c>
      <c r="AH4075" s="182" t="n">
        <v>0.86</v>
      </c>
      <c r="AI4075" s="182" t="n">
        <v>0</v>
      </c>
      <c r="AJ4075" s="182" t="n">
        <v>0</v>
      </c>
      <c r="AK4075" s="182" t="n">
        <v>0</v>
      </c>
      <c r="AL4075" s="182" t="n">
        <v>0</v>
      </c>
      <c r="AM4075" s="182" t="n">
        <v>0.1</v>
      </c>
      <c r="AN4075" s="182" t="n">
        <v>0</v>
      </c>
    </row>
    <row r="4076">
      <c r="A4076" s="155" t="n">
        <v>46100</v>
      </c>
      <c r="B4076" s="156" t="inlineStr">
        <is>
          <t>NS</t>
        </is>
      </c>
      <c r="C4076" s="156" t="inlineStr">
        <is>
          <t>DZ-032</t>
        </is>
      </c>
      <c r="D4076" s="156" t="inlineStr">
        <is>
          <t>CAT</t>
        </is>
      </c>
      <c r="E4076" s="156" t="inlineStr">
        <is>
          <t>Bulldozer</t>
        </is>
      </c>
      <c r="F4076" s="156" t="inlineStr"/>
      <c r="G4076" s="182" t="n">
        <v>0</v>
      </c>
      <c r="H4076" s="182" t="n">
        <v>0</v>
      </c>
      <c r="I4076" s="182" t="n">
        <v>12</v>
      </c>
      <c r="J4076" s="182" t="n">
        <v>12</v>
      </c>
      <c r="K4076" s="182" t="n">
        <v>0</v>
      </c>
      <c r="L4076" s="182" t="n">
        <v>12</v>
      </c>
      <c r="M4076" s="182" t="n">
        <v>0</v>
      </c>
      <c r="N4076" s="182" t="n">
        <v>0</v>
      </c>
      <c r="O4076" s="183" t="n">
        <v>0</v>
      </c>
      <c r="P4076" s="183" t="n">
        <v>0</v>
      </c>
      <c r="Q4076" s="184" t="n">
        <v>0</v>
      </c>
      <c r="R4076" s="184" t="n">
        <v>0</v>
      </c>
      <c r="S4076" s="183" t="n">
        <v>0</v>
      </c>
      <c r="T4076" s="183" t="n">
        <v>0</v>
      </c>
      <c r="U4076" s="182" t="n">
        <v>0</v>
      </c>
      <c r="V4076" s="182" t="n">
        <v>0</v>
      </c>
      <c r="W4076" s="182" t="n">
        <v>0</v>
      </c>
      <c r="X4076" s="182" t="n">
        <v>0</v>
      </c>
      <c r="Y4076" s="182" t="n">
        <v>0</v>
      </c>
      <c r="Z4076" s="182" t="n">
        <v>0</v>
      </c>
      <c r="AA4076" s="182" t="n">
        <v>0</v>
      </c>
      <c r="AB4076" s="182" t="n">
        <v>0</v>
      </c>
      <c r="AC4076" s="182" t="n">
        <v>0</v>
      </c>
      <c r="AD4076" s="182" t="n">
        <v>0</v>
      </c>
      <c r="AE4076" s="182" t="n">
        <v>0</v>
      </c>
      <c r="AF4076" s="182" t="n">
        <v>0</v>
      </c>
      <c r="AG4076" s="182" t="n">
        <v>0</v>
      </c>
      <c r="AH4076" s="182" t="n">
        <v>0</v>
      </c>
      <c r="AI4076" s="182" t="n">
        <v>0</v>
      </c>
      <c r="AJ4076" s="182" t="n">
        <v>0</v>
      </c>
      <c r="AK4076" s="182" t="n">
        <v>0</v>
      </c>
      <c r="AL4076" s="182" t="n">
        <v>0</v>
      </c>
      <c r="AM4076" s="182" t="n">
        <v>0</v>
      </c>
      <c r="AN4076" s="182" t="n">
        <v>0</v>
      </c>
    </row>
    <row r="4077">
      <c r="A4077" s="155" t="n">
        <v>46100</v>
      </c>
      <c r="B4077" s="156" t="inlineStr">
        <is>
          <t>NS</t>
        </is>
      </c>
      <c r="C4077" s="156" t="inlineStr">
        <is>
          <t>DZ-031</t>
        </is>
      </c>
      <c r="D4077" s="156" t="inlineStr">
        <is>
          <t>CAT</t>
        </is>
      </c>
      <c r="E4077" s="156" t="inlineStr">
        <is>
          <t>Bulldozer</t>
        </is>
      </c>
      <c r="F4077" s="156" t="inlineStr">
        <is>
          <t>Support Front Loading</t>
        </is>
      </c>
      <c r="G4077" s="182" t="n">
        <v>10.22</v>
      </c>
      <c r="H4077" s="182" t="n">
        <v>0</v>
      </c>
      <c r="I4077" s="182" t="n">
        <v>0.25</v>
      </c>
      <c r="J4077" s="182" t="n">
        <v>0.25</v>
      </c>
      <c r="K4077" s="182" t="n">
        <v>1.53</v>
      </c>
      <c r="L4077" s="182" t="n">
        <v>12</v>
      </c>
      <c r="M4077" s="182" t="n">
        <v>0</v>
      </c>
      <c r="N4077" s="182" t="n">
        <v>0</v>
      </c>
      <c r="O4077" s="183" t="n">
        <v>0</v>
      </c>
      <c r="P4077" s="183" t="n">
        <v>0</v>
      </c>
      <c r="Q4077" s="184" t="n">
        <v>0</v>
      </c>
      <c r="R4077" s="184" t="n">
        <v>0</v>
      </c>
      <c r="S4077" s="183" t="n">
        <v>0</v>
      </c>
      <c r="T4077" s="183" t="n">
        <v>0</v>
      </c>
      <c r="U4077" s="182" t="n">
        <v>0</v>
      </c>
      <c r="V4077" s="182" t="n">
        <v>0</v>
      </c>
      <c r="W4077" s="182" t="n">
        <v>0</v>
      </c>
      <c r="X4077" s="182" t="n">
        <v>0.87</v>
      </c>
      <c r="Y4077" s="182" t="n">
        <v>0</v>
      </c>
      <c r="Z4077" s="182" t="n">
        <v>0</v>
      </c>
      <c r="AA4077" s="182" t="n">
        <v>0</v>
      </c>
      <c r="AB4077" s="182" t="n">
        <v>0</v>
      </c>
      <c r="AC4077" s="182" t="n">
        <v>0</v>
      </c>
      <c r="AD4077" s="182" t="n">
        <v>0</v>
      </c>
      <c r="AE4077" s="182" t="n">
        <v>0</v>
      </c>
      <c r="AF4077" s="182" t="n">
        <v>0</v>
      </c>
      <c r="AG4077" s="182" t="n">
        <v>0</v>
      </c>
      <c r="AH4077" s="182" t="n">
        <v>0.59</v>
      </c>
      <c r="AI4077" s="182" t="n">
        <v>0</v>
      </c>
      <c r="AJ4077" s="182" t="n">
        <v>0</v>
      </c>
      <c r="AK4077" s="182" t="n">
        <v>0</v>
      </c>
      <c r="AL4077" s="182" t="n">
        <v>0</v>
      </c>
      <c r="AM4077" s="182" t="n">
        <v>0.07000000000000001</v>
      </c>
      <c r="AN4077" s="182" t="n">
        <v>0</v>
      </c>
    </row>
    <row r="4078">
      <c r="A4078" s="155" t="n">
        <v>46100</v>
      </c>
      <c r="B4078" s="156" t="inlineStr">
        <is>
          <t>NS</t>
        </is>
      </c>
      <c r="C4078" s="156" t="inlineStr">
        <is>
          <t>DZ-037</t>
        </is>
      </c>
      <c r="D4078" s="156" t="inlineStr">
        <is>
          <t>D 85 ESS-2</t>
        </is>
      </c>
      <c r="E4078" s="156" t="inlineStr">
        <is>
          <t>Bulldozer</t>
        </is>
      </c>
      <c r="F4078" s="156" t="inlineStr"/>
      <c r="G4078" s="182" t="n">
        <v>0</v>
      </c>
      <c r="H4078" s="182" t="n">
        <v>0</v>
      </c>
      <c r="I4078" s="182" t="n">
        <v>12</v>
      </c>
      <c r="J4078" s="182" t="n">
        <v>12</v>
      </c>
      <c r="K4078" s="182" t="n">
        <v>0</v>
      </c>
      <c r="L4078" s="182" t="n">
        <v>12</v>
      </c>
      <c r="M4078" s="182" t="n">
        <v>0</v>
      </c>
      <c r="N4078" s="182" t="n">
        <v>0</v>
      </c>
      <c r="O4078" s="183" t="n">
        <v>0</v>
      </c>
      <c r="P4078" s="183" t="n">
        <v>0</v>
      </c>
      <c r="Q4078" s="184" t="n">
        <v>0</v>
      </c>
      <c r="R4078" s="184" t="n">
        <v>0</v>
      </c>
      <c r="S4078" s="183" t="n">
        <v>0</v>
      </c>
      <c r="T4078" s="183" t="n">
        <v>0</v>
      </c>
      <c r="U4078" s="182" t="n">
        <v>0</v>
      </c>
      <c r="V4078" s="182" t="n">
        <v>0</v>
      </c>
      <c r="W4078" s="182" t="n">
        <v>0</v>
      </c>
      <c r="X4078" s="182" t="n">
        <v>0</v>
      </c>
      <c r="Y4078" s="182" t="n">
        <v>0</v>
      </c>
      <c r="Z4078" s="182" t="n">
        <v>0</v>
      </c>
      <c r="AA4078" s="182" t="n">
        <v>0</v>
      </c>
      <c r="AB4078" s="182" t="n">
        <v>0</v>
      </c>
      <c r="AC4078" s="182" t="n">
        <v>0</v>
      </c>
      <c r="AD4078" s="182" t="n">
        <v>0</v>
      </c>
      <c r="AE4078" s="182" t="n">
        <v>0</v>
      </c>
      <c r="AF4078" s="182" t="n">
        <v>0</v>
      </c>
      <c r="AG4078" s="182" t="n">
        <v>0</v>
      </c>
      <c r="AH4078" s="182" t="n">
        <v>0</v>
      </c>
      <c r="AI4078" s="182" t="n">
        <v>0</v>
      </c>
      <c r="AJ4078" s="182" t="n">
        <v>0</v>
      </c>
      <c r="AK4078" s="182" t="n">
        <v>0</v>
      </c>
      <c r="AL4078" s="182" t="n">
        <v>0</v>
      </c>
      <c r="AM4078" s="182" t="n">
        <v>0</v>
      </c>
      <c r="AN4078" s="182" t="n">
        <v>0</v>
      </c>
    </row>
    <row r="4079">
      <c r="A4079" s="155" t="n">
        <v>46100</v>
      </c>
      <c r="B4079" s="156" t="inlineStr">
        <is>
          <t>NS</t>
        </is>
      </c>
      <c r="C4079" s="156" t="inlineStr">
        <is>
          <t>DZ-036</t>
        </is>
      </c>
      <c r="D4079" s="156" t="inlineStr">
        <is>
          <t>D 85 ESS-2</t>
        </is>
      </c>
      <c r="E4079" s="156" t="inlineStr">
        <is>
          <t>Bulldozer</t>
        </is>
      </c>
      <c r="F4079" s="156" t="inlineStr"/>
      <c r="G4079" s="182" t="n">
        <v>0</v>
      </c>
      <c r="H4079" s="182" t="n">
        <v>0</v>
      </c>
      <c r="I4079" s="182" t="n">
        <v>0</v>
      </c>
      <c r="J4079" s="182" t="n">
        <v>0</v>
      </c>
      <c r="K4079" s="182" t="n">
        <v>12</v>
      </c>
      <c r="L4079" s="182" t="n">
        <v>12</v>
      </c>
      <c r="M4079" s="182" t="n">
        <v>0</v>
      </c>
      <c r="N4079" s="182" t="n">
        <v>0</v>
      </c>
      <c r="O4079" s="183" t="n">
        <v>0</v>
      </c>
      <c r="P4079" s="183" t="n">
        <v>0</v>
      </c>
      <c r="Q4079" s="184" t="n">
        <v>0</v>
      </c>
      <c r="R4079" s="184" t="n">
        <v>0</v>
      </c>
      <c r="S4079" s="183" t="n">
        <v>0</v>
      </c>
      <c r="T4079" s="183" t="n">
        <v>0</v>
      </c>
      <c r="U4079" s="182" t="n">
        <v>0</v>
      </c>
      <c r="V4079" s="182" t="n">
        <v>0</v>
      </c>
      <c r="W4079" s="182" t="n">
        <v>0</v>
      </c>
      <c r="X4079" s="182" t="n">
        <v>1</v>
      </c>
      <c r="Y4079" s="182" t="n">
        <v>0</v>
      </c>
      <c r="Z4079" s="182" t="n">
        <v>0</v>
      </c>
      <c r="AA4079" s="182" t="n">
        <v>0</v>
      </c>
      <c r="AB4079" s="182" t="n">
        <v>0</v>
      </c>
      <c r="AC4079" s="182" t="n">
        <v>0</v>
      </c>
      <c r="AD4079" s="182" t="n">
        <v>0</v>
      </c>
      <c r="AE4079" s="182" t="n">
        <v>0</v>
      </c>
      <c r="AF4079" s="182" t="n">
        <v>0</v>
      </c>
      <c r="AG4079" s="182" t="n">
        <v>0</v>
      </c>
      <c r="AH4079" s="182" t="n">
        <v>0</v>
      </c>
      <c r="AI4079" s="182" t="n">
        <v>0</v>
      </c>
      <c r="AJ4079" s="182" t="n">
        <v>0</v>
      </c>
      <c r="AK4079" s="182" t="n">
        <v>10.92</v>
      </c>
      <c r="AL4079" s="182" t="n">
        <v>0</v>
      </c>
      <c r="AM4079" s="182" t="n">
        <v>0.08</v>
      </c>
      <c r="AN4079" s="182" t="n">
        <v>0</v>
      </c>
    </row>
    <row r="4080">
      <c r="A4080" s="155" t="n">
        <v>46100</v>
      </c>
      <c r="B4080" s="156" t="inlineStr">
        <is>
          <t>NS</t>
        </is>
      </c>
      <c r="C4080" s="156" t="inlineStr">
        <is>
          <t>DZ-035</t>
        </is>
      </c>
      <c r="D4080" s="156" t="inlineStr">
        <is>
          <t>D 85 ESS-2</t>
        </is>
      </c>
      <c r="E4080" s="156" t="inlineStr">
        <is>
          <t>Bulldozer</t>
        </is>
      </c>
      <c r="F4080" s="156" t="inlineStr"/>
      <c r="G4080" s="182" t="n">
        <v>0</v>
      </c>
      <c r="H4080" s="182" t="n">
        <v>0</v>
      </c>
      <c r="I4080" s="182" t="n">
        <v>2.75</v>
      </c>
      <c r="J4080" s="182" t="n">
        <v>2.75</v>
      </c>
      <c r="K4080" s="182" t="n">
        <v>9.25</v>
      </c>
      <c r="L4080" s="182" t="n">
        <v>12</v>
      </c>
      <c r="M4080" s="182" t="n">
        <v>0</v>
      </c>
      <c r="N4080" s="182" t="n">
        <v>0</v>
      </c>
      <c r="O4080" s="183" t="n">
        <v>0</v>
      </c>
      <c r="P4080" s="183" t="n">
        <v>0</v>
      </c>
      <c r="Q4080" s="184" t="n">
        <v>0</v>
      </c>
      <c r="R4080" s="184" t="n">
        <v>0</v>
      </c>
      <c r="S4080" s="183" t="n">
        <v>0</v>
      </c>
      <c r="T4080" s="183" t="n">
        <v>0</v>
      </c>
      <c r="U4080" s="182" t="n">
        <v>0</v>
      </c>
      <c r="V4080" s="182" t="n">
        <v>0</v>
      </c>
      <c r="W4080" s="182" t="n">
        <v>0</v>
      </c>
      <c r="X4080" s="182" t="n">
        <v>1</v>
      </c>
      <c r="Y4080" s="182" t="n">
        <v>0</v>
      </c>
      <c r="Z4080" s="182" t="n">
        <v>0</v>
      </c>
      <c r="AA4080" s="182" t="n">
        <v>0</v>
      </c>
      <c r="AB4080" s="182" t="n">
        <v>0</v>
      </c>
      <c r="AC4080" s="182" t="n">
        <v>0</v>
      </c>
      <c r="AD4080" s="182" t="n">
        <v>0</v>
      </c>
      <c r="AE4080" s="182" t="n">
        <v>0</v>
      </c>
      <c r="AF4080" s="182" t="n">
        <v>0</v>
      </c>
      <c r="AG4080" s="182" t="n">
        <v>0</v>
      </c>
      <c r="AH4080" s="182" t="n">
        <v>0</v>
      </c>
      <c r="AI4080" s="182" t="n">
        <v>0</v>
      </c>
      <c r="AJ4080" s="182" t="n">
        <v>0</v>
      </c>
      <c r="AK4080" s="182" t="n">
        <v>8.17</v>
      </c>
      <c r="AL4080" s="182" t="n">
        <v>0</v>
      </c>
      <c r="AM4080" s="182" t="n">
        <v>0.08</v>
      </c>
      <c r="AN4080" s="182" t="n">
        <v>0</v>
      </c>
    </row>
    <row r="4081">
      <c r="A4081" s="155" t="n">
        <v>46100</v>
      </c>
      <c r="B4081" s="156" t="inlineStr">
        <is>
          <t>NS</t>
        </is>
      </c>
      <c r="C4081" s="156" t="inlineStr">
        <is>
          <t>CP-042</t>
        </is>
      </c>
      <c r="D4081" s="156" t="inlineStr">
        <is>
          <t>SANY - Compactor</t>
        </is>
      </c>
      <c r="E4081" s="156" t="inlineStr">
        <is>
          <t>Compactor</t>
        </is>
      </c>
      <c r="F4081" s="156" t="inlineStr"/>
      <c r="G4081" s="182" t="n">
        <v>0</v>
      </c>
      <c r="H4081" s="182" t="n">
        <v>0</v>
      </c>
      <c r="I4081" s="182" t="n">
        <v>0</v>
      </c>
      <c r="J4081" s="182" t="n">
        <v>0</v>
      </c>
      <c r="K4081" s="182" t="n">
        <v>12</v>
      </c>
      <c r="L4081" s="182" t="n">
        <v>12</v>
      </c>
      <c r="M4081" s="182" t="n">
        <v>0</v>
      </c>
      <c r="N4081" s="182" t="n">
        <v>0</v>
      </c>
      <c r="O4081" s="183" t="n">
        <v>0</v>
      </c>
      <c r="P4081" s="183" t="n">
        <v>0</v>
      </c>
      <c r="Q4081" s="184" t="n">
        <v>0</v>
      </c>
      <c r="R4081" s="184" t="n">
        <v>0</v>
      </c>
      <c r="S4081" s="183" t="n">
        <v>0</v>
      </c>
      <c r="T4081" s="183" t="n">
        <v>0</v>
      </c>
      <c r="U4081" s="182" t="n">
        <v>0</v>
      </c>
      <c r="V4081" s="182" t="n">
        <v>0</v>
      </c>
      <c r="W4081" s="182" t="n">
        <v>0</v>
      </c>
      <c r="X4081" s="182" t="n">
        <v>1</v>
      </c>
      <c r="Y4081" s="182" t="n">
        <v>0</v>
      </c>
      <c r="Z4081" s="182" t="n">
        <v>0</v>
      </c>
      <c r="AA4081" s="182" t="n">
        <v>0</v>
      </c>
      <c r="AB4081" s="182" t="n">
        <v>0</v>
      </c>
      <c r="AC4081" s="182" t="n">
        <v>0</v>
      </c>
      <c r="AD4081" s="182" t="n">
        <v>0</v>
      </c>
      <c r="AE4081" s="182" t="n">
        <v>0</v>
      </c>
      <c r="AF4081" s="182" t="n">
        <v>0</v>
      </c>
      <c r="AG4081" s="182" t="n">
        <v>0</v>
      </c>
      <c r="AH4081" s="182" t="n">
        <v>0</v>
      </c>
      <c r="AI4081" s="182" t="n">
        <v>0</v>
      </c>
      <c r="AJ4081" s="182" t="n">
        <v>0</v>
      </c>
      <c r="AK4081" s="182" t="n">
        <v>10.92</v>
      </c>
      <c r="AL4081" s="182" t="n">
        <v>0</v>
      </c>
      <c r="AM4081" s="182" t="n">
        <v>0.08</v>
      </c>
      <c r="AN4081" s="182" t="n">
        <v>0</v>
      </c>
    </row>
    <row r="4082">
      <c r="A4082" s="155" t="n">
        <v>46100</v>
      </c>
      <c r="B4082" s="156" t="inlineStr">
        <is>
          <t>NS</t>
        </is>
      </c>
      <c r="C4082" s="156" t="inlineStr">
        <is>
          <t>CP-041</t>
        </is>
      </c>
      <c r="D4082" s="156" t="inlineStr">
        <is>
          <t>SANY - Compactor</t>
        </is>
      </c>
      <c r="E4082" s="156" t="inlineStr">
        <is>
          <t>Compactor</t>
        </is>
      </c>
      <c r="F4082" s="156" t="inlineStr"/>
      <c r="G4082" s="182" t="n">
        <v>0</v>
      </c>
      <c r="H4082" s="182" t="n">
        <v>0</v>
      </c>
      <c r="I4082" s="182" t="n">
        <v>0</v>
      </c>
      <c r="J4082" s="182" t="n">
        <v>0</v>
      </c>
      <c r="K4082" s="182" t="n">
        <v>12</v>
      </c>
      <c r="L4082" s="182" t="n">
        <v>12</v>
      </c>
      <c r="M4082" s="182" t="n">
        <v>0</v>
      </c>
      <c r="N4082" s="182" t="n">
        <v>0</v>
      </c>
      <c r="O4082" s="183" t="n">
        <v>0</v>
      </c>
      <c r="P4082" s="183" t="n">
        <v>0</v>
      </c>
      <c r="Q4082" s="184" t="n">
        <v>0</v>
      </c>
      <c r="R4082" s="184" t="n">
        <v>0</v>
      </c>
      <c r="S4082" s="183" t="n">
        <v>0</v>
      </c>
      <c r="T4082" s="183" t="n">
        <v>0</v>
      </c>
      <c r="U4082" s="182" t="n">
        <v>0</v>
      </c>
      <c r="V4082" s="182" t="n">
        <v>0</v>
      </c>
      <c r="W4082" s="182" t="n">
        <v>0</v>
      </c>
      <c r="X4082" s="182" t="n">
        <v>1</v>
      </c>
      <c r="Y4082" s="182" t="n">
        <v>0</v>
      </c>
      <c r="Z4082" s="182" t="n">
        <v>0</v>
      </c>
      <c r="AA4082" s="182" t="n">
        <v>0</v>
      </c>
      <c r="AB4082" s="182" t="n">
        <v>0</v>
      </c>
      <c r="AC4082" s="182" t="n">
        <v>0</v>
      </c>
      <c r="AD4082" s="182" t="n">
        <v>0</v>
      </c>
      <c r="AE4082" s="182" t="n">
        <v>0</v>
      </c>
      <c r="AF4082" s="182" t="n">
        <v>0</v>
      </c>
      <c r="AG4082" s="182" t="n">
        <v>0</v>
      </c>
      <c r="AH4082" s="182" t="n">
        <v>0</v>
      </c>
      <c r="AI4082" s="182" t="n">
        <v>0</v>
      </c>
      <c r="AJ4082" s="182" t="n">
        <v>0</v>
      </c>
      <c r="AK4082" s="182" t="n">
        <v>10.92</v>
      </c>
      <c r="AL4082" s="182" t="n">
        <v>0</v>
      </c>
      <c r="AM4082" s="182" t="n">
        <v>0.08</v>
      </c>
      <c r="AN4082" s="182" t="n">
        <v>0</v>
      </c>
    </row>
    <row r="4083">
      <c r="A4083" s="155" t="n">
        <v>46100</v>
      </c>
      <c r="B4083" s="156" t="inlineStr">
        <is>
          <t>NS</t>
        </is>
      </c>
      <c r="C4083" s="156" t="inlineStr">
        <is>
          <t>HT-418</t>
        </is>
      </c>
      <c r="D4083" s="156" t="inlineStr">
        <is>
          <t>SY430</t>
        </is>
      </c>
      <c r="E4083" s="156" t="inlineStr">
        <is>
          <t>DT Hauling</t>
        </is>
      </c>
      <c r="F4083" s="156" t="inlineStr"/>
      <c r="G4083" s="182" t="n">
        <v>0</v>
      </c>
      <c r="H4083" s="182" t="n">
        <v>0</v>
      </c>
      <c r="I4083" s="182" t="n">
        <v>0</v>
      </c>
      <c r="J4083" s="182" t="n">
        <v>0</v>
      </c>
      <c r="K4083" s="182" t="n">
        <v>12</v>
      </c>
      <c r="L4083" s="182" t="n">
        <v>12</v>
      </c>
      <c r="M4083" s="182" t="n">
        <v>0</v>
      </c>
      <c r="N4083" s="182" t="n">
        <v>0</v>
      </c>
      <c r="O4083" s="183" t="n">
        <v>0</v>
      </c>
      <c r="P4083" s="183" t="n">
        <v>0</v>
      </c>
      <c r="Q4083" s="184" t="n">
        <v>0</v>
      </c>
      <c r="R4083" s="184" t="n">
        <v>0</v>
      </c>
      <c r="S4083" s="183" t="n">
        <v>0</v>
      </c>
      <c r="T4083" s="183" t="n">
        <v>0</v>
      </c>
      <c r="U4083" s="182" t="n">
        <v>0</v>
      </c>
      <c r="V4083" s="182" t="n">
        <v>0</v>
      </c>
      <c r="W4083" s="182" t="n">
        <v>0</v>
      </c>
      <c r="X4083" s="182" t="n">
        <v>1</v>
      </c>
      <c r="Y4083" s="182" t="n">
        <v>0</v>
      </c>
      <c r="Z4083" s="182" t="n">
        <v>0</v>
      </c>
      <c r="AA4083" s="182" t="n">
        <v>0</v>
      </c>
      <c r="AB4083" s="182" t="n">
        <v>0</v>
      </c>
      <c r="AC4083" s="182" t="n">
        <v>0</v>
      </c>
      <c r="AD4083" s="182" t="n">
        <v>0</v>
      </c>
      <c r="AE4083" s="182" t="n">
        <v>0</v>
      </c>
      <c r="AF4083" s="182" t="n">
        <v>0</v>
      </c>
      <c r="AG4083" s="182" t="n">
        <v>0</v>
      </c>
      <c r="AH4083" s="182" t="n">
        <v>0</v>
      </c>
      <c r="AI4083" s="182" t="n">
        <v>0</v>
      </c>
      <c r="AJ4083" s="182" t="n">
        <v>0</v>
      </c>
      <c r="AK4083" s="182" t="n">
        <v>10.92</v>
      </c>
      <c r="AL4083" s="182" t="n">
        <v>0</v>
      </c>
      <c r="AM4083" s="182" t="n">
        <v>0.08</v>
      </c>
      <c r="AN4083" s="182" t="n">
        <v>0</v>
      </c>
    </row>
    <row r="4084">
      <c r="A4084" s="155" t="n">
        <v>46100</v>
      </c>
      <c r="B4084" s="156" t="inlineStr">
        <is>
          <t>NS</t>
        </is>
      </c>
      <c r="C4084" s="156" t="inlineStr">
        <is>
          <t>HT-404</t>
        </is>
      </c>
      <c r="D4084" s="156" t="inlineStr">
        <is>
          <t>SY430</t>
        </is>
      </c>
      <c r="E4084" s="156" t="inlineStr">
        <is>
          <t>DT Hauling</t>
        </is>
      </c>
      <c r="F4084" s="156" t="inlineStr"/>
      <c r="G4084" s="182" t="n">
        <v>0</v>
      </c>
      <c r="H4084" s="182" t="n">
        <v>0</v>
      </c>
      <c r="I4084" s="182" t="n">
        <v>0</v>
      </c>
      <c r="J4084" s="182" t="n">
        <v>0</v>
      </c>
      <c r="K4084" s="182" t="n">
        <v>12</v>
      </c>
      <c r="L4084" s="182" t="n">
        <v>12</v>
      </c>
      <c r="M4084" s="182" t="n">
        <v>0</v>
      </c>
      <c r="N4084" s="182" t="n">
        <v>0</v>
      </c>
      <c r="O4084" s="183" t="n">
        <v>0</v>
      </c>
      <c r="P4084" s="183" t="n">
        <v>0</v>
      </c>
      <c r="Q4084" s="184" t="n">
        <v>0</v>
      </c>
      <c r="R4084" s="184" t="n">
        <v>0</v>
      </c>
      <c r="S4084" s="183" t="n">
        <v>0</v>
      </c>
      <c r="T4084" s="183" t="n">
        <v>0</v>
      </c>
      <c r="U4084" s="182" t="n">
        <v>0</v>
      </c>
      <c r="V4084" s="182" t="n">
        <v>0</v>
      </c>
      <c r="W4084" s="182" t="n">
        <v>0</v>
      </c>
      <c r="X4084" s="182" t="n">
        <v>1</v>
      </c>
      <c r="Y4084" s="182" t="n">
        <v>0</v>
      </c>
      <c r="Z4084" s="182" t="n">
        <v>0</v>
      </c>
      <c r="AA4084" s="182" t="n">
        <v>0</v>
      </c>
      <c r="AB4084" s="182" t="n">
        <v>0</v>
      </c>
      <c r="AC4084" s="182" t="n">
        <v>0</v>
      </c>
      <c r="AD4084" s="182" t="n">
        <v>0</v>
      </c>
      <c r="AE4084" s="182" t="n">
        <v>0</v>
      </c>
      <c r="AF4084" s="182" t="n">
        <v>0</v>
      </c>
      <c r="AG4084" s="182" t="n">
        <v>0</v>
      </c>
      <c r="AH4084" s="182" t="n">
        <v>0</v>
      </c>
      <c r="AI4084" s="182" t="n">
        <v>0</v>
      </c>
      <c r="AJ4084" s="182" t="n">
        <v>0</v>
      </c>
      <c r="AK4084" s="182" t="n">
        <v>10.92</v>
      </c>
      <c r="AL4084" s="182" t="n">
        <v>0</v>
      </c>
      <c r="AM4084" s="182" t="n">
        <v>0.08</v>
      </c>
      <c r="AN4084" s="182" t="n">
        <v>0</v>
      </c>
    </row>
    <row r="4085">
      <c r="A4085" s="155" t="n">
        <v>46100</v>
      </c>
      <c r="B4085" s="156" t="inlineStr">
        <is>
          <t>NS</t>
        </is>
      </c>
      <c r="C4085" s="156" t="inlineStr">
        <is>
          <t>HT-415</t>
        </is>
      </c>
      <c r="D4085" s="156" t="inlineStr">
        <is>
          <t>SY430</t>
        </is>
      </c>
      <c r="E4085" s="156" t="inlineStr">
        <is>
          <t>DT Hauling</t>
        </is>
      </c>
      <c r="F4085" s="156" t="inlineStr"/>
      <c r="G4085" s="182" t="n">
        <v>0</v>
      </c>
      <c r="H4085" s="182" t="n">
        <v>0</v>
      </c>
      <c r="I4085" s="182" t="n">
        <v>12</v>
      </c>
      <c r="J4085" s="182" t="n">
        <v>12</v>
      </c>
      <c r="K4085" s="182" t="n">
        <v>0</v>
      </c>
      <c r="L4085" s="182" t="n">
        <v>12</v>
      </c>
      <c r="M4085" s="182" t="n">
        <v>0</v>
      </c>
      <c r="N4085" s="182" t="n">
        <v>0</v>
      </c>
      <c r="O4085" s="183" t="n">
        <v>0</v>
      </c>
      <c r="P4085" s="183" t="n">
        <v>0</v>
      </c>
      <c r="Q4085" s="184" t="n">
        <v>0</v>
      </c>
      <c r="R4085" s="184" t="n">
        <v>0</v>
      </c>
      <c r="S4085" s="183" t="n">
        <v>0</v>
      </c>
      <c r="T4085" s="183" t="n">
        <v>0</v>
      </c>
      <c r="U4085" s="182" t="n">
        <v>0</v>
      </c>
      <c r="V4085" s="182" t="n">
        <v>0</v>
      </c>
      <c r="W4085" s="182" t="n">
        <v>0</v>
      </c>
      <c r="X4085" s="182" t="n">
        <v>0</v>
      </c>
      <c r="Y4085" s="182" t="n">
        <v>0</v>
      </c>
      <c r="Z4085" s="182" t="n">
        <v>0</v>
      </c>
      <c r="AA4085" s="182" t="n">
        <v>0</v>
      </c>
      <c r="AB4085" s="182" t="n">
        <v>0</v>
      </c>
      <c r="AC4085" s="182" t="n">
        <v>0</v>
      </c>
      <c r="AD4085" s="182" t="n">
        <v>0</v>
      </c>
      <c r="AE4085" s="182" t="n">
        <v>0</v>
      </c>
      <c r="AF4085" s="182" t="n">
        <v>0</v>
      </c>
      <c r="AG4085" s="182" t="n">
        <v>0</v>
      </c>
      <c r="AH4085" s="182" t="n">
        <v>0</v>
      </c>
      <c r="AI4085" s="182" t="n">
        <v>0</v>
      </c>
      <c r="AJ4085" s="182" t="n">
        <v>0</v>
      </c>
      <c r="AK4085" s="182" t="n">
        <v>0</v>
      </c>
      <c r="AL4085" s="182" t="n">
        <v>0</v>
      </c>
      <c r="AM4085" s="182" t="n">
        <v>0</v>
      </c>
      <c r="AN4085" s="182" t="n">
        <v>0</v>
      </c>
    </row>
    <row r="4086">
      <c r="A4086" s="155" t="n">
        <v>46100</v>
      </c>
      <c r="B4086" s="156" t="inlineStr">
        <is>
          <t>NS</t>
        </is>
      </c>
      <c r="C4086" s="156" t="inlineStr">
        <is>
          <t>HT-406</t>
        </is>
      </c>
      <c r="D4086" s="156" t="inlineStr">
        <is>
          <t>SY430</t>
        </is>
      </c>
      <c r="E4086" s="156" t="inlineStr">
        <is>
          <t>DT Hauling</t>
        </is>
      </c>
      <c r="F4086" s="156" t="inlineStr"/>
      <c r="G4086" s="182" t="n">
        <v>0</v>
      </c>
      <c r="H4086" s="182" t="n">
        <v>0</v>
      </c>
      <c r="I4086" s="182" t="n">
        <v>0</v>
      </c>
      <c r="J4086" s="182" t="n">
        <v>0</v>
      </c>
      <c r="K4086" s="182" t="n">
        <v>12</v>
      </c>
      <c r="L4086" s="182" t="n">
        <v>12</v>
      </c>
      <c r="M4086" s="182" t="n">
        <v>0</v>
      </c>
      <c r="N4086" s="182" t="n">
        <v>0</v>
      </c>
      <c r="O4086" s="183" t="n">
        <v>0</v>
      </c>
      <c r="P4086" s="183" t="n">
        <v>0</v>
      </c>
      <c r="Q4086" s="184" t="n">
        <v>0</v>
      </c>
      <c r="R4086" s="184" t="n">
        <v>0</v>
      </c>
      <c r="S4086" s="183" t="n">
        <v>0</v>
      </c>
      <c r="T4086" s="183" t="n">
        <v>0</v>
      </c>
      <c r="U4086" s="182" t="n">
        <v>0</v>
      </c>
      <c r="V4086" s="182" t="n">
        <v>0</v>
      </c>
      <c r="W4086" s="182" t="n">
        <v>0</v>
      </c>
      <c r="X4086" s="182" t="n">
        <v>1</v>
      </c>
      <c r="Y4086" s="182" t="n">
        <v>0</v>
      </c>
      <c r="Z4086" s="182" t="n">
        <v>0</v>
      </c>
      <c r="AA4086" s="182" t="n">
        <v>0</v>
      </c>
      <c r="AB4086" s="182" t="n">
        <v>0</v>
      </c>
      <c r="AC4086" s="182" t="n">
        <v>0</v>
      </c>
      <c r="AD4086" s="182" t="n">
        <v>0</v>
      </c>
      <c r="AE4086" s="182" t="n">
        <v>0</v>
      </c>
      <c r="AF4086" s="182" t="n">
        <v>0</v>
      </c>
      <c r="AG4086" s="182" t="n">
        <v>0</v>
      </c>
      <c r="AH4086" s="182" t="n">
        <v>0</v>
      </c>
      <c r="AI4086" s="182" t="n">
        <v>0</v>
      </c>
      <c r="AJ4086" s="182" t="n">
        <v>0</v>
      </c>
      <c r="AK4086" s="182" t="n">
        <v>10.92</v>
      </c>
      <c r="AL4086" s="182" t="n">
        <v>0</v>
      </c>
      <c r="AM4086" s="182" t="n">
        <v>0.08</v>
      </c>
      <c r="AN4086" s="182" t="n">
        <v>0</v>
      </c>
    </row>
    <row r="4087">
      <c r="A4087" s="155" t="n">
        <v>46100</v>
      </c>
      <c r="B4087" s="156" t="inlineStr">
        <is>
          <t>NS</t>
        </is>
      </c>
      <c r="C4087" s="156" t="inlineStr">
        <is>
          <t>HT-405</t>
        </is>
      </c>
      <c r="D4087" s="156" t="inlineStr">
        <is>
          <t>SY430</t>
        </is>
      </c>
      <c r="E4087" s="156" t="inlineStr">
        <is>
          <t>DT Hauling</t>
        </is>
      </c>
      <c r="F4087" s="156" t="inlineStr"/>
      <c r="G4087" s="182" t="n">
        <v>0</v>
      </c>
      <c r="H4087" s="182" t="n">
        <v>0</v>
      </c>
      <c r="I4087" s="182" t="n">
        <v>12</v>
      </c>
      <c r="J4087" s="182" t="n">
        <v>12</v>
      </c>
      <c r="K4087" s="182" t="n">
        <v>0</v>
      </c>
      <c r="L4087" s="182" t="n">
        <v>12</v>
      </c>
      <c r="M4087" s="182" t="n">
        <v>0</v>
      </c>
      <c r="N4087" s="182" t="n">
        <v>0</v>
      </c>
      <c r="O4087" s="183" t="n">
        <v>0</v>
      </c>
      <c r="P4087" s="183" t="n">
        <v>0</v>
      </c>
      <c r="Q4087" s="184" t="n">
        <v>0</v>
      </c>
      <c r="R4087" s="184" t="n">
        <v>0</v>
      </c>
      <c r="S4087" s="183" t="n">
        <v>0</v>
      </c>
      <c r="T4087" s="183" t="n">
        <v>0</v>
      </c>
      <c r="U4087" s="182" t="n">
        <v>0</v>
      </c>
      <c r="V4087" s="182" t="n">
        <v>0</v>
      </c>
      <c r="W4087" s="182" t="n">
        <v>0</v>
      </c>
      <c r="X4087" s="182" t="n">
        <v>0</v>
      </c>
      <c r="Y4087" s="182" t="n">
        <v>0</v>
      </c>
      <c r="Z4087" s="182" t="n">
        <v>0</v>
      </c>
      <c r="AA4087" s="182" t="n">
        <v>0</v>
      </c>
      <c r="AB4087" s="182" t="n">
        <v>0</v>
      </c>
      <c r="AC4087" s="182" t="n">
        <v>0</v>
      </c>
      <c r="AD4087" s="182" t="n">
        <v>0</v>
      </c>
      <c r="AE4087" s="182" t="n">
        <v>0</v>
      </c>
      <c r="AF4087" s="182" t="n">
        <v>0</v>
      </c>
      <c r="AG4087" s="182" t="n">
        <v>0</v>
      </c>
      <c r="AH4087" s="182" t="n">
        <v>0</v>
      </c>
      <c r="AI4087" s="182" t="n">
        <v>0</v>
      </c>
      <c r="AJ4087" s="182" t="n">
        <v>0</v>
      </c>
      <c r="AK4087" s="182" t="n">
        <v>0</v>
      </c>
      <c r="AL4087" s="182" t="n">
        <v>0</v>
      </c>
      <c r="AM4087" s="182" t="n">
        <v>0</v>
      </c>
      <c r="AN4087" s="182" t="n">
        <v>0</v>
      </c>
    </row>
    <row r="4088">
      <c r="A4088" s="155" t="n">
        <v>46100</v>
      </c>
      <c r="B4088" s="156" t="inlineStr">
        <is>
          <t>NS</t>
        </is>
      </c>
      <c r="C4088" s="156" t="inlineStr">
        <is>
          <t>HT-417</t>
        </is>
      </c>
      <c r="D4088" s="156" t="inlineStr">
        <is>
          <t>SY430</t>
        </is>
      </c>
      <c r="E4088" s="156" t="inlineStr">
        <is>
          <t>DT Hauling</t>
        </is>
      </c>
      <c r="F4088" s="156" t="inlineStr"/>
      <c r="G4088" s="182" t="n">
        <v>0</v>
      </c>
      <c r="H4088" s="182" t="n">
        <v>0</v>
      </c>
      <c r="I4088" s="182" t="n">
        <v>0</v>
      </c>
      <c r="J4088" s="182" t="n">
        <v>0</v>
      </c>
      <c r="K4088" s="182" t="n">
        <v>12</v>
      </c>
      <c r="L4088" s="182" t="n">
        <v>12</v>
      </c>
      <c r="M4088" s="182" t="n">
        <v>0</v>
      </c>
      <c r="N4088" s="182" t="n">
        <v>0</v>
      </c>
      <c r="O4088" s="183" t="n">
        <v>0</v>
      </c>
      <c r="P4088" s="183" t="n">
        <v>0</v>
      </c>
      <c r="Q4088" s="184" t="n">
        <v>0</v>
      </c>
      <c r="R4088" s="184" t="n">
        <v>0</v>
      </c>
      <c r="S4088" s="183" t="n">
        <v>0</v>
      </c>
      <c r="T4088" s="183" t="n">
        <v>0</v>
      </c>
      <c r="U4088" s="182" t="n">
        <v>0</v>
      </c>
      <c r="V4088" s="182" t="n">
        <v>0</v>
      </c>
      <c r="W4088" s="182" t="n">
        <v>0</v>
      </c>
      <c r="X4088" s="182" t="n">
        <v>1</v>
      </c>
      <c r="Y4088" s="182" t="n">
        <v>0</v>
      </c>
      <c r="Z4088" s="182" t="n">
        <v>0</v>
      </c>
      <c r="AA4088" s="182" t="n">
        <v>0</v>
      </c>
      <c r="AB4088" s="182" t="n">
        <v>0</v>
      </c>
      <c r="AC4088" s="182" t="n">
        <v>0</v>
      </c>
      <c r="AD4088" s="182" t="n">
        <v>0</v>
      </c>
      <c r="AE4088" s="182" t="n">
        <v>0</v>
      </c>
      <c r="AF4088" s="182" t="n">
        <v>0</v>
      </c>
      <c r="AG4088" s="182" t="n">
        <v>0</v>
      </c>
      <c r="AH4088" s="182" t="n">
        <v>0</v>
      </c>
      <c r="AI4088" s="182" t="n">
        <v>0</v>
      </c>
      <c r="AJ4088" s="182" t="n">
        <v>0</v>
      </c>
      <c r="AK4088" s="182" t="n">
        <v>10.92</v>
      </c>
      <c r="AL4088" s="182" t="n">
        <v>0</v>
      </c>
      <c r="AM4088" s="182" t="n">
        <v>0.08</v>
      </c>
      <c r="AN4088" s="182" t="n">
        <v>0</v>
      </c>
    </row>
    <row r="4089">
      <c r="A4089" s="155" t="n">
        <v>46100</v>
      </c>
      <c r="B4089" s="156" t="inlineStr">
        <is>
          <t>NS</t>
        </is>
      </c>
      <c r="C4089" s="156" t="inlineStr">
        <is>
          <t>HT-401</t>
        </is>
      </c>
      <c r="D4089" s="156" t="inlineStr">
        <is>
          <t>SY430</t>
        </is>
      </c>
      <c r="E4089" s="156" t="inlineStr">
        <is>
          <t>DT Hauling</t>
        </is>
      </c>
      <c r="F4089" s="156" t="inlineStr"/>
      <c r="G4089" s="182" t="n">
        <v>0</v>
      </c>
      <c r="H4089" s="182" t="n">
        <v>0</v>
      </c>
      <c r="I4089" s="182" t="n">
        <v>0</v>
      </c>
      <c r="J4089" s="182" t="n">
        <v>0</v>
      </c>
      <c r="K4089" s="182" t="n">
        <v>12</v>
      </c>
      <c r="L4089" s="182" t="n">
        <v>12</v>
      </c>
      <c r="M4089" s="182" t="n">
        <v>0</v>
      </c>
      <c r="N4089" s="182" t="n">
        <v>0</v>
      </c>
      <c r="O4089" s="183" t="n">
        <v>0</v>
      </c>
      <c r="P4089" s="183" t="n">
        <v>0</v>
      </c>
      <c r="Q4089" s="184" t="n">
        <v>0</v>
      </c>
      <c r="R4089" s="184" t="n">
        <v>0</v>
      </c>
      <c r="S4089" s="183" t="n">
        <v>0</v>
      </c>
      <c r="T4089" s="183" t="n">
        <v>0</v>
      </c>
      <c r="U4089" s="182" t="n">
        <v>0</v>
      </c>
      <c r="V4089" s="182" t="n">
        <v>0</v>
      </c>
      <c r="W4089" s="182" t="n">
        <v>0</v>
      </c>
      <c r="X4089" s="182" t="n">
        <v>1</v>
      </c>
      <c r="Y4089" s="182" t="n">
        <v>0</v>
      </c>
      <c r="Z4089" s="182" t="n">
        <v>0</v>
      </c>
      <c r="AA4089" s="182" t="n">
        <v>0</v>
      </c>
      <c r="AB4089" s="182" t="n">
        <v>0</v>
      </c>
      <c r="AC4089" s="182" t="n">
        <v>0</v>
      </c>
      <c r="AD4089" s="182" t="n">
        <v>0</v>
      </c>
      <c r="AE4089" s="182" t="n">
        <v>0</v>
      </c>
      <c r="AF4089" s="182" t="n">
        <v>0</v>
      </c>
      <c r="AG4089" s="182" t="n">
        <v>0</v>
      </c>
      <c r="AH4089" s="182" t="n">
        <v>0</v>
      </c>
      <c r="AI4089" s="182" t="n">
        <v>0</v>
      </c>
      <c r="AJ4089" s="182" t="n">
        <v>0</v>
      </c>
      <c r="AK4089" s="182" t="n">
        <v>10.92</v>
      </c>
      <c r="AL4089" s="182" t="n">
        <v>0</v>
      </c>
      <c r="AM4089" s="182" t="n">
        <v>0.08</v>
      </c>
      <c r="AN4089" s="182" t="n">
        <v>0</v>
      </c>
    </row>
    <row r="4090">
      <c r="A4090" s="155" t="n">
        <v>46100</v>
      </c>
      <c r="B4090" s="156" t="inlineStr">
        <is>
          <t>NS</t>
        </is>
      </c>
      <c r="C4090" s="156" t="inlineStr">
        <is>
          <t>HT-410</t>
        </is>
      </c>
      <c r="D4090" s="156" t="inlineStr">
        <is>
          <t>SY430</t>
        </is>
      </c>
      <c r="E4090" s="156" t="inlineStr">
        <is>
          <t>DT Hauling</t>
        </is>
      </c>
      <c r="F4090" s="156" t="inlineStr"/>
      <c r="G4090" s="182" t="n">
        <v>0</v>
      </c>
      <c r="H4090" s="182" t="n">
        <v>0</v>
      </c>
      <c r="I4090" s="182" t="n">
        <v>0</v>
      </c>
      <c r="J4090" s="182" t="n">
        <v>0</v>
      </c>
      <c r="K4090" s="182" t="n">
        <v>12</v>
      </c>
      <c r="L4090" s="182" t="n">
        <v>12</v>
      </c>
      <c r="M4090" s="182" t="n">
        <v>0</v>
      </c>
      <c r="N4090" s="182" t="n">
        <v>0</v>
      </c>
      <c r="O4090" s="183" t="n">
        <v>0</v>
      </c>
      <c r="P4090" s="183" t="n">
        <v>0</v>
      </c>
      <c r="Q4090" s="184" t="n">
        <v>0</v>
      </c>
      <c r="R4090" s="184" t="n">
        <v>0</v>
      </c>
      <c r="S4090" s="183" t="n">
        <v>0</v>
      </c>
      <c r="T4090" s="183" t="n">
        <v>0</v>
      </c>
      <c r="U4090" s="182" t="n">
        <v>0</v>
      </c>
      <c r="V4090" s="182" t="n">
        <v>0</v>
      </c>
      <c r="W4090" s="182" t="n">
        <v>0</v>
      </c>
      <c r="X4090" s="182" t="n">
        <v>1</v>
      </c>
      <c r="Y4090" s="182" t="n">
        <v>0</v>
      </c>
      <c r="Z4090" s="182" t="n">
        <v>0</v>
      </c>
      <c r="AA4090" s="182" t="n">
        <v>0</v>
      </c>
      <c r="AB4090" s="182" t="n">
        <v>0</v>
      </c>
      <c r="AC4090" s="182" t="n">
        <v>0</v>
      </c>
      <c r="AD4090" s="182" t="n">
        <v>0</v>
      </c>
      <c r="AE4090" s="182" t="n">
        <v>0</v>
      </c>
      <c r="AF4090" s="182" t="n">
        <v>0</v>
      </c>
      <c r="AG4090" s="182" t="n">
        <v>0</v>
      </c>
      <c r="AH4090" s="182" t="n">
        <v>0</v>
      </c>
      <c r="AI4090" s="182" t="n">
        <v>0</v>
      </c>
      <c r="AJ4090" s="182" t="n">
        <v>0</v>
      </c>
      <c r="AK4090" s="182" t="n">
        <v>10.92</v>
      </c>
      <c r="AL4090" s="182" t="n">
        <v>0</v>
      </c>
      <c r="AM4090" s="182" t="n">
        <v>0.08</v>
      </c>
      <c r="AN4090" s="182" t="n">
        <v>0</v>
      </c>
    </row>
    <row r="4091">
      <c r="A4091" s="155" t="n">
        <v>46100</v>
      </c>
      <c r="B4091" s="156" t="inlineStr">
        <is>
          <t>NS</t>
        </is>
      </c>
      <c r="C4091" s="156" t="inlineStr">
        <is>
          <t>HT-402</t>
        </is>
      </c>
      <c r="D4091" s="156" t="inlineStr">
        <is>
          <t>SY430</t>
        </is>
      </c>
      <c r="E4091" s="156" t="inlineStr">
        <is>
          <t>DT Hauling</t>
        </is>
      </c>
      <c r="F4091" s="156" t="inlineStr"/>
      <c r="G4091" s="182" t="n">
        <v>0</v>
      </c>
      <c r="H4091" s="182" t="n">
        <v>0</v>
      </c>
      <c r="I4091" s="182" t="n">
        <v>12</v>
      </c>
      <c r="J4091" s="182" t="n">
        <v>12</v>
      </c>
      <c r="K4091" s="182" t="n">
        <v>0</v>
      </c>
      <c r="L4091" s="182" t="n">
        <v>12</v>
      </c>
      <c r="M4091" s="182" t="n">
        <v>0</v>
      </c>
      <c r="N4091" s="182" t="n">
        <v>0</v>
      </c>
      <c r="O4091" s="183" t="n">
        <v>0</v>
      </c>
      <c r="P4091" s="183" t="n">
        <v>0</v>
      </c>
      <c r="Q4091" s="184" t="n">
        <v>0</v>
      </c>
      <c r="R4091" s="184" t="n">
        <v>0</v>
      </c>
      <c r="S4091" s="183" t="n">
        <v>0</v>
      </c>
      <c r="T4091" s="183" t="n">
        <v>0</v>
      </c>
      <c r="U4091" s="182" t="n">
        <v>0</v>
      </c>
      <c r="V4091" s="182" t="n">
        <v>0</v>
      </c>
      <c r="W4091" s="182" t="n">
        <v>0</v>
      </c>
      <c r="X4091" s="182" t="n">
        <v>0</v>
      </c>
      <c r="Y4091" s="182" t="n">
        <v>0</v>
      </c>
      <c r="Z4091" s="182" t="n">
        <v>0</v>
      </c>
      <c r="AA4091" s="182" t="n">
        <v>0</v>
      </c>
      <c r="AB4091" s="182" t="n">
        <v>0</v>
      </c>
      <c r="AC4091" s="182" t="n">
        <v>0</v>
      </c>
      <c r="AD4091" s="182" t="n">
        <v>0</v>
      </c>
      <c r="AE4091" s="182" t="n">
        <v>0</v>
      </c>
      <c r="AF4091" s="182" t="n">
        <v>0</v>
      </c>
      <c r="AG4091" s="182" t="n">
        <v>0</v>
      </c>
      <c r="AH4091" s="182" t="n">
        <v>0</v>
      </c>
      <c r="AI4091" s="182" t="n">
        <v>0</v>
      </c>
      <c r="AJ4091" s="182" t="n">
        <v>0</v>
      </c>
      <c r="AK4091" s="182" t="n">
        <v>0</v>
      </c>
      <c r="AL4091" s="182" t="n">
        <v>0</v>
      </c>
      <c r="AM4091" s="182" t="n">
        <v>0</v>
      </c>
      <c r="AN4091" s="182" t="n">
        <v>0</v>
      </c>
    </row>
    <row r="4092">
      <c r="A4092" s="155" t="n">
        <v>46100</v>
      </c>
      <c r="B4092" s="156" t="inlineStr">
        <is>
          <t>NS</t>
        </is>
      </c>
      <c r="C4092" s="156" t="inlineStr">
        <is>
          <t>HT-419</t>
        </is>
      </c>
      <c r="D4092" s="156" t="inlineStr">
        <is>
          <t>SY430</t>
        </is>
      </c>
      <c r="E4092" s="156" t="inlineStr">
        <is>
          <t>DT Hauling</t>
        </is>
      </c>
      <c r="F4092" s="156" t="inlineStr"/>
      <c r="G4092" s="182" t="n">
        <v>0</v>
      </c>
      <c r="H4092" s="182" t="n">
        <v>0</v>
      </c>
      <c r="I4092" s="182" t="n">
        <v>12</v>
      </c>
      <c r="J4092" s="182" t="n">
        <v>12</v>
      </c>
      <c r="K4092" s="182" t="n">
        <v>0</v>
      </c>
      <c r="L4092" s="182" t="n">
        <v>12</v>
      </c>
      <c r="M4092" s="182" t="n">
        <v>0</v>
      </c>
      <c r="N4092" s="182" t="n">
        <v>0</v>
      </c>
      <c r="O4092" s="183" t="n">
        <v>0</v>
      </c>
      <c r="P4092" s="183" t="n">
        <v>0</v>
      </c>
      <c r="Q4092" s="184" t="n">
        <v>0</v>
      </c>
      <c r="R4092" s="184" t="n">
        <v>0</v>
      </c>
      <c r="S4092" s="183" t="n">
        <v>0</v>
      </c>
      <c r="T4092" s="183" t="n">
        <v>0</v>
      </c>
      <c r="U4092" s="182" t="n">
        <v>0</v>
      </c>
      <c r="V4092" s="182" t="n">
        <v>0</v>
      </c>
      <c r="W4092" s="182" t="n">
        <v>0</v>
      </c>
      <c r="X4092" s="182" t="n">
        <v>0</v>
      </c>
      <c r="Y4092" s="182" t="n">
        <v>0</v>
      </c>
      <c r="Z4092" s="182" t="n">
        <v>0</v>
      </c>
      <c r="AA4092" s="182" t="n">
        <v>0</v>
      </c>
      <c r="AB4092" s="182" t="n">
        <v>0</v>
      </c>
      <c r="AC4092" s="182" t="n">
        <v>0</v>
      </c>
      <c r="AD4092" s="182" t="n">
        <v>0</v>
      </c>
      <c r="AE4092" s="182" t="n">
        <v>0</v>
      </c>
      <c r="AF4092" s="182" t="n">
        <v>0</v>
      </c>
      <c r="AG4092" s="182" t="n">
        <v>0</v>
      </c>
      <c r="AH4092" s="182" t="n">
        <v>0</v>
      </c>
      <c r="AI4092" s="182" t="n">
        <v>0</v>
      </c>
      <c r="AJ4092" s="182" t="n">
        <v>0</v>
      </c>
      <c r="AK4092" s="182" t="n">
        <v>0</v>
      </c>
      <c r="AL4092" s="182" t="n">
        <v>0</v>
      </c>
      <c r="AM4092" s="182" t="n">
        <v>0</v>
      </c>
      <c r="AN4092" s="182" t="n">
        <v>0</v>
      </c>
    </row>
    <row r="4093">
      <c r="A4093" s="155" t="n">
        <v>46100</v>
      </c>
      <c r="B4093" s="156" t="inlineStr">
        <is>
          <t>NS</t>
        </is>
      </c>
      <c r="C4093" s="156" t="inlineStr">
        <is>
          <t>HT-416</t>
        </is>
      </c>
      <c r="D4093" s="156" t="inlineStr">
        <is>
          <t>SY430</t>
        </is>
      </c>
      <c r="E4093" s="156" t="inlineStr">
        <is>
          <t>DT Hauling</t>
        </is>
      </c>
      <c r="F4093" s="156" t="inlineStr"/>
      <c r="G4093" s="182" t="n">
        <v>0</v>
      </c>
      <c r="H4093" s="182" t="n">
        <v>0</v>
      </c>
      <c r="I4093" s="182" t="n">
        <v>0</v>
      </c>
      <c r="J4093" s="182" t="n">
        <v>0</v>
      </c>
      <c r="K4093" s="182" t="n">
        <v>12</v>
      </c>
      <c r="L4093" s="182" t="n">
        <v>12</v>
      </c>
      <c r="M4093" s="182" t="n">
        <v>0</v>
      </c>
      <c r="N4093" s="182" t="n">
        <v>0</v>
      </c>
      <c r="O4093" s="183" t="n">
        <v>0</v>
      </c>
      <c r="P4093" s="183" t="n">
        <v>0</v>
      </c>
      <c r="Q4093" s="184" t="n">
        <v>0</v>
      </c>
      <c r="R4093" s="184" t="n">
        <v>0</v>
      </c>
      <c r="S4093" s="183" t="n">
        <v>0</v>
      </c>
      <c r="T4093" s="183" t="n">
        <v>0</v>
      </c>
      <c r="U4093" s="182" t="n">
        <v>0</v>
      </c>
      <c r="V4093" s="182" t="n">
        <v>0</v>
      </c>
      <c r="W4093" s="182" t="n">
        <v>0</v>
      </c>
      <c r="X4093" s="182" t="n">
        <v>1</v>
      </c>
      <c r="Y4093" s="182" t="n">
        <v>0</v>
      </c>
      <c r="Z4093" s="182" t="n">
        <v>0</v>
      </c>
      <c r="AA4093" s="182" t="n">
        <v>0</v>
      </c>
      <c r="AB4093" s="182" t="n">
        <v>0</v>
      </c>
      <c r="AC4093" s="182" t="n">
        <v>0</v>
      </c>
      <c r="AD4093" s="182" t="n">
        <v>0</v>
      </c>
      <c r="AE4093" s="182" t="n">
        <v>0</v>
      </c>
      <c r="AF4093" s="182" t="n">
        <v>0</v>
      </c>
      <c r="AG4093" s="182" t="n">
        <v>0</v>
      </c>
      <c r="AH4093" s="182" t="n">
        <v>0</v>
      </c>
      <c r="AI4093" s="182" t="n">
        <v>0</v>
      </c>
      <c r="AJ4093" s="182" t="n">
        <v>0</v>
      </c>
      <c r="AK4093" s="182" t="n">
        <v>10.92</v>
      </c>
      <c r="AL4093" s="182" t="n">
        <v>0</v>
      </c>
      <c r="AM4093" s="182" t="n">
        <v>0.08</v>
      </c>
      <c r="AN4093" s="182" t="n">
        <v>0</v>
      </c>
    </row>
    <row r="4094">
      <c r="A4094" s="155" t="n">
        <v>46100</v>
      </c>
      <c r="B4094" s="156" t="inlineStr">
        <is>
          <t>NS</t>
        </is>
      </c>
      <c r="C4094" s="156" t="inlineStr">
        <is>
          <t>HT-420</t>
        </is>
      </c>
      <c r="D4094" s="156" t="inlineStr">
        <is>
          <t>SY430</t>
        </is>
      </c>
      <c r="E4094" s="156" t="inlineStr">
        <is>
          <t>DT Hauling</t>
        </is>
      </c>
      <c r="F4094" s="156" t="inlineStr"/>
      <c r="G4094" s="182" t="n">
        <v>0</v>
      </c>
      <c r="H4094" s="182" t="n">
        <v>0</v>
      </c>
      <c r="I4094" s="182" t="n">
        <v>0</v>
      </c>
      <c r="J4094" s="182" t="n">
        <v>0</v>
      </c>
      <c r="K4094" s="182" t="n">
        <v>12</v>
      </c>
      <c r="L4094" s="182" t="n">
        <v>12</v>
      </c>
      <c r="M4094" s="182" t="n">
        <v>0</v>
      </c>
      <c r="N4094" s="182" t="n">
        <v>0</v>
      </c>
      <c r="O4094" s="183" t="n">
        <v>0</v>
      </c>
      <c r="P4094" s="183" t="n">
        <v>0</v>
      </c>
      <c r="Q4094" s="184" t="n">
        <v>0</v>
      </c>
      <c r="R4094" s="184" t="n">
        <v>0</v>
      </c>
      <c r="S4094" s="183" t="n">
        <v>0</v>
      </c>
      <c r="T4094" s="183" t="n">
        <v>0</v>
      </c>
      <c r="U4094" s="182" t="n">
        <v>0</v>
      </c>
      <c r="V4094" s="182" t="n">
        <v>0</v>
      </c>
      <c r="W4094" s="182" t="n">
        <v>0</v>
      </c>
      <c r="X4094" s="182" t="n">
        <v>1</v>
      </c>
      <c r="Y4094" s="182" t="n">
        <v>0</v>
      </c>
      <c r="Z4094" s="182" t="n">
        <v>0</v>
      </c>
      <c r="AA4094" s="182" t="n">
        <v>0</v>
      </c>
      <c r="AB4094" s="182" t="n">
        <v>0</v>
      </c>
      <c r="AC4094" s="182" t="n">
        <v>0</v>
      </c>
      <c r="AD4094" s="182" t="n">
        <v>0</v>
      </c>
      <c r="AE4094" s="182" t="n">
        <v>0</v>
      </c>
      <c r="AF4094" s="182" t="n">
        <v>0</v>
      </c>
      <c r="AG4094" s="182" t="n">
        <v>0</v>
      </c>
      <c r="AH4094" s="182" t="n">
        <v>0</v>
      </c>
      <c r="AI4094" s="182" t="n">
        <v>0</v>
      </c>
      <c r="AJ4094" s="182" t="n">
        <v>0</v>
      </c>
      <c r="AK4094" s="182" t="n">
        <v>10.92</v>
      </c>
      <c r="AL4094" s="182" t="n">
        <v>0</v>
      </c>
      <c r="AM4094" s="182" t="n">
        <v>0.08</v>
      </c>
      <c r="AN4094" s="182" t="n">
        <v>0</v>
      </c>
    </row>
    <row r="4095">
      <c r="A4095" s="155" t="n">
        <v>46100</v>
      </c>
      <c r="B4095" s="156" t="inlineStr">
        <is>
          <t>NS</t>
        </is>
      </c>
      <c r="C4095" s="156" t="inlineStr">
        <is>
          <t>HT-403</t>
        </is>
      </c>
      <c r="D4095" s="156" t="inlineStr">
        <is>
          <t>SY430</t>
        </is>
      </c>
      <c r="E4095" s="156" t="inlineStr">
        <is>
          <t>DT Hauling</t>
        </is>
      </c>
      <c r="F4095" s="156" t="inlineStr"/>
      <c r="G4095" s="182" t="n">
        <v>0</v>
      </c>
      <c r="H4095" s="182" t="n">
        <v>0</v>
      </c>
      <c r="I4095" s="182" t="n">
        <v>0</v>
      </c>
      <c r="J4095" s="182" t="n">
        <v>0</v>
      </c>
      <c r="K4095" s="182" t="n">
        <v>12</v>
      </c>
      <c r="L4095" s="182" t="n">
        <v>12</v>
      </c>
      <c r="M4095" s="182" t="n">
        <v>0</v>
      </c>
      <c r="N4095" s="182" t="n">
        <v>0</v>
      </c>
      <c r="O4095" s="183" t="n">
        <v>0</v>
      </c>
      <c r="P4095" s="183" t="n">
        <v>0</v>
      </c>
      <c r="Q4095" s="184" t="n">
        <v>0</v>
      </c>
      <c r="R4095" s="184" t="n">
        <v>0</v>
      </c>
      <c r="S4095" s="183" t="n">
        <v>0</v>
      </c>
      <c r="T4095" s="183" t="n">
        <v>0</v>
      </c>
      <c r="U4095" s="182" t="n">
        <v>0</v>
      </c>
      <c r="V4095" s="182" t="n">
        <v>0</v>
      </c>
      <c r="W4095" s="182" t="n">
        <v>0</v>
      </c>
      <c r="X4095" s="182" t="n">
        <v>1</v>
      </c>
      <c r="Y4095" s="182" t="n">
        <v>0</v>
      </c>
      <c r="Z4095" s="182" t="n">
        <v>0</v>
      </c>
      <c r="AA4095" s="182" t="n">
        <v>0</v>
      </c>
      <c r="AB4095" s="182" t="n">
        <v>0</v>
      </c>
      <c r="AC4095" s="182" t="n">
        <v>0</v>
      </c>
      <c r="AD4095" s="182" t="n">
        <v>0</v>
      </c>
      <c r="AE4095" s="182" t="n">
        <v>0</v>
      </c>
      <c r="AF4095" s="182" t="n">
        <v>0</v>
      </c>
      <c r="AG4095" s="182" t="n">
        <v>0</v>
      </c>
      <c r="AH4095" s="182" t="n">
        <v>0</v>
      </c>
      <c r="AI4095" s="182" t="n">
        <v>0</v>
      </c>
      <c r="AJ4095" s="182" t="n">
        <v>0</v>
      </c>
      <c r="AK4095" s="182" t="n">
        <v>10.92</v>
      </c>
      <c r="AL4095" s="182" t="n">
        <v>0</v>
      </c>
      <c r="AM4095" s="182" t="n">
        <v>0.08</v>
      </c>
      <c r="AN4095" s="182" t="n">
        <v>0</v>
      </c>
    </row>
    <row r="4096">
      <c r="A4096" s="155" t="n">
        <v>46100</v>
      </c>
      <c r="B4096" s="156" t="inlineStr">
        <is>
          <t>NS</t>
        </is>
      </c>
      <c r="C4096" s="156" t="inlineStr">
        <is>
          <t>HT-408</t>
        </is>
      </c>
      <c r="D4096" s="156" t="inlineStr">
        <is>
          <t>SY430</t>
        </is>
      </c>
      <c r="E4096" s="156" t="inlineStr">
        <is>
          <t>DT Hauling</t>
        </is>
      </c>
      <c r="F4096" s="156" t="inlineStr"/>
      <c r="G4096" s="182" t="n">
        <v>0</v>
      </c>
      <c r="H4096" s="182" t="n">
        <v>0</v>
      </c>
      <c r="I4096" s="182" t="n">
        <v>0.25</v>
      </c>
      <c r="J4096" s="182" t="n">
        <v>0.25</v>
      </c>
      <c r="K4096" s="182" t="n">
        <v>11.75</v>
      </c>
      <c r="L4096" s="182" t="n">
        <v>12</v>
      </c>
      <c r="M4096" s="182" t="n">
        <v>0</v>
      </c>
      <c r="N4096" s="182" t="n">
        <v>0</v>
      </c>
      <c r="O4096" s="183" t="n">
        <v>0</v>
      </c>
      <c r="P4096" s="183" t="n">
        <v>0</v>
      </c>
      <c r="Q4096" s="184" t="n">
        <v>0</v>
      </c>
      <c r="R4096" s="184" t="n">
        <v>0</v>
      </c>
      <c r="S4096" s="183" t="n">
        <v>0</v>
      </c>
      <c r="T4096" s="183" t="n">
        <v>0</v>
      </c>
      <c r="U4096" s="182" t="n">
        <v>0</v>
      </c>
      <c r="V4096" s="182" t="n">
        <v>0</v>
      </c>
      <c r="W4096" s="182" t="n">
        <v>0</v>
      </c>
      <c r="X4096" s="182" t="n">
        <v>1</v>
      </c>
      <c r="Y4096" s="182" t="n">
        <v>0</v>
      </c>
      <c r="Z4096" s="182" t="n">
        <v>0</v>
      </c>
      <c r="AA4096" s="182" t="n">
        <v>0</v>
      </c>
      <c r="AB4096" s="182" t="n">
        <v>0</v>
      </c>
      <c r="AC4096" s="182" t="n">
        <v>0</v>
      </c>
      <c r="AD4096" s="182" t="n">
        <v>0</v>
      </c>
      <c r="AE4096" s="182" t="n">
        <v>0</v>
      </c>
      <c r="AF4096" s="182" t="n">
        <v>0</v>
      </c>
      <c r="AG4096" s="182" t="n">
        <v>0</v>
      </c>
      <c r="AH4096" s="182" t="n">
        <v>0</v>
      </c>
      <c r="AI4096" s="182" t="n">
        <v>0</v>
      </c>
      <c r="AJ4096" s="182" t="n">
        <v>0</v>
      </c>
      <c r="AK4096" s="182" t="n">
        <v>10.67</v>
      </c>
      <c r="AL4096" s="182" t="n">
        <v>0</v>
      </c>
      <c r="AM4096" s="182" t="n">
        <v>0.08</v>
      </c>
      <c r="AN4096" s="182" t="n">
        <v>0</v>
      </c>
    </row>
    <row r="4097">
      <c r="A4097" s="155" t="n">
        <v>46100</v>
      </c>
      <c r="B4097" s="156" t="inlineStr">
        <is>
          <t>NS</t>
        </is>
      </c>
      <c r="C4097" s="156" t="inlineStr">
        <is>
          <t>HT-412</t>
        </is>
      </c>
      <c r="D4097" s="156" t="inlineStr">
        <is>
          <t>SY430</t>
        </is>
      </c>
      <c r="E4097" s="156" t="inlineStr">
        <is>
          <t>DT Hauling</t>
        </is>
      </c>
      <c r="F4097" s="156" t="inlineStr"/>
      <c r="G4097" s="182" t="n">
        <v>0</v>
      </c>
      <c r="H4097" s="182" t="n">
        <v>0</v>
      </c>
      <c r="I4097" s="182" t="n">
        <v>0</v>
      </c>
      <c r="J4097" s="182" t="n">
        <v>0</v>
      </c>
      <c r="K4097" s="182" t="n">
        <v>12</v>
      </c>
      <c r="L4097" s="182" t="n">
        <v>12</v>
      </c>
      <c r="M4097" s="182" t="n">
        <v>0</v>
      </c>
      <c r="N4097" s="182" t="n">
        <v>0</v>
      </c>
      <c r="O4097" s="183" t="n">
        <v>0</v>
      </c>
      <c r="P4097" s="183" t="n">
        <v>0</v>
      </c>
      <c r="Q4097" s="184" t="n">
        <v>0</v>
      </c>
      <c r="R4097" s="184" t="n">
        <v>0</v>
      </c>
      <c r="S4097" s="183" t="n">
        <v>0</v>
      </c>
      <c r="T4097" s="183" t="n">
        <v>0</v>
      </c>
      <c r="U4097" s="182" t="n">
        <v>0</v>
      </c>
      <c r="V4097" s="182" t="n">
        <v>0</v>
      </c>
      <c r="W4097" s="182" t="n">
        <v>0</v>
      </c>
      <c r="X4097" s="182" t="n">
        <v>1</v>
      </c>
      <c r="Y4097" s="182" t="n">
        <v>0</v>
      </c>
      <c r="Z4097" s="182" t="n">
        <v>0</v>
      </c>
      <c r="AA4097" s="182" t="n">
        <v>0</v>
      </c>
      <c r="AB4097" s="182" t="n">
        <v>0</v>
      </c>
      <c r="AC4097" s="182" t="n">
        <v>0</v>
      </c>
      <c r="AD4097" s="182" t="n">
        <v>0</v>
      </c>
      <c r="AE4097" s="182" t="n">
        <v>0</v>
      </c>
      <c r="AF4097" s="182" t="n">
        <v>0</v>
      </c>
      <c r="AG4097" s="182" t="n">
        <v>0</v>
      </c>
      <c r="AH4097" s="182" t="n">
        <v>0</v>
      </c>
      <c r="AI4097" s="182" t="n">
        <v>0</v>
      </c>
      <c r="AJ4097" s="182" t="n">
        <v>0</v>
      </c>
      <c r="AK4097" s="182" t="n">
        <v>10.92</v>
      </c>
      <c r="AL4097" s="182" t="n">
        <v>0</v>
      </c>
      <c r="AM4097" s="182" t="n">
        <v>0.08</v>
      </c>
      <c r="AN4097" s="182" t="n">
        <v>0</v>
      </c>
    </row>
    <row r="4098">
      <c r="A4098" s="155" t="n">
        <v>46100</v>
      </c>
      <c r="B4098" s="156" t="inlineStr">
        <is>
          <t>NS</t>
        </is>
      </c>
      <c r="C4098" s="156" t="inlineStr">
        <is>
          <t>HT-413</t>
        </is>
      </c>
      <c r="D4098" s="156" t="inlineStr">
        <is>
          <t>SY430</t>
        </is>
      </c>
      <c r="E4098" s="156" t="inlineStr">
        <is>
          <t>DT Hauling</t>
        </is>
      </c>
      <c r="F4098" s="156" t="inlineStr"/>
      <c r="G4098" s="182" t="n">
        <v>0</v>
      </c>
      <c r="H4098" s="182" t="n">
        <v>0</v>
      </c>
      <c r="I4098" s="182" t="n">
        <v>12</v>
      </c>
      <c r="J4098" s="182" t="n">
        <v>12</v>
      </c>
      <c r="K4098" s="182" t="n">
        <v>0</v>
      </c>
      <c r="L4098" s="182" t="n">
        <v>12</v>
      </c>
      <c r="M4098" s="182" t="n">
        <v>0</v>
      </c>
      <c r="N4098" s="182" t="n">
        <v>0</v>
      </c>
      <c r="O4098" s="183" t="n">
        <v>0</v>
      </c>
      <c r="P4098" s="183" t="n">
        <v>0</v>
      </c>
      <c r="Q4098" s="184" t="n">
        <v>0</v>
      </c>
      <c r="R4098" s="184" t="n">
        <v>0</v>
      </c>
      <c r="S4098" s="183" t="n">
        <v>0</v>
      </c>
      <c r="T4098" s="183" t="n">
        <v>0</v>
      </c>
      <c r="U4098" s="182" t="n">
        <v>0</v>
      </c>
      <c r="V4098" s="182" t="n">
        <v>0</v>
      </c>
      <c r="W4098" s="182" t="n">
        <v>0</v>
      </c>
      <c r="X4098" s="182" t="n">
        <v>0</v>
      </c>
      <c r="Y4098" s="182" t="n">
        <v>0</v>
      </c>
      <c r="Z4098" s="182" t="n">
        <v>0</v>
      </c>
      <c r="AA4098" s="182" t="n">
        <v>0</v>
      </c>
      <c r="AB4098" s="182" t="n">
        <v>0</v>
      </c>
      <c r="AC4098" s="182" t="n">
        <v>0</v>
      </c>
      <c r="AD4098" s="182" t="n">
        <v>0</v>
      </c>
      <c r="AE4098" s="182" t="n">
        <v>0</v>
      </c>
      <c r="AF4098" s="182" t="n">
        <v>0</v>
      </c>
      <c r="AG4098" s="182" t="n">
        <v>0</v>
      </c>
      <c r="AH4098" s="182" t="n">
        <v>0</v>
      </c>
      <c r="AI4098" s="182" t="n">
        <v>0</v>
      </c>
      <c r="AJ4098" s="182" t="n">
        <v>0</v>
      </c>
      <c r="AK4098" s="182" t="n">
        <v>0</v>
      </c>
      <c r="AL4098" s="182" t="n">
        <v>0</v>
      </c>
      <c r="AM4098" s="182" t="n">
        <v>0</v>
      </c>
      <c r="AN4098" s="182" t="n">
        <v>0</v>
      </c>
    </row>
    <row r="4099">
      <c r="A4099" s="155" t="n">
        <v>46100</v>
      </c>
      <c r="B4099" s="156" t="inlineStr">
        <is>
          <t>NS</t>
        </is>
      </c>
      <c r="C4099" s="156" t="inlineStr">
        <is>
          <t>HT-407</t>
        </is>
      </c>
      <c r="D4099" s="156" t="inlineStr">
        <is>
          <t>SY430</t>
        </is>
      </c>
      <c r="E4099" s="156" t="inlineStr">
        <is>
          <t>DT Hauling</t>
        </is>
      </c>
      <c r="F4099" s="156" t="inlineStr"/>
      <c r="G4099" s="182" t="n">
        <v>0</v>
      </c>
      <c r="H4099" s="182" t="n">
        <v>0</v>
      </c>
      <c r="I4099" s="182" t="n">
        <v>0</v>
      </c>
      <c r="J4099" s="182" t="n">
        <v>0</v>
      </c>
      <c r="K4099" s="182" t="n">
        <v>12</v>
      </c>
      <c r="L4099" s="182" t="n">
        <v>12</v>
      </c>
      <c r="M4099" s="182" t="n">
        <v>0</v>
      </c>
      <c r="N4099" s="182" t="n">
        <v>0</v>
      </c>
      <c r="O4099" s="183" t="n">
        <v>0</v>
      </c>
      <c r="P4099" s="183" t="n">
        <v>0</v>
      </c>
      <c r="Q4099" s="184" t="n">
        <v>0</v>
      </c>
      <c r="R4099" s="184" t="n">
        <v>0</v>
      </c>
      <c r="S4099" s="183" t="n">
        <v>0</v>
      </c>
      <c r="T4099" s="183" t="n">
        <v>0</v>
      </c>
      <c r="U4099" s="182" t="n">
        <v>0</v>
      </c>
      <c r="V4099" s="182" t="n">
        <v>0</v>
      </c>
      <c r="W4099" s="182" t="n">
        <v>0</v>
      </c>
      <c r="X4099" s="182" t="n">
        <v>1</v>
      </c>
      <c r="Y4099" s="182" t="n">
        <v>0</v>
      </c>
      <c r="Z4099" s="182" t="n">
        <v>0</v>
      </c>
      <c r="AA4099" s="182" t="n">
        <v>0</v>
      </c>
      <c r="AB4099" s="182" t="n">
        <v>0</v>
      </c>
      <c r="AC4099" s="182" t="n">
        <v>0</v>
      </c>
      <c r="AD4099" s="182" t="n">
        <v>0</v>
      </c>
      <c r="AE4099" s="182" t="n">
        <v>0</v>
      </c>
      <c r="AF4099" s="182" t="n">
        <v>0</v>
      </c>
      <c r="AG4099" s="182" t="n">
        <v>0</v>
      </c>
      <c r="AH4099" s="182" t="n">
        <v>0</v>
      </c>
      <c r="AI4099" s="182" t="n">
        <v>0</v>
      </c>
      <c r="AJ4099" s="182" t="n">
        <v>0</v>
      </c>
      <c r="AK4099" s="182" t="n">
        <v>10.92</v>
      </c>
      <c r="AL4099" s="182" t="n">
        <v>0</v>
      </c>
      <c r="AM4099" s="182" t="n">
        <v>0.08</v>
      </c>
      <c r="AN4099" s="182" t="n">
        <v>0</v>
      </c>
    </row>
    <row r="4100">
      <c r="A4100" s="155" t="n">
        <v>46100</v>
      </c>
      <c r="B4100" s="156" t="inlineStr">
        <is>
          <t>NS</t>
        </is>
      </c>
      <c r="C4100" s="156" t="inlineStr">
        <is>
          <t>HT-414</t>
        </is>
      </c>
      <c r="D4100" s="156" t="inlineStr">
        <is>
          <t>SY430</t>
        </is>
      </c>
      <c r="E4100" s="156" t="inlineStr">
        <is>
          <t>DT Hauling</t>
        </is>
      </c>
      <c r="F4100" s="156" t="inlineStr"/>
      <c r="G4100" s="182" t="n">
        <v>0</v>
      </c>
      <c r="H4100" s="182" t="n">
        <v>0</v>
      </c>
      <c r="I4100" s="182" t="n">
        <v>0</v>
      </c>
      <c r="J4100" s="182" t="n">
        <v>0</v>
      </c>
      <c r="K4100" s="182" t="n">
        <v>12</v>
      </c>
      <c r="L4100" s="182" t="n">
        <v>12</v>
      </c>
      <c r="M4100" s="182" t="n">
        <v>0</v>
      </c>
      <c r="N4100" s="182" t="n">
        <v>0</v>
      </c>
      <c r="O4100" s="183" t="n">
        <v>0</v>
      </c>
      <c r="P4100" s="183" t="n">
        <v>0</v>
      </c>
      <c r="Q4100" s="184" t="n">
        <v>0</v>
      </c>
      <c r="R4100" s="184" t="n">
        <v>0</v>
      </c>
      <c r="S4100" s="183" t="n">
        <v>0</v>
      </c>
      <c r="T4100" s="183" t="n">
        <v>0</v>
      </c>
      <c r="U4100" s="182" t="n">
        <v>0</v>
      </c>
      <c r="V4100" s="182" t="n">
        <v>0</v>
      </c>
      <c r="W4100" s="182" t="n">
        <v>0</v>
      </c>
      <c r="X4100" s="182" t="n">
        <v>1</v>
      </c>
      <c r="Y4100" s="182" t="n">
        <v>0</v>
      </c>
      <c r="Z4100" s="182" t="n">
        <v>0</v>
      </c>
      <c r="AA4100" s="182" t="n">
        <v>0</v>
      </c>
      <c r="AB4100" s="182" t="n">
        <v>0</v>
      </c>
      <c r="AC4100" s="182" t="n">
        <v>0</v>
      </c>
      <c r="AD4100" s="182" t="n">
        <v>0</v>
      </c>
      <c r="AE4100" s="182" t="n">
        <v>0</v>
      </c>
      <c r="AF4100" s="182" t="n">
        <v>0</v>
      </c>
      <c r="AG4100" s="182" t="n">
        <v>0</v>
      </c>
      <c r="AH4100" s="182" t="n">
        <v>0</v>
      </c>
      <c r="AI4100" s="182" t="n">
        <v>0</v>
      </c>
      <c r="AJ4100" s="182" t="n">
        <v>0</v>
      </c>
      <c r="AK4100" s="182" t="n">
        <v>10.92</v>
      </c>
      <c r="AL4100" s="182" t="n">
        <v>0</v>
      </c>
      <c r="AM4100" s="182" t="n">
        <v>0.08</v>
      </c>
      <c r="AN4100" s="182" t="n">
        <v>0</v>
      </c>
    </row>
    <row r="4101">
      <c r="A4101" s="155" t="n">
        <v>46100</v>
      </c>
      <c r="B4101" s="156" t="inlineStr">
        <is>
          <t>NS</t>
        </is>
      </c>
      <c r="C4101" s="156" t="inlineStr">
        <is>
          <t>HT-411</t>
        </is>
      </c>
      <c r="D4101" s="156" t="inlineStr">
        <is>
          <t>SY430</t>
        </is>
      </c>
      <c r="E4101" s="156" t="inlineStr">
        <is>
          <t>DT Hauling</t>
        </is>
      </c>
      <c r="F4101" s="156" t="inlineStr"/>
      <c r="G4101" s="182" t="n">
        <v>0</v>
      </c>
      <c r="H4101" s="182" t="n">
        <v>0</v>
      </c>
      <c r="I4101" s="182" t="n">
        <v>0</v>
      </c>
      <c r="J4101" s="182" t="n">
        <v>0</v>
      </c>
      <c r="K4101" s="182" t="n">
        <v>12</v>
      </c>
      <c r="L4101" s="182" t="n">
        <v>12</v>
      </c>
      <c r="M4101" s="182" t="n">
        <v>0</v>
      </c>
      <c r="N4101" s="182" t="n">
        <v>0</v>
      </c>
      <c r="O4101" s="183" t="n">
        <v>0</v>
      </c>
      <c r="P4101" s="183" t="n">
        <v>0</v>
      </c>
      <c r="Q4101" s="184" t="n">
        <v>0</v>
      </c>
      <c r="R4101" s="184" t="n">
        <v>0</v>
      </c>
      <c r="S4101" s="183" t="n">
        <v>0</v>
      </c>
      <c r="T4101" s="183" t="n">
        <v>0</v>
      </c>
      <c r="U4101" s="182" t="n">
        <v>0</v>
      </c>
      <c r="V4101" s="182" t="n">
        <v>0</v>
      </c>
      <c r="W4101" s="182" t="n">
        <v>0</v>
      </c>
      <c r="X4101" s="182" t="n">
        <v>1</v>
      </c>
      <c r="Y4101" s="182" t="n">
        <v>0</v>
      </c>
      <c r="Z4101" s="182" t="n">
        <v>0</v>
      </c>
      <c r="AA4101" s="182" t="n">
        <v>0</v>
      </c>
      <c r="AB4101" s="182" t="n">
        <v>0</v>
      </c>
      <c r="AC4101" s="182" t="n">
        <v>0</v>
      </c>
      <c r="AD4101" s="182" t="n">
        <v>0</v>
      </c>
      <c r="AE4101" s="182" t="n">
        <v>0</v>
      </c>
      <c r="AF4101" s="182" t="n">
        <v>0</v>
      </c>
      <c r="AG4101" s="182" t="n">
        <v>0</v>
      </c>
      <c r="AH4101" s="182" t="n">
        <v>0</v>
      </c>
      <c r="AI4101" s="182" t="n">
        <v>0</v>
      </c>
      <c r="AJ4101" s="182" t="n">
        <v>0</v>
      </c>
      <c r="AK4101" s="182" t="n">
        <v>10.92</v>
      </c>
      <c r="AL4101" s="182" t="n">
        <v>0</v>
      </c>
      <c r="AM4101" s="182" t="n">
        <v>0.08</v>
      </c>
      <c r="AN4101" s="182" t="n">
        <v>0</v>
      </c>
    </row>
    <row r="4102">
      <c r="A4102" s="155" t="n">
        <v>46100</v>
      </c>
      <c r="B4102" s="156" t="inlineStr">
        <is>
          <t>NS</t>
        </is>
      </c>
      <c r="C4102" s="156" t="inlineStr">
        <is>
          <t>HT-409</t>
        </is>
      </c>
      <c r="D4102" s="156" t="inlineStr">
        <is>
          <t>SY430</t>
        </is>
      </c>
      <c r="E4102" s="156" t="inlineStr">
        <is>
          <t>DT Hauling</t>
        </is>
      </c>
      <c r="F4102" s="156" t="inlineStr"/>
      <c r="G4102" s="182" t="n">
        <v>0</v>
      </c>
      <c r="H4102" s="182" t="n">
        <v>0</v>
      </c>
      <c r="I4102" s="182" t="n">
        <v>12</v>
      </c>
      <c r="J4102" s="182" t="n">
        <v>12</v>
      </c>
      <c r="K4102" s="182" t="n">
        <v>0</v>
      </c>
      <c r="L4102" s="182" t="n">
        <v>12</v>
      </c>
      <c r="M4102" s="182" t="n">
        <v>0</v>
      </c>
      <c r="N4102" s="182" t="n">
        <v>0</v>
      </c>
      <c r="O4102" s="183" t="n">
        <v>0</v>
      </c>
      <c r="P4102" s="183" t="n">
        <v>0</v>
      </c>
      <c r="Q4102" s="184" t="n">
        <v>0</v>
      </c>
      <c r="R4102" s="184" t="n">
        <v>0</v>
      </c>
      <c r="S4102" s="183" t="n">
        <v>0</v>
      </c>
      <c r="T4102" s="183" t="n">
        <v>0</v>
      </c>
      <c r="U4102" s="182" t="n">
        <v>0</v>
      </c>
      <c r="V4102" s="182" t="n">
        <v>0</v>
      </c>
      <c r="W4102" s="182" t="n">
        <v>0</v>
      </c>
      <c r="X4102" s="182" t="n">
        <v>0</v>
      </c>
      <c r="Y4102" s="182" t="n">
        <v>0</v>
      </c>
      <c r="Z4102" s="182" t="n">
        <v>0</v>
      </c>
      <c r="AA4102" s="182" t="n">
        <v>0</v>
      </c>
      <c r="AB4102" s="182" t="n">
        <v>0</v>
      </c>
      <c r="AC4102" s="182" t="n">
        <v>0</v>
      </c>
      <c r="AD4102" s="182" t="n">
        <v>0</v>
      </c>
      <c r="AE4102" s="182" t="n">
        <v>0</v>
      </c>
      <c r="AF4102" s="182" t="n">
        <v>0</v>
      </c>
      <c r="AG4102" s="182" t="n">
        <v>0</v>
      </c>
      <c r="AH4102" s="182" t="n">
        <v>0</v>
      </c>
      <c r="AI4102" s="182" t="n">
        <v>0</v>
      </c>
      <c r="AJ4102" s="182" t="n">
        <v>0</v>
      </c>
      <c r="AK4102" s="182" t="n">
        <v>0</v>
      </c>
      <c r="AL4102" s="182" t="n">
        <v>0</v>
      </c>
      <c r="AM4102" s="182" t="n">
        <v>0</v>
      </c>
      <c r="AN4102" s="182" t="n">
        <v>0</v>
      </c>
    </row>
    <row r="4103">
      <c r="A4103" s="155" t="n">
        <v>46100</v>
      </c>
      <c r="B4103" s="156" t="inlineStr">
        <is>
          <t>NS</t>
        </is>
      </c>
      <c r="C4103" s="156" t="inlineStr">
        <is>
          <t>DH-103</t>
        </is>
      </c>
      <c r="D4103" s="156" t="inlineStr">
        <is>
          <t>HINO FM260</t>
        </is>
      </c>
      <c r="E4103" s="156" t="inlineStr">
        <is>
          <t>DT Hino</t>
        </is>
      </c>
      <c r="F4103" s="156" t="inlineStr"/>
      <c r="G4103" s="182" t="n">
        <v>0</v>
      </c>
      <c r="H4103" s="182" t="n">
        <v>0</v>
      </c>
      <c r="I4103" s="182" t="n">
        <v>0</v>
      </c>
      <c r="J4103" s="182" t="n">
        <v>0</v>
      </c>
      <c r="K4103" s="182" t="n">
        <v>12</v>
      </c>
      <c r="L4103" s="182" t="n">
        <v>12</v>
      </c>
      <c r="M4103" s="182" t="n">
        <v>0</v>
      </c>
      <c r="N4103" s="182" t="n">
        <v>0</v>
      </c>
      <c r="O4103" s="183" t="n">
        <v>0</v>
      </c>
      <c r="P4103" s="183" t="n">
        <v>0</v>
      </c>
      <c r="Q4103" s="184" t="n">
        <v>0</v>
      </c>
      <c r="R4103" s="184" t="n">
        <v>0</v>
      </c>
      <c r="S4103" s="183" t="n">
        <v>0</v>
      </c>
      <c r="T4103" s="183" t="n">
        <v>0</v>
      </c>
      <c r="U4103" s="182" t="n">
        <v>0</v>
      </c>
      <c r="V4103" s="182" t="n">
        <v>0</v>
      </c>
      <c r="W4103" s="182" t="n">
        <v>0</v>
      </c>
      <c r="X4103" s="182" t="n">
        <v>1</v>
      </c>
      <c r="Y4103" s="182" t="n">
        <v>0</v>
      </c>
      <c r="Z4103" s="182" t="n">
        <v>0</v>
      </c>
      <c r="AA4103" s="182" t="n">
        <v>0</v>
      </c>
      <c r="AB4103" s="182" t="n">
        <v>0</v>
      </c>
      <c r="AC4103" s="182" t="n">
        <v>0</v>
      </c>
      <c r="AD4103" s="182" t="n">
        <v>0</v>
      </c>
      <c r="AE4103" s="182" t="n">
        <v>0</v>
      </c>
      <c r="AF4103" s="182" t="n">
        <v>0</v>
      </c>
      <c r="AG4103" s="182" t="n">
        <v>0</v>
      </c>
      <c r="AH4103" s="182" t="n">
        <v>0</v>
      </c>
      <c r="AI4103" s="182" t="n">
        <v>0</v>
      </c>
      <c r="AJ4103" s="182" t="n">
        <v>0</v>
      </c>
      <c r="AK4103" s="182" t="n">
        <v>10.92</v>
      </c>
      <c r="AL4103" s="182" t="n">
        <v>0</v>
      </c>
      <c r="AM4103" s="182" t="n">
        <v>0.08</v>
      </c>
      <c r="AN4103" s="182" t="n">
        <v>0</v>
      </c>
    </row>
    <row r="4104">
      <c r="A4104" s="155" t="n">
        <v>46100</v>
      </c>
      <c r="B4104" s="156" t="inlineStr">
        <is>
          <t>NS</t>
        </is>
      </c>
      <c r="C4104" s="156" t="inlineStr">
        <is>
          <t>DH-102</t>
        </is>
      </c>
      <c r="D4104" s="156" t="inlineStr">
        <is>
          <t>HINO FM260</t>
        </is>
      </c>
      <c r="E4104" s="156" t="inlineStr">
        <is>
          <t>DT Hino</t>
        </is>
      </c>
      <c r="F4104" s="156" t="inlineStr"/>
      <c r="G4104" s="182" t="n">
        <v>0</v>
      </c>
      <c r="H4104" s="182" t="n">
        <v>0</v>
      </c>
      <c r="I4104" s="182" t="n">
        <v>0</v>
      </c>
      <c r="J4104" s="182" t="n">
        <v>0</v>
      </c>
      <c r="K4104" s="182" t="n">
        <v>12</v>
      </c>
      <c r="L4104" s="182" t="n">
        <v>12</v>
      </c>
      <c r="M4104" s="182" t="n">
        <v>0</v>
      </c>
      <c r="N4104" s="182" t="n">
        <v>0</v>
      </c>
      <c r="O4104" s="183" t="n">
        <v>0</v>
      </c>
      <c r="P4104" s="183" t="n">
        <v>0</v>
      </c>
      <c r="Q4104" s="184" t="n">
        <v>0</v>
      </c>
      <c r="R4104" s="184" t="n">
        <v>0</v>
      </c>
      <c r="S4104" s="183" t="n">
        <v>0</v>
      </c>
      <c r="T4104" s="183" t="n">
        <v>0</v>
      </c>
      <c r="U4104" s="182" t="n">
        <v>0</v>
      </c>
      <c r="V4104" s="182" t="n">
        <v>0</v>
      </c>
      <c r="W4104" s="182" t="n">
        <v>0</v>
      </c>
      <c r="X4104" s="182" t="n">
        <v>1</v>
      </c>
      <c r="Y4104" s="182" t="n">
        <v>0</v>
      </c>
      <c r="Z4104" s="182" t="n">
        <v>0</v>
      </c>
      <c r="AA4104" s="182" t="n">
        <v>0</v>
      </c>
      <c r="AB4104" s="182" t="n">
        <v>0</v>
      </c>
      <c r="AC4104" s="182" t="n">
        <v>0</v>
      </c>
      <c r="AD4104" s="182" t="n">
        <v>0</v>
      </c>
      <c r="AE4104" s="182" t="n">
        <v>0</v>
      </c>
      <c r="AF4104" s="182" t="n">
        <v>0</v>
      </c>
      <c r="AG4104" s="182" t="n">
        <v>0</v>
      </c>
      <c r="AH4104" s="182" t="n">
        <v>0</v>
      </c>
      <c r="AI4104" s="182" t="n">
        <v>0</v>
      </c>
      <c r="AJ4104" s="182" t="n">
        <v>0</v>
      </c>
      <c r="AK4104" s="182" t="n">
        <v>10.92</v>
      </c>
      <c r="AL4104" s="182" t="n">
        <v>0</v>
      </c>
      <c r="AM4104" s="182" t="n">
        <v>0.08</v>
      </c>
      <c r="AN4104" s="182" t="n">
        <v>0</v>
      </c>
    </row>
    <row r="4105">
      <c r="A4105" s="155" t="n">
        <v>46100</v>
      </c>
      <c r="B4105" s="156" t="inlineStr">
        <is>
          <t>NS</t>
        </is>
      </c>
      <c r="C4105" s="156" t="inlineStr">
        <is>
          <t>DH-101</t>
        </is>
      </c>
      <c r="D4105" s="156" t="inlineStr">
        <is>
          <t>HINO FM260</t>
        </is>
      </c>
      <c r="E4105" s="156" t="inlineStr">
        <is>
          <t>DT Hino</t>
        </is>
      </c>
      <c r="F4105" s="156" t="inlineStr"/>
      <c r="G4105" s="182" t="n">
        <v>0</v>
      </c>
      <c r="H4105" s="182" t="n">
        <v>0</v>
      </c>
      <c r="I4105" s="182" t="n">
        <v>0</v>
      </c>
      <c r="J4105" s="182" t="n">
        <v>0</v>
      </c>
      <c r="K4105" s="182" t="n">
        <v>12</v>
      </c>
      <c r="L4105" s="182" t="n">
        <v>12</v>
      </c>
      <c r="M4105" s="182" t="n">
        <v>0</v>
      </c>
      <c r="N4105" s="182" t="n">
        <v>0</v>
      </c>
      <c r="O4105" s="183" t="n">
        <v>0</v>
      </c>
      <c r="P4105" s="183" t="n">
        <v>0</v>
      </c>
      <c r="Q4105" s="184" t="n">
        <v>0</v>
      </c>
      <c r="R4105" s="184" t="n">
        <v>0</v>
      </c>
      <c r="S4105" s="183" t="n">
        <v>0</v>
      </c>
      <c r="T4105" s="183" t="n">
        <v>0</v>
      </c>
      <c r="U4105" s="182" t="n">
        <v>0</v>
      </c>
      <c r="V4105" s="182" t="n">
        <v>0</v>
      </c>
      <c r="W4105" s="182" t="n">
        <v>0</v>
      </c>
      <c r="X4105" s="182" t="n">
        <v>1</v>
      </c>
      <c r="Y4105" s="182" t="n">
        <v>0</v>
      </c>
      <c r="Z4105" s="182" t="n">
        <v>0</v>
      </c>
      <c r="AA4105" s="182" t="n">
        <v>0</v>
      </c>
      <c r="AB4105" s="182" t="n">
        <v>0</v>
      </c>
      <c r="AC4105" s="182" t="n">
        <v>0</v>
      </c>
      <c r="AD4105" s="182" t="n">
        <v>0</v>
      </c>
      <c r="AE4105" s="182" t="n">
        <v>0</v>
      </c>
      <c r="AF4105" s="182" t="n">
        <v>0</v>
      </c>
      <c r="AG4105" s="182" t="n">
        <v>0</v>
      </c>
      <c r="AH4105" s="182" t="n">
        <v>0</v>
      </c>
      <c r="AI4105" s="182" t="n">
        <v>0</v>
      </c>
      <c r="AJ4105" s="182" t="n">
        <v>0</v>
      </c>
      <c r="AK4105" s="182" t="n">
        <v>10.92</v>
      </c>
      <c r="AL4105" s="182" t="n">
        <v>0</v>
      </c>
      <c r="AM4105" s="182" t="n">
        <v>0.08</v>
      </c>
      <c r="AN4105" s="182" t="n">
        <v>0</v>
      </c>
    </row>
    <row r="4106">
      <c r="A4106" s="155" t="n">
        <v>46100</v>
      </c>
      <c r="B4106" s="156" t="inlineStr">
        <is>
          <t>NS</t>
        </is>
      </c>
      <c r="C4106" s="156" t="inlineStr">
        <is>
          <t>EX-1251</t>
        </is>
      </c>
      <c r="D4106" s="156" t="inlineStr">
        <is>
          <t>SY1250</t>
        </is>
      </c>
      <c r="E4106" s="156" t="inlineStr">
        <is>
          <t>Excavator</t>
        </is>
      </c>
      <c r="F4106" s="156" t="inlineStr">
        <is>
          <t>Loading OB</t>
        </is>
      </c>
      <c r="G4106" s="182" t="n">
        <v>10.93</v>
      </c>
      <c r="H4106" s="182" t="n">
        <v>0</v>
      </c>
      <c r="I4106" s="182" t="n">
        <v>0</v>
      </c>
      <c r="J4106" s="182" t="n">
        <v>0</v>
      </c>
      <c r="K4106" s="182" t="n">
        <v>1.07</v>
      </c>
      <c r="L4106" s="182" t="n">
        <v>12</v>
      </c>
      <c r="M4106" s="182" t="n">
        <v>10.85</v>
      </c>
      <c r="N4106" s="182" t="n">
        <v>0</v>
      </c>
      <c r="O4106" s="183" t="n">
        <v>245</v>
      </c>
      <c r="P4106" s="183" t="n">
        <v>0</v>
      </c>
      <c r="Q4106" s="184" t="n">
        <v>4998</v>
      </c>
      <c r="R4106" s="184" t="n">
        <v>0</v>
      </c>
      <c r="S4106" s="183" t="n">
        <v>0</v>
      </c>
      <c r="T4106" s="183" t="n">
        <v>0</v>
      </c>
      <c r="U4106" s="182" t="n">
        <v>0</v>
      </c>
      <c r="V4106" s="182" t="n">
        <v>0</v>
      </c>
      <c r="W4106" s="182" t="n">
        <v>0</v>
      </c>
      <c r="X4106" s="182" t="n">
        <v>0.89</v>
      </c>
      <c r="Y4106" s="182" t="n">
        <v>0</v>
      </c>
      <c r="Z4106" s="182" t="n">
        <v>0</v>
      </c>
      <c r="AA4106" s="182" t="n">
        <v>0</v>
      </c>
      <c r="AB4106" s="182" t="n">
        <v>0</v>
      </c>
      <c r="AC4106" s="182" t="n">
        <v>0</v>
      </c>
      <c r="AD4106" s="182" t="n">
        <v>0</v>
      </c>
      <c r="AE4106" s="182" t="n">
        <v>0</v>
      </c>
      <c r="AF4106" s="182" t="n">
        <v>0</v>
      </c>
      <c r="AG4106" s="182" t="n">
        <v>0</v>
      </c>
      <c r="AH4106" s="182" t="n">
        <v>0.11</v>
      </c>
      <c r="AI4106" s="182" t="n">
        <v>0</v>
      </c>
      <c r="AJ4106" s="182" t="n">
        <v>0</v>
      </c>
      <c r="AK4106" s="182" t="n">
        <v>0</v>
      </c>
      <c r="AL4106" s="182" t="n">
        <v>0</v>
      </c>
      <c r="AM4106" s="182" t="n">
        <v>0.07000000000000001</v>
      </c>
      <c r="AN4106" s="182" t="n">
        <v>0</v>
      </c>
    </row>
    <row r="4107">
      <c r="A4107" s="155" t="n">
        <v>46100</v>
      </c>
      <c r="B4107" s="156" t="inlineStr">
        <is>
          <t>NS</t>
        </is>
      </c>
      <c r="C4107" s="156" t="inlineStr">
        <is>
          <t>EX-1252</t>
        </is>
      </c>
      <c r="D4107" s="156" t="inlineStr">
        <is>
          <t>SY1250</t>
        </is>
      </c>
      <c r="E4107" s="156" t="inlineStr">
        <is>
          <t>Excavator</t>
        </is>
      </c>
      <c r="F4107" s="156" t="inlineStr">
        <is>
          <t>Loading OB</t>
        </is>
      </c>
      <c r="G4107" s="182" t="n">
        <v>10.09</v>
      </c>
      <c r="H4107" s="182" t="n">
        <v>0</v>
      </c>
      <c r="I4107" s="182" t="n">
        <v>0</v>
      </c>
      <c r="J4107" s="182" t="n">
        <v>0</v>
      </c>
      <c r="K4107" s="182" t="n">
        <v>1.91</v>
      </c>
      <c r="L4107" s="182" t="n">
        <v>12</v>
      </c>
      <c r="M4107" s="182" t="n">
        <v>9.33</v>
      </c>
      <c r="N4107" s="182" t="n">
        <v>0</v>
      </c>
      <c r="O4107" s="183" t="n">
        <v>189</v>
      </c>
      <c r="P4107" s="183" t="n">
        <v>0</v>
      </c>
      <c r="Q4107" s="184" t="n">
        <v>3855.6</v>
      </c>
      <c r="R4107" s="184" t="n">
        <v>0</v>
      </c>
      <c r="S4107" s="183" t="n">
        <v>0</v>
      </c>
      <c r="T4107" s="183" t="n">
        <v>0</v>
      </c>
      <c r="U4107" s="182" t="n">
        <v>0</v>
      </c>
      <c r="V4107" s="182" t="n">
        <v>0</v>
      </c>
      <c r="W4107" s="182" t="n">
        <v>0</v>
      </c>
      <c r="X4107" s="182" t="n">
        <v>0.93</v>
      </c>
      <c r="Y4107" s="182" t="n">
        <v>0</v>
      </c>
      <c r="Z4107" s="182" t="n">
        <v>0</v>
      </c>
      <c r="AA4107" s="182" t="n">
        <v>0</v>
      </c>
      <c r="AB4107" s="182" t="n">
        <v>0</v>
      </c>
      <c r="AC4107" s="182" t="n">
        <v>0</v>
      </c>
      <c r="AD4107" s="182" t="n">
        <v>0</v>
      </c>
      <c r="AE4107" s="182" t="n">
        <v>0</v>
      </c>
      <c r="AF4107" s="182" t="n">
        <v>0</v>
      </c>
      <c r="AG4107" s="182" t="n">
        <v>0</v>
      </c>
      <c r="AH4107" s="182" t="n">
        <v>0.91</v>
      </c>
      <c r="AI4107" s="182" t="n">
        <v>0</v>
      </c>
      <c r="AJ4107" s="182" t="n">
        <v>0</v>
      </c>
      <c r="AK4107" s="182" t="n">
        <v>0</v>
      </c>
      <c r="AL4107" s="182" t="n">
        <v>0</v>
      </c>
      <c r="AM4107" s="182" t="n">
        <v>0.07000000000000001</v>
      </c>
      <c r="AN4107" s="182" t="n">
        <v>0</v>
      </c>
    </row>
    <row r="4108">
      <c r="A4108" s="155" t="n">
        <v>46100</v>
      </c>
      <c r="B4108" s="156" t="inlineStr">
        <is>
          <t>NS</t>
        </is>
      </c>
      <c r="C4108" s="156" t="inlineStr">
        <is>
          <t>EX-2101</t>
        </is>
      </c>
      <c r="D4108" s="156" t="inlineStr">
        <is>
          <t>SY2000</t>
        </is>
      </c>
      <c r="E4108" s="156" t="inlineStr">
        <is>
          <t>Excavator</t>
        </is>
      </c>
      <c r="F4108" s="156" t="inlineStr">
        <is>
          <t>Loading OB</t>
        </is>
      </c>
      <c r="G4108" s="182" t="n">
        <v>9.710000000000001</v>
      </c>
      <c r="H4108" s="182" t="n">
        <v>0.25</v>
      </c>
      <c r="I4108" s="182" t="n">
        <v>0.42</v>
      </c>
      <c r="J4108" s="182" t="n">
        <v>0.67</v>
      </c>
      <c r="K4108" s="182" t="n">
        <v>1.62</v>
      </c>
      <c r="L4108" s="182" t="n">
        <v>12</v>
      </c>
      <c r="M4108" s="182" t="n">
        <v>9.27</v>
      </c>
      <c r="N4108" s="182" t="n">
        <v>0</v>
      </c>
      <c r="O4108" s="183" t="n">
        <v>185</v>
      </c>
      <c r="P4108" s="183" t="n">
        <v>0</v>
      </c>
      <c r="Q4108" s="184" t="n">
        <v>5946.6</v>
      </c>
      <c r="R4108" s="184" t="n">
        <v>0</v>
      </c>
      <c r="S4108" s="183" t="n">
        <v>0</v>
      </c>
      <c r="T4108" s="183" t="n">
        <v>0</v>
      </c>
      <c r="U4108" s="182" t="n">
        <v>0</v>
      </c>
      <c r="V4108" s="182" t="n">
        <v>0</v>
      </c>
      <c r="W4108" s="182" t="n">
        <v>0</v>
      </c>
      <c r="X4108" s="182" t="n">
        <v>1.2</v>
      </c>
      <c r="Y4108" s="182" t="n">
        <v>0</v>
      </c>
      <c r="Z4108" s="182" t="n">
        <v>0</v>
      </c>
      <c r="AA4108" s="182" t="n">
        <v>0</v>
      </c>
      <c r="AB4108" s="182" t="n">
        <v>0</v>
      </c>
      <c r="AC4108" s="182" t="n">
        <v>0</v>
      </c>
      <c r="AD4108" s="182" t="n">
        <v>0</v>
      </c>
      <c r="AE4108" s="182" t="n">
        <v>0</v>
      </c>
      <c r="AF4108" s="182" t="n">
        <v>0</v>
      </c>
      <c r="AG4108" s="182" t="n">
        <v>0</v>
      </c>
      <c r="AH4108" s="182" t="n">
        <v>0.32</v>
      </c>
      <c r="AI4108" s="182" t="n">
        <v>0</v>
      </c>
      <c r="AJ4108" s="182" t="n">
        <v>0</v>
      </c>
      <c r="AK4108" s="182" t="n">
        <v>0</v>
      </c>
      <c r="AL4108" s="182" t="n">
        <v>0</v>
      </c>
      <c r="AM4108" s="182" t="n">
        <v>0.1</v>
      </c>
      <c r="AN4108" s="182" t="n">
        <v>0</v>
      </c>
    </row>
    <row r="4109">
      <c r="A4109" s="155" t="n">
        <v>46100</v>
      </c>
      <c r="B4109" s="156" t="inlineStr">
        <is>
          <t>NS</t>
        </is>
      </c>
      <c r="C4109" s="156" t="inlineStr">
        <is>
          <t>EX-222</t>
        </is>
      </c>
      <c r="D4109" s="156" t="inlineStr">
        <is>
          <t>PC 200-8MI</t>
        </is>
      </c>
      <c r="E4109" s="156" t="inlineStr">
        <is>
          <t>Excavator</t>
        </is>
      </c>
      <c r="F4109" s="156" t="inlineStr">
        <is>
          <t>Support Washing Plant</t>
        </is>
      </c>
      <c r="G4109" s="182" t="n">
        <v>12</v>
      </c>
      <c r="H4109" s="182" t="n">
        <v>0</v>
      </c>
      <c r="I4109" s="182" t="n">
        <v>0</v>
      </c>
      <c r="J4109" s="182" t="n">
        <v>0</v>
      </c>
      <c r="K4109" s="182" t="n">
        <v>0</v>
      </c>
      <c r="L4109" s="182" t="n">
        <v>12</v>
      </c>
      <c r="M4109" s="182" t="n">
        <v>0</v>
      </c>
      <c r="N4109" s="182" t="n">
        <v>0</v>
      </c>
      <c r="O4109" s="183" t="n">
        <v>0</v>
      </c>
      <c r="P4109" s="183" t="n">
        <v>0</v>
      </c>
      <c r="Q4109" s="184" t="n">
        <v>0</v>
      </c>
      <c r="R4109" s="184" t="n">
        <v>0</v>
      </c>
      <c r="S4109" s="183" t="n">
        <v>0</v>
      </c>
      <c r="T4109" s="183" t="n">
        <v>0</v>
      </c>
      <c r="U4109" s="182" t="n">
        <v>0</v>
      </c>
      <c r="V4109" s="182" t="n">
        <v>0</v>
      </c>
      <c r="W4109" s="182" t="n">
        <v>0</v>
      </c>
      <c r="X4109" s="182" t="n">
        <v>0</v>
      </c>
      <c r="Y4109" s="182" t="n">
        <v>0</v>
      </c>
      <c r="Z4109" s="182" t="n">
        <v>0</v>
      </c>
      <c r="AA4109" s="182" t="n">
        <v>0</v>
      </c>
      <c r="AB4109" s="182" t="n">
        <v>0</v>
      </c>
      <c r="AC4109" s="182" t="n">
        <v>0</v>
      </c>
      <c r="AD4109" s="182" t="n">
        <v>0</v>
      </c>
      <c r="AE4109" s="182" t="n">
        <v>0</v>
      </c>
      <c r="AF4109" s="182" t="n">
        <v>0</v>
      </c>
      <c r="AG4109" s="182" t="n">
        <v>0</v>
      </c>
      <c r="AH4109" s="182" t="n">
        <v>0</v>
      </c>
      <c r="AI4109" s="182" t="n">
        <v>0</v>
      </c>
      <c r="AJ4109" s="182" t="n">
        <v>0</v>
      </c>
      <c r="AK4109" s="182" t="n">
        <v>0</v>
      </c>
      <c r="AL4109" s="182" t="n">
        <v>0</v>
      </c>
      <c r="AM4109" s="182" t="n">
        <v>0</v>
      </c>
      <c r="AN4109" s="182" t="n">
        <v>0</v>
      </c>
    </row>
    <row r="4110">
      <c r="A4110" s="155" t="n">
        <v>46100</v>
      </c>
      <c r="B4110" s="156" t="inlineStr">
        <is>
          <t>NS</t>
        </is>
      </c>
      <c r="C4110" s="156" t="inlineStr">
        <is>
          <t>EX-225</t>
        </is>
      </c>
      <c r="D4110" s="156" t="inlineStr">
        <is>
          <t>PC 200-8</t>
        </is>
      </c>
      <c r="E4110" s="156" t="inlineStr">
        <is>
          <t>Excavator</t>
        </is>
      </c>
      <c r="F4110" s="156" t="inlineStr"/>
      <c r="G4110" s="182" t="n">
        <v>0</v>
      </c>
      <c r="H4110" s="182" t="n">
        <v>0</v>
      </c>
      <c r="I4110" s="182" t="n">
        <v>12</v>
      </c>
      <c r="J4110" s="182" t="n">
        <v>12</v>
      </c>
      <c r="K4110" s="182" t="n">
        <v>0</v>
      </c>
      <c r="L4110" s="182" t="n">
        <v>12</v>
      </c>
      <c r="M4110" s="182" t="n">
        <v>0</v>
      </c>
      <c r="N4110" s="182" t="n">
        <v>0</v>
      </c>
      <c r="O4110" s="183" t="n">
        <v>0</v>
      </c>
      <c r="P4110" s="183" t="n">
        <v>0</v>
      </c>
      <c r="Q4110" s="184" t="n">
        <v>0</v>
      </c>
      <c r="R4110" s="184" t="n">
        <v>0</v>
      </c>
      <c r="S4110" s="183" t="n">
        <v>0</v>
      </c>
      <c r="T4110" s="183" t="n">
        <v>0</v>
      </c>
      <c r="U4110" s="182" t="n">
        <v>0</v>
      </c>
      <c r="V4110" s="182" t="n">
        <v>0</v>
      </c>
      <c r="W4110" s="182" t="n">
        <v>0</v>
      </c>
      <c r="X4110" s="182" t="n">
        <v>0</v>
      </c>
      <c r="Y4110" s="182" t="n">
        <v>0</v>
      </c>
      <c r="Z4110" s="182" t="n">
        <v>0</v>
      </c>
      <c r="AA4110" s="182" t="n">
        <v>0</v>
      </c>
      <c r="AB4110" s="182" t="n">
        <v>0</v>
      </c>
      <c r="AC4110" s="182" t="n">
        <v>0</v>
      </c>
      <c r="AD4110" s="182" t="n">
        <v>0</v>
      </c>
      <c r="AE4110" s="182" t="n">
        <v>0</v>
      </c>
      <c r="AF4110" s="182" t="n">
        <v>0</v>
      </c>
      <c r="AG4110" s="182" t="n">
        <v>0</v>
      </c>
      <c r="AH4110" s="182" t="n">
        <v>0</v>
      </c>
      <c r="AI4110" s="182" t="n">
        <v>0</v>
      </c>
      <c r="AJ4110" s="182" t="n">
        <v>0</v>
      </c>
      <c r="AK4110" s="182" t="n">
        <v>0</v>
      </c>
      <c r="AL4110" s="182" t="n">
        <v>0</v>
      </c>
      <c r="AM4110" s="182" t="n">
        <v>0</v>
      </c>
      <c r="AN4110" s="182" t="n">
        <v>0</v>
      </c>
    </row>
    <row r="4111">
      <c r="A4111" s="155" t="n">
        <v>46100</v>
      </c>
      <c r="B4111" s="156" t="inlineStr">
        <is>
          <t>NS</t>
        </is>
      </c>
      <c r="C4111" s="156" t="inlineStr">
        <is>
          <t>EX-223</t>
        </is>
      </c>
      <c r="D4111" s="156" t="inlineStr">
        <is>
          <t>PC 200-8MI</t>
        </is>
      </c>
      <c r="E4111" s="156" t="inlineStr">
        <is>
          <t>Excavator</t>
        </is>
      </c>
      <c r="F4111" s="156" t="inlineStr">
        <is>
          <t>Support Washing Plant</t>
        </is>
      </c>
      <c r="G4111" s="182" t="n">
        <v>9.81</v>
      </c>
      <c r="H4111" s="182" t="n">
        <v>0</v>
      </c>
      <c r="I4111" s="182" t="n">
        <v>0</v>
      </c>
      <c r="J4111" s="182" t="n">
        <v>0</v>
      </c>
      <c r="K4111" s="182" t="n">
        <v>2.19</v>
      </c>
      <c r="L4111" s="182" t="n">
        <v>12</v>
      </c>
      <c r="M4111" s="182" t="n">
        <v>0</v>
      </c>
      <c r="N4111" s="182" t="n">
        <v>0</v>
      </c>
      <c r="O4111" s="183" t="n">
        <v>0</v>
      </c>
      <c r="P4111" s="183" t="n">
        <v>0</v>
      </c>
      <c r="Q4111" s="184" t="n">
        <v>0</v>
      </c>
      <c r="R4111" s="184" t="n">
        <v>0</v>
      </c>
      <c r="S4111" s="183" t="n">
        <v>0</v>
      </c>
      <c r="T4111" s="183" t="n">
        <v>0</v>
      </c>
      <c r="U4111" s="182" t="n">
        <v>0</v>
      </c>
      <c r="V4111" s="182" t="n">
        <v>0</v>
      </c>
      <c r="W4111" s="182" t="n">
        <v>0</v>
      </c>
      <c r="X4111" s="182" t="n">
        <v>1.04</v>
      </c>
      <c r="Y4111" s="182" t="n">
        <v>0</v>
      </c>
      <c r="Z4111" s="182" t="n">
        <v>0</v>
      </c>
      <c r="AA4111" s="182" t="n">
        <v>0</v>
      </c>
      <c r="AB4111" s="182" t="n">
        <v>0</v>
      </c>
      <c r="AC4111" s="182" t="n">
        <v>0</v>
      </c>
      <c r="AD4111" s="182" t="n">
        <v>0</v>
      </c>
      <c r="AE4111" s="182" t="n">
        <v>0</v>
      </c>
      <c r="AF4111" s="182" t="n">
        <v>0</v>
      </c>
      <c r="AG4111" s="182" t="n">
        <v>0</v>
      </c>
      <c r="AH4111" s="182" t="n">
        <v>0</v>
      </c>
      <c r="AI4111" s="182" t="n">
        <v>0</v>
      </c>
      <c r="AJ4111" s="182" t="n">
        <v>0</v>
      </c>
      <c r="AK4111" s="182" t="n">
        <v>1.06</v>
      </c>
      <c r="AL4111" s="182" t="n">
        <v>0</v>
      </c>
      <c r="AM4111" s="182" t="n">
        <v>0.08</v>
      </c>
      <c r="AN4111" s="182" t="n">
        <v>0</v>
      </c>
    </row>
    <row r="4112">
      <c r="A4112" s="155" t="n">
        <v>46100</v>
      </c>
      <c r="B4112" s="156" t="inlineStr">
        <is>
          <t>NS</t>
        </is>
      </c>
      <c r="C4112" s="156" t="inlineStr">
        <is>
          <t>EX-221</t>
        </is>
      </c>
      <c r="D4112" s="156" t="inlineStr">
        <is>
          <t>PC 200-8MI</t>
        </is>
      </c>
      <c r="E4112" s="156" t="inlineStr">
        <is>
          <t>Excavator</t>
        </is>
      </c>
      <c r="F4112" s="156" t="inlineStr"/>
      <c r="G4112" s="182" t="n">
        <v>0</v>
      </c>
      <c r="H4112" s="182" t="n">
        <v>0</v>
      </c>
      <c r="I4112" s="182" t="n">
        <v>0</v>
      </c>
      <c r="J4112" s="182" t="n">
        <v>0</v>
      </c>
      <c r="K4112" s="182" t="n">
        <v>12</v>
      </c>
      <c r="L4112" s="182" t="n">
        <v>12</v>
      </c>
      <c r="M4112" s="182" t="n">
        <v>0</v>
      </c>
      <c r="N4112" s="182" t="n">
        <v>0</v>
      </c>
      <c r="O4112" s="183" t="n">
        <v>0</v>
      </c>
      <c r="P4112" s="183" t="n">
        <v>0</v>
      </c>
      <c r="Q4112" s="184" t="n">
        <v>0</v>
      </c>
      <c r="R4112" s="184" t="n">
        <v>0</v>
      </c>
      <c r="S4112" s="183" t="n">
        <v>0</v>
      </c>
      <c r="T4112" s="183" t="n">
        <v>0</v>
      </c>
      <c r="U4112" s="182" t="n">
        <v>0</v>
      </c>
      <c r="V4112" s="182" t="n">
        <v>0</v>
      </c>
      <c r="W4112" s="182" t="n">
        <v>0</v>
      </c>
      <c r="X4112" s="182" t="n">
        <v>1</v>
      </c>
      <c r="Y4112" s="182" t="n">
        <v>0</v>
      </c>
      <c r="Z4112" s="182" t="n">
        <v>0</v>
      </c>
      <c r="AA4112" s="182" t="n">
        <v>0</v>
      </c>
      <c r="AB4112" s="182" t="n">
        <v>0</v>
      </c>
      <c r="AC4112" s="182" t="n">
        <v>0</v>
      </c>
      <c r="AD4112" s="182" t="n">
        <v>0</v>
      </c>
      <c r="AE4112" s="182" t="n">
        <v>0</v>
      </c>
      <c r="AF4112" s="182" t="n">
        <v>0</v>
      </c>
      <c r="AG4112" s="182" t="n">
        <v>0</v>
      </c>
      <c r="AH4112" s="182" t="n">
        <v>0</v>
      </c>
      <c r="AI4112" s="182" t="n">
        <v>0</v>
      </c>
      <c r="AJ4112" s="182" t="n">
        <v>0</v>
      </c>
      <c r="AK4112" s="182" t="n">
        <v>10.92</v>
      </c>
      <c r="AL4112" s="182" t="n">
        <v>0</v>
      </c>
      <c r="AM4112" s="182" t="n">
        <v>0.08</v>
      </c>
      <c r="AN4112" s="182" t="n">
        <v>0</v>
      </c>
    </row>
    <row r="4113">
      <c r="A4113" s="155" t="n">
        <v>46100</v>
      </c>
      <c r="B4113" s="156" t="inlineStr">
        <is>
          <t>NS</t>
        </is>
      </c>
      <c r="C4113" s="156" t="inlineStr">
        <is>
          <t>EX-331</t>
        </is>
      </c>
      <c r="D4113" s="156" t="inlineStr">
        <is>
          <t>PC 300-8MO</t>
        </is>
      </c>
      <c r="E4113" s="156" t="inlineStr">
        <is>
          <t>Excavator</t>
        </is>
      </c>
      <c r="F4113" s="156" t="inlineStr"/>
      <c r="G4113" s="182" t="n">
        <v>0</v>
      </c>
      <c r="H4113" s="182" t="n">
        <v>0</v>
      </c>
      <c r="I4113" s="182" t="n">
        <v>12</v>
      </c>
      <c r="J4113" s="182" t="n">
        <v>12</v>
      </c>
      <c r="K4113" s="182" t="n">
        <v>0</v>
      </c>
      <c r="L4113" s="182" t="n">
        <v>12</v>
      </c>
      <c r="M4113" s="182" t="n">
        <v>0</v>
      </c>
      <c r="N4113" s="182" t="n">
        <v>0</v>
      </c>
      <c r="O4113" s="183" t="n">
        <v>0</v>
      </c>
      <c r="P4113" s="183" t="n">
        <v>0</v>
      </c>
      <c r="Q4113" s="184" t="n">
        <v>0</v>
      </c>
      <c r="R4113" s="184" t="n">
        <v>0</v>
      </c>
      <c r="S4113" s="183" t="n">
        <v>0</v>
      </c>
      <c r="T4113" s="183" t="n">
        <v>0</v>
      </c>
      <c r="U4113" s="182" t="n">
        <v>0</v>
      </c>
      <c r="V4113" s="182" t="n">
        <v>0</v>
      </c>
      <c r="W4113" s="182" t="n">
        <v>0</v>
      </c>
      <c r="X4113" s="182" t="n">
        <v>0</v>
      </c>
      <c r="Y4113" s="182" t="n">
        <v>0</v>
      </c>
      <c r="Z4113" s="182" t="n">
        <v>0</v>
      </c>
      <c r="AA4113" s="182" t="n">
        <v>0</v>
      </c>
      <c r="AB4113" s="182" t="n">
        <v>0</v>
      </c>
      <c r="AC4113" s="182" t="n">
        <v>0</v>
      </c>
      <c r="AD4113" s="182" t="n">
        <v>0</v>
      </c>
      <c r="AE4113" s="182" t="n">
        <v>0</v>
      </c>
      <c r="AF4113" s="182" t="n">
        <v>0</v>
      </c>
      <c r="AG4113" s="182" t="n">
        <v>0</v>
      </c>
      <c r="AH4113" s="182" t="n">
        <v>0</v>
      </c>
      <c r="AI4113" s="182" t="n">
        <v>0</v>
      </c>
      <c r="AJ4113" s="182" t="n">
        <v>0</v>
      </c>
      <c r="AK4113" s="182" t="n">
        <v>0</v>
      </c>
      <c r="AL4113" s="182" t="n">
        <v>0</v>
      </c>
      <c r="AM4113" s="182" t="n">
        <v>0</v>
      </c>
      <c r="AN4113" s="182" t="n">
        <v>0</v>
      </c>
    </row>
    <row r="4114">
      <c r="A4114" s="155" t="n">
        <v>46100</v>
      </c>
      <c r="B4114" s="156" t="inlineStr">
        <is>
          <t>NS</t>
        </is>
      </c>
      <c r="C4114" s="156" t="inlineStr">
        <is>
          <t>EX-334</t>
        </is>
      </c>
      <c r="D4114" s="156" t="inlineStr">
        <is>
          <t>PC 300-8MO</t>
        </is>
      </c>
      <c r="E4114" s="156" t="inlineStr">
        <is>
          <t>Excavator</t>
        </is>
      </c>
      <c r="F4114" s="156" t="inlineStr">
        <is>
          <t>General Estapet Soil</t>
        </is>
      </c>
      <c r="G4114" s="182" t="n">
        <v>10.39</v>
      </c>
      <c r="H4114" s="182" t="n">
        <v>0</v>
      </c>
      <c r="I4114" s="182" t="n">
        <v>0</v>
      </c>
      <c r="J4114" s="182" t="n">
        <v>0</v>
      </c>
      <c r="K4114" s="182" t="n">
        <v>1.61</v>
      </c>
      <c r="L4114" s="182" t="n">
        <v>12</v>
      </c>
      <c r="M4114" s="182" t="n">
        <v>0</v>
      </c>
      <c r="N4114" s="182" t="n">
        <v>0</v>
      </c>
      <c r="O4114" s="183" t="n">
        <v>0</v>
      </c>
      <c r="P4114" s="183" t="n">
        <v>0</v>
      </c>
      <c r="Q4114" s="184" t="n">
        <v>0</v>
      </c>
      <c r="R4114" s="184" t="n">
        <v>0</v>
      </c>
      <c r="S4114" s="183" t="n">
        <v>0</v>
      </c>
      <c r="T4114" s="183" t="n">
        <v>0</v>
      </c>
      <c r="U4114" s="182" t="n">
        <v>0</v>
      </c>
      <c r="V4114" s="182" t="n">
        <v>0</v>
      </c>
      <c r="W4114" s="182" t="n">
        <v>0</v>
      </c>
      <c r="X4114" s="182" t="n">
        <v>0.89</v>
      </c>
      <c r="Y4114" s="182" t="n">
        <v>0</v>
      </c>
      <c r="Z4114" s="182" t="n">
        <v>0</v>
      </c>
      <c r="AA4114" s="182" t="n">
        <v>0</v>
      </c>
      <c r="AB4114" s="182" t="n">
        <v>0</v>
      </c>
      <c r="AC4114" s="182" t="n">
        <v>0</v>
      </c>
      <c r="AD4114" s="182" t="n">
        <v>0</v>
      </c>
      <c r="AE4114" s="182" t="n">
        <v>0</v>
      </c>
      <c r="AF4114" s="182" t="n">
        <v>0</v>
      </c>
      <c r="AG4114" s="182" t="n">
        <v>0</v>
      </c>
      <c r="AH4114" s="182" t="n">
        <v>0.64</v>
      </c>
      <c r="AI4114" s="182" t="n">
        <v>0</v>
      </c>
      <c r="AJ4114" s="182" t="n">
        <v>0</v>
      </c>
      <c r="AK4114" s="182" t="n">
        <v>0</v>
      </c>
      <c r="AL4114" s="182" t="n">
        <v>0</v>
      </c>
      <c r="AM4114" s="182" t="n">
        <v>0.07000000000000001</v>
      </c>
      <c r="AN4114" s="182" t="n">
        <v>0</v>
      </c>
    </row>
    <row r="4115">
      <c r="A4115" s="155" t="n">
        <v>46100</v>
      </c>
      <c r="B4115" s="156" t="inlineStr">
        <is>
          <t>NS</t>
        </is>
      </c>
      <c r="C4115" s="156" t="inlineStr">
        <is>
          <t>EX-332</t>
        </is>
      </c>
      <c r="D4115" s="156" t="inlineStr">
        <is>
          <t>PC 300-8MO</t>
        </is>
      </c>
      <c r="E4115" s="156" t="inlineStr">
        <is>
          <t>Excavator</t>
        </is>
      </c>
      <c r="F4115" s="156" t="inlineStr">
        <is>
          <t>Cleaning Coal</t>
        </is>
      </c>
      <c r="G4115" s="182" t="n">
        <v>8.15</v>
      </c>
      <c r="H4115" s="182" t="n">
        <v>0</v>
      </c>
      <c r="I4115" s="182" t="n">
        <v>2.58</v>
      </c>
      <c r="J4115" s="182" t="n">
        <v>2.58</v>
      </c>
      <c r="K4115" s="182" t="n">
        <v>1.27</v>
      </c>
      <c r="L4115" s="182" t="n">
        <v>12</v>
      </c>
      <c r="M4115" s="182" t="n">
        <v>0</v>
      </c>
      <c r="N4115" s="182" t="n">
        <v>0</v>
      </c>
      <c r="O4115" s="183" t="n">
        <v>0</v>
      </c>
      <c r="P4115" s="183" t="n">
        <v>0</v>
      </c>
      <c r="Q4115" s="184" t="n">
        <v>0</v>
      </c>
      <c r="R4115" s="184" t="n">
        <v>0</v>
      </c>
      <c r="S4115" s="183" t="n">
        <v>0</v>
      </c>
      <c r="T4115" s="183" t="n">
        <v>0</v>
      </c>
      <c r="U4115" s="182" t="n">
        <v>0</v>
      </c>
      <c r="V4115" s="182" t="n">
        <v>0</v>
      </c>
      <c r="W4115" s="182" t="n">
        <v>0</v>
      </c>
      <c r="X4115" s="182" t="n">
        <v>1.04</v>
      </c>
      <c r="Y4115" s="182" t="n">
        <v>0</v>
      </c>
      <c r="Z4115" s="182" t="n">
        <v>0</v>
      </c>
      <c r="AA4115" s="182" t="n">
        <v>0</v>
      </c>
      <c r="AB4115" s="182" t="n">
        <v>0</v>
      </c>
      <c r="AC4115" s="182" t="n">
        <v>0</v>
      </c>
      <c r="AD4115" s="182" t="n">
        <v>0</v>
      </c>
      <c r="AE4115" s="182" t="n">
        <v>0</v>
      </c>
      <c r="AF4115" s="182" t="n">
        <v>0</v>
      </c>
      <c r="AG4115" s="182" t="n">
        <v>0</v>
      </c>
      <c r="AH4115" s="182" t="n">
        <v>0.14</v>
      </c>
      <c r="AI4115" s="182" t="n">
        <v>0</v>
      </c>
      <c r="AJ4115" s="182" t="n">
        <v>0</v>
      </c>
      <c r="AK4115" s="182" t="n">
        <v>0</v>
      </c>
      <c r="AL4115" s="182" t="n">
        <v>0</v>
      </c>
      <c r="AM4115" s="182" t="n">
        <v>0.08</v>
      </c>
      <c r="AN4115" s="182" t="n">
        <v>0</v>
      </c>
    </row>
    <row r="4116">
      <c r="A4116" s="155" t="n">
        <v>46100</v>
      </c>
      <c r="B4116" s="156" t="inlineStr">
        <is>
          <t>NS</t>
        </is>
      </c>
      <c r="C4116" s="156" t="inlineStr">
        <is>
          <t>EX-333</t>
        </is>
      </c>
      <c r="D4116" s="156" t="inlineStr">
        <is>
          <t>PC 300-8MO</t>
        </is>
      </c>
      <c r="E4116" s="156" t="inlineStr">
        <is>
          <t>Excavator</t>
        </is>
      </c>
      <c r="F4116" s="156" t="inlineStr">
        <is>
          <t>General Estapet Soil</t>
        </is>
      </c>
      <c r="G4116" s="182" t="n">
        <v>10.51</v>
      </c>
      <c r="H4116" s="182" t="n">
        <v>0</v>
      </c>
      <c r="I4116" s="182" t="n">
        <v>0</v>
      </c>
      <c r="J4116" s="182" t="n">
        <v>0</v>
      </c>
      <c r="K4116" s="182" t="n">
        <v>1.49</v>
      </c>
      <c r="L4116" s="182" t="n">
        <v>12</v>
      </c>
      <c r="M4116" s="182" t="n">
        <v>0</v>
      </c>
      <c r="N4116" s="182" t="n">
        <v>0</v>
      </c>
      <c r="O4116" s="183" t="n">
        <v>0</v>
      </c>
      <c r="P4116" s="183" t="n">
        <v>0</v>
      </c>
      <c r="Q4116" s="184" t="n">
        <v>0</v>
      </c>
      <c r="R4116" s="184" t="n">
        <v>0</v>
      </c>
      <c r="S4116" s="183" t="n">
        <v>0</v>
      </c>
      <c r="T4116" s="183" t="n">
        <v>0</v>
      </c>
      <c r="U4116" s="182" t="n">
        <v>0</v>
      </c>
      <c r="V4116" s="182" t="n">
        <v>0</v>
      </c>
      <c r="W4116" s="182" t="n">
        <v>0</v>
      </c>
      <c r="X4116" s="182" t="n">
        <v>0.99</v>
      </c>
      <c r="Y4116" s="182" t="n">
        <v>0</v>
      </c>
      <c r="Z4116" s="182" t="n">
        <v>0</v>
      </c>
      <c r="AA4116" s="182" t="n">
        <v>0</v>
      </c>
      <c r="AB4116" s="182" t="n">
        <v>0</v>
      </c>
      <c r="AC4116" s="182" t="n">
        <v>0</v>
      </c>
      <c r="AD4116" s="182" t="n">
        <v>0</v>
      </c>
      <c r="AE4116" s="182" t="n">
        <v>0</v>
      </c>
      <c r="AF4116" s="182" t="n">
        <v>0</v>
      </c>
      <c r="AG4116" s="182" t="n">
        <v>0</v>
      </c>
      <c r="AH4116" s="182" t="n">
        <v>0.42</v>
      </c>
      <c r="AI4116" s="182" t="n">
        <v>0</v>
      </c>
      <c r="AJ4116" s="182" t="n">
        <v>0</v>
      </c>
      <c r="AK4116" s="182" t="n">
        <v>0</v>
      </c>
      <c r="AL4116" s="182" t="n">
        <v>0</v>
      </c>
      <c r="AM4116" s="182" t="n">
        <v>0.08</v>
      </c>
      <c r="AN4116" s="182" t="n">
        <v>0</v>
      </c>
    </row>
    <row r="4117">
      <c r="A4117" s="155" t="n">
        <v>46100</v>
      </c>
      <c r="B4117" s="156" t="inlineStr">
        <is>
          <t>NS</t>
        </is>
      </c>
      <c r="C4117" s="156" t="inlineStr">
        <is>
          <t>EX-336</t>
        </is>
      </c>
      <c r="D4117" s="156" t="inlineStr">
        <is>
          <t>PC 300-8MO</t>
        </is>
      </c>
      <c r="E4117" s="156" t="inlineStr">
        <is>
          <t>Excavator</t>
        </is>
      </c>
      <c r="F4117" s="156" t="inlineStr">
        <is>
          <t>Cleaning Coal</t>
        </is>
      </c>
      <c r="G4117" s="182" t="n">
        <v>10.22</v>
      </c>
      <c r="H4117" s="182" t="n">
        <v>0</v>
      </c>
      <c r="I4117" s="182" t="n">
        <v>0</v>
      </c>
      <c r="J4117" s="182" t="n">
        <v>0</v>
      </c>
      <c r="K4117" s="182" t="n">
        <v>1.78</v>
      </c>
      <c r="L4117" s="182" t="n">
        <v>12</v>
      </c>
      <c r="M4117" s="182" t="n">
        <v>0</v>
      </c>
      <c r="N4117" s="182" t="n">
        <v>0</v>
      </c>
      <c r="O4117" s="183" t="n">
        <v>0</v>
      </c>
      <c r="P4117" s="183" t="n">
        <v>0</v>
      </c>
      <c r="Q4117" s="184" t="n">
        <v>0</v>
      </c>
      <c r="R4117" s="184" t="n">
        <v>0</v>
      </c>
      <c r="S4117" s="183" t="n">
        <v>0</v>
      </c>
      <c r="T4117" s="183" t="n">
        <v>0</v>
      </c>
      <c r="U4117" s="182" t="n">
        <v>0</v>
      </c>
      <c r="V4117" s="182" t="n">
        <v>0</v>
      </c>
      <c r="W4117" s="182" t="n">
        <v>0</v>
      </c>
      <c r="X4117" s="182" t="n">
        <v>0.89</v>
      </c>
      <c r="Y4117" s="182" t="n">
        <v>0</v>
      </c>
      <c r="Z4117" s="182" t="n">
        <v>0</v>
      </c>
      <c r="AA4117" s="182" t="n">
        <v>0</v>
      </c>
      <c r="AB4117" s="182" t="n">
        <v>0</v>
      </c>
      <c r="AC4117" s="182" t="n">
        <v>0</v>
      </c>
      <c r="AD4117" s="182" t="n">
        <v>0</v>
      </c>
      <c r="AE4117" s="182" t="n">
        <v>0</v>
      </c>
      <c r="AF4117" s="182" t="n">
        <v>0</v>
      </c>
      <c r="AG4117" s="182" t="n">
        <v>0</v>
      </c>
      <c r="AH4117" s="182" t="n">
        <v>0.82</v>
      </c>
      <c r="AI4117" s="182" t="n">
        <v>0</v>
      </c>
      <c r="AJ4117" s="182" t="n">
        <v>0</v>
      </c>
      <c r="AK4117" s="182" t="n">
        <v>0</v>
      </c>
      <c r="AL4117" s="182" t="n">
        <v>0</v>
      </c>
      <c r="AM4117" s="182" t="n">
        <v>0.07000000000000001</v>
      </c>
      <c r="AN4117" s="182" t="n">
        <v>0</v>
      </c>
    </row>
    <row r="4118">
      <c r="A4118" s="155" t="n">
        <v>46100</v>
      </c>
      <c r="B4118" s="156" t="inlineStr">
        <is>
          <t>NS</t>
        </is>
      </c>
      <c r="C4118" s="156" t="inlineStr">
        <is>
          <t>EX-335</t>
        </is>
      </c>
      <c r="D4118" s="156" t="inlineStr">
        <is>
          <t>PC 300-8MO</t>
        </is>
      </c>
      <c r="E4118" s="156" t="inlineStr">
        <is>
          <t>Excavator</t>
        </is>
      </c>
      <c r="F4118" s="156" t="inlineStr"/>
      <c r="G4118" s="182" t="n">
        <v>0</v>
      </c>
      <c r="H4118" s="182" t="n">
        <v>0</v>
      </c>
      <c r="I4118" s="182" t="n">
        <v>12</v>
      </c>
      <c r="J4118" s="182" t="n">
        <v>12</v>
      </c>
      <c r="K4118" s="182" t="n">
        <v>0</v>
      </c>
      <c r="L4118" s="182" t="n">
        <v>12</v>
      </c>
      <c r="M4118" s="182" t="n">
        <v>0</v>
      </c>
      <c r="N4118" s="182" t="n">
        <v>0</v>
      </c>
      <c r="O4118" s="183" t="n">
        <v>0</v>
      </c>
      <c r="P4118" s="183" t="n">
        <v>0</v>
      </c>
      <c r="Q4118" s="184" t="n">
        <v>0</v>
      </c>
      <c r="R4118" s="184" t="n">
        <v>0</v>
      </c>
      <c r="S4118" s="183" t="n">
        <v>0</v>
      </c>
      <c r="T4118" s="183" t="n">
        <v>0</v>
      </c>
      <c r="U4118" s="182" t="n">
        <v>0</v>
      </c>
      <c r="V4118" s="182" t="n">
        <v>0</v>
      </c>
      <c r="W4118" s="182" t="n">
        <v>0</v>
      </c>
      <c r="X4118" s="182" t="n">
        <v>0</v>
      </c>
      <c r="Y4118" s="182" t="n">
        <v>0</v>
      </c>
      <c r="Z4118" s="182" t="n">
        <v>0</v>
      </c>
      <c r="AA4118" s="182" t="n">
        <v>0</v>
      </c>
      <c r="AB4118" s="182" t="n">
        <v>0</v>
      </c>
      <c r="AC4118" s="182" t="n">
        <v>0</v>
      </c>
      <c r="AD4118" s="182" t="n">
        <v>0</v>
      </c>
      <c r="AE4118" s="182" t="n">
        <v>0</v>
      </c>
      <c r="AF4118" s="182" t="n">
        <v>0</v>
      </c>
      <c r="AG4118" s="182" t="n">
        <v>0</v>
      </c>
      <c r="AH4118" s="182" t="n">
        <v>0</v>
      </c>
      <c r="AI4118" s="182" t="n">
        <v>0</v>
      </c>
      <c r="AJ4118" s="182" t="n">
        <v>0</v>
      </c>
      <c r="AK4118" s="182" t="n">
        <v>0</v>
      </c>
      <c r="AL4118" s="182" t="n">
        <v>0</v>
      </c>
      <c r="AM4118" s="182" t="n">
        <v>0</v>
      </c>
      <c r="AN4118" s="182" t="n">
        <v>0</v>
      </c>
    </row>
    <row r="4119">
      <c r="A4119" s="155" t="n">
        <v>46100</v>
      </c>
      <c r="B4119" s="156" t="inlineStr">
        <is>
          <t>NS</t>
        </is>
      </c>
      <c r="C4119" s="156" t="inlineStr">
        <is>
          <t>EX-754</t>
        </is>
      </c>
      <c r="D4119" s="156" t="inlineStr">
        <is>
          <t>SY750H-PRO</t>
        </is>
      </c>
      <c r="E4119" s="156" t="inlineStr">
        <is>
          <t>Excavator</t>
        </is>
      </c>
      <c r="F4119" s="156" t="inlineStr"/>
      <c r="G4119" s="182" t="n">
        <v>0</v>
      </c>
      <c r="H4119" s="182" t="n">
        <v>0</v>
      </c>
      <c r="I4119" s="182" t="n">
        <v>12</v>
      </c>
      <c r="J4119" s="182" t="n">
        <v>12</v>
      </c>
      <c r="K4119" s="182" t="n">
        <v>0</v>
      </c>
      <c r="L4119" s="182" t="n">
        <v>12</v>
      </c>
      <c r="M4119" s="182" t="n">
        <v>0</v>
      </c>
      <c r="N4119" s="182" t="n">
        <v>0</v>
      </c>
      <c r="O4119" s="183" t="n">
        <v>0</v>
      </c>
      <c r="P4119" s="183" t="n">
        <v>0</v>
      </c>
      <c r="Q4119" s="184" t="n">
        <v>0</v>
      </c>
      <c r="R4119" s="184" t="n">
        <v>0</v>
      </c>
      <c r="S4119" s="183" t="n">
        <v>0</v>
      </c>
      <c r="T4119" s="183" t="n">
        <v>0</v>
      </c>
      <c r="U4119" s="182" t="n">
        <v>0</v>
      </c>
      <c r="V4119" s="182" t="n">
        <v>0</v>
      </c>
      <c r="W4119" s="182" t="n">
        <v>0</v>
      </c>
      <c r="X4119" s="182" t="n">
        <v>0</v>
      </c>
      <c r="Y4119" s="182" t="n">
        <v>0</v>
      </c>
      <c r="Z4119" s="182" t="n">
        <v>0</v>
      </c>
      <c r="AA4119" s="182" t="n">
        <v>0</v>
      </c>
      <c r="AB4119" s="182" t="n">
        <v>0</v>
      </c>
      <c r="AC4119" s="182" t="n">
        <v>0</v>
      </c>
      <c r="AD4119" s="182" t="n">
        <v>0</v>
      </c>
      <c r="AE4119" s="182" t="n">
        <v>0</v>
      </c>
      <c r="AF4119" s="182" t="n">
        <v>0</v>
      </c>
      <c r="AG4119" s="182" t="n">
        <v>0</v>
      </c>
      <c r="AH4119" s="182" t="n">
        <v>0</v>
      </c>
      <c r="AI4119" s="182" t="n">
        <v>0</v>
      </c>
      <c r="AJ4119" s="182" t="n">
        <v>0</v>
      </c>
      <c r="AK4119" s="182" t="n">
        <v>0</v>
      </c>
      <c r="AL4119" s="182" t="n">
        <v>0</v>
      </c>
      <c r="AM4119" s="182" t="n">
        <v>0</v>
      </c>
      <c r="AN4119" s="182" t="n">
        <v>0</v>
      </c>
    </row>
    <row r="4120">
      <c r="A4120" s="155" t="n">
        <v>46100</v>
      </c>
      <c r="B4120" s="156" t="inlineStr">
        <is>
          <t>NS</t>
        </is>
      </c>
      <c r="C4120" s="156" t="inlineStr">
        <is>
          <t>EX-755</t>
        </is>
      </c>
      <c r="D4120" s="156" t="inlineStr">
        <is>
          <t>SY750H-PRO</t>
        </is>
      </c>
      <c r="E4120" s="156" t="inlineStr">
        <is>
          <t>Excavator</t>
        </is>
      </c>
      <c r="F4120" s="156" t="inlineStr">
        <is>
          <t>Loading Coal &amp; OB</t>
        </is>
      </c>
      <c r="G4120" s="182" t="n">
        <v>9.960000000000001</v>
      </c>
      <c r="H4120" s="182" t="n">
        <v>0</v>
      </c>
      <c r="I4120" s="182" t="n">
        <v>0</v>
      </c>
      <c r="J4120" s="182" t="n">
        <v>0</v>
      </c>
      <c r="K4120" s="182" t="n">
        <v>2.04</v>
      </c>
      <c r="L4120" s="182" t="n">
        <v>12</v>
      </c>
      <c r="M4120" s="182" t="n">
        <v>2.26</v>
      </c>
      <c r="N4120" s="182" t="n">
        <v>7.44</v>
      </c>
      <c r="O4120" s="183" t="n">
        <v>28</v>
      </c>
      <c r="P4120" s="183" t="n">
        <v>60</v>
      </c>
      <c r="Q4120" s="184" t="n">
        <v>571.2</v>
      </c>
      <c r="R4120" s="184" t="n">
        <v>1122</v>
      </c>
      <c r="S4120" s="183" t="n">
        <v>0</v>
      </c>
      <c r="T4120" s="183" t="n">
        <v>0</v>
      </c>
      <c r="U4120" s="182" t="n">
        <v>0</v>
      </c>
      <c r="V4120" s="182" t="n">
        <v>0</v>
      </c>
      <c r="W4120" s="182" t="n">
        <v>1</v>
      </c>
      <c r="X4120" s="182" t="n">
        <v>0.97</v>
      </c>
      <c r="Y4120" s="182" t="n">
        <v>0</v>
      </c>
      <c r="Z4120" s="182" t="n">
        <v>0</v>
      </c>
      <c r="AA4120" s="182" t="n">
        <v>0</v>
      </c>
      <c r="AB4120" s="182" t="n">
        <v>0</v>
      </c>
      <c r="AC4120" s="182" t="n">
        <v>0</v>
      </c>
      <c r="AD4120" s="182" t="n">
        <v>0</v>
      </c>
      <c r="AE4120" s="182" t="n">
        <v>0</v>
      </c>
      <c r="AF4120" s="182" t="n">
        <v>0</v>
      </c>
      <c r="AG4120" s="182" t="n">
        <v>0</v>
      </c>
      <c r="AH4120" s="182" t="n">
        <v>0</v>
      </c>
      <c r="AI4120" s="182" t="n">
        <v>0</v>
      </c>
      <c r="AJ4120" s="182" t="n">
        <v>0</v>
      </c>
      <c r="AK4120" s="182" t="n">
        <v>0</v>
      </c>
      <c r="AL4120" s="182" t="n">
        <v>0</v>
      </c>
      <c r="AM4120" s="182" t="n">
        <v>0.08</v>
      </c>
      <c r="AN4120" s="182" t="n">
        <v>0</v>
      </c>
    </row>
    <row r="4121">
      <c r="A4121" s="155" t="n">
        <v>46100</v>
      </c>
      <c r="B4121" s="156" t="inlineStr">
        <is>
          <t>NS</t>
        </is>
      </c>
      <c r="C4121" s="156" t="inlineStr">
        <is>
          <t>EX-752</t>
        </is>
      </c>
      <c r="D4121" s="156" t="inlineStr">
        <is>
          <t>SY750H-PRO</t>
        </is>
      </c>
      <c r="E4121" s="156" t="inlineStr">
        <is>
          <t>Excavator</t>
        </is>
      </c>
      <c r="F4121" s="156" t="inlineStr"/>
      <c r="G4121" s="182" t="n">
        <v>0</v>
      </c>
      <c r="H4121" s="182" t="n">
        <v>0</v>
      </c>
      <c r="I4121" s="182" t="n">
        <v>12</v>
      </c>
      <c r="J4121" s="182" t="n">
        <v>12</v>
      </c>
      <c r="K4121" s="182" t="n">
        <v>0</v>
      </c>
      <c r="L4121" s="182" t="n">
        <v>12</v>
      </c>
      <c r="M4121" s="182" t="n">
        <v>0</v>
      </c>
      <c r="N4121" s="182" t="n">
        <v>0</v>
      </c>
      <c r="O4121" s="183" t="n">
        <v>0</v>
      </c>
      <c r="P4121" s="183" t="n">
        <v>0</v>
      </c>
      <c r="Q4121" s="184" t="n">
        <v>0</v>
      </c>
      <c r="R4121" s="184" t="n">
        <v>0</v>
      </c>
      <c r="S4121" s="183" t="n">
        <v>0</v>
      </c>
      <c r="T4121" s="183" t="n">
        <v>0</v>
      </c>
      <c r="U4121" s="182" t="n">
        <v>0</v>
      </c>
      <c r="V4121" s="182" t="n">
        <v>0</v>
      </c>
      <c r="W4121" s="182" t="n">
        <v>0</v>
      </c>
      <c r="X4121" s="182" t="n">
        <v>0</v>
      </c>
      <c r="Y4121" s="182" t="n">
        <v>0</v>
      </c>
      <c r="Z4121" s="182" t="n">
        <v>0</v>
      </c>
      <c r="AA4121" s="182" t="n">
        <v>0</v>
      </c>
      <c r="AB4121" s="182" t="n">
        <v>0</v>
      </c>
      <c r="AC4121" s="182" t="n">
        <v>0</v>
      </c>
      <c r="AD4121" s="182" t="n">
        <v>0</v>
      </c>
      <c r="AE4121" s="182" t="n">
        <v>0</v>
      </c>
      <c r="AF4121" s="182" t="n">
        <v>0</v>
      </c>
      <c r="AG4121" s="182" t="n">
        <v>0</v>
      </c>
      <c r="AH4121" s="182" t="n">
        <v>0</v>
      </c>
      <c r="AI4121" s="182" t="n">
        <v>0</v>
      </c>
      <c r="AJ4121" s="182" t="n">
        <v>0</v>
      </c>
      <c r="AK4121" s="182" t="n">
        <v>0</v>
      </c>
      <c r="AL4121" s="182" t="n">
        <v>0</v>
      </c>
      <c r="AM4121" s="182" t="n">
        <v>0</v>
      </c>
      <c r="AN4121" s="182" t="n">
        <v>0</v>
      </c>
    </row>
    <row r="4122">
      <c r="A4122" s="155" t="n">
        <v>46100</v>
      </c>
      <c r="B4122" s="156" t="inlineStr">
        <is>
          <t>NS</t>
        </is>
      </c>
      <c r="C4122" s="156" t="inlineStr">
        <is>
          <t>EX-751</t>
        </is>
      </c>
      <c r="D4122" s="156" t="inlineStr">
        <is>
          <t>SY750H-PRO</t>
        </is>
      </c>
      <c r="E4122" s="156" t="inlineStr">
        <is>
          <t>Excavator</t>
        </is>
      </c>
      <c r="F4122" s="156" t="inlineStr"/>
      <c r="G4122" s="182" t="n">
        <v>0</v>
      </c>
      <c r="H4122" s="182" t="n">
        <v>0</v>
      </c>
      <c r="I4122" s="182" t="n">
        <v>12</v>
      </c>
      <c r="J4122" s="182" t="n">
        <v>12</v>
      </c>
      <c r="K4122" s="182" t="n">
        <v>0</v>
      </c>
      <c r="L4122" s="182" t="n">
        <v>12</v>
      </c>
      <c r="M4122" s="182" t="n">
        <v>0</v>
      </c>
      <c r="N4122" s="182" t="n">
        <v>0</v>
      </c>
      <c r="O4122" s="183" t="n">
        <v>0</v>
      </c>
      <c r="P4122" s="183" t="n">
        <v>0</v>
      </c>
      <c r="Q4122" s="184" t="n">
        <v>0</v>
      </c>
      <c r="R4122" s="184" t="n">
        <v>0</v>
      </c>
      <c r="S4122" s="183" t="n">
        <v>0</v>
      </c>
      <c r="T4122" s="183" t="n">
        <v>0</v>
      </c>
      <c r="U4122" s="182" t="n">
        <v>0</v>
      </c>
      <c r="V4122" s="182" t="n">
        <v>0</v>
      </c>
      <c r="W4122" s="182" t="n">
        <v>0</v>
      </c>
      <c r="X4122" s="182" t="n">
        <v>0</v>
      </c>
      <c r="Y4122" s="182" t="n">
        <v>0</v>
      </c>
      <c r="Z4122" s="182" t="n">
        <v>0</v>
      </c>
      <c r="AA4122" s="182" t="n">
        <v>0</v>
      </c>
      <c r="AB4122" s="182" t="n">
        <v>0</v>
      </c>
      <c r="AC4122" s="182" t="n">
        <v>0</v>
      </c>
      <c r="AD4122" s="182" t="n">
        <v>0</v>
      </c>
      <c r="AE4122" s="182" t="n">
        <v>0</v>
      </c>
      <c r="AF4122" s="182" t="n">
        <v>0</v>
      </c>
      <c r="AG4122" s="182" t="n">
        <v>0</v>
      </c>
      <c r="AH4122" s="182" t="n">
        <v>0</v>
      </c>
      <c r="AI4122" s="182" t="n">
        <v>0</v>
      </c>
      <c r="AJ4122" s="182" t="n">
        <v>0</v>
      </c>
      <c r="AK4122" s="182" t="n">
        <v>0</v>
      </c>
      <c r="AL4122" s="182" t="n">
        <v>0</v>
      </c>
      <c r="AM4122" s="182" t="n">
        <v>0</v>
      </c>
      <c r="AN4122" s="182" t="n">
        <v>0</v>
      </c>
    </row>
    <row r="4123">
      <c r="A4123" s="155" t="n">
        <v>46100</v>
      </c>
      <c r="B4123" s="156" t="inlineStr">
        <is>
          <t>NS</t>
        </is>
      </c>
      <c r="C4123" s="156" t="inlineStr">
        <is>
          <t>EX-753</t>
        </is>
      </c>
      <c r="D4123" s="156" t="inlineStr">
        <is>
          <t>SY750H-PRO</t>
        </is>
      </c>
      <c r="E4123" s="156" t="inlineStr">
        <is>
          <t>Excavator</t>
        </is>
      </c>
      <c r="F4123" s="156" t="inlineStr"/>
      <c r="G4123" s="182" t="n">
        <v>0</v>
      </c>
      <c r="H4123" s="182" t="n">
        <v>0</v>
      </c>
      <c r="I4123" s="182" t="n">
        <v>0</v>
      </c>
      <c r="J4123" s="182" t="n">
        <v>0</v>
      </c>
      <c r="K4123" s="182" t="n">
        <v>12</v>
      </c>
      <c r="L4123" s="182" t="n">
        <v>12</v>
      </c>
      <c r="M4123" s="182" t="n">
        <v>0</v>
      </c>
      <c r="N4123" s="182" t="n">
        <v>0</v>
      </c>
      <c r="O4123" s="183" t="n">
        <v>0</v>
      </c>
      <c r="P4123" s="183" t="n">
        <v>0</v>
      </c>
      <c r="Q4123" s="184" t="n">
        <v>0</v>
      </c>
      <c r="R4123" s="184" t="n">
        <v>0</v>
      </c>
      <c r="S4123" s="183" t="n">
        <v>0</v>
      </c>
      <c r="T4123" s="183" t="n">
        <v>0</v>
      </c>
      <c r="U4123" s="182" t="n">
        <v>0</v>
      </c>
      <c r="V4123" s="182" t="n">
        <v>0</v>
      </c>
      <c r="W4123" s="182" t="n">
        <v>0</v>
      </c>
      <c r="X4123" s="182" t="n">
        <v>1</v>
      </c>
      <c r="Y4123" s="182" t="n">
        <v>0</v>
      </c>
      <c r="Z4123" s="182" t="n">
        <v>0</v>
      </c>
      <c r="AA4123" s="182" t="n">
        <v>0</v>
      </c>
      <c r="AB4123" s="182" t="n">
        <v>0</v>
      </c>
      <c r="AC4123" s="182" t="n">
        <v>0</v>
      </c>
      <c r="AD4123" s="182" t="n">
        <v>0</v>
      </c>
      <c r="AE4123" s="182" t="n">
        <v>0</v>
      </c>
      <c r="AF4123" s="182" t="n">
        <v>0</v>
      </c>
      <c r="AG4123" s="182" t="n">
        <v>0</v>
      </c>
      <c r="AH4123" s="182" t="n">
        <v>0</v>
      </c>
      <c r="AI4123" s="182" t="n">
        <v>0</v>
      </c>
      <c r="AJ4123" s="182" t="n">
        <v>0</v>
      </c>
      <c r="AK4123" s="182" t="n">
        <v>10.92</v>
      </c>
      <c r="AL4123" s="182" t="n">
        <v>0</v>
      </c>
      <c r="AM4123" s="182" t="n">
        <v>0.08</v>
      </c>
      <c r="AN4123" s="182" t="n">
        <v>0</v>
      </c>
    </row>
    <row r="4124">
      <c r="A4124" s="155" t="n">
        <v>46100</v>
      </c>
      <c r="B4124" s="156" t="inlineStr">
        <is>
          <t>NS</t>
        </is>
      </c>
      <c r="C4124" s="156" t="inlineStr">
        <is>
          <t>GD-012</t>
        </is>
      </c>
      <c r="D4124" s="156" t="inlineStr">
        <is>
          <t>STG 230C - 8S</t>
        </is>
      </c>
      <c r="E4124" s="156" t="inlineStr">
        <is>
          <t>Grader</t>
        </is>
      </c>
      <c r="F4124" s="156" t="inlineStr"/>
      <c r="G4124" s="182" t="n">
        <v>0</v>
      </c>
      <c r="H4124" s="182" t="n">
        <v>0</v>
      </c>
      <c r="I4124" s="182" t="n">
        <v>0</v>
      </c>
      <c r="J4124" s="182" t="n">
        <v>0</v>
      </c>
      <c r="K4124" s="182" t="n">
        <v>12</v>
      </c>
      <c r="L4124" s="182" t="n">
        <v>12</v>
      </c>
      <c r="M4124" s="182" t="n">
        <v>0</v>
      </c>
      <c r="N4124" s="182" t="n">
        <v>0</v>
      </c>
      <c r="O4124" s="183" t="n">
        <v>0</v>
      </c>
      <c r="P4124" s="183" t="n">
        <v>0</v>
      </c>
      <c r="Q4124" s="184" t="n">
        <v>0</v>
      </c>
      <c r="R4124" s="184" t="n">
        <v>0</v>
      </c>
      <c r="S4124" s="183" t="n">
        <v>0</v>
      </c>
      <c r="T4124" s="183" t="n">
        <v>0</v>
      </c>
      <c r="U4124" s="182" t="n">
        <v>0</v>
      </c>
      <c r="V4124" s="182" t="n">
        <v>0</v>
      </c>
      <c r="W4124" s="182" t="n">
        <v>0</v>
      </c>
      <c r="X4124" s="182" t="n">
        <v>1</v>
      </c>
      <c r="Y4124" s="182" t="n">
        <v>0</v>
      </c>
      <c r="Z4124" s="182" t="n">
        <v>0</v>
      </c>
      <c r="AA4124" s="182" t="n">
        <v>0</v>
      </c>
      <c r="AB4124" s="182" t="n">
        <v>0</v>
      </c>
      <c r="AC4124" s="182" t="n">
        <v>0</v>
      </c>
      <c r="AD4124" s="182" t="n">
        <v>0</v>
      </c>
      <c r="AE4124" s="182" t="n">
        <v>0</v>
      </c>
      <c r="AF4124" s="182" t="n">
        <v>0</v>
      </c>
      <c r="AG4124" s="182" t="n">
        <v>0</v>
      </c>
      <c r="AH4124" s="182" t="n">
        <v>0</v>
      </c>
      <c r="AI4124" s="182" t="n">
        <v>0</v>
      </c>
      <c r="AJ4124" s="182" t="n">
        <v>0</v>
      </c>
      <c r="AK4124" s="182" t="n">
        <v>10.92</v>
      </c>
      <c r="AL4124" s="182" t="n">
        <v>0</v>
      </c>
      <c r="AM4124" s="182" t="n">
        <v>0.08</v>
      </c>
      <c r="AN4124" s="182" t="n">
        <v>0</v>
      </c>
    </row>
    <row r="4125">
      <c r="A4125" s="155" t="n">
        <v>46100</v>
      </c>
      <c r="B4125" s="156" t="inlineStr">
        <is>
          <t>NS</t>
        </is>
      </c>
      <c r="C4125" s="156" t="inlineStr">
        <is>
          <t>GD-011</t>
        </is>
      </c>
      <c r="D4125" s="156" t="inlineStr">
        <is>
          <t>STG 230C - 8S</t>
        </is>
      </c>
      <c r="E4125" s="156" t="inlineStr">
        <is>
          <t>Grader</t>
        </is>
      </c>
      <c r="F4125" s="156" t="inlineStr"/>
      <c r="G4125" s="182" t="n">
        <v>0</v>
      </c>
      <c r="H4125" s="182" t="n">
        <v>0</v>
      </c>
      <c r="I4125" s="182" t="n">
        <v>12</v>
      </c>
      <c r="J4125" s="182" t="n">
        <v>12</v>
      </c>
      <c r="K4125" s="182" t="n">
        <v>0</v>
      </c>
      <c r="L4125" s="182" t="n">
        <v>12</v>
      </c>
      <c r="M4125" s="182" t="n">
        <v>0</v>
      </c>
      <c r="N4125" s="182" t="n">
        <v>0</v>
      </c>
      <c r="O4125" s="183" t="n">
        <v>0</v>
      </c>
      <c r="P4125" s="183" t="n">
        <v>0</v>
      </c>
      <c r="Q4125" s="184" t="n">
        <v>0</v>
      </c>
      <c r="R4125" s="184" t="n">
        <v>0</v>
      </c>
      <c r="S4125" s="183" t="n">
        <v>0</v>
      </c>
      <c r="T4125" s="183" t="n">
        <v>0</v>
      </c>
      <c r="U4125" s="182" t="n">
        <v>0</v>
      </c>
      <c r="V4125" s="182" t="n">
        <v>0</v>
      </c>
      <c r="W4125" s="182" t="n">
        <v>0</v>
      </c>
      <c r="X4125" s="182" t="n">
        <v>0</v>
      </c>
      <c r="Y4125" s="182" t="n">
        <v>0</v>
      </c>
      <c r="Z4125" s="182" t="n">
        <v>0</v>
      </c>
      <c r="AA4125" s="182" t="n">
        <v>0</v>
      </c>
      <c r="AB4125" s="182" t="n">
        <v>0</v>
      </c>
      <c r="AC4125" s="182" t="n">
        <v>0</v>
      </c>
      <c r="AD4125" s="182" t="n">
        <v>0</v>
      </c>
      <c r="AE4125" s="182" t="n">
        <v>0</v>
      </c>
      <c r="AF4125" s="182" t="n">
        <v>0</v>
      </c>
      <c r="AG4125" s="182" t="n">
        <v>0</v>
      </c>
      <c r="AH4125" s="182" t="n">
        <v>0</v>
      </c>
      <c r="AI4125" s="182" t="n">
        <v>0</v>
      </c>
      <c r="AJ4125" s="182" t="n">
        <v>0</v>
      </c>
      <c r="AK4125" s="182" t="n">
        <v>0</v>
      </c>
      <c r="AL4125" s="182" t="n">
        <v>0</v>
      </c>
      <c r="AM4125" s="182" t="n">
        <v>0</v>
      </c>
      <c r="AN4125" s="182" t="n">
        <v>0</v>
      </c>
    </row>
    <row r="4126">
      <c r="A4126" s="155" t="n">
        <v>46100</v>
      </c>
      <c r="B4126" s="156" t="inlineStr">
        <is>
          <t>NS</t>
        </is>
      </c>
      <c r="C4126" s="156" t="inlineStr">
        <is>
          <t>GD-013</t>
        </is>
      </c>
      <c r="D4126" s="156" t="inlineStr">
        <is>
          <t>STG 265C - 10</t>
        </is>
      </c>
      <c r="E4126" s="156" t="inlineStr">
        <is>
          <t>Grader</t>
        </is>
      </c>
      <c r="F4126" s="156" t="inlineStr">
        <is>
          <t>Road Maintenance</t>
        </is>
      </c>
      <c r="G4126" s="182" t="n">
        <v>7.45</v>
      </c>
      <c r="H4126" s="182" t="n">
        <v>0</v>
      </c>
      <c r="I4126" s="182" t="n">
        <v>3.25</v>
      </c>
      <c r="J4126" s="182" t="n">
        <v>3.25</v>
      </c>
      <c r="K4126" s="182" t="n">
        <v>1.3</v>
      </c>
      <c r="L4126" s="182" t="n">
        <v>12</v>
      </c>
      <c r="M4126" s="182" t="n">
        <v>0</v>
      </c>
      <c r="N4126" s="182" t="n">
        <v>0</v>
      </c>
      <c r="O4126" s="183" t="n">
        <v>0</v>
      </c>
      <c r="P4126" s="183" t="n">
        <v>0</v>
      </c>
      <c r="Q4126" s="184" t="n">
        <v>0</v>
      </c>
      <c r="R4126" s="184" t="n">
        <v>0</v>
      </c>
      <c r="S4126" s="183" t="n">
        <v>0</v>
      </c>
      <c r="T4126" s="183" t="n">
        <v>0</v>
      </c>
      <c r="U4126" s="182" t="n">
        <v>0</v>
      </c>
      <c r="V4126" s="182" t="n">
        <v>0</v>
      </c>
      <c r="W4126" s="182" t="n">
        <v>0</v>
      </c>
      <c r="X4126" s="182" t="n">
        <v>1.2</v>
      </c>
      <c r="Y4126" s="182" t="n">
        <v>0</v>
      </c>
      <c r="Z4126" s="182" t="n">
        <v>0</v>
      </c>
      <c r="AA4126" s="182" t="n">
        <v>0</v>
      </c>
      <c r="AB4126" s="182" t="n">
        <v>0</v>
      </c>
      <c r="AC4126" s="182" t="n">
        <v>0</v>
      </c>
      <c r="AD4126" s="182" t="n">
        <v>0</v>
      </c>
      <c r="AE4126" s="182" t="n">
        <v>0</v>
      </c>
      <c r="AF4126" s="182" t="n">
        <v>0</v>
      </c>
      <c r="AG4126" s="182" t="n">
        <v>0</v>
      </c>
      <c r="AH4126" s="182" t="n">
        <v>0</v>
      </c>
      <c r="AI4126" s="182" t="n">
        <v>0</v>
      </c>
      <c r="AJ4126" s="182" t="n">
        <v>0</v>
      </c>
      <c r="AK4126" s="182" t="n">
        <v>0</v>
      </c>
      <c r="AL4126" s="182" t="n">
        <v>0</v>
      </c>
      <c r="AM4126" s="182" t="n">
        <v>0.1</v>
      </c>
      <c r="AN4126" s="182" t="n">
        <v>0</v>
      </c>
    </row>
    <row r="4127">
      <c r="A4127" s="155" t="n">
        <v>46100</v>
      </c>
      <c r="B4127" s="156" t="inlineStr">
        <is>
          <t>NS</t>
        </is>
      </c>
      <c r="C4127" s="156" t="inlineStr">
        <is>
          <t>GD-014</t>
        </is>
      </c>
      <c r="D4127" s="156" t="inlineStr">
        <is>
          <t>STG 335C - 10</t>
        </is>
      </c>
      <c r="E4127" s="156" t="inlineStr">
        <is>
          <t>Grader</t>
        </is>
      </c>
      <c r="F4127" s="156" t="inlineStr">
        <is>
          <t>Road Maintenance</t>
        </is>
      </c>
      <c r="G4127" s="182" t="n">
        <v>11.23</v>
      </c>
      <c r="H4127" s="182" t="n">
        <v>0</v>
      </c>
      <c r="I4127" s="182" t="n">
        <v>0</v>
      </c>
      <c r="J4127" s="182" t="n">
        <v>0</v>
      </c>
      <c r="K4127" s="182" t="n">
        <v>0.77</v>
      </c>
      <c r="L4127" s="182" t="n">
        <v>12</v>
      </c>
      <c r="M4127" s="182" t="n">
        <v>0</v>
      </c>
      <c r="N4127" s="182" t="n">
        <v>0</v>
      </c>
      <c r="O4127" s="183" t="n">
        <v>0</v>
      </c>
      <c r="P4127" s="183" t="n">
        <v>0</v>
      </c>
      <c r="Q4127" s="184" t="n">
        <v>0</v>
      </c>
      <c r="R4127" s="184" t="n">
        <v>0</v>
      </c>
      <c r="S4127" s="183" t="n">
        <v>0</v>
      </c>
      <c r="T4127" s="183" t="n">
        <v>0</v>
      </c>
      <c r="U4127" s="182" t="n">
        <v>0</v>
      </c>
      <c r="V4127" s="182" t="n">
        <v>0</v>
      </c>
      <c r="W4127" s="182" t="n">
        <v>0</v>
      </c>
      <c r="X4127" s="182" t="n">
        <v>0.64</v>
      </c>
      <c r="Y4127" s="182" t="n">
        <v>0</v>
      </c>
      <c r="Z4127" s="182" t="n">
        <v>0</v>
      </c>
      <c r="AA4127" s="182" t="n">
        <v>0</v>
      </c>
      <c r="AB4127" s="182" t="n">
        <v>0</v>
      </c>
      <c r="AC4127" s="182" t="n">
        <v>0</v>
      </c>
      <c r="AD4127" s="182" t="n">
        <v>0</v>
      </c>
      <c r="AE4127" s="182" t="n">
        <v>0</v>
      </c>
      <c r="AF4127" s="182" t="n">
        <v>0</v>
      </c>
      <c r="AG4127" s="182" t="n">
        <v>0</v>
      </c>
      <c r="AH4127" s="182" t="n">
        <v>0.08</v>
      </c>
      <c r="AI4127" s="182" t="n">
        <v>0</v>
      </c>
      <c r="AJ4127" s="182" t="n">
        <v>0</v>
      </c>
      <c r="AK4127" s="182" t="n">
        <v>0</v>
      </c>
      <c r="AL4127" s="182" t="n">
        <v>0</v>
      </c>
      <c r="AM4127" s="182" t="n">
        <v>0.05</v>
      </c>
      <c r="AN4127" s="182" t="n">
        <v>0</v>
      </c>
    </row>
    <row r="4128">
      <c r="A4128" s="155" t="n">
        <v>46100</v>
      </c>
      <c r="B4128" s="156" t="inlineStr">
        <is>
          <t>NS</t>
        </is>
      </c>
      <c r="C4128" s="156" t="inlineStr">
        <is>
          <t>DT-809</t>
        </is>
      </c>
      <c r="D4128" s="156" t="inlineStr">
        <is>
          <t>SKT 80S</t>
        </is>
      </c>
      <c r="E4128" s="156" t="inlineStr">
        <is>
          <t>Hauler</t>
        </is>
      </c>
      <c r="F4128" s="156" t="inlineStr"/>
      <c r="G4128" s="182" t="n">
        <v>0</v>
      </c>
      <c r="H4128" s="182" t="n">
        <v>0</v>
      </c>
      <c r="I4128" s="182" t="n">
        <v>12</v>
      </c>
      <c r="J4128" s="182" t="n">
        <v>12</v>
      </c>
      <c r="K4128" s="182" t="n">
        <v>0</v>
      </c>
      <c r="L4128" s="182" t="n">
        <v>12</v>
      </c>
      <c r="M4128" s="182" t="n">
        <v>0</v>
      </c>
      <c r="N4128" s="182" t="n">
        <v>0</v>
      </c>
      <c r="O4128" s="183" t="n">
        <v>0</v>
      </c>
      <c r="P4128" s="183" t="n">
        <v>0</v>
      </c>
      <c r="Q4128" s="184" t="n">
        <v>0</v>
      </c>
      <c r="R4128" s="184" t="n">
        <v>0</v>
      </c>
      <c r="S4128" s="183" t="n">
        <v>0</v>
      </c>
      <c r="T4128" s="183" t="n">
        <v>0</v>
      </c>
      <c r="U4128" s="182" t="n">
        <v>0</v>
      </c>
      <c r="V4128" s="182" t="n">
        <v>0</v>
      </c>
      <c r="W4128" s="182" t="n">
        <v>0</v>
      </c>
      <c r="X4128" s="182" t="n">
        <v>0</v>
      </c>
      <c r="Y4128" s="182" t="n">
        <v>0</v>
      </c>
      <c r="Z4128" s="182" t="n">
        <v>0</v>
      </c>
      <c r="AA4128" s="182" t="n">
        <v>0</v>
      </c>
      <c r="AB4128" s="182" t="n">
        <v>0</v>
      </c>
      <c r="AC4128" s="182" t="n">
        <v>0</v>
      </c>
      <c r="AD4128" s="182" t="n">
        <v>0</v>
      </c>
      <c r="AE4128" s="182" t="n">
        <v>0</v>
      </c>
      <c r="AF4128" s="182" t="n">
        <v>0</v>
      </c>
      <c r="AG4128" s="182" t="n">
        <v>0</v>
      </c>
      <c r="AH4128" s="182" t="n">
        <v>0</v>
      </c>
      <c r="AI4128" s="182" t="n">
        <v>0</v>
      </c>
      <c r="AJ4128" s="182" t="n">
        <v>0</v>
      </c>
      <c r="AK4128" s="182" t="n">
        <v>0</v>
      </c>
      <c r="AL4128" s="182" t="n">
        <v>0</v>
      </c>
      <c r="AM4128" s="182" t="n">
        <v>0</v>
      </c>
      <c r="AN4128" s="182" t="n">
        <v>0</v>
      </c>
    </row>
    <row r="4129">
      <c r="A4129" s="155" t="n">
        <v>46100</v>
      </c>
      <c r="B4129" s="156" t="inlineStr">
        <is>
          <t>NS</t>
        </is>
      </c>
      <c r="C4129" s="156" t="inlineStr">
        <is>
          <t>DT-806</t>
        </is>
      </c>
      <c r="D4129" s="156" t="inlineStr">
        <is>
          <t>SKT 80S</t>
        </is>
      </c>
      <c r="E4129" s="156" t="inlineStr">
        <is>
          <t>Hauler</t>
        </is>
      </c>
      <c r="F4129" s="156" t="inlineStr"/>
      <c r="G4129" s="182" t="n">
        <v>0</v>
      </c>
      <c r="H4129" s="182" t="n">
        <v>0</v>
      </c>
      <c r="I4129" s="182" t="n">
        <v>12</v>
      </c>
      <c r="J4129" s="182" t="n">
        <v>12</v>
      </c>
      <c r="K4129" s="182" t="n">
        <v>0</v>
      </c>
      <c r="L4129" s="182" t="n">
        <v>12</v>
      </c>
      <c r="M4129" s="182" t="n">
        <v>0</v>
      </c>
      <c r="N4129" s="182" t="n">
        <v>0</v>
      </c>
      <c r="O4129" s="183" t="n">
        <v>0</v>
      </c>
      <c r="P4129" s="183" t="n">
        <v>0</v>
      </c>
      <c r="Q4129" s="184" t="n">
        <v>0</v>
      </c>
      <c r="R4129" s="184" t="n">
        <v>0</v>
      </c>
      <c r="S4129" s="183" t="n">
        <v>0</v>
      </c>
      <c r="T4129" s="183" t="n">
        <v>0</v>
      </c>
      <c r="U4129" s="182" t="n">
        <v>0</v>
      </c>
      <c r="V4129" s="182" t="n">
        <v>0</v>
      </c>
      <c r="W4129" s="182" t="n">
        <v>0</v>
      </c>
      <c r="X4129" s="182" t="n">
        <v>0</v>
      </c>
      <c r="Y4129" s="182" t="n">
        <v>0</v>
      </c>
      <c r="Z4129" s="182" t="n">
        <v>0</v>
      </c>
      <c r="AA4129" s="182" t="n">
        <v>0</v>
      </c>
      <c r="AB4129" s="182" t="n">
        <v>0</v>
      </c>
      <c r="AC4129" s="182" t="n">
        <v>0</v>
      </c>
      <c r="AD4129" s="182" t="n">
        <v>0</v>
      </c>
      <c r="AE4129" s="182" t="n">
        <v>0</v>
      </c>
      <c r="AF4129" s="182" t="n">
        <v>0</v>
      </c>
      <c r="AG4129" s="182" t="n">
        <v>0</v>
      </c>
      <c r="AH4129" s="182" t="n">
        <v>0</v>
      </c>
      <c r="AI4129" s="182" t="n">
        <v>0</v>
      </c>
      <c r="AJ4129" s="182" t="n">
        <v>0</v>
      </c>
      <c r="AK4129" s="182" t="n">
        <v>0</v>
      </c>
      <c r="AL4129" s="182" t="n">
        <v>0</v>
      </c>
      <c r="AM4129" s="182" t="n">
        <v>0</v>
      </c>
      <c r="AN4129" s="182" t="n">
        <v>0</v>
      </c>
    </row>
    <row r="4130">
      <c r="A4130" s="155" t="n">
        <v>46100</v>
      </c>
      <c r="B4130" s="156" t="inlineStr">
        <is>
          <t>NS</t>
        </is>
      </c>
      <c r="C4130" s="156" t="inlineStr">
        <is>
          <t>DT-805</t>
        </is>
      </c>
      <c r="D4130" s="156" t="inlineStr">
        <is>
          <t>SKT 80S</t>
        </is>
      </c>
      <c r="E4130" s="156" t="inlineStr">
        <is>
          <t>Hauler</t>
        </is>
      </c>
      <c r="F4130" s="156" t="inlineStr"/>
      <c r="G4130" s="182" t="n">
        <v>0</v>
      </c>
      <c r="H4130" s="182" t="n">
        <v>0</v>
      </c>
      <c r="I4130" s="182" t="n">
        <v>12</v>
      </c>
      <c r="J4130" s="182" t="n">
        <v>12</v>
      </c>
      <c r="K4130" s="182" t="n">
        <v>0</v>
      </c>
      <c r="L4130" s="182" t="n">
        <v>12</v>
      </c>
      <c r="M4130" s="182" t="n">
        <v>0</v>
      </c>
      <c r="N4130" s="182" t="n">
        <v>0</v>
      </c>
      <c r="O4130" s="183" t="n">
        <v>0</v>
      </c>
      <c r="P4130" s="183" t="n">
        <v>0</v>
      </c>
      <c r="Q4130" s="184" t="n">
        <v>0</v>
      </c>
      <c r="R4130" s="184" t="n">
        <v>0</v>
      </c>
      <c r="S4130" s="183" t="n">
        <v>0</v>
      </c>
      <c r="T4130" s="183" t="n">
        <v>0</v>
      </c>
      <c r="U4130" s="182" t="n">
        <v>0</v>
      </c>
      <c r="V4130" s="182" t="n">
        <v>0</v>
      </c>
      <c r="W4130" s="182" t="n">
        <v>0</v>
      </c>
      <c r="X4130" s="182" t="n">
        <v>0</v>
      </c>
      <c r="Y4130" s="182" t="n">
        <v>0</v>
      </c>
      <c r="Z4130" s="182" t="n">
        <v>0</v>
      </c>
      <c r="AA4130" s="182" t="n">
        <v>0</v>
      </c>
      <c r="AB4130" s="182" t="n">
        <v>0</v>
      </c>
      <c r="AC4130" s="182" t="n">
        <v>0</v>
      </c>
      <c r="AD4130" s="182" t="n">
        <v>0</v>
      </c>
      <c r="AE4130" s="182" t="n">
        <v>0</v>
      </c>
      <c r="AF4130" s="182" t="n">
        <v>0</v>
      </c>
      <c r="AG4130" s="182" t="n">
        <v>0</v>
      </c>
      <c r="AH4130" s="182" t="n">
        <v>0</v>
      </c>
      <c r="AI4130" s="182" t="n">
        <v>0</v>
      </c>
      <c r="AJ4130" s="182" t="n">
        <v>0</v>
      </c>
      <c r="AK4130" s="182" t="n">
        <v>0</v>
      </c>
      <c r="AL4130" s="182" t="n">
        <v>0</v>
      </c>
      <c r="AM4130" s="182" t="n">
        <v>0</v>
      </c>
      <c r="AN4130" s="182" t="n">
        <v>0</v>
      </c>
    </row>
    <row r="4131">
      <c r="A4131" s="155" t="n">
        <v>46100</v>
      </c>
      <c r="B4131" s="156" t="inlineStr">
        <is>
          <t>NS</t>
        </is>
      </c>
      <c r="C4131" s="156" t="inlineStr">
        <is>
          <t>DT-801</t>
        </is>
      </c>
      <c r="D4131" s="156" t="inlineStr">
        <is>
          <t>SKT 80S</t>
        </is>
      </c>
      <c r="E4131" s="156" t="inlineStr">
        <is>
          <t>Hauler</t>
        </is>
      </c>
      <c r="F4131" s="156" t="inlineStr"/>
      <c r="G4131" s="182" t="n">
        <v>0</v>
      </c>
      <c r="H4131" s="182" t="n">
        <v>0</v>
      </c>
      <c r="I4131" s="182" t="n">
        <v>12</v>
      </c>
      <c r="J4131" s="182" t="n">
        <v>12</v>
      </c>
      <c r="K4131" s="182" t="n">
        <v>0</v>
      </c>
      <c r="L4131" s="182" t="n">
        <v>12</v>
      </c>
      <c r="M4131" s="182" t="n">
        <v>0</v>
      </c>
      <c r="N4131" s="182" t="n">
        <v>0</v>
      </c>
      <c r="O4131" s="183" t="n">
        <v>0</v>
      </c>
      <c r="P4131" s="183" t="n">
        <v>0</v>
      </c>
      <c r="Q4131" s="184" t="n">
        <v>0</v>
      </c>
      <c r="R4131" s="184" t="n">
        <v>0</v>
      </c>
      <c r="S4131" s="183" t="n">
        <v>0</v>
      </c>
      <c r="T4131" s="183" t="n">
        <v>0</v>
      </c>
      <c r="U4131" s="182" t="n">
        <v>0</v>
      </c>
      <c r="V4131" s="182" t="n">
        <v>0</v>
      </c>
      <c r="W4131" s="182" t="n">
        <v>0</v>
      </c>
      <c r="X4131" s="182" t="n">
        <v>0</v>
      </c>
      <c r="Y4131" s="182" t="n">
        <v>0</v>
      </c>
      <c r="Z4131" s="182" t="n">
        <v>0</v>
      </c>
      <c r="AA4131" s="182" t="n">
        <v>0</v>
      </c>
      <c r="AB4131" s="182" t="n">
        <v>0</v>
      </c>
      <c r="AC4131" s="182" t="n">
        <v>0</v>
      </c>
      <c r="AD4131" s="182" t="n">
        <v>0</v>
      </c>
      <c r="AE4131" s="182" t="n">
        <v>0</v>
      </c>
      <c r="AF4131" s="182" t="n">
        <v>0</v>
      </c>
      <c r="AG4131" s="182" t="n">
        <v>0</v>
      </c>
      <c r="AH4131" s="182" t="n">
        <v>0</v>
      </c>
      <c r="AI4131" s="182" t="n">
        <v>0</v>
      </c>
      <c r="AJ4131" s="182" t="n">
        <v>0</v>
      </c>
      <c r="AK4131" s="182" t="n">
        <v>0</v>
      </c>
      <c r="AL4131" s="182" t="n">
        <v>0</v>
      </c>
      <c r="AM4131" s="182" t="n">
        <v>0</v>
      </c>
      <c r="AN4131" s="182" t="n">
        <v>0</v>
      </c>
    </row>
    <row r="4132">
      <c r="A4132" s="155" t="n">
        <v>46100</v>
      </c>
      <c r="B4132" s="156" t="inlineStr">
        <is>
          <t>NS</t>
        </is>
      </c>
      <c r="C4132" s="156" t="inlineStr">
        <is>
          <t>DT-808</t>
        </is>
      </c>
      <c r="D4132" s="156" t="inlineStr">
        <is>
          <t>SKT 80S</t>
        </is>
      </c>
      <c r="E4132" s="156" t="inlineStr">
        <is>
          <t>Hauler</t>
        </is>
      </c>
      <c r="F4132" s="156" t="inlineStr">
        <is>
          <t>Support Washing Plant</t>
        </is>
      </c>
      <c r="G4132" s="182" t="n">
        <v>5.43</v>
      </c>
      <c r="H4132" s="182" t="n">
        <v>0</v>
      </c>
      <c r="I4132" s="182" t="n">
        <v>0</v>
      </c>
      <c r="J4132" s="182" t="n">
        <v>0</v>
      </c>
      <c r="K4132" s="182" t="n">
        <v>6.57</v>
      </c>
      <c r="L4132" s="182" t="n">
        <v>12</v>
      </c>
      <c r="M4132" s="182" t="n">
        <v>0</v>
      </c>
      <c r="N4132" s="182" t="n">
        <v>0</v>
      </c>
      <c r="O4132" s="183" t="n">
        <v>0</v>
      </c>
      <c r="P4132" s="183" t="n">
        <v>0</v>
      </c>
      <c r="Q4132" s="184" t="n">
        <v>0</v>
      </c>
      <c r="R4132" s="184" t="n">
        <v>0</v>
      </c>
      <c r="S4132" s="183" t="n">
        <v>0</v>
      </c>
      <c r="T4132" s="183" t="n">
        <v>0</v>
      </c>
      <c r="U4132" s="182" t="n">
        <v>0</v>
      </c>
      <c r="V4132" s="182" t="n">
        <v>0</v>
      </c>
      <c r="W4132" s="182" t="n">
        <v>0</v>
      </c>
      <c r="X4132" s="182" t="n">
        <v>1.08</v>
      </c>
      <c r="Y4132" s="182" t="n">
        <v>0</v>
      </c>
      <c r="Z4132" s="182" t="n">
        <v>0</v>
      </c>
      <c r="AA4132" s="182" t="n">
        <v>0</v>
      </c>
      <c r="AB4132" s="182" t="n">
        <v>0</v>
      </c>
      <c r="AC4132" s="182" t="n">
        <v>0</v>
      </c>
      <c r="AD4132" s="182" t="n">
        <v>0</v>
      </c>
      <c r="AE4132" s="182" t="n">
        <v>0</v>
      </c>
      <c r="AF4132" s="182" t="n">
        <v>0</v>
      </c>
      <c r="AG4132" s="182" t="n">
        <v>0</v>
      </c>
      <c r="AH4132" s="182" t="n">
        <v>0</v>
      </c>
      <c r="AI4132" s="182" t="n">
        <v>0</v>
      </c>
      <c r="AJ4132" s="182" t="n">
        <v>0</v>
      </c>
      <c r="AK4132" s="182" t="n">
        <v>5.41</v>
      </c>
      <c r="AL4132" s="182" t="n">
        <v>0</v>
      </c>
      <c r="AM4132" s="182" t="n">
        <v>0.09</v>
      </c>
      <c r="AN4132" s="182" t="n">
        <v>0</v>
      </c>
    </row>
    <row r="4133">
      <c r="A4133" s="155" t="n">
        <v>46100</v>
      </c>
      <c r="B4133" s="156" t="inlineStr">
        <is>
          <t>NS</t>
        </is>
      </c>
      <c r="C4133" s="156" t="inlineStr">
        <is>
          <t>DT-811</t>
        </is>
      </c>
      <c r="D4133" s="156" t="inlineStr">
        <is>
          <t>SKT 80S</t>
        </is>
      </c>
      <c r="E4133" s="156" t="inlineStr">
        <is>
          <t>Hauler</t>
        </is>
      </c>
      <c r="F4133" s="156" t="inlineStr">
        <is>
          <t>Travel</t>
        </is>
      </c>
      <c r="G4133" s="182" t="n">
        <v>0.3</v>
      </c>
      <c r="H4133" s="182" t="n">
        <v>0</v>
      </c>
      <c r="I4133" s="182" t="n">
        <v>0</v>
      </c>
      <c r="J4133" s="182" t="n">
        <v>0</v>
      </c>
      <c r="K4133" s="182" t="n">
        <v>11.7</v>
      </c>
      <c r="L4133" s="182" t="n">
        <v>12</v>
      </c>
      <c r="M4133" s="182" t="n">
        <v>0</v>
      </c>
      <c r="N4133" s="182" t="n">
        <v>0</v>
      </c>
      <c r="O4133" s="183" t="n">
        <v>0</v>
      </c>
      <c r="P4133" s="183" t="n">
        <v>0</v>
      </c>
      <c r="Q4133" s="184" t="n">
        <v>0</v>
      </c>
      <c r="R4133" s="184" t="n">
        <v>0</v>
      </c>
      <c r="S4133" s="183" t="n">
        <v>0</v>
      </c>
      <c r="T4133" s="183" t="n">
        <v>0</v>
      </c>
      <c r="U4133" s="182" t="n">
        <v>0</v>
      </c>
      <c r="V4133" s="182" t="n">
        <v>0</v>
      </c>
      <c r="W4133" s="182" t="n">
        <v>0</v>
      </c>
      <c r="X4133" s="182" t="n">
        <v>1.03</v>
      </c>
      <c r="Y4133" s="182" t="n">
        <v>0</v>
      </c>
      <c r="Z4133" s="182" t="n">
        <v>0</v>
      </c>
      <c r="AA4133" s="182" t="n">
        <v>0</v>
      </c>
      <c r="AB4133" s="182" t="n">
        <v>0</v>
      </c>
      <c r="AC4133" s="182" t="n">
        <v>0</v>
      </c>
      <c r="AD4133" s="182" t="n">
        <v>0</v>
      </c>
      <c r="AE4133" s="182" t="n">
        <v>0</v>
      </c>
      <c r="AF4133" s="182" t="n">
        <v>0</v>
      </c>
      <c r="AG4133" s="182" t="n">
        <v>0</v>
      </c>
      <c r="AH4133" s="182" t="n">
        <v>0</v>
      </c>
      <c r="AI4133" s="182" t="n">
        <v>0</v>
      </c>
      <c r="AJ4133" s="182" t="n">
        <v>0</v>
      </c>
      <c r="AK4133" s="182" t="n">
        <v>10.59</v>
      </c>
      <c r="AL4133" s="182" t="n">
        <v>0</v>
      </c>
      <c r="AM4133" s="182" t="n">
        <v>0.08</v>
      </c>
      <c r="AN4133" s="182" t="n">
        <v>0</v>
      </c>
    </row>
    <row r="4134">
      <c r="A4134" s="155" t="n">
        <v>46100</v>
      </c>
      <c r="B4134" s="156" t="inlineStr">
        <is>
          <t>NS</t>
        </is>
      </c>
      <c r="C4134" s="156" t="inlineStr">
        <is>
          <t>DT-802</t>
        </is>
      </c>
      <c r="D4134" s="156" t="inlineStr">
        <is>
          <t>SKT 80S</t>
        </is>
      </c>
      <c r="E4134" s="156" t="inlineStr">
        <is>
          <t>Hauler</t>
        </is>
      </c>
      <c r="F4134" s="156" t="inlineStr"/>
      <c r="G4134" s="182" t="n">
        <v>0</v>
      </c>
      <c r="H4134" s="182" t="n">
        <v>0</v>
      </c>
      <c r="I4134" s="182" t="n">
        <v>12</v>
      </c>
      <c r="J4134" s="182" t="n">
        <v>12</v>
      </c>
      <c r="K4134" s="182" t="n">
        <v>0</v>
      </c>
      <c r="L4134" s="182" t="n">
        <v>12</v>
      </c>
      <c r="M4134" s="182" t="n">
        <v>0</v>
      </c>
      <c r="N4134" s="182" t="n">
        <v>0</v>
      </c>
      <c r="O4134" s="183" t="n">
        <v>0</v>
      </c>
      <c r="P4134" s="183" t="n">
        <v>0</v>
      </c>
      <c r="Q4134" s="184" t="n">
        <v>0</v>
      </c>
      <c r="R4134" s="184" t="n">
        <v>0</v>
      </c>
      <c r="S4134" s="183" t="n">
        <v>0</v>
      </c>
      <c r="T4134" s="183" t="n">
        <v>0</v>
      </c>
      <c r="U4134" s="182" t="n">
        <v>0</v>
      </c>
      <c r="V4134" s="182" t="n">
        <v>0</v>
      </c>
      <c r="W4134" s="182" t="n">
        <v>0</v>
      </c>
      <c r="X4134" s="182" t="n">
        <v>0</v>
      </c>
      <c r="Y4134" s="182" t="n">
        <v>0</v>
      </c>
      <c r="Z4134" s="182" t="n">
        <v>0</v>
      </c>
      <c r="AA4134" s="182" t="n">
        <v>0</v>
      </c>
      <c r="AB4134" s="182" t="n">
        <v>0</v>
      </c>
      <c r="AC4134" s="182" t="n">
        <v>0</v>
      </c>
      <c r="AD4134" s="182" t="n">
        <v>0</v>
      </c>
      <c r="AE4134" s="182" t="n">
        <v>0</v>
      </c>
      <c r="AF4134" s="182" t="n">
        <v>0</v>
      </c>
      <c r="AG4134" s="182" t="n">
        <v>0</v>
      </c>
      <c r="AH4134" s="182" t="n">
        <v>0</v>
      </c>
      <c r="AI4134" s="182" t="n">
        <v>0</v>
      </c>
      <c r="AJ4134" s="182" t="n">
        <v>0</v>
      </c>
      <c r="AK4134" s="182" t="n">
        <v>0</v>
      </c>
      <c r="AL4134" s="182" t="n">
        <v>0</v>
      </c>
      <c r="AM4134" s="182" t="n">
        <v>0</v>
      </c>
      <c r="AN4134" s="182" t="n">
        <v>0</v>
      </c>
    </row>
    <row r="4135">
      <c r="A4135" s="155" t="n">
        <v>46100</v>
      </c>
      <c r="B4135" s="156" t="inlineStr">
        <is>
          <t>NS</t>
        </is>
      </c>
      <c r="C4135" s="156" t="inlineStr">
        <is>
          <t>DT-807</t>
        </is>
      </c>
      <c r="D4135" s="156" t="inlineStr">
        <is>
          <t>SKT 80S</t>
        </is>
      </c>
      <c r="E4135" s="156" t="inlineStr">
        <is>
          <t>Hauler</t>
        </is>
      </c>
      <c r="F4135" s="156" t="inlineStr"/>
      <c r="G4135" s="182" t="n">
        <v>0</v>
      </c>
      <c r="H4135" s="182" t="n">
        <v>0</v>
      </c>
      <c r="I4135" s="182" t="n">
        <v>12</v>
      </c>
      <c r="J4135" s="182" t="n">
        <v>12</v>
      </c>
      <c r="K4135" s="182" t="n">
        <v>0</v>
      </c>
      <c r="L4135" s="182" t="n">
        <v>12</v>
      </c>
      <c r="M4135" s="182" t="n">
        <v>0</v>
      </c>
      <c r="N4135" s="182" t="n">
        <v>0</v>
      </c>
      <c r="O4135" s="183" t="n">
        <v>0</v>
      </c>
      <c r="P4135" s="183" t="n">
        <v>0</v>
      </c>
      <c r="Q4135" s="184" t="n">
        <v>0</v>
      </c>
      <c r="R4135" s="184" t="n">
        <v>0</v>
      </c>
      <c r="S4135" s="183" t="n">
        <v>0</v>
      </c>
      <c r="T4135" s="183" t="n">
        <v>0</v>
      </c>
      <c r="U4135" s="182" t="n">
        <v>0</v>
      </c>
      <c r="V4135" s="182" t="n">
        <v>0</v>
      </c>
      <c r="W4135" s="182" t="n">
        <v>0</v>
      </c>
      <c r="X4135" s="182" t="n">
        <v>0</v>
      </c>
      <c r="Y4135" s="182" t="n">
        <v>0</v>
      </c>
      <c r="Z4135" s="182" t="n">
        <v>0</v>
      </c>
      <c r="AA4135" s="182" t="n">
        <v>0</v>
      </c>
      <c r="AB4135" s="182" t="n">
        <v>0</v>
      </c>
      <c r="AC4135" s="182" t="n">
        <v>0</v>
      </c>
      <c r="AD4135" s="182" t="n">
        <v>0</v>
      </c>
      <c r="AE4135" s="182" t="n">
        <v>0</v>
      </c>
      <c r="AF4135" s="182" t="n">
        <v>0</v>
      </c>
      <c r="AG4135" s="182" t="n">
        <v>0</v>
      </c>
      <c r="AH4135" s="182" t="n">
        <v>0</v>
      </c>
      <c r="AI4135" s="182" t="n">
        <v>0</v>
      </c>
      <c r="AJ4135" s="182" t="n">
        <v>0</v>
      </c>
      <c r="AK4135" s="182" t="n">
        <v>0</v>
      </c>
      <c r="AL4135" s="182" t="n">
        <v>0</v>
      </c>
      <c r="AM4135" s="182" t="n">
        <v>0</v>
      </c>
      <c r="AN4135" s="182" t="n">
        <v>0</v>
      </c>
    </row>
    <row r="4136">
      <c r="A4136" s="155" t="n">
        <v>46100</v>
      </c>
      <c r="B4136" s="156" t="inlineStr">
        <is>
          <t>NS</t>
        </is>
      </c>
      <c r="C4136" s="156" t="inlineStr">
        <is>
          <t>DT-812</t>
        </is>
      </c>
      <c r="D4136" s="156" t="inlineStr">
        <is>
          <t>SKT 80S</t>
        </is>
      </c>
      <c r="E4136" s="156" t="inlineStr">
        <is>
          <t>Hauler</t>
        </is>
      </c>
      <c r="F4136" s="156" t="inlineStr"/>
      <c r="G4136" s="182" t="n">
        <v>0</v>
      </c>
      <c r="H4136" s="182" t="n">
        <v>0</v>
      </c>
      <c r="I4136" s="182" t="n">
        <v>0</v>
      </c>
      <c r="J4136" s="182" t="n">
        <v>0</v>
      </c>
      <c r="K4136" s="182" t="n">
        <v>12</v>
      </c>
      <c r="L4136" s="182" t="n">
        <v>12</v>
      </c>
      <c r="M4136" s="182" t="n">
        <v>0</v>
      </c>
      <c r="N4136" s="182" t="n">
        <v>0</v>
      </c>
      <c r="O4136" s="183" t="n">
        <v>0</v>
      </c>
      <c r="P4136" s="183" t="n">
        <v>0</v>
      </c>
      <c r="Q4136" s="184" t="n">
        <v>0</v>
      </c>
      <c r="R4136" s="184" t="n">
        <v>0</v>
      </c>
      <c r="S4136" s="183" t="n">
        <v>0</v>
      </c>
      <c r="T4136" s="183" t="n">
        <v>0</v>
      </c>
      <c r="U4136" s="182" t="n">
        <v>0</v>
      </c>
      <c r="V4136" s="182" t="n">
        <v>0</v>
      </c>
      <c r="W4136" s="182" t="n">
        <v>0</v>
      </c>
      <c r="X4136" s="182" t="n">
        <v>1</v>
      </c>
      <c r="Y4136" s="182" t="n">
        <v>0</v>
      </c>
      <c r="Z4136" s="182" t="n">
        <v>0</v>
      </c>
      <c r="AA4136" s="182" t="n">
        <v>0</v>
      </c>
      <c r="AB4136" s="182" t="n">
        <v>0</v>
      </c>
      <c r="AC4136" s="182" t="n">
        <v>0</v>
      </c>
      <c r="AD4136" s="182" t="n">
        <v>0</v>
      </c>
      <c r="AE4136" s="182" t="n">
        <v>0</v>
      </c>
      <c r="AF4136" s="182" t="n">
        <v>0</v>
      </c>
      <c r="AG4136" s="182" t="n">
        <v>0</v>
      </c>
      <c r="AH4136" s="182" t="n">
        <v>0</v>
      </c>
      <c r="AI4136" s="182" t="n">
        <v>0</v>
      </c>
      <c r="AJ4136" s="182" t="n">
        <v>0</v>
      </c>
      <c r="AK4136" s="182" t="n">
        <v>10.92</v>
      </c>
      <c r="AL4136" s="182" t="n">
        <v>0</v>
      </c>
      <c r="AM4136" s="182" t="n">
        <v>0.08</v>
      </c>
      <c r="AN4136" s="182" t="n">
        <v>0</v>
      </c>
    </row>
    <row r="4137">
      <c r="A4137" s="155" t="n">
        <v>46100</v>
      </c>
      <c r="B4137" s="156" t="inlineStr">
        <is>
          <t>NS</t>
        </is>
      </c>
      <c r="C4137" s="156" t="inlineStr">
        <is>
          <t>DT-803</t>
        </is>
      </c>
      <c r="D4137" s="156" t="inlineStr">
        <is>
          <t>SKT 80S</t>
        </is>
      </c>
      <c r="E4137" s="156" t="inlineStr">
        <is>
          <t>Hauler</t>
        </is>
      </c>
      <c r="F4137" s="156" t="inlineStr"/>
      <c r="G4137" s="182" t="n">
        <v>0</v>
      </c>
      <c r="H4137" s="182" t="n">
        <v>0</v>
      </c>
      <c r="I4137" s="182" t="n">
        <v>0</v>
      </c>
      <c r="J4137" s="182" t="n">
        <v>0</v>
      </c>
      <c r="K4137" s="182" t="n">
        <v>12</v>
      </c>
      <c r="L4137" s="182" t="n">
        <v>12</v>
      </c>
      <c r="M4137" s="182" t="n">
        <v>0</v>
      </c>
      <c r="N4137" s="182" t="n">
        <v>0</v>
      </c>
      <c r="O4137" s="183" t="n">
        <v>0</v>
      </c>
      <c r="P4137" s="183" t="n">
        <v>0</v>
      </c>
      <c r="Q4137" s="184" t="n">
        <v>0</v>
      </c>
      <c r="R4137" s="184" t="n">
        <v>0</v>
      </c>
      <c r="S4137" s="183" t="n">
        <v>0</v>
      </c>
      <c r="T4137" s="183" t="n">
        <v>0</v>
      </c>
      <c r="U4137" s="182" t="n">
        <v>0</v>
      </c>
      <c r="V4137" s="182" t="n">
        <v>0</v>
      </c>
      <c r="W4137" s="182" t="n">
        <v>0</v>
      </c>
      <c r="X4137" s="182" t="n">
        <v>1</v>
      </c>
      <c r="Y4137" s="182" t="n">
        <v>0</v>
      </c>
      <c r="Z4137" s="182" t="n">
        <v>0</v>
      </c>
      <c r="AA4137" s="182" t="n">
        <v>0</v>
      </c>
      <c r="AB4137" s="182" t="n">
        <v>0</v>
      </c>
      <c r="AC4137" s="182" t="n">
        <v>0</v>
      </c>
      <c r="AD4137" s="182" t="n">
        <v>0</v>
      </c>
      <c r="AE4137" s="182" t="n">
        <v>0</v>
      </c>
      <c r="AF4137" s="182" t="n">
        <v>0</v>
      </c>
      <c r="AG4137" s="182" t="n">
        <v>0</v>
      </c>
      <c r="AH4137" s="182" t="n">
        <v>0</v>
      </c>
      <c r="AI4137" s="182" t="n">
        <v>0</v>
      </c>
      <c r="AJ4137" s="182" t="n">
        <v>0</v>
      </c>
      <c r="AK4137" s="182" t="n">
        <v>10.92</v>
      </c>
      <c r="AL4137" s="182" t="n">
        <v>0</v>
      </c>
      <c r="AM4137" s="182" t="n">
        <v>0.08</v>
      </c>
      <c r="AN4137" s="182" t="n">
        <v>0</v>
      </c>
    </row>
    <row r="4138">
      <c r="A4138" s="155" t="n">
        <v>46100</v>
      </c>
      <c r="B4138" s="156" t="inlineStr">
        <is>
          <t>NS</t>
        </is>
      </c>
      <c r="C4138" s="156" t="inlineStr">
        <is>
          <t>DT-810</t>
        </is>
      </c>
      <c r="D4138" s="156" t="inlineStr">
        <is>
          <t>SKT 80S</t>
        </is>
      </c>
      <c r="E4138" s="156" t="inlineStr">
        <is>
          <t>Hauler</t>
        </is>
      </c>
      <c r="F4138" s="156" t="inlineStr"/>
      <c r="G4138" s="182" t="n">
        <v>0</v>
      </c>
      <c r="H4138" s="182" t="n">
        <v>0</v>
      </c>
      <c r="I4138" s="182" t="n">
        <v>0</v>
      </c>
      <c r="J4138" s="182" t="n">
        <v>0</v>
      </c>
      <c r="K4138" s="182" t="n">
        <v>12</v>
      </c>
      <c r="L4138" s="182" t="n">
        <v>12</v>
      </c>
      <c r="M4138" s="182" t="n">
        <v>0</v>
      </c>
      <c r="N4138" s="182" t="n">
        <v>0</v>
      </c>
      <c r="O4138" s="183" t="n">
        <v>0</v>
      </c>
      <c r="P4138" s="183" t="n">
        <v>0</v>
      </c>
      <c r="Q4138" s="184" t="n">
        <v>0</v>
      </c>
      <c r="R4138" s="184" t="n">
        <v>0</v>
      </c>
      <c r="S4138" s="183" t="n">
        <v>0</v>
      </c>
      <c r="T4138" s="183" t="n">
        <v>0</v>
      </c>
      <c r="U4138" s="182" t="n">
        <v>0</v>
      </c>
      <c r="V4138" s="182" t="n">
        <v>0</v>
      </c>
      <c r="W4138" s="182" t="n">
        <v>0</v>
      </c>
      <c r="X4138" s="182" t="n">
        <v>1</v>
      </c>
      <c r="Y4138" s="182" t="n">
        <v>0</v>
      </c>
      <c r="Z4138" s="182" t="n">
        <v>0</v>
      </c>
      <c r="AA4138" s="182" t="n">
        <v>0</v>
      </c>
      <c r="AB4138" s="182" t="n">
        <v>0</v>
      </c>
      <c r="AC4138" s="182" t="n">
        <v>0</v>
      </c>
      <c r="AD4138" s="182" t="n">
        <v>0</v>
      </c>
      <c r="AE4138" s="182" t="n">
        <v>0</v>
      </c>
      <c r="AF4138" s="182" t="n">
        <v>0</v>
      </c>
      <c r="AG4138" s="182" t="n">
        <v>0</v>
      </c>
      <c r="AH4138" s="182" t="n">
        <v>0</v>
      </c>
      <c r="AI4138" s="182" t="n">
        <v>0</v>
      </c>
      <c r="AJ4138" s="182" t="n">
        <v>0</v>
      </c>
      <c r="AK4138" s="182" t="n">
        <v>10.92</v>
      </c>
      <c r="AL4138" s="182" t="n">
        <v>0</v>
      </c>
      <c r="AM4138" s="182" t="n">
        <v>0.08</v>
      </c>
      <c r="AN4138" s="182" t="n">
        <v>0</v>
      </c>
    </row>
    <row r="4139">
      <c r="A4139" s="155" t="n">
        <v>46100</v>
      </c>
      <c r="B4139" s="156" t="inlineStr">
        <is>
          <t>NS</t>
        </is>
      </c>
      <c r="C4139" s="156" t="inlineStr">
        <is>
          <t>DT-804</t>
        </is>
      </c>
      <c r="D4139" s="156" t="inlineStr">
        <is>
          <t>SKT 80S</t>
        </is>
      </c>
      <c r="E4139" s="156" t="inlineStr">
        <is>
          <t>Hauler</t>
        </is>
      </c>
      <c r="F4139" s="156" t="inlineStr">
        <is>
          <t>Support Washing Plant</t>
        </is>
      </c>
      <c r="G4139" s="182" t="n">
        <v>5.71</v>
      </c>
      <c r="H4139" s="182" t="n">
        <v>0</v>
      </c>
      <c r="I4139" s="182" t="n">
        <v>0</v>
      </c>
      <c r="J4139" s="182" t="n">
        <v>0</v>
      </c>
      <c r="K4139" s="182" t="n">
        <v>6.29</v>
      </c>
      <c r="L4139" s="182" t="n">
        <v>12</v>
      </c>
      <c r="M4139" s="182" t="n">
        <v>0</v>
      </c>
      <c r="N4139" s="182" t="n">
        <v>0</v>
      </c>
      <c r="O4139" s="183" t="n">
        <v>0</v>
      </c>
      <c r="P4139" s="183" t="n">
        <v>0</v>
      </c>
      <c r="Q4139" s="184" t="n">
        <v>0</v>
      </c>
      <c r="R4139" s="184" t="n">
        <v>0</v>
      </c>
      <c r="S4139" s="183" t="n">
        <v>0</v>
      </c>
      <c r="T4139" s="183" t="n">
        <v>0</v>
      </c>
      <c r="U4139" s="182" t="n">
        <v>0</v>
      </c>
      <c r="V4139" s="182" t="n">
        <v>0</v>
      </c>
      <c r="W4139" s="182" t="n">
        <v>0</v>
      </c>
      <c r="X4139" s="182" t="n">
        <v>1.05</v>
      </c>
      <c r="Y4139" s="182" t="n">
        <v>0</v>
      </c>
      <c r="Z4139" s="182" t="n">
        <v>0</v>
      </c>
      <c r="AA4139" s="182" t="n">
        <v>0</v>
      </c>
      <c r="AB4139" s="182" t="n">
        <v>0</v>
      </c>
      <c r="AC4139" s="182" t="n">
        <v>0</v>
      </c>
      <c r="AD4139" s="182" t="n">
        <v>0</v>
      </c>
      <c r="AE4139" s="182" t="n">
        <v>0</v>
      </c>
      <c r="AF4139" s="182" t="n">
        <v>0</v>
      </c>
      <c r="AG4139" s="182" t="n">
        <v>0</v>
      </c>
      <c r="AH4139" s="182" t="n">
        <v>0</v>
      </c>
      <c r="AI4139" s="182" t="n">
        <v>0</v>
      </c>
      <c r="AJ4139" s="182" t="n">
        <v>0</v>
      </c>
      <c r="AK4139" s="182" t="n">
        <v>5.16</v>
      </c>
      <c r="AL4139" s="182" t="n">
        <v>0</v>
      </c>
      <c r="AM4139" s="182" t="n">
        <v>0.08</v>
      </c>
      <c r="AN4139" s="182" t="n">
        <v>0</v>
      </c>
    </row>
    <row r="4140">
      <c r="A4140" s="155" t="n">
        <v>46100</v>
      </c>
      <c r="B4140" s="156" t="inlineStr">
        <is>
          <t>NS</t>
        </is>
      </c>
      <c r="C4140" s="156" t="inlineStr">
        <is>
          <t>DT-505</t>
        </is>
      </c>
      <c r="D4140" s="156" t="inlineStr">
        <is>
          <t>SKT 105S</t>
        </is>
      </c>
      <c r="E4140" s="156" t="inlineStr">
        <is>
          <t>Hauler</t>
        </is>
      </c>
      <c r="F4140" s="156" t="inlineStr">
        <is>
          <t>Hauling OB</t>
        </is>
      </c>
      <c r="G4140" s="182" t="n">
        <v>9.220000000000001</v>
      </c>
      <c r="H4140" s="182" t="n">
        <v>0</v>
      </c>
      <c r="I4140" s="182" t="n">
        <v>0</v>
      </c>
      <c r="J4140" s="182" t="n">
        <v>0</v>
      </c>
      <c r="K4140" s="182" t="n">
        <v>2.78</v>
      </c>
      <c r="L4140" s="182" t="n">
        <v>12</v>
      </c>
      <c r="M4140" s="182" t="n">
        <v>9.220000000000001</v>
      </c>
      <c r="N4140" s="182" t="n">
        <v>0</v>
      </c>
      <c r="O4140" s="183" t="n">
        <v>29</v>
      </c>
      <c r="P4140" s="183" t="n">
        <v>0</v>
      </c>
      <c r="Q4140" s="184" t="n">
        <v>591.6</v>
      </c>
      <c r="R4140" s="184" t="n">
        <v>0</v>
      </c>
      <c r="S4140" s="183" t="n">
        <v>0</v>
      </c>
      <c r="T4140" s="183" t="n">
        <v>0</v>
      </c>
      <c r="U4140" s="182" t="n">
        <v>0</v>
      </c>
      <c r="V4140" s="182" t="n">
        <v>0</v>
      </c>
      <c r="W4140" s="182" t="n">
        <v>0.74</v>
      </c>
      <c r="X4140" s="182" t="n">
        <v>0.99</v>
      </c>
      <c r="Y4140" s="182" t="n">
        <v>0</v>
      </c>
      <c r="Z4140" s="182" t="n">
        <v>0</v>
      </c>
      <c r="AA4140" s="182" t="n">
        <v>0</v>
      </c>
      <c r="AB4140" s="182" t="n">
        <v>0</v>
      </c>
      <c r="AC4140" s="182" t="n">
        <v>0</v>
      </c>
      <c r="AD4140" s="182" t="n">
        <v>0</v>
      </c>
      <c r="AE4140" s="182" t="n">
        <v>0</v>
      </c>
      <c r="AF4140" s="182" t="n">
        <v>0</v>
      </c>
      <c r="AG4140" s="182" t="n">
        <v>0</v>
      </c>
      <c r="AH4140" s="182" t="n">
        <v>0.96</v>
      </c>
      <c r="AI4140" s="182" t="n">
        <v>0</v>
      </c>
      <c r="AJ4140" s="182" t="n">
        <v>0</v>
      </c>
      <c r="AK4140" s="182" t="n">
        <v>0</v>
      </c>
      <c r="AL4140" s="182" t="n">
        <v>0</v>
      </c>
      <c r="AM4140" s="182" t="n">
        <v>0.08</v>
      </c>
      <c r="AN4140" s="182" t="n">
        <v>0</v>
      </c>
    </row>
    <row r="4141">
      <c r="A4141" s="155" t="n">
        <v>46100</v>
      </c>
      <c r="B4141" s="156" t="inlineStr">
        <is>
          <t>NS</t>
        </is>
      </c>
      <c r="C4141" s="156" t="inlineStr">
        <is>
          <t>DT-530</t>
        </is>
      </c>
      <c r="D4141" s="156" t="inlineStr">
        <is>
          <t>SKT 105S</t>
        </is>
      </c>
      <c r="E4141" s="156" t="inlineStr">
        <is>
          <t>Hauler</t>
        </is>
      </c>
      <c r="F4141" s="156" t="inlineStr"/>
      <c r="G4141" s="182" t="n">
        <v>0</v>
      </c>
      <c r="H4141" s="182" t="n">
        <v>0</v>
      </c>
      <c r="I4141" s="182" t="n">
        <v>12</v>
      </c>
      <c r="J4141" s="182" t="n">
        <v>12</v>
      </c>
      <c r="K4141" s="182" t="n">
        <v>0</v>
      </c>
      <c r="L4141" s="182" t="n">
        <v>12</v>
      </c>
      <c r="M4141" s="182" t="n">
        <v>0</v>
      </c>
      <c r="N4141" s="182" t="n">
        <v>0</v>
      </c>
      <c r="O4141" s="183" t="n">
        <v>0</v>
      </c>
      <c r="P4141" s="183" t="n">
        <v>0</v>
      </c>
      <c r="Q4141" s="184" t="n">
        <v>0</v>
      </c>
      <c r="R4141" s="184" t="n">
        <v>0</v>
      </c>
      <c r="S4141" s="183" t="n">
        <v>0</v>
      </c>
      <c r="T4141" s="183" t="n">
        <v>0</v>
      </c>
      <c r="U4141" s="182" t="n">
        <v>0</v>
      </c>
      <c r="V4141" s="182" t="n">
        <v>0</v>
      </c>
      <c r="W4141" s="182" t="n">
        <v>0</v>
      </c>
      <c r="X4141" s="182" t="n">
        <v>0</v>
      </c>
      <c r="Y4141" s="182" t="n">
        <v>0</v>
      </c>
      <c r="Z4141" s="182" t="n">
        <v>0</v>
      </c>
      <c r="AA4141" s="182" t="n">
        <v>0</v>
      </c>
      <c r="AB4141" s="182" t="n">
        <v>0</v>
      </c>
      <c r="AC4141" s="182" t="n">
        <v>0</v>
      </c>
      <c r="AD4141" s="182" t="n">
        <v>0</v>
      </c>
      <c r="AE4141" s="182" t="n">
        <v>0</v>
      </c>
      <c r="AF4141" s="182" t="n">
        <v>0</v>
      </c>
      <c r="AG4141" s="182" t="n">
        <v>0</v>
      </c>
      <c r="AH4141" s="182" t="n">
        <v>0</v>
      </c>
      <c r="AI4141" s="182" t="n">
        <v>0</v>
      </c>
      <c r="AJ4141" s="182" t="n">
        <v>0</v>
      </c>
      <c r="AK4141" s="182" t="n">
        <v>0</v>
      </c>
      <c r="AL4141" s="182" t="n">
        <v>0</v>
      </c>
      <c r="AM4141" s="182" t="n">
        <v>0</v>
      </c>
      <c r="AN4141" s="182" t="n">
        <v>0</v>
      </c>
    </row>
    <row r="4142">
      <c r="A4142" s="155" t="n">
        <v>46100</v>
      </c>
      <c r="B4142" s="156" t="inlineStr">
        <is>
          <t>NS</t>
        </is>
      </c>
      <c r="C4142" s="156" t="inlineStr">
        <is>
          <t>DT-525</t>
        </is>
      </c>
      <c r="D4142" s="156" t="inlineStr">
        <is>
          <t>SKT 105S</t>
        </is>
      </c>
      <c r="E4142" s="156" t="inlineStr">
        <is>
          <t>Hauler</t>
        </is>
      </c>
      <c r="F4142" s="156" t="inlineStr"/>
      <c r="G4142" s="182" t="n">
        <v>0</v>
      </c>
      <c r="H4142" s="182" t="n">
        <v>0</v>
      </c>
      <c r="I4142" s="182" t="n">
        <v>12</v>
      </c>
      <c r="J4142" s="182" t="n">
        <v>12</v>
      </c>
      <c r="K4142" s="182" t="n">
        <v>0</v>
      </c>
      <c r="L4142" s="182" t="n">
        <v>12</v>
      </c>
      <c r="M4142" s="182" t="n">
        <v>0</v>
      </c>
      <c r="N4142" s="182" t="n">
        <v>0</v>
      </c>
      <c r="O4142" s="183" t="n">
        <v>0</v>
      </c>
      <c r="P4142" s="183" t="n">
        <v>0</v>
      </c>
      <c r="Q4142" s="184" t="n">
        <v>0</v>
      </c>
      <c r="R4142" s="184" t="n">
        <v>0</v>
      </c>
      <c r="S4142" s="183" t="n">
        <v>0</v>
      </c>
      <c r="T4142" s="183" t="n">
        <v>0</v>
      </c>
      <c r="U4142" s="182" t="n">
        <v>0</v>
      </c>
      <c r="V4142" s="182" t="n">
        <v>0</v>
      </c>
      <c r="W4142" s="182" t="n">
        <v>0</v>
      </c>
      <c r="X4142" s="182" t="n">
        <v>0</v>
      </c>
      <c r="Y4142" s="182" t="n">
        <v>0</v>
      </c>
      <c r="Z4142" s="182" t="n">
        <v>0</v>
      </c>
      <c r="AA4142" s="182" t="n">
        <v>0</v>
      </c>
      <c r="AB4142" s="182" t="n">
        <v>0</v>
      </c>
      <c r="AC4142" s="182" t="n">
        <v>0</v>
      </c>
      <c r="AD4142" s="182" t="n">
        <v>0</v>
      </c>
      <c r="AE4142" s="182" t="n">
        <v>0</v>
      </c>
      <c r="AF4142" s="182" t="n">
        <v>0</v>
      </c>
      <c r="AG4142" s="182" t="n">
        <v>0</v>
      </c>
      <c r="AH4142" s="182" t="n">
        <v>0</v>
      </c>
      <c r="AI4142" s="182" t="n">
        <v>0</v>
      </c>
      <c r="AJ4142" s="182" t="n">
        <v>0</v>
      </c>
      <c r="AK4142" s="182" t="n">
        <v>0</v>
      </c>
      <c r="AL4142" s="182" t="n">
        <v>0</v>
      </c>
      <c r="AM4142" s="182" t="n">
        <v>0</v>
      </c>
      <c r="AN4142" s="182" t="n">
        <v>0</v>
      </c>
    </row>
    <row r="4143">
      <c r="A4143" s="155" t="n">
        <v>46100</v>
      </c>
      <c r="B4143" s="156" t="inlineStr">
        <is>
          <t>NS</t>
        </is>
      </c>
      <c r="C4143" s="156" t="inlineStr">
        <is>
          <t>DT-503</t>
        </is>
      </c>
      <c r="D4143" s="156" t="inlineStr">
        <is>
          <t>SKT 105S</t>
        </is>
      </c>
      <c r="E4143" s="156" t="inlineStr">
        <is>
          <t>Hauler</t>
        </is>
      </c>
      <c r="F4143" s="156" t="inlineStr">
        <is>
          <t>Hauling OB</t>
        </is>
      </c>
      <c r="G4143" s="182" t="n">
        <v>7.1</v>
      </c>
      <c r="H4143" s="182" t="n">
        <v>0</v>
      </c>
      <c r="I4143" s="182" t="n">
        <v>0</v>
      </c>
      <c r="J4143" s="182" t="n">
        <v>0</v>
      </c>
      <c r="K4143" s="182" t="n">
        <v>4.9</v>
      </c>
      <c r="L4143" s="182" t="n">
        <v>12</v>
      </c>
      <c r="M4143" s="182" t="n">
        <v>7.1</v>
      </c>
      <c r="N4143" s="182" t="n">
        <v>0</v>
      </c>
      <c r="O4143" s="183" t="n">
        <v>19</v>
      </c>
      <c r="P4143" s="183" t="n">
        <v>0</v>
      </c>
      <c r="Q4143" s="184" t="n">
        <v>387.6</v>
      </c>
      <c r="R4143" s="184" t="n">
        <v>0</v>
      </c>
      <c r="S4143" s="183" t="n">
        <v>0</v>
      </c>
      <c r="T4143" s="183" t="n">
        <v>0</v>
      </c>
      <c r="U4143" s="182" t="n">
        <v>0</v>
      </c>
      <c r="V4143" s="182" t="n">
        <v>0</v>
      </c>
      <c r="W4143" s="182" t="n">
        <v>0.67</v>
      </c>
      <c r="X4143" s="182" t="n">
        <v>0.89</v>
      </c>
      <c r="Y4143" s="182" t="n">
        <v>0</v>
      </c>
      <c r="Z4143" s="182" t="n">
        <v>0</v>
      </c>
      <c r="AA4143" s="182" t="n">
        <v>0</v>
      </c>
      <c r="AB4143" s="182" t="n">
        <v>0</v>
      </c>
      <c r="AC4143" s="182" t="n">
        <v>0</v>
      </c>
      <c r="AD4143" s="182" t="n">
        <v>0</v>
      </c>
      <c r="AE4143" s="182" t="n">
        <v>0</v>
      </c>
      <c r="AF4143" s="182" t="n">
        <v>0</v>
      </c>
      <c r="AG4143" s="182" t="n">
        <v>0</v>
      </c>
      <c r="AH4143" s="182" t="n">
        <v>0</v>
      </c>
      <c r="AI4143" s="182" t="n">
        <v>3.27</v>
      </c>
      <c r="AJ4143" s="182" t="n">
        <v>0</v>
      </c>
      <c r="AK4143" s="182" t="n">
        <v>0</v>
      </c>
      <c r="AL4143" s="182" t="n">
        <v>0</v>
      </c>
      <c r="AM4143" s="182" t="n">
        <v>0.07000000000000001</v>
      </c>
      <c r="AN4143" s="182" t="n">
        <v>0</v>
      </c>
    </row>
    <row r="4144">
      <c r="A4144" s="155" t="n">
        <v>46100</v>
      </c>
      <c r="B4144" s="156" t="inlineStr">
        <is>
          <t>NS</t>
        </is>
      </c>
      <c r="C4144" s="156" t="inlineStr">
        <is>
          <t>DT-504</t>
        </is>
      </c>
      <c r="D4144" s="156" t="inlineStr">
        <is>
          <t>SKT 105S</t>
        </is>
      </c>
      <c r="E4144" s="156" t="inlineStr">
        <is>
          <t>Hauler</t>
        </is>
      </c>
      <c r="F4144" s="156" t="inlineStr">
        <is>
          <t>Hauling Coal &amp; OB</t>
        </is>
      </c>
      <c r="G4144" s="182" t="n">
        <v>7.82</v>
      </c>
      <c r="H4144" s="182" t="n">
        <v>0</v>
      </c>
      <c r="I4144" s="182" t="n">
        <v>0</v>
      </c>
      <c r="J4144" s="182" t="n">
        <v>0</v>
      </c>
      <c r="K4144" s="182" t="n">
        <v>4.18</v>
      </c>
      <c r="L4144" s="182" t="n">
        <v>12</v>
      </c>
      <c r="M4144" s="182" t="n">
        <v>2.09</v>
      </c>
      <c r="N4144" s="182" t="n">
        <v>5.73</v>
      </c>
      <c r="O4144" s="183" t="n">
        <v>7</v>
      </c>
      <c r="P4144" s="183" t="n">
        <v>15</v>
      </c>
      <c r="Q4144" s="184" t="n">
        <v>142.8</v>
      </c>
      <c r="R4144" s="184" t="n">
        <v>280.5</v>
      </c>
      <c r="S4144" s="183" t="n">
        <v>0</v>
      </c>
      <c r="T4144" s="183" t="n">
        <v>0</v>
      </c>
      <c r="U4144" s="182" t="n">
        <v>0</v>
      </c>
      <c r="V4144" s="182" t="n">
        <v>0</v>
      </c>
      <c r="W4144" s="182" t="n">
        <v>3.18</v>
      </c>
      <c r="X4144" s="182" t="n">
        <v>0.93</v>
      </c>
      <c r="Y4144" s="182" t="n">
        <v>0</v>
      </c>
      <c r="Z4144" s="182" t="n">
        <v>0</v>
      </c>
      <c r="AA4144" s="182" t="n">
        <v>0</v>
      </c>
      <c r="AB4144" s="182" t="n">
        <v>0</v>
      </c>
      <c r="AC4144" s="182" t="n">
        <v>0</v>
      </c>
      <c r="AD4144" s="182" t="n">
        <v>0</v>
      </c>
      <c r="AE4144" s="182" t="n">
        <v>0</v>
      </c>
      <c r="AF4144" s="182" t="n">
        <v>0</v>
      </c>
      <c r="AG4144" s="182" t="n">
        <v>0</v>
      </c>
      <c r="AH4144" s="182" t="n">
        <v>0</v>
      </c>
      <c r="AI4144" s="182" t="n">
        <v>0</v>
      </c>
      <c r="AJ4144" s="182" t="n">
        <v>0</v>
      </c>
      <c r="AK4144" s="182" t="n">
        <v>0</v>
      </c>
      <c r="AL4144" s="182" t="n">
        <v>0</v>
      </c>
      <c r="AM4144" s="182" t="n">
        <v>0.07000000000000001</v>
      </c>
      <c r="AN4144" s="182" t="n">
        <v>0</v>
      </c>
    </row>
    <row r="4145">
      <c r="A4145" s="155" t="n">
        <v>46100</v>
      </c>
      <c r="B4145" s="156" t="inlineStr">
        <is>
          <t>NS</t>
        </is>
      </c>
      <c r="C4145" s="156" t="inlineStr">
        <is>
          <t>DT-507</t>
        </is>
      </c>
      <c r="D4145" s="156" t="inlineStr">
        <is>
          <t>SKT 105S</t>
        </is>
      </c>
      <c r="E4145" s="156" t="inlineStr">
        <is>
          <t>Hauler</t>
        </is>
      </c>
      <c r="F4145" s="156" t="inlineStr">
        <is>
          <t>Hauling Coal &amp; OB</t>
        </is>
      </c>
      <c r="G4145" s="182" t="n">
        <v>8.300000000000001</v>
      </c>
      <c r="H4145" s="182" t="n">
        <v>0</v>
      </c>
      <c r="I4145" s="182" t="n">
        <v>0</v>
      </c>
      <c r="J4145" s="182" t="n">
        <v>0</v>
      </c>
      <c r="K4145" s="182" t="n">
        <v>3.7</v>
      </c>
      <c r="L4145" s="182" t="n">
        <v>12</v>
      </c>
      <c r="M4145" s="182" t="n">
        <v>2.07</v>
      </c>
      <c r="N4145" s="182" t="n">
        <v>6.22</v>
      </c>
      <c r="O4145" s="183" t="n">
        <v>6</v>
      </c>
      <c r="P4145" s="183" t="n">
        <v>16</v>
      </c>
      <c r="Q4145" s="184" t="n">
        <v>122.4</v>
      </c>
      <c r="R4145" s="184" t="n">
        <v>299.2</v>
      </c>
      <c r="S4145" s="183" t="n">
        <v>0</v>
      </c>
      <c r="T4145" s="183" t="n">
        <v>0</v>
      </c>
      <c r="U4145" s="182" t="n">
        <v>0</v>
      </c>
      <c r="V4145" s="182" t="n">
        <v>0</v>
      </c>
      <c r="W4145" s="182" t="n">
        <v>2.7</v>
      </c>
      <c r="X4145" s="182" t="n">
        <v>0.93</v>
      </c>
      <c r="Y4145" s="182" t="n">
        <v>0</v>
      </c>
      <c r="Z4145" s="182" t="n">
        <v>0</v>
      </c>
      <c r="AA4145" s="182" t="n">
        <v>0</v>
      </c>
      <c r="AB4145" s="182" t="n">
        <v>0</v>
      </c>
      <c r="AC4145" s="182" t="n">
        <v>0</v>
      </c>
      <c r="AD4145" s="182" t="n">
        <v>0</v>
      </c>
      <c r="AE4145" s="182" t="n">
        <v>0</v>
      </c>
      <c r="AF4145" s="182" t="n">
        <v>0</v>
      </c>
      <c r="AG4145" s="182" t="n">
        <v>0</v>
      </c>
      <c r="AH4145" s="182" t="n">
        <v>0</v>
      </c>
      <c r="AI4145" s="182" t="n">
        <v>0</v>
      </c>
      <c r="AJ4145" s="182" t="n">
        <v>0</v>
      </c>
      <c r="AK4145" s="182" t="n">
        <v>0</v>
      </c>
      <c r="AL4145" s="182" t="n">
        <v>0</v>
      </c>
      <c r="AM4145" s="182" t="n">
        <v>0.07000000000000001</v>
      </c>
      <c r="AN4145" s="182" t="n">
        <v>0</v>
      </c>
    </row>
    <row r="4146">
      <c r="A4146" s="155" t="n">
        <v>46100</v>
      </c>
      <c r="B4146" s="156" t="inlineStr">
        <is>
          <t>NS</t>
        </is>
      </c>
      <c r="C4146" s="156" t="inlineStr">
        <is>
          <t>DT-501</t>
        </is>
      </c>
      <c r="D4146" s="156" t="inlineStr">
        <is>
          <t>SKT 105S</t>
        </is>
      </c>
      <c r="E4146" s="156" t="inlineStr">
        <is>
          <t>Hauler</t>
        </is>
      </c>
      <c r="F4146" s="156" t="inlineStr"/>
      <c r="G4146" s="182" t="n">
        <v>0</v>
      </c>
      <c r="H4146" s="182" t="n">
        <v>8</v>
      </c>
      <c r="I4146" s="182" t="n">
        <v>0</v>
      </c>
      <c r="J4146" s="182" t="n">
        <v>8</v>
      </c>
      <c r="K4146" s="182" t="n">
        <v>4</v>
      </c>
      <c r="L4146" s="182" t="n">
        <v>12</v>
      </c>
      <c r="M4146" s="182" t="n">
        <v>0</v>
      </c>
      <c r="N4146" s="182" t="n">
        <v>0</v>
      </c>
      <c r="O4146" s="183" t="n">
        <v>0</v>
      </c>
      <c r="P4146" s="183" t="n">
        <v>0</v>
      </c>
      <c r="Q4146" s="184" t="n">
        <v>0</v>
      </c>
      <c r="R4146" s="184" t="n">
        <v>0</v>
      </c>
      <c r="S4146" s="183" t="n">
        <v>0</v>
      </c>
      <c r="T4146" s="183" t="n">
        <v>0</v>
      </c>
      <c r="U4146" s="182" t="n">
        <v>0</v>
      </c>
      <c r="V4146" s="182" t="n">
        <v>0</v>
      </c>
      <c r="W4146" s="182" t="n">
        <v>0</v>
      </c>
      <c r="X4146" s="182" t="n">
        <v>1</v>
      </c>
      <c r="Y4146" s="182" t="n">
        <v>0</v>
      </c>
      <c r="Z4146" s="182" t="n">
        <v>0</v>
      </c>
      <c r="AA4146" s="182" t="n">
        <v>0</v>
      </c>
      <c r="AB4146" s="182" t="n">
        <v>0</v>
      </c>
      <c r="AC4146" s="182" t="n">
        <v>0</v>
      </c>
      <c r="AD4146" s="182" t="n">
        <v>0</v>
      </c>
      <c r="AE4146" s="182" t="n">
        <v>0</v>
      </c>
      <c r="AF4146" s="182" t="n">
        <v>0</v>
      </c>
      <c r="AG4146" s="182" t="n">
        <v>0</v>
      </c>
      <c r="AH4146" s="182" t="n">
        <v>0</v>
      </c>
      <c r="AI4146" s="182" t="n">
        <v>0</v>
      </c>
      <c r="AJ4146" s="182" t="n">
        <v>0</v>
      </c>
      <c r="AK4146" s="182" t="n">
        <v>2.92</v>
      </c>
      <c r="AL4146" s="182" t="n">
        <v>0</v>
      </c>
      <c r="AM4146" s="182" t="n">
        <v>0.08</v>
      </c>
      <c r="AN4146" s="182" t="n">
        <v>0</v>
      </c>
    </row>
    <row r="4147">
      <c r="A4147" s="155" t="n">
        <v>46100</v>
      </c>
      <c r="B4147" s="156" t="inlineStr">
        <is>
          <t>NS</t>
        </is>
      </c>
      <c r="C4147" s="156" t="inlineStr">
        <is>
          <t>DT-518</t>
        </is>
      </c>
      <c r="D4147" s="156" t="inlineStr">
        <is>
          <t>SKT 105S</t>
        </is>
      </c>
      <c r="E4147" s="156" t="inlineStr">
        <is>
          <t>Hauler</t>
        </is>
      </c>
      <c r="F4147" s="156" t="inlineStr">
        <is>
          <t>Hauling Coal &amp; OB</t>
        </is>
      </c>
      <c r="G4147" s="182" t="n">
        <v>8.35</v>
      </c>
      <c r="H4147" s="182" t="n">
        <v>0</v>
      </c>
      <c r="I4147" s="182" t="n">
        <v>0.33</v>
      </c>
      <c r="J4147" s="182" t="n">
        <v>0.33</v>
      </c>
      <c r="K4147" s="182" t="n">
        <v>3.32</v>
      </c>
      <c r="L4147" s="182" t="n">
        <v>12</v>
      </c>
      <c r="M4147" s="182" t="n">
        <v>2.39</v>
      </c>
      <c r="N4147" s="182" t="n">
        <v>5.97</v>
      </c>
      <c r="O4147" s="183" t="n">
        <v>10</v>
      </c>
      <c r="P4147" s="183" t="n">
        <v>16</v>
      </c>
      <c r="Q4147" s="184" t="n">
        <v>204</v>
      </c>
      <c r="R4147" s="184" t="n">
        <v>299.2</v>
      </c>
      <c r="S4147" s="183" t="n">
        <v>0</v>
      </c>
      <c r="T4147" s="183" t="n">
        <v>0</v>
      </c>
      <c r="U4147" s="182" t="n">
        <v>0</v>
      </c>
      <c r="V4147" s="182" t="n">
        <v>0</v>
      </c>
      <c r="W4147" s="182" t="n">
        <v>2.21</v>
      </c>
      <c r="X4147" s="182" t="n">
        <v>1.02</v>
      </c>
      <c r="Y4147" s="182" t="n">
        <v>0</v>
      </c>
      <c r="Z4147" s="182" t="n">
        <v>0</v>
      </c>
      <c r="AA4147" s="182" t="n">
        <v>0</v>
      </c>
      <c r="AB4147" s="182" t="n">
        <v>0</v>
      </c>
      <c r="AC4147" s="182" t="n">
        <v>0</v>
      </c>
      <c r="AD4147" s="182" t="n">
        <v>0</v>
      </c>
      <c r="AE4147" s="182" t="n">
        <v>0</v>
      </c>
      <c r="AF4147" s="182" t="n">
        <v>0</v>
      </c>
      <c r="AG4147" s="182" t="n">
        <v>0</v>
      </c>
      <c r="AH4147" s="182" t="n">
        <v>0</v>
      </c>
      <c r="AI4147" s="182" t="n">
        <v>0</v>
      </c>
      <c r="AJ4147" s="182" t="n">
        <v>0</v>
      </c>
      <c r="AK4147" s="182" t="n">
        <v>0</v>
      </c>
      <c r="AL4147" s="182" t="n">
        <v>0</v>
      </c>
      <c r="AM4147" s="182" t="n">
        <v>0.08</v>
      </c>
      <c r="AN4147" s="182" t="n">
        <v>0</v>
      </c>
    </row>
    <row r="4148">
      <c r="A4148" s="155" t="n">
        <v>46100</v>
      </c>
      <c r="B4148" s="156" t="inlineStr">
        <is>
          <t>NS</t>
        </is>
      </c>
      <c r="C4148" s="156" t="inlineStr">
        <is>
          <t>DT-514</t>
        </is>
      </c>
      <c r="D4148" s="156" t="inlineStr">
        <is>
          <t>SKT 105S</t>
        </is>
      </c>
      <c r="E4148" s="156" t="inlineStr">
        <is>
          <t>Hauler</t>
        </is>
      </c>
      <c r="F4148" s="156" t="inlineStr"/>
      <c r="G4148" s="182" t="n">
        <v>0</v>
      </c>
      <c r="H4148" s="182" t="n">
        <v>0</v>
      </c>
      <c r="I4148" s="182" t="n">
        <v>12</v>
      </c>
      <c r="J4148" s="182" t="n">
        <v>12</v>
      </c>
      <c r="K4148" s="182" t="n">
        <v>0</v>
      </c>
      <c r="L4148" s="182" t="n">
        <v>12</v>
      </c>
      <c r="M4148" s="182" t="n">
        <v>0</v>
      </c>
      <c r="N4148" s="182" t="n">
        <v>0</v>
      </c>
      <c r="O4148" s="183" t="n">
        <v>0</v>
      </c>
      <c r="P4148" s="183" t="n">
        <v>0</v>
      </c>
      <c r="Q4148" s="184" t="n">
        <v>0</v>
      </c>
      <c r="R4148" s="184" t="n">
        <v>0</v>
      </c>
      <c r="S4148" s="183" t="n">
        <v>0</v>
      </c>
      <c r="T4148" s="183" t="n">
        <v>0</v>
      </c>
      <c r="U4148" s="182" t="n">
        <v>0</v>
      </c>
      <c r="V4148" s="182" t="n">
        <v>0</v>
      </c>
      <c r="W4148" s="182" t="n">
        <v>0</v>
      </c>
      <c r="X4148" s="182" t="n">
        <v>0</v>
      </c>
      <c r="Y4148" s="182" t="n">
        <v>0</v>
      </c>
      <c r="Z4148" s="182" t="n">
        <v>0</v>
      </c>
      <c r="AA4148" s="182" t="n">
        <v>0</v>
      </c>
      <c r="AB4148" s="182" t="n">
        <v>0</v>
      </c>
      <c r="AC4148" s="182" t="n">
        <v>0</v>
      </c>
      <c r="AD4148" s="182" t="n">
        <v>0</v>
      </c>
      <c r="AE4148" s="182" t="n">
        <v>0</v>
      </c>
      <c r="AF4148" s="182" t="n">
        <v>0</v>
      </c>
      <c r="AG4148" s="182" t="n">
        <v>0</v>
      </c>
      <c r="AH4148" s="182" t="n">
        <v>0</v>
      </c>
      <c r="AI4148" s="182" t="n">
        <v>0</v>
      </c>
      <c r="AJ4148" s="182" t="n">
        <v>0</v>
      </c>
      <c r="AK4148" s="182" t="n">
        <v>0</v>
      </c>
      <c r="AL4148" s="182" t="n">
        <v>0</v>
      </c>
      <c r="AM4148" s="182" t="n">
        <v>0</v>
      </c>
      <c r="AN4148" s="182" t="n">
        <v>0</v>
      </c>
    </row>
    <row r="4149">
      <c r="A4149" s="155" t="n">
        <v>46100</v>
      </c>
      <c r="B4149" s="156" t="inlineStr">
        <is>
          <t>NS</t>
        </is>
      </c>
      <c r="C4149" s="156" t="inlineStr">
        <is>
          <t>DT-523</t>
        </is>
      </c>
      <c r="D4149" s="156" t="inlineStr">
        <is>
          <t>SKT 105S</t>
        </is>
      </c>
      <c r="E4149" s="156" t="inlineStr">
        <is>
          <t>Hauler</t>
        </is>
      </c>
      <c r="F4149" s="156" t="inlineStr">
        <is>
          <t>Hauling OB</t>
        </is>
      </c>
      <c r="G4149" s="182" t="n">
        <v>10.61</v>
      </c>
      <c r="H4149" s="182" t="n">
        <v>0</v>
      </c>
      <c r="I4149" s="182" t="n">
        <v>0</v>
      </c>
      <c r="J4149" s="182" t="n">
        <v>0</v>
      </c>
      <c r="K4149" s="182" t="n">
        <v>1.39</v>
      </c>
      <c r="L4149" s="182" t="n">
        <v>12</v>
      </c>
      <c r="M4149" s="182" t="n">
        <v>10.61</v>
      </c>
      <c r="N4149" s="182" t="n">
        <v>0</v>
      </c>
      <c r="O4149" s="183" t="n">
        <v>47</v>
      </c>
      <c r="P4149" s="183" t="n">
        <v>0</v>
      </c>
      <c r="Q4149" s="184" t="n">
        <v>958.8</v>
      </c>
      <c r="R4149" s="184" t="n">
        <v>0</v>
      </c>
      <c r="S4149" s="183" t="n">
        <v>0</v>
      </c>
      <c r="T4149" s="183" t="n">
        <v>0</v>
      </c>
      <c r="U4149" s="182" t="n">
        <v>0</v>
      </c>
      <c r="V4149" s="182" t="n">
        <v>0</v>
      </c>
      <c r="W4149" s="182" t="n">
        <v>0</v>
      </c>
      <c r="X4149" s="182" t="n">
        <v>0.93</v>
      </c>
      <c r="Y4149" s="182" t="n">
        <v>0</v>
      </c>
      <c r="Z4149" s="182" t="n">
        <v>0</v>
      </c>
      <c r="AA4149" s="182" t="n">
        <v>0</v>
      </c>
      <c r="AB4149" s="182" t="n">
        <v>0</v>
      </c>
      <c r="AC4149" s="182" t="n">
        <v>0</v>
      </c>
      <c r="AD4149" s="182" t="n">
        <v>0</v>
      </c>
      <c r="AE4149" s="182" t="n">
        <v>0</v>
      </c>
      <c r="AF4149" s="182" t="n">
        <v>0</v>
      </c>
      <c r="AG4149" s="182" t="n">
        <v>0</v>
      </c>
      <c r="AH4149" s="182" t="n">
        <v>0.39</v>
      </c>
      <c r="AI4149" s="182" t="n">
        <v>0</v>
      </c>
      <c r="AJ4149" s="182" t="n">
        <v>0</v>
      </c>
      <c r="AK4149" s="182" t="n">
        <v>0</v>
      </c>
      <c r="AL4149" s="182" t="n">
        <v>0</v>
      </c>
      <c r="AM4149" s="182" t="n">
        <v>0.07000000000000001</v>
      </c>
      <c r="AN4149" s="182" t="n">
        <v>0</v>
      </c>
    </row>
    <row r="4150">
      <c r="A4150" s="155" t="n">
        <v>46100</v>
      </c>
      <c r="B4150" s="156" t="inlineStr">
        <is>
          <t>NS</t>
        </is>
      </c>
      <c r="C4150" s="156" t="inlineStr">
        <is>
          <t>DT-519</t>
        </is>
      </c>
      <c r="D4150" s="156" t="inlineStr">
        <is>
          <t>SKT 105S</t>
        </is>
      </c>
      <c r="E4150" s="156" t="inlineStr">
        <is>
          <t>Hauler</t>
        </is>
      </c>
      <c r="F4150" s="156" t="inlineStr"/>
      <c r="G4150" s="182" t="n">
        <v>0</v>
      </c>
      <c r="H4150" s="182" t="n">
        <v>0</v>
      </c>
      <c r="I4150" s="182" t="n">
        <v>12</v>
      </c>
      <c r="J4150" s="182" t="n">
        <v>12</v>
      </c>
      <c r="K4150" s="182" t="n">
        <v>0</v>
      </c>
      <c r="L4150" s="182" t="n">
        <v>12</v>
      </c>
      <c r="M4150" s="182" t="n">
        <v>0</v>
      </c>
      <c r="N4150" s="182" t="n">
        <v>0</v>
      </c>
      <c r="O4150" s="183" t="n">
        <v>0</v>
      </c>
      <c r="P4150" s="183" t="n">
        <v>0</v>
      </c>
      <c r="Q4150" s="184" t="n">
        <v>0</v>
      </c>
      <c r="R4150" s="184" t="n">
        <v>0</v>
      </c>
      <c r="S4150" s="183" t="n">
        <v>0</v>
      </c>
      <c r="T4150" s="183" t="n">
        <v>0</v>
      </c>
      <c r="U4150" s="182" t="n">
        <v>0</v>
      </c>
      <c r="V4150" s="182" t="n">
        <v>0</v>
      </c>
      <c r="W4150" s="182" t="n">
        <v>0</v>
      </c>
      <c r="X4150" s="182" t="n">
        <v>0</v>
      </c>
      <c r="Y4150" s="182" t="n">
        <v>0</v>
      </c>
      <c r="Z4150" s="182" t="n">
        <v>0</v>
      </c>
      <c r="AA4150" s="182" t="n">
        <v>0</v>
      </c>
      <c r="AB4150" s="182" t="n">
        <v>0</v>
      </c>
      <c r="AC4150" s="182" t="n">
        <v>0</v>
      </c>
      <c r="AD4150" s="182" t="n">
        <v>0</v>
      </c>
      <c r="AE4150" s="182" t="n">
        <v>0</v>
      </c>
      <c r="AF4150" s="182" t="n">
        <v>0</v>
      </c>
      <c r="AG4150" s="182" t="n">
        <v>0</v>
      </c>
      <c r="AH4150" s="182" t="n">
        <v>0</v>
      </c>
      <c r="AI4150" s="182" t="n">
        <v>0</v>
      </c>
      <c r="AJ4150" s="182" t="n">
        <v>0</v>
      </c>
      <c r="AK4150" s="182" t="n">
        <v>0</v>
      </c>
      <c r="AL4150" s="182" t="n">
        <v>0</v>
      </c>
      <c r="AM4150" s="182" t="n">
        <v>0</v>
      </c>
      <c r="AN4150" s="182" t="n">
        <v>0</v>
      </c>
    </row>
    <row r="4151">
      <c r="A4151" s="155" t="n">
        <v>46100</v>
      </c>
      <c r="B4151" s="156" t="inlineStr">
        <is>
          <t>NS</t>
        </is>
      </c>
      <c r="C4151" s="156" t="inlineStr">
        <is>
          <t>DT-527</t>
        </is>
      </c>
      <c r="D4151" s="156" t="inlineStr">
        <is>
          <t>SKT 105S</t>
        </is>
      </c>
      <c r="E4151" s="156" t="inlineStr">
        <is>
          <t>Hauler</t>
        </is>
      </c>
      <c r="F4151" s="156" t="inlineStr">
        <is>
          <t>Hauling OB</t>
        </is>
      </c>
      <c r="G4151" s="182" t="n">
        <v>4.89</v>
      </c>
      <c r="H4151" s="182" t="n">
        <v>0</v>
      </c>
      <c r="I4151" s="182" t="n">
        <v>0.25</v>
      </c>
      <c r="J4151" s="182" t="n">
        <v>0.25</v>
      </c>
      <c r="K4151" s="182" t="n">
        <v>6.86</v>
      </c>
      <c r="L4151" s="182" t="n">
        <v>12</v>
      </c>
      <c r="M4151" s="182" t="n">
        <v>4.89</v>
      </c>
      <c r="N4151" s="182" t="n">
        <v>0</v>
      </c>
      <c r="O4151" s="183" t="n">
        <v>11</v>
      </c>
      <c r="P4151" s="183" t="n">
        <v>0</v>
      </c>
      <c r="Q4151" s="184" t="n">
        <v>224.4</v>
      </c>
      <c r="R4151" s="184" t="n">
        <v>0</v>
      </c>
      <c r="S4151" s="183" t="n">
        <v>0</v>
      </c>
      <c r="T4151" s="183" t="n">
        <v>0</v>
      </c>
      <c r="U4151" s="182" t="n">
        <v>0</v>
      </c>
      <c r="V4151" s="182" t="n">
        <v>0</v>
      </c>
      <c r="W4151" s="182" t="n">
        <v>0</v>
      </c>
      <c r="X4151" s="182" t="n">
        <v>1</v>
      </c>
      <c r="Y4151" s="182" t="n">
        <v>0</v>
      </c>
      <c r="Z4151" s="182" t="n">
        <v>0</v>
      </c>
      <c r="AA4151" s="182" t="n">
        <v>0</v>
      </c>
      <c r="AB4151" s="182" t="n">
        <v>0</v>
      </c>
      <c r="AC4151" s="182" t="n">
        <v>0</v>
      </c>
      <c r="AD4151" s="182" t="n">
        <v>0</v>
      </c>
      <c r="AE4151" s="182" t="n">
        <v>0</v>
      </c>
      <c r="AF4151" s="182" t="n">
        <v>0</v>
      </c>
      <c r="AG4151" s="182" t="n">
        <v>0</v>
      </c>
      <c r="AH4151" s="182" t="n">
        <v>0</v>
      </c>
      <c r="AI4151" s="182" t="n">
        <v>0</v>
      </c>
      <c r="AJ4151" s="182" t="n">
        <v>0</v>
      </c>
      <c r="AK4151" s="182" t="n">
        <v>5.78</v>
      </c>
      <c r="AL4151" s="182" t="n">
        <v>0</v>
      </c>
      <c r="AM4151" s="182" t="n">
        <v>0.08</v>
      </c>
      <c r="AN4151" s="182" t="n">
        <v>0</v>
      </c>
    </row>
    <row r="4152">
      <c r="A4152" s="155" t="n">
        <v>46100</v>
      </c>
      <c r="B4152" s="156" t="inlineStr">
        <is>
          <t>NS</t>
        </is>
      </c>
      <c r="C4152" s="156" t="inlineStr">
        <is>
          <t>DT-513</t>
        </is>
      </c>
      <c r="D4152" s="156" t="inlineStr">
        <is>
          <t>SKT 105S</t>
        </is>
      </c>
      <c r="E4152" s="156" t="inlineStr">
        <is>
          <t>Hauler</t>
        </is>
      </c>
      <c r="F4152" s="156" t="inlineStr">
        <is>
          <t>Hauling OB</t>
        </is>
      </c>
      <c r="G4152" s="182" t="n">
        <v>4.02</v>
      </c>
      <c r="H4152" s="182" t="n">
        <v>0</v>
      </c>
      <c r="I4152" s="182" t="n">
        <v>0</v>
      </c>
      <c r="J4152" s="182" t="n">
        <v>0</v>
      </c>
      <c r="K4152" s="182" t="n">
        <v>7.98</v>
      </c>
      <c r="L4152" s="182" t="n">
        <v>12</v>
      </c>
      <c r="M4152" s="182" t="n">
        <v>4.02</v>
      </c>
      <c r="N4152" s="182" t="n">
        <v>0</v>
      </c>
      <c r="O4152" s="183" t="n">
        <v>13</v>
      </c>
      <c r="P4152" s="183" t="n">
        <v>0</v>
      </c>
      <c r="Q4152" s="184" t="n">
        <v>265.2</v>
      </c>
      <c r="R4152" s="184" t="n">
        <v>0</v>
      </c>
      <c r="S4152" s="183" t="n">
        <v>0</v>
      </c>
      <c r="T4152" s="183" t="n">
        <v>0</v>
      </c>
      <c r="U4152" s="182" t="n">
        <v>0</v>
      </c>
      <c r="V4152" s="182" t="n">
        <v>0</v>
      </c>
      <c r="W4152" s="182" t="n">
        <v>0.76</v>
      </c>
      <c r="X4152" s="182" t="n">
        <v>1.01</v>
      </c>
      <c r="Y4152" s="182" t="n">
        <v>0</v>
      </c>
      <c r="Z4152" s="182" t="n">
        <v>0</v>
      </c>
      <c r="AA4152" s="182" t="n">
        <v>0</v>
      </c>
      <c r="AB4152" s="182" t="n">
        <v>0</v>
      </c>
      <c r="AC4152" s="182" t="n">
        <v>0</v>
      </c>
      <c r="AD4152" s="182" t="n">
        <v>0</v>
      </c>
      <c r="AE4152" s="182" t="n">
        <v>0</v>
      </c>
      <c r="AF4152" s="182" t="n">
        <v>0</v>
      </c>
      <c r="AG4152" s="182" t="n">
        <v>0</v>
      </c>
      <c r="AH4152" s="182" t="n">
        <v>0</v>
      </c>
      <c r="AI4152" s="182" t="n">
        <v>6.13</v>
      </c>
      <c r="AJ4152" s="182" t="n">
        <v>0</v>
      </c>
      <c r="AK4152" s="182" t="n">
        <v>0</v>
      </c>
      <c r="AL4152" s="182" t="n">
        <v>0</v>
      </c>
      <c r="AM4152" s="182" t="n">
        <v>0.08</v>
      </c>
      <c r="AN4152" s="182" t="n">
        <v>0</v>
      </c>
    </row>
    <row r="4153">
      <c r="A4153" s="155" t="n">
        <v>46100</v>
      </c>
      <c r="B4153" s="156" t="inlineStr">
        <is>
          <t>NS</t>
        </is>
      </c>
      <c r="C4153" s="156" t="inlineStr">
        <is>
          <t>DT-512</t>
        </is>
      </c>
      <c r="D4153" s="156" t="inlineStr">
        <is>
          <t>SKT 105S</t>
        </is>
      </c>
      <c r="E4153" s="156" t="inlineStr">
        <is>
          <t>Hauler</t>
        </is>
      </c>
      <c r="F4153" s="156" t="inlineStr">
        <is>
          <t>Hauling OB</t>
        </is>
      </c>
      <c r="G4153" s="182" t="n">
        <v>5.17</v>
      </c>
      <c r="H4153" s="182" t="n">
        <v>0</v>
      </c>
      <c r="I4153" s="182" t="n">
        <v>6</v>
      </c>
      <c r="J4153" s="182" t="n">
        <v>6</v>
      </c>
      <c r="K4153" s="182" t="n">
        <v>0.83</v>
      </c>
      <c r="L4153" s="182" t="n">
        <v>12</v>
      </c>
      <c r="M4153" s="182" t="n">
        <v>5.17</v>
      </c>
      <c r="N4153" s="182" t="n">
        <v>0</v>
      </c>
      <c r="O4153" s="183" t="n">
        <v>27</v>
      </c>
      <c r="P4153" s="183" t="n">
        <v>0</v>
      </c>
      <c r="Q4153" s="184" t="n">
        <v>550.8</v>
      </c>
      <c r="R4153" s="184" t="n">
        <v>0</v>
      </c>
      <c r="S4153" s="183" t="n">
        <v>0</v>
      </c>
      <c r="T4153" s="183" t="n">
        <v>0</v>
      </c>
      <c r="U4153" s="182" t="n">
        <v>0</v>
      </c>
      <c r="V4153" s="182" t="n">
        <v>0</v>
      </c>
      <c r="W4153" s="182" t="n">
        <v>0</v>
      </c>
      <c r="X4153" s="182" t="n">
        <v>0.75</v>
      </c>
      <c r="Y4153" s="182" t="n">
        <v>0</v>
      </c>
      <c r="Z4153" s="182" t="n">
        <v>0</v>
      </c>
      <c r="AA4153" s="182" t="n">
        <v>0</v>
      </c>
      <c r="AB4153" s="182" t="n">
        <v>0</v>
      </c>
      <c r="AC4153" s="182" t="n">
        <v>0</v>
      </c>
      <c r="AD4153" s="182" t="n">
        <v>0</v>
      </c>
      <c r="AE4153" s="182" t="n">
        <v>0</v>
      </c>
      <c r="AF4153" s="182" t="n">
        <v>0</v>
      </c>
      <c r="AG4153" s="182" t="n">
        <v>0</v>
      </c>
      <c r="AH4153" s="182" t="n">
        <v>0</v>
      </c>
      <c r="AI4153" s="182" t="n">
        <v>0</v>
      </c>
      <c r="AJ4153" s="182" t="n">
        <v>0</v>
      </c>
      <c r="AK4153" s="182" t="n">
        <v>0</v>
      </c>
      <c r="AL4153" s="182" t="n">
        <v>0</v>
      </c>
      <c r="AM4153" s="182" t="n">
        <v>0.08</v>
      </c>
      <c r="AN4153" s="182" t="n">
        <v>0</v>
      </c>
    </row>
    <row r="4154">
      <c r="A4154" s="155" t="n">
        <v>46100</v>
      </c>
      <c r="B4154" s="156" t="inlineStr">
        <is>
          <t>NS</t>
        </is>
      </c>
      <c r="C4154" s="156" t="inlineStr">
        <is>
          <t>DT-522</t>
        </is>
      </c>
      <c r="D4154" s="156" t="inlineStr">
        <is>
          <t>SKT 105S</t>
        </is>
      </c>
      <c r="E4154" s="156" t="inlineStr">
        <is>
          <t>Hauler</t>
        </is>
      </c>
      <c r="F4154" s="156" t="inlineStr">
        <is>
          <t>Hauling OB</t>
        </is>
      </c>
      <c r="G4154" s="182" t="n">
        <v>9.289999999999999</v>
      </c>
      <c r="H4154" s="182" t="n">
        <v>0</v>
      </c>
      <c r="I4154" s="182" t="n">
        <v>0</v>
      </c>
      <c r="J4154" s="182" t="n">
        <v>0</v>
      </c>
      <c r="K4154" s="182" t="n">
        <v>2.71</v>
      </c>
      <c r="L4154" s="182" t="n">
        <v>12</v>
      </c>
      <c r="M4154" s="182" t="n">
        <v>9.289999999999999</v>
      </c>
      <c r="N4154" s="182" t="n">
        <v>0</v>
      </c>
      <c r="O4154" s="183" t="n">
        <v>32</v>
      </c>
      <c r="P4154" s="183" t="n">
        <v>0</v>
      </c>
      <c r="Q4154" s="184" t="n">
        <v>652.8</v>
      </c>
      <c r="R4154" s="184" t="n">
        <v>0</v>
      </c>
      <c r="S4154" s="183" t="n">
        <v>0</v>
      </c>
      <c r="T4154" s="183" t="n">
        <v>0</v>
      </c>
      <c r="U4154" s="182" t="n">
        <v>0</v>
      </c>
      <c r="V4154" s="182" t="n">
        <v>0</v>
      </c>
      <c r="W4154" s="182" t="n">
        <v>0.85</v>
      </c>
      <c r="X4154" s="182" t="n">
        <v>1.13</v>
      </c>
      <c r="Y4154" s="182" t="n">
        <v>0</v>
      </c>
      <c r="Z4154" s="182" t="n">
        <v>0</v>
      </c>
      <c r="AA4154" s="182" t="n">
        <v>0</v>
      </c>
      <c r="AB4154" s="182" t="n">
        <v>0</v>
      </c>
      <c r="AC4154" s="182" t="n">
        <v>0</v>
      </c>
      <c r="AD4154" s="182" t="n">
        <v>0</v>
      </c>
      <c r="AE4154" s="182" t="n">
        <v>0</v>
      </c>
      <c r="AF4154" s="182" t="n">
        <v>0</v>
      </c>
      <c r="AG4154" s="182" t="n">
        <v>0</v>
      </c>
      <c r="AH4154" s="182" t="n">
        <v>0.64</v>
      </c>
      <c r="AI4154" s="182" t="n">
        <v>0</v>
      </c>
      <c r="AJ4154" s="182" t="n">
        <v>0</v>
      </c>
      <c r="AK4154" s="182" t="n">
        <v>0</v>
      </c>
      <c r="AL4154" s="182" t="n">
        <v>0</v>
      </c>
      <c r="AM4154" s="182" t="n">
        <v>0.09</v>
      </c>
      <c r="AN4154" s="182" t="n">
        <v>0</v>
      </c>
    </row>
    <row r="4155">
      <c r="A4155" s="155" t="n">
        <v>46100</v>
      </c>
      <c r="B4155" s="156" t="inlineStr">
        <is>
          <t>NS</t>
        </is>
      </c>
      <c r="C4155" s="156" t="inlineStr">
        <is>
          <t>DT-517</t>
        </is>
      </c>
      <c r="D4155" s="156" t="inlineStr">
        <is>
          <t>SKT 105S</t>
        </is>
      </c>
      <c r="E4155" s="156" t="inlineStr">
        <is>
          <t>Hauler</t>
        </is>
      </c>
      <c r="F4155" s="156" t="inlineStr">
        <is>
          <t>Hauling OB</t>
        </is>
      </c>
      <c r="G4155" s="182" t="n">
        <v>10.16</v>
      </c>
      <c r="H4155" s="182" t="n">
        <v>0</v>
      </c>
      <c r="I4155" s="182" t="n">
        <v>0</v>
      </c>
      <c r="J4155" s="182" t="n">
        <v>0</v>
      </c>
      <c r="K4155" s="182" t="n">
        <v>1.84</v>
      </c>
      <c r="L4155" s="182" t="n">
        <v>12</v>
      </c>
      <c r="M4155" s="182" t="n">
        <v>10.16</v>
      </c>
      <c r="N4155" s="182" t="n">
        <v>0</v>
      </c>
      <c r="O4155" s="183" t="n">
        <v>58</v>
      </c>
      <c r="P4155" s="183" t="n">
        <v>0</v>
      </c>
      <c r="Q4155" s="184" t="n">
        <v>1183.2</v>
      </c>
      <c r="R4155" s="184" t="n">
        <v>0</v>
      </c>
      <c r="S4155" s="183" t="n">
        <v>0</v>
      </c>
      <c r="T4155" s="183" t="n">
        <v>0</v>
      </c>
      <c r="U4155" s="182" t="n">
        <v>0</v>
      </c>
      <c r="V4155" s="182" t="n">
        <v>0</v>
      </c>
      <c r="W4155" s="182" t="n">
        <v>0</v>
      </c>
      <c r="X4155" s="182" t="n">
        <v>0.97</v>
      </c>
      <c r="Y4155" s="182" t="n">
        <v>0</v>
      </c>
      <c r="Z4155" s="182" t="n">
        <v>0</v>
      </c>
      <c r="AA4155" s="182" t="n">
        <v>0</v>
      </c>
      <c r="AB4155" s="182" t="n">
        <v>0</v>
      </c>
      <c r="AC4155" s="182" t="n">
        <v>0</v>
      </c>
      <c r="AD4155" s="182" t="n">
        <v>0</v>
      </c>
      <c r="AE4155" s="182" t="n">
        <v>0</v>
      </c>
      <c r="AF4155" s="182" t="n">
        <v>0</v>
      </c>
      <c r="AG4155" s="182" t="n">
        <v>0</v>
      </c>
      <c r="AH4155" s="182" t="n">
        <v>0.79</v>
      </c>
      <c r="AI4155" s="182" t="n">
        <v>0</v>
      </c>
      <c r="AJ4155" s="182" t="n">
        <v>0</v>
      </c>
      <c r="AK4155" s="182" t="n">
        <v>0</v>
      </c>
      <c r="AL4155" s="182" t="n">
        <v>0</v>
      </c>
      <c r="AM4155" s="182" t="n">
        <v>0.08</v>
      </c>
      <c r="AN4155" s="182" t="n">
        <v>0</v>
      </c>
    </row>
    <row r="4156">
      <c r="A4156" s="155" t="n">
        <v>46100</v>
      </c>
      <c r="B4156" s="156" t="inlineStr">
        <is>
          <t>NS</t>
        </is>
      </c>
      <c r="C4156" s="156" t="inlineStr">
        <is>
          <t>DT-510</t>
        </is>
      </c>
      <c r="D4156" s="156" t="inlineStr">
        <is>
          <t>SKT 105S</t>
        </is>
      </c>
      <c r="E4156" s="156" t="inlineStr">
        <is>
          <t>Hauler</t>
        </is>
      </c>
      <c r="F4156" s="156" t="inlineStr"/>
      <c r="G4156" s="182" t="n">
        <v>0</v>
      </c>
      <c r="H4156" s="182" t="n">
        <v>0</v>
      </c>
      <c r="I4156" s="182" t="n">
        <v>0</v>
      </c>
      <c r="J4156" s="182" t="n">
        <v>0</v>
      </c>
      <c r="K4156" s="182" t="n">
        <v>12</v>
      </c>
      <c r="L4156" s="182" t="n">
        <v>12</v>
      </c>
      <c r="M4156" s="182" t="n">
        <v>0</v>
      </c>
      <c r="N4156" s="182" t="n">
        <v>0</v>
      </c>
      <c r="O4156" s="183" t="n">
        <v>0</v>
      </c>
      <c r="P4156" s="183" t="n">
        <v>0</v>
      </c>
      <c r="Q4156" s="184" t="n">
        <v>0</v>
      </c>
      <c r="R4156" s="184" t="n">
        <v>0</v>
      </c>
      <c r="S4156" s="183" t="n">
        <v>0</v>
      </c>
      <c r="T4156" s="183" t="n">
        <v>0</v>
      </c>
      <c r="U4156" s="182" t="n">
        <v>0</v>
      </c>
      <c r="V4156" s="182" t="n">
        <v>0</v>
      </c>
      <c r="W4156" s="182" t="n">
        <v>0</v>
      </c>
      <c r="X4156" s="182" t="n">
        <v>1</v>
      </c>
      <c r="Y4156" s="182" t="n">
        <v>0</v>
      </c>
      <c r="Z4156" s="182" t="n">
        <v>0</v>
      </c>
      <c r="AA4156" s="182" t="n">
        <v>0</v>
      </c>
      <c r="AB4156" s="182" t="n">
        <v>0</v>
      </c>
      <c r="AC4156" s="182" t="n">
        <v>0</v>
      </c>
      <c r="AD4156" s="182" t="n">
        <v>0</v>
      </c>
      <c r="AE4156" s="182" t="n">
        <v>0</v>
      </c>
      <c r="AF4156" s="182" t="n">
        <v>0</v>
      </c>
      <c r="AG4156" s="182" t="n">
        <v>0</v>
      </c>
      <c r="AH4156" s="182" t="n">
        <v>0</v>
      </c>
      <c r="AI4156" s="182" t="n">
        <v>10.92</v>
      </c>
      <c r="AJ4156" s="182" t="n">
        <v>0</v>
      </c>
      <c r="AK4156" s="182" t="n">
        <v>0</v>
      </c>
      <c r="AL4156" s="182" t="n">
        <v>0</v>
      </c>
      <c r="AM4156" s="182" t="n">
        <v>0.08</v>
      </c>
      <c r="AN4156" s="182" t="n">
        <v>0</v>
      </c>
    </row>
    <row r="4157">
      <c r="A4157" s="155" t="n">
        <v>46100</v>
      </c>
      <c r="B4157" s="156" t="inlineStr">
        <is>
          <t>NS</t>
        </is>
      </c>
      <c r="C4157" s="156" t="inlineStr">
        <is>
          <t>DT-521</t>
        </is>
      </c>
      <c r="D4157" s="156" t="inlineStr">
        <is>
          <t>SKT 105S</t>
        </is>
      </c>
      <c r="E4157" s="156" t="inlineStr">
        <is>
          <t>Hauler</t>
        </is>
      </c>
      <c r="F4157" s="156" t="inlineStr">
        <is>
          <t>Hauling Coal &amp; OB</t>
        </is>
      </c>
      <c r="G4157" s="182" t="n">
        <v>7.63</v>
      </c>
      <c r="H4157" s="182" t="n">
        <v>0</v>
      </c>
      <c r="I4157" s="182" t="n">
        <v>0</v>
      </c>
      <c r="J4157" s="182" t="n">
        <v>0</v>
      </c>
      <c r="K4157" s="182" t="n">
        <v>4.37</v>
      </c>
      <c r="L4157" s="182" t="n">
        <v>12</v>
      </c>
      <c r="M4157" s="182" t="n">
        <v>2.37</v>
      </c>
      <c r="N4157" s="182" t="n">
        <v>5.26</v>
      </c>
      <c r="O4157" s="183" t="n">
        <v>8</v>
      </c>
      <c r="P4157" s="183" t="n">
        <v>15</v>
      </c>
      <c r="Q4157" s="184" t="n">
        <v>163.2</v>
      </c>
      <c r="R4157" s="184" t="n">
        <v>280.5</v>
      </c>
      <c r="S4157" s="183" t="n">
        <v>0</v>
      </c>
      <c r="T4157" s="183" t="n">
        <v>0</v>
      </c>
      <c r="U4157" s="182" t="n">
        <v>0</v>
      </c>
      <c r="V4157" s="182" t="n">
        <v>0</v>
      </c>
      <c r="W4157" s="182" t="n">
        <v>3.34</v>
      </c>
      <c r="X4157" s="182" t="n">
        <v>0.95</v>
      </c>
      <c r="Y4157" s="182" t="n">
        <v>0</v>
      </c>
      <c r="Z4157" s="182" t="n">
        <v>0</v>
      </c>
      <c r="AA4157" s="182" t="n">
        <v>0</v>
      </c>
      <c r="AB4157" s="182" t="n">
        <v>0</v>
      </c>
      <c r="AC4157" s="182" t="n">
        <v>0</v>
      </c>
      <c r="AD4157" s="182" t="n">
        <v>0</v>
      </c>
      <c r="AE4157" s="182" t="n">
        <v>0</v>
      </c>
      <c r="AF4157" s="182" t="n">
        <v>0</v>
      </c>
      <c r="AG4157" s="182" t="n">
        <v>0</v>
      </c>
      <c r="AH4157" s="182" t="n">
        <v>0</v>
      </c>
      <c r="AI4157" s="182" t="n">
        <v>0</v>
      </c>
      <c r="AJ4157" s="182" t="n">
        <v>0</v>
      </c>
      <c r="AK4157" s="182" t="n">
        <v>0</v>
      </c>
      <c r="AL4157" s="182" t="n">
        <v>0</v>
      </c>
      <c r="AM4157" s="182" t="n">
        <v>0.08</v>
      </c>
      <c r="AN4157" s="182" t="n">
        <v>0</v>
      </c>
    </row>
    <row r="4158">
      <c r="A4158" s="155" t="n">
        <v>46100</v>
      </c>
      <c r="B4158" s="156" t="inlineStr">
        <is>
          <t>NS</t>
        </is>
      </c>
      <c r="C4158" s="156" t="inlineStr">
        <is>
          <t>DT-516</t>
        </is>
      </c>
      <c r="D4158" s="156" t="inlineStr">
        <is>
          <t>SKT 105S</t>
        </is>
      </c>
      <c r="E4158" s="156" t="inlineStr">
        <is>
          <t>Hauler</t>
        </is>
      </c>
      <c r="F4158" s="156" t="inlineStr">
        <is>
          <t>Hauling Coal &amp; OB</t>
        </is>
      </c>
      <c r="G4158" s="182" t="n">
        <v>9.17</v>
      </c>
      <c r="H4158" s="182" t="n">
        <v>0</v>
      </c>
      <c r="I4158" s="182" t="n">
        <v>0</v>
      </c>
      <c r="J4158" s="182" t="n">
        <v>0</v>
      </c>
      <c r="K4158" s="182" t="n">
        <v>2.83</v>
      </c>
      <c r="L4158" s="182" t="n">
        <v>12</v>
      </c>
      <c r="M4158" s="182" t="n">
        <v>8.199999999999999</v>
      </c>
      <c r="N4158" s="182" t="n">
        <v>0.98</v>
      </c>
      <c r="O4158" s="183" t="n">
        <v>31</v>
      </c>
      <c r="P4158" s="183" t="n">
        <v>2</v>
      </c>
      <c r="Q4158" s="184" t="n">
        <v>632.4</v>
      </c>
      <c r="R4158" s="184" t="n">
        <v>37.4</v>
      </c>
      <c r="S4158" s="183" t="n">
        <v>0</v>
      </c>
      <c r="T4158" s="183" t="n">
        <v>0</v>
      </c>
      <c r="U4158" s="182" t="n">
        <v>0</v>
      </c>
      <c r="V4158" s="182" t="n">
        <v>0</v>
      </c>
      <c r="W4158" s="182" t="n">
        <v>0.82</v>
      </c>
      <c r="X4158" s="182" t="n">
        <v>1.09</v>
      </c>
      <c r="Y4158" s="182" t="n">
        <v>0</v>
      </c>
      <c r="Z4158" s="182" t="n">
        <v>0</v>
      </c>
      <c r="AA4158" s="182" t="n">
        <v>0</v>
      </c>
      <c r="AB4158" s="182" t="n">
        <v>0</v>
      </c>
      <c r="AC4158" s="182" t="n">
        <v>0</v>
      </c>
      <c r="AD4158" s="182" t="n">
        <v>0</v>
      </c>
      <c r="AE4158" s="182" t="n">
        <v>0</v>
      </c>
      <c r="AF4158" s="182" t="n">
        <v>0</v>
      </c>
      <c r="AG4158" s="182" t="n">
        <v>0</v>
      </c>
      <c r="AH4158" s="182" t="n">
        <v>0.84</v>
      </c>
      <c r="AI4158" s="182" t="n">
        <v>0</v>
      </c>
      <c r="AJ4158" s="182" t="n">
        <v>0</v>
      </c>
      <c r="AK4158" s="182" t="n">
        <v>0</v>
      </c>
      <c r="AL4158" s="182" t="n">
        <v>0</v>
      </c>
      <c r="AM4158" s="182" t="n">
        <v>0.09</v>
      </c>
      <c r="AN4158" s="182" t="n">
        <v>0</v>
      </c>
    </row>
    <row r="4159">
      <c r="A4159" s="155" t="n">
        <v>46100</v>
      </c>
      <c r="B4159" s="156" t="inlineStr">
        <is>
          <t>NS</t>
        </is>
      </c>
      <c r="C4159" s="156" t="inlineStr">
        <is>
          <t>DT-506</t>
        </is>
      </c>
      <c r="D4159" s="156" t="inlineStr">
        <is>
          <t>SKT 105S</t>
        </is>
      </c>
      <c r="E4159" s="156" t="inlineStr">
        <is>
          <t>Hauler</t>
        </is>
      </c>
      <c r="F4159" s="156" t="inlineStr">
        <is>
          <t>Hauling OB</t>
        </is>
      </c>
      <c r="G4159" s="182" t="n">
        <v>10.79</v>
      </c>
      <c r="H4159" s="182" t="n">
        <v>0</v>
      </c>
      <c r="I4159" s="182" t="n">
        <v>0</v>
      </c>
      <c r="J4159" s="182" t="n">
        <v>0</v>
      </c>
      <c r="K4159" s="182" t="n">
        <v>1.21</v>
      </c>
      <c r="L4159" s="182" t="n">
        <v>12</v>
      </c>
      <c r="M4159" s="182" t="n">
        <v>10.79</v>
      </c>
      <c r="N4159" s="182" t="n">
        <v>0</v>
      </c>
      <c r="O4159" s="183" t="n">
        <v>58</v>
      </c>
      <c r="P4159" s="183" t="n">
        <v>0</v>
      </c>
      <c r="Q4159" s="184" t="n">
        <v>1183.2</v>
      </c>
      <c r="R4159" s="184" t="n">
        <v>0</v>
      </c>
      <c r="S4159" s="183" t="n">
        <v>0</v>
      </c>
      <c r="T4159" s="183" t="n">
        <v>0</v>
      </c>
      <c r="U4159" s="182" t="n">
        <v>0</v>
      </c>
      <c r="V4159" s="182" t="n">
        <v>0</v>
      </c>
      <c r="W4159" s="182" t="n">
        <v>0</v>
      </c>
      <c r="X4159" s="182" t="n">
        <v>0.8100000000000001</v>
      </c>
      <c r="Y4159" s="182" t="n">
        <v>0</v>
      </c>
      <c r="Z4159" s="182" t="n">
        <v>0</v>
      </c>
      <c r="AA4159" s="182" t="n">
        <v>0</v>
      </c>
      <c r="AB4159" s="182" t="n">
        <v>0</v>
      </c>
      <c r="AC4159" s="182" t="n">
        <v>0</v>
      </c>
      <c r="AD4159" s="182" t="n">
        <v>0</v>
      </c>
      <c r="AE4159" s="182" t="n">
        <v>0</v>
      </c>
      <c r="AF4159" s="182" t="n">
        <v>0</v>
      </c>
      <c r="AG4159" s="182" t="n">
        <v>0</v>
      </c>
      <c r="AH4159" s="182" t="n">
        <v>0.34</v>
      </c>
      <c r="AI4159" s="182" t="n">
        <v>0</v>
      </c>
      <c r="AJ4159" s="182" t="n">
        <v>0</v>
      </c>
      <c r="AK4159" s="182" t="n">
        <v>0</v>
      </c>
      <c r="AL4159" s="182" t="n">
        <v>0</v>
      </c>
      <c r="AM4159" s="182" t="n">
        <v>0.06</v>
      </c>
      <c r="AN4159" s="182" t="n">
        <v>0</v>
      </c>
    </row>
    <row r="4160">
      <c r="A4160" s="155" t="n">
        <v>46100</v>
      </c>
      <c r="B4160" s="156" t="inlineStr">
        <is>
          <t>NS</t>
        </is>
      </c>
      <c r="C4160" s="156" t="inlineStr">
        <is>
          <t>DT-502</t>
        </is>
      </c>
      <c r="D4160" s="156" t="inlineStr">
        <is>
          <t>SKT 105S</t>
        </is>
      </c>
      <c r="E4160" s="156" t="inlineStr">
        <is>
          <t>Hauler</t>
        </is>
      </c>
      <c r="F4160" s="156" t="inlineStr"/>
      <c r="G4160" s="182" t="n">
        <v>0</v>
      </c>
      <c r="H4160" s="182" t="n">
        <v>0</v>
      </c>
      <c r="I4160" s="182" t="n">
        <v>12</v>
      </c>
      <c r="J4160" s="182" t="n">
        <v>12</v>
      </c>
      <c r="K4160" s="182" t="n">
        <v>0</v>
      </c>
      <c r="L4160" s="182" t="n">
        <v>12</v>
      </c>
      <c r="M4160" s="182" t="n">
        <v>0</v>
      </c>
      <c r="N4160" s="182" t="n">
        <v>0</v>
      </c>
      <c r="O4160" s="183" t="n">
        <v>0</v>
      </c>
      <c r="P4160" s="183" t="n">
        <v>0</v>
      </c>
      <c r="Q4160" s="184" t="n">
        <v>0</v>
      </c>
      <c r="R4160" s="184" t="n">
        <v>0</v>
      </c>
      <c r="S4160" s="183" t="n">
        <v>0</v>
      </c>
      <c r="T4160" s="183" t="n">
        <v>0</v>
      </c>
      <c r="U4160" s="182" t="n">
        <v>0</v>
      </c>
      <c r="V4160" s="182" t="n">
        <v>0</v>
      </c>
      <c r="W4160" s="182" t="n">
        <v>0</v>
      </c>
      <c r="X4160" s="182" t="n">
        <v>0</v>
      </c>
      <c r="Y4160" s="182" t="n">
        <v>0</v>
      </c>
      <c r="Z4160" s="182" t="n">
        <v>0</v>
      </c>
      <c r="AA4160" s="182" t="n">
        <v>0</v>
      </c>
      <c r="AB4160" s="182" t="n">
        <v>0</v>
      </c>
      <c r="AC4160" s="182" t="n">
        <v>0</v>
      </c>
      <c r="AD4160" s="182" t="n">
        <v>0</v>
      </c>
      <c r="AE4160" s="182" t="n">
        <v>0</v>
      </c>
      <c r="AF4160" s="182" t="n">
        <v>0</v>
      </c>
      <c r="AG4160" s="182" t="n">
        <v>0</v>
      </c>
      <c r="AH4160" s="182" t="n">
        <v>0</v>
      </c>
      <c r="AI4160" s="182" t="n">
        <v>0</v>
      </c>
      <c r="AJ4160" s="182" t="n">
        <v>0</v>
      </c>
      <c r="AK4160" s="182" t="n">
        <v>0</v>
      </c>
      <c r="AL4160" s="182" t="n">
        <v>0</v>
      </c>
      <c r="AM4160" s="182" t="n">
        <v>0</v>
      </c>
      <c r="AN4160" s="182" t="n">
        <v>0</v>
      </c>
    </row>
    <row r="4161">
      <c r="A4161" s="155" t="n">
        <v>46100</v>
      </c>
      <c r="B4161" s="156" t="inlineStr">
        <is>
          <t>NS</t>
        </is>
      </c>
      <c r="C4161" s="156" t="inlineStr">
        <is>
          <t>DT-528</t>
        </is>
      </c>
      <c r="D4161" s="156" t="inlineStr">
        <is>
          <t>SKT 105S</t>
        </is>
      </c>
      <c r="E4161" s="156" t="inlineStr">
        <is>
          <t>Hauler</t>
        </is>
      </c>
      <c r="F4161" s="156" t="inlineStr">
        <is>
          <t>Hauling Coal &amp; OB</t>
        </is>
      </c>
      <c r="G4161" s="182" t="n">
        <v>3.99</v>
      </c>
      <c r="H4161" s="182" t="n">
        <v>0</v>
      </c>
      <c r="I4161" s="182" t="n">
        <v>0</v>
      </c>
      <c r="J4161" s="182" t="n">
        <v>0</v>
      </c>
      <c r="K4161" s="182" t="n">
        <v>8.01</v>
      </c>
      <c r="L4161" s="182" t="n">
        <v>12</v>
      </c>
      <c r="M4161" s="182" t="n">
        <v>3.06</v>
      </c>
      <c r="N4161" s="182" t="n">
        <v>0.93</v>
      </c>
      <c r="O4161" s="183" t="n">
        <v>12</v>
      </c>
      <c r="P4161" s="183" t="n">
        <v>2</v>
      </c>
      <c r="Q4161" s="184" t="n">
        <v>244.8</v>
      </c>
      <c r="R4161" s="184" t="n">
        <v>37.4</v>
      </c>
      <c r="S4161" s="183" t="n">
        <v>0</v>
      </c>
      <c r="T4161" s="183" t="n">
        <v>0</v>
      </c>
      <c r="U4161" s="182" t="n">
        <v>0</v>
      </c>
      <c r="V4161" s="182" t="n">
        <v>0</v>
      </c>
      <c r="W4161" s="182" t="n">
        <v>0.78</v>
      </c>
      <c r="X4161" s="182" t="n">
        <v>1.04</v>
      </c>
      <c r="Y4161" s="182" t="n">
        <v>0</v>
      </c>
      <c r="Z4161" s="182" t="n">
        <v>0</v>
      </c>
      <c r="AA4161" s="182" t="n">
        <v>0</v>
      </c>
      <c r="AB4161" s="182" t="n">
        <v>0</v>
      </c>
      <c r="AC4161" s="182" t="n">
        <v>0</v>
      </c>
      <c r="AD4161" s="182" t="n">
        <v>0</v>
      </c>
      <c r="AE4161" s="182" t="n">
        <v>0</v>
      </c>
      <c r="AF4161" s="182" t="n">
        <v>0</v>
      </c>
      <c r="AG4161" s="182" t="n">
        <v>0</v>
      </c>
      <c r="AH4161" s="182" t="n">
        <v>0</v>
      </c>
      <c r="AI4161" s="182" t="n">
        <v>6.11</v>
      </c>
      <c r="AJ4161" s="182" t="n">
        <v>0</v>
      </c>
      <c r="AK4161" s="182" t="n">
        <v>0</v>
      </c>
      <c r="AL4161" s="182" t="n">
        <v>0</v>
      </c>
      <c r="AM4161" s="182" t="n">
        <v>0.08</v>
      </c>
      <c r="AN4161" s="182" t="n">
        <v>0</v>
      </c>
    </row>
    <row r="4162">
      <c r="A4162" s="155" t="n">
        <v>46100</v>
      </c>
      <c r="B4162" s="156" t="inlineStr">
        <is>
          <t>NS</t>
        </is>
      </c>
      <c r="C4162" s="156" t="inlineStr">
        <is>
          <t>DT-529</t>
        </is>
      </c>
      <c r="D4162" s="156" t="inlineStr">
        <is>
          <t>SKT 105S</t>
        </is>
      </c>
      <c r="E4162" s="156" t="inlineStr">
        <is>
          <t>Hauler</t>
        </is>
      </c>
      <c r="F4162" s="156" t="inlineStr">
        <is>
          <t>Hauling OB</t>
        </is>
      </c>
      <c r="G4162" s="182" t="n">
        <v>7.36</v>
      </c>
      <c r="H4162" s="182" t="n">
        <v>0</v>
      </c>
      <c r="I4162" s="182" t="n">
        <v>0</v>
      </c>
      <c r="J4162" s="182" t="n">
        <v>0</v>
      </c>
      <c r="K4162" s="182" t="n">
        <v>4.64</v>
      </c>
      <c r="L4162" s="182" t="n">
        <v>12</v>
      </c>
      <c r="M4162" s="182" t="n">
        <v>7.36</v>
      </c>
      <c r="N4162" s="182" t="n">
        <v>0</v>
      </c>
      <c r="O4162" s="183" t="n">
        <v>32</v>
      </c>
      <c r="P4162" s="183" t="n">
        <v>0</v>
      </c>
      <c r="Q4162" s="184" t="n">
        <v>652.8</v>
      </c>
      <c r="R4162" s="184" t="n">
        <v>0</v>
      </c>
      <c r="S4162" s="183" t="n">
        <v>0</v>
      </c>
      <c r="T4162" s="183" t="n">
        <v>0</v>
      </c>
      <c r="U4162" s="182" t="n">
        <v>0</v>
      </c>
      <c r="V4162" s="182" t="n">
        <v>0</v>
      </c>
      <c r="W4162" s="182" t="n">
        <v>0</v>
      </c>
      <c r="X4162" s="182" t="n">
        <v>0.95</v>
      </c>
      <c r="Y4162" s="182" t="n">
        <v>0</v>
      </c>
      <c r="Z4162" s="182" t="n">
        <v>0</v>
      </c>
      <c r="AA4162" s="182" t="n">
        <v>0</v>
      </c>
      <c r="AB4162" s="182" t="n">
        <v>0</v>
      </c>
      <c r="AC4162" s="182" t="n">
        <v>0</v>
      </c>
      <c r="AD4162" s="182" t="n">
        <v>0</v>
      </c>
      <c r="AE4162" s="182" t="n">
        <v>0</v>
      </c>
      <c r="AF4162" s="182" t="n">
        <v>0</v>
      </c>
      <c r="AG4162" s="182" t="n">
        <v>0</v>
      </c>
      <c r="AH4162" s="182" t="n">
        <v>0</v>
      </c>
      <c r="AI4162" s="182" t="n">
        <v>0</v>
      </c>
      <c r="AJ4162" s="182" t="n">
        <v>0</v>
      </c>
      <c r="AK4162" s="182" t="n">
        <v>3.62</v>
      </c>
      <c r="AL4162" s="182" t="n">
        <v>0</v>
      </c>
      <c r="AM4162" s="182" t="n">
        <v>0.08</v>
      </c>
      <c r="AN4162" s="182" t="n">
        <v>0</v>
      </c>
    </row>
    <row r="4163">
      <c r="A4163" s="155" t="n">
        <v>46100</v>
      </c>
      <c r="B4163" s="156" t="inlineStr">
        <is>
          <t>NS</t>
        </is>
      </c>
      <c r="C4163" s="156" t="inlineStr">
        <is>
          <t>DT-520</t>
        </is>
      </c>
      <c r="D4163" s="156" t="inlineStr">
        <is>
          <t>SKT 105S</t>
        </is>
      </c>
      <c r="E4163" s="156" t="inlineStr">
        <is>
          <t>Hauler</t>
        </is>
      </c>
      <c r="F4163" s="156" t="inlineStr">
        <is>
          <t>Hauling OB</t>
        </is>
      </c>
      <c r="G4163" s="182" t="n">
        <v>9.83</v>
      </c>
      <c r="H4163" s="182" t="n">
        <v>0</v>
      </c>
      <c r="I4163" s="182" t="n">
        <v>0</v>
      </c>
      <c r="J4163" s="182" t="n">
        <v>0</v>
      </c>
      <c r="K4163" s="182" t="n">
        <v>2.17</v>
      </c>
      <c r="L4163" s="182" t="n">
        <v>12</v>
      </c>
      <c r="M4163" s="182" t="n">
        <v>9.83</v>
      </c>
      <c r="N4163" s="182" t="n">
        <v>0</v>
      </c>
      <c r="O4163" s="183" t="n">
        <v>35</v>
      </c>
      <c r="P4163" s="183" t="n">
        <v>0</v>
      </c>
      <c r="Q4163" s="184" t="n">
        <v>714</v>
      </c>
      <c r="R4163" s="184" t="n">
        <v>0</v>
      </c>
      <c r="S4163" s="183" t="n">
        <v>0</v>
      </c>
      <c r="T4163" s="183" t="n">
        <v>0</v>
      </c>
      <c r="U4163" s="182" t="n">
        <v>0</v>
      </c>
      <c r="V4163" s="182" t="n">
        <v>0</v>
      </c>
      <c r="W4163" s="182" t="n">
        <v>0.68</v>
      </c>
      <c r="X4163" s="182" t="n">
        <v>0.9</v>
      </c>
      <c r="Y4163" s="182" t="n">
        <v>0</v>
      </c>
      <c r="Z4163" s="182" t="n">
        <v>0</v>
      </c>
      <c r="AA4163" s="182" t="n">
        <v>0</v>
      </c>
      <c r="AB4163" s="182" t="n">
        <v>0</v>
      </c>
      <c r="AC4163" s="182" t="n">
        <v>0</v>
      </c>
      <c r="AD4163" s="182" t="n">
        <v>0</v>
      </c>
      <c r="AE4163" s="182" t="n">
        <v>0</v>
      </c>
      <c r="AF4163" s="182" t="n">
        <v>0</v>
      </c>
      <c r="AG4163" s="182" t="n">
        <v>0</v>
      </c>
      <c r="AH4163" s="182" t="n">
        <v>0.52</v>
      </c>
      <c r="AI4163" s="182" t="n">
        <v>0</v>
      </c>
      <c r="AJ4163" s="182" t="n">
        <v>0</v>
      </c>
      <c r="AK4163" s="182" t="n">
        <v>0</v>
      </c>
      <c r="AL4163" s="182" t="n">
        <v>0</v>
      </c>
      <c r="AM4163" s="182" t="n">
        <v>0.07000000000000001</v>
      </c>
      <c r="AN4163" s="182" t="n">
        <v>0</v>
      </c>
    </row>
    <row r="4164">
      <c r="A4164" s="155" t="n">
        <v>46100</v>
      </c>
      <c r="B4164" s="156" t="inlineStr">
        <is>
          <t>NS</t>
        </is>
      </c>
      <c r="C4164" s="156" t="inlineStr">
        <is>
          <t>DT-511</t>
        </is>
      </c>
      <c r="D4164" s="156" t="inlineStr">
        <is>
          <t>SKT 105S</t>
        </is>
      </c>
      <c r="E4164" s="156" t="inlineStr">
        <is>
          <t>Hauler</t>
        </is>
      </c>
      <c r="F4164" s="156" t="inlineStr"/>
      <c r="G4164" s="182" t="n">
        <v>0</v>
      </c>
      <c r="H4164" s="182" t="n">
        <v>0</v>
      </c>
      <c r="I4164" s="182" t="n">
        <v>12</v>
      </c>
      <c r="J4164" s="182" t="n">
        <v>12</v>
      </c>
      <c r="K4164" s="182" t="n">
        <v>0</v>
      </c>
      <c r="L4164" s="182" t="n">
        <v>12</v>
      </c>
      <c r="M4164" s="182" t="n">
        <v>0</v>
      </c>
      <c r="N4164" s="182" t="n">
        <v>0</v>
      </c>
      <c r="O4164" s="183" t="n">
        <v>0</v>
      </c>
      <c r="P4164" s="183" t="n">
        <v>0</v>
      </c>
      <c r="Q4164" s="184" t="n">
        <v>0</v>
      </c>
      <c r="R4164" s="184" t="n">
        <v>0</v>
      </c>
      <c r="S4164" s="183" t="n">
        <v>0</v>
      </c>
      <c r="T4164" s="183" t="n">
        <v>0</v>
      </c>
      <c r="U4164" s="182" t="n">
        <v>0</v>
      </c>
      <c r="V4164" s="182" t="n">
        <v>0</v>
      </c>
      <c r="W4164" s="182" t="n">
        <v>0</v>
      </c>
      <c r="X4164" s="182" t="n">
        <v>0</v>
      </c>
      <c r="Y4164" s="182" t="n">
        <v>0</v>
      </c>
      <c r="Z4164" s="182" t="n">
        <v>0</v>
      </c>
      <c r="AA4164" s="182" t="n">
        <v>0</v>
      </c>
      <c r="AB4164" s="182" t="n">
        <v>0</v>
      </c>
      <c r="AC4164" s="182" t="n">
        <v>0</v>
      </c>
      <c r="AD4164" s="182" t="n">
        <v>0</v>
      </c>
      <c r="AE4164" s="182" t="n">
        <v>0</v>
      </c>
      <c r="AF4164" s="182" t="n">
        <v>0</v>
      </c>
      <c r="AG4164" s="182" t="n">
        <v>0</v>
      </c>
      <c r="AH4164" s="182" t="n">
        <v>0</v>
      </c>
      <c r="AI4164" s="182" t="n">
        <v>0</v>
      </c>
      <c r="AJ4164" s="182" t="n">
        <v>0</v>
      </c>
      <c r="AK4164" s="182" t="n">
        <v>0</v>
      </c>
      <c r="AL4164" s="182" t="n">
        <v>0</v>
      </c>
      <c r="AM4164" s="182" t="n">
        <v>0</v>
      </c>
      <c r="AN4164" s="182" t="n">
        <v>0</v>
      </c>
    </row>
    <row r="4165">
      <c r="A4165" s="155" t="n">
        <v>46100</v>
      </c>
      <c r="B4165" s="156" t="inlineStr">
        <is>
          <t>NS</t>
        </is>
      </c>
      <c r="C4165" s="156" t="inlineStr">
        <is>
          <t>DT-509</t>
        </is>
      </c>
      <c r="D4165" s="156" t="inlineStr">
        <is>
          <t>SKT 105S</t>
        </is>
      </c>
      <c r="E4165" s="156" t="inlineStr">
        <is>
          <t>Hauler</t>
        </is>
      </c>
      <c r="F4165" s="156" t="inlineStr"/>
      <c r="G4165" s="182" t="n">
        <v>0</v>
      </c>
      <c r="H4165" s="182" t="n">
        <v>0</v>
      </c>
      <c r="I4165" s="182" t="n">
        <v>12</v>
      </c>
      <c r="J4165" s="182" t="n">
        <v>12</v>
      </c>
      <c r="K4165" s="182" t="n">
        <v>0</v>
      </c>
      <c r="L4165" s="182" t="n">
        <v>12</v>
      </c>
      <c r="M4165" s="182" t="n">
        <v>0</v>
      </c>
      <c r="N4165" s="182" t="n">
        <v>0</v>
      </c>
      <c r="O4165" s="183" t="n">
        <v>0</v>
      </c>
      <c r="P4165" s="183" t="n">
        <v>0</v>
      </c>
      <c r="Q4165" s="184" t="n">
        <v>0</v>
      </c>
      <c r="R4165" s="184" t="n">
        <v>0</v>
      </c>
      <c r="S4165" s="183" t="n">
        <v>0</v>
      </c>
      <c r="T4165" s="183" t="n">
        <v>0</v>
      </c>
      <c r="U4165" s="182" t="n">
        <v>0</v>
      </c>
      <c r="V4165" s="182" t="n">
        <v>0</v>
      </c>
      <c r="W4165" s="182" t="n">
        <v>0</v>
      </c>
      <c r="X4165" s="182" t="n">
        <v>0</v>
      </c>
      <c r="Y4165" s="182" t="n">
        <v>0</v>
      </c>
      <c r="Z4165" s="182" t="n">
        <v>0</v>
      </c>
      <c r="AA4165" s="182" t="n">
        <v>0</v>
      </c>
      <c r="AB4165" s="182" t="n">
        <v>0</v>
      </c>
      <c r="AC4165" s="182" t="n">
        <v>0</v>
      </c>
      <c r="AD4165" s="182" t="n">
        <v>0</v>
      </c>
      <c r="AE4165" s="182" t="n">
        <v>0</v>
      </c>
      <c r="AF4165" s="182" t="n">
        <v>0</v>
      </c>
      <c r="AG4165" s="182" t="n">
        <v>0</v>
      </c>
      <c r="AH4165" s="182" t="n">
        <v>0</v>
      </c>
      <c r="AI4165" s="182" t="n">
        <v>0</v>
      </c>
      <c r="AJ4165" s="182" t="n">
        <v>0</v>
      </c>
      <c r="AK4165" s="182" t="n">
        <v>0</v>
      </c>
      <c r="AL4165" s="182" t="n">
        <v>0</v>
      </c>
      <c r="AM4165" s="182" t="n">
        <v>0</v>
      </c>
      <c r="AN4165" s="182" t="n">
        <v>0</v>
      </c>
    </row>
    <row r="4166">
      <c r="A4166" s="155" t="n">
        <v>46100</v>
      </c>
      <c r="B4166" s="156" t="inlineStr">
        <is>
          <t>NS</t>
        </is>
      </c>
      <c r="C4166" s="156" t="inlineStr">
        <is>
          <t>DT-526</t>
        </is>
      </c>
      <c r="D4166" s="156" t="inlineStr">
        <is>
          <t>SKT 105S</t>
        </is>
      </c>
      <c r="E4166" s="156" t="inlineStr">
        <is>
          <t>Hauler</t>
        </is>
      </c>
      <c r="F4166" s="156" t="inlineStr"/>
      <c r="G4166" s="182" t="n">
        <v>0</v>
      </c>
      <c r="H4166" s="182" t="n">
        <v>0</v>
      </c>
      <c r="I4166" s="182" t="n">
        <v>12</v>
      </c>
      <c r="J4166" s="182" t="n">
        <v>12</v>
      </c>
      <c r="K4166" s="182" t="n">
        <v>0</v>
      </c>
      <c r="L4166" s="182" t="n">
        <v>12</v>
      </c>
      <c r="M4166" s="182" t="n">
        <v>0</v>
      </c>
      <c r="N4166" s="182" t="n">
        <v>0</v>
      </c>
      <c r="O4166" s="183" t="n">
        <v>0</v>
      </c>
      <c r="P4166" s="183" t="n">
        <v>0</v>
      </c>
      <c r="Q4166" s="184" t="n">
        <v>0</v>
      </c>
      <c r="R4166" s="184" t="n">
        <v>0</v>
      </c>
      <c r="S4166" s="183" t="n">
        <v>0</v>
      </c>
      <c r="T4166" s="183" t="n">
        <v>0</v>
      </c>
      <c r="U4166" s="182" t="n">
        <v>0</v>
      </c>
      <c r="V4166" s="182" t="n">
        <v>0</v>
      </c>
      <c r="W4166" s="182" t="n">
        <v>0</v>
      </c>
      <c r="X4166" s="182" t="n">
        <v>0</v>
      </c>
      <c r="Y4166" s="182" t="n">
        <v>0</v>
      </c>
      <c r="Z4166" s="182" t="n">
        <v>0</v>
      </c>
      <c r="AA4166" s="182" t="n">
        <v>0</v>
      </c>
      <c r="AB4166" s="182" t="n">
        <v>0</v>
      </c>
      <c r="AC4166" s="182" t="n">
        <v>0</v>
      </c>
      <c r="AD4166" s="182" t="n">
        <v>0</v>
      </c>
      <c r="AE4166" s="182" t="n">
        <v>0</v>
      </c>
      <c r="AF4166" s="182" t="n">
        <v>0</v>
      </c>
      <c r="AG4166" s="182" t="n">
        <v>0</v>
      </c>
      <c r="AH4166" s="182" t="n">
        <v>0</v>
      </c>
      <c r="AI4166" s="182" t="n">
        <v>0</v>
      </c>
      <c r="AJ4166" s="182" t="n">
        <v>0</v>
      </c>
      <c r="AK4166" s="182" t="n">
        <v>0</v>
      </c>
      <c r="AL4166" s="182" t="n">
        <v>0</v>
      </c>
      <c r="AM4166" s="182" t="n">
        <v>0</v>
      </c>
      <c r="AN4166" s="182" t="n">
        <v>0</v>
      </c>
    </row>
    <row r="4167">
      <c r="A4167" s="155" t="n">
        <v>46100</v>
      </c>
      <c r="B4167" s="156" t="inlineStr">
        <is>
          <t>NS</t>
        </is>
      </c>
      <c r="C4167" s="156" t="inlineStr">
        <is>
          <t>DT-508</t>
        </is>
      </c>
      <c r="D4167" s="156" t="inlineStr">
        <is>
          <t>SKT 105S</t>
        </is>
      </c>
      <c r="E4167" s="156" t="inlineStr">
        <is>
          <t>Hauler</t>
        </is>
      </c>
      <c r="F4167" s="156" t="inlineStr">
        <is>
          <t>Travel ke WS</t>
        </is>
      </c>
      <c r="G4167" s="182" t="n">
        <v>0.98</v>
      </c>
      <c r="H4167" s="182" t="n">
        <v>0</v>
      </c>
      <c r="I4167" s="182" t="n">
        <v>0.75</v>
      </c>
      <c r="J4167" s="182" t="n">
        <v>0.75</v>
      </c>
      <c r="K4167" s="182" t="n">
        <v>10.27</v>
      </c>
      <c r="L4167" s="182" t="n">
        <v>12</v>
      </c>
      <c r="M4167" s="182" t="n">
        <v>0</v>
      </c>
      <c r="N4167" s="182" t="n">
        <v>0</v>
      </c>
      <c r="O4167" s="183" t="n">
        <v>0</v>
      </c>
      <c r="P4167" s="183" t="n">
        <v>0</v>
      </c>
      <c r="Q4167" s="184" t="n">
        <v>0</v>
      </c>
      <c r="R4167" s="184" t="n">
        <v>0</v>
      </c>
      <c r="S4167" s="183" t="n">
        <v>0</v>
      </c>
      <c r="T4167" s="183" t="n">
        <v>0</v>
      </c>
      <c r="U4167" s="182" t="n">
        <v>0</v>
      </c>
      <c r="V4167" s="182" t="n">
        <v>0</v>
      </c>
      <c r="W4167" s="182" t="n">
        <v>0</v>
      </c>
      <c r="X4167" s="182" t="n">
        <v>0.98</v>
      </c>
      <c r="Y4167" s="182" t="n">
        <v>0</v>
      </c>
      <c r="Z4167" s="182" t="n">
        <v>0</v>
      </c>
      <c r="AA4167" s="182" t="n">
        <v>0</v>
      </c>
      <c r="AB4167" s="182" t="n">
        <v>0</v>
      </c>
      <c r="AC4167" s="182" t="n">
        <v>0</v>
      </c>
      <c r="AD4167" s="182" t="n">
        <v>0</v>
      </c>
      <c r="AE4167" s="182" t="n">
        <v>0</v>
      </c>
      <c r="AF4167" s="182" t="n">
        <v>0</v>
      </c>
      <c r="AG4167" s="182" t="n">
        <v>0</v>
      </c>
      <c r="AH4167" s="182" t="n">
        <v>0</v>
      </c>
      <c r="AI4167" s="182" t="n">
        <v>9.210000000000001</v>
      </c>
      <c r="AJ4167" s="182" t="n">
        <v>0</v>
      </c>
      <c r="AK4167" s="182" t="n">
        <v>0</v>
      </c>
      <c r="AL4167" s="182" t="n">
        <v>0</v>
      </c>
      <c r="AM4167" s="182" t="n">
        <v>0.08</v>
      </c>
      <c r="AN4167" s="182" t="n">
        <v>0</v>
      </c>
    </row>
    <row r="4168">
      <c r="A4168" s="155" t="n">
        <v>46100</v>
      </c>
      <c r="B4168" s="156" t="inlineStr">
        <is>
          <t>NS</t>
        </is>
      </c>
      <c r="C4168" s="156" t="inlineStr">
        <is>
          <t>DT-515</t>
        </is>
      </c>
      <c r="D4168" s="156" t="inlineStr">
        <is>
          <t>SKT 105S</t>
        </is>
      </c>
      <c r="E4168" s="156" t="inlineStr">
        <is>
          <t>Hauler</t>
        </is>
      </c>
      <c r="F4168" s="156" t="inlineStr">
        <is>
          <t>Hauling OB</t>
        </is>
      </c>
      <c r="G4168" s="182" t="n">
        <v>6.03</v>
      </c>
      <c r="H4168" s="182" t="n">
        <v>0</v>
      </c>
      <c r="I4168" s="182" t="n">
        <v>0</v>
      </c>
      <c r="J4168" s="182" t="n">
        <v>0</v>
      </c>
      <c r="K4168" s="182" t="n">
        <v>5.97</v>
      </c>
      <c r="L4168" s="182" t="n">
        <v>12</v>
      </c>
      <c r="M4168" s="182" t="n">
        <v>6.03</v>
      </c>
      <c r="N4168" s="182" t="n">
        <v>0</v>
      </c>
      <c r="O4168" s="183" t="n">
        <v>19</v>
      </c>
      <c r="P4168" s="183" t="n">
        <v>0</v>
      </c>
      <c r="Q4168" s="184" t="n">
        <v>387.6</v>
      </c>
      <c r="R4168" s="184" t="n">
        <v>0</v>
      </c>
      <c r="S4168" s="183" t="n">
        <v>0</v>
      </c>
      <c r="T4168" s="183" t="n">
        <v>0</v>
      </c>
      <c r="U4168" s="182" t="n">
        <v>0</v>
      </c>
      <c r="V4168" s="182" t="n">
        <v>0</v>
      </c>
      <c r="W4168" s="182" t="n">
        <v>0.76</v>
      </c>
      <c r="X4168" s="182" t="n">
        <v>1.01</v>
      </c>
      <c r="Y4168" s="182" t="n">
        <v>0</v>
      </c>
      <c r="Z4168" s="182" t="n">
        <v>0</v>
      </c>
      <c r="AA4168" s="182" t="n">
        <v>0</v>
      </c>
      <c r="AB4168" s="182" t="n">
        <v>0</v>
      </c>
      <c r="AC4168" s="182" t="n">
        <v>0</v>
      </c>
      <c r="AD4168" s="182" t="n">
        <v>0</v>
      </c>
      <c r="AE4168" s="182" t="n">
        <v>0</v>
      </c>
      <c r="AF4168" s="182" t="n">
        <v>0</v>
      </c>
      <c r="AG4168" s="182" t="n">
        <v>0</v>
      </c>
      <c r="AH4168" s="182" t="n">
        <v>0</v>
      </c>
      <c r="AI4168" s="182" t="n">
        <v>4.12</v>
      </c>
      <c r="AJ4168" s="182" t="n">
        <v>0</v>
      </c>
      <c r="AK4168" s="182" t="n">
        <v>0</v>
      </c>
      <c r="AL4168" s="182" t="n">
        <v>0</v>
      </c>
      <c r="AM4168" s="182" t="n">
        <v>0.08</v>
      </c>
      <c r="AN4168" s="182" t="n">
        <v>0</v>
      </c>
    </row>
    <row r="4169">
      <c r="A4169" s="155" t="n">
        <v>46100</v>
      </c>
      <c r="B4169" s="156" t="inlineStr">
        <is>
          <t>NS</t>
        </is>
      </c>
      <c r="C4169" s="156" t="inlineStr">
        <is>
          <t>DT-524</t>
        </is>
      </c>
      <c r="D4169" s="156" t="inlineStr">
        <is>
          <t>SKT 105S</t>
        </is>
      </c>
      <c r="E4169" s="156" t="inlineStr">
        <is>
          <t>Hauler</t>
        </is>
      </c>
      <c r="F4169" s="156" t="inlineStr">
        <is>
          <t>Hauling OB</t>
        </is>
      </c>
      <c r="G4169" s="182" t="n">
        <v>8.6</v>
      </c>
      <c r="H4169" s="182" t="n">
        <v>0</v>
      </c>
      <c r="I4169" s="182" t="n">
        <v>0.17</v>
      </c>
      <c r="J4169" s="182" t="n">
        <v>0.17</v>
      </c>
      <c r="K4169" s="182" t="n">
        <v>3.23</v>
      </c>
      <c r="L4169" s="182" t="n">
        <v>12</v>
      </c>
      <c r="M4169" s="182" t="n">
        <v>8.6</v>
      </c>
      <c r="N4169" s="182" t="n">
        <v>0</v>
      </c>
      <c r="O4169" s="183" t="n">
        <v>46</v>
      </c>
      <c r="P4169" s="183" t="n">
        <v>0</v>
      </c>
      <c r="Q4169" s="184" t="n">
        <v>938.4</v>
      </c>
      <c r="R4169" s="184" t="n">
        <v>0</v>
      </c>
      <c r="S4169" s="183" t="n">
        <v>0</v>
      </c>
      <c r="T4169" s="183" t="n">
        <v>0</v>
      </c>
      <c r="U4169" s="182" t="n">
        <v>0</v>
      </c>
      <c r="V4169" s="182" t="n">
        <v>0</v>
      </c>
      <c r="W4169" s="182" t="n">
        <v>0</v>
      </c>
      <c r="X4169" s="182" t="n">
        <v>1</v>
      </c>
      <c r="Y4169" s="182" t="n">
        <v>0</v>
      </c>
      <c r="Z4169" s="182" t="n">
        <v>0</v>
      </c>
      <c r="AA4169" s="182" t="n">
        <v>0</v>
      </c>
      <c r="AB4169" s="182" t="n">
        <v>0</v>
      </c>
      <c r="AC4169" s="182" t="n">
        <v>0</v>
      </c>
      <c r="AD4169" s="182" t="n">
        <v>0</v>
      </c>
      <c r="AE4169" s="182" t="n">
        <v>0</v>
      </c>
      <c r="AF4169" s="182" t="n">
        <v>0</v>
      </c>
      <c r="AG4169" s="182" t="n">
        <v>0</v>
      </c>
      <c r="AH4169" s="182" t="n">
        <v>0</v>
      </c>
      <c r="AI4169" s="182" t="n">
        <v>0</v>
      </c>
      <c r="AJ4169" s="182" t="n">
        <v>0</v>
      </c>
      <c r="AK4169" s="182" t="n">
        <v>2.15</v>
      </c>
      <c r="AL4169" s="182" t="n">
        <v>0</v>
      </c>
      <c r="AM4169" s="182" t="n">
        <v>0.08</v>
      </c>
      <c r="AN4169" s="182" t="n">
        <v>0</v>
      </c>
    </row>
    <row r="4170">
      <c r="A4170" s="155" t="n">
        <v>46100</v>
      </c>
      <c r="B4170" s="156" t="inlineStr">
        <is>
          <t>NS</t>
        </is>
      </c>
      <c r="C4170" s="156" t="inlineStr">
        <is>
          <t>DT-341</t>
        </is>
      </c>
      <c r="D4170" s="156" t="inlineStr">
        <is>
          <t>SYZ324C-8W</t>
        </is>
      </c>
      <c r="E4170" s="156" t="inlineStr">
        <is>
          <t>Hauler</t>
        </is>
      </c>
      <c r="F4170" s="156" t="inlineStr"/>
      <c r="G4170" s="182" t="n">
        <v>0</v>
      </c>
      <c r="H4170" s="182" t="n">
        <v>0</v>
      </c>
      <c r="I4170" s="182" t="n">
        <v>0</v>
      </c>
      <c r="J4170" s="182" t="n">
        <v>0</v>
      </c>
      <c r="K4170" s="182" t="n">
        <v>12</v>
      </c>
      <c r="L4170" s="182" t="n">
        <v>12</v>
      </c>
      <c r="M4170" s="182" t="n">
        <v>0</v>
      </c>
      <c r="N4170" s="182" t="n">
        <v>0</v>
      </c>
      <c r="O4170" s="183" t="n">
        <v>0</v>
      </c>
      <c r="P4170" s="183" t="n">
        <v>0</v>
      </c>
      <c r="Q4170" s="184" t="n">
        <v>0</v>
      </c>
      <c r="R4170" s="184" t="n">
        <v>0</v>
      </c>
      <c r="S4170" s="183" t="n">
        <v>0</v>
      </c>
      <c r="T4170" s="183" t="n">
        <v>0</v>
      </c>
      <c r="U4170" s="182" t="n">
        <v>0</v>
      </c>
      <c r="V4170" s="182" t="n">
        <v>0</v>
      </c>
      <c r="W4170" s="182" t="n">
        <v>0</v>
      </c>
      <c r="X4170" s="182" t="n">
        <v>1</v>
      </c>
      <c r="Y4170" s="182" t="n">
        <v>0</v>
      </c>
      <c r="Z4170" s="182" t="n">
        <v>0</v>
      </c>
      <c r="AA4170" s="182" t="n">
        <v>0</v>
      </c>
      <c r="AB4170" s="182" t="n">
        <v>0</v>
      </c>
      <c r="AC4170" s="182" t="n">
        <v>0</v>
      </c>
      <c r="AD4170" s="182" t="n">
        <v>0</v>
      </c>
      <c r="AE4170" s="182" t="n">
        <v>0</v>
      </c>
      <c r="AF4170" s="182" t="n">
        <v>0</v>
      </c>
      <c r="AG4170" s="182" t="n">
        <v>0</v>
      </c>
      <c r="AH4170" s="182" t="n">
        <v>0</v>
      </c>
      <c r="AI4170" s="182" t="n">
        <v>0</v>
      </c>
      <c r="AJ4170" s="182" t="n">
        <v>0</v>
      </c>
      <c r="AK4170" s="182" t="n">
        <v>10.92</v>
      </c>
      <c r="AL4170" s="182" t="n">
        <v>0</v>
      </c>
      <c r="AM4170" s="182" t="n">
        <v>0.08</v>
      </c>
      <c r="AN4170" s="182" t="n">
        <v>0</v>
      </c>
    </row>
    <row r="4171">
      <c r="A4171" s="155" t="n">
        <v>46100</v>
      </c>
      <c r="B4171" s="156" t="inlineStr">
        <is>
          <t>NS</t>
        </is>
      </c>
      <c r="C4171" s="156" t="inlineStr">
        <is>
          <t>DT-342</t>
        </is>
      </c>
      <c r="D4171" s="156" t="inlineStr">
        <is>
          <t>SYZ324C-8W</t>
        </is>
      </c>
      <c r="E4171" s="156" t="inlineStr">
        <is>
          <t>Hauler</t>
        </is>
      </c>
      <c r="F4171" s="156" t="inlineStr"/>
      <c r="G4171" s="182" t="n">
        <v>0</v>
      </c>
      <c r="H4171" s="182" t="n">
        <v>0</v>
      </c>
      <c r="I4171" s="182" t="n">
        <v>0</v>
      </c>
      <c r="J4171" s="182" t="n">
        <v>0</v>
      </c>
      <c r="K4171" s="182" t="n">
        <v>12</v>
      </c>
      <c r="L4171" s="182" t="n">
        <v>12</v>
      </c>
      <c r="M4171" s="182" t="n">
        <v>0</v>
      </c>
      <c r="N4171" s="182" t="n">
        <v>0</v>
      </c>
      <c r="O4171" s="183" t="n">
        <v>0</v>
      </c>
      <c r="P4171" s="183" t="n">
        <v>0</v>
      </c>
      <c r="Q4171" s="184" t="n">
        <v>0</v>
      </c>
      <c r="R4171" s="184" t="n">
        <v>0</v>
      </c>
      <c r="S4171" s="183" t="n">
        <v>0</v>
      </c>
      <c r="T4171" s="183" t="n">
        <v>0</v>
      </c>
      <c r="U4171" s="182" t="n">
        <v>0</v>
      </c>
      <c r="V4171" s="182" t="n">
        <v>0</v>
      </c>
      <c r="W4171" s="182" t="n">
        <v>0</v>
      </c>
      <c r="X4171" s="182" t="n">
        <v>1</v>
      </c>
      <c r="Y4171" s="182" t="n">
        <v>0</v>
      </c>
      <c r="Z4171" s="182" t="n">
        <v>0</v>
      </c>
      <c r="AA4171" s="182" t="n">
        <v>0</v>
      </c>
      <c r="AB4171" s="182" t="n">
        <v>0</v>
      </c>
      <c r="AC4171" s="182" t="n">
        <v>0</v>
      </c>
      <c r="AD4171" s="182" t="n">
        <v>0</v>
      </c>
      <c r="AE4171" s="182" t="n">
        <v>0</v>
      </c>
      <c r="AF4171" s="182" t="n">
        <v>0</v>
      </c>
      <c r="AG4171" s="182" t="n">
        <v>0</v>
      </c>
      <c r="AH4171" s="182" t="n">
        <v>0</v>
      </c>
      <c r="AI4171" s="182" t="n">
        <v>0</v>
      </c>
      <c r="AJ4171" s="182" t="n">
        <v>0</v>
      </c>
      <c r="AK4171" s="182" t="n">
        <v>10.92</v>
      </c>
      <c r="AL4171" s="182" t="n">
        <v>0</v>
      </c>
      <c r="AM4171" s="182" t="n">
        <v>0.08</v>
      </c>
      <c r="AN4171" s="182" t="n">
        <v>0</v>
      </c>
    </row>
    <row r="4172">
      <c r="A4172" s="155" t="n">
        <v>46100</v>
      </c>
      <c r="B4172" s="156" t="inlineStr">
        <is>
          <t>NS</t>
        </is>
      </c>
      <c r="C4172" s="156" t="inlineStr">
        <is>
          <t>HD-903</t>
        </is>
      </c>
      <c r="D4172" s="156" t="inlineStr">
        <is>
          <t>SRT 95C</t>
        </is>
      </c>
      <c r="E4172" s="156" t="inlineStr">
        <is>
          <t>Hauler</t>
        </is>
      </c>
      <c r="F4172" s="156" t="inlineStr">
        <is>
          <t>Hauling OB</t>
        </is>
      </c>
      <c r="G4172" s="182" t="n">
        <v>9.57</v>
      </c>
      <c r="H4172" s="182" t="n">
        <v>0</v>
      </c>
      <c r="I4172" s="182" t="n">
        <v>0</v>
      </c>
      <c r="J4172" s="182" t="n">
        <v>0</v>
      </c>
      <c r="K4172" s="182" t="n">
        <v>2.43</v>
      </c>
      <c r="L4172" s="182" t="n">
        <v>12</v>
      </c>
      <c r="M4172" s="182" t="n">
        <v>9.57</v>
      </c>
      <c r="N4172" s="182" t="n">
        <v>0</v>
      </c>
      <c r="O4172" s="183" t="n">
        <v>46</v>
      </c>
      <c r="P4172" s="183" t="n">
        <v>0</v>
      </c>
      <c r="Q4172" s="184" t="n">
        <v>1642.2</v>
      </c>
      <c r="R4172" s="184" t="n">
        <v>0</v>
      </c>
      <c r="S4172" s="183" t="n">
        <v>0</v>
      </c>
      <c r="T4172" s="183" t="n">
        <v>0</v>
      </c>
      <c r="U4172" s="182" t="n">
        <v>0</v>
      </c>
      <c r="V4172" s="182" t="n">
        <v>0</v>
      </c>
      <c r="W4172" s="182" t="n">
        <v>0</v>
      </c>
      <c r="X4172" s="182" t="n">
        <v>1.16</v>
      </c>
      <c r="Y4172" s="182" t="n">
        <v>0</v>
      </c>
      <c r="Z4172" s="182" t="n">
        <v>0</v>
      </c>
      <c r="AA4172" s="182" t="n">
        <v>0</v>
      </c>
      <c r="AB4172" s="182" t="n">
        <v>0</v>
      </c>
      <c r="AC4172" s="182" t="n">
        <v>0</v>
      </c>
      <c r="AD4172" s="182" t="n">
        <v>0</v>
      </c>
      <c r="AE4172" s="182" t="n">
        <v>0</v>
      </c>
      <c r="AF4172" s="182" t="n">
        <v>0</v>
      </c>
      <c r="AG4172" s="182" t="n">
        <v>0</v>
      </c>
      <c r="AH4172" s="182" t="n">
        <v>0.6</v>
      </c>
      <c r="AI4172" s="182" t="n">
        <v>0.58</v>
      </c>
      <c r="AJ4172" s="182" t="n">
        <v>0</v>
      </c>
      <c r="AK4172" s="182" t="n">
        <v>0</v>
      </c>
      <c r="AL4172" s="182" t="n">
        <v>0</v>
      </c>
      <c r="AM4172" s="182" t="n">
        <v>0.09</v>
      </c>
      <c r="AN4172" s="182" t="n">
        <v>0</v>
      </c>
    </row>
    <row r="4173">
      <c r="A4173" s="155" t="n">
        <v>46100</v>
      </c>
      <c r="B4173" s="156" t="inlineStr">
        <is>
          <t>NS</t>
        </is>
      </c>
      <c r="C4173" s="156" t="inlineStr">
        <is>
          <t>HD-905</t>
        </is>
      </c>
      <c r="D4173" s="156" t="inlineStr">
        <is>
          <t>SRT 95C</t>
        </is>
      </c>
      <c r="E4173" s="156" t="inlineStr">
        <is>
          <t>Hauler</t>
        </is>
      </c>
      <c r="F4173" s="156" t="inlineStr"/>
      <c r="G4173" s="182" t="n">
        <v>0</v>
      </c>
      <c r="H4173" s="182" t="n">
        <v>0</v>
      </c>
      <c r="I4173" s="182" t="n">
        <v>12</v>
      </c>
      <c r="J4173" s="182" t="n">
        <v>12</v>
      </c>
      <c r="K4173" s="182" t="n">
        <v>0</v>
      </c>
      <c r="L4173" s="182" t="n">
        <v>12</v>
      </c>
      <c r="M4173" s="182" t="n">
        <v>0</v>
      </c>
      <c r="N4173" s="182" t="n">
        <v>0</v>
      </c>
      <c r="O4173" s="183" t="n">
        <v>0</v>
      </c>
      <c r="P4173" s="183" t="n">
        <v>0</v>
      </c>
      <c r="Q4173" s="184" t="n">
        <v>0</v>
      </c>
      <c r="R4173" s="184" t="n">
        <v>0</v>
      </c>
      <c r="S4173" s="183" t="n">
        <v>0</v>
      </c>
      <c r="T4173" s="183" t="n">
        <v>0</v>
      </c>
      <c r="U4173" s="182" t="n">
        <v>0</v>
      </c>
      <c r="V4173" s="182" t="n">
        <v>0</v>
      </c>
      <c r="W4173" s="182" t="n">
        <v>0</v>
      </c>
      <c r="X4173" s="182" t="n">
        <v>0</v>
      </c>
      <c r="Y4173" s="182" t="n">
        <v>0</v>
      </c>
      <c r="Z4173" s="182" t="n">
        <v>0</v>
      </c>
      <c r="AA4173" s="182" t="n">
        <v>0</v>
      </c>
      <c r="AB4173" s="182" t="n">
        <v>0</v>
      </c>
      <c r="AC4173" s="182" t="n">
        <v>0</v>
      </c>
      <c r="AD4173" s="182" t="n">
        <v>0</v>
      </c>
      <c r="AE4173" s="182" t="n">
        <v>0</v>
      </c>
      <c r="AF4173" s="182" t="n">
        <v>0</v>
      </c>
      <c r="AG4173" s="182" t="n">
        <v>0</v>
      </c>
      <c r="AH4173" s="182" t="n">
        <v>0</v>
      </c>
      <c r="AI4173" s="182" t="n">
        <v>0</v>
      </c>
      <c r="AJ4173" s="182" t="n">
        <v>0</v>
      </c>
      <c r="AK4173" s="182" t="n">
        <v>0</v>
      </c>
      <c r="AL4173" s="182" t="n">
        <v>0</v>
      </c>
      <c r="AM4173" s="182" t="n">
        <v>0</v>
      </c>
      <c r="AN4173" s="182" t="n">
        <v>0</v>
      </c>
    </row>
    <row r="4174">
      <c r="A4174" s="155" t="n">
        <v>46100</v>
      </c>
      <c r="B4174" s="156" t="inlineStr">
        <is>
          <t>NS</t>
        </is>
      </c>
      <c r="C4174" s="156" t="inlineStr">
        <is>
          <t>HD-901</t>
        </is>
      </c>
      <c r="D4174" s="156" t="inlineStr">
        <is>
          <t>SRT 95C</t>
        </is>
      </c>
      <c r="E4174" s="156" t="inlineStr">
        <is>
          <t>Hauler</t>
        </is>
      </c>
      <c r="F4174" s="156" t="inlineStr">
        <is>
          <t>Hauling OB</t>
        </is>
      </c>
      <c r="G4174" s="182" t="n">
        <v>10.69</v>
      </c>
      <c r="H4174" s="182" t="n">
        <v>0</v>
      </c>
      <c r="I4174" s="182" t="n">
        <v>0</v>
      </c>
      <c r="J4174" s="182" t="n">
        <v>0</v>
      </c>
      <c r="K4174" s="182" t="n">
        <v>1.31</v>
      </c>
      <c r="L4174" s="182" t="n">
        <v>12</v>
      </c>
      <c r="M4174" s="182" t="n">
        <v>10.69</v>
      </c>
      <c r="N4174" s="182" t="n">
        <v>0</v>
      </c>
      <c r="O4174" s="183" t="n">
        <v>49</v>
      </c>
      <c r="P4174" s="183" t="n">
        <v>0</v>
      </c>
      <c r="Q4174" s="184" t="n">
        <v>1749.3</v>
      </c>
      <c r="R4174" s="184" t="n">
        <v>0</v>
      </c>
      <c r="S4174" s="183" t="n">
        <v>0</v>
      </c>
      <c r="T4174" s="183" t="n">
        <v>0</v>
      </c>
      <c r="U4174" s="182" t="n">
        <v>0</v>
      </c>
      <c r="V4174" s="182" t="n">
        <v>0</v>
      </c>
      <c r="W4174" s="182" t="n">
        <v>0</v>
      </c>
      <c r="X4174" s="182" t="n">
        <v>0.6899999999999999</v>
      </c>
      <c r="Y4174" s="182" t="n">
        <v>0</v>
      </c>
      <c r="Z4174" s="182" t="n">
        <v>0</v>
      </c>
      <c r="AA4174" s="182" t="n">
        <v>0</v>
      </c>
      <c r="AB4174" s="182" t="n">
        <v>0</v>
      </c>
      <c r="AC4174" s="182" t="n">
        <v>0</v>
      </c>
      <c r="AD4174" s="182" t="n">
        <v>0</v>
      </c>
      <c r="AE4174" s="182" t="n">
        <v>0</v>
      </c>
      <c r="AF4174" s="182" t="n">
        <v>0</v>
      </c>
      <c r="AG4174" s="182" t="n">
        <v>0</v>
      </c>
      <c r="AH4174" s="182" t="n">
        <v>0.22</v>
      </c>
      <c r="AI4174" s="182" t="n">
        <v>0.34</v>
      </c>
      <c r="AJ4174" s="182" t="n">
        <v>0</v>
      </c>
      <c r="AK4174" s="182" t="n">
        <v>0</v>
      </c>
      <c r="AL4174" s="182" t="n">
        <v>0</v>
      </c>
      <c r="AM4174" s="182" t="n">
        <v>0.06</v>
      </c>
      <c r="AN4174" s="182" t="n">
        <v>0</v>
      </c>
    </row>
    <row r="4175">
      <c r="A4175" s="155" t="n">
        <v>46100</v>
      </c>
      <c r="B4175" s="156" t="inlineStr">
        <is>
          <t>NS</t>
        </is>
      </c>
      <c r="C4175" s="156" t="inlineStr">
        <is>
          <t>HD-904</t>
        </is>
      </c>
      <c r="D4175" s="156" t="inlineStr">
        <is>
          <t>SRT 95C</t>
        </is>
      </c>
      <c r="E4175" s="156" t="inlineStr">
        <is>
          <t>Hauler</t>
        </is>
      </c>
      <c r="F4175" s="156" t="inlineStr">
        <is>
          <t>Hauling OB</t>
        </is>
      </c>
      <c r="G4175" s="182" t="n">
        <v>9.93</v>
      </c>
      <c r="H4175" s="182" t="n">
        <v>0</v>
      </c>
      <c r="I4175" s="182" t="n">
        <v>0</v>
      </c>
      <c r="J4175" s="182" t="n">
        <v>0</v>
      </c>
      <c r="K4175" s="182" t="n">
        <v>2.07</v>
      </c>
      <c r="L4175" s="182" t="n">
        <v>12</v>
      </c>
      <c r="M4175" s="182" t="n">
        <v>9.93</v>
      </c>
      <c r="N4175" s="182" t="n">
        <v>0</v>
      </c>
      <c r="O4175" s="183" t="n">
        <v>41</v>
      </c>
      <c r="P4175" s="183" t="n">
        <v>0</v>
      </c>
      <c r="Q4175" s="184" t="n">
        <v>1463.7</v>
      </c>
      <c r="R4175" s="184" t="n">
        <v>0</v>
      </c>
      <c r="S4175" s="183" t="n">
        <v>0</v>
      </c>
      <c r="T4175" s="183" t="n">
        <v>0</v>
      </c>
      <c r="U4175" s="182" t="n">
        <v>0</v>
      </c>
      <c r="V4175" s="182" t="n">
        <v>0</v>
      </c>
      <c r="W4175" s="182" t="n">
        <v>0</v>
      </c>
      <c r="X4175" s="182" t="n">
        <v>0.99</v>
      </c>
      <c r="Y4175" s="182" t="n">
        <v>0</v>
      </c>
      <c r="Z4175" s="182" t="n">
        <v>0</v>
      </c>
      <c r="AA4175" s="182" t="n">
        <v>0</v>
      </c>
      <c r="AB4175" s="182" t="n">
        <v>0</v>
      </c>
      <c r="AC4175" s="182" t="n">
        <v>0</v>
      </c>
      <c r="AD4175" s="182" t="n">
        <v>0</v>
      </c>
      <c r="AE4175" s="182" t="n">
        <v>0</v>
      </c>
      <c r="AF4175" s="182" t="n">
        <v>0</v>
      </c>
      <c r="AG4175" s="182" t="n">
        <v>0</v>
      </c>
      <c r="AH4175" s="182" t="n">
        <v>0.51</v>
      </c>
      <c r="AI4175" s="182" t="n">
        <v>0.49</v>
      </c>
      <c r="AJ4175" s="182" t="n">
        <v>0</v>
      </c>
      <c r="AK4175" s="182" t="n">
        <v>0</v>
      </c>
      <c r="AL4175" s="182" t="n">
        <v>0</v>
      </c>
      <c r="AM4175" s="182" t="n">
        <v>0.08</v>
      </c>
      <c r="AN4175" s="182" t="n">
        <v>0</v>
      </c>
    </row>
    <row r="4176">
      <c r="A4176" s="155" t="n">
        <v>46100</v>
      </c>
      <c r="B4176" s="156" t="inlineStr">
        <is>
          <t>NS</t>
        </is>
      </c>
      <c r="C4176" s="156" t="inlineStr">
        <is>
          <t>HD-902</t>
        </is>
      </c>
      <c r="D4176" s="156" t="inlineStr">
        <is>
          <t>SRT 95C</t>
        </is>
      </c>
      <c r="E4176" s="156" t="inlineStr">
        <is>
          <t>Hauler</t>
        </is>
      </c>
      <c r="F4176" s="156" t="inlineStr"/>
      <c r="G4176" s="182" t="n">
        <v>0</v>
      </c>
      <c r="H4176" s="182" t="n">
        <v>0</v>
      </c>
      <c r="I4176" s="182" t="n">
        <v>12</v>
      </c>
      <c r="J4176" s="182" t="n">
        <v>12</v>
      </c>
      <c r="K4176" s="182" t="n">
        <v>0</v>
      </c>
      <c r="L4176" s="182" t="n">
        <v>12</v>
      </c>
      <c r="M4176" s="182" t="n">
        <v>0</v>
      </c>
      <c r="N4176" s="182" t="n">
        <v>0</v>
      </c>
      <c r="O4176" s="183" t="n">
        <v>0</v>
      </c>
      <c r="P4176" s="183" t="n">
        <v>0</v>
      </c>
      <c r="Q4176" s="184" t="n">
        <v>0</v>
      </c>
      <c r="R4176" s="184" t="n">
        <v>0</v>
      </c>
      <c r="S4176" s="183" t="n">
        <v>0</v>
      </c>
      <c r="T4176" s="183" t="n">
        <v>0</v>
      </c>
      <c r="U4176" s="182" t="n">
        <v>0</v>
      </c>
      <c r="V4176" s="182" t="n">
        <v>0</v>
      </c>
      <c r="W4176" s="182" t="n">
        <v>0</v>
      </c>
      <c r="X4176" s="182" t="n">
        <v>0</v>
      </c>
      <c r="Y4176" s="182" t="n">
        <v>0</v>
      </c>
      <c r="Z4176" s="182" t="n">
        <v>0</v>
      </c>
      <c r="AA4176" s="182" t="n">
        <v>0</v>
      </c>
      <c r="AB4176" s="182" t="n">
        <v>0</v>
      </c>
      <c r="AC4176" s="182" t="n">
        <v>0</v>
      </c>
      <c r="AD4176" s="182" t="n">
        <v>0</v>
      </c>
      <c r="AE4176" s="182" t="n">
        <v>0</v>
      </c>
      <c r="AF4176" s="182" t="n">
        <v>0</v>
      </c>
      <c r="AG4176" s="182" t="n">
        <v>0</v>
      </c>
      <c r="AH4176" s="182" t="n">
        <v>0</v>
      </c>
      <c r="AI4176" s="182" t="n">
        <v>0</v>
      </c>
      <c r="AJ4176" s="182" t="n">
        <v>0</v>
      </c>
      <c r="AK4176" s="182" t="n">
        <v>0</v>
      </c>
      <c r="AL4176" s="182" t="n">
        <v>0</v>
      </c>
      <c r="AM4176" s="182" t="n">
        <v>0</v>
      </c>
      <c r="AN4176" s="182" t="n">
        <v>0</v>
      </c>
    </row>
    <row r="4177">
      <c r="A4177" s="155" t="n">
        <v>46100</v>
      </c>
      <c r="B4177" s="156" t="inlineStr">
        <is>
          <t>NS</t>
        </is>
      </c>
      <c r="C4177" s="156" t="inlineStr">
        <is>
          <t>WL-025</t>
        </is>
      </c>
      <c r="D4177" s="156" t="inlineStr">
        <is>
          <t>SANY - Loader</t>
        </is>
      </c>
      <c r="E4177" s="156" t="inlineStr">
        <is>
          <t>Loader</t>
        </is>
      </c>
      <c r="F4177" s="156" t="inlineStr"/>
      <c r="G4177" s="182" t="n">
        <v>0</v>
      </c>
      <c r="H4177" s="182" t="n">
        <v>0</v>
      </c>
      <c r="I4177" s="182" t="n">
        <v>0</v>
      </c>
      <c r="J4177" s="182" t="n">
        <v>0</v>
      </c>
      <c r="K4177" s="182" t="n">
        <v>12</v>
      </c>
      <c r="L4177" s="182" t="n">
        <v>12</v>
      </c>
      <c r="M4177" s="182" t="n">
        <v>0</v>
      </c>
      <c r="N4177" s="182" t="n">
        <v>0</v>
      </c>
      <c r="O4177" s="183" t="n">
        <v>0</v>
      </c>
      <c r="P4177" s="183" t="n">
        <v>0</v>
      </c>
      <c r="Q4177" s="184" t="n">
        <v>0</v>
      </c>
      <c r="R4177" s="184" t="n">
        <v>0</v>
      </c>
      <c r="S4177" s="183" t="n">
        <v>0</v>
      </c>
      <c r="T4177" s="183" t="n">
        <v>0</v>
      </c>
      <c r="U4177" s="182" t="n">
        <v>0</v>
      </c>
      <c r="V4177" s="182" t="n">
        <v>0</v>
      </c>
      <c r="W4177" s="182" t="n">
        <v>0</v>
      </c>
      <c r="X4177" s="182" t="n">
        <v>1</v>
      </c>
      <c r="Y4177" s="182" t="n">
        <v>0</v>
      </c>
      <c r="Z4177" s="182" t="n">
        <v>0</v>
      </c>
      <c r="AA4177" s="182" t="n">
        <v>0</v>
      </c>
      <c r="AB4177" s="182" t="n">
        <v>0</v>
      </c>
      <c r="AC4177" s="182" t="n">
        <v>0</v>
      </c>
      <c r="AD4177" s="182" t="n">
        <v>0</v>
      </c>
      <c r="AE4177" s="182" t="n">
        <v>0</v>
      </c>
      <c r="AF4177" s="182" t="n">
        <v>0</v>
      </c>
      <c r="AG4177" s="182" t="n">
        <v>0</v>
      </c>
      <c r="AH4177" s="182" t="n">
        <v>0</v>
      </c>
      <c r="AI4177" s="182" t="n">
        <v>0</v>
      </c>
      <c r="AJ4177" s="182" t="n">
        <v>0</v>
      </c>
      <c r="AK4177" s="182" t="n">
        <v>10.92</v>
      </c>
      <c r="AL4177" s="182" t="n">
        <v>0</v>
      </c>
      <c r="AM4177" s="182" t="n">
        <v>0.08</v>
      </c>
      <c r="AN4177" s="182" t="n">
        <v>0</v>
      </c>
    </row>
    <row r="4178">
      <c r="A4178" s="155" t="n">
        <v>46100</v>
      </c>
      <c r="B4178" s="156" t="inlineStr">
        <is>
          <t>NS</t>
        </is>
      </c>
      <c r="C4178" s="156" t="inlineStr">
        <is>
          <t>WL-023</t>
        </is>
      </c>
      <c r="D4178" s="156" t="inlineStr">
        <is>
          <t>SANY - Loader</t>
        </is>
      </c>
      <c r="E4178" s="156" t="inlineStr">
        <is>
          <t>Loader</t>
        </is>
      </c>
      <c r="F4178" s="156" t="inlineStr"/>
      <c r="G4178" s="182" t="n">
        <v>0</v>
      </c>
      <c r="H4178" s="182" t="n">
        <v>0</v>
      </c>
      <c r="I4178" s="182" t="n">
        <v>0</v>
      </c>
      <c r="J4178" s="182" t="n">
        <v>0</v>
      </c>
      <c r="K4178" s="182" t="n">
        <v>12</v>
      </c>
      <c r="L4178" s="182" t="n">
        <v>12</v>
      </c>
      <c r="M4178" s="182" t="n">
        <v>0</v>
      </c>
      <c r="N4178" s="182" t="n">
        <v>0</v>
      </c>
      <c r="O4178" s="183" t="n">
        <v>0</v>
      </c>
      <c r="P4178" s="183" t="n">
        <v>0</v>
      </c>
      <c r="Q4178" s="184" t="n">
        <v>0</v>
      </c>
      <c r="R4178" s="184" t="n">
        <v>0</v>
      </c>
      <c r="S4178" s="183" t="n">
        <v>0</v>
      </c>
      <c r="T4178" s="183" t="n">
        <v>0</v>
      </c>
      <c r="U4178" s="182" t="n">
        <v>0</v>
      </c>
      <c r="V4178" s="182" t="n">
        <v>0</v>
      </c>
      <c r="W4178" s="182" t="n">
        <v>0</v>
      </c>
      <c r="X4178" s="182" t="n">
        <v>1</v>
      </c>
      <c r="Y4178" s="182" t="n">
        <v>0</v>
      </c>
      <c r="Z4178" s="182" t="n">
        <v>0</v>
      </c>
      <c r="AA4178" s="182" t="n">
        <v>0</v>
      </c>
      <c r="AB4178" s="182" t="n">
        <v>0</v>
      </c>
      <c r="AC4178" s="182" t="n">
        <v>0</v>
      </c>
      <c r="AD4178" s="182" t="n">
        <v>0</v>
      </c>
      <c r="AE4178" s="182" t="n">
        <v>0</v>
      </c>
      <c r="AF4178" s="182" t="n">
        <v>0</v>
      </c>
      <c r="AG4178" s="182" t="n">
        <v>0</v>
      </c>
      <c r="AH4178" s="182" t="n">
        <v>0</v>
      </c>
      <c r="AI4178" s="182" t="n">
        <v>0</v>
      </c>
      <c r="AJ4178" s="182" t="n">
        <v>0</v>
      </c>
      <c r="AK4178" s="182" t="n">
        <v>10.92</v>
      </c>
      <c r="AL4178" s="182" t="n">
        <v>0</v>
      </c>
      <c r="AM4178" s="182" t="n">
        <v>0.08</v>
      </c>
      <c r="AN4178" s="182" t="n">
        <v>0</v>
      </c>
    </row>
    <row r="4179">
      <c r="A4179" s="155" t="n">
        <v>46100</v>
      </c>
      <c r="B4179" s="156" t="inlineStr">
        <is>
          <t>NS</t>
        </is>
      </c>
      <c r="C4179" s="156" t="inlineStr">
        <is>
          <t>WL-021</t>
        </is>
      </c>
      <c r="D4179" s="156" t="inlineStr">
        <is>
          <t>SANY - Loader</t>
        </is>
      </c>
      <c r="E4179" s="156" t="inlineStr">
        <is>
          <t>Loader</t>
        </is>
      </c>
      <c r="F4179" s="156" t="inlineStr"/>
      <c r="G4179" s="182" t="n">
        <v>0</v>
      </c>
      <c r="H4179" s="182" t="n">
        <v>0</v>
      </c>
      <c r="I4179" s="182" t="n">
        <v>12</v>
      </c>
      <c r="J4179" s="182" t="n">
        <v>12</v>
      </c>
      <c r="K4179" s="182" t="n">
        <v>0</v>
      </c>
      <c r="L4179" s="182" t="n">
        <v>12</v>
      </c>
      <c r="M4179" s="182" t="n">
        <v>0</v>
      </c>
      <c r="N4179" s="182" t="n">
        <v>0</v>
      </c>
      <c r="O4179" s="183" t="n">
        <v>0</v>
      </c>
      <c r="P4179" s="183" t="n">
        <v>0</v>
      </c>
      <c r="Q4179" s="184" t="n">
        <v>0</v>
      </c>
      <c r="R4179" s="184" t="n">
        <v>0</v>
      </c>
      <c r="S4179" s="183" t="n">
        <v>0</v>
      </c>
      <c r="T4179" s="183" t="n">
        <v>0</v>
      </c>
      <c r="U4179" s="182" t="n">
        <v>0</v>
      </c>
      <c r="V4179" s="182" t="n">
        <v>0</v>
      </c>
      <c r="W4179" s="182" t="n">
        <v>0</v>
      </c>
      <c r="X4179" s="182" t="n">
        <v>0</v>
      </c>
      <c r="Y4179" s="182" t="n">
        <v>0</v>
      </c>
      <c r="Z4179" s="182" t="n">
        <v>0</v>
      </c>
      <c r="AA4179" s="182" t="n">
        <v>0</v>
      </c>
      <c r="AB4179" s="182" t="n">
        <v>0</v>
      </c>
      <c r="AC4179" s="182" t="n">
        <v>0</v>
      </c>
      <c r="AD4179" s="182" t="n">
        <v>0</v>
      </c>
      <c r="AE4179" s="182" t="n">
        <v>0</v>
      </c>
      <c r="AF4179" s="182" t="n">
        <v>0</v>
      </c>
      <c r="AG4179" s="182" t="n">
        <v>0</v>
      </c>
      <c r="AH4179" s="182" t="n">
        <v>0</v>
      </c>
      <c r="AI4179" s="182" t="n">
        <v>0</v>
      </c>
      <c r="AJ4179" s="182" t="n">
        <v>0</v>
      </c>
      <c r="AK4179" s="182" t="n">
        <v>0</v>
      </c>
      <c r="AL4179" s="182" t="n">
        <v>0</v>
      </c>
      <c r="AM4179" s="182" t="n">
        <v>0</v>
      </c>
      <c r="AN4179" s="182" t="n">
        <v>0</v>
      </c>
    </row>
    <row r="4180">
      <c r="A4180" s="155" t="n">
        <v>46100</v>
      </c>
      <c r="B4180" s="156" t="inlineStr">
        <is>
          <t>NS</t>
        </is>
      </c>
      <c r="C4180" s="156" t="inlineStr">
        <is>
          <t>WL-022</t>
        </is>
      </c>
      <c r="D4180" s="156" t="inlineStr">
        <is>
          <t>SANY - Loader</t>
        </is>
      </c>
      <c r="E4180" s="156" t="inlineStr">
        <is>
          <t>Loader</t>
        </is>
      </c>
      <c r="F4180" s="156" t="inlineStr">
        <is>
          <t>Support Washing Plant</t>
        </is>
      </c>
      <c r="G4180" s="182" t="n">
        <v>10.75</v>
      </c>
      <c r="H4180" s="182" t="n">
        <v>0</v>
      </c>
      <c r="I4180" s="182" t="n">
        <v>0</v>
      </c>
      <c r="J4180" s="182" t="n">
        <v>0</v>
      </c>
      <c r="K4180" s="182" t="n">
        <v>1.25</v>
      </c>
      <c r="L4180" s="182" t="n">
        <v>12</v>
      </c>
      <c r="M4180" s="182" t="n">
        <v>0</v>
      </c>
      <c r="N4180" s="182" t="n">
        <v>0</v>
      </c>
      <c r="O4180" s="183" t="n">
        <v>0</v>
      </c>
      <c r="P4180" s="183" t="n">
        <v>0</v>
      </c>
      <c r="Q4180" s="184" t="n">
        <v>0</v>
      </c>
      <c r="R4180" s="184" t="n">
        <v>0</v>
      </c>
      <c r="S4180" s="183" t="n">
        <v>0</v>
      </c>
      <c r="T4180" s="183" t="n">
        <v>0</v>
      </c>
      <c r="U4180" s="182" t="n">
        <v>0</v>
      </c>
      <c r="V4180" s="182" t="n">
        <v>0</v>
      </c>
      <c r="W4180" s="182" t="n">
        <v>0</v>
      </c>
      <c r="X4180" s="182" t="n">
        <v>1.04</v>
      </c>
      <c r="Y4180" s="182" t="n">
        <v>0</v>
      </c>
      <c r="Z4180" s="182" t="n">
        <v>0</v>
      </c>
      <c r="AA4180" s="182" t="n">
        <v>0</v>
      </c>
      <c r="AB4180" s="182" t="n">
        <v>0</v>
      </c>
      <c r="AC4180" s="182" t="n">
        <v>0</v>
      </c>
      <c r="AD4180" s="182" t="n">
        <v>0</v>
      </c>
      <c r="AE4180" s="182" t="n">
        <v>0</v>
      </c>
      <c r="AF4180" s="182" t="n">
        <v>0</v>
      </c>
      <c r="AG4180" s="182" t="n">
        <v>0</v>
      </c>
      <c r="AH4180" s="182" t="n">
        <v>0.12</v>
      </c>
      <c r="AI4180" s="182" t="n">
        <v>0</v>
      </c>
      <c r="AJ4180" s="182" t="n">
        <v>0</v>
      </c>
      <c r="AK4180" s="182" t="n">
        <v>0</v>
      </c>
      <c r="AL4180" s="182" t="n">
        <v>0</v>
      </c>
      <c r="AM4180" s="182" t="n">
        <v>0.08</v>
      </c>
      <c r="AN4180" s="182" t="n">
        <v>0</v>
      </c>
    </row>
    <row r="4181">
      <c r="A4181" s="155" t="n">
        <v>46100</v>
      </c>
      <c r="B4181" s="156" t="inlineStr">
        <is>
          <t>NS</t>
        </is>
      </c>
      <c r="C4181" s="156" t="inlineStr">
        <is>
          <t>WL-024</t>
        </is>
      </c>
      <c r="D4181" s="156" t="inlineStr">
        <is>
          <t>SANY - Loader</t>
        </is>
      </c>
      <c r="E4181" s="156" t="inlineStr">
        <is>
          <t>Loader</t>
        </is>
      </c>
      <c r="F4181" s="156" t="inlineStr">
        <is>
          <t>Support Washing Plant</t>
        </is>
      </c>
      <c r="G4181" s="182" t="n">
        <v>10.63</v>
      </c>
      <c r="H4181" s="182" t="n">
        <v>0</v>
      </c>
      <c r="I4181" s="182" t="n">
        <v>0</v>
      </c>
      <c r="J4181" s="182" t="n">
        <v>0</v>
      </c>
      <c r="K4181" s="182" t="n">
        <v>1.37</v>
      </c>
      <c r="L4181" s="182" t="n">
        <v>12</v>
      </c>
      <c r="M4181" s="182" t="n">
        <v>0</v>
      </c>
      <c r="N4181" s="182" t="n">
        <v>0</v>
      </c>
      <c r="O4181" s="183" t="n">
        <v>0</v>
      </c>
      <c r="P4181" s="183" t="n">
        <v>0</v>
      </c>
      <c r="Q4181" s="184" t="n">
        <v>0</v>
      </c>
      <c r="R4181" s="184" t="n">
        <v>0</v>
      </c>
      <c r="S4181" s="183" t="n">
        <v>0</v>
      </c>
      <c r="T4181" s="183" t="n">
        <v>0</v>
      </c>
      <c r="U4181" s="182" t="n">
        <v>0</v>
      </c>
      <c r="V4181" s="182" t="n">
        <v>0</v>
      </c>
      <c r="W4181" s="182" t="n">
        <v>0</v>
      </c>
      <c r="X4181" s="182" t="n">
        <v>0.98</v>
      </c>
      <c r="Y4181" s="182" t="n">
        <v>0</v>
      </c>
      <c r="Z4181" s="182" t="n">
        <v>0</v>
      </c>
      <c r="AA4181" s="182" t="n">
        <v>0</v>
      </c>
      <c r="AB4181" s="182" t="n">
        <v>0</v>
      </c>
      <c r="AC4181" s="182" t="n">
        <v>0</v>
      </c>
      <c r="AD4181" s="182" t="n">
        <v>0</v>
      </c>
      <c r="AE4181" s="182" t="n">
        <v>0</v>
      </c>
      <c r="AF4181" s="182" t="n">
        <v>0</v>
      </c>
      <c r="AG4181" s="182" t="n">
        <v>0</v>
      </c>
      <c r="AH4181" s="182" t="n">
        <v>0.31</v>
      </c>
      <c r="AI4181" s="182" t="n">
        <v>0</v>
      </c>
      <c r="AJ4181" s="182" t="n">
        <v>0</v>
      </c>
      <c r="AK4181" s="182" t="n">
        <v>0</v>
      </c>
      <c r="AL4181" s="182" t="n">
        <v>0</v>
      </c>
      <c r="AM4181" s="182" t="n">
        <v>0.08</v>
      </c>
      <c r="AN4181" s="182" t="n">
        <v>0</v>
      </c>
    </row>
    <row r="4182">
      <c r="A4182" s="155" t="n">
        <v>46101</v>
      </c>
      <c r="B4182" s="156" t="inlineStr">
        <is>
          <t>DS</t>
        </is>
      </c>
      <c r="C4182" s="156" t="inlineStr">
        <is>
          <t>DZ-034</t>
        </is>
      </c>
      <c r="D4182" s="156" t="inlineStr">
        <is>
          <t>D 68ESS-12EO</t>
        </is>
      </c>
      <c r="E4182" s="156" t="inlineStr">
        <is>
          <t>Bulldozer</t>
        </is>
      </c>
      <c r="F4182" s="156" t="inlineStr">
        <is>
          <t>Support ROM</t>
        </is>
      </c>
      <c r="G4182" s="182" t="n">
        <v>6.47</v>
      </c>
      <c r="H4182" s="182" t="n">
        <v>0</v>
      </c>
      <c r="I4182" s="182" t="n">
        <v>5.5</v>
      </c>
      <c r="J4182" s="182" t="n">
        <v>5.5</v>
      </c>
      <c r="K4182" s="182" t="n">
        <v>0.03</v>
      </c>
      <c r="L4182" s="182" t="n">
        <v>12</v>
      </c>
      <c r="M4182" s="182" t="n">
        <v>0</v>
      </c>
      <c r="N4182" s="182" t="n">
        <v>0</v>
      </c>
      <c r="O4182" s="183" t="n">
        <v>0</v>
      </c>
      <c r="P4182" s="183" t="n">
        <v>0</v>
      </c>
      <c r="Q4182" s="184" t="n">
        <v>0</v>
      </c>
      <c r="R4182" s="184" t="n">
        <v>0</v>
      </c>
      <c r="S4182" s="183" t="n">
        <v>0</v>
      </c>
      <c r="T4182" s="183" t="n">
        <v>0</v>
      </c>
      <c r="U4182" s="182" t="n">
        <v>0</v>
      </c>
      <c r="V4182" s="182" t="n">
        <v>0</v>
      </c>
      <c r="W4182" s="182" t="n">
        <v>0</v>
      </c>
      <c r="X4182" s="182" t="n">
        <v>0</v>
      </c>
      <c r="Y4182" s="182" t="n">
        <v>0</v>
      </c>
      <c r="Z4182" s="182" t="n">
        <v>0</v>
      </c>
      <c r="AA4182" s="182" t="n">
        <v>0</v>
      </c>
      <c r="AB4182" s="182" t="n">
        <v>0</v>
      </c>
      <c r="AC4182" s="182" t="n">
        <v>0</v>
      </c>
      <c r="AD4182" s="182" t="n">
        <v>0</v>
      </c>
      <c r="AE4182" s="182" t="n">
        <v>0</v>
      </c>
      <c r="AF4182" s="182" t="n">
        <v>0</v>
      </c>
      <c r="AG4182" s="182" t="n">
        <v>0</v>
      </c>
      <c r="AH4182" s="182" t="n">
        <v>0</v>
      </c>
      <c r="AI4182" s="182" t="n">
        <v>0</v>
      </c>
      <c r="AJ4182" s="182" t="n">
        <v>0</v>
      </c>
      <c r="AK4182" s="182" t="n">
        <v>0</v>
      </c>
      <c r="AL4182" s="182" t="n">
        <v>0</v>
      </c>
      <c r="AM4182" s="182" t="n">
        <v>0</v>
      </c>
      <c r="AN4182" s="182" t="n">
        <v>0</v>
      </c>
    </row>
    <row r="4183">
      <c r="A4183" s="155" t="n">
        <v>46101</v>
      </c>
      <c r="B4183" s="156" t="inlineStr">
        <is>
          <t>DS</t>
        </is>
      </c>
      <c r="C4183" s="156" t="inlineStr">
        <is>
          <t>DZ-033</t>
        </is>
      </c>
      <c r="D4183" s="156" t="inlineStr">
        <is>
          <t>D 375A-6R</t>
        </is>
      </c>
      <c r="E4183" s="156" t="inlineStr">
        <is>
          <t>Bulldozer</t>
        </is>
      </c>
      <c r="F4183" s="156" t="inlineStr"/>
      <c r="G4183" s="182" t="n">
        <v>0</v>
      </c>
      <c r="H4183" s="182" t="n">
        <v>0</v>
      </c>
      <c r="I4183" s="182" t="n">
        <v>12</v>
      </c>
      <c r="J4183" s="182" t="n">
        <v>12</v>
      </c>
      <c r="K4183" s="182" t="n">
        <v>0</v>
      </c>
      <c r="L4183" s="182" t="n">
        <v>12</v>
      </c>
      <c r="M4183" s="182" t="n">
        <v>0</v>
      </c>
      <c r="N4183" s="182" t="n">
        <v>0</v>
      </c>
      <c r="O4183" s="183" t="n">
        <v>0</v>
      </c>
      <c r="P4183" s="183" t="n">
        <v>0</v>
      </c>
      <c r="Q4183" s="184" t="n">
        <v>0</v>
      </c>
      <c r="R4183" s="184" t="n">
        <v>0</v>
      </c>
      <c r="S4183" s="183" t="n">
        <v>0</v>
      </c>
      <c r="T4183" s="183" t="n">
        <v>0</v>
      </c>
      <c r="U4183" s="182" t="n">
        <v>0</v>
      </c>
      <c r="V4183" s="182" t="n">
        <v>0</v>
      </c>
      <c r="W4183" s="182" t="n">
        <v>0</v>
      </c>
      <c r="X4183" s="182" t="n">
        <v>0</v>
      </c>
      <c r="Y4183" s="182" t="n">
        <v>0</v>
      </c>
      <c r="Z4183" s="182" t="n">
        <v>0</v>
      </c>
      <c r="AA4183" s="182" t="n">
        <v>0</v>
      </c>
      <c r="AB4183" s="182" t="n">
        <v>0</v>
      </c>
      <c r="AC4183" s="182" t="n">
        <v>0</v>
      </c>
      <c r="AD4183" s="182" t="n">
        <v>0</v>
      </c>
      <c r="AE4183" s="182" t="n">
        <v>0</v>
      </c>
      <c r="AF4183" s="182" t="n">
        <v>0</v>
      </c>
      <c r="AG4183" s="182" t="n">
        <v>0</v>
      </c>
      <c r="AH4183" s="182" t="n">
        <v>0</v>
      </c>
      <c r="AI4183" s="182" t="n">
        <v>0</v>
      </c>
      <c r="AJ4183" s="182" t="n">
        <v>0</v>
      </c>
      <c r="AK4183" s="182" t="n">
        <v>0</v>
      </c>
      <c r="AL4183" s="182" t="n">
        <v>0</v>
      </c>
      <c r="AM4183" s="182" t="n">
        <v>0</v>
      </c>
      <c r="AN4183" s="182" t="n">
        <v>0</v>
      </c>
    </row>
    <row r="4184">
      <c r="A4184" s="155" t="n">
        <v>46101</v>
      </c>
      <c r="B4184" s="156" t="inlineStr">
        <is>
          <t>DS</t>
        </is>
      </c>
      <c r="C4184" s="156" t="inlineStr">
        <is>
          <t>DZ-038</t>
        </is>
      </c>
      <c r="D4184" s="156" t="inlineStr">
        <is>
          <t>D 85 ESS-2</t>
        </is>
      </c>
      <c r="E4184" s="156" t="inlineStr">
        <is>
          <t>Bulldozer</t>
        </is>
      </c>
      <c r="F4184" s="156" t="inlineStr"/>
      <c r="G4184" s="182" t="n">
        <v>0</v>
      </c>
      <c r="H4184" s="182" t="n">
        <v>0</v>
      </c>
      <c r="I4184" s="182" t="n">
        <v>12</v>
      </c>
      <c r="J4184" s="182" t="n">
        <v>12</v>
      </c>
      <c r="K4184" s="182" t="n">
        <v>0</v>
      </c>
      <c r="L4184" s="182" t="n">
        <v>12</v>
      </c>
      <c r="M4184" s="182" t="n">
        <v>0</v>
      </c>
      <c r="N4184" s="182" t="n">
        <v>0</v>
      </c>
      <c r="O4184" s="183" t="n">
        <v>0</v>
      </c>
      <c r="P4184" s="183" t="n">
        <v>0</v>
      </c>
      <c r="Q4184" s="184" t="n">
        <v>0</v>
      </c>
      <c r="R4184" s="184" t="n">
        <v>0</v>
      </c>
      <c r="S4184" s="183" t="n">
        <v>0</v>
      </c>
      <c r="T4184" s="183" t="n">
        <v>0</v>
      </c>
      <c r="U4184" s="182" t="n">
        <v>0</v>
      </c>
      <c r="V4184" s="182" t="n">
        <v>0</v>
      </c>
      <c r="W4184" s="182" t="n">
        <v>0</v>
      </c>
      <c r="X4184" s="182" t="n">
        <v>0</v>
      </c>
      <c r="Y4184" s="182" t="n">
        <v>0</v>
      </c>
      <c r="Z4184" s="182" t="n">
        <v>0</v>
      </c>
      <c r="AA4184" s="182" t="n">
        <v>0</v>
      </c>
      <c r="AB4184" s="182" t="n">
        <v>0</v>
      </c>
      <c r="AC4184" s="182" t="n">
        <v>0</v>
      </c>
      <c r="AD4184" s="182" t="n">
        <v>0</v>
      </c>
      <c r="AE4184" s="182" t="n">
        <v>0</v>
      </c>
      <c r="AF4184" s="182" t="n">
        <v>0</v>
      </c>
      <c r="AG4184" s="182" t="n">
        <v>0</v>
      </c>
      <c r="AH4184" s="182" t="n">
        <v>0</v>
      </c>
      <c r="AI4184" s="182" t="n">
        <v>0</v>
      </c>
      <c r="AJ4184" s="182" t="n">
        <v>0</v>
      </c>
      <c r="AK4184" s="182" t="n">
        <v>0</v>
      </c>
      <c r="AL4184" s="182" t="n">
        <v>0</v>
      </c>
      <c r="AM4184" s="182" t="n">
        <v>0</v>
      </c>
      <c r="AN4184" s="182" t="n">
        <v>0</v>
      </c>
    </row>
    <row r="4185">
      <c r="A4185" s="155" t="n">
        <v>46101</v>
      </c>
      <c r="B4185" s="156" t="inlineStr">
        <is>
          <t>DS</t>
        </is>
      </c>
      <c r="C4185" s="156" t="inlineStr">
        <is>
          <t>DZ-039</t>
        </is>
      </c>
      <c r="D4185" s="156" t="inlineStr">
        <is>
          <t>D 85 ESS-2</t>
        </is>
      </c>
      <c r="E4185" s="156" t="inlineStr">
        <is>
          <t>Bulldozer</t>
        </is>
      </c>
      <c r="F4185" s="156" t="inlineStr"/>
      <c r="G4185" s="182" t="n">
        <v>0</v>
      </c>
      <c r="H4185" s="182" t="n">
        <v>0</v>
      </c>
      <c r="I4185" s="182" t="n">
        <v>12</v>
      </c>
      <c r="J4185" s="182" t="n">
        <v>12</v>
      </c>
      <c r="K4185" s="182" t="n">
        <v>0</v>
      </c>
      <c r="L4185" s="182" t="n">
        <v>12</v>
      </c>
      <c r="M4185" s="182" t="n">
        <v>0</v>
      </c>
      <c r="N4185" s="182" t="n">
        <v>0</v>
      </c>
      <c r="O4185" s="183" t="n">
        <v>0</v>
      </c>
      <c r="P4185" s="183" t="n">
        <v>0</v>
      </c>
      <c r="Q4185" s="184" t="n">
        <v>0</v>
      </c>
      <c r="R4185" s="184" t="n">
        <v>0</v>
      </c>
      <c r="S4185" s="183" t="n">
        <v>0</v>
      </c>
      <c r="T4185" s="183" t="n">
        <v>0</v>
      </c>
      <c r="U4185" s="182" t="n">
        <v>0</v>
      </c>
      <c r="V4185" s="182" t="n">
        <v>0</v>
      </c>
      <c r="W4185" s="182" t="n">
        <v>0</v>
      </c>
      <c r="X4185" s="182" t="n">
        <v>0</v>
      </c>
      <c r="Y4185" s="182" t="n">
        <v>0</v>
      </c>
      <c r="Z4185" s="182" t="n">
        <v>0</v>
      </c>
      <c r="AA4185" s="182" t="n">
        <v>0</v>
      </c>
      <c r="AB4185" s="182" t="n">
        <v>0</v>
      </c>
      <c r="AC4185" s="182" t="n">
        <v>0</v>
      </c>
      <c r="AD4185" s="182" t="n">
        <v>0</v>
      </c>
      <c r="AE4185" s="182" t="n">
        <v>0</v>
      </c>
      <c r="AF4185" s="182" t="n">
        <v>0</v>
      </c>
      <c r="AG4185" s="182" t="n">
        <v>0</v>
      </c>
      <c r="AH4185" s="182" t="n">
        <v>0</v>
      </c>
      <c r="AI4185" s="182" t="n">
        <v>0</v>
      </c>
      <c r="AJ4185" s="182" t="n">
        <v>0</v>
      </c>
      <c r="AK4185" s="182" t="n">
        <v>0</v>
      </c>
      <c r="AL4185" s="182" t="n">
        <v>0</v>
      </c>
      <c r="AM4185" s="182" t="n">
        <v>0</v>
      </c>
      <c r="AN4185" s="182" t="n">
        <v>0</v>
      </c>
    </row>
    <row r="4186">
      <c r="A4186" s="155" t="n">
        <v>46101</v>
      </c>
      <c r="B4186" s="156" t="inlineStr">
        <is>
          <t>DS</t>
        </is>
      </c>
      <c r="C4186" s="156" t="inlineStr">
        <is>
          <t>DZ-032</t>
        </is>
      </c>
      <c r="D4186" s="156" t="inlineStr">
        <is>
          <t>CAT</t>
        </is>
      </c>
      <c r="E4186" s="156" t="inlineStr">
        <is>
          <t>Bulldozer</t>
        </is>
      </c>
      <c r="F4186" s="156" t="inlineStr">
        <is>
          <t>Support Front Loading &amp; Disposal</t>
        </is>
      </c>
      <c r="G4186" s="182" t="n">
        <v>11.34</v>
      </c>
      <c r="H4186" s="182" t="n">
        <v>0</v>
      </c>
      <c r="I4186" s="182" t="n">
        <v>0.17</v>
      </c>
      <c r="J4186" s="182" t="n">
        <v>0.17</v>
      </c>
      <c r="K4186" s="182" t="n">
        <v>0.49</v>
      </c>
      <c r="L4186" s="182" t="n">
        <v>12</v>
      </c>
      <c r="M4186" s="182" t="n">
        <v>0</v>
      </c>
      <c r="N4186" s="182" t="n">
        <v>0</v>
      </c>
      <c r="O4186" s="183" t="n">
        <v>0</v>
      </c>
      <c r="P4186" s="183" t="n">
        <v>0</v>
      </c>
      <c r="Q4186" s="184" t="n">
        <v>0</v>
      </c>
      <c r="R4186" s="184" t="n">
        <v>0</v>
      </c>
      <c r="S4186" s="183" t="n">
        <v>0</v>
      </c>
      <c r="T4186" s="183" t="n">
        <v>0</v>
      </c>
      <c r="U4186" s="182" t="n">
        <v>0</v>
      </c>
      <c r="V4186" s="182" t="n">
        <v>0</v>
      </c>
      <c r="W4186" s="182" t="n">
        <v>0</v>
      </c>
      <c r="X4186" s="182" t="n">
        <v>0.37</v>
      </c>
      <c r="Y4186" s="182" t="n">
        <v>0</v>
      </c>
      <c r="Z4186" s="182" t="n">
        <v>0</v>
      </c>
      <c r="AA4186" s="182" t="n">
        <v>0</v>
      </c>
      <c r="AB4186" s="182" t="n">
        <v>0</v>
      </c>
      <c r="AC4186" s="182" t="n">
        <v>0</v>
      </c>
      <c r="AD4186" s="182" t="n">
        <v>0</v>
      </c>
      <c r="AE4186" s="182" t="n">
        <v>0</v>
      </c>
      <c r="AF4186" s="182" t="n">
        <v>0</v>
      </c>
      <c r="AG4186" s="182" t="n">
        <v>0</v>
      </c>
      <c r="AH4186" s="182" t="n">
        <v>0</v>
      </c>
      <c r="AI4186" s="182" t="n">
        <v>0</v>
      </c>
      <c r="AJ4186" s="182" t="n">
        <v>0</v>
      </c>
      <c r="AK4186" s="182" t="n">
        <v>0</v>
      </c>
      <c r="AL4186" s="182" t="n">
        <v>0</v>
      </c>
      <c r="AM4186" s="182" t="n">
        <v>0.12</v>
      </c>
      <c r="AN4186" s="182" t="n">
        <v>0</v>
      </c>
    </row>
    <row r="4187">
      <c r="A4187" s="155" t="n">
        <v>46101</v>
      </c>
      <c r="B4187" s="156" t="inlineStr">
        <is>
          <t>DS</t>
        </is>
      </c>
      <c r="C4187" s="156" t="inlineStr">
        <is>
          <t>DZ-031</t>
        </is>
      </c>
      <c r="D4187" s="156" t="inlineStr">
        <is>
          <t>CAT</t>
        </is>
      </c>
      <c r="E4187" s="156" t="inlineStr">
        <is>
          <t>Bulldozer</t>
        </is>
      </c>
      <c r="F4187" s="156" t="inlineStr"/>
      <c r="G4187" s="182" t="n">
        <v>0</v>
      </c>
      <c r="H4187" s="182" t="n">
        <v>0</v>
      </c>
      <c r="I4187" s="182" t="n">
        <v>12</v>
      </c>
      <c r="J4187" s="182" t="n">
        <v>12</v>
      </c>
      <c r="K4187" s="182" t="n">
        <v>0</v>
      </c>
      <c r="L4187" s="182" t="n">
        <v>12</v>
      </c>
      <c r="M4187" s="182" t="n">
        <v>0</v>
      </c>
      <c r="N4187" s="182" t="n">
        <v>0</v>
      </c>
      <c r="O4187" s="183" t="n">
        <v>0</v>
      </c>
      <c r="P4187" s="183" t="n">
        <v>0</v>
      </c>
      <c r="Q4187" s="184" t="n">
        <v>0</v>
      </c>
      <c r="R4187" s="184" t="n">
        <v>0</v>
      </c>
      <c r="S4187" s="183" t="n">
        <v>0</v>
      </c>
      <c r="T4187" s="183" t="n">
        <v>0</v>
      </c>
      <c r="U4187" s="182" t="n">
        <v>0</v>
      </c>
      <c r="V4187" s="182" t="n">
        <v>0</v>
      </c>
      <c r="W4187" s="182" t="n">
        <v>0</v>
      </c>
      <c r="X4187" s="182" t="n">
        <v>0</v>
      </c>
      <c r="Y4187" s="182" t="n">
        <v>0</v>
      </c>
      <c r="Z4187" s="182" t="n">
        <v>0</v>
      </c>
      <c r="AA4187" s="182" t="n">
        <v>0</v>
      </c>
      <c r="AB4187" s="182" t="n">
        <v>0</v>
      </c>
      <c r="AC4187" s="182" t="n">
        <v>0</v>
      </c>
      <c r="AD4187" s="182" t="n">
        <v>0</v>
      </c>
      <c r="AE4187" s="182" t="n">
        <v>0</v>
      </c>
      <c r="AF4187" s="182" t="n">
        <v>0</v>
      </c>
      <c r="AG4187" s="182" t="n">
        <v>0</v>
      </c>
      <c r="AH4187" s="182" t="n">
        <v>0</v>
      </c>
      <c r="AI4187" s="182" t="n">
        <v>0</v>
      </c>
      <c r="AJ4187" s="182" t="n">
        <v>0</v>
      </c>
      <c r="AK4187" s="182" t="n">
        <v>0</v>
      </c>
      <c r="AL4187" s="182" t="n">
        <v>0</v>
      </c>
      <c r="AM4187" s="182" t="n">
        <v>0</v>
      </c>
      <c r="AN4187" s="182" t="n">
        <v>0</v>
      </c>
    </row>
    <row r="4188">
      <c r="A4188" s="155" t="n">
        <v>46101</v>
      </c>
      <c r="B4188" s="156" t="inlineStr">
        <is>
          <t>DS</t>
        </is>
      </c>
      <c r="C4188" s="156" t="inlineStr">
        <is>
          <t>DZ-037</t>
        </is>
      </c>
      <c r="D4188" s="156" t="inlineStr">
        <is>
          <t>D 85 ESS-2</t>
        </is>
      </c>
      <c r="E4188" s="156" t="inlineStr">
        <is>
          <t>Bulldozer</t>
        </is>
      </c>
      <c r="F4188" s="156" t="inlineStr">
        <is>
          <t>Support Front Loading</t>
        </is>
      </c>
      <c r="G4188" s="182" t="n">
        <v>2.42</v>
      </c>
      <c r="H4188" s="182" t="n">
        <v>0</v>
      </c>
      <c r="I4188" s="182" t="n">
        <v>9.58</v>
      </c>
      <c r="J4188" s="182" t="n">
        <v>9.58</v>
      </c>
      <c r="K4188" s="182" t="n">
        <v>0</v>
      </c>
      <c r="L4188" s="182" t="n">
        <v>12</v>
      </c>
      <c r="M4188" s="182" t="n">
        <v>0</v>
      </c>
      <c r="N4188" s="182" t="n">
        <v>0</v>
      </c>
      <c r="O4188" s="183" t="n">
        <v>0</v>
      </c>
      <c r="P4188" s="183" t="n">
        <v>0</v>
      </c>
      <c r="Q4188" s="184" t="n">
        <v>0</v>
      </c>
      <c r="R4188" s="184" t="n">
        <v>0</v>
      </c>
      <c r="S4188" s="183" t="n">
        <v>0</v>
      </c>
      <c r="T4188" s="183" t="n">
        <v>0</v>
      </c>
      <c r="U4188" s="182" t="n">
        <v>0</v>
      </c>
      <c r="V4188" s="182" t="n">
        <v>0</v>
      </c>
      <c r="W4188" s="182" t="n">
        <v>0</v>
      </c>
      <c r="X4188" s="182" t="n">
        <v>0</v>
      </c>
      <c r="Y4188" s="182" t="n">
        <v>0</v>
      </c>
      <c r="Z4188" s="182" t="n">
        <v>0</v>
      </c>
      <c r="AA4188" s="182" t="n">
        <v>0</v>
      </c>
      <c r="AB4188" s="182" t="n">
        <v>0</v>
      </c>
      <c r="AC4188" s="182" t="n">
        <v>0</v>
      </c>
      <c r="AD4188" s="182" t="n">
        <v>0</v>
      </c>
      <c r="AE4188" s="182" t="n">
        <v>0</v>
      </c>
      <c r="AF4188" s="182" t="n">
        <v>0</v>
      </c>
      <c r="AG4188" s="182" t="n">
        <v>0</v>
      </c>
      <c r="AH4188" s="182" t="n">
        <v>0</v>
      </c>
      <c r="AI4188" s="182" t="n">
        <v>0</v>
      </c>
      <c r="AJ4188" s="182" t="n">
        <v>0</v>
      </c>
      <c r="AK4188" s="182" t="n">
        <v>0</v>
      </c>
      <c r="AL4188" s="182" t="n">
        <v>0</v>
      </c>
      <c r="AM4188" s="182" t="n">
        <v>0</v>
      </c>
      <c r="AN4188" s="182" t="n">
        <v>0</v>
      </c>
    </row>
    <row r="4189">
      <c r="A4189" s="155" t="n">
        <v>46101</v>
      </c>
      <c r="B4189" s="156" t="inlineStr">
        <is>
          <t>DS</t>
        </is>
      </c>
      <c r="C4189" s="156" t="inlineStr">
        <is>
          <t>DZ-036</t>
        </is>
      </c>
      <c r="D4189" s="156" t="inlineStr">
        <is>
          <t>D 85 ESS-2</t>
        </is>
      </c>
      <c r="E4189" s="156" t="inlineStr">
        <is>
          <t>Bulldozer</t>
        </is>
      </c>
      <c r="F4189" s="156" t="inlineStr"/>
      <c r="G4189" s="182" t="n">
        <v>0</v>
      </c>
      <c r="H4189" s="182" t="n">
        <v>0</v>
      </c>
      <c r="I4189" s="182" t="n">
        <v>0</v>
      </c>
      <c r="J4189" s="182" t="n">
        <v>0</v>
      </c>
      <c r="K4189" s="182" t="n">
        <v>12</v>
      </c>
      <c r="L4189" s="182" t="n">
        <v>12</v>
      </c>
      <c r="M4189" s="182" t="n">
        <v>0</v>
      </c>
      <c r="N4189" s="182" t="n">
        <v>0</v>
      </c>
      <c r="O4189" s="183" t="n">
        <v>0</v>
      </c>
      <c r="P4189" s="183" t="n">
        <v>0</v>
      </c>
      <c r="Q4189" s="184" t="n">
        <v>0</v>
      </c>
      <c r="R4189" s="184" t="n">
        <v>0</v>
      </c>
      <c r="S4189" s="183" t="n">
        <v>0</v>
      </c>
      <c r="T4189" s="183" t="n">
        <v>0</v>
      </c>
      <c r="U4189" s="182" t="n">
        <v>0</v>
      </c>
      <c r="V4189" s="182" t="n">
        <v>0</v>
      </c>
      <c r="W4189" s="182" t="n">
        <v>0</v>
      </c>
      <c r="X4189" s="182" t="n">
        <v>1</v>
      </c>
      <c r="Y4189" s="182" t="n">
        <v>0</v>
      </c>
      <c r="Z4189" s="182" t="n">
        <v>0</v>
      </c>
      <c r="AA4189" s="182" t="n">
        <v>0</v>
      </c>
      <c r="AB4189" s="182" t="n">
        <v>0</v>
      </c>
      <c r="AC4189" s="182" t="n">
        <v>0</v>
      </c>
      <c r="AD4189" s="182" t="n">
        <v>0</v>
      </c>
      <c r="AE4189" s="182" t="n">
        <v>0</v>
      </c>
      <c r="AF4189" s="182" t="n">
        <v>0</v>
      </c>
      <c r="AG4189" s="182" t="n">
        <v>0</v>
      </c>
      <c r="AH4189" s="182" t="n">
        <v>0</v>
      </c>
      <c r="AI4189" s="182" t="n">
        <v>0</v>
      </c>
      <c r="AJ4189" s="182" t="n">
        <v>0</v>
      </c>
      <c r="AK4189" s="182" t="n">
        <v>10.92</v>
      </c>
      <c r="AL4189" s="182" t="n">
        <v>0</v>
      </c>
      <c r="AM4189" s="182" t="n">
        <v>0.08</v>
      </c>
      <c r="AN4189" s="182" t="n">
        <v>0</v>
      </c>
    </row>
    <row r="4190">
      <c r="A4190" s="155" t="n">
        <v>46101</v>
      </c>
      <c r="B4190" s="156" t="inlineStr">
        <is>
          <t>DS</t>
        </is>
      </c>
      <c r="C4190" s="156" t="inlineStr">
        <is>
          <t>DZ-035</t>
        </is>
      </c>
      <c r="D4190" s="156" t="inlineStr">
        <is>
          <t>D 85 ESS-2</t>
        </is>
      </c>
      <c r="E4190" s="156" t="inlineStr">
        <is>
          <t>Bulldozer</t>
        </is>
      </c>
      <c r="F4190" s="156" t="inlineStr"/>
      <c r="G4190" s="182" t="n">
        <v>0</v>
      </c>
      <c r="H4190" s="182" t="n">
        <v>0</v>
      </c>
      <c r="I4190" s="182" t="n">
        <v>12</v>
      </c>
      <c r="J4190" s="182" t="n">
        <v>12</v>
      </c>
      <c r="K4190" s="182" t="n">
        <v>0</v>
      </c>
      <c r="L4190" s="182" t="n">
        <v>12</v>
      </c>
      <c r="M4190" s="182" t="n">
        <v>0</v>
      </c>
      <c r="N4190" s="182" t="n">
        <v>0</v>
      </c>
      <c r="O4190" s="183" t="n">
        <v>0</v>
      </c>
      <c r="P4190" s="183" t="n">
        <v>0</v>
      </c>
      <c r="Q4190" s="184" t="n">
        <v>0</v>
      </c>
      <c r="R4190" s="184" t="n">
        <v>0</v>
      </c>
      <c r="S4190" s="183" t="n">
        <v>0</v>
      </c>
      <c r="T4190" s="183" t="n">
        <v>0</v>
      </c>
      <c r="U4190" s="182" t="n">
        <v>0</v>
      </c>
      <c r="V4190" s="182" t="n">
        <v>0</v>
      </c>
      <c r="W4190" s="182" t="n">
        <v>0</v>
      </c>
      <c r="X4190" s="182" t="n">
        <v>0</v>
      </c>
      <c r="Y4190" s="182" t="n">
        <v>0</v>
      </c>
      <c r="Z4190" s="182" t="n">
        <v>0</v>
      </c>
      <c r="AA4190" s="182" t="n">
        <v>0</v>
      </c>
      <c r="AB4190" s="182" t="n">
        <v>0</v>
      </c>
      <c r="AC4190" s="182" t="n">
        <v>0</v>
      </c>
      <c r="AD4190" s="182" t="n">
        <v>0</v>
      </c>
      <c r="AE4190" s="182" t="n">
        <v>0</v>
      </c>
      <c r="AF4190" s="182" t="n">
        <v>0</v>
      </c>
      <c r="AG4190" s="182" t="n">
        <v>0</v>
      </c>
      <c r="AH4190" s="182" t="n">
        <v>0</v>
      </c>
      <c r="AI4190" s="182" t="n">
        <v>0</v>
      </c>
      <c r="AJ4190" s="182" t="n">
        <v>0</v>
      </c>
      <c r="AK4190" s="182" t="n">
        <v>0</v>
      </c>
      <c r="AL4190" s="182" t="n">
        <v>0</v>
      </c>
      <c r="AM4190" s="182" t="n">
        <v>0</v>
      </c>
      <c r="AN4190" s="182" t="n">
        <v>0</v>
      </c>
    </row>
    <row r="4191">
      <c r="A4191" s="155" t="n">
        <v>46101</v>
      </c>
      <c r="B4191" s="156" t="inlineStr">
        <is>
          <t>DS</t>
        </is>
      </c>
      <c r="C4191" s="156" t="inlineStr">
        <is>
          <t>CP-042</t>
        </is>
      </c>
      <c r="D4191" s="156" t="inlineStr">
        <is>
          <t>SANY - Compactor</t>
        </is>
      </c>
      <c r="E4191" s="156" t="inlineStr">
        <is>
          <t>Compactor</t>
        </is>
      </c>
      <c r="F4191" s="156" t="inlineStr"/>
      <c r="G4191" s="182" t="n">
        <v>0</v>
      </c>
      <c r="H4191" s="182" t="n">
        <v>0</v>
      </c>
      <c r="I4191" s="182" t="n">
        <v>0</v>
      </c>
      <c r="J4191" s="182" t="n">
        <v>0</v>
      </c>
      <c r="K4191" s="182" t="n">
        <v>12</v>
      </c>
      <c r="L4191" s="182" t="n">
        <v>12</v>
      </c>
      <c r="M4191" s="182" t="n">
        <v>0</v>
      </c>
      <c r="N4191" s="182" t="n">
        <v>0</v>
      </c>
      <c r="O4191" s="183" t="n">
        <v>0</v>
      </c>
      <c r="P4191" s="183" t="n">
        <v>0</v>
      </c>
      <c r="Q4191" s="184" t="n">
        <v>0</v>
      </c>
      <c r="R4191" s="184" t="n">
        <v>0</v>
      </c>
      <c r="S4191" s="183" t="n">
        <v>0</v>
      </c>
      <c r="T4191" s="183" t="n">
        <v>0</v>
      </c>
      <c r="U4191" s="182" t="n">
        <v>0</v>
      </c>
      <c r="V4191" s="182" t="n">
        <v>0</v>
      </c>
      <c r="W4191" s="182" t="n">
        <v>0</v>
      </c>
      <c r="X4191" s="182" t="n">
        <v>1</v>
      </c>
      <c r="Y4191" s="182" t="n">
        <v>0</v>
      </c>
      <c r="Z4191" s="182" t="n">
        <v>0</v>
      </c>
      <c r="AA4191" s="182" t="n">
        <v>0</v>
      </c>
      <c r="AB4191" s="182" t="n">
        <v>0</v>
      </c>
      <c r="AC4191" s="182" t="n">
        <v>0</v>
      </c>
      <c r="AD4191" s="182" t="n">
        <v>0</v>
      </c>
      <c r="AE4191" s="182" t="n">
        <v>0</v>
      </c>
      <c r="AF4191" s="182" t="n">
        <v>0</v>
      </c>
      <c r="AG4191" s="182" t="n">
        <v>0</v>
      </c>
      <c r="AH4191" s="182" t="n">
        <v>0</v>
      </c>
      <c r="AI4191" s="182" t="n">
        <v>0</v>
      </c>
      <c r="AJ4191" s="182" t="n">
        <v>0</v>
      </c>
      <c r="AK4191" s="182" t="n">
        <v>10.92</v>
      </c>
      <c r="AL4191" s="182" t="n">
        <v>0</v>
      </c>
      <c r="AM4191" s="182" t="n">
        <v>0.08</v>
      </c>
      <c r="AN4191" s="182" t="n">
        <v>0</v>
      </c>
    </row>
    <row r="4192">
      <c r="A4192" s="155" t="n">
        <v>46101</v>
      </c>
      <c r="B4192" s="156" t="inlineStr">
        <is>
          <t>DS</t>
        </is>
      </c>
      <c r="C4192" s="156" t="inlineStr">
        <is>
          <t>CP-041</t>
        </is>
      </c>
      <c r="D4192" s="156" t="inlineStr">
        <is>
          <t>SANY - Compactor</t>
        </is>
      </c>
      <c r="E4192" s="156" t="inlineStr">
        <is>
          <t>Compactor</t>
        </is>
      </c>
      <c r="F4192" s="156" t="inlineStr">
        <is>
          <t>Support Area Gudang Handak</t>
        </is>
      </c>
      <c r="G4192" s="182" t="n">
        <v>5.37</v>
      </c>
      <c r="H4192" s="182" t="n">
        <v>0</v>
      </c>
      <c r="I4192" s="182" t="n">
        <v>0.88</v>
      </c>
      <c r="J4192" s="182" t="n">
        <v>0.88</v>
      </c>
      <c r="K4192" s="182" t="n">
        <v>5.75</v>
      </c>
      <c r="L4192" s="182" t="n">
        <v>12</v>
      </c>
      <c r="M4192" s="182" t="n">
        <v>0</v>
      </c>
      <c r="N4192" s="182" t="n">
        <v>0</v>
      </c>
      <c r="O4192" s="183" t="n">
        <v>0</v>
      </c>
      <c r="P4192" s="183" t="n">
        <v>0</v>
      </c>
      <c r="Q4192" s="184" t="n">
        <v>0</v>
      </c>
      <c r="R4192" s="184" t="n">
        <v>0</v>
      </c>
      <c r="S4192" s="183" t="n">
        <v>0</v>
      </c>
      <c r="T4192" s="183" t="n">
        <v>0</v>
      </c>
      <c r="U4192" s="182" t="n">
        <v>0</v>
      </c>
      <c r="V4192" s="182" t="n">
        <v>0</v>
      </c>
      <c r="W4192" s="182" t="n">
        <v>0</v>
      </c>
      <c r="X4192" s="182" t="n">
        <v>1.01</v>
      </c>
      <c r="Y4192" s="182" t="n">
        <v>0</v>
      </c>
      <c r="Z4192" s="182" t="n">
        <v>0</v>
      </c>
      <c r="AA4192" s="182" t="n">
        <v>0</v>
      </c>
      <c r="AB4192" s="182" t="n">
        <v>0</v>
      </c>
      <c r="AC4192" s="182" t="n">
        <v>0</v>
      </c>
      <c r="AD4192" s="182" t="n">
        <v>0</v>
      </c>
      <c r="AE4192" s="182" t="n">
        <v>0</v>
      </c>
      <c r="AF4192" s="182" t="n">
        <v>0</v>
      </c>
      <c r="AG4192" s="182" t="n">
        <v>0</v>
      </c>
      <c r="AH4192" s="182" t="n">
        <v>0</v>
      </c>
      <c r="AI4192" s="182" t="n">
        <v>0</v>
      </c>
      <c r="AJ4192" s="182" t="n">
        <v>0</v>
      </c>
      <c r="AK4192" s="182" t="n">
        <v>4.65</v>
      </c>
      <c r="AL4192" s="182" t="n">
        <v>0</v>
      </c>
      <c r="AM4192" s="182" t="n">
        <v>0.08</v>
      </c>
      <c r="AN4192" s="182" t="n">
        <v>0</v>
      </c>
    </row>
    <row r="4193">
      <c r="A4193" s="155" t="n">
        <v>46101</v>
      </c>
      <c r="B4193" s="156" t="inlineStr">
        <is>
          <t>DS</t>
        </is>
      </c>
      <c r="C4193" s="156" t="inlineStr">
        <is>
          <t>HT-418</t>
        </is>
      </c>
      <c r="D4193" s="156" t="inlineStr">
        <is>
          <t>SY430</t>
        </is>
      </c>
      <c r="E4193" s="156" t="inlineStr">
        <is>
          <t>DT Hauling</t>
        </is>
      </c>
      <c r="F4193" s="156" t="inlineStr"/>
      <c r="G4193" s="182" t="n">
        <v>0</v>
      </c>
      <c r="H4193" s="182" t="n">
        <v>0</v>
      </c>
      <c r="I4193" s="182" t="n">
        <v>0</v>
      </c>
      <c r="J4193" s="182" t="n">
        <v>0</v>
      </c>
      <c r="K4193" s="182" t="n">
        <v>12</v>
      </c>
      <c r="L4193" s="182" t="n">
        <v>12</v>
      </c>
      <c r="M4193" s="182" t="n">
        <v>0</v>
      </c>
      <c r="N4193" s="182" t="n">
        <v>0</v>
      </c>
      <c r="O4193" s="183" t="n">
        <v>0</v>
      </c>
      <c r="P4193" s="183" t="n">
        <v>0</v>
      </c>
      <c r="Q4193" s="184" t="n">
        <v>0</v>
      </c>
      <c r="R4193" s="184" t="n">
        <v>0</v>
      </c>
      <c r="S4193" s="183" t="n">
        <v>0</v>
      </c>
      <c r="T4193" s="183" t="n">
        <v>0</v>
      </c>
      <c r="U4193" s="182" t="n">
        <v>0</v>
      </c>
      <c r="V4193" s="182" t="n">
        <v>0</v>
      </c>
      <c r="W4193" s="182" t="n">
        <v>0</v>
      </c>
      <c r="X4193" s="182" t="n">
        <v>1</v>
      </c>
      <c r="Y4193" s="182" t="n">
        <v>0</v>
      </c>
      <c r="Z4193" s="182" t="n">
        <v>0</v>
      </c>
      <c r="AA4193" s="182" t="n">
        <v>0</v>
      </c>
      <c r="AB4193" s="182" t="n">
        <v>0</v>
      </c>
      <c r="AC4193" s="182" t="n">
        <v>0</v>
      </c>
      <c r="AD4193" s="182" t="n">
        <v>0</v>
      </c>
      <c r="AE4193" s="182" t="n">
        <v>0</v>
      </c>
      <c r="AF4193" s="182" t="n">
        <v>0</v>
      </c>
      <c r="AG4193" s="182" t="n">
        <v>0</v>
      </c>
      <c r="AH4193" s="182" t="n">
        <v>0</v>
      </c>
      <c r="AI4193" s="182" t="n">
        <v>0</v>
      </c>
      <c r="AJ4193" s="182" t="n">
        <v>0</v>
      </c>
      <c r="AK4193" s="182" t="n">
        <v>10.92</v>
      </c>
      <c r="AL4193" s="182" t="n">
        <v>0</v>
      </c>
      <c r="AM4193" s="182" t="n">
        <v>0.08</v>
      </c>
      <c r="AN4193" s="182" t="n">
        <v>0</v>
      </c>
    </row>
    <row r="4194">
      <c r="A4194" s="155" t="n">
        <v>46101</v>
      </c>
      <c r="B4194" s="156" t="inlineStr">
        <is>
          <t>DS</t>
        </is>
      </c>
      <c r="C4194" s="156" t="inlineStr">
        <is>
          <t>HT-404</t>
        </is>
      </c>
      <c r="D4194" s="156" t="inlineStr">
        <is>
          <t>SY430</t>
        </is>
      </c>
      <c r="E4194" s="156" t="inlineStr">
        <is>
          <t>DT Hauling</t>
        </is>
      </c>
      <c r="F4194" s="156" t="inlineStr"/>
      <c r="G4194" s="182" t="n">
        <v>0</v>
      </c>
      <c r="H4194" s="182" t="n">
        <v>0</v>
      </c>
      <c r="I4194" s="182" t="n">
        <v>12</v>
      </c>
      <c r="J4194" s="182" t="n">
        <v>12</v>
      </c>
      <c r="K4194" s="182" t="n">
        <v>0</v>
      </c>
      <c r="L4194" s="182" t="n">
        <v>12</v>
      </c>
      <c r="M4194" s="182" t="n">
        <v>0</v>
      </c>
      <c r="N4194" s="182" t="n">
        <v>0</v>
      </c>
      <c r="O4194" s="183" t="n">
        <v>0</v>
      </c>
      <c r="P4194" s="183" t="n">
        <v>0</v>
      </c>
      <c r="Q4194" s="184" t="n">
        <v>0</v>
      </c>
      <c r="R4194" s="184" t="n">
        <v>0</v>
      </c>
      <c r="S4194" s="183" t="n">
        <v>0</v>
      </c>
      <c r="T4194" s="183" t="n">
        <v>0</v>
      </c>
      <c r="U4194" s="182" t="n">
        <v>0</v>
      </c>
      <c r="V4194" s="182" t="n">
        <v>0</v>
      </c>
      <c r="W4194" s="182" t="n">
        <v>0</v>
      </c>
      <c r="X4194" s="182" t="n">
        <v>0</v>
      </c>
      <c r="Y4194" s="182" t="n">
        <v>0</v>
      </c>
      <c r="Z4194" s="182" t="n">
        <v>0</v>
      </c>
      <c r="AA4194" s="182" t="n">
        <v>0</v>
      </c>
      <c r="AB4194" s="182" t="n">
        <v>0</v>
      </c>
      <c r="AC4194" s="182" t="n">
        <v>0</v>
      </c>
      <c r="AD4194" s="182" t="n">
        <v>0</v>
      </c>
      <c r="AE4194" s="182" t="n">
        <v>0</v>
      </c>
      <c r="AF4194" s="182" t="n">
        <v>0</v>
      </c>
      <c r="AG4194" s="182" t="n">
        <v>0</v>
      </c>
      <c r="AH4194" s="182" t="n">
        <v>0</v>
      </c>
      <c r="AI4194" s="182" t="n">
        <v>0</v>
      </c>
      <c r="AJ4194" s="182" t="n">
        <v>0</v>
      </c>
      <c r="AK4194" s="182" t="n">
        <v>0</v>
      </c>
      <c r="AL4194" s="182" t="n">
        <v>0</v>
      </c>
      <c r="AM4194" s="182" t="n">
        <v>0</v>
      </c>
      <c r="AN4194" s="182" t="n">
        <v>0</v>
      </c>
    </row>
    <row r="4195">
      <c r="A4195" s="155" t="n">
        <v>46101</v>
      </c>
      <c r="B4195" s="156" t="inlineStr">
        <is>
          <t>DS</t>
        </is>
      </c>
      <c r="C4195" s="156" t="inlineStr">
        <is>
          <t>HT-415</t>
        </is>
      </c>
      <c r="D4195" s="156" t="inlineStr">
        <is>
          <t>SY430</t>
        </is>
      </c>
      <c r="E4195" s="156" t="inlineStr">
        <is>
          <t>DT Hauling</t>
        </is>
      </c>
      <c r="F4195" s="156" t="inlineStr"/>
      <c r="G4195" s="182" t="n">
        <v>0</v>
      </c>
      <c r="H4195" s="182" t="n">
        <v>0</v>
      </c>
      <c r="I4195" s="182" t="n">
        <v>12</v>
      </c>
      <c r="J4195" s="182" t="n">
        <v>12</v>
      </c>
      <c r="K4195" s="182" t="n">
        <v>0</v>
      </c>
      <c r="L4195" s="182" t="n">
        <v>12</v>
      </c>
      <c r="M4195" s="182" t="n">
        <v>0</v>
      </c>
      <c r="N4195" s="182" t="n">
        <v>0</v>
      </c>
      <c r="O4195" s="183" t="n">
        <v>0</v>
      </c>
      <c r="P4195" s="183" t="n">
        <v>0</v>
      </c>
      <c r="Q4195" s="184" t="n">
        <v>0</v>
      </c>
      <c r="R4195" s="184" t="n">
        <v>0</v>
      </c>
      <c r="S4195" s="183" t="n">
        <v>0</v>
      </c>
      <c r="T4195" s="183" t="n">
        <v>0</v>
      </c>
      <c r="U4195" s="182" t="n">
        <v>0</v>
      </c>
      <c r="V4195" s="182" t="n">
        <v>0</v>
      </c>
      <c r="W4195" s="182" t="n">
        <v>0</v>
      </c>
      <c r="X4195" s="182" t="n">
        <v>0</v>
      </c>
      <c r="Y4195" s="182" t="n">
        <v>0</v>
      </c>
      <c r="Z4195" s="182" t="n">
        <v>0</v>
      </c>
      <c r="AA4195" s="182" t="n">
        <v>0</v>
      </c>
      <c r="AB4195" s="182" t="n">
        <v>0</v>
      </c>
      <c r="AC4195" s="182" t="n">
        <v>0</v>
      </c>
      <c r="AD4195" s="182" t="n">
        <v>0</v>
      </c>
      <c r="AE4195" s="182" t="n">
        <v>0</v>
      </c>
      <c r="AF4195" s="182" t="n">
        <v>0</v>
      </c>
      <c r="AG4195" s="182" t="n">
        <v>0</v>
      </c>
      <c r="AH4195" s="182" t="n">
        <v>0</v>
      </c>
      <c r="AI4195" s="182" t="n">
        <v>0</v>
      </c>
      <c r="AJ4195" s="182" t="n">
        <v>0</v>
      </c>
      <c r="AK4195" s="182" t="n">
        <v>0</v>
      </c>
      <c r="AL4195" s="182" t="n">
        <v>0</v>
      </c>
      <c r="AM4195" s="182" t="n">
        <v>0</v>
      </c>
      <c r="AN4195" s="182" t="n">
        <v>0</v>
      </c>
    </row>
    <row r="4196">
      <c r="A4196" s="155" t="n">
        <v>46101</v>
      </c>
      <c r="B4196" s="156" t="inlineStr">
        <is>
          <t>DS</t>
        </is>
      </c>
      <c r="C4196" s="156" t="inlineStr">
        <is>
          <t>HT-406</t>
        </is>
      </c>
      <c r="D4196" s="156" t="inlineStr">
        <is>
          <t>SY430</t>
        </is>
      </c>
      <c r="E4196" s="156" t="inlineStr">
        <is>
          <t>DT Hauling</t>
        </is>
      </c>
      <c r="F4196" s="156" t="inlineStr"/>
      <c r="G4196" s="182" t="n">
        <v>0</v>
      </c>
      <c r="H4196" s="182" t="n">
        <v>0</v>
      </c>
      <c r="I4196" s="182" t="n">
        <v>12</v>
      </c>
      <c r="J4196" s="182" t="n">
        <v>12</v>
      </c>
      <c r="K4196" s="182" t="n">
        <v>0</v>
      </c>
      <c r="L4196" s="182" t="n">
        <v>12</v>
      </c>
      <c r="M4196" s="182" t="n">
        <v>0</v>
      </c>
      <c r="N4196" s="182" t="n">
        <v>0</v>
      </c>
      <c r="O4196" s="183" t="n">
        <v>0</v>
      </c>
      <c r="P4196" s="183" t="n">
        <v>0</v>
      </c>
      <c r="Q4196" s="184" t="n">
        <v>0</v>
      </c>
      <c r="R4196" s="184" t="n">
        <v>0</v>
      </c>
      <c r="S4196" s="183" t="n">
        <v>0</v>
      </c>
      <c r="T4196" s="183" t="n">
        <v>0</v>
      </c>
      <c r="U4196" s="182" t="n">
        <v>0</v>
      </c>
      <c r="V4196" s="182" t="n">
        <v>0</v>
      </c>
      <c r="W4196" s="182" t="n">
        <v>0</v>
      </c>
      <c r="X4196" s="182" t="n">
        <v>0</v>
      </c>
      <c r="Y4196" s="182" t="n">
        <v>0</v>
      </c>
      <c r="Z4196" s="182" t="n">
        <v>0</v>
      </c>
      <c r="AA4196" s="182" t="n">
        <v>0</v>
      </c>
      <c r="AB4196" s="182" t="n">
        <v>0</v>
      </c>
      <c r="AC4196" s="182" t="n">
        <v>0</v>
      </c>
      <c r="AD4196" s="182" t="n">
        <v>0</v>
      </c>
      <c r="AE4196" s="182" t="n">
        <v>0</v>
      </c>
      <c r="AF4196" s="182" t="n">
        <v>0</v>
      </c>
      <c r="AG4196" s="182" t="n">
        <v>0</v>
      </c>
      <c r="AH4196" s="182" t="n">
        <v>0</v>
      </c>
      <c r="AI4196" s="182" t="n">
        <v>0</v>
      </c>
      <c r="AJ4196" s="182" t="n">
        <v>0</v>
      </c>
      <c r="AK4196" s="182" t="n">
        <v>0</v>
      </c>
      <c r="AL4196" s="182" t="n">
        <v>0</v>
      </c>
      <c r="AM4196" s="182" t="n">
        <v>0</v>
      </c>
      <c r="AN4196" s="182" t="n">
        <v>0</v>
      </c>
    </row>
    <row r="4197">
      <c r="A4197" s="155" t="n">
        <v>46101</v>
      </c>
      <c r="B4197" s="156" t="inlineStr">
        <is>
          <t>DS</t>
        </is>
      </c>
      <c r="C4197" s="156" t="inlineStr">
        <is>
          <t>HT-405</t>
        </is>
      </c>
      <c r="D4197" s="156" t="inlineStr">
        <is>
          <t>SY430</t>
        </is>
      </c>
      <c r="E4197" s="156" t="inlineStr">
        <is>
          <t>DT Hauling</t>
        </is>
      </c>
      <c r="F4197" s="156" t="inlineStr"/>
      <c r="G4197" s="182" t="n">
        <v>0</v>
      </c>
      <c r="H4197" s="182" t="n">
        <v>0</v>
      </c>
      <c r="I4197" s="182" t="n">
        <v>0</v>
      </c>
      <c r="J4197" s="182" t="n">
        <v>0</v>
      </c>
      <c r="K4197" s="182" t="n">
        <v>12</v>
      </c>
      <c r="L4197" s="182" t="n">
        <v>12</v>
      </c>
      <c r="M4197" s="182" t="n">
        <v>0</v>
      </c>
      <c r="N4197" s="182" t="n">
        <v>0</v>
      </c>
      <c r="O4197" s="183" t="n">
        <v>0</v>
      </c>
      <c r="P4197" s="183" t="n">
        <v>0</v>
      </c>
      <c r="Q4197" s="184" t="n">
        <v>0</v>
      </c>
      <c r="R4197" s="184" t="n">
        <v>0</v>
      </c>
      <c r="S4197" s="183" t="n">
        <v>0</v>
      </c>
      <c r="T4197" s="183" t="n">
        <v>0</v>
      </c>
      <c r="U4197" s="182" t="n">
        <v>0</v>
      </c>
      <c r="V4197" s="182" t="n">
        <v>0</v>
      </c>
      <c r="W4197" s="182" t="n">
        <v>0</v>
      </c>
      <c r="X4197" s="182" t="n">
        <v>1</v>
      </c>
      <c r="Y4197" s="182" t="n">
        <v>0</v>
      </c>
      <c r="Z4197" s="182" t="n">
        <v>0</v>
      </c>
      <c r="AA4197" s="182" t="n">
        <v>0</v>
      </c>
      <c r="AB4197" s="182" t="n">
        <v>0</v>
      </c>
      <c r="AC4197" s="182" t="n">
        <v>0</v>
      </c>
      <c r="AD4197" s="182" t="n">
        <v>0</v>
      </c>
      <c r="AE4197" s="182" t="n">
        <v>0</v>
      </c>
      <c r="AF4197" s="182" t="n">
        <v>0</v>
      </c>
      <c r="AG4197" s="182" t="n">
        <v>0</v>
      </c>
      <c r="AH4197" s="182" t="n">
        <v>0</v>
      </c>
      <c r="AI4197" s="182" t="n">
        <v>0</v>
      </c>
      <c r="AJ4197" s="182" t="n">
        <v>0</v>
      </c>
      <c r="AK4197" s="182" t="n">
        <v>10.92</v>
      </c>
      <c r="AL4197" s="182" t="n">
        <v>0</v>
      </c>
      <c r="AM4197" s="182" t="n">
        <v>0.08</v>
      </c>
      <c r="AN4197" s="182" t="n">
        <v>0</v>
      </c>
    </row>
    <row r="4198">
      <c r="A4198" s="155" t="n">
        <v>46101</v>
      </c>
      <c r="B4198" s="156" t="inlineStr">
        <is>
          <t>DS</t>
        </is>
      </c>
      <c r="C4198" s="156" t="inlineStr">
        <is>
          <t>HT-417</t>
        </is>
      </c>
      <c r="D4198" s="156" t="inlineStr">
        <is>
          <t>SY430</t>
        </is>
      </c>
      <c r="E4198" s="156" t="inlineStr">
        <is>
          <t>DT Hauling</t>
        </is>
      </c>
      <c r="F4198" s="156" t="inlineStr"/>
      <c r="G4198" s="182" t="n">
        <v>0</v>
      </c>
      <c r="H4198" s="182" t="n">
        <v>0</v>
      </c>
      <c r="I4198" s="182" t="n">
        <v>0</v>
      </c>
      <c r="J4198" s="182" t="n">
        <v>0</v>
      </c>
      <c r="K4198" s="182" t="n">
        <v>12</v>
      </c>
      <c r="L4198" s="182" t="n">
        <v>12</v>
      </c>
      <c r="M4198" s="182" t="n">
        <v>0</v>
      </c>
      <c r="N4198" s="182" t="n">
        <v>0</v>
      </c>
      <c r="O4198" s="183" t="n">
        <v>0</v>
      </c>
      <c r="P4198" s="183" t="n">
        <v>0</v>
      </c>
      <c r="Q4198" s="184" t="n">
        <v>0</v>
      </c>
      <c r="R4198" s="184" t="n">
        <v>0</v>
      </c>
      <c r="S4198" s="183" t="n">
        <v>0</v>
      </c>
      <c r="T4198" s="183" t="n">
        <v>0</v>
      </c>
      <c r="U4198" s="182" t="n">
        <v>0</v>
      </c>
      <c r="V4198" s="182" t="n">
        <v>0</v>
      </c>
      <c r="W4198" s="182" t="n">
        <v>0</v>
      </c>
      <c r="X4198" s="182" t="n">
        <v>1</v>
      </c>
      <c r="Y4198" s="182" t="n">
        <v>0</v>
      </c>
      <c r="Z4198" s="182" t="n">
        <v>0</v>
      </c>
      <c r="AA4198" s="182" t="n">
        <v>0</v>
      </c>
      <c r="AB4198" s="182" t="n">
        <v>0</v>
      </c>
      <c r="AC4198" s="182" t="n">
        <v>0</v>
      </c>
      <c r="AD4198" s="182" t="n">
        <v>0</v>
      </c>
      <c r="AE4198" s="182" t="n">
        <v>0</v>
      </c>
      <c r="AF4198" s="182" t="n">
        <v>0</v>
      </c>
      <c r="AG4198" s="182" t="n">
        <v>0</v>
      </c>
      <c r="AH4198" s="182" t="n">
        <v>0</v>
      </c>
      <c r="AI4198" s="182" t="n">
        <v>0</v>
      </c>
      <c r="AJ4198" s="182" t="n">
        <v>0</v>
      </c>
      <c r="AK4198" s="182" t="n">
        <v>10.92</v>
      </c>
      <c r="AL4198" s="182" t="n">
        <v>0</v>
      </c>
      <c r="AM4198" s="182" t="n">
        <v>0.08</v>
      </c>
      <c r="AN4198" s="182" t="n">
        <v>0</v>
      </c>
    </row>
    <row r="4199">
      <c r="A4199" s="155" t="n">
        <v>46101</v>
      </c>
      <c r="B4199" s="156" t="inlineStr">
        <is>
          <t>DS</t>
        </is>
      </c>
      <c r="C4199" s="156" t="inlineStr">
        <is>
          <t>HT-401</t>
        </is>
      </c>
      <c r="D4199" s="156" t="inlineStr">
        <is>
          <t>SY430</t>
        </is>
      </c>
      <c r="E4199" s="156" t="inlineStr">
        <is>
          <t>DT Hauling</t>
        </is>
      </c>
      <c r="F4199" s="156" t="inlineStr"/>
      <c r="G4199" s="182" t="n">
        <v>0</v>
      </c>
      <c r="H4199" s="182" t="n">
        <v>0</v>
      </c>
      <c r="I4199" s="182" t="n">
        <v>0</v>
      </c>
      <c r="J4199" s="182" t="n">
        <v>0</v>
      </c>
      <c r="K4199" s="182" t="n">
        <v>12</v>
      </c>
      <c r="L4199" s="182" t="n">
        <v>12</v>
      </c>
      <c r="M4199" s="182" t="n">
        <v>0</v>
      </c>
      <c r="N4199" s="182" t="n">
        <v>0</v>
      </c>
      <c r="O4199" s="183" t="n">
        <v>0</v>
      </c>
      <c r="P4199" s="183" t="n">
        <v>0</v>
      </c>
      <c r="Q4199" s="184" t="n">
        <v>0</v>
      </c>
      <c r="R4199" s="184" t="n">
        <v>0</v>
      </c>
      <c r="S4199" s="183" t="n">
        <v>0</v>
      </c>
      <c r="T4199" s="183" t="n">
        <v>0</v>
      </c>
      <c r="U4199" s="182" t="n">
        <v>0</v>
      </c>
      <c r="V4199" s="182" t="n">
        <v>0</v>
      </c>
      <c r="W4199" s="182" t="n">
        <v>0</v>
      </c>
      <c r="X4199" s="182" t="n">
        <v>1</v>
      </c>
      <c r="Y4199" s="182" t="n">
        <v>0</v>
      </c>
      <c r="Z4199" s="182" t="n">
        <v>0</v>
      </c>
      <c r="AA4199" s="182" t="n">
        <v>0</v>
      </c>
      <c r="AB4199" s="182" t="n">
        <v>0</v>
      </c>
      <c r="AC4199" s="182" t="n">
        <v>0</v>
      </c>
      <c r="AD4199" s="182" t="n">
        <v>0</v>
      </c>
      <c r="AE4199" s="182" t="n">
        <v>0</v>
      </c>
      <c r="AF4199" s="182" t="n">
        <v>0</v>
      </c>
      <c r="AG4199" s="182" t="n">
        <v>0</v>
      </c>
      <c r="AH4199" s="182" t="n">
        <v>0</v>
      </c>
      <c r="AI4199" s="182" t="n">
        <v>0</v>
      </c>
      <c r="AJ4199" s="182" t="n">
        <v>0</v>
      </c>
      <c r="AK4199" s="182" t="n">
        <v>10.92</v>
      </c>
      <c r="AL4199" s="182" t="n">
        <v>0</v>
      </c>
      <c r="AM4199" s="182" t="n">
        <v>0.08</v>
      </c>
      <c r="AN4199" s="182" t="n">
        <v>0</v>
      </c>
    </row>
    <row r="4200">
      <c r="A4200" s="155" t="n">
        <v>46101</v>
      </c>
      <c r="B4200" s="156" t="inlineStr">
        <is>
          <t>DS</t>
        </is>
      </c>
      <c r="C4200" s="156" t="inlineStr">
        <is>
          <t>HT-410</t>
        </is>
      </c>
      <c r="D4200" s="156" t="inlineStr">
        <is>
          <t>SY430</t>
        </is>
      </c>
      <c r="E4200" s="156" t="inlineStr">
        <is>
          <t>DT Hauling</t>
        </is>
      </c>
      <c r="F4200" s="156" t="inlineStr"/>
      <c r="G4200" s="182" t="n">
        <v>0</v>
      </c>
      <c r="H4200" s="182" t="n">
        <v>0</v>
      </c>
      <c r="I4200" s="182" t="n">
        <v>0</v>
      </c>
      <c r="J4200" s="182" t="n">
        <v>0</v>
      </c>
      <c r="K4200" s="182" t="n">
        <v>12</v>
      </c>
      <c r="L4200" s="182" t="n">
        <v>12</v>
      </c>
      <c r="M4200" s="182" t="n">
        <v>0</v>
      </c>
      <c r="N4200" s="182" t="n">
        <v>0</v>
      </c>
      <c r="O4200" s="183" t="n">
        <v>0</v>
      </c>
      <c r="P4200" s="183" t="n">
        <v>0</v>
      </c>
      <c r="Q4200" s="184" t="n">
        <v>0</v>
      </c>
      <c r="R4200" s="184" t="n">
        <v>0</v>
      </c>
      <c r="S4200" s="183" t="n">
        <v>0</v>
      </c>
      <c r="T4200" s="183" t="n">
        <v>0</v>
      </c>
      <c r="U4200" s="182" t="n">
        <v>0</v>
      </c>
      <c r="V4200" s="182" t="n">
        <v>0</v>
      </c>
      <c r="W4200" s="182" t="n">
        <v>0</v>
      </c>
      <c r="X4200" s="182" t="n">
        <v>1</v>
      </c>
      <c r="Y4200" s="182" t="n">
        <v>0</v>
      </c>
      <c r="Z4200" s="182" t="n">
        <v>0</v>
      </c>
      <c r="AA4200" s="182" t="n">
        <v>0</v>
      </c>
      <c r="AB4200" s="182" t="n">
        <v>0</v>
      </c>
      <c r="AC4200" s="182" t="n">
        <v>0</v>
      </c>
      <c r="AD4200" s="182" t="n">
        <v>0</v>
      </c>
      <c r="AE4200" s="182" t="n">
        <v>0</v>
      </c>
      <c r="AF4200" s="182" t="n">
        <v>0</v>
      </c>
      <c r="AG4200" s="182" t="n">
        <v>0</v>
      </c>
      <c r="AH4200" s="182" t="n">
        <v>0</v>
      </c>
      <c r="AI4200" s="182" t="n">
        <v>0</v>
      </c>
      <c r="AJ4200" s="182" t="n">
        <v>0</v>
      </c>
      <c r="AK4200" s="182" t="n">
        <v>10.92</v>
      </c>
      <c r="AL4200" s="182" t="n">
        <v>0</v>
      </c>
      <c r="AM4200" s="182" t="n">
        <v>0.08</v>
      </c>
      <c r="AN4200" s="182" t="n">
        <v>0</v>
      </c>
    </row>
    <row r="4201">
      <c r="A4201" s="155" t="n">
        <v>46101</v>
      </c>
      <c r="B4201" s="156" t="inlineStr">
        <is>
          <t>DS</t>
        </is>
      </c>
      <c r="C4201" s="156" t="inlineStr">
        <is>
          <t>HT-402</t>
        </is>
      </c>
      <c r="D4201" s="156" t="inlineStr">
        <is>
          <t>SY430</t>
        </is>
      </c>
      <c r="E4201" s="156" t="inlineStr">
        <is>
          <t>DT Hauling</t>
        </is>
      </c>
      <c r="F4201" s="156" t="inlineStr"/>
      <c r="G4201" s="182" t="n">
        <v>0</v>
      </c>
      <c r="H4201" s="182" t="n">
        <v>0</v>
      </c>
      <c r="I4201" s="182" t="n">
        <v>12</v>
      </c>
      <c r="J4201" s="182" t="n">
        <v>12</v>
      </c>
      <c r="K4201" s="182" t="n">
        <v>0</v>
      </c>
      <c r="L4201" s="182" t="n">
        <v>12</v>
      </c>
      <c r="M4201" s="182" t="n">
        <v>0</v>
      </c>
      <c r="N4201" s="182" t="n">
        <v>0</v>
      </c>
      <c r="O4201" s="183" t="n">
        <v>0</v>
      </c>
      <c r="P4201" s="183" t="n">
        <v>0</v>
      </c>
      <c r="Q4201" s="184" t="n">
        <v>0</v>
      </c>
      <c r="R4201" s="184" t="n">
        <v>0</v>
      </c>
      <c r="S4201" s="183" t="n">
        <v>0</v>
      </c>
      <c r="T4201" s="183" t="n">
        <v>0</v>
      </c>
      <c r="U4201" s="182" t="n">
        <v>0</v>
      </c>
      <c r="V4201" s="182" t="n">
        <v>0</v>
      </c>
      <c r="W4201" s="182" t="n">
        <v>0</v>
      </c>
      <c r="X4201" s="182" t="n">
        <v>0</v>
      </c>
      <c r="Y4201" s="182" t="n">
        <v>0</v>
      </c>
      <c r="Z4201" s="182" t="n">
        <v>0</v>
      </c>
      <c r="AA4201" s="182" t="n">
        <v>0</v>
      </c>
      <c r="AB4201" s="182" t="n">
        <v>0</v>
      </c>
      <c r="AC4201" s="182" t="n">
        <v>0</v>
      </c>
      <c r="AD4201" s="182" t="n">
        <v>0</v>
      </c>
      <c r="AE4201" s="182" t="n">
        <v>0</v>
      </c>
      <c r="AF4201" s="182" t="n">
        <v>0</v>
      </c>
      <c r="AG4201" s="182" t="n">
        <v>0</v>
      </c>
      <c r="AH4201" s="182" t="n">
        <v>0</v>
      </c>
      <c r="AI4201" s="182" t="n">
        <v>0</v>
      </c>
      <c r="AJ4201" s="182" t="n">
        <v>0</v>
      </c>
      <c r="AK4201" s="182" t="n">
        <v>0</v>
      </c>
      <c r="AL4201" s="182" t="n">
        <v>0</v>
      </c>
      <c r="AM4201" s="182" t="n">
        <v>0</v>
      </c>
      <c r="AN4201" s="182" t="n">
        <v>0</v>
      </c>
    </row>
    <row r="4202">
      <c r="A4202" s="155" t="n">
        <v>46101</v>
      </c>
      <c r="B4202" s="156" t="inlineStr">
        <is>
          <t>DS</t>
        </is>
      </c>
      <c r="C4202" s="156" t="inlineStr">
        <is>
          <t>HT-419</t>
        </is>
      </c>
      <c r="D4202" s="156" t="inlineStr">
        <is>
          <t>SY430</t>
        </is>
      </c>
      <c r="E4202" s="156" t="inlineStr">
        <is>
          <t>DT Hauling</t>
        </is>
      </c>
      <c r="F4202" s="156" t="inlineStr"/>
      <c r="G4202" s="182" t="n">
        <v>0</v>
      </c>
      <c r="H4202" s="182" t="n">
        <v>0</v>
      </c>
      <c r="I4202" s="182" t="n">
        <v>0</v>
      </c>
      <c r="J4202" s="182" t="n">
        <v>0</v>
      </c>
      <c r="K4202" s="182" t="n">
        <v>12</v>
      </c>
      <c r="L4202" s="182" t="n">
        <v>12</v>
      </c>
      <c r="M4202" s="182" t="n">
        <v>0</v>
      </c>
      <c r="N4202" s="182" t="n">
        <v>0</v>
      </c>
      <c r="O4202" s="183" t="n">
        <v>0</v>
      </c>
      <c r="P4202" s="183" t="n">
        <v>0</v>
      </c>
      <c r="Q4202" s="184" t="n">
        <v>0</v>
      </c>
      <c r="R4202" s="184" t="n">
        <v>0</v>
      </c>
      <c r="S4202" s="183" t="n">
        <v>0</v>
      </c>
      <c r="T4202" s="183" t="n">
        <v>0</v>
      </c>
      <c r="U4202" s="182" t="n">
        <v>0</v>
      </c>
      <c r="V4202" s="182" t="n">
        <v>0</v>
      </c>
      <c r="W4202" s="182" t="n">
        <v>0</v>
      </c>
      <c r="X4202" s="182" t="n">
        <v>1</v>
      </c>
      <c r="Y4202" s="182" t="n">
        <v>0</v>
      </c>
      <c r="Z4202" s="182" t="n">
        <v>0</v>
      </c>
      <c r="AA4202" s="182" t="n">
        <v>0</v>
      </c>
      <c r="AB4202" s="182" t="n">
        <v>0</v>
      </c>
      <c r="AC4202" s="182" t="n">
        <v>0</v>
      </c>
      <c r="AD4202" s="182" t="n">
        <v>0</v>
      </c>
      <c r="AE4202" s="182" t="n">
        <v>0</v>
      </c>
      <c r="AF4202" s="182" t="n">
        <v>0</v>
      </c>
      <c r="AG4202" s="182" t="n">
        <v>0</v>
      </c>
      <c r="AH4202" s="182" t="n">
        <v>0</v>
      </c>
      <c r="AI4202" s="182" t="n">
        <v>0</v>
      </c>
      <c r="AJ4202" s="182" t="n">
        <v>0</v>
      </c>
      <c r="AK4202" s="182" t="n">
        <v>10.92</v>
      </c>
      <c r="AL4202" s="182" t="n">
        <v>0</v>
      </c>
      <c r="AM4202" s="182" t="n">
        <v>0.08</v>
      </c>
      <c r="AN4202" s="182" t="n">
        <v>0</v>
      </c>
    </row>
    <row r="4203">
      <c r="A4203" s="155" t="n">
        <v>46101</v>
      </c>
      <c r="B4203" s="156" t="inlineStr">
        <is>
          <t>DS</t>
        </is>
      </c>
      <c r="C4203" s="156" t="inlineStr">
        <is>
          <t>HT-416</t>
        </is>
      </c>
      <c r="D4203" s="156" t="inlineStr">
        <is>
          <t>SY430</t>
        </is>
      </c>
      <c r="E4203" s="156" t="inlineStr">
        <is>
          <t>DT Hauling</t>
        </is>
      </c>
      <c r="F4203" s="156" t="inlineStr"/>
      <c r="G4203" s="182" t="n">
        <v>0</v>
      </c>
      <c r="H4203" s="182" t="n">
        <v>0</v>
      </c>
      <c r="I4203" s="182" t="n">
        <v>0</v>
      </c>
      <c r="J4203" s="182" t="n">
        <v>0</v>
      </c>
      <c r="K4203" s="182" t="n">
        <v>12</v>
      </c>
      <c r="L4203" s="182" t="n">
        <v>12</v>
      </c>
      <c r="M4203" s="182" t="n">
        <v>0</v>
      </c>
      <c r="N4203" s="182" t="n">
        <v>0</v>
      </c>
      <c r="O4203" s="183" t="n">
        <v>0</v>
      </c>
      <c r="P4203" s="183" t="n">
        <v>0</v>
      </c>
      <c r="Q4203" s="184" t="n">
        <v>0</v>
      </c>
      <c r="R4203" s="184" t="n">
        <v>0</v>
      </c>
      <c r="S4203" s="183" t="n">
        <v>0</v>
      </c>
      <c r="T4203" s="183" t="n">
        <v>0</v>
      </c>
      <c r="U4203" s="182" t="n">
        <v>0</v>
      </c>
      <c r="V4203" s="182" t="n">
        <v>0</v>
      </c>
      <c r="W4203" s="182" t="n">
        <v>0</v>
      </c>
      <c r="X4203" s="182" t="n">
        <v>1</v>
      </c>
      <c r="Y4203" s="182" t="n">
        <v>0</v>
      </c>
      <c r="Z4203" s="182" t="n">
        <v>0</v>
      </c>
      <c r="AA4203" s="182" t="n">
        <v>0</v>
      </c>
      <c r="AB4203" s="182" t="n">
        <v>0</v>
      </c>
      <c r="AC4203" s="182" t="n">
        <v>0</v>
      </c>
      <c r="AD4203" s="182" t="n">
        <v>0</v>
      </c>
      <c r="AE4203" s="182" t="n">
        <v>0</v>
      </c>
      <c r="AF4203" s="182" t="n">
        <v>0</v>
      </c>
      <c r="AG4203" s="182" t="n">
        <v>0</v>
      </c>
      <c r="AH4203" s="182" t="n">
        <v>0</v>
      </c>
      <c r="AI4203" s="182" t="n">
        <v>0</v>
      </c>
      <c r="AJ4203" s="182" t="n">
        <v>0</v>
      </c>
      <c r="AK4203" s="182" t="n">
        <v>10.92</v>
      </c>
      <c r="AL4203" s="182" t="n">
        <v>0</v>
      </c>
      <c r="AM4203" s="182" t="n">
        <v>0.08</v>
      </c>
      <c r="AN4203" s="182" t="n">
        <v>0</v>
      </c>
    </row>
    <row r="4204">
      <c r="A4204" s="155" t="n">
        <v>46101</v>
      </c>
      <c r="B4204" s="156" t="inlineStr">
        <is>
          <t>DS</t>
        </is>
      </c>
      <c r="C4204" s="156" t="inlineStr">
        <is>
          <t>HT-420</t>
        </is>
      </c>
      <c r="D4204" s="156" t="inlineStr">
        <is>
          <t>SY430</t>
        </is>
      </c>
      <c r="E4204" s="156" t="inlineStr">
        <is>
          <t>DT Hauling</t>
        </is>
      </c>
      <c r="F4204" s="156" t="inlineStr"/>
      <c r="G4204" s="182" t="n">
        <v>0</v>
      </c>
      <c r="H4204" s="182" t="n">
        <v>0</v>
      </c>
      <c r="I4204" s="182" t="n">
        <v>0</v>
      </c>
      <c r="J4204" s="182" t="n">
        <v>0</v>
      </c>
      <c r="K4204" s="182" t="n">
        <v>12</v>
      </c>
      <c r="L4204" s="182" t="n">
        <v>12</v>
      </c>
      <c r="M4204" s="182" t="n">
        <v>0</v>
      </c>
      <c r="N4204" s="182" t="n">
        <v>0</v>
      </c>
      <c r="O4204" s="183" t="n">
        <v>0</v>
      </c>
      <c r="P4204" s="183" t="n">
        <v>0</v>
      </c>
      <c r="Q4204" s="184" t="n">
        <v>0</v>
      </c>
      <c r="R4204" s="184" t="n">
        <v>0</v>
      </c>
      <c r="S4204" s="183" t="n">
        <v>0</v>
      </c>
      <c r="T4204" s="183" t="n">
        <v>0</v>
      </c>
      <c r="U4204" s="182" t="n">
        <v>0</v>
      </c>
      <c r="V4204" s="182" t="n">
        <v>0</v>
      </c>
      <c r="W4204" s="182" t="n">
        <v>0</v>
      </c>
      <c r="X4204" s="182" t="n">
        <v>1</v>
      </c>
      <c r="Y4204" s="182" t="n">
        <v>0</v>
      </c>
      <c r="Z4204" s="182" t="n">
        <v>0</v>
      </c>
      <c r="AA4204" s="182" t="n">
        <v>0</v>
      </c>
      <c r="AB4204" s="182" t="n">
        <v>0</v>
      </c>
      <c r="AC4204" s="182" t="n">
        <v>0</v>
      </c>
      <c r="AD4204" s="182" t="n">
        <v>0</v>
      </c>
      <c r="AE4204" s="182" t="n">
        <v>0</v>
      </c>
      <c r="AF4204" s="182" t="n">
        <v>0</v>
      </c>
      <c r="AG4204" s="182" t="n">
        <v>0</v>
      </c>
      <c r="AH4204" s="182" t="n">
        <v>0</v>
      </c>
      <c r="AI4204" s="182" t="n">
        <v>0</v>
      </c>
      <c r="AJ4204" s="182" t="n">
        <v>0</v>
      </c>
      <c r="AK4204" s="182" t="n">
        <v>10.92</v>
      </c>
      <c r="AL4204" s="182" t="n">
        <v>0</v>
      </c>
      <c r="AM4204" s="182" t="n">
        <v>0.08</v>
      </c>
      <c r="AN4204" s="182" t="n">
        <v>0</v>
      </c>
    </row>
    <row r="4205">
      <c r="A4205" s="155" t="n">
        <v>46101</v>
      </c>
      <c r="B4205" s="156" t="inlineStr">
        <is>
          <t>DS</t>
        </is>
      </c>
      <c r="C4205" s="156" t="inlineStr">
        <is>
          <t>HT-403</t>
        </is>
      </c>
      <c r="D4205" s="156" t="inlineStr">
        <is>
          <t>SY430</t>
        </is>
      </c>
      <c r="E4205" s="156" t="inlineStr">
        <is>
          <t>DT Hauling</t>
        </is>
      </c>
      <c r="F4205" s="156" t="inlineStr"/>
      <c r="G4205" s="182" t="n">
        <v>0</v>
      </c>
      <c r="H4205" s="182" t="n">
        <v>0</v>
      </c>
      <c r="I4205" s="182" t="n">
        <v>0.13</v>
      </c>
      <c r="J4205" s="182" t="n">
        <v>0.13</v>
      </c>
      <c r="K4205" s="182" t="n">
        <v>11.87</v>
      </c>
      <c r="L4205" s="182" t="n">
        <v>12</v>
      </c>
      <c r="M4205" s="182" t="n">
        <v>0</v>
      </c>
      <c r="N4205" s="182" t="n">
        <v>0</v>
      </c>
      <c r="O4205" s="183" t="n">
        <v>0</v>
      </c>
      <c r="P4205" s="183" t="n">
        <v>0</v>
      </c>
      <c r="Q4205" s="184" t="n">
        <v>0</v>
      </c>
      <c r="R4205" s="184" t="n">
        <v>0</v>
      </c>
      <c r="S4205" s="183" t="n">
        <v>0</v>
      </c>
      <c r="T4205" s="183" t="n">
        <v>0</v>
      </c>
      <c r="U4205" s="182" t="n">
        <v>0</v>
      </c>
      <c r="V4205" s="182" t="n">
        <v>0</v>
      </c>
      <c r="W4205" s="182" t="n">
        <v>0</v>
      </c>
      <c r="X4205" s="182" t="n">
        <v>1</v>
      </c>
      <c r="Y4205" s="182" t="n">
        <v>0</v>
      </c>
      <c r="Z4205" s="182" t="n">
        <v>0</v>
      </c>
      <c r="AA4205" s="182" t="n">
        <v>0</v>
      </c>
      <c r="AB4205" s="182" t="n">
        <v>0</v>
      </c>
      <c r="AC4205" s="182" t="n">
        <v>0</v>
      </c>
      <c r="AD4205" s="182" t="n">
        <v>0</v>
      </c>
      <c r="AE4205" s="182" t="n">
        <v>0</v>
      </c>
      <c r="AF4205" s="182" t="n">
        <v>0</v>
      </c>
      <c r="AG4205" s="182" t="n">
        <v>0</v>
      </c>
      <c r="AH4205" s="182" t="n">
        <v>0</v>
      </c>
      <c r="AI4205" s="182" t="n">
        <v>0</v>
      </c>
      <c r="AJ4205" s="182" t="n">
        <v>0</v>
      </c>
      <c r="AK4205" s="182" t="n">
        <v>10.78</v>
      </c>
      <c r="AL4205" s="182" t="n">
        <v>0</v>
      </c>
      <c r="AM4205" s="182" t="n">
        <v>0.08</v>
      </c>
      <c r="AN4205" s="182" t="n">
        <v>0</v>
      </c>
    </row>
    <row r="4206">
      <c r="A4206" s="155" t="n">
        <v>46101</v>
      </c>
      <c r="B4206" s="156" t="inlineStr">
        <is>
          <t>DS</t>
        </is>
      </c>
      <c r="C4206" s="156" t="inlineStr">
        <is>
          <t>HT-408</t>
        </is>
      </c>
      <c r="D4206" s="156" t="inlineStr">
        <is>
          <t>SY430</t>
        </is>
      </c>
      <c r="E4206" s="156" t="inlineStr">
        <is>
          <t>DT Hauling</t>
        </is>
      </c>
      <c r="F4206" s="156" t="inlineStr"/>
      <c r="G4206" s="182" t="n">
        <v>0</v>
      </c>
      <c r="H4206" s="182" t="n">
        <v>0</v>
      </c>
      <c r="I4206" s="182" t="n">
        <v>0.88</v>
      </c>
      <c r="J4206" s="182" t="n">
        <v>0.88</v>
      </c>
      <c r="K4206" s="182" t="n">
        <v>11.12</v>
      </c>
      <c r="L4206" s="182" t="n">
        <v>12</v>
      </c>
      <c r="M4206" s="182" t="n">
        <v>0</v>
      </c>
      <c r="N4206" s="182" t="n">
        <v>0</v>
      </c>
      <c r="O4206" s="183" t="n">
        <v>0</v>
      </c>
      <c r="P4206" s="183" t="n">
        <v>0</v>
      </c>
      <c r="Q4206" s="184" t="n">
        <v>0</v>
      </c>
      <c r="R4206" s="184" t="n">
        <v>0</v>
      </c>
      <c r="S4206" s="183" t="n">
        <v>0</v>
      </c>
      <c r="T4206" s="183" t="n">
        <v>0</v>
      </c>
      <c r="U4206" s="182" t="n">
        <v>0</v>
      </c>
      <c r="V4206" s="182" t="n">
        <v>0</v>
      </c>
      <c r="W4206" s="182" t="n">
        <v>0</v>
      </c>
      <c r="X4206" s="182" t="n">
        <v>1</v>
      </c>
      <c r="Y4206" s="182" t="n">
        <v>0</v>
      </c>
      <c r="Z4206" s="182" t="n">
        <v>0</v>
      </c>
      <c r="AA4206" s="182" t="n">
        <v>0</v>
      </c>
      <c r="AB4206" s="182" t="n">
        <v>0</v>
      </c>
      <c r="AC4206" s="182" t="n">
        <v>0</v>
      </c>
      <c r="AD4206" s="182" t="n">
        <v>0</v>
      </c>
      <c r="AE4206" s="182" t="n">
        <v>0</v>
      </c>
      <c r="AF4206" s="182" t="n">
        <v>0</v>
      </c>
      <c r="AG4206" s="182" t="n">
        <v>0</v>
      </c>
      <c r="AH4206" s="182" t="n">
        <v>0</v>
      </c>
      <c r="AI4206" s="182" t="n">
        <v>0</v>
      </c>
      <c r="AJ4206" s="182" t="n">
        <v>0</v>
      </c>
      <c r="AK4206" s="182" t="n">
        <v>10.03</v>
      </c>
      <c r="AL4206" s="182" t="n">
        <v>0</v>
      </c>
      <c r="AM4206" s="182" t="n">
        <v>0.08</v>
      </c>
      <c r="AN4206" s="182" t="n">
        <v>0</v>
      </c>
    </row>
    <row r="4207">
      <c r="A4207" s="155" t="n">
        <v>46101</v>
      </c>
      <c r="B4207" s="156" t="inlineStr">
        <is>
          <t>DS</t>
        </is>
      </c>
      <c r="C4207" s="156" t="inlineStr">
        <is>
          <t>HT-412</t>
        </is>
      </c>
      <c r="D4207" s="156" t="inlineStr">
        <is>
          <t>SY430</t>
        </is>
      </c>
      <c r="E4207" s="156" t="inlineStr">
        <is>
          <t>DT Hauling</t>
        </is>
      </c>
      <c r="F4207" s="156" t="inlineStr"/>
      <c r="G4207" s="182" t="n">
        <v>0</v>
      </c>
      <c r="H4207" s="182" t="n">
        <v>12</v>
      </c>
      <c r="I4207" s="182" t="n">
        <v>0</v>
      </c>
      <c r="J4207" s="182" t="n">
        <v>12</v>
      </c>
      <c r="K4207" s="182" t="n">
        <v>0</v>
      </c>
      <c r="L4207" s="182" t="n">
        <v>12</v>
      </c>
      <c r="M4207" s="182" t="n">
        <v>0</v>
      </c>
      <c r="N4207" s="182" t="n">
        <v>0</v>
      </c>
      <c r="O4207" s="183" t="n">
        <v>0</v>
      </c>
      <c r="P4207" s="183" t="n">
        <v>0</v>
      </c>
      <c r="Q4207" s="184" t="n">
        <v>0</v>
      </c>
      <c r="R4207" s="184" t="n">
        <v>0</v>
      </c>
      <c r="S4207" s="183" t="n">
        <v>0</v>
      </c>
      <c r="T4207" s="183" t="n">
        <v>0</v>
      </c>
      <c r="U4207" s="182" t="n">
        <v>0</v>
      </c>
      <c r="V4207" s="182" t="n">
        <v>0</v>
      </c>
      <c r="W4207" s="182" t="n">
        <v>0</v>
      </c>
      <c r="X4207" s="182" t="n">
        <v>0</v>
      </c>
      <c r="Y4207" s="182" t="n">
        <v>0</v>
      </c>
      <c r="Z4207" s="182" t="n">
        <v>0</v>
      </c>
      <c r="AA4207" s="182" t="n">
        <v>0</v>
      </c>
      <c r="AB4207" s="182" t="n">
        <v>0</v>
      </c>
      <c r="AC4207" s="182" t="n">
        <v>0</v>
      </c>
      <c r="AD4207" s="182" t="n">
        <v>0</v>
      </c>
      <c r="AE4207" s="182" t="n">
        <v>0</v>
      </c>
      <c r="AF4207" s="182" t="n">
        <v>0</v>
      </c>
      <c r="AG4207" s="182" t="n">
        <v>0</v>
      </c>
      <c r="AH4207" s="182" t="n">
        <v>0</v>
      </c>
      <c r="AI4207" s="182" t="n">
        <v>0</v>
      </c>
      <c r="AJ4207" s="182" t="n">
        <v>0</v>
      </c>
      <c r="AK4207" s="182" t="n">
        <v>0</v>
      </c>
      <c r="AL4207" s="182" t="n">
        <v>0</v>
      </c>
      <c r="AM4207" s="182" t="n">
        <v>0</v>
      </c>
      <c r="AN4207" s="182" t="n">
        <v>0</v>
      </c>
    </row>
    <row r="4208">
      <c r="A4208" s="155" t="n">
        <v>46101</v>
      </c>
      <c r="B4208" s="156" t="inlineStr">
        <is>
          <t>DS</t>
        </is>
      </c>
      <c r="C4208" s="156" t="inlineStr">
        <is>
          <t>HT-413</t>
        </is>
      </c>
      <c r="D4208" s="156" t="inlineStr">
        <is>
          <t>SY430</t>
        </is>
      </c>
      <c r="E4208" s="156" t="inlineStr">
        <is>
          <t>DT Hauling</t>
        </is>
      </c>
      <c r="F4208" s="156" t="inlineStr"/>
      <c r="G4208" s="182" t="n">
        <v>0</v>
      </c>
      <c r="H4208" s="182" t="n">
        <v>0</v>
      </c>
      <c r="I4208" s="182" t="n">
        <v>12</v>
      </c>
      <c r="J4208" s="182" t="n">
        <v>12</v>
      </c>
      <c r="K4208" s="182" t="n">
        <v>0</v>
      </c>
      <c r="L4208" s="182" t="n">
        <v>12</v>
      </c>
      <c r="M4208" s="182" t="n">
        <v>0</v>
      </c>
      <c r="N4208" s="182" t="n">
        <v>0</v>
      </c>
      <c r="O4208" s="183" t="n">
        <v>0</v>
      </c>
      <c r="P4208" s="183" t="n">
        <v>0</v>
      </c>
      <c r="Q4208" s="184" t="n">
        <v>0</v>
      </c>
      <c r="R4208" s="184" t="n">
        <v>0</v>
      </c>
      <c r="S4208" s="183" t="n">
        <v>0</v>
      </c>
      <c r="T4208" s="183" t="n">
        <v>0</v>
      </c>
      <c r="U4208" s="182" t="n">
        <v>0</v>
      </c>
      <c r="V4208" s="182" t="n">
        <v>0</v>
      </c>
      <c r="W4208" s="182" t="n">
        <v>0</v>
      </c>
      <c r="X4208" s="182" t="n">
        <v>0</v>
      </c>
      <c r="Y4208" s="182" t="n">
        <v>0</v>
      </c>
      <c r="Z4208" s="182" t="n">
        <v>0</v>
      </c>
      <c r="AA4208" s="182" t="n">
        <v>0</v>
      </c>
      <c r="AB4208" s="182" t="n">
        <v>0</v>
      </c>
      <c r="AC4208" s="182" t="n">
        <v>0</v>
      </c>
      <c r="AD4208" s="182" t="n">
        <v>0</v>
      </c>
      <c r="AE4208" s="182" t="n">
        <v>0</v>
      </c>
      <c r="AF4208" s="182" t="n">
        <v>0</v>
      </c>
      <c r="AG4208" s="182" t="n">
        <v>0</v>
      </c>
      <c r="AH4208" s="182" t="n">
        <v>0</v>
      </c>
      <c r="AI4208" s="182" t="n">
        <v>0</v>
      </c>
      <c r="AJ4208" s="182" t="n">
        <v>0</v>
      </c>
      <c r="AK4208" s="182" t="n">
        <v>0</v>
      </c>
      <c r="AL4208" s="182" t="n">
        <v>0</v>
      </c>
      <c r="AM4208" s="182" t="n">
        <v>0</v>
      </c>
      <c r="AN4208" s="182" t="n">
        <v>0</v>
      </c>
    </row>
    <row r="4209">
      <c r="A4209" s="155" t="n">
        <v>46101</v>
      </c>
      <c r="B4209" s="156" t="inlineStr">
        <is>
          <t>DS</t>
        </is>
      </c>
      <c r="C4209" s="156" t="inlineStr">
        <is>
          <t>HT-407</t>
        </is>
      </c>
      <c r="D4209" s="156" t="inlineStr">
        <is>
          <t>SY430</t>
        </is>
      </c>
      <c r="E4209" s="156" t="inlineStr">
        <is>
          <t>DT Hauling</t>
        </is>
      </c>
      <c r="F4209" s="156" t="inlineStr"/>
      <c r="G4209" s="182" t="n">
        <v>0</v>
      </c>
      <c r="H4209" s="182" t="n">
        <v>0</v>
      </c>
      <c r="I4209" s="182" t="n">
        <v>0</v>
      </c>
      <c r="J4209" s="182" t="n">
        <v>0</v>
      </c>
      <c r="K4209" s="182" t="n">
        <v>12</v>
      </c>
      <c r="L4209" s="182" t="n">
        <v>12</v>
      </c>
      <c r="M4209" s="182" t="n">
        <v>0</v>
      </c>
      <c r="N4209" s="182" t="n">
        <v>0</v>
      </c>
      <c r="O4209" s="183" t="n">
        <v>0</v>
      </c>
      <c r="P4209" s="183" t="n">
        <v>0</v>
      </c>
      <c r="Q4209" s="184" t="n">
        <v>0</v>
      </c>
      <c r="R4209" s="184" t="n">
        <v>0</v>
      </c>
      <c r="S4209" s="183" t="n">
        <v>0</v>
      </c>
      <c r="T4209" s="183" t="n">
        <v>0</v>
      </c>
      <c r="U4209" s="182" t="n">
        <v>0</v>
      </c>
      <c r="V4209" s="182" t="n">
        <v>0</v>
      </c>
      <c r="W4209" s="182" t="n">
        <v>0</v>
      </c>
      <c r="X4209" s="182" t="n">
        <v>1</v>
      </c>
      <c r="Y4209" s="182" t="n">
        <v>0</v>
      </c>
      <c r="Z4209" s="182" t="n">
        <v>0</v>
      </c>
      <c r="AA4209" s="182" t="n">
        <v>0</v>
      </c>
      <c r="AB4209" s="182" t="n">
        <v>0</v>
      </c>
      <c r="AC4209" s="182" t="n">
        <v>0</v>
      </c>
      <c r="AD4209" s="182" t="n">
        <v>0</v>
      </c>
      <c r="AE4209" s="182" t="n">
        <v>0</v>
      </c>
      <c r="AF4209" s="182" t="n">
        <v>0</v>
      </c>
      <c r="AG4209" s="182" t="n">
        <v>0</v>
      </c>
      <c r="AH4209" s="182" t="n">
        <v>0</v>
      </c>
      <c r="AI4209" s="182" t="n">
        <v>0</v>
      </c>
      <c r="AJ4209" s="182" t="n">
        <v>0</v>
      </c>
      <c r="AK4209" s="182" t="n">
        <v>10.92</v>
      </c>
      <c r="AL4209" s="182" t="n">
        <v>0</v>
      </c>
      <c r="AM4209" s="182" t="n">
        <v>0.08</v>
      </c>
      <c r="AN4209" s="182" t="n">
        <v>0</v>
      </c>
    </row>
    <row r="4210">
      <c r="A4210" s="155" t="n">
        <v>46101</v>
      </c>
      <c r="B4210" s="156" t="inlineStr">
        <is>
          <t>DS</t>
        </is>
      </c>
      <c r="C4210" s="156" t="inlineStr">
        <is>
          <t>HT-414</t>
        </is>
      </c>
      <c r="D4210" s="156" t="inlineStr">
        <is>
          <t>SY430</t>
        </is>
      </c>
      <c r="E4210" s="156" t="inlineStr">
        <is>
          <t>DT Hauling</t>
        </is>
      </c>
      <c r="F4210" s="156" t="inlineStr"/>
      <c r="G4210" s="182" t="n">
        <v>0</v>
      </c>
      <c r="H4210" s="182" t="n">
        <v>0</v>
      </c>
      <c r="I4210" s="182" t="n">
        <v>1.83</v>
      </c>
      <c r="J4210" s="182" t="n">
        <v>1.83</v>
      </c>
      <c r="K4210" s="182" t="n">
        <v>10.17</v>
      </c>
      <c r="L4210" s="182" t="n">
        <v>12</v>
      </c>
      <c r="M4210" s="182" t="n">
        <v>0</v>
      </c>
      <c r="N4210" s="182" t="n">
        <v>0</v>
      </c>
      <c r="O4210" s="183" t="n">
        <v>0</v>
      </c>
      <c r="P4210" s="183" t="n">
        <v>0</v>
      </c>
      <c r="Q4210" s="184" t="n">
        <v>0</v>
      </c>
      <c r="R4210" s="184" t="n">
        <v>0</v>
      </c>
      <c r="S4210" s="183" t="n">
        <v>0</v>
      </c>
      <c r="T4210" s="183" t="n">
        <v>0</v>
      </c>
      <c r="U4210" s="182" t="n">
        <v>0</v>
      </c>
      <c r="V4210" s="182" t="n">
        <v>0</v>
      </c>
      <c r="W4210" s="182" t="n">
        <v>0</v>
      </c>
      <c r="X4210" s="182" t="n">
        <v>1</v>
      </c>
      <c r="Y4210" s="182" t="n">
        <v>0</v>
      </c>
      <c r="Z4210" s="182" t="n">
        <v>0</v>
      </c>
      <c r="AA4210" s="182" t="n">
        <v>0</v>
      </c>
      <c r="AB4210" s="182" t="n">
        <v>0</v>
      </c>
      <c r="AC4210" s="182" t="n">
        <v>0</v>
      </c>
      <c r="AD4210" s="182" t="n">
        <v>0</v>
      </c>
      <c r="AE4210" s="182" t="n">
        <v>0</v>
      </c>
      <c r="AF4210" s="182" t="n">
        <v>0</v>
      </c>
      <c r="AG4210" s="182" t="n">
        <v>0</v>
      </c>
      <c r="AH4210" s="182" t="n">
        <v>0</v>
      </c>
      <c r="AI4210" s="182" t="n">
        <v>0</v>
      </c>
      <c r="AJ4210" s="182" t="n">
        <v>0</v>
      </c>
      <c r="AK4210" s="182" t="n">
        <v>9.08</v>
      </c>
      <c r="AL4210" s="182" t="n">
        <v>0</v>
      </c>
      <c r="AM4210" s="182" t="n">
        <v>0.08</v>
      </c>
      <c r="AN4210" s="182" t="n">
        <v>0</v>
      </c>
    </row>
    <row r="4211">
      <c r="A4211" s="155" t="n">
        <v>46101</v>
      </c>
      <c r="B4211" s="156" t="inlineStr">
        <is>
          <t>DS</t>
        </is>
      </c>
      <c r="C4211" s="156" t="inlineStr">
        <is>
          <t>HT-411</t>
        </is>
      </c>
      <c r="D4211" s="156" t="inlineStr">
        <is>
          <t>SY430</t>
        </is>
      </c>
      <c r="E4211" s="156" t="inlineStr">
        <is>
          <t>DT Hauling</t>
        </is>
      </c>
      <c r="F4211" s="156" t="inlineStr"/>
      <c r="G4211" s="182" t="n">
        <v>0</v>
      </c>
      <c r="H4211" s="182" t="n">
        <v>0</v>
      </c>
      <c r="I4211" s="182" t="n">
        <v>0</v>
      </c>
      <c r="J4211" s="182" t="n">
        <v>0</v>
      </c>
      <c r="K4211" s="182" t="n">
        <v>12</v>
      </c>
      <c r="L4211" s="182" t="n">
        <v>12</v>
      </c>
      <c r="M4211" s="182" t="n">
        <v>0</v>
      </c>
      <c r="N4211" s="182" t="n">
        <v>0</v>
      </c>
      <c r="O4211" s="183" t="n">
        <v>0</v>
      </c>
      <c r="P4211" s="183" t="n">
        <v>0</v>
      </c>
      <c r="Q4211" s="184" t="n">
        <v>0</v>
      </c>
      <c r="R4211" s="184" t="n">
        <v>0</v>
      </c>
      <c r="S4211" s="183" t="n">
        <v>0</v>
      </c>
      <c r="T4211" s="183" t="n">
        <v>0</v>
      </c>
      <c r="U4211" s="182" t="n">
        <v>0</v>
      </c>
      <c r="V4211" s="182" t="n">
        <v>0</v>
      </c>
      <c r="W4211" s="182" t="n">
        <v>0</v>
      </c>
      <c r="X4211" s="182" t="n">
        <v>1</v>
      </c>
      <c r="Y4211" s="182" t="n">
        <v>0</v>
      </c>
      <c r="Z4211" s="182" t="n">
        <v>0</v>
      </c>
      <c r="AA4211" s="182" t="n">
        <v>0</v>
      </c>
      <c r="AB4211" s="182" t="n">
        <v>0</v>
      </c>
      <c r="AC4211" s="182" t="n">
        <v>0</v>
      </c>
      <c r="AD4211" s="182" t="n">
        <v>0</v>
      </c>
      <c r="AE4211" s="182" t="n">
        <v>0</v>
      </c>
      <c r="AF4211" s="182" t="n">
        <v>0</v>
      </c>
      <c r="AG4211" s="182" t="n">
        <v>0</v>
      </c>
      <c r="AH4211" s="182" t="n">
        <v>0</v>
      </c>
      <c r="AI4211" s="182" t="n">
        <v>0</v>
      </c>
      <c r="AJ4211" s="182" t="n">
        <v>0</v>
      </c>
      <c r="AK4211" s="182" t="n">
        <v>10.92</v>
      </c>
      <c r="AL4211" s="182" t="n">
        <v>0</v>
      </c>
      <c r="AM4211" s="182" t="n">
        <v>0.08</v>
      </c>
      <c r="AN4211" s="182" t="n">
        <v>0</v>
      </c>
    </row>
    <row r="4212">
      <c r="A4212" s="155" t="n">
        <v>46101</v>
      </c>
      <c r="B4212" s="156" t="inlineStr">
        <is>
          <t>DS</t>
        </is>
      </c>
      <c r="C4212" s="156" t="inlineStr">
        <is>
          <t>HT-409</t>
        </is>
      </c>
      <c r="D4212" s="156" t="inlineStr">
        <is>
          <t>SY430</t>
        </is>
      </c>
      <c r="E4212" s="156" t="inlineStr">
        <is>
          <t>DT Hauling</t>
        </is>
      </c>
      <c r="F4212" s="156" t="inlineStr"/>
      <c r="G4212" s="182" t="n">
        <v>0</v>
      </c>
      <c r="H4212" s="182" t="n">
        <v>0</v>
      </c>
      <c r="I4212" s="182" t="n">
        <v>0</v>
      </c>
      <c r="J4212" s="182" t="n">
        <v>0</v>
      </c>
      <c r="K4212" s="182" t="n">
        <v>12</v>
      </c>
      <c r="L4212" s="182" t="n">
        <v>12</v>
      </c>
      <c r="M4212" s="182" t="n">
        <v>0</v>
      </c>
      <c r="N4212" s="182" t="n">
        <v>0</v>
      </c>
      <c r="O4212" s="183" t="n">
        <v>0</v>
      </c>
      <c r="P4212" s="183" t="n">
        <v>0</v>
      </c>
      <c r="Q4212" s="184" t="n">
        <v>0</v>
      </c>
      <c r="R4212" s="184" t="n">
        <v>0</v>
      </c>
      <c r="S4212" s="183" t="n">
        <v>0</v>
      </c>
      <c r="T4212" s="183" t="n">
        <v>0</v>
      </c>
      <c r="U4212" s="182" t="n">
        <v>0</v>
      </c>
      <c r="V4212" s="182" t="n">
        <v>0</v>
      </c>
      <c r="W4212" s="182" t="n">
        <v>0</v>
      </c>
      <c r="X4212" s="182" t="n">
        <v>1</v>
      </c>
      <c r="Y4212" s="182" t="n">
        <v>0</v>
      </c>
      <c r="Z4212" s="182" t="n">
        <v>0</v>
      </c>
      <c r="AA4212" s="182" t="n">
        <v>0</v>
      </c>
      <c r="AB4212" s="182" t="n">
        <v>0</v>
      </c>
      <c r="AC4212" s="182" t="n">
        <v>0</v>
      </c>
      <c r="AD4212" s="182" t="n">
        <v>0</v>
      </c>
      <c r="AE4212" s="182" t="n">
        <v>0</v>
      </c>
      <c r="AF4212" s="182" t="n">
        <v>0</v>
      </c>
      <c r="AG4212" s="182" t="n">
        <v>0</v>
      </c>
      <c r="AH4212" s="182" t="n">
        <v>0</v>
      </c>
      <c r="AI4212" s="182" t="n">
        <v>0</v>
      </c>
      <c r="AJ4212" s="182" t="n">
        <v>0</v>
      </c>
      <c r="AK4212" s="182" t="n">
        <v>10.92</v>
      </c>
      <c r="AL4212" s="182" t="n">
        <v>0</v>
      </c>
      <c r="AM4212" s="182" t="n">
        <v>0.08</v>
      </c>
      <c r="AN4212" s="182" t="n">
        <v>0</v>
      </c>
    </row>
    <row r="4213">
      <c r="A4213" s="155" t="n">
        <v>46101</v>
      </c>
      <c r="B4213" s="156" t="inlineStr">
        <is>
          <t>DS</t>
        </is>
      </c>
      <c r="C4213" s="156" t="inlineStr">
        <is>
          <t>DH-103</t>
        </is>
      </c>
      <c r="D4213" s="156" t="inlineStr">
        <is>
          <t>HINO FM260</t>
        </is>
      </c>
      <c r="E4213" s="156" t="inlineStr">
        <is>
          <t>DT Hino</t>
        </is>
      </c>
      <c r="F4213" s="156" t="inlineStr"/>
      <c r="G4213" s="182" t="n">
        <v>0</v>
      </c>
      <c r="H4213" s="182" t="n">
        <v>0</v>
      </c>
      <c r="I4213" s="182" t="n">
        <v>12</v>
      </c>
      <c r="J4213" s="182" t="n">
        <v>12</v>
      </c>
      <c r="K4213" s="182" t="n">
        <v>0</v>
      </c>
      <c r="L4213" s="182" t="n">
        <v>12</v>
      </c>
      <c r="M4213" s="182" t="n">
        <v>0</v>
      </c>
      <c r="N4213" s="182" t="n">
        <v>0</v>
      </c>
      <c r="O4213" s="183" t="n">
        <v>0</v>
      </c>
      <c r="P4213" s="183" t="n">
        <v>0</v>
      </c>
      <c r="Q4213" s="184" t="n">
        <v>0</v>
      </c>
      <c r="R4213" s="184" t="n">
        <v>0</v>
      </c>
      <c r="S4213" s="183" t="n">
        <v>0</v>
      </c>
      <c r="T4213" s="183" t="n">
        <v>0</v>
      </c>
      <c r="U4213" s="182" t="n">
        <v>0</v>
      </c>
      <c r="V4213" s="182" t="n">
        <v>0</v>
      </c>
      <c r="W4213" s="182" t="n">
        <v>0</v>
      </c>
      <c r="X4213" s="182" t="n">
        <v>0</v>
      </c>
      <c r="Y4213" s="182" t="n">
        <v>0</v>
      </c>
      <c r="Z4213" s="182" t="n">
        <v>0</v>
      </c>
      <c r="AA4213" s="182" t="n">
        <v>0</v>
      </c>
      <c r="AB4213" s="182" t="n">
        <v>0</v>
      </c>
      <c r="AC4213" s="182" t="n">
        <v>0</v>
      </c>
      <c r="AD4213" s="182" t="n">
        <v>0</v>
      </c>
      <c r="AE4213" s="182" t="n">
        <v>0</v>
      </c>
      <c r="AF4213" s="182" t="n">
        <v>0</v>
      </c>
      <c r="AG4213" s="182" t="n">
        <v>0</v>
      </c>
      <c r="AH4213" s="182" t="n">
        <v>0</v>
      </c>
      <c r="AI4213" s="182" t="n">
        <v>0</v>
      </c>
      <c r="AJ4213" s="182" t="n">
        <v>0</v>
      </c>
      <c r="AK4213" s="182" t="n">
        <v>0</v>
      </c>
      <c r="AL4213" s="182" t="n">
        <v>0</v>
      </c>
      <c r="AM4213" s="182" t="n">
        <v>0</v>
      </c>
      <c r="AN4213" s="182" t="n">
        <v>0</v>
      </c>
    </row>
    <row r="4214">
      <c r="A4214" s="155" t="n">
        <v>46101</v>
      </c>
      <c r="B4214" s="156" t="inlineStr">
        <is>
          <t>DS</t>
        </is>
      </c>
      <c r="C4214" s="156" t="inlineStr">
        <is>
          <t>DH-102</t>
        </is>
      </c>
      <c r="D4214" s="156" t="inlineStr">
        <is>
          <t>HINO FM260</t>
        </is>
      </c>
      <c r="E4214" s="156" t="inlineStr">
        <is>
          <t>DT Hino</t>
        </is>
      </c>
      <c r="F4214" s="156" t="inlineStr"/>
      <c r="G4214" s="182" t="n">
        <v>0</v>
      </c>
      <c r="H4214" s="182" t="n">
        <v>0</v>
      </c>
      <c r="I4214" s="182" t="n">
        <v>0</v>
      </c>
      <c r="J4214" s="182" t="n">
        <v>0</v>
      </c>
      <c r="K4214" s="182" t="n">
        <v>12</v>
      </c>
      <c r="L4214" s="182" t="n">
        <v>12</v>
      </c>
      <c r="M4214" s="182" t="n">
        <v>0</v>
      </c>
      <c r="N4214" s="182" t="n">
        <v>0</v>
      </c>
      <c r="O4214" s="183" t="n">
        <v>0</v>
      </c>
      <c r="P4214" s="183" t="n">
        <v>0</v>
      </c>
      <c r="Q4214" s="184" t="n">
        <v>0</v>
      </c>
      <c r="R4214" s="184" t="n">
        <v>0</v>
      </c>
      <c r="S4214" s="183" t="n">
        <v>0</v>
      </c>
      <c r="T4214" s="183" t="n">
        <v>0</v>
      </c>
      <c r="U4214" s="182" t="n">
        <v>0</v>
      </c>
      <c r="V4214" s="182" t="n">
        <v>0</v>
      </c>
      <c r="W4214" s="182" t="n">
        <v>0</v>
      </c>
      <c r="X4214" s="182" t="n">
        <v>1</v>
      </c>
      <c r="Y4214" s="182" t="n">
        <v>0</v>
      </c>
      <c r="Z4214" s="182" t="n">
        <v>0</v>
      </c>
      <c r="AA4214" s="182" t="n">
        <v>0</v>
      </c>
      <c r="AB4214" s="182" t="n">
        <v>0</v>
      </c>
      <c r="AC4214" s="182" t="n">
        <v>0</v>
      </c>
      <c r="AD4214" s="182" t="n">
        <v>0</v>
      </c>
      <c r="AE4214" s="182" t="n">
        <v>0</v>
      </c>
      <c r="AF4214" s="182" t="n">
        <v>0</v>
      </c>
      <c r="AG4214" s="182" t="n">
        <v>0</v>
      </c>
      <c r="AH4214" s="182" t="n">
        <v>0</v>
      </c>
      <c r="AI4214" s="182" t="n">
        <v>0</v>
      </c>
      <c r="AJ4214" s="182" t="n">
        <v>0</v>
      </c>
      <c r="AK4214" s="182" t="n">
        <v>10.92</v>
      </c>
      <c r="AL4214" s="182" t="n">
        <v>0</v>
      </c>
      <c r="AM4214" s="182" t="n">
        <v>0.08</v>
      </c>
      <c r="AN4214" s="182" t="n">
        <v>0</v>
      </c>
    </row>
    <row r="4215">
      <c r="A4215" s="155" t="n">
        <v>46101</v>
      </c>
      <c r="B4215" s="156" t="inlineStr">
        <is>
          <t>DS</t>
        </is>
      </c>
      <c r="C4215" s="156" t="inlineStr">
        <is>
          <t>DH-101</t>
        </is>
      </c>
      <c r="D4215" s="156" t="inlineStr">
        <is>
          <t>HINO FM260</t>
        </is>
      </c>
      <c r="E4215" s="156" t="inlineStr">
        <is>
          <t>DT Hino</t>
        </is>
      </c>
      <c r="F4215" s="156" t="inlineStr"/>
      <c r="G4215" s="182" t="n">
        <v>0</v>
      </c>
      <c r="H4215" s="182" t="n">
        <v>0</v>
      </c>
      <c r="I4215" s="182" t="n">
        <v>0</v>
      </c>
      <c r="J4215" s="182" t="n">
        <v>0</v>
      </c>
      <c r="K4215" s="182" t="n">
        <v>12</v>
      </c>
      <c r="L4215" s="182" t="n">
        <v>12</v>
      </c>
      <c r="M4215" s="182" t="n">
        <v>0</v>
      </c>
      <c r="N4215" s="182" t="n">
        <v>0</v>
      </c>
      <c r="O4215" s="183" t="n">
        <v>0</v>
      </c>
      <c r="P4215" s="183" t="n">
        <v>0</v>
      </c>
      <c r="Q4215" s="184" t="n">
        <v>0</v>
      </c>
      <c r="R4215" s="184" t="n">
        <v>0</v>
      </c>
      <c r="S4215" s="183" t="n">
        <v>0</v>
      </c>
      <c r="T4215" s="183" t="n">
        <v>0</v>
      </c>
      <c r="U4215" s="182" t="n">
        <v>0</v>
      </c>
      <c r="V4215" s="182" t="n">
        <v>0</v>
      </c>
      <c r="W4215" s="182" t="n">
        <v>0</v>
      </c>
      <c r="X4215" s="182" t="n">
        <v>1</v>
      </c>
      <c r="Y4215" s="182" t="n">
        <v>0</v>
      </c>
      <c r="Z4215" s="182" t="n">
        <v>0</v>
      </c>
      <c r="AA4215" s="182" t="n">
        <v>0</v>
      </c>
      <c r="AB4215" s="182" t="n">
        <v>0</v>
      </c>
      <c r="AC4215" s="182" t="n">
        <v>0</v>
      </c>
      <c r="AD4215" s="182" t="n">
        <v>0</v>
      </c>
      <c r="AE4215" s="182" t="n">
        <v>0</v>
      </c>
      <c r="AF4215" s="182" t="n">
        <v>0</v>
      </c>
      <c r="AG4215" s="182" t="n">
        <v>0</v>
      </c>
      <c r="AH4215" s="182" t="n">
        <v>0</v>
      </c>
      <c r="AI4215" s="182" t="n">
        <v>0</v>
      </c>
      <c r="AJ4215" s="182" t="n">
        <v>0</v>
      </c>
      <c r="AK4215" s="182" t="n">
        <v>10.92</v>
      </c>
      <c r="AL4215" s="182" t="n">
        <v>0</v>
      </c>
      <c r="AM4215" s="182" t="n">
        <v>0.08</v>
      </c>
      <c r="AN4215" s="182" t="n">
        <v>0</v>
      </c>
    </row>
    <row r="4216">
      <c r="A4216" s="155" t="n">
        <v>46101</v>
      </c>
      <c r="B4216" s="156" t="inlineStr">
        <is>
          <t>DS</t>
        </is>
      </c>
      <c r="C4216" s="156" t="inlineStr">
        <is>
          <t>EX-1251</t>
        </is>
      </c>
      <c r="D4216" s="156" t="inlineStr">
        <is>
          <t>SY1250</t>
        </is>
      </c>
      <c r="E4216" s="156" t="inlineStr">
        <is>
          <t>Excavator</t>
        </is>
      </c>
      <c r="F4216" s="156" t="inlineStr">
        <is>
          <t>Loading OB &amp; Material Longsoran</t>
        </is>
      </c>
      <c r="G4216" s="182" t="n">
        <v>10.76</v>
      </c>
      <c r="H4216" s="182" t="n">
        <v>0</v>
      </c>
      <c r="I4216" s="182" t="n">
        <v>0</v>
      </c>
      <c r="J4216" s="182" t="n">
        <v>0</v>
      </c>
      <c r="K4216" s="182" t="n">
        <v>1.24</v>
      </c>
      <c r="L4216" s="182" t="n">
        <v>12</v>
      </c>
      <c r="M4216" s="182" t="n">
        <v>10.66</v>
      </c>
      <c r="N4216" s="182" t="n">
        <v>0</v>
      </c>
      <c r="O4216" s="183" t="n">
        <v>189</v>
      </c>
      <c r="P4216" s="183" t="n">
        <v>0</v>
      </c>
      <c r="Q4216" s="184" t="n">
        <v>2631.6</v>
      </c>
      <c r="R4216" s="184" t="n">
        <v>0</v>
      </c>
      <c r="S4216" s="183" t="n">
        <v>0</v>
      </c>
      <c r="T4216" s="183" t="n">
        <v>0</v>
      </c>
      <c r="U4216" s="182" t="n">
        <v>0</v>
      </c>
      <c r="V4216" s="182" t="n">
        <v>0</v>
      </c>
      <c r="W4216" s="182" t="n">
        <v>0</v>
      </c>
      <c r="X4216" s="182" t="n">
        <v>1.15</v>
      </c>
      <c r="Y4216" s="182" t="n">
        <v>0</v>
      </c>
      <c r="Z4216" s="182" t="n">
        <v>0</v>
      </c>
      <c r="AA4216" s="182" t="n">
        <v>0</v>
      </c>
      <c r="AB4216" s="182" t="n">
        <v>0</v>
      </c>
      <c r="AC4216" s="182" t="n">
        <v>0</v>
      </c>
      <c r="AD4216" s="182" t="n">
        <v>0</v>
      </c>
      <c r="AE4216" s="182" t="n">
        <v>0</v>
      </c>
      <c r="AF4216" s="182" t="n">
        <v>0</v>
      </c>
      <c r="AG4216" s="182" t="n">
        <v>0</v>
      </c>
      <c r="AH4216" s="182" t="n">
        <v>0</v>
      </c>
      <c r="AI4216" s="182" t="n">
        <v>0</v>
      </c>
      <c r="AJ4216" s="182" t="n">
        <v>0</v>
      </c>
      <c r="AK4216" s="182" t="n">
        <v>0</v>
      </c>
      <c r="AL4216" s="182" t="n">
        <v>0</v>
      </c>
      <c r="AM4216" s="182" t="n">
        <v>0.09</v>
      </c>
      <c r="AN4216" s="182" t="n">
        <v>0</v>
      </c>
    </row>
    <row r="4217">
      <c r="A4217" s="155" t="n">
        <v>46101</v>
      </c>
      <c r="B4217" s="156" t="inlineStr">
        <is>
          <t>DS</t>
        </is>
      </c>
      <c r="C4217" s="156" t="inlineStr">
        <is>
          <t>EX-1252</t>
        </is>
      </c>
      <c r="D4217" s="156" t="inlineStr">
        <is>
          <t>SY1250</t>
        </is>
      </c>
      <c r="E4217" s="156" t="inlineStr">
        <is>
          <t>Excavator</t>
        </is>
      </c>
      <c r="F4217" s="156" t="inlineStr">
        <is>
          <t>Loading OB</t>
        </is>
      </c>
      <c r="G4217" s="182" t="n">
        <v>4.11</v>
      </c>
      <c r="H4217" s="182" t="n">
        <v>0</v>
      </c>
      <c r="I4217" s="182" t="n">
        <v>6.7</v>
      </c>
      <c r="J4217" s="182" t="n">
        <v>6.7</v>
      </c>
      <c r="K4217" s="182" t="n">
        <v>1.19</v>
      </c>
      <c r="L4217" s="182" t="n">
        <v>12</v>
      </c>
      <c r="M4217" s="182" t="n">
        <v>3.85</v>
      </c>
      <c r="N4217" s="182" t="n">
        <v>0</v>
      </c>
      <c r="O4217" s="183" t="n">
        <v>69</v>
      </c>
      <c r="P4217" s="183" t="n">
        <v>0</v>
      </c>
      <c r="Q4217" s="184" t="n">
        <v>1698.3</v>
      </c>
      <c r="R4217" s="184" t="n">
        <v>0</v>
      </c>
      <c r="S4217" s="183" t="n">
        <v>0</v>
      </c>
      <c r="T4217" s="183" t="n">
        <v>0</v>
      </c>
      <c r="U4217" s="182" t="n">
        <v>0</v>
      </c>
      <c r="V4217" s="182" t="n">
        <v>0</v>
      </c>
      <c r="W4217" s="182" t="n">
        <v>0</v>
      </c>
      <c r="X4217" s="182" t="n">
        <v>0.87</v>
      </c>
      <c r="Y4217" s="182" t="n">
        <v>0</v>
      </c>
      <c r="Z4217" s="182" t="n">
        <v>0</v>
      </c>
      <c r="AA4217" s="182" t="n">
        <v>0</v>
      </c>
      <c r="AB4217" s="182" t="n">
        <v>0</v>
      </c>
      <c r="AC4217" s="182" t="n">
        <v>0</v>
      </c>
      <c r="AD4217" s="182" t="n">
        <v>0.24</v>
      </c>
      <c r="AE4217" s="182" t="n">
        <v>0</v>
      </c>
      <c r="AF4217" s="182" t="n">
        <v>0</v>
      </c>
      <c r="AG4217" s="182" t="n">
        <v>0</v>
      </c>
      <c r="AH4217" s="182" t="n">
        <v>0</v>
      </c>
      <c r="AI4217" s="182" t="n">
        <v>0</v>
      </c>
      <c r="AJ4217" s="182" t="n">
        <v>0</v>
      </c>
      <c r="AK4217" s="182" t="n">
        <v>0</v>
      </c>
      <c r="AL4217" s="182" t="n">
        <v>0</v>
      </c>
      <c r="AM4217" s="182" t="n">
        <v>0.07000000000000001</v>
      </c>
      <c r="AN4217" s="182" t="n">
        <v>0</v>
      </c>
    </row>
    <row r="4218">
      <c r="A4218" s="155" t="n">
        <v>46101</v>
      </c>
      <c r="B4218" s="156" t="inlineStr">
        <is>
          <t>DS</t>
        </is>
      </c>
      <c r="C4218" s="156" t="inlineStr">
        <is>
          <t>EX-2101</t>
        </is>
      </c>
      <c r="D4218" s="156" t="inlineStr">
        <is>
          <t>SY2000</t>
        </is>
      </c>
      <c r="E4218" s="156" t="inlineStr">
        <is>
          <t>Excavator</t>
        </is>
      </c>
      <c r="F4218" s="156" t="inlineStr"/>
      <c r="G4218" s="182" t="n">
        <v>0</v>
      </c>
      <c r="H4218" s="182" t="n">
        <v>0</v>
      </c>
      <c r="I4218" s="182" t="n">
        <v>12</v>
      </c>
      <c r="J4218" s="182" t="n">
        <v>12</v>
      </c>
      <c r="K4218" s="182" t="n">
        <v>0</v>
      </c>
      <c r="L4218" s="182" t="n">
        <v>12</v>
      </c>
      <c r="M4218" s="182" t="n">
        <v>0</v>
      </c>
      <c r="N4218" s="182" t="n">
        <v>0</v>
      </c>
      <c r="O4218" s="183" t="n">
        <v>0</v>
      </c>
      <c r="P4218" s="183" t="n">
        <v>0</v>
      </c>
      <c r="Q4218" s="184" t="n">
        <v>0</v>
      </c>
      <c r="R4218" s="184" t="n">
        <v>0</v>
      </c>
      <c r="S4218" s="183" t="n">
        <v>0</v>
      </c>
      <c r="T4218" s="183" t="n">
        <v>0</v>
      </c>
      <c r="U4218" s="182" t="n">
        <v>0</v>
      </c>
      <c r="V4218" s="182" t="n">
        <v>0</v>
      </c>
      <c r="W4218" s="182" t="n">
        <v>0</v>
      </c>
      <c r="X4218" s="182" t="n">
        <v>0</v>
      </c>
      <c r="Y4218" s="182" t="n">
        <v>0</v>
      </c>
      <c r="Z4218" s="182" t="n">
        <v>0</v>
      </c>
      <c r="AA4218" s="182" t="n">
        <v>0</v>
      </c>
      <c r="AB4218" s="182" t="n">
        <v>0</v>
      </c>
      <c r="AC4218" s="182" t="n">
        <v>0</v>
      </c>
      <c r="AD4218" s="182" t="n">
        <v>0</v>
      </c>
      <c r="AE4218" s="182" t="n">
        <v>0</v>
      </c>
      <c r="AF4218" s="182" t="n">
        <v>0</v>
      </c>
      <c r="AG4218" s="182" t="n">
        <v>0</v>
      </c>
      <c r="AH4218" s="182" t="n">
        <v>0</v>
      </c>
      <c r="AI4218" s="182" t="n">
        <v>0</v>
      </c>
      <c r="AJ4218" s="182" t="n">
        <v>0</v>
      </c>
      <c r="AK4218" s="182" t="n">
        <v>0</v>
      </c>
      <c r="AL4218" s="182" t="n">
        <v>0</v>
      </c>
      <c r="AM4218" s="182" t="n">
        <v>0</v>
      </c>
      <c r="AN4218" s="182" t="n">
        <v>0</v>
      </c>
    </row>
    <row r="4219">
      <c r="A4219" s="155" t="n">
        <v>46101</v>
      </c>
      <c r="B4219" s="156" t="inlineStr">
        <is>
          <t>DS</t>
        </is>
      </c>
      <c r="C4219" s="156" t="inlineStr">
        <is>
          <t>EX-222</t>
        </is>
      </c>
      <c r="D4219" s="156" t="inlineStr">
        <is>
          <t>PC 200-8MI</t>
        </is>
      </c>
      <c r="E4219" s="156" t="inlineStr">
        <is>
          <t>Excavator</t>
        </is>
      </c>
      <c r="F4219" s="156" t="inlineStr">
        <is>
          <t>Support ROM &amp; Washing Plant</t>
        </is>
      </c>
      <c r="G4219" s="182" t="n">
        <v>11.23</v>
      </c>
      <c r="H4219" s="182" t="n">
        <v>0</v>
      </c>
      <c r="I4219" s="182" t="n">
        <v>0</v>
      </c>
      <c r="J4219" s="182" t="n">
        <v>0</v>
      </c>
      <c r="K4219" s="182" t="n">
        <v>0.77</v>
      </c>
      <c r="L4219" s="182" t="n">
        <v>12</v>
      </c>
      <c r="M4219" s="182" t="n">
        <v>0</v>
      </c>
      <c r="N4219" s="182" t="n">
        <v>0</v>
      </c>
      <c r="O4219" s="183" t="n">
        <v>0</v>
      </c>
      <c r="P4219" s="183" t="n">
        <v>0</v>
      </c>
      <c r="Q4219" s="184" t="n">
        <v>0</v>
      </c>
      <c r="R4219" s="184" t="n">
        <v>0</v>
      </c>
      <c r="S4219" s="183" t="n">
        <v>0</v>
      </c>
      <c r="T4219" s="183" t="n">
        <v>0</v>
      </c>
      <c r="U4219" s="182" t="n">
        <v>0</v>
      </c>
      <c r="V4219" s="182" t="n">
        <v>0</v>
      </c>
      <c r="W4219" s="182" t="n">
        <v>0</v>
      </c>
      <c r="X4219" s="182" t="n">
        <v>0.64</v>
      </c>
      <c r="Y4219" s="182" t="n">
        <v>0</v>
      </c>
      <c r="Z4219" s="182" t="n">
        <v>0</v>
      </c>
      <c r="AA4219" s="182" t="n">
        <v>0</v>
      </c>
      <c r="AB4219" s="182" t="n">
        <v>0</v>
      </c>
      <c r="AC4219" s="182" t="n">
        <v>0</v>
      </c>
      <c r="AD4219" s="182" t="n">
        <v>0</v>
      </c>
      <c r="AE4219" s="182" t="n">
        <v>0</v>
      </c>
      <c r="AF4219" s="182" t="n">
        <v>0</v>
      </c>
      <c r="AG4219" s="182" t="n">
        <v>0</v>
      </c>
      <c r="AH4219" s="182" t="n">
        <v>0.08</v>
      </c>
      <c r="AI4219" s="182" t="n">
        <v>0</v>
      </c>
      <c r="AJ4219" s="182" t="n">
        <v>0</v>
      </c>
      <c r="AK4219" s="182" t="n">
        <v>0</v>
      </c>
      <c r="AL4219" s="182" t="n">
        <v>0</v>
      </c>
      <c r="AM4219" s="182" t="n">
        <v>0.05</v>
      </c>
      <c r="AN4219" s="182" t="n">
        <v>0</v>
      </c>
    </row>
    <row r="4220">
      <c r="A4220" s="155" t="n">
        <v>46101</v>
      </c>
      <c r="B4220" s="156" t="inlineStr">
        <is>
          <t>DS</t>
        </is>
      </c>
      <c r="C4220" s="156" t="inlineStr">
        <is>
          <t>EX-225</t>
        </is>
      </c>
      <c r="D4220" s="156" t="inlineStr">
        <is>
          <t>PC 200-8</t>
        </is>
      </c>
      <c r="E4220" s="156" t="inlineStr">
        <is>
          <t>Excavator</t>
        </is>
      </c>
      <c r="F4220" s="156" t="inlineStr"/>
      <c r="G4220" s="182" t="n">
        <v>0</v>
      </c>
      <c r="H4220" s="182" t="n">
        <v>0</v>
      </c>
      <c r="I4220" s="182" t="n">
        <v>12</v>
      </c>
      <c r="J4220" s="182" t="n">
        <v>12</v>
      </c>
      <c r="K4220" s="182" t="n">
        <v>0</v>
      </c>
      <c r="L4220" s="182" t="n">
        <v>12</v>
      </c>
      <c r="M4220" s="182" t="n">
        <v>0</v>
      </c>
      <c r="N4220" s="182" t="n">
        <v>0</v>
      </c>
      <c r="O4220" s="183" t="n">
        <v>0</v>
      </c>
      <c r="P4220" s="183" t="n">
        <v>0</v>
      </c>
      <c r="Q4220" s="184" t="n">
        <v>0</v>
      </c>
      <c r="R4220" s="184" t="n">
        <v>0</v>
      </c>
      <c r="S4220" s="183" t="n">
        <v>0</v>
      </c>
      <c r="T4220" s="183" t="n">
        <v>0</v>
      </c>
      <c r="U4220" s="182" t="n">
        <v>0</v>
      </c>
      <c r="V4220" s="182" t="n">
        <v>0</v>
      </c>
      <c r="W4220" s="182" t="n">
        <v>0</v>
      </c>
      <c r="X4220" s="182" t="n">
        <v>0</v>
      </c>
      <c r="Y4220" s="182" t="n">
        <v>0</v>
      </c>
      <c r="Z4220" s="182" t="n">
        <v>0</v>
      </c>
      <c r="AA4220" s="182" t="n">
        <v>0</v>
      </c>
      <c r="AB4220" s="182" t="n">
        <v>0</v>
      </c>
      <c r="AC4220" s="182" t="n">
        <v>0</v>
      </c>
      <c r="AD4220" s="182" t="n">
        <v>0</v>
      </c>
      <c r="AE4220" s="182" t="n">
        <v>0</v>
      </c>
      <c r="AF4220" s="182" t="n">
        <v>0</v>
      </c>
      <c r="AG4220" s="182" t="n">
        <v>0</v>
      </c>
      <c r="AH4220" s="182" t="n">
        <v>0</v>
      </c>
      <c r="AI4220" s="182" t="n">
        <v>0</v>
      </c>
      <c r="AJ4220" s="182" t="n">
        <v>0</v>
      </c>
      <c r="AK4220" s="182" t="n">
        <v>0</v>
      </c>
      <c r="AL4220" s="182" t="n">
        <v>0</v>
      </c>
      <c r="AM4220" s="182" t="n">
        <v>0</v>
      </c>
      <c r="AN4220" s="182" t="n">
        <v>0</v>
      </c>
    </row>
    <row r="4221">
      <c r="A4221" s="155" t="n">
        <v>46101</v>
      </c>
      <c r="B4221" s="156" t="inlineStr">
        <is>
          <t>DS</t>
        </is>
      </c>
      <c r="C4221" s="156" t="inlineStr">
        <is>
          <t>EX-223</t>
        </is>
      </c>
      <c r="D4221" s="156" t="inlineStr">
        <is>
          <t>PC 200-8MI</t>
        </is>
      </c>
      <c r="E4221" s="156" t="inlineStr">
        <is>
          <t>Excavator</t>
        </is>
      </c>
      <c r="F4221" s="156" t="inlineStr">
        <is>
          <t>General Washing Plant &amp; Support Area Gudang Handak</t>
        </is>
      </c>
      <c r="G4221" s="182" t="n">
        <v>6.63</v>
      </c>
      <c r="H4221" s="182" t="n">
        <v>0</v>
      </c>
      <c r="I4221" s="182" t="n">
        <v>5.2</v>
      </c>
      <c r="J4221" s="182" t="n">
        <v>5.2</v>
      </c>
      <c r="K4221" s="182" t="n">
        <v>0.17</v>
      </c>
      <c r="L4221" s="182" t="n">
        <v>12</v>
      </c>
      <c r="M4221" s="182" t="n">
        <v>0</v>
      </c>
      <c r="N4221" s="182" t="n">
        <v>0</v>
      </c>
      <c r="O4221" s="183" t="n">
        <v>0</v>
      </c>
      <c r="P4221" s="183" t="n">
        <v>0</v>
      </c>
      <c r="Q4221" s="184" t="n">
        <v>0</v>
      </c>
      <c r="R4221" s="184" t="n">
        <v>0</v>
      </c>
      <c r="S4221" s="183" t="n">
        <v>0</v>
      </c>
      <c r="T4221" s="183" t="n">
        <v>0</v>
      </c>
      <c r="U4221" s="182" t="n">
        <v>0</v>
      </c>
      <c r="V4221" s="182" t="n">
        <v>0</v>
      </c>
      <c r="W4221" s="182" t="n">
        <v>0</v>
      </c>
      <c r="X4221" s="182" t="n">
        <v>0</v>
      </c>
      <c r="Y4221" s="182" t="n">
        <v>0</v>
      </c>
      <c r="Z4221" s="182" t="n">
        <v>0</v>
      </c>
      <c r="AA4221" s="182" t="n">
        <v>0</v>
      </c>
      <c r="AB4221" s="182" t="n">
        <v>0</v>
      </c>
      <c r="AC4221" s="182" t="n">
        <v>0</v>
      </c>
      <c r="AD4221" s="182" t="n">
        <v>0</v>
      </c>
      <c r="AE4221" s="182" t="n">
        <v>0</v>
      </c>
      <c r="AF4221" s="182" t="n">
        <v>0</v>
      </c>
      <c r="AG4221" s="182" t="n">
        <v>0</v>
      </c>
      <c r="AH4221" s="182" t="n">
        <v>0</v>
      </c>
      <c r="AI4221" s="182" t="n">
        <v>0</v>
      </c>
      <c r="AJ4221" s="182" t="n">
        <v>0</v>
      </c>
      <c r="AK4221" s="182" t="n">
        <v>0</v>
      </c>
      <c r="AL4221" s="182" t="n">
        <v>0</v>
      </c>
      <c r="AM4221" s="182" t="n">
        <v>0</v>
      </c>
      <c r="AN4221" s="182" t="n">
        <v>0</v>
      </c>
    </row>
    <row r="4222">
      <c r="A4222" s="155" t="n">
        <v>46101</v>
      </c>
      <c r="B4222" s="156" t="inlineStr">
        <is>
          <t>DS</t>
        </is>
      </c>
      <c r="C4222" s="156" t="inlineStr">
        <is>
          <t>EX-221</t>
        </is>
      </c>
      <c r="D4222" s="156" t="inlineStr">
        <is>
          <t>PC 200-8MI</t>
        </is>
      </c>
      <c r="E4222" s="156" t="inlineStr">
        <is>
          <t>Excavator</t>
        </is>
      </c>
      <c r="F4222" s="156" t="inlineStr">
        <is>
          <t>Support Jetty</t>
        </is>
      </c>
      <c r="G4222" s="182" t="n">
        <v>6.06</v>
      </c>
      <c r="H4222" s="182" t="n">
        <v>0</v>
      </c>
      <c r="I4222" s="182" t="n">
        <v>0</v>
      </c>
      <c r="J4222" s="182" t="n">
        <v>0</v>
      </c>
      <c r="K4222" s="182" t="n">
        <v>5.94</v>
      </c>
      <c r="L4222" s="182" t="n">
        <v>12</v>
      </c>
      <c r="M4222" s="182" t="n">
        <v>0</v>
      </c>
      <c r="N4222" s="182" t="n">
        <v>0</v>
      </c>
      <c r="O4222" s="183" t="n">
        <v>0</v>
      </c>
      <c r="P4222" s="183" t="n">
        <v>0</v>
      </c>
      <c r="Q4222" s="184" t="n">
        <v>0</v>
      </c>
      <c r="R4222" s="184" t="n">
        <v>0</v>
      </c>
      <c r="S4222" s="183" t="n">
        <v>0</v>
      </c>
      <c r="T4222" s="183" t="n">
        <v>0</v>
      </c>
      <c r="U4222" s="182" t="n">
        <v>0</v>
      </c>
      <c r="V4222" s="182" t="n">
        <v>0</v>
      </c>
      <c r="W4222" s="182" t="n">
        <v>0</v>
      </c>
      <c r="X4222" s="182" t="n">
        <v>1.08</v>
      </c>
      <c r="Y4222" s="182" t="n">
        <v>0</v>
      </c>
      <c r="Z4222" s="182" t="n">
        <v>0</v>
      </c>
      <c r="AA4222" s="182" t="n">
        <v>0</v>
      </c>
      <c r="AB4222" s="182" t="n">
        <v>0</v>
      </c>
      <c r="AC4222" s="182" t="n">
        <v>0</v>
      </c>
      <c r="AD4222" s="182" t="n">
        <v>0</v>
      </c>
      <c r="AE4222" s="182" t="n">
        <v>0</v>
      </c>
      <c r="AF4222" s="182" t="n">
        <v>0</v>
      </c>
      <c r="AG4222" s="182" t="n">
        <v>0</v>
      </c>
      <c r="AH4222" s="182" t="n">
        <v>0</v>
      </c>
      <c r="AI4222" s="182" t="n">
        <v>0</v>
      </c>
      <c r="AJ4222" s="182" t="n">
        <v>0</v>
      </c>
      <c r="AK4222" s="182" t="n">
        <v>4.77</v>
      </c>
      <c r="AL4222" s="182" t="n">
        <v>0</v>
      </c>
      <c r="AM4222" s="182" t="n">
        <v>0.09</v>
      </c>
      <c r="AN4222" s="182" t="n">
        <v>0</v>
      </c>
    </row>
    <row r="4223">
      <c r="A4223" s="155" t="n">
        <v>46101</v>
      </c>
      <c r="B4223" s="156" t="inlineStr">
        <is>
          <t>DS</t>
        </is>
      </c>
      <c r="C4223" s="156" t="inlineStr">
        <is>
          <t>EX-331</t>
        </is>
      </c>
      <c r="D4223" s="156" t="inlineStr">
        <is>
          <t>PC 300-8MO</t>
        </is>
      </c>
      <c r="E4223" s="156" t="inlineStr">
        <is>
          <t>Excavator</t>
        </is>
      </c>
      <c r="F4223" s="156" t="inlineStr"/>
      <c r="G4223" s="182" t="n">
        <v>0</v>
      </c>
      <c r="H4223" s="182" t="n">
        <v>0</v>
      </c>
      <c r="I4223" s="182" t="n">
        <v>12</v>
      </c>
      <c r="J4223" s="182" t="n">
        <v>12</v>
      </c>
      <c r="K4223" s="182" t="n">
        <v>0</v>
      </c>
      <c r="L4223" s="182" t="n">
        <v>12</v>
      </c>
      <c r="M4223" s="182" t="n">
        <v>0</v>
      </c>
      <c r="N4223" s="182" t="n">
        <v>0</v>
      </c>
      <c r="O4223" s="183" t="n">
        <v>0</v>
      </c>
      <c r="P4223" s="183" t="n">
        <v>0</v>
      </c>
      <c r="Q4223" s="184" t="n">
        <v>0</v>
      </c>
      <c r="R4223" s="184" t="n">
        <v>0</v>
      </c>
      <c r="S4223" s="183" t="n">
        <v>0</v>
      </c>
      <c r="T4223" s="183" t="n">
        <v>0</v>
      </c>
      <c r="U4223" s="182" t="n">
        <v>0</v>
      </c>
      <c r="V4223" s="182" t="n">
        <v>0</v>
      </c>
      <c r="W4223" s="182" t="n">
        <v>0</v>
      </c>
      <c r="X4223" s="182" t="n">
        <v>0</v>
      </c>
      <c r="Y4223" s="182" t="n">
        <v>0</v>
      </c>
      <c r="Z4223" s="182" t="n">
        <v>0</v>
      </c>
      <c r="AA4223" s="182" t="n">
        <v>0</v>
      </c>
      <c r="AB4223" s="182" t="n">
        <v>0</v>
      </c>
      <c r="AC4223" s="182" t="n">
        <v>0</v>
      </c>
      <c r="AD4223" s="182" t="n">
        <v>0</v>
      </c>
      <c r="AE4223" s="182" t="n">
        <v>0</v>
      </c>
      <c r="AF4223" s="182" t="n">
        <v>0</v>
      </c>
      <c r="AG4223" s="182" t="n">
        <v>0</v>
      </c>
      <c r="AH4223" s="182" t="n">
        <v>0</v>
      </c>
      <c r="AI4223" s="182" t="n">
        <v>0</v>
      </c>
      <c r="AJ4223" s="182" t="n">
        <v>0</v>
      </c>
      <c r="AK4223" s="182" t="n">
        <v>0</v>
      </c>
      <c r="AL4223" s="182" t="n">
        <v>0</v>
      </c>
      <c r="AM4223" s="182" t="n">
        <v>0</v>
      </c>
      <c r="AN4223" s="182" t="n">
        <v>0</v>
      </c>
    </row>
    <row r="4224">
      <c r="A4224" s="155" t="n">
        <v>46101</v>
      </c>
      <c r="B4224" s="156" t="inlineStr">
        <is>
          <t>DS</t>
        </is>
      </c>
      <c r="C4224" s="156" t="inlineStr">
        <is>
          <t>EX-334</t>
        </is>
      </c>
      <c r="D4224" s="156" t="inlineStr">
        <is>
          <t>PC 300-8MO</t>
        </is>
      </c>
      <c r="E4224" s="156" t="inlineStr">
        <is>
          <t>Excavator</t>
        </is>
      </c>
      <c r="F4224" s="156" t="inlineStr">
        <is>
          <t>Cleaning Coal</t>
        </is>
      </c>
      <c r="G4224" s="182" t="n">
        <v>10.42</v>
      </c>
      <c r="H4224" s="182" t="n">
        <v>0</v>
      </c>
      <c r="I4224" s="182" t="n">
        <v>1.25</v>
      </c>
      <c r="J4224" s="182" t="n">
        <v>1.25</v>
      </c>
      <c r="K4224" s="182" t="n">
        <v>0.33</v>
      </c>
      <c r="L4224" s="182" t="n">
        <v>12</v>
      </c>
      <c r="M4224" s="182" t="n">
        <v>0</v>
      </c>
      <c r="N4224" s="182" t="n">
        <v>0</v>
      </c>
      <c r="O4224" s="183" t="n">
        <v>0</v>
      </c>
      <c r="P4224" s="183" t="n">
        <v>0</v>
      </c>
      <c r="Q4224" s="184" t="n">
        <v>0</v>
      </c>
      <c r="R4224" s="184" t="n">
        <v>0</v>
      </c>
      <c r="S4224" s="183" t="n">
        <v>0</v>
      </c>
      <c r="T4224" s="183" t="n">
        <v>0</v>
      </c>
      <c r="U4224" s="182" t="n">
        <v>0</v>
      </c>
      <c r="V4224" s="182" t="n">
        <v>0</v>
      </c>
      <c r="W4224" s="182" t="n">
        <v>0</v>
      </c>
      <c r="X4224" s="182" t="n">
        <v>0.3</v>
      </c>
      <c r="Y4224" s="182" t="n">
        <v>0</v>
      </c>
      <c r="Z4224" s="182" t="n">
        <v>0</v>
      </c>
      <c r="AA4224" s="182" t="n">
        <v>0</v>
      </c>
      <c r="AB4224" s="182" t="n">
        <v>0</v>
      </c>
      <c r="AC4224" s="182" t="n">
        <v>0</v>
      </c>
      <c r="AD4224" s="182" t="n">
        <v>0</v>
      </c>
      <c r="AE4224" s="182" t="n">
        <v>0</v>
      </c>
      <c r="AF4224" s="182" t="n">
        <v>0</v>
      </c>
      <c r="AG4224" s="182" t="n">
        <v>0</v>
      </c>
      <c r="AH4224" s="182" t="n">
        <v>0</v>
      </c>
      <c r="AI4224" s="182" t="n">
        <v>0</v>
      </c>
      <c r="AJ4224" s="182" t="n">
        <v>0</v>
      </c>
      <c r="AK4224" s="182" t="n">
        <v>0</v>
      </c>
      <c r="AL4224" s="182" t="n">
        <v>0</v>
      </c>
      <c r="AM4224" s="182" t="n">
        <v>0.03</v>
      </c>
      <c r="AN4224" s="182" t="n">
        <v>0</v>
      </c>
    </row>
    <row r="4225">
      <c r="A4225" s="155" t="n">
        <v>46101</v>
      </c>
      <c r="B4225" s="156" t="inlineStr">
        <is>
          <t>DS</t>
        </is>
      </c>
      <c r="C4225" s="156" t="inlineStr">
        <is>
          <t>EX-332</t>
        </is>
      </c>
      <c r="D4225" s="156" t="inlineStr">
        <is>
          <t>PC 300-8MO</t>
        </is>
      </c>
      <c r="E4225" s="156" t="inlineStr">
        <is>
          <t>Excavator</t>
        </is>
      </c>
      <c r="F4225" s="156" t="inlineStr">
        <is>
          <t>Cleaning Coal</t>
        </is>
      </c>
      <c r="G4225" s="182" t="n">
        <v>9.710000000000001</v>
      </c>
      <c r="H4225" s="182" t="n">
        <v>0</v>
      </c>
      <c r="I4225" s="182" t="n">
        <v>0.08</v>
      </c>
      <c r="J4225" s="182" t="n">
        <v>0.08</v>
      </c>
      <c r="K4225" s="182" t="n">
        <v>2.21</v>
      </c>
      <c r="L4225" s="182" t="n">
        <v>12</v>
      </c>
      <c r="M4225" s="182" t="n">
        <v>0</v>
      </c>
      <c r="N4225" s="182" t="n">
        <v>0</v>
      </c>
      <c r="O4225" s="183" t="n">
        <v>0</v>
      </c>
      <c r="P4225" s="183" t="n">
        <v>0</v>
      </c>
      <c r="Q4225" s="184" t="n">
        <v>0</v>
      </c>
      <c r="R4225" s="184" t="n">
        <v>0</v>
      </c>
      <c r="S4225" s="183" t="n">
        <v>0</v>
      </c>
      <c r="T4225" s="183" t="n">
        <v>0</v>
      </c>
      <c r="U4225" s="182" t="n">
        <v>0</v>
      </c>
      <c r="V4225" s="182" t="n">
        <v>0</v>
      </c>
      <c r="W4225" s="182" t="n">
        <v>0</v>
      </c>
      <c r="X4225" s="182" t="n">
        <v>0.95</v>
      </c>
      <c r="Y4225" s="182" t="n">
        <v>0</v>
      </c>
      <c r="Z4225" s="182" t="n">
        <v>0</v>
      </c>
      <c r="AA4225" s="182" t="n">
        <v>0</v>
      </c>
      <c r="AB4225" s="182" t="n">
        <v>0</v>
      </c>
      <c r="AC4225" s="182" t="n">
        <v>0</v>
      </c>
      <c r="AD4225" s="182" t="n">
        <v>0</v>
      </c>
      <c r="AE4225" s="182" t="n">
        <v>0</v>
      </c>
      <c r="AF4225" s="182" t="n">
        <v>0</v>
      </c>
      <c r="AG4225" s="182" t="n">
        <v>0</v>
      </c>
      <c r="AH4225" s="182" t="n">
        <v>0</v>
      </c>
      <c r="AI4225" s="182" t="n">
        <v>0</v>
      </c>
      <c r="AJ4225" s="182" t="n">
        <v>0</v>
      </c>
      <c r="AK4225" s="182" t="n">
        <v>1.17</v>
      </c>
      <c r="AL4225" s="182" t="n">
        <v>0</v>
      </c>
      <c r="AM4225" s="182" t="n">
        <v>0.08</v>
      </c>
      <c r="AN4225" s="182" t="n">
        <v>0</v>
      </c>
    </row>
    <row r="4226">
      <c r="A4226" s="155" t="n">
        <v>46101</v>
      </c>
      <c r="B4226" s="156" t="inlineStr">
        <is>
          <t>DS</t>
        </is>
      </c>
      <c r="C4226" s="156" t="inlineStr">
        <is>
          <t>EX-333</t>
        </is>
      </c>
      <c r="D4226" s="156" t="inlineStr">
        <is>
          <t>PC 300-8MO</t>
        </is>
      </c>
      <c r="E4226" s="156" t="inlineStr">
        <is>
          <t>Excavator</t>
        </is>
      </c>
      <c r="F4226" s="156" t="inlineStr">
        <is>
          <t>Cleaning Coal</t>
        </is>
      </c>
      <c r="G4226" s="182" t="n">
        <v>1.31</v>
      </c>
      <c r="H4226" s="182" t="n">
        <v>0</v>
      </c>
      <c r="I4226" s="182" t="n">
        <v>9.48</v>
      </c>
      <c r="J4226" s="182" t="n">
        <v>9.48</v>
      </c>
      <c r="K4226" s="182" t="n">
        <v>1.21</v>
      </c>
      <c r="L4226" s="182" t="n">
        <v>12</v>
      </c>
      <c r="M4226" s="182" t="n">
        <v>0</v>
      </c>
      <c r="N4226" s="182" t="n">
        <v>0</v>
      </c>
      <c r="O4226" s="183" t="n">
        <v>0</v>
      </c>
      <c r="P4226" s="183" t="n">
        <v>0</v>
      </c>
      <c r="Q4226" s="184" t="n">
        <v>0</v>
      </c>
      <c r="R4226" s="184" t="n">
        <v>0</v>
      </c>
      <c r="S4226" s="183" t="n">
        <v>0</v>
      </c>
      <c r="T4226" s="183" t="n">
        <v>0</v>
      </c>
      <c r="U4226" s="182" t="n">
        <v>0</v>
      </c>
      <c r="V4226" s="182" t="n">
        <v>0</v>
      </c>
      <c r="W4226" s="182" t="n">
        <v>0</v>
      </c>
      <c r="X4226" s="182" t="n">
        <v>1.05</v>
      </c>
      <c r="Y4226" s="182" t="n">
        <v>0</v>
      </c>
      <c r="Z4226" s="182" t="n">
        <v>0</v>
      </c>
      <c r="AA4226" s="182" t="n">
        <v>0</v>
      </c>
      <c r="AB4226" s="182" t="n">
        <v>0</v>
      </c>
      <c r="AC4226" s="182" t="n">
        <v>0</v>
      </c>
      <c r="AD4226" s="182" t="n">
        <v>0</v>
      </c>
      <c r="AE4226" s="182" t="n">
        <v>0</v>
      </c>
      <c r="AF4226" s="182" t="n">
        <v>0</v>
      </c>
      <c r="AG4226" s="182" t="n">
        <v>0</v>
      </c>
      <c r="AH4226" s="182" t="n">
        <v>0.06</v>
      </c>
      <c r="AI4226" s="182" t="n">
        <v>0</v>
      </c>
      <c r="AJ4226" s="182" t="n">
        <v>0</v>
      </c>
      <c r="AK4226" s="182" t="n">
        <v>0</v>
      </c>
      <c r="AL4226" s="182" t="n">
        <v>0</v>
      </c>
      <c r="AM4226" s="182" t="n">
        <v>0.08</v>
      </c>
      <c r="AN4226" s="182" t="n">
        <v>0</v>
      </c>
    </row>
    <row r="4227">
      <c r="A4227" s="155" t="n">
        <v>46101</v>
      </c>
      <c r="B4227" s="156" t="inlineStr">
        <is>
          <t>DS</t>
        </is>
      </c>
      <c r="C4227" s="156" t="inlineStr">
        <is>
          <t>EX-336</t>
        </is>
      </c>
      <c r="D4227" s="156" t="inlineStr">
        <is>
          <t>PC 300-8MO</t>
        </is>
      </c>
      <c r="E4227" s="156" t="inlineStr">
        <is>
          <t>Excavator</t>
        </is>
      </c>
      <c r="F4227" s="156" t="inlineStr"/>
      <c r="G4227" s="182" t="n">
        <v>0</v>
      </c>
      <c r="H4227" s="182" t="n">
        <v>0</v>
      </c>
      <c r="I4227" s="182" t="n">
        <v>12</v>
      </c>
      <c r="J4227" s="182" t="n">
        <v>12</v>
      </c>
      <c r="K4227" s="182" t="n">
        <v>0</v>
      </c>
      <c r="L4227" s="182" t="n">
        <v>12</v>
      </c>
      <c r="M4227" s="182" t="n">
        <v>0</v>
      </c>
      <c r="N4227" s="182" t="n">
        <v>0</v>
      </c>
      <c r="O4227" s="183" t="n">
        <v>0</v>
      </c>
      <c r="P4227" s="183" t="n">
        <v>0</v>
      </c>
      <c r="Q4227" s="184" t="n">
        <v>0</v>
      </c>
      <c r="R4227" s="184" t="n">
        <v>0</v>
      </c>
      <c r="S4227" s="183" t="n">
        <v>0</v>
      </c>
      <c r="T4227" s="183" t="n">
        <v>0</v>
      </c>
      <c r="U4227" s="182" t="n">
        <v>0</v>
      </c>
      <c r="V4227" s="182" t="n">
        <v>0</v>
      </c>
      <c r="W4227" s="182" t="n">
        <v>0</v>
      </c>
      <c r="X4227" s="182" t="n">
        <v>0</v>
      </c>
      <c r="Y4227" s="182" t="n">
        <v>0</v>
      </c>
      <c r="Z4227" s="182" t="n">
        <v>0</v>
      </c>
      <c r="AA4227" s="182" t="n">
        <v>0</v>
      </c>
      <c r="AB4227" s="182" t="n">
        <v>0</v>
      </c>
      <c r="AC4227" s="182" t="n">
        <v>0</v>
      </c>
      <c r="AD4227" s="182" t="n">
        <v>0</v>
      </c>
      <c r="AE4227" s="182" t="n">
        <v>0</v>
      </c>
      <c r="AF4227" s="182" t="n">
        <v>0</v>
      </c>
      <c r="AG4227" s="182" t="n">
        <v>0</v>
      </c>
      <c r="AH4227" s="182" t="n">
        <v>0</v>
      </c>
      <c r="AI4227" s="182" t="n">
        <v>0</v>
      </c>
      <c r="AJ4227" s="182" t="n">
        <v>0</v>
      </c>
      <c r="AK4227" s="182" t="n">
        <v>0</v>
      </c>
      <c r="AL4227" s="182" t="n">
        <v>0</v>
      </c>
      <c r="AM4227" s="182" t="n">
        <v>0</v>
      </c>
      <c r="AN4227" s="182" t="n">
        <v>0</v>
      </c>
    </row>
    <row r="4228">
      <c r="A4228" s="155" t="n">
        <v>46101</v>
      </c>
      <c r="B4228" s="156" t="inlineStr">
        <is>
          <t>DS</t>
        </is>
      </c>
      <c r="C4228" s="156" t="inlineStr">
        <is>
          <t>EX-335</t>
        </is>
      </c>
      <c r="D4228" s="156" t="inlineStr">
        <is>
          <t>PC 300-8MO</t>
        </is>
      </c>
      <c r="E4228" s="156" t="inlineStr">
        <is>
          <t>Excavator</t>
        </is>
      </c>
      <c r="F4228" s="156" t="inlineStr"/>
      <c r="G4228" s="182" t="n">
        <v>0</v>
      </c>
      <c r="H4228" s="182" t="n">
        <v>0</v>
      </c>
      <c r="I4228" s="182" t="n">
        <v>12</v>
      </c>
      <c r="J4228" s="182" t="n">
        <v>12</v>
      </c>
      <c r="K4228" s="182" t="n">
        <v>0</v>
      </c>
      <c r="L4228" s="182" t="n">
        <v>12</v>
      </c>
      <c r="M4228" s="182" t="n">
        <v>0</v>
      </c>
      <c r="N4228" s="182" t="n">
        <v>0</v>
      </c>
      <c r="O4228" s="183" t="n">
        <v>0</v>
      </c>
      <c r="P4228" s="183" t="n">
        <v>0</v>
      </c>
      <c r="Q4228" s="184" t="n">
        <v>0</v>
      </c>
      <c r="R4228" s="184" t="n">
        <v>0</v>
      </c>
      <c r="S4228" s="183" t="n">
        <v>0</v>
      </c>
      <c r="T4228" s="183" t="n">
        <v>0</v>
      </c>
      <c r="U4228" s="182" t="n">
        <v>0</v>
      </c>
      <c r="V4228" s="182" t="n">
        <v>0</v>
      </c>
      <c r="W4228" s="182" t="n">
        <v>0</v>
      </c>
      <c r="X4228" s="182" t="n">
        <v>0</v>
      </c>
      <c r="Y4228" s="182" t="n">
        <v>0</v>
      </c>
      <c r="Z4228" s="182" t="n">
        <v>0</v>
      </c>
      <c r="AA4228" s="182" t="n">
        <v>0</v>
      </c>
      <c r="AB4228" s="182" t="n">
        <v>0</v>
      </c>
      <c r="AC4228" s="182" t="n">
        <v>0</v>
      </c>
      <c r="AD4228" s="182" t="n">
        <v>0</v>
      </c>
      <c r="AE4228" s="182" t="n">
        <v>0</v>
      </c>
      <c r="AF4228" s="182" t="n">
        <v>0</v>
      </c>
      <c r="AG4228" s="182" t="n">
        <v>0</v>
      </c>
      <c r="AH4228" s="182" t="n">
        <v>0</v>
      </c>
      <c r="AI4228" s="182" t="n">
        <v>0</v>
      </c>
      <c r="AJ4228" s="182" t="n">
        <v>0</v>
      </c>
      <c r="AK4228" s="182" t="n">
        <v>0</v>
      </c>
      <c r="AL4228" s="182" t="n">
        <v>0</v>
      </c>
      <c r="AM4228" s="182" t="n">
        <v>0</v>
      </c>
      <c r="AN4228" s="182" t="n">
        <v>0</v>
      </c>
    </row>
    <row r="4229">
      <c r="A4229" s="155" t="n">
        <v>46101</v>
      </c>
      <c r="B4229" s="156" t="inlineStr">
        <is>
          <t>DS</t>
        </is>
      </c>
      <c r="C4229" s="156" t="inlineStr">
        <is>
          <t>EX-754</t>
        </is>
      </c>
      <c r="D4229" s="156" t="inlineStr">
        <is>
          <t>SY750H-PRO</t>
        </is>
      </c>
      <c r="E4229" s="156" t="inlineStr">
        <is>
          <t>Excavator</t>
        </is>
      </c>
      <c r="F4229" s="156" t="inlineStr">
        <is>
          <t>Loading OB &amp; Spoil</t>
        </is>
      </c>
      <c r="G4229" s="182" t="n">
        <v>1.67</v>
      </c>
      <c r="H4229" s="182" t="n">
        <v>0</v>
      </c>
      <c r="I4229" s="182" t="n">
        <v>3.38</v>
      </c>
      <c r="J4229" s="182" t="n">
        <v>3.38</v>
      </c>
      <c r="K4229" s="182" t="n">
        <v>6.95</v>
      </c>
      <c r="L4229" s="182" t="n">
        <v>12</v>
      </c>
      <c r="M4229" s="182" t="n">
        <v>0.2</v>
      </c>
      <c r="N4229" s="182" t="n">
        <v>0</v>
      </c>
      <c r="O4229" s="183" t="n">
        <v>3</v>
      </c>
      <c r="P4229" s="183" t="n">
        <v>0</v>
      </c>
      <c r="Q4229" s="184" t="n">
        <v>61.2</v>
      </c>
      <c r="R4229" s="184" t="n">
        <v>0</v>
      </c>
      <c r="S4229" s="183" t="n">
        <v>3</v>
      </c>
      <c r="T4229" s="183" t="n">
        <v>0</v>
      </c>
      <c r="U4229" s="182" t="n">
        <v>0</v>
      </c>
      <c r="V4229" s="182" t="n">
        <v>0</v>
      </c>
      <c r="W4229" s="182" t="n">
        <v>0</v>
      </c>
      <c r="X4229" s="182" t="n">
        <v>1</v>
      </c>
      <c r="Y4229" s="182" t="n">
        <v>0</v>
      </c>
      <c r="Z4229" s="182" t="n">
        <v>0</v>
      </c>
      <c r="AA4229" s="182" t="n">
        <v>0</v>
      </c>
      <c r="AB4229" s="182" t="n">
        <v>0</v>
      </c>
      <c r="AC4229" s="182" t="n">
        <v>0</v>
      </c>
      <c r="AD4229" s="182" t="n">
        <v>5.86</v>
      </c>
      <c r="AE4229" s="182" t="n">
        <v>0</v>
      </c>
      <c r="AF4229" s="182" t="n">
        <v>0</v>
      </c>
      <c r="AG4229" s="182" t="n">
        <v>0</v>
      </c>
      <c r="AH4229" s="182" t="n">
        <v>0</v>
      </c>
      <c r="AI4229" s="182" t="n">
        <v>0</v>
      </c>
      <c r="AJ4229" s="182" t="n">
        <v>0</v>
      </c>
      <c r="AK4229" s="182" t="n">
        <v>0</v>
      </c>
      <c r="AL4229" s="182" t="n">
        <v>0</v>
      </c>
      <c r="AM4229" s="182" t="n">
        <v>0.08</v>
      </c>
      <c r="AN4229" s="182" t="n">
        <v>0</v>
      </c>
    </row>
    <row r="4230">
      <c r="A4230" s="155" t="n">
        <v>46101</v>
      </c>
      <c r="B4230" s="156" t="inlineStr">
        <is>
          <t>DS</t>
        </is>
      </c>
      <c r="C4230" s="156" t="inlineStr">
        <is>
          <t>EX-755</t>
        </is>
      </c>
      <c r="D4230" s="156" t="inlineStr">
        <is>
          <t>SY750H-PRO</t>
        </is>
      </c>
      <c r="E4230" s="156" t="inlineStr">
        <is>
          <t>Excavator</t>
        </is>
      </c>
      <c r="F4230" s="156" t="inlineStr">
        <is>
          <t>Loading OB, Spoil &amp; Coal</t>
        </is>
      </c>
      <c r="G4230" s="182" t="n">
        <v>7.83</v>
      </c>
      <c r="H4230" s="182" t="n">
        <v>0</v>
      </c>
      <c r="I4230" s="182" t="n">
        <v>0</v>
      </c>
      <c r="J4230" s="182" t="n">
        <v>0</v>
      </c>
      <c r="K4230" s="182" t="n">
        <v>4.17</v>
      </c>
      <c r="L4230" s="182" t="n">
        <v>12</v>
      </c>
      <c r="M4230" s="182" t="n">
        <v>5.24</v>
      </c>
      <c r="N4230" s="182" t="n">
        <v>1.56</v>
      </c>
      <c r="O4230" s="183" t="n">
        <v>70</v>
      </c>
      <c r="P4230" s="183" t="n">
        <v>8</v>
      </c>
      <c r="Q4230" s="184" t="n">
        <v>1428</v>
      </c>
      <c r="R4230" s="184" t="n">
        <v>149.6</v>
      </c>
      <c r="S4230" s="183" t="n">
        <v>11</v>
      </c>
      <c r="T4230" s="183" t="n">
        <v>0</v>
      </c>
      <c r="U4230" s="182" t="n">
        <v>0</v>
      </c>
      <c r="V4230" s="182" t="n">
        <v>0</v>
      </c>
      <c r="W4230" s="182" t="n">
        <v>0</v>
      </c>
      <c r="X4230" s="182" t="n">
        <v>0.9399999999999999</v>
      </c>
      <c r="Y4230" s="182" t="n">
        <v>0</v>
      </c>
      <c r="Z4230" s="182" t="n">
        <v>0</v>
      </c>
      <c r="AA4230" s="182" t="n">
        <v>0</v>
      </c>
      <c r="AB4230" s="182" t="n">
        <v>0</v>
      </c>
      <c r="AC4230" s="182" t="n">
        <v>0</v>
      </c>
      <c r="AD4230" s="182" t="n">
        <v>3.16</v>
      </c>
      <c r="AE4230" s="182" t="n">
        <v>0</v>
      </c>
      <c r="AF4230" s="182" t="n">
        <v>0</v>
      </c>
      <c r="AG4230" s="182" t="n">
        <v>0</v>
      </c>
      <c r="AH4230" s="182" t="n">
        <v>0</v>
      </c>
      <c r="AI4230" s="182" t="n">
        <v>0</v>
      </c>
      <c r="AJ4230" s="182" t="n">
        <v>0</v>
      </c>
      <c r="AK4230" s="182" t="n">
        <v>0</v>
      </c>
      <c r="AL4230" s="182" t="n">
        <v>0</v>
      </c>
      <c r="AM4230" s="182" t="n">
        <v>0.07000000000000001</v>
      </c>
      <c r="AN4230" s="182" t="n">
        <v>0</v>
      </c>
    </row>
    <row r="4231">
      <c r="A4231" s="155" t="n">
        <v>46101</v>
      </c>
      <c r="B4231" s="156" t="inlineStr">
        <is>
          <t>DS</t>
        </is>
      </c>
      <c r="C4231" s="156" t="inlineStr">
        <is>
          <t>EX-752</t>
        </is>
      </c>
      <c r="D4231" s="156" t="inlineStr">
        <is>
          <t>SY750H-PRO</t>
        </is>
      </c>
      <c r="E4231" s="156" t="inlineStr">
        <is>
          <t>Excavator</t>
        </is>
      </c>
      <c r="F4231" s="156" t="inlineStr"/>
      <c r="G4231" s="182" t="n">
        <v>0</v>
      </c>
      <c r="H4231" s="182" t="n">
        <v>0</v>
      </c>
      <c r="I4231" s="182" t="n">
        <v>12</v>
      </c>
      <c r="J4231" s="182" t="n">
        <v>12</v>
      </c>
      <c r="K4231" s="182" t="n">
        <v>0</v>
      </c>
      <c r="L4231" s="182" t="n">
        <v>12</v>
      </c>
      <c r="M4231" s="182" t="n">
        <v>0</v>
      </c>
      <c r="N4231" s="182" t="n">
        <v>0</v>
      </c>
      <c r="O4231" s="183" t="n">
        <v>0</v>
      </c>
      <c r="P4231" s="183" t="n">
        <v>0</v>
      </c>
      <c r="Q4231" s="184" t="n">
        <v>0</v>
      </c>
      <c r="R4231" s="184" t="n">
        <v>0</v>
      </c>
      <c r="S4231" s="183" t="n">
        <v>0</v>
      </c>
      <c r="T4231" s="183" t="n">
        <v>0</v>
      </c>
      <c r="U4231" s="182" t="n">
        <v>0</v>
      </c>
      <c r="V4231" s="182" t="n">
        <v>0</v>
      </c>
      <c r="W4231" s="182" t="n">
        <v>0</v>
      </c>
      <c r="X4231" s="182" t="n">
        <v>0</v>
      </c>
      <c r="Y4231" s="182" t="n">
        <v>0</v>
      </c>
      <c r="Z4231" s="182" t="n">
        <v>0</v>
      </c>
      <c r="AA4231" s="182" t="n">
        <v>0</v>
      </c>
      <c r="AB4231" s="182" t="n">
        <v>0</v>
      </c>
      <c r="AC4231" s="182" t="n">
        <v>0</v>
      </c>
      <c r="AD4231" s="182" t="n">
        <v>0</v>
      </c>
      <c r="AE4231" s="182" t="n">
        <v>0</v>
      </c>
      <c r="AF4231" s="182" t="n">
        <v>0</v>
      </c>
      <c r="AG4231" s="182" t="n">
        <v>0</v>
      </c>
      <c r="AH4231" s="182" t="n">
        <v>0</v>
      </c>
      <c r="AI4231" s="182" t="n">
        <v>0</v>
      </c>
      <c r="AJ4231" s="182" t="n">
        <v>0</v>
      </c>
      <c r="AK4231" s="182" t="n">
        <v>0</v>
      </c>
      <c r="AL4231" s="182" t="n">
        <v>0</v>
      </c>
      <c r="AM4231" s="182" t="n">
        <v>0</v>
      </c>
      <c r="AN4231" s="182" t="n">
        <v>0</v>
      </c>
    </row>
    <row r="4232">
      <c r="A4232" s="155" t="n">
        <v>46101</v>
      </c>
      <c r="B4232" s="156" t="inlineStr">
        <is>
          <t>DS</t>
        </is>
      </c>
      <c r="C4232" s="156" t="inlineStr">
        <is>
          <t>EX-751</t>
        </is>
      </c>
      <c r="D4232" s="156" t="inlineStr">
        <is>
          <t>SY750H-PRO</t>
        </is>
      </c>
      <c r="E4232" s="156" t="inlineStr">
        <is>
          <t>Excavator</t>
        </is>
      </c>
      <c r="F4232" s="156" t="inlineStr"/>
      <c r="G4232" s="182" t="n">
        <v>0</v>
      </c>
      <c r="H4232" s="182" t="n">
        <v>0</v>
      </c>
      <c r="I4232" s="182" t="n">
        <v>12</v>
      </c>
      <c r="J4232" s="182" t="n">
        <v>12</v>
      </c>
      <c r="K4232" s="182" t="n">
        <v>0</v>
      </c>
      <c r="L4232" s="182" t="n">
        <v>12</v>
      </c>
      <c r="M4232" s="182" t="n">
        <v>0</v>
      </c>
      <c r="N4232" s="182" t="n">
        <v>0</v>
      </c>
      <c r="O4232" s="183" t="n">
        <v>0</v>
      </c>
      <c r="P4232" s="183" t="n">
        <v>0</v>
      </c>
      <c r="Q4232" s="184" t="n">
        <v>0</v>
      </c>
      <c r="R4232" s="184" t="n">
        <v>0</v>
      </c>
      <c r="S4232" s="183" t="n">
        <v>0</v>
      </c>
      <c r="T4232" s="183" t="n">
        <v>0</v>
      </c>
      <c r="U4232" s="182" t="n">
        <v>0</v>
      </c>
      <c r="V4232" s="182" t="n">
        <v>0</v>
      </c>
      <c r="W4232" s="182" t="n">
        <v>0</v>
      </c>
      <c r="X4232" s="182" t="n">
        <v>0</v>
      </c>
      <c r="Y4232" s="182" t="n">
        <v>0</v>
      </c>
      <c r="Z4232" s="182" t="n">
        <v>0</v>
      </c>
      <c r="AA4232" s="182" t="n">
        <v>0</v>
      </c>
      <c r="AB4232" s="182" t="n">
        <v>0</v>
      </c>
      <c r="AC4232" s="182" t="n">
        <v>0</v>
      </c>
      <c r="AD4232" s="182" t="n">
        <v>0</v>
      </c>
      <c r="AE4232" s="182" t="n">
        <v>0</v>
      </c>
      <c r="AF4232" s="182" t="n">
        <v>0</v>
      </c>
      <c r="AG4232" s="182" t="n">
        <v>0</v>
      </c>
      <c r="AH4232" s="182" t="n">
        <v>0</v>
      </c>
      <c r="AI4232" s="182" t="n">
        <v>0</v>
      </c>
      <c r="AJ4232" s="182" t="n">
        <v>0</v>
      </c>
      <c r="AK4232" s="182" t="n">
        <v>0</v>
      </c>
      <c r="AL4232" s="182" t="n">
        <v>0</v>
      </c>
      <c r="AM4232" s="182" t="n">
        <v>0</v>
      </c>
      <c r="AN4232" s="182" t="n">
        <v>0</v>
      </c>
    </row>
    <row r="4233">
      <c r="A4233" s="155" t="n">
        <v>46101</v>
      </c>
      <c r="B4233" s="156" t="inlineStr">
        <is>
          <t>DS</t>
        </is>
      </c>
      <c r="C4233" s="156" t="inlineStr">
        <is>
          <t>EX-753</t>
        </is>
      </c>
      <c r="D4233" s="156" t="inlineStr">
        <is>
          <t>SY750H-PRO</t>
        </is>
      </c>
      <c r="E4233" s="156" t="inlineStr">
        <is>
          <t>Excavator</t>
        </is>
      </c>
      <c r="F4233" s="156" t="inlineStr">
        <is>
          <t>Loading Coal &amp; Parting</t>
        </is>
      </c>
      <c r="G4233" s="182" t="n">
        <v>10.54</v>
      </c>
      <c r="H4233" s="182" t="n">
        <v>0</v>
      </c>
      <c r="I4233" s="182" t="n">
        <v>0</v>
      </c>
      <c r="J4233" s="182" t="n">
        <v>0</v>
      </c>
      <c r="K4233" s="182" t="n">
        <v>1.46</v>
      </c>
      <c r="L4233" s="182" t="n">
        <v>12</v>
      </c>
      <c r="M4233" s="182" t="n">
        <v>0.72</v>
      </c>
      <c r="N4233" s="182" t="n">
        <v>9.82</v>
      </c>
      <c r="O4233" s="183" t="n">
        <v>8</v>
      </c>
      <c r="P4233" s="183" t="n">
        <v>91</v>
      </c>
      <c r="Q4233" s="184" t="n">
        <v>163.2</v>
      </c>
      <c r="R4233" s="184" t="n">
        <v>1701.7</v>
      </c>
      <c r="S4233" s="183" t="n">
        <v>0</v>
      </c>
      <c r="T4233" s="183" t="n">
        <v>0</v>
      </c>
      <c r="U4233" s="182" t="n">
        <v>0</v>
      </c>
      <c r="V4233" s="182" t="n">
        <v>0</v>
      </c>
      <c r="W4233" s="182" t="n">
        <v>0</v>
      </c>
      <c r="X4233" s="182" t="n">
        <v>0.84</v>
      </c>
      <c r="Y4233" s="182" t="n">
        <v>0</v>
      </c>
      <c r="Z4233" s="182" t="n">
        <v>0</v>
      </c>
      <c r="AA4233" s="182" t="n">
        <v>0</v>
      </c>
      <c r="AB4233" s="182" t="n">
        <v>0</v>
      </c>
      <c r="AC4233" s="182" t="n">
        <v>0</v>
      </c>
      <c r="AD4233" s="182" t="n">
        <v>0</v>
      </c>
      <c r="AE4233" s="182" t="n">
        <v>0</v>
      </c>
      <c r="AF4233" s="182" t="n">
        <v>0</v>
      </c>
      <c r="AG4233" s="182" t="n">
        <v>0</v>
      </c>
      <c r="AH4233" s="182" t="n">
        <v>0.55</v>
      </c>
      <c r="AI4233" s="182" t="n">
        <v>0</v>
      </c>
      <c r="AJ4233" s="182" t="n">
        <v>0</v>
      </c>
      <c r="AK4233" s="182" t="n">
        <v>0</v>
      </c>
      <c r="AL4233" s="182" t="n">
        <v>0</v>
      </c>
      <c r="AM4233" s="182" t="n">
        <v>0.07000000000000001</v>
      </c>
      <c r="AN4233" s="182" t="n">
        <v>0</v>
      </c>
    </row>
    <row r="4234">
      <c r="A4234" s="155" t="n">
        <v>46101</v>
      </c>
      <c r="B4234" s="156" t="inlineStr">
        <is>
          <t>DS</t>
        </is>
      </c>
      <c r="C4234" s="156" t="inlineStr">
        <is>
          <t>GD-012</t>
        </is>
      </c>
      <c r="D4234" s="156" t="inlineStr">
        <is>
          <t>STG 230C - 8S</t>
        </is>
      </c>
      <c r="E4234" s="156" t="inlineStr">
        <is>
          <t>Grader</t>
        </is>
      </c>
      <c r="F4234" s="156" t="inlineStr"/>
      <c r="G4234" s="182" t="n">
        <v>0</v>
      </c>
      <c r="H4234" s="182" t="n">
        <v>0</v>
      </c>
      <c r="I4234" s="182" t="n">
        <v>0</v>
      </c>
      <c r="J4234" s="182" t="n">
        <v>0</v>
      </c>
      <c r="K4234" s="182" t="n">
        <v>12</v>
      </c>
      <c r="L4234" s="182" t="n">
        <v>12</v>
      </c>
      <c r="M4234" s="182" t="n">
        <v>0</v>
      </c>
      <c r="N4234" s="182" t="n">
        <v>0</v>
      </c>
      <c r="O4234" s="183" t="n">
        <v>0</v>
      </c>
      <c r="P4234" s="183" t="n">
        <v>0</v>
      </c>
      <c r="Q4234" s="184" t="n">
        <v>0</v>
      </c>
      <c r="R4234" s="184" t="n">
        <v>0</v>
      </c>
      <c r="S4234" s="183" t="n">
        <v>0</v>
      </c>
      <c r="T4234" s="183" t="n">
        <v>0</v>
      </c>
      <c r="U4234" s="182" t="n">
        <v>0</v>
      </c>
      <c r="V4234" s="182" t="n">
        <v>0</v>
      </c>
      <c r="W4234" s="182" t="n">
        <v>0</v>
      </c>
      <c r="X4234" s="182" t="n">
        <v>1</v>
      </c>
      <c r="Y4234" s="182" t="n">
        <v>0</v>
      </c>
      <c r="Z4234" s="182" t="n">
        <v>0</v>
      </c>
      <c r="AA4234" s="182" t="n">
        <v>0</v>
      </c>
      <c r="AB4234" s="182" t="n">
        <v>0</v>
      </c>
      <c r="AC4234" s="182" t="n">
        <v>0</v>
      </c>
      <c r="AD4234" s="182" t="n">
        <v>0</v>
      </c>
      <c r="AE4234" s="182" t="n">
        <v>0</v>
      </c>
      <c r="AF4234" s="182" t="n">
        <v>0</v>
      </c>
      <c r="AG4234" s="182" t="n">
        <v>0</v>
      </c>
      <c r="AH4234" s="182" t="n">
        <v>0</v>
      </c>
      <c r="AI4234" s="182" t="n">
        <v>0</v>
      </c>
      <c r="AJ4234" s="182" t="n">
        <v>0</v>
      </c>
      <c r="AK4234" s="182" t="n">
        <v>10.92</v>
      </c>
      <c r="AL4234" s="182" t="n">
        <v>0</v>
      </c>
      <c r="AM4234" s="182" t="n">
        <v>0.08</v>
      </c>
      <c r="AN4234" s="182" t="n">
        <v>0</v>
      </c>
    </row>
    <row r="4235">
      <c r="A4235" s="155" t="n">
        <v>46101</v>
      </c>
      <c r="B4235" s="156" t="inlineStr">
        <is>
          <t>DS</t>
        </is>
      </c>
      <c r="C4235" s="156" t="inlineStr">
        <is>
          <t>GD-011</t>
        </is>
      </c>
      <c r="D4235" s="156" t="inlineStr">
        <is>
          <t>STG 230C - 8S</t>
        </is>
      </c>
      <c r="E4235" s="156" t="inlineStr">
        <is>
          <t>Grader</t>
        </is>
      </c>
      <c r="F4235" s="156" t="inlineStr"/>
      <c r="G4235" s="182" t="n">
        <v>0</v>
      </c>
      <c r="H4235" s="182" t="n">
        <v>0</v>
      </c>
      <c r="I4235" s="182" t="n">
        <v>12</v>
      </c>
      <c r="J4235" s="182" t="n">
        <v>12</v>
      </c>
      <c r="K4235" s="182" t="n">
        <v>0</v>
      </c>
      <c r="L4235" s="182" t="n">
        <v>12</v>
      </c>
      <c r="M4235" s="182" t="n">
        <v>0</v>
      </c>
      <c r="N4235" s="182" t="n">
        <v>0</v>
      </c>
      <c r="O4235" s="183" t="n">
        <v>0</v>
      </c>
      <c r="P4235" s="183" t="n">
        <v>0</v>
      </c>
      <c r="Q4235" s="184" t="n">
        <v>0</v>
      </c>
      <c r="R4235" s="184" t="n">
        <v>0</v>
      </c>
      <c r="S4235" s="183" t="n">
        <v>0</v>
      </c>
      <c r="T4235" s="183" t="n">
        <v>0</v>
      </c>
      <c r="U4235" s="182" t="n">
        <v>0</v>
      </c>
      <c r="V4235" s="182" t="n">
        <v>0</v>
      </c>
      <c r="W4235" s="182" t="n">
        <v>0</v>
      </c>
      <c r="X4235" s="182" t="n">
        <v>0</v>
      </c>
      <c r="Y4235" s="182" t="n">
        <v>0</v>
      </c>
      <c r="Z4235" s="182" t="n">
        <v>0</v>
      </c>
      <c r="AA4235" s="182" t="n">
        <v>0</v>
      </c>
      <c r="AB4235" s="182" t="n">
        <v>0</v>
      </c>
      <c r="AC4235" s="182" t="n">
        <v>0</v>
      </c>
      <c r="AD4235" s="182" t="n">
        <v>0</v>
      </c>
      <c r="AE4235" s="182" t="n">
        <v>0</v>
      </c>
      <c r="AF4235" s="182" t="n">
        <v>0</v>
      </c>
      <c r="AG4235" s="182" t="n">
        <v>0</v>
      </c>
      <c r="AH4235" s="182" t="n">
        <v>0</v>
      </c>
      <c r="AI4235" s="182" t="n">
        <v>0</v>
      </c>
      <c r="AJ4235" s="182" t="n">
        <v>0</v>
      </c>
      <c r="AK4235" s="182" t="n">
        <v>0</v>
      </c>
      <c r="AL4235" s="182" t="n">
        <v>0</v>
      </c>
      <c r="AM4235" s="182" t="n">
        <v>0</v>
      </c>
      <c r="AN4235" s="182" t="n">
        <v>0</v>
      </c>
    </row>
    <row r="4236">
      <c r="A4236" s="155" t="n">
        <v>46101</v>
      </c>
      <c r="B4236" s="156" t="inlineStr">
        <is>
          <t>DS</t>
        </is>
      </c>
      <c r="C4236" s="156" t="inlineStr">
        <is>
          <t>GD-013</t>
        </is>
      </c>
      <c r="D4236" s="156" t="inlineStr">
        <is>
          <t>STG 265C - 10</t>
        </is>
      </c>
      <c r="E4236" s="156" t="inlineStr">
        <is>
          <t>Grader</t>
        </is>
      </c>
      <c r="F4236" s="156" t="inlineStr">
        <is>
          <t>Road Maintenance</t>
        </is>
      </c>
      <c r="G4236" s="182" t="n">
        <v>7.35</v>
      </c>
      <c r="H4236" s="182" t="n">
        <v>0</v>
      </c>
      <c r="I4236" s="182" t="n">
        <v>0.17</v>
      </c>
      <c r="J4236" s="182" t="n">
        <v>0.17</v>
      </c>
      <c r="K4236" s="182" t="n">
        <v>4.48</v>
      </c>
      <c r="L4236" s="182" t="n">
        <v>12</v>
      </c>
      <c r="M4236" s="182" t="n">
        <v>0</v>
      </c>
      <c r="N4236" s="182" t="n">
        <v>0</v>
      </c>
      <c r="O4236" s="183" t="n">
        <v>0</v>
      </c>
      <c r="P4236" s="183" t="n">
        <v>0</v>
      </c>
      <c r="Q4236" s="184" t="n">
        <v>0</v>
      </c>
      <c r="R4236" s="184" t="n">
        <v>0</v>
      </c>
      <c r="S4236" s="183" t="n">
        <v>0</v>
      </c>
      <c r="T4236" s="183" t="n">
        <v>0</v>
      </c>
      <c r="U4236" s="182" t="n">
        <v>0</v>
      </c>
      <c r="V4236" s="182" t="n">
        <v>0</v>
      </c>
      <c r="W4236" s="182" t="n">
        <v>0</v>
      </c>
      <c r="X4236" s="182" t="n">
        <v>0.91</v>
      </c>
      <c r="Y4236" s="182" t="n">
        <v>0</v>
      </c>
      <c r="Z4236" s="182" t="n">
        <v>0</v>
      </c>
      <c r="AA4236" s="182" t="n">
        <v>0</v>
      </c>
      <c r="AB4236" s="182" t="n">
        <v>0</v>
      </c>
      <c r="AC4236" s="182" t="n">
        <v>0</v>
      </c>
      <c r="AD4236" s="182" t="n">
        <v>0</v>
      </c>
      <c r="AE4236" s="182" t="n">
        <v>0</v>
      </c>
      <c r="AF4236" s="182" t="n">
        <v>0</v>
      </c>
      <c r="AG4236" s="182" t="n">
        <v>0</v>
      </c>
      <c r="AH4236" s="182" t="n">
        <v>0</v>
      </c>
      <c r="AI4236" s="182" t="n">
        <v>0</v>
      </c>
      <c r="AJ4236" s="182" t="n">
        <v>0</v>
      </c>
      <c r="AK4236" s="182" t="n">
        <v>3.5</v>
      </c>
      <c r="AL4236" s="182" t="n">
        <v>0</v>
      </c>
      <c r="AM4236" s="182" t="n">
        <v>0.07000000000000001</v>
      </c>
      <c r="AN4236" s="182" t="n">
        <v>0</v>
      </c>
    </row>
    <row r="4237">
      <c r="A4237" s="155" t="n">
        <v>46101</v>
      </c>
      <c r="B4237" s="156" t="inlineStr">
        <is>
          <t>DS</t>
        </is>
      </c>
      <c r="C4237" s="156" t="inlineStr">
        <is>
          <t>GD-014</t>
        </is>
      </c>
      <c r="D4237" s="156" t="inlineStr">
        <is>
          <t>STG 335C - 10</t>
        </is>
      </c>
      <c r="E4237" s="156" t="inlineStr">
        <is>
          <t>Grader</t>
        </is>
      </c>
      <c r="F4237" s="156" t="inlineStr">
        <is>
          <t>Road Maintenance</t>
        </is>
      </c>
      <c r="G4237" s="182" t="n">
        <v>10.98</v>
      </c>
      <c r="H4237" s="182" t="n">
        <v>0</v>
      </c>
      <c r="I4237" s="182" t="n">
        <v>0</v>
      </c>
      <c r="J4237" s="182" t="n">
        <v>0</v>
      </c>
      <c r="K4237" s="182" t="n">
        <v>1.02</v>
      </c>
      <c r="L4237" s="182" t="n">
        <v>12</v>
      </c>
      <c r="M4237" s="182" t="n">
        <v>0</v>
      </c>
      <c r="N4237" s="182" t="n">
        <v>0</v>
      </c>
      <c r="O4237" s="183" t="n">
        <v>0</v>
      </c>
      <c r="P4237" s="183" t="n">
        <v>0</v>
      </c>
      <c r="Q4237" s="184" t="n">
        <v>0</v>
      </c>
      <c r="R4237" s="184" t="n">
        <v>0</v>
      </c>
      <c r="S4237" s="183" t="n">
        <v>0</v>
      </c>
      <c r="T4237" s="183" t="n">
        <v>0</v>
      </c>
      <c r="U4237" s="182" t="n">
        <v>0</v>
      </c>
      <c r="V4237" s="182" t="n">
        <v>0</v>
      </c>
      <c r="W4237" s="182" t="n">
        <v>0</v>
      </c>
      <c r="X4237" s="182" t="n">
        <v>0.64</v>
      </c>
      <c r="Y4237" s="182" t="n">
        <v>0</v>
      </c>
      <c r="Z4237" s="182" t="n">
        <v>0</v>
      </c>
      <c r="AA4237" s="182" t="n">
        <v>0</v>
      </c>
      <c r="AB4237" s="182" t="n">
        <v>0</v>
      </c>
      <c r="AC4237" s="182" t="n">
        <v>0</v>
      </c>
      <c r="AD4237" s="182" t="n">
        <v>0</v>
      </c>
      <c r="AE4237" s="182" t="n">
        <v>0</v>
      </c>
      <c r="AF4237" s="182" t="n">
        <v>0</v>
      </c>
      <c r="AG4237" s="182" t="n">
        <v>0</v>
      </c>
      <c r="AH4237" s="182" t="n">
        <v>0.33</v>
      </c>
      <c r="AI4237" s="182" t="n">
        <v>0</v>
      </c>
      <c r="AJ4237" s="182" t="n">
        <v>0</v>
      </c>
      <c r="AK4237" s="182" t="n">
        <v>0</v>
      </c>
      <c r="AL4237" s="182" t="n">
        <v>0</v>
      </c>
      <c r="AM4237" s="182" t="n">
        <v>0.05</v>
      </c>
      <c r="AN4237" s="182" t="n">
        <v>0</v>
      </c>
    </row>
    <row r="4238">
      <c r="A4238" s="155" t="n">
        <v>46101</v>
      </c>
      <c r="B4238" s="156" t="inlineStr">
        <is>
          <t>DS</t>
        </is>
      </c>
      <c r="C4238" s="156" t="inlineStr">
        <is>
          <t>DT-809</t>
        </is>
      </c>
      <c r="D4238" s="156" t="inlineStr">
        <is>
          <t>SKT 80S</t>
        </is>
      </c>
      <c r="E4238" s="156" t="inlineStr">
        <is>
          <t>Hauler</t>
        </is>
      </c>
      <c r="F4238" s="156" t="inlineStr"/>
      <c r="G4238" s="182" t="n">
        <v>0</v>
      </c>
      <c r="H4238" s="182" t="n">
        <v>0</v>
      </c>
      <c r="I4238" s="182" t="n">
        <v>0</v>
      </c>
      <c r="J4238" s="182" t="n">
        <v>0</v>
      </c>
      <c r="K4238" s="182" t="n">
        <v>12</v>
      </c>
      <c r="L4238" s="182" t="n">
        <v>12</v>
      </c>
      <c r="M4238" s="182" t="n">
        <v>0</v>
      </c>
      <c r="N4238" s="182" t="n">
        <v>0</v>
      </c>
      <c r="O4238" s="183" t="n">
        <v>0</v>
      </c>
      <c r="P4238" s="183" t="n">
        <v>0</v>
      </c>
      <c r="Q4238" s="184" t="n">
        <v>0</v>
      </c>
      <c r="R4238" s="184" t="n">
        <v>0</v>
      </c>
      <c r="S4238" s="183" t="n">
        <v>0</v>
      </c>
      <c r="T4238" s="183" t="n">
        <v>0</v>
      </c>
      <c r="U4238" s="182" t="n">
        <v>0</v>
      </c>
      <c r="V4238" s="182" t="n">
        <v>0</v>
      </c>
      <c r="W4238" s="182" t="n">
        <v>0</v>
      </c>
      <c r="X4238" s="182" t="n">
        <v>1</v>
      </c>
      <c r="Y4238" s="182" t="n">
        <v>0</v>
      </c>
      <c r="Z4238" s="182" t="n">
        <v>0</v>
      </c>
      <c r="AA4238" s="182" t="n">
        <v>0</v>
      </c>
      <c r="AB4238" s="182" t="n">
        <v>0</v>
      </c>
      <c r="AC4238" s="182" t="n">
        <v>0</v>
      </c>
      <c r="AD4238" s="182" t="n">
        <v>0</v>
      </c>
      <c r="AE4238" s="182" t="n">
        <v>0</v>
      </c>
      <c r="AF4238" s="182" t="n">
        <v>0</v>
      </c>
      <c r="AG4238" s="182" t="n">
        <v>0</v>
      </c>
      <c r="AH4238" s="182" t="n">
        <v>0</v>
      </c>
      <c r="AI4238" s="182" t="n">
        <v>0</v>
      </c>
      <c r="AJ4238" s="182" t="n">
        <v>0</v>
      </c>
      <c r="AK4238" s="182" t="n">
        <v>10.92</v>
      </c>
      <c r="AL4238" s="182" t="n">
        <v>0</v>
      </c>
      <c r="AM4238" s="182" t="n">
        <v>0.08</v>
      </c>
      <c r="AN4238" s="182" t="n">
        <v>0</v>
      </c>
    </row>
    <row r="4239">
      <c r="A4239" s="155" t="n">
        <v>46101</v>
      </c>
      <c r="B4239" s="156" t="inlineStr">
        <is>
          <t>DS</t>
        </is>
      </c>
      <c r="C4239" s="156" t="inlineStr">
        <is>
          <t>DT-806</t>
        </is>
      </c>
      <c r="D4239" s="156" t="inlineStr">
        <is>
          <t>SKT 80S</t>
        </is>
      </c>
      <c r="E4239" s="156" t="inlineStr">
        <is>
          <t>Hauler</t>
        </is>
      </c>
      <c r="F4239" s="156" t="inlineStr"/>
      <c r="G4239" s="182" t="n">
        <v>0</v>
      </c>
      <c r="H4239" s="182" t="n">
        <v>0</v>
      </c>
      <c r="I4239" s="182" t="n">
        <v>0</v>
      </c>
      <c r="J4239" s="182" t="n">
        <v>0</v>
      </c>
      <c r="K4239" s="182" t="n">
        <v>12</v>
      </c>
      <c r="L4239" s="182" t="n">
        <v>12</v>
      </c>
      <c r="M4239" s="182" t="n">
        <v>0</v>
      </c>
      <c r="N4239" s="182" t="n">
        <v>0</v>
      </c>
      <c r="O4239" s="183" t="n">
        <v>0</v>
      </c>
      <c r="P4239" s="183" t="n">
        <v>0</v>
      </c>
      <c r="Q4239" s="184" t="n">
        <v>0</v>
      </c>
      <c r="R4239" s="184" t="n">
        <v>0</v>
      </c>
      <c r="S4239" s="183" t="n">
        <v>0</v>
      </c>
      <c r="T4239" s="183" t="n">
        <v>0</v>
      </c>
      <c r="U4239" s="182" t="n">
        <v>0</v>
      </c>
      <c r="V4239" s="182" t="n">
        <v>0</v>
      </c>
      <c r="W4239" s="182" t="n">
        <v>0</v>
      </c>
      <c r="X4239" s="182" t="n">
        <v>1</v>
      </c>
      <c r="Y4239" s="182" t="n">
        <v>0</v>
      </c>
      <c r="Z4239" s="182" t="n">
        <v>0</v>
      </c>
      <c r="AA4239" s="182" t="n">
        <v>0</v>
      </c>
      <c r="AB4239" s="182" t="n">
        <v>0</v>
      </c>
      <c r="AC4239" s="182" t="n">
        <v>0</v>
      </c>
      <c r="AD4239" s="182" t="n">
        <v>0</v>
      </c>
      <c r="AE4239" s="182" t="n">
        <v>0</v>
      </c>
      <c r="AF4239" s="182" t="n">
        <v>0</v>
      </c>
      <c r="AG4239" s="182" t="n">
        <v>0</v>
      </c>
      <c r="AH4239" s="182" t="n">
        <v>0</v>
      </c>
      <c r="AI4239" s="182" t="n">
        <v>0</v>
      </c>
      <c r="AJ4239" s="182" t="n">
        <v>0</v>
      </c>
      <c r="AK4239" s="182" t="n">
        <v>10.92</v>
      </c>
      <c r="AL4239" s="182" t="n">
        <v>0</v>
      </c>
      <c r="AM4239" s="182" t="n">
        <v>0.08</v>
      </c>
      <c r="AN4239" s="182" t="n">
        <v>0</v>
      </c>
    </row>
    <row r="4240">
      <c r="A4240" s="155" t="n">
        <v>46101</v>
      </c>
      <c r="B4240" s="156" t="inlineStr">
        <is>
          <t>DS</t>
        </is>
      </c>
      <c r="C4240" s="156" t="inlineStr">
        <is>
          <t>DT-805</t>
        </is>
      </c>
      <c r="D4240" s="156" t="inlineStr">
        <is>
          <t>SKT 80S</t>
        </is>
      </c>
      <c r="E4240" s="156" t="inlineStr">
        <is>
          <t>Hauler</t>
        </is>
      </c>
      <c r="F4240" s="156" t="inlineStr"/>
      <c r="G4240" s="182" t="n">
        <v>0</v>
      </c>
      <c r="H4240" s="182" t="n">
        <v>0</v>
      </c>
      <c r="I4240" s="182" t="n">
        <v>0</v>
      </c>
      <c r="J4240" s="182" t="n">
        <v>0</v>
      </c>
      <c r="K4240" s="182" t="n">
        <v>12</v>
      </c>
      <c r="L4240" s="182" t="n">
        <v>12</v>
      </c>
      <c r="M4240" s="182" t="n">
        <v>0</v>
      </c>
      <c r="N4240" s="182" t="n">
        <v>0</v>
      </c>
      <c r="O4240" s="183" t="n">
        <v>0</v>
      </c>
      <c r="P4240" s="183" t="n">
        <v>0</v>
      </c>
      <c r="Q4240" s="184" t="n">
        <v>0</v>
      </c>
      <c r="R4240" s="184" t="n">
        <v>0</v>
      </c>
      <c r="S4240" s="183" t="n">
        <v>0</v>
      </c>
      <c r="T4240" s="183" t="n">
        <v>0</v>
      </c>
      <c r="U4240" s="182" t="n">
        <v>0</v>
      </c>
      <c r="V4240" s="182" t="n">
        <v>0</v>
      </c>
      <c r="W4240" s="182" t="n">
        <v>0</v>
      </c>
      <c r="X4240" s="182" t="n">
        <v>1</v>
      </c>
      <c r="Y4240" s="182" t="n">
        <v>0</v>
      </c>
      <c r="Z4240" s="182" t="n">
        <v>0</v>
      </c>
      <c r="AA4240" s="182" t="n">
        <v>0</v>
      </c>
      <c r="AB4240" s="182" t="n">
        <v>0</v>
      </c>
      <c r="AC4240" s="182" t="n">
        <v>0</v>
      </c>
      <c r="AD4240" s="182" t="n">
        <v>0</v>
      </c>
      <c r="AE4240" s="182" t="n">
        <v>0</v>
      </c>
      <c r="AF4240" s="182" t="n">
        <v>0</v>
      </c>
      <c r="AG4240" s="182" t="n">
        <v>0</v>
      </c>
      <c r="AH4240" s="182" t="n">
        <v>0</v>
      </c>
      <c r="AI4240" s="182" t="n">
        <v>0</v>
      </c>
      <c r="AJ4240" s="182" t="n">
        <v>0</v>
      </c>
      <c r="AK4240" s="182" t="n">
        <v>10.92</v>
      </c>
      <c r="AL4240" s="182" t="n">
        <v>0</v>
      </c>
      <c r="AM4240" s="182" t="n">
        <v>0.08</v>
      </c>
      <c r="AN4240" s="182" t="n">
        <v>0</v>
      </c>
    </row>
    <row r="4241">
      <c r="A4241" s="155" t="n">
        <v>46101</v>
      </c>
      <c r="B4241" s="156" t="inlineStr">
        <is>
          <t>DS</t>
        </is>
      </c>
      <c r="C4241" s="156" t="inlineStr">
        <is>
          <t>DT-801</t>
        </is>
      </c>
      <c r="D4241" s="156" t="inlineStr">
        <is>
          <t>SKT 80S</t>
        </is>
      </c>
      <c r="E4241" s="156" t="inlineStr">
        <is>
          <t>Hauler</t>
        </is>
      </c>
      <c r="F4241" s="156" t="inlineStr"/>
      <c r="G4241" s="182" t="n">
        <v>0</v>
      </c>
      <c r="H4241" s="182" t="n">
        <v>0</v>
      </c>
      <c r="I4241" s="182" t="n">
        <v>0</v>
      </c>
      <c r="J4241" s="182" t="n">
        <v>0</v>
      </c>
      <c r="K4241" s="182" t="n">
        <v>12</v>
      </c>
      <c r="L4241" s="182" t="n">
        <v>12</v>
      </c>
      <c r="M4241" s="182" t="n">
        <v>0</v>
      </c>
      <c r="N4241" s="182" t="n">
        <v>0</v>
      </c>
      <c r="O4241" s="183" t="n">
        <v>0</v>
      </c>
      <c r="P4241" s="183" t="n">
        <v>0</v>
      </c>
      <c r="Q4241" s="184" t="n">
        <v>0</v>
      </c>
      <c r="R4241" s="184" t="n">
        <v>0</v>
      </c>
      <c r="S4241" s="183" t="n">
        <v>0</v>
      </c>
      <c r="T4241" s="183" t="n">
        <v>0</v>
      </c>
      <c r="U4241" s="182" t="n">
        <v>0</v>
      </c>
      <c r="V4241" s="182" t="n">
        <v>0</v>
      </c>
      <c r="W4241" s="182" t="n">
        <v>0</v>
      </c>
      <c r="X4241" s="182" t="n">
        <v>1</v>
      </c>
      <c r="Y4241" s="182" t="n">
        <v>0</v>
      </c>
      <c r="Z4241" s="182" t="n">
        <v>0</v>
      </c>
      <c r="AA4241" s="182" t="n">
        <v>0</v>
      </c>
      <c r="AB4241" s="182" t="n">
        <v>0</v>
      </c>
      <c r="AC4241" s="182" t="n">
        <v>0</v>
      </c>
      <c r="AD4241" s="182" t="n">
        <v>0</v>
      </c>
      <c r="AE4241" s="182" t="n">
        <v>0</v>
      </c>
      <c r="AF4241" s="182" t="n">
        <v>0</v>
      </c>
      <c r="AG4241" s="182" t="n">
        <v>0</v>
      </c>
      <c r="AH4241" s="182" t="n">
        <v>0</v>
      </c>
      <c r="AI4241" s="182" t="n">
        <v>0</v>
      </c>
      <c r="AJ4241" s="182" t="n">
        <v>0</v>
      </c>
      <c r="AK4241" s="182" t="n">
        <v>10.92</v>
      </c>
      <c r="AL4241" s="182" t="n">
        <v>0</v>
      </c>
      <c r="AM4241" s="182" t="n">
        <v>0.08</v>
      </c>
      <c r="AN4241" s="182" t="n">
        <v>0</v>
      </c>
    </row>
    <row r="4242">
      <c r="A4242" s="155" t="n">
        <v>46101</v>
      </c>
      <c r="B4242" s="156" t="inlineStr">
        <is>
          <t>DS</t>
        </is>
      </c>
      <c r="C4242" s="156" t="inlineStr">
        <is>
          <t>DT-808</t>
        </is>
      </c>
      <c r="D4242" s="156" t="inlineStr">
        <is>
          <t>SKT 80S</t>
        </is>
      </c>
      <c r="E4242" s="156" t="inlineStr">
        <is>
          <t>Hauler</t>
        </is>
      </c>
      <c r="F4242" s="156" t="inlineStr">
        <is>
          <t>Hauling Lumpur dari Washing Plant</t>
        </is>
      </c>
      <c r="G4242" s="182" t="n">
        <v>2.6</v>
      </c>
      <c r="H4242" s="182" t="n">
        <v>0</v>
      </c>
      <c r="I4242" s="182" t="n">
        <v>0.33</v>
      </c>
      <c r="J4242" s="182" t="n">
        <v>0.33</v>
      </c>
      <c r="K4242" s="182" t="n">
        <v>9.07</v>
      </c>
      <c r="L4242" s="182" t="n">
        <v>12</v>
      </c>
      <c r="M4242" s="182" t="n">
        <v>0</v>
      </c>
      <c r="N4242" s="182" t="n">
        <v>0</v>
      </c>
      <c r="O4242" s="183" t="n">
        <v>0</v>
      </c>
      <c r="P4242" s="183" t="n">
        <v>0</v>
      </c>
      <c r="Q4242" s="184" t="n">
        <v>0</v>
      </c>
      <c r="R4242" s="184" t="n">
        <v>0</v>
      </c>
      <c r="S4242" s="183" t="n">
        <v>0</v>
      </c>
      <c r="T4242" s="183" t="n">
        <v>0</v>
      </c>
      <c r="U4242" s="182" t="n">
        <v>0</v>
      </c>
      <c r="V4242" s="182" t="n">
        <v>0</v>
      </c>
      <c r="W4242" s="182" t="n">
        <v>0</v>
      </c>
      <c r="X4242" s="182" t="n">
        <v>0.97</v>
      </c>
      <c r="Y4242" s="182" t="n">
        <v>0</v>
      </c>
      <c r="Z4242" s="182" t="n">
        <v>0</v>
      </c>
      <c r="AA4242" s="182" t="n">
        <v>0</v>
      </c>
      <c r="AB4242" s="182" t="n">
        <v>0</v>
      </c>
      <c r="AC4242" s="182" t="n">
        <v>0</v>
      </c>
      <c r="AD4242" s="182" t="n">
        <v>0</v>
      </c>
      <c r="AE4242" s="182" t="n">
        <v>0</v>
      </c>
      <c r="AF4242" s="182" t="n">
        <v>0</v>
      </c>
      <c r="AG4242" s="182" t="n">
        <v>0</v>
      </c>
      <c r="AH4242" s="182" t="n">
        <v>0</v>
      </c>
      <c r="AI4242" s="182" t="n">
        <v>0</v>
      </c>
      <c r="AJ4242" s="182" t="n">
        <v>0</v>
      </c>
      <c r="AK4242" s="182" t="n">
        <v>8.01</v>
      </c>
      <c r="AL4242" s="182" t="n">
        <v>0</v>
      </c>
      <c r="AM4242" s="182" t="n">
        <v>0.08</v>
      </c>
      <c r="AN4242" s="182" t="n">
        <v>0</v>
      </c>
    </row>
    <row r="4243">
      <c r="A4243" s="155" t="n">
        <v>46101</v>
      </c>
      <c r="B4243" s="156" t="inlineStr">
        <is>
          <t>DS</t>
        </is>
      </c>
      <c r="C4243" s="156" t="inlineStr">
        <is>
          <t>DT-811</t>
        </is>
      </c>
      <c r="D4243" s="156" t="inlineStr">
        <is>
          <t>SKT 80S</t>
        </is>
      </c>
      <c r="E4243" s="156" t="inlineStr">
        <is>
          <t>Hauler</t>
        </is>
      </c>
      <c r="F4243" s="156" t="inlineStr"/>
      <c r="G4243" s="182" t="n">
        <v>0</v>
      </c>
      <c r="H4243" s="182" t="n">
        <v>0</v>
      </c>
      <c r="I4243" s="182" t="n">
        <v>12</v>
      </c>
      <c r="J4243" s="182" t="n">
        <v>12</v>
      </c>
      <c r="K4243" s="182" t="n">
        <v>0</v>
      </c>
      <c r="L4243" s="182" t="n">
        <v>12</v>
      </c>
      <c r="M4243" s="182" t="n">
        <v>0</v>
      </c>
      <c r="N4243" s="182" t="n">
        <v>0</v>
      </c>
      <c r="O4243" s="183" t="n">
        <v>0</v>
      </c>
      <c r="P4243" s="183" t="n">
        <v>0</v>
      </c>
      <c r="Q4243" s="184" t="n">
        <v>0</v>
      </c>
      <c r="R4243" s="184" t="n">
        <v>0</v>
      </c>
      <c r="S4243" s="183" t="n">
        <v>0</v>
      </c>
      <c r="T4243" s="183" t="n">
        <v>0</v>
      </c>
      <c r="U4243" s="182" t="n">
        <v>0</v>
      </c>
      <c r="V4243" s="182" t="n">
        <v>0</v>
      </c>
      <c r="W4243" s="182" t="n">
        <v>0</v>
      </c>
      <c r="X4243" s="182" t="n">
        <v>0</v>
      </c>
      <c r="Y4243" s="182" t="n">
        <v>0</v>
      </c>
      <c r="Z4243" s="182" t="n">
        <v>0</v>
      </c>
      <c r="AA4243" s="182" t="n">
        <v>0</v>
      </c>
      <c r="AB4243" s="182" t="n">
        <v>0</v>
      </c>
      <c r="AC4243" s="182" t="n">
        <v>0</v>
      </c>
      <c r="AD4243" s="182" t="n">
        <v>0</v>
      </c>
      <c r="AE4243" s="182" t="n">
        <v>0</v>
      </c>
      <c r="AF4243" s="182" t="n">
        <v>0</v>
      </c>
      <c r="AG4243" s="182" t="n">
        <v>0</v>
      </c>
      <c r="AH4243" s="182" t="n">
        <v>0</v>
      </c>
      <c r="AI4243" s="182" t="n">
        <v>0</v>
      </c>
      <c r="AJ4243" s="182" t="n">
        <v>0</v>
      </c>
      <c r="AK4243" s="182" t="n">
        <v>0</v>
      </c>
      <c r="AL4243" s="182" t="n">
        <v>0</v>
      </c>
      <c r="AM4243" s="182" t="n">
        <v>0</v>
      </c>
      <c r="AN4243" s="182" t="n">
        <v>0</v>
      </c>
    </row>
    <row r="4244">
      <c r="A4244" s="155" t="n">
        <v>46101</v>
      </c>
      <c r="B4244" s="156" t="inlineStr">
        <is>
          <t>DS</t>
        </is>
      </c>
      <c r="C4244" s="156" t="inlineStr">
        <is>
          <t>DT-802</t>
        </is>
      </c>
      <c r="D4244" s="156" t="inlineStr">
        <is>
          <t>SKT 80S</t>
        </is>
      </c>
      <c r="E4244" s="156" t="inlineStr">
        <is>
          <t>Hauler</t>
        </is>
      </c>
      <c r="F4244" s="156" t="inlineStr"/>
      <c r="G4244" s="182" t="n">
        <v>0</v>
      </c>
      <c r="H4244" s="182" t="n">
        <v>0</v>
      </c>
      <c r="I4244" s="182" t="n">
        <v>12</v>
      </c>
      <c r="J4244" s="182" t="n">
        <v>12</v>
      </c>
      <c r="K4244" s="182" t="n">
        <v>0</v>
      </c>
      <c r="L4244" s="182" t="n">
        <v>12</v>
      </c>
      <c r="M4244" s="182" t="n">
        <v>0</v>
      </c>
      <c r="N4244" s="182" t="n">
        <v>0</v>
      </c>
      <c r="O4244" s="183" t="n">
        <v>0</v>
      </c>
      <c r="P4244" s="183" t="n">
        <v>0</v>
      </c>
      <c r="Q4244" s="184" t="n">
        <v>0</v>
      </c>
      <c r="R4244" s="184" t="n">
        <v>0</v>
      </c>
      <c r="S4244" s="183" t="n">
        <v>0</v>
      </c>
      <c r="T4244" s="183" t="n">
        <v>0</v>
      </c>
      <c r="U4244" s="182" t="n">
        <v>0</v>
      </c>
      <c r="V4244" s="182" t="n">
        <v>0</v>
      </c>
      <c r="W4244" s="182" t="n">
        <v>0</v>
      </c>
      <c r="X4244" s="182" t="n">
        <v>0</v>
      </c>
      <c r="Y4244" s="182" t="n">
        <v>0</v>
      </c>
      <c r="Z4244" s="182" t="n">
        <v>0</v>
      </c>
      <c r="AA4244" s="182" t="n">
        <v>0</v>
      </c>
      <c r="AB4244" s="182" t="n">
        <v>0</v>
      </c>
      <c r="AC4244" s="182" t="n">
        <v>0</v>
      </c>
      <c r="AD4244" s="182" t="n">
        <v>0</v>
      </c>
      <c r="AE4244" s="182" t="n">
        <v>0</v>
      </c>
      <c r="AF4244" s="182" t="n">
        <v>0</v>
      </c>
      <c r="AG4244" s="182" t="n">
        <v>0</v>
      </c>
      <c r="AH4244" s="182" t="n">
        <v>0</v>
      </c>
      <c r="AI4244" s="182" t="n">
        <v>0</v>
      </c>
      <c r="AJ4244" s="182" t="n">
        <v>0</v>
      </c>
      <c r="AK4244" s="182" t="n">
        <v>0</v>
      </c>
      <c r="AL4244" s="182" t="n">
        <v>0</v>
      </c>
      <c r="AM4244" s="182" t="n">
        <v>0</v>
      </c>
      <c r="AN4244" s="182" t="n">
        <v>0</v>
      </c>
    </row>
    <row r="4245">
      <c r="A4245" s="155" t="n">
        <v>46101</v>
      </c>
      <c r="B4245" s="156" t="inlineStr">
        <is>
          <t>DS</t>
        </is>
      </c>
      <c r="C4245" s="156" t="inlineStr">
        <is>
          <t>DT-807</t>
        </is>
      </c>
      <c r="D4245" s="156" t="inlineStr">
        <is>
          <t>SKT 80S</t>
        </is>
      </c>
      <c r="E4245" s="156" t="inlineStr">
        <is>
          <t>Hauler</t>
        </is>
      </c>
      <c r="F4245" s="156" t="inlineStr"/>
      <c r="G4245" s="182" t="n">
        <v>0</v>
      </c>
      <c r="H4245" s="182" t="n">
        <v>0</v>
      </c>
      <c r="I4245" s="182" t="n">
        <v>0</v>
      </c>
      <c r="J4245" s="182" t="n">
        <v>0</v>
      </c>
      <c r="K4245" s="182" t="n">
        <v>12</v>
      </c>
      <c r="L4245" s="182" t="n">
        <v>12</v>
      </c>
      <c r="M4245" s="182" t="n">
        <v>0</v>
      </c>
      <c r="N4245" s="182" t="n">
        <v>0</v>
      </c>
      <c r="O4245" s="183" t="n">
        <v>0</v>
      </c>
      <c r="P4245" s="183" t="n">
        <v>0</v>
      </c>
      <c r="Q4245" s="184" t="n">
        <v>0</v>
      </c>
      <c r="R4245" s="184" t="n">
        <v>0</v>
      </c>
      <c r="S4245" s="183" t="n">
        <v>0</v>
      </c>
      <c r="T4245" s="183" t="n">
        <v>0</v>
      </c>
      <c r="U4245" s="182" t="n">
        <v>0</v>
      </c>
      <c r="V4245" s="182" t="n">
        <v>0</v>
      </c>
      <c r="W4245" s="182" t="n">
        <v>0</v>
      </c>
      <c r="X4245" s="182" t="n">
        <v>1</v>
      </c>
      <c r="Y4245" s="182" t="n">
        <v>0</v>
      </c>
      <c r="Z4245" s="182" t="n">
        <v>0</v>
      </c>
      <c r="AA4245" s="182" t="n">
        <v>0</v>
      </c>
      <c r="AB4245" s="182" t="n">
        <v>0</v>
      </c>
      <c r="AC4245" s="182" t="n">
        <v>0</v>
      </c>
      <c r="AD4245" s="182" t="n">
        <v>0</v>
      </c>
      <c r="AE4245" s="182" t="n">
        <v>0</v>
      </c>
      <c r="AF4245" s="182" t="n">
        <v>0</v>
      </c>
      <c r="AG4245" s="182" t="n">
        <v>0</v>
      </c>
      <c r="AH4245" s="182" t="n">
        <v>0</v>
      </c>
      <c r="AI4245" s="182" t="n">
        <v>0</v>
      </c>
      <c r="AJ4245" s="182" t="n">
        <v>0</v>
      </c>
      <c r="AK4245" s="182" t="n">
        <v>10.92</v>
      </c>
      <c r="AL4245" s="182" t="n">
        <v>0</v>
      </c>
      <c r="AM4245" s="182" t="n">
        <v>0.08</v>
      </c>
      <c r="AN4245" s="182" t="n">
        <v>0</v>
      </c>
    </row>
    <row r="4246">
      <c r="A4246" s="155" t="n">
        <v>46101</v>
      </c>
      <c r="B4246" s="156" t="inlineStr">
        <is>
          <t>DS</t>
        </is>
      </c>
      <c r="C4246" s="156" t="inlineStr">
        <is>
          <t>DT-812</t>
        </is>
      </c>
      <c r="D4246" s="156" t="inlineStr">
        <is>
          <t>SKT 80S</t>
        </is>
      </c>
      <c r="E4246" s="156" t="inlineStr">
        <is>
          <t>Hauler</t>
        </is>
      </c>
      <c r="F4246" s="156" t="inlineStr">
        <is>
          <t>Hauling Lumpur dari Washing Plant</t>
        </is>
      </c>
      <c r="G4246" s="182" t="n">
        <v>5.26</v>
      </c>
      <c r="H4246" s="182" t="n">
        <v>0</v>
      </c>
      <c r="I4246" s="182" t="n">
        <v>0</v>
      </c>
      <c r="J4246" s="182" t="n">
        <v>0</v>
      </c>
      <c r="K4246" s="182" t="n">
        <v>6.74</v>
      </c>
      <c r="L4246" s="182" t="n">
        <v>12</v>
      </c>
      <c r="M4246" s="182" t="n">
        <v>0</v>
      </c>
      <c r="N4246" s="182" t="n">
        <v>0</v>
      </c>
      <c r="O4246" s="183" t="n">
        <v>0</v>
      </c>
      <c r="P4246" s="183" t="n">
        <v>0</v>
      </c>
      <c r="Q4246" s="184" t="n">
        <v>0</v>
      </c>
      <c r="R4246" s="184" t="n">
        <v>0</v>
      </c>
      <c r="S4246" s="183" t="n">
        <v>0</v>
      </c>
      <c r="T4246" s="183" t="n">
        <v>0</v>
      </c>
      <c r="U4246" s="182" t="n">
        <v>0</v>
      </c>
      <c r="V4246" s="182" t="n">
        <v>0</v>
      </c>
      <c r="W4246" s="182" t="n">
        <v>0</v>
      </c>
      <c r="X4246" s="182" t="n">
        <v>0.96</v>
      </c>
      <c r="Y4246" s="182" t="n">
        <v>0</v>
      </c>
      <c r="Z4246" s="182" t="n">
        <v>0</v>
      </c>
      <c r="AA4246" s="182" t="n">
        <v>0</v>
      </c>
      <c r="AB4246" s="182" t="n">
        <v>0</v>
      </c>
      <c r="AC4246" s="182" t="n">
        <v>0</v>
      </c>
      <c r="AD4246" s="182" t="n">
        <v>0</v>
      </c>
      <c r="AE4246" s="182" t="n">
        <v>0</v>
      </c>
      <c r="AF4246" s="182" t="n">
        <v>0</v>
      </c>
      <c r="AG4246" s="182" t="n">
        <v>0</v>
      </c>
      <c r="AH4246" s="182" t="n">
        <v>0</v>
      </c>
      <c r="AI4246" s="182" t="n">
        <v>0</v>
      </c>
      <c r="AJ4246" s="182" t="n">
        <v>0</v>
      </c>
      <c r="AK4246" s="182" t="n">
        <v>5.7</v>
      </c>
      <c r="AL4246" s="182" t="n">
        <v>0</v>
      </c>
      <c r="AM4246" s="182" t="n">
        <v>0.08</v>
      </c>
      <c r="AN4246" s="182" t="n">
        <v>0</v>
      </c>
    </row>
    <row r="4247">
      <c r="A4247" s="155" t="n">
        <v>46101</v>
      </c>
      <c r="B4247" s="156" t="inlineStr">
        <is>
          <t>DS</t>
        </is>
      </c>
      <c r="C4247" s="156" t="inlineStr">
        <is>
          <t>DT-803</t>
        </is>
      </c>
      <c r="D4247" s="156" t="inlineStr">
        <is>
          <t>SKT 80S</t>
        </is>
      </c>
      <c r="E4247" s="156" t="inlineStr">
        <is>
          <t>Hauler</t>
        </is>
      </c>
      <c r="F4247" s="156" t="inlineStr"/>
      <c r="G4247" s="182" t="n">
        <v>0</v>
      </c>
      <c r="H4247" s="182" t="n">
        <v>0</v>
      </c>
      <c r="I4247" s="182" t="n">
        <v>12</v>
      </c>
      <c r="J4247" s="182" t="n">
        <v>12</v>
      </c>
      <c r="K4247" s="182" t="n">
        <v>0</v>
      </c>
      <c r="L4247" s="182" t="n">
        <v>12</v>
      </c>
      <c r="M4247" s="182" t="n">
        <v>0</v>
      </c>
      <c r="N4247" s="182" t="n">
        <v>0</v>
      </c>
      <c r="O4247" s="183" t="n">
        <v>0</v>
      </c>
      <c r="P4247" s="183" t="n">
        <v>0</v>
      </c>
      <c r="Q4247" s="184" t="n">
        <v>0</v>
      </c>
      <c r="R4247" s="184" t="n">
        <v>0</v>
      </c>
      <c r="S4247" s="183" t="n">
        <v>0</v>
      </c>
      <c r="T4247" s="183" t="n">
        <v>0</v>
      </c>
      <c r="U4247" s="182" t="n">
        <v>0</v>
      </c>
      <c r="V4247" s="182" t="n">
        <v>0</v>
      </c>
      <c r="W4247" s="182" t="n">
        <v>0</v>
      </c>
      <c r="X4247" s="182" t="n">
        <v>0</v>
      </c>
      <c r="Y4247" s="182" t="n">
        <v>0</v>
      </c>
      <c r="Z4247" s="182" t="n">
        <v>0</v>
      </c>
      <c r="AA4247" s="182" t="n">
        <v>0</v>
      </c>
      <c r="AB4247" s="182" t="n">
        <v>0</v>
      </c>
      <c r="AC4247" s="182" t="n">
        <v>0</v>
      </c>
      <c r="AD4247" s="182" t="n">
        <v>0</v>
      </c>
      <c r="AE4247" s="182" t="n">
        <v>0</v>
      </c>
      <c r="AF4247" s="182" t="n">
        <v>0</v>
      </c>
      <c r="AG4247" s="182" t="n">
        <v>0</v>
      </c>
      <c r="AH4247" s="182" t="n">
        <v>0</v>
      </c>
      <c r="AI4247" s="182" t="n">
        <v>0</v>
      </c>
      <c r="AJ4247" s="182" t="n">
        <v>0</v>
      </c>
      <c r="AK4247" s="182" t="n">
        <v>0</v>
      </c>
      <c r="AL4247" s="182" t="n">
        <v>0</v>
      </c>
      <c r="AM4247" s="182" t="n">
        <v>0</v>
      </c>
      <c r="AN4247" s="182" t="n">
        <v>0</v>
      </c>
    </row>
    <row r="4248">
      <c r="A4248" s="155" t="n">
        <v>46101</v>
      </c>
      <c r="B4248" s="156" t="inlineStr">
        <is>
          <t>DS</t>
        </is>
      </c>
      <c r="C4248" s="156" t="inlineStr">
        <is>
          <t>DT-810</t>
        </is>
      </c>
      <c r="D4248" s="156" t="inlineStr">
        <is>
          <t>SKT 80S</t>
        </is>
      </c>
      <c r="E4248" s="156" t="inlineStr">
        <is>
          <t>Hauler</t>
        </is>
      </c>
      <c r="F4248" s="156" t="inlineStr"/>
      <c r="G4248" s="182" t="n">
        <v>0</v>
      </c>
      <c r="H4248" s="182" t="n">
        <v>0</v>
      </c>
      <c r="I4248" s="182" t="n">
        <v>0</v>
      </c>
      <c r="J4248" s="182" t="n">
        <v>0</v>
      </c>
      <c r="K4248" s="182" t="n">
        <v>12</v>
      </c>
      <c r="L4248" s="182" t="n">
        <v>12</v>
      </c>
      <c r="M4248" s="182" t="n">
        <v>0</v>
      </c>
      <c r="N4248" s="182" t="n">
        <v>0</v>
      </c>
      <c r="O4248" s="183" t="n">
        <v>0</v>
      </c>
      <c r="P4248" s="183" t="n">
        <v>0</v>
      </c>
      <c r="Q4248" s="184" t="n">
        <v>0</v>
      </c>
      <c r="R4248" s="184" t="n">
        <v>0</v>
      </c>
      <c r="S4248" s="183" t="n">
        <v>0</v>
      </c>
      <c r="T4248" s="183" t="n">
        <v>0</v>
      </c>
      <c r="U4248" s="182" t="n">
        <v>0</v>
      </c>
      <c r="V4248" s="182" t="n">
        <v>0</v>
      </c>
      <c r="W4248" s="182" t="n">
        <v>0</v>
      </c>
      <c r="X4248" s="182" t="n">
        <v>1</v>
      </c>
      <c r="Y4248" s="182" t="n">
        <v>0</v>
      </c>
      <c r="Z4248" s="182" t="n">
        <v>0</v>
      </c>
      <c r="AA4248" s="182" t="n">
        <v>0</v>
      </c>
      <c r="AB4248" s="182" t="n">
        <v>0</v>
      </c>
      <c r="AC4248" s="182" t="n">
        <v>0</v>
      </c>
      <c r="AD4248" s="182" t="n">
        <v>0</v>
      </c>
      <c r="AE4248" s="182" t="n">
        <v>0</v>
      </c>
      <c r="AF4248" s="182" t="n">
        <v>0</v>
      </c>
      <c r="AG4248" s="182" t="n">
        <v>0</v>
      </c>
      <c r="AH4248" s="182" t="n">
        <v>0</v>
      </c>
      <c r="AI4248" s="182" t="n">
        <v>0</v>
      </c>
      <c r="AJ4248" s="182" t="n">
        <v>0</v>
      </c>
      <c r="AK4248" s="182" t="n">
        <v>10.92</v>
      </c>
      <c r="AL4248" s="182" t="n">
        <v>0</v>
      </c>
      <c r="AM4248" s="182" t="n">
        <v>0.08</v>
      </c>
      <c r="AN4248" s="182" t="n">
        <v>0</v>
      </c>
    </row>
    <row r="4249">
      <c r="A4249" s="155" t="n">
        <v>46101</v>
      </c>
      <c r="B4249" s="156" t="inlineStr">
        <is>
          <t>DS</t>
        </is>
      </c>
      <c r="C4249" s="156" t="inlineStr">
        <is>
          <t>DT-804</t>
        </is>
      </c>
      <c r="D4249" s="156" t="inlineStr">
        <is>
          <t>SKT 80S</t>
        </is>
      </c>
      <c r="E4249" s="156" t="inlineStr">
        <is>
          <t>Hauler</t>
        </is>
      </c>
      <c r="F4249" s="156" t="inlineStr">
        <is>
          <t>Hauling Lumpur dari Washing Plant</t>
        </is>
      </c>
      <c r="G4249" s="182" t="n">
        <v>1.15</v>
      </c>
      <c r="H4249" s="182" t="n">
        <v>0</v>
      </c>
      <c r="I4249" s="182" t="n">
        <v>0</v>
      </c>
      <c r="J4249" s="182" t="n">
        <v>0</v>
      </c>
      <c r="K4249" s="182" t="n">
        <v>10.85</v>
      </c>
      <c r="L4249" s="182" t="n">
        <v>12</v>
      </c>
      <c r="M4249" s="182" t="n">
        <v>0</v>
      </c>
      <c r="N4249" s="182" t="n">
        <v>0</v>
      </c>
      <c r="O4249" s="183" t="n">
        <v>0</v>
      </c>
      <c r="P4249" s="183" t="n">
        <v>0</v>
      </c>
      <c r="Q4249" s="184" t="n">
        <v>0</v>
      </c>
      <c r="R4249" s="184" t="n">
        <v>0</v>
      </c>
      <c r="S4249" s="183" t="n">
        <v>0</v>
      </c>
      <c r="T4249" s="183" t="n">
        <v>0</v>
      </c>
      <c r="U4249" s="182" t="n">
        <v>0</v>
      </c>
      <c r="V4249" s="182" t="n">
        <v>0</v>
      </c>
      <c r="W4249" s="182" t="n">
        <v>0</v>
      </c>
      <c r="X4249" s="182" t="n">
        <v>1</v>
      </c>
      <c r="Y4249" s="182" t="n">
        <v>0</v>
      </c>
      <c r="Z4249" s="182" t="n">
        <v>0</v>
      </c>
      <c r="AA4249" s="182" t="n">
        <v>0</v>
      </c>
      <c r="AB4249" s="182" t="n">
        <v>0</v>
      </c>
      <c r="AC4249" s="182" t="n">
        <v>0</v>
      </c>
      <c r="AD4249" s="182" t="n">
        <v>0</v>
      </c>
      <c r="AE4249" s="182" t="n">
        <v>0</v>
      </c>
      <c r="AF4249" s="182" t="n">
        <v>0</v>
      </c>
      <c r="AG4249" s="182" t="n">
        <v>0</v>
      </c>
      <c r="AH4249" s="182" t="n">
        <v>0</v>
      </c>
      <c r="AI4249" s="182" t="n">
        <v>0</v>
      </c>
      <c r="AJ4249" s="182" t="n">
        <v>0</v>
      </c>
      <c r="AK4249" s="182" t="n">
        <v>9.77</v>
      </c>
      <c r="AL4249" s="182" t="n">
        <v>0</v>
      </c>
      <c r="AM4249" s="182" t="n">
        <v>0.08</v>
      </c>
      <c r="AN4249" s="182" t="n">
        <v>0</v>
      </c>
    </row>
    <row r="4250">
      <c r="A4250" s="155" t="n">
        <v>46101</v>
      </c>
      <c r="B4250" s="156" t="inlineStr">
        <is>
          <t>DS</t>
        </is>
      </c>
      <c r="C4250" s="156" t="inlineStr">
        <is>
          <t>DT-505</t>
        </is>
      </c>
      <c r="D4250" s="156" t="inlineStr">
        <is>
          <t>SKT 105S</t>
        </is>
      </c>
      <c r="E4250" s="156" t="inlineStr">
        <is>
          <t>Hauler</t>
        </is>
      </c>
      <c r="F4250" s="156" t="inlineStr">
        <is>
          <t>Hauling Coal</t>
        </is>
      </c>
      <c r="G4250" s="182" t="n">
        <v>4.87</v>
      </c>
      <c r="H4250" s="182" t="n">
        <v>0</v>
      </c>
      <c r="I4250" s="182" t="n">
        <v>0.25</v>
      </c>
      <c r="J4250" s="182" t="n">
        <v>0.25</v>
      </c>
      <c r="K4250" s="182" t="n">
        <v>6.88</v>
      </c>
      <c r="L4250" s="182" t="n">
        <v>12</v>
      </c>
      <c r="M4250" s="182" t="n">
        <v>0</v>
      </c>
      <c r="N4250" s="182" t="n">
        <v>4.86</v>
      </c>
      <c r="O4250" s="183" t="n">
        <v>0</v>
      </c>
      <c r="P4250" s="183" t="n">
        <v>10</v>
      </c>
      <c r="Q4250" s="184" t="n">
        <v>0</v>
      </c>
      <c r="R4250" s="184" t="n">
        <v>187</v>
      </c>
      <c r="S4250" s="183" t="n">
        <v>0</v>
      </c>
      <c r="T4250" s="183" t="n">
        <v>0</v>
      </c>
      <c r="U4250" s="182" t="n">
        <v>0</v>
      </c>
      <c r="V4250" s="182" t="n">
        <v>0</v>
      </c>
      <c r="W4250" s="182" t="n">
        <v>0</v>
      </c>
      <c r="X4250" s="182" t="n">
        <v>0.9399999999999999</v>
      </c>
      <c r="Y4250" s="182" t="n">
        <v>0</v>
      </c>
      <c r="Z4250" s="182" t="n">
        <v>0</v>
      </c>
      <c r="AA4250" s="182" t="n">
        <v>0</v>
      </c>
      <c r="AB4250" s="182" t="n">
        <v>0</v>
      </c>
      <c r="AC4250" s="182" t="n">
        <v>0</v>
      </c>
      <c r="AD4250" s="182" t="n">
        <v>5.87</v>
      </c>
      <c r="AE4250" s="182" t="n">
        <v>0</v>
      </c>
      <c r="AF4250" s="182" t="n">
        <v>0</v>
      </c>
      <c r="AG4250" s="182" t="n">
        <v>0</v>
      </c>
      <c r="AH4250" s="182" t="n">
        <v>0</v>
      </c>
      <c r="AI4250" s="182" t="n">
        <v>0</v>
      </c>
      <c r="AJ4250" s="182" t="n">
        <v>0</v>
      </c>
      <c r="AK4250" s="182" t="n">
        <v>0</v>
      </c>
      <c r="AL4250" s="182" t="n">
        <v>0</v>
      </c>
      <c r="AM4250" s="182" t="n">
        <v>0.07000000000000001</v>
      </c>
      <c r="AN4250" s="182" t="n">
        <v>0</v>
      </c>
    </row>
    <row r="4251">
      <c r="A4251" s="155" t="n">
        <v>46101</v>
      </c>
      <c r="B4251" s="156" t="inlineStr">
        <is>
          <t>DS</t>
        </is>
      </c>
      <c r="C4251" s="156" t="inlineStr">
        <is>
          <t>DT-530</t>
        </is>
      </c>
      <c r="D4251" s="156" t="inlineStr">
        <is>
          <t>SKT 105S</t>
        </is>
      </c>
      <c r="E4251" s="156" t="inlineStr">
        <is>
          <t>Hauler</t>
        </is>
      </c>
      <c r="F4251" s="156" t="inlineStr"/>
      <c r="G4251" s="182" t="n">
        <v>0</v>
      </c>
      <c r="H4251" s="182" t="n">
        <v>0</v>
      </c>
      <c r="I4251" s="182" t="n">
        <v>12</v>
      </c>
      <c r="J4251" s="182" t="n">
        <v>12</v>
      </c>
      <c r="K4251" s="182" t="n">
        <v>0</v>
      </c>
      <c r="L4251" s="182" t="n">
        <v>12</v>
      </c>
      <c r="M4251" s="182" t="n">
        <v>0</v>
      </c>
      <c r="N4251" s="182" t="n">
        <v>0</v>
      </c>
      <c r="O4251" s="183" t="n">
        <v>0</v>
      </c>
      <c r="P4251" s="183" t="n">
        <v>0</v>
      </c>
      <c r="Q4251" s="184" t="n">
        <v>0</v>
      </c>
      <c r="R4251" s="184" t="n">
        <v>0</v>
      </c>
      <c r="S4251" s="183" t="n">
        <v>0</v>
      </c>
      <c r="T4251" s="183" t="n">
        <v>0</v>
      </c>
      <c r="U4251" s="182" t="n">
        <v>0</v>
      </c>
      <c r="V4251" s="182" t="n">
        <v>0</v>
      </c>
      <c r="W4251" s="182" t="n">
        <v>0</v>
      </c>
      <c r="X4251" s="182" t="n">
        <v>0</v>
      </c>
      <c r="Y4251" s="182" t="n">
        <v>0</v>
      </c>
      <c r="Z4251" s="182" t="n">
        <v>0</v>
      </c>
      <c r="AA4251" s="182" t="n">
        <v>0</v>
      </c>
      <c r="AB4251" s="182" t="n">
        <v>0</v>
      </c>
      <c r="AC4251" s="182" t="n">
        <v>0</v>
      </c>
      <c r="AD4251" s="182" t="n">
        <v>0</v>
      </c>
      <c r="AE4251" s="182" t="n">
        <v>0</v>
      </c>
      <c r="AF4251" s="182" t="n">
        <v>0</v>
      </c>
      <c r="AG4251" s="182" t="n">
        <v>0</v>
      </c>
      <c r="AH4251" s="182" t="n">
        <v>0</v>
      </c>
      <c r="AI4251" s="182" t="n">
        <v>0</v>
      </c>
      <c r="AJ4251" s="182" t="n">
        <v>0</v>
      </c>
      <c r="AK4251" s="182" t="n">
        <v>0</v>
      </c>
      <c r="AL4251" s="182" t="n">
        <v>0</v>
      </c>
      <c r="AM4251" s="182" t="n">
        <v>0</v>
      </c>
      <c r="AN4251" s="182" t="n">
        <v>0</v>
      </c>
    </row>
    <row r="4252">
      <c r="A4252" s="155" t="n">
        <v>46101</v>
      </c>
      <c r="B4252" s="156" t="inlineStr">
        <is>
          <t>DS</t>
        </is>
      </c>
      <c r="C4252" s="156" t="inlineStr">
        <is>
          <t>DT-525</t>
        </is>
      </c>
      <c r="D4252" s="156" t="inlineStr">
        <is>
          <t>SKT 105S</t>
        </is>
      </c>
      <c r="E4252" s="156" t="inlineStr">
        <is>
          <t>Hauler</t>
        </is>
      </c>
      <c r="F4252" s="156" t="inlineStr"/>
      <c r="G4252" s="182" t="n">
        <v>0</v>
      </c>
      <c r="H4252" s="182" t="n">
        <v>0</v>
      </c>
      <c r="I4252" s="182" t="n">
        <v>12</v>
      </c>
      <c r="J4252" s="182" t="n">
        <v>12</v>
      </c>
      <c r="K4252" s="182" t="n">
        <v>0</v>
      </c>
      <c r="L4252" s="182" t="n">
        <v>12</v>
      </c>
      <c r="M4252" s="182" t="n">
        <v>0</v>
      </c>
      <c r="N4252" s="182" t="n">
        <v>0</v>
      </c>
      <c r="O4252" s="183" t="n">
        <v>0</v>
      </c>
      <c r="P4252" s="183" t="n">
        <v>0</v>
      </c>
      <c r="Q4252" s="184" t="n">
        <v>0</v>
      </c>
      <c r="R4252" s="184" t="n">
        <v>0</v>
      </c>
      <c r="S4252" s="183" t="n">
        <v>0</v>
      </c>
      <c r="T4252" s="183" t="n">
        <v>0</v>
      </c>
      <c r="U4252" s="182" t="n">
        <v>0</v>
      </c>
      <c r="V4252" s="182" t="n">
        <v>0</v>
      </c>
      <c r="W4252" s="182" t="n">
        <v>0</v>
      </c>
      <c r="X4252" s="182" t="n">
        <v>0</v>
      </c>
      <c r="Y4252" s="182" t="n">
        <v>0</v>
      </c>
      <c r="Z4252" s="182" t="n">
        <v>0</v>
      </c>
      <c r="AA4252" s="182" t="n">
        <v>0</v>
      </c>
      <c r="AB4252" s="182" t="n">
        <v>0</v>
      </c>
      <c r="AC4252" s="182" t="n">
        <v>0</v>
      </c>
      <c r="AD4252" s="182" t="n">
        <v>0</v>
      </c>
      <c r="AE4252" s="182" t="n">
        <v>0</v>
      </c>
      <c r="AF4252" s="182" t="n">
        <v>0</v>
      </c>
      <c r="AG4252" s="182" t="n">
        <v>0</v>
      </c>
      <c r="AH4252" s="182" t="n">
        <v>0</v>
      </c>
      <c r="AI4252" s="182" t="n">
        <v>0</v>
      </c>
      <c r="AJ4252" s="182" t="n">
        <v>0</v>
      </c>
      <c r="AK4252" s="182" t="n">
        <v>0</v>
      </c>
      <c r="AL4252" s="182" t="n">
        <v>0</v>
      </c>
      <c r="AM4252" s="182" t="n">
        <v>0</v>
      </c>
      <c r="AN4252" s="182" t="n">
        <v>0</v>
      </c>
    </row>
    <row r="4253">
      <c r="A4253" s="155" t="n">
        <v>46101</v>
      </c>
      <c r="B4253" s="156" t="inlineStr">
        <is>
          <t>DS</t>
        </is>
      </c>
      <c r="C4253" s="156" t="inlineStr">
        <is>
          <t>DT-503</t>
        </is>
      </c>
      <c r="D4253" s="156" t="inlineStr">
        <is>
          <t>SKT 105S</t>
        </is>
      </c>
      <c r="E4253" s="156" t="inlineStr">
        <is>
          <t>Hauler</t>
        </is>
      </c>
      <c r="F4253" s="156" t="inlineStr">
        <is>
          <t>Hauling OB &amp; Material Longsoran</t>
        </is>
      </c>
      <c r="G4253" s="182" t="n">
        <v>5.29</v>
      </c>
      <c r="H4253" s="182" t="n">
        <v>2.77</v>
      </c>
      <c r="I4253" s="182" t="n">
        <v>0</v>
      </c>
      <c r="J4253" s="182" t="n">
        <v>2.77</v>
      </c>
      <c r="K4253" s="182" t="n">
        <v>3.94</v>
      </c>
      <c r="L4253" s="182" t="n">
        <v>12</v>
      </c>
      <c r="M4253" s="182" t="n">
        <v>5.29</v>
      </c>
      <c r="N4253" s="182" t="n">
        <v>0</v>
      </c>
      <c r="O4253" s="183" t="n">
        <v>17</v>
      </c>
      <c r="P4253" s="183" t="n">
        <v>0</v>
      </c>
      <c r="Q4253" s="184" t="n">
        <v>251.4</v>
      </c>
      <c r="R4253" s="184" t="n">
        <v>0</v>
      </c>
      <c r="S4253" s="183" t="n">
        <v>0</v>
      </c>
      <c r="T4253" s="183" t="n">
        <v>0</v>
      </c>
      <c r="U4253" s="182" t="n">
        <v>0</v>
      </c>
      <c r="V4253" s="182" t="n">
        <v>0</v>
      </c>
      <c r="W4253" s="182" t="n">
        <v>0</v>
      </c>
      <c r="X4253" s="182" t="n">
        <v>1.12</v>
      </c>
      <c r="Y4253" s="182" t="n">
        <v>0</v>
      </c>
      <c r="Z4253" s="182" t="n">
        <v>0</v>
      </c>
      <c r="AA4253" s="182" t="n">
        <v>0</v>
      </c>
      <c r="AB4253" s="182" t="n">
        <v>0</v>
      </c>
      <c r="AC4253" s="182" t="n">
        <v>0</v>
      </c>
      <c r="AD4253" s="182" t="n">
        <v>2.73</v>
      </c>
      <c r="AE4253" s="182" t="n">
        <v>0</v>
      </c>
      <c r="AF4253" s="182" t="n">
        <v>0</v>
      </c>
      <c r="AG4253" s="182" t="n">
        <v>0</v>
      </c>
      <c r="AH4253" s="182" t="n">
        <v>0</v>
      </c>
      <c r="AI4253" s="182" t="n">
        <v>0</v>
      </c>
      <c r="AJ4253" s="182" t="n">
        <v>0</v>
      </c>
      <c r="AK4253" s="182" t="n">
        <v>0</v>
      </c>
      <c r="AL4253" s="182" t="n">
        <v>0</v>
      </c>
      <c r="AM4253" s="182" t="n">
        <v>0.09</v>
      </c>
      <c r="AN4253" s="182" t="n">
        <v>0</v>
      </c>
    </row>
    <row r="4254">
      <c r="A4254" s="155" t="n">
        <v>46101</v>
      </c>
      <c r="B4254" s="156" t="inlineStr">
        <is>
          <t>DS</t>
        </is>
      </c>
      <c r="C4254" s="156" t="inlineStr">
        <is>
          <t>DT-504</t>
        </is>
      </c>
      <c r="D4254" s="156" t="inlineStr">
        <is>
          <t>SKT 105S</t>
        </is>
      </c>
      <c r="E4254" s="156" t="inlineStr">
        <is>
          <t>Hauler</t>
        </is>
      </c>
      <c r="F4254" s="156" t="inlineStr">
        <is>
          <t>Hauling OB &amp; Material Longsoran</t>
        </is>
      </c>
      <c r="G4254" s="182" t="n">
        <v>6.95</v>
      </c>
      <c r="H4254" s="182" t="n">
        <v>0</v>
      </c>
      <c r="I4254" s="182" t="n">
        <v>0</v>
      </c>
      <c r="J4254" s="182" t="n">
        <v>0</v>
      </c>
      <c r="K4254" s="182" t="n">
        <v>5.05</v>
      </c>
      <c r="L4254" s="182" t="n">
        <v>12</v>
      </c>
      <c r="M4254" s="182" t="n">
        <v>6.95</v>
      </c>
      <c r="N4254" s="182" t="n">
        <v>0</v>
      </c>
      <c r="O4254" s="183" t="n">
        <v>21</v>
      </c>
      <c r="P4254" s="183" t="n">
        <v>0</v>
      </c>
      <c r="Q4254" s="184" t="n">
        <v>325.6</v>
      </c>
      <c r="R4254" s="184" t="n">
        <v>0</v>
      </c>
      <c r="S4254" s="183" t="n">
        <v>0</v>
      </c>
      <c r="T4254" s="183" t="n">
        <v>0</v>
      </c>
      <c r="U4254" s="182" t="n">
        <v>0</v>
      </c>
      <c r="V4254" s="182" t="n">
        <v>0</v>
      </c>
      <c r="W4254" s="182" t="n">
        <v>0</v>
      </c>
      <c r="X4254" s="182" t="n">
        <v>1.03</v>
      </c>
      <c r="Y4254" s="182" t="n">
        <v>0</v>
      </c>
      <c r="Z4254" s="182" t="n">
        <v>0</v>
      </c>
      <c r="AA4254" s="182" t="n">
        <v>0</v>
      </c>
      <c r="AB4254" s="182" t="n">
        <v>0</v>
      </c>
      <c r="AC4254" s="182" t="n">
        <v>0</v>
      </c>
      <c r="AD4254" s="182" t="n">
        <v>3.94</v>
      </c>
      <c r="AE4254" s="182" t="n">
        <v>0</v>
      </c>
      <c r="AF4254" s="182" t="n">
        <v>0</v>
      </c>
      <c r="AG4254" s="182" t="n">
        <v>0</v>
      </c>
      <c r="AH4254" s="182" t="n">
        <v>0</v>
      </c>
      <c r="AI4254" s="182" t="n">
        <v>0</v>
      </c>
      <c r="AJ4254" s="182" t="n">
        <v>0</v>
      </c>
      <c r="AK4254" s="182" t="n">
        <v>0</v>
      </c>
      <c r="AL4254" s="182" t="n">
        <v>0</v>
      </c>
      <c r="AM4254" s="182" t="n">
        <v>0.08</v>
      </c>
      <c r="AN4254" s="182" t="n">
        <v>0</v>
      </c>
    </row>
    <row r="4255">
      <c r="A4255" s="155" t="n">
        <v>46101</v>
      </c>
      <c r="B4255" s="156" t="inlineStr">
        <is>
          <t>DS</t>
        </is>
      </c>
      <c r="C4255" s="156" t="inlineStr">
        <is>
          <t>DT-507</t>
        </is>
      </c>
      <c r="D4255" s="156" t="inlineStr">
        <is>
          <t>SKT 105S</t>
        </is>
      </c>
      <c r="E4255" s="156" t="inlineStr">
        <is>
          <t>Hauler</t>
        </is>
      </c>
      <c r="F4255" s="156" t="inlineStr"/>
      <c r="G4255" s="182" t="n">
        <v>0</v>
      </c>
      <c r="H4255" s="182" t="n">
        <v>0</v>
      </c>
      <c r="I4255" s="182" t="n">
        <v>12</v>
      </c>
      <c r="J4255" s="182" t="n">
        <v>12</v>
      </c>
      <c r="K4255" s="182" t="n">
        <v>0</v>
      </c>
      <c r="L4255" s="182" t="n">
        <v>12</v>
      </c>
      <c r="M4255" s="182" t="n">
        <v>0</v>
      </c>
      <c r="N4255" s="182" t="n">
        <v>0</v>
      </c>
      <c r="O4255" s="183" t="n">
        <v>0</v>
      </c>
      <c r="P4255" s="183" t="n">
        <v>0</v>
      </c>
      <c r="Q4255" s="184" t="n">
        <v>0</v>
      </c>
      <c r="R4255" s="184" t="n">
        <v>0</v>
      </c>
      <c r="S4255" s="183" t="n">
        <v>0</v>
      </c>
      <c r="T4255" s="183" t="n">
        <v>0</v>
      </c>
      <c r="U4255" s="182" t="n">
        <v>0</v>
      </c>
      <c r="V4255" s="182" t="n">
        <v>0</v>
      </c>
      <c r="W4255" s="182" t="n">
        <v>0</v>
      </c>
      <c r="X4255" s="182" t="n">
        <v>0</v>
      </c>
      <c r="Y4255" s="182" t="n">
        <v>0</v>
      </c>
      <c r="Z4255" s="182" t="n">
        <v>0</v>
      </c>
      <c r="AA4255" s="182" t="n">
        <v>0</v>
      </c>
      <c r="AB4255" s="182" t="n">
        <v>0</v>
      </c>
      <c r="AC4255" s="182" t="n">
        <v>0</v>
      </c>
      <c r="AD4255" s="182" t="n">
        <v>0</v>
      </c>
      <c r="AE4255" s="182" t="n">
        <v>0</v>
      </c>
      <c r="AF4255" s="182" t="n">
        <v>0</v>
      </c>
      <c r="AG4255" s="182" t="n">
        <v>0</v>
      </c>
      <c r="AH4255" s="182" t="n">
        <v>0</v>
      </c>
      <c r="AI4255" s="182" t="n">
        <v>0</v>
      </c>
      <c r="AJ4255" s="182" t="n">
        <v>0</v>
      </c>
      <c r="AK4255" s="182" t="n">
        <v>0</v>
      </c>
      <c r="AL4255" s="182" t="n">
        <v>0</v>
      </c>
      <c r="AM4255" s="182" t="n">
        <v>0</v>
      </c>
      <c r="AN4255" s="182" t="n">
        <v>0</v>
      </c>
    </row>
    <row r="4256">
      <c r="A4256" s="155" t="n">
        <v>46101</v>
      </c>
      <c r="B4256" s="156" t="inlineStr">
        <is>
          <t>DS</t>
        </is>
      </c>
      <c r="C4256" s="156" t="inlineStr">
        <is>
          <t>DT-501</t>
        </is>
      </c>
      <c r="D4256" s="156" t="inlineStr">
        <is>
          <t>SKT 105S</t>
        </is>
      </c>
      <c r="E4256" s="156" t="inlineStr">
        <is>
          <t>Hauler</t>
        </is>
      </c>
      <c r="F4256" s="156" t="inlineStr">
        <is>
          <t>Hauling OB , Spoil &amp; Coal</t>
        </is>
      </c>
      <c r="G4256" s="182" t="n">
        <v>7.01</v>
      </c>
      <c r="H4256" s="182" t="n">
        <v>0</v>
      </c>
      <c r="I4256" s="182" t="n">
        <v>0</v>
      </c>
      <c r="J4256" s="182" t="n">
        <v>0</v>
      </c>
      <c r="K4256" s="182" t="n">
        <v>4.99</v>
      </c>
      <c r="L4256" s="182" t="n">
        <v>12</v>
      </c>
      <c r="M4256" s="182" t="n">
        <v>5.59</v>
      </c>
      <c r="N4256" s="182" t="n">
        <v>0.95</v>
      </c>
      <c r="O4256" s="183" t="n">
        <v>16</v>
      </c>
      <c r="P4256" s="183" t="n">
        <v>3</v>
      </c>
      <c r="Q4256" s="184" t="n">
        <v>326.4</v>
      </c>
      <c r="R4256" s="184" t="n">
        <v>56.1</v>
      </c>
      <c r="S4256" s="183" t="n">
        <v>2</v>
      </c>
      <c r="T4256" s="183" t="n">
        <v>0</v>
      </c>
      <c r="U4256" s="182" t="n">
        <v>0</v>
      </c>
      <c r="V4256" s="182" t="n">
        <v>0</v>
      </c>
      <c r="W4256" s="182" t="n">
        <v>0</v>
      </c>
      <c r="X4256" s="182" t="n">
        <v>1.08</v>
      </c>
      <c r="Y4256" s="182" t="n">
        <v>0</v>
      </c>
      <c r="Z4256" s="182" t="n">
        <v>0</v>
      </c>
      <c r="AA4256" s="182" t="n">
        <v>0</v>
      </c>
      <c r="AB4256" s="182" t="n">
        <v>0</v>
      </c>
      <c r="AC4256" s="182" t="n">
        <v>0</v>
      </c>
      <c r="AD4256" s="182" t="n">
        <v>3.82</v>
      </c>
      <c r="AE4256" s="182" t="n">
        <v>0</v>
      </c>
      <c r="AF4256" s="182" t="n">
        <v>0</v>
      </c>
      <c r="AG4256" s="182" t="n">
        <v>0</v>
      </c>
      <c r="AH4256" s="182" t="n">
        <v>0</v>
      </c>
      <c r="AI4256" s="182" t="n">
        <v>0</v>
      </c>
      <c r="AJ4256" s="182" t="n">
        <v>0</v>
      </c>
      <c r="AK4256" s="182" t="n">
        <v>0</v>
      </c>
      <c r="AL4256" s="182" t="n">
        <v>0</v>
      </c>
      <c r="AM4256" s="182" t="n">
        <v>0.09</v>
      </c>
      <c r="AN4256" s="182" t="n">
        <v>0</v>
      </c>
    </row>
    <row r="4257">
      <c r="A4257" s="155" t="n">
        <v>46101</v>
      </c>
      <c r="B4257" s="156" t="inlineStr">
        <is>
          <t>DS</t>
        </is>
      </c>
      <c r="C4257" s="156" t="inlineStr">
        <is>
          <t>DT-518</t>
        </is>
      </c>
      <c r="D4257" s="156" t="inlineStr">
        <is>
          <t>SKT 105S</t>
        </is>
      </c>
      <c r="E4257" s="156" t="inlineStr">
        <is>
          <t>Hauler</t>
        </is>
      </c>
      <c r="F4257" s="156" t="inlineStr">
        <is>
          <t>Hauling OB &amp; Coal</t>
        </is>
      </c>
      <c r="G4257" s="182" t="n">
        <v>8.619999999999999</v>
      </c>
      <c r="H4257" s="182" t="n">
        <v>0</v>
      </c>
      <c r="I4257" s="182" t="n">
        <v>0</v>
      </c>
      <c r="J4257" s="182" t="n">
        <v>0</v>
      </c>
      <c r="K4257" s="182" t="n">
        <v>3.38</v>
      </c>
      <c r="L4257" s="182" t="n">
        <v>12</v>
      </c>
      <c r="M4257" s="182" t="n">
        <v>0.74</v>
      </c>
      <c r="N4257" s="182" t="n">
        <v>7.88</v>
      </c>
      <c r="O4257" s="183" t="n">
        <v>3</v>
      </c>
      <c r="P4257" s="183" t="n">
        <v>17</v>
      </c>
      <c r="Q4257" s="184" t="n">
        <v>61.2</v>
      </c>
      <c r="R4257" s="184" t="n">
        <v>317.9</v>
      </c>
      <c r="S4257" s="183" t="n">
        <v>0</v>
      </c>
      <c r="T4257" s="183" t="n">
        <v>0</v>
      </c>
      <c r="U4257" s="182" t="n">
        <v>0</v>
      </c>
      <c r="V4257" s="182" t="n">
        <v>0</v>
      </c>
      <c r="W4257" s="182" t="n">
        <v>0</v>
      </c>
      <c r="X4257" s="182" t="n">
        <v>1.02</v>
      </c>
      <c r="Y4257" s="182" t="n">
        <v>0</v>
      </c>
      <c r="Z4257" s="182" t="n">
        <v>0</v>
      </c>
      <c r="AA4257" s="182" t="n">
        <v>0</v>
      </c>
      <c r="AB4257" s="182" t="n">
        <v>0</v>
      </c>
      <c r="AC4257" s="182" t="n">
        <v>0</v>
      </c>
      <c r="AD4257" s="182" t="n">
        <v>2.27</v>
      </c>
      <c r="AE4257" s="182" t="n">
        <v>0</v>
      </c>
      <c r="AF4257" s="182" t="n">
        <v>0</v>
      </c>
      <c r="AG4257" s="182" t="n">
        <v>0</v>
      </c>
      <c r="AH4257" s="182" t="n">
        <v>0</v>
      </c>
      <c r="AI4257" s="182" t="n">
        <v>0</v>
      </c>
      <c r="AJ4257" s="182" t="n">
        <v>0</v>
      </c>
      <c r="AK4257" s="182" t="n">
        <v>0</v>
      </c>
      <c r="AL4257" s="182" t="n">
        <v>0</v>
      </c>
      <c r="AM4257" s="182" t="n">
        <v>0.08</v>
      </c>
      <c r="AN4257" s="182" t="n">
        <v>0</v>
      </c>
    </row>
    <row r="4258">
      <c r="A4258" s="155" t="n">
        <v>46101</v>
      </c>
      <c r="B4258" s="156" t="inlineStr">
        <is>
          <t>DS</t>
        </is>
      </c>
      <c r="C4258" s="156" t="inlineStr">
        <is>
          <t>DT-514</t>
        </is>
      </c>
      <c r="D4258" s="156" t="inlineStr">
        <is>
          <t>SKT 105S</t>
        </is>
      </c>
      <c r="E4258" s="156" t="inlineStr">
        <is>
          <t>Hauler</t>
        </is>
      </c>
      <c r="F4258" s="156" t="inlineStr">
        <is>
          <t>Hauling OB &amp; Material Longsoran</t>
        </is>
      </c>
      <c r="G4258" s="182" t="n">
        <v>7.08</v>
      </c>
      <c r="H4258" s="182" t="n">
        <v>0</v>
      </c>
      <c r="I4258" s="182" t="n">
        <v>0</v>
      </c>
      <c r="J4258" s="182" t="n">
        <v>0</v>
      </c>
      <c r="K4258" s="182" t="n">
        <v>4.92</v>
      </c>
      <c r="L4258" s="182" t="n">
        <v>12</v>
      </c>
      <c r="M4258" s="182" t="n">
        <v>7.08</v>
      </c>
      <c r="N4258" s="182" t="n">
        <v>0</v>
      </c>
      <c r="O4258" s="183" t="n">
        <v>26</v>
      </c>
      <c r="P4258" s="183" t="n">
        <v>0</v>
      </c>
      <c r="Q4258" s="184" t="n">
        <v>377.4</v>
      </c>
      <c r="R4258" s="184" t="n">
        <v>0</v>
      </c>
      <c r="S4258" s="183" t="n">
        <v>0</v>
      </c>
      <c r="T4258" s="183" t="n">
        <v>0</v>
      </c>
      <c r="U4258" s="182" t="n">
        <v>0</v>
      </c>
      <c r="V4258" s="182" t="n">
        <v>0</v>
      </c>
      <c r="W4258" s="182" t="n">
        <v>0</v>
      </c>
      <c r="X4258" s="182" t="n">
        <v>1.07</v>
      </c>
      <c r="Y4258" s="182" t="n">
        <v>0</v>
      </c>
      <c r="Z4258" s="182" t="n">
        <v>0</v>
      </c>
      <c r="AA4258" s="182" t="n">
        <v>0</v>
      </c>
      <c r="AB4258" s="182" t="n">
        <v>0</v>
      </c>
      <c r="AC4258" s="182" t="n">
        <v>0</v>
      </c>
      <c r="AD4258" s="182" t="n">
        <v>3.76</v>
      </c>
      <c r="AE4258" s="182" t="n">
        <v>0</v>
      </c>
      <c r="AF4258" s="182" t="n">
        <v>0</v>
      </c>
      <c r="AG4258" s="182" t="n">
        <v>0</v>
      </c>
      <c r="AH4258" s="182" t="n">
        <v>0</v>
      </c>
      <c r="AI4258" s="182" t="n">
        <v>0</v>
      </c>
      <c r="AJ4258" s="182" t="n">
        <v>0</v>
      </c>
      <c r="AK4258" s="182" t="n">
        <v>0</v>
      </c>
      <c r="AL4258" s="182" t="n">
        <v>0</v>
      </c>
      <c r="AM4258" s="182" t="n">
        <v>0.09</v>
      </c>
      <c r="AN4258" s="182" t="n">
        <v>0</v>
      </c>
    </row>
    <row r="4259">
      <c r="A4259" s="155" t="n">
        <v>46101</v>
      </c>
      <c r="B4259" s="156" t="inlineStr">
        <is>
          <t>DS</t>
        </is>
      </c>
      <c r="C4259" s="156" t="inlineStr">
        <is>
          <t>DT-523</t>
        </is>
      </c>
      <c r="D4259" s="156" t="inlineStr">
        <is>
          <t>SKT 105S</t>
        </is>
      </c>
      <c r="E4259" s="156" t="inlineStr">
        <is>
          <t>Hauler</t>
        </is>
      </c>
      <c r="F4259" s="156" t="inlineStr">
        <is>
          <t>Hauling OB &amp; Material Longsoran</t>
        </is>
      </c>
      <c r="G4259" s="182" t="n">
        <v>7.91</v>
      </c>
      <c r="H4259" s="182" t="n">
        <v>0</v>
      </c>
      <c r="I4259" s="182" t="n">
        <v>0</v>
      </c>
      <c r="J4259" s="182" t="n">
        <v>0</v>
      </c>
      <c r="K4259" s="182" t="n">
        <v>4.09</v>
      </c>
      <c r="L4259" s="182" t="n">
        <v>12</v>
      </c>
      <c r="M4259" s="182" t="n">
        <v>7.91</v>
      </c>
      <c r="N4259" s="182" t="n">
        <v>0</v>
      </c>
      <c r="O4259" s="183" t="n">
        <v>26</v>
      </c>
      <c r="P4259" s="183" t="n">
        <v>0</v>
      </c>
      <c r="Q4259" s="184" t="n">
        <v>388.3</v>
      </c>
      <c r="R4259" s="184" t="n">
        <v>0</v>
      </c>
      <c r="S4259" s="183" t="n">
        <v>0</v>
      </c>
      <c r="T4259" s="183" t="n">
        <v>0</v>
      </c>
      <c r="U4259" s="182" t="n">
        <v>0</v>
      </c>
      <c r="V4259" s="182" t="n">
        <v>0</v>
      </c>
      <c r="W4259" s="182" t="n">
        <v>0</v>
      </c>
      <c r="X4259" s="182" t="n">
        <v>0.97</v>
      </c>
      <c r="Y4259" s="182" t="n">
        <v>0</v>
      </c>
      <c r="Z4259" s="182" t="n">
        <v>0</v>
      </c>
      <c r="AA4259" s="182" t="n">
        <v>0</v>
      </c>
      <c r="AB4259" s="182" t="n">
        <v>0</v>
      </c>
      <c r="AC4259" s="182" t="n">
        <v>0</v>
      </c>
      <c r="AD4259" s="182" t="n">
        <v>3.04</v>
      </c>
      <c r="AE4259" s="182" t="n">
        <v>0</v>
      </c>
      <c r="AF4259" s="182" t="n">
        <v>0</v>
      </c>
      <c r="AG4259" s="182" t="n">
        <v>0</v>
      </c>
      <c r="AH4259" s="182" t="n">
        <v>0</v>
      </c>
      <c r="AI4259" s="182" t="n">
        <v>0</v>
      </c>
      <c r="AJ4259" s="182" t="n">
        <v>0</v>
      </c>
      <c r="AK4259" s="182" t="n">
        <v>0</v>
      </c>
      <c r="AL4259" s="182" t="n">
        <v>0</v>
      </c>
      <c r="AM4259" s="182" t="n">
        <v>0.08</v>
      </c>
      <c r="AN4259" s="182" t="n">
        <v>0</v>
      </c>
    </row>
    <row r="4260">
      <c r="A4260" s="155" t="n">
        <v>46101</v>
      </c>
      <c r="B4260" s="156" t="inlineStr">
        <is>
          <t>DS</t>
        </is>
      </c>
      <c r="C4260" s="156" t="inlineStr">
        <is>
          <t>DT-519</t>
        </is>
      </c>
      <c r="D4260" s="156" t="inlineStr">
        <is>
          <t>SKT 105S</t>
        </is>
      </c>
      <c r="E4260" s="156" t="inlineStr">
        <is>
          <t>Hauler</t>
        </is>
      </c>
      <c r="F4260" s="156" t="inlineStr">
        <is>
          <t>Hauling Coal</t>
        </is>
      </c>
      <c r="G4260" s="182" t="n">
        <v>3.92</v>
      </c>
      <c r="H4260" s="182" t="n">
        <v>0</v>
      </c>
      <c r="I4260" s="182" t="n">
        <v>0.42</v>
      </c>
      <c r="J4260" s="182" t="n">
        <v>0.42</v>
      </c>
      <c r="K4260" s="182" t="n">
        <v>7.66</v>
      </c>
      <c r="L4260" s="182" t="n">
        <v>12</v>
      </c>
      <c r="M4260" s="182" t="n">
        <v>0</v>
      </c>
      <c r="N4260" s="182" t="n">
        <v>3.92</v>
      </c>
      <c r="O4260" s="183" t="n">
        <v>0</v>
      </c>
      <c r="P4260" s="183" t="n">
        <v>8</v>
      </c>
      <c r="Q4260" s="184" t="n">
        <v>0</v>
      </c>
      <c r="R4260" s="184" t="n">
        <v>149.6</v>
      </c>
      <c r="S4260" s="183" t="n">
        <v>0</v>
      </c>
      <c r="T4260" s="183" t="n">
        <v>0</v>
      </c>
      <c r="U4260" s="182" t="n">
        <v>0</v>
      </c>
      <c r="V4260" s="182" t="n">
        <v>0</v>
      </c>
      <c r="W4260" s="182" t="n">
        <v>0</v>
      </c>
      <c r="X4260" s="182" t="n">
        <v>0.98</v>
      </c>
      <c r="Y4260" s="182" t="n">
        <v>0</v>
      </c>
      <c r="Z4260" s="182" t="n">
        <v>0</v>
      </c>
      <c r="AA4260" s="182" t="n">
        <v>0</v>
      </c>
      <c r="AB4260" s="182" t="n">
        <v>0</v>
      </c>
      <c r="AC4260" s="182" t="n">
        <v>0</v>
      </c>
      <c r="AD4260" s="182" t="n">
        <v>6.6</v>
      </c>
      <c r="AE4260" s="182" t="n">
        <v>0</v>
      </c>
      <c r="AF4260" s="182" t="n">
        <v>0</v>
      </c>
      <c r="AG4260" s="182" t="n">
        <v>0</v>
      </c>
      <c r="AH4260" s="182" t="n">
        <v>0</v>
      </c>
      <c r="AI4260" s="182" t="n">
        <v>0</v>
      </c>
      <c r="AJ4260" s="182" t="n">
        <v>0</v>
      </c>
      <c r="AK4260" s="182" t="n">
        <v>0</v>
      </c>
      <c r="AL4260" s="182" t="n">
        <v>0</v>
      </c>
      <c r="AM4260" s="182" t="n">
        <v>0.08</v>
      </c>
      <c r="AN4260" s="182" t="n">
        <v>0</v>
      </c>
    </row>
    <row r="4261">
      <c r="A4261" s="155" t="n">
        <v>46101</v>
      </c>
      <c r="B4261" s="156" t="inlineStr">
        <is>
          <t>DS</t>
        </is>
      </c>
      <c r="C4261" s="156" t="inlineStr">
        <is>
          <t>DT-527</t>
        </is>
      </c>
      <c r="D4261" s="156" t="inlineStr">
        <is>
          <t>SKT 105S</t>
        </is>
      </c>
      <c r="E4261" s="156" t="inlineStr">
        <is>
          <t>Hauler</t>
        </is>
      </c>
      <c r="F4261" s="156" t="inlineStr">
        <is>
          <t>Hauling OB , Spoil &amp; Coal</t>
        </is>
      </c>
      <c r="G4261" s="182" t="n">
        <v>7.44</v>
      </c>
      <c r="H4261" s="182" t="n">
        <v>0</v>
      </c>
      <c r="I4261" s="182" t="n">
        <v>0.27</v>
      </c>
      <c r="J4261" s="182" t="n">
        <v>0.27</v>
      </c>
      <c r="K4261" s="182" t="n">
        <v>4.29</v>
      </c>
      <c r="L4261" s="182" t="n">
        <v>12</v>
      </c>
      <c r="M4261" s="182" t="n">
        <v>5.41</v>
      </c>
      <c r="N4261" s="182" t="n">
        <v>1.53</v>
      </c>
      <c r="O4261" s="183" t="n">
        <v>16</v>
      </c>
      <c r="P4261" s="183" t="n">
        <v>5</v>
      </c>
      <c r="Q4261" s="184" t="n">
        <v>326.4</v>
      </c>
      <c r="R4261" s="184" t="n">
        <v>93.5</v>
      </c>
      <c r="S4261" s="183" t="n">
        <v>2</v>
      </c>
      <c r="T4261" s="183" t="n">
        <v>0</v>
      </c>
      <c r="U4261" s="182" t="n">
        <v>0</v>
      </c>
      <c r="V4261" s="182" t="n">
        <v>0</v>
      </c>
      <c r="W4261" s="182" t="n">
        <v>0</v>
      </c>
      <c r="X4261" s="182" t="n">
        <v>0.97</v>
      </c>
      <c r="Y4261" s="182" t="n">
        <v>0</v>
      </c>
      <c r="Z4261" s="182" t="n">
        <v>0</v>
      </c>
      <c r="AA4261" s="182" t="n">
        <v>0</v>
      </c>
      <c r="AB4261" s="182" t="n">
        <v>0</v>
      </c>
      <c r="AC4261" s="182" t="n">
        <v>0</v>
      </c>
      <c r="AD4261" s="182" t="n">
        <v>3.24</v>
      </c>
      <c r="AE4261" s="182" t="n">
        <v>0</v>
      </c>
      <c r="AF4261" s="182" t="n">
        <v>0</v>
      </c>
      <c r="AG4261" s="182" t="n">
        <v>0</v>
      </c>
      <c r="AH4261" s="182" t="n">
        <v>0</v>
      </c>
      <c r="AI4261" s="182" t="n">
        <v>0</v>
      </c>
      <c r="AJ4261" s="182" t="n">
        <v>0</v>
      </c>
      <c r="AK4261" s="182" t="n">
        <v>0</v>
      </c>
      <c r="AL4261" s="182" t="n">
        <v>0</v>
      </c>
      <c r="AM4261" s="182" t="n">
        <v>0.08</v>
      </c>
      <c r="AN4261" s="182" t="n">
        <v>0</v>
      </c>
    </row>
    <row r="4262">
      <c r="A4262" s="155" t="n">
        <v>46101</v>
      </c>
      <c r="B4262" s="156" t="inlineStr">
        <is>
          <t>DS</t>
        </is>
      </c>
      <c r="C4262" s="156" t="inlineStr">
        <is>
          <t>DT-513</t>
        </is>
      </c>
      <c r="D4262" s="156" t="inlineStr">
        <is>
          <t>SKT 105S</t>
        </is>
      </c>
      <c r="E4262" s="156" t="inlineStr">
        <is>
          <t>Hauler</t>
        </is>
      </c>
      <c r="F4262" s="156" t="inlineStr"/>
      <c r="G4262" s="182" t="n">
        <v>0</v>
      </c>
      <c r="H4262" s="182" t="n">
        <v>0</v>
      </c>
      <c r="I4262" s="182" t="n">
        <v>12</v>
      </c>
      <c r="J4262" s="182" t="n">
        <v>12</v>
      </c>
      <c r="K4262" s="182" t="n">
        <v>0</v>
      </c>
      <c r="L4262" s="182" t="n">
        <v>12</v>
      </c>
      <c r="M4262" s="182" t="n">
        <v>0</v>
      </c>
      <c r="N4262" s="182" t="n">
        <v>0</v>
      </c>
      <c r="O4262" s="183" t="n">
        <v>0</v>
      </c>
      <c r="P4262" s="183" t="n">
        <v>0</v>
      </c>
      <c r="Q4262" s="184" t="n">
        <v>0</v>
      </c>
      <c r="R4262" s="184" t="n">
        <v>0</v>
      </c>
      <c r="S4262" s="183" t="n">
        <v>0</v>
      </c>
      <c r="T4262" s="183" t="n">
        <v>0</v>
      </c>
      <c r="U4262" s="182" t="n">
        <v>0</v>
      </c>
      <c r="V4262" s="182" t="n">
        <v>0</v>
      </c>
      <c r="W4262" s="182" t="n">
        <v>0</v>
      </c>
      <c r="X4262" s="182" t="n">
        <v>0</v>
      </c>
      <c r="Y4262" s="182" t="n">
        <v>0</v>
      </c>
      <c r="Z4262" s="182" t="n">
        <v>0</v>
      </c>
      <c r="AA4262" s="182" t="n">
        <v>0</v>
      </c>
      <c r="AB4262" s="182" t="n">
        <v>0</v>
      </c>
      <c r="AC4262" s="182" t="n">
        <v>0</v>
      </c>
      <c r="AD4262" s="182" t="n">
        <v>0</v>
      </c>
      <c r="AE4262" s="182" t="n">
        <v>0</v>
      </c>
      <c r="AF4262" s="182" t="n">
        <v>0</v>
      </c>
      <c r="AG4262" s="182" t="n">
        <v>0</v>
      </c>
      <c r="AH4262" s="182" t="n">
        <v>0</v>
      </c>
      <c r="AI4262" s="182" t="n">
        <v>0</v>
      </c>
      <c r="AJ4262" s="182" t="n">
        <v>0</v>
      </c>
      <c r="AK4262" s="182" t="n">
        <v>0</v>
      </c>
      <c r="AL4262" s="182" t="n">
        <v>0</v>
      </c>
      <c r="AM4262" s="182" t="n">
        <v>0</v>
      </c>
      <c r="AN4262" s="182" t="n">
        <v>0</v>
      </c>
    </row>
    <row r="4263">
      <c r="A4263" s="155" t="n">
        <v>46101</v>
      </c>
      <c r="B4263" s="156" t="inlineStr">
        <is>
          <t>DS</t>
        </is>
      </c>
      <c r="C4263" s="156" t="inlineStr">
        <is>
          <t>DT-512</t>
        </is>
      </c>
      <c r="D4263" s="156" t="inlineStr">
        <is>
          <t>SKT 105S</t>
        </is>
      </c>
      <c r="E4263" s="156" t="inlineStr">
        <is>
          <t>Hauler</t>
        </is>
      </c>
      <c r="F4263" s="156" t="inlineStr">
        <is>
          <t>Hauling OB , Spoil &amp; Coal</t>
        </is>
      </c>
      <c r="G4263" s="182" t="n">
        <v>6.95</v>
      </c>
      <c r="H4263" s="182" t="n">
        <v>0</v>
      </c>
      <c r="I4263" s="182" t="n">
        <v>0</v>
      </c>
      <c r="J4263" s="182" t="n">
        <v>0</v>
      </c>
      <c r="K4263" s="182" t="n">
        <v>5.05</v>
      </c>
      <c r="L4263" s="182" t="n">
        <v>12</v>
      </c>
      <c r="M4263" s="182" t="n">
        <v>5.53</v>
      </c>
      <c r="N4263" s="182" t="n">
        <v>0.71</v>
      </c>
      <c r="O4263" s="183" t="n">
        <v>15</v>
      </c>
      <c r="P4263" s="183" t="n">
        <v>2</v>
      </c>
      <c r="Q4263" s="184" t="n">
        <v>306</v>
      </c>
      <c r="R4263" s="184" t="n">
        <v>37.4</v>
      </c>
      <c r="S4263" s="183" t="n">
        <v>3</v>
      </c>
      <c r="T4263" s="183" t="n">
        <v>0</v>
      </c>
      <c r="U4263" s="182" t="n">
        <v>0</v>
      </c>
      <c r="V4263" s="182" t="n">
        <v>0</v>
      </c>
      <c r="W4263" s="182" t="n">
        <v>0</v>
      </c>
      <c r="X4263" s="182" t="n">
        <v>1.07</v>
      </c>
      <c r="Y4263" s="182" t="n">
        <v>0</v>
      </c>
      <c r="Z4263" s="182" t="n">
        <v>0</v>
      </c>
      <c r="AA4263" s="182" t="n">
        <v>0</v>
      </c>
      <c r="AB4263" s="182" t="n">
        <v>0</v>
      </c>
      <c r="AC4263" s="182" t="n">
        <v>0</v>
      </c>
      <c r="AD4263" s="182" t="n">
        <v>3.89</v>
      </c>
      <c r="AE4263" s="182" t="n">
        <v>0</v>
      </c>
      <c r="AF4263" s="182" t="n">
        <v>0</v>
      </c>
      <c r="AG4263" s="182" t="n">
        <v>0</v>
      </c>
      <c r="AH4263" s="182" t="n">
        <v>0</v>
      </c>
      <c r="AI4263" s="182" t="n">
        <v>0</v>
      </c>
      <c r="AJ4263" s="182" t="n">
        <v>0</v>
      </c>
      <c r="AK4263" s="182" t="n">
        <v>0</v>
      </c>
      <c r="AL4263" s="182" t="n">
        <v>0</v>
      </c>
      <c r="AM4263" s="182" t="n">
        <v>0.09</v>
      </c>
      <c r="AN4263" s="182" t="n">
        <v>0</v>
      </c>
    </row>
    <row r="4264">
      <c r="A4264" s="155" t="n">
        <v>46101</v>
      </c>
      <c r="B4264" s="156" t="inlineStr">
        <is>
          <t>DS</t>
        </is>
      </c>
      <c r="C4264" s="156" t="inlineStr">
        <is>
          <t>DT-522</t>
        </is>
      </c>
      <c r="D4264" s="156" t="inlineStr">
        <is>
          <t>SKT 105S</t>
        </is>
      </c>
      <c r="E4264" s="156" t="inlineStr">
        <is>
          <t>Hauler</t>
        </is>
      </c>
      <c r="F4264" s="156" t="inlineStr">
        <is>
          <t>Hauling OB , Spoil &amp; Coal</t>
        </is>
      </c>
      <c r="G4264" s="182" t="n">
        <v>7.32</v>
      </c>
      <c r="H4264" s="182" t="n">
        <v>0</v>
      </c>
      <c r="I4264" s="182" t="n">
        <v>0</v>
      </c>
      <c r="J4264" s="182" t="n">
        <v>0</v>
      </c>
      <c r="K4264" s="182" t="n">
        <v>4.68</v>
      </c>
      <c r="L4264" s="182" t="n">
        <v>12</v>
      </c>
      <c r="M4264" s="182" t="n">
        <v>5.88</v>
      </c>
      <c r="N4264" s="182" t="n">
        <v>0.72</v>
      </c>
      <c r="O4264" s="183" t="n">
        <v>14</v>
      </c>
      <c r="P4264" s="183" t="n">
        <v>2</v>
      </c>
      <c r="Q4264" s="184" t="n">
        <v>285.6</v>
      </c>
      <c r="R4264" s="184" t="n">
        <v>37.4</v>
      </c>
      <c r="S4264" s="183" t="n">
        <v>3</v>
      </c>
      <c r="T4264" s="183" t="n">
        <v>0</v>
      </c>
      <c r="U4264" s="182" t="n">
        <v>0</v>
      </c>
      <c r="V4264" s="182" t="n">
        <v>0</v>
      </c>
      <c r="W4264" s="182" t="n">
        <v>0</v>
      </c>
      <c r="X4264" s="182" t="n">
        <v>1.06</v>
      </c>
      <c r="Y4264" s="182" t="n">
        <v>0</v>
      </c>
      <c r="Z4264" s="182" t="n">
        <v>0</v>
      </c>
      <c r="AA4264" s="182" t="n">
        <v>0</v>
      </c>
      <c r="AB4264" s="182" t="n">
        <v>0</v>
      </c>
      <c r="AC4264" s="182" t="n">
        <v>0</v>
      </c>
      <c r="AD4264" s="182" t="n">
        <v>3.53</v>
      </c>
      <c r="AE4264" s="182" t="n">
        <v>0</v>
      </c>
      <c r="AF4264" s="182" t="n">
        <v>0</v>
      </c>
      <c r="AG4264" s="182" t="n">
        <v>0</v>
      </c>
      <c r="AH4264" s="182" t="n">
        <v>0</v>
      </c>
      <c r="AI4264" s="182" t="n">
        <v>0</v>
      </c>
      <c r="AJ4264" s="182" t="n">
        <v>0</v>
      </c>
      <c r="AK4264" s="182" t="n">
        <v>0</v>
      </c>
      <c r="AL4264" s="182" t="n">
        <v>0</v>
      </c>
      <c r="AM4264" s="182" t="n">
        <v>0.09</v>
      </c>
      <c r="AN4264" s="182" t="n">
        <v>0</v>
      </c>
    </row>
    <row r="4265">
      <c r="A4265" s="155" t="n">
        <v>46101</v>
      </c>
      <c r="B4265" s="156" t="inlineStr">
        <is>
          <t>DS</t>
        </is>
      </c>
      <c r="C4265" s="156" t="inlineStr">
        <is>
          <t>DT-517</t>
        </is>
      </c>
      <c r="D4265" s="156" t="inlineStr">
        <is>
          <t>SKT 105S</t>
        </is>
      </c>
      <c r="E4265" s="156" t="inlineStr">
        <is>
          <t>Hauler</t>
        </is>
      </c>
      <c r="F4265" s="156" t="inlineStr">
        <is>
          <t>Hauling OB , Spoil &amp; Coal</t>
        </is>
      </c>
      <c r="G4265" s="182" t="n">
        <v>7.75</v>
      </c>
      <c r="H4265" s="182" t="n">
        <v>0</v>
      </c>
      <c r="I4265" s="182" t="n">
        <v>0</v>
      </c>
      <c r="J4265" s="182" t="n">
        <v>0</v>
      </c>
      <c r="K4265" s="182" t="n">
        <v>4.25</v>
      </c>
      <c r="L4265" s="182" t="n">
        <v>12</v>
      </c>
      <c r="M4265" s="182" t="n">
        <v>6.44</v>
      </c>
      <c r="N4265" s="182" t="n">
        <v>0.79</v>
      </c>
      <c r="O4265" s="183" t="n">
        <v>15</v>
      </c>
      <c r="P4265" s="183" t="n">
        <v>2</v>
      </c>
      <c r="Q4265" s="184" t="n">
        <v>306</v>
      </c>
      <c r="R4265" s="184" t="n">
        <v>37.4</v>
      </c>
      <c r="S4265" s="183" t="n">
        <v>2</v>
      </c>
      <c r="T4265" s="183" t="n">
        <v>0</v>
      </c>
      <c r="U4265" s="182" t="n">
        <v>0</v>
      </c>
      <c r="V4265" s="182" t="n">
        <v>0</v>
      </c>
      <c r="W4265" s="182" t="n">
        <v>0</v>
      </c>
      <c r="X4265" s="182" t="n">
        <v>0.92</v>
      </c>
      <c r="Y4265" s="182" t="n">
        <v>0</v>
      </c>
      <c r="Z4265" s="182" t="n">
        <v>0</v>
      </c>
      <c r="AA4265" s="182" t="n">
        <v>0</v>
      </c>
      <c r="AB4265" s="182" t="n">
        <v>0</v>
      </c>
      <c r="AC4265" s="182" t="n">
        <v>0</v>
      </c>
      <c r="AD4265" s="182" t="n">
        <v>3.25</v>
      </c>
      <c r="AE4265" s="182" t="n">
        <v>0</v>
      </c>
      <c r="AF4265" s="182" t="n">
        <v>0</v>
      </c>
      <c r="AG4265" s="182" t="n">
        <v>0</v>
      </c>
      <c r="AH4265" s="182" t="n">
        <v>0</v>
      </c>
      <c r="AI4265" s="182" t="n">
        <v>0</v>
      </c>
      <c r="AJ4265" s="182" t="n">
        <v>0</v>
      </c>
      <c r="AK4265" s="182" t="n">
        <v>0</v>
      </c>
      <c r="AL4265" s="182" t="n">
        <v>0</v>
      </c>
      <c r="AM4265" s="182" t="n">
        <v>0.07000000000000001</v>
      </c>
      <c r="AN4265" s="182" t="n">
        <v>0</v>
      </c>
    </row>
    <row r="4266">
      <c r="A4266" s="155" t="n">
        <v>46101</v>
      </c>
      <c r="B4266" s="156" t="inlineStr">
        <is>
          <t>DS</t>
        </is>
      </c>
      <c r="C4266" s="156" t="inlineStr">
        <is>
          <t>DT-510</t>
        </is>
      </c>
      <c r="D4266" s="156" t="inlineStr">
        <is>
          <t>SKT 105S</t>
        </is>
      </c>
      <c r="E4266" s="156" t="inlineStr">
        <is>
          <t>Hauler</t>
        </is>
      </c>
      <c r="F4266" s="156" t="inlineStr"/>
      <c r="G4266" s="182" t="n">
        <v>0</v>
      </c>
      <c r="H4266" s="182" t="n">
        <v>0</v>
      </c>
      <c r="I4266" s="182" t="n">
        <v>12</v>
      </c>
      <c r="J4266" s="182" t="n">
        <v>12</v>
      </c>
      <c r="K4266" s="182" t="n">
        <v>0</v>
      </c>
      <c r="L4266" s="182" t="n">
        <v>12</v>
      </c>
      <c r="M4266" s="182" t="n">
        <v>0</v>
      </c>
      <c r="N4266" s="182" t="n">
        <v>0</v>
      </c>
      <c r="O4266" s="183" t="n">
        <v>0</v>
      </c>
      <c r="P4266" s="183" t="n">
        <v>0</v>
      </c>
      <c r="Q4266" s="184" t="n">
        <v>0</v>
      </c>
      <c r="R4266" s="184" t="n">
        <v>0</v>
      </c>
      <c r="S4266" s="183" t="n">
        <v>0</v>
      </c>
      <c r="T4266" s="183" t="n">
        <v>0</v>
      </c>
      <c r="U4266" s="182" t="n">
        <v>0</v>
      </c>
      <c r="V4266" s="182" t="n">
        <v>0</v>
      </c>
      <c r="W4266" s="182" t="n">
        <v>0</v>
      </c>
      <c r="X4266" s="182" t="n">
        <v>0</v>
      </c>
      <c r="Y4266" s="182" t="n">
        <v>0</v>
      </c>
      <c r="Z4266" s="182" t="n">
        <v>0</v>
      </c>
      <c r="AA4266" s="182" t="n">
        <v>0</v>
      </c>
      <c r="AB4266" s="182" t="n">
        <v>0</v>
      </c>
      <c r="AC4266" s="182" t="n">
        <v>0</v>
      </c>
      <c r="AD4266" s="182" t="n">
        <v>0</v>
      </c>
      <c r="AE4266" s="182" t="n">
        <v>0</v>
      </c>
      <c r="AF4266" s="182" t="n">
        <v>0</v>
      </c>
      <c r="AG4266" s="182" t="n">
        <v>0</v>
      </c>
      <c r="AH4266" s="182" t="n">
        <v>0</v>
      </c>
      <c r="AI4266" s="182" t="n">
        <v>0</v>
      </c>
      <c r="AJ4266" s="182" t="n">
        <v>0</v>
      </c>
      <c r="AK4266" s="182" t="n">
        <v>0</v>
      </c>
      <c r="AL4266" s="182" t="n">
        <v>0</v>
      </c>
      <c r="AM4266" s="182" t="n">
        <v>0</v>
      </c>
      <c r="AN4266" s="182" t="n">
        <v>0</v>
      </c>
    </row>
    <row r="4267">
      <c r="A4267" s="155" t="n">
        <v>46101</v>
      </c>
      <c r="B4267" s="156" t="inlineStr">
        <is>
          <t>DS</t>
        </is>
      </c>
      <c r="C4267" s="156" t="inlineStr">
        <is>
          <t>DT-521</t>
        </is>
      </c>
      <c r="D4267" s="156" t="inlineStr">
        <is>
          <t>SKT 105S</t>
        </is>
      </c>
      <c r="E4267" s="156" t="inlineStr">
        <is>
          <t>Hauler</t>
        </is>
      </c>
      <c r="F4267" s="156" t="inlineStr">
        <is>
          <t>Hauling OB , Spoil, Material Longsoran &amp; Coal</t>
        </is>
      </c>
      <c r="G4267" s="182" t="n">
        <v>5.75</v>
      </c>
      <c r="H4267" s="182" t="n">
        <v>0</v>
      </c>
      <c r="I4267" s="182" t="n">
        <v>0</v>
      </c>
      <c r="J4267" s="182" t="n">
        <v>0</v>
      </c>
      <c r="K4267" s="182" t="n">
        <v>6.25</v>
      </c>
      <c r="L4267" s="182" t="n">
        <v>12</v>
      </c>
      <c r="M4267" s="182" t="n">
        <v>5.12</v>
      </c>
      <c r="N4267" s="182" t="n">
        <v>0.38</v>
      </c>
      <c r="O4267" s="183" t="n">
        <v>18</v>
      </c>
      <c r="P4267" s="183" t="n">
        <v>1</v>
      </c>
      <c r="Q4267" s="184" t="n">
        <v>265.2</v>
      </c>
      <c r="R4267" s="184" t="n">
        <v>18.7</v>
      </c>
      <c r="S4267" s="183" t="n">
        <v>1</v>
      </c>
      <c r="T4267" s="183" t="n">
        <v>0</v>
      </c>
      <c r="U4267" s="182" t="n">
        <v>0</v>
      </c>
      <c r="V4267" s="182" t="n">
        <v>0</v>
      </c>
      <c r="W4267" s="182" t="n">
        <v>0</v>
      </c>
      <c r="X4267" s="182" t="n">
        <v>1.04</v>
      </c>
      <c r="Y4267" s="182" t="n">
        <v>0</v>
      </c>
      <c r="Z4267" s="182" t="n">
        <v>0</v>
      </c>
      <c r="AA4267" s="182" t="n">
        <v>0</v>
      </c>
      <c r="AB4267" s="182" t="n">
        <v>0</v>
      </c>
      <c r="AC4267" s="182" t="n">
        <v>0</v>
      </c>
      <c r="AD4267" s="182" t="n">
        <v>5.12</v>
      </c>
      <c r="AE4267" s="182" t="n">
        <v>0</v>
      </c>
      <c r="AF4267" s="182" t="n">
        <v>0</v>
      </c>
      <c r="AG4267" s="182" t="n">
        <v>0</v>
      </c>
      <c r="AH4267" s="182" t="n">
        <v>0</v>
      </c>
      <c r="AI4267" s="182" t="n">
        <v>0</v>
      </c>
      <c r="AJ4267" s="182" t="n">
        <v>0</v>
      </c>
      <c r="AK4267" s="182" t="n">
        <v>0</v>
      </c>
      <c r="AL4267" s="182" t="n">
        <v>0</v>
      </c>
      <c r="AM4267" s="182" t="n">
        <v>0.08</v>
      </c>
      <c r="AN4267" s="182" t="n">
        <v>0</v>
      </c>
    </row>
    <row r="4268">
      <c r="A4268" s="155" t="n">
        <v>46101</v>
      </c>
      <c r="B4268" s="156" t="inlineStr">
        <is>
          <t>DS</t>
        </is>
      </c>
      <c r="C4268" s="156" t="inlineStr">
        <is>
          <t>DT-516</t>
        </is>
      </c>
      <c r="D4268" s="156" t="inlineStr">
        <is>
          <t>SKT 105S</t>
        </is>
      </c>
      <c r="E4268" s="156" t="inlineStr">
        <is>
          <t>Hauler</t>
        </is>
      </c>
      <c r="F4268" s="156" t="inlineStr">
        <is>
          <t>Hauling OB , Material Longsoran &amp; Coal</t>
        </is>
      </c>
      <c r="G4268" s="182" t="n">
        <v>7.58</v>
      </c>
      <c r="H4268" s="182" t="n">
        <v>0</v>
      </c>
      <c r="I4268" s="182" t="n">
        <v>0</v>
      </c>
      <c r="J4268" s="182" t="n">
        <v>0</v>
      </c>
      <c r="K4268" s="182" t="n">
        <v>4.42</v>
      </c>
      <c r="L4268" s="182" t="n">
        <v>12</v>
      </c>
      <c r="M4268" s="182" t="n">
        <v>6.87</v>
      </c>
      <c r="N4268" s="182" t="n">
        <v>0.71</v>
      </c>
      <c r="O4268" s="183" t="n">
        <v>22</v>
      </c>
      <c r="P4268" s="183" t="n">
        <v>2</v>
      </c>
      <c r="Q4268" s="184" t="n">
        <v>345.2</v>
      </c>
      <c r="R4268" s="184" t="n">
        <v>37.4</v>
      </c>
      <c r="S4268" s="183" t="n">
        <v>0</v>
      </c>
      <c r="T4268" s="183" t="n">
        <v>0</v>
      </c>
      <c r="U4268" s="182" t="n">
        <v>0</v>
      </c>
      <c r="V4268" s="182" t="n">
        <v>0</v>
      </c>
      <c r="W4268" s="182" t="n">
        <v>0</v>
      </c>
      <c r="X4268" s="182" t="n">
        <v>0.98</v>
      </c>
      <c r="Y4268" s="182" t="n">
        <v>0</v>
      </c>
      <c r="Z4268" s="182" t="n">
        <v>0</v>
      </c>
      <c r="AA4268" s="182" t="n">
        <v>0</v>
      </c>
      <c r="AB4268" s="182" t="n">
        <v>0</v>
      </c>
      <c r="AC4268" s="182" t="n">
        <v>0</v>
      </c>
      <c r="AD4268" s="182" t="n">
        <v>3.36</v>
      </c>
      <c r="AE4268" s="182" t="n">
        <v>0</v>
      </c>
      <c r="AF4268" s="182" t="n">
        <v>0</v>
      </c>
      <c r="AG4268" s="182" t="n">
        <v>0</v>
      </c>
      <c r="AH4268" s="182" t="n">
        <v>0</v>
      </c>
      <c r="AI4268" s="182" t="n">
        <v>0</v>
      </c>
      <c r="AJ4268" s="182" t="n">
        <v>0</v>
      </c>
      <c r="AK4268" s="182" t="n">
        <v>0</v>
      </c>
      <c r="AL4268" s="182" t="n">
        <v>0</v>
      </c>
      <c r="AM4268" s="182" t="n">
        <v>0.08</v>
      </c>
      <c r="AN4268" s="182" t="n">
        <v>0</v>
      </c>
    </row>
    <row r="4269">
      <c r="A4269" s="155" t="n">
        <v>46101</v>
      </c>
      <c r="B4269" s="156" t="inlineStr">
        <is>
          <t>DS</t>
        </is>
      </c>
      <c r="C4269" s="156" t="inlineStr">
        <is>
          <t>DT-506</t>
        </is>
      </c>
      <c r="D4269" s="156" t="inlineStr">
        <is>
          <t>SKT 105S</t>
        </is>
      </c>
      <c r="E4269" s="156" t="inlineStr">
        <is>
          <t>Hauler</t>
        </is>
      </c>
      <c r="F4269" s="156" t="inlineStr">
        <is>
          <t>Hauling OB &amp; Coal</t>
        </is>
      </c>
      <c r="G4269" s="182" t="n">
        <v>9.880000000000001</v>
      </c>
      <c r="H4269" s="182" t="n">
        <v>0</v>
      </c>
      <c r="I4269" s="182" t="n">
        <v>0</v>
      </c>
      <c r="J4269" s="182" t="n">
        <v>0</v>
      </c>
      <c r="K4269" s="182" t="n">
        <v>2.12</v>
      </c>
      <c r="L4269" s="182" t="n">
        <v>12</v>
      </c>
      <c r="M4269" s="182" t="n">
        <v>0.25</v>
      </c>
      <c r="N4269" s="182" t="n">
        <v>9.630000000000001</v>
      </c>
      <c r="O4269" s="183" t="n">
        <v>1</v>
      </c>
      <c r="P4269" s="183" t="n">
        <v>19</v>
      </c>
      <c r="Q4269" s="184" t="n">
        <v>20.4</v>
      </c>
      <c r="R4269" s="184" t="n">
        <v>355.3</v>
      </c>
      <c r="S4269" s="183" t="n">
        <v>0</v>
      </c>
      <c r="T4269" s="183" t="n">
        <v>0</v>
      </c>
      <c r="U4269" s="182" t="n">
        <v>0</v>
      </c>
      <c r="V4269" s="182" t="n">
        <v>0</v>
      </c>
      <c r="W4269" s="182" t="n">
        <v>0</v>
      </c>
      <c r="X4269" s="182" t="n">
        <v>1.01</v>
      </c>
      <c r="Y4269" s="182" t="n">
        <v>0</v>
      </c>
      <c r="Z4269" s="182" t="n">
        <v>0</v>
      </c>
      <c r="AA4269" s="182" t="n">
        <v>0</v>
      </c>
      <c r="AB4269" s="182" t="n">
        <v>0</v>
      </c>
      <c r="AC4269" s="182" t="n">
        <v>0</v>
      </c>
      <c r="AD4269" s="182" t="n">
        <v>0</v>
      </c>
      <c r="AE4269" s="182" t="n">
        <v>0</v>
      </c>
      <c r="AF4269" s="182" t="n">
        <v>0</v>
      </c>
      <c r="AG4269" s="182" t="n">
        <v>0.61</v>
      </c>
      <c r="AH4269" s="182" t="n">
        <v>0.42</v>
      </c>
      <c r="AI4269" s="182" t="n">
        <v>0</v>
      </c>
      <c r="AJ4269" s="182" t="n">
        <v>0</v>
      </c>
      <c r="AK4269" s="182" t="n">
        <v>0</v>
      </c>
      <c r="AL4269" s="182" t="n">
        <v>0</v>
      </c>
      <c r="AM4269" s="182" t="n">
        <v>0.08</v>
      </c>
      <c r="AN4269" s="182" t="n">
        <v>0</v>
      </c>
    </row>
    <row r="4270">
      <c r="A4270" s="155" t="n">
        <v>46101</v>
      </c>
      <c r="B4270" s="156" t="inlineStr">
        <is>
          <t>DS</t>
        </is>
      </c>
      <c r="C4270" s="156" t="inlineStr">
        <is>
          <t>DT-502</t>
        </is>
      </c>
      <c r="D4270" s="156" t="inlineStr">
        <is>
          <t>SKT 105S</t>
        </is>
      </c>
      <c r="E4270" s="156" t="inlineStr">
        <is>
          <t>Hauler</t>
        </is>
      </c>
      <c r="F4270" s="156" t="inlineStr">
        <is>
          <t>Hauling OB, Spoil &amp; Material Longsoran</t>
        </is>
      </c>
      <c r="G4270" s="182" t="n">
        <v>5.03</v>
      </c>
      <c r="H4270" s="182" t="n">
        <v>0</v>
      </c>
      <c r="I4270" s="182" t="n">
        <v>0</v>
      </c>
      <c r="J4270" s="182" t="n">
        <v>0</v>
      </c>
      <c r="K4270" s="182" t="n">
        <v>6.97</v>
      </c>
      <c r="L4270" s="182" t="n">
        <v>12</v>
      </c>
      <c r="M4270" s="182" t="n">
        <v>4.79</v>
      </c>
      <c r="N4270" s="182" t="n">
        <v>0</v>
      </c>
      <c r="O4270" s="183" t="n">
        <v>22</v>
      </c>
      <c r="P4270" s="183" t="n">
        <v>0</v>
      </c>
      <c r="Q4270" s="184" t="n">
        <v>314.2</v>
      </c>
      <c r="R4270" s="184" t="n">
        <v>0</v>
      </c>
      <c r="S4270" s="183" t="n">
        <v>1</v>
      </c>
      <c r="T4270" s="183" t="n">
        <v>0</v>
      </c>
      <c r="U4270" s="182" t="n">
        <v>0</v>
      </c>
      <c r="V4270" s="182" t="n">
        <v>0</v>
      </c>
      <c r="W4270" s="182" t="n">
        <v>0</v>
      </c>
      <c r="X4270" s="182" t="n">
        <v>1.02</v>
      </c>
      <c r="Y4270" s="182" t="n">
        <v>0</v>
      </c>
      <c r="Z4270" s="182" t="n">
        <v>0</v>
      </c>
      <c r="AA4270" s="182" t="n">
        <v>0</v>
      </c>
      <c r="AB4270" s="182" t="n">
        <v>0</v>
      </c>
      <c r="AC4270" s="182" t="n">
        <v>0</v>
      </c>
      <c r="AD4270" s="182" t="n">
        <v>5.86</v>
      </c>
      <c r="AE4270" s="182" t="n">
        <v>0</v>
      </c>
      <c r="AF4270" s="182" t="n">
        <v>0</v>
      </c>
      <c r="AG4270" s="182" t="n">
        <v>0</v>
      </c>
      <c r="AH4270" s="182" t="n">
        <v>0</v>
      </c>
      <c r="AI4270" s="182" t="n">
        <v>0</v>
      </c>
      <c r="AJ4270" s="182" t="n">
        <v>0</v>
      </c>
      <c r="AK4270" s="182" t="n">
        <v>0</v>
      </c>
      <c r="AL4270" s="182" t="n">
        <v>0</v>
      </c>
      <c r="AM4270" s="182" t="n">
        <v>0.08</v>
      </c>
      <c r="AN4270" s="182" t="n">
        <v>0</v>
      </c>
    </row>
    <row r="4271">
      <c r="A4271" s="155" t="n">
        <v>46101</v>
      </c>
      <c r="B4271" s="156" t="inlineStr">
        <is>
          <t>DS</t>
        </is>
      </c>
      <c r="C4271" s="156" t="inlineStr">
        <is>
          <t>DT-528</t>
        </is>
      </c>
      <c r="D4271" s="156" t="inlineStr">
        <is>
          <t>SKT 105S</t>
        </is>
      </c>
      <c r="E4271" s="156" t="inlineStr">
        <is>
          <t>Hauler</t>
        </is>
      </c>
      <c r="F4271" s="156" t="inlineStr">
        <is>
          <t>Hauling OB &amp; Material Longsoran</t>
        </is>
      </c>
      <c r="G4271" s="182" t="n">
        <v>5.38</v>
      </c>
      <c r="H4271" s="182" t="n">
        <v>0</v>
      </c>
      <c r="I4271" s="182" t="n">
        <v>0</v>
      </c>
      <c r="J4271" s="182" t="n">
        <v>0</v>
      </c>
      <c r="K4271" s="182" t="n">
        <v>6.62</v>
      </c>
      <c r="L4271" s="182" t="n">
        <v>12</v>
      </c>
      <c r="M4271" s="182" t="n">
        <v>5.38</v>
      </c>
      <c r="N4271" s="182" t="n">
        <v>0</v>
      </c>
      <c r="O4271" s="183" t="n">
        <v>16</v>
      </c>
      <c r="P4271" s="183" t="n">
        <v>0</v>
      </c>
      <c r="Q4271" s="184" t="n">
        <v>240</v>
      </c>
      <c r="R4271" s="184" t="n">
        <v>0</v>
      </c>
      <c r="S4271" s="183" t="n">
        <v>0</v>
      </c>
      <c r="T4271" s="183" t="n">
        <v>0</v>
      </c>
      <c r="U4271" s="182" t="n">
        <v>0</v>
      </c>
      <c r="V4271" s="182" t="n">
        <v>0</v>
      </c>
      <c r="W4271" s="182" t="n">
        <v>0</v>
      </c>
      <c r="X4271" s="182" t="n">
        <v>0.95</v>
      </c>
      <c r="Y4271" s="182" t="n">
        <v>0</v>
      </c>
      <c r="Z4271" s="182" t="n">
        <v>0</v>
      </c>
      <c r="AA4271" s="182" t="n">
        <v>0</v>
      </c>
      <c r="AB4271" s="182" t="n">
        <v>0</v>
      </c>
      <c r="AC4271" s="182" t="n">
        <v>0</v>
      </c>
      <c r="AD4271" s="182" t="n">
        <v>5.6</v>
      </c>
      <c r="AE4271" s="182" t="n">
        <v>0</v>
      </c>
      <c r="AF4271" s="182" t="n">
        <v>0</v>
      </c>
      <c r="AG4271" s="182" t="n">
        <v>0</v>
      </c>
      <c r="AH4271" s="182" t="n">
        <v>0</v>
      </c>
      <c r="AI4271" s="182" t="n">
        <v>0</v>
      </c>
      <c r="AJ4271" s="182" t="n">
        <v>0</v>
      </c>
      <c r="AK4271" s="182" t="n">
        <v>0</v>
      </c>
      <c r="AL4271" s="182" t="n">
        <v>0</v>
      </c>
      <c r="AM4271" s="182" t="n">
        <v>0.08</v>
      </c>
      <c r="AN4271" s="182" t="n">
        <v>0</v>
      </c>
    </row>
    <row r="4272">
      <c r="A4272" s="155" t="n">
        <v>46101</v>
      </c>
      <c r="B4272" s="156" t="inlineStr">
        <is>
          <t>DS</t>
        </is>
      </c>
      <c r="C4272" s="156" t="inlineStr">
        <is>
          <t>DT-529</t>
        </is>
      </c>
      <c r="D4272" s="156" t="inlineStr">
        <is>
          <t>SKT 105S</t>
        </is>
      </c>
      <c r="E4272" s="156" t="inlineStr">
        <is>
          <t>Hauler</t>
        </is>
      </c>
      <c r="F4272" s="156" t="inlineStr">
        <is>
          <t>Hauling OB, Spoil &amp; Material Longsoran</t>
        </is>
      </c>
      <c r="G4272" s="182" t="n">
        <v>2.66</v>
      </c>
      <c r="H4272" s="182" t="n">
        <v>0</v>
      </c>
      <c r="I4272" s="182" t="n">
        <v>0</v>
      </c>
      <c r="J4272" s="182" t="n">
        <v>0</v>
      </c>
      <c r="K4272" s="182" t="n">
        <v>9.34</v>
      </c>
      <c r="L4272" s="182" t="n">
        <v>12</v>
      </c>
      <c r="M4272" s="182" t="n">
        <v>2.4</v>
      </c>
      <c r="N4272" s="182" t="n">
        <v>0</v>
      </c>
      <c r="O4272" s="183" t="n">
        <v>8</v>
      </c>
      <c r="P4272" s="183" t="n">
        <v>0</v>
      </c>
      <c r="Q4272" s="184" t="n">
        <v>154.1</v>
      </c>
      <c r="R4272" s="184" t="n">
        <v>0</v>
      </c>
      <c r="S4272" s="183" t="n">
        <v>1</v>
      </c>
      <c r="T4272" s="183" t="n">
        <v>0</v>
      </c>
      <c r="U4272" s="182" t="n">
        <v>0</v>
      </c>
      <c r="V4272" s="182" t="n">
        <v>0</v>
      </c>
      <c r="W4272" s="182" t="n">
        <v>0</v>
      </c>
      <c r="X4272" s="182" t="n">
        <v>0.98</v>
      </c>
      <c r="Y4272" s="182" t="n">
        <v>0</v>
      </c>
      <c r="Z4272" s="182" t="n">
        <v>0</v>
      </c>
      <c r="AA4272" s="182" t="n">
        <v>0</v>
      </c>
      <c r="AB4272" s="182" t="n">
        <v>0</v>
      </c>
      <c r="AC4272" s="182" t="n">
        <v>0</v>
      </c>
      <c r="AD4272" s="182" t="n">
        <v>8.279999999999999</v>
      </c>
      <c r="AE4272" s="182" t="n">
        <v>0</v>
      </c>
      <c r="AF4272" s="182" t="n">
        <v>0</v>
      </c>
      <c r="AG4272" s="182" t="n">
        <v>0</v>
      </c>
      <c r="AH4272" s="182" t="n">
        <v>0</v>
      </c>
      <c r="AI4272" s="182" t="n">
        <v>0</v>
      </c>
      <c r="AJ4272" s="182" t="n">
        <v>0</v>
      </c>
      <c r="AK4272" s="182" t="n">
        <v>0</v>
      </c>
      <c r="AL4272" s="182" t="n">
        <v>0</v>
      </c>
      <c r="AM4272" s="182" t="n">
        <v>0.08</v>
      </c>
      <c r="AN4272" s="182" t="n">
        <v>0</v>
      </c>
    </row>
    <row r="4273">
      <c r="A4273" s="155" t="n">
        <v>46101</v>
      </c>
      <c r="B4273" s="156" t="inlineStr">
        <is>
          <t>DS</t>
        </is>
      </c>
      <c r="C4273" s="156" t="inlineStr">
        <is>
          <t>DT-520</t>
        </is>
      </c>
      <c r="D4273" s="156" t="inlineStr">
        <is>
          <t>SKT 105S</t>
        </is>
      </c>
      <c r="E4273" s="156" t="inlineStr">
        <is>
          <t>Hauler</t>
        </is>
      </c>
      <c r="F4273" s="156" t="inlineStr">
        <is>
          <t>Hauling OB &amp; Material Longsoran</t>
        </is>
      </c>
      <c r="G4273" s="182" t="n">
        <v>7.74</v>
      </c>
      <c r="H4273" s="182" t="n">
        <v>0</v>
      </c>
      <c r="I4273" s="182" t="n">
        <v>3.2</v>
      </c>
      <c r="J4273" s="182" t="n">
        <v>3.2</v>
      </c>
      <c r="K4273" s="182" t="n">
        <v>1.06</v>
      </c>
      <c r="L4273" s="182" t="n">
        <v>12</v>
      </c>
      <c r="M4273" s="182" t="n">
        <v>7.74</v>
      </c>
      <c r="N4273" s="182" t="n">
        <v>0</v>
      </c>
      <c r="O4273" s="183" t="n">
        <v>27</v>
      </c>
      <c r="P4273" s="183" t="n">
        <v>0</v>
      </c>
      <c r="Q4273" s="184" t="n">
        <v>403.3</v>
      </c>
      <c r="R4273" s="184" t="n">
        <v>0</v>
      </c>
      <c r="S4273" s="183" t="n">
        <v>0</v>
      </c>
      <c r="T4273" s="183" t="n">
        <v>0</v>
      </c>
      <c r="U4273" s="182" t="n">
        <v>0</v>
      </c>
      <c r="V4273" s="182" t="n">
        <v>0</v>
      </c>
      <c r="W4273" s="182" t="n">
        <v>0</v>
      </c>
      <c r="X4273" s="182" t="n">
        <v>0.96</v>
      </c>
      <c r="Y4273" s="182" t="n">
        <v>0</v>
      </c>
      <c r="Z4273" s="182" t="n">
        <v>0</v>
      </c>
      <c r="AA4273" s="182" t="n">
        <v>0</v>
      </c>
      <c r="AB4273" s="182" t="n">
        <v>0</v>
      </c>
      <c r="AC4273" s="182" t="n">
        <v>0</v>
      </c>
      <c r="AD4273" s="182" t="n">
        <v>0</v>
      </c>
      <c r="AE4273" s="182" t="n">
        <v>0</v>
      </c>
      <c r="AF4273" s="182" t="n">
        <v>0</v>
      </c>
      <c r="AG4273" s="182" t="n">
        <v>0</v>
      </c>
      <c r="AH4273" s="182" t="n">
        <v>0.02</v>
      </c>
      <c r="AI4273" s="182" t="n">
        <v>0</v>
      </c>
      <c r="AJ4273" s="182" t="n">
        <v>0</v>
      </c>
      <c r="AK4273" s="182" t="n">
        <v>0</v>
      </c>
      <c r="AL4273" s="182" t="n">
        <v>0</v>
      </c>
      <c r="AM4273" s="182" t="n">
        <v>0.08</v>
      </c>
      <c r="AN4273" s="182" t="n">
        <v>0</v>
      </c>
    </row>
    <row r="4274">
      <c r="A4274" s="155" t="n">
        <v>46101</v>
      </c>
      <c r="B4274" s="156" t="inlineStr">
        <is>
          <t>DS</t>
        </is>
      </c>
      <c r="C4274" s="156" t="inlineStr">
        <is>
          <t>DT-511</t>
        </is>
      </c>
      <c r="D4274" s="156" t="inlineStr">
        <is>
          <t>SKT 105S</t>
        </is>
      </c>
      <c r="E4274" s="156" t="inlineStr">
        <is>
          <t>Hauler</t>
        </is>
      </c>
      <c r="F4274" s="156" t="inlineStr">
        <is>
          <t>Hauling OB &amp; Material Longsoran</t>
        </is>
      </c>
      <c r="G4274" s="182" t="n">
        <v>7.6</v>
      </c>
      <c r="H4274" s="182" t="n">
        <v>0</v>
      </c>
      <c r="I4274" s="182" t="n">
        <v>0.25</v>
      </c>
      <c r="J4274" s="182" t="n">
        <v>0.25</v>
      </c>
      <c r="K4274" s="182" t="n">
        <v>4.15</v>
      </c>
      <c r="L4274" s="182" t="n">
        <v>12</v>
      </c>
      <c r="M4274" s="182" t="n">
        <v>7.6</v>
      </c>
      <c r="N4274" s="182" t="n">
        <v>0</v>
      </c>
      <c r="O4274" s="183" t="n">
        <v>27</v>
      </c>
      <c r="P4274" s="183" t="n">
        <v>0</v>
      </c>
      <c r="Q4274" s="184" t="n">
        <v>449.8</v>
      </c>
      <c r="R4274" s="184" t="n">
        <v>0</v>
      </c>
      <c r="S4274" s="183" t="n">
        <v>0</v>
      </c>
      <c r="T4274" s="183" t="n">
        <v>0</v>
      </c>
      <c r="U4274" s="182" t="n">
        <v>0</v>
      </c>
      <c r="V4274" s="182" t="n">
        <v>0</v>
      </c>
      <c r="W4274" s="182" t="n">
        <v>0</v>
      </c>
      <c r="X4274" s="182" t="n">
        <v>1.11</v>
      </c>
      <c r="Y4274" s="182" t="n">
        <v>0</v>
      </c>
      <c r="Z4274" s="182" t="n">
        <v>0</v>
      </c>
      <c r="AA4274" s="182" t="n">
        <v>0</v>
      </c>
      <c r="AB4274" s="182" t="n">
        <v>0</v>
      </c>
      <c r="AC4274" s="182" t="n">
        <v>0</v>
      </c>
      <c r="AD4274" s="182" t="n">
        <v>2.95</v>
      </c>
      <c r="AE4274" s="182" t="n">
        <v>0</v>
      </c>
      <c r="AF4274" s="182" t="n">
        <v>0</v>
      </c>
      <c r="AG4274" s="182" t="n">
        <v>0</v>
      </c>
      <c r="AH4274" s="182" t="n">
        <v>0</v>
      </c>
      <c r="AI4274" s="182" t="n">
        <v>0</v>
      </c>
      <c r="AJ4274" s="182" t="n">
        <v>0</v>
      </c>
      <c r="AK4274" s="182" t="n">
        <v>0</v>
      </c>
      <c r="AL4274" s="182" t="n">
        <v>0</v>
      </c>
      <c r="AM4274" s="182" t="n">
        <v>0.09</v>
      </c>
      <c r="AN4274" s="182" t="n">
        <v>0</v>
      </c>
    </row>
    <row r="4275">
      <c r="A4275" s="155" t="n">
        <v>46101</v>
      </c>
      <c r="B4275" s="156" t="inlineStr">
        <is>
          <t>DS</t>
        </is>
      </c>
      <c r="C4275" s="156" t="inlineStr">
        <is>
          <t>DT-509</t>
        </is>
      </c>
      <c r="D4275" s="156" t="inlineStr">
        <is>
          <t>SKT 105S</t>
        </is>
      </c>
      <c r="E4275" s="156" t="inlineStr">
        <is>
          <t>Hauler</t>
        </is>
      </c>
      <c r="F4275" s="156" t="inlineStr"/>
      <c r="G4275" s="182" t="n">
        <v>0</v>
      </c>
      <c r="H4275" s="182" t="n">
        <v>0</v>
      </c>
      <c r="I4275" s="182" t="n">
        <v>12</v>
      </c>
      <c r="J4275" s="182" t="n">
        <v>12</v>
      </c>
      <c r="K4275" s="182" t="n">
        <v>0</v>
      </c>
      <c r="L4275" s="182" t="n">
        <v>12</v>
      </c>
      <c r="M4275" s="182" t="n">
        <v>0</v>
      </c>
      <c r="N4275" s="182" t="n">
        <v>0</v>
      </c>
      <c r="O4275" s="183" t="n">
        <v>0</v>
      </c>
      <c r="P4275" s="183" t="n">
        <v>0</v>
      </c>
      <c r="Q4275" s="184" t="n">
        <v>0</v>
      </c>
      <c r="R4275" s="184" t="n">
        <v>0</v>
      </c>
      <c r="S4275" s="183" t="n">
        <v>0</v>
      </c>
      <c r="T4275" s="183" t="n">
        <v>0</v>
      </c>
      <c r="U4275" s="182" t="n">
        <v>0</v>
      </c>
      <c r="V4275" s="182" t="n">
        <v>0</v>
      </c>
      <c r="W4275" s="182" t="n">
        <v>0</v>
      </c>
      <c r="X4275" s="182" t="n">
        <v>0</v>
      </c>
      <c r="Y4275" s="182" t="n">
        <v>0</v>
      </c>
      <c r="Z4275" s="182" t="n">
        <v>0</v>
      </c>
      <c r="AA4275" s="182" t="n">
        <v>0</v>
      </c>
      <c r="AB4275" s="182" t="n">
        <v>0</v>
      </c>
      <c r="AC4275" s="182" t="n">
        <v>0</v>
      </c>
      <c r="AD4275" s="182" t="n">
        <v>0</v>
      </c>
      <c r="AE4275" s="182" t="n">
        <v>0</v>
      </c>
      <c r="AF4275" s="182" t="n">
        <v>0</v>
      </c>
      <c r="AG4275" s="182" t="n">
        <v>0</v>
      </c>
      <c r="AH4275" s="182" t="n">
        <v>0</v>
      </c>
      <c r="AI4275" s="182" t="n">
        <v>0</v>
      </c>
      <c r="AJ4275" s="182" t="n">
        <v>0</v>
      </c>
      <c r="AK4275" s="182" t="n">
        <v>0</v>
      </c>
      <c r="AL4275" s="182" t="n">
        <v>0</v>
      </c>
      <c r="AM4275" s="182" t="n">
        <v>0</v>
      </c>
      <c r="AN4275" s="182" t="n">
        <v>0</v>
      </c>
    </row>
    <row r="4276">
      <c r="A4276" s="155" t="n">
        <v>46101</v>
      </c>
      <c r="B4276" s="156" t="inlineStr">
        <is>
          <t>DS</t>
        </is>
      </c>
      <c r="C4276" s="156" t="inlineStr">
        <is>
          <t>DT-526</t>
        </is>
      </c>
      <c r="D4276" s="156" t="inlineStr">
        <is>
          <t>SKT 105S</t>
        </is>
      </c>
      <c r="E4276" s="156" t="inlineStr">
        <is>
          <t>Hauler</t>
        </is>
      </c>
      <c r="F4276" s="156" t="inlineStr">
        <is>
          <t>Hauling OB &amp; Coal</t>
        </is>
      </c>
      <c r="G4276" s="182" t="n">
        <v>9.43</v>
      </c>
      <c r="H4276" s="182" t="n">
        <v>0</v>
      </c>
      <c r="I4276" s="182" t="n">
        <v>1.5</v>
      </c>
      <c r="J4276" s="182" t="n">
        <v>1.5</v>
      </c>
      <c r="K4276" s="182" t="n">
        <v>1.07</v>
      </c>
      <c r="L4276" s="182" t="n">
        <v>12</v>
      </c>
      <c r="M4276" s="182" t="n">
        <v>0.75</v>
      </c>
      <c r="N4276" s="182" t="n">
        <v>8.68</v>
      </c>
      <c r="O4276" s="183" t="n">
        <v>3</v>
      </c>
      <c r="P4276" s="183" t="n">
        <v>21</v>
      </c>
      <c r="Q4276" s="184" t="n">
        <v>61.2</v>
      </c>
      <c r="R4276" s="184" t="n">
        <v>392.7</v>
      </c>
      <c r="S4276" s="183" t="n">
        <v>0</v>
      </c>
      <c r="T4276" s="183" t="n">
        <v>0</v>
      </c>
      <c r="U4276" s="182" t="n">
        <v>0</v>
      </c>
      <c r="V4276" s="182" t="n">
        <v>0</v>
      </c>
      <c r="W4276" s="182" t="n">
        <v>0</v>
      </c>
      <c r="X4276" s="182" t="n">
        <v>0.97</v>
      </c>
      <c r="Y4276" s="182" t="n">
        <v>0</v>
      </c>
      <c r="Z4276" s="182" t="n">
        <v>0</v>
      </c>
      <c r="AA4276" s="182" t="n">
        <v>0</v>
      </c>
      <c r="AB4276" s="182" t="n">
        <v>0</v>
      </c>
      <c r="AC4276" s="182" t="n">
        <v>0</v>
      </c>
      <c r="AD4276" s="182" t="n">
        <v>0</v>
      </c>
      <c r="AE4276" s="182" t="n">
        <v>0</v>
      </c>
      <c r="AF4276" s="182" t="n">
        <v>0</v>
      </c>
      <c r="AG4276" s="182" t="n">
        <v>0</v>
      </c>
      <c r="AH4276" s="182" t="n">
        <v>0.02</v>
      </c>
      <c r="AI4276" s="182" t="n">
        <v>0</v>
      </c>
      <c r="AJ4276" s="182" t="n">
        <v>0</v>
      </c>
      <c r="AK4276" s="182" t="n">
        <v>0</v>
      </c>
      <c r="AL4276" s="182" t="n">
        <v>0</v>
      </c>
      <c r="AM4276" s="182" t="n">
        <v>0.08</v>
      </c>
      <c r="AN4276" s="182" t="n">
        <v>0</v>
      </c>
    </row>
    <row r="4277">
      <c r="A4277" s="155" t="n">
        <v>46101</v>
      </c>
      <c r="B4277" s="156" t="inlineStr">
        <is>
          <t>DS</t>
        </is>
      </c>
      <c r="C4277" s="156" t="inlineStr">
        <is>
          <t>DT-508</t>
        </is>
      </c>
      <c r="D4277" s="156" t="inlineStr">
        <is>
          <t>SKT 105S</t>
        </is>
      </c>
      <c r="E4277" s="156" t="inlineStr">
        <is>
          <t>Hauler</t>
        </is>
      </c>
      <c r="F4277" s="156" t="inlineStr">
        <is>
          <t>Hauling OB &amp; Coal</t>
        </is>
      </c>
      <c r="G4277" s="182" t="n">
        <v>9.550000000000001</v>
      </c>
      <c r="H4277" s="182" t="n">
        <v>0</v>
      </c>
      <c r="I4277" s="182" t="n">
        <v>0</v>
      </c>
      <c r="J4277" s="182" t="n">
        <v>0</v>
      </c>
      <c r="K4277" s="182" t="n">
        <v>2.45</v>
      </c>
      <c r="L4277" s="182" t="n">
        <v>12</v>
      </c>
      <c r="M4277" s="182" t="n">
        <v>0.49</v>
      </c>
      <c r="N4277" s="182" t="n">
        <v>9.06</v>
      </c>
      <c r="O4277" s="183" t="n">
        <v>2</v>
      </c>
      <c r="P4277" s="183" t="n">
        <v>24</v>
      </c>
      <c r="Q4277" s="184" t="n">
        <v>40.8</v>
      </c>
      <c r="R4277" s="184" t="n">
        <v>448.8</v>
      </c>
      <c r="S4277" s="183" t="n">
        <v>0</v>
      </c>
      <c r="T4277" s="183" t="n">
        <v>0</v>
      </c>
      <c r="U4277" s="182" t="n">
        <v>0</v>
      </c>
      <c r="V4277" s="182" t="n">
        <v>0</v>
      </c>
      <c r="W4277" s="182" t="n">
        <v>0</v>
      </c>
      <c r="X4277" s="182" t="n">
        <v>1.11</v>
      </c>
      <c r="Y4277" s="182" t="n">
        <v>0</v>
      </c>
      <c r="Z4277" s="182" t="n">
        <v>0</v>
      </c>
      <c r="AA4277" s="182" t="n">
        <v>0</v>
      </c>
      <c r="AB4277" s="182" t="n">
        <v>0</v>
      </c>
      <c r="AC4277" s="182" t="n">
        <v>0</v>
      </c>
      <c r="AD4277" s="182" t="n">
        <v>0</v>
      </c>
      <c r="AE4277" s="182" t="n">
        <v>0</v>
      </c>
      <c r="AF4277" s="182" t="n">
        <v>0</v>
      </c>
      <c r="AG4277" s="182" t="n">
        <v>0.67</v>
      </c>
      <c r="AH4277" s="182" t="n">
        <v>0.58</v>
      </c>
      <c r="AI4277" s="182" t="n">
        <v>0</v>
      </c>
      <c r="AJ4277" s="182" t="n">
        <v>0</v>
      </c>
      <c r="AK4277" s="182" t="n">
        <v>0</v>
      </c>
      <c r="AL4277" s="182" t="n">
        <v>0</v>
      </c>
      <c r="AM4277" s="182" t="n">
        <v>0.09</v>
      </c>
      <c r="AN4277" s="182" t="n">
        <v>0</v>
      </c>
    </row>
    <row r="4278">
      <c r="A4278" s="155" t="n">
        <v>46101</v>
      </c>
      <c r="B4278" s="156" t="inlineStr">
        <is>
          <t>DS</t>
        </is>
      </c>
      <c r="C4278" s="156" t="inlineStr">
        <is>
          <t>DT-515</t>
        </is>
      </c>
      <c r="D4278" s="156" t="inlineStr">
        <is>
          <t>SKT 105S</t>
        </is>
      </c>
      <c r="E4278" s="156" t="inlineStr">
        <is>
          <t>Hauler</t>
        </is>
      </c>
      <c r="F4278" s="156" t="inlineStr">
        <is>
          <t>Hauling OB &amp; Material Longsoran</t>
        </is>
      </c>
      <c r="G4278" s="182" t="n">
        <v>5.35</v>
      </c>
      <c r="H4278" s="182" t="n">
        <v>0</v>
      </c>
      <c r="I4278" s="182" t="n">
        <v>0.18</v>
      </c>
      <c r="J4278" s="182" t="n">
        <v>0.18</v>
      </c>
      <c r="K4278" s="182" t="n">
        <v>6.47</v>
      </c>
      <c r="L4278" s="182" t="n">
        <v>12</v>
      </c>
      <c r="M4278" s="182" t="n">
        <v>5.35</v>
      </c>
      <c r="N4278" s="182" t="n">
        <v>0</v>
      </c>
      <c r="O4278" s="183" t="n">
        <v>13</v>
      </c>
      <c r="P4278" s="183" t="n">
        <v>0</v>
      </c>
      <c r="Q4278" s="184" t="n">
        <v>161</v>
      </c>
      <c r="R4278" s="184" t="n">
        <v>0</v>
      </c>
      <c r="S4278" s="183" t="n">
        <v>0</v>
      </c>
      <c r="T4278" s="183" t="n">
        <v>0</v>
      </c>
      <c r="U4278" s="182" t="n">
        <v>0</v>
      </c>
      <c r="V4278" s="182" t="n">
        <v>0</v>
      </c>
      <c r="W4278" s="182" t="n">
        <v>0</v>
      </c>
      <c r="X4278" s="182" t="n">
        <v>0.93</v>
      </c>
      <c r="Y4278" s="182" t="n">
        <v>0</v>
      </c>
      <c r="Z4278" s="182" t="n">
        <v>0</v>
      </c>
      <c r="AA4278" s="182" t="n">
        <v>0</v>
      </c>
      <c r="AB4278" s="182" t="n">
        <v>0</v>
      </c>
      <c r="AC4278" s="182" t="n">
        <v>0</v>
      </c>
      <c r="AD4278" s="182" t="n">
        <v>5.45</v>
      </c>
      <c r="AE4278" s="182" t="n">
        <v>0</v>
      </c>
      <c r="AF4278" s="182" t="n">
        <v>0</v>
      </c>
      <c r="AG4278" s="182" t="n">
        <v>0</v>
      </c>
      <c r="AH4278" s="182" t="n">
        <v>0</v>
      </c>
      <c r="AI4278" s="182" t="n">
        <v>0</v>
      </c>
      <c r="AJ4278" s="182" t="n">
        <v>0</v>
      </c>
      <c r="AK4278" s="182" t="n">
        <v>0</v>
      </c>
      <c r="AL4278" s="182" t="n">
        <v>0</v>
      </c>
      <c r="AM4278" s="182" t="n">
        <v>0.07000000000000001</v>
      </c>
      <c r="AN4278" s="182" t="n">
        <v>0</v>
      </c>
    </row>
    <row r="4279">
      <c r="A4279" s="155" t="n">
        <v>46101</v>
      </c>
      <c r="B4279" s="156" t="inlineStr">
        <is>
          <t>DS</t>
        </is>
      </c>
      <c r="C4279" s="156" t="inlineStr">
        <is>
          <t>DT-524</t>
        </is>
      </c>
      <c r="D4279" s="156" t="inlineStr">
        <is>
          <t>SKT 105S</t>
        </is>
      </c>
      <c r="E4279" s="156" t="inlineStr">
        <is>
          <t>Hauler</t>
        </is>
      </c>
      <c r="F4279" s="156" t="inlineStr"/>
      <c r="G4279" s="182" t="n">
        <v>0</v>
      </c>
      <c r="H4279" s="182" t="n">
        <v>0</v>
      </c>
      <c r="I4279" s="182" t="n">
        <v>12</v>
      </c>
      <c r="J4279" s="182" t="n">
        <v>12</v>
      </c>
      <c r="K4279" s="182" t="n">
        <v>0</v>
      </c>
      <c r="L4279" s="182" t="n">
        <v>12</v>
      </c>
      <c r="M4279" s="182" t="n">
        <v>0</v>
      </c>
      <c r="N4279" s="182" t="n">
        <v>0</v>
      </c>
      <c r="O4279" s="183" t="n">
        <v>0</v>
      </c>
      <c r="P4279" s="183" t="n">
        <v>0</v>
      </c>
      <c r="Q4279" s="184" t="n">
        <v>0</v>
      </c>
      <c r="R4279" s="184" t="n">
        <v>0</v>
      </c>
      <c r="S4279" s="183" t="n">
        <v>0</v>
      </c>
      <c r="T4279" s="183" t="n">
        <v>0</v>
      </c>
      <c r="U4279" s="182" t="n">
        <v>0</v>
      </c>
      <c r="V4279" s="182" t="n">
        <v>0</v>
      </c>
      <c r="W4279" s="182" t="n">
        <v>0</v>
      </c>
      <c r="X4279" s="182" t="n">
        <v>0</v>
      </c>
      <c r="Y4279" s="182" t="n">
        <v>0</v>
      </c>
      <c r="Z4279" s="182" t="n">
        <v>0</v>
      </c>
      <c r="AA4279" s="182" t="n">
        <v>0</v>
      </c>
      <c r="AB4279" s="182" t="n">
        <v>0</v>
      </c>
      <c r="AC4279" s="182" t="n">
        <v>0</v>
      </c>
      <c r="AD4279" s="182" t="n">
        <v>0</v>
      </c>
      <c r="AE4279" s="182" t="n">
        <v>0</v>
      </c>
      <c r="AF4279" s="182" t="n">
        <v>0</v>
      </c>
      <c r="AG4279" s="182" t="n">
        <v>0</v>
      </c>
      <c r="AH4279" s="182" t="n">
        <v>0</v>
      </c>
      <c r="AI4279" s="182" t="n">
        <v>0</v>
      </c>
      <c r="AJ4279" s="182" t="n">
        <v>0</v>
      </c>
      <c r="AK4279" s="182" t="n">
        <v>0</v>
      </c>
      <c r="AL4279" s="182" t="n">
        <v>0</v>
      </c>
      <c r="AM4279" s="182" t="n">
        <v>0</v>
      </c>
      <c r="AN4279" s="182" t="n">
        <v>0</v>
      </c>
    </row>
    <row r="4280">
      <c r="A4280" s="155" t="n">
        <v>46101</v>
      </c>
      <c r="B4280" s="156" t="inlineStr">
        <is>
          <t>DS</t>
        </is>
      </c>
      <c r="C4280" s="156" t="inlineStr">
        <is>
          <t>DT-341</t>
        </is>
      </c>
      <c r="D4280" s="156" t="inlineStr">
        <is>
          <t>SYZ324C-8W</t>
        </is>
      </c>
      <c r="E4280" s="156" t="inlineStr">
        <is>
          <t>Hauler</t>
        </is>
      </c>
      <c r="F4280" s="156" t="inlineStr">
        <is>
          <t>Rehandling Material di Washing Plant</t>
        </is>
      </c>
      <c r="G4280" s="182" t="n">
        <v>4.43</v>
      </c>
      <c r="H4280" s="182" t="n">
        <v>0</v>
      </c>
      <c r="I4280" s="182" t="n">
        <v>1.12</v>
      </c>
      <c r="J4280" s="182" t="n">
        <v>1.12</v>
      </c>
      <c r="K4280" s="182" t="n">
        <v>6.45</v>
      </c>
      <c r="L4280" s="182" t="n">
        <v>12</v>
      </c>
      <c r="M4280" s="182" t="n">
        <v>0</v>
      </c>
      <c r="N4280" s="182" t="n">
        <v>0</v>
      </c>
      <c r="O4280" s="183" t="n">
        <v>0</v>
      </c>
      <c r="P4280" s="183" t="n">
        <v>0</v>
      </c>
      <c r="Q4280" s="184" t="n">
        <v>0</v>
      </c>
      <c r="R4280" s="184" t="n">
        <v>0</v>
      </c>
      <c r="S4280" s="183" t="n">
        <v>0</v>
      </c>
      <c r="T4280" s="183" t="n">
        <v>0</v>
      </c>
      <c r="U4280" s="182" t="n">
        <v>0</v>
      </c>
      <c r="V4280" s="182" t="n">
        <v>0</v>
      </c>
      <c r="W4280" s="182" t="n">
        <v>0</v>
      </c>
      <c r="X4280" s="182" t="n">
        <v>1.03</v>
      </c>
      <c r="Y4280" s="182" t="n">
        <v>0</v>
      </c>
      <c r="Z4280" s="182" t="n">
        <v>0</v>
      </c>
      <c r="AA4280" s="182" t="n">
        <v>0</v>
      </c>
      <c r="AB4280" s="182" t="n">
        <v>0</v>
      </c>
      <c r="AC4280" s="182" t="n">
        <v>0</v>
      </c>
      <c r="AD4280" s="182" t="n">
        <v>0</v>
      </c>
      <c r="AE4280" s="182" t="n">
        <v>0</v>
      </c>
      <c r="AF4280" s="182" t="n">
        <v>0</v>
      </c>
      <c r="AG4280" s="182" t="n">
        <v>0</v>
      </c>
      <c r="AH4280" s="182" t="n">
        <v>0</v>
      </c>
      <c r="AI4280" s="182" t="n">
        <v>0</v>
      </c>
      <c r="AJ4280" s="182" t="n">
        <v>0</v>
      </c>
      <c r="AK4280" s="182" t="n">
        <v>5.34</v>
      </c>
      <c r="AL4280" s="182" t="n">
        <v>0</v>
      </c>
      <c r="AM4280" s="182" t="n">
        <v>0.08</v>
      </c>
      <c r="AN4280" s="182" t="n">
        <v>0</v>
      </c>
    </row>
    <row r="4281">
      <c r="A4281" s="155" t="n">
        <v>46101</v>
      </c>
      <c r="B4281" s="156" t="inlineStr">
        <is>
          <t>DS</t>
        </is>
      </c>
      <c r="C4281" s="156" t="inlineStr">
        <is>
          <t>DT-342</t>
        </is>
      </c>
      <c r="D4281" s="156" t="inlineStr">
        <is>
          <t>SYZ324C-8W</t>
        </is>
      </c>
      <c r="E4281" s="156" t="inlineStr">
        <is>
          <t>Hauler</t>
        </is>
      </c>
      <c r="F4281" s="156" t="inlineStr">
        <is>
          <t>Rehandling Material di Washing Plant</t>
        </is>
      </c>
      <c r="G4281" s="182" t="n">
        <v>6.08</v>
      </c>
      <c r="H4281" s="182" t="n">
        <v>0</v>
      </c>
      <c r="I4281" s="182" t="n">
        <v>0</v>
      </c>
      <c r="J4281" s="182" t="n">
        <v>0</v>
      </c>
      <c r="K4281" s="182" t="n">
        <v>5.92</v>
      </c>
      <c r="L4281" s="182" t="n">
        <v>12</v>
      </c>
      <c r="M4281" s="182" t="n">
        <v>0</v>
      </c>
      <c r="N4281" s="182" t="n">
        <v>0</v>
      </c>
      <c r="O4281" s="183" t="n">
        <v>0</v>
      </c>
      <c r="P4281" s="183" t="n">
        <v>0</v>
      </c>
      <c r="Q4281" s="184" t="n">
        <v>0</v>
      </c>
      <c r="R4281" s="184" t="n">
        <v>0</v>
      </c>
      <c r="S4281" s="183" t="n">
        <v>0</v>
      </c>
      <c r="T4281" s="183" t="n">
        <v>0</v>
      </c>
      <c r="U4281" s="182" t="n">
        <v>0</v>
      </c>
      <c r="V4281" s="182" t="n">
        <v>0</v>
      </c>
      <c r="W4281" s="182" t="n">
        <v>0</v>
      </c>
      <c r="X4281" s="182" t="n">
        <v>0.97</v>
      </c>
      <c r="Y4281" s="182" t="n">
        <v>0</v>
      </c>
      <c r="Z4281" s="182" t="n">
        <v>0</v>
      </c>
      <c r="AA4281" s="182" t="n">
        <v>0</v>
      </c>
      <c r="AB4281" s="182" t="n">
        <v>0</v>
      </c>
      <c r="AC4281" s="182" t="n">
        <v>0</v>
      </c>
      <c r="AD4281" s="182" t="n">
        <v>0</v>
      </c>
      <c r="AE4281" s="182" t="n">
        <v>0</v>
      </c>
      <c r="AF4281" s="182" t="n">
        <v>0</v>
      </c>
      <c r="AG4281" s="182" t="n">
        <v>0</v>
      </c>
      <c r="AH4281" s="182" t="n">
        <v>0</v>
      </c>
      <c r="AI4281" s="182" t="n">
        <v>0</v>
      </c>
      <c r="AJ4281" s="182" t="n">
        <v>0</v>
      </c>
      <c r="AK4281" s="182" t="n">
        <v>4.87</v>
      </c>
      <c r="AL4281" s="182" t="n">
        <v>0</v>
      </c>
      <c r="AM4281" s="182" t="n">
        <v>0.08</v>
      </c>
      <c r="AN4281" s="182" t="n">
        <v>0</v>
      </c>
    </row>
    <row r="4282">
      <c r="A4282" s="155" t="n">
        <v>46101</v>
      </c>
      <c r="B4282" s="156" t="inlineStr">
        <is>
          <t>DS</t>
        </is>
      </c>
      <c r="C4282" s="156" t="inlineStr">
        <is>
          <t>HD-903</t>
        </is>
      </c>
      <c r="D4282" s="156" t="inlineStr">
        <is>
          <t>SRT 95C</t>
        </is>
      </c>
      <c r="E4282" s="156" t="inlineStr">
        <is>
          <t>Hauler</t>
        </is>
      </c>
      <c r="F4282" s="156" t="inlineStr"/>
      <c r="G4282" s="182" t="n">
        <v>0</v>
      </c>
      <c r="H4282" s="182" t="n">
        <v>0</v>
      </c>
      <c r="I4282" s="182" t="n">
        <v>12</v>
      </c>
      <c r="J4282" s="182" t="n">
        <v>12</v>
      </c>
      <c r="K4282" s="182" t="n">
        <v>0</v>
      </c>
      <c r="L4282" s="182" t="n">
        <v>12</v>
      </c>
      <c r="M4282" s="182" t="n">
        <v>0</v>
      </c>
      <c r="N4282" s="182" t="n">
        <v>0</v>
      </c>
      <c r="O4282" s="183" t="n">
        <v>0</v>
      </c>
      <c r="P4282" s="183" t="n">
        <v>0</v>
      </c>
      <c r="Q4282" s="184" t="n">
        <v>0</v>
      </c>
      <c r="R4282" s="184" t="n">
        <v>0</v>
      </c>
      <c r="S4282" s="183" t="n">
        <v>0</v>
      </c>
      <c r="T4282" s="183" t="n">
        <v>0</v>
      </c>
      <c r="U4282" s="182" t="n">
        <v>0</v>
      </c>
      <c r="V4282" s="182" t="n">
        <v>0</v>
      </c>
      <c r="W4282" s="182" t="n">
        <v>0</v>
      </c>
      <c r="X4282" s="182" t="n">
        <v>0</v>
      </c>
      <c r="Y4282" s="182" t="n">
        <v>0</v>
      </c>
      <c r="Z4282" s="182" t="n">
        <v>0</v>
      </c>
      <c r="AA4282" s="182" t="n">
        <v>0</v>
      </c>
      <c r="AB4282" s="182" t="n">
        <v>0</v>
      </c>
      <c r="AC4282" s="182" t="n">
        <v>0</v>
      </c>
      <c r="AD4282" s="182" t="n">
        <v>0</v>
      </c>
      <c r="AE4282" s="182" t="n">
        <v>0</v>
      </c>
      <c r="AF4282" s="182" t="n">
        <v>0</v>
      </c>
      <c r="AG4282" s="182" t="n">
        <v>0</v>
      </c>
      <c r="AH4282" s="182" t="n">
        <v>0</v>
      </c>
      <c r="AI4282" s="182" t="n">
        <v>0</v>
      </c>
      <c r="AJ4282" s="182" t="n">
        <v>0</v>
      </c>
      <c r="AK4282" s="182" t="n">
        <v>0</v>
      </c>
      <c r="AL4282" s="182" t="n">
        <v>0</v>
      </c>
      <c r="AM4282" s="182" t="n">
        <v>0</v>
      </c>
      <c r="AN4282" s="182" t="n">
        <v>0</v>
      </c>
    </row>
    <row r="4283">
      <c r="A4283" s="155" t="n">
        <v>46101</v>
      </c>
      <c r="B4283" s="156" t="inlineStr">
        <is>
          <t>DS</t>
        </is>
      </c>
      <c r="C4283" s="156" t="inlineStr">
        <is>
          <t>HD-905</t>
        </is>
      </c>
      <c r="D4283" s="156" t="inlineStr">
        <is>
          <t>SRT 95C</t>
        </is>
      </c>
      <c r="E4283" s="156" t="inlineStr">
        <is>
          <t>Hauler</t>
        </is>
      </c>
      <c r="F4283" s="156" t="inlineStr">
        <is>
          <t>Hauling OB</t>
        </is>
      </c>
      <c r="G4283" s="182" t="n">
        <v>1.27</v>
      </c>
      <c r="H4283" s="182" t="n">
        <v>0</v>
      </c>
      <c r="I4283" s="182" t="n">
        <v>0</v>
      </c>
      <c r="J4283" s="182" t="n">
        <v>0</v>
      </c>
      <c r="K4283" s="182" t="n">
        <v>10.73</v>
      </c>
      <c r="L4283" s="182" t="n">
        <v>12</v>
      </c>
      <c r="M4283" s="182" t="n">
        <v>1.27</v>
      </c>
      <c r="N4283" s="182" t="n">
        <v>0</v>
      </c>
      <c r="O4283" s="183" t="n">
        <v>6</v>
      </c>
      <c r="P4283" s="183" t="n">
        <v>0</v>
      </c>
      <c r="Q4283" s="184" t="n">
        <v>214.2</v>
      </c>
      <c r="R4283" s="184" t="n">
        <v>0</v>
      </c>
      <c r="S4283" s="183" t="n">
        <v>0</v>
      </c>
      <c r="T4283" s="183" t="n">
        <v>0</v>
      </c>
      <c r="U4283" s="182" t="n">
        <v>0</v>
      </c>
      <c r="V4283" s="182" t="n">
        <v>0</v>
      </c>
      <c r="W4283" s="182" t="n">
        <v>0</v>
      </c>
      <c r="X4283" s="182" t="n">
        <v>1.03</v>
      </c>
      <c r="Y4283" s="182" t="n">
        <v>0</v>
      </c>
      <c r="Z4283" s="182" t="n">
        <v>0</v>
      </c>
      <c r="AA4283" s="182" t="n">
        <v>0</v>
      </c>
      <c r="AB4283" s="182" t="n">
        <v>0</v>
      </c>
      <c r="AC4283" s="182" t="n">
        <v>0</v>
      </c>
      <c r="AD4283" s="182" t="n">
        <v>0</v>
      </c>
      <c r="AE4283" s="182" t="n">
        <v>0</v>
      </c>
      <c r="AF4283" s="182" t="n">
        <v>0</v>
      </c>
      <c r="AG4283" s="182" t="n">
        <v>0</v>
      </c>
      <c r="AH4283" s="182" t="n">
        <v>0</v>
      </c>
      <c r="AI4283" s="182" t="n">
        <v>9.619999999999999</v>
      </c>
      <c r="AJ4283" s="182" t="n">
        <v>0</v>
      </c>
      <c r="AK4283" s="182" t="n">
        <v>0</v>
      </c>
      <c r="AL4283" s="182" t="n">
        <v>0</v>
      </c>
      <c r="AM4283" s="182" t="n">
        <v>0.08</v>
      </c>
      <c r="AN4283" s="182" t="n">
        <v>0</v>
      </c>
    </row>
    <row r="4284">
      <c r="A4284" s="155" t="n">
        <v>46101</v>
      </c>
      <c r="B4284" s="156" t="inlineStr">
        <is>
          <t>DS</t>
        </is>
      </c>
      <c r="C4284" s="156" t="inlineStr">
        <is>
          <t>HD-901</t>
        </is>
      </c>
      <c r="D4284" s="156" t="inlineStr">
        <is>
          <t>SRT 95C</t>
        </is>
      </c>
      <c r="E4284" s="156" t="inlineStr">
        <is>
          <t>Hauler</t>
        </is>
      </c>
      <c r="F4284" s="156" t="inlineStr"/>
      <c r="G4284" s="182" t="n">
        <v>0</v>
      </c>
      <c r="H4284" s="182" t="n">
        <v>0</v>
      </c>
      <c r="I4284" s="182" t="n">
        <v>0</v>
      </c>
      <c r="J4284" s="182" t="n">
        <v>0</v>
      </c>
      <c r="K4284" s="182" t="n">
        <v>12</v>
      </c>
      <c r="L4284" s="182" t="n">
        <v>12</v>
      </c>
      <c r="M4284" s="182" t="n">
        <v>0</v>
      </c>
      <c r="N4284" s="182" t="n">
        <v>0</v>
      </c>
      <c r="O4284" s="183" t="n">
        <v>0</v>
      </c>
      <c r="P4284" s="183" t="n">
        <v>0</v>
      </c>
      <c r="Q4284" s="184" t="n">
        <v>0</v>
      </c>
      <c r="R4284" s="184" t="n">
        <v>0</v>
      </c>
      <c r="S4284" s="183" t="n">
        <v>0</v>
      </c>
      <c r="T4284" s="183" t="n">
        <v>0</v>
      </c>
      <c r="U4284" s="182" t="n">
        <v>0</v>
      </c>
      <c r="V4284" s="182" t="n">
        <v>0</v>
      </c>
      <c r="W4284" s="182" t="n">
        <v>0</v>
      </c>
      <c r="X4284" s="182" t="n">
        <v>1</v>
      </c>
      <c r="Y4284" s="182" t="n">
        <v>0</v>
      </c>
      <c r="Z4284" s="182" t="n">
        <v>0</v>
      </c>
      <c r="AA4284" s="182" t="n">
        <v>0</v>
      </c>
      <c r="AB4284" s="182" t="n">
        <v>0</v>
      </c>
      <c r="AC4284" s="182" t="n">
        <v>0</v>
      </c>
      <c r="AD4284" s="182" t="n">
        <v>0</v>
      </c>
      <c r="AE4284" s="182" t="n">
        <v>0</v>
      </c>
      <c r="AF4284" s="182" t="n">
        <v>0</v>
      </c>
      <c r="AG4284" s="182" t="n">
        <v>0</v>
      </c>
      <c r="AH4284" s="182" t="n">
        <v>0</v>
      </c>
      <c r="AI4284" s="182" t="n">
        <v>10.92</v>
      </c>
      <c r="AJ4284" s="182" t="n">
        <v>0</v>
      </c>
      <c r="AK4284" s="182" t="n">
        <v>0</v>
      </c>
      <c r="AL4284" s="182" t="n">
        <v>0</v>
      </c>
      <c r="AM4284" s="182" t="n">
        <v>0.08</v>
      </c>
      <c r="AN4284" s="182" t="n">
        <v>0</v>
      </c>
    </row>
    <row r="4285">
      <c r="A4285" s="155" t="n">
        <v>46101</v>
      </c>
      <c r="B4285" s="156" t="inlineStr">
        <is>
          <t>DS</t>
        </is>
      </c>
      <c r="C4285" s="156" t="inlineStr">
        <is>
          <t>HD-904</t>
        </is>
      </c>
      <c r="D4285" s="156" t="inlineStr">
        <is>
          <t>SRT 95C</t>
        </is>
      </c>
      <c r="E4285" s="156" t="inlineStr">
        <is>
          <t>Hauler</t>
        </is>
      </c>
      <c r="F4285" s="156" t="inlineStr">
        <is>
          <t>Hauling OB</t>
        </is>
      </c>
      <c r="G4285" s="182" t="n">
        <v>1.89</v>
      </c>
      <c r="H4285" s="182" t="n">
        <v>0</v>
      </c>
      <c r="I4285" s="182" t="n">
        <v>0</v>
      </c>
      <c r="J4285" s="182" t="n">
        <v>0</v>
      </c>
      <c r="K4285" s="182" t="n">
        <v>10.11</v>
      </c>
      <c r="L4285" s="182" t="n">
        <v>12</v>
      </c>
      <c r="M4285" s="182" t="n">
        <v>1.89</v>
      </c>
      <c r="N4285" s="182" t="n">
        <v>0</v>
      </c>
      <c r="O4285" s="183" t="n">
        <v>6</v>
      </c>
      <c r="P4285" s="183" t="n">
        <v>0</v>
      </c>
      <c r="Q4285" s="184" t="n">
        <v>214.2</v>
      </c>
      <c r="R4285" s="184" t="n">
        <v>0</v>
      </c>
      <c r="S4285" s="183" t="n">
        <v>0</v>
      </c>
      <c r="T4285" s="183" t="n">
        <v>0</v>
      </c>
      <c r="U4285" s="182" t="n">
        <v>0</v>
      </c>
      <c r="V4285" s="182" t="n">
        <v>0</v>
      </c>
      <c r="W4285" s="182" t="n">
        <v>0</v>
      </c>
      <c r="X4285" s="182" t="n">
        <v>0.97</v>
      </c>
      <c r="Y4285" s="182" t="n">
        <v>0</v>
      </c>
      <c r="Z4285" s="182" t="n">
        <v>0</v>
      </c>
      <c r="AA4285" s="182" t="n">
        <v>0</v>
      </c>
      <c r="AB4285" s="182" t="n">
        <v>0</v>
      </c>
      <c r="AC4285" s="182" t="n">
        <v>0</v>
      </c>
      <c r="AD4285" s="182" t="n">
        <v>0</v>
      </c>
      <c r="AE4285" s="182" t="n">
        <v>0</v>
      </c>
      <c r="AF4285" s="182" t="n">
        <v>0</v>
      </c>
      <c r="AG4285" s="182" t="n">
        <v>0</v>
      </c>
      <c r="AH4285" s="182" t="n">
        <v>0</v>
      </c>
      <c r="AI4285" s="182" t="n">
        <v>9.06</v>
      </c>
      <c r="AJ4285" s="182" t="n">
        <v>0</v>
      </c>
      <c r="AK4285" s="182" t="n">
        <v>0</v>
      </c>
      <c r="AL4285" s="182" t="n">
        <v>0</v>
      </c>
      <c r="AM4285" s="182" t="n">
        <v>0.08</v>
      </c>
      <c r="AN4285" s="182" t="n">
        <v>0</v>
      </c>
    </row>
    <row r="4286">
      <c r="A4286" s="155" t="n">
        <v>46101</v>
      </c>
      <c r="B4286" s="156" t="inlineStr">
        <is>
          <t>DS</t>
        </is>
      </c>
      <c r="C4286" s="156" t="inlineStr">
        <is>
          <t>HD-902</t>
        </is>
      </c>
      <c r="D4286" s="156" t="inlineStr">
        <is>
          <t>SRT 95C</t>
        </is>
      </c>
      <c r="E4286" s="156" t="inlineStr">
        <is>
          <t>Hauler</t>
        </is>
      </c>
      <c r="F4286" s="156" t="inlineStr">
        <is>
          <t>Hauling OB</t>
        </is>
      </c>
      <c r="G4286" s="182" t="n">
        <v>1.49</v>
      </c>
      <c r="H4286" s="182" t="n">
        <v>0</v>
      </c>
      <c r="I4286" s="182" t="n">
        <v>0</v>
      </c>
      <c r="J4286" s="182" t="n">
        <v>0</v>
      </c>
      <c r="K4286" s="182" t="n">
        <v>10.51</v>
      </c>
      <c r="L4286" s="182" t="n">
        <v>12</v>
      </c>
      <c r="M4286" s="182" t="n">
        <v>1.49</v>
      </c>
      <c r="N4286" s="182" t="n">
        <v>0</v>
      </c>
      <c r="O4286" s="183" t="n">
        <v>6</v>
      </c>
      <c r="P4286" s="183" t="n">
        <v>0</v>
      </c>
      <c r="Q4286" s="184" t="n">
        <v>214.2</v>
      </c>
      <c r="R4286" s="184" t="n">
        <v>0</v>
      </c>
      <c r="S4286" s="183" t="n">
        <v>0</v>
      </c>
      <c r="T4286" s="183" t="n">
        <v>0</v>
      </c>
      <c r="U4286" s="182" t="n">
        <v>0</v>
      </c>
      <c r="V4286" s="182" t="n">
        <v>0</v>
      </c>
      <c r="W4286" s="182" t="n">
        <v>0</v>
      </c>
      <c r="X4286" s="182" t="n">
        <v>1.01</v>
      </c>
      <c r="Y4286" s="182" t="n">
        <v>0</v>
      </c>
      <c r="Z4286" s="182" t="n">
        <v>0</v>
      </c>
      <c r="AA4286" s="182" t="n">
        <v>0</v>
      </c>
      <c r="AB4286" s="182" t="n">
        <v>0</v>
      </c>
      <c r="AC4286" s="182" t="n">
        <v>0</v>
      </c>
      <c r="AD4286" s="182" t="n">
        <v>0</v>
      </c>
      <c r="AE4286" s="182" t="n">
        <v>0</v>
      </c>
      <c r="AF4286" s="182" t="n">
        <v>0</v>
      </c>
      <c r="AG4286" s="182" t="n">
        <v>0</v>
      </c>
      <c r="AH4286" s="182" t="n">
        <v>0</v>
      </c>
      <c r="AI4286" s="182" t="n">
        <v>9.42</v>
      </c>
      <c r="AJ4286" s="182" t="n">
        <v>0</v>
      </c>
      <c r="AK4286" s="182" t="n">
        <v>0</v>
      </c>
      <c r="AL4286" s="182" t="n">
        <v>0</v>
      </c>
      <c r="AM4286" s="182" t="n">
        <v>0.08</v>
      </c>
      <c r="AN4286" s="182" t="n">
        <v>0</v>
      </c>
    </row>
    <row r="4287">
      <c r="A4287" s="155" t="n">
        <v>46101</v>
      </c>
      <c r="B4287" s="156" t="inlineStr">
        <is>
          <t>DS</t>
        </is>
      </c>
      <c r="C4287" s="156" t="inlineStr">
        <is>
          <t>WL-025</t>
        </is>
      </c>
      <c r="D4287" s="156" t="inlineStr">
        <is>
          <t>SANY - Loader</t>
        </is>
      </c>
      <c r="E4287" s="156" t="inlineStr">
        <is>
          <t>Loader</t>
        </is>
      </c>
      <c r="F4287" s="156" t="inlineStr">
        <is>
          <t>Timesheet Kosong</t>
        </is>
      </c>
      <c r="G4287" s="182" t="n">
        <v>0.85</v>
      </c>
      <c r="H4287" s="182" t="n">
        <v>0</v>
      </c>
      <c r="I4287" s="182" t="n">
        <v>2</v>
      </c>
      <c r="J4287" s="182" t="n">
        <v>2</v>
      </c>
      <c r="K4287" s="182" t="n">
        <v>9.15</v>
      </c>
      <c r="L4287" s="182" t="n">
        <v>12</v>
      </c>
      <c r="M4287" s="182" t="n">
        <v>0</v>
      </c>
      <c r="N4287" s="182" t="n">
        <v>0</v>
      </c>
      <c r="O4287" s="183" t="n">
        <v>0</v>
      </c>
      <c r="P4287" s="183" t="n">
        <v>0</v>
      </c>
      <c r="Q4287" s="184" t="n">
        <v>0</v>
      </c>
      <c r="R4287" s="184" t="n">
        <v>0</v>
      </c>
      <c r="S4287" s="183" t="n">
        <v>0</v>
      </c>
      <c r="T4287" s="183" t="n">
        <v>0</v>
      </c>
      <c r="U4287" s="182" t="n">
        <v>0</v>
      </c>
      <c r="V4287" s="182" t="n">
        <v>0</v>
      </c>
      <c r="W4287" s="182" t="n">
        <v>0</v>
      </c>
      <c r="X4287" s="182" t="n">
        <v>0.98</v>
      </c>
      <c r="Y4287" s="182" t="n">
        <v>0</v>
      </c>
      <c r="Z4287" s="182" t="n">
        <v>0</v>
      </c>
      <c r="AA4287" s="182" t="n">
        <v>0</v>
      </c>
      <c r="AB4287" s="182" t="n">
        <v>0</v>
      </c>
      <c r="AC4287" s="182" t="n">
        <v>0</v>
      </c>
      <c r="AD4287" s="182" t="n">
        <v>0</v>
      </c>
      <c r="AE4287" s="182" t="n">
        <v>0</v>
      </c>
      <c r="AF4287" s="182" t="n">
        <v>0</v>
      </c>
      <c r="AG4287" s="182" t="n">
        <v>0</v>
      </c>
      <c r="AH4287" s="182" t="n">
        <v>0</v>
      </c>
      <c r="AI4287" s="182" t="n">
        <v>0</v>
      </c>
      <c r="AJ4287" s="182" t="n">
        <v>0</v>
      </c>
      <c r="AK4287" s="182" t="n">
        <v>8.09</v>
      </c>
      <c r="AL4287" s="182" t="n">
        <v>0</v>
      </c>
      <c r="AM4287" s="182" t="n">
        <v>0.08</v>
      </c>
      <c r="AN4287" s="182" t="n">
        <v>0</v>
      </c>
    </row>
    <row r="4288">
      <c r="A4288" s="155" t="n">
        <v>46101</v>
      </c>
      <c r="B4288" s="156" t="inlineStr">
        <is>
          <t>DS</t>
        </is>
      </c>
      <c r="C4288" s="156" t="inlineStr">
        <is>
          <t>WL-023</t>
        </is>
      </c>
      <c r="D4288" s="156" t="inlineStr">
        <is>
          <t>SANY - Loader</t>
        </is>
      </c>
      <c r="E4288" s="156" t="inlineStr">
        <is>
          <t>Loader</t>
        </is>
      </c>
      <c r="F4288" s="156" t="inlineStr">
        <is>
          <t>Support Jetty</t>
        </is>
      </c>
      <c r="G4288" s="182" t="n">
        <v>3.52</v>
      </c>
      <c r="H4288" s="182" t="n">
        <v>0</v>
      </c>
      <c r="I4288" s="182" t="n">
        <v>0</v>
      </c>
      <c r="J4288" s="182" t="n">
        <v>0</v>
      </c>
      <c r="K4288" s="182" t="n">
        <v>8.48</v>
      </c>
      <c r="L4288" s="182" t="n">
        <v>12</v>
      </c>
      <c r="M4288" s="182" t="n">
        <v>0</v>
      </c>
      <c r="N4288" s="182" t="n">
        <v>0</v>
      </c>
      <c r="O4288" s="183" t="n">
        <v>0</v>
      </c>
      <c r="P4288" s="183" t="n">
        <v>0</v>
      </c>
      <c r="Q4288" s="184" t="n">
        <v>0</v>
      </c>
      <c r="R4288" s="184" t="n">
        <v>0</v>
      </c>
      <c r="S4288" s="183" t="n">
        <v>0</v>
      </c>
      <c r="T4288" s="183" t="n">
        <v>0</v>
      </c>
      <c r="U4288" s="182" t="n">
        <v>0</v>
      </c>
      <c r="V4288" s="182" t="n">
        <v>0</v>
      </c>
      <c r="W4288" s="182" t="n">
        <v>0</v>
      </c>
      <c r="X4288" s="182" t="n">
        <v>0.97</v>
      </c>
      <c r="Y4288" s="182" t="n">
        <v>0</v>
      </c>
      <c r="Z4288" s="182" t="n">
        <v>0</v>
      </c>
      <c r="AA4288" s="182" t="n">
        <v>0</v>
      </c>
      <c r="AB4288" s="182" t="n">
        <v>0</v>
      </c>
      <c r="AC4288" s="182" t="n">
        <v>0</v>
      </c>
      <c r="AD4288" s="182" t="n">
        <v>0</v>
      </c>
      <c r="AE4288" s="182" t="n">
        <v>0</v>
      </c>
      <c r="AF4288" s="182" t="n">
        <v>0</v>
      </c>
      <c r="AG4288" s="182" t="n">
        <v>0</v>
      </c>
      <c r="AH4288" s="182" t="n">
        <v>0</v>
      </c>
      <c r="AI4288" s="182" t="n">
        <v>0</v>
      </c>
      <c r="AJ4288" s="182" t="n">
        <v>0</v>
      </c>
      <c r="AK4288" s="182" t="n">
        <v>7.43</v>
      </c>
      <c r="AL4288" s="182" t="n">
        <v>0</v>
      </c>
      <c r="AM4288" s="182" t="n">
        <v>0.08</v>
      </c>
      <c r="AN4288" s="182" t="n">
        <v>0</v>
      </c>
    </row>
    <row r="4289">
      <c r="A4289" s="155" t="n">
        <v>46101</v>
      </c>
      <c r="B4289" s="156" t="inlineStr">
        <is>
          <t>DS</t>
        </is>
      </c>
      <c r="C4289" s="156" t="inlineStr">
        <is>
          <t>WL-021</t>
        </is>
      </c>
      <c r="D4289" s="156" t="inlineStr">
        <is>
          <t>SANY - Loader</t>
        </is>
      </c>
      <c r="E4289" s="156" t="inlineStr">
        <is>
          <t>Loader</t>
        </is>
      </c>
      <c r="F4289" s="156" t="inlineStr"/>
      <c r="G4289" s="182" t="n">
        <v>0</v>
      </c>
      <c r="H4289" s="182" t="n">
        <v>0</v>
      </c>
      <c r="I4289" s="182" t="n">
        <v>12</v>
      </c>
      <c r="J4289" s="182" t="n">
        <v>12</v>
      </c>
      <c r="K4289" s="182" t="n">
        <v>0</v>
      </c>
      <c r="L4289" s="182" t="n">
        <v>12</v>
      </c>
      <c r="M4289" s="182" t="n">
        <v>0</v>
      </c>
      <c r="N4289" s="182" t="n">
        <v>0</v>
      </c>
      <c r="O4289" s="183" t="n">
        <v>0</v>
      </c>
      <c r="P4289" s="183" t="n">
        <v>0</v>
      </c>
      <c r="Q4289" s="184" t="n">
        <v>0</v>
      </c>
      <c r="R4289" s="184" t="n">
        <v>0</v>
      </c>
      <c r="S4289" s="183" t="n">
        <v>0</v>
      </c>
      <c r="T4289" s="183" t="n">
        <v>0</v>
      </c>
      <c r="U4289" s="182" t="n">
        <v>0</v>
      </c>
      <c r="V4289" s="182" t="n">
        <v>0</v>
      </c>
      <c r="W4289" s="182" t="n">
        <v>0</v>
      </c>
      <c r="X4289" s="182" t="n">
        <v>0</v>
      </c>
      <c r="Y4289" s="182" t="n">
        <v>0</v>
      </c>
      <c r="Z4289" s="182" t="n">
        <v>0</v>
      </c>
      <c r="AA4289" s="182" t="n">
        <v>0</v>
      </c>
      <c r="AB4289" s="182" t="n">
        <v>0</v>
      </c>
      <c r="AC4289" s="182" t="n">
        <v>0</v>
      </c>
      <c r="AD4289" s="182" t="n">
        <v>0</v>
      </c>
      <c r="AE4289" s="182" t="n">
        <v>0</v>
      </c>
      <c r="AF4289" s="182" t="n">
        <v>0</v>
      </c>
      <c r="AG4289" s="182" t="n">
        <v>0</v>
      </c>
      <c r="AH4289" s="182" t="n">
        <v>0</v>
      </c>
      <c r="AI4289" s="182" t="n">
        <v>0</v>
      </c>
      <c r="AJ4289" s="182" t="n">
        <v>0</v>
      </c>
      <c r="AK4289" s="182" t="n">
        <v>0</v>
      </c>
      <c r="AL4289" s="182" t="n">
        <v>0</v>
      </c>
      <c r="AM4289" s="182" t="n">
        <v>0</v>
      </c>
      <c r="AN4289" s="182" t="n">
        <v>0</v>
      </c>
    </row>
    <row r="4290">
      <c r="A4290" s="155" t="n">
        <v>46101</v>
      </c>
      <c r="B4290" s="156" t="inlineStr">
        <is>
          <t>DS</t>
        </is>
      </c>
      <c r="C4290" s="156" t="inlineStr">
        <is>
          <t>WL-022</t>
        </is>
      </c>
      <c r="D4290" s="156" t="inlineStr">
        <is>
          <t>SANY - Loader</t>
        </is>
      </c>
      <c r="E4290" s="156" t="inlineStr">
        <is>
          <t>Loader</t>
        </is>
      </c>
      <c r="F4290" s="156" t="inlineStr">
        <is>
          <t>Support ROM</t>
        </is>
      </c>
      <c r="G4290" s="182" t="n">
        <v>9.73</v>
      </c>
      <c r="H4290" s="182" t="n">
        <v>1.72</v>
      </c>
      <c r="I4290" s="182" t="n">
        <v>0</v>
      </c>
      <c r="J4290" s="182" t="n">
        <v>1.72</v>
      </c>
      <c r="K4290" s="182" t="n">
        <v>0.55</v>
      </c>
      <c r="L4290" s="182" t="n">
        <v>12</v>
      </c>
      <c r="M4290" s="182" t="n">
        <v>0</v>
      </c>
      <c r="N4290" s="182" t="n">
        <v>0</v>
      </c>
      <c r="O4290" s="183" t="n">
        <v>0</v>
      </c>
      <c r="P4290" s="183" t="n">
        <v>0</v>
      </c>
      <c r="Q4290" s="184" t="n">
        <v>0</v>
      </c>
      <c r="R4290" s="184" t="n">
        <v>0</v>
      </c>
      <c r="S4290" s="183" t="n">
        <v>0</v>
      </c>
      <c r="T4290" s="183" t="n">
        <v>0</v>
      </c>
      <c r="U4290" s="182" t="n">
        <v>0</v>
      </c>
      <c r="V4290" s="182" t="n">
        <v>0</v>
      </c>
      <c r="W4290" s="182" t="n">
        <v>0</v>
      </c>
      <c r="X4290" s="182" t="n">
        <v>0.43</v>
      </c>
      <c r="Y4290" s="182" t="n">
        <v>0</v>
      </c>
      <c r="Z4290" s="182" t="n">
        <v>0</v>
      </c>
      <c r="AA4290" s="182" t="n">
        <v>0</v>
      </c>
      <c r="AB4290" s="182" t="n">
        <v>0</v>
      </c>
      <c r="AC4290" s="182" t="n">
        <v>0</v>
      </c>
      <c r="AD4290" s="182" t="n">
        <v>0</v>
      </c>
      <c r="AE4290" s="182" t="n">
        <v>0</v>
      </c>
      <c r="AF4290" s="182" t="n">
        <v>0</v>
      </c>
      <c r="AG4290" s="182" t="n">
        <v>0</v>
      </c>
      <c r="AH4290" s="182" t="n">
        <v>0</v>
      </c>
      <c r="AI4290" s="182" t="n">
        <v>0</v>
      </c>
      <c r="AJ4290" s="182" t="n">
        <v>0</v>
      </c>
      <c r="AK4290" s="182" t="n">
        <v>0</v>
      </c>
      <c r="AL4290" s="182" t="n">
        <v>0</v>
      </c>
      <c r="AM4290" s="182" t="n">
        <v>0.12</v>
      </c>
      <c r="AN4290" s="182" t="n">
        <v>0</v>
      </c>
    </row>
    <row r="4291">
      <c r="A4291" s="155" t="n">
        <v>46101</v>
      </c>
      <c r="B4291" s="156" t="inlineStr">
        <is>
          <t>DS</t>
        </is>
      </c>
      <c r="C4291" s="156" t="inlineStr">
        <is>
          <t>WL-024</t>
        </is>
      </c>
      <c r="D4291" s="156" t="inlineStr">
        <is>
          <t>SANY - Loader</t>
        </is>
      </c>
      <c r="E4291" s="156" t="inlineStr">
        <is>
          <t>Loader</t>
        </is>
      </c>
      <c r="F4291" s="156" t="inlineStr">
        <is>
          <t>Support Washing Plant</t>
        </is>
      </c>
      <c r="G4291" s="182" t="n">
        <v>11.09</v>
      </c>
      <c r="H4291" s="182" t="n">
        <v>0</v>
      </c>
      <c r="I4291" s="182" t="n">
        <v>0</v>
      </c>
      <c r="J4291" s="182" t="n">
        <v>0</v>
      </c>
      <c r="K4291" s="182" t="n">
        <v>0.91</v>
      </c>
      <c r="L4291" s="182" t="n">
        <v>12</v>
      </c>
      <c r="M4291" s="182" t="n">
        <v>0</v>
      </c>
      <c r="N4291" s="182" t="n">
        <v>0</v>
      </c>
      <c r="O4291" s="183" t="n">
        <v>0</v>
      </c>
      <c r="P4291" s="183" t="n">
        <v>0</v>
      </c>
      <c r="Q4291" s="184" t="n">
        <v>0</v>
      </c>
      <c r="R4291" s="184" t="n">
        <v>0</v>
      </c>
      <c r="S4291" s="183" t="n">
        <v>0</v>
      </c>
      <c r="T4291" s="183" t="n">
        <v>0</v>
      </c>
      <c r="U4291" s="182" t="n">
        <v>0</v>
      </c>
      <c r="V4291" s="182" t="n">
        <v>0</v>
      </c>
      <c r="W4291" s="182" t="n">
        <v>0</v>
      </c>
      <c r="X4291" s="182" t="n">
        <v>0.83</v>
      </c>
      <c r="Y4291" s="182" t="n">
        <v>0</v>
      </c>
      <c r="Z4291" s="182" t="n">
        <v>0</v>
      </c>
      <c r="AA4291" s="182" t="n">
        <v>0</v>
      </c>
      <c r="AB4291" s="182" t="n">
        <v>0</v>
      </c>
      <c r="AC4291" s="182" t="n">
        <v>0</v>
      </c>
      <c r="AD4291" s="182" t="n">
        <v>0</v>
      </c>
      <c r="AE4291" s="182" t="n">
        <v>0</v>
      </c>
      <c r="AF4291" s="182" t="n">
        <v>0</v>
      </c>
      <c r="AG4291" s="182" t="n">
        <v>0</v>
      </c>
      <c r="AH4291" s="182" t="n">
        <v>0.02</v>
      </c>
      <c r="AI4291" s="182" t="n">
        <v>0</v>
      </c>
      <c r="AJ4291" s="182" t="n">
        <v>0</v>
      </c>
      <c r="AK4291" s="182" t="n">
        <v>0</v>
      </c>
      <c r="AL4291" s="182" t="n">
        <v>0</v>
      </c>
      <c r="AM4291" s="182" t="n">
        <v>0.07000000000000001</v>
      </c>
      <c r="AN4291" s="182" t="n">
        <v>0</v>
      </c>
    </row>
    <row r="4292">
      <c r="A4292" s="155" t="n">
        <v>46101</v>
      </c>
      <c r="B4292" s="156" t="inlineStr">
        <is>
          <t>NS</t>
        </is>
      </c>
      <c r="C4292" s="156" t="inlineStr">
        <is>
          <t>DZ-034</t>
        </is>
      </c>
      <c r="D4292" s="156" t="inlineStr">
        <is>
          <t>D 68ESS-12EO</t>
        </is>
      </c>
      <c r="E4292" s="156" t="inlineStr">
        <is>
          <t>Bulldozer</t>
        </is>
      </c>
      <c r="F4292" s="156" t="inlineStr">
        <is>
          <t>Support ROM</t>
        </is>
      </c>
      <c r="G4292" s="182" t="n">
        <v>7.41</v>
      </c>
      <c r="H4292" s="182" t="n">
        <v>0</v>
      </c>
      <c r="I4292" s="182" t="n">
        <v>1.75</v>
      </c>
      <c r="J4292" s="182" t="n">
        <v>1.75</v>
      </c>
      <c r="K4292" s="182" t="n">
        <v>2.84</v>
      </c>
      <c r="L4292" s="182" t="n">
        <v>12</v>
      </c>
      <c r="M4292" s="182" t="n">
        <v>0</v>
      </c>
      <c r="N4292" s="182" t="n">
        <v>0</v>
      </c>
      <c r="O4292" s="183" t="n">
        <v>0</v>
      </c>
      <c r="P4292" s="183" t="n">
        <v>0</v>
      </c>
      <c r="Q4292" s="184" t="n">
        <v>0</v>
      </c>
      <c r="R4292" s="184" t="n">
        <v>0</v>
      </c>
      <c r="S4292" s="183" t="n">
        <v>0</v>
      </c>
      <c r="T4292" s="183" t="n">
        <v>0</v>
      </c>
      <c r="U4292" s="182" t="n">
        <v>0</v>
      </c>
      <c r="V4292" s="182" t="n">
        <v>0</v>
      </c>
      <c r="W4292" s="182" t="n">
        <v>0</v>
      </c>
      <c r="X4292" s="182" t="n">
        <v>1</v>
      </c>
      <c r="Y4292" s="182" t="n">
        <v>0</v>
      </c>
      <c r="Z4292" s="182" t="n">
        <v>0</v>
      </c>
      <c r="AA4292" s="182" t="n">
        <v>0</v>
      </c>
      <c r="AB4292" s="182" t="n">
        <v>0</v>
      </c>
      <c r="AC4292" s="182" t="n">
        <v>0</v>
      </c>
      <c r="AD4292" s="182" t="n">
        <v>0</v>
      </c>
      <c r="AE4292" s="182" t="n">
        <v>0</v>
      </c>
      <c r="AF4292" s="182" t="n">
        <v>0</v>
      </c>
      <c r="AG4292" s="182" t="n">
        <v>0</v>
      </c>
      <c r="AH4292" s="182" t="n">
        <v>0</v>
      </c>
      <c r="AI4292" s="182" t="n">
        <v>0</v>
      </c>
      <c r="AJ4292" s="182" t="n">
        <v>0</v>
      </c>
      <c r="AK4292" s="182" t="n">
        <v>1.76</v>
      </c>
      <c r="AL4292" s="182" t="n">
        <v>0</v>
      </c>
      <c r="AM4292" s="182" t="n">
        <v>0.08</v>
      </c>
      <c r="AN4292" s="182" t="n">
        <v>0</v>
      </c>
    </row>
    <row r="4293">
      <c r="A4293" s="155" t="n">
        <v>46101</v>
      </c>
      <c r="B4293" s="156" t="inlineStr">
        <is>
          <t>NS</t>
        </is>
      </c>
      <c r="C4293" s="156" t="inlineStr">
        <is>
          <t>DZ-033</t>
        </is>
      </c>
      <c r="D4293" s="156" t="inlineStr">
        <is>
          <t>D 375A-6R</t>
        </is>
      </c>
      <c r="E4293" s="156" t="inlineStr">
        <is>
          <t>Bulldozer</t>
        </is>
      </c>
      <c r="F4293" s="156" t="inlineStr">
        <is>
          <t>Timesheet Kosong</t>
        </is>
      </c>
      <c r="G4293" s="182" t="n">
        <v>0.78</v>
      </c>
      <c r="H4293" s="182" t="n">
        <v>0</v>
      </c>
      <c r="I4293" s="182" t="n">
        <v>11</v>
      </c>
      <c r="J4293" s="182" t="n">
        <v>11</v>
      </c>
      <c r="K4293" s="182" t="n">
        <v>0.22</v>
      </c>
      <c r="L4293" s="182" t="n">
        <v>12</v>
      </c>
      <c r="M4293" s="182" t="n">
        <v>0</v>
      </c>
      <c r="N4293" s="182" t="n">
        <v>0</v>
      </c>
      <c r="O4293" s="183" t="n">
        <v>0</v>
      </c>
      <c r="P4293" s="183" t="n">
        <v>0</v>
      </c>
      <c r="Q4293" s="184" t="n">
        <v>0</v>
      </c>
      <c r="R4293" s="184" t="n">
        <v>0</v>
      </c>
      <c r="S4293" s="183" t="n">
        <v>0</v>
      </c>
      <c r="T4293" s="183" t="n">
        <v>0</v>
      </c>
      <c r="U4293" s="182" t="n">
        <v>0</v>
      </c>
      <c r="V4293" s="182" t="n">
        <v>0</v>
      </c>
      <c r="W4293" s="182" t="n">
        <v>0</v>
      </c>
      <c r="X4293" s="182" t="n">
        <v>0</v>
      </c>
      <c r="Y4293" s="182" t="n">
        <v>0</v>
      </c>
      <c r="Z4293" s="182" t="n">
        <v>0</v>
      </c>
      <c r="AA4293" s="182" t="n">
        <v>0</v>
      </c>
      <c r="AB4293" s="182" t="n">
        <v>0</v>
      </c>
      <c r="AC4293" s="182" t="n">
        <v>0</v>
      </c>
      <c r="AD4293" s="182" t="n">
        <v>0</v>
      </c>
      <c r="AE4293" s="182" t="n">
        <v>0</v>
      </c>
      <c r="AF4293" s="182" t="n">
        <v>0</v>
      </c>
      <c r="AG4293" s="182" t="n">
        <v>0</v>
      </c>
      <c r="AH4293" s="182" t="n">
        <v>0</v>
      </c>
      <c r="AI4293" s="182" t="n">
        <v>0</v>
      </c>
      <c r="AJ4293" s="182" t="n">
        <v>0</v>
      </c>
      <c r="AK4293" s="182" t="n">
        <v>0</v>
      </c>
      <c r="AL4293" s="182" t="n">
        <v>0</v>
      </c>
      <c r="AM4293" s="182" t="n">
        <v>0</v>
      </c>
      <c r="AN4293" s="182" t="n">
        <v>0</v>
      </c>
    </row>
    <row r="4294">
      <c r="A4294" s="155" t="n">
        <v>46101</v>
      </c>
      <c r="B4294" s="156" t="inlineStr">
        <is>
          <t>NS</t>
        </is>
      </c>
      <c r="C4294" s="156" t="inlineStr">
        <is>
          <t>DZ-038</t>
        </is>
      </c>
      <c r="D4294" s="156" t="inlineStr">
        <is>
          <t>D 85 ESS-2</t>
        </is>
      </c>
      <c r="E4294" s="156" t="inlineStr">
        <is>
          <t>Bulldozer</t>
        </is>
      </c>
      <c r="F4294" s="156" t="inlineStr"/>
      <c r="G4294" s="182" t="n">
        <v>0</v>
      </c>
      <c r="H4294" s="182" t="n">
        <v>0</v>
      </c>
      <c r="I4294" s="182" t="n">
        <v>12</v>
      </c>
      <c r="J4294" s="182" t="n">
        <v>12</v>
      </c>
      <c r="K4294" s="182" t="n">
        <v>0</v>
      </c>
      <c r="L4294" s="182" t="n">
        <v>12</v>
      </c>
      <c r="M4294" s="182" t="n">
        <v>0</v>
      </c>
      <c r="N4294" s="182" t="n">
        <v>0</v>
      </c>
      <c r="O4294" s="183" t="n">
        <v>0</v>
      </c>
      <c r="P4294" s="183" t="n">
        <v>0</v>
      </c>
      <c r="Q4294" s="184" t="n">
        <v>0</v>
      </c>
      <c r="R4294" s="184" t="n">
        <v>0</v>
      </c>
      <c r="S4294" s="183" t="n">
        <v>0</v>
      </c>
      <c r="T4294" s="183" t="n">
        <v>0</v>
      </c>
      <c r="U4294" s="182" t="n">
        <v>0</v>
      </c>
      <c r="V4294" s="182" t="n">
        <v>0</v>
      </c>
      <c r="W4294" s="182" t="n">
        <v>0</v>
      </c>
      <c r="X4294" s="182" t="n">
        <v>0</v>
      </c>
      <c r="Y4294" s="182" t="n">
        <v>0</v>
      </c>
      <c r="Z4294" s="182" t="n">
        <v>0</v>
      </c>
      <c r="AA4294" s="182" t="n">
        <v>0</v>
      </c>
      <c r="AB4294" s="182" t="n">
        <v>0</v>
      </c>
      <c r="AC4294" s="182" t="n">
        <v>0</v>
      </c>
      <c r="AD4294" s="182" t="n">
        <v>0</v>
      </c>
      <c r="AE4294" s="182" t="n">
        <v>0</v>
      </c>
      <c r="AF4294" s="182" t="n">
        <v>0</v>
      </c>
      <c r="AG4294" s="182" t="n">
        <v>0</v>
      </c>
      <c r="AH4294" s="182" t="n">
        <v>0</v>
      </c>
      <c r="AI4294" s="182" t="n">
        <v>0</v>
      </c>
      <c r="AJ4294" s="182" t="n">
        <v>0</v>
      </c>
      <c r="AK4294" s="182" t="n">
        <v>0</v>
      </c>
      <c r="AL4294" s="182" t="n">
        <v>0</v>
      </c>
      <c r="AM4294" s="182" t="n">
        <v>0</v>
      </c>
      <c r="AN4294" s="182" t="n">
        <v>0</v>
      </c>
    </row>
    <row r="4295">
      <c r="A4295" s="155" t="n">
        <v>46101</v>
      </c>
      <c r="B4295" s="156" t="inlineStr">
        <is>
          <t>NS</t>
        </is>
      </c>
      <c r="C4295" s="156" t="inlineStr">
        <is>
          <t>DZ-039</t>
        </is>
      </c>
      <c r="D4295" s="156" t="inlineStr">
        <is>
          <t>D 85 ESS-2</t>
        </is>
      </c>
      <c r="E4295" s="156" t="inlineStr">
        <is>
          <t>Bulldozer</t>
        </is>
      </c>
      <c r="F4295" s="156" t="inlineStr"/>
      <c r="G4295" s="182" t="n">
        <v>0</v>
      </c>
      <c r="H4295" s="182" t="n">
        <v>0</v>
      </c>
      <c r="I4295" s="182" t="n">
        <v>12</v>
      </c>
      <c r="J4295" s="182" t="n">
        <v>12</v>
      </c>
      <c r="K4295" s="182" t="n">
        <v>0</v>
      </c>
      <c r="L4295" s="182" t="n">
        <v>12</v>
      </c>
      <c r="M4295" s="182" t="n">
        <v>0</v>
      </c>
      <c r="N4295" s="182" t="n">
        <v>0</v>
      </c>
      <c r="O4295" s="183" t="n">
        <v>0</v>
      </c>
      <c r="P4295" s="183" t="n">
        <v>0</v>
      </c>
      <c r="Q4295" s="184" t="n">
        <v>0</v>
      </c>
      <c r="R4295" s="184" t="n">
        <v>0</v>
      </c>
      <c r="S4295" s="183" t="n">
        <v>0</v>
      </c>
      <c r="T4295" s="183" t="n">
        <v>0</v>
      </c>
      <c r="U4295" s="182" t="n">
        <v>0</v>
      </c>
      <c r="V4295" s="182" t="n">
        <v>0</v>
      </c>
      <c r="W4295" s="182" t="n">
        <v>0</v>
      </c>
      <c r="X4295" s="182" t="n">
        <v>0</v>
      </c>
      <c r="Y4295" s="182" t="n">
        <v>0</v>
      </c>
      <c r="Z4295" s="182" t="n">
        <v>0</v>
      </c>
      <c r="AA4295" s="182" t="n">
        <v>0</v>
      </c>
      <c r="AB4295" s="182" t="n">
        <v>0</v>
      </c>
      <c r="AC4295" s="182" t="n">
        <v>0</v>
      </c>
      <c r="AD4295" s="182" t="n">
        <v>0</v>
      </c>
      <c r="AE4295" s="182" t="n">
        <v>0</v>
      </c>
      <c r="AF4295" s="182" t="n">
        <v>0</v>
      </c>
      <c r="AG4295" s="182" t="n">
        <v>0</v>
      </c>
      <c r="AH4295" s="182" t="n">
        <v>0</v>
      </c>
      <c r="AI4295" s="182" t="n">
        <v>0</v>
      </c>
      <c r="AJ4295" s="182" t="n">
        <v>0</v>
      </c>
      <c r="AK4295" s="182" t="n">
        <v>0</v>
      </c>
      <c r="AL4295" s="182" t="n">
        <v>0</v>
      </c>
      <c r="AM4295" s="182" t="n">
        <v>0</v>
      </c>
      <c r="AN4295" s="182" t="n">
        <v>0</v>
      </c>
    </row>
    <row r="4296">
      <c r="A4296" s="155" t="n">
        <v>46101</v>
      </c>
      <c r="B4296" s="156" t="inlineStr">
        <is>
          <t>NS</t>
        </is>
      </c>
      <c r="C4296" s="156" t="inlineStr">
        <is>
          <t>DZ-032</t>
        </is>
      </c>
      <c r="D4296" s="156" t="inlineStr">
        <is>
          <t>CAT</t>
        </is>
      </c>
      <c r="E4296" s="156" t="inlineStr">
        <is>
          <t>Bulldozer</t>
        </is>
      </c>
      <c r="F4296" s="156" t="inlineStr">
        <is>
          <t>Support Front Loading</t>
        </is>
      </c>
      <c r="G4296" s="182" t="n">
        <v>9.98</v>
      </c>
      <c r="H4296" s="182" t="n">
        <v>0</v>
      </c>
      <c r="I4296" s="182" t="n">
        <v>0.25</v>
      </c>
      <c r="J4296" s="182" t="n">
        <v>0.25</v>
      </c>
      <c r="K4296" s="182" t="n">
        <v>1.77</v>
      </c>
      <c r="L4296" s="182" t="n">
        <v>12</v>
      </c>
      <c r="M4296" s="182" t="n">
        <v>0</v>
      </c>
      <c r="N4296" s="182" t="n">
        <v>0</v>
      </c>
      <c r="O4296" s="183" t="n">
        <v>0</v>
      </c>
      <c r="P4296" s="183" t="n">
        <v>0</v>
      </c>
      <c r="Q4296" s="184" t="n">
        <v>0</v>
      </c>
      <c r="R4296" s="184" t="n">
        <v>0</v>
      </c>
      <c r="S4296" s="183" t="n">
        <v>0</v>
      </c>
      <c r="T4296" s="183" t="n">
        <v>0</v>
      </c>
      <c r="U4296" s="182" t="n">
        <v>0</v>
      </c>
      <c r="V4296" s="182" t="n">
        <v>0</v>
      </c>
      <c r="W4296" s="182" t="n">
        <v>0</v>
      </c>
      <c r="X4296" s="182" t="n">
        <v>1.31</v>
      </c>
      <c r="Y4296" s="182" t="n">
        <v>0</v>
      </c>
      <c r="Z4296" s="182" t="n">
        <v>0</v>
      </c>
      <c r="AA4296" s="182" t="n">
        <v>0</v>
      </c>
      <c r="AB4296" s="182" t="n">
        <v>0</v>
      </c>
      <c r="AC4296" s="182" t="n">
        <v>0</v>
      </c>
      <c r="AD4296" s="182" t="n">
        <v>0</v>
      </c>
      <c r="AE4296" s="182" t="n">
        <v>0</v>
      </c>
      <c r="AF4296" s="182" t="n">
        <v>0</v>
      </c>
      <c r="AG4296" s="182" t="n">
        <v>0</v>
      </c>
      <c r="AH4296" s="182" t="n">
        <v>0.35</v>
      </c>
      <c r="AI4296" s="182" t="n">
        <v>0</v>
      </c>
      <c r="AJ4296" s="182" t="n">
        <v>0</v>
      </c>
      <c r="AK4296" s="182" t="n">
        <v>0</v>
      </c>
      <c r="AL4296" s="182" t="n">
        <v>0</v>
      </c>
      <c r="AM4296" s="182" t="n">
        <v>0.1</v>
      </c>
      <c r="AN4296" s="182" t="n">
        <v>0</v>
      </c>
    </row>
    <row r="4297">
      <c r="A4297" s="155" t="n">
        <v>46101</v>
      </c>
      <c r="B4297" s="156" t="inlineStr">
        <is>
          <t>NS</t>
        </is>
      </c>
      <c r="C4297" s="156" t="inlineStr">
        <is>
          <t>DZ-031</t>
        </is>
      </c>
      <c r="D4297" s="156" t="inlineStr">
        <is>
          <t>CAT</t>
        </is>
      </c>
      <c r="E4297" s="156" t="inlineStr">
        <is>
          <t>Bulldozer</t>
        </is>
      </c>
      <c r="F4297" s="156" t="inlineStr"/>
      <c r="G4297" s="182" t="n">
        <v>0</v>
      </c>
      <c r="H4297" s="182" t="n">
        <v>0</v>
      </c>
      <c r="I4297" s="182" t="n">
        <v>12</v>
      </c>
      <c r="J4297" s="182" t="n">
        <v>12</v>
      </c>
      <c r="K4297" s="182" t="n">
        <v>0</v>
      </c>
      <c r="L4297" s="182" t="n">
        <v>12</v>
      </c>
      <c r="M4297" s="182" t="n">
        <v>0</v>
      </c>
      <c r="N4297" s="182" t="n">
        <v>0</v>
      </c>
      <c r="O4297" s="183" t="n">
        <v>0</v>
      </c>
      <c r="P4297" s="183" t="n">
        <v>0</v>
      </c>
      <c r="Q4297" s="184" t="n">
        <v>0</v>
      </c>
      <c r="R4297" s="184" t="n">
        <v>0</v>
      </c>
      <c r="S4297" s="183" t="n">
        <v>0</v>
      </c>
      <c r="T4297" s="183" t="n">
        <v>0</v>
      </c>
      <c r="U4297" s="182" t="n">
        <v>0</v>
      </c>
      <c r="V4297" s="182" t="n">
        <v>0</v>
      </c>
      <c r="W4297" s="182" t="n">
        <v>0</v>
      </c>
      <c r="X4297" s="182" t="n">
        <v>0</v>
      </c>
      <c r="Y4297" s="182" t="n">
        <v>0</v>
      </c>
      <c r="Z4297" s="182" t="n">
        <v>0</v>
      </c>
      <c r="AA4297" s="182" t="n">
        <v>0</v>
      </c>
      <c r="AB4297" s="182" t="n">
        <v>0</v>
      </c>
      <c r="AC4297" s="182" t="n">
        <v>0</v>
      </c>
      <c r="AD4297" s="182" t="n">
        <v>0</v>
      </c>
      <c r="AE4297" s="182" t="n">
        <v>0</v>
      </c>
      <c r="AF4297" s="182" t="n">
        <v>0</v>
      </c>
      <c r="AG4297" s="182" t="n">
        <v>0</v>
      </c>
      <c r="AH4297" s="182" t="n">
        <v>0</v>
      </c>
      <c r="AI4297" s="182" t="n">
        <v>0</v>
      </c>
      <c r="AJ4297" s="182" t="n">
        <v>0</v>
      </c>
      <c r="AK4297" s="182" t="n">
        <v>0</v>
      </c>
      <c r="AL4297" s="182" t="n">
        <v>0</v>
      </c>
      <c r="AM4297" s="182" t="n">
        <v>0</v>
      </c>
      <c r="AN4297" s="182" t="n">
        <v>0</v>
      </c>
    </row>
    <row r="4298">
      <c r="A4298" s="155" t="n">
        <v>46101</v>
      </c>
      <c r="B4298" s="156" t="inlineStr">
        <is>
          <t>NS</t>
        </is>
      </c>
      <c r="C4298" s="156" t="inlineStr">
        <is>
          <t>DZ-037</t>
        </is>
      </c>
      <c r="D4298" s="156" t="inlineStr">
        <is>
          <t>D 85 ESS-2</t>
        </is>
      </c>
      <c r="E4298" s="156" t="inlineStr">
        <is>
          <t>Bulldozer</t>
        </is>
      </c>
      <c r="F4298" s="156" t="inlineStr">
        <is>
          <t>Support Disposal</t>
        </is>
      </c>
      <c r="G4298" s="182" t="n">
        <v>10.74</v>
      </c>
      <c r="H4298" s="182" t="n">
        <v>0</v>
      </c>
      <c r="I4298" s="182" t="n">
        <v>0.92</v>
      </c>
      <c r="J4298" s="182" t="n">
        <v>0.92</v>
      </c>
      <c r="K4298" s="182" t="n">
        <v>0.34</v>
      </c>
      <c r="L4298" s="182" t="n">
        <v>12</v>
      </c>
      <c r="M4298" s="182" t="n">
        <v>0</v>
      </c>
      <c r="N4298" s="182" t="n">
        <v>0</v>
      </c>
      <c r="O4298" s="183" t="n">
        <v>0</v>
      </c>
      <c r="P4298" s="183" t="n">
        <v>0</v>
      </c>
      <c r="Q4298" s="184" t="n">
        <v>0</v>
      </c>
      <c r="R4298" s="184" t="n">
        <v>0</v>
      </c>
      <c r="S4298" s="183" t="n">
        <v>0</v>
      </c>
      <c r="T4298" s="183" t="n">
        <v>0</v>
      </c>
      <c r="U4298" s="182" t="n">
        <v>0</v>
      </c>
      <c r="V4298" s="182" t="n">
        <v>0</v>
      </c>
      <c r="W4298" s="182" t="n">
        <v>0</v>
      </c>
      <c r="X4298" s="182" t="n">
        <v>0.29</v>
      </c>
      <c r="Y4298" s="182" t="n">
        <v>0</v>
      </c>
      <c r="Z4298" s="182" t="n">
        <v>0</v>
      </c>
      <c r="AA4298" s="182" t="n">
        <v>0</v>
      </c>
      <c r="AB4298" s="182" t="n">
        <v>0</v>
      </c>
      <c r="AC4298" s="182" t="n">
        <v>0</v>
      </c>
      <c r="AD4298" s="182" t="n">
        <v>0</v>
      </c>
      <c r="AE4298" s="182" t="n">
        <v>0</v>
      </c>
      <c r="AF4298" s="182" t="n">
        <v>0</v>
      </c>
      <c r="AG4298" s="182" t="n">
        <v>0</v>
      </c>
      <c r="AH4298" s="182" t="n">
        <v>0</v>
      </c>
      <c r="AI4298" s="182" t="n">
        <v>0</v>
      </c>
      <c r="AJ4298" s="182" t="n">
        <v>0</v>
      </c>
      <c r="AK4298" s="182" t="n">
        <v>0</v>
      </c>
      <c r="AL4298" s="182" t="n">
        <v>0</v>
      </c>
      <c r="AM4298" s="182" t="n">
        <v>0.05</v>
      </c>
      <c r="AN4298" s="182" t="n">
        <v>0</v>
      </c>
    </row>
    <row r="4299">
      <c r="A4299" s="155" t="n">
        <v>46101</v>
      </c>
      <c r="B4299" s="156" t="inlineStr">
        <is>
          <t>NS</t>
        </is>
      </c>
      <c r="C4299" s="156" t="inlineStr">
        <is>
          <t>DZ-036</t>
        </is>
      </c>
      <c r="D4299" s="156" t="inlineStr">
        <is>
          <t>D 85 ESS-2</t>
        </is>
      </c>
      <c r="E4299" s="156" t="inlineStr">
        <is>
          <t>Bulldozer</t>
        </is>
      </c>
      <c r="F4299" s="156" t="inlineStr"/>
      <c r="G4299" s="182" t="n">
        <v>0</v>
      </c>
      <c r="H4299" s="182" t="n">
        <v>0</v>
      </c>
      <c r="I4299" s="182" t="n">
        <v>0</v>
      </c>
      <c r="J4299" s="182" t="n">
        <v>0</v>
      </c>
      <c r="K4299" s="182" t="n">
        <v>12</v>
      </c>
      <c r="L4299" s="182" t="n">
        <v>12</v>
      </c>
      <c r="M4299" s="182" t="n">
        <v>0</v>
      </c>
      <c r="N4299" s="182" t="n">
        <v>0</v>
      </c>
      <c r="O4299" s="183" t="n">
        <v>0</v>
      </c>
      <c r="P4299" s="183" t="n">
        <v>0</v>
      </c>
      <c r="Q4299" s="184" t="n">
        <v>0</v>
      </c>
      <c r="R4299" s="184" t="n">
        <v>0</v>
      </c>
      <c r="S4299" s="183" t="n">
        <v>0</v>
      </c>
      <c r="T4299" s="183" t="n">
        <v>0</v>
      </c>
      <c r="U4299" s="182" t="n">
        <v>0</v>
      </c>
      <c r="V4299" s="182" t="n">
        <v>0</v>
      </c>
      <c r="W4299" s="182" t="n">
        <v>0</v>
      </c>
      <c r="X4299" s="182" t="n">
        <v>1</v>
      </c>
      <c r="Y4299" s="182" t="n">
        <v>0</v>
      </c>
      <c r="Z4299" s="182" t="n">
        <v>0</v>
      </c>
      <c r="AA4299" s="182" t="n">
        <v>0</v>
      </c>
      <c r="AB4299" s="182" t="n">
        <v>0</v>
      </c>
      <c r="AC4299" s="182" t="n">
        <v>0</v>
      </c>
      <c r="AD4299" s="182" t="n">
        <v>0</v>
      </c>
      <c r="AE4299" s="182" t="n">
        <v>0</v>
      </c>
      <c r="AF4299" s="182" t="n">
        <v>0</v>
      </c>
      <c r="AG4299" s="182" t="n">
        <v>0</v>
      </c>
      <c r="AH4299" s="182" t="n">
        <v>0</v>
      </c>
      <c r="AI4299" s="182" t="n">
        <v>0</v>
      </c>
      <c r="AJ4299" s="182" t="n">
        <v>0</v>
      </c>
      <c r="AK4299" s="182" t="n">
        <v>10.92</v>
      </c>
      <c r="AL4299" s="182" t="n">
        <v>0</v>
      </c>
      <c r="AM4299" s="182" t="n">
        <v>0.08</v>
      </c>
      <c r="AN4299" s="182" t="n">
        <v>0</v>
      </c>
    </row>
    <row r="4300">
      <c r="A4300" s="155" t="n">
        <v>46101</v>
      </c>
      <c r="B4300" s="156" t="inlineStr">
        <is>
          <t>NS</t>
        </is>
      </c>
      <c r="C4300" s="156" t="inlineStr">
        <is>
          <t>DZ-035</t>
        </is>
      </c>
      <c r="D4300" s="156" t="inlineStr">
        <is>
          <t>D 85 ESS-2</t>
        </is>
      </c>
      <c r="E4300" s="156" t="inlineStr">
        <is>
          <t>Bulldozer</t>
        </is>
      </c>
      <c r="F4300" s="156" t="inlineStr"/>
      <c r="G4300" s="182" t="n">
        <v>0</v>
      </c>
      <c r="H4300" s="182" t="n">
        <v>0</v>
      </c>
      <c r="I4300" s="182" t="n">
        <v>12</v>
      </c>
      <c r="J4300" s="182" t="n">
        <v>12</v>
      </c>
      <c r="K4300" s="182" t="n">
        <v>0</v>
      </c>
      <c r="L4300" s="182" t="n">
        <v>12</v>
      </c>
      <c r="M4300" s="182" t="n">
        <v>0</v>
      </c>
      <c r="N4300" s="182" t="n">
        <v>0</v>
      </c>
      <c r="O4300" s="183" t="n">
        <v>0</v>
      </c>
      <c r="P4300" s="183" t="n">
        <v>0</v>
      </c>
      <c r="Q4300" s="184" t="n">
        <v>0</v>
      </c>
      <c r="R4300" s="184" t="n">
        <v>0</v>
      </c>
      <c r="S4300" s="183" t="n">
        <v>0</v>
      </c>
      <c r="T4300" s="183" t="n">
        <v>0</v>
      </c>
      <c r="U4300" s="182" t="n">
        <v>0</v>
      </c>
      <c r="V4300" s="182" t="n">
        <v>0</v>
      </c>
      <c r="W4300" s="182" t="n">
        <v>0</v>
      </c>
      <c r="X4300" s="182" t="n">
        <v>0</v>
      </c>
      <c r="Y4300" s="182" t="n">
        <v>0</v>
      </c>
      <c r="Z4300" s="182" t="n">
        <v>0</v>
      </c>
      <c r="AA4300" s="182" t="n">
        <v>0</v>
      </c>
      <c r="AB4300" s="182" t="n">
        <v>0</v>
      </c>
      <c r="AC4300" s="182" t="n">
        <v>0</v>
      </c>
      <c r="AD4300" s="182" t="n">
        <v>0</v>
      </c>
      <c r="AE4300" s="182" t="n">
        <v>0</v>
      </c>
      <c r="AF4300" s="182" t="n">
        <v>0</v>
      </c>
      <c r="AG4300" s="182" t="n">
        <v>0</v>
      </c>
      <c r="AH4300" s="182" t="n">
        <v>0</v>
      </c>
      <c r="AI4300" s="182" t="n">
        <v>0</v>
      </c>
      <c r="AJ4300" s="182" t="n">
        <v>0</v>
      </c>
      <c r="AK4300" s="182" t="n">
        <v>0</v>
      </c>
      <c r="AL4300" s="182" t="n">
        <v>0</v>
      </c>
      <c r="AM4300" s="182" t="n">
        <v>0</v>
      </c>
      <c r="AN4300" s="182" t="n">
        <v>0</v>
      </c>
    </row>
    <row r="4301">
      <c r="A4301" s="155" t="n">
        <v>46101</v>
      </c>
      <c r="B4301" s="156" t="inlineStr">
        <is>
          <t>NS</t>
        </is>
      </c>
      <c r="C4301" s="156" t="inlineStr">
        <is>
          <t>CP-042</t>
        </is>
      </c>
      <c r="D4301" s="156" t="inlineStr">
        <is>
          <t>SANY - Compactor</t>
        </is>
      </c>
      <c r="E4301" s="156" t="inlineStr">
        <is>
          <t>Compactor</t>
        </is>
      </c>
      <c r="F4301" s="156" t="inlineStr"/>
      <c r="G4301" s="182" t="n">
        <v>0</v>
      </c>
      <c r="H4301" s="182" t="n">
        <v>0</v>
      </c>
      <c r="I4301" s="182" t="n">
        <v>0</v>
      </c>
      <c r="J4301" s="182" t="n">
        <v>0</v>
      </c>
      <c r="K4301" s="182" t="n">
        <v>12</v>
      </c>
      <c r="L4301" s="182" t="n">
        <v>12</v>
      </c>
      <c r="M4301" s="182" t="n">
        <v>0</v>
      </c>
      <c r="N4301" s="182" t="n">
        <v>0</v>
      </c>
      <c r="O4301" s="183" t="n">
        <v>0</v>
      </c>
      <c r="P4301" s="183" t="n">
        <v>0</v>
      </c>
      <c r="Q4301" s="184" t="n">
        <v>0</v>
      </c>
      <c r="R4301" s="184" t="n">
        <v>0</v>
      </c>
      <c r="S4301" s="183" t="n">
        <v>0</v>
      </c>
      <c r="T4301" s="183" t="n">
        <v>0</v>
      </c>
      <c r="U4301" s="182" t="n">
        <v>0</v>
      </c>
      <c r="V4301" s="182" t="n">
        <v>0</v>
      </c>
      <c r="W4301" s="182" t="n">
        <v>0</v>
      </c>
      <c r="X4301" s="182" t="n">
        <v>1</v>
      </c>
      <c r="Y4301" s="182" t="n">
        <v>0</v>
      </c>
      <c r="Z4301" s="182" t="n">
        <v>0</v>
      </c>
      <c r="AA4301" s="182" t="n">
        <v>0</v>
      </c>
      <c r="AB4301" s="182" t="n">
        <v>0</v>
      </c>
      <c r="AC4301" s="182" t="n">
        <v>0</v>
      </c>
      <c r="AD4301" s="182" t="n">
        <v>0</v>
      </c>
      <c r="AE4301" s="182" t="n">
        <v>0</v>
      </c>
      <c r="AF4301" s="182" t="n">
        <v>0</v>
      </c>
      <c r="AG4301" s="182" t="n">
        <v>0</v>
      </c>
      <c r="AH4301" s="182" t="n">
        <v>0</v>
      </c>
      <c r="AI4301" s="182" t="n">
        <v>0</v>
      </c>
      <c r="AJ4301" s="182" t="n">
        <v>0</v>
      </c>
      <c r="AK4301" s="182" t="n">
        <v>10.92</v>
      </c>
      <c r="AL4301" s="182" t="n">
        <v>0</v>
      </c>
      <c r="AM4301" s="182" t="n">
        <v>0.08</v>
      </c>
      <c r="AN4301" s="182" t="n">
        <v>0</v>
      </c>
    </row>
    <row r="4302">
      <c r="A4302" s="155" t="n">
        <v>46101</v>
      </c>
      <c r="B4302" s="156" t="inlineStr">
        <is>
          <t>NS</t>
        </is>
      </c>
      <c r="C4302" s="156" t="inlineStr">
        <is>
          <t>CP-041</t>
        </is>
      </c>
      <c r="D4302" s="156" t="inlineStr">
        <is>
          <t>SANY - Compactor</t>
        </is>
      </c>
      <c r="E4302" s="156" t="inlineStr">
        <is>
          <t>Compactor</t>
        </is>
      </c>
      <c r="F4302" s="156" t="inlineStr"/>
      <c r="G4302" s="182" t="n">
        <v>0</v>
      </c>
      <c r="H4302" s="182" t="n">
        <v>0</v>
      </c>
      <c r="I4302" s="182" t="n">
        <v>0</v>
      </c>
      <c r="J4302" s="182" t="n">
        <v>0</v>
      </c>
      <c r="K4302" s="182" t="n">
        <v>12</v>
      </c>
      <c r="L4302" s="182" t="n">
        <v>12</v>
      </c>
      <c r="M4302" s="182" t="n">
        <v>0</v>
      </c>
      <c r="N4302" s="182" t="n">
        <v>0</v>
      </c>
      <c r="O4302" s="183" t="n">
        <v>0</v>
      </c>
      <c r="P4302" s="183" t="n">
        <v>0</v>
      </c>
      <c r="Q4302" s="184" t="n">
        <v>0</v>
      </c>
      <c r="R4302" s="184" t="n">
        <v>0</v>
      </c>
      <c r="S4302" s="183" t="n">
        <v>0</v>
      </c>
      <c r="T4302" s="183" t="n">
        <v>0</v>
      </c>
      <c r="U4302" s="182" t="n">
        <v>0</v>
      </c>
      <c r="V4302" s="182" t="n">
        <v>0</v>
      </c>
      <c r="W4302" s="182" t="n">
        <v>0</v>
      </c>
      <c r="X4302" s="182" t="n">
        <v>1</v>
      </c>
      <c r="Y4302" s="182" t="n">
        <v>0</v>
      </c>
      <c r="Z4302" s="182" t="n">
        <v>0</v>
      </c>
      <c r="AA4302" s="182" t="n">
        <v>0</v>
      </c>
      <c r="AB4302" s="182" t="n">
        <v>0</v>
      </c>
      <c r="AC4302" s="182" t="n">
        <v>0</v>
      </c>
      <c r="AD4302" s="182" t="n">
        <v>0</v>
      </c>
      <c r="AE4302" s="182" t="n">
        <v>0</v>
      </c>
      <c r="AF4302" s="182" t="n">
        <v>0</v>
      </c>
      <c r="AG4302" s="182" t="n">
        <v>0</v>
      </c>
      <c r="AH4302" s="182" t="n">
        <v>0</v>
      </c>
      <c r="AI4302" s="182" t="n">
        <v>0</v>
      </c>
      <c r="AJ4302" s="182" t="n">
        <v>0</v>
      </c>
      <c r="AK4302" s="182" t="n">
        <v>10.92</v>
      </c>
      <c r="AL4302" s="182" t="n">
        <v>0</v>
      </c>
      <c r="AM4302" s="182" t="n">
        <v>0.08</v>
      </c>
      <c r="AN4302" s="182" t="n">
        <v>0</v>
      </c>
    </row>
    <row r="4303">
      <c r="A4303" s="155" t="n">
        <v>46101</v>
      </c>
      <c r="B4303" s="156" t="inlineStr">
        <is>
          <t>NS</t>
        </is>
      </c>
      <c r="C4303" s="156" t="inlineStr">
        <is>
          <t>HT-418</t>
        </is>
      </c>
      <c r="D4303" s="156" t="inlineStr">
        <is>
          <t>SY430</t>
        </is>
      </c>
      <c r="E4303" s="156" t="inlineStr">
        <is>
          <t>DT Hauling</t>
        </is>
      </c>
      <c r="F4303" s="156" t="inlineStr"/>
      <c r="G4303" s="182" t="n">
        <v>0</v>
      </c>
      <c r="H4303" s="182" t="n">
        <v>0</v>
      </c>
      <c r="I4303" s="182" t="n">
        <v>0</v>
      </c>
      <c r="J4303" s="182" t="n">
        <v>0</v>
      </c>
      <c r="K4303" s="182" t="n">
        <v>12</v>
      </c>
      <c r="L4303" s="182" t="n">
        <v>12</v>
      </c>
      <c r="M4303" s="182" t="n">
        <v>0</v>
      </c>
      <c r="N4303" s="182" t="n">
        <v>0</v>
      </c>
      <c r="O4303" s="183" t="n">
        <v>0</v>
      </c>
      <c r="P4303" s="183" t="n">
        <v>0</v>
      </c>
      <c r="Q4303" s="184" t="n">
        <v>0</v>
      </c>
      <c r="R4303" s="184" t="n">
        <v>0</v>
      </c>
      <c r="S4303" s="183" t="n">
        <v>0</v>
      </c>
      <c r="T4303" s="183" t="n">
        <v>0</v>
      </c>
      <c r="U4303" s="182" t="n">
        <v>0</v>
      </c>
      <c r="V4303" s="182" t="n">
        <v>0</v>
      </c>
      <c r="W4303" s="182" t="n">
        <v>0</v>
      </c>
      <c r="X4303" s="182" t="n">
        <v>1</v>
      </c>
      <c r="Y4303" s="182" t="n">
        <v>0</v>
      </c>
      <c r="Z4303" s="182" t="n">
        <v>0</v>
      </c>
      <c r="AA4303" s="182" t="n">
        <v>0</v>
      </c>
      <c r="AB4303" s="182" t="n">
        <v>0</v>
      </c>
      <c r="AC4303" s="182" t="n">
        <v>0</v>
      </c>
      <c r="AD4303" s="182" t="n">
        <v>0</v>
      </c>
      <c r="AE4303" s="182" t="n">
        <v>0</v>
      </c>
      <c r="AF4303" s="182" t="n">
        <v>0</v>
      </c>
      <c r="AG4303" s="182" t="n">
        <v>0</v>
      </c>
      <c r="AH4303" s="182" t="n">
        <v>0</v>
      </c>
      <c r="AI4303" s="182" t="n">
        <v>0</v>
      </c>
      <c r="AJ4303" s="182" t="n">
        <v>0</v>
      </c>
      <c r="AK4303" s="182" t="n">
        <v>10.92</v>
      </c>
      <c r="AL4303" s="182" t="n">
        <v>0</v>
      </c>
      <c r="AM4303" s="182" t="n">
        <v>0.08</v>
      </c>
      <c r="AN4303" s="182" t="n">
        <v>0</v>
      </c>
    </row>
    <row r="4304">
      <c r="A4304" s="155" t="n">
        <v>46101</v>
      </c>
      <c r="B4304" s="156" t="inlineStr">
        <is>
          <t>NS</t>
        </is>
      </c>
      <c r="C4304" s="156" t="inlineStr">
        <is>
          <t>HT-404</t>
        </is>
      </c>
      <c r="D4304" s="156" t="inlineStr">
        <is>
          <t>SY430</t>
        </is>
      </c>
      <c r="E4304" s="156" t="inlineStr">
        <is>
          <t>DT Hauling</t>
        </is>
      </c>
      <c r="F4304" s="156" t="inlineStr"/>
      <c r="G4304" s="182" t="n">
        <v>0</v>
      </c>
      <c r="H4304" s="182" t="n">
        <v>0</v>
      </c>
      <c r="I4304" s="182" t="n">
        <v>12</v>
      </c>
      <c r="J4304" s="182" t="n">
        <v>12</v>
      </c>
      <c r="K4304" s="182" t="n">
        <v>0</v>
      </c>
      <c r="L4304" s="182" t="n">
        <v>12</v>
      </c>
      <c r="M4304" s="182" t="n">
        <v>0</v>
      </c>
      <c r="N4304" s="182" t="n">
        <v>0</v>
      </c>
      <c r="O4304" s="183" t="n">
        <v>0</v>
      </c>
      <c r="P4304" s="183" t="n">
        <v>0</v>
      </c>
      <c r="Q4304" s="184" t="n">
        <v>0</v>
      </c>
      <c r="R4304" s="184" t="n">
        <v>0</v>
      </c>
      <c r="S4304" s="183" t="n">
        <v>0</v>
      </c>
      <c r="T4304" s="183" t="n">
        <v>0</v>
      </c>
      <c r="U4304" s="182" t="n">
        <v>0</v>
      </c>
      <c r="V4304" s="182" t="n">
        <v>0</v>
      </c>
      <c r="W4304" s="182" t="n">
        <v>0</v>
      </c>
      <c r="X4304" s="182" t="n">
        <v>0</v>
      </c>
      <c r="Y4304" s="182" t="n">
        <v>0</v>
      </c>
      <c r="Z4304" s="182" t="n">
        <v>0</v>
      </c>
      <c r="AA4304" s="182" t="n">
        <v>0</v>
      </c>
      <c r="AB4304" s="182" t="n">
        <v>0</v>
      </c>
      <c r="AC4304" s="182" t="n">
        <v>0</v>
      </c>
      <c r="AD4304" s="182" t="n">
        <v>0</v>
      </c>
      <c r="AE4304" s="182" t="n">
        <v>0</v>
      </c>
      <c r="AF4304" s="182" t="n">
        <v>0</v>
      </c>
      <c r="AG4304" s="182" t="n">
        <v>0</v>
      </c>
      <c r="AH4304" s="182" t="n">
        <v>0</v>
      </c>
      <c r="AI4304" s="182" t="n">
        <v>0</v>
      </c>
      <c r="AJ4304" s="182" t="n">
        <v>0</v>
      </c>
      <c r="AK4304" s="182" t="n">
        <v>0</v>
      </c>
      <c r="AL4304" s="182" t="n">
        <v>0</v>
      </c>
      <c r="AM4304" s="182" t="n">
        <v>0</v>
      </c>
      <c r="AN4304" s="182" t="n">
        <v>0</v>
      </c>
    </row>
    <row r="4305">
      <c r="A4305" s="155" t="n">
        <v>46101</v>
      </c>
      <c r="B4305" s="156" t="inlineStr">
        <is>
          <t>NS</t>
        </is>
      </c>
      <c r="C4305" s="156" t="inlineStr">
        <is>
          <t>HT-415</t>
        </is>
      </c>
      <c r="D4305" s="156" t="inlineStr">
        <is>
          <t>SY430</t>
        </is>
      </c>
      <c r="E4305" s="156" t="inlineStr">
        <is>
          <t>DT Hauling</t>
        </is>
      </c>
      <c r="F4305" s="156" t="inlineStr"/>
      <c r="G4305" s="182" t="n">
        <v>0</v>
      </c>
      <c r="H4305" s="182" t="n">
        <v>0</v>
      </c>
      <c r="I4305" s="182" t="n">
        <v>12</v>
      </c>
      <c r="J4305" s="182" t="n">
        <v>12</v>
      </c>
      <c r="K4305" s="182" t="n">
        <v>0</v>
      </c>
      <c r="L4305" s="182" t="n">
        <v>12</v>
      </c>
      <c r="M4305" s="182" t="n">
        <v>0</v>
      </c>
      <c r="N4305" s="182" t="n">
        <v>0</v>
      </c>
      <c r="O4305" s="183" t="n">
        <v>0</v>
      </c>
      <c r="P4305" s="183" t="n">
        <v>0</v>
      </c>
      <c r="Q4305" s="184" t="n">
        <v>0</v>
      </c>
      <c r="R4305" s="184" t="n">
        <v>0</v>
      </c>
      <c r="S4305" s="183" t="n">
        <v>0</v>
      </c>
      <c r="T4305" s="183" t="n">
        <v>0</v>
      </c>
      <c r="U4305" s="182" t="n">
        <v>0</v>
      </c>
      <c r="V4305" s="182" t="n">
        <v>0</v>
      </c>
      <c r="W4305" s="182" t="n">
        <v>0</v>
      </c>
      <c r="X4305" s="182" t="n">
        <v>0</v>
      </c>
      <c r="Y4305" s="182" t="n">
        <v>0</v>
      </c>
      <c r="Z4305" s="182" t="n">
        <v>0</v>
      </c>
      <c r="AA4305" s="182" t="n">
        <v>0</v>
      </c>
      <c r="AB4305" s="182" t="n">
        <v>0</v>
      </c>
      <c r="AC4305" s="182" t="n">
        <v>0</v>
      </c>
      <c r="AD4305" s="182" t="n">
        <v>0</v>
      </c>
      <c r="AE4305" s="182" t="n">
        <v>0</v>
      </c>
      <c r="AF4305" s="182" t="n">
        <v>0</v>
      </c>
      <c r="AG4305" s="182" t="n">
        <v>0</v>
      </c>
      <c r="AH4305" s="182" t="n">
        <v>0</v>
      </c>
      <c r="AI4305" s="182" t="n">
        <v>0</v>
      </c>
      <c r="AJ4305" s="182" t="n">
        <v>0</v>
      </c>
      <c r="AK4305" s="182" t="n">
        <v>0</v>
      </c>
      <c r="AL4305" s="182" t="n">
        <v>0</v>
      </c>
      <c r="AM4305" s="182" t="n">
        <v>0</v>
      </c>
      <c r="AN4305" s="182" t="n">
        <v>0</v>
      </c>
    </row>
    <row r="4306">
      <c r="A4306" s="155" t="n">
        <v>46101</v>
      </c>
      <c r="B4306" s="156" t="inlineStr">
        <is>
          <t>NS</t>
        </is>
      </c>
      <c r="C4306" s="156" t="inlineStr">
        <is>
          <t>HT-406</t>
        </is>
      </c>
      <c r="D4306" s="156" t="inlineStr">
        <is>
          <t>SY430</t>
        </is>
      </c>
      <c r="E4306" s="156" t="inlineStr">
        <is>
          <t>DT Hauling</t>
        </is>
      </c>
      <c r="F4306" s="156" t="inlineStr"/>
      <c r="G4306" s="182" t="n">
        <v>0</v>
      </c>
      <c r="H4306" s="182" t="n">
        <v>0</v>
      </c>
      <c r="I4306" s="182" t="n">
        <v>12</v>
      </c>
      <c r="J4306" s="182" t="n">
        <v>12</v>
      </c>
      <c r="K4306" s="182" t="n">
        <v>0</v>
      </c>
      <c r="L4306" s="182" t="n">
        <v>12</v>
      </c>
      <c r="M4306" s="182" t="n">
        <v>0</v>
      </c>
      <c r="N4306" s="182" t="n">
        <v>0</v>
      </c>
      <c r="O4306" s="183" t="n">
        <v>0</v>
      </c>
      <c r="P4306" s="183" t="n">
        <v>0</v>
      </c>
      <c r="Q4306" s="184" t="n">
        <v>0</v>
      </c>
      <c r="R4306" s="184" t="n">
        <v>0</v>
      </c>
      <c r="S4306" s="183" t="n">
        <v>0</v>
      </c>
      <c r="T4306" s="183" t="n">
        <v>0</v>
      </c>
      <c r="U4306" s="182" t="n">
        <v>0</v>
      </c>
      <c r="V4306" s="182" t="n">
        <v>0</v>
      </c>
      <c r="W4306" s="182" t="n">
        <v>0</v>
      </c>
      <c r="X4306" s="182" t="n">
        <v>0</v>
      </c>
      <c r="Y4306" s="182" t="n">
        <v>0</v>
      </c>
      <c r="Z4306" s="182" t="n">
        <v>0</v>
      </c>
      <c r="AA4306" s="182" t="n">
        <v>0</v>
      </c>
      <c r="AB4306" s="182" t="n">
        <v>0</v>
      </c>
      <c r="AC4306" s="182" t="n">
        <v>0</v>
      </c>
      <c r="AD4306" s="182" t="n">
        <v>0</v>
      </c>
      <c r="AE4306" s="182" t="n">
        <v>0</v>
      </c>
      <c r="AF4306" s="182" t="n">
        <v>0</v>
      </c>
      <c r="AG4306" s="182" t="n">
        <v>0</v>
      </c>
      <c r="AH4306" s="182" t="n">
        <v>0</v>
      </c>
      <c r="AI4306" s="182" t="n">
        <v>0</v>
      </c>
      <c r="AJ4306" s="182" t="n">
        <v>0</v>
      </c>
      <c r="AK4306" s="182" t="n">
        <v>0</v>
      </c>
      <c r="AL4306" s="182" t="n">
        <v>0</v>
      </c>
      <c r="AM4306" s="182" t="n">
        <v>0</v>
      </c>
      <c r="AN4306" s="182" t="n">
        <v>0</v>
      </c>
    </row>
    <row r="4307">
      <c r="A4307" s="155" t="n">
        <v>46101</v>
      </c>
      <c r="B4307" s="156" t="inlineStr">
        <is>
          <t>NS</t>
        </is>
      </c>
      <c r="C4307" s="156" t="inlineStr">
        <is>
          <t>HT-405</t>
        </is>
      </c>
      <c r="D4307" s="156" t="inlineStr">
        <is>
          <t>SY430</t>
        </is>
      </c>
      <c r="E4307" s="156" t="inlineStr">
        <is>
          <t>DT Hauling</t>
        </is>
      </c>
      <c r="F4307" s="156" t="inlineStr"/>
      <c r="G4307" s="182" t="n">
        <v>0</v>
      </c>
      <c r="H4307" s="182" t="n">
        <v>0</v>
      </c>
      <c r="I4307" s="182" t="n">
        <v>0</v>
      </c>
      <c r="J4307" s="182" t="n">
        <v>0</v>
      </c>
      <c r="K4307" s="182" t="n">
        <v>12</v>
      </c>
      <c r="L4307" s="182" t="n">
        <v>12</v>
      </c>
      <c r="M4307" s="182" t="n">
        <v>0</v>
      </c>
      <c r="N4307" s="182" t="n">
        <v>0</v>
      </c>
      <c r="O4307" s="183" t="n">
        <v>0</v>
      </c>
      <c r="P4307" s="183" t="n">
        <v>0</v>
      </c>
      <c r="Q4307" s="184" t="n">
        <v>0</v>
      </c>
      <c r="R4307" s="184" t="n">
        <v>0</v>
      </c>
      <c r="S4307" s="183" t="n">
        <v>0</v>
      </c>
      <c r="T4307" s="183" t="n">
        <v>0</v>
      </c>
      <c r="U4307" s="182" t="n">
        <v>0</v>
      </c>
      <c r="V4307" s="182" t="n">
        <v>0</v>
      </c>
      <c r="W4307" s="182" t="n">
        <v>0</v>
      </c>
      <c r="X4307" s="182" t="n">
        <v>1</v>
      </c>
      <c r="Y4307" s="182" t="n">
        <v>0</v>
      </c>
      <c r="Z4307" s="182" t="n">
        <v>0</v>
      </c>
      <c r="AA4307" s="182" t="n">
        <v>0</v>
      </c>
      <c r="AB4307" s="182" t="n">
        <v>0</v>
      </c>
      <c r="AC4307" s="182" t="n">
        <v>0</v>
      </c>
      <c r="AD4307" s="182" t="n">
        <v>0</v>
      </c>
      <c r="AE4307" s="182" t="n">
        <v>0</v>
      </c>
      <c r="AF4307" s="182" t="n">
        <v>0</v>
      </c>
      <c r="AG4307" s="182" t="n">
        <v>0</v>
      </c>
      <c r="AH4307" s="182" t="n">
        <v>0</v>
      </c>
      <c r="AI4307" s="182" t="n">
        <v>0</v>
      </c>
      <c r="AJ4307" s="182" t="n">
        <v>0</v>
      </c>
      <c r="AK4307" s="182" t="n">
        <v>10.92</v>
      </c>
      <c r="AL4307" s="182" t="n">
        <v>0</v>
      </c>
      <c r="AM4307" s="182" t="n">
        <v>0.08</v>
      </c>
      <c r="AN4307" s="182" t="n">
        <v>0</v>
      </c>
    </row>
    <row r="4308">
      <c r="A4308" s="155" t="n">
        <v>46101</v>
      </c>
      <c r="B4308" s="156" t="inlineStr">
        <is>
          <t>NS</t>
        </is>
      </c>
      <c r="C4308" s="156" t="inlineStr">
        <is>
          <t>HT-417</t>
        </is>
      </c>
      <c r="D4308" s="156" t="inlineStr">
        <is>
          <t>SY430</t>
        </is>
      </c>
      <c r="E4308" s="156" t="inlineStr">
        <is>
          <t>DT Hauling</t>
        </is>
      </c>
      <c r="F4308" s="156" t="inlineStr"/>
      <c r="G4308" s="182" t="n">
        <v>0</v>
      </c>
      <c r="H4308" s="182" t="n">
        <v>0</v>
      </c>
      <c r="I4308" s="182" t="n">
        <v>0</v>
      </c>
      <c r="J4308" s="182" t="n">
        <v>0</v>
      </c>
      <c r="K4308" s="182" t="n">
        <v>12</v>
      </c>
      <c r="L4308" s="182" t="n">
        <v>12</v>
      </c>
      <c r="M4308" s="182" t="n">
        <v>0</v>
      </c>
      <c r="N4308" s="182" t="n">
        <v>0</v>
      </c>
      <c r="O4308" s="183" t="n">
        <v>0</v>
      </c>
      <c r="P4308" s="183" t="n">
        <v>0</v>
      </c>
      <c r="Q4308" s="184" t="n">
        <v>0</v>
      </c>
      <c r="R4308" s="184" t="n">
        <v>0</v>
      </c>
      <c r="S4308" s="183" t="n">
        <v>0</v>
      </c>
      <c r="T4308" s="183" t="n">
        <v>0</v>
      </c>
      <c r="U4308" s="182" t="n">
        <v>0</v>
      </c>
      <c r="V4308" s="182" t="n">
        <v>0</v>
      </c>
      <c r="W4308" s="182" t="n">
        <v>0</v>
      </c>
      <c r="X4308" s="182" t="n">
        <v>1</v>
      </c>
      <c r="Y4308" s="182" t="n">
        <v>0</v>
      </c>
      <c r="Z4308" s="182" t="n">
        <v>0</v>
      </c>
      <c r="AA4308" s="182" t="n">
        <v>0</v>
      </c>
      <c r="AB4308" s="182" t="n">
        <v>0</v>
      </c>
      <c r="AC4308" s="182" t="n">
        <v>0</v>
      </c>
      <c r="AD4308" s="182" t="n">
        <v>0</v>
      </c>
      <c r="AE4308" s="182" t="n">
        <v>0</v>
      </c>
      <c r="AF4308" s="182" t="n">
        <v>0</v>
      </c>
      <c r="AG4308" s="182" t="n">
        <v>0</v>
      </c>
      <c r="AH4308" s="182" t="n">
        <v>0</v>
      </c>
      <c r="AI4308" s="182" t="n">
        <v>0</v>
      </c>
      <c r="AJ4308" s="182" t="n">
        <v>0</v>
      </c>
      <c r="AK4308" s="182" t="n">
        <v>10.92</v>
      </c>
      <c r="AL4308" s="182" t="n">
        <v>0</v>
      </c>
      <c r="AM4308" s="182" t="n">
        <v>0.08</v>
      </c>
      <c r="AN4308" s="182" t="n">
        <v>0</v>
      </c>
    </row>
    <row r="4309">
      <c r="A4309" s="155" t="n">
        <v>46101</v>
      </c>
      <c r="B4309" s="156" t="inlineStr">
        <is>
          <t>NS</t>
        </is>
      </c>
      <c r="C4309" s="156" t="inlineStr">
        <is>
          <t>HT-401</t>
        </is>
      </c>
      <c r="D4309" s="156" t="inlineStr">
        <is>
          <t>SY430</t>
        </is>
      </c>
      <c r="E4309" s="156" t="inlineStr">
        <is>
          <t>DT Hauling</t>
        </is>
      </c>
      <c r="F4309" s="156" t="inlineStr"/>
      <c r="G4309" s="182" t="n">
        <v>0</v>
      </c>
      <c r="H4309" s="182" t="n">
        <v>0</v>
      </c>
      <c r="I4309" s="182" t="n">
        <v>0</v>
      </c>
      <c r="J4309" s="182" t="n">
        <v>0</v>
      </c>
      <c r="K4309" s="182" t="n">
        <v>12</v>
      </c>
      <c r="L4309" s="182" t="n">
        <v>12</v>
      </c>
      <c r="M4309" s="182" t="n">
        <v>0</v>
      </c>
      <c r="N4309" s="182" t="n">
        <v>0</v>
      </c>
      <c r="O4309" s="183" t="n">
        <v>0</v>
      </c>
      <c r="P4309" s="183" t="n">
        <v>0</v>
      </c>
      <c r="Q4309" s="184" t="n">
        <v>0</v>
      </c>
      <c r="R4309" s="184" t="n">
        <v>0</v>
      </c>
      <c r="S4309" s="183" t="n">
        <v>0</v>
      </c>
      <c r="T4309" s="183" t="n">
        <v>0</v>
      </c>
      <c r="U4309" s="182" t="n">
        <v>0</v>
      </c>
      <c r="V4309" s="182" t="n">
        <v>0</v>
      </c>
      <c r="W4309" s="182" t="n">
        <v>0</v>
      </c>
      <c r="X4309" s="182" t="n">
        <v>1</v>
      </c>
      <c r="Y4309" s="182" t="n">
        <v>0</v>
      </c>
      <c r="Z4309" s="182" t="n">
        <v>0</v>
      </c>
      <c r="AA4309" s="182" t="n">
        <v>0</v>
      </c>
      <c r="AB4309" s="182" t="n">
        <v>0</v>
      </c>
      <c r="AC4309" s="182" t="n">
        <v>0</v>
      </c>
      <c r="AD4309" s="182" t="n">
        <v>0</v>
      </c>
      <c r="AE4309" s="182" t="n">
        <v>0</v>
      </c>
      <c r="AF4309" s="182" t="n">
        <v>0</v>
      </c>
      <c r="AG4309" s="182" t="n">
        <v>0</v>
      </c>
      <c r="AH4309" s="182" t="n">
        <v>0</v>
      </c>
      <c r="AI4309" s="182" t="n">
        <v>0</v>
      </c>
      <c r="AJ4309" s="182" t="n">
        <v>0</v>
      </c>
      <c r="AK4309" s="182" t="n">
        <v>10.92</v>
      </c>
      <c r="AL4309" s="182" t="n">
        <v>0</v>
      </c>
      <c r="AM4309" s="182" t="n">
        <v>0.08</v>
      </c>
      <c r="AN4309" s="182" t="n">
        <v>0</v>
      </c>
    </row>
    <row r="4310">
      <c r="A4310" s="155" t="n">
        <v>46101</v>
      </c>
      <c r="B4310" s="156" t="inlineStr">
        <is>
          <t>NS</t>
        </is>
      </c>
      <c r="C4310" s="156" t="inlineStr">
        <is>
          <t>HT-410</t>
        </is>
      </c>
      <c r="D4310" s="156" t="inlineStr">
        <is>
          <t>SY430</t>
        </is>
      </c>
      <c r="E4310" s="156" t="inlineStr">
        <is>
          <t>DT Hauling</t>
        </is>
      </c>
      <c r="F4310" s="156" t="inlineStr"/>
      <c r="G4310" s="182" t="n">
        <v>0</v>
      </c>
      <c r="H4310" s="182" t="n">
        <v>0</v>
      </c>
      <c r="I4310" s="182" t="n">
        <v>0</v>
      </c>
      <c r="J4310" s="182" t="n">
        <v>0</v>
      </c>
      <c r="K4310" s="182" t="n">
        <v>12</v>
      </c>
      <c r="L4310" s="182" t="n">
        <v>12</v>
      </c>
      <c r="M4310" s="182" t="n">
        <v>0</v>
      </c>
      <c r="N4310" s="182" t="n">
        <v>0</v>
      </c>
      <c r="O4310" s="183" t="n">
        <v>0</v>
      </c>
      <c r="P4310" s="183" t="n">
        <v>0</v>
      </c>
      <c r="Q4310" s="184" t="n">
        <v>0</v>
      </c>
      <c r="R4310" s="184" t="n">
        <v>0</v>
      </c>
      <c r="S4310" s="183" t="n">
        <v>0</v>
      </c>
      <c r="T4310" s="183" t="n">
        <v>0</v>
      </c>
      <c r="U4310" s="182" t="n">
        <v>0</v>
      </c>
      <c r="V4310" s="182" t="n">
        <v>0</v>
      </c>
      <c r="W4310" s="182" t="n">
        <v>0</v>
      </c>
      <c r="X4310" s="182" t="n">
        <v>1</v>
      </c>
      <c r="Y4310" s="182" t="n">
        <v>0</v>
      </c>
      <c r="Z4310" s="182" t="n">
        <v>0</v>
      </c>
      <c r="AA4310" s="182" t="n">
        <v>0</v>
      </c>
      <c r="AB4310" s="182" t="n">
        <v>0</v>
      </c>
      <c r="AC4310" s="182" t="n">
        <v>0</v>
      </c>
      <c r="AD4310" s="182" t="n">
        <v>0</v>
      </c>
      <c r="AE4310" s="182" t="n">
        <v>0</v>
      </c>
      <c r="AF4310" s="182" t="n">
        <v>0</v>
      </c>
      <c r="AG4310" s="182" t="n">
        <v>0</v>
      </c>
      <c r="AH4310" s="182" t="n">
        <v>0</v>
      </c>
      <c r="AI4310" s="182" t="n">
        <v>0</v>
      </c>
      <c r="AJ4310" s="182" t="n">
        <v>0</v>
      </c>
      <c r="AK4310" s="182" t="n">
        <v>10.92</v>
      </c>
      <c r="AL4310" s="182" t="n">
        <v>0</v>
      </c>
      <c r="AM4310" s="182" t="n">
        <v>0.08</v>
      </c>
      <c r="AN4310" s="182" t="n">
        <v>0</v>
      </c>
    </row>
    <row r="4311">
      <c r="A4311" s="155" t="n">
        <v>46101</v>
      </c>
      <c r="B4311" s="156" t="inlineStr">
        <is>
          <t>NS</t>
        </is>
      </c>
      <c r="C4311" s="156" t="inlineStr">
        <is>
          <t>HT-402</t>
        </is>
      </c>
      <c r="D4311" s="156" t="inlineStr">
        <is>
          <t>SY430</t>
        </is>
      </c>
      <c r="E4311" s="156" t="inlineStr">
        <is>
          <t>DT Hauling</t>
        </is>
      </c>
      <c r="F4311" s="156" t="inlineStr"/>
      <c r="G4311" s="182" t="n">
        <v>0</v>
      </c>
      <c r="H4311" s="182" t="n">
        <v>0</v>
      </c>
      <c r="I4311" s="182" t="n">
        <v>12</v>
      </c>
      <c r="J4311" s="182" t="n">
        <v>12</v>
      </c>
      <c r="K4311" s="182" t="n">
        <v>0</v>
      </c>
      <c r="L4311" s="182" t="n">
        <v>12</v>
      </c>
      <c r="M4311" s="182" t="n">
        <v>0</v>
      </c>
      <c r="N4311" s="182" t="n">
        <v>0</v>
      </c>
      <c r="O4311" s="183" t="n">
        <v>0</v>
      </c>
      <c r="P4311" s="183" t="n">
        <v>0</v>
      </c>
      <c r="Q4311" s="184" t="n">
        <v>0</v>
      </c>
      <c r="R4311" s="184" t="n">
        <v>0</v>
      </c>
      <c r="S4311" s="183" t="n">
        <v>0</v>
      </c>
      <c r="T4311" s="183" t="n">
        <v>0</v>
      </c>
      <c r="U4311" s="182" t="n">
        <v>0</v>
      </c>
      <c r="V4311" s="182" t="n">
        <v>0</v>
      </c>
      <c r="W4311" s="182" t="n">
        <v>0</v>
      </c>
      <c r="X4311" s="182" t="n">
        <v>0</v>
      </c>
      <c r="Y4311" s="182" t="n">
        <v>0</v>
      </c>
      <c r="Z4311" s="182" t="n">
        <v>0</v>
      </c>
      <c r="AA4311" s="182" t="n">
        <v>0</v>
      </c>
      <c r="AB4311" s="182" t="n">
        <v>0</v>
      </c>
      <c r="AC4311" s="182" t="n">
        <v>0</v>
      </c>
      <c r="AD4311" s="182" t="n">
        <v>0</v>
      </c>
      <c r="AE4311" s="182" t="n">
        <v>0</v>
      </c>
      <c r="AF4311" s="182" t="n">
        <v>0</v>
      </c>
      <c r="AG4311" s="182" t="n">
        <v>0</v>
      </c>
      <c r="AH4311" s="182" t="n">
        <v>0</v>
      </c>
      <c r="AI4311" s="182" t="n">
        <v>0</v>
      </c>
      <c r="AJ4311" s="182" t="n">
        <v>0</v>
      </c>
      <c r="AK4311" s="182" t="n">
        <v>0</v>
      </c>
      <c r="AL4311" s="182" t="n">
        <v>0</v>
      </c>
      <c r="AM4311" s="182" t="n">
        <v>0</v>
      </c>
      <c r="AN4311" s="182" t="n">
        <v>0</v>
      </c>
    </row>
    <row r="4312">
      <c r="A4312" s="155" t="n">
        <v>46101</v>
      </c>
      <c r="B4312" s="156" t="inlineStr">
        <is>
          <t>NS</t>
        </is>
      </c>
      <c r="C4312" s="156" t="inlineStr">
        <is>
          <t>HT-419</t>
        </is>
      </c>
      <c r="D4312" s="156" t="inlineStr">
        <is>
          <t>SY430</t>
        </is>
      </c>
      <c r="E4312" s="156" t="inlineStr">
        <is>
          <t>DT Hauling</t>
        </is>
      </c>
      <c r="F4312" s="156" t="inlineStr"/>
      <c r="G4312" s="182" t="n">
        <v>0</v>
      </c>
      <c r="H4312" s="182" t="n">
        <v>0</v>
      </c>
      <c r="I4312" s="182" t="n">
        <v>0</v>
      </c>
      <c r="J4312" s="182" t="n">
        <v>0</v>
      </c>
      <c r="K4312" s="182" t="n">
        <v>12</v>
      </c>
      <c r="L4312" s="182" t="n">
        <v>12</v>
      </c>
      <c r="M4312" s="182" t="n">
        <v>0</v>
      </c>
      <c r="N4312" s="182" t="n">
        <v>0</v>
      </c>
      <c r="O4312" s="183" t="n">
        <v>0</v>
      </c>
      <c r="P4312" s="183" t="n">
        <v>0</v>
      </c>
      <c r="Q4312" s="184" t="n">
        <v>0</v>
      </c>
      <c r="R4312" s="184" t="n">
        <v>0</v>
      </c>
      <c r="S4312" s="183" t="n">
        <v>0</v>
      </c>
      <c r="T4312" s="183" t="n">
        <v>0</v>
      </c>
      <c r="U4312" s="182" t="n">
        <v>0</v>
      </c>
      <c r="V4312" s="182" t="n">
        <v>0</v>
      </c>
      <c r="W4312" s="182" t="n">
        <v>0</v>
      </c>
      <c r="X4312" s="182" t="n">
        <v>1</v>
      </c>
      <c r="Y4312" s="182" t="n">
        <v>0</v>
      </c>
      <c r="Z4312" s="182" t="n">
        <v>0</v>
      </c>
      <c r="AA4312" s="182" t="n">
        <v>0</v>
      </c>
      <c r="AB4312" s="182" t="n">
        <v>0</v>
      </c>
      <c r="AC4312" s="182" t="n">
        <v>0</v>
      </c>
      <c r="AD4312" s="182" t="n">
        <v>0</v>
      </c>
      <c r="AE4312" s="182" t="n">
        <v>0</v>
      </c>
      <c r="AF4312" s="182" t="n">
        <v>0</v>
      </c>
      <c r="AG4312" s="182" t="n">
        <v>0</v>
      </c>
      <c r="AH4312" s="182" t="n">
        <v>0</v>
      </c>
      <c r="AI4312" s="182" t="n">
        <v>0</v>
      </c>
      <c r="AJ4312" s="182" t="n">
        <v>0</v>
      </c>
      <c r="AK4312" s="182" t="n">
        <v>10.92</v>
      </c>
      <c r="AL4312" s="182" t="n">
        <v>0</v>
      </c>
      <c r="AM4312" s="182" t="n">
        <v>0.08</v>
      </c>
      <c r="AN4312" s="182" t="n">
        <v>0</v>
      </c>
    </row>
    <row r="4313">
      <c r="A4313" s="155" t="n">
        <v>46101</v>
      </c>
      <c r="B4313" s="156" t="inlineStr">
        <is>
          <t>NS</t>
        </is>
      </c>
      <c r="C4313" s="156" t="inlineStr">
        <is>
          <t>HT-416</t>
        </is>
      </c>
      <c r="D4313" s="156" t="inlineStr">
        <is>
          <t>SY430</t>
        </is>
      </c>
      <c r="E4313" s="156" t="inlineStr">
        <is>
          <t>DT Hauling</t>
        </is>
      </c>
      <c r="F4313" s="156" t="inlineStr"/>
      <c r="G4313" s="182" t="n">
        <v>0</v>
      </c>
      <c r="H4313" s="182" t="n">
        <v>0</v>
      </c>
      <c r="I4313" s="182" t="n">
        <v>0</v>
      </c>
      <c r="J4313" s="182" t="n">
        <v>0</v>
      </c>
      <c r="K4313" s="182" t="n">
        <v>12</v>
      </c>
      <c r="L4313" s="182" t="n">
        <v>12</v>
      </c>
      <c r="M4313" s="182" t="n">
        <v>0</v>
      </c>
      <c r="N4313" s="182" t="n">
        <v>0</v>
      </c>
      <c r="O4313" s="183" t="n">
        <v>0</v>
      </c>
      <c r="P4313" s="183" t="n">
        <v>0</v>
      </c>
      <c r="Q4313" s="184" t="n">
        <v>0</v>
      </c>
      <c r="R4313" s="184" t="n">
        <v>0</v>
      </c>
      <c r="S4313" s="183" t="n">
        <v>0</v>
      </c>
      <c r="T4313" s="183" t="n">
        <v>0</v>
      </c>
      <c r="U4313" s="182" t="n">
        <v>0</v>
      </c>
      <c r="V4313" s="182" t="n">
        <v>0</v>
      </c>
      <c r="W4313" s="182" t="n">
        <v>0</v>
      </c>
      <c r="X4313" s="182" t="n">
        <v>1</v>
      </c>
      <c r="Y4313" s="182" t="n">
        <v>0</v>
      </c>
      <c r="Z4313" s="182" t="n">
        <v>0</v>
      </c>
      <c r="AA4313" s="182" t="n">
        <v>0</v>
      </c>
      <c r="AB4313" s="182" t="n">
        <v>0</v>
      </c>
      <c r="AC4313" s="182" t="n">
        <v>0</v>
      </c>
      <c r="AD4313" s="182" t="n">
        <v>0</v>
      </c>
      <c r="AE4313" s="182" t="n">
        <v>0</v>
      </c>
      <c r="AF4313" s="182" t="n">
        <v>0</v>
      </c>
      <c r="AG4313" s="182" t="n">
        <v>0</v>
      </c>
      <c r="AH4313" s="182" t="n">
        <v>0</v>
      </c>
      <c r="AI4313" s="182" t="n">
        <v>0</v>
      </c>
      <c r="AJ4313" s="182" t="n">
        <v>0</v>
      </c>
      <c r="AK4313" s="182" t="n">
        <v>10.92</v>
      </c>
      <c r="AL4313" s="182" t="n">
        <v>0</v>
      </c>
      <c r="AM4313" s="182" t="n">
        <v>0.08</v>
      </c>
      <c r="AN4313" s="182" t="n">
        <v>0</v>
      </c>
    </row>
    <row r="4314">
      <c r="A4314" s="155" t="n">
        <v>46101</v>
      </c>
      <c r="B4314" s="156" t="inlineStr">
        <is>
          <t>NS</t>
        </is>
      </c>
      <c r="C4314" s="156" t="inlineStr">
        <is>
          <t>HT-420</t>
        </is>
      </c>
      <c r="D4314" s="156" t="inlineStr">
        <is>
          <t>SY430</t>
        </is>
      </c>
      <c r="E4314" s="156" t="inlineStr">
        <is>
          <t>DT Hauling</t>
        </is>
      </c>
      <c r="F4314" s="156" t="inlineStr"/>
      <c r="G4314" s="182" t="n">
        <v>0</v>
      </c>
      <c r="H4314" s="182" t="n">
        <v>0</v>
      </c>
      <c r="I4314" s="182" t="n">
        <v>0</v>
      </c>
      <c r="J4314" s="182" t="n">
        <v>0</v>
      </c>
      <c r="K4314" s="182" t="n">
        <v>12</v>
      </c>
      <c r="L4314" s="182" t="n">
        <v>12</v>
      </c>
      <c r="M4314" s="182" t="n">
        <v>0</v>
      </c>
      <c r="N4314" s="182" t="n">
        <v>0</v>
      </c>
      <c r="O4314" s="183" t="n">
        <v>0</v>
      </c>
      <c r="P4314" s="183" t="n">
        <v>0</v>
      </c>
      <c r="Q4314" s="184" t="n">
        <v>0</v>
      </c>
      <c r="R4314" s="184" t="n">
        <v>0</v>
      </c>
      <c r="S4314" s="183" t="n">
        <v>0</v>
      </c>
      <c r="T4314" s="183" t="n">
        <v>0</v>
      </c>
      <c r="U4314" s="182" t="n">
        <v>0</v>
      </c>
      <c r="V4314" s="182" t="n">
        <v>0</v>
      </c>
      <c r="W4314" s="182" t="n">
        <v>0</v>
      </c>
      <c r="X4314" s="182" t="n">
        <v>1</v>
      </c>
      <c r="Y4314" s="182" t="n">
        <v>0</v>
      </c>
      <c r="Z4314" s="182" t="n">
        <v>0</v>
      </c>
      <c r="AA4314" s="182" t="n">
        <v>0</v>
      </c>
      <c r="AB4314" s="182" t="n">
        <v>0</v>
      </c>
      <c r="AC4314" s="182" t="n">
        <v>0</v>
      </c>
      <c r="AD4314" s="182" t="n">
        <v>0</v>
      </c>
      <c r="AE4314" s="182" t="n">
        <v>0</v>
      </c>
      <c r="AF4314" s="182" t="n">
        <v>0</v>
      </c>
      <c r="AG4314" s="182" t="n">
        <v>0</v>
      </c>
      <c r="AH4314" s="182" t="n">
        <v>0</v>
      </c>
      <c r="AI4314" s="182" t="n">
        <v>0</v>
      </c>
      <c r="AJ4314" s="182" t="n">
        <v>0</v>
      </c>
      <c r="AK4314" s="182" t="n">
        <v>10.92</v>
      </c>
      <c r="AL4314" s="182" t="n">
        <v>0</v>
      </c>
      <c r="AM4314" s="182" t="n">
        <v>0.08</v>
      </c>
      <c r="AN4314" s="182" t="n">
        <v>0</v>
      </c>
    </row>
    <row r="4315">
      <c r="A4315" s="155" t="n">
        <v>46101</v>
      </c>
      <c r="B4315" s="156" t="inlineStr">
        <is>
          <t>NS</t>
        </is>
      </c>
      <c r="C4315" s="156" t="inlineStr">
        <is>
          <t>HT-403</t>
        </is>
      </c>
      <c r="D4315" s="156" t="inlineStr">
        <is>
          <t>SY430</t>
        </is>
      </c>
      <c r="E4315" s="156" t="inlineStr">
        <is>
          <t>DT Hauling</t>
        </is>
      </c>
      <c r="F4315" s="156" t="inlineStr"/>
      <c r="G4315" s="182" t="n">
        <v>0</v>
      </c>
      <c r="H4315" s="182" t="n">
        <v>0</v>
      </c>
      <c r="I4315" s="182" t="n">
        <v>0</v>
      </c>
      <c r="J4315" s="182" t="n">
        <v>0</v>
      </c>
      <c r="K4315" s="182" t="n">
        <v>12</v>
      </c>
      <c r="L4315" s="182" t="n">
        <v>12</v>
      </c>
      <c r="M4315" s="182" t="n">
        <v>0</v>
      </c>
      <c r="N4315" s="182" t="n">
        <v>0</v>
      </c>
      <c r="O4315" s="183" t="n">
        <v>0</v>
      </c>
      <c r="P4315" s="183" t="n">
        <v>0</v>
      </c>
      <c r="Q4315" s="184" t="n">
        <v>0</v>
      </c>
      <c r="R4315" s="184" t="n">
        <v>0</v>
      </c>
      <c r="S4315" s="183" t="n">
        <v>0</v>
      </c>
      <c r="T4315" s="183" t="n">
        <v>0</v>
      </c>
      <c r="U4315" s="182" t="n">
        <v>0</v>
      </c>
      <c r="V4315" s="182" t="n">
        <v>0</v>
      </c>
      <c r="W4315" s="182" t="n">
        <v>0</v>
      </c>
      <c r="X4315" s="182" t="n">
        <v>1</v>
      </c>
      <c r="Y4315" s="182" t="n">
        <v>0</v>
      </c>
      <c r="Z4315" s="182" t="n">
        <v>0</v>
      </c>
      <c r="AA4315" s="182" t="n">
        <v>0</v>
      </c>
      <c r="AB4315" s="182" t="n">
        <v>0</v>
      </c>
      <c r="AC4315" s="182" t="n">
        <v>0</v>
      </c>
      <c r="AD4315" s="182" t="n">
        <v>0</v>
      </c>
      <c r="AE4315" s="182" t="n">
        <v>0</v>
      </c>
      <c r="AF4315" s="182" t="n">
        <v>0</v>
      </c>
      <c r="AG4315" s="182" t="n">
        <v>0</v>
      </c>
      <c r="AH4315" s="182" t="n">
        <v>0</v>
      </c>
      <c r="AI4315" s="182" t="n">
        <v>0</v>
      </c>
      <c r="AJ4315" s="182" t="n">
        <v>0</v>
      </c>
      <c r="AK4315" s="182" t="n">
        <v>10.92</v>
      </c>
      <c r="AL4315" s="182" t="n">
        <v>0</v>
      </c>
      <c r="AM4315" s="182" t="n">
        <v>0.08</v>
      </c>
      <c r="AN4315" s="182" t="n">
        <v>0</v>
      </c>
    </row>
    <row r="4316">
      <c r="A4316" s="155" t="n">
        <v>46101</v>
      </c>
      <c r="B4316" s="156" t="inlineStr">
        <is>
          <t>NS</t>
        </is>
      </c>
      <c r="C4316" s="156" t="inlineStr">
        <is>
          <t>HT-408</t>
        </is>
      </c>
      <c r="D4316" s="156" t="inlineStr">
        <is>
          <t>SY430</t>
        </is>
      </c>
      <c r="E4316" s="156" t="inlineStr">
        <is>
          <t>DT Hauling</t>
        </is>
      </c>
      <c r="F4316" s="156" t="inlineStr"/>
      <c r="G4316" s="182" t="n">
        <v>0</v>
      </c>
      <c r="H4316" s="182" t="n">
        <v>0</v>
      </c>
      <c r="I4316" s="182" t="n">
        <v>0</v>
      </c>
      <c r="J4316" s="182" t="n">
        <v>0</v>
      </c>
      <c r="K4316" s="182" t="n">
        <v>12</v>
      </c>
      <c r="L4316" s="182" t="n">
        <v>12</v>
      </c>
      <c r="M4316" s="182" t="n">
        <v>0</v>
      </c>
      <c r="N4316" s="182" t="n">
        <v>0</v>
      </c>
      <c r="O4316" s="183" t="n">
        <v>0</v>
      </c>
      <c r="P4316" s="183" t="n">
        <v>0</v>
      </c>
      <c r="Q4316" s="184" t="n">
        <v>0</v>
      </c>
      <c r="R4316" s="184" t="n">
        <v>0</v>
      </c>
      <c r="S4316" s="183" t="n">
        <v>0</v>
      </c>
      <c r="T4316" s="183" t="n">
        <v>0</v>
      </c>
      <c r="U4316" s="182" t="n">
        <v>0</v>
      </c>
      <c r="V4316" s="182" t="n">
        <v>0</v>
      </c>
      <c r="W4316" s="182" t="n">
        <v>0</v>
      </c>
      <c r="X4316" s="182" t="n">
        <v>1</v>
      </c>
      <c r="Y4316" s="182" t="n">
        <v>0</v>
      </c>
      <c r="Z4316" s="182" t="n">
        <v>0</v>
      </c>
      <c r="AA4316" s="182" t="n">
        <v>0</v>
      </c>
      <c r="AB4316" s="182" t="n">
        <v>0</v>
      </c>
      <c r="AC4316" s="182" t="n">
        <v>0</v>
      </c>
      <c r="AD4316" s="182" t="n">
        <v>0</v>
      </c>
      <c r="AE4316" s="182" t="n">
        <v>0</v>
      </c>
      <c r="AF4316" s="182" t="n">
        <v>0</v>
      </c>
      <c r="AG4316" s="182" t="n">
        <v>0</v>
      </c>
      <c r="AH4316" s="182" t="n">
        <v>0</v>
      </c>
      <c r="AI4316" s="182" t="n">
        <v>0</v>
      </c>
      <c r="AJ4316" s="182" t="n">
        <v>0</v>
      </c>
      <c r="AK4316" s="182" t="n">
        <v>10.92</v>
      </c>
      <c r="AL4316" s="182" t="n">
        <v>0</v>
      </c>
      <c r="AM4316" s="182" t="n">
        <v>0.08</v>
      </c>
      <c r="AN4316" s="182" t="n">
        <v>0</v>
      </c>
    </row>
    <row r="4317">
      <c r="A4317" s="155" t="n">
        <v>46101</v>
      </c>
      <c r="B4317" s="156" t="inlineStr">
        <is>
          <t>NS</t>
        </is>
      </c>
      <c r="C4317" s="156" t="inlineStr">
        <is>
          <t>HT-412</t>
        </is>
      </c>
      <c r="D4317" s="156" t="inlineStr">
        <is>
          <t>SY430</t>
        </is>
      </c>
      <c r="E4317" s="156" t="inlineStr">
        <is>
          <t>DT Hauling</t>
        </is>
      </c>
      <c r="F4317" s="156" t="inlineStr"/>
      <c r="G4317" s="182" t="n">
        <v>0</v>
      </c>
      <c r="H4317" s="182" t="n">
        <v>12</v>
      </c>
      <c r="I4317" s="182" t="n">
        <v>0</v>
      </c>
      <c r="J4317" s="182" t="n">
        <v>12</v>
      </c>
      <c r="K4317" s="182" t="n">
        <v>0</v>
      </c>
      <c r="L4317" s="182" t="n">
        <v>12</v>
      </c>
      <c r="M4317" s="182" t="n">
        <v>0</v>
      </c>
      <c r="N4317" s="182" t="n">
        <v>0</v>
      </c>
      <c r="O4317" s="183" t="n">
        <v>0</v>
      </c>
      <c r="P4317" s="183" t="n">
        <v>0</v>
      </c>
      <c r="Q4317" s="184" t="n">
        <v>0</v>
      </c>
      <c r="R4317" s="184" t="n">
        <v>0</v>
      </c>
      <c r="S4317" s="183" t="n">
        <v>0</v>
      </c>
      <c r="T4317" s="183" t="n">
        <v>0</v>
      </c>
      <c r="U4317" s="182" t="n">
        <v>0</v>
      </c>
      <c r="V4317" s="182" t="n">
        <v>0</v>
      </c>
      <c r="W4317" s="182" t="n">
        <v>0</v>
      </c>
      <c r="X4317" s="182" t="n">
        <v>0</v>
      </c>
      <c r="Y4317" s="182" t="n">
        <v>0</v>
      </c>
      <c r="Z4317" s="182" t="n">
        <v>0</v>
      </c>
      <c r="AA4317" s="182" t="n">
        <v>0</v>
      </c>
      <c r="AB4317" s="182" t="n">
        <v>0</v>
      </c>
      <c r="AC4317" s="182" t="n">
        <v>0</v>
      </c>
      <c r="AD4317" s="182" t="n">
        <v>0</v>
      </c>
      <c r="AE4317" s="182" t="n">
        <v>0</v>
      </c>
      <c r="AF4317" s="182" t="n">
        <v>0</v>
      </c>
      <c r="AG4317" s="182" t="n">
        <v>0</v>
      </c>
      <c r="AH4317" s="182" t="n">
        <v>0</v>
      </c>
      <c r="AI4317" s="182" t="n">
        <v>0</v>
      </c>
      <c r="AJ4317" s="182" t="n">
        <v>0</v>
      </c>
      <c r="AK4317" s="182" t="n">
        <v>0</v>
      </c>
      <c r="AL4317" s="182" t="n">
        <v>0</v>
      </c>
      <c r="AM4317" s="182" t="n">
        <v>0</v>
      </c>
      <c r="AN4317" s="182" t="n">
        <v>0</v>
      </c>
    </row>
    <row r="4318">
      <c r="A4318" s="155" t="n">
        <v>46101</v>
      </c>
      <c r="B4318" s="156" t="inlineStr">
        <is>
          <t>NS</t>
        </is>
      </c>
      <c r="C4318" s="156" t="inlineStr">
        <is>
          <t>HT-413</t>
        </is>
      </c>
      <c r="D4318" s="156" t="inlineStr">
        <is>
          <t>SY430</t>
        </is>
      </c>
      <c r="E4318" s="156" t="inlineStr">
        <is>
          <t>DT Hauling</t>
        </is>
      </c>
      <c r="F4318" s="156" t="inlineStr"/>
      <c r="G4318" s="182" t="n">
        <v>0</v>
      </c>
      <c r="H4318" s="182" t="n">
        <v>0</v>
      </c>
      <c r="I4318" s="182" t="n">
        <v>12</v>
      </c>
      <c r="J4318" s="182" t="n">
        <v>12</v>
      </c>
      <c r="K4318" s="182" t="n">
        <v>0</v>
      </c>
      <c r="L4318" s="182" t="n">
        <v>12</v>
      </c>
      <c r="M4318" s="182" t="n">
        <v>0</v>
      </c>
      <c r="N4318" s="182" t="n">
        <v>0</v>
      </c>
      <c r="O4318" s="183" t="n">
        <v>0</v>
      </c>
      <c r="P4318" s="183" t="n">
        <v>0</v>
      </c>
      <c r="Q4318" s="184" t="n">
        <v>0</v>
      </c>
      <c r="R4318" s="184" t="n">
        <v>0</v>
      </c>
      <c r="S4318" s="183" t="n">
        <v>0</v>
      </c>
      <c r="T4318" s="183" t="n">
        <v>0</v>
      </c>
      <c r="U4318" s="182" t="n">
        <v>0</v>
      </c>
      <c r="V4318" s="182" t="n">
        <v>0</v>
      </c>
      <c r="W4318" s="182" t="n">
        <v>0</v>
      </c>
      <c r="X4318" s="182" t="n">
        <v>0</v>
      </c>
      <c r="Y4318" s="182" t="n">
        <v>0</v>
      </c>
      <c r="Z4318" s="182" t="n">
        <v>0</v>
      </c>
      <c r="AA4318" s="182" t="n">
        <v>0</v>
      </c>
      <c r="AB4318" s="182" t="n">
        <v>0</v>
      </c>
      <c r="AC4318" s="182" t="n">
        <v>0</v>
      </c>
      <c r="AD4318" s="182" t="n">
        <v>0</v>
      </c>
      <c r="AE4318" s="182" t="n">
        <v>0</v>
      </c>
      <c r="AF4318" s="182" t="n">
        <v>0</v>
      </c>
      <c r="AG4318" s="182" t="n">
        <v>0</v>
      </c>
      <c r="AH4318" s="182" t="n">
        <v>0</v>
      </c>
      <c r="AI4318" s="182" t="n">
        <v>0</v>
      </c>
      <c r="AJ4318" s="182" t="n">
        <v>0</v>
      </c>
      <c r="AK4318" s="182" t="n">
        <v>0</v>
      </c>
      <c r="AL4318" s="182" t="n">
        <v>0</v>
      </c>
      <c r="AM4318" s="182" t="n">
        <v>0</v>
      </c>
      <c r="AN4318" s="182" t="n">
        <v>0</v>
      </c>
    </row>
    <row r="4319">
      <c r="A4319" s="155" t="n">
        <v>46101</v>
      </c>
      <c r="B4319" s="156" t="inlineStr">
        <is>
          <t>NS</t>
        </is>
      </c>
      <c r="C4319" s="156" t="inlineStr">
        <is>
          <t>HT-407</t>
        </is>
      </c>
      <c r="D4319" s="156" t="inlineStr">
        <is>
          <t>SY430</t>
        </is>
      </c>
      <c r="E4319" s="156" t="inlineStr">
        <is>
          <t>DT Hauling</t>
        </is>
      </c>
      <c r="F4319" s="156" t="inlineStr"/>
      <c r="G4319" s="182" t="n">
        <v>0</v>
      </c>
      <c r="H4319" s="182" t="n">
        <v>0</v>
      </c>
      <c r="I4319" s="182" t="n">
        <v>0</v>
      </c>
      <c r="J4319" s="182" t="n">
        <v>0</v>
      </c>
      <c r="K4319" s="182" t="n">
        <v>12</v>
      </c>
      <c r="L4319" s="182" t="n">
        <v>12</v>
      </c>
      <c r="M4319" s="182" t="n">
        <v>0</v>
      </c>
      <c r="N4319" s="182" t="n">
        <v>0</v>
      </c>
      <c r="O4319" s="183" t="n">
        <v>0</v>
      </c>
      <c r="P4319" s="183" t="n">
        <v>0</v>
      </c>
      <c r="Q4319" s="184" t="n">
        <v>0</v>
      </c>
      <c r="R4319" s="184" t="n">
        <v>0</v>
      </c>
      <c r="S4319" s="183" t="n">
        <v>0</v>
      </c>
      <c r="T4319" s="183" t="n">
        <v>0</v>
      </c>
      <c r="U4319" s="182" t="n">
        <v>0</v>
      </c>
      <c r="V4319" s="182" t="n">
        <v>0</v>
      </c>
      <c r="W4319" s="182" t="n">
        <v>0</v>
      </c>
      <c r="X4319" s="182" t="n">
        <v>1</v>
      </c>
      <c r="Y4319" s="182" t="n">
        <v>0</v>
      </c>
      <c r="Z4319" s="182" t="n">
        <v>0</v>
      </c>
      <c r="AA4319" s="182" t="n">
        <v>0</v>
      </c>
      <c r="AB4319" s="182" t="n">
        <v>0</v>
      </c>
      <c r="AC4319" s="182" t="n">
        <v>0</v>
      </c>
      <c r="AD4319" s="182" t="n">
        <v>0</v>
      </c>
      <c r="AE4319" s="182" t="n">
        <v>0</v>
      </c>
      <c r="AF4319" s="182" t="n">
        <v>0</v>
      </c>
      <c r="AG4319" s="182" t="n">
        <v>0</v>
      </c>
      <c r="AH4319" s="182" t="n">
        <v>0</v>
      </c>
      <c r="AI4319" s="182" t="n">
        <v>0</v>
      </c>
      <c r="AJ4319" s="182" t="n">
        <v>0</v>
      </c>
      <c r="AK4319" s="182" t="n">
        <v>10.92</v>
      </c>
      <c r="AL4319" s="182" t="n">
        <v>0</v>
      </c>
      <c r="AM4319" s="182" t="n">
        <v>0.08</v>
      </c>
      <c r="AN4319" s="182" t="n">
        <v>0</v>
      </c>
    </row>
    <row r="4320">
      <c r="A4320" s="155" t="n">
        <v>46101</v>
      </c>
      <c r="B4320" s="156" t="inlineStr">
        <is>
          <t>NS</t>
        </is>
      </c>
      <c r="C4320" s="156" t="inlineStr">
        <is>
          <t>HT-414</t>
        </is>
      </c>
      <c r="D4320" s="156" t="inlineStr">
        <is>
          <t>SY430</t>
        </is>
      </c>
      <c r="E4320" s="156" t="inlineStr">
        <is>
          <t>DT Hauling</t>
        </is>
      </c>
      <c r="F4320" s="156" t="inlineStr"/>
      <c r="G4320" s="182" t="n">
        <v>0</v>
      </c>
      <c r="H4320" s="182" t="n">
        <v>0</v>
      </c>
      <c r="I4320" s="182" t="n">
        <v>0</v>
      </c>
      <c r="J4320" s="182" t="n">
        <v>0</v>
      </c>
      <c r="K4320" s="182" t="n">
        <v>12</v>
      </c>
      <c r="L4320" s="182" t="n">
        <v>12</v>
      </c>
      <c r="M4320" s="182" t="n">
        <v>0</v>
      </c>
      <c r="N4320" s="182" t="n">
        <v>0</v>
      </c>
      <c r="O4320" s="183" t="n">
        <v>0</v>
      </c>
      <c r="P4320" s="183" t="n">
        <v>0</v>
      </c>
      <c r="Q4320" s="184" t="n">
        <v>0</v>
      </c>
      <c r="R4320" s="184" t="n">
        <v>0</v>
      </c>
      <c r="S4320" s="183" t="n">
        <v>0</v>
      </c>
      <c r="T4320" s="183" t="n">
        <v>0</v>
      </c>
      <c r="U4320" s="182" t="n">
        <v>0</v>
      </c>
      <c r="V4320" s="182" t="n">
        <v>0</v>
      </c>
      <c r="W4320" s="182" t="n">
        <v>0</v>
      </c>
      <c r="X4320" s="182" t="n">
        <v>1</v>
      </c>
      <c r="Y4320" s="182" t="n">
        <v>0</v>
      </c>
      <c r="Z4320" s="182" t="n">
        <v>0</v>
      </c>
      <c r="AA4320" s="182" t="n">
        <v>0</v>
      </c>
      <c r="AB4320" s="182" t="n">
        <v>0</v>
      </c>
      <c r="AC4320" s="182" t="n">
        <v>0</v>
      </c>
      <c r="AD4320" s="182" t="n">
        <v>0</v>
      </c>
      <c r="AE4320" s="182" t="n">
        <v>0</v>
      </c>
      <c r="AF4320" s="182" t="n">
        <v>0</v>
      </c>
      <c r="AG4320" s="182" t="n">
        <v>0</v>
      </c>
      <c r="AH4320" s="182" t="n">
        <v>0</v>
      </c>
      <c r="AI4320" s="182" t="n">
        <v>0</v>
      </c>
      <c r="AJ4320" s="182" t="n">
        <v>0</v>
      </c>
      <c r="AK4320" s="182" t="n">
        <v>10.92</v>
      </c>
      <c r="AL4320" s="182" t="n">
        <v>0</v>
      </c>
      <c r="AM4320" s="182" t="n">
        <v>0.08</v>
      </c>
      <c r="AN4320" s="182" t="n">
        <v>0</v>
      </c>
    </row>
    <row r="4321">
      <c r="A4321" s="155" t="n">
        <v>46101</v>
      </c>
      <c r="B4321" s="156" t="inlineStr">
        <is>
          <t>NS</t>
        </is>
      </c>
      <c r="C4321" s="156" t="inlineStr">
        <is>
          <t>HT-411</t>
        </is>
      </c>
      <c r="D4321" s="156" t="inlineStr">
        <is>
          <t>SY430</t>
        </is>
      </c>
      <c r="E4321" s="156" t="inlineStr">
        <is>
          <t>DT Hauling</t>
        </is>
      </c>
      <c r="F4321" s="156" t="inlineStr"/>
      <c r="G4321" s="182" t="n">
        <v>0</v>
      </c>
      <c r="H4321" s="182" t="n">
        <v>0</v>
      </c>
      <c r="I4321" s="182" t="n">
        <v>0</v>
      </c>
      <c r="J4321" s="182" t="n">
        <v>0</v>
      </c>
      <c r="K4321" s="182" t="n">
        <v>12</v>
      </c>
      <c r="L4321" s="182" t="n">
        <v>12</v>
      </c>
      <c r="M4321" s="182" t="n">
        <v>0</v>
      </c>
      <c r="N4321" s="182" t="n">
        <v>0</v>
      </c>
      <c r="O4321" s="183" t="n">
        <v>0</v>
      </c>
      <c r="P4321" s="183" t="n">
        <v>0</v>
      </c>
      <c r="Q4321" s="184" t="n">
        <v>0</v>
      </c>
      <c r="R4321" s="184" t="n">
        <v>0</v>
      </c>
      <c r="S4321" s="183" t="n">
        <v>0</v>
      </c>
      <c r="T4321" s="183" t="n">
        <v>0</v>
      </c>
      <c r="U4321" s="182" t="n">
        <v>0</v>
      </c>
      <c r="V4321" s="182" t="n">
        <v>0</v>
      </c>
      <c r="W4321" s="182" t="n">
        <v>0</v>
      </c>
      <c r="X4321" s="182" t="n">
        <v>1</v>
      </c>
      <c r="Y4321" s="182" t="n">
        <v>0</v>
      </c>
      <c r="Z4321" s="182" t="n">
        <v>0</v>
      </c>
      <c r="AA4321" s="182" t="n">
        <v>0</v>
      </c>
      <c r="AB4321" s="182" t="n">
        <v>0</v>
      </c>
      <c r="AC4321" s="182" t="n">
        <v>0</v>
      </c>
      <c r="AD4321" s="182" t="n">
        <v>0</v>
      </c>
      <c r="AE4321" s="182" t="n">
        <v>0</v>
      </c>
      <c r="AF4321" s="182" t="n">
        <v>0</v>
      </c>
      <c r="AG4321" s="182" t="n">
        <v>0</v>
      </c>
      <c r="AH4321" s="182" t="n">
        <v>0</v>
      </c>
      <c r="AI4321" s="182" t="n">
        <v>0</v>
      </c>
      <c r="AJ4321" s="182" t="n">
        <v>0</v>
      </c>
      <c r="AK4321" s="182" t="n">
        <v>10.92</v>
      </c>
      <c r="AL4321" s="182" t="n">
        <v>0</v>
      </c>
      <c r="AM4321" s="182" t="n">
        <v>0.08</v>
      </c>
      <c r="AN4321" s="182" t="n">
        <v>0</v>
      </c>
    </row>
    <row r="4322">
      <c r="A4322" s="155" t="n">
        <v>46101</v>
      </c>
      <c r="B4322" s="156" t="inlineStr">
        <is>
          <t>NS</t>
        </is>
      </c>
      <c r="C4322" s="156" t="inlineStr">
        <is>
          <t>HT-409</t>
        </is>
      </c>
      <c r="D4322" s="156" t="inlineStr">
        <is>
          <t>SY430</t>
        </is>
      </c>
      <c r="E4322" s="156" t="inlineStr">
        <is>
          <t>DT Hauling</t>
        </is>
      </c>
      <c r="F4322" s="156" t="inlineStr"/>
      <c r="G4322" s="182" t="n">
        <v>0</v>
      </c>
      <c r="H4322" s="182" t="n">
        <v>0</v>
      </c>
      <c r="I4322" s="182" t="n">
        <v>0</v>
      </c>
      <c r="J4322" s="182" t="n">
        <v>0</v>
      </c>
      <c r="K4322" s="182" t="n">
        <v>12</v>
      </c>
      <c r="L4322" s="182" t="n">
        <v>12</v>
      </c>
      <c r="M4322" s="182" t="n">
        <v>0</v>
      </c>
      <c r="N4322" s="182" t="n">
        <v>0</v>
      </c>
      <c r="O4322" s="183" t="n">
        <v>0</v>
      </c>
      <c r="P4322" s="183" t="n">
        <v>0</v>
      </c>
      <c r="Q4322" s="184" t="n">
        <v>0</v>
      </c>
      <c r="R4322" s="184" t="n">
        <v>0</v>
      </c>
      <c r="S4322" s="183" t="n">
        <v>0</v>
      </c>
      <c r="T4322" s="183" t="n">
        <v>0</v>
      </c>
      <c r="U4322" s="182" t="n">
        <v>0</v>
      </c>
      <c r="V4322" s="182" t="n">
        <v>0</v>
      </c>
      <c r="W4322" s="182" t="n">
        <v>0</v>
      </c>
      <c r="X4322" s="182" t="n">
        <v>1</v>
      </c>
      <c r="Y4322" s="182" t="n">
        <v>0</v>
      </c>
      <c r="Z4322" s="182" t="n">
        <v>0</v>
      </c>
      <c r="AA4322" s="182" t="n">
        <v>0</v>
      </c>
      <c r="AB4322" s="182" t="n">
        <v>0</v>
      </c>
      <c r="AC4322" s="182" t="n">
        <v>0</v>
      </c>
      <c r="AD4322" s="182" t="n">
        <v>0</v>
      </c>
      <c r="AE4322" s="182" t="n">
        <v>0</v>
      </c>
      <c r="AF4322" s="182" t="n">
        <v>0</v>
      </c>
      <c r="AG4322" s="182" t="n">
        <v>0</v>
      </c>
      <c r="AH4322" s="182" t="n">
        <v>0</v>
      </c>
      <c r="AI4322" s="182" t="n">
        <v>0</v>
      </c>
      <c r="AJ4322" s="182" t="n">
        <v>0</v>
      </c>
      <c r="AK4322" s="182" t="n">
        <v>10.92</v>
      </c>
      <c r="AL4322" s="182" t="n">
        <v>0</v>
      </c>
      <c r="AM4322" s="182" t="n">
        <v>0.08</v>
      </c>
      <c r="AN4322" s="182" t="n">
        <v>0</v>
      </c>
    </row>
    <row r="4323">
      <c r="A4323" s="155" t="n">
        <v>46101</v>
      </c>
      <c r="B4323" s="156" t="inlineStr">
        <is>
          <t>NS</t>
        </is>
      </c>
      <c r="C4323" s="156" t="inlineStr">
        <is>
          <t>DH-103</t>
        </is>
      </c>
      <c r="D4323" s="156" t="inlineStr">
        <is>
          <t>HINO FM260</t>
        </is>
      </c>
      <c r="E4323" s="156" t="inlineStr">
        <is>
          <t>DT Hino</t>
        </is>
      </c>
      <c r="F4323" s="156" t="inlineStr"/>
      <c r="G4323" s="182" t="n">
        <v>0</v>
      </c>
      <c r="H4323" s="182" t="n">
        <v>0</v>
      </c>
      <c r="I4323" s="182" t="n">
        <v>12</v>
      </c>
      <c r="J4323" s="182" t="n">
        <v>12</v>
      </c>
      <c r="K4323" s="182" t="n">
        <v>0</v>
      </c>
      <c r="L4323" s="182" t="n">
        <v>12</v>
      </c>
      <c r="M4323" s="182" t="n">
        <v>0</v>
      </c>
      <c r="N4323" s="182" t="n">
        <v>0</v>
      </c>
      <c r="O4323" s="183" t="n">
        <v>0</v>
      </c>
      <c r="P4323" s="183" t="n">
        <v>0</v>
      </c>
      <c r="Q4323" s="184" t="n">
        <v>0</v>
      </c>
      <c r="R4323" s="184" t="n">
        <v>0</v>
      </c>
      <c r="S4323" s="183" t="n">
        <v>0</v>
      </c>
      <c r="T4323" s="183" t="n">
        <v>0</v>
      </c>
      <c r="U4323" s="182" t="n">
        <v>0</v>
      </c>
      <c r="V4323" s="182" t="n">
        <v>0</v>
      </c>
      <c r="W4323" s="182" t="n">
        <v>0</v>
      </c>
      <c r="X4323" s="182" t="n">
        <v>0</v>
      </c>
      <c r="Y4323" s="182" t="n">
        <v>0</v>
      </c>
      <c r="Z4323" s="182" t="n">
        <v>0</v>
      </c>
      <c r="AA4323" s="182" t="n">
        <v>0</v>
      </c>
      <c r="AB4323" s="182" t="n">
        <v>0</v>
      </c>
      <c r="AC4323" s="182" t="n">
        <v>0</v>
      </c>
      <c r="AD4323" s="182" t="n">
        <v>0</v>
      </c>
      <c r="AE4323" s="182" t="n">
        <v>0</v>
      </c>
      <c r="AF4323" s="182" t="n">
        <v>0</v>
      </c>
      <c r="AG4323" s="182" t="n">
        <v>0</v>
      </c>
      <c r="AH4323" s="182" t="n">
        <v>0</v>
      </c>
      <c r="AI4323" s="182" t="n">
        <v>0</v>
      </c>
      <c r="AJ4323" s="182" t="n">
        <v>0</v>
      </c>
      <c r="AK4323" s="182" t="n">
        <v>0</v>
      </c>
      <c r="AL4323" s="182" t="n">
        <v>0</v>
      </c>
      <c r="AM4323" s="182" t="n">
        <v>0</v>
      </c>
      <c r="AN4323" s="182" t="n">
        <v>0</v>
      </c>
    </row>
    <row r="4324">
      <c r="A4324" s="155" t="n">
        <v>46101</v>
      </c>
      <c r="B4324" s="156" t="inlineStr">
        <is>
          <t>NS</t>
        </is>
      </c>
      <c r="C4324" s="156" t="inlineStr">
        <is>
          <t>DH-102</t>
        </is>
      </c>
      <c r="D4324" s="156" t="inlineStr">
        <is>
          <t>HINO FM260</t>
        </is>
      </c>
      <c r="E4324" s="156" t="inlineStr">
        <is>
          <t>DT Hino</t>
        </is>
      </c>
      <c r="F4324" s="156" t="inlineStr"/>
      <c r="G4324" s="182" t="n">
        <v>0</v>
      </c>
      <c r="H4324" s="182" t="n">
        <v>0</v>
      </c>
      <c r="I4324" s="182" t="n">
        <v>0</v>
      </c>
      <c r="J4324" s="182" t="n">
        <v>0</v>
      </c>
      <c r="K4324" s="182" t="n">
        <v>12</v>
      </c>
      <c r="L4324" s="182" t="n">
        <v>12</v>
      </c>
      <c r="M4324" s="182" t="n">
        <v>0</v>
      </c>
      <c r="N4324" s="182" t="n">
        <v>0</v>
      </c>
      <c r="O4324" s="183" t="n">
        <v>0</v>
      </c>
      <c r="P4324" s="183" t="n">
        <v>0</v>
      </c>
      <c r="Q4324" s="184" t="n">
        <v>0</v>
      </c>
      <c r="R4324" s="184" t="n">
        <v>0</v>
      </c>
      <c r="S4324" s="183" t="n">
        <v>0</v>
      </c>
      <c r="T4324" s="183" t="n">
        <v>0</v>
      </c>
      <c r="U4324" s="182" t="n">
        <v>0</v>
      </c>
      <c r="V4324" s="182" t="n">
        <v>0</v>
      </c>
      <c r="W4324" s="182" t="n">
        <v>0</v>
      </c>
      <c r="X4324" s="182" t="n">
        <v>1</v>
      </c>
      <c r="Y4324" s="182" t="n">
        <v>0</v>
      </c>
      <c r="Z4324" s="182" t="n">
        <v>0</v>
      </c>
      <c r="AA4324" s="182" t="n">
        <v>0</v>
      </c>
      <c r="AB4324" s="182" t="n">
        <v>0</v>
      </c>
      <c r="AC4324" s="182" t="n">
        <v>0</v>
      </c>
      <c r="AD4324" s="182" t="n">
        <v>0</v>
      </c>
      <c r="AE4324" s="182" t="n">
        <v>0</v>
      </c>
      <c r="AF4324" s="182" t="n">
        <v>0</v>
      </c>
      <c r="AG4324" s="182" t="n">
        <v>0</v>
      </c>
      <c r="AH4324" s="182" t="n">
        <v>0</v>
      </c>
      <c r="AI4324" s="182" t="n">
        <v>10.92</v>
      </c>
      <c r="AJ4324" s="182" t="n">
        <v>0</v>
      </c>
      <c r="AK4324" s="182" t="n">
        <v>0</v>
      </c>
      <c r="AL4324" s="182" t="n">
        <v>0</v>
      </c>
      <c r="AM4324" s="182" t="n">
        <v>0.08</v>
      </c>
      <c r="AN4324" s="182" t="n">
        <v>0</v>
      </c>
    </row>
    <row r="4325">
      <c r="A4325" s="155" t="n">
        <v>46101</v>
      </c>
      <c r="B4325" s="156" t="inlineStr">
        <is>
          <t>NS</t>
        </is>
      </c>
      <c r="C4325" s="156" t="inlineStr">
        <is>
          <t>DH-101</t>
        </is>
      </c>
      <c r="D4325" s="156" t="inlineStr">
        <is>
          <t>HINO FM260</t>
        </is>
      </c>
      <c r="E4325" s="156" t="inlineStr">
        <is>
          <t>DT Hino</t>
        </is>
      </c>
      <c r="F4325" s="156" t="inlineStr"/>
      <c r="G4325" s="182" t="n">
        <v>0</v>
      </c>
      <c r="H4325" s="182" t="n">
        <v>0</v>
      </c>
      <c r="I4325" s="182" t="n">
        <v>0</v>
      </c>
      <c r="J4325" s="182" t="n">
        <v>0</v>
      </c>
      <c r="K4325" s="182" t="n">
        <v>12</v>
      </c>
      <c r="L4325" s="182" t="n">
        <v>12</v>
      </c>
      <c r="M4325" s="182" t="n">
        <v>0</v>
      </c>
      <c r="N4325" s="182" t="n">
        <v>0</v>
      </c>
      <c r="O4325" s="183" t="n">
        <v>0</v>
      </c>
      <c r="P4325" s="183" t="n">
        <v>0</v>
      </c>
      <c r="Q4325" s="184" t="n">
        <v>0</v>
      </c>
      <c r="R4325" s="184" t="n">
        <v>0</v>
      </c>
      <c r="S4325" s="183" t="n">
        <v>0</v>
      </c>
      <c r="T4325" s="183" t="n">
        <v>0</v>
      </c>
      <c r="U4325" s="182" t="n">
        <v>0</v>
      </c>
      <c r="V4325" s="182" t="n">
        <v>0</v>
      </c>
      <c r="W4325" s="182" t="n">
        <v>0</v>
      </c>
      <c r="X4325" s="182" t="n">
        <v>1</v>
      </c>
      <c r="Y4325" s="182" t="n">
        <v>0</v>
      </c>
      <c r="Z4325" s="182" t="n">
        <v>0</v>
      </c>
      <c r="AA4325" s="182" t="n">
        <v>0</v>
      </c>
      <c r="AB4325" s="182" t="n">
        <v>0</v>
      </c>
      <c r="AC4325" s="182" t="n">
        <v>0</v>
      </c>
      <c r="AD4325" s="182" t="n">
        <v>0</v>
      </c>
      <c r="AE4325" s="182" t="n">
        <v>0</v>
      </c>
      <c r="AF4325" s="182" t="n">
        <v>0</v>
      </c>
      <c r="AG4325" s="182" t="n">
        <v>0</v>
      </c>
      <c r="AH4325" s="182" t="n">
        <v>0</v>
      </c>
      <c r="AI4325" s="182" t="n">
        <v>0</v>
      </c>
      <c r="AJ4325" s="182" t="n">
        <v>0</v>
      </c>
      <c r="AK4325" s="182" t="n">
        <v>10.92</v>
      </c>
      <c r="AL4325" s="182" t="n">
        <v>0</v>
      </c>
      <c r="AM4325" s="182" t="n">
        <v>0.08</v>
      </c>
      <c r="AN4325" s="182" t="n">
        <v>0</v>
      </c>
    </row>
    <row r="4326">
      <c r="A4326" s="155" t="n">
        <v>46101</v>
      </c>
      <c r="B4326" s="156" t="inlineStr">
        <is>
          <t>NS</t>
        </is>
      </c>
      <c r="C4326" s="156" t="inlineStr">
        <is>
          <t>EX-1251</t>
        </is>
      </c>
      <c r="D4326" s="156" t="inlineStr">
        <is>
          <t>SY1250</t>
        </is>
      </c>
      <c r="E4326" s="156" t="inlineStr">
        <is>
          <t>Excavator</t>
        </is>
      </c>
      <c r="F4326" s="156" t="inlineStr">
        <is>
          <t>Loading OB</t>
        </is>
      </c>
      <c r="G4326" s="182" t="n">
        <v>10.46</v>
      </c>
      <c r="H4326" s="182" t="n">
        <v>0</v>
      </c>
      <c r="I4326" s="182" t="n">
        <v>0</v>
      </c>
      <c r="J4326" s="182" t="n">
        <v>0</v>
      </c>
      <c r="K4326" s="182" t="n">
        <v>1.54</v>
      </c>
      <c r="L4326" s="182" t="n">
        <v>12</v>
      </c>
      <c r="M4326" s="182" t="n">
        <v>10.38</v>
      </c>
      <c r="N4326" s="182" t="n">
        <v>0</v>
      </c>
      <c r="O4326" s="183" t="n">
        <v>189</v>
      </c>
      <c r="P4326" s="183" t="n">
        <v>0</v>
      </c>
      <c r="Q4326" s="184" t="n">
        <v>3855.6</v>
      </c>
      <c r="R4326" s="184" t="n">
        <v>0</v>
      </c>
      <c r="S4326" s="183" t="n">
        <v>0</v>
      </c>
      <c r="T4326" s="183" t="n">
        <v>0</v>
      </c>
      <c r="U4326" s="182" t="n">
        <v>0</v>
      </c>
      <c r="V4326" s="182" t="n">
        <v>0</v>
      </c>
      <c r="W4326" s="182" t="n">
        <v>0</v>
      </c>
      <c r="X4326" s="182" t="n">
        <v>0.99</v>
      </c>
      <c r="Y4326" s="182" t="n">
        <v>0</v>
      </c>
      <c r="Z4326" s="182" t="n">
        <v>0</v>
      </c>
      <c r="AA4326" s="182" t="n">
        <v>0</v>
      </c>
      <c r="AB4326" s="182" t="n">
        <v>0</v>
      </c>
      <c r="AC4326" s="182" t="n">
        <v>0</v>
      </c>
      <c r="AD4326" s="182" t="n">
        <v>0</v>
      </c>
      <c r="AE4326" s="182" t="n">
        <v>0</v>
      </c>
      <c r="AF4326" s="182" t="n">
        <v>0</v>
      </c>
      <c r="AG4326" s="182" t="n">
        <v>0</v>
      </c>
      <c r="AH4326" s="182" t="n">
        <v>0.47</v>
      </c>
      <c r="AI4326" s="182" t="n">
        <v>0</v>
      </c>
      <c r="AJ4326" s="182" t="n">
        <v>0</v>
      </c>
      <c r="AK4326" s="182" t="n">
        <v>0</v>
      </c>
      <c r="AL4326" s="182" t="n">
        <v>0</v>
      </c>
      <c r="AM4326" s="182" t="n">
        <v>0.08</v>
      </c>
      <c r="AN4326" s="182" t="n">
        <v>0</v>
      </c>
    </row>
    <row r="4327">
      <c r="A4327" s="155" t="n">
        <v>46101</v>
      </c>
      <c r="B4327" s="156" t="inlineStr">
        <is>
          <t>NS</t>
        </is>
      </c>
      <c r="C4327" s="156" t="inlineStr">
        <is>
          <t>EX-1252</t>
        </is>
      </c>
      <c r="D4327" s="156" t="inlineStr">
        <is>
          <t>SY1250</t>
        </is>
      </c>
      <c r="E4327" s="156" t="inlineStr">
        <is>
          <t>Excavator</t>
        </is>
      </c>
      <c r="F4327" s="156" t="inlineStr"/>
      <c r="G4327" s="182" t="n">
        <v>0</v>
      </c>
      <c r="H4327" s="182" t="n">
        <v>0</v>
      </c>
      <c r="I4327" s="182" t="n">
        <v>8.58</v>
      </c>
      <c r="J4327" s="182" t="n">
        <v>8.58</v>
      </c>
      <c r="K4327" s="182" t="n">
        <v>3.42</v>
      </c>
      <c r="L4327" s="182" t="n">
        <v>12</v>
      </c>
      <c r="M4327" s="182" t="n">
        <v>0</v>
      </c>
      <c r="N4327" s="182" t="n">
        <v>0</v>
      </c>
      <c r="O4327" s="183" t="n">
        <v>0</v>
      </c>
      <c r="P4327" s="183" t="n">
        <v>0</v>
      </c>
      <c r="Q4327" s="184" t="n">
        <v>0</v>
      </c>
      <c r="R4327" s="184" t="n">
        <v>0</v>
      </c>
      <c r="S4327" s="183" t="n">
        <v>0</v>
      </c>
      <c r="T4327" s="183" t="n">
        <v>0</v>
      </c>
      <c r="U4327" s="182" t="n">
        <v>0</v>
      </c>
      <c r="V4327" s="182" t="n">
        <v>0</v>
      </c>
      <c r="W4327" s="182" t="n">
        <v>0</v>
      </c>
      <c r="X4327" s="182" t="n">
        <v>1</v>
      </c>
      <c r="Y4327" s="182" t="n">
        <v>0</v>
      </c>
      <c r="Z4327" s="182" t="n">
        <v>0</v>
      </c>
      <c r="AA4327" s="182" t="n">
        <v>0</v>
      </c>
      <c r="AB4327" s="182" t="n">
        <v>0</v>
      </c>
      <c r="AC4327" s="182" t="n">
        <v>0</v>
      </c>
      <c r="AD4327" s="182" t="n">
        <v>2.33</v>
      </c>
      <c r="AE4327" s="182" t="n">
        <v>0</v>
      </c>
      <c r="AF4327" s="182" t="n">
        <v>0</v>
      </c>
      <c r="AG4327" s="182" t="n">
        <v>0</v>
      </c>
      <c r="AH4327" s="182" t="n">
        <v>0</v>
      </c>
      <c r="AI4327" s="182" t="n">
        <v>0</v>
      </c>
      <c r="AJ4327" s="182" t="n">
        <v>0</v>
      </c>
      <c r="AK4327" s="182" t="n">
        <v>0</v>
      </c>
      <c r="AL4327" s="182" t="n">
        <v>0</v>
      </c>
      <c r="AM4327" s="182" t="n">
        <v>0.08</v>
      </c>
      <c r="AN4327" s="182" t="n">
        <v>0</v>
      </c>
    </row>
    <row r="4328">
      <c r="A4328" s="155" t="n">
        <v>46101</v>
      </c>
      <c r="B4328" s="156" t="inlineStr">
        <is>
          <t>NS</t>
        </is>
      </c>
      <c r="C4328" s="156" t="inlineStr">
        <is>
          <t>EX-2101</t>
        </is>
      </c>
      <c r="D4328" s="156" t="inlineStr">
        <is>
          <t>SY2000</t>
        </is>
      </c>
      <c r="E4328" s="156" t="inlineStr">
        <is>
          <t>Excavator</t>
        </is>
      </c>
      <c r="F4328" s="156" t="inlineStr"/>
      <c r="G4328" s="182" t="n">
        <v>0</v>
      </c>
      <c r="H4328" s="182" t="n">
        <v>0</v>
      </c>
      <c r="I4328" s="182" t="n">
        <v>12</v>
      </c>
      <c r="J4328" s="182" t="n">
        <v>12</v>
      </c>
      <c r="K4328" s="182" t="n">
        <v>0</v>
      </c>
      <c r="L4328" s="182" t="n">
        <v>12</v>
      </c>
      <c r="M4328" s="182" t="n">
        <v>0</v>
      </c>
      <c r="N4328" s="182" t="n">
        <v>0</v>
      </c>
      <c r="O4328" s="183" t="n">
        <v>0</v>
      </c>
      <c r="P4328" s="183" t="n">
        <v>0</v>
      </c>
      <c r="Q4328" s="184" t="n">
        <v>0</v>
      </c>
      <c r="R4328" s="184" t="n">
        <v>0</v>
      </c>
      <c r="S4328" s="183" t="n">
        <v>0</v>
      </c>
      <c r="T4328" s="183" t="n">
        <v>0</v>
      </c>
      <c r="U4328" s="182" t="n">
        <v>0</v>
      </c>
      <c r="V4328" s="182" t="n">
        <v>0</v>
      </c>
      <c r="W4328" s="182" t="n">
        <v>0</v>
      </c>
      <c r="X4328" s="182" t="n">
        <v>0</v>
      </c>
      <c r="Y4328" s="182" t="n">
        <v>0</v>
      </c>
      <c r="Z4328" s="182" t="n">
        <v>0</v>
      </c>
      <c r="AA4328" s="182" t="n">
        <v>0</v>
      </c>
      <c r="AB4328" s="182" t="n">
        <v>0</v>
      </c>
      <c r="AC4328" s="182" t="n">
        <v>0</v>
      </c>
      <c r="AD4328" s="182" t="n">
        <v>0</v>
      </c>
      <c r="AE4328" s="182" t="n">
        <v>0</v>
      </c>
      <c r="AF4328" s="182" t="n">
        <v>0</v>
      </c>
      <c r="AG4328" s="182" t="n">
        <v>0</v>
      </c>
      <c r="AH4328" s="182" t="n">
        <v>0</v>
      </c>
      <c r="AI4328" s="182" t="n">
        <v>0</v>
      </c>
      <c r="AJ4328" s="182" t="n">
        <v>0</v>
      </c>
      <c r="AK4328" s="182" t="n">
        <v>0</v>
      </c>
      <c r="AL4328" s="182" t="n">
        <v>0</v>
      </c>
      <c r="AM4328" s="182" t="n">
        <v>0</v>
      </c>
      <c r="AN4328" s="182" t="n">
        <v>0</v>
      </c>
    </row>
    <row r="4329">
      <c r="A4329" s="155" t="n">
        <v>46101</v>
      </c>
      <c r="B4329" s="156" t="inlineStr">
        <is>
          <t>NS</t>
        </is>
      </c>
      <c r="C4329" s="156" t="inlineStr">
        <is>
          <t>EX-222</t>
        </is>
      </c>
      <c r="D4329" s="156" t="inlineStr">
        <is>
          <t>PC 200-8MI</t>
        </is>
      </c>
      <c r="E4329" s="156" t="inlineStr">
        <is>
          <t>Excavator</t>
        </is>
      </c>
      <c r="F4329" s="156" t="inlineStr">
        <is>
          <t>Support Washing Plant</t>
        </is>
      </c>
      <c r="G4329" s="182" t="n">
        <v>12</v>
      </c>
      <c r="H4329" s="182" t="n">
        <v>0</v>
      </c>
      <c r="I4329" s="182" t="n">
        <v>0</v>
      </c>
      <c r="J4329" s="182" t="n">
        <v>0</v>
      </c>
      <c r="K4329" s="182" t="n">
        <v>0</v>
      </c>
      <c r="L4329" s="182" t="n">
        <v>12</v>
      </c>
      <c r="M4329" s="182" t="n">
        <v>0</v>
      </c>
      <c r="N4329" s="182" t="n">
        <v>0</v>
      </c>
      <c r="O4329" s="183" t="n">
        <v>0</v>
      </c>
      <c r="P4329" s="183" t="n">
        <v>0</v>
      </c>
      <c r="Q4329" s="184" t="n">
        <v>0</v>
      </c>
      <c r="R4329" s="184" t="n">
        <v>0</v>
      </c>
      <c r="S4329" s="183" t="n">
        <v>0</v>
      </c>
      <c r="T4329" s="183" t="n">
        <v>0</v>
      </c>
      <c r="U4329" s="182" t="n">
        <v>0</v>
      </c>
      <c r="V4329" s="182" t="n">
        <v>0</v>
      </c>
      <c r="W4329" s="182" t="n">
        <v>0</v>
      </c>
      <c r="X4329" s="182" t="n">
        <v>0</v>
      </c>
      <c r="Y4329" s="182" t="n">
        <v>0</v>
      </c>
      <c r="Z4329" s="182" t="n">
        <v>0</v>
      </c>
      <c r="AA4329" s="182" t="n">
        <v>0</v>
      </c>
      <c r="AB4329" s="182" t="n">
        <v>0</v>
      </c>
      <c r="AC4329" s="182" t="n">
        <v>0</v>
      </c>
      <c r="AD4329" s="182" t="n">
        <v>0</v>
      </c>
      <c r="AE4329" s="182" t="n">
        <v>0</v>
      </c>
      <c r="AF4329" s="182" t="n">
        <v>0</v>
      </c>
      <c r="AG4329" s="182" t="n">
        <v>0</v>
      </c>
      <c r="AH4329" s="182" t="n">
        <v>0</v>
      </c>
      <c r="AI4329" s="182" t="n">
        <v>0</v>
      </c>
      <c r="AJ4329" s="182" t="n">
        <v>0</v>
      </c>
      <c r="AK4329" s="182" t="n">
        <v>0</v>
      </c>
      <c r="AL4329" s="182" t="n">
        <v>0</v>
      </c>
      <c r="AM4329" s="182" t="n">
        <v>0</v>
      </c>
      <c r="AN4329" s="182" t="n">
        <v>0</v>
      </c>
    </row>
    <row r="4330">
      <c r="A4330" s="155" t="n">
        <v>46101</v>
      </c>
      <c r="B4330" s="156" t="inlineStr">
        <is>
          <t>NS</t>
        </is>
      </c>
      <c r="C4330" s="156" t="inlineStr">
        <is>
          <t>EX-225</t>
        </is>
      </c>
      <c r="D4330" s="156" t="inlineStr">
        <is>
          <t>PC 200-8</t>
        </is>
      </c>
      <c r="E4330" s="156" t="inlineStr">
        <is>
          <t>Excavator</t>
        </is>
      </c>
      <c r="F4330" s="156" t="inlineStr"/>
      <c r="G4330" s="182" t="n">
        <v>0</v>
      </c>
      <c r="H4330" s="182" t="n">
        <v>0</v>
      </c>
      <c r="I4330" s="182" t="n">
        <v>12</v>
      </c>
      <c r="J4330" s="182" t="n">
        <v>12</v>
      </c>
      <c r="K4330" s="182" t="n">
        <v>0</v>
      </c>
      <c r="L4330" s="182" t="n">
        <v>12</v>
      </c>
      <c r="M4330" s="182" t="n">
        <v>0</v>
      </c>
      <c r="N4330" s="182" t="n">
        <v>0</v>
      </c>
      <c r="O4330" s="183" t="n">
        <v>0</v>
      </c>
      <c r="P4330" s="183" t="n">
        <v>0</v>
      </c>
      <c r="Q4330" s="184" t="n">
        <v>0</v>
      </c>
      <c r="R4330" s="184" t="n">
        <v>0</v>
      </c>
      <c r="S4330" s="183" t="n">
        <v>0</v>
      </c>
      <c r="T4330" s="183" t="n">
        <v>0</v>
      </c>
      <c r="U4330" s="182" t="n">
        <v>0</v>
      </c>
      <c r="V4330" s="182" t="n">
        <v>0</v>
      </c>
      <c r="W4330" s="182" t="n">
        <v>0</v>
      </c>
      <c r="X4330" s="182" t="n">
        <v>0</v>
      </c>
      <c r="Y4330" s="182" t="n">
        <v>0</v>
      </c>
      <c r="Z4330" s="182" t="n">
        <v>0</v>
      </c>
      <c r="AA4330" s="182" t="n">
        <v>0</v>
      </c>
      <c r="AB4330" s="182" t="n">
        <v>0</v>
      </c>
      <c r="AC4330" s="182" t="n">
        <v>0</v>
      </c>
      <c r="AD4330" s="182" t="n">
        <v>0</v>
      </c>
      <c r="AE4330" s="182" t="n">
        <v>0</v>
      </c>
      <c r="AF4330" s="182" t="n">
        <v>0</v>
      </c>
      <c r="AG4330" s="182" t="n">
        <v>0</v>
      </c>
      <c r="AH4330" s="182" t="n">
        <v>0</v>
      </c>
      <c r="AI4330" s="182" t="n">
        <v>0</v>
      </c>
      <c r="AJ4330" s="182" t="n">
        <v>0</v>
      </c>
      <c r="AK4330" s="182" t="n">
        <v>0</v>
      </c>
      <c r="AL4330" s="182" t="n">
        <v>0</v>
      </c>
      <c r="AM4330" s="182" t="n">
        <v>0</v>
      </c>
      <c r="AN4330" s="182" t="n">
        <v>0</v>
      </c>
    </row>
    <row r="4331">
      <c r="A4331" s="155" t="n">
        <v>46101</v>
      </c>
      <c r="B4331" s="156" t="inlineStr">
        <is>
          <t>NS</t>
        </is>
      </c>
      <c r="C4331" s="156" t="inlineStr">
        <is>
          <t>EX-223</t>
        </is>
      </c>
      <c r="D4331" s="156" t="inlineStr">
        <is>
          <t>PC 200-8MI</t>
        </is>
      </c>
      <c r="E4331" s="156" t="inlineStr">
        <is>
          <t>Excavator</t>
        </is>
      </c>
      <c r="F4331" s="156" t="inlineStr">
        <is>
          <t>Support Washing Plant</t>
        </is>
      </c>
      <c r="G4331" s="182" t="n">
        <v>11.5</v>
      </c>
      <c r="H4331" s="182" t="n">
        <v>0</v>
      </c>
      <c r="I4331" s="182" t="n">
        <v>0</v>
      </c>
      <c r="J4331" s="182" t="n">
        <v>0</v>
      </c>
      <c r="K4331" s="182" t="n">
        <v>0.5</v>
      </c>
      <c r="L4331" s="182" t="n">
        <v>12</v>
      </c>
      <c r="M4331" s="182" t="n">
        <v>0</v>
      </c>
      <c r="N4331" s="182" t="n">
        <v>0</v>
      </c>
      <c r="O4331" s="183" t="n">
        <v>0</v>
      </c>
      <c r="P4331" s="183" t="n">
        <v>0</v>
      </c>
      <c r="Q4331" s="184" t="n">
        <v>0</v>
      </c>
      <c r="R4331" s="184" t="n">
        <v>0</v>
      </c>
      <c r="S4331" s="183" t="n">
        <v>0</v>
      </c>
      <c r="T4331" s="183" t="n">
        <v>0</v>
      </c>
      <c r="U4331" s="182" t="n">
        <v>0</v>
      </c>
      <c r="V4331" s="182" t="n">
        <v>0</v>
      </c>
      <c r="W4331" s="182" t="n">
        <v>0</v>
      </c>
      <c r="X4331" s="182" t="n">
        <v>0.42</v>
      </c>
      <c r="Y4331" s="182" t="n">
        <v>0</v>
      </c>
      <c r="Z4331" s="182" t="n">
        <v>0</v>
      </c>
      <c r="AA4331" s="182" t="n">
        <v>0</v>
      </c>
      <c r="AB4331" s="182" t="n">
        <v>0</v>
      </c>
      <c r="AC4331" s="182" t="n">
        <v>0</v>
      </c>
      <c r="AD4331" s="182" t="n">
        <v>0</v>
      </c>
      <c r="AE4331" s="182" t="n">
        <v>0</v>
      </c>
      <c r="AF4331" s="182" t="n">
        <v>0</v>
      </c>
      <c r="AG4331" s="182" t="n">
        <v>0</v>
      </c>
      <c r="AH4331" s="182" t="n">
        <v>0</v>
      </c>
      <c r="AI4331" s="182" t="n">
        <v>0</v>
      </c>
      <c r="AJ4331" s="182" t="n">
        <v>0</v>
      </c>
      <c r="AK4331" s="182" t="n">
        <v>0</v>
      </c>
      <c r="AL4331" s="182" t="n">
        <v>0</v>
      </c>
      <c r="AM4331" s="182" t="n">
        <v>0.08</v>
      </c>
      <c r="AN4331" s="182" t="n">
        <v>0</v>
      </c>
    </row>
    <row r="4332">
      <c r="A4332" s="155" t="n">
        <v>46101</v>
      </c>
      <c r="B4332" s="156" t="inlineStr">
        <is>
          <t>NS</t>
        </is>
      </c>
      <c r="C4332" s="156" t="inlineStr">
        <is>
          <t>EX-221</t>
        </is>
      </c>
      <c r="D4332" s="156" t="inlineStr">
        <is>
          <t>PC 200-8MI</t>
        </is>
      </c>
      <c r="E4332" s="156" t="inlineStr">
        <is>
          <t>Excavator</t>
        </is>
      </c>
      <c r="F4332" s="156" t="inlineStr">
        <is>
          <t>Support Jetty</t>
        </is>
      </c>
      <c r="G4332" s="182" t="n">
        <v>5.02</v>
      </c>
      <c r="H4332" s="182" t="n">
        <v>0</v>
      </c>
      <c r="I4332" s="182" t="n">
        <v>0</v>
      </c>
      <c r="J4332" s="182" t="n">
        <v>0</v>
      </c>
      <c r="K4332" s="182" t="n">
        <v>6.98</v>
      </c>
      <c r="L4332" s="182" t="n">
        <v>12</v>
      </c>
      <c r="M4332" s="182" t="n">
        <v>0</v>
      </c>
      <c r="N4332" s="182" t="n">
        <v>0</v>
      </c>
      <c r="O4332" s="183" t="n">
        <v>0</v>
      </c>
      <c r="P4332" s="183" t="n">
        <v>0</v>
      </c>
      <c r="Q4332" s="184" t="n">
        <v>0</v>
      </c>
      <c r="R4332" s="184" t="n">
        <v>0</v>
      </c>
      <c r="S4332" s="183" t="n">
        <v>0</v>
      </c>
      <c r="T4332" s="183" t="n">
        <v>0</v>
      </c>
      <c r="U4332" s="182" t="n">
        <v>0</v>
      </c>
      <c r="V4332" s="182" t="n">
        <v>0</v>
      </c>
      <c r="W4332" s="182" t="n">
        <v>0</v>
      </c>
      <c r="X4332" s="182" t="n">
        <v>1.03</v>
      </c>
      <c r="Y4332" s="182" t="n">
        <v>0</v>
      </c>
      <c r="Z4332" s="182" t="n">
        <v>0</v>
      </c>
      <c r="AA4332" s="182" t="n">
        <v>0</v>
      </c>
      <c r="AB4332" s="182" t="n">
        <v>0</v>
      </c>
      <c r="AC4332" s="182" t="n">
        <v>0</v>
      </c>
      <c r="AD4332" s="182" t="n">
        <v>0</v>
      </c>
      <c r="AE4332" s="182" t="n">
        <v>0</v>
      </c>
      <c r="AF4332" s="182" t="n">
        <v>0</v>
      </c>
      <c r="AG4332" s="182" t="n">
        <v>0</v>
      </c>
      <c r="AH4332" s="182" t="n">
        <v>0</v>
      </c>
      <c r="AI4332" s="182" t="n">
        <v>0</v>
      </c>
      <c r="AJ4332" s="182" t="n">
        <v>0</v>
      </c>
      <c r="AK4332" s="182" t="n">
        <v>5.87</v>
      </c>
      <c r="AL4332" s="182" t="n">
        <v>0</v>
      </c>
      <c r="AM4332" s="182" t="n">
        <v>0.08</v>
      </c>
      <c r="AN4332" s="182" t="n">
        <v>0</v>
      </c>
    </row>
    <row r="4333">
      <c r="A4333" s="155" t="n">
        <v>46101</v>
      </c>
      <c r="B4333" s="156" t="inlineStr">
        <is>
          <t>NS</t>
        </is>
      </c>
      <c r="C4333" s="156" t="inlineStr">
        <is>
          <t>EX-331</t>
        </is>
      </c>
      <c r="D4333" s="156" t="inlineStr">
        <is>
          <t>PC 300-8MO</t>
        </is>
      </c>
      <c r="E4333" s="156" t="inlineStr">
        <is>
          <t>Excavator</t>
        </is>
      </c>
      <c r="F4333" s="156" t="inlineStr"/>
      <c r="G4333" s="182" t="n">
        <v>0</v>
      </c>
      <c r="H4333" s="182" t="n">
        <v>0</v>
      </c>
      <c r="I4333" s="182" t="n">
        <v>12</v>
      </c>
      <c r="J4333" s="182" t="n">
        <v>12</v>
      </c>
      <c r="K4333" s="182" t="n">
        <v>0</v>
      </c>
      <c r="L4333" s="182" t="n">
        <v>12</v>
      </c>
      <c r="M4333" s="182" t="n">
        <v>0</v>
      </c>
      <c r="N4333" s="182" t="n">
        <v>0</v>
      </c>
      <c r="O4333" s="183" t="n">
        <v>0</v>
      </c>
      <c r="P4333" s="183" t="n">
        <v>0</v>
      </c>
      <c r="Q4333" s="184" t="n">
        <v>0</v>
      </c>
      <c r="R4333" s="184" t="n">
        <v>0</v>
      </c>
      <c r="S4333" s="183" t="n">
        <v>0</v>
      </c>
      <c r="T4333" s="183" t="n">
        <v>0</v>
      </c>
      <c r="U4333" s="182" t="n">
        <v>0</v>
      </c>
      <c r="V4333" s="182" t="n">
        <v>0</v>
      </c>
      <c r="W4333" s="182" t="n">
        <v>0</v>
      </c>
      <c r="X4333" s="182" t="n">
        <v>0</v>
      </c>
      <c r="Y4333" s="182" t="n">
        <v>0</v>
      </c>
      <c r="Z4333" s="182" t="n">
        <v>0</v>
      </c>
      <c r="AA4333" s="182" t="n">
        <v>0</v>
      </c>
      <c r="AB4333" s="182" t="n">
        <v>0</v>
      </c>
      <c r="AC4333" s="182" t="n">
        <v>0</v>
      </c>
      <c r="AD4333" s="182" t="n">
        <v>0</v>
      </c>
      <c r="AE4333" s="182" t="n">
        <v>0</v>
      </c>
      <c r="AF4333" s="182" t="n">
        <v>0</v>
      </c>
      <c r="AG4333" s="182" t="n">
        <v>0</v>
      </c>
      <c r="AH4333" s="182" t="n">
        <v>0</v>
      </c>
      <c r="AI4333" s="182" t="n">
        <v>0</v>
      </c>
      <c r="AJ4333" s="182" t="n">
        <v>0</v>
      </c>
      <c r="AK4333" s="182" t="n">
        <v>0</v>
      </c>
      <c r="AL4333" s="182" t="n">
        <v>0</v>
      </c>
      <c r="AM4333" s="182" t="n">
        <v>0</v>
      </c>
      <c r="AN4333" s="182" t="n">
        <v>0</v>
      </c>
    </row>
    <row r="4334">
      <c r="A4334" s="155" t="n">
        <v>46101</v>
      </c>
      <c r="B4334" s="156" t="inlineStr">
        <is>
          <t>NS</t>
        </is>
      </c>
      <c r="C4334" s="156" t="inlineStr">
        <is>
          <t>EX-334</t>
        </is>
      </c>
      <c r="D4334" s="156" t="inlineStr">
        <is>
          <t>PC 300-8MO</t>
        </is>
      </c>
      <c r="E4334" s="156" t="inlineStr">
        <is>
          <t>Excavator</t>
        </is>
      </c>
      <c r="F4334" s="156" t="inlineStr">
        <is>
          <t>Cleaning Coal</t>
        </is>
      </c>
      <c r="G4334" s="182" t="n">
        <v>10.33</v>
      </c>
      <c r="H4334" s="182" t="n">
        <v>0</v>
      </c>
      <c r="I4334" s="182" t="n">
        <v>0</v>
      </c>
      <c r="J4334" s="182" t="n">
        <v>0</v>
      </c>
      <c r="K4334" s="182" t="n">
        <v>1.67</v>
      </c>
      <c r="L4334" s="182" t="n">
        <v>12</v>
      </c>
      <c r="M4334" s="182" t="n">
        <v>0</v>
      </c>
      <c r="N4334" s="182" t="n">
        <v>0</v>
      </c>
      <c r="O4334" s="183" t="n">
        <v>0</v>
      </c>
      <c r="P4334" s="183" t="n">
        <v>0</v>
      </c>
      <c r="Q4334" s="184" t="n">
        <v>0</v>
      </c>
      <c r="R4334" s="184" t="n">
        <v>0</v>
      </c>
      <c r="S4334" s="183" t="n">
        <v>0</v>
      </c>
      <c r="T4334" s="183" t="n">
        <v>0</v>
      </c>
      <c r="U4334" s="182" t="n">
        <v>0</v>
      </c>
      <c r="V4334" s="182" t="n">
        <v>0</v>
      </c>
      <c r="W4334" s="182" t="n">
        <v>0</v>
      </c>
      <c r="X4334" s="182" t="n">
        <v>1.04</v>
      </c>
      <c r="Y4334" s="182" t="n">
        <v>0</v>
      </c>
      <c r="Z4334" s="182" t="n">
        <v>0</v>
      </c>
      <c r="AA4334" s="182" t="n">
        <v>0</v>
      </c>
      <c r="AB4334" s="182" t="n">
        <v>0</v>
      </c>
      <c r="AC4334" s="182" t="n">
        <v>0</v>
      </c>
      <c r="AD4334" s="182" t="n">
        <v>0</v>
      </c>
      <c r="AE4334" s="182" t="n">
        <v>0</v>
      </c>
      <c r="AF4334" s="182" t="n">
        <v>0</v>
      </c>
      <c r="AG4334" s="182" t="n">
        <v>0</v>
      </c>
      <c r="AH4334" s="182" t="n">
        <v>0.54</v>
      </c>
      <c r="AI4334" s="182" t="n">
        <v>0</v>
      </c>
      <c r="AJ4334" s="182" t="n">
        <v>0</v>
      </c>
      <c r="AK4334" s="182" t="n">
        <v>0</v>
      </c>
      <c r="AL4334" s="182" t="n">
        <v>0</v>
      </c>
      <c r="AM4334" s="182" t="n">
        <v>0.08</v>
      </c>
      <c r="AN4334" s="182" t="n">
        <v>0</v>
      </c>
    </row>
    <row r="4335">
      <c r="A4335" s="155" t="n">
        <v>46101</v>
      </c>
      <c r="B4335" s="156" t="inlineStr">
        <is>
          <t>NS</t>
        </is>
      </c>
      <c r="C4335" s="156" t="inlineStr">
        <is>
          <t>EX-332</t>
        </is>
      </c>
      <c r="D4335" s="156" t="inlineStr">
        <is>
          <t>PC 300-8MO</t>
        </is>
      </c>
      <c r="E4335" s="156" t="inlineStr">
        <is>
          <t>Excavator</t>
        </is>
      </c>
      <c r="F4335" s="156" t="inlineStr">
        <is>
          <t>Loading &amp; Cleaning Coal</t>
        </is>
      </c>
      <c r="G4335" s="182" t="n">
        <v>9.98</v>
      </c>
      <c r="H4335" s="182" t="n">
        <v>0</v>
      </c>
      <c r="I4335" s="182" t="n">
        <v>0</v>
      </c>
      <c r="J4335" s="182" t="n">
        <v>0</v>
      </c>
      <c r="K4335" s="182" t="n">
        <v>2.02</v>
      </c>
      <c r="L4335" s="182" t="n">
        <v>12</v>
      </c>
      <c r="M4335" s="182" t="n">
        <v>0</v>
      </c>
      <c r="N4335" s="182" t="n">
        <v>1.9</v>
      </c>
      <c r="O4335" s="183" t="n">
        <v>0</v>
      </c>
      <c r="P4335" s="183" t="n">
        <v>9</v>
      </c>
      <c r="Q4335" s="184" t="n">
        <v>0</v>
      </c>
      <c r="R4335" s="184" t="n">
        <v>154.7</v>
      </c>
      <c r="S4335" s="183" t="n">
        <v>0</v>
      </c>
      <c r="T4335" s="183" t="n">
        <v>0</v>
      </c>
      <c r="U4335" s="182" t="n">
        <v>0</v>
      </c>
      <c r="V4335" s="182" t="n">
        <v>0</v>
      </c>
      <c r="W4335" s="182" t="n">
        <v>0</v>
      </c>
      <c r="X4335" s="182" t="n">
        <v>1.35</v>
      </c>
      <c r="Y4335" s="182" t="n">
        <v>0</v>
      </c>
      <c r="Z4335" s="182" t="n">
        <v>0</v>
      </c>
      <c r="AA4335" s="182" t="n">
        <v>0</v>
      </c>
      <c r="AB4335" s="182" t="n">
        <v>0</v>
      </c>
      <c r="AC4335" s="182" t="n">
        <v>0</v>
      </c>
      <c r="AD4335" s="182" t="n">
        <v>0</v>
      </c>
      <c r="AE4335" s="182" t="n">
        <v>0</v>
      </c>
      <c r="AF4335" s="182" t="n">
        <v>0</v>
      </c>
      <c r="AG4335" s="182" t="n">
        <v>0</v>
      </c>
      <c r="AH4335" s="182" t="n">
        <v>0.57</v>
      </c>
      <c r="AI4335" s="182" t="n">
        <v>0</v>
      </c>
      <c r="AJ4335" s="182" t="n">
        <v>0</v>
      </c>
      <c r="AK4335" s="182" t="n">
        <v>0</v>
      </c>
      <c r="AL4335" s="182" t="n">
        <v>0</v>
      </c>
      <c r="AM4335" s="182" t="n">
        <v>0.11</v>
      </c>
      <c r="AN4335" s="182" t="n">
        <v>0</v>
      </c>
    </row>
    <row r="4336">
      <c r="A4336" s="155" t="n">
        <v>46101</v>
      </c>
      <c r="B4336" s="156" t="inlineStr">
        <is>
          <t>NS</t>
        </is>
      </c>
      <c r="C4336" s="156" t="inlineStr">
        <is>
          <t>EX-333</t>
        </is>
      </c>
      <c r="D4336" s="156" t="inlineStr">
        <is>
          <t>PC 300-8MO</t>
        </is>
      </c>
      <c r="E4336" s="156" t="inlineStr">
        <is>
          <t>Excavator</t>
        </is>
      </c>
      <c r="F4336" s="156" t="inlineStr">
        <is>
          <t>Loading Coal, Loading Parting &amp; Cleaning Coal</t>
        </is>
      </c>
      <c r="G4336" s="182" t="n">
        <v>9.27</v>
      </c>
      <c r="H4336" s="182" t="n">
        <v>0</v>
      </c>
      <c r="I4336" s="182" t="n">
        <v>1.47</v>
      </c>
      <c r="J4336" s="182" t="n">
        <v>1.47</v>
      </c>
      <c r="K4336" s="182" t="n">
        <v>1.26</v>
      </c>
      <c r="L4336" s="182" t="n">
        <v>12</v>
      </c>
      <c r="M4336" s="182" t="n">
        <v>2.9</v>
      </c>
      <c r="N4336" s="182" t="n">
        <v>1.93</v>
      </c>
      <c r="O4336" s="183" t="n">
        <v>23</v>
      </c>
      <c r="P4336" s="183" t="n">
        <v>9</v>
      </c>
      <c r="Q4336" s="184" t="n">
        <v>469.2</v>
      </c>
      <c r="R4336" s="184" t="n">
        <v>168.3</v>
      </c>
      <c r="S4336" s="183" t="n">
        <v>0</v>
      </c>
      <c r="T4336" s="183" t="n">
        <v>0</v>
      </c>
      <c r="U4336" s="182" t="n">
        <v>0</v>
      </c>
      <c r="V4336" s="182" t="n">
        <v>0</v>
      </c>
      <c r="W4336" s="182" t="n">
        <v>0</v>
      </c>
      <c r="X4336" s="182" t="n">
        <v>1.15</v>
      </c>
      <c r="Y4336" s="182" t="n">
        <v>0</v>
      </c>
      <c r="Z4336" s="182" t="n">
        <v>0</v>
      </c>
      <c r="AA4336" s="182" t="n">
        <v>0</v>
      </c>
      <c r="AB4336" s="182" t="n">
        <v>0</v>
      </c>
      <c r="AC4336" s="182" t="n">
        <v>0</v>
      </c>
      <c r="AD4336" s="182" t="n">
        <v>0</v>
      </c>
      <c r="AE4336" s="182" t="n">
        <v>0</v>
      </c>
      <c r="AF4336" s="182" t="n">
        <v>0</v>
      </c>
      <c r="AG4336" s="182" t="n">
        <v>0</v>
      </c>
      <c r="AH4336" s="182" t="n">
        <v>0</v>
      </c>
      <c r="AI4336" s="182" t="n">
        <v>0</v>
      </c>
      <c r="AJ4336" s="182" t="n">
        <v>0</v>
      </c>
      <c r="AK4336" s="182" t="n">
        <v>0</v>
      </c>
      <c r="AL4336" s="182" t="n">
        <v>0</v>
      </c>
      <c r="AM4336" s="182" t="n">
        <v>0.11</v>
      </c>
      <c r="AN4336" s="182" t="n">
        <v>0</v>
      </c>
    </row>
    <row r="4337">
      <c r="A4337" s="155" t="n">
        <v>46101</v>
      </c>
      <c r="B4337" s="156" t="inlineStr">
        <is>
          <t>NS</t>
        </is>
      </c>
      <c r="C4337" s="156" t="inlineStr">
        <is>
          <t>EX-336</t>
        </is>
      </c>
      <c r="D4337" s="156" t="inlineStr">
        <is>
          <t>PC 300-8MO</t>
        </is>
      </c>
      <c r="E4337" s="156" t="inlineStr">
        <is>
          <t>Excavator</t>
        </is>
      </c>
      <c r="F4337" s="156" t="inlineStr">
        <is>
          <t>Loading &amp; Cleaning Coal</t>
        </is>
      </c>
      <c r="G4337" s="182" t="n">
        <v>6.09</v>
      </c>
      <c r="H4337" s="182" t="n">
        <v>0</v>
      </c>
      <c r="I4337" s="182" t="n">
        <v>4</v>
      </c>
      <c r="J4337" s="182" t="n">
        <v>4</v>
      </c>
      <c r="K4337" s="182" t="n">
        <v>1.91</v>
      </c>
      <c r="L4337" s="182" t="n">
        <v>12</v>
      </c>
      <c r="M4337" s="182" t="n">
        <v>0</v>
      </c>
      <c r="N4337" s="182" t="n">
        <v>0.51</v>
      </c>
      <c r="O4337" s="183" t="n">
        <v>0</v>
      </c>
      <c r="P4337" s="183" t="n">
        <v>4</v>
      </c>
      <c r="Q4337" s="184" t="n">
        <v>0</v>
      </c>
      <c r="R4337" s="184" t="n">
        <v>74.8</v>
      </c>
      <c r="S4337" s="183" t="n">
        <v>0</v>
      </c>
      <c r="T4337" s="183" t="n">
        <v>0</v>
      </c>
      <c r="U4337" s="182" t="n">
        <v>0</v>
      </c>
      <c r="V4337" s="182" t="n">
        <v>0</v>
      </c>
      <c r="W4337" s="182" t="n">
        <v>0</v>
      </c>
      <c r="X4337" s="182" t="n">
        <v>0.95</v>
      </c>
      <c r="Y4337" s="182" t="n">
        <v>0</v>
      </c>
      <c r="Z4337" s="182" t="n">
        <v>0</v>
      </c>
      <c r="AA4337" s="182" t="n">
        <v>0</v>
      </c>
      <c r="AB4337" s="182" t="n">
        <v>0</v>
      </c>
      <c r="AC4337" s="182" t="n">
        <v>0</v>
      </c>
      <c r="AD4337" s="182" t="n">
        <v>0</v>
      </c>
      <c r="AE4337" s="182" t="n">
        <v>0</v>
      </c>
      <c r="AF4337" s="182" t="n">
        <v>0</v>
      </c>
      <c r="AG4337" s="182" t="n">
        <v>0</v>
      </c>
      <c r="AH4337" s="182" t="n">
        <v>0.88</v>
      </c>
      <c r="AI4337" s="182" t="n">
        <v>0</v>
      </c>
      <c r="AJ4337" s="182" t="n">
        <v>0</v>
      </c>
      <c r="AK4337" s="182" t="n">
        <v>0</v>
      </c>
      <c r="AL4337" s="182" t="n">
        <v>0</v>
      </c>
      <c r="AM4337" s="182" t="n">
        <v>0.08</v>
      </c>
      <c r="AN4337" s="182" t="n">
        <v>0</v>
      </c>
    </row>
    <row r="4338">
      <c r="A4338" s="155" t="n">
        <v>46101</v>
      </c>
      <c r="B4338" s="156" t="inlineStr">
        <is>
          <t>NS</t>
        </is>
      </c>
      <c r="C4338" s="156" t="inlineStr">
        <is>
          <t>EX-335</t>
        </is>
      </c>
      <c r="D4338" s="156" t="inlineStr">
        <is>
          <t>PC 300-8MO</t>
        </is>
      </c>
      <c r="E4338" s="156" t="inlineStr">
        <is>
          <t>Excavator</t>
        </is>
      </c>
      <c r="F4338" s="156" t="inlineStr">
        <is>
          <t>Timesheet Kosong</t>
        </is>
      </c>
      <c r="G4338" s="182" t="n">
        <v>5.3</v>
      </c>
      <c r="H4338" s="182" t="n">
        <v>0</v>
      </c>
      <c r="I4338" s="182" t="n">
        <v>6.5</v>
      </c>
      <c r="J4338" s="182" t="n">
        <v>6.5</v>
      </c>
      <c r="K4338" s="182" t="n">
        <v>0.2</v>
      </c>
      <c r="L4338" s="182" t="n">
        <v>12</v>
      </c>
      <c r="M4338" s="182" t="n">
        <v>0</v>
      </c>
      <c r="N4338" s="182" t="n">
        <v>0</v>
      </c>
      <c r="O4338" s="183" t="n">
        <v>0</v>
      </c>
      <c r="P4338" s="183" t="n">
        <v>0</v>
      </c>
      <c r="Q4338" s="184" t="n">
        <v>0</v>
      </c>
      <c r="R4338" s="184" t="n">
        <v>0</v>
      </c>
      <c r="S4338" s="183" t="n">
        <v>0</v>
      </c>
      <c r="T4338" s="183" t="n">
        <v>0</v>
      </c>
      <c r="U4338" s="182" t="n">
        <v>0</v>
      </c>
      <c r="V4338" s="182" t="n">
        <v>0</v>
      </c>
      <c r="W4338" s="182" t="n">
        <v>0</v>
      </c>
      <c r="X4338" s="182" t="n">
        <v>0</v>
      </c>
      <c r="Y4338" s="182" t="n">
        <v>0</v>
      </c>
      <c r="Z4338" s="182" t="n">
        <v>0</v>
      </c>
      <c r="AA4338" s="182" t="n">
        <v>0</v>
      </c>
      <c r="AB4338" s="182" t="n">
        <v>0</v>
      </c>
      <c r="AC4338" s="182" t="n">
        <v>0</v>
      </c>
      <c r="AD4338" s="182" t="n">
        <v>0</v>
      </c>
      <c r="AE4338" s="182" t="n">
        <v>0</v>
      </c>
      <c r="AF4338" s="182" t="n">
        <v>0</v>
      </c>
      <c r="AG4338" s="182" t="n">
        <v>0</v>
      </c>
      <c r="AH4338" s="182" t="n">
        <v>0</v>
      </c>
      <c r="AI4338" s="182" t="n">
        <v>0</v>
      </c>
      <c r="AJ4338" s="182" t="n">
        <v>0</v>
      </c>
      <c r="AK4338" s="182" t="n">
        <v>0</v>
      </c>
      <c r="AL4338" s="182" t="n">
        <v>0</v>
      </c>
      <c r="AM4338" s="182" t="n">
        <v>0</v>
      </c>
      <c r="AN4338" s="182" t="n">
        <v>0</v>
      </c>
    </row>
    <row r="4339">
      <c r="A4339" s="155" t="n">
        <v>46101</v>
      </c>
      <c r="B4339" s="156" t="inlineStr">
        <is>
          <t>NS</t>
        </is>
      </c>
      <c r="C4339" s="156" t="inlineStr">
        <is>
          <t>EX-754</t>
        </is>
      </c>
      <c r="D4339" s="156" t="inlineStr">
        <is>
          <t>SY750H-PRO</t>
        </is>
      </c>
      <c r="E4339" s="156" t="inlineStr">
        <is>
          <t>Excavator</t>
        </is>
      </c>
      <c r="F4339" s="156" t="inlineStr">
        <is>
          <t>Loading OB</t>
        </is>
      </c>
      <c r="G4339" s="182" t="n">
        <v>10.75</v>
      </c>
      <c r="H4339" s="182" t="n">
        <v>0</v>
      </c>
      <c r="I4339" s="182" t="n">
        <v>0.17</v>
      </c>
      <c r="J4339" s="182" t="n">
        <v>0.17</v>
      </c>
      <c r="K4339" s="182" t="n">
        <v>1.08</v>
      </c>
      <c r="L4339" s="182" t="n">
        <v>12</v>
      </c>
      <c r="M4339" s="182" t="n">
        <v>10.14</v>
      </c>
      <c r="N4339" s="182" t="n">
        <v>0</v>
      </c>
      <c r="O4339" s="183" t="n">
        <v>182</v>
      </c>
      <c r="P4339" s="183" t="n">
        <v>0</v>
      </c>
      <c r="Q4339" s="184" t="n">
        <v>3712.8</v>
      </c>
      <c r="R4339" s="184" t="n">
        <v>0</v>
      </c>
      <c r="S4339" s="183" t="n">
        <v>0</v>
      </c>
      <c r="T4339" s="183" t="n">
        <v>0</v>
      </c>
      <c r="U4339" s="182" t="n">
        <v>0</v>
      </c>
      <c r="V4339" s="182" t="n">
        <v>0</v>
      </c>
      <c r="W4339" s="182" t="n">
        <v>0</v>
      </c>
      <c r="X4339" s="182" t="n">
        <v>0.8100000000000001</v>
      </c>
      <c r="Y4339" s="182" t="n">
        <v>0</v>
      </c>
      <c r="Z4339" s="182" t="n">
        <v>0</v>
      </c>
      <c r="AA4339" s="182" t="n">
        <v>0</v>
      </c>
      <c r="AB4339" s="182" t="n">
        <v>0</v>
      </c>
      <c r="AC4339" s="182" t="n">
        <v>0</v>
      </c>
      <c r="AD4339" s="182" t="n">
        <v>0</v>
      </c>
      <c r="AE4339" s="182" t="n">
        <v>0</v>
      </c>
      <c r="AF4339" s="182" t="n">
        <v>0</v>
      </c>
      <c r="AG4339" s="182" t="n">
        <v>0</v>
      </c>
      <c r="AH4339" s="182" t="n">
        <v>0.21</v>
      </c>
      <c r="AI4339" s="182" t="n">
        <v>0</v>
      </c>
      <c r="AJ4339" s="182" t="n">
        <v>0</v>
      </c>
      <c r="AK4339" s="182" t="n">
        <v>0</v>
      </c>
      <c r="AL4339" s="182" t="n">
        <v>0</v>
      </c>
      <c r="AM4339" s="182" t="n">
        <v>0.06</v>
      </c>
      <c r="AN4339" s="182" t="n">
        <v>0</v>
      </c>
    </row>
    <row r="4340">
      <c r="A4340" s="155" t="n">
        <v>46101</v>
      </c>
      <c r="B4340" s="156" t="inlineStr">
        <is>
          <t>NS</t>
        </is>
      </c>
      <c r="C4340" s="156" t="inlineStr">
        <is>
          <t>EX-755</t>
        </is>
      </c>
      <c r="D4340" s="156" t="inlineStr">
        <is>
          <t>SY750H-PRO</t>
        </is>
      </c>
      <c r="E4340" s="156" t="inlineStr">
        <is>
          <t>Excavator</t>
        </is>
      </c>
      <c r="F4340" s="156" t="inlineStr">
        <is>
          <t>Loading OB</t>
        </is>
      </c>
      <c r="G4340" s="182" t="n">
        <v>10.51</v>
      </c>
      <c r="H4340" s="182" t="n">
        <v>0</v>
      </c>
      <c r="I4340" s="182" t="n">
        <v>0</v>
      </c>
      <c r="J4340" s="182" t="n">
        <v>0</v>
      </c>
      <c r="K4340" s="182" t="n">
        <v>1.49</v>
      </c>
      <c r="L4340" s="182" t="n">
        <v>12</v>
      </c>
      <c r="M4340" s="182" t="n">
        <v>10.51</v>
      </c>
      <c r="N4340" s="182" t="n">
        <v>0</v>
      </c>
      <c r="O4340" s="183" t="n">
        <v>173</v>
      </c>
      <c r="P4340" s="183" t="n">
        <v>0</v>
      </c>
      <c r="Q4340" s="184" t="n">
        <v>3529.2</v>
      </c>
      <c r="R4340" s="184" t="n">
        <v>0</v>
      </c>
      <c r="S4340" s="183" t="n">
        <v>0</v>
      </c>
      <c r="T4340" s="183" t="n">
        <v>0</v>
      </c>
      <c r="U4340" s="182" t="n">
        <v>0</v>
      </c>
      <c r="V4340" s="182" t="n">
        <v>0</v>
      </c>
      <c r="W4340" s="182" t="n">
        <v>0</v>
      </c>
      <c r="X4340" s="182" t="n">
        <v>1.03</v>
      </c>
      <c r="Y4340" s="182" t="n">
        <v>0</v>
      </c>
      <c r="Z4340" s="182" t="n">
        <v>0</v>
      </c>
      <c r="AA4340" s="182" t="n">
        <v>0</v>
      </c>
      <c r="AB4340" s="182" t="n">
        <v>0</v>
      </c>
      <c r="AC4340" s="182" t="n">
        <v>0</v>
      </c>
      <c r="AD4340" s="182" t="n">
        <v>0</v>
      </c>
      <c r="AE4340" s="182" t="n">
        <v>0</v>
      </c>
      <c r="AF4340" s="182" t="n">
        <v>0</v>
      </c>
      <c r="AG4340" s="182" t="n">
        <v>0</v>
      </c>
      <c r="AH4340" s="182" t="n">
        <v>0.37</v>
      </c>
      <c r="AI4340" s="182" t="n">
        <v>0</v>
      </c>
      <c r="AJ4340" s="182" t="n">
        <v>0</v>
      </c>
      <c r="AK4340" s="182" t="n">
        <v>0</v>
      </c>
      <c r="AL4340" s="182" t="n">
        <v>0</v>
      </c>
      <c r="AM4340" s="182" t="n">
        <v>0.08</v>
      </c>
      <c r="AN4340" s="182" t="n">
        <v>0</v>
      </c>
    </row>
    <row r="4341">
      <c r="A4341" s="155" t="n">
        <v>46101</v>
      </c>
      <c r="B4341" s="156" t="inlineStr">
        <is>
          <t>NS</t>
        </is>
      </c>
      <c r="C4341" s="156" t="inlineStr">
        <is>
          <t>EX-752</t>
        </is>
      </c>
      <c r="D4341" s="156" t="inlineStr">
        <is>
          <t>SY750H-PRO</t>
        </is>
      </c>
      <c r="E4341" s="156" t="inlineStr">
        <is>
          <t>Excavator</t>
        </is>
      </c>
      <c r="F4341" s="156" t="inlineStr"/>
      <c r="G4341" s="182" t="n">
        <v>0</v>
      </c>
      <c r="H4341" s="182" t="n">
        <v>0</v>
      </c>
      <c r="I4341" s="182" t="n">
        <v>12</v>
      </c>
      <c r="J4341" s="182" t="n">
        <v>12</v>
      </c>
      <c r="K4341" s="182" t="n">
        <v>0</v>
      </c>
      <c r="L4341" s="182" t="n">
        <v>12</v>
      </c>
      <c r="M4341" s="182" t="n">
        <v>0</v>
      </c>
      <c r="N4341" s="182" t="n">
        <v>0</v>
      </c>
      <c r="O4341" s="183" t="n">
        <v>0</v>
      </c>
      <c r="P4341" s="183" t="n">
        <v>0</v>
      </c>
      <c r="Q4341" s="184" t="n">
        <v>0</v>
      </c>
      <c r="R4341" s="184" t="n">
        <v>0</v>
      </c>
      <c r="S4341" s="183" t="n">
        <v>0</v>
      </c>
      <c r="T4341" s="183" t="n">
        <v>0</v>
      </c>
      <c r="U4341" s="182" t="n">
        <v>0</v>
      </c>
      <c r="V4341" s="182" t="n">
        <v>0</v>
      </c>
      <c r="W4341" s="182" t="n">
        <v>0</v>
      </c>
      <c r="X4341" s="182" t="n">
        <v>0</v>
      </c>
      <c r="Y4341" s="182" t="n">
        <v>0</v>
      </c>
      <c r="Z4341" s="182" t="n">
        <v>0</v>
      </c>
      <c r="AA4341" s="182" t="n">
        <v>0</v>
      </c>
      <c r="AB4341" s="182" t="n">
        <v>0</v>
      </c>
      <c r="AC4341" s="182" t="n">
        <v>0</v>
      </c>
      <c r="AD4341" s="182" t="n">
        <v>0</v>
      </c>
      <c r="AE4341" s="182" t="n">
        <v>0</v>
      </c>
      <c r="AF4341" s="182" t="n">
        <v>0</v>
      </c>
      <c r="AG4341" s="182" t="n">
        <v>0</v>
      </c>
      <c r="AH4341" s="182" t="n">
        <v>0</v>
      </c>
      <c r="AI4341" s="182" t="n">
        <v>0</v>
      </c>
      <c r="AJ4341" s="182" t="n">
        <v>0</v>
      </c>
      <c r="AK4341" s="182" t="n">
        <v>0</v>
      </c>
      <c r="AL4341" s="182" t="n">
        <v>0</v>
      </c>
      <c r="AM4341" s="182" t="n">
        <v>0</v>
      </c>
      <c r="AN4341" s="182" t="n">
        <v>0</v>
      </c>
    </row>
    <row r="4342">
      <c r="A4342" s="155" t="n">
        <v>46101</v>
      </c>
      <c r="B4342" s="156" t="inlineStr">
        <is>
          <t>NS</t>
        </is>
      </c>
      <c r="C4342" s="156" t="inlineStr">
        <is>
          <t>EX-751</t>
        </is>
      </c>
      <c r="D4342" s="156" t="inlineStr">
        <is>
          <t>SY750H-PRO</t>
        </is>
      </c>
      <c r="E4342" s="156" t="inlineStr">
        <is>
          <t>Excavator</t>
        </is>
      </c>
      <c r="F4342" s="156" t="inlineStr"/>
      <c r="G4342" s="182" t="n">
        <v>0</v>
      </c>
      <c r="H4342" s="182" t="n">
        <v>0</v>
      </c>
      <c r="I4342" s="182" t="n">
        <v>12</v>
      </c>
      <c r="J4342" s="182" t="n">
        <v>12</v>
      </c>
      <c r="K4342" s="182" t="n">
        <v>0</v>
      </c>
      <c r="L4342" s="182" t="n">
        <v>12</v>
      </c>
      <c r="M4342" s="182" t="n">
        <v>0</v>
      </c>
      <c r="N4342" s="182" t="n">
        <v>0</v>
      </c>
      <c r="O4342" s="183" t="n">
        <v>0</v>
      </c>
      <c r="P4342" s="183" t="n">
        <v>0</v>
      </c>
      <c r="Q4342" s="184" t="n">
        <v>0</v>
      </c>
      <c r="R4342" s="184" t="n">
        <v>0</v>
      </c>
      <c r="S4342" s="183" t="n">
        <v>0</v>
      </c>
      <c r="T4342" s="183" t="n">
        <v>0</v>
      </c>
      <c r="U4342" s="182" t="n">
        <v>0</v>
      </c>
      <c r="V4342" s="182" t="n">
        <v>0</v>
      </c>
      <c r="W4342" s="182" t="n">
        <v>0</v>
      </c>
      <c r="X4342" s="182" t="n">
        <v>0</v>
      </c>
      <c r="Y4342" s="182" t="n">
        <v>0</v>
      </c>
      <c r="Z4342" s="182" t="n">
        <v>0</v>
      </c>
      <c r="AA4342" s="182" t="n">
        <v>0</v>
      </c>
      <c r="AB4342" s="182" t="n">
        <v>0</v>
      </c>
      <c r="AC4342" s="182" t="n">
        <v>0</v>
      </c>
      <c r="AD4342" s="182" t="n">
        <v>0</v>
      </c>
      <c r="AE4342" s="182" t="n">
        <v>0</v>
      </c>
      <c r="AF4342" s="182" t="n">
        <v>0</v>
      </c>
      <c r="AG4342" s="182" t="n">
        <v>0</v>
      </c>
      <c r="AH4342" s="182" t="n">
        <v>0</v>
      </c>
      <c r="AI4342" s="182" t="n">
        <v>0</v>
      </c>
      <c r="AJ4342" s="182" t="n">
        <v>0</v>
      </c>
      <c r="AK4342" s="182" t="n">
        <v>0</v>
      </c>
      <c r="AL4342" s="182" t="n">
        <v>0</v>
      </c>
      <c r="AM4342" s="182" t="n">
        <v>0</v>
      </c>
      <c r="AN4342" s="182" t="n">
        <v>0</v>
      </c>
    </row>
    <row r="4343">
      <c r="A4343" s="155" t="n">
        <v>46101</v>
      </c>
      <c r="B4343" s="156" t="inlineStr">
        <is>
          <t>NS</t>
        </is>
      </c>
      <c r="C4343" s="156" t="inlineStr">
        <is>
          <t>EX-753</t>
        </is>
      </c>
      <c r="D4343" s="156" t="inlineStr">
        <is>
          <t>SY750H-PRO</t>
        </is>
      </c>
      <c r="E4343" s="156" t="inlineStr">
        <is>
          <t>Excavator</t>
        </is>
      </c>
      <c r="F4343" s="156" t="inlineStr">
        <is>
          <t>Loading OB &amp; Coal</t>
        </is>
      </c>
      <c r="G4343" s="182" t="n">
        <v>8.050000000000001</v>
      </c>
      <c r="H4343" s="182" t="n">
        <v>0</v>
      </c>
      <c r="I4343" s="182" t="n">
        <v>0.17</v>
      </c>
      <c r="J4343" s="182" t="n">
        <v>0.17</v>
      </c>
      <c r="K4343" s="182" t="n">
        <v>3.78</v>
      </c>
      <c r="L4343" s="182" t="n">
        <v>12</v>
      </c>
      <c r="M4343" s="182" t="n">
        <v>5.33</v>
      </c>
      <c r="N4343" s="182" t="n">
        <v>1.98</v>
      </c>
      <c r="O4343" s="183" t="n">
        <v>27</v>
      </c>
      <c r="P4343" s="183" t="n">
        <v>22</v>
      </c>
      <c r="Q4343" s="184" t="n">
        <v>550.8</v>
      </c>
      <c r="R4343" s="184" t="n">
        <v>411.4</v>
      </c>
      <c r="S4343" s="183" t="n">
        <v>0</v>
      </c>
      <c r="T4343" s="183" t="n">
        <v>0</v>
      </c>
      <c r="U4343" s="182" t="n">
        <v>0</v>
      </c>
      <c r="V4343" s="182" t="n">
        <v>0</v>
      </c>
      <c r="W4343" s="182" t="n">
        <v>0</v>
      </c>
      <c r="X4343" s="182" t="n">
        <v>0.92</v>
      </c>
      <c r="Y4343" s="182" t="n">
        <v>0</v>
      </c>
      <c r="Z4343" s="182" t="n">
        <v>0</v>
      </c>
      <c r="AA4343" s="182" t="n">
        <v>0</v>
      </c>
      <c r="AB4343" s="182" t="n">
        <v>0</v>
      </c>
      <c r="AC4343" s="182" t="n">
        <v>0</v>
      </c>
      <c r="AD4343" s="182" t="n">
        <v>2.78</v>
      </c>
      <c r="AE4343" s="182" t="n">
        <v>0</v>
      </c>
      <c r="AF4343" s="182" t="n">
        <v>0</v>
      </c>
      <c r="AG4343" s="182" t="n">
        <v>0</v>
      </c>
      <c r="AH4343" s="182" t="n">
        <v>0</v>
      </c>
      <c r="AI4343" s="182" t="n">
        <v>0</v>
      </c>
      <c r="AJ4343" s="182" t="n">
        <v>0</v>
      </c>
      <c r="AK4343" s="182" t="n">
        <v>0</v>
      </c>
      <c r="AL4343" s="182" t="n">
        <v>0</v>
      </c>
      <c r="AM4343" s="182" t="n">
        <v>0.07000000000000001</v>
      </c>
      <c r="AN4343" s="182" t="n">
        <v>0</v>
      </c>
    </row>
    <row r="4344">
      <c r="A4344" s="155" t="n">
        <v>46101</v>
      </c>
      <c r="B4344" s="156" t="inlineStr">
        <is>
          <t>NS</t>
        </is>
      </c>
      <c r="C4344" s="156" t="inlineStr">
        <is>
          <t>GD-012</t>
        </is>
      </c>
      <c r="D4344" s="156" t="inlineStr">
        <is>
          <t>STG 230C - 8S</t>
        </is>
      </c>
      <c r="E4344" s="156" t="inlineStr">
        <is>
          <t>Grader</t>
        </is>
      </c>
      <c r="F4344" s="156" t="inlineStr"/>
      <c r="G4344" s="182" t="n">
        <v>0</v>
      </c>
      <c r="H4344" s="182" t="n">
        <v>0</v>
      </c>
      <c r="I4344" s="182" t="n">
        <v>0</v>
      </c>
      <c r="J4344" s="182" t="n">
        <v>0</v>
      </c>
      <c r="K4344" s="182" t="n">
        <v>12</v>
      </c>
      <c r="L4344" s="182" t="n">
        <v>12</v>
      </c>
      <c r="M4344" s="182" t="n">
        <v>0</v>
      </c>
      <c r="N4344" s="182" t="n">
        <v>0</v>
      </c>
      <c r="O4344" s="183" t="n">
        <v>0</v>
      </c>
      <c r="P4344" s="183" t="n">
        <v>0</v>
      </c>
      <c r="Q4344" s="184" t="n">
        <v>0</v>
      </c>
      <c r="R4344" s="184" t="n">
        <v>0</v>
      </c>
      <c r="S4344" s="183" t="n">
        <v>0</v>
      </c>
      <c r="T4344" s="183" t="n">
        <v>0</v>
      </c>
      <c r="U4344" s="182" t="n">
        <v>0</v>
      </c>
      <c r="V4344" s="182" t="n">
        <v>0</v>
      </c>
      <c r="W4344" s="182" t="n">
        <v>0</v>
      </c>
      <c r="X4344" s="182" t="n">
        <v>1</v>
      </c>
      <c r="Y4344" s="182" t="n">
        <v>0</v>
      </c>
      <c r="Z4344" s="182" t="n">
        <v>0</v>
      </c>
      <c r="AA4344" s="182" t="n">
        <v>0</v>
      </c>
      <c r="AB4344" s="182" t="n">
        <v>0</v>
      </c>
      <c r="AC4344" s="182" t="n">
        <v>0</v>
      </c>
      <c r="AD4344" s="182" t="n">
        <v>0</v>
      </c>
      <c r="AE4344" s="182" t="n">
        <v>0</v>
      </c>
      <c r="AF4344" s="182" t="n">
        <v>0</v>
      </c>
      <c r="AG4344" s="182" t="n">
        <v>0</v>
      </c>
      <c r="AH4344" s="182" t="n">
        <v>0</v>
      </c>
      <c r="AI4344" s="182" t="n">
        <v>0</v>
      </c>
      <c r="AJ4344" s="182" t="n">
        <v>0</v>
      </c>
      <c r="AK4344" s="182" t="n">
        <v>10.92</v>
      </c>
      <c r="AL4344" s="182" t="n">
        <v>0</v>
      </c>
      <c r="AM4344" s="182" t="n">
        <v>0.08</v>
      </c>
      <c r="AN4344" s="182" t="n">
        <v>0</v>
      </c>
    </row>
    <row r="4345">
      <c r="A4345" s="155" t="n">
        <v>46101</v>
      </c>
      <c r="B4345" s="156" t="inlineStr">
        <is>
          <t>NS</t>
        </is>
      </c>
      <c r="C4345" s="156" t="inlineStr">
        <is>
          <t>GD-011</t>
        </is>
      </c>
      <c r="D4345" s="156" t="inlineStr">
        <is>
          <t>STG 230C - 8S</t>
        </is>
      </c>
      <c r="E4345" s="156" t="inlineStr">
        <is>
          <t>Grader</t>
        </is>
      </c>
      <c r="F4345" s="156" t="inlineStr"/>
      <c r="G4345" s="182" t="n">
        <v>0</v>
      </c>
      <c r="H4345" s="182" t="n">
        <v>0</v>
      </c>
      <c r="I4345" s="182" t="n">
        <v>12</v>
      </c>
      <c r="J4345" s="182" t="n">
        <v>12</v>
      </c>
      <c r="K4345" s="182" t="n">
        <v>0</v>
      </c>
      <c r="L4345" s="182" t="n">
        <v>12</v>
      </c>
      <c r="M4345" s="182" t="n">
        <v>0</v>
      </c>
      <c r="N4345" s="182" t="n">
        <v>0</v>
      </c>
      <c r="O4345" s="183" t="n">
        <v>0</v>
      </c>
      <c r="P4345" s="183" t="n">
        <v>0</v>
      </c>
      <c r="Q4345" s="184" t="n">
        <v>0</v>
      </c>
      <c r="R4345" s="184" t="n">
        <v>0</v>
      </c>
      <c r="S4345" s="183" t="n">
        <v>0</v>
      </c>
      <c r="T4345" s="183" t="n">
        <v>0</v>
      </c>
      <c r="U4345" s="182" t="n">
        <v>0</v>
      </c>
      <c r="V4345" s="182" t="n">
        <v>0</v>
      </c>
      <c r="W4345" s="182" t="n">
        <v>0</v>
      </c>
      <c r="X4345" s="182" t="n">
        <v>0</v>
      </c>
      <c r="Y4345" s="182" t="n">
        <v>0</v>
      </c>
      <c r="Z4345" s="182" t="n">
        <v>0</v>
      </c>
      <c r="AA4345" s="182" t="n">
        <v>0</v>
      </c>
      <c r="AB4345" s="182" t="n">
        <v>0</v>
      </c>
      <c r="AC4345" s="182" t="n">
        <v>0</v>
      </c>
      <c r="AD4345" s="182" t="n">
        <v>0</v>
      </c>
      <c r="AE4345" s="182" t="n">
        <v>0</v>
      </c>
      <c r="AF4345" s="182" t="n">
        <v>0</v>
      </c>
      <c r="AG4345" s="182" t="n">
        <v>0</v>
      </c>
      <c r="AH4345" s="182" t="n">
        <v>0</v>
      </c>
      <c r="AI4345" s="182" t="n">
        <v>0</v>
      </c>
      <c r="AJ4345" s="182" t="n">
        <v>0</v>
      </c>
      <c r="AK4345" s="182" t="n">
        <v>0</v>
      </c>
      <c r="AL4345" s="182" t="n">
        <v>0</v>
      </c>
      <c r="AM4345" s="182" t="n">
        <v>0</v>
      </c>
      <c r="AN4345" s="182" t="n">
        <v>0</v>
      </c>
    </row>
    <row r="4346">
      <c r="A4346" s="155" t="n">
        <v>46101</v>
      </c>
      <c r="B4346" s="156" t="inlineStr">
        <is>
          <t>NS</t>
        </is>
      </c>
      <c r="C4346" s="156" t="inlineStr">
        <is>
          <t>GD-013</t>
        </is>
      </c>
      <c r="D4346" s="156" t="inlineStr">
        <is>
          <t>STG 265C - 10</t>
        </is>
      </c>
      <c r="E4346" s="156" t="inlineStr">
        <is>
          <t>Grader</t>
        </is>
      </c>
      <c r="F4346" s="156" t="inlineStr"/>
      <c r="G4346" s="182" t="n">
        <v>0</v>
      </c>
      <c r="H4346" s="182" t="n">
        <v>0</v>
      </c>
      <c r="I4346" s="182" t="n">
        <v>0</v>
      </c>
      <c r="J4346" s="182" t="n">
        <v>0</v>
      </c>
      <c r="K4346" s="182" t="n">
        <v>12</v>
      </c>
      <c r="L4346" s="182" t="n">
        <v>12</v>
      </c>
      <c r="M4346" s="182" t="n">
        <v>0</v>
      </c>
      <c r="N4346" s="182" t="n">
        <v>0</v>
      </c>
      <c r="O4346" s="183" t="n">
        <v>0</v>
      </c>
      <c r="P4346" s="183" t="n">
        <v>0</v>
      </c>
      <c r="Q4346" s="184" t="n">
        <v>0</v>
      </c>
      <c r="R4346" s="184" t="n">
        <v>0</v>
      </c>
      <c r="S4346" s="183" t="n">
        <v>0</v>
      </c>
      <c r="T4346" s="183" t="n">
        <v>0</v>
      </c>
      <c r="U4346" s="182" t="n">
        <v>0</v>
      </c>
      <c r="V4346" s="182" t="n">
        <v>0</v>
      </c>
      <c r="W4346" s="182" t="n">
        <v>0</v>
      </c>
      <c r="X4346" s="182" t="n">
        <v>1</v>
      </c>
      <c r="Y4346" s="182" t="n">
        <v>0</v>
      </c>
      <c r="Z4346" s="182" t="n">
        <v>0</v>
      </c>
      <c r="AA4346" s="182" t="n">
        <v>0</v>
      </c>
      <c r="AB4346" s="182" t="n">
        <v>0</v>
      </c>
      <c r="AC4346" s="182" t="n">
        <v>0</v>
      </c>
      <c r="AD4346" s="182" t="n">
        <v>0</v>
      </c>
      <c r="AE4346" s="182" t="n">
        <v>0</v>
      </c>
      <c r="AF4346" s="182" t="n">
        <v>0</v>
      </c>
      <c r="AG4346" s="182" t="n">
        <v>0</v>
      </c>
      <c r="AH4346" s="182" t="n">
        <v>0</v>
      </c>
      <c r="AI4346" s="182" t="n">
        <v>0</v>
      </c>
      <c r="AJ4346" s="182" t="n">
        <v>0</v>
      </c>
      <c r="AK4346" s="182" t="n">
        <v>10.92</v>
      </c>
      <c r="AL4346" s="182" t="n">
        <v>0</v>
      </c>
      <c r="AM4346" s="182" t="n">
        <v>0.08</v>
      </c>
      <c r="AN4346" s="182" t="n">
        <v>0</v>
      </c>
    </row>
    <row r="4347">
      <c r="A4347" s="155" t="n">
        <v>46101</v>
      </c>
      <c r="B4347" s="156" t="inlineStr">
        <is>
          <t>NS</t>
        </is>
      </c>
      <c r="C4347" s="156" t="inlineStr">
        <is>
          <t>GD-014</t>
        </is>
      </c>
      <c r="D4347" s="156" t="inlineStr">
        <is>
          <t>STG 335C - 10</t>
        </is>
      </c>
      <c r="E4347" s="156" t="inlineStr">
        <is>
          <t>Grader</t>
        </is>
      </c>
      <c r="F4347" s="156" t="inlineStr">
        <is>
          <t>Road Maintenance</t>
        </is>
      </c>
      <c r="G4347" s="182" t="n">
        <v>10.32</v>
      </c>
      <c r="H4347" s="182" t="n">
        <v>0</v>
      </c>
      <c r="I4347" s="182" t="n">
        <v>0</v>
      </c>
      <c r="J4347" s="182" t="n">
        <v>0</v>
      </c>
      <c r="K4347" s="182" t="n">
        <v>1.68</v>
      </c>
      <c r="L4347" s="182" t="n">
        <v>12</v>
      </c>
      <c r="M4347" s="182" t="n">
        <v>0</v>
      </c>
      <c r="N4347" s="182" t="n">
        <v>0</v>
      </c>
      <c r="O4347" s="183" t="n">
        <v>0</v>
      </c>
      <c r="P4347" s="183" t="n">
        <v>0</v>
      </c>
      <c r="Q4347" s="184" t="n">
        <v>0</v>
      </c>
      <c r="R4347" s="184" t="n">
        <v>0</v>
      </c>
      <c r="S4347" s="183" t="n">
        <v>0</v>
      </c>
      <c r="T4347" s="183" t="n">
        <v>0</v>
      </c>
      <c r="U4347" s="182" t="n">
        <v>0</v>
      </c>
      <c r="V4347" s="182" t="n">
        <v>0</v>
      </c>
      <c r="W4347" s="182" t="n">
        <v>0</v>
      </c>
      <c r="X4347" s="182" t="n">
        <v>1.53</v>
      </c>
      <c r="Y4347" s="182" t="n">
        <v>0</v>
      </c>
      <c r="Z4347" s="182" t="n">
        <v>0</v>
      </c>
      <c r="AA4347" s="182" t="n">
        <v>0</v>
      </c>
      <c r="AB4347" s="182" t="n">
        <v>0</v>
      </c>
      <c r="AC4347" s="182" t="n">
        <v>0</v>
      </c>
      <c r="AD4347" s="182" t="n">
        <v>0</v>
      </c>
      <c r="AE4347" s="182" t="n">
        <v>0</v>
      </c>
      <c r="AF4347" s="182" t="n">
        <v>0</v>
      </c>
      <c r="AG4347" s="182" t="n">
        <v>0</v>
      </c>
      <c r="AH4347" s="182" t="n">
        <v>0.03</v>
      </c>
      <c r="AI4347" s="182" t="n">
        <v>0</v>
      </c>
      <c r="AJ4347" s="182" t="n">
        <v>0</v>
      </c>
      <c r="AK4347" s="182" t="n">
        <v>0</v>
      </c>
      <c r="AL4347" s="182" t="n">
        <v>0</v>
      </c>
      <c r="AM4347" s="182" t="n">
        <v>0.12</v>
      </c>
      <c r="AN4347" s="182" t="n">
        <v>0</v>
      </c>
    </row>
    <row r="4348">
      <c r="A4348" s="155" t="n">
        <v>46101</v>
      </c>
      <c r="B4348" s="156" t="inlineStr">
        <is>
          <t>NS</t>
        </is>
      </c>
      <c r="C4348" s="156" t="inlineStr">
        <is>
          <t>DT-809</t>
        </is>
      </c>
      <c r="D4348" s="156" t="inlineStr">
        <is>
          <t>SKT 80S</t>
        </is>
      </c>
      <c r="E4348" s="156" t="inlineStr">
        <is>
          <t>Hauler</t>
        </is>
      </c>
      <c r="F4348" s="156" t="inlineStr"/>
      <c r="G4348" s="182" t="n">
        <v>0</v>
      </c>
      <c r="H4348" s="182" t="n">
        <v>0</v>
      </c>
      <c r="I4348" s="182" t="n">
        <v>0</v>
      </c>
      <c r="J4348" s="182" t="n">
        <v>0</v>
      </c>
      <c r="K4348" s="182" t="n">
        <v>12</v>
      </c>
      <c r="L4348" s="182" t="n">
        <v>12</v>
      </c>
      <c r="M4348" s="182" t="n">
        <v>0</v>
      </c>
      <c r="N4348" s="182" t="n">
        <v>0</v>
      </c>
      <c r="O4348" s="183" t="n">
        <v>0</v>
      </c>
      <c r="P4348" s="183" t="n">
        <v>0</v>
      </c>
      <c r="Q4348" s="184" t="n">
        <v>0</v>
      </c>
      <c r="R4348" s="184" t="n">
        <v>0</v>
      </c>
      <c r="S4348" s="183" t="n">
        <v>0</v>
      </c>
      <c r="T4348" s="183" t="n">
        <v>0</v>
      </c>
      <c r="U4348" s="182" t="n">
        <v>0</v>
      </c>
      <c r="V4348" s="182" t="n">
        <v>0</v>
      </c>
      <c r="W4348" s="182" t="n">
        <v>0</v>
      </c>
      <c r="X4348" s="182" t="n">
        <v>1</v>
      </c>
      <c r="Y4348" s="182" t="n">
        <v>0</v>
      </c>
      <c r="Z4348" s="182" t="n">
        <v>0</v>
      </c>
      <c r="AA4348" s="182" t="n">
        <v>0</v>
      </c>
      <c r="AB4348" s="182" t="n">
        <v>0</v>
      </c>
      <c r="AC4348" s="182" t="n">
        <v>0</v>
      </c>
      <c r="AD4348" s="182" t="n">
        <v>0</v>
      </c>
      <c r="AE4348" s="182" t="n">
        <v>0</v>
      </c>
      <c r="AF4348" s="182" t="n">
        <v>0</v>
      </c>
      <c r="AG4348" s="182" t="n">
        <v>0</v>
      </c>
      <c r="AH4348" s="182" t="n">
        <v>0</v>
      </c>
      <c r="AI4348" s="182" t="n">
        <v>0</v>
      </c>
      <c r="AJ4348" s="182" t="n">
        <v>0</v>
      </c>
      <c r="AK4348" s="182" t="n">
        <v>10.92</v>
      </c>
      <c r="AL4348" s="182" t="n">
        <v>0</v>
      </c>
      <c r="AM4348" s="182" t="n">
        <v>0.08</v>
      </c>
      <c r="AN4348" s="182" t="n">
        <v>0</v>
      </c>
    </row>
    <row r="4349">
      <c r="A4349" s="155" t="n">
        <v>46101</v>
      </c>
      <c r="B4349" s="156" t="inlineStr">
        <is>
          <t>NS</t>
        </is>
      </c>
      <c r="C4349" s="156" t="inlineStr">
        <is>
          <t>DT-806</t>
        </is>
      </c>
      <c r="D4349" s="156" t="inlineStr">
        <is>
          <t>SKT 80S</t>
        </is>
      </c>
      <c r="E4349" s="156" t="inlineStr">
        <is>
          <t>Hauler</t>
        </is>
      </c>
      <c r="F4349" s="156" t="inlineStr"/>
      <c r="G4349" s="182" t="n">
        <v>0</v>
      </c>
      <c r="H4349" s="182" t="n">
        <v>0</v>
      </c>
      <c r="I4349" s="182" t="n">
        <v>0</v>
      </c>
      <c r="J4349" s="182" t="n">
        <v>0</v>
      </c>
      <c r="K4349" s="182" t="n">
        <v>12</v>
      </c>
      <c r="L4349" s="182" t="n">
        <v>12</v>
      </c>
      <c r="M4349" s="182" t="n">
        <v>0</v>
      </c>
      <c r="N4349" s="182" t="n">
        <v>0</v>
      </c>
      <c r="O4349" s="183" t="n">
        <v>0</v>
      </c>
      <c r="P4349" s="183" t="n">
        <v>0</v>
      </c>
      <c r="Q4349" s="184" t="n">
        <v>0</v>
      </c>
      <c r="R4349" s="184" t="n">
        <v>0</v>
      </c>
      <c r="S4349" s="183" t="n">
        <v>0</v>
      </c>
      <c r="T4349" s="183" t="n">
        <v>0</v>
      </c>
      <c r="U4349" s="182" t="n">
        <v>0</v>
      </c>
      <c r="V4349" s="182" t="n">
        <v>0</v>
      </c>
      <c r="W4349" s="182" t="n">
        <v>0</v>
      </c>
      <c r="X4349" s="182" t="n">
        <v>1</v>
      </c>
      <c r="Y4349" s="182" t="n">
        <v>0</v>
      </c>
      <c r="Z4349" s="182" t="n">
        <v>0</v>
      </c>
      <c r="AA4349" s="182" t="n">
        <v>0</v>
      </c>
      <c r="AB4349" s="182" t="n">
        <v>0</v>
      </c>
      <c r="AC4349" s="182" t="n">
        <v>0</v>
      </c>
      <c r="AD4349" s="182" t="n">
        <v>0</v>
      </c>
      <c r="AE4349" s="182" t="n">
        <v>0</v>
      </c>
      <c r="AF4349" s="182" t="n">
        <v>0</v>
      </c>
      <c r="AG4349" s="182" t="n">
        <v>0</v>
      </c>
      <c r="AH4349" s="182" t="n">
        <v>0</v>
      </c>
      <c r="AI4349" s="182" t="n">
        <v>0</v>
      </c>
      <c r="AJ4349" s="182" t="n">
        <v>0</v>
      </c>
      <c r="AK4349" s="182" t="n">
        <v>10.92</v>
      </c>
      <c r="AL4349" s="182" t="n">
        <v>0</v>
      </c>
      <c r="AM4349" s="182" t="n">
        <v>0.08</v>
      </c>
      <c r="AN4349" s="182" t="n">
        <v>0</v>
      </c>
    </row>
    <row r="4350">
      <c r="A4350" s="155" t="n">
        <v>46101</v>
      </c>
      <c r="B4350" s="156" t="inlineStr">
        <is>
          <t>NS</t>
        </is>
      </c>
      <c r="C4350" s="156" t="inlineStr">
        <is>
          <t>DT-805</t>
        </is>
      </c>
      <c r="D4350" s="156" t="inlineStr">
        <is>
          <t>SKT 80S</t>
        </is>
      </c>
      <c r="E4350" s="156" t="inlineStr">
        <is>
          <t>Hauler</t>
        </is>
      </c>
      <c r="F4350" s="156" t="inlineStr"/>
      <c r="G4350" s="182" t="n">
        <v>0</v>
      </c>
      <c r="H4350" s="182" t="n">
        <v>0</v>
      </c>
      <c r="I4350" s="182" t="n">
        <v>0</v>
      </c>
      <c r="J4350" s="182" t="n">
        <v>0</v>
      </c>
      <c r="K4350" s="182" t="n">
        <v>12</v>
      </c>
      <c r="L4350" s="182" t="n">
        <v>12</v>
      </c>
      <c r="M4350" s="182" t="n">
        <v>0</v>
      </c>
      <c r="N4350" s="182" t="n">
        <v>0</v>
      </c>
      <c r="O4350" s="183" t="n">
        <v>0</v>
      </c>
      <c r="P4350" s="183" t="n">
        <v>0</v>
      </c>
      <c r="Q4350" s="184" t="n">
        <v>0</v>
      </c>
      <c r="R4350" s="184" t="n">
        <v>0</v>
      </c>
      <c r="S4350" s="183" t="n">
        <v>0</v>
      </c>
      <c r="T4350" s="183" t="n">
        <v>0</v>
      </c>
      <c r="U4350" s="182" t="n">
        <v>0</v>
      </c>
      <c r="V4350" s="182" t="n">
        <v>0</v>
      </c>
      <c r="W4350" s="182" t="n">
        <v>0</v>
      </c>
      <c r="X4350" s="182" t="n">
        <v>1</v>
      </c>
      <c r="Y4350" s="182" t="n">
        <v>0</v>
      </c>
      <c r="Z4350" s="182" t="n">
        <v>0</v>
      </c>
      <c r="AA4350" s="182" t="n">
        <v>0</v>
      </c>
      <c r="AB4350" s="182" t="n">
        <v>0</v>
      </c>
      <c r="AC4350" s="182" t="n">
        <v>0</v>
      </c>
      <c r="AD4350" s="182" t="n">
        <v>0</v>
      </c>
      <c r="AE4350" s="182" t="n">
        <v>0</v>
      </c>
      <c r="AF4350" s="182" t="n">
        <v>0</v>
      </c>
      <c r="AG4350" s="182" t="n">
        <v>0</v>
      </c>
      <c r="AH4350" s="182" t="n">
        <v>0</v>
      </c>
      <c r="AI4350" s="182" t="n">
        <v>0</v>
      </c>
      <c r="AJ4350" s="182" t="n">
        <v>0</v>
      </c>
      <c r="AK4350" s="182" t="n">
        <v>10.92</v>
      </c>
      <c r="AL4350" s="182" t="n">
        <v>0</v>
      </c>
      <c r="AM4350" s="182" t="n">
        <v>0.08</v>
      </c>
      <c r="AN4350" s="182" t="n">
        <v>0</v>
      </c>
    </row>
    <row r="4351">
      <c r="A4351" s="155" t="n">
        <v>46101</v>
      </c>
      <c r="B4351" s="156" t="inlineStr">
        <is>
          <t>NS</t>
        </is>
      </c>
      <c r="C4351" s="156" t="inlineStr">
        <is>
          <t>DT-801</t>
        </is>
      </c>
      <c r="D4351" s="156" t="inlineStr">
        <is>
          <t>SKT 80S</t>
        </is>
      </c>
      <c r="E4351" s="156" t="inlineStr">
        <is>
          <t>Hauler</t>
        </is>
      </c>
      <c r="F4351" s="156" t="inlineStr"/>
      <c r="G4351" s="182" t="n">
        <v>0</v>
      </c>
      <c r="H4351" s="182" t="n">
        <v>0</v>
      </c>
      <c r="I4351" s="182" t="n">
        <v>0</v>
      </c>
      <c r="J4351" s="182" t="n">
        <v>0</v>
      </c>
      <c r="K4351" s="182" t="n">
        <v>12</v>
      </c>
      <c r="L4351" s="182" t="n">
        <v>12</v>
      </c>
      <c r="M4351" s="182" t="n">
        <v>0</v>
      </c>
      <c r="N4351" s="182" t="n">
        <v>0</v>
      </c>
      <c r="O4351" s="183" t="n">
        <v>0</v>
      </c>
      <c r="P4351" s="183" t="n">
        <v>0</v>
      </c>
      <c r="Q4351" s="184" t="n">
        <v>0</v>
      </c>
      <c r="R4351" s="184" t="n">
        <v>0</v>
      </c>
      <c r="S4351" s="183" t="n">
        <v>0</v>
      </c>
      <c r="T4351" s="183" t="n">
        <v>0</v>
      </c>
      <c r="U4351" s="182" t="n">
        <v>0</v>
      </c>
      <c r="V4351" s="182" t="n">
        <v>0</v>
      </c>
      <c r="W4351" s="182" t="n">
        <v>0</v>
      </c>
      <c r="X4351" s="182" t="n">
        <v>1</v>
      </c>
      <c r="Y4351" s="182" t="n">
        <v>0</v>
      </c>
      <c r="Z4351" s="182" t="n">
        <v>0</v>
      </c>
      <c r="AA4351" s="182" t="n">
        <v>0</v>
      </c>
      <c r="AB4351" s="182" t="n">
        <v>0</v>
      </c>
      <c r="AC4351" s="182" t="n">
        <v>0</v>
      </c>
      <c r="AD4351" s="182" t="n">
        <v>0</v>
      </c>
      <c r="AE4351" s="182" t="n">
        <v>0</v>
      </c>
      <c r="AF4351" s="182" t="n">
        <v>0</v>
      </c>
      <c r="AG4351" s="182" t="n">
        <v>0</v>
      </c>
      <c r="AH4351" s="182" t="n">
        <v>0</v>
      </c>
      <c r="AI4351" s="182" t="n">
        <v>0</v>
      </c>
      <c r="AJ4351" s="182" t="n">
        <v>0</v>
      </c>
      <c r="AK4351" s="182" t="n">
        <v>10.92</v>
      </c>
      <c r="AL4351" s="182" t="n">
        <v>0</v>
      </c>
      <c r="AM4351" s="182" t="n">
        <v>0.08</v>
      </c>
      <c r="AN4351" s="182" t="n">
        <v>0</v>
      </c>
    </row>
    <row r="4352">
      <c r="A4352" s="155" t="n">
        <v>46101</v>
      </c>
      <c r="B4352" s="156" t="inlineStr">
        <is>
          <t>NS</t>
        </is>
      </c>
      <c r="C4352" s="156" t="inlineStr">
        <is>
          <t>DT-808</t>
        </is>
      </c>
      <c r="D4352" s="156" t="inlineStr">
        <is>
          <t>SKT 80S</t>
        </is>
      </c>
      <c r="E4352" s="156" t="inlineStr">
        <is>
          <t>Hauler</t>
        </is>
      </c>
      <c r="F4352" s="156" t="inlineStr">
        <is>
          <t>Hauling Lumpur dari Washing Plant</t>
        </is>
      </c>
      <c r="G4352" s="182" t="n">
        <v>7.82</v>
      </c>
      <c r="H4352" s="182" t="n">
        <v>0</v>
      </c>
      <c r="I4352" s="182" t="n">
        <v>0</v>
      </c>
      <c r="J4352" s="182" t="n">
        <v>0</v>
      </c>
      <c r="K4352" s="182" t="n">
        <v>4.18</v>
      </c>
      <c r="L4352" s="182" t="n">
        <v>12</v>
      </c>
      <c r="M4352" s="182" t="n">
        <v>0</v>
      </c>
      <c r="N4352" s="182" t="n">
        <v>0</v>
      </c>
      <c r="O4352" s="183" t="n">
        <v>0</v>
      </c>
      <c r="P4352" s="183" t="n">
        <v>0</v>
      </c>
      <c r="Q4352" s="184" t="n">
        <v>0</v>
      </c>
      <c r="R4352" s="184" t="n">
        <v>0</v>
      </c>
      <c r="S4352" s="183" t="n">
        <v>0</v>
      </c>
      <c r="T4352" s="183" t="n">
        <v>0</v>
      </c>
      <c r="U4352" s="182" t="n">
        <v>0</v>
      </c>
      <c r="V4352" s="182" t="n">
        <v>0</v>
      </c>
      <c r="W4352" s="182" t="n">
        <v>0</v>
      </c>
      <c r="X4352" s="182" t="n">
        <v>1.04</v>
      </c>
      <c r="Y4352" s="182" t="n">
        <v>0</v>
      </c>
      <c r="Z4352" s="182" t="n">
        <v>0</v>
      </c>
      <c r="AA4352" s="182" t="n">
        <v>0</v>
      </c>
      <c r="AB4352" s="182" t="n">
        <v>0</v>
      </c>
      <c r="AC4352" s="182" t="n">
        <v>0</v>
      </c>
      <c r="AD4352" s="182" t="n">
        <v>0</v>
      </c>
      <c r="AE4352" s="182" t="n">
        <v>0</v>
      </c>
      <c r="AF4352" s="182" t="n">
        <v>0</v>
      </c>
      <c r="AG4352" s="182" t="n">
        <v>0</v>
      </c>
      <c r="AH4352" s="182" t="n">
        <v>0</v>
      </c>
      <c r="AI4352" s="182" t="n">
        <v>0</v>
      </c>
      <c r="AJ4352" s="182" t="n">
        <v>0</v>
      </c>
      <c r="AK4352" s="182" t="n">
        <v>3.05</v>
      </c>
      <c r="AL4352" s="182" t="n">
        <v>0</v>
      </c>
      <c r="AM4352" s="182" t="n">
        <v>0.08</v>
      </c>
      <c r="AN4352" s="182" t="n">
        <v>0</v>
      </c>
    </row>
    <row r="4353">
      <c r="A4353" s="155" t="n">
        <v>46101</v>
      </c>
      <c r="B4353" s="156" t="inlineStr">
        <is>
          <t>NS</t>
        </is>
      </c>
      <c r="C4353" s="156" t="inlineStr">
        <is>
          <t>DT-811</t>
        </is>
      </c>
      <c r="D4353" s="156" t="inlineStr">
        <is>
          <t>SKT 80S</t>
        </is>
      </c>
      <c r="E4353" s="156" t="inlineStr">
        <is>
          <t>Hauler</t>
        </is>
      </c>
      <c r="F4353" s="156" t="inlineStr"/>
      <c r="G4353" s="182" t="n">
        <v>0</v>
      </c>
      <c r="H4353" s="182" t="n">
        <v>0</v>
      </c>
      <c r="I4353" s="182" t="n">
        <v>12</v>
      </c>
      <c r="J4353" s="182" t="n">
        <v>12</v>
      </c>
      <c r="K4353" s="182" t="n">
        <v>0</v>
      </c>
      <c r="L4353" s="182" t="n">
        <v>12</v>
      </c>
      <c r="M4353" s="182" t="n">
        <v>0</v>
      </c>
      <c r="N4353" s="182" t="n">
        <v>0</v>
      </c>
      <c r="O4353" s="183" t="n">
        <v>0</v>
      </c>
      <c r="P4353" s="183" t="n">
        <v>0</v>
      </c>
      <c r="Q4353" s="184" t="n">
        <v>0</v>
      </c>
      <c r="R4353" s="184" t="n">
        <v>0</v>
      </c>
      <c r="S4353" s="183" t="n">
        <v>0</v>
      </c>
      <c r="T4353" s="183" t="n">
        <v>0</v>
      </c>
      <c r="U4353" s="182" t="n">
        <v>0</v>
      </c>
      <c r="V4353" s="182" t="n">
        <v>0</v>
      </c>
      <c r="W4353" s="182" t="n">
        <v>0</v>
      </c>
      <c r="X4353" s="182" t="n">
        <v>0</v>
      </c>
      <c r="Y4353" s="182" t="n">
        <v>0</v>
      </c>
      <c r="Z4353" s="182" t="n">
        <v>0</v>
      </c>
      <c r="AA4353" s="182" t="n">
        <v>0</v>
      </c>
      <c r="AB4353" s="182" t="n">
        <v>0</v>
      </c>
      <c r="AC4353" s="182" t="n">
        <v>0</v>
      </c>
      <c r="AD4353" s="182" t="n">
        <v>0</v>
      </c>
      <c r="AE4353" s="182" t="n">
        <v>0</v>
      </c>
      <c r="AF4353" s="182" t="n">
        <v>0</v>
      </c>
      <c r="AG4353" s="182" t="n">
        <v>0</v>
      </c>
      <c r="AH4353" s="182" t="n">
        <v>0</v>
      </c>
      <c r="AI4353" s="182" t="n">
        <v>0</v>
      </c>
      <c r="AJ4353" s="182" t="n">
        <v>0</v>
      </c>
      <c r="AK4353" s="182" t="n">
        <v>0</v>
      </c>
      <c r="AL4353" s="182" t="n">
        <v>0</v>
      </c>
      <c r="AM4353" s="182" t="n">
        <v>0</v>
      </c>
      <c r="AN4353" s="182" t="n">
        <v>0</v>
      </c>
    </row>
    <row r="4354">
      <c r="A4354" s="155" t="n">
        <v>46101</v>
      </c>
      <c r="B4354" s="156" t="inlineStr">
        <is>
          <t>NS</t>
        </is>
      </c>
      <c r="C4354" s="156" t="inlineStr">
        <is>
          <t>DT-802</t>
        </is>
      </c>
      <c r="D4354" s="156" t="inlineStr">
        <is>
          <t>SKT 80S</t>
        </is>
      </c>
      <c r="E4354" s="156" t="inlineStr">
        <is>
          <t>Hauler</t>
        </is>
      </c>
      <c r="F4354" s="156" t="inlineStr"/>
      <c r="G4354" s="182" t="n">
        <v>0</v>
      </c>
      <c r="H4354" s="182" t="n">
        <v>0</v>
      </c>
      <c r="I4354" s="182" t="n">
        <v>12</v>
      </c>
      <c r="J4354" s="182" t="n">
        <v>12</v>
      </c>
      <c r="K4354" s="182" t="n">
        <v>0</v>
      </c>
      <c r="L4354" s="182" t="n">
        <v>12</v>
      </c>
      <c r="M4354" s="182" t="n">
        <v>0</v>
      </c>
      <c r="N4354" s="182" t="n">
        <v>0</v>
      </c>
      <c r="O4354" s="183" t="n">
        <v>0</v>
      </c>
      <c r="P4354" s="183" t="n">
        <v>0</v>
      </c>
      <c r="Q4354" s="184" t="n">
        <v>0</v>
      </c>
      <c r="R4354" s="184" t="n">
        <v>0</v>
      </c>
      <c r="S4354" s="183" t="n">
        <v>0</v>
      </c>
      <c r="T4354" s="183" t="n">
        <v>0</v>
      </c>
      <c r="U4354" s="182" t="n">
        <v>0</v>
      </c>
      <c r="V4354" s="182" t="n">
        <v>0</v>
      </c>
      <c r="W4354" s="182" t="n">
        <v>0</v>
      </c>
      <c r="X4354" s="182" t="n">
        <v>0</v>
      </c>
      <c r="Y4354" s="182" t="n">
        <v>0</v>
      </c>
      <c r="Z4354" s="182" t="n">
        <v>0</v>
      </c>
      <c r="AA4354" s="182" t="n">
        <v>0</v>
      </c>
      <c r="AB4354" s="182" t="n">
        <v>0</v>
      </c>
      <c r="AC4354" s="182" t="n">
        <v>0</v>
      </c>
      <c r="AD4354" s="182" t="n">
        <v>0</v>
      </c>
      <c r="AE4354" s="182" t="n">
        <v>0</v>
      </c>
      <c r="AF4354" s="182" t="n">
        <v>0</v>
      </c>
      <c r="AG4354" s="182" t="n">
        <v>0</v>
      </c>
      <c r="AH4354" s="182" t="n">
        <v>0</v>
      </c>
      <c r="AI4354" s="182" t="n">
        <v>0</v>
      </c>
      <c r="AJ4354" s="182" t="n">
        <v>0</v>
      </c>
      <c r="AK4354" s="182" t="n">
        <v>0</v>
      </c>
      <c r="AL4354" s="182" t="n">
        <v>0</v>
      </c>
      <c r="AM4354" s="182" t="n">
        <v>0</v>
      </c>
      <c r="AN4354" s="182" t="n">
        <v>0</v>
      </c>
    </row>
    <row r="4355">
      <c r="A4355" s="155" t="n">
        <v>46101</v>
      </c>
      <c r="B4355" s="156" t="inlineStr">
        <is>
          <t>NS</t>
        </is>
      </c>
      <c r="C4355" s="156" t="inlineStr">
        <is>
          <t>DT-807</t>
        </is>
      </c>
      <c r="D4355" s="156" t="inlineStr">
        <is>
          <t>SKT 80S</t>
        </is>
      </c>
      <c r="E4355" s="156" t="inlineStr">
        <is>
          <t>Hauler</t>
        </is>
      </c>
      <c r="F4355" s="156" t="inlineStr">
        <is>
          <t>Hauling Lumpur dari Washing Plant &amp; Hauling Coal</t>
        </is>
      </c>
      <c r="G4355" s="182" t="n">
        <v>5.18</v>
      </c>
      <c r="H4355" s="182" t="n">
        <v>0</v>
      </c>
      <c r="I4355" s="182" t="n">
        <v>6.6</v>
      </c>
      <c r="J4355" s="182" t="n">
        <v>6.6</v>
      </c>
      <c r="K4355" s="182" t="n">
        <v>0.22</v>
      </c>
      <c r="L4355" s="182" t="n">
        <v>12</v>
      </c>
      <c r="M4355" s="182" t="n">
        <v>0</v>
      </c>
      <c r="N4355" s="182" t="n">
        <v>1.44</v>
      </c>
      <c r="O4355" s="183" t="n">
        <v>0</v>
      </c>
      <c r="P4355" s="183" t="n">
        <v>4</v>
      </c>
      <c r="Q4355" s="184" t="n">
        <v>0</v>
      </c>
      <c r="R4355" s="184" t="n">
        <v>61.2</v>
      </c>
      <c r="S4355" s="183" t="n">
        <v>0</v>
      </c>
      <c r="T4355" s="183" t="n">
        <v>0</v>
      </c>
      <c r="U4355" s="182" t="n">
        <v>0</v>
      </c>
      <c r="V4355" s="182" t="n">
        <v>0</v>
      </c>
      <c r="W4355" s="182" t="n">
        <v>0</v>
      </c>
      <c r="X4355" s="182" t="n">
        <v>0</v>
      </c>
      <c r="Y4355" s="182" t="n">
        <v>0</v>
      </c>
      <c r="Z4355" s="182" t="n">
        <v>0</v>
      </c>
      <c r="AA4355" s="182" t="n">
        <v>0</v>
      </c>
      <c r="AB4355" s="182" t="n">
        <v>0</v>
      </c>
      <c r="AC4355" s="182" t="n">
        <v>0</v>
      </c>
      <c r="AD4355" s="182" t="n">
        <v>0</v>
      </c>
      <c r="AE4355" s="182" t="n">
        <v>0</v>
      </c>
      <c r="AF4355" s="182" t="n">
        <v>0</v>
      </c>
      <c r="AG4355" s="182" t="n">
        <v>0</v>
      </c>
      <c r="AH4355" s="182" t="n">
        <v>0</v>
      </c>
      <c r="AI4355" s="182" t="n">
        <v>0</v>
      </c>
      <c r="AJ4355" s="182" t="n">
        <v>0</v>
      </c>
      <c r="AK4355" s="182" t="n">
        <v>0</v>
      </c>
      <c r="AL4355" s="182" t="n">
        <v>0</v>
      </c>
      <c r="AM4355" s="182" t="n">
        <v>0</v>
      </c>
      <c r="AN4355" s="182" t="n">
        <v>0</v>
      </c>
    </row>
    <row r="4356">
      <c r="A4356" s="155" t="n">
        <v>46101</v>
      </c>
      <c r="B4356" s="156" t="inlineStr">
        <is>
          <t>NS</t>
        </is>
      </c>
      <c r="C4356" s="156" t="inlineStr">
        <is>
          <t>DT-812</t>
        </is>
      </c>
      <c r="D4356" s="156" t="inlineStr">
        <is>
          <t>SKT 80S</t>
        </is>
      </c>
      <c r="E4356" s="156" t="inlineStr">
        <is>
          <t>Hauler</t>
        </is>
      </c>
      <c r="F4356" s="156" t="inlineStr">
        <is>
          <t>Hauling Lumpur dari Washing Plant</t>
        </is>
      </c>
      <c r="G4356" s="182" t="n">
        <v>4.41</v>
      </c>
      <c r="H4356" s="182" t="n">
        <v>0</v>
      </c>
      <c r="I4356" s="182" t="n">
        <v>0</v>
      </c>
      <c r="J4356" s="182" t="n">
        <v>0</v>
      </c>
      <c r="K4356" s="182" t="n">
        <v>7.59</v>
      </c>
      <c r="L4356" s="182" t="n">
        <v>12</v>
      </c>
      <c r="M4356" s="182" t="n">
        <v>0</v>
      </c>
      <c r="N4356" s="182" t="n">
        <v>0</v>
      </c>
      <c r="O4356" s="183" t="n">
        <v>0</v>
      </c>
      <c r="P4356" s="183" t="n">
        <v>0</v>
      </c>
      <c r="Q4356" s="184" t="n">
        <v>0</v>
      </c>
      <c r="R4356" s="184" t="n">
        <v>0</v>
      </c>
      <c r="S4356" s="183" t="n">
        <v>0</v>
      </c>
      <c r="T4356" s="183" t="n">
        <v>0</v>
      </c>
      <c r="U4356" s="182" t="n">
        <v>0</v>
      </c>
      <c r="V4356" s="182" t="n">
        <v>0</v>
      </c>
      <c r="W4356" s="182" t="n">
        <v>0</v>
      </c>
      <c r="X4356" s="182" t="n">
        <v>0.99</v>
      </c>
      <c r="Y4356" s="182" t="n">
        <v>0</v>
      </c>
      <c r="Z4356" s="182" t="n">
        <v>0</v>
      </c>
      <c r="AA4356" s="182" t="n">
        <v>0</v>
      </c>
      <c r="AB4356" s="182" t="n">
        <v>0</v>
      </c>
      <c r="AC4356" s="182" t="n">
        <v>0</v>
      </c>
      <c r="AD4356" s="182" t="n">
        <v>0</v>
      </c>
      <c r="AE4356" s="182" t="n">
        <v>0</v>
      </c>
      <c r="AF4356" s="182" t="n">
        <v>0</v>
      </c>
      <c r="AG4356" s="182" t="n">
        <v>0</v>
      </c>
      <c r="AH4356" s="182" t="n">
        <v>0</v>
      </c>
      <c r="AI4356" s="182" t="n">
        <v>0</v>
      </c>
      <c r="AJ4356" s="182" t="n">
        <v>0</v>
      </c>
      <c r="AK4356" s="182" t="n">
        <v>6.53</v>
      </c>
      <c r="AL4356" s="182" t="n">
        <v>0</v>
      </c>
      <c r="AM4356" s="182" t="n">
        <v>0.08</v>
      </c>
      <c r="AN4356" s="182" t="n">
        <v>0</v>
      </c>
    </row>
    <row r="4357">
      <c r="A4357" s="155" t="n">
        <v>46101</v>
      </c>
      <c r="B4357" s="156" t="inlineStr">
        <is>
          <t>NS</t>
        </is>
      </c>
      <c r="C4357" s="156" t="inlineStr">
        <is>
          <t>DT-803</t>
        </is>
      </c>
      <c r="D4357" s="156" t="inlineStr">
        <is>
          <t>SKT 80S</t>
        </is>
      </c>
      <c r="E4357" s="156" t="inlineStr">
        <is>
          <t>Hauler</t>
        </is>
      </c>
      <c r="F4357" s="156" t="inlineStr"/>
      <c r="G4357" s="182" t="n">
        <v>0</v>
      </c>
      <c r="H4357" s="182" t="n">
        <v>0</v>
      </c>
      <c r="I4357" s="182" t="n">
        <v>12</v>
      </c>
      <c r="J4357" s="182" t="n">
        <v>12</v>
      </c>
      <c r="K4357" s="182" t="n">
        <v>0</v>
      </c>
      <c r="L4357" s="182" t="n">
        <v>12</v>
      </c>
      <c r="M4357" s="182" t="n">
        <v>0</v>
      </c>
      <c r="N4357" s="182" t="n">
        <v>0</v>
      </c>
      <c r="O4357" s="183" t="n">
        <v>0</v>
      </c>
      <c r="P4357" s="183" t="n">
        <v>0</v>
      </c>
      <c r="Q4357" s="184" t="n">
        <v>0</v>
      </c>
      <c r="R4357" s="184" t="n">
        <v>0</v>
      </c>
      <c r="S4357" s="183" t="n">
        <v>0</v>
      </c>
      <c r="T4357" s="183" t="n">
        <v>0</v>
      </c>
      <c r="U4357" s="182" t="n">
        <v>0</v>
      </c>
      <c r="V4357" s="182" t="n">
        <v>0</v>
      </c>
      <c r="W4357" s="182" t="n">
        <v>0</v>
      </c>
      <c r="X4357" s="182" t="n">
        <v>0</v>
      </c>
      <c r="Y4357" s="182" t="n">
        <v>0</v>
      </c>
      <c r="Z4357" s="182" t="n">
        <v>0</v>
      </c>
      <c r="AA4357" s="182" t="n">
        <v>0</v>
      </c>
      <c r="AB4357" s="182" t="n">
        <v>0</v>
      </c>
      <c r="AC4357" s="182" t="n">
        <v>0</v>
      </c>
      <c r="AD4357" s="182" t="n">
        <v>0</v>
      </c>
      <c r="AE4357" s="182" t="n">
        <v>0</v>
      </c>
      <c r="AF4357" s="182" t="n">
        <v>0</v>
      </c>
      <c r="AG4357" s="182" t="n">
        <v>0</v>
      </c>
      <c r="AH4357" s="182" t="n">
        <v>0</v>
      </c>
      <c r="AI4357" s="182" t="n">
        <v>0</v>
      </c>
      <c r="AJ4357" s="182" t="n">
        <v>0</v>
      </c>
      <c r="AK4357" s="182" t="n">
        <v>0</v>
      </c>
      <c r="AL4357" s="182" t="n">
        <v>0</v>
      </c>
      <c r="AM4357" s="182" t="n">
        <v>0</v>
      </c>
      <c r="AN4357" s="182" t="n">
        <v>0</v>
      </c>
    </row>
    <row r="4358">
      <c r="A4358" s="155" t="n">
        <v>46101</v>
      </c>
      <c r="B4358" s="156" t="inlineStr">
        <is>
          <t>NS</t>
        </is>
      </c>
      <c r="C4358" s="156" t="inlineStr">
        <is>
          <t>DT-810</t>
        </is>
      </c>
      <c r="D4358" s="156" t="inlineStr">
        <is>
          <t>SKT 80S</t>
        </is>
      </c>
      <c r="E4358" s="156" t="inlineStr">
        <is>
          <t>Hauler</t>
        </is>
      </c>
      <c r="F4358" s="156" t="inlineStr">
        <is>
          <t>Hauling Lumpur dari Washing Plant</t>
        </is>
      </c>
      <c r="G4358" s="182" t="n">
        <v>10.5</v>
      </c>
      <c r="H4358" s="182" t="n">
        <v>0</v>
      </c>
      <c r="I4358" s="182" t="n">
        <v>0.42</v>
      </c>
      <c r="J4358" s="182" t="n">
        <v>0.42</v>
      </c>
      <c r="K4358" s="182" t="n">
        <v>1.08</v>
      </c>
      <c r="L4358" s="182" t="n">
        <v>12</v>
      </c>
      <c r="M4358" s="182" t="n">
        <v>0</v>
      </c>
      <c r="N4358" s="182" t="n">
        <v>0</v>
      </c>
      <c r="O4358" s="183" t="n">
        <v>0</v>
      </c>
      <c r="P4358" s="183" t="n">
        <v>0</v>
      </c>
      <c r="Q4358" s="184" t="n">
        <v>0</v>
      </c>
      <c r="R4358" s="184" t="n">
        <v>0</v>
      </c>
      <c r="S4358" s="183" t="n">
        <v>0</v>
      </c>
      <c r="T4358" s="183" t="n">
        <v>0</v>
      </c>
      <c r="U4358" s="182" t="n">
        <v>0</v>
      </c>
      <c r="V4358" s="182" t="n">
        <v>0</v>
      </c>
      <c r="W4358" s="182" t="n">
        <v>0</v>
      </c>
      <c r="X4358" s="182" t="n">
        <v>0.84</v>
      </c>
      <c r="Y4358" s="182" t="n">
        <v>0</v>
      </c>
      <c r="Z4358" s="182" t="n">
        <v>0</v>
      </c>
      <c r="AA4358" s="182" t="n">
        <v>0</v>
      </c>
      <c r="AB4358" s="182" t="n">
        <v>0</v>
      </c>
      <c r="AC4358" s="182" t="n">
        <v>0</v>
      </c>
      <c r="AD4358" s="182" t="n">
        <v>0</v>
      </c>
      <c r="AE4358" s="182" t="n">
        <v>0</v>
      </c>
      <c r="AF4358" s="182" t="n">
        <v>0</v>
      </c>
      <c r="AG4358" s="182" t="n">
        <v>0</v>
      </c>
      <c r="AH4358" s="182" t="n">
        <v>0.17</v>
      </c>
      <c r="AI4358" s="182" t="n">
        <v>0</v>
      </c>
      <c r="AJ4358" s="182" t="n">
        <v>0</v>
      </c>
      <c r="AK4358" s="182" t="n">
        <v>0</v>
      </c>
      <c r="AL4358" s="182" t="n">
        <v>0</v>
      </c>
      <c r="AM4358" s="182" t="n">
        <v>0.07000000000000001</v>
      </c>
      <c r="AN4358" s="182" t="n">
        <v>0</v>
      </c>
    </row>
    <row r="4359">
      <c r="A4359" s="155" t="n">
        <v>46101</v>
      </c>
      <c r="B4359" s="156" t="inlineStr">
        <is>
          <t>NS</t>
        </is>
      </c>
      <c r="C4359" s="156" t="inlineStr">
        <is>
          <t>DT-804</t>
        </is>
      </c>
      <c r="D4359" s="156" t="inlineStr">
        <is>
          <t>SKT 80S</t>
        </is>
      </c>
      <c r="E4359" s="156" t="inlineStr">
        <is>
          <t>Hauler</t>
        </is>
      </c>
      <c r="F4359" s="156" t="inlineStr">
        <is>
          <t>Hauling Lumpur dari Washing Plant</t>
        </is>
      </c>
      <c r="G4359" s="182" t="n">
        <v>8.35</v>
      </c>
      <c r="H4359" s="182" t="n">
        <v>0</v>
      </c>
      <c r="I4359" s="182" t="n">
        <v>0</v>
      </c>
      <c r="J4359" s="182" t="n">
        <v>0</v>
      </c>
      <c r="K4359" s="182" t="n">
        <v>3.65</v>
      </c>
      <c r="L4359" s="182" t="n">
        <v>12</v>
      </c>
      <c r="M4359" s="182" t="n">
        <v>0</v>
      </c>
      <c r="N4359" s="182" t="n">
        <v>0</v>
      </c>
      <c r="O4359" s="183" t="n">
        <v>0</v>
      </c>
      <c r="P4359" s="183" t="n">
        <v>0</v>
      </c>
      <c r="Q4359" s="184" t="n">
        <v>0</v>
      </c>
      <c r="R4359" s="184" t="n">
        <v>0</v>
      </c>
      <c r="S4359" s="183" t="n">
        <v>0</v>
      </c>
      <c r="T4359" s="183" t="n">
        <v>0</v>
      </c>
      <c r="U4359" s="182" t="n">
        <v>0</v>
      </c>
      <c r="V4359" s="182" t="n">
        <v>0</v>
      </c>
      <c r="W4359" s="182" t="n">
        <v>0</v>
      </c>
      <c r="X4359" s="182" t="n">
        <v>0.91</v>
      </c>
      <c r="Y4359" s="182" t="n">
        <v>0</v>
      </c>
      <c r="Z4359" s="182" t="n">
        <v>0</v>
      </c>
      <c r="AA4359" s="182" t="n">
        <v>0</v>
      </c>
      <c r="AB4359" s="182" t="n">
        <v>0</v>
      </c>
      <c r="AC4359" s="182" t="n">
        <v>0</v>
      </c>
      <c r="AD4359" s="182" t="n">
        <v>0</v>
      </c>
      <c r="AE4359" s="182" t="n">
        <v>0</v>
      </c>
      <c r="AF4359" s="182" t="n">
        <v>0</v>
      </c>
      <c r="AG4359" s="182" t="n">
        <v>0</v>
      </c>
      <c r="AH4359" s="182" t="n">
        <v>0</v>
      </c>
      <c r="AI4359" s="182" t="n">
        <v>0</v>
      </c>
      <c r="AJ4359" s="182" t="n">
        <v>0</v>
      </c>
      <c r="AK4359" s="182" t="n">
        <v>2.66</v>
      </c>
      <c r="AL4359" s="182" t="n">
        <v>0</v>
      </c>
      <c r="AM4359" s="182" t="n">
        <v>0.07000000000000001</v>
      </c>
      <c r="AN4359" s="182" t="n">
        <v>0</v>
      </c>
    </row>
    <row r="4360">
      <c r="A4360" s="155" t="n">
        <v>46101</v>
      </c>
      <c r="B4360" s="156" t="inlineStr">
        <is>
          <t>NS</t>
        </is>
      </c>
      <c r="C4360" s="156" t="inlineStr">
        <is>
          <t>DT-505</t>
        </is>
      </c>
      <c r="D4360" s="156" t="inlineStr">
        <is>
          <t>SKT 105S</t>
        </is>
      </c>
      <c r="E4360" s="156" t="inlineStr">
        <is>
          <t>Hauler</t>
        </is>
      </c>
      <c r="F4360" s="156" t="inlineStr">
        <is>
          <t>Hauling OB</t>
        </is>
      </c>
      <c r="G4360" s="182" t="n">
        <v>3.4</v>
      </c>
      <c r="H4360" s="182" t="n">
        <v>0</v>
      </c>
      <c r="I4360" s="182" t="n">
        <v>0</v>
      </c>
      <c r="J4360" s="182" t="n">
        <v>0</v>
      </c>
      <c r="K4360" s="182" t="n">
        <v>8.6</v>
      </c>
      <c r="L4360" s="182" t="n">
        <v>12</v>
      </c>
      <c r="M4360" s="182" t="n">
        <v>3.4</v>
      </c>
      <c r="N4360" s="182" t="n">
        <v>0</v>
      </c>
      <c r="O4360" s="183" t="n">
        <v>6</v>
      </c>
      <c r="P4360" s="183" t="n">
        <v>0</v>
      </c>
      <c r="Q4360" s="184" t="n">
        <v>122.4</v>
      </c>
      <c r="R4360" s="184" t="n">
        <v>0</v>
      </c>
      <c r="S4360" s="183" t="n">
        <v>0</v>
      </c>
      <c r="T4360" s="183" t="n">
        <v>0</v>
      </c>
      <c r="U4360" s="182" t="n">
        <v>0</v>
      </c>
      <c r="V4360" s="182" t="n">
        <v>0</v>
      </c>
      <c r="W4360" s="182" t="n">
        <v>0</v>
      </c>
      <c r="X4360" s="182" t="n">
        <v>0.98</v>
      </c>
      <c r="Y4360" s="182" t="n">
        <v>0</v>
      </c>
      <c r="Z4360" s="182" t="n">
        <v>0</v>
      </c>
      <c r="AA4360" s="182" t="n">
        <v>0</v>
      </c>
      <c r="AB4360" s="182" t="n">
        <v>0</v>
      </c>
      <c r="AC4360" s="182" t="n">
        <v>0</v>
      </c>
      <c r="AD4360" s="182" t="n">
        <v>7.54</v>
      </c>
      <c r="AE4360" s="182" t="n">
        <v>0</v>
      </c>
      <c r="AF4360" s="182" t="n">
        <v>0</v>
      </c>
      <c r="AG4360" s="182" t="n">
        <v>0</v>
      </c>
      <c r="AH4360" s="182" t="n">
        <v>0</v>
      </c>
      <c r="AI4360" s="182" t="n">
        <v>0</v>
      </c>
      <c r="AJ4360" s="182" t="n">
        <v>0</v>
      </c>
      <c r="AK4360" s="182" t="n">
        <v>0</v>
      </c>
      <c r="AL4360" s="182" t="n">
        <v>0</v>
      </c>
      <c r="AM4360" s="182" t="n">
        <v>0.08</v>
      </c>
      <c r="AN4360" s="182" t="n">
        <v>0</v>
      </c>
    </row>
    <row r="4361">
      <c r="A4361" s="155" t="n">
        <v>46101</v>
      </c>
      <c r="B4361" s="156" t="inlineStr">
        <is>
          <t>NS</t>
        </is>
      </c>
      <c r="C4361" s="156" t="inlineStr">
        <is>
          <t>DT-530</t>
        </is>
      </c>
      <c r="D4361" s="156" t="inlineStr">
        <is>
          <t>SKT 105S</t>
        </is>
      </c>
      <c r="E4361" s="156" t="inlineStr">
        <is>
          <t>Hauler</t>
        </is>
      </c>
      <c r="F4361" s="156" t="inlineStr"/>
      <c r="G4361" s="182" t="n">
        <v>0</v>
      </c>
      <c r="H4361" s="182" t="n">
        <v>0</v>
      </c>
      <c r="I4361" s="182" t="n">
        <v>12</v>
      </c>
      <c r="J4361" s="182" t="n">
        <v>12</v>
      </c>
      <c r="K4361" s="182" t="n">
        <v>0</v>
      </c>
      <c r="L4361" s="182" t="n">
        <v>12</v>
      </c>
      <c r="M4361" s="182" t="n">
        <v>0</v>
      </c>
      <c r="N4361" s="182" t="n">
        <v>0</v>
      </c>
      <c r="O4361" s="183" t="n">
        <v>0</v>
      </c>
      <c r="P4361" s="183" t="n">
        <v>0</v>
      </c>
      <c r="Q4361" s="184" t="n">
        <v>0</v>
      </c>
      <c r="R4361" s="184" t="n">
        <v>0</v>
      </c>
      <c r="S4361" s="183" t="n">
        <v>0</v>
      </c>
      <c r="T4361" s="183" t="n">
        <v>0</v>
      </c>
      <c r="U4361" s="182" t="n">
        <v>0</v>
      </c>
      <c r="V4361" s="182" t="n">
        <v>0</v>
      </c>
      <c r="W4361" s="182" t="n">
        <v>0</v>
      </c>
      <c r="X4361" s="182" t="n">
        <v>0</v>
      </c>
      <c r="Y4361" s="182" t="n">
        <v>0</v>
      </c>
      <c r="Z4361" s="182" t="n">
        <v>0</v>
      </c>
      <c r="AA4361" s="182" t="n">
        <v>0</v>
      </c>
      <c r="AB4361" s="182" t="n">
        <v>0</v>
      </c>
      <c r="AC4361" s="182" t="n">
        <v>0</v>
      </c>
      <c r="AD4361" s="182" t="n">
        <v>0</v>
      </c>
      <c r="AE4361" s="182" t="n">
        <v>0</v>
      </c>
      <c r="AF4361" s="182" t="n">
        <v>0</v>
      </c>
      <c r="AG4361" s="182" t="n">
        <v>0</v>
      </c>
      <c r="AH4361" s="182" t="n">
        <v>0</v>
      </c>
      <c r="AI4361" s="182" t="n">
        <v>0</v>
      </c>
      <c r="AJ4361" s="182" t="n">
        <v>0</v>
      </c>
      <c r="AK4361" s="182" t="n">
        <v>0</v>
      </c>
      <c r="AL4361" s="182" t="n">
        <v>0</v>
      </c>
      <c r="AM4361" s="182" t="n">
        <v>0</v>
      </c>
      <c r="AN4361" s="182" t="n">
        <v>0</v>
      </c>
    </row>
    <row r="4362">
      <c r="A4362" s="155" t="n">
        <v>46101</v>
      </c>
      <c r="B4362" s="156" t="inlineStr">
        <is>
          <t>NS</t>
        </is>
      </c>
      <c r="C4362" s="156" t="inlineStr">
        <is>
          <t>DT-525</t>
        </is>
      </c>
      <c r="D4362" s="156" t="inlineStr">
        <is>
          <t>SKT 105S</t>
        </is>
      </c>
      <c r="E4362" s="156" t="inlineStr">
        <is>
          <t>Hauler</t>
        </is>
      </c>
      <c r="F4362" s="156" t="inlineStr"/>
      <c r="G4362" s="182" t="n">
        <v>0</v>
      </c>
      <c r="H4362" s="182" t="n">
        <v>0</v>
      </c>
      <c r="I4362" s="182" t="n">
        <v>12</v>
      </c>
      <c r="J4362" s="182" t="n">
        <v>12</v>
      </c>
      <c r="K4362" s="182" t="n">
        <v>0</v>
      </c>
      <c r="L4362" s="182" t="n">
        <v>12</v>
      </c>
      <c r="M4362" s="182" t="n">
        <v>0</v>
      </c>
      <c r="N4362" s="182" t="n">
        <v>0</v>
      </c>
      <c r="O4362" s="183" t="n">
        <v>0</v>
      </c>
      <c r="P4362" s="183" t="n">
        <v>0</v>
      </c>
      <c r="Q4362" s="184" t="n">
        <v>0</v>
      </c>
      <c r="R4362" s="184" t="n">
        <v>0</v>
      </c>
      <c r="S4362" s="183" t="n">
        <v>0</v>
      </c>
      <c r="T4362" s="183" t="n">
        <v>0</v>
      </c>
      <c r="U4362" s="182" t="n">
        <v>0</v>
      </c>
      <c r="V4362" s="182" t="n">
        <v>0</v>
      </c>
      <c r="W4362" s="182" t="n">
        <v>0</v>
      </c>
      <c r="X4362" s="182" t="n">
        <v>0</v>
      </c>
      <c r="Y4362" s="182" t="n">
        <v>0</v>
      </c>
      <c r="Z4362" s="182" t="n">
        <v>0</v>
      </c>
      <c r="AA4362" s="182" t="n">
        <v>0</v>
      </c>
      <c r="AB4362" s="182" t="n">
        <v>0</v>
      </c>
      <c r="AC4362" s="182" t="n">
        <v>0</v>
      </c>
      <c r="AD4362" s="182" t="n">
        <v>0</v>
      </c>
      <c r="AE4362" s="182" t="n">
        <v>0</v>
      </c>
      <c r="AF4362" s="182" t="n">
        <v>0</v>
      </c>
      <c r="AG4362" s="182" t="n">
        <v>0</v>
      </c>
      <c r="AH4362" s="182" t="n">
        <v>0</v>
      </c>
      <c r="AI4362" s="182" t="n">
        <v>0</v>
      </c>
      <c r="AJ4362" s="182" t="n">
        <v>0</v>
      </c>
      <c r="AK4362" s="182" t="n">
        <v>0</v>
      </c>
      <c r="AL4362" s="182" t="n">
        <v>0</v>
      </c>
      <c r="AM4362" s="182" t="n">
        <v>0</v>
      </c>
      <c r="AN4362" s="182" t="n">
        <v>0</v>
      </c>
    </row>
    <row r="4363">
      <c r="A4363" s="155" t="n">
        <v>46101</v>
      </c>
      <c r="B4363" s="156" t="inlineStr">
        <is>
          <t>NS</t>
        </is>
      </c>
      <c r="C4363" s="156" t="inlineStr">
        <is>
          <t>DT-503</t>
        </is>
      </c>
      <c r="D4363" s="156" t="inlineStr">
        <is>
          <t>SKT 105S</t>
        </is>
      </c>
      <c r="E4363" s="156" t="inlineStr">
        <is>
          <t>Hauler</t>
        </is>
      </c>
      <c r="F4363" s="156" t="inlineStr">
        <is>
          <t>Hauling OB &amp; Coal</t>
        </is>
      </c>
      <c r="G4363" s="182" t="n">
        <v>8.18</v>
      </c>
      <c r="H4363" s="182" t="n">
        <v>0</v>
      </c>
      <c r="I4363" s="182" t="n">
        <v>0</v>
      </c>
      <c r="J4363" s="182" t="n">
        <v>0</v>
      </c>
      <c r="K4363" s="182" t="n">
        <v>3.82</v>
      </c>
      <c r="L4363" s="182" t="n">
        <v>12</v>
      </c>
      <c r="M4363" s="182" t="n">
        <v>2.59</v>
      </c>
      <c r="N4363" s="182" t="n">
        <v>5.59</v>
      </c>
      <c r="O4363" s="183" t="n">
        <v>7</v>
      </c>
      <c r="P4363" s="183" t="n">
        <v>14</v>
      </c>
      <c r="Q4363" s="184" t="n">
        <v>142.8</v>
      </c>
      <c r="R4363" s="184" t="n">
        <v>261.8</v>
      </c>
      <c r="S4363" s="183" t="n">
        <v>0</v>
      </c>
      <c r="T4363" s="183" t="n">
        <v>0</v>
      </c>
      <c r="U4363" s="182" t="n">
        <v>0</v>
      </c>
      <c r="V4363" s="182" t="n">
        <v>0</v>
      </c>
      <c r="W4363" s="182" t="n">
        <v>0</v>
      </c>
      <c r="X4363" s="182" t="n">
        <v>0.93</v>
      </c>
      <c r="Y4363" s="182" t="n">
        <v>0</v>
      </c>
      <c r="Z4363" s="182" t="n">
        <v>0</v>
      </c>
      <c r="AA4363" s="182" t="n">
        <v>0</v>
      </c>
      <c r="AB4363" s="182" t="n">
        <v>0</v>
      </c>
      <c r="AC4363" s="182" t="n">
        <v>0</v>
      </c>
      <c r="AD4363" s="182" t="n">
        <v>2.81</v>
      </c>
      <c r="AE4363" s="182" t="n">
        <v>0</v>
      </c>
      <c r="AF4363" s="182" t="n">
        <v>0</v>
      </c>
      <c r="AG4363" s="182" t="n">
        <v>0</v>
      </c>
      <c r="AH4363" s="182" t="n">
        <v>0</v>
      </c>
      <c r="AI4363" s="182" t="n">
        <v>0</v>
      </c>
      <c r="AJ4363" s="182" t="n">
        <v>0</v>
      </c>
      <c r="AK4363" s="182" t="n">
        <v>0</v>
      </c>
      <c r="AL4363" s="182" t="n">
        <v>0</v>
      </c>
      <c r="AM4363" s="182" t="n">
        <v>0.07000000000000001</v>
      </c>
      <c r="AN4363" s="182" t="n">
        <v>0</v>
      </c>
    </row>
    <row r="4364">
      <c r="A4364" s="155" t="n">
        <v>46101</v>
      </c>
      <c r="B4364" s="156" t="inlineStr">
        <is>
          <t>NS</t>
        </is>
      </c>
      <c r="C4364" s="156" t="inlineStr">
        <is>
          <t>DT-504</t>
        </is>
      </c>
      <c r="D4364" s="156" t="inlineStr">
        <is>
          <t>SKT 105S</t>
        </is>
      </c>
      <c r="E4364" s="156" t="inlineStr">
        <is>
          <t>Hauler</t>
        </is>
      </c>
      <c r="F4364" s="156" t="inlineStr">
        <is>
          <t>Hauling OB</t>
        </is>
      </c>
      <c r="G4364" s="182" t="n">
        <v>9.880000000000001</v>
      </c>
      <c r="H4364" s="182" t="n">
        <v>0</v>
      </c>
      <c r="I4364" s="182" t="n">
        <v>0</v>
      </c>
      <c r="J4364" s="182" t="n">
        <v>0</v>
      </c>
      <c r="K4364" s="182" t="n">
        <v>2.12</v>
      </c>
      <c r="L4364" s="182" t="n">
        <v>12</v>
      </c>
      <c r="M4364" s="182" t="n">
        <v>9.880000000000001</v>
      </c>
      <c r="N4364" s="182" t="n">
        <v>0</v>
      </c>
      <c r="O4364" s="183" t="n">
        <v>38</v>
      </c>
      <c r="P4364" s="183" t="n">
        <v>0</v>
      </c>
      <c r="Q4364" s="184" t="n">
        <v>775.2</v>
      </c>
      <c r="R4364" s="184" t="n">
        <v>0</v>
      </c>
      <c r="S4364" s="183" t="n">
        <v>0</v>
      </c>
      <c r="T4364" s="183" t="n">
        <v>0</v>
      </c>
      <c r="U4364" s="182" t="n">
        <v>0</v>
      </c>
      <c r="V4364" s="182" t="n">
        <v>0</v>
      </c>
      <c r="W4364" s="182" t="n">
        <v>0</v>
      </c>
      <c r="X4364" s="182" t="n">
        <v>1.01</v>
      </c>
      <c r="Y4364" s="182" t="n">
        <v>0</v>
      </c>
      <c r="Z4364" s="182" t="n">
        <v>0</v>
      </c>
      <c r="AA4364" s="182" t="n">
        <v>0</v>
      </c>
      <c r="AB4364" s="182" t="n">
        <v>0</v>
      </c>
      <c r="AC4364" s="182" t="n">
        <v>0</v>
      </c>
      <c r="AD4364" s="182" t="n">
        <v>0</v>
      </c>
      <c r="AE4364" s="182" t="n">
        <v>0</v>
      </c>
      <c r="AF4364" s="182" t="n">
        <v>0</v>
      </c>
      <c r="AG4364" s="182" t="n">
        <v>0.61</v>
      </c>
      <c r="AH4364" s="182" t="n">
        <v>0.42</v>
      </c>
      <c r="AI4364" s="182" t="n">
        <v>0</v>
      </c>
      <c r="AJ4364" s="182" t="n">
        <v>0</v>
      </c>
      <c r="AK4364" s="182" t="n">
        <v>0</v>
      </c>
      <c r="AL4364" s="182" t="n">
        <v>0</v>
      </c>
      <c r="AM4364" s="182" t="n">
        <v>0.08</v>
      </c>
      <c r="AN4364" s="182" t="n">
        <v>0</v>
      </c>
    </row>
    <row r="4365">
      <c r="A4365" s="155" t="n">
        <v>46101</v>
      </c>
      <c r="B4365" s="156" t="inlineStr">
        <is>
          <t>NS</t>
        </is>
      </c>
      <c r="C4365" s="156" t="inlineStr">
        <is>
          <t>DT-507</t>
        </is>
      </c>
      <c r="D4365" s="156" t="inlineStr">
        <is>
          <t>SKT 105S</t>
        </is>
      </c>
      <c r="E4365" s="156" t="inlineStr">
        <is>
          <t>Hauler</t>
        </is>
      </c>
      <c r="F4365" s="156" t="inlineStr"/>
      <c r="G4365" s="182" t="n">
        <v>0</v>
      </c>
      <c r="H4365" s="182" t="n">
        <v>0</v>
      </c>
      <c r="I4365" s="182" t="n">
        <v>12</v>
      </c>
      <c r="J4365" s="182" t="n">
        <v>12</v>
      </c>
      <c r="K4365" s="182" t="n">
        <v>0</v>
      </c>
      <c r="L4365" s="182" t="n">
        <v>12</v>
      </c>
      <c r="M4365" s="182" t="n">
        <v>0</v>
      </c>
      <c r="N4365" s="182" t="n">
        <v>0</v>
      </c>
      <c r="O4365" s="183" t="n">
        <v>0</v>
      </c>
      <c r="P4365" s="183" t="n">
        <v>0</v>
      </c>
      <c r="Q4365" s="184" t="n">
        <v>0</v>
      </c>
      <c r="R4365" s="184" t="n">
        <v>0</v>
      </c>
      <c r="S4365" s="183" t="n">
        <v>0</v>
      </c>
      <c r="T4365" s="183" t="n">
        <v>0</v>
      </c>
      <c r="U4365" s="182" t="n">
        <v>0</v>
      </c>
      <c r="V4365" s="182" t="n">
        <v>0</v>
      </c>
      <c r="W4365" s="182" t="n">
        <v>0</v>
      </c>
      <c r="X4365" s="182" t="n">
        <v>0</v>
      </c>
      <c r="Y4365" s="182" t="n">
        <v>0</v>
      </c>
      <c r="Z4365" s="182" t="n">
        <v>0</v>
      </c>
      <c r="AA4365" s="182" t="n">
        <v>0</v>
      </c>
      <c r="AB4365" s="182" t="n">
        <v>0</v>
      </c>
      <c r="AC4365" s="182" t="n">
        <v>0</v>
      </c>
      <c r="AD4365" s="182" t="n">
        <v>0</v>
      </c>
      <c r="AE4365" s="182" t="n">
        <v>0</v>
      </c>
      <c r="AF4365" s="182" t="n">
        <v>0</v>
      </c>
      <c r="AG4365" s="182" t="n">
        <v>0</v>
      </c>
      <c r="AH4365" s="182" t="n">
        <v>0</v>
      </c>
      <c r="AI4365" s="182" t="n">
        <v>0</v>
      </c>
      <c r="AJ4365" s="182" t="n">
        <v>0</v>
      </c>
      <c r="AK4365" s="182" t="n">
        <v>0</v>
      </c>
      <c r="AL4365" s="182" t="n">
        <v>0</v>
      </c>
      <c r="AM4365" s="182" t="n">
        <v>0</v>
      </c>
      <c r="AN4365" s="182" t="n">
        <v>0</v>
      </c>
    </row>
    <row r="4366">
      <c r="A4366" s="155" t="n">
        <v>46101</v>
      </c>
      <c r="B4366" s="156" t="inlineStr">
        <is>
          <t>NS</t>
        </is>
      </c>
      <c r="C4366" s="156" t="inlineStr">
        <is>
          <t>DT-501</t>
        </is>
      </c>
      <c r="D4366" s="156" t="inlineStr">
        <is>
          <t>SKT 105S</t>
        </is>
      </c>
      <c r="E4366" s="156" t="inlineStr">
        <is>
          <t>Hauler</t>
        </is>
      </c>
      <c r="F4366" s="156" t="inlineStr">
        <is>
          <t>Hauling OB &amp; Coal</t>
        </is>
      </c>
      <c r="G4366" s="182" t="n">
        <v>5.24</v>
      </c>
      <c r="H4366" s="182" t="n">
        <v>0</v>
      </c>
      <c r="I4366" s="182" t="n">
        <v>0</v>
      </c>
      <c r="J4366" s="182" t="n">
        <v>0</v>
      </c>
      <c r="K4366" s="182" t="n">
        <v>6.76</v>
      </c>
      <c r="L4366" s="182" t="n">
        <v>12</v>
      </c>
      <c r="M4366" s="182" t="n">
        <v>3.15</v>
      </c>
      <c r="N4366" s="182" t="n">
        <v>2.1</v>
      </c>
      <c r="O4366" s="183" t="n">
        <v>7</v>
      </c>
      <c r="P4366" s="183" t="n">
        <v>5</v>
      </c>
      <c r="Q4366" s="184" t="n">
        <v>142.8</v>
      </c>
      <c r="R4366" s="184" t="n">
        <v>93.5</v>
      </c>
      <c r="S4366" s="183" t="n">
        <v>0</v>
      </c>
      <c r="T4366" s="183" t="n">
        <v>0</v>
      </c>
      <c r="U4366" s="182" t="n">
        <v>0</v>
      </c>
      <c r="V4366" s="182" t="n">
        <v>0</v>
      </c>
      <c r="W4366" s="182" t="n">
        <v>0</v>
      </c>
      <c r="X4366" s="182" t="n">
        <v>0.97</v>
      </c>
      <c r="Y4366" s="182" t="n">
        <v>0</v>
      </c>
      <c r="Z4366" s="182" t="n">
        <v>0</v>
      </c>
      <c r="AA4366" s="182" t="n">
        <v>0</v>
      </c>
      <c r="AB4366" s="182" t="n">
        <v>0</v>
      </c>
      <c r="AC4366" s="182" t="n">
        <v>0</v>
      </c>
      <c r="AD4366" s="182" t="n">
        <v>5.72</v>
      </c>
      <c r="AE4366" s="182" t="n">
        <v>0</v>
      </c>
      <c r="AF4366" s="182" t="n">
        <v>0</v>
      </c>
      <c r="AG4366" s="182" t="n">
        <v>0</v>
      </c>
      <c r="AH4366" s="182" t="n">
        <v>0</v>
      </c>
      <c r="AI4366" s="182" t="n">
        <v>0</v>
      </c>
      <c r="AJ4366" s="182" t="n">
        <v>0</v>
      </c>
      <c r="AK4366" s="182" t="n">
        <v>0</v>
      </c>
      <c r="AL4366" s="182" t="n">
        <v>0</v>
      </c>
      <c r="AM4366" s="182" t="n">
        <v>0.08</v>
      </c>
      <c r="AN4366" s="182" t="n">
        <v>0</v>
      </c>
    </row>
    <row r="4367">
      <c r="A4367" s="155" t="n">
        <v>46101</v>
      </c>
      <c r="B4367" s="156" t="inlineStr">
        <is>
          <t>NS</t>
        </is>
      </c>
      <c r="C4367" s="156" t="inlineStr">
        <is>
          <t>DT-518</t>
        </is>
      </c>
      <c r="D4367" s="156" t="inlineStr">
        <is>
          <t>SKT 105S</t>
        </is>
      </c>
      <c r="E4367" s="156" t="inlineStr">
        <is>
          <t>Hauler</t>
        </is>
      </c>
      <c r="F4367" s="156" t="inlineStr">
        <is>
          <t>Hauling OB</t>
        </is>
      </c>
      <c r="G4367" s="182" t="n">
        <v>10.42</v>
      </c>
      <c r="H4367" s="182" t="n">
        <v>0</v>
      </c>
      <c r="I4367" s="182" t="n">
        <v>0</v>
      </c>
      <c r="J4367" s="182" t="n">
        <v>0</v>
      </c>
      <c r="K4367" s="182" t="n">
        <v>1.58</v>
      </c>
      <c r="L4367" s="182" t="n">
        <v>12</v>
      </c>
      <c r="M4367" s="182" t="n">
        <v>10.42</v>
      </c>
      <c r="N4367" s="182" t="n">
        <v>0</v>
      </c>
      <c r="O4367" s="183" t="n">
        <v>38</v>
      </c>
      <c r="P4367" s="183" t="n">
        <v>0</v>
      </c>
      <c r="Q4367" s="184" t="n">
        <v>775.2</v>
      </c>
      <c r="R4367" s="184" t="n">
        <v>0</v>
      </c>
      <c r="S4367" s="183" t="n">
        <v>0</v>
      </c>
      <c r="T4367" s="183" t="n">
        <v>0</v>
      </c>
      <c r="U4367" s="182" t="n">
        <v>0</v>
      </c>
      <c r="V4367" s="182" t="n">
        <v>0</v>
      </c>
      <c r="W4367" s="182" t="n">
        <v>0</v>
      </c>
      <c r="X4367" s="182" t="n">
        <v>1.13</v>
      </c>
      <c r="Y4367" s="182" t="n">
        <v>0</v>
      </c>
      <c r="Z4367" s="182" t="n">
        <v>0</v>
      </c>
      <c r="AA4367" s="182" t="n">
        <v>0</v>
      </c>
      <c r="AB4367" s="182" t="n">
        <v>0</v>
      </c>
      <c r="AC4367" s="182" t="n">
        <v>0</v>
      </c>
      <c r="AD4367" s="182" t="n">
        <v>0</v>
      </c>
      <c r="AE4367" s="182" t="n">
        <v>0</v>
      </c>
      <c r="AF4367" s="182" t="n">
        <v>0</v>
      </c>
      <c r="AG4367" s="182" t="n">
        <v>0</v>
      </c>
      <c r="AH4367" s="182" t="n">
        <v>0.36</v>
      </c>
      <c r="AI4367" s="182" t="n">
        <v>0</v>
      </c>
      <c r="AJ4367" s="182" t="n">
        <v>0</v>
      </c>
      <c r="AK4367" s="182" t="n">
        <v>0</v>
      </c>
      <c r="AL4367" s="182" t="n">
        <v>0</v>
      </c>
      <c r="AM4367" s="182" t="n">
        <v>0.09</v>
      </c>
      <c r="AN4367" s="182" t="n">
        <v>0</v>
      </c>
    </row>
    <row r="4368">
      <c r="A4368" s="155" t="n">
        <v>46101</v>
      </c>
      <c r="B4368" s="156" t="inlineStr">
        <is>
          <t>NS</t>
        </is>
      </c>
      <c r="C4368" s="156" t="inlineStr">
        <is>
          <t>DT-514</t>
        </is>
      </c>
      <c r="D4368" s="156" t="inlineStr">
        <is>
          <t>SKT 105S</t>
        </is>
      </c>
      <c r="E4368" s="156" t="inlineStr">
        <is>
          <t>Hauler</t>
        </is>
      </c>
      <c r="F4368" s="156" t="inlineStr">
        <is>
          <t>Hauling OB &amp; Coal</t>
        </is>
      </c>
      <c r="G4368" s="182" t="n">
        <v>4.97</v>
      </c>
      <c r="H4368" s="182" t="n">
        <v>0</v>
      </c>
      <c r="I4368" s="182" t="n">
        <v>0</v>
      </c>
      <c r="J4368" s="182" t="n">
        <v>0</v>
      </c>
      <c r="K4368" s="182" t="n">
        <v>7.03</v>
      </c>
      <c r="L4368" s="182" t="n">
        <v>12</v>
      </c>
      <c r="M4368" s="182" t="n">
        <v>3.91</v>
      </c>
      <c r="N4368" s="182" t="n">
        <v>1.06</v>
      </c>
      <c r="O4368" s="183" t="n">
        <v>10</v>
      </c>
      <c r="P4368" s="183" t="n">
        <v>3</v>
      </c>
      <c r="Q4368" s="184" t="n">
        <v>204</v>
      </c>
      <c r="R4368" s="184" t="n">
        <v>56.1</v>
      </c>
      <c r="S4368" s="183" t="n">
        <v>0</v>
      </c>
      <c r="T4368" s="183" t="n">
        <v>0</v>
      </c>
      <c r="U4368" s="182" t="n">
        <v>0</v>
      </c>
      <c r="V4368" s="182" t="n">
        <v>0</v>
      </c>
      <c r="W4368" s="182" t="n">
        <v>0</v>
      </c>
      <c r="X4368" s="182" t="n">
        <v>0.96</v>
      </c>
      <c r="Y4368" s="182" t="n">
        <v>0</v>
      </c>
      <c r="Z4368" s="182" t="n">
        <v>0</v>
      </c>
      <c r="AA4368" s="182" t="n">
        <v>0</v>
      </c>
      <c r="AB4368" s="182" t="n">
        <v>0</v>
      </c>
      <c r="AC4368" s="182" t="n">
        <v>0</v>
      </c>
      <c r="AD4368" s="182" t="n">
        <v>5.99</v>
      </c>
      <c r="AE4368" s="182" t="n">
        <v>0</v>
      </c>
      <c r="AF4368" s="182" t="n">
        <v>0</v>
      </c>
      <c r="AG4368" s="182" t="n">
        <v>0</v>
      </c>
      <c r="AH4368" s="182" t="n">
        <v>0</v>
      </c>
      <c r="AI4368" s="182" t="n">
        <v>0</v>
      </c>
      <c r="AJ4368" s="182" t="n">
        <v>0</v>
      </c>
      <c r="AK4368" s="182" t="n">
        <v>0</v>
      </c>
      <c r="AL4368" s="182" t="n">
        <v>0</v>
      </c>
      <c r="AM4368" s="182" t="n">
        <v>0.08</v>
      </c>
      <c r="AN4368" s="182" t="n">
        <v>0</v>
      </c>
    </row>
    <row r="4369">
      <c r="A4369" s="155" t="n">
        <v>46101</v>
      </c>
      <c r="B4369" s="156" t="inlineStr">
        <is>
          <t>NS</t>
        </is>
      </c>
      <c r="C4369" s="156" t="inlineStr">
        <is>
          <t>DT-523</t>
        </is>
      </c>
      <c r="D4369" s="156" t="inlineStr">
        <is>
          <t>SKT 105S</t>
        </is>
      </c>
      <c r="E4369" s="156" t="inlineStr">
        <is>
          <t>Hauler</t>
        </is>
      </c>
      <c r="F4369" s="156" t="inlineStr">
        <is>
          <t>Hauling OB</t>
        </is>
      </c>
      <c r="G4369" s="182" t="n">
        <v>10.21</v>
      </c>
      <c r="H4369" s="182" t="n">
        <v>0</v>
      </c>
      <c r="I4369" s="182" t="n">
        <v>0</v>
      </c>
      <c r="J4369" s="182" t="n">
        <v>0</v>
      </c>
      <c r="K4369" s="182" t="n">
        <v>1.79</v>
      </c>
      <c r="L4369" s="182" t="n">
        <v>12</v>
      </c>
      <c r="M4369" s="182" t="n">
        <v>10.21</v>
      </c>
      <c r="N4369" s="182" t="n">
        <v>0</v>
      </c>
      <c r="O4369" s="183" t="n">
        <v>36</v>
      </c>
      <c r="P4369" s="183" t="n">
        <v>0</v>
      </c>
      <c r="Q4369" s="184" t="n">
        <v>734.4</v>
      </c>
      <c r="R4369" s="184" t="n">
        <v>0</v>
      </c>
      <c r="S4369" s="183" t="n">
        <v>0</v>
      </c>
      <c r="T4369" s="183" t="n">
        <v>0</v>
      </c>
      <c r="U4369" s="182" t="n">
        <v>0</v>
      </c>
      <c r="V4369" s="182" t="n">
        <v>0</v>
      </c>
      <c r="W4369" s="182" t="n">
        <v>0</v>
      </c>
      <c r="X4369" s="182" t="n">
        <v>0.9399999999999999</v>
      </c>
      <c r="Y4369" s="182" t="n">
        <v>0</v>
      </c>
      <c r="Z4369" s="182" t="n">
        <v>0</v>
      </c>
      <c r="AA4369" s="182" t="n">
        <v>0</v>
      </c>
      <c r="AB4369" s="182" t="n">
        <v>0</v>
      </c>
      <c r="AC4369" s="182" t="n">
        <v>0</v>
      </c>
      <c r="AD4369" s="182" t="n">
        <v>0</v>
      </c>
      <c r="AE4369" s="182" t="n">
        <v>0</v>
      </c>
      <c r="AF4369" s="182" t="n">
        <v>0</v>
      </c>
      <c r="AG4369" s="182" t="n">
        <v>0</v>
      </c>
      <c r="AH4369" s="182" t="n">
        <v>0.77</v>
      </c>
      <c r="AI4369" s="182" t="n">
        <v>0</v>
      </c>
      <c r="AJ4369" s="182" t="n">
        <v>0</v>
      </c>
      <c r="AK4369" s="182" t="n">
        <v>0</v>
      </c>
      <c r="AL4369" s="182" t="n">
        <v>0</v>
      </c>
      <c r="AM4369" s="182" t="n">
        <v>0.08</v>
      </c>
      <c r="AN4369" s="182" t="n">
        <v>0</v>
      </c>
    </row>
    <row r="4370">
      <c r="A4370" s="155" t="n">
        <v>46101</v>
      </c>
      <c r="B4370" s="156" t="inlineStr">
        <is>
          <t>NS</t>
        </is>
      </c>
      <c r="C4370" s="156" t="inlineStr">
        <is>
          <t>DT-519</t>
        </is>
      </c>
      <c r="D4370" s="156" t="inlineStr">
        <is>
          <t>SKT 105S</t>
        </is>
      </c>
      <c r="E4370" s="156" t="inlineStr">
        <is>
          <t>Hauler</t>
        </is>
      </c>
      <c r="F4370" s="156" t="inlineStr">
        <is>
          <t>Hauling OB</t>
        </is>
      </c>
      <c r="G4370" s="182" t="n">
        <v>9.49</v>
      </c>
      <c r="H4370" s="182" t="n">
        <v>0</v>
      </c>
      <c r="I4370" s="182" t="n">
        <v>0</v>
      </c>
      <c r="J4370" s="182" t="n">
        <v>0</v>
      </c>
      <c r="K4370" s="182" t="n">
        <v>2.51</v>
      </c>
      <c r="L4370" s="182" t="n">
        <v>12</v>
      </c>
      <c r="M4370" s="182" t="n">
        <v>9.49</v>
      </c>
      <c r="N4370" s="182" t="n">
        <v>0</v>
      </c>
      <c r="O4370" s="183" t="n">
        <v>33</v>
      </c>
      <c r="P4370" s="183" t="n">
        <v>0</v>
      </c>
      <c r="Q4370" s="184" t="n">
        <v>673.2</v>
      </c>
      <c r="R4370" s="184" t="n">
        <v>0</v>
      </c>
      <c r="S4370" s="183" t="n">
        <v>0</v>
      </c>
      <c r="T4370" s="183" t="n">
        <v>0</v>
      </c>
      <c r="U4370" s="182" t="n">
        <v>0</v>
      </c>
      <c r="V4370" s="182" t="n">
        <v>0</v>
      </c>
      <c r="W4370" s="182" t="n">
        <v>0</v>
      </c>
      <c r="X4370" s="182" t="n">
        <v>1.09</v>
      </c>
      <c r="Y4370" s="182" t="n">
        <v>0</v>
      </c>
      <c r="Z4370" s="182" t="n">
        <v>0</v>
      </c>
      <c r="AA4370" s="182" t="n">
        <v>0</v>
      </c>
      <c r="AB4370" s="182" t="n">
        <v>0</v>
      </c>
      <c r="AC4370" s="182" t="n">
        <v>0</v>
      </c>
      <c r="AD4370" s="182" t="n">
        <v>0</v>
      </c>
      <c r="AE4370" s="182" t="n">
        <v>0</v>
      </c>
      <c r="AF4370" s="182" t="n">
        <v>0</v>
      </c>
      <c r="AG4370" s="182" t="n">
        <v>0.65</v>
      </c>
      <c r="AH4370" s="182" t="n">
        <v>0.68</v>
      </c>
      <c r="AI4370" s="182" t="n">
        <v>0</v>
      </c>
      <c r="AJ4370" s="182" t="n">
        <v>0</v>
      </c>
      <c r="AK4370" s="182" t="n">
        <v>0</v>
      </c>
      <c r="AL4370" s="182" t="n">
        <v>0</v>
      </c>
      <c r="AM4370" s="182" t="n">
        <v>0.09</v>
      </c>
      <c r="AN4370" s="182" t="n">
        <v>0</v>
      </c>
    </row>
    <row r="4371">
      <c r="A4371" s="155" t="n">
        <v>46101</v>
      </c>
      <c r="B4371" s="156" t="inlineStr">
        <is>
          <t>NS</t>
        </is>
      </c>
      <c r="C4371" s="156" t="inlineStr">
        <is>
          <t>DT-527</t>
        </is>
      </c>
      <c r="D4371" s="156" t="inlineStr">
        <is>
          <t>SKT 105S</t>
        </is>
      </c>
      <c r="E4371" s="156" t="inlineStr">
        <is>
          <t>Hauler</t>
        </is>
      </c>
      <c r="F4371" s="156" t="inlineStr">
        <is>
          <t>Hauling OB</t>
        </is>
      </c>
      <c r="G4371" s="182" t="n">
        <v>10.71</v>
      </c>
      <c r="H4371" s="182" t="n">
        <v>0</v>
      </c>
      <c r="I4371" s="182" t="n">
        <v>0</v>
      </c>
      <c r="J4371" s="182" t="n">
        <v>0</v>
      </c>
      <c r="K4371" s="182" t="n">
        <v>1.29</v>
      </c>
      <c r="L4371" s="182" t="n">
        <v>12</v>
      </c>
      <c r="M4371" s="182" t="n">
        <v>10.71</v>
      </c>
      <c r="N4371" s="182" t="n">
        <v>0</v>
      </c>
      <c r="O4371" s="183" t="n">
        <v>35</v>
      </c>
      <c r="P4371" s="183" t="n">
        <v>0</v>
      </c>
      <c r="Q4371" s="184" t="n">
        <v>714</v>
      </c>
      <c r="R4371" s="184" t="n">
        <v>0</v>
      </c>
      <c r="S4371" s="183" t="n">
        <v>0</v>
      </c>
      <c r="T4371" s="183" t="n">
        <v>0</v>
      </c>
      <c r="U4371" s="182" t="n">
        <v>0</v>
      </c>
      <c r="V4371" s="182" t="n">
        <v>0</v>
      </c>
      <c r="W4371" s="182" t="n">
        <v>0</v>
      </c>
      <c r="X4371" s="182" t="n">
        <v>0.92</v>
      </c>
      <c r="Y4371" s="182" t="n">
        <v>0</v>
      </c>
      <c r="Z4371" s="182" t="n">
        <v>0</v>
      </c>
      <c r="AA4371" s="182" t="n">
        <v>0</v>
      </c>
      <c r="AB4371" s="182" t="n">
        <v>0</v>
      </c>
      <c r="AC4371" s="182" t="n">
        <v>0</v>
      </c>
      <c r="AD4371" s="182" t="n">
        <v>0</v>
      </c>
      <c r="AE4371" s="182" t="n">
        <v>0</v>
      </c>
      <c r="AF4371" s="182" t="n">
        <v>0</v>
      </c>
      <c r="AG4371" s="182" t="n">
        <v>0</v>
      </c>
      <c r="AH4371" s="182" t="n">
        <v>0.29</v>
      </c>
      <c r="AI4371" s="182" t="n">
        <v>0</v>
      </c>
      <c r="AJ4371" s="182" t="n">
        <v>0</v>
      </c>
      <c r="AK4371" s="182" t="n">
        <v>0</v>
      </c>
      <c r="AL4371" s="182" t="n">
        <v>0</v>
      </c>
      <c r="AM4371" s="182" t="n">
        <v>0.07000000000000001</v>
      </c>
      <c r="AN4371" s="182" t="n">
        <v>0</v>
      </c>
    </row>
    <row r="4372">
      <c r="A4372" s="155" t="n">
        <v>46101</v>
      </c>
      <c r="B4372" s="156" t="inlineStr">
        <is>
          <t>NS</t>
        </is>
      </c>
      <c r="C4372" s="156" t="inlineStr">
        <is>
          <t>DT-513</t>
        </is>
      </c>
      <c r="D4372" s="156" t="inlineStr">
        <is>
          <t>SKT 105S</t>
        </is>
      </c>
      <c r="E4372" s="156" t="inlineStr">
        <is>
          <t>Hauler</t>
        </is>
      </c>
      <c r="F4372" s="156" t="inlineStr"/>
      <c r="G4372" s="182" t="n">
        <v>0</v>
      </c>
      <c r="H4372" s="182" t="n">
        <v>0</v>
      </c>
      <c r="I4372" s="182" t="n">
        <v>12</v>
      </c>
      <c r="J4372" s="182" t="n">
        <v>12</v>
      </c>
      <c r="K4372" s="182" t="n">
        <v>0</v>
      </c>
      <c r="L4372" s="182" t="n">
        <v>12</v>
      </c>
      <c r="M4372" s="182" t="n">
        <v>0</v>
      </c>
      <c r="N4372" s="182" t="n">
        <v>0</v>
      </c>
      <c r="O4372" s="183" t="n">
        <v>0</v>
      </c>
      <c r="P4372" s="183" t="n">
        <v>0</v>
      </c>
      <c r="Q4372" s="184" t="n">
        <v>0</v>
      </c>
      <c r="R4372" s="184" t="n">
        <v>0</v>
      </c>
      <c r="S4372" s="183" t="n">
        <v>0</v>
      </c>
      <c r="T4372" s="183" t="n">
        <v>0</v>
      </c>
      <c r="U4372" s="182" t="n">
        <v>0</v>
      </c>
      <c r="V4372" s="182" t="n">
        <v>0</v>
      </c>
      <c r="W4372" s="182" t="n">
        <v>0</v>
      </c>
      <c r="X4372" s="182" t="n">
        <v>0</v>
      </c>
      <c r="Y4372" s="182" t="n">
        <v>0</v>
      </c>
      <c r="Z4372" s="182" t="n">
        <v>0</v>
      </c>
      <c r="AA4372" s="182" t="n">
        <v>0</v>
      </c>
      <c r="AB4372" s="182" t="n">
        <v>0</v>
      </c>
      <c r="AC4372" s="182" t="n">
        <v>0</v>
      </c>
      <c r="AD4372" s="182" t="n">
        <v>0</v>
      </c>
      <c r="AE4372" s="182" t="n">
        <v>0</v>
      </c>
      <c r="AF4372" s="182" t="n">
        <v>0</v>
      </c>
      <c r="AG4372" s="182" t="n">
        <v>0</v>
      </c>
      <c r="AH4372" s="182" t="n">
        <v>0</v>
      </c>
      <c r="AI4372" s="182" t="n">
        <v>0</v>
      </c>
      <c r="AJ4372" s="182" t="n">
        <v>0</v>
      </c>
      <c r="AK4372" s="182" t="n">
        <v>0</v>
      </c>
      <c r="AL4372" s="182" t="n">
        <v>0</v>
      </c>
      <c r="AM4372" s="182" t="n">
        <v>0</v>
      </c>
      <c r="AN4372" s="182" t="n">
        <v>0</v>
      </c>
    </row>
    <row r="4373">
      <c r="A4373" s="155" t="n">
        <v>46101</v>
      </c>
      <c r="B4373" s="156" t="inlineStr">
        <is>
          <t>NS</t>
        </is>
      </c>
      <c r="C4373" s="156" t="inlineStr">
        <is>
          <t>DT-512</t>
        </is>
      </c>
      <c r="D4373" s="156" t="inlineStr">
        <is>
          <t>SKT 105S</t>
        </is>
      </c>
      <c r="E4373" s="156" t="inlineStr">
        <is>
          <t>Hauler</t>
        </is>
      </c>
      <c r="F4373" s="156" t="inlineStr">
        <is>
          <t>Hauling OB</t>
        </is>
      </c>
      <c r="G4373" s="182" t="n">
        <v>10.24</v>
      </c>
      <c r="H4373" s="182" t="n">
        <v>0</v>
      </c>
      <c r="I4373" s="182" t="n">
        <v>0.92</v>
      </c>
      <c r="J4373" s="182" t="n">
        <v>0.92</v>
      </c>
      <c r="K4373" s="182" t="n">
        <v>0.84</v>
      </c>
      <c r="L4373" s="182" t="n">
        <v>12</v>
      </c>
      <c r="M4373" s="182" t="n">
        <v>10.07</v>
      </c>
      <c r="N4373" s="182" t="n">
        <v>0</v>
      </c>
      <c r="O4373" s="183" t="n">
        <v>33</v>
      </c>
      <c r="P4373" s="183" t="n">
        <v>0</v>
      </c>
      <c r="Q4373" s="184" t="n">
        <v>673.2</v>
      </c>
      <c r="R4373" s="184" t="n">
        <v>0</v>
      </c>
      <c r="S4373" s="183" t="n">
        <v>0</v>
      </c>
      <c r="T4373" s="183" t="n">
        <v>0</v>
      </c>
      <c r="U4373" s="182" t="n">
        <v>0</v>
      </c>
      <c r="V4373" s="182" t="n">
        <v>0</v>
      </c>
      <c r="W4373" s="182" t="n">
        <v>0</v>
      </c>
      <c r="X4373" s="182" t="n">
        <v>0.78</v>
      </c>
      <c r="Y4373" s="182" t="n">
        <v>0</v>
      </c>
      <c r="Z4373" s="182" t="n">
        <v>0</v>
      </c>
      <c r="AA4373" s="182" t="n">
        <v>0</v>
      </c>
      <c r="AB4373" s="182" t="n">
        <v>0</v>
      </c>
      <c r="AC4373" s="182" t="n">
        <v>0</v>
      </c>
      <c r="AD4373" s="182" t="n">
        <v>0</v>
      </c>
      <c r="AE4373" s="182" t="n">
        <v>0</v>
      </c>
      <c r="AF4373" s="182" t="n">
        <v>0</v>
      </c>
      <c r="AG4373" s="182" t="n">
        <v>0</v>
      </c>
      <c r="AH4373" s="182" t="n">
        <v>0</v>
      </c>
      <c r="AI4373" s="182" t="n">
        <v>0</v>
      </c>
      <c r="AJ4373" s="182" t="n">
        <v>0</v>
      </c>
      <c r="AK4373" s="182" t="n">
        <v>0</v>
      </c>
      <c r="AL4373" s="182" t="n">
        <v>0</v>
      </c>
      <c r="AM4373" s="182" t="n">
        <v>0.06</v>
      </c>
      <c r="AN4373" s="182" t="n">
        <v>0</v>
      </c>
    </row>
    <row r="4374">
      <c r="A4374" s="155" t="n">
        <v>46101</v>
      </c>
      <c r="B4374" s="156" t="inlineStr">
        <is>
          <t>NS</t>
        </is>
      </c>
      <c r="C4374" s="156" t="inlineStr">
        <is>
          <t>DT-522</t>
        </is>
      </c>
      <c r="D4374" s="156" t="inlineStr">
        <is>
          <t>SKT 105S</t>
        </is>
      </c>
      <c r="E4374" s="156" t="inlineStr">
        <is>
          <t>Hauler</t>
        </is>
      </c>
      <c r="F4374" s="156" t="inlineStr">
        <is>
          <t>Hauling OB &amp; Coal</t>
        </is>
      </c>
      <c r="G4374" s="182" t="n">
        <v>5.51</v>
      </c>
      <c r="H4374" s="182" t="n">
        <v>0</v>
      </c>
      <c r="I4374" s="182" t="n">
        <v>1.8</v>
      </c>
      <c r="J4374" s="182" t="n">
        <v>1.8</v>
      </c>
      <c r="K4374" s="182" t="n">
        <v>4.69</v>
      </c>
      <c r="L4374" s="182" t="n">
        <v>12</v>
      </c>
      <c r="M4374" s="182" t="n">
        <v>3.39</v>
      </c>
      <c r="N4374" s="182" t="n">
        <v>2.12</v>
      </c>
      <c r="O4374" s="183" t="n">
        <v>7</v>
      </c>
      <c r="P4374" s="183" t="n">
        <v>4</v>
      </c>
      <c r="Q4374" s="184" t="n">
        <v>142.8</v>
      </c>
      <c r="R4374" s="184" t="n">
        <v>74.8</v>
      </c>
      <c r="S4374" s="183" t="n">
        <v>0</v>
      </c>
      <c r="T4374" s="183" t="n">
        <v>0</v>
      </c>
      <c r="U4374" s="182" t="n">
        <v>0</v>
      </c>
      <c r="V4374" s="182" t="n">
        <v>0</v>
      </c>
      <c r="W4374" s="182" t="n">
        <v>0</v>
      </c>
      <c r="X4374" s="182" t="n">
        <v>0.9399999999999999</v>
      </c>
      <c r="Y4374" s="182" t="n">
        <v>0</v>
      </c>
      <c r="Z4374" s="182" t="n">
        <v>0</v>
      </c>
      <c r="AA4374" s="182" t="n">
        <v>0</v>
      </c>
      <c r="AB4374" s="182" t="n">
        <v>0</v>
      </c>
      <c r="AC4374" s="182" t="n">
        <v>0</v>
      </c>
      <c r="AD4374" s="182" t="n">
        <v>3.68</v>
      </c>
      <c r="AE4374" s="182" t="n">
        <v>0</v>
      </c>
      <c r="AF4374" s="182" t="n">
        <v>0</v>
      </c>
      <c r="AG4374" s="182" t="n">
        <v>0</v>
      </c>
      <c r="AH4374" s="182" t="n">
        <v>0</v>
      </c>
      <c r="AI4374" s="182" t="n">
        <v>0</v>
      </c>
      <c r="AJ4374" s="182" t="n">
        <v>0</v>
      </c>
      <c r="AK4374" s="182" t="n">
        <v>0</v>
      </c>
      <c r="AL4374" s="182" t="n">
        <v>0</v>
      </c>
      <c r="AM4374" s="182" t="n">
        <v>0.08</v>
      </c>
      <c r="AN4374" s="182" t="n">
        <v>0</v>
      </c>
    </row>
    <row r="4375">
      <c r="A4375" s="155" t="n">
        <v>46101</v>
      </c>
      <c r="B4375" s="156" t="inlineStr">
        <is>
          <t>NS</t>
        </is>
      </c>
      <c r="C4375" s="156" t="inlineStr">
        <is>
          <t>DT-517</t>
        </is>
      </c>
      <c r="D4375" s="156" t="inlineStr">
        <is>
          <t>SKT 105S</t>
        </is>
      </c>
      <c r="E4375" s="156" t="inlineStr">
        <is>
          <t>Hauler</t>
        </is>
      </c>
      <c r="F4375" s="156" t="inlineStr">
        <is>
          <t>Hauling OB</t>
        </is>
      </c>
      <c r="G4375" s="182" t="n">
        <v>10.68</v>
      </c>
      <c r="H4375" s="182" t="n">
        <v>0</v>
      </c>
      <c r="I4375" s="182" t="n">
        <v>0.67</v>
      </c>
      <c r="J4375" s="182" t="n">
        <v>0.67</v>
      </c>
      <c r="K4375" s="182" t="n">
        <v>0.65</v>
      </c>
      <c r="L4375" s="182" t="n">
        <v>12</v>
      </c>
      <c r="M4375" s="182" t="n">
        <v>10.68</v>
      </c>
      <c r="N4375" s="182" t="n">
        <v>0</v>
      </c>
      <c r="O4375" s="183" t="n">
        <v>34</v>
      </c>
      <c r="P4375" s="183" t="n">
        <v>0</v>
      </c>
      <c r="Q4375" s="184" t="n">
        <v>693.6</v>
      </c>
      <c r="R4375" s="184" t="n">
        <v>0</v>
      </c>
      <c r="S4375" s="183" t="n">
        <v>0</v>
      </c>
      <c r="T4375" s="183" t="n">
        <v>0</v>
      </c>
      <c r="U4375" s="182" t="n">
        <v>0</v>
      </c>
      <c r="V4375" s="182" t="n">
        <v>0</v>
      </c>
      <c r="W4375" s="182" t="n">
        <v>0</v>
      </c>
      <c r="X4375" s="182" t="n">
        <v>0.59</v>
      </c>
      <c r="Y4375" s="182" t="n">
        <v>0</v>
      </c>
      <c r="Z4375" s="182" t="n">
        <v>0</v>
      </c>
      <c r="AA4375" s="182" t="n">
        <v>0</v>
      </c>
      <c r="AB4375" s="182" t="n">
        <v>0</v>
      </c>
      <c r="AC4375" s="182" t="n">
        <v>0</v>
      </c>
      <c r="AD4375" s="182" t="n">
        <v>0</v>
      </c>
      <c r="AE4375" s="182" t="n">
        <v>0</v>
      </c>
      <c r="AF4375" s="182" t="n">
        <v>0</v>
      </c>
      <c r="AG4375" s="182" t="n">
        <v>0</v>
      </c>
      <c r="AH4375" s="182" t="n">
        <v>0</v>
      </c>
      <c r="AI4375" s="182" t="n">
        <v>0</v>
      </c>
      <c r="AJ4375" s="182" t="n">
        <v>0</v>
      </c>
      <c r="AK4375" s="182" t="n">
        <v>0</v>
      </c>
      <c r="AL4375" s="182" t="n">
        <v>0</v>
      </c>
      <c r="AM4375" s="182" t="n">
        <v>0.06</v>
      </c>
      <c r="AN4375" s="182" t="n">
        <v>0</v>
      </c>
    </row>
    <row r="4376">
      <c r="A4376" s="155" t="n">
        <v>46101</v>
      </c>
      <c r="B4376" s="156" t="inlineStr">
        <is>
          <t>NS</t>
        </is>
      </c>
      <c r="C4376" s="156" t="inlineStr">
        <is>
          <t>DT-510</t>
        </is>
      </c>
      <c r="D4376" s="156" t="inlineStr">
        <is>
          <t>SKT 105S</t>
        </is>
      </c>
      <c r="E4376" s="156" t="inlineStr">
        <is>
          <t>Hauler</t>
        </is>
      </c>
      <c r="F4376" s="156" t="inlineStr"/>
      <c r="G4376" s="182" t="n">
        <v>0</v>
      </c>
      <c r="H4376" s="182" t="n">
        <v>0</v>
      </c>
      <c r="I4376" s="182" t="n">
        <v>12</v>
      </c>
      <c r="J4376" s="182" t="n">
        <v>12</v>
      </c>
      <c r="K4376" s="182" t="n">
        <v>0</v>
      </c>
      <c r="L4376" s="182" t="n">
        <v>12</v>
      </c>
      <c r="M4376" s="182" t="n">
        <v>0</v>
      </c>
      <c r="N4376" s="182" t="n">
        <v>0</v>
      </c>
      <c r="O4376" s="183" t="n">
        <v>0</v>
      </c>
      <c r="P4376" s="183" t="n">
        <v>0</v>
      </c>
      <c r="Q4376" s="184" t="n">
        <v>0</v>
      </c>
      <c r="R4376" s="184" t="n">
        <v>0</v>
      </c>
      <c r="S4376" s="183" t="n">
        <v>0</v>
      </c>
      <c r="T4376" s="183" t="n">
        <v>0</v>
      </c>
      <c r="U4376" s="182" t="n">
        <v>0</v>
      </c>
      <c r="V4376" s="182" t="n">
        <v>0</v>
      </c>
      <c r="W4376" s="182" t="n">
        <v>0</v>
      </c>
      <c r="X4376" s="182" t="n">
        <v>0</v>
      </c>
      <c r="Y4376" s="182" t="n">
        <v>0</v>
      </c>
      <c r="Z4376" s="182" t="n">
        <v>0</v>
      </c>
      <c r="AA4376" s="182" t="n">
        <v>0</v>
      </c>
      <c r="AB4376" s="182" t="n">
        <v>0</v>
      </c>
      <c r="AC4376" s="182" t="n">
        <v>0</v>
      </c>
      <c r="AD4376" s="182" t="n">
        <v>0</v>
      </c>
      <c r="AE4376" s="182" t="n">
        <v>0</v>
      </c>
      <c r="AF4376" s="182" t="n">
        <v>0</v>
      </c>
      <c r="AG4376" s="182" t="n">
        <v>0</v>
      </c>
      <c r="AH4376" s="182" t="n">
        <v>0</v>
      </c>
      <c r="AI4376" s="182" t="n">
        <v>0</v>
      </c>
      <c r="AJ4376" s="182" t="n">
        <v>0</v>
      </c>
      <c r="AK4376" s="182" t="n">
        <v>0</v>
      </c>
      <c r="AL4376" s="182" t="n">
        <v>0</v>
      </c>
      <c r="AM4376" s="182" t="n">
        <v>0</v>
      </c>
      <c r="AN4376" s="182" t="n">
        <v>0</v>
      </c>
    </row>
    <row r="4377">
      <c r="A4377" s="155" t="n">
        <v>46101</v>
      </c>
      <c r="B4377" s="156" t="inlineStr">
        <is>
          <t>NS</t>
        </is>
      </c>
      <c r="C4377" s="156" t="inlineStr">
        <is>
          <t>DT-521</t>
        </is>
      </c>
      <c r="D4377" s="156" t="inlineStr">
        <is>
          <t>SKT 105S</t>
        </is>
      </c>
      <c r="E4377" s="156" t="inlineStr">
        <is>
          <t>Hauler</t>
        </is>
      </c>
      <c r="F4377" s="156" t="inlineStr">
        <is>
          <t>Hauling OB</t>
        </is>
      </c>
      <c r="G4377" s="182" t="n">
        <v>10.31</v>
      </c>
      <c r="H4377" s="182" t="n">
        <v>0</v>
      </c>
      <c r="I4377" s="182" t="n">
        <v>0</v>
      </c>
      <c r="J4377" s="182" t="n">
        <v>0</v>
      </c>
      <c r="K4377" s="182" t="n">
        <v>1.69</v>
      </c>
      <c r="L4377" s="182" t="n">
        <v>12</v>
      </c>
      <c r="M4377" s="182" t="n">
        <v>10.31</v>
      </c>
      <c r="N4377" s="182" t="n">
        <v>0</v>
      </c>
      <c r="O4377" s="183" t="n">
        <v>43</v>
      </c>
      <c r="P4377" s="183" t="n">
        <v>0</v>
      </c>
      <c r="Q4377" s="184" t="n">
        <v>877.2</v>
      </c>
      <c r="R4377" s="184" t="n">
        <v>0</v>
      </c>
      <c r="S4377" s="183" t="n">
        <v>0</v>
      </c>
      <c r="T4377" s="183" t="n">
        <v>0</v>
      </c>
      <c r="U4377" s="182" t="n">
        <v>0</v>
      </c>
      <c r="V4377" s="182" t="n">
        <v>0</v>
      </c>
      <c r="W4377" s="182" t="n">
        <v>0</v>
      </c>
      <c r="X4377" s="182" t="n">
        <v>0.99</v>
      </c>
      <c r="Y4377" s="182" t="n">
        <v>0</v>
      </c>
      <c r="Z4377" s="182" t="n">
        <v>0</v>
      </c>
      <c r="AA4377" s="182" t="n">
        <v>0</v>
      </c>
      <c r="AB4377" s="182" t="n">
        <v>0</v>
      </c>
      <c r="AC4377" s="182" t="n">
        <v>0</v>
      </c>
      <c r="AD4377" s="182" t="n">
        <v>0</v>
      </c>
      <c r="AE4377" s="182" t="n">
        <v>0</v>
      </c>
      <c r="AF4377" s="182" t="n">
        <v>0</v>
      </c>
      <c r="AG4377" s="182" t="n">
        <v>0</v>
      </c>
      <c r="AH4377" s="182" t="n">
        <v>0.62</v>
      </c>
      <c r="AI4377" s="182" t="n">
        <v>0</v>
      </c>
      <c r="AJ4377" s="182" t="n">
        <v>0</v>
      </c>
      <c r="AK4377" s="182" t="n">
        <v>0</v>
      </c>
      <c r="AL4377" s="182" t="n">
        <v>0</v>
      </c>
      <c r="AM4377" s="182" t="n">
        <v>0.08</v>
      </c>
      <c r="AN4377" s="182" t="n">
        <v>0</v>
      </c>
    </row>
    <row r="4378">
      <c r="A4378" s="155" t="n">
        <v>46101</v>
      </c>
      <c r="B4378" s="156" t="inlineStr">
        <is>
          <t>NS</t>
        </is>
      </c>
      <c r="C4378" s="156" t="inlineStr">
        <is>
          <t>DT-516</t>
        </is>
      </c>
      <c r="D4378" s="156" t="inlineStr">
        <is>
          <t>SKT 105S</t>
        </is>
      </c>
      <c r="E4378" s="156" t="inlineStr">
        <is>
          <t>Hauler</t>
        </is>
      </c>
      <c r="F4378" s="156" t="inlineStr">
        <is>
          <t>Hauling OB</t>
        </is>
      </c>
      <c r="G4378" s="182" t="n">
        <v>10.37</v>
      </c>
      <c r="H4378" s="182" t="n">
        <v>0</v>
      </c>
      <c r="I4378" s="182" t="n">
        <v>0</v>
      </c>
      <c r="J4378" s="182" t="n">
        <v>0</v>
      </c>
      <c r="K4378" s="182" t="n">
        <v>1.63</v>
      </c>
      <c r="L4378" s="182" t="n">
        <v>12</v>
      </c>
      <c r="M4378" s="182" t="n">
        <v>10.37</v>
      </c>
      <c r="N4378" s="182" t="n">
        <v>0</v>
      </c>
      <c r="O4378" s="183" t="n">
        <v>39</v>
      </c>
      <c r="P4378" s="183" t="n">
        <v>0</v>
      </c>
      <c r="Q4378" s="184" t="n">
        <v>795.6</v>
      </c>
      <c r="R4378" s="184" t="n">
        <v>0</v>
      </c>
      <c r="S4378" s="183" t="n">
        <v>0</v>
      </c>
      <c r="T4378" s="183" t="n">
        <v>0</v>
      </c>
      <c r="U4378" s="182" t="n">
        <v>0</v>
      </c>
      <c r="V4378" s="182" t="n">
        <v>0</v>
      </c>
      <c r="W4378" s="182" t="n">
        <v>0</v>
      </c>
      <c r="X4378" s="182" t="n">
        <v>1.09</v>
      </c>
      <c r="Y4378" s="182" t="n">
        <v>0</v>
      </c>
      <c r="Z4378" s="182" t="n">
        <v>0</v>
      </c>
      <c r="AA4378" s="182" t="n">
        <v>0</v>
      </c>
      <c r="AB4378" s="182" t="n">
        <v>0</v>
      </c>
      <c r="AC4378" s="182" t="n">
        <v>0</v>
      </c>
      <c r="AD4378" s="182" t="n">
        <v>0</v>
      </c>
      <c r="AE4378" s="182" t="n">
        <v>0</v>
      </c>
      <c r="AF4378" s="182" t="n">
        <v>0</v>
      </c>
      <c r="AG4378" s="182" t="n">
        <v>0</v>
      </c>
      <c r="AH4378" s="182" t="n">
        <v>0.46</v>
      </c>
      <c r="AI4378" s="182" t="n">
        <v>0</v>
      </c>
      <c r="AJ4378" s="182" t="n">
        <v>0</v>
      </c>
      <c r="AK4378" s="182" t="n">
        <v>0</v>
      </c>
      <c r="AL4378" s="182" t="n">
        <v>0</v>
      </c>
      <c r="AM4378" s="182" t="n">
        <v>0.09</v>
      </c>
      <c r="AN4378" s="182" t="n">
        <v>0</v>
      </c>
    </row>
    <row r="4379">
      <c r="A4379" s="155" t="n">
        <v>46101</v>
      </c>
      <c r="B4379" s="156" t="inlineStr">
        <is>
          <t>NS</t>
        </is>
      </c>
      <c r="C4379" s="156" t="inlineStr">
        <is>
          <t>DT-506</t>
        </is>
      </c>
      <c r="D4379" s="156" t="inlineStr">
        <is>
          <t>SKT 105S</t>
        </is>
      </c>
      <c r="E4379" s="156" t="inlineStr">
        <is>
          <t>Hauler</t>
        </is>
      </c>
      <c r="F4379" s="156" t="inlineStr">
        <is>
          <t>Hauling OB</t>
        </is>
      </c>
      <c r="G4379" s="182" t="n">
        <v>1.44</v>
      </c>
      <c r="H4379" s="182" t="n">
        <v>0</v>
      </c>
      <c r="I4379" s="182" t="n">
        <v>0</v>
      </c>
      <c r="J4379" s="182" t="n">
        <v>0</v>
      </c>
      <c r="K4379" s="182" t="n">
        <v>10.56</v>
      </c>
      <c r="L4379" s="182" t="n">
        <v>12</v>
      </c>
      <c r="M4379" s="182" t="n">
        <v>1.44</v>
      </c>
      <c r="N4379" s="182" t="n">
        <v>0</v>
      </c>
      <c r="O4379" s="183" t="n">
        <v>2</v>
      </c>
      <c r="P4379" s="183" t="n">
        <v>0</v>
      </c>
      <c r="Q4379" s="184" t="n">
        <v>40.8</v>
      </c>
      <c r="R4379" s="184" t="n">
        <v>0</v>
      </c>
      <c r="S4379" s="183" t="n">
        <v>0</v>
      </c>
      <c r="T4379" s="183" t="n">
        <v>0</v>
      </c>
      <c r="U4379" s="182" t="n">
        <v>0</v>
      </c>
      <c r="V4379" s="182" t="n">
        <v>0</v>
      </c>
      <c r="W4379" s="182" t="n">
        <v>0</v>
      </c>
      <c r="X4379" s="182" t="n">
        <v>0.99</v>
      </c>
      <c r="Y4379" s="182" t="n">
        <v>0</v>
      </c>
      <c r="Z4379" s="182" t="n">
        <v>0</v>
      </c>
      <c r="AA4379" s="182" t="n">
        <v>0</v>
      </c>
      <c r="AB4379" s="182" t="n">
        <v>0</v>
      </c>
      <c r="AC4379" s="182" t="n">
        <v>0</v>
      </c>
      <c r="AD4379" s="182" t="n">
        <v>9.49</v>
      </c>
      <c r="AE4379" s="182" t="n">
        <v>0</v>
      </c>
      <c r="AF4379" s="182" t="n">
        <v>0</v>
      </c>
      <c r="AG4379" s="182" t="n">
        <v>0</v>
      </c>
      <c r="AH4379" s="182" t="n">
        <v>0</v>
      </c>
      <c r="AI4379" s="182" t="n">
        <v>0</v>
      </c>
      <c r="AJ4379" s="182" t="n">
        <v>0</v>
      </c>
      <c r="AK4379" s="182" t="n">
        <v>0</v>
      </c>
      <c r="AL4379" s="182" t="n">
        <v>0</v>
      </c>
      <c r="AM4379" s="182" t="n">
        <v>0.08</v>
      </c>
      <c r="AN4379" s="182" t="n">
        <v>0</v>
      </c>
    </row>
    <row r="4380">
      <c r="A4380" s="155" t="n">
        <v>46101</v>
      </c>
      <c r="B4380" s="156" t="inlineStr">
        <is>
          <t>NS</t>
        </is>
      </c>
      <c r="C4380" s="156" t="inlineStr">
        <is>
          <t>DT-502</t>
        </is>
      </c>
      <c r="D4380" s="156" t="inlineStr">
        <is>
          <t>SKT 105S</t>
        </is>
      </c>
      <c r="E4380" s="156" t="inlineStr">
        <is>
          <t>Hauler</t>
        </is>
      </c>
      <c r="F4380" s="156" t="inlineStr">
        <is>
          <t>Hauling OB</t>
        </is>
      </c>
      <c r="G4380" s="182" t="n">
        <v>9.949999999999999</v>
      </c>
      <c r="H4380" s="182" t="n">
        <v>0</v>
      </c>
      <c r="I4380" s="182" t="n">
        <v>0</v>
      </c>
      <c r="J4380" s="182" t="n">
        <v>0</v>
      </c>
      <c r="K4380" s="182" t="n">
        <v>2.05</v>
      </c>
      <c r="L4380" s="182" t="n">
        <v>12</v>
      </c>
      <c r="M4380" s="182" t="n">
        <v>9.949999999999999</v>
      </c>
      <c r="N4380" s="182" t="n">
        <v>0</v>
      </c>
      <c r="O4380" s="183" t="n">
        <v>45</v>
      </c>
      <c r="P4380" s="183" t="n">
        <v>0</v>
      </c>
      <c r="Q4380" s="184" t="n">
        <v>918</v>
      </c>
      <c r="R4380" s="184" t="n">
        <v>0</v>
      </c>
      <c r="S4380" s="183" t="n">
        <v>0</v>
      </c>
      <c r="T4380" s="183" t="n">
        <v>0</v>
      </c>
      <c r="U4380" s="182" t="n">
        <v>0</v>
      </c>
      <c r="V4380" s="182" t="n">
        <v>0</v>
      </c>
      <c r="W4380" s="182" t="n">
        <v>0</v>
      </c>
      <c r="X4380" s="182" t="n">
        <v>1.21</v>
      </c>
      <c r="Y4380" s="182" t="n">
        <v>0</v>
      </c>
      <c r="Z4380" s="182" t="n">
        <v>0</v>
      </c>
      <c r="AA4380" s="182" t="n">
        <v>0</v>
      </c>
      <c r="AB4380" s="182" t="n">
        <v>0</v>
      </c>
      <c r="AC4380" s="182" t="n">
        <v>0</v>
      </c>
      <c r="AD4380" s="182" t="n">
        <v>0</v>
      </c>
      <c r="AE4380" s="182" t="n">
        <v>0</v>
      </c>
      <c r="AF4380" s="182" t="n">
        <v>0</v>
      </c>
      <c r="AG4380" s="182" t="n">
        <v>0</v>
      </c>
      <c r="AH4380" s="182" t="n">
        <v>0.75</v>
      </c>
      <c r="AI4380" s="182" t="n">
        <v>0</v>
      </c>
      <c r="AJ4380" s="182" t="n">
        <v>0</v>
      </c>
      <c r="AK4380" s="182" t="n">
        <v>0</v>
      </c>
      <c r="AL4380" s="182" t="n">
        <v>0</v>
      </c>
      <c r="AM4380" s="182" t="n">
        <v>0.1</v>
      </c>
      <c r="AN4380" s="182" t="n">
        <v>0</v>
      </c>
    </row>
    <row r="4381">
      <c r="A4381" s="155" t="n">
        <v>46101</v>
      </c>
      <c r="B4381" s="156" t="inlineStr">
        <is>
          <t>NS</t>
        </is>
      </c>
      <c r="C4381" s="156" t="inlineStr">
        <is>
          <t>DT-528</t>
        </is>
      </c>
      <c r="D4381" s="156" t="inlineStr">
        <is>
          <t>SKT 105S</t>
        </is>
      </c>
      <c r="E4381" s="156" t="inlineStr">
        <is>
          <t>Hauler</t>
        </is>
      </c>
      <c r="F4381" s="156" t="inlineStr">
        <is>
          <t>Hauling OB</t>
        </is>
      </c>
      <c r="G4381" s="182" t="n">
        <v>10.3</v>
      </c>
      <c r="H4381" s="182" t="n">
        <v>0</v>
      </c>
      <c r="I4381" s="182" t="n">
        <v>0</v>
      </c>
      <c r="J4381" s="182" t="n">
        <v>0</v>
      </c>
      <c r="K4381" s="182" t="n">
        <v>1.7</v>
      </c>
      <c r="L4381" s="182" t="n">
        <v>12</v>
      </c>
      <c r="M4381" s="182" t="n">
        <v>10.3</v>
      </c>
      <c r="N4381" s="182" t="n">
        <v>0</v>
      </c>
      <c r="O4381" s="183" t="n">
        <v>39</v>
      </c>
      <c r="P4381" s="183" t="n">
        <v>0</v>
      </c>
      <c r="Q4381" s="184" t="n">
        <v>795.6</v>
      </c>
      <c r="R4381" s="184" t="n">
        <v>0</v>
      </c>
      <c r="S4381" s="183" t="n">
        <v>0</v>
      </c>
      <c r="T4381" s="183" t="n">
        <v>0</v>
      </c>
      <c r="U4381" s="182" t="n">
        <v>0</v>
      </c>
      <c r="V4381" s="182" t="n">
        <v>0</v>
      </c>
      <c r="W4381" s="182" t="n">
        <v>0</v>
      </c>
      <c r="X4381" s="182" t="n">
        <v>0.9399999999999999</v>
      </c>
      <c r="Y4381" s="182" t="n">
        <v>0</v>
      </c>
      <c r="Z4381" s="182" t="n">
        <v>0</v>
      </c>
      <c r="AA4381" s="182" t="n">
        <v>0</v>
      </c>
      <c r="AB4381" s="182" t="n">
        <v>0</v>
      </c>
      <c r="AC4381" s="182" t="n">
        <v>0</v>
      </c>
      <c r="AD4381" s="182" t="n">
        <v>0</v>
      </c>
      <c r="AE4381" s="182" t="n">
        <v>0</v>
      </c>
      <c r="AF4381" s="182" t="n">
        <v>0</v>
      </c>
      <c r="AG4381" s="182" t="n">
        <v>0</v>
      </c>
      <c r="AH4381" s="182" t="n">
        <v>0.68</v>
      </c>
      <c r="AI4381" s="182" t="n">
        <v>0</v>
      </c>
      <c r="AJ4381" s="182" t="n">
        <v>0</v>
      </c>
      <c r="AK4381" s="182" t="n">
        <v>0</v>
      </c>
      <c r="AL4381" s="182" t="n">
        <v>0</v>
      </c>
      <c r="AM4381" s="182" t="n">
        <v>0.08</v>
      </c>
      <c r="AN4381" s="182" t="n">
        <v>0</v>
      </c>
    </row>
    <row r="4382">
      <c r="A4382" s="155" t="n">
        <v>46101</v>
      </c>
      <c r="B4382" s="156" t="inlineStr">
        <is>
          <t>NS</t>
        </is>
      </c>
      <c r="C4382" s="156" t="inlineStr">
        <is>
          <t>DT-529</t>
        </is>
      </c>
      <c r="D4382" s="156" t="inlineStr">
        <is>
          <t>SKT 105S</t>
        </is>
      </c>
      <c r="E4382" s="156" t="inlineStr">
        <is>
          <t>Hauler</t>
        </is>
      </c>
      <c r="F4382" s="156" t="inlineStr">
        <is>
          <t>Hauling OB &amp; Coal</t>
        </is>
      </c>
      <c r="G4382" s="182" t="n">
        <v>6.95</v>
      </c>
      <c r="H4382" s="182" t="n">
        <v>0</v>
      </c>
      <c r="I4382" s="182" t="n">
        <v>0</v>
      </c>
      <c r="J4382" s="182" t="n">
        <v>0</v>
      </c>
      <c r="K4382" s="182" t="n">
        <v>5.05</v>
      </c>
      <c r="L4382" s="182" t="n">
        <v>12</v>
      </c>
      <c r="M4382" s="182" t="n">
        <v>3.74</v>
      </c>
      <c r="N4382" s="182" t="n">
        <v>3.21</v>
      </c>
      <c r="O4382" s="183" t="n">
        <v>7</v>
      </c>
      <c r="P4382" s="183" t="n">
        <v>9</v>
      </c>
      <c r="Q4382" s="184" t="n">
        <v>142.8</v>
      </c>
      <c r="R4382" s="184" t="n">
        <v>168.3</v>
      </c>
      <c r="S4382" s="183" t="n">
        <v>0</v>
      </c>
      <c r="T4382" s="183" t="n">
        <v>0</v>
      </c>
      <c r="U4382" s="182" t="n">
        <v>0</v>
      </c>
      <c r="V4382" s="182" t="n">
        <v>0</v>
      </c>
      <c r="W4382" s="182" t="n">
        <v>0</v>
      </c>
      <c r="X4382" s="182" t="n">
        <v>0.92</v>
      </c>
      <c r="Y4382" s="182" t="n">
        <v>0</v>
      </c>
      <c r="Z4382" s="182" t="n">
        <v>0</v>
      </c>
      <c r="AA4382" s="182" t="n">
        <v>0</v>
      </c>
      <c r="AB4382" s="182" t="n">
        <v>0</v>
      </c>
      <c r="AC4382" s="182" t="n">
        <v>0</v>
      </c>
      <c r="AD4382" s="182" t="n">
        <v>4.06</v>
      </c>
      <c r="AE4382" s="182" t="n">
        <v>0</v>
      </c>
      <c r="AF4382" s="182" t="n">
        <v>0</v>
      </c>
      <c r="AG4382" s="182" t="n">
        <v>0</v>
      </c>
      <c r="AH4382" s="182" t="n">
        <v>0</v>
      </c>
      <c r="AI4382" s="182" t="n">
        <v>0</v>
      </c>
      <c r="AJ4382" s="182" t="n">
        <v>0</v>
      </c>
      <c r="AK4382" s="182" t="n">
        <v>0</v>
      </c>
      <c r="AL4382" s="182" t="n">
        <v>0</v>
      </c>
      <c r="AM4382" s="182" t="n">
        <v>0.07000000000000001</v>
      </c>
      <c r="AN4382" s="182" t="n">
        <v>0</v>
      </c>
    </row>
    <row r="4383">
      <c r="A4383" s="155" t="n">
        <v>46101</v>
      </c>
      <c r="B4383" s="156" t="inlineStr">
        <is>
          <t>NS</t>
        </is>
      </c>
      <c r="C4383" s="156" t="inlineStr">
        <is>
          <t>DT-520</t>
        </is>
      </c>
      <c r="D4383" s="156" t="inlineStr">
        <is>
          <t>SKT 105S</t>
        </is>
      </c>
      <c r="E4383" s="156" t="inlineStr">
        <is>
          <t>Hauler</t>
        </is>
      </c>
      <c r="F4383" s="156" t="inlineStr"/>
      <c r="G4383" s="182" t="n">
        <v>0</v>
      </c>
      <c r="H4383" s="182" t="n">
        <v>0</v>
      </c>
      <c r="I4383" s="182" t="n">
        <v>0.6</v>
      </c>
      <c r="J4383" s="182" t="n">
        <v>0.6</v>
      </c>
      <c r="K4383" s="182" t="n">
        <v>11.4</v>
      </c>
      <c r="L4383" s="182" t="n">
        <v>12</v>
      </c>
      <c r="M4383" s="182" t="n">
        <v>0</v>
      </c>
      <c r="N4383" s="182" t="n">
        <v>0</v>
      </c>
      <c r="O4383" s="183" t="n">
        <v>0</v>
      </c>
      <c r="P4383" s="183" t="n">
        <v>0</v>
      </c>
      <c r="Q4383" s="184" t="n">
        <v>0</v>
      </c>
      <c r="R4383" s="184" t="n">
        <v>0</v>
      </c>
      <c r="S4383" s="183" t="n">
        <v>0</v>
      </c>
      <c r="T4383" s="183" t="n">
        <v>0</v>
      </c>
      <c r="U4383" s="182" t="n">
        <v>0</v>
      </c>
      <c r="V4383" s="182" t="n">
        <v>0</v>
      </c>
      <c r="W4383" s="182" t="n">
        <v>0</v>
      </c>
      <c r="X4383" s="182" t="n">
        <v>1</v>
      </c>
      <c r="Y4383" s="182" t="n">
        <v>0</v>
      </c>
      <c r="Z4383" s="182" t="n">
        <v>0</v>
      </c>
      <c r="AA4383" s="182" t="n">
        <v>0</v>
      </c>
      <c r="AB4383" s="182" t="n">
        <v>0</v>
      </c>
      <c r="AC4383" s="182" t="n">
        <v>0</v>
      </c>
      <c r="AD4383" s="182" t="n">
        <v>10.32</v>
      </c>
      <c r="AE4383" s="182" t="n">
        <v>0</v>
      </c>
      <c r="AF4383" s="182" t="n">
        <v>0</v>
      </c>
      <c r="AG4383" s="182" t="n">
        <v>0</v>
      </c>
      <c r="AH4383" s="182" t="n">
        <v>0</v>
      </c>
      <c r="AI4383" s="182" t="n">
        <v>0</v>
      </c>
      <c r="AJ4383" s="182" t="n">
        <v>0</v>
      </c>
      <c r="AK4383" s="182" t="n">
        <v>0</v>
      </c>
      <c r="AL4383" s="182" t="n">
        <v>0</v>
      </c>
      <c r="AM4383" s="182" t="n">
        <v>0.08</v>
      </c>
      <c r="AN4383" s="182" t="n">
        <v>0</v>
      </c>
    </row>
    <row r="4384">
      <c r="A4384" s="155" t="n">
        <v>46101</v>
      </c>
      <c r="B4384" s="156" t="inlineStr">
        <is>
          <t>NS</t>
        </is>
      </c>
      <c r="C4384" s="156" t="inlineStr">
        <is>
          <t>DT-511</t>
        </is>
      </c>
      <c r="D4384" s="156" t="inlineStr">
        <is>
          <t>SKT 105S</t>
        </is>
      </c>
      <c r="E4384" s="156" t="inlineStr">
        <is>
          <t>Hauler</t>
        </is>
      </c>
      <c r="F4384" s="156" t="inlineStr">
        <is>
          <t>Hauling OB &amp; Coal</t>
        </is>
      </c>
      <c r="G4384" s="182" t="n">
        <v>6.39</v>
      </c>
      <c r="H4384" s="182" t="n">
        <v>0</v>
      </c>
      <c r="I4384" s="182" t="n">
        <v>1.5</v>
      </c>
      <c r="J4384" s="182" t="n">
        <v>1.5</v>
      </c>
      <c r="K4384" s="182" t="n">
        <v>4.11</v>
      </c>
      <c r="L4384" s="182" t="n">
        <v>12</v>
      </c>
      <c r="M4384" s="182" t="n">
        <v>1.48</v>
      </c>
      <c r="N4384" s="182" t="n">
        <v>0.98</v>
      </c>
      <c r="O4384" s="183" t="n">
        <v>7</v>
      </c>
      <c r="P4384" s="183" t="n">
        <v>3</v>
      </c>
      <c r="Q4384" s="184" t="n">
        <v>142.8</v>
      </c>
      <c r="R4384" s="184" t="n">
        <v>56.1</v>
      </c>
      <c r="S4384" s="183" t="n">
        <v>0</v>
      </c>
      <c r="T4384" s="183" t="n">
        <v>0</v>
      </c>
      <c r="U4384" s="182" t="n">
        <v>0</v>
      </c>
      <c r="V4384" s="182" t="n">
        <v>0</v>
      </c>
      <c r="W4384" s="182" t="n">
        <v>0</v>
      </c>
      <c r="X4384" s="182" t="n">
        <v>1.03</v>
      </c>
      <c r="Y4384" s="182" t="n">
        <v>0</v>
      </c>
      <c r="Z4384" s="182" t="n">
        <v>0</v>
      </c>
      <c r="AA4384" s="182" t="n">
        <v>0</v>
      </c>
      <c r="AB4384" s="182" t="n">
        <v>0</v>
      </c>
      <c r="AC4384" s="182" t="n">
        <v>0</v>
      </c>
      <c r="AD4384" s="182" t="n">
        <v>3</v>
      </c>
      <c r="AE4384" s="182" t="n">
        <v>0</v>
      </c>
      <c r="AF4384" s="182" t="n">
        <v>0</v>
      </c>
      <c r="AG4384" s="182" t="n">
        <v>0</v>
      </c>
      <c r="AH4384" s="182" t="n">
        <v>0</v>
      </c>
      <c r="AI4384" s="182" t="n">
        <v>0</v>
      </c>
      <c r="AJ4384" s="182" t="n">
        <v>0</v>
      </c>
      <c r="AK4384" s="182" t="n">
        <v>0</v>
      </c>
      <c r="AL4384" s="182" t="n">
        <v>0</v>
      </c>
      <c r="AM4384" s="182" t="n">
        <v>0.08</v>
      </c>
      <c r="AN4384" s="182" t="n">
        <v>0</v>
      </c>
    </row>
    <row r="4385">
      <c r="A4385" s="155" t="n">
        <v>46101</v>
      </c>
      <c r="B4385" s="156" t="inlineStr">
        <is>
          <t>NS</t>
        </is>
      </c>
      <c r="C4385" s="156" t="inlineStr">
        <is>
          <t>DT-509</t>
        </is>
      </c>
      <c r="D4385" s="156" t="inlineStr">
        <is>
          <t>SKT 105S</t>
        </is>
      </c>
      <c r="E4385" s="156" t="inlineStr">
        <is>
          <t>Hauler</t>
        </is>
      </c>
      <c r="F4385" s="156" t="inlineStr"/>
      <c r="G4385" s="182" t="n">
        <v>0</v>
      </c>
      <c r="H4385" s="182" t="n">
        <v>0</v>
      </c>
      <c r="I4385" s="182" t="n">
        <v>12</v>
      </c>
      <c r="J4385" s="182" t="n">
        <v>12</v>
      </c>
      <c r="K4385" s="182" t="n">
        <v>0</v>
      </c>
      <c r="L4385" s="182" t="n">
        <v>12</v>
      </c>
      <c r="M4385" s="182" t="n">
        <v>0</v>
      </c>
      <c r="N4385" s="182" t="n">
        <v>0</v>
      </c>
      <c r="O4385" s="183" t="n">
        <v>0</v>
      </c>
      <c r="P4385" s="183" t="n">
        <v>0</v>
      </c>
      <c r="Q4385" s="184" t="n">
        <v>0</v>
      </c>
      <c r="R4385" s="184" t="n">
        <v>0</v>
      </c>
      <c r="S4385" s="183" t="n">
        <v>0</v>
      </c>
      <c r="T4385" s="183" t="n">
        <v>0</v>
      </c>
      <c r="U4385" s="182" t="n">
        <v>0</v>
      </c>
      <c r="V4385" s="182" t="n">
        <v>0</v>
      </c>
      <c r="W4385" s="182" t="n">
        <v>0</v>
      </c>
      <c r="X4385" s="182" t="n">
        <v>0</v>
      </c>
      <c r="Y4385" s="182" t="n">
        <v>0</v>
      </c>
      <c r="Z4385" s="182" t="n">
        <v>0</v>
      </c>
      <c r="AA4385" s="182" t="n">
        <v>0</v>
      </c>
      <c r="AB4385" s="182" t="n">
        <v>0</v>
      </c>
      <c r="AC4385" s="182" t="n">
        <v>0</v>
      </c>
      <c r="AD4385" s="182" t="n">
        <v>0</v>
      </c>
      <c r="AE4385" s="182" t="n">
        <v>0</v>
      </c>
      <c r="AF4385" s="182" t="n">
        <v>0</v>
      </c>
      <c r="AG4385" s="182" t="n">
        <v>0</v>
      </c>
      <c r="AH4385" s="182" t="n">
        <v>0</v>
      </c>
      <c r="AI4385" s="182" t="n">
        <v>0</v>
      </c>
      <c r="AJ4385" s="182" t="n">
        <v>0</v>
      </c>
      <c r="AK4385" s="182" t="n">
        <v>0</v>
      </c>
      <c r="AL4385" s="182" t="n">
        <v>0</v>
      </c>
      <c r="AM4385" s="182" t="n">
        <v>0</v>
      </c>
      <c r="AN4385" s="182" t="n">
        <v>0</v>
      </c>
    </row>
    <row r="4386">
      <c r="A4386" s="155" t="n">
        <v>46101</v>
      </c>
      <c r="B4386" s="156" t="inlineStr">
        <is>
          <t>NS</t>
        </is>
      </c>
      <c r="C4386" s="156" t="inlineStr">
        <is>
          <t>DT-526</t>
        </is>
      </c>
      <c r="D4386" s="156" t="inlineStr">
        <is>
          <t>SKT 105S</t>
        </is>
      </c>
      <c r="E4386" s="156" t="inlineStr">
        <is>
          <t>Hauler</t>
        </is>
      </c>
      <c r="F4386" s="156" t="inlineStr"/>
      <c r="G4386" s="182" t="n">
        <v>0</v>
      </c>
      <c r="H4386" s="182" t="n">
        <v>0</v>
      </c>
      <c r="I4386" s="182" t="n">
        <v>2.58</v>
      </c>
      <c r="J4386" s="182" t="n">
        <v>2.58</v>
      </c>
      <c r="K4386" s="182" t="n">
        <v>9.42</v>
      </c>
      <c r="L4386" s="182" t="n">
        <v>12</v>
      </c>
      <c r="M4386" s="182" t="n">
        <v>0</v>
      </c>
      <c r="N4386" s="182" t="n">
        <v>0</v>
      </c>
      <c r="O4386" s="183" t="n">
        <v>0</v>
      </c>
      <c r="P4386" s="183" t="n">
        <v>0</v>
      </c>
      <c r="Q4386" s="184" t="n">
        <v>0</v>
      </c>
      <c r="R4386" s="184" t="n">
        <v>0</v>
      </c>
      <c r="S4386" s="183" t="n">
        <v>0</v>
      </c>
      <c r="T4386" s="183" t="n">
        <v>0</v>
      </c>
      <c r="U4386" s="182" t="n">
        <v>0</v>
      </c>
      <c r="V4386" s="182" t="n">
        <v>0</v>
      </c>
      <c r="W4386" s="182" t="n">
        <v>0</v>
      </c>
      <c r="X4386" s="182" t="n">
        <v>1</v>
      </c>
      <c r="Y4386" s="182" t="n">
        <v>0</v>
      </c>
      <c r="Z4386" s="182" t="n">
        <v>0</v>
      </c>
      <c r="AA4386" s="182" t="n">
        <v>0</v>
      </c>
      <c r="AB4386" s="182" t="n">
        <v>0</v>
      </c>
      <c r="AC4386" s="182" t="n">
        <v>0</v>
      </c>
      <c r="AD4386" s="182" t="n">
        <v>8.33</v>
      </c>
      <c r="AE4386" s="182" t="n">
        <v>0</v>
      </c>
      <c r="AF4386" s="182" t="n">
        <v>0</v>
      </c>
      <c r="AG4386" s="182" t="n">
        <v>0</v>
      </c>
      <c r="AH4386" s="182" t="n">
        <v>0</v>
      </c>
      <c r="AI4386" s="182" t="n">
        <v>0</v>
      </c>
      <c r="AJ4386" s="182" t="n">
        <v>0</v>
      </c>
      <c r="AK4386" s="182" t="n">
        <v>0</v>
      </c>
      <c r="AL4386" s="182" t="n">
        <v>0</v>
      </c>
      <c r="AM4386" s="182" t="n">
        <v>0.08</v>
      </c>
      <c r="AN4386" s="182" t="n">
        <v>0</v>
      </c>
    </row>
    <row r="4387">
      <c r="A4387" s="155" t="n">
        <v>46101</v>
      </c>
      <c r="B4387" s="156" t="inlineStr">
        <is>
          <t>NS</t>
        </is>
      </c>
      <c r="C4387" s="156" t="inlineStr">
        <is>
          <t>DT-508</t>
        </is>
      </c>
      <c r="D4387" s="156" t="inlineStr">
        <is>
          <t>SKT 105S</t>
        </is>
      </c>
      <c r="E4387" s="156" t="inlineStr">
        <is>
          <t>Hauler</t>
        </is>
      </c>
      <c r="F4387" s="156" t="inlineStr">
        <is>
          <t>Hauling OB</t>
        </is>
      </c>
      <c r="G4387" s="182" t="n">
        <v>10.16</v>
      </c>
      <c r="H4387" s="182" t="n">
        <v>0</v>
      </c>
      <c r="I4387" s="182" t="n">
        <v>0</v>
      </c>
      <c r="J4387" s="182" t="n">
        <v>0</v>
      </c>
      <c r="K4387" s="182" t="n">
        <v>1.84</v>
      </c>
      <c r="L4387" s="182" t="n">
        <v>12</v>
      </c>
      <c r="M4387" s="182" t="n">
        <v>10.16</v>
      </c>
      <c r="N4387" s="182" t="n">
        <v>0</v>
      </c>
      <c r="O4387" s="183" t="n">
        <v>36</v>
      </c>
      <c r="P4387" s="183" t="n">
        <v>0</v>
      </c>
      <c r="Q4387" s="184" t="n">
        <v>734.4</v>
      </c>
      <c r="R4387" s="184" t="n">
        <v>0</v>
      </c>
      <c r="S4387" s="183" t="n">
        <v>0</v>
      </c>
      <c r="T4387" s="183" t="n">
        <v>0</v>
      </c>
      <c r="U4387" s="182" t="n">
        <v>0</v>
      </c>
      <c r="V4387" s="182" t="n">
        <v>0</v>
      </c>
      <c r="W4387" s="182" t="n">
        <v>0</v>
      </c>
      <c r="X4387" s="182" t="n">
        <v>1.23</v>
      </c>
      <c r="Y4387" s="182" t="n">
        <v>0</v>
      </c>
      <c r="Z4387" s="182" t="n">
        <v>0</v>
      </c>
      <c r="AA4387" s="182" t="n">
        <v>0</v>
      </c>
      <c r="AB4387" s="182" t="n">
        <v>0</v>
      </c>
      <c r="AC4387" s="182" t="n">
        <v>0</v>
      </c>
      <c r="AD4387" s="182" t="n">
        <v>0</v>
      </c>
      <c r="AE4387" s="182" t="n">
        <v>0</v>
      </c>
      <c r="AF4387" s="182" t="n">
        <v>0</v>
      </c>
      <c r="AG4387" s="182" t="n">
        <v>0</v>
      </c>
      <c r="AH4387" s="182" t="n">
        <v>0.52</v>
      </c>
      <c r="AI4387" s="182" t="n">
        <v>0</v>
      </c>
      <c r="AJ4387" s="182" t="n">
        <v>0</v>
      </c>
      <c r="AK4387" s="182" t="n">
        <v>0</v>
      </c>
      <c r="AL4387" s="182" t="n">
        <v>0</v>
      </c>
      <c r="AM4387" s="182" t="n">
        <v>0.1</v>
      </c>
      <c r="AN4387" s="182" t="n">
        <v>0</v>
      </c>
    </row>
    <row r="4388">
      <c r="A4388" s="155" t="n">
        <v>46101</v>
      </c>
      <c r="B4388" s="156" t="inlineStr">
        <is>
          <t>NS</t>
        </is>
      </c>
      <c r="C4388" s="156" t="inlineStr">
        <is>
          <t>DT-515</t>
        </is>
      </c>
      <c r="D4388" s="156" t="inlineStr">
        <is>
          <t>SKT 105S</t>
        </is>
      </c>
      <c r="E4388" s="156" t="inlineStr">
        <is>
          <t>Hauler</t>
        </is>
      </c>
      <c r="F4388" s="156" t="inlineStr">
        <is>
          <t>Hauling OB</t>
        </is>
      </c>
      <c r="G4388" s="182" t="n">
        <v>10.36</v>
      </c>
      <c r="H4388" s="182" t="n">
        <v>0</v>
      </c>
      <c r="I4388" s="182" t="n">
        <v>0</v>
      </c>
      <c r="J4388" s="182" t="n">
        <v>0</v>
      </c>
      <c r="K4388" s="182" t="n">
        <v>1.64</v>
      </c>
      <c r="L4388" s="182" t="n">
        <v>12</v>
      </c>
      <c r="M4388" s="182" t="n">
        <v>10.36</v>
      </c>
      <c r="N4388" s="182" t="n">
        <v>0</v>
      </c>
      <c r="O4388" s="183" t="n">
        <v>37</v>
      </c>
      <c r="P4388" s="183" t="n">
        <v>0</v>
      </c>
      <c r="Q4388" s="184" t="n">
        <v>754.8</v>
      </c>
      <c r="R4388" s="184" t="n">
        <v>0</v>
      </c>
      <c r="S4388" s="183" t="n">
        <v>0</v>
      </c>
      <c r="T4388" s="183" t="n">
        <v>0</v>
      </c>
      <c r="U4388" s="182" t="n">
        <v>0</v>
      </c>
      <c r="V4388" s="182" t="n">
        <v>0</v>
      </c>
      <c r="W4388" s="182" t="n">
        <v>0</v>
      </c>
      <c r="X4388" s="182" t="n">
        <v>0.91</v>
      </c>
      <c r="Y4388" s="182" t="n">
        <v>0</v>
      </c>
      <c r="Z4388" s="182" t="n">
        <v>0</v>
      </c>
      <c r="AA4388" s="182" t="n">
        <v>0</v>
      </c>
      <c r="AB4388" s="182" t="n">
        <v>0</v>
      </c>
      <c r="AC4388" s="182" t="n">
        <v>0</v>
      </c>
      <c r="AD4388" s="182" t="n">
        <v>0</v>
      </c>
      <c r="AE4388" s="182" t="n">
        <v>0</v>
      </c>
      <c r="AF4388" s="182" t="n">
        <v>0</v>
      </c>
      <c r="AG4388" s="182" t="n">
        <v>0</v>
      </c>
      <c r="AH4388" s="182" t="n">
        <v>0.66</v>
      </c>
      <c r="AI4388" s="182" t="n">
        <v>0</v>
      </c>
      <c r="AJ4388" s="182" t="n">
        <v>0</v>
      </c>
      <c r="AK4388" s="182" t="n">
        <v>0</v>
      </c>
      <c r="AL4388" s="182" t="n">
        <v>0</v>
      </c>
      <c r="AM4388" s="182" t="n">
        <v>0.07000000000000001</v>
      </c>
      <c r="AN4388" s="182" t="n">
        <v>0</v>
      </c>
    </row>
    <row r="4389">
      <c r="A4389" s="155" t="n">
        <v>46101</v>
      </c>
      <c r="B4389" s="156" t="inlineStr">
        <is>
          <t>NS</t>
        </is>
      </c>
      <c r="C4389" s="156" t="inlineStr">
        <is>
          <t>DT-524</t>
        </is>
      </c>
      <c r="D4389" s="156" t="inlineStr">
        <is>
          <t>SKT 105S</t>
        </is>
      </c>
      <c r="E4389" s="156" t="inlineStr">
        <is>
          <t>Hauler</t>
        </is>
      </c>
      <c r="F4389" s="156" t="inlineStr">
        <is>
          <t>Timesheet Kosong</t>
        </is>
      </c>
      <c r="G4389" s="182" t="n">
        <v>1.28</v>
      </c>
      <c r="H4389" s="182" t="n">
        <v>0</v>
      </c>
      <c r="I4389" s="182" t="n">
        <v>0.25</v>
      </c>
      <c r="J4389" s="182" t="n">
        <v>0.25</v>
      </c>
      <c r="K4389" s="182" t="n">
        <v>10.47</v>
      </c>
      <c r="L4389" s="182" t="n">
        <v>12</v>
      </c>
      <c r="M4389" s="182" t="n">
        <v>0</v>
      </c>
      <c r="N4389" s="182" t="n">
        <v>0</v>
      </c>
      <c r="O4389" s="183" t="n">
        <v>0</v>
      </c>
      <c r="P4389" s="183" t="n">
        <v>0</v>
      </c>
      <c r="Q4389" s="184" t="n">
        <v>0</v>
      </c>
      <c r="R4389" s="184" t="n">
        <v>0</v>
      </c>
      <c r="S4389" s="183" t="n">
        <v>0</v>
      </c>
      <c r="T4389" s="183" t="n">
        <v>0</v>
      </c>
      <c r="U4389" s="182" t="n">
        <v>0</v>
      </c>
      <c r="V4389" s="182" t="n">
        <v>0</v>
      </c>
      <c r="W4389" s="182" t="n">
        <v>0</v>
      </c>
      <c r="X4389" s="182" t="n">
        <v>0.99</v>
      </c>
      <c r="Y4389" s="182" t="n">
        <v>0</v>
      </c>
      <c r="Z4389" s="182" t="n">
        <v>0</v>
      </c>
      <c r="AA4389" s="182" t="n">
        <v>0</v>
      </c>
      <c r="AB4389" s="182" t="n">
        <v>0</v>
      </c>
      <c r="AC4389" s="182" t="n">
        <v>0</v>
      </c>
      <c r="AD4389" s="182" t="n">
        <v>9.4</v>
      </c>
      <c r="AE4389" s="182" t="n">
        <v>0</v>
      </c>
      <c r="AF4389" s="182" t="n">
        <v>0</v>
      </c>
      <c r="AG4389" s="182" t="n">
        <v>0</v>
      </c>
      <c r="AH4389" s="182" t="n">
        <v>0</v>
      </c>
      <c r="AI4389" s="182" t="n">
        <v>0</v>
      </c>
      <c r="AJ4389" s="182" t="n">
        <v>0</v>
      </c>
      <c r="AK4389" s="182" t="n">
        <v>0</v>
      </c>
      <c r="AL4389" s="182" t="n">
        <v>0</v>
      </c>
      <c r="AM4389" s="182" t="n">
        <v>0.08</v>
      </c>
      <c r="AN4389" s="182" t="n">
        <v>0</v>
      </c>
    </row>
    <row r="4390">
      <c r="A4390" s="155" t="n">
        <v>46101</v>
      </c>
      <c r="B4390" s="156" t="inlineStr">
        <is>
          <t>NS</t>
        </is>
      </c>
      <c r="C4390" s="156" t="inlineStr">
        <is>
          <t>DT-341</t>
        </is>
      </c>
      <c r="D4390" s="156" t="inlineStr">
        <is>
          <t>SYZ324C-8W</t>
        </is>
      </c>
      <c r="E4390" s="156" t="inlineStr">
        <is>
          <t>Hauler</t>
        </is>
      </c>
      <c r="F4390" s="156" t="inlineStr">
        <is>
          <t>Rehandling Material di Washing Plant</t>
        </is>
      </c>
      <c r="G4390" s="182" t="n">
        <v>4.3</v>
      </c>
      <c r="H4390" s="182" t="n">
        <v>0</v>
      </c>
      <c r="I4390" s="182" t="n">
        <v>0</v>
      </c>
      <c r="J4390" s="182" t="n">
        <v>0</v>
      </c>
      <c r="K4390" s="182" t="n">
        <v>7.7</v>
      </c>
      <c r="L4390" s="182" t="n">
        <v>12</v>
      </c>
      <c r="M4390" s="182" t="n">
        <v>0</v>
      </c>
      <c r="N4390" s="182" t="n">
        <v>0</v>
      </c>
      <c r="O4390" s="183" t="n">
        <v>0</v>
      </c>
      <c r="P4390" s="183" t="n">
        <v>0</v>
      </c>
      <c r="Q4390" s="184" t="n">
        <v>0</v>
      </c>
      <c r="R4390" s="184" t="n">
        <v>0</v>
      </c>
      <c r="S4390" s="183" t="n">
        <v>0</v>
      </c>
      <c r="T4390" s="183" t="n">
        <v>0</v>
      </c>
      <c r="U4390" s="182" t="n">
        <v>0</v>
      </c>
      <c r="V4390" s="182" t="n">
        <v>0</v>
      </c>
      <c r="W4390" s="182" t="n">
        <v>0</v>
      </c>
      <c r="X4390" s="182" t="n">
        <v>1</v>
      </c>
      <c r="Y4390" s="182" t="n">
        <v>0</v>
      </c>
      <c r="Z4390" s="182" t="n">
        <v>0</v>
      </c>
      <c r="AA4390" s="182" t="n">
        <v>0</v>
      </c>
      <c r="AB4390" s="182" t="n">
        <v>0</v>
      </c>
      <c r="AC4390" s="182" t="n">
        <v>0</v>
      </c>
      <c r="AD4390" s="182" t="n">
        <v>0</v>
      </c>
      <c r="AE4390" s="182" t="n">
        <v>0</v>
      </c>
      <c r="AF4390" s="182" t="n">
        <v>0</v>
      </c>
      <c r="AG4390" s="182" t="n">
        <v>0</v>
      </c>
      <c r="AH4390" s="182" t="n">
        <v>0</v>
      </c>
      <c r="AI4390" s="182" t="n">
        <v>0</v>
      </c>
      <c r="AJ4390" s="182" t="n">
        <v>0</v>
      </c>
      <c r="AK4390" s="182" t="n">
        <v>6.62</v>
      </c>
      <c r="AL4390" s="182" t="n">
        <v>0</v>
      </c>
      <c r="AM4390" s="182" t="n">
        <v>0.08</v>
      </c>
      <c r="AN4390" s="182" t="n">
        <v>0</v>
      </c>
    </row>
    <row r="4391">
      <c r="A4391" s="155" t="n">
        <v>46101</v>
      </c>
      <c r="B4391" s="156" t="inlineStr">
        <is>
          <t>NS</t>
        </is>
      </c>
      <c r="C4391" s="156" t="inlineStr">
        <is>
          <t>DT-342</t>
        </is>
      </c>
      <c r="D4391" s="156" t="inlineStr">
        <is>
          <t>SYZ324C-8W</t>
        </is>
      </c>
      <c r="E4391" s="156" t="inlineStr">
        <is>
          <t>Hauler</t>
        </is>
      </c>
      <c r="F4391" s="156" t="inlineStr">
        <is>
          <t>Rehandling Material di Washing Plant</t>
        </is>
      </c>
      <c r="G4391" s="182" t="n">
        <v>4.6</v>
      </c>
      <c r="H4391" s="182" t="n">
        <v>0</v>
      </c>
      <c r="I4391" s="182" t="n">
        <v>0</v>
      </c>
      <c r="J4391" s="182" t="n">
        <v>0</v>
      </c>
      <c r="K4391" s="182" t="n">
        <v>7.4</v>
      </c>
      <c r="L4391" s="182" t="n">
        <v>12</v>
      </c>
      <c r="M4391" s="182" t="n">
        <v>0</v>
      </c>
      <c r="N4391" s="182" t="n">
        <v>0</v>
      </c>
      <c r="O4391" s="183" t="n">
        <v>0</v>
      </c>
      <c r="P4391" s="183" t="n">
        <v>0</v>
      </c>
      <c r="Q4391" s="184" t="n">
        <v>0</v>
      </c>
      <c r="R4391" s="184" t="n">
        <v>0</v>
      </c>
      <c r="S4391" s="183" t="n">
        <v>0</v>
      </c>
      <c r="T4391" s="183" t="n">
        <v>0</v>
      </c>
      <c r="U4391" s="182" t="n">
        <v>0</v>
      </c>
      <c r="V4391" s="182" t="n">
        <v>0</v>
      </c>
      <c r="W4391" s="182" t="n">
        <v>0</v>
      </c>
      <c r="X4391" s="182" t="n">
        <v>0.96</v>
      </c>
      <c r="Y4391" s="182" t="n">
        <v>0</v>
      </c>
      <c r="Z4391" s="182" t="n">
        <v>0</v>
      </c>
      <c r="AA4391" s="182" t="n">
        <v>0</v>
      </c>
      <c r="AB4391" s="182" t="n">
        <v>0</v>
      </c>
      <c r="AC4391" s="182" t="n">
        <v>0</v>
      </c>
      <c r="AD4391" s="182" t="n">
        <v>0</v>
      </c>
      <c r="AE4391" s="182" t="n">
        <v>0</v>
      </c>
      <c r="AF4391" s="182" t="n">
        <v>0</v>
      </c>
      <c r="AG4391" s="182" t="n">
        <v>0</v>
      </c>
      <c r="AH4391" s="182" t="n">
        <v>0</v>
      </c>
      <c r="AI4391" s="182" t="n">
        <v>0</v>
      </c>
      <c r="AJ4391" s="182" t="n">
        <v>0</v>
      </c>
      <c r="AK4391" s="182" t="n">
        <v>6.36</v>
      </c>
      <c r="AL4391" s="182" t="n">
        <v>0</v>
      </c>
      <c r="AM4391" s="182" t="n">
        <v>0.08</v>
      </c>
      <c r="AN4391" s="182" t="n">
        <v>0</v>
      </c>
    </row>
    <row r="4392">
      <c r="A4392" s="155" t="n">
        <v>46101</v>
      </c>
      <c r="B4392" s="156" t="inlineStr">
        <is>
          <t>NS</t>
        </is>
      </c>
      <c r="C4392" s="156" t="inlineStr">
        <is>
          <t>HD-903</t>
        </is>
      </c>
      <c r="D4392" s="156" t="inlineStr">
        <is>
          <t>SRT 95C</t>
        </is>
      </c>
      <c r="E4392" s="156" t="inlineStr">
        <is>
          <t>Hauler</t>
        </is>
      </c>
      <c r="F4392" s="156" t="inlineStr"/>
      <c r="G4392" s="182" t="n">
        <v>0</v>
      </c>
      <c r="H4392" s="182" t="n">
        <v>0</v>
      </c>
      <c r="I4392" s="182" t="n">
        <v>12</v>
      </c>
      <c r="J4392" s="182" t="n">
        <v>12</v>
      </c>
      <c r="K4392" s="182" t="n">
        <v>0</v>
      </c>
      <c r="L4392" s="182" t="n">
        <v>12</v>
      </c>
      <c r="M4392" s="182" t="n">
        <v>0</v>
      </c>
      <c r="N4392" s="182" t="n">
        <v>0</v>
      </c>
      <c r="O4392" s="183" t="n">
        <v>0</v>
      </c>
      <c r="P4392" s="183" t="n">
        <v>0</v>
      </c>
      <c r="Q4392" s="184" t="n">
        <v>0</v>
      </c>
      <c r="R4392" s="184" t="n">
        <v>0</v>
      </c>
      <c r="S4392" s="183" t="n">
        <v>0</v>
      </c>
      <c r="T4392" s="183" t="n">
        <v>0</v>
      </c>
      <c r="U4392" s="182" t="n">
        <v>0</v>
      </c>
      <c r="V4392" s="182" t="n">
        <v>0</v>
      </c>
      <c r="W4392" s="182" t="n">
        <v>0</v>
      </c>
      <c r="X4392" s="182" t="n">
        <v>0</v>
      </c>
      <c r="Y4392" s="182" t="n">
        <v>0</v>
      </c>
      <c r="Z4392" s="182" t="n">
        <v>0</v>
      </c>
      <c r="AA4392" s="182" t="n">
        <v>0</v>
      </c>
      <c r="AB4392" s="182" t="n">
        <v>0</v>
      </c>
      <c r="AC4392" s="182" t="n">
        <v>0</v>
      </c>
      <c r="AD4392" s="182" t="n">
        <v>0</v>
      </c>
      <c r="AE4392" s="182" t="n">
        <v>0</v>
      </c>
      <c r="AF4392" s="182" t="n">
        <v>0</v>
      </c>
      <c r="AG4392" s="182" t="n">
        <v>0</v>
      </c>
      <c r="AH4392" s="182" t="n">
        <v>0</v>
      </c>
      <c r="AI4392" s="182" t="n">
        <v>0</v>
      </c>
      <c r="AJ4392" s="182" t="n">
        <v>0</v>
      </c>
      <c r="AK4392" s="182" t="n">
        <v>0</v>
      </c>
      <c r="AL4392" s="182" t="n">
        <v>0</v>
      </c>
      <c r="AM4392" s="182" t="n">
        <v>0</v>
      </c>
      <c r="AN4392" s="182" t="n">
        <v>0</v>
      </c>
    </row>
    <row r="4393">
      <c r="A4393" s="155" t="n">
        <v>46101</v>
      </c>
      <c r="B4393" s="156" t="inlineStr">
        <is>
          <t>NS</t>
        </is>
      </c>
      <c r="C4393" s="156" t="inlineStr">
        <is>
          <t>HD-905</t>
        </is>
      </c>
      <c r="D4393" s="156" t="inlineStr">
        <is>
          <t>SRT 95C</t>
        </is>
      </c>
      <c r="E4393" s="156" t="inlineStr">
        <is>
          <t>Hauler</t>
        </is>
      </c>
      <c r="F4393" s="156" t="inlineStr"/>
      <c r="G4393" s="182" t="n">
        <v>0</v>
      </c>
      <c r="H4393" s="182" t="n">
        <v>0</v>
      </c>
      <c r="I4393" s="182" t="n">
        <v>0</v>
      </c>
      <c r="J4393" s="182" t="n">
        <v>0</v>
      </c>
      <c r="K4393" s="182" t="n">
        <v>12</v>
      </c>
      <c r="L4393" s="182" t="n">
        <v>12</v>
      </c>
      <c r="M4393" s="182" t="n">
        <v>0</v>
      </c>
      <c r="N4393" s="182" t="n">
        <v>0</v>
      </c>
      <c r="O4393" s="183" t="n">
        <v>0</v>
      </c>
      <c r="P4393" s="183" t="n">
        <v>0</v>
      </c>
      <c r="Q4393" s="184" t="n">
        <v>0</v>
      </c>
      <c r="R4393" s="184" t="n">
        <v>0</v>
      </c>
      <c r="S4393" s="183" t="n">
        <v>0</v>
      </c>
      <c r="T4393" s="183" t="n">
        <v>0</v>
      </c>
      <c r="U4393" s="182" t="n">
        <v>0</v>
      </c>
      <c r="V4393" s="182" t="n">
        <v>0</v>
      </c>
      <c r="W4393" s="182" t="n">
        <v>0</v>
      </c>
      <c r="X4393" s="182" t="n">
        <v>1</v>
      </c>
      <c r="Y4393" s="182" t="n">
        <v>0</v>
      </c>
      <c r="Z4393" s="182" t="n">
        <v>0</v>
      </c>
      <c r="AA4393" s="182" t="n">
        <v>0</v>
      </c>
      <c r="AB4393" s="182" t="n">
        <v>0</v>
      </c>
      <c r="AC4393" s="182" t="n">
        <v>0</v>
      </c>
      <c r="AD4393" s="182" t="n">
        <v>0</v>
      </c>
      <c r="AE4393" s="182" t="n">
        <v>0</v>
      </c>
      <c r="AF4393" s="182" t="n">
        <v>0</v>
      </c>
      <c r="AG4393" s="182" t="n">
        <v>0</v>
      </c>
      <c r="AH4393" s="182" t="n">
        <v>0</v>
      </c>
      <c r="AI4393" s="182" t="n">
        <v>10.92</v>
      </c>
      <c r="AJ4393" s="182" t="n">
        <v>0</v>
      </c>
      <c r="AK4393" s="182" t="n">
        <v>0</v>
      </c>
      <c r="AL4393" s="182" t="n">
        <v>0</v>
      </c>
      <c r="AM4393" s="182" t="n">
        <v>0.08</v>
      </c>
      <c r="AN4393" s="182" t="n">
        <v>0</v>
      </c>
    </row>
    <row r="4394">
      <c r="A4394" s="155" t="n">
        <v>46101</v>
      </c>
      <c r="B4394" s="156" t="inlineStr">
        <is>
          <t>NS</t>
        </is>
      </c>
      <c r="C4394" s="156" t="inlineStr">
        <is>
          <t>HD-901</t>
        </is>
      </c>
      <c r="D4394" s="156" t="inlineStr">
        <is>
          <t>SRT 95C</t>
        </is>
      </c>
      <c r="E4394" s="156" t="inlineStr">
        <is>
          <t>Hauler</t>
        </is>
      </c>
      <c r="F4394" s="156" t="inlineStr"/>
      <c r="G4394" s="182" t="n">
        <v>0</v>
      </c>
      <c r="H4394" s="182" t="n">
        <v>0</v>
      </c>
      <c r="I4394" s="182" t="n">
        <v>0</v>
      </c>
      <c r="J4394" s="182" t="n">
        <v>0</v>
      </c>
      <c r="K4394" s="182" t="n">
        <v>12</v>
      </c>
      <c r="L4394" s="182" t="n">
        <v>12</v>
      </c>
      <c r="M4394" s="182" t="n">
        <v>0</v>
      </c>
      <c r="N4394" s="182" t="n">
        <v>0</v>
      </c>
      <c r="O4394" s="183" t="n">
        <v>0</v>
      </c>
      <c r="P4394" s="183" t="n">
        <v>0</v>
      </c>
      <c r="Q4394" s="184" t="n">
        <v>0</v>
      </c>
      <c r="R4394" s="184" t="n">
        <v>0</v>
      </c>
      <c r="S4394" s="183" t="n">
        <v>0</v>
      </c>
      <c r="T4394" s="183" t="n">
        <v>0</v>
      </c>
      <c r="U4394" s="182" t="n">
        <v>0</v>
      </c>
      <c r="V4394" s="182" t="n">
        <v>0</v>
      </c>
      <c r="W4394" s="182" t="n">
        <v>0</v>
      </c>
      <c r="X4394" s="182" t="n">
        <v>1</v>
      </c>
      <c r="Y4394" s="182" t="n">
        <v>0</v>
      </c>
      <c r="Z4394" s="182" t="n">
        <v>0</v>
      </c>
      <c r="AA4394" s="182" t="n">
        <v>0</v>
      </c>
      <c r="AB4394" s="182" t="n">
        <v>0</v>
      </c>
      <c r="AC4394" s="182" t="n">
        <v>0</v>
      </c>
      <c r="AD4394" s="182" t="n">
        <v>0</v>
      </c>
      <c r="AE4394" s="182" t="n">
        <v>0</v>
      </c>
      <c r="AF4394" s="182" t="n">
        <v>0</v>
      </c>
      <c r="AG4394" s="182" t="n">
        <v>0</v>
      </c>
      <c r="AH4394" s="182" t="n">
        <v>0</v>
      </c>
      <c r="AI4394" s="182" t="n">
        <v>10.92</v>
      </c>
      <c r="AJ4394" s="182" t="n">
        <v>0</v>
      </c>
      <c r="AK4394" s="182" t="n">
        <v>0</v>
      </c>
      <c r="AL4394" s="182" t="n">
        <v>0</v>
      </c>
      <c r="AM4394" s="182" t="n">
        <v>0.08</v>
      </c>
      <c r="AN4394" s="182" t="n">
        <v>0</v>
      </c>
    </row>
    <row r="4395">
      <c r="A4395" s="155" t="n">
        <v>46101</v>
      </c>
      <c r="B4395" s="156" t="inlineStr">
        <is>
          <t>NS</t>
        </is>
      </c>
      <c r="C4395" s="156" t="inlineStr">
        <is>
          <t>HD-904</t>
        </is>
      </c>
      <c r="D4395" s="156" t="inlineStr">
        <is>
          <t>SRT 95C</t>
        </is>
      </c>
      <c r="E4395" s="156" t="inlineStr">
        <is>
          <t>Hauler</t>
        </is>
      </c>
      <c r="F4395" s="156" t="inlineStr"/>
      <c r="G4395" s="182" t="n">
        <v>0</v>
      </c>
      <c r="H4395" s="182" t="n">
        <v>0</v>
      </c>
      <c r="I4395" s="182" t="n">
        <v>0</v>
      </c>
      <c r="J4395" s="182" t="n">
        <v>0</v>
      </c>
      <c r="K4395" s="182" t="n">
        <v>12</v>
      </c>
      <c r="L4395" s="182" t="n">
        <v>12</v>
      </c>
      <c r="M4395" s="182" t="n">
        <v>0</v>
      </c>
      <c r="N4395" s="182" t="n">
        <v>0</v>
      </c>
      <c r="O4395" s="183" t="n">
        <v>0</v>
      </c>
      <c r="P4395" s="183" t="n">
        <v>0</v>
      </c>
      <c r="Q4395" s="184" t="n">
        <v>0</v>
      </c>
      <c r="R4395" s="184" t="n">
        <v>0</v>
      </c>
      <c r="S4395" s="183" t="n">
        <v>0</v>
      </c>
      <c r="T4395" s="183" t="n">
        <v>0</v>
      </c>
      <c r="U4395" s="182" t="n">
        <v>0</v>
      </c>
      <c r="V4395" s="182" t="n">
        <v>0</v>
      </c>
      <c r="W4395" s="182" t="n">
        <v>0</v>
      </c>
      <c r="X4395" s="182" t="n">
        <v>1</v>
      </c>
      <c r="Y4395" s="182" t="n">
        <v>0</v>
      </c>
      <c r="Z4395" s="182" t="n">
        <v>0</v>
      </c>
      <c r="AA4395" s="182" t="n">
        <v>0</v>
      </c>
      <c r="AB4395" s="182" t="n">
        <v>0</v>
      </c>
      <c r="AC4395" s="182" t="n">
        <v>0</v>
      </c>
      <c r="AD4395" s="182" t="n">
        <v>0</v>
      </c>
      <c r="AE4395" s="182" t="n">
        <v>0</v>
      </c>
      <c r="AF4395" s="182" t="n">
        <v>0</v>
      </c>
      <c r="AG4395" s="182" t="n">
        <v>0</v>
      </c>
      <c r="AH4395" s="182" t="n">
        <v>0</v>
      </c>
      <c r="AI4395" s="182" t="n">
        <v>10.92</v>
      </c>
      <c r="AJ4395" s="182" t="n">
        <v>0</v>
      </c>
      <c r="AK4395" s="182" t="n">
        <v>0</v>
      </c>
      <c r="AL4395" s="182" t="n">
        <v>0</v>
      </c>
      <c r="AM4395" s="182" t="n">
        <v>0.08</v>
      </c>
      <c r="AN4395" s="182" t="n">
        <v>0</v>
      </c>
    </row>
    <row r="4396">
      <c r="A4396" s="155" t="n">
        <v>46101</v>
      </c>
      <c r="B4396" s="156" t="inlineStr">
        <is>
          <t>NS</t>
        </is>
      </c>
      <c r="C4396" s="156" t="inlineStr">
        <is>
          <t>HD-902</t>
        </is>
      </c>
      <c r="D4396" s="156" t="inlineStr">
        <is>
          <t>SRT 95C</t>
        </is>
      </c>
      <c r="E4396" s="156" t="inlineStr">
        <is>
          <t>Hauler</t>
        </is>
      </c>
      <c r="F4396" s="156" t="inlineStr"/>
      <c r="G4396" s="182" t="n">
        <v>0</v>
      </c>
      <c r="H4396" s="182" t="n">
        <v>0</v>
      </c>
      <c r="I4396" s="182" t="n">
        <v>0</v>
      </c>
      <c r="J4396" s="182" t="n">
        <v>0</v>
      </c>
      <c r="K4396" s="182" t="n">
        <v>12</v>
      </c>
      <c r="L4396" s="182" t="n">
        <v>12</v>
      </c>
      <c r="M4396" s="182" t="n">
        <v>0</v>
      </c>
      <c r="N4396" s="182" t="n">
        <v>0</v>
      </c>
      <c r="O4396" s="183" t="n">
        <v>0</v>
      </c>
      <c r="P4396" s="183" t="n">
        <v>0</v>
      </c>
      <c r="Q4396" s="184" t="n">
        <v>0</v>
      </c>
      <c r="R4396" s="184" t="n">
        <v>0</v>
      </c>
      <c r="S4396" s="183" t="n">
        <v>0</v>
      </c>
      <c r="T4396" s="183" t="n">
        <v>0</v>
      </c>
      <c r="U4396" s="182" t="n">
        <v>0</v>
      </c>
      <c r="V4396" s="182" t="n">
        <v>0</v>
      </c>
      <c r="W4396" s="182" t="n">
        <v>0</v>
      </c>
      <c r="X4396" s="182" t="n">
        <v>1</v>
      </c>
      <c r="Y4396" s="182" t="n">
        <v>0</v>
      </c>
      <c r="Z4396" s="182" t="n">
        <v>0</v>
      </c>
      <c r="AA4396" s="182" t="n">
        <v>0</v>
      </c>
      <c r="AB4396" s="182" t="n">
        <v>0</v>
      </c>
      <c r="AC4396" s="182" t="n">
        <v>0</v>
      </c>
      <c r="AD4396" s="182" t="n">
        <v>0</v>
      </c>
      <c r="AE4396" s="182" t="n">
        <v>0</v>
      </c>
      <c r="AF4396" s="182" t="n">
        <v>0</v>
      </c>
      <c r="AG4396" s="182" t="n">
        <v>0</v>
      </c>
      <c r="AH4396" s="182" t="n">
        <v>0</v>
      </c>
      <c r="AI4396" s="182" t="n">
        <v>10.92</v>
      </c>
      <c r="AJ4396" s="182" t="n">
        <v>0</v>
      </c>
      <c r="AK4396" s="182" t="n">
        <v>0</v>
      </c>
      <c r="AL4396" s="182" t="n">
        <v>0</v>
      </c>
      <c r="AM4396" s="182" t="n">
        <v>0.08</v>
      </c>
      <c r="AN4396" s="182" t="n">
        <v>0</v>
      </c>
    </row>
    <row r="4397">
      <c r="A4397" s="155" t="n">
        <v>46101</v>
      </c>
      <c r="B4397" s="156" t="inlineStr">
        <is>
          <t>NS</t>
        </is>
      </c>
      <c r="C4397" s="156" t="inlineStr">
        <is>
          <t>WL-025</t>
        </is>
      </c>
      <c r="D4397" s="156" t="inlineStr">
        <is>
          <t>SANY - Loader</t>
        </is>
      </c>
      <c r="E4397" s="156" t="inlineStr">
        <is>
          <t>Loader</t>
        </is>
      </c>
      <c r="F4397" s="156" t="inlineStr">
        <is>
          <t>Support Jetty</t>
        </is>
      </c>
      <c r="G4397" s="182" t="n">
        <v>4.21</v>
      </c>
      <c r="H4397" s="182" t="n">
        <v>0</v>
      </c>
      <c r="I4397" s="182" t="n">
        <v>4.4</v>
      </c>
      <c r="J4397" s="182" t="n">
        <v>4.4</v>
      </c>
      <c r="K4397" s="182" t="n">
        <v>3.39</v>
      </c>
      <c r="L4397" s="182" t="n">
        <v>12</v>
      </c>
      <c r="M4397" s="182" t="n">
        <v>0</v>
      </c>
      <c r="N4397" s="182" t="n">
        <v>0</v>
      </c>
      <c r="O4397" s="183" t="n">
        <v>0</v>
      </c>
      <c r="P4397" s="183" t="n">
        <v>0</v>
      </c>
      <c r="Q4397" s="184" t="n">
        <v>0</v>
      </c>
      <c r="R4397" s="184" t="n">
        <v>0</v>
      </c>
      <c r="S4397" s="183" t="n">
        <v>0</v>
      </c>
      <c r="T4397" s="183" t="n">
        <v>0</v>
      </c>
      <c r="U4397" s="182" t="n">
        <v>0</v>
      </c>
      <c r="V4397" s="182" t="n">
        <v>0</v>
      </c>
      <c r="W4397" s="182" t="n">
        <v>0</v>
      </c>
      <c r="X4397" s="182" t="n">
        <v>0.9399999999999999</v>
      </c>
      <c r="Y4397" s="182" t="n">
        <v>0</v>
      </c>
      <c r="Z4397" s="182" t="n">
        <v>0</v>
      </c>
      <c r="AA4397" s="182" t="n">
        <v>0</v>
      </c>
      <c r="AB4397" s="182" t="n">
        <v>0</v>
      </c>
      <c r="AC4397" s="182" t="n">
        <v>0</v>
      </c>
      <c r="AD4397" s="182" t="n">
        <v>0</v>
      </c>
      <c r="AE4397" s="182" t="n">
        <v>0</v>
      </c>
      <c r="AF4397" s="182" t="n">
        <v>0</v>
      </c>
      <c r="AG4397" s="182" t="n">
        <v>0</v>
      </c>
      <c r="AH4397" s="182" t="n">
        <v>0</v>
      </c>
      <c r="AI4397" s="182" t="n">
        <v>0</v>
      </c>
      <c r="AJ4397" s="182" t="n">
        <v>0</v>
      </c>
      <c r="AK4397" s="182" t="n">
        <v>2.37</v>
      </c>
      <c r="AL4397" s="182" t="n">
        <v>0</v>
      </c>
      <c r="AM4397" s="182" t="n">
        <v>0.08</v>
      </c>
      <c r="AN4397" s="182" t="n">
        <v>0</v>
      </c>
    </row>
    <row r="4398">
      <c r="A4398" s="155" t="n">
        <v>46101</v>
      </c>
      <c r="B4398" s="156" t="inlineStr">
        <is>
          <t>NS</t>
        </is>
      </c>
      <c r="C4398" s="156" t="inlineStr">
        <is>
          <t>WL-023</t>
        </is>
      </c>
      <c r="D4398" s="156" t="inlineStr">
        <is>
          <t>SANY - Loader</t>
        </is>
      </c>
      <c r="E4398" s="156" t="inlineStr">
        <is>
          <t>Loader</t>
        </is>
      </c>
      <c r="F4398" s="156" t="inlineStr"/>
      <c r="G4398" s="182" t="n">
        <v>0</v>
      </c>
      <c r="H4398" s="182" t="n">
        <v>0</v>
      </c>
      <c r="I4398" s="182" t="n">
        <v>0</v>
      </c>
      <c r="J4398" s="182" t="n">
        <v>0</v>
      </c>
      <c r="K4398" s="182" t="n">
        <v>12</v>
      </c>
      <c r="L4398" s="182" t="n">
        <v>12</v>
      </c>
      <c r="M4398" s="182" t="n">
        <v>0</v>
      </c>
      <c r="N4398" s="182" t="n">
        <v>0</v>
      </c>
      <c r="O4398" s="183" t="n">
        <v>0</v>
      </c>
      <c r="P4398" s="183" t="n">
        <v>0</v>
      </c>
      <c r="Q4398" s="184" t="n">
        <v>0</v>
      </c>
      <c r="R4398" s="184" t="n">
        <v>0</v>
      </c>
      <c r="S4398" s="183" t="n">
        <v>0</v>
      </c>
      <c r="T4398" s="183" t="n">
        <v>0</v>
      </c>
      <c r="U4398" s="182" t="n">
        <v>0</v>
      </c>
      <c r="V4398" s="182" t="n">
        <v>0</v>
      </c>
      <c r="W4398" s="182" t="n">
        <v>0</v>
      </c>
      <c r="X4398" s="182" t="n">
        <v>1</v>
      </c>
      <c r="Y4398" s="182" t="n">
        <v>0</v>
      </c>
      <c r="Z4398" s="182" t="n">
        <v>0</v>
      </c>
      <c r="AA4398" s="182" t="n">
        <v>0</v>
      </c>
      <c r="AB4398" s="182" t="n">
        <v>0</v>
      </c>
      <c r="AC4398" s="182" t="n">
        <v>0</v>
      </c>
      <c r="AD4398" s="182" t="n">
        <v>0</v>
      </c>
      <c r="AE4398" s="182" t="n">
        <v>0</v>
      </c>
      <c r="AF4398" s="182" t="n">
        <v>0</v>
      </c>
      <c r="AG4398" s="182" t="n">
        <v>0</v>
      </c>
      <c r="AH4398" s="182" t="n">
        <v>0</v>
      </c>
      <c r="AI4398" s="182" t="n">
        <v>0</v>
      </c>
      <c r="AJ4398" s="182" t="n">
        <v>0</v>
      </c>
      <c r="AK4398" s="182" t="n">
        <v>10.92</v>
      </c>
      <c r="AL4398" s="182" t="n">
        <v>0</v>
      </c>
      <c r="AM4398" s="182" t="n">
        <v>0.08</v>
      </c>
      <c r="AN4398" s="182" t="n">
        <v>0</v>
      </c>
    </row>
    <row r="4399">
      <c r="A4399" s="155" t="n">
        <v>46101</v>
      </c>
      <c r="B4399" s="156" t="inlineStr">
        <is>
          <t>NS</t>
        </is>
      </c>
      <c r="C4399" s="156" t="inlineStr">
        <is>
          <t>WL-021</t>
        </is>
      </c>
      <c r="D4399" s="156" t="inlineStr">
        <is>
          <t>SANY - Loader</t>
        </is>
      </c>
      <c r="E4399" s="156" t="inlineStr">
        <is>
          <t>Loader</t>
        </is>
      </c>
      <c r="F4399" s="156" t="inlineStr"/>
      <c r="G4399" s="182" t="n">
        <v>0</v>
      </c>
      <c r="H4399" s="182" t="n">
        <v>0</v>
      </c>
      <c r="I4399" s="182" t="n">
        <v>12</v>
      </c>
      <c r="J4399" s="182" t="n">
        <v>12</v>
      </c>
      <c r="K4399" s="182" t="n">
        <v>0</v>
      </c>
      <c r="L4399" s="182" t="n">
        <v>12</v>
      </c>
      <c r="M4399" s="182" t="n">
        <v>0</v>
      </c>
      <c r="N4399" s="182" t="n">
        <v>0</v>
      </c>
      <c r="O4399" s="183" t="n">
        <v>0</v>
      </c>
      <c r="P4399" s="183" t="n">
        <v>0</v>
      </c>
      <c r="Q4399" s="184" t="n">
        <v>0</v>
      </c>
      <c r="R4399" s="184" t="n">
        <v>0</v>
      </c>
      <c r="S4399" s="183" t="n">
        <v>0</v>
      </c>
      <c r="T4399" s="183" t="n">
        <v>0</v>
      </c>
      <c r="U4399" s="182" t="n">
        <v>0</v>
      </c>
      <c r="V4399" s="182" t="n">
        <v>0</v>
      </c>
      <c r="W4399" s="182" t="n">
        <v>0</v>
      </c>
      <c r="X4399" s="182" t="n">
        <v>0</v>
      </c>
      <c r="Y4399" s="182" t="n">
        <v>0</v>
      </c>
      <c r="Z4399" s="182" t="n">
        <v>0</v>
      </c>
      <c r="AA4399" s="182" t="n">
        <v>0</v>
      </c>
      <c r="AB4399" s="182" t="n">
        <v>0</v>
      </c>
      <c r="AC4399" s="182" t="n">
        <v>0</v>
      </c>
      <c r="AD4399" s="182" t="n">
        <v>0</v>
      </c>
      <c r="AE4399" s="182" t="n">
        <v>0</v>
      </c>
      <c r="AF4399" s="182" t="n">
        <v>0</v>
      </c>
      <c r="AG4399" s="182" t="n">
        <v>0</v>
      </c>
      <c r="AH4399" s="182" t="n">
        <v>0</v>
      </c>
      <c r="AI4399" s="182" t="n">
        <v>0</v>
      </c>
      <c r="AJ4399" s="182" t="n">
        <v>0</v>
      </c>
      <c r="AK4399" s="182" t="n">
        <v>0</v>
      </c>
      <c r="AL4399" s="182" t="n">
        <v>0</v>
      </c>
      <c r="AM4399" s="182" t="n">
        <v>0</v>
      </c>
      <c r="AN4399" s="182" t="n">
        <v>0</v>
      </c>
    </row>
    <row r="4400">
      <c r="A4400" s="155" t="n">
        <v>46101</v>
      </c>
      <c r="B4400" s="156" t="inlineStr">
        <is>
          <t>NS</t>
        </is>
      </c>
      <c r="C4400" s="156" t="inlineStr">
        <is>
          <t>WL-022</t>
        </is>
      </c>
      <c r="D4400" s="156" t="inlineStr">
        <is>
          <t>SANY - Loader</t>
        </is>
      </c>
      <c r="E4400" s="156" t="inlineStr">
        <is>
          <t>Loader</t>
        </is>
      </c>
      <c r="F4400" s="156" t="inlineStr">
        <is>
          <t>Support Washing Plant</t>
        </is>
      </c>
      <c r="G4400" s="182" t="n">
        <v>10.39</v>
      </c>
      <c r="H4400" s="182" t="n">
        <v>0</v>
      </c>
      <c r="I4400" s="182" t="n">
        <v>0.17</v>
      </c>
      <c r="J4400" s="182" t="n">
        <v>0.17</v>
      </c>
      <c r="K4400" s="182" t="n">
        <v>1.44</v>
      </c>
      <c r="L4400" s="182" t="n">
        <v>12</v>
      </c>
      <c r="M4400" s="182" t="n">
        <v>0</v>
      </c>
      <c r="N4400" s="182" t="n">
        <v>0</v>
      </c>
      <c r="O4400" s="183" t="n">
        <v>0</v>
      </c>
      <c r="P4400" s="183" t="n">
        <v>0</v>
      </c>
      <c r="Q4400" s="184" t="n">
        <v>0</v>
      </c>
      <c r="R4400" s="184" t="n">
        <v>0</v>
      </c>
      <c r="S4400" s="183" t="n">
        <v>0</v>
      </c>
      <c r="T4400" s="183" t="n">
        <v>0</v>
      </c>
      <c r="U4400" s="182" t="n">
        <v>0</v>
      </c>
      <c r="V4400" s="182" t="n">
        <v>0</v>
      </c>
      <c r="W4400" s="182" t="n">
        <v>0</v>
      </c>
      <c r="X4400" s="182" t="n">
        <v>1.08</v>
      </c>
      <c r="Y4400" s="182" t="n">
        <v>0</v>
      </c>
      <c r="Z4400" s="182" t="n">
        <v>0</v>
      </c>
      <c r="AA4400" s="182" t="n">
        <v>0</v>
      </c>
      <c r="AB4400" s="182" t="n">
        <v>0</v>
      </c>
      <c r="AC4400" s="182" t="n">
        <v>0</v>
      </c>
      <c r="AD4400" s="182" t="n">
        <v>0</v>
      </c>
      <c r="AE4400" s="182" t="n">
        <v>0</v>
      </c>
      <c r="AF4400" s="182" t="n">
        <v>0</v>
      </c>
      <c r="AG4400" s="182" t="n">
        <v>0</v>
      </c>
      <c r="AH4400" s="182" t="n">
        <v>0.27</v>
      </c>
      <c r="AI4400" s="182" t="n">
        <v>0</v>
      </c>
      <c r="AJ4400" s="182" t="n">
        <v>0</v>
      </c>
      <c r="AK4400" s="182" t="n">
        <v>0</v>
      </c>
      <c r="AL4400" s="182" t="n">
        <v>0</v>
      </c>
      <c r="AM4400" s="182" t="n">
        <v>0.09</v>
      </c>
      <c r="AN4400" s="182" t="n">
        <v>0</v>
      </c>
    </row>
    <row r="4401">
      <c r="A4401" s="155" t="n">
        <v>46101</v>
      </c>
      <c r="B4401" s="156" t="inlineStr">
        <is>
          <t>NS</t>
        </is>
      </c>
      <c r="C4401" s="156" t="inlineStr">
        <is>
          <t>WL-024</t>
        </is>
      </c>
      <c r="D4401" s="156" t="inlineStr">
        <is>
          <t>SANY - Loader</t>
        </is>
      </c>
      <c r="E4401" s="156" t="inlineStr">
        <is>
          <t>Loader</t>
        </is>
      </c>
      <c r="F4401" s="156" t="inlineStr">
        <is>
          <t>Support Washing Plant</t>
        </is>
      </c>
      <c r="G4401" s="182" t="n">
        <v>11.71</v>
      </c>
      <c r="H4401" s="182" t="n">
        <v>0</v>
      </c>
      <c r="I4401" s="182" t="n">
        <v>0.17</v>
      </c>
      <c r="J4401" s="182" t="n">
        <v>0.17</v>
      </c>
      <c r="K4401" s="182" t="n">
        <v>0.12</v>
      </c>
      <c r="L4401" s="182" t="n">
        <v>12</v>
      </c>
      <c r="M4401" s="182" t="n">
        <v>0</v>
      </c>
      <c r="N4401" s="182" t="n">
        <v>0</v>
      </c>
      <c r="O4401" s="183" t="n">
        <v>0</v>
      </c>
      <c r="P4401" s="183" t="n">
        <v>0</v>
      </c>
      <c r="Q4401" s="184" t="n">
        <v>0</v>
      </c>
      <c r="R4401" s="184" t="n">
        <v>0</v>
      </c>
      <c r="S4401" s="183" t="n">
        <v>0</v>
      </c>
      <c r="T4401" s="183" t="n">
        <v>0</v>
      </c>
      <c r="U4401" s="182" t="n">
        <v>0</v>
      </c>
      <c r="V4401" s="182" t="n">
        <v>0</v>
      </c>
      <c r="W4401" s="182" t="n">
        <v>0</v>
      </c>
      <c r="X4401" s="182" t="n">
        <v>0</v>
      </c>
      <c r="Y4401" s="182" t="n">
        <v>0</v>
      </c>
      <c r="Z4401" s="182" t="n">
        <v>0</v>
      </c>
      <c r="AA4401" s="182" t="n">
        <v>0</v>
      </c>
      <c r="AB4401" s="182" t="n">
        <v>0</v>
      </c>
      <c r="AC4401" s="182" t="n">
        <v>0</v>
      </c>
      <c r="AD4401" s="182" t="n">
        <v>0</v>
      </c>
      <c r="AE4401" s="182" t="n">
        <v>0</v>
      </c>
      <c r="AF4401" s="182" t="n">
        <v>0</v>
      </c>
      <c r="AG4401" s="182" t="n">
        <v>0</v>
      </c>
      <c r="AH4401" s="182" t="n">
        <v>0</v>
      </c>
      <c r="AI4401" s="182" t="n">
        <v>0</v>
      </c>
      <c r="AJ4401" s="182" t="n">
        <v>0</v>
      </c>
      <c r="AK4401" s="182" t="n">
        <v>0</v>
      </c>
      <c r="AL4401" s="182" t="n">
        <v>0</v>
      </c>
      <c r="AM4401" s="182" t="n">
        <v>0.12</v>
      </c>
      <c r="AN4401" s="182" t="n">
        <v>0</v>
      </c>
    </row>
    <row r="4402">
      <c r="A4402" s="155" t="n">
        <v>46102</v>
      </c>
      <c r="B4402" s="156" t="inlineStr">
        <is>
          <t>DS</t>
        </is>
      </c>
      <c r="C4402" s="156" t="inlineStr">
        <is>
          <t>DZ-034</t>
        </is>
      </c>
      <c r="D4402" s="156" t="inlineStr">
        <is>
          <t>D 68ESS-12EO</t>
        </is>
      </c>
      <c r="E4402" s="156" t="inlineStr">
        <is>
          <t>Bulldozer</t>
        </is>
      </c>
      <c r="F4402" s="156" t="inlineStr"/>
      <c r="G4402" s="182" t="n">
        <v>0</v>
      </c>
      <c r="H4402" s="182" t="n">
        <v>0</v>
      </c>
      <c r="I4402" s="182" t="n">
        <v>12</v>
      </c>
      <c r="J4402" s="182" t="n">
        <v>12</v>
      </c>
      <c r="K4402" s="182" t="n">
        <v>0</v>
      </c>
      <c r="L4402" s="182" t="n">
        <v>12</v>
      </c>
      <c r="M4402" s="182" t="n">
        <v>0</v>
      </c>
      <c r="N4402" s="182" t="n">
        <v>0</v>
      </c>
      <c r="O4402" s="183" t="n">
        <v>0</v>
      </c>
      <c r="P4402" s="183" t="n">
        <v>0</v>
      </c>
      <c r="Q4402" s="184" t="n">
        <v>0</v>
      </c>
      <c r="R4402" s="184" t="n">
        <v>0</v>
      </c>
      <c r="S4402" s="183" t="n">
        <v>0</v>
      </c>
      <c r="T4402" s="183" t="n">
        <v>0</v>
      </c>
      <c r="U4402" s="182" t="n">
        <v>0</v>
      </c>
      <c r="V4402" s="182" t="n">
        <v>0</v>
      </c>
      <c r="W4402" s="182" t="n">
        <v>0</v>
      </c>
      <c r="X4402" s="182" t="n">
        <v>0</v>
      </c>
      <c r="Y4402" s="182" t="n">
        <v>0</v>
      </c>
      <c r="Z4402" s="182" t="n">
        <v>0</v>
      </c>
      <c r="AA4402" s="182" t="n">
        <v>0</v>
      </c>
      <c r="AB4402" s="182" t="n">
        <v>0</v>
      </c>
      <c r="AC4402" s="182" t="n">
        <v>0</v>
      </c>
      <c r="AD4402" s="182" t="n">
        <v>0</v>
      </c>
      <c r="AE4402" s="182" t="n">
        <v>0</v>
      </c>
      <c r="AF4402" s="182" t="n">
        <v>0</v>
      </c>
      <c r="AG4402" s="182" t="n">
        <v>0</v>
      </c>
      <c r="AH4402" s="182" t="n">
        <v>0</v>
      </c>
      <c r="AI4402" s="182" t="n">
        <v>0</v>
      </c>
      <c r="AJ4402" s="182" t="n">
        <v>0</v>
      </c>
      <c r="AK4402" s="182" t="n">
        <v>0</v>
      </c>
      <c r="AL4402" s="182" t="n">
        <v>0</v>
      </c>
      <c r="AM4402" s="182" t="n">
        <v>0</v>
      </c>
      <c r="AN4402" s="182" t="n">
        <v>0</v>
      </c>
    </row>
    <row r="4403">
      <c r="A4403" s="155" t="n">
        <v>46102</v>
      </c>
      <c r="B4403" s="156" t="inlineStr">
        <is>
          <t>DS</t>
        </is>
      </c>
      <c r="C4403" s="156" t="inlineStr">
        <is>
          <t>DZ-033</t>
        </is>
      </c>
      <c r="D4403" s="156" t="inlineStr">
        <is>
          <t>D 375A-6R</t>
        </is>
      </c>
      <c r="E4403" s="156" t="inlineStr">
        <is>
          <t>Bulldozer</t>
        </is>
      </c>
      <c r="F4403" s="156" t="inlineStr">
        <is>
          <t>Support Disposal</t>
        </is>
      </c>
      <c r="G4403" s="182" t="n">
        <v>9.32</v>
      </c>
      <c r="H4403" s="182" t="n">
        <v>0</v>
      </c>
      <c r="I4403" s="182" t="n">
        <v>0.58</v>
      </c>
      <c r="J4403" s="182" t="n">
        <v>0.58</v>
      </c>
      <c r="K4403" s="182" t="n">
        <v>2.1</v>
      </c>
      <c r="L4403" s="182" t="n">
        <v>12</v>
      </c>
      <c r="M4403" s="182" t="n">
        <v>0</v>
      </c>
      <c r="N4403" s="182" t="n">
        <v>0</v>
      </c>
      <c r="O4403" s="183" t="n">
        <v>0</v>
      </c>
      <c r="P4403" s="183" t="n">
        <v>0</v>
      </c>
      <c r="Q4403" s="184" t="n">
        <v>0</v>
      </c>
      <c r="R4403" s="184" t="n">
        <v>0</v>
      </c>
      <c r="S4403" s="183" t="n">
        <v>0</v>
      </c>
      <c r="T4403" s="183" t="n">
        <v>0</v>
      </c>
      <c r="U4403" s="182" t="n">
        <v>0</v>
      </c>
      <c r="V4403" s="182" t="n">
        <v>0</v>
      </c>
      <c r="W4403" s="182" t="n">
        <v>0</v>
      </c>
      <c r="X4403" s="182" t="n">
        <v>0.87</v>
      </c>
      <c r="Y4403" s="182" t="n">
        <v>0</v>
      </c>
      <c r="Z4403" s="182" t="n">
        <v>0</v>
      </c>
      <c r="AA4403" s="182" t="n">
        <v>0</v>
      </c>
      <c r="AB4403" s="182" t="n">
        <v>0</v>
      </c>
      <c r="AC4403" s="182" t="n">
        <v>0</v>
      </c>
      <c r="AD4403" s="182" t="n">
        <v>0</v>
      </c>
      <c r="AE4403" s="182" t="n">
        <v>0</v>
      </c>
      <c r="AF4403" s="182" t="n">
        <v>0</v>
      </c>
      <c r="AG4403" s="182" t="n">
        <v>0</v>
      </c>
      <c r="AH4403" s="182" t="n">
        <v>0</v>
      </c>
      <c r="AI4403" s="182" t="n">
        <v>0</v>
      </c>
      <c r="AJ4403" s="182" t="n">
        <v>0</v>
      </c>
      <c r="AK4403" s="182" t="n">
        <v>1.15</v>
      </c>
      <c r="AL4403" s="182" t="n">
        <v>0</v>
      </c>
      <c r="AM4403" s="182" t="n">
        <v>0.07000000000000001</v>
      </c>
      <c r="AN4403" s="182" t="n">
        <v>0</v>
      </c>
    </row>
    <row r="4404">
      <c r="A4404" s="155" t="n">
        <v>46102</v>
      </c>
      <c r="B4404" s="156" t="inlineStr">
        <is>
          <t>DS</t>
        </is>
      </c>
      <c r="C4404" s="156" t="inlineStr">
        <is>
          <t>DZ-038</t>
        </is>
      </c>
      <c r="D4404" s="156" t="inlineStr">
        <is>
          <t>D 85 ESS-2</t>
        </is>
      </c>
      <c r="E4404" s="156" t="inlineStr">
        <is>
          <t>Bulldozer</t>
        </is>
      </c>
      <c r="F4404" s="156" t="inlineStr"/>
      <c r="G4404" s="182" t="n">
        <v>0</v>
      </c>
      <c r="H4404" s="182" t="n">
        <v>0</v>
      </c>
      <c r="I4404" s="182" t="n">
        <v>12</v>
      </c>
      <c r="J4404" s="182" t="n">
        <v>12</v>
      </c>
      <c r="K4404" s="182" t="n">
        <v>0</v>
      </c>
      <c r="L4404" s="182" t="n">
        <v>12</v>
      </c>
      <c r="M4404" s="182" t="n">
        <v>0</v>
      </c>
      <c r="N4404" s="182" t="n">
        <v>0</v>
      </c>
      <c r="O4404" s="183" t="n">
        <v>0</v>
      </c>
      <c r="P4404" s="183" t="n">
        <v>0</v>
      </c>
      <c r="Q4404" s="184" t="n">
        <v>0</v>
      </c>
      <c r="R4404" s="184" t="n">
        <v>0</v>
      </c>
      <c r="S4404" s="183" t="n">
        <v>0</v>
      </c>
      <c r="T4404" s="183" t="n">
        <v>0</v>
      </c>
      <c r="U4404" s="182" t="n">
        <v>0</v>
      </c>
      <c r="V4404" s="182" t="n">
        <v>0</v>
      </c>
      <c r="W4404" s="182" t="n">
        <v>0</v>
      </c>
      <c r="X4404" s="182" t="n">
        <v>0</v>
      </c>
      <c r="Y4404" s="182" t="n">
        <v>0</v>
      </c>
      <c r="Z4404" s="182" t="n">
        <v>0</v>
      </c>
      <c r="AA4404" s="182" t="n">
        <v>0</v>
      </c>
      <c r="AB4404" s="182" t="n">
        <v>0</v>
      </c>
      <c r="AC4404" s="182" t="n">
        <v>0</v>
      </c>
      <c r="AD4404" s="182" t="n">
        <v>0</v>
      </c>
      <c r="AE4404" s="182" t="n">
        <v>0</v>
      </c>
      <c r="AF4404" s="182" t="n">
        <v>0</v>
      </c>
      <c r="AG4404" s="182" t="n">
        <v>0</v>
      </c>
      <c r="AH4404" s="182" t="n">
        <v>0</v>
      </c>
      <c r="AI4404" s="182" t="n">
        <v>0</v>
      </c>
      <c r="AJ4404" s="182" t="n">
        <v>0</v>
      </c>
      <c r="AK4404" s="182" t="n">
        <v>0</v>
      </c>
      <c r="AL4404" s="182" t="n">
        <v>0</v>
      </c>
      <c r="AM4404" s="182" t="n">
        <v>0</v>
      </c>
      <c r="AN4404" s="182" t="n">
        <v>0</v>
      </c>
    </row>
    <row r="4405">
      <c r="A4405" s="155" t="n">
        <v>46102</v>
      </c>
      <c r="B4405" s="156" t="inlineStr">
        <is>
          <t>DS</t>
        </is>
      </c>
      <c r="C4405" s="156" t="inlineStr">
        <is>
          <t>DZ-039</t>
        </is>
      </c>
      <c r="D4405" s="156" t="inlineStr">
        <is>
          <t>D 85 ESS-2</t>
        </is>
      </c>
      <c r="E4405" s="156" t="inlineStr">
        <is>
          <t>Bulldozer</t>
        </is>
      </c>
      <c r="F4405" s="156" t="inlineStr">
        <is>
          <t>Support Front Loading</t>
        </is>
      </c>
      <c r="G4405" s="182" t="n">
        <v>8.26</v>
      </c>
      <c r="H4405" s="182" t="n">
        <v>0</v>
      </c>
      <c r="I4405" s="182" t="n">
        <v>0</v>
      </c>
      <c r="J4405" s="182" t="n">
        <v>0</v>
      </c>
      <c r="K4405" s="182" t="n">
        <v>3.74</v>
      </c>
      <c r="L4405" s="182" t="n">
        <v>12</v>
      </c>
      <c r="M4405" s="182" t="n">
        <v>0</v>
      </c>
      <c r="N4405" s="182" t="n">
        <v>0</v>
      </c>
      <c r="O4405" s="183" t="n">
        <v>0</v>
      </c>
      <c r="P4405" s="183" t="n">
        <v>0</v>
      </c>
      <c r="Q4405" s="184" t="n">
        <v>0</v>
      </c>
      <c r="R4405" s="184" t="n">
        <v>0</v>
      </c>
      <c r="S4405" s="183" t="n">
        <v>0</v>
      </c>
      <c r="T4405" s="183" t="n">
        <v>0</v>
      </c>
      <c r="U4405" s="182" t="n">
        <v>1.87</v>
      </c>
      <c r="V4405" s="182" t="n">
        <v>0</v>
      </c>
      <c r="W4405" s="182" t="n">
        <v>0</v>
      </c>
      <c r="X4405" s="182" t="n">
        <v>0.96</v>
      </c>
      <c r="Y4405" s="182" t="n">
        <v>0</v>
      </c>
      <c r="Z4405" s="182" t="n">
        <v>0</v>
      </c>
      <c r="AA4405" s="182" t="n">
        <v>0</v>
      </c>
      <c r="AB4405" s="182" t="n">
        <v>0</v>
      </c>
      <c r="AC4405" s="182" t="n">
        <v>0</v>
      </c>
      <c r="AD4405" s="182" t="n">
        <v>0</v>
      </c>
      <c r="AE4405" s="182" t="n">
        <v>0</v>
      </c>
      <c r="AF4405" s="182" t="n">
        <v>0</v>
      </c>
      <c r="AG4405" s="182" t="n">
        <v>0</v>
      </c>
      <c r="AH4405" s="182" t="n">
        <v>0</v>
      </c>
      <c r="AI4405" s="182" t="n">
        <v>0</v>
      </c>
      <c r="AJ4405" s="182" t="n">
        <v>0</v>
      </c>
      <c r="AK4405" s="182" t="n">
        <v>0.83</v>
      </c>
      <c r="AL4405" s="182" t="n">
        <v>0</v>
      </c>
      <c r="AM4405" s="182" t="n">
        <v>0.08</v>
      </c>
      <c r="AN4405" s="182" t="n">
        <v>0</v>
      </c>
    </row>
    <row r="4406">
      <c r="A4406" s="155" t="n">
        <v>46102</v>
      </c>
      <c r="B4406" s="156" t="inlineStr">
        <is>
          <t>DS</t>
        </is>
      </c>
      <c r="C4406" s="156" t="inlineStr">
        <is>
          <t>DZ-032</t>
        </is>
      </c>
      <c r="D4406" s="156" t="inlineStr">
        <is>
          <t>CAT</t>
        </is>
      </c>
      <c r="E4406" s="156" t="inlineStr">
        <is>
          <t>Bulldozer</t>
        </is>
      </c>
      <c r="F4406" s="156" t="inlineStr"/>
      <c r="G4406" s="182" t="n">
        <v>0</v>
      </c>
      <c r="H4406" s="182" t="n">
        <v>0</v>
      </c>
      <c r="I4406" s="182" t="n">
        <v>12</v>
      </c>
      <c r="J4406" s="182" t="n">
        <v>12</v>
      </c>
      <c r="K4406" s="182" t="n">
        <v>0</v>
      </c>
      <c r="L4406" s="182" t="n">
        <v>12</v>
      </c>
      <c r="M4406" s="182" t="n">
        <v>0</v>
      </c>
      <c r="N4406" s="182" t="n">
        <v>0</v>
      </c>
      <c r="O4406" s="183" t="n">
        <v>0</v>
      </c>
      <c r="P4406" s="183" t="n">
        <v>0</v>
      </c>
      <c r="Q4406" s="184" t="n">
        <v>0</v>
      </c>
      <c r="R4406" s="184" t="n">
        <v>0</v>
      </c>
      <c r="S4406" s="183" t="n">
        <v>0</v>
      </c>
      <c r="T4406" s="183" t="n">
        <v>0</v>
      </c>
      <c r="U4406" s="182" t="n">
        <v>0</v>
      </c>
      <c r="V4406" s="182" t="n">
        <v>0</v>
      </c>
      <c r="W4406" s="182" t="n">
        <v>0</v>
      </c>
      <c r="X4406" s="182" t="n">
        <v>0</v>
      </c>
      <c r="Y4406" s="182" t="n">
        <v>0</v>
      </c>
      <c r="Z4406" s="182" t="n">
        <v>0</v>
      </c>
      <c r="AA4406" s="182" t="n">
        <v>0</v>
      </c>
      <c r="AB4406" s="182" t="n">
        <v>0</v>
      </c>
      <c r="AC4406" s="182" t="n">
        <v>0</v>
      </c>
      <c r="AD4406" s="182" t="n">
        <v>0</v>
      </c>
      <c r="AE4406" s="182" t="n">
        <v>0</v>
      </c>
      <c r="AF4406" s="182" t="n">
        <v>0</v>
      </c>
      <c r="AG4406" s="182" t="n">
        <v>0</v>
      </c>
      <c r="AH4406" s="182" t="n">
        <v>0</v>
      </c>
      <c r="AI4406" s="182" t="n">
        <v>0</v>
      </c>
      <c r="AJ4406" s="182" t="n">
        <v>0</v>
      </c>
      <c r="AK4406" s="182" t="n">
        <v>0</v>
      </c>
      <c r="AL4406" s="182" t="n">
        <v>0</v>
      </c>
      <c r="AM4406" s="182" t="n">
        <v>0</v>
      </c>
      <c r="AN4406" s="182" t="n">
        <v>0</v>
      </c>
    </row>
    <row r="4407">
      <c r="A4407" s="155" t="n">
        <v>46102</v>
      </c>
      <c r="B4407" s="156" t="inlineStr">
        <is>
          <t>DS</t>
        </is>
      </c>
      <c r="C4407" s="156" t="inlineStr">
        <is>
          <t>DZ-031</t>
        </is>
      </c>
      <c r="D4407" s="156" t="inlineStr">
        <is>
          <t>CAT</t>
        </is>
      </c>
      <c r="E4407" s="156" t="inlineStr">
        <is>
          <t>Bulldozer</t>
        </is>
      </c>
      <c r="F4407" s="156" t="inlineStr">
        <is>
          <t>Support Front Loading</t>
        </is>
      </c>
      <c r="G4407" s="182" t="n">
        <v>9.460000000000001</v>
      </c>
      <c r="H4407" s="182" t="n">
        <v>0</v>
      </c>
      <c r="I4407" s="182" t="n">
        <v>0</v>
      </c>
      <c r="J4407" s="182" t="n">
        <v>0</v>
      </c>
      <c r="K4407" s="182" t="n">
        <v>2.54</v>
      </c>
      <c r="L4407" s="182" t="n">
        <v>12</v>
      </c>
      <c r="M4407" s="182" t="n">
        <v>0</v>
      </c>
      <c r="N4407" s="182" t="n">
        <v>0</v>
      </c>
      <c r="O4407" s="183" t="n">
        <v>0</v>
      </c>
      <c r="P4407" s="183" t="n">
        <v>0</v>
      </c>
      <c r="Q4407" s="184" t="n">
        <v>0</v>
      </c>
      <c r="R4407" s="184" t="n">
        <v>0</v>
      </c>
      <c r="S4407" s="183" t="n">
        <v>0</v>
      </c>
      <c r="T4407" s="183" t="n">
        <v>0</v>
      </c>
      <c r="U4407" s="182" t="n">
        <v>0</v>
      </c>
      <c r="V4407" s="182" t="n">
        <v>0</v>
      </c>
      <c r="W4407" s="182" t="n">
        <v>0</v>
      </c>
      <c r="X4407" s="182" t="n">
        <v>1.27</v>
      </c>
      <c r="Y4407" s="182" t="n">
        <v>0</v>
      </c>
      <c r="Z4407" s="182" t="n">
        <v>0</v>
      </c>
      <c r="AA4407" s="182" t="n">
        <v>0</v>
      </c>
      <c r="AB4407" s="182" t="n">
        <v>0</v>
      </c>
      <c r="AC4407" s="182" t="n">
        <v>0</v>
      </c>
      <c r="AD4407" s="182" t="n">
        <v>0</v>
      </c>
      <c r="AE4407" s="182" t="n">
        <v>0</v>
      </c>
      <c r="AF4407" s="182" t="n">
        <v>0</v>
      </c>
      <c r="AG4407" s="182" t="n">
        <v>0</v>
      </c>
      <c r="AH4407" s="182" t="n">
        <v>0</v>
      </c>
      <c r="AI4407" s="182" t="n">
        <v>0</v>
      </c>
      <c r="AJ4407" s="182" t="n">
        <v>0</v>
      </c>
      <c r="AK4407" s="182" t="n">
        <v>1.17</v>
      </c>
      <c r="AL4407" s="182" t="n">
        <v>0</v>
      </c>
      <c r="AM4407" s="182" t="n">
        <v>0.1</v>
      </c>
      <c r="AN4407" s="182" t="n">
        <v>0</v>
      </c>
    </row>
    <row r="4408">
      <c r="A4408" s="155" t="n">
        <v>46102</v>
      </c>
      <c r="B4408" s="156" t="inlineStr">
        <is>
          <t>DS</t>
        </is>
      </c>
      <c r="C4408" s="156" t="inlineStr">
        <is>
          <t>DZ-037</t>
        </is>
      </c>
      <c r="D4408" s="156" t="inlineStr">
        <is>
          <t>D 85 ESS-2</t>
        </is>
      </c>
      <c r="E4408" s="156" t="inlineStr">
        <is>
          <t>Bulldozer</t>
        </is>
      </c>
      <c r="F4408" s="156" t="inlineStr"/>
      <c r="G4408" s="182" t="n">
        <v>0</v>
      </c>
      <c r="H4408" s="182" t="n">
        <v>0</v>
      </c>
      <c r="I4408" s="182" t="n">
        <v>12</v>
      </c>
      <c r="J4408" s="182" t="n">
        <v>12</v>
      </c>
      <c r="K4408" s="182" t="n">
        <v>0</v>
      </c>
      <c r="L4408" s="182" t="n">
        <v>12</v>
      </c>
      <c r="M4408" s="182" t="n">
        <v>0</v>
      </c>
      <c r="N4408" s="182" t="n">
        <v>0</v>
      </c>
      <c r="O4408" s="183" t="n">
        <v>0</v>
      </c>
      <c r="P4408" s="183" t="n">
        <v>0</v>
      </c>
      <c r="Q4408" s="184" t="n">
        <v>0</v>
      </c>
      <c r="R4408" s="184" t="n">
        <v>0</v>
      </c>
      <c r="S4408" s="183" t="n">
        <v>0</v>
      </c>
      <c r="T4408" s="183" t="n">
        <v>0</v>
      </c>
      <c r="U4408" s="182" t="n">
        <v>0</v>
      </c>
      <c r="V4408" s="182" t="n">
        <v>0</v>
      </c>
      <c r="W4408" s="182" t="n">
        <v>0</v>
      </c>
      <c r="X4408" s="182" t="n">
        <v>0</v>
      </c>
      <c r="Y4408" s="182" t="n">
        <v>0</v>
      </c>
      <c r="Z4408" s="182" t="n">
        <v>0</v>
      </c>
      <c r="AA4408" s="182" t="n">
        <v>0</v>
      </c>
      <c r="AB4408" s="182" t="n">
        <v>0</v>
      </c>
      <c r="AC4408" s="182" t="n">
        <v>0</v>
      </c>
      <c r="AD4408" s="182" t="n">
        <v>0</v>
      </c>
      <c r="AE4408" s="182" t="n">
        <v>0</v>
      </c>
      <c r="AF4408" s="182" t="n">
        <v>0</v>
      </c>
      <c r="AG4408" s="182" t="n">
        <v>0</v>
      </c>
      <c r="AH4408" s="182" t="n">
        <v>0</v>
      </c>
      <c r="AI4408" s="182" t="n">
        <v>0</v>
      </c>
      <c r="AJ4408" s="182" t="n">
        <v>0</v>
      </c>
      <c r="AK4408" s="182" t="n">
        <v>0</v>
      </c>
      <c r="AL4408" s="182" t="n">
        <v>0</v>
      </c>
      <c r="AM4408" s="182" t="n">
        <v>0</v>
      </c>
      <c r="AN4408" s="182" t="n">
        <v>0</v>
      </c>
    </row>
    <row r="4409">
      <c r="A4409" s="155" t="n">
        <v>46102</v>
      </c>
      <c r="B4409" s="156" t="inlineStr">
        <is>
          <t>DS</t>
        </is>
      </c>
      <c r="C4409" s="156" t="inlineStr">
        <is>
          <t>DZ-036</t>
        </is>
      </c>
      <c r="D4409" s="156" t="inlineStr">
        <is>
          <t>D 85 ESS-2</t>
        </is>
      </c>
      <c r="E4409" s="156" t="inlineStr">
        <is>
          <t>Bulldozer</t>
        </is>
      </c>
      <c r="F4409" s="156" t="inlineStr"/>
      <c r="G4409" s="182" t="n">
        <v>0</v>
      </c>
      <c r="H4409" s="182" t="n">
        <v>0</v>
      </c>
      <c r="I4409" s="182" t="n">
        <v>0</v>
      </c>
      <c r="J4409" s="182" t="n">
        <v>0</v>
      </c>
      <c r="K4409" s="182" t="n">
        <v>12</v>
      </c>
      <c r="L4409" s="182" t="n">
        <v>12</v>
      </c>
      <c r="M4409" s="182" t="n">
        <v>0</v>
      </c>
      <c r="N4409" s="182" t="n">
        <v>0</v>
      </c>
      <c r="O4409" s="183" t="n">
        <v>0</v>
      </c>
      <c r="P4409" s="183" t="n">
        <v>0</v>
      </c>
      <c r="Q4409" s="184" t="n">
        <v>0</v>
      </c>
      <c r="R4409" s="184" t="n">
        <v>0</v>
      </c>
      <c r="S4409" s="183" t="n">
        <v>0</v>
      </c>
      <c r="T4409" s="183" t="n">
        <v>0</v>
      </c>
      <c r="U4409" s="182" t="n">
        <v>0</v>
      </c>
      <c r="V4409" s="182" t="n">
        <v>0</v>
      </c>
      <c r="W4409" s="182" t="n">
        <v>0</v>
      </c>
      <c r="X4409" s="182" t="n">
        <v>1</v>
      </c>
      <c r="Y4409" s="182" t="n">
        <v>0</v>
      </c>
      <c r="Z4409" s="182" t="n">
        <v>0</v>
      </c>
      <c r="AA4409" s="182" t="n">
        <v>0</v>
      </c>
      <c r="AB4409" s="182" t="n">
        <v>0</v>
      </c>
      <c r="AC4409" s="182" t="n">
        <v>0</v>
      </c>
      <c r="AD4409" s="182" t="n">
        <v>0</v>
      </c>
      <c r="AE4409" s="182" t="n">
        <v>0</v>
      </c>
      <c r="AF4409" s="182" t="n">
        <v>0</v>
      </c>
      <c r="AG4409" s="182" t="n">
        <v>0</v>
      </c>
      <c r="AH4409" s="182" t="n">
        <v>0</v>
      </c>
      <c r="AI4409" s="182" t="n">
        <v>0</v>
      </c>
      <c r="AJ4409" s="182" t="n">
        <v>0</v>
      </c>
      <c r="AK4409" s="182" t="n">
        <v>10.92</v>
      </c>
      <c r="AL4409" s="182" t="n">
        <v>0</v>
      </c>
      <c r="AM4409" s="182" t="n">
        <v>0.08</v>
      </c>
      <c r="AN4409" s="182" t="n">
        <v>0</v>
      </c>
    </row>
    <row r="4410">
      <c r="A4410" s="155" t="n">
        <v>46102</v>
      </c>
      <c r="B4410" s="156" t="inlineStr">
        <is>
          <t>DS</t>
        </is>
      </c>
      <c r="C4410" s="156" t="inlineStr">
        <is>
          <t>DZ-035</t>
        </is>
      </c>
      <c r="D4410" s="156" t="inlineStr">
        <is>
          <t>D 85 ESS-2</t>
        </is>
      </c>
      <c r="E4410" s="156" t="inlineStr">
        <is>
          <t>Bulldozer</t>
        </is>
      </c>
      <c r="F4410" s="156" t="inlineStr">
        <is>
          <t>Support Disposal</t>
        </is>
      </c>
      <c r="G4410" s="182" t="n">
        <v>11.28</v>
      </c>
      <c r="H4410" s="182" t="n">
        <v>0</v>
      </c>
      <c r="I4410" s="182" t="n">
        <v>0</v>
      </c>
      <c r="J4410" s="182" t="n">
        <v>0</v>
      </c>
      <c r="K4410" s="182" t="n">
        <v>0.72</v>
      </c>
      <c r="L4410" s="182" t="n">
        <v>12</v>
      </c>
      <c r="M4410" s="182" t="n">
        <v>0</v>
      </c>
      <c r="N4410" s="182" t="n">
        <v>0</v>
      </c>
      <c r="O4410" s="183" t="n">
        <v>0</v>
      </c>
      <c r="P4410" s="183" t="n">
        <v>0</v>
      </c>
      <c r="Q4410" s="184" t="n">
        <v>0</v>
      </c>
      <c r="R4410" s="184" t="n">
        <v>0</v>
      </c>
      <c r="S4410" s="183" t="n">
        <v>0</v>
      </c>
      <c r="T4410" s="183" t="n">
        <v>0</v>
      </c>
      <c r="U4410" s="182" t="n">
        <v>0</v>
      </c>
      <c r="V4410" s="182" t="n">
        <v>0</v>
      </c>
      <c r="W4410" s="182" t="n">
        <v>0</v>
      </c>
      <c r="X4410" s="182" t="n">
        <v>0.62</v>
      </c>
      <c r="Y4410" s="182" t="n">
        <v>0</v>
      </c>
      <c r="Z4410" s="182" t="n">
        <v>0</v>
      </c>
      <c r="AA4410" s="182" t="n">
        <v>0</v>
      </c>
      <c r="AB4410" s="182" t="n">
        <v>0</v>
      </c>
      <c r="AC4410" s="182" t="n">
        <v>0</v>
      </c>
      <c r="AD4410" s="182" t="n">
        <v>0</v>
      </c>
      <c r="AE4410" s="182" t="n">
        <v>0</v>
      </c>
      <c r="AF4410" s="182" t="n">
        <v>0</v>
      </c>
      <c r="AG4410" s="182" t="n">
        <v>0</v>
      </c>
      <c r="AH4410" s="182" t="n">
        <v>0</v>
      </c>
      <c r="AI4410" s="182" t="n">
        <v>0</v>
      </c>
      <c r="AJ4410" s="182" t="n">
        <v>0</v>
      </c>
      <c r="AK4410" s="182" t="n">
        <v>0</v>
      </c>
      <c r="AL4410" s="182" t="n">
        <v>0</v>
      </c>
      <c r="AM4410" s="182" t="n">
        <v>0.1</v>
      </c>
      <c r="AN4410" s="182" t="n">
        <v>0</v>
      </c>
    </row>
    <row r="4411">
      <c r="A4411" s="155" t="n">
        <v>46102</v>
      </c>
      <c r="B4411" s="156" t="inlineStr">
        <is>
          <t>DS</t>
        </is>
      </c>
      <c r="C4411" s="156" t="inlineStr">
        <is>
          <t>CP-042</t>
        </is>
      </c>
      <c r="D4411" s="156" t="inlineStr">
        <is>
          <t>SANY - Compactor</t>
        </is>
      </c>
      <c r="E4411" s="156" t="inlineStr">
        <is>
          <t>Compactor</t>
        </is>
      </c>
      <c r="F4411" s="156" t="inlineStr"/>
      <c r="G4411" s="182" t="n">
        <v>0</v>
      </c>
      <c r="H4411" s="182" t="n">
        <v>0</v>
      </c>
      <c r="I4411" s="182" t="n">
        <v>0</v>
      </c>
      <c r="J4411" s="182" t="n">
        <v>0</v>
      </c>
      <c r="K4411" s="182" t="n">
        <v>12</v>
      </c>
      <c r="L4411" s="182" t="n">
        <v>12</v>
      </c>
      <c r="M4411" s="182" t="n">
        <v>0</v>
      </c>
      <c r="N4411" s="182" t="n">
        <v>0</v>
      </c>
      <c r="O4411" s="183" t="n">
        <v>0</v>
      </c>
      <c r="P4411" s="183" t="n">
        <v>0</v>
      </c>
      <c r="Q4411" s="184" t="n">
        <v>0</v>
      </c>
      <c r="R4411" s="184" t="n">
        <v>0</v>
      </c>
      <c r="S4411" s="183" t="n">
        <v>0</v>
      </c>
      <c r="T4411" s="183" t="n">
        <v>0</v>
      </c>
      <c r="U4411" s="182" t="n">
        <v>0</v>
      </c>
      <c r="V4411" s="182" t="n">
        <v>0</v>
      </c>
      <c r="W4411" s="182" t="n">
        <v>0</v>
      </c>
      <c r="X4411" s="182" t="n">
        <v>1</v>
      </c>
      <c r="Y4411" s="182" t="n">
        <v>0</v>
      </c>
      <c r="Z4411" s="182" t="n">
        <v>0</v>
      </c>
      <c r="AA4411" s="182" t="n">
        <v>0</v>
      </c>
      <c r="AB4411" s="182" t="n">
        <v>0</v>
      </c>
      <c r="AC4411" s="182" t="n">
        <v>0</v>
      </c>
      <c r="AD4411" s="182" t="n">
        <v>0</v>
      </c>
      <c r="AE4411" s="182" t="n">
        <v>0</v>
      </c>
      <c r="AF4411" s="182" t="n">
        <v>0</v>
      </c>
      <c r="AG4411" s="182" t="n">
        <v>0</v>
      </c>
      <c r="AH4411" s="182" t="n">
        <v>0</v>
      </c>
      <c r="AI4411" s="182" t="n">
        <v>0</v>
      </c>
      <c r="AJ4411" s="182" t="n">
        <v>0</v>
      </c>
      <c r="AK4411" s="182" t="n">
        <v>10.92</v>
      </c>
      <c r="AL4411" s="182" t="n">
        <v>0</v>
      </c>
      <c r="AM4411" s="182" t="n">
        <v>0.08</v>
      </c>
      <c r="AN4411" s="182" t="n">
        <v>0</v>
      </c>
    </row>
    <row r="4412">
      <c r="A4412" s="155" t="n">
        <v>46102</v>
      </c>
      <c r="B4412" s="156" t="inlineStr">
        <is>
          <t>DS</t>
        </is>
      </c>
      <c r="C4412" s="156" t="inlineStr">
        <is>
          <t>CP-041</t>
        </is>
      </c>
      <c r="D4412" s="156" t="inlineStr">
        <is>
          <t>SANY - Compactor</t>
        </is>
      </c>
      <c r="E4412" s="156" t="inlineStr">
        <is>
          <t>Compactor</t>
        </is>
      </c>
      <c r="F4412" s="156" t="inlineStr"/>
      <c r="G4412" s="182" t="n">
        <v>0</v>
      </c>
      <c r="H4412" s="182" t="n">
        <v>0</v>
      </c>
      <c r="I4412" s="182" t="n">
        <v>0</v>
      </c>
      <c r="J4412" s="182" t="n">
        <v>0</v>
      </c>
      <c r="K4412" s="182" t="n">
        <v>12</v>
      </c>
      <c r="L4412" s="182" t="n">
        <v>12</v>
      </c>
      <c r="M4412" s="182" t="n">
        <v>0</v>
      </c>
      <c r="N4412" s="182" t="n">
        <v>0</v>
      </c>
      <c r="O4412" s="183" t="n">
        <v>0</v>
      </c>
      <c r="P4412" s="183" t="n">
        <v>0</v>
      </c>
      <c r="Q4412" s="184" t="n">
        <v>0</v>
      </c>
      <c r="R4412" s="184" t="n">
        <v>0</v>
      </c>
      <c r="S4412" s="183" t="n">
        <v>0</v>
      </c>
      <c r="T4412" s="183" t="n">
        <v>0</v>
      </c>
      <c r="U4412" s="182" t="n">
        <v>0</v>
      </c>
      <c r="V4412" s="182" t="n">
        <v>0</v>
      </c>
      <c r="W4412" s="182" t="n">
        <v>0</v>
      </c>
      <c r="X4412" s="182" t="n">
        <v>1</v>
      </c>
      <c r="Y4412" s="182" t="n">
        <v>0</v>
      </c>
      <c r="Z4412" s="182" t="n">
        <v>0</v>
      </c>
      <c r="AA4412" s="182" t="n">
        <v>0</v>
      </c>
      <c r="AB4412" s="182" t="n">
        <v>0</v>
      </c>
      <c r="AC4412" s="182" t="n">
        <v>0</v>
      </c>
      <c r="AD4412" s="182" t="n">
        <v>0</v>
      </c>
      <c r="AE4412" s="182" t="n">
        <v>0</v>
      </c>
      <c r="AF4412" s="182" t="n">
        <v>0</v>
      </c>
      <c r="AG4412" s="182" t="n">
        <v>0</v>
      </c>
      <c r="AH4412" s="182" t="n">
        <v>0</v>
      </c>
      <c r="AI4412" s="182" t="n">
        <v>0</v>
      </c>
      <c r="AJ4412" s="182" t="n">
        <v>0</v>
      </c>
      <c r="AK4412" s="182" t="n">
        <v>10.92</v>
      </c>
      <c r="AL4412" s="182" t="n">
        <v>0</v>
      </c>
      <c r="AM4412" s="182" t="n">
        <v>0.08</v>
      </c>
      <c r="AN4412" s="182" t="n">
        <v>0</v>
      </c>
    </row>
    <row r="4413">
      <c r="A4413" s="155" t="n">
        <v>46102</v>
      </c>
      <c r="B4413" s="156" t="inlineStr">
        <is>
          <t>DS</t>
        </is>
      </c>
      <c r="C4413" s="156" t="inlineStr">
        <is>
          <t>HT-418</t>
        </is>
      </c>
      <c r="D4413" s="156" t="inlineStr">
        <is>
          <t>SY430</t>
        </is>
      </c>
      <c r="E4413" s="156" t="inlineStr">
        <is>
          <t>DT Hauling</t>
        </is>
      </c>
      <c r="F4413" s="156" t="inlineStr">
        <is>
          <t>Hauling Coal ke Jetty</t>
        </is>
      </c>
      <c r="G4413" s="182" t="n">
        <v>2.26</v>
      </c>
      <c r="H4413" s="182" t="n">
        <v>0</v>
      </c>
      <c r="I4413" s="182" t="n">
        <v>2.42</v>
      </c>
      <c r="J4413" s="182" t="n">
        <v>2.42</v>
      </c>
      <c r="K4413" s="182" t="n">
        <v>7.32</v>
      </c>
      <c r="L4413" s="182" t="n">
        <v>12</v>
      </c>
      <c r="M4413" s="182" t="n">
        <v>0</v>
      </c>
      <c r="N4413" s="182" t="n">
        <v>0</v>
      </c>
      <c r="O4413" s="183" t="n">
        <v>0</v>
      </c>
      <c r="P4413" s="183" t="n">
        <v>0</v>
      </c>
      <c r="Q4413" s="184" t="n">
        <v>0</v>
      </c>
      <c r="R4413" s="184" t="n">
        <v>0</v>
      </c>
      <c r="S4413" s="183" t="n">
        <v>0</v>
      </c>
      <c r="T4413" s="183" t="n">
        <v>0</v>
      </c>
      <c r="U4413" s="182" t="n">
        <v>0</v>
      </c>
      <c r="V4413" s="182" t="n">
        <v>0</v>
      </c>
      <c r="W4413" s="182" t="n">
        <v>0</v>
      </c>
      <c r="X4413" s="182" t="n">
        <v>1.02</v>
      </c>
      <c r="Y4413" s="182" t="n">
        <v>0</v>
      </c>
      <c r="Z4413" s="182" t="n">
        <v>0</v>
      </c>
      <c r="AA4413" s="182" t="n">
        <v>0</v>
      </c>
      <c r="AB4413" s="182" t="n">
        <v>0</v>
      </c>
      <c r="AC4413" s="182" t="n">
        <v>0</v>
      </c>
      <c r="AD4413" s="182" t="n">
        <v>0</v>
      </c>
      <c r="AE4413" s="182" t="n">
        <v>0</v>
      </c>
      <c r="AF4413" s="182" t="n">
        <v>0</v>
      </c>
      <c r="AG4413" s="182" t="n">
        <v>0</v>
      </c>
      <c r="AH4413" s="182" t="n">
        <v>0</v>
      </c>
      <c r="AI4413" s="182" t="n">
        <v>0</v>
      </c>
      <c r="AJ4413" s="182" t="n">
        <v>0</v>
      </c>
      <c r="AK4413" s="182" t="n">
        <v>6.22</v>
      </c>
      <c r="AL4413" s="182" t="n">
        <v>0</v>
      </c>
      <c r="AM4413" s="182" t="n">
        <v>0.08</v>
      </c>
      <c r="AN4413" s="182" t="n">
        <v>0</v>
      </c>
    </row>
    <row r="4414">
      <c r="A4414" s="155" t="n">
        <v>46102</v>
      </c>
      <c r="B4414" s="156" t="inlineStr">
        <is>
          <t>DS</t>
        </is>
      </c>
      <c r="C4414" s="156" t="inlineStr">
        <is>
          <t>HT-404</t>
        </is>
      </c>
      <c r="D4414" s="156" t="inlineStr">
        <is>
          <t>SY430</t>
        </is>
      </c>
      <c r="E4414" s="156" t="inlineStr">
        <is>
          <t>DT Hauling</t>
        </is>
      </c>
      <c r="F4414" s="156" t="inlineStr">
        <is>
          <t>Hauling Coal ke Jetty</t>
        </is>
      </c>
      <c r="G4414" s="182" t="n">
        <v>6.47</v>
      </c>
      <c r="H4414" s="182" t="n">
        <v>3.83</v>
      </c>
      <c r="I4414" s="182" t="n">
        <v>0</v>
      </c>
      <c r="J4414" s="182" t="n">
        <v>3.83</v>
      </c>
      <c r="K4414" s="182" t="n">
        <v>1.7</v>
      </c>
      <c r="L4414" s="182" t="n">
        <v>12</v>
      </c>
      <c r="M4414" s="182" t="n">
        <v>0</v>
      </c>
      <c r="N4414" s="182" t="n">
        <v>0</v>
      </c>
      <c r="O4414" s="183" t="n">
        <v>0</v>
      </c>
      <c r="P4414" s="183" t="n">
        <v>0</v>
      </c>
      <c r="Q4414" s="184" t="n">
        <v>0</v>
      </c>
      <c r="R4414" s="184" t="n">
        <v>0</v>
      </c>
      <c r="S4414" s="183" t="n">
        <v>0</v>
      </c>
      <c r="T4414" s="183" t="n">
        <v>0</v>
      </c>
      <c r="U4414" s="182" t="n">
        <v>0</v>
      </c>
      <c r="V4414" s="182" t="n">
        <v>0</v>
      </c>
      <c r="W4414" s="182" t="n">
        <v>0</v>
      </c>
      <c r="X4414" s="182" t="n">
        <v>0.91</v>
      </c>
      <c r="Y4414" s="182" t="n">
        <v>0</v>
      </c>
      <c r="Z4414" s="182" t="n">
        <v>0</v>
      </c>
      <c r="AA4414" s="182" t="n">
        <v>0</v>
      </c>
      <c r="AB4414" s="182" t="n">
        <v>0</v>
      </c>
      <c r="AC4414" s="182" t="n">
        <v>0</v>
      </c>
      <c r="AD4414" s="182" t="n">
        <v>0</v>
      </c>
      <c r="AE4414" s="182" t="n">
        <v>0</v>
      </c>
      <c r="AF4414" s="182" t="n">
        <v>0</v>
      </c>
      <c r="AG4414" s="182" t="n">
        <v>0</v>
      </c>
      <c r="AH4414" s="182" t="n">
        <v>0.71</v>
      </c>
      <c r="AI4414" s="182" t="n">
        <v>0</v>
      </c>
      <c r="AJ4414" s="182" t="n">
        <v>0</v>
      </c>
      <c r="AK4414" s="182" t="n">
        <v>0</v>
      </c>
      <c r="AL4414" s="182" t="n">
        <v>0</v>
      </c>
      <c r="AM4414" s="182" t="n">
        <v>0.07000000000000001</v>
      </c>
      <c r="AN4414" s="182" t="n">
        <v>0</v>
      </c>
    </row>
    <row r="4415">
      <c r="A4415" s="155" t="n">
        <v>46102</v>
      </c>
      <c r="B4415" s="156" t="inlineStr">
        <is>
          <t>DS</t>
        </is>
      </c>
      <c r="C4415" s="156" t="inlineStr">
        <is>
          <t>HT-415</t>
        </is>
      </c>
      <c r="D4415" s="156" t="inlineStr">
        <is>
          <t>SY430</t>
        </is>
      </c>
      <c r="E4415" s="156" t="inlineStr">
        <is>
          <t>DT Hauling</t>
        </is>
      </c>
      <c r="F4415" s="156" t="inlineStr"/>
      <c r="G4415" s="182" t="n">
        <v>0</v>
      </c>
      <c r="H4415" s="182" t="n">
        <v>0</v>
      </c>
      <c r="I4415" s="182" t="n">
        <v>12</v>
      </c>
      <c r="J4415" s="182" t="n">
        <v>12</v>
      </c>
      <c r="K4415" s="182" t="n">
        <v>0</v>
      </c>
      <c r="L4415" s="182" t="n">
        <v>12</v>
      </c>
      <c r="M4415" s="182" t="n">
        <v>0</v>
      </c>
      <c r="N4415" s="182" t="n">
        <v>0</v>
      </c>
      <c r="O4415" s="183" t="n">
        <v>0</v>
      </c>
      <c r="P4415" s="183" t="n">
        <v>0</v>
      </c>
      <c r="Q4415" s="184" t="n">
        <v>0</v>
      </c>
      <c r="R4415" s="184" t="n">
        <v>0</v>
      </c>
      <c r="S4415" s="183" t="n">
        <v>0</v>
      </c>
      <c r="T4415" s="183" t="n">
        <v>0</v>
      </c>
      <c r="U4415" s="182" t="n">
        <v>0</v>
      </c>
      <c r="V4415" s="182" t="n">
        <v>0</v>
      </c>
      <c r="W4415" s="182" t="n">
        <v>0</v>
      </c>
      <c r="X4415" s="182" t="n">
        <v>0</v>
      </c>
      <c r="Y4415" s="182" t="n">
        <v>0</v>
      </c>
      <c r="Z4415" s="182" t="n">
        <v>0</v>
      </c>
      <c r="AA4415" s="182" t="n">
        <v>0</v>
      </c>
      <c r="AB4415" s="182" t="n">
        <v>0</v>
      </c>
      <c r="AC4415" s="182" t="n">
        <v>0</v>
      </c>
      <c r="AD4415" s="182" t="n">
        <v>0</v>
      </c>
      <c r="AE4415" s="182" t="n">
        <v>0</v>
      </c>
      <c r="AF4415" s="182" t="n">
        <v>0</v>
      </c>
      <c r="AG4415" s="182" t="n">
        <v>0</v>
      </c>
      <c r="AH4415" s="182" t="n">
        <v>0</v>
      </c>
      <c r="AI4415" s="182" t="n">
        <v>0</v>
      </c>
      <c r="AJ4415" s="182" t="n">
        <v>0</v>
      </c>
      <c r="AK4415" s="182" t="n">
        <v>0</v>
      </c>
      <c r="AL4415" s="182" t="n">
        <v>0</v>
      </c>
      <c r="AM4415" s="182" t="n">
        <v>0</v>
      </c>
      <c r="AN4415" s="182" t="n">
        <v>0</v>
      </c>
    </row>
    <row r="4416">
      <c r="A4416" s="155" t="n">
        <v>46102</v>
      </c>
      <c r="B4416" s="156" t="inlineStr">
        <is>
          <t>DS</t>
        </is>
      </c>
      <c r="C4416" s="156" t="inlineStr">
        <is>
          <t>HT-406</t>
        </is>
      </c>
      <c r="D4416" s="156" t="inlineStr">
        <is>
          <t>SY430</t>
        </is>
      </c>
      <c r="E4416" s="156" t="inlineStr">
        <is>
          <t>DT Hauling</t>
        </is>
      </c>
      <c r="F4416" s="156" t="inlineStr"/>
      <c r="G4416" s="182" t="n">
        <v>0</v>
      </c>
      <c r="H4416" s="182" t="n">
        <v>0</v>
      </c>
      <c r="I4416" s="182" t="n">
        <v>12</v>
      </c>
      <c r="J4416" s="182" t="n">
        <v>12</v>
      </c>
      <c r="K4416" s="182" t="n">
        <v>0</v>
      </c>
      <c r="L4416" s="182" t="n">
        <v>12</v>
      </c>
      <c r="M4416" s="182" t="n">
        <v>0</v>
      </c>
      <c r="N4416" s="182" t="n">
        <v>0</v>
      </c>
      <c r="O4416" s="183" t="n">
        <v>0</v>
      </c>
      <c r="P4416" s="183" t="n">
        <v>0</v>
      </c>
      <c r="Q4416" s="184" t="n">
        <v>0</v>
      </c>
      <c r="R4416" s="184" t="n">
        <v>0</v>
      </c>
      <c r="S4416" s="183" t="n">
        <v>0</v>
      </c>
      <c r="T4416" s="183" t="n">
        <v>0</v>
      </c>
      <c r="U4416" s="182" t="n">
        <v>0</v>
      </c>
      <c r="V4416" s="182" t="n">
        <v>0</v>
      </c>
      <c r="W4416" s="182" t="n">
        <v>0</v>
      </c>
      <c r="X4416" s="182" t="n">
        <v>0</v>
      </c>
      <c r="Y4416" s="182" t="n">
        <v>0</v>
      </c>
      <c r="Z4416" s="182" t="n">
        <v>0</v>
      </c>
      <c r="AA4416" s="182" t="n">
        <v>0</v>
      </c>
      <c r="AB4416" s="182" t="n">
        <v>0</v>
      </c>
      <c r="AC4416" s="182" t="n">
        <v>0</v>
      </c>
      <c r="AD4416" s="182" t="n">
        <v>0</v>
      </c>
      <c r="AE4416" s="182" t="n">
        <v>0</v>
      </c>
      <c r="AF4416" s="182" t="n">
        <v>0</v>
      </c>
      <c r="AG4416" s="182" t="n">
        <v>0</v>
      </c>
      <c r="AH4416" s="182" t="n">
        <v>0</v>
      </c>
      <c r="AI4416" s="182" t="n">
        <v>0</v>
      </c>
      <c r="AJ4416" s="182" t="n">
        <v>0</v>
      </c>
      <c r="AK4416" s="182" t="n">
        <v>0</v>
      </c>
      <c r="AL4416" s="182" t="n">
        <v>0</v>
      </c>
      <c r="AM4416" s="182" t="n">
        <v>0</v>
      </c>
      <c r="AN4416" s="182" t="n">
        <v>0</v>
      </c>
    </row>
    <row r="4417">
      <c r="A4417" s="155" t="n">
        <v>46102</v>
      </c>
      <c r="B4417" s="156" t="inlineStr">
        <is>
          <t>DS</t>
        </is>
      </c>
      <c r="C4417" s="156" t="inlineStr">
        <is>
          <t>HT-405</t>
        </is>
      </c>
      <c r="D4417" s="156" t="inlineStr">
        <is>
          <t>SY430</t>
        </is>
      </c>
      <c r="E4417" s="156" t="inlineStr">
        <is>
          <t>DT Hauling</t>
        </is>
      </c>
      <c r="F4417" s="156" t="inlineStr">
        <is>
          <t>Hauling Coal ke Jetty</t>
        </is>
      </c>
      <c r="G4417" s="182" t="n">
        <v>12</v>
      </c>
      <c r="H4417" s="182" t="n">
        <v>0</v>
      </c>
      <c r="I4417" s="182" t="n">
        <v>0</v>
      </c>
      <c r="J4417" s="182" t="n">
        <v>0</v>
      </c>
      <c r="K4417" s="182" t="n">
        <v>0</v>
      </c>
      <c r="L4417" s="182" t="n">
        <v>12</v>
      </c>
      <c r="M4417" s="182" t="n">
        <v>0</v>
      </c>
      <c r="N4417" s="182" t="n">
        <v>0</v>
      </c>
      <c r="O4417" s="183" t="n">
        <v>0</v>
      </c>
      <c r="P4417" s="183" t="n">
        <v>0</v>
      </c>
      <c r="Q4417" s="184" t="n">
        <v>0</v>
      </c>
      <c r="R4417" s="184" t="n">
        <v>0</v>
      </c>
      <c r="S4417" s="183" t="n">
        <v>0</v>
      </c>
      <c r="T4417" s="183" t="n">
        <v>0</v>
      </c>
      <c r="U4417" s="182" t="n">
        <v>0</v>
      </c>
      <c r="V4417" s="182" t="n">
        <v>0</v>
      </c>
      <c r="W4417" s="182" t="n">
        <v>0</v>
      </c>
      <c r="X4417" s="182" t="n">
        <v>0</v>
      </c>
      <c r="Y4417" s="182" t="n">
        <v>0</v>
      </c>
      <c r="Z4417" s="182" t="n">
        <v>0</v>
      </c>
      <c r="AA4417" s="182" t="n">
        <v>0</v>
      </c>
      <c r="AB4417" s="182" t="n">
        <v>0</v>
      </c>
      <c r="AC4417" s="182" t="n">
        <v>0</v>
      </c>
      <c r="AD4417" s="182" t="n">
        <v>0</v>
      </c>
      <c r="AE4417" s="182" t="n">
        <v>0</v>
      </c>
      <c r="AF4417" s="182" t="n">
        <v>0</v>
      </c>
      <c r="AG4417" s="182" t="n">
        <v>0</v>
      </c>
      <c r="AH4417" s="182" t="n">
        <v>0</v>
      </c>
      <c r="AI4417" s="182" t="n">
        <v>0</v>
      </c>
      <c r="AJ4417" s="182" t="n">
        <v>0</v>
      </c>
      <c r="AK4417" s="182" t="n">
        <v>0</v>
      </c>
      <c r="AL4417" s="182" t="n">
        <v>0</v>
      </c>
      <c r="AM4417" s="182" t="n">
        <v>0</v>
      </c>
      <c r="AN4417" s="182" t="n">
        <v>0</v>
      </c>
    </row>
    <row r="4418">
      <c r="A4418" s="155" t="n">
        <v>46102</v>
      </c>
      <c r="B4418" s="156" t="inlineStr">
        <is>
          <t>DS</t>
        </is>
      </c>
      <c r="C4418" s="156" t="inlineStr">
        <is>
          <t>HT-417</t>
        </is>
      </c>
      <c r="D4418" s="156" t="inlineStr">
        <is>
          <t>SY430</t>
        </is>
      </c>
      <c r="E4418" s="156" t="inlineStr">
        <is>
          <t>DT Hauling</t>
        </is>
      </c>
      <c r="F4418" s="156" t="inlineStr"/>
      <c r="G4418" s="182" t="n">
        <v>0</v>
      </c>
      <c r="H4418" s="182" t="n">
        <v>0</v>
      </c>
      <c r="I4418" s="182" t="n">
        <v>0</v>
      </c>
      <c r="J4418" s="182" t="n">
        <v>0</v>
      </c>
      <c r="K4418" s="182" t="n">
        <v>12</v>
      </c>
      <c r="L4418" s="182" t="n">
        <v>12</v>
      </c>
      <c r="M4418" s="182" t="n">
        <v>0</v>
      </c>
      <c r="N4418" s="182" t="n">
        <v>0</v>
      </c>
      <c r="O4418" s="183" t="n">
        <v>0</v>
      </c>
      <c r="P4418" s="183" t="n">
        <v>0</v>
      </c>
      <c r="Q4418" s="184" t="n">
        <v>0</v>
      </c>
      <c r="R4418" s="184" t="n">
        <v>0</v>
      </c>
      <c r="S4418" s="183" t="n">
        <v>0</v>
      </c>
      <c r="T4418" s="183" t="n">
        <v>0</v>
      </c>
      <c r="U4418" s="182" t="n">
        <v>0</v>
      </c>
      <c r="V4418" s="182" t="n">
        <v>0</v>
      </c>
      <c r="W4418" s="182" t="n">
        <v>0</v>
      </c>
      <c r="X4418" s="182" t="n">
        <v>1</v>
      </c>
      <c r="Y4418" s="182" t="n">
        <v>0</v>
      </c>
      <c r="Z4418" s="182" t="n">
        <v>0</v>
      </c>
      <c r="AA4418" s="182" t="n">
        <v>0</v>
      </c>
      <c r="AB4418" s="182" t="n">
        <v>0</v>
      </c>
      <c r="AC4418" s="182" t="n">
        <v>0</v>
      </c>
      <c r="AD4418" s="182" t="n">
        <v>0</v>
      </c>
      <c r="AE4418" s="182" t="n">
        <v>0</v>
      </c>
      <c r="AF4418" s="182" t="n">
        <v>0</v>
      </c>
      <c r="AG4418" s="182" t="n">
        <v>0</v>
      </c>
      <c r="AH4418" s="182" t="n">
        <v>0</v>
      </c>
      <c r="AI4418" s="182" t="n">
        <v>0</v>
      </c>
      <c r="AJ4418" s="182" t="n">
        <v>0</v>
      </c>
      <c r="AK4418" s="182" t="n">
        <v>10.92</v>
      </c>
      <c r="AL4418" s="182" t="n">
        <v>0</v>
      </c>
      <c r="AM4418" s="182" t="n">
        <v>0.08</v>
      </c>
      <c r="AN4418" s="182" t="n">
        <v>0</v>
      </c>
    </row>
    <row r="4419">
      <c r="A4419" s="155" t="n">
        <v>46102</v>
      </c>
      <c r="B4419" s="156" t="inlineStr">
        <is>
          <t>DS</t>
        </is>
      </c>
      <c r="C4419" s="156" t="inlineStr">
        <is>
          <t>HT-401</t>
        </is>
      </c>
      <c r="D4419" s="156" t="inlineStr">
        <is>
          <t>SY430</t>
        </is>
      </c>
      <c r="E4419" s="156" t="inlineStr">
        <is>
          <t>DT Hauling</t>
        </is>
      </c>
      <c r="F4419" s="156" t="inlineStr"/>
      <c r="G4419" s="182" t="n">
        <v>0</v>
      </c>
      <c r="H4419" s="182" t="n">
        <v>0</v>
      </c>
      <c r="I4419" s="182" t="n">
        <v>0</v>
      </c>
      <c r="J4419" s="182" t="n">
        <v>0</v>
      </c>
      <c r="K4419" s="182" t="n">
        <v>12</v>
      </c>
      <c r="L4419" s="182" t="n">
        <v>12</v>
      </c>
      <c r="M4419" s="182" t="n">
        <v>0</v>
      </c>
      <c r="N4419" s="182" t="n">
        <v>0</v>
      </c>
      <c r="O4419" s="183" t="n">
        <v>0</v>
      </c>
      <c r="P4419" s="183" t="n">
        <v>0</v>
      </c>
      <c r="Q4419" s="184" t="n">
        <v>0</v>
      </c>
      <c r="R4419" s="184" t="n">
        <v>0</v>
      </c>
      <c r="S4419" s="183" t="n">
        <v>0</v>
      </c>
      <c r="T4419" s="183" t="n">
        <v>0</v>
      </c>
      <c r="U4419" s="182" t="n">
        <v>0</v>
      </c>
      <c r="V4419" s="182" t="n">
        <v>0</v>
      </c>
      <c r="W4419" s="182" t="n">
        <v>0</v>
      </c>
      <c r="X4419" s="182" t="n">
        <v>1</v>
      </c>
      <c r="Y4419" s="182" t="n">
        <v>0</v>
      </c>
      <c r="Z4419" s="182" t="n">
        <v>0</v>
      </c>
      <c r="AA4419" s="182" t="n">
        <v>0</v>
      </c>
      <c r="AB4419" s="182" t="n">
        <v>0</v>
      </c>
      <c r="AC4419" s="182" t="n">
        <v>0</v>
      </c>
      <c r="AD4419" s="182" t="n">
        <v>0</v>
      </c>
      <c r="AE4419" s="182" t="n">
        <v>0</v>
      </c>
      <c r="AF4419" s="182" t="n">
        <v>0</v>
      </c>
      <c r="AG4419" s="182" t="n">
        <v>0</v>
      </c>
      <c r="AH4419" s="182" t="n">
        <v>0</v>
      </c>
      <c r="AI4419" s="182" t="n">
        <v>0</v>
      </c>
      <c r="AJ4419" s="182" t="n">
        <v>0</v>
      </c>
      <c r="AK4419" s="182" t="n">
        <v>10.92</v>
      </c>
      <c r="AL4419" s="182" t="n">
        <v>0</v>
      </c>
      <c r="AM4419" s="182" t="n">
        <v>0.08</v>
      </c>
      <c r="AN4419" s="182" t="n">
        <v>0</v>
      </c>
    </row>
    <row r="4420">
      <c r="A4420" s="155" t="n">
        <v>46102</v>
      </c>
      <c r="B4420" s="156" t="inlineStr">
        <is>
          <t>DS</t>
        </is>
      </c>
      <c r="C4420" s="156" t="inlineStr">
        <is>
          <t>HT-410</t>
        </is>
      </c>
      <c r="D4420" s="156" t="inlineStr">
        <is>
          <t>SY430</t>
        </is>
      </c>
      <c r="E4420" s="156" t="inlineStr">
        <is>
          <t>DT Hauling</t>
        </is>
      </c>
      <c r="F4420" s="156" t="inlineStr"/>
      <c r="G4420" s="182" t="n">
        <v>0</v>
      </c>
      <c r="H4420" s="182" t="n">
        <v>0</v>
      </c>
      <c r="I4420" s="182" t="n">
        <v>0</v>
      </c>
      <c r="J4420" s="182" t="n">
        <v>0</v>
      </c>
      <c r="K4420" s="182" t="n">
        <v>12</v>
      </c>
      <c r="L4420" s="182" t="n">
        <v>12</v>
      </c>
      <c r="M4420" s="182" t="n">
        <v>0</v>
      </c>
      <c r="N4420" s="182" t="n">
        <v>0</v>
      </c>
      <c r="O4420" s="183" t="n">
        <v>0</v>
      </c>
      <c r="P4420" s="183" t="n">
        <v>0</v>
      </c>
      <c r="Q4420" s="184" t="n">
        <v>0</v>
      </c>
      <c r="R4420" s="184" t="n">
        <v>0</v>
      </c>
      <c r="S4420" s="183" t="n">
        <v>0</v>
      </c>
      <c r="T4420" s="183" t="n">
        <v>0</v>
      </c>
      <c r="U4420" s="182" t="n">
        <v>0</v>
      </c>
      <c r="V4420" s="182" t="n">
        <v>0</v>
      </c>
      <c r="W4420" s="182" t="n">
        <v>0</v>
      </c>
      <c r="X4420" s="182" t="n">
        <v>1</v>
      </c>
      <c r="Y4420" s="182" t="n">
        <v>0</v>
      </c>
      <c r="Z4420" s="182" t="n">
        <v>0</v>
      </c>
      <c r="AA4420" s="182" t="n">
        <v>0</v>
      </c>
      <c r="AB4420" s="182" t="n">
        <v>0</v>
      </c>
      <c r="AC4420" s="182" t="n">
        <v>0</v>
      </c>
      <c r="AD4420" s="182" t="n">
        <v>0</v>
      </c>
      <c r="AE4420" s="182" t="n">
        <v>0</v>
      </c>
      <c r="AF4420" s="182" t="n">
        <v>0</v>
      </c>
      <c r="AG4420" s="182" t="n">
        <v>0</v>
      </c>
      <c r="AH4420" s="182" t="n">
        <v>0</v>
      </c>
      <c r="AI4420" s="182" t="n">
        <v>0</v>
      </c>
      <c r="AJ4420" s="182" t="n">
        <v>0</v>
      </c>
      <c r="AK4420" s="182" t="n">
        <v>10.92</v>
      </c>
      <c r="AL4420" s="182" t="n">
        <v>0</v>
      </c>
      <c r="AM4420" s="182" t="n">
        <v>0.08</v>
      </c>
      <c r="AN4420" s="182" t="n">
        <v>0</v>
      </c>
    </row>
    <row r="4421">
      <c r="A4421" s="155" t="n">
        <v>46102</v>
      </c>
      <c r="B4421" s="156" t="inlineStr">
        <is>
          <t>DS</t>
        </is>
      </c>
      <c r="C4421" s="156" t="inlineStr">
        <is>
          <t>HT-402</t>
        </is>
      </c>
      <c r="D4421" s="156" t="inlineStr">
        <is>
          <t>SY430</t>
        </is>
      </c>
      <c r="E4421" s="156" t="inlineStr">
        <is>
          <t>DT Hauling</t>
        </is>
      </c>
      <c r="F4421" s="156" t="inlineStr">
        <is>
          <t>Hauling Coal ke Jetty</t>
        </is>
      </c>
      <c r="G4421" s="182" t="n">
        <v>4.55</v>
      </c>
      <c r="H4421" s="182" t="n">
        <v>0</v>
      </c>
      <c r="I4421" s="182" t="n">
        <v>5.87</v>
      </c>
      <c r="J4421" s="182" t="n">
        <v>5.87</v>
      </c>
      <c r="K4421" s="182" t="n">
        <v>1.58</v>
      </c>
      <c r="L4421" s="182" t="n">
        <v>12</v>
      </c>
      <c r="M4421" s="182" t="n">
        <v>0</v>
      </c>
      <c r="N4421" s="182" t="n">
        <v>0</v>
      </c>
      <c r="O4421" s="183" t="n">
        <v>0</v>
      </c>
      <c r="P4421" s="183" t="n">
        <v>0</v>
      </c>
      <c r="Q4421" s="184" t="n">
        <v>0</v>
      </c>
      <c r="R4421" s="184" t="n">
        <v>0</v>
      </c>
      <c r="S4421" s="183" t="n">
        <v>0</v>
      </c>
      <c r="T4421" s="183" t="n">
        <v>0</v>
      </c>
      <c r="U4421" s="182" t="n">
        <v>0</v>
      </c>
      <c r="V4421" s="182" t="n">
        <v>0</v>
      </c>
      <c r="W4421" s="182" t="n">
        <v>0</v>
      </c>
      <c r="X4421" s="182" t="n">
        <v>0.97</v>
      </c>
      <c r="Y4421" s="182" t="n">
        <v>0</v>
      </c>
      <c r="Z4421" s="182" t="n">
        <v>0</v>
      </c>
      <c r="AA4421" s="182" t="n">
        <v>0</v>
      </c>
      <c r="AB4421" s="182" t="n">
        <v>0</v>
      </c>
      <c r="AC4421" s="182" t="n">
        <v>0</v>
      </c>
      <c r="AD4421" s="182" t="n">
        <v>0</v>
      </c>
      <c r="AE4421" s="182" t="n">
        <v>0</v>
      </c>
      <c r="AF4421" s="182" t="n">
        <v>0</v>
      </c>
      <c r="AG4421" s="182" t="n">
        <v>0</v>
      </c>
      <c r="AH4421" s="182" t="n">
        <v>0.53</v>
      </c>
      <c r="AI4421" s="182" t="n">
        <v>0</v>
      </c>
      <c r="AJ4421" s="182" t="n">
        <v>0</v>
      </c>
      <c r="AK4421" s="182" t="n">
        <v>0</v>
      </c>
      <c r="AL4421" s="182" t="n">
        <v>0</v>
      </c>
      <c r="AM4421" s="182" t="n">
        <v>0.08</v>
      </c>
      <c r="AN4421" s="182" t="n">
        <v>0</v>
      </c>
    </row>
    <row r="4422">
      <c r="A4422" s="155" t="n">
        <v>46102</v>
      </c>
      <c r="B4422" s="156" t="inlineStr">
        <is>
          <t>DS</t>
        </is>
      </c>
      <c r="C4422" s="156" t="inlineStr">
        <is>
          <t>HT-419</t>
        </is>
      </c>
      <c r="D4422" s="156" t="inlineStr">
        <is>
          <t>SY430</t>
        </is>
      </c>
      <c r="E4422" s="156" t="inlineStr">
        <is>
          <t>DT Hauling</t>
        </is>
      </c>
      <c r="F4422" s="156" t="inlineStr"/>
      <c r="G4422" s="182" t="n">
        <v>0</v>
      </c>
      <c r="H4422" s="182" t="n">
        <v>0</v>
      </c>
      <c r="I4422" s="182" t="n">
        <v>0</v>
      </c>
      <c r="J4422" s="182" t="n">
        <v>0</v>
      </c>
      <c r="K4422" s="182" t="n">
        <v>12</v>
      </c>
      <c r="L4422" s="182" t="n">
        <v>12</v>
      </c>
      <c r="M4422" s="182" t="n">
        <v>0</v>
      </c>
      <c r="N4422" s="182" t="n">
        <v>0</v>
      </c>
      <c r="O4422" s="183" t="n">
        <v>0</v>
      </c>
      <c r="P4422" s="183" t="n">
        <v>0</v>
      </c>
      <c r="Q4422" s="184" t="n">
        <v>0</v>
      </c>
      <c r="R4422" s="184" t="n">
        <v>0</v>
      </c>
      <c r="S4422" s="183" t="n">
        <v>0</v>
      </c>
      <c r="T4422" s="183" t="n">
        <v>0</v>
      </c>
      <c r="U4422" s="182" t="n">
        <v>0</v>
      </c>
      <c r="V4422" s="182" t="n">
        <v>0</v>
      </c>
      <c r="W4422" s="182" t="n">
        <v>0</v>
      </c>
      <c r="X4422" s="182" t="n">
        <v>1</v>
      </c>
      <c r="Y4422" s="182" t="n">
        <v>0</v>
      </c>
      <c r="Z4422" s="182" t="n">
        <v>0</v>
      </c>
      <c r="AA4422" s="182" t="n">
        <v>0</v>
      </c>
      <c r="AB4422" s="182" t="n">
        <v>0</v>
      </c>
      <c r="AC4422" s="182" t="n">
        <v>0</v>
      </c>
      <c r="AD4422" s="182" t="n">
        <v>0</v>
      </c>
      <c r="AE4422" s="182" t="n">
        <v>0</v>
      </c>
      <c r="AF4422" s="182" t="n">
        <v>0</v>
      </c>
      <c r="AG4422" s="182" t="n">
        <v>0</v>
      </c>
      <c r="AH4422" s="182" t="n">
        <v>0</v>
      </c>
      <c r="AI4422" s="182" t="n">
        <v>0</v>
      </c>
      <c r="AJ4422" s="182" t="n">
        <v>0</v>
      </c>
      <c r="AK4422" s="182" t="n">
        <v>10.92</v>
      </c>
      <c r="AL4422" s="182" t="n">
        <v>0</v>
      </c>
      <c r="AM4422" s="182" t="n">
        <v>0.08</v>
      </c>
      <c r="AN4422" s="182" t="n">
        <v>0</v>
      </c>
    </row>
    <row r="4423">
      <c r="A4423" s="155" t="n">
        <v>46102</v>
      </c>
      <c r="B4423" s="156" t="inlineStr">
        <is>
          <t>DS</t>
        </is>
      </c>
      <c r="C4423" s="156" t="inlineStr">
        <is>
          <t>HT-416</t>
        </is>
      </c>
      <c r="D4423" s="156" t="inlineStr">
        <is>
          <t>SY430</t>
        </is>
      </c>
      <c r="E4423" s="156" t="inlineStr">
        <is>
          <t>DT Hauling</t>
        </is>
      </c>
      <c r="F4423" s="156" t="inlineStr">
        <is>
          <t>Hauling Coal ke Jetty</t>
        </is>
      </c>
      <c r="G4423" s="182" t="n">
        <v>8.800000000000001</v>
      </c>
      <c r="H4423" s="182" t="n">
        <v>0</v>
      </c>
      <c r="I4423" s="182" t="n">
        <v>0</v>
      </c>
      <c r="J4423" s="182" t="n">
        <v>0</v>
      </c>
      <c r="K4423" s="182" t="n">
        <v>3.2</v>
      </c>
      <c r="L4423" s="182" t="n">
        <v>12</v>
      </c>
      <c r="M4423" s="182" t="n">
        <v>0</v>
      </c>
      <c r="N4423" s="182" t="n">
        <v>0</v>
      </c>
      <c r="O4423" s="183" t="n">
        <v>0</v>
      </c>
      <c r="P4423" s="183" t="n">
        <v>0</v>
      </c>
      <c r="Q4423" s="184" t="n">
        <v>0</v>
      </c>
      <c r="R4423" s="184" t="n">
        <v>0</v>
      </c>
      <c r="S4423" s="183" t="n">
        <v>0</v>
      </c>
      <c r="T4423" s="183" t="n">
        <v>0</v>
      </c>
      <c r="U4423" s="182" t="n">
        <v>0</v>
      </c>
      <c r="V4423" s="182" t="n">
        <v>0</v>
      </c>
      <c r="W4423" s="182" t="n">
        <v>0</v>
      </c>
      <c r="X4423" s="182" t="n">
        <v>1.03</v>
      </c>
      <c r="Y4423" s="182" t="n">
        <v>0</v>
      </c>
      <c r="Z4423" s="182" t="n">
        <v>0</v>
      </c>
      <c r="AA4423" s="182" t="n">
        <v>0</v>
      </c>
      <c r="AB4423" s="182" t="n">
        <v>0</v>
      </c>
      <c r="AC4423" s="182" t="n">
        <v>0</v>
      </c>
      <c r="AD4423" s="182" t="n">
        <v>0</v>
      </c>
      <c r="AE4423" s="182" t="n">
        <v>0</v>
      </c>
      <c r="AF4423" s="182" t="n">
        <v>0</v>
      </c>
      <c r="AG4423" s="182" t="n">
        <v>0</v>
      </c>
      <c r="AH4423" s="182" t="n">
        <v>0</v>
      </c>
      <c r="AI4423" s="182" t="n">
        <v>0</v>
      </c>
      <c r="AJ4423" s="182" t="n">
        <v>0</v>
      </c>
      <c r="AK4423" s="182" t="n">
        <v>2.09</v>
      </c>
      <c r="AL4423" s="182" t="n">
        <v>0</v>
      </c>
      <c r="AM4423" s="182" t="n">
        <v>0.08</v>
      </c>
      <c r="AN4423" s="182" t="n">
        <v>0</v>
      </c>
    </row>
    <row r="4424">
      <c r="A4424" s="155" t="n">
        <v>46102</v>
      </c>
      <c r="B4424" s="156" t="inlineStr">
        <is>
          <t>DS</t>
        </is>
      </c>
      <c r="C4424" s="156" t="inlineStr">
        <is>
          <t>HT-420</t>
        </is>
      </c>
      <c r="D4424" s="156" t="inlineStr">
        <is>
          <t>SY430</t>
        </is>
      </c>
      <c r="E4424" s="156" t="inlineStr">
        <is>
          <t>DT Hauling</t>
        </is>
      </c>
      <c r="F4424" s="156" t="inlineStr">
        <is>
          <t>Hauling Coal ke Jetty</t>
        </is>
      </c>
      <c r="G4424" s="182" t="n">
        <v>9.9</v>
      </c>
      <c r="H4424" s="182" t="n">
        <v>0</v>
      </c>
      <c r="I4424" s="182" t="n">
        <v>0</v>
      </c>
      <c r="J4424" s="182" t="n">
        <v>0</v>
      </c>
      <c r="K4424" s="182" t="n">
        <v>2.1</v>
      </c>
      <c r="L4424" s="182" t="n">
        <v>12</v>
      </c>
      <c r="M4424" s="182" t="n">
        <v>0</v>
      </c>
      <c r="N4424" s="182" t="n">
        <v>0</v>
      </c>
      <c r="O4424" s="183" t="n">
        <v>0</v>
      </c>
      <c r="P4424" s="183" t="n">
        <v>0</v>
      </c>
      <c r="Q4424" s="184" t="n">
        <v>0</v>
      </c>
      <c r="R4424" s="184" t="n">
        <v>0</v>
      </c>
      <c r="S4424" s="183" t="n">
        <v>0</v>
      </c>
      <c r="T4424" s="183" t="n">
        <v>0</v>
      </c>
      <c r="U4424" s="182" t="n">
        <v>0</v>
      </c>
      <c r="V4424" s="182" t="n">
        <v>0</v>
      </c>
      <c r="W4424" s="182" t="n">
        <v>0</v>
      </c>
      <c r="X4424" s="182" t="n">
        <v>1.17</v>
      </c>
      <c r="Y4424" s="182" t="n">
        <v>0</v>
      </c>
      <c r="Z4424" s="182" t="n">
        <v>0</v>
      </c>
      <c r="AA4424" s="182" t="n">
        <v>0</v>
      </c>
      <c r="AB4424" s="182" t="n">
        <v>0</v>
      </c>
      <c r="AC4424" s="182" t="n">
        <v>0</v>
      </c>
      <c r="AD4424" s="182" t="n">
        <v>0</v>
      </c>
      <c r="AE4424" s="182" t="n">
        <v>0</v>
      </c>
      <c r="AF4424" s="182" t="n">
        <v>0</v>
      </c>
      <c r="AG4424" s="182" t="n">
        <v>0</v>
      </c>
      <c r="AH4424" s="182" t="n">
        <v>0.84</v>
      </c>
      <c r="AI4424" s="182" t="n">
        <v>0</v>
      </c>
      <c r="AJ4424" s="182" t="n">
        <v>0</v>
      </c>
      <c r="AK4424" s="182" t="n">
        <v>0</v>
      </c>
      <c r="AL4424" s="182" t="n">
        <v>0</v>
      </c>
      <c r="AM4424" s="182" t="n">
        <v>0.09</v>
      </c>
      <c r="AN4424" s="182" t="n">
        <v>0</v>
      </c>
    </row>
    <row r="4425">
      <c r="A4425" s="155" t="n">
        <v>46102</v>
      </c>
      <c r="B4425" s="156" t="inlineStr">
        <is>
          <t>DS</t>
        </is>
      </c>
      <c r="C4425" s="156" t="inlineStr">
        <is>
          <t>HT-403</t>
        </is>
      </c>
      <c r="D4425" s="156" t="inlineStr">
        <is>
          <t>SY430</t>
        </is>
      </c>
      <c r="E4425" s="156" t="inlineStr">
        <is>
          <t>DT Hauling</t>
        </is>
      </c>
      <c r="F4425" s="156" t="inlineStr">
        <is>
          <t>Hauling Coal ke Jetty</t>
        </is>
      </c>
      <c r="G4425" s="182" t="n">
        <v>11.75</v>
      </c>
      <c r="H4425" s="182" t="n">
        <v>0</v>
      </c>
      <c r="I4425" s="182" t="n">
        <v>0</v>
      </c>
      <c r="J4425" s="182" t="n">
        <v>0</v>
      </c>
      <c r="K4425" s="182" t="n">
        <v>0.25</v>
      </c>
      <c r="L4425" s="182" t="n">
        <v>12</v>
      </c>
      <c r="M4425" s="182" t="n">
        <v>0</v>
      </c>
      <c r="N4425" s="182" t="n">
        <v>0</v>
      </c>
      <c r="O4425" s="183" t="n">
        <v>0</v>
      </c>
      <c r="P4425" s="183" t="n">
        <v>0</v>
      </c>
      <c r="Q4425" s="184" t="n">
        <v>0</v>
      </c>
      <c r="R4425" s="184" t="n">
        <v>0</v>
      </c>
      <c r="S4425" s="183" t="n">
        <v>0</v>
      </c>
      <c r="T4425" s="183" t="n">
        <v>0</v>
      </c>
      <c r="U4425" s="182" t="n">
        <v>0</v>
      </c>
      <c r="V4425" s="182" t="n">
        <v>0</v>
      </c>
      <c r="W4425" s="182" t="n">
        <v>0</v>
      </c>
      <c r="X4425" s="182" t="n">
        <v>0.22</v>
      </c>
      <c r="Y4425" s="182" t="n">
        <v>0</v>
      </c>
      <c r="Z4425" s="182" t="n">
        <v>0</v>
      </c>
      <c r="AA4425" s="182" t="n">
        <v>0</v>
      </c>
      <c r="AB4425" s="182" t="n">
        <v>0</v>
      </c>
      <c r="AC4425" s="182" t="n">
        <v>0</v>
      </c>
      <c r="AD4425" s="182" t="n">
        <v>0</v>
      </c>
      <c r="AE4425" s="182" t="n">
        <v>0</v>
      </c>
      <c r="AF4425" s="182" t="n">
        <v>0</v>
      </c>
      <c r="AG4425" s="182" t="n">
        <v>0</v>
      </c>
      <c r="AH4425" s="182" t="n">
        <v>0</v>
      </c>
      <c r="AI4425" s="182" t="n">
        <v>0</v>
      </c>
      <c r="AJ4425" s="182" t="n">
        <v>0</v>
      </c>
      <c r="AK4425" s="182" t="n">
        <v>0</v>
      </c>
      <c r="AL4425" s="182" t="n">
        <v>0</v>
      </c>
      <c r="AM4425" s="182" t="n">
        <v>0.03</v>
      </c>
      <c r="AN4425" s="182" t="n">
        <v>0</v>
      </c>
    </row>
    <row r="4426">
      <c r="A4426" s="155" t="n">
        <v>46102</v>
      </c>
      <c r="B4426" s="156" t="inlineStr">
        <is>
          <t>DS</t>
        </is>
      </c>
      <c r="C4426" s="156" t="inlineStr">
        <is>
          <t>HT-408</t>
        </is>
      </c>
      <c r="D4426" s="156" t="inlineStr">
        <is>
          <t>SY430</t>
        </is>
      </c>
      <c r="E4426" s="156" t="inlineStr">
        <is>
          <t>DT Hauling</t>
        </is>
      </c>
      <c r="F4426" s="156" t="inlineStr"/>
      <c r="G4426" s="182" t="n">
        <v>0</v>
      </c>
      <c r="H4426" s="182" t="n">
        <v>0</v>
      </c>
      <c r="I4426" s="182" t="n">
        <v>2.03</v>
      </c>
      <c r="J4426" s="182" t="n">
        <v>2.03</v>
      </c>
      <c r="K4426" s="182" t="n">
        <v>9.970000000000001</v>
      </c>
      <c r="L4426" s="182" t="n">
        <v>12</v>
      </c>
      <c r="M4426" s="182" t="n">
        <v>0</v>
      </c>
      <c r="N4426" s="182" t="n">
        <v>0</v>
      </c>
      <c r="O4426" s="183" t="n">
        <v>0</v>
      </c>
      <c r="P4426" s="183" t="n">
        <v>0</v>
      </c>
      <c r="Q4426" s="184" t="n">
        <v>0</v>
      </c>
      <c r="R4426" s="184" t="n">
        <v>0</v>
      </c>
      <c r="S4426" s="183" t="n">
        <v>0</v>
      </c>
      <c r="T4426" s="183" t="n">
        <v>0</v>
      </c>
      <c r="U4426" s="182" t="n">
        <v>0</v>
      </c>
      <c r="V4426" s="182" t="n">
        <v>0</v>
      </c>
      <c r="W4426" s="182" t="n">
        <v>0</v>
      </c>
      <c r="X4426" s="182" t="n">
        <v>1</v>
      </c>
      <c r="Y4426" s="182" t="n">
        <v>0</v>
      </c>
      <c r="Z4426" s="182" t="n">
        <v>0</v>
      </c>
      <c r="AA4426" s="182" t="n">
        <v>0</v>
      </c>
      <c r="AB4426" s="182" t="n">
        <v>0</v>
      </c>
      <c r="AC4426" s="182" t="n">
        <v>0</v>
      </c>
      <c r="AD4426" s="182" t="n">
        <v>0</v>
      </c>
      <c r="AE4426" s="182" t="n">
        <v>0</v>
      </c>
      <c r="AF4426" s="182" t="n">
        <v>0</v>
      </c>
      <c r="AG4426" s="182" t="n">
        <v>0</v>
      </c>
      <c r="AH4426" s="182" t="n">
        <v>0</v>
      </c>
      <c r="AI4426" s="182" t="n">
        <v>0</v>
      </c>
      <c r="AJ4426" s="182" t="n">
        <v>0</v>
      </c>
      <c r="AK4426" s="182" t="n">
        <v>8.880000000000001</v>
      </c>
      <c r="AL4426" s="182" t="n">
        <v>0</v>
      </c>
      <c r="AM4426" s="182" t="n">
        <v>0.08</v>
      </c>
      <c r="AN4426" s="182" t="n">
        <v>0</v>
      </c>
    </row>
    <row r="4427">
      <c r="A4427" s="155" t="n">
        <v>46102</v>
      </c>
      <c r="B4427" s="156" t="inlineStr">
        <is>
          <t>DS</t>
        </is>
      </c>
      <c r="C4427" s="156" t="inlineStr">
        <is>
          <t>HT-412</t>
        </is>
      </c>
      <c r="D4427" s="156" t="inlineStr">
        <is>
          <t>SY430</t>
        </is>
      </c>
      <c r="E4427" s="156" t="inlineStr">
        <is>
          <t>DT Hauling</t>
        </is>
      </c>
      <c r="F4427" s="156" t="inlineStr">
        <is>
          <t>Hauling Coal ke Jetty</t>
        </is>
      </c>
      <c r="G4427" s="182" t="n">
        <v>5.43</v>
      </c>
      <c r="H4427" s="182" t="n">
        <v>0</v>
      </c>
      <c r="I4427" s="182" t="n">
        <v>0</v>
      </c>
      <c r="J4427" s="182" t="n">
        <v>0</v>
      </c>
      <c r="K4427" s="182" t="n">
        <v>6.57</v>
      </c>
      <c r="L4427" s="182" t="n">
        <v>12</v>
      </c>
      <c r="M4427" s="182" t="n">
        <v>0</v>
      </c>
      <c r="N4427" s="182" t="n">
        <v>0</v>
      </c>
      <c r="O4427" s="183" t="n">
        <v>0</v>
      </c>
      <c r="P4427" s="183" t="n">
        <v>0</v>
      </c>
      <c r="Q4427" s="184" t="n">
        <v>0</v>
      </c>
      <c r="R4427" s="184" t="n">
        <v>0</v>
      </c>
      <c r="S4427" s="183" t="n">
        <v>0</v>
      </c>
      <c r="T4427" s="183" t="n">
        <v>0</v>
      </c>
      <c r="U4427" s="182" t="n">
        <v>0</v>
      </c>
      <c r="V4427" s="182" t="n">
        <v>0</v>
      </c>
      <c r="W4427" s="182" t="n">
        <v>0</v>
      </c>
      <c r="X4427" s="182" t="n">
        <v>1.03</v>
      </c>
      <c r="Y4427" s="182" t="n">
        <v>0</v>
      </c>
      <c r="Z4427" s="182" t="n">
        <v>0</v>
      </c>
      <c r="AA4427" s="182" t="n">
        <v>0</v>
      </c>
      <c r="AB4427" s="182" t="n">
        <v>0</v>
      </c>
      <c r="AC4427" s="182" t="n">
        <v>0</v>
      </c>
      <c r="AD4427" s="182" t="n">
        <v>0</v>
      </c>
      <c r="AE4427" s="182" t="n">
        <v>0</v>
      </c>
      <c r="AF4427" s="182" t="n">
        <v>0</v>
      </c>
      <c r="AG4427" s="182" t="n">
        <v>0</v>
      </c>
      <c r="AH4427" s="182" t="n">
        <v>0</v>
      </c>
      <c r="AI4427" s="182" t="n">
        <v>0</v>
      </c>
      <c r="AJ4427" s="182" t="n">
        <v>0</v>
      </c>
      <c r="AK4427" s="182" t="n">
        <v>5.46</v>
      </c>
      <c r="AL4427" s="182" t="n">
        <v>0</v>
      </c>
      <c r="AM4427" s="182" t="n">
        <v>0.08</v>
      </c>
      <c r="AN4427" s="182" t="n">
        <v>0</v>
      </c>
    </row>
    <row r="4428">
      <c r="A4428" s="155" t="n">
        <v>46102</v>
      </c>
      <c r="B4428" s="156" t="inlineStr">
        <is>
          <t>DS</t>
        </is>
      </c>
      <c r="C4428" s="156" t="inlineStr">
        <is>
          <t>HT-413</t>
        </is>
      </c>
      <c r="D4428" s="156" t="inlineStr">
        <is>
          <t>SY430</t>
        </is>
      </c>
      <c r="E4428" s="156" t="inlineStr">
        <is>
          <t>DT Hauling</t>
        </is>
      </c>
      <c r="F4428" s="156" t="inlineStr"/>
      <c r="G4428" s="182" t="n">
        <v>0</v>
      </c>
      <c r="H4428" s="182" t="n">
        <v>0</v>
      </c>
      <c r="I4428" s="182" t="n">
        <v>12</v>
      </c>
      <c r="J4428" s="182" t="n">
        <v>12</v>
      </c>
      <c r="K4428" s="182" t="n">
        <v>0</v>
      </c>
      <c r="L4428" s="182" t="n">
        <v>12</v>
      </c>
      <c r="M4428" s="182" t="n">
        <v>0</v>
      </c>
      <c r="N4428" s="182" t="n">
        <v>0</v>
      </c>
      <c r="O4428" s="183" t="n">
        <v>0</v>
      </c>
      <c r="P4428" s="183" t="n">
        <v>0</v>
      </c>
      <c r="Q4428" s="184" t="n">
        <v>0</v>
      </c>
      <c r="R4428" s="184" t="n">
        <v>0</v>
      </c>
      <c r="S4428" s="183" t="n">
        <v>0</v>
      </c>
      <c r="T4428" s="183" t="n">
        <v>0</v>
      </c>
      <c r="U4428" s="182" t="n">
        <v>0</v>
      </c>
      <c r="V4428" s="182" t="n">
        <v>0</v>
      </c>
      <c r="W4428" s="182" t="n">
        <v>0</v>
      </c>
      <c r="X4428" s="182" t="n">
        <v>0</v>
      </c>
      <c r="Y4428" s="182" t="n">
        <v>0</v>
      </c>
      <c r="Z4428" s="182" t="n">
        <v>0</v>
      </c>
      <c r="AA4428" s="182" t="n">
        <v>0</v>
      </c>
      <c r="AB4428" s="182" t="n">
        <v>0</v>
      </c>
      <c r="AC4428" s="182" t="n">
        <v>0</v>
      </c>
      <c r="AD4428" s="182" t="n">
        <v>0</v>
      </c>
      <c r="AE4428" s="182" t="n">
        <v>0</v>
      </c>
      <c r="AF4428" s="182" t="n">
        <v>0</v>
      </c>
      <c r="AG4428" s="182" t="n">
        <v>0</v>
      </c>
      <c r="AH4428" s="182" t="n">
        <v>0</v>
      </c>
      <c r="AI4428" s="182" t="n">
        <v>0</v>
      </c>
      <c r="AJ4428" s="182" t="n">
        <v>0</v>
      </c>
      <c r="AK4428" s="182" t="n">
        <v>0</v>
      </c>
      <c r="AL4428" s="182" t="n">
        <v>0</v>
      </c>
      <c r="AM4428" s="182" t="n">
        <v>0</v>
      </c>
      <c r="AN4428" s="182" t="n">
        <v>0</v>
      </c>
    </row>
    <row r="4429">
      <c r="A4429" s="155" t="n">
        <v>46102</v>
      </c>
      <c r="B4429" s="156" t="inlineStr">
        <is>
          <t>DS</t>
        </is>
      </c>
      <c r="C4429" s="156" t="inlineStr">
        <is>
          <t>HT-407</t>
        </is>
      </c>
      <c r="D4429" s="156" t="inlineStr">
        <is>
          <t>SY430</t>
        </is>
      </c>
      <c r="E4429" s="156" t="inlineStr">
        <is>
          <t>DT Hauling</t>
        </is>
      </c>
      <c r="F4429" s="156" t="inlineStr"/>
      <c r="G4429" s="182" t="n">
        <v>0</v>
      </c>
      <c r="H4429" s="182" t="n">
        <v>0</v>
      </c>
      <c r="I4429" s="182" t="n">
        <v>0.83</v>
      </c>
      <c r="J4429" s="182" t="n">
        <v>0.83</v>
      </c>
      <c r="K4429" s="182" t="n">
        <v>11.17</v>
      </c>
      <c r="L4429" s="182" t="n">
        <v>12</v>
      </c>
      <c r="M4429" s="182" t="n">
        <v>0</v>
      </c>
      <c r="N4429" s="182" t="n">
        <v>0</v>
      </c>
      <c r="O4429" s="183" t="n">
        <v>0</v>
      </c>
      <c r="P4429" s="183" t="n">
        <v>0</v>
      </c>
      <c r="Q4429" s="184" t="n">
        <v>0</v>
      </c>
      <c r="R4429" s="184" t="n">
        <v>0</v>
      </c>
      <c r="S4429" s="183" t="n">
        <v>0</v>
      </c>
      <c r="T4429" s="183" t="n">
        <v>0</v>
      </c>
      <c r="U4429" s="182" t="n">
        <v>0</v>
      </c>
      <c r="V4429" s="182" t="n">
        <v>0</v>
      </c>
      <c r="W4429" s="182" t="n">
        <v>0</v>
      </c>
      <c r="X4429" s="182" t="n">
        <v>1</v>
      </c>
      <c r="Y4429" s="182" t="n">
        <v>0</v>
      </c>
      <c r="Z4429" s="182" t="n">
        <v>0</v>
      </c>
      <c r="AA4429" s="182" t="n">
        <v>0</v>
      </c>
      <c r="AB4429" s="182" t="n">
        <v>0</v>
      </c>
      <c r="AC4429" s="182" t="n">
        <v>0</v>
      </c>
      <c r="AD4429" s="182" t="n">
        <v>0</v>
      </c>
      <c r="AE4429" s="182" t="n">
        <v>0</v>
      </c>
      <c r="AF4429" s="182" t="n">
        <v>0</v>
      </c>
      <c r="AG4429" s="182" t="n">
        <v>0</v>
      </c>
      <c r="AH4429" s="182" t="n">
        <v>0</v>
      </c>
      <c r="AI4429" s="182" t="n">
        <v>0</v>
      </c>
      <c r="AJ4429" s="182" t="n">
        <v>0</v>
      </c>
      <c r="AK4429" s="182" t="n">
        <v>10.08</v>
      </c>
      <c r="AL4429" s="182" t="n">
        <v>0</v>
      </c>
      <c r="AM4429" s="182" t="n">
        <v>0.08</v>
      </c>
      <c r="AN4429" s="182" t="n">
        <v>0</v>
      </c>
    </row>
    <row r="4430">
      <c r="A4430" s="155" t="n">
        <v>46102</v>
      </c>
      <c r="B4430" s="156" t="inlineStr">
        <is>
          <t>DS</t>
        </is>
      </c>
      <c r="C4430" s="156" t="inlineStr">
        <is>
          <t>HT-414</t>
        </is>
      </c>
      <c r="D4430" s="156" t="inlineStr">
        <is>
          <t>SY430</t>
        </is>
      </c>
      <c r="E4430" s="156" t="inlineStr">
        <is>
          <t>DT Hauling</t>
        </is>
      </c>
      <c r="F4430" s="156" t="inlineStr">
        <is>
          <t>Hauling Coal ke Jetty</t>
        </is>
      </c>
      <c r="G4430" s="182" t="n">
        <v>9.93</v>
      </c>
      <c r="H4430" s="182" t="n">
        <v>0</v>
      </c>
      <c r="I4430" s="182" t="n">
        <v>1.92</v>
      </c>
      <c r="J4430" s="182" t="n">
        <v>1.92</v>
      </c>
      <c r="K4430" s="182" t="n">
        <v>0.15</v>
      </c>
      <c r="L4430" s="182" t="n">
        <v>12</v>
      </c>
      <c r="M4430" s="182" t="n">
        <v>0</v>
      </c>
      <c r="N4430" s="182" t="n">
        <v>0</v>
      </c>
      <c r="O4430" s="183" t="n">
        <v>0</v>
      </c>
      <c r="P4430" s="183" t="n">
        <v>0</v>
      </c>
      <c r="Q4430" s="184" t="n">
        <v>0</v>
      </c>
      <c r="R4430" s="184" t="n">
        <v>0</v>
      </c>
      <c r="S4430" s="183" t="n">
        <v>0</v>
      </c>
      <c r="T4430" s="183" t="n">
        <v>0</v>
      </c>
      <c r="U4430" s="182" t="n">
        <v>0</v>
      </c>
      <c r="V4430" s="182" t="n">
        <v>0</v>
      </c>
      <c r="W4430" s="182" t="n">
        <v>0</v>
      </c>
      <c r="X4430" s="182" t="n">
        <v>0.12</v>
      </c>
      <c r="Y4430" s="182" t="n">
        <v>0</v>
      </c>
      <c r="Z4430" s="182" t="n">
        <v>0</v>
      </c>
      <c r="AA4430" s="182" t="n">
        <v>0</v>
      </c>
      <c r="AB4430" s="182" t="n">
        <v>0</v>
      </c>
      <c r="AC4430" s="182" t="n">
        <v>0</v>
      </c>
      <c r="AD4430" s="182" t="n">
        <v>0</v>
      </c>
      <c r="AE4430" s="182" t="n">
        <v>0</v>
      </c>
      <c r="AF4430" s="182" t="n">
        <v>0</v>
      </c>
      <c r="AG4430" s="182" t="n">
        <v>0</v>
      </c>
      <c r="AH4430" s="182" t="n">
        <v>0</v>
      </c>
      <c r="AI4430" s="182" t="n">
        <v>0</v>
      </c>
      <c r="AJ4430" s="182" t="n">
        <v>0</v>
      </c>
      <c r="AK4430" s="182" t="n">
        <v>0</v>
      </c>
      <c r="AL4430" s="182" t="n">
        <v>0</v>
      </c>
      <c r="AM4430" s="182" t="n">
        <v>0.03</v>
      </c>
      <c r="AN4430" s="182" t="n">
        <v>0</v>
      </c>
    </row>
    <row r="4431">
      <c r="A4431" s="155" t="n">
        <v>46102</v>
      </c>
      <c r="B4431" s="156" t="inlineStr">
        <is>
          <t>DS</t>
        </is>
      </c>
      <c r="C4431" s="156" t="inlineStr">
        <is>
          <t>HT-411</t>
        </is>
      </c>
      <c r="D4431" s="156" t="inlineStr">
        <is>
          <t>SY430</t>
        </is>
      </c>
      <c r="E4431" s="156" t="inlineStr">
        <is>
          <t>DT Hauling</t>
        </is>
      </c>
      <c r="F4431" s="156" t="inlineStr"/>
      <c r="G4431" s="182" t="n">
        <v>0</v>
      </c>
      <c r="H4431" s="182" t="n">
        <v>0</v>
      </c>
      <c r="I4431" s="182" t="n">
        <v>0</v>
      </c>
      <c r="J4431" s="182" t="n">
        <v>0</v>
      </c>
      <c r="K4431" s="182" t="n">
        <v>12</v>
      </c>
      <c r="L4431" s="182" t="n">
        <v>12</v>
      </c>
      <c r="M4431" s="182" t="n">
        <v>0</v>
      </c>
      <c r="N4431" s="182" t="n">
        <v>0</v>
      </c>
      <c r="O4431" s="183" t="n">
        <v>0</v>
      </c>
      <c r="P4431" s="183" t="n">
        <v>0</v>
      </c>
      <c r="Q4431" s="184" t="n">
        <v>0</v>
      </c>
      <c r="R4431" s="184" t="n">
        <v>0</v>
      </c>
      <c r="S4431" s="183" t="n">
        <v>0</v>
      </c>
      <c r="T4431" s="183" t="n">
        <v>0</v>
      </c>
      <c r="U4431" s="182" t="n">
        <v>0</v>
      </c>
      <c r="V4431" s="182" t="n">
        <v>0</v>
      </c>
      <c r="W4431" s="182" t="n">
        <v>0</v>
      </c>
      <c r="X4431" s="182" t="n">
        <v>1</v>
      </c>
      <c r="Y4431" s="182" t="n">
        <v>0</v>
      </c>
      <c r="Z4431" s="182" t="n">
        <v>0</v>
      </c>
      <c r="AA4431" s="182" t="n">
        <v>0</v>
      </c>
      <c r="AB4431" s="182" t="n">
        <v>0</v>
      </c>
      <c r="AC4431" s="182" t="n">
        <v>0</v>
      </c>
      <c r="AD4431" s="182" t="n">
        <v>0</v>
      </c>
      <c r="AE4431" s="182" t="n">
        <v>0</v>
      </c>
      <c r="AF4431" s="182" t="n">
        <v>0</v>
      </c>
      <c r="AG4431" s="182" t="n">
        <v>0</v>
      </c>
      <c r="AH4431" s="182" t="n">
        <v>0</v>
      </c>
      <c r="AI4431" s="182" t="n">
        <v>0</v>
      </c>
      <c r="AJ4431" s="182" t="n">
        <v>0</v>
      </c>
      <c r="AK4431" s="182" t="n">
        <v>10.92</v>
      </c>
      <c r="AL4431" s="182" t="n">
        <v>0</v>
      </c>
      <c r="AM4431" s="182" t="n">
        <v>0.08</v>
      </c>
      <c r="AN4431" s="182" t="n">
        <v>0</v>
      </c>
    </row>
    <row r="4432">
      <c r="A4432" s="155" t="n">
        <v>46102</v>
      </c>
      <c r="B4432" s="156" t="inlineStr">
        <is>
          <t>DS</t>
        </is>
      </c>
      <c r="C4432" s="156" t="inlineStr">
        <is>
          <t>HT-409</t>
        </is>
      </c>
      <c r="D4432" s="156" t="inlineStr">
        <is>
          <t>SY430</t>
        </is>
      </c>
      <c r="E4432" s="156" t="inlineStr">
        <is>
          <t>DT Hauling</t>
        </is>
      </c>
      <c r="F4432" s="156" t="inlineStr">
        <is>
          <t>Hauling Coal ke Jetty</t>
        </is>
      </c>
      <c r="G4432" s="182" t="n">
        <v>10.96</v>
      </c>
      <c r="H4432" s="182" t="n">
        <v>0</v>
      </c>
      <c r="I4432" s="182" t="n">
        <v>0</v>
      </c>
      <c r="J4432" s="182" t="n">
        <v>0</v>
      </c>
      <c r="K4432" s="182" t="n">
        <v>1.04</v>
      </c>
      <c r="L4432" s="182" t="n">
        <v>12</v>
      </c>
      <c r="M4432" s="182" t="n">
        <v>0</v>
      </c>
      <c r="N4432" s="182" t="n">
        <v>0</v>
      </c>
      <c r="O4432" s="183" t="n">
        <v>0</v>
      </c>
      <c r="P4432" s="183" t="n">
        <v>0</v>
      </c>
      <c r="Q4432" s="184" t="n">
        <v>0</v>
      </c>
      <c r="R4432" s="184" t="n">
        <v>0</v>
      </c>
      <c r="S4432" s="183" t="n">
        <v>0</v>
      </c>
      <c r="T4432" s="183" t="n">
        <v>0</v>
      </c>
      <c r="U4432" s="182" t="n">
        <v>0</v>
      </c>
      <c r="V4432" s="182" t="n">
        <v>0</v>
      </c>
      <c r="W4432" s="182" t="n">
        <v>0</v>
      </c>
      <c r="X4432" s="182" t="n">
        <v>0.95</v>
      </c>
      <c r="Y4432" s="182" t="n">
        <v>0</v>
      </c>
      <c r="Z4432" s="182" t="n">
        <v>0</v>
      </c>
      <c r="AA4432" s="182" t="n">
        <v>0</v>
      </c>
      <c r="AB4432" s="182" t="n">
        <v>0</v>
      </c>
      <c r="AC4432" s="182" t="n">
        <v>0</v>
      </c>
      <c r="AD4432" s="182" t="n">
        <v>0</v>
      </c>
      <c r="AE4432" s="182" t="n">
        <v>0</v>
      </c>
      <c r="AF4432" s="182" t="n">
        <v>0</v>
      </c>
      <c r="AG4432" s="182" t="n">
        <v>0</v>
      </c>
      <c r="AH4432" s="182" t="n">
        <v>0.02</v>
      </c>
      <c r="AI4432" s="182" t="n">
        <v>0</v>
      </c>
      <c r="AJ4432" s="182" t="n">
        <v>0</v>
      </c>
      <c r="AK4432" s="182" t="n">
        <v>0</v>
      </c>
      <c r="AL4432" s="182" t="n">
        <v>0</v>
      </c>
      <c r="AM4432" s="182" t="n">
        <v>0.08</v>
      </c>
      <c r="AN4432" s="182" t="n">
        <v>0</v>
      </c>
    </row>
    <row r="4433">
      <c r="A4433" s="155" t="n">
        <v>46102</v>
      </c>
      <c r="B4433" s="156" t="inlineStr">
        <is>
          <t>DS</t>
        </is>
      </c>
      <c r="C4433" s="156" t="inlineStr">
        <is>
          <t>DH-103</t>
        </is>
      </c>
      <c r="D4433" s="156" t="inlineStr">
        <is>
          <t>HINO FM260</t>
        </is>
      </c>
      <c r="E4433" s="156" t="inlineStr">
        <is>
          <t>DT Hino</t>
        </is>
      </c>
      <c r="F4433" s="156" t="inlineStr"/>
      <c r="G4433" s="182" t="n">
        <v>0</v>
      </c>
      <c r="H4433" s="182" t="n">
        <v>0</v>
      </c>
      <c r="I4433" s="182" t="n">
        <v>12</v>
      </c>
      <c r="J4433" s="182" t="n">
        <v>12</v>
      </c>
      <c r="K4433" s="182" t="n">
        <v>0</v>
      </c>
      <c r="L4433" s="182" t="n">
        <v>12</v>
      </c>
      <c r="M4433" s="182" t="n">
        <v>0</v>
      </c>
      <c r="N4433" s="182" t="n">
        <v>0</v>
      </c>
      <c r="O4433" s="183" t="n">
        <v>0</v>
      </c>
      <c r="P4433" s="183" t="n">
        <v>0</v>
      </c>
      <c r="Q4433" s="184" t="n">
        <v>0</v>
      </c>
      <c r="R4433" s="184" t="n">
        <v>0</v>
      </c>
      <c r="S4433" s="183" t="n">
        <v>0</v>
      </c>
      <c r="T4433" s="183" t="n">
        <v>0</v>
      </c>
      <c r="U4433" s="182" t="n">
        <v>0</v>
      </c>
      <c r="V4433" s="182" t="n">
        <v>0</v>
      </c>
      <c r="W4433" s="182" t="n">
        <v>0</v>
      </c>
      <c r="X4433" s="182" t="n">
        <v>0</v>
      </c>
      <c r="Y4433" s="182" t="n">
        <v>0</v>
      </c>
      <c r="Z4433" s="182" t="n">
        <v>0</v>
      </c>
      <c r="AA4433" s="182" t="n">
        <v>0</v>
      </c>
      <c r="AB4433" s="182" t="n">
        <v>0</v>
      </c>
      <c r="AC4433" s="182" t="n">
        <v>0</v>
      </c>
      <c r="AD4433" s="182" t="n">
        <v>0</v>
      </c>
      <c r="AE4433" s="182" t="n">
        <v>0</v>
      </c>
      <c r="AF4433" s="182" t="n">
        <v>0</v>
      </c>
      <c r="AG4433" s="182" t="n">
        <v>0</v>
      </c>
      <c r="AH4433" s="182" t="n">
        <v>0</v>
      </c>
      <c r="AI4433" s="182" t="n">
        <v>0</v>
      </c>
      <c r="AJ4433" s="182" t="n">
        <v>0</v>
      </c>
      <c r="AK4433" s="182" t="n">
        <v>0</v>
      </c>
      <c r="AL4433" s="182" t="n">
        <v>0</v>
      </c>
      <c r="AM4433" s="182" t="n">
        <v>0</v>
      </c>
      <c r="AN4433" s="182" t="n">
        <v>0</v>
      </c>
    </row>
    <row r="4434">
      <c r="A4434" s="155" t="n">
        <v>46102</v>
      </c>
      <c r="B4434" s="156" t="inlineStr">
        <is>
          <t>DS</t>
        </is>
      </c>
      <c r="C4434" s="156" t="inlineStr">
        <is>
          <t>DH-102</t>
        </is>
      </c>
      <c r="D4434" s="156" t="inlineStr">
        <is>
          <t>HINO FM260</t>
        </is>
      </c>
      <c r="E4434" s="156" t="inlineStr">
        <is>
          <t>DT Hino</t>
        </is>
      </c>
      <c r="F4434" s="156" t="inlineStr"/>
      <c r="G4434" s="182" t="n">
        <v>0</v>
      </c>
      <c r="H4434" s="182" t="n">
        <v>0</v>
      </c>
      <c r="I4434" s="182" t="n">
        <v>0</v>
      </c>
      <c r="J4434" s="182" t="n">
        <v>0</v>
      </c>
      <c r="K4434" s="182" t="n">
        <v>12</v>
      </c>
      <c r="L4434" s="182" t="n">
        <v>12</v>
      </c>
      <c r="M4434" s="182" t="n">
        <v>0</v>
      </c>
      <c r="N4434" s="182" t="n">
        <v>0</v>
      </c>
      <c r="O4434" s="183" t="n">
        <v>0</v>
      </c>
      <c r="P4434" s="183" t="n">
        <v>0</v>
      </c>
      <c r="Q4434" s="184" t="n">
        <v>0</v>
      </c>
      <c r="R4434" s="184" t="n">
        <v>0</v>
      </c>
      <c r="S4434" s="183" t="n">
        <v>0</v>
      </c>
      <c r="T4434" s="183" t="n">
        <v>0</v>
      </c>
      <c r="U4434" s="182" t="n">
        <v>0</v>
      </c>
      <c r="V4434" s="182" t="n">
        <v>0</v>
      </c>
      <c r="W4434" s="182" t="n">
        <v>0</v>
      </c>
      <c r="X4434" s="182" t="n">
        <v>1</v>
      </c>
      <c r="Y4434" s="182" t="n">
        <v>0</v>
      </c>
      <c r="Z4434" s="182" t="n">
        <v>0</v>
      </c>
      <c r="AA4434" s="182" t="n">
        <v>0</v>
      </c>
      <c r="AB4434" s="182" t="n">
        <v>0</v>
      </c>
      <c r="AC4434" s="182" t="n">
        <v>0</v>
      </c>
      <c r="AD4434" s="182" t="n">
        <v>0</v>
      </c>
      <c r="AE4434" s="182" t="n">
        <v>0</v>
      </c>
      <c r="AF4434" s="182" t="n">
        <v>0</v>
      </c>
      <c r="AG4434" s="182" t="n">
        <v>0</v>
      </c>
      <c r="AH4434" s="182" t="n">
        <v>0</v>
      </c>
      <c r="AI4434" s="182" t="n">
        <v>0</v>
      </c>
      <c r="AJ4434" s="182" t="n">
        <v>0</v>
      </c>
      <c r="AK4434" s="182" t="n">
        <v>10.92</v>
      </c>
      <c r="AL4434" s="182" t="n">
        <v>0</v>
      </c>
      <c r="AM4434" s="182" t="n">
        <v>0.08</v>
      </c>
      <c r="AN4434" s="182" t="n">
        <v>0</v>
      </c>
    </row>
    <row r="4435">
      <c r="A4435" s="155" t="n">
        <v>46102</v>
      </c>
      <c r="B4435" s="156" t="inlineStr">
        <is>
          <t>DS</t>
        </is>
      </c>
      <c r="C4435" s="156" t="inlineStr">
        <is>
          <t>DH-101</t>
        </is>
      </c>
      <c r="D4435" s="156" t="inlineStr">
        <is>
          <t>HINO FM260</t>
        </is>
      </c>
      <c r="E4435" s="156" t="inlineStr">
        <is>
          <t>DT Hino</t>
        </is>
      </c>
      <c r="F4435" s="156" t="inlineStr"/>
      <c r="G4435" s="182" t="n">
        <v>0</v>
      </c>
      <c r="H4435" s="182" t="n">
        <v>0</v>
      </c>
      <c r="I4435" s="182" t="n">
        <v>0</v>
      </c>
      <c r="J4435" s="182" t="n">
        <v>0</v>
      </c>
      <c r="K4435" s="182" t="n">
        <v>12</v>
      </c>
      <c r="L4435" s="182" t="n">
        <v>12</v>
      </c>
      <c r="M4435" s="182" t="n">
        <v>0</v>
      </c>
      <c r="N4435" s="182" t="n">
        <v>0</v>
      </c>
      <c r="O4435" s="183" t="n">
        <v>0</v>
      </c>
      <c r="P4435" s="183" t="n">
        <v>0</v>
      </c>
      <c r="Q4435" s="184" t="n">
        <v>0</v>
      </c>
      <c r="R4435" s="184" t="n">
        <v>0</v>
      </c>
      <c r="S4435" s="183" t="n">
        <v>0</v>
      </c>
      <c r="T4435" s="183" t="n">
        <v>0</v>
      </c>
      <c r="U4435" s="182" t="n">
        <v>0</v>
      </c>
      <c r="V4435" s="182" t="n">
        <v>0</v>
      </c>
      <c r="W4435" s="182" t="n">
        <v>0</v>
      </c>
      <c r="X4435" s="182" t="n">
        <v>1</v>
      </c>
      <c r="Y4435" s="182" t="n">
        <v>0</v>
      </c>
      <c r="Z4435" s="182" t="n">
        <v>0</v>
      </c>
      <c r="AA4435" s="182" t="n">
        <v>0</v>
      </c>
      <c r="AB4435" s="182" t="n">
        <v>0</v>
      </c>
      <c r="AC4435" s="182" t="n">
        <v>0</v>
      </c>
      <c r="AD4435" s="182" t="n">
        <v>0</v>
      </c>
      <c r="AE4435" s="182" t="n">
        <v>0</v>
      </c>
      <c r="AF4435" s="182" t="n">
        <v>0</v>
      </c>
      <c r="AG4435" s="182" t="n">
        <v>0</v>
      </c>
      <c r="AH4435" s="182" t="n">
        <v>0</v>
      </c>
      <c r="AI4435" s="182" t="n">
        <v>0</v>
      </c>
      <c r="AJ4435" s="182" t="n">
        <v>0</v>
      </c>
      <c r="AK4435" s="182" t="n">
        <v>10.92</v>
      </c>
      <c r="AL4435" s="182" t="n">
        <v>0</v>
      </c>
      <c r="AM4435" s="182" t="n">
        <v>0.08</v>
      </c>
      <c r="AN4435" s="182" t="n">
        <v>0</v>
      </c>
    </row>
    <row r="4436">
      <c r="A4436" s="155" t="n">
        <v>46102</v>
      </c>
      <c r="B4436" s="156" t="inlineStr">
        <is>
          <t>DS</t>
        </is>
      </c>
      <c r="C4436" s="156" t="inlineStr">
        <is>
          <t>EX-1251</t>
        </is>
      </c>
      <c r="D4436" s="156" t="inlineStr">
        <is>
          <t>SY1250</t>
        </is>
      </c>
      <c r="E4436" s="156" t="inlineStr">
        <is>
          <t>Excavator</t>
        </is>
      </c>
      <c r="F4436" s="156" t="inlineStr">
        <is>
          <t>Loading OB</t>
        </is>
      </c>
      <c r="G4436" s="182" t="n">
        <v>6.92</v>
      </c>
      <c r="H4436" s="182" t="n">
        <v>0</v>
      </c>
      <c r="I4436" s="182" t="n">
        <v>0</v>
      </c>
      <c r="J4436" s="182" t="n">
        <v>0</v>
      </c>
      <c r="K4436" s="182" t="n">
        <v>5.08</v>
      </c>
      <c r="L4436" s="182" t="n">
        <v>12</v>
      </c>
      <c r="M4436" s="182" t="n">
        <v>5.83</v>
      </c>
      <c r="N4436" s="182" t="n">
        <v>0</v>
      </c>
      <c r="O4436" s="183" t="n">
        <v>128</v>
      </c>
      <c r="P4436" s="183" t="n">
        <v>0</v>
      </c>
      <c r="Q4436" s="184" t="n">
        <v>2611.2</v>
      </c>
      <c r="R4436" s="184" t="n">
        <v>0</v>
      </c>
      <c r="S4436" s="183" t="n">
        <v>0</v>
      </c>
      <c r="T4436" s="183" t="n">
        <v>0</v>
      </c>
      <c r="U4436" s="182" t="n">
        <v>1.92</v>
      </c>
      <c r="V4436" s="182" t="n">
        <v>1.73</v>
      </c>
      <c r="W4436" s="182" t="n">
        <v>0</v>
      </c>
      <c r="X4436" s="182" t="n">
        <v>0.99</v>
      </c>
      <c r="Y4436" s="182" t="n">
        <v>0</v>
      </c>
      <c r="Z4436" s="182" t="n">
        <v>0</v>
      </c>
      <c r="AA4436" s="182" t="n">
        <v>0</v>
      </c>
      <c r="AB4436" s="182" t="n">
        <v>0</v>
      </c>
      <c r="AC4436" s="182" t="n">
        <v>0.36</v>
      </c>
      <c r="AD4436" s="182" t="n">
        <v>0</v>
      </c>
      <c r="AE4436" s="182" t="n">
        <v>0</v>
      </c>
      <c r="AF4436" s="182" t="n">
        <v>0</v>
      </c>
      <c r="AG4436" s="182" t="n">
        <v>0</v>
      </c>
      <c r="AH4436" s="182" t="n">
        <v>0</v>
      </c>
      <c r="AI4436" s="182" t="n">
        <v>0</v>
      </c>
      <c r="AJ4436" s="182" t="n">
        <v>0</v>
      </c>
      <c r="AK4436" s="182" t="n">
        <v>0</v>
      </c>
      <c r="AL4436" s="182" t="n">
        <v>0</v>
      </c>
      <c r="AM4436" s="182" t="n">
        <v>0.08</v>
      </c>
      <c r="AN4436" s="182" t="n">
        <v>0</v>
      </c>
    </row>
    <row r="4437">
      <c r="A4437" s="155" t="n">
        <v>46102</v>
      </c>
      <c r="B4437" s="156" t="inlineStr">
        <is>
          <t>DS</t>
        </is>
      </c>
      <c r="C4437" s="156" t="inlineStr">
        <is>
          <t>EX-1252</t>
        </is>
      </c>
      <c r="D4437" s="156" t="inlineStr">
        <is>
          <t>SY1250</t>
        </is>
      </c>
      <c r="E4437" s="156" t="inlineStr">
        <is>
          <t>Excavator</t>
        </is>
      </c>
      <c r="F4437" s="156" t="inlineStr"/>
      <c r="G4437" s="182" t="n">
        <v>0</v>
      </c>
      <c r="H4437" s="182" t="n">
        <v>0</v>
      </c>
      <c r="I4437" s="182" t="n">
        <v>12</v>
      </c>
      <c r="J4437" s="182" t="n">
        <v>12</v>
      </c>
      <c r="K4437" s="182" t="n">
        <v>0</v>
      </c>
      <c r="L4437" s="182" t="n">
        <v>12</v>
      </c>
      <c r="M4437" s="182" t="n">
        <v>0</v>
      </c>
      <c r="N4437" s="182" t="n">
        <v>0</v>
      </c>
      <c r="O4437" s="183" t="n">
        <v>0</v>
      </c>
      <c r="P4437" s="183" t="n">
        <v>0</v>
      </c>
      <c r="Q4437" s="184" t="n">
        <v>0</v>
      </c>
      <c r="R4437" s="184" t="n">
        <v>0</v>
      </c>
      <c r="S4437" s="183" t="n">
        <v>0</v>
      </c>
      <c r="T4437" s="183" t="n">
        <v>0</v>
      </c>
      <c r="U4437" s="182" t="n">
        <v>0</v>
      </c>
      <c r="V4437" s="182" t="n">
        <v>0</v>
      </c>
      <c r="W4437" s="182" t="n">
        <v>0</v>
      </c>
      <c r="X4437" s="182" t="n">
        <v>0</v>
      </c>
      <c r="Y4437" s="182" t="n">
        <v>0</v>
      </c>
      <c r="Z4437" s="182" t="n">
        <v>0</v>
      </c>
      <c r="AA4437" s="182" t="n">
        <v>0</v>
      </c>
      <c r="AB4437" s="182" t="n">
        <v>0</v>
      </c>
      <c r="AC4437" s="182" t="n">
        <v>0</v>
      </c>
      <c r="AD4437" s="182" t="n">
        <v>0</v>
      </c>
      <c r="AE4437" s="182" t="n">
        <v>0</v>
      </c>
      <c r="AF4437" s="182" t="n">
        <v>0</v>
      </c>
      <c r="AG4437" s="182" t="n">
        <v>0</v>
      </c>
      <c r="AH4437" s="182" t="n">
        <v>0</v>
      </c>
      <c r="AI4437" s="182" t="n">
        <v>0</v>
      </c>
      <c r="AJ4437" s="182" t="n">
        <v>0</v>
      </c>
      <c r="AK4437" s="182" t="n">
        <v>0</v>
      </c>
      <c r="AL4437" s="182" t="n">
        <v>0</v>
      </c>
      <c r="AM4437" s="182" t="n">
        <v>0</v>
      </c>
      <c r="AN4437" s="182" t="n">
        <v>0</v>
      </c>
    </row>
    <row r="4438">
      <c r="A4438" s="155" t="n">
        <v>46102</v>
      </c>
      <c r="B4438" s="156" t="inlineStr">
        <is>
          <t>DS</t>
        </is>
      </c>
      <c r="C4438" s="156" t="inlineStr">
        <is>
          <t>EX-2101</t>
        </is>
      </c>
      <c r="D4438" s="156" t="inlineStr">
        <is>
          <t>SY2000</t>
        </is>
      </c>
      <c r="E4438" s="156" t="inlineStr">
        <is>
          <t>Excavator</t>
        </is>
      </c>
      <c r="F4438" s="156" t="inlineStr"/>
      <c r="G4438" s="182" t="n">
        <v>0</v>
      </c>
      <c r="H4438" s="182" t="n">
        <v>0</v>
      </c>
      <c r="I4438" s="182" t="n">
        <v>12</v>
      </c>
      <c r="J4438" s="182" t="n">
        <v>12</v>
      </c>
      <c r="K4438" s="182" t="n">
        <v>0</v>
      </c>
      <c r="L4438" s="182" t="n">
        <v>12</v>
      </c>
      <c r="M4438" s="182" t="n">
        <v>0</v>
      </c>
      <c r="N4438" s="182" t="n">
        <v>0</v>
      </c>
      <c r="O4438" s="183" t="n">
        <v>0</v>
      </c>
      <c r="P4438" s="183" t="n">
        <v>0</v>
      </c>
      <c r="Q4438" s="184" t="n">
        <v>0</v>
      </c>
      <c r="R4438" s="184" t="n">
        <v>0</v>
      </c>
      <c r="S4438" s="183" t="n">
        <v>0</v>
      </c>
      <c r="T4438" s="183" t="n">
        <v>0</v>
      </c>
      <c r="U4438" s="182" t="n">
        <v>0</v>
      </c>
      <c r="V4438" s="182" t="n">
        <v>0</v>
      </c>
      <c r="W4438" s="182" t="n">
        <v>0</v>
      </c>
      <c r="X4438" s="182" t="n">
        <v>0</v>
      </c>
      <c r="Y4438" s="182" t="n">
        <v>0</v>
      </c>
      <c r="Z4438" s="182" t="n">
        <v>0</v>
      </c>
      <c r="AA4438" s="182" t="n">
        <v>0</v>
      </c>
      <c r="AB4438" s="182" t="n">
        <v>0</v>
      </c>
      <c r="AC4438" s="182" t="n">
        <v>0</v>
      </c>
      <c r="AD4438" s="182" t="n">
        <v>0</v>
      </c>
      <c r="AE4438" s="182" t="n">
        <v>0</v>
      </c>
      <c r="AF4438" s="182" t="n">
        <v>0</v>
      </c>
      <c r="AG4438" s="182" t="n">
        <v>0</v>
      </c>
      <c r="AH4438" s="182" t="n">
        <v>0</v>
      </c>
      <c r="AI4438" s="182" t="n">
        <v>0</v>
      </c>
      <c r="AJ4438" s="182" t="n">
        <v>0</v>
      </c>
      <c r="AK4438" s="182" t="n">
        <v>0</v>
      </c>
      <c r="AL4438" s="182" t="n">
        <v>0</v>
      </c>
      <c r="AM4438" s="182" t="n">
        <v>0</v>
      </c>
      <c r="AN4438" s="182" t="n">
        <v>0</v>
      </c>
    </row>
    <row r="4439">
      <c r="A4439" s="155" t="n">
        <v>46102</v>
      </c>
      <c r="B4439" s="156" t="inlineStr">
        <is>
          <t>DS</t>
        </is>
      </c>
      <c r="C4439" s="156" t="inlineStr">
        <is>
          <t>EX-222</t>
        </is>
      </c>
      <c r="D4439" s="156" t="inlineStr">
        <is>
          <t>PC 200-8MI</t>
        </is>
      </c>
      <c r="E4439" s="156" t="inlineStr">
        <is>
          <t>Excavator</t>
        </is>
      </c>
      <c r="F4439" s="156" t="inlineStr">
        <is>
          <t>General di Area Washing</t>
        </is>
      </c>
      <c r="G4439" s="182" t="n">
        <v>9.52</v>
      </c>
      <c r="H4439" s="182" t="n">
        <v>0</v>
      </c>
      <c r="I4439" s="182" t="n">
        <v>0</v>
      </c>
      <c r="J4439" s="182" t="n">
        <v>0</v>
      </c>
      <c r="K4439" s="182" t="n">
        <v>2.48</v>
      </c>
      <c r="L4439" s="182" t="n">
        <v>12</v>
      </c>
      <c r="M4439" s="182" t="n">
        <v>0</v>
      </c>
      <c r="N4439" s="182" t="n">
        <v>0</v>
      </c>
      <c r="O4439" s="183" t="n">
        <v>0</v>
      </c>
      <c r="P4439" s="183" t="n">
        <v>0</v>
      </c>
      <c r="Q4439" s="184" t="n">
        <v>0</v>
      </c>
      <c r="R4439" s="184" t="n">
        <v>0</v>
      </c>
      <c r="S4439" s="183" t="n">
        <v>0</v>
      </c>
      <c r="T4439" s="183" t="n">
        <v>0</v>
      </c>
      <c r="U4439" s="182" t="n">
        <v>1.41</v>
      </c>
      <c r="V4439" s="182" t="n">
        <v>0</v>
      </c>
      <c r="W4439" s="182" t="n">
        <v>0</v>
      </c>
      <c r="X4439" s="182" t="n">
        <v>0.99</v>
      </c>
      <c r="Y4439" s="182" t="n">
        <v>0</v>
      </c>
      <c r="Z4439" s="182" t="n">
        <v>0</v>
      </c>
      <c r="AA4439" s="182" t="n">
        <v>0</v>
      </c>
      <c r="AB4439" s="182" t="n">
        <v>0</v>
      </c>
      <c r="AC4439" s="182" t="n">
        <v>0</v>
      </c>
      <c r="AD4439" s="182" t="n">
        <v>0</v>
      </c>
      <c r="AE4439" s="182" t="n">
        <v>0</v>
      </c>
      <c r="AF4439" s="182" t="n">
        <v>0</v>
      </c>
      <c r="AG4439" s="182" t="n">
        <v>0</v>
      </c>
      <c r="AH4439" s="182" t="n">
        <v>0</v>
      </c>
      <c r="AI4439" s="182" t="n">
        <v>0</v>
      </c>
      <c r="AJ4439" s="182" t="n">
        <v>0</v>
      </c>
      <c r="AK4439" s="182" t="n">
        <v>0</v>
      </c>
      <c r="AL4439" s="182" t="n">
        <v>0</v>
      </c>
      <c r="AM4439" s="182" t="n">
        <v>0.08</v>
      </c>
      <c r="AN4439" s="182" t="n">
        <v>0</v>
      </c>
    </row>
    <row r="4440">
      <c r="A4440" s="155" t="n">
        <v>46102</v>
      </c>
      <c r="B4440" s="156" t="inlineStr">
        <is>
          <t>DS</t>
        </is>
      </c>
      <c r="C4440" s="156" t="inlineStr">
        <is>
          <t>EX-225</t>
        </is>
      </c>
      <c r="D4440" s="156" t="inlineStr">
        <is>
          <t>PC 200-8</t>
        </is>
      </c>
      <c r="E4440" s="156" t="inlineStr">
        <is>
          <t>Excavator</t>
        </is>
      </c>
      <c r="F4440" s="156" t="inlineStr"/>
      <c r="G4440" s="182" t="n">
        <v>0</v>
      </c>
      <c r="H4440" s="182" t="n">
        <v>0</v>
      </c>
      <c r="I4440" s="182" t="n">
        <v>12</v>
      </c>
      <c r="J4440" s="182" t="n">
        <v>12</v>
      </c>
      <c r="K4440" s="182" t="n">
        <v>0</v>
      </c>
      <c r="L4440" s="182" t="n">
        <v>12</v>
      </c>
      <c r="M4440" s="182" t="n">
        <v>0</v>
      </c>
      <c r="N4440" s="182" t="n">
        <v>0</v>
      </c>
      <c r="O4440" s="183" t="n">
        <v>0</v>
      </c>
      <c r="P4440" s="183" t="n">
        <v>0</v>
      </c>
      <c r="Q4440" s="184" t="n">
        <v>0</v>
      </c>
      <c r="R4440" s="184" t="n">
        <v>0</v>
      </c>
      <c r="S4440" s="183" t="n">
        <v>0</v>
      </c>
      <c r="T4440" s="183" t="n">
        <v>0</v>
      </c>
      <c r="U4440" s="182" t="n">
        <v>0</v>
      </c>
      <c r="V4440" s="182" t="n">
        <v>0</v>
      </c>
      <c r="W4440" s="182" t="n">
        <v>0</v>
      </c>
      <c r="X4440" s="182" t="n">
        <v>0</v>
      </c>
      <c r="Y4440" s="182" t="n">
        <v>0</v>
      </c>
      <c r="Z4440" s="182" t="n">
        <v>0</v>
      </c>
      <c r="AA4440" s="182" t="n">
        <v>0</v>
      </c>
      <c r="AB4440" s="182" t="n">
        <v>0</v>
      </c>
      <c r="AC4440" s="182" t="n">
        <v>0</v>
      </c>
      <c r="AD4440" s="182" t="n">
        <v>0</v>
      </c>
      <c r="AE4440" s="182" t="n">
        <v>0</v>
      </c>
      <c r="AF4440" s="182" t="n">
        <v>0</v>
      </c>
      <c r="AG4440" s="182" t="n">
        <v>0</v>
      </c>
      <c r="AH4440" s="182" t="n">
        <v>0</v>
      </c>
      <c r="AI4440" s="182" t="n">
        <v>0</v>
      </c>
      <c r="AJ4440" s="182" t="n">
        <v>0</v>
      </c>
      <c r="AK4440" s="182" t="n">
        <v>0</v>
      </c>
      <c r="AL4440" s="182" t="n">
        <v>0</v>
      </c>
      <c r="AM4440" s="182" t="n">
        <v>0</v>
      </c>
      <c r="AN4440" s="182" t="n">
        <v>0</v>
      </c>
    </row>
    <row r="4441">
      <c r="A4441" s="155" t="n">
        <v>46102</v>
      </c>
      <c r="B4441" s="156" t="inlineStr">
        <is>
          <t>DS</t>
        </is>
      </c>
      <c r="C4441" s="156" t="inlineStr">
        <is>
          <t>EX-223</t>
        </is>
      </c>
      <c r="D4441" s="156" t="inlineStr">
        <is>
          <t>PC 200-8MI</t>
        </is>
      </c>
      <c r="E4441" s="156" t="inlineStr">
        <is>
          <t>Excavator</t>
        </is>
      </c>
      <c r="F4441" s="156" t="inlineStr">
        <is>
          <t>General Pit</t>
        </is>
      </c>
      <c r="G4441" s="182" t="n">
        <v>10.11</v>
      </c>
      <c r="H4441" s="182" t="n">
        <v>0</v>
      </c>
      <c r="I4441" s="182" t="n">
        <v>0</v>
      </c>
      <c r="J4441" s="182" t="n">
        <v>0</v>
      </c>
      <c r="K4441" s="182" t="n">
        <v>1.89</v>
      </c>
      <c r="L4441" s="182" t="n">
        <v>12</v>
      </c>
      <c r="M4441" s="182" t="n">
        <v>0</v>
      </c>
      <c r="N4441" s="182" t="n">
        <v>0</v>
      </c>
      <c r="O4441" s="183" t="n">
        <v>0</v>
      </c>
      <c r="P4441" s="183" t="n">
        <v>0</v>
      </c>
      <c r="Q4441" s="184" t="n">
        <v>0</v>
      </c>
      <c r="R4441" s="184" t="n">
        <v>0</v>
      </c>
      <c r="S4441" s="183" t="n">
        <v>0</v>
      </c>
      <c r="T4441" s="183" t="n">
        <v>0</v>
      </c>
      <c r="U4441" s="182" t="n">
        <v>0.76</v>
      </c>
      <c r="V4441" s="182" t="n">
        <v>0</v>
      </c>
      <c r="W4441" s="182" t="n">
        <v>0</v>
      </c>
      <c r="X4441" s="182" t="n">
        <v>1.05</v>
      </c>
      <c r="Y4441" s="182" t="n">
        <v>0</v>
      </c>
      <c r="Z4441" s="182" t="n">
        <v>0</v>
      </c>
      <c r="AA4441" s="182" t="n">
        <v>0</v>
      </c>
      <c r="AB4441" s="182" t="n">
        <v>0</v>
      </c>
      <c r="AC4441" s="182" t="n">
        <v>0</v>
      </c>
      <c r="AD4441" s="182" t="n">
        <v>0</v>
      </c>
      <c r="AE4441" s="182" t="n">
        <v>0</v>
      </c>
      <c r="AF4441" s="182" t="n">
        <v>0</v>
      </c>
      <c r="AG4441" s="182" t="n">
        <v>0</v>
      </c>
      <c r="AH4441" s="182" t="n">
        <v>0</v>
      </c>
      <c r="AI4441" s="182" t="n">
        <v>0</v>
      </c>
      <c r="AJ4441" s="182" t="n">
        <v>0</v>
      </c>
      <c r="AK4441" s="182" t="n">
        <v>0</v>
      </c>
      <c r="AL4441" s="182" t="n">
        <v>0</v>
      </c>
      <c r="AM4441" s="182" t="n">
        <v>0.08</v>
      </c>
      <c r="AN4441" s="182" t="n">
        <v>0</v>
      </c>
    </row>
    <row r="4442">
      <c r="A4442" s="155" t="n">
        <v>46102</v>
      </c>
      <c r="B4442" s="156" t="inlineStr">
        <is>
          <t>DS</t>
        </is>
      </c>
      <c r="C4442" s="156" t="inlineStr">
        <is>
          <t>EX-221</t>
        </is>
      </c>
      <c r="D4442" s="156" t="inlineStr">
        <is>
          <t>PC 200-8MI</t>
        </is>
      </c>
      <c r="E4442" s="156" t="inlineStr">
        <is>
          <t>Excavator</t>
        </is>
      </c>
      <c r="F4442" s="156" t="inlineStr"/>
      <c r="G4442" s="182" t="n">
        <v>0</v>
      </c>
      <c r="H4442" s="182" t="n">
        <v>0</v>
      </c>
      <c r="I4442" s="182" t="n">
        <v>0</v>
      </c>
      <c r="J4442" s="182" t="n">
        <v>0</v>
      </c>
      <c r="K4442" s="182" t="n">
        <v>12</v>
      </c>
      <c r="L4442" s="182" t="n">
        <v>12</v>
      </c>
      <c r="M4442" s="182" t="n">
        <v>0</v>
      </c>
      <c r="N4442" s="182" t="n">
        <v>0</v>
      </c>
      <c r="O4442" s="183" t="n">
        <v>0</v>
      </c>
      <c r="P4442" s="183" t="n">
        <v>0</v>
      </c>
      <c r="Q4442" s="184" t="n">
        <v>0</v>
      </c>
      <c r="R4442" s="184" t="n">
        <v>0</v>
      </c>
      <c r="S4442" s="183" t="n">
        <v>0</v>
      </c>
      <c r="T4442" s="183" t="n">
        <v>0</v>
      </c>
      <c r="U4442" s="182" t="n">
        <v>0</v>
      </c>
      <c r="V4442" s="182" t="n">
        <v>0</v>
      </c>
      <c r="W4442" s="182" t="n">
        <v>0</v>
      </c>
      <c r="X4442" s="182" t="n">
        <v>1</v>
      </c>
      <c r="Y4442" s="182" t="n">
        <v>0</v>
      </c>
      <c r="Z4442" s="182" t="n">
        <v>0</v>
      </c>
      <c r="AA4442" s="182" t="n">
        <v>0</v>
      </c>
      <c r="AB4442" s="182" t="n">
        <v>0</v>
      </c>
      <c r="AC4442" s="182" t="n">
        <v>0</v>
      </c>
      <c r="AD4442" s="182" t="n">
        <v>0</v>
      </c>
      <c r="AE4442" s="182" t="n">
        <v>0</v>
      </c>
      <c r="AF4442" s="182" t="n">
        <v>0</v>
      </c>
      <c r="AG4442" s="182" t="n">
        <v>0</v>
      </c>
      <c r="AH4442" s="182" t="n">
        <v>0</v>
      </c>
      <c r="AI4442" s="182" t="n">
        <v>0</v>
      </c>
      <c r="AJ4442" s="182" t="n">
        <v>0</v>
      </c>
      <c r="AK4442" s="182" t="n">
        <v>10.92</v>
      </c>
      <c r="AL4442" s="182" t="n">
        <v>0</v>
      </c>
      <c r="AM4442" s="182" t="n">
        <v>0.08</v>
      </c>
      <c r="AN4442" s="182" t="n">
        <v>0</v>
      </c>
    </row>
    <row r="4443">
      <c r="A4443" s="155" t="n">
        <v>46102</v>
      </c>
      <c r="B4443" s="156" t="inlineStr">
        <is>
          <t>DS</t>
        </is>
      </c>
      <c r="C4443" s="156" t="inlineStr">
        <is>
          <t>EX-331</t>
        </is>
      </c>
      <c r="D4443" s="156" t="inlineStr">
        <is>
          <t>PC 300-8MO</t>
        </is>
      </c>
      <c r="E4443" s="156" t="inlineStr">
        <is>
          <t>Excavator</t>
        </is>
      </c>
      <c r="F4443" s="156" t="inlineStr"/>
      <c r="G4443" s="182" t="n">
        <v>0</v>
      </c>
      <c r="H4443" s="182" t="n">
        <v>0</v>
      </c>
      <c r="I4443" s="182" t="n">
        <v>12</v>
      </c>
      <c r="J4443" s="182" t="n">
        <v>12</v>
      </c>
      <c r="K4443" s="182" t="n">
        <v>0</v>
      </c>
      <c r="L4443" s="182" t="n">
        <v>12</v>
      </c>
      <c r="M4443" s="182" t="n">
        <v>0</v>
      </c>
      <c r="N4443" s="182" t="n">
        <v>0</v>
      </c>
      <c r="O4443" s="183" t="n">
        <v>0</v>
      </c>
      <c r="P4443" s="183" t="n">
        <v>0</v>
      </c>
      <c r="Q4443" s="184" t="n">
        <v>0</v>
      </c>
      <c r="R4443" s="184" t="n">
        <v>0</v>
      </c>
      <c r="S4443" s="183" t="n">
        <v>0</v>
      </c>
      <c r="T4443" s="183" t="n">
        <v>0</v>
      </c>
      <c r="U4443" s="182" t="n">
        <v>0</v>
      </c>
      <c r="V4443" s="182" t="n">
        <v>0</v>
      </c>
      <c r="W4443" s="182" t="n">
        <v>0</v>
      </c>
      <c r="X4443" s="182" t="n">
        <v>0</v>
      </c>
      <c r="Y4443" s="182" t="n">
        <v>0</v>
      </c>
      <c r="Z4443" s="182" t="n">
        <v>0</v>
      </c>
      <c r="AA4443" s="182" t="n">
        <v>0</v>
      </c>
      <c r="AB4443" s="182" t="n">
        <v>0</v>
      </c>
      <c r="AC4443" s="182" t="n">
        <v>0</v>
      </c>
      <c r="AD4443" s="182" t="n">
        <v>0</v>
      </c>
      <c r="AE4443" s="182" t="n">
        <v>0</v>
      </c>
      <c r="AF4443" s="182" t="n">
        <v>0</v>
      </c>
      <c r="AG4443" s="182" t="n">
        <v>0</v>
      </c>
      <c r="AH4443" s="182" t="n">
        <v>0</v>
      </c>
      <c r="AI4443" s="182" t="n">
        <v>0</v>
      </c>
      <c r="AJ4443" s="182" t="n">
        <v>0</v>
      </c>
      <c r="AK4443" s="182" t="n">
        <v>0</v>
      </c>
      <c r="AL4443" s="182" t="n">
        <v>0</v>
      </c>
      <c r="AM4443" s="182" t="n">
        <v>0</v>
      </c>
      <c r="AN4443" s="182" t="n">
        <v>0</v>
      </c>
    </row>
    <row r="4444">
      <c r="A4444" s="155" t="n">
        <v>46102</v>
      </c>
      <c r="B4444" s="156" t="inlineStr">
        <is>
          <t>DS</t>
        </is>
      </c>
      <c r="C4444" s="156" t="inlineStr">
        <is>
          <t>EX-334</t>
        </is>
      </c>
      <c r="D4444" s="156" t="inlineStr">
        <is>
          <t>PC 300-8MO</t>
        </is>
      </c>
      <c r="E4444" s="156" t="inlineStr">
        <is>
          <t>Excavator</t>
        </is>
      </c>
      <c r="F4444" s="156" t="inlineStr">
        <is>
          <t>Support ROM</t>
        </is>
      </c>
      <c r="G4444" s="182" t="n">
        <v>9.56</v>
      </c>
      <c r="H4444" s="182" t="n">
        <v>0</v>
      </c>
      <c r="I4444" s="182" t="n">
        <v>0</v>
      </c>
      <c r="J4444" s="182" t="n">
        <v>0</v>
      </c>
      <c r="K4444" s="182" t="n">
        <v>2.44</v>
      </c>
      <c r="L4444" s="182" t="n">
        <v>12</v>
      </c>
      <c r="M4444" s="182" t="n">
        <v>0</v>
      </c>
      <c r="N4444" s="182" t="n">
        <v>0</v>
      </c>
      <c r="O4444" s="183" t="n">
        <v>0</v>
      </c>
      <c r="P4444" s="183" t="n">
        <v>0</v>
      </c>
      <c r="Q4444" s="184" t="n">
        <v>0</v>
      </c>
      <c r="R4444" s="184" t="n">
        <v>0</v>
      </c>
      <c r="S4444" s="183" t="n">
        <v>0</v>
      </c>
      <c r="T4444" s="183" t="n">
        <v>0</v>
      </c>
      <c r="U4444" s="182" t="n">
        <v>1.12</v>
      </c>
      <c r="V4444" s="182" t="n">
        <v>0</v>
      </c>
      <c r="W4444" s="182" t="n">
        <v>0</v>
      </c>
      <c r="X4444" s="182" t="n">
        <v>1.22</v>
      </c>
      <c r="Y4444" s="182" t="n">
        <v>0</v>
      </c>
      <c r="Z4444" s="182" t="n">
        <v>0</v>
      </c>
      <c r="AA4444" s="182" t="n">
        <v>0</v>
      </c>
      <c r="AB4444" s="182" t="n">
        <v>0</v>
      </c>
      <c r="AC4444" s="182" t="n">
        <v>0</v>
      </c>
      <c r="AD4444" s="182" t="n">
        <v>0</v>
      </c>
      <c r="AE4444" s="182" t="n">
        <v>0</v>
      </c>
      <c r="AF4444" s="182" t="n">
        <v>0</v>
      </c>
      <c r="AG4444" s="182" t="n">
        <v>0</v>
      </c>
      <c r="AH4444" s="182" t="n">
        <v>0</v>
      </c>
      <c r="AI4444" s="182" t="n">
        <v>0</v>
      </c>
      <c r="AJ4444" s="182" t="n">
        <v>0</v>
      </c>
      <c r="AK4444" s="182" t="n">
        <v>0</v>
      </c>
      <c r="AL4444" s="182" t="n">
        <v>0</v>
      </c>
      <c r="AM4444" s="182" t="n">
        <v>0.1</v>
      </c>
      <c r="AN4444" s="182" t="n">
        <v>0</v>
      </c>
    </row>
    <row r="4445">
      <c r="A4445" s="155" t="n">
        <v>46102</v>
      </c>
      <c r="B4445" s="156" t="inlineStr">
        <is>
          <t>DS</t>
        </is>
      </c>
      <c r="C4445" s="156" t="inlineStr">
        <is>
          <t>EX-332</t>
        </is>
      </c>
      <c r="D4445" s="156" t="inlineStr">
        <is>
          <t>PC 300-8MO</t>
        </is>
      </c>
      <c r="E4445" s="156" t="inlineStr">
        <is>
          <t>Excavator</t>
        </is>
      </c>
      <c r="F4445" s="156" t="inlineStr"/>
      <c r="G4445" s="182" t="n">
        <v>0</v>
      </c>
      <c r="H4445" s="182" t="n">
        <v>0</v>
      </c>
      <c r="I4445" s="182" t="n">
        <v>12</v>
      </c>
      <c r="J4445" s="182" t="n">
        <v>12</v>
      </c>
      <c r="K4445" s="182" t="n">
        <v>0</v>
      </c>
      <c r="L4445" s="182" t="n">
        <v>12</v>
      </c>
      <c r="M4445" s="182" t="n">
        <v>0</v>
      </c>
      <c r="N4445" s="182" t="n">
        <v>0</v>
      </c>
      <c r="O4445" s="183" t="n">
        <v>0</v>
      </c>
      <c r="P4445" s="183" t="n">
        <v>0</v>
      </c>
      <c r="Q4445" s="184" t="n">
        <v>0</v>
      </c>
      <c r="R4445" s="184" t="n">
        <v>0</v>
      </c>
      <c r="S4445" s="183" t="n">
        <v>0</v>
      </c>
      <c r="T4445" s="183" t="n">
        <v>0</v>
      </c>
      <c r="U4445" s="182" t="n">
        <v>0</v>
      </c>
      <c r="V4445" s="182" t="n">
        <v>0</v>
      </c>
      <c r="W4445" s="182" t="n">
        <v>0</v>
      </c>
      <c r="X4445" s="182" t="n">
        <v>0</v>
      </c>
      <c r="Y4445" s="182" t="n">
        <v>0</v>
      </c>
      <c r="Z4445" s="182" t="n">
        <v>0</v>
      </c>
      <c r="AA4445" s="182" t="n">
        <v>0</v>
      </c>
      <c r="AB4445" s="182" t="n">
        <v>0</v>
      </c>
      <c r="AC4445" s="182" t="n">
        <v>0</v>
      </c>
      <c r="AD4445" s="182" t="n">
        <v>0</v>
      </c>
      <c r="AE4445" s="182" t="n">
        <v>0</v>
      </c>
      <c r="AF4445" s="182" t="n">
        <v>0</v>
      </c>
      <c r="AG4445" s="182" t="n">
        <v>0</v>
      </c>
      <c r="AH4445" s="182" t="n">
        <v>0</v>
      </c>
      <c r="AI4445" s="182" t="n">
        <v>0</v>
      </c>
      <c r="AJ4445" s="182" t="n">
        <v>0</v>
      </c>
      <c r="AK4445" s="182" t="n">
        <v>0</v>
      </c>
      <c r="AL4445" s="182" t="n">
        <v>0</v>
      </c>
      <c r="AM4445" s="182" t="n">
        <v>0</v>
      </c>
      <c r="AN4445" s="182" t="n">
        <v>0</v>
      </c>
    </row>
    <row r="4446">
      <c r="A4446" s="155" t="n">
        <v>46102</v>
      </c>
      <c r="B4446" s="156" t="inlineStr">
        <is>
          <t>DS</t>
        </is>
      </c>
      <c r="C4446" s="156" t="inlineStr">
        <is>
          <t>EX-333</t>
        </is>
      </c>
      <c r="D4446" s="156" t="inlineStr">
        <is>
          <t>PC 300-8MO</t>
        </is>
      </c>
      <c r="E4446" s="156" t="inlineStr">
        <is>
          <t>Excavator</t>
        </is>
      </c>
      <c r="F4446" s="156" t="inlineStr">
        <is>
          <t>Cleaning Coal &amp; General</t>
        </is>
      </c>
      <c r="G4446" s="182" t="n">
        <v>11.22</v>
      </c>
      <c r="H4446" s="182" t="n">
        <v>0</v>
      </c>
      <c r="I4446" s="182" t="n">
        <v>0</v>
      </c>
      <c r="J4446" s="182" t="n">
        <v>0</v>
      </c>
      <c r="K4446" s="182" t="n">
        <v>0.78</v>
      </c>
      <c r="L4446" s="182" t="n">
        <v>12</v>
      </c>
      <c r="M4446" s="182" t="n">
        <v>0</v>
      </c>
      <c r="N4446" s="182" t="n">
        <v>0</v>
      </c>
      <c r="O4446" s="183" t="n">
        <v>0</v>
      </c>
      <c r="P4446" s="183" t="n">
        <v>0</v>
      </c>
      <c r="Q4446" s="184" t="n">
        <v>0</v>
      </c>
      <c r="R4446" s="184" t="n">
        <v>0</v>
      </c>
      <c r="S4446" s="183" t="n">
        <v>0</v>
      </c>
      <c r="T4446" s="183" t="n">
        <v>0</v>
      </c>
      <c r="U4446" s="182" t="n">
        <v>0</v>
      </c>
      <c r="V4446" s="182" t="n">
        <v>0</v>
      </c>
      <c r="W4446" s="182" t="n">
        <v>0</v>
      </c>
      <c r="X4446" s="182" t="n">
        <v>0.68</v>
      </c>
      <c r="Y4446" s="182" t="n">
        <v>0</v>
      </c>
      <c r="Z4446" s="182" t="n">
        <v>0</v>
      </c>
      <c r="AA4446" s="182" t="n">
        <v>0</v>
      </c>
      <c r="AB4446" s="182" t="n">
        <v>0</v>
      </c>
      <c r="AC4446" s="182" t="n">
        <v>0</v>
      </c>
      <c r="AD4446" s="182" t="n">
        <v>0</v>
      </c>
      <c r="AE4446" s="182" t="n">
        <v>0</v>
      </c>
      <c r="AF4446" s="182" t="n">
        <v>0</v>
      </c>
      <c r="AG4446" s="182" t="n">
        <v>0</v>
      </c>
      <c r="AH4446" s="182" t="n">
        <v>0</v>
      </c>
      <c r="AI4446" s="182" t="n">
        <v>0</v>
      </c>
      <c r="AJ4446" s="182" t="n">
        <v>0</v>
      </c>
      <c r="AK4446" s="182" t="n">
        <v>0</v>
      </c>
      <c r="AL4446" s="182" t="n">
        <v>0</v>
      </c>
      <c r="AM4446" s="182" t="n">
        <v>0.1</v>
      </c>
      <c r="AN4446" s="182" t="n">
        <v>0</v>
      </c>
    </row>
    <row r="4447">
      <c r="A4447" s="155" t="n">
        <v>46102</v>
      </c>
      <c r="B4447" s="156" t="inlineStr">
        <is>
          <t>DS</t>
        </is>
      </c>
      <c r="C4447" s="156" t="inlineStr">
        <is>
          <t>EX-336</t>
        </is>
      </c>
      <c r="D4447" s="156" t="inlineStr">
        <is>
          <t>PC 300-8MO</t>
        </is>
      </c>
      <c r="E4447" s="156" t="inlineStr">
        <is>
          <t>Excavator</t>
        </is>
      </c>
      <c r="F4447" s="156" t="inlineStr">
        <is>
          <t>Cleaning Coal</t>
        </is>
      </c>
      <c r="G4447" s="182" t="n">
        <v>11.82</v>
      </c>
      <c r="H4447" s="182" t="n">
        <v>0</v>
      </c>
      <c r="I4447" s="182" t="n">
        <v>0</v>
      </c>
      <c r="J4447" s="182" t="n">
        <v>0</v>
      </c>
      <c r="K4447" s="182" t="n">
        <v>0.18</v>
      </c>
      <c r="L4447" s="182" t="n">
        <v>12</v>
      </c>
      <c r="M4447" s="182" t="n">
        <v>0</v>
      </c>
      <c r="N4447" s="182" t="n">
        <v>0</v>
      </c>
      <c r="O4447" s="183" t="n">
        <v>0</v>
      </c>
      <c r="P4447" s="183" t="n">
        <v>0</v>
      </c>
      <c r="Q4447" s="184" t="n">
        <v>0</v>
      </c>
      <c r="R4447" s="184" t="n">
        <v>0</v>
      </c>
      <c r="S4447" s="183" t="n">
        <v>0</v>
      </c>
      <c r="T4447" s="183" t="n">
        <v>0</v>
      </c>
      <c r="U4447" s="182" t="n">
        <v>0</v>
      </c>
      <c r="V4447" s="182" t="n">
        <v>0</v>
      </c>
      <c r="W4447" s="182" t="n">
        <v>0</v>
      </c>
      <c r="X4447" s="182" t="n">
        <v>0</v>
      </c>
      <c r="Y4447" s="182" t="n">
        <v>0</v>
      </c>
      <c r="Z4447" s="182" t="n">
        <v>0</v>
      </c>
      <c r="AA4447" s="182" t="n">
        <v>0</v>
      </c>
      <c r="AB4447" s="182" t="n">
        <v>0</v>
      </c>
      <c r="AC4447" s="182" t="n">
        <v>0</v>
      </c>
      <c r="AD4447" s="182" t="n">
        <v>0</v>
      </c>
      <c r="AE4447" s="182" t="n">
        <v>0</v>
      </c>
      <c r="AF4447" s="182" t="n">
        <v>0</v>
      </c>
      <c r="AG4447" s="182" t="n">
        <v>0</v>
      </c>
      <c r="AH4447" s="182" t="n">
        <v>0</v>
      </c>
      <c r="AI4447" s="182" t="n">
        <v>0</v>
      </c>
      <c r="AJ4447" s="182" t="n">
        <v>0</v>
      </c>
      <c r="AK4447" s="182" t="n">
        <v>0</v>
      </c>
      <c r="AL4447" s="182" t="n">
        <v>0</v>
      </c>
      <c r="AM4447" s="182" t="n">
        <v>0</v>
      </c>
      <c r="AN4447" s="182" t="n">
        <v>0</v>
      </c>
    </row>
    <row r="4448">
      <c r="A4448" s="155" t="n">
        <v>46102</v>
      </c>
      <c r="B4448" s="156" t="inlineStr">
        <is>
          <t>DS</t>
        </is>
      </c>
      <c r="C4448" s="156" t="inlineStr">
        <is>
          <t>EX-335</t>
        </is>
      </c>
      <c r="D4448" s="156" t="inlineStr">
        <is>
          <t>PC 300-8MO</t>
        </is>
      </c>
      <c r="E4448" s="156" t="inlineStr">
        <is>
          <t>Excavator</t>
        </is>
      </c>
      <c r="F4448" s="156" t="inlineStr">
        <is>
          <t>Loading Coal, Cleaning Coal &amp; General</t>
        </is>
      </c>
      <c r="G4448" s="182" t="n">
        <v>10.74</v>
      </c>
      <c r="H4448" s="182" t="n">
        <v>0</v>
      </c>
      <c r="I4448" s="182" t="n">
        <v>0</v>
      </c>
      <c r="J4448" s="182" t="n">
        <v>0</v>
      </c>
      <c r="K4448" s="182" t="n">
        <v>1.26</v>
      </c>
      <c r="L4448" s="182" t="n">
        <v>12</v>
      </c>
      <c r="M4448" s="182" t="n">
        <v>0</v>
      </c>
      <c r="N4448" s="182" t="n">
        <v>2.49</v>
      </c>
      <c r="O4448" s="183" t="n">
        <v>0</v>
      </c>
      <c r="P4448" s="183" t="n">
        <v>14</v>
      </c>
      <c r="Q4448" s="184" t="n">
        <v>0</v>
      </c>
      <c r="R4448" s="184" t="n">
        <v>244.8</v>
      </c>
      <c r="S4448" s="183" t="n">
        <v>0</v>
      </c>
      <c r="T4448" s="183" t="n">
        <v>0</v>
      </c>
      <c r="U4448" s="182" t="n">
        <v>0.13</v>
      </c>
      <c r="V4448" s="182" t="n">
        <v>0</v>
      </c>
      <c r="W4448" s="182" t="n">
        <v>0</v>
      </c>
      <c r="X4448" s="182" t="n">
        <v>1.05</v>
      </c>
      <c r="Y4448" s="182" t="n">
        <v>0</v>
      </c>
      <c r="Z4448" s="182" t="n">
        <v>0</v>
      </c>
      <c r="AA4448" s="182" t="n">
        <v>0</v>
      </c>
      <c r="AB4448" s="182" t="n">
        <v>0</v>
      </c>
      <c r="AC4448" s="182" t="n">
        <v>0</v>
      </c>
      <c r="AD4448" s="182" t="n">
        <v>0</v>
      </c>
      <c r="AE4448" s="182" t="n">
        <v>0</v>
      </c>
      <c r="AF4448" s="182" t="n">
        <v>0</v>
      </c>
      <c r="AG4448" s="182" t="n">
        <v>0</v>
      </c>
      <c r="AH4448" s="182" t="n">
        <v>0.13</v>
      </c>
      <c r="AI4448" s="182" t="n">
        <v>0</v>
      </c>
      <c r="AJ4448" s="182" t="n">
        <v>0</v>
      </c>
      <c r="AK4448" s="182" t="n">
        <v>0</v>
      </c>
      <c r="AL4448" s="182" t="n">
        <v>0</v>
      </c>
      <c r="AM4448" s="182" t="n">
        <v>0.08</v>
      </c>
      <c r="AN4448" s="182" t="n">
        <v>0</v>
      </c>
    </row>
    <row r="4449">
      <c r="A4449" s="155" t="n">
        <v>46102</v>
      </c>
      <c r="B4449" s="156" t="inlineStr">
        <is>
          <t>DS</t>
        </is>
      </c>
      <c r="C4449" s="156" t="inlineStr">
        <is>
          <t>EX-754</t>
        </is>
      </c>
      <c r="D4449" s="156" t="inlineStr">
        <is>
          <t>SY750H-PRO</t>
        </is>
      </c>
      <c r="E4449" s="156" t="inlineStr">
        <is>
          <t>Excavator</t>
        </is>
      </c>
      <c r="F4449" s="156" t="inlineStr">
        <is>
          <t>Loading OB</t>
        </is>
      </c>
      <c r="G4449" s="182" t="n">
        <v>7.67</v>
      </c>
      <c r="H4449" s="182" t="n">
        <v>0</v>
      </c>
      <c r="I4449" s="182" t="n">
        <v>0</v>
      </c>
      <c r="J4449" s="182" t="n">
        <v>0</v>
      </c>
      <c r="K4449" s="182" t="n">
        <v>4.33</v>
      </c>
      <c r="L4449" s="182" t="n">
        <v>12</v>
      </c>
      <c r="M4449" s="182" t="n">
        <v>7.64</v>
      </c>
      <c r="N4449" s="182" t="n">
        <v>0</v>
      </c>
      <c r="O4449" s="183" t="n">
        <v>136</v>
      </c>
      <c r="P4449" s="183" t="n">
        <v>0</v>
      </c>
      <c r="Q4449" s="184" t="n">
        <v>2774.4</v>
      </c>
      <c r="R4449" s="184" t="n">
        <v>0</v>
      </c>
      <c r="S4449" s="183" t="n">
        <v>0</v>
      </c>
      <c r="T4449" s="183" t="n">
        <v>0</v>
      </c>
      <c r="U4449" s="182" t="n">
        <v>2.02</v>
      </c>
      <c r="V4449" s="182" t="n">
        <v>1.2</v>
      </c>
      <c r="W4449" s="182" t="n">
        <v>0</v>
      </c>
      <c r="X4449" s="182" t="n">
        <v>1.03</v>
      </c>
      <c r="Y4449" s="182" t="n">
        <v>0</v>
      </c>
      <c r="Z4449" s="182" t="n">
        <v>0</v>
      </c>
      <c r="AA4449" s="182" t="n">
        <v>0</v>
      </c>
      <c r="AB4449" s="182" t="n">
        <v>0</v>
      </c>
      <c r="AC4449" s="182" t="n">
        <v>0</v>
      </c>
      <c r="AD4449" s="182" t="n">
        <v>0</v>
      </c>
      <c r="AE4449" s="182" t="n">
        <v>0</v>
      </c>
      <c r="AF4449" s="182" t="n">
        <v>0</v>
      </c>
      <c r="AG4449" s="182" t="n">
        <v>0</v>
      </c>
      <c r="AH4449" s="182" t="n">
        <v>0</v>
      </c>
      <c r="AI4449" s="182" t="n">
        <v>0</v>
      </c>
      <c r="AJ4449" s="182" t="n">
        <v>0</v>
      </c>
      <c r="AK4449" s="182" t="n">
        <v>0</v>
      </c>
      <c r="AL4449" s="182" t="n">
        <v>0</v>
      </c>
      <c r="AM4449" s="182" t="n">
        <v>0.08</v>
      </c>
      <c r="AN4449" s="182" t="n">
        <v>0</v>
      </c>
    </row>
    <row r="4450">
      <c r="A4450" s="155" t="n">
        <v>46102</v>
      </c>
      <c r="B4450" s="156" t="inlineStr">
        <is>
          <t>DS</t>
        </is>
      </c>
      <c r="C4450" s="156" t="inlineStr">
        <is>
          <t>EX-755</t>
        </is>
      </c>
      <c r="D4450" s="156" t="inlineStr">
        <is>
          <t>SY750H-PRO</t>
        </is>
      </c>
      <c r="E4450" s="156" t="inlineStr">
        <is>
          <t>Excavator</t>
        </is>
      </c>
      <c r="F4450" s="156" t="inlineStr">
        <is>
          <t>Loading OB &amp;  General Rilis Air</t>
        </is>
      </c>
      <c r="G4450" s="182" t="n">
        <v>8.32</v>
      </c>
      <c r="H4450" s="182" t="n">
        <v>0</v>
      </c>
      <c r="I4450" s="182" t="n">
        <v>0</v>
      </c>
      <c r="J4450" s="182" t="n">
        <v>0</v>
      </c>
      <c r="K4450" s="182" t="n">
        <v>3.68</v>
      </c>
      <c r="L4450" s="182" t="n">
        <v>12</v>
      </c>
      <c r="M4450" s="182" t="n">
        <v>4.11</v>
      </c>
      <c r="N4450" s="182" t="n">
        <v>0</v>
      </c>
      <c r="O4450" s="183" t="n">
        <v>43</v>
      </c>
      <c r="P4450" s="183" t="n">
        <v>0</v>
      </c>
      <c r="Q4450" s="184" t="n">
        <v>877.2</v>
      </c>
      <c r="R4450" s="184" t="n">
        <v>0</v>
      </c>
      <c r="S4450" s="183" t="n">
        <v>0</v>
      </c>
      <c r="T4450" s="183" t="n">
        <v>0</v>
      </c>
      <c r="U4450" s="182" t="n">
        <v>2.05</v>
      </c>
      <c r="V4450" s="182" t="n">
        <v>0.49</v>
      </c>
      <c r="W4450" s="182" t="n">
        <v>0</v>
      </c>
      <c r="X4450" s="182" t="n">
        <v>1.05</v>
      </c>
      <c r="Y4450" s="182" t="n">
        <v>0</v>
      </c>
      <c r="Z4450" s="182" t="n">
        <v>0</v>
      </c>
      <c r="AA4450" s="182" t="n">
        <v>0</v>
      </c>
      <c r="AB4450" s="182" t="n">
        <v>0</v>
      </c>
      <c r="AC4450" s="182" t="n">
        <v>0</v>
      </c>
      <c r="AD4450" s="182" t="n">
        <v>0</v>
      </c>
      <c r="AE4450" s="182" t="n">
        <v>0</v>
      </c>
      <c r="AF4450" s="182" t="n">
        <v>0</v>
      </c>
      <c r="AG4450" s="182" t="n">
        <v>0</v>
      </c>
      <c r="AH4450" s="182" t="n">
        <v>0</v>
      </c>
      <c r="AI4450" s="182" t="n">
        <v>0</v>
      </c>
      <c r="AJ4450" s="182" t="n">
        <v>0</v>
      </c>
      <c r="AK4450" s="182" t="n">
        <v>0</v>
      </c>
      <c r="AL4450" s="182" t="n">
        <v>0</v>
      </c>
      <c r="AM4450" s="182" t="n">
        <v>0.08</v>
      </c>
      <c r="AN4450" s="182" t="n">
        <v>0</v>
      </c>
    </row>
    <row r="4451">
      <c r="A4451" s="155" t="n">
        <v>46102</v>
      </c>
      <c r="B4451" s="156" t="inlineStr">
        <is>
          <t>DS</t>
        </is>
      </c>
      <c r="C4451" s="156" t="inlineStr">
        <is>
          <t>EX-752</t>
        </is>
      </c>
      <c r="D4451" s="156" t="inlineStr">
        <is>
          <t>SY750H-PRO</t>
        </is>
      </c>
      <c r="E4451" s="156" t="inlineStr">
        <is>
          <t>Excavator</t>
        </is>
      </c>
      <c r="F4451" s="156" t="inlineStr"/>
      <c r="G4451" s="182" t="n">
        <v>0</v>
      </c>
      <c r="H4451" s="182" t="n">
        <v>0</v>
      </c>
      <c r="I4451" s="182" t="n">
        <v>12</v>
      </c>
      <c r="J4451" s="182" t="n">
        <v>12</v>
      </c>
      <c r="K4451" s="182" t="n">
        <v>0</v>
      </c>
      <c r="L4451" s="182" t="n">
        <v>12</v>
      </c>
      <c r="M4451" s="182" t="n">
        <v>0</v>
      </c>
      <c r="N4451" s="182" t="n">
        <v>0</v>
      </c>
      <c r="O4451" s="183" t="n">
        <v>0</v>
      </c>
      <c r="P4451" s="183" t="n">
        <v>0</v>
      </c>
      <c r="Q4451" s="184" t="n">
        <v>0</v>
      </c>
      <c r="R4451" s="184" t="n">
        <v>0</v>
      </c>
      <c r="S4451" s="183" t="n">
        <v>0</v>
      </c>
      <c r="T4451" s="183" t="n">
        <v>0</v>
      </c>
      <c r="U4451" s="182" t="n">
        <v>0</v>
      </c>
      <c r="V4451" s="182" t="n">
        <v>0</v>
      </c>
      <c r="W4451" s="182" t="n">
        <v>0</v>
      </c>
      <c r="X4451" s="182" t="n">
        <v>0</v>
      </c>
      <c r="Y4451" s="182" t="n">
        <v>0</v>
      </c>
      <c r="Z4451" s="182" t="n">
        <v>0</v>
      </c>
      <c r="AA4451" s="182" t="n">
        <v>0</v>
      </c>
      <c r="AB4451" s="182" t="n">
        <v>0</v>
      </c>
      <c r="AC4451" s="182" t="n">
        <v>0</v>
      </c>
      <c r="AD4451" s="182" t="n">
        <v>0</v>
      </c>
      <c r="AE4451" s="182" t="n">
        <v>0</v>
      </c>
      <c r="AF4451" s="182" t="n">
        <v>0</v>
      </c>
      <c r="AG4451" s="182" t="n">
        <v>0</v>
      </c>
      <c r="AH4451" s="182" t="n">
        <v>0</v>
      </c>
      <c r="AI4451" s="182" t="n">
        <v>0</v>
      </c>
      <c r="AJ4451" s="182" t="n">
        <v>0</v>
      </c>
      <c r="AK4451" s="182" t="n">
        <v>0</v>
      </c>
      <c r="AL4451" s="182" t="n">
        <v>0</v>
      </c>
      <c r="AM4451" s="182" t="n">
        <v>0</v>
      </c>
      <c r="AN4451" s="182" t="n">
        <v>0</v>
      </c>
    </row>
    <row r="4452">
      <c r="A4452" s="155" t="n">
        <v>46102</v>
      </c>
      <c r="B4452" s="156" t="inlineStr">
        <is>
          <t>DS</t>
        </is>
      </c>
      <c r="C4452" s="156" t="inlineStr">
        <is>
          <t>EX-751</t>
        </is>
      </c>
      <c r="D4452" s="156" t="inlineStr">
        <is>
          <t>SY750H-PRO</t>
        </is>
      </c>
      <c r="E4452" s="156" t="inlineStr">
        <is>
          <t>Excavator</t>
        </is>
      </c>
      <c r="F4452" s="156" t="inlineStr"/>
      <c r="G4452" s="182" t="n">
        <v>0</v>
      </c>
      <c r="H4452" s="182" t="n">
        <v>0</v>
      </c>
      <c r="I4452" s="182" t="n">
        <v>12</v>
      </c>
      <c r="J4452" s="182" t="n">
        <v>12</v>
      </c>
      <c r="K4452" s="182" t="n">
        <v>0</v>
      </c>
      <c r="L4452" s="182" t="n">
        <v>12</v>
      </c>
      <c r="M4452" s="182" t="n">
        <v>0</v>
      </c>
      <c r="N4452" s="182" t="n">
        <v>0</v>
      </c>
      <c r="O4452" s="183" t="n">
        <v>0</v>
      </c>
      <c r="P4452" s="183" t="n">
        <v>0</v>
      </c>
      <c r="Q4452" s="184" t="n">
        <v>0</v>
      </c>
      <c r="R4452" s="184" t="n">
        <v>0</v>
      </c>
      <c r="S4452" s="183" t="n">
        <v>0</v>
      </c>
      <c r="T4452" s="183" t="n">
        <v>0</v>
      </c>
      <c r="U4452" s="182" t="n">
        <v>0</v>
      </c>
      <c r="V4452" s="182" t="n">
        <v>0</v>
      </c>
      <c r="W4452" s="182" t="n">
        <v>0</v>
      </c>
      <c r="X4452" s="182" t="n">
        <v>0</v>
      </c>
      <c r="Y4452" s="182" t="n">
        <v>0</v>
      </c>
      <c r="Z4452" s="182" t="n">
        <v>0</v>
      </c>
      <c r="AA4452" s="182" t="n">
        <v>0</v>
      </c>
      <c r="AB4452" s="182" t="n">
        <v>0</v>
      </c>
      <c r="AC4452" s="182" t="n">
        <v>0</v>
      </c>
      <c r="AD4452" s="182" t="n">
        <v>0</v>
      </c>
      <c r="AE4452" s="182" t="n">
        <v>0</v>
      </c>
      <c r="AF4452" s="182" t="n">
        <v>0</v>
      </c>
      <c r="AG4452" s="182" t="n">
        <v>0</v>
      </c>
      <c r="AH4452" s="182" t="n">
        <v>0</v>
      </c>
      <c r="AI4452" s="182" t="n">
        <v>0</v>
      </c>
      <c r="AJ4452" s="182" t="n">
        <v>0</v>
      </c>
      <c r="AK4452" s="182" t="n">
        <v>0</v>
      </c>
      <c r="AL4452" s="182" t="n">
        <v>0</v>
      </c>
      <c r="AM4452" s="182" t="n">
        <v>0</v>
      </c>
      <c r="AN4452" s="182" t="n">
        <v>0</v>
      </c>
    </row>
    <row r="4453">
      <c r="A4453" s="155" t="n">
        <v>46102</v>
      </c>
      <c r="B4453" s="156" t="inlineStr">
        <is>
          <t>DS</t>
        </is>
      </c>
      <c r="C4453" s="156" t="inlineStr">
        <is>
          <t>EX-753</t>
        </is>
      </c>
      <c r="D4453" s="156" t="inlineStr">
        <is>
          <t>SY750H-PRO</t>
        </is>
      </c>
      <c r="E4453" s="156" t="inlineStr">
        <is>
          <t>Excavator</t>
        </is>
      </c>
      <c r="F4453" s="156" t="inlineStr">
        <is>
          <t>Loading OB &amp; General</t>
        </is>
      </c>
      <c r="G4453" s="182" t="n">
        <v>8.74</v>
      </c>
      <c r="H4453" s="182" t="n">
        <v>0</v>
      </c>
      <c r="I4453" s="182" t="n">
        <v>0</v>
      </c>
      <c r="J4453" s="182" t="n">
        <v>0</v>
      </c>
      <c r="K4453" s="182" t="n">
        <v>3.26</v>
      </c>
      <c r="L4453" s="182" t="n">
        <v>12</v>
      </c>
      <c r="M4453" s="182" t="n">
        <v>4.39</v>
      </c>
      <c r="N4453" s="182" t="n">
        <v>0</v>
      </c>
      <c r="O4453" s="183" t="n">
        <v>51</v>
      </c>
      <c r="P4453" s="183" t="n">
        <v>0</v>
      </c>
      <c r="Q4453" s="184" t="n">
        <v>1040.4</v>
      </c>
      <c r="R4453" s="184" t="n">
        <v>0</v>
      </c>
      <c r="S4453" s="183" t="n">
        <v>0</v>
      </c>
      <c r="T4453" s="183" t="n">
        <v>0</v>
      </c>
      <c r="U4453" s="182" t="n">
        <v>2.1</v>
      </c>
      <c r="V4453" s="182" t="n">
        <v>0</v>
      </c>
      <c r="W4453" s="182" t="n">
        <v>0</v>
      </c>
      <c r="X4453" s="182" t="n">
        <v>1.08</v>
      </c>
      <c r="Y4453" s="182" t="n">
        <v>0</v>
      </c>
      <c r="Z4453" s="182" t="n">
        <v>0</v>
      </c>
      <c r="AA4453" s="182" t="n">
        <v>0</v>
      </c>
      <c r="AB4453" s="182" t="n">
        <v>0</v>
      </c>
      <c r="AC4453" s="182" t="n">
        <v>0</v>
      </c>
      <c r="AD4453" s="182" t="n">
        <v>0</v>
      </c>
      <c r="AE4453" s="182" t="n">
        <v>0</v>
      </c>
      <c r="AF4453" s="182" t="n">
        <v>0</v>
      </c>
      <c r="AG4453" s="182" t="n">
        <v>0</v>
      </c>
      <c r="AH4453" s="182" t="n">
        <v>0</v>
      </c>
      <c r="AI4453" s="182" t="n">
        <v>0</v>
      </c>
      <c r="AJ4453" s="182" t="n">
        <v>0</v>
      </c>
      <c r="AK4453" s="182" t="n">
        <v>0</v>
      </c>
      <c r="AL4453" s="182" t="n">
        <v>0</v>
      </c>
      <c r="AM4453" s="182" t="n">
        <v>0.09</v>
      </c>
      <c r="AN4453" s="182" t="n">
        <v>0</v>
      </c>
    </row>
    <row r="4454">
      <c r="A4454" s="155" t="n">
        <v>46102</v>
      </c>
      <c r="B4454" s="156" t="inlineStr">
        <is>
          <t>DS</t>
        </is>
      </c>
      <c r="C4454" s="156" t="inlineStr">
        <is>
          <t>GD-012</t>
        </is>
      </c>
      <c r="D4454" s="156" t="inlineStr">
        <is>
          <t>STG 230C - 8S</t>
        </is>
      </c>
      <c r="E4454" s="156" t="inlineStr">
        <is>
          <t>Grader</t>
        </is>
      </c>
      <c r="F4454" s="156" t="inlineStr"/>
      <c r="G4454" s="182" t="n">
        <v>0</v>
      </c>
      <c r="H4454" s="182" t="n">
        <v>0</v>
      </c>
      <c r="I4454" s="182" t="n">
        <v>0</v>
      </c>
      <c r="J4454" s="182" t="n">
        <v>0</v>
      </c>
      <c r="K4454" s="182" t="n">
        <v>12</v>
      </c>
      <c r="L4454" s="182" t="n">
        <v>12</v>
      </c>
      <c r="M4454" s="182" t="n">
        <v>0</v>
      </c>
      <c r="N4454" s="182" t="n">
        <v>0</v>
      </c>
      <c r="O4454" s="183" t="n">
        <v>0</v>
      </c>
      <c r="P4454" s="183" t="n">
        <v>0</v>
      </c>
      <c r="Q4454" s="184" t="n">
        <v>0</v>
      </c>
      <c r="R4454" s="184" t="n">
        <v>0</v>
      </c>
      <c r="S4454" s="183" t="n">
        <v>0</v>
      </c>
      <c r="T4454" s="183" t="n">
        <v>0</v>
      </c>
      <c r="U4454" s="182" t="n">
        <v>0</v>
      </c>
      <c r="V4454" s="182" t="n">
        <v>0</v>
      </c>
      <c r="W4454" s="182" t="n">
        <v>0</v>
      </c>
      <c r="X4454" s="182" t="n">
        <v>1</v>
      </c>
      <c r="Y4454" s="182" t="n">
        <v>0</v>
      </c>
      <c r="Z4454" s="182" t="n">
        <v>0</v>
      </c>
      <c r="AA4454" s="182" t="n">
        <v>0</v>
      </c>
      <c r="AB4454" s="182" t="n">
        <v>0</v>
      </c>
      <c r="AC4454" s="182" t="n">
        <v>0</v>
      </c>
      <c r="AD4454" s="182" t="n">
        <v>0</v>
      </c>
      <c r="AE4454" s="182" t="n">
        <v>0</v>
      </c>
      <c r="AF4454" s="182" t="n">
        <v>0</v>
      </c>
      <c r="AG4454" s="182" t="n">
        <v>0</v>
      </c>
      <c r="AH4454" s="182" t="n">
        <v>0</v>
      </c>
      <c r="AI4454" s="182" t="n">
        <v>0</v>
      </c>
      <c r="AJ4454" s="182" t="n">
        <v>0</v>
      </c>
      <c r="AK4454" s="182" t="n">
        <v>10.92</v>
      </c>
      <c r="AL4454" s="182" t="n">
        <v>0</v>
      </c>
      <c r="AM4454" s="182" t="n">
        <v>0.08</v>
      </c>
      <c r="AN4454" s="182" t="n">
        <v>0</v>
      </c>
    </row>
    <row r="4455">
      <c r="A4455" s="155" t="n">
        <v>46102</v>
      </c>
      <c r="B4455" s="156" t="inlineStr">
        <is>
          <t>DS</t>
        </is>
      </c>
      <c r="C4455" s="156" t="inlineStr">
        <is>
          <t>GD-011</t>
        </is>
      </c>
      <c r="D4455" s="156" t="inlineStr">
        <is>
          <t>STG 230C - 8S</t>
        </is>
      </c>
      <c r="E4455" s="156" t="inlineStr">
        <is>
          <t>Grader</t>
        </is>
      </c>
      <c r="F4455" s="156" t="inlineStr"/>
      <c r="G4455" s="182" t="n">
        <v>0</v>
      </c>
      <c r="H4455" s="182" t="n">
        <v>0</v>
      </c>
      <c r="I4455" s="182" t="n">
        <v>12</v>
      </c>
      <c r="J4455" s="182" t="n">
        <v>12</v>
      </c>
      <c r="K4455" s="182" t="n">
        <v>0</v>
      </c>
      <c r="L4455" s="182" t="n">
        <v>12</v>
      </c>
      <c r="M4455" s="182" t="n">
        <v>0</v>
      </c>
      <c r="N4455" s="182" t="n">
        <v>0</v>
      </c>
      <c r="O4455" s="183" t="n">
        <v>0</v>
      </c>
      <c r="P4455" s="183" t="n">
        <v>0</v>
      </c>
      <c r="Q4455" s="184" t="n">
        <v>0</v>
      </c>
      <c r="R4455" s="184" t="n">
        <v>0</v>
      </c>
      <c r="S4455" s="183" t="n">
        <v>0</v>
      </c>
      <c r="T4455" s="183" t="n">
        <v>0</v>
      </c>
      <c r="U4455" s="182" t="n">
        <v>0</v>
      </c>
      <c r="V4455" s="182" t="n">
        <v>0</v>
      </c>
      <c r="W4455" s="182" t="n">
        <v>0</v>
      </c>
      <c r="X4455" s="182" t="n">
        <v>0</v>
      </c>
      <c r="Y4455" s="182" t="n">
        <v>0</v>
      </c>
      <c r="Z4455" s="182" t="n">
        <v>0</v>
      </c>
      <c r="AA4455" s="182" t="n">
        <v>0</v>
      </c>
      <c r="AB4455" s="182" t="n">
        <v>0</v>
      </c>
      <c r="AC4455" s="182" t="n">
        <v>0</v>
      </c>
      <c r="AD4455" s="182" t="n">
        <v>0</v>
      </c>
      <c r="AE4455" s="182" t="n">
        <v>0</v>
      </c>
      <c r="AF4455" s="182" t="n">
        <v>0</v>
      </c>
      <c r="AG4455" s="182" t="n">
        <v>0</v>
      </c>
      <c r="AH4455" s="182" t="n">
        <v>0</v>
      </c>
      <c r="AI4455" s="182" t="n">
        <v>0</v>
      </c>
      <c r="AJ4455" s="182" t="n">
        <v>0</v>
      </c>
      <c r="AK4455" s="182" t="n">
        <v>0</v>
      </c>
      <c r="AL4455" s="182" t="n">
        <v>0</v>
      </c>
      <c r="AM4455" s="182" t="n">
        <v>0</v>
      </c>
      <c r="AN4455" s="182" t="n">
        <v>0</v>
      </c>
    </row>
    <row r="4456">
      <c r="A4456" s="155" t="n">
        <v>46102</v>
      </c>
      <c r="B4456" s="156" t="inlineStr">
        <is>
          <t>DS</t>
        </is>
      </c>
      <c r="C4456" s="156" t="inlineStr">
        <is>
          <t>GD-013</t>
        </is>
      </c>
      <c r="D4456" s="156" t="inlineStr">
        <is>
          <t>STG 265C - 10</t>
        </is>
      </c>
      <c r="E4456" s="156" t="inlineStr">
        <is>
          <t>Grader</t>
        </is>
      </c>
      <c r="F4456" s="156" t="inlineStr">
        <is>
          <t>Road Maintenance</t>
        </is>
      </c>
      <c r="G4456" s="182" t="n">
        <v>10.54</v>
      </c>
      <c r="H4456" s="182" t="n">
        <v>0</v>
      </c>
      <c r="I4456" s="182" t="n">
        <v>0</v>
      </c>
      <c r="J4456" s="182" t="n">
        <v>0</v>
      </c>
      <c r="K4456" s="182" t="n">
        <v>1.46</v>
      </c>
      <c r="L4456" s="182" t="n">
        <v>12</v>
      </c>
      <c r="M4456" s="182" t="n">
        <v>0</v>
      </c>
      <c r="N4456" s="182" t="n">
        <v>0</v>
      </c>
      <c r="O4456" s="183" t="n">
        <v>0</v>
      </c>
      <c r="P4456" s="183" t="n">
        <v>0</v>
      </c>
      <c r="Q4456" s="184" t="n">
        <v>0</v>
      </c>
      <c r="R4456" s="184" t="n">
        <v>0</v>
      </c>
      <c r="S4456" s="183" t="n">
        <v>0</v>
      </c>
      <c r="T4456" s="183" t="n">
        <v>0</v>
      </c>
      <c r="U4456" s="182" t="n">
        <v>0</v>
      </c>
      <c r="V4456" s="182" t="n">
        <v>0</v>
      </c>
      <c r="W4456" s="182" t="n">
        <v>0</v>
      </c>
      <c r="X4456" s="182" t="n">
        <v>1.33</v>
      </c>
      <c r="Y4456" s="182" t="n">
        <v>0</v>
      </c>
      <c r="Z4456" s="182" t="n">
        <v>0</v>
      </c>
      <c r="AA4456" s="182" t="n">
        <v>0</v>
      </c>
      <c r="AB4456" s="182" t="n">
        <v>0</v>
      </c>
      <c r="AC4456" s="182" t="n">
        <v>0</v>
      </c>
      <c r="AD4456" s="182" t="n">
        <v>0</v>
      </c>
      <c r="AE4456" s="182" t="n">
        <v>0</v>
      </c>
      <c r="AF4456" s="182" t="n">
        <v>0</v>
      </c>
      <c r="AG4456" s="182" t="n">
        <v>0</v>
      </c>
      <c r="AH4456" s="182" t="n">
        <v>0</v>
      </c>
      <c r="AI4456" s="182" t="n">
        <v>0</v>
      </c>
      <c r="AJ4456" s="182" t="n">
        <v>0</v>
      </c>
      <c r="AK4456" s="182" t="n">
        <v>0.03</v>
      </c>
      <c r="AL4456" s="182" t="n">
        <v>0</v>
      </c>
      <c r="AM4456" s="182" t="n">
        <v>0.11</v>
      </c>
      <c r="AN4456" s="182" t="n">
        <v>0</v>
      </c>
    </row>
    <row r="4457">
      <c r="A4457" s="155" t="n">
        <v>46102</v>
      </c>
      <c r="B4457" s="156" t="inlineStr">
        <is>
          <t>DS</t>
        </is>
      </c>
      <c r="C4457" s="156" t="inlineStr">
        <is>
          <t>GD-014</t>
        </is>
      </c>
      <c r="D4457" s="156" t="inlineStr">
        <is>
          <t>STG 335C - 10</t>
        </is>
      </c>
      <c r="E4457" s="156" t="inlineStr">
        <is>
          <t>Grader</t>
        </is>
      </c>
      <c r="F4457" s="156" t="inlineStr">
        <is>
          <t>Road Maintenance</t>
        </is>
      </c>
      <c r="G4457" s="182" t="n">
        <v>9.550000000000001</v>
      </c>
      <c r="H4457" s="182" t="n">
        <v>0</v>
      </c>
      <c r="I4457" s="182" t="n">
        <v>0</v>
      </c>
      <c r="J4457" s="182" t="n">
        <v>0</v>
      </c>
      <c r="K4457" s="182" t="n">
        <v>2.45</v>
      </c>
      <c r="L4457" s="182" t="n">
        <v>12</v>
      </c>
      <c r="M4457" s="182" t="n">
        <v>0</v>
      </c>
      <c r="N4457" s="182" t="n">
        <v>0</v>
      </c>
      <c r="O4457" s="183" t="n">
        <v>0</v>
      </c>
      <c r="P4457" s="183" t="n">
        <v>0</v>
      </c>
      <c r="Q4457" s="184" t="n">
        <v>0</v>
      </c>
      <c r="R4457" s="184" t="n">
        <v>0</v>
      </c>
      <c r="S4457" s="183" t="n">
        <v>0</v>
      </c>
      <c r="T4457" s="183" t="n">
        <v>0</v>
      </c>
      <c r="U4457" s="182" t="n">
        <v>0</v>
      </c>
      <c r="V4457" s="182" t="n">
        <v>0</v>
      </c>
      <c r="W4457" s="182" t="n">
        <v>0</v>
      </c>
      <c r="X4457" s="182" t="n">
        <v>1.07</v>
      </c>
      <c r="Y4457" s="182" t="n">
        <v>0</v>
      </c>
      <c r="Z4457" s="182" t="n">
        <v>0</v>
      </c>
      <c r="AA4457" s="182" t="n">
        <v>0</v>
      </c>
      <c r="AB4457" s="182" t="n">
        <v>0</v>
      </c>
      <c r="AC4457" s="182" t="n">
        <v>0</v>
      </c>
      <c r="AD4457" s="182" t="n">
        <v>0</v>
      </c>
      <c r="AE4457" s="182" t="n">
        <v>0</v>
      </c>
      <c r="AF4457" s="182" t="n">
        <v>0</v>
      </c>
      <c r="AG4457" s="182" t="n">
        <v>0</v>
      </c>
      <c r="AH4457" s="182" t="n">
        <v>0</v>
      </c>
      <c r="AI4457" s="182" t="n">
        <v>0</v>
      </c>
      <c r="AJ4457" s="182" t="n">
        <v>0</v>
      </c>
      <c r="AK4457" s="182" t="n">
        <v>1.3</v>
      </c>
      <c r="AL4457" s="182" t="n">
        <v>0</v>
      </c>
      <c r="AM4457" s="182" t="n">
        <v>0.09</v>
      </c>
      <c r="AN4457" s="182" t="n">
        <v>0</v>
      </c>
    </row>
    <row r="4458">
      <c r="A4458" s="155" t="n">
        <v>46102</v>
      </c>
      <c r="B4458" s="156" t="inlineStr">
        <is>
          <t>DS</t>
        </is>
      </c>
      <c r="C4458" s="156" t="inlineStr">
        <is>
          <t>DT-809</t>
        </is>
      </c>
      <c r="D4458" s="156" t="inlineStr">
        <is>
          <t>SKT 80S</t>
        </is>
      </c>
      <c r="E4458" s="156" t="inlineStr">
        <is>
          <t>Hauler</t>
        </is>
      </c>
      <c r="F4458" s="156" t="inlineStr"/>
      <c r="G4458" s="182" t="n">
        <v>0</v>
      </c>
      <c r="H4458" s="182" t="n">
        <v>0</v>
      </c>
      <c r="I4458" s="182" t="n">
        <v>0</v>
      </c>
      <c r="J4458" s="182" t="n">
        <v>0</v>
      </c>
      <c r="K4458" s="182" t="n">
        <v>12</v>
      </c>
      <c r="L4458" s="182" t="n">
        <v>12</v>
      </c>
      <c r="M4458" s="182" t="n">
        <v>0</v>
      </c>
      <c r="N4458" s="182" t="n">
        <v>0</v>
      </c>
      <c r="O4458" s="183" t="n">
        <v>0</v>
      </c>
      <c r="P4458" s="183" t="n">
        <v>0</v>
      </c>
      <c r="Q4458" s="184" t="n">
        <v>0</v>
      </c>
      <c r="R4458" s="184" t="n">
        <v>0</v>
      </c>
      <c r="S4458" s="183" t="n">
        <v>0</v>
      </c>
      <c r="T4458" s="183" t="n">
        <v>0</v>
      </c>
      <c r="U4458" s="182" t="n">
        <v>1.95</v>
      </c>
      <c r="V4458" s="182" t="n">
        <v>0</v>
      </c>
      <c r="W4458" s="182" t="n">
        <v>0</v>
      </c>
      <c r="X4458" s="182" t="n">
        <v>1</v>
      </c>
      <c r="Y4458" s="182" t="n">
        <v>0</v>
      </c>
      <c r="Z4458" s="182" t="n">
        <v>0</v>
      </c>
      <c r="AA4458" s="182" t="n">
        <v>0</v>
      </c>
      <c r="AB4458" s="182" t="n">
        <v>0</v>
      </c>
      <c r="AC4458" s="182" t="n">
        <v>0</v>
      </c>
      <c r="AD4458" s="182" t="n">
        <v>0</v>
      </c>
      <c r="AE4458" s="182" t="n">
        <v>0</v>
      </c>
      <c r="AF4458" s="182" t="n">
        <v>0</v>
      </c>
      <c r="AG4458" s="182" t="n">
        <v>0</v>
      </c>
      <c r="AH4458" s="182" t="n">
        <v>0</v>
      </c>
      <c r="AI4458" s="182" t="n">
        <v>0</v>
      </c>
      <c r="AJ4458" s="182" t="n">
        <v>0</v>
      </c>
      <c r="AK4458" s="182" t="n">
        <v>8.970000000000001</v>
      </c>
      <c r="AL4458" s="182" t="n">
        <v>0</v>
      </c>
      <c r="AM4458" s="182" t="n">
        <v>0.08</v>
      </c>
      <c r="AN4458" s="182" t="n">
        <v>0</v>
      </c>
    </row>
    <row r="4459">
      <c r="A4459" s="155" t="n">
        <v>46102</v>
      </c>
      <c r="B4459" s="156" t="inlineStr">
        <is>
          <t>DS</t>
        </is>
      </c>
      <c r="C4459" s="156" t="inlineStr">
        <is>
          <t>DT-806</t>
        </is>
      </c>
      <c r="D4459" s="156" t="inlineStr">
        <is>
          <t>SKT 80S</t>
        </is>
      </c>
      <c r="E4459" s="156" t="inlineStr">
        <is>
          <t>Hauler</t>
        </is>
      </c>
      <c r="F4459" s="156" t="inlineStr"/>
      <c r="G4459" s="182" t="n">
        <v>0</v>
      </c>
      <c r="H4459" s="182" t="n">
        <v>0</v>
      </c>
      <c r="I4459" s="182" t="n">
        <v>0</v>
      </c>
      <c r="J4459" s="182" t="n">
        <v>0</v>
      </c>
      <c r="K4459" s="182" t="n">
        <v>12</v>
      </c>
      <c r="L4459" s="182" t="n">
        <v>12</v>
      </c>
      <c r="M4459" s="182" t="n">
        <v>0</v>
      </c>
      <c r="N4459" s="182" t="n">
        <v>0</v>
      </c>
      <c r="O4459" s="183" t="n">
        <v>0</v>
      </c>
      <c r="P4459" s="183" t="n">
        <v>0</v>
      </c>
      <c r="Q4459" s="184" t="n">
        <v>0</v>
      </c>
      <c r="R4459" s="184" t="n">
        <v>0</v>
      </c>
      <c r="S4459" s="183" t="n">
        <v>0</v>
      </c>
      <c r="T4459" s="183" t="n">
        <v>0</v>
      </c>
      <c r="U4459" s="182" t="n">
        <v>1.95</v>
      </c>
      <c r="V4459" s="182" t="n">
        <v>0</v>
      </c>
      <c r="W4459" s="182" t="n">
        <v>0</v>
      </c>
      <c r="X4459" s="182" t="n">
        <v>1</v>
      </c>
      <c r="Y4459" s="182" t="n">
        <v>0</v>
      </c>
      <c r="Z4459" s="182" t="n">
        <v>0</v>
      </c>
      <c r="AA4459" s="182" t="n">
        <v>0</v>
      </c>
      <c r="AB4459" s="182" t="n">
        <v>0</v>
      </c>
      <c r="AC4459" s="182" t="n">
        <v>0</v>
      </c>
      <c r="AD4459" s="182" t="n">
        <v>0</v>
      </c>
      <c r="AE4459" s="182" t="n">
        <v>0</v>
      </c>
      <c r="AF4459" s="182" t="n">
        <v>0</v>
      </c>
      <c r="AG4459" s="182" t="n">
        <v>0</v>
      </c>
      <c r="AH4459" s="182" t="n">
        <v>0</v>
      </c>
      <c r="AI4459" s="182" t="n">
        <v>0</v>
      </c>
      <c r="AJ4459" s="182" t="n">
        <v>0</v>
      </c>
      <c r="AK4459" s="182" t="n">
        <v>8.970000000000001</v>
      </c>
      <c r="AL4459" s="182" t="n">
        <v>0</v>
      </c>
      <c r="AM4459" s="182" t="n">
        <v>0.08</v>
      </c>
      <c r="AN4459" s="182" t="n">
        <v>0</v>
      </c>
    </row>
    <row r="4460">
      <c r="A4460" s="155" t="n">
        <v>46102</v>
      </c>
      <c r="B4460" s="156" t="inlineStr">
        <is>
          <t>DS</t>
        </is>
      </c>
      <c r="C4460" s="156" t="inlineStr">
        <is>
          <t>DT-805</t>
        </is>
      </c>
      <c r="D4460" s="156" t="inlineStr">
        <is>
          <t>SKT 80S</t>
        </is>
      </c>
      <c r="E4460" s="156" t="inlineStr">
        <is>
          <t>Hauler</t>
        </is>
      </c>
      <c r="F4460" s="156" t="inlineStr"/>
      <c r="G4460" s="182" t="n">
        <v>0</v>
      </c>
      <c r="H4460" s="182" t="n">
        <v>0</v>
      </c>
      <c r="I4460" s="182" t="n">
        <v>0</v>
      </c>
      <c r="J4460" s="182" t="n">
        <v>0</v>
      </c>
      <c r="K4460" s="182" t="n">
        <v>12</v>
      </c>
      <c r="L4460" s="182" t="n">
        <v>12</v>
      </c>
      <c r="M4460" s="182" t="n">
        <v>0</v>
      </c>
      <c r="N4460" s="182" t="n">
        <v>0</v>
      </c>
      <c r="O4460" s="183" t="n">
        <v>0</v>
      </c>
      <c r="P4460" s="183" t="n">
        <v>0</v>
      </c>
      <c r="Q4460" s="184" t="n">
        <v>0</v>
      </c>
      <c r="R4460" s="184" t="n">
        <v>0</v>
      </c>
      <c r="S4460" s="183" t="n">
        <v>0</v>
      </c>
      <c r="T4460" s="183" t="n">
        <v>0</v>
      </c>
      <c r="U4460" s="182" t="n">
        <v>1.95</v>
      </c>
      <c r="V4460" s="182" t="n">
        <v>0</v>
      </c>
      <c r="W4460" s="182" t="n">
        <v>0</v>
      </c>
      <c r="X4460" s="182" t="n">
        <v>1</v>
      </c>
      <c r="Y4460" s="182" t="n">
        <v>0</v>
      </c>
      <c r="Z4460" s="182" t="n">
        <v>0</v>
      </c>
      <c r="AA4460" s="182" t="n">
        <v>0</v>
      </c>
      <c r="AB4460" s="182" t="n">
        <v>0</v>
      </c>
      <c r="AC4460" s="182" t="n">
        <v>0</v>
      </c>
      <c r="AD4460" s="182" t="n">
        <v>0</v>
      </c>
      <c r="AE4460" s="182" t="n">
        <v>0</v>
      </c>
      <c r="AF4460" s="182" t="n">
        <v>0</v>
      </c>
      <c r="AG4460" s="182" t="n">
        <v>0</v>
      </c>
      <c r="AH4460" s="182" t="n">
        <v>0</v>
      </c>
      <c r="AI4460" s="182" t="n">
        <v>0</v>
      </c>
      <c r="AJ4460" s="182" t="n">
        <v>0</v>
      </c>
      <c r="AK4460" s="182" t="n">
        <v>8.970000000000001</v>
      </c>
      <c r="AL4460" s="182" t="n">
        <v>0</v>
      </c>
      <c r="AM4460" s="182" t="n">
        <v>0.08</v>
      </c>
      <c r="AN4460" s="182" t="n">
        <v>0</v>
      </c>
    </row>
    <row r="4461">
      <c r="A4461" s="155" t="n">
        <v>46102</v>
      </c>
      <c r="B4461" s="156" t="inlineStr">
        <is>
          <t>DS</t>
        </is>
      </c>
      <c r="C4461" s="156" t="inlineStr">
        <is>
          <t>DT-801</t>
        </is>
      </c>
      <c r="D4461" s="156" t="inlineStr">
        <is>
          <t>SKT 80S</t>
        </is>
      </c>
      <c r="E4461" s="156" t="inlineStr">
        <is>
          <t>Hauler</t>
        </is>
      </c>
      <c r="F4461" s="156" t="inlineStr"/>
      <c r="G4461" s="182" t="n">
        <v>0</v>
      </c>
      <c r="H4461" s="182" t="n">
        <v>0</v>
      </c>
      <c r="I4461" s="182" t="n">
        <v>0</v>
      </c>
      <c r="J4461" s="182" t="n">
        <v>0</v>
      </c>
      <c r="K4461" s="182" t="n">
        <v>12</v>
      </c>
      <c r="L4461" s="182" t="n">
        <v>12</v>
      </c>
      <c r="M4461" s="182" t="n">
        <v>0</v>
      </c>
      <c r="N4461" s="182" t="n">
        <v>0</v>
      </c>
      <c r="O4461" s="183" t="n">
        <v>0</v>
      </c>
      <c r="P4461" s="183" t="n">
        <v>0</v>
      </c>
      <c r="Q4461" s="184" t="n">
        <v>0</v>
      </c>
      <c r="R4461" s="184" t="n">
        <v>0</v>
      </c>
      <c r="S4461" s="183" t="n">
        <v>0</v>
      </c>
      <c r="T4461" s="183" t="n">
        <v>0</v>
      </c>
      <c r="U4461" s="182" t="n">
        <v>1.95</v>
      </c>
      <c r="V4461" s="182" t="n">
        <v>0</v>
      </c>
      <c r="W4461" s="182" t="n">
        <v>0</v>
      </c>
      <c r="X4461" s="182" t="n">
        <v>1</v>
      </c>
      <c r="Y4461" s="182" t="n">
        <v>0</v>
      </c>
      <c r="Z4461" s="182" t="n">
        <v>0</v>
      </c>
      <c r="AA4461" s="182" t="n">
        <v>0</v>
      </c>
      <c r="AB4461" s="182" t="n">
        <v>0</v>
      </c>
      <c r="AC4461" s="182" t="n">
        <v>0</v>
      </c>
      <c r="AD4461" s="182" t="n">
        <v>0</v>
      </c>
      <c r="AE4461" s="182" t="n">
        <v>0</v>
      </c>
      <c r="AF4461" s="182" t="n">
        <v>0</v>
      </c>
      <c r="AG4461" s="182" t="n">
        <v>0</v>
      </c>
      <c r="AH4461" s="182" t="n">
        <v>0</v>
      </c>
      <c r="AI4461" s="182" t="n">
        <v>0</v>
      </c>
      <c r="AJ4461" s="182" t="n">
        <v>0</v>
      </c>
      <c r="AK4461" s="182" t="n">
        <v>8.970000000000001</v>
      </c>
      <c r="AL4461" s="182" t="n">
        <v>0</v>
      </c>
      <c r="AM4461" s="182" t="n">
        <v>0.08</v>
      </c>
      <c r="AN4461" s="182" t="n">
        <v>0</v>
      </c>
    </row>
    <row r="4462">
      <c r="A4462" s="155" t="n">
        <v>46102</v>
      </c>
      <c r="B4462" s="156" t="inlineStr">
        <is>
          <t>DS</t>
        </is>
      </c>
      <c r="C4462" s="156" t="inlineStr">
        <is>
          <t>DT-808</t>
        </is>
      </c>
      <c r="D4462" s="156" t="inlineStr">
        <is>
          <t>SKT 80S</t>
        </is>
      </c>
      <c r="E4462" s="156" t="inlineStr">
        <is>
          <t>Hauler</t>
        </is>
      </c>
      <c r="F4462" s="156" t="inlineStr">
        <is>
          <t>Hauling Lumpur dari Washing Plant</t>
        </is>
      </c>
      <c r="G4462" s="182" t="n">
        <v>3.51</v>
      </c>
      <c r="H4462" s="182" t="n">
        <v>0</v>
      </c>
      <c r="I4462" s="182" t="n">
        <v>0</v>
      </c>
      <c r="J4462" s="182" t="n">
        <v>0</v>
      </c>
      <c r="K4462" s="182" t="n">
        <v>8.49</v>
      </c>
      <c r="L4462" s="182" t="n">
        <v>12</v>
      </c>
      <c r="M4462" s="182" t="n">
        <v>0</v>
      </c>
      <c r="N4462" s="182" t="n">
        <v>0</v>
      </c>
      <c r="O4462" s="183" t="n">
        <v>0</v>
      </c>
      <c r="P4462" s="183" t="n">
        <v>0</v>
      </c>
      <c r="Q4462" s="184" t="n">
        <v>0</v>
      </c>
      <c r="R4462" s="184" t="n">
        <v>0</v>
      </c>
      <c r="S4462" s="183" t="n">
        <v>0</v>
      </c>
      <c r="T4462" s="183" t="n">
        <v>0</v>
      </c>
      <c r="U4462" s="182" t="n">
        <v>1.9</v>
      </c>
      <c r="V4462" s="182" t="n">
        <v>0</v>
      </c>
      <c r="W4462" s="182" t="n">
        <v>0</v>
      </c>
      <c r="X4462" s="182" t="n">
        <v>0.98</v>
      </c>
      <c r="Y4462" s="182" t="n">
        <v>0</v>
      </c>
      <c r="Z4462" s="182" t="n">
        <v>0</v>
      </c>
      <c r="AA4462" s="182" t="n">
        <v>0</v>
      </c>
      <c r="AB4462" s="182" t="n">
        <v>0</v>
      </c>
      <c r="AC4462" s="182" t="n">
        <v>0</v>
      </c>
      <c r="AD4462" s="182" t="n">
        <v>0</v>
      </c>
      <c r="AE4462" s="182" t="n">
        <v>0</v>
      </c>
      <c r="AF4462" s="182" t="n">
        <v>0</v>
      </c>
      <c r="AG4462" s="182" t="n">
        <v>0</v>
      </c>
      <c r="AH4462" s="182" t="n">
        <v>0</v>
      </c>
      <c r="AI4462" s="182" t="n">
        <v>0</v>
      </c>
      <c r="AJ4462" s="182" t="n">
        <v>0</v>
      </c>
      <c r="AK4462" s="182" t="n">
        <v>5.53</v>
      </c>
      <c r="AL4462" s="182" t="n">
        <v>0</v>
      </c>
      <c r="AM4462" s="182" t="n">
        <v>0.08</v>
      </c>
      <c r="AN4462" s="182" t="n">
        <v>0</v>
      </c>
    </row>
    <row r="4463">
      <c r="A4463" s="155" t="n">
        <v>46102</v>
      </c>
      <c r="B4463" s="156" t="inlineStr">
        <is>
          <t>DS</t>
        </is>
      </c>
      <c r="C4463" s="156" t="inlineStr">
        <is>
          <t>DT-811</t>
        </is>
      </c>
      <c r="D4463" s="156" t="inlineStr">
        <is>
          <t>SKT 80S</t>
        </is>
      </c>
      <c r="E4463" s="156" t="inlineStr">
        <is>
          <t>Hauler</t>
        </is>
      </c>
      <c r="F4463" s="156" t="inlineStr"/>
      <c r="G4463" s="182" t="n">
        <v>0</v>
      </c>
      <c r="H4463" s="182" t="n">
        <v>0</v>
      </c>
      <c r="I4463" s="182" t="n">
        <v>0</v>
      </c>
      <c r="J4463" s="182" t="n">
        <v>0</v>
      </c>
      <c r="K4463" s="182" t="n">
        <v>12</v>
      </c>
      <c r="L4463" s="182" t="n">
        <v>12</v>
      </c>
      <c r="M4463" s="182" t="n">
        <v>0</v>
      </c>
      <c r="N4463" s="182" t="n">
        <v>0</v>
      </c>
      <c r="O4463" s="183" t="n">
        <v>0</v>
      </c>
      <c r="P4463" s="183" t="n">
        <v>0</v>
      </c>
      <c r="Q4463" s="184" t="n">
        <v>0</v>
      </c>
      <c r="R4463" s="184" t="n">
        <v>0</v>
      </c>
      <c r="S4463" s="183" t="n">
        <v>0</v>
      </c>
      <c r="T4463" s="183" t="n">
        <v>0</v>
      </c>
      <c r="U4463" s="182" t="n">
        <v>1.95</v>
      </c>
      <c r="V4463" s="182" t="n">
        <v>0</v>
      </c>
      <c r="W4463" s="182" t="n">
        <v>0</v>
      </c>
      <c r="X4463" s="182" t="n">
        <v>1</v>
      </c>
      <c r="Y4463" s="182" t="n">
        <v>0</v>
      </c>
      <c r="Z4463" s="182" t="n">
        <v>0</v>
      </c>
      <c r="AA4463" s="182" t="n">
        <v>0</v>
      </c>
      <c r="AB4463" s="182" t="n">
        <v>0</v>
      </c>
      <c r="AC4463" s="182" t="n">
        <v>0</v>
      </c>
      <c r="AD4463" s="182" t="n">
        <v>0</v>
      </c>
      <c r="AE4463" s="182" t="n">
        <v>0</v>
      </c>
      <c r="AF4463" s="182" t="n">
        <v>0</v>
      </c>
      <c r="AG4463" s="182" t="n">
        <v>0</v>
      </c>
      <c r="AH4463" s="182" t="n">
        <v>0</v>
      </c>
      <c r="AI4463" s="182" t="n">
        <v>0</v>
      </c>
      <c r="AJ4463" s="182" t="n">
        <v>0</v>
      </c>
      <c r="AK4463" s="182" t="n">
        <v>8.970000000000001</v>
      </c>
      <c r="AL4463" s="182" t="n">
        <v>0</v>
      </c>
      <c r="AM4463" s="182" t="n">
        <v>0.08</v>
      </c>
      <c r="AN4463" s="182" t="n">
        <v>0</v>
      </c>
    </row>
    <row r="4464">
      <c r="A4464" s="155" t="n">
        <v>46102</v>
      </c>
      <c r="B4464" s="156" t="inlineStr">
        <is>
          <t>DS</t>
        </is>
      </c>
      <c r="C4464" s="156" t="inlineStr">
        <is>
          <t>DT-802</t>
        </is>
      </c>
      <c r="D4464" s="156" t="inlineStr">
        <is>
          <t>SKT 80S</t>
        </is>
      </c>
      <c r="E4464" s="156" t="inlineStr">
        <is>
          <t>Hauler</t>
        </is>
      </c>
      <c r="F4464" s="156" t="inlineStr"/>
      <c r="G4464" s="182" t="n">
        <v>0</v>
      </c>
      <c r="H4464" s="182" t="n">
        <v>0</v>
      </c>
      <c r="I4464" s="182" t="n">
        <v>0</v>
      </c>
      <c r="J4464" s="182" t="n">
        <v>0</v>
      </c>
      <c r="K4464" s="182" t="n">
        <v>12</v>
      </c>
      <c r="L4464" s="182" t="n">
        <v>12</v>
      </c>
      <c r="M4464" s="182" t="n">
        <v>0</v>
      </c>
      <c r="N4464" s="182" t="n">
        <v>0</v>
      </c>
      <c r="O4464" s="183" t="n">
        <v>0</v>
      </c>
      <c r="P4464" s="183" t="n">
        <v>0</v>
      </c>
      <c r="Q4464" s="184" t="n">
        <v>0</v>
      </c>
      <c r="R4464" s="184" t="n">
        <v>0</v>
      </c>
      <c r="S4464" s="183" t="n">
        <v>0</v>
      </c>
      <c r="T4464" s="183" t="n">
        <v>0</v>
      </c>
      <c r="U4464" s="182" t="n">
        <v>1.95</v>
      </c>
      <c r="V4464" s="182" t="n">
        <v>0</v>
      </c>
      <c r="W4464" s="182" t="n">
        <v>0</v>
      </c>
      <c r="X4464" s="182" t="n">
        <v>1</v>
      </c>
      <c r="Y4464" s="182" t="n">
        <v>0</v>
      </c>
      <c r="Z4464" s="182" t="n">
        <v>0</v>
      </c>
      <c r="AA4464" s="182" t="n">
        <v>0</v>
      </c>
      <c r="AB4464" s="182" t="n">
        <v>0</v>
      </c>
      <c r="AC4464" s="182" t="n">
        <v>0</v>
      </c>
      <c r="AD4464" s="182" t="n">
        <v>0</v>
      </c>
      <c r="AE4464" s="182" t="n">
        <v>0</v>
      </c>
      <c r="AF4464" s="182" t="n">
        <v>0</v>
      </c>
      <c r="AG4464" s="182" t="n">
        <v>0</v>
      </c>
      <c r="AH4464" s="182" t="n">
        <v>0</v>
      </c>
      <c r="AI4464" s="182" t="n">
        <v>0</v>
      </c>
      <c r="AJ4464" s="182" t="n">
        <v>0</v>
      </c>
      <c r="AK4464" s="182" t="n">
        <v>8.970000000000001</v>
      </c>
      <c r="AL4464" s="182" t="n">
        <v>0</v>
      </c>
      <c r="AM4464" s="182" t="n">
        <v>0.08</v>
      </c>
      <c r="AN4464" s="182" t="n">
        <v>0</v>
      </c>
    </row>
    <row r="4465">
      <c r="A4465" s="155" t="n">
        <v>46102</v>
      </c>
      <c r="B4465" s="156" t="inlineStr">
        <is>
          <t>DS</t>
        </is>
      </c>
      <c r="C4465" s="156" t="inlineStr">
        <is>
          <t>DT-807</t>
        </is>
      </c>
      <c r="D4465" s="156" t="inlineStr">
        <is>
          <t>SKT 80S</t>
        </is>
      </c>
      <c r="E4465" s="156" t="inlineStr">
        <is>
          <t>Hauler</t>
        </is>
      </c>
      <c r="F4465" s="156" t="inlineStr"/>
      <c r="G4465" s="182" t="n">
        <v>0</v>
      </c>
      <c r="H4465" s="182" t="n">
        <v>0</v>
      </c>
      <c r="I4465" s="182" t="n">
        <v>0</v>
      </c>
      <c r="J4465" s="182" t="n">
        <v>0</v>
      </c>
      <c r="K4465" s="182" t="n">
        <v>12</v>
      </c>
      <c r="L4465" s="182" t="n">
        <v>12</v>
      </c>
      <c r="M4465" s="182" t="n">
        <v>0</v>
      </c>
      <c r="N4465" s="182" t="n">
        <v>0</v>
      </c>
      <c r="O4465" s="183" t="n">
        <v>0</v>
      </c>
      <c r="P4465" s="183" t="n">
        <v>0</v>
      </c>
      <c r="Q4465" s="184" t="n">
        <v>0</v>
      </c>
      <c r="R4465" s="184" t="n">
        <v>0</v>
      </c>
      <c r="S4465" s="183" t="n">
        <v>0</v>
      </c>
      <c r="T4465" s="183" t="n">
        <v>0</v>
      </c>
      <c r="U4465" s="182" t="n">
        <v>1.95</v>
      </c>
      <c r="V4465" s="182" t="n">
        <v>0</v>
      </c>
      <c r="W4465" s="182" t="n">
        <v>0</v>
      </c>
      <c r="X4465" s="182" t="n">
        <v>1</v>
      </c>
      <c r="Y4465" s="182" t="n">
        <v>0</v>
      </c>
      <c r="Z4465" s="182" t="n">
        <v>0</v>
      </c>
      <c r="AA4465" s="182" t="n">
        <v>0</v>
      </c>
      <c r="AB4465" s="182" t="n">
        <v>0</v>
      </c>
      <c r="AC4465" s="182" t="n">
        <v>0</v>
      </c>
      <c r="AD4465" s="182" t="n">
        <v>0</v>
      </c>
      <c r="AE4465" s="182" t="n">
        <v>0</v>
      </c>
      <c r="AF4465" s="182" t="n">
        <v>0</v>
      </c>
      <c r="AG4465" s="182" t="n">
        <v>0</v>
      </c>
      <c r="AH4465" s="182" t="n">
        <v>0</v>
      </c>
      <c r="AI4465" s="182" t="n">
        <v>0</v>
      </c>
      <c r="AJ4465" s="182" t="n">
        <v>0</v>
      </c>
      <c r="AK4465" s="182" t="n">
        <v>8.970000000000001</v>
      </c>
      <c r="AL4465" s="182" t="n">
        <v>0</v>
      </c>
      <c r="AM4465" s="182" t="n">
        <v>0.08</v>
      </c>
      <c r="AN4465" s="182" t="n">
        <v>0</v>
      </c>
    </row>
    <row r="4466">
      <c r="A4466" s="155" t="n">
        <v>46102</v>
      </c>
      <c r="B4466" s="156" t="inlineStr">
        <is>
          <t>DS</t>
        </is>
      </c>
      <c r="C4466" s="156" t="inlineStr">
        <is>
          <t>DT-812</t>
        </is>
      </c>
      <c r="D4466" s="156" t="inlineStr">
        <is>
          <t>SKT 80S</t>
        </is>
      </c>
      <c r="E4466" s="156" t="inlineStr">
        <is>
          <t>Hauler</t>
        </is>
      </c>
      <c r="F4466" s="156" t="inlineStr">
        <is>
          <t>Hauling Coal</t>
        </is>
      </c>
      <c r="G4466" s="182" t="n">
        <v>2.79</v>
      </c>
      <c r="H4466" s="182" t="n">
        <v>0</v>
      </c>
      <c r="I4466" s="182" t="n">
        <v>0</v>
      </c>
      <c r="J4466" s="182" t="n">
        <v>0</v>
      </c>
      <c r="K4466" s="182" t="n">
        <v>9.210000000000001</v>
      </c>
      <c r="L4466" s="182" t="n">
        <v>12</v>
      </c>
      <c r="M4466" s="182" t="n">
        <v>0</v>
      </c>
      <c r="N4466" s="182" t="n">
        <v>2.79</v>
      </c>
      <c r="O4466" s="183" t="n">
        <v>0</v>
      </c>
      <c r="P4466" s="183" t="n">
        <v>3</v>
      </c>
      <c r="Q4466" s="184" t="n">
        <v>0</v>
      </c>
      <c r="R4466" s="184" t="n">
        <v>45.9</v>
      </c>
      <c r="S4466" s="183" t="n">
        <v>0</v>
      </c>
      <c r="T4466" s="183" t="n">
        <v>0</v>
      </c>
      <c r="U4466" s="182" t="n">
        <v>2</v>
      </c>
      <c r="V4466" s="182" t="n">
        <v>1.45</v>
      </c>
      <c r="W4466" s="182" t="n">
        <v>0</v>
      </c>
      <c r="X4466" s="182" t="n">
        <v>1.02</v>
      </c>
      <c r="Y4466" s="182" t="n">
        <v>0</v>
      </c>
      <c r="Z4466" s="182" t="n">
        <v>0</v>
      </c>
      <c r="AA4466" s="182" t="n">
        <v>0</v>
      </c>
      <c r="AB4466" s="182" t="n">
        <v>0</v>
      </c>
      <c r="AC4466" s="182" t="n">
        <v>0.34</v>
      </c>
      <c r="AD4466" s="182" t="n">
        <v>0</v>
      </c>
      <c r="AE4466" s="182" t="n">
        <v>0</v>
      </c>
      <c r="AF4466" s="182" t="n">
        <v>0</v>
      </c>
      <c r="AG4466" s="182" t="n">
        <v>0</v>
      </c>
      <c r="AH4466" s="182" t="n">
        <v>0</v>
      </c>
      <c r="AI4466" s="182" t="n">
        <v>0</v>
      </c>
      <c r="AJ4466" s="182" t="n">
        <v>0</v>
      </c>
      <c r="AK4466" s="182" t="n">
        <v>4.31</v>
      </c>
      <c r="AL4466" s="182" t="n">
        <v>0</v>
      </c>
      <c r="AM4466" s="182" t="n">
        <v>0.08</v>
      </c>
      <c r="AN4466" s="182" t="n">
        <v>0</v>
      </c>
    </row>
    <row r="4467">
      <c r="A4467" s="155" t="n">
        <v>46102</v>
      </c>
      <c r="B4467" s="156" t="inlineStr">
        <is>
          <t>DS</t>
        </is>
      </c>
      <c r="C4467" s="156" t="inlineStr">
        <is>
          <t>DT-803</t>
        </is>
      </c>
      <c r="D4467" s="156" t="inlineStr">
        <is>
          <t>SKT 80S</t>
        </is>
      </c>
      <c r="E4467" s="156" t="inlineStr">
        <is>
          <t>Hauler</t>
        </is>
      </c>
      <c r="F4467" s="156" t="inlineStr"/>
      <c r="G4467" s="182" t="n">
        <v>0</v>
      </c>
      <c r="H4467" s="182" t="n">
        <v>0</v>
      </c>
      <c r="I4467" s="182" t="n">
        <v>0</v>
      </c>
      <c r="J4467" s="182" t="n">
        <v>0</v>
      </c>
      <c r="K4467" s="182" t="n">
        <v>12</v>
      </c>
      <c r="L4467" s="182" t="n">
        <v>12</v>
      </c>
      <c r="M4467" s="182" t="n">
        <v>0</v>
      </c>
      <c r="N4467" s="182" t="n">
        <v>0</v>
      </c>
      <c r="O4467" s="183" t="n">
        <v>0</v>
      </c>
      <c r="P4467" s="183" t="n">
        <v>0</v>
      </c>
      <c r="Q4467" s="184" t="n">
        <v>0</v>
      </c>
      <c r="R4467" s="184" t="n">
        <v>0</v>
      </c>
      <c r="S4467" s="183" t="n">
        <v>0</v>
      </c>
      <c r="T4467" s="183" t="n">
        <v>0</v>
      </c>
      <c r="U4467" s="182" t="n">
        <v>1.95</v>
      </c>
      <c r="V4467" s="182" t="n">
        <v>0</v>
      </c>
      <c r="W4467" s="182" t="n">
        <v>0</v>
      </c>
      <c r="X4467" s="182" t="n">
        <v>1</v>
      </c>
      <c r="Y4467" s="182" t="n">
        <v>0</v>
      </c>
      <c r="Z4467" s="182" t="n">
        <v>0</v>
      </c>
      <c r="AA4467" s="182" t="n">
        <v>0</v>
      </c>
      <c r="AB4467" s="182" t="n">
        <v>0</v>
      </c>
      <c r="AC4467" s="182" t="n">
        <v>0</v>
      </c>
      <c r="AD4467" s="182" t="n">
        <v>0</v>
      </c>
      <c r="AE4467" s="182" t="n">
        <v>0</v>
      </c>
      <c r="AF4467" s="182" t="n">
        <v>0</v>
      </c>
      <c r="AG4467" s="182" t="n">
        <v>0</v>
      </c>
      <c r="AH4467" s="182" t="n">
        <v>0</v>
      </c>
      <c r="AI4467" s="182" t="n">
        <v>0</v>
      </c>
      <c r="AJ4467" s="182" t="n">
        <v>0</v>
      </c>
      <c r="AK4467" s="182" t="n">
        <v>8.970000000000001</v>
      </c>
      <c r="AL4467" s="182" t="n">
        <v>0</v>
      </c>
      <c r="AM4467" s="182" t="n">
        <v>0.08</v>
      </c>
      <c r="AN4467" s="182" t="n">
        <v>0</v>
      </c>
    </row>
    <row r="4468">
      <c r="A4468" s="155" t="n">
        <v>46102</v>
      </c>
      <c r="B4468" s="156" t="inlineStr">
        <is>
          <t>DS</t>
        </is>
      </c>
      <c r="C4468" s="156" t="inlineStr">
        <is>
          <t>DT-810</t>
        </is>
      </c>
      <c r="D4468" s="156" t="inlineStr">
        <is>
          <t>SKT 80S</t>
        </is>
      </c>
      <c r="E4468" s="156" t="inlineStr">
        <is>
          <t>Hauler</t>
        </is>
      </c>
      <c r="F4468" s="156" t="inlineStr">
        <is>
          <t>Hauling Coal</t>
        </is>
      </c>
      <c r="G4468" s="182" t="n">
        <v>3.48</v>
      </c>
      <c r="H4468" s="182" t="n">
        <v>0</v>
      </c>
      <c r="I4468" s="182" t="n">
        <v>0</v>
      </c>
      <c r="J4468" s="182" t="n">
        <v>0</v>
      </c>
      <c r="K4468" s="182" t="n">
        <v>8.52</v>
      </c>
      <c r="L4468" s="182" t="n">
        <v>12</v>
      </c>
      <c r="M4468" s="182" t="n">
        <v>0</v>
      </c>
      <c r="N4468" s="182" t="n">
        <v>3.48</v>
      </c>
      <c r="O4468" s="183" t="n">
        <v>0</v>
      </c>
      <c r="P4468" s="183" t="n">
        <v>3</v>
      </c>
      <c r="Q4468" s="184" t="n">
        <v>0</v>
      </c>
      <c r="R4468" s="184" t="n">
        <v>45.9</v>
      </c>
      <c r="S4468" s="183" t="n">
        <v>0</v>
      </c>
      <c r="T4468" s="183" t="n">
        <v>0</v>
      </c>
      <c r="U4468" s="182" t="n">
        <v>1.98</v>
      </c>
      <c r="V4468" s="182" t="n">
        <v>1.44</v>
      </c>
      <c r="W4468" s="182" t="n">
        <v>0</v>
      </c>
      <c r="X4468" s="182" t="n">
        <v>1.01</v>
      </c>
      <c r="Y4468" s="182" t="n">
        <v>0</v>
      </c>
      <c r="Z4468" s="182" t="n">
        <v>0</v>
      </c>
      <c r="AA4468" s="182" t="n">
        <v>0</v>
      </c>
      <c r="AB4468" s="182" t="n">
        <v>0</v>
      </c>
      <c r="AC4468" s="182" t="n">
        <v>0.33</v>
      </c>
      <c r="AD4468" s="182" t="n">
        <v>0</v>
      </c>
      <c r="AE4468" s="182" t="n">
        <v>0</v>
      </c>
      <c r="AF4468" s="182" t="n">
        <v>0</v>
      </c>
      <c r="AG4468" s="182" t="n">
        <v>0</v>
      </c>
      <c r="AH4468" s="182" t="n">
        <v>0</v>
      </c>
      <c r="AI4468" s="182" t="n">
        <v>0</v>
      </c>
      <c r="AJ4468" s="182" t="n">
        <v>0</v>
      </c>
      <c r="AK4468" s="182" t="n">
        <v>3.66</v>
      </c>
      <c r="AL4468" s="182" t="n">
        <v>0</v>
      </c>
      <c r="AM4468" s="182" t="n">
        <v>0.08</v>
      </c>
      <c r="AN4468" s="182" t="n">
        <v>0</v>
      </c>
    </row>
    <row r="4469">
      <c r="A4469" s="155" t="n">
        <v>46102</v>
      </c>
      <c r="B4469" s="156" t="inlineStr">
        <is>
          <t>DS</t>
        </is>
      </c>
      <c r="C4469" s="156" t="inlineStr">
        <is>
          <t>DT-804</t>
        </is>
      </c>
      <c r="D4469" s="156" t="inlineStr">
        <is>
          <t>SKT 80S</t>
        </is>
      </c>
      <c r="E4469" s="156" t="inlineStr">
        <is>
          <t>Hauler</t>
        </is>
      </c>
      <c r="F4469" s="156" t="inlineStr">
        <is>
          <t>Hauling Lumpur dari Washing Plant</t>
        </is>
      </c>
      <c r="G4469" s="182" t="n">
        <v>3.19</v>
      </c>
      <c r="H4469" s="182" t="n">
        <v>0</v>
      </c>
      <c r="I4469" s="182" t="n">
        <v>0</v>
      </c>
      <c r="J4469" s="182" t="n">
        <v>0</v>
      </c>
      <c r="K4469" s="182" t="n">
        <v>8.81</v>
      </c>
      <c r="L4469" s="182" t="n">
        <v>12</v>
      </c>
      <c r="M4469" s="182" t="n">
        <v>0</v>
      </c>
      <c r="N4469" s="182" t="n">
        <v>0</v>
      </c>
      <c r="O4469" s="183" t="n">
        <v>0</v>
      </c>
      <c r="P4469" s="183" t="n">
        <v>0</v>
      </c>
      <c r="Q4469" s="184" t="n">
        <v>0</v>
      </c>
      <c r="R4469" s="184" t="n">
        <v>0</v>
      </c>
      <c r="S4469" s="183" t="n">
        <v>0</v>
      </c>
      <c r="T4469" s="183" t="n">
        <v>0</v>
      </c>
      <c r="U4469" s="182" t="n">
        <v>2</v>
      </c>
      <c r="V4469" s="182" t="n">
        <v>0</v>
      </c>
      <c r="W4469" s="182" t="n">
        <v>0</v>
      </c>
      <c r="X4469" s="182" t="n">
        <v>1.02</v>
      </c>
      <c r="Y4469" s="182" t="n">
        <v>0</v>
      </c>
      <c r="Z4469" s="182" t="n">
        <v>0</v>
      </c>
      <c r="AA4469" s="182" t="n">
        <v>0</v>
      </c>
      <c r="AB4469" s="182" t="n">
        <v>0</v>
      </c>
      <c r="AC4469" s="182" t="n">
        <v>0</v>
      </c>
      <c r="AD4469" s="182" t="n">
        <v>0</v>
      </c>
      <c r="AE4469" s="182" t="n">
        <v>0</v>
      </c>
      <c r="AF4469" s="182" t="n">
        <v>0</v>
      </c>
      <c r="AG4469" s="182" t="n">
        <v>0</v>
      </c>
      <c r="AH4469" s="182" t="n">
        <v>0</v>
      </c>
      <c r="AI4469" s="182" t="n">
        <v>0</v>
      </c>
      <c r="AJ4469" s="182" t="n">
        <v>0</v>
      </c>
      <c r="AK4469" s="182" t="n">
        <v>5.71</v>
      </c>
      <c r="AL4469" s="182" t="n">
        <v>0</v>
      </c>
      <c r="AM4469" s="182" t="n">
        <v>0.08</v>
      </c>
      <c r="AN4469" s="182" t="n">
        <v>0</v>
      </c>
    </row>
    <row r="4470">
      <c r="A4470" s="155" t="n">
        <v>46102</v>
      </c>
      <c r="B4470" s="156" t="inlineStr">
        <is>
          <t>DS</t>
        </is>
      </c>
      <c r="C4470" s="156" t="inlineStr">
        <is>
          <t>DT-505</t>
        </is>
      </c>
      <c r="D4470" s="156" t="inlineStr">
        <is>
          <t>SKT 105S</t>
        </is>
      </c>
      <c r="E4470" s="156" t="inlineStr">
        <is>
          <t>Hauler</t>
        </is>
      </c>
      <c r="F4470" s="156" t="inlineStr"/>
      <c r="G4470" s="182" t="n">
        <v>0</v>
      </c>
      <c r="H4470" s="182" t="n">
        <v>12</v>
      </c>
      <c r="I4470" s="182" t="n">
        <v>0</v>
      </c>
      <c r="J4470" s="182" t="n">
        <v>12</v>
      </c>
      <c r="K4470" s="182" t="n">
        <v>0</v>
      </c>
      <c r="L4470" s="182" t="n">
        <v>12</v>
      </c>
      <c r="M4470" s="182" t="n">
        <v>0</v>
      </c>
      <c r="N4470" s="182" t="n">
        <v>0</v>
      </c>
      <c r="O4470" s="183" t="n">
        <v>0</v>
      </c>
      <c r="P4470" s="183" t="n">
        <v>0</v>
      </c>
      <c r="Q4470" s="184" t="n">
        <v>0</v>
      </c>
      <c r="R4470" s="184" t="n">
        <v>0</v>
      </c>
      <c r="S4470" s="183" t="n">
        <v>0</v>
      </c>
      <c r="T4470" s="183" t="n">
        <v>0</v>
      </c>
      <c r="U4470" s="182" t="n">
        <v>0</v>
      </c>
      <c r="V4470" s="182" t="n">
        <v>0</v>
      </c>
      <c r="W4470" s="182" t="n">
        <v>0</v>
      </c>
      <c r="X4470" s="182" t="n">
        <v>0</v>
      </c>
      <c r="Y4470" s="182" t="n">
        <v>0</v>
      </c>
      <c r="Z4470" s="182" t="n">
        <v>0</v>
      </c>
      <c r="AA4470" s="182" t="n">
        <v>0</v>
      </c>
      <c r="AB4470" s="182" t="n">
        <v>0</v>
      </c>
      <c r="AC4470" s="182" t="n">
        <v>0</v>
      </c>
      <c r="AD4470" s="182" t="n">
        <v>0</v>
      </c>
      <c r="AE4470" s="182" t="n">
        <v>0</v>
      </c>
      <c r="AF4470" s="182" t="n">
        <v>0</v>
      </c>
      <c r="AG4470" s="182" t="n">
        <v>0</v>
      </c>
      <c r="AH4470" s="182" t="n">
        <v>0</v>
      </c>
      <c r="AI4470" s="182" t="n">
        <v>0</v>
      </c>
      <c r="AJ4470" s="182" t="n">
        <v>0</v>
      </c>
      <c r="AK4470" s="182" t="n">
        <v>0</v>
      </c>
      <c r="AL4470" s="182" t="n">
        <v>0</v>
      </c>
      <c r="AM4470" s="182" t="n">
        <v>0</v>
      </c>
      <c r="AN4470" s="182" t="n">
        <v>0</v>
      </c>
    </row>
    <row r="4471">
      <c r="A4471" s="155" t="n">
        <v>46102</v>
      </c>
      <c r="B4471" s="156" t="inlineStr">
        <is>
          <t>DS</t>
        </is>
      </c>
      <c r="C4471" s="156" t="inlineStr">
        <is>
          <t>DT-530</t>
        </is>
      </c>
      <c r="D4471" s="156" t="inlineStr">
        <is>
          <t>SKT 105S</t>
        </is>
      </c>
      <c r="E4471" s="156" t="inlineStr">
        <is>
          <t>Hauler</t>
        </is>
      </c>
      <c r="F4471" s="156" t="inlineStr"/>
      <c r="G4471" s="182" t="n">
        <v>0</v>
      </c>
      <c r="H4471" s="182" t="n">
        <v>0</v>
      </c>
      <c r="I4471" s="182" t="n">
        <v>12</v>
      </c>
      <c r="J4471" s="182" t="n">
        <v>12</v>
      </c>
      <c r="K4471" s="182" t="n">
        <v>0</v>
      </c>
      <c r="L4471" s="182" t="n">
        <v>12</v>
      </c>
      <c r="M4471" s="182" t="n">
        <v>0</v>
      </c>
      <c r="N4471" s="182" t="n">
        <v>0</v>
      </c>
      <c r="O4471" s="183" t="n">
        <v>0</v>
      </c>
      <c r="P4471" s="183" t="n">
        <v>0</v>
      </c>
      <c r="Q4471" s="184" t="n">
        <v>0</v>
      </c>
      <c r="R4471" s="184" t="n">
        <v>0</v>
      </c>
      <c r="S4471" s="183" t="n">
        <v>0</v>
      </c>
      <c r="T4471" s="183" t="n">
        <v>0</v>
      </c>
      <c r="U4471" s="182" t="n">
        <v>0</v>
      </c>
      <c r="V4471" s="182" t="n">
        <v>0</v>
      </c>
      <c r="W4471" s="182" t="n">
        <v>0</v>
      </c>
      <c r="X4471" s="182" t="n">
        <v>0</v>
      </c>
      <c r="Y4471" s="182" t="n">
        <v>0</v>
      </c>
      <c r="Z4471" s="182" t="n">
        <v>0</v>
      </c>
      <c r="AA4471" s="182" t="n">
        <v>0</v>
      </c>
      <c r="AB4471" s="182" t="n">
        <v>0</v>
      </c>
      <c r="AC4471" s="182" t="n">
        <v>0</v>
      </c>
      <c r="AD4471" s="182" t="n">
        <v>0</v>
      </c>
      <c r="AE4471" s="182" t="n">
        <v>0</v>
      </c>
      <c r="AF4471" s="182" t="n">
        <v>0</v>
      </c>
      <c r="AG4471" s="182" t="n">
        <v>0</v>
      </c>
      <c r="AH4471" s="182" t="n">
        <v>0</v>
      </c>
      <c r="AI4471" s="182" t="n">
        <v>0</v>
      </c>
      <c r="AJ4471" s="182" t="n">
        <v>0</v>
      </c>
      <c r="AK4471" s="182" t="n">
        <v>0</v>
      </c>
      <c r="AL4471" s="182" t="n">
        <v>0</v>
      </c>
      <c r="AM4471" s="182" t="n">
        <v>0</v>
      </c>
      <c r="AN4471" s="182" t="n">
        <v>0</v>
      </c>
    </row>
    <row r="4472">
      <c r="A4472" s="155" t="n">
        <v>46102</v>
      </c>
      <c r="B4472" s="156" t="inlineStr">
        <is>
          <t>DS</t>
        </is>
      </c>
      <c r="C4472" s="156" t="inlineStr">
        <is>
          <t>DT-525</t>
        </is>
      </c>
      <c r="D4472" s="156" t="inlineStr">
        <is>
          <t>SKT 105S</t>
        </is>
      </c>
      <c r="E4472" s="156" t="inlineStr">
        <is>
          <t>Hauler</t>
        </is>
      </c>
      <c r="F4472" s="156" t="inlineStr"/>
      <c r="G4472" s="182" t="n">
        <v>0</v>
      </c>
      <c r="H4472" s="182" t="n">
        <v>0</v>
      </c>
      <c r="I4472" s="182" t="n">
        <v>12</v>
      </c>
      <c r="J4472" s="182" t="n">
        <v>12</v>
      </c>
      <c r="K4472" s="182" t="n">
        <v>0</v>
      </c>
      <c r="L4472" s="182" t="n">
        <v>12</v>
      </c>
      <c r="M4472" s="182" t="n">
        <v>0</v>
      </c>
      <c r="N4472" s="182" t="n">
        <v>0</v>
      </c>
      <c r="O4472" s="183" t="n">
        <v>0</v>
      </c>
      <c r="P4472" s="183" t="n">
        <v>0</v>
      </c>
      <c r="Q4472" s="184" t="n">
        <v>0</v>
      </c>
      <c r="R4472" s="184" t="n">
        <v>0</v>
      </c>
      <c r="S4472" s="183" t="n">
        <v>0</v>
      </c>
      <c r="T4472" s="183" t="n">
        <v>0</v>
      </c>
      <c r="U4472" s="182" t="n">
        <v>0</v>
      </c>
      <c r="V4472" s="182" t="n">
        <v>0</v>
      </c>
      <c r="W4472" s="182" t="n">
        <v>0</v>
      </c>
      <c r="X4472" s="182" t="n">
        <v>0</v>
      </c>
      <c r="Y4472" s="182" t="n">
        <v>0</v>
      </c>
      <c r="Z4472" s="182" t="n">
        <v>0</v>
      </c>
      <c r="AA4472" s="182" t="n">
        <v>0</v>
      </c>
      <c r="AB4472" s="182" t="n">
        <v>0</v>
      </c>
      <c r="AC4472" s="182" t="n">
        <v>0</v>
      </c>
      <c r="AD4472" s="182" t="n">
        <v>0</v>
      </c>
      <c r="AE4472" s="182" t="n">
        <v>0</v>
      </c>
      <c r="AF4472" s="182" t="n">
        <v>0</v>
      </c>
      <c r="AG4472" s="182" t="n">
        <v>0</v>
      </c>
      <c r="AH4472" s="182" t="n">
        <v>0</v>
      </c>
      <c r="AI4472" s="182" t="n">
        <v>0</v>
      </c>
      <c r="AJ4472" s="182" t="n">
        <v>0</v>
      </c>
      <c r="AK4472" s="182" t="n">
        <v>0</v>
      </c>
      <c r="AL4472" s="182" t="n">
        <v>0</v>
      </c>
      <c r="AM4472" s="182" t="n">
        <v>0</v>
      </c>
      <c r="AN4472" s="182" t="n">
        <v>0</v>
      </c>
    </row>
    <row r="4473">
      <c r="A4473" s="155" t="n">
        <v>46102</v>
      </c>
      <c r="B4473" s="156" t="inlineStr">
        <is>
          <t>DS</t>
        </is>
      </c>
      <c r="C4473" s="156" t="inlineStr">
        <is>
          <t>DT-503</t>
        </is>
      </c>
      <c r="D4473" s="156" t="inlineStr">
        <is>
          <t>SKT 105S</t>
        </is>
      </c>
      <c r="E4473" s="156" t="inlineStr">
        <is>
          <t>Hauler</t>
        </is>
      </c>
      <c r="F4473" s="156" t="inlineStr">
        <is>
          <t>Hauling OB</t>
        </is>
      </c>
      <c r="G4473" s="182" t="n">
        <v>6.82</v>
      </c>
      <c r="H4473" s="182" t="n">
        <v>0</v>
      </c>
      <c r="I4473" s="182" t="n">
        <v>0</v>
      </c>
      <c r="J4473" s="182" t="n">
        <v>0</v>
      </c>
      <c r="K4473" s="182" t="n">
        <v>5.18</v>
      </c>
      <c r="L4473" s="182" t="n">
        <v>12</v>
      </c>
      <c r="M4473" s="182" t="n">
        <v>6.82</v>
      </c>
      <c r="N4473" s="182" t="n">
        <v>0</v>
      </c>
      <c r="O4473" s="183" t="n">
        <v>18</v>
      </c>
      <c r="P4473" s="183" t="n">
        <v>0</v>
      </c>
      <c r="Q4473" s="184" t="n">
        <v>367.2</v>
      </c>
      <c r="R4473" s="184" t="n">
        <v>0</v>
      </c>
      <c r="S4473" s="183" t="n">
        <v>0</v>
      </c>
      <c r="T4473" s="183" t="n">
        <v>0</v>
      </c>
      <c r="U4473" s="182" t="n">
        <v>2.06</v>
      </c>
      <c r="V4473" s="182" t="n">
        <v>1.59</v>
      </c>
      <c r="W4473" s="182" t="n">
        <v>0</v>
      </c>
      <c r="X4473" s="182" t="n">
        <v>1.06</v>
      </c>
      <c r="Y4473" s="182" t="n">
        <v>0</v>
      </c>
      <c r="Z4473" s="182" t="n">
        <v>0</v>
      </c>
      <c r="AA4473" s="182" t="n">
        <v>0</v>
      </c>
      <c r="AB4473" s="182" t="n">
        <v>0</v>
      </c>
      <c r="AC4473" s="182" t="n">
        <v>0.38</v>
      </c>
      <c r="AD4473" s="182" t="n">
        <v>0</v>
      </c>
      <c r="AE4473" s="182" t="n">
        <v>0</v>
      </c>
      <c r="AF4473" s="182" t="n">
        <v>0</v>
      </c>
      <c r="AG4473" s="182" t="n">
        <v>0</v>
      </c>
      <c r="AH4473" s="182" t="n">
        <v>0</v>
      </c>
      <c r="AI4473" s="182" t="n">
        <v>0</v>
      </c>
      <c r="AJ4473" s="182" t="n">
        <v>0</v>
      </c>
      <c r="AK4473" s="182" t="n">
        <v>0</v>
      </c>
      <c r="AL4473" s="182" t="n">
        <v>0</v>
      </c>
      <c r="AM4473" s="182" t="n">
        <v>0.08</v>
      </c>
      <c r="AN4473" s="182" t="n">
        <v>0</v>
      </c>
    </row>
    <row r="4474">
      <c r="A4474" s="155" t="n">
        <v>46102</v>
      </c>
      <c r="B4474" s="156" t="inlineStr">
        <is>
          <t>DS</t>
        </is>
      </c>
      <c r="C4474" s="156" t="inlineStr">
        <is>
          <t>DT-504</t>
        </is>
      </c>
      <c r="D4474" s="156" t="inlineStr">
        <is>
          <t>SKT 105S</t>
        </is>
      </c>
      <c r="E4474" s="156" t="inlineStr">
        <is>
          <t>Hauler</t>
        </is>
      </c>
      <c r="F4474" s="156" t="inlineStr">
        <is>
          <t>Hauling OB</t>
        </is>
      </c>
      <c r="G4474" s="182" t="n">
        <v>6.21</v>
      </c>
      <c r="H4474" s="182" t="n">
        <v>0</v>
      </c>
      <c r="I4474" s="182" t="n">
        <v>0</v>
      </c>
      <c r="J4474" s="182" t="n">
        <v>0</v>
      </c>
      <c r="K4474" s="182" t="n">
        <v>5.79</v>
      </c>
      <c r="L4474" s="182" t="n">
        <v>12</v>
      </c>
      <c r="M4474" s="182" t="n">
        <v>5.88</v>
      </c>
      <c r="N4474" s="182" t="n">
        <v>0</v>
      </c>
      <c r="O4474" s="183" t="n">
        <v>24</v>
      </c>
      <c r="P4474" s="183" t="n">
        <v>0</v>
      </c>
      <c r="Q4474" s="184" t="n">
        <v>489.6</v>
      </c>
      <c r="R4474" s="184" t="n">
        <v>0</v>
      </c>
      <c r="S4474" s="183" t="n">
        <v>0</v>
      </c>
      <c r="T4474" s="183" t="n">
        <v>0</v>
      </c>
      <c r="U4474" s="182" t="n">
        <v>1.95</v>
      </c>
      <c r="V4474" s="182" t="n">
        <v>2.4</v>
      </c>
      <c r="W4474" s="182" t="n">
        <v>0</v>
      </c>
      <c r="X4474" s="182" t="n">
        <v>1</v>
      </c>
      <c r="Y4474" s="182" t="n">
        <v>0</v>
      </c>
      <c r="Z4474" s="182" t="n">
        <v>0</v>
      </c>
      <c r="AA4474" s="182" t="n">
        <v>0</v>
      </c>
      <c r="AB4474" s="182" t="n">
        <v>0</v>
      </c>
      <c r="AC4474" s="182" t="n">
        <v>0.36</v>
      </c>
      <c r="AD4474" s="182" t="n">
        <v>0</v>
      </c>
      <c r="AE4474" s="182" t="n">
        <v>0</v>
      </c>
      <c r="AF4474" s="182" t="n">
        <v>0</v>
      </c>
      <c r="AG4474" s="182" t="n">
        <v>0</v>
      </c>
      <c r="AH4474" s="182" t="n">
        <v>0</v>
      </c>
      <c r="AI4474" s="182" t="n">
        <v>0</v>
      </c>
      <c r="AJ4474" s="182" t="n">
        <v>0</v>
      </c>
      <c r="AK4474" s="182" t="n">
        <v>0</v>
      </c>
      <c r="AL4474" s="182" t="n">
        <v>0</v>
      </c>
      <c r="AM4474" s="182" t="n">
        <v>0.08</v>
      </c>
      <c r="AN4474" s="182" t="n">
        <v>0</v>
      </c>
    </row>
    <row r="4475">
      <c r="A4475" s="155" t="n">
        <v>46102</v>
      </c>
      <c r="B4475" s="156" t="inlineStr">
        <is>
          <t>DS</t>
        </is>
      </c>
      <c r="C4475" s="156" t="inlineStr">
        <is>
          <t>DT-507</t>
        </is>
      </c>
      <c r="D4475" s="156" t="inlineStr">
        <is>
          <t>SKT 105S</t>
        </is>
      </c>
      <c r="E4475" s="156" t="inlineStr">
        <is>
          <t>Hauler</t>
        </is>
      </c>
      <c r="F4475" s="156" t="inlineStr">
        <is>
          <t>Hauling OB</t>
        </is>
      </c>
      <c r="G4475" s="182" t="n">
        <v>1.96</v>
      </c>
      <c r="H4475" s="182" t="n">
        <v>0</v>
      </c>
      <c r="I4475" s="182" t="n">
        <v>0</v>
      </c>
      <c r="J4475" s="182" t="n">
        <v>0</v>
      </c>
      <c r="K4475" s="182" t="n">
        <v>10.04</v>
      </c>
      <c r="L4475" s="182" t="n">
        <v>12</v>
      </c>
      <c r="M4475" s="182" t="n">
        <v>1.96</v>
      </c>
      <c r="N4475" s="182" t="n">
        <v>0</v>
      </c>
      <c r="O4475" s="183" t="n">
        <v>8</v>
      </c>
      <c r="P4475" s="183" t="n">
        <v>0</v>
      </c>
      <c r="Q4475" s="184" t="n">
        <v>163.2</v>
      </c>
      <c r="R4475" s="184" t="n">
        <v>0</v>
      </c>
      <c r="S4475" s="183" t="n">
        <v>0</v>
      </c>
      <c r="T4475" s="183" t="n">
        <v>0</v>
      </c>
      <c r="U4475" s="182" t="n">
        <v>2.06</v>
      </c>
      <c r="V4475" s="182" t="n">
        <v>2.54</v>
      </c>
      <c r="W4475" s="182" t="n">
        <v>0</v>
      </c>
      <c r="X4475" s="182" t="n">
        <v>1.06</v>
      </c>
      <c r="Y4475" s="182" t="n">
        <v>0</v>
      </c>
      <c r="Z4475" s="182" t="n">
        <v>0</v>
      </c>
      <c r="AA4475" s="182" t="n">
        <v>0</v>
      </c>
      <c r="AB4475" s="182" t="n">
        <v>0</v>
      </c>
      <c r="AC4475" s="182" t="n">
        <v>0.35</v>
      </c>
      <c r="AD4475" s="182" t="n">
        <v>0</v>
      </c>
      <c r="AE4475" s="182" t="n">
        <v>0</v>
      </c>
      <c r="AF4475" s="182" t="n">
        <v>0</v>
      </c>
      <c r="AG4475" s="182" t="n">
        <v>0</v>
      </c>
      <c r="AH4475" s="182" t="n">
        <v>0</v>
      </c>
      <c r="AI4475" s="182" t="n">
        <v>3.94</v>
      </c>
      <c r="AJ4475" s="182" t="n">
        <v>0</v>
      </c>
      <c r="AK4475" s="182" t="n">
        <v>0</v>
      </c>
      <c r="AL4475" s="182" t="n">
        <v>0</v>
      </c>
      <c r="AM4475" s="182" t="n">
        <v>0.08</v>
      </c>
      <c r="AN4475" s="182" t="n">
        <v>0</v>
      </c>
    </row>
    <row r="4476">
      <c r="A4476" s="155" t="n">
        <v>46102</v>
      </c>
      <c r="B4476" s="156" t="inlineStr">
        <is>
          <t>DS</t>
        </is>
      </c>
      <c r="C4476" s="156" t="inlineStr">
        <is>
          <t>DT-501</t>
        </is>
      </c>
      <c r="D4476" s="156" t="inlineStr">
        <is>
          <t>SKT 105S</t>
        </is>
      </c>
      <c r="E4476" s="156" t="inlineStr">
        <is>
          <t>Hauler</t>
        </is>
      </c>
      <c r="F4476" s="156" t="inlineStr">
        <is>
          <t>Hauling OB</t>
        </is>
      </c>
      <c r="G4476" s="182" t="n">
        <v>5.6</v>
      </c>
      <c r="H4476" s="182" t="n">
        <v>0</v>
      </c>
      <c r="I4476" s="182" t="n">
        <v>0</v>
      </c>
      <c r="J4476" s="182" t="n">
        <v>0</v>
      </c>
      <c r="K4476" s="182" t="n">
        <v>6.4</v>
      </c>
      <c r="L4476" s="182" t="n">
        <v>12</v>
      </c>
      <c r="M4476" s="182" t="n">
        <v>5.6</v>
      </c>
      <c r="N4476" s="182" t="n">
        <v>0</v>
      </c>
      <c r="O4476" s="183" t="n">
        <v>20</v>
      </c>
      <c r="P4476" s="183" t="n">
        <v>0</v>
      </c>
      <c r="Q4476" s="184" t="n">
        <v>408</v>
      </c>
      <c r="R4476" s="184" t="n">
        <v>0</v>
      </c>
      <c r="S4476" s="183" t="n">
        <v>0</v>
      </c>
      <c r="T4476" s="183" t="n">
        <v>0</v>
      </c>
      <c r="U4476" s="182" t="n">
        <v>2.05</v>
      </c>
      <c r="V4476" s="182" t="n">
        <v>2.52</v>
      </c>
      <c r="W4476" s="182" t="n">
        <v>0</v>
      </c>
      <c r="X4476" s="182" t="n">
        <v>1.05</v>
      </c>
      <c r="Y4476" s="182" t="n">
        <v>0</v>
      </c>
      <c r="Z4476" s="182" t="n">
        <v>0</v>
      </c>
      <c r="AA4476" s="182" t="n">
        <v>0</v>
      </c>
      <c r="AB4476" s="182" t="n">
        <v>0</v>
      </c>
      <c r="AC4476" s="182" t="n">
        <v>0.38</v>
      </c>
      <c r="AD4476" s="182" t="n">
        <v>0</v>
      </c>
      <c r="AE4476" s="182" t="n">
        <v>0</v>
      </c>
      <c r="AF4476" s="182" t="n">
        <v>0</v>
      </c>
      <c r="AG4476" s="182" t="n">
        <v>0</v>
      </c>
      <c r="AH4476" s="182" t="n">
        <v>0.31</v>
      </c>
      <c r="AI4476" s="182" t="n">
        <v>0</v>
      </c>
      <c r="AJ4476" s="182" t="n">
        <v>0</v>
      </c>
      <c r="AK4476" s="182" t="n">
        <v>0</v>
      </c>
      <c r="AL4476" s="182" t="n">
        <v>0</v>
      </c>
      <c r="AM4476" s="182" t="n">
        <v>0.08</v>
      </c>
      <c r="AN4476" s="182" t="n">
        <v>0</v>
      </c>
    </row>
    <row r="4477">
      <c r="A4477" s="155" t="n">
        <v>46102</v>
      </c>
      <c r="B4477" s="156" t="inlineStr">
        <is>
          <t>DS</t>
        </is>
      </c>
      <c r="C4477" s="156" t="inlineStr">
        <is>
          <t>DT-518</t>
        </is>
      </c>
      <c r="D4477" s="156" t="inlineStr">
        <is>
          <t>SKT 105S</t>
        </is>
      </c>
      <c r="E4477" s="156" t="inlineStr">
        <is>
          <t>Hauler</t>
        </is>
      </c>
      <c r="F4477" s="156" t="inlineStr">
        <is>
          <t>Hauling OB</t>
        </is>
      </c>
      <c r="G4477" s="182" t="n">
        <v>6.12</v>
      </c>
      <c r="H4477" s="182" t="n">
        <v>0</v>
      </c>
      <c r="I4477" s="182" t="n">
        <v>0</v>
      </c>
      <c r="J4477" s="182" t="n">
        <v>0</v>
      </c>
      <c r="K4477" s="182" t="n">
        <v>5.88</v>
      </c>
      <c r="L4477" s="182" t="n">
        <v>12</v>
      </c>
      <c r="M4477" s="182" t="n">
        <v>6.12</v>
      </c>
      <c r="N4477" s="182" t="n">
        <v>0</v>
      </c>
      <c r="O4477" s="183" t="n">
        <v>17</v>
      </c>
      <c r="P4477" s="183" t="n">
        <v>0</v>
      </c>
      <c r="Q4477" s="184" t="n">
        <v>346.8</v>
      </c>
      <c r="R4477" s="184" t="n">
        <v>0</v>
      </c>
      <c r="S4477" s="183" t="n">
        <v>0</v>
      </c>
      <c r="T4477" s="183" t="n">
        <v>0</v>
      </c>
      <c r="U4477" s="182" t="n">
        <v>1.98</v>
      </c>
      <c r="V4477" s="182" t="n">
        <v>2.43</v>
      </c>
      <c r="W4477" s="182" t="n">
        <v>0</v>
      </c>
      <c r="X4477" s="182" t="n">
        <v>1.01</v>
      </c>
      <c r="Y4477" s="182" t="n">
        <v>0</v>
      </c>
      <c r="Z4477" s="182" t="n">
        <v>0</v>
      </c>
      <c r="AA4477" s="182" t="n">
        <v>0</v>
      </c>
      <c r="AB4477" s="182" t="n">
        <v>0</v>
      </c>
      <c r="AC4477" s="182" t="n">
        <v>0.38</v>
      </c>
      <c r="AD4477" s="182" t="n">
        <v>0</v>
      </c>
      <c r="AE4477" s="182" t="n">
        <v>0</v>
      </c>
      <c r="AF4477" s="182" t="n">
        <v>0</v>
      </c>
      <c r="AG4477" s="182" t="n">
        <v>0</v>
      </c>
      <c r="AH4477" s="182" t="n">
        <v>0</v>
      </c>
      <c r="AI4477" s="182" t="n">
        <v>0</v>
      </c>
      <c r="AJ4477" s="182" t="n">
        <v>0</v>
      </c>
      <c r="AK4477" s="182" t="n">
        <v>0</v>
      </c>
      <c r="AL4477" s="182" t="n">
        <v>0</v>
      </c>
      <c r="AM4477" s="182" t="n">
        <v>0.08</v>
      </c>
      <c r="AN4477" s="182" t="n">
        <v>0</v>
      </c>
    </row>
    <row r="4478">
      <c r="A4478" s="155" t="n">
        <v>46102</v>
      </c>
      <c r="B4478" s="156" t="inlineStr">
        <is>
          <t>DS</t>
        </is>
      </c>
      <c r="C4478" s="156" t="inlineStr">
        <is>
          <t>DT-514</t>
        </is>
      </c>
      <c r="D4478" s="156" t="inlineStr">
        <is>
          <t>SKT 105S</t>
        </is>
      </c>
      <c r="E4478" s="156" t="inlineStr">
        <is>
          <t>Hauler</t>
        </is>
      </c>
      <c r="F4478" s="156" t="inlineStr"/>
      <c r="G4478" s="182" t="n">
        <v>0</v>
      </c>
      <c r="H4478" s="182" t="n">
        <v>0</v>
      </c>
      <c r="I4478" s="182" t="n">
        <v>12</v>
      </c>
      <c r="J4478" s="182" t="n">
        <v>12</v>
      </c>
      <c r="K4478" s="182" t="n">
        <v>0</v>
      </c>
      <c r="L4478" s="182" t="n">
        <v>12</v>
      </c>
      <c r="M4478" s="182" t="n">
        <v>0</v>
      </c>
      <c r="N4478" s="182" t="n">
        <v>0</v>
      </c>
      <c r="O4478" s="183" t="n">
        <v>0</v>
      </c>
      <c r="P4478" s="183" t="n">
        <v>0</v>
      </c>
      <c r="Q4478" s="184" t="n">
        <v>0</v>
      </c>
      <c r="R4478" s="184" t="n">
        <v>0</v>
      </c>
      <c r="S4478" s="183" t="n">
        <v>0</v>
      </c>
      <c r="T4478" s="183" t="n">
        <v>0</v>
      </c>
      <c r="U4478" s="182" t="n">
        <v>0</v>
      </c>
      <c r="V4478" s="182" t="n">
        <v>0</v>
      </c>
      <c r="W4478" s="182" t="n">
        <v>0</v>
      </c>
      <c r="X4478" s="182" t="n">
        <v>0</v>
      </c>
      <c r="Y4478" s="182" t="n">
        <v>0</v>
      </c>
      <c r="Z4478" s="182" t="n">
        <v>0</v>
      </c>
      <c r="AA4478" s="182" t="n">
        <v>0</v>
      </c>
      <c r="AB4478" s="182" t="n">
        <v>0</v>
      </c>
      <c r="AC4478" s="182" t="n">
        <v>0</v>
      </c>
      <c r="AD4478" s="182" t="n">
        <v>0</v>
      </c>
      <c r="AE4478" s="182" t="n">
        <v>0</v>
      </c>
      <c r="AF4478" s="182" t="n">
        <v>0</v>
      </c>
      <c r="AG4478" s="182" t="n">
        <v>0</v>
      </c>
      <c r="AH4478" s="182" t="n">
        <v>0</v>
      </c>
      <c r="AI4478" s="182" t="n">
        <v>0</v>
      </c>
      <c r="AJ4478" s="182" t="n">
        <v>0</v>
      </c>
      <c r="AK4478" s="182" t="n">
        <v>0</v>
      </c>
      <c r="AL4478" s="182" t="n">
        <v>0</v>
      </c>
      <c r="AM4478" s="182" t="n">
        <v>0</v>
      </c>
      <c r="AN4478" s="182" t="n">
        <v>0</v>
      </c>
    </row>
    <row r="4479">
      <c r="A4479" s="155" t="n">
        <v>46102</v>
      </c>
      <c r="B4479" s="156" t="inlineStr">
        <is>
          <t>DS</t>
        </is>
      </c>
      <c r="C4479" s="156" t="inlineStr">
        <is>
          <t>DT-523</t>
        </is>
      </c>
      <c r="D4479" s="156" t="inlineStr">
        <is>
          <t>SKT 105S</t>
        </is>
      </c>
      <c r="E4479" s="156" t="inlineStr">
        <is>
          <t>Hauler</t>
        </is>
      </c>
      <c r="F4479" s="156" t="inlineStr">
        <is>
          <t>Hauling OB &amp; Coal</t>
        </is>
      </c>
      <c r="G4479" s="182" t="n">
        <v>6.35</v>
      </c>
      <c r="H4479" s="182" t="n">
        <v>0</v>
      </c>
      <c r="I4479" s="182" t="n">
        <v>0</v>
      </c>
      <c r="J4479" s="182" t="n">
        <v>0</v>
      </c>
      <c r="K4479" s="182" t="n">
        <v>5.65</v>
      </c>
      <c r="L4479" s="182" t="n">
        <v>12</v>
      </c>
      <c r="M4479" s="182" t="n">
        <v>5.65</v>
      </c>
      <c r="N4479" s="182" t="n">
        <v>0.7</v>
      </c>
      <c r="O4479" s="183" t="n">
        <v>13</v>
      </c>
      <c r="P4479" s="183" t="n">
        <v>2</v>
      </c>
      <c r="Q4479" s="184" t="n">
        <v>265.2</v>
      </c>
      <c r="R4479" s="184" t="n">
        <v>37.4</v>
      </c>
      <c r="S4479" s="183" t="n">
        <v>0</v>
      </c>
      <c r="T4479" s="183" t="n">
        <v>0</v>
      </c>
      <c r="U4479" s="182" t="n">
        <v>1.84</v>
      </c>
      <c r="V4479" s="182" t="n">
        <v>2.26</v>
      </c>
      <c r="W4479" s="182" t="n">
        <v>0</v>
      </c>
      <c r="X4479" s="182" t="n">
        <v>0.9399999999999999</v>
      </c>
      <c r="Y4479" s="182" t="n">
        <v>0</v>
      </c>
      <c r="Z4479" s="182" t="n">
        <v>0</v>
      </c>
      <c r="AA4479" s="182" t="n">
        <v>0</v>
      </c>
      <c r="AB4479" s="182" t="n">
        <v>0</v>
      </c>
      <c r="AC4479" s="182" t="n">
        <v>0.34</v>
      </c>
      <c r="AD4479" s="182" t="n">
        <v>0</v>
      </c>
      <c r="AE4479" s="182" t="n">
        <v>0</v>
      </c>
      <c r="AF4479" s="182" t="n">
        <v>0</v>
      </c>
      <c r="AG4479" s="182" t="n">
        <v>0</v>
      </c>
      <c r="AH4479" s="182" t="n">
        <v>0.19</v>
      </c>
      <c r="AI4479" s="182" t="n">
        <v>0</v>
      </c>
      <c r="AJ4479" s="182" t="n">
        <v>0</v>
      </c>
      <c r="AK4479" s="182" t="n">
        <v>0</v>
      </c>
      <c r="AL4479" s="182" t="n">
        <v>0</v>
      </c>
      <c r="AM4479" s="182" t="n">
        <v>0.08</v>
      </c>
      <c r="AN4479" s="182" t="n">
        <v>0</v>
      </c>
    </row>
    <row r="4480">
      <c r="A4480" s="155" t="n">
        <v>46102</v>
      </c>
      <c r="B4480" s="156" t="inlineStr">
        <is>
          <t>DS</t>
        </is>
      </c>
      <c r="C4480" s="156" t="inlineStr">
        <is>
          <t>DT-519</t>
        </is>
      </c>
      <c r="D4480" s="156" t="inlineStr">
        <is>
          <t>SKT 105S</t>
        </is>
      </c>
      <c r="E4480" s="156" t="inlineStr">
        <is>
          <t>Hauler</t>
        </is>
      </c>
      <c r="F4480" s="156" t="inlineStr"/>
      <c r="G4480" s="182" t="n">
        <v>0</v>
      </c>
      <c r="H4480" s="182" t="n">
        <v>0</v>
      </c>
      <c r="I4480" s="182" t="n">
        <v>0</v>
      </c>
      <c r="J4480" s="182" t="n">
        <v>0</v>
      </c>
      <c r="K4480" s="182" t="n">
        <v>12</v>
      </c>
      <c r="L4480" s="182" t="n">
        <v>12</v>
      </c>
      <c r="M4480" s="182" t="n">
        <v>0</v>
      </c>
      <c r="N4480" s="182" t="n">
        <v>0</v>
      </c>
      <c r="O4480" s="183" t="n">
        <v>0</v>
      </c>
      <c r="P4480" s="183" t="n">
        <v>0</v>
      </c>
      <c r="Q4480" s="184" t="n">
        <v>0</v>
      </c>
      <c r="R4480" s="184" t="n">
        <v>0</v>
      </c>
      <c r="S4480" s="183" t="n">
        <v>0</v>
      </c>
      <c r="T4480" s="183" t="n">
        <v>0</v>
      </c>
      <c r="U4480" s="182" t="n">
        <v>1.95</v>
      </c>
      <c r="V4480" s="182" t="n">
        <v>0</v>
      </c>
      <c r="W4480" s="182" t="n">
        <v>0</v>
      </c>
      <c r="X4480" s="182" t="n">
        <v>1</v>
      </c>
      <c r="Y4480" s="182" t="n">
        <v>0</v>
      </c>
      <c r="Z4480" s="182" t="n">
        <v>0</v>
      </c>
      <c r="AA4480" s="182" t="n">
        <v>0</v>
      </c>
      <c r="AB4480" s="182" t="n">
        <v>0</v>
      </c>
      <c r="AC4480" s="182" t="n">
        <v>0</v>
      </c>
      <c r="AD4480" s="182" t="n">
        <v>0</v>
      </c>
      <c r="AE4480" s="182" t="n">
        <v>0</v>
      </c>
      <c r="AF4480" s="182" t="n">
        <v>0</v>
      </c>
      <c r="AG4480" s="182" t="n">
        <v>0</v>
      </c>
      <c r="AH4480" s="182" t="n">
        <v>0</v>
      </c>
      <c r="AI4480" s="182" t="n">
        <v>8.970000000000001</v>
      </c>
      <c r="AJ4480" s="182" t="n">
        <v>0</v>
      </c>
      <c r="AK4480" s="182" t="n">
        <v>0</v>
      </c>
      <c r="AL4480" s="182" t="n">
        <v>0</v>
      </c>
      <c r="AM4480" s="182" t="n">
        <v>0.08</v>
      </c>
      <c r="AN4480" s="182" t="n">
        <v>0</v>
      </c>
    </row>
    <row r="4481">
      <c r="A4481" s="155" t="n">
        <v>46102</v>
      </c>
      <c r="B4481" s="156" t="inlineStr">
        <is>
          <t>DS</t>
        </is>
      </c>
      <c r="C4481" s="156" t="inlineStr">
        <is>
          <t>DT-527</t>
        </is>
      </c>
      <c r="D4481" s="156" t="inlineStr">
        <is>
          <t>SKT 105S</t>
        </is>
      </c>
      <c r="E4481" s="156" t="inlineStr">
        <is>
          <t>Hauler</t>
        </is>
      </c>
      <c r="F4481" s="156" t="inlineStr">
        <is>
          <t>Hauling OB</t>
        </is>
      </c>
      <c r="G4481" s="182" t="n">
        <v>0.8100000000000001</v>
      </c>
      <c r="H4481" s="182" t="n">
        <v>0</v>
      </c>
      <c r="I4481" s="182" t="n">
        <v>0</v>
      </c>
      <c r="J4481" s="182" t="n">
        <v>0</v>
      </c>
      <c r="K4481" s="182" t="n">
        <v>11.19</v>
      </c>
      <c r="L4481" s="182" t="n">
        <v>12</v>
      </c>
      <c r="M4481" s="182" t="n">
        <v>0.8100000000000001</v>
      </c>
      <c r="N4481" s="182" t="n">
        <v>0</v>
      </c>
      <c r="O4481" s="183" t="n">
        <v>1</v>
      </c>
      <c r="P4481" s="183" t="n">
        <v>0</v>
      </c>
      <c r="Q4481" s="184" t="n">
        <v>20.4</v>
      </c>
      <c r="R4481" s="184" t="n">
        <v>0</v>
      </c>
      <c r="S4481" s="183" t="n">
        <v>0</v>
      </c>
      <c r="T4481" s="183" t="n">
        <v>0</v>
      </c>
      <c r="U4481" s="182" t="n">
        <v>1.98</v>
      </c>
      <c r="V4481" s="182" t="n">
        <v>2.44</v>
      </c>
      <c r="W4481" s="182" t="n">
        <v>0</v>
      </c>
      <c r="X4481" s="182" t="n">
        <v>1.02</v>
      </c>
      <c r="Y4481" s="182" t="n">
        <v>0</v>
      </c>
      <c r="Z4481" s="182" t="n">
        <v>0</v>
      </c>
      <c r="AA4481" s="182" t="n">
        <v>0</v>
      </c>
      <c r="AB4481" s="182" t="n">
        <v>0</v>
      </c>
      <c r="AC4481" s="182" t="n">
        <v>0.34</v>
      </c>
      <c r="AD4481" s="182" t="n">
        <v>0</v>
      </c>
      <c r="AE4481" s="182" t="n">
        <v>0</v>
      </c>
      <c r="AF4481" s="182" t="n">
        <v>0</v>
      </c>
      <c r="AG4481" s="182" t="n">
        <v>0</v>
      </c>
      <c r="AH4481" s="182" t="n">
        <v>0</v>
      </c>
      <c r="AI4481" s="182" t="n">
        <v>5.32</v>
      </c>
      <c r="AJ4481" s="182" t="n">
        <v>0</v>
      </c>
      <c r="AK4481" s="182" t="n">
        <v>0</v>
      </c>
      <c r="AL4481" s="182" t="n">
        <v>0</v>
      </c>
      <c r="AM4481" s="182" t="n">
        <v>0.08</v>
      </c>
      <c r="AN4481" s="182" t="n">
        <v>0</v>
      </c>
    </row>
    <row r="4482">
      <c r="A4482" s="155" t="n">
        <v>46102</v>
      </c>
      <c r="B4482" s="156" t="inlineStr">
        <is>
          <t>DS</t>
        </is>
      </c>
      <c r="C4482" s="156" t="inlineStr">
        <is>
          <t>DT-513</t>
        </is>
      </c>
      <c r="D4482" s="156" t="inlineStr">
        <is>
          <t>SKT 105S</t>
        </is>
      </c>
      <c r="E4482" s="156" t="inlineStr">
        <is>
          <t>Hauler</t>
        </is>
      </c>
      <c r="F4482" s="156" t="inlineStr">
        <is>
          <t>Hauling OB &amp; Coal</t>
        </is>
      </c>
      <c r="G4482" s="182" t="n">
        <v>6.18</v>
      </c>
      <c r="H4482" s="182" t="n">
        <v>0</v>
      </c>
      <c r="I4482" s="182" t="n">
        <v>0</v>
      </c>
      <c r="J4482" s="182" t="n">
        <v>0</v>
      </c>
      <c r="K4482" s="182" t="n">
        <v>5.82</v>
      </c>
      <c r="L4482" s="182" t="n">
        <v>12</v>
      </c>
      <c r="M4482" s="182" t="n">
        <v>5.1</v>
      </c>
      <c r="N4482" s="182" t="n">
        <v>1.09</v>
      </c>
      <c r="O4482" s="183" t="n">
        <v>12</v>
      </c>
      <c r="P4482" s="183" t="n">
        <v>3</v>
      </c>
      <c r="Q4482" s="184" t="n">
        <v>244.8</v>
      </c>
      <c r="R4482" s="184" t="n">
        <v>56.1</v>
      </c>
      <c r="S4482" s="183" t="n">
        <v>0</v>
      </c>
      <c r="T4482" s="183" t="n">
        <v>0</v>
      </c>
      <c r="U4482" s="182" t="n">
        <v>1.8</v>
      </c>
      <c r="V4482" s="182" t="n">
        <v>2.22</v>
      </c>
      <c r="W4482" s="182" t="n">
        <v>0</v>
      </c>
      <c r="X4482" s="182" t="n">
        <v>0.92</v>
      </c>
      <c r="Y4482" s="182" t="n">
        <v>0</v>
      </c>
      <c r="Z4482" s="182" t="n">
        <v>0</v>
      </c>
      <c r="AA4482" s="182" t="n">
        <v>0</v>
      </c>
      <c r="AB4482" s="182" t="n">
        <v>0</v>
      </c>
      <c r="AC4482" s="182" t="n">
        <v>0.3</v>
      </c>
      <c r="AD4482" s="182" t="n">
        <v>0</v>
      </c>
      <c r="AE4482" s="182" t="n">
        <v>0</v>
      </c>
      <c r="AF4482" s="182" t="n">
        <v>0</v>
      </c>
      <c r="AG4482" s="182" t="n">
        <v>0</v>
      </c>
      <c r="AH4482" s="182" t="n">
        <v>0.49</v>
      </c>
      <c r="AI4482" s="182" t="n">
        <v>0</v>
      </c>
      <c r="AJ4482" s="182" t="n">
        <v>0</v>
      </c>
      <c r="AK4482" s="182" t="n">
        <v>0</v>
      </c>
      <c r="AL4482" s="182" t="n">
        <v>0</v>
      </c>
      <c r="AM4482" s="182" t="n">
        <v>0.07000000000000001</v>
      </c>
      <c r="AN4482" s="182" t="n">
        <v>0</v>
      </c>
    </row>
    <row r="4483">
      <c r="A4483" s="155" t="n">
        <v>46102</v>
      </c>
      <c r="B4483" s="156" t="inlineStr">
        <is>
          <t>DS</t>
        </is>
      </c>
      <c r="C4483" s="156" t="inlineStr">
        <is>
          <t>DT-512</t>
        </is>
      </c>
      <c r="D4483" s="156" t="inlineStr">
        <is>
          <t>SKT 105S</t>
        </is>
      </c>
      <c r="E4483" s="156" t="inlineStr">
        <is>
          <t>Hauler</t>
        </is>
      </c>
      <c r="F4483" s="156" t="inlineStr">
        <is>
          <t>Hauling OB</t>
        </is>
      </c>
      <c r="G4483" s="182" t="n">
        <v>7.26</v>
      </c>
      <c r="H4483" s="182" t="n">
        <v>0</v>
      </c>
      <c r="I4483" s="182" t="n">
        <v>0</v>
      </c>
      <c r="J4483" s="182" t="n">
        <v>0</v>
      </c>
      <c r="K4483" s="182" t="n">
        <v>4.74</v>
      </c>
      <c r="L4483" s="182" t="n">
        <v>12</v>
      </c>
      <c r="M4483" s="182" t="n">
        <v>7.26</v>
      </c>
      <c r="N4483" s="182" t="n">
        <v>0</v>
      </c>
      <c r="O4483" s="183" t="n">
        <v>35</v>
      </c>
      <c r="P4483" s="183" t="n">
        <v>0</v>
      </c>
      <c r="Q4483" s="184" t="n">
        <v>714</v>
      </c>
      <c r="R4483" s="184" t="n">
        <v>0</v>
      </c>
      <c r="S4483" s="183" t="n">
        <v>0</v>
      </c>
      <c r="T4483" s="183" t="n">
        <v>0</v>
      </c>
      <c r="U4483" s="182" t="n">
        <v>1.93</v>
      </c>
      <c r="V4483" s="182" t="n">
        <v>1.4</v>
      </c>
      <c r="W4483" s="182" t="n">
        <v>0</v>
      </c>
      <c r="X4483" s="182" t="n">
        <v>0.99</v>
      </c>
      <c r="Y4483" s="182" t="n">
        <v>0</v>
      </c>
      <c r="Z4483" s="182" t="n">
        <v>0</v>
      </c>
      <c r="AA4483" s="182" t="n">
        <v>0</v>
      </c>
      <c r="AB4483" s="182" t="n">
        <v>0</v>
      </c>
      <c r="AC4483" s="182" t="n">
        <v>0.35</v>
      </c>
      <c r="AD4483" s="182" t="n">
        <v>0</v>
      </c>
      <c r="AE4483" s="182" t="n">
        <v>0</v>
      </c>
      <c r="AF4483" s="182" t="n">
        <v>0</v>
      </c>
      <c r="AG4483" s="182" t="n">
        <v>0</v>
      </c>
      <c r="AH4483" s="182" t="n">
        <v>0</v>
      </c>
      <c r="AI4483" s="182" t="n">
        <v>0</v>
      </c>
      <c r="AJ4483" s="182" t="n">
        <v>0</v>
      </c>
      <c r="AK4483" s="182" t="n">
        <v>0</v>
      </c>
      <c r="AL4483" s="182" t="n">
        <v>0</v>
      </c>
      <c r="AM4483" s="182" t="n">
        <v>0.08</v>
      </c>
      <c r="AN4483" s="182" t="n">
        <v>0</v>
      </c>
    </row>
    <row r="4484">
      <c r="A4484" s="155" t="n">
        <v>46102</v>
      </c>
      <c r="B4484" s="156" t="inlineStr">
        <is>
          <t>DS</t>
        </is>
      </c>
      <c r="C4484" s="156" t="inlineStr">
        <is>
          <t>DT-522</t>
        </is>
      </c>
      <c r="D4484" s="156" t="inlineStr">
        <is>
          <t>SKT 105S</t>
        </is>
      </c>
      <c r="E4484" s="156" t="inlineStr">
        <is>
          <t>Hauler</t>
        </is>
      </c>
      <c r="F4484" s="156" t="inlineStr">
        <is>
          <t>Hauling OB &amp; Coal</t>
        </is>
      </c>
      <c r="G4484" s="182" t="n">
        <v>5.73</v>
      </c>
      <c r="H4484" s="182" t="n">
        <v>0</v>
      </c>
      <c r="I4484" s="182" t="n">
        <v>0</v>
      </c>
      <c r="J4484" s="182" t="n">
        <v>0</v>
      </c>
      <c r="K4484" s="182" t="n">
        <v>6.27</v>
      </c>
      <c r="L4484" s="182" t="n">
        <v>12</v>
      </c>
      <c r="M4484" s="182" t="n">
        <v>5.41</v>
      </c>
      <c r="N4484" s="182" t="n">
        <v>0.33</v>
      </c>
      <c r="O4484" s="183" t="n">
        <v>18</v>
      </c>
      <c r="P4484" s="183" t="n">
        <v>1</v>
      </c>
      <c r="Q4484" s="184" t="n">
        <v>367.2</v>
      </c>
      <c r="R4484" s="184" t="n">
        <v>18.7</v>
      </c>
      <c r="S4484" s="183" t="n">
        <v>0</v>
      </c>
      <c r="T4484" s="183" t="n">
        <v>0</v>
      </c>
      <c r="U4484" s="182" t="n">
        <v>1.97</v>
      </c>
      <c r="V4484" s="182" t="n">
        <v>2.43</v>
      </c>
      <c r="W4484" s="182" t="n">
        <v>0</v>
      </c>
      <c r="X4484" s="182" t="n">
        <v>1.01</v>
      </c>
      <c r="Y4484" s="182" t="n">
        <v>0</v>
      </c>
      <c r="Z4484" s="182" t="n">
        <v>0</v>
      </c>
      <c r="AA4484" s="182" t="n">
        <v>0</v>
      </c>
      <c r="AB4484" s="182" t="n">
        <v>0</v>
      </c>
      <c r="AC4484" s="182" t="n">
        <v>0.33</v>
      </c>
      <c r="AD4484" s="182" t="n">
        <v>0</v>
      </c>
      <c r="AE4484" s="182" t="n">
        <v>0</v>
      </c>
      <c r="AF4484" s="182" t="n">
        <v>0</v>
      </c>
      <c r="AG4484" s="182" t="n">
        <v>0</v>
      </c>
      <c r="AH4484" s="182" t="n">
        <v>0.43</v>
      </c>
      <c r="AI4484" s="182" t="n">
        <v>0</v>
      </c>
      <c r="AJ4484" s="182" t="n">
        <v>0</v>
      </c>
      <c r="AK4484" s="182" t="n">
        <v>0</v>
      </c>
      <c r="AL4484" s="182" t="n">
        <v>0</v>
      </c>
      <c r="AM4484" s="182" t="n">
        <v>0.08</v>
      </c>
      <c r="AN4484" s="182" t="n">
        <v>0</v>
      </c>
    </row>
    <row r="4485">
      <c r="A4485" s="155" t="n">
        <v>46102</v>
      </c>
      <c r="B4485" s="156" t="inlineStr">
        <is>
          <t>DS</t>
        </is>
      </c>
      <c r="C4485" s="156" t="inlineStr">
        <is>
          <t>DT-517</t>
        </is>
      </c>
      <c r="D4485" s="156" t="inlineStr">
        <is>
          <t>SKT 105S</t>
        </is>
      </c>
      <c r="E4485" s="156" t="inlineStr">
        <is>
          <t>Hauler</t>
        </is>
      </c>
      <c r="F4485" s="156" t="inlineStr">
        <is>
          <t>Hauling OB</t>
        </is>
      </c>
      <c r="G4485" s="182" t="n">
        <v>2.93</v>
      </c>
      <c r="H4485" s="182" t="n">
        <v>0</v>
      </c>
      <c r="I4485" s="182" t="n">
        <v>0</v>
      </c>
      <c r="J4485" s="182" t="n">
        <v>0</v>
      </c>
      <c r="K4485" s="182" t="n">
        <v>9.07</v>
      </c>
      <c r="L4485" s="182" t="n">
        <v>12</v>
      </c>
      <c r="M4485" s="182" t="n">
        <v>2.77</v>
      </c>
      <c r="N4485" s="182" t="n">
        <v>0</v>
      </c>
      <c r="O4485" s="183" t="n">
        <v>3</v>
      </c>
      <c r="P4485" s="183" t="n">
        <v>0</v>
      </c>
      <c r="Q4485" s="184" t="n">
        <v>61.2</v>
      </c>
      <c r="R4485" s="184" t="n">
        <v>0</v>
      </c>
      <c r="S4485" s="183" t="n">
        <v>0</v>
      </c>
      <c r="T4485" s="183" t="n">
        <v>0</v>
      </c>
      <c r="U4485" s="182" t="n">
        <v>1.99</v>
      </c>
      <c r="V4485" s="182" t="n">
        <v>2.45</v>
      </c>
      <c r="W4485" s="182" t="n">
        <v>0</v>
      </c>
      <c r="X4485" s="182" t="n">
        <v>1.02</v>
      </c>
      <c r="Y4485" s="182" t="n">
        <v>0</v>
      </c>
      <c r="Z4485" s="182" t="n">
        <v>0</v>
      </c>
      <c r="AA4485" s="182" t="n">
        <v>0</v>
      </c>
      <c r="AB4485" s="182" t="n">
        <v>0</v>
      </c>
      <c r="AC4485" s="182" t="n">
        <v>0.34</v>
      </c>
      <c r="AD4485" s="182" t="n">
        <v>0</v>
      </c>
      <c r="AE4485" s="182" t="n">
        <v>0</v>
      </c>
      <c r="AF4485" s="182" t="n">
        <v>0</v>
      </c>
      <c r="AG4485" s="182" t="n">
        <v>0</v>
      </c>
      <c r="AH4485" s="182" t="n">
        <v>0</v>
      </c>
      <c r="AI4485" s="182" t="n">
        <v>3.19</v>
      </c>
      <c r="AJ4485" s="182" t="n">
        <v>0</v>
      </c>
      <c r="AK4485" s="182" t="n">
        <v>0</v>
      </c>
      <c r="AL4485" s="182" t="n">
        <v>0</v>
      </c>
      <c r="AM4485" s="182" t="n">
        <v>0.08</v>
      </c>
      <c r="AN4485" s="182" t="n">
        <v>0</v>
      </c>
    </row>
    <row r="4486">
      <c r="A4486" s="155" t="n">
        <v>46102</v>
      </c>
      <c r="B4486" s="156" t="inlineStr">
        <is>
          <t>DS</t>
        </is>
      </c>
      <c r="C4486" s="156" t="inlineStr">
        <is>
          <t>DT-510</t>
        </is>
      </c>
      <c r="D4486" s="156" t="inlineStr">
        <is>
          <t>SKT 105S</t>
        </is>
      </c>
      <c r="E4486" s="156" t="inlineStr">
        <is>
          <t>Hauler</t>
        </is>
      </c>
      <c r="F4486" s="156" t="inlineStr">
        <is>
          <t>Hauling OB</t>
        </is>
      </c>
      <c r="G4486" s="182" t="n">
        <v>7.14</v>
      </c>
      <c r="H4486" s="182" t="n">
        <v>0</v>
      </c>
      <c r="I4486" s="182" t="n">
        <v>0</v>
      </c>
      <c r="J4486" s="182" t="n">
        <v>0</v>
      </c>
      <c r="K4486" s="182" t="n">
        <v>4.86</v>
      </c>
      <c r="L4486" s="182" t="n">
        <v>12</v>
      </c>
      <c r="M4486" s="182" t="n">
        <v>7.14</v>
      </c>
      <c r="N4486" s="182" t="n">
        <v>0</v>
      </c>
      <c r="O4486" s="183" t="n">
        <v>35</v>
      </c>
      <c r="P4486" s="183" t="n">
        <v>0</v>
      </c>
      <c r="Q4486" s="184" t="n">
        <v>714</v>
      </c>
      <c r="R4486" s="184" t="n">
        <v>0</v>
      </c>
      <c r="S4486" s="183" t="n">
        <v>0</v>
      </c>
      <c r="T4486" s="183" t="n">
        <v>0</v>
      </c>
      <c r="U4486" s="182" t="n">
        <v>1.93</v>
      </c>
      <c r="V4486" s="182" t="n">
        <v>1.41</v>
      </c>
      <c r="W4486" s="182" t="n">
        <v>0</v>
      </c>
      <c r="X4486" s="182" t="n">
        <v>0.99</v>
      </c>
      <c r="Y4486" s="182" t="n">
        <v>0</v>
      </c>
      <c r="Z4486" s="182" t="n">
        <v>0</v>
      </c>
      <c r="AA4486" s="182" t="n">
        <v>0</v>
      </c>
      <c r="AB4486" s="182" t="n">
        <v>0</v>
      </c>
      <c r="AC4486" s="182" t="n">
        <v>0.36</v>
      </c>
      <c r="AD4486" s="182" t="n">
        <v>0</v>
      </c>
      <c r="AE4486" s="182" t="n">
        <v>0</v>
      </c>
      <c r="AF4486" s="182" t="n">
        <v>0</v>
      </c>
      <c r="AG4486" s="182" t="n">
        <v>0</v>
      </c>
      <c r="AH4486" s="182" t="n">
        <v>0.08</v>
      </c>
      <c r="AI4486" s="182" t="n">
        <v>0</v>
      </c>
      <c r="AJ4486" s="182" t="n">
        <v>0</v>
      </c>
      <c r="AK4486" s="182" t="n">
        <v>0</v>
      </c>
      <c r="AL4486" s="182" t="n">
        <v>0</v>
      </c>
      <c r="AM4486" s="182" t="n">
        <v>0.08</v>
      </c>
      <c r="AN4486" s="182" t="n">
        <v>0</v>
      </c>
    </row>
    <row r="4487">
      <c r="A4487" s="155" t="n">
        <v>46102</v>
      </c>
      <c r="B4487" s="156" t="inlineStr">
        <is>
          <t>DS</t>
        </is>
      </c>
      <c r="C4487" s="156" t="inlineStr">
        <is>
          <t>DT-521</t>
        </is>
      </c>
      <c r="D4487" s="156" t="inlineStr">
        <is>
          <t>SKT 105S</t>
        </is>
      </c>
      <c r="E4487" s="156" t="inlineStr">
        <is>
          <t>Hauler</t>
        </is>
      </c>
      <c r="F4487" s="156" t="inlineStr">
        <is>
          <t>Hauling OB</t>
        </is>
      </c>
      <c r="G4487" s="182" t="n">
        <v>6.44</v>
      </c>
      <c r="H4487" s="182" t="n">
        <v>0</v>
      </c>
      <c r="I4487" s="182" t="n">
        <v>0</v>
      </c>
      <c r="J4487" s="182" t="n">
        <v>0</v>
      </c>
      <c r="K4487" s="182" t="n">
        <v>5.56</v>
      </c>
      <c r="L4487" s="182" t="n">
        <v>12</v>
      </c>
      <c r="M4487" s="182" t="n">
        <v>6.44</v>
      </c>
      <c r="N4487" s="182" t="n">
        <v>0</v>
      </c>
      <c r="O4487" s="183" t="n">
        <v>22</v>
      </c>
      <c r="P4487" s="183" t="n">
        <v>0</v>
      </c>
      <c r="Q4487" s="184" t="n">
        <v>448.8</v>
      </c>
      <c r="R4487" s="184" t="n">
        <v>0</v>
      </c>
      <c r="S4487" s="183" t="n">
        <v>0</v>
      </c>
      <c r="T4487" s="183" t="n">
        <v>0</v>
      </c>
      <c r="U4487" s="182" t="n">
        <v>2.01</v>
      </c>
      <c r="V4487" s="182" t="n">
        <v>2.06</v>
      </c>
      <c r="W4487" s="182" t="n">
        <v>0</v>
      </c>
      <c r="X4487" s="182" t="n">
        <v>1.03</v>
      </c>
      <c r="Y4487" s="182" t="n">
        <v>0</v>
      </c>
      <c r="Z4487" s="182" t="n">
        <v>0</v>
      </c>
      <c r="AA4487" s="182" t="n">
        <v>0</v>
      </c>
      <c r="AB4487" s="182" t="n">
        <v>0</v>
      </c>
      <c r="AC4487" s="182" t="n">
        <v>0.37</v>
      </c>
      <c r="AD4487" s="182" t="n">
        <v>0</v>
      </c>
      <c r="AE4487" s="182" t="n">
        <v>0</v>
      </c>
      <c r="AF4487" s="182" t="n">
        <v>0</v>
      </c>
      <c r="AG4487" s="182" t="n">
        <v>0</v>
      </c>
      <c r="AH4487" s="182" t="n">
        <v>0</v>
      </c>
      <c r="AI4487" s="182" t="n">
        <v>0</v>
      </c>
      <c r="AJ4487" s="182" t="n">
        <v>0</v>
      </c>
      <c r="AK4487" s="182" t="n">
        <v>0</v>
      </c>
      <c r="AL4487" s="182" t="n">
        <v>0</v>
      </c>
      <c r="AM4487" s="182" t="n">
        <v>0.08</v>
      </c>
      <c r="AN4487" s="182" t="n">
        <v>0</v>
      </c>
    </row>
    <row r="4488">
      <c r="A4488" s="155" t="n">
        <v>46102</v>
      </c>
      <c r="B4488" s="156" t="inlineStr">
        <is>
          <t>DS</t>
        </is>
      </c>
      <c r="C4488" s="156" t="inlineStr">
        <is>
          <t>DT-516</t>
        </is>
      </c>
      <c r="D4488" s="156" t="inlineStr">
        <is>
          <t>SKT 105S</t>
        </is>
      </c>
      <c r="E4488" s="156" t="inlineStr">
        <is>
          <t>Hauler</t>
        </is>
      </c>
      <c r="F4488" s="156" t="inlineStr"/>
      <c r="G4488" s="182" t="n">
        <v>0</v>
      </c>
      <c r="H4488" s="182" t="n">
        <v>0</v>
      </c>
      <c r="I4488" s="182" t="n">
        <v>12</v>
      </c>
      <c r="J4488" s="182" t="n">
        <v>12</v>
      </c>
      <c r="K4488" s="182" t="n">
        <v>0</v>
      </c>
      <c r="L4488" s="182" t="n">
        <v>12</v>
      </c>
      <c r="M4488" s="182" t="n">
        <v>0</v>
      </c>
      <c r="N4488" s="182" t="n">
        <v>0</v>
      </c>
      <c r="O4488" s="183" t="n">
        <v>0</v>
      </c>
      <c r="P4488" s="183" t="n">
        <v>0</v>
      </c>
      <c r="Q4488" s="184" t="n">
        <v>0</v>
      </c>
      <c r="R4488" s="184" t="n">
        <v>0</v>
      </c>
      <c r="S4488" s="183" t="n">
        <v>0</v>
      </c>
      <c r="T4488" s="183" t="n">
        <v>0</v>
      </c>
      <c r="U4488" s="182" t="n">
        <v>0</v>
      </c>
      <c r="V4488" s="182" t="n">
        <v>0</v>
      </c>
      <c r="W4488" s="182" t="n">
        <v>0</v>
      </c>
      <c r="X4488" s="182" t="n">
        <v>0</v>
      </c>
      <c r="Y4488" s="182" t="n">
        <v>0</v>
      </c>
      <c r="Z4488" s="182" t="n">
        <v>0</v>
      </c>
      <c r="AA4488" s="182" t="n">
        <v>0</v>
      </c>
      <c r="AB4488" s="182" t="n">
        <v>0</v>
      </c>
      <c r="AC4488" s="182" t="n">
        <v>0</v>
      </c>
      <c r="AD4488" s="182" t="n">
        <v>0</v>
      </c>
      <c r="AE4488" s="182" t="n">
        <v>0</v>
      </c>
      <c r="AF4488" s="182" t="n">
        <v>0</v>
      </c>
      <c r="AG4488" s="182" t="n">
        <v>0</v>
      </c>
      <c r="AH4488" s="182" t="n">
        <v>0</v>
      </c>
      <c r="AI4488" s="182" t="n">
        <v>0</v>
      </c>
      <c r="AJ4488" s="182" t="n">
        <v>0</v>
      </c>
      <c r="AK4488" s="182" t="n">
        <v>0</v>
      </c>
      <c r="AL4488" s="182" t="n">
        <v>0</v>
      </c>
      <c r="AM4488" s="182" t="n">
        <v>0</v>
      </c>
      <c r="AN4488" s="182" t="n">
        <v>0</v>
      </c>
    </row>
    <row r="4489">
      <c r="A4489" s="155" t="n">
        <v>46102</v>
      </c>
      <c r="B4489" s="156" t="inlineStr">
        <is>
          <t>DS</t>
        </is>
      </c>
      <c r="C4489" s="156" t="inlineStr">
        <is>
          <t>DT-506</t>
        </is>
      </c>
      <c r="D4489" s="156" t="inlineStr">
        <is>
          <t>SKT 105S</t>
        </is>
      </c>
      <c r="E4489" s="156" t="inlineStr">
        <is>
          <t>Hauler</t>
        </is>
      </c>
      <c r="F4489" s="156" t="inlineStr"/>
      <c r="G4489" s="182" t="n">
        <v>0</v>
      </c>
      <c r="H4489" s="182" t="n">
        <v>0</v>
      </c>
      <c r="I4489" s="182" t="n">
        <v>0</v>
      </c>
      <c r="J4489" s="182" t="n">
        <v>0</v>
      </c>
      <c r="K4489" s="182" t="n">
        <v>12</v>
      </c>
      <c r="L4489" s="182" t="n">
        <v>12</v>
      </c>
      <c r="M4489" s="182" t="n">
        <v>0</v>
      </c>
      <c r="N4489" s="182" t="n">
        <v>0</v>
      </c>
      <c r="O4489" s="183" t="n">
        <v>0</v>
      </c>
      <c r="P4489" s="183" t="n">
        <v>0</v>
      </c>
      <c r="Q4489" s="184" t="n">
        <v>0</v>
      </c>
      <c r="R4489" s="184" t="n">
        <v>0</v>
      </c>
      <c r="S4489" s="183" t="n">
        <v>0</v>
      </c>
      <c r="T4489" s="183" t="n">
        <v>0</v>
      </c>
      <c r="U4489" s="182" t="n">
        <v>1.95</v>
      </c>
      <c r="V4489" s="182" t="n">
        <v>0</v>
      </c>
      <c r="W4489" s="182" t="n">
        <v>0</v>
      </c>
      <c r="X4489" s="182" t="n">
        <v>1</v>
      </c>
      <c r="Y4489" s="182" t="n">
        <v>0</v>
      </c>
      <c r="Z4489" s="182" t="n">
        <v>0</v>
      </c>
      <c r="AA4489" s="182" t="n">
        <v>0</v>
      </c>
      <c r="AB4489" s="182" t="n">
        <v>0</v>
      </c>
      <c r="AC4489" s="182" t="n">
        <v>0</v>
      </c>
      <c r="AD4489" s="182" t="n">
        <v>0</v>
      </c>
      <c r="AE4489" s="182" t="n">
        <v>0</v>
      </c>
      <c r="AF4489" s="182" t="n">
        <v>0</v>
      </c>
      <c r="AG4489" s="182" t="n">
        <v>0</v>
      </c>
      <c r="AH4489" s="182" t="n">
        <v>0</v>
      </c>
      <c r="AI4489" s="182" t="n">
        <v>8.970000000000001</v>
      </c>
      <c r="AJ4489" s="182" t="n">
        <v>0</v>
      </c>
      <c r="AK4489" s="182" t="n">
        <v>0</v>
      </c>
      <c r="AL4489" s="182" t="n">
        <v>0</v>
      </c>
      <c r="AM4489" s="182" t="n">
        <v>0.08</v>
      </c>
      <c r="AN4489" s="182" t="n">
        <v>0</v>
      </c>
    </row>
    <row r="4490">
      <c r="A4490" s="155" t="n">
        <v>46102</v>
      </c>
      <c r="B4490" s="156" t="inlineStr">
        <is>
          <t>DS</t>
        </is>
      </c>
      <c r="C4490" s="156" t="inlineStr">
        <is>
          <t>DT-502</t>
        </is>
      </c>
      <c r="D4490" s="156" t="inlineStr">
        <is>
          <t>SKT 105S</t>
        </is>
      </c>
      <c r="E4490" s="156" t="inlineStr">
        <is>
          <t>Hauler</t>
        </is>
      </c>
      <c r="F4490" s="156" t="inlineStr">
        <is>
          <t>Hauling Coal</t>
        </is>
      </c>
      <c r="G4490" s="182" t="n">
        <v>3.55</v>
      </c>
      <c r="H4490" s="182" t="n">
        <v>0</v>
      </c>
      <c r="I4490" s="182" t="n">
        <v>0</v>
      </c>
      <c r="J4490" s="182" t="n">
        <v>0</v>
      </c>
      <c r="K4490" s="182" t="n">
        <v>8.449999999999999</v>
      </c>
      <c r="L4490" s="182" t="n">
        <v>12</v>
      </c>
      <c r="M4490" s="182" t="n">
        <v>0</v>
      </c>
      <c r="N4490" s="182" t="n">
        <v>3.55</v>
      </c>
      <c r="O4490" s="183" t="n">
        <v>0</v>
      </c>
      <c r="P4490" s="183" t="n">
        <v>4</v>
      </c>
      <c r="Q4490" s="184" t="n">
        <v>0</v>
      </c>
      <c r="R4490" s="184" t="n">
        <v>74.8</v>
      </c>
      <c r="S4490" s="183" t="n">
        <v>0</v>
      </c>
      <c r="T4490" s="183" t="n">
        <v>0</v>
      </c>
      <c r="U4490" s="182" t="n">
        <v>1.96</v>
      </c>
      <c r="V4490" s="182" t="n">
        <v>2.41</v>
      </c>
      <c r="W4490" s="182" t="n">
        <v>0</v>
      </c>
      <c r="X4490" s="182" t="n">
        <v>1.01</v>
      </c>
      <c r="Y4490" s="182" t="n">
        <v>0</v>
      </c>
      <c r="Z4490" s="182" t="n">
        <v>0</v>
      </c>
      <c r="AA4490" s="182" t="n">
        <v>0</v>
      </c>
      <c r="AB4490" s="182" t="n">
        <v>0</v>
      </c>
      <c r="AC4490" s="182" t="n">
        <v>0</v>
      </c>
      <c r="AD4490" s="182" t="n">
        <v>0</v>
      </c>
      <c r="AE4490" s="182" t="n">
        <v>0</v>
      </c>
      <c r="AF4490" s="182" t="n">
        <v>0</v>
      </c>
      <c r="AG4490" s="182" t="n">
        <v>0</v>
      </c>
      <c r="AH4490" s="182" t="n">
        <v>0</v>
      </c>
      <c r="AI4490" s="182" t="n">
        <v>2.99</v>
      </c>
      <c r="AJ4490" s="182" t="n">
        <v>0</v>
      </c>
      <c r="AK4490" s="182" t="n">
        <v>0</v>
      </c>
      <c r="AL4490" s="182" t="n">
        <v>0</v>
      </c>
      <c r="AM4490" s="182" t="n">
        <v>0.08</v>
      </c>
      <c r="AN4490" s="182" t="n">
        <v>0</v>
      </c>
    </row>
    <row r="4491">
      <c r="A4491" s="155" t="n">
        <v>46102</v>
      </c>
      <c r="B4491" s="156" t="inlineStr">
        <is>
          <t>DS</t>
        </is>
      </c>
      <c r="C4491" s="156" t="inlineStr">
        <is>
          <t>DT-528</t>
        </is>
      </c>
      <c r="D4491" s="156" t="inlineStr">
        <is>
          <t>SKT 105S</t>
        </is>
      </c>
      <c r="E4491" s="156" t="inlineStr">
        <is>
          <t>Hauler</t>
        </is>
      </c>
      <c r="F4491" s="156" t="inlineStr">
        <is>
          <t>Hauling OB</t>
        </is>
      </c>
      <c r="G4491" s="182" t="n">
        <v>7.57</v>
      </c>
      <c r="H4491" s="182" t="n">
        <v>0</v>
      </c>
      <c r="I4491" s="182" t="n">
        <v>0</v>
      </c>
      <c r="J4491" s="182" t="n">
        <v>0</v>
      </c>
      <c r="K4491" s="182" t="n">
        <v>4.43</v>
      </c>
      <c r="L4491" s="182" t="n">
        <v>12</v>
      </c>
      <c r="M4491" s="182" t="n">
        <v>7.57</v>
      </c>
      <c r="N4491" s="182" t="n">
        <v>0</v>
      </c>
      <c r="O4491" s="183" t="n">
        <v>30</v>
      </c>
      <c r="P4491" s="183" t="n">
        <v>0</v>
      </c>
      <c r="Q4491" s="184" t="n">
        <v>612</v>
      </c>
      <c r="R4491" s="184" t="n">
        <v>0</v>
      </c>
      <c r="S4491" s="183" t="n">
        <v>0</v>
      </c>
      <c r="T4491" s="183" t="n">
        <v>0</v>
      </c>
      <c r="U4491" s="182" t="n">
        <v>1.84</v>
      </c>
      <c r="V4491" s="182" t="n">
        <v>1.34</v>
      </c>
      <c r="W4491" s="182" t="n">
        <v>0</v>
      </c>
      <c r="X4491" s="182" t="n">
        <v>0.9399999999999999</v>
      </c>
      <c r="Y4491" s="182" t="n">
        <v>0</v>
      </c>
      <c r="Z4491" s="182" t="n">
        <v>0</v>
      </c>
      <c r="AA4491" s="182" t="n">
        <v>0</v>
      </c>
      <c r="AB4491" s="182" t="n">
        <v>0</v>
      </c>
      <c r="AC4491" s="182" t="n">
        <v>0.24</v>
      </c>
      <c r="AD4491" s="182" t="n">
        <v>0</v>
      </c>
      <c r="AE4491" s="182" t="n">
        <v>0</v>
      </c>
      <c r="AF4491" s="182" t="n">
        <v>0</v>
      </c>
      <c r="AG4491" s="182" t="n">
        <v>0</v>
      </c>
      <c r="AH4491" s="182" t="n">
        <v>0</v>
      </c>
      <c r="AI4491" s="182" t="n">
        <v>0</v>
      </c>
      <c r="AJ4491" s="182" t="n">
        <v>0</v>
      </c>
      <c r="AK4491" s="182" t="n">
        <v>0</v>
      </c>
      <c r="AL4491" s="182" t="n">
        <v>0</v>
      </c>
      <c r="AM4491" s="182" t="n">
        <v>0.08</v>
      </c>
      <c r="AN4491" s="182" t="n">
        <v>0</v>
      </c>
    </row>
    <row r="4492">
      <c r="A4492" s="155" t="n">
        <v>46102</v>
      </c>
      <c r="B4492" s="156" t="inlineStr">
        <is>
          <t>DS</t>
        </is>
      </c>
      <c r="C4492" s="156" t="inlineStr">
        <is>
          <t>DT-529</t>
        </is>
      </c>
      <c r="D4492" s="156" t="inlineStr">
        <is>
          <t>SKT 105S</t>
        </is>
      </c>
      <c r="E4492" s="156" t="inlineStr">
        <is>
          <t>Hauler</t>
        </is>
      </c>
      <c r="F4492" s="156" t="inlineStr"/>
      <c r="G4492" s="182" t="n">
        <v>0</v>
      </c>
      <c r="H4492" s="182" t="n">
        <v>0</v>
      </c>
      <c r="I4492" s="182" t="n">
        <v>0</v>
      </c>
      <c r="J4492" s="182" t="n">
        <v>0</v>
      </c>
      <c r="K4492" s="182" t="n">
        <v>12</v>
      </c>
      <c r="L4492" s="182" t="n">
        <v>12</v>
      </c>
      <c r="M4492" s="182" t="n">
        <v>0</v>
      </c>
      <c r="N4492" s="182" t="n">
        <v>0</v>
      </c>
      <c r="O4492" s="183" t="n">
        <v>0</v>
      </c>
      <c r="P4492" s="183" t="n">
        <v>0</v>
      </c>
      <c r="Q4492" s="184" t="n">
        <v>0</v>
      </c>
      <c r="R4492" s="184" t="n">
        <v>0</v>
      </c>
      <c r="S4492" s="183" t="n">
        <v>0</v>
      </c>
      <c r="T4492" s="183" t="n">
        <v>0</v>
      </c>
      <c r="U4492" s="182" t="n">
        <v>1.95</v>
      </c>
      <c r="V4492" s="182" t="n">
        <v>0</v>
      </c>
      <c r="W4492" s="182" t="n">
        <v>0</v>
      </c>
      <c r="X4492" s="182" t="n">
        <v>1</v>
      </c>
      <c r="Y4492" s="182" t="n">
        <v>0</v>
      </c>
      <c r="Z4492" s="182" t="n">
        <v>0</v>
      </c>
      <c r="AA4492" s="182" t="n">
        <v>0</v>
      </c>
      <c r="AB4492" s="182" t="n">
        <v>0</v>
      </c>
      <c r="AC4492" s="182" t="n">
        <v>0</v>
      </c>
      <c r="AD4492" s="182" t="n">
        <v>0</v>
      </c>
      <c r="AE4492" s="182" t="n">
        <v>0</v>
      </c>
      <c r="AF4492" s="182" t="n">
        <v>0</v>
      </c>
      <c r="AG4492" s="182" t="n">
        <v>0</v>
      </c>
      <c r="AH4492" s="182" t="n">
        <v>0</v>
      </c>
      <c r="AI4492" s="182" t="n">
        <v>8.970000000000001</v>
      </c>
      <c r="AJ4492" s="182" t="n">
        <v>0</v>
      </c>
      <c r="AK4492" s="182" t="n">
        <v>0</v>
      </c>
      <c r="AL4492" s="182" t="n">
        <v>0</v>
      </c>
      <c r="AM4492" s="182" t="n">
        <v>0.08</v>
      </c>
      <c r="AN4492" s="182" t="n">
        <v>0</v>
      </c>
    </row>
    <row r="4493">
      <c r="A4493" s="155" t="n">
        <v>46102</v>
      </c>
      <c r="B4493" s="156" t="inlineStr">
        <is>
          <t>DS</t>
        </is>
      </c>
      <c r="C4493" s="156" t="inlineStr">
        <is>
          <t>DT-520</t>
        </is>
      </c>
      <c r="D4493" s="156" t="inlineStr">
        <is>
          <t>SKT 105S</t>
        </is>
      </c>
      <c r="E4493" s="156" t="inlineStr">
        <is>
          <t>Hauler</t>
        </is>
      </c>
      <c r="F4493" s="156" t="inlineStr">
        <is>
          <t>Hauling OB</t>
        </is>
      </c>
      <c r="G4493" s="182" t="n">
        <v>7.15</v>
      </c>
      <c r="H4493" s="182" t="n">
        <v>0</v>
      </c>
      <c r="I4493" s="182" t="n">
        <v>0</v>
      </c>
      <c r="J4493" s="182" t="n">
        <v>0</v>
      </c>
      <c r="K4493" s="182" t="n">
        <v>4.85</v>
      </c>
      <c r="L4493" s="182" t="n">
        <v>12</v>
      </c>
      <c r="M4493" s="182" t="n">
        <v>7.15</v>
      </c>
      <c r="N4493" s="182" t="n">
        <v>0</v>
      </c>
      <c r="O4493" s="183" t="n">
        <v>38</v>
      </c>
      <c r="P4493" s="183" t="n">
        <v>0</v>
      </c>
      <c r="Q4493" s="184" t="n">
        <v>775.2</v>
      </c>
      <c r="R4493" s="184" t="n">
        <v>0</v>
      </c>
      <c r="S4493" s="183" t="n">
        <v>0</v>
      </c>
      <c r="T4493" s="183" t="n">
        <v>0</v>
      </c>
      <c r="U4493" s="182" t="n">
        <v>2.01</v>
      </c>
      <c r="V4493" s="182" t="n">
        <v>1.47</v>
      </c>
      <c r="W4493" s="182" t="n">
        <v>0</v>
      </c>
      <c r="X4493" s="182" t="n">
        <v>1.03</v>
      </c>
      <c r="Y4493" s="182" t="n">
        <v>0</v>
      </c>
      <c r="Z4493" s="182" t="n">
        <v>0</v>
      </c>
      <c r="AA4493" s="182" t="n">
        <v>0</v>
      </c>
      <c r="AB4493" s="182" t="n">
        <v>0</v>
      </c>
      <c r="AC4493" s="182" t="n">
        <v>0.26</v>
      </c>
      <c r="AD4493" s="182" t="n">
        <v>0</v>
      </c>
      <c r="AE4493" s="182" t="n">
        <v>0</v>
      </c>
      <c r="AF4493" s="182" t="n">
        <v>0</v>
      </c>
      <c r="AG4493" s="182" t="n">
        <v>0</v>
      </c>
      <c r="AH4493" s="182" t="n">
        <v>0</v>
      </c>
      <c r="AI4493" s="182" t="n">
        <v>0</v>
      </c>
      <c r="AJ4493" s="182" t="n">
        <v>0</v>
      </c>
      <c r="AK4493" s="182" t="n">
        <v>0</v>
      </c>
      <c r="AL4493" s="182" t="n">
        <v>0</v>
      </c>
      <c r="AM4493" s="182" t="n">
        <v>0.08</v>
      </c>
      <c r="AN4493" s="182" t="n">
        <v>0</v>
      </c>
    </row>
    <row r="4494">
      <c r="A4494" s="155" t="n">
        <v>46102</v>
      </c>
      <c r="B4494" s="156" t="inlineStr">
        <is>
          <t>DS</t>
        </is>
      </c>
      <c r="C4494" s="156" t="inlineStr">
        <is>
          <t>DT-511</t>
        </is>
      </c>
      <c r="D4494" s="156" t="inlineStr">
        <is>
          <t>SKT 105S</t>
        </is>
      </c>
      <c r="E4494" s="156" t="inlineStr">
        <is>
          <t>Hauler</t>
        </is>
      </c>
      <c r="F4494" s="156" t="inlineStr"/>
      <c r="G4494" s="182" t="n">
        <v>0</v>
      </c>
      <c r="H4494" s="182" t="n">
        <v>0</v>
      </c>
      <c r="I4494" s="182" t="n">
        <v>12</v>
      </c>
      <c r="J4494" s="182" t="n">
        <v>12</v>
      </c>
      <c r="K4494" s="182" t="n">
        <v>0</v>
      </c>
      <c r="L4494" s="182" t="n">
        <v>12</v>
      </c>
      <c r="M4494" s="182" t="n">
        <v>0</v>
      </c>
      <c r="N4494" s="182" t="n">
        <v>0</v>
      </c>
      <c r="O4494" s="183" t="n">
        <v>0</v>
      </c>
      <c r="P4494" s="183" t="n">
        <v>0</v>
      </c>
      <c r="Q4494" s="184" t="n">
        <v>0</v>
      </c>
      <c r="R4494" s="184" t="n">
        <v>0</v>
      </c>
      <c r="S4494" s="183" t="n">
        <v>0</v>
      </c>
      <c r="T4494" s="183" t="n">
        <v>0</v>
      </c>
      <c r="U4494" s="182" t="n">
        <v>0</v>
      </c>
      <c r="V4494" s="182" t="n">
        <v>0</v>
      </c>
      <c r="W4494" s="182" t="n">
        <v>0</v>
      </c>
      <c r="X4494" s="182" t="n">
        <v>0</v>
      </c>
      <c r="Y4494" s="182" t="n">
        <v>0</v>
      </c>
      <c r="Z4494" s="182" t="n">
        <v>0</v>
      </c>
      <c r="AA4494" s="182" t="n">
        <v>0</v>
      </c>
      <c r="AB4494" s="182" t="n">
        <v>0</v>
      </c>
      <c r="AC4494" s="182" t="n">
        <v>0</v>
      </c>
      <c r="AD4494" s="182" t="n">
        <v>0</v>
      </c>
      <c r="AE4494" s="182" t="n">
        <v>0</v>
      </c>
      <c r="AF4494" s="182" t="n">
        <v>0</v>
      </c>
      <c r="AG4494" s="182" t="n">
        <v>0</v>
      </c>
      <c r="AH4494" s="182" t="n">
        <v>0</v>
      </c>
      <c r="AI4494" s="182" t="n">
        <v>0</v>
      </c>
      <c r="AJ4494" s="182" t="n">
        <v>0</v>
      </c>
      <c r="AK4494" s="182" t="n">
        <v>0</v>
      </c>
      <c r="AL4494" s="182" t="n">
        <v>0</v>
      </c>
      <c r="AM4494" s="182" t="n">
        <v>0</v>
      </c>
      <c r="AN4494" s="182" t="n">
        <v>0</v>
      </c>
    </row>
    <row r="4495">
      <c r="A4495" s="155" t="n">
        <v>46102</v>
      </c>
      <c r="B4495" s="156" t="inlineStr">
        <is>
          <t>DS</t>
        </is>
      </c>
      <c r="C4495" s="156" t="inlineStr">
        <is>
          <t>DT-509</t>
        </is>
      </c>
      <c r="D4495" s="156" t="inlineStr">
        <is>
          <t>SKT 105S</t>
        </is>
      </c>
      <c r="E4495" s="156" t="inlineStr">
        <is>
          <t>Hauler</t>
        </is>
      </c>
      <c r="F4495" s="156" t="inlineStr"/>
      <c r="G4495" s="182" t="n">
        <v>0</v>
      </c>
      <c r="H4495" s="182" t="n">
        <v>0</v>
      </c>
      <c r="I4495" s="182" t="n">
        <v>12</v>
      </c>
      <c r="J4495" s="182" t="n">
        <v>12</v>
      </c>
      <c r="K4495" s="182" t="n">
        <v>0</v>
      </c>
      <c r="L4495" s="182" t="n">
        <v>12</v>
      </c>
      <c r="M4495" s="182" t="n">
        <v>0</v>
      </c>
      <c r="N4495" s="182" t="n">
        <v>0</v>
      </c>
      <c r="O4495" s="183" t="n">
        <v>0</v>
      </c>
      <c r="P4495" s="183" t="n">
        <v>0</v>
      </c>
      <c r="Q4495" s="184" t="n">
        <v>0</v>
      </c>
      <c r="R4495" s="184" t="n">
        <v>0</v>
      </c>
      <c r="S4495" s="183" t="n">
        <v>0</v>
      </c>
      <c r="T4495" s="183" t="n">
        <v>0</v>
      </c>
      <c r="U4495" s="182" t="n">
        <v>0</v>
      </c>
      <c r="V4495" s="182" t="n">
        <v>0</v>
      </c>
      <c r="W4495" s="182" t="n">
        <v>0</v>
      </c>
      <c r="X4495" s="182" t="n">
        <v>0</v>
      </c>
      <c r="Y4495" s="182" t="n">
        <v>0</v>
      </c>
      <c r="Z4495" s="182" t="n">
        <v>0</v>
      </c>
      <c r="AA4495" s="182" t="n">
        <v>0</v>
      </c>
      <c r="AB4495" s="182" t="n">
        <v>0</v>
      </c>
      <c r="AC4495" s="182" t="n">
        <v>0</v>
      </c>
      <c r="AD4495" s="182" t="n">
        <v>0</v>
      </c>
      <c r="AE4495" s="182" t="n">
        <v>0</v>
      </c>
      <c r="AF4495" s="182" t="n">
        <v>0</v>
      </c>
      <c r="AG4495" s="182" t="n">
        <v>0</v>
      </c>
      <c r="AH4495" s="182" t="n">
        <v>0</v>
      </c>
      <c r="AI4495" s="182" t="n">
        <v>0</v>
      </c>
      <c r="AJ4495" s="182" t="n">
        <v>0</v>
      </c>
      <c r="AK4495" s="182" t="n">
        <v>0</v>
      </c>
      <c r="AL4495" s="182" t="n">
        <v>0</v>
      </c>
      <c r="AM4495" s="182" t="n">
        <v>0</v>
      </c>
      <c r="AN4495" s="182" t="n">
        <v>0</v>
      </c>
    </row>
    <row r="4496">
      <c r="A4496" s="155" t="n">
        <v>46102</v>
      </c>
      <c r="B4496" s="156" t="inlineStr">
        <is>
          <t>DS</t>
        </is>
      </c>
      <c r="C4496" s="156" t="inlineStr">
        <is>
          <t>DT-526</t>
        </is>
      </c>
      <c r="D4496" s="156" t="inlineStr">
        <is>
          <t>SKT 105S</t>
        </is>
      </c>
      <c r="E4496" s="156" t="inlineStr">
        <is>
          <t>Hauler</t>
        </is>
      </c>
      <c r="F4496" s="156" t="inlineStr">
        <is>
          <t>Hauling OB &amp; Coal</t>
        </is>
      </c>
      <c r="G4496" s="182" t="n">
        <v>5.78</v>
      </c>
      <c r="H4496" s="182" t="n">
        <v>0</v>
      </c>
      <c r="I4496" s="182" t="n">
        <v>0</v>
      </c>
      <c r="J4496" s="182" t="n">
        <v>0</v>
      </c>
      <c r="K4496" s="182" t="n">
        <v>6.22</v>
      </c>
      <c r="L4496" s="182" t="n">
        <v>12</v>
      </c>
      <c r="M4496" s="182" t="n">
        <v>5.31</v>
      </c>
      <c r="N4496" s="182" t="n">
        <v>0.31</v>
      </c>
      <c r="O4496" s="183" t="n">
        <v>16</v>
      </c>
      <c r="P4496" s="183" t="n">
        <v>1</v>
      </c>
      <c r="Q4496" s="184" t="n">
        <v>326.4</v>
      </c>
      <c r="R4496" s="184" t="n">
        <v>18.7</v>
      </c>
      <c r="S4496" s="183" t="n">
        <v>0</v>
      </c>
      <c r="T4496" s="183" t="n">
        <v>0</v>
      </c>
      <c r="U4496" s="182" t="n">
        <v>2.09</v>
      </c>
      <c r="V4496" s="182" t="n">
        <v>2.57</v>
      </c>
      <c r="W4496" s="182" t="n">
        <v>0</v>
      </c>
      <c r="X4496" s="182" t="n">
        <v>1.07</v>
      </c>
      <c r="Y4496" s="182" t="n">
        <v>0</v>
      </c>
      <c r="Z4496" s="182" t="n">
        <v>0</v>
      </c>
      <c r="AA4496" s="182" t="n">
        <v>0</v>
      </c>
      <c r="AB4496" s="182" t="n">
        <v>0</v>
      </c>
      <c r="AC4496" s="182" t="n">
        <v>0.4</v>
      </c>
      <c r="AD4496" s="182" t="n">
        <v>0</v>
      </c>
      <c r="AE4496" s="182" t="n">
        <v>0</v>
      </c>
      <c r="AF4496" s="182" t="n">
        <v>0</v>
      </c>
      <c r="AG4496" s="182" t="n">
        <v>0</v>
      </c>
      <c r="AH4496" s="182" t="n">
        <v>0</v>
      </c>
      <c r="AI4496" s="182" t="n">
        <v>0</v>
      </c>
      <c r="AJ4496" s="182" t="n">
        <v>0</v>
      </c>
      <c r="AK4496" s="182" t="n">
        <v>0</v>
      </c>
      <c r="AL4496" s="182" t="n">
        <v>0</v>
      </c>
      <c r="AM4496" s="182" t="n">
        <v>0.09</v>
      </c>
      <c r="AN4496" s="182" t="n">
        <v>0</v>
      </c>
    </row>
    <row r="4497">
      <c r="A4497" s="155" t="n">
        <v>46102</v>
      </c>
      <c r="B4497" s="156" t="inlineStr">
        <is>
          <t>DS</t>
        </is>
      </c>
      <c r="C4497" s="156" t="inlineStr">
        <is>
          <t>DT-508</t>
        </is>
      </c>
      <c r="D4497" s="156" t="inlineStr">
        <is>
          <t>SKT 105S</t>
        </is>
      </c>
      <c r="E4497" s="156" t="inlineStr">
        <is>
          <t>Hauler</t>
        </is>
      </c>
      <c r="F4497" s="156" t="inlineStr">
        <is>
          <t>Hauling OB</t>
        </is>
      </c>
      <c r="G4497" s="182" t="n">
        <v>6.17</v>
      </c>
      <c r="H4497" s="182" t="n">
        <v>0</v>
      </c>
      <c r="I4497" s="182" t="n">
        <v>0</v>
      </c>
      <c r="J4497" s="182" t="n">
        <v>0</v>
      </c>
      <c r="K4497" s="182" t="n">
        <v>5.83</v>
      </c>
      <c r="L4497" s="182" t="n">
        <v>12</v>
      </c>
      <c r="M4497" s="182" t="n">
        <v>6.17</v>
      </c>
      <c r="N4497" s="182" t="n">
        <v>0</v>
      </c>
      <c r="O4497" s="183" t="n">
        <v>24</v>
      </c>
      <c r="P4497" s="183" t="n">
        <v>0</v>
      </c>
      <c r="Q4497" s="184" t="n">
        <v>489.6</v>
      </c>
      <c r="R4497" s="184" t="n">
        <v>0</v>
      </c>
      <c r="S4497" s="183" t="n">
        <v>0</v>
      </c>
      <c r="T4497" s="183" t="n">
        <v>0</v>
      </c>
      <c r="U4497" s="182" t="n">
        <v>1.86</v>
      </c>
      <c r="V4497" s="182" t="n">
        <v>2.29</v>
      </c>
      <c r="W4497" s="182" t="n">
        <v>0</v>
      </c>
      <c r="X4497" s="182" t="n">
        <v>0.96</v>
      </c>
      <c r="Y4497" s="182" t="n">
        <v>0</v>
      </c>
      <c r="Z4497" s="182" t="n">
        <v>0</v>
      </c>
      <c r="AA4497" s="182" t="n">
        <v>0</v>
      </c>
      <c r="AB4497" s="182" t="n">
        <v>0</v>
      </c>
      <c r="AC4497" s="182" t="n">
        <v>0.34</v>
      </c>
      <c r="AD4497" s="182" t="n">
        <v>0</v>
      </c>
      <c r="AE4497" s="182" t="n">
        <v>0</v>
      </c>
      <c r="AF4497" s="182" t="n">
        <v>0</v>
      </c>
      <c r="AG4497" s="182" t="n">
        <v>0</v>
      </c>
      <c r="AH4497" s="182" t="n">
        <v>0.29</v>
      </c>
      <c r="AI4497" s="182" t="n">
        <v>0</v>
      </c>
      <c r="AJ4497" s="182" t="n">
        <v>0</v>
      </c>
      <c r="AK4497" s="182" t="n">
        <v>0</v>
      </c>
      <c r="AL4497" s="182" t="n">
        <v>0</v>
      </c>
      <c r="AM4497" s="182" t="n">
        <v>0.08</v>
      </c>
      <c r="AN4497" s="182" t="n">
        <v>0</v>
      </c>
    </row>
    <row r="4498">
      <c r="A4498" s="155" t="n">
        <v>46102</v>
      </c>
      <c r="B4498" s="156" t="inlineStr">
        <is>
          <t>DS</t>
        </is>
      </c>
      <c r="C4498" s="156" t="inlineStr">
        <is>
          <t>DT-515</t>
        </is>
      </c>
      <c r="D4498" s="156" t="inlineStr">
        <is>
          <t>SKT 105S</t>
        </is>
      </c>
      <c r="E4498" s="156" t="inlineStr">
        <is>
          <t>Hauler</t>
        </is>
      </c>
      <c r="F4498" s="156" t="inlineStr">
        <is>
          <t>Hauling OB</t>
        </is>
      </c>
      <c r="G4498" s="182" t="n">
        <v>6.22</v>
      </c>
      <c r="H4498" s="182" t="n">
        <v>0</v>
      </c>
      <c r="I4498" s="182" t="n">
        <v>0</v>
      </c>
      <c r="J4498" s="182" t="n">
        <v>0</v>
      </c>
      <c r="K4498" s="182" t="n">
        <v>5.78</v>
      </c>
      <c r="L4498" s="182" t="n">
        <v>12</v>
      </c>
      <c r="M4498" s="182" t="n">
        <v>5.73</v>
      </c>
      <c r="N4498" s="182" t="n">
        <v>0</v>
      </c>
      <c r="O4498" s="183" t="n">
        <v>22</v>
      </c>
      <c r="P4498" s="183" t="n">
        <v>0</v>
      </c>
      <c r="Q4498" s="184" t="n">
        <v>448.8</v>
      </c>
      <c r="R4498" s="184" t="n">
        <v>0</v>
      </c>
      <c r="S4498" s="183" t="n">
        <v>0</v>
      </c>
      <c r="T4498" s="183" t="n">
        <v>0</v>
      </c>
      <c r="U4498" s="182" t="n">
        <v>1.98</v>
      </c>
      <c r="V4498" s="182" t="n">
        <v>2.03</v>
      </c>
      <c r="W4498" s="182" t="n">
        <v>0</v>
      </c>
      <c r="X4498" s="182" t="n">
        <v>1.01</v>
      </c>
      <c r="Y4498" s="182" t="n">
        <v>0</v>
      </c>
      <c r="Z4498" s="182" t="n">
        <v>0</v>
      </c>
      <c r="AA4498" s="182" t="n">
        <v>0</v>
      </c>
      <c r="AB4498" s="182" t="n">
        <v>0</v>
      </c>
      <c r="AC4498" s="182" t="n">
        <v>0.37</v>
      </c>
      <c r="AD4498" s="182" t="n">
        <v>0</v>
      </c>
      <c r="AE4498" s="182" t="n">
        <v>0</v>
      </c>
      <c r="AF4498" s="182" t="n">
        <v>0</v>
      </c>
      <c r="AG4498" s="182" t="n">
        <v>0</v>
      </c>
      <c r="AH4498" s="182" t="n">
        <v>0.3</v>
      </c>
      <c r="AI4498" s="182" t="n">
        <v>0</v>
      </c>
      <c r="AJ4498" s="182" t="n">
        <v>0</v>
      </c>
      <c r="AK4498" s="182" t="n">
        <v>0</v>
      </c>
      <c r="AL4498" s="182" t="n">
        <v>0</v>
      </c>
      <c r="AM4498" s="182" t="n">
        <v>0.08</v>
      </c>
      <c r="AN4498" s="182" t="n">
        <v>0</v>
      </c>
    </row>
    <row r="4499">
      <c r="A4499" s="155" t="n">
        <v>46102</v>
      </c>
      <c r="B4499" s="156" t="inlineStr">
        <is>
          <t>DS</t>
        </is>
      </c>
      <c r="C4499" s="156" t="inlineStr">
        <is>
          <t>DT-524</t>
        </is>
      </c>
      <c r="D4499" s="156" t="inlineStr">
        <is>
          <t>SKT 105S</t>
        </is>
      </c>
      <c r="E4499" s="156" t="inlineStr">
        <is>
          <t>Hauler</t>
        </is>
      </c>
      <c r="F4499" s="156" t="inlineStr"/>
      <c r="G4499" s="182" t="n">
        <v>0</v>
      </c>
      <c r="H4499" s="182" t="n">
        <v>0</v>
      </c>
      <c r="I4499" s="182" t="n">
        <v>12</v>
      </c>
      <c r="J4499" s="182" t="n">
        <v>12</v>
      </c>
      <c r="K4499" s="182" t="n">
        <v>0</v>
      </c>
      <c r="L4499" s="182" t="n">
        <v>12</v>
      </c>
      <c r="M4499" s="182" t="n">
        <v>0</v>
      </c>
      <c r="N4499" s="182" t="n">
        <v>0</v>
      </c>
      <c r="O4499" s="183" t="n">
        <v>0</v>
      </c>
      <c r="P4499" s="183" t="n">
        <v>0</v>
      </c>
      <c r="Q4499" s="184" t="n">
        <v>0</v>
      </c>
      <c r="R4499" s="184" t="n">
        <v>0</v>
      </c>
      <c r="S4499" s="183" t="n">
        <v>0</v>
      </c>
      <c r="T4499" s="183" t="n">
        <v>0</v>
      </c>
      <c r="U4499" s="182" t="n">
        <v>0</v>
      </c>
      <c r="V4499" s="182" t="n">
        <v>0</v>
      </c>
      <c r="W4499" s="182" t="n">
        <v>0</v>
      </c>
      <c r="X4499" s="182" t="n">
        <v>0</v>
      </c>
      <c r="Y4499" s="182" t="n">
        <v>0</v>
      </c>
      <c r="Z4499" s="182" t="n">
        <v>0</v>
      </c>
      <c r="AA4499" s="182" t="n">
        <v>0</v>
      </c>
      <c r="AB4499" s="182" t="n">
        <v>0</v>
      </c>
      <c r="AC4499" s="182" t="n">
        <v>0</v>
      </c>
      <c r="AD4499" s="182" t="n">
        <v>0</v>
      </c>
      <c r="AE4499" s="182" t="n">
        <v>0</v>
      </c>
      <c r="AF4499" s="182" t="n">
        <v>0</v>
      </c>
      <c r="AG4499" s="182" t="n">
        <v>0</v>
      </c>
      <c r="AH4499" s="182" t="n">
        <v>0</v>
      </c>
      <c r="AI4499" s="182" t="n">
        <v>0</v>
      </c>
      <c r="AJ4499" s="182" t="n">
        <v>0</v>
      </c>
      <c r="AK4499" s="182" t="n">
        <v>0</v>
      </c>
      <c r="AL4499" s="182" t="n">
        <v>0</v>
      </c>
      <c r="AM4499" s="182" t="n">
        <v>0</v>
      </c>
      <c r="AN4499" s="182" t="n">
        <v>0</v>
      </c>
    </row>
    <row r="4500">
      <c r="A4500" s="155" t="n">
        <v>46102</v>
      </c>
      <c r="B4500" s="156" t="inlineStr">
        <is>
          <t>DS</t>
        </is>
      </c>
      <c r="C4500" s="156" t="inlineStr">
        <is>
          <t>DT-341</t>
        </is>
      </c>
      <c r="D4500" s="156" t="inlineStr">
        <is>
          <t>SYZ324C-8W</t>
        </is>
      </c>
      <c r="E4500" s="156" t="inlineStr">
        <is>
          <t>Hauler</t>
        </is>
      </c>
      <c r="F4500" s="156" t="inlineStr"/>
      <c r="G4500" s="182" t="n">
        <v>0</v>
      </c>
      <c r="H4500" s="182" t="n">
        <v>0</v>
      </c>
      <c r="I4500" s="182" t="n">
        <v>0</v>
      </c>
      <c r="J4500" s="182" t="n">
        <v>0</v>
      </c>
      <c r="K4500" s="182" t="n">
        <v>12</v>
      </c>
      <c r="L4500" s="182" t="n">
        <v>12</v>
      </c>
      <c r="M4500" s="182" t="n">
        <v>0</v>
      </c>
      <c r="N4500" s="182" t="n">
        <v>0</v>
      </c>
      <c r="O4500" s="183" t="n">
        <v>0</v>
      </c>
      <c r="P4500" s="183" t="n">
        <v>0</v>
      </c>
      <c r="Q4500" s="184" t="n">
        <v>0</v>
      </c>
      <c r="R4500" s="184" t="n">
        <v>0</v>
      </c>
      <c r="S4500" s="183" t="n">
        <v>0</v>
      </c>
      <c r="T4500" s="183" t="n">
        <v>0</v>
      </c>
      <c r="U4500" s="182" t="n">
        <v>0</v>
      </c>
      <c r="V4500" s="182" t="n">
        <v>0</v>
      </c>
      <c r="W4500" s="182" t="n">
        <v>0</v>
      </c>
      <c r="X4500" s="182" t="n">
        <v>1</v>
      </c>
      <c r="Y4500" s="182" t="n">
        <v>0</v>
      </c>
      <c r="Z4500" s="182" t="n">
        <v>0</v>
      </c>
      <c r="AA4500" s="182" t="n">
        <v>0</v>
      </c>
      <c r="AB4500" s="182" t="n">
        <v>0</v>
      </c>
      <c r="AC4500" s="182" t="n">
        <v>0</v>
      </c>
      <c r="AD4500" s="182" t="n">
        <v>0</v>
      </c>
      <c r="AE4500" s="182" t="n">
        <v>0</v>
      </c>
      <c r="AF4500" s="182" t="n">
        <v>0</v>
      </c>
      <c r="AG4500" s="182" t="n">
        <v>0</v>
      </c>
      <c r="AH4500" s="182" t="n">
        <v>0</v>
      </c>
      <c r="AI4500" s="182" t="n">
        <v>0</v>
      </c>
      <c r="AJ4500" s="182" t="n">
        <v>0</v>
      </c>
      <c r="AK4500" s="182" t="n">
        <v>10.92</v>
      </c>
      <c r="AL4500" s="182" t="n">
        <v>0</v>
      </c>
      <c r="AM4500" s="182" t="n">
        <v>0.08</v>
      </c>
      <c r="AN4500" s="182" t="n">
        <v>0</v>
      </c>
    </row>
    <row r="4501">
      <c r="A4501" s="155" t="n">
        <v>46102</v>
      </c>
      <c r="B4501" s="156" t="inlineStr">
        <is>
          <t>DS</t>
        </is>
      </c>
      <c r="C4501" s="156" t="inlineStr">
        <is>
          <t>DT-342</t>
        </is>
      </c>
      <c r="D4501" s="156" t="inlineStr">
        <is>
          <t>SYZ324C-8W</t>
        </is>
      </c>
      <c r="E4501" s="156" t="inlineStr">
        <is>
          <t>Hauler</t>
        </is>
      </c>
      <c r="F4501" s="156" t="inlineStr"/>
      <c r="G4501" s="182" t="n">
        <v>0</v>
      </c>
      <c r="H4501" s="182" t="n">
        <v>0</v>
      </c>
      <c r="I4501" s="182" t="n">
        <v>0</v>
      </c>
      <c r="J4501" s="182" t="n">
        <v>0</v>
      </c>
      <c r="K4501" s="182" t="n">
        <v>12</v>
      </c>
      <c r="L4501" s="182" t="n">
        <v>12</v>
      </c>
      <c r="M4501" s="182" t="n">
        <v>0</v>
      </c>
      <c r="N4501" s="182" t="n">
        <v>0</v>
      </c>
      <c r="O4501" s="183" t="n">
        <v>0</v>
      </c>
      <c r="P4501" s="183" t="n">
        <v>0</v>
      </c>
      <c r="Q4501" s="184" t="n">
        <v>0</v>
      </c>
      <c r="R4501" s="184" t="n">
        <v>0</v>
      </c>
      <c r="S4501" s="183" t="n">
        <v>0</v>
      </c>
      <c r="T4501" s="183" t="n">
        <v>0</v>
      </c>
      <c r="U4501" s="182" t="n">
        <v>0</v>
      </c>
      <c r="V4501" s="182" t="n">
        <v>0</v>
      </c>
      <c r="W4501" s="182" t="n">
        <v>0</v>
      </c>
      <c r="X4501" s="182" t="n">
        <v>1</v>
      </c>
      <c r="Y4501" s="182" t="n">
        <v>0</v>
      </c>
      <c r="Z4501" s="182" t="n">
        <v>0</v>
      </c>
      <c r="AA4501" s="182" t="n">
        <v>0</v>
      </c>
      <c r="AB4501" s="182" t="n">
        <v>0</v>
      </c>
      <c r="AC4501" s="182" t="n">
        <v>0</v>
      </c>
      <c r="AD4501" s="182" t="n">
        <v>0</v>
      </c>
      <c r="AE4501" s="182" t="n">
        <v>0</v>
      </c>
      <c r="AF4501" s="182" t="n">
        <v>0</v>
      </c>
      <c r="AG4501" s="182" t="n">
        <v>0</v>
      </c>
      <c r="AH4501" s="182" t="n">
        <v>0</v>
      </c>
      <c r="AI4501" s="182" t="n">
        <v>0</v>
      </c>
      <c r="AJ4501" s="182" t="n">
        <v>0</v>
      </c>
      <c r="AK4501" s="182" t="n">
        <v>10.92</v>
      </c>
      <c r="AL4501" s="182" t="n">
        <v>0</v>
      </c>
      <c r="AM4501" s="182" t="n">
        <v>0.08</v>
      </c>
      <c r="AN4501" s="182" t="n">
        <v>0</v>
      </c>
    </row>
    <row r="4502">
      <c r="A4502" s="155" t="n">
        <v>46102</v>
      </c>
      <c r="B4502" s="156" t="inlineStr">
        <is>
          <t>DS</t>
        </is>
      </c>
      <c r="C4502" s="156" t="inlineStr">
        <is>
          <t>HD-903</t>
        </is>
      </c>
      <c r="D4502" s="156" t="inlineStr">
        <is>
          <t>SRT 95C</t>
        </is>
      </c>
      <c r="E4502" s="156" t="inlineStr">
        <is>
          <t>Hauler</t>
        </is>
      </c>
      <c r="F4502" s="156" t="inlineStr"/>
      <c r="G4502" s="182" t="n">
        <v>0</v>
      </c>
      <c r="H4502" s="182" t="n">
        <v>0</v>
      </c>
      <c r="I4502" s="182" t="n">
        <v>0.17</v>
      </c>
      <c r="J4502" s="182" t="n">
        <v>0.17</v>
      </c>
      <c r="K4502" s="182" t="n">
        <v>11.83</v>
      </c>
      <c r="L4502" s="182" t="n">
        <v>12</v>
      </c>
      <c r="M4502" s="182" t="n">
        <v>0</v>
      </c>
      <c r="N4502" s="182" t="n">
        <v>0</v>
      </c>
      <c r="O4502" s="183" t="n">
        <v>0</v>
      </c>
      <c r="P4502" s="183" t="n">
        <v>0</v>
      </c>
      <c r="Q4502" s="184" t="n">
        <v>0</v>
      </c>
      <c r="R4502" s="184" t="n">
        <v>0</v>
      </c>
      <c r="S4502" s="183" t="n">
        <v>0</v>
      </c>
      <c r="T4502" s="183" t="n">
        <v>0</v>
      </c>
      <c r="U4502" s="182" t="n">
        <v>1.95</v>
      </c>
      <c r="V4502" s="182" t="n">
        <v>0</v>
      </c>
      <c r="W4502" s="182" t="n">
        <v>0</v>
      </c>
      <c r="X4502" s="182" t="n">
        <v>1</v>
      </c>
      <c r="Y4502" s="182" t="n">
        <v>0</v>
      </c>
      <c r="Z4502" s="182" t="n">
        <v>0</v>
      </c>
      <c r="AA4502" s="182" t="n">
        <v>0</v>
      </c>
      <c r="AB4502" s="182" t="n">
        <v>0</v>
      </c>
      <c r="AC4502" s="182" t="n">
        <v>0</v>
      </c>
      <c r="AD4502" s="182" t="n">
        <v>0</v>
      </c>
      <c r="AE4502" s="182" t="n">
        <v>0</v>
      </c>
      <c r="AF4502" s="182" t="n">
        <v>0</v>
      </c>
      <c r="AG4502" s="182" t="n">
        <v>0</v>
      </c>
      <c r="AH4502" s="182" t="n">
        <v>0</v>
      </c>
      <c r="AI4502" s="182" t="n">
        <v>8.800000000000001</v>
      </c>
      <c r="AJ4502" s="182" t="n">
        <v>0</v>
      </c>
      <c r="AK4502" s="182" t="n">
        <v>0</v>
      </c>
      <c r="AL4502" s="182" t="n">
        <v>0</v>
      </c>
      <c r="AM4502" s="182" t="n">
        <v>0.08</v>
      </c>
      <c r="AN4502" s="182" t="n">
        <v>0</v>
      </c>
    </row>
    <row r="4503">
      <c r="A4503" s="155" t="n">
        <v>46102</v>
      </c>
      <c r="B4503" s="156" t="inlineStr">
        <is>
          <t>DS</t>
        </is>
      </c>
      <c r="C4503" s="156" t="inlineStr">
        <is>
          <t>HD-905</t>
        </is>
      </c>
      <c r="D4503" s="156" t="inlineStr">
        <is>
          <t>SRT 95C</t>
        </is>
      </c>
      <c r="E4503" s="156" t="inlineStr">
        <is>
          <t>Hauler</t>
        </is>
      </c>
      <c r="F4503" s="156" t="inlineStr"/>
      <c r="G4503" s="182" t="n">
        <v>0</v>
      </c>
      <c r="H4503" s="182" t="n">
        <v>0</v>
      </c>
      <c r="I4503" s="182" t="n">
        <v>12</v>
      </c>
      <c r="J4503" s="182" t="n">
        <v>12</v>
      </c>
      <c r="K4503" s="182" t="n">
        <v>0</v>
      </c>
      <c r="L4503" s="182" t="n">
        <v>12</v>
      </c>
      <c r="M4503" s="182" t="n">
        <v>0</v>
      </c>
      <c r="N4503" s="182" t="n">
        <v>0</v>
      </c>
      <c r="O4503" s="183" t="n">
        <v>0</v>
      </c>
      <c r="P4503" s="183" t="n">
        <v>0</v>
      </c>
      <c r="Q4503" s="184" t="n">
        <v>0</v>
      </c>
      <c r="R4503" s="184" t="n">
        <v>0</v>
      </c>
      <c r="S4503" s="183" t="n">
        <v>0</v>
      </c>
      <c r="T4503" s="183" t="n">
        <v>0</v>
      </c>
      <c r="U4503" s="182" t="n">
        <v>0</v>
      </c>
      <c r="V4503" s="182" t="n">
        <v>0</v>
      </c>
      <c r="W4503" s="182" t="n">
        <v>0</v>
      </c>
      <c r="X4503" s="182" t="n">
        <v>0</v>
      </c>
      <c r="Y4503" s="182" t="n">
        <v>0</v>
      </c>
      <c r="Z4503" s="182" t="n">
        <v>0</v>
      </c>
      <c r="AA4503" s="182" t="n">
        <v>0</v>
      </c>
      <c r="AB4503" s="182" t="n">
        <v>0</v>
      </c>
      <c r="AC4503" s="182" t="n">
        <v>0</v>
      </c>
      <c r="AD4503" s="182" t="n">
        <v>0</v>
      </c>
      <c r="AE4503" s="182" t="n">
        <v>0</v>
      </c>
      <c r="AF4503" s="182" t="n">
        <v>0</v>
      </c>
      <c r="AG4503" s="182" t="n">
        <v>0</v>
      </c>
      <c r="AH4503" s="182" t="n">
        <v>0</v>
      </c>
      <c r="AI4503" s="182" t="n">
        <v>0</v>
      </c>
      <c r="AJ4503" s="182" t="n">
        <v>0</v>
      </c>
      <c r="AK4503" s="182" t="n">
        <v>0</v>
      </c>
      <c r="AL4503" s="182" t="n">
        <v>0</v>
      </c>
      <c r="AM4503" s="182" t="n">
        <v>0</v>
      </c>
      <c r="AN4503" s="182" t="n">
        <v>0</v>
      </c>
    </row>
    <row r="4504">
      <c r="A4504" s="155" t="n">
        <v>46102</v>
      </c>
      <c r="B4504" s="156" t="inlineStr">
        <is>
          <t>DS</t>
        </is>
      </c>
      <c r="C4504" s="156" t="inlineStr">
        <is>
          <t>HD-901</t>
        </is>
      </c>
      <c r="D4504" s="156" t="inlineStr">
        <is>
          <t>SRT 95C</t>
        </is>
      </c>
      <c r="E4504" s="156" t="inlineStr">
        <is>
          <t>Hauler</t>
        </is>
      </c>
      <c r="F4504" s="156" t="inlineStr"/>
      <c r="G4504" s="182" t="n">
        <v>0</v>
      </c>
      <c r="H4504" s="182" t="n">
        <v>0</v>
      </c>
      <c r="I4504" s="182" t="n">
        <v>0.17</v>
      </c>
      <c r="J4504" s="182" t="n">
        <v>0.17</v>
      </c>
      <c r="K4504" s="182" t="n">
        <v>11.83</v>
      </c>
      <c r="L4504" s="182" t="n">
        <v>12</v>
      </c>
      <c r="M4504" s="182" t="n">
        <v>0</v>
      </c>
      <c r="N4504" s="182" t="n">
        <v>0</v>
      </c>
      <c r="O4504" s="183" t="n">
        <v>0</v>
      </c>
      <c r="P4504" s="183" t="n">
        <v>0</v>
      </c>
      <c r="Q4504" s="184" t="n">
        <v>0</v>
      </c>
      <c r="R4504" s="184" t="n">
        <v>0</v>
      </c>
      <c r="S4504" s="183" t="n">
        <v>0</v>
      </c>
      <c r="T4504" s="183" t="n">
        <v>0</v>
      </c>
      <c r="U4504" s="182" t="n">
        <v>1.95</v>
      </c>
      <c r="V4504" s="182" t="n">
        <v>0</v>
      </c>
      <c r="W4504" s="182" t="n">
        <v>0</v>
      </c>
      <c r="X4504" s="182" t="n">
        <v>1</v>
      </c>
      <c r="Y4504" s="182" t="n">
        <v>0</v>
      </c>
      <c r="Z4504" s="182" t="n">
        <v>0</v>
      </c>
      <c r="AA4504" s="182" t="n">
        <v>0</v>
      </c>
      <c r="AB4504" s="182" t="n">
        <v>0</v>
      </c>
      <c r="AC4504" s="182" t="n">
        <v>0</v>
      </c>
      <c r="AD4504" s="182" t="n">
        <v>0</v>
      </c>
      <c r="AE4504" s="182" t="n">
        <v>0</v>
      </c>
      <c r="AF4504" s="182" t="n">
        <v>0</v>
      </c>
      <c r="AG4504" s="182" t="n">
        <v>0</v>
      </c>
      <c r="AH4504" s="182" t="n">
        <v>0</v>
      </c>
      <c r="AI4504" s="182" t="n">
        <v>8.800000000000001</v>
      </c>
      <c r="AJ4504" s="182" t="n">
        <v>0</v>
      </c>
      <c r="AK4504" s="182" t="n">
        <v>0</v>
      </c>
      <c r="AL4504" s="182" t="n">
        <v>0</v>
      </c>
      <c r="AM4504" s="182" t="n">
        <v>0.08</v>
      </c>
      <c r="AN4504" s="182" t="n">
        <v>0</v>
      </c>
    </row>
    <row r="4505">
      <c r="A4505" s="155" t="n">
        <v>46102</v>
      </c>
      <c r="B4505" s="156" t="inlineStr">
        <is>
          <t>DS</t>
        </is>
      </c>
      <c r="C4505" s="156" t="inlineStr">
        <is>
          <t>HD-904</t>
        </is>
      </c>
      <c r="D4505" s="156" t="inlineStr">
        <is>
          <t>SRT 95C</t>
        </is>
      </c>
      <c r="E4505" s="156" t="inlineStr">
        <is>
          <t>Hauler</t>
        </is>
      </c>
      <c r="F4505" s="156" t="inlineStr"/>
      <c r="G4505" s="182" t="n">
        <v>0</v>
      </c>
      <c r="H4505" s="182" t="n">
        <v>0</v>
      </c>
      <c r="I4505" s="182" t="n">
        <v>12</v>
      </c>
      <c r="J4505" s="182" t="n">
        <v>12</v>
      </c>
      <c r="K4505" s="182" t="n">
        <v>0</v>
      </c>
      <c r="L4505" s="182" t="n">
        <v>12</v>
      </c>
      <c r="M4505" s="182" t="n">
        <v>0</v>
      </c>
      <c r="N4505" s="182" t="n">
        <v>0</v>
      </c>
      <c r="O4505" s="183" t="n">
        <v>0</v>
      </c>
      <c r="P4505" s="183" t="n">
        <v>0</v>
      </c>
      <c r="Q4505" s="184" t="n">
        <v>0</v>
      </c>
      <c r="R4505" s="184" t="n">
        <v>0</v>
      </c>
      <c r="S4505" s="183" t="n">
        <v>0</v>
      </c>
      <c r="T4505" s="183" t="n">
        <v>0</v>
      </c>
      <c r="U4505" s="182" t="n">
        <v>0</v>
      </c>
      <c r="V4505" s="182" t="n">
        <v>0</v>
      </c>
      <c r="W4505" s="182" t="n">
        <v>0</v>
      </c>
      <c r="X4505" s="182" t="n">
        <v>0</v>
      </c>
      <c r="Y4505" s="182" t="n">
        <v>0</v>
      </c>
      <c r="Z4505" s="182" t="n">
        <v>0</v>
      </c>
      <c r="AA4505" s="182" t="n">
        <v>0</v>
      </c>
      <c r="AB4505" s="182" t="n">
        <v>0</v>
      </c>
      <c r="AC4505" s="182" t="n">
        <v>0</v>
      </c>
      <c r="AD4505" s="182" t="n">
        <v>0</v>
      </c>
      <c r="AE4505" s="182" t="n">
        <v>0</v>
      </c>
      <c r="AF4505" s="182" t="n">
        <v>0</v>
      </c>
      <c r="AG4505" s="182" t="n">
        <v>0</v>
      </c>
      <c r="AH4505" s="182" t="n">
        <v>0</v>
      </c>
      <c r="AI4505" s="182" t="n">
        <v>0</v>
      </c>
      <c r="AJ4505" s="182" t="n">
        <v>0</v>
      </c>
      <c r="AK4505" s="182" t="n">
        <v>0</v>
      </c>
      <c r="AL4505" s="182" t="n">
        <v>0</v>
      </c>
      <c r="AM4505" s="182" t="n">
        <v>0</v>
      </c>
      <c r="AN4505" s="182" t="n">
        <v>0</v>
      </c>
    </row>
    <row r="4506">
      <c r="A4506" s="155" t="n">
        <v>46102</v>
      </c>
      <c r="B4506" s="156" t="inlineStr">
        <is>
          <t>DS</t>
        </is>
      </c>
      <c r="C4506" s="156" t="inlineStr">
        <is>
          <t>HD-902</t>
        </is>
      </c>
      <c r="D4506" s="156" t="inlineStr">
        <is>
          <t>SRT 95C</t>
        </is>
      </c>
      <c r="E4506" s="156" t="inlineStr">
        <is>
          <t>Hauler</t>
        </is>
      </c>
      <c r="F4506" s="156" t="inlineStr"/>
      <c r="G4506" s="182" t="n">
        <v>0</v>
      </c>
      <c r="H4506" s="182" t="n">
        <v>0</v>
      </c>
      <c r="I4506" s="182" t="n">
        <v>0</v>
      </c>
      <c r="J4506" s="182" t="n">
        <v>0</v>
      </c>
      <c r="K4506" s="182" t="n">
        <v>12</v>
      </c>
      <c r="L4506" s="182" t="n">
        <v>12</v>
      </c>
      <c r="M4506" s="182" t="n">
        <v>0</v>
      </c>
      <c r="N4506" s="182" t="n">
        <v>0</v>
      </c>
      <c r="O4506" s="183" t="n">
        <v>0</v>
      </c>
      <c r="P4506" s="183" t="n">
        <v>0</v>
      </c>
      <c r="Q4506" s="184" t="n">
        <v>0</v>
      </c>
      <c r="R4506" s="184" t="n">
        <v>0</v>
      </c>
      <c r="S4506" s="183" t="n">
        <v>0</v>
      </c>
      <c r="T4506" s="183" t="n">
        <v>0</v>
      </c>
      <c r="U4506" s="182" t="n">
        <v>1.95</v>
      </c>
      <c r="V4506" s="182" t="n">
        <v>0</v>
      </c>
      <c r="W4506" s="182" t="n">
        <v>0</v>
      </c>
      <c r="X4506" s="182" t="n">
        <v>1</v>
      </c>
      <c r="Y4506" s="182" t="n">
        <v>0</v>
      </c>
      <c r="Z4506" s="182" t="n">
        <v>0</v>
      </c>
      <c r="AA4506" s="182" t="n">
        <v>0</v>
      </c>
      <c r="AB4506" s="182" t="n">
        <v>0</v>
      </c>
      <c r="AC4506" s="182" t="n">
        <v>0</v>
      </c>
      <c r="AD4506" s="182" t="n">
        <v>0</v>
      </c>
      <c r="AE4506" s="182" t="n">
        <v>0</v>
      </c>
      <c r="AF4506" s="182" t="n">
        <v>0</v>
      </c>
      <c r="AG4506" s="182" t="n">
        <v>0</v>
      </c>
      <c r="AH4506" s="182" t="n">
        <v>0</v>
      </c>
      <c r="AI4506" s="182" t="n">
        <v>8.970000000000001</v>
      </c>
      <c r="AJ4506" s="182" t="n">
        <v>0</v>
      </c>
      <c r="AK4506" s="182" t="n">
        <v>0</v>
      </c>
      <c r="AL4506" s="182" t="n">
        <v>0</v>
      </c>
      <c r="AM4506" s="182" t="n">
        <v>0.08</v>
      </c>
      <c r="AN4506" s="182" t="n">
        <v>0</v>
      </c>
    </row>
    <row r="4507">
      <c r="A4507" s="155" t="n">
        <v>46102</v>
      </c>
      <c r="B4507" s="156" t="inlineStr">
        <is>
          <t>DS</t>
        </is>
      </c>
      <c r="C4507" s="156" t="inlineStr">
        <is>
          <t>WL-025</t>
        </is>
      </c>
      <c r="D4507" s="156" t="inlineStr">
        <is>
          <t>SANY - Loader</t>
        </is>
      </c>
      <c r="E4507" s="156" t="inlineStr">
        <is>
          <t>Loader</t>
        </is>
      </c>
      <c r="F4507" s="156" t="inlineStr">
        <is>
          <t>Trimming Coal ke Jetty</t>
        </is>
      </c>
      <c r="G4507" s="182" t="n">
        <v>2.68</v>
      </c>
      <c r="H4507" s="182" t="n">
        <v>0</v>
      </c>
      <c r="I4507" s="182" t="n">
        <v>0</v>
      </c>
      <c r="J4507" s="182" t="n">
        <v>0</v>
      </c>
      <c r="K4507" s="182" t="n">
        <v>9.32</v>
      </c>
      <c r="L4507" s="182" t="n">
        <v>12</v>
      </c>
      <c r="M4507" s="182" t="n">
        <v>0</v>
      </c>
      <c r="N4507" s="182" t="n">
        <v>0</v>
      </c>
      <c r="O4507" s="183" t="n">
        <v>0</v>
      </c>
      <c r="P4507" s="183" t="n">
        <v>0</v>
      </c>
      <c r="Q4507" s="184" t="n">
        <v>0</v>
      </c>
      <c r="R4507" s="184" t="n">
        <v>0</v>
      </c>
      <c r="S4507" s="183" t="n">
        <v>0</v>
      </c>
      <c r="T4507" s="183" t="n">
        <v>0</v>
      </c>
      <c r="U4507" s="182" t="n">
        <v>0</v>
      </c>
      <c r="V4507" s="182" t="n">
        <v>0</v>
      </c>
      <c r="W4507" s="182" t="n">
        <v>0</v>
      </c>
      <c r="X4507" s="182" t="n">
        <v>1</v>
      </c>
      <c r="Y4507" s="182" t="n">
        <v>0</v>
      </c>
      <c r="Z4507" s="182" t="n">
        <v>0</v>
      </c>
      <c r="AA4507" s="182" t="n">
        <v>0</v>
      </c>
      <c r="AB4507" s="182" t="n">
        <v>0</v>
      </c>
      <c r="AC4507" s="182" t="n">
        <v>0</v>
      </c>
      <c r="AD4507" s="182" t="n">
        <v>0</v>
      </c>
      <c r="AE4507" s="182" t="n">
        <v>0</v>
      </c>
      <c r="AF4507" s="182" t="n">
        <v>0</v>
      </c>
      <c r="AG4507" s="182" t="n">
        <v>0</v>
      </c>
      <c r="AH4507" s="182" t="n">
        <v>0</v>
      </c>
      <c r="AI4507" s="182" t="n">
        <v>0</v>
      </c>
      <c r="AJ4507" s="182" t="n">
        <v>0</v>
      </c>
      <c r="AK4507" s="182" t="n">
        <v>8.24</v>
      </c>
      <c r="AL4507" s="182" t="n">
        <v>0</v>
      </c>
      <c r="AM4507" s="182" t="n">
        <v>0.08</v>
      </c>
      <c r="AN4507" s="182" t="n">
        <v>0</v>
      </c>
    </row>
    <row r="4508">
      <c r="A4508" s="155" t="n">
        <v>46102</v>
      </c>
      <c r="B4508" s="156" t="inlineStr">
        <is>
          <t>DS</t>
        </is>
      </c>
      <c r="C4508" s="156" t="inlineStr">
        <is>
          <t>WL-023</t>
        </is>
      </c>
      <c r="D4508" s="156" t="inlineStr">
        <is>
          <t>SANY - Loader</t>
        </is>
      </c>
      <c r="E4508" s="156" t="inlineStr">
        <is>
          <t>Loader</t>
        </is>
      </c>
      <c r="F4508" s="156" t="inlineStr"/>
      <c r="G4508" s="182" t="n">
        <v>0</v>
      </c>
      <c r="H4508" s="182" t="n">
        <v>0</v>
      </c>
      <c r="I4508" s="182" t="n">
        <v>0</v>
      </c>
      <c r="J4508" s="182" t="n">
        <v>0</v>
      </c>
      <c r="K4508" s="182" t="n">
        <v>12</v>
      </c>
      <c r="L4508" s="182" t="n">
        <v>12</v>
      </c>
      <c r="M4508" s="182" t="n">
        <v>0</v>
      </c>
      <c r="N4508" s="182" t="n">
        <v>0</v>
      </c>
      <c r="O4508" s="183" t="n">
        <v>0</v>
      </c>
      <c r="P4508" s="183" t="n">
        <v>0</v>
      </c>
      <c r="Q4508" s="184" t="n">
        <v>0</v>
      </c>
      <c r="R4508" s="184" t="n">
        <v>0</v>
      </c>
      <c r="S4508" s="183" t="n">
        <v>0</v>
      </c>
      <c r="T4508" s="183" t="n">
        <v>0</v>
      </c>
      <c r="U4508" s="182" t="n">
        <v>0</v>
      </c>
      <c r="V4508" s="182" t="n">
        <v>0</v>
      </c>
      <c r="W4508" s="182" t="n">
        <v>0</v>
      </c>
      <c r="X4508" s="182" t="n">
        <v>1</v>
      </c>
      <c r="Y4508" s="182" t="n">
        <v>0</v>
      </c>
      <c r="Z4508" s="182" t="n">
        <v>0</v>
      </c>
      <c r="AA4508" s="182" t="n">
        <v>0</v>
      </c>
      <c r="AB4508" s="182" t="n">
        <v>0</v>
      </c>
      <c r="AC4508" s="182" t="n">
        <v>0</v>
      </c>
      <c r="AD4508" s="182" t="n">
        <v>0</v>
      </c>
      <c r="AE4508" s="182" t="n">
        <v>0</v>
      </c>
      <c r="AF4508" s="182" t="n">
        <v>0</v>
      </c>
      <c r="AG4508" s="182" t="n">
        <v>0</v>
      </c>
      <c r="AH4508" s="182" t="n">
        <v>0</v>
      </c>
      <c r="AI4508" s="182" t="n">
        <v>0</v>
      </c>
      <c r="AJ4508" s="182" t="n">
        <v>0</v>
      </c>
      <c r="AK4508" s="182" t="n">
        <v>10.92</v>
      </c>
      <c r="AL4508" s="182" t="n">
        <v>0</v>
      </c>
      <c r="AM4508" s="182" t="n">
        <v>0.08</v>
      </c>
      <c r="AN4508" s="182" t="n">
        <v>0</v>
      </c>
    </row>
    <row r="4509">
      <c r="A4509" s="155" t="n">
        <v>46102</v>
      </c>
      <c r="B4509" s="156" t="inlineStr">
        <is>
          <t>DS</t>
        </is>
      </c>
      <c r="C4509" s="156" t="inlineStr">
        <is>
          <t>WL-021</t>
        </is>
      </c>
      <c r="D4509" s="156" t="inlineStr">
        <is>
          <t>SANY - Loader</t>
        </is>
      </c>
      <c r="E4509" s="156" t="inlineStr">
        <is>
          <t>Loader</t>
        </is>
      </c>
      <c r="F4509" s="156" t="inlineStr"/>
      <c r="G4509" s="182" t="n">
        <v>0</v>
      </c>
      <c r="H4509" s="182" t="n">
        <v>0</v>
      </c>
      <c r="I4509" s="182" t="n">
        <v>12</v>
      </c>
      <c r="J4509" s="182" t="n">
        <v>12</v>
      </c>
      <c r="K4509" s="182" t="n">
        <v>0</v>
      </c>
      <c r="L4509" s="182" t="n">
        <v>12</v>
      </c>
      <c r="M4509" s="182" t="n">
        <v>0</v>
      </c>
      <c r="N4509" s="182" t="n">
        <v>0</v>
      </c>
      <c r="O4509" s="183" t="n">
        <v>0</v>
      </c>
      <c r="P4509" s="183" t="n">
        <v>0</v>
      </c>
      <c r="Q4509" s="184" t="n">
        <v>0</v>
      </c>
      <c r="R4509" s="184" t="n">
        <v>0</v>
      </c>
      <c r="S4509" s="183" t="n">
        <v>0</v>
      </c>
      <c r="T4509" s="183" t="n">
        <v>0</v>
      </c>
      <c r="U4509" s="182" t="n">
        <v>0</v>
      </c>
      <c r="V4509" s="182" t="n">
        <v>0</v>
      </c>
      <c r="W4509" s="182" t="n">
        <v>0</v>
      </c>
      <c r="X4509" s="182" t="n">
        <v>0</v>
      </c>
      <c r="Y4509" s="182" t="n">
        <v>0</v>
      </c>
      <c r="Z4509" s="182" t="n">
        <v>0</v>
      </c>
      <c r="AA4509" s="182" t="n">
        <v>0</v>
      </c>
      <c r="AB4509" s="182" t="n">
        <v>0</v>
      </c>
      <c r="AC4509" s="182" t="n">
        <v>0</v>
      </c>
      <c r="AD4509" s="182" t="n">
        <v>0</v>
      </c>
      <c r="AE4509" s="182" t="n">
        <v>0</v>
      </c>
      <c r="AF4509" s="182" t="n">
        <v>0</v>
      </c>
      <c r="AG4509" s="182" t="n">
        <v>0</v>
      </c>
      <c r="AH4509" s="182" t="n">
        <v>0</v>
      </c>
      <c r="AI4509" s="182" t="n">
        <v>0</v>
      </c>
      <c r="AJ4509" s="182" t="n">
        <v>0</v>
      </c>
      <c r="AK4509" s="182" t="n">
        <v>0</v>
      </c>
      <c r="AL4509" s="182" t="n">
        <v>0</v>
      </c>
      <c r="AM4509" s="182" t="n">
        <v>0</v>
      </c>
      <c r="AN4509" s="182" t="n">
        <v>0</v>
      </c>
    </row>
    <row r="4510">
      <c r="A4510" s="155" t="n">
        <v>46102</v>
      </c>
      <c r="B4510" s="156" t="inlineStr">
        <is>
          <t>DS</t>
        </is>
      </c>
      <c r="C4510" s="156" t="inlineStr">
        <is>
          <t>WL-022</t>
        </is>
      </c>
      <c r="D4510" s="156" t="inlineStr">
        <is>
          <t>SANY - Loader</t>
        </is>
      </c>
      <c r="E4510" s="156" t="inlineStr">
        <is>
          <t>Loader</t>
        </is>
      </c>
      <c r="F4510" s="156" t="inlineStr">
        <is>
          <t>Timesheet Kosong</t>
        </is>
      </c>
      <c r="G4510" s="182" t="n">
        <v>9.16</v>
      </c>
      <c r="H4510" s="182" t="n">
        <v>0</v>
      </c>
      <c r="I4510" s="182" t="n">
        <v>0</v>
      </c>
      <c r="J4510" s="182" t="n">
        <v>0</v>
      </c>
      <c r="K4510" s="182" t="n">
        <v>2.84</v>
      </c>
      <c r="L4510" s="182" t="n">
        <v>12</v>
      </c>
      <c r="M4510" s="182" t="n">
        <v>0</v>
      </c>
      <c r="N4510" s="182" t="n">
        <v>0</v>
      </c>
      <c r="O4510" s="183" t="n">
        <v>0</v>
      </c>
      <c r="P4510" s="183" t="n">
        <v>0</v>
      </c>
      <c r="Q4510" s="184" t="n">
        <v>0</v>
      </c>
      <c r="R4510" s="184" t="n">
        <v>0</v>
      </c>
      <c r="S4510" s="183" t="n">
        <v>0</v>
      </c>
      <c r="T4510" s="183" t="n">
        <v>0</v>
      </c>
      <c r="U4510" s="182" t="n">
        <v>0</v>
      </c>
      <c r="V4510" s="182" t="n">
        <v>0</v>
      </c>
      <c r="W4510" s="182" t="n">
        <v>0</v>
      </c>
      <c r="X4510" s="182" t="n">
        <v>0.98</v>
      </c>
      <c r="Y4510" s="182" t="n">
        <v>0</v>
      </c>
      <c r="Z4510" s="182" t="n">
        <v>0</v>
      </c>
      <c r="AA4510" s="182" t="n">
        <v>0</v>
      </c>
      <c r="AB4510" s="182" t="n">
        <v>0</v>
      </c>
      <c r="AC4510" s="182" t="n">
        <v>0</v>
      </c>
      <c r="AD4510" s="182" t="n">
        <v>0</v>
      </c>
      <c r="AE4510" s="182" t="n">
        <v>0</v>
      </c>
      <c r="AF4510" s="182" t="n">
        <v>0</v>
      </c>
      <c r="AG4510" s="182" t="n">
        <v>0</v>
      </c>
      <c r="AH4510" s="182" t="n">
        <v>0</v>
      </c>
      <c r="AI4510" s="182" t="n">
        <v>0</v>
      </c>
      <c r="AJ4510" s="182" t="n">
        <v>0</v>
      </c>
      <c r="AK4510" s="182" t="n">
        <v>1.78</v>
      </c>
      <c r="AL4510" s="182" t="n">
        <v>0</v>
      </c>
      <c r="AM4510" s="182" t="n">
        <v>0.08</v>
      </c>
      <c r="AN4510" s="182" t="n">
        <v>0</v>
      </c>
    </row>
    <row r="4511">
      <c r="A4511" s="155" t="n">
        <v>46102</v>
      </c>
      <c r="B4511" s="156" t="inlineStr">
        <is>
          <t>DS</t>
        </is>
      </c>
      <c r="C4511" s="156" t="inlineStr">
        <is>
          <t>WL-024</t>
        </is>
      </c>
      <c r="D4511" s="156" t="inlineStr">
        <is>
          <t>SANY - Loader</t>
        </is>
      </c>
      <c r="E4511" s="156" t="inlineStr">
        <is>
          <t>Loader</t>
        </is>
      </c>
      <c r="F4511" s="156" t="inlineStr">
        <is>
          <t>Timesheet Kosong</t>
        </is>
      </c>
      <c r="G4511" s="182" t="n">
        <v>6.54</v>
      </c>
      <c r="H4511" s="182" t="n">
        <v>1.35</v>
      </c>
      <c r="I4511" s="182" t="n">
        <v>0</v>
      </c>
      <c r="J4511" s="182" t="n">
        <v>1.35</v>
      </c>
      <c r="K4511" s="182" t="n">
        <v>4.11</v>
      </c>
      <c r="L4511" s="182" t="n">
        <v>12</v>
      </c>
      <c r="M4511" s="182" t="n">
        <v>0</v>
      </c>
      <c r="N4511" s="182" t="n">
        <v>0</v>
      </c>
      <c r="O4511" s="183" t="n">
        <v>0</v>
      </c>
      <c r="P4511" s="183" t="n">
        <v>0</v>
      </c>
      <c r="Q4511" s="184" t="n">
        <v>0</v>
      </c>
      <c r="R4511" s="184" t="n">
        <v>0</v>
      </c>
      <c r="S4511" s="183" t="n">
        <v>0</v>
      </c>
      <c r="T4511" s="183" t="n">
        <v>0</v>
      </c>
      <c r="U4511" s="182" t="n">
        <v>0</v>
      </c>
      <c r="V4511" s="182" t="n">
        <v>0</v>
      </c>
      <c r="W4511" s="182" t="n">
        <v>0</v>
      </c>
      <c r="X4511" s="182" t="n">
        <v>1.01</v>
      </c>
      <c r="Y4511" s="182" t="n">
        <v>0</v>
      </c>
      <c r="Z4511" s="182" t="n">
        <v>0</v>
      </c>
      <c r="AA4511" s="182" t="n">
        <v>0</v>
      </c>
      <c r="AB4511" s="182" t="n">
        <v>0</v>
      </c>
      <c r="AC4511" s="182" t="n">
        <v>0</v>
      </c>
      <c r="AD4511" s="182" t="n">
        <v>0</v>
      </c>
      <c r="AE4511" s="182" t="n">
        <v>0</v>
      </c>
      <c r="AF4511" s="182" t="n">
        <v>0</v>
      </c>
      <c r="AG4511" s="182" t="n">
        <v>0</v>
      </c>
      <c r="AH4511" s="182" t="n">
        <v>0</v>
      </c>
      <c r="AI4511" s="182" t="n">
        <v>0</v>
      </c>
      <c r="AJ4511" s="182" t="n">
        <v>0</v>
      </c>
      <c r="AK4511" s="182" t="n">
        <v>3.01</v>
      </c>
      <c r="AL4511" s="182" t="n">
        <v>0</v>
      </c>
      <c r="AM4511" s="182" t="n">
        <v>0.08</v>
      </c>
      <c r="AN4511" s="182" t="n">
        <v>0</v>
      </c>
    </row>
    <row r="4512">
      <c r="A4512" s="155" t="n">
        <v>46102</v>
      </c>
      <c r="B4512" s="156" t="inlineStr">
        <is>
          <t>NS</t>
        </is>
      </c>
      <c r="C4512" s="156" t="inlineStr">
        <is>
          <t>DZ-034</t>
        </is>
      </c>
      <c r="D4512" s="156" t="inlineStr">
        <is>
          <t>D 68ESS-12EO</t>
        </is>
      </c>
      <c r="E4512" s="156" t="inlineStr">
        <is>
          <t>Bulldozer</t>
        </is>
      </c>
      <c r="F4512" s="156" t="inlineStr"/>
      <c r="G4512" s="182" t="n">
        <v>0</v>
      </c>
      <c r="H4512" s="182" t="n">
        <v>0</v>
      </c>
      <c r="I4512" s="182" t="n">
        <v>12</v>
      </c>
      <c r="J4512" s="182" t="n">
        <v>12</v>
      </c>
      <c r="K4512" s="182" t="n">
        <v>0</v>
      </c>
      <c r="L4512" s="182" t="n">
        <v>12</v>
      </c>
      <c r="M4512" s="182" t="n">
        <v>0</v>
      </c>
      <c r="N4512" s="182" t="n">
        <v>0</v>
      </c>
      <c r="O4512" s="183" t="n">
        <v>0</v>
      </c>
      <c r="P4512" s="183" t="n">
        <v>0</v>
      </c>
      <c r="Q4512" s="184" t="n">
        <v>0</v>
      </c>
      <c r="R4512" s="184" t="n">
        <v>0</v>
      </c>
      <c r="S4512" s="183" t="n">
        <v>0</v>
      </c>
      <c r="T4512" s="183" t="n">
        <v>0</v>
      </c>
      <c r="U4512" s="182" t="n">
        <v>0</v>
      </c>
      <c r="V4512" s="182" t="n">
        <v>0</v>
      </c>
      <c r="W4512" s="182" t="n">
        <v>0</v>
      </c>
      <c r="X4512" s="182" t="n">
        <v>0</v>
      </c>
      <c r="Y4512" s="182" t="n">
        <v>0</v>
      </c>
      <c r="Z4512" s="182" t="n">
        <v>0</v>
      </c>
      <c r="AA4512" s="182" t="n">
        <v>0</v>
      </c>
      <c r="AB4512" s="182" t="n">
        <v>0</v>
      </c>
      <c r="AC4512" s="182" t="n">
        <v>0</v>
      </c>
      <c r="AD4512" s="182" t="n">
        <v>0</v>
      </c>
      <c r="AE4512" s="182" t="n">
        <v>0</v>
      </c>
      <c r="AF4512" s="182" t="n">
        <v>0</v>
      </c>
      <c r="AG4512" s="182" t="n">
        <v>0</v>
      </c>
      <c r="AH4512" s="182" t="n">
        <v>0</v>
      </c>
      <c r="AI4512" s="182" t="n">
        <v>0</v>
      </c>
      <c r="AJ4512" s="182" t="n">
        <v>0</v>
      </c>
      <c r="AK4512" s="182" t="n">
        <v>0</v>
      </c>
      <c r="AL4512" s="182" t="n">
        <v>0</v>
      </c>
      <c r="AM4512" s="182" t="n">
        <v>0</v>
      </c>
      <c r="AN4512" s="182" t="n">
        <v>0</v>
      </c>
    </row>
    <row r="4513">
      <c r="A4513" s="155" t="n">
        <v>46102</v>
      </c>
      <c r="B4513" s="156" t="inlineStr">
        <is>
          <t>NS</t>
        </is>
      </c>
      <c r="C4513" s="156" t="inlineStr">
        <is>
          <t>DZ-033</t>
        </is>
      </c>
      <c r="D4513" s="156" t="inlineStr">
        <is>
          <t>D 375A-6R</t>
        </is>
      </c>
      <c r="E4513" s="156" t="inlineStr">
        <is>
          <t>Bulldozer</t>
        </is>
      </c>
      <c r="F4513" s="156" t="inlineStr"/>
      <c r="G4513" s="182" t="n">
        <v>0</v>
      </c>
      <c r="H4513" s="182" t="n">
        <v>0</v>
      </c>
      <c r="I4513" s="182" t="n">
        <v>12</v>
      </c>
      <c r="J4513" s="182" t="n">
        <v>12</v>
      </c>
      <c r="K4513" s="182" t="n">
        <v>0</v>
      </c>
      <c r="L4513" s="182" t="n">
        <v>12</v>
      </c>
      <c r="M4513" s="182" t="n">
        <v>0</v>
      </c>
      <c r="N4513" s="182" t="n">
        <v>0</v>
      </c>
      <c r="O4513" s="183" t="n">
        <v>0</v>
      </c>
      <c r="P4513" s="183" t="n">
        <v>0</v>
      </c>
      <c r="Q4513" s="184" t="n">
        <v>0</v>
      </c>
      <c r="R4513" s="184" t="n">
        <v>0</v>
      </c>
      <c r="S4513" s="183" t="n">
        <v>0</v>
      </c>
      <c r="T4513" s="183" t="n">
        <v>0</v>
      </c>
      <c r="U4513" s="182" t="n">
        <v>0</v>
      </c>
      <c r="V4513" s="182" t="n">
        <v>0</v>
      </c>
      <c r="W4513" s="182" t="n">
        <v>0</v>
      </c>
      <c r="X4513" s="182" t="n">
        <v>0</v>
      </c>
      <c r="Y4513" s="182" t="n">
        <v>0</v>
      </c>
      <c r="Z4513" s="182" t="n">
        <v>0</v>
      </c>
      <c r="AA4513" s="182" t="n">
        <v>0</v>
      </c>
      <c r="AB4513" s="182" t="n">
        <v>0</v>
      </c>
      <c r="AC4513" s="182" t="n">
        <v>0</v>
      </c>
      <c r="AD4513" s="182" t="n">
        <v>0</v>
      </c>
      <c r="AE4513" s="182" t="n">
        <v>0</v>
      </c>
      <c r="AF4513" s="182" t="n">
        <v>0</v>
      </c>
      <c r="AG4513" s="182" t="n">
        <v>0</v>
      </c>
      <c r="AH4513" s="182" t="n">
        <v>0</v>
      </c>
      <c r="AI4513" s="182" t="n">
        <v>0</v>
      </c>
      <c r="AJ4513" s="182" t="n">
        <v>0</v>
      </c>
      <c r="AK4513" s="182" t="n">
        <v>0</v>
      </c>
      <c r="AL4513" s="182" t="n">
        <v>0</v>
      </c>
      <c r="AM4513" s="182" t="n">
        <v>0</v>
      </c>
      <c r="AN4513" s="182" t="n">
        <v>0</v>
      </c>
    </row>
    <row r="4514">
      <c r="A4514" s="155" t="n">
        <v>46102</v>
      </c>
      <c r="B4514" s="156" t="inlineStr">
        <is>
          <t>NS</t>
        </is>
      </c>
      <c r="C4514" s="156" t="inlineStr">
        <is>
          <t>DZ-038</t>
        </is>
      </c>
      <c r="D4514" s="156" t="inlineStr">
        <is>
          <t>D 85 ESS-2</t>
        </is>
      </c>
      <c r="E4514" s="156" t="inlineStr">
        <is>
          <t>Bulldozer</t>
        </is>
      </c>
      <c r="F4514" s="156" t="inlineStr"/>
      <c r="G4514" s="182" t="n">
        <v>0</v>
      </c>
      <c r="H4514" s="182" t="n">
        <v>0</v>
      </c>
      <c r="I4514" s="182" t="n">
        <v>12</v>
      </c>
      <c r="J4514" s="182" t="n">
        <v>12</v>
      </c>
      <c r="K4514" s="182" t="n">
        <v>0</v>
      </c>
      <c r="L4514" s="182" t="n">
        <v>12</v>
      </c>
      <c r="M4514" s="182" t="n">
        <v>0</v>
      </c>
      <c r="N4514" s="182" t="n">
        <v>0</v>
      </c>
      <c r="O4514" s="183" t="n">
        <v>0</v>
      </c>
      <c r="P4514" s="183" t="n">
        <v>0</v>
      </c>
      <c r="Q4514" s="184" t="n">
        <v>0</v>
      </c>
      <c r="R4514" s="184" t="n">
        <v>0</v>
      </c>
      <c r="S4514" s="183" t="n">
        <v>0</v>
      </c>
      <c r="T4514" s="183" t="n">
        <v>0</v>
      </c>
      <c r="U4514" s="182" t="n">
        <v>0</v>
      </c>
      <c r="V4514" s="182" t="n">
        <v>0</v>
      </c>
      <c r="W4514" s="182" t="n">
        <v>0</v>
      </c>
      <c r="X4514" s="182" t="n">
        <v>0</v>
      </c>
      <c r="Y4514" s="182" t="n">
        <v>0</v>
      </c>
      <c r="Z4514" s="182" t="n">
        <v>0</v>
      </c>
      <c r="AA4514" s="182" t="n">
        <v>0</v>
      </c>
      <c r="AB4514" s="182" t="n">
        <v>0</v>
      </c>
      <c r="AC4514" s="182" t="n">
        <v>0</v>
      </c>
      <c r="AD4514" s="182" t="n">
        <v>0</v>
      </c>
      <c r="AE4514" s="182" t="n">
        <v>0</v>
      </c>
      <c r="AF4514" s="182" t="n">
        <v>0</v>
      </c>
      <c r="AG4514" s="182" t="n">
        <v>0</v>
      </c>
      <c r="AH4514" s="182" t="n">
        <v>0</v>
      </c>
      <c r="AI4514" s="182" t="n">
        <v>0</v>
      </c>
      <c r="AJ4514" s="182" t="n">
        <v>0</v>
      </c>
      <c r="AK4514" s="182" t="n">
        <v>0</v>
      </c>
      <c r="AL4514" s="182" t="n">
        <v>0</v>
      </c>
      <c r="AM4514" s="182" t="n">
        <v>0</v>
      </c>
      <c r="AN4514" s="182" t="n">
        <v>0</v>
      </c>
    </row>
    <row r="4515">
      <c r="A4515" s="155" t="n">
        <v>46102</v>
      </c>
      <c r="B4515" s="156" t="inlineStr">
        <is>
          <t>NS</t>
        </is>
      </c>
      <c r="C4515" s="156" t="inlineStr">
        <is>
          <t>DZ-039</t>
        </is>
      </c>
      <c r="D4515" s="156" t="inlineStr">
        <is>
          <t>D 85 ESS-2</t>
        </is>
      </c>
      <c r="E4515" s="156" t="inlineStr">
        <is>
          <t>Bulldozer</t>
        </is>
      </c>
      <c r="F4515" s="156" t="inlineStr">
        <is>
          <t>Support Disposal</t>
        </is>
      </c>
      <c r="G4515" s="182" t="n">
        <v>7.8</v>
      </c>
      <c r="H4515" s="182" t="n">
        <v>0</v>
      </c>
      <c r="I4515" s="182" t="n">
        <v>1.75</v>
      </c>
      <c r="J4515" s="182" t="n">
        <v>1.75</v>
      </c>
      <c r="K4515" s="182" t="n">
        <v>2.45</v>
      </c>
      <c r="L4515" s="182" t="n">
        <v>12</v>
      </c>
      <c r="M4515" s="182" t="n">
        <v>0</v>
      </c>
      <c r="N4515" s="182" t="n">
        <v>0</v>
      </c>
      <c r="O4515" s="183" t="n">
        <v>0</v>
      </c>
      <c r="P4515" s="183" t="n">
        <v>0</v>
      </c>
      <c r="Q4515" s="184" t="n">
        <v>0</v>
      </c>
      <c r="R4515" s="184" t="n">
        <v>0</v>
      </c>
      <c r="S4515" s="183" t="n">
        <v>0</v>
      </c>
      <c r="T4515" s="183" t="n">
        <v>0</v>
      </c>
      <c r="U4515" s="182" t="n">
        <v>1.25</v>
      </c>
      <c r="V4515" s="182" t="n">
        <v>0</v>
      </c>
      <c r="W4515" s="182" t="n">
        <v>0</v>
      </c>
      <c r="X4515" s="182" t="n">
        <v>0.83</v>
      </c>
      <c r="Y4515" s="182" t="n">
        <v>0</v>
      </c>
      <c r="Z4515" s="182" t="n">
        <v>0</v>
      </c>
      <c r="AA4515" s="182" t="n">
        <v>0</v>
      </c>
      <c r="AB4515" s="182" t="n">
        <v>0</v>
      </c>
      <c r="AC4515" s="182" t="n">
        <v>0</v>
      </c>
      <c r="AD4515" s="182" t="n">
        <v>0</v>
      </c>
      <c r="AE4515" s="182" t="n">
        <v>0</v>
      </c>
      <c r="AF4515" s="182" t="n">
        <v>0</v>
      </c>
      <c r="AG4515" s="182" t="n">
        <v>0</v>
      </c>
      <c r="AH4515" s="182" t="n">
        <v>0.31</v>
      </c>
      <c r="AI4515" s="182" t="n">
        <v>0</v>
      </c>
      <c r="AJ4515" s="182" t="n">
        <v>0</v>
      </c>
      <c r="AK4515" s="182" t="n">
        <v>0</v>
      </c>
      <c r="AL4515" s="182" t="n">
        <v>0</v>
      </c>
      <c r="AM4515" s="182" t="n">
        <v>0.07000000000000001</v>
      </c>
      <c r="AN4515" s="182" t="n">
        <v>0</v>
      </c>
    </row>
    <row r="4516">
      <c r="A4516" s="155" t="n">
        <v>46102</v>
      </c>
      <c r="B4516" s="156" t="inlineStr">
        <is>
          <t>NS</t>
        </is>
      </c>
      <c r="C4516" s="156" t="inlineStr">
        <is>
          <t>DZ-032</t>
        </is>
      </c>
      <c r="D4516" s="156" t="inlineStr">
        <is>
          <t>CAT</t>
        </is>
      </c>
      <c r="E4516" s="156" t="inlineStr">
        <is>
          <t>Bulldozer</t>
        </is>
      </c>
      <c r="F4516" s="156" t="inlineStr"/>
      <c r="G4516" s="182" t="n">
        <v>0</v>
      </c>
      <c r="H4516" s="182" t="n">
        <v>0</v>
      </c>
      <c r="I4516" s="182" t="n">
        <v>12</v>
      </c>
      <c r="J4516" s="182" t="n">
        <v>12</v>
      </c>
      <c r="K4516" s="182" t="n">
        <v>0</v>
      </c>
      <c r="L4516" s="182" t="n">
        <v>12</v>
      </c>
      <c r="M4516" s="182" t="n">
        <v>0</v>
      </c>
      <c r="N4516" s="182" t="n">
        <v>0</v>
      </c>
      <c r="O4516" s="183" t="n">
        <v>0</v>
      </c>
      <c r="P4516" s="183" t="n">
        <v>0</v>
      </c>
      <c r="Q4516" s="184" t="n">
        <v>0</v>
      </c>
      <c r="R4516" s="184" t="n">
        <v>0</v>
      </c>
      <c r="S4516" s="183" t="n">
        <v>0</v>
      </c>
      <c r="T4516" s="183" t="n">
        <v>0</v>
      </c>
      <c r="U4516" s="182" t="n">
        <v>0</v>
      </c>
      <c r="V4516" s="182" t="n">
        <v>0</v>
      </c>
      <c r="W4516" s="182" t="n">
        <v>0</v>
      </c>
      <c r="X4516" s="182" t="n">
        <v>0</v>
      </c>
      <c r="Y4516" s="182" t="n">
        <v>0</v>
      </c>
      <c r="Z4516" s="182" t="n">
        <v>0</v>
      </c>
      <c r="AA4516" s="182" t="n">
        <v>0</v>
      </c>
      <c r="AB4516" s="182" t="n">
        <v>0</v>
      </c>
      <c r="AC4516" s="182" t="n">
        <v>0</v>
      </c>
      <c r="AD4516" s="182" t="n">
        <v>0</v>
      </c>
      <c r="AE4516" s="182" t="n">
        <v>0</v>
      </c>
      <c r="AF4516" s="182" t="n">
        <v>0</v>
      </c>
      <c r="AG4516" s="182" t="n">
        <v>0</v>
      </c>
      <c r="AH4516" s="182" t="n">
        <v>0</v>
      </c>
      <c r="AI4516" s="182" t="n">
        <v>0</v>
      </c>
      <c r="AJ4516" s="182" t="n">
        <v>0</v>
      </c>
      <c r="AK4516" s="182" t="n">
        <v>0</v>
      </c>
      <c r="AL4516" s="182" t="n">
        <v>0</v>
      </c>
      <c r="AM4516" s="182" t="n">
        <v>0</v>
      </c>
      <c r="AN4516" s="182" t="n">
        <v>0</v>
      </c>
    </row>
    <row r="4517">
      <c r="A4517" s="155" t="n">
        <v>46102</v>
      </c>
      <c r="B4517" s="156" t="inlineStr">
        <is>
          <t>NS</t>
        </is>
      </c>
      <c r="C4517" s="156" t="inlineStr">
        <is>
          <t>DZ-031</t>
        </is>
      </c>
      <c r="D4517" s="156" t="inlineStr">
        <is>
          <t>CAT</t>
        </is>
      </c>
      <c r="E4517" s="156" t="inlineStr">
        <is>
          <t>Bulldozer</t>
        </is>
      </c>
      <c r="F4517" s="156" t="inlineStr">
        <is>
          <t>Support Front Loading</t>
        </is>
      </c>
      <c r="G4517" s="182" t="n">
        <v>10.53</v>
      </c>
      <c r="H4517" s="182" t="n">
        <v>0</v>
      </c>
      <c r="I4517" s="182" t="n">
        <v>0</v>
      </c>
      <c r="J4517" s="182" t="n">
        <v>0</v>
      </c>
      <c r="K4517" s="182" t="n">
        <v>1.47</v>
      </c>
      <c r="L4517" s="182" t="n">
        <v>12</v>
      </c>
      <c r="M4517" s="182" t="n">
        <v>0</v>
      </c>
      <c r="N4517" s="182" t="n">
        <v>0</v>
      </c>
      <c r="O4517" s="183" t="n">
        <v>0</v>
      </c>
      <c r="P4517" s="183" t="n">
        <v>0</v>
      </c>
      <c r="Q4517" s="184" t="n">
        <v>0</v>
      </c>
      <c r="R4517" s="184" t="n">
        <v>0</v>
      </c>
      <c r="S4517" s="183" t="n">
        <v>0</v>
      </c>
      <c r="T4517" s="183" t="n">
        <v>0</v>
      </c>
      <c r="U4517" s="182" t="n">
        <v>0.48</v>
      </c>
      <c r="V4517" s="182" t="n">
        <v>0</v>
      </c>
      <c r="W4517" s="182" t="n">
        <v>0</v>
      </c>
      <c r="X4517" s="182" t="n">
        <v>0.92</v>
      </c>
      <c r="Y4517" s="182" t="n">
        <v>0</v>
      </c>
      <c r="Z4517" s="182" t="n">
        <v>0</v>
      </c>
      <c r="AA4517" s="182" t="n">
        <v>0</v>
      </c>
      <c r="AB4517" s="182" t="n">
        <v>0</v>
      </c>
      <c r="AC4517" s="182" t="n">
        <v>0</v>
      </c>
      <c r="AD4517" s="182" t="n">
        <v>0</v>
      </c>
      <c r="AE4517" s="182" t="n">
        <v>0</v>
      </c>
      <c r="AF4517" s="182" t="n">
        <v>0</v>
      </c>
      <c r="AG4517" s="182" t="n">
        <v>0</v>
      </c>
      <c r="AH4517" s="182" t="n">
        <v>0</v>
      </c>
      <c r="AI4517" s="182" t="n">
        <v>0</v>
      </c>
      <c r="AJ4517" s="182" t="n">
        <v>0</v>
      </c>
      <c r="AK4517" s="182" t="n">
        <v>0</v>
      </c>
      <c r="AL4517" s="182" t="n">
        <v>0</v>
      </c>
      <c r="AM4517" s="182" t="n">
        <v>0.07000000000000001</v>
      </c>
      <c r="AN4517" s="182" t="n">
        <v>0</v>
      </c>
    </row>
    <row r="4518">
      <c r="A4518" s="155" t="n">
        <v>46102</v>
      </c>
      <c r="B4518" s="156" t="inlineStr">
        <is>
          <t>NS</t>
        </is>
      </c>
      <c r="C4518" s="156" t="inlineStr">
        <is>
          <t>DZ-037</t>
        </is>
      </c>
      <c r="D4518" s="156" t="inlineStr">
        <is>
          <t>D 85 ESS-2</t>
        </is>
      </c>
      <c r="E4518" s="156" t="inlineStr">
        <is>
          <t>Bulldozer</t>
        </is>
      </c>
      <c r="F4518" s="156" t="inlineStr"/>
      <c r="G4518" s="182" t="n">
        <v>0</v>
      </c>
      <c r="H4518" s="182" t="n">
        <v>0</v>
      </c>
      <c r="I4518" s="182" t="n">
        <v>12</v>
      </c>
      <c r="J4518" s="182" t="n">
        <v>12</v>
      </c>
      <c r="K4518" s="182" t="n">
        <v>0</v>
      </c>
      <c r="L4518" s="182" t="n">
        <v>12</v>
      </c>
      <c r="M4518" s="182" t="n">
        <v>0</v>
      </c>
      <c r="N4518" s="182" t="n">
        <v>0</v>
      </c>
      <c r="O4518" s="183" t="n">
        <v>0</v>
      </c>
      <c r="P4518" s="183" t="n">
        <v>0</v>
      </c>
      <c r="Q4518" s="184" t="n">
        <v>0</v>
      </c>
      <c r="R4518" s="184" t="n">
        <v>0</v>
      </c>
      <c r="S4518" s="183" t="n">
        <v>0</v>
      </c>
      <c r="T4518" s="183" t="n">
        <v>0</v>
      </c>
      <c r="U4518" s="182" t="n">
        <v>0</v>
      </c>
      <c r="V4518" s="182" t="n">
        <v>0</v>
      </c>
      <c r="W4518" s="182" t="n">
        <v>0</v>
      </c>
      <c r="X4518" s="182" t="n">
        <v>0</v>
      </c>
      <c r="Y4518" s="182" t="n">
        <v>0</v>
      </c>
      <c r="Z4518" s="182" t="n">
        <v>0</v>
      </c>
      <c r="AA4518" s="182" t="n">
        <v>0</v>
      </c>
      <c r="AB4518" s="182" t="n">
        <v>0</v>
      </c>
      <c r="AC4518" s="182" t="n">
        <v>0</v>
      </c>
      <c r="AD4518" s="182" t="n">
        <v>0</v>
      </c>
      <c r="AE4518" s="182" t="n">
        <v>0</v>
      </c>
      <c r="AF4518" s="182" t="n">
        <v>0</v>
      </c>
      <c r="AG4518" s="182" t="n">
        <v>0</v>
      </c>
      <c r="AH4518" s="182" t="n">
        <v>0</v>
      </c>
      <c r="AI4518" s="182" t="n">
        <v>0</v>
      </c>
      <c r="AJ4518" s="182" t="n">
        <v>0</v>
      </c>
      <c r="AK4518" s="182" t="n">
        <v>0</v>
      </c>
      <c r="AL4518" s="182" t="n">
        <v>0</v>
      </c>
      <c r="AM4518" s="182" t="n">
        <v>0</v>
      </c>
      <c r="AN4518" s="182" t="n">
        <v>0</v>
      </c>
    </row>
    <row r="4519">
      <c r="A4519" s="155" t="n">
        <v>46102</v>
      </c>
      <c r="B4519" s="156" t="inlineStr">
        <is>
          <t>NS</t>
        </is>
      </c>
      <c r="C4519" s="156" t="inlineStr">
        <is>
          <t>DZ-036</t>
        </is>
      </c>
      <c r="D4519" s="156" t="inlineStr">
        <is>
          <t>D 85 ESS-2</t>
        </is>
      </c>
      <c r="E4519" s="156" t="inlineStr">
        <is>
          <t>Bulldozer</t>
        </is>
      </c>
      <c r="F4519" s="156" t="inlineStr">
        <is>
          <t>Support Jetty</t>
        </is>
      </c>
      <c r="G4519" s="182" t="n">
        <v>4.05</v>
      </c>
      <c r="H4519" s="182" t="n">
        <v>0</v>
      </c>
      <c r="I4519" s="182" t="n">
        <v>0</v>
      </c>
      <c r="J4519" s="182" t="n">
        <v>0</v>
      </c>
      <c r="K4519" s="182" t="n">
        <v>7.95</v>
      </c>
      <c r="L4519" s="182" t="n">
        <v>12</v>
      </c>
      <c r="M4519" s="182" t="n">
        <v>0</v>
      </c>
      <c r="N4519" s="182" t="n">
        <v>0</v>
      </c>
      <c r="O4519" s="183" t="n">
        <v>0</v>
      </c>
      <c r="P4519" s="183" t="n">
        <v>0</v>
      </c>
      <c r="Q4519" s="184" t="n">
        <v>0</v>
      </c>
      <c r="R4519" s="184" t="n">
        <v>0</v>
      </c>
      <c r="S4519" s="183" t="n">
        <v>0</v>
      </c>
      <c r="T4519" s="183" t="n">
        <v>0</v>
      </c>
      <c r="U4519" s="182" t="n">
        <v>0</v>
      </c>
      <c r="V4519" s="182" t="n">
        <v>0</v>
      </c>
      <c r="W4519" s="182" t="n">
        <v>0</v>
      </c>
      <c r="X4519" s="182" t="n">
        <v>0.99</v>
      </c>
      <c r="Y4519" s="182" t="n">
        <v>0</v>
      </c>
      <c r="Z4519" s="182" t="n">
        <v>0</v>
      </c>
      <c r="AA4519" s="182" t="n">
        <v>0</v>
      </c>
      <c r="AB4519" s="182" t="n">
        <v>0</v>
      </c>
      <c r="AC4519" s="182" t="n">
        <v>0</v>
      </c>
      <c r="AD4519" s="182" t="n">
        <v>0</v>
      </c>
      <c r="AE4519" s="182" t="n">
        <v>0</v>
      </c>
      <c r="AF4519" s="182" t="n">
        <v>0</v>
      </c>
      <c r="AG4519" s="182" t="n">
        <v>0</v>
      </c>
      <c r="AH4519" s="182" t="n">
        <v>0</v>
      </c>
      <c r="AI4519" s="182" t="n">
        <v>0</v>
      </c>
      <c r="AJ4519" s="182" t="n">
        <v>0</v>
      </c>
      <c r="AK4519" s="182" t="n">
        <v>6.88</v>
      </c>
      <c r="AL4519" s="182" t="n">
        <v>0</v>
      </c>
      <c r="AM4519" s="182" t="n">
        <v>0.08</v>
      </c>
      <c r="AN4519" s="182" t="n">
        <v>0</v>
      </c>
    </row>
    <row r="4520">
      <c r="A4520" s="155" t="n">
        <v>46102</v>
      </c>
      <c r="B4520" s="156" t="inlineStr">
        <is>
          <t>NS</t>
        </is>
      </c>
      <c r="C4520" s="156" t="inlineStr">
        <is>
          <t>DZ-035</t>
        </is>
      </c>
      <c r="D4520" s="156" t="inlineStr">
        <is>
          <t>D 85 ESS-2</t>
        </is>
      </c>
      <c r="E4520" s="156" t="inlineStr">
        <is>
          <t>Bulldozer</t>
        </is>
      </c>
      <c r="F4520" s="156" t="inlineStr">
        <is>
          <t>Support Disposal</t>
        </is>
      </c>
      <c r="G4520" s="182" t="n">
        <v>9.789999999999999</v>
      </c>
      <c r="H4520" s="182" t="n">
        <v>0</v>
      </c>
      <c r="I4520" s="182" t="n">
        <v>0</v>
      </c>
      <c r="J4520" s="182" t="n">
        <v>0</v>
      </c>
      <c r="K4520" s="182" t="n">
        <v>2.21</v>
      </c>
      <c r="L4520" s="182" t="n">
        <v>12</v>
      </c>
      <c r="M4520" s="182" t="n">
        <v>0</v>
      </c>
      <c r="N4520" s="182" t="n">
        <v>0</v>
      </c>
      <c r="O4520" s="183" t="n">
        <v>0</v>
      </c>
      <c r="P4520" s="183" t="n">
        <v>0</v>
      </c>
      <c r="Q4520" s="184" t="n">
        <v>0</v>
      </c>
      <c r="R4520" s="184" t="n">
        <v>0</v>
      </c>
      <c r="S4520" s="183" t="n">
        <v>0</v>
      </c>
      <c r="T4520" s="183" t="n">
        <v>0</v>
      </c>
      <c r="U4520" s="182" t="n">
        <v>1.27</v>
      </c>
      <c r="V4520" s="182" t="n">
        <v>0</v>
      </c>
      <c r="W4520" s="182" t="n">
        <v>0</v>
      </c>
      <c r="X4520" s="182" t="n">
        <v>0.85</v>
      </c>
      <c r="Y4520" s="182" t="n">
        <v>0</v>
      </c>
      <c r="Z4520" s="182" t="n">
        <v>0</v>
      </c>
      <c r="AA4520" s="182" t="n">
        <v>0</v>
      </c>
      <c r="AB4520" s="182" t="n">
        <v>0</v>
      </c>
      <c r="AC4520" s="182" t="n">
        <v>0</v>
      </c>
      <c r="AD4520" s="182" t="n">
        <v>0</v>
      </c>
      <c r="AE4520" s="182" t="n">
        <v>0</v>
      </c>
      <c r="AF4520" s="182" t="n">
        <v>0</v>
      </c>
      <c r="AG4520" s="182" t="n">
        <v>0</v>
      </c>
      <c r="AH4520" s="182" t="n">
        <v>0.02</v>
      </c>
      <c r="AI4520" s="182" t="n">
        <v>0</v>
      </c>
      <c r="AJ4520" s="182" t="n">
        <v>0</v>
      </c>
      <c r="AK4520" s="182" t="n">
        <v>0</v>
      </c>
      <c r="AL4520" s="182" t="n">
        <v>0</v>
      </c>
      <c r="AM4520" s="182" t="n">
        <v>0.07000000000000001</v>
      </c>
      <c r="AN4520" s="182" t="n">
        <v>0</v>
      </c>
    </row>
    <row r="4521">
      <c r="A4521" s="155" t="n">
        <v>46102</v>
      </c>
      <c r="B4521" s="156" t="inlineStr">
        <is>
          <t>NS</t>
        </is>
      </c>
      <c r="C4521" s="156" t="inlineStr">
        <is>
          <t>CP-042</t>
        </is>
      </c>
      <c r="D4521" s="156" t="inlineStr">
        <is>
          <t>SANY - Compactor</t>
        </is>
      </c>
      <c r="E4521" s="156" t="inlineStr">
        <is>
          <t>Compactor</t>
        </is>
      </c>
      <c r="F4521" s="156" t="inlineStr"/>
      <c r="G4521" s="182" t="n">
        <v>0</v>
      </c>
      <c r="H4521" s="182" t="n">
        <v>0</v>
      </c>
      <c r="I4521" s="182" t="n">
        <v>0</v>
      </c>
      <c r="J4521" s="182" t="n">
        <v>0</v>
      </c>
      <c r="K4521" s="182" t="n">
        <v>12</v>
      </c>
      <c r="L4521" s="182" t="n">
        <v>12</v>
      </c>
      <c r="M4521" s="182" t="n">
        <v>0</v>
      </c>
      <c r="N4521" s="182" t="n">
        <v>0</v>
      </c>
      <c r="O4521" s="183" t="n">
        <v>0</v>
      </c>
      <c r="P4521" s="183" t="n">
        <v>0</v>
      </c>
      <c r="Q4521" s="184" t="n">
        <v>0</v>
      </c>
      <c r="R4521" s="184" t="n">
        <v>0</v>
      </c>
      <c r="S4521" s="183" t="n">
        <v>0</v>
      </c>
      <c r="T4521" s="183" t="n">
        <v>0</v>
      </c>
      <c r="U4521" s="182" t="n">
        <v>0</v>
      </c>
      <c r="V4521" s="182" t="n">
        <v>0</v>
      </c>
      <c r="W4521" s="182" t="n">
        <v>0</v>
      </c>
      <c r="X4521" s="182" t="n">
        <v>1</v>
      </c>
      <c r="Y4521" s="182" t="n">
        <v>0</v>
      </c>
      <c r="Z4521" s="182" t="n">
        <v>0</v>
      </c>
      <c r="AA4521" s="182" t="n">
        <v>0</v>
      </c>
      <c r="AB4521" s="182" t="n">
        <v>0</v>
      </c>
      <c r="AC4521" s="182" t="n">
        <v>0</v>
      </c>
      <c r="AD4521" s="182" t="n">
        <v>0</v>
      </c>
      <c r="AE4521" s="182" t="n">
        <v>0</v>
      </c>
      <c r="AF4521" s="182" t="n">
        <v>0</v>
      </c>
      <c r="AG4521" s="182" t="n">
        <v>0</v>
      </c>
      <c r="AH4521" s="182" t="n">
        <v>0</v>
      </c>
      <c r="AI4521" s="182" t="n">
        <v>0</v>
      </c>
      <c r="AJ4521" s="182" t="n">
        <v>0</v>
      </c>
      <c r="AK4521" s="182" t="n">
        <v>10.92</v>
      </c>
      <c r="AL4521" s="182" t="n">
        <v>0</v>
      </c>
      <c r="AM4521" s="182" t="n">
        <v>0.08</v>
      </c>
      <c r="AN4521" s="182" t="n">
        <v>0</v>
      </c>
    </row>
    <row r="4522">
      <c r="A4522" s="155" t="n">
        <v>46102</v>
      </c>
      <c r="B4522" s="156" t="inlineStr">
        <is>
          <t>NS</t>
        </is>
      </c>
      <c r="C4522" s="156" t="inlineStr">
        <is>
          <t>CP-041</t>
        </is>
      </c>
      <c r="D4522" s="156" t="inlineStr">
        <is>
          <t>SANY - Compactor</t>
        </is>
      </c>
      <c r="E4522" s="156" t="inlineStr">
        <is>
          <t>Compactor</t>
        </is>
      </c>
      <c r="F4522" s="156" t="inlineStr"/>
      <c r="G4522" s="182" t="n">
        <v>0</v>
      </c>
      <c r="H4522" s="182" t="n">
        <v>0</v>
      </c>
      <c r="I4522" s="182" t="n">
        <v>0</v>
      </c>
      <c r="J4522" s="182" t="n">
        <v>0</v>
      </c>
      <c r="K4522" s="182" t="n">
        <v>12</v>
      </c>
      <c r="L4522" s="182" t="n">
        <v>12</v>
      </c>
      <c r="M4522" s="182" t="n">
        <v>0</v>
      </c>
      <c r="N4522" s="182" t="n">
        <v>0</v>
      </c>
      <c r="O4522" s="183" t="n">
        <v>0</v>
      </c>
      <c r="P4522" s="183" t="n">
        <v>0</v>
      </c>
      <c r="Q4522" s="184" t="n">
        <v>0</v>
      </c>
      <c r="R4522" s="184" t="n">
        <v>0</v>
      </c>
      <c r="S4522" s="183" t="n">
        <v>0</v>
      </c>
      <c r="T4522" s="183" t="n">
        <v>0</v>
      </c>
      <c r="U4522" s="182" t="n">
        <v>0</v>
      </c>
      <c r="V4522" s="182" t="n">
        <v>0</v>
      </c>
      <c r="W4522" s="182" t="n">
        <v>0</v>
      </c>
      <c r="X4522" s="182" t="n">
        <v>1</v>
      </c>
      <c r="Y4522" s="182" t="n">
        <v>0</v>
      </c>
      <c r="Z4522" s="182" t="n">
        <v>0</v>
      </c>
      <c r="AA4522" s="182" t="n">
        <v>0</v>
      </c>
      <c r="AB4522" s="182" t="n">
        <v>0</v>
      </c>
      <c r="AC4522" s="182" t="n">
        <v>0</v>
      </c>
      <c r="AD4522" s="182" t="n">
        <v>0</v>
      </c>
      <c r="AE4522" s="182" t="n">
        <v>0</v>
      </c>
      <c r="AF4522" s="182" t="n">
        <v>0</v>
      </c>
      <c r="AG4522" s="182" t="n">
        <v>0</v>
      </c>
      <c r="AH4522" s="182" t="n">
        <v>0</v>
      </c>
      <c r="AI4522" s="182" t="n">
        <v>0</v>
      </c>
      <c r="AJ4522" s="182" t="n">
        <v>0</v>
      </c>
      <c r="AK4522" s="182" t="n">
        <v>10.92</v>
      </c>
      <c r="AL4522" s="182" t="n">
        <v>0</v>
      </c>
      <c r="AM4522" s="182" t="n">
        <v>0.08</v>
      </c>
      <c r="AN4522" s="182" t="n">
        <v>0</v>
      </c>
    </row>
    <row r="4523">
      <c r="A4523" s="155" t="n">
        <v>46102</v>
      </c>
      <c r="B4523" s="156" t="inlineStr">
        <is>
          <t>NS</t>
        </is>
      </c>
      <c r="C4523" s="156" t="inlineStr">
        <is>
          <t>HT-418</t>
        </is>
      </c>
      <c r="D4523" s="156" t="inlineStr">
        <is>
          <t>SY430</t>
        </is>
      </c>
      <c r="E4523" s="156" t="inlineStr">
        <is>
          <t>DT Hauling</t>
        </is>
      </c>
      <c r="F4523" s="156" t="inlineStr"/>
      <c r="G4523" s="182" t="n">
        <v>0</v>
      </c>
      <c r="H4523" s="182" t="n">
        <v>0</v>
      </c>
      <c r="I4523" s="182" t="n">
        <v>0</v>
      </c>
      <c r="J4523" s="182" t="n">
        <v>0</v>
      </c>
      <c r="K4523" s="182" t="n">
        <v>12</v>
      </c>
      <c r="L4523" s="182" t="n">
        <v>12</v>
      </c>
      <c r="M4523" s="182" t="n">
        <v>0</v>
      </c>
      <c r="N4523" s="182" t="n">
        <v>0</v>
      </c>
      <c r="O4523" s="183" t="n">
        <v>0</v>
      </c>
      <c r="P4523" s="183" t="n">
        <v>0</v>
      </c>
      <c r="Q4523" s="184" t="n">
        <v>0</v>
      </c>
      <c r="R4523" s="184" t="n">
        <v>0</v>
      </c>
      <c r="S4523" s="183" t="n">
        <v>0</v>
      </c>
      <c r="T4523" s="183" t="n">
        <v>0</v>
      </c>
      <c r="U4523" s="182" t="n">
        <v>0</v>
      </c>
      <c r="V4523" s="182" t="n">
        <v>0</v>
      </c>
      <c r="W4523" s="182" t="n">
        <v>0</v>
      </c>
      <c r="X4523" s="182" t="n">
        <v>1</v>
      </c>
      <c r="Y4523" s="182" t="n">
        <v>0</v>
      </c>
      <c r="Z4523" s="182" t="n">
        <v>0</v>
      </c>
      <c r="AA4523" s="182" t="n">
        <v>0</v>
      </c>
      <c r="AB4523" s="182" t="n">
        <v>0</v>
      </c>
      <c r="AC4523" s="182" t="n">
        <v>0</v>
      </c>
      <c r="AD4523" s="182" t="n">
        <v>0</v>
      </c>
      <c r="AE4523" s="182" t="n">
        <v>0</v>
      </c>
      <c r="AF4523" s="182" t="n">
        <v>0</v>
      </c>
      <c r="AG4523" s="182" t="n">
        <v>0</v>
      </c>
      <c r="AH4523" s="182" t="n">
        <v>0</v>
      </c>
      <c r="AI4523" s="182" t="n">
        <v>0</v>
      </c>
      <c r="AJ4523" s="182" t="n">
        <v>0</v>
      </c>
      <c r="AK4523" s="182" t="n">
        <v>10.92</v>
      </c>
      <c r="AL4523" s="182" t="n">
        <v>0</v>
      </c>
      <c r="AM4523" s="182" t="n">
        <v>0.08</v>
      </c>
      <c r="AN4523" s="182" t="n">
        <v>0</v>
      </c>
    </row>
    <row r="4524">
      <c r="A4524" s="155" t="n">
        <v>46102</v>
      </c>
      <c r="B4524" s="156" t="inlineStr">
        <is>
          <t>NS</t>
        </is>
      </c>
      <c r="C4524" s="156" t="inlineStr">
        <is>
          <t>HT-404</t>
        </is>
      </c>
      <c r="D4524" s="156" t="inlineStr">
        <is>
          <t>SY430</t>
        </is>
      </c>
      <c r="E4524" s="156" t="inlineStr">
        <is>
          <t>DT Hauling</t>
        </is>
      </c>
      <c r="F4524" s="156" t="inlineStr"/>
      <c r="G4524" s="182" t="n">
        <v>0</v>
      </c>
      <c r="H4524" s="182" t="n">
        <v>12</v>
      </c>
      <c r="I4524" s="182" t="n">
        <v>0</v>
      </c>
      <c r="J4524" s="182" t="n">
        <v>12</v>
      </c>
      <c r="K4524" s="182" t="n">
        <v>0</v>
      </c>
      <c r="L4524" s="182" t="n">
        <v>12</v>
      </c>
      <c r="M4524" s="182" t="n">
        <v>0</v>
      </c>
      <c r="N4524" s="182" t="n">
        <v>0</v>
      </c>
      <c r="O4524" s="183" t="n">
        <v>0</v>
      </c>
      <c r="P4524" s="183" t="n">
        <v>0</v>
      </c>
      <c r="Q4524" s="184" t="n">
        <v>0</v>
      </c>
      <c r="R4524" s="184" t="n">
        <v>0</v>
      </c>
      <c r="S4524" s="183" t="n">
        <v>0</v>
      </c>
      <c r="T4524" s="183" t="n">
        <v>0</v>
      </c>
      <c r="U4524" s="182" t="n">
        <v>0</v>
      </c>
      <c r="V4524" s="182" t="n">
        <v>0</v>
      </c>
      <c r="W4524" s="182" t="n">
        <v>0</v>
      </c>
      <c r="X4524" s="182" t="n">
        <v>0</v>
      </c>
      <c r="Y4524" s="182" t="n">
        <v>0</v>
      </c>
      <c r="Z4524" s="182" t="n">
        <v>0</v>
      </c>
      <c r="AA4524" s="182" t="n">
        <v>0</v>
      </c>
      <c r="AB4524" s="182" t="n">
        <v>0</v>
      </c>
      <c r="AC4524" s="182" t="n">
        <v>0</v>
      </c>
      <c r="AD4524" s="182" t="n">
        <v>0</v>
      </c>
      <c r="AE4524" s="182" t="n">
        <v>0</v>
      </c>
      <c r="AF4524" s="182" t="n">
        <v>0</v>
      </c>
      <c r="AG4524" s="182" t="n">
        <v>0</v>
      </c>
      <c r="AH4524" s="182" t="n">
        <v>0</v>
      </c>
      <c r="AI4524" s="182" t="n">
        <v>0</v>
      </c>
      <c r="AJ4524" s="182" t="n">
        <v>0</v>
      </c>
      <c r="AK4524" s="182" t="n">
        <v>0</v>
      </c>
      <c r="AL4524" s="182" t="n">
        <v>0</v>
      </c>
      <c r="AM4524" s="182" t="n">
        <v>0</v>
      </c>
      <c r="AN4524" s="182" t="n">
        <v>0</v>
      </c>
    </row>
    <row r="4525">
      <c r="A4525" s="155" t="n">
        <v>46102</v>
      </c>
      <c r="B4525" s="156" t="inlineStr">
        <is>
          <t>NS</t>
        </is>
      </c>
      <c r="C4525" s="156" t="inlineStr">
        <is>
          <t>HT-415</t>
        </is>
      </c>
      <c r="D4525" s="156" t="inlineStr">
        <is>
          <t>SY430</t>
        </is>
      </c>
      <c r="E4525" s="156" t="inlineStr">
        <is>
          <t>DT Hauling</t>
        </is>
      </c>
      <c r="F4525" s="156" t="inlineStr"/>
      <c r="G4525" s="182" t="n">
        <v>0</v>
      </c>
      <c r="H4525" s="182" t="n">
        <v>0</v>
      </c>
      <c r="I4525" s="182" t="n">
        <v>12</v>
      </c>
      <c r="J4525" s="182" t="n">
        <v>12</v>
      </c>
      <c r="K4525" s="182" t="n">
        <v>0</v>
      </c>
      <c r="L4525" s="182" t="n">
        <v>12</v>
      </c>
      <c r="M4525" s="182" t="n">
        <v>0</v>
      </c>
      <c r="N4525" s="182" t="n">
        <v>0</v>
      </c>
      <c r="O4525" s="183" t="n">
        <v>0</v>
      </c>
      <c r="P4525" s="183" t="n">
        <v>0</v>
      </c>
      <c r="Q4525" s="184" t="n">
        <v>0</v>
      </c>
      <c r="R4525" s="184" t="n">
        <v>0</v>
      </c>
      <c r="S4525" s="183" t="n">
        <v>0</v>
      </c>
      <c r="T4525" s="183" t="n">
        <v>0</v>
      </c>
      <c r="U4525" s="182" t="n">
        <v>0</v>
      </c>
      <c r="V4525" s="182" t="n">
        <v>0</v>
      </c>
      <c r="W4525" s="182" t="n">
        <v>0</v>
      </c>
      <c r="X4525" s="182" t="n">
        <v>0</v>
      </c>
      <c r="Y4525" s="182" t="n">
        <v>0</v>
      </c>
      <c r="Z4525" s="182" t="n">
        <v>0</v>
      </c>
      <c r="AA4525" s="182" t="n">
        <v>0</v>
      </c>
      <c r="AB4525" s="182" t="n">
        <v>0</v>
      </c>
      <c r="AC4525" s="182" t="n">
        <v>0</v>
      </c>
      <c r="AD4525" s="182" t="n">
        <v>0</v>
      </c>
      <c r="AE4525" s="182" t="n">
        <v>0</v>
      </c>
      <c r="AF4525" s="182" t="n">
        <v>0</v>
      </c>
      <c r="AG4525" s="182" t="n">
        <v>0</v>
      </c>
      <c r="AH4525" s="182" t="n">
        <v>0</v>
      </c>
      <c r="AI4525" s="182" t="n">
        <v>0</v>
      </c>
      <c r="AJ4525" s="182" t="n">
        <v>0</v>
      </c>
      <c r="AK4525" s="182" t="n">
        <v>0</v>
      </c>
      <c r="AL4525" s="182" t="n">
        <v>0</v>
      </c>
      <c r="AM4525" s="182" t="n">
        <v>0</v>
      </c>
      <c r="AN4525" s="182" t="n">
        <v>0</v>
      </c>
    </row>
    <row r="4526">
      <c r="A4526" s="155" t="n">
        <v>46102</v>
      </c>
      <c r="B4526" s="156" t="inlineStr">
        <is>
          <t>NS</t>
        </is>
      </c>
      <c r="C4526" s="156" t="inlineStr">
        <is>
          <t>HT-406</t>
        </is>
      </c>
      <c r="D4526" s="156" t="inlineStr">
        <is>
          <t>SY430</t>
        </is>
      </c>
      <c r="E4526" s="156" t="inlineStr">
        <is>
          <t>DT Hauling</t>
        </is>
      </c>
      <c r="F4526" s="156" t="inlineStr"/>
      <c r="G4526" s="182" t="n">
        <v>0</v>
      </c>
      <c r="H4526" s="182" t="n">
        <v>0</v>
      </c>
      <c r="I4526" s="182" t="n">
        <v>12</v>
      </c>
      <c r="J4526" s="182" t="n">
        <v>12</v>
      </c>
      <c r="K4526" s="182" t="n">
        <v>0</v>
      </c>
      <c r="L4526" s="182" t="n">
        <v>12</v>
      </c>
      <c r="M4526" s="182" t="n">
        <v>0</v>
      </c>
      <c r="N4526" s="182" t="n">
        <v>0</v>
      </c>
      <c r="O4526" s="183" t="n">
        <v>0</v>
      </c>
      <c r="P4526" s="183" t="n">
        <v>0</v>
      </c>
      <c r="Q4526" s="184" t="n">
        <v>0</v>
      </c>
      <c r="R4526" s="184" t="n">
        <v>0</v>
      </c>
      <c r="S4526" s="183" t="n">
        <v>0</v>
      </c>
      <c r="T4526" s="183" t="n">
        <v>0</v>
      </c>
      <c r="U4526" s="182" t="n">
        <v>0</v>
      </c>
      <c r="V4526" s="182" t="n">
        <v>0</v>
      </c>
      <c r="W4526" s="182" t="n">
        <v>0</v>
      </c>
      <c r="X4526" s="182" t="n">
        <v>0</v>
      </c>
      <c r="Y4526" s="182" t="n">
        <v>0</v>
      </c>
      <c r="Z4526" s="182" t="n">
        <v>0</v>
      </c>
      <c r="AA4526" s="182" t="n">
        <v>0</v>
      </c>
      <c r="AB4526" s="182" t="n">
        <v>0</v>
      </c>
      <c r="AC4526" s="182" t="n">
        <v>0</v>
      </c>
      <c r="AD4526" s="182" t="n">
        <v>0</v>
      </c>
      <c r="AE4526" s="182" t="n">
        <v>0</v>
      </c>
      <c r="AF4526" s="182" t="n">
        <v>0</v>
      </c>
      <c r="AG4526" s="182" t="n">
        <v>0</v>
      </c>
      <c r="AH4526" s="182" t="n">
        <v>0</v>
      </c>
      <c r="AI4526" s="182" t="n">
        <v>0</v>
      </c>
      <c r="AJ4526" s="182" t="n">
        <v>0</v>
      </c>
      <c r="AK4526" s="182" t="n">
        <v>0</v>
      </c>
      <c r="AL4526" s="182" t="n">
        <v>0</v>
      </c>
      <c r="AM4526" s="182" t="n">
        <v>0</v>
      </c>
      <c r="AN4526" s="182" t="n">
        <v>0</v>
      </c>
    </row>
    <row r="4527">
      <c r="A4527" s="155" t="n">
        <v>46102</v>
      </c>
      <c r="B4527" s="156" t="inlineStr">
        <is>
          <t>NS</t>
        </is>
      </c>
      <c r="C4527" s="156" t="inlineStr">
        <is>
          <t>HT-405</t>
        </is>
      </c>
      <c r="D4527" s="156" t="inlineStr">
        <is>
          <t>SY430</t>
        </is>
      </c>
      <c r="E4527" s="156" t="inlineStr">
        <is>
          <t>DT Hauling</t>
        </is>
      </c>
      <c r="F4527" s="156" t="inlineStr">
        <is>
          <t>Hauling Coal ke Jetty</t>
        </is>
      </c>
      <c r="G4527" s="182" t="n">
        <v>1.5</v>
      </c>
      <c r="H4527" s="182" t="n">
        <v>0</v>
      </c>
      <c r="I4527" s="182" t="n">
        <v>10.5</v>
      </c>
      <c r="J4527" s="182" t="n">
        <v>10.5</v>
      </c>
      <c r="K4527" s="182" t="n">
        <v>0</v>
      </c>
      <c r="L4527" s="182" t="n">
        <v>12</v>
      </c>
      <c r="M4527" s="182" t="n">
        <v>0</v>
      </c>
      <c r="N4527" s="182" t="n">
        <v>0</v>
      </c>
      <c r="O4527" s="183" t="n">
        <v>0</v>
      </c>
      <c r="P4527" s="183" t="n">
        <v>0</v>
      </c>
      <c r="Q4527" s="184" t="n">
        <v>0</v>
      </c>
      <c r="R4527" s="184" t="n">
        <v>0</v>
      </c>
      <c r="S4527" s="183" t="n">
        <v>0</v>
      </c>
      <c r="T4527" s="183" t="n">
        <v>0</v>
      </c>
      <c r="U4527" s="182" t="n">
        <v>0</v>
      </c>
      <c r="V4527" s="182" t="n">
        <v>0</v>
      </c>
      <c r="W4527" s="182" t="n">
        <v>0</v>
      </c>
      <c r="X4527" s="182" t="n">
        <v>0</v>
      </c>
      <c r="Y4527" s="182" t="n">
        <v>0</v>
      </c>
      <c r="Z4527" s="182" t="n">
        <v>0</v>
      </c>
      <c r="AA4527" s="182" t="n">
        <v>0</v>
      </c>
      <c r="AB4527" s="182" t="n">
        <v>0</v>
      </c>
      <c r="AC4527" s="182" t="n">
        <v>0</v>
      </c>
      <c r="AD4527" s="182" t="n">
        <v>0</v>
      </c>
      <c r="AE4527" s="182" t="n">
        <v>0</v>
      </c>
      <c r="AF4527" s="182" t="n">
        <v>0</v>
      </c>
      <c r="AG4527" s="182" t="n">
        <v>0</v>
      </c>
      <c r="AH4527" s="182" t="n">
        <v>0</v>
      </c>
      <c r="AI4527" s="182" t="n">
        <v>0</v>
      </c>
      <c r="AJ4527" s="182" t="n">
        <v>0</v>
      </c>
      <c r="AK4527" s="182" t="n">
        <v>0</v>
      </c>
      <c r="AL4527" s="182" t="n">
        <v>0</v>
      </c>
      <c r="AM4527" s="182" t="n">
        <v>0</v>
      </c>
      <c r="AN4527" s="182" t="n">
        <v>0</v>
      </c>
    </row>
    <row r="4528">
      <c r="A4528" s="155" t="n">
        <v>46102</v>
      </c>
      <c r="B4528" s="156" t="inlineStr">
        <is>
          <t>NS</t>
        </is>
      </c>
      <c r="C4528" s="156" t="inlineStr">
        <is>
          <t>HT-417</t>
        </is>
      </c>
      <c r="D4528" s="156" t="inlineStr">
        <is>
          <t>SY430</t>
        </is>
      </c>
      <c r="E4528" s="156" t="inlineStr">
        <is>
          <t>DT Hauling</t>
        </is>
      </c>
      <c r="F4528" s="156" t="inlineStr">
        <is>
          <t>Hauling Coal ke Jetty</t>
        </is>
      </c>
      <c r="G4528" s="182" t="n">
        <v>4.77</v>
      </c>
      <c r="H4528" s="182" t="n">
        <v>0</v>
      </c>
      <c r="I4528" s="182" t="n">
        <v>0.42</v>
      </c>
      <c r="J4528" s="182" t="n">
        <v>0.42</v>
      </c>
      <c r="K4528" s="182" t="n">
        <v>6.81</v>
      </c>
      <c r="L4528" s="182" t="n">
        <v>12</v>
      </c>
      <c r="M4528" s="182" t="n">
        <v>0</v>
      </c>
      <c r="N4528" s="182" t="n">
        <v>0</v>
      </c>
      <c r="O4528" s="183" t="n">
        <v>0</v>
      </c>
      <c r="P4528" s="183" t="n">
        <v>0</v>
      </c>
      <c r="Q4528" s="184" t="n">
        <v>0</v>
      </c>
      <c r="R4528" s="184" t="n">
        <v>0</v>
      </c>
      <c r="S4528" s="183" t="n">
        <v>0</v>
      </c>
      <c r="T4528" s="183" t="n">
        <v>0</v>
      </c>
      <c r="U4528" s="182" t="n">
        <v>0</v>
      </c>
      <c r="V4528" s="182" t="n">
        <v>0</v>
      </c>
      <c r="W4528" s="182" t="n">
        <v>0</v>
      </c>
      <c r="X4528" s="182" t="n">
        <v>1.05</v>
      </c>
      <c r="Y4528" s="182" t="n">
        <v>0</v>
      </c>
      <c r="Z4528" s="182" t="n">
        <v>0</v>
      </c>
      <c r="AA4528" s="182" t="n">
        <v>0</v>
      </c>
      <c r="AB4528" s="182" t="n">
        <v>0</v>
      </c>
      <c r="AC4528" s="182" t="n">
        <v>0</v>
      </c>
      <c r="AD4528" s="182" t="n">
        <v>0</v>
      </c>
      <c r="AE4528" s="182" t="n">
        <v>0</v>
      </c>
      <c r="AF4528" s="182" t="n">
        <v>0</v>
      </c>
      <c r="AG4528" s="182" t="n">
        <v>0</v>
      </c>
      <c r="AH4528" s="182" t="n">
        <v>0</v>
      </c>
      <c r="AI4528" s="182" t="n">
        <v>0</v>
      </c>
      <c r="AJ4528" s="182" t="n">
        <v>0</v>
      </c>
      <c r="AK4528" s="182" t="n">
        <v>5.67</v>
      </c>
      <c r="AL4528" s="182" t="n">
        <v>0</v>
      </c>
      <c r="AM4528" s="182" t="n">
        <v>0.08</v>
      </c>
      <c r="AN4528" s="182" t="n">
        <v>0</v>
      </c>
    </row>
    <row r="4529">
      <c r="A4529" s="155" t="n">
        <v>46102</v>
      </c>
      <c r="B4529" s="156" t="inlineStr">
        <is>
          <t>NS</t>
        </is>
      </c>
      <c r="C4529" s="156" t="inlineStr">
        <is>
          <t>HT-401</t>
        </is>
      </c>
      <c r="D4529" s="156" t="inlineStr">
        <is>
          <t>SY430</t>
        </is>
      </c>
      <c r="E4529" s="156" t="inlineStr">
        <is>
          <t>DT Hauling</t>
        </is>
      </c>
      <c r="F4529" s="156" t="inlineStr"/>
      <c r="G4529" s="182" t="n">
        <v>0</v>
      </c>
      <c r="H4529" s="182" t="n">
        <v>0</v>
      </c>
      <c r="I4529" s="182" t="n">
        <v>0</v>
      </c>
      <c r="J4529" s="182" t="n">
        <v>0</v>
      </c>
      <c r="K4529" s="182" t="n">
        <v>12</v>
      </c>
      <c r="L4529" s="182" t="n">
        <v>12</v>
      </c>
      <c r="M4529" s="182" t="n">
        <v>0</v>
      </c>
      <c r="N4529" s="182" t="n">
        <v>0</v>
      </c>
      <c r="O4529" s="183" t="n">
        <v>0</v>
      </c>
      <c r="P4529" s="183" t="n">
        <v>0</v>
      </c>
      <c r="Q4529" s="184" t="n">
        <v>0</v>
      </c>
      <c r="R4529" s="184" t="n">
        <v>0</v>
      </c>
      <c r="S4529" s="183" t="n">
        <v>0</v>
      </c>
      <c r="T4529" s="183" t="n">
        <v>0</v>
      </c>
      <c r="U4529" s="182" t="n">
        <v>0</v>
      </c>
      <c r="V4529" s="182" t="n">
        <v>0</v>
      </c>
      <c r="W4529" s="182" t="n">
        <v>0</v>
      </c>
      <c r="X4529" s="182" t="n">
        <v>1</v>
      </c>
      <c r="Y4529" s="182" t="n">
        <v>0</v>
      </c>
      <c r="Z4529" s="182" t="n">
        <v>0</v>
      </c>
      <c r="AA4529" s="182" t="n">
        <v>0</v>
      </c>
      <c r="AB4529" s="182" t="n">
        <v>0</v>
      </c>
      <c r="AC4529" s="182" t="n">
        <v>0</v>
      </c>
      <c r="AD4529" s="182" t="n">
        <v>0</v>
      </c>
      <c r="AE4529" s="182" t="n">
        <v>0</v>
      </c>
      <c r="AF4529" s="182" t="n">
        <v>0</v>
      </c>
      <c r="AG4529" s="182" t="n">
        <v>0</v>
      </c>
      <c r="AH4529" s="182" t="n">
        <v>0</v>
      </c>
      <c r="AI4529" s="182" t="n">
        <v>0</v>
      </c>
      <c r="AJ4529" s="182" t="n">
        <v>0</v>
      </c>
      <c r="AK4529" s="182" t="n">
        <v>10.92</v>
      </c>
      <c r="AL4529" s="182" t="n">
        <v>0</v>
      </c>
      <c r="AM4529" s="182" t="n">
        <v>0.08</v>
      </c>
      <c r="AN4529" s="182" t="n">
        <v>0</v>
      </c>
    </row>
    <row r="4530">
      <c r="A4530" s="155" t="n">
        <v>46102</v>
      </c>
      <c r="B4530" s="156" t="inlineStr">
        <is>
          <t>NS</t>
        </is>
      </c>
      <c r="C4530" s="156" t="inlineStr">
        <is>
          <t>HT-410</t>
        </is>
      </c>
      <c r="D4530" s="156" t="inlineStr">
        <is>
          <t>SY430</t>
        </is>
      </c>
      <c r="E4530" s="156" t="inlineStr">
        <is>
          <t>DT Hauling</t>
        </is>
      </c>
      <c r="F4530" s="156" t="inlineStr"/>
      <c r="G4530" s="182" t="n">
        <v>0</v>
      </c>
      <c r="H4530" s="182" t="n">
        <v>0</v>
      </c>
      <c r="I4530" s="182" t="n">
        <v>0</v>
      </c>
      <c r="J4530" s="182" t="n">
        <v>0</v>
      </c>
      <c r="K4530" s="182" t="n">
        <v>12</v>
      </c>
      <c r="L4530" s="182" t="n">
        <v>12</v>
      </c>
      <c r="M4530" s="182" t="n">
        <v>0</v>
      </c>
      <c r="N4530" s="182" t="n">
        <v>0</v>
      </c>
      <c r="O4530" s="183" t="n">
        <v>0</v>
      </c>
      <c r="P4530" s="183" t="n">
        <v>0</v>
      </c>
      <c r="Q4530" s="184" t="n">
        <v>0</v>
      </c>
      <c r="R4530" s="184" t="n">
        <v>0</v>
      </c>
      <c r="S4530" s="183" t="n">
        <v>0</v>
      </c>
      <c r="T4530" s="183" t="n">
        <v>0</v>
      </c>
      <c r="U4530" s="182" t="n">
        <v>0</v>
      </c>
      <c r="V4530" s="182" t="n">
        <v>0</v>
      </c>
      <c r="W4530" s="182" t="n">
        <v>0</v>
      </c>
      <c r="X4530" s="182" t="n">
        <v>1</v>
      </c>
      <c r="Y4530" s="182" t="n">
        <v>0</v>
      </c>
      <c r="Z4530" s="182" t="n">
        <v>0</v>
      </c>
      <c r="AA4530" s="182" t="n">
        <v>0</v>
      </c>
      <c r="AB4530" s="182" t="n">
        <v>0</v>
      </c>
      <c r="AC4530" s="182" t="n">
        <v>0</v>
      </c>
      <c r="AD4530" s="182" t="n">
        <v>0</v>
      </c>
      <c r="AE4530" s="182" t="n">
        <v>0</v>
      </c>
      <c r="AF4530" s="182" t="n">
        <v>0</v>
      </c>
      <c r="AG4530" s="182" t="n">
        <v>0</v>
      </c>
      <c r="AH4530" s="182" t="n">
        <v>0</v>
      </c>
      <c r="AI4530" s="182" t="n">
        <v>0</v>
      </c>
      <c r="AJ4530" s="182" t="n">
        <v>0</v>
      </c>
      <c r="AK4530" s="182" t="n">
        <v>10.92</v>
      </c>
      <c r="AL4530" s="182" t="n">
        <v>0</v>
      </c>
      <c r="AM4530" s="182" t="n">
        <v>0.08</v>
      </c>
      <c r="AN4530" s="182" t="n">
        <v>0</v>
      </c>
    </row>
    <row r="4531">
      <c r="A4531" s="155" t="n">
        <v>46102</v>
      </c>
      <c r="B4531" s="156" t="inlineStr">
        <is>
          <t>NS</t>
        </is>
      </c>
      <c r="C4531" s="156" t="inlineStr">
        <is>
          <t>HT-402</t>
        </is>
      </c>
      <c r="D4531" s="156" t="inlineStr">
        <is>
          <t>SY430</t>
        </is>
      </c>
      <c r="E4531" s="156" t="inlineStr">
        <is>
          <t>DT Hauling</t>
        </is>
      </c>
      <c r="F4531" s="156" t="inlineStr">
        <is>
          <t>Hauling Coal ke Jetty</t>
        </is>
      </c>
      <c r="G4531" s="182" t="n">
        <v>7.45</v>
      </c>
      <c r="H4531" s="182" t="n">
        <v>0</v>
      </c>
      <c r="I4531" s="182" t="n">
        <v>2.62</v>
      </c>
      <c r="J4531" s="182" t="n">
        <v>2.62</v>
      </c>
      <c r="K4531" s="182" t="n">
        <v>1.93</v>
      </c>
      <c r="L4531" s="182" t="n">
        <v>12</v>
      </c>
      <c r="M4531" s="182" t="n">
        <v>0</v>
      </c>
      <c r="N4531" s="182" t="n">
        <v>0</v>
      </c>
      <c r="O4531" s="183" t="n">
        <v>0</v>
      </c>
      <c r="P4531" s="183" t="n">
        <v>0</v>
      </c>
      <c r="Q4531" s="184" t="n">
        <v>0</v>
      </c>
      <c r="R4531" s="184" t="n">
        <v>0</v>
      </c>
      <c r="S4531" s="183" t="n">
        <v>0</v>
      </c>
      <c r="T4531" s="183" t="n">
        <v>0</v>
      </c>
      <c r="U4531" s="182" t="n">
        <v>0</v>
      </c>
      <c r="V4531" s="182" t="n">
        <v>0</v>
      </c>
      <c r="W4531" s="182" t="n">
        <v>0</v>
      </c>
      <c r="X4531" s="182" t="n">
        <v>0.8100000000000001</v>
      </c>
      <c r="Y4531" s="182" t="n">
        <v>0</v>
      </c>
      <c r="Z4531" s="182" t="n">
        <v>0</v>
      </c>
      <c r="AA4531" s="182" t="n">
        <v>0</v>
      </c>
      <c r="AB4531" s="182" t="n">
        <v>0</v>
      </c>
      <c r="AC4531" s="182" t="n">
        <v>0</v>
      </c>
      <c r="AD4531" s="182" t="n">
        <v>0</v>
      </c>
      <c r="AE4531" s="182" t="n">
        <v>0</v>
      </c>
      <c r="AF4531" s="182" t="n">
        <v>0</v>
      </c>
      <c r="AG4531" s="182" t="n">
        <v>0</v>
      </c>
      <c r="AH4531" s="182" t="n">
        <v>0</v>
      </c>
      <c r="AI4531" s="182" t="n">
        <v>0</v>
      </c>
      <c r="AJ4531" s="182" t="n">
        <v>0</v>
      </c>
      <c r="AK4531" s="182" t="n">
        <v>1.05</v>
      </c>
      <c r="AL4531" s="182" t="n">
        <v>0</v>
      </c>
      <c r="AM4531" s="182" t="n">
        <v>0.06</v>
      </c>
      <c r="AN4531" s="182" t="n">
        <v>0</v>
      </c>
    </row>
    <row r="4532">
      <c r="A4532" s="155" t="n">
        <v>46102</v>
      </c>
      <c r="B4532" s="156" t="inlineStr">
        <is>
          <t>NS</t>
        </is>
      </c>
      <c r="C4532" s="156" t="inlineStr">
        <is>
          <t>HT-419</t>
        </is>
      </c>
      <c r="D4532" s="156" t="inlineStr">
        <is>
          <t>SY430</t>
        </is>
      </c>
      <c r="E4532" s="156" t="inlineStr">
        <is>
          <t>DT Hauling</t>
        </is>
      </c>
      <c r="F4532" s="156" t="inlineStr"/>
      <c r="G4532" s="182" t="n">
        <v>0</v>
      </c>
      <c r="H4532" s="182" t="n">
        <v>0</v>
      </c>
      <c r="I4532" s="182" t="n">
        <v>0</v>
      </c>
      <c r="J4532" s="182" t="n">
        <v>0</v>
      </c>
      <c r="K4532" s="182" t="n">
        <v>12</v>
      </c>
      <c r="L4532" s="182" t="n">
        <v>12</v>
      </c>
      <c r="M4532" s="182" t="n">
        <v>0</v>
      </c>
      <c r="N4532" s="182" t="n">
        <v>0</v>
      </c>
      <c r="O4532" s="183" t="n">
        <v>0</v>
      </c>
      <c r="P4532" s="183" t="n">
        <v>0</v>
      </c>
      <c r="Q4532" s="184" t="n">
        <v>0</v>
      </c>
      <c r="R4532" s="184" t="n">
        <v>0</v>
      </c>
      <c r="S4532" s="183" t="n">
        <v>0</v>
      </c>
      <c r="T4532" s="183" t="n">
        <v>0</v>
      </c>
      <c r="U4532" s="182" t="n">
        <v>0</v>
      </c>
      <c r="V4532" s="182" t="n">
        <v>0</v>
      </c>
      <c r="W4532" s="182" t="n">
        <v>0</v>
      </c>
      <c r="X4532" s="182" t="n">
        <v>1</v>
      </c>
      <c r="Y4532" s="182" t="n">
        <v>0</v>
      </c>
      <c r="Z4532" s="182" t="n">
        <v>0</v>
      </c>
      <c r="AA4532" s="182" t="n">
        <v>0</v>
      </c>
      <c r="AB4532" s="182" t="n">
        <v>0</v>
      </c>
      <c r="AC4532" s="182" t="n">
        <v>0</v>
      </c>
      <c r="AD4532" s="182" t="n">
        <v>0</v>
      </c>
      <c r="AE4532" s="182" t="n">
        <v>0</v>
      </c>
      <c r="AF4532" s="182" t="n">
        <v>0</v>
      </c>
      <c r="AG4532" s="182" t="n">
        <v>0</v>
      </c>
      <c r="AH4532" s="182" t="n">
        <v>0</v>
      </c>
      <c r="AI4532" s="182" t="n">
        <v>0</v>
      </c>
      <c r="AJ4532" s="182" t="n">
        <v>0</v>
      </c>
      <c r="AK4532" s="182" t="n">
        <v>10.92</v>
      </c>
      <c r="AL4532" s="182" t="n">
        <v>0</v>
      </c>
      <c r="AM4532" s="182" t="n">
        <v>0.08</v>
      </c>
      <c r="AN4532" s="182" t="n">
        <v>0</v>
      </c>
    </row>
    <row r="4533">
      <c r="A4533" s="155" t="n">
        <v>46102</v>
      </c>
      <c r="B4533" s="156" t="inlineStr">
        <is>
          <t>NS</t>
        </is>
      </c>
      <c r="C4533" s="156" t="inlineStr">
        <is>
          <t>HT-416</t>
        </is>
      </c>
      <c r="D4533" s="156" t="inlineStr">
        <is>
          <t>SY430</t>
        </is>
      </c>
      <c r="E4533" s="156" t="inlineStr">
        <is>
          <t>DT Hauling</t>
        </is>
      </c>
      <c r="F4533" s="156" t="inlineStr">
        <is>
          <t>Hauling Coal ke Jetty</t>
        </is>
      </c>
      <c r="G4533" s="182" t="n">
        <v>9.890000000000001</v>
      </c>
      <c r="H4533" s="182" t="n">
        <v>0</v>
      </c>
      <c r="I4533" s="182" t="n">
        <v>0</v>
      </c>
      <c r="J4533" s="182" t="n">
        <v>0</v>
      </c>
      <c r="K4533" s="182" t="n">
        <v>2.11</v>
      </c>
      <c r="L4533" s="182" t="n">
        <v>12</v>
      </c>
      <c r="M4533" s="182" t="n">
        <v>0</v>
      </c>
      <c r="N4533" s="182" t="n">
        <v>0</v>
      </c>
      <c r="O4533" s="183" t="n">
        <v>0</v>
      </c>
      <c r="P4533" s="183" t="n">
        <v>0</v>
      </c>
      <c r="Q4533" s="184" t="n">
        <v>0</v>
      </c>
      <c r="R4533" s="184" t="n">
        <v>0</v>
      </c>
      <c r="S4533" s="183" t="n">
        <v>0</v>
      </c>
      <c r="T4533" s="183" t="n">
        <v>0</v>
      </c>
      <c r="U4533" s="182" t="n">
        <v>0</v>
      </c>
      <c r="V4533" s="182" t="n">
        <v>0</v>
      </c>
      <c r="W4533" s="182" t="n">
        <v>0</v>
      </c>
      <c r="X4533" s="182" t="n">
        <v>1.17</v>
      </c>
      <c r="Y4533" s="182" t="n">
        <v>0</v>
      </c>
      <c r="Z4533" s="182" t="n">
        <v>0</v>
      </c>
      <c r="AA4533" s="182" t="n">
        <v>0</v>
      </c>
      <c r="AB4533" s="182" t="n">
        <v>0</v>
      </c>
      <c r="AC4533" s="182" t="n">
        <v>0</v>
      </c>
      <c r="AD4533" s="182" t="n">
        <v>0</v>
      </c>
      <c r="AE4533" s="182" t="n">
        <v>0</v>
      </c>
      <c r="AF4533" s="182" t="n">
        <v>0</v>
      </c>
      <c r="AG4533" s="182" t="n">
        <v>0</v>
      </c>
      <c r="AH4533" s="182" t="n">
        <v>0.84</v>
      </c>
      <c r="AI4533" s="182" t="n">
        <v>0</v>
      </c>
      <c r="AJ4533" s="182" t="n">
        <v>0</v>
      </c>
      <c r="AK4533" s="182" t="n">
        <v>0</v>
      </c>
      <c r="AL4533" s="182" t="n">
        <v>0</v>
      </c>
      <c r="AM4533" s="182" t="n">
        <v>0.09</v>
      </c>
      <c r="AN4533" s="182" t="n">
        <v>0</v>
      </c>
    </row>
    <row r="4534">
      <c r="A4534" s="155" t="n">
        <v>46102</v>
      </c>
      <c r="B4534" s="156" t="inlineStr">
        <is>
          <t>NS</t>
        </is>
      </c>
      <c r="C4534" s="156" t="inlineStr">
        <is>
          <t>HT-420</t>
        </is>
      </c>
      <c r="D4534" s="156" t="inlineStr">
        <is>
          <t>SY430</t>
        </is>
      </c>
      <c r="E4534" s="156" t="inlineStr">
        <is>
          <t>DT Hauling</t>
        </is>
      </c>
      <c r="F4534" s="156" t="inlineStr">
        <is>
          <t>Hauling Coal ke Jetty</t>
        </is>
      </c>
      <c r="G4534" s="182" t="n">
        <v>8.83</v>
      </c>
      <c r="H4534" s="182" t="n">
        <v>0</v>
      </c>
      <c r="I4534" s="182" t="n">
        <v>2.17</v>
      </c>
      <c r="J4534" s="182" t="n">
        <v>2.17</v>
      </c>
      <c r="K4534" s="182" t="n">
        <v>1</v>
      </c>
      <c r="L4534" s="182" t="n">
        <v>12</v>
      </c>
      <c r="M4534" s="182" t="n">
        <v>0</v>
      </c>
      <c r="N4534" s="182" t="n">
        <v>0</v>
      </c>
      <c r="O4534" s="183" t="n">
        <v>0</v>
      </c>
      <c r="P4534" s="183" t="n">
        <v>0</v>
      </c>
      <c r="Q4534" s="184" t="n">
        <v>0</v>
      </c>
      <c r="R4534" s="184" t="n">
        <v>0</v>
      </c>
      <c r="S4534" s="183" t="n">
        <v>0</v>
      </c>
      <c r="T4534" s="183" t="n">
        <v>0</v>
      </c>
      <c r="U4534" s="182" t="n">
        <v>0</v>
      </c>
      <c r="V4534" s="182" t="n">
        <v>0</v>
      </c>
      <c r="W4534" s="182" t="n">
        <v>0</v>
      </c>
      <c r="X4534" s="182" t="n">
        <v>0.75</v>
      </c>
      <c r="Y4534" s="182" t="n">
        <v>0</v>
      </c>
      <c r="Z4534" s="182" t="n">
        <v>0</v>
      </c>
      <c r="AA4534" s="182" t="n">
        <v>0</v>
      </c>
      <c r="AB4534" s="182" t="n">
        <v>0</v>
      </c>
      <c r="AC4534" s="182" t="n">
        <v>0</v>
      </c>
      <c r="AD4534" s="182" t="n">
        <v>0</v>
      </c>
      <c r="AE4534" s="182" t="n">
        <v>0</v>
      </c>
      <c r="AF4534" s="182" t="n">
        <v>0</v>
      </c>
      <c r="AG4534" s="182" t="n">
        <v>0</v>
      </c>
      <c r="AH4534" s="182" t="n">
        <v>0.19</v>
      </c>
      <c r="AI4534" s="182" t="n">
        <v>0</v>
      </c>
      <c r="AJ4534" s="182" t="n">
        <v>0</v>
      </c>
      <c r="AK4534" s="182" t="n">
        <v>0</v>
      </c>
      <c r="AL4534" s="182" t="n">
        <v>0</v>
      </c>
      <c r="AM4534" s="182" t="n">
        <v>0.06</v>
      </c>
      <c r="AN4534" s="182" t="n">
        <v>0</v>
      </c>
    </row>
    <row r="4535">
      <c r="A4535" s="155" t="n">
        <v>46102</v>
      </c>
      <c r="B4535" s="156" t="inlineStr">
        <is>
          <t>NS</t>
        </is>
      </c>
      <c r="C4535" s="156" t="inlineStr">
        <is>
          <t>HT-403</t>
        </is>
      </c>
      <c r="D4535" s="156" t="inlineStr">
        <is>
          <t>SY430</t>
        </is>
      </c>
      <c r="E4535" s="156" t="inlineStr">
        <is>
          <t>DT Hauling</t>
        </is>
      </c>
      <c r="F4535" s="156" t="inlineStr">
        <is>
          <t>Hauling Coal ke Jetty</t>
        </is>
      </c>
      <c r="G4535" s="182" t="n">
        <v>10.68</v>
      </c>
      <c r="H4535" s="182" t="n">
        <v>0</v>
      </c>
      <c r="I4535" s="182" t="n">
        <v>0.42</v>
      </c>
      <c r="J4535" s="182" t="n">
        <v>0.42</v>
      </c>
      <c r="K4535" s="182" t="n">
        <v>0.9</v>
      </c>
      <c r="L4535" s="182" t="n">
        <v>12</v>
      </c>
      <c r="M4535" s="182" t="n">
        <v>0</v>
      </c>
      <c r="N4535" s="182" t="n">
        <v>0</v>
      </c>
      <c r="O4535" s="183" t="n">
        <v>0</v>
      </c>
      <c r="P4535" s="183" t="n">
        <v>0</v>
      </c>
      <c r="Q4535" s="184" t="n">
        <v>0</v>
      </c>
      <c r="R4535" s="184" t="n">
        <v>0</v>
      </c>
      <c r="S4535" s="183" t="n">
        <v>0</v>
      </c>
      <c r="T4535" s="183" t="n">
        <v>0</v>
      </c>
      <c r="U4535" s="182" t="n">
        <v>0</v>
      </c>
      <c r="V4535" s="182" t="n">
        <v>0</v>
      </c>
      <c r="W4535" s="182" t="n">
        <v>0</v>
      </c>
      <c r="X4535" s="182" t="n">
        <v>0.76</v>
      </c>
      <c r="Y4535" s="182" t="n">
        <v>0</v>
      </c>
      <c r="Z4535" s="182" t="n">
        <v>0</v>
      </c>
      <c r="AA4535" s="182" t="n">
        <v>0</v>
      </c>
      <c r="AB4535" s="182" t="n">
        <v>0</v>
      </c>
      <c r="AC4535" s="182" t="n">
        <v>0</v>
      </c>
      <c r="AD4535" s="182" t="n">
        <v>0</v>
      </c>
      <c r="AE4535" s="182" t="n">
        <v>0</v>
      </c>
      <c r="AF4535" s="182" t="n">
        <v>0</v>
      </c>
      <c r="AG4535" s="182" t="n">
        <v>0</v>
      </c>
      <c r="AH4535" s="182" t="n">
        <v>0.08</v>
      </c>
      <c r="AI4535" s="182" t="n">
        <v>0</v>
      </c>
      <c r="AJ4535" s="182" t="n">
        <v>0</v>
      </c>
      <c r="AK4535" s="182" t="n">
        <v>0</v>
      </c>
      <c r="AL4535" s="182" t="n">
        <v>0</v>
      </c>
      <c r="AM4535" s="182" t="n">
        <v>0.06</v>
      </c>
      <c r="AN4535" s="182" t="n">
        <v>0</v>
      </c>
    </row>
    <row r="4536">
      <c r="A4536" s="155" t="n">
        <v>46102</v>
      </c>
      <c r="B4536" s="156" t="inlineStr">
        <is>
          <t>NS</t>
        </is>
      </c>
      <c r="C4536" s="156" t="inlineStr">
        <is>
          <t>HT-408</t>
        </is>
      </c>
      <c r="D4536" s="156" t="inlineStr">
        <is>
          <t>SY430</t>
        </is>
      </c>
      <c r="E4536" s="156" t="inlineStr">
        <is>
          <t>DT Hauling</t>
        </is>
      </c>
      <c r="F4536" s="156" t="inlineStr">
        <is>
          <t>Hauling Coal ke Jetty</t>
        </is>
      </c>
      <c r="G4536" s="182" t="n">
        <v>10.48</v>
      </c>
      <c r="H4536" s="182" t="n">
        <v>0</v>
      </c>
      <c r="I4536" s="182" t="n">
        <v>0</v>
      </c>
      <c r="J4536" s="182" t="n">
        <v>0</v>
      </c>
      <c r="K4536" s="182" t="n">
        <v>1.52</v>
      </c>
      <c r="L4536" s="182" t="n">
        <v>12</v>
      </c>
      <c r="M4536" s="182" t="n">
        <v>0</v>
      </c>
      <c r="N4536" s="182" t="n">
        <v>0</v>
      </c>
      <c r="O4536" s="183" t="n">
        <v>0</v>
      </c>
      <c r="P4536" s="183" t="n">
        <v>0</v>
      </c>
      <c r="Q4536" s="184" t="n">
        <v>0</v>
      </c>
      <c r="R4536" s="184" t="n">
        <v>0</v>
      </c>
      <c r="S4536" s="183" t="n">
        <v>0</v>
      </c>
      <c r="T4536" s="183" t="n">
        <v>0</v>
      </c>
      <c r="U4536" s="182" t="n">
        <v>0</v>
      </c>
      <c r="V4536" s="182" t="n">
        <v>0</v>
      </c>
      <c r="W4536" s="182" t="n">
        <v>0</v>
      </c>
      <c r="X4536" s="182" t="n">
        <v>0.8</v>
      </c>
      <c r="Y4536" s="182" t="n">
        <v>0</v>
      </c>
      <c r="Z4536" s="182" t="n">
        <v>0</v>
      </c>
      <c r="AA4536" s="182" t="n">
        <v>0</v>
      </c>
      <c r="AB4536" s="182" t="n">
        <v>0</v>
      </c>
      <c r="AC4536" s="182" t="n">
        <v>0</v>
      </c>
      <c r="AD4536" s="182" t="n">
        <v>0</v>
      </c>
      <c r="AE4536" s="182" t="n">
        <v>0</v>
      </c>
      <c r="AF4536" s="182" t="n">
        <v>0</v>
      </c>
      <c r="AG4536" s="182" t="n">
        <v>0</v>
      </c>
      <c r="AH4536" s="182" t="n">
        <v>0.66</v>
      </c>
      <c r="AI4536" s="182" t="n">
        <v>0</v>
      </c>
      <c r="AJ4536" s="182" t="n">
        <v>0</v>
      </c>
      <c r="AK4536" s="182" t="n">
        <v>0</v>
      </c>
      <c r="AL4536" s="182" t="n">
        <v>0</v>
      </c>
      <c r="AM4536" s="182" t="n">
        <v>0.06</v>
      </c>
      <c r="AN4536" s="182" t="n">
        <v>0</v>
      </c>
    </row>
    <row r="4537">
      <c r="A4537" s="155" t="n">
        <v>46102</v>
      </c>
      <c r="B4537" s="156" t="inlineStr">
        <is>
          <t>NS</t>
        </is>
      </c>
      <c r="C4537" s="156" t="inlineStr">
        <is>
          <t>HT-412</t>
        </is>
      </c>
      <c r="D4537" s="156" t="inlineStr">
        <is>
          <t>SY430</t>
        </is>
      </c>
      <c r="E4537" s="156" t="inlineStr">
        <is>
          <t>DT Hauling</t>
        </is>
      </c>
      <c r="F4537" s="156" t="inlineStr">
        <is>
          <t>Hauling Coal ke Jetty</t>
        </is>
      </c>
      <c r="G4537" s="182" t="n">
        <v>9.84</v>
      </c>
      <c r="H4537" s="182" t="n">
        <v>0</v>
      </c>
      <c r="I4537" s="182" t="n">
        <v>0</v>
      </c>
      <c r="J4537" s="182" t="n">
        <v>0</v>
      </c>
      <c r="K4537" s="182" t="n">
        <v>2.16</v>
      </c>
      <c r="L4537" s="182" t="n">
        <v>12</v>
      </c>
      <c r="M4537" s="182" t="n">
        <v>0</v>
      </c>
      <c r="N4537" s="182" t="n">
        <v>0</v>
      </c>
      <c r="O4537" s="183" t="n">
        <v>0</v>
      </c>
      <c r="P4537" s="183" t="n">
        <v>0</v>
      </c>
      <c r="Q4537" s="184" t="n">
        <v>0</v>
      </c>
      <c r="R4537" s="184" t="n">
        <v>0</v>
      </c>
      <c r="S4537" s="183" t="n">
        <v>0</v>
      </c>
      <c r="T4537" s="183" t="n">
        <v>0</v>
      </c>
      <c r="U4537" s="182" t="n">
        <v>0</v>
      </c>
      <c r="V4537" s="182" t="n">
        <v>0</v>
      </c>
      <c r="W4537" s="182" t="n">
        <v>0</v>
      </c>
      <c r="X4537" s="182" t="n">
        <v>0.98</v>
      </c>
      <c r="Y4537" s="182" t="n">
        <v>0</v>
      </c>
      <c r="Z4537" s="182" t="n">
        <v>0</v>
      </c>
      <c r="AA4537" s="182" t="n">
        <v>0</v>
      </c>
      <c r="AB4537" s="182" t="n">
        <v>0</v>
      </c>
      <c r="AC4537" s="182" t="n">
        <v>0</v>
      </c>
      <c r="AD4537" s="182" t="n">
        <v>0</v>
      </c>
      <c r="AE4537" s="182" t="n">
        <v>0</v>
      </c>
      <c r="AF4537" s="182" t="n">
        <v>0</v>
      </c>
      <c r="AG4537" s="182" t="n">
        <v>0</v>
      </c>
      <c r="AH4537" s="182" t="n">
        <v>0</v>
      </c>
      <c r="AI4537" s="182" t="n">
        <v>0</v>
      </c>
      <c r="AJ4537" s="182" t="n">
        <v>0</v>
      </c>
      <c r="AK4537" s="182" t="n">
        <v>1.1</v>
      </c>
      <c r="AL4537" s="182" t="n">
        <v>0</v>
      </c>
      <c r="AM4537" s="182" t="n">
        <v>0.08</v>
      </c>
      <c r="AN4537" s="182" t="n">
        <v>0</v>
      </c>
    </row>
    <row r="4538">
      <c r="A4538" s="155" t="n">
        <v>46102</v>
      </c>
      <c r="B4538" s="156" t="inlineStr">
        <is>
          <t>NS</t>
        </is>
      </c>
      <c r="C4538" s="156" t="inlineStr">
        <is>
          <t>HT-413</t>
        </is>
      </c>
      <c r="D4538" s="156" t="inlineStr">
        <is>
          <t>SY430</t>
        </is>
      </c>
      <c r="E4538" s="156" t="inlineStr">
        <is>
          <t>DT Hauling</t>
        </is>
      </c>
      <c r="F4538" s="156" t="inlineStr"/>
      <c r="G4538" s="182" t="n">
        <v>0</v>
      </c>
      <c r="H4538" s="182" t="n">
        <v>0</v>
      </c>
      <c r="I4538" s="182" t="n">
        <v>12</v>
      </c>
      <c r="J4538" s="182" t="n">
        <v>12</v>
      </c>
      <c r="K4538" s="182" t="n">
        <v>0</v>
      </c>
      <c r="L4538" s="182" t="n">
        <v>12</v>
      </c>
      <c r="M4538" s="182" t="n">
        <v>0</v>
      </c>
      <c r="N4538" s="182" t="n">
        <v>0</v>
      </c>
      <c r="O4538" s="183" t="n">
        <v>0</v>
      </c>
      <c r="P4538" s="183" t="n">
        <v>0</v>
      </c>
      <c r="Q4538" s="184" t="n">
        <v>0</v>
      </c>
      <c r="R4538" s="184" t="n">
        <v>0</v>
      </c>
      <c r="S4538" s="183" t="n">
        <v>0</v>
      </c>
      <c r="T4538" s="183" t="n">
        <v>0</v>
      </c>
      <c r="U4538" s="182" t="n">
        <v>0</v>
      </c>
      <c r="V4538" s="182" t="n">
        <v>0</v>
      </c>
      <c r="W4538" s="182" t="n">
        <v>0</v>
      </c>
      <c r="X4538" s="182" t="n">
        <v>0</v>
      </c>
      <c r="Y4538" s="182" t="n">
        <v>0</v>
      </c>
      <c r="Z4538" s="182" t="n">
        <v>0</v>
      </c>
      <c r="AA4538" s="182" t="n">
        <v>0</v>
      </c>
      <c r="AB4538" s="182" t="n">
        <v>0</v>
      </c>
      <c r="AC4538" s="182" t="n">
        <v>0</v>
      </c>
      <c r="AD4538" s="182" t="n">
        <v>0</v>
      </c>
      <c r="AE4538" s="182" t="n">
        <v>0</v>
      </c>
      <c r="AF4538" s="182" t="n">
        <v>0</v>
      </c>
      <c r="AG4538" s="182" t="n">
        <v>0</v>
      </c>
      <c r="AH4538" s="182" t="n">
        <v>0</v>
      </c>
      <c r="AI4538" s="182" t="n">
        <v>0</v>
      </c>
      <c r="AJ4538" s="182" t="n">
        <v>0</v>
      </c>
      <c r="AK4538" s="182" t="n">
        <v>0</v>
      </c>
      <c r="AL4538" s="182" t="n">
        <v>0</v>
      </c>
      <c r="AM4538" s="182" t="n">
        <v>0</v>
      </c>
      <c r="AN4538" s="182" t="n">
        <v>0</v>
      </c>
    </row>
    <row r="4539">
      <c r="A4539" s="155" t="n">
        <v>46102</v>
      </c>
      <c r="B4539" s="156" t="inlineStr">
        <is>
          <t>NS</t>
        </is>
      </c>
      <c r="C4539" s="156" t="inlineStr">
        <is>
          <t>HT-407</t>
        </is>
      </c>
      <c r="D4539" s="156" t="inlineStr">
        <is>
          <t>SY430</t>
        </is>
      </c>
      <c r="E4539" s="156" t="inlineStr">
        <is>
          <t>DT Hauling</t>
        </is>
      </c>
      <c r="F4539" s="156" t="inlineStr">
        <is>
          <t>Hauling Coal ke Jetty</t>
        </is>
      </c>
      <c r="G4539" s="182" t="n">
        <v>11.03</v>
      </c>
      <c r="H4539" s="182" t="n">
        <v>0</v>
      </c>
      <c r="I4539" s="182" t="n">
        <v>0</v>
      </c>
      <c r="J4539" s="182" t="n">
        <v>0</v>
      </c>
      <c r="K4539" s="182" t="n">
        <v>0.97</v>
      </c>
      <c r="L4539" s="182" t="n">
        <v>12</v>
      </c>
      <c r="M4539" s="182" t="n">
        <v>0</v>
      </c>
      <c r="N4539" s="182" t="n">
        <v>0</v>
      </c>
      <c r="O4539" s="183" t="n">
        <v>0</v>
      </c>
      <c r="P4539" s="183" t="n">
        <v>0</v>
      </c>
      <c r="Q4539" s="184" t="n">
        <v>0</v>
      </c>
      <c r="R4539" s="184" t="n">
        <v>0</v>
      </c>
      <c r="S4539" s="183" t="n">
        <v>0</v>
      </c>
      <c r="T4539" s="183" t="n">
        <v>0</v>
      </c>
      <c r="U4539" s="182" t="n">
        <v>0</v>
      </c>
      <c r="V4539" s="182" t="n">
        <v>0</v>
      </c>
      <c r="W4539" s="182" t="n">
        <v>0</v>
      </c>
      <c r="X4539" s="182" t="n">
        <v>0.88</v>
      </c>
      <c r="Y4539" s="182" t="n">
        <v>0</v>
      </c>
      <c r="Z4539" s="182" t="n">
        <v>0</v>
      </c>
      <c r="AA4539" s="182" t="n">
        <v>0</v>
      </c>
      <c r="AB4539" s="182" t="n">
        <v>0</v>
      </c>
      <c r="AC4539" s="182" t="n">
        <v>0</v>
      </c>
      <c r="AD4539" s="182" t="n">
        <v>0</v>
      </c>
      <c r="AE4539" s="182" t="n">
        <v>0</v>
      </c>
      <c r="AF4539" s="182" t="n">
        <v>0</v>
      </c>
      <c r="AG4539" s="182" t="n">
        <v>0</v>
      </c>
      <c r="AH4539" s="182" t="n">
        <v>0</v>
      </c>
      <c r="AI4539" s="182" t="n">
        <v>0</v>
      </c>
      <c r="AJ4539" s="182" t="n">
        <v>0</v>
      </c>
      <c r="AK4539" s="182" t="n">
        <v>0</v>
      </c>
      <c r="AL4539" s="182" t="n">
        <v>0</v>
      </c>
      <c r="AM4539" s="182" t="n">
        <v>0.09</v>
      </c>
      <c r="AN4539" s="182" t="n">
        <v>0</v>
      </c>
    </row>
    <row r="4540">
      <c r="A4540" s="155" t="n">
        <v>46102</v>
      </c>
      <c r="B4540" s="156" t="inlineStr">
        <is>
          <t>NS</t>
        </is>
      </c>
      <c r="C4540" s="156" t="inlineStr">
        <is>
          <t>HT-414</t>
        </is>
      </c>
      <c r="D4540" s="156" t="inlineStr">
        <is>
          <t>SY430</t>
        </is>
      </c>
      <c r="E4540" s="156" t="inlineStr">
        <is>
          <t>DT Hauling</t>
        </is>
      </c>
      <c r="F4540" s="156" t="inlineStr"/>
      <c r="G4540" s="182" t="n">
        <v>0</v>
      </c>
      <c r="H4540" s="182" t="n">
        <v>0</v>
      </c>
      <c r="I4540" s="182" t="n">
        <v>1</v>
      </c>
      <c r="J4540" s="182" t="n">
        <v>1</v>
      </c>
      <c r="K4540" s="182" t="n">
        <v>11</v>
      </c>
      <c r="L4540" s="182" t="n">
        <v>12</v>
      </c>
      <c r="M4540" s="182" t="n">
        <v>0</v>
      </c>
      <c r="N4540" s="182" t="n">
        <v>0</v>
      </c>
      <c r="O4540" s="183" t="n">
        <v>0</v>
      </c>
      <c r="P4540" s="183" t="n">
        <v>0</v>
      </c>
      <c r="Q4540" s="184" t="n">
        <v>0</v>
      </c>
      <c r="R4540" s="184" t="n">
        <v>0</v>
      </c>
      <c r="S4540" s="183" t="n">
        <v>0</v>
      </c>
      <c r="T4540" s="183" t="n">
        <v>0</v>
      </c>
      <c r="U4540" s="182" t="n">
        <v>0</v>
      </c>
      <c r="V4540" s="182" t="n">
        <v>0</v>
      </c>
      <c r="W4540" s="182" t="n">
        <v>0</v>
      </c>
      <c r="X4540" s="182" t="n">
        <v>1</v>
      </c>
      <c r="Y4540" s="182" t="n">
        <v>0</v>
      </c>
      <c r="Z4540" s="182" t="n">
        <v>0</v>
      </c>
      <c r="AA4540" s="182" t="n">
        <v>0</v>
      </c>
      <c r="AB4540" s="182" t="n">
        <v>0</v>
      </c>
      <c r="AC4540" s="182" t="n">
        <v>0</v>
      </c>
      <c r="AD4540" s="182" t="n">
        <v>0</v>
      </c>
      <c r="AE4540" s="182" t="n">
        <v>0</v>
      </c>
      <c r="AF4540" s="182" t="n">
        <v>0</v>
      </c>
      <c r="AG4540" s="182" t="n">
        <v>0</v>
      </c>
      <c r="AH4540" s="182" t="n">
        <v>0</v>
      </c>
      <c r="AI4540" s="182" t="n">
        <v>0</v>
      </c>
      <c r="AJ4540" s="182" t="n">
        <v>0</v>
      </c>
      <c r="AK4540" s="182" t="n">
        <v>9.92</v>
      </c>
      <c r="AL4540" s="182" t="n">
        <v>0</v>
      </c>
      <c r="AM4540" s="182" t="n">
        <v>0.08</v>
      </c>
      <c r="AN4540" s="182" t="n">
        <v>0</v>
      </c>
    </row>
    <row r="4541">
      <c r="A4541" s="155" t="n">
        <v>46102</v>
      </c>
      <c r="B4541" s="156" t="inlineStr">
        <is>
          <t>NS</t>
        </is>
      </c>
      <c r="C4541" s="156" t="inlineStr">
        <is>
          <t>HT-411</t>
        </is>
      </c>
      <c r="D4541" s="156" t="inlineStr">
        <is>
          <t>SY430</t>
        </is>
      </c>
      <c r="E4541" s="156" t="inlineStr">
        <is>
          <t>DT Hauling</t>
        </is>
      </c>
      <c r="F4541" s="156" t="inlineStr">
        <is>
          <t>Hauling Coal ke Jetty</t>
        </is>
      </c>
      <c r="G4541" s="182" t="n">
        <v>10.09</v>
      </c>
      <c r="H4541" s="182" t="n">
        <v>0</v>
      </c>
      <c r="I4541" s="182" t="n">
        <v>0.33</v>
      </c>
      <c r="J4541" s="182" t="n">
        <v>0.33</v>
      </c>
      <c r="K4541" s="182" t="n">
        <v>1.58</v>
      </c>
      <c r="L4541" s="182" t="n">
        <v>12</v>
      </c>
      <c r="M4541" s="182" t="n">
        <v>0</v>
      </c>
      <c r="N4541" s="182" t="n">
        <v>0</v>
      </c>
      <c r="O4541" s="183" t="n">
        <v>0</v>
      </c>
      <c r="P4541" s="183" t="n">
        <v>0</v>
      </c>
      <c r="Q4541" s="184" t="n">
        <v>0</v>
      </c>
      <c r="R4541" s="184" t="n">
        <v>0</v>
      </c>
      <c r="S4541" s="183" t="n">
        <v>0</v>
      </c>
      <c r="T4541" s="183" t="n">
        <v>0</v>
      </c>
      <c r="U4541" s="182" t="n">
        <v>0</v>
      </c>
      <c r="V4541" s="182" t="n">
        <v>0</v>
      </c>
      <c r="W4541" s="182" t="n">
        <v>0</v>
      </c>
      <c r="X4541" s="182" t="n">
        <v>1.07</v>
      </c>
      <c r="Y4541" s="182" t="n">
        <v>0</v>
      </c>
      <c r="Z4541" s="182" t="n">
        <v>0</v>
      </c>
      <c r="AA4541" s="182" t="n">
        <v>0</v>
      </c>
      <c r="AB4541" s="182" t="n">
        <v>0</v>
      </c>
      <c r="AC4541" s="182" t="n">
        <v>0</v>
      </c>
      <c r="AD4541" s="182" t="n">
        <v>0</v>
      </c>
      <c r="AE4541" s="182" t="n">
        <v>0</v>
      </c>
      <c r="AF4541" s="182" t="n">
        <v>0</v>
      </c>
      <c r="AG4541" s="182" t="n">
        <v>0</v>
      </c>
      <c r="AH4541" s="182" t="n">
        <v>0.41</v>
      </c>
      <c r="AI4541" s="182" t="n">
        <v>0</v>
      </c>
      <c r="AJ4541" s="182" t="n">
        <v>0</v>
      </c>
      <c r="AK4541" s="182" t="n">
        <v>0</v>
      </c>
      <c r="AL4541" s="182" t="n">
        <v>0</v>
      </c>
      <c r="AM4541" s="182" t="n">
        <v>0.09</v>
      </c>
      <c r="AN4541" s="182" t="n">
        <v>0</v>
      </c>
    </row>
    <row r="4542">
      <c r="A4542" s="155" t="n">
        <v>46102</v>
      </c>
      <c r="B4542" s="156" t="inlineStr">
        <is>
          <t>NS</t>
        </is>
      </c>
      <c r="C4542" s="156" t="inlineStr">
        <is>
          <t>HT-409</t>
        </is>
      </c>
      <c r="D4542" s="156" t="inlineStr">
        <is>
          <t>SY430</t>
        </is>
      </c>
      <c r="E4542" s="156" t="inlineStr">
        <is>
          <t>DT Hauling</t>
        </is>
      </c>
      <c r="F4542" s="156" t="inlineStr"/>
      <c r="G4542" s="182" t="n">
        <v>0</v>
      </c>
      <c r="H4542" s="182" t="n">
        <v>0</v>
      </c>
      <c r="I4542" s="182" t="n">
        <v>0</v>
      </c>
      <c r="J4542" s="182" t="n">
        <v>0</v>
      </c>
      <c r="K4542" s="182" t="n">
        <v>12</v>
      </c>
      <c r="L4542" s="182" t="n">
        <v>12</v>
      </c>
      <c r="M4542" s="182" t="n">
        <v>0</v>
      </c>
      <c r="N4542" s="182" t="n">
        <v>0</v>
      </c>
      <c r="O4542" s="183" t="n">
        <v>0</v>
      </c>
      <c r="P4542" s="183" t="n">
        <v>0</v>
      </c>
      <c r="Q4542" s="184" t="n">
        <v>0</v>
      </c>
      <c r="R4542" s="184" t="n">
        <v>0</v>
      </c>
      <c r="S4542" s="183" t="n">
        <v>0</v>
      </c>
      <c r="T4542" s="183" t="n">
        <v>0</v>
      </c>
      <c r="U4542" s="182" t="n">
        <v>0</v>
      </c>
      <c r="V4542" s="182" t="n">
        <v>0</v>
      </c>
      <c r="W4542" s="182" t="n">
        <v>0</v>
      </c>
      <c r="X4542" s="182" t="n">
        <v>1</v>
      </c>
      <c r="Y4542" s="182" t="n">
        <v>0</v>
      </c>
      <c r="Z4542" s="182" t="n">
        <v>0</v>
      </c>
      <c r="AA4542" s="182" t="n">
        <v>0</v>
      </c>
      <c r="AB4542" s="182" t="n">
        <v>0</v>
      </c>
      <c r="AC4542" s="182" t="n">
        <v>0</v>
      </c>
      <c r="AD4542" s="182" t="n">
        <v>0</v>
      </c>
      <c r="AE4542" s="182" t="n">
        <v>0</v>
      </c>
      <c r="AF4542" s="182" t="n">
        <v>0</v>
      </c>
      <c r="AG4542" s="182" t="n">
        <v>0</v>
      </c>
      <c r="AH4542" s="182" t="n">
        <v>0</v>
      </c>
      <c r="AI4542" s="182" t="n">
        <v>0</v>
      </c>
      <c r="AJ4542" s="182" t="n">
        <v>0</v>
      </c>
      <c r="AK4542" s="182" t="n">
        <v>10.92</v>
      </c>
      <c r="AL4542" s="182" t="n">
        <v>0</v>
      </c>
      <c r="AM4542" s="182" t="n">
        <v>0.08</v>
      </c>
      <c r="AN4542" s="182" t="n">
        <v>0</v>
      </c>
    </row>
    <row r="4543">
      <c r="A4543" s="155" t="n">
        <v>46102</v>
      </c>
      <c r="B4543" s="156" t="inlineStr">
        <is>
          <t>NS</t>
        </is>
      </c>
      <c r="C4543" s="156" t="inlineStr">
        <is>
          <t>DH-103</t>
        </is>
      </c>
      <c r="D4543" s="156" t="inlineStr">
        <is>
          <t>HINO FM260</t>
        </is>
      </c>
      <c r="E4543" s="156" t="inlineStr">
        <is>
          <t>DT Hino</t>
        </is>
      </c>
      <c r="F4543" s="156" t="inlineStr"/>
      <c r="G4543" s="182" t="n">
        <v>0</v>
      </c>
      <c r="H4543" s="182" t="n">
        <v>0</v>
      </c>
      <c r="I4543" s="182" t="n">
        <v>12</v>
      </c>
      <c r="J4543" s="182" t="n">
        <v>12</v>
      </c>
      <c r="K4543" s="182" t="n">
        <v>0</v>
      </c>
      <c r="L4543" s="182" t="n">
        <v>12</v>
      </c>
      <c r="M4543" s="182" t="n">
        <v>0</v>
      </c>
      <c r="N4543" s="182" t="n">
        <v>0</v>
      </c>
      <c r="O4543" s="183" t="n">
        <v>0</v>
      </c>
      <c r="P4543" s="183" t="n">
        <v>0</v>
      </c>
      <c r="Q4543" s="184" t="n">
        <v>0</v>
      </c>
      <c r="R4543" s="184" t="n">
        <v>0</v>
      </c>
      <c r="S4543" s="183" t="n">
        <v>0</v>
      </c>
      <c r="T4543" s="183" t="n">
        <v>0</v>
      </c>
      <c r="U4543" s="182" t="n">
        <v>0</v>
      </c>
      <c r="V4543" s="182" t="n">
        <v>0</v>
      </c>
      <c r="W4543" s="182" t="n">
        <v>0</v>
      </c>
      <c r="X4543" s="182" t="n">
        <v>0</v>
      </c>
      <c r="Y4543" s="182" t="n">
        <v>0</v>
      </c>
      <c r="Z4543" s="182" t="n">
        <v>0</v>
      </c>
      <c r="AA4543" s="182" t="n">
        <v>0</v>
      </c>
      <c r="AB4543" s="182" t="n">
        <v>0</v>
      </c>
      <c r="AC4543" s="182" t="n">
        <v>0</v>
      </c>
      <c r="AD4543" s="182" t="n">
        <v>0</v>
      </c>
      <c r="AE4543" s="182" t="n">
        <v>0</v>
      </c>
      <c r="AF4543" s="182" t="n">
        <v>0</v>
      </c>
      <c r="AG4543" s="182" t="n">
        <v>0</v>
      </c>
      <c r="AH4543" s="182" t="n">
        <v>0</v>
      </c>
      <c r="AI4543" s="182" t="n">
        <v>0</v>
      </c>
      <c r="AJ4543" s="182" t="n">
        <v>0</v>
      </c>
      <c r="AK4543" s="182" t="n">
        <v>0</v>
      </c>
      <c r="AL4543" s="182" t="n">
        <v>0</v>
      </c>
      <c r="AM4543" s="182" t="n">
        <v>0</v>
      </c>
      <c r="AN4543" s="182" t="n">
        <v>0</v>
      </c>
    </row>
    <row r="4544">
      <c r="A4544" s="155" t="n">
        <v>46102</v>
      </c>
      <c r="B4544" s="156" t="inlineStr">
        <is>
          <t>NS</t>
        </is>
      </c>
      <c r="C4544" s="156" t="inlineStr">
        <is>
          <t>DH-102</t>
        </is>
      </c>
      <c r="D4544" s="156" t="inlineStr">
        <is>
          <t>HINO FM260</t>
        </is>
      </c>
      <c r="E4544" s="156" t="inlineStr">
        <is>
          <t>DT Hino</t>
        </is>
      </c>
      <c r="F4544" s="156" t="inlineStr"/>
      <c r="G4544" s="182" t="n">
        <v>0</v>
      </c>
      <c r="H4544" s="182" t="n">
        <v>0</v>
      </c>
      <c r="I4544" s="182" t="n">
        <v>0</v>
      </c>
      <c r="J4544" s="182" t="n">
        <v>0</v>
      </c>
      <c r="K4544" s="182" t="n">
        <v>12</v>
      </c>
      <c r="L4544" s="182" t="n">
        <v>12</v>
      </c>
      <c r="M4544" s="182" t="n">
        <v>0</v>
      </c>
      <c r="N4544" s="182" t="n">
        <v>0</v>
      </c>
      <c r="O4544" s="183" t="n">
        <v>0</v>
      </c>
      <c r="P4544" s="183" t="n">
        <v>0</v>
      </c>
      <c r="Q4544" s="184" t="n">
        <v>0</v>
      </c>
      <c r="R4544" s="184" t="n">
        <v>0</v>
      </c>
      <c r="S4544" s="183" t="n">
        <v>0</v>
      </c>
      <c r="T4544" s="183" t="n">
        <v>0</v>
      </c>
      <c r="U4544" s="182" t="n">
        <v>1.5</v>
      </c>
      <c r="V4544" s="182" t="n">
        <v>0</v>
      </c>
      <c r="W4544" s="182" t="n">
        <v>0</v>
      </c>
      <c r="X4544" s="182" t="n">
        <v>1</v>
      </c>
      <c r="Y4544" s="182" t="n">
        <v>0</v>
      </c>
      <c r="Z4544" s="182" t="n">
        <v>0</v>
      </c>
      <c r="AA4544" s="182" t="n">
        <v>0</v>
      </c>
      <c r="AB4544" s="182" t="n">
        <v>0</v>
      </c>
      <c r="AC4544" s="182" t="n">
        <v>0</v>
      </c>
      <c r="AD4544" s="182" t="n">
        <v>0</v>
      </c>
      <c r="AE4544" s="182" t="n">
        <v>0</v>
      </c>
      <c r="AF4544" s="182" t="n">
        <v>0</v>
      </c>
      <c r="AG4544" s="182" t="n">
        <v>0</v>
      </c>
      <c r="AH4544" s="182" t="n">
        <v>0</v>
      </c>
      <c r="AI4544" s="182" t="n">
        <v>0</v>
      </c>
      <c r="AJ4544" s="182" t="n">
        <v>0</v>
      </c>
      <c r="AK4544" s="182" t="n">
        <v>9.42</v>
      </c>
      <c r="AL4544" s="182" t="n">
        <v>0</v>
      </c>
      <c r="AM4544" s="182" t="n">
        <v>0.08</v>
      </c>
      <c r="AN4544" s="182" t="n">
        <v>0</v>
      </c>
    </row>
    <row r="4545">
      <c r="A4545" s="155" t="n">
        <v>46102</v>
      </c>
      <c r="B4545" s="156" t="inlineStr">
        <is>
          <t>NS</t>
        </is>
      </c>
      <c r="C4545" s="156" t="inlineStr">
        <is>
          <t>DH-101</t>
        </is>
      </c>
      <c r="D4545" s="156" t="inlineStr">
        <is>
          <t>HINO FM260</t>
        </is>
      </c>
      <c r="E4545" s="156" t="inlineStr">
        <is>
          <t>DT Hino</t>
        </is>
      </c>
      <c r="F4545" s="156" t="inlineStr"/>
      <c r="G4545" s="182" t="n">
        <v>0</v>
      </c>
      <c r="H4545" s="182" t="n">
        <v>0</v>
      </c>
      <c r="I4545" s="182" t="n">
        <v>0</v>
      </c>
      <c r="J4545" s="182" t="n">
        <v>0</v>
      </c>
      <c r="K4545" s="182" t="n">
        <v>12</v>
      </c>
      <c r="L4545" s="182" t="n">
        <v>12</v>
      </c>
      <c r="M4545" s="182" t="n">
        <v>0</v>
      </c>
      <c r="N4545" s="182" t="n">
        <v>0</v>
      </c>
      <c r="O4545" s="183" t="n">
        <v>0</v>
      </c>
      <c r="P4545" s="183" t="n">
        <v>0</v>
      </c>
      <c r="Q4545" s="184" t="n">
        <v>0</v>
      </c>
      <c r="R4545" s="184" t="n">
        <v>0</v>
      </c>
      <c r="S4545" s="183" t="n">
        <v>0</v>
      </c>
      <c r="T4545" s="183" t="n">
        <v>0</v>
      </c>
      <c r="U4545" s="182" t="n">
        <v>1.5</v>
      </c>
      <c r="V4545" s="182" t="n">
        <v>0</v>
      </c>
      <c r="W4545" s="182" t="n">
        <v>0</v>
      </c>
      <c r="X4545" s="182" t="n">
        <v>1</v>
      </c>
      <c r="Y4545" s="182" t="n">
        <v>0</v>
      </c>
      <c r="Z4545" s="182" t="n">
        <v>0</v>
      </c>
      <c r="AA4545" s="182" t="n">
        <v>0</v>
      </c>
      <c r="AB4545" s="182" t="n">
        <v>0</v>
      </c>
      <c r="AC4545" s="182" t="n">
        <v>0</v>
      </c>
      <c r="AD4545" s="182" t="n">
        <v>0</v>
      </c>
      <c r="AE4545" s="182" t="n">
        <v>0</v>
      </c>
      <c r="AF4545" s="182" t="n">
        <v>0</v>
      </c>
      <c r="AG4545" s="182" t="n">
        <v>0</v>
      </c>
      <c r="AH4545" s="182" t="n">
        <v>0</v>
      </c>
      <c r="AI4545" s="182" t="n">
        <v>0</v>
      </c>
      <c r="AJ4545" s="182" t="n">
        <v>0</v>
      </c>
      <c r="AK4545" s="182" t="n">
        <v>9.42</v>
      </c>
      <c r="AL4545" s="182" t="n">
        <v>0</v>
      </c>
      <c r="AM4545" s="182" t="n">
        <v>0.08</v>
      </c>
      <c r="AN4545" s="182" t="n">
        <v>0</v>
      </c>
    </row>
    <row r="4546">
      <c r="A4546" s="155" t="n">
        <v>46102</v>
      </c>
      <c r="B4546" s="156" t="inlineStr">
        <is>
          <t>NS</t>
        </is>
      </c>
      <c r="C4546" s="156" t="inlineStr">
        <is>
          <t>EX-1251</t>
        </is>
      </c>
      <c r="D4546" s="156" t="inlineStr">
        <is>
          <t>SY1250</t>
        </is>
      </c>
      <c r="E4546" s="156" t="inlineStr">
        <is>
          <t>Excavator</t>
        </is>
      </c>
      <c r="F4546" s="156" t="inlineStr">
        <is>
          <t>Loading OB</t>
        </is>
      </c>
      <c r="G4546" s="182" t="n">
        <v>2.73</v>
      </c>
      <c r="H4546" s="182" t="n">
        <v>0</v>
      </c>
      <c r="I4546" s="182" t="n">
        <v>8.48</v>
      </c>
      <c r="J4546" s="182" t="n">
        <v>8.48</v>
      </c>
      <c r="K4546" s="182" t="n">
        <v>0.79</v>
      </c>
      <c r="L4546" s="182" t="n">
        <v>12</v>
      </c>
      <c r="M4546" s="182" t="n">
        <v>2.37</v>
      </c>
      <c r="N4546" s="182" t="n">
        <v>0</v>
      </c>
      <c r="O4546" s="183" t="n">
        <v>48</v>
      </c>
      <c r="P4546" s="183" t="n">
        <v>0</v>
      </c>
      <c r="Q4546" s="184" t="n">
        <v>979.2</v>
      </c>
      <c r="R4546" s="184" t="n">
        <v>0</v>
      </c>
      <c r="S4546" s="183" t="n">
        <v>0</v>
      </c>
      <c r="T4546" s="183" t="n">
        <v>0</v>
      </c>
      <c r="U4546" s="182" t="n">
        <v>0</v>
      </c>
      <c r="V4546" s="182" t="n">
        <v>0</v>
      </c>
      <c r="W4546" s="182" t="n">
        <v>0</v>
      </c>
      <c r="X4546" s="182" t="n">
        <v>0.79</v>
      </c>
      <c r="Y4546" s="182" t="n">
        <v>0</v>
      </c>
      <c r="Z4546" s="182" t="n">
        <v>0</v>
      </c>
      <c r="AA4546" s="182" t="n">
        <v>0</v>
      </c>
      <c r="AB4546" s="182" t="n">
        <v>0</v>
      </c>
      <c r="AC4546" s="182" t="n">
        <v>0</v>
      </c>
      <c r="AD4546" s="182" t="n">
        <v>0</v>
      </c>
      <c r="AE4546" s="182" t="n">
        <v>0</v>
      </c>
      <c r="AF4546" s="182" t="n">
        <v>0</v>
      </c>
      <c r="AG4546" s="182" t="n">
        <v>0</v>
      </c>
      <c r="AH4546" s="182" t="n">
        <v>0</v>
      </c>
      <c r="AI4546" s="182" t="n">
        <v>0</v>
      </c>
      <c r="AJ4546" s="182" t="n">
        <v>0</v>
      </c>
      <c r="AK4546" s="182" t="n">
        <v>0</v>
      </c>
      <c r="AL4546" s="182" t="n">
        <v>0</v>
      </c>
      <c r="AM4546" s="182" t="n">
        <v>0</v>
      </c>
      <c r="AN4546" s="182" t="n">
        <v>0</v>
      </c>
    </row>
    <row r="4547">
      <c r="A4547" s="155" t="n">
        <v>46102</v>
      </c>
      <c r="B4547" s="156" t="inlineStr">
        <is>
          <t>NS</t>
        </is>
      </c>
      <c r="C4547" s="156" t="inlineStr">
        <is>
          <t>EX-1252</t>
        </is>
      </c>
      <c r="D4547" s="156" t="inlineStr">
        <is>
          <t>SY1250</t>
        </is>
      </c>
      <c r="E4547" s="156" t="inlineStr">
        <is>
          <t>Excavator</t>
        </is>
      </c>
      <c r="F4547" s="156" t="inlineStr"/>
      <c r="G4547" s="182" t="n">
        <v>0</v>
      </c>
      <c r="H4547" s="182" t="n">
        <v>0</v>
      </c>
      <c r="I4547" s="182" t="n">
        <v>12</v>
      </c>
      <c r="J4547" s="182" t="n">
        <v>12</v>
      </c>
      <c r="K4547" s="182" t="n">
        <v>0</v>
      </c>
      <c r="L4547" s="182" t="n">
        <v>12</v>
      </c>
      <c r="M4547" s="182" t="n">
        <v>0</v>
      </c>
      <c r="N4547" s="182" t="n">
        <v>0</v>
      </c>
      <c r="O4547" s="183" t="n">
        <v>0</v>
      </c>
      <c r="P4547" s="183" t="n">
        <v>0</v>
      </c>
      <c r="Q4547" s="184" t="n">
        <v>0</v>
      </c>
      <c r="R4547" s="184" t="n">
        <v>0</v>
      </c>
      <c r="S4547" s="183" t="n">
        <v>0</v>
      </c>
      <c r="T4547" s="183" t="n">
        <v>0</v>
      </c>
      <c r="U4547" s="182" t="n">
        <v>0</v>
      </c>
      <c r="V4547" s="182" t="n">
        <v>0</v>
      </c>
      <c r="W4547" s="182" t="n">
        <v>0</v>
      </c>
      <c r="X4547" s="182" t="n">
        <v>0</v>
      </c>
      <c r="Y4547" s="182" t="n">
        <v>0</v>
      </c>
      <c r="Z4547" s="182" t="n">
        <v>0</v>
      </c>
      <c r="AA4547" s="182" t="n">
        <v>0</v>
      </c>
      <c r="AB4547" s="182" t="n">
        <v>0</v>
      </c>
      <c r="AC4547" s="182" t="n">
        <v>0</v>
      </c>
      <c r="AD4547" s="182" t="n">
        <v>0</v>
      </c>
      <c r="AE4547" s="182" t="n">
        <v>0</v>
      </c>
      <c r="AF4547" s="182" t="n">
        <v>0</v>
      </c>
      <c r="AG4547" s="182" t="n">
        <v>0</v>
      </c>
      <c r="AH4547" s="182" t="n">
        <v>0</v>
      </c>
      <c r="AI4547" s="182" t="n">
        <v>0</v>
      </c>
      <c r="AJ4547" s="182" t="n">
        <v>0</v>
      </c>
      <c r="AK4547" s="182" t="n">
        <v>0</v>
      </c>
      <c r="AL4547" s="182" t="n">
        <v>0</v>
      </c>
      <c r="AM4547" s="182" t="n">
        <v>0</v>
      </c>
      <c r="AN4547" s="182" t="n">
        <v>0</v>
      </c>
    </row>
    <row r="4548">
      <c r="A4548" s="155" t="n">
        <v>46102</v>
      </c>
      <c r="B4548" s="156" t="inlineStr">
        <is>
          <t>NS</t>
        </is>
      </c>
      <c r="C4548" s="156" t="inlineStr">
        <is>
          <t>EX-2101</t>
        </is>
      </c>
      <c r="D4548" s="156" t="inlineStr">
        <is>
          <t>SY2000</t>
        </is>
      </c>
      <c r="E4548" s="156" t="inlineStr">
        <is>
          <t>Excavator</t>
        </is>
      </c>
      <c r="F4548" s="156" t="inlineStr"/>
      <c r="G4548" s="182" t="n">
        <v>0</v>
      </c>
      <c r="H4548" s="182" t="n">
        <v>0</v>
      </c>
      <c r="I4548" s="182" t="n">
        <v>0</v>
      </c>
      <c r="J4548" s="182" t="n">
        <v>0</v>
      </c>
      <c r="K4548" s="182" t="n">
        <v>12</v>
      </c>
      <c r="L4548" s="182" t="n">
        <v>12</v>
      </c>
      <c r="M4548" s="182" t="n">
        <v>0</v>
      </c>
      <c r="N4548" s="182" t="n">
        <v>0</v>
      </c>
      <c r="O4548" s="183" t="n">
        <v>0</v>
      </c>
      <c r="P4548" s="183" t="n">
        <v>0</v>
      </c>
      <c r="Q4548" s="184" t="n">
        <v>0</v>
      </c>
      <c r="R4548" s="184" t="n">
        <v>0</v>
      </c>
      <c r="S4548" s="183" t="n">
        <v>0</v>
      </c>
      <c r="T4548" s="183" t="n">
        <v>0</v>
      </c>
      <c r="U4548" s="182" t="n">
        <v>1.5</v>
      </c>
      <c r="V4548" s="182" t="n">
        <v>0</v>
      </c>
      <c r="W4548" s="182" t="n">
        <v>0</v>
      </c>
      <c r="X4548" s="182" t="n">
        <v>1</v>
      </c>
      <c r="Y4548" s="182" t="n">
        <v>0</v>
      </c>
      <c r="Z4548" s="182" t="n">
        <v>0</v>
      </c>
      <c r="AA4548" s="182" t="n">
        <v>0</v>
      </c>
      <c r="AB4548" s="182" t="n">
        <v>0</v>
      </c>
      <c r="AC4548" s="182" t="n">
        <v>0</v>
      </c>
      <c r="AD4548" s="182" t="n">
        <v>9.42</v>
      </c>
      <c r="AE4548" s="182" t="n">
        <v>0</v>
      </c>
      <c r="AF4548" s="182" t="n">
        <v>0</v>
      </c>
      <c r="AG4548" s="182" t="n">
        <v>0</v>
      </c>
      <c r="AH4548" s="182" t="n">
        <v>0</v>
      </c>
      <c r="AI4548" s="182" t="n">
        <v>0</v>
      </c>
      <c r="AJ4548" s="182" t="n">
        <v>0</v>
      </c>
      <c r="AK4548" s="182" t="n">
        <v>0</v>
      </c>
      <c r="AL4548" s="182" t="n">
        <v>0</v>
      </c>
      <c r="AM4548" s="182" t="n">
        <v>0.08</v>
      </c>
      <c r="AN4548" s="182" t="n">
        <v>0</v>
      </c>
    </row>
    <row r="4549">
      <c r="A4549" s="155" t="n">
        <v>46102</v>
      </c>
      <c r="B4549" s="156" t="inlineStr">
        <is>
          <t>NS</t>
        </is>
      </c>
      <c r="C4549" s="156" t="inlineStr">
        <is>
          <t>EX-222</t>
        </is>
      </c>
      <c r="D4549" s="156" t="inlineStr">
        <is>
          <t>PC 200-8MI</t>
        </is>
      </c>
      <c r="E4549" s="156" t="inlineStr">
        <is>
          <t>Excavator</t>
        </is>
      </c>
      <c r="F4549" s="156" t="inlineStr">
        <is>
          <t>General Area Washing Plant</t>
        </is>
      </c>
      <c r="G4549" s="182" t="n">
        <v>11.49</v>
      </c>
      <c r="H4549" s="182" t="n">
        <v>0</v>
      </c>
      <c r="I4549" s="182" t="n">
        <v>0.5</v>
      </c>
      <c r="J4549" s="182" t="n">
        <v>0.5</v>
      </c>
      <c r="K4549" s="182" t="n">
        <v>0.01</v>
      </c>
      <c r="L4549" s="182" t="n">
        <v>12</v>
      </c>
      <c r="M4549" s="182" t="n">
        <v>0</v>
      </c>
      <c r="N4549" s="182" t="n">
        <v>0</v>
      </c>
      <c r="O4549" s="183" t="n">
        <v>0</v>
      </c>
      <c r="P4549" s="183" t="n">
        <v>0</v>
      </c>
      <c r="Q4549" s="184" t="n">
        <v>0</v>
      </c>
      <c r="R4549" s="184" t="n">
        <v>0</v>
      </c>
      <c r="S4549" s="183" t="n">
        <v>0</v>
      </c>
      <c r="T4549" s="183" t="n">
        <v>0</v>
      </c>
      <c r="U4549" s="182" t="n">
        <v>0</v>
      </c>
      <c r="V4549" s="182" t="n">
        <v>0</v>
      </c>
      <c r="W4549" s="182" t="n">
        <v>0</v>
      </c>
      <c r="X4549" s="182" t="n">
        <v>0</v>
      </c>
      <c r="Y4549" s="182" t="n">
        <v>0</v>
      </c>
      <c r="Z4549" s="182" t="n">
        <v>0</v>
      </c>
      <c r="AA4549" s="182" t="n">
        <v>0</v>
      </c>
      <c r="AB4549" s="182" t="n">
        <v>0</v>
      </c>
      <c r="AC4549" s="182" t="n">
        <v>0</v>
      </c>
      <c r="AD4549" s="182" t="n">
        <v>0</v>
      </c>
      <c r="AE4549" s="182" t="n">
        <v>0</v>
      </c>
      <c r="AF4549" s="182" t="n">
        <v>0</v>
      </c>
      <c r="AG4549" s="182" t="n">
        <v>0</v>
      </c>
      <c r="AH4549" s="182" t="n">
        <v>0</v>
      </c>
      <c r="AI4549" s="182" t="n">
        <v>0</v>
      </c>
      <c r="AJ4549" s="182" t="n">
        <v>0</v>
      </c>
      <c r="AK4549" s="182" t="n">
        <v>0</v>
      </c>
      <c r="AL4549" s="182" t="n">
        <v>0</v>
      </c>
      <c r="AM4549" s="182" t="n">
        <v>0</v>
      </c>
      <c r="AN4549" s="182" t="n">
        <v>0</v>
      </c>
    </row>
    <row r="4550">
      <c r="A4550" s="155" t="n">
        <v>46102</v>
      </c>
      <c r="B4550" s="156" t="inlineStr">
        <is>
          <t>NS</t>
        </is>
      </c>
      <c r="C4550" s="156" t="inlineStr">
        <is>
          <t>EX-225</t>
        </is>
      </c>
      <c r="D4550" s="156" t="inlineStr">
        <is>
          <t>PC 200-8</t>
        </is>
      </c>
      <c r="E4550" s="156" t="inlineStr">
        <is>
          <t>Excavator</t>
        </is>
      </c>
      <c r="F4550" s="156" t="inlineStr"/>
      <c r="G4550" s="182" t="n">
        <v>0</v>
      </c>
      <c r="H4550" s="182" t="n">
        <v>0</v>
      </c>
      <c r="I4550" s="182" t="n">
        <v>12</v>
      </c>
      <c r="J4550" s="182" t="n">
        <v>12</v>
      </c>
      <c r="K4550" s="182" t="n">
        <v>0</v>
      </c>
      <c r="L4550" s="182" t="n">
        <v>12</v>
      </c>
      <c r="M4550" s="182" t="n">
        <v>0</v>
      </c>
      <c r="N4550" s="182" t="n">
        <v>0</v>
      </c>
      <c r="O4550" s="183" t="n">
        <v>0</v>
      </c>
      <c r="P4550" s="183" t="n">
        <v>0</v>
      </c>
      <c r="Q4550" s="184" t="n">
        <v>0</v>
      </c>
      <c r="R4550" s="184" t="n">
        <v>0</v>
      </c>
      <c r="S4550" s="183" t="n">
        <v>0</v>
      </c>
      <c r="T4550" s="183" t="n">
        <v>0</v>
      </c>
      <c r="U4550" s="182" t="n">
        <v>0</v>
      </c>
      <c r="V4550" s="182" t="n">
        <v>0</v>
      </c>
      <c r="W4550" s="182" t="n">
        <v>0</v>
      </c>
      <c r="X4550" s="182" t="n">
        <v>0</v>
      </c>
      <c r="Y4550" s="182" t="n">
        <v>0</v>
      </c>
      <c r="Z4550" s="182" t="n">
        <v>0</v>
      </c>
      <c r="AA4550" s="182" t="n">
        <v>0</v>
      </c>
      <c r="AB4550" s="182" t="n">
        <v>0</v>
      </c>
      <c r="AC4550" s="182" t="n">
        <v>0</v>
      </c>
      <c r="AD4550" s="182" t="n">
        <v>0</v>
      </c>
      <c r="AE4550" s="182" t="n">
        <v>0</v>
      </c>
      <c r="AF4550" s="182" t="n">
        <v>0</v>
      </c>
      <c r="AG4550" s="182" t="n">
        <v>0</v>
      </c>
      <c r="AH4550" s="182" t="n">
        <v>0</v>
      </c>
      <c r="AI4550" s="182" t="n">
        <v>0</v>
      </c>
      <c r="AJ4550" s="182" t="n">
        <v>0</v>
      </c>
      <c r="AK4550" s="182" t="n">
        <v>0</v>
      </c>
      <c r="AL4550" s="182" t="n">
        <v>0</v>
      </c>
      <c r="AM4550" s="182" t="n">
        <v>0</v>
      </c>
      <c r="AN4550" s="182" t="n">
        <v>0</v>
      </c>
    </row>
    <row r="4551">
      <c r="A4551" s="155" t="n">
        <v>46102</v>
      </c>
      <c r="B4551" s="156" t="inlineStr">
        <is>
          <t>NS</t>
        </is>
      </c>
      <c r="C4551" s="156" t="inlineStr">
        <is>
          <t>EX-223</t>
        </is>
      </c>
      <c r="D4551" s="156" t="inlineStr">
        <is>
          <t>PC 200-8MI</t>
        </is>
      </c>
      <c r="E4551" s="156" t="inlineStr">
        <is>
          <t>Excavator</t>
        </is>
      </c>
      <c r="F4551" s="156" t="inlineStr">
        <is>
          <t>General</t>
        </is>
      </c>
      <c r="G4551" s="182" t="n">
        <v>4.1</v>
      </c>
      <c r="H4551" s="182" t="n">
        <v>0</v>
      </c>
      <c r="I4551" s="182" t="n">
        <v>0</v>
      </c>
      <c r="J4551" s="182" t="n">
        <v>0</v>
      </c>
      <c r="K4551" s="182" t="n">
        <v>7.9</v>
      </c>
      <c r="L4551" s="182" t="n">
        <v>12</v>
      </c>
      <c r="M4551" s="182" t="n">
        <v>0</v>
      </c>
      <c r="N4551" s="182" t="n">
        <v>0</v>
      </c>
      <c r="O4551" s="183" t="n">
        <v>0</v>
      </c>
      <c r="P4551" s="183" t="n">
        <v>0</v>
      </c>
      <c r="Q4551" s="184" t="n">
        <v>0</v>
      </c>
      <c r="R4551" s="184" t="n">
        <v>0</v>
      </c>
      <c r="S4551" s="183" t="n">
        <v>0</v>
      </c>
      <c r="T4551" s="183" t="n">
        <v>0</v>
      </c>
      <c r="U4551" s="182" t="n">
        <v>1.54</v>
      </c>
      <c r="V4551" s="182" t="n">
        <v>0</v>
      </c>
      <c r="W4551" s="182" t="n">
        <v>0</v>
      </c>
      <c r="X4551" s="182" t="n">
        <v>1.03</v>
      </c>
      <c r="Y4551" s="182" t="n">
        <v>0</v>
      </c>
      <c r="Z4551" s="182" t="n">
        <v>0</v>
      </c>
      <c r="AA4551" s="182" t="n">
        <v>0</v>
      </c>
      <c r="AB4551" s="182" t="n">
        <v>0</v>
      </c>
      <c r="AC4551" s="182" t="n">
        <v>0</v>
      </c>
      <c r="AD4551" s="182" t="n">
        <v>0</v>
      </c>
      <c r="AE4551" s="182" t="n">
        <v>0</v>
      </c>
      <c r="AF4551" s="182" t="n">
        <v>0</v>
      </c>
      <c r="AG4551" s="182" t="n">
        <v>0</v>
      </c>
      <c r="AH4551" s="182" t="n">
        <v>0</v>
      </c>
      <c r="AI4551" s="182" t="n">
        <v>0</v>
      </c>
      <c r="AJ4551" s="182" t="n">
        <v>0</v>
      </c>
      <c r="AK4551" s="182" t="n">
        <v>5.25</v>
      </c>
      <c r="AL4551" s="182" t="n">
        <v>0</v>
      </c>
      <c r="AM4551" s="182" t="n">
        <v>0.08</v>
      </c>
      <c r="AN4551" s="182" t="n">
        <v>0</v>
      </c>
    </row>
    <row r="4552">
      <c r="A4552" s="155" t="n">
        <v>46102</v>
      </c>
      <c r="B4552" s="156" t="inlineStr">
        <is>
          <t>NS</t>
        </is>
      </c>
      <c r="C4552" s="156" t="inlineStr">
        <is>
          <t>EX-221</t>
        </is>
      </c>
      <c r="D4552" s="156" t="inlineStr">
        <is>
          <t>PC 200-8MI</t>
        </is>
      </c>
      <c r="E4552" s="156" t="inlineStr">
        <is>
          <t>Excavator</t>
        </is>
      </c>
      <c r="F4552" s="156" t="inlineStr">
        <is>
          <t>General Jetty</t>
        </is>
      </c>
      <c r="G4552" s="182" t="n">
        <v>3.77</v>
      </c>
      <c r="H4552" s="182" t="n">
        <v>0</v>
      </c>
      <c r="I4552" s="182" t="n">
        <v>0</v>
      </c>
      <c r="J4552" s="182" t="n">
        <v>0</v>
      </c>
      <c r="K4552" s="182" t="n">
        <v>8.23</v>
      </c>
      <c r="L4552" s="182" t="n">
        <v>12</v>
      </c>
      <c r="M4552" s="182" t="n">
        <v>0</v>
      </c>
      <c r="N4552" s="182" t="n">
        <v>0</v>
      </c>
      <c r="O4552" s="183" t="n">
        <v>0</v>
      </c>
      <c r="P4552" s="183" t="n">
        <v>0</v>
      </c>
      <c r="Q4552" s="184" t="n">
        <v>0</v>
      </c>
      <c r="R4552" s="184" t="n">
        <v>0</v>
      </c>
      <c r="S4552" s="183" t="n">
        <v>0</v>
      </c>
      <c r="T4552" s="183" t="n">
        <v>0</v>
      </c>
      <c r="U4552" s="182" t="n">
        <v>0</v>
      </c>
      <c r="V4552" s="182" t="n">
        <v>0</v>
      </c>
      <c r="W4552" s="182" t="n">
        <v>0</v>
      </c>
      <c r="X4552" s="182" t="n">
        <v>1.04</v>
      </c>
      <c r="Y4552" s="182" t="n">
        <v>0</v>
      </c>
      <c r="Z4552" s="182" t="n">
        <v>0</v>
      </c>
      <c r="AA4552" s="182" t="n">
        <v>0</v>
      </c>
      <c r="AB4552" s="182" t="n">
        <v>0</v>
      </c>
      <c r="AC4552" s="182" t="n">
        <v>0</v>
      </c>
      <c r="AD4552" s="182" t="n">
        <v>0</v>
      </c>
      <c r="AE4552" s="182" t="n">
        <v>0</v>
      </c>
      <c r="AF4552" s="182" t="n">
        <v>0</v>
      </c>
      <c r="AG4552" s="182" t="n">
        <v>0</v>
      </c>
      <c r="AH4552" s="182" t="n">
        <v>0</v>
      </c>
      <c r="AI4552" s="182" t="n">
        <v>0</v>
      </c>
      <c r="AJ4552" s="182" t="n">
        <v>0</v>
      </c>
      <c r="AK4552" s="182" t="n">
        <v>7.1</v>
      </c>
      <c r="AL4552" s="182" t="n">
        <v>0</v>
      </c>
      <c r="AM4552" s="182" t="n">
        <v>0.08</v>
      </c>
      <c r="AN4552" s="182" t="n">
        <v>0</v>
      </c>
    </row>
    <row r="4553">
      <c r="A4553" s="155" t="n">
        <v>46102</v>
      </c>
      <c r="B4553" s="156" t="inlineStr">
        <is>
          <t>NS</t>
        </is>
      </c>
      <c r="C4553" s="156" t="inlineStr">
        <is>
          <t>EX-331</t>
        </is>
      </c>
      <c r="D4553" s="156" t="inlineStr">
        <is>
          <t>PC 300-8MO</t>
        </is>
      </c>
      <c r="E4553" s="156" t="inlineStr">
        <is>
          <t>Excavator</t>
        </is>
      </c>
      <c r="F4553" s="156" t="inlineStr"/>
      <c r="G4553" s="182" t="n">
        <v>0</v>
      </c>
      <c r="H4553" s="182" t="n">
        <v>0</v>
      </c>
      <c r="I4553" s="182" t="n">
        <v>12</v>
      </c>
      <c r="J4553" s="182" t="n">
        <v>12</v>
      </c>
      <c r="K4553" s="182" t="n">
        <v>0</v>
      </c>
      <c r="L4553" s="182" t="n">
        <v>12</v>
      </c>
      <c r="M4553" s="182" t="n">
        <v>0</v>
      </c>
      <c r="N4553" s="182" t="n">
        <v>0</v>
      </c>
      <c r="O4553" s="183" t="n">
        <v>0</v>
      </c>
      <c r="P4553" s="183" t="n">
        <v>0</v>
      </c>
      <c r="Q4553" s="184" t="n">
        <v>0</v>
      </c>
      <c r="R4553" s="184" t="n">
        <v>0</v>
      </c>
      <c r="S4553" s="183" t="n">
        <v>0</v>
      </c>
      <c r="T4553" s="183" t="n">
        <v>0</v>
      </c>
      <c r="U4553" s="182" t="n">
        <v>0</v>
      </c>
      <c r="V4553" s="182" t="n">
        <v>0</v>
      </c>
      <c r="W4553" s="182" t="n">
        <v>0</v>
      </c>
      <c r="X4553" s="182" t="n">
        <v>0</v>
      </c>
      <c r="Y4553" s="182" t="n">
        <v>0</v>
      </c>
      <c r="Z4553" s="182" t="n">
        <v>0</v>
      </c>
      <c r="AA4553" s="182" t="n">
        <v>0</v>
      </c>
      <c r="AB4553" s="182" t="n">
        <v>0</v>
      </c>
      <c r="AC4553" s="182" t="n">
        <v>0</v>
      </c>
      <c r="AD4553" s="182" t="n">
        <v>0</v>
      </c>
      <c r="AE4553" s="182" t="n">
        <v>0</v>
      </c>
      <c r="AF4553" s="182" t="n">
        <v>0</v>
      </c>
      <c r="AG4553" s="182" t="n">
        <v>0</v>
      </c>
      <c r="AH4553" s="182" t="n">
        <v>0</v>
      </c>
      <c r="AI4553" s="182" t="n">
        <v>0</v>
      </c>
      <c r="AJ4553" s="182" t="n">
        <v>0</v>
      </c>
      <c r="AK4553" s="182" t="n">
        <v>0</v>
      </c>
      <c r="AL4553" s="182" t="n">
        <v>0</v>
      </c>
      <c r="AM4553" s="182" t="n">
        <v>0</v>
      </c>
      <c r="AN4553" s="182" t="n">
        <v>0</v>
      </c>
    </row>
    <row r="4554">
      <c r="A4554" s="155" t="n">
        <v>46102</v>
      </c>
      <c r="B4554" s="156" t="inlineStr">
        <is>
          <t>NS</t>
        </is>
      </c>
      <c r="C4554" s="156" t="inlineStr">
        <is>
          <t>EX-334</t>
        </is>
      </c>
      <c r="D4554" s="156" t="inlineStr">
        <is>
          <t>PC 300-8MO</t>
        </is>
      </c>
      <c r="E4554" s="156" t="inlineStr">
        <is>
          <t>Excavator</t>
        </is>
      </c>
      <c r="F4554" s="156" t="inlineStr">
        <is>
          <t>Support ROM</t>
        </is>
      </c>
      <c r="G4554" s="182" t="n">
        <v>11.5</v>
      </c>
      <c r="H4554" s="182" t="n">
        <v>0</v>
      </c>
      <c r="I4554" s="182" t="n">
        <v>0</v>
      </c>
      <c r="J4554" s="182" t="n">
        <v>0</v>
      </c>
      <c r="K4554" s="182" t="n">
        <v>0.5</v>
      </c>
      <c r="L4554" s="182" t="n">
        <v>12</v>
      </c>
      <c r="M4554" s="182" t="n">
        <v>0</v>
      </c>
      <c r="N4554" s="182" t="n">
        <v>0</v>
      </c>
      <c r="O4554" s="183" t="n">
        <v>0</v>
      </c>
      <c r="P4554" s="183" t="n">
        <v>0</v>
      </c>
      <c r="Q4554" s="184" t="n">
        <v>0</v>
      </c>
      <c r="R4554" s="184" t="n">
        <v>0</v>
      </c>
      <c r="S4554" s="183" t="n">
        <v>0</v>
      </c>
      <c r="T4554" s="183" t="n">
        <v>0</v>
      </c>
      <c r="U4554" s="182" t="n">
        <v>0</v>
      </c>
      <c r="V4554" s="182" t="n">
        <v>0</v>
      </c>
      <c r="W4554" s="182" t="n">
        <v>0</v>
      </c>
      <c r="X4554" s="182" t="n">
        <v>0.45</v>
      </c>
      <c r="Y4554" s="182" t="n">
        <v>0</v>
      </c>
      <c r="Z4554" s="182" t="n">
        <v>0</v>
      </c>
      <c r="AA4554" s="182" t="n">
        <v>0</v>
      </c>
      <c r="AB4554" s="182" t="n">
        <v>0</v>
      </c>
      <c r="AC4554" s="182" t="n">
        <v>0</v>
      </c>
      <c r="AD4554" s="182" t="n">
        <v>0</v>
      </c>
      <c r="AE4554" s="182" t="n">
        <v>0</v>
      </c>
      <c r="AF4554" s="182" t="n">
        <v>0</v>
      </c>
      <c r="AG4554" s="182" t="n">
        <v>0</v>
      </c>
      <c r="AH4554" s="182" t="n">
        <v>0</v>
      </c>
      <c r="AI4554" s="182" t="n">
        <v>0</v>
      </c>
      <c r="AJ4554" s="182" t="n">
        <v>0</v>
      </c>
      <c r="AK4554" s="182" t="n">
        <v>0</v>
      </c>
      <c r="AL4554" s="182" t="n">
        <v>0</v>
      </c>
      <c r="AM4554" s="182" t="n">
        <v>0.05</v>
      </c>
      <c r="AN4554" s="182" t="n">
        <v>0</v>
      </c>
    </row>
    <row r="4555">
      <c r="A4555" s="155" t="n">
        <v>46102</v>
      </c>
      <c r="B4555" s="156" t="inlineStr">
        <is>
          <t>NS</t>
        </is>
      </c>
      <c r="C4555" s="156" t="inlineStr">
        <is>
          <t>EX-332</t>
        </is>
      </c>
      <c r="D4555" s="156" t="inlineStr">
        <is>
          <t>PC 300-8MO</t>
        </is>
      </c>
      <c r="E4555" s="156" t="inlineStr">
        <is>
          <t>Excavator</t>
        </is>
      </c>
      <c r="F4555" s="156" t="inlineStr"/>
      <c r="G4555" s="182" t="n">
        <v>0</v>
      </c>
      <c r="H4555" s="182" t="n">
        <v>0</v>
      </c>
      <c r="I4555" s="182" t="n">
        <v>12</v>
      </c>
      <c r="J4555" s="182" t="n">
        <v>12</v>
      </c>
      <c r="K4555" s="182" t="n">
        <v>0</v>
      </c>
      <c r="L4555" s="182" t="n">
        <v>12</v>
      </c>
      <c r="M4555" s="182" t="n">
        <v>0</v>
      </c>
      <c r="N4555" s="182" t="n">
        <v>0</v>
      </c>
      <c r="O4555" s="183" t="n">
        <v>0</v>
      </c>
      <c r="P4555" s="183" t="n">
        <v>0</v>
      </c>
      <c r="Q4555" s="184" t="n">
        <v>0</v>
      </c>
      <c r="R4555" s="184" t="n">
        <v>0</v>
      </c>
      <c r="S4555" s="183" t="n">
        <v>0</v>
      </c>
      <c r="T4555" s="183" t="n">
        <v>0</v>
      </c>
      <c r="U4555" s="182" t="n">
        <v>0</v>
      </c>
      <c r="V4555" s="182" t="n">
        <v>0</v>
      </c>
      <c r="W4555" s="182" t="n">
        <v>0</v>
      </c>
      <c r="X4555" s="182" t="n">
        <v>0</v>
      </c>
      <c r="Y4555" s="182" t="n">
        <v>0</v>
      </c>
      <c r="Z4555" s="182" t="n">
        <v>0</v>
      </c>
      <c r="AA4555" s="182" t="n">
        <v>0</v>
      </c>
      <c r="AB4555" s="182" t="n">
        <v>0</v>
      </c>
      <c r="AC4555" s="182" t="n">
        <v>0</v>
      </c>
      <c r="AD4555" s="182" t="n">
        <v>0</v>
      </c>
      <c r="AE4555" s="182" t="n">
        <v>0</v>
      </c>
      <c r="AF4555" s="182" t="n">
        <v>0</v>
      </c>
      <c r="AG4555" s="182" t="n">
        <v>0</v>
      </c>
      <c r="AH4555" s="182" t="n">
        <v>0</v>
      </c>
      <c r="AI4555" s="182" t="n">
        <v>0</v>
      </c>
      <c r="AJ4555" s="182" t="n">
        <v>0</v>
      </c>
      <c r="AK4555" s="182" t="n">
        <v>0</v>
      </c>
      <c r="AL4555" s="182" t="n">
        <v>0</v>
      </c>
      <c r="AM4555" s="182" t="n">
        <v>0</v>
      </c>
      <c r="AN4555" s="182" t="n">
        <v>0</v>
      </c>
    </row>
    <row r="4556">
      <c r="A4556" s="155" t="n">
        <v>46102</v>
      </c>
      <c r="B4556" s="156" t="inlineStr">
        <is>
          <t>NS</t>
        </is>
      </c>
      <c r="C4556" s="156" t="inlineStr">
        <is>
          <t>EX-333</t>
        </is>
      </c>
      <c r="D4556" s="156" t="inlineStr">
        <is>
          <t>PC 300-8MO</t>
        </is>
      </c>
      <c r="E4556" s="156" t="inlineStr">
        <is>
          <t>Excavator</t>
        </is>
      </c>
      <c r="F4556" s="156" t="inlineStr">
        <is>
          <t>Cleaning Coal</t>
        </is>
      </c>
      <c r="G4556" s="182" t="n">
        <v>10.59</v>
      </c>
      <c r="H4556" s="182" t="n">
        <v>0</v>
      </c>
      <c r="I4556" s="182" t="n">
        <v>0</v>
      </c>
      <c r="J4556" s="182" t="n">
        <v>0</v>
      </c>
      <c r="K4556" s="182" t="n">
        <v>1.41</v>
      </c>
      <c r="L4556" s="182" t="n">
        <v>12</v>
      </c>
      <c r="M4556" s="182" t="n">
        <v>0</v>
      </c>
      <c r="N4556" s="182" t="n">
        <v>0</v>
      </c>
      <c r="O4556" s="183" t="n">
        <v>0</v>
      </c>
      <c r="P4556" s="183" t="n">
        <v>0</v>
      </c>
      <c r="Q4556" s="184" t="n">
        <v>0</v>
      </c>
      <c r="R4556" s="184" t="n">
        <v>0</v>
      </c>
      <c r="S4556" s="183" t="n">
        <v>0</v>
      </c>
      <c r="T4556" s="183" t="n">
        <v>0</v>
      </c>
      <c r="U4556" s="182" t="n">
        <v>0.39</v>
      </c>
      <c r="V4556" s="182" t="n">
        <v>0</v>
      </c>
      <c r="W4556" s="182" t="n">
        <v>0</v>
      </c>
      <c r="X4556" s="182" t="n">
        <v>0.9399999999999999</v>
      </c>
      <c r="Y4556" s="182" t="n">
        <v>0</v>
      </c>
      <c r="Z4556" s="182" t="n">
        <v>0</v>
      </c>
      <c r="AA4556" s="182" t="n">
        <v>0</v>
      </c>
      <c r="AB4556" s="182" t="n">
        <v>0</v>
      </c>
      <c r="AC4556" s="182" t="n">
        <v>0</v>
      </c>
      <c r="AD4556" s="182" t="n">
        <v>0</v>
      </c>
      <c r="AE4556" s="182" t="n">
        <v>0</v>
      </c>
      <c r="AF4556" s="182" t="n">
        <v>0</v>
      </c>
      <c r="AG4556" s="182" t="n">
        <v>0</v>
      </c>
      <c r="AH4556" s="182" t="n">
        <v>0</v>
      </c>
      <c r="AI4556" s="182" t="n">
        <v>0</v>
      </c>
      <c r="AJ4556" s="182" t="n">
        <v>0</v>
      </c>
      <c r="AK4556" s="182" t="n">
        <v>0</v>
      </c>
      <c r="AL4556" s="182" t="n">
        <v>0</v>
      </c>
      <c r="AM4556" s="182" t="n">
        <v>0.08</v>
      </c>
      <c r="AN4556" s="182" t="n">
        <v>0</v>
      </c>
    </row>
    <row r="4557">
      <c r="A4557" s="155" t="n">
        <v>46102</v>
      </c>
      <c r="B4557" s="156" t="inlineStr">
        <is>
          <t>NS</t>
        </is>
      </c>
      <c r="C4557" s="156" t="inlineStr">
        <is>
          <t>EX-336</t>
        </is>
      </c>
      <c r="D4557" s="156" t="inlineStr">
        <is>
          <t>PC 300-8MO</t>
        </is>
      </c>
      <c r="E4557" s="156" t="inlineStr">
        <is>
          <t>Excavator</t>
        </is>
      </c>
      <c r="F4557" s="156" t="inlineStr">
        <is>
          <t>Loading &amp; Cleaning Coal</t>
        </is>
      </c>
      <c r="G4557" s="182" t="n">
        <v>9.050000000000001</v>
      </c>
      <c r="H4557" s="182" t="n">
        <v>0</v>
      </c>
      <c r="I4557" s="182" t="n">
        <v>0.5</v>
      </c>
      <c r="J4557" s="182" t="n">
        <v>0.5</v>
      </c>
      <c r="K4557" s="182" t="n">
        <v>2.45</v>
      </c>
      <c r="L4557" s="182" t="n">
        <v>12</v>
      </c>
      <c r="M4557" s="182" t="n">
        <v>0</v>
      </c>
      <c r="N4557" s="182" t="n">
        <v>3.02</v>
      </c>
      <c r="O4557" s="183" t="n">
        <v>0</v>
      </c>
      <c r="P4557" s="183" t="n">
        <v>9</v>
      </c>
      <c r="Q4557" s="184" t="n">
        <v>0</v>
      </c>
      <c r="R4557" s="184" t="n">
        <v>144.5</v>
      </c>
      <c r="S4557" s="183" t="n">
        <v>0</v>
      </c>
      <c r="T4557" s="183" t="n">
        <v>0</v>
      </c>
      <c r="U4557" s="182" t="n">
        <v>1.39</v>
      </c>
      <c r="V4557" s="182" t="n">
        <v>0</v>
      </c>
      <c r="W4557" s="182" t="n">
        <v>0</v>
      </c>
      <c r="X4557" s="182" t="n">
        <v>0.98</v>
      </c>
      <c r="Y4557" s="182" t="n">
        <v>0</v>
      </c>
      <c r="Z4557" s="182" t="n">
        <v>0</v>
      </c>
      <c r="AA4557" s="182" t="n">
        <v>0</v>
      </c>
      <c r="AB4557" s="182" t="n">
        <v>0</v>
      </c>
      <c r="AC4557" s="182" t="n">
        <v>0</v>
      </c>
      <c r="AD4557" s="182" t="n">
        <v>0</v>
      </c>
      <c r="AE4557" s="182" t="n">
        <v>0</v>
      </c>
      <c r="AF4557" s="182" t="n">
        <v>0</v>
      </c>
      <c r="AG4557" s="182" t="n">
        <v>0</v>
      </c>
      <c r="AH4557" s="182" t="n">
        <v>0</v>
      </c>
      <c r="AI4557" s="182" t="n">
        <v>0</v>
      </c>
      <c r="AJ4557" s="182" t="n">
        <v>0</v>
      </c>
      <c r="AK4557" s="182" t="n">
        <v>0</v>
      </c>
      <c r="AL4557" s="182" t="n">
        <v>0</v>
      </c>
      <c r="AM4557" s="182" t="n">
        <v>0.08</v>
      </c>
      <c r="AN4557" s="182" t="n">
        <v>0</v>
      </c>
    </row>
    <row r="4558">
      <c r="A4558" s="155" t="n">
        <v>46102</v>
      </c>
      <c r="B4558" s="156" t="inlineStr">
        <is>
          <t>NS</t>
        </is>
      </c>
      <c r="C4558" s="156" t="inlineStr">
        <is>
          <t>EX-335</t>
        </is>
      </c>
      <c r="D4558" s="156" t="inlineStr">
        <is>
          <t>PC 300-8MO</t>
        </is>
      </c>
      <c r="E4558" s="156" t="inlineStr">
        <is>
          <t>Excavator</t>
        </is>
      </c>
      <c r="F4558" s="156" t="inlineStr">
        <is>
          <t>Cleaning Coal</t>
        </is>
      </c>
      <c r="G4558" s="182" t="n">
        <v>10.17</v>
      </c>
      <c r="H4558" s="182" t="n">
        <v>0</v>
      </c>
      <c r="I4558" s="182" t="n">
        <v>0</v>
      </c>
      <c r="J4558" s="182" t="n">
        <v>0</v>
      </c>
      <c r="K4558" s="182" t="n">
        <v>1.83</v>
      </c>
      <c r="L4558" s="182" t="n">
        <v>12</v>
      </c>
      <c r="M4558" s="182" t="n">
        <v>0</v>
      </c>
      <c r="N4558" s="182" t="n">
        <v>0</v>
      </c>
      <c r="O4558" s="183" t="n">
        <v>0</v>
      </c>
      <c r="P4558" s="183" t="n">
        <v>0</v>
      </c>
      <c r="Q4558" s="184" t="n">
        <v>0</v>
      </c>
      <c r="R4558" s="184" t="n">
        <v>0</v>
      </c>
      <c r="S4558" s="183" t="n">
        <v>0</v>
      </c>
      <c r="T4558" s="183" t="n">
        <v>0</v>
      </c>
      <c r="U4558" s="182" t="n">
        <v>0.67</v>
      </c>
      <c r="V4558" s="182" t="n">
        <v>0</v>
      </c>
      <c r="W4558" s="182" t="n">
        <v>0</v>
      </c>
      <c r="X4558" s="182" t="n">
        <v>1.08</v>
      </c>
      <c r="Y4558" s="182" t="n">
        <v>0</v>
      </c>
      <c r="Z4558" s="182" t="n">
        <v>0</v>
      </c>
      <c r="AA4558" s="182" t="n">
        <v>0</v>
      </c>
      <c r="AB4558" s="182" t="n">
        <v>0</v>
      </c>
      <c r="AC4558" s="182" t="n">
        <v>0</v>
      </c>
      <c r="AD4558" s="182" t="n">
        <v>0</v>
      </c>
      <c r="AE4558" s="182" t="n">
        <v>0</v>
      </c>
      <c r="AF4558" s="182" t="n">
        <v>0</v>
      </c>
      <c r="AG4558" s="182" t="n">
        <v>0</v>
      </c>
      <c r="AH4558" s="182" t="n">
        <v>0</v>
      </c>
      <c r="AI4558" s="182" t="n">
        <v>0</v>
      </c>
      <c r="AJ4558" s="182" t="n">
        <v>0</v>
      </c>
      <c r="AK4558" s="182" t="n">
        <v>0</v>
      </c>
      <c r="AL4558" s="182" t="n">
        <v>0</v>
      </c>
      <c r="AM4558" s="182" t="n">
        <v>0.09</v>
      </c>
      <c r="AN4558" s="182" t="n">
        <v>0</v>
      </c>
    </row>
    <row r="4559">
      <c r="A4559" s="155" t="n">
        <v>46102</v>
      </c>
      <c r="B4559" s="156" t="inlineStr">
        <is>
          <t>NS</t>
        </is>
      </c>
      <c r="C4559" s="156" t="inlineStr">
        <is>
          <t>EX-754</t>
        </is>
      </c>
      <c r="D4559" s="156" t="inlineStr">
        <is>
          <t>SY750H-PRO</t>
        </is>
      </c>
      <c r="E4559" s="156" t="inlineStr">
        <is>
          <t>Excavator</t>
        </is>
      </c>
      <c r="F4559" s="156" t="inlineStr">
        <is>
          <t>Loading OB</t>
        </is>
      </c>
      <c r="G4559" s="182" t="n">
        <v>5.29</v>
      </c>
      <c r="H4559" s="182" t="n">
        <v>0</v>
      </c>
      <c r="I4559" s="182" t="n">
        <v>0</v>
      </c>
      <c r="J4559" s="182" t="n">
        <v>0</v>
      </c>
      <c r="K4559" s="182" t="n">
        <v>6.71</v>
      </c>
      <c r="L4559" s="182" t="n">
        <v>12</v>
      </c>
      <c r="M4559" s="182" t="n">
        <v>4.96</v>
      </c>
      <c r="N4559" s="182" t="n">
        <v>0</v>
      </c>
      <c r="O4559" s="183" t="n">
        <v>71</v>
      </c>
      <c r="P4559" s="183" t="n">
        <v>0</v>
      </c>
      <c r="Q4559" s="184" t="n">
        <v>1448.4</v>
      </c>
      <c r="R4559" s="184" t="n">
        <v>0</v>
      </c>
      <c r="S4559" s="183" t="n">
        <v>0</v>
      </c>
      <c r="T4559" s="183" t="n">
        <v>0</v>
      </c>
      <c r="U4559" s="182" t="n">
        <v>1.5</v>
      </c>
      <c r="V4559" s="182" t="n">
        <v>0</v>
      </c>
      <c r="W4559" s="182" t="n">
        <v>0</v>
      </c>
      <c r="X4559" s="182" t="n">
        <v>1</v>
      </c>
      <c r="Y4559" s="182" t="n">
        <v>0</v>
      </c>
      <c r="Z4559" s="182" t="n">
        <v>0</v>
      </c>
      <c r="AA4559" s="182" t="n">
        <v>0</v>
      </c>
      <c r="AB4559" s="182" t="n">
        <v>0</v>
      </c>
      <c r="AC4559" s="182" t="n">
        <v>0</v>
      </c>
      <c r="AD4559" s="182" t="n">
        <v>4.13</v>
      </c>
      <c r="AE4559" s="182" t="n">
        <v>0</v>
      </c>
      <c r="AF4559" s="182" t="n">
        <v>0</v>
      </c>
      <c r="AG4559" s="182" t="n">
        <v>0</v>
      </c>
      <c r="AH4559" s="182" t="n">
        <v>0</v>
      </c>
      <c r="AI4559" s="182" t="n">
        <v>0</v>
      </c>
      <c r="AJ4559" s="182" t="n">
        <v>0</v>
      </c>
      <c r="AK4559" s="182" t="n">
        <v>0</v>
      </c>
      <c r="AL4559" s="182" t="n">
        <v>0</v>
      </c>
      <c r="AM4559" s="182" t="n">
        <v>0.08</v>
      </c>
      <c r="AN4559" s="182" t="n">
        <v>0</v>
      </c>
    </row>
    <row r="4560">
      <c r="A4560" s="155" t="n">
        <v>46102</v>
      </c>
      <c r="B4560" s="156" t="inlineStr">
        <is>
          <t>NS</t>
        </is>
      </c>
      <c r="C4560" s="156" t="inlineStr">
        <is>
          <t>EX-755</t>
        </is>
      </c>
      <c r="D4560" s="156" t="inlineStr">
        <is>
          <t>SY750H-PRO</t>
        </is>
      </c>
      <c r="E4560" s="156" t="inlineStr">
        <is>
          <t>Excavator</t>
        </is>
      </c>
      <c r="F4560" s="156" t="inlineStr">
        <is>
          <t>Loading OB &amp; Coal</t>
        </is>
      </c>
      <c r="G4560" s="182" t="n">
        <v>10.5</v>
      </c>
      <c r="H4560" s="182" t="n">
        <v>0</v>
      </c>
      <c r="I4560" s="182" t="n">
        <v>0</v>
      </c>
      <c r="J4560" s="182" t="n">
        <v>0</v>
      </c>
      <c r="K4560" s="182" t="n">
        <v>1.5</v>
      </c>
      <c r="L4560" s="182" t="n">
        <v>12</v>
      </c>
      <c r="M4560" s="182" t="n">
        <v>4.82</v>
      </c>
      <c r="N4560" s="182" t="n">
        <v>5.51</v>
      </c>
      <c r="O4560" s="183" t="n">
        <v>67</v>
      </c>
      <c r="P4560" s="183" t="n">
        <v>47</v>
      </c>
      <c r="Q4560" s="184" t="n">
        <v>1366.8</v>
      </c>
      <c r="R4560" s="184" t="n">
        <v>878.9</v>
      </c>
      <c r="S4560" s="183" t="n">
        <v>0</v>
      </c>
      <c r="T4560" s="183" t="n">
        <v>0</v>
      </c>
      <c r="U4560" s="182" t="n">
        <v>0.43</v>
      </c>
      <c r="V4560" s="182" t="n">
        <v>0</v>
      </c>
      <c r="W4560" s="182" t="n">
        <v>0</v>
      </c>
      <c r="X4560" s="182" t="n">
        <v>0.99</v>
      </c>
      <c r="Y4560" s="182" t="n">
        <v>0</v>
      </c>
      <c r="Z4560" s="182" t="n">
        <v>0</v>
      </c>
      <c r="AA4560" s="182" t="n">
        <v>0</v>
      </c>
      <c r="AB4560" s="182" t="n">
        <v>0</v>
      </c>
      <c r="AC4560" s="182" t="n">
        <v>0</v>
      </c>
      <c r="AD4560" s="182" t="n">
        <v>0</v>
      </c>
      <c r="AE4560" s="182" t="n">
        <v>0</v>
      </c>
      <c r="AF4560" s="182" t="n">
        <v>0</v>
      </c>
      <c r="AG4560" s="182" t="n">
        <v>0</v>
      </c>
      <c r="AH4560" s="182" t="n">
        <v>0</v>
      </c>
      <c r="AI4560" s="182" t="n">
        <v>0</v>
      </c>
      <c r="AJ4560" s="182" t="n">
        <v>0</v>
      </c>
      <c r="AK4560" s="182" t="n">
        <v>0</v>
      </c>
      <c r="AL4560" s="182" t="n">
        <v>0</v>
      </c>
      <c r="AM4560" s="182" t="n">
        <v>0.08</v>
      </c>
      <c r="AN4560" s="182" t="n">
        <v>0</v>
      </c>
    </row>
    <row r="4561">
      <c r="A4561" s="155" t="n">
        <v>46102</v>
      </c>
      <c r="B4561" s="156" t="inlineStr">
        <is>
          <t>NS</t>
        </is>
      </c>
      <c r="C4561" s="156" t="inlineStr">
        <is>
          <t>EX-752</t>
        </is>
      </c>
      <c r="D4561" s="156" t="inlineStr">
        <is>
          <t>SY750H-PRO</t>
        </is>
      </c>
      <c r="E4561" s="156" t="inlineStr">
        <is>
          <t>Excavator</t>
        </is>
      </c>
      <c r="F4561" s="156" t="inlineStr"/>
      <c r="G4561" s="182" t="n">
        <v>0</v>
      </c>
      <c r="H4561" s="182" t="n">
        <v>0</v>
      </c>
      <c r="I4561" s="182" t="n">
        <v>12</v>
      </c>
      <c r="J4561" s="182" t="n">
        <v>12</v>
      </c>
      <c r="K4561" s="182" t="n">
        <v>0</v>
      </c>
      <c r="L4561" s="182" t="n">
        <v>12</v>
      </c>
      <c r="M4561" s="182" t="n">
        <v>0</v>
      </c>
      <c r="N4561" s="182" t="n">
        <v>0</v>
      </c>
      <c r="O4561" s="183" t="n">
        <v>0</v>
      </c>
      <c r="P4561" s="183" t="n">
        <v>0</v>
      </c>
      <c r="Q4561" s="184" t="n">
        <v>0</v>
      </c>
      <c r="R4561" s="184" t="n">
        <v>0</v>
      </c>
      <c r="S4561" s="183" t="n">
        <v>0</v>
      </c>
      <c r="T4561" s="183" t="n">
        <v>0</v>
      </c>
      <c r="U4561" s="182" t="n">
        <v>0</v>
      </c>
      <c r="V4561" s="182" t="n">
        <v>0</v>
      </c>
      <c r="W4561" s="182" t="n">
        <v>0</v>
      </c>
      <c r="X4561" s="182" t="n">
        <v>0</v>
      </c>
      <c r="Y4561" s="182" t="n">
        <v>0</v>
      </c>
      <c r="Z4561" s="182" t="n">
        <v>0</v>
      </c>
      <c r="AA4561" s="182" t="n">
        <v>0</v>
      </c>
      <c r="AB4561" s="182" t="n">
        <v>0</v>
      </c>
      <c r="AC4561" s="182" t="n">
        <v>0</v>
      </c>
      <c r="AD4561" s="182" t="n">
        <v>0</v>
      </c>
      <c r="AE4561" s="182" t="n">
        <v>0</v>
      </c>
      <c r="AF4561" s="182" t="n">
        <v>0</v>
      </c>
      <c r="AG4561" s="182" t="n">
        <v>0</v>
      </c>
      <c r="AH4561" s="182" t="n">
        <v>0</v>
      </c>
      <c r="AI4561" s="182" t="n">
        <v>0</v>
      </c>
      <c r="AJ4561" s="182" t="n">
        <v>0</v>
      </c>
      <c r="AK4561" s="182" t="n">
        <v>0</v>
      </c>
      <c r="AL4561" s="182" t="n">
        <v>0</v>
      </c>
      <c r="AM4561" s="182" t="n">
        <v>0</v>
      </c>
      <c r="AN4561" s="182" t="n">
        <v>0</v>
      </c>
    </row>
    <row r="4562">
      <c r="A4562" s="155" t="n">
        <v>46102</v>
      </c>
      <c r="B4562" s="156" t="inlineStr">
        <is>
          <t>NS</t>
        </is>
      </c>
      <c r="C4562" s="156" t="inlineStr">
        <is>
          <t>EX-751</t>
        </is>
      </c>
      <c r="D4562" s="156" t="inlineStr">
        <is>
          <t>SY750H-PRO</t>
        </is>
      </c>
      <c r="E4562" s="156" t="inlineStr">
        <is>
          <t>Excavator</t>
        </is>
      </c>
      <c r="F4562" s="156" t="inlineStr"/>
      <c r="G4562" s="182" t="n">
        <v>0</v>
      </c>
      <c r="H4562" s="182" t="n">
        <v>0</v>
      </c>
      <c r="I4562" s="182" t="n">
        <v>12</v>
      </c>
      <c r="J4562" s="182" t="n">
        <v>12</v>
      </c>
      <c r="K4562" s="182" t="n">
        <v>0</v>
      </c>
      <c r="L4562" s="182" t="n">
        <v>12</v>
      </c>
      <c r="M4562" s="182" t="n">
        <v>0</v>
      </c>
      <c r="N4562" s="182" t="n">
        <v>0</v>
      </c>
      <c r="O4562" s="183" t="n">
        <v>0</v>
      </c>
      <c r="P4562" s="183" t="n">
        <v>0</v>
      </c>
      <c r="Q4562" s="184" t="n">
        <v>0</v>
      </c>
      <c r="R4562" s="184" t="n">
        <v>0</v>
      </c>
      <c r="S4562" s="183" t="n">
        <v>0</v>
      </c>
      <c r="T4562" s="183" t="n">
        <v>0</v>
      </c>
      <c r="U4562" s="182" t="n">
        <v>0</v>
      </c>
      <c r="V4562" s="182" t="n">
        <v>0</v>
      </c>
      <c r="W4562" s="182" t="n">
        <v>0</v>
      </c>
      <c r="X4562" s="182" t="n">
        <v>0</v>
      </c>
      <c r="Y4562" s="182" t="n">
        <v>0</v>
      </c>
      <c r="Z4562" s="182" t="n">
        <v>0</v>
      </c>
      <c r="AA4562" s="182" t="n">
        <v>0</v>
      </c>
      <c r="AB4562" s="182" t="n">
        <v>0</v>
      </c>
      <c r="AC4562" s="182" t="n">
        <v>0</v>
      </c>
      <c r="AD4562" s="182" t="n">
        <v>0</v>
      </c>
      <c r="AE4562" s="182" t="n">
        <v>0</v>
      </c>
      <c r="AF4562" s="182" t="n">
        <v>0</v>
      </c>
      <c r="AG4562" s="182" t="n">
        <v>0</v>
      </c>
      <c r="AH4562" s="182" t="n">
        <v>0</v>
      </c>
      <c r="AI4562" s="182" t="n">
        <v>0</v>
      </c>
      <c r="AJ4562" s="182" t="n">
        <v>0</v>
      </c>
      <c r="AK4562" s="182" t="n">
        <v>0</v>
      </c>
      <c r="AL4562" s="182" t="n">
        <v>0</v>
      </c>
      <c r="AM4562" s="182" t="n">
        <v>0</v>
      </c>
      <c r="AN4562" s="182" t="n">
        <v>0</v>
      </c>
    </row>
    <row r="4563">
      <c r="A4563" s="155" t="n">
        <v>46102</v>
      </c>
      <c r="B4563" s="156" t="inlineStr">
        <is>
          <t>NS</t>
        </is>
      </c>
      <c r="C4563" s="156" t="inlineStr">
        <is>
          <t>EX-753</t>
        </is>
      </c>
      <c r="D4563" s="156" t="inlineStr">
        <is>
          <t>SY750H-PRO</t>
        </is>
      </c>
      <c r="E4563" s="156" t="inlineStr">
        <is>
          <t>Excavator</t>
        </is>
      </c>
      <c r="F4563" s="156" t="inlineStr">
        <is>
          <t>Loading OB</t>
        </is>
      </c>
      <c r="G4563" s="182" t="n">
        <v>10.45</v>
      </c>
      <c r="H4563" s="182" t="n">
        <v>0</v>
      </c>
      <c r="I4563" s="182" t="n">
        <v>0</v>
      </c>
      <c r="J4563" s="182" t="n">
        <v>0</v>
      </c>
      <c r="K4563" s="182" t="n">
        <v>1.55</v>
      </c>
      <c r="L4563" s="182" t="n">
        <v>12</v>
      </c>
      <c r="M4563" s="182" t="n">
        <v>9.76</v>
      </c>
      <c r="N4563" s="182" t="n">
        <v>0</v>
      </c>
      <c r="O4563" s="183" t="n">
        <v>143</v>
      </c>
      <c r="P4563" s="183" t="n">
        <v>0</v>
      </c>
      <c r="Q4563" s="184" t="n">
        <v>2917.2</v>
      </c>
      <c r="R4563" s="184" t="n">
        <v>0</v>
      </c>
      <c r="S4563" s="183" t="n">
        <v>0</v>
      </c>
      <c r="T4563" s="183" t="n">
        <v>0</v>
      </c>
      <c r="U4563" s="182" t="n">
        <v>0.59</v>
      </c>
      <c r="V4563" s="182" t="n">
        <v>0</v>
      </c>
      <c r="W4563" s="182" t="n">
        <v>0</v>
      </c>
      <c r="X4563" s="182" t="n">
        <v>0.89</v>
      </c>
      <c r="Y4563" s="182" t="n">
        <v>0</v>
      </c>
      <c r="Z4563" s="182" t="n">
        <v>0</v>
      </c>
      <c r="AA4563" s="182" t="n">
        <v>0</v>
      </c>
      <c r="AB4563" s="182" t="n">
        <v>0</v>
      </c>
      <c r="AC4563" s="182" t="n">
        <v>0</v>
      </c>
      <c r="AD4563" s="182" t="n">
        <v>0</v>
      </c>
      <c r="AE4563" s="182" t="n">
        <v>0</v>
      </c>
      <c r="AF4563" s="182" t="n">
        <v>0</v>
      </c>
      <c r="AG4563" s="182" t="n">
        <v>0</v>
      </c>
      <c r="AH4563" s="182" t="n">
        <v>0</v>
      </c>
      <c r="AI4563" s="182" t="n">
        <v>0</v>
      </c>
      <c r="AJ4563" s="182" t="n">
        <v>0</v>
      </c>
      <c r="AK4563" s="182" t="n">
        <v>0</v>
      </c>
      <c r="AL4563" s="182" t="n">
        <v>0</v>
      </c>
      <c r="AM4563" s="182" t="n">
        <v>0.07000000000000001</v>
      </c>
      <c r="AN4563" s="182" t="n">
        <v>0</v>
      </c>
    </row>
    <row r="4564">
      <c r="A4564" s="155" t="n">
        <v>46102</v>
      </c>
      <c r="B4564" s="156" t="inlineStr">
        <is>
          <t>NS</t>
        </is>
      </c>
      <c r="C4564" s="156" t="inlineStr">
        <is>
          <t>GD-012</t>
        </is>
      </c>
      <c r="D4564" s="156" t="inlineStr">
        <is>
          <t>STG 230C - 8S</t>
        </is>
      </c>
      <c r="E4564" s="156" t="inlineStr">
        <is>
          <t>Grader</t>
        </is>
      </c>
      <c r="F4564" s="156" t="inlineStr"/>
      <c r="G4564" s="182" t="n">
        <v>0</v>
      </c>
      <c r="H4564" s="182" t="n">
        <v>0</v>
      </c>
      <c r="I4564" s="182" t="n">
        <v>0</v>
      </c>
      <c r="J4564" s="182" t="n">
        <v>0</v>
      </c>
      <c r="K4564" s="182" t="n">
        <v>12</v>
      </c>
      <c r="L4564" s="182" t="n">
        <v>12</v>
      </c>
      <c r="M4564" s="182" t="n">
        <v>0</v>
      </c>
      <c r="N4564" s="182" t="n">
        <v>0</v>
      </c>
      <c r="O4564" s="183" t="n">
        <v>0</v>
      </c>
      <c r="P4564" s="183" t="n">
        <v>0</v>
      </c>
      <c r="Q4564" s="184" t="n">
        <v>0</v>
      </c>
      <c r="R4564" s="184" t="n">
        <v>0</v>
      </c>
      <c r="S4564" s="183" t="n">
        <v>0</v>
      </c>
      <c r="T4564" s="183" t="n">
        <v>0</v>
      </c>
      <c r="U4564" s="182" t="n">
        <v>0</v>
      </c>
      <c r="V4564" s="182" t="n">
        <v>0</v>
      </c>
      <c r="W4564" s="182" t="n">
        <v>0</v>
      </c>
      <c r="X4564" s="182" t="n">
        <v>1</v>
      </c>
      <c r="Y4564" s="182" t="n">
        <v>0</v>
      </c>
      <c r="Z4564" s="182" t="n">
        <v>0</v>
      </c>
      <c r="AA4564" s="182" t="n">
        <v>0</v>
      </c>
      <c r="AB4564" s="182" t="n">
        <v>0</v>
      </c>
      <c r="AC4564" s="182" t="n">
        <v>0</v>
      </c>
      <c r="AD4564" s="182" t="n">
        <v>0</v>
      </c>
      <c r="AE4564" s="182" t="n">
        <v>0</v>
      </c>
      <c r="AF4564" s="182" t="n">
        <v>0</v>
      </c>
      <c r="AG4564" s="182" t="n">
        <v>0</v>
      </c>
      <c r="AH4564" s="182" t="n">
        <v>0</v>
      </c>
      <c r="AI4564" s="182" t="n">
        <v>0</v>
      </c>
      <c r="AJ4564" s="182" t="n">
        <v>0</v>
      </c>
      <c r="AK4564" s="182" t="n">
        <v>10.92</v>
      </c>
      <c r="AL4564" s="182" t="n">
        <v>0</v>
      </c>
      <c r="AM4564" s="182" t="n">
        <v>0.08</v>
      </c>
      <c r="AN4564" s="182" t="n">
        <v>0</v>
      </c>
    </row>
    <row r="4565">
      <c r="A4565" s="155" t="n">
        <v>46102</v>
      </c>
      <c r="B4565" s="156" t="inlineStr">
        <is>
          <t>NS</t>
        </is>
      </c>
      <c r="C4565" s="156" t="inlineStr">
        <is>
          <t>GD-011</t>
        </is>
      </c>
      <c r="D4565" s="156" t="inlineStr">
        <is>
          <t>STG 230C - 8S</t>
        </is>
      </c>
      <c r="E4565" s="156" t="inlineStr">
        <is>
          <t>Grader</t>
        </is>
      </c>
      <c r="F4565" s="156" t="inlineStr"/>
      <c r="G4565" s="182" t="n">
        <v>0</v>
      </c>
      <c r="H4565" s="182" t="n">
        <v>0</v>
      </c>
      <c r="I4565" s="182" t="n">
        <v>12</v>
      </c>
      <c r="J4565" s="182" t="n">
        <v>12</v>
      </c>
      <c r="K4565" s="182" t="n">
        <v>0</v>
      </c>
      <c r="L4565" s="182" t="n">
        <v>12</v>
      </c>
      <c r="M4565" s="182" t="n">
        <v>0</v>
      </c>
      <c r="N4565" s="182" t="n">
        <v>0</v>
      </c>
      <c r="O4565" s="183" t="n">
        <v>0</v>
      </c>
      <c r="P4565" s="183" t="n">
        <v>0</v>
      </c>
      <c r="Q4565" s="184" t="n">
        <v>0</v>
      </c>
      <c r="R4565" s="184" t="n">
        <v>0</v>
      </c>
      <c r="S4565" s="183" t="n">
        <v>0</v>
      </c>
      <c r="T4565" s="183" t="n">
        <v>0</v>
      </c>
      <c r="U4565" s="182" t="n">
        <v>0</v>
      </c>
      <c r="V4565" s="182" t="n">
        <v>0</v>
      </c>
      <c r="W4565" s="182" t="n">
        <v>0</v>
      </c>
      <c r="X4565" s="182" t="n">
        <v>0</v>
      </c>
      <c r="Y4565" s="182" t="n">
        <v>0</v>
      </c>
      <c r="Z4565" s="182" t="n">
        <v>0</v>
      </c>
      <c r="AA4565" s="182" t="n">
        <v>0</v>
      </c>
      <c r="AB4565" s="182" t="n">
        <v>0</v>
      </c>
      <c r="AC4565" s="182" t="n">
        <v>0</v>
      </c>
      <c r="AD4565" s="182" t="n">
        <v>0</v>
      </c>
      <c r="AE4565" s="182" t="n">
        <v>0</v>
      </c>
      <c r="AF4565" s="182" t="n">
        <v>0</v>
      </c>
      <c r="AG4565" s="182" t="n">
        <v>0</v>
      </c>
      <c r="AH4565" s="182" t="n">
        <v>0</v>
      </c>
      <c r="AI4565" s="182" t="n">
        <v>0</v>
      </c>
      <c r="AJ4565" s="182" t="n">
        <v>0</v>
      </c>
      <c r="AK4565" s="182" t="n">
        <v>0</v>
      </c>
      <c r="AL4565" s="182" t="n">
        <v>0</v>
      </c>
      <c r="AM4565" s="182" t="n">
        <v>0</v>
      </c>
      <c r="AN4565" s="182" t="n">
        <v>0</v>
      </c>
    </row>
    <row r="4566">
      <c r="A4566" s="155" t="n">
        <v>46102</v>
      </c>
      <c r="B4566" s="156" t="inlineStr">
        <is>
          <t>NS</t>
        </is>
      </c>
      <c r="C4566" s="156" t="inlineStr">
        <is>
          <t>GD-013</t>
        </is>
      </c>
      <c r="D4566" s="156" t="inlineStr">
        <is>
          <t>STG 265C - 10</t>
        </is>
      </c>
      <c r="E4566" s="156" t="inlineStr">
        <is>
          <t>Grader</t>
        </is>
      </c>
      <c r="F4566" s="156" t="inlineStr">
        <is>
          <t>Road Maintenance</t>
        </is>
      </c>
      <c r="G4566" s="182" t="n">
        <v>9.73</v>
      </c>
      <c r="H4566" s="182" t="n">
        <v>0</v>
      </c>
      <c r="I4566" s="182" t="n">
        <v>0</v>
      </c>
      <c r="J4566" s="182" t="n">
        <v>0</v>
      </c>
      <c r="K4566" s="182" t="n">
        <v>2.27</v>
      </c>
      <c r="L4566" s="182" t="n">
        <v>12</v>
      </c>
      <c r="M4566" s="182" t="n">
        <v>0</v>
      </c>
      <c r="N4566" s="182" t="n">
        <v>0</v>
      </c>
      <c r="O4566" s="183" t="n">
        <v>0</v>
      </c>
      <c r="P4566" s="183" t="n">
        <v>0</v>
      </c>
      <c r="Q4566" s="184" t="n">
        <v>0</v>
      </c>
      <c r="R4566" s="184" t="n">
        <v>0</v>
      </c>
      <c r="S4566" s="183" t="n">
        <v>0</v>
      </c>
      <c r="T4566" s="183" t="n">
        <v>0</v>
      </c>
      <c r="U4566" s="182" t="n">
        <v>1.25</v>
      </c>
      <c r="V4566" s="182" t="n">
        <v>0</v>
      </c>
      <c r="W4566" s="182" t="n">
        <v>0</v>
      </c>
      <c r="X4566" s="182" t="n">
        <v>0.95</v>
      </c>
      <c r="Y4566" s="182" t="n">
        <v>0</v>
      </c>
      <c r="Z4566" s="182" t="n">
        <v>0</v>
      </c>
      <c r="AA4566" s="182" t="n">
        <v>0</v>
      </c>
      <c r="AB4566" s="182" t="n">
        <v>0</v>
      </c>
      <c r="AC4566" s="182" t="n">
        <v>0</v>
      </c>
      <c r="AD4566" s="182" t="n">
        <v>0</v>
      </c>
      <c r="AE4566" s="182" t="n">
        <v>0</v>
      </c>
      <c r="AF4566" s="182" t="n">
        <v>0</v>
      </c>
      <c r="AG4566" s="182" t="n">
        <v>0</v>
      </c>
      <c r="AH4566" s="182" t="n">
        <v>0</v>
      </c>
      <c r="AI4566" s="182" t="n">
        <v>0</v>
      </c>
      <c r="AJ4566" s="182" t="n">
        <v>0</v>
      </c>
      <c r="AK4566" s="182" t="n">
        <v>0</v>
      </c>
      <c r="AL4566" s="182" t="n">
        <v>0</v>
      </c>
      <c r="AM4566" s="182" t="n">
        <v>0.08</v>
      </c>
      <c r="AN4566" s="182" t="n">
        <v>0</v>
      </c>
    </row>
    <row r="4567">
      <c r="A4567" s="155" t="n">
        <v>46102</v>
      </c>
      <c r="B4567" s="156" t="inlineStr">
        <is>
          <t>NS</t>
        </is>
      </c>
      <c r="C4567" s="156" t="inlineStr">
        <is>
          <t>GD-014</t>
        </is>
      </c>
      <c r="D4567" s="156" t="inlineStr">
        <is>
          <t>STG 335C - 10</t>
        </is>
      </c>
      <c r="E4567" s="156" t="inlineStr">
        <is>
          <t>Grader</t>
        </is>
      </c>
      <c r="F4567" s="156" t="inlineStr">
        <is>
          <t>Road Maintenance</t>
        </is>
      </c>
      <c r="G4567" s="182" t="n">
        <v>10.23</v>
      </c>
      <c r="H4567" s="182" t="n">
        <v>0</v>
      </c>
      <c r="I4567" s="182" t="n">
        <v>0</v>
      </c>
      <c r="J4567" s="182" t="n">
        <v>0</v>
      </c>
      <c r="K4567" s="182" t="n">
        <v>1.77</v>
      </c>
      <c r="L4567" s="182" t="n">
        <v>12</v>
      </c>
      <c r="M4567" s="182" t="n">
        <v>0</v>
      </c>
      <c r="N4567" s="182" t="n">
        <v>0</v>
      </c>
      <c r="O4567" s="183" t="n">
        <v>0</v>
      </c>
      <c r="P4567" s="183" t="n">
        <v>0</v>
      </c>
      <c r="Q4567" s="184" t="n">
        <v>0</v>
      </c>
      <c r="R4567" s="184" t="n">
        <v>0</v>
      </c>
      <c r="S4567" s="183" t="n">
        <v>0</v>
      </c>
      <c r="T4567" s="183" t="n">
        <v>0</v>
      </c>
      <c r="U4567" s="182" t="n">
        <v>0.9</v>
      </c>
      <c r="V4567" s="182" t="n">
        <v>0</v>
      </c>
      <c r="W4567" s="182" t="n">
        <v>0</v>
      </c>
      <c r="X4567" s="182" t="n">
        <v>0.8</v>
      </c>
      <c r="Y4567" s="182" t="n">
        <v>0</v>
      </c>
      <c r="Z4567" s="182" t="n">
        <v>0</v>
      </c>
      <c r="AA4567" s="182" t="n">
        <v>0</v>
      </c>
      <c r="AB4567" s="182" t="n">
        <v>0</v>
      </c>
      <c r="AC4567" s="182" t="n">
        <v>0</v>
      </c>
      <c r="AD4567" s="182" t="n">
        <v>0</v>
      </c>
      <c r="AE4567" s="182" t="n">
        <v>0</v>
      </c>
      <c r="AF4567" s="182" t="n">
        <v>0</v>
      </c>
      <c r="AG4567" s="182" t="n">
        <v>0</v>
      </c>
      <c r="AH4567" s="182" t="n">
        <v>0</v>
      </c>
      <c r="AI4567" s="182" t="n">
        <v>0</v>
      </c>
      <c r="AJ4567" s="182" t="n">
        <v>0</v>
      </c>
      <c r="AK4567" s="182" t="n">
        <v>0</v>
      </c>
      <c r="AL4567" s="182" t="n">
        <v>0</v>
      </c>
      <c r="AM4567" s="182" t="n">
        <v>0.06</v>
      </c>
      <c r="AN4567" s="182" t="n">
        <v>0</v>
      </c>
    </row>
    <row r="4568">
      <c r="A4568" s="155" t="n">
        <v>46102</v>
      </c>
      <c r="B4568" s="156" t="inlineStr">
        <is>
          <t>NS</t>
        </is>
      </c>
      <c r="C4568" s="156" t="inlineStr">
        <is>
          <t>DT-809</t>
        </is>
      </c>
      <c r="D4568" s="156" t="inlineStr">
        <is>
          <t>SKT 80S</t>
        </is>
      </c>
      <c r="E4568" s="156" t="inlineStr">
        <is>
          <t>Hauler</t>
        </is>
      </c>
      <c r="F4568" s="156" t="inlineStr"/>
      <c r="G4568" s="182" t="n">
        <v>0</v>
      </c>
      <c r="H4568" s="182" t="n">
        <v>0</v>
      </c>
      <c r="I4568" s="182" t="n">
        <v>0</v>
      </c>
      <c r="J4568" s="182" t="n">
        <v>0</v>
      </c>
      <c r="K4568" s="182" t="n">
        <v>12</v>
      </c>
      <c r="L4568" s="182" t="n">
        <v>12</v>
      </c>
      <c r="M4568" s="182" t="n">
        <v>0</v>
      </c>
      <c r="N4568" s="182" t="n">
        <v>0</v>
      </c>
      <c r="O4568" s="183" t="n">
        <v>0</v>
      </c>
      <c r="P4568" s="183" t="n">
        <v>0</v>
      </c>
      <c r="Q4568" s="184" t="n">
        <v>0</v>
      </c>
      <c r="R4568" s="184" t="n">
        <v>0</v>
      </c>
      <c r="S4568" s="183" t="n">
        <v>0</v>
      </c>
      <c r="T4568" s="183" t="n">
        <v>0</v>
      </c>
      <c r="U4568" s="182" t="n">
        <v>1.5</v>
      </c>
      <c r="V4568" s="182" t="n">
        <v>0</v>
      </c>
      <c r="W4568" s="182" t="n">
        <v>0</v>
      </c>
      <c r="X4568" s="182" t="n">
        <v>1</v>
      </c>
      <c r="Y4568" s="182" t="n">
        <v>0</v>
      </c>
      <c r="Z4568" s="182" t="n">
        <v>0</v>
      </c>
      <c r="AA4568" s="182" t="n">
        <v>0</v>
      </c>
      <c r="AB4568" s="182" t="n">
        <v>0</v>
      </c>
      <c r="AC4568" s="182" t="n">
        <v>0</v>
      </c>
      <c r="AD4568" s="182" t="n">
        <v>0</v>
      </c>
      <c r="AE4568" s="182" t="n">
        <v>0</v>
      </c>
      <c r="AF4568" s="182" t="n">
        <v>0</v>
      </c>
      <c r="AG4568" s="182" t="n">
        <v>0</v>
      </c>
      <c r="AH4568" s="182" t="n">
        <v>0</v>
      </c>
      <c r="AI4568" s="182" t="n">
        <v>0</v>
      </c>
      <c r="AJ4568" s="182" t="n">
        <v>0</v>
      </c>
      <c r="AK4568" s="182" t="n">
        <v>9.42</v>
      </c>
      <c r="AL4568" s="182" t="n">
        <v>0</v>
      </c>
      <c r="AM4568" s="182" t="n">
        <v>0.08</v>
      </c>
      <c r="AN4568" s="182" t="n">
        <v>0</v>
      </c>
    </row>
    <row r="4569">
      <c r="A4569" s="155" t="n">
        <v>46102</v>
      </c>
      <c r="B4569" s="156" t="inlineStr">
        <is>
          <t>NS</t>
        </is>
      </c>
      <c r="C4569" s="156" t="inlineStr">
        <is>
          <t>DT-806</t>
        </is>
      </c>
      <c r="D4569" s="156" t="inlineStr">
        <is>
          <t>SKT 80S</t>
        </is>
      </c>
      <c r="E4569" s="156" t="inlineStr">
        <is>
          <t>Hauler</t>
        </is>
      </c>
      <c r="F4569" s="156" t="inlineStr"/>
      <c r="G4569" s="182" t="n">
        <v>0</v>
      </c>
      <c r="H4569" s="182" t="n">
        <v>0</v>
      </c>
      <c r="I4569" s="182" t="n">
        <v>0</v>
      </c>
      <c r="J4569" s="182" t="n">
        <v>0</v>
      </c>
      <c r="K4569" s="182" t="n">
        <v>12</v>
      </c>
      <c r="L4569" s="182" t="n">
        <v>12</v>
      </c>
      <c r="M4569" s="182" t="n">
        <v>0</v>
      </c>
      <c r="N4569" s="182" t="n">
        <v>0</v>
      </c>
      <c r="O4569" s="183" t="n">
        <v>0</v>
      </c>
      <c r="P4569" s="183" t="n">
        <v>0</v>
      </c>
      <c r="Q4569" s="184" t="n">
        <v>0</v>
      </c>
      <c r="R4569" s="184" t="n">
        <v>0</v>
      </c>
      <c r="S4569" s="183" t="n">
        <v>0</v>
      </c>
      <c r="T4569" s="183" t="n">
        <v>0</v>
      </c>
      <c r="U4569" s="182" t="n">
        <v>1.5</v>
      </c>
      <c r="V4569" s="182" t="n">
        <v>0</v>
      </c>
      <c r="W4569" s="182" t="n">
        <v>0</v>
      </c>
      <c r="X4569" s="182" t="n">
        <v>1</v>
      </c>
      <c r="Y4569" s="182" t="n">
        <v>0</v>
      </c>
      <c r="Z4569" s="182" t="n">
        <v>0</v>
      </c>
      <c r="AA4569" s="182" t="n">
        <v>0</v>
      </c>
      <c r="AB4569" s="182" t="n">
        <v>0</v>
      </c>
      <c r="AC4569" s="182" t="n">
        <v>0</v>
      </c>
      <c r="AD4569" s="182" t="n">
        <v>0</v>
      </c>
      <c r="AE4569" s="182" t="n">
        <v>0</v>
      </c>
      <c r="AF4569" s="182" t="n">
        <v>0</v>
      </c>
      <c r="AG4569" s="182" t="n">
        <v>0</v>
      </c>
      <c r="AH4569" s="182" t="n">
        <v>0</v>
      </c>
      <c r="AI4569" s="182" t="n">
        <v>0</v>
      </c>
      <c r="AJ4569" s="182" t="n">
        <v>0</v>
      </c>
      <c r="AK4569" s="182" t="n">
        <v>9.42</v>
      </c>
      <c r="AL4569" s="182" t="n">
        <v>0</v>
      </c>
      <c r="AM4569" s="182" t="n">
        <v>0.08</v>
      </c>
      <c r="AN4569" s="182" t="n">
        <v>0</v>
      </c>
    </row>
    <row r="4570">
      <c r="A4570" s="155" t="n">
        <v>46102</v>
      </c>
      <c r="B4570" s="156" t="inlineStr">
        <is>
          <t>NS</t>
        </is>
      </c>
      <c r="C4570" s="156" t="inlineStr">
        <is>
          <t>DT-805</t>
        </is>
      </c>
      <c r="D4570" s="156" t="inlineStr">
        <is>
          <t>SKT 80S</t>
        </is>
      </c>
      <c r="E4570" s="156" t="inlineStr">
        <is>
          <t>Hauler</t>
        </is>
      </c>
      <c r="F4570" s="156" t="inlineStr"/>
      <c r="G4570" s="182" t="n">
        <v>0</v>
      </c>
      <c r="H4570" s="182" t="n">
        <v>0</v>
      </c>
      <c r="I4570" s="182" t="n">
        <v>0</v>
      </c>
      <c r="J4570" s="182" t="n">
        <v>0</v>
      </c>
      <c r="K4570" s="182" t="n">
        <v>12</v>
      </c>
      <c r="L4570" s="182" t="n">
        <v>12</v>
      </c>
      <c r="M4570" s="182" t="n">
        <v>0</v>
      </c>
      <c r="N4570" s="182" t="n">
        <v>0</v>
      </c>
      <c r="O4570" s="183" t="n">
        <v>0</v>
      </c>
      <c r="P4570" s="183" t="n">
        <v>0</v>
      </c>
      <c r="Q4570" s="184" t="n">
        <v>0</v>
      </c>
      <c r="R4570" s="184" t="n">
        <v>0</v>
      </c>
      <c r="S4570" s="183" t="n">
        <v>0</v>
      </c>
      <c r="T4570" s="183" t="n">
        <v>0</v>
      </c>
      <c r="U4570" s="182" t="n">
        <v>1.5</v>
      </c>
      <c r="V4570" s="182" t="n">
        <v>0</v>
      </c>
      <c r="W4570" s="182" t="n">
        <v>0</v>
      </c>
      <c r="X4570" s="182" t="n">
        <v>1</v>
      </c>
      <c r="Y4570" s="182" t="n">
        <v>0</v>
      </c>
      <c r="Z4570" s="182" t="n">
        <v>0</v>
      </c>
      <c r="AA4570" s="182" t="n">
        <v>0</v>
      </c>
      <c r="AB4570" s="182" t="n">
        <v>0</v>
      </c>
      <c r="AC4570" s="182" t="n">
        <v>0</v>
      </c>
      <c r="AD4570" s="182" t="n">
        <v>0</v>
      </c>
      <c r="AE4570" s="182" t="n">
        <v>0</v>
      </c>
      <c r="AF4570" s="182" t="n">
        <v>0</v>
      </c>
      <c r="AG4570" s="182" t="n">
        <v>0</v>
      </c>
      <c r="AH4570" s="182" t="n">
        <v>0</v>
      </c>
      <c r="AI4570" s="182" t="n">
        <v>0</v>
      </c>
      <c r="AJ4570" s="182" t="n">
        <v>0</v>
      </c>
      <c r="AK4570" s="182" t="n">
        <v>9.42</v>
      </c>
      <c r="AL4570" s="182" t="n">
        <v>0</v>
      </c>
      <c r="AM4570" s="182" t="n">
        <v>0.08</v>
      </c>
      <c r="AN4570" s="182" t="n">
        <v>0</v>
      </c>
    </row>
    <row r="4571">
      <c r="A4571" s="155" t="n">
        <v>46102</v>
      </c>
      <c r="B4571" s="156" t="inlineStr">
        <is>
          <t>NS</t>
        </is>
      </c>
      <c r="C4571" s="156" t="inlineStr">
        <is>
          <t>DT-801</t>
        </is>
      </c>
      <c r="D4571" s="156" t="inlineStr">
        <is>
          <t>SKT 80S</t>
        </is>
      </c>
      <c r="E4571" s="156" t="inlineStr">
        <is>
          <t>Hauler</t>
        </is>
      </c>
      <c r="F4571" s="156" t="inlineStr"/>
      <c r="G4571" s="182" t="n">
        <v>0</v>
      </c>
      <c r="H4571" s="182" t="n">
        <v>0</v>
      </c>
      <c r="I4571" s="182" t="n">
        <v>0</v>
      </c>
      <c r="J4571" s="182" t="n">
        <v>0</v>
      </c>
      <c r="K4571" s="182" t="n">
        <v>12</v>
      </c>
      <c r="L4571" s="182" t="n">
        <v>12</v>
      </c>
      <c r="M4571" s="182" t="n">
        <v>0</v>
      </c>
      <c r="N4571" s="182" t="n">
        <v>0</v>
      </c>
      <c r="O4571" s="183" t="n">
        <v>0</v>
      </c>
      <c r="P4571" s="183" t="n">
        <v>0</v>
      </c>
      <c r="Q4571" s="184" t="n">
        <v>0</v>
      </c>
      <c r="R4571" s="184" t="n">
        <v>0</v>
      </c>
      <c r="S4571" s="183" t="n">
        <v>0</v>
      </c>
      <c r="T4571" s="183" t="n">
        <v>0</v>
      </c>
      <c r="U4571" s="182" t="n">
        <v>1.5</v>
      </c>
      <c r="V4571" s="182" t="n">
        <v>0</v>
      </c>
      <c r="W4571" s="182" t="n">
        <v>0</v>
      </c>
      <c r="X4571" s="182" t="n">
        <v>1</v>
      </c>
      <c r="Y4571" s="182" t="n">
        <v>0</v>
      </c>
      <c r="Z4571" s="182" t="n">
        <v>0</v>
      </c>
      <c r="AA4571" s="182" t="n">
        <v>0</v>
      </c>
      <c r="AB4571" s="182" t="n">
        <v>0</v>
      </c>
      <c r="AC4571" s="182" t="n">
        <v>0</v>
      </c>
      <c r="AD4571" s="182" t="n">
        <v>0</v>
      </c>
      <c r="AE4571" s="182" t="n">
        <v>0</v>
      </c>
      <c r="AF4571" s="182" t="n">
        <v>0</v>
      </c>
      <c r="AG4571" s="182" t="n">
        <v>0</v>
      </c>
      <c r="AH4571" s="182" t="n">
        <v>0</v>
      </c>
      <c r="AI4571" s="182" t="n">
        <v>0</v>
      </c>
      <c r="AJ4571" s="182" t="n">
        <v>0</v>
      </c>
      <c r="AK4571" s="182" t="n">
        <v>9.42</v>
      </c>
      <c r="AL4571" s="182" t="n">
        <v>0</v>
      </c>
      <c r="AM4571" s="182" t="n">
        <v>0.08</v>
      </c>
      <c r="AN4571" s="182" t="n">
        <v>0</v>
      </c>
    </row>
    <row r="4572">
      <c r="A4572" s="155" t="n">
        <v>46102</v>
      </c>
      <c r="B4572" s="156" t="inlineStr">
        <is>
          <t>NS</t>
        </is>
      </c>
      <c r="C4572" s="156" t="inlineStr">
        <is>
          <t>DT-808</t>
        </is>
      </c>
      <c r="D4572" s="156" t="inlineStr">
        <is>
          <t>SKT 80S</t>
        </is>
      </c>
      <c r="E4572" s="156" t="inlineStr">
        <is>
          <t>Hauler</t>
        </is>
      </c>
      <c r="F4572" s="156" t="inlineStr"/>
      <c r="G4572" s="182" t="n">
        <v>0</v>
      </c>
      <c r="H4572" s="182" t="n">
        <v>0</v>
      </c>
      <c r="I4572" s="182" t="n">
        <v>0</v>
      </c>
      <c r="J4572" s="182" t="n">
        <v>0</v>
      </c>
      <c r="K4572" s="182" t="n">
        <v>12</v>
      </c>
      <c r="L4572" s="182" t="n">
        <v>12</v>
      </c>
      <c r="M4572" s="182" t="n">
        <v>0</v>
      </c>
      <c r="N4572" s="182" t="n">
        <v>0</v>
      </c>
      <c r="O4572" s="183" t="n">
        <v>0</v>
      </c>
      <c r="P4572" s="183" t="n">
        <v>0</v>
      </c>
      <c r="Q4572" s="184" t="n">
        <v>0</v>
      </c>
      <c r="R4572" s="184" t="n">
        <v>0</v>
      </c>
      <c r="S4572" s="183" t="n">
        <v>0</v>
      </c>
      <c r="T4572" s="183" t="n">
        <v>0</v>
      </c>
      <c r="U4572" s="182" t="n">
        <v>1.5</v>
      </c>
      <c r="V4572" s="182" t="n">
        <v>0</v>
      </c>
      <c r="W4572" s="182" t="n">
        <v>0</v>
      </c>
      <c r="X4572" s="182" t="n">
        <v>1</v>
      </c>
      <c r="Y4572" s="182" t="n">
        <v>0</v>
      </c>
      <c r="Z4572" s="182" t="n">
        <v>0</v>
      </c>
      <c r="AA4572" s="182" t="n">
        <v>0</v>
      </c>
      <c r="AB4572" s="182" t="n">
        <v>0</v>
      </c>
      <c r="AC4572" s="182" t="n">
        <v>0</v>
      </c>
      <c r="AD4572" s="182" t="n">
        <v>0</v>
      </c>
      <c r="AE4572" s="182" t="n">
        <v>0</v>
      </c>
      <c r="AF4572" s="182" t="n">
        <v>0</v>
      </c>
      <c r="AG4572" s="182" t="n">
        <v>0</v>
      </c>
      <c r="AH4572" s="182" t="n">
        <v>0</v>
      </c>
      <c r="AI4572" s="182" t="n">
        <v>0</v>
      </c>
      <c r="AJ4572" s="182" t="n">
        <v>0</v>
      </c>
      <c r="AK4572" s="182" t="n">
        <v>9.42</v>
      </c>
      <c r="AL4572" s="182" t="n">
        <v>0</v>
      </c>
      <c r="AM4572" s="182" t="n">
        <v>0.08</v>
      </c>
      <c r="AN4572" s="182" t="n">
        <v>0</v>
      </c>
    </row>
    <row r="4573">
      <c r="A4573" s="155" t="n">
        <v>46102</v>
      </c>
      <c r="B4573" s="156" t="inlineStr">
        <is>
          <t>NS</t>
        </is>
      </c>
      <c r="C4573" s="156" t="inlineStr">
        <is>
          <t>DT-811</t>
        </is>
      </c>
      <c r="D4573" s="156" t="inlineStr">
        <is>
          <t>SKT 80S</t>
        </is>
      </c>
      <c r="E4573" s="156" t="inlineStr">
        <is>
          <t>Hauler</t>
        </is>
      </c>
      <c r="F4573" s="156" t="inlineStr"/>
      <c r="G4573" s="182" t="n">
        <v>0</v>
      </c>
      <c r="H4573" s="182" t="n">
        <v>0</v>
      </c>
      <c r="I4573" s="182" t="n">
        <v>0</v>
      </c>
      <c r="J4573" s="182" t="n">
        <v>0</v>
      </c>
      <c r="K4573" s="182" t="n">
        <v>12</v>
      </c>
      <c r="L4573" s="182" t="n">
        <v>12</v>
      </c>
      <c r="M4573" s="182" t="n">
        <v>0</v>
      </c>
      <c r="N4573" s="182" t="n">
        <v>0</v>
      </c>
      <c r="O4573" s="183" t="n">
        <v>0</v>
      </c>
      <c r="P4573" s="183" t="n">
        <v>0</v>
      </c>
      <c r="Q4573" s="184" t="n">
        <v>0</v>
      </c>
      <c r="R4573" s="184" t="n">
        <v>0</v>
      </c>
      <c r="S4573" s="183" t="n">
        <v>0</v>
      </c>
      <c r="T4573" s="183" t="n">
        <v>0</v>
      </c>
      <c r="U4573" s="182" t="n">
        <v>1.5</v>
      </c>
      <c r="V4573" s="182" t="n">
        <v>0</v>
      </c>
      <c r="W4573" s="182" t="n">
        <v>0</v>
      </c>
      <c r="X4573" s="182" t="n">
        <v>1</v>
      </c>
      <c r="Y4573" s="182" t="n">
        <v>0</v>
      </c>
      <c r="Z4573" s="182" t="n">
        <v>0</v>
      </c>
      <c r="AA4573" s="182" t="n">
        <v>0</v>
      </c>
      <c r="AB4573" s="182" t="n">
        <v>0</v>
      </c>
      <c r="AC4573" s="182" t="n">
        <v>0</v>
      </c>
      <c r="AD4573" s="182" t="n">
        <v>0</v>
      </c>
      <c r="AE4573" s="182" t="n">
        <v>0</v>
      </c>
      <c r="AF4573" s="182" t="n">
        <v>0</v>
      </c>
      <c r="AG4573" s="182" t="n">
        <v>0</v>
      </c>
      <c r="AH4573" s="182" t="n">
        <v>0</v>
      </c>
      <c r="AI4573" s="182" t="n">
        <v>0</v>
      </c>
      <c r="AJ4573" s="182" t="n">
        <v>0</v>
      </c>
      <c r="AK4573" s="182" t="n">
        <v>9.42</v>
      </c>
      <c r="AL4573" s="182" t="n">
        <v>0</v>
      </c>
      <c r="AM4573" s="182" t="n">
        <v>0.08</v>
      </c>
      <c r="AN4573" s="182" t="n">
        <v>0</v>
      </c>
    </row>
    <row r="4574">
      <c r="A4574" s="155" t="n">
        <v>46102</v>
      </c>
      <c r="B4574" s="156" t="inlineStr">
        <is>
          <t>NS</t>
        </is>
      </c>
      <c r="C4574" s="156" t="inlineStr">
        <is>
          <t>DT-802</t>
        </is>
      </c>
      <c r="D4574" s="156" t="inlineStr">
        <is>
          <t>SKT 80S</t>
        </is>
      </c>
      <c r="E4574" s="156" t="inlineStr">
        <is>
          <t>Hauler</t>
        </is>
      </c>
      <c r="F4574" s="156" t="inlineStr"/>
      <c r="G4574" s="182" t="n">
        <v>0</v>
      </c>
      <c r="H4574" s="182" t="n">
        <v>0</v>
      </c>
      <c r="I4574" s="182" t="n">
        <v>0</v>
      </c>
      <c r="J4574" s="182" t="n">
        <v>0</v>
      </c>
      <c r="K4574" s="182" t="n">
        <v>12</v>
      </c>
      <c r="L4574" s="182" t="n">
        <v>12</v>
      </c>
      <c r="M4574" s="182" t="n">
        <v>0</v>
      </c>
      <c r="N4574" s="182" t="n">
        <v>0</v>
      </c>
      <c r="O4574" s="183" t="n">
        <v>0</v>
      </c>
      <c r="P4574" s="183" t="n">
        <v>0</v>
      </c>
      <c r="Q4574" s="184" t="n">
        <v>0</v>
      </c>
      <c r="R4574" s="184" t="n">
        <v>0</v>
      </c>
      <c r="S4574" s="183" t="n">
        <v>0</v>
      </c>
      <c r="T4574" s="183" t="n">
        <v>0</v>
      </c>
      <c r="U4574" s="182" t="n">
        <v>1.5</v>
      </c>
      <c r="V4574" s="182" t="n">
        <v>0</v>
      </c>
      <c r="W4574" s="182" t="n">
        <v>0</v>
      </c>
      <c r="X4574" s="182" t="n">
        <v>1</v>
      </c>
      <c r="Y4574" s="182" t="n">
        <v>0</v>
      </c>
      <c r="Z4574" s="182" t="n">
        <v>0</v>
      </c>
      <c r="AA4574" s="182" t="n">
        <v>0</v>
      </c>
      <c r="AB4574" s="182" t="n">
        <v>0</v>
      </c>
      <c r="AC4574" s="182" t="n">
        <v>0</v>
      </c>
      <c r="AD4574" s="182" t="n">
        <v>0</v>
      </c>
      <c r="AE4574" s="182" t="n">
        <v>0</v>
      </c>
      <c r="AF4574" s="182" t="n">
        <v>0</v>
      </c>
      <c r="AG4574" s="182" t="n">
        <v>0</v>
      </c>
      <c r="AH4574" s="182" t="n">
        <v>0</v>
      </c>
      <c r="AI4574" s="182" t="n">
        <v>0</v>
      </c>
      <c r="AJ4574" s="182" t="n">
        <v>0</v>
      </c>
      <c r="AK4574" s="182" t="n">
        <v>9.42</v>
      </c>
      <c r="AL4574" s="182" t="n">
        <v>0</v>
      </c>
      <c r="AM4574" s="182" t="n">
        <v>0.08</v>
      </c>
      <c r="AN4574" s="182" t="n">
        <v>0</v>
      </c>
    </row>
    <row r="4575">
      <c r="A4575" s="155" t="n">
        <v>46102</v>
      </c>
      <c r="B4575" s="156" t="inlineStr">
        <is>
          <t>NS</t>
        </is>
      </c>
      <c r="C4575" s="156" t="inlineStr">
        <is>
          <t>DT-807</t>
        </is>
      </c>
      <c r="D4575" s="156" t="inlineStr">
        <is>
          <t>SKT 80S</t>
        </is>
      </c>
      <c r="E4575" s="156" t="inlineStr">
        <is>
          <t>Hauler</t>
        </is>
      </c>
      <c r="F4575" s="156" t="inlineStr"/>
      <c r="G4575" s="182" t="n">
        <v>0</v>
      </c>
      <c r="H4575" s="182" t="n">
        <v>0</v>
      </c>
      <c r="I4575" s="182" t="n">
        <v>0</v>
      </c>
      <c r="J4575" s="182" t="n">
        <v>0</v>
      </c>
      <c r="K4575" s="182" t="n">
        <v>12</v>
      </c>
      <c r="L4575" s="182" t="n">
        <v>12</v>
      </c>
      <c r="M4575" s="182" t="n">
        <v>0</v>
      </c>
      <c r="N4575" s="182" t="n">
        <v>0</v>
      </c>
      <c r="O4575" s="183" t="n">
        <v>0</v>
      </c>
      <c r="P4575" s="183" t="n">
        <v>0</v>
      </c>
      <c r="Q4575" s="184" t="n">
        <v>0</v>
      </c>
      <c r="R4575" s="184" t="n">
        <v>0</v>
      </c>
      <c r="S4575" s="183" t="n">
        <v>0</v>
      </c>
      <c r="T4575" s="183" t="n">
        <v>0</v>
      </c>
      <c r="U4575" s="182" t="n">
        <v>1.5</v>
      </c>
      <c r="V4575" s="182" t="n">
        <v>0</v>
      </c>
      <c r="W4575" s="182" t="n">
        <v>0</v>
      </c>
      <c r="X4575" s="182" t="n">
        <v>1</v>
      </c>
      <c r="Y4575" s="182" t="n">
        <v>0</v>
      </c>
      <c r="Z4575" s="182" t="n">
        <v>0</v>
      </c>
      <c r="AA4575" s="182" t="n">
        <v>0</v>
      </c>
      <c r="AB4575" s="182" t="n">
        <v>0</v>
      </c>
      <c r="AC4575" s="182" t="n">
        <v>0</v>
      </c>
      <c r="AD4575" s="182" t="n">
        <v>0</v>
      </c>
      <c r="AE4575" s="182" t="n">
        <v>0</v>
      </c>
      <c r="AF4575" s="182" t="n">
        <v>0</v>
      </c>
      <c r="AG4575" s="182" t="n">
        <v>0</v>
      </c>
      <c r="AH4575" s="182" t="n">
        <v>0</v>
      </c>
      <c r="AI4575" s="182" t="n">
        <v>0</v>
      </c>
      <c r="AJ4575" s="182" t="n">
        <v>0</v>
      </c>
      <c r="AK4575" s="182" t="n">
        <v>9.42</v>
      </c>
      <c r="AL4575" s="182" t="n">
        <v>0</v>
      </c>
      <c r="AM4575" s="182" t="n">
        <v>0.08</v>
      </c>
      <c r="AN4575" s="182" t="n">
        <v>0</v>
      </c>
    </row>
    <row r="4576">
      <c r="A4576" s="155" t="n">
        <v>46102</v>
      </c>
      <c r="B4576" s="156" t="inlineStr">
        <is>
          <t>NS</t>
        </is>
      </c>
      <c r="C4576" s="156" t="inlineStr">
        <is>
          <t>DT-812</t>
        </is>
      </c>
      <c r="D4576" s="156" t="inlineStr">
        <is>
          <t>SKT 80S</t>
        </is>
      </c>
      <c r="E4576" s="156" t="inlineStr">
        <is>
          <t>Hauler</t>
        </is>
      </c>
      <c r="F4576" s="156" t="inlineStr">
        <is>
          <t>Hauling Coal</t>
        </is>
      </c>
      <c r="G4576" s="182" t="n">
        <v>2.93</v>
      </c>
      <c r="H4576" s="182" t="n">
        <v>0</v>
      </c>
      <c r="I4576" s="182" t="n">
        <v>0</v>
      </c>
      <c r="J4576" s="182" t="n">
        <v>0</v>
      </c>
      <c r="K4576" s="182" t="n">
        <v>9.07</v>
      </c>
      <c r="L4576" s="182" t="n">
        <v>12</v>
      </c>
      <c r="M4576" s="182" t="n">
        <v>0</v>
      </c>
      <c r="N4576" s="182" t="n">
        <v>2.93</v>
      </c>
      <c r="O4576" s="183" t="n">
        <v>0</v>
      </c>
      <c r="P4576" s="183" t="n">
        <v>6</v>
      </c>
      <c r="Q4576" s="184" t="n">
        <v>0</v>
      </c>
      <c r="R4576" s="184" t="n">
        <v>91.8</v>
      </c>
      <c r="S4576" s="183" t="n">
        <v>0</v>
      </c>
      <c r="T4576" s="183" t="n">
        <v>0</v>
      </c>
      <c r="U4576" s="182" t="n">
        <v>1.48</v>
      </c>
      <c r="V4576" s="182" t="n">
        <v>0.59</v>
      </c>
      <c r="W4576" s="182" t="n">
        <v>0</v>
      </c>
      <c r="X4576" s="182" t="n">
        <v>0.99</v>
      </c>
      <c r="Y4576" s="182" t="n">
        <v>0</v>
      </c>
      <c r="Z4576" s="182" t="n">
        <v>0</v>
      </c>
      <c r="AA4576" s="182" t="n">
        <v>0</v>
      </c>
      <c r="AB4576" s="182" t="n">
        <v>0</v>
      </c>
      <c r="AC4576" s="182" t="n">
        <v>0</v>
      </c>
      <c r="AD4576" s="182" t="n">
        <v>5.93</v>
      </c>
      <c r="AE4576" s="182" t="n">
        <v>0</v>
      </c>
      <c r="AF4576" s="182" t="n">
        <v>0</v>
      </c>
      <c r="AG4576" s="182" t="n">
        <v>0</v>
      </c>
      <c r="AH4576" s="182" t="n">
        <v>0</v>
      </c>
      <c r="AI4576" s="182" t="n">
        <v>0</v>
      </c>
      <c r="AJ4576" s="182" t="n">
        <v>0</v>
      </c>
      <c r="AK4576" s="182" t="n">
        <v>0</v>
      </c>
      <c r="AL4576" s="182" t="n">
        <v>0</v>
      </c>
      <c r="AM4576" s="182" t="n">
        <v>0.08</v>
      </c>
      <c r="AN4576" s="182" t="n">
        <v>0</v>
      </c>
    </row>
    <row r="4577">
      <c r="A4577" s="155" t="n">
        <v>46102</v>
      </c>
      <c r="B4577" s="156" t="inlineStr">
        <is>
          <t>NS</t>
        </is>
      </c>
      <c r="C4577" s="156" t="inlineStr">
        <is>
          <t>DT-803</t>
        </is>
      </c>
      <c r="D4577" s="156" t="inlineStr">
        <is>
          <t>SKT 80S</t>
        </is>
      </c>
      <c r="E4577" s="156" t="inlineStr">
        <is>
          <t>Hauler</t>
        </is>
      </c>
      <c r="F4577" s="156" t="inlineStr"/>
      <c r="G4577" s="182" t="n">
        <v>0</v>
      </c>
      <c r="H4577" s="182" t="n">
        <v>0</v>
      </c>
      <c r="I4577" s="182" t="n">
        <v>0</v>
      </c>
      <c r="J4577" s="182" t="n">
        <v>0</v>
      </c>
      <c r="K4577" s="182" t="n">
        <v>12</v>
      </c>
      <c r="L4577" s="182" t="n">
        <v>12</v>
      </c>
      <c r="M4577" s="182" t="n">
        <v>0</v>
      </c>
      <c r="N4577" s="182" t="n">
        <v>0</v>
      </c>
      <c r="O4577" s="183" t="n">
        <v>0</v>
      </c>
      <c r="P4577" s="183" t="n">
        <v>0</v>
      </c>
      <c r="Q4577" s="184" t="n">
        <v>0</v>
      </c>
      <c r="R4577" s="184" t="n">
        <v>0</v>
      </c>
      <c r="S4577" s="183" t="n">
        <v>0</v>
      </c>
      <c r="T4577" s="183" t="n">
        <v>0</v>
      </c>
      <c r="U4577" s="182" t="n">
        <v>1.5</v>
      </c>
      <c r="V4577" s="182" t="n">
        <v>0</v>
      </c>
      <c r="W4577" s="182" t="n">
        <v>0</v>
      </c>
      <c r="X4577" s="182" t="n">
        <v>1</v>
      </c>
      <c r="Y4577" s="182" t="n">
        <v>0</v>
      </c>
      <c r="Z4577" s="182" t="n">
        <v>0</v>
      </c>
      <c r="AA4577" s="182" t="n">
        <v>0</v>
      </c>
      <c r="AB4577" s="182" t="n">
        <v>0</v>
      </c>
      <c r="AC4577" s="182" t="n">
        <v>0</v>
      </c>
      <c r="AD4577" s="182" t="n">
        <v>0</v>
      </c>
      <c r="AE4577" s="182" t="n">
        <v>0</v>
      </c>
      <c r="AF4577" s="182" t="n">
        <v>0</v>
      </c>
      <c r="AG4577" s="182" t="n">
        <v>0</v>
      </c>
      <c r="AH4577" s="182" t="n">
        <v>0</v>
      </c>
      <c r="AI4577" s="182" t="n">
        <v>0</v>
      </c>
      <c r="AJ4577" s="182" t="n">
        <v>0</v>
      </c>
      <c r="AK4577" s="182" t="n">
        <v>9.42</v>
      </c>
      <c r="AL4577" s="182" t="n">
        <v>0</v>
      </c>
      <c r="AM4577" s="182" t="n">
        <v>0.08</v>
      </c>
      <c r="AN4577" s="182" t="n">
        <v>0</v>
      </c>
    </row>
    <row r="4578">
      <c r="A4578" s="155" t="n">
        <v>46102</v>
      </c>
      <c r="B4578" s="156" t="inlineStr">
        <is>
          <t>NS</t>
        </is>
      </c>
      <c r="C4578" s="156" t="inlineStr">
        <is>
          <t>DT-810</t>
        </is>
      </c>
      <c r="D4578" s="156" t="inlineStr">
        <is>
          <t>SKT 80S</t>
        </is>
      </c>
      <c r="E4578" s="156" t="inlineStr">
        <is>
          <t>Hauler</t>
        </is>
      </c>
      <c r="F4578" s="156" t="inlineStr"/>
      <c r="G4578" s="182" t="n">
        <v>0</v>
      </c>
      <c r="H4578" s="182" t="n">
        <v>0</v>
      </c>
      <c r="I4578" s="182" t="n">
        <v>0</v>
      </c>
      <c r="J4578" s="182" t="n">
        <v>0</v>
      </c>
      <c r="K4578" s="182" t="n">
        <v>12</v>
      </c>
      <c r="L4578" s="182" t="n">
        <v>12</v>
      </c>
      <c r="M4578" s="182" t="n">
        <v>0</v>
      </c>
      <c r="N4578" s="182" t="n">
        <v>0</v>
      </c>
      <c r="O4578" s="183" t="n">
        <v>0</v>
      </c>
      <c r="P4578" s="183" t="n">
        <v>0</v>
      </c>
      <c r="Q4578" s="184" t="n">
        <v>0</v>
      </c>
      <c r="R4578" s="184" t="n">
        <v>0</v>
      </c>
      <c r="S4578" s="183" t="n">
        <v>0</v>
      </c>
      <c r="T4578" s="183" t="n">
        <v>0</v>
      </c>
      <c r="U4578" s="182" t="n">
        <v>1.5</v>
      </c>
      <c r="V4578" s="182" t="n">
        <v>0</v>
      </c>
      <c r="W4578" s="182" t="n">
        <v>0</v>
      </c>
      <c r="X4578" s="182" t="n">
        <v>1</v>
      </c>
      <c r="Y4578" s="182" t="n">
        <v>0</v>
      </c>
      <c r="Z4578" s="182" t="n">
        <v>0</v>
      </c>
      <c r="AA4578" s="182" t="n">
        <v>0</v>
      </c>
      <c r="AB4578" s="182" t="n">
        <v>0</v>
      </c>
      <c r="AC4578" s="182" t="n">
        <v>0</v>
      </c>
      <c r="AD4578" s="182" t="n">
        <v>0</v>
      </c>
      <c r="AE4578" s="182" t="n">
        <v>0</v>
      </c>
      <c r="AF4578" s="182" t="n">
        <v>0</v>
      </c>
      <c r="AG4578" s="182" t="n">
        <v>0</v>
      </c>
      <c r="AH4578" s="182" t="n">
        <v>0</v>
      </c>
      <c r="AI4578" s="182" t="n">
        <v>0</v>
      </c>
      <c r="AJ4578" s="182" t="n">
        <v>0</v>
      </c>
      <c r="AK4578" s="182" t="n">
        <v>9.42</v>
      </c>
      <c r="AL4578" s="182" t="n">
        <v>0</v>
      </c>
      <c r="AM4578" s="182" t="n">
        <v>0.08</v>
      </c>
      <c r="AN4578" s="182" t="n">
        <v>0</v>
      </c>
    </row>
    <row r="4579">
      <c r="A4579" s="155" t="n">
        <v>46102</v>
      </c>
      <c r="B4579" s="156" t="inlineStr">
        <is>
          <t>NS</t>
        </is>
      </c>
      <c r="C4579" s="156" t="inlineStr">
        <is>
          <t>DT-804</t>
        </is>
      </c>
      <c r="D4579" s="156" t="inlineStr">
        <is>
          <t>SKT 80S</t>
        </is>
      </c>
      <c r="E4579" s="156" t="inlineStr">
        <is>
          <t>Hauler</t>
        </is>
      </c>
      <c r="F4579" s="156" t="inlineStr"/>
      <c r="G4579" s="182" t="n">
        <v>0</v>
      </c>
      <c r="H4579" s="182" t="n">
        <v>0</v>
      </c>
      <c r="I4579" s="182" t="n">
        <v>0</v>
      </c>
      <c r="J4579" s="182" t="n">
        <v>0</v>
      </c>
      <c r="K4579" s="182" t="n">
        <v>12</v>
      </c>
      <c r="L4579" s="182" t="n">
        <v>12</v>
      </c>
      <c r="M4579" s="182" t="n">
        <v>0</v>
      </c>
      <c r="N4579" s="182" t="n">
        <v>0</v>
      </c>
      <c r="O4579" s="183" t="n">
        <v>0</v>
      </c>
      <c r="P4579" s="183" t="n">
        <v>0</v>
      </c>
      <c r="Q4579" s="184" t="n">
        <v>0</v>
      </c>
      <c r="R4579" s="184" t="n">
        <v>0</v>
      </c>
      <c r="S4579" s="183" t="n">
        <v>0</v>
      </c>
      <c r="T4579" s="183" t="n">
        <v>0</v>
      </c>
      <c r="U4579" s="182" t="n">
        <v>1.5</v>
      </c>
      <c r="V4579" s="182" t="n">
        <v>0</v>
      </c>
      <c r="W4579" s="182" t="n">
        <v>0</v>
      </c>
      <c r="X4579" s="182" t="n">
        <v>1</v>
      </c>
      <c r="Y4579" s="182" t="n">
        <v>0</v>
      </c>
      <c r="Z4579" s="182" t="n">
        <v>0</v>
      </c>
      <c r="AA4579" s="182" t="n">
        <v>0</v>
      </c>
      <c r="AB4579" s="182" t="n">
        <v>0</v>
      </c>
      <c r="AC4579" s="182" t="n">
        <v>0</v>
      </c>
      <c r="AD4579" s="182" t="n">
        <v>0</v>
      </c>
      <c r="AE4579" s="182" t="n">
        <v>0</v>
      </c>
      <c r="AF4579" s="182" t="n">
        <v>0</v>
      </c>
      <c r="AG4579" s="182" t="n">
        <v>0</v>
      </c>
      <c r="AH4579" s="182" t="n">
        <v>0</v>
      </c>
      <c r="AI4579" s="182" t="n">
        <v>0</v>
      </c>
      <c r="AJ4579" s="182" t="n">
        <v>0</v>
      </c>
      <c r="AK4579" s="182" t="n">
        <v>9.42</v>
      </c>
      <c r="AL4579" s="182" t="n">
        <v>0</v>
      </c>
      <c r="AM4579" s="182" t="n">
        <v>0.08</v>
      </c>
      <c r="AN4579" s="182" t="n">
        <v>0</v>
      </c>
    </row>
    <row r="4580">
      <c r="A4580" s="155" t="n">
        <v>46102</v>
      </c>
      <c r="B4580" s="156" t="inlineStr">
        <is>
          <t>NS</t>
        </is>
      </c>
      <c r="C4580" s="156" t="inlineStr">
        <is>
          <t>DT-505</t>
        </is>
      </c>
      <c r="D4580" s="156" t="inlineStr">
        <is>
          <t>SKT 105S</t>
        </is>
      </c>
      <c r="E4580" s="156" t="inlineStr">
        <is>
          <t>Hauler</t>
        </is>
      </c>
      <c r="F4580" s="156" t="inlineStr"/>
      <c r="G4580" s="182" t="n">
        <v>0</v>
      </c>
      <c r="H4580" s="182" t="n">
        <v>12</v>
      </c>
      <c r="I4580" s="182" t="n">
        <v>0</v>
      </c>
      <c r="J4580" s="182" t="n">
        <v>12</v>
      </c>
      <c r="K4580" s="182" t="n">
        <v>0</v>
      </c>
      <c r="L4580" s="182" t="n">
        <v>12</v>
      </c>
      <c r="M4580" s="182" t="n">
        <v>0</v>
      </c>
      <c r="N4580" s="182" t="n">
        <v>0</v>
      </c>
      <c r="O4580" s="183" t="n">
        <v>0</v>
      </c>
      <c r="P4580" s="183" t="n">
        <v>0</v>
      </c>
      <c r="Q4580" s="184" t="n">
        <v>0</v>
      </c>
      <c r="R4580" s="184" t="n">
        <v>0</v>
      </c>
      <c r="S4580" s="183" t="n">
        <v>0</v>
      </c>
      <c r="T4580" s="183" t="n">
        <v>0</v>
      </c>
      <c r="U4580" s="182" t="n">
        <v>0</v>
      </c>
      <c r="V4580" s="182" t="n">
        <v>0</v>
      </c>
      <c r="W4580" s="182" t="n">
        <v>0</v>
      </c>
      <c r="X4580" s="182" t="n">
        <v>0</v>
      </c>
      <c r="Y4580" s="182" t="n">
        <v>0</v>
      </c>
      <c r="Z4580" s="182" t="n">
        <v>0</v>
      </c>
      <c r="AA4580" s="182" t="n">
        <v>0</v>
      </c>
      <c r="AB4580" s="182" t="n">
        <v>0</v>
      </c>
      <c r="AC4580" s="182" t="n">
        <v>0</v>
      </c>
      <c r="AD4580" s="182" t="n">
        <v>0</v>
      </c>
      <c r="AE4580" s="182" t="n">
        <v>0</v>
      </c>
      <c r="AF4580" s="182" t="n">
        <v>0</v>
      </c>
      <c r="AG4580" s="182" t="n">
        <v>0</v>
      </c>
      <c r="AH4580" s="182" t="n">
        <v>0</v>
      </c>
      <c r="AI4580" s="182" t="n">
        <v>0</v>
      </c>
      <c r="AJ4580" s="182" t="n">
        <v>0</v>
      </c>
      <c r="AK4580" s="182" t="n">
        <v>0</v>
      </c>
      <c r="AL4580" s="182" t="n">
        <v>0</v>
      </c>
      <c r="AM4580" s="182" t="n">
        <v>0</v>
      </c>
      <c r="AN4580" s="182" t="n">
        <v>0</v>
      </c>
    </row>
    <row r="4581">
      <c r="A4581" s="155" t="n">
        <v>46102</v>
      </c>
      <c r="B4581" s="156" t="inlineStr">
        <is>
          <t>NS</t>
        </is>
      </c>
      <c r="C4581" s="156" t="inlineStr">
        <is>
          <t>DT-530</t>
        </is>
      </c>
      <c r="D4581" s="156" t="inlineStr">
        <is>
          <t>SKT 105S</t>
        </is>
      </c>
      <c r="E4581" s="156" t="inlineStr">
        <is>
          <t>Hauler</t>
        </is>
      </c>
      <c r="F4581" s="156" t="inlineStr"/>
      <c r="G4581" s="182" t="n">
        <v>0</v>
      </c>
      <c r="H4581" s="182" t="n">
        <v>0</v>
      </c>
      <c r="I4581" s="182" t="n">
        <v>12</v>
      </c>
      <c r="J4581" s="182" t="n">
        <v>12</v>
      </c>
      <c r="K4581" s="182" t="n">
        <v>0</v>
      </c>
      <c r="L4581" s="182" t="n">
        <v>12</v>
      </c>
      <c r="M4581" s="182" t="n">
        <v>0</v>
      </c>
      <c r="N4581" s="182" t="n">
        <v>0</v>
      </c>
      <c r="O4581" s="183" t="n">
        <v>0</v>
      </c>
      <c r="P4581" s="183" t="n">
        <v>0</v>
      </c>
      <c r="Q4581" s="184" t="n">
        <v>0</v>
      </c>
      <c r="R4581" s="184" t="n">
        <v>0</v>
      </c>
      <c r="S4581" s="183" t="n">
        <v>0</v>
      </c>
      <c r="T4581" s="183" t="n">
        <v>0</v>
      </c>
      <c r="U4581" s="182" t="n">
        <v>0</v>
      </c>
      <c r="V4581" s="182" t="n">
        <v>0</v>
      </c>
      <c r="W4581" s="182" t="n">
        <v>0</v>
      </c>
      <c r="X4581" s="182" t="n">
        <v>0</v>
      </c>
      <c r="Y4581" s="182" t="n">
        <v>0</v>
      </c>
      <c r="Z4581" s="182" t="n">
        <v>0</v>
      </c>
      <c r="AA4581" s="182" t="n">
        <v>0</v>
      </c>
      <c r="AB4581" s="182" t="n">
        <v>0</v>
      </c>
      <c r="AC4581" s="182" t="n">
        <v>0</v>
      </c>
      <c r="AD4581" s="182" t="n">
        <v>0</v>
      </c>
      <c r="AE4581" s="182" t="n">
        <v>0</v>
      </c>
      <c r="AF4581" s="182" t="n">
        <v>0</v>
      </c>
      <c r="AG4581" s="182" t="n">
        <v>0</v>
      </c>
      <c r="AH4581" s="182" t="n">
        <v>0</v>
      </c>
      <c r="AI4581" s="182" t="n">
        <v>0</v>
      </c>
      <c r="AJ4581" s="182" t="n">
        <v>0</v>
      </c>
      <c r="AK4581" s="182" t="n">
        <v>0</v>
      </c>
      <c r="AL4581" s="182" t="n">
        <v>0</v>
      </c>
      <c r="AM4581" s="182" t="n">
        <v>0</v>
      </c>
      <c r="AN4581" s="182" t="n">
        <v>0</v>
      </c>
    </row>
    <row r="4582">
      <c r="A4582" s="155" t="n">
        <v>46102</v>
      </c>
      <c r="B4582" s="156" t="inlineStr">
        <is>
          <t>NS</t>
        </is>
      </c>
      <c r="C4582" s="156" t="inlineStr">
        <is>
          <t>DT-525</t>
        </is>
      </c>
      <c r="D4582" s="156" t="inlineStr">
        <is>
          <t>SKT 105S</t>
        </is>
      </c>
      <c r="E4582" s="156" t="inlineStr">
        <is>
          <t>Hauler</t>
        </is>
      </c>
      <c r="F4582" s="156" t="inlineStr"/>
      <c r="G4582" s="182" t="n">
        <v>0</v>
      </c>
      <c r="H4582" s="182" t="n">
        <v>0</v>
      </c>
      <c r="I4582" s="182" t="n">
        <v>12</v>
      </c>
      <c r="J4582" s="182" t="n">
        <v>12</v>
      </c>
      <c r="K4582" s="182" t="n">
        <v>0</v>
      </c>
      <c r="L4582" s="182" t="n">
        <v>12</v>
      </c>
      <c r="M4582" s="182" t="n">
        <v>0</v>
      </c>
      <c r="N4582" s="182" t="n">
        <v>0</v>
      </c>
      <c r="O4582" s="183" t="n">
        <v>0</v>
      </c>
      <c r="P4582" s="183" t="n">
        <v>0</v>
      </c>
      <c r="Q4582" s="184" t="n">
        <v>0</v>
      </c>
      <c r="R4582" s="184" t="n">
        <v>0</v>
      </c>
      <c r="S4582" s="183" t="n">
        <v>0</v>
      </c>
      <c r="T4582" s="183" t="n">
        <v>0</v>
      </c>
      <c r="U4582" s="182" t="n">
        <v>0</v>
      </c>
      <c r="V4582" s="182" t="n">
        <v>0</v>
      </c>
      <c r="W4582" s="182" t="n">
        <v>0</v>
      </c>
      <c r="X4582" s="182" t="n">
        <v>0</v>
      </c>
      <c r="Y4582" s="182" t="n">
        <v>0</v>
      </c>
      <c r="Z4582" s="182" t="n">
        <v>0</v>
      </c>
      <c r="AA4582" s="182" t="n">
        <v>0</v>
      </c>
      <c r="AB4582" s="182" t="n">
        <v>0</v>
      </c>
      <c r="AC4582" s="182" t="n">
        <v>0</v>
      </c>
      <c r="AD4582" s="182" t="n">
        <v>0</v>
      </c>
      <c r="AE4582" s="182" t="n">
        <v>0</v>
      </c>
      <c r="AF4582" s="182" t="n">
        <v>0</v>
      </c>
      <c r="AG4582" s="182" t="n">
        <v>0</v>
      </c>
      <c r="AH4582" s="182" t="n">
        <v>0</v>
      </c>
      <c r="AI4582" s="182" t="n">
        <v>0</v>
      </c>
      <c r="AJ4582" s="182" t="n">
        <v>0</v>
      </c>
      <c r="AK4582" s="182" t="n">
        <v>0</v>
      </c>
      <c r="AL4582" s="182" t="n">
        <v>0</v>
      </c>
      <c r="AM4582" s="182" t="n">
        <v>0</v>
      </c>
      <c r="AN4582" s="182" t="n">
        <v>0</v>
      </c>
    </row>
    <row r="4583">
      <c r="A4583" s="155" t="n">
        <v>46102</v>
      </c>
      <c r="B4583" s="156" t="inlineStr">
        <is>
          <t>NS</t>
        </is>
      </c>
      <c r="C4583" s="156" t="inlineStr">
        <is>
          <t>DT-503</t>
        </is>
      </c>
      <c r="D4583" s="156" t="inlineStr">
        <is>
          <t>SKT 105S</t>
        </is>
      </c>
      <c r="E4583" s="156" t="inlineStr">
        <is>
          <t>Hauler</t>
        </is>
      </c>
      <c r="F4583" s="156" t="inlineStr">
        <is>
          <t>Hauling OB &amp; Coal</t>
        </is>
      </c>
      <c r="G4583" s="182" t="n">
        <v>4.27</v>
      </c>
      <c r="H4583" s="182" t="n">
        <v>0</v>
      </c>
      <c r="I4583" s="182" t="n">
        <v>0</v>
      </c>
      <c r="J4583" s="182" t="n">
        <v>0</v>
      </c>
      <c r="K4583" s="182" t="n">
        <v>7.73</v>
      </c>
      <c r="L4583" s="182" t="n">
        <v>12</v>
      </c>
      <c r="M4583" s="182" t="n">
        <v>3.36</v>
      </c>
      <c r="N4583" s="182" t="n">
        <v>0.91</v>
      </c>
      <c r="O4583" s="183" t="n">
        <v>16</v>
      </c>
      <c r="P4583" s="183" t="n">
        <v>3</v>
      </c>
      <c r="Q4583" s="184" t="n">
        <v>326.4</v>
      </c>
      <c r="R4583" s="184" t="n">
        <v>56.1</v>
      </c>
      <c r="S4583" s="183" t="n">
        <v>0</v>
      </c>
      <c r="T4583" s="183" t="n">
        <v>0</v>
      </c>
      <c r="U4583" s="182" t="n">
        <v>1.59</v>
      </c>
      <c r="V4583" s="182" t="n">
        <v>0.64</v>
      </c>
      <c r="W4583" s="182" t="n">
        <v>0</v>
      </c>
      <c r="X4583" s="182" t="n">
        <v>1.06</v>
      </c>
      <c r="Y4583" s="182" t="n">
        <v>0</v>
      </c>
      <c r="Z4583" s="182" t="n">
        <v>0</v>
      </c>
      <c r="AA4583" s="182" t="n">
        <v>0</v>
      </c>
      <c r="AB4583" s="182" t="n">
        <v>0</v>
      </c>
      <c r="AC4583" s="182" t="n">
        <v>0</v>
      </c>
      <c r="AD4583" s="182" t="n">
        <v>4.36</v>
      </c>
      <c r="AE4583" s="182" t="n">
        <v>0</v>
      </c>
      <c r="AF4583" s="182" t="n">
        <v>0</v>
      </c>
      <c r="AG4583" s="182" t="n">
        <v>0</v>
      </c>
      <c r="AH4583" s="182" t="n">
        <v>0</v>
      </c>
      <c r="AI4583" s="182" t="n">
        <v>0</v>
      </c>
      <c r="AJ4583" s="182" t="n">
        <v>0</v>
      </c>
      <c r="AK4583" s="182" t="n">
        <v>0</v>
      </c>
      <c r="AL4583" s="182" t="n">
        <v>0</v>
      </c>
      <c r="AM4583" s="182" t="n">
        <v>0.08</v>
      </c>
      <c r="AN4583" s="182" t="n">
        <v>0</v>
      </c>
    </row>
    <row r="4584">
      <c r="A4584" s="155" t="n">
        <v>46102</v>
      </c>
      <c r="B4584" s="156" t="inlineStr">
        <is>
          <t>NS</t>
        </is>
      </c>
      <c r="C4584" s="156" t="inlineStr">
        <is>
          <t>DT-504</t>
        </is>
      </c>
      <c r="D4584" s="156" t="inlineStr">
        <is>
          <t>SKT 105S</t>
        </is>
      </c>
      <c r="E4584" s="156" t="inlineStr">
        <is>
          <t>Hauler</t>
        </is>
      </c>
      <c r="F4584" s="156" t="inlineStr">
        <is>
          <t>Hauling OB</t>
        </is>
      </c>
      <c r="G4584" s="182" t="n">
        <v>2.36</v>
      </c>
      <c r="H4584" s="182" t="n">
        <v>0</v>
      </c>
      <c r="I4584" s="182" t="n">
        <v>0</v>
      </c>
      <c r="J4584" s="182" t="n">
        <v>0</v>
      </c>
      <c r="K4584" s="182" t="n">
        <v>9.640000000000001</v>
      </c>
      <c r="L4584" s="182" t="n">
        <v>12</v>
      </c>
      <c r="M4584" s="182" t="n">
        <v>2.36</v>
      </c>
      <c r="N4584" s="182" t="n">
        <v>0</v>
      </c>
      <c r="O4584" s="183" t="n">
        <v>9</v>
      </c>
      <c r="P4584" s="183" t="n">
        <v>0</v>
      </c>
      <c r="Q4584" s="184" t="n">
        <v>183.6</v>
      </c>
      <c r="R4584" s="184" t="n">
        <v>0</v>
      </c>
      <c r="S4584" s="183" t="n">
        <v>0</v>
      </c>
      <c r="T4584" s="183" t="n">
        <v>0</v>
      </c>
      <c r="U4584" s="182" t="n">
        <v>1.51</v>
      </c>
      <c r="V4584" s="182" t="n">
        <v>0.6</v>
      </c>
      <c r="W4584" s="182" t="n">
        <v>0</v>
      </c>
      <c r="X4584" s="182" t="n">
        <v>1</v>
      </c>
      <c r="Y4584" s="182" t="n">
        <v>0</v>
      </c>
      <c r="Z4584" s="182" t="n">
        <v>0</v>
      </c>
      <c r="AA4584" s="182" t="n">
        <v>0</v>
      </c>
      <c r="AB4584" s="182" t="n">
        <v>0</v>
      </c>
      <c r="AC4584" s="182" t="n">
        <v>0</v>
      </c>
      <c r="AD4584" s="182" t="n">
        <v>6.45</v>
      </c>
      <c r="AE4584" s="182" t="n">
        <v>0</v>
      </c>
      <c r="AF4584" s="182" t="n">
        <v>0</v>
      </c>
      <c r="AG4584" s="182" t="n">
        <v>0</v>
      </c>
      <c r="AH4584" s="182" t="n">
        <v>0</v>
      </c>
      <c r="AI4584" s="182" t="n">
        <v>0</v>
      </c>
      <c r="AJ4584" s="182" t="n">
        <v>0</v>
      </c>
      <c r="AK4584" s="182" t="n">
        <v>0</v>
      </c>
      <c r="AL4584" s="182" t="n">
        <v>0</v>
      </c>
      <c r="AM4584" s="182" t="n">
        <v>0.08</v>
      </c>
      <c r="AN4584" s="182" t="n">
        <v>0</v>
      </c>
    </row>
    <row r="4585">
      <c r="A4585" s="155" t="n">
        <v>46102</v>
      </c>
      <c r="B4585" s="156" t="inlineStr">
        <is>
          <t>NS</t>
        </is>
      </c>
      <c r="C4585" s="156" t="inlineStr">
        <is>
          <t>DT-507</t>
        </is>
      </c>
      <c r="D4585" s="156" t="inlineStr">
        <is>
          <t>SKT 105S</t>
        </is>
      </c>
      <c r="E4585" s="156" t="inlineStr">
        <is>
          <t>Hauler</t>
        </is>
      </c>
      <c r="F4585" s="156" t="inlineStr">
        <is>
          <t>Hauling OB</t>
        </is>
      </c>
      <c r="G4585" s="182" t="n">
        <v>5.58</v>
      </c>
      <c r="H4585" s="182" t="n">
        <v>0</v>
      </c>
      <c r="I4585" s="182" t="n">
        <v>0</v>
      </c>
      <c r="J4585" s="182" t="n">
        <v>0</v>
      </c>
      <c r="K4585" s="182" t="n">
        <v>6.42</v>
      </c>
      <c r="L4585" s="182" t="n">
        <v>12</v>
      </c>
      <c r="M4585" s="182" t="n">
        <v>5.58</v>
      </c>
      <c r="N4585" s="182" t="n">
        <v>0</v>
      </c>
      <c r="O4585" s="183" t="n">
        <v>21</v>
      </c>
      <c r="P4585" s="183" t="n">
        <v>0</v>
      </c>
      <c r="Q4585" s="184" t="n">
        <v>428.4</v>
      </c>
      <c r="R4585" s="184" t="n">
        <v>0</v>
      </c>
      <c r="S4585" s="183" t="n">
        <v>0</v>
      </c>
      <c r="T4585" s="183" t="n">
        <v>0</v>
      </c>
      <c r="U4585" s="182" t="n">
        <v>1.48</v>
      </c>
      <c r="V4585" s="182" t="n">
        <v>0.59</v>
      </c>
      <c r="W4585" s="182" t="n">
        <v>0</v>
      </c>
      <c r="X4585" s="182" t="n">
        <v>0.99</v>
      </c>
      <c r="Y4585" s="182" t="n">
        <v>0</v>
      </c>
      <c r="Z4585" s="182" t="n">
        <v>0</v>
      </c>
      <c r="AA4585" s="182" t="n">
        <v>0</v>
      </c>
      <c r="AB4585" s="182" t="n">
        <v>0</v>
      </c>
      <c r="AC4585" s="182" t="n">
        <v>0</v>
      </c>
      <c r="AD4585" s="182" t="n">
        <v>3.28</v>
      </c>
      <c r="AE4585" s="182" t="n">
        <v>0</v>
      </c>
      <c r="AF4585" s="182" t="n">
        <v>0</v>
      </c>
      <c r="AG4585" s="182" t="n">
        <v>0</v>
      </c>
      <c r="AH4585" s="182" t="n">
        <v>0</v>
      </c>
      <c r="AI4585" s="182" t="n">
        <v>0</v>
      </c>
      <c r="AJ4585" s="182" t="n">
        <v>0</v>
      </c>
      <c r="AK4585" s="182" t="n">
        <v>0</v>
      </c>
      <c r="AL4585" s="182" t="n">
        <v>0</v>
      </c>
      <c r="AM4585" s="182" t="n">
        <v>0.08</v>
      </c>
      <c r="AN4585" s="182" t="n">
        <v>0</v>
      </c>
    </row>
    <row r="4586">
      <c r="A4586" s="155" t="n">
        <v>46102</v>
      </c>
      <c r="B4586" s="156" t="inlineStr">
        <is>
          <t>NS</t>
        </is>
      </c>
      <c r="C4586" s="156" t="inlineStr">
        <is>
          <t>DT-501</t>
        </is>
      </c>
      <c r="D4586" s="156" t="inlineStr">
        <is>
          <t>SKT 105S</t>
        </is>
      </c>
      <c r="E4586" s="156" t="inlineStr">
        <is>
          <t>Hauler</t>
        </is>
      </c>
      <c r="F4586" s="156" t="inlineStr">
        <is>
          <t>Hauling OB</t>
        </is>
      </c>
      <c r="G4586" s="182" t="n">
        <v>2.73</v>
      </c>
      <c r="H4586" s="182" t="n">
        <v>0</v>
      </c>
      <c r="I4586" s="182" t="n">
        <v>0</v>
      </c>
      <c r="J4586" s="182" t="n">
        <v>0</v>
      </c>
      <c r="K4586" s="182" t="n">
        <v>9.27</v>
      </c>
      <c r="L4586" s="182" t="n">
        <v>12</v>
      </c>
      <c r="M4586" s="182" t="n">
        <v>2.36</v>
      </c>
      <c r="N4586" s="182" t="n">
        <v>0</v>
      </c>
      <c r="O4586" s="183" t="n">
        <v>9</v>
      </c>
      <c r="P4586" s="183" t="n">
        <v>0</v>
      </c>
      <c r="Q4586" s="184" t="n">
        <v>183.6</v>
      </c>
      <c r="R4586" s="184" t="n">
        <v>0</v>
      </c>
      <c r="S4586" s="183" t="n">
        <v>0</v>
      </c>
      <c r="T4586" s="183" t="n">
        <v>0</v>
      </c>
      <c r="U4586" s="182" t="n">
        <v>1.45</v>
      </c>
      <c r="V4586" s="182" t="n">
        <v>0.58</v>
      </c>
      <c r="W4586" s="182" t="n">
        <v>0</v>
      </c>
      <c r="X4586" s="182" t="n">
        <v>0.97</v>
      </c>
      <c r="Y4586" s="182" t="n">
        <v>0</v>
      </c>
      <c r="Z4586" s="182" t="n">
        <v>0</v>
      </c>
      <c r="AA4586" s="182" t="n">
        <v>0</v>
      </c>
      <c r="AB4586" s="182" t="n">
        <v>0</v>
      </c>
      <c r="AC4586" s="182" t="n">
        <v>0</v>
      </c>
      <c r="AD4586" s="182" t="n">
        <v>6.2</v>
      </c>
      <c r="AE4586" s="182" t="n">
        <v>0</v>
      </c>
      <c r="AF4586" s="182" t="n">
        <v>0</v>
      </c>
      <c r="AG4586" s="182" t="n">
        <v>0</v>
      </c>
      <c r="AH4586" s="182" t="n">
        <v>0</v>
      </c>
      <c r="AI4586" s="182" t="n">
        <v>0</v>
      </c>
      <c r="AJ4586" s="182" t="n">
        <v>0</v>
      </c>
      <c r="AK4586" s="182" t="n">
        <v>0</v>
      </c>
      <c r="AL4586" s="182" t="n">
        <v>0</v>
      </c>
      <c r="AM4586" s="182" t="n">
        <v>0.08</v>
      </c>
      <c r="AN4586" s="182" t="n">
        <v>0</v>
      </c>
    </row>
    <row r="4587">
      <c r="A4587" s="155" t="n">
        <v>46102</v>
      </c>
      <c r="B4587" s="156" t="inlineStr">
        <is>
          <t>NS</t>
        </is>
      </c>
      <c r="C4587" s="156" t="inlineStr">
        <is>
          <t>DT-518</t>
        </is>
      </c>
      <c r="D4587" s="156" t="inlineStr">
        <is>
          <t>SKT 105S</t>
        </is>
      </c>
      <c r="E4587" s="156" t="inlineStr">
        <is>
          <t>Hauler</t>
        </is>
      </c>
      <c r="F4587" s="156" t="inlineStr">
        <is>
          <t>Hauling OB</t>
        </is>
      </c>
      <c r="G4587" s="182" t="n">
        <v>4.71</v>
      </c>
      <c r="H4587" s="182" t="n">
        <v>0</v>
      </c>
      <c r="I4587" s="182" t="n">
        <v>3.25</v>
      </c>
      <c r="J4587" s="182" t="n">
        <v>3.25</v>
      </c>
      <c r="K4587" s="182" t="n">
        <v>4.04</v>
      </c>
      <c r="L4587" s="182" t="n">
        <v>12</v>
      </c>
      <c r="M4587" s="182" t="n">
        <v>4.53</v>
      </c>
      <c r="N4587" s="182" t="n">
        <v>0</v>
      </c>
      <c r="O4587" s="183" t="n">
        <v>12</v>
      </c>
      <c r="P4587" s="183" t="n">
        <v>0</v>
      </c>
      <c r="Q4587" s="184" t="n">
        <v>244.8</v>
      </c>
      <c r="R4587" s="184" t="n">
        <v>0</v>
      </c>
      <c r="S4587" s="183" t="n">
        <v>0</v>
      </c>
      <c r="T4587" s="183" t="n">
        <v>0</v>
      </c>
      <c r="U4587" s="182" t="n">
        <v>1.36</v>
      </c>
      <c r="V4587" s="182" t="n">
        <v>0.54</v>
      </c>
      <c r="W4587" s="182" t="n">
        <v>0</v>
      </c>
      <c r="X4587" s="182" t="n">
        <v>0.91</v>
      </c>
      <c r="Y4587" s="182" t="n">
        <v>0</v>
      </c>
      <c r="Z4587" s="182" t="n">
        <v>0</v>
      </c>
      <c r="AA4587" s="182" t="n">
        <v>0</v>
      </c>
      <c r="AB4587" s="182" t="n">
        <v>0</v>
      </c>
      <c r="AC4587" s="182" t="n">
        <v>0</v>
      </c>
      <c r="AD4587" s="182" t="n">
        <v>1.15</v>
      </c>
      <c r="AE4587" s="182" t="n">
        <v>0</v>
      </c>
      <c r="AF4587" s="182" t="n">
        <v>0</v>
      </c>
      <c r="AG4587" s="182" t="n">
        <v>0</v>
      </c>
      <c r="AH4587" s="182" t="n">
        <v>0</v>
      </c>
      <c r="AI4587" s="182" t="n">
        <v>0</v>
      </c>
      <c r="AJ4587" s="182" t="n">
        <v>0</v>
      </c>
      <c r="AK4587" s="182" t="n">
        <v>0</v>
      </c>
      <c r="AL4587" s="182" t="n">
        <v>0</v>
      </c>
      <c r="AM4587" s="182" t="n">
        <v>0.07000000000000001</v>
      </c>
      <c r="AN4587" s="182" t="n">
        <v>0</v>
      </c>
    </row>
    <row r="4588">
      <c r="A4588" s="155" t="n">
        <v>46102</v>
      </c>
      <c r="B4588" s="156" t="inlineStr">
        <is>
          <t>NS</t>
        </is>
      </c>
      <c r="C4588" s="156" t="inlineStr">
        <is>
          <t>DT-514</t>
        </is>
      </c>
      <c r="D4588" s="156" t="inlineStr">
        <is>
          <t>SKT 105S</t>
        </is>
      </c>
      <c r="E4588" s="156" t="inlineStr">
        <is>
          <t>Hauler</t>
        </is>
      </c>
      <c r="F4588" s="156" t="inlineStr"/>
      <c r="G4588" s="182" t="n">
        <v>0</v>
      </c>
      <c r="H4588" s="182" t="n">
        <v>0</v>
      </c>
      <c r="I4588" s="182" t="n">
        <v>12</v>
      </c>
      <c r="J4588" s="182" t="n">
        <v>12</v>
      </c>
      <c r="K4588" s="182" t="n">
        <v>0</v>
      </c>
      <c r="L4588" s="182" t="n">
        <v>12</v>
      </c>
      <c r="M4588" s="182" t="n">
        <v>0</v>
      </c>
      <c r="N4588" s="182" t="n">
        <v>0</v>
      </c>
      <c r="O4588" s="183" t="n">
        <v>0</v>
      </c>
      <c r="P4588" s="183" t="n">
        <v>0</v>
      </c>
      <c r="Q4588" s="184" t="n">
        <v>0</v>
      </c>
      <c r="R4588" s="184" t="n">
        <v>0</v>
      </c>
      <c r="S4588" s="183" t="n">
        <v>0</v>
      </c>
      <c r="T4588" s="183" t="n">
        <v>0</v>
      </c>
      <c r="U4588" s="182" t="n">
        <v>0</v>
      </c>
      <c r="V4588" s="182" t="n">
        <v>0</v>
      </c>
      <c r="W4588" s="182" t="n">
        <v>0</v>
      </c>
      <c r="X4588" s="182" t="n">
        <v>0</v>
      </c>
      <c r="Y4588" s="182" t="n">
        <v>0</v>
      </c>
      <c r="Z4588" s="182" t="n">
        <v>0</v>
      </c>
      <c r="AA4588" s="182" t="n">
        <v>0</v>
      </c>
      <c r="AB4588" s="182" t="n">
        <v>0</v>
      </c>
      <c r="AC4588" s="182" t="n">
        <v>0</v>
      </c>
      <c r="AD4588" s="182" t="n">
        <v>0</v>
      </c>
      <c r="AE4588" s="182" t="n">
        <v>0</v>
      </c>
      <c r="AF4588" s="182" t="n">
        <v>0</v>
      </c>
      <c r="AG4588" s="182" t="n">
        <v>0</v>
      </c>
      <c r="AH4588" s="182" t="n">
        <v>0</v>
      </c>
      <c r="AI4588" s="182" t="n">
        <v>0</v>
      </c>
      <c r="AJ4588" s="182" t="n">
        <v>0</v>
      </c>
      <c r="AK4588" s="182" t="n">
        <v>0</v>
      </c>
      <c r="AL4588" s="182" t="n">
        <v>0</v>
      </c>
      <c r="AM4588" s="182" t="n">
        <v>0</v>
      </c>
      <c r="AN4588" s="182" t="n">
        <v>0</v>
      </c>
    </row>
    <row r="4589">
      <c r="A4589" s="155" t="n">
        <v>46102</v>
      </c>
      <c r="B4589" s="156" t="inlineStr">
        <is>
          <t>NS</t>
        </is>
      </c>
      <c r="C4589" s="156" t="inlineStr">
        <is>
          <t>DT-523</t>
        </is>
      </c>
      <c r="D4589" s="156" t="inlineStr">
        <is>
          <t>SKT 105S</t>
        </is>
      </c>
      <c r="E4589" s="156" t="inlineStr">
        <is>
          <t>Hauler</t>
        </is>
      </c>
      <c r="F4589" s="156" t="inlineStr">
        <is>
          <t>Hauling OB</t>
        </is>
      </c>
      <c r="G4589" s="182" t="n">
        <v>4.84</v>
      </c>
      <c r="H4589" s="182" t="n">
        <v>0</v>
      </c>
      <c r="I4589" s="182" t="n">
        <v>0</v>
      </c>
      <c r="J4589" s="182" t="n">
        <v>0</v>
      </c>
      <c r="K4589" s="182" t="n">
        <v>7.16</v>
      </c>
      <c r="L4589" s="182" t="n">
        <v>12</v>
      </c>
      <c r="M4589" s="182" t="n">
        <v>4.84</v>
      </c>
      <c r="N4589" s="182" t="n">
        <v>0</v>
      </c>
      <c r="O4589" s="183" t="n">
        <v>12</v>
      </c>
      <c r="P4589" s="183" t="n">
        <v>0</v>
      </c>
      <c r="Q4589" s="184" t="n">
        <v>244.8</v>
      </c>
      <c r="R4589" s="184" t="n">
        <v>0</v>
      </c>
      <c r="S4589" s="183" t="n">
        <v>0</v>
      </c>
      <c r="T4589" s="183" t="n">
        <v>0</v>
      </c>
      <c r="U4589" s="182" t="n">
        <v>1.47</v>
      </c>
      <c r="V4589" s="182" t="n">
        <v>0.59</v>
      </c>
      <c r="W4589" s="182" t="n">
        <v>0</v>
      </c>
      <c r="X4589" s="182" t="n">
        <v>0.98</v>
      </c>
      <c r="Y4589" s="182" t="n">
        <v>0</v>
      </c>
      <c r="Z4589" s="182" t="n">
        <v>0</v>
      </c>
      <c r="AA4589" s="182" t="n">
        <v>0</v>
      </c>
      <c r="AB4589" s="182" t="n">
        <v>0</v>
      </c>
      <c r="AC4589" s="182" t="n">
        <v>0</v>
      </c>
      <c r="AD4589" s="182" t="n">
        <v>4.04</v>
      </c>
      <c r="AE4589" s="182" t="n">
        <v>0</v>
      </c>
      <c r="AF4589" s="182" t="n">
        <v>0</v>
      </c>
      <c r="AG4589" s="182" t="n">
        <v>0</v>
      </c>
      <c r="AH4589" s="182" t="n">
        <v>0</v>
      </c>
      <c r="AI4589" s="182" t="n">
        <v>0</v>
      </c>
      <c r="AJ4589" s="182" t="n">
        <v>0</v>
      </c>
      <c r="AK4589" s="182" t="n">
        <v>0</v>
      </c>
      <c r="AL4589" s="182" t="n">
        <v>0</v>
      </c>
      <c r="AM4589" s="182" t="n">
        <v>0.08</v>
      </c>
      <c r="AN4589" s="182" t="n">
        <v>0</v>
      </c>
    </row>
    <row r="4590">
      <c r="A4590" s="155" t="n">
        <v>46102</v>
      </c>
      <c r="B4590" s="156" t="inlineStr">
        <is>
          <t>NS</t>
        </is>
      </c>
      <c r="C4590" s="156" t="inlineStr">
        <is>
          <t>DT-519</t>
        </is>
      </c>
      <c r="D4590" s="156" t="inlineStr">
        <is>
          <t>SKT 105S</t>
        </is>
      </c>
      <c r="E4590" s="156" t="inlineStr">
        <is>
          <t>Hauler</t>
        </is>
      </c>
      <c r="F4590" s="156" t="inlineStr"/>
      <c r="G4590" s="182" t="n">
        <v>0</v>
      </c>
      <c r="H4590" s="182" t="n">
        <v>0</v>
      </c>
      <c r="I4590" s="182" t="n">
        <v>0</v>
      </c>
      <c r="J4590" s="182" t="n">
        <v>0</v>
      </c>
      <c r="K4590" s="182" t="n">
        <v>12</v>
      </c>
      <c r="L4590" s="182" t="n">
        <v>12</v>
      </c>
      <c r="M4590" s="182" t="n">
        <v>0</v>
      </c>
      <c r="N4590" s="182" t="n">
        <v>0</v>
      </c>
      <c r="O4590" s="183" t="n">
        <v>0</v>
      </c>
      <c r="P4590" s="183" t="n">
        <v>0</v>
      </c>
      <c r="Q4590" s="184" t="n">
        <v>0</v>
      </c>
      <c r="R4590" s="184" t="n">
        <v>0</v>
      </c>
      <c r="S4590" s="183" t="n">
        <v>0</v>
      </c>
      <c r="T4590" s="183" t="n">
        <v>0</v>
      </c>
      <c r="U4590" s="182" t="n">
        <v>1.5</v>
      </c>
      <c r="V4590" s="182" t="n">
        <v>0</v>
      </c>
      <c r="W4590" s="182" t="n">
        <v>0</v>
      </c>
      <c r="X4590" s="182" t="n">
        <v>1</v>
      </c>
      <c r="Y4590" s="182" t="n">
        <v>0</v>
      </c>
      <c r="Z4590" s="182" t="n">
        <v>0</v>
      </c>
      <c r="AA4590" s="182" t="n">
        <v>0</v>
      </c>
      <c r="AB4590" s="182" t="n">
        <v>0</v>
      </c>
      <c r="AC4590" s="182" t="n">
        <v>0</v>
      </c>
      <c r="AD4590" s="182" t="n">
        <v>9.42</v>
      </c>
      <c r="AE4590" s="182" t="n">
        <v>0</v>
      </c>
      <c r="AF4590" s="182" t="n">
        <v>0</v>
      </c>
      <c r="AG4590" s="182" t="n">
        <v>0</v>
      </c>
      <c r="AH4590" s="182" t="n">
        <v>0</v>
      </c>
      <c r="AI4590" s="182" t="n">
        <v>0</v>
      </c>
      <c r="AJ4590" s="182" t="n">
        <v>0</v>
      </c>
      <c r="AK4590" s="182" t="n">
        <v>0</v>
      </c>
      <c r="AL4590" s="182" t="n">
        <v>0</v>
      </c>
      <c r="AM4590" s="182" t="n">
        <v>0.08</v>
      </c>
      <c r="AN4590" s="182" t="n">
        <v>0</v>
      </c>
    </row>
    <row r="4591">
      <c r="A4591" s="155" t="n">
        <v>46102</v>
      </c>
      <c r="B4591" s="156" t="inlineStr">
        <is>
          <t>NS</t>
        </is>
      </c>
      <c r="C4591" s="156" t="inlineStr">
        <is>
          <t>DT-527</t>
        </is>
      </c>
      <c r="D4591" s="156" t="inlineStr">
        <is>
          <t>SKT 105S</t>
        </is>
      </c>
      <c r="E4591" s="156" t="inlineStr">
        <is>
          <t>Hauler</t>
        </is>
      </c>
      <c r="F4591" s="156" t="inlineStr">
        <is>
          <t>Hauling OB &amp; Coal</t>
        </is>
      </c>
      <c r="G4591" s="182" t="n">
        <v>9.119999999999999</v>
      </c>
      <c r="H4591" s="182" t="n">
        <v>0</v>
      </c>
      <c r="I4591" s="182" t="n">
        <v>0</v>
      </c>
      <c r="J4591" s="182" t="n">
        <v>0</v>
      </c>
      <c r="K4591" s="182" t="n">
        <v>2.88</v>
      </c>
      <c r="L4591" s="182" t="n">
        <v>12</v>
      </c>
      <c r="M4591" s="182" t="n">
        <v>4.51</v>
      </c>
      <c r="N4591" s="182" t="n">
        <v>4.61</v>
      </c>
      <c r="O4591" s="183" t="n">
        <v>17</v>
      </c>
      <c r="P4591" s="183" t="n">
        <v>12</v>
      </c>
      <c r="Q4591" s="184" t="n">
        <v>346.8</v>
      </c>
      <c r="R4591" s="184" t="n">
        <v>224.4</v>
      </c>
      <c r="S4591" s="183" t="n">
        <v>0</v>
      </c>
      <c r="T4591" s="183" t="n">
        <v>0</v>
      </c>
      <c r="U4591" s="182" t="n">
        <v>1.39</v>
      </c>
      <c r="V4591" s="182" t="n">
        <v>0.5600000000000001</v>
      </c>
      <c r="W4591" s="182" t="n">
        <v>0</v>
      </c>
      <c r="X4591" s="182" t="n">
        <v>0.85</v>
      </c>
      <c r="Y4591" s="182" t="n">
        <v>0</v>
      </c>
      <c r="Z4591" s="182" t="n">
        <v>0</v>
      </c>
      <c r="AA4591" s="182" t="n">
        <v>0</v>
      </c>
      <c r="AB4591" s="182" t="n">
        <v>0</v>
      </c>
      <c r="AC4591" s="182" t="n">
        <v>0</v>
      </c>
      <c r="AD4591" s="182" t="n">
        <v>0</v>
      </c>
      <c r="AE4591" s="182" t="n">
        <v>0</v>
      </c>
      <c r="AF4591" s="182" t="n">
        <v>0</v>
      </c>
      <c r="AG4591" s="182" t="n">
        <v>0</v>
      </c>
      <c r="AH4591" s="182" t="n">
        <v>0</v>
      </c>
      <c r="AI4591" s="182" t="n">
        <v>0</v>
      </c>
      <c r="AJ4591" s="182" t="n">
        <v>0</v>
      </c>
      <c r="AK4591" s="182" t="n">
        <v>0</v>
      </c>
      <c r="AL4591" s="182" t="n">
        <v>0</v>
      </c>
      <c r="AM4591" s="182" t="n">
        <v>0.07000000000000001</v>
      </c>
      <c r="AN4591" s="182" t="n">
        <v>0</v>
      </c>
    </row>
    <row r="4592">
      <c r="A4592" s="155" t="n">
        <v>46102</v>
      </c>
      <c r="B4592" s="156" t="inlineStr">
        <is>
          <t>NS</t>
        </is>
      </c>
      <c r="C4592" s="156" t="inlineStr">
        <is>
          <t>DT-513</t>
        </is>
      </c>
      <c r="D4592" s="156" t="inlineStr">
        <is>
          <t>SKT 105S</t>
        </is>
      </c>
      <c r="E4592" s="156" t="inlineStr">
        <is>
          <t>Hauler</t>
        </is>
      </c>
      <c r="F4592" s="156" t="inlineStr">
        <is>
          <t>Hauling OB</t>
        </is>
      </c>
      <c r="G4592" s="182" t="n">
        <v>9.130000000000001</v>
      </c>
      <c r="H4592" s="182" t="n">
        <v>0</v>
      </c>
      <c r="I4592" s="182" t="n">
        <v>0</v>
      </c>
      <c r="J4592" s="182" t="n">
        <v>0</v>
      </c>
      <c r="K4592" s="182" t="n">
        <v>2.87</v>
      </c>
      <c r="L4592" s="182" t="n">
        <v>12</v>
      </c>
      <c r="M4592" s="182" t="n">
        <v>9.130000000000001</v>
      </c>
      <c r="N4592" s="182" t="n">
        <v>0</v>
      </c>
      <c r="O4592" s="183" t="n">
        <v>36</v>
      </c>
      <c r="P4592" s="183" t="n">
        <v>0</v>
      </c>
      <c r="Q4592" s="184" t="n">
        <v>734.4</v>
      </c>
      <c r="R4592" s="184" t="n">
        <v>0</v>
      </c>
      <c r="S4592" s="183" t="n">
        <v>0</v>
      </c>
      <c r="T4592" s="183" t="n">
        <v>0</v>
      </c>
      <c r="U4592" s="182" t="n">
        <v>1.58</v>
      </c>
      <c r="V4592" s="182" t="n">
        <v>0</v>
      </c>
      <c r="W4592" s="182" t="n">
        <v>0</v>
      </c>
      <c r="X4592" s="182" t="n">
        <v>1.2</v>
      </c>
      <c r="Y4592" s="182" t="n">
        <v>0</v>
      </c>
      <c r="Z4592" s="182" t="n">
        <v>0</v>
      </c>
      <c r="AA4592" s="182" t="n">
        <v>0</v>
      </c>
      <c r="AB4592" s="182" t="n">
        <v>0</v>
      </c>
      <c r="AC4592" s="182" t="n">
        <v>0</v>
      </c>
      <c r="AD4592" s="182" t="n">
        <v>0</v>
      </c>
      <c r="AE4592" s="182" t="n">
        <v>0</v>
      </c>
      <c r="AF4592" s="182" t="n">
        <v>0</v>
      </c>
      <c r="AG4592" s="182" t="n">
        <v>0</v>
      </c>
      <c r="AH4592" s="182" t="n">
        <v>0</v>
      </c>
      <c r="AI4592" s="182" t="n">
        <v>0</v>
      </c>
      <c r="AJ4592" s="182" t="n">
        <v>0</v>
      </c>
      <c r="AK4592" s="182" t="n">
        <v>0</v>
      </c>
      <c r="AL4592" s="182" t="n">
        <v>0</v>
      </c>
      <c r="AM4592" s="182" t="n">
        <v>0.1</v>
      </c>
      <c r="AN4592" s="182" t="n">
        <v>0</v>
      </c>
    </row>
    <row r="4593">
      <c r="A4593" s="155" t="n">
        <v>46102</v>
      </c>
      <c r="B4593" s="156" t="inlineStr">
        <is>
          <t>NS</t>
        </is>
      </c>
      <c r="C4593" s="156" t="inlineStr">
        <is>
          <t>DT-512</t>
        </is>
      </c>
      <c r="D4593" s="156" t="inlineStr">
        <is>
          <t>SKT 105S</t>
        </is>
      </c>
      <c r="E4593" s="156" t="inlineStr">
        <is>
          <t>Hauler</t>
        </is>
      </c>
      <c r="F4593" s="156" t="inlineStr">
        <is>
          <t>Hauling OB</t>
        </is>
      </c>
      <c r="G4593" s="182" t="n">
        <v>9.67</v>
      </c>
      <c r="H4593" s="182" t="n">
        <v>0</v>
      </c>
      <c r="I4593" s="182" t="n">
        <v>0</v>
      </c>
      <c r="J4593" s="182" t="n">
        <v>0</v>
      </c>
      <c r="K4593" s="182" t="n">
        <v>2.33</v>
      </c>
      <c r="L4593" s="182" t="n">
        <v>12</v>
      </c>
      <c r="M4593" s="182" t="n">
        <v>9.5</v>
      </c>
      <c r="N4593" s="182" t="n">
        <v>0</v>
      </c>
      <c r="O4593" s="183" t="n">
        <v>29</v>
      </c>
      <c r="P4593" s="183" t="n">
        <v>0</v>
      </c>
      <c r="Q4593" s="184" t="n">
        <v>591.6</v>
      </c>
      <c r="R4593" s="184" t="n">
        <v>0</v>
      </c>
      <c r="S4593" s="183" t="n">
        <v>0</v>
      </c>
      <c r="T4593" s="183" t="n">
        <v>0</v>
      </c>
      <c r="U4593" s="182" t="n">
        <v>1.28</v>
      </c>
      <c r="V4593" s="182" t="n">
        <v>0</v>
      </c>
      <c r="W4593" s="182" t="n">
        <v>0</v>
      </c>
      <c r="X4593" s="182" t="n">
        <v>0.97</v>
      </c>
      <c r="Y4593" s="182" t="n">
        <v>0</v>
      </c>
      <c r="Z4593" s="182" t="n">
        <v>0</v>
      </c>
      <c r="AA4593" s="182" t="n">
        <v>0</v>
      </c>
      <c r="AB4593" s="182" t="n">
        <v>0</v>
      </c>
      <c r="AC4593" s="182" t="n">
        <v>0</v>
      </c>
      <c r="AD4593" s="182" t="n">
        <v>0</v>
      </c>
      <c r="AE4593" s="182" t="n">
        <v>0</v>
      </c>
      <c r="AF4593" s="182" t="n">
        <v>0</v>
      </c>
      <c r="AG4593" s="182" t="n">
        <v>0</v>
      </c>
      <c r="AH4593" s="182" t="n">
        <v>0</v>
      </c>
      <c r="AI4593" s="182" t="n">
        <v>0</v>
      </c>
      <c r="AJ4593" s="182" t="n">
        <v>0</v>
      </c>
      <c r="AK4593" s="182" t="n">
        <v>0</v>
      </c>
      <c r="AL4593" s="182" t="n">
        <v>0</v>
      </c>
      <c r="AM4593" s="182" t="n">
        <v>0.08</v>
      </c>
      <c r="AN4593" s="182" t="n">
        <v>0</v>
      </c>
    </row>
    <row r="4594">
      <c r="A4594" s="155" t="n">
        <v>46102</v>
      </c>
      <c r="B4594" s="156" t="inlineStr">
        <is>
          <t>NS</t>
        </is>
      </c>
      <c r="C4594" s="156" t="inlineStr">
        <is>
          <t>DT-522</t>
        </is>
      </c>
      <c r="D4594" s="156" t="inlineStr">
        <is>
          <t>SKT 105S</t>
        </is>
      </c>
      <c r="E4594" s="156" t="inlineStr">
        <is>
          <t>Hauler</t>
        </is>
      </c>
      <c r="F4594" s="156" t="inlineStr">
        <is>
          <t>Hauling OB</t>
        </is>
      </c>
      <c r="G4594" s="182" t="n">
        <v>6.38</v>
      </c>
      <c r="H4594" s="182" t="n">
        <v>0</v>
      </c>
      <c r="I4594" s="182" t="n">
        <v>0</v>
      </c>
      <c r="J4594" s="182" t="n">
        <v>0</v>
      </c>
      <c r="K4594" s="182" t="n">
        <v>5.62</v>
      </c>
      <c r="L4594" s="182" t="n">
        <v>12</v>
      </c>
      <c r="M4594" s="182" t="n">
        <v>6.38</v>
      </c>
      <c r="N4594" s="182" t="n">
        <v>0</v>
      </c>
      <c r="O4594" s="183" t="n">
        <v>10</v>
      </c>
      <c r="P4594" s="183" t="n">
        <v>0</v>
      </c>
      <c r="Q4594" s="184" t="n">
        <v>204</v>
      </c>
      <c r="R4594" s="184" t="n">
        <v>0</v>
      </c>
      <c r="S4594" s="183" t="n">
        <v>0</v>
      </c>
      <c r="T4594" s="183" t="n">
        <v>0</v>
      </c>
      <c r="U4594" s="182" t="n">
        <v>1.45</v>
      </c>
      <c r="V4594" s="182" t="n">
        <v>0.58</v>
      </c>
      <c r="W4594" s="182" t="n">
        <v>0</v>
      </c>
      <c r="X4594" s="182" t="n">
        <v>0.97</v>
      </c>
      <c r="Y4594" s="182" t="n">
        <v>0</v>
      </c>
      <c r="Z4594" s="182" t="n">
        <v>0</v>
      </c>
      <c r="AA4594" s="182" t="n">
        <v>0</v>
      </c>
      <c r="AB4594" s="182" t="n">
        <v>0</v>
      </c>
      <c r="AC4594" s="182" t="n">
        <v>0</v>
      </c>
      <c r="AD4594" s="182" t="n">
        <v>2.54</v>
      </c>
      <c r="AE4594" s="182" t="n">
        <v>0</v>
      </c>
      <c r="AF4594" s="182" t="n">
        <v>0</v>
      </c>
      <c r="AG4594" s="182" t="n">
        <v>0</v>
      </c>
      <c r="AH4594" s="182" t="n">
        <v>0</v>
      </c>
      <c r="AI4594" s="182" t="n">
        <v>0</v>
      </c>
      <c r="AJ4594" s="182" t="n">
        <v>0</v>
      </c>
      <c r="AK4594" s="182" t="n">
        <v>0</v>
      </c>
      <c r="AL4594" s="182" t="n">
        <v>0</v>
      </c>
      <c r="AM4594" s="182" t="n">
        <v>0.08</v>
      </c>
      <c r="AN4594" s="182" t="n">
        <v>0</v>
      </c>
    </row>
    <row r="4595">
      <c r="A4595" s="155" t="n">
        <v>46102</v>
      </c>
      <c r="B4595" s="156" t="inlineStr">
        <is>
          <t>NS</t>
        </is>
      </c>
      <c r="C4595" s="156" t="inlineStr">
        <is>
          <t>DT-517</t>
        </is>
      </c>
      <c r="D4595" s="156" t="inlineStr">
        <is>
          <t>SKT 105S</t>
        </is>
      </c>
      <c r="E4595" s="156" t="inlineStr">
        <is>
          <t>Hauler</t>
        </is>
      </c>
      <c r="F4595" s="156" t="inlineStr">
        <is>
          <t>Hauling OB</t>
        </is>
      </c>
      <c r="G4595" s="182" t="n">
        <v>3.93</v>
      </c>
      <c r="H4595" s="182" t="n">
        <v>0</v>
      </c>
      <c r="I4595" s="182" t="n">
        <v>0</v>
      </c>
      <c r="J4595" s="182" t="n">
        <v>0</v>
      </c>
      <c r="K4595" s="182" t="n">
        <v>8.07</v>
      </c>
      <c r="L4595" s="182" t="n">
        <v>12</v>
      </c>
      <c r="M4595" s="182" t="n">
        <v>3.93</v>
      </c>
      <c r="N4595" s="182" t="n">
        <v>0</v>
      </c>
      <c r="O4595" s="183" t="n">
        <v>18</v>
      </c>
      <c r="P4595" s="183" t="n">
        <v>0</v>
      </c>
      <c r="Q4595" s="184" t="n">
        <v>367.2</v>
      </c>
      <c r="R4595" s="184" t="n">
        <v>0</v>
      </c>
      <c r="S4595" s="183" t="n">
        <v>0</v>
      </c>
      <c r="T4595" s="183" t="n">
        <v>0</v>
      </c>
      <c r="U4595" s="182" t="n">
        <v>1.57</v>
      </c>
      <c r="V4595" s="182" t="n">
        <v>0.63</v>
      </c>
      <c r="W4595" s="182" t="n">
        <v>0</v>
      </c>
      <c r="X4595" s="182" t="n">
        <v>1.05</v>
      </c>
      <c r="Y4595" s="182" t="n">
        <v>0</v>
      </c>
      <c r="Z4595" s="182" t="n">
        <v>0</v>
      </c>
      <c r="AA4595" s="182" t="n">
        <v>0</v>
      </c>
      <c r="AB4595" s="182" t="n">
        <v>0</v>
      </c>
      <c r="AC4595" s="182" t="n">
        <v>0</v>
      </c>
      <c r="AD4595" s="182" t="n">
        <v>4.74</v>
      </c>
      <c r="AE4595" s="182" t="n">
        <v>0</v>
      </c>
      <c r="AF4595" s="182" t="n">
        <v>0</v>
      </c>
      <c r="AG4595" s="182" t="n">
        <v>0</v>
      </c>
      <c r="AH4595" s="182" t="n">
        <v>0</v>
      </c>
      <c r="AI4595" s="182" t="n">
        <v>0</v>
      </c>
      <c r="AJ4595" s="182" t="n">
        <v>0</v>
      </c>
      <c r="AK4595" s="182" t="n">
        <v>0</v>
      </c>
      <c r="AL4595" s="182" t="n">
        <v>0</v>
      </c>
      <c r="AM4595" s="182" t="n">
        <v>0.08</v>
      </c>
      <c r="AN4595" s="182" t="n">
        <v>0</v>
      </c>
    </row>
    <row r="4596">
      <c r="A4596" s="155" t="n">
        <v>46102</v>
      </c>
      <c r="B4596" s="156" t="inlineStr">
        <is>
          <t>NS</t>
        </is>
      </c>
      <c r="C4596" s="156" t="inlineStr">
        <is>
          <t>DT-510</t>
        </is>
      </c>
      <c r="D4596" s="156" t="inlineStr">
        <is>
          <t>SKT 105S</t>
        </is>
      </c>
      <c r="E4596" s="156" t="inlineStr">
        <is>
          <t>Hauler</t>
        </is>
      </c>
      <c r="F4596" s="156" t="inlineStr">
        <is>
          <t>Hauling OB &amp; Coal</t>
        </is>
      </c>
      <c r="G4596" s="182" t="n">
        <v>5.78</v>
      </c>
      <c r="H4596" s="182" t="n">
        <v>0</v>
      </c>
      <c r="I4596" s="182" t="n">
        <v>1.25</v>
      </c>
      <c r="J4596" s="182" t="n">
        <v>1.25</v>
      </c>
      <c r="K4596" s="182" t="n">
        <v>4.97</v>
      </c>
      <c r="L4596" s="182" t="n">
        <v>12</v>
      </c>
      <c r="M4596" s="182" t="n">
        <v>2.38</v>
      </c>
      <c r="N4596" s="182" t="n">
        <v>3.41</v>
      </c>
      <c r="O4596" s="183" t="n">
        <v>5</v>
      </c>
      <c r="P4596" s="183" t="n">
        <v>10</v>
      </c>
      <c r="Q4596" s="184" t="n">
        <v>102</v>
      </c>
      <c r="R4596" s="184" t="n">
        <v>187</v>
      </c>
      <c r="S4596" s="183" t="n">
        <v>0</v>
      </c>
      <c r="T4596" s="183" t="n">
        <v>0</v>
      </c>
      <c r="U4596" s="182" t="n">
        <v>1.45</v>
      </c>
      <c r="V4596" s="182" t="n">
        <v>0.58</v>
      </c>
      <c r="W4596" s="182" t="n">
        <v>0</v>
      </c>
      <c r="X4596" s="182" t="n">
        <v>0.97</v>
      </c>
      <c r="Y4596" s="182" t="n">
        <v>0</v>
      </c>
      <c r="Z4596" s="182" t="n">
        <v>0</v>
      </c>
      <c r="AA4596" s="182" t="n">
        <v>0</v>
      </c>
      <c r="AB4596" s="182" t="n">
        <v>0</v>
      </c>
      <c r="AC4596" s="182" t="n">
        <v>0</v>
      </c>
      <c r="AD4596" s="182" t="n">
        <v>1.9</v>
      </c>
      <c r="AE4596" s="182" t="n">
        <v>0</v>
      </c>
      <c r="AF4596" s="182" t="n">
        <v>0</v>
      </c>
      <c r="AG4596" s="182" t="n">
        <v>0</v>
      </c>
      <c r="AH4596" s="182" t="n">
        <v>0</v>
      </c>
      <c r="AI4596" s="182" t="n">
        <v>0</v>
      </c>
      <c r="AJ4596" s="182" t="n">
        <v>0</v>
      </c>
      <c r="AK4596" s="182" t="n">
        <v>0</v>
      </c>
      <c r="AL4596" s="182" t="n">
        <v>0</v>
      </c>
      <c r="AM4596" s="182" t="n">
        <v>0.08</v>
      </c>
      <c r="AN4596" s="182" t="n">
        <v>0</v>
      </c>
    </row>
    <row r="4597">
      <c r="A4597" s="155" t="n">
        <v>46102</v>
      </c>
      <c r="B4597" s="156" t="inlineStr">
        <is>
          <t>NS</t>
        </is>
      </c>
      <c r="C4597" s="156" t="inlineStr">
        <is>
          <t>DT-521</t>
        </is>
      </c>
      <c r="D4597" s="156" t="inlineStr">
        <is>
          <t>SKT 105S</t>
        </is>
      </c>
      <c r="E4597" s="156" t="inlineStr">
        <is>
          <t>Hauler</t>
        </is>
      </c>
      <c r="F4597" s="156" t="inlineStr">
        <is>
          <t>Hauling OB</t>
        </is>
      </c>
      <c r="G4597" s="182" t="n">
        <v>3.67</v>
      </c>
      <c r="H4597" s="182" t="n">
        <v>0</v>
      </c>
      <c r="I4597" s="182" t="n">
        <v>0</v>
      </c>
      <c r="J4597" s="182" t="n">
        <v>0</v>
      </c>
      <c r="K4597" s="182" t="n">
        <v>8.33</v>
      </c>
      <c r="L4597" s="182" t="n">
        <v>12</v>
      </c>
      <c r="M4597" s="182" t="n">
        <v>3.37</v>
      </c>
      <c r="N4597" s="182" t="n">
        <v>0</v>
      </c>
      <c r="O4597" s="183" t="n">
        <v>15</v>
      </c>
      <c r="P4597" s="183" t="n">
        <v>0</v>
      </c>
      <c r="Q4597" s="184" t="n">
        <v>306</v>
      </c>
      <c r="R4597" s="184" t="n">
        <v>0</v>
      </c>
      <c r="S4597" s="183" t="n">
        <v>0</v>
      </c>
      <c r="T4597" s="183" t="n">
        <v>0</v>
      </c>
      <c r="U4597" s="182" t="n">
        <v>1.56</v>
      </c>
      <c r="V4597" s="182" t="n">
        <v>0.62</v>
      </c>
      <c r="W4597" s="182" t="n">
        <v>0</v>
      </c>
      <c r="X4597" s="182" t="n">
        <v>1.04</v>
      </c>
      <c r="Y4597" s="182" t="n">
        <v>0</v>
      </c>
      <c r="Z4597" s="182" t="n">
        <v>0</v>
      </c>
      <c r="AA4597" s="182" t="n">
        <v>0</v>
      </c>
      <c r="AB4597" s="182" t="n">
        <v>0</v>
      </c>
      <c r="AC4597" s="182" t="n">
        <v>0</v>
      </c>
      <c r="AD4597" s="182" t="n">
        <v>5.02</v>
      </c>
      <c r="AE4597" s="182" t="n">
        <v>0</v>
      </c>
      <c r="AF4597" s="182" t="n">
        <v>0</v>
      </c>
      <c r="AG4597" s="182" t="n">
        <v>0</v>
      </c>
      <c r="AH4597" s="182" t="n">
        <v>0</v>
      </c>
      <c r="AI4597" s="182" t="n">
        <v>0</v>
      </c>
      <c r="AJ4597" s="182" t="n">
        <v>0</v>
      </c>
      <c r="AK4597" s="182" t="n">
        <v>0</v>
      </c>
      <c r="AL4597" s="182" t="n">
        <v>0</v>
      </c>
      <c r="AM4597" s="182" t="n">
        <v>0.08</v>
      </c>
      <c r="AN4597" s="182" t="n">
        <v>0</v>
      </c>
    </row>
    <row r="4598">
      <c r="A4598" s="155" t="n">
        <v>46102</v>
      </c>
      <c r="B4598" s="156" t="inlineStr">
        <is>
          <t>NS</t>
        </is>
      </c>
      <c r="C4598" s="156" t="inlineStr">
        <is>
          <t>DT-516</t>
        </is>
      </c>
      <c r="D4598" s="156" t="inlineStr">
        <is>
          <t>SKT 105S</t>
        </is>
      </c>
      <c r="E4598" s="156" t="inlineStr">
        <is>
          <t>Hauler</t>
        </is>
      </c>
      <c r="F4598" s="156" t="inlineStr"/>
      <c r="G4598" s="182" t="n">
        <v>0</v>
      </c>
      <c r="H4598" s="182" t="n">
        <v>0</v>
      </c>
      <c r="I4598" s="182" t="n">
        <v>12</v>
      </c>
      <c r="J4598" s="182" t="n">
        <v>12</v>
      </c>
      <c r="K4598" s="182" t="n">
        <v>0</v>
      </c>
      <c r="L4598" s="182" t="n">
        <v>12</v>
      </c>
      <c r="M4598" s="182" t="n">
        <v>0</v>
      </c>
      <c r="N4598" s="182" t="n">
        <v>0</v>
      </c>
      <c r="O4598" s="183" t="n">
        <v>0</v>
      </c>
      <c r="P4598" s="183" t="n">
        <v>0</v>
      </c>
      <c r="Q4598" s="184" t="n">
        <v>0</v>
      </c>
      <c r="R4598" s="184" t="n">
        <v>0</v>
      </c>
      <c r="S4598" s="183" t="n">
        <v>0</v>
      </c>
      <c r="T4598" s="183" t="n">
        <v>0</v>
      </c>
      <c r="U4598" s="182" t="n">
        <v>0</v>
      </c>
      <c r="V4598" s="182" t="n">
        <v>0</v>
      </c>
      <c r="W4598" s="182" t="n">
        <v>0</v>
      </c>
      <c r="X4598" s="182" t="n">
        <v>0</v>
      </c>
      <c r="Y4598" s="182" t="n">
        <v>0</v>
      </c>
      <c r="Z4598" s="182" t="n">
        <v>0</v>
      </c>
      <c r="AA4598" s="182" t="n">
        <v>0</v>
      </c>
      <c r="AB4598" s="182" t="n">
        <v>0</v>
      </c>
      <c r="AC4598" s="182" t="n">
        <v>0</v>
      </c>
      <c r="AD4598" s="182" t="n">
        <v>0</v>
      </c>
      <c r="AE4598" s="182" t="n">
        <v>0</v>
      </c>
      <c r="AF4598" s="182" t="n">
        <v>0</v>
      </c>
      <c r="AG4598" s="182" t="n">
        <v>0</v>
      </c>
      <c r="AH4598" s="182" t="n">
        <v>0</v>
      </c>
      <c r="AI4598" s="182" t="n">
        <v>0</v>
      </c>
      <c r="AJ4598" s="182" t="n">
        <v>0</v>
      </c>
      <c r="AK4598" s="182" t="n">
        <v>0</v>
      </c>
      <c r="AL4598" s="182" t="n">
        <v>0</v>
      </c>
      <c r="AM4598" s="182" t="n">
        <v>0</v>
      </c>
      <c r="AN4598" s="182" t="n">
        <v>0</v>
      </c>
    </row>
    <row r="4599">
      <c r="A4599" s="155" t="n">
        <v>46102</v>
      </c>
      <c r="B4599" s="156" t="inlineStr">
        <is>
          <t>NS</t>
        </is>
      </c>
      <c r="C4599" s="156" t="inlineStr">
        <is>
          <t>DT-506</t>
        </is>
      </c>
      <c r="D4599" s="156" t="inlineStr">
        <is>
          <t>SKT 105S</t>
        </is>
      </c>
      <c r="E4599" s="156" t="inlineStr">
        <is>
          <t>Hauler</t>
        </is>
      </c>
      <c r="F4599" s="156" t="inlineStr"/>
      <c r="G4599" s="182" t="n">
        <v>0</v>
      </c>
      <c r="H4599" s="182" t="n">
        <v>0</v>
      </c>
      <c r="I4599" s="182" t="n">
        <v>0</v>
      </c>
      <c r="J4599" s="182" t="n">
        <v>0</v>
      </c>
      <c r="K4599" s="182" t="n">
        <v>12</v>
      </c>
      <c r="L4599" s="182" t="n">
        <v>12</v>
      </c>
      <c r="M4599" s="182" t="n">
        <v>0</v>
      </c>
      <c r="N4599" s="182" t="n">
        <v>0</v>
      </c>
      <c r="O4599" s="183" t="n">
        <v>0</v>
      </c>
      <c r="P4599" s="183" t="n">
        <v>0</v>
      </c>
      <c r="Q4599" s="184" t="n">
        <v>0</v>
      </c>
      <c r="R4599" s="184" t="n">
        <v>0</v>
      </c>
      <c r="S4599" s="183" t="n">
        <v>0</v>
      </c>
      <c r="T4599" s="183" t="n">
        <v>0</v>
      </c>
      <c r="U4599" s="182" t="n">
        <v>1.5</v>
      </c>
      <c r="V4599" s="182" t="n">
        <v>0</v>
      </c>
      <c r="W4599" s="182" t="n">
        <v>0</v>
      </c>
      <c r="X4599" s="182" t="n">
        <v>1</v>
      </c>
      <c r="Y4599" s="182" t="n">
        <v>0</v>
      </c>
      <c r="Z4599" s="182" t="n">
        <v>0</v>
      </c>
      <c r="AA4599" s="182" t="n">
        <v>0</v>
      </c>
      <c r="AB4599" s="182" t="n">
        <v>0</v>
      </c>
      <c r="AC4599" s="182" t="n">
        <v>0</v>
      </c>
      <c r="AD4599" s="182" t="n">
        <v>9.42</v>
      </c>
      <c r="AE4599" s="182" t="n">
        <v>0</v>
      </c>
      <c r="AF4599" s="182" t="n">
        <v>0</v>
      </c>
      <c r="AG4599" s="182" t="n">
        <v>0</v>
      </c>
      <c r="AH4599" s="182" t="n">
        <v>0</v>
      </c>
      <c r="AI4599" s="182" t="n">
        <v>0</v>
      </c>
      <c r="AJ4599" s="182" t="n">
        <v>0</v>
      </c>
      <c r="AK4599" s="182" t="n">
        <v>0</v>
      </c>
      <c r="AL4599" s="182" t="n">
        <v>0</v>
      </c>
      <c r="AM4599" s="182" t="n">
        <v>0.08</v>
      </c>
      <c r="AN4599" s="182" t="n">
        <v>0</v>
      </c>
    </row>
    <row r="4600">
      <c r="A4600" s="155" t="n">
        <v>46102</v>
      </c>
      <c r="B4600" s="156" t="inlineStr">
        <is>
          <t>NS</t>
        </is>
      </c>
      <c r="C4600" s="156" t="inlineStr">
        <is>
          <t>DT-502</t>
        </is>
      </c>
      <c r="D4600" s="156" t="inlineStr">
        <is>
          <t>SKT 105S</t>
        </is>
      </c>
      <c r="E4600" s="156" t="inlineStr">
        <is>
          <t>Hauler</t>
        </is>
      </c>
      <c r="F4600" s="156" t="inlineStr">
        <is>
          <t>Hauling OB</t>
        </is>
      </c>
      <c r="G4600" s="182" t="n">
        <v>9.289999999999999</v>
      </c>
      <c r="H4600" s="182" t="n">
        <v>0</v>
      </c>
      <c r="I4600" s="182" t="n">
        <v>0</v>
      </c>
      <c r="J4600" s="182" t="n">
        <v>0</v>
      </c>
      <c r="K4600" s="182" t="n">
        <v>2.71</v>
      </c>
      <c r="L4600" s="182" t="n">
        <v>12</v>
      </c>
      <c r="M4600" s="182" t="n">
        <v>9.289999999999999</v>
      </c>
      <c r="N4600" s="182" t="n">
        <v>0</v>
      </c>
      <c r="O4600" s="183" t="n">
        <v>28</v>
      </c>
      <c r="P4600" s="183" t="n">
        <v>0</v>
      </c>
      <c r="Q4600" s="184" t="n">
        <v>571.2</v>
      </c>
      <c r="R4600" s="184" t="n">
        <v>0</v>
      </c>
      <c r="S4600" s="183" t="n">
        <v>0</v>
      </c>
      <c r="T4600" s="183" t="n">
        <v>0</v>
      </c>
      <c r="U4600" s="182" t="n">
        <v>1.56</v>
      </c>
      <c r="V4600" s="182" t="n">
        <v>0.63</v>
      </c>
      <c r="W4600" s="182" t="n">
        <v>0</v>
      </c>
      <c r="X4600" s="182" t="n">
        <v>0</v>
      </c>
      <c r="Y4600" s="182" t="n">
        <v>0</v>
      </c>
      <c r="Z4600" s="182" t="n">
        <v>0</v>
      </c>
      <c r="AA4600" s="182" t="n">
        <v>0</v>
      </c>
      <c r="AB4600" s="182" t="n">
        <v>0</v>
      </c>
      <c r="AC4600" s="182" t="n">
        <v>0</v>
      </c>
      <c r="AD4600" s="182" t="n">
        <v>0</v>
      </c>
      <c r="AE4600" s="182" t="n">
        <v>0</v>
      </c>
      <c r="AF4600" s="182" t="n">
        <v>0</v>
      </c>
      <c r="AG4600" s="182" t="n">
        <v>0</v>
      </c>
      <c r="AH4600" s="182" t="n">
        <v>0.44</v>
      </c>
      <c r="AI4600" s="182" t="n">
        <v>0</v>
      </c>
      <c r="AJ4600" s="182" t="n">
        <v>0</v>
      </c>
      <c r="AK4600" s="182" t="n">
        <v>0</v>
      </c>
      <c r="AL4600" s="182" t="n">
        <v>0</v>
      </c>
      <c r="AM4600" s="182" t="n">
        <v>0.08</v>
      </c>
      <c r="AN4600" s="182" t="n">
        <v>0</v>
      </c>
    </row>
    <row r="4601">
      <c r="A4601" s="155" t="n">
        <v>46102</v>
      </c>
      <c r="B4601" s="156" t="inlineStr">
        <is>
          <t>NS</t>
        </is>
      </c>
      <c r="C4601" s="156" t="inlineStr">
        <is>
          <t>DT-528</t>
        </is>
      </c>
      <c r="D4601" s="156" t="inlineStr">
        <is>
          <t>SKT 105S</t>
        </is>
      </c>
      <c r="E4601" s="156" t="inlineStr">
        <is>
          <t>Hauler</t>
        </is>
      </c>
      <c r="F4601" s="156" t="inlineStr">
        <is>
          <t>Hauling OB &amp; Coal</t>
        </is>
      </c>
      <c r="G4601" s="182" t="n">
        <v>8.710000000000001</v>
      </c>
      <c r="H4601" s="182" t="n">
        <v>0</v>
      </c>
      <c r="I4601" s="182" t="n">
        <v>0</v>
      </c>
      <c r="J4601" s="182" t="n">
        <v>0</v>
      </c>
      <c r="K4601" s="182" t="n">
        <v>3.29</v>
      </c>
      <c r="L4601" s="182" t="n">
        <v>12</v>
      </c>
      <c r="M4601" s="182" t="n">
        <v>4.79</v>
      </c>
      <c r="N4601" s="182" t="n">
        <v>3.91</v>
      </c>
      <c r="O4601" s="183" t="n">
        <v>17</v>
      </c>
      <c r="P4601" s="183" t="n">
        <v>11</v>
      </c>
      <c r="Q4601" s="184" t="n">
        <v>346.8</v>
      </c>
      <c r="R4601" s="184" t="n">
        <v>205.7</v>
      </c>
      <c r="S4601" s="183" t="n">
        <v>0</v>
      </c>
      <c r="T4601" s="183" t="n">
        <v>0</v>
      </c>
      <c r="U4601" s="182" t="n">
        <v>1.59</v>
      </c>
      <c r="V4601" s="182" t="n">
        <v>0.64</v>
      </c>
      <c r="W4601" s="182" t="n">
        <v>0</v>
      </c>
      <c r="X4601" s="182" t="n">
        <v>0</v>
      </c>
      <c r="Y4601" s="182" t="n">
        <v>0</v>
      </c>
      <c r="Z4601" s="182" t="n">
        <v>0</v>
      </c>
      <c r="AA4601" s="182" t="n">
        <v>0</v>
      </c>
      <c r="AB4601" s="182" t="n">
        <v>0</v>
      </c>
      <c r="AC4601" s="182" t="n">
        <v>0</v>
      </c>
      <c r="AD4601" s="182" t="n">
        <v>0</v>
      </c>
      <c r="AE4601" s="182" t="n">
        <v>0</v>
      </c>
      <c r="AF4601" s="182" t="n">
        <v>0</v>
      </c>
      <c r="AG4601" s="182" t="n">
        <v>0</v>
      </c>
      <c r="AH4601" s="182" t="n">
        <v>0.98</v>
      </c>
      <c r="AI4601" s="182" t="n">
        <v>0</v>
      </c>
      <c r="AJ4601" s="182" t="n">
        <v>0</v>
      </c>
      <c r="AK4601" s="182" t="n">
        <v>0</v>
      </c>
      <c r="AL4601" s="182" t="n">
        <v>0</v>
      </c>
      <c r="AM4601" s="182" t="n">
        <v>0.08</v>
      </c>
      <c r="AN4601" s="182" t="n">
        <v>0</v>
      </c>
    </row>
    <row r="4602">
      <c r="A4602" s="155" t="n">
        <v>46102</v>
      </c>
      <c r="B4602" s="156" t="inlineStr">
        <is>
          <t>NS</t>
        </is>
      </c>
      <c r="C4602" s="156" t="inlineStr">
        <is>
          <t>DT-529</t>
        </is>
      </c>
      <c r="D4602" s="156" t="inlineStr">
        <is>
          <t>SKT 105S</t>
        </is>
      </c>
      <c r="E4602" s="156" t="inlineStr">
        <is>
          <t>Hauler</t>
        </is>
      </c>
      <c r="F4602" s="156" t="inlineStr"/>
      <c r="G4602" s="182" t="n">
        <v>0</v>
      </c>
      <c r="H4602" s="182" t="n">
        <v>0</v>
      </c>
      <c r="I4602" s="182" t="n">
        <v>0</v>
      </c>
      <c r="J4602" s="182" t="n">
        <v>0</v>
      </c>
      <c r="K4602" s="182" t="n">
        <v>12</v>
      </c>
      <c r="L4602" s="182" t="n">
        <v>12</v>
      </c>
      <c r="M4602" s="182" t="n">
        <v>0</v>
      </c>
      <c r="N4602" s="182" t="n">
        <v>0</v>
      </c>
      <c r="O4602" s="183" t="n">
        <v>0</v>
      </c>
      <c r="P4602" s="183" t="n">
        <v>0</v>
      </c>
      <c r="Q4602" s="184" t="n">
        <v>0</v>
      </c>
      <c r="R4602" s="184" t="n">
        <v>0</v>
      </c>
      <c r="S4602" s="183" t="n">
        <v>0</v>
      </c>
      <c r="T4602" s="183" t="n">
        <v>0</v>
      </c>
      <c r="U4602" s="182" t="n">
        <v>1.5</v>
      </c>
      <c r="V4602" s="182" t="n">
        <v>0</v>
      </c>
      <c r="W4602" s="182" t="n">
        <v>0</v>
      </c>
      <c r="X4602" s="182" t="n">
        <v>1</v>
      </c>
      <c r="Y4602" s="182" t="n">
        <v>0</v>
      </c>
      <c r="Z4602" s="182" t="n">
        <v>0</v>
      </c>
      <c r="AA4602" s="182" t="n">
        <v>0</v>
      </c>
      <c r="AB4602" s="182" t="n">
        <v>0</v>
      </c>
      <c r="AC4602" s="182" t="n">
        <v>0</v>
      </c>
      <c r="AD4602" s="182" t="n">
        <v>9.42</v>
      </c>
      <c r="AE4602" s="182" t="n">
        <v>0</v>
      </c>
      <c r="AF4602" s="182" t="n">
        <v>0</v>
      </c>
      <c r="AG4602" s="182" t="n">
        <v>0</v>
      </c>
      <c r="AH4602" s="182" t="n">
        <v>0</v>
      </c>
      <c r="AI4602" s="182" t="n">
        <v>0</v>
      </c>
      <c r="AJ4602" s="182" t="n">
        <v>0</v>
      </c>
      <c r="AK4602" s="182" t="n">
        <v>0</v>
      </c>
      <c r="AL4602" s="182" t="n">
        <v>0</v>
      </c>
      <c r="AM4602" s="182" t="n">
        <v>0.08</v>
      </c>
      <c r="AN4602" s="182" t="n">
        <v>0</v>
      </c>
    </row>
    <row r="4603">
      <c r="A4603" s="155" t="n">
        <v>46102</v>
      </c>
      <c r="B4603" s="156" t="inlineStr">
        <is>
          <t>NS</t>
        </is>
      </c>
      <c r="C4603" s="156" t="inlineStr">
        <is>
          <t>DT-520</t>
        </is>
      </c>
      <c r="D4603" s="156" t="inlineStr">
        <is>
          <t>SKT 105S</t>
        </is>
      </c>
      <c r="E4603" s="156" t="inlineStr">
        <is>
          <t>Hauler</t>
        </is>
      </c>
      <c r="F4603" s="156" t="inlineStr">
        <is>
          <t>Hauling OB &amp; Coal</t>
        </is>
      </c>
      <c r="G4603" s="182" t="n">
        <v>4.14</v>
      </c>
      <c r="H4603" s="182" t="n">
        <v>0</v>
      </c>
      <c r="I4603" s="182" t="n">
        <v>5.4</v>
      </c>
      <c r="J4603" s="182" t="n">
        <v>5.4</v>
      </c>
      <c r="K4603" s="182" t="n">
        <v>2.46</v>
      </c>
      <c r="L4603" s="182" t="n">
        <v>12</v>
      </c>
      <c r="M4603" s="182" t="n">
        <v>0.96</v>
      </c>
      <c r="N4603" s="182" t="n">
        <v>3.19</v>
      </c>
      <c r="O4603" s="183" t="n">
        <v>4</v>
      </c>
      <c r="P4603" s="183" t="n">
        <v>8</v>
      </c>
      <c r="Q4603" s="184" t="n">
        <v>81.59999999999999</v>
      </c>
      <c r="R4603" s="184" t="n">
        <v>149.6</v>
      </c>
      <c r="S4603" s="183" t="n">
        <v>0</v>
      </c>
      <c r="T4603" s="183" t="n">
        <v>0</v>
      </c>
      <c r="U4603" s="182" t="n">
        <v>0</v>
      </c>
      <c r="V4603" s="182" t="n">
        <v>0</v>
      </c>
      <c r="W4603" s="182" t="n">
        <v>0</v>
      </c>
      <c r="X4603" s="182" t="n">
        <v>0.91</v>
      </c>
      <c r="Y4603" s="182" t="n">
        <v>0</v>
      </c>
      <c r="Z4603" s="182" t="n">
        <v>0</v>
      </c>
      <c r="AA4603" s="182" t="n">
        <v>0</v>
      </c>
      <c r="AB4603" s="182" t="n">
        <v>0</v>
      </c>
      <c r="AC4603" s="182" t="n">
        <v>0</v>
      </c>
      <c r="AD4603" s="182" t="n">
        <v>0</v>
      </c>
      <c r="AE4603" s="182" t="n">
        <v>0</v>
      </c>
      <c r="AF4603" s="182" t="n">
        <v>0</v>
      </c>
      <c r="AG4603" s="182" t="n">
        <v>0</v>
      </c>
      <c r="AH4603" s="182" t="n">
        <v>0</v>
      </c>
      <c r="AI4603" s="182" t="n">
        <v>1.48</v>
      </c>
      <c r="AJ4603" s="182" t="n">
        <v>0</v>
      </c>
      <c r="AK4603" s="182" t="n">
        <v>0</v>
      </c>
      <c r="AL4603" s="182" t="n">
        <v>0</v>
      </c>
      <c r="AM4603" s="182" t="n">
        <v>0.07000000000000001</v>
      </c>
      <c r="AN4603" s="182" t="n">
        <v>0</v>
      </c>
    </row>
    <row r="4604">
      <c r="A4604" s="155" t="n">
        <v>46102</v>
      </c>
      <c r="B4604" s="156" t="inlineStr">
        <is>
          <t>NS</t>
        </is>
      </c>
      <c r="C4604" s="156" t="inlineStr">
        <is>
          <t>DT-511</t>
        </is>
      </c>
      <c r="D4604" s="156" t="inlineStr">
        <is>
          <t>SKT 105S</t>
        </is>
      </c>
      <c r="E4604" s="156" t="inlineStr">
        <is>
          <t>Hauler</t>
        </is>
      </c>
      <c r="F4604" s="156" t="inlineStr"/>
      <c r="G4604" s="182" t="n">
        <v>0</v>
      </c>
      <c r="H4604" s="182" t="n">
        <v>0</v>
      </c>
      <c r="I4604" s="182" t="n">
        <v>12</v>
      </c>
      <c r="J4604" s="182" t="n">
        <v>12</v>
      </c>
      <c r="K4604" s="182" t="n">
        <v>0</v>
      </c>
      <c r="L4604" s="182" t="n">
        <v>12</v>
      </c>
      <c r="M4604" s="182" t="n">
        <v>0</v>
      </c>
      <c r="N4604" s="182" t="n">
        <v>0</v>
      </c>
      <c r="O4604" s="183" t="n">
        <v>0</v>
      </c>
      <c r="P4604" s="183" t="n">
        <v>0</v>
      </c>
      <c r="Q4604" s="184" t="n">
        <v>0</v>
      </c>
      <c r="R4604" s="184" t="n">
        <v>0</v>
      </c>
      <c r="S4604" s="183" t="n">
        <v>0</v>
      </c>
      <c r="T4604" s="183" t="n">
        <v>0</v>
      </c>
      <c r="U4604" s="182" t="n">
        <v>0</v>
      </c>
      <c r="V4604" s="182" t="n">
        <v>0</v>
      </c>
      <c r="W4604" s="182" t="n">
        <v>0</v>
      </c>
      <c r="X4604" s="182" t="n">
        <v>0</v>
      </c>
      <c r="Y4604" s="182" t="n">
        <v>0</v>
      </c>
      <c r="Z4604" s="182" t="n">
        <v>0</v>
      </c>
      <c r="AA4604" s="182" t="n">
        <v>0</v>
      </c>
      <c r="AB4604" s="182" t="n">
        <v>0</v>
      </c>
      <c r="AC4604" s="182" t="n">
        <v>0</v>
      </c>
      <c r="AD4604" s="182" t="n">
        <v>0</v>
      </c>
      <c r="AE4604" s="182" t="n">
        <v>0</v>
      </c>
      <c r="AF4604" s="182" t="n">
        <v>0</v>
      </c>
      <c r="AG4604" s="182" t="n">
        <v>0</v>
      </c>
      <c r="AH4604" s="182" t="n">
        <v>0</v>
      </c>
      <c r="AI4604" s="182" t="n">
        <v>0</v>
      </c>
      <c r="AJ4604" s="182" t="n">
        <v>0</v>
      </c>
      <c r="AK4604" s="182" t="n">
        <v>0</v>
      </c>
      <c r="AL4604" s="182" t="n">
        <v>0</v>
      </c>
      <c r="AM4604" s="182" t="n">
        <v>0</v>
      </c>
      <c r="AN4604" s="182" t="n">
        <v>0</v>
      </c>
    </row>
    <row r="4605">
      <c r="A4605" s="155" t="n">
        <v>46102</v>
      </c>
      <c r="B4605" s="156" t="inlineStr">
        <is>
          <t>NS</t>
        </is>
      </c>
      <c r="C4605" s="156" t="inlineStr">
        <is>
          <t>DT-509</t>
        </is>
      </c>
      <c r="D4605" s="156" t="inlineStr">
        <is>
          <t>SKT 105S</t>
        </is>
      </c>
      <c r="E4605" s="156" t="inlineStr">
        <is>
          <t>Hauler</t>
        </is>
      </c>
      <c r="F4605" s="156" t="inlineStr"/>
      <c r="G4605" s="182" t="n">
        <v>0</v>
      </c>
      <c r="H4605" s="182" t="n">
        <v>0</v>
      </c>
      <c r="I4605" s="182" t="n">
        <v>12</v>
      </c>
      <c r="J4605" s="182" t="n">
        <v>12</v>
      </c>
      <c r="K4605" s="182" t="n">
        <v>0</v>
      </c>
      <c r="L4605" s="182" t="n">
        <v>12</v>
      </c>
      <c r="M4605" s="182" t="n">
        <v>0</v>
      </c>
      <c r="N4605" s="182" t="n">
        <v>0</v>
      </c>
      <c r="O4605" s="183" t="n">
        <v>0</v>
      </c>
      <c r="P4605" s="183" t="n">
        <v>0</v>
      </c>
      <c r="Q4605" s="184" t="n">
        <v>0</v>
      </c>
      <c r="R4605" s="184" t="n">
        <v>0</v>
      </c>
      <c r="S4605" s="183" t="n">
        <v>0</v>
      </c>
      <c r="T4605" s="183" t="n">
        <v>0</v>
      </c>
      <c r="U4605" s="182" t="n">
        <v>0</v>
      </c>
      <c r="V4605" s="182" t="n">
        <v>0</v>
      </c>
      <c r="W4605" s="182" t="n">
        <v>0</v>
      </c>
      <c r="X4605" s="182" t="n">
        <v>0</v>
      </c>
      <c r="Y4605" s="182" t="n">
        <v>0</v>
      </c>
      <c r="Z4605" s="182" t="n">
        <v>0</v>
      </c>
      <c r="AA4605" s="182" t="n">
        <v>0</v>
      </c>
      <c r="AB4605" s="182" t="n">
        <v>0</v>
      </c>
      <c r="AC4605" s="182" t="n">
        <v>0</v>
      </c>
      <c r="AD4605" s="182" t="n">
        <v>0</v>
      </c>
      <c r="AE4605" s="182" t="n">
        <v>0</v>
      </c>
      <c r="AF4605" s="182" t="n">
        <v>0</v>
      </c>
      <c r="AG4605" s="182" t="n">
        <v>0</v>
      </c>
      <c r="AH4605" s="182" t="n">
        <v>0</v>
      </c>
      <c r="AI4605" s="182" t="n">
        <v>0</v>
      </c>
      <c r="AJ4605" s="182" t="n">
        <v>0</v>
      </c>
      <c r="AK4605" s="182" t="n">
        <v>0</v>
      </c>
      <c r="AL4605" s="182" t="n">
        <v>0</v>
      </c>
      <c r="AM4605" s="182" t="n">
        <v>0</v>
      </c>
      <c r="AN4605" s="182" t="n">
        <v>0</v>
      </c>
    </row>
    <row r="4606">
      <c r="A4606" s="155" t="n">
        <v>46102</v>
      </c>
      <c r="B4606" s="156" t="inlineStr">
        <is>
          <t>NS</t>
        </is>
      </c>
      <c r="C4606" s="156" t="inlineStr">
        <is>
          <t>DT-526</t>
        </is>
      </c>
      <c r="D4606" s="156" t="inlineStr">
        <is>
          <t>SKT 105S</t>
        </is>
      </c>
      <c r="E4606" s="156" t="inlineStr">
        <is>
          <t>Hauler</t>
        </is>
      </c>
      <c r="F4606" s="156" t="inlineStr">
        <is>
          <t>Hauling OB</t>
        </is>
      </c>
      <c r="G4606" s="182" t="n">
        <v>9.630000000000001</v>
      </c>
      <c r="H4606" s="182" t="n">
        <v>0</v>
      </c>
      <c r="I4606" s="182" t="n">
        <v>0</v>
      </c>
      <c r="J4606" s="182" t="n">
        <v>0</v>
      </c>
      <c r="K4606" s="182" t="n">
        <v>2.37</v>
      </c>
      <c r="L4606" s="182" t="n">
        <v>12</v>
      </c>
      <c r="M4606" s="182" t="n">
        <v>9.460000000000001</v>
      </c>
      <c r="N4606" s="182" t="n">
        <v>0</v>
      </c>
      <c r="O4606" s="183" t="n">
        <v>30</v>
      </c>
      <c r="P4606" s="183" t="n">
        <v>0</v>
      </c>
      <c r="Q4606" s="184" t="n">
        <v>612</v>
      </c>
      <c r="R4606" s="184" t="n">
        <v>0</v>
      </c>
      <c r="S4606" s="183" t="n">
        <v>0</v>
      </c>
      <c r="T4606" s="183" t="n">
        <v>0</v>
      </c>
      <c r="U4606" s="182" t="n">
        <v>1.3</v>
      </c>
      <c r="V4606" s="182" t="n">
        <v>0</v>
      </c>
      <c r="W4606" s="182" t="n">
        <v>0</v>
      </c>
      <c r="X4606" s="182" t="n">
        <v>0.99</v>
      </c>
      <c r="Y4606" s="182" t="n">
        <v>0</v>
      </c>
      <c r="Z4606" s="182" t="n">
        <v>0</v>
      </c>
      <c r="AA4606" s="182" t="n">
        <v>0</v>
      </c>
      <c r="AB4606" s="182" t="n">
        <v>0</v>
      </c>
      <c r="AC4606" s="182" t="n">
        <v>0</v>
      </c>
      <c r="AD4606" s="182" t="n">
        <v>0</v>
      </c>
      <c r="AE4606" s="182" t="n">
        <v>0</v>
      </c>
      <c r="AF4606" s="182" t="n">
        <v>0</v>
      </c>
      <c r="AG4606" s="182" t="n">
        <v>0</v>
      </c>
      <c r="AH4606" s="182" t="n">
        <v>0</v>
      </c>
      <c r="AI4606" s="182" t="n">
        <v>0</v>
      </c>
      <c r="AJ4606" s="182" t="n">
        <v>0</v>
      </c>
      <c r="AK4606" s="182" t="n">
        <v>0</v>
      </c>
      <c r="AL4606" s="182" t="n">
        <v>0</v>
      </c>
      <c r="AM4606" s="182" t="n">
        <v>0.08</v>
      </c>
      <c r="AN4606" s="182" t="n">
        <v>0</v>
      </c>
    </row>
    <row r="4607">
      <c r="A4607" s="155" t="n">
        <v>46102</v>
      </c>
      <c r="B4607" s="156" t="inlineStr">
        <is>
          <t>NS</t>
        </is>
      </c>
      <c r="C4607" s="156" t="inlineStr">
        <is>
          <t>DT-508</t>
        </is>
      </c>
      <c r="D4607" s="156" t="inlineStr">
        <is>
          <t>SKT 105S</t>
        </is>
      </c>
      <c r="E4607" s="156" t="inlineStr">
        <is>
          <t>Hauler</t>
        </is>
      </c>
      <c r="F4607" s="156" t="inlineStr">
        <is>
          <t>Hauling OB</t>
        </is>
      </c>
      <c r="G4607" s="182" t="n">
        <v>3.57</v>
      </c>
      <c r="H4607" s="182" t="n">
        <v>0</v>
      </c>
      <c r="I4607" s="182" t="n">
        <v>0</v>
      </c>
      <c r="J4607" s="182" t="n">
        <v>0</v>
      </c>
      <c r="K4607" s="182" t="n">
        <v>8.43</v>
      </c>
      <c r="L4607" s="182" t="n">
        <v>12</v>
      </c>
      <c r="M4607" s="182" t="n">
        <v>3.42</v>
      </c>
      <c r="N4607" s="182" t="n">
        <v>0</v>
      </c>
      <c r="O4607" s="183" t="n">
        <v>13</v>
      </c>
      <c r="P4607" s="183" t="n">
        <v>0</v>
      </c>
      <c r="Q4607" s="184" t="n">
        <v>265.2</v>
      </c>
      <c r="R4607" s="184" t="n">
        <v>0</v>
      </c>
      <c r="S4607" s="183" t="n">
        <v>0</v>
      </c>
      <c r="T4607" s="183" t="n">
        <v>0</v>
      </c>
      <c r="U4607" s="182" t="n">
        <v>1.56</v>
      </c>
      <c r="V4607" s="182" t="n">
        <v>0.62</v>
      </c>
      <c r="W4607" s="182" t="n">
        <v>0</v>
      </c>
      <c r="X4607" s="182" t="n">
        <v>1.04</v>
      </c>
      <c r="Y4607" s="182" t="n">
        <v>0</v>
      </c>
      <c r="Z4607" s="182" t="n">
        <v>0</v>
      </c>
      <c r="AA4607" s="182" t="n">
        <v>0</v>
      </c>
      <c r="AB4607" s="182" t="n">
        <v>0</v>
      </c>
      <c r="AC4607" s="182" t="n">
        <v>0</v>
      </c>
      <c r="AD4607" s="182" t="n">
        <v>0</v>
      </c>
      <c r="AE4607" s="182" t="n">
        <v>0</v>
      </c>
      <c r="AF4607" s="182" t="n">
        <v>0</v>
      </c>
      <c r="AG4607" s="182" t="n">
        <v>0.62</v>
      </c>
      <c r="AH4607" s="182" t="n">
        <v>0.44</v>
      </c>
      <c r="AI4607" s="182" t="n">
        <v>4.06</v>
      </c>
      <c r="AJ4607" s="182" t="n">
        <v>0</v>
      </c>
      <c r="AK4607" s="182" t="n">
        <v>0</v>
      </c>
      <c r="AL4607" s="182" t="n">
        <v>0</v>
      </c>
      <c r="AM4607" s="182" t="n">
        <v>0.08</v>
      </c>
      <c r="AN4607" s="182" t="n">
        <v>0</v>
      </c>
    </row>
    <row r="4608">
      <c r="A4608" s="155" t="n">
        <v>46102</v>
      </c>
      <c r="B4608" s="156" t="inlineStr">
        <is>
          <t>NS</t>
        </is>
      </c>
      <c r="C4608" s="156" t="inlineStr">
        <is>
          <t>DT-515</t>
        </is>
      </c>
      <c r="D4608" s="156" t="inlineStr">
        <is>
          <t>SKT 105S</t>
        </is>
      </c>
      <c r="E4608" s="156" t="inlineStr">
        <is>
          <t>Hauler</t>
        </is>
      </c>
      <c r="F4608" s="156" t="inlineStr">
        <is>
          <t>Hauling OB</t>
        </is>
      </c>
      <c r="G4608" s="182" t="n">
        <v>4.46</v>
      </c>
      <c r="H4608" s="182" t="n">
        <v>0</v>
      </c>
      <c r="I4608" s="182" t="n">
        <v>0</v>
      </c>
      <c r="J4608" s="182" t="n">
        <v>0</v>
      </c>
      <c r="K4608" s="182" t="n">
        <v>7.54</v>
      </c>
      <c r="L4608" s="182" t="n">
        <v>12</v>
      </c>
      <c r="M4608" s="182" t="n">
        <v>4.28</v>
      </c>
      <c r="N4608" s="182" t="n">
        <v>0</v>
      </c>
      <c r="O4608" s="183" t="n">
        <v>18</v>
      </c>
      <c r="P4608" s="183" t="n">
        <v>0</v>
      </c>
      <c r="Q4608" s="184" t="n">
        <v>367.2</v>
      </c>
      <c r="R4608" s="184" t="n">
        <v>0</v>
      </c>
      <c r="S4608" s="183" t="n">
        <v>0</v>
      </c>
      <c r="T4608" s="183" t="n">
        <v>0</v>
      </c>
      <c r="U4608" s="182" t="n">
        <v>1.47</v>
      </c>
      <c r="V4608" s="182" t="n">
        <v>0.59</v>
      </c>
      <c r="W4608" s="182" t="n">
        <v>0</v>
      </c>
      <c r="X4608" s="182" t="n">
        <v>0.98</v>
      </c>
      <c r="Y4608" s="182" t="n">
        <v>0</v>
      </c>
      <c r="Z4608" s="182" t="n">
        <v>0</v>
      </c>
      <c r="AA4608" s="182" t="n">
        <v>0</v>
      </c>
      <c r="AB4608" s="182" t="n">
        <v>0</v>
      </c>
      <c r="AC4608" s="182" t="n">
        <v>0</v>
      </c>
      <c r="AD4608" s="182" t="n">
        <v>4.43</v>
      </c>
      <c r="AE4608" s="182" t="n">
        <v>0</v>
      </c>
      <c r="AF4608" s="182" t="n">
        <v>0</v>
      </c>
      <c r="AG4608" s="182" t="n">
        <v>0</v>
      </c>
      <c r="AH4608" s="182" t="n">
        <v>0</v>
      </c>
      <c r="AI4608" s="182" t="n">
        <v>0</v>
      </c>
      <c r="AJ4608" s="182" t="n">
        <v>0</v>
      </c>
      <c r="AK4608" s="182" t="n">
        <v>0</v>
      </c>
      <c r="AL4608" s="182" t="n">
        <v>0</v>
      </c>
      <c r="AM4608" s="182" t="n">
        <v>0.08</v>
      </c>
      <c r="AN4608" s="182" t="n">
        <v>0</v>
      </c>
    </row>
    <row r="4609">
      <c r="A4609" s="155" t="n">
        <v>46102</v>
      </c>
      <c r="B4609" s="156" t="inlineStr">
        <is>
          <t>NS</t>
        </is>
      </c>
      <c r="C4609" s="156" t="inlineStr">
        <is>
          <t>DT-524</t>
        </is>
      </c>
      <c r="D4609" s="156" t="inlineStr">
        <is>
          <t>SKT 105S</t>
        </is>
      </c>
      <c r="E4609" s="156" t="inlineStr">
        <is>
          <t>Hauler</t>
        </is>
      </c>
      <c r="F4609" s="156" t="inlineStr"/>
      <c r="G4609" s="182" t="n">
        <v>0</v>
      </c>
      <c r="H4609" s="182" t="n">
        <v>0</v>
      </c>
      <c r="I4609" s="182" t="n">
        <v>12</v>
      </c>
      <c r="J4609" s="182" t="n">
        <v>12</v>
      </c>
      <c r="K4609" s="182" t="n">
        <v>0</v>
      </c>
      <c r="L4609" s="182" t="n">
        <v>12</v>
      </c>
      <c r="M4609" s="182" t="n">
        <v>0</v>
      </c>
      <c r="N4609" s="182" t="n">
        <v>0</v>
      </c>
      <c r="O4609" s="183" t="n">
        <v>0</v>
      </c>
      <c r="P4609" s="183" t="n">
        <v>0</v>
      </c>
      <c r="Q4609" s="184" t="n">
        <v>0</v>
      </c>
      <c r="R4609" s="184" t="n">
        <v>0</v>
      </c>
      <c r="S4609" s="183" t="n">
        <v>0</v>
      </c>
      <c r="T4609" s="183" t="n">
        <v>0</v>
      </c>
      <c r="U4609" s="182" t="n">
        <v>0</v>
      </c>
      <c r="V4609" s="182" t="n">
        <v>0</v>
      </c>
      <c r="W4609" s="182" t="n">
        <v>0</v>
      </c>
      <c r="X4609" s="182" t="n">
        <v>0</v>
      </c>
      <c r="Y4609" s="182" t="n">
        <v>0</v>
      </c>
      <c r="Z4609" s="182" t="n">
        <v>0</v>
      </c>
      <c r="AA4609" s="182" t="n">
        <v>0</v>
      </c>
      <c r="AB4609" s="182" t="n">
        <v>0</v>
      </c>
      <c r="AC4609" s="182" t="n">
        <v>0</v>
      </c>
      <c r="AD4609" s="182" t="n">
        <v>0</v>
      </c>
      <c r="AE4609" s="182" t="n">
        <v>0</v>
      </c>
      <c r="AF4609" s="182" t="n">
        <v>0</v>
      </c>
      <c r="AG4609" s="182" t="n">
        <v>0</v>
      </c>
      <c r="AH4609" s="182" t="n">
        <v>0</v>
      </c>
      <c r="AI4609" s="182" t="n">
        <v>0</v>
      </c>
      <c r="AJ4609" s="182" t="n">
        <v>0</v>
      </c>
      <c r="AK4609" s="182" t="n">
        <v>0</v>
      </c>
      <c r="AL4609" s="182" t="n">
        <v>0</v>
      </c>
      <c r="AM4609" s="182" t="n">
        <v>0</v>
      </c>
      <c r="AN4609" s="182" t="n">
        <v>0</v>
      </c>
    </row>
    <row r="4610">
      <c r="A4610" s="155" t="n">
        <v>46102</v>
      </c>
      <c r="B4610" s="156" t="inlineStr">
        <is>
          <t>NS</t>
        </is>
      </c>
      <c r="C4610" s="156" t="inlineStr">
        <is>
          <t>DT-341</t>
        </is>
      </c>
      <c r="D4610" s="156" t="inlineStr">
        <is>
          <t>SYZ324C-8W</t>
        </is>
      </c>
      <c r="E4610" s="156" t="inlineStr">
        <is>
          <t>Hauler</t>
        </is>
      </c>
      <c r="F4610" s="156" t="inlineStr"/>
      <c r="G4610" s="182" t="n">
        <v>0</v>
      </c>
      <c r="H4610" s="182" t="n">
        <v>0</v>
      </c>
      <c r="I4610" s="182" t="n">
        <v>0</v>
      </c>
      <c r="J4610" s="182" t="n">
        <v>0</v>
      </c>
      <c r="K4610" s="182" t="n">
        <v>12</v>
      </c>
      <c r="L4610" s="182" t="n">
        <v>12</v>
      </c>
      <c r="M4610" s="182" t="n">
        <v>0</v>
      </c>
      <c r="N4610" s="182" t="n">
        <v>0</v>
      </c>
      <c r="O4610" s="183" t="n">
        <v>0</v>
      </c>
      <c r="P4610" s="183" t="n">
        <v>0</v>
      </c>
      <c r="Q4610" s="184" t="n">
        <v>0</v>
      </c>
      <c r="R4610" s="184" t="n">
        <v>0</v>
      </c>
      <c r="S4610" s="183" t="n">
        <v>0</v>
      </c>
      <c r="T4610" s="183" t="n">
        <v>0</v>
      </c>
      <c r="U4610" s="182" t="n">
        <v>1.5</v>
      </c>
      <c r="V4610" s="182" t="n">
        <v>0</v>
      </c>
      <c r="W4610" s="182" t="n">
        <v>0</v>
      </c>
      <c r="X4610" s="182" t="n">
        <v>1</v>
      </c>
      <c r="Y4610" s="182" t="n">
        <v>0</v>
      </c>
      <c r="Z4610" s="182" t="n">
        <v>0</v>
      </c>
      <c r="AA4610" s="182" t="n">
        <v>0</v>
      </c>
      <c r="AB4610" s="182" t="n">
        <v>0</v>
      </c>
      <c r="AC4610" s="182" t="n">
        <v>0</v>
      </c>
      <c r="AD4610" s="182" t="n">
        <v>0</v>
      </c>
      <c r="AE4610" s="182" t="n">
        <v>0</v>
      </c>
      <c r="AF4610" s="182" t="n">
        <v>0</v>
      </c>
      <c r="AG4610" s="182" t="n">
        <v>0</v>
      </c>
      <c r="AH4610" s="182" t="n">
        <v>0</v>
      </c>
      <c r="AI4610" s="182" t="n">
        <v>0</v>
      </c>
      <c r="AJ4610" s="182" t="n">
        <v>0</v>
      </c>
      <c r="AK4610" s="182" t="n">
        <v>9.42</v>
      </c>
      <c r="AL4610" s="182" t="n">
        <v>0</v>
      </c>
      <c r="AM4610" s="182" t="n">
        <v>0.08</v>
      </c>
      <c r="AN4610" s="182" t="n">
        <v>0</v>
      </c>
    </row>
    <row r="4611">
      <c r="A4611" s="155" t="n">
        <v>46102</v>
      </c>
      <c r="B4611" s="156" t="inlineStr">
        <is>
          <t>NS</t>
        </is>
      </c>
      <c r="C4611" s="156" t="inlineStr">
        <is>
          <t>DT-342</t>
        </is>
      </c>
      <c r="D4611" s="156" t="inlineStr">
        <is>
          <t>SYZ324C-8W</t>
        </is>
      </c>
      <c r="E4611" s="156" t="inlineStr">
        <is>
          <t>Hauler</t>
        </is>
      </c>
      <c r="F4611" s="156" t="inlineStr"/>
      <c r="G4611" s="182" t="n">
        <v>0</v>
      </c>
      <c r="H4611" s="182" t="n">
        <v>0</v>
      </c>
      <c r="I4611" s="182" t="n">
        <v>0</v>
      </c>
      <c r="J4611" s="182" t="n">
        <v>0</v>
      </c>
      <c r="K4611" s="182" t="n">
        <v>12</v>
      </c>
      <c r="L4611" s="182" t="n">
        <v>12</v>
      </c>
      <c r="M4611" s="182" t="n">
        <v>0</v>
      </c>
      <c r="N4611" s="182" t="n">
        <v>0</v>
      </c>
      <c r="O4611" s="183" t="n">
        <v>0</v>
      </c>
      <c r="P4611" s="183" t="n">
        <v>0</v>
      </c>
      <c r="Q4611" s="184" t="n">
        <v>0</v>
      </c>
      <c r="R4611" s="184" t="n">
        <v>0</v>
      </c>
      <c r="S4611" s="183" t="n">
        <v>0</v>
      </c>
      <c r="T4611" s="183" t="n">
        <v>0</v>
      </c>
      <c r="U4611" s="182" t="n">
        <v>1.5</v>
      </c>
      <c r="V4611" s="182" t="n">
        <v>0</v>
      </c>
      <c r="W4611" s="182" t="n">
        <v>0</v>
      </c>
      <c r="X4611" s="182" t="n">
        <v>1</v>
      </c>
      <c r="Y4611" s="182" t="n">
        <v>0</v>
      </c>
      <c r="Z4611" s="182" t="n">
        <v>0</v>
      </c>
      <c r="AA4611" s="182" t="n">
        <v>0</v>
      </c>
      <c r="AB4611" s="182" t="n">
        <v>0</v>
      </c>
      <c r="AC4611" s="182" t="n">
        <v>0</v>
      </c>
      <c r="AD4611" s="182" t="n">
        <v>0</v>
      </c>
      <c r="AE4611" s="182" t="n">
        <v>0</v>
      </c>
      <c r="AF4611" s="182" t="n">
        <v>0</v>
      </c>
      <c r="AG4611" s="182" t="n">
        <v>0</v>
      </c>
      <c r="AH4611" s="182" t="n">
        <v>0</v>
      </c>
      <c r="AI4611" s="182" t="n">
        <v>0</v>
      </c>
      <c r="AJ4611" s="182" t="n">
        <v>0</v>
      </c>
      <c r="AK4611" s="182" t="n">
        <v>9.42</v>
      </c>
      <c r="AL4611" s="182" t="n">
        <v>0</v>
      </c>
      <c r="AM4611" s="182" t="n">
        <v>0.08</v>
      </c>
      <c r="AN4611" s="182" t="n">
        <v>0</v>
      </c>
    </row>
    <row r="4612">
      <c r="A4612" s="155" t="n">
        <v>46102</v>
      </c>
      <c r="B4612" s="156" t="inlineStr">
        <is>
          <t>NS</t>
        </is>
      </c>
      <c r="C4612" s="156" t="inlineStr">
        <is>
          <t>HD-903</t>
        </is>
      </c>
      <c r="D4612" s="156" t="inlineStr">
        <is>
          <t>SRT 95C</t>
        </is>
      </c>
      <c r="E4612" s="156" t="inlineStr">
        <is>
          <t>Hauler</t>
        </is>
      </c>
      <c r="F4612" s="156" t="inlineStr"/>
      <c r="G4612" s="182" t="n">
        <v>0</v>
      </c>
      <c r="H4612" s="182" t="n">
        <v>0</v>
      </c>
      <c r="I4612" s="182" t="n">
        <v>0</v>
      </c>
      <c r="J4612" s="182" t="n">
        <v>0</v>
      </c>
      <c r="K4612" s="182" t="n">
        <v>12</v>
      </c>
      <c r="L4612" s="182" t="n">
        <v>12</v>
      </c>
      <c r="M4612" s="182" t="n">
        <v>0</v>
      </c>
      <c r="N4612" s="182" t="n">
        <v>0</v>
      </c>
      <c r="O4612" s="183" t="n">
        <v>0</v>
      </c>
      <c r="P4612" s="183" t="n">
        <v>0</v>
      </c>
      <c r="Q4612" s="184" t="n">
        <v>0</v>
      </c>
      <c r="R4612" s="184" t="n">
        <v>0</v>
      </c>
      <c r="S4612" s="183" t="n">
        <v>0</v>
      </c>
      <c r="T4612" s="183" t="n">
        <v>0</v>
      </c>
      <c r="U4612" s="182" t="n">
        <v>1.5</v>
      </c>
      <c r="V4612" s="182" t="n">
        <v>0</v>
      </c>
      <c r="W4612" s="182" t="n">
        <v>0</v>
      </c>
      <c r="X4612" s="182" t="n">
        <v>1</v>
      </c>
      <c r="Y4612" s="182" t="n">
        <v>0</v>
      </c>
      <c r="Z4612" s="182" t="n">
        <v>0</v>
      </c>
      <c r="AA4612" s="182" t="n">
        <v>0</v>
      </c>
      <c r="AB4612" s="182" t="n">
        <v>0</v>
      </c>
      <c r="AC4612" s="182" t="n">
        <v>0</v>
      </c>
      <c r="AD4612" s="182" t="n">
        <v>9.42</v>
      </c>
      <c r="AE4612" s="182" t="n">
        <v>0</v>
      </c>
      <c r="AF4612" s="182" t="n">
        <v>0</v>
      </c>
      <c r="AG4612" s="182" t="n">
        <v>0</v>
      </c>
      <c r="AH4612" s="182" t="n">
        <v>0</v>
      </c>
      <c r="AI4612" s="182" t="n">
        <v>0</v>
      </c>
      <c r="AJ4612" s="182" t="n">
        <v>0</v>
      </c>
      <c r="AK4612" s="182" t="n">
        <v>0</v>
      </c>
      <c r="AL4612" s="182" t="n">
        <v>0</v>
      </c>
      <c r="AM4612" s="182" t="n">
        <v>0.08</v>
      </c>
      <c r="AN4612" s="182" t="n">
        <v>0</v>
      </c>
    </row>
    <row r="4613">
      <c r="A4613" s="155" t="n">
        <v>46102</v>
      </c>
      <c r="B4613" s="156" t="inlineStr">
        <is>
          <t>NS</t>
        </is>
      </c>
      <c r="C4613" s="156" t="inlineStr">
        <is>
          <t>HD-905</t>
        </is>
      </c>
      <c r="D4613" s="156" t="inlineStr">
        <is>
          <t>SRT 95C</t>
        </is>
      </c>
      <c r="E4613" s="156" t="inlineStr">
        <is>
          <t>Hauler</t>
        </is>
      </c>
      <c r="F4613" s="156" t="inlineStr">
        <is>
          <t>Timesheet Kosong</t>
        </is>
      </c>
      <c r="G4613" s="182" t="n">
        <v>2.6</v>
      </c>
      <c r="H4613" s="182" t="n">
        <v>0</v>
      </c>
      <c r="I4613" s="182" t="n">
        <v>9.4</v>
      </c>
      <c r="J4613" s="182" t="n">
        <v>9.4</v>
      </c>
      <c r="K4613" s="182" t="n">
        <v>0</v>
      </c>
      <c r="L4613" s="182" t="n">
        <v>12</v>
      </c>
      <c r="M4613" s="182" t="n">
        <v>2.6</v>
      </c>
      <c r="N4613" s="182" t="n">
        <v>0</v>
      </c>
      <c r="O4613" s="183" t="n">
        <v>0</v>
      </c>
      <c r="P4613" s="183" t="n">
        <v>0</v>
      </c>
      <c r="Q4613" s="184" t="n">
        <v>0</v>
      </c>
      <c r="R4613" s="184" t="n">
        <v>0</v>
      </c>
      <c r="S4613" s="183" t="n">
        <v>0</v>
      </c>
      <c r="T4613" s="183" t="n">
        <v>0</v>
      </c>
      <c r="U4613" s="182" t="n">
        <v>0</v>
      </c>
      <c r="V4613" s="182" t="n">
        <v>0</v>
      </c>
      <c r="W4613" s="182" t="n">
        <v>0</v>
      </c>
      <c r="X4613" s="182" t="n">
        <v>0</v>
      </c>
      <c r="Y4613" s="182" t="n">
        <v>0</v>
      </c>
      <c r="Z4613" s="182" t="n">
        <v>0</v>
      </c>
      <c r="AA4613" s="182" t="n">
        <v>0</v>
      </c>
      <c r="AB4613" s="182" t="n">
        <v>0</v>
      </c>
      <c r="AC4613" s="182" t="n">
        <v>0</v>
      </c>
      <c r="AD4613" s="182" t="n">
        <v>0</v>
      </c>
      <c r="AE4613" s="182" t="n">
        <v>0</v>
      </c>
      <c r="AF4613" s="182" t="n">
        <v>0</v>
      </c>
      <c r="AG4613" s="182" t="n">
        <v>0</v>
      </c>
      <c r="AH4613" s="182" t="n">
        <v>0</v>
      </c>
      <c r="AI4613" s="182" t="n">
        <v>0</v>
      </c>
      <c r="AJ4613" s="182" t="n">
        <v>0</v>
      </c>
      <c r="AK4613" s="182" t="n">
        <v>0</v>
      </c>
      <c r="AL4613" s="182" t="n">
        <v>0</v>
      </c>
      <c r="AM4613" s="182" t="n">
        <v>0</v>
      </c>
      <c r="AN4613" s="182" t="n">
        <v>0</v>
      </c>
    </row>
    <row r="4614">
      <c r="A4614" s="155" t="n">
        <v>46102</v>
      </c>
      <c r="B4614" s="156" t="inlineStr">
        <is>
          <t>NS</t>
        </is>
      </c>
      <c r="C4614" s="156" t="inlineStr">
        <is>
          <t>HD-901</t>
        </is>
      </c>
      <c r="D4614" s="156" t="inlineStr">
        <is>
          <t>SRT 95C</t>
        </is>
      </c>
      <c r="E4614" s="156" t="inlineStr">
        <is>
          <t>Hauler</t>
        </is>
      </c>
      <c r="F4614" s="156" t="inlineStr"/>
      <c r="G4614" s="182" t="n">
        <v>0</v>
      </c>
      <c r="H4614" s="182" t="n">
        <v>0</v>
      </c>
      <c r="I4614" s="182" t="n">
        <v>0</v>
      </c>
      <c r="J4614" s="182" t="n">
        <v>0</v>
      </c>
      <c r="K4614" s="182" t="n">
        <v>12</v>
      </c>
      <c r="L4614" s="182" t="n">
        <v>12</v>
      </c>
      <c r="M4614" s="182" t="n">
        <v>0</v>
      </c>
      <c r="N4614" s="182" t="n">
        <v>0</v>
      </c>
      <c r="O4614" s="183" t="n">
        <v>0</v>
      </c>
      <c r="P4614" s="183" t="n">
        <v>0</v>
      </c>
      <c r="Q4614" s="184" t="n">
        <v>0</v>
      </c>
      <c r="R4614" s="184" t="n">
        <v>0</v>
      </c>
      <c r="S4614" s="183" t="n">
        <v>0</v>
      </c>
      <c r="T4614" s="183" t="n">
        <v>0</v>
      </c>
      <c r="U4614" s="182" t="n">
        <v>1.5</v>
      </c>
      <c r="V4614" s="182" t="n">
        <v>0</v>
      </c>
      <c r="W4614" s="182" t="n">
        <v>0</v>
      </c>
      <c r="X4614" s="182" t="n">
        <v>1</v>
      </c>
      <c r="Y4614" s="182" t="n">
        <v>0</v>
      </c>
      <c r="Z4614" s="182" t="n">
        <v>0</v>
      </c>
      <c r="AA4614" s="182" t="n">
        <v>0</v>
      </c>
      <c r="AB4614" s="182" t="n">
        <v>0</v>
      </c>
      <c r="AC4614" s="182" t="n">
        <v>0</v>
      </c>
      <c r="AD4614" s="182" t="n">
        <v>9.42</v>
      </c>
      <c r="AE4614" s="182" t="n">
        <v>0</v>
      </c>
      <c r="AF4614" s="182" t="n">
        <v>0</v>
      </c>
      <c r="AG4614" s="182" t="n">
        <v>0</v>
      </c>
      <c r="AH4614" s="182" t="n">
        <v>0</v>
      </c>
      <c r="AI4614" s="182" t="n">
        <v>0</v>
      </c>
      <c r="AJ4614" s="182" t="n">
        <v>0</v>
      </c>
      <c r="AK4614" s="182" t="n">
        <v>0</v>
      </c>
      <c r="AL4614" s="182" t="n">
        <v>0</v>
      </c>
      <c r="AM4614" s="182" t="n">
        <v>0.08</v>
      </c>
      <c r="AN4614" s="182" t="n">
        <v>0</v>
      </c>
    </row>
    <row r="4615">
      <c r="A4615" s="155" t="n">
        <v>46102</v>
      </c>
      <c r="B4615" s="156" t="inlineStr">
        <is>
          <t>NS</t>
        </is>
      </c>
      <c r="C4615" s="156" t="inlineStr">
        <is>
          <t>HD-904</t>
        </is>
      </c>
      <c r="D4615" s="156" t="inlineStr">
        <is>
          <t>SRT 95C</t>
        </is>
      </c>
      <c r="E4615" s="156" t="inlineStr">
        <is>
          <t>Hauler</t>
        </is>
      </c>
      <c r="F4615" s="156" t="inlineStr"/>
      <c r="G4615" s="182" t="n">
        <v>0</v>
      </c>
      <c r="H4615" s="182" t="n">
        <v>0</v>
      </c>
      <c r="I4615" s="182" t="n">
        <v>12</v>
      </c>
      <c r="J4615" s="182" t="n">
        <v>12</v>
      </c>
      <c r="K4615" s="182" t="n">
        <v>0</v>
      </c>
      <c r="L4615" s="182" t="n">
        <v>12</v>
      </c>
      <c r="M4615" s="182" t="n">
        <v>0</v>
      </c>
      <c r="N4615" s="182" t="n">
        <v>0</v>
      </c>
      <c r="O4615" s="183" t="n">
        <v>0</v>
      </c>
      <c r="P4615" s="183" t="n">
        <v>0</v>
      </c>
      <c r="Q4615" s="184" t="n">
        <v>0</v>
      </c>
      <c r="R4615" s="184" t="n">
        <v>0</v>
      </c>
      <c r="S4615" s="183" t="n">
        <v>0</v>
      </c>
      <c r="T4615" s="183" t="n">
        <v>0</v>
      </c>
      <c r="U4615" s="182" t="n">
        <v>0</v>
      </c>
      <c r="V4615" s="182" t="n">
        <v>0</v>
      </c>
      <c r="W4615" s="182" t="n">
        <v>0</v>
      </c>
      <c r="X4615" s="182" t="n">
        <v>0</v>
      </c>
      <c r="Y4615" s="182" t="n">
        <v>0</v>
      </c>
      <c r="Z4615" s="182" t="n">
        <v>0</v>
      </c>
      <c r="AA4615" s="182" t="n">
        <v>0</v>
      </c>
      <c r="AB4615" s="182" t="n">
        <v>0</v>
      </c>
      <c r="AC4615" s="182" t="n">
        <v>0</v>
      </c>
      <c r="AD4615" s="182" t="n">
        <v>0</v>
      </c>
      <c r="AE4615" s="182" t="n">
        <v>0</v>
      </c>
      <c r="AF4615" s="182" t="n">
        <v>0</v>
      </c>
      <c r="AG4615" s="182" t="n">
        <v>0</v>
      </c>
      <c r="AH4615" s="182" t="n">
        <v>0</v>
      </c>
      <c r="AI4615" s="182" t="n">
        <v>0</v>
      </c>
      <c r="AJ4615" s="182" t="n">
        <v>0</v>
      </c>
      <c r="AK4615" s="182" t="n">
        <v>0</v>
      </c>
      <c r="AL4615" s="182" t="n">
        <v>0</v>
      </c>
      <c r="AM4615" s="182" t="n">
        <v>0</v>
      </c>
      <c r="AN4615" s="182" t="n">
        <v>0</v>
      </c>
    </row>
    <row r="4616">
      <c r="A4616" s="155" t="n">
        <v>46102</v>
      </c>
      <c r="B4616" s="156" t="inlineStr">
        <is>
          <t>NS</t>
        </is>
      </c>
      <c r="C4616" s="156" t="inlineStr">
        <is>
          <t>HD-902</t>
        </is>
      </c>
      <c r="D4616" s="156" t="inlineStr">
        <is>
          <t>SRT 95C</t>
        </is>
      </c>
      <c r="E4616" s="156" t="inlineStr">
        <is>
          <t>Hauler</t>
        </is>
      </c>
      <c r="F4616" s="156" t="inlineStr"/>
      <c r="G4616" s="182" t="n">
        <v>0</v>
      </c>
      <c r="H4616" s="182" t="n">
        <v>0</v>
      </c>
      <c r="I4616" s="182" t="n">
        <v>0</v>
      </c>
      <c r="J4616" s="182" t="n">
        <v>0</v>
      </c>
      <c r="K4616" s="182" t="n">
        <v>12</v>
      </c>
      <c r="L4616" s="182" t="n">
        <v>12</v>
      </c>
      <c r="M4616" s="182" t="n">
        <v>0</v>
      </c>
      <c r="N4616" s="182" t="n">
        <v>0</v>
      </c>
      <c r="O4616" s="183" t="n">
        <v>0</v>
      </c>
      <c r="P4616" s="183" t="n">
        <v>0</v>
      </c>
      <c r="Q4616" s="184" t="n">
        <v>0</v>
      </c>
      <c r="R4616" s="184" t="n">
        <v>0</v>
      </c>
      <c r="S4616" s="183" t="n">
        <v>0</v>
      </c>
      <c r="T4616" s="183" t="n">
        <v>0</v>
      </c>
      <c r="U4616" s="182" t="n">
        <v>1.5</v>
      </c>
      <c r="V4616" s="182" t="n">
        <v>0</v>
      </c>
      <c r="W4616" s="182" t="n">
        <v>0</v>
      </c>
      <c r="X4616" s="182" t="n">
        <v>1</v>
      </c>
      <c r="Y4616" s="182" t="n">
        <v>0</v>
      </c>
      <c r="Z4616" s="182" t="n">
        <v>0</v>
      </c>
      <c r="AA4616" s="182" t="n">
        <v>0</v>
      </c>
      <c r="AB4616" s="182" t="n">
        <v>0</v>
      </c>
      <c r="AC4616" s="182" t="n">
        <v>0</v>
      </c>
      <c r="AD4616" s="182" t="n">
        <v>9.42</v>
      </c>
      <c r="AE4616" s="182" t="n">
        <v>0</v>
      </c>
      <c r="AF4616" s="182" t="n">
        <v>0</v>
      </c>
      <c r="AG4616" s="182" t="n">
        <v>0</v>
      </c>
      <c r="AH4616" s="182" t="n">
        <v>0</v>
      </c>
      <c r="AI4616" s="182" t="n">
        <v>0</v>
      </c>
      <c r="AJ4616" s="182" t="n">
        <v>0</v>
      </c>
      <c r="AK4616" s="182" t="n">
        <v>0</v>
      </c>
      <c r="AL4616" s="182" t="n">
        <v>0</v>
      </c>
      <c r="AM4616" s="182" t="n">
        <v>0.08</v>
      </c>
      <c r="AN4616" s="182" t="n">
        <v>0</v>
      </c>
    </row>
    <row r="4617">
      <c r="A4617" s="155" t="n">
        <v>46102</v>
      </c>
      <c r="B4617" s="156" t="inlineStr">
        <is>
          <t>NS</t>
        </is>
      </c>
      <c r="C4617" s="156" t="inlineStr">
        <is>
          <t>WL-025</t>
        </is>
      </c>
      <c r="D4617" s="156" t="inlineStr">
        <is>
          <t>SANY - Loader</t>
        </is>
      </c>
      <c r="E4617" s="156" t="inlineStr">
        <is>
          <t>Loader</t>
        </is>
      </c>
      <c r="F4617" s="156" t="inlineStr">
        <is>
          <t>Trimming Coal ke Jetty</t>
        </is>
      </c>
      <c r="G4617" s="182" t="n">
        <v>5.54</v>
      </c>
      <c r="H4617" s="182" t="n">
        <v>0</v>
      </c>
      <c r="I4617" s="182" t="n">
        <v>0</v>
      </c>
      <c r="J4617" s="182" t="n">
        <v>0</v>
      </c>
      <c r="K4617" s="182" t="n">
        <v>6.46</v>
      </c>
      <c r="L4617" s="182" t="n">
        <v>12</v>
      </c>
      <c r="M4617" s="182" t="n">
        <v>0</v>
      </c>
      <c r="N4617" s="182" t="n">
        <v>0</v>
      </c>
      <c r="O4617" s="183" t="n">
        <v>0</v>
      </c>
      <c r="P4617" s="183" t="n">
        <v>0</v>
      </c>
      <c r="Q4617" s="184" t="n">
        <v>0</v>
      </c>
      <c r="R4617" s="184" t="n">
        <v>0</v>
      </c>
      <c r="S4617" s="183" t="n">
        <v>0</v>
      </c>
      <c r="T4617" s="183" t="n">
        <v>0</v>
      </c>
      <c r="U4617" s="182" t="n">
        <v>0</v>
      </c>
      <c r="V4617" s="182" t="n">
        <v>0</v>
      </c>
      <c r="W4617" s="182" t="n">
        <v>0</v>
      </c>
      <c r="X4617" s="182" t="n">
        <v>1.03</v>
      </c>
      <c r="Y4617" s="182" t="n">
        <v>0</v>
      </c>
      <c r="Z4617" s="182" t="n">
        <v>0</v>
      </c>
      <c r="AA4617" s="182" t="n">
        <v>0</v>
      </c>
      <c r="AB4617" s="182" t="n">
        <v>0</v>
      </c>
      <c r="AC4617" s="182" t="n">
        <v>0</v>
      </c>
      <c r="AD4617" s="182" t="n">
        <v>0</v>
      </c>
      <c r="AE4617" s="182" t="n">
        <v>0</v>
      </c>
      <c r="AF4617" s="182" t="n">
        <v>0</v>
      </c>
      <c r="AG4617" s="182" t="n">
        <v>0</v>
      </c>
      <c r="AH4617" s="182" t="n">
        <v>0</v>
      </c>
      <c r="AI4617" s="182" t="n">
        <v>0</v>
      </c>
      <c r="AJ4617" s="182" t="n">
        <v>0</v>
      </c>
      <c r="AK4617" s="182" t="n">
        <v>5.35</v>
      </c>
      <c r="AL4617" s="182" t="n">
        <v>0</v>
      </c>
      <c r="AM4617" s="182" t="n">
        <v>0.08</v>
      </c>
      <c r="AN4617" s="182" t="n">
        <v>0</v>
      </c>
    </row>
    <row r="4618">
      <c r="A4618" s="155" t="n">
        <v>46102</v>
      </c>
      <c r="B4618" s="156" t="inlineStr">
        <is>
          <t>NS</t>
        </is>
      </c>
      <c r="C4618" s="156" t="inlineStr">
        <is>
          <t>WL-023</t>
        </is>
      </c>
      <c r="D4618" s="156" t="inlineStr">
        <is>
          <t>SANY - Loader</t>
        </is>
      </c>
      <c r="E4618" s="156" t="inlineStr">
        <is>
          <t>Loader</t>
        </is>
      </c>
      <c r="F4618" s="156" t="inlineStr">
        <is>
          <t>Trimming Coal di Jetty</t>
        </is>
      </c>
      <c r="G4618" s="182" t="n">
        <v>4.58</v>
      </c>
      <c r="H4618" s="182" t="n">
        <v>0</v>
      </c>
      <c r="I4618" s="182" t="n">
        <v>0</v>
      </c>
      <c r="J4618" s="182" t="n">
        <v>0</v>
      </c>
      <c r="K4618" s="182" t="n">
        <v>7.42</v>
      </c>
      <c r="L4618" s="182" t="n">
        <v>12</v>
      </c>
      <c r="M4618" s="182" t="n">
        <v>0</v>
      </c>
      <c r="N4618" s="182" t="n">
        <v>0</v>
      </c>
      <c r="O4618" s="183" t="n">
        <v>0</v>
      </c>
      <c r="P4618" s="183" t="n">
        <v>0</v>
      </c>
      <c r="Q4618" s="184" t="n">
        <v>0</v>
      </c>
      <c r="R4618" s="184" t="n">
        <v>0</v>
      </c>
      <c r="S4618" s="183" t="n">
        <v>0</v>
      </c>
      <c r="T4618" s="183" t="n">
        <v>0</v>
      </c>
      <c r="U4618" s="182" t="n">
        <v>0</v>
      </c>
      <c r="V4618" s="182" t="n">
        <v>0</v>
      </c>
      <c r="W4618" s="182" t="n">
        <v>0</v>
      </c>
      <c r="X4618" s="182" t="n">
        <v>0.98</v>
      </c>
      <c r="Y4618" s="182" t="n">
        <v>0</v>
      </c>
      <c r="Z4618" s="182" t="n">
        <v>0</v>
      </c>
      <c r="AA4618" s="182" t="n">
        <v>0</v>
      </c>
      <c r="AB4618" s="182" t="n">
        <v>0</v>
      </c>
      <c r="AC4618" s="182" t="n">
        <v>0</v>
      </c>
      <c r="AD4618" s="182" t="n">
        <v>0</v>
      </c>
      <c r="AE4618" s="182" t="n">
        <v>0</v>
      </c>
      <c r="AF4618" s="182" t="n">
        <v>0</v>
      </c>
      <c r="AG4618" s="182" t="n">
        <v>0</v>
      </c>
      <c r="AH4618" s="182" t="n">
        <v>0</v>
      </c>
      <c r="AI4618" s="182" t="n">
        <v>0</v>
      </c>
      <c r="AJ4618" s="182" t="n">
        <v>0</v>
      </c>
      <c r="AK4618" s="182" t="n">
        <v>6.37</v>
      </c>
      <c r="AL4618" s="182" t="n">
        <v>0</v>
      </c>
      <c r="AM4618" s="182" t="n">
        <v>0.08</v>
      </c>
      <c r="AN4618" s="182" t="n">
        <v>0</v>
      </c>
    </row>
    <row r="4619">
      <c r="A4619" s="155" t="n">
        <v>46102</v>
      </c>
      <c r="B4619" s="156" t="inlineStr">
        <is>
          <t>NS</t>
        </is>
      </c>
      <c r="C4619" s="156" t="inlineStr">
        <is>
          <t>WL-021</t>
        </is>
      </c>
      <c r="D4619" s="156" t="inlineStr">
        <is>
          <t>SANY - Loader</t>
        </is>
      </c>
      <c r="E4619" s="156" t="inlineStr">
        <is>
          <t>Loader</t>
        </is>
      </c>
      <c r="F4619" s="156" t="inlineStr"/>
      <c r="G4619" s="182" t="n">
        <v>0</v>
      </c>
      <c r="H4619" s="182" t="n">
        <v>0</v>
      </c>
      <c r="I4619" s="182" t="n">
        <v>12</v>
      </c>
      <c r="J4619" s="182" t="n">
        <v>12</v>
      </c>
      <c r="K4619" s="182" t="n">
        <v>0</v>
      </c>
      <c r="L4619" s="182" t="n">
        <v>12</v>
      </c>
      <c r="M4619" s="182" t="n">
        <v>0</v>
      </c>
      <c r="N4619" s="182" t="n">
        <v>0</v>
      </c>
      <c r="O4619" s="183" t="n">
        <v>0</v>
      </c>
      <c r="P4619" s="183" t="n">
        <v>0</v>
      </c>
      <c r="Q4619" s="184" t="n">
        <v>0</v>
      </c>
      <c r="R4619" s="184" t="n">
        <v>0</v>
      </c>
      <c r="S4619" s="183" t="n">
        <v>0</v>
      </c>
      <c r="T4619" s="183" t="n">
        <v>0</v>
      </c>
      <c r="U4619" s="182" t="n">
        <v>0</v>
      </c>
      <c r="V4619" s="182" t="n">
        <v>0</v>
      </c>
      <c r="W4619" s="182" t="n">
        <v>0</v>
      </c>
      <c r="X4619" s="182" t="n">
        <v>0</v>
      </c>
      <c r="Y4619" s="182" t="n">
        <v>0</v>
      </c>
      <c r="Z4619" s="182" t="n">
        <v>0</v>
      </c>
      <c r="AA4619" s="182" t="n">
        <v>0</v>
      </c>
      <c r="AB4619" s="182" t="n">
        <v>0</v>
      </c>
      <c r="AC4619" s="182" t="n">
        <v>0</v>
      </c>
      <c r="AD4619" s="182" t="n">
        <v>0</v>
      </c>
      <c r="AE4619" s="182" t="n">
        <v>0</v>
      </c>
      <c r="AF4619" s="182" t="n">
        <v>0</v>
      </c>
      <c r="AG4619" s="182" t="n">
        <v>0</v>
      </c>
      <c r="AH4619" s="182" t="n">
        <v>0</v>
      </c>
      <c r="AI4619" s="182" t="n">
        <v>0</v>
      </c>
      <c r="AJ4619" s="182" t="n">
        <v>0</v>
      </c>
      <c r="AK4619" s="182" t="n">
        <v>0</v>
      </c>
      <c r="AL4619" s="182" t="n">
        <v>0</v>
      </c>
      <c r="AM4619" s="182" t="n">
        <v>0</v>
      </c>
      <c r="AN4619" s="182" t="n">
        <v>0</v>
      </c>
    </row>
    <row r="4620">
      <c r="A4620" s="155" t="n">
        <v>46102</v>
      </c>
      <c r="B4620" s="156" t="inlineStr">
        <is>
          <t>NS</t>
        </is>
      </c>
      <c r="C4620" s="156" t="inlineStr">
        <is>
          <t>WL-022</t>
        </is>
      </c>
      <c r="D4620" s="156" t="inlineStr">
        <is>
          <t>SANY - Loader</t>
        </is>
      </c>
      <c r="E4620" s="156" t="inlineStr">
        <is>
          <t>Loader</t>
        </is>
      </c>
      <c r="F4620" s="156" t="inlineStr">
        <is>
          <t>Trimming Coal di Stock ROM</t>
        </is>
      </c>
      <c r="G4620" s="182" t="n">
        <v>10.91</v>
      </c>
      <c r="H4620" s="182" t="n">
        <v>0</v>
      </c>
      <c r="I4620" s="182" t="n">
        <v>0</v>
      </c>
      <c r="J4620" s="182" t="n">
        <v>0</v>
      </c>
      <c r="K4620" s="182" t="n">
        <v>1.09</v>
      </c>
      <c r="L4620" s="182" t="n">
        <v>12</v>
      </c>
      <c r="M4620" s="182" t="n">
        <v>0</v>
      </c>
      <c r="N4620" s="182" t="n">
        <v>0</v>
      </c>
      <c r="O4620" s="183" t="n">
        <v>0</v>
      </c>
      <c r="P4620" s="183" t="n">
        <v>0</v>
      </c>
      <c r="Q4620" s="184" t="n">
        <v>0</v>
      </c>
      <c r="R4620" s="184" t="n">
        <v>0</v>
      </c>
      <c r="S4620" s="183" t="n">
        <v>0</v>
      </c>
      <c r="T4620" s="183" t="n">
        <v>0</v>
      </c>
      <c r="U4620" s="182" t="n">
        <v>0</v>
      </c>
      <c r="V4620" s="182" t="n">
        <v>0</v>
      </c>
      <c r="W4620" s="182" t="n">
        <v>0</v>
      </c>
      <c r="X4620" s="182" t="n">
        <v>1</v>
      </c>
      <c r="Y4620" s="182" t="n">
        <v>0</v>
      </c>
      <c r="Z4620" s="182" t="n">
        <v>0</v>
      </c>
      <c r="AA4620" s="182" t="n">
        <v>0</v>
      </c>
      <c r="AB4620" s="182" t="n">
        <v>0</v>
      </c>
      <c r="AC4620" s="182" t="n">
        <v>0</v>
      </c>
      <c r="AD4620" s="182" t="n">
        <v>0</v>
      </c>
      <c r="AE4620" s="182" t="n">
        <v>0</v>
      </c>
      <c r="AF4620" s="182" t="n">
        <v>0</v>
      </c>
      <c r="AG4620" s="182" t="n">
        <v>0</v>
      </c>
      <c r="AH4620" s="182" t="n">
        <v>0</v>
      </c>
      <c r="AI4620" s="182" t="n">
        <v>0</v>
      </c>
      <c r="AJ4620" s="182" t="n">
        <v>0</v>
      </c>
      <c r="AK4620" s="182" t="n">
        <v>0</v>
      </c>
      <c r="AL4620" s="182" t="n">
        <v>0</v>
      </c>
      <c r="AM4620" s="182" t="n">
        <v>0.09</v>
      </c>
      <c r="AN4620" s="182" t="n">
        <v>0</v>
      </c>
    </row>
    <row r="4621">
      <c r="A4621" s="155" t="n">
        <v>46102</v>
      </c>
      <c r="B4621" s="156" t="inlineStr">
        <is>
          <t>NS</t>
        </is>
      </c>
      <c r="C4621" s="156" t="inlineStr">
        <is>
          <t>WL-024</t>
        </is>
      </c>
      <c r="D4621" s="156" t="inlineStr">
        <is>
          <t>SANY - Loader</t>
        </is>
      </c>
      <c r="E4621" s="156" t="inlineStr">
        <is>
          <t>Loader</t>
        </is>
      </c>
      <c r="F4621" s="156" t="inlineStr">
        <is>
          <t>Trimming Coal di Washing Plant</t>
        </is>
      </c>
      <c r="G4621" s="182" t="n">
        <v>11.44</v>
      </c>
      <c r="H4621" s="182" t="n">
        <v>0</v>
      </c>
      <c r="I4621" s="182" t="n">
        <v>0</v>
      </c>
      <c r="J4621" s="182" t="n">
        <v>0</v>
      </c>
      <c r="K4621" s="182" t="n">
        <v>0.5600000000000001</v>
      </c>
      <c r="L4621" s="182" t="n">
        <v>12</v>
      </c>
      <c r="M4621" s="182" t="n">
        <v>0</v>
      </c>
      <c r="N4621" s="182" t="n">
        <v>0</v>
      </c>
      <c r="O4621" s="183" t="n">
        <v>0</v>
      </c>
      <c r="P4621" s="183" t="n">
        <v>0</v>
      </c>
      <c r="Q4621" s="184" t="n">
        <v>0</v>
      </c>
      <c r="R4621" s="184" t="n">
        <v>0</v>
      </c>
      <c r="S4621" s="183" t="n">
        <v>0</v>
      </c>
      <c r="T4621" s="183" t="n">
        <v>0</v>
      </c>
      <c r="U4621" s="182" t="n">
        <v>0</v>
      </c>
      <c r="V4621" s="182" t="n">
        <v>0</v>
      </c>
      <c r="W4621" s="182" t="n">
        <v>0</v>
      </c>
      <c r="X4621" s="182" t="n">
        <v>0.5</v>
      </c>
      <c r="Y4621" s="182" t="n">
        <v>0</v>
      </c>
      <c r="Z4621" s="182" t="n">
        <v>0</v>
      </c>
      <c r="AA4621" s="182" t="n">
        <v>0</v>
      </c>
      <c r="AB4621" s="182" t="n">
        <v>0</v>
      </c>
      <c r="AC4621" s="182" t="n">
        <v>0</v>
      </c>
      <c r="AD4621" s="182" t="n">
        <v>0</v>
      </c>
      <c r="AE4621" s="182" t="n">
        <v>0</v>
      </c>
      <c r="AF4621" s="182" t="n">
        <v>0</v>
      </c>
      <c r="AG4621" s="182" t="n">
        <v>0</v>
      </c>
      <c r="AH4621" s="182" t="n">
        <v>0</v>
      </c>
      <c r="AI4621" s="182" t="n">
        <v>0</v>
      </c>
      <c r="AJ4621" s="182" t="n">
        <v>0</v>
      </c>
      <c r="AK4621" s="182" t="n">
        <v>0</v>
      </c>
      <c r="AL4621" s="182" t="n">
        <v>0</v>
      </c>
      <c r="AM4621" s="182" t="n">
        <v>0.06</v>
      </c>
      <c r="AN4621" s="182" t="n">
        <v>0</v>
      </c>
    </row>
    <row r="4622">
      <c r="A4622" s="155" t="n">
        <v>46103</v>
      </c>
      <c r="B4622" s="156" t="inlineStr">
        <is>
          <t>DS</t>
        </is>
      </c>
      <c r="C4622" s="156" t="inlineStr">
        <is>
          <t>DZ-034</t>
        </is>
      </c>
      <c r="D4622" s="156" t="inlineStr">
        <is>
          <t>D 68ESS-12EO</t>
        </is>
      </c>
      <c r="E4622" s="156" t="inlineStr">
        <is>
          <t>Bulldozer</t>
        </is>
      </c>
      <c r="F4622" s="156" t="inlineStr">
        <is>
          <t>Dozing Stock ROM Dirty</t>
        </is>
      </c>
      <c r="G4622" s="182" t="n">
        <v>6.9</v>
      </c>
      <c r="H4622" s="182" t="n">
        <v>0</v>
      </c>
      <c r="I4622" s="182" t="n">
        <v>0</v>
      </c>
      <c r="J4622" s="182" t="n">
        <v>0</v>
      </c>
      <c r="K4622" s="182" t="n">
        <v>5.1</v>
      </c>
      <c r="L4622" s="182" t="n">
        <v>12</v>
      </c>
      <c r="M4622" s="182" t="n">
        <v>0</v>
      </c>
      <c r="N4622" s="182" t="n">
        <v>0</v>
      </c>
      <c r="O4622" s="183" t="n">
        <v>0</v>
      </c>
      <c r="P4622" s="183" t="n">
        <v>0</v>
      </c>
      <c r="Q4622" s="184" t="n">
        <v>0</v>
      </c>
      <c r="R4622" s="184" t="n">
        <v>0</v>
      </c>
      <c r="S4622" s="183" t="n">
        <v>0</v>
      </c>
      <c r="T4622" s="183" t="n">
        <v>0</v>
      </c>
      <c r="U4622" s="182" t="n">
        <v>2.67</v>
      </c>
      <c r="V4622" s="182" t="n">
        <v>0</v>
      </c>
      <c r="W4622" s="182" t="n">
        <v>0</v>
      </c>
      <c r="X4622" s="182" t="n">
        <v>1</v>
      </c>
      <c r="Y4622" s="182" t="n">
        <v>0</v>
      </c>
      <c r="Z4622" s="182" t="n">
        <v>0</v>
      </c>
      <c r="AA4622" s="182" t="n">
        <v>0</v>
      </c>
      <c r="AB4622" s="182" t="n">
        <v>0</v>
      </c>
      <c r="AC4622" s="182" t="n">
        <v>0</v>
      </c>
      <c r="AD4622" s="182" t="n">
        <v>0</v>
      </c>
      <c r="AE4622" s="182" t="n">
        <v>0</v>
      </c>
      <c r="AF4622" s="182" t="n">
        <v>0</v>
      </c>
      <c r="AG4622" s="182" t="n">
        <v>0</v>
      </c>
      <c r="AH4622" s="182" t="n">
        <v>0</v>
      </c>
      <c r="AI4622" s="182" t="n">
        <v>0</v>
      </c>
      <c r="AJ4622" s="182" t="n">
        <v>0</v>
      </c>
      <c r="AK4622" s="182" t="n">
        <v>1.35</v>
      </c>
      <c r="AL4622" s="182" t="n">
        <v>0</v>
      </c>
      <c r="AM4622" s="182" t="n">
        <v>0.08</v>
      </c>
      <c r="AN4622" s="182" t="n">
        <v>0</v>
      </c>
    </row>
    <row r="4623">
      <c r="A4623" s="155" t="n">
        <v>46103</v>
      </c>
      <c r="B4623" s="156" t="inlineStr">
        <is>
          <t>DS</t>
        </is>
      </c>
      <c r="C4623" s="156" t="inlineStr">
        <is>
          <t>DZ-033</t>
        </is>
      </c>
      <c r="D4623" s="156" t="inlineStr">
        <is>
          <t>D 375A-6R</t>
        </is>
      </c>
      <c r="E4623" s="156" t="inlineStr">
        <is>
          <t>Bulldozer</t>
        </is>
      </c>
      <c r="F4623" s="156" t="inlineStr">
        <is>
          <t>Support Disposal</t>
        </is>
      </c>
      <c r="G4623" s="182" t="n">
        <v>7.11</v>
      </c>
      <c r="H4623" s="182" t="n">
        <v>0</v>
      </c>
      <c r="I4623" s="182" t="n">
        <v>3.03</v>
      </c>
      <c r="J4623" s="182" t="n">
        <v>3.03</v>
      </c>
      <c r="K4623" s="182" t="n">
        <v>1.86</v>
      </c>
      <c r="L4623" s="182" t="n">
        <v>12</v>
      </c>
      <c r="M4623" s="182" t="n">
        <v>0</v>
      </c>
      <c r="N4623" s="182" t="n">
        <v>0</v>
      </c>
      <c r="O4623" s="183" t="n">
        <v>0</v>
      </c>
      <c r="P4623" s="183" t="n">
        <v>0</v>
      </c>
      <c r="Q4623" s="184" t="n">
        <v>0</v>
      </c>
      <c r="R4623" s="184" t="n">
        <v>0</v>
      </c>
      <c r="S4623" s="183" t="n">
        <v>0</v>
      </c>
      <c r="T4623" s="183" t="n">
        <v>0</v>
      </c>
      <c r="U4623" s="182" t="n">
        <v>1.78</v>
      </c>
      <c r="V4623" s="182" t="n">
        <v>0</v>
      </c>
      <c r="W4623" s="182" t="n">
        <v>0</v>
      </c>
      <c r="X4623" s="182" t="n">
        <v>0</v>
      </c>
      <c r="Y4623" s="182" t="n">
        <v>0</v>
      </c>
      <c r="Z4623" s="182" t="n">
        <v>0</v>
      </c>
      <c r="AA4623" s="182" t="n">
        <v>0</v>
      </c>
      <c r="AB4623" s="182" t="n">
        <v>0</v>
      </c>
      <c r="AC4623" s="182" t="n">
        <v>0</v>
      </c>
      <c r="AD4623" s="182" t="n">
        <v>0</v>
      </c>
      <c r="AE4623" s="182" t="n">
        <v>0</v>
      </c>
      <c r="AF4623" s="182" t="n">
        <v>0</v>
      </c>
      <c r="AG4623" s="182" t="n">
        <v>0</v>
      </c>
      <c r="AH4623" s="182" t="n">
        <v>0</v>
      </c>
      <c r="AI4623" s="182" t="n">
        <v>0</v>
      </c>
      <c r="AJ4623" s="182" t="n">
        <v>0</v>
      </c>
      <c r="AK4623" s="182" t="n">
        <v>0</v>
      </c>
      <c r="AL4623" s="182" t="n">
        <v>0</v>
      </c>
      <c r="AM4623" s="182" t="n">
        <v>0.08</v>
      </c>
      <c r="AN4623" s="182" t="n">
        <v>0</v>
      </c>
    </row>
    <row r="4624">
      <c r="A4624" s="155" t="n">
        <v>46103</v>
      </c>
      <c r="B4624" s="156" t="inlineStr">
        <is>
          <t>DS</t>
        </is>
      </c>
      <c r="C4624" s="156" t="inlineStr">
        <is>
          <t>DZ-038</t>
        </is>
      </c>
      <c r="D4624" s="156" t="inlineStr">
        <is>
          <t>D 85 ESS-2</t>
        </is>
      </c>
      <c r="E4624" s="156" t="inlineStr">
        <is>
          <t>Bulldozer</t>
        </is>
      </c>
      <c r="F4624" s="156" t="inlineStr"/>
      <c r="G4624" s="182" t="n">
        <v>0</v>
      </c>
      <c r="H4624" s="182" t="n">
        <v>0</v>
      </c>
      <c r="I4624" s="182" t="n">
        <v>12</v>
      </c>
      <c r="J4624" s="182" t="n">
        <v>12</v>
      </c>
      <c r="K4624" s="182" t="n">
        <v>0</v>
      </c>
      <c r="L4624" s="182" t="n">
        <v>12</v>
      </c>
      <c r="M4624" s="182" t="n">
        <v>0</v>
      </c>
      <c r="N4624" s="182" t="n">
        <v>0</v>
      </c>
      <c r="O4624" s="183" t="n">
        <v>0</v>
      </c>
      <c r="P4624" s="183" t="n">
        <v>0</v>
      </c>
      <c r="Q4624" s="184" t="n">
        <v>0</v>
      </c>
      <c r="R4624" s="184" t="n">
        <v>0</v>
      </c>
      <c r="S4624" s="183" t="n">
        <v>0</v>
      </c>
      <c r="T4624" s="183" t="n">
        <v>0</v>
      </c>
      <c r="U4624" s="182" t="n">
        <v>0</v>
      </c>
      <c r="V4624" s="182" t="n">
        <v>0</v>
      </c>
      <c r="W4624" s="182" t="n">
        <v>0</v>
      </c>
      <c r="X4624" s="182" t="n">
        <v>0</v>
      </c>
      <c r="Y4624" s="182" t="n">
        <v>0</v>
      </c>
      <c r="Z4624" s="182" t="n">
        <v>0</v>
      </c>
      <c r="AA4624" s="182" t="n">
        <v>0</v>
      </c>
      <c r="AB4624" s="182" t="n">
        <v>0</v>
      </c>
      <c r="AC4624" s="182" t="n">
        <v>0</v>
      </c>
      <c r="AD4624" s="182" t="n">
        <v>0</v>
      </c>
      <c r="AE4624" s="182" t="n">
        <v>0</v>
      </c>
      <c r="AF4624" s="182" t="n">
        <v>0</v>
      </c>
      <c r="AG4624" s="182" t="n">
        <v>0</v>
      </c>
      <c r="AH4624" s="182" t="n">
        <v>0</v>
      </c>
      <c r="AI4624" s="182" t="n">
        <v>0</v>
      </c>
      <c r="AJ4624" s="182" t="n">
        <v>0</v>
      </c>
      <c r="AK4624" s="182" t="n">
        <v>0</v>
      </c>
      <c r="AL4624" s="182" t="n">
        <v>0</v>
      </c>
      <c r="AM4624" s="182" t="n">
        <v>0</v>
      </c>
      <c r="AN4624" s="182" t="n">
        <v>0</v>
      </c>
    </row>
    <row r="4625">
      <c r="A4625" s="155" t="n">
        <v>46103</v>
      </c>
      <c r="B4625" s="156" t="inlineStr">
        <is>
          <t>DS</t>
        </is>
      </c>
      <c r="C4625" s="156" t="inlineStr">
        <is>
          <t>DZ-039</t>
        </is>
      </c>
      <c r="D4625" s="156" t="inlineStr">
        <is>
          <t>D 85 ESS-2</t>
        </is>
      </c>
      <c r="E4625" s="156" t="inlineStr">
        <is>
          <t>Bulldozer</t>
        </is>
      </c>
      <c r="F4625" s="156" t="inlineStr">
        <is>
          <t>Support Disposal</t>
        </is>
      </c>
      <c r="G4625" s="182" t="n">
        <v>7.4</v>
      </c>
      <c r="H4625" s="182" t="n">
        <v>0</v>
      </c>
      <c r="I4625" s="182" t="n">
        <v>0.73</v>
      </c>
      <c r="J4625" s="182" t="n">
        <v>0.73</v>
      </c>
      <c r="K4625" s="182" t="n">
        <v>3.87</v>
      </c>
      <c r="L4625" s="182" t="n">
        <v>12</v>
      </c>
      <c r="M4625" s="182" t="n">
        <v>0</v>
      </c>
      <c r="N4625" s="182" t="n">
        <v>0</v>
      </c>
      <c r="O4625" s="183" t="n">
        <v>0</v>
      </c>
      <c r="P4625" s="183" t="n">
        <v>0</v>
      </c>
      <c r="Q4625" s="184" t="n">
        <v>0</v>
      </c>
      <c r="R4625" s="184" t="n">
        <v>0</v>
      </c>
      <c r="S4625" s="183" t="n">
        <v>0</v>
      </c>
      <c r="T4625" s="183" t="n">
        <v>0</v>
      </c>
      <c r="U4625" s="182" t="n">
        <v>2.48</v>
      </c>
      <c r="V4625" s="182" t="n">
        <v>0</v>
      </c>
      <c r="W4625" s="182" t="n">
        <v>0</v>
      </c>
      <c r="X4625" s="182" t="n">
        <v>0.93</v>
      </c>
      <c r="Y4625" s="182" t="n">
        <v>0</v>
      </c>
      <c r="Z4625" s="182" t="n">
        <v>0</v>
      </c>
      <c r="AA4625" s="182" t="n">
        <v>0</v>
      </c>
      <c r="AB4625" s="182" t="n">
        <v>0</v>
      </c>
      <c r="AC4625" s="182" t="n">
        <v>0</v>
      </c>
      <c r="AD4625" s="182" t="n">
        <v>0</v>
      </c>
      <c r="AE4625" s="182" t="n">
        <v>0</v>
      </c>
      <c r="AF4625" s="182" t="n">
        <v>0</v>
      </c>
      <c r="AG4625" s="182" t="n">
        <v>0</v>
      </c>
      <c r="AH4625" s="182" t="n">
        <v>0</v>
      </c>
      <c r="AI4625" s="182" t="n">
        <v>0</v>
      </c>
      <c r="AJ4625" s="182" t="n">
        <v>0</v>
      </c>
      <c r="AK4625" s="182" t="n">
        <v>0.38</v>
      </c>
      <c r="AL4625" s="182" t="n">
        <v>0</v>
      </c>
      <c r="AM4625" s="182" t="n">
        <v>0.07000000000000001</v>
      </c>
      <c r="AN4625" s="182" t="n">
        <v>0</v>
      </c>
    </row>
    <row r="4626">
      <c r="A4626" s="155" t="n">
        <v>46103</v>
      </c>
      <c r="B4626" s="156" t="inlineStr">
        <is>
          <t>DS</t>
        </is>
      </c>
      <c r="C4626" s="156" t="inlineStr">
        <is>
          <t>DZ-032</t>
        </is>
      </c>
      <c r="D4626" s="156" t="inlineStr">
        <is>
          <t>CAT</t>
        </is>
      </c>
      <c r="E4626" s="156" t="inlineStr">
        <is>
          <t>Bulldozer</t>
        </is>
      </c>
      <c r="F4626" s="156" t="inlineStr"/>
      <c r="G4626" s="182" t="n">
        <v>0</v>
      </c>
      <c r="H4626" s="182" t="n">
        <v>0</v>
      </c>
      <c r="I4626" s="182" t="n">
        <v>12</v>
      </c>
      <c r="J4626" s="182" t="n">
        <v>12</v>
      </c>
      <c r="K4626" s="182" t="n">
        <v>0</v>
      </c>
      <c r="L4626" s="182" t="n">
        <v>12</v>
      </c>
      <c r="M4626" s="182" t="n">
        <v>0</v>
      </c>
      <c r="N4626" s="182" t="n">
        <v>0</v>
      </c>
      <c r="O4626" s="183" t="n">
        <v>0</v>
      </c>
      <c r="P4626" s="183" t="n">
        <v>0</v>
      </c>
      <c r="Q4626" s="184" t="n">
        <v>0</v>
      </c>
      <c r="R4626" s="184" t="n">
        <v>0</v>
      </c>
      <c r="S4626" s="183" t="n">
        <v>0</v>
      </c>
      <c r="T4626" s="183" t="n">
        <v>0</v>
      </c>
      <c r="U4626" s="182" t="n">
        <v>0</v>
      </c>
      <c r="V4626" s="182" t="n">
        <v>0</v>
      </c>
      <c r="W4626" s="182" t="n">
        <v>0</v>
      </c>
      <c r="X4626" s="182" t="n">
        <v>0</v>
      </c>
      <c r="Y4626" s="182" t="n">
        <v>0</v>
      </c>
      <c r="Z4626" s="182" t="n">
        <v>0</v>
      </c>
      <c r="AA4626" s="182" t="n">
        <v>0</v>
      </c>
      <c r="AB4626" s="182" t="n">
        <v>0</v>
      </c>
      <c r="AC4626" s="182" t="n">
        <v>0</v>
      </c>
      <c r="AD4626" s="182" t="n">
        <v>0</v>
      </c>
      <c r="AE4626" s="182" t="n">
        <v>0</v>
      </c>
      <c r="AF4626" s="182" t="n">
        <v>0</v>
      </c>
      <c r="AG4626" s="182" t="n">
        <v>0</v>
      </c>
      <c r="AH4626" s="182" t="n">
        <v>0</v>
      </c>
      <c r="AI4626" s="182" t="n">
        <v>0</v>
      </c>
      <c r="AJ4626" s="182" t="n">
        <v>0</v>
      </c>
      <c r="AK4626" s="182" t="n">
        <v>0</v>
      </c>
      <c r="AL4626" s="182" t="n">
        <v>0</v>
      </c>
      <c r="AM4626" s="182" t="n">
        <v>0</v>
      </c>
      <c r="AN4626" s="182" t="n">
        <v>0</v>
      </c>
    </row>
    <row r="4627">
      <c r="A4627" s="155" t="n">
        <v>46103</v>
      </c>
      <c r="B4627" s="156" t="inlineStr">
        <is>
          <t>DS</t>
        </is>
      </c>
      <c r="C4627" s="156" t="inlineStr">
        <is>
          <t>DZ-031</t>
        </is>
      </c>
      <c r="D4627" s="156" t="inlineStr">
        <is>
          <t>CAT</t>
        </is>
      </c>
      <c r="E4627" s="156" t="inlineStr">
        <is>
          <t>Bulldozer</t>
        </is>
      </c>
      <c r="F4627" s="156" t="inlineStr">
        <is>
          <t>Support Front Loading</t>
        </is>
      </c>
      <c r="G4627" s="182" t="n">
        <v>9.470000000000001</v>
      </c>
      <c r="H4627" s="182" t="n">
        <v>1.45</v>
      </c>
      <c r="I4627" s="182" t="n">
        <v>0</v>
      </c>
      <c r="J4627" s="182" t="n">
        <v>1.45</v>
      </c>
      <c r="K4627" s="182" t="n">
        <v>1.08</v>
      </c>
      <c r="L4627" s="182" t="n">
        <v>12</v>
      </c>
      <c r="M4627" s="182" t="n">
        <v>0</v>
      </c>
      <c r="N4627" s="182" t="n">
        <v>0</v>
      </c>
      <c r="O4627" s="183" t="n">
        <v>0</v>
      </c>
      <c r="P4627" s="183" t="n">
        <v>0</v>
      </c>
      <c r="Q4627" s="184" t="n">
        <v>0</v>
      </c>
      <c r="R4627" s="184" t="n">
        <v>0</v>
      </c>
      <c r="S4627" s="183" t="n">
        <v>0</v>
      </c>
      <c r="T4627" s="183" t="n">
        <v>0</v>
      </c>
      <c r="U4627" s="182" t="n">
        <v>0.15</v>
      </c>
      <c r="V4627" s="182" t="n">
        <v>0</v>
      </c>
      <c r="W4627" s="182" t="n">
        <v>0</v>
      </c>
      <c r="X4627" s="182" t="n">
        <v>0.86</v>
      </c>
      <c r="Y4627" s="182" t="n">
        <v>0</v>
      </c>
      <c r="Z4627" s="182" t="n">
        <v>0</v>
      </c>
      <c r="AA4627" s="182" t="n">
        <v>0</v>
      </c>
      <c r="AB4627" s="182" t="n">
        <v>0</v>
      </c>
      <c r="AC4627" s="182" t="n">
        <v>0</v>
      </c>
      <c r="AD4627" s="182" t="n">
        <v>0</v>
      </c>
      <c r="AE4627" s="182" t="n">
        <v>0</v>
      </c>
      <c r="AF4627" s="182" t="n">
        <v>0</v>
      </c>
      <c r="AG4627" s="182" t="n">
        <v>0</v>
      </c>
      <c r="AH4627" s="182" t="n">
        <v>0</v>
      </c>
      <c r="AI4627" s="182" t="n">
        <v>0</v>
      </c>
      <c r="AJ4627" s="182" t="n">
        <v>0</v>
      </c>
      <c r="AK4627" s="182" t="n">
        <v>0</v>
      </c>
      <c r="AL4627" s="182" t="n">
        <v>0</v>
      </c>
      <c r="AM4627" s="182" t="n">
        <v>0.07000000000000001</v>
      </c>
      <c r="AN4627" s="182" t="n">
        <v>0</v>
      </c>
    </row>
    <row r="4628">
      <c r="A4628" s="155" t="n">
        <v>46103</v>
      </c>
      <c r="B4628" s="156" t="inlineStr">
        <is>
          <t>DS</t>
        </is>
      </c>
      <c r="C4628" s="156" t="inlineStr">
        <is>
          <t>DZ-037</t>
        </is>
      </c>
      <c r="D4628" s="156" t="inlineStr">
        <is>
          <t>D 85 ESS-2</t>
        </is>
      </c>
      <c r="E4628" s="156" t="inlineStr">
        <is>
          <t>Bulldozer</t>
        </is>
      </c>
      <c r="F4628" s="156" t="inlineStr"/>
      <c r="G4628" s="182" t="n">
        <v>0</v>
      </c>
      <c r="H4628" s="182" t="n">
        <v>0</v>
      </c>
      <c r="I4628" s="182" t="n">
        <v>12</v>
      </c>
      <c r="J4628" s="182" t="n">
        <v>12</v>
      </c>
      <c r="K4628" s="182" t="n">
        <v>0</v>
      </c>
      <c r="L4628" s="182" t="n">
        <v>12</v>
      </c>
      <c r="M4628" s="182" t="n">
        <v>0</v>
      </c>
      <c r="N4628" s="182" t="n">
        <v>0</v>
      </c>
      <c r="O4628" s="183" t="n">
        <v>0</v>
      </c>
      <c r="P4628" s="183" t="n">
        <v>0</v>
      </c>
      <c r="Q4628" s="184" t="n">
        <v>0</v>
      </c>
      <c r="R4628" s="184" t="n">
        <v>0</v>
      </c>
      <c r="S4628" s="183" t="n">
        <v>0</v>
      </c>
      <c r="T4628" s="183" t="n">
        <v>0</v>
      </c>
      <c r="U4628" s="182" t="n">
        <v>0</v>
      </c>
      <c r="V4628" s="182" t="n">
        <v>0</v>
      </c>
      <c r="W4628" s="182" t="n">
        <v>0</v>
      </c>
      <c r="X4628" s="182" t="n">
        <v>0</v>
      </c>
      <c r="Y4628" s="182" t="n">
        <v>0</v>
      </c>
      <c r="Z4628" s="182" t="n">
        <v>0</v>
      </c>
      <c r="AA4628" s="182" t="n">
        <v>0</v>
      </c>
      <c r="AB4628" s="182" t="n">
        <v>0</v>
      </c>
      <c r="AC4628" s="182" t="n">
        <v>0</v>
      </c>
      <c r="AD4628" s="182" t="n">
        <v>0</v>
      </c>
      <c r="AE4628" s="182" t="n">
        <v>0</v>
      </c>
      <c r="AF4628" s="182" t="n">
        <v>0</v>
      </c>
      <c r="AG4628" s="182" t="n">
        <v>0</v>
      </c>
      <c r="AH4628" s="182" t="n">
        <v>0</v>
      </c>
      <c r="AI4628" s="182" t="n">
        <v>0</v>
      </c>
      <c r="AJ4628" s="182" t="n">
        <v>0</v>
      </c>
      <c r="AK4628" s="182" t="n">
        <v>0</v>
      </c>
      <c r="AL4628" s="182" t="n">
        <v>0</v>
      </c>
      <c r="AM4628" s="182" t="n">
        <v>0</v>
      </c>
      <c r="AN4628" s="182" t="n">
        <v>0</v>
      </c>
    </row>
    <row r="4629">
      <c r="A4629" s="155" t="n">
        <v>46103</v>
      </c>
      <c r="B4629" s="156" t="inlineStr">
        <is>
          <t>DS</t>
        </is>
      </c>
      <c r="C4629" s="156" t="inlineStr">
        <is>
          <t>DZ-036</t>
        </is>
      </c>
      <c r="D4629" s="156" t="inlineStr">
        <is>
          <t>D 85 ESS-2</t>
        </is>
      </c>
      <c r="E4629" s="156" t="inlineStr">
        <is>
          <t>Bulldozer</t>
        </is>
      </c>
      <c r="F4629" s="156" t="inlineStr"/>
      <c r="G4629" s="182" t="n">
        <v>0</v>
      </c>
      <c r="H4629" s="182" t="n">
        <v>0</v>
      </c>
      <c r="I4629" s="182" t="n">
        <v>0</v>
      </c>
      <c r="J4629" s="182" t="n">
        <v>0</v>
      </c>
      <c r="K4629" s="182" t="n">
        <v>12</v>
      </c>
      <c r="L4629" s="182" t="n">
        <v>12</v>
      </c>
      <c r="M4629" s="182" t="n">
        <v>0</v>
      </c>
      <c r="N4629" s="182" t="n">
        <v>0</v>
      </c>
      <c r="O4629" s="183" t="n">
        <v>0</v>
      </c>
      <c r="P4629" s="183" t="n">
        <v>0</v>
      </c>
      <c r="Q4629" s="184" t="n">
        <v>0</v>
      </c>
      <c r="R4629" s="184" t="n">
        <v>0</v>
      </c>
      <c r="S4629" s="183" t="n">
        <v>0</v>
      </c>
      <c r="T4629" s="183" t="n">
        <v>0</v>
      </c>
      <c r="U4629" s="182" t="n">
        <v>0</v>
      </c>
      <c r="V4629" s="182" t="n">
        <v>0</v>
      </c>
      <c r="W4629" s="182" t="n">
        <v>0</v>
      </c>
      <c r="X4629" s="182" t="n">
        <v>1</v>
      </c>
      <c r="Y4629" s="182" t="n">
        <v>0</v>
      </c>
      <c r="Z4629" s="182" t="n">
        <v>0</v>
      </c>
      <c r="AA4629" s="182" t="n">
        <v>0</v>
      </c>
      <c r="AB4629" s="182" t="n">
        <v>0</v>
      </c>
      <c r="AC4629" s="182" t="n">
        <v>0</v>
      </c>
      <c r="AD4629" s="182" t="n">
        <v>0</v>
      </c>
      <c r="AE4629" s="182" t="n">
        <v>0</v>
      </c>
      <c r="AF4629" s="182" t="n">
        <v>0</v>
      </c>
      <c r="AG4629" s="182" t="n">
        <v>0</v>
      </c>
      <c r="AH4629" s="182" t="n">
        <v>0</v>
      </c>
      <c r="AI4629" s="182" t="n">
        <v>0</v>
      </c>
      <c r="AJ4629" s="182" t="n">
        <v>0</v>
      </c>
      <c r="AK4629" s="182" t="n">
        <v>10.92</v>
      </c>
      <c r="AL4629" s="182" t="n">
        <v>0</v>
      </c>
      <c r="AM4629" s="182" t="n">
        <v>0.08</v>
      </c>
      <c r="AN4629" s="182" t="n">
        <v>0</v>
      </c>
    </row>
    <row r="4630">
      <c r="A4630" s="155" t="n">
        <v>46103</v>
      </c>
      <c r="B4630" s="156" t="inlineStr">
        <is>
          <t>DS</t>
        </is>
      </c>
      <c r="C4630" s="156" t="inlineStr">
        <is>
          <t>DZ-035</t>
        </is>
      </c>
      <c r="D4630" s="156" t="inlineStr">
        <is>
          <t>D 85 ESS-2</t>
        </is>
      </c>
      <c r="E4630" s="156" t="inlineStr">
        <is>
          <t>Bulldozer</t>
        </is>
      </c>
      <c r="F4630" s="156" t="inlineStr">
        <is>
          <t>Support Disposal &amp; Front Loading</t>
        </is>
      </c>
      <c r="G4630" s="182" t="n">
        <v>9.949999999999999</v>
      </c>
      <c r="H4630" s="182" t="n">
        <v>0</v>
      </c>
      <c r="I4630" s="182" t="n">
        <v>1.67</v>
      </c>
      <c r="J4630" s="182" t="n">
        <v>1.67</v>
      </c>
      <c r="K4630" s="182" t="n">
        <v>0.38</v>
      </c>
      <c r="L4630" s="182" t="n">
        <v>12</v>
      </c>
      <c r="M4630" s="182" t="n">
        <v>0</v>
      </c>
      <c r="N4630" s="182" t="n">
        <v>0</v>
      </c>
      <c r="O4630" s="183" t="n">
        <v>0</v>
      </c>
      <c r="P4630" s="183" t="n">
        <v>0</v>
      </c>
      <c r="Q4630" s="184" t="n">
        <v>0</v>
      </c>
      <c r="R4630" s="184" t="n">
        <v>0</v>
      </c>
      <c r="S4630" s="183" t="n">
        <v>0</v>
      </c>
      <c r="T4630" s="183" t="n">
        <v>0</v>
      </c>
      <c r="U4630" s="182" t="n">
        <v>0</v>
      </c>
      <c r="V4630" s="182" t="n">
        <v>0</v>
      </c>
      <c r="W4630" s="182" t="n">
        <v>0</v>
      </c>
      <c r="X4630" s="182" t="n">
        <v>0</v>
      </c>
      <c r="Y4630" s="182" t="n">
        <v>0</v>
      </c>
      <c r="Z4630" s="182" t="n">
        <v>0</v>
      </c>
      <c r="AA4630" s="182" t="n">
        <v>0</v>
      </c>
      <c r="AB4630" s="182" t="n">
        <v>0</v>
      </c>
      <c r="AC4630" s="182" t="n">
        <v>0</v>
      </c>
      <c r="AD4630" s="182" t="n">
        <v>0</v>
      </c>
      <c r="AE4630" s="182" t="n">
        <v>0</v>
      </c>
      <c r="AF4630" s="182" t="n">
        <v>0</v>
      </c>
      <c r="AG4630" s="182" t="n">
        <v>0</v>
      </c>
      <c r="AH4630" s="182" t="n">
        <v>0</v>
      </c>
      <c r="AI4630" s="182" t="n">
        <v>0</v>
      </c>
      <c r="AJ4630" s="182" t="n">
        <v>0</v>
      </c>
      <c r="AK4630" s="182" t="n">
        <v>0</v>
      </c>
      <c r="AL4630" s="182" t="n">
        <v>0</v>
      </c>
      <c r="AM4630" s="182" t="n">
        <v>0.38</v>
      </c>
      <c r="AN4630" s="182" t="n">
        <v>-0</v>
      </c>
    </row>
    <row r="4631">
      <c r="A4631" s="155" t="n">
        <v>46103</v>
      </c>
      <c r="B4631" s="156" t="inlineStr">
        <is>
          <t>DS</t>
        </is>
      </c>
      <c r="C4631" s="156" t="inlineStr">
        <is>
          <t>CP-042</t>
        </is>
      </c>
      <c r="D4631" s="156" t="inlineStr">
        <is>
          <t>SANY - Compactor</t>
        </is>
      </c>
      <c r="E4631" s="156" t="inlineStr">
        <is>
          <t>Compactor</t>
        </is>
      </c>
      <c r="F4631" s="156" t="inlineStr"/>
      <c r="G4631" s="182" t="n">
        <v>0</v>
      </c>
      <c r="H4631" s="182" t="n">
        <v>0</v>
      </c>
      <c r="I4631" s="182" t="n">
        <v>0</v>
      </c>
      <c r="J4631" s="182" t="n">
        <v>0</v>
      </c>
      <c r="K4631" s="182" t="n">
        <v>12</v>
      </c>
      <c r="L4631" s="182" t="n">
        <v>12</v>
      </c>
      <c r="M4631" s="182" t="n">
        <v>0</v>
      </c>
      <c r="N4631" s="182" t="n">
        <v>0</v>
      </c>
      <c r="O4631" s="183" t="n">
        <v>0</v>
      </c>
      <c r="P4631" s="183" t="n">
        <v>0</v>
      </c>
      <c r="Q4631" s="184" t="n">
        <v>0</v>
      </c>
      <c r="R4631" s="184" t="n">
        <v>0</v>
      </c>
      <c r="S4631" s="183" t="n">
        <v>0</v>
      </c>
      <c r="T4631" s="183" t="n">
        <v>0</v>
      </c>
      <c r="U4631" s="182" t="n">
        <v>0</v>
      </c>
      <c r="V4631" s="182" t="n">
        <v>0</v>
      </c>
      <c r="W4631" s="182" t="n">
        <v>0</v>
      </c>
      <c r="X4631" s="182" t="n">
        <v>1</v>
      </c>
      <c r="Y4631" s="182" t="n">
        <v>0</v>
      </c>
      <c r="Z4631" s="182" t="n">
        <v>0</v>
      </c>
      <c r="AA4631" s="182" t="n">
        <v>0</v>
      </c>
      <c r="AB4631" s="182" t="n">
        <v>0</v>
      </c>
      <c r="AC4631" s="182" t="n">
        <v>0</v>
      </c>
      <c r="AD4631" s="182" t="n">
        <v>0</v>
      </c>
      <c r="AE4631" s="182" t="n">
        <v>0</v>
      </c>
      <c r="AF4631" s="182" t="n">
        <v>0</v>
      </c>
      <c r="AG4631" s="182" t="n">
        <v>0</v>
      </c>
      <c r="AH4631" s="182" t="n">
        <v>0</v>
      </c>
      <c r="AI4631" s="182" t="n">
        <v>0</v>
      </c>
      <c r="AJ4631" s="182" t="n">
        <v>0</v>
      </c>
      <c r="AK4631" s="182" t="n">
        <v>10.92</v>
      </c>
      <c r="AL4631" s="182" t="n">
        <v>0</v>
      </c>
      <c r="AM4631" s="182" t="n">
        <v>0.08</v>
      </c>
      <c r="AN4631" s="182" t="n">
        <v>0</v>
      </c>
    </row>
    <row r="4632">
      <c r="A4632" s="155" t="n">
        <v>46103</v>
      </c>
      <c r="B4632" s="156" t="inlineStr">
        <is>
          <t>DS</t>
        </is>
      </c>
      <c r="C4632" s="156" t="inlineStr">
        <is>
          <t>CP-041</t>
        </is>
      </c>
      <c r="D4632" s="156" t="inlineStr">
        <is>
          <t>SANY - Compactor</t>
        </is>
      </c>
      <c r="E4632" s="156" t="inlineStr">
        <is>
          <t>Compactor</t>
        </is>
      </c>
      <c r="F4632" s="156" t="inlineStr">
        <is>
          <t>General Road</t>
        </is>
      </c>
      <c r="G4632" s="182" t="n">
        <v>4.05</v>
      </c>
      <c r="H4632" s="182" t="n">
        <v>0</v>
      </c>
      <c r="I4632" s="182" t="n">
        <v>0</v>
      </c>
      <c r="J4632" s="182" t="n">
        <v>0</v>
      </c>
      <c r="K4632" s="182" t="n">
        <v>7.95</v>
      </c>
      <c r="L4632" s="182" t="n">
        <v>12</v>
      </c>
      <c r="M4632" s="182" t="n">
        <v>0</v>
      </c>
      <c r="N4632" s="182" t="n">
        <v>0</v>
      </c>
      <c r="O4632" s="183" t="n">
        <v>0</v>
      </c>
      <c r="P4632" s="183" t="n">
        <v>0</v>
      </c>
      <c r="Q4632" s="184" t="n">
        <v>0</v>
      </c>
      <c r="R4632" s="184" t="n">
        <v>0</v>
      </c>
      <c r="S4632" s="183" t="n">
        <v>0</v>
      </c>
      <c r="T4632" s="183" t="n">
        <v>0</v>
      </c>
      <c r="U4632" s="182" t="n">
        <v>2.72</v>
      </c>
      <c r="V4632" s="182" t="n">
        <v>0</v>
      </c>
      <c r="W4632" s="182" t="n">
        <v>0</v>
      </c>
      <c r="X4632" s="182" t="n">
        <v>1.02</v>
      </c>
      <c r="Y4632" s="182" t="n">
        <v>0</v>
      </c>
      <c r="Z4632" s="182" t="n">
        <v>0</v>
      </c>
      <c r="AA4632" s="182" t="n">
        <v>0</v>
      </c>
      <c r="AB4632" s="182" t="n">
        <v>0</v>
      </c>
      <c r="AC4632" s="182" t="n">
        <v>0</v>
      </c>
      <c r="AD4632" s="182" t="n">
        <v>0</v>
      </c>
      <c r="AE4632" s="182" t="n">
        <v>0</v>
      </c>
      <c r="AF4632" s="182" t="n">
        <v>0</v>
      </c>
      <c r="AG4632" s="182" t="n">
        <v>0</v>
      </c>
      <c r="AH4632" s="182" t="n">
        <v>0</v>
      </c>
      <c r="AI4632" s="182" t="n">
        <v>0</v>
      </c>
      <c r="AJ4632" s="182" t="n">
        <v>0</v>
      </c>
      <c r="AK4632" s="182" t="n">
        <v>4.13</v>
      </c>
      <c r="AL4632" s="182" t="n">
        <v>0</v>
      </c>
      <c r="AM4632" s="182" t="n">
        <v>0.08</v>
      </c>
      <c r="AN4632" s="182" t="n">
        <v>0</v>
      </c>
    </row>
    <row r="4633">
      <c r="A4633" s="155" t="n">
        <v>46103</v>
      </c>
      <c r="B4633" s="156" t="inlineStr">
        <is>
          <t>DS</t>
        </is>
      </c>
      <c r="C4633" s="156" t="inlineStr">
        <is>
          <t>HT-418</t>
        </is>
      </c>
      <c r="D4633" s="156" t="inlineStr">
        <is>
          <t>SY430</t>
        </is>
      </c>
      <c r="E4633" s="156" t="inlineStr">
        <is>
          <t>DT Hauling</t>
        </is>
      </c>
      <c r="F4633" s="156" t="inlineStr"/>
      <c r="G4633" s="182" t="n">
        <v>0</v>
      </c>
      <c r="H4633" s="182" t="n">
        <v>0</v>
      </c>
      <c r="I4633" s="182" t="n">
        <v>0</v>
      </c>
      <c r="J4633" s="182" t="n">
        <v>0</v>
      </c>
      <c r="K4633" s="182" t="n">
        <v>12</v>
      </c>
      <c r="L4633" s="182" t="n">
        <v>12</v>
      </c>
      <c r="M4633" s="182" t="n">
        <v>0</v>
      </c>
      <c r="N4633" s="182" t="n">
        <v>0</v>
      </c>
      <c r="O4633" s="183" t="n">
        <v>0</v>
      </c>
      <c r="P4633" s="183" t="n">
        <v>0</v>
      </c>
      <c r="Q4633" s="184" t="n">
        <v>0</v>
      </c>
      <c r="R4633" s="184" t="n">
        <v>0</v>
      </c>
      <c r="S4633" s="183" t="n">
        <v>0</v>
      </c>
      <c r="T4633" s="183" t="n">
        <v>0</v>
      </c>
      <c r="U4633" s="182" t="n">
        <v>0</v>
      </c>
      <c r="V4633" s="182" t="n">
        <v>0</v>
      </c>
      <c r="W4633" s="182" t="n">
        <v>0</v>
      </c>
      <c r="X4633" s="182" t="n">
        <v>1</v>
      </c>
      <c r="Y4633" s="182" t="n">
        <v>0</v>
      </c>
      <c r="Z4633" s="182" t="n">
        <v>0</v>
      </c>
      <c r="AA4633" s="182" t="n">
        <v>0</v>
      </c>
      <c r="AB4633" s="182" t="n">
        <v>0</v>
      </c>
      <c r="AC4633" s="182" t="n">
        <v>0</v>
      </c>
      <c r="AD4633" s="182" t="n">
        <v>0</v>
      </c>
      <c r="AE4633" s="182" t="n">
        <v>0</v>
      </c>
      <c r="AF4633" s="182" t="n">
        <v>0</v>
      </c>
      <c r="AG4633" s="182" t="n">
        <v>0</v>
      </c>
      <c r="AH4633" s="182" t="n">
        <v>0</v>
      </c>
      <c r="AI4633" s="182" t="n">
        <v>0</v>
      </c>
      <c r="AJ4633" s="182" t="n">
        <v>0</v>
      </c>
      <c r="AK4633" s="182" t="n">
        <v>10.92</v>
      </c>
      <c r="AL4633" s="182" t="n">
        <v>0</v>
      </c>
      <c r="AM4633" s="182" t="n">
        <v>0.08</v>
      </c>
      <c r="AN4633" s="182" t="n">
        <v>0</v>
      </c>
    </row>
    <row r="4634">
      <c r="A4634" s="155" t="n">
        <v>46103</v>
      </c>
      <c r="B4634" s="156" t="inlineStr">
        <is>
          <t>DS</t>
        </is>
      </c>
      <c r="C4634" s="156" t="inlineStr">
        <is>
          <t>HT-404</t>
        </is>
      </c>
      <c r="D4634" s="156" t="inlineStr">
        <is>
          <t>SY430</t>
        </is>
      </c>
      <c r="E4634" s="156" t="inlineStr">
        <is>
          <t>DT Hauling</t>
        </is>
      </c>
      <c r="F4634" s="156" t="inlineStr"/>
      <c r="G4634" s="182" t="n">
        <v>0</v>
      </c>
      <c r="H4634" s="182" t="n">
        <v>0</v>
      </c>
      <c r="I4634" s="182" t="n">
        <v>12</v>
      </c>
      <c r="J4634" s="182" t="n">
        <v>12</v>
      </c>
      <c r="K4634" s="182" t="n">
        <v>0</v>
      </c>
      <c r="L4634" s="182" t="n">
        <v>12</v>
      </c>
      <c r="M4634" s="182" t="n">
        <v>0</v>
      </c>
      <c r="N4634" s="182" t="n">
        <v>0</v>
      </c>
      <c r="O4634" s="183" t="n">
        <v>0</v>
      </c>
      <c r="P4634" s="183" t="n">
        <v>0</v>
      </c>
      <c r="Q4634" s="184" t="n">
        <v>0</v>
      </c>
      <c r="R4634" s="184" t="n">
        <v>0</v>
      </c>
      <c r="S4634" s="183" t="n">
        <v>0</v>
      </c>
      <c r="T4634" s="183" t="n">
        <v>0</v>
      </c>
      <c r="U4634" s="182" t="n">
        <v>0</v>
      </c>
      <c r="V4634" s="182" t="n">
        <v>0</v>
      </c>
      <c r="W4634" s="182" t="n">
        <v>0</v>
      </c>
      <c r="X4634" s="182" t="n">
        <v>0</v>
      </c>
      <c r="Y4634" s="182" t="n">
        <v>0</v>
      </c>
      <c r="Z4634" s="182" t="n">
        <v>0</v>
      </c>
      <c r="AA4634" s="182" t="n">
        <v>0</v>
      </c>
      <c r="AB4634" s="182" t="n">
        <v>0</v>
      </c>
      <c r="AC4634" s="182" t="n">
        <v>0</v>
      </c>
      <c r="AD4634" s="182" t="n">
        <v>0</v>
      </c>
      <c r="AE4634" s="182" t="n">
        <v>0</v>
      </c>
      <c r="AF4634" s="182" t="n">
        <v>0</v>
      </c>
      <c r="AG4634" s="182" t="n">
        <v>0</v>
      </c>
      <c r="AH4634" s="182" t="n">
        <v>0</v>
      </c>
      <c r="AI4634" s="182" t="n">
        <v>0</v>
      </c>
      <c r="AJ4634" s="182" t="n">
        <v>0</v>
      </c>
      <c r="AK4634" s="182" t="n">
        <v>0</v>
      </c>
      <c r="AL4634" s="182" t="n">
        <v>0</v>
      </c>
      <c r="AM4634" s="182" t="n">
        <v>0</v>
      </c>
      <c r="AN4634" s="182" t="n">
        <v>0</v>
      </c>
    </row>
    <row r="4635">
      <c r="A4635" s="155" t="n">
        <v>46103</v>
      </c>
      <c r="B4635" s="156" t="inlineStr">
        <is>
          <t>DS</t>
        </is>
      </c>
      <c r="C4635" s="156" t="inlineStr">
        <is>
          <t>HT-415</t>
        </is>
      </c>
      <c r="D4635" s="156" t="inlineStr">
        <is>
          <t>SY430</t>
        </is>
      </c>
      <c r="E4635" s="156" t="inlineStr">
        <is>
          <t>DT Hauling</t>
        </is>
      </c>
      <c r="F4635" s="156" t="inlineStr"/>
      <c r="G4635" s="182" t="n">
        <v>0</v>
      </c>
      <c r="H4635" s="182" t="n">
        <v>0</v>
      </c>
      <c r="I4635" s="182" t="n">
        <v>12</v>
      </c>
      <c r="J4635" s="182" t="n">
        <v>12</v>
      </c>
      <c r="K4635" s="182" t="n">
        <v>0</v>
      </c>
      <c r="L4635" s="182" t="n">
        <v>12</v>
      </c>
      <c r="M4635" s="182" t="n">
        <v>0</v>
      </c>
      <c r="N4635" s="182" t="n">
        <v>0</v>
      </c>
      <c r="O4635" s="183" t="n">
        <v>0</v>
      </c>
      <c r="P4635" s="183" t="n">
        <v>0</v>
      </c>
      <c r="Q4635" s="184" t="n">
        <v>0</v>
      </c>
      <c r="R4635" s="184" t="n">
        <v>0</v>
      </c>
      <c r="S4635" s="183" t="n">
        <v>0</v>
      </c>
      <c r="T4635" s="183" t="n">
        <v>0</v>
      </c>
      <c r="U4635" s="182" t="n">
        <v>0</v>
      </c>
      <c r="V4635" s="182" t="n">
        <v>0</v>
      </c>
      <c r="W4635" s="182" t="n">
        <v>0</v>
      </c>
      <c r="X4635" s="182" t="n">
        <v>0</v>
      </c>
      <c r="Y4635" s="182" t="n">
        <v>0</v>
      </c>
      <c r="Z4635" s="182" t="n">
        <v>0</v>
      </c>
      <c r="AA4635" s="182" t="n">
        <v>0</v>
      </c>
      <c r="AB4635" s="182" t="n">
        <v>0</v>
      </c>
      <c r="AC4635" s="182" t="n">
        <v>0</v>
      </c>
      <c r="AD4635" s="182" t="n">
        <v>0</v>
      </c>
      <c r="AE4635" s="182" t="n">
        <v>0</v>
      </c>
      <c r="AF4635" s="182" t="n">
        <v>0</v>
      </c>
      <c r="AG4635" s="182" t="n">
        <v>0</v>
      </c>
      <c r="AH4635" s="182" t="n">
        <v>0</v>
      </c>
      <c r="AI4635" s="182" t="n">
        <v>0</v>
      </c>
      <c r="AJ4635" s="182" t="n">
        <v>0</v>
      </c>
      <c r="AK4635" s="182" t="n">
        <v>0</v>
      </c>
      <c r="AL4635" s="182" t="n">
        <v>0</v>
      </c>
      <c r="AM4635" s="182" t="n">
        <v>0</v>
      </c>
      <c r="AN4635" s="182" t="n">
        <v>0</v>
      </c>
    </row>
    <row r="4636">
      <c r="A4636" s="155" t="n">
        <v>46103</v>
      </c>
      <c r="B4636" s="156" t="inlineStr">
        <is>
          <t>DS</t>
        </is>
      </c>
      <c r="C4636" s="156" t="inlineStr">
        <is>
          <t>HT-406</t>
        </is>
      </c>
      <c r="D4636" s="156" t="inlineStr">
        <is>
          <t>SY430</t>
        </is>
      </c>
      <c r="E4636" s="156" t="inlineStr">
        <is>
          <t>DT Hauling</t>
        </is>
      </c>
      <c r="F4636" s="156" t="inlineStr"/>
      <c r="G4636" s="182" t="n">
        <v>0</v>
      </c>
      <c r="H4636" s="182" t="n">
        <v>0</v>
      </c>
      <c r="I4636" s="182" t="n">
        <v>12</v>
      </c>
      <c r="J4636" s="182" t="n">
        <v>12</v>
      </c>
      <c r="K4636" s="182" t="n">
        <v>0</v>
      </c>
      <c r="L4636" s="182" t="n">
        <v>12</v>
      </c>
      <c r="M4636" s="182" t="n">
        <v>0</v>
      </c>
      <c r="N4636" s="182" t="n">
        <v>0</v>
      </c>
      <c r="O4636" s="183" t="n">
        <v>0</v>
      </c>
      <c r="P4636" s="183" t="n">
        <v>0</v>
      </c>
      <c r="Q4636" s="184" t="n">
        <v>0</v>
      </c>
      <c r="R4636" s="184" t="n">
        <v>0</v>
      </c>
      <c r="S4636" s="183" t="n">
        <v>0</v>
      </c>
      <c r="T4636" s="183" t="n">
        <v>0</v>
      </c>
      <c r="U4636" s="182" t="n">
        <v>0</v>
      </c>
      <c r="V4636" s="182" t="n">
        <v>0</v>
      </c>
      <c r="W4636" s="182" t="n">
        <v>0</v>
      </c>
      <c r="X4636" s="182" t="n">
        <v>0</v>
      </c>
      <c r="Y4636" s="182" t="n">
        <v>0</v>
      </c>
      <c r="Z4636" s="182" t="n">
        <v>0</v>
      </c>
      <c r="AA4636" s="182" t="n">
        <v>0</v>
      </c>
      <c r="AB4636" s="182" t="n">
        <v>0</v>
      </c>
      <c r="AC4636" s="182" t="n">
        <v>0</v>
      </c>
      <c r="AD4636" s="182" t="n">
        <v>0</v>
      </c>
      <c r="AE4636" s="182" t="n">
        <v>0</v>
      </c>
      <c r="AF4636" s="182" t="n">
        <v>0</v>
      </c>
      <c r="AG4636" s="182" t="n">
        <v>0</v>
      </c>
      <c r="AH4636" s="182" t="n">
        <v>0</v>
      </c>
      <c r="AI4636" s="182" t="n">
        <v>0</v>
      </c>
      <c r="AJ4636" s="182" t="n">
        <v>0</v>
      </c>
      <c r="AK4636" s="182" t="n">
        <v>0</v>
      </c>
      <c r="AL4636" s="182" t="n">
        <v>0</v>
      </c>
      <c r="AM4636" s="182" t="n">
        <v>0</v>
      </c>
      <c r="AN4636" s="182" t="n">
        <v>0</v>
      </c>
    </row>
    <row r="4637">
      <c r="A4637" s="155" t="n">
        <v>46103</v>
      </c>
      <c r="B4637" s="156" t="inlineStr">
        <is>
          <t>DS</t>
        </is>
      </c>
      <c r="C4637" s="156" t="inlineStr">
        <is>
          <t>HT-405</t>
        </is>
      </c>
      <c r="D4637" s="156" t="inlineStr">
        <is>
          <t>SY430</t>
        </is>
      </c>
      <c r="E4637" s="156" t="inlineStr">
        <is>
          <t>DT Hauling</t>
        </is>
      </c>
      <c r="F4637" s="156" t="inlineStr"/>
      <c r="G4637" s="182" t="n">
        <v>0</v>
      </c>
      <c r="H4637" s="182" t="n">
        <v>0</v>
      </c>
      <c r="I4637" s="182" t="n">
        <v>0</v>
      </c>
      <c r="J4637" s="182" t="n">
        <v>0</v>
      </c>
      <c r="K4637" s="182" t="n">
        <v>12</v>
      </c>
      <c r="L4637" s="182" t="n">
        <v>12</v>
      </c>
      <c r="M4637" s="182" t="n">
        <v>0</v>
      </c>
      <c r="N4637" s="182" t="n">
        <v>0</v>
      </c>
      <c r="O4637" s="183" t="n">
        <v>0</v>
      </c>
      <c r="P4637" s="183" t="n">
        <v>0</v>
      </c>
      <c r="Q4637" s="184" t="n">
        <v>0</v>
      </c>
      <c r="R4637" s="184" t="n">
        <v>0</v>
      </c>
      <c r="S4637" s="183" t="n">
        <v>0</v>
      </c>
      <c r="T4637" s="183" t="n">
        <v>0</v>
      </c>
      <c r="U4637" s="182" t="n">
        <v>0</v>
      </c>
      <c r="V4637" s="182" t="n">
        <v>0</v>
      </c>
      <c r="W4637" s="182" t="n">
        <v>0</v>
      </c>
      <c r="X4637" s="182" t="n">
        <v>1</v>
      </c>
      <c r="Y4637" s="182" t="n">
        <v>0</v>
      </c>
      <c r="Z4637" s="182" t="n">
        <v>0</v>
      </c>
      <c r="AA4637" s="182" t="n">
        <v>0</v>
      </c>
      <c r="AB4637" s="182" t="n">
        <v>0</v>
      </c>
      <c r="AC4637" s="182" t="n">
        <v>0</v>
      </c>
      <c r="AD4637" s="182" t="n">
        <v>0</v>
      </c>
      <c r="AE4637" s="182" t="n">
        <v>0</v>
      </c>
      <c r="AF4637" s="182" t="n">
        <v>0</v>
      </c>
      <c r="AG4637" s="182" t="n">
        <v>0</v>
      </c>
      <c r="AH4637" s="182" t="n">
        <v>0</v>
      </c>
      <c r="AI4637" s="182" t="n">
        <v>0</v>
      </c>
      <c r="AJ4637" s="182" t="n">
        <v>0</v>
      </c>
      <c r="AK4637" s="182" t="n">
        <v>10.92</v>
      </c>
      <c r="AL4637" s="182" t="n">
        <v>0</v>
      </c>
      <c r="AM4637" s="182" t="n">
        <v>0.08</v>
      </c>
      <c r="AN4637" s="182" t="n">
        <v>0</v>
      </c>
    </row>
    <row r="4638">
      <c r="A4638" s="155" t="n">
        <v>46103</v>
      </c>
      <c r="B4638" s="156" t="inlineStr">
        <is>
          <t>DS</t>
        </is>
      </c>
      <c r="C4638" s="156" t="inlineStr">
        <is>
          <t>HT-417</t>
        </is>
      </c>
      <c r="D4638" s="156" t="inlineStr">
        <is>
          <t>SY430</t>
        </is>
      </c>
      <c r="E4638" s="156" t="inlineStr">
        <is>
          <t>DT Hauling</t>
        </is>
      </c>
      <c r="F4638" s="156" t="inlineStr"/>
      <c r="G4638" s="182" t="n">
        <v>0</v>
      </c>
      <c r="H4638" s="182" t="n">
        <v>0</v>
      </c>
      <c r="I4638" s="182" t="n">
        <v>0</v>
      </c>
      <c r="J4638" s="182" t="n">
        <v>0</v>
      </c>
      <c r="K4638" s="182" t="n">
        <v>12</v>
      </c>
      <c r="L4638" s="182" t="n">
        <v>12</v>
      </c>
      <c r="M4638" s="182" t="n">
        <v>0</v>
      </c>
      <c r="N4638" s="182" t="n">
        <v>0</v>
      </c>
      <c r="O4638" s="183" t="n">
        <v>0</v>
      </c>
      <c r="P4638" s="183" t="n">
        <v>0</v>
      </c>
      <c r="Q4638" s="184" t="n">
        <v>0</v>
      </c>
      <c r="R4638" s="184" t="n">
        <v>0</v>
      </c>
      <c r="S4638" s="183" t="n">
        <v>0</v>
      </c>
      <c r="T4638" s="183" t="n">
        <v>0</v>
      </c>
      <c r="U4638" s="182" t="n">
        <v>0</v>
      </c>
      <c r="V4638" s="182" t="n">
        <v>0</v>
      </c>
      <c r="W4638" s="182" t="n">
        <v>0</v>
      </c>
      <c r="X4638" s="182" t="n">
        <v>1</v>
      </c>
      <c r="Y4638" s="182" t="n">
        <v>0</v>
      </c>
      <c r="Z4638" s="182" t="n">
        <v>0</v>
      </c>
      <c r="AA4638" s="182" t="n">
        <v>0</v>
      </c>
      <c r="AB4638" s="182" t="n">
        <v>0</v>
      </c>
      <c r="AC4638" s="182" t="n">
        <v>0</v>
      </c>
      <c r="AD4638" s="182" t="n">
        <v>0</v>
      </c>
      <c r="AE4638" s="182" t="n">
        <v>0</v>
      </c>
      <c r="AF4638" s="182" t="n">
        <v>0</v>
      </c>
      <c r="AG4638" s="182" t="n">
        <v>0</v>
      </c>
      <c r="AH4638" s="182" t="n">
        <v>0</v>
      </c>
      <c r="AI4638" s="182" t="n">
        <v>0</v>
      </c>
      <c r="AJ4638" s="182" t="n">
        <v>0</v>
      </c>
      <c r="AK4638" s="182" t="n">
        <v>10.92</v>
      </c>
      <c r="AL4638" s="182" t="n">
        <v>0</v>
      </c>
      <c r="AM4638" s="182" t="n">
        <v>0.08</v>
      </c>
      <c r="AN4638" s="182" t="n">
        <v>0</v>
      </c>
    </row>
    <row r="4639">
      <c r="A4639" s="155" t="n">
        <v>46103</v>
      </c>
      <c r="B4639" s="156" t="inlineStr">
        <is>
          <t>DS</t>
        </is>
      </c>
      <c r="C4639" s="156" t="inlineStr">
        <is>
          <t>HT-401</t>
        </is>
      </c>
      <c r="D4639" s="156" t="inlineStr">
        <is>
          <t>SY430</t>
        </is>
      </c>
      <c r="E4639" s="156" t="inlineStr">
        <is>
          <t>DT Hauling</t>
        </is>
      </c>
      <c r="F4639" s="156" t="inlineStr"/>
      <c r="G4639" s="182" t="n">
        <v>0</v>
      </c>
      <c r="H4639" s="182" t="n">
        <v>0</v>
      </c>
      <c r="I4639" s="182" t="n">
        <v>0</v>
      </c>
      <c r="J4639" s="182" t="n">
        <v>0</v>
      </c>
      <c r="K4639" s="182" t="n">
        <v>12</v>
      </c>
      <c r="L4639" s="182" t="n">
        <v>12</v>
      </c>
      <c r="M4639" s="182" t="n">
        <v>0</v>
      </c>
      <c r="N4639" s="182" t="n">
        <v>0</v>
      </c>
      <c r="O4639" s="183" t="n">
        <v>0</v>
      </c>
      <c r="P4639" s="183" t="n">
        <v>0</v>
      </c>
      <c r="Q4639" s="184" t="n">
        <v>0</v>
      </c>
      <c r="R4639" s="184" t="n">
        <v>0</v>
      </c>
      <c r="S4639" s="183" t="n">
        <v>0</v>
      </c>
      <c r="T4639" s="183" t="n">
        <v>0</v>
      </c>
      <c r="U4639" s="182" t="n">
        <v>0</v>
      </c>
      <c r="V4639" s="182" t="n">
        <v>0</v>
      </c>
      <c r="W4639" s="182" t="n">
        <v>0</v>
      </c>
      <c r="X4639" s="182" t="n">
        <v>1</v>
      </c>
      <c r="Y4639" s="182" t="n">
        <v>0</v>
      </c>
      <c r="Z4639" s="182" t="n">
        <v>0</v>
      </c>
      <c r="AA4639" s="182" t="n">
        <v>0</v>
      </c>
      <c r="AB4639" s="182" t="n">
        <v>0</v>
      </c>
      <c r="AC4639" s="182" t="n">
        <v>0</v>
      </c>
      <c r="AD4639" s="182" t="n">
        <v>0</v>
      </c>
      <c r="AE4639" s="182" t="n">
        <v>0</v>
      </c>
      <c r="AF4639" s="182" t="n">
        <v>0</v>
      </c>
      <c r="AG4639" s="182" t="n">
        <v>0</v>
      </c>
      <c r="AH4639" s="182" t="n">
        <v>0</v>
      </c>
      <c r="AI4639" s="182" t="n">
        <v>0</v>
      </c>
      <c r="AJ4639" s="182" t="n">
        <v>0</v>
      </c>
      <c r="AK4639" s="182" t="n">
        <v>10.92</v>
      </c>
      <c r="AL4639" s="182" t="n">
        <v>0</v>
      </c>
      <c r="AM4639" s="182" t="n">
        <v>0.08</v>
      </c>
      <c r="AN4639" s="182" t="n">
        <v>0</v>
      </c>
    </row>
    <row r="4640">
      <c r="A4640" s="155" t="n">
        <v>46103</v>
      </c>
      <c r="B4640" s="156" t="inlineStr">
        <is>
          <t>DS</t>
        </is>
      </c>
      <c r="C4640" s="156" t="inlineStr">
        <is>
          <t>HT-410</t>
        </is>
      </c>
      <c r="D4640" s="156" t="inlineStr">
        <is>
          <t>SY430</t>
        </is>
      </c>
      <c r="E4640" s="156" t="inlineStr">
        <is>
          <t>DT Hauling</t>
        </is>
      </c>
      <c r="F4640" s="156" t="inlineStr"/>
      <c r="G4640" s="182" t="n">
        <v>0</v>
      </c>
      <c r="H4640" s="182" t="n">
        <v>0</v>
      </c>
      <c r="I4640" s="182" t="n">
        <v>0</v>
      </c>
      <c r="J4640" s="182" t="n">
        <v>0</v>
      </c>
      <c r="K4640" s="182" t="n">
        <v>12</v>
      </c>
      <c r="L4640" s="182" t="n">
        <v>12</v>
      </c>
      <c r="M4640" s="182" t="n">
        <v>0</v>
      </c>
      <c r="N4640" s="182" t="n">
        <v>0</v>
      </c>
      <c r="O4640" s="183" t="n">
        <v>0</v>
      </c>
      <c r="P4640" s="183" t="n">
        <v>0</v>
      </c>
      <c r="Q4640" s="184" t="n">
        <v>0</v>
      </c>
      <c r="R4640" s="184" t="n">
        <v>0</v>
      </c>
      <c r="S4640" s="183" t="n">
        <v>0</v>
      </c>
      <c r="T4640" s="183" t="n">
        <v>0</v>
      </c>
      <c r="U4640" s="182" t="n">
        <v>0</v>
      </c>
      <c r="V4640" s="182" t="n">
        <v>0</v>
      </c>
      <c r="W4640" s="182" t="n">
        <v>0</v>
      </c>
      <c r="X4640" s="182" t="n">
        <v>1</v>
      </c>
      <c r="Y4640" s="182" t="n">
        <v>0</v>
      </c>
      <c r="Z4640" s="182" t="n">
        <v>0</v>
      </c>
      <c r="AA4640" s="182" t="n">
        <v>0</v>
      </c>
      <c r="AB4640" s="182" t="n">
        <v>0</v>
      </c>
      <c r="AC4640" s="182" t="n">
        <v>0</v>
      </c>
      <c r="AD4640" s="182" t="n">
        <v>0</v>
      </c>
      <c r="AE4640" s="182" t="n">
        <v>0</v>
      </c>
      <c r="AF4640" s="182" t="n">
        <v>0</v>
      </c>
      <c r="AG4640" s="182" t="n">
        <v>0</v>
      </c>
      <c r="AH4640" s="182" t="n">
        <v>0</v>
      </c>
      <c r="AI4640" s="182" t="n">
        <v>0</v>
      </c>
      <c r="AJ4640" s="182" t="n">
        <v>0</v>
      </c>
      <c r="AK4640" s="182" t="n">
        <v>10.92</v>
      </c>
      <c r="AL4640" s="182" t="n">
        <v>0</v>
      </c>
      <c r="AM4640" s="182" t="n">
        <v>0.08</v>
      </c>
      <c r="AN4640" s="182" t="n">
        <v>0</v>
      </c>
    </row>
    <row r="4641">
      <c r="A4641" s="155" t="n">
        <v>46103</v>
      </c>
      <c r="B4641" s="156" t="inlineStr">
        <is>
          <t>DS</t>
        </is>
      </c>
      <c r="C4641" s="156" t="inlineStr">
        <is>
          <t>HT-402</t>
        </is>
      </c>
      <c r="D4641" s="156" t="inlineStr">
        <is>
          <t>SY430</t>
        </is>
      </c>
      <c r="E4641" s="156" t="inlineStr">
        <is>
          <t>DT Hauling</t>
        </is>
      </c>
      <c r="F4641" s="156" t="inlineStr"/>
      <c r="G4641" s="182" t="n">
        <v>0</v>
      </c>
      <c r="H4641" s="182" t="n">
        <v>0</v>
      </c>
      <c r="I4641" s="182" t="n">
        <v>12</v>
      </c>
      <c r="J4641" s="182" t="n">
        <v>12</v>
      </c>
      <c r="K4641" s="182" t="n">
        <v>0</v>
      </c>
      <c r="L4641" s="182" t="n">
        <v>12</v>
      </c>
      <c r="M4641" s="182" t="n">
        <v>0</v>
      </c>
      <c r="N4641" s="182" t="n">
        <v>0</v>
      </c>
      <c r="O4641" s="183" t="n">
        <v>0</v>
      </c>
      <c r="P4641" s="183" t="n">
        <v>0</v>
      </c>
      <c r="Q4641" s="184" t="n">
        <v>0</v>
      </c>
      <c r="R4641" s="184" t="n">
        <v>0</v>
      </c>
      <c r="S4641" s="183" t="n">
        <v>0</v>
      </c>
      <c r="T4641" s="183" t="n">
        <v>0</v>
      </c>
      <c r="U4641" s="182" t="n">
        <v>0</v>
      </c>
      <c r="V4641" s="182" t="n">
        <v>0</v>
      </c>
      <c r="W4641" s="182" t="n">
        <v>0</v>
      </c>
      <c r="X4641" s="182" t="n">
        <v>0</v>
      </c>
      <c r="Y4641" s="182" t="n">
        <v>0</v>
      </c>
      <c r="Z4641" s="182" t="n">
        <v>0</v>
      </c>
      <c r="AA4641" s="182" t="n">
        <v>0</v>
      </c>
      <c r="AB4641" s="182" t="n">
        <v>0</v>
      </c>
      <c r="AC4641" s="182" t="n">
        <v>0</v>
      </c>
      <c r="AD4641" s="182" t="n">
        <v>0</v>
      </c>
      <c r="AE4641" s="182" t="n">
        <v>0</v>
      </c>
      <c r="AF4641" s="182" t="n">
        <v>0</v>
      </c>
      <c r="AG4641" s="182" t="n">
        <v>0</v>
      </c>
      <c r="AH4641" s="182" t="n">
        <v>0</v>
      </c>
      <c r="AI4641" s="182" t="n">
        <v>0</v>
      </c>
      <c r="AJ4641" s="182" t="n">
        <v>0</v>
      </c>
      <c r="AK4641" s="182" t="n">
        <v>0</v>
      </c>
      <c r="AL4641" s="182" t="n">
        <v>0</v>
      </c>
      <c r="AM4641" s="182" t="n">
        <v>0</v>
      </c>
      <c r="AN4641" s="182" t="n">
        <v>0</v>
      </c>
    </row>
    <row r="4642">
      <c r="A4642" s="155" t="n">
        <v>46103</v>
      </c>
      <c r="B4642" s="156" t="inlineStr">
        <is>
          <t>DS</t>
        </is>
      </c>
      <c r="C4642" s="156" t="inlineStr">
        <is>
          <t>HT-419</t>
        </is>
      </c>
      <c r="D4642" s="156" t="inlineStr">
        <is>
          <t>SY430</t>
        </is>
      </c>
      <c r="E4642" s="156" t="inlineStr">
        <is>
          <t>DT Hauling</t>
        </is>
      </c>
      <c r="F4642" s="156" t="inlineStr"/>
      <c r="G4642" s="182" t="n">
        <v>0</v>
      </c>
      <c r="H4642" s="182" t="n">
        <v>0</v>
      </c>
      <c r="I4642" s="182" t="n">
        <v>0</v>
      </c>
      <c r="J4642" s="182" t="n">
        <v>0</v>
      </c>
      <c r="K4642" s="182" t="n">
        <v>12</v>
      </c>
      <c r="L4642" s="182" t="n">
        <v>12</v>
      </c>
      <c r="M4642" s="182" t="n">
        <v>0</v>
      </c>
      <c r="N4642" s="182" t="n">
        <v>0</v>
      </c>
      <c r="O4642" s="183" t="n">
        <v>0</v>
      </c>
      <c r="P4642" s="183" t="n">
        <v>0</v>
      </c>
      <c r="Q4642" s="184" t="n">
        <v>0</v>
      </c>
      <c r="R4642" s="184" t="n">
        <v>0</v>
      </c>
      <c r="S4642" s="183" t="n">
        <v>0</v>
      </c>
      <c r="T4642" s="183" t="n">
        <v>0</v>
      </c>
      <c r="U4642" s="182" t="n">
        <v>0</v>
      </c>
      <c r="V4642" s="182" t="n">
        <v>0</v>
      </c>
      <c r="W4642" s="182" t="n">
        <v>0</v>
      </c>
      <c r="X4642" s="182" t="n">
        <v>1</v>
      </c>
      <c r="Y4642" s="182" t="n">
        <v>0</v>
      </c>
      <c r="Z4642" s="182" t="n">
        <v>0</v>
      </c>
      <c r="AA4642" s="182" t="n">
        <v>0</v>
      </c>
      <c r="AB4642" s="182" t="n">
        <v>0</v>
      </c>
      <c r="AC4642" s="182" t="n">
        <v>0</v>
      </c>
      <c r="AD4642" s="182" t="n">
        <v>0</v>
      </c>
      <c r="AE4642" s="182" t="n">
        <v>0</v>
      </c>
      <c r="AF4642" s="182" t="n">
        <v>0</v>
      </c>
      <c r="AG4642" s="182" t="n">
        <v>0</v>
      </c>
      <c r="AH4642" s="182" t="n">
        <v>0</v>
      </c>
      <c r="AI4642" s="182" t="n">
        <v>0</v>
      </c>
      <c r="AJ4642" s="182" t="n">
        <v>0</v>
      </c>
      <c r="AK4642" s="182" t="n">
        <v>10.92</v>
      </c>
      <c r="AL4642" s="182" t="n">
        <v>0</v>
      </c>
      <c r="AM4642" s="182" t="n">
        <v>0.08</v>
      </c>
      <c r="AN4642" s="182" t="n">
        <v>0</v>
      </c>
    </row>
    <row r="4643">
      <c r="A4643" s="155" t="n">
        <v>46103</v>
      </c>
      <c r="B4643" s="156" t="inlineStr">
        <is>
          <t>DS</t>
        </is>
      </c>
      <c r="C4643" s="156" t="inlineStr">
        <is>
          <t>HT-416</t>
        </is>
      </c>
      <c r="D4643" s="156" t="inlineStr">
        <is>
          <t>SY430</t>
        </is>
      </c>
      <c r="E4643" s="156" t="inlineStr">
        <is>
          <t>DT Hauling</t>
        </is>
      </c>
      <c r="F4643" s="156" t="inlineStr"/>
      <c r="G4643" s="182" t="n">
        <v>0</v>
      </c>
      <c r="H4643" s="182" t="n">
        <v>5.5</v>
      </c>
      <c r="I4643" s="182" t="n">
        <v>0</v>
      </c>
      <c r="J4643" s="182" t="n">
        <v>5.5</v>
      </c>
      <c r="K4643" s="182" t="n">
        <v>6.5</v>
      </c>
      <c r="L4643" s="182" t="n">
        <v>12</v>
      </c>
      <c r="M4643" s="182" t="n">
        <v>0</v>
      </c>
      <c r="N4643" s="182" t="n">
        <v>0</v>
      </c>
      <c r="O4643" s="183" t="n">
        <v>0</v>
      </c>
      <c r="P4643" s="183" t="n">
        <v>0</v>
      </c>
      <c r="Q4643" s="184" t="n">
        <v>0</v>
      </c>
      <c r="R4643" s="184" t="n">
        <v>0</v>
      </c>
      <c r="S4643" s="183" t="n">
        <v>0</v>
      </c>
      <c r="T4643" s="183" t="n">
        <v>0</v>
      </c>
      <c r="U4643" s="182" t="n">
        <v>0</v>
      </c>
      <c r="V4643" s="182" t="n">
        <v>0</v>
      </c>
      <c r="W4643" s="182" t="n">
        <v>0</v>
      </c>
      <c r="X4643" s="182" t="n">
        <v>0</v>
      </c>
      <c r="Y4643" s="182" t="n">
        <v>0</v>
      </c>
      <c r="Z4643" s="182" t="n">
        <v>0</v>
      </c>
      <c r="AA4643" s="182" t="n">
        <v>0</v>
      </c>
      <c r="AB4643" s="182" t="n">
        <v>0</v>
      </c>
      <c r="AC4643" s="182" t="n">
        <v>0</v>
      </c>
      <c r="AD4643" s="182" t="n">
        <v>0</v>
      </c>
      <c r="AE4643" s="182" t="n">
        <v>0</v>
      </c>
      <c r="AF4643" s="182" t="n">
        <v>0</v>
      </c>
      <c r="AG4643" s="182" t="n">
        <v>0</v>
      </c>
      <c r="AH4643" s="182" t="n">
        <v>0</v>
      </c>
      <c r="AI4643" s="182" t="n">
        <v>0</v>
      </c>
      <c r="AJ4643" s="182" t="n">
        <v>0</v>
      </c>
      <c r="AK4643" s="182" t="n">
        <v>6.42</v>
      </c>
      <c r="AL4643" s="182" t="n">
        <v>0</v>
      </c>
      <c r="AM4643" s="182" t="n">
        <v>0.08</v>
      </c>
      <c r="AN4643" s="182" t="n">
        <v>0</v>
      </c>
    </row>
    <row r="4644">
      <c r="A4644" s="155" t="n">
        <v>46103</v>
      </c>
      <c r="B4644" s="156" t="inlineStr">
        <is>
          <t>DS</t>
        </is>
      </c>
      <c r="C4644" s="156" t="inlineStr">
        <is>
          <t>HT-420</t>
        </is>
      </c>
      <c r="D4644" s="156" t="inlineStr">
        <is>
          <t>SY430</t>
        </is>
      </c>
      <c r="E4644" s="156" t="inlineStr">
        <is>
          <t>DT Hauling</t>
        </is>
      </c>
      <c r="F4644" s="156" t="inlineStr"/>
      <c r="G4644" s="182" t="n">
        <v>0</v>
      </c>
      <c r="H4644" s="182" t="n">
        <v>0</v>
      </c>
      <c r="I4644" s="182" t="n">
        <v>0</v>
      </c>
      <c r="J4644" s="182" t="n">
        <v>0</v>
      </c>
      <c r="K4644" s="182" t="n">
        <v>12</v>
      </c>
      <c r="L4644" s="182" t="n">
        <v>12</v>
      </c>
      <c r="M4644" s="182" t="n">
        <v>0</v>
      </c>
      <c r="N4644" s="182" t="n">
        <v>0</v>
      </c>
      <c r="O4644" s="183" t="n">
        <v>0</v>
      </c>
      <c r="P4644" s="183" t="n">
        <v>0</v>
      </c>
      <c r="Q4644" s="184" t="n">
        <v>0</v>
      </c>
      <c r="R4644" s="184" t="n">
        <v>0</v>
      </c>
      <c r="S4644" s="183" t="n">
        <v>0</v>
      </c>
      <c r="T4644" s="183" t="n">
        <v>0</v>
      </c>
      <c r="U4644" s="182" t="n">
        <v>0</v>
      </c>
      <c r="V4644" s="182" t="n">
        <v>0</v>
      </c>
      <c r="W4644" s="182" t="n">
        <v>0</v>
      </c>
      <c r="X4644" s="182" t="n">
        <v>1</v>
      </c>
      <c r="Y4644" s="182" t="n">
        <v>0</v>
      </c>
      <c r="Z4644" s="182" t="n">
        <v>0</v>
      </c>
      <c r="AA4644" s="182" t="n">
        <v>0</v>
      </c>
      <c r="AB4644" s="182" t="n">
        <v>0</v>
      </c>
      <c r="AC4644" s="182" t="n">
        <v>0</v>
      </c>
      <c r="AD4644" s="182" t="n">
        <v>0</v>
      </c>
      <c r="AE4644" s="182" t="n">
        <v>0</v>
      </c>
      <c r="AF4644" s="182" t="n">
        <v>0</v>
      </c>
      <c r="AG4644" s="182" t="n">
        <v>0</v>
      </c>
      <c r="AH4644" s="182" t="n">
        <v>0</v>
      </c>
      <c r="AI4644" s="182" t="n">
        <v>0</v>
      </c>
      <c r="AJ4644" s="182" t="n">
        <v>0</v>
      </c>
      <c r="AK4644" s="182" t="n">
        <v>10.92</v>
      </c>
      <c r="AL4644" s="182" t="n">
        <v>0</v>
      </c>
      <c r="AM4644" s="182" t="n">
        <v>0.08</v>
      </c>
      <c r="AN4644" s="182" t="n">
        <v>0</v>
      </c>
    </row>
    <row r="4645">
      <c r="A4645" s="155" t="n">
        <v>46103</v>
      </c>
      <c r="B4645" s="156" t="inlineStr">
        <is>
          <t>DS</t>
        </is>
      </c>
      <c r="C4645" s="156" t="inlineStr">
        <is>
          <t>HT-403</t>
        </is>
      </c>
      <c r="D4645" s="156" t="inlineStr">
        <is>
          <t>SY430</t>
        </is>
      </c>
      <c r="E4645" s="156" t="inlineStr">
        <is>
          <t>DT Hauling</t>
        </is>
      </c>
      <c r="F4645" s="156" t="inlineStr"/>
      <c r="G4645" s="182" t="n">
        <v>0</v>
      </c>
      <c r="H4645" s="182" t="n">
        <v>0</v>
      </c>
      <c r="I4645" s="182" t="n">
        <v>0</v>
      </c>
      <c r="J4645" s="182" t="n">
        <v>0</v>
      </c>
      <c r="K4645" s="182" t="n">
        <v>12</v>
      </c>
      <c r="L4645" s="182" t="n">
        <v>12</v>
      </c>
      <c r="M4645" s="182" t="n">
        <v>0</v>
      </c>
      <c r="N4645" s="182" t="n">
        <v>0</v>
      </c>
      <c r="O4645" s="183" t="n">
        <v>0</v>
      </c>
      <c r="P4645" s="183" t="n">
        <v>0</v>
      </c>
      <c r="Q4645" s="184" t="n">
        <v>0</v>
      </c>
      <c r="R4645" s="184" t="n">
        <v>0</v>
      </c>
      <c r="S4645" s="183" t="n">
        <v>0</v>
      </c>
      <c r="T4645" s="183" t="n">
        <v>0</v>
      </c>
      <c r="U4645" s="182" t="n">
        <v>0</v>
      </c>
      <c r="V4645" s="182" t="n">
        <v>0</v>
      </c>
      <c r="W4645" s="182" t="n">
        <v>0</v>
      </c>
      <c r="X4645" s="182" t="n">
        <v>1</v>
      </c>
      <c r="Y4645" s="182" t="n">
        <v>0</v>
      </c>
      <c r="Z4645" s="182" t="n">
        <v>0</v>
      </c>
      <c r="AA4645" s="182" t="n">
        <v>0</v>
      </c>
      <c r="AB4645" s="182" t="n">
        <v>0</v>
      </c>
      <c r="AC4645" s="182" t="n">
        <v>0</v>
      </c>
      <c r="AD4645" s="182" t="n">
        <v>0</v>
      </c>
      <c r="AE4645" s="182" t="n">
        <v>0</v>
      </c>
      <c r="AF4645" s="182" t="n">
        <v>0</v>
      </c>
      <c r="AG4645" s="182" t="n">
        <v>0</v>
      </c>
      <c r="AH4645" s="182" t="n">
        <v>0</v>
      </c>
      <c r="AI4645" s="182" t="n">
        <v>0</v>
      </c>
      <c r="AJ4645" s="182" t="n">
        <v>0</v>
      </c>
      <c r="AK4645" s="182" t="n">
        <v>10.92</v>
      </c>
      <c r="AL4645" s="182" t="n">
        <v>0</v>
      </c>
      <c r="AM4645" s="182" t="n">
        <v>0.08</v>
      </c>
      <c r="AN4645" s="182" t="n">
        <v>0</v>
      </c>
    </row>
    <row r="4646">
      <c r="A4646" s="155" t="n">
        <v>46103</v>
      </c>
      <c r="B4646" s="156" t="inlineStr">
        <is>
          <t>DS</t>
        </is>
      </c>
      <c r="C4646" s="156" t="inlineStr">
        <is>
          <t>HT-408</t>
        </is>
      </c>
      <c r="D4646" s="156" t="inlineStr">
        <is>
          <t>SY430</t>
        </is>
      </c>
      <c r="E4646" s="156" t="inlineStr">
        <is>
          <t>DT Hauling</t>
        </is>
      </c>
      <c r="F4646" s="156" t="inlineStr"/>
      <c r="G4646" s="182" t="n">
        <v>0</v>
      </c>
      <c r="H4646" s="182" t="n">
        <v>0</v>
      </c>
      <c r="I4646" s="182" t="n">
        <v>0</v>
      </c>
      <c r="J4646" s="182" t="n">
        <v>0</v>
      </c>
      <c r="K4646" s="182" t="n">
        <v>12</v>
      </c>
      <c r="L4646" s="182" t="n">
        <v>12</v>
      </c>
      <c r="M4646" s="182" t="n">
        <v>0</v>
      </c>
      <c r="N4646" s="182" t="n">
        <v>0</v>
      </c>
      <c r="O4646" s="183" t="n">
        <v>0</v>
      </c>
      <c r="P4646" s="183" t="n">
        <v>0</v>
      </c>
      <c r="Q4646" s="184" t="n">
        <v>0</v>
      </c>
      <c r="R4646" s="184" t="n">
        <v>0</v>
      </c>
      <c r="S4646" s="183" t="n">
        <v>0</v>
      </c>
      <c r="T4646" s="183" t="n">
        <v>0</v>
      </c>
      <c r="U4646" s="182" t="n">
        <v>0</v>
      </c>
      <c r="V4646" s="182" t="n">
        <v>0</v>
      </c>
      <c r="W4646" s="182" t="n">
        <v>0</v>
      </c>
      <c r="X4646" s="182" t="n">
        <v>1</v>
      </c>
      <c r="Y4646" s="182" t="n">
        <v>0</v>
      </c>
      <c r="Z4646" s="182" t="n">
        <v>0</v>
      </c>
      <c r="AA4646" s="182" t="n">
        <v>0</v>
      </c>
      <c r="AB4646" s="182" t="n">
        <v>0</v>
      </c>
      <c r="AC4646" s="182" t="n">
        <v>0</v>
      </c>
      <c r="AD4646" s="182" t="n">
        <v>0</v>
      </c>
      <c r="AE4646" s="182" t="n">
        <v>0</v>
      </c>
      <c r="AF4646" s="182" t="n">
        <v>0</v>
      </c>
      <c r="AG4646" s="182" t="n">
        <v>0</v>
      </c>
      <c r="AH4646" s="182" t="n">
        <v>0</v>
      </c>
      <c r="AI4646" s="182" t="n">
        <v>0</v>
      </c>
      <c r="AJ4646" s="182" t="n">
        <v>0</v>
      </c>
      <c r="AK4646" s="182" t="n">
        <v>10.92</v>
      </c>
      <c r="AL4646" s="182" t="n">
        <v>0</v>
      </c>
      <c r="AM4646" s="182" t="n">
        <v>0.08</v>
      </c>
      <c r="AN4646" s="182" t="n">
        <v>0</v>
      </c>
    </row>
    <row r="4647">
      <c r="A4647" s="155" t="n">
        <v>46103</v>
      </c>
      <c r="B4647" s="156" t="inlineStr">
        <is>
          <t>DS</t>
        </is>
      </c>
      <c r="C4647" s="156" t="inlineStr">
        <is>
          <t>HT-412</t>
        </is>
      </c>
      <c r="D4647" s="156" t="inlineStr">
        <is>
          <t>SY430</t>
        </is>
      </c>
      <c r="E4647" s="156" t="inlineStr">
        <is>
          <t>DT Hauling</t>
        </is>
      </c>
      <c r="F4647" s="156" t="inlineStr"/>
      <c r="G4647" s="182" t="n">
        <v>0</v>
      </c>
      <c r="H4647" s="182" t="n">
        <v>0</v>
      </c>
      <c r="I4647" s="182" t="n">
        <v>0</v>
      </c>
      <c r="J4647" s="182" t="n">
        <v>0</v>
      </c>
      <c r="K4647" s="182" t="n">
        <v>12</v>
      </c>
      <c r="L4647" s="182" t="n">
        <v>12</v>
      </c>
      <c r="M4647" s="182" t="n">
        <v>0</v>
      </c>
      <c r="N4647" s="182" t="n">
        <v>0</v>
      </c>
      <c r="O4647" s="183" t="n">
        <v>0</v>
      </c>
      <c r="P4647" s="183" t="n">
        <v>0</v>
      </c>
      <c r="Q4647" s="184" t="n">
        <v>0</v>
      </c>
      <c r="R4647" s="184" t="n">
        <v>0</v>
      </c>
      <c r="S4647" s="183" t="n">
        <v>0</v>
      </c>
      <c r="T4647" s="183" t="n">
        <v>0</v>
      </c>
      <c r="U4647" s="182" t="n">
        <v>0</v>
      </c>
      <c r="V4647" s="182" t="n">
        <v>0</v>
      </c>
      <c r="W4647" s="182" t="n">
        <v>0</v>
      </c>
      <c r="X4647" s="182" t="n">
        <v>1</v>
      </c>
      <c r="Y4647" s="182" t="n">
        <v>0</v>
      </c>
      <c r="Z4647" s="182" t="n">
        <v>0</v>
      </c>
      <c r="AA4647" s="182" t="n">
        <v>0</v>
      </c>
      <c r="AB4647" s="182" t="n">
        <v>0</v>
      </c>
      <c r="AC4647" s="182" t="n">
        <v>0</v>
      </c>
      <c r="AD4647" s="182" t="n">
        <v>0</v>
      </c>
      <c r="AE4647" s="182" t="n">
        <v>0</v>
      </c>
      <c r="AF4647" s="182" t="n">
        <v>0</v>
      </c>
      <c r="AG4647" s="182" t="n">
        <v>0</v>
      </c>
      <c r="AH4647" s="182" t="n">
        <v>0</v>
      </c>
      <c r="AI4647" s="182" t="n">
        <v>0</v>
      </c>
      <c r="AJ4647" s="182" t="n">
        <v>0</v>
      </c>
      <c r="AK4647" s="182" t="n">
        <v>10.92</v>
      </c>
      <c r="AL4647" s="182" t="n">
        <v>0</v>
      </c>
      <c r="AM4647" s="182" t="n">
        <v>0.08</v>
      </c>
      <c r="AN4647" s="182" t="n">
        <v>0</v>
      </c>
    </row>
    <row r="4648">
      <c r="A4648" s="155" t="n">
        <v>46103</v>
      </c>
      <c r="B4648" s="156" t="inlineStr">
        <is>
          <t>DS</t>
        </is>
      </c>
      <c r="C4648" s="156" t="inlineStr">
        <is>
          <t>HT-413</t>
        </is>
      </c>
      <c r="D4648" s="156" t="inlineStr">
        <is>
          <t>SY430</t>
        </is>
      </c>
      <c r="E4648" s="156" t="inlineStr">
        <is>
          <t>DT Hauling</t>
        </is>
      </c>
      <c r="F4648" s="156" t="inlineStr"/>
      <c r="G4648" s="182" t="n">
        <v>0</v>
      </c>
      <c r="H4648" s="182" t="n">
        <v>0</v>
      </c>
      <c r="I4648" s="182" t="n">
        <v>12</v>
      </c>
      <c r="J4648" s="182" t="n">
        <v>12</v>
      </c>
      <c r="K4648" s="182" t="n">
        <v>0</v>
      </c>
      <c r="L4648" s="182" t="n">
        <v>12</v>
      </c>
      <c r="M4648" s="182" t="n">
        <v>0</v>
      </c>
      <c r="N4648" s="182" t="n">
        <v>0</v>
      </c>
      <c r="O4648" s="183" t="n">
        <v>0</v>
      </c>
      <c r="P4648" s="183" t="n">
        <v>0</v>
      </c>
      <c r="Q4648" s="184" t="n">
        <v>0</v>
      </c>
      <c r="R4648" s="184" t="n">
        <v>0</v>
      </c>
      <c r="S4648" s="183" t="n">
        <v>0</v>
      </c>
      <c r="T4648" s="183" t="n">
        <v>0</v>
      </c>
      <c r="U4648" s="182" t="n">
        <v>0</v>
      </c>
      <c r="V4648" s="182" t="n">
        <v>0</v>
      </c>
      <c r="W4648" s="182" t="n">
        <v>0</v>
      </c>
      <c r="X4648" s="182" t="n">
        <v>0</v>
      </c>
      <c r="Y4648" s="182" t="n">
        <v>0</v>
      </c>
      <c r="Z4648" s="182" t="n">
        <v>0</v>
      </c>
      <c r="AA4648" s="182" t="n">
        <v>0</v>
      </c>
      <c r="AB4648" s="182" t="n">
        <v>0</v>
      </c>
      <c r="AC4648" s="182" t="n">
        <v>0</v>
      </c>
      <c r="AD4648" s="182" t="n">
        <v>0</v>
      </c>
      <c r="AE4648" s="182" t="n">
        <v>0</v>
      </c>
      <c r="AF4648" s="182" t="n">
        <v>0</v>
      </c>
      <c r="AG4648" s="182" t="n">
        <v>0</v>
      </c>
      <c r="AH4648" s="182" t="n">
        <v>0</v>
      </c>
      <c r="AI4648" s="182" t="n">
        <v>0</v>
      </c>
      <c r="AJ4648" s="182" t="n">
        <v>0</v>
      </c>
      <c r="AK4648" s="182" t="n">
        <v>0</v>
      </c>
      <c r="AL4648" s="182" t="n">
        <v>0</v>
      </c>
      <c r="AM4648" s="182" t="n">
        <v>0</v>
      </c>
      <c r="AN4648" s="182" t="n">
        <v>0</v>
      </c>
    </row>
    <row r="4649">
      <c r="A4649" s="155" t="n">
        <v>46103</v>
      </c>
      <c r="B4649" s="156" t="inlineStr">
        <is>
          <t>DS</t>
        </is>
      </c>
      <c r="C4649" s="156" t="inlineStr">
        <is>
          <t>HT-407</t>
        </is>
      </c>
      <c r="D4649" s="156" t="inlineStr">
        <is>
          <t>SY430</t>
        </is>
      </c>
      <c r="E4649" s="156" t="inlineStr">
        <is>
          <t>DT Hauling</t>
        </is>
      </c>
      <c r="F4649" s="156" t="inlineStr"/>
      <c r="G4649" s="182" t="n">
        <v>0</v>
      </c>
      <c r="H4649" s="182" t="n">
        <v>0</v>
      </c>
      <c r="I4649" s="182" t="n">
        <v>0</v>
      </c>
      <c r="J4649" s="182" t="n">
        <v>0</v>
      </c>
      <c r="K4649" s="182" t="n">
        <v>12</v>
      </c>
      <c r="L4649" s="182" t="n">
        <v>12</v>
      </c>
      <c r="M4649" s="182" t="n">
        <v>0</v>
      </c>
      <c r="N4649" s="182" t="n">
        <v>0</v>
      </c>
      <c r="O4649" s="183" t="n">
        <v>0</v>
      </c>
      <c r="P4649" s="183" t="n">
        <v>0</v>
      </c>
      <c r="Q4649" s="184" t="n">
        <v>0</v>
      </c>
      <c r="R4649" s="184" t="n">
        <v>0</v>
      </c>
      <c r="S4649" s="183" t="n">
        <v>0</v>
      </c>
      <c r="T4649" s="183" t="n">
        <v>0</v>
      </c>
      <c r="U4649" s="182" t="n">
        <v>0</v>
      </c>
      <c r="V4649" s="182" t="n">
        <v>0</v>
      </c>
      <c r="W4649" s="182" t="n">
        <v>0</v>
      </c>
      <c r="X4649" s="182" t="n">
        <v>1</v>
      </c>
      <c r="Y4649" s="182" t="n">
        <v>0</v>
      </c>
      <c r="Z4649" s="182" t="n">
        <v>0</v>
      </c>
      <c r="AA4649" s="182" t="n">
        <v>0</v>
      </c>
      <c r="AB4649" s="182" t="n">
        <v>0</v>
      </c>
      <c r="AC4649" s="182" t="n">
        <v>0</v>
      </c>
      <c r="AD4649" s="182" t="n">
        <v>0</v>
      </c>
      <c r="AE4649" s="182" t="n">
        <v>0</v>
      </c>
      <c r="AF4649" s="182" t="n">
        <v>0</v>
      </c>
      <c r="AG4649" s="182" t="n">
        <v>0</v>
      </c>
      <c r="AH4649" s="182" t="n">
        <v>0</v>
      </c>
      <c r="AI4649" s="182" t="n">
        <v>0</v>
      </c>
      <c r="AJ4649" s="182" t="n">
        <v>0</v>
      </c>
      <c r="AK4649" s="182" t="n">
        <v>10.92</v>
      </c>
      <c r="AL4649" s="182" t="n">
        <v>0</v>
      </c>
      <c r="AM4649" s="182" t="n">
        <v>0.08</v>
      </c>
      <c r="AN4649" s="182" t="n">
        <v>0</v>
      </c>
    </row>
    <row r="4650">
      <c r="A4650" s="155" t="n">
        <v>46103</v>
      </c>
      <c r="B4650" s="156" t="inlineStr">
        <is>
          <t>DS</t>
        </is>
      </c>
      <c r="C4650" s="156" t="inlineStr">
        <is>
          <t>HT-414</t>
        </is>
      </c>
      <c r="D4650" s="156" t="inlineStr">
        <is>
          <t>SY430</t>
        </is>
      </c>
      <c r="E4650" s="156" t="inlineStr">
        <is>
          <t>DT Hauling</t>
        </is>
      </c>
      <c r="F4650" s="156" t="inlineStr"/>
      <c r="G4650" s="182" t="n">
        <v>0</v>
      </c>
      <c r="H4650" s="182" t="n">
        <v>0</v>
      </c>
      <c r="I4650" s="182" t="n">
        <v>0</v>
      </c>
      <c r="J4650" s="182" t="n">
        <v>0</v>
      </c>
      <c r="K4650" s="182" t="n">
        <v>12</v>
      </c>
      <c r="L4650" s="182" t="n">
        <v>12</v>
      </c>
      <c r="M4650" s="182" t="n">
        <v>0</v>
      </c>
      <c r="N4650" s="182" t="n">
        <v>0</v>
      </c>
      <c r="O4650" s="183" t="n">
        <v>0</v>
      </c>
      <c r="P4650" s="183" t="n">
        <v>0</v>
      </c>
      <c r="Q4650" s="184" t="n">
        <v>0</v>
      </c>
      <c r="R4650" s="184" t="n">
        <v>0</v>
      </c>
      <c r="S4650" s="183" t="n">
        <v>0</v>
      </c>
      <c r="T4650" s="183" t="n">
        <v>0</v>
      </c>
      <c r="U4650" s="182" t="n">
        <v>0</v>
      </c>
      <c r="V4650" s="182" t="n">
        <v>0</v>
      </c>
      <c r="W4650" s="182" t="n">
        <v>0</v>
      </c>
      <c r="X4650" s="182" t="n">
        <v>1</v>
      </c>
      <c r="Y4650" s="182" t="n">
        <v>0</v>
      </c>
      <c r="Z4650" s="182" t="n">
        <v>0</v>
      </c>
      <c r="AA4650" s="182" t="n">
        <v>0</v>
      </c>
      <c r="AB4650" s="182" t="n">
        <v>0</v>
      </c>
      <c r="AC4650" s="182" t="n">
        <v>0</v>
      </c>
      <c r="AD4650" s="182" t="n">
        <v>0</v>
      </c>
      <c r="AE4650" s="182" t="n">
        <v>0</v>
      </c>
      <c r="AF4650" s="182" t="n">
        <v>0</v>
      </c>
      <c r="AG4650" s="182" t="n">
        <v>0</v>
      </c>
      <c r="AH4650" s="182" t="n">
        <v>0</v>
      </c>
      <c r="AI4650" s="182" t="n">
        <v>0</v>
      </c>
      <c r="AJ4650" s="182" t="n">
        <v>0</v>
      </c>
      <c r="AK4650" s="182" t="n">
        <v>10.92</v>
      </c>
      <c r="AL4650" s="182" t="n">
        <v>0</v>
      </c>
      <c r="AM4650" s="182" t="n">
        <v>0.08</v>
      </c>
      <c r="AN4650" s="182" t="n">
        <v>0</v>
      </c>
    </row>
    <row r="4651">
      <c r="A4651" s="155" t="n">
        <v>46103</v>
      </c>
      <c r="B4651" s="156" t="inlineStr">
        <is>
          <t>DS</t>
        </is>
      </c>
      <c r="C4651" s="156" t="inlineStr">
        <is>
          <t>HT-411</t>
        </is>
      </c>
      <c r="D4651" s="156" t="inlineStr">
        <is>
          <t>SY430</t>
        </is>
      </c>
      <c r="E4651" s="156" t="inlineStr">
        <is>
          <t>DT Hauling</t>
        </is>
      </c>
      <c r="F4651" s="156" t="inlineStr"/>
      <c r="G4651" s="182" t="n">
        <v>0</v>
      </c>
      <c r="H4651" s="182" t="n">
        <v>0</v>
      </c>
      <c r="I4651" s="182" t="n">
        <v>0</v>
      </c>
      <c r="J4651" s="182" t="n">
        <v>0</v>
      </c>
      <c r="K4651" s="182" t="n">
        <v>12</v>
      </c>
      <c r="L4651" s="182" t="n">
        <v>12</v>
      </c>
      <c r="M4651" s="182" t="n">
        <v>0</v>
      </c>
      <c r="N4651" s="182" t="n">
        <v>0</v>
      </c>
      <c r="O4651" s="183" t="n">
        <v>0</v>
      </c>
      <c r="P4651" s="183" t="n">
        <v>0</v>
      </c>
      <c r="Q4651" s="184" t="n">
        <v>0</v>
      </c>
      <c r="R4651" s="184" t="n">
        <v>0</v>
      </c>
      <c r="S4651" s="183" t="n">
        <v>0</v>
      </c>
      <c r="T4651" s="183" t="n">
        <v>0</v>
      </c>
      <c r="U4651" s="182" t="n">
        <v>0</v>
      </c>
      <c r="V4651" s="182" t="n">
        <v>0</v>
      </c>
      <c r="W4651" s="182" t="n">
        <v>0</v>
      </c>
      <c r="X4651" s="182" t="n">
        <v>1</v>
      </c>
      <c r="Y4651" s="182" t="n">
        <v>0</v>
      </c>
      <c r="Z4651" s="182" t="n">
        <v>0</v>
      </c>
      <c r="AA4651" s="182" t="n">
        <v>0</v>
      </c>
      <c r="AB4651" s="182" t="n">
        <v>0</v>
      </c>
      <c r="AC4651" s="182" t="n">
        <v>0</v>
      </c>
      <c r="AD4651" s="182" t="n">
        <v>0</v>
      </c>
      <c r="AE4651" s="182" t="n">
        <v>0</v>
      </c>
      <c r="AF4651" s="182" t="n">
        <v>0</v>
      </c>
      <c r="AG4651" s="182" t="n">
        <v>0</v>
      </c>
      <c r="AH4651" s="182" t="n">
        <v>0</v>
      </c>
      <c r="AI4651" s="182" t="n">
        <v>0</v>
      </c>
      <c r="AJ4651" s="182" t="n">
        <v>0</v>
      </c>
      <c r="AK4651" s="182" t="n">
        <v>10.92</v>
      </c>
      <c r="AL4651" s="182" t="n">
        <v>0</v>
      </c>
      <c r="AM4651" s="182" t="n">
        <v>0.08</v>
      </c>
      <c r="AN4651" s="182" t="n">
        <v>0</v>
      </c>
    </row>
    <row r="4652">
      <c r="A4652" s="155" t="n">
        <v>46103</v>
      </c>
      <c r="B4652" s="156" t="inlineStr">
        <is>
          <t>DS</t>
        </is>
      </c>
      <c r="C4652" s="156" t="inlineStr">
        <is>
          <t>HT-409</t>
        </is>
      </c>
      <c r="D4652" s="156" t="inlineStr">
        <is>
          <t>SY430</t>
        </is>
      </c>
      <c r="E4652" s="156" t="inlineStr">
        <is>
          <t>DT Hauling</t>
        </is>
      </c>
      <c r="F4652" s="156" t="inlineStr"/>
      <c r="G4652" s="182" t="n">
        <v>0</v>
      </c>
      <c r="H4652" s="182" t="n">
        <v>0</v>
      </c>
      <c r="I4652" s="182" t="n">
        <v>0</v>
      </c>
      <c r="J4652" s="182" t="n">
        <v>0</v>
      </c>
      <c r="K4652" s="182" t="n">
        <v>12</v>
      </c>
      <c r="L4652" s="182" t="n">
        <v>12</v>
      </c>
      <c r="M4652" s="182" t="n">
        <v>0</v>
      </c>
      <c r="N4652" s="182" t="n">
        <v>0</v>
      </c>
      <c r="O4652" s="183" t="n">
        <v>0</v>
      </c>
      <c r="P4652" s="183" t="n">
        <v>0</v>
      </c>
      <c r="Q4652" s="184" t="n">
        <v>0</v>
      </c>
      <c r="R4652" s="184" t="n">
        <v>0</v>
      </c>
      <c r="S4652" s="183" t="n">
        <v>0</v>
      </c>
      <c r="T4652" s="183" t="n">
        <v>0</v>
      </c>
      <c r="U4652" s="182" t="n">
        <v>0</v>
      </c>
      <c r="V4652" s="182" t="n">
        <v>0</v>
      </c>
      <c r="W4652" s="182" t="n">
        <v>0</v>
      </c>
      <c r="X4652" s="182" t="n">
        <v>1</v>
      </c>
      <c r="Y4652" s="182" t="n">
        <v>0</v>
      </c>
      <c r="Z4652" s="182" t="n">
        <v>0</v>
      </c>
      <c r="AA4652" s="182" t="n">
        <v>0</v>
      </c>
      <c r="AB4652" s="182" t="n">
        <v>0</v>
      </c>
      <c r="AC4652" s="182" t="n">
        <v>0</v>
      </c>
      <c r="AD4652" s="182" t="n">
        <v>0</v>
      </c>
      <c r="AE4652" s="182" t="n">
        <v>0</v>
      </c>
      <c r="AF4652" s="182" t="n">
        <v>0</v>
      </c>
      <c r="AG4652" s="182" t="n">
        <v>0</v>
      </c>
      <c r="AH4652" s="182" t="n">
        <v>0</v>
      </c>
      <c r="AI4652" s="182" t="n">
        <v>0</v>
      </c>
      <c r="AJ4652" s="182" t="n">
        <v>0</v>
      </c>
      <c r="AK4652" s="182" t="n">
        <v>10.92</v>
      </c>
      <c r="AL4652" s="182" t="n">
        <v>0</v>
      </c>
      <c r="AM4652" s="182" t="n">
        <v>0.08</v>
      </c>
      <c r="AN4652" s="182" t="n">
        <v>0</v>
      </c>
    </row>
    <row r="4653">
      <c r="A4653" s="155" t="n">
        <v>46103</v>
      </c>
      <c r="B4653" s="156" t="inlineStr">
        <is>
          <t>DS</t>
        </is>
      </c>
      <c r="C4653" s="156" t="inlineStr">
        <is>
          <t>DH-103</t>
        </is>
      </c>
      <c r="D4653" s="156" t="inlineStr">
        <is>
          <t>HINO FM260</t>
        </is>
      </c>
      <c r="E4653" s="156" t="inlineStr">
        <is>
          <t>DT Hino</t>
        </is>
      </c>
      <c r="F4653" s="156" t="inlineStr"/>
      <c r="G4653" s="182" t="n">
        <v>0</v>
      </c>
      <c r="H4653" s="182" t="n">
        <v>0</v>
      </c>
      <c r="I4653" s="182" t="n">
        <v>12</v>
      </c>
      <c r="J4653" s="182" t="n">
        <v>12</v>
      </c>
      <c r="K4653" s="182" t="n">
        <v>0</v>
      </c>
      <c r="L4653" s="182" t="n">
        <v>12</v>
      </c>
      <c r="M4653" s="182" t="n">
        <v>0</v>
      </c>
      <c r="N4653" s="182" t="n">
        <v>0</v>
      </c>
      <c r="O4653" s="183" t="n">
        <v>0</v>
      </c>
      <c r="P4653" s="183" t="n">
        <v>0</v>
      </c>
      <c r="Q4653" s="184" t="n">
        <v>0</v>
      </c>
      <c r="R4653" s="184" t="n">
        <v>0</v>
      </c>
      <c r="S4653" s="183" t="n">
        <v>0</v>
      </c>
      <c r="T4653" s="183" t="n">
        <v>0</v>
      </c>
      <c r="U4653" s="182" t="n">
        <v>0</v>
      </c>
      <c r="V4653" s="182" t="n">
        <v>0</v>
      </c>
      <c r="W4653" s="182" t="n">
        <v>0</v>
      </c>
      <c r="X4653" s="182" t="n">
        <v>0</v>
      </c>
      <c r="Y4653" s="182" t="n">
        <v>0</v>
      </c>
      <c r="Z4653" s="182" t="n">
        <v>0</v>
      </c>
      <c r="AA4653" s="182" t="n">
        <v>0</v>
      </c>
      <c r="AB4653" s="182" t="n">
        <v>0</v>
      </c>
      <c r="AC4653" s="182" t="n">
        <v>0</v>
      </c>
      <c r="AD4653" s="182" t="n">
        <v>0</v>
      </c>
      <c r="AE4653" s="182" t="n">
        <v>0</v>
      </c>
      <c r="AF4653" s="182" t="n">
        <v>0</v>
      </c>
      <c r="AG4653" s="182" t="n">
        <v>0</v>
      </c>
      <c r="AH4653" s="182" t="n">
        <v>0</v>
      </c>
      <c r="AI4653" s="182" t="n">
        <v>0</v>
      </c>
      <c r="AJ4653" s="182" t="n">
        <v>0</v>
      </c>
      <c r="AK4653" s="182" t="n">
        <v>0</v>
      </c>
      <c r="AL4653" s="182" t="n">
        <v>0</v>
      </c>
      <c r="AM4653" s="182" t="n">
        <v>0</v>
      </c>
      <c r="AN4653" s="182" t="n">
        <v>0</v>
      </c>
    </row>
    <row r="4654">
      <c r="A4654" s="155" t="n">
        <v>46103</v>
      </c>
      <c r="B4654" s="156" t="inlineStr">
        <is>
          <t>DS</t>
        </is>
      </c>
      <c r="C4654" s="156" t="inlineStr">
        <is>
          <t>DH-102</t>
        </is>
      </c>
      <c r="D4654" s="156" t="inlineStr">
        <is>
          <t>HINO FM260</t>
        </is>
      </c>
      <c r="E4654" s="156" t="inlineStr">
        <is>
          <t>DT Hino</t>
        </is>
      </c>
      <c r="F4654" s="156" t="inlineStr"/>
      <c r="G4654" s="182" t="n">
        <v>0</v>
      </c>
      <c r="H4654" s="182" t="n">
        <v>0</v>
      </c>
      <c r="I4654" s="182" t="n">
        <v>0</v>
      </c>
      <c r="J4654" s="182" t="n">
        <v>0</v>
      </c>
      <c r="K4654" s="182" t="n">
        <v>12</v>
      </c>
      <c r="L4654" s="182" t="n">
        <v>12</v>
      </c>
      <c r="M4654" s="182" t="n">
        <v>0</v>
      </c>
      <c r="N4654" s="182" t="n">
        <v>0</v>
      </c>
      <c r="O4654" s="183" t="n">
        <v>0</v>
      </c>
      <c r="P4654" s="183" t="n">
        <v>0</v>
      </c>
      <c r="Q4654" s="184" t="n">
        <v>0</v>
      </c>
      <c r="R4654" s="184" t="n">
        <v>0</v>
      </c>
      <c r="S4654" s="183" t="n">
        <v>0</v>
      </c>
      <c r="T4654" s="183" t="n">
        <v>0</v>
      </c>
      <c r="U4654" s="182" t="n">
        <v>0</v>
      </c>
      <c r="V4654" s="182" t="n">
        <v>0</v>
      </c>
      <c r="W4654" s="182" t="n">
        <v>0</v>
      </c>
      <c r="X4654" s="182" t="n">
        <v>1</v>
      </c>
      <c r="Y4654" s="182" t="n">
        <v>0</v>
      </c>
      <c r="Z4654" s="182" t="n">
        <v>0</v>
      </c>
      <c r="AA4654" s="182" t="n">
        <v>0</v>
      </c>
      <c r="AB4654" s="182" t="n">
        <v>0</v>
      </c>
      <c r="AC4654" s="182" t="n">
        <v>0</v>
      </c>
      <c r="AD4654" s="182" t="n">
        <v>0</v>
      </c>
      <c r="AE4654" s="182" t="n">
        <v>0</v>
      </c>
      <c r="AF4654" s="182" t="n">
        <v>0</v>
      </c>
      <c r="AG4654" s="182" t="n">
        <v>0</v>
      </c>
      <c r="AH4654" s="182" t="n">
        <v>0</v>
      </c>
      <c r="AI4654" s="182" t="n">
        <v>0</v>
      </c>
      <c r="AJ4654" s="182" t="n">
        <v>0</v>
      </c>
      <c r="AK4654" s="182" t="n">
        <v>10.92</v>
      </c>
      <c r="AL4654" s="182" t="n">
        <v>0</v>
      </c>
      <c r="AM4654" s="182" t="n">
        <v>0.08</v>
      </c>
      <c r="AN4654" s="182" t="n">
        <v>0</v>
      </c>
    </row>
    <row r="4655">
      <c r="A4655" s="155" t="n">
        <v>46103</v>
      </c>
      <c r="B4655" s="156" t="inlineStr">
        <is>
          <t>DS</t>
        </is>
      </c>
      <c r="C4655" s="156" t="inlineStr">
        <is>
          <t>DH-101</t>
        </is>
      </c>
      <c r="D4655" s="156" t="inlineStr">
        <is>
          <t>HINO FM260</t>
        </is>
      </c>
      <c r="E4655" s="156" t="inlineStr">
        <is>
          <t>DT Hino</t>
        </is>
      </c>
      <c r="F4655" s="156" t="inlineStr"/>
      <c r="G4655" s="182" t="n">
        <v>0</v>
      </c>
      <c r="H4655" s="182" t="n">
        <v>0</v>
      </c>
      <c r="I4655" s="182" t="n">
        <v>0</v>
      </c>
      <c r="J4655" s="182" t="n">
        <v>0</v>
      </c>
      <c r="K4655" s="182" t="n">
        <v>12</v>
      </c>
      <c r="L4655" s="182" t="n">
        <v>12</v>
      </c>
      <c r="M4655" s="182" t="n">
        <v>0</v>
      </c>
      <c r="N4655" s="182" t="n">
        <v>0</v>
      </c>
      <c r="O4655" s="183" t="n">
        <v>0</v>
      </c>
      <c r="P4655" s="183" t="n">
        <v>0</v>
      </c>
      <c r="Q4655" s="184" t="n">
        <v>0</v>
      </c>
      <c r="R4655" s="184" t="n">
        <v>0</v>
      </c>
      <c r="S4655" s="183" t="n">
        <v>0</v>
      </c>
      <c r="T4655" s="183" t="n">
        <v>0</v>
      </c>
      <c r="U4655" s="182" t="n">
        <v>0</v>
      </c>
      <c r="V4655" s="182" t="n">
        <v>0</v>
      </c>
      <c r="W4655" s="182" t="n">
        <v>0</v>
      </c>
      <c r="X4655" s="182" t="n">
        <v>1</v>
      </c>
      <c r="Y4655" s="182" t="n">
        <v>0</v>
      </c>
      <c r="Z4655" s="182" t="n">
        <v>0</v>
      </c>
      <c r="AA4655" s="182" t="n">
        <v>0</v>
      </c>
      <c r="AB4655" s="182" t="n">
        <v>0</v>
      </c>
      <c r="AC4655" s="182" t="n">
        <v>0</v>
      </c>
      <c r="AD4655" s="182" t="n">
        <v>0</v>
      </c>
      <c r="AE4655" s="182" t="n">
        <v>0</v>
      </c>
      <c r="AF4655" s="182" t="n">
        <v>0</v>
      </c>
      <c r="AG4655" s="182" t="n">
        <v>0</v>
      </c>
      <c r="AH4655" s="182" t="n">
        <v>0</v>
      </c>
      <c r="AI4655" s="182" t="n">
        <v>0</v>
      </c>
      <c r="AJ4655" s="182" t="n">
        <v>0</v>
      </c>
      <c r="AK4655" s="182" t="n">
        <v>10.92</v>
      </c>
      <c r="AL4655" s="182" t="n">
        <v>0</v>
      </c>
      <c r="AM4655" s="182" t="n">
        <v>0.08</v>
      </c>
      <c r="AN4655" s="182" t="n">
        <v>0</v>
      </c>
    </row>
    <row r="4656">
      <c r="A4656" s="155" t="n">
        <v>46103</v>
      </c>
      <c r="B4656" s="156" t="inlineStr">
        <is>
          <t>DS</t>
        </is>
      </c>
      <c r="C4656" s="156" t="inlineStr">
        <is>
          <t>EX-1251</t>
        </is>
      </c>
      <c r="D4656" s="156" t="inlineStr">
        <is>
          <t>SY1250</t>
        </is>
      </c>
      <c r="E4656" s="156" t="inlineStr">
        <is>
          <t>Excavator</t>
        </is>
      </c>
      <c r="F4656" s="156" t="inlineStr">
        <is>
          <t>Loading OB</t>
        </is>
      </c>
      <c r="G4656" s="182" t="n">
        <v>5.74</v>
      </c>
      <c r="H4656" s="182" t="n">
        <v>0</v>
      </c>
      <c r="I4656" s="182" t="n">
        <v>0</v>
      </c>
      <c r="J4656" s="182" t="n">
        <v>0</v>
      </c>
      <c r="K4656" s="182" t="n">
        <v>6.26</v>
      </c>
      <c r="L4656" s="182" t="n">
        <v>12</v>
      </c>
      <c r="M4656" s="182" t="n">
        <v>5.23</v>
      </c>
      <c r="N4656" s="182" t="n">
        <v>0</v>
      </c>
      <c r="O4656" s="183" t="n">
        <v>78</v>
      </c>
      <c r="P4656" s="183" t="n">
        <v>0</v>
      </c>
      <c r="Q4656" s="184" t="n">
        <v>1591.2</v>
      </c>
      <c r="R4656" s="184" t="n">
        <v>0</v>
      </c>
      <c r="S4656" s="183" t="n">
        <v>0</v>
      </c>
      <c r="T4656" s="183" t="n">
        <v>0</v>
      </c>
      <c r="U4656" s="182" t="n">
        <v>2.62</v>
      </c>
      <c r="V4656" s="182" t="n">
        <v>2.58</v>
      </c>
      <c r="W4656" s="182" t="n">
        <v>0</v>
      </c>
      <c r="X4656" s="182" t="n">
        <v>0.98</v>
      </c>
      <c r="Y4656" s="182" t="n">
        <v>0</v>
      </c>
      <c r="Z4656" s="182" t="n">
        <v>0</v>
      </c>
      <c r="AA4656" s="182" t="n">
        <v>0</v>
      </c>
      <c r="AB4656" s="182" t="n">
        <v>0</v>
      </c>
      <c r="AC4656" s="182" t="n">
        <v>0</v>
      </c>
      <c r="AD4656" s="182" t="n">
        <v>0</v>
      </c>
      <c r="AE4656" s="182" t="n">
        <v>0</v>
      </c>
      <c r="AF4656" s="182" t="n">
        <v>0</v>
      </c>
      <c r="AG4656" s="182" t="n">
        <v>0</v>
      </c>
      <c r="AH4656" s="182" t="n">
        <v>0</v>
      </c>
      <c r="AI4656" s="182" t="n">
        <v>0</v>
      </c>
      <c r="AJ4656" s="182" t="n">
        <v>0</v>
      </c>
      <c r="AK4656" s="182" t="n">
        <v>0</v>
      </c>
      <c r="AL4656" s="182" t="n">
        <v>0</v>
      </c>
      <c r="AM4656" s="182" t="n">
        <v>0.08</v>
      </c>
      <c r="AN4656" s="182" t="n">
        <v>0</v>
      </c>
    </row>
    <row r="4657">
      <c r="A4657" s="155" t="n">
        <v>46103</v>
      </c>
      <c r="B4657" s="156" t="inlineStr">
        <is>
          <t>DS</t>
        </is>
      </c>
      <c r="C4657" s="156" t="inlineStr">
        <is>
          <t>EX-1252</t>
        </is>
      </c>
      <c r="D4657" s="156" t="inlineStr">
        <is>
          <t>SY1250</t>
        </is>
      </c>
      <c r="E4657" s="156" t="inlineStr">
        <is>
          <t>Excavator</t>
        </is>
      </c>
      <c r="F4657" s="156" t="inlineStr">
        <is>
          <t>Loading OB</t>
        </is>
      </c>
      <c r="G4657" s="182" t="n">
        <v>3.78</v>
      </c>
      <c r="H4657" s="182" t="n">
        <v>0</v>
      </c>
      <c r="I4657" s="182" t="n">
        <v>3.5</v>
      </c>
      <c r="J4657" s="182" t="n">
        <v>3.5</v>
      </c>
      <c r="K4657" s="182" t="n">
        <v>4.72</v>
      </c>
      <c r="L4657" s="182" t="n">
        <v>12</v>
      </c>
      <c r="M4657" s="182" t="n">
        <v>3.78</v>
      </c>
      <c r="N4657" s="182" t="n">
        <v>0</v>
      </c>
      <c r="O4657" s="183" t="n">
        <v>54</v>
      </c>
      <c r="P4657" s="183" t="n">
        <v>0</v>
      </c>
      <c r="Q4657" s="184" t="n">
        <v>1728.9</v>
      </c>
      <c r="R4657" s="184" t="n">
        <v>0</v>
      </c>
      <c r="S4657" s="183" t="n">
        <v>0</v>
      </c>
      <c r="T4657" s="183" t="n">
        <v>0</v>
      </c>
      <c r="U4657" s="182" t="n">
        <v>2.7</v>
      </c>
      <c r="V4657" s="182" t="n">
        <v>1.94</v>
      </c>
      <c r="W4657" s="182" t="n">
        <v>0</v>
      </c>
      <c r="X4657" s="182" t="n">
        <v>0</v>
      </c>
      <c r="Y4657" s="182" t="n">
        <v>0</v>
      </c>
      <c r="Z4657" s="182" t="n">
        <v>0</v>
      </c>
      <c r="AA4657" s="182" t="n">
        <v>0</v>
      </c>
      <c r="AB4657" s="182" t="n">
        <v>0</v>
      </c>
      <c r="AC4657" s="182" t="n">
        <v>0</v>
      </c>
      <c r="AD4657" s="182" t="n">
        <v>0</v>
      </c>
      <c r="AE4657" s="182" t="n">
        <v>0</v>
      </c>
      <c r="AF4657" s="182" t="n">
        <v>0</v>
      </c>
      <c r="AG4657" s="182" t="n">
        <v>0</v>
      </c>
      <c r="AH4657" s="182" t="n">
        <v>0</v>
      </c>
      <c r="AI4657" s="182" t="n">
        <v>0</v>
      </c>
      <c r="AJ4657" s="182" t="n">
        <v>0</v>
      </c>
      <c r="AK4657" s="182" t="n">
        <v>0</v>
      </c>
      <c r="AL4657" s="182" t="n">
        <v>0</v>
      </c>
      <c r="AM4657" s="182" t="n">
        <v>0.08</v>
      </c>
      <c r="AN4657" s="182" t="n">
        <v>0</v>
      </c>
    </row>
    <row r="4658">
      <c r="A4658" s="155" t="n">
        <v>46103</v>
      </c>
      <c r="B4658" s="156" t="inlineStr">
        <is>
          <t>DS</t>
        </is>
      </c>
      <c r="C4658" s="156" t="inlineStr">
        <is>
          <t>EX-2101</t>
        </is>
      </c>
      <c r="D4658" s="156" t="inlineStr">
        <is>
          <t>SY2000</t>
        </is>
      </c>
      <c r="E4658" s="156" t="inlineStr">
        <is>
          <t>Excavator</t>
        </is>
      </c>
      <c r="F4658" s="156" t="inlineStr">
        <is>
          <t>Travel unit ke disposal barat</t>
        </is>
      </c>
      <c r="G4658" s="182" t="n">
        <v>0.79</v>
      </c>
      <c r="H4658" s="182" t="n">
        <v>0</v>
      </c>
      <c r="I4658" s="182" t="n">
        <v>10.99</v>
      </c>
      <c r="J4658" s="182" t="n">
        <v>10.99</v>
      </c>
      <c r="K4658" s="182" t="n">
        <v>0.22</v>
      </c>
      <c r="L4658" s="182" t="n">
        <v>12</v>
      </c>
      <c r="M4658" s="182" t="n">
        <v>0</v>
      </c>
      <c r="N4658" s="182" t="n">
        <v>0</v>
      </c>
      <c r="O4658" s="183" t="n">
        <v>0</v>
      </c>
      <c r="P4658" s="183" t="n">
        <v>0</v>
      </c>
      <c r="Q4658" s="184" t="n">
        <v>0</v>
      </c>
      <c r="R4658" s="184" t="n">
        <v>0</v>
      </c>
      <c r="S4658" s="183" t="n">
        <v>0</v>
      </c>
      <c r="T4658" s="183" t="n">
        <v>0</v>
      </c>
      <c r="U4658" s="182" t="n">
        <v>0</v>
      </c>
      <c r="V4658" s="182" t="n">
        <v>0</v>
      </c>
      <c r="W4658" s="182" t="n">
        <v>0</v>
      </c>
      <c r="X4658" s="182" t="n">
        <v>0</v>
      </c>
      <c r="Y4658" s="182" t="n">
        <v>0</v>
      </c>
      <c r="Z4658" s="182" t="n">
        <v>0</v>
      </c>
      <c r="AA4658" s="182" t="n">
        <v>0</v>
      </c>
      <c r="AB4658" s="182" t="n">
        <v>0</v>
      </c>
      <c r="AC4658" s="182" t="n">
        <v>0</v>
      </c>
      <c r="AD4658" s="182" t="n">
        <v>0</v>
      </c>
      <c r="AE4658" s="182" t="n">
        <v>0</v>
      </c>
      <c r="AF4658" s="182" t="n">
        <v>0</v>
      </c>
      <c r="AG4658" s="182" t="n">
        <v>0</v>
      </c>
      <c r="AH4658" s="182" t="n">
        <v>0</v>
      </c>
      <c r="AI4658" s="182" t="n">
        <v>0</v>
      </c>
      <c r="AJ4658" s="182" t="n">
        <v>0</v>
      </c>
      <c r="AK4658" s="182" t="n">
        <v>0</v>
      </c>
      <c r="AL4658" s="182" t="n">
        <v>0</v>
      </c>
      <c r="AM4658" s="182" t="n">
        <v>0</v>
      </c>
      <c r="AN4658" s="182" t="n">
        <v>0</v>
      </c>
    </row>
    <row r="4659">
      <c r="A4659" s="155" t="n">
        <v>46103</v>
      </c>
      <c r="B4659" s="156" t="inlineStr">
        <is>
          <t>DS</t>
        </is>
      </c>
      <c r="C4659" s="156" t="inlineStr">
        <is>
          <t>EX-222</t>
        </is>
      </c>
      <c r="D4659" s="156" t="inlineStr">
        <is>
          <t>PC 200-8MI</t>
        </is>
      </c>
      <c r="E4659" s="156" t="inlineStr">
        <is>
          <t>Excavator</t>
        </is>
      </c>
      <c r="F4659" s="156" t="inlineStr">
        <is>
          <t>Support Washing Plant</t>
        </is>
      </c>
      <c r="G4659" s="182" t="n">
        <v>10.68</v>
      </c>
      <c r="H4659" s="182" t="n">
        <v>0</v>
      </c>
      <c r="I4659" s="182" t="n">
        <v>1.32</v>
      </c>
      <c r="J4659" s="182" t="n">
        <v>1.32</v>
      </c>
      <c r="K4659" s="182" t="n">
        <v>0</v>
      </c>
      <c r="L4659" s="182" t="n">
        <v>12</v>
      </c>
      <c r="M4659" s="182" t="n">
        <v>0</v>
      </c>
      <c r="N4659" s="182" t="n">
        <v>0</v>
      </c>
      <c r="O4659" s="183" t="n">
        <v>0</v>
      </c>
      <c r="P4659" s="183" t="n">
        <v>0</v>
      </c>
      <c r="Q4659" s="184" t="n">
        <v>0</v>
      </c>
      <c r="R4659" s="184" t="n">
        <v>0</v>
      </c>
      <c r="S4659" s="183" t="n">
        <v>0</v>
      </c>
      <c r="T4659" s="183" t="n">
        <v>0</v>
      </c>
      <c r="U4659" s="182" t="n">
        <v>0</v>
      </c>
      <c r="V4659" s="182" t="n">
        <v>0</v>
      </c>
      <c r="W4659" s="182" t="n">
        <v>0</v>
      </c>
      <c r="X4659" s="182" t="n">
        <v>0</v>
      </c>
      <c r="Y4659" s="182" t="n">
        <v>0</v>
      </c>
      <c r="Z4659" s="182" t="n">
        <v>0</v>
      </c>
      <c r="AA4659" s="182" t="n">
        <v>0</v>
      </c>
      <c r="AB4659" s="182" t="n">
        <v>0</v>
      </c>
      <c r="AC4659" s="182" t="n">
        <v>0</v>
      </c>
      <c r="AD4659" s="182" t="n">
        <v>0</v>
      </c>
      <c r="AE4659" s="182" t="n">
        <v>0</v>
      </c>
      <c r="AF4659" s="182" t="n">
        <v>0</v>
      </c>
      <c r="AG4659" s="182" t="n">
        <v>0</v>
      </c>
      <c r="AH4659" s="182" t="n">
        <v>0</v>
      </c>
      <c r="AI4659" s="182" t="n">
        <v>0</v>
      </c>
      <c r="AJ4659" s="182" t="n">
        <v>0</v>
      </c>
      <c r="AK4659" s="182" t="n">
        <v>0</v>
      </c>
      <c r="AL4659" s="182" t="n">
        <v>0</v>
      </c>
      <c r="AM4659" s="182" t="n">
        <v>0</v>
      </c>
      <c r="AN4659" s="182" t="n">
        <v>0</v>
      </c>
    </row>
    <row r="4660">
      <c r="A4660" s="155" t="n">
        <v>46103</v>
      </c>
      <c r="B4660" s="156" t="inlineStr">
        <is>
          <t>DS</t>
        </is>
      </c>
      <c r="C4660" s="156" t="inlineStr">
        <is>
          <t>EX-225</t>
        </is>
      </c>
      <c r="D4660" s="156" t="inlineStr">
        <is>
          <t>PC 200-8</t>
        </is>
      </c>
      <c r="E4660" s="156" t="inlineStr">
        <is>
          <t>Excavator</t>
        </is>
      </c>
      <c r="F4660" s="156" t="inlineStr"/>
      <c r="G4660" s="182" t="n">
        <v>0</v>
      </c>
      <c r="H4660" s="182" t="n">
        <v>0</v>
      </c>
      <c r="I4660" s="182" t="n">
        <v>12</v>
      </c>
      <c r="J4660" s="182" t="n">
        <v>12</v>
      </c>
      <c r="K4660" s="182" t="n">
        <v>0</v>
      </c>
      <c r="L4660" s="182" t="n">
        <v>12</v>
      </c>
      <c r="M4660" s="182" t="n">
        <v>0</v>
      </c>
      <c r="N4660" s="182" t="n">
        <v>0</v>
      </c>
      <c r="O4660" s="183" t="n">
        <v>0</v>
      </c>
      <c r="P4660" s="183" t="n">
        <v>0</v>
      </c>
      <c r="Q4660" s="184" t="n">
        <v>0</v>
      </c>
      <c r="R4660" s="184" t="n">
        <v>0</v>
      </c>
      <c r="S4660" s="183" t="n">
        <v>0</v>
      </c>
      <c r="T4660" s="183" t="n">
        <v>0</v>
      </c>
      <c r="U4660" s="182" t="n">
        <v>0</v>
      </c>
      <c r="V4660" s="182" t="n">
        <v>0</v>
      </c>
      <c r="W4660" s="182" t="n">
        <v>0</v>
      </c>
      <c r="X4660" s="182" t="n">
        <v>0</v>
      </c>
      <c r="Y4660" s="182" t="n">
        <v>0</v>
      </c>
      <c r="Z4660" s="182" t="n">
        <v>0</v>
      </c>
      <c r="AA4660" s="182" t="n">
        <v>0</v>
      </c>
      <c r="AB4660" s="182" t="n">
        <v>0</v>
      </c>
      <c r="AC4660" s="182" t="n">
        <v>0</v>
      </c>
      <c r="AD4660" s="182" t="n">
        <v>0</v>
      </c>
      <c r="AE4660" s="182" t="n">
        <v>0</v>
      </c>
      <c r="AF4660" s="182" t="n">
        <v>0</v>
      </c>
      <c r="AG4660" s="182" t="n">
        <v>0</v>
      </c>
      <c r="AH4660" s="182" t="n">
        <v>0</v>
      </c>
      <c r="AI4660" s="182" t="n">
        <v>0</v>
      </c>
      <c r="AJ4660" s="182" t="n">
        <v>0</v>
      </c>
      <c r="AK4660" s="182" t="n">
        <v>0</v>
      </c>
      <c r="AL4660" s="182" t="n">
        <v>0</v>
      </c>
      <c r="AM4660" s="182" t="n">
        <v>0</v>
      </c>
      <c r="AN4660" s="182" t="n">
        <v>0</v>
      </c>
    </row>
    <row r="4661">
      <c r="A4661" s="155" t="n">
        <v>46103</v>
      </c>
      <c r="B4661" s="156" t="inlineStr">
        <is>
          <t>DS</t>
        </is>
      </c>
      <c r="C4661" s="156" t="inlineStr">
        <is>
          <t>EX-223</t>
        </is>
      </c>
      <c r="D4661" s="156" t="inlineStr">
        <is>
          <t>PC 200-8MI</t>
        </is>
      </c>
      <c r="E4661" s="156" t="inlineStr">
        <is>
          <t>Excavator</t>
        </is>
      </c>
      <c r="F4661" s="156" t="inlineStr">
        <is>
          <t>Support Hopper Washing Plant</t>
        </is>
      </c>
      <c r="G4661" s="182" t="n">
        <v>4.36</v>
      </c>
      <c r="H4661" s="182" t="n">
        <v>0</v>
      </c>
      <c r="I4661" s="182" t="n">
        <v>0</v>
      </c>
      <c r="J4661" s="182" t="n">
        <v>0</v>
      </c>
      <c r="K4661" s="182" t="n">
        <v>7.64</v>
      </c>
      <c r="L4661" s="182" t="n">
        <v>12</v>
      </c>
      <c r="M4661" s="182" t="n">
        <v>0</v>
      </c>
      <c r="N4661" s="182" t="n">
        <v>0</v>
      </c>
      <c r="O4661" s="183" t="n">
        <v>0</v>
      </c>
      <c r="P4661" s="183" t="n">
        <v>0</v>
      </c>
      <c r="Q4661" s="184" t="n">
        <v>0</v>
      </c>
      <c r="R4661" s="184" t="n">
        <v>0</v>
      </c>
      <c r="S4661" s="183" t="n">
        <v>0</v>
      </c>
      <c r="T4661" s="183" t="n">
        <v>0</v>
      </c>
      <c r="U4661" s="182" t="n">
        <v>2.87</v>
      </c>
      <c r="V4661" s="182" t="n">
        <v>0</v>
      </c>
      <c r="W4661" s="182" t="n">
        <v>0</v>
      </c>
      <c r="X4661" s="182" t="n">
        <v>1.08</v>
      </c>
      <c r="Y4661" s="182" t="n">
        <v>0</v>
      </c>
      <c r="Z4661" s="182" t="n">
        <v>0</v>
      </c>
      <c r="AA4661" s="182" t="n">
        <v>0</v>
      </c>
      <c r="AB4661" s="182" t="n">
        <v>0</v>
      </c>
      <c r="AC4661" s="182" t="n">
        <v>0</v>
      </c>
      <c r="AD4661" s="182" t="n">
        <v>0</v>
      </c>
      <c r="AE4661" s="182" t="n">
        <v>0</v>
      </c>
      <c r="AF4661" s="182" t="n">
        <v>0</v>
      </c>
      <c r="AG4661" s="182" t="n">
        <v>0</v>
      </c>
      <c r="AH4661" s="182" t="n">
        <v>0</v>
      </c>
      <c r="AI4661" s="182" t="n">
        <v>0</v>
      </c>
      <c r="AJ4661" s="182" t="n">
        <v>0</v>
      </c>
      <c r="AK4661" s="182" t="n">
        <v>3.6</v>
      </c>
      <c r="AL4661" s="182" t="n">
        <v>0</v>
      </c>
      <c r="AM4661" s="182" t="n">
        <v>0.09</v>
      </c>
      <c r="AN4661" s="182" t="n">
        <v>0</v>
      </c>
    </row>
    <row r="4662">
      <c r="A4662" s="155" t="n">
        <v>46103</v>
      </c>
      <c r="B4662" s="156" t="inlineStr">
        <is>
          <t>DS</t>
        </is>
      </c>
      <c r="C4662" s="156" t="inlineStr">
        <is>
          <t>EX-221</t>
        </is>
      </c>
      <c r="D4662" s="156" t="inlineStr">
        <is>
          <t>PC 200-8MI</t>
        </is>
      </c>
      <c r="E4662" s="156" t="inlineStr">
        <is>
          <t>Excavator</t>
        </is>
      </c>
      <c r="F4662" s="156" t="inlineStr">
        <is>
          <t>General Jetty</t>
        </is>
      </c>
      <c r="G4662" s="182" t="n">
        <v>4.53</v>
      </c>
      <c r="H4662" s="182" t="n">
        <v>0</v>
      </c>
      <c r="I4662" s="182" t="n">
        <v>0</v>
      </c>
      <c r="J4662" s="182" t="n">
        <v>0</v>
      </c>
      <c r="K4662" s="182" t="n">
        <v>7.47</v>
      </c>
      <c r="L4662" s="182" t="n">
        <v>12</v>
      </c>
      <c r="M4662" s="182" t="n">
        <v>0</v>
      </c>
      <c r="N4662" s="182" t="n">
        <v>0</v>
      </c>
      <c r="O4662" s="183" t="n">
        <v>0</v>
      </c>
      <c r="P4662" s="183" t="n">
        <v>0</v>
      </c>
      <c r="Q4662" s="184" t="n">
        <v>0</v>
      </c>
      <c r="R4662" s="184" t="n">
        <v>0</v>
      </c>
      <c r="S4662" s="183" t="n">
        <v>0</v>
      </c>
      <c r="T4662" s="183" t="n">
        <v>0</v>
      </c>
      <c r="U4662" s="182" t="n">
        <v>0</v>
      </c>
      <c r="V4662" s="182" t="n">
        <v>0</v>
      </c>
      <c r="W4662" s="182" t="n">
        <v>0</v>
      </c>
      <c r="X4662" s="182" t="n">
        <v>0.98</v>
      </c>
      <c r="Y4662" s="182" t="n">
        <v>0</v>
      </c>
      <c r="Z4662" s="182" t="n">
        <v>0</v>
      </c>
      <c r="AA4662" s="182" t="n">
        <v>0</v>
      </c>
      <c r="AB4662" s="182" t="n">
        <v>0</v>
      </c>
      <c r="AC4662" s="182" t="n">
        <v>0</v>
      </c>
      <c r="AD4662" s="182" t="n">
        <v>0</v>
      </c>
      <c r="AE4662" s="182" t="n">
        <v>0</v>
      </c>
      <c r="AF4662" s="182" t="n">
        <v>0</v>
      </c>
      <c r="AG4662" s="182" t="n">
        <v>0</v>
      </c>
      <c r="AH4662" s="182" t="n">
        <v>0</v>
      </c>
      <c r="AI4662" s="182" t="n">
        <v>0</v>
      </c>
      <c r="AJ4662" s="182" t="n">
        <v>0</v>
      </c>
      <c r="AK4662" s="182" t="n">
        <v>6.41</v>
      </c>
      <c r="AL4662" s="182" t="n">
        <v>0</v>
      </c>
      <c r="AM4662" s="182" t="n">
        <v>0.08</v>
      </c>
      <c r="AN4662" s="182" t="n">
        <v>0</v>
      </c>
    </row>
    <row r="4663">
      <c r="A4663" s="155" t="n">
        <v>46103</v>
      </c>
      <c r="B4663" s="156" t="inlineStr">
        <is>
          <t>DS</t>
        </is>
      </c>
      <c r="C4663" s="156" t="inlineStr">
        <is>
          <t>EX-331</t>
        </is>
      </c>
      <c r="D4663" s="156" t="inlineStr">
        <is>
          <t>PC 300-8MO</t>
        </is>
      </c>
      <c r="E4663" s="156" t="inlineStr">
        <is>
          <t>Excavator</t>
        </is>
      </c>
      <c r="F4663" s="156" t="inlineStr"/>
      <c r="G4663" s="182" t="n">
        <v>0</v>
      </c>
      <c r="H4663" s="182" t="n">
        <v>0</v>
      </c>
      <c r="I4663" s="182" t="n">
        <v>12</v>
      </c>
      <c r="J4663" s="182" t="n">
        <v>12</v>
      </c>
      <c r="K4663" s="182" t="n">
        <v>0</v>
      </c>
      <c r="L4663" s="182" t="n">
        <v>12</v>
      </c>
      <c r="M4663" s="182" t="n">
        <v>0</v>
      </c>
      <c r="N4663" s="182" t="n">
        <v>0</v>
      </c>
      <c r="O4663" s="183" t="n">
        <v>0</v>
      </c>
      <c r="P4663" s="183" t="n">
        <v>0</v>
      </c>
      <c r="Q4663" s="184" t="n">
        <v>0</v>
      </c>
      <c r="R4663" s="184" t="n">
        <v>0</v>
      </c>
      <c r="S4663" s="183" t="n">
        <v>0</v>
      </c>
      <c r="T4663" s="183" t="n">
        <v>0</v>
      </c>
      <c r="U4663" s="182" t="n">
        <v>0</v>
      </c>
      <c r="V4663" s="182" t="n">
        <v>0</v>
      </c>
      <c r="W4663" s="182" t="n">
        <v>0</v>
      </c>
      <c r="X4663" s="182" t="n">
        <v>0</v>
      </c>
      <c r="Y4663" s="182" t="n">
        <v>0</v>
      </c>
      <c r="Z4663" s="182" t="n">
        <v>0</v>
      </c>
      <c r="AA4663" s="182" t="n">
        <v>0</v>
      </c>
      <c r="AB4663" s="182" t="n">
        <v>0</v>
      </c>
      <c r="AC4663" s="182" t="n">
        <v>0</v>
      </c>
      <c r="AD4663" s="182" t="n">
        <v>0</v>
      </c>
      <c r="AE4663" s="182" t="n">
        <v>0</v>
      </c>
      <c r="AF4663" s="182" t="n">
        <v>0</v>
      </c>
      <c r="AG4663" s="182" t="n">
        <v>0</v>
      </c>
      <c r="AH4663" s="182" t="n">
        <v>0</v>
      </c>
      <c r="AI4663" s="182" t="n">
        <v>0</v>
      </c>
      <c r="AJ4663" s="182" t="n">
        <v>0</v>
      </c>
      <c r="AK4663" s="182" t="n">
        <v>0</v>
      </c>
      <c r="AL4663" s="182" t="n">
        <v>0</v>
      </c>
      <c r="AM4663" s="182" t="n">
        <v>0</v>
      </c>
      <c r="AN4663" s="182" t="n">
        <v>0</v>
      </c>
    </row>
    <row r="4664">
      <c r="A4664" s="155" t="n">
        <v>46103</v>
      </c>
      <c r="B4664" s="156" t="inlineStr">
        <is>
          <t>DS</t>
        </is>
      </c>
      <c r="C4664" s="156" t="inlineStr">
        <is>
          <t>EX-334</t>
        </is>
      </c>
      <c r="D4664" s="156" t="inlineStr">
        <is>
          <t>PC 300-8MO</t>
        </is>
      </c>
      <c r="E4664" s="156" t="inlineStr">
        <is>
          <t>Excavator</t>
        </is>
      </c>
      <c r="F4664" s="156" t="inlineStr">
        <is>
          <t>Coal Cleaning</t>
        </is>
      </c>
      <c r="G4664" s="182" t="n">
        <v>6.76</v>
      </c>
      <c r="H4664" s="182" t="n">
        <v>0</v>
      </c>
      <c r="I4664" s="182" t="n">
        <v>3.38</v>
      </c>
      <c r="J4664" s="182" t="n">
        <v>3.38</v>
      </c>
      <c r="K4664" s="182" t="n">
        <v>1.86</v>
      </c>
      <c r="L4664" s="182" t="n">
        <v>12</v>
      </c>
      <c r="M4664" s="182" t="n">
        <v>0</v>
      </c>
      <c r="N4664" s="182" t="n">
        <v>0</v>
      </c>
      <c r="O4664" s="183" t="n">
        <v>0</v>
      </c>
      <c r="P4664" s="183" t="n">
        <v>0</v>
      </c>
      <c r="Q4664" s="184" t="n">
        <v>0</v>
      </c>
      <c r="R4664" s="184" t="n">
        <v>0</v>
      </c>
      <c r="S4664" s="183" t="n">
        <v>0</v>
      </c>
      <c r="T4664" s="183" t="n">
        <v>0</v>
      </c>
      <c r="U4664" s="182" t="n">
        <v>0.61</v>
      </c>
      <c r="V4664" s="182" t="n">
        <v>0</v>
      </c>
      <c r="W4664" s="182" t="n">
        <v>0</v>
      </c>
      <c r="X4664" s="182" t="n">
        <v>1.15</v>
      </c>
      <c r="Y4664" s="182" t="n">
        <v>0</v>
      </c>
      <c r="Z4664" s="182" t="n">
        <v>0</v>
      </c>
      <c r="AA4664" s="182" t="n">
        <v>0</v>
      </c>
      <c r="AB4664" s="182" t="n">
        <v>0</v>
      </c>
      <c r="AC4664" s="182" t="n">
        <v>0</v>
      </c>
      <c r="AD4664" s="182" t="n">
        <v>0</v>
      </c>
      <c r="AE4664" s="182" t="n">
        <v>0</v>
      </c>
      <c r="AF4664" s="182" t="n">
        <v>0</v>
      </c>
      <c r="AG4664" s="182" t="n">
        <v>0</v>
      </c>
      <c r="AH4664" s="182" t="n">
        <v>0</v>
      </c>
      <c r="AI4664" s="182" t="n">
        <v>0</v>
      </c>
      <c r="AJ4664" s="182" t="n">
        <v>0</v>
      </c>
      <c r="AK4664" s="182" t="n">
        <v>0</v>
      </c>
      <c r="AL4664" s="182" t="n">
        <v>0</v>
      </c>
      <c r="AM4664" s="182" t="n">
        <v>0.09</v>
      </c>
      <c r="AN4664" s="182" t="n">
        <v>0</v>
      </c>
    </row>
    <row r="4665">
      <c r="A4665" s="155" t="n">
        <v>46103</v>
      </c>
      <c r="B4665" s="156" t="inlineStr">
        <is>
          <t>DS</t>
        </is>
      </c>
      <c r="C4665" s="156" t="inlineStr">
        <is>
          <t>EX-332</t>
        </is>
      </c>
      <c r="D4665" s="156" t="inlineStr">
        <is>
          <t>PC 300-8MO</t>
        </is>
      </c>
      <c r="E4665" s="156" t="inlineStr">
        <is>
          <t>Excavator</t>
        </is>
      </c>
      <c r="F4665" s="156" t="inlineStr">
        <is>
          <t>Coal Cleaning</t>
        </is>
      </c>
      <c r="G4665" s="182" t="n">
        <v>4.01</v>
      </c>
      <c r="H4665" s="182" t="n">
        <v>0</v>
      </c>
      <c r="I4665" s="182" t="n">
        <v>6.7</v>
      </c>
      <c r="J4665" s="182" t="n">
        <v>6.7</v>
      </c>
      <c r="K4665" s="182" t="n">
        <v>1.29</v>
      </c>
      <c r="L4665" s="182" t="n">
        <v>12</v>
      </c>
      <c r="M4665" s="182" t="n">
        <v>0</v>
      </c>
      <c r="N4665" s="182" t="n">
        <v>0</v>
      </c>
      <c r="O4665" s="183" t="n">
        <v>0</v>
      </c>
      <c r="P4665" s="183" t="n">
        <v>0</v>
      </c>
      <c r="Q4665" s="184" t="n">
        <v>0</v>
      </c>
      <c r="R4665" s="184" t="n">
        <v>0</v>
      </c>
      <c r="S4665" s="183" t="n">
        <v>0</v>
      </c>
      <c r="T4665" s="183" t="n">
        <v>0</v>
      </c>
      <c r="U4665" s="182" t="n">
        <v>0.8</v>
      </c>
      <c r="V4665" s="182" t="n">
        <v>0</v>
      </c>
      <c r="W4665" s="182" t="n">
        <v>0</v>
      </c>
      <c r="X4665" s="182" t="n">
        <v>0.39</v>
      </c>
      <c r="Y4665" s="182" t="n">
        <v>0</v>
      </c>
      <c r="Z4665" s="182" t="n">
        <v>0</v>
      </c>
      <c r="AA4665" s="182" t="n">
        <v>0</v>
      </c>
      <c r="AB4665" s="182" t="n">
        <v>0</v>
      </c>
      <c r="AC4665" s="182" t="n">
        <v>0</v>
      </c>
      <c r="AD4665" s="182" t="n">
        <v>0</v>
      </c>
      <c r="AE4665" s="182" t="n">
        <v>0</v>
      </c>
      <c r="AF4665" s="182" t="n">
        <v>0</v>
      </c>
      <c r="AG4665" s="182" t="n">
        <v>0</v>
      </c>
      <c r="AH4665" s="182" t="n">
        <v>0</v>
      </c>
      <c r="AI4665" s="182" t="n">
        <v>0</v>
      </c>
      <c r="AJ4665" s="182" t="n">
        <v>0</v>
      </c>
      <c r="AK4665" s="182" t="n">
        <v>0</v>
      </c>
      <c r="AL4665" s="182" t="n">
        <v>0</v>
      </c>
      <c r="AM4665" s="182" t="n">
        <v>0.1</v>
      </c>
      <c r="AN4665" s="182" t="n">
        <v>0</v>
      </c>
    </row>
    <row r="4666">
      <c r="A4666" s="155" t="n">
        <v>46103</v>
      </c>
      <c r="B4666" s="156" t="inlineStr">
        <is>
          <t>DS</t>
        </is>
      </c>
      <c r="C4666" s="156" t="inlineStr">
        <is>
          <t>EX-333</t>
        </is>
      </c>
      <c r="D4666" s="156" t="inlineStr">
        <is>
          <t>PC 300-8MO</t>
        </is>
      </c>
      <c r="E4666" s="156" t="inlineStr">
        <is>
          <t>Excavator</t>
        </is>
      </c>
      <c r="F4666" s="156" t="inlineStr">
        <is>
          <t>Coal cleaning S60 &amp; S45</t>
        </is>
      </c>
      <c r="G4666" s="182" t="n">
        <v>11.07</v>
      </c>
      <c r="H4666" s="182" t="n">
        <v>0</v>
      </c>
      <c r="I4666" s="182" t="n">
        <v>0.5</v>
      </c>
      <c r="J4666" s="182" t="n">
        <v>0.5</v>
      </c>
      <c r="K4666" s="182" t="n">
        <v>0.43</v>
      </c>
      <c r="L4666" s="182" t="n">
        <v>12</v>
      </c>
      <c r="M4666" s="182" t="n">
        <v>0</v>
      </c>
      <c r="N4666" s="182" t="n">
        <v>0</v>
      </c>
      <c r="O4666" s="183" t="n">
        <v>0</v>
      </c>
      <c r="P4666" s="183" t="n">
        <v>0</v>
      </c>
      <c r="Q4666" s="184" t="n">
        <v>0</v>
      </c>
      <c r="R4666" s="184" t="n">
        <v>0</v>
      </c>
      <c r="S4666" s="183" t="n">
        <v>0</v>
      </c>
      <c r="T4666" s="183" t="n">
        <v>0</v>
      </c>
      <c r="U4666" s="182" t="n">
        <v>0</v>
      </c>
      <c r="V4666" s="182" t="n">
        <v>0</v>
      </c>
      <c r="W4666" s="182" t="n">
        <v>0</v>
      </c>
      <c r="X4666" s="182" t="n">
        <v>0</v>
      </c>
      <c r="Y4666" s="182" t="n">
        <v>0</v>
      </c>
      <c r="Z4666" s="182" t="n">
        <v>0</v>
      </c>
      <c r="AA4666" s="182" t="n">
        <v>0</v>
      </c>
      <c r="AB4666" s="182" t="n">
        <v>0</v>
      </c>
      <c r="AC4666" s="182" t="n">
        <v>0</v>
      </c>
      <c r="AD4666" s="182" t="n">
        <v>0</v>
      </c>
      <c r="AE4666" s="182" t="n">
        <v>0</v>
      </c>
      <c r="AF4666" s="182" t="n">
        <v>0</v>
      </c>
      <c r="AG4666" s="182" t="n">
        <v>0</v>
      </c>
      <c r="AH4666" s="182" t="n">
        <v>0</v>
      </c>
      <c r="AI4666" s="182" t="n">
        <v>0</v>
      </c>
      <c r="AJ4666" s="182" t="n">
        <v>0</v>
      </c>
      <c r="AK4666" s="182" t="n">
        <v>0</v>
      </c>
      <c r="AL4666" s="182" t="n">
        <v>0</v>
      </c>
      <c r="AM4666" s="182" t="n">
        <v>0</v>
      </c>
      <c r="AN4666" s="182" t="n">
        <v>0</v>
      </c>
    </row>
    <row r="4667">
      <c r="A4667" s="155" t="n">
        <v>46103</v>
      </c>
      <c r="B4667" s="156" t="inlineStr">
        <is>
          <t>DS</t>
        </is>
      </c>
      <c r="C4667" s="156" t="inlineStr">
        <is>
          <t>EX-336</t>
        </is>
      </c>
      <c r="D4667" s="156" t="inlineStr">
        <is>
          <t>PC 300-8MO</t>
        </is>
      </c>
      <c r="E4667" s="156" t="inlineStr">
        <is>
          <t>Excavator</t>
        </is>
      </c>
      <c r="F4667" s="156" t="inlineStr">
        <is>
          <t>Loading Coal S60</t>
        </is>
      </c>
      <c r="G4667" s="182" t="n">
        <v>9.130000000000001</v>
      </c>
      <c r="H4667" s="182" t="n">
        <v>0</v>
      </c>
      <c r="I4667" s="182" t="n">
        <v>2.87</v>
      </c>
      <c r="J4667" s="182" t="n">
        <v>2.87</v>
      </c>
      <c r="K4667" s="182" t="n">
        <v>0</v>
      </c>
      <c r="L4667" s="182" t="n">
        <v>12</v>
      </c>
      <c r="M4667" s="182" t="n">
        <v>0</v>
      </c>
      <c r="N4667" s="182" t="n">
        <v>1.49</v>
      </c>
      <c r="O4667" s="183" t="n">
        <v>0</v>
      </c>
      <c r="P4667" s="183" t="n">
        <v>11</v>
      </c>
      <c r="Q4667" s="184" t="n">
        <v>0</v>
      </c>
      <c r="R4667" s="184" t="n">
        <v>178.5</v>
      </c>
      <c r="S4667" s="183" t="n">
        <v>0</v>
      </c>
      <c r="T4667" s="183" t="n">
        <v>0</v>
      </c>
      <c r="U4667" s="182" t="n">
        <v>0</v>
      </c>
      <c r="V4667" s="182" t="n">
        <v>0</v>
      </c>
      <c r="W4667" s="182" t="n">
        <v>0</v>
      </c>
      <c r="X4667" s="182" t="n">
        <v>0</v>
      </c>
      <c r="Y4667" s="182" t="n">
        <v>0</v>
      </c>
      <c r="Z4667" s="182" t="n">
        <v>0</v>
      </c>
      <c r="AA4667" s="182" t="n">
        <v>0</v>
      </c>
      <c r="AB4667" s="182" t="n">
        <v>0</v>
      </c>
      <c r="AC4667" s="182" t="n">
        <v>0</v>
      </c>
      <c r="AD4667" s="182" t="n">
        <v>0</v>
      </c>
      <c r="AE4667" s="182" t="n">
        <v>0</v>
      </c>
      <c r="AF4667" s="182" t="n">
        <v>0</v>
      </c>
      <c r="AG4667" s="182" t="n">
        <v>0</v>
      </c>
      <c r="AH4667" s="182" t="n">
        <v>0</v>
      </c>
      <c r="AI4667" s="182" t="n">
        <v>0</v>
      </c>
      <c r="AJ4667" s="182" t="n">
        <v>0</v>
      </c>
      <c r="AK4667" s="182" t="n">
        <v>0</v>
      </c>
      <c r="AL4667" s="182" t="n">
        <v>0</v>
      </c>
      <c r="AM4667" s="182" t="n">
        <v>0</v>
      </c>
      <c r="AN4667" s="182" t="n">
        <v>0</v>
      </c>
    </row>
    <row r="4668">
      <c r="A4668" s="155" t="n">
        <v>46103</v>
      </c>
      <c r="B4668" s="156" t="inlineStr">
        <is>
          <t>DS</t>
        </is>
      </c>
      <c r="C4668" s="156" t="inlineStr">
        <is>
          <t>EX-335</t>
        </is>
      </c>
      <c r="D4668" s="156" t="inlineStr">
        <is>
          <t>PC 300-8MO</t>
        </is>
      </c>
      <c r="E4668" s="156" t="inlineStr">
        <is>
          <t>Excavator</t>
        </is>
      </c>
      <c r="F4668" s="156" t="inlineStr"/>
      <c r="G4668" s="182" t="n">
        <v>0</v>
      </c>
      <c r="H4668" s="182" t="n">
        <v>0</v>
      </c>
      <c r="I4668" s="182" t="n">
        <v>12</v>
      </c>
      <c r="J4668" s="182" t="n">
        <v>12</v>
      </c>
      <c r="K4668" s="182" t="n">
        <v>0</v>
      </c>
      <c r="L4668" s="182" t="n">
        <v>12</v>
      </c>
      <c r="M4668" s="182" t="n">
        <v>0</v>
      </c>
      <c r="N4668" s="182" t="n">
        <v>0</v>
      </c>
      <c r="O4668" s="183" t="n">
        <v>0</v>
      </c>
      <c r="P4668" s="183" t="n">
        <v>0</v>
      </c>
      <c r="Q4668" s="184" t="n">
        <v>0</v>
      </c>
      <c r="R4668" s="184" t="n">
        <v>0</v>
      </c>
      <c r="S4668" s="183" t="n">
        <v>0</v>
      </c>
      <c r="T4668" s="183" t="n">
        <v>0</v>
      </c>
      <c r="U4668" s="182" t="n">
        <v>0</v>
      </c>
      <c r="V4668" s="182" t="n">
        <v>0</v>
      </c>
      <c r="W4668" s="182" t="n">
        <v>0</v>
      </c>
      <c r="X4668" s="182" t="n">
        <v>0</v>
      </c>
      <c r="Y4668" s="182" t="n">
        <v>0</v>
      </c>
      <c r="Z4668" s="182" t="n">
        <v>0</v>
      </c>
      <c r="AA4668" s="182" t="n">
        <v>0</v>
      </c>
      <c r="AB4668" s="182" t="n">
        <v>0</v>
      </c>
      <c r="AC4668" s="182" t="n">
        <v>0</v>
      </c>
      <c r="AD4668" s="182" t="n">
        <v>0</v>
      </c>
      <c r="AE4668" s="182" t="n">
        <v>0</v>
      </c>
      <c r="AF4668" s="182" t="n">
        <v>0</v>
      </c>
      <c r="AG4668" s="182" t="n">
        <v>0</v>
      </c>
      <c r="AH4668" s="182" t="n">
        <v>0</v>
      </c>
      <c r="AI4668" s="182" t="n">
        <v>0</v>
      </c>
      <c r="AJ4668" s="182" t="n">
        <v>0</v>
      </c>
      <c r="AK4668" s="182" t="n">
        <v>0</v>
      </c>
      <c r="AL4668" s="182" t="n">
        <v>0</v>
      </c>
      <c r="AM4668" s="182" t="n">
        <v>0</v>
      </c>
      <c r="AN4668" s="182" t="n">
        <v>0</v>
      </c>
    </row>
    <row r="4669">
      <c r="A4669" s="155" t="n">
        <v>46103</v>
      </c>
      <c r="B4669" s="156" t="inlineStr">
        <is>
          <t>DS</t>
        </is>
      </c>
      <c r="C4669" s="156" t="inlineStr">
        <is>
          <t>EX-754</t>
        </is>
      </c>
      <c r="D4669" s="156" t="inlineStr">
        <is>
          <t>SY750H-PRO</t>
        </is>
      </c>
      <c r="E4669" s="156" t="inlineStr">
        <is>
          <t>Excavator</t>
        </is>
      </c>
      <c r="F4669" s="156" t="inlineStr">
        <is>
          <t>General Pembuatan Gorong 2x // Loading Coal S45</t>
        </is>
      </c>
      <c r="G4669" s="182" t="n">
        <v>7.93</v>
      </c>
      <c r="H4669" s="182" t="n">
        <v>0</v>
      </c>
      <c r="I4669" s="182" t="n">
        <v>4.07</v>
      </c>
      <c r="J4669" s="182" t="n">
        <v>4.07</v>
      </c>
      <c r="K4669" s="182" t="n">
        <v>0</v>
      </c>
      <c r="L4669" s="182" t="n">
        <v>12</v>
      </c>
      <c r="M4669" s="182" t="n">
        <v>0</v>
      </c>
      <c r="N4669" s="182" t="n">
        <v>5.32</v>
      </c>
      <c r="O4669" s="183" t="n">
        <v>0</v>
      </c>
      <c r="P4669" s="183" t="n">
        <v>45</v>
      </c>
      <c r="Q4669" s="184" t="n">
        <v>0</v>
      </c>
      <c r="R4669" s="184" t="n">
        <v>841.5</v>
      </c>
      <c r="S4669" s="183" t="n">
        <v>0</v>
      </c>
      <c r="T4669" s="183" t="n">
        <v>0</v>
      </c>
      <c r="U4669" s="182" t="n">
        <v>0</v>
      </c>
      <c r="V4669" s="182" t="n">
        <v>0</v>
      </c>
      <c r="W4669" s="182" t="n">
        <v>0</v>
      </c>
      <c r="X4669" s="182" t="n">
        <v>0</v>
      </c>
      <c r="Y4669" s="182" t="n">
        <v>0</v>
      </c>
      <c r="Z4669" s="182" t="n">
        <v>0</v>
      </c>
      <c r="AA4669" s="182" t="n">
        <v>0</v>
      </c>
      <c r="AB4669" s="182" t="n">
        <v>0</v>
      </c>
      <c r="AC4669" s="182" t="n">
        <v>0</v>
      </c>
      <c r="AD4669" s="182" t="n">
        <v>0</v>
      </c>
      <c r="AE4669" s="182" t="n">
        <v>0</v>
      </c>
      <c r="AF4669" s="182" t="n">
        <v>0</v>
      </c>
      <c r="AG4669" s="182" t="n">
        <v>0</v>
      </c>
      <c r="AH4669" s="182" t="n">
        <v>0</v>
      </c>
      <c r="AI4669" s="182" t="n">
        <v>0</v>
      </c>
      <c r="AJ4669" s="182" t="n">
        <v>0</v>
      </c>
      <c r="AK4669" s="182" t="n">
        <v>0</v>
      </c>
      <c r="AL4669" s="182" t="n">
        <v>0</v>
      </c>
      <c r="AM4669" s="182" t="n">
        <v>0</v>
      </c>
      <c r="AN4669" s="182" t="n">
        <v>0</v>
      </c>
    </row>
    <row r="4670">
      <c r="A4670" s="155" t="n">
        <v>46103</v>
      </c>
      <c r="B4670" s="156" t="inlineStr">
        <is>
          <t>DS</t>
        </is>
      </c>
      <c r="C4670" s="156" t="inlineStr">
        <is>
          <t>EX-755</t>
        </is>
      </c>
      <c r="D4670" s="156" t="inlineStr">
        <is>
          <t>SY750H-PRO</t>
        </is>
      </c>
      <c r="E4670" s="156" t="inlineStr">
        <is>
          <t>Excavator</t>
        </is>
      </c>
      <c r="F4670" s="156" t="inlineStr">
        <is>
          <t>Loading Spoil, Parting &amp; OB</t>
        </is>
      </c>
      <c r="G4670" s="182" t="n">
        <v>5.34</v>
      </c>
      <c r="H4670" s="182" t="n">
        <v>0</v>
      </c>
      <c r="I4670" s="182" t="n">
        <v>0</v>
      </c>
      <c r="J4670" s="182" t="n">
        <v>0</v>
      </c>
      <c r="K4670" s="182" t="n">
        <v>6.66</v>
      </c>
      <c r="L4670" s="182" t="n">
        <v>12</v>
      </c>
      <c r="M4670" s="182" t="n">
        <v>2.02</v>
      </c>
      <c r="N4670" s="182" t="n">
        <v>0</v>
      </c>
      <c r="O4670" s="183" t="n">
        <v>22</v>
      </c>
      <c r="P4670" s="183" t="n">
        <v>0</v>
      </c>
      <c r="Q4670" s="184" t="n">
        <v>408</v>
      </c>
      <c r="R4670" s="184" t="n">
        <v>0</v>
      </c>
      <c r="S4670" s="183" t="n">
        <v>0</v>
      </c>
      <c r="T4670" s="183" t="n">
        <v>0</v>
      </c>
      <c r="U4670" s="182" t="n">
        <v>2.78</v>
      </c>
      <c r="V4670" s="182" t="n">
        <v>2.76</v>
      </c>
      <c r="W4670" s="182" t="n">
        <v>0</v>
      </c>
      <c r="X4670" s="182" t="n">
        <v>1.04</v>
      </c>
      <c r="Y4670" s="182" t="n">
        <v>0</v>
      </c>
      <c r="Z4670" s="182" t="n">
        <v>0</v>
      </c>
      <c r="AA4670" s="182" t="n">
        <v>0</v>
      </c>
      <c r="AB4670" s="182" t="n">
        <v>0</v>
      </c>
      <c r="AC4670" s="182" t="n">
        <v>0</v>
      </c>
      <c r="AD4670" s="182" t="n">
        <v>0</v>
      </c>
      <c r="AE4670" s="182" t="n">
        <v>0</v>
      </c>
      <c r="AF4670" s="182" t="n">
        <v>0</v>
      </c>
      <c r="AG4670" s="182" t="n">
        <v>0</v>
      </c>
      <c r="AH4670" s="182" t="n">
        <v>0</v>
      </c>
      <c r="AI4670" s="182" t="n">
        <v>0</v>
      </c>
      <c r="AJ4670" s="182" t="n">
        <v>0</v>
      </c>
      <c r="AK4670" s="182" t="n">
        <v>0</v>
      </c>
      <c r="AL4670" s="182" t="n">
        <v>0</v>
      </c>
      <c r="AM4670" s="182" t="n">
        <v>0.08</v>
      </c>
      <c r="AN4670" s="182" t="n">
        <v>0</v>
      </c>
    </row>
    <row r="4671">
      <c r="A4671" s="155" t="n">
        <v>46103</v>
      </c>
      <c r="B4671" s="156" t="inlineStr">
        <is>
          <t>DS</t>
        </is>
      </c>
      <c r="C4671" s="156" t="inlineStr">
        <is>
          <t>EX-752</t>
        </is>
      </c>
      <c r="D4671" s="156" t="inlineStr">
        <is>
          <t>SY750H-PRO</t>
        </is>
      </c>
      <c r="E4671" s="156" t="inlineStr">
        <is>
          <t>Excavator</t>
        </is>
      </c>
      <c r="F4671" s="156" t="inlineStr"/>
      <c r="G4671" s="182" t="n">
        <v>0</v>
      </c>
      <c r="H4671" s="182" t="n">
        <v>0</v>
      </c>
      <c r="I4671" s="182" t="n">
        <v>12</v>
      </c>
      <c r="J4671" s="182" t="n">
        <v>12</v>
      </c>
      <c r="K4671" s="182" t="n">
        <v>0</v>
      </c>
      <c r="L4671" s="182" t="n">
        <v>12</v>
      </c>
      <c r="M4671" s="182" t="n">
        <v>0</v>
      </c>
      <c r="N4671" s="182" t="n">
        <v>0</v>
      </c>
      <c r="O4671" s="183" t="n">
        <v>0</v>
      </c>
      <c r="P4671" s="183" t="n">
        <v>0</v>
      </c>
      <c r="Q4671" s="184" t="n">
        <v>0</v>
      </c>
      <c r="R4671" s="184" t="n">
        <v>0</v>
      </c>
      <c r="S4671" s="183" t="n">
        <v>0</v>
      </c>
      <c r="T4671" s="183" t="n">
        <v>0</v>
      </c>
      <c r="U4671" s="182" t="n">
        <v>0</v>
      </c>
      <c r="V4671" s="182" t="n">
        <v>0</v>
      </c>
      <c r="W4671" s="182" t="n">
        <v>0</v>
      </c>
      <c r="X4671" s="182" t="n">
        <v>0</v>
      </c>
      <c r="Y4671" s="182" t="n">
        <v>0</v>
      </c>
      <c r="Z4671" s="182" t="n">
        <v>0</v>
      </c>
      <c r="AA4671" s="182" t="n">
        <v>0</v>
      </c>
      <c r="AB4671" s="182" t="n">
        <v>0</v>
      </c>
      <c r="AC4671" s="182" t="n">
        <v>0</v>
      </c>
      <c r="AD4671" s="182" t="n">
        <v>0</v>
      </c>
      <c r="AE4671" s="182" t="n">
        <v>0</v>
      </c>
      <c r="AF4671" s="182" t="n">
        <v>0</v>
      </c>
      <c r="AG4671" s="182" t="n">
        <v>0</v>
      </c>
      <c r="AH4671" s="182" t="n">
        <v>0</v>
      </c>
      <c r="AI4671" s="182" t="n">
        <v>0</v>
      </c>
      <c r="AJ4671" s="182" t="n">
        <v>0</v>
      </c>
      <c r="AK4671" s="182" t="n">
        <v>0</v>
      </c>
      <c r="AL4671" s="182" t="n">
        <v>0</v>
      </c>
      <c r="AM4671" s="182" t="n">
        <v>0</v>
      </c>
      <c r="AN4671" s="182" t="n">
        <v>0</v>
      </c>
    </row>
    <row r="4672">
      <c r="A4672" s="155" t="n">
        <v>46103</v>
      </c>
      <c r="B4672" s="156" t="inlineStr">
        <is>
          <t>DS</t>
        </is>
      </c>
      <c r="C4672" s="156" t="inlineStr">
        <is>
          <t>EX-751</t>
        </is>
      </c>
      <c r="D4672" s="156" t="inlineStr">
        <is>
          <t>SY750H-PRO</t>
        </is>
      </c>
      <c r="E4672" s="156" t="inlineStr">
        <is>
          <t>Excavator</t>
        </is>
      </c>
      <c r="F4672" s="156" t="inlineStr"/>
      <c r="G4672" s="182" t="n">
        <v>0</v>
      </c>
      <c r="H4672" s="182" t="n">
        <v>0</v>
      </c>
      <c r="I4672" s="182" t="n">
        <v>12</v>
      </c>
      <c r="J4672" s="182" t="n">
        <v>12</v>
      </c>
      <c r="K4672" s="182" t="n">
        <v>0</v>
      </c>
      <c r="L4672" s="182" t="n">
        <v>12</v>
      </c>
      <c r="M4672" s="182" t="n">
        <v>0</v>
      </c>
      <c r="N4672" s="182" t="n">
        <v>0</v>
      </c>
      <c r="O4672" s="183" t="n">
        <v>0</v>
      </c>
      <c r="P4672" s="183" t="n">
        <v>0</v>
      </c>
      <c r="Q4672" s="184" t="n">
        <v>0</v>
      </c>
      <c r="R4672" s="184" t="n">
        <v>0</v>
      </c>
      <c r="S4672" s="183" t="n">
        <v>0</v>
      </c>
      <c r="T4672" s="183" t="n">
        <v>0</v>
      </c>
      <c r="U4672" s="182" t="n">
        <v>0</v>
      </c>
      <c r="V4672" s="182" t="n">
        <v>0</v>
      </c>
      <c r="W4672" s="182" t="n">
        <v>0</v>
      </c>
      <c r="X4672" s="182" t="n">
        <v>0</v>
      </c>
      <c r="Y4672" s="182" t="n">
        <v>0</v>
      </c>
      <c r="Z4672" s="182" t="n">
        <v>0</v>
      </c>
      <c r="AA4672" s="182" t="n">
        <v>0</v>
      </c>
      <c r="AB4672" s="182" t="n">
        <v>0</v>
      </c>
      <c r="AC4672" s="182" t="n">
        <v>0</v>
      </c>
      <c r="AD4672" s="182" t="n">
        <v>0</v>
      </c>
      <c r="AE4672" s="182" t="n">
        <v>0</v>
      </c>
      <c r="AF4672" s="182" t="n">
        <v>0</v>
      </c>
      <c r="AG4672" s="182" t="n">
        <v>0</v>
      </c>
      <c r="AH4672" s="182" t="n">
        <v>0</v>
      </c>
      <c r="AI4672" s="182" t="n">
        <v>0</v>
      </c>
      <c r="AJ4672" s="182" t="n">
        <v>0</v>
      </c>
      <c r="AK4672" s="182" t="n">
        <v>0</v>
      </c>
      <c r="AL4672" s="182" t="n">
        <v>0</v>
      </c>
      <c r="AM4672" s="182" t="n">
        <v>0</v>
      </c>
      <c r="AN4672" s="182" t="n">
        <v>0</v>
      </c>
    </row>
    <row r="4673">
      <c r="A4673" s="155" t="n">
        <v>46103</v>
      </c>
      <c r="B4673" s="156" t="inlineStr">
        <is>
          <t>DS</t>
        </is>
      </c>
      <c r="C4673" s="156" t="inlineStr">
        <is>
          <t>EX-753</t>
        </is>
      </c>
      <c r="D4673" s="156" t="inlineStr">
        <is>
          <t>SY750H-PRO</t>
        </is>
      </c>
      <c r="E4673" s="156" t="inlineStr">
        <is>
          <t>Excavator</t>
        </is>
      </c>
      <c r="F4673" s="156" t="inlineStr">
        <is>
          <t>Loading Coal S60</t>
        </is>
      </c>
      <c r="G4673" s="182" t="n">
        <v>6.69</v>
      </c>
      <c r="H4673" s="182" t="n">
        <v>0</v>
      </c>
      <c r="I4673" s="182" t="n">
        <v>0</v>
      </c>
      <c r="J4673" s="182" t="n">
        <v>0</v>
      </c>
      <c r="K4673" s="182" t="n">
        <v>5.31</v>
      </c>
      <c r="L4673" s="182" t="n">
        <v>12</v>
      </c>
      <c r="M4673" s="182" t="n">
        <v>0</v>
      </c>
      <c r="N4673" s="182" t="n">
        <v>6.69</v>
      </c>
      <c r="O4673" s="183" t="n">
        <v>0</v>
      </c>
      <c r="P4673" s="183" t="n">
        <v>50</v>
      </c>
      <c r="Q4673" s="184" t="n">
        <v>0</v>
      </c>
      <c r="R4673" s="184" t="n">
        <v>935</v>
      </c>
      <c r="S4673" s="183" t="n">
        <v>0</v>
      </c>
      <c r="T4673" s="183" t="n">
        <v>0</v>
      </c>
      <c r="U4673" s="182" t="n">
        <v>2.69</v>
      </c>
      <c r="V4673" s="182" t="n">
        <v>1.54</v>
      </c>
      <c r="W4673" s="182" t="n">
        <v>0</v>
      </c>
      <c r="X4673" s="182" t="n">
        <v>1.01</v>
      </c>
      <c r="Y4673" s="182" t="n">
        <v>0</v>
      </c>
      <c r="Z4673" s="182" t="n">
        <v>0</v>
      </c>
      <c r="AA4673" s="182" t="n">
        <v>0</v>
      </c>
      <c r="AB4673" s="182" t="n">
        <v>0</v>
      </c>
      <c r="AC4673" s="182" t="n">
        <v>0</v>
      </c>
      <c r="AD4673" s="182" t="n">
        <v>0</v>
      </c>
      <c r="AE4673" s="182" t="n">
        <v>0</v>
      </c>
      <c r="AF4673" s="182" t="n">
        <v>0</v>
      </c>
      <c r="AG4673" s="182" t="n">
        <v>0</v>
      </c>
      <c r="AH4673" s="182" t="n">
        <v>0</v>
      </c>
      <c r="AI4673" s="182" t="n">
        <v>0</v>
      </c>
      <c r="AJ4673" s="182" t="n">
        <v>0</v>
      </c>
      <c r="AK4673" s="182" t="n">
        <v>0</v>
      </c>
      <c r="AL4673" s="182" t="n">
        <v>0</v>
      </c>
      <c r="AM4673" s="182" t="n">
        <v>0.08</v>
      </c>
      <c r="AN4673" s="182" t="n">
        <v>0</v>
      </c>
    </row>
    <row r="4674">
      <c r="A4674" s="155" t="n">
        <v>46103</v>
      </c>
      <c r="B4674" s="156" t="inlineStr">
        <is>
          <t>DS</t>
        </is>
      </c>
      <c r="C4674" s="156" t="inlineStr">
        <is>
          <t>GD-012</t>
        </is>
      </c>
      <c r="D4674" s="156" t="inlineStr">
        <is>
          <t>STG 230C - 8S</t>
        </is>
      </c>
      <c r="E4674" s="156" t="inlineStr">
        <is>
          <t>Grader</t>
        </is>
      </c>
      <c r="F4674" s="156" t="inlineStr"/>
      <c r="G4674" s="182" t="n">
        <v>0</v>
      </c>
      <c r="H4674" s="182" t="n">
        <v>0</v>
      </c>
      <c r="I4674" s="182" t="n">
        <v>0</v>
      </c>
      <c r="J4674" s="182" t="n">
        <v>0</v>
      </c>
      <c r="K4674" s="182" t="n">
        <v>12</v>
      </c>
      <c r="L4674" s="182" t="n">
        <v>12</v>
      </c>
      <c r="M4674" s="182" t="n">
        <v>0</v>
      </c>
      <c r="N4674" s="182" t="n">
        <v>0</v>
      </c>
      <c r="O4674" s="183" t="n">
        <v>0</v>
      </c>
      <c r="P4674" s="183" t="n">
        <v>0</v>
      </c>
      <c r="Q4674" s="184" t="n">
        <v>0</v>
      </c>
      <c r="R4674" s="184" t="n">
        <v>0</v>
      </c>
      <c r="S4674" s="183" t="n">
        <v>0</v>
      </c>
      <c r="T4674" s="183" t="n">
        <v>0</v>
      </c>
      <c r="U4674" s="182" t="n">
        <v>0</v>
      </c>
      <c r="V4674" s="182" t="n">
        <v>0</v>
      </c>
      <c r="W4674" s="182" t="n">
        <v>0</v>
      </c>
      <c r="X4674" s="182" t="n">
        <v>1</v>
      </c>
      <c r="Y4674" s="182" t="n">
        <v>0</v>
      </c>
      <c r="Z4674" s="182" t="n">
        <v>0</v>
      </c>
      <c r="AA4674" s="182" t="n">
        <v>0</v>
      </c>
      <c r="AB4674" s="182" t="n">
        <v>0</v>
      </c>
      <c r="AC4674" s="182" t="n">
        <v>0</v>
      </c>
      <c r="AD4674" s="182" t="n">
        <v>0</v>
      </c>
      <c r="AE4674" s="182" t="n">
        <v>0</v>
      </c>
      <c r="AF4674" s="182" t="n">
        <v>0</v>
      </c>
      <c r="AG4674" s="182" t="n">
        <v>0</v>
      </c>
      <c r="AH4674" s="182" t="n">
        <v>0</v>
      </c>
      <c r="AI4674" s="182" t="n">
        <v>0</v>
      </c>
      <c r="AJ4674" s="182" t="n">
        <v>0</v>
      </c>
      <c r="AK4674" s="182" t="n">
        <v>10.92</v>
      </c>
      <c r="AL4674" s="182" t="n">
        <v>0</v>
      </c>
      <c r="AM4674" s="182" t="n">
        <v>0.08</v>
      </c>
      <c r="AN4674" s="182" t="n">
        <v>0</v>
      </c>
    </row>
    <row r="4675">
      <c r="A4675" s="155" t="n">
        <v>46103</v>
      </c>
      <c r="B4675" s="156" t="inlineStr">
        <is>
          <t>DS</t>
        </is>
      </c>
      <c r="C4675" s="156" t="inlineStr">
        <is>
          <t>GD-011</t>
        </is>
      </c>
      <c r="D4675" s="156" t="inlineStr">
        <is>
          <t>STG 230C - 8S</t>
        </is>
      </c>
      <c r="E4675" s="156" t="inlineStr">
        <is>
          <t>Grader</t>
        </is>
      </c>
      <c r="F4675" s="156" t="inlineStr"/>
      <c r="G4675" s="182" t="n">
        <v>0</v>
      </c>
      <c r="H4675" s="182" t="n">
        <v>0</v>
      </c>
      <c r="I4675" s="182" t="n">
        <v>12</v>
      </c>
      <c r="J4675" s="182" t="n">
        <v>12</v>
      </c>
      <c r="K4675" s="182" t="n">
        <v>0</v>
      </c>
      <c r="L4675" s="182" t="n">
        <v>12</v>
      </c>
      <c r="M4675" s="182" t="n">
        <v>0</v>
      </c>
      <c r="N4675" s="182" t="n">
        <v>0</v>
      </c>
      <c r="O4675" s="183" t="n">
        <v>0</v>
      </c>
      <c r="P4675" s="183" t="n">
        <v>0</v>
      </c>
      <c r="Q4675" s="184" t="n">
        <v>0</v>
      </c>
      <c r="R4675" s="184" t="n">
        <v>0</v>
      </c>
      <c r="S4675" s="183" t="n">
        <v>0</v>
      </c>
      <c r="T4675" s="183" t="n">
        <v>0</v>
      </c>
      <c r="U4675" s="182" t="n">
        <v>0</v>
      </c>
      <c r="V4675" s="182" t="n">
        <v>0</v>
      </c>
      <c r="W4675" s="182" t="n">
        <v>0</v>
      </c>
      <c r="X4675" s="182" t="n">
        <v>0</v>
      </c>
      <c r="Y4675" s="182" t="n">
        <v>0</v>
      </c>
      <c r="Z4675" s="182" t="n">
        <v>0</v>
      </c>
      <c r="AA4675" s="182" t="n">
        <v>0</v>
      </c>
      <c r="AB4675" s="182" t="n">
        <v>0</v>
      </c>
      <c r="AC4675" s="182" t="n">
        <v>0</v>
      </c>
      <c r="AD4675" s="182" t="n">
        <v>0</v>
      </c>
      <c r="AE4675" s="182" t="n">
        <v>0</v>
      </c>
      <c r="AF4675" s="182" t="n">
        <v>0</v>
      </c>
      <c r="AG4675" s="182" t="n">
        <v>0</v>
      </c>
      <c r="AH4675" s="182" t="n">
        <v>0</v>
      </c>
      <c r="AI4675" s="182" t="n">
        <v>0</v>
      </c>
      <c r="AJ4675" s="182" t="n">
        <v>0</v>
      </c>
      <c r="AK4675" s="182" t="n">
        <v>0</v>
      </c>
      <c r="AL4675" s="182" t="n">
        <v>0</v>
      </c>
      <c r="AM4675" s="182" t="n">
        <v>0</v>
      </c>
      <c r="AN4675" s="182" t="n">
        <v>0</v>
      </c>
    </row>
    <row r="4676">
      <c r="A4676" s="155" t="n">
        <v>46103</v>
      </c>
      <c r="B4676" s="156" t="inlineStr">
        <is>
          <t>DS</t>
        </is>
      </c>
      <c r="C4676" s="156" t="inlineStr">
        <is>
          <t>GD-013</t>
        </is>
      </c>
      <c r="D4676" s="156" t="inlineStr">
        <is>
          <t>STG 265C - 10</t>
        </is>
      </c>
      <c r="E4676" s="156" t="inlineStr">
        <is>
          <t>Grader</t>
        </is>
      </c>
      <c r="F4676" s="156" t="inlineStr">
        <is>
          <t>Road Maintenance</t>
        </is>
      </c>
      <c r="G4676" s="182" t="n">
        <v>3.18</v>
      </c>
      <c r="H4676" s="182" t="n">
        <v>0</v>
      </c>
      <c r="I4676" s="182" t="n">
        <v>8.23</v>
      </c>
      <c r="J4676" s="182" t="n">
        <v>8.23</v>
      </c>
      <c r="K4676" s="182" t="n">
        <v>0.59</v>
      </c>
      <c r="L4676" s="182" t="n">
        <v>12</v>
      </c>
      <c r="M4676" s="182" t="n">
        <v>0</v>
      </c>
      <c r="N4676" s="182" t="n">
        <v>0</v>
      </c>
      <c r="O4676" s="183" t="n">
        <v>0</v>
      </c>
      <c r="P4676" s="183" t="n">
        <v>0</v>
      </c>
      <c r="Q4676" s="184" t="n">
        <v>0</v>
      </c>
      <c r="R4676" s="184" t="n">
        <v>0</v>
      </c>
      <c r="S4676" s="183" t="n">
        <v>0</v>
      </c>
      <c r="T4676" s="183" t="n">
        <v>0</v>
      </c>
      <c r="U4676" s="182" t="n">
        <v>0.37</v>
      </c>
      <c r="V4676" s="182" t="n">
        <v>0</v>
      </c>
      <c r="W4676" s="182" t="n">
        <v>0</v>
      </c>
      <c r="X4676" s="182" t="n">
        <v>0.08</v>
      </c>
      <c r="Y4676" s="182" t="n">
        <v>0</v>
      </c>
      <c r="Z4676" s="182" t="n">
        <v>0</v>
      </c>
      <c r="AA4676" s="182" t="n">
        <v>0</v>
      </c>
      <c r="AB4676" s="182" t="n">
        <v>0</v>
      </c>
      <c r="AC4676" s="182" t="n">
        <v>0</v>
      </c>
      <c r="AD4676" s="182" t="n">
        <v>0</v>
      </c>
      <c r="AE4676" s="182" t="n">
        <v>0</v>
      </c>
      <c r="AF4676" s="182" t="n">
        <v>0</v>
      </c>
      <c r="AG4676" s="182" t="n">
        <v>0</v>
      </c>
      <c r="AH4676" s="182" t="n">
        <v>0</v>
      </c>
      <c r="AI4676" s="182" t="n">
        <v>0</v>
      </c>
      <c r="AJ4676" s="182" t="n">
        <v>0</v>
      </c>
      <c r="AK4676" s="182" t="n">
        <v>0</v>
      </c>
      <c r="AL4676" s="182" t="n">
        <v>0</v>
      </c>
      <c r="AM4676" s="182" t="n">
        <v>0.13</v>
      </c>
      <c r="AN4676" s="182" t="n">
        <v>0</v>
      </c>
    </row>
    <row r="4677">
      <c r="A4677" s="155" t="n">
        <v>46103</v>
      </c>
      <c r="B4677" s="156" t="inlineStr">
        <is>
          <t>DS</t>
        </is>
      </c>
      <c r="C4677" s="156" t="inlineStr">
        <is>
          <t>GD-014</t>
        </is>
      </c>
      <c r="D4677" s="156" t="inlineStr">
        <is>
          <t>STG 335C - 10</t>
        </is>
      </c>
      <c r="E4677" s="156" t="inlineStr">
        <is>
          <t>Grader</t>
        </is>
      </c>
      <c r="F4677" s="156" t="inlineStr">
        <is>
          <t>Road Maintenance</t>
        </is>
      </c>
      <c r="G4677" s="182" t="n">
        <v>9.539999999999999</v>
      </c>
      <c r="H4677" s="182" t="n">
        <v>0</v>
      </c>
      <c r="I4677" s="182" t="n">
        <v>0</v>
      </c>
      <c r="J4677" s="182" t="n">
        <v>0</v>
      </c>
      <c r="K4677" s="182" t="n">
        <v>2.46</v>
      </c>
      <c r="L4677" s="182" t="n">
        <v>12</v>
      </c>
      <c r="M4677" s="182" t="n">
        <v>0</v>
      </c>
      <c r="N4677" s="182" t="n">
        <v>0</v>
      </c>
      <c r="O4677" s="183" t="n">
        <v>0</v>
      </c>
      <c r="P4677" s="183" t="n">
        <v>0</v>
      </c>
      <c r="Q4677" s="184" t="n">
        <v>0</v>
      </c>
      <c r="R4677" s="184" t="n">
        <v>0</v>
      </c>
      <c r="S4677" s="183" t="n">
        <v>0</v>
      </c>
      <c r="T4677" s="183" t="n">
        <v>0</v>
      </c>
      <c r="U4677" s="182" t="n">
        <v>1.25</v>
      </c>
      <c r="V4677" s="182" t="n">
        <v>0</v>
      </c>
      <c r="W4677" s="182" t="n">
        <v>0</v>
      </c>
      <c r="X4677" s="182" t="n">
        <v>1.12</v>
      </c>
      <c r="Y4677" s="182" t="n">
        <v>0</v>
      </c>
      <c r="Z4677" s="182" t="n">
        <v>0</v>
      </c>
      <c r="AA4677" s="182" t="n">
        <v>0</v>
      </c>
      <c r="AB4677" s="182" t="n">
        <v>0</v>
      </c>
      <c r="AC4677" s="182" t="n">
        <v>0</v>
      </c>
      <c r="AD4677" s="182" t="n">
        <v>0</v>
      </c>
      <c r="AE4677" s="182" t="n">
        <v>0</v>
      </c>
      <c r="AF4677" s="182" t="n">
        <v>0</v>
      </c>
      <c r="AG4677" s="182" t="n">
        <v>0</v>
      </c>
      <c r="AH4677" s="182" t="n">
        <v>0</v>
      </c>
      <c r="AI4677" s="182" t="n">
        <v>0</v>
      </c>
      <c r="AJ4677" s="182" t="n">
        <v>0</v>
      </c>
      <c r="AK4677" s="182" t="n">
        <v>0</v>
      </c>
      <c r="AL4677" s="182" t="n">
        <v>0</v>
      </c>
      <c r="AM4677" s="182" t="n">
        <v>0.09</v>
      </c>
      <c r="AN4677" s="182" t="n">
        <v>0</v>
      </c>
    </row>
    <row r="4678">
      <c r="A4678" s="155" t="n">
        <v>46103</v>
      </c>
      <c r="B4678" s="156" t="inlineStr">
        <is>
          <t>DS</t>
        </is>
      </c>
      <c r="C4678" s="156" t="inlineStr">
        <is>
          <t>DT-809</t>
        </is>
      </c>
      <c r="D4678" s="156" t="inlineStr">
        <is>
          <t>SKT 80S</t>
        </is>
      </c>
      <c r="E4678" s="156" t="inlineStr">
        <is>
          <t>Hauler</t>
        </is>
      </c>
      <c r="F4678" s="156" t="inlineStr"/>
      <c r="G4678" s="182" t="n">
        <v>0</v>
      </c>
      <c r="H4678" s="182" t="n">
        <v>0</v>
      </c>
      <c r="I4678" s="182" t="n">
        <v>12</v>
      </c>
      <c r="J4678" s="182" t="n">
        <v>12</v>
      </c>
      <c r="K4678" s="182" t="n">
        <v>0</v>
      </c>
      <c r="L4678" s="182" t="n">
        <v>12</v>
      </c>
      <c r="M4678" s="182" t="n">
        <v>0</v>
      </c>
      <c r="N4678" s="182" t="n">
        <v>0</v>
      </c>
      <c r="O4678" s="183" t="n">
        <v>0</v>
      </c>
      <c r="P4678" s="183" t="n">
        <v>0</v>
      </c>
      <c r="Q4678" s="184" t="n">
        <v>0</v>
      </c>
      <c r="R4678" s="184" t="n">
        <v>0</v>
      </c>
      <c r="S4678" s="183" t="n">
        <v>0</v>
      </c>
      <c r="T4678" s="183" t="n">
        <v>0</v>
      </c>
      <c r="U4678" s="182" t="n">
        <v>0</v>
      </c>
      <c r="V4678" s="182" t="n">
        <v>0</v>
      </c>
      <c r="W4678" s="182" t="n">
        <v>0</v>
      </c>
      <c r="X4678" s="182" t="n">
        <v>0</v>
      </c>
      <c r="Y4678" s="182" t="n">
        <v>0</v>
      </c>
      <c r="Z4678" s="182" t="n">
        <v>0</v>
      </c>
      <c r="AA4678" s="182" t="n">
        <v>0</v>
      </c>
      <c r="AB4678" s="182" t="n">
        <v>0</v>
      </c>
      <c r="AC4678" s="182" t="n">
        <v>0</v>
      </c>
      <c r="AD4678" s="182" t="n">
        <v>0</v>
      </c>
      <c r="AE4678" s="182" t="n">
        <v>0</v>
      </c>
      <c r="AF4678" s="182" t="n">
        <v>0</v>
      </c>
      <c r="AG4678" s="182" t="n">
        <v>0</v>
      </c>
      <c r="AH4678" s="182" t="n">
        <v>0</v>
      </c>
      <c r="AI4678" s="182" t="n">
        <v>0</v>
      </c>
      <c r="AJ4678" s="182" t="n">
        <v>0</v>
      </c>
      <c r="AK4678" s="182" t="n">
        <v>0</v>
      </c>
      <c r="AL4678" s="182" t="n">
        <v>0</v>
      </c>
      <c r="AM4678" s="182" t="n">
        <v>0</v>
      </c>
      <c r="AN4678" s="182" t="n">
        <v>0</v>
      </c>
    </row>
    <row r="4679">
      <c r="A4679" s="155" t="n">
        <v>46103</v>
      </c>
      <c r="B4679" s="156" t="inlineStr">
        <is>
          <t>DS</t>
        </is>
      </c>
      <c r="C4679" s="156" t="inlineStr">
        <is>
          <t>DT-806</t>
        </is>
      </c>
      <c r="D4679" s="156" t="inlineStr">
        <is>
          <t>SKT 80S</t>
        </is>
      </c>
      <c r="E4679" s="156" t="inlineStr">
        <is>
          <t>Hauler</t>
        </is>
      </c>
      <c r="F4679" s="156" t="inlineStr"/>
      <c r="G4679" s="182" t="n">
        <v>0</v>
      </c>
      <c r="H4679" s="182" t="n">
        <v>0</v>
      </c>
      <c r="I4679" s="182" t="n">
        <v>12</v>
      </c>
      <c r="J4679" s="182" t="n">
        <v>12</v>
      </c>
      <c r="K4679" s="182" t="n">
        <v>0</v>
      </c>
      <c r="L4679" s="182" t="n">
        <v>12</v>
      </c>
      <c r="M4679" s="182" t="n">
        <v>0</v>
      </c>
      <c r="N4679" s="182" t="n">
        <v>0</v>
      </c>
      <c r="O4679" s="183" t="n">
        <v>0</v>
      </c>
      <c r="P4679" s="183" t="n">
        <v>0</v>
      </c>
      <c r="Q4679" s="184" t="n">
        <v>0</v>
      </c>
      <c r="R4679" s="184" t="n">
        <v>0</v>
      </c>
      <c r="S4679" s="183" t="n">
        <v>0</v>
      </c>
      <c r="T4679" s="183" t="n">
        <v>0</v>
      </c>
      <c r="U4679" s="182" t="n">
        <v>0</v>
      </c>
      <c r="V4679" s="182" t="n">
        <v>0</v>
      </c>
      <c r="W4679" s="182" t="n">
        <v>0</v>
      </c>
      <c r="X4679" s="182" t="n">
        <v>0</v>
      </c>
      <c r="Y4679" s="182" t="n">
        <v>0</v>
      </c>
      <c r="Z4679" s="182" t="n">
        <v>0</v>
      </c>
      <c r="AA4679" s="182" t="n">
        <v>0</v>
      </c>
      <c r="AB4679" s="182" t="n">
        <v>0</v>
      </c>
      <c r="AC4679" s="182" t="n">
        <v>0</v>
      </c>
      <c r="AD4679" s="182" t="n">
        <v>0</v>
      </c>
      <c r="AE4679" s="182" t="n">
        <v>0</v>
      </c>
      <c r="AF4679" s="182" t="n">
        <v>0</v>
      </c>
      <c r="AG4679" s="182" t="n">
        <v>0</v>
      </c>
      <c r="AH4679" s="182" t="n">
        <v>0</v>
      </c>
      <c r="AI4679" s="182" t="n">
        <v>0</v>
      </c>
      <c r="AJ4679" s="182" t="n">
        <v>0</v>
      </c>
      <c r="AK4679" s="182" t="n">
        <v>0</v>
      </c>
      <c r="AL4679" s="182" t="n">
        <v>0</v>
      </c>
      <c r="AM4679" s="182" t="n">
        <v>0</v>
      </c>
      <c r="AN4679" s="182" t="n">
        <v>0</v>
      </c>
    </row>
    <row r="4680">
      <c r="A4680" s="155" t="n">
        <v>46103</v>
      </c>
      <c r="B4680" s="156" t="inlineStr">
        <is>
          <t>DS</t>
        </is>
      </c>
      <c r="C4680" s="156" t="inlineStr">
        <is>
          <t>DT-805</t>
        </is>
      </c>
      <c r="D4680" s="156" t="inlineStr">
        <is>
          <t>SKT 80S</t>
        </is>
      </c>
      <c r="E4680" s="156" t="inlineStr">
        <is>
          <t>Hauler</t>
        </is>
      </c>
      <c r="F4680" s="156" t="inlineStr"/>
      <c r="G4680" s="182" t="n">
        <v>0</v>
      </c>
      <c r="H4680" s="182" t="n">
        <v>0</v>
      </c>
      <c r="I4680" s="182" t="n">
        <v>12</v>
      </c>
      <c r="J4680" s="182" t="n">
        <v>12</v>
      </c>
      <c r="K4680" s="182" t="n">
        <v>0</v>
      </c>
      <c r="L4680" s="182" t="n">
        <v>12</v>
      </c>
      <c r="M4680" s="182" t="n">
        <v>0</v>
      </c>
      <c r="N4680" s="182" t="n">
        <v>0</v>
      </c>
      <c r="O4680" s="183" t="n">
        <v>0</v>
      </c>
      <c r="P4680" s="183" t="n">
        <v>0</v>
      </c>
      <c r="Q4680" s="184" t="n">
        <v>0</v>
      </c>
      <c r="R4680" s="184" t="n">
        <v>0</v>
      </c>
      <c r="S4680" s="183" t="n">
        <v>0</v>
      </c>
      <c r="T4680" s="183" t="n">
        <v>0</v>
      </c>
      <c r="U4680" s="182" t="n">
        <v>0</v>
      </c>
      <c r="V4680" s="182" t="n">
        <v>0</v>
      </c>
      <c r="W4680" s="182" t="n">
        <v>0</v>
      </c>
      <c r="X4680" s="182" t="n">
        <v>0</v>
      </c>
      <c r="Y4680" s="182" t="n">
        <v>0</v>
      </c>
      <c r="Z4680" s="182" t="n">
        <v>0</v>
      </c>
      <c r="AA4680" s="182" t="n">
        <v>0</v>
      </c>
      <c r="AB4680" s="182" t="n">
        <v>0</v>
      </c>
      <c r="AC4680" s="182" t="n">
        <v>0</v>
      </c>
      <c r="AD4680" s="182" t="n">
        <v>0</v>
      </c>
      <c r="AE4680" s="182" t="n">
        <v>0</v>
      </c>
      <c r="AF4680" s="182" t="n">
        <v>0</v>
      </c>
      <c r="AG4680" s="182" t="n">
        <v>0</v>
      </c>
      <c r="AH4680" s="182" t="n">
        <v>0</v>
      </c>
      <c r="AI4680" s="182" t="n">
        <v>0</v>
      </c>
      <c r="AJ4680" s="182" t="n">
        <v>0</v>
      </c>
      <c r="AK4680" s="182" t="n">
        <v>0</v>
      </c>
      <c r="AL4680" s="182" t="n">
        <v>0</v>
      </c>
      <c r="AM4680" s="182" t="n">
        <v>0</v>
      </c>
      <c r="AN4680" s="182" t="n">
        <v>0</v>
      </c>
    </row>
    <row r="4681">
      <c r="A4681" s="155" t="n">
        <v>46103</v>
      </c>
      <c r="B4681" s="156" t="inlineStr">
        <is>
          <t>DS</t>
        </is>
      </c>
      <c r="C4681" s="156" t="inlineStr">
        <is>
          <t>DT-801</t>
        </is>
      </c>
      <c r="D4681" s="156" t="inlineStr">
        <is>
          <t>SKT 80S</t>
        </is>
      </c>
      <c r="E4681" s="156" t="inlineStr">
        <is>
          <t>Hauler</t>
        </is>
      </c>
      <c r="F4681" s="156" t="inlineStr"/>
      <c r="G4681" s="182" t="n">
        <v>0</v>
      </c>
      <c r="H4681" s="182" t="n">
        <v>0</v>
      </c>
      <c r="I4681" s="182" t="n">
        <v>12</v>
      </c>
      <c r="J4681" s="182" t="n">
        <v>12</v>
      </c>
      <c r="K4681" s="182" t="n">
        <v>0</v>
      </c>
      <c r="L4681" s="182" t="n">
        <v>12</v>
      </c>
      <c r="M4681" s="182" t="n">
        <v>0</v>
      </c>
      <c r="N4681" s="182" t="n">
        <v>0</v>
      </c>
      <c r="O4681" s="183" t="n">
        <v>0</v>
      </c>
      <c r="P4681" s="183" t="n">
        <v>0</v>
      </c>
      <c r="Q4681" s="184" t="n">
        <v>0</v>
      </c>
      <c r="R4681" s="184" t="n">
        <v>0</v>
      </c>
      <c r="S4681" s="183" t="n">
        <v>0</v>
      </c>
      <c r="T4681" s="183" t="n">
        <v>0</v>
      </c>
      <c r="U4681" s="182" t="n">
        <v>0</v>
      </c>
      <c r="V4681" s="182" t="n">
        <v>0</v>
      </c>
      <c r="W4681" s="182" t="n">
        <v>0</v>
      </c>
      <c r="X4681" s="182" t="n">
        <v>0</v>
      </c>
      <c r="Y4681" s="182" t="n">
        <v>0</v>
      </c>
      <c r="Z4681" s="182" t="n">
        <v>0</v>
      </c>
      <c r="AA4681" s="182" t="n">
        <v>0</v>
      </c>
      <c r="AB4681" s="182" t="n">
        <v>0</v>
      </c>
      <c r="AC4681" s="182" t="n">
        <v>0</v>
      </c>
      <c r="AD4681" s="182" t="n">
        <v>0</v>
      </c>
      <c r="AE4681" s="182" t="n">
        <v>0</v>
      </c>
      <c r="AF4681" s="182" t="n">
        <v>0</v>
      </c>
      <c r="AG4681" s="182" t="n">
        <v>0</v>
      </c>
      <c r="AH4681" s="182" t="n">
        <v>0</v>
      </c>
      <c r="AI4681" s="182" t="n">
        <v>0</v>
      </c>
      <c r="AJ4681" s="182" t="n">
        <v>0</v>
      </c>
      <c r="AK4681" s="182" t="n">
        <v>0</v>
      </c>
      <c r="AL4681" s="182" t="n">
        <v>0</v>
      </c>
      <c r="AM4681" s="182" t="n">
        <v>0</v>
      </c>
      <c r="AN4681" s="182" t="n">
        <v>0</v>
      </c>
    </row>
    <row r="4682">
      <c r="A4682" s="155" t="n">
        <v>46103</v>
      </c>
      <c r="B4682" s="156" t="inlineStr">
        <is>
          <t>DS</t>
        </is>
      </c>
      <c r="C4682" s="156" t="inlineStr">
        <is>
          <t>DT-808</t>
        </is>
      </c>
      <c r="D4682" s="156" t="inlineStr">
        <is>
          <t>SKT 80S</t>
        </is>
      </c>
      <c r="E4682" s="156" t="inlineStr">
        <is>
          <t>Hauler</t>
        </is>
      </c>
      <c r="F4682" s="156" t="inlineStr">
        <is>
          <t>Rehandling Lumpur WP</t>
        </is>
      </c>
      <c r="G4682" s="182" t="n">
        <v>4.58</v>
      </c>
      <c r="H4682" s="182" t="n">
        <v>0</v>
      </c>
      <c r="I4682" s="182" t="n">
        <v>0</v>
      </c>
      <c r="J4682" s="182" t="n">
        <v>0</v>
      </c>
      <c r="K4682" s="182" t="n">
        <v>7.42</v>
      </c>
      <c r="L4682" s="182" t="n">
        <v>12</v>
      </c>
      <c r="M4682" s="182" t="n">
        <v>0</v>
      </c>
      <c r="N4682" s="182" t="n">
        <v>0</v>
      </c>
      <c r="O4682" s="183" t="n">
        <v>0</v>
      </c>
      <c r="P4682" s="183" t="n">
        <v>0</v>
      </c>
      <c r="Q4682" s="184" t="n">
        <v>0</v>
      </c>
      <c r="R4682" s="184" t="n">
        <v>0</v>
      </c>
      <c r="S4682" s="183" t="n">
        <v>0</v>
      </c>
      <c r="T4682" s="183" t="n">
        <v>0</v>
      </c>
      <c r="U4682" s="182" t="n">
        <v>2.68</v>
      </c>
      <c r="V4682" s="182" t="n">
        <v>0</v>
      </c>
      <c r="W4682" s="182" t="n">
        <v>0</v>
      </c>
      <c r="X4682" s="182" t="n">
        <v>1</v>
      </c>
      <c r="Y4682" s="182" t="n">
        <v>0</v>
      </c>
      <c r="Z4682" s="182" t="n">
        <v>0</v>
      </c>
      <c r="AA4682" s="182" t="n">
        <v>0</v>
      </c>
      <c r="AB4682" s="182" t="n">
        <v>0</v>
      </c>
      <c r="AC4682" s="182" t="n">
        <v>0</v>
      </c>
      <c r="AD4682" s="182" t="n">
        <v>0</v>
      </c>
      <c r="AE4682" s="182" t="n">
        <v>0</v>
      </c>
      <c r="AF4682" s="182" t="n">
        <v>0</v>
      </c>
      <c r="AG4682" s="182" t="n">
        <v>0</v>
      </c>
      <c r="AH4682" s="182" t="n">
        <v>0</v>
      </c>
      <c r="AI4682" s="182" t="n">
        <v>0</v>
      </c>
      <c r="AJ4682" s="182" t="n">
        <v>0</v>
      </c>
      <c r="AK4682" s="182" t="n">
        <v>3.66</v>
      </c>
      <c r="AL4682" s="182" t="n">
        <v>0</v>
      </c>
      <c r="AM4682" s="182" t="n">
        <v>0.08</v>
      </c>
      <c r="AN4682" s="182" t="n">
        <v>0</v>
      </c>
    </row>
    <row r="4683">
      <c r="A4683" s="155" t="n">
        <v>46103</v>
      </c>
      <c r="B4683" s="156" t="inlineStr">
        <is>
          <t>DS</t>
        </is>
      </c>
      <c r="C4683" s="156" t="inlineStr">
        <is>
          <t>DT-811</t>
        </is>
      </c>
      <c r="D4683" s="156" t="inlineStr">
        <is>
          <t>SKT 80S</t>
        </is>
      </c>
      <c r="E4683" s="156" t="inlineStr">
        <is>
          <t>Hauler</t>
        </is>
      </c>
      <c r="F4683" s="156" t="inlineStr"/>
      <c r="G4683" s="182" t="n">
        <v>0</v>
      </c>
      <c r="H4683" s="182" t="n">
        <v>0</v>
      </c>
      <c r="I4683" s="182" t="n">
        <v>0</v>
      </c>
      <c r="J4683" s="182" t="n">
        <v>0</v>
      </c>
      <c r="K4683" s="182" t="n">
        <v>12</v>
      </c>
      <c r="L4683" s="182" t="n">
        <v>12</v>
      </c>
      <c r="M4683" s="182" t="n">
        <v>0</v>
      </c>
      <c r="N4683" s="182" t="n">
        <v>0</v>
      </c>
      <c r="O4683" s="183" t="n">
        <v>0</v>
      </c>
      <c r="P4683" s="183" t="n">
        <v>0</v>
      </c>
      <c r="Q4683" s="184" t="n">
        <v>0</v>
      </c>
      <c r="R4683" s="184" t="n">
        <v>0</v>
      </c>
      <c r="S4683" s="183" t="n">
        <v>0</v>
      </c>
      <c r="T4683" s="183" t="n">
        <v>0</v>
      </c>
      <c r="U4683" s="182" t="n">
        <v>2.67</v>
      </c>
      <c r="V4683" s="182" t="n">
        <v>0</v>
      </c>
      <c r="W4683" s="182" t="n">
        <v>0</v>
      </c>
      <c r="X4683" s="182" t="n">
        <v>1</v>
      </c>
      <c r="Y4683" s="182" t="n">
        <v>0</v>
      </c>
      <c r="Z4683" s="182" t="n">
        <v>0</v>
      </c>
      <c r="AA4683" s="182" t="n">
        <v>0</v>
      </c>
      <c r="AB4683" s="182" t="n">
        <v>0</v>
      </c>
      <c r="AC4683" s="182" t="n">
        <v>0</v>
      </c>
      <c r="AD4683" s="182" t="n">
        <v>0</v>
      </c>
      <c r="AE4683" s="182" t="n">
        <v>0</v>
      </c>
      <c r="AF4683" s="182" t="n">
        <v>0</v>
      </c>
      <c r="AG4683" s="182" t="n">
        <v>0</v>
      </c>
      <c r="AH4683" s="182" t="n">
        <v>0</v>
      </c>
      <c r="AI4683" s="182" t="n">
        <v>0</v>
      </c>
      <c r="AJ4683" s="182" t="n">
        <v>0</v>
      </c>
      <c r="AK4683" s="182" t="n">
        <v>8.25</v>
      </c>
      <c r="AL4683" s="182" t="n">
        <v>0</v>
      </c>
      <c r="AM4683" s="182" t="n">
        <v>0.08</v>
      </c>
      <c r="AN4683" s="182" t="n">
        <v>0</v>
      </c>
    </row>
    <row r="4684">
      <c r="A4684" s="155" t="n">
        <v>46103</v>
      </c>
      <c r="B4684" s="156" t="inlineStr">
        <is>
          <t>DS</t>
        </is>
      </c>
      <c r="C4684" s="156" t="inlineStr">
        <is>
          <t>DT-802</t>
        </is>
      </c>
      <c r="D4684" s="156" t="inlineStr">
        <is>
          <t>SKT 80S</t>
        </is>
      </c>
      <c r="E4684" s="156" t="inlineStr">
        <is>
          <t>Hauler</t>
        </is>
      </c>
      <c r="F4684" s="156" t="inlineStr"/>
      <c r="G4684" s="182" t="n">
        <v>0</v>
      </c>
      <c r="H4684" s="182" t="n">
        <v>0</v>
      </c>
      <c r="I4684" s="182" t="n">
        <v>0</v>
      </c>
      <c r="J4684" s="182" t="n">
        <v>0</v>
      </c>
      <c r="K4684" s="182" t="n">
        <v>12</v>
      </c>
      <c r="L4684" s="182" t="n">
        <v>12</v>
      </c>
      <c r="M4684" s="182" t="n">
        <v>0</v>
      </c>
      <c r="N4684" s="182" t="n">
        <v>0</v>
      </c>
      <c r="O4684" s="183" t="n">
        <v>0</v>
      </c>
      <c r="P4684" s="183" t="n">
        <v>0</v>
      </c>
      <c r="Q4684" s="184" t="n">
        <v>0</v>
      </c>
      <c r="R4684" s="184" t="n">
        <v>0</v>
      </c>
      <c r="S4684" s="183" t="n">
        <v>0</v>
      </c>
      <c r="T4684" s="183" t="n">
        <v>0</v>
      </c>
      <c r="U4684" s="182" t="n">
        <v>2.67</v>
      </c>
      <c r="V4684" s="182" t="n">
        <v>0</v>
      </c>
      <c r="W4684" s="182" t="n">
        <v>0</v>
      </c>
      <c r="X4684" s="182" t="n">
        <v>1</v>
      </c>
      <c r="Y4684" s="182" t="n">
        <v>0</v>
      </c>
      <c r="Z4684" s="182" t="n">
        <v>0</v>
      </c>
      <c r="AA4684" s="182" t="n">
        <v>0</v>
      </c>
      <c r="AB4684" s="182" t="n">
        <v>0</v>
      </c>
      <c r="AC4684" s="182" t="n">
        <v>0</v>
      </c>
      <c r="AD4684" s="182" t="n">
        <v>0</v>
      </c>
      <c r="AE4684" s="182" t="n">
        <v>0</v>
      </c>
      <c r="AF4684" s="182" t="n">
        <v>0</v>
      </c>
      <c r="AG4684" s="182" t="n">
        <v>0</v>
      </c>
      <c r="AH4684" s="182" t="n">
        <v>0</v>
      </c>
      <c r="AI4684" s="182" t="n">
        <v>0</v>
      </c>
      <c r="AJ4684" s="182" t="n">
        <v>0</v>
      </c>
      <c r="AK4684" s="182" t="n">
        <v>8.25</v>
      </c>
      <c r="AL4684" s="182" t="n">
        <v>0</v>
      </c>
      <c r="AM4684" s="182" t="n">
        <v>0.08</v>
      </c>
      <c r="AN4684" s="182" t="n">
        <v>0</v>
      </c>
    </row>
    <row r="4685">
      <c r="A4685" s="155" t="n">
        <v>46103</v>
      </c>
      <c r="B4685" s="156" t="inlineStr">
        <is>
          <t>DS</t>
        </is>
      </c>
      <c r="C4685" s="156" t="inlineStr">
        <is>
          <t>DT-807</t>
        </is>
      </c>
      <c r="D4685" s="156" t="inlineStr">
        <is>
          <t>SKT 80S</t>
        </is>
      </c>
      <c r="E4685" s="156" t="inlineStr">
        <is>
          <t>Hauler</t>
        </is>
      </c>
      <c r="F4685" s="156" t="inlineStr">
        <is>
          <t>Hauling Coal</t>
        </is>
      </c>
      <c r="G4685" s="182" t="n">
        <v>3.03</v>
      </c>
      <c r="H4685" s="182" t="n">
        <v>0</v>
      </c>
      <c r="I4685" s="182" t="n">
        <v>0</v>
      </c>
      <c r="J4685" s="182" t="n">
        <v>0</v>
      </c>
      <c r="K4685" s="182" t="n">
        <v>8.970000000000001</v>
      </c>
      <c r="L4685" s="182" t="n">
        <v>12</v>
      </c>
      <c r="M4685" s="182" t="n">
        <v>0</v>
      </c>
      <c r="N4685" s="182" t="n">
        <v>3.03</v>
      </c>
      <c r="O4685" s="183" t="n">
        <v>0</v>
      </c>
      <c r="P4685" s="183" t="n">
        <v>5</v>
      </c>
      <c r="Q4685" s="184" t="n">
        <v>0</v>
      </c>
      <c r="R4685" s="184" t="n">
        <v>76.5</v>
      </c>
      <c r="S4685" s="183" t="n">
        <v>0</v>
      </c>
      <c r="T4685" s="183" t="n">
        <v>0</v>
      </c>
      <c r="U4685" s="182" t="n">
        <v>2.6</v>
      </c>
      <c r="V4685" s="182" t="n">
        <v>0</v>
      </c>
      <c r="W4685" s="182" t="n">
        <v>0</v>
      </c>
      <c r="X4685" s="182" t="n">
        <v>0.98</v>
      </c>
      <c r="Y4685" s="182" t="n">
        <v>2.27</v>
      </c>
      <c r="Z4685" s="182" t="n">
        <v>0</v>
      </c>
      <c r="AA4685" s="182" t="n">
        <v>0</v>
      </c>
      <c r="AB4685" s="182" t="n">
        <v>0</v>
      </c>
      <c r="AC4685" s="182" t="n">
        <v>0</v>
      </c>
      <c r="AD4685" s="182" t="n">
        <v>0</v>
      </c>
      <c r="AE4685" s="182" t="n">
        <v>0</v>
      </c>
      <c r="AF4685" s="182" t="n">
        <v>0</v>
      </c>
      <c r="AG4685" s="182" t="n">
        <v>0</v>
      </c>
      <c r="AH4685" s="182" t="n">
        <v>0.49</v>
      </c>
      <c r="AI4685" s="182" t="n">
        <v>0</v>
      </c>
      <c r="AJ4685" s="182" t="n">
        <v>0</v>
      </c>
      <c r="AK4685" s="182" t="n">
        <v>2.55</v>
      </c>
      <c r="AL4685" s="182" t="n">
        <v>0</v>
      </c>
      <c r="AM4685" s="182" t="n">
        <v>0.08</v>
      </c>
      <c r="AN4685" s="182" t="n">
        <v>0</v>
      </c>
    </row>
    <row r="4686">
      <c r="A4686" s="155" t="n">
        <v>46103</v>
      </c>
      <c r="B4686" s="156" t="inlineStr">
        <is>
          <t>DS</t>
        </is>
      </c>
      <c r="C4686" s="156" t="inlineStr">
        <is>
          <t>DT-812</t>
        </is>
      </c>
      <c r="D4686" s="156" t="inlineStr">
        <is>
          <t>SKT 80S</t>
        </is>
      </c>
      <c r="E4686" s="156" t="inlineStr">
        <is>
          <t>Hauler</t>
        </is>
      </c>
      <c r="F4686" s="156" t="inlineStr"/>
      <c r="G4686" s="182" t="n">
        <v>0</v>
      </c>
      <c r="H4686" s="182" t="n">
        <v>0</v>
      </c>
      <c r="I4686" s="182" t="n">
        <v>0</v>
      </c>
      <c r="J4686" s="182" t="n">
        <v>0</v>
      </c>
      <c r="K4686" s="182" t="n">
        <v>12</v>
      </c>
      <c r="L4686" s="182" t="n">
        <v>12</v>
      </c>
      <c r="M4686" s="182" t="n">
        <v>0</v>
      </c>
      <c r="N4686" s="182" t="n">
        <v>0</v>
      </c>
      <c r="O4686" s="183" t="n">
        <v>0</v>
      </c>
      <c r="P4686" s="183" t="n">
        <v>0</v>
      </c>
      <c r="Q4686" s="184" t="n">
        <v>0</v>
      </c>
      <c r="R4686" s="184" t="n">
        <v>0</v>
      </c>
      <c r="S4686" s="183" t="n">
        <v>0</v>
      </c>
      <c r="T4686" s="183" t="n">
        <v>0</v>
      </c>
      <c r="U4686" s="182" t="n">
        <v>2.67</v>
      </c>
      <c r="V4686" s="182" t="n">
        <v>0</v>
      </c>
      <c r="W4686" s="182" t="n">
        <v>0</v>
      </c>
      <c r="X4686" s="182" t="n">
        <v>1</v>
      </c>
      <c r="Y4686" s="182" t="n">
        <v>0</v>
      </c>
      <c r="Z4686" s="182" t="n">
        <v>0</v>
      </c>
      <c r="AA4686" s="182" t="n">
        <v>0</v>
      </c>
      <c r="AB4686" s="182" t="n">
        <v>0</v>
      </c>
      <c r="AC4686" s="182" t="n">
        <v>0</v>
      </c>
      <c r="AD4686" s="182" t="n">
        <v>0</v>
      </c>
      <c r="AE4686" s="182" t="n">
        <v>0</v>
      </c>
      <c r="AF4686" s="182" t="n">
        <v>0</v>
      </c>
      <c r="AG4686" s="182" t="n">
        <v>0</v>
      </c>
      <c r="AH4686" s="182" t="n">
        <v>0</v>
      </c>
      <c r="AI4686" s="182" t="n">
        <v>0</v>
      </c>
      <c r="AJ4686" s="182" t="n">
        <v>0</v>
      </c>
      <c r="AK4686" s="182" t="n">
        <v>8.25</v>
      </c>
      <c r="AL4686" s="182" t="n">
        <v>0</v>
      </c>
      <c r="AM4686" s="182" t="n">
        <v>0.08</v>
      </c>
      <c r="AN4686" s="182" t="n">
        <v>0</v>
      </c>
    </row>
    <row r="4687">
      <c r="A4687" s="155" t="n">
        <v>46103</v>
      </c>
      <c r="B4687" s="156" t="inlineStr">
        <is>
          <t>DS</t>
        </is>
      </c>
      <c r="C4687" s="156" t="inlineStr">
        <is>
          <t>DT-803</t>
        </is>
      </c>
      <c r="D4687" s="156" t="inlineStr">
        <is>
          <t>SKT 80S</t>
        </is>
      </c>
      <c r="E4687" s="156" t="inlineStr">
        <is>
          <t>Hauler</t>
        </is>
      </c>
      <c r="F4687" s="156" t="inlineStr"/>
      <c r="G4687" s="182" t="n">
        <v>0</v>
      </c>
      <c r="H4687" s="182" t="n">
        <v>0</v>
      </c>
      <c r="I4687" s="182" t="n">
        <v>0</v>
      </c>
      <c r="J4687" s="182" t="n">
        <v>0</v>
      </c>
      <c r="K4687" s="182" t="n">
        <v>12</v>
      </c>
      <c r="L4687" s="182" t="n">
        <v>12</v>
      </c>
      <c r="M4687" s="182" t="n">
        <v>0</v>
      </c>
      <c r="N4687" s="182" t="n">
        <v>0</v>
      </c>
      <c r="O4687" s="183" t="n">
        <v>0</v>
      </c>
      <c r="P4687" s="183" t="n">
        <v>0</v>
      </c>
      <c r="Q4687" s="184" t="n">
        <v>0</v>
      </c>
      <c r="R4687" s="184" t="n">
        <v>0</v>
      </c>
      <c r="S4687" s="183" t="n">
        <v>0</v>
      </c>
      <c r="T4687" s="183" t="n">
        <v>0</v>
      </c>
      <c r="U4687" s="182" t="n">
        <v>2.67</v>
      </c>
      <c r="V4687" s="182" t="n">
        <v>0</v>
      </c>
      <c r="W4687" s="182" t="n">
        <v>0</v>
      </c>
      <c r="X4687" s="182" t="n">
        <v>1</v>
      </c>
      <c r="Y4687" s="182" t="n">
        <v>0</v>
      </c>
      <c r="Z4687" s="182" t="n">
        <v>0</v>
      </c>
      <c r="AA4687" s="182" t="n">
        <v>0</v>
      </c>
      <c r="AB4687" s="182" t="n">
        <v>0</v>
      </c>
      <c r="AC4687" s="182" t="n">
        <v>0</v>
      </c>
      <c r="AD4687" s="182" t="n">
        <v>0</v>
      </c>
      <c r="AE4687" s="182" t="n">
        <v>0</v>
      </c>
      <c r="AF4687" s="182" t="n">
        <v>0</v>
      </c>
      <c r="AG4687" s="182" t="n">
        <v>0</v>
      </c>
      <c r="AH4687" s="182" t="n">
        <v>0</v>
      </c>
      <c r="AI4687" s="182" t="n">
        <v>0</v>
      </c>
      <c r="AJ4687" s="182" t="n">
        <v>0</v>
      </c>
      <c r="AK4687" s="182" t="n">
        <v>8.25</v>
      </c>
      <c r="AL4687" s="182" t="n">
        <v>0</v>
      </c>
      <c r="AM4687" s="182" t="n">
        <v>0.08</v>
      </c>
      <c r="AN4687" s="182" t="n">
        <v>0</v>
      </c>
    </row>
    <row r="4688">
      <c r="A4688" s="155" t="n">
        <v>46103</v>
      </c>
      <c r="B4688" s="156" t="inlineStr">
        <is>
          <t>DS</t>
        </is>
      </c>
      <c r="C4688" s="156" t="inlineStr">
        <is>
          <t>DT-810</t>
        </is>
      </c>
      <c r="D4688" s="156" t="inlineStr">
        <is>
          <t>SKT 80S</t>
        </is>
      </c>
      <c r="E4688" s="156" t="inlineStr">
        <is>
          <t>Hauler</t>
        </is>
      </c>
      <c r="F4688" s="156" t="inlineStr">
        <is>
          <t>Hauling Coal</t>
        </is>
      </c>
      <c r="G4688" s="182" t="n">
        <v>2.7</v>
      </c>
      <c r="H4688" s="182" t="n">
        <v>6.52</v>
      </c>
      <c r="I4688" s="182" t="n">
        <v>0</v>
      </c>
      <c r="J4688" s="182" t="n">
        <v>6.52</v>
      </c>
      <c r="K4688" s="182" t="n">
        <v>2.78</v>
      </c>
      <c r="L4688" s="182" t="n">
        <v>12</v>
      </c>
      <c r="M4688" s="182" t="n">
        <v>0</v>
      </c>
      <c r="N4688" s="182" t="n">
        <v>2.7</v>
      </c>
      <c r="O4688" s="183" t="n">
        <v>0</v>
      </c>
      <c r="P4688" s="183" t="n">
        <v>3</v>
      </c>
      <c r="Q4688" s="184" t="n">
        <v>0</v>
      </c>
      <c r="R4688" s="184" t="n">
        <v>45.9</v>
      </c>
      <c r="S4688" s="183" t="n">
        <v>0</v>
      </c>
      <c r="T4688" s="183" t="n">
        <v>0</v>
      </c>
      <c r="U4688" s="182" t="n">
        <v>2.41</v>
      </c>
      <c r="V4688" s="182" t="n">
        <v>0.3</v>
      </c>
      <c r="W4688" s="182" t="n">
        <v>0</v>
      </c>
      <c r="X4688" s="182" t="n">
        <v>0</v>
      </c>
      <c r="Y4688" s="182" t="n">
        <v>0</v>
      </c>
      <c r="Z4688" s="182" t="n">
        <v>0</v>
      </c>
      <c r="AA4688" s="182" t="n">
        <v>0</v>
      </c>
      <c r="AB4688" s="182" t="n">
        <v>0</v>
      </c>
      <c r="AC4688" s="182" t="n">
        <v>0</v>
      </c>
      <c r="AD4688" s="182" t="n">
        <v>0</v>
      </c>
      <c r="AE4688" s="182" t="n">
        <v>0</v>
      </c>
      <c r="AF4688" s="182" t="n">
        <v>0</v>
      </c>
      <c r="AG4688" s="182" t="n">
        <v>0</v>
      </c>
      <c r="AH4688" s="182" t="n">
        <v>0</v>
      </c>
      <c r="AI4688" s="182" t="n">
        <v>0</v>
      </c>
      <c r="AJ4688" s="182" t="n">
        <v>0</v>
      </c>
      <c r="AK4688" s="182" t="n">
        <v>0</v>
      </c>
      <c r="AL4688" s="182" t="n">
        <v>0</v>
      </c>
      <c r="AM4688" s="182" t="n">
        <v>0.07000000000000001</v>
      </c>
      <c r="AN4688" s="182" t="n">
        <v>0</v>
      </c>
    </row>
    <row r="4689">
      <c r="A4689" s="155" t="n">
        <v>46103</v>
      </c>
      <c r="B4689" s="156" t="inlineStr">
        <is>
          <t>DS</t>
        </is>
      </c>
      <c r="C4689" s="156" t="inlineStr">
        <is>
          <t>DT-804</t>
        </is>
      </c>
      <c r="D4689" s="156" t="inlineStr">
        <is>
          <t>SKT 80S</t>
        </is>
      </c>
      <c r="E4689" s="156" t="inlineStr">
        <is>
          <t>Hauler</t>
        </is>
      </c>
      <c r="F4689" s="156" t="inlineStr">
        <is>
          <t>Rehandling Lumpur WP</t>
        </is>
      </c>
      <c r="G4689" s="182" t="n">
        <v>2.7</v>
      </c>
      <c r="H4689" s="182" t="n">
        <v>0</v>
      </c>
      <c r="I4689" s="182" t="n">
        <v>0</v>
      </c>
      <c r="J4689" s="182" t="n">
        <v>0</v>
      </c>
      <c r="K4689" s="182" t="n">
        <v>9.300000000000001</v>
      </c>
      <c r="L4689" s="182" t="n">
        <v>12</v>
      </c>
      <c r="M4689" s="182" t="n">
        <v>0</v>
      </c>
      <c r="N4689" s="182" t="n">
        <v>0</v>
      </c>
      <c r="O4689" s="183" t="n">
        <v>0</v>
      </c>
      <c r="P4689" s="183" t="n">
        <v>0</v>
      </c>
      <c r="Q4689" s="184" t="n">
        <v>0</v>
      </c>
      <c r="R4689" s="184" t="n">
        <v>0</v>
      </c>
      <c r="S4689" s="183" t="n">
        <v>0</v>
      </c>
      <c r="T4689" s="183" t="n">
        <v>0</v>
      </c>
      <c r="U4689" s="182" t="n">
        <v>2.67</v>
      </c>
      <c r="V4689" s="182" t="n">
        <v>0</v>
      </c>
      <c r="W4689" s="182" t="n">
        <v>0</v>
      </c>
      <c r="X4689" s="182" t="n">
        <v>1</v>
      </c>
      <c r="Y4689" s="182" t="n">
        <v>0</v>
      </c>
      <c r="Z4689" s="182" t="n">
        <v>0</v>
      </c>
      <c r="AA4689" s="182" t="n">
        <v>0</v>
      </c>
      <c r="AB4689" s="182" t="n">
        <v>0</v>
      </c>
      <c r="AC4689" s="182" t="n">
        <v>0</v>
      </c>
      <c r="AD4689" s="182" t="n">
        <v>0</v>
      </c>
      <c r="AE4689" s="182" t="n">
        <v>0</v>
      </c>
      <c r="AF4689" s="182" t="n">
        <v>0</v>
      </c>
      <c r="AG4689" s="182" t="n">
        <v>0</v>
      </c>
      <c r="AH4689" s="182" t="n">
        <v>0</v>
      </c>
      <c r="AI4689" s="182" t="n">
        <v>0</v>
      </c>
      <c r="AJ4689" s="182" t="n">
        <v>0</v>
      </c>
      <c r="AK4689" s="182" t="n">
        <v>5.55</v>
      </c>
      <c r="AL4689" s="182" t="n">
        <v>0</v>
      </c>
      <c r="AM4689" s="182" t="n">
        <v>0.08</v>
      </c>
      <c r="AN4689" s="182" t="n">
        <v>0</v>
      </c>
    </row>
    <row r="4690">
      <c r="A4690" s="155" t="n">
        <v>46103</v>
      </c>
      <c r="B4690" s="156" t="inlineStr">
        <is>
          <t>DS</t>
        </is>
      </c>
      <c r="C4690" s="156" t="inlineStr">
        <is>
          <t>DT-505</t>
        </is>
      </c>
      <c r="D4690" s="156" t="inlineStr">
        <is>
          <t>SKT 105S</t>
        </is>
      </c>
      <c r="E4690" s="156" t="inlineStr">
        <is>
          <t>Hauler</t>
        </is>
      </c>
      <c r="F4690" s="156" t="inlineStr">
        <is>
          <t>Hauling OB</t>
        </is>
      </c>
      <c r="G4690" s="182" t="n">
        <v>5.11</v>
      </c>
      <c r="H4690" s="182" t="n">
        <v>0</v>
      </c>
      <c r="I4690" s="182" t="n">
        <v>0</v>
      </c>
      <c r="J4690" s="182" t="n">
        <v>0</v>
      </c>
      <c r="K4690" s="182" t="n">
        <v>6.89</v>
      </c>
      <c r="L4690" s="182" t="n">
        <v>12</v>
      </c>
      <c r="M4690" s="182" t="n">
        <v>4.89</v>
      </c>
      <c r="N4690" s="182" t="n">
        <v>0</v>
      </c>
      <c r="O4690" s="183" t="n">
        <v>19</v>
      </c>
      <c r="P4690" s="183" t="n">
        <v>0</v>
      </c>
      <c r="Q4690" s="184" t="n">
        <v>387.6</v>
      </c>
      <c r="R4690" s="184" t="n">
        <v>0</v>
      </c>
      <c r="S4690" s="183" t="n">
        <v>0</v>
      </c>
      <c r="T4690" s="183" t="n">
        <v>0</v>
      </c>
      <c r="U4690" s="182" t="n">
        <v>2.75</v>
      </c>
      <c r="V4690" s="182" t="n">
        <v>2.55</v>
      </c>
      <c r="W4690" s="182" t="n">
        <v>0</v>
      </c>
      <c r="X4690" s="182" t="n">
        <v>1.03</v>
      </c>
      <c r="Y4690" s="182" t="n">
        <v>0</v>
      </c>
      <c r="Z4690" s="182" t="n">
        <v>0.07000000000000001</v>
      </c>
      <c r="AA4690" s="182" t="n">
        <v>0</v>
      </c>
      <c r="AB4690" s="182" t="n">
        <v>0</v>
      </c>
      <c r="AC4690" s="182" t="n">
        <v>0</v>
      </c>
      <c r="AD4690" s="182" t="n">
        <v>0</v>
      </c>
      <c r="AE4690" s="182" t="n">
        <v>0</v>
      </c>
      <c r="AF4690" s="182" t="n">
        <v>0</v>
      </c>
      <c r="AG4690" s="182" t="n">
        <v>0</v>
      </c>
      <c r="AH4690" s="182" t="n">
        <v>0.41</v>
      </c>
      <c r="AI4690" s="182" t="n">
        <v>0</v>
      </c>
      <c r="AJ4690" s="182" t="n">
        <v>0</v>
      </c>
      <c r="AK4690" s="182" t="n">
        <v>0</v>
      </c>
      <c r="AL4690" s="182" t="n">
        <v>0</v>
      </c>
      <c r="AM4690" s="182" t="n">
        <v>0.08</v>
      </c>
      <c r="AN4690" s="182" t="n">
        <v>0</v>
      </c>
    </row>
    <row r="4691">
      <c r="A4691" s="155" t="n">
        <v>46103</v>
      </c>
      <c r="B4691" s="156" t="inlineStr">
        <is>
          <t>DS</t>
        </is>
      </c>
      <c r="C4691" s="156" t="inlineStr">
        <is>
          <t>DT-530</t>
        </is>
      </c>
      <c r="D4691" s="156" t="inlineStr">
        <is>
          <t>SKT 105S</t>
        </is>
      </c>
      <c r="E4691" s="156" t="inlineStr">
        <is>
          <t>Hauler</t>
        </is>
      </c>
      <c r="F4691" s="156" t="inlineStr"/>
      <c r="G4691" s="182" t="n">
        <v>0</v>
      </c>
      <c r="H4691" s="182" t="n">
        <v>0</v>
      </c>
      <c r="I4691" s="182" t="n">
        <v>12</v>
      </c>
      <c r="J4691" s="182" t="n">
        <v>12</v>
      </c>
      <c r="K4691" s="182" t="n">
        <v>0</v>
      </c>
      <c r="L4691" s="182" t="n">
        <v>12</v>
      </c>
      <c r="M4691" s="182" t="n">
        <v>0</v>
      </c>
      <c r="N4691" s="182" t="n">
        <v>0</v>
      </c>
      <c r="O4691" s="183" t="n">
        <v>0</v>
      </c>
      <c r="P4691" s="183" t="n">
        <v>0</v>
      </c>
      <c r="Q4691" s="184" t="n">
        <v>0</v>
      </c>
      <c r="R4691" s="184" t="n">
        <v>0</v>
      </c>
      <c r="S4691" s="183" t="n">
        <v>0</v>
      </c>
      <c r="T4691" s="183" t="n">
        <v>0</v>
      </c>
      <c r="U4691" s="182" t="n">
        <v>0</v>
      </c>
      <c r="V4691" s="182" t="n">
        <v>0</v>
      </c>
      <c r="W4691" s="182" t="n">
        <v>0</v>
      </c>
      <c r="X4691" s="182" t="n">
        <v>0</v>
      </c>
      <c r="Y4691" s="182" t="n">
        <v>0</v>
      </c>
      <c r="Z4691" s="182" t="n">
        <v>0</v>
      </c>
      <c r="AA4691" s="182" t="n">
        <v>0</v>
      </c>
      <c r="AB4691" s="182" t="n">
        <v>0</v>
      </c>
      <c r="AC4691" s="182" t="n">
        <v>0</v>
      </c>
      <c r="AD4691" s="182" t="n">
        <v>0</v>
      </c>
      <c r="AE4691" s="182" t="n">
        <v>0</v>
      </c>
      <c r="AF4691" s="182" t="n">
        <v>0</v>
      </c>
      <c r="AG4691" s="182" t="n">
        <v>0</v>
      </c>
      <c r="AH4691" s="182" t="n">
        <v>0</v>
      </c>
      <c r="AI4691" s="182" t="n">
        <v>0</v>
      </c>
      <c r="AJ4691" s="182" t="n">
        <v>0</v>
      </c>
      <c r="AK4691" s="182" t="n">
        <v>0</v>
      </c>
      <c r="AL4691" s="182" t="n">
        <v>0</v>
      </c>
      <c r="AM4691" s="182" t="n">
        <v>0</v>
      </c>
      <c r="AN4691" s="182" t="n">
        <v>0</v>
      </c>
    </row>
    <row r="4692">
      <c r="A4692" s="155" t="n">
        <v>46103</v>
      </c>
      <c r="B4692" s="156" t="inlineStr">
        <is>
          <t>DS</t>
        </is>
      </c>
      <c r="C4692" s="156" t="inlineStr">
        <is>
          <t>DT-525</t>
        </is>
      </c>
      <c r="D4692" s="156" t="inlineStr">
        <is>
          <t>SKT 105S</t>
        </is>
      </c>
      <c r="E4692" s="156" t="inlineStr">
        <is>
          <t>Hauler</t>
        </is>
      </c>
      <c r="F4692" s="156" t="inlineStr"/>
      <c r="G4692" s="182" t="n">
        <v>0</v>
      </c>
      <c r="H4692" s="182" t="n">
        <v>0</v>
      </c>
      <c r="I4692" s="182" t="n">
        <v>12</v>
      </c>
      <c r="J4692" s="182" t="n">
        <v>12</v>
      </c>
      <c r="K4692" s="182" t="n">
        <v>0</v>
      </c>
      <c r="L4692" s="182" t="n">
        <v>12</v>
      </c>
      <c r="M4692" s="182" t="n">
        <v>0</v>
      </c>
      <c r="N4692" s="182" t="n">
        <v>0</v>
      </c>
      <c r="O4692" s="183" t="n">
        <v>0</v>
      </c>
      <c r="P4692" s="183" t="n">
        <v>0</v>
      </c>
      <c r="Q4692" s="184" t="n">
        <v>0</v>
      </c>
      <c r="R4692" s="184" t="n">
        <v>0</v>
      </c>
      <c r="S4692" s="183" t="n">
        <v>0</v>
      </c>
      <c r="T4692" s="183" t="n">
        <v>0</v>
      </c>
      <c r="U4692" s="182" t="n">
        <v>0</v>
      </c>
      <c r="V4692" s="182" t="n">
        <v>0</v>
      </c>
      <c r="W4692" s="182" t="n">
        <v>0</v>
      </c>
      <c r="X4692" s="182" t="n">
        <v>0</v>
      </c>
      <c r="Y4692" s="182" t="n">
        <v>0</v>
      </c>
      <c r="Z4692" s="182" t="n">
        <v>0</v>
      </c>
      <c r="AA4692" s="182" t="n">
        <v>0</v>
      </c>
      <c r="AB4692" s="182" t="n">
        <v>0</v>
      </c>
      <c r="AC4692" s="182" t="n">
        <v>0</v>
      </c>
      <c r="AD4692" s="182" t="n">
        <v>0</v>
      </c>
      <c r="AE4692" s="182" t="n">
        <v>0</v>
      </c>
      <c r="AF4692" s="182" t="n">
        <v>0</v>
      </c>
      <c r="AG4692" s="182" t="n">
        <v>0</v>
      </c>
      <c r="AH4692" s="182" t="n">
        <v>0</v>
      </c>
      <c r="AI4692" s="182" t="n">
        <v>0</v>
      </c>
      <c r="AJ4692" s="182" t="n">
        <v>0</v>
      </c>
      <c r="AK4692" s="182" t="n">
        <v>0</v>
      </c>
      <c r="AL4692" s="182" t="n">
        <v>0</v>
      </c>
      <c r="AM4692" s="182" t="n">
        <v>0</v>
      </c>
      <c r="AN4692" s="182" t="n">
        <v>0</v>
      </c>
    </row>
    <row r="4693">
      <c r="A4693" s="155" t="n">
        <v>46103</v>
      </c>
      <c r="B4693" s="156" t="inlineStr">
        <is>
          <t>DS</t>
        </is>
      </c>
      <c r="C4693" s="156" t="inlineStr">
        <is>
          <t>DT-503</t>
        </is>
      </c>
      <c r="D4693" s="156" t="inlineStr">
        <is>
          <t>SKT 105S</t>
        </is>
      </c>
      <c r="E4693" s="156" t="inlineStr">
        <is>
          <t>Hauler</t>
        </is>
      </c>
      <c r="F4693" s="156" t="inlineStr">
        <is>
          <t>Hauling OB</t>
        </is>
      </c>
      <c r="G4693" s="182" t="n">
        <v>5.6</v>
      </c>
      <c r="H4693" s="182" t="n">
        <v>0</v>
      </c>
      <c r="I4693" s="182" t="n">
        <v>0</v>
      </c>
      <c r="J4693" s="182" t="n">
        <v>0</v>
      </c>
      <c r="K4693" s="182" t="n">
        <v>6.4</v>
      </c>
      <c r="L4693" s="182" t="n">
        <v>12</v>
      </c>
      <c r="M4693" s="182" t="n">
        <v>5.37</v>
      </c>
      <c r="N4693" s="182" t="n">
        <v>0</v>
      </c>
      <c r="O4693" s="183" t="n">
        <v>20</v>
      </c>
      <c r="P4693" s="183" t="n">
        <v>0</v>
      </c>
      <c r="Q4693" s="184" t="n">
        <v>408</v>
      </c>
      <c r="R4693" s="184" t="n">
        <v>0</v>
      </c>
      <c r="S4693" s="183" t="n">
        <v>0</v>
      </c>
      <c r="T4693" s="183" t="n">
        <v>0</v>
      </c>
      <c r="U4693" s="182" t="n">
        <v>2.71</v>
      </c>
      <c r="V4693" s="182" t="n">
        <v>2.52</v>
      </c>
      <c r="W4693" s="182" t="n">
        <v>0</v>
      </c>
      <c r="X4693" s="182" t="n">
        <v>1.02</v>
      </c>
      <c r="Y4693" s="182" t="n">
        <v>0</v>
      </c>
      <c r="Z4693" s="182" t="n">
        <v>0.07000000000000001</v>
      </c>
      <c r="AA4693" s="182" t="n">
        <v>0</v>
      </c>
      <c r="AB4693" s="182" t="n">
        <v>0</v>
      </c>
      <c r="AC4693" s="182" t="n">
        <v>0</v>
      </c>
      <c r="AD4693" s="182" t="n">
        <v>0</v>
      </c>
      <c r="AE4693" s="182" t="n">
        <v>0</v>
      </c>
      <c r="AF4693" s="182" t="n">
        <v>0</v>
      </c>
      <c r="AG4693" s="182" t="n">
        <v>0</v>
      </c>
      <c r="AH4693" s="182" t="n">
        <v>0</v>
      </c>
      <c r="AI4693" s="182" t="n">
        <v>0</v>
      </c>
      <c r="AJ4693" s="182" t="n">
        <v>0</v>
      </c>
      <c r="AK4693" s="182" t="n">
        <v>0</v>
      </c>
      <c r="AL4693" s="182" t="n">
        <v>0</v>
      </c>
      <c r="AM4693" s="182" t="n">
        <v>0.08</v>
      </c>
      <c r="AN4693" s="182" t="n">
        <v>0</v>
      </c>
    </row>
    <row r="4694">
      <c r="A4694" s="155" t="n">
        <v>46103</v>
      </c>
      <c r="B4694" s="156" t="inlineStr">
        <is>
          <t>DS</t>
        </is>
      </c>
      <c r="C4694" s="156" t="inlineStr">
        <is>
          <t>DT-504</t>
        </is>
      </c>
      <c r="D4694" s="156" t="inlineStr">
        <is>
          <t>SKT 105S</t>
        </is>
      </c>
      <c r="E4694" s="156" t="inlineStr">
        <is>
          <t>Hauler</t>
        </is>
      </c>
      <c r="F4694" s="156" t="inlineStr">
        <is>
          <t>Hauling OB</t>
        </is>
      </c>
      <c r="G4694" s="182" t="n">
        <v>6.57</v>
      </c>
      <c r="H4694" s="182" t="n">
        <v>0</v>
      </c>
      <c r="I4694" s="182" t="n">
        <v>0</v>
      </c>
      <c r="J4694" s="182" t="n">
        <v>0</v>
      </c>
      <c r="K4694" s="182" t="n">
        <v>5.43</v>
      </c>
      <c r="L4694" s="182" t="n">
        <v>12</v>
      </c>
      <c r="M4694" s="182" t="n">
        <v>6.22</v>
      </c>
      <c r="N4694" s="182" t="n">
        <v>0</v>
      </c>
      <c r="O4694" s="183" t="n">
        <v>20</v>
      </c>
      <c r="P4694" s="183" t="n">
        <v>0</v>
      </c>
      <c r="Q4694" s="184" t="n">
        <v>408</v>
      </c>
      <c r="R4694" s="184" t="n">
        <v>0</v>
      </c>
      <c r="S4694" s="183" t="n">
        <v>0</v>
      </c>
      <c r="T4694" s="183" t="n">
        <v>0</v>
      </c>
      <c r="U4694" s="182" t="n">
        <v>2.64</v>
      </c>
      <c r="V4694" s="182" t="n">
        <v>1.66</v>
      </c>
      <c r="W4694" s="182" t="n">
        <v>0</v>
      </c>
      <c r="X4694" s="182" t="n">
        <v>0.99</v>
      </c>
      <c r="Y4694" s="182" t="n">
        <v>0</v>
      </c>
      <c r="Z4694" s="182" t="n">
        <v>0.07000000000000001</v>
      </c>
      <c r="AA4694" s="182" t="n">
        <v>0</v>
      </c>
      <c r="AB4694" s="182" t="n">
        <v>0</v>
      </c>
      <c r="AC4694" s="182" t="n">
        <v>0</v>
      </c>
      <c r="AD4694" s="182" t="n">
        <v>0</v>
      </c>
      <c r="AE4694" s="182" t="n">
        <v>0</v>
      </c>
      <c r="AF4694" s="182" t="n">
        <v>0</v>
      </c>
      <c r="AG4694" s="182" t="n">
        <v>0</v>
      </c>
      <c r="AH4694" s="182" t="n">
        <v>0</v>
      </c>
      <c r="AI4694" s="182" t="n">
        <v>0</v>
      </c>
      <c r="AJ4694" s="182" t="n">
        <v>0</v>
      </c>
      <c r="AK4694" s="182" t="n">
        <v>0</v>
      </c>
      <c r="AL4694" s="182" t="n">
        <v>0</v>
      </c>
      <c r="AM4694" s="182" t="n">
        <v>0.08</v>
      </c>
      <c r="AN4694" s="182" t="n">
        <v>0</v>
      </c>
    </row>
    <row r="4695">
      <c r="A4695" s="155" t="n">
        <v>46103</v>
      </c>
      <c r="B4695" s="156" t="inlineStr">
        <is>
          <t>DS</t>
        </is>
      </c>
      <c r="C4695" s="156" t="inlineStr">
        <is>
          <t>DT-507</t>
        </is>
      </c>
      <c r="D4695" s="156" t="inlineStr">
        <is>
          <t>SKT 105S</t>
        </is>
      </c>
      <c r="E4695" s="156" t="inlineStr">
        <is>
          <t>Hauler</t>
        </is>
      </c>
      <c r="F4695" s="156" t="inlineStr"/>
      <c r="G4695" s="182" t="n">
        <v>0</v>
      </c>
      <c r="H4695" s="182" t="n">
        <v>0</v>
      </c>
      <c r="I4695" s="182" t="n">
        <v>12</v>
      </c>
      <c r="J4695" s="182" t="n">
        <v>12</v>
      </c>
      <c r="K4695" s="182" t="n">
        <v>0</v>
      </c>
      <c r="L4695" s="182" t="n">
        <v>12</v>
      </c>
      <c r="M4695" s="182" t="n">
        <v>0</v>
      </c>
      <c r="N4695" s="182" t="n">
        <v>0</v>
      </c>
      <c r="O4695" s="183" t="n">
        <v>0</v>
      </c>
      <c r="P4695" s="183" t="n">
        <v>0</v>
      </c>
      <c r="Q4695" s="184" t="n">
        <v>0</v>
      </c>
      <c r="R4695" s="184" t="n">
        <v>0</v>
      </c>
      <c r="S4695" s="183" t="n">
        <v>0</v>
      </c>
      <c r="T4695" s="183" t="n">
        <v>0</v>
      </c>
      <c r="U4695" s="182" t="n">
        <v>0</v>
      </c>
      <c r="V4695" s="182" t="n">
        <v>0</v>
      </c>
      <c r="W4695" s="182" t="n">
        <v>0</v>
      </c>
      <c r="X4695" s="182" t="n">
        <v>0</v>
      </c>
      <c r="Y4695" s="182" t="n">
        <v>0</v>
      </c>
      <c r="Z4695" s="182" t="n">
        <v>0</v>
      </c>
      <c r="AA4695" s="182" t="n">
        <v>0</v>
      </c>
      <c r="AB4695" s="182" t="n">
        <v>0</v>
      </c>
      <c r="AC4695" s="182" t="n">
        <v>0</v>
      </c>
      <c r="AD4695" s="182" t="n">
        <v>0</v>
      </c>
      <c r="AE4695" s="182" t="n">
        <v>0</v>
      </c>
      <c r="AF4695" s="182" t="n">
        <v>0</v>
      </c>
      <c r="AG4695" s="182" t="n">
        <v>0</v>
      </c>
      <c r="AH4695" s="182" t="n">
        <v>0</v>
      </c>
      <c r="AI4695" s="182" t="n">
        <v>0</v>
      </c>
      <c r="AJ4695" s="182" t="n">
        <v>0</v>
      </c>
      <c r="AK4695" s="182" t="n">
        <v>0</v>
      </c>
      <c r="AL4695" s="182" t="n">
        <v>0</v>
      </c>
      <c r="AM4695" s="182" t="n">
        <v>0</v>
      </c>
      <c r="AN4695" s="182" t="n">
        <v>0</v>
      </c>
    </row>
    <row r="4696">
      <c r="A4696" s="155" t="n">
        <v>46103</v>
      </c>
      <c r="B4696" s="156" t="inlineStr">
        <is>
          <t>DS</t>
        </is>
      </c>
      <c r="C4696" s="156" t="inlineStr">
        <is>
          <t>DT-501</t>
        </is>
      </c>
      <c r="D4696" s="156" t="inlineStr">
        <is>
          <t>SKT 105S</t>
        </is>
      </c>
      <c r="E4696" s="156" t="inlineStr">
        <is>
          <t>Hauler</t>
        </is>
      </c>
      <c r="F4696" s="156" t="inlineStr">
        <is>
          <t>Hauling OB</t>
        </is>
      </c>
      <c r="G4696" s="182" t="n">
        <v>5.25</v>
      </c>
      <c r="H4696" s="182" t="n">
        <v>0</v>
      </c>
      <c r="I4696" s="182" t="n">
        <v>0</v>
      </c>
      <c r="J4696" s="182" t="n">
        <v>0</v>
      </c>
      <c r="K4696" s="182" t="n">
        <v>6.75</v>
      </c>
      <c r="L4696" s="182" t="n">
        <v>12</v>
      </c>
      <c r="M4696" s="182" t="n">
        <v>4.79</v>
      </c>
      <c r="N4696" s="182" t="n">
        <v>0</v>
      </c>
      <c r="O4696" s="183" t="n">
        <v>14</v>
      </c>
      <c r="P4696" s="183" t="n">
        <v>0</v>
      </c>
      <c r="Q4696" s="184" t="n">
        <v>285.6</v>
      </c>
      <c r="R4696" s="184" t="n">
        <v>0</v>
      </c>
      <c r="S4696" s="183" t="n">
        <v>0</v>
      </c>
      <c r="T4696" s="183" t="n">
        <v>0</v>
      </c>
      <c r="U4696" s="182" t="n">
        <v>2.69</v>
      </c>
      <c r="V4696" s="182" t="n">
        <v>2.5</v>
      </c>
      <c r="W4696" s="182" t="n">
        <v>0</v>
      </c>
      <c r="X4696" s="182" t="n">
        <v>1.01</v>
      </c>
      <c r="Y4696" s="182" t="n">
        <v>0</v>
      </c>
      <c r="Z4696" s="182" t="n">
        <v>0</v>
      </c>
      <c r="AA4696" s="182" t="n">
        <v>0</v>
      </c>
      <c r="AB4696" s="182" t="n">
        <v>0</v>
      </c>
      <c r="AC4696" s="182" t="n">
        <v>0</v>
      </c>
      <c r="AD4696" s="182" t="n">
        <v>0</v>
      </c>
      <c r="AE4696" s="182" t="n">
        <v>0</v>
      </c>
      <c r="AF4696" s="182" t="n">
        <v>0</v>
      </c>
      <c r="AG4696" s="182" t="n">
        <v>0</v>
      </c>
      <c r="AH4696" s="182" t="n">
        <v>0.47</v>
      </c>
      <c r="AI4696" s="182" t="n">
        <v>0</v>
      </c>
      <c r="AJ4696" s="182" t="n">
        <v>0</v>
      </c>
      <c r="AK4696" s="182" t="n">
        <v>0</v>
      </c>
      <c r="AL4696" s="182" t="n">
        <v>0</v>
      </c>
      <c r="AM4696" s="182" t="n">
        <v>0.08</v>
      </c>
      <c r="AN4696" s="182" t="n">
        <v>0</v>
      </c>
    </row>
    <row r="4697">
      <c r="A4697" s="155" t="n">
        <v>46103</v>
      </c>
      <c r="B4697" s="156" t="inlineStr">
        <is>
          <t>DS</t>
        </is>
      </c>
      <c r="C4697" s="156" t="inlineStr">
        <is>
          <t>DT-518</t>
        </is>
      </c>
      <c r="D4697" s="156" t="inlineStr">
        <is>
          <t>SKT 105S</t>
        </is>
      </c>
      <c r="E4697" s="156" t="inlineStr">
        <is>
          <t>Hauler</t>
        </is>
      </c>
      <c r="F4697" s="156" t="inlineStr">
        <is>
          <t>Hauling OB</t>
        </is>
      </c>
      <c r="G4697" s="182" t="n">
        <v>2.35</v>
      </c>
      <c r="H4697" s="182" t="n">
        <v>0</v>
      </c>
      <c r="I4697" s="182" t="n">
        <v>2.83</v>
      </c>
      <c r="J4697" s="182" t="n">
        <v>2.83</v>
      </c>
      <c r="K4697" s="182" t="n">
        <v>6.82</v>
      </c>
      <c r="L4697" s="182" t="n">
        <v>12</v>
      </c>
      <c r="M4697" s="182" t="n">
        <v>2.35</v>
      </c>
      <c r="N4697" s="182" t="n">
        <v>0</v>
      </c>
      <c r="O4697" s="183" t="n">
        <v>3</v>
      </c>
      <c r="P4697" s="183" t="n">
        <v>0</v>
      </c>
      <c r="Q4697" s="184" t="n">
        <v>61.2</v>
      </c>
      <c r="R4697" s="184" t="n">
        <v>0</v>
      </c>
      <c r="S4697" s="183" t="n">
        <v>0</v>
      </c>
      <c r="T4697" s="183" t="n">
        <v>0</v>
      </c>
      <c r="U4697" s="182" t="n">
        <v>2.61</v>
      </c>
      <c r="V4697" s="182" t="n">
        <v>2.43</v>
      </c>
      <c r="W4697" s="182" t="n">
        <v>0</v>
      </c>
      <c r="X4697" s="182" t="n">
        <v>0</v>
      </c>
      <c r="Y4697" s="182" t="n">
        <v>0</v>
      </c>
      <c r="Z4697" s="182" t="n">
        <v>0.07000000000000001</v>
      </c>
      <c r="AA4697" s="182" t="n">
        <v>0</v>
      </c>
      <c r="AB4697" s="182" t="n">
        <v>0</v>
      </c>
      <c r="AC4697" s="182" t="n">
        <v>0</v>
      </c>
      <c r="AD4697" s="182" t="n">
        <v>0</v>
      </c>
      <c r="AE4697" s="182" t="n">
        <v>0</v>
      </c>
      <c r="AF4697" s="182" t="n">
        <v>0</v>
      </c>
      <c r="AG4697" s="182" t="n">
        <v>0</v>
      </c>
      <c r="AH4697" s="182" t="n">
        <v>0.57</v>
      </c>
      <c r="AI4697" s="182" t="n">
        <v>0</v>
      </c>
      <c r="AJ4697" s="182" t="n">
        <v>0</v>
      </c>
      <c r="AK4697" s="182" t="n">
        <v>1.06</v>
      </c>
      <c r="AL4697" s="182" t="n">
        <v>0</v>
      </c>
      <c r="AM4697" s="182" t="n">
        <v>0.08</v>
      </c>
      <c r="AN4697" s="182" t="n">
        <v>0</v>
      </c>
    </row>
    <row r="4698">
      <c r="A4698" s="155" t="n">
        <v>46103</v>
      </c>
      <c r="B4698" s="156" t="inlineStr">
        <is>
          <t>DS</t>
        </is>
      </c>
      <c r="C4698" s="156" t="inlineStr">
        <is>
          <t>DT-514</t>
        </is>
      </c>
      <c r="D4698" s="156" t="inlineStr">
        <is>
          <t>SKT 105S</t>
        </is>
      </c>
      <c r="E4698" s="156" t="inlineStr">
        <is>
          <t>Hauler</t>
        </is>
      </c>
      <c r="F4698" s="156" t="inlineStr">
        <is>
          <t>Hauling Coal S45</t>
        </is>
      </c>
      <c r="G4698" s="182" t="n">
        <v>3.71</v>
      </c>
      <c r="H4698" s="182" t="n">
        <v>0</v>
      </c>
      <c r="I4698" s="182" t="n">
        <v>0</v>
      </c>
      <c r="J4698" s="182" t="n">
        <v>0</v>
      </c>
      <c r="K4698" s="182" t="n">
        <v>8.289999999999999</v>
      </c>
      <c r="L4698" s="182" t="n">
        <v>12</v>
      </c>
      <c r="M4698" s="182" t="n">
        <v>0</v>
      </c>
      <c r="N4698" s="182" t="n">
        <v>3.71</v>
      </c>
      <c r="O4698" s="183" t="n">
        <v>0</v>
      </c>
      <c r="P4698" s="183" t="n">
        <v>10</v>
      </c>
      <c r="Q4698" s="184" t="n">
        <v>0</v>
      </c>
      <c r="R4698" s="184" t="n">
        <v>187</v>
      </c>
      <c r="S4698" s="183" t="n">
        <v>0</v>
      </c>
      <c r="T4698" s="183" t="n">
        <v>0</v>
      </c>
      <c r="U4698" s="182" t="n">
        <v>2.73</v>
      </c>
      <c r="V4698" s="182" t="n">
        <v>0.43</v>
      </c>
      <c r="W4698" s="182" t="n">
        <v>0</v>
      </c>
      <c r="X4698" s="182" t="n">
        <v>1.02</v>
      </c>
      <c r="Y4698" s="182" t="n">
        <v>0</v>
      </c>
      <c r="Z4698" s="182" t="n">
        <v>0</v>
      </c>
      <c r="AA4698" s="182" t="n">
        <v>0</v>
      </c>
      <c r="AB4698" s="182" t="n">
        <v>0</v>
      </c>
      <c r="AC4698" s="182" t="n">
        <v>0</v>
      </c>
      <c r="AD4698" s="182" t="n">
        <v>0</v>
      </c>
      <c r="AE4698" s="182" t="n">
        <v>0</v>
      </c>
      <c r="AF4698" s="182" t="n">
        <v>0</v>
      </c>
      <c r="AG4698" s="182" t="n">
        <v>0</v>
      </c>
      <c r="AH4698" s="182" t="n">
        <v>0.1</v>
      </c>
      <c r="AI4698" s="182" t="n">
        <v>3.92</v>
      </c>
      <c r="AJ4698" s="182" t="n">
        <v>0</v>
      </c>
      <c r="AK4698" s="182" t="n">
        <v>0</v>
      </c>
      <c r="AL4698" s="182" t="n">
        <v>0</v>
      </c>
      <c r="AM4698" s="182" t="n">
        <v>0.08</v>
      </c>
      <c r="AN4698" s="182" t="n">
        <v>0</v>
      </c>
    </row>
    <row r="4699">
      <c r="A4699" s="155" t="n">
        <v>46103</v>
      </c>
      <c r="B4699" s="156" t="inlineStr">
        <is>
          <t>DS</t>
        </is>
      </c>
      <c r="C4699" s="156" t="inlineStr">
        <is>
          <t>DT-523</t>
        </is>
      </c>
      <c r="D4699" s="156" t="inlineStr">
        <is>
          <t>SKT 105S</t>
        </is>
      </c>
      <c r="E4699" s="156" t="inlineStr">
        <is>
          <t>Hauler</t>
        </is>
      </c>
      <c r="F4699" s="156" t="inlineStr">
        <is>
          <t>Hauling Coal S45</t>
        </is>
      </c>
      <c r="G4699" s="182" t="n">
        <v>3.82</v>
      </c>
      <c r="H4699" s="182" t="n">
        <v>0</v>
      </c>
      <c r="I4699" s="182" t="n">
        <v>0.13</v>
      </c>
      <c r="J4699" s="182" t="n">
        <v>0.13</v>
      </c>
      <c r="K4699" s="182" t="n">
        <v>8.050000000000001</v>
      </c>
      <c r="L4699" s="182" t="n">
        <v>12</v>
      </c>
      <c r="M4699" s="182" t="n">
        <v>0</v>
      </c>
      <c r="N4699" s="182" t="n">
        <v>3.82</v>
      </c>
      <c r="O4699" s="183" t="n">
        <v>0</v>
      </c>
      <c r="P4699" s="183" t="n">
        <v>11</v>
      </c>
      <c r="Q4699" s="184" t="n">
        <v>0</v>
      </c>
      <c r="R4699" s="184" t="n">
        <v>205.7</v>
      </c>
      <c r="S4699" s="183" t="n">
        <v>0</v>
      </c>
      <c r="T4699" s="183" t="n">
        <v>0</v>
      </c>
      <c r="U4699" s="182" t="n">
        <v>2.8</v>
      </c>
      <c r="V4699" s="182" t="n">
        <v>0.44</v>
      </c>
      <c r="W4699" s="182" t="n">
        <v>0</v>
      </c>
      <c r="X4699" s="182" t="n">
        <v>1.05</v>
      </c>
      <c r="Y4699" s="182" t="n">
        <v>0</v>
      </c>
      <c r="Z4699" s="182" t="n">
        <v>0.07000000000000001</v>
      </c>
      <c r="AA4699" s="182" t="n">
        <v>0</v>
      </c>
      <c r="AB4699" s="182" t="n">
        <v>0</v>
      </c>
      <c r="AC4699" s="182" t="n">
        <v>0</v>
      </c>
      <c r="AD4699" s="182" t="n">
        <v>0</v>
      </c>
      <c r="AE4699" s="182" t="n">
        <v>0</v>
      </c>
      <c r="AF4699" s="182" t="n">
        <v>0</v>
      </c>
      <c r="AG4699" s="182" t="n">
        <v>0</v>
      </c>
      <c r="AH4699" s="182" t="n">
        <v>0</v>
      </c>
      <c r="AI4699" s="182" t="n">
        <v>3.6</v>
      </c>
      <c r="AJ4699" s="182" t="n">
        <v>0</v>
      </c>
      <c r="AK4699" s="182" t="n">
        <v>0</v>
      </c>
      <c r="AL4699" s="182" t="n">
        <v>0</v>
      </c>
      <c r="AM4699" s="182" t="n">
        <v>0.08</v>
      </c>
      <c r="AN4699" s="182" t="n">
        <v>0</v>
      </c>
    </row>
    <row r="4700">
      <c r="A4700" s="155" t="n">
        <v>46103</v>
      </c>
      <c r="B4700" s="156" t="inlineStr">
        <is>
          <t>DS</t>
        </is>
      </c>
      <c r="C4700" s="156" t="inlineStr">
        <is>
          <t>DT-519</t>
        </is>
      </c>
      <c r="D4700" s="156" t="inlineStr">
        <is>
          <t>SKT 105S</t>
        </is>
      </c>
      <c r="E4700" s="156" t="inlineStr">
        <is>
          <t>Hauler</t>
        </is>
      </c>
      <c r="F4700" s="156" t="inlineStr">
        <is>
          <t>Travel WS</t>
        </is>
      </c>
      <c r="G4700" s="182" t="n">
        <v>0.35</v>
      </c>
      <c r="H4700" s="182" t="n">
        <v>0</v>
      </c>
      <c r="I4700" s="182" t="n">
        <v>7.98</v>
      </c>
      <c r="J4700" s="182" t="n">
        <v>7.98</v>
      </c>
      <c r="K4700" s="182" t="n">
        <v>3.67</v>
      </c>
      <c r="L4700" s="182" t="n">
        <v>12</v>
      </c>
      <c r="M4700" s="182" t="n">
        <v>0</v>
      </c>
      <c r="N4700" s="182" t="n">
        <v>0</v>
      </c>
      <c r="O4700" s="183" t="n">
        <v>0</v>
      </c>
      <c r="P4700" s="183" t="n">
        <v>0</v>
      </c>
      <c r="Q4700" s="184" t="n">
        <v>0</v>
      </c>
      <c r="R4700" s="184" t="n">
        <v>0</v>
      </c>
      <c r="S4700" s="183" t="n">
        <v>0</v>
      </c>
      <c r="T4700" s="183" t="n">
        <v>0</v>
      </c>
      <c r="U4700" s="182" t="n">
        <v>0</v>
      </c>
      <c r="V4700" s="182" t="n">
        <v>0</v>
      </c>
      <c r="W4700" s="182" t="n">
        <v>0</v>
      </c>
      <c r="X4700" s="182" t="n">
        <v>0</v>
      </c>
      <c r="Y4700" s="182" t="n">
        <v>0</v>
      </c>
      <c r="Z4700" s="182" t="n">
        <v>0</v>
      </c>
      <c r="AA4700" s="182" t="n">
        <v>0</v>
      </c>
      <c r="AB4700" s="182" t="n">
        <v>0</v>
      </c>
      <c r="AC4700" s="182" t="n">
        <v>0</v>
      </c>
      <c r="AD4700" s="182" t="n">
        <v>0</v>
      </c>
      <c r="AE4700" s="182" t="n">
        <v>0</v>
      </c>
      <c r="AF4700" s="182" t="n">
        <v>0</v>
      </c>
      <c r="AG4700" s="182" t="n">
        <v>0</v>
      </c>
      <c r="AH4700" s="182" t="n">
        <v>0</v>
      </c>
      <c r="AI4700" s="182" t="n">
        <v>0</v>
      </c>
      <c r="AJ4700" s="182" t="n">
        <v>0</v>
      </c>
      <c r="AK4700" s="182" t="n">
        <v>3.57</v>
      </c>
      <c r="AL4700" s="182" t="n">
        <v>0</v>
      </c>
      <c r="AM4700" s="182" t="n">
        <v>0.09</v>
      </c>
      <c r="AN4700" s="182" t="n">
        <v>0</v>
      </c>
    </row>
    <row r="4701">
      <c r="A4701" s="155" t="n">
        <v>46103</v>
      </c>
      <c r="B4701" s="156" t="inlineStr">
        <is>
          <t>DS</t>
        </is>
      </c>
      <c r="C4701" s="156" t="inlineStr">
        <is>
          <t>DT-527</t>
        </is>
      </c>
      <c r="D4701" s="156" t="inlineStr">
        <is>
          <t>SKT 105S</t>
        </is>
      </c>
      <c r="E4701" s="156" t="inlineStr">
        <is>
          <t>Hauler</t>
        </is>
      </c>
      <c r="F4701" s="156" t="inlineStr">
        <is>
          <t>Hauling Coal S45</t>
        </is>
      </c>
      <c r="G4701" s="182" t="n">
        <v>4.16</v>
      </c>
      <c r="H4701" s="182" t="n">
        <v>0</v>
      </c>
      <c r="I4701" s="182" t="n">
        <v>0</v>
      </c>
      <c r="J4701" s="182" t="n">
        <v>0</v>
      </c>
      <c r="K4701" s="182" t="n">
        <v>7.84</v>
      </c>
      <c r="L4701" s="182" t="n">
        <v>12</v>
      </c>
      <c r="M4701" s="182" t="n">
        <v>0</v>
      </c>
      <c r="N4701" s="182" t="n">
        <v>4.16</v>
      </c>
      <c r="O4701" s="183" t="n">
        <v>0</v>
      </c>
      <c r="P4701" s="183" t="n">
        <v>9</v>
      </c>
      <c r="Q4701" s="184" t="n">
        <v>0</v>
      </c>
      <c r="R4701" s="184" t="n">
        <v>168.3</v>
      </c>
      <c r="S4701" s="183" t="n">
        <v>0</v>
      </c>
      <c r="T4701" s="183" t="n">
        <v>0</v>
      </c>
      <c r="U4701" s="182" t="n">
        <v>2.58</v>
      </c>
      <c r="V4701" s="182" t="n">
        <v>0.41</v>
      </c>
      <c r="W4701" s="182" t="n">
        <v>0</v>
      </c>
      <c r="X4701" s="182" t="n">
        <v>0.97</v>
      </c>
      <c r="Y4701" s="182" t="n">
        <v>0</v>
      </c>
      <c r="Z4701" s="182" t="n">
        <v>0</v>
      </c>
      <c r="AA4701" s="182" t="n">
        <v>0</v>
      </c>
      <c r="AB4701" s="182" t="n">
        <v>0</v>
      </c>
      <c r="AC4701" s="182" t="n">
        <v>0</v>
      </c>
      <c r="AD4701" s="182" t="n">
        <v>0</v>
      </c>
      <c r="AE4701" s="182" t="n">
        <v>0</v>
      </c>
      <c r="AF4701" s="182" t="n">
        <v>0</v>
      </c>
      <c r="AG4701" s="182" t="n">
        <v>0</v>
      </c>
      <c r="AH4701" s="182" t="n">
        <v>0.1</v>
      </c>
      <c r="AI4701" s="182" t="n">
        <v>3.71</v>
      </c>
      <c r="AJ4701" s="182" t="n">
        <v>0</v>
      </c>
      <c r="AK4701" s="182" t="n">
        <v>0</v>
      </c>
      <c r="AL4701" s="182" t="n">
        <v>0</v>
      </c>
      <c r="AM4701" s="182" t="n">
        <v>0.08</v>
      </c>
      <c r="AN4701" s="182" t="n">
        <v>0</v>
      </c>
    </row>
    <row r="4702">
      <c r="A4702" s="155" t="n">
        <v>46103</v>
      </c>
      <c r="B4702" s="156" t="inlineStr">
        <is>
          <t>DS</t>
        </is>
      </c>
      <c r="C4702" s="156" t="inlineStr">
        <is>
          <t>DT-513</t>
        </is>
      </c>
      <c r="D4702" s="156" t="inlineStr">
        <is>
          <t>SKT 105S</t>
        </is>
      </c>
      <c r="E4702" s="156" t="inlineStr">
        <is>
          <t>Hauler</t>
        </is>
      </c>
      <c r="F4702" s="156" t="inlineStr">
        <is>
          <t>Hauling Spoil, Parting &amp; OB</t>
        </is>
      </c>
      <c r="G4702" s="182" t="n">
        <v>5.39</v>
      </c>
      <c r="H4702" s="182" t="n">
        <v>0</v>
      </c>
      <c r="I4702" s="182" t="n">
        <v>0</v>
      </c>
      <c r="J4702" s="182" t="n">
        <v>0</v>
      </c>
      <c r="K4702" s="182" t="n">
        <v>6.61</v>
      </c>
      <c r="L4702" s="182" t="n">
        <v>12</v>
      </c>
      <c r="M4702" s="182" t="n">
        <v>2.87</v>
      </c>
      <c r="N4702" s="182" t="n">
        <v>0</v>
      </c>
      <c r="O4702" s="183" t="n">
        <v>5</v>
      </c>
      <c r="P4702" s="183" t="n">
        <v>0</v>
      </c>
      <c r="Q4702" s="184" t="n">
        <v>93.8</v>
      </c>
      <c r="R4702" s="184" t="n">
        <v>0</v>
      </c>
      <c r="S4702" s="183" t="n">
        <v>0</v>
      </c>
      <c r="T4702" s="183" t="n">
        <v>0</v>
      </c>
      <c r="U4702" s="182" t="n">
        <v>2.72</v>
      </c>
      <c r="V4702" s="182" t="n">
        <v>2.56</v>
      </c>
      <c r="W4702" s="182" t="n">
        <v>0</v>
      </c>
      <c r="X4702" s="182" t="n">
        <v>1.02</v>
      </c>
      <c r="Y4702" s="182" t="n">
        <v>0</v>
      </c>
      <c r="Z4702" s="182" t="n">
        <v>0</v>
      </c>
      <c r="AA4702" s="182" t="n">
        <v>0</v>
      </c>
      <c r="AB4702" s="182" t="n">
        <v>0</v>
      </c>
      <c r="AC4702" s="182" t="n">
        <v>0</v>
      </c>
      <c r="AD4702" s="182" t="n">
        <v>0</v>
      </c>
      <c r="AE4702" s="182" t="n">
        <v>0</v>
      </c>
      <c r="AF4702" s="182" t="n">
        <v>0</v>
      </c>
      <c r="AG4702" s="182" t="n">
        <v>0</v>
      </c>
      <c r="AH4702" s="182" t="n">
        <v>0.23</v>
      </c>
      <c r="AI4702" s="182" t="n">
        <v>0</v>
      </c>
      <c r="AJ4702" s="182" t="n">
        <v>0</v>
      </c>
      <c r="AK4702" s="182" t="n">
        <v>0</v>
      </c>
      <c r="AL4702" s="182" t="n">
        <v>0</v>
      </c>
      <c r="AM4702" s="182" t="n">
        <v>0.08</v>
      </c>
      <c r="AN4702" s="182" t="n">
        <v>0</v>
      </c>
    </row>
    <row r="4703">
      <c r="A4703" s="155" t="n">
        <v>46103</v>
      </c>
      <c r="B4703" s="156" t="inlineStr">
        <is>
          <t>DS</t>
        </is>
      </c>
      <c r="C4703" s="156" t="inlineStr">
        <is>
          <t>DT-512</t>
        </is>
      </c>
      <c r="D4703" s="156" t="inlineStr">
        <is>
          <t>SKT 105S</t>
        </is>
      </c>
      <c r="E4703" s="156" t="inlineStr">
        <is>
          <t>Hauler</t>
        </is>
      </c>
      <c r="F4703" s="156" t="inlineStr">
        <is>
          <t>Hauling Spoil, Parting &amp; OB</t>
        </is>
      </c>
      <c r="G4703" s="182" t="n">
        <v>5.56</v>
      </c>
      <c r="H4703" s="182" t="n">
        <v>0</v>
      </c>
      <c r="I4703" s="182" t="n">
        <v>0</v>
      </c>
      <c r="J4703" s="182" t="n">
        <v>0</v>
      </c>
      <c r="K4703" s="182" t="n">
        <v>6.44</v>
      </c>
      <c r="L4703" s="182" t="n">
        <v>12</v>
      </c>
      <c r="M4703" s="182" t="n">
        <v>3.01</v>
      </c>
      <c r="N4703" s="182" t="n">
        <v>0</v>
      </c>
      <c r="O4703" s="183" t="n">
        <v>5</v>
      </c>
      <c r="P4703" s="183" t="n">
        <v>0</v>
      </c>
      <c r="Q4703" s="184" t="n">
        <v>91.8</v>
      </c>
      <c r="R4703" s="184" t="n">
        <v>0</v>
      </c>
      <c r="S4703" s="183" t="n">
        <v>0</v>
      </c>
      <c r="T4703" s="183" t="n">
        <v>0</v>
      </c>
      <c r="U4703" s="182" t="n">
        <v>2.69</v>
      </c>
      <c r="V4703" s="182" t="n">
        <v>2.54</v>
      </c>
      <c r="W4703" s="182" t="n">
        <v>0</v>
      </c>
      <c r="X4703" s="182" t="n">
        <v>1.01</v>
      </c>
      <c r="Y4703" s="182" t="n">
        <v>0</v>
      </c>
      <c r="Z4703" s="182" t="n">
        <v>0.07000000000000001</v>
      </c>
      <c r="AA4703" s="182" t="n">
        <v>0</v>
      </c>
      <c r="AB4703" s="182" t="n">
        <v>0</v>
      </c>
      <c r="AC4703" s="182" t="n">
        <v>0</v>
      </c>
      <c r="AD4703" s="182" t="n">
        <v>0</v>
      </c>
      <c r="AE4703" s="182" t="n">
        <v>0</v>
      </c>
      <c r="AF4703" s="182" t="n">
        <v>0</v>
      </c>
      <c r="AG4703" s="182" t="n">
        <v>0</v>
      </c>
      <c r="AH4703" s="182" t="n">
        <v>0.06</v>
      </c>
      <c r="AI4703" s="182" t="n">
        <v>0</v>
      </c>
      <c r="AJ4703" s="182" t="n">
        <v>0</v>
      </c>
      <c r="AK4703" s="182" t="n">
        <v>0</v>
      </c>
      <c r="AL4703" s="182" t="n">
        <v>0</v>
      </c>
      <c r="AM4703" s="182" t="n">
        <v>0.08</v>
      </c>
      <c r="AN4703" s="182" t="n">
        <v>0</v>
      </c>
    </row>
    <row r="4704">
      <c r="A4704" s="155" t="n">
        <v>46103</v>
      </c>
      <c r="B4704" s="156" t="inlineStr">
        <is>
          <t>DS</t>
        </is>
      </c>
      <c r="C4704" s="156" t="inlineStr">
        <is>
          <t>DT-522</t>
        </is>
      </c>
      <c r="D4704" s="156" t="inlineStr">
        <is>
          <t>SKT 105S</t>
        </is>
      </c>
      <c r="E4704" s="156" t="inlineStr">
        <is>
          <t>Hauler</t>
        </is>
      </c>
      <c r="F4704" s="156" t="inlineStr"/>
      <c r="G4704" s="182" t="n">
        <v>0</v>
      </c>
      <c r="H4704" s="182" t="n">
        <v>0</v>
      </c>
      <c r="I4704" s="182" t="n">
        <v>11.9</v>
      </c>
      <c r="J4704" s="182" t="n">
        <v>11.9</v>
      </c>
      <c r="K4704" s="182" t="n">
        <v>0.1</v>
      </c>
      <c r="L4704" s="182" t="n">
        <v>12</v>
      </c>
      <c r="M4704" s="182" t="n">
        <v>0</v>
      </c>
      <c r="N4704" s="182" t="n">
        <v>0</v>
      </c>
      <c r="O4704" s="183" t="n">
        <v>0</v>
      </c>
      <c r="P4704" s="183" t="n">
        <v>0</v>
      </c>
      <c r="Q4704" s="184" t="n">
        <v>0</v>
      </c>
      <c r="R4704" s="184" t="n">
        <v>0</v>
      </c>
      <c r="S4704" s="183" t="n">
        <v>0</v>
      </c>
      <c r="T4704" s="183" t="n">
        <v>0</v>
      </c>
      <c r="U4704" s="182" t="n">
        <v>0</v>
      </c>
      <c r="V4704" s="182" t="n">
        <v>0</v>
      </c>
      <c r="W4704" s="182" t="n">
        <v>0</v>
      </c>
      <c r="X4704" s="182" t="n">
        <v>0</v>
      </c>
      <c r="Y4704" s="182" t="n">
        <v>0</v>
      </c>
      <c r="Z4704" s="182" t="n">
        <v>0</v>
      </c>
      <c r="AA4704" s="182" t="n">
        <v>0</v>
      </c>
      <c r="AB4704" s="182" t="n">
        <v>0</v>
      </c>
      <c r="AC4704" s="182" t="n">
        <v>0</v>
      </c>
      <c r="AD4704" s="182" t="n">
        <v>0</v>
      </c>
      <c r="AE4704" s="182" t="n">
        <v>0</v>
      </c>
      <c r="AF4704" s="182" t="n">
        <v>0</v>
      </c>
      <c r="AG4704" s="182" t="n">
        <v>0</v>
      </c>
      <c r="AH4704" s="182" t="n">
        <v>0.02</v>
      </c>
      <c r="AI4704" s="182" t="n">
        <v>0</v>
      </c>
      <c r="AJ4704" s="182" t="n">
        <v>0</v>
      </c>
      <c r="AK4704" s="182" t="n">
        <v>0</v>
      </c>
      <c r="AL4704" s="182" t="n">
        <v>0</v>
      </c>
      <c r="AM4704" s="182" t="n">
        <v>0.08</v>
      </c>
      <c r="AN4704" s="182" t="n">
        <v>0</v>
      </c>
    </row>
    <row r="4705">
      <c r="A4705" s="155" t="n">
        <v>46103</v>
      </c>
      <c r="B4705" s="156" t="inlineStr">
        <is>
          <t>DS</t>
        </is>
      </c>
      <c r="C4705" s="156" t="inlineStr">
        <is>
          <t>DT-517</t>
        </is>
      </c>
      <c r="D4705" s="156" t="inlineStr">
        <is>
          <t>SKT 105S</t>
        </is>
      </c>
      <c r="E4705" s="156" t="inlineStr">
        <is>
          <t>Hauler</t>
        </is>
      </c>
      <c r="F4705" s="156" t="inlineStr">
        <is>
          <t>Hauling Spoil, Parting &amp; OB</t>
        </is>
      </c>
      <c r="G4705" s="182" t="n">
        <v>5.54</v>
      </c>
      <c r="H4705" s="182" t="n">
        <v>0</v>
      </c>
      <c r="I4705" s="182" t="n">
        <v>0</v>
      </c>
      <c r="J4705" s="182" t="n">
        <v>0</v>
      </c>
      <c r="K4705" s="182" t="n">
        <v>6.46</v>
      </c>
      <c r="L4705" s="182" t="n">
        <v>12</v>
      </c>
      <c r="M4705" s="182" t="n">
        <v>2.95</v>
      </c>
      <c r="N4705" s="182" t="n">
        <v>0</v>
      </c>
      <c r="O4705" s="183" t="n">
        <v>6</v>
      </c>
      <c r="P4705" s="183" t="n">
        <v>0</v>
      </c>
      <c r="Q4705" s="184" t="n">
        <v>110.2</v>
      </c>
      <c r="R4705" s="184" t="n">
        <v>0</v>
      </c>
      <c r="S4705" s="183" t="n">
        <v>0</v>
      </c>
      <c r="T4705" s="183" t="n">
        <v>0</v>
      </c>
      <c r="U4705" s="182" t="n">
        <v>2.65</v>
      </c>
      <c r="V4705" s="182" t="n">
        <v>2.5</v>
      </c>
      <c r="W4705" s="182" t="n">
        <v>0</v>
      </c>
      <c r="X4705" s="182" t="n">
        <v>0.99</v>
      </c>
      <c r="Y4705" s="182" t="n">
        <v>0</v>
      </c>
      <c r="Z4705" s="182" t="n">
        <v>0.07000000000000001</v>
      </c>
      <c r="AA4705" s="182" t="n">
        <v>0</v>
      </c>
      <c r="AB4705" s="182" t="n">
        <v>0</v>
      </c>
      <c r="AC4705" s="182" t="n">
        <v>0</v>
      </c>
      <c r="AD4705" s="182" t="n">
        <v>0</v>
      </c>
      <c r="AE4705" s="182" t="n">
        <v>0</v>
      </c>
      <c r="AF4705" s="182" t="n">
        <v>0</v>
      </c>
      <c r="AG4705" s="182" t="n">
        <v>0</v>
      </c>
      <c r="AH4705" s="182" t="n">
        <v>0.16</v>
      </c>
      <c r="AI4705" s="182" t="n">
        <v>0</v>
      </c>
      <c r="AJ4705" s="182" t="n">
        <v>0</v>
      </c>
      <c r="AK4705" s="182" t="n">
        <v>0</v>
      </c>
      <c r="AL4705" s="182" t="n">
        <v>0</v>
      </c>
      <c r="AM4705" s="182" t="n">
        <v>0.08</v>
      </c>
      <c r="AN4705" s="182" t="n">
        <v>0</v>
      </c>
    </row>
    <row r="4706">
      <c r="A4706" s="155" t="n">
        <v>46103</v>
      </c>
      <c r="B4706" s="156" t="inlineStr">
        <is>
          <t>DS</t>
        </is>
      </c>
      <c r="C4706" s="156" t="inlineStr">
        <is>
          <t>DT-510</t>
        </is>
      </c>
      <c r="D4706" s="156" t="inlineStr">
        <is>
          <t>SKT 105S</t>
        </is>
      </c>
      <c r="E4706" s="156" t="inlineStr">
        <is>
          <t>Hauler</t>
        </is>
      </c>
      <c r="F4706" s="156" t="inlineStr">
        <is>
          <t>Hauling Coal</t>
        </is>
      </c>
      <c r="G4706" s="182" t="n">
        <v>4.28</v>
      </c>
      <c r="H4706" s="182" t="n">
        <v>0</v>
      </c>
      <c r="I4706" s="182" t="n">
        <v>0</v>
      </c>
      <c r="J4706" s="182" t="n">
        <v>0</v>
      </c>
      <c r="K4706" s="182" t="n">
        <v>7.72</v>
      </c>
      <c r="L4706" s="182" t="n">
        <v>12</v>
      </c>
      <c r="M4706" s="182" t="n">
        <v>0</v>
      </c>
      <c r="N4706" s="182" t="n">
        <v>4.28</v>
      </c>
      <c r="O4706" s="183" t="n">
        <v>0</v>
      </c>
      <c r="P4706" s="183" t="n">
        <v>14</v>
      </c>
      <c r="Q4706" s="184" t="n">
        <v>0</v>
      </c>
      <c r="R4706" s="184" t="n">
        <v>261.8</v>
      </c>
      <c r="S4706" s="183" t="n">
        <v>0</v>
      </c>
      <c r="T4706" s="183" t="n">
        <v>0</v>
      </c>
      <c r="U4706" s="182" t="n">
        <v>2.75</v>
      </c>
      <c r="V4706" s="182" t="n">
        <v>1.52</v>
      </c>
      <c r="W4706" s="182" t="n">
        <v>0</v>
      </c>
      <c r="X4706" s="182" t="n">
        <v>1.03</v>
      </c>
      <c r="Y4706" s="182" t="n">
        <v>0</v>
      </c>
      <c r="Z4706" s="182" t="n">
        <v>0.07000000000000001</v>
      </c>
      <c r="AA4706" s="182" t="n">
        <v>0</v>
      </c>
      <c r="AB4706" s="182" t="n">
        <v>0</v>
      </c>
      <c r="AC4706" s="182" t="n">
        <v>0</v>
      </c>
      <c r="AD4706" s="182" t="n">
        <v>0</v>
      </c>
      <c r="AE4706" s="182" t="n">
        <v>0</v>
      </c>
      <c r="AF4706" s="182" t="n">
        <v>0</v>
      </c>
      <c r="AG4706" s="182" t="n">
        <v>0</v>
      </c>
      <c r="AH4706" s="182" t="n">
        <v>0.51</v>
      </c>
      <c r="AI4706" s="182" t="n">
        <v>0</v>
      </c>
      <c r="AJ4706" s="182" t="n">
        <v>0</v>
      </c>
      <c r="AK4706" s="182" t="n">
        <v>1.75</v>
      </c>
      <c r="AL4706" s="182" t="n">
        <v>0</v>
      </c>
      <c r="AM4706" s="182" t="n">
        <v>0.08</v>
      </c>
      <c r="AN4706" s="182" t="n">
        <v>0</v>
      </c>
    </row>
    <row r="4707">
      <c r="A4707" s="155" t="n">
        <v>46103</v>
      </c>
      <c r="B4707" s="156" t="inlineStr">
        <is>
          <t>DS</t>
        </is>
      </c>
      <c r="C4707" s="156" t="inlineStr">
        <is>
          <t>DT-521</t>
        </is>
      </c>
      <c r="D4707" s="156" t="inlineStr">
        <is>
          <t>SKT 105S</t>
        </is>
      </c>
      <c r="E4707" s="156" t="inlineStr">
        <is>
          <t>Hauler</t>
        </is>
      </c>
      <c r="F4707" s="156" t="inlineStr">
        <is>
          <t>Hauling Coal</t>
        </is>
      </c>
      <c r="G4707" s="182" t="n">
        <v>5.81</v>
      </c>
      <c r="H4707" s="182" t="n">
        <v>0</v>
      </c>
      <c r="I4707" s="182" t="n">
        <v>0</v>
      </c>
      <c r="J4707" s="182" t="n">
        <v>0</v>
      </c>
      <c r="K4707" s="182" t="n">
        <v>6.19</v>
      </c>
      <c r="L4707" s="182" t="n">
        <v>12</v>
      </c>
      <c r="M4707" s="182" t="n">
        <v>0</v>
      </c>
      <c r="N4707" s="182" t="n">
        <v>5.81</v>
      </c>
      <c r="O4707" s="183" t="n">
        <v>0</v>
      </c>
      <c r="P4707" s="183" t="n">
        <v>14</v>
      </c>
      <c r="Q4707" s="184" t="n">
        <v>0</v>
      </c>
      <c r="R4707" s="184" t="n">
        <v>261.8</v>
      </c>
      <c r="S4707" s="183" t="n">
        <v>0</v>
      </c>
      <c r="T4707" s="183" t="n">
        <v>0</v>
      </c>
      <c r="U4707" s="182" t="n">
        <v>2.47</v>
      </c>
      <c r="V4707" s="182" t="n">
        <v>1.37</v>
      </c>
      <c r="W4707" s="182" t="n">
        <v>0</v>
      </c>
      <c r="X4707" s="182" t="n">
        <v>0.92</v>
      </c>
      <c r="Y4707" s="182" t="n">
        <v>0</v>
      </c>
      <c r="Z4707" s="182" t="n">
        <v>0.06</v>
      </c>
      <c r="AA4707" s="182" t="n">
        <v>0</v>
      </c>
      <c r="AB4707" s="182" t="n">
        <v>0</v>
      </c>
      <c r="AC4707" s="182" t="n">
        <v>0</v>
      </c>
      <c r="AD4707" s="182" t="n">
        <v>0</v>
      </c>
      <c r="AE4707" s="182" t="n">
        <v>0</v>
      </c>
      <c r="AF4707" s="182" t="n">
        <v>0</v>
      </c>
      <c r="AG4707" s="182" t="n">
        <v>0.76</v>
      </c>
      <c r="AH4707" s="182" t="n">
        <v>0.54</v>
      </c>
      <c r="AI4707" s="182" t="n">
        <v>0</v>
      </c>
      <c r="AJ4707" s="182" t="n">
        <v>0</v>
      </c>
      <c r="AK4707" s="182" t="n">
        <v>0</v>
      </c>
      <c r="AL4707" s="182" t="n">
        <v>0</v>
      </c>
      <c r="AM4707" s="182" t="n">
        <v>0.07000000000000001</v>
      </c>
      <c r="AN4707" s="182" t="n">
        <v>0</v>
      </c>
    </row>
    <row r="4708">
      <c r="A4708" s="155" t="n">
        <v>46103</v>
      </c>
      <c r="B4708" s="156" t="inlineStr">
        <is>
          <t>DS</t>
        </is>
      </c>
      <c r="C4708" s="156" t="inlineStr">
        <is>
          <t>DT-516</t>
        </is>
      </c>
      <c r="D4708" s="156" t="inlineStr">
        <is>
          <t>SKT 105S</t>
        </is>
      </c>
      <c r="E4708" s="156" t="inlineStr">
        <is>
          <t>Hauler</t>
        </is>
      </c>
      <c r="F4708" s="156" t="inlineStr">
        <is>
          <t>Hauling Coal</t>
        </is>
      </c>
      <c r="G4708" s="182" t="n">
        <v>6.13</v>
      </c>
      <c r="H4708" s="182" t="n">
        <v>0</v>
      </c>
      <c r="I4708" s="182" t="n">
        <v>0</v>
      </c>
      <c r="J4708" s="182" t="n">
        <v>0</v>
      </c>
      <c r="K4708" s="182" t="n">
        <v>5.87</v>
      </c>
      <c r="L4708" s="182" t="n">
        <v>12</v>
      </c>
      <c r="M4708" s="182" t="n">
        <v>0</v>
      </c>
      <c r="N4708" s="182" t="n">
        <v>6.13</v>
      </c>
      <c r="O4708" s="183" t="n">
        <v>0</v>
      </c>
      <c r="P4708" s="183" t="n">
        <v>16</v>
      </c>
      <c r="Q4708" s="184" t="n">
        <v>0</v>
      </c>
      <c r="R4708" s="184" t="n">
        <v>299.2</v>
      </c>
      <c r="S4708" s="183" t="n">
        <v>0</v>
      </c>
      <c r="T4708" s="183" t="n">
        <v>0</v>
      </c>
      <c r="U4708" s="182" t="n">
        <v>2.7</v>
      </c>
      <c r="V4708" s="182" t="n">
        <v>1.5</v>
      </c>
      <c r="W4708" s="182" t="n">
        <v>0</v>
      </c>
      <c r="X4708" s="182" t="n">
        <v>1.01</v>
      </c>
      <c r="Y4708" s="182" t="n">
        <v>0</v>
      </c>
      <c r="Z4708" s="182" t="n">
        <v>0</v>
      </c>
      <c r="AA4708" s="182" t="n">
        <v>0</v>
      </c>
      <c r="AB4708" s="182" t="n">
        <v>0</v>
      </c>
      <c r="AC4708" s="182" t="n">
        <v>0</v>
      </c>
      <c r="AD4708" s="182" t="n">
        <v>0</v>
      </c>
      <c r="AE4708" s="182" t="n">
        <v>0</v>
      </c>
      <c r="AF4708" s="182" t="n">
        <v>0</v>
      </c>
      <c r="AG4708" s="182" t="n">
        <v>0</v>
      </c>
      <c r="AH4708" s="182" t="n">
        <v>0.58</v>
      </c>
      <c r="AI4708" s="182" t="n">
        <v>0</v>
      </c>
      <c r="AJ4708" s="182" t="n">
        <v>0</v>
      </c>
      <c r="AK4708" s="182" t="n">
        <v>0</v>
      </c>
      <c r="AL4708" s="182" t="n">
        <v>0</v>
      </c>
      <c r="AM4708" s="182" t="n">
        <v>0.08</v>
      </c>
      <c r="AN4708" s="182" t="n">
        <v>0</v>
      </c>
    </row>
    <row r="4709">
      <c r="A4709" s="155" t="n">
        <v>46103</v>
      </c>
      <c r="B4709" s="156" t="inlineStr">
        <is>
          <t>DS</t>
        </is>
      </c>
      <c r="C4709" s="156" t="inlineStr">
        <is>
          <t>DT-506</t>
        </is>
      </c>
      <c r="D4709" s="156" t="inlineStr">
        <is>
          <t>SKT 105S</t>
        </is>
      </c>
      <c r="E4709" s="156" t="inlineStr">
        <is>
          <t>Hauler</t>
        </is>
      </c>
      <c r="F4709" s="156" t="inlineStr">
        <is>
          <t>Hauling Coal</t>
        </is>
      </c>
      <c r="G4709" s="182" t="n">
        <v>6.25</v>
      </c>
      <c r="H4709" s="182" t="n">
        <v>0</v>
      </c>
      <c r="I4709" s="182" t="n">
        <v>0</v>
      </c>
      <c r="J4709" s="182" t="n">
        <v>0</v>
      </c>
      <c r="K4709" s="182" t="n">
        <v>5.75</v>
      </c>
      <c r="L4709" s="182" t="n">
        <v>12</v>
      </c>
      <c r="M4709" s="182" t="n">
        <v>0</v>
      </c>
      <c r="N4709" s="182" t="n">
        <v>6.25</v>
      </c>
      <c r="O4709" s="183" t="n">
        <v>0</v>
      </c>
      <c r="P4709" s="183" t="n">
        <v>14</v>
      </c>
      <c r="Q4709" s="184" t="n">
        <v>0</v>
      </c>
      <c r="R4709" s="184" t="n">
        <v>261.8</v>
      </c>
      <c r="S4709" s="183" t="n">
        <v>0</v>
      </c>
      <c r="T4709" s="183" t="n">
        <v>0</v>
      </c>
      <c r="U4709" s="182" t="n">
        <v>2.56</v>
      </c>
      <c r="V4709" s="182" t="n">
        <v>1.42</v>
      </c>
      <c r="W4709" s="182" t="n">
        <v>0</v>
      </c>
      <c r="X4709" s="182" t="n">
        <v>0.96</v>
      </c>
      <c r="Y4709" s="182" t="n">
        <v>0</v>
      </c>
      <c r="Z4709" s="182" t="n">
        <v>0</v>
      </c>
      <c r="AA4709" s="182" t="n">
        <v>0</v>
      </c>
      <c r="AB4709" s="182" t="n">
        <v>0</v>
      </c>
      <c r="AC4709" s="182" t="n">
        <v>0</v>
      </c>
      <c r="AD4709" s="182" t="n">
        <v>0</v>
      </c>
      <c r="AE4709" s="182" t="n">
        <v>0</v>
      </c>
      <c r="AF4709" s="182" t="n">
        <v>0</v>
      </c>
      <c r="AG4709" s="182" t="n">
        <v>0</v>
      </c>
      <c r="AH4709" s="182" t="n">
        <v>0.74</v>
      </c>
      <c r="AI4709" s="182" t="n">
        <v>0</v>
      </c>
      <c r="AJ4709" s="182" t="n">
        <v>0</v>
      </c>
      <c r="AK4709" s="182" t="n">
        <v>0</v>
      </c>
      <c r="AL4709" s="182" t="n">
        <v>0</v>
      </c>
      <c r="AM4709" s="182" t="n">
        <v>0.08</v>
      </c>
      <c r="AN4709" s="182" t="n">
        <v>0</v>
      </c>
    </row>
    <row r="4710">
      <c r="A4710" s="155" t="n">
        <v>46103</v>
      </c>
      <c r="B4710" s="156" t="inlineStr">
        <is>
          <t>DS</t>
        </is>
      </c>
      <c r="C4710" s="156" t="inlineStr">
        <is>
          <t>DT-502</t>
        </is>
      </c>
      <c r="D4710" s="156" t="inlineStr">
        <is>
          <t>SKT 105S</t>
        </is>
      </c>
      <c r="E4710" s="156" t="inlineStr">
        <is>
          <t>Hauler</t>
        </is>
      </c>
      <c r="F4710" s="156" t="inlineStr"/>
      <c r="G4710" s="182" t="n">
        <v>0</v>
      </c>
      <c r="H4710" s="182" t="n">
        <v>0</v>
      </c>
      <c r="I4710" s="182" t="n">
        <v>12</v>
      </c>
      <c r="J4710" s="182" t="n">
        <v>12</v>
      </c>
      <c r="K4710" s="182" t="n">
        <v>0</v>
      </c>
      <c r="L4710" s="182" t="n">
        <v>12</v>
      </c>
      <c r="M4710" s="182" t="n">
        <v>0</v>
      </c>
      <c r="N4710" s="182" t="n">
        <v>0</v>
      </c>
      <c r="O4710" s="183" t="n">
        <v>0</v>
      </c>
      <c r="P4710" s="183" t="n">
        <v>0</v>
      </c>
      <c r="Q4710" s="184" t="n">
        <v>0</v>
      </c>
      <c r="R4710" s="184" t="n">
        <v>0</v>
      </c>
      <c r="S4710" s="183" t="n">
        <v>0</v>
      </c>
      <c r="T4710" s="183" t="n">
        <v>0</v>
      </c>
      <c r="U4710" s="182" t="n">
        <v>0</v>
      </c>
      <c r="V4710" s="182" t="n">
        <v>0</v>
      </c>
      <c r="W4710" s="182" t="n">
        <v>0</v>
      </c>
      <c r="X4710" s="182" t="n">
        <v>0</v>
      </c>
      <c r="Y4710" s="182" t="n">
        <v>0</v>
      </c>
      <c r="Z4710" s="182" t="n">
        <v>0</v>
      </c>
      <c r="AA4710" s="182" t="n">
        <v>0</v>
      </c>
      <c r="AB4710" s="182" t="n">
        <v>0</v>
      </c>
      <c r="AC4710" s="182" t="n">
        <v>0</v>
      </c>
      <c r="AD4710" s="182" t="n">
        <v>0</v>
      </c>
      <c r="AE4710" s="182" t="n">
        <v>0</v>
      </c>
      <c r="AF4710" s="182" t="n">
        <v>0</v>
      </c>
      <c r="AG4710" s="182" t="n">
        <v>0</v>
      </c>
      <c r="AH4710" s="182" t="n">
        <v>0</v>
      </c>
      <c r="AI4710" s="182" t="n">
        <v>0</v>
      </c>
      <c r="AJ4710" s="182" t="n">
        <v>0</v>
      </c>
      <c r="AK4710" s="182" t="n">
        <v>0</v>
      </c>
      <c r="AL4710" s="182" t="n">
        <v>0</v>
      </c>
      <c r="AM4710" s="182" t="n">
        <v>0</v>
      </c>
      <c r="AN4710" s="182" t="n">
        <v>0</v>
      </c>
    </row>
    <row r="4711">
      <c r="A4711" s="155" t="n">
        <v>46103</v>
      </c>
      <c r="B4711" s="156" t="inlineStr">
        <is>
          <t>DS</t>
        </is>
      </c>
      <c r="C4711" s="156" t="inlineStr">
        <is>
          <t>DT-528</t>
        </is>
      </c>
      <c r="D4711" s="156" t="inlineStr">
        <is>
          <t>SKT 105S</t>
        </is>
      </c>
      <c r="E4711" s="156" t="inlineStr">
        <is>
          <t>Hauler</t>
        </is>
      </c>
      <c r="F4711" s="156" t="inlineStr">
        <is>
          <t>Hauling Coal &amp; OB</t>
        </is>
      </c>
      <c r="G4711" s="182" t="n">
        <v>2.64</v>
      </c>
      <c r="H4711" s="182" t="n">
        <v>3.57</v>
      </c>
      <c r="I4711" s="182" t="n">
        <v>0</v>
      </c>
      <c r="J4711" s="182" t="n">
        <v>3.57</v>
      </c>
      <c r="K4711" s="182" t="n">
        <v>5.79</v>
      </c>
      <c r="L4711" s="182" t="n">
        <v>12</v>
      </c>
      <c r="M4711" s="182" t="n">
        <v>1.58</v>
      </c>
      <c r="N4711" s="182" t="n">
        <v>1.06</v>
      </c>
      <c r="O4711" s="183" t="n">
        <v>1</v>
      </c>
      <c r="P4711" s="183" t="n">
        <v>3</v>
      </c>
      <c r="Q4711" s="184" t="n">
        <v>20.4</v>
      </c>
      <c r="R4711" s="184" t="n">
        <v>56.1</v>
      </c>
      <c r="S4711" s="183" t="n">
        <v>0</v>
      </c>
      <c r="T4711" s="183" t="n">
        <v>0</v>
      </c>
      <c r="U4711" s="182" t="n">
        <v>2.61</v>
      </c>
      <c r="V4711" s="182" t="n">
        <v>2</v>
      </c>
      <c r="W4711" s="182" t="n">
        <v>0</v>
      </c>
      <c r="X4711" s="182" t="n">
        <v>0.98</v>
      </c>
      <c r="Y4711" s="182" t="n">
        <v>0</v>
      </c>
      <c r="Z4711" s="182" t="n">
        <v>0</v>
      </c>
      <c r="AA4711" s="182" t="n">
        <v>0</v>
      </c>
      <c r="AB4711" s="182" t="n">
        <v>0</v>
      </c>
      <c r="AC4711" s="182" t="n">
        <v>0</v>
      </c>
      <c r="AD4711" s="182" t="n">
        <v>0</v>
      </c>
      <c r="AE4711" s="182" t="n">
        <v>0</v>
      </c>
      <c r="AF4711" s="182" t="n">
        <v>0</v>
      </c>
      <c r="AG4711" s="182" t="n">
        <v>0</v>
      </c>
      <c r="AH4711" s="182" t="n">
        <v>0.13</v>
      </c>
      <c r="AI4711" s="182" t="n">
        <v>0</v>
      </c>
      <c r="AJ4711" s="182" t="n">
        <v>0</v>
      </c>
      <c r="AK4711" s="182" t="n">
        <v>0</v>
      </c>
      <c r="AL4711" s="182" t="n">
        <v>0</v>
      </c>
      <c r="AM4711" s="182" t="n">
        <v>0.08</v>
      </c>
      <c r="AN4711" s="182" t="n">
        <v>0</v>
      </c>
    </row>
    <row r="4712">
      <c r="A4712" s="155" t="n">
        <v>46103</v>
      </c>
      <c r="B4712" s="156" t="inlineStr">
        <is>
          <t>DS</t>
        </is>
      </c>
      <c r="C4712" s="156" t="inlineStr">
        <is>
          <t>DT-529</t>
        </is>
      </c>
      <c r="D4712" s="156" t="inlineStr">
        <is>
          <t>SKT 105S</t>
        </is>
      </c>
      <c r="E4712" s="156" t="inlineStr">
        <is>
          <t>Hauler</t>
        </is>
      </c>
      <c r="F4712" s="156" t="inlineStr">
        <is>
          <t>Hauling Coal S45</t>
        </is>
      </c>
      <c r="G4712" s="182" t="n">
        <v>3.79</v>
      </c>
      <c r="H4712" s="182" t="n">
        <v>0</v>
      </c>
      <c r="I4712" s="182" t="n">
        <v>0</v>
      </c>
      <c r="J4712" s="182" t="n">
        <v>0</v>
      </c>
      <c r="K4712" s="182" t="n">
        <v>8.210000000000001</v>
      </c>
      <c r="L4712" s="182" t="n">
        <v>12</v>
      </c>
      <c r="M4712" s="182" t="n">
        <v>0</v>
      </c>
      <c r="N4712" s="182" t="n">
        <v>3.79</v>
      </c>
      <c r="O4712" s="183" t="n">
        <v>0</v>
      </c>
      <c r="P4712" s="183" t="n">
        <v>10</v>
      </c>
      <c r="Q4712" s="184" t="n">
        <v>0</v>
      </c>
      <c r="R4712" s="184" t="n">
        <v>187</v>
      </c>
      <c r="S4712" s="183" t="n">
        <v>0</v>
      </c>
      <c r="T4712" s="183" t="n">
        <v>0</v>
      </c>
      <c r="U4712" s="182" t="n">
        <v>2.77</v>
      </c>
      <c r="V4712" s="182" t="n">
        <v>0.44</v>
      </c>
      <c r="W4712" s="182" t="n">
        <v>0</v>
      </c>
      <c r="X4712" s="182" t="n">
        <v>1.04</v>
      </c>
      <c r="Y4712" s="182" t="n">
        <v>0</v>
      </c>
      <c r="Z4712" s="182" t="n">
        <v>0</v>
      </c>
      <c r="AA4712" s="182" t="n">
        <v>0</v>
      </c>
      <c r="AB4712" s="182" t="n">
        <v>0</v>
      </c>
      <c r="AC4712" s="182" t="n">
        <v>0</v>
      </c>
      <c r="AD4712" s="182" t="n">
        <v>0</v>
      </c>
      <c r="AE4712" s="182" t="n">
        <v>0</v>
      </c>
      <c r="AF4712" s="182" t="n">
        <v>0</v>
      </c>
      <c r="AG4712" s="182" t="n">
        <v>0</v>
      </c>
      <c r="AH4712" s="182" t="n">
        <v>0</v>
      </c>
      <c r="AI4712" s="182" t="n">
        <v>3.88</v>
      </c>
      <c r="AJ4712" s="182" t="n">
        <v>0</v>
      </c>
      <c r="AK4712" s="182" t="n">
        <v>0</v>
      </c>
      <c r="AL4712" s="182" t="n">
        <v>0</v>
      </c>
      <c r="AM4712" s="182" t="n">
        <v>0.08</v>
      </c>
      <c r="AN4712" s="182" t="n">
        <v>0</v>
      </c>
    </row>
    <row r="4713">
      <c r="A4713" s="155" t="n">
        <v>46103</v>
      </c>
      <c r="B4713" s="156" t="inlineStr">
        <is>
          <t>DS</t>
        </is>
      </c>
      <c r="C4713" s="156" t="inlineStr">
        <is>
          <t>DT-520</t>
        </is>
      </c>
      <c r="D4713" s="156" t="inlineStr">
        <is>
          <t>SKT 105S</t>
        </is>
      </c>
      <c r="E4713" s="156" t="inlineStr">
        <is>
          <t>Hauler</t>
        </is>
      </c>
      <c r="F4713" s="156" t="inlineStr">
        <is>
          <t>Hauling Spoil, Parting &amp; OB</t>
        </is>
      </c>
      <c r="G4713" s="182" t="n">
        <v>5.92</v>
      </c>
      <c r="H4713" s="182" t="n">
        <v>0</v>
      </c>
      <c r="I4713" s="182" t="n">
        <v>2.9</v>
      </c>
      <c r="J4713" s="182" t="n">
        <v>2.9</v>
      </c>
      <c r="K4713" s="182" t="n">
        <v>3.18</v>
      </c>
      <c r="L4713" s="182" t="n">
        <v>12</v>
      </c>
      <c r="M4713" s="182" t="n">
        <v>3.62</v>
      </c>
      <c r="N4713" s="182" t="n">
        <v>0</v>
      </c>
      <c r="O4713" s="183" t="n">
        <v>5</v>
      </c>
      <c r="P4713" s="183" t="n">
        <v>0</v>
      </c>
      <c r="Q4713" s="184" t="n">
        <v>93.8</v>
      </c>
      <c r="R4713" s="184" t="n">
        <v>0</v>
      </c>
      <c r="S4713" s="183" t="n">
        <v>0</v>
      </c>
      <c r="T4713" s="183" t="n">
        <v>0</v>
      </c>
      <c r="U4713" s="182" t="n">
        <v>2.07</v>
      </c>
      <c r="V4713" s="182" t="n">
        <v>0</v>
      </c>
      <c r="W4713" s="182" t="n">
        <v>0</v>
      </c>
      <c r="X4713" s="182" t="n">
        <v>1.03</v>
      </c>
      <c r="Y4713" s="182" t="n">
        <v>0</v>
      </c>
      <c r="Z4713" s="182" t="n">
        <v>0</v>
      </c>
      <c r="AA4713" s="182" t="n">
        <v>0</v>
      </c>
      <c r="AB4713" s="182" t="n">
        <v>0</v>
      </c>
      <c r="AC4713" s="182" t="n">
        <v>0</v>
      </c>
      <c r="AD4713" s="182" t="n">
        <v>0</v>
      </c>
      <c r="AE4713" s="182" t="n">
        <v>0</v>
      </c>
      <c r="AF4713" s="182" t="n">
        <v>0</v>
      </c>
      <c r="AG4713" s="182" t="n">
        <v>0</v>
      </c>
      <c r="AH4713" s="182" t="n">
        <v>0</v>
      </c>
      <c r="AI4713" s="182" t="n">
        <v>0</v>
      </c>
      <c r="AJ4713" s="182" t="n">
        <v>0</v>
      </c>
      <c r="AK4713" s="182" t="n">
        <v>0</v>
      </c>
      <c r="AL4713" s="182" t="n">
        <v>0</v>
      </c>
      <c r="AM4713" s="182" t="n">
        <v>0.08</v>
      </c>
      <c r="AN4713" s="182" t="n">
        <v>0</v>
      </c>
    </row>
    <row r="4714">
      <c r="A4714" s="155" t="n">
        <v>46103</v>
      </c>
      <c r="B4714" s="156" t="inlineStr">
        <is>
          <t>DS</t>
        </is>
      </c>
      <c r="C4714" s="156" t="inlineStr">
        <is>
          <t>DT-511</t>
        </is>
      </c>
      <c r="D4714" s="156" t="inlineStr">
        <is>
          <t>SKT 105S</t>
        </is>
      </c>
      <c r="E4714" s="156" t="inlineStr">
        <is>
          <t>Hauler</t>
        </is>
      </c>
      <c r="F4714" s="156" t="inlineStr">
        <is>
          <t>Hauling OB</t>
        </is>
      </c>
      <c r="G4714" s="182" t="n">
        <v>6.02</v>
      </c>
      <c r="H4714" s="182" t="n">
        <v>0</v>
      </c>
      <c r="I4714" s="182" t="n">
        <v>5.8</v>
      </c>
      <c r="J4714" s="182" t="n">
        <v>5.8</v>
      </c>
      <c r="K4714" s="182" t="n">
        <v>0.18</v>
      </c>
      <c r="L4714" s="182" t="n">
        <v>12</v>
      </c>
      <c r="M4714" s="182" t="n">
        <v>2.91</v>
      </c>
      <c r="N4714" s="182" t="n">
        <v>0</v>
      </c>
      <c r="O4714" s="183" t="n">
        <v>13</v>
      </c>
      <c r="P4714" s="183" t="n">
        <v>0</v>
      </c>
      <c r="Q4714" s="184" t="n">
        <v>265.2</v>
      </c>
      <c r="R4714" s="184" t="n">
        <v>0</v>
      </c>
      <c r="S4714" s="183" t="n">
        <v>0</v>
      </c>
      <c r="T4714" s="183" t="n">
        <v>0</v>
      </c>
      <c r="U4714" s="182" t="n">
        <v>0</v>
      </c>
      <c r="V4714" s="182" t="n">
        <v>0</v>
      </c>
      <c r="W4714" s="182" t="n">
        <v>0</v>
      </c>
      <c r="X4714" s="182" t="n">
        <v>0</v>
      </c>
      <c r="Y4714" s="182" t="n">
        <v>0</v>
      </c>
      <c r="Z4714" s="182" t="n">
        <v>0</v>
      </c>
      <c r="AA4714" s="182" t="n">
        <v>0</v>
      </c>
      <c r="AB4714" s="182" t="n">
        <v>0</v>
      </c>
      <c r="AC4714" s="182" t="n">
        <v>0</v>
      </c>
      <c r="AD4714" s="182" t="n">
        <v>0</v>
      </c>
      <c r="AE4714" s="182" t="n">
        <v>0</v>
      </c>
      <c r="AF4714" s="182" t="n">
        <v>0</v>
      </c>
      <c r="AG4714" s="182" t="n">
        <v>0</v>
      </c>
      <c r="AH4714" s="182" t="n">
        <v>0</v>
      </c>
      <c r="AI4714" s="182" t="n">
        <v>0</v>
      </c>
      <c r="AJ4714" s="182" t="n">
        <v>0</v>
      </c>
      <c r="AK4714" s="182" t="n">
        <v>0</v>
      </c>
      <c r="AL4714" s="182" t="n">
        <v>0</v>
      </c>
      <c r="AM4714" s="182" t="n">
        <v>0</v>
      </c>
      <c r="AN4714" s="182" t="n">
        <v>0</v>
      </c>
    </row>
    <row r="4715">
      <c r="A4715" s="155" t="n">
        <v>46103</v>
      </c>
      <c r="B4715" s="156" t="inlineStr">
        <is>
          <t>DS</t>
        </is>
      </c>
      <c r="C4715" s="156" t="inlineStr">
        <is>
          <t>DT-509</t>
        </is>
      </c>
      <c r="D4715" s="156" t="inlineStr">
        <is>
          <t>SKT 105S</t>
        </is>
      </c>
      <c r="E4715" s="156" t="inlineStr">
        <is>
          <t>Hauler</t>
        </is>
      </c>
      <c r="F4715" s="156" t="inlineStr"/>
      <c r="G4715" s="182" t="n">
        <v>0</v>
      </c>
      <c r="H4715" s="182" t="n">
        <v>0</v>
      </c>
      <c r="I4715" s="182" t="n">
        <v>12</v>
      </c>
      <c r="J4715" s="182" t="n">
        <v>12</v>
      </c>
      <c r="K4715" s="182" t="n">
        <v>0</v>
      </c>
      <c r="L4715" s="182" t="n">
        <v>12</v>
      </c>
      <c r="M4715" s="182" t="n">
        <v>0</v>
      </c>
      <c r="N4715" s="182" t="n">
        <v>0</v>
      </c>
      <c r="O4715" s="183" t="n">
        <v>0</v>
      </c>
      <c r="P4715" s="183" t="n">
        <v>0</v>
      </c>
      <c r="Q4715" s="184" t="n">
        <v>0</v>
      </c>
      <c r="R4715" s="184" t="n">
        <v>0</v>
      </c>
      <c r="S4715" s="183" t="n">
        <v>0</v>
      </c>
      <c r="T4715" s="183" t="n">
        <v>0</v>
      </c>
      <c r="U4715" s="182" t="n">
        <v>0</v>
      </c>
      <c r="V4715" s="182" t="n">
        <v>0</v>
      </c>
      <c r="W4715" s="182" t="n">
        <v>0</v>
      </c>
      <c r="X4715" s="182" t="n">
        <v>0</v>
      </c>
      <c r="Y4715" s="182" t="n">
        <v>0</v>
      </c>
      <c r="Z4715" s="182" t="n">
        <v>0</v>
      </c>
      <c r="AA4715" s="182" t="n">
        <v>0</v>
      </c>
      <c r="AB4715" s="182" t="n">
        <v>0</v>
      </c>
      <c r="AC4715" s="182" t="n">
        <v>0</v>
      </c>
      <c r="AD4715" s="182" t="n">
        <v>0</v>
      </c>
      <c r="AE4715" s="182" t="n">
        <v>0</v>
      </c>
      <c r="AF4715" s="182" t="n">
        <v>0</v>
      </c>
      <c r="AG4715" s="182" t="n">
        <v>0</v>
      </c>
      <c r="AH4715" s="182" t="n">
        <v>0</v>
      </c>
      <c r="AI4715" s="182" t="n">
        <v>0</v>
      </c>
      <c r="AJ4715" s="182" t="n">
        <v>0</v>
      </c>
      <c r="AK4715" s="182" t="n">
        <v>0</v>
      </c>
      <c r="AL4715" s="182" t="n">
        <v>0</v>
      </c>
      <c r="AM4715" s="182" t="n">
        <v>0</v>
      </c>
      <c r="AN4715" s="182" t="n">
        <v>0</v>
      </c>
    </row>
    <row r="4716">
      <c r="A4716" s="155" t="n">
        <v>46103</v>
      </c>
      <c r="B4716" s="156" t="inlineStr">
        <is>
          <t>DS</t>
        </is>
      </c>
      <c r="C4716" s="156" t="inlineStr">
        <is>
          <t>DT-526</t>
        </is>
      </c>
      <c r="D4716" s="156" t="inlineStr">
        <is>
          <t>SKT 105S</t>
        </is>
      </c>
      <c r="E4716" s="156" t="inlineStr">
        <is>
          <t>Hauler</t>
        </is>
      </c>
      <c r="F4716" s="156" t="inlineStr">
        <is>
          <t>HM Loncat</t>
        </is>
      </c>
      <c r="G4716" s="182" t="n">
        <v>3.17</v>
      </c>
      <c r="H4716" s="182" t="n">
        <v>8.5</v>
      </c>
      <c r="I4716" s="182" t="n">
        <v>0</v>
      </c>
      <c r="J4716" s="182" t="n">
        <v>8.5</v>
      </c>
      <c r="K4716" s="182" t="n">
        <v>0.33</v>
      </c>
      <c r="L4716" s="182" t="n">
        <v>12</v>
      </c>
      <c r="M4716" s="182" t="n">
        <v>0</v>
      </c>
      <c r="N4716" s="182" t="n">
        <v>0</v>
      </c>
      <c r="O4716" s="183" t="n">
        <v>0</v>
      </c>
      <c r="P4716" s="183" t="n">
        <v>0</v>
      </c>
      <c r="Q4716" s="184" t="n">
        <v>0</v>
      </c>
      <c r="R4716" s="184" t="n">
        <v>0</v>
      </c>
      <c r="S4716" s="183" t="n">
        <v>0</v>
      </c>
      <c r="T4716" s="183" t="n">
        <v>0</v>
      </c>
      <c r="U4716" s="182" t="n">
        <v>0</v>
      </c>
      <c r="V4716" s="182" t="n">
        <v>0</v>
      </c>
      <c r="W4716" s="182" t="n">
        <v>0</v>
      </c>
      <c r="X4716" s="182" t="n">
        <v>0</v>
      </c>
      <c r="Y4716" s="182" t="n">
        <v>0</v>
      </c>
      <c r="Z4716" s="182" t="n">
        <v>0</v>
      </c>
      <c r="AA4716" s="182" t="n">
        <v>0</v>
      </c>
      <c r="AB4716" s="182" t="n">
        <v>0</v>
      </c>
      <c r="AC4716" s="182" t="n">
        <v>0</v>
      </c>
      <c r="AD4716" s="182" t="n">
        <v>0</v>
      </c>
      <c r="AE4716" s="182" t="n">
        <v>0</v>
      </c>
      <c r="AF4716" s="182" t="n">
        <v>0</v>
      </c>
      <c r="AG4716" s="182" t="n">
        <v>0</v>
      </c>
      <c r="AH4716" s="182" t="n">
        <v>0</v>
      </c>
      <c r="AI4716" s="182" t="n">
        <v>0</v>
      </c>
      <c r="AJ4716" s="182" t="n">
        <v>0</v>
      </c>
      <c r="AK4716" s="182" t="n">
        <v>0</v>
      </c>
      <c r="AL4716" s="182" t="n">
        <v>0</v>
      </c>
      <c r="AM4716" s="182" t="n">
        <v>0</v>
      </c>
      <c r="AN4716" s="182" t="n">
        <v>0</v>
      </c>
    </row>
    <row r="4717">
      <c r="A4717" s="155" t="n">
        <v>46103</v>
      </c>
      <c r="B4717" s="156" t="inlineStr">
        <is>
          <t>DS</t>
        </is>
      </c>
      <c r="C4717" s="156" t="inlineStr">
        <is>
          <t>DT-508</t>
        </is>
      </c>
      <c r="D4717" s="156" t="inlineStr">
        <is>
          <t>SKT 105S</t>
        </is>
      </c>
      <c r="E4717" s="156" t="inlineStr">
        <is>
          <t>Hauler</t>
        </is>
      </c>
      <c r="F4717" s="156" t="inlineStr">
        <is>
          <t>Hauling OB</t>
        </is>
      </c>
      <c r="G4717" s="182" t="n">
        <v>4.8</v>
      </c>
      <c r="H4717" s="182" t="n">
        <v>0</v>
      </c>
      <c r="I4717" s="182" t="n">
        <v>0</v>
      </c>
      <c r="J4717" s="182" t="n">
        <v>0</v>
      </c>
      <c r="K4717" s="182" t="n">
        <v>7.2</v>
      </c>
      <c r="L4717" s="182" t="n">
        <v>12</v>
      </c>
      <c r="M4717" s="182" t="n">
        <v>4.8</v>
      </c>
      <c r="N4717" s="182" t="n">
        <v>0</v>
      </c>
      <c r="O4717" s="183" t="n">
        <v>16</v>
      </c>
      <c r="P4717" s="183" t="n">
        <v>0</v>
      </c>
      <c r="Q4717" s="184" t="n">
        <v>326.4</v>
      </c>
      <c r="R4717" s="184" t="n">
        <v>0</v>
      </c>
      <c r="S4717" s="183" t="n">
        <v>0</v>
      </c>
      <c r="T4717" s="183" t="n">
        <v>0</v>
      </c>
      <c r="U4717" s="182" t="n">
        <v>2.75</v>
      </c>
      <c r="V4717" s="182" t="n">
        <v>2.55</v>
      </c>
      <c r="W4717" s="182" t="n">
        <v>0</v>
      </c>
      <c r="X4717" s="182" t="n">
        <v>1.03</v>
      </c>
      <c r="Y4717" s="182" t="n">
        <v>0</v>
      </c>
      <c r="Z4717" s="182" t="n">
        <v>0.07000000000000001</v>
      </c>
      <c r="AA4717" s="182" t="n">
        <v>0</v>
      </c>
      <c r="AB4717" s="182" t="n">
        <v>0</v>
      </c>
      <c r="AC4717" s="182" t="n">
        <v>0</v>
      </c>
      <c r="AD4717" s="182" t="n">
        <v>0</v>
      </c>
      <c r="AE4717" s="182" t="n">
        <v>0</v>
      </c>
      <c r="AF4717" s="182" t="n">
        <v>0</v>
      </c>
      <c r="AG4717" s="182" t="n">
        <v>0</v>
      </c>
      <c r="AH4717" s="182" t="n">
        <v>0.72</v>
      </c>
      <c r="AI4717" s="182" t="n">
        <v>0</v>
      </c>
      <c r="AJ4717" s="182" t="n">
        <v>0</v>
      </c>
      <c r="AK4717" s="182" t="n">
        <v>0</v>
      </c>
      <c r="AL4717" s="182" t="n">
        <v>0</v>
      </c>
      <c r="AM4717" s="182" t="n">
        <v>0.08</v>
      </c>
      <c r="AN4717" s="182" t="n">
        <v>0</v>
      </c>
    </row>
    <row r="4718">
      <c r="A4718" s="155" t="n">
        <v>46103</v>
      </c>
      <c r="B4718" s="156" t="inlineStr">
        <is>
          <t>DS</t>
        </is>
      </c>
      <c r="C4718" s="156" t="inlineStr">
        <is>
          <t>DT-515</t>
        </is>
      </c>
      <c r="D4718" s="156" t="inlineStr">
        <is>
          <t>SKT 105S</t>
        </is>
      </c>
      <c r="E4718" s="156" t="inlineStr">
        <is>
          <t>Hauler</t>
        </is>
      </c>
      <c r="F4718" s="156" t="inlineStr"/>
      <c r="G4718" s="182" t="n">
        <v>0</v>
      </c>
      <c r="H4718" s="182" t="n">
        <v>12</v>
      </c>
      <c r="I4718" s="182" t="n">
        <v>0</v>
      </c>
      <c r="J4718" s="182" t="n">
        <v>12</v>
      </c>
      <c r="K4718" s="182" t="n">
        <v>0</v>
      </c>
      <c r="L4718" s="182" t="n">
        <v>12</v>
      </c>
      <c r="M4718" s="182" t="n">
        <v>0</v>
      </c>
      <c r="N4718" s="182" t="n">
        <v>0</v>
      </c>
      <c r="O4718" s="183" t="n">
        <v>0</v>
      </c>
      <c r="P4718" s="183" t="n">
        <v>0</v>
      </c>
      <c r="Q4718" s="184" t="n">
        <v>0</v>
      </c>
      <c r="R4718" s="184" t="n">
        <v>0</v>
      </c>
      <c r="S4718" s="183" t="n">
        <v>0</v>
      </c>
      <c r="T4718" s="183" t="n">
        <v>0</v>
      </c>
      <c r="U4718" s="182" t="n">
        <v>0</v>
      </c>
      <c r="V4718" s="182" t="n">
        <v>0</v>
      </c>
      <c r="W4718" s="182" t="n">
        <v>0</v>
      </c>
      <c r="X4718" s="182" t="n">
        <v>0</v>
      </c>
      <c r="Y4718" s="182" t="n">
        <v>0</v>
      </c>
      <c r="Z4718" s="182" t="n">
        <v>0</v>
      </c>
      <c r="AA4718" s="182" t="n">
        <v>0</v>
      </c>
      <c r="AB4718" s="182" t="n">
        <v>0</v>
      </c>
      <c r="AC4718" s="182" t="n">
        <v>0</v>
      </c>
      <c r="AD4718" s="182" t="n">
        <v>0</v>
      </c>
      <c r="AE4718" s="182" t="n">
        <v>0</v>
      </c>
      <c r="AF4718" s="182" t="n">
        <v>0</v>
      </c>
      <c r="AG4718" s="182" t="n">
        <v>0</v>
      </c>
      <c r="AH4718" s="182" t="n">
        <v>0</v>
      </c>
      <c r="AI4718" s="182" t="n">
        <v>0</v>
      </c>
      <c r="AJ4718" s="182" t="n">
        <v>0</v>
      </c>
      <c r="AK4718" s="182" t="n">
        <v>0</v>
      </c>
      <c r="AL4718" s="182" t="n">
        <v>0</v>
      </c>
      <c r="AM4718" s="182" t="n">
        <v>0</v>
      </c>
      <c r="AN4718" s="182" t="n">
        <v>0</v>
      </c>
    </row>
    <row r="4719">
      <c r="A4719" s="155" t="n">
        <v>46103</v>
      </c>
      <c r="B4719" s="156" t="inlineStr">
        <is>
          <t>DS</t>
        </is>
      </c>
      <c r="C4719" s="156" t="inlineStr">
        <is>
          <t>DT-524</t>
        </is>
      </c>
      <c r="D4719" s="156" t="inlineStr">
        <is>
          <t>SKT 105S</t>
        </is>
      </c>
      <c r="E4719" s="156" t="inlineStr">
        <is>
          <t>Hauler</t>
        </is>
      </c>
      <c r="F4719" s="156" t="inlineStr"/>
      <c r="G4719" s="182" t="n">
        <v>0</v>
      </c>
      <c r="H4719" s="182" t="n">
        <v>0</v>
      </c>
      <c r="I4719" s="182" t="n">
        <v>12</v>
      </c>
      <c r="J4719" s="182" t="n">
        <v>12</v>
      </c>
      <c r="K4719" s="182" t="n">
        <v>0</v>
      </c>
      <c r="L4719" s="182" t="n">
        <v>12</v>
      </c>
      <c r="M4719" s="182" t="n">
        <v>0</v>
      </c>
      <c r="N4719" s="182" t="n">
        <v>0</v>
      </c>
      <c r="O4719" s="183" t="n">
        <v>0</v>
      </c>
      <c r="P4719" s="183" t="n">
        <v>0</v>
      </c>
      <c r="Q4719" s="184" t="n">
        <v>0</v>
      </c>
      <c r="R4719" s="184" t="n">
        <v>0</v>
      </c>
      <c r="S4719" s="183" t="n">
        <v>0</v>
      </c>
      <c r="T4719" s="183" t="n">
        <v>0</v>
      </c>
      <c r="U4719" s="182" t="n">
        <v>0</v>
      </c>
      <c r="V4719" s="182" t="n">
        <v>0</v>
      </c>
      <c r="W4719" s="182" t="n">
        <v>0</v>
      </c>
      <c r="X4719" s="182" t="n">
        <v>0</v>
      </c>
      <c r="Y4719" s="182" t="n">
        <v>0</v>
      </c>
      <c r="Z4719" s="182" t="n">
        <v>0</v>
      </c>
      <c r="AA4719" s="182" t="n">
        <v>0</v>
      </c>
      <c r="AB4719" s="182" t="n">
        <v>0</v>
      </c>
      <c r="AC4719" s="182" t="n">
        <v>0</v>
      </c>
      <c r="AD4719" s="182" t="n">
        <v>0</v>
      </c>
      <c r="AE4719" s="182" t="n">
        <v>0</v>
      </c>
      <c r="AF4719" s="182" t="n">
        <v>0</v>
      </c>
      <c r="AG4719" s="182" t="n">
        <v>0</v>
      </c>
      <c r="AH4719" s="182" t="n">
        <v>0</v>
      </c>
      <c r="AI4719" s="182" t="n">
        <v>0</v>
      </c>
      <c r="AJ4719" s="182" t="n">
        <v>0</v>
      </c>
      <c r="AK4719" s="182" t="n">
        <v>0</v>
      </c>
      <c r="AL4719" s="182" t="n">
        <v>0</v>
      </c>
      <c r="AM4719" s="182" t="n">
        <v>0</v>
      </c>
      <c r="AN4719" s="182" t="n">
        <v>0</v>
      </c>
    </row>
    <row r="4720">
      <c r="A4720" s="155" t="n">
        <v>46103</v>
      </c>
      <c r="B4720" s="156" t="inlineStr">
        <is>
          <t>DS</t>
        </is>
      </c>
      <c r="C4720" s="156" t="inlineStr">
        <is>
          <t>DT-341</t>
        </is>
      </c>
      <c r="D4720" s="156" t="inlineStr">
        <is>
          <t>SYZ324C-8W</t>
        </is>
      </c>
      <c r="E4720" s="156" t="inlineStr">
        <is>
          <t>Hauler</t>
        </is>
      </c>
      <c r="F4720" s="156" t="inlineStr">
        <is>
          <t>Rehandling Material di Washing Plant</t>
        </is>
      </c>
      <c r="G4720" s="182" t="n">
        <v>5.77</v>
      </c>
      <c r="H4720" s="182" t="n">
        <v>0</v>
      </c>
      <c r="I4720" s="182" t="n">
        <v>0</v>
      </c>
      <c r="J4720" s="182" t="n">
        <v>0</v>
      </c>
      <c r="K4720" s="182" t="n">
        <v>6.23</v>
      </c>
      <c r="L4720" s="182" t="n">
        <v>12</v>
      </c>
      <c r="M4720" s="182" t="n">
        <v>0</v>
      </c>
      <c r="N4720" s="182" t="n">
        <v>0</v>
      </c>
      <c r="O4720" s="183" t="n">
        <v>0</v>
      </c>
      <c r="P4720" s="183" t="n">
        <v>0</v>
      </c>
      <c r="Q4720" s="184" t="n">
        <v>0</v>
      </c>
      <c r="R4720" s="184" t="n">
        <v>0</v>
      </c>
      <c r="S4720" s="183" t="n">
        <v>0</v>
      </c>
      <c r="T4720" s="183" t="n">
        <v>0</v>
      </c>
      <c r="U4720" s="182" t="n">
        <v>0</v>
      </c>
      <c r="V4720" s="182" t="n">
        <v>0</v>
      </c>
      <c r="W4720" s="182" t="n">
        <v>0</v>
      </c>
      <c r="X4720" s="182" t="n">
        <v>0.96</v>
      </c>
      <c r="Y4720" s="182" t="n">
        <v>0</v>
      </c>
      <c r="Z4720" s="182" t="n">
        <v>0</v>
      </c>
      <c r="AA4720" s="182" t="n">
        <v>0</v>
      </c>
      <c r="AB4720" s="182" t="n">
        <v>0</v>
      </c>
      <c r="AC4720" s="182" t="n">
        <v>0</v>
      </c>
      <c r="AD4720" s="182" t="n">
        <v>0</v>
      </c>
      <c r="AE4720" s="182" t="n">
        <v>0</v>
      </c>
      <c r="AF4720" s="182" t="n">
        <v>0</v>
      </c>
      <c r="AG4720" s="182" t="n">
        <v>0</v>
      </c>
      <c r="AH4720" s="182" t="n">
        <v>0</v>
      </c>
      <c r="AI4720" s="182" t="n">
        <v>0</v>
      </c>
      <c r="AJ4720" s="182" t="n">
        <v>0</v>
      </c>
      <c r="AK4720" s="182" t="n">
        <v>5.19</v>
      </c>
      <c r="AL4720" s="182" t="n">
        <v>0</v>
      </c>
      <c r="AM4720" s="182" t="n">
        <v>0.08</v>
      </c>
      <c r="AN4720" s="182" t="n">
        <v>0</v>
      </c>
    </row>
    <row r="4721">
      <c r="A4721" s="155" t="n">
        <v>46103</v>
      </c>
      <c r="B4721" s="156" t="inlineStr">
        <is>
          <t>DS</t>
        </is>
      </c>
      <c r="C4721" s="156" t="inlineStr">
        <is>
          <t>DT-342</t>
        </is>
      </c>
      <c r="D4721" s="156" t="inlineStr">
        <is>
          <t>SYZ324C-8W</t>
        </is>
      </c>
      <c r="E4721" s="156" t="inlineStr">
        <is>
          <t>Hauler</t>
        </is>
      </c>
      <c r="F4721" s="156" t="inlineStr">
        <is>
          <t>Rehandling Material di Washing Plant</t>
        </is>
      </c>
      <c r="G4721" s="182" t="n">
        <v>5.46</v>
      </c>
      <c r="H4721" s="182" t="n">
        <v>0</v>
      </c>
      <c r="I4721" s="182" t="n">
        <v>0</v>
      </c>
      <c r="J4721" s="182" t="n">
        <v>0</v>
      </c>
      <c r="K4721" s="182" t="n">
        <v>6.54</v>
      </c>
      <c r="L4721" s="182" t="n">
        <v>12</v>
      </c>
      <c r="M4721" s="182" t="n">
        <v>0</v>
      </c>
      <c r="N4721" s="182" t="n">
        <v>0</v>
      </c>
      <c r="O4721" s="183" t="n">
        <v>0</v>
      </c>
      <c r="P4721" s="183" t="n">
        <v>0</v>
      </c>
      <c r="Q4721" s="184" t="n">
        <v>0</v>
      </c>
      <c r="R4721" s="184" t="n">
        <v>0</v>
      </c>
      <c r="S4721" s="183" t="n">
        <v>0</v>
      </c>
      <c r="T4721" s="183" t="n">
        <v>0</v>
      </c>
      <c r="U4721" s="182" t="n">
        <v>0</v>
      </c>
      <c r="V4721" s="182" t="n">
        <v>0</v>
      </c>
      <c r="W4721" s="182" t="n">
        <v>0</v>
      </c>
      <c r="X4721" s="182" t="n">
        <v>0.98</v>
      </c>
      <c r="Y4721" s="182" t="n">
        <v>0</v>
      </c>
      <c r="Z4721" s="182" t="n">
        <v>0</v>
      </c>
      <c r="AA4721" s="182" t="n">
        <v>0</v>
      </c>
      <c r="AB4721" s="182" t="n">
        <v>0</v>
      </c>
      <c r="AC4721" s="182" t="n">
        <v>0</v>
      </c>
      <c r="AD4721" s="182" t="n">
        <v>0</v>
      </c>
      <c r="AE4721" s="182" t="n">
        <v>0</v>
      </c>
      <c r="AF4721" s="182" t="n">
        <v>0</v>
      </c>
      <c r="AG4721" s="182" t="n">
        <v>0</v>
      </c>
      <c r="AH4721" s="182" t="n">
        <v>0</v>
      </c>
      <c r="AI4721" s="182" t="n">
        <v>0</v>
      </c>
      <c r="AJ4721" s="182" t="n">
        <v>0</v>
      </c>
      <c r="AK4721" s="182" t="n">
        <v>5.49</v>
      </c>
      <c r="AL4721" s="182" t="n">
        <v>0</v>
      </c>
      <c r="AM4721" s="182" t="n">
        <v>0.08</v>
      </c>
      <c r="AN4721" s="182" t="n">
        <v>0</v>
      </c>
    </row>
    <row r="4722">
      <c r="A4722" s="155" t="n">
        <v>46103</v>
      </c>
      <c r="B4722" s="156" t="inlineStr">
        <is>
          <t>DS</t>
        </is>
      </c>
      <c r="C4722" s="156" t="inlineStr">
        <is>
          <t>HD-903</t>
        </is>
      </c>
      <c r="D4722" s="156" t="inlineStr">
        <is>
          <t>SRT 95C</t>
        </is>
      </c>
      <c r="E4722" s="156" t="inlineStr">
        <is>
          <t>Hauler</t>
        </is>
      </c>
      <c r="F4722" s="156" t="inlineStr"/>
      <c r="G4722" s="182" t="n">
        <v>0</v>
      </c>
      <c r="H4722" s="182" t="n">
        <v>0</v>
      </c>
      <c r="I4722" s="182" t="n">
        <v>12</v>
      </c>
      <c r="J4722" s="182" t="n">
        <v>12</v>
      </c>
      <c r="K4722" s="182" t="n">
        <v>0</v>
      </c>
      <c r="L4722" s="182" t="n">
        <v>12</v>
      </c>
      <c r="M4722" s="182" t="n">
        <v>0</v>
      </c>
      <c r="N4722" s="182" t="n">
        <v>0</v>
      </c>
      <c r="O4722" s="183" t="n">
        <v>0</v>
      </c>
      <c r="P4722" s="183" t="n">
        <v>0</v>
      </c>
      <c r="Q4722" s="184" t="n">
        <v>0</v>
      </c>
      <c r="R4722" s="184" t="n">
        <v>0</v>
      </c>
      <c r="S4722" s="183" t="n">
        <v>0</v>
      </c>
      <c r="T4722" s="183" t="n">
        <v>0</v>
      </c>
      <c r="U4722" s="182" t="n">
        <v>0</v>
      </c>
      <c r="V4722" s="182" t="n">
        <v>0</v>
      </c>
      <c r="W4722" s="182" t="n">
        <v>0</v>
      </c>
      <c r="X4722" s="182" t="n">
        <v>0</v>
      </c>
      <c r="Y4722" s="182" t="n">
        <v>0</v>
      </c>
      <c r="Z4722" s="182" t="n">
        <v>0</v>
      </c>
      <c r="AA4722" s="182" t="n">
        <v>0</v>
      </c>
      <c r="AB4722" s="182" t="n">
        <v>0</v>
      </c>
      <c r="AC4722" s="182" t="n">
        <v>0</v>
      </c>
      <c r="AD4722" s="182" t="n">
        <v>0</v>
      </c>
      <c r="AE4722" s="182" t="n">
        <v>0</v>
      </c>
      <c r="AF4722" s="182" t="n">
        <v>0</v>
      </c>
      <c r="AG4722" s="182" t="n">
        <v>0</v>
      </c>
      <c r="AH4722" s="182" t="n">
        <v>0</v>
      </c>
      <c r="AI4722" s="182" t="n">
        <v>0</v>
      </c>
      <c r="AJ4722" s="182" t="n">
        <v>0</v>
      </c>
      <c r="AK4722" s="182" t="n">
        <v>0</v>
      </c>
      <c r="AL4722" s="182" t="n">
        <v>0</v>
      </c>
      <c r="AM4722" s="182" t="n">
        <v>0</v>
      </c>
      <c r="AN4722" s="182" t="n">
        <v>0</v>
      </c>
    </row>
    <row r="4723">
      <c r="A4723" s="155" t="n">
        <v>46103</v>
      </c>
      <c r="B4723" s="156" t="inlineStr">
        <is>
          <t>DS</t>
        </is>
      </c>
      <c r="C4723" s="156" t="inlineStr">
        <is>
          <t>HD-905</t>
        </is>
      </c>
      <c r="D4723" s="156" t="inlineStr">
        <is>
          <t>SRT 95C</t>
        </is>
      </c>
      <c r="E4723" s="156" t="inlineStr">
        <is>
          <t>Hauler</t>
        </is>
      </c>
      <c r="F4723" s="156" t="inlineStr"/>
      <c r="G4723" s="182" t="n">
        <v>0</v>
      </c>
      <c r="H4723" s="182" t="n">
        <v>0</v>
      </c>
      <c r="I4723" s="182" t="n">
        <v>0</v>
      </c>
      <c r="J4723" s="182" t="n">
        <v>0</v>
      </c>
      <c r="K4723" s="182" t="n">
        <v>12</v>
      </c>
      <c r="L4723" s="182" t="n">
        <v>12</v>
      </c>
      <c r="M4723" s="182" t="n">
        <v>0</v>
      </c>
      <c r="N4723" s="182" t="n">
        <v>0</v>
      </c>
      <c r="O4723" s="183" t="n">
        <v>0</v>
      </c>
      <c r="P4723" s="183" t="n">
        <v>0</v>
      </c>
      <c r="Q4723" s="184" t="n">
        <v>0</v>
      </c>
      <c r="R4723" s="184" t="n">
        <v>0</v>
      </c>
      <c r="S4723" s="183" t="n">
        <v>0</v>
      </c>
      <c r="T4723" s="183" t="n">
        <v>0</v>
      </c>
      <c r="U4723" s="182" t="n">
        <v>2.67</v>
      </c>
      <c r="V4723" s="182" t="n">
        <v>0</v>
      </c>
      <c r="W4723" s="182" t="n">
        <v>0</v>
      </c>
      <c r="X4723" s="182" t="n">
        <v>1</v>
      </c>
      <c r="Y4723" s="182" t="n">
        <v>0</v>
      </c>
      <c r="Z4723" s="182" t="n">
        <v>0</v>
      </c>
      <c r="AA4723" s="182" t="n">
        <v>0</v>
      </c>
      <c r="AB4723" s="182" t="n">
        <v>0</v>
      </c>
      <c r="AC4723" s="182" t="n">
        <v>0</v>
      </c>
      <c r="AD4723" s="182" t="n">
        <v>0</v>
      </c>
      <c r="AE4723" s="182" t="n">
        <v>0</v>
      </c>
      <c r="AF4723" s="182" t="n">
        <v>0</v>
      </c>
      <c r="AG4723" s="182" t="n">
        <v>0</v>
      </c>
      <c r="AH4723" s="182" t="n">
        <v>0</v>
      </c>
      <c r="AI4723" s="182" t="n">
        <v>8.25</v>
      </c>
      <c r="AJ4723" s="182" t="n">
        <v>0</v>
      </c>
      <c r="AK4723" s="182" t="n">
        <v>0</v>
      </c>
      <c r="AL4723" s="182" t="n">
        <v>0</v>
      </c>
      <c r="AM4723" s="182" t="n">
        <v>0.08</v>
      </c>
      <c r="AN4723" s="182" t="n">
        <v>0</v>
      </c>
    </row>
    <row r="4724">
      <c r="A4724" s="155" t="n">
        <v>46103</v>
      </c>
      <c r="B4724" s="156" t="inlineStr">
        <is>
          <t>DS</t>
        </is>
      </c>
      <c r="C4724" s="156" t="inlineStr">
        <is>
          <t>HD-901</t>
        </is>
      </c>
      <c r="D4724" s="156" t="inlineStr">
        <is>
          <t>SRT 95C</t>
        </is>
      </c>
      <c r="E4724" s="156" t="inlineStr">
        <is>
          <t>Hauler</t>
        </is>
      </c>
      <c r="F4724" s="156" t="inlineStr">
        <is>
          <t>Hauling OB</t>
        </is>
      </c>
      <c r="G4724" s="182" t="n">
        <v>3.64</v>
      </c>
      <c r="H4724" s="182" t="n">
        <v>0</v>
      </c>
      <c r="I4724" s="182" t="n">
        <v>0</v>
      </c>
      <c r="J4724" s="182" t="n">
        <v>0</v>
      </c>
      <c r="K4724" s="182" t="n">
        <v>8.359999999999999</v>
      </c>
      <c r="L4724" s="182" t="n">
        <v>12</v>
      </c>
      <c r="M4724" s="182" t="n">
        <v>3.64</v>
      </c>
      <c r="N4724" s="182" t="n">
        <v>0</v>
      </c>
      <c r="O4724" s="183" t="n">
        <v>13</v>
      </c>
      <c r="P4724" s="183" t="n">
        <v>0</v>
      </c>
      <c r="Q4724" s="184" t="n">
        <v>464.1</v>
      </c>
      <c r="R4724" s="184" t="n">
        <v>0</v>
      </c>
      <c r="S4724" s="183" t="n">
        <v>0</v>
      </c>
      <c r="T4724" s="183" t="n">
        <v>0</v>
      </c>
      <c r="U4724" s="182" t="n">
        <v>2.66</v>
      </c>
      <c r="V4724" s="182" t="n">
        <v>2.04</v>
      </c>
      <c r="W4724" s="182" t="n">
        <v>0</v>
      </c>
      <c r="X4724" s="182" t="n">
        <v>1</v>
      </c>
      <c r="Y4724" s="182" t="n">
        <v>0</v>
      </c>
      <c r="Z4724" s="182" t="n">
        <v>0</v>
      </c>
      <c r="AA4724" s="182" t="n">
        <v>0</v>
      </c>
      <c r="AB4724" s="182" t="n">
        <v>0</v>
      </c>
      <c r="AC4724" s="182" t="n">
        <v>0</v>
      </c>
      <c r="AD4724" s="182" t="n">
        <v>0</v>
      </c>
      <c r="AE4724" s="182" t="n">
        <v>0</v>
      </c>
      <c r="AF4724" s="182" t="n">
        <v>0</v>
      </c>
      <c r="AG4724" s="182" t="n">
        <v>0</v>
      </c>
      <c r="AH4724" s="182" t="n">
        <v>0.02</v>
      </c>
      <c r="AI4724" s="182" t="n">
        <v>2.57</v>
      </c>
      <c r="AJ4724" s="182" t="n">
        <v>0</v>
      </c>
      <c r="AK4724" s="182" t="n">
        <v>0</v>
      </c>
      <c r="AL4724" s="182" t="n">
        <v>0</v>
      </c>
      <c r="AM4724" s="182" t="n">
        <v>0.08</v>
      </c>
      <c r="AN4724" s="182" t="n">
        <v>0</v>
      </c>
    </row>
    <row r="4725">
      <c r="A4725" s="155" t="n">
        <v>46103</v>
      </c>
      <c r="B4725" s="156" t="inlineStr">
        <is>
          <t>DS</t>
        </is>
      </c>
      <c r="C4725" s="156" t="inlineStr">
        <is>
          <t>HD-904</t>
        </is>
      </c>
      <c r="D4725" s="156" t="inlineStr">
        <is>
          <t>SRT 95C</t>
        </is>
      </c>
      <c r="E4725" s="156" t="inlineStr">
        <is>
          <t>Hauler</t>
        </is>
      </c>
      <c r="F4725" s="156" t="inlineStr">
        <is>
          <t>Hauling OB</t>
        </is>
      </c>
      <c r="G4725" s="182" t="n">
        <v>3.74</v>
      </c>
      <c r="H4725" s="182" t="n">
        <v>0</v>
      </c>
      <c r="I4725" s="182" t="n">
        <v>0</v>
      </c>
      <c r="J4725" s="182" t="n">
        <v>0</v>
      </c>
      <c r="K4725" s="182" t="n">
        <v>8.26</v>
      </c>
      <c r="L4725" s="182" t="n">
        <v>12</v>
      </c>
      <c r="M4725" s="182" t="n">
        <v>3.74</v>
      </c>
      <c r="N4725" s="182" t="n">
        <v>0</v>
      </c>
      <c r="O4725" s="183" t="n">
        <v>14</v>
      </c>
      <c r="P4725" s="183" t="n">
        <v>0</v>
      </c>
      <c r="Q4725" s="184" t="n">
        <v>499.8</v>
      </c>
      <c r="R4725" s="184" t="n">
        <v>0</v>
      </c>
      <c r="S4725" s="183" t="n">
        <v>0</v>
      </c>
      <c r="T4725" s="183" t="n">
        <v>0</v>
      </c>
      <c r="U4725" s="182" t="n">
        <v>2.59</v>
      </c>
      <c r="V4725" s="182" t="n">
        <v>1.99</v>
      </c>
      <c r="W4725" s="182" t="n">
        <v>0</v>
      </c>
      <c r="X4725" s="182" t="n">
        <v>0.97</v>
      </c>
      <c r="Y4725" s="182" t="n">
        <v>0</v>
      </c>
      <c r="Z4725" s="182" t="n">
        <v>0</v>
      </c>
      <c r="AA4725" s="182" t="n">
        <v>0</v>
      </c>
      <c r="AB4725" s="182" t="n">
        <v>0</v>
      </c>
      <c r="AC4725" s="182" t="n">
        <v>0</v>
      </c>
      <c r="AD4725" s="182" t="n">
        <v>0</v>
      </c>
      <c r="AE4725" s="182" t="n">
        <v>0</v>
      </c>
      <c r="AF4725" s="182" t="n">
        <v>0</v>
      </c>
      <c r="AG4725" s="182" t="n">
        <v>0</v>
      </c>
      <c r="AH4725" s="182" t="n">
        <v>0.12</v>
      </c>
      <c r="AI4725" s="182" t="n">
        <v>2.51</v>
      </c>
      <c r="AJ4725" s="182" t="n">
        <v>0</v>
      </c>
      <c r="AK4725" s="182" t="n">
        <v>0</v>
      </c>
      <c r="AL4725" s="182" t="n">
        <v>0</v>
      </c>
      <c r="AM4725" s="182" t="n">
        <v>0.08</v>
      </c>
      <c r="AN4725" s="182" t="n">
        <v>0</v>
      </c>
    </row>
    <row r="4726">
      <c r="A4726" s="155" t="n">
        <v>46103</v>
      </c>
      <c r="B4726" s="156" t="inlineStr">
        <is>
          <t>DS</t>
        </is>
      </c>
      <c r="C4726" s="156" t="inlineStr">
        <is>
          <t>HD-902</t>
        </is>
      </c>
      <c r="D4726" s="156" t="inlineStr">
        <is>
          <t>SRT 95C</t>
        </is>
      </c>
      <c r="E4726" s="156" t="inlineStr">
        <is>
          <t>Hauler</t>
        </is>
      </c>
      <c r="F4726" s="156" t="inlineStr">
        <is>
          <t>Hauling OB</t>
        </is>
      </c>
      <c r="G4726" s="182" t="n">
        <v>3.84</v>
      </c>
      <c r="H4726" s="182" t="n">
        <v>0</v>
      </c>
      <c r="I4726" s="182" t="n">
        <v>0</v>
      </c>
      <c r="J4726" s="182" t="n">
        <v>0</v>
      </c>
      <c r="K4726" s="182" t="n">
        <v>8.16</v>
      </c>
      <c r="L4726" s="182" t="n">
        <v>12</v>
      </c>
      <c r="M4726" s="182" t="n">
        <v>3.84</v>
      </c>
      <c r="N4726" s="182" t="n">
        <v>0</v>
      </c>
      <c r="O4726" s="183" t="n">
        <v>13</v>
      </c>
      <c r="P4726" s="183" t="n">
        <v>0</v>
      </c>
      <c r="Q4726" s="184" t="n">
        <v>464.1</v>
      </c>
      <c r="R4726" s="184" t="n">
        <v>0</v>
      </c>
      <c r="S4726" s="183" t="n">
        <v>0</v>
      </c>
      <c r="T4726" s="183" t="n">
        <v>0</v>
      </c>
      <c r="U4726" s="182" t="n">
        <v>2.72</v>
      </c>
      <c r="V4726" s="182" t="n">
        <v>2.09</v>
      </c>
      <c r="W4726" s="182" t="n">
        <v>0</v>
      </c>
      <c r="X4726" s="182" t="n">
        <v>1.02</v>
      </c>
      <c r="Y4726" s="182" t="n">
        <v>0</v>
      </c>
      <c r="Z4726" s="182" t="n">
        <v>0</v>
      </c>
      <c r="AA4726" s="182" t="n">
        <v>0</v>
      </c>
      <c r="AB4726" s="182" t="n">
        <v>0</v>
      </c>
      <c r="AC4726" s="182" t="n">
        <v>0</v>
      </c>
      <c r="AD4726" s="182" t="n">
        <v>0</v>
      </c>
      <c r="AE4726" s="182" t="n">
        <v>0</v>
      </c>
      <c r="AF4726" s="182" t="n">
        <v>0</v>
      </c>
      <c r="AG4726" s="182" t="n">
        <v>0</v>
      </c>
      <c r="AH4726" s="182" t="n">
        <v>0</v>
      </c>
      <c r="AI4726" s="182" t="n">
        <v>2.24</v>
      </c>
      <c r="AJ4726" s="182" t="n">
        <v>0</v>
      </c>
      <c r="AK4726" s="182" t="n">
        <v>0</v>
      </c>
      <c r="AL4726" s="182" t="n">
        <v>0</v>
      </c>
      <c r="AM4726" s="182" t="n">
        <v>0.08</v>
      </c>
      <c r="AN4726" s="182" t="n">
        <v>0</v>
      </c>
    </row>
    <row r="4727">
      <c r="A4727" s="155" t="n">
        <v>46103</v>
      </c>
      <c r="B4727" s="156" t="inlineStr">
        <is>
          <t>DS</t>
        </is>
      </c>
      <c r="C4727" s="156" t="inlineStr">
        <is>
          <t>WL-025</t>
        </is>
      </c>
      <c r="D4727" s="156" t="inlineStr">
        <is>
          <t>SANY - Loader</t>
        </is>
      </c>
      <c r="E4727" s="156" t="inlineStr">
        <is>
          <t>Loader</t>
        </is>
      </c>
      <c r="F4727" s="156" t="inlineStr"/>
      <c r="G4727" s="182" t="n">
        <v>0</v>
      </c>
      <c r="H4727" s="182" t="n">
        <v>0</v>
      </c>
      <c r="I4727" s="182" t="n">
        <v>0</v>
      </c>
      <c r="J4727" s="182" t="n">
        <v>0</v>
      </c>
      <c r="K4727" s="182" t="n">
        <v>12</v>
      </c>
      <c r="L4727" s="182" t="n">
        <v>12</v>
      </c>
      <c r="M4727" s="182" t="n">
        <v>0</v>
      </c>
      <c r="N4727" s="182" t="n">
        <v>0</v>
      </c>
      <c r="O4727" s="183" t="n">
        <v>0</v>
      </c>
      <c r="P4727" s="183" t="n">
        <v>0</v>
      </c>
      <c r="Q4727" s="184" t="n">
        <v>0</v>
      </c>
      <c r="R4727" s="184" t="n">
        <v>0</v>
      </c>
      <c r="S4727" s="183" t="n">
        <v>0</v>
      </c>
      <c r="T4727" s="183" t="n">
        <v>0</v>
      </c>
      <c r="U4727" s="182" t="n">
        <v>0</v>
      </c>
      <c r="V4727" s="182" t="n">
        <v>0</v>
      </c>
      <c r="W4727" s="182" t="n">
        <v>0</v>
      </c>
      <c r="X4727" s="182" t="n">
        <v>1</v>
      </c>
      <c r="Y4727" s="182" t="n">
        <v>0</v>
      </c>
      <c r="Z4727" s="182" t="n">
        <v>0</v>
      </c>
      <c r="AA4727" s="182" t="n">
        <v>0</v>
      </c>
      <c r="AB4727" s="182" t="n">
        <v>0</v>
      </c>
      <c r="AC4727" s="182" t="n">
        <v>0</v>
      </c>
      <c r="AD4727" s="182" t="n">
        <v>0</v>
      </c>
      <c r="AE4727" s="182" t="n">
        <v>0</v>
      </c>
      <c r="AF4727" s="182" t="n">
        <v>0</v>
      </c>
      <c r="AG4727" s="182" t="n">
        <v>0</v>
      </c>
      <c r="AH4727" s="182" t="n">
        <v>0</v>
      </c>
      <c r="AI4727" s="182" t="n">
        <v>0</v>
      </c>
      <c r="AJ4727" s="182" t="n">
        <v>0</v>
      </c>
      <c r="AK4727" s="182" t="n">
        <v>10.92</v>
      </c>
      <c r="AL4727" s="182" t="n">
        <v>0</v>
      </c>
      <c r="AM4727" s="182" t="n">
        <v>0.08</v>
      </c>
      <c r="AN4727" s="182" t="n">
        <v>0</v>
      </c>
    </row>
    <row r="4728">
      <c r="A4728" s="155" t="n">
        <v>46103</v>
      </c>
      <c r="B4728" s="156" t="inlineStr">
        <is>
          <t>DS</t>
        </is>
      </c>
      <c r="C4728" s="156" t="inlineStr">
        <is>
          <t>WL-023</t>
        </is>
      </c>
      <c r="D4728" s="156" t="inlineStr">
        <is>
          <t>SANY - Loader</t>
        </is>
      </c>
      <c r="E4728" s="156" t="inlineStr">
        <is>
          <t>Loader</t>
        </is>
      </c>
      <c r="F4728" s="156" t="inlineStr"/>
      <c r="G4728" s="182" t="n">
        <v>0</v>
      </c>
      <c r="H4728" s="182" t="n">
        <v>0</v>
      </c>
      <c r="I4728" s="182" t="n">
        <v>0</v>
      </c>
      <c r="J4728" s="182" t="n">
        <v>0</v>
      </c>
      <c r="K4728" s="182" t="n">
        <v>12</v>
      </c>
      <c r="L4728" s="182" t="n">
        <v>12</v>
      </c>
      <c r="M4728" s="182" t="n">
        <v>0</v>
      </c>
      <c r="N4728" s="182" t="n">
        <v>0</v>
      </c>
      <c r="O4728" s="183" t="n">
        <v>0</v>
      </c>
      <c r="P4728" s="183" t="n">
        <v>0</v>
      </c>
      <c r="Q4728" s="184" t="n">
        <v>0</v>
      </c>
      <c r="R4728" s="184" t="n">
        <v>0</v>
      </c>
      <c r="S4728" s="183" t="n">
        <v>0</v>
      </c>
      <c r="T4728" s="183" t="n">
        <v>0</v>
      </c>
      <c r="U4728" s="182" t="n">
        <v>0</v>
      </c>
      <c r="V4728" s="182" t="n">
        <v>0</v>
      </c>
      <c r="W4728" s="182" t="n">
        <v>0</v>
      </c>
      <c r="X4728" s="182" t="n">
        <v>1</v>
      </c>
      <c r="Y4728" s="182" t="n">
        <v>0</v>
      </c>
      <c r="Z4728" s="182" t="n">
        <v>0</v>
      </c>
      <c r="AA4728" s="182" t="n">
        <v>0</v>
      </c>
      <c r="AB4728" s="182" t="n">
        <v>0</v>
      </c>
      <c r="AC4728" s="182" t="n">
        <v>0</v>
      </c>
      <c r="AD4728" s="182" t="n">
        <v>0</v>
      </c>
      <c r="AE4728" s="182" t="n">
        <v>0</v>
      </c>
      <c r="AF4728" s="182" t="n">
        <v>0</v>
      </c>
      <c r="AG4728" s="182" t="n">
        <v>0</v>
      </c>
      <c r="AH4728" s="182" t="n">
        <v>0</v>
      </c>
      <c r="AI4728" s="182" t="n">
        <v>0</v>
      </c>
      <c r="AJ4728" s="182" t="n">
        <v>0</v>
      </c>
      <c r="AK4728" s="182" t="n">
        <v>10.92</v>
      </c>
      <c r="AL4728" s="182" t="n">
        <v>0</v>
      </c>
      <c r="AM4728" s="182" t="n">
        <v>0.08</v>
      </c>
      <c r="AN4728" s="182" t="n">
        <v>0</v>
      </c>
    </row>
    <row r="4729">
      <c r="A4729" s="155" t="n">
        <v>46103</v>
      </c>
      <c r="B4729" s="156" t="inlineStr">
        <is>
          <t>DS</t>
        </is>
      </c>
      <c r="C4729" s="156" t="inlineStr">
        <is>
          <t>WL-021</t>
        </is>
      </c>
      <c r="D4729" s="156" t="inlineStr">
        <is>
          <t>SANY - Loader</t>
        </is>
      </c>
      <c r="E4729" s="156" t="inlineStr">
        <is>
          <t>Loader</t>
        </is>
      </c>
      <c r="F4729" s="156" t="inlineStr"/>
      <c r="G4729" s="182" t="n">
        <v>0</v>
      </c>
      <c r="H4729" s="182" t="n">
        <v>0</v>
      </c>
      <c r="I4729" s="182" t="n">
        <v>12</v>
      </c>
      <c r="J4729" s="182" t="n">
        <v>12</v>
      </c>
      <c r="K4729" s="182" t="n">
        <v>0</v>
      </c>
      <c r="L4729" s="182" t="n">
        <v>12</v>
      </c>
      <c r="M4729" s="182" t="n">
        <v>0</v>
      </c>
      <c r="N4729" s="182" t="n">
        <v>0</v>
      </c>
      <c r="O4729" s="183" t="n">
        <v>0</v>
      </c>
      <c r="P4729" s="183" t="n">
        <v>0</v>
      </c>
      <c r="Q4729" s="184" t="n">
        <v>0</v>
      </c>
      <c r="R4729" s="184" t="n">
        <v>0</v>
      </c>
      <c r="S4729" s="183" t="n">
        <v>0</v>
      </c>
      <c r="T4729" s="183" t="n">
        <v>0</v>
      </c>
      <c r="U4729" s="182" t="n">
        <v>0</v>
      </c>
      <c r="V4729" s="182" t="n">
        <v>0</v>
      </c>
      <c r="W4729" s="182" t="n">
        <v>0</v>
      </c>
      <c r="X4729" s="182" t="n">
        <v>0</v>
      </c>
      <c r="Y4729" s="182" t="n">
        <v>0</v>
      </c>
      <c r="Z4729" s="182" t="n">
        <v>0</v>
      </c>
      <c r="AA4729" s="182" t="n">
        <v>0</v>
      </c>
      <c r="AB4729" s="182" t="n">
        <v>0</v>
      </c>
      <c r="AC4729" s="182" t="n">
        <v>0</v>
      </c>
      <c r="AD4729" s="182" t="n">
        <v>0</v>
      </c>
      <c r="AE4729" s="182" t="n">
        <v>0</v>
      </c>
      <c r="AF4729" s="182" t="n">
        <v>0</v>
      </c>
      <c r="AG4729" s="182" t="n">
        <v>0</v>
      </c>
      <c r="AH4729" s="182" t="n">
        <v>0</v>
      </c>
      <c r="AI4729" s="182" t="n">
        <v>0</v>
      </c>
      <c r="AJ4729" s="182" t="n">
        <v>0</v>
      </c>
      <c r="AK4729" s="182" t="n">
        <v>0</v>
      </c>
      <c r="AL4729" s="182" t="n">
        <v>0</v>
      </c>
      <c r="AM4729" s="182" t="n">
        <v>0</v>
      </c>
      <c r="AN4729" s="182" t="n">
        <v>0</v>
      </c>
    </row>
    <row r="4730">
      <c r="A4730" s="155" t="n">
        <v>46103</v>
      </c>
      <c r="B4730" s="156" t="inlineStr">
        <is>
          <t>DS</t>
        </is>
      </c>
      <c r="C4730" s="156" t="inlineStr">
        <is>
          <t>WL-022</t>
        </is>
      </c>
      <c r="D4730" s="156" t="inlineStr">
        <is>
          <t>SANY - Loader</t>
        </is>
      </c>
      <c r="E4730" s="156" t="inlineStr">
        <is>
          <t>Loader</t>
        </is>
      </c>
      <c r="F4730" s="156" t="inlineStr">
        <is>
          <t>Support Washing Plant</t>
        </is>
      </c>
      <c r="G4730" s="182" t="n">
        <v>10.56</v>
      </c>
      <c r="H4730" s="182" t="n">
        <v>0</v>
      </c>
      <c r="I4730" s="182" t="n">
        <v>0</v>
      </c>
      <c r="J4730" s="182" t="n">
        <v>0</v>
      </c>
      <c r="K4730" s="182" t="n">
        <v>1.44</v>
      </c>
      <c r="L4730" s="182" t="n">
        <v>12</v>
      </c>
      <c r="M4730" s="182" t="n">
        <v>0</v>
      </c>
      <c r="N4730" s="182" t="n">
        <v>0</v>
      </c>
      <c r="O4730" s="183" t="n">
        <v>0</v>
      </c>
      <c r="P4730" s="183" t="n">
        <v>0</v>
      </c>
      <c r="Q4730" s="184" t="n">
        <v>0</v>
      </c>
      <c r="R4730" s="184" t="n">
        <v>0</v>
      </c>
      <c r="S4730" s="183" t="n">
        <v>0</v>
      </c>
      <c r="T4730" s="183" t="n">
        <v>0</v>
      </c>
      <c r="U4730" s="182" t="n">
        <v>0.4</v>
      </c>
      <c r="V4730" s="182" t="n">
        <v>0</v>
      </c>
      <c r="W4730" s="182" t="n">
        <v>0</v>
      </c>
      <c r="X4730" s="182" t="n">
        <v>0.96</v>
      </c>
      <c r="Y4730" s="182" t="n">
        <v>0</v>
      </c>
      <c r="Z4730" s="182" t="n">
        <v>0</v>
      </c>
      <c r="AA4730" s="182" t="n">
        <v>0</v>
      </c>
      <c r="AB4730" s="182" t="n">
        <v>0</v>
      </c>
      <c r="AC4730" s="182" t="n">
        <v>0</v>
      </c>
      <c r="AD4730" s="182" t="n">
        <v>0</v>
      </c>
      <c r="AE4730" s="182" t="n">
        <v>0</v>
      </c>
      <c r="AF4730" s="182" t="n">
        <v>0</v>
      </c>
      <c r="AG4730" s="182" t="n">
        <v>0</v>
      </c>
      <c r="AH4730" s="182" t="n">
        <v>0</v>
      </c>
      <c r="AI4730" s="182" t="n">
        <v>0</v>
      </c>
      <c r="AJ4730" s="182" t="n">
        <v>0</v>
      </c>
      <c r="AK4730" s="182" t="n">
        <v>0</v>
      </c>
      <c r="AL4730" s="182" t="n">
        <v>0</v>
      </c>
      <c r="AM4730" s="182" t="n">
        <v>0.08</v>
      </c>
      <c r="AN4730" s="182" t="n">
        <v>0</v>
      </c>
    </row>
    <row r="4731">
      <c r="A4731" s="155" t="n">
        <v>46103</v>
      </c>
      <c r="B4731" s="156" t="inlineStr">
        <is>
          <t>DS</t>
        </is>
      </c>
      <c r="C4731" s="156" t="inlineStr">
        <is>
          <t>WL-024</t>
        </is>
      </c>
      <c r="D4731" s="156" t="inlineStr">
        <is>
          <t>SANY - Loader</t>
        </is>
      </c>
      <c r="E4731" s="156" t="inlineStr">
        <is>
          <t>Loader</t>
        </is>
      </c>
      <c r="F4731" s="156" t="inlineStr">
        <is>
          <t>Support Washing Plant</t>
        </is>
      </c>
      <c r="G4731" s="182" t="n">
        <v>11.78</v>
      </c>
      <c r="H4731" s="182" t="n">
        <v>0</v>
      </c>
      <c r="I4731" s="182" t="n">
        <v>0</v>
      </c>
      <c r="J4731" s="182" t="n">
        <v>0</v>
      </c>
      <c r="K4731" s="182" t="n">
        <v>0.22</v>
      </c>
      <c r="L4731" s="182" t="n">
        <v>12</v>
      </c>
      <c r="M4731" s="182" t="n">
        <v>0</v>
      </c>
      <c r="N4731" s="182" t="n">
        <v>0</v>
      </c>
      <c r="O4731" s="183" t="n">
        <v>0</v>
      </c>
      <c r="P4731" s="183" t="n">
        <v>0</v>
      </c>
      <c r="Q4731" s="184" t="n">
        <v>0</v>
      </c>
      <c r="R4731" s="184" t="n">
        <v>0</v>
      </c>
      <c r="S4731" s="183" t="n">
        <v>0</v>
      </c>
      <c r="T4731" s="183" t="n">
        <v>0</v>
      </c>
      <c r="U4731" s="182" t="n">
        <v>0</v>
      </c>
      <c r="V4731" s="182" t="n">
        <v>0</v>
      </c>
      <c r="W4731" s="182" t="n">
        <v>0</v>
      </c>
      <c r="X4731" s="182" t="n">
        <v>0.19</v>
      </c>
      <c r="Y4731" s="182" t="n">
        <v>0</v>
      </c>
      <c r="Z4731" s="182" t="n">
        <v>0</v>
      </c>
      <c r="AA4731" s="182" t="n">
        <v>0</v>
      </c>
      <c r="AB4731" s="182" t="n">
        <v>0</v>
      </c>
      <c r="AC4731" s="182" t="n">
        <v>0</v>
      </c>
      <c r="AD4731" s="182" t="n">
        <v>0</v>
      </c>
      <c r="AE4731" s="182" t="n">
        <v>0</v>
      </c>
      <c r="AF4731" s="182" t="n">
        <v>0</v>
      </c>
      <c r="AG4731" s="182" t="n">
        <v>0</v>
      </c>
      <c r="AH4731" s="182" t="n">
        <v>0</v>
      </c>
      <c r="AI4731" s="182" t="n">
        <v>0</v>
      </c>
      <c r="AJ4731" s="182" t="n">
        <v>0</v>
      </c>
      <c r="AK4731" s="182" t="n">
        <v>0</v>
      </c>
      <c r="AL4731" s="182" t="n">
        <v>0</v>
      </c>
      <c r="AM4731" s="182" t="n">
        <v>0.03</v>
      </c>
      <c r="AN4731" s="182" t="n">
        <v>0</v>
      </c>
    </row>
    <row r="4732">
      <c r="A4732" s="155" t="n">
        <v>46103</v>
      </c>
      <c r="B4732" s="156" t="inlineStr">
        <is>
          <t>NS</t>
        </is>
      </c>
      <c r="C4732" s="156" t="inlineStr">
        <is>
          <t>DZ-034</t>
        </is>
      </c>
      <c r="D4732" s="156" t="inlineStr">
        <is>
          <t>D 68ESS-12EO</t>
        </is>
      </c>
      <c r="E4732" s="156" t="inlineStr">
        <is>
          <t>Bulldozer</t>
        </is>
      </c>
      <c r="F4732" s="156" t="inlineStr">
        <is>
          <t>Support Stock ROM</t>
        </is>
      </c>
      <c r="G4732" s="182" t="n">
        <v>5.33</v>
      </c>
      <c r="H4732" s="182" t="n">
        <v>0</v>
      </c>
      <c r="I4732" s="182" t="n">
        <v>0</v>
      </c>
      <c r="J4732" s="182" t="n">
        <v>0</v>
      </c>
      <c r="K4732" s="182" t="n">
        <v>6.67</v>
      </c>
      <c r="L4732" s="182" t="n">
        <v>12</v>
      </c>
      <c r="M4732" s="182" t="n">
        <v>0</v>
      </c>
      <c r="N4732" s="182" t="n">
        <v>0</v>
      </c>
      <c r="O4732" s="183" t="n">
        <v>0</v>
      </c>
      <c r="P4732" s="183" t="n">
        <v>0</v>
      </c>
      <c r="Q4732" s="184" t="n">
        <v>0</v>
      </c>
      <c r="R4732" s="184" t="n">
        <v>0</v>
      </c>
      <c r="S4732" s="183" t="n">
        <v>0</v>
      </c>
      <c r="T4732" s="183" t="n">
        <v>0</v>
      </c>
      <c r="U4732" s="182" t="n">
        <v>0</v>
      </c>
      <c r="V4732" s="182" t="n">
        <v>0</v>
      </c>
      <c r="W4732" s="182" t="n">
        <v>0</v>
      </c>
      <c r="X4732" s="182" t="n">
        <v>1.01</v>
      </c>
      <c r="Y4732" s="182" t="n">
        <v>0</v>
      </c>
      <c r="Z4732" s="182" t="n">
        <v>0</v>
      </c>
      <c r="AA4732" s="182" t="n">
        <v>0</v>
      </c>
      <c r="AB4732" s="182" t="n">
        <v>0</v>
      </c>
      <c r="AC4732" s="182" t="n">
        <v>0</v>
      </c>
      <c r="AD4732" s="182" t="n">
        <v>0</v>
      </c>
      <c r="AE4732" s="182" t="n">
        <v>0</v>
      </c>
      <c r="AF4732" s="182" t="n">
        <v>0</v>
      </c>
      <c r="AG4732" s="182" t="n">
        <v>0</v>
      </c>
      <c r="AH4732" s="182" t="n">
        <v>0</v>
      </c>
      <c r="AI4732" s="182" t="n">
        <v>0</v>
      </c>
      <c r="AJ4732" s="182" t="n">
        <v>0</v>
      </c>
      <c r="AK4732" s="182" t="n">
        <v>5.58</v>
      </c>
      <c r="AL4732" s="182" t="n">
        <v>0</v>
      </c>
      <c r="AM4732" s="182" t="n">
        <v>0.08</v>
      </c>
      <c r="AN4732" s="182" t="n">
        <v>0</v>
      </c>
    </row>
    <row r="4733">
      <c r="A4733" s="155" t="n">
        <v>46103</v>
      </c>
      <c r="B4733" s="156" t="inlineStr">
        <is>
          <t>NS</t>
        </is>
      </c>
      <c r="C4733" s="156" t="inlineStr">
        <is>
          <t>DZ-033</t>
        </is>
      </c>
      <c r="D4733" s="156" t="inlineStr">
        <is>
          <t>D 375A-6R</t>
        </is>
      </c>
      <c r="E4733" s="156" t="inlineStr">
        <is>
          <t>Bulldozer</t>
        </is>
      </c>
      <c r="F4733" s="156" t="inlineStr">
        <is>
          <t>Support Disposal</t>
        </is>
      </c>
      <c r="G4733" s="182" t="n">
        <v>9.869999999999999</v>
      </c>
      <c r="H4733" s="182" t="n">
        <v>0</v>
      </c>
      <c r="I4733" s="182" t="n">
        <v>1.92</v>
      </c>
      <c r="J4733" s="182" t="n">
        <v>1.92</v>
      </c>
      <c r="K4733" s="182" t="n">
        <v>0.21</v>
      </c>
      <c r="L4733" s="182" t="n">
        <v>12</v>
      </c>
      <c r="M4733" s="182" t="n">
        <v>0</v>
      </c>
      <c r="N4733" s="182" t="n">
        <v>0</v>
      </c>
      <c r="O4733" s="183" t="n">
        <v>0</v>
      </c>
      <c r="P4733" s="183" t="n">
        <v>0</v>
      </c>
      <c r="Q4733" s="184" t="n">
        <v>0</v>
      </c>
      <c r="R4733" s="184" t="n">
        <v>0</v>
      </c>
      <c r="S4733" s="183" t="n">
        <v>0</v>
      </c>
      <c r="T4733" s="183" t="n">
        <v>0</v>
      </c>
      <c r="U4733" s="182" t="n">
        <v>0</v>
      </c>
      <c r="V4733" s="182" t="n">
        <v>0</v>
      </c>
      <c r="W4733" s="182" t="n">
        <v>0</v>
      </c>
      <c r="X4733" s="182" t="n">
        <v>0</v>
      </c>
      <c r="Y4733" s="182" t="n">
        <v>0</v>
      </c>
      <c r="Z4733" s="182" t="n">
        <v>0</v>
      </c>
      <c r="AA4733" s="182" t="n">
        <v>0</v>
      </c>
      <c r="AB4733" s="182" t="n">
        <v>0</v>
      </c>
      <c r="AC4733" s="182" t="n">
        <v>0</v>
      </c>
      <c r="AD4733" s="182" t="n">
        <v>0</v>
      </c>
      <c r="AE4733" s="182" t="n">
        <v>0</v>
      </c>
      <c r="AF4733" s="182" t="n">
        <v>0</v>
      </c>
      <c r="AG4733" s="182" t="n">
        <v>0</v>
      </c>
      <c r="AH4733" s="182" t="n">
        <v>0</v>
      </c>
      <c r="AI4733" s="182" t="n">
        <v>0</v>
      </c>
      <c r="AJ4733" s="182" t="n">
        <v>0</v>
      </c>
      <c r="AK4733" s="182" t="n">
        <v>0</v>
      </c>
      <c r="AL4733" s="182" t="n">
        <v>0</v>
      </c>
      <c r="AM4733" s="182" t="n">
        <v>0.21</v>
      </c>
      <c r="AN4733" s="182" t="n">
        <v>0</v>
      </c>
    </row>
    <row r="4734">
      <c r="A4734" s="155" t="n">
        <v>46103</v>
      </c>
      <c r="B4734" s="156" t="inlineStr">
        <is>
          <t>NS</t>
        </is>
      </c>
      <c r="C4734" s="156" t="inlineStr">
        <is>
          <t>DZ-038</t>
        </is>
      </c>
      <c r="D4734" s="156" t="inlineStr">
        <is>
          <t>D 85 ESS-2</t>
        </is>
      </c>
      <c r="E4734" s="156" t="inlineStr">
        <is>
          <t>Bulldozer</t>
        </is>
      </c>
      <c r="F4734" s="156" t="inlineStr"/>
      <c r="G4734" s="182" t="n">
        <v>0</v>
      </c>
      <c r="H4734" s="182" t="n">
        <v>0</v>
      </c>
      <c r="I4734" s="182" t="n">
        <v>12</v>
      </c>
      <c r="J4734" s="182" t="n">
        <v>12</v>
      </c>
      <c r="K4734" s="182" t="n">
        <v>0</v>
      </c>
      <c r="L4734" s="182" t="n">
        <v>12</v>
      </c>
      <c r="M4734" s="182" t="n">
        <v>0</v>
      </c>
      <c r="N4734" s="182" t="n">
        <v>0</v>
      </c>
      <c r="O4734" s="183" t="n">
        <v>0</v>
      </c>
      <c r="P4734" s="183" t="n">
        <v>0</v>
      </c>
      <c r="Q4734" s="184" t="n">
        <v>0</v>
      </c>
      <c r="R4734" s="184" t="n">
        <v>0</v>
      </c>
      <c r="S4734" s="183" t="n">
        <v>0</v>
      </c>
      <c r="T4734" s="183" t="n">
        <v>0</v>
      </c>
      <c r="U4734" s="182" t="n">
        <v>0</v>
      </c>
      <c r="V4734" s="182" t="n">
        <v>0</v>
      </c>
      <c r="W4734" s="182" t="n">
        <v>0</v>
      </c>
      <c r="X4734" s="182" t="n">
        <v>0</v>
      </c>
      <c r="Y4734" s="182" t="n">
        <v>0</v>
      </c>
      <c r="Z4734" s="182" t="n">
        <v>0</v>
      </c>
      <c r="AA4734" s="182" t="n">
        <v>0</v>
      </c>
      <c r="AB4734" s="182" t="n">
        <v>0</v>
      </c>
      <c r="AC4734" s="182" t="n">
        <v>0</v>
      </c>
      <c r="AD4734" s="182" t="n">
        <v>0</v>
      </c>
      <c r="AE4734" s="182" t="n">
        <v>0</v>
      </c>
      <c r="AF4734" s="182" t="n">
        <v>0</v>
      </c>
      <c r="AG4734" s="182" t="n">
        <v>0</v>
      </c>
      <c r="AH4734" s="182" t="n">
        <v>0</v>
      </c>
      <c r="AI4734" s="182" t="n">
        <v>0</v>
      </c>
      <c r="AJ4734" s="182" t="n">
        <v>0</v>
      </c>
      <c r="AK4734" s="182" t="n">
        <v>0</v>
      </c>
      <c r="AL4734" s="182" t="n">
        <v>0</v>
      </c>
      <c r="AM4734" s="182" t="n">
        <v>0</v>
      </c>
      <c r="AN4734" s="182" t="n">
        <v>0</v>
      </c>
    </row>
    <row r="4735">
      <c r="A4735" s="155" t="n">
        <v>46103</v>
      </c>
      <c r="B4735" s="156" t="inlineStr">
        <is>
          <t>NS</t>
        </is>
      </c>
      <c r="C4735" s="156" t="inlineStr">
        <is>
          <t>DZ-039</t>
        </is>
      </c>
      <c r="D4735" s="156" t="inlineStr">
        <is>
          <t>D 85 ESS-2</t>
        </is>
      </c>
      <c r="E4735" s="156" t="inlineStr">
        <is>
          <t>Bulldozer</t>
        </is>
      </c>
      <c r="F4735" s="156" t="inlineStr">
        <is>
          <t>Support Disposal</t>
        </is>
      </c>
      <c r="G4735" s="182" t="n">
        <v>2.24</v>
      </c>
      <c r="H4735" s="182" t="n">
        <v>0</v>
      </c>
      <c r="I4735" s="182" t="n">
        <v>9.720000000000001</v>
      </c>
      <c r="J4735" s="182" t="n">
        <v>9.720000000000001</v>
      </c>
      <c r="K4735" s="182" t="n">
        <v>0.04</v>
      </c>
      <c r="L4735" s="182" t="n">
        <v>12</v>
      </c>
      <c r="M4735" s="182" t="n">
        <v>0</v>
      </c>
      <c r="N4735" s="182" t="n">
        <v>0</v>
      </c>
      <c r="O4735" s="183" t="n">
        <v>0</v>
      </c>
      <c r="P4735" s="183" t="n">
        <v>0</v>
      </c>
      <c r="Q4735" s="184" t="n">
        <v>0</v>
      </c>
      <c r="R4735" s="184" t="n">
        <v>0</v>
      </c>
      <c r="S4735" s="183" t="n">
        <v>0</v>
      </c>
      <c r="T4735" s="183" t="n">
        <v>0</v>
      </c>
      <c r="U4735" s="182" t="n">
        <v>0</v>
      </c>
      <c r="V4735" s="182" t="n">
        <v>0</v>
      </c>
      <c r="W4735" s="182" t="n">
        <v>0</v>
      </c>
      <c r="X4735" s="182" t="n">
        <v>0</v>
      </c>
      <c r="Y4735" s="182" t="n">
        <v>0</v>
      </c>
      <c r="Z4735" s="182" t="n">
        <v>0</v>
      </c>
      <c r="AA4735" s="182" t="n">
        <v>0</v>
      </c>
      <c r="AB4735" s="182" t="n">
        <v>0</v>
      </c>
      <c r="AC4735" s="182" t="n">
        <v>0</v>
      </c>
      <c r="AD4735" s="182" t="n">
        <v>0</v>
      </c>
      <c r="AE4735" s="182" t="n">
        <v>0</v>
      </c>
      <c r="AF4735" s="182" t="n">
        <v>0</v>
      </c>
      <c r="AG4735" s="182" t="n">
        <v>0</v>
      </c>
      <c r="AH4735" s="182" t="n">
        <v>0</v>
      </c>
      <c r="AI4735" s="182" t="n">
        <v>0</v>
      </c>
      <c r="AJ4735" s="182" t="n">
        <v>0</v>
      </c>
      <c r="AK4735" s="182" t="n">
        <v>0</v>
      </c>
      <c r="AL4735" s="182" t="n">
        <v>0</v>
      </c>
      <c r="AM4735" s="182" t="n">
        <v>0.04</v>
      </c>
      <c r="AN4735" s="182" t="n">
        <v>0</v>
      </c>
    </row>
    <row r="4736">
      <c r="A4736" s="155" t="n">
        <v>46103</v>
      </c>
      <c r="B4736" s="156" t="inlineStr">
        <is>
          <t>NS</t>
        </is>
      </c>
      <c r="C4736" s="156" t="inlineStr">
        <is>
          <t>DZ-032</t>
        </is>
      </c>
      <c r="D4736" s="156" t="inlineStr">
        <is>
          <t>CAT</t>
        </is>
      </c>
      <c r="E4736" s="156" t="inlineStr">
        <is>
          <t>Bulldozer</t>
        </is>
      </c>
      <c r="F4736" s="156" t="inlineStr"/>
      <c r="G4736" s="182" t="n">
        <v>0</v>
      </c>
      <c r="H4736" s="182" t="n">
        <v>0</v>
      </c>
      <c r="I4736" s="182" t="n">
        <v>12</v>
      </c>
      <c r="J4736" s="182" t="n">
        <v>12</v>
      </c>
      <c r="K4736" s="182" t="n">
        <v>0</v>
      </c>
      <c r="L4736" s="182" t="n">
        <v>12</v>
      </c>
      <c r="M4736" s="182" t="n">
        <v>0</v>
      </c>
      <c r="N4736" s="182" t="n">
        <v>0</v>
      </c>
      <c r="O4736" s="183" t="n">
        <v>0</v>
      </c>
      <c r="P4736" s="183" t="n">
        <v>0</v>
      </c>
      <c r="Q4736" s="184" t="n">
        <v>0</v>
      </c>
      <c r="R4736" s="184" t="n">
        <v>0</v>
      </c>
      <c r="S4736" s="183" t="n">
        <v>0</v>
      </c>
      <c r="T4736" s="183" t="n">
        <v>0</v>
      </c>
      <c r="U4736" s="182" t="n">
        <v>0</v>
      </c>
      <c r="V4736" s="182" t="n">
        <v>0</v>
      </c>
      <c r="W4736" s="182" t="n">
        <v>0</v>
      </c>
      <c r="X4736" s="182" t="n">
        <v>0</v>
      </c>
      <c r="Y4736" s="182" t="n">
        <v>0</v>
      </c>
      <c r="Z4736" s="182" t="n">
        <v>0</v>
      </c>
      <c r="AA4736" s="182" t="n">
        <v>0</v>
      </c>
      <c r="AB4736" s="182" t="n">
        <v>0</v>
      </c>
      <c r="AC4736" s="182" t="n">
        <v>0</v>
      </c>
      <c r="AD4736" s="182" t="n">
        <v>0</v>
      </c>
      <c r="AE4736" s="182" t="n">
        <v>0</v>
      </c>
      <c r="AF4736" s="182" t="n">
        <v>0</v>
      </c>
      <c r="AG4736" s="182" t="n">
        <v>0</v>
      </c>
      <c r="AH4736" s="182" t="n">
        <v>0</v>
      </c>
      <c r="AI4736" s="182" t="n">
        <v>0</v>
      </c>
      <c r="AJ4736" s="182" t="n">
        <v>0</v>
      </c>
      <c r="AK4736" s="182" t="n">
        <v>0</v>
      </c>
      <c r="AL4736" s="182" t="n">
        <v>0</v>
      </c>
      <c r="AM4736" s="182" t="n">
        <v>0</v>
      </c>
      <c r="AN4736" s="182" t="n">
        <v>0</v>
      </c>
    </row>
    <row r="4737">
      <c r="A4737" s="155" t="n">
        <v>46103</v>
      </c>
      <c r="B4737" s="156" t="inlineStr">
        <is>
          <t>NS</t>
        </is>
      </c>
      <c r="C4737" s="156" t="inlineStr">
        <is>
          <t>DZ-031</t>
        </is>
      </c>
      <c r="D4737" s="156" t="inlineStr">
        <is>
          <t>CAT</t>
        </is>
      </c>
      <c r="E4737" s="156" t="inlineStr">
        <is>
          <t>Bulldozer</t>
        </is>
      </c>
      <c r="F4737" s="156" t="inlineStr">
        <is>
          <t>Support Front Loading</t>
        </is>
      </c>
      <c r="G4737" s="182" t="n">
        <v>8.949999999999999</v>
      </c>
      <c r="H4737" s="182" t="n">
        <v>0</v>
      </c>
      <c r="I4737" s="182" t="n">
        <v>1.92</v>
      </c>
      <c r="J4737" s="182" t="n">
        <v>1.92</v>
      </c>
      <c r="K4737" s="182" t="n">
        <v>1.13</v>
      </c>
      <c r="L4737" s="182" t="n">
        <v>12</v>
      </c>
      <c r="M4737" s="182" t="n">
        <v>0</v>
      </c>
      <c r="N4737" s="182" t="n">
        <v>0</v>
      </c>
      <c r="O4737" s="183" t="n">
        <v>0</v>
      </c>
      <c r="P4737" s="183" t="n">
        <v>0</v>
      </c>
      <c r="Q4737" s="184" t="n">
        <v>0</v>
      </c>
      <c r="R4737" s="184" t="n">
        <v>0</v>
      </c>
      <c r="S4737" s="183" t="n">
        <v>0</v>
      </c>
      <c r="T4737" s="183" t="n">
        <v>0</v>
      </c>
      <c r="U4737" s="182" t="n">
        <v>0</v>
      </c>
      <c r="V4737" s="182" t="n">
        <v>0</v>
      </c>
      <c r="W4737" s="182" t="n">
        <v>0</v>
      </c>
      <c r="X4737" s="182" t="n">
        <v>1.05</v>
      </c>
      <c r="Y4737" s="182" t="n">
        <v>0</v>
      </c>
      <c r="Z4737" s="182" t="n">
        <v>0</v>
      </c>
      <c r="AA4737" s="182" t="n">
        <v>0</v>
      </c>
      <c r="AB4737" s="182" t="n">
        <v>0</v>
      </c>
      <c r="AC4737" s="182" t="n">
        <v>0</v>
      </c>
      <c r="AD4737" s="182" t="n">
        <v>0</v>
      </c>
      <c r="AE4737" s="182" t="n">
        <v>0</v>
      </c>
      <c r="AF4737" s="182" t="n">
        <v>0</v>
      </c>
      <c r="AG4737" s="182" t="n">
        <v>0</v>
      </c>
      <c r="AH4737" s="182" t="n">
        <v>0</v>
      </c>
      <c r="AI4737" s="182" t="n">
        <v>0</v>
      </c>
      <c r="AJ4737" s="182" t="n">
        <v>0</v>
      </c>
      <c r="AK4737" s="182" t="n">
        <v>0</v>
      </c>
      <c r="AL4737" s="182" t="n">
        <v>0</v>
      </c>
      <c r="AM4737" s="182" t="n">
        <v>0.08</v>
      </c>
      <c r="AN4737" s="182" t="n">
        <v>0</v>
      </c>
    </row>
    <row r="4738">
      <c r="A4738" s="155" t="n">
        <v>46103</v>
      </c>
      <c r="B4738" s="156" t="inlineStr">
        <is>
          <t>NS</t>
        </is>
      </c>
      <c r="C4738" s="156" t="inlineStr">
        <is>
          <t>DZ-037</t>
        </is>
      </c>
      <c r="D4738" s="156" t="inlineStr">
        <is>
          <t>D 85 ESS-2</t>
        </is>
      </c>
      <c r="E4738" s="156" t="inlineStr">
        <is>
          <t>Bulldozer</t>
        </is>
      </c>
      <c r="F4738" s="156" t="inlineStr"/>
      <c r="G4738" s="182" t="n">
        <v>0</v>
      </c>
      <c r="H4738" s="182" t="n">
        <v>0</v>
      </c>
      <c r="I4738" s="182" t="n">
        <v>12</v>
      </c>
      <c r="J4738" s="182" t="n">
        <v>12</v>
      </c>
      <c r="K4738" s="182" t="n">
        <v>0</v>
      </c>
      <c r="L4738" s="182" t="n">
        <v>12</v>
      </c>
      <c r="M4738" s="182" t="n">
        <v>0</v>
      </c>
      <c r="N4738" s="182" t="n">
        <v>0</v>
      </c>
      <c r="O4738" s="183" t="n">
        <v>0</v>
      </c>
      <c r="P4738" s="183" t="n">
        <v>0</v>
      </c>
      <c r="Q4738" s="184" t="n">
        <v>0</v>
      </c>
      <c r="R4738" s="184" t="n">
        <v>0</v>
      </c>
      <c r="S4738" s="183" t="n">
        <v>0</v>
      </c>
      <c r="T4738" s="183" t="n">
        <v>0</v>
      </c>
      <c r="U4738" s="182" t="n">
        <v>0</v>
      </c>
      <c r="V4738" s="182" t="n">
        <v>0</v>
      </c>
      <c r="W4738" s="182" t="n">
        <v>0</v>
      </c>
      <c r="X4738" s="182" t="n">
        <v>0</v>
      </c>
      <c r="Y4738" s="182" t="n">
        <v>0</v>
      </c>
      <c r="Z4738" s="182" t="n">
        <v>0</v>
      </c>
      <c r="AA4738" s="182" t="n">
        <v>0</v>
      </c>
      <c r="AB4738" s="182" t="n">
        <v>0</v>
      </c>
      <c r="AC4738" s="182" t="n">
        <v>0</v>
      </c>
      <c r="AD4738" s="182" t="n">
        <v>0</v>
      </c>
      <c r="AE4738" s="182" t="n">
        <v>0</v>
      </c>
      <c r="AF4738" s="182" t="n">
        <v>0</v>
      </c>
      <c r="AG4738" s="182" t="n">
        <v>0</v>
      </c>
      <c r="AH4738" s="182" t="n">
        <v>0</v>
      </c>
      <c r="AI4738" s="182" t="n">
        <v>0</v>
      </c>
      <c r="AJ4738" s="182" t="n">
        <v>0</v>
      </c>
      <c r="AK4738" s="182" t="n">
        <v>0</v>
      </c>
      <c r="AL4738" s="182" t="n">
        <v>0</v>
      </c>
      <c r="AM4738" s="182" t="n">
        <v>0</v>
      </c>
      <c r="AN4738" s="182" t="n">
        <v>0</v>
      </c>
    </row>
    <row r="4739">
      <c r="A4739" s="155" t="n">
        <v>46103</v>
      </c>
      <c r="B4739" s="156" t="inlineStr">
        <is>
          <t>NS</t>
        </is>
      </c>
      <c r="C4739" s="156" t="inlineStr">
        <is>
          <t>DZ-036</t>
        </is>
      </c>
      <c r="D4739" s="156" t="inlineStr">
        <is>
          <t>D 85 ESS-2</t>
        </is>
      </c>
      <c r="E4739" s="156" t="inlineStr">
        <is>
          <t>Bulldozer</t>
        </is>
      </c>
      <c r="F4739" s="156" t="inlineStr"/>
      <c r="G4739" s="182" t="n">
        <v>0</v>
      </c>
      <c r="H4739" s="182" t="n">
        <v>0</v>
      </c>
      <c r="I4739" s="182" t="n">
        <v>0</v>
      </c>
      <c r="J4739" s="182" t="n">
        <v>0</v>
      </c>
      <c r="K4739" s="182" t="n">
        <v>12</v>
      </c>
      <c r="L4739" s="182" t="n">
        <v>12</v>
      </c>
      <c r="M4739" s="182" t="n">
        <v>0</v>
      </c>
      <c r="N4739" s="182" t="n">
        <v>0</v>
      </c>
      <c r="O4739" s="183" t="n">
        <v>0</v>
      </c>
      <c r="P4739" s="183" t="n">
        <v>0</v>
      </c>
      <c r="Q4739" s="184" t="n">
        <v>0</v>
      </c>
      <c r="R4739" s="184" t="n">
        <v>0</v>
      </c>
      <c r="S4739" s="183" t="n">
        <v>0</v>
      </c>
      <c r="T4739" s="183" t="n">
        <v>0</v>
      </c>
      <c r="U4739" s="182" t="n">
        <v>0</v>
      </c>
      <c r="V4739" s="182" t="n">
        <v>0</v>
      </c>
      <c r="W4739" s="182" t="n">
        <v>0</v>
      </c>
      <c r="X4739" s="182" t="n">
        <v>1</v>
      </c>
      <c r="Y4739" s="182" t="n">
        <v>0</v>
      </c>
      <c r="Z4739" s="182" t="n">
        <v>0</v>
      </c>
      <c r="AA4739" s="182" t="n">
        <v>0</v>
      </c>
      <c r="AB4739" s="182" t="n">
        <v>0</v>
      </c>
      <c r="AC4739" s="182" t="n">
        <v>0</v>
      </c>
      <c r="AD4739" s="182" t="n">
        <v>0</v>
      </c>
      <c r="AE4739" s="182" t="n">
        <v>0</v>
      </c>
      <c r="AF4739" s="182" t="n">
        <v>0</v>
      </c>
      <c r="AG4739" s="182" t="n">
        <v>0</v>
      </c>
      <c r="AH4739" s="182" t="n">
        <v>0</v>
      </c>
      <c r="AI4739" s="182" t="n">
        <v>0</v>
      </c>
      <c r="AJ4739" s="182" t="n">
        <v>0</v>
      </c>
      <c r="AK4739" s="182" t="n">
        <v>10.92</v>
      </c>
      <c r="AL4739" s="182" t="n">
        <v>0</v>
      </c>
      <c r="AM4739" s="182" t="n">
        <v>0.08</v>
      </c>
      <c r="AN4739" s="182" t="n">
        <v>0</v>
      </c>
    </row>
    <row r="4740">
      <c r="A4740" s="155" t="n">
        <v>46103</v>
      </c>
      <c r="B4740" s="156" t="inlineStr">
        <is>
          <t>NS</t>
        </is>
      </c>
      <c r="C4740" s="156" t="inlineStr">
        <is>
          <t>DZ-035</t>
        </is>
      </c>
      <c r="D4740" s="156" t="inlineStr">
        <is>
          <t>D 85 ESS-2</t>
        </is>
      </c>
      <c r="E4740" s="156" t="inlineStr">
        <is>
          <t>Bulldozer</t>
        </is>
      </c>
      <c r="F4740" s="156" t="inlineStr">
        <is>
          <t>Support Front Loading</t>
        </is>
      </c>
      <c r="G4740" s="182" t="n">
        <v>1.3</v>
      </c>
      <c r="H4740" s="182" t="n">
        <v>0</v>
      </c>
      <c r="I4740" s="182" t="n">
        <v>10.7</v>
      </c>
      <c r="J4740" s="182" t="n">
        <v>10.7</v>
      </c>
      <c r="K4740" s="182" t="n">
        <v>0</v>
      </c>
      <c r="L4740" s="182" t="n">
        <v>12</v>
      </c>
      <c r="M4740" s="182" t="n">
        <v>0</v>
      </c>
      <c r="N4740" s="182" t="n">
        <v>0</v>
      </c>
      <c r="O4740" s="183" t="n">
        <v>0</v>
      </c>
      <c r="P4740" s="183" t="n">
        <v>0</v>
      </c>
      <c r="Q4740" s="184" t="n">
        <v>0</v>
      </c>
      <c r="R4740" s="184" t="n">
        <v>0</v>
      </c>
      <c r="S4740" s="183" t="n">
        <v>0</v>
      </c>
      <c r="T4740" s="183" t="n">
        <v>0</v>
      </c>
      <c r="U4740" s="182" t="n">
        <v>0</v>
      </c>
      <c r="V4740" s="182" t="n">
        <v>0</v>
      </c>
      <c r="W4740" s="182" t="n">
        <v>0</v>
      </c>
      <c r="X4740" s="182" t="n">
        <v>0</v>
      </c>
      <c r="Y4740" s="182" t="n">
        <v>0</v>
      </c>
      <c r="Z4740" s="182" t="n">
        <v>0</v>
      </c>
      <c r="AA4740" s="182" t="n">
        <v>0</v>
      </c>
      <c r="AB4740" s="182" t="n">
        <v>0</v>
      </c>
      <c r="AC4740" s="182" t="n">
        <v>0</v>
      </c>
      <c r="AD4740" s="182" t="n">
        <v>0</v>
      </c>
      <c r="AE4740" s="182" t="n">
        <v>0</v>
      </c>
      <c r="AF4740" s="182" t="n">
        <v>0</v>
      </c>
      <c r="AG4740" s="182" t="n">
        <v>0</v>
      </c>
      <c r="AH4740" s="182" t="n">
        <v>0</v>
      </c>
      <c r="AI4740" s="182" t="n">
        <v>0</v>
      </c>
      <c r="AJ4740" s="182" t="n">
        <v>0</v>
      </c>
      <c r="AK4740" s="182" t="n">
        <v>0</v>
      </c>
      <c r="AL4740" s="182" t="n">
        <v>0</v>
      </c>
      <c r="AM4740" s="182" t="n">
        <v>0</v>
      </c>
      <c r="AN4740" s="182" t="n">
        <v>0</v>
      </c>
    </row>
    <row r="4741">
      <c r="A4741" s="155" t="n">
        <v>46103</v>
      </c>
      <c r="B4741" s="156" t="inlineStr">
        <is>
          <t>NS</t>
        </is>
      </c>
      <c r="C4741" s="156" t="inlineStr">
        <is>
          <t>CP-042</t>
        </is>
      </c>
      <c r="D4741" s="156" t="inlineStr">
        <is>
          <t>SANY - Compactor</t>
        </is>
      </c>
      <c r="E4741" s="156" t="inlineStr">
        <is>
          <t>Compactor</t>
        </is>
      </c>
      <c r="F4741" s="156" t="inlineStr"/>
      <c r="G4741" s="182" t="n">
        <v>0</v>
      </c>
      <c r="H4741" s="182" t="n">
        <v>0</v>
      </c>
      <c r="I4741" s="182" t="n">
        <v>0</v>
      </c>
      <c r="J4741" s="182" t="n">
        <v>0</v>
      </c>
      <c r="K4741" s="182" t="n">
        <v>12</v>
      </c>
      <c r="L4741" s="182" t="n">
        <v>12</v>
      </c>
      <c r="M4741" s="182" t="n">
        <v>0</v>
      </c>
      <c r="N4741" s="182" t="n">
        <v>0</v>
      </c>
      <c r="O4741" s="183" t="n">
        <v>0</v>
      </c>
      <c r="P4741" s="183" t="n">
        <v>0</v>
      </c>
      <c r="Q4741" s="184" t="n">
        <v>0</v>
      </c>
      <c r="R4741" s="184" t="n">
        <v>0</v>
      </c>
      <c r="S4741" s="183" t="n">
        <v>0</v>
      </c>
      <c r="T4741" s="183" t="n">
        <v>0</v>
      </c>
      <c r="U4741" s="182" t="n">
        <v>0</v>
      </c>
      <c r="V4741" s="182" t="n">
        <v>0</v>
      </c>
      <c r="W4741" s="182" t="n">
        <v>0</v>
      </c>
      <c r="X4741" s="182" t="n">
        <v>1</v>
      </c>
      <c r="Y4741" s="182" t="n">
        <v>0</v>
      </c>
      <c r="Z4741" s="182" t="n">
        <v>0</v>
      </c>
      <c r="AA4741" s="182" t="n">
        <v>0</v>
      </c>
      <c r="AB4741" s="182" t="n">
        <v>0</v>
      </c>
      <c r="AC4741" s="182" t="n">
        <v>0</v>
      </c>
      <c r="AD4741" s="182" t="n">
        <v>0</v>
      </c>
      <c r="AE4741" s="182" t="n">
        <v>0</v>
      </c>
      <c r="AF4741" s="182" t="n">
        <v>0</v>
      </c>
      <c r="AG4741" s="182" t="n">
        <v>0</v>
      </c>
      <c r="AH4741" s="182" t="n">
        <v>0</v>
      </c>
      <c r="AI4741" s="182" t="n">
        <v>0</v>
      </c>
      <c r="AJ4741" s="182" t="n">
        <v>0</v>
      </c>
      <c r="AK4741" s="182" t="n">
        <v>10.92</v>
      </c>
      <c r="AL4741" s="182" t="n">
        <v>0</v>
      </c>
      <c r="AM4741" s="182" t="n">
        <v>0.08</v>
      </c>
      <c r="AN4741" s="182" t="n">
        <v>0</v>
      </c>
    </row>
    <row r="4742">
      <c r="A4742" s="155" t="n">
        <v>46103</v>
      </c>
      <c r="B4742" s="156" t="inlineStr">
        <is>
          <t>NS</t>
        </is>
      </c>
      <c r="C4742" s="156" t="inlineStr">
        <is>
          <t>CP-041</t>
        </is>
      </c>
      <c r="D4742" s="156" t="inlineStr">
        <is>
          <t>SANY - Compactor</t>
        </is>
      </c>
      <c r="E4742" s="156" t="inlineStr">
        <is>
          <t>Compactor</t>
        </is>
      </c>
      <c r="F4742" s="156" t="inlineStr"/>
      <c r="G4742" s="182" t="n">
        <v>0</v>
      </c>
      <c r="H4742" s="182" t="n">
        <v>0</v>
      </c>
      <c r="I4742" s="182" t="n">
        <v>0</v>
      </c>
      <c r="J4742" s="182" t="n">
        <v>0</v>
      </c>
      <c r="K4742" s="182" t="n">
        <v>12</v>
      </c>
      <c r="L4742" s="182" t="n">
        <v>12</v>
      </c>
      <c r="M4742" s="182" t="n">
        <v>0</v>
      </c>
      <c r="N4742" s="182" t="n">
        <v>0</v>
      </c>
      <c r="O4742" s="183" t="n">
        <v>0</v>
      </c>
      <c r="P4742" s="183" t="n">
        <v>0</v>
      </c>
      <c r="Q4742" s="184" t="n">
        <v>0</v>
      </c>
      <c r="R4742" s="184" t="n">
        <v>0</v>
      </c>
      <c r="S4742" s="183" t="n">
        <v>0</v>
      </c>
      <c r="T4742" s="183" t="n">
        <v>0</v>
      </c>
      <c r="U4742" s="182" t="n">
        <v>0</v>
      </c>
      <c r="V4742" s="182" t="n">
        <v>0</v>
      </c>
      <c r="W4742" s="182" t="n">
        <v>0</v>
      </c>
      <c r="X4742" s="182" t="n">
        <v>1</v>
      </c>
      <c r="Y4742" s="182" t="n">
        <v>0</v>
      </c>
      <c r="Z4742" s="182" t="n">
        <v>0</v>
      </c>
      <c r="AA4742" s="182" t="n">
        <v>0</v>
      </c>
      <c r="AB4742" s="182" t="n">
        <v>0</v>
      </c>
      <c r="AC4742" s="182" t="n">
        <v>0</v>
      </c>
      <c r="AD4742" s="182" t="n">
        <v>0</v>
      </c>
      <c r="AE4742" s="182" t="n">
        <v>10.92</v>
      </c>
      <c r="AF4742" s="182" t="n">
        <v>0</v>
      </c>
      <c r="AG4742" s="182" t="n">
        <v>0</v>
      </c>
      <c r="AH4742" s="182" t="n">
        <v>0</v>
      </c>
      <c r="AI4742" s="182" t="n">
        <v>0</v>
      </c>
      <c r="AJ4742" s="182" t="n">
        <v>0</v>
      </c>
      <c r="AK4742" s="182" t="n">
        <v>0</v>
      </c>
      <c r="AL4742" s="182" t="n">
        <v>0</v>
      </c>
      <c r="AM4742" s="182" t="n">
        <v>0.08</v>
      </c>
      <c r="AN4742" s="182" t="n">
        <v>0</v>
      </c>
    </row>
    <row r="4743">
      <c r="A4743" s="155" t="n">
        <v>46103</v>
      </c>
      <c r="B4743" s="156" t="inlineStr">
        <is>
          <t>NS</t>
        </is>
      </c>
      <c r="C4743" s="156" t="inlineStr">
        <is>
          <t>HT-418</t>
        </is>
      </c>
      <c r="D4743" s="156" t="inlineStr">
        <is>
          <t>SY430</t>
        </is>
      </c>
      <c r="E4743" s="156" t="inlineStr">
        <is>
          <t>DT Hauling</t>
        </is>
      </c>
      <c r="F4743" s="156" t="inlineStr"/>
      <c r="G4743" s="182" t="n">
        <v>0</v>
      </c>
      <c r="H4743" s="182" t="n">
        <v>0</v>
      </c>
      <c r="I4743" s="182" t="n">
        <v>0</v>
      </c>
      <c r="J4743" s="182" t="n">
        <v>0</v>
      </c>
      <c r="K4743" s="182" t="n">
        <v>12</v>
      </c>
      <c r="L4743" s="182" t="n">
        <v>12</v>
      </c>
      <c r="M4743" s="182" t="n">
        <v>0</v>
      </c>
      <c r="N4743" s="182" t="n">
        <v>0</v>
      </c>
      <c r="O4743" s="183" t="n">
        <v>0</v>
      </c>
      <c r="P4743" s="183" t="n">
        <v>0</v>
      </c>
      <c r="Q4743" s="184" t="n">
        <v>0</v>
      </c>
      <c r="R4743" s="184" t="n">
        <v>0</v>
      </c>
      <c r="S4743" s="183" t="n">
        <v>0</v>
      </c>
      <c r="T4743" s="183" t="n">
        <v>0</v>
      </c>
      <c r="U4743" s="182" t="n">
        <v>0</v>
      </c>
      <c r="V4743" s="182" t="n">
        <v>0</v>
      </c>
      <c r="W4743" s="182" t="n">
        <v>0</v>
      </c>
      <c r="X4743" s="182" t="n">
        <v>1</v>
      </c>
      <c r="Y4743" s="182" t="n">
        <v>0</v>
      </c>
      <c r="Z4743" s="182" t="n">
        <v>0</v>
      </c>
      <c r="AA4743" s="182" t="n">
        <v>0</v>
      </c>
      <c r="AB4743" s="182" t="n">
        <v>0</v>
      </c>
      <c r="AC4743" s="182" t="n">
        <v>0</v>
      </c>
      <c r="AD4743" s="182" t="n">
        <v>0</v>
      </c>
      <c r="AE4743" s="182" t="n">
        <v>0</v>
      </c>
      <c r="AF4743" s="182" t="n">
        <v>0</v>
      </c>
      <c r="AG4743" s="182" t="n">
        <v>0</v>
      </c>
      <c r="AH4743" s="182" t="n">
        <v>0</v>
      </c>
      <c r="AI4743" s="182" t="n">
        <v>0</v>
      </c>
      <c r="AJ4743" s="182" t="n">
        <v>0</v>
      </c>
      <c r="AK4743" s="182" t="n">
        <v>10.92</v>
      </c>
      <c r="AL4743" s="182" t="n">
        <v>0</v>
      </c>
      <c r="AM4743" s="182" t="n">
        <v>0.08</v>
      </c>
      <c r="AN4743" s="182" t="n">
        <v>0</v>
      </c>
    </row>
    <row r="4744">
      <c r="A4744" s="155" t="n">
        <v>46103</v>
      </c>
      <c r="B4744" s="156" t="inlineStr">
        <is>
          <t>NS</t>
        </is>
      </c>
      <c r="C4744" s="156" t="inlineStr">
        <is>
          <t>HT-404</t>
        </is>
      </c>
      <c r="D4744" s="156" t="inlineStr">
        <is>
          <t>SY430</t>
        </is>
      </c>
      <c r="E4744" s="156" t="inlineStr">
        <is>
          <t>DT Hauling</t>
        </is>
      </c>
      <c r="F4744" s="156" t="inlineStr"/>
      <c r="G4744" s="182" t="n">
        <v>0</v>
      </c>
      <c r="H4744" s="182" t="n">
        <v>0</v>
      </c>
      <c r="I4744" s="182" t="n">
        <v>12</v>
      </c>
      <c r="J4744" s="182" t="n">
        <v>12</v>
      </c>
      <c r="K4744" s="182" t="n">
        <v>0</v>
      </c>
      <c r="L4744" s="182" t="n">
        <v>12</v>
      </c>
      <c r="M4744" s="182" t="n">
        <v>0</v>
      </c>
      <c r="N4744" s="182" t="n">
        <v>0</v>
      </c>
      <c r="O4744" s="183" t="n">
        <v>0</v>
      </c>
      <c r="P4744" s="183" t="n">
        <v>0</v>
      </c>
      <c r="Q4744" s="184" t="n">
        <v>0</v>
      </c>
      <c r="R4744" s="184" t="n">
        <v>0</v>
      </c>
      <c r="S4744" s="183" t="n">
        <v>0</v>
      </c>
      <c r="T4744" s="183" t="n">
        <v>0</v>
      </c>
      <c r="U4744" s="182" t="n">
        <v>0</v>
      </c>
      <c r="V4744" s="182" t="n">
        <v>0</v>
      </c>
      <c r="W4744" s="182" t="n">
        <v>0</v>
      </c>
      <c r="X4744" s="182" t="n">
        <v>0</v>
      </c>
      <c r="Y4744" s="182" t="n">
        <v>0</v>
      </c>
      <c r="Z4744" s="182" t="n">
        <v>0</v>
      </c>
      <c r="AA4744" s="182" t="n">
        <v>0</v>
      </c>
      <c r="AB4744" s="182" t="n">
        <v>0</v>
      </c>
      <c r="AC4744" s="182" t="n">
        <v>0</v>
      </c>
      <c r="AD4744" s="182" t="n">
        <v>0</v>
      </c>
      <c r="AE4744" s="182" t="n">
        <v>0</v>
      </c>
      <c r="AF4744" s="182" t="n">
        <v>0</v>
      </c>
      <c r="AG4744" s="182" t="n">
        <v>0</v>
      </c>
      <c r="AH4744" s="182" t="n">
        <v>0</v>
      </c>
      <c r="AI4744" s="182" t="n">
        <v>0</v>
      </c>
      <c r="AJ4744" s="182" t="n">
        <v>0</v>
      </c>
      <c r="AK4744" s="182" t="n">
        <v>0</v>
      </c>
      <c r="AL4744" s="182" t="n">
        <v>0</v>
      </c>
      <c r="AM4744" s="182" t="n">
        <v>0</v>
      </c>
      <c r="AN4744" s="182" t="n">
        <v>0</v>
      </c>
    </row>
    <row r="4745">
      <c r="A4745" s="155" t="n">
        <v>46103</v>
      </c>
      <c r="B4745" s="156" t="inlineStr">
        <is>
          <t>NS</t>
        </is>
      </c>
      <c r="C4745" s="156" t="inlineStr">
        <is>
          <t>HT-415</t>
        </is>
      </c>
      <c r="D4745" s="156" t="inlineStr">
        <is>
          <t>SY430</t>
        </is>
      </c>
      <c r="E4745" s="156" t="inlineStr">
        <is>
          <t>DT Hauling</t>
        </is>
      </c>
      <c r="F4745" s="156" t="inlineStr"/>
      <c r="G4745" s="182" t="n">
        <v>0</v>
      </c>
      <c r="H4745" s="182" t="n">
        <v>0</v>
      </c>
      <c r="I4745" s="182" t="n">
        <v>12</v>
      </c>
      <c r="J4745" s="182" t="n">
        <v>12</v>
      </c>
      <c r="K4745" s="182" t="n">
        <v>0</v>
      </c>
      <c r="L4745" s="182" t="n">
        <v>12</v>
      </c>
      <c r="M4745" s="182" t="n">
        <v>0</v>
      </c>
      <c r="N4745" s="182" t="n">
        <v>0</v>
      </c>
      <c r="O4745" s="183" t="n">
        <v>0</v>
      </c>
      <c r="P4745" s="183" t="n">
        <v>0</v>
      </c>
      <c r="Q4745" s="184" t="n">
        <v>0</v>
      </c>
      <c r="R4745" s="184" t="n">
        <v>0</v>
      </c>
      <c r="S4745" s="183" t="n">
        <v>0</v>
      </c>
      <c r="T4745" s="183" t="n">
        <v>0</v>
      </c>
      <c r="U4745" s="182" t="n">
        <v>0</v>
      </c>
      <c r="V4745" s="182" t="n">
        <v>0</v>
      </c>
      <c r="W4745" s="182" t="n">
        <v>0</v>
      </c>
      <c r="X4745" s="182" t="n">
        <v>0</v>
      </c>
      <c r="Y4745" s="182" t="n">
        <v>0</v>
      </c>
      <c r="Z4745" s="182" t="n">
        <v>0</v>
      </c>
      <c r="AA4745" s="182" t="n">
        <v>0</v>
      </c>
      <c r="AB4745" s="182" t="n">
        <v>0</v>
      </c>
      <c r="AC4745" s="182" t="n">
        <v>0</v>
      </c>
      <c r="AD4745" s="182" t="n">
        <v>0</v>
      </c>
      <c r="AE4745" s="182" t="n">
        <v>0</v>
      </c>
      <c r="AF4745" s="182" t="n">
        <v>0</v>
      </c>
      <c r="AG4745" s="182" t="n">
        <v>0</v>
      </c>
      <c r="AH4745" s="182" t="n">
        <v>0</v>
      </c>
      <c r="AI4745" s="182" t="n">
        <v>0</v>
      </c>
      <c r="AJ4745" s="182" t="n">
        <v>0</v>
      </c>
      <c r="AK4745" s="182" t="n">
        <v>0</v>
      </c>
      <c r="AL4745" s="182" t="n">
        <v>0</v>
      </c>
      <c r="AM4745" s="182" t="n">
        <v>0</v>
      </c>
      <c r="AN4745" s="182" t="n">
        <v>0</v>
      </c>
    </row>
    <row r="4746">
      <c r="A4746" s="155" t="n">
        <v>46103</v>
      </c>
      <c r="B4746" s="156" t="inlineStr">
        <is>
          <t>NS</t>
        </is>
      </c>
      <c r="C4746" s="156" t="inlineStr">
        <is>
          <t>HT-406</t>
        </is>
      </c>
      <c r="D4746" s="156" t="inlineStr">
        <is>
          <t>SY430</t>
        </is>
      </c>
      <c r="E4746" s="156" t="inlineStr">
        <is>
          <t>DT Hauling</t>
        </is>
      </c>
      <c r="F4746" s="156" t="inlineStr"/>
      <c r="G4746" s="182" t="n">
        <v>0</v>
      </c>
      <c r="H4746" s="182" t="n">
        <v>0</v>
      </c>
      <c r="I4746" s="182" t="n">
        <v>12</v>
      </c>
      <c r="J4746" s="182" t="n">
        <v>12</v>
      </c>
      <c r="K4746" s="182" t="n">
        <v>0</v>
      </c>
      <c r="L4746" s="182" t="n">
        <v>12</v>
      </c>
      <c r="M4746" s="182" t="n">
        <v>0</v>
      </c>
      <c r="N4746" s="182" t="n">
        <v>0</v>
      </c>
      <c r="O4746" s="183" t="n">
        <v>0</v>
      </c>
      <c r="P4746" s="183" t="n">
        <v>0</v>
      </c>
      <c r="Q4746" s="184" t="n">
        <v>0</v>
      </c>
      <c r="R4746" s="184" t="n">
        <v>0</v>
      </c>
      <c r="S4746" s="183" t="n">
        <v>0</v>
      </c>
      <c r="T4746" s="183" t="n">
        <v>0</v>
      </c>
      <c r="U4746" s="182" t="n">
        <v>0</v>
      </c>
      <c r="V4746" s="182" t="n">
        <v>0</v>
      </c>
      <c r="W4746" s="182" t="n">
        <v>0</v>
      </c>
      <c r="X4746" s="182" t="n">
        <v>0</v>
      </c>
      <c r="Y4746" s="182" t="n">
        <v>0</v>
      </c>
      <c r="Z4746" s="182" t="n">
        <v>0</v>
      </c>
      <c r="AA4746" s="182" t="n">
        <v>0</v>
      </c>
      <c r="AB4746" s="182" t="n">
        <v>0</v>
      </c>
      <c r="AC4746" s="182" t="n">
        <v>0</v>
      </c>
      <c r="AD4746" s="182" t="n">
        <v>0</v>
      </c>
      <c r="AE4746" s="182" t="n">
        <v>0</v>
      </c>
      <c r="AF4746" s="182" t="n">
        <v>0</v>
      </c>
      <c r="AG4746" s="182" t="n">
        <v>0</v>
      </c>
      <c r="AH4746" s="182" t="n">
        <v>0</v>
      </c>
      <c r="AI4746" s="182" t="n">
        <v>0</v>
      </c>
      <c r="AJ4746" s="182" t="n">
        <v>0</v>
      </c>
      <c r="AK4746" s="182" t="n">
        <v>0</v>
      </c>
      <c r="AL4746" s="182" t="n">
        <v>0</v>
      </c>
      <c r="AM4746" s="182" t="n">
        <v>0</v>
      </c>
      <c r="AN4746" s="182" t="n">
        <v>0</v>
      </c>
    </row>
    <row r="4747">
      <c r="A4747" s="155" t="n">
        <v>46103</v>
      </c>
      <c r="B4747" s="156" t="inlineStr">
        <is>
          <t>NS</t>
        </is>
      </c>
      <c r="C4747" s="156" t="inlineStr">
        <is>
          <t>HT-405</t>
        </is>
      </c>
      <c r="D4747" s="156" t="inlineStr">
        <is>
          <t>SY430</t>
        </is>
      </c>
      <c r="E4747" s="156" t="inlineStr">
        <is>
          <t>DT Hauling</t>
        </is>
      </c>
      <c r="F4747" s="156" t="inlineStr"/>
      <c r="G4747" s="182" t="n">
        <v>0</v>
      </c>
      <c r="H4747" s="182" t="n">
        <v>0</v>
      </c>
      <c r="I4747" s="182" t="n">
        <v>0</v>
      </c>
      <c r="J4747" s="182" t="n">
        <v>0</v>
      </c>
      <c r="K4747" s="182" t="n">
        <v>12</v>
      </c>
      <c r="L4747" s="182" t="n">
        <v>12</v>
      </c>
      <c r="M4747" s="182" t="n">
        <v>0</v>
      </c>
      <c r="N4747" s="182" t="n">
        <v>0</v>
      </c>
      <c r="O4747" s="183" t="n">
        <v>0</v>
      </c>
      <c r="P4747" s="183" t="n">
        <v>0</v>
      </c>
      <c r="Q4747" s="184" t="n">
        <v>0</v>
      </c>
      <c r="R4747" s="184" t="n">
        <v>0</v>
      </c>
      <c r="S4747" s="183" t="n">
        <v>0</v>
      </c>
      <c r="T4747" s="183" t="n">
        <v>0</v>
      </c>
      <c r="U4747" s="182" t="n">
        <v>0</v>
      </c>
      <c r="V4747" s="182" t="n">
        <v>0</v>
      </c>
      <c r="W4747" s="182" t="n">
        <v>0</v>
      </c>
      <c r="X4747" s="182" t="n">
        <v>1</v>
      </c>
      <c r="Y4747" s="182" t="n">
        <v>0</v>
      </c>
      <c r="Z4747" s="182" t="n">
        <v>0</v>
      </c>
      <c r="AA4747" s="182" t="n">
        <v>0</v>
      </c>
      <c r="AB4747" s="182" t="n">
        <v>0</v>
      </c>
      <c r="AC4747" s="182" t="n">
        <v>0</v>
      </c>
      <c r="AD4747" s="182" t="n">
        <v>0</v>
      </c>
      <c r="AE4747" s="182" t="n">
        <v>0</v>
      </c>
      <c r="AF4747" s="182" t="n">
        <v>0</v>
      </c>
      <c r="AG4747" s="182" t="n">
        <v>0</v>
      </c>
      <c r="AH4747" s="182" t="n">
        <v>0</v>
      </c>
      <c r="AI4747" s="182" t="n">
        <v>0</v>
      </c>
      <c r="AJ4747" s="182" t="n">
        <v>0</v>
      </c>
      <c r="AK4747" s="182" t="n">
        <v>10.92</v>
      </c>
      <c r="AL4747" s="182" t="n">
        <v>0</v>
      </c>
      <c r="AM4747" s="182" t="n">
        <v>0.08</v>
      </c>
      <c r="AN4747" s="182" t="n">
        <v>0</v>
      </c>
    </row>
    <row r="4748">
      <c r="A4748" s="155" t="n">
        <v>46103</v>
      </c>
      <c r="B4748" s="156" t="inlineStr">
        <is>
          <t>NS</t>
        </is>
      </c>
      <c r="C4748" s="156" t="inlineStr">
        <is>
          <t>HT-417</t>
        </is>
      </c>
      <c r="D4748" s="156" t="inlineStr">
        <is>
          <t>SY430</t>
        </is>
      </c>
      <c r="E4748" s="156" t="inlineStr">
        <is>
          <t>DT Hauling</t>
        </is>
      </c>
      <c r="F4748" s="156" t="inlineStr"/>
      <c r="G4748" s="182" t="n">
        <v>0</v>
      </c>
      <c r="H4748" s="182" t="n">
        <v>0</v>
      </c>
      <c r="I4748" s="182" t="n">
        <v>0</v>
      </c>
      <c r="J4748" s="182" t="n">
        <v>0</v>
      </c>
      <c r="K4748" s="182" t="n">
        <v>12</v>
      </c>
      <c r="L4748" s="182" t="n">
        <v>12</v>
      </c>
      <c r="M4748" s="182" t="n">
        <v>0</v>
      </c>
      <c r="N4748" s="182" t="n">
        <v>0</v>
      </c>
      <c r="O4748" s="183" t="n">
        <v>0</v>
      </c>
      <c r="P4748" s="183" t="n">
        <v>0</v>
      </c>
      <c r="Q4748" s="184" t="n">
        <v>0</v>
      </c>
      <c r="R4748" s="184" t="n">
        <v>0</v>
      </c>
      <c r="S4748" s="183" t="n">
        <v>0</v>
      </c>
      <c r="T4748" s="183" t="n">
        <v>0</v>
      </c>
      <c r="U4748" s="182" t="n">
        <v>0</v>
      </c>
      <c r="V4748" s="182" t="n">
        <v>0</v>
      </c>
      <c r="W4748" s="182" t="n">
        <v>0</v>
      </c>
      <c r="X4748" s="182" t="n">
        <v>1</v>
      </c>
      <c r="Y4748" s="182" t="n">
        <v>0</v>
      </c>
      <c r="Z4748" s="182" t="n">
        <v>0</v>
      </c>
      <c r="AA4748" s="182" t="n">
        <v>0</v>
      </c>
      <c r="AB4748" s="182" t="n">
        <v>0</v>
      </c>
      <c r="AC4748" s="182" t="n">
        <v>0</v>
      </c>
      <c r="AD4748" s="182" t="n">
        <v>0</v>
      </c>
      <c r="AE4748" s="182" t="n">
        <v>0</v>
      </c>
      <c r="AF4748" s="182" t="n">
        <v>0</v>
      </c>
      <c r="AG4748" s="182" t="n">
        <v>0</v>
      </c>
      <c r="AH4748" s="182" t="n">
        <v>0</v>
      </c>
      <c r="AI4748" s="182" t="n">
        <v>0</v>
      </c>
      <c r="AJ4748" s="182" t="n">
        <v>0</v>
      </c>
      <c r="AK4748" s="182" t="n">
        <v>10.92</v>
      </c>
      <c r="AL4748" s="182" t="n">
        <v>0</v>
      </c>
      <c r="AM4748" s="182" t="n">
        <v>0.08</v>
      </c>
      <c r="AN4748" s="182" t="n">
        <v>0</v>
      </c>
    </row>
    <row r="4749">
      <c r="A4749" s="155" t="n">
        <v>46103</v>
      </c>
      <c r="B4749" s="156" t="inlineStr">
        <is>
          <t>NS</t>
        </is>
      </c>
      <c r="C4749" s="156" t="inlineStr">
        <is>
          <t>HT-401</t>
        </is>
      </c>
      <c r="D4749" s="156" t="inlineStr">
        <is>
          <t>SY430</t>
        </is>
      </c>
      <c r="E4749" s="156" t="inlineStr">
        <is>
          <t>DT Hauling</t>
        </is>
      </c>
      <c r="F4749" s="156" t="inlineStr"/>
      <c r="G4749" s="182" t="n">
        <v>0</v>
      </c>
      <c r="H4749" s="182" t="n">
        <v>0</v>
      </c>
      <c r="I4749" s="182" t="n">
        <v>0</v>
      </c>
      <c r="J4749" s="182" t="n">
        <v>0</v>
      </c>
      <c r="K4749" s="182" t="n">
        <v>12</v>
      </c>
      <c r="L4749" s="182" t="n">
        <v>12</v>
      </c>
      <c r="M4749" s="182" t="n">
        <v>0</v>
      </c>
      <c r="N4749" s="182" t="n">
        <v>0</v>
      </c>
      <c r="O4749" s="183" t="n">
        <v>0</v>
      </c>
      <c r="P4749" s="183" t="n">
        <v>0</v>
      </c>
      <c r="Q4749" s="184" t="n">
        <v>0</v>
      </c>
      <c r="R4749" s="184" t="n">
        <v>0</v>
      </c>
      <c r="S4749" s="183" t="n">
        <v>0</v>
      </c>
      <c r="T4749" s="183" t="n">
        <v>0</v>
      </c>
      <c r="U4749" s="182" t="n">
        <v>0</v>
      </c>
      <c r="V4749" s="182" t="n">
        <v>0</v>
      </c>
      <c r="W4749" s="182" t="n">
        <v>0</v>
      </c>
      <c r="X4749" s="182" t="n">
        <v>1</v>
      </c>
      <c r="Y4749" s="182" t="n">
        <v>0</v>
      </c>
      <c r="Z4749" s="182" t="n">
        <v>0</v>
      </c>
      <c r="AA4749" s="182" t="n">
        <v>0</v>
      </c>
      <c r="AB4749" s="182" t="n">
        <v>0</v>
      </c>
      <c r="AC4749" s="182" t="n">
        <v>0</v>
      </c>
      <c r="AD4749" s="182" t="n">
        <v>0</v>
      </c>
      <c r="AE4749" s="182" t="n">
        <v>0</v>
      </c>
      <c r="AF4749" s="182" t="n">
        <v>0</v>
      </c>
      <c r="AG4749" s="182" t="n">
        <v>0</v>
      </c>
      <c r="AH4749" s="182" t="n">
        <v>0</v>
      </c>
      <c r="AI4749" s="182" t="n">
        <v>0</v>
      </c>
      <c r="AJ4749" s="182" t="n">
        <v>0</v>
      </c>
      <c r="AK4749" s="182" t="n">
        <v>10.92</v>
      </c>
      <c r="AL4749" s="182" t="n">
        <v>0</v>
      </c>
      <c r="AM4749" s="182" t="n">
        <v>0.08</v>
      </c>
      <c r="AN4749" s="182" t="n">
        <v>0</v>
      </c>
    </row>
    <row r="4750">
      <c r="A4750" s="155" t="n">
        <v>46103</v>
      </c>
      <c r="B4750" s="156" t="inlineStr">
        <is>
          <t>NS</t>
        </is>
      </c>
      <c r="C4750" s="156" t="inlineStr">
        <is>
          <t>HT-410</t>
        </is>
      </c>
      <c r="D4750" s="156" t="inlineStr">
        <is>
          <t>SY430</t>
        </is>
      </c>
      <c r="E4750" s="156" t="inlineStr">
        <is>
          <t>DT Hauling</t>
        </is>
      </c>
      <c r="F4750" s="156" t="inlineStr"/>
      <c r="G4750" s="182" t="n">
        <v>0</v>
      </c>
      <c r="H4750" s="182" t="n">
        <v>0</v>
      </c>
      <c r="I4750" s="182" t="n">
        <v>0</v>
      </c>
      <c r="J4750" s="182" t="n">
        <v>0</v>
      </c>
      <c r="K4750" s="182" t="n">
        <v>12</v>
      </c>
      <c r="L4750" s="182" t="n">
        <v>12</v>
      </c>
      <c r="M4750" s="182" t="n">
        <v>0</v>
      </c>
      <c r="N4750" s="182" t="n">
        <v>0</v>
      </c>
      <c r="O4750" s="183" t="n">
        <v>0</v>
      </c>
      <c r="P4750" s="183" t="n">
        <v>0</v>
      </c>
      <c r="Q4750" s="184" t="n">
        <v>0</v>
      </c>
      <c r="R4750" s="184" t="n">
        <v>0</v>
      </c>
      <c r="S4750" s="183" t="n">
        <v>0</v>
      </c>
      <c r="T4750" s="183" t="n">
        <v>0</v>
      </c>
      <c r="U4750" s="182" t="n">
        <v>0</v>
      </c>
      <c r="V4750" s="182" t="n">
        <v>0</v>
      </c>
      <c r="W4750" s="182" t="n">
        <v>0</v>
      </c>
      <c r="X4750" s="182" t="n">
        <v>1</v>
      </c>
      <c r="Y4750" s="182" t="n">
        <v>0</v>
      </c>
      <c r="Z4750" s="182" t="n">
        <v>0</v>
      </c>
      <c r="AA4750" s="182" t="n">
        <v>0</v>
      </c>
      <c r="AB4750" s="182" t="n">
        <v>0</v>
      </c>
      <c r="AC4750" s="182" t="n">
        <v>0</v>
      </c>
      <c r="AD4750" s="182" t="n">
        <v>0</v>
      </c>
      <c r="AE4750" s="182" t="n">
        <v>0</v>
      </c>
      <c r="AF4750" s="182" t="n">
        <v>0</v>
      </c>
      <c r="AG4750" s="182" t="n">
        <v>0</v>
      </c>
      <c r="AH4750" s="182" t="n">
        <v>0</v>
      </c>
      <c r="AI4750" s="182" t="n">
        <v>0</v>
      </c>
      <c r="AJ4750" s="182" t="n">
        <v>0</v>
      </c>
      <c r="AK4750" s="182" t="n">
        <v>10.92</v>
      </c>
      <c r="AL4750" s="182" t="n">
        <v>0</v>
      </c>
      <c r="AM4750" s="182" t="n">
        <v>0.08</v>
      </c>
      <c r="AN4750" s="182" t="n">
        <v>0</v>
      </c>
    </row>
    <row r="4751">
      <c r="A4751" s="155" t="n">
        <v>46103</v>
      </c>
      <c r="B4751" s="156" t="inlineStr">
        <is>
          <t>NS</t>
        </is>
      </c>
      <c r="C4751" s="156" t="inlineStr">
        <is>
          <t>HT-402</t>
        </is>
      </c>
      <c r="D4751" s="156" t="inlineStr">
        <is>
          <t>SY430</t>
        </is>
      </c>
      <c r="E4751" s="156" t="inlineStr">
        <is>
          <t>DT Hauling</t>
        </is>
      </c>
      <c r="F4751" s="156" t="inlineStr"/>
      <c r="G4751" s="182" t="n">
        <v>0</v>
      </c>
      <c r="H4751" s="182" t="n">
        <v>0</v>
      </c>
      <c r="I4751" s="182" t="n">
        <v>12</v>
      </c>
      <c r="J4751" s="182" t="n">
        <v>12</v>
      </c>
      <c r="K4751" s="182" t="n">
        <v>0</v>
      </c>
      <c r="L4751" s="182" t="n">
        <v>12</v>
      </c>
      <c r="M4751" s="182" t="n">
        <v>0</v>
      </c>
      <c r="N4751" s="182" t="n">
        <v>0</v>
      </c>
      <c r="O4751" s="183" t="n">
        <v>0</v>
      </c>
      <c r="P4751" s="183" t="n">
        <v>0</v>
      </c>
      <c r="Q4751" s="184" t="n">
        <v>0</v>
      </c>
      <c r="R4751" s="184" t="n">
        <v>0</v>
      </c>
      <c r="S4751" s="183" t="n">
        <v>0</v>
      </c>
      <c r="T4751" s="183" t="n">
        <v>0</v>
      </c>
      <c r="U4751" s="182" t="n">
        <v>0</v>
      </c>
      <c r="V4751" s="182" t="n">
        <v>0</v>
      </c>
      <c r="W4751" s="182" t="n">
        <v>0</v>
      </c>
      <c r="X4751" s="182" t="n">
        <v>0</v>
      </c>
      <c r="Y4751" s="182" t="n">
        <v>0</v>
      </c>
      <c r="Z4751" s="182" t="n">
        <v>0</v>
      </c>
      <c r="AA4751" s="182" t="n">
        <v>0</v>
      </c>
      <c r="AB4751" s="182" t="n">
        <v>0</v>
      </c>
      <c r="AC4751" s="182" t="n">
        <v>0</v>
      </c>
      <c r="AD4751" s="182" t="n">
        <v>0</v>
      </c>
      <c r="AE4751" s="182" t="n">
        <v>0</v>
      </c>
      <c r="AF4751" s="182" t="n">
        <v>0</v>
      </c>
      <c r="AG4751" s="182" t="n">
        <v>0</v>
      </c>
      <c r="AH4751" s="182" t="n">
        <v>0</v>
      </c>
      <c r="AI4751" s="182" t="n">
        <v>0</v>
      </c>
      <c r="AJ4751" s="182" t="n">
        <v>0</v>
      </c>
      <c r="AK4751" s="182" t="n">
        <v>0</v>
      </c>
      <c r="AL4751" s="182" t="n">
        <v>0</v>
      </c>
      <c r="AM4751" s="182" t="n">
        <v>0</v>
      </c>
      <c r="AN4751" s="182" t="n">
        <v>0</v>
      </c>
    </row>
    <row r="4752">
      <c r="A4752" s="155" t="n">
        <v>46103</v>
      </c>
      <c r="B4752" s="156" t="inlineStr">
        <is>
          <t>NS</t>
        </is>
      </c>
      <c r="C4752" s="156" t="inlineStr">
        <is>
          <t>HT-419</t>
        </is>
      </c>
      <c r="D4752" s="156" t="inlineStr">
        <is>
          <t>SY430</t>
        </is>
      </c>
      <c r="E4752" s="156" t="inlineStr">
        <is>
          <t>DT Hauling</t>
        </is>
      </c>
      <c r="F4752" s="156" t="inlineStr"/>
      <c r="G4752" s="182" t="n">
        <v>0</v>
      </c>
      <c r="H4752" s="182" t="n">
        <v>0</v>
      </c>
      <c r="I4752" s="182" t="n">
        <v>0</v>
      </c>
      <c r="J4752" s="182" t="n">
        <v>0</v>
      </c>
      <c r="K4752" s="182" t="n">
        <v>12</v>
      </c>
      <c r="L4752" s="182" t="n">
        <v>12</v>
      </c>
      <c r="M4752" s="182" t="n">
        <v>0</v>
      </c>
      <c r="N4752" s="182" t="n">
        <v>0</v>
      </c>
      <c r="O4752" s="183" t="n">
        <v>0</v>
      </c>
      <c r="P4752" s="183" t="n">
        <v>0</v>
      </c>
      <c r="Q4752" s="184" t="n">
        <v>0</v>
      </c>
      <c r="R4752" s="184" t="n">
        <v>0</v>
      </c>
      <c r="S4752" s="183" t="n">
        <v>0</v>
      </c>
      <c r="T4752" s="183" t="n">
        <v>0</v>
      </c>
      <c r="U4752" s="182" t="n">
        <v>0</v>
      </c>
      <c r="V4752" s="182" t="n">
        <v>0</v>
      </c>
      <c r="W4752" s="182" t="n">
        <v>0</v>
      </c>
      <c r="X4752" s="182" t="n">
        <v>1</v>
      </c>
      <c r="Y4752" s="182" t="n">
        <v>0</v>
      </c>
      <c r="Z4752" s="182" t="n">
        <v>0</v>
      </c>
      <c r="AA4752" s="182" t="n">
        <v>0</v>
      </c>
      <c r="AB4752" s="182" t="n">
        <v>0</v>
      </c>
      <c r="AC4752" s="182" t="n">
        <v>0</v>
      </c>
      <c r="AD4752" s="182" t="n">
        <v>0</v>
      </c>
      <c r="AE4752" s="182" t="n">
        <v>0</v>
      </c>
      <c r="AF4752" s="182" t="n">
        <v>0</v>
      </c>
      <c r="AG4752" s="182" t="n">
        <v>0</v>
      </c>
      <c r="AH4752" s="182" t="n">
        <v>0</v>
      </c>
      <c r="AI4752" s="182" t="n">
        <v>0</v>
      </c>
      <c r="AJ4752" s="182" t="n">
        <v>0</v>
      </c>
      <c r="AK4752" s="182" t="n">
        <v>10.92</v>
      </c>
      <c r="AL4752" s="182" t="n">
        <v>0</v>
      </c>
      <c r="AM4752" s="182" t="n">
        <v>0.08</v>
      </c>
      <c r="AN4752" s="182" t="n">
        <v>0</v>
      </c>
    </row>
    <row r="4753">
      <c r="A4753" s="155" t="n">
        <v>46103</v>
      </c>
      <c r="B4753" s="156" t="inlineStr">
        <is>
          <t>NS</t>
        </is>
      </c>
      <c r="C4753" s="156" t="inlineStr">
        <is>
          <t>HT-416</t>
        </is>
      </c>
      <c r="D4753" s="156" t="inlineStr">
        <is>
          <t>SY430</t>
        </is>
      </c>
      <c r="E4753" s="156" t="inlineStr">
        <is>
          <t>DT Hauling</t>
        </is>
      </c>
      <c r="F4753" s="156" t="inlineStr"/>
      <c r="G4753" s="182" t="n">
        <v>0</v>
      </c>
      <c r="H4753" s="182" t="n">
        <v>0</v>
      </c>
      <c r="I4753" s="182" t="n">
        <v>0</v>
      </c>
      <c r="J4753" s="182" t="n">
        <v>0</v>
      </c>
      <c r="K4753" s="182" t="n">
        <v>12</v>
      </c>
      <c r="L4753" s="182" t="n">
        <v>12</v>
      </c>
      <c r="M4753" s="182" t="n">
        <v>0</v>
      </c>
      <c r="N4753" s="182" t="n">
        <v>0</v>
      </c>
      <c r="O4753" s="183" t="n">
        <v>0</v>
      </c>
      <c r="P4753" s="183" t="n">
        <v>0</v>
      </c>
      <c r="Q4753" s="184" t="n">
        <v>0</v>
      </c>
      <c r="R4753" s="184" t="n">
        <v>0</v>
      </c>
      <c r="S4753" s="183" t="n">
        <v>0</v>
      </c>
      <c r="T4753" s="183" t="n">
        <v>0</v>
      </c>
      <c r="U4753" s="182" t="n">
        <v>0</v>
      </c>
      <c r="V4753" s="182" t="n">
        <v>0</v>
      </c>
      <c r="W4753" s="182" t="n">
        <v>0</v>
      </c>
      <c r="X4753" s="182" t="n">
        <v>1</v>
      </c>
      <c r="Y4753" s="182" t="n">
        <v>0</v>
      </c>
      <c r="Z4753" s="182" t="n">
        <v>0</v>
      </c>
      <c r="AA4753" s="182" t="n">
        <v>0</v>
      </c>
      <c r="AB4753" s="182" t="n">
        <v>0</v>
      </c>
      <c r="AC4753" s="182" t="n">
        <v>0</v>
      </c>
      <c r="AD4753" s="182" t="n">
        <v>0</v>
      </c>
      <c r="AE4753" s="182" t="n">
        <v>0</v>
      </c>
      <c r="AF4753" s="182" t="n">
        <v>0</v>
      </c>
      <c r="AG4753" s="182" t="n">
        <v>0</v>
      </c>
      <c r="AH4753" s="182" t="n">
        <v>0</v>
      </c>
      <c r="AI4753" s="182" t="n">
        <v>0</v>
      </c>
      <c r="AJ4753" s="182" t="n">
        <v>0</v>
      </c>
      <c r="AK4753" s="182" t="n">
        <v>10.92</v>
      </c>
      <c r="AL4753" s="182" t="n">
        <v>0</v>
      </c>
      <c r="AM4753" s="182" t="n">
        <v>0.08</v>
      </c>
      <c r="AN4753" s="182" t="n">
        <v>0</v>
      </c>
    </row>
    <row r="4754">
      <c r="A4754" s="155" t="n">
        <v>46103</v>
      </c>
      <c r="B4754" s="156" t="inlineStr">
        <is>
          <t>NS</t>
        </is>
      </c>
      <c r="C4754" s="156" t="inlineStr">
        <is>
          <t>HT-420</t>
        </is>
      </c>
      <c r="D4754" s="156" t="inlineStr">
        <is>
          <t>SY430</t>
        </is>
      </c>
      <c r="E4754" s="156" t="inlineStr">
        <is>
          <t>DT Hauling</t>
        </is>
      </c>
      <c r="F4754" s="156" t="inlineStr"/>
      <c r="G4754" s="182" t="n">
        <v>0</v>
      </c>
      <c r="H4754" s="182" t="n">
        <v>0</v>
      </c>
      <c r="I4754" s="182" t="n">
        <v>0</v>
      </c>
      <c r="J4754" s="182" t="n">
        <v>0</v>
      </c>
      <c r="K4754" s="182" t="n">
        <v>12</v>
      </c>
      <c r="L4754" s="182" t="n">
        <v>12</v>
      </c>
      <c r="M4754" s="182" t="n">
        <v>0</v>
      </c>
      <c r="N4754" s="182" t="n">
        <v>0</v>
      </c>
      <c r="O4754" s="183" t="n">
        <v>0</v>
      </c>
      <c r="P4754" s="183" t="n">
        <v>0</v>
      </c>
      <c r="Q4754" s="184" t="n">
        <v>0</v>
      </c>
      <c r="R4754" s="184" t="n">
        <v>0</v>
      </c>
      <c r="S4754" s="183" t="n">
        <v>0</v>
      </c>
      <c r="T4754" s="183" t="n">
        <v>0</v>
      </c>
      <c r="U4754" s="182" t="n">
        <v>0</v>
      </c>
      <c r="V4754" s="182" t="n">
        <v>0</v>
      </c>
      <c r="W4754" s="182" t="n">
        <v>0</v>
      </c>
      <c r="X4754" s="182" t="n">
        <v>1</v>
      </c>
      <c r="Y4754" s="182" t="n">
        <v>0</v>
      </c>
      <c r="Z4754" s="182" t="n">
        <v>0</v>
      </c>
      <c r="AA4754" s="182" t="n">
        <v>0</v>
      </c>
      <c r="AB4754" s="182" t="n">
        <v>0</v>
      </c>
      <c r="AC4754" s="182" t="n">
        <v>0</v>
      </c>
      <c r="AD4754" s="182" t="n">
        <v>0</v>
      </c>
      <c r="AE4754" s="182" t="n">
        <v>0</v>
      </c>
      <c r="AF4754" s="182" t="n">
        <v>0</v>
      </c>
      <c r="AG4754" s="182" t="n">
        <v>0</v>
      </c>
      <c r="AH4754" s="182" t="n">
        <v>0</v>
      </c>
      <c r="AI4754" s="182" t="n">
        <v>0</v>
      </c>
      <c r="AJ4754" s="182" t="n">
        <v>0</v>
      </c>
      <c r="AK4754" s="182" t="n">
        <v>10.92</v>
      </c>
      <c r="AL4754" s="182" t="n">
        <v>0</v>
      </c>
      <c r="AM4754" s="182" t="n">
        <v>0.08</v>
      </c>
      <c r="AN4754" s="182" t="n">
        <v>0</v>
      </c>
    </row>
    <row r="4755">
      <c r="A4755" s="155" t="n">
        <v>46103</v>
      </c>
      <c r="B4755" s="156" t="inlineStr">
        <is>
          <t>NS</t>
        </is>
      </c>
      <c r="C4755" s="156" t="inlineStr">
        <is>
          <t>HT-403</t>
        </is>
      </c>
      <c r="D4755" s="156" t="inlineStr">
        <is>
          <t>SY430</t>
        </is>
      </c>
      <c r="E4755" s="156" t="inlineStr">
        <is>
          <t>DT Hauling</t>
        </is>
      </c>
      <c r="F4755" s="156" t="inlineStr"/>
      <c r="G4755" s="182" t="n">
        <v>0</v>
      </c>
      <c r="H4755" s="182" t="n">
        <v>0</v>
      </c>
      <c r="I4755" s="182" t="n">
        <v>0</v>
      </c>
      <c r="J4755" s="182" t="n">
        <v>0</v>
      </c>
      <c r="K4755" s="182" t="n">
        <v>12</v>
      </c>
      <c r="L4755" s="182" t="n">
        <v>12</v>
      </c>
      <c r="M4755" s="182" t="n">
        <v>0</v>
      </c>
      <c r="N4755" s="182" t="n">
        <v>0</v>
      </c>
      <c r="O4755" s="183" t="n">
        <v>0</v>
      </c>
      <c r="P4755" s="183" t="n">
        <v>0</v>
      </c>
      <c r="Q4755" s="184" t="n">
        <v>0</v>
      </c>
      <c r="R4755" s="184" t="n">
        <v>0</v>
      </c>
      <c r="S4755" s="183" t="n">
        <v>0</v>
      </c>
      <c r="T4755" s="183" t="n">
        <v>0</v>
      </c>
      <c r="U4755" s="182" t="n">
        <v>0</v>
      </c>
      <c r="V4755" s="182" t="n">
        <v>0</v>
      </c>
      <c r="W4755" s="182" t="n">
        <v>0</v>
      </c>
      <c r="X4755" s="182" t="n">
        <v>1</v>
      </c>
      <c r="Y4755" s="182" t="n">
        <v>0</v>
      </c>
      <c r="Z4755" s="182" t="n">
        <v>0</v>
      </c>
      <c r="AA4755" s="182" t="n">
        <v>0</v>
      </c>
      <c r="AB4755" s="182" t="n">
        <v>0</v>
      </c>
      <c r="AC4755" s="182" t="n">
        <v>0</v>
      </c>
      <c r="AD4755" s="182" t="n">
        <v>0</v>
      </c>
      <c r="AE4755" s="182" t="n">
        <v>0</v>
      </c>
      <c r="AF4755" s="182" t="n">
        <v>0</v>
      </c>
      <c r="AG4755" s="182" t="n">
        <v>0</v>
      </c>
      <c r="AH4755" s="182" t="n">
        <v>0</v>
      </c>
      <c r="AI4755" s="182" t="n">
        <v>0</v>
      </c>
      <c r="AJ4755" s="182" t="n">
        <v>0</v>
      </c>
      <c r="AK4755" s="182" t="n">
        <v>10.92</v>
      </c>
      <c r="AL4755" s="182" t="n">
        <v>0</v>
      </c>
      <c r="AM4755" s="182" t="n">
        <v>0.08</v>
      </c>
      <c r="AN4755" s="182" t="n">
        <v>0</v>
      </c>
    </row>
    <row r="4756">
      <c r="A4756" s="155" t="n">
        <v>46103</v>
      </c>
      <c r="B4756" s="156" t="inlineStr">
        <is>
          <t>NS</t>
        </is>
      </c>
      <c r="C4756" s="156" t="inlineStr">
        <is>
          <t>HT-408</t>
        </is>
      </c>
      <c r="D4756" s="156" t="inlineStr">
        <is>
          <t>SY430</t>
        </is>
      </c>
      <c r="E4756" s="156" t="inlineStr">
        <is>
          <t>DT Hauling</t>
        </is>
      </c>
      <c r="F4756" s="156" t="inlineStr"/>
      <c r="G4756" s="182" t="n">
        <v>0</v>
      </c>
      <c r="H4756" s="182" t="n">
        <v>0</v>
      </c>
      <c r="I4756" s="182" t="n">
        <v>0.4</v>
      </c>
      <c r="J4756" s="182" t="n">
        <v>0.4</v>
      </c>
      <c r="K4756" s="182" t="n">
        <v>11.6</v>
      </c>
      <c r="L4756" s="182" t="n">
        <v>12</v>
      </c>
      <c r="M4756" s="182" t="n">
        <v>0</v>
      </c>
      <c r="N4756" s="182" t="n">
        <v>0</v>
      </c>
      <c r="O4756" s="183" t="n">
        <v>0</v>
      </c>
      <c r="P4756" s="183" t="n">
        <v>0</v>
      </c>
      <c r="Q4756" s="184" t="n">
        <v>0</v>
      </c>
      <c r="R4756" s="184" t="n">
        <v>0</v>
      </c>
      <c r="S4756" s="183" t="n">
        <v>0</v>
      </c>
      <c r="T4756" s="183" t="n">
        <v>0</v>
      </c>
      <c r="U4756" s="182" t="n">
        <v>0</v>
      </c>
      <c r="V4756" s="182" t="n">
        <v>0</v>
      </c>
      <c r="W4756" s="182" t="n">
        <v>0</v>
      </c>
      <c r="X4756" s="182" t="n">
        <v>1</v>
      </c>
      <c r="Y4756" s="182" t="n">
        <v>0</v>
      </c>
      <c r="Z4756" s="182" t="n">
        <v>0</v>
      </c>
      <c r="AA4756" s="182" t="n">
        <v>0</v>
      </c>
      <c r="AB4756" s="182" t="n">
        <v>0</v>
      </c>
      <c r="AC4756" s="182" t="n">
        <v>0</v>
      </c>
      <c r="AD4756" s="182" t="n">
        <v>0</v>
      </c>
      <c r="AE4756" s="182" t="n">
        <v>0</v>
      </c>
      <c r="AF4756" s="182" t="n">
        <v>0</v>
      </c>
      <c r="AG4756" s="182" t="n">
        <v>0</v>
      </c>
      <c r="AH4756" s="182" t="n">
        <v>0</v>
      </c>
      <c r="AI4756" s="182" t="n">
        <v>0</v>
      </c>
      <c r="AJ4756" s="182" t="n">
        <v>0</v>
      </c>
      <c r="AK4756" s="182" t="n">
        <v>10.52</v>
      </c>
      <c r="AL4756" s="182" t="n">
        <v>0</v>
      </c>
      <c r="AM4756" s="182" t="n">
        <v>0.08</v>
      </c>
      <c r="AN4756" s="182" t="n">
        <v>0</v>
      </c>
    </row>
    <row r="4757">
      <c r="A4757" s="155" t="n">
        <v>46103</v>
      </c>
      <c r="B4757" s="156" t="inlineStr">
        <is>
          <t>NS</t>
        </is>
      </c>
      <c r="C4757" s="156" t="inlineStr">
        <is>
          <t>HT-412</t>
        </is>
      </c>
      <c r="D4757" s="156" t="inlineStr">
        <is>
          <t>SY430</t>
        </is>
      </c>
      <c r="E4757" s="156" t="inlineStr">
        <is>
          <t>DT Hauling</t>
        </is>
      </c>
      <c r="F4757" s="156" t="inlineStr"/>
      <c r="G4757" s="182" t="n">
        <v>0</v>
      </c>
      <c r="H4757" s="182" t="n">
        <v>0</v>
      </c>
      <c r="I4757" s="182" t="n">
        <v>0</v>
      </c>
      <c r="J4757" s="182" t="n">
        <v>0</v>
      </c>
      <c r="K4757" s="182" t="n">
        <v>12</v>
      </c>
      <c r="L4757" s="182" t="n">
        <v>12</v>
      </c>
      <c r="M4757" s="182" t="n">
        <v>0</v>
      </c>
      <c r="N4757" s="182" t="n">
        <v>0</v>
      </c>
      <c r="O4757" s="183" t="n">
        <v>0</v>
      </c>
      <c r="P4757" s="183" t="n">
        <v>0</v>
      </c>
      <c r="Q4757" s="184" t="n">
        <v>0</v>
      </c>
      <c r="R4757" s="184" t="n">
        <v>0</v>
      </c>
      <c r="S4757" s="183" t="n">
        <v>0</v>
      </c>
      <c r="T4757" s="183" t="n">
        <v>0</v>
      </c>
      <c r="U4757" s="182" t="n">
        <v>0</v>
      </c>
      <c r="V4757" s="182" t="n">
        <v>0</v>
      </c>
      <c r="W4757" s="182" t="n">
        <v>0</v>
      </c>
      <c r="X4757" s="182" t="n">
        <v>1</v>
      </c>
      <c r="Y4757" s="182" t="n">
        <v>0</v>
      </c>
      <c r="Z4757" s="182" t="n">
        <v>0</v>
      </c>
      <c r="AA4757" s="182" t="n">
        <v>0</v>
      </c>
      <c r="AB4757" s="182" t="n">
        <v>0</v>
      </c>
      <c r="AC4757" s="182" t="n">
        <v>0</v>
      </c>
      <c r="AD4757" s="182" t="n">
        <v>0</v>
      </c>
      <c r="AE4757" s="182" t="n">
        <v>0</v>
      </c>
      <c r="AF4757" s="182" t="n">
        <v>0</v>
      </c>
      <c r="AG4757" s="182" t="n">
        <v>0</v>
      </c>
      <c r="AH4757" s="182" t="n">
        <v>0</v>
      </c>
      <c r="AI4757" s="182" t="n">
        <v>0</v>
      </c>
      <c r="AJ4757" s="182" t="n">
        <v>0</v>
      </c>
      <c r="AK4757" s="182" t="n">
        <v>10.92</v>
      </c>
      <c r="AL4757" s="182" t="n">
        <v>0</v>
      </c>
      <c r="AM4757" s="182" t="n">
        <v>0.08</v>
      </c>
      <c r="AN4757" s="182" t="n">
        <v>0</v>
      </c>
    </row>
    <row r="4758">
      <c r="A4758" s="155" t="n">
        <v>46103</v>
      </c>
      <c r="B4758" s="156" t="inlineStr">
        <is>
          <t>NS</t>
        </is>
      </c>
      <c r="C4758" s="156" t="inlineStr">
        <is>
          <t>HT-413</t>
        </is>
      </c>
      <c r="D4758" s="156" t="inlineStr">
        <is>
          <t>SY430</t>
        </is>
      </c>
      <c r="E4758" s="156" t="inlineStr">
        <is>
          <t>DT Hauling</t>
        </is>
      </c>
      <c r="F4758" s="156" t="inlineStr"/>
      <c r="G4758" s="182" t="n">
        <v>0</v>
      </c>
      <c r="H4758" s="182" t="n">
        <v>0</v>
      </c>
      <c r="I4758" s="182" t="n">
        <v>12</v>
      </c>
      <c r="J4758" s="182" t="n">
        <v>12</v>
      </c>
      <c r="K4758" s="182" t="n">
        <v>0</v>
      </c>
      <c r="L4758" s="182" t="n">
        <v>12</v>
      </c>
      <c r="M4758" s="182" t="n">
        <v>0</v>
      </c>
      <c r="N4758" s="182" t="n">
        <v>0</v>
      </c>
      <c r="O4758" s="183" t="n">
        <v>0</v>
      </c>
      <c r="P4758" s="183" t="n">
        <v>0</v>
      </c>
      <c r="Q4758" s="184" t="n">
        <v>0</v>
      </c>
      <c r="R4758" s="184" t="n">
        <v>0</v>
      </c>
      <c r="S4758" s="183" t="n">
        <v>0</v>
      </c>
      <c r="T4758" s="183" t="n">
        <v>0</v>
      </c>
      <c r="U4758" s="182" t="n">
        <v>0</v>
      </c>
      <c r="V4758" s="182" t="n">
        <v>0</v>
      </c>
      <c r="W4758" s="182" t="n">
        <v>0</v>
      </c>
      <c r="X4758" s="182" t="n">
        <v>0</v>
      </c>
      <c r="Y4758" s="182" t="n">
        <v>0</v>
      </c>
      <c r="Z4758" s="182" t="n">
        <v>0</v>
      </c>
      <c r="AA4758" s="182" t="n">
        <v>0</v>
      </c>
      <c r="AB4758" s="182" t="n">
        <v>0</v>
      </c>
      <c r="AC4758" s="182" t="n">
        <v>0</v>
      </c>
      <c r="AD4758" s="182" t="n">
        <v>0</v>
      </c>
      <c r="AE4758" s="182" t="n">
        <v>0</v>
      </c>
      <c r="AF4758" s="182" t="n">
        <v>0</v>
      </c>
      <c r="AG4758" s="182" t="n">
        <v>0</v>
      </c>
      <c r="AH4758" s="182" t="n">
        <v>0</v>
      </c>
      <c r="AI4758" s="182" t="n">
        <v>0</v>
      </c>
      <c r="AJ4758" s="182" t="n">
        <v>0</v>
      </c>
      <c r="AK4758" s="182" t="n">
        <v>0</v>
      </c>
      <c r="AL4758" s="182" t="n">
        <v>0</v>
      </c>
      <c r="AM4758" s="182" t="n">
        <v>0</v>
      </c>
      <c r="AN4758" s="182" t="n">
        <v>0</v>
      </c>
    </row>
    <row r="4759">
      <c r="A4759" s="155" t="n">
        <v>46103</v>
      </c>
      <c r="B4759" s="156" t="inlineStr">
        <is>
          <t>NS</t>
        </is>
      </c>
      <c r="C4759" s="156" t="inlineStr">
        <is>
          <t>HT-407</t>
        </is>
      </c>
      <c r="D4759" s="156" t="inlineStr">
        <is>
          <t>SY430</t>
        </is>
      </c>
      <c r="E4759" s="156" t="inlineStr">
        <is>
          <t>DT Hauling</t>
        </is>
      </c>
      <c r="F4759" s="156" t="inlineStr"/>
      <c r="G4759" s="182" t="n">
        <v>0</v>
      </c>
      <c r="H4759" s="182" t="n">
        <v>0</v>
      </c>
      <c r="I4759" s="182" t="n">
        <v>0</v>
      </c>
      <c r="J4759" s="182" t="n">
        <v>0</v>
      </c>
      <c r="K4759" s="182" t="n">
        <v>12</v>
      </c>
      <c r="L4759" s="182" t="n">
        <v>12</v>
      </c>
      <c r="M4759" s="182" t="n">
        <v>0</v>
      </c>
      <c r="N4759" s="182" t="n">
        <v>0</v>
      </c>
      <c r="O4759" s="183" t="n">
        <v>0</v>
      </c>
      <c r="P4759" s="183" t="n">
        <v>0</v>
      </c>
      <c r="Q4759" s="184" t="n">
        <v>0</v>
      </c>
      <c r="R4759" s="184" t="n">
        <v>0</v>
      </c>
      <c r="S4759" s="183" t="n">
        <v>0</v>
      </c>
      <c r="T4759" s="183" t="n">
        <v>0</v>
      </c>
      <c r="U4759" s="182" t="n">
        <v>0</v>
      </c>
      <c r="V4759" s="182" t="n">
        <v>0</v>
      </c>
      <c r="W4759" s="182" t="n">
        <v>0</v>
      </c>
      <c r="X4759" s="182" t="n">
        <v>1</v>
      </c>
      <c r="Y4759" s="182" t="n">
        <v>0</v>
      </c>
      <c r="Z4759" s="182" t="n">
        <v>0</v>
      </c>
      <c r="AA4759" s="182" t="n">
        <v>0</v>
      </c>
      <c r="AB4759" s="182" t="n">
        <v>0</v>
      </c>
      <c r="AC4759" s="182" t="n">
        <v>0</v>
      </c>
      <c r="AD4759" s="182" t="n">
        <v>0</v>
      </c>
      <c r="AE4759" s="182" t="n">
        <v>0</v>
      </c>
      <c r="AF4759" s="182" t="n">
        <v>0</v>
      </c>
      <c r="AG4759" s="182" t="n">
        <v>0</v>
      </c>
      <c r="AH4759" s="182" t="n">
        <v>0</v>
      </c>
      <c r="AI4759" s="182" t="n">
        <v>0</v>
      </c>
      <c r="AJ4759" s="182" t="n">
        <v>0</v>
      </c>
      <c r="AK4759" s="182" t="n">
        <v>10.92</v>
      </c>
      <c r="AL4759" s="182" t="n">
        <v>0</v>
      </c>
      <c r="AM4759" s="182" t="n">
        <v>0.08</v>
      </c>
      <c r="AN4759" s="182" t="n">
        <v>0</v>
      </c>
    </row>
    <row r="4760">
      <c r="A4760" s="155" t="n">
        <v>46103</v>
      </c>
      <c r="B4760" s="156" t="inlineStr">
        <is>
          <t>NS</t>
        </is>
      </c>
      <c r="C4760" s="156" t="inlineStr">
        <is>
          <t>HT-414</t>
        </is>
      </c>
      <c r="D4760" s="156" t="inlineStr">
        <is>
          <t>SY430</t>
        </is>
      </c>
      <c r="E4760" s="156" t="inlineStr">
        <is>
          <t>DT Hauling</t>
        </is>
      </c>
      <c r="F4760" s="156" t="inlineStr"/>
      <c r="G4760" s="182" t="n">
        <v>0</v>
      </c>
      <c r="H4760" s="182" t="n">
        <v>0</v>
      </c>
      <c r="I4760" s="182" t="n">
        <v>0</v>
      </c>
      <c r="J4760" s="182" t="n">
        <v>0</v>
      </c>
      <c r="K4760" s="182" t="n">
        <v>12</v>
      </c>
      <c r="L4760" s="182" t="n">
        <v>12</v>
      </c>
      <c r="M4760" s="182" t="n">
        <v>0</v>
      </c>
      <c r="N4760" s="182" t="n">
        <v>0</v>
      </c>
      <c r="O4760" s="183" t="n">
        <v>0</v>
      </c>
      <c r="P4760" s="183" t="n">
        <v>0</v>
      </c>
      <c r="Q4760" s="184" t="n">
        <v>0</v>
      </c>
      <c r="R4760" s="184" t="n">
        <v>0</v>
      </c>
      <c r="S4760" s="183" t="n">
        <v>0</v>
      </c>
      <c r="T4760" s="183" t="n">
        <v>0</v>
      </c>
      <c r="U4760" s="182" t="n">
        <v>0</v>
      </c>
      <c r="V4760" s="182" t="n">
        <v>0</v>
      </c>
      <c r="W4760" s="182" t="n">
        <v>0</v>
      </c>
      <c r="X4760" s="182" t="n">
        <v>1</v>
      </c>
      <c r="Y4760" s="182" t="n">
        <v>0</v>
      </c>
      <c r="Z4760" s="182" t="n">
        <v>0</v>
      </c>
      <c r="AA4760" s="182" t="n">
        <v>0</v>
      </c>
      <c r="AB4760" s="182" t="n">
        <v>0</v>
      </c>
      <c r="AC4760" s="182" t="n">
        <v>0</v>
      </c>
      <c r="AD4760" s="182" t="n">
        <v>0</v>
      </c>
      <c r="AE4760" s="182" t="n">
        <v>0</v>
      </c>
      <c r="AF4760" s="182" t="n">
        <v>0</v>
      </c>
      <c r="AG4760" s="182" t="n">
        <v>0</v>
      </c>
      <c r="AH4760" s="182" t="n">
        <v>0</v>
      </c>
      <c r="AI4760" s="182" t="n">
        <v>0</v>
      </c>
      <c r="AJ4760" s="182" t="n">
        <v>0</v>
      </c>
      <c r="AK4760" s="182" t="n">
        <v>10.92</v>
      </c>
      <c r="AL4760" s="182" t="n">
        <v>0</v>
      </c>
      <c r="AM4760" s="182" t="n">
        <v>0.08</v>
      </c>
      <c r="AN4760" s="182" t="n">
        <v>0</v>
      </c>
    </row>
    <row r="4761">
      <c r="A4761" s="155" t="n">
        <v>46103</v>
      </c>
      <c r="B4761" s="156" t="inlineStr">
        <is>
          <t>NS</t>
        </is>
      </c>
      <c r="C4761" s="156" t="inlineStr">
        <is>
          <t>HT-411</t>
        </is>
      </c>
      <c r="D4761" s="156" t="inlineStr">
        <is>
          <t>SY430</t>
        </is>
      </c>
      <c r="E4761" s="156" t="inlineStr">
        <is>
          <t>DT Hauling</t>
        </is>
      </c>
      <c r="F4761" s="156" t="inlineStr"/>
      <c r="G4761" s="182" t="n">
        <v>0</v>
      </c>
      <c r="H4761" s="182" t="n">
        <v>0</v>
      </c>
      <c r="I4761" s="182" t="n">
        <v>0</v>
      </c>
      <c r="J4761" s="182" t="n">
        <v>0</v>
      </c>
      <c r="K4761" s="182" t="n">
        <v>12</v>
      </c>
      <c r="L4761" s="182" t="n">
        <v>12</v>
      </c>
      <c r="M4761" s="182" t="n">
        <v>0</v>
      </c>
      <c r="N4761" s="182" t="n">
        <v>0</v>
      </c>
      <c r="O4761" s="183" t="n">
        <v>0</v>
      </c>
      <c r="P4761" s="183" t="n">
        <v>0</v>
      </c>
      <c r="Q4761" s="184" t="n">
        <v>0</v>
      </c>
      <c r="R4761" s="184" t="n">
        <v>0</v>
      </c>
      <c r="S4761" s="183" t="n">
        <v>0</v>
      </c>
      <c r="T4761" s="183" t="n">
        <v>0</v>
      </c>
      <c r="U4761" s="182" t="n">
        <v>0</v>
      </c>
      <c r="V4761" s="182" t="n">
        <v>0</v>
      </c>
      <c r="W4761" s="182" t="n">
        <v>0</v>
      </c>
      <c r="X4761" s="182" t="n">
        <v>1</v>
      </c>
      <c r="Y4761" s="182" t="n">
        <v>0</v>
      </c>
      <c r="Z4761" s="182" t="n">
        <v>0</v>
      </c>
      <c r="AA4761" s="182" t="n">
        <v>0</v>
      </c>
      <c r="AB4761" s="182" t="n">
        <v>0</v>
      </c>
      <c r="AC4761" s="182" t="n">
        <v>0</v>
      </c>
      <c r="AD4761" s="182" t="n">
        <v>0</v>
      </c>
      <c r="AE4761" s="182" t="n">
        <v>0</v>
      </c>
      <c r="AF4761" s="182" t="n">
        <v>0</v>
      </c>
      <c r="AG4761" s="182" t="n">
        <v>0</v>
      </c>
      <c r="AH4761" s="182" t="n">
        <v>0</v>
      </c>
      <c r="AI4761" s="182" t="n">
        <v>0</v>
      </c>
      <c r="AJ4761" s="182" t="n">
        <v>0</v>
      </c>
      <c r="AK4761" s="182" t="n">
        <v>10.92</v>
      </c>
      <c r="AL4761" s="182" t="n">
        <v>0</v>
      </c>
      <c r="AM4761" s="182" t="n">
        <v>0.08</v>
      </c>
      <c r="AN4761" s="182" t="n">
        <v>0</v>
      </c>
    </row>
    <row r="4762">
      <c r="A4762" s="155" t="n">
        <v>46103</v>
      </c>
      <c r="B4762" s="156" t="inlineStr">
        <is>
          <t>NS</t>
        </is>
      </c>
      <c r="C4762" s="156" t="inlineStr">
        <is>
          <t>HT-409</t>
        </is>
      </c>
      <c r="D4762" s="156" t="inlineStr">
        <is>
          <t>SY430</t>
        </is>
      </c>
      <c r="E4762" s="156" t="inlineStr">
        <is>
          <t>DT Hauling</t>
        </is>
      </c>
      <c r="F4762" s="156" t="inlineStr"/>
      <c r="G4762" s="182" t="n">
        <v>0</v>
      </c>
      <c r="H4762" s="182" t="n">
        <v>0</v>
      </c>
      <c r="I4762" s="182" t="n">
        <v>0</v>
      </c>
      <c r="J4762" s="182" t="n">
        <v>0</v>
      </c>
      <c r="K4762" s="182" t="n">
        <v>12</v>
      </c>
      <c r="L4762" s="182" t="n">
        <v>12</v>
      </c>
      <c r="M4762" s="182" t="n">
        <v>0</v>
      </c>
      <c r="N4762" s="182" t="n">
        <v>0</v>
      </c>
      <c r="O4762" s="183" t="n">
        <v>0</v>
      </c>
      <c r="P4762" s="183" t="n">
        <v>0</v>
      </c>
      <c r="Q4762" s="184" t="n">
        <v>0</v>
      </c>
      <c r="R4762" s="184" t="n">
        <v>0</v>
      </c>
      <c r="S4762" s="183" t="n">
        <v>0</v>
      </c>
      <c r="T4762" s="183" t="n">
        <v>0</v>
      </c>
      <c r="U4762" s="182" t="n">
        <v>0</v>
      </c>
      <c r="V4762" s="182" t="n">
        <v>0</v>
      </c>
      <c r="W4762" s="182" t="n">
        <v>0</v>
      </c>
      <c r="X4762" s="182" t="n">
        <v>1</v>
      </c>
      <c r="Y4762" s="182" t="n">
        <v>0</v>
      </c>
      <c r="Z4762" s="182" t="n">
        <v>0</v>
      </c>
      <c r="AA4762" s="182" t="n">
        <v>0</v>
      </c>
      <c r="AB4762" s="182" t="n">
        <v>0</v>
      </c>
      <c r="AC4762" s="182" t="n">
        <v>0</v>
      </c>
      <c r="AD4762" s="182" t="n">
        <v>0</v>
      </c>
      <c r="AE4762" s="182" t="n">
        <v>0</v>
      </c>
      <c r="AF4762" s="182" t="n">
        <v>0</v>
      </c>
      <c r="AG4762" s="182" t="n">
        <v>0</v>
      </c>
      <c r="AH4762" s="182" t="n">
        <v>0</v>
      </c>
      <c r="AI4762" s="182" t="n">
        <v>0</v>
      </c>
      <c r="AJ4762" s="182" t="n">
        <v>0</v>
      </c>
      <c r="AK4762" s="182" t="n">
        <v>10.92</v>
      </c>
      <c r="AL4762" s="182" t="n">
        <v>0</v>
      </c>
      <c r="AM4762" s="182" t="n">
        <v>0.08</v>
      </c>
      <c r="AN4762" s="182" t="n">
        <v>0</v>
      </c>
    </row>
    <row r="4763">
      <c r="A4763" s="155" t="n">
        <v>46103</v>
      </c>
      <c r="B4763" s="156" t="inlineStr">
        <is>
          <t>NS</t>
        </is>
      </c>
      <c r="C4763" s="156" t="inlineStr">
        <is>
          <t>DH-103</t>
        </is>
      </c>
      <c r="D4763" s="156" t="inlineStr">
        <is>
          <t>HINO FM260</t>
        </is>
      </c>
      <c r="E4763" s="156" t="inlineStr">
        <is>
          <t>DT Hino</t>
        </is>
      </c>
      <c r="F4763" s="156" t="inlineStr"/>
      <c r="G4763" s="182" t="n">
        <v>0</v>
      </c>
      <c r="H4763" s="182" t="n">
        <v>0</v>
      </c>
      <c r="I4763" s="182" t="n">
        <v>12</v>
      </c>
      <c r="J4763" s="182" t="n">
        <v>12</v>
      </c>
      <c r="K4763" s="182" t="n">
        <v>0</v>
      </c>
      <c r="L4763" s="182" t="n">
        <v>12</v>
      </c>
      <c r="M4763" s="182" t="n">
        <v>0</v>
      </c>
      <c r="N4763" s="182" t="n">
        <v>0</v>
      </c>
      <c r="O4763" s="183" t="n">
        <v>0</v>
      </c>
      <c r="P4763" s="183" t="n">
        <v>0</v>
      </c>
      <c r="Q4763" s="184" t="n">
        <v>0</v>
      </c>
      <c r="R4763" s="184" t="n">
        <v>0</v>
      </c>
      <c r="S4763" s="183" t="n">
        <v>0</v>
      </c>
      <c r="T4763" s="183" t="n">
        <v>0</v>
      </c>
      <c r="U4763" s="182" t="n">
        <v>0</v>
      </c>
      <c r="V4763" s="182" t="n">
        <v>0</v>
      </c>
      <c r="W4763" s="182" t="n">
        <v>0</v>
      </c>
      <c r="X4763" s="182" t="n">
        <v>0</v>
      </c>
      <c r="Y4763" s="182" t="n">
        <v>0</v>
      </c>
      <c r="Z4763" s="182" t="n">
        <v>0</v>
      </c>
      <c r="AA4763" s="182" t="n">
        <v>0</v>
      </c>
      <c r="AB4763" s="182" t="n">
        <v>0</v>
      </c>
      <c r="AC4763" s="182" t="n">
        <v>0</v>
      </c>
      <c r="AD4763" s="182" t="n">
        <v>0</v>
      </c>
      <c r="AE4763" s="182" t="n">
        <v>0</v>
      </c>
      <c r="AF4763" s="182" t="n">
        <v>0</v>
      </c>
      <c r="AG4763" s="182" t="n">
        <v>0</v>
      </c>
      <c r="AH4763" s="182" t="n">
        <v>0</v>
      </c>
      <c r="AI4763" s="182" t="n">
        <v>0</v>
      </c>
      <c r="AJ4763" s="182" t="n">
        <v>0</v>
      </c>
      <c r="AK4763" s="182" t="n">
        <v>0</v>
      </c>
      <c r="AL4763" s="182" t="n">
        <v>0</v>
      </c>
      <c r="AM4763" s="182" t="n">
        <v>0</v>
      </c>
      <c r="AN4763" s="182" t="n">
        <v>0</v>
      </c>
    </row>
    <row r="4764">
      <c r="A4764" s="155" t="n">
        <v>46103</v>
      </c>
      <c r="B4764" s="156" t="inlineStr">
        <is>
          <t>NS</t>
        </is>
      </c>
      <c r="C4764" s="156" t="inlineStr">
        <is>
          <t>DH-102</t>
        </is>
      </c>
      <c r="D4764" s="156" t="inlineStr">
        <is>
          <t>HINO FM260</t>
        </is>
      </c>
      <c r="E4764" s="156" t="inlineStr">
        <is>
          <t>DT Hino</t>
        </is>
      </c>
      <c r="F4764" s="156" t="inlineStr"/>
      <c r="G4764" s="182" t="n">
        <v>0</v>
      </c>
      <c r="H4764" s="182" t="n">
        <v>0</v>
      </c>
      <c r="I4764" s="182" t="n">
        <v>0</v>
      </c>
      <c r="J4764" s="182" t="n">
        <v>0</v>
      </c>
      <c r="K4764" s="182" t="n">
        <v>12</v>
      </c>
      <c r="L4764" s="182" t="n">
        <v>12</v>
      </c>
      <c r="M4764" s="182" t="n">
        <v>0</v>
      </c>
      <c r="N4764" s="182" t="n">
        <v>0</v>
      </c>
      <c r="O4764" s="183" t="n">
        <v>0</v>
      </c>
      <c r="P4764" s="183" t="n">
        <v>0</v>
      </c>
      <c r="Q4764" s="184" t="n">
        <v>0</v>
      </c>
      <c r="R4764" s="184" t="n">
        <v>0</v>
      </c>
      <c r="S4764" s="183" t="n">
        <v>0</v>
      </c>
      <c r="T4764" s="183" t="n">
        <v>0</v>
      </c>
      <c r="U4764" s="182" t="n">
        <v>0</v>
      </c>
      <c r="V4764" s="182" t="n">
        <v>0</v>
      </c>
      <c r="W4764" s="182" t="n">
        <v>0</v>
      </c>
      <c r="X4764" s="182" t="n">
        <v>1</v>
      </c>
      <c r="Y4764" s="182" t="n">
        <v>0</v>
      </c>
      <c r="Z4764" s="182" t="n">
        <v>0</v>
      </c>
      <c r="AA4764" s="182" t="n">
        <v>0</v>
      </c>
      <c r="AB4764" s="182" t="n">
        <v>0</v>
      </c>
      <c r="AC4764" s="182" t="n">
        <v>0</v>
      </c>
      <c r="AD4764" s="182" t="n">
        <v>0</v>
      </c>
      <c r="AE4764" s="182" t="n">
        <v>0</v>
      </c>
      <c r="AF4764" s="182" t="n">
        <v>0</v>
      </c>
      <c r="AG4764" s="182" t="n">
        <v>0</v>
      </c>
      <c r="AH4764" s="182" t="n">
        <v>0</v>
      </c>
      <c r="AI4764" s="182" t="n">
        <v>0</v>
      </c>
      <c r="AJ4764" s="182" t="n">
        <v>0</v>
      </c>
      <c r="AK4764" s="182" t="n">
        <v>10.92</v>
      </c>
      <c r="AL4764" s="182" t="n">
        <v>0</v>
      </c>
      <c r="AM4764" s="182" t="n">
        <v>0.08</v>
      </c>
      <c r="AN4764" s="182" t="n">
        <v>0</v>
      </c>
    </row>
    <row r="4765">
      <c r="A4765" s="155" t="n">
        <v>46103</v>
      </c>
      <c r="B4765" s="156" t="inlineStr">
        <is>
          <t>NS</t>
        </is>
      </c>
      <c r="C4765" s="156" t="inlineStr">
        <is>
          <t>DH-101</t>
        </is>
      </c>
      <c r="D4765" s="156" t="inlineStr">
        <is>
          <t>HINO FM260</t>
        </is>
      </c>
      <c r="E4765" s="156" t="inlineStr">
        <is>
          <t>DT Hino</t>
        </is>
      </c>
      <c r="F4765" s="156" t="inlineStr"/>
      <c r="G4765" s="182" t="n">
        <v>0</v>
      </c>
      <c r="H4765" s="182" t="n">
        <v>0</v>
      </c>
      <c r="I4765" s="182" t="n">
        <v>0</v>
      </c>
      <c r="J4765" s="182" t="n">
        <v>0</v>
      </c>
      <c r="K4765" s="182" t="n">
        <v>12</v>
      </c>
      <c r="L4765" s="182" t="n">
        <v>12</v>
      </c>
      <c r="M4765" s="182" t="n">
        <v>0</v>
      </c>
      <c r="N4765" s="182" t="n">
        <v>0</v>
      </c>
      <c r="O4765" s="183" t="n">
        <v>0</v>
      </c>
      <c r="P4765" s="183" t="n">
        <v>0</v>
      </c>
      <c r="Q4765" s="184" t="n">
        <v>0</v>
      </c>
      <c r="R4765" s="184" t="n">
        <v>0</v>
      </c>
      <c r="S4765" s="183" t="n">
        <v>0</v>
      </c>
      <c r="T4765" s="183" t="n">
        <v>0</v>
      </c>
      <c r="U4765" s="182" t="n">
        <v>0</v>
      </c>
      <c r="V4765" s="182" t="n">
        <v>0</v>
      </c>
      <c r="W4765" s="182" t="n">
        <v>0</v>
      </c>
      <c r="X4765" s="182" t="n">
        <v>1</v>
      </c>
      <c r="Y4765" s="182" t="n">
        <v>0</v>
      </c>
      <c r="Z4765" s="182" t="n">
        <v>0</v>
      </c>
      <c r="AA4765" s="182" t="n">
        <v>0</v>
      </c>
      <c r="AB4765" s="182" t="n">
        <v>0</v>
      </c>
      <c r="AC4765" s="182" t="n">
        <v>0</v>
      </c>
      <c r="AD4765" s="182" t="n">
        <v>0</v>
      </c>
      <c r="AE4765" s="182" t="n">
        <v>0</v>
      </c>
      <c r="AF4765" s="182" t="n">
        <v>0</v>
      </c>
      <c r="AG4765" s="182" t="n">
        <v>0</v>
      </c>
      <c r="AH4765" s="182" t="n">
        <v>0</v>
      </c>
      <c r="AI4765" s="182" t="n">
        <v>0</v>
      </c>
      <c r="AJ4765" s="182" t="n">
        <v>0</v>
      </c>
      <c r="AK4765" s="182" t="n">
        <v>10.92</v>
      </c>
      <c r="AL4765" s="182" t="n">
        <v>0</v>
      </c>
      <c r="AM4765" s="182" t="n">
        <v>0.08</v>
      </c>
      <c r="AN4765" s="182" t="n">
        <v>0</v>
      </c>
    </row>
    <row r="4766">
      <c r="A4766" s="155" t="n">
        <v>46103</v>
      </c>
      <c r="B4766" s="156" t="inlineStr">
        <is>
          <t>NS</t>
        </is>
      </c>
      <c r="C4766" s="156" t="inlineStr">
        <is>
          <t>EX-1251</t>
        </is>
      </c>
      <c r="D4766" s="156" t="inlineStr">
        <is>
          <t>SY1250</t>
        </is>
      </c>
      <c r="E4766" s="156" t="inlineStr">
        <is>
          <t>Excavator</t>
        </is>
      </c>
      <c r="F4766" s="156" t="inlineStr">
        <is>
          <t>Loading OB</t>
        </is>
      </c>
      <c r="G4766" s="182" t="n">
        <v>10.48</v>
      </c>
      <c r="H4766" s="182" t="n">
        <v>0</v>
      </c>
      <c r="I4766" s="182" t="n">
        <v>0</v>
      </c>
      <c r="J4766" s="182" t="n">
        <v>0</v>
      </c>
      <c r="K4766" s="182" t="n">
        <v>1.52</v>
      </c>
      <c r="L4766" s="182" t="n">
        <v>12</v>
      </c>
      <c r="M4766" s="182" t="n">
        <v>9.390000000000001</v>
      </c>
      <c r="N4766" s="182" t="n">
        <v>0</v>
      </c>
      <c r="O4766" s="183" t="n">
        <v>211</v>
      </c>
      <c r="P4766" s="183" t="n">
        <v>0</v>
      </c>
      <c r="Q4766" s="184" t="n">
        <v>4304.4</v>
      </c>
      <c r="R4766" s="184" t="n">
        <v>0</v>
      </c>
      <c r="S4766" s="183" t="n">
        <v>0</v>
      </c>
      <c r="T4766" s="183" t="n">
        <v>0</v>
      </c>
      <c r="U4766" s="182" t="n">
        <v>0</v>
      </c>
      <c r="V4766" s="182" t="n">
        <v>0</v>
      </c>
      <c r="W4766" s="182" t="n">
        <v>0</v>
      </c>
      <c r="X4766" s="182" t="n">
        <v>0.89</v>
      </c>
      <c r="Y4766" s="182" t="n">
        <v>0</v>
      </c>
      <c r="Z4766" s="182" t="n">
        <v>0</v>
      </c>
      <c r="AA4766" s="182" t="n">
        <v>0</v>
      </c>
      <c r="AB4766" s="182" t="n">
        <v>0</v>
      </c>
      <c r="AC4766" s="182" t="n">
        <v>0</v>
      </c>
      <c r="AD4766" s="182" t="n">
        <v>0</v>
      </c>
      <c r="AE4766" s="182" t="n">
        <v>0</v>
      </c>
      <c r="AF4766" s="182" t="n">
        <v>0</v>
      </c>
      <c r="AG4766" s="182" t="n">
        <v>0</v>
      </c>
      <c r="AH4766" s="182" t="n">
        <v>0.55</v>
      </c>
      <c r="AI4766" s="182" t="n">
        <v>0</v>
      </c>
      <c r="AJ4766" s="182" t="n">
        <v>0</v>
      </c>
      <c r="AK4766" s="182" t="n">
        <v>0</v>
      </c>
      <c r="AL4766" s="182" t="n">
        <v>0</v>
      </c>
      <c r="AM4766" s="182" t="n">
        <v>0.07000000000000001</v>
      </c>
      <c r="AN4766" s="182" t="n">
        <v>0</v>
      </c>
    </row>
    <row r="4767">
      <c r="A4767" s="155" t="n">
        <v>46103</v>
      </c>
      <c r="B4767" s="156" t="inlineStr">
        <is>
          <t>NS</t>
        </is>
      </c>
      <c r="C4767" s="156" t="inlineStr">
        <is>
          <t>EX-1252</t>
        </is>
      </c>
      <c r="D4767" s="156" t="inlineStr">
        <is>
          <t>SY1250</t>
        </is>
      </c>
      <c r="E4767" s="156" t="inlineStr">
        <is>
          <t>Excavator</t>
        </is>
      </c>
      <c r="F4767" s="156" t="inlineStr">
        <is>
          <t>Loading OB</t>
        </is>
      </c>
      <c r="G4767" s="182" t="n">
        <v>1.09</v>
      </c>
      <c r="H4767" s="182" t="n">
        <v>0</v>
      </c>
      <c r="I4767" s="182" t="n">
        <v>10.74</v>
      </c>
      <c r="J4767" s="182" t="n">
        <v>10.74</v>
      </c>
      <c r="K4767" s="182" t="n">
        <v>0.17</v>
      </c>
      <c r="L4767" s="182" t="n">
        <v>12</v>
      </c>
      <c r="M4767" s="182" t="n">
        <v>1.09</v>
      </c>
      <c r="N4767" s="182" t="n">
        <v>0</v>
      </c>
      <c r="O4767" s="183" t="n">
        <v>15</v>
      </c>
      <c r="P4767" s="183" t="n">
        <v>0</v>
      </c>
      <c r="Q4767" s="184" t="n">
        <v>474.3</v>
      </c>
      <c r="R4767" s="184" t="n">
        <v>0</v>
      </c>
      <c r="S4767" s="183" t="n">
        <v>0</v>
      </c>
      <c r="T4767" s="183" t="n">
        <v>0</v>
      </c>
      <c r="U4767" s="182" t="n">
        <v>0</v>
      </c>
      <c r="V4767" s="182" t="n">
        <v>0</v>
      </c>
      <c r="W4767" s="182" t="n">
        <v>0</v>
      </c>
      <c r="X4767" s="182" t="n">
        <v>0</v>
      </c>
      <c r="Y4767" s="182" t="n">
        <v>0</v>
      </c>
      <c r="Z4767" s="182" t="n">
        <v>0</v>
      </c>
      <c r="AA4767" s="182" t="n">
        <v>0</v>
      </c>
      <c r="AB4767" s="182" t="n">
        <v>0</v>
      </c>
      <c r="AC4767" s="182" t="n">
        <v>0</v>
      </c>
      <c r="AD4767" s="182" t="n">
        <v>0</v>
      </c>
      <c r="AE4767" s="182" t="n">
        <v>0</v>
      </c>
      <c r="AF4767" s="182" t="n">
        <v>0</v>
      </c>
      <c r="AG4767" s="182" t="n">
        <v>0</v>
      </c>
      <c r="AH4767" s="182" t="n">
        <v>0</v>
      </c>
      <c r="AI4767" s="182" t="n">
        <v>0</v>
      </c>
      <c r="AJ4767" s="182" t="n">
        <v>0</v>
      </c>
      <c r="AK4767" s="182" t="n">
        <v>0</v>
      </c>
      <c r="AL4767" s="182" t="n">
        <v>0</v>
      </c>
      <c r="AM4767" s="182" t="n">
        <v>0.17</v>
      </c>
      <c r="AN4767" s="182" t="n">
        <v>0</v>
      </c>
    </row>
    <row r="4768">
      <c r="A4768" s="155" t="n">
        <v>46103</v>
      </c>
      <c r="B4768" s="156" t="inlineStr">
        <is>
          <t>NS</t>
        </is>
      </c>
      <c r="C4768" s="156" t="inlineStr">
        <is>
          <t>EX-2101</t>
        </is>
      </c>
      <c r="D4768" s="156" t="inlineStr">
        <is>
          <t>SY2000</t>
        </is>
      </c>
      <c r="E4768" s="156" t="inlineStr">
        <is>
          <t>Excavator</t>
        </is>
      </c>
      <c r="F4768" s="156" t="inlineStr"/>
      <c r="G4768" s="182" t="n">
        <v>0</v>
      </c>
      <c r="H4768" s="182" t="n">
        <v>0</v>
      </c>
      <c r="I4768" s="182" t="n">
        <v>12</v>
      </c>
      <c r="J4768" s="182" t="n">
        <v>12</v>
      </c>
      <c r="K4768" s="182" t="n">
        <v>0</v>
      </c>
      <c r="L4768" s="182" t="n">
        <v>12</v>
      </c>
      <c r="M4768" s="182" t="n">
        <v>0</v>
      </c>
      <c r="N4768" s="182" t="n">
        <v>0</v>
      </c>
      <c r="O4768" s="183" t="n">
        <v>0</v>
      </c>
      <c r="P4768" s="183" t="n">
        <v>0</v>
      </c>
      <c r="Q4768" s="184" t="n">
        <v>0</v>
      </c>
      <c r="R4768" s="184" t="n">
        <v>0</v>
      </c>
      <c r="S4768" s="183" t="n">
        <v>0</v>
      </c>
      <c r="T4768" s="183" t="n">
        <v>0</v>
      </c>
      <c r="U4768" s="182" t="n">
        <v>0</v>
      </c>
      <c r="V4768" s="182" t="n">
        <v>0</v>
      </c>
      <c r="W4768" s="182" t="n">
        <v>0</v>
      </c>
      <c r="X4768" s="182" t="n">
        <v>0</v>
      </c>
      <c r="Y4768" s="182" t="n">
        <v>0</v>
      </c>
      <c r="Z4768" s="182" t="n">
        <v>0</v>
      </c>
      <c r="AA4768" s="182" t="n">
        <v>0</v>
      </c>
      <c r="AB4768" s="182" t="n">
        <v>0</v>
      </c>
      <c r="AC4768" s="182" t="n">
        <v>0</v>
      </c>
      <c r="AD4768" s="182" t="n">
        <v>0</v>
      </c>
      <c r="AE4768" s="182" t="n">
        <v>0</v>
      </c>
      <c r="AF4768" s="182" t="n">
        <v>0</v>
      </c>
      <c r="AG4768" s="182" t="n">
        <v>0</v>
      </c>
      <c r="AH4768" s="182" t="n">
        <v>0</v>
      </c>
      <c r="AI4768" s="182" t="n">
        <v>0</v>
      </c>
      <c r="AJ4768" s="182" t="n">
        <v>0</v>
      </c>
      <c r="AK4768" s="182" t="n">
        <v>0</v>
      </c>
      <c r="AL4768" s="182" t="n">
        <v>0</v>
      </c>
      <c r="AM4768" s="182" t="n">
        <v>0</v>
      </c>
      <c r="AN4768" s="182" t="n">
        <v>0</v>
      </c>
    </row>
    <row r="4769">
      <c r="A4769" s="155" t="n">
        <v>46103</v>
      </c>
      <c r="B4769" s="156" t="inlineStr">
        <is>
          <t>NS</t>
        </is>
      </c>
      <c r="C4769" s="156" t="inlineStr">
        <is>
          <t>EX-222</t>
        </is>
      </c>
      <c r="D4769" s="156" t="inlineStr">
        <is>
          <t>PC 200-8MI</t>
        </is>
      </c>
      <c r="E4769" s="156" t="inlineStr">
        <is>
          <t>Excavator</t>
        </is>
      </c>
      <c r="F4769" s="156" t="inlineStr">
        <is>
          <t>Support Rehandling Dirty WP</t>
        </is>
      </c>
      <c r="G4769" s="182" t="n">
        <v>7.85</v>
      </c>
      <c r="H4769" s="182" t="n">
        <v>0</v>
      </c>
      <c r="I4769" s="182" t="n">
        <v>1.5</v>
      </c>
      <c r="J4769" s="182" t="n">
        <v>1.5</v>
      </c>
      <c r="K4769" s="182" t="n">
        <v>2.65</v>
      </c>
      <c r="L4769" s="182" t="n">
        <v>12</v>
      </c>
      <c r="M4769" s="182" t="n">
        <v>0</v>
      </c>
      <c r="N4769" s="182" t="n">
        <v>0</v>
      </c>
      <c r="O4769" s="183" t="n">
        <v>0</v>
      </c>
      <c r="P4769" s="183" t="n">
        <v>0</v>
      </c>
      <c r="Q4769" s="184" t="n">
        <v>0</v>
      </c>
      <c r="R4769" s="184" t="n">
        <v>0</v>
      </c>
      <c r="S4769" s="183" t="n">
        <v>0</v>
      </c>
      <c r="T4769" s="183" t="n">
        <v>0</v>
      </c>
      <c r="U4769" s="182" t="n">
        <v>0</v>
      </c>
      <c r="V4769" s="182" t="n">
        <v>0</v>
      </c>
      <c r="W4769" s="182" t="n">
        <v>0</v>
      </c>
      <c r="X4769" s="182" t="n">
        <v>1.1</v>
      </c>
      <c r="Y4769" s="182" t="n">
        <v>0</v>
      </c>
      <c r="Z4769" s="182" t="n">
        <v>0</v>
      </c>
      <c r="AA4769" s="182" t="n">
        <v>0</v>
      </c>
      <c r="AB4769" s="182" t="n">
        <v>0</v>
      </c>
      <c r="AC4769" s="182" t="n">
        <v>0</v>
      </c>
      <c r="AD4769" s="182" t="n">
        <v>0</v>
      </c>
      <c r="AE4769" s="182" t="n">
        <v>0</v>
      </c>
      <c r="AF4769" s="182" t="n">
        <v>0</v>
      </c>
      <c r="AG4769" s="182" t="n">
        <v>0</v>
      </c>
      <c r="AH4769" s="182" t="n">
        <v>0</v>
      </c>
      <c r="AI4769" s="182" t="n">
        <v>0</v>
      </c>
      <c r="AJ4769" s="182" t="n">
        <v>0</v>
      </c>
      <c r="AK4769" s="182" t="n">
        <v>1.46</v>
      </c>
      <c r="AL4769" s="182" t="n">
        <v>0</v>
      </c>
      <c r="AM4769" s="182" t="n">
        <v>0.09</v>
      </c>
      <c r="AN4769" s="182" t="n">
        <v>0</v>
      </c>
    </row>
    <row r="4770">
      <c r="A4770" s="155" t="n">
        <v>46103</v>
      </c>
      <c r="B4770" s="156" t="inlineStr">
        <is>
          <t>NS</t>
        </is>
      </c>
      <c r="C4770" s="156" t="inlineStr">
        <is>
          <t>EX-225</t>
        </is>
      </c>
      <c r="D4770" s="156" t="inlineStr">
        <is>
          <t>PC 200-8</t>
        </is>
      </c>
      <c r="E4770" s="156" t="inlineStr">
        <is>
          <t>Excavator</t>
        </is>
      </c>
      <c r="F4770" s="156" t="inlineStr"/>
      <c r="G4770" s="182" t="n">
        <v>0</v>
      </c>
      <c r="H4770" s="182" t="n">
        <v>0</v>
      </c>
      <c r="I4770" s="182" t="n">
        <v>12</v>
      </c>
      <c r="J4770" s="182" t="n">
        <v>12</v>
      </c>
      <c r="K4770" s="182" t="n">
        <v>0</v>
      </c>
      <c r="L4770" s="182" t="n">
        <v>12</v>
      </c>
      <c r="M4770" s="182" t="n">
        <v>0</v>
      </c>
      <c r="N4770" s="182" t="n">
        <v>0</v>
      </c>
      <c r="O4770" s="183" t="n">
        <v>0</v>
      </c>
      <c r="P4770" s="183" t="n">
        <v>0</v>
      </c>
      <c r="Q4770" s="184" t="n">
        <v>0</v>
      </c>
      <c r="R4770" s="184" t="n">
        <v>0</v>
      </c>
      <c r="S4770" s="183" t="n">
        <v>0</v>
      </c>
      <c r="T4770" s="183" t="n">
        <v>0</v>
      </c>
      <c r="U4770" s="182" t="n">
        <v>0</v>
      </c>
      <c r="V4770" s="182" t="n">
        <v>0</v>
      </c>
      <c r="W4770" s="182" t="n">
        <v>0</v>
      </c>
      <c r="X4770" s="182" t="n">
        <v>0</v>
      </c>
      <c r="Y4770" s="182" t="n">
        <v>0</v>
      </c>
      <c r="Z4770" s="182" t="n">
        <v>0</v>
      </c>
      <c r="AA4770" s="182" t="n">
        <v>0</v>
      </c>
      <c r="AB4770" s="182" t="n">
        <v>0</v>
      </c>
      <c r="AC4770" s="182" t="n">
        <v>0</v>
      </c>
      <c r="AD4770" s="182" t="n">
        <v>0</v>
      </c>
      <c r="AE4770" s="182" t="n">
        <v>0</v>
      </c>
      <c r="AF4770" s="182" t="n">
        <v>0</v>
      </c>
      <c r="AG4770" s="182" t="n">
        <v>0</v>
      </c>
      <c r="AH4770" s="182" t="n">
        <v>0</v>
      </c>
      <c r="AI4770" s="182" t="n">
        <v>0</v>
      </c>
      <c r="AJ4770" s="182" t="n">
        <v>0</v>
      </c>
      <c r="AK4770" s="182" t="n">
        <v>0</v>
      </c>
      <c r="AL4770" s="182" t="n">
        <v>0</v>
      </c>
      <c r="AM4770" s="182" t="n">
        <v>0</v>
      </c>
      <c r="AN4770" s="182" t="n">
        <v>0</v>
      </c>
    </row>
    <row r="4771">
      <c r="A4771" s="155" t="n">
        <v>46103</v>
      </c>
      <c r="B4771" s="156" t="inlineStr">
        <is>
          <t>NS</t>
        </is>
      </c>
      <c r="C4771" s="156" t="inlineStr">
        <is>
          <t>EX-223</t>
        </is>
      </c>
      <c r="D4771" s="156" t="inlineStr">
        <is>
          <t>PC 200-8MI</t>
        </is>
      </c>
      <c r="E4771" s="156" t="inlineStr">
        <is>
          <t>Excavator</t>
        </is>
      </c>
      <c r="F4771" s="156" t="inlineStr">
        <is>
          <t>Sidecast Coal di Hopper WP</t>
        </is>
      </c>
      <c r="G4771" s="182" t="n">
        <v>12</v>
      </c>
      <c r="H4771" s="182" t="n">
        <v>0</v>
      </c>
      <c r="I4771" s="182" t="n">
        <v>0</v>
      </c>
      <c r="J4771" s="182" t="n">
        <v>0</v>
      </c>
      <c r="K4771" s="182" t="n">
        <v>0</v>
      </c>
      <c r="L4771" s="182" t="n">
        <v>12</v>
      </c>
      <c r="M4771" s="182" t="n">
        <v>0</v>
      </c>
      <c r="N4771" s="182" t="n">
        <v>0</v>
      </c>
      <c r="O4771" s="183" t="n">
        <v>0</v>
      </c>
      <c r="P4771" s="183" t="n">
        <v>0</v>
      </c>
      <c r="Q4771" s="184" t="n">
        <v>0</v>
      </c>
      <c r="R4771" s="184" t="n">
        <v>0</v>
      </c>
      <c r="S4771" s="183" t="n">
        <v>0</v>
      </c>
      <c r="T4771" s="183" t="n">
        <v>0</v>
      </c>
      <c r="U4771" s="182" t="n">
        <v>0</v>
      </c>
      <c r="V4771" s="182" t="n">
        <v>0</v>
      </c>
      <c r="W4771" s="182" t="n">
        <v>0</v>
      </c>
      <c r="X4771" s="182" t="n">
        <v>0</v>
      </c>
      <c r="Y4771" s="182" t="n">
        <v>0</v>
      </c>
      <c r="Z4771" s="182" t="n">
        <v>0</v>
      </c>
      <c r="AA4771" s="182" t="n">
        <v>0</v>
      </c>
      <c r="AB4771" s="182" t="n">
        <v>0</v>
      </c>
      <c r="AC4771" s="182" t="n">
        <v>0</v>
      </c>
      <c r="AD4771" s="182" t="n">
        <v>0</v>
      </c>
      <c r="AE4771" s="182" t="n">
        <v>0</v>
      </c>
      <c r="AF4771" s="182" t="n">
        <v>0</v>
      </c>
      <c r="AG4771" s="182" t="n">
        <v>0</v>
      </c>
      <c r="AH4771" s="182" t="n">
        <v>0</v>
      </c>
      <c r="AI4771" s="182" t="n">
        <v>0</v>
      </c>
      <c r="AJ4771" s="182" t="n">
        <v>0</v>
      </c>
      <c r="AK4771" s="182" t="n">
        <v>0</v>
      </c>
      <c r="AL4771" s="182" t="n">
        <v>0</v>
      </c>
      <c r="AM4771" s="182" t="n">
        <v>0</v>
      </c>
      <c r="AN4771" s="182" t="n">
        <v>0</v>
      </c>
    </row>
    <row r="4772">
      <c r="A4772" s="155" t="n">
        <v>46103</v>
      </c>
      <c r="B4772" s="156" t="inlineStr">
        <is>
          <t>NS</t>
        </is>
      </c>
      <c r="C4772" s="156" t="inlineStr">
        <is>
          <t>EX-221</t>
        </is>
      </c>
      <c r="D4772" s="156" t="inlineStr">
        <is>
          <t>PC 200-8MI</t>
        </is>
      </c>
      <c r="E4772" s="156" t="inlineStr">
        <is>
          <t>Excavator</t>
        </is>
      </c>
      <c r="F4772" s="156" t="inlineStr"/>
      <c r="G4772" s="182" t="n">
        <v>0</v>
      </c>
      <c r="H4772" s="182" t="n">
        <v>0</v>
      </c>
      <c r="I4772" s="182" t="n">
        <v>0</v>
      </c>
      <c r="J4772" s="182" t="n">
        <v>0</v>
      </c>
      <c r="K4772" s="182" t="n">
        <v>12</v>
      </c>
      <c r="L4772" s="182" t="n">
        <v>12</v>
      </c>
      <c r="M4772" s="182" t="n">
        <v>0</v>
      </c>
      <c r="N4772" s="182" t="n">
        <v>0</v>
      </c>
      <c r="O4772" s="183" t="n">
        <v>0</v>
      </c>
      <c r="P4772" s="183" t="n">
        <v>0</v>
      </c>
      <c r="Q4772" s="184" t="n">
        <v>0</v>
      </c>
      <c r="R4772" s="184" t="n">
        <v>0</v>
      </c>
      <c r="S4772" s="183" t="n">
        <v>0</v>
      </c>
      <c r="T4772" s="183" t="n">
        <v>0</v>
      </c>
      <c r="U4772" s="182" t="n">
        <v>0</v>
      </c>
      <c r="V4772" s="182" t="n">
        <v>0</v>
      </c>
      <c r="W4772" s="182" t="n">
        <v>0</v>
      </c>
      <c r="X4772" s="182" t="n">
        <v>1</v>
      </c>
      <c r="Y4772" s="182" t="n">
        <v>0</v>
      </c>
      <c r="Z4772" s="182" t="n">
        <v>0</v>
      </c>
      <c r="AA4772" s="182" t="n">
        <v>0</v>
      </c>
      <c r="AB4772" s="182" t="n">
        <v>0</v>
      </c>
      <c r="AC4772" s="182" t="n">
        <v>0</v>
      </c>
      <c r="AD4772" s="182" t="n">
        <v>0</v>
      </c>
      <c r="AE4772" s="182" t="n">
        <v>0</v>
      </c>
      <c r="AF4772" s="182" t="n">
        <v>0</v>
      </c>
      <c r="AG4772" s="182" t="n">
        <v>0</v>
      </c>
      <c r="AH4772" s="182" t="n">
        <v>0</v>
      </c>
      <c r="AI4772" s="182" t="n">
        <v>0</v>
      </c>
      <c r="AJ4772" s="182" t="n">
        <v>0</v>
      </c>
      <c r="AK4772" s="182" t="n">
        <v>10.92</v>
      </c>
      <c r="AL4772" s="182" t="n">
        <v>0</v>
      </c>
      <c r="AM4772" s="182" t="n">
        <v>0.08</v>
      </c>
      <c r="AN4772" s="182" t="n">
        <v>0</v>
      </c>
    </row>
    <row r="4773">
      <c r="A4773" s="155" t="n">
        <v>46103</v>
      </c>
      <c r="B4773" s="156" t="inlineStr">
        <is>
          <t>NS</t>
        </is>
      </c>
      <c r="C4773" s="156" t="inlineStr">
        <is>
          <t>EX-331</t>
        </is>
      </c>
      <c r="D4773" s="156" t="inlineStr">
        <is>
          <t>PC 300-8MO</t>
        </is>
      </c>
      <c r="E4773" s="156" t="inlineStr">
        <is>
          <t>Excavator</t>
        </is>
      </c>
      <c r="F4773" s="156" t="inlineStr"/>
      <c r="G4773" s="182" t="n">
        <v>0</v>
      </c>
      <c r="H4773" s="182" t="n">
        <v>0</v>
      </c>
      <c r="I4773" s="182" t="n">
        <v>12</v>
      </c>
      <c r="J4773" s="182" t="n">
        <v>12</v>
      </c>
      <c r="K4773" s="182" t="n">
        <v>0</v>
      </c>
      <c r="L4773" s="182" t="n">
        <v>12</v>
      </c>
      <c r="M4773" s="182" t="n">
        <v>0</v>
      </c>
      <c r="N4773" s="182" t="n">
        <v>0</v>
      </c>
      <c r="O4773" s="183" t="n">
        <v>0</v>
      </c>
      <c r="P4773" s="183" t="n">
        <v>0</v>
      </c>
      <c r="Q4773" s="184" t="n">
        <v>0</v>
      </c>
      <c r="R4773" s="184" t="n">
        <v>0</v>
      </c>
      <c r="S4773" s="183" t="n">
        <v>0</v>
      </c>
      <c r="T4773" s="183" t="n">
        <v>0</v>
      </c>
      <c r="U4773" s="182" t="n">
        <v>0</v>
      </c>
      <c r="V4773" s="182" t="n">
        <v>0</v>
      </c>
      <c r="W4773" s="182" t="n">
        <v>0</v>
      </c>
      <c r="X4773" s="182" t="n">
        <v>0</v>
      </c>
      <c r="Y4773" s="182" t="n">
        <v>0</v>
      </c>
      <c r="Z4773" s="182" t="n">
        <v>0</v>
      </c>
      <c r="AA4773" s="182" t="n">
        <v>0</v>
      </c>
      <c r="AB4773" s="182" t="n">
        <v>0</v>
      </c>
      <c r="AC4773" s="182" t="n">
        <v>0</v>
      </c>
      <c r="AD4773" s="182" t="n">
        <v>0</v>
      </c>
      <c r="AE4773" s="182" t="n">
        <v>0</v>
      </c>
      <c r="AF4773" s="182" t="n">
        <v>0</v>
      </c>
      <c r="AG4773" s="182" t="n">
        <v>0</v>
      </c>
      <c r="AH4773" s="182" t="n">
        <v>0</v>
      </c>
      <c r="AI4773" s="182" t="n">
        <v>0</v>
      </c>
      <c r="AJ4773" s="182" t="n">
        <v>0</v>
      </c>
      <c r="AK4773" s="182" t="n">
        <v>0</v>
      </c>
      <c r="AL4773" s="182" t="n">
        <v>0</v>
      </c>
      <c r="AM4773" s="182" t="n">
        <v>0</v>
      </c>
      <c r="AN4773" s="182" t="n">
        <v>0</v>
      </c>
    </row>
    <row r="4774">
      <c r="A4774" s="155" t="n">
        <v>46103</v>
      </c>
      <c r="B4774" s="156" t="inlineStr">
        <is>
          <t>NS</t>
        </is>
      </c>
      <c r="C4774" s="156" t="inlineStr">
        <is>
          <t>EX-334</t>
        </is>
      </c>
      <c r="D4774" s="156" t="inlineStr">
        <is>
          <t>PC 300-8MO</t>
        </is>
      </c>
      <c r="E4774" s="156" t="inlineStr">
        <is>
          <t>Excavator</t>
        </is>
      </c>
      <c r="F4774" s="156" t="inlineStr">
        <is>
          <t>Progress Coal S60CUCL</t>
        </is>
      </c>
      <c r="G4774" s="182" t="n">
        <v>4.32</v>
      </c>
      <c r="H4774" s="182" t="n">
        <v>0</v>
      </c>
      <c r="I4774" s="182" t="n">
        <v>7.67</v>
      </c>
      <c r="J4774" s="182" t="n">
        <v>7.67</v>
      </c>
      <c r="K4774" s="182" t="n">
        <v>0.01</v>
      </c>
      <c r="L4774" s="182" t="n">
        <v>12</v>
      </c>
      <c r="M4774" s="182" t="n">
        <v>0</v>
      </c>
      <c r="N4774" s="182" t="n">
        <v>0</v>
      </c>
      <c r="O4774" s="183" t="n">
        <v>0</v>
      </c>
      <c r="P4774" s="183" t="n">
        <v>0</v>
      </c>
      <c r="Q4774" s="184" t="n">
        <v>0</v>
      </c>
      <c r="R4774" s="184" t="n">
        <v>0</v>
      </c>
      <c r="S4774" s="183" t="n">
        <v>0</v>
      </c>
      <c r="T4774" s="183" t="n">
        <v>0</v>
      </c>
      <c r="U4774" s="182" t="n">
        <v>0</v>
      </c>
      <c r="V4774" s="182" t="n">
        <v>0</v>
      </c>
      <c r="W4774" s="182" t="n">
        <v>0</v>
      </c>
      <c r="X4774" s="182" t="n">
        <v>0</v>
      </c>
      <c r="Y4774" s="182" t="n">
        <v>0</v>
      </c>
      <c r="Z4774" s="182" t="n">
        <v>0</v>
      </c>
      <c r="AA4774" s="182" t="n">
        <v>0</v>
      </c>
      <c r="AB4774" s="182" t="n">
        <v>0</v>
      </c>
      <c r="AC4774" s="182" t="n">
        <v>0</v>
      </c>
      <c r="AD4774" s="182" t="n">
        <v>0</v>
      </c>
      <c r="AE4774" s="182" t="n">
        <v>0</v>
      </c>
      <c r="AF4774" s="182" t="n">
        <v>0</v>
      </c>
      <c r="AG4774" s="182" t="n">
        <v>0</v>
      </c>
      <c r="AH4774" s="182" t="n">
        <v>0</v>
      </c>
      <c r="AI4774" s="182" t="n">
        <v>0</v>
      </c>
      <c r="AJ4774" s="182" t="n">
        <v>0</v>
      </c>
      <c r="AK4774" s="182" t="n">
        <v>0</v>
      </c>
      <c r="AL4774" s="182" t="n">
        <v>0</v>
      </c>
      <c r="AM4774" s="182" t="n">
        <v>0.01</v>
      </c>
      <c r="AN4774" s="182" t="n">
        <v>0</v>
      </c>
    </row>
    <row r="4775">
      <c r="A4775" s="155" t="n">
        <v>46103</v>
      </c>
      <c r="B4775" s="156" t="inlineStr">
        <is>
          <t>NS</t>
        </is>
      </c>
      <c r="C4775" s="156" t="inlineStr">
        <is>
          <t>EX-332</t>
        </is>
      </c>
      <c r="D4775" s="156" t="inlineStr">
        <is>
          <t>PC 300-8MO</t>
        </is>
      </c>
      <c r="E4775" s="156" t="inlineStr">
        <is>
          <t>Excavator</t>
        </is>
      </c>
      <c r="F4775" s="156" t="inlineStr">
        <is>
          <t>Cleaning Coal S60</t>
        </is>
      </c>
      <c r="G4775" s="182" t="n">
        <v>3.94</v>
      </c>
      <c r="H4775" s="182" t="n">
        <v>0</v>
      </c>
      <c r="I4775" s="182" t="n">
        <v>7.82</v>
      </c>
      <c r="J4775" s="182" t="n">
        <v>7.82</v>
      </c>
      <c r="K4775" s="182" t="n">
        <v>0.24</v>
      </c>
      <c r="L4775" s="182" t="n">
        <v>12</v>
      </c>
      <c r="M4775" s="182" t="n">
        <v>0</v>
      </c>
      <c r="N4775" s="182" t="n">
        <v>0</v>
      </c>
      <c r="O4775" s="183" t="n">
        <v>0</v>
      </c>
      <c r="P4775" s="183" t="n">
        <v>0</v>
      </c>
      <c r="Q4775" s="184" t="n">
        <v>0</v>
      </c>
      <c r="R4775" s="184" t="n">
        <v>0</v>
      </c>
      <c r="S4775" s="183" t="n">
        <v>0</v>
      </c>
      <c r="T4775" s="183" t="n">
        <v>0</v>
      </c>
      <c r="U4775" s="182" t="n">
        <v>0</v>
      </c>
      <c r="V4775" s="182" t="n">
        <v>0</v>
      </c>
      <c r="W4775" s="182" t="n">
        <v>0</v>
      </c>
      <c r="X4775" s="182" t="n">
        <v>0</v>
      </c>
      <c r="Y4775" s="182" t="n">
        <v>0</v>
      </c>
      <c r="Z4775" s="182" t="n">
        <v>0</v>
      </c>
      <c r="AA4775" s="182" t="n">
        <v>0</v>
      </c>
      <c r="AB4775" s="182" t="n">
        <v>0</v>
      </c>
      <c r="AC4775" s="182" t="n">
        <v>0</v>
      </c>
      <c r="AD4775" s="182" t="n">
        <v>0</v>
      </c>
      <c r="AE4775" s="182" t="n">
        <v>0</v>
      </c>
      <c r="AF4775" s="182" t="n">
        <v>0</v>
      </c>
      <c r="AG4775" s="182" t="n">
        <v>0</v>
      </c>
      <c r="AH4775" s="182" t="n">
        <v>0</v>
      </c>
      <c r="AI4775" s="182" t="n">
        <v>0</v>
      </c>
      <c r="AJ4775" s="182" t="n">
        <v>0</v>
      </c>
      <c r="AK4775" s="182" t="n">
        <v>0</v>
      </c>
      <c r="AL4775" s="182" t="n">
        <v>0</v>
      </c>
      <c r="AM4775" s="182" t="n">
        <v>0.24</v>
      </c>
      <c r="AN4775" s="182" t="n">
        <v>0</v>
      </c>
    </row>
    <row r="4776">
      <c r="A4776" s="155" t="n">
        <v>46103</v>
      </c>
      <c r="B4776" s="156" t="inlineStr">
        <is>
          <t>NS</t>
        </is>
      </c>
      <c r="C4776" s="156" t="inlineStr">
        <is>
          <t>EX-333</t>
        </is>
      </c>
      <c r="D4776" s="156" t="inlineStr">
        <is>
          <t>PC 300-8MO</t>
        </is>
      </c>
      <c r="E4776" s="156" t="inlineStr">
        <is>
          <t>Excavator</t>
        </is>
      </c>
      <c r="F4776" s="156" t="inlineStr">
        <is>
          <t>Cleaning Coal S45</t>
        </is>
      </c>
      <c r="G4776" s="182" t="n">
        <v>11.87</v>
      </c>
      <c r="H4776" s="182" t="n">
        <v>0</v>
      </c>
      <c r="I4776" s="182" t="n">
        <v>0</v>
      </c>
      <c r="J4776" s="182" t="n">
        <v>0</v>
      </c>
      <c r="K4776" s="182" t="n">
        <v>0.13</v>
      </c>
      <c r="L4776" s="182" t="n">
        <v>12</v>
      </c>
      <c r="M4776" s="182" t="n">
        <v>0</v>
      </c>
      <c r="N4776" s="182" t="n">
        <v>11.87</v>
      </c>
      <c r="O4776" s="183" t="n">
        <v>0</v>
      </c>
      <c r="P4776" s="183" t="n">
        <v>0</v>
      </c>
      <c r="Q4776" s="184" t="n">
        <v>0</v>
      </c>
      <c r="R4776" s="184" t="n">
        <v>0</v>
      </c>
      <c r="S4776" s="183" t="n">
        <v>0</v>
      </c>
      <c r="T4776" s="183" t="n">
        <v>0</v>
      </c>
      <c r="U4776" s="182" t="n">
        <v>0</v>
      </c>
      <c r="V4776" s="182" t="n">
        <v>0</v>
      </c>
      <c r="W4776" s="182" t="n">
        <v>0</v>
      </c>
      <c r="X4776" s="182" t="n">
        <v>0</v>
      </c>
      <c r="Y4776" s="182" t="n">
        <v>0</v>
      </c>
      <c r="Z4776" s="182" t="n">
        <v>0</v>
      </c>
      <c r="AA4776" s="182" t="n">
        <v>0</v>
      </c>
      <c r="AB4776" s="182" t="n">
        <v>0</v>
      </c>
      <c r="AC4776" s="182" t="n">
        <v>0</v>
      </c>
      <c r="AD4776" s="182" t="n">
        <v>0</v>
      </c>
      <c r="AE4776" s="182" t="n">
        <v>0</v>
      </c>
      <c r="AF4776" s="182" t="n">
        <v>0</v>
      </c>
      <c r="AG4776" s="182" t="n">
        <v>0</v>
      </c>
      <c r="AH4776" s="182" t="n">
        <v>0</v>
      </c>
      <c r="AI4776" s="182" t="n">
        <v>0</v>
      </c>
      <c r="AJ4776" s="182" t="n">
        <v>0</v>
      </c>
      <c r="AK4776" s="182" t="n">
        <v>0</v>
      </c>
      <c r="AL4776" s="182" t="n">
        <v>0</v>
      </c>
      <c r="AM4776" s="182" t="n">
        <v>0</v>
      </c>
      <c r="AN4776" s="182" t="n">
        <v>0</v>
      </c>
    </row>
    <row r="4777">
      <c r="A4777" s="155" t="n">
        <v>46103</v>
      </c>
      <c r="B4777" s="156" t="inlineStr">
        <is>
          <t>NS</t>
        </is>
      </c>
      <c r="C4777" s="156" t="inlineStr">
        <is>
          <t>EX-336</t>
        </is>
      </c>
      <c r="D4777" s="156" t="inlineStr">
        <is>
          <t>PC 300-8MO</t>
        </is>
      </c>
      <c r="E4777" s="156" t="inlineStr">
        <is>
          <t>Excavator</t>
        </is>
      </c>
      <c r="F4777" s="156" t="inlineStr"/>
      <c r="G4777" s="182" t="n">
        <v>0</v>
      </c>
      <c r="H4777" s="182" t="n">
        <v>0</v>
      </c>
      <c r="I4777" s="182" t="n">
        <v>12</v>
      </c>
      <c r="J4777" s="182" t="n">
        <v>12</v>
      </c>
      <c r="K4777" s="182" t="n">
        <v>0</v>
      </c>
      <c r="L4777" s="182" t="n">
        <v>12</v>
      </c>
      <c r="M4777" s="182" t="n">
        <v>0</v>
      </c>
      <c r="N4777" s="182" t="n">
        <v>0</v>
      </c>
      <c r="O4777" s="183" t="n">
        <v>0</v>
      </c>
      <c r="P4777" s="183" t="n">
        <v>0</v>
      </c>
      <c r="Q4777" s="184" t="n">
        <v>0</v>
      </c>
      <c r="R4777" s="184" t="n">
        <v>0</v>
      </c>
      <c r="S4777" s="183" t="n">
        <v>0</v>
      </c>
      <c r="T4777" s="183" t="n">
        <v>0</v>
      </c>
      <c r="U4777" s="182" t="n">
        <v>0</v>
      </c>
      <c r="V4777" s="182" t="n">
        <v>0</v>
      </c>
      <c r="W4777" s="182" t="n">
        <v>0</v>
      </c>
      <c r="X4777" s="182" t="n">
        <v>0</v>
      </c>
      <c r="Y4777" s="182" t="n">
        <v>0</v>
      </c>
      <c r="Z4777" s="182" t="n">
        <v>0</v>
      </c>
      <c r="AA4777" s="182" t="n">
        <v>0</v>
      </c>
      <c r="AB4777" s="182" t="n">
        <v>0</v>
      </c>
      <c r="AC4777" s="182" t="n">
        <v>0</v>
      </c>
      <c r="AD4777" s="182" t="n">
        <v>0</v>
      </c>
      <c r="AE4777" s="182" t="n">
        <v>0</v>
      </c>
      <c r="AF4777" s="182" t="n">
        <v>0</v>
      </c>
      <c r="AG4777" s="182" t="n">
        <v>0</v>
      </c>
      <c r="AH4777" s="182" t="n">
        <v>0</v>
      </c>
      <c r="AI4777" s="182" t="n">
        <v>0</v>
      </c>
      <c r="AJ4777" s="182" t="n">
        <v>0</v>
      </c>
      <c r="AK4777" s="182" t="n">
        <v>0</v>
      </c>
      <c r="AL4777" s="182" t="n">
        <v>0</v>
      </c>
      <c r="AM4777" s="182" t="n">
        <v>0</v>
      </c>
      <c r="AN4777" s="182" t="n">
        <v>0</v>
      </c>
    </row>
    <row r="4778">
      <c r="A4778" s="155" t="n">
        <v>46103</v>
      </c>
      <c r="B4778" s="156" t="inlineStr">
        <is>
          <t>NS</t>
        </is>
      </c>
      <c r="C4778" s="156" t="inlineStr">
        <is>
          <t>EX-335</t>
        </is>
      </c>
      <c r="D4778" s="156" t="inlineStr">
        <is>
          <t>PC 300-8MO</t>
        </is>
      </c>
      <c r="E4778" s="156" t="inlineStr">
        <is>
          <t>Excavator</t>
        </is>
      </c>
      <c r="F4778" s="156" t="inlineStr"/>
      <c r="G4778" s="182" t="n">
        <v>0</v>
      </c>
      <c r="H4778" s="182" t="n">
        <v>0</v>
      </c>
      <c r="I4778" s="182" t="n">
        <v>12</v>
      </c>
      <c r="J4778" s="182" t="n">
        <v>12</v>
      </c>
      <c r="K4778" s="182" t="n">
        <v>0</v>
      </c>
      <c r="L4778" s="182" t="n">
        <v>12</v>
      </c>
      <c r="M4778" s="182" t="n">
        <v>0</v>
      </c>
      <c r="N4778" s="182" t="n">
        <v>0</v>
      </c>
      <c r="O4778" s="183" t="n">
        <v>0</v>
      </c>
      <c r="P4778" s="183" t="n">
        <v>0</v>
      </c>
      <c r="Q4778" s="184" t="n">
        <v>0</v>
      </c>
      <c r="R4778" s="184" t="n">
        <v>0</v>
      </c>
      <c r="S4778" s="183" t="n">
        <v>0</v>
      </c>
      <c r="T4778" s="183" t="n">
        <v>0</v>
      </c>
      <c r="U4778" s="182" t="n">
        <v>0</v>
      </c>
      <c r="V4778" s="182" t="n">
        <v>0</v>
      </c>
      <c r="W4778" s="182" t="n">
        <v>0</v>
      </c>
      <c r="X4778" s="182" t="n">
        <v>0</v>
      </c>
      <c r="Y4778" s="182" t="n">
        <v>0</v>
      </c>
      <c r="Z4778" s="182" t="n">
        <v>0</v>
      </c>
      <c r="AA4778" s="182" t="n">
        <v>0</v>
      </c>
      <c r="AB4778" s="182" t="n">
        <v>0</v>
      </c>
      <c r="AC4778" s="182" t="n">
        <v>0</v>
      </c>
      <c r="AD4778" s="182" t="n">
        <v>0</v>
      </c>
      <c r="AE4778" s="182" t="n">
        <v>0</v>
      </c>
      <c r="AF4778" s="182" t="n">
        <v>0</v>
      </c>
      <c r="AG4778" s="182" t="n">
        <v>0</v>
      </c>
      <c r="AH4778" s="182" t="n">
        <v>0</v>
      </c>
      <c r="AI4778" s="182" t="n">
        <v>0</v>
      </c>
      <c r="AJ4778" s="182" t="n">
        <v>0</v>
      </c>
      <c r="AK4778" s="182" t="n">
        <v>0</v>
      </c>
      <c r="AL4778" s="182" t="n">
        <v>0</v>
      </c>
      <c r="AM4778" s="182" t="n">
        <v>0</v>
      </c>
      <c r="AN4778" s="182" t="n">
        <v>0</v>
      </c>
    </row>
    <row r="4779">
      <c r="A4779" s="155" t="n">
        <v>46103</v>
      </c>
      <c r="B4779" s="156" t="inlineStr">
        <is>
          <t>NS</t>
        </is>
      </c>
      <c r="C4779" s="156" t="inlineStr">
        <is>
          <t>EX-754</t>
        </is>
      </c>
      <c r="D4779" s="156" t="inlineStr">
        <is>
          <t>SY750H-PRO</t>
        </is>
      </c>
      <c r="E4779" s="156" t="inlineStr">
        <is>
          <t>Excavator</t>
        </is>
      </c>
      <c r="F4779" s="156" t="inlineStr">
        <is>
          <t>Loading Coal S45, S60 &amp; OB</t>
        </is>
      </c>
      <c r="G4779" s="182" t="n">
        <v>8.81</v>
      </c>
      <c r="H4779" s="182" t="n">
        <v>0</v>
      </c>
      <c r="I4779" s="182" t="n">
        <v>0</v>
      </c>
      <c r="J4779" s="182" t="n">
        <v>0</v>
      </c>
      <c r="K4779" s="182" t="n">
        <v>3.19</v>
      </c>
      <c r="L4779" s="182" t="n">
        <v>12</v>
      </c>
      <c r="M4779" s="182" t="n">
        <v>0.6899999999999999</v>
      </c>
      <c r="N4779" s="182" t="n">
        <v>7.59</v>
      </c>
      <c r="O4779" s="183" t="n">
        <v>20</v>
      </c>
      <c r="P4779" s="183" t="n">
        <v>78</v>
      </c>
      <c r="Q4779" s="184" t="n">
        <v>408</v>
      </c>
      <c r="R4779" s="184" t="n">
        <v>1458.6</v>
      </c>
      <c r="S4779" s="183" t="n">
        <v>0</v>
      </c>
      <c r="T4779" s="183" t="n">
        <v>0</v>
      </c>
      <c r="U4779" s="182" t="n">
        <v>0</v>
      </c>
      <c r="V4779" s="182" t="n">
        <v>0</v>
      </c>
      <c r="W4779" s="182" t="n">
        <v>0</v>
      </c>
      <c r="X4779" s="182" t="n">
        <v>1.06</v>
      </c>
      <c r="Y4779" s="182" t="n">
        <v>0</v>
      </c>
      <c r="Z4779" s="182" t="n">
        <v>0</v>
      </c>
      <c r="AA4779" s="182" t="n">
        <v>0</v>
      </c>
      <c r="AB4779" s="182" t="n">
        <v>0</v>
      </c>
      <c r="AC4779" s="182" t="n">
        <v>0</v>
      </c>
      <c r="AD4779" s="182" t="n">
        <v>0.88</v>
      </c>
      <c r="AE4779" s="182" t="n">
        <v>0</v>
      </c>
      <c r="AF4779" s="182" t="n">
        <v>0</v>
      </c>
      <c r="AG4779" s="182" t="n">
        <v>0.62</v>
      </c>
      <c r="AH4779" s="182" t="n">
        <v>0.53</v>
      </c>
      <c r="AI4779" s="182" t="n">
        <v>0</v>
      </c>
      <c r="AJ4779" s="182" t="n">
        <v>0</v>
      </c>
      <c r="AK4779" s="182" t="n">
        <v>0</v>
      </c>
      <c r="AL4779" s="182" t="n">
        <v>0</v>
      </c>
      <c r="AM4779" s="182" t="n">
        <v>0.09</v>
      </c>
      <c r="AN4779" s="182" t="n">
        <v>0</v>
      </c>
    </row>
    <row r="4780">
      <c r="A4780" s="155" t="n">
        <v>46103</v>
      </c>
      <c r="B4780" s="156" t="inlineStr">
        <is>
          <t>NS</t>
        </is>
      </c>
      <c r="C4780" s="156" t="inlineStr">
        <is>
          <t>EX-755</t>
        </is>
      </c>
      <c r="D4780" s="156" t="inlineStr">
        <is>
          <t>SY750H-PRO</t>
        </is>
      </c>
      <c r="E4780" s="156" t="inlineStr">
        <is>
          <t>Excavator</t>
        </is>
      </c>
      <c r="F4780" s="156" t="inlineStr">
        <is>
          <t>Loading OB</t>
        </is>
      </c>
      <c r="G4780" s="182" t="n">
        <v>10.51</v>
      </c>
      <c r="H4780" s="182" t="n">
        <v>0</v>
      </c>
      <c r="I4780" s="182" t="n">
        <v>0</v>
      </c>
      <c r="J4780" s="182" t="n">
        <v>0</v>
      </c>
      <c r="K4780" s="182" t="n">
        <v>1.49</v>
      </c>
      <c r="L4780" s="182" t="n">
        <v>12</v>
      </c>
      <c r="M4780" s="182" t="n">
        <v>10.51</v>
      </c>
      <c r="N4780" s="182" t="n">
        <v>0</v>
      </c>
      <c r="O4780" s="183" t="n">
        <v>122</v>
      </c>
      <c r="P4780" s="183" t="n">
        <v>0</v>
      </c>
      <c r="Q4780" s="184" t="n">
        <v>2488.8</v>
      </c>
      <c r="R4780" s="184" t="n">
        <v>0</v>
      </c>
      <c r="S4780" s="183" t="n">
        <v>0</v>
      </c>
      <c r="T4780" s="183" t="n">
        <v>0</v>
      </c>
      <c r="U4780" s="182" t="n">
        <v>0</v>
      </c>
      <c r="V4780" s="182" t="n">
        <v>0</v>
      </c>
      <c r="W4780" s="182" t="n">
        <v>0</v>
      </c>
      <c r="X4780" s="182" t="n">
        <v>0.83</v>
      </c>
      <c r="Y4780" s="182" t="n">
        <v>0</v>
      </c>
      <c r="Z4780" s="182" t="n">
        <v>0.17</v>
      </c>
      <c r="AA4780" s="182" t="n">
        <v>0</v>
      </c>
      <c r="AB4780" s="182" t="n">
        <v>0</v>
      </c>
      <c r="AC4780" s="182" t="n">
        <v>0</v>
      </c>
      <c r="AD4780" s="182" t="n">
        <v>0</v>
      </c>
      <c r="AE4780" s="182" t="n">
        <v>0</v>
      </c>
      <c r="AF4780" s="182" t="n">
        <v>0</v>
      </c>
      <c r="AG4780" s="182" t="n">
        <v>0</v>
      </c>
      <c r="AH4780" s="182" t="n">
        <v>0.42</v>
      </c>
      <c r="AI4780" s="182" t="n">
        <v>0</v>
      </c>
      <c r="AJ4780" s="182" t="n">
        <v>0</v>
      </c>
      <c r="AK4780" s="182" t="n">
        <v>0</v>
      </c>
      <c r="AL4780" s="182" t="n">
        <v>0</v>
      </c>
      <c r="AM4780" s="182" t="n">
        <v>0.07000000000000001</v>
      </c>
      <c r="AN4780" s="182" t="n">
        <v>0</v>
      </c>
    </row>
    <row r="4781">
      <c r="A4781" s="155" t="n">
        <v>46103</v>
      </c>
      <c r="B4781" s="156" t="inlineStr">
        <is>
          <t>NS</t>
        </is>
      </c>
      <c r="C4781" s="156" t="inlineStr">
        <is>
          <t>EX-752</t>
        </is>
      </c>
      <c r="D4781" s="156" t="inlineStr">
        <is>
          <t>SY750H-PRO</t>
        </is>
      </c>
      <c r="E4781" s="156" t="inlineStr">
        <is>
          <t>Excavator</t>
        </is>
      </c>
      <c r="F4781" s="156" t="inlineStr"/>
      <c r="G4781" s="182" t="n">
        <v>0</v>
      </c>
      <c r="H4781" s="182" t="n">
        <v>0</v>
      </c>
      <c r="I4781" s="182" t="n">
        <v>12</v>
      </c>
      <c r="J4781" s="182" t="n">
        <v>12</v>
      </c>
      <c r="K4781" s="182" t="n">
        <v>0</v>
      </c>
      <c r="L4781" s="182" t="n">
        <v>12</v>
      </c>
      <c r="M4781" s="182" t="n">
        <v>0</v>
      </c>
      <c r="N4781" s="182" t="n">
        <v>0</v>
      </c>
      <c r="O4781" s="183" t="n">
        <v>0</v>
      </c>
      <c r="P4781" s="183" t="n">
        <v>0</v>
      </c>
      <c r="Q4781" s="184" t="n">
        <v>0</v>
      </c>
      <c r="R4781" s="184" t="n">
        <v>0</v>
      </c>
      <c r="S4781" s="183" t="n">
        <v>0</v>
      </c>
      <c r="T4781" s="183" t="n">
        <v>0</v>
      </c>
      <c r="U4781" s="182" t="n">
        <v>0</v>
      </c>
      <c r="V4781" s="182" t="n">
        <v>0</v>
      </c>
      <c r="W4781" s="182" t="n">
        <v>0</v>
      </c>
      <c r="X4781" s="182" t="n">
        <v>0</v>
      </c>
      <c r="Y4781" s="182" t="n">
        <v>0</v>
      </c>
      <c r="Z4781" s="182" t="n">
        <v>0</v>
      </c>
      <c r="AA4781" s="182" t="n">
        <v>0</v>
      </c>
      <c r="AB4781" s="182" t="n">
        <v>0</v>
      </c>
      <c r="AC4781" s="182" t="n">
        <v>0</v>
      </c>
      <c r="AD4781" s="182" t="n">
        <v>0</v>
      </c>
      <c r="AE4781" s="182" t="n">
        <v>0</v>
      </c>
      <c r="AF4781" s="182" t="n">
        <v>0</v>
      </c>
      <c r="AG4781" s="182" t="n">
        <v>0</v>
      </c>
      <c r="AH4781" s="182" t="n">
        <v>0</v>
      </c>
      <c r="AI4781" s="182" t="n">
        <v>0</v>
      </c>
      <c r="AJ4781" s="182" t="n">
        <v>0</v>
      </c>
      <c r="AK4781" s="182" t="n">
        <v>0</v>
      </c>
      <c r="AL4781" s="182" t="n">
        <v>0</v>
      </c>
      <c r="AM4781" s="182" t="n">
        <v>0</v>
      </c>
      <c r="AN4781" s="182" t="n">
        <v>0</v>
      </c>
    </row>
    <row r="4782">
      <c r="A4782" s="155" t="n">
        <v>46103</v>
      </c>
      <c r="B4782" s="156" t="inlineStr">
        <is>
          <t>NS</t>
        </is>
      </c>
      <c r="C4782" s="156" t="inlineStr">
        <is>
          <t>EX-751</t>
        </is>
      </c>
      <c r="D4782" s="156" t="inlineStr">
        <is>
          <t>SY750H-PRO</t>
        </is>
      </c>
      <c r="E4782" s="156" t="inlineStr">
        <is>
          <t>Excavator</t>
        </is>
      </c>
      <c r="F4782" s="156" t="inlineStr"/>
      <c r="G4782" s="182" t="n">
        <v>0</v>
      </c>
      <c r="H4782" s="182" t="n">
        <v>0</v>
      </c>
      <c r="I4782" s="182" t="n">
        <v>12</v>
      </c>
      <c r="J4782" s="182" t="n">
        <v>12</v>
      </c>
      <c r="K4782" s="182" t="n">
        <v>0</v>
      </c>
      <c r="L4782" s="182" t="n">
        <v>12</v>
      </c>
      <c r="M4782" s="182" t="n">
        <v>0</v>
      </c>
      <c r="N4782" s="182" t="n">
        <v>0</v>
      </c>
      <c r="O4782" s="183" t="n">
        <v>0</v>
      </c>
      <c r="P4782" s="183" t="n">
        <v>0</v>
      </c>
      <c r="Q4782" s="184" t="n">
        <v>0</v>
      </c>
      <c r="R4782" s="184" t="n">
        <v>0</v>
      </c>
      <c r="S4782" s="183" t="n">
        <v>0</v>
      </c>
      <c r="T4782" s="183" t="n">
        <v>0</v>
      </c>
      <c r="U4782" s="182" t="n">
        <v>0</v>
      </c>
      <c r="V4782" s="182" t="n">
        <v>0</v>
      </c>
      <c r="W4782" s="182" t="n">
        <v>0</v>
      </c>
      <c r="X4782" s="182" t="n">
        <v>0</v>
      </c>
      <c r="Y4782" s="182" t="n">
        <v>0</v>
      </c>
      <c r="Z4782" s="182" t="n">
        <v>0</v>
      </c>
      <c r="AA4782" s="182" t="n">
        <v>0</v>
      </c>
      <c r="AB4782" s="182" t="n">
        <v>0</v>
      </c>
      <c r="AC4782" s="182" t="n">
        <v>0</v>
      </c>
      <c r="AD4782" s="182" t="n">
        <v>0</v>
      </c>
      <c r="AE4782" s="182" t="n">
        <v>0</v>
      </c>
      <c r="AF4782" s="182" t="n">
        <v>0</v>
      </c>
      <c r="AG4782" s="182" t="n">
        <v>0</v>
      </c>
      <c r="AH4782" s="182" t="n">
        <v>0</v>
      </c>
      <c r="AI4782" s="182" t="n">
        <v>0</v>
      </c>
      <c r="AJ4782" s="182" t="n">
        <v>0</v>
      </c>
      <c r="AK4782" s="182" t="n">
        <v>0</v>
      </c>
      <c r="AL4782" s="182" t="n">
        <v>0</v>
      </c>
      <c r="AM4782" s="182" t="n">
        <v>0</v>
      </c>
      <c r="AN4782" s="182" t="n">
        <v>0</v>
      </c>
    </row>
    <row r="4783">
      <c r="A4783" s="155" t="n">
        <v>46103</v>
      </c>
      <c r="B4783" s="156" t="inlineStr">
        <is>
          <t>NS</t>
        </is>
      </c>
      <c r="C4783" s="156" t="inlineStr">
        <is>
          <t>EX-753</t>
        </is>
      </c>
      <c r="D4783" s="156" t="inlineStr">
        <is>
          <t>SY750H-PRO</t>
        </is>
      </c>
      <c r="E4783" s="156" t="inlineStr">
        <is>
          <t>Excavator</t>
        </is>
      </c>
      <c r="F4783" s="156" t="inlineStr">
        <is>
          <t>Loading Coal S60</t>
        </is>
      </c>
      <c r="G4783" s="182" t="n">
        <v>11.32</v>
      </c>
      <c r="H4783" s="182" t="n">
        <v>0</v>
      </c>
      <c r="I4783" s="182" t="n">
        <v>0</v>
      </c>
      <c r="J4783" s="182" t="n">
        <v>0</v>
      </c>
      <c r="K4783" s="182" t="n">
        <v>0.68</v>
      </c>
      <c r="L4783" s="182" t="n">
        <v>12</v>
      </c>
      <c r="M4783" s="182" t="n">
        <v>0</v>
      </c>
      <c r="N4783" s="182" t="n">
        <v>10.33</v>
      </c>
      <c r="O4783" s="183" t="n">
        <v>0</v>
      </c>
      <c r="P4783" s="183" t="n">
        <v>114</v>
      </c>
      <c r="Q4783" s="184" t="n">
        <v>0</v>
      </c>
      <c r="R4783" s="184" t="n">
        <v>2131.8</v>
      </c>
      <c r="S4783" s="183" t="n">
        <v>0</v>
      </c>
      <c r="T4783" s="183" t="n">
        <v>0</v>
      </c>
      <c r="U4783" s="182" t="n">
        <v>0</v>
      </c>
      <c r="V4783" s="182" t="n">
        <v>0</v>
      </c>
      <c r="W4783" s="182" t="n">
        <v>0</v>
      </c>
      <c r="X4783" s="182" t="n">
        <v>0.57</v>
      </c>
      <c r="Y4783" s="182" t="n">
        <v>0</v>
      </c>
      <c r="Z4783" s="182" t="n">
        <v>0</v>
      </c>
      <c r="AA4783" s="182" t="n">
        <v>0</v>
      </c>
      <c r="AB4783" s="182" t="n">
        <v>0</v>
      </c>
      <c r="AC4783" s="182" t="n">
        <v>0</v>
      </c>
      <c r="AD4783" s="182" t="n">
        <v>0</v>
      </c>
      <c r="AE4783" s="182" t="n">
        <v>0</v>
      </c>
      <c r="AF4783" s="182" t="n">
        <v>0</v>
      </c>
      <c r="AG4783" s="182" t="n">
        <v>0</v>
      </c>
      <c r="AH4783" s="182" t="n">
        <v>0</v>
      </c>
      <c r="AI4783" s="182" t="n">
        <v>0</v>
      </c>
      <c r="AJ4783" s="182" t="n">
        <v>0</v>
      </c>
      <c r="AK4783" s="182" t="n">
        <v>0</v>
      </c>
      <c r="AL4783" s="182" t="n">
        <v>0</v>
      </c>
      <c r="AM4783" s="182" t="n">
        <v>0.11</v>
      </c>
      <c r="AN4783" s="182" t="n">
        <v>0</v>
      </c>
    </row>
    <row r="4784">
      <c r="A4784" s="155" t="n">
        <v>46103</v>
      </c>
      <c r="B4784" s="156" t="inlineStr">
        <is>
          <t>NS</t>
        </is>
      </c>
      <c r="C4784" s="156" t="inlineStr">
        <is>
          <t>GD-012</t>
        </is>
      </c>
      <c r="D4784" s="156" t="inlineStr">
        <is>
          <t>STG 230C - 8S</t>
        </is>
      </c>
      <c r="E4784" s="156" t="inlineStr">
        <is>
          <t>Grader</t>
        </is>
      </c>
      <c r="F4784" s="156" t="inlineStr"/>
      <c r="G4784" s="182" t="n">
        <v>0</v>
      </c>
      <c r="H4784" s="182" t="n">
        <v>0</v>
      </c>
      <c r="I4784" s="182" t="n">
        <v>0</v>
      </c>
      <c r="J4784" s="182" t="n">
        <v>0</v>
      </c>
      <c r="K4784" s="182" t="n">
        <v>12</v>
      </c>
      <c r="L4784" s="182" t="n">
        <v>12</v>
      </c>
      <c r="M4784" s="182" t="n">
        <v>0</v>
      </c>
      <c r="N4784" s="182" t="n">
        <v>0</v>
      </c>
      <c r="O4784" s="183" t="n">
        <v>0</v>
      </c>
      <c r="P4784" s="183" t="n">
        <v>0</v>
      </c>
      <c r="Q4784" s="184" t="n">
        <v>0</v>
      </c>
      <c r="R4784" s="184" t="n">
        <v>0</v>
      </c>
      <c r="S4784" s="183" t="n">
        <v>0</v>
      </c>
      <c r="T4784" s="183" t="n">
        <v>0</v>
      </c>
      <c r="U4784" s="182" t="n">
        <v>0</v>
      </c>
      <c r="V4784" s="182" t="n">
        <v>0</v>
      </c>
      <c r="W4784" s="182" t="n">
        <v>0</v>
      </c>
      <c r="X4784" s="182" t="n">
        <v>1</v>
      </c>
      <c r="Y4784" s="182" t="n">
        <v>0</v>
      </c>
      <c r="Z4784" s="182" t="n">
        <v>0</v>
      </c>
      <c r="AA4784" s="182" t="n">
        <v>0</v>
      </c>
      <c r="AB4784" s="182" t="n">
        <v>0</v>
      </c>
      <c r="AC4784" s="182" t="n">
        <v>0</v>
      </c>
      <c r="AD4784" s="182" t="n">
        <v>0</v>
      </c>
      <c r="AE4784" s="182" t="n">
        <v>0</v>
      </c>
      <c r="AF4784" s="182" t="n">
        <v>0</v>
      </c>
      <c r="AG4784" s="182" t="n">
        <v>0</v>
      </c>
      <c r="AH4784" s="182" t="n">
        <v>0</v>
      </c>
      <c r="AI4784" s="182" t="n">
        <v>0</v>
      </c>
      <c r="AJ4784" s="182" t="n">
        <v>0</v>
      </c>
      <c r="AK4784" s="182" t="n">
        <v>10.92</v>
      </c>
      <c r="AL4784" s="182" t="n">
        <v>0</v>
      </c>
      <c r="AM4784" s="182" t="n">
        <v>0.08</v>
      </c>
      <c r="AN4784" s="182" t="n">
        <v>0</v>
      </c>
    </row>
    <row r="4785">
      <c r="A4785" s="155" t="n">
        <v>46103</v>
      </c>
      <c r="B4785" s="156" t="inlineStr">
        <is>
          <t>NS</t>
        </is>
      </c>
      <c r="C4785" s="156" t="inlineStr">
        <is>
          <t>GD-011</t>
        </is>
      </c>
      <c r="D4785" s="156" t="inlineStr">
        <is>
          <t>STG 230C - 8S</t>
        </is>
      </c>
      <c r="E4785" s="156" t="inlineStr">
        <is>
          <t>Grader</t>
        </is>
      </c>
      <c r="F4785" s="156" t="inlineStr"/>
      <c r="G4785" s="182" t="n">
        <v>0</v>
      </c>
      <c r="H4785" s="182" t="n">
        <v>0</v>
      </c>
      <c r="I4785" s="182" t="n">
        <v>12</v>
      </c>
      <c r="J4785" s="182" t="n">
        <v>12</v>
      </c>
      <c r="K4785" s="182" t="n">
        <v>0</v>
      </c>
      <c r="L4785" s="182" t="n">
        <v>12</v>
      </c>
      <c r="M4785" s="182" t="n">
        <v>0</v>
      </c>
      <c r="N4785" s="182" t="n">
        <v>0</v>
      </c>
      <c r="O4785" s="183" t="n">
        <v>0</v>
      </c>
      <c r="P4785" s="183" t="n">
        <v>0</v>
      </c>
      <c r="Q4785" s="184" t="n">
        <v>0</v>
      </c>
      <c r="R4785" s="184" t="n">
        <v>0</v>
      </c>
      <c r="S4785" s="183" t="n">
        <v>0</v>
      </c>
      <c r="T4785" s="183" t="n">
        <v>0</v>
      </c>
      <c r="U4785" s="182" t="n">
        <v>0</v>
      </c>
      <c r="V4785" s="182" t="n">
        <v>0</v>
      </c>
      <c r="W4785" s="182" t="n">
        <v>0</v>
      </c>
      <c r="X4785" s="182" t="n">
        <v>0</v>
      </c>
      <c r="Y4785" s="182" t="n">
        <v>0</v>
      </c>
      <c r="Z4785" s="182" t="n">
        <v>0</v>
      </c>
      <c r="AA4785" s="182" t="n">
        <v>0</v>
      </c>
      <c r="AB4785" s="182" t="n">
        <v>0</v>
      </c>
      <c r="AC4785" s="182" t="n">
        <v>0</v>
      </c>
      <c r="AD4785" s="182" t="n">
        <v>0</v>
      </c>
      <c r="AE4785" s="182" t="n">
        <v>0</v>
      </c>
      <c r="AF4785" s="182" t="n">
        <v>0</v>
      </c>
      <c r="AG4785" s="182" t="n">
        <v>0</v>
      </c>
      <c r="AH4785" s="182" t="n">
        <v>0</v>
      </c>
      <c r="AI4785" s="182" t="n">
        <v>0</v>
      </c>
      <c r="AJ4785" s="182" t="n">
        <v>0</v>
      </c>
      <c r="AK4785" s="182" t="n">
        <v>0</v>
      </c>
      <c r="AL4785" s="182" t="n">
        <v>0</v>
      </c>
      <c r="AM4785" s="182" t="n">
        <v>0</v>
      </c>
      <c r="AN4785" s="182" t="n">
        <v>0</v>
      </c>
    </row>
    <row r="4786">
      <c r="A4786" s="155" t="n">
        <v>46103</v>
      </c>
      <c r="B4786" s="156" t="inlineStr">
        <is>
          <t>NS</t>
        </is>
      </c>
      <c r="C4786" s="156" t="inlineStr">
        <is>
          <t>GD-013</t>
        </is>
      </c>
      <c r="D4786" s="156" t="inlineStr">
        <is>
          <t>STG 265C - 10</t>
        </is>
      </c>
      <c r="E4786" s="156" t="inlineStr">
        <is>
          <t>Grader</t>
        </is>
      </c>
      <c r="F4786" s="156" t="inlineStr">
        <is>
          <t>Road Maintenance</t>
        </is>
      </c>
      <c r="G4786" s="182" t="n">
        <v>5.01</v>
      </c>
      <c r="H4786" s="182" t="n">
        <v>0</v>
      </c>
      <c r="I4786" s="182" t="n">
        <v>0</v>
      </c>
      <c r="J4786" s="182" t="n">
        <v>0</v>
      </c>
      <c r="K4786" s="182" t="n">
        <v>6.99</v>
      </c>
      <c r="L4786" s="182" t="n">
        <v>12</v>
      </c>
      <c r="M4786" s="182" t="n">
        <v>0</v>
      </c>
      <c r="N4786" s="182" t="n">
        <v>0</v>
      </c>
      <c r="O4786" s="183" t="n">
        <v>0</v>
      </c>
      <c r="P4786" s="183" t="n">
        <v>0</v>
      </c>
      <c r="Q4786" s="184" t="n">
        <v>0</v>
      </c>
      <c r="R4786" s="184" t="n">
        <v>0</v>
      </c>
      <c r="S4786" s="183" t="n">
        <v>0</v>
      </c>
      <c r="T4786" s="183" t="n">
        <v>0</v>
      </c>
      <c r="U4786" s="182" t="n">
        <v>0</v>
      </c>
      <c r="V4786" s="182" t="n">
        <v>0</v>
      </c>
      <c r="W4786" s="182" t="n">
        <v>0</v>
      </c>
      <c r="X4786" s="182" t="n">
        <v>1.03</v>
      </c>
      <c r="Y4786" s="182" t="n">
        <v>0</v>
      </c>
      <c r="Z4786" s="182" t="n">
        <v>0</v>
      </c>
      <c r="AA4786" s="182" t="n">
        <v>0</v>
      </c>
      <c r="AB4786" s="182" t="n">
        <v>0</v>
      </c>
      <c r="AC4786" s="182" t="n">
        <v>0</v>
      </c>
      <c r="AD4786" s="182" t="n">
        <v>0</v>
      </c>
      <c r="AE4786" s="182" t="n">
        <v>0</v>
      </c>
      <c r="AF4786" s="182" t="n">
        <v>0</v>
      </c>
      <c r="AG4786" s="182" t="n">
        <v>0</v>
      </c>
      <c r="AH4786" s="182" t="n">
        <v>0</v>
      </c>
      <c r="AI4786" s="182" t="n">
        <v>0</v>
      </c>
      <c r="AJ4786" s="182" t="n">
        <v>0</v>
      </c>
      <c r="AK4786" s="182" t="n">
        <v>5.88</v>
      </c>
      <c r="AL4786" s="182" t="n">
        <v>0</v>
      </c>
      <c r="AM4786" s="182" t="n">
        <v>0.08</v>
      </c>
      <c r="AN4786" s="182" t="n">
        <v>0</v>
      </c>
    </row>
    <row r="4787">
      <c r="A4787" s="155" t="n">
        <v>46103</v>
      </c>
      <c r="B4787" s="156" t="inlineStr">
        <is>
          <t>NS</t>
        </is>
      </c>
      <c r="C4787" s="156" t="inlineStr">
        <is>
          <t>GD-014</t>
        </is>
      </c>
      <c r="D4787" s="156" t="inlineStr">
        <is>
          <t>STG 335C - 10</t>
        </is>
      </c>
      <c r="E4787" s="156" t="inlineStr">
        <is>
          <t>Grader</t>
        </is>
      </c>
      <c r="F4787" s="156" t="inlineStr">
        <is>
          <t>Road Maintenance</t>
        </is>
      </c>
      <c r="G4787" s="182" t="n">
        <v>9.869999999999999</v>
      </c>
      <c r="H4787" s="182" t="n">
        <v>0</v>
      </c>
      <c r="I4787" s="182" t="n">
        <v>0</v>
      </c>
      <c r="J4787" s="182" t="n">
        <v>0</v>
      </c>
      <c r="K4787" s="182" t="n">
        <v>2.13</v>
      </c>
      <c r="L4787" s="182" t="n">
        <v>12</v>
      </c>
      <c r="M4787" s="182" t="n">
        <v>0</v>
      </c>
      <c r="N4787" s="182" t="n">
        <v>0</v>
      </c>
      <c r="O4787" s="183" t="n">
        <v>0</v>
      </c>
      <c r="P4787" s="183" t="n">
        <v>0</v>
      </c>
      <c r="Q4787" s="184" t="n">
        <v>0</v>
      </c>
      <c r="R4787" s="184" t="n">
        <v>0</v>
      </c>
      <c r="S4787" s="183" t="n">
        <v>0</v>
      </c>
      <c r="T4787" s="183" t="n">
        <v>0</v>
      </c>
      <c r="U4787" s="182" t="n">
        <v>0</v>
      </c>
      <c r="V4787" s="182" t="n">
        <v>0</v>
      </c>
      <c r="W4787" s="182" t="n">
        <v>0</v>
      </c>
      <c r="X4787" s="182" t="n">
        <v>0.93</v>
      </c>
      <c r="Y4787" s="182" t="n">
        <v>0</v>
      </c>
      <c r="Z4787" s="182" t="n">
        <v>0</v>
      </c>
      <c r="AA4787" s="182" t="n">
        <v>0</v>
      </c>
      <c r="AB4787" s="182" t="n">
        <v>0</v>
      </c>
      <c r="AC4787" s="182" t="n">
        <v>0</v>
      </c>
      <c r="AD4787" s="182" t="n">
        <v>0</v>
      </c>
      <c r="AE4787" s="182" t="n">
        <v>0</v>
      </c>
      <c r="AF4787" s="182" t="n">
        <v>0</v>
      </c>
      <c r="AG4787" s="182" t="n">
        <v>0</v>
      </c>
      <c r="AH4787" s="182" t="n">
        <v>0</v>
      </c>
      <c r="AI4787" s="182" t="n">
        <v>0</v>
      </c>
      <c r="AJ4787" s="182" t="n">
        <v>0</v>
      </c>
      <c r="AK4787" s="182" t="n">
        <v>1.13</v>
      </c>
      <c r="AL4787" s="182" t="n">
        <v>0</v>
      </c>
      <c r="AM4787" s="182" t="n">
        <v>0.07000000000000001</v>
      </c>
      <c r="AN4787" s="182" t="n">
        <v>0</v>
      </c>
    </row>
    <row r="4788">
      <c r="A4788" s="155" t="n">
        <v>46103</v>
      </c>
      <c r="B4788" s="156" t="inlineStr">
        <is>
          <t>NS</t>
        </is>
      </c>
      <c r="C4788" s="156" t="inlineStr">
        <is>
          <t>DT-809</t>
        </is>
      </c>
      <c r="D4788" s="156" t="inlineStr">
        <is>
          <t>SKT 80S</t>
        </is>
      </c>
      <c r="E4788" s="156" t="inlineStr">
        <is>
          <t>Hauler</t>
        </is>
      </c>
      <c r="F4788" s="156" t="inlineStr"/>
      <c r="G4788" s="182" t="n">
        <v>0</v>
      </c>
      <c r="H4788" s="182" t="n">
        <v>0</v>
      </c>
      <c r="I4788" s="182" t="n">
        <v>12</v>
      </c>
      <c r="J4788" s="182" t="n">
        <v>12</v>
      </c>
      <c r="K4788" s="182" t="n">
        <v>0</v>
      </c>
      <c r="L4788" s="182" t="n">
        <v>12</v>
      </c>
      <c r="M4788" s="182" t="n">
        <v>0</v>
      </c>
      <c r="N4788" s="182" t="n">
        <v>0</v>
      </c>
      <c r="O4788" s="183" t="n">
        <v>0</v>
      </c>
      <c r="P4788" s="183" t="n">
        <v>0</v>
      </c>
      <c r="Q4788" s="184" t="n">
        <v>0</v>
      </c>
      <c r="R4788" s="184" t="n">
        <v>0</v>
      </c>
      <c r="S4788" s="183" t="n">
        <v>0</v>
      </c>
      <c r="T4788" s="183" t="n">
        <v>0</v>
      </c>
      <c r="U4788" s="182" t="n">
        <v>0</v>
      </c>
      <c r="V4788" s="182" t="n">
        <v>0</v>
      </c>
      <c r="W4788" s="182" t="n">
        <v>0</v>
      </c>
      <c r="X4788" s="182" t="n">
        <v>0</v>
      </c>
      <c r="Y4788" s="182" t="n">
        <v>0</v>
      </c>
      <c r="Z4788" s="182" t="n">
        <v>0</v>
      </c>
      <c r="AA4788" s="182" t="n">
        <v>0</v>
      </c>
      <c r="AB4788" s="182" t="n">
        <v>0</v>
      </c>
      <c r="AC4788" s="182" t="n">
        <v>0</v>
      </c>
      <c r="AD4788" s="182" t="n">
        <v>0</v>
      </c>
      <c r="AE4788" s="182" t="n">
        <v>0</v>
      </c>
      <c r="AF4788" s="182" t="n">
        <v>0</v>
      </c>
      <c r="AG4788" s="182" t="n">
        <v>0</v>
      </c>
      <c r="AH4788" s="182" t="n">
        <v>0</v>
      </c>
      <c r="AI4788" s="182" t="n">
        <v>0</v>
      </c>
      <c r="AJ4788" s="182" t="n">
        <v>0</v>
      </c>
      <c r="AK4788" s="182" t="n">
        <v>0</v>
      </c>
      <c r="AL4788" s="182" t="n">
        <v>0</v>
      </c>
      <c r="AM4788" s="182" t="n">
        <v>0</v>
      </c>
      <c r="AN4788" s="182" t="n">
        <v>0</v>
      </c>
    </row>
    <row r="4789">
      <c r="A4789" s="155" t="n">
        <v>46103</v>
      </c>
      <c r="B4789" s="156" t="inlineStr">
        <is>
          <t>NS</t>
        </is>
      </c>
      <c r="C4789" s="156" t="inlineStr">
        <is>
          <t>DT-806</t>
        </is>
      </c>
      <c r="D4789" s="156" t="inlineStr">
        <is>
          <t>SKT 80S</t>
        </is>
      </c>
      <c r="E4789" s="156" t="inlineStr">
        <is>
          <t>Hauler</t>
        </is>
      </c>
      <c r="F4789" s="156" t="inlineStr"/>
      <c r="G4789" s="182" t="n">
        <v>0</v>
      </c>
      <c r="H4789" s="182" t="n">
        <v>0</v>
      </c>
      <c r="I4789" s="182" t="n">
        <v>12</v>
      </c>
      <c r="J4789" s="182" t="n">
        <v>12</v>
      </c>
      <c r="K4789" s="182" t="n">
        <v>0</v>
      </c>
      <c r="L4789" s="182" t="n">
        <v>12</v>
      </c>
      <c r="M4789" s="182" t="n">
        <v>0</v>
      </c>
      <c r="N4789" s="182" t="n">
        <v>0</v>
      </c>
      <c r="O4789" s="183" t="n">
        <v>0</v>
      </c>
      <c r="P4789" s="183" t="n">
        <v>0</v>
      </c>
      <c r="Q4789" s="184" t="n">
        <v>0</v>
      </c>
      <c r="R4789" s="184" t="n">
        <v>0</v>
      </c>
      <c r="S4789" s="183" t="n">
        <v>0</v>
      </c>
      <c r="T4789" s="183" t="n">
        <v>0</v>
      </c>
      <c r="U4789" s="182" t="n">
        <v>0</v>
      </c>
      <c r="V4789" s="182" t="n">
        <v>0</v>
      </c>
      <c r="W4789" s="182" t="n">
        <v>0</v>
      </c>
      <c r="X4789" s="182" t="n">
        <v>0</v>
      </c>
      <c r="Y4789" s="182" t="n">
        <v>0</v>
      </c>
      <c r="Z4789" s="182" t="n">
        <v>0</v>
      </c>
      <c r="AA4789" s="182" t="n">
        <v>0</v>
      </c>
      <c r="AB4789" s="182" t="n">
        <v>0</v>
      </c>
      <c r="AC4789" s="182" t="n">
        <v>0</v>
      </c>
      <c r="AD4789" s="182" t="n">
        <v>0</v>
      </c>
      <c r="AE4789" s="182" t="n">
        <v>0</v>
      </c>
      <c r="AF4789" s="182" t="n">
        <v>0</v>
      </c>
      <c r="AG4789" s="182" t="n">
        <v>0</v>
      </c>
      <c r="AH4789" s="182" t="n">
        <v>0</v>
      </c>
      <c r="AI4789" s="182" t="n">
        <v>0</v>
      </c>
      <c r="AJ4789" s="182" t="n">
        <v>0</v>
      </c>
      <c r="AK4789" s="182" t="n">
        <v>0</v>
      </c>
      <c r="AL4789" s="182" t="n">
        <v>0</v>
      </c>
      <c r="AM4789" s="182" t="n">
        <v>0</v>
      </c>
      <c r="AN4789" s="182" t="n">
        <v>0</v>
      </c>
    </row>
    <row r="4790">
      <c r="A4790" s="155" t="n">
        <v>46103</v>
      </c>
      <c r="B4790" s="156" t="inlineStr">
        <is>
          <t>NS</t>
        </is>
      </c>
      <c r="C4790" s="156" t="inlineStr">
        <is>
          <t>DT-805</t>
        </is>
      </c>
      <c r="D4790" s="156" t="inlineStr">
        <is>
          <t>SKT 80S</t>
        </is>
      </c>
      <c r="E4790" s="156" t="inlineStr">
        <is>
          <t>Hauler</t>
        </is>
      </c>
      <c r="F4790" s="156" t="inlineStr"/>
      <c r="G4790" s="182" t="n">
        <v>0</v>
      </c>
      <c r="H4790" s="182" t="n">
        <v>0</v>
      </c>
      <c r="I4790" s="182" t="n">
        <v>12</v>
      </c>
      <c r="J4790" s="182" t="n">
        <v>12</v>
      </c>
      <c r="K4790" s="182" t="n">
        <v>0</v>
      </c>
      <c r="L4790" s="182" t="n">
        <v>12</v>
      </c>
      <c r="M4790" s="182" t="n">
        <v>0</v>
      </c>
      <c r="N4790" s="182" t="n">
        <v>0</v>
      </c>
      <c r="O4790" s="183" t="n">
        <v>0</v>
      </c>
      <c r="P4790" s="183" t="n">
        <v>0</v>
      </c>
      <c r="Q4790" s="184" t="n">
        <v>0</v>
      </c>
      <c r="R4790" s="184" t="n">
        <v>0</v>
      </c>
      <c r="S4790" s="183" t="n">
        <v>0</v>
      </c>
      <c r="T4790" s="183" t="n">
        <v>0</v>
      </c>
      <c r="U4790" s="182" t="n">
        <v>0</v>
      </c>
      <c r="V4790" s="182" t="n">
        <v>0</v>
      </c>
      <c r="W4790" s="182" t="n">
        <v>0</v>
      </c>
      <c r="X4790" s="182" t="n">
        <v>0</v>
      </c>
      <c r="Y4790" s="182" t="n">
        <v>0</v>
      </c>
      <c r="Z4790" s="182" t="n">
        <v>0</v>
      </c>
      <c r="AA4790" s="182" t="n">
        <v>0</v>
      </c>
      <c r="AB4790" s="182" t="n">
        <v>0</v>
      </c>
      <c r="AC4790" s="182" t="n">
        <v>0</v>
      </c>
      <c r="AD4790" s="182" t="n">
        <v>0</v>
      </c>
      <c r="AE4790" s="182" t="n">
        <v>0</v>
      </c>
      <c r="AF4790" s="182" t="n">
        <v>0</v>
      </c>
      <c r="AG4790" s="182" t="n">
        <v>0</v>
      </c>
      <c r="AH4790" s="182" t="n">
        <v>0</v>
      </c>
      <c r="AI4790" s="182" t="n">
        <v>0</v>
      </c>
      <c r="AJ4790" s="182" t="n">
        <v>0</v>
      </c>
      <c r="AK4790" s="182" t="n">
        <v>0</v>
      </c>
      <c r="AL4790" s="182" t="n">
        <v>0</v>
      </c>
      <c r="AM4790" s="182" t="n">
        <v>0</v>
      </c>
      <c r="AN4790" s="182" t="n">
        <v>0</v>
      </c>
    </row>
    <row r="4791">
      <c r="A4791" s="155" t="n">
        <v>46103</v>
      </c>
      <c r="B4791" s="156" t="inlineStr">
        <is>
          <t>NS</t>
        </is>
      </c>
      <c r="C4791" s="156" t="inlineStr">
        <is>
          <t>DT-801</t>
        </is>
      </c>
      <c r="D4791" s="156" t="inlineStr">
        <is>
          <t>SKT 80S</t>
        </is>
      </c>
      <c r="E4791" s="156" t="inlineStr">
        <is>
          <t>Hauler</t>
        </is>
      </c>
      <c r="F4791" s="156" t="inlineStr"/>
      <c r="G4791" s="182" t="n">
        <v>0</v>
      </c>
      <c r="H4791" s="182" t="n">
        <v>0</v>
      </c>
      <c r="I4791" s="182" t="n">
        <v>12</v>
      </c>
      <c r="J4791" s="182" t="n">
        <v>12</v>
      </c>
      <c r="K4791" s="182" t="n">
        <v>0</v>
      </c>
      <c r="L4791" s="182" t="n">
        <v>12</v>
      </c>
      <c r="M4791" s="182" t="n">
        <v>0</v>
      </c>
      <c r="N4791" s="182" t="n">
        <v>0</v>
      </c>
      <c r="O4791" s="183" t="n">
        <v>0</v>
      </c>
      <c r="P4791" s="183" t="n">
        <v>0</v>
      </c>
      <c r="Q4791" s="184" t="n">
        <v>0</v>
      </c>
      <c r="R4791" s="184" t="n">
        <v>0</v>
      </c>
      <c r="S4791" s="183" t="n">
        <v>0</v>
      </c>
      <c r="T4791" s="183" t="n">
        <v>0</v>
      </c>
      <c r="U4791" s="182" t="n">
        <v>0</v>
      </c>
      <c r="V4791" s="182" t="n">
        <v>0</v>
      </c>
      <c r="W4791" s="182" t="n">
        <v>0</v>
      </c>
      <c r="X4791" s="182" t="n">
        <v>0</v>
      </c>
      <c r="Y4791" s="182" t="n">
        <v>0</v>
      </c>
      <c r="Z4791" s="182" t="n">
        <v>0</v>
      </c>
      <c r="AA4791" s="182" t="n">
        <v>0</v>
      </c>
      <c r="AB4791" s="182" t="n">
        <v>0</v>
      </c>
      <c r="AC4791" s="182" t="n">
        <v>0</v>
      </c>
      <c r="AD4791" s="182" t="n">
        <v>0</v>
      </c>
      <c r="AE4791" s="182" t="n">
        <v>0</v>
      </c>
      <c r="AF4791" s="182" t="n">
        <v>0</v>
      </c>
      <c r="AG4791" s="182" t="n">
        <v>0</v>
      </c>
      <c r="AH4791" s="182" t="n">
        <v>0</v>
      </c>
      <c r="AI4791" s="182" t="n">
        <v>0</v>
      </c>
      <c r="AJ4791" s="182" t="n">
        <v>0</v>
      </c>
      <c r="AK4791" s="182" t="n">
        <v>0</v>
      </c>
      <c r="AL4791" s="182" t="n">
        <v>0</v>
      </c>
      <c r="AM4791" s="182" t="n">
        <v>0</v>
      </c>
      <c r="AN4791" s="182" t="n">
        <v>0</v>
      </c>
    </row>
    <row r="4792">
      <c r="A4792" s="155" t="n">
        <v>46103</v>
      </c>
      <c r="B4792" s="156" t="inlineStr">
        <is>
          <t>NS</t>
        </is>
      </c>
      <c r="C4792" s="156" t="inlineStr">
        <is>
          <t>DT-808</t>
        </is>
      </c>
      <c r="D4792" s="156" t="inlineStr">
        <is>
          <t>SKT 80S</t>
        </is>
      </c>
      <c r="E4792" s="156" t="inlineStr">
        <is>
          <t>Hauler</t>
        </is>
      </c>
      <c r="F4792" s="156" t="inlineStr"/>
      <c r="G4792" s="182" t="n">
        <v>0</v>
      </c>
      <c r="H4792" s="182" t="n">
        <v>0</v>
      </c>
      <c r="I4792" s="182" t="n">
        <v>0</v>
      </c>
      <c r="J4792" s="182" t="n">
        <v>0</v>
      </c>
      <c r="K4792" s="182" t="n">
        <v>12</v>
      </c>
      <c r="L4792" s="182" t="n">
        <v>12</v>
      </c>
      <c r="M4792" s="182" t="n">
        <v>0</v>
      </c>
      <c r="N4792" s="182" t="n">
        <v>0</v>
      </c>
      <c r="O4792" s="183" t="n">
        <v>0</v>
      </c>
      <c r="P4792" s="183" t="n">
        <v>0</v>
      </c>
      <c r="Q4792" s="184" t="n">
        <v>0</v>
      </c>
      <c r="R4792" s="184" t="n">
        <v>0</v>
      </c>
      <c r="S4792" s="183" t="n">
        <v>0</v>
      </c>
      <c r="T4792" s="183" t="n">
        <v>0</v>
      </c>
      <c r="U4792" s="182" t="n">
        <v>0</v>
      </c>
      <c r="V4792" s="182" t="n">
        <v>0</v>
      </c>
      <c r="W4792" s="182" t="n">
        <v>0</v>
      </c>
      <c r="X4792" s="182" t="n">
        <v>1</v>
      </c>
      <c r="Y4792" s="182" t="n">
        <v>0</v>
      </c>
      <c r="Z4792" s="182" t="n">
        <v>0</v>
      </c>
      <c r="AA4792" s="182" t="n">
        <v>0</v>
      </c>
      <c r="AB4792" s="182" t="n">
        <v>0</v>
      </c>
      <c r="AC4792" s="182" t="n">
        <v>0</v>
      </c>
      <c r="AD4792" s="182" t="n">
        <v>0</v>
      </c>
      <c r="AE4792" s="182" t="n">
        <v>0</v>
      </c>
      <c r="AF4792" s="182" t="n">
        <v>0</v>
      </c>
      <c r="AG4792" s="182" t="n">
        <v>0</v>
      </c>
      <c r="AH4792" s="182" t="n">
        <v>0</v>
      </c>
      <c r="AI4792" s="182" t="n">
        <v>0</v>
      </c>
      <c r="AJ4792" s="182" t="n">
        <v>0</v>
      </c>
      <c r="AK4792" s="182" t="n">
        <v>10.92</v>
      </c>
      <c r="AL4792" s="182" t="n">
        <v>0</v>
      </c>
      <c r="AM4792" s="182" t="n">
        <v>0.08</v>
      </c>
      <c r="AN4792" s="182" t="n">
        <v>0</v>
      </c>
    </row>
    <row r="4793">
      <c r="A4793" s="155" t="n">
        <v>46103</v>
      </c>
      <c r="B4793" s="156" t="inlineStr">
        <is>
          <t>NS</t>
        </is>
      </c>
      <c r="C4793" s="156" t="inlineStr">
        <is>
          <t>DT-811</t>
        </is>
      </c>
      <c r="D4793" s="156" t="inlineStr">
        <is>
          <t>SKT 80S</t>
        </is>
      </c>
      <c r="E4793" s="156" t="inlineStr">
        <is>
          <t>Hauler</t>
        </is>
      </c>
      <c r="F4793" s="156" t="inlineStr"/>
      <c r="G4793" s="182" t="n">
        <v>0</v>
      </c>
      <c r="H4793" s="182" t="n">
        <v>0</v>
      </c>
      <c r="I4793" s="182" t="n">
        <v>0</v>
      </c>
      <c r="J4793" s="182" t="n">
        <v>0</v>
      </c>
      <c r="K4793" s="182" t="n">
        <v>12</v>
      </c>
      <c r="L4793" s="182" t="n">
        <v>12</v>
      </c>
      <c r="M4793" s="182" t="n">
        <v>0</v>
      </c>
      <c r="N4793" s="182" t="n">
        <v>0</v>
      </c>
      <c r="O4793" s="183" t="n">
        <v>0</v>
      </c>
      <c r="P4793" s="183" t="n">
        <v>0</v>
      </c>
      <c r="Q4793" s="184" t="n">
        <v>0</v>
      </c>
      <c r="R4793" s="184" t="n">
        <v>0</v>
      </c>
      <c r="S4793" s="183" t="n">
        <v>0</v>
      </c>
      <c r="T4793" s="183" t="n">
        <v>0</v>
      </c>
      <c r="U4793" s="182" t="n">
        <v>0</v>
      </c>
      <c r="V4793" s="182" t="n">
        <v>0</v>
      </c>
      <c r="W4793" s="182" t="n">
        <v>0</v>
      </c>
      <c r="X4793" s="182" t="n">
        <v>1</v>
      </c>
      <c r="Y4793" s="182" t="n">
        <v>0</v>
      </c>
      <c r="Z4793" s="182" t="n">
        <v>0</v>
      </c>
      <c r="AA4793" s="182" t="n">
        <v>0</v>
      </c>
      <c r="AB4793" s="182" t="n">
        <v>0</v>
      </c>
      <c r="AC4793" s="182" t="n">
        <v>0</v>
      </c>
      <c r="AD4793" s="182" t="n">
        <v>0</v>
      </c>
      <c r="AE4793" s="182" t="n">
        <v>0</v>
      </c>
      <c r="AF4793" s="182" t="n">
        <v>0</v>
      </c>
      <c r="AG4793" s="182" t="n">
        <v>0</v>
      </c>
      <c r="AH4793" s="182" t="n">
        <v>0</v>
      </c>
      <c r="AI4793" s="182" t="n">
        <v>0</v>
      </c>
      <c r="AJ4793" s="182" t="n">
        <v>0</v>
      </c>
      <c r="AK4793" s="182" t="n">
        <v>10.92</v>
      </c>
      <c r="AL4793" s="182" t="n">
        <v>0</v>
      </c>
      <c r="AM4793" s="182" t="n">
        <v>0.08</v>
      </c>
      <c r="AN4793" s="182" t="n">
        <v>0</v>
      </c>
    </row>
    <row r="4794">
      <c r="A4794" s="155" t="n">
        <v>46103</v>
      </c>
      <c r="B4794" s="156" t="inlineStr">
        <is>
          <t>NS</t>
        </is>
      </c>
      <c r="C4794" s="156" t="inlineStr">
        <is>
          <t>DT-802</t>
        </is>
      </c>
      <c r="D4794" s="156" t="inlineStr">
        <is>
          <t>SKT 80S</t>
        </is>
      </c>
      <c r="E4794" s="156" t="inlineStr">
        <is>
          <t>Hauler</t>
        </is>
      </c>
      <c r="F4794" s="156" t="inlineStr"/>
      <c r="G4794" s="182" t="n">
        <v>0</v>
      </c>
      <c r="H4794" s="182" t="n">
        <v>0</v>
      </c>
      <c r="I4794" s="182" t="n">
        <v>0</v>
      </c>
      <c r="J4794" s="182" t="n">
        <v>0</v>
      </c>
      <c r="K4794" s="182" t="n">
        <v>12</v>
      </c>
      <c r="L4794" s="182" t="n">
        <v>12</v>
      </c>
      <c r="M4794" s="182" t="n">
        <v>0</v>
      </c>
      <c r="N4794" s="182" t="n">
        <v>0</v>
      </c>
      <c r="O4794" s="183" t="n">
        <v>0</v>
      </c>
      <c r="P4794" s="183" t="n">
        <v>0</v>
      </c>
      <c r="Q4794" s="184" t="n">
        <v>0</v>
      </c>
      <c r="R4794" s="184" t="n">
        <v>0</v>
      </c>
      <c r="S4794" s="183" t="n">
        <v>0</v>
      </c>
      <c r="T4794" s="183" t="n">
        <v>0</v>
      </c>
      <c r="U4794" s="182" t="n">
        <v>0</v>
      </c>
      <c r="V4794" s="182" t="n">
        <v>0</v>
      </c>
      <c r="W4794" s="182" t="n">
        <v>0</v>
      </c>
      <c r="X4794" s="182" t="n">
        <v>1</v>
      </c>
      <c r="Y4794" s="182" t="n">
        <v>0</v>
      </c>
      <c r="Z4794" s="182" t="n">
        <v>0</v>
      </c>
      <c r="AA4794" s="182" t="n">
        <v>0</v>
      </c>
      <c r="AB4794" s="182" t="n">
        <v>0</v>
      </c>
      <c r="AC4794" s="182" t="n">
        <v>0</v>
      </c>
      <c r="AD4794" s="182" t="n">
        <v>0</v>
      </c>
      <c r="AE4794" s="182" t="n">
        <v>0</v>
      </c>
      <c r="AF4794" s="182" t="n">
        <v>0</v>
      </c>
      <c r="AG4794" s="182" t="n">
        <v>0</v>
      </c>
      <c r="AH4794" s="182" t="n">
        <v>0</v>
      </c>
      <c r="AI4794" s="182" t="n">
        <v>0</v>
      </c>
      <c r="AJ4794" s="182" t="n">
        <v>0</v>
      </c>
      <c r="AK4794" s="182" t="n">
        <v>10.92</v>
      </c>
      <c r="AL4794" s="182" t="n">
        <v>0</v>
      </c>
      <c r="AM4794" s="182" t="n">
        <v>0.08</v>
      </c>
      <c r="AN4794" s="182" t="n">
        <v>0</v>
      </c>
    </row>
    <row r="4795">
      <c r="A4795" s="155" t="n">
        <v>46103</v>
      </c>
      <c r="B4795" s="156" t="inlineStr">
        <is>
          <t>NS</t>
        </is>
      </c>
      <c r="C4795" s="156" t="inlineStr">
        <is>
          <t>DT-807</t>
        </is>
      </c>
      <c r="D4795" s="156" t="inlineStr">
        <is>
          <t>SKT 80S</t>
        </is>
      </c>
      <c r="E4795" s="156" t="inlineStr">
        <is>
          <t>Hauler</t>
        </is>
      </c>
      <c r="F4795" s="156" t="inlineStr">
        <is>
          <t>Rehandling Tailing 1</t>
        </is>
      </c>
      <c r="G4795" s="182" t="n">
        <v>5.31</v>
      </c>
      <c r="H4795" s="182" t="n">
        <v>0</v>
      </c>
      <c r="I4795" s="182" t="n">
        <v>0</v>
      </c>
      <c r="J4795" s="182" t="n">
        <v>0</v>
      </c>
      <c r="K4795" s="182" t="n">
        <v>6.69</v>
      </c>
      <c r="L4795" s="182" t="n">
        <v>12</v>
      </c>
      <c r="M4795" s="182" t="n">
        <v>0</v>
      </c>
      <c r="N4795" s="182" t="n">
        <v>0</v>
      </c>
      <c r="O4795" s="183" t="n">
        <v>0</v>
      </c>
      <c r="P4795" s="183" t="n">
        <v>0</v>
      </c>
      <c r="Q4795" s="184" t="n">
        <v>0</v>
      </c>
      <c r="R4795" s="184" t="n">
        <v>0</v>
      </c>
      <c r="S4795" s="183" t="n">
        <v>0</v>
      </c>
      <c r="T4795" s="183" t="n">
        <v>0</v>
      </c>
      <c r="U4795" s="182" t="n">
        <v>0</v>
      </c>
      <c r="V4795" s="182" t="n">
        <v>0</v>
      </c>
      <c r="W4795" s="182" t="n">
        <v>0</v>
      </c>
      <c r="X4795" s="182" t="n">
        <v>1.06</v>
      </c>
      <c r="Y4795" s="182" t="n">
        <v>0</v>
      </c>
      <c r="Z4795" s="182" t="n">
        <v>0</v>
      </c>
      <c r="AA4795" s="182" t="n">
        <v>0</v>
      </c>
      <c r="AB4795" s="182" t="n">
        <v>0</v>
      </c>
      <c r="AC4795" s="182" t="n">
        <v>0</v>
      </c>
      <c r="AD4795" s="182" t="n">
        <v>0</v>
      </c>
      <c r="AE4795" s="182" t="n">
        <v>0</v>
      </c>
      <c r="AF4795" s="182" t="n">
        <v>0</v>
      </c>
      <c r="AG4795" s="182" t="n">
        <v>0</v>
      </c>
      <c r="AH4795" s="182" t="n">
        <v>0</v>
      </c>
      <c r="AI4795" s="182" t="n">
        <v>0</v>
      </c>
      <c r="AJ4795" s="182" t="n">
        <v>0</v>
      </c>
      <c r="AK4795" s="182" t="n">
        <v>5.54</v>
      </c>
      <c r="AL4795" s="182" t="n">
        <v>0</v>
      </c>
      <c r="AM4795" s="182" t="n">
        <v>0.08</v>
      </c>
      <c r="AN4795" s="182" t="n">
        <v>0</v>
      </c>
    </row>
    <row r="4796">
      <c r="A4796" s="155" t="n">
        <v>46103</v>
      </c>
      <c r="B4796" s="156" t="inlineStr">
        <is>
          <t>NS</t>
        </is>
      </c>
      <c r="C4796" s="156" t="inlineStr">
        <is>
          <t>DT-812</t>
        </is>
      </c>
      <c r="D4796" s="156" t="inlineStr">
        <is>
          <t>SKT 80S</t>
        </is>
      </c>
      <c r="E4796" s="156" t="inlineStr">
        <is>
          <t>Hauler</t>
        </is>
      </c>
      <c r="F4796" s="156" t="inlineStr">
        <is>
          <t>Rehandling Tailing 1</t>
        </is>
      </c>
      <c r="G4796" s="182" t="n">
        <v>4.88</v>
      </c>
      <c r="H4796" s="182" t="n">
        <v>0</v>
      </c>
      <c r="I4796" s="182" t="n">
        <v>7.12</v>
      </c>
      <c r="J4796" s="182" t="n">
        <v>7.12</v>
      </c>
      <c r="K4796" s="182" t="n">
        <v>0</v>
      </c>
      <c r="L4796" s="182" t="n">
        <v>12</v>
      </c>
      <c r="M4796" s="182" t="n">
        <v>0</v>
      </c>
      <c r="N4796" s="182" t="n">
        <v>0</v>
      </c>
      <c r="O4796" s="183" t="n">
        <v>0</v>
      </c>
      <c r="P4796" s="183" t="n">
        <v>0</v>
      </c>
      <c r="Q4796" s="184" t="n">
        <v>0</v>
      </c>
      <c r="R4796" s="184" t="n">
        <v>0</v>
      </c>
      <c r="S4796" s="183" t="n">
        <v>0</v>
      </c>
      <c r="T4796" s="183" t="n">
        <v>0</v>
      </c>
      <c r="U4796" s="182" t="n">
        <v>0</v>
      </c>
      <c r="V4796" s="182" t="n">
        <v>0</v>
      </c>
      <c r="W4796" s="182" t="n">
        <v>0</v>
      </c>
      <c r="X4796" s="182" t="n">
        <v>0</v>
      </c>
      <c r="Y4796" s="182" t="n">
        <v>0</v>
      </c>
      <c r="Z4796" s="182" t="n">
        <v>0</v>
      </c>
      <c r="AA4796" s="182" t="n">
        <v>0</v>
      </c>
      <c r="AB4796" s="182" t="n">
        <v>0</v>
      </c>
      <c r="AC4796" s="182" t="n">
        <v>0</v>
      </c>
      <c r="AD4796" s="182" t="n">
        <v>0</v>
      </c>
      <c r="AE4796" s="182" t="n">
        <v>0</v>
      </c>
      <c r="AF4796" s="182" t="n">
        <v>0</v>
      </c>
      <c r="AG4796" s="182" t="n">
        <v>0</v>
      </c>
      <c r="AH4796" s="182" t="n">
        <v>0</v>
      </c>
      <c r="AI4796" s="182" t="n">
        <v>0</v>
      </c>
      <c r="AJ4796" s="182" t="n">
        <v>0</v>
      </c>
      <c r="AK4796" s="182" t="n">
        <v>0</v>
      </c>
      <c r="AL4796" s="182" t="n">
        <v>0</v>
      </c>
      <c r="AM4796" s="182" t="n">
        <v>0</v>
      </c>
      <c r="AN4796" s="182" t="n">
        <v>0</v>
      </c>
    </row>
    <row r="4797">
      <c r="A4797" s="155" t="n">
        <v>46103</v>
      </c>
      <c r="B4797" s="156" t="inlineStr">
        <is>
          <t>NS</t>
        </is>
      </c>
      <c r="C4797" s="156" t="inlineStr">
        <is>
          <t>DT-803</t>
        </is>
      </c>
      <c r="D4797" s="156" t="inlineStr">
        <is>
          <t>SKT 80S</t>
        </is>
      </c>
      <c r="E4797" s="156" t="inlineStr">
        <is>
          <t>Hauler</t>
        </is>
      </c>
      <c r="F4797" s="156" t="inlineStr"/>
      <c r="G4797" s="182" t="n">
        <v>0</v>
      </c>
      <c r="H4797" s="182" t="n">
        <v>0</v>
      </c>
      <c r="I4797" s="182" t="n">
        <v>0</v>
      </c>
      <c r="J4797" s="182" t="n">
        <v>0</v>
      </c>
      <c r="K4797" s="182" t="n">
        <v>12</v>
      </c>
      <c r="L4797" s="182" t="n">
        <v>12</v>
      </c>
      <c r="M4797" s="182" t="n">
        <v>0</v>
      </c>
      <c r="N4797" s="182" t="n">
        <v>0</v>
      </c>
      <c r="O4797" s="183" t="n">
        <v>0</v>
      </c>
      <c r="P4797" s="183" t="n">
        <v>0</v>
      </c>
      <c r="Q4797" s="184" t="n">
        <v>0</v>
      </c>
      <c r="R4797" s="184" t="n">
        <v>0</v>
      </c>
      <c r="S4797" s="183" t="n">
        <v>0</v>
      </c>
      <c r="T4797" s="183" t="n">
        <v>0</v>
      </c>
      <c r="U4797" s="182" t="n">
        <v>0</v>
      </c>
      <c r="V4797" s="182" t="n">
        <v>0</v>
      </c>
      <c r="W4797" s="182" t="n">
        <v>0</v>
      </c>
      <c r="X4797" s="182" t="n">
        <v>1</v>
      </c>
      <c r="Y4797" s="182" t="n">
        <v>0</v>
      </c>
      <c r="Z4797" s="182" t="n">
        <v>0</v>
      </c>
      <c r="AA4797" s="182" t="n">
        <v>0</v>
      </c>
      <c r="AB4797" s="182" t="n">
        <v>0</v>
      </c>
      <c r="AC4797" s="182" t="n">
        <v>0</v>
      </c>
      <c r="AD4797" s="182" t="n">
        <v>0</v>
      </c>
      <c r="AE4797" s="182" t="n">
        <v>0</v>
      </c>
      <c r="AF4797" s="182" t="n">
        <v>0</v>
      </c>
      <c r="AG4797" s="182" t="n">
        <v>0</v>
      </c>
      <c r="AH4797" s="182" t="n">
        <v>0</v>
      </c>
      <c r="AI4797" s="182" t="n">
        <v>0</v>
      </c>
      <c r="AJ4797" s="182" t="n">
        <v>0</v>
      </c>
      <c r="AK4797" s="182" t="n">
        <v>10.92</v>
      </c>
      <c r="AL4797" s="182" t="n">
        <v>0</v>
      </c>
      <c r="AM4797" s="182" t="n">
        <v>0.08</v>
      </c>
      <c r="AN4797" s="182" t="n">
        <v>0</v>
      </c>
    </row>
    <row r="4798">
      <c r="A4798" s="155" t="n">
        <v>46103</v>
      </c>
      <c r="B4798" s="156" t="inlineStr">
        <is>
          <t>NS</t>
        </is>
      </c>
      <c r="C4798" s="156" t="inlineStr">
        <is>
          <t>DT-810</t>
        </is>
      </c>
      <c r="D4798" s="156" t="inlineStr">
        <is>
          <t>SKT 80S</t>
        </is>
      </c>
      <c r="E4798" s="156" t="inlineStr">
        <is>
          <t>Hauler</t>
        </is>
      </c>
      <c r="F4798" s="156" t="inlineStr">
        <is>
          <t>Rehandling Tailing 1</t>
        </is>
      </c>
      <c r="G4798" s="182" t="n">
        <v>4.36</v>
      </c>
      <c r="H4798" s="182" t="n">
        <v>0</v>
      </c>
      <c r="I4798" s="182" t="n">
        <v>0</v>
      </c>
      <c r="J4798" s="182" t="n">
        <v>0</v>
      </c>
      <c r="K4798" s="182" t="n">
        <v>7.64</v>
      </c>
      <c r="L4798" s="182" t="n">
        <v>12</v>
      </c>
      <c r="M4798" s="182" t="n">
        <v>0</v>
      </c>
      <c r="N4798" s="182" t="n">
        <v>0</v>
      </c>
      <c r="O4798" s="183" t="n">
        <v>0</v>
      </c>
      <c r="P4798" s="183" t="n">
        <v>0</v>
      </c>
      <c r="Q4798" s="184" t="n">
        <v>0</v>
      </c>
      <c r="R4798" s="184" t="n">
        <v>0</v>
      </c>
      <c r="S4798" s="183" t="n">
        <v>0</v>
      </c>
      <c r="T4798" s="183" t="n">
        <v>0</v>
      </c>
      <c r="U4798" s="182" t="n">
        <v>0</v>
      </c>
      <c r="V4798" s="182" t="n">
        <v>0</v>
      </c>
      <c r="W4798" s="182" t="n">
        <v>0</v>
      </c>
      <c r="X4798" s="182" t="n">
        <v>1.03</v>
      </c>
      <c r="Y4798" s="182" t="n">
        <v>0</v>
      </c>
      <c r="Z4798" s="182" t="n">
        <v>0.07000000000000001</v>
      </c>
      <c r="AA4798" s="182" t="n">
        <v>0</v>
      </c>
      <c r="AB4798" s="182" t="n">
        <v>0</v>
      </c>
      <c r="AC4798" s="182" t="n">
        <v>0</v>
      </c>
      <c r="AD4798" s="182" t="n">
        <v>0</v>
      </c>
      <c r="AE4798" s="182" t="n">
        <v>0</v>
      </c>
      <c r="AF4798" s="182" t="n">
        <v>0</v>
      </c>
      <c r="AG4798" s="182" t="n">
        <v>0</v>
      </c>
      <c r="AH4798" s="182" t="n">
        <v>0</v>
      </c>
      <c r="AI4798" s="182" t="n">
        <v>0</v>
      </c>
      <c r="AJ4798" s="182" t="n">
        <v>0</v>
      </c>
      <c r="AK4798" s="182" t="n">
        <v>6.45</v>
      </c>
      <c r="AL4798" s="182" t="n">
        <v>0</v>
      </c>
      <c r="AM4798" s="182" t="n">
        <v>0.08</v>
      </c>
      <c r="AN4798" s="182" t="n">
        <v>0</v>
      </c>
    </row>
    <row r="4799">
      <c r="A4799" s="155" t="n">
        <v>46103</v>
      </c>
      <c r="B4799" s="156" t="inlineStr">
        <is>
          <t>NS</t>
        </is>
      </c>
      <c r="C4799" s="156" t="inlineStr">
        <is>
          <t>DT-804</t>
        </is>
      </c>
      <c r="D4799" s="156" t="inlineStr">
        <is>
          <t>SKT 80S</t>
        </is>
      </c>
      <c r="E4799" s="156" t="inlineStr">
        <is>
          <t>Hauler</t>
        </is>
      </c>
      <c r="F4799" s="156" t="inlineStr">
        <is>
          <t>Travel</t>
        </is>
      </c>
      <c r="G4799" s="182" t="n">
        <v>0.2</v>
      </c>
      <c r="H4799" s="182" t="n">
        <v>0</v>
      </c>
      <c r="I4799" s="182" t="n">
        <v>0</v>
      </c>
      <c r="J4799" s="182" t="n">
        <v>0</v>
      </c>
      <c r="K4799" s="182" t="n">
        <v>11.8</v>
      </c>
      <c r="L4799" s="182" t="n">
        <v>12</v>
      </c>
      <c r="M4799" s="182" t="n">
        <v>0</v>
      </c>
      <c r="N4799" s="182" t="n">
        <v>0</v>
      </c>
      <c r="O4799" s="183" t="n">
        <v>0</v>
      </c>
      <c r="P4799" s="183" t="n">
        <v>0</v>
      </c>
      <c r="Q4799" s="184" t="n">
        <v>0</v>
      </c>
      <c r="R4799" s="184" t="n">
        <v>0</v>
      </c>
      <c r="S4799" s="183" t="n">
        <v>0</v>
      </c>
      <c r="T4799" s="183" t="n">
        <v>0</v>
      </c>
      <c r="U4799" s="182" t="n">
        <v>0</v>
      </c>
      <c r="V4799" s="182" t="n">
        <v>0</v>
      </c>
      <c r="W4799" s="182" t="n">
        <v>0</v>
      </c>
      <c r="X4799" s="182" t="n">
        <v>1</v>
      </c>
      <c r="Y4799" s="182" t="n">
        <v>0</v>
      </c>
      <c r="Z4799" s="182" t="n">
        <v>0.07000000000000001</v>
      </c>
      <c r="AA4799" s="182" t="n">
        <v>0</v>
      </c>
      <c r="AB4799" s="182" t="n">
        <v>0</v>
      </c>
      <c r="AC4799" s="182" t="n">
        <v>0</v>
      </c>
      <c r="AD4799" s="182" t="n">
        <v>0</v>
      </c>
      <c r="AE4799" s="182" t="n">
        <v>0</v>
      </c>
      <c r="AF4799" s="182" t="n">
        <v>0</v>
      </c>
      <c r="AG4799" s="182" t="n">
        <v>0</v>
      </c>
      <c r="AH4799" s="182" t="n">
        <v>0</v>
      </c>
      <c r="AI4799" s="182" t="n">
        <v>0</v>
      </c>
      <c r="AJ4799" s="182" t="n">
        <v>0</v>
      </c>
      <c r="AK4799" s="182" t="n">
        <v>10.65</v>
      </c>
      <c r="AL4799" s="182" t="n">
        <v>0</v>
      </c>
      <c r="AM4799" s="182" t="n">
        <v>0.08</v>
      </c>
      <c r="AN4799" s="182" t="n">
        <v>0</v>
      </c>
    </row>
    <row r="4800">
      <c r="A4800" s="155" t="n">
        <v>46103</v>
      </c>
      <c r="B4800" s="156" t="inlineStr">
        <is>
          <t>NS</t>
        </is>
      </c>
      <c r="C4800" s="156" t="inlineStr">
        <is>
          <t>DT-505</t>
        </is>
      </c>
      <c r="D4800" s="156" t="inlineStr">
        <is>
          <t>SKT 105S</t>
        </is>
      </c>
      <c r="E4800" s="156" t="inlineStr">
        <is>
          <t>Hauler</t>
        </is>
      </c>
      <c r="F4800" s="156" t="inlineStr">
        <is>
          <t>Hauling OB</t>
        </is>
      </c>
      <c r="G4800" s="182" t="n">
        <v>9.710000000000001</v>
      </c>
      <c r="H4800" s="182" t="n">
        <v>0</v>
      </c>
      <c r="I4800" s="182" t="n">
        <v>0.13</v>
      </c>
      <c r="J4800" s="182" t="n">
        <v>0.13</v>
      </c>
      <c r="K4800" s="182" t="n">
        <v>2.16</v>
      </c>
      <c r="L4800" s="182" t="n">
        <v>12</v>
      </c>
      <c r="M4800" s="182" t="n">
        <v>9.710000000000001</v>
      </c>
      <c r="N4800" s="182" t="n">
        <v>0</v>
      </c>
      <c r="O4800" s="183" t="n">
        <v>39</v>
      </c>
      <c r="P4800" s="183" t="n">
        <v>0</v>
      </c>
      <c r="Q4800" s="184" t="n">
        <v>795.6</v>
      </c>
      <c r="R4800" s="184" t="n">
        <v>0</v>
      </c>
      <c r="S4800" s="183" t="n">
        <v>0</v>
      </c>
      <c r="T4800" s="183" t="n">
        <v>0</v>
      </c>
      <c r="U4800" s="182" t="n">
        <v>0</v>
      </c>
      <c r="V4800" s="182" t="n">
        <v>0</v>
      </c>
      <c r="W4800" s="182" t="n">
        <v>0</v>
      </c>
      <c r="X4800" s="182" t="n">
        <v>1.22</v>
      </c>
      <c r="Y4800" s="182" t="n">
        <v>0</v>
      </c>
      <c r="Z4800" s="182" t="n">
        <v>0.09</v>
      </c>
      <c r="AA4800" s="182" t="n">
        <v>0</v>
      </c>
      <c r="AB4800" s="182" t="n">
        <v>0</v>
      </c>
      <c r="AC4800" s="182" t="n">
        <v>0</v>
      </c>
      <c r="AD4800" s="182" t="n">
        <v>0</v>
      </c>
      <c r="AE4800" s="182" t="n">
        <v>0</v>
      </c>
      <c r="AF4800" s="182" t="n">
        <v>0</v>
      </c>
      <c r="AG4800" s="182" t="n">
        <v>0</v>
      </c>
      <c r="AH4800" s="182" t="n">
        <v>0.76</v>
      </c>
      <c r="AI4800" s="182" t="n">
        <v>0</v>
      </c>
      <c r="AJ4800" s="182" t="n">
        <v>0</v>
      </c>
      <c r="AK4800" s="182" t="n">
        <v>0</v>
      </c>
      <c r="AL4800" s="182" t="n">
        <v>0</v>
      </c>
      <c r="AM4800" s="182" t="n">
        <v>0.1</v>
      </c>
      <c r="AN4800" s="182" t="n">
        <v>0</v>
      </c>
    </row>
    <row r="4801">
      <c r="A4801" s="155" t="n">
        <v>46103</v>
      </c>
      <c r="B4801" s="156" t="inlineStr">
        <is>
          <t>NS</t>
        </is>
      </c>
      <c r="C4801" s="156" t="inlineStr">
        <is>
          <t>DT-530</t>
        </is>
      </c>
      <c r="D4801" s="156" t="inlineStr">
        <is>
          <t>SKT 105S</t>
        </is>
      </c>
      <c r="E4801" s="156" t="inlineStr">
        <is>
          <t>Hauler</t>
        </is>
      </c>
      <c r="F4801" s="156" t="inlineStr"/>
      <c r="G4801" s="182" t="n">
        <v>0</v>
      </c>
      <c r="H4801" s="182" t="n">
        <v>0</v>
      </c>
      <c r="I4801" s="182" t="n">
        <v>12</v>
      </c>
      <c r="J4801" s="182" t="n">
        <v>12</v>
      </c>
      <c r="K4801" s="182" t="n">
        <v>0</v>
      </c>
      <c r="L4801" s="182" t="n">
        <v>12</v>
      </c>
      <c r="M4801" s="182" t="n">
        <v>0</v>
      </c>
      <c r="N4801" s="182" t="n">
        <v>0</v>
      </c>
      <c r="O4801" s="183" t="n">
        <v>0</v>
      </c>
      <c r="P4801" s="183" t="n">
        <v>0</v>
      </c>
      <c r="Q4801" s="184" t="n">
        <v>0</v>
      </c>
      <c r="R4801" s="184" t="n">
        <v>0</v>
      </c>
      <c r="S4801" s="183" t="n">
        <v>0</v>
      </c>
      <c r="T4801" s="183" t="n">
        <v>0</v>
      </c>
      <c r="U4801" s="182" t="n">
        <v>0</v>
      </c>
      <c r="V4801" s="182" t="n">
        <v>0</v>
      </c>
      <c r="W4801" s="182" t="n">
        <v>0</v>
      </c>
      <c r="X4801" s="182" t="n">
        <v>0</v>
      </c>
      <c r="Y4801" s="182" t="n">
        <v>0</v>
      </c>
      <c r="Z4801" s="182" t="n">
        <v>0</v>
      </c>
      <c r="AA4801" s="182" t="n">
        <v>0</v>
      </c>
      <c r="AB4801" s="182" t="n">
        <v>0</v>
      </c>
      <c r="AC4801" s="182" t="n">
        <v>0</v>
      </c>
      <c r="AD4801" s="182" t="n">
        <v>0</v>
      </c>
      <c r="AE4801" s="182" t="n">
        <v>0</v>
      </c>
      <c r="AF4801" s="182" t="n">
        <v>0</v>
      </c>
      <c r="AG4801" s="182" t="n">
        <v>0</v>
      </c>
      <c r="AH4801" s="182" t="n">
        <v>0</v>
      </c>
      <c r="AI4801" s="182" t="n">
        <v>0</v>
      </c>
      <c r="AJ4801" s="182" t="n">
        <v>0</v>
      </c>
      <c r="AK4801" s="182" t="n">
        <v>0</v>
      </c>
      <c r="AL4801" s="182" t="n">
        <v>0</v>
      </c>
      <c r="AM4801" s="182" t="n">
        <v>0</v>
      </c>
      <c r="AN4801" s="182" t="n">
        <v>0</v>
      </c>
    </row>
    <row r="4802">
      <c r="A4802" s="155" t="n">
        <v>46103</v>
      </c>
      <c r="B4802" s="156" t="inlineStr">
        <is>
          <t>NS</t>
        </is>
      </c>
      <c r="C4802" s="156" t="inlineStr">
        <is>
          <t>DT-525</t>
        </is>
      </c>
      <c r="D4802" s="156" t="inlineStr">
        <is>
          <t>SKT 105S</t>
        </is>
      </c>
      <c r="E4802" s="156" t="inlineStr">
        <is>
          <t>Hauler</t>
        </is>
      </c>
      <c r="F4802" s="156" t="inlineStr"/>
      <c r="G4802" s="182" t="n">
        <v>0</v>
      </c>
      <c r="H4802" s="182" t="n">
        <v>0</v>
      </c>
      <c r="I4802" s="182" t="n">
        <v>12</v>
      </c>
      <c r="J4802" s="182" t="n">
        <v>12</v>
      </c>
      <c r="K4802" s="182" t="n">
        <v>0</v>
      </c>
      <c r="L4802" s="182" t="n">
        <v>12</v>
      </c>
      <c r="M4802" s="182" t="n">
        <v>0</v>
      </c>
      <c r="N4802" s="182" t="n">
        <v>0</v>
      </c>
      <c r="O4802" s="183" t="n">
        <v>0</v>
      </c>
      <c r="P4802" s="183" t="n">
        <v>0</v>
      </c>
      <c r="Q4802" s="184" t="n">
        <v>0</v>
      </c>
      <c r="R4802" s="184" t="n">
        <v>0</v>
      </c>
      <c r="S4802" s="183" t="n">
        <v>0</v>
      </c>
      <c r="T4802" s="183" t="n">
        <v>0</v>
      </c>
      <c r="U4802" s="182" t="n">
        <v>0</v>
      </c>
      <c r="V4802" s="182" t="n">
        <v>0</v>
      </c>
      <c r="W4802" s="182" t="n">
        <v>0</v>
      </c>
      <c r="X4802" s="182" t="n">
        <v>0</v>
      </c>
      <c r="Y4802" s="182" t="n">
        <v>0</v>
      </c>
      <c r="Z4802" s="182" t="n">
        <v>0</v>
      </c>
      <c r="AA4802" s="182" t="n">
        <v>0</v>
      </c>
      <c r="AB4802" s="182" t="n">
        <v>0</v>
      </c>
      <c r="AC4802" s="182" t="n">
        <v>0</v>
      </c>
      <c r="AD4802" s="182" t="n">
        <v>0</v>
      </c>
      <c r="AE4802" s="182" t="n">
        <v>0</v>
      </c>
      <c r="AF4802" s="182" t="n">
        <v>0</v>
      </c>
      <c r="AG4802" s="182" t="n">
        <v>0</v>
      </c>
      <c r="AH4802" s="182" t="n">
        <v>0</v>
      </c>
      <c r="AI4802" s="182" t="n">
        <v>0</v>
      </c>
      <c r="AJ4802" s="182" t="n">
        <v>0</v>
      </c>
      <c r="AK4802" s="182" t="n">
        <v>0</v>
      </c>
      <c r="AL4802" s="182" t="n">
        <v>0</v>
      </c>
      <c r="AM4802" s="182" t="n">
        <v>0</v>
      </c>
      <c r="AN4802" s="182" t="n">
        <v>0</v>
      </c>
    </row>
    <row r="4803">
      <c r="A4803" s="155" t="n">
        <v>46103</v>
      </c>
      <c r="B4803" s="156" t="inlineStr">
        <is>
          <t>NS</t>
        </is>
      </c>
      <c r="C4803" s="156" t="inlineStr">
        <is>
          <t>DT-503</t>
        </is>
      </c>
      <c r="D4803" s="156" t="inlineStr">
        <is>
          <t>SKT 105S</t>
        </is>
      </c>
      <c r="E4803" s="156" t="inlineStr">
        <is>
          <t>Hauler</t>
        </is>
      </c>
      <c r="F4803" s="156" t="inlineStr">
        <is>
          <t>Hauling OB</t>
        </is>
      </c>
      <c r="G4803" s="182" t="n">
        <v>10.16</v>
      </c>
      <c r="H4803" s="182" t="n">
        <v>0</v>
      </c>
      <c r="I4803" s="182" t="n">
        <v>0</v>
      </c>
      <c r="J4803" s="182" t="n">
        <v>0</v>
      </c>
      <c r="K4803" s="182" t="n">
        <v>1.84</v>
      </c>
      <c r="L4803" s="182" t="n">
        <v>12</v>
      </c>
      <c r="M4803" s="182" t="n">
        <v>10.16</v>
      </c>
      <c r="N4803" s="182" t="n">
        <v>0</v>
      </c>
      <c r="O4803" s="183" t="n">
        <v>31</v>
      </c>
      <c r="P4803" s="183" t="n">
        <v>0</v>
      </c>
      <c r="Q4803" s="184" t="n">
        <v>632.4</v>
      </c>
      <c r="R4803" s="184" t="n">
        <v>0</v>
      </c>
      <c r="S4803" s="183" t="n">
        <v>0</v>
      </c>
      <c r="T4803" s="183" t="n">
        <v>0</v>
      </c>
      <c r="U4803" s="182" t="n">
        <v>0</v>
      </c>
      <c r="V4803" s="182" t="n">
        <v>0</v>
      </c>
      <c r="W4803" s="182" t="n">
        <v>0</v>
      </c>
      <c r="X4803" s="182" t="n">
        <v>0.84</v>
      </c>
      <c r="Y4803" s="182" t="n">
        <v>0</v>
      </c>
      <c r="Z4803" s="182" t="n">
        <v>0</v>
      </c>
      <c r="AA4803" s="182" t="n">
        <v>0</v>
      </c>
      <c r="AB4803" s="182" t="n">
        <v>0</v>
      </c>
      <c r="AC4803" s="182" t="n">
        <v>0</v>
      </c>
      <c r="AD4803" s="182" t="n">
        <v>0</v>
      </c>
      <c r="AE4803" s="182" t="n">
        <v>0</v>
      </c>
      <c r="AF4803" s="182" t="n">
        <v>0</v>
      </c>
      <c r="AG4803" s="182" t="n">
        <v>0.42</v>
      </c>
      <c r="AH4803" s="182" t="n">
        <v>0.52</v>
      </c>
      <c r="AI4803" s="182" t="n">
        <v>0</v>
      </c>
      <c r="AJ4803" s="182" t="n">
        <v>0</v>
      </c>
      <c r="AK4803" s="182" t="n">
        <v>0</v>
      </c>
      <c r="AL4803" s="182" t="n">
        <v>0</v>
      </c>
      <c r="AM4803" s="182" t="n">
        <v>0.07000000000000001</v>
      </c>
      <c r="AN4803" s="182" t="n">
        <v>0</v>
      </c>
    </row>
    <row r="4804">
      <c r="A4804" s="155" t="n">
        <v>46103</v>
      </c>
      <c r="B4804" s="156" t="inlineStr">
        <is>
          <t>NS</t>
        </is>
      </c>
      <c r="C4804" s="156" t="inlineStr">
        <is>
          <t>DT-504</t>
        </is>
      </c>
      <c r="D4804" s="156" t="inlineStr">
        <is>
          <t>SKT 105S</t>
        </is>
      </c>
      <c r="E4804" s="156" t="inlineStr">
        <is>
          <t>Hauler</t>
        </is>
      </c>
      <c r="F4804" s="156" t="inlineStr">
        <is>
          <t>Hauling Coal S60</t>
        </is>
      </c>
      <c r="G4804" s="182" t="n">
        <v>11.3</v>
      </c>
      <c r="H4804" s="182" t="n">
        <v>0</v>
      </c>
      <c r="I4804" s="182" t="n">
        <v>0</v>
      </c>
      <c r="J4804" s="182" t="n">
        <v>0</v>
      </c>
      <c r="K4804" s="182" t="n">
        <v>0.7</v>
      </c>
      <c r="L4804" s="182" t="n">
        <v>12</v>
      </c>
      <c r="M4804" s="182" t="n">
        <v>0</v>
      </c>
      <c r="N4804" s="182" t="n">
        <v>11.3</v>
      </c>
      <c r="O4804" s="183" t="n">
        <v>0</v>
      </c>
      <c r="P4804" s="183" t="n">
        <v>22</v>
      </c>
      <c r="Q4804" s="184" t="n">
        <v>0</v>
      </c>
      <c r="R4804" s="184" t="n">
        <v>411.4</v>
      </c>
      <c r="S4804" s="183" t="n">
        <v>0</v>
      </c>
      <c r="T4804" s="183" t="n">
        <v>0</v>
      </c>
      <c r="U4804" s="182" t="n">
        <v>0</v>
      </c>
      <c r="V4804" s="182" t="n">
        <v>0</v>
      </c>
      <c r="W4804" s="182" t="n">
        <v>0</v>
      </c>
      <c r="X4804" s="182" t="n">
        <v>0.58</v>
      </c>
      <c r="Y4804" s="182" t="n">
        <v>0</v>
      </c>
      <c r="Z4804" s="182" t="n">
        <v>0.05</v>
      </c>
      <c r="AA4804" s="182" t="n">
        <v>0</v>
      </c>
      <c r="AB4804" s="182" t="n">
        <v>0</v>
      </c>
      <c r="AC4804" s="182" t="n">
        <v>0</v>
      </c>
      <c r="AD4804" s="182" t="n">
        <v>0</v>
      </c>
      <c r="AE4804" s="182" t="n">
        <v>0</v>
      </c>
      <c r="AF4804" s="182" t="n">
        <v>0</v>
      </c>
      <c r="AG4804" s="182" t="n">
        <v>0</v>
      </c>
      <c r="AH4804" s="182" t="n">
        <v>0</v>
      </c>
      <c r="AI4804" s="182" t="n">
        <v>0</v>
      </c>
      <c r="AJ4804" s="182" t="n">
        <v>0</v>
      </c>
      <c r="AK4804" s="182" t="n">
        <v>0</v>
      </c>
      <c r="AL4804" s="182" t="n">
        <v>0</v>
      </c>
      <c r="AM4804" s="182" t="n">
        <v>0.06</v>
      </c>
      <c r="AN4804" s="182" t="n">
        <v>0</v>
      </c>
    </row>
    <row r="4805">
      <c r="A4805" s="155" t="n">
        <v>46103</v>
      </c>
      <c r="B4805" s="156" t="inlineStr">
        <is>
          <t>NS</t>
        </is>
      </c>
      <c r="C4805" s="156" t="inlineStr">
        <is>
          <t>DT-507</t>
        </is>
      </c>
      <c r="D4805" s="156" t="inlineStr">
        <is>
          <t>SKT 105S</t>
        </is>
      </c>
      <c r="E4805" s="156" t="inlineStr">
        <is>
          <t>Hauler</t>
        </is>
      </c>
      <c r="F4805" s="156" t="inlineStr"/>
      <c r="G4805" s="182" t="n">
        <v>0</v>
      </c>
      <c r="H4805" s="182" t="n">
        <v>0</v>
      </c>
      <c r="I4805" s="182" t="n">
        <v>12</v>
      </c>
      <c r="J4805" s="182" t="n">
        <v>12</v>
      </c>
      <c r="K4805" s="182" t="n">
        <v>0</v>
      </c>
      <c r="L4805" s="182" t="n">
        <v>12</v>
      </c>
      <c r="M4805" s="182" t="n">
        <v>0</v>
      </c>
      <c r="N4805" s="182" t="n">
        <v>0</v>
      </c>
      <c r="O4805" s="183" t="n">
        <v>0</v>
      </c>
      <c r="P4805" s="183" t="n">
        <v>0</v>
      </c>
      <c r="Q4805" s="184" t="n">
        <v>0</v>
      </c>
      <c r="R4805" s="184" t="n">
        <v>0</v>
      </c>
      <c r="S4805" s="183" t="n">
        <v>0</v>
      </c>
      <c r="T4805" s="183" t="n">
        <v>0</v>
      </c>
      <c r="U4805" s="182" t="n">
        <v>0</v>
      </c>
      <c r="V4805" s="182" t="n">
        <v>0</v>
      </c>
      <c r="W4805" s="182" t="n">
        <v>0</v>
      </c>
      <c r="X4805" s="182" t="n">
        <v>0</v>
      </c>
      <c r="Y4805" s="182" t="n">
        <v>0</v>
      </c>
      <c r="Z4805" s="182" t="n">
        <v>0</v>
      </c>
      <c r="AA4805" s="182" t="n">
        <v>0</v>
      </c>
      <c r="AB4805" s="182" t="n">
        <v>0</v>
      </c>
      <c r="AC4805" s="182" t="n">
        <v>0</v>
      </c>
      <c r="AD4805" s="182" t="n">
        <v>0</v>
      </c>
      <c r="AE4805" s="182" t="n">
        <v>0</v>
      </c>
      <c r="AF4805" s="182" t="n">
        <v>0</v>
      </c>
      <c r="AG4805" s="182" t="n">
        <v>0</v>
      </c>
      <c r="AH4805" s="182" t="n">
        <v>0</v>
      </c>
      <c r="AI4805" s="182" t="n">
        <v>0</v>
      </c>
      <c r="AJ4805" s="182" t="n">
        <v>0</v>
      </c>
      <c r="AK4805" s="182" t="n">
        <v>0</v>
      </c>
      <c r="AL4805" s="182" t="n">
        <v>0</v>
      </c>
      <c r="AM4805" s="182" t="n">
        <v>0</v>
      </c>
      <c r="AN4805" s="182" t="n">
        <v>0</v>
      </c>
    </row>
    <row r="4806">
      <c r="A4806" s="155" t="n">
        <v>46103</v>
      </c>
      <c r="B4806" s="156" t="inlineStr">
        <is>
          <t>NS</t>
        </is>
      </c>
      <c r="C4806" s="156" t="inlineStr">
        <is>
          <t>DT-501</t>
        </is>
      </c>
      <c r="D4806" s="156" t="inlineStr">
        <is>
          <t>SKT 105S</t>
        </is>
      </c>
      <c r="E4806" s="156" t="inlineStr">
        <is>
          <t>Hauler</t>
        </is>
      </c>
      <c r="F4806" s="156" t="inlineStr">
        <is>
          <t>Hauling OB</t>
        </is>
      </c>
      <c r="G4806" s="182" t="n">
        <v>9.74</v>
      </c>
      <c r="H4806" s="182" t="n">
        <v>0</v>
      </c>
      <c r="I4806" s="182" t="n">
        <v>0</v>
      </c>
      <c r="J4806" s="182" t="n">
        <v>0</v>
      </c>
      <c r="K4806" s="182" t="n">
        <v>2.26</v>
      </c>
      <c r="L4806" s="182" t="n">
        <v>12</v>
      </c>
      <c r="M4806" s="182" t="n">
        <v>9.74</v>
      </c>
      <c r="N4806" s="182" t="n">
        <v>0</v>
      </c>
      <c r="O4806" s="183" t="n">
        <v>37</v>
      </c>
      <c r="P4806" s="183" t="n">
        <v>0</v>
      </c>
      <c r="Q4806" s="184" t="n">
        <v>754.8</v>
      </c>
      <c r="R4806" s="184" t="n">
        <v>0</v>
      </c>
      <c r="S4806" s="183" t="n">
        <v>0</v>
      </c>
      <c r="T4806" s="183" t="n">
        <v>0</v>
      </c>
      <c r="U4806" s="182" t="n">
        <v>0</v>
      </c>
      <c r="V4806" s="182" t="n">
        <v>0</v>
      </c>
      <c r="W4806" s="182" t="n">
        <v>0</v>
      </c>
      <c r="X4806" s="182" t="n">
        <v>0.9399999999999999</v>
      </c>
      <c r="Y4806" s="182" t="n">
        <v>0</v>
      </c>
      <c r="Z4806" s="182" t="n">
        <v>0.07000000000000001</v>
      </c>
      <c r="AA4806" s="182" t="n">
        <v>0</v>
      </c>
      <c r="AB4806" s="182" t="n">
        <v>0.16</v>
      </c>
      <c r="AC4806" s="182" t="n">
        <v>0</v>
      </c>
      <c r="AD4806" s="182" t="n">
        <v>0</v>
      </c>
      <c r="AE4806" s="182" t="n">
        <v>0</v>
      </c>
      <c r="AF4806" s="182" t="n">
        <v>0</v>
      </c>
      <c r="AG4806" s="182" t="n">
        <v>0.19</v>
      </c>
      <c r="AH4806" s="182" t="n">
        <v>0.83</v>
      </c>
      <c r="AI4806" s="182" t="n">
        <v>0</v>
      </c>
      <c r="AJ4806" s="182" t="n">
        <v>0</v>
      </c>
      <c r="AK4806" s="182" t="n">
        <v>0</v>
      </c>
      <c r="AL4806" s="182" t="n">
        <v>0</v>
      </c>
      <c r="AM4806" s="182" t="n">
        <v>0.08</v>
      </c>
      <c r="AN4806" s="182" t="n">
        <v>0</v>
      </c>
    </row>
    <row r="4807">
      <c r="A4807" s="155" t="n">
        <v>46103</v>
      </c>
      <c r="B4807" s="156" t="inlineStr">
        <is>
          <t>NS</t>
        </is>
      </c>
      <c r="C4807" s="156" t="inlineStr">
        <is>
          <t>DT-518</t>
        </is>
      </c>
      <c r="D4807" s="156" t="inlineStr">
        <is>
          <t>SKT 105S</t>
        </is>
      </c>
      <c r="E4807" s="156" t="inlineStr">
        <is>
          <t>Hauler</t>
        </is>
      </c>
      <c r="F4807" s="156" t="inlineStr">
        <is>
          <t>Hauling OB</t>
        </is>
      </c>
      <c r="G4807" s="182" t="n">
        <v>3.21</v>
      </c>
      <c r="H4807" s="182" t="n">
        <v>0</v>
      </c>
      <c r="I4807" s="182" t="n">
        <v>7.42</v>
      </c>
      <c r="J4807" s="182" t="n">
        <v>7.42</v>
      </c>
      <c r="K4807" s="182" t="n">
        <v>1.37</v>
      </c>
      <c r="L4807" s="182" t="n">
        <v>12</v>
      </c>
      <c r="M4807" s="182" t="n">
        <v>3.21</v>
      </c>
      <c r="N4807" s="182" t="n">
        <v>0</v>
      </c>
      <c r="O4807" s="183" t="n">
        <v>13</v>
      </c>
      <c r="P4807" s="183" t="n">
        <v>0</v>
      </c>
      <c r="Q4807" s="184" t="n">
        <v>265.2</v>
      </c>
      <c r="R4807" s="184" t="n">
        <v>0</v>
      </c>
      <c r="S4807" s="183" t="n">
        <v>0</v>
      </c>
      <c r="T4807" s="183" t="n">
        <v>0</v>
      </c>
      <c r="U4807" s="182" t="n">
        <v>0</v>
      </c>
      <c r="V4807" s="182" t="n">
        <v>0</v>
      </c>
      <c r="W4807" s="182" t="n">
        <v>0</v>
      </c>
      <c r="X4807" s="182" t="n">
        <v>1.16</v>
      </c>
      <c r="Y4807" s="182" t="n">
        <v>0</v>
      </c>
      <c r="Z4807" s="182" t="n">
        <v>0.1</v>
      </c>
      <c r="AA4807" s="182" t="n">
        <v>0</v>
      </c>
      <c r="AB4807" s="182" t="n">
        <v>0</v>
      </c>
      <c r="AC4807" s="182" t="n">
        <v>0</v>
      </c>
      <c r="AD4807" s="182" t="n">
        <v>0</v>
      </c>
      <c r="AE4807" s="182" t="n">
        <v>0</v>
      </c>
      <c r="AF4807" s="182" t="n">
        <v>0</v>
      </c>
      <c r="AG4807" s="182" t="n">
        <v>0</v>
      </c>
      <c r="AH4807" s="182" t="n">
        <v>0</v>
      </c>
      <c r="AI4807" s="182" t="n">
        <v>0</v>
      </c>
      <c r="AJ4807" s="182" t="n">
        <v>0</v>
      </c>
      <c r="AK4807" s="182" t="n">
        <v>0</v>
      </c>
      <c r="AL4807" s="182" t="n">
        <v>0</v>
      </c>
      <c r="AM4807" s="182" t="n">
        <v>0.11</v>
      </c>
      <c r="AN4807" s="182" t="n">
        <v>0</v>
      </c>
    </row>
    <row r="4808">
      <c r="A4808" s="155" t="n">
        <v>46103</v>
      </c>
      <c r="B4808" s="156" t="inlineStr">
        <is>
          <t>NS</t>
        </is>
      </c>
      <c r="C4808" s="156" t="inlineStr">
        <is>
          <t>DT-514</t>
        </is>
      </c>
      <c r="D4808" s="156" t="inlineStr">
        <is>
          <t>SKT 105S</t>
        </is>
      </c>
      <c r="E4808" s="156" t="inlineStr">
        <is>
          <t>Hauler</t>
        </is>
      </c>
      <c r="F4808" s="156" t="inlineStr"/>
      <c r="G4808" s="182" t="n">
        <v>0</v>
      </c>
      <c r="H4808" s="182" t="n">
        <v>0</v>
      </c>
      <c r="I4808" s="182" t="n">
        <v>12</v>
      </c>
      <c r="J4808" s="182" t="n">
        <v>12</v>
      </c>
      <c r="K4808" s="182" t="n">
        <v>0</v>
      </c>
      <c r="L4808" s="182" t="n">
        <v>12</v>
      </c>
      <c r="M4808" s="182" t="n">
        <v>0</v>
      </c>
      <c r="N4808" s="182" t="n">
        <v>0</v>
      </c>
      <c r="O4808" s="183" t="n">
        <v>0</v>
      </c>
      <c r="P4808" s="183" t="n">
        <v>0</v>
      </c>
      <c r="Q4808" s="184" t="n">
        <v>0</v>
      </c>
      <c r="R4808" s="184" t="n">
        <v>0</v>
      </c>
      <c r="S4808" s="183" t="n">
        <v>0</v>
      </c>
      <c r="T4808" s="183" t="n">
        <v>0</v>
      </c>
      <c r="U4808" s="182" t="n">
        <v>0</v>
      </c>
      <c r="V4808" s="182" t="n">
        <v>0</v>
      </c>
      <c r="W4808" s="182" t="n">
        <v>0</v>
      </c>
      <c r="X4808" s="182" t="n">
        <v>0</v>
      </c>
      <c r="Y4808" s="182" t="n">
        <v>0</v>
      </c>
      <c r="Z4808" s="182" t="n">
        <v>0</v>
      </c>
      <c r="AA4808" s="182" t="n">
        <v>0</v>
      </c>
      <c r="AB4808" s="182" t="n">
        <v>0</v>
      </c>
      <c r="AC4808" s="182" t="n">
        <v>0</v>
      </c>
      <c r="AD4808" s="182" t="n">
        <v>0</v>
      </c>
      <c r="AE4808" s="182" t="n">
        <v>0</v>
      </c>
      <c r="AF4808" s="182" t="n">
        <v>0</v>
      </c>
      <c r="AG4808" s="182" t="n">
        <v>0</v>
      </c>
      <c r="AH4808" s="182" t="n">
        <v>0</v>
      </c>
      <c r="AI4808" s="182" t="n">
        <v>0</v>
      </c>
      <c r="AJ4808" s="182" t="n">
        <v>0</v>
      </c>
      <c r="AK4808" s="182" t="n">
        <v>0</v>
      </c>
      <c r="AL4808" s="182" t="n">
        <v>0</v>
      </c>
      <c r="AM4808" s="182" t="n">
        <v>0</v>
      </c>
      <c r="AN4808" s="182" t="n">
        <v>0</v>
      </c>
    </row>
    <row r="4809">
      <c r="A4809" s="155" t="n">
        <v>46103</v>
      </c>
      <c r="B4809" s="156" t="inlineStr">
        <is>
          <t>NS</t>
        </is>
      </c>
      <c r="C4809" s="156" t="inlineStr">
        <is>
          <t>DT-523</t>
        </is>
      </c>
      <c r="D4809" s="156" t="inlineStr">
        <is>
          <t>SKT 105S</t>
        </is>
      </c>
      <c r="E4809" s="156" t="inlineStr">
        <is>
          <t>Hauler</t>
        </is>
      </c>
      <c r="F4809" s="156" t="inlineStr">
        <is>
          <t>Hauling Coal S60</t>
        </is>
      </c>
      <c r="G4809" s="182" t="n">
        <v>10.75</v>
      </c>
      <c r="H4809" s="182" t="n">
        <v>0</v>
      </c>
      <c r="I4809" s="182" t="n">
        <v>0</v>
      </c>
      <c r="J4809" s="182" t="n">
        <v>0</v>
      </c>
      <c r="K4809" s="182" t="n">
        <v>1.25</v>
      </c>
      <c r="L4809" s="182" t="n">
        <v>12</v>
      </c>
      <c r="M4809" s="182" t="n">
        <v>0</v>
      </c>
      <c r="N4809" s="182" t="n">
        <v>10.75</v>
      </c>
      <c r="O4809" s="183" t="n">
        <v>0</v>
      </c>
      <c r="P4809" s="183" t="n">
        <v>22</v>
      </c>
      <c r="Q4809" s="184" t="n">
        <v>0</v>
      </c>
      <c r="R4809" s="184" t="n">
        <v>411.4</v>
      </c>
      <c r="S4809" s="183" t="n">
        <v>0</v>
      </c>
      <c r="T4809" s="183" t="n">
        <v>0</v>
      </c>
      <c r="U4809" s="182" t="n">
        <v>0</v>
      </c>
      <c r="V4809" s="182" t="n">
        <v>0</v>
      </c>
      <c r="W4809" s="182" t="n">
        <v>0</v>
      </c>
      <c r="X4809" s="182" t="n">
        <v>1.06</v>
      </c>
      <c r="Y4809" s="182" t="n">
        <v>0</v>
      </c>
      <c r="Z4809" s="182" t="n">
        <v>0.09</v>
      </c>
      <c r="AA4809" s="182" t="n">
        <v>0</v>
      </c>
      <c r="AB4809" s="182" t="n">
        <v>0</v>
      </c>
      <c r="AC4809" s="182" t="n">
        <v>0</v>
      </c>
      <c r="AD4809" s="182" t="n">
        <v>0</v>
      </c>
      <c r="AE4809" s="182" t="n">
        <v>0</v>
      </c>
      <c r="AF4809" s="182" t="n">
        <v>0</v>
      </c>
      <c r="AG4809" s="182" t="n">
        <v>0</v>
      </c>
      <c r="AH4809" s="182" t="n">
        <v>0</v>
      </c>
      <c r="AI4809" s="182" t="n">
        <v>0</v>
      </c>
      <c r="AJ4809" s="182" t="n">
        <v>0</v>
      </c>
      <c r="AK4809" s="182" t="n">
        <v>0</v>
      </c>
      <c r="AL4809" s="182" t="n">
        <v>0</v>
      </c>
      <c r="AM4809" s="182" t="n">
        <v>0.1</v>
      </c>
      <c r="AN4809" s="182" t="n">
        <v>0</v>
      </c>
    </row>
    <row r="4810">
      <c r="A4810" s="155" t="n">
        <v>46103</v>
      </c>
      <c r="B4810" s="156" t="inlineStr">
        <is>
          <t>NS</t>
        </is>
      </c>
      <c r="C4810" s="156" t="inlineStr">
        <is>
          <t>DT-519</t>
        </is>
      </c>
      <c r="D4810" s="156" t="inlineStr">
        <is>
          <t>SKT 105S</t>
        </is>
      </c>
      <c r="E4810" s="156" t="inlineStr">
        <is>
          <t>Hauler</t>
        </is>
      </c>
      <c r="F4810" s="156" t="inlineStr">
        <is>
          <t>Hauling Coal S45</t>
        </is>
      </c>
      <c r="G4810" s="182" t="n">
        <v>1.1</v>
      </c>
      <c r="H4810" s="182" t="n">
        <v>0</v>
      </c>
      <c r="I4810" s="182" t="n">
        <v>3.67</v>
      </c>
      <c r="J4810" s="182" t="n">
        <v>3.67</v>
      </c>
      <c r="K4810" s="182" t="n">
        <v>7.23</v>
      </c>
      <c r="L4810" s="182" t="n">
        <v>12</v>
      </c>
      <c r="M4810" s="182" t="n">
        <v>0</v>
      </c>
      <c r="N4810" s="182" t="n">
        <v>1.1</v>
      </c>
      <c r="O4810" s="183" t="n">
        <v>0</v>
      </c>
      <c r="P4810" s="183" t="n">
        <v>1</v>
      </c>
      <c r="Q4810" s="184" t="n">
        <v>0</v>
      </c>
      <c r="R4810" s="184" t="n">
        <v>18.7</v>
      </c>
      <c r="S4810" s="183" t="n">
        <v>0</v>
      </c>
      <c r="T4810" s="183" t="n">
        <v>0</v>
      </c>
      <c r="U4810" s="182" t="n">
        <v>0</v>
      </c>
      <c r="V4810" s="182" t="n">
        <v>0</v>
      </c>
      <c r="W4810" s="182" t="n">
        <v>0</v>
      </c>
      <c r="X4810" s="182" t="n">
        <v>0.96</v>
      </c>
      <c r="Y4810" s="182" t="n">
        <v>0</v>
      </c>
      <c r="Z4810" s="182" t="n">
        <v>0</v>
      </c>
      <c r="AA4810" s="182" t="n">
        <v>0</v>
      </c>
      <c r="AB4810" s="182" t="n">
        <v>0</v>
      </c>
      <c r="AC4810" s="182" t="n">
        <v>0</v>
      </c>
      <c r="AD4810" s="182" t="n">
        <v>0</v>
      </c>
      <c r="AE4810" s="182" t="n">
        <v>0</v>
      </c>
      <c r="AF4810" s="182" t="n">
        <v>0</v>
      </c>
      <c r="AG4810" s="182" t="n">
        <v>0</v>
      </c>
      <c r="AH4810" s="182" t="n">
        <v>0.48</v>
      </c>
      <c r="AI4810" s="182" t="n">
        <v>0</v>
      </c>
      <c r="AJ4810" s="182" t="n">
        <v>0</v>
      </c>
      <c r="AK4810" s="182" t="n">
        <v>5.71</v>
      </c>
      <c r="AL4810" s="182" t="n">
        <v>0</v>
      </c>
      <c r="AM4810" s="182" t="n">
        <v>0.08</v>
      </c>
      <c r="AN4810" s="182" t="n">
        <v>0</v>
      </c>
    </row>
    <row r="4811">
      <c r="A4811" s="155" t="n">
        <v>46103</v>
      </c>
      <c r="B4811" s="156" t="inlineStr">
        <is>
          <t>NS</t>
        </is>
      </c>
      <c r="C4811" s="156" t="inlineStr">
        <is>
          <t>DT-527</t>
        </is>
      </c>
      <c r="D4811" s="156" t="inlineStr">
        <is>
          <t>SKT 105S</t>
        </is>
      </c>
      <c r="E4811" s="156" t="inlineStr">
        <is>
          <t>Hauler</t>
        </is>
      </c>
      <c r="F4811" s="156" t="inlineStr">
        <is>
          <t>Hauling OB</t>
        </is>
      </c>
      <c r="G4811" s="182" t="n">
        <v>8.82</v>
      </c>
      <c r="H4811" s="182" t="n">
        <v>0</v>
      </c>
      <c r="I4811" s="182" t="n">
        <v>0.17</v>
      </c>
      <c r="J4811" s="182" t="n">
        <v>0.17</v>
      </c>
      <c r="K4811" s="182" t="n">
        <v>3.01</v>
      </c>
      <c r="L4811" s="182" t="n">
        <v>12</v>
      </c>
      <c r="M4811" s="182" t="n">
        <v>8.59</v>
      </c>
      <c r="N4811" s="182" t="n">
        <v>0</v>
      </c>
      <c r="O4811" s="183" t="n">
        <v>32</v>
      </c>
      <c r="P4811" s="183" t="n">
        <v>0</v>
      </c>
      <c r="Q4811" s="184" t="n">
        <v>652.8</v>
      </c>
      <c r="R4811" s="184" t="n">
        <v>0</v>
      </c>
      <c r="S4811" s="183" t="n">
        <v>0</v>
      </c>
      <c r="T4811" s="183" t="n">
        <v>0</v>
      </c>
      <c r="U4811" s="182" t="n">
        <v>0</v>
      </c>
      <c r="V4811" s="182" t="n">
        <v>0</v>
      </c>
      <c r="W4811" s="182" t="n">
        <v>0</v>
      </c>
      <c r="X4811" s="182" t="n">
        <v>0.96</v>
      </c>
      <c r="Y4811" s="182" t="n">
        <v>0</v>
      </c>
      <c r="Z4811" s="182" t="n">
        <v>0.07000000000000001</v>
      </c>
      <c r="AA4811" s="182" t="n">
        <v>0</v>
      </c>
      <c r="AB4811" s="182" t="n">
        <v>0</v>
      </c>
      <c r="AC4811" s="182" t="n">
        <v>0</v>
      </c>
      <c r="AD4811" s="182" t="n">
        <v>0</v>
      </c>
      <c r="AE4811" s="182" t="n">
        <v>0</v>
      </c>
      <c r="AF4811" s="182" t="n">
        <v>0</v>
      </c>
      <c r="AG4811" s="182" t="n">
        <v>0.38</v>
      </c>
      <c r="AH4811" s="182" t="n">
        <v>0.5600000000000001</v>
      </c>
      <c r="AI4811" s="182" t="n">
        <v>0</v>
      </c>
      <c r="AJ4811" s="182" t="n">
        <v>0</v>
      </c>
      <c r="AK4811" s="182" t="n">
        <v>0.96</v>
      </c>
      <c r="AL4811" s="182" t="n">
        <v>0</v>
      </c>
      <c r="AM4811" s="182" t="n">
        <v>0.08</v>
      </c>
      <c r="AN4811" s="182" t="n">
        <v>0</v>
      </c>
    </row>
    <row r="4812">
      <c r="A4812" s="155" t="n">
        <v>46103</v>
      </c>
      <c r="B4812" s="156" t="inlineStr">
        <is>
          <t>NS</t>
        </is>
      </c>
      <c r="C4812" s="156" t="inlineStr">
        <is>
          <t>DT-513</t>
        </is>
      </c>
      <c r="D4812" s="156" t="inlineStr">
        <is>
          <t>SKT 105S</t>
        </is>
      </c>
      <c r="E4812" s="156" t="inlineStr">
        <is>
          <t>Hauler</t>
        </is>
      </c>
      <c r="F4812" s="156" t="inlineStr">
        <is>
          <t>Hauling OB</t>
        </is>
      </c>
      <c r="G4812" s="182" t="n">
        <v>9.869999999999999</v>
      </c>
      <c r="H4812" s="182" t="n">
        <v>0</v>
      </c>
      <c r="I4812" s="182" t="n">
        <v>0</v>
      </c>
      <c r="J4812" s="182" t="n">
        <v>0</v>
      </c>
      <c r="K4812" s="182" t="n">
        <v>2.13</v>
      </c>
      <c r="L4812" s="182" t="n">
        <v>12</v>
      </c>
      <c r="M4812" s="182" t="n">
        <v>9.869999999999999</v>
      </c>
      <c r="N4812" s="182" t="n">
        <v>0</v>
      </c>
      <c r="O4812" s="183" t="n">
        <v>29</v>
      </c>
      <c r="P4812" s="183" t="n">
        <v>0</v>
      </c>
      <c r="Q4812" s="184" t="n">
        <v>591.6</v>
      </c>
      <c r="R4812" s="184" t="n">
        <v>0</v>
      </c>
      <c r="S4812" s="183" t="n">
        <v>0</v>
      </c>
      <c r="T4812" s="183" t="n">
        <v>0</v>
      </c>
      <c r="U4812" s="182" t="n">
        <v>0</v>
      </c>
      <c r="V4812" s="182" t="n">
        <v>0</v>
      </c>
      <c r="W4812" s="182" t="n">
        <v>0</v>
      </c>
      <c r="X4812" s="182" t="n">
        <v>1.01</v>
      </c>
      <c r="Y4812" s="182" t="n">
        <v>0</v>
      </c>
      <c r="Z4812" s="182" t="n">
        <v>0.07000000000000001</v>
      </c>
      <c r="AA4812" s="182" t="n">
        <v>0</v>
      </c>
      <c r="AB4812" s="182" t="n">
        <v>0</v>
      </c>
      <c r="AC4812" s="182" t="n">
        <v>0</v>
      </c>
      <c r="AD4812" s="182" t="n">
        <v>0</v>
      </c>
      <c r="AE4812" s="182" t="n">
        <v>0</v>
      </c>
      <c r="AF4812" s="182" t="n">
        <v>0</v>
      </c>
      <c r="AG4812" s="182" t="n">
        <v>0</v>
      </c>
      <c r="AH4812" s="182" t="n">
        <v>0.96</v>
      </c>
      <c r="AI4812" s="182" t="n">
        <v>0</v>
      </c>
      <c r="AJ4812" s="182" t="n">
        <v>0</v>
      </c>
      <c r="AK4812" s="182" t="n">
        <v>0</v>
      </c>
      <c r="AL4812" s="182" t="n">
        <v>0</v>
      </c>
      <c r="AM4812" s="182" t="n">
        <v>0.08</v>
      </c>
      <c r="AN4812" s="182" t="n">
        <v>0</v>
      </c>
    </row>
    <row r="4813">
      <c r="A4813" s="155" t="n">
        <v>46103</v>
      </c>
      <c r="B4813" s="156" t="inlineStr">
        <is>
          <t>NS</t>
        </is>
      </c>
      <c r="C4813" s="156" t="inlineStr">
        <is>
          <t>DT-512</t>
        </is>
      </c>
      <c r="D4813" s="156" t="inlineStr">
        <is>
          <t>SKT 105S</t>
        </is>
      </c>
      <c r="E4813" s="156" t="inlineStr">
        <is>
          <t>Hauler</t>
        </is>
      </c>
      <c r="F4813" s="156" t="inlineStr">
        <is>
          <t>Hauling OB</t>
        </is>
      </c>
      <c r="G4813" s="182" t="n">
        <v>10.48</v>
      </c>
      <c r="H4813" s="182" t="n">
        <v>0</v>
      </c>
      <c r="I4813" s="182" t="n">
        <v>0</v>
      </c>
      <c r="J4813" s="182" t="n">
        <v>0</v>
      </c>
      <c r="K4813" s="182" t="n">
        <v>1.52</v>
      </c>
      <c r="L4813" s="182" t="n">
        <v>12</v>
      </c>
      <c r="M4813" s="182" t="n">
        <v>10.48</v>
      </c>
      <c r="N4813" s="182" t="n">
        <v>0</v>
      </c>
      <c r="O4813" s="183" t="n">
        <v>39</v>
      </c>
      <c r="P4813" s="183" t="n">
        <v>0</v>
      </c>
      <c r="Q4813" s="184" t="n">
        <v>795.6</v>
      </c>
      <c r="R4813" s="184" t="n">
        <v>0</v>
      </c>
      <c r="S4813" s="183" t="n">
        <v>0</v>
      </c>
      <c r="T4813" s="183" t="n">
        <v>0</v>
      </c>
      <c r="U4813" s="182" t="n">
        <v>0</v>
      </c>
      <c r="V4813" s="182" t="n">
        <v>0</v>
      </c>
      <c r="W4813" s="182" t="n">
        <v>0</v>
      </c>
      <c r="X4813" s="182" t="n">
        <v>0.95</v>
      </c>
      <c r="Y4813" s="182" t="n">
        <v>0</v>
      </c>
      <c r="Z4813" s="182" t="n">
        <v>0.07000000000000001</v>
      </c>
      <c r="AA4813" s="182" t="n">
        <v>0</v>
      </c>
      <c r="AB4813" s="182" t="n">
        <v>0</v>
      </c>
      <c r="AC4813" s="182" t="n">
        <v>0</v>
      </c>
      <c r="AD4813" s="182" t="n">
        <v>0</v>
      </c>
      <c r="AE4813" s="182" t="n">
        <v>0</v>
      </c>
      <c r="AF4813" s="182" t="n">
        <v>0</v>
      </c>
      <c r="AG4813" s="182" t="n">
        <v>0</v>
      </c>
      <c r="AH4813" s="182" t="n">
        <v>0.43</v>
      </c>
      <c r="AI4813" s="182" t="n">
        <v>0</v>
      </c>
      <c r="AJ4813" s="182" t="n">
        <v>0</v>
      </c>
      <c r="AK4813" s="182" t="n">
        <v>0</v>
      </c>
      <c r="AL4813" s="182" t="n">
        <v>0</v>
      </c>
      <c r="AM4813" s="182" t="n">
        <v>0.08</v>
      </c>
      <c r="AN4813" s="182" t="n">
        <v>0</v>
      </c>
    </row>
    <row r="4814">
      <c r="A4814" s="155" t="n">
        <v>46103</v>
      </c>
      <c r="B4814" s="156" t="inlineStr">
        <is>
          <t>NS</t>
        </is>
      </c>
      <c r="C4814" s="156" t="inlineStr">
        <is>
          <t>DT-522</t>
        </is>
      </c>
      <c r="D4814" s="156" t="inlineStr">
        <is>
          <t>SKT 105S</t>
        </is>
      </c>
      <c r="E4814" s="156" t="inlineStr">
        <is>
          <t>Hauler</t>
        </is>
      </c>
      <c r="F4814" s="156" t="inlineStr">
        <is>
          <t>Hauling OB</t>
        </is>
      </c>
      <c r="G4814" s="182" t="n">
        <v>9.4</v>
      </c>
      <c r="H4814" s="182" t="n">
        <v>0</v>
      </c>
      <c r="I4814" s="182" t="n">
        <v>0.5</v>
      </c>
      <c r="J4814" s="182" t="n">
        <v>0.5</v>
      </c>
      <c r="K4814" s="182" t="n">
        <v>2.1</v>
      </c>
      <c r="L4814" s="182" t="n">
        <v>12</v>
      </c>
      <c r="M4814" s="182" t="n">
        <v>9.4</v>
      </c>
      <c r="N4814" s="182" t="n">
        <v>0</v>
      </c>
      <c r="O4814" s="183" t="n">
        <v>29</v>
      </c>
      <c r="P4814" s="183" t="n">
        <v>0</v>
      </c>
      <c r="Q4814" s="184" t="n">
        <v>591.6</v>
      </c>
      <c r="R4814" s="184" t="n">
        <v>0</v>
      </c>
      <c r="S4814" s="183" t="n">
        <v>0</v>
      </c>
      <c r="T4814" s="183" t="n">
        <v>0</v>
      </c>
      <c r="U4814" s="182" t="n">
        <v>0</v>
      </c>
      <c r="V4814" s="182" t="n">
        <v>0</v>
      </c>
      <c r="W4814" s="182" t="n">
        <v>0</v>
      </c>
      <c r="X4814" s="182" t="n">
        <v>1.11</v>
      </c>
      <c r="Y4814" s="182" t="n">
        <v>0</v>
      </c>
      <c r="Z4814" s="182" t="n">
        <v>0.08</v>
      </c>
      <c r="AA4814" s="182" t="n">
        <v>0</v>
      </c>
      <c r="AB4814" s="182" t="n">
        <v>0</v>
      </c>
      <c r="AC4814" s="182" t="n">
        <v>0</v>
      </c>
      <c r="AD4814" s="182" t="n">
        <v>0</v>
      </c>
      <c r="AE4814" s="182" t="n">
        <v>0</v>
      </c>
      <c r="AF4814" s="182" t="n">
        <v>0</v>
      </c>
      <c r="AG4814" s="182" t="n">
        <v>0</v>
      </c>
      <c r="AH4814" s="182" t="n">
        <v>0.83</v>
      </c>
      <c r="AI4814" s="182" t="n">
        <v>0</v>
      </c>
      <c r="AJ4814" s="182" t="n">
        <v>0</v>
      </c>
      <c r="AK4814" s="182" t="n">
        <v>0</v>
      </c>
      <c r="AL4814" s="182" t="n">
        <v>0</v>
      </c>
      <c r="AM4814" s="182" t="n">
        <v>0.09</v>
      </c>
      <c r="AN4814" s="182" t="n">
        <v>0</v>
      </c>
    </row>
    <row r="4815">
      <c r="A4815" s="155" t="n">
        <v>46103</v>
      </c>
      <c r="B4815" s="156" t="inlineStr">
        <is>
          <t>NS</t>
        </is>
      </c>
      <c r="C4815" s="156" t="inlineStr">
        <is>
          <t>DT-517</t>
        </is>
      </c>
      <c r="D4815" s="156" t="inlineStr">
        <is>
          <t>SKT 105S</t>
        </is>
      </c>
      <c r="E4815" s="156" t="inlineStr">
        <is>
          <t>Hauler</t>
        </is>
      </c>
      <c r="F4815" s="156" t="inlineStr">
        <is>
          <t>Hauling Coal S45, S60 &amp; OB</t>
        </is>
      </c>
      <c r="G4815" s="182" t="n">
        <v>6.65</v>
      </c>
      <c r="H4815" s="182" t="n">
        <v>0</v>
      </c>
      <c r="I4815" s="182" t="n">
        <v>0.33</v>
      </c>
      <c r="J4815" s="182" t="n">
        <v>0.33</v>
      </c>
      <c r="K4815" s="182" t="n">
        <v>5.02</v>
      </c>
      <c r="L4815" s="182" t="n">
        <v>12</v>
      </c>
      <c r="M4815" s="182" t="n">
        <v>0.86</v>
      </c>
      <c r="N4815" s="182" t="n">
        <v>5.79</v>
      </c>
      <c r="O4815" s="183" t="n">
        <v>4</v>
      </c>
      <c r="P4815" s="183" t="n">
        <v>15</v>
      </c>
      <c r="Q4815" s="184" t="n">
        <v>81.59999999999999</v>
      </c>
      <c r="R4815" s="184" t="n">
        <v>280.5</v>
      </c>
      <c r="S4815" s="183" t="n">
        <v>0</v>
      </c>
      <c r="T4815" s="183" t="n">
        <v>0</v>
      </c>
      <c r="U4815" s="182" t="n">
        <v>0</v>
      </c>
      <c r="V4815" s="182" t="n">
        <v>0</v>
      </c>
      <c r="W4815" s="182" t="n">
        <v>0</v>
      </c>
      <c r="X4815" s="182" t="n">
        <v>1.12</v>
      </c>
      <c r="Y4815" s="182" t="n">
        <v>0</v>
      </c>
      <c r="Z4815" s="182" t="n">
        <v>0.08</v>
      </c>
      <c r="AA4815" s="182" t="n">
        <v>0</v>
      </c>
      <c r="AB4815" s="182" t="n">
        <v>0</v>
      </c>
      <c r="AC4815" s="182" t="n">
        <v>0</v>
      </c>
      <c r="AD4815" s="182" t="n">
        <v>0.93</v>
      </c>
      <c r="AE4815" s="182" t="n">
        <v>0</v>
      </c>
      <c r="AF4815" s="182" t="n">
        <v>0</v>
      </c>
      <c r="AG4815" s="182" t="n">
        <v>0</v>
      </c>
      <c r="AH4815" s="182" t="n">
        <v>0.65</v>
      </c>
      <c r="AI4815" s="182" t="n">
        <v>0</v>
      </c>
      <c r="AJ4815" s="182" t="n">
        <v>0</v>
      </c>
      <c r="AK4815" s="182" t="n">
        <v>2.13</v>
      </c>
      <c r="AL4815" s="182" t="n">
        <v>0</v>
      </c>
      <c r="AM4815" s="182" t="n">
        <v>0.09</v>
      </c>
      <c r="AN4815" s="182" t="n">
        <v>0</v>
      </c>
    </row>
    <row r="4816">
      <c r="A4816" s="155" t="n">
        <v>46103</v>
      </c>
      <c r="B4816" s="156" t="inlineStr">
        <is>
          <t>NS</t>
        </is>
      </c>
      <c r="C4816" s="156" t="inlineStr">
        <is>
          <t>DT-510</t>
        </is>
      </c>
      <c r="D4816" s="156" t="inlineStr">
        <is>
          <t>SKT 105S</t>
        </is>
      </c>
      <c r="E4816" s="156" t="inlineStr">
        <is>
          <t>Hauler</t>
        </is>
      </c>
      <c r="F4816" s="156" t="inlineStr">
        <is>
          <t>Hauling Coal S45, S60 &amp; OB</t>
        </is>
      </c>
      <c r="G4816" s="182" t="n">
        <v>6.94</v>
      </c>
      <c r="H4816" s="182" t="n">
        <v>0</v>
      </c>
      <c r="I4816" s="182" t="n">
        <v>0.17</v>
      </c>
      <c r="J4816" s="182" t="n">
        <v>0.17</v>
      </c>
      <c r="K4816" s="182" t="n">
        <v>4.89</v>
      </c>
      <c r="L4816" s="182" t="n">
        <v>12</v>
      </c>
      <c r="M4816" s="182" t="n">
        <v>0.71</v>
      </c>
      <c r="N4816" s="182" t="n">
        <v>6.22</v>
      </c>
      <c r="O4816" s="183" t="n">
        <v>3</v>
      </c>
      <c r="P4816" s="183" t="n">
        <v>14</v>
      </c>
      <c r="Q4816" s="184" t="n">
        <v>61.2</v>
      </c>
      <c r="R4816" s="184" t="n">
        <v>261.8</v>
      </c>
      <c r="S4816" s="183" t="n">
        <v>0</v>
      </c>
      <c r="T4816" s="183" t="n">
        <v>0</v>
      </c>
      <c r="U4816" s="182" t="n">
        <v>0</v>
      </c>
      <c r="V4816" s="182" t="n">
        <v>0</v>
      </c>
      <c r="W4816" s="182" t="n">
        <v>0</v>
      </c>
      <c r="X4816" s="182" t="n">
        <v>0.97</v>
      </c>
      <c r="Y4816" s="182" t="n">
        <v>0</v>
      </c>
      <c r="Z4816" s="182" t="n">
        <v>0</v>
      </c>
      <c r="AA4816" s="182" t="n">
        <v>0</v>
      </c>
      <c r="AB4816" s="182" t="n">
        <v>0</v>
      </c>
      <c r="AC4816" s="182" t="n">
        <v>0</v>
      </c>
      <c r="AD4816" s="182" t="n">
        <v>0.8100000000000001</v>
      </c>
      <c r="AE4816" s="182" t="n">
        <v>0</v>
      </c>
      <c r="AF4816" s="182" t="n">
        <v>0</v>
      </c>
      <c r="AG4816" s="182" t="n">
        <v>0</v>
      </c>
      <c r="AH4816" s="182" t="n">
        <v>0.42</v>
      </c>
      <c r="AI4816" s="182" t="n">
        <v>0</v>
      </c>
      <c r="AJ4816" s="182" t="n">
        <v>0</v>
      </c>
      <c r="AK4816" s="182" t="n">
        <v>2.61</v>
      </c>
      <c r="AL4816" s="182" t="n">
        <v>0</v>
      </c>
      <c r="AM4816" s="182" t="n">
        <v>0.08</v>
      </c>
      <c r="AN4816" s="182" t="n">
        <v>0</v>
      </c>
    </row>
    <row r="4817">
      <c r="A4817" s="155" t="n">
        <v>46103</v>
      </c>
      <c r="B4817" s="156" t="inlineStr">
        <is>
          <t>NS</t>
        </is>
      </c>
      <c r="C4817" s="156" t="inlineStr">
        <is>
          <t>DT-521</t>
        </is>
      </c>
      <c r="D4817" s="156" t="inlineStr">
        <is>
          <t>SKT 105S</t>
        </is>
      </c>
      <c r="E4817" s="156" t="inlineStr">
        <is>
          <t>Hauler</t>
        </is>
      </c>
      <c r="F4817" s="156" t="inlineStr">
        <is>
          <t>Hauling Coal S45, S60 &amp; OB</t>
        </is>
      </c>
      <c r="G4817" s="182" t="n">
        <v>8.08</v>
      </c>
      <c r="H4817" s="182" t="n">
        <v>0</v>
      </c>
      <c r="I4817" s="182" t="n">
        <v>0</v>
      </c>
      <c r="J4817" s="182" t="n">
        <v>0</v>
      </c>
      <c r="K4817" s="182" t="n">
        <v>3.92</v>
      </c>
      <c r="L4817" s="182" t="n">
        <v>12</v>
      </c>
      <c r="M4817" s="182" t="n">
        <v>0.92</v>
      </c>
      <c r="N4817" s="182" t="n">
        <v>7.17</v>
      </c>
      <c r="O4817" s="183" t="n">
        <v>4</v>
      </c>
      <c r="P4817" s="183" t="n">
        <v>17</v>
      </c>
      <c r="Q4817" s="184" t="n">
        <v>81.59999999999999</v>
      </c>
      <c r="R4817" s="184" t="n">
        <v>317.9</v>
      </c>
      <c r="S4817" s="183" t="n">
        <v>0</v>
      </c>
      <c r="T4817" s="183" t="n">
        <v>0</v>
      </c>
      <c r="U4817" s="182" t="n">
        <v>0</v>
      </c>
      <c r="V4817" s="182" t="n">
        <v>0</v>
      </c>
      <c r="W4817" s="182" t="n">
        <v>0</v>
      </c>
      <c r="X4817" s="182" t="n">
        <v>1.03</v>
      </c>
      <c r="Y4817" s="182" t="n">
        <v>0</v>
      </c>
      <c r="Z4817" s="182" t="n">
        <v>0</v>
      </c>
      <c r="AA4817" s="182" t="n">
        <v>0</v>
      </c>
      <c r="AB4817" s="182" t="n">
        <v>0</v>
      </c>
      <c r="AC4817" s="182" t="n">
        <v>0</v>
      </c>
      <c r="AD4817" s="182" t="n">
        <v>0.86</v>
      </c>
      <c r="AE4817" s="182" t="n">
        <v>0</v>
      </c>
      <c r="AF4817" s="182" t="n">
        <v>0</v>
      </c>
      <c r="AG4817" s="182" t="n">
        <v>0</v>
      </c>
      <c r="AH4817" s="182" t="n">
        <v>0.77</v>
      </c>
      <c r="AI4817" s="182" t="n">
        <v>0</v>
      </c>
      <c r="AJ4817" s="182" t="n">
        <v>0</v>
      </c>
      <c r="AK4817" s="182" t="n">
        <v>1.17</v>
      </c>
      <c r="AL4817" s="182" t="n">
        <v>0</v>
      </c>
      <c r="AM4817" s="182" t="n">
        <v>0.08</v>
      </c>
      <c r="AN4817" s="182" t="n">
        <v>0</v>
      </c>
    </row>
    <row r="4818">
      <c r="A4818" s="155" t="n">
        <v>46103</v>
      </c>
      <c r="B4818" s="156" t="inlineStr">
        <is>
          <t>NS</t>
        </is>
      </c>
      <c r="C4818" s="156" t="inlineStr">
        <is>
          <t>DT-516</t>
        </is>
      </c>
      <c r="D4818" s="156" t="inlineStr">
        <is>
          <t>SKT 105S</t>
        </is>
      </c>
      <c r="E4818" s="156" t="inlineStr">
        <is>
          <t>Hauler</t>
        </is>
      </c>
      <c r="F4818" s="156" t="inlineStr">
        <is>
          <t>Hauling Coal S45, S60 &amp; OB</t>
        </is>
      </c>
      <c r="G4818" s="182" t="n">
        <v>7.13</v>
      </c>
      <c r="H4818" s="182" t="n">
        <v>0</v>
      </c>
      <c r="I4818" s="182" t="n">
        <v>0</v>
      </c>
      <c r="J4818" s="182" t="n">
        <v>0</v>
      </c>
      <c r="K4818" s="182" t="n">
        <v>4.87</v>
      </c>
      <c r="L4818" s="182" t="n">
        <v>12</v>
      </c>
      <c r="M4818" s="182" t="n">
        <v>1.93</v>
      </c>
      <c r="N4818" s="182" t="n">
        <v>5.2</v>
      </c>
      <c r="O4818" s="183" t="n">
        <v>9</v>
      </c>
      <c r="P4818" s="183" t="n">
        <v>13</v>
      </c>
      <c r="Q4818" s="184" t="n">
        <v>183.6</v>
      </c>
      <c r="R4818" s="184" t="n">
        <v>243.1</v>
      </c>
      <c r="S4818" s="183" t="n">
        <v>0</v>
      </c>
      <c r="T4818" s="183" t="n">
        <v>0</v>
      </c>
      <c r="U4818" s="182" t="n">
        <v>0</v>
      </c>
      <c r="V4818" s="182" t="n">
        <v>0</v>
      </c>
      <c r="W4818" s="182" t="n">
        <v>0</v>
      </c>
      <c r="X4818" s="182" t="n">
        <v>0.95</v>
      </c>
      <c r="Y4818" s="182" t="n">
        <v>0</v>
      </c>
      <c r="Z4818" s="182" t="n">
        <v>0</v>
      </c>
      <c r="AA4818" s="182" t="n">
        <v>0</v>
      </c>
      <c r="AB4818" s="182" t="n">
        <v>0</v>
      </c>
      <c r="AC4818" s="182" t="n">
        <v>0</v>
      </c>
      <c r="AD4818" s="182" t="n">
        <v>0.79</v>
      </c>
      <c r="AE4818" s="182" t="n">
        <v>0</v>
      </c>
      <c r="AF4818" s="182" t="n">
        <v>0</v>
      </c>
      <c r="AG4818" s="182" t="n">
        <v>0.4</v>
      </c>
      <c r="AH4818" s="182" t="n">
        <v>0.31</v>
      </c>
      <c r="AI4818" s="182" t="n">
        <v>0</v>
      </c>
      <c r="AJ4818" s="182" t="n">
        <v>0</v>
      </c>
      <c r="AK4818" s="182" t="n">
        <v>2.34</v>
      </c>
      <c r="AL4818" s="182" t="n">
        <v>0</v>
      </c>
      <c r="AM4818" s="182" t="n">
        <v>0.08</v>
      </c>
      <c r="AN4818" s="182" t="n">
        <v>0</v>
      </c>
    </row>
    <row r="4819">
      <c r="A4819" s="155" t="n">
        <v>46103</v>
      </c>
      <c r="B4819" s="156" t="inlineStr">
        <is>
          <t>NS</t>
        </is>
      </c>
      <c r="C4819" s="156" t="inlineStr">
        <is>
          <t>DT-506</t>
        </is>
      </c>
      <c r="D4819" s="156" t="inlineStr">
        <is>
          <t>SKT 105S</t>
        </is>
      </c>
      <c r="E4819" s="156" t="inlineStr">
        <is>
          <t>Hauler</t>
        </is>
      </c>
      <c r="F4819" s="156" t="inlineStr">
        <is>
          <t>Hauling Coal S60</t>
        </is>
      </c>
      <c r="G4819" s="182" t="n">
        <v>10.93</v>
      </c>
      <c r="H4819" s="182" t="n">
        <v>0</v>
      </c>
      <c r="I4819" s="182" t="n">
        <v>0</v>
      </c>
      <c r="J4819" s="182" t="n">
        <v>0</v>
      </c>
      <c r="K4819" s="182" t="n">
        <v>1.07</v>
      </c>
      <c r="L4819" s="182" t="n">
        <v>12</v>
      </c>
      <c r="M4819" s="182" t="n">
        <v>0</v>
      </c>
      <c r="N4819" s="182" t="n">
        <v>10.93</v>
      </c>
      <c r="O4819" s="183" t="n">
        <v>0</v>
      </c>
      <c r="P4819" s="183" t="n">
        <v>23</v>
      </c>
      <c r="Q4819" s="184" t="n">
        <v>0</v>
      </c>
      <c r="R4819" s="184" t="n">
        <v>430.1</v>
      </c>
      <c r="S4819" s="183" t="n">
        <v>0</v>
      </c>
      <c r="T4819" s="183" t="n">
        <v>0</v>
      </c>
      <c r="U4819" s="182" t="n">
        <v>0</v>
      </c>
      <c r="V4819" s="182" t="n">
        <v>0</v>
      </c>
      <c r="W4819" s="182" t="n">
        <v>0</v>
      </c>
      <c r="X4819" s="182" t="n">
        <v>0.82</v>
      </c>
      <c r="Y4819" s="182" t="n">
        <v>0</v>
      </c>
      <c r="Z4819" s="182" t="n">
        <v>0</v>
      </c>
      <c r="AA4819" s="182" t="n">
        <v>0</v>
      </c>
      <c r="AB4819" s="182" t="n">
        <v>0</v>
      </c>
      <c r="AC4819" s="182" t="n">
        <v>0</v>
      </c>
      <c r="AD4819" s="182" t="n">
        <v>0</v>
      </c>
      <c r="AE4819" s="182" t="n">
        <v>0</v>
      </c>
      <c r="AF4819" s="182" t="n">
        <v>0</v>
      </c>
      <c r="AG4819" s="182" t="n">
        <v>0</v>
      </c>
      <c r="AH4819" s="182" t="n">
        <v>0.18</v>
      </c>
      <c r="AI4819" s="182" t="n">
        <v>0</v>
      </c>
      <c r="AJ4819" s="182" t="n">
        <v>0</v>
      </c>
      <c r="AK4819" s="182" t="n">
        <v>0</v>
      </c>
      <c r="AL4819" s="182" t="n">
        <v>0</v>
      </c>
      <c r="AM4819" s="182" t="n">
        <v>0.07000000000000001</v>
      </c>
      <c r="AN4819" s="182" t="n">
        <v>0</v>
      </c>
    </row>
    <row r="4820">
      <c r="A4820" s="155" t="n">
        <v>46103</v>
      </c>
      <c r="B4820" s="156" t="inlineStr">
        <is>
          <t>NS</t>
        </is>
      </c>
      <c r="C4820" s="156" t="inlineStr">
        <is>
          <t>DT-502</t>
        </is>
      </c>
      <c r="D4820" s="156" t="inlineStr">
        <is>
          <t>SKT 105S</t>
        </is>
      </c>
      <c r="E4820" s="156" t="inlineStr">
        <is>
          <t>Hauler</t>
        </is>
      </c>
      <c r="F4820" s="156" t="inlineStr"/>
      <c r="G4820" s="182" t="n">
        <v>0</v>
      </c>
      <c r="H4820" s="182" t="n">
        <v>0</v>
      </c>
      <c r="I4820" s="182" t="n">
        <v>12</v>
      </c>
      <c r="J4820" s="182" t="n">
        <v>12</v>
      </c>
      <c r="K4820" s="182" t="n">
        <v>0</v>
      </c>
      <c r="L4820" s="182" t="n">
        <v>12</v>
      </c>
      <c r="M4820" s="182" t="n">
        <v>0</v>
      </c>
      <c r="N4820" s="182" t="n">
        <v>0</v>
      </c>
      <c r="O4820" s="183" t="n">
        <v>0</v>
      </c>
      <c r="P4820" s="183" t="n">
        <v>0</v>
      </c>
      <c r="Q4820" s="184" t="n">
        <v>0</v>
      </c>
      <c r="R4820" s="184" t="n">
        <v>0</v>
      </c>
      <c r="S4820" s="183" t="n">
        <v>0</v>
      </c>
      <c r="T4820" s="183" t="n">
        <v>0</v>
      </c>
      <c r="U4820" s="182" t="n">
        <v>0</v>
      </c>
      <c r="V4820" s="182" t="n">
        <v>0</v>
      </c>
      <c r="W4820" s="182" t="n">
        <v>0</v>
      </c>
      <c r="X4820" s="182" t="n">
        <v>0</v>
      </c>
      <c r="Y4820" s="182" t="n">
        <v>0</v>
      </c>
      <c r="Z4820" s="182" t="n">
        <v>0</v>
      </c>
      <c r="AA4820" s="182" t="n">
        <v>0</v>
      </c>
      <c r="AB4820" s="182" t="n">
        <v>0</v>
      </c>
      <c r="AC4820" s="182" t="n">
        <v>0</v>
      </c>
      <c r="AD4820" s="182" t="n">
        <v>0</v>
      </c>
      <c r="AE4820" s="182" t="n">
        <v>0</v>
      </c>
      <c r="AF4820" s="182" t="n">
        <v>0</v>
      </c>
      <c r="AG4820" s="182" t="n">
        <v>0</v>
      </c>
      <c r="AH4820" s="182" t="n">
        <v>0</v>
      </c>
      <c r="AI4820" s="182" t="n">
        <v>0</v>
      </c>
      <c r="AJ4820" s="182" t="n">
        <v>0</v>
      </c>
      <c r="AK4820" s="182" t="n">
        <v>0</v>
      </c>
      <c r="AL4820" s="182" t="n">
        <v>0</v>
      </c>
      <c r="AM4820" s="182" t="n">
        <v>0</v>
      </c>
      <c r="AN4820" s="182" t="n">
        <v>0</v>
      </c>
    </row>
    <row r="4821">
      <c r="A4821" s="155" t="n">
        <v>46103</v>
      </c>
      <c r="B4821" s="156" t="inlineStr">
        <is>
          <t>NS</t>
        </is>
      </c>
      <c r="C4821" s="156" t="inlineStr">
        <is>
          <t>DT-528</t>
        </is>
      </c>
      <c r="D4821" s="156" t="inlineStr">
        <is>
          <t>SKT 105S</t>
        </is>
      </c>
      <c r="E4821" s="156" t="inlineStr">
        <is>
          <t>Hauler</t>
        </is>
      </c>
      <c r="F4821" s="156" t="inlineStr">
        <is>
          <t>Hauling Coal S60</t>
        </is>
      </c>
      <c r="G4821" s="182" t="n">
        <v>5.92</v>
      </c>
      <c r="H4821" s="182" t="n">
        <v>0</v>
      </c>
      <c r="I4821" s="182" t="n">
        <v>0</v>
      </c>
      <c r="J4821" s="182" t="n">
        <v>0</v>
      </c>
      <c r="K4821" s="182" t="n">
        <v>6.08</v>
      </c>
      <c r="L4821" s="182" t="n">
        <v>12</v>
      </c>
      <c r="M4821" s="182" t="n">
        <v>0</v>
      </c>
      <c r="N4821" s="182" t="n">
        <v>5.92</v>
      </c>
      <c r="O4821" s="183" t="n">
        <v>0</v>
      </c>
      <c r="P4821" s="183" t="n">
        <v>12</v>
      </c>
      <c r="Q4821" s="184" t="n">
        <v>0</v>
      </c>
      <c r="R4821" s="184" t="n">
        <v>224.4</v>
      </c>
      <c r="S4821" s="183" t="n">
        <v>0</v>
      </c>
      <c r="T4821" s="183" t="n">
        <v>0</v>
      </c>
      <c r="U4821" s="182" t="n">
        <v>0</v>
      </c>
      <c r="V4821" s="182" t="n">
        <v>0</v>
      </c>
      <c r="W4821" s="182" t="n">
        <v>0</v>
      </c>
      <c r="X4821" s="182" t="n">
        <v>0.97</v>
      </c>
      <c r="Y4821" s="182" t="n">
        <v>0</v>
      </c>
      <c r="Z4821" s="182" t="n">
        <v>0</v>
      </c>
      <c r="AA4821" s="182" t="n">
        <v>0</v>
      </c>
      <c r="AB4821" s="182" t="n">
        <v>0</v>
      </c>
      <c r="AC4821" s="182" t="n">
        <v>0</v>
      </c>
      <c r="AD4821" s="182" t="n">
        <v>0.8</v>
      </c>
      <c r="AE4821" s="182" t="n">
        <v>0</v>
      </c>
      <c r="AF4821" s="182" t="n">
        <v>0</v>
      </c>
      <c r="AG4821" s="182" t="n">
        <v>0</v>
      </c>
      <c r="AH4821" s="182" t="n">
        <v>0.48</v>
      </c>
      <c r="AI4821" s="182" t="n">
        <v>0</v>
      </c>
      <c r="AJ4821" s="182" t="n">
        <v>0</v>
      </c>
      <c r="AK4821" s="182" t="n">
        <v>3.74</v>
      </c>
      <c r="AL4821" s="182" t="n">
        <v>0</v>
      </c>
      <c r="AM4821" s="182" t="n">
        <v>0.08</v>
      </c>
      <c r="AN4821" s="182" t="n">
        <v>0</v>
      </c>
    </row>
    <row r="4822">
      <c r="A4822" s="155" t="n">
        <v>46103</v>
      </c>
      <c r="B4822" s="156" t="inlineStr">
        <is>
          <t>NS</t>
        </is>
      </c>
      <c r="C4822" s="156" t="inlineStr">
        <is>
          <t>DT-529</t>
        </is>
      </c>
      <c r="D4822" s="156" t="inlineStr">
        <is>
          <t>SKT 105S</t>
        </is>
      </c>
      <c r="E4822" s="156" t="inlineStr">
        <is>
          <t>Hauler</t>
        </is>
      </c>
      <c r="F4822" s="156" t="inlineStr">
        <is>
          <t>Hauling OB</t>
        </is>
      </c>
      <c r="G4822" s="182" t="n">
        <v>7.88</v>
      </c>
      <c r="H4822" s="182" t="n">
        <v>0</v>
      </c>
      <c r="I4822" s="182" t="n">
        <v>3</v>
      </c>
      <c r="J4822" s="182" t="n">
        <v>3</v>
      </c>
      <c r="K4822" s="182" t="n">
        <v>1.12</v>
      </c>
      <c r="L4822" s="182" t="n">
        <v>12</v>
      </c>
      <c r="M4822" s="182" t="n">
        <v>7.88</v>
      </c>
      <c r="N4822" s="182" t="n">
        <v>0</v>
      </c>
      <c r="O4822" s="183" t="n">
        <v>27</v>
      </c>
      <c r="P4822" s="183" t="n">
        <v>0</v>
      </c>
      <c r="Q4822" s="184" t="n">
        <v>550.8</v>
      </c>
      <c r="R4822" s="184" t="n">
        <v>0</v>
      </c>
      <c r="S4822" s="183" t="n">
        <v>0</v>
      </c>
      <c r="T4822" s="183" t="n">
        <v>0</v>
      </c>
      <c r="U4822" s="182" t="n">
        <v>0</v>
      </c>
      <c r="V4822" s="182" t="n">
        <v>0</v>
      </c>
      <c r="W4822" s="182" t="n">
        <v>0</v>
      </c>
      <c r="X4822" s="182" t="n">
        <v>0.93</v>
      </c>
      <c r="Y4822" s="182" t="n">
        <v>0</v>
      </c>
      <c r="Z4822" s="182" t="n">
        <v>0.07000000000000001</v>
      </c>
      <c r="AA4822" s="182" t="n">
        <v>0</v>
      </c>
      <c r="AB4822" s="182" t="n">
        <v>0</v>
      </c>
      <c r="AC4822" s="182" t="n">
        <v>0</v>
      </c>
      <c r="AD4822" s="182" t="n">
        <v>0</v>
      </c>
      <c r="AE4822" s="182" t="n">
        <v>0</v>
      </c>
      <c r="AF4822" s="182" t="n">
        <v>0</v>
      </c>
      <c r="AG4822" s="182" t="n">
        <v>0</v>
      </c>
      <c r="AH4822" s="182" t="n">
        <v>0.05</v>
      </c>
      <c r="AI4822" s="182" t="n">
        <v>0</v>
      </c>
      <c r="AJ4822" s="182" t="n">
        <v>0</v>
      </c>
      <c r="AK4822" s="182" t="n">
        <v>0</v>
      </c>
      <c r="AL4822" s="182" t="n">
        <v>0</v>
      </c>
      <c r="AM4822" s="182" t="n">
        <v>0.07000000000000001</v>
      </c>
      <c r="AN4822" s="182" t="n">
        <v>0</v>
      </c>
    </row>
    <row r="4823">
      <c r="A4823" s="155" t="n">
        <v>46103</v>
      </c>
      <c r="B4823" s="156" t="inlineStr">
        <is>
          <t>NS</t>
        </is>
      </c>
      <c r="C4823" s="156" t="inlineStr">
        <is>
          <t>DT-520</t>
        </is>
      </c>
      <c r="D4823" s="156" t="inlineStr">
        <is>
          <t>SKT 105S</t>
        </is>
      </c>
      <c r="E4823" s="156" t="inlineStr">
        <is>
          <t>Hauler</t>
        </is>
      </c>
      <c r="F4823" s="156" t="inlineStr">
        <is>
          <t>Hauling Coal S45, S60 &amp; OB</t>
        </is>
      </c>
      <c r="G4823" s="182" t="n">
        <v>8.17</v>
      </c>
      <c r="H4823" s="182" t="n">
        <v>0</v>
      </c>
      <c r="I4823" s="182" t="n">
        <v>0.3</v>
      </c>
      <c r="J4823" s="182" t="n">
        <v>0.3</v>
      </c>
      <c r="K4823" s="182" t="n">
        <v>3.53</v>
      </c>
      <c r="L4823" s="182" t="n">
        <v>12</v>
      </c>
      <c r="M4823" s="182" t="n">
        <v>1.19</v>
      </c>
      <c r="N4823" s="182" t="n">
        <v>6.97</v>
      </c>
      <c r="O4823" s="183" t="n">
        <v>5</v>
      </c>
      <c r="P4823" s="183" t="n">
        <v>16</v>
      </c>
      <c r="Q4823" s="184" t="n">
        <v>102</v>
      </c>
      <c r="R4823" s="184" t="n">
        <v>299.2</v>
      </c>
      <c r="S4823" s="183" t="n">
        <v>0</v>
      </c>
      <c r="T4823" s="183" t="n">
        <v>0</v>
      </c>
      <c r="U4823" s="182" t="n">
        <v>0</v>
      </c>
      <c r="V4823" s="182" t="n">
        <v>0</v>
      </c>
      <c r="W4823" s="182" t="n">
        <v>0</v>
      </c>
      <c r="X4823" s="182" t="n">
        <v>0.95</v>
      </c>
      <c r="Y4823" s="182" t="n">
        <v>0</v>
      </c>
      <c r="Z4823" s="182" t="n">
        <v>0.07000000000000001</v>
      </c>
      <c r="AA4823" s="182" t="n">
        <v>0</v>
      </c>
      <c r="AB4823" s="182" t="n">
        <v>0</v>
      </c>
      <c r="AC4823" s="182" t="n">
        <v>0</v>
      </c>
      <c r="AD4823" s="182" t="n">
        <v>0.79</v>
      </c>
      <c r="AE4823" s="182" t="n">
        <v>0</v>
      </c>
      <c r="AF4823" s="182" t="n">
        <v>0</v>
      </c>
      <c r="AG4823" s="182" t="n">
        <v>0</v>
      </c>
      <c r="AH4823" s="182" t="n">
        <v>0.4</v>
      </c>
      <c r="AI4823" s="182" t="n">
        <v>0</v>
      </c>
      <c r="AJ4823" s="182" t="n">
        <v>0</v>
      </c>
      <c r="AK4823" s="182" t="n">
        <v>1.36</v>
      </c>
      <c r="AL4823" s="182" t="n">
        <v>0</v>
      </c>
      <c r="AM4823" s="182" t="n">
        <v>0.08</v>
      </c>
      <c r="AN4823" s="182" t="n">
        <v>-0.12</v>
      </c>
    </row>
    <row r="4824">
      <c r="A4824" s="155" t="n">
        <v>46103</v>
      </c>
      <c r="B4824" s="156" t="inlineStr">
        <is>
          <t>NS</t>
        </is>
      </c>
      <c r="C4824" s="156" t="inlineStr">
        <is>
          <t>DT-511</t>
        </is>
      </c>
      <c r="D4824" s="156" t="inlineStr">
        <is>
          <t>SKT 105S</t>
        </is>
      </c>
      <c r="E4824" s="156" t="inlineStr">
        <is>
          <t>Hauler</t>
        </is>
      </c>
      <c r="F4824" s="156" t="inlineStr">
        <is>
          <t>Hauling OB</t>
        </is>
      </c>
      <c r="G4824" s="182" t="n">
        <v>4.64</v>
      </c>
      <c r="H4824" s="182" t="n">
        <v>0</v>
      </c>
      <c r="I4824" s="182" t="n">
        <v>0.67</v>
      </c>
      <c r="J4824" s="182" t="n">
        <v>0.67</v>
      </c>
      <c r="K4824" s="182" t="n">
        <v>6.69</v>
      </c>
      <c r="L4824" s="182" t="n">
        <v>12</v>
      </c>
      <c r="M4824" s="182" t="n">
        <v>4.64</v>
      </c>
      <c r="N4824" s="182" t="n">
        <v>0</v>
      </c>
      <c r="O4824" s="183" t="n">
        <v>16</v>
      </c>
      <c r="P4824" s="183" t="n">
        <v>0</v>
      </c>
      <c r="Q4824" s="184" t="n">
        <v>326.4</v>
      </c>
      <c r="R4824" s="184" t="n">
        <v>0</v>
      </c>
      <c r="S4824" s="183" t="n">
        <v>0</v>
      </c>
      <c r="T4824" s="183" t="n">
        <v>0</v>
      </c>
      <c r="U4824" s="182" t="n">
        <v>0</v>
      </c>
      <c r="V4824" s="182" t="n">
        <v>0</v>
      </c>
      <c r="W4824" s="182" t="n">
        <v>0</v>
      </c>
      <c r="X4824" s="182" t="n">
        <v>1.01</v>
      </c>
      <c r="Y4824" s="182" t="n">
        <v>0</v>
      </c>
      <c r="Z4824" s="182" t="n">
        <v>0</v>
      </c>
      <c r="AA4824" s="182" t="n">
        <v>0</v>
      </c>
      <c r="AB4824" s="182" t="n">
        <v>0</v>
      </c>
      <c r="AC4824" s="182" t="n">
        <v>0</v>
      </c>
      <c r="AD4824" s="182" t="n">
        <v>0</v>
      </c>
      <c r="AE4824" s="182" t="n">
        <v>0</v>
      </c>
      <c r="AF4824" s="182" t="n">
        <v>0</v>
      </c>
      <c r="AG4824" s="182" t="n">
        <v>0</v>
      </c>
      <c r="AH4824" s="182" t="n">
        <v>0.43</v>
      </c>
      <c r="AI4824" s="182" t="n">
        <v>0</v>
      </c>
      <c r="AJ4824" s="182" t="n">
        <v>0</v>
      </c>
      <c r="AK4824" s="182" t="n">
        <v>5.17</v>
      </c>
      <c r="AL4824" s="182" t="n">
        <v>0</v>
      </c>
      <c r="AM4824" s="182" t="n">
        <v>0.08</v>
      </c>
      <c r="AN4824" s="182" t="n">
        <v>0</v>
      </c>
    </row>
    <row r="4825">
      <c r="A4825" s="155" t="n">
        <v>46103</v>
      </c>
      <c r="B4825" s="156" t="inlineStr">
        <is>
          <t>NS</t>
        </is>
      </c>
      <c r="C4825" s="156" t="inlineStr">
        <is>
          <t>DT-509</t>
        </is>
      </c>
      <c r="D4825" s="156" t="inlineStr">
        <is>
          <t>SKT 105S</t>
        </is>
      </c>
      <c r="E4825" s="156" t="inlineStr">
        <is>
          <t>Hauler</t>
        </is>
      </c>
      <c r="F4825" s="156" t="inlineStr"/>
      <c r="G4825" s="182" t="n">
        <v>0</v>
      </c>
      <c r="H4825" s="182" t="n">
        <v>0</v>
      </c>
      <c r="I4825" s="182" t="n">
        <v>12</v>
      </c>
      <c r="J4825" s="182" t="n">
        <v>12</v>
      </c>
      <c r="K4825" s="182" t="n">
        <v>0</v>
      </c>
      <c r="L4825" s="182" t="n">
        <v>12</v>
      </c>
      <c r="M4825" s="182" t="n">
        <v>0</v>
      </c>
      <c r="N4825" s="182" t="n">
        <v>0</v>
      </c>
      <c r="O4825" s="183" t="n">
        <v>0</v>
      </c>
      <c r="P4825" s="183" t="n">
        <v>0</v>
      </c>
      <c r="Q4825" s="184" t="n">
        <v>0</v>
      </c>
      <c r="R4825" s="184" t="n">
        <v>0</v>
      </c>
      <c r="S4825" s="183" t="n">
        <v>0</v>
      </c>
      <c r="T4825" s="183" t="n">
        <v>0</v>
      </c>
      <c r="U4825" s="182" t="n">
        <v>0</v>
      </c>
      <c r="V4825" s="182" t="n">
        <v>0</v>
      </c>
      <c r="W4825" s="182" t="n">
        <v>0</v>
      </c>
      <c r="X4825" s="182" t="n">
        <v>0</v>
      </c>
      <c r="Y4825" s="182" t="n">
        <v>0</v>
      </c>
      <c r="Z4825" s="182" t="n">
        <v>0</v>
      </c>
      <c r="AA4825" s="182" t="n">
        <v>0</v>
      </c>
      <c r="AB4825" s="182" t="n">
        <v>0</v>
      </c>
      <c r="AC4825" s="182" t="n">
        <v>0</v>
      </c>
      <c r="AD4825" s="182" t="n">
        <v>0</v>
      </c>
      <c r="AE4825" s="182" t="n">
        <v>0</v>
      </c>
      <c r="AF4825" s="182" t="n">
        <v>0</v>
      </c>
      <c r="AG4825" s="182" t="n">
        <v>0</v>
      </c>
      <c r="AH4825" s="182" t="n">
        <v>0</v>
      </c>
      <c r="AI4825" s="182" t="n">
        <v>0</v>
      </c>
      <c r="AJ4825" s="182" t="n">
        <v>0</v>
      </c>
      <c r="AK4825" s="182" t="n">
        <v>0</v>
      </c>
      <c r="AL4825" s="182" t="n">
        <v>0</v>
      </c>
      <c r="AM4825" s="182" t="n">
        <v>0</v>
      </c>
      <c r="AN4825" s="182" t="n">
        <v>0</v>
      </c>
    </row>
    <row r="4826">
      <c r="A4826" s="155" t="n">
        <v>46103</v>
      </c>
      <c r="B4826" s="156" t="inlineStr">
        <is>
          <t>NS</t>
        </is>
      </c>
      <c r="C4826" s="156" t="inlineStr">
        <is>
          <t>DT-526</t>
        </is>
      </c>
      <c r="D4826" s="156" t="inlineStr">
        <is>
          <t>SKT 105S</t>
        </is>
      </c>
      <c r="E4826" s="156" t="inlineStr">
        <is>
          <t>Hauler</t>
        </is>
      </c>
      <c r="F4826" s="156" t="inlineStr">
        <is>
          <t>Hauling OB</t>
        </is>
      </c>
      <c r="G4826" s="182" t="n">
        <v>9.279999999999999</v>
      </c>
      <c r="H4826" s="182" t="n">
        <v>0</v>
      </c>
      <c r="I4826" s="182" t="n">
        <v>0</v>
      </c>
      <c r="J4826" s="182" t="n">
        <v>0</v>
      </c>
      <c r="K4826" s="182" t="n">
        <v>2.72</v>
      </c>
      <c r="L4826" s="182" t="n">
        <v>12</v>
      </c>
      <c r="M4826" s="182" t="n">
        <v>9.16</v>
      </c>
      <c r="N4826" s="182" t="n">
        <v>0</v>
      </c>
      <c r="O4826" s="183" t="n">
        <v>31</v>
      </c>
      <c r="P4826" s="183" t="n">
        <v>0</v>
      </c>
      <c r="Q4826" s="184" t="n">
        <v>632.4</v>
      </c>
      <c r="R4826" s="184" t="n">
        <v>0</v>
      </c>
      <c r="S4826" s="183" t="n">
        <v>0</v>
      </c>
      <c r="T4826" s="183" t="n">
        <v>0</v>
      </c>
      <c r="U4826" s="182" t="n">
        <v>0</v>
      </c>
      <c r="V4826" s="182" t="n">
        <v>0</v>
      </c>
      <c r="W4826" s="182" t="n">
        <v>0</v>
      </c>
      <c r="X4826" s="182" t="n">
        <v>0.9399999999999999</v>
      </c>
      <c r="Y4826" s="182" t="n">
        <v>0</v>
      </c>
      <c r="Z4826" s="182" t="n">
        <v>0.07000000000000001</v>
      </c>
      <c r="AA4826" s="182" t="n">
        <v>0</v>
      </c>
      <c r="AB4826" s="182" t="n">
        <v>0</v>
      </c>
      <c r="AC4826" s="182" t="n">
        <v>0</v>
      </c>
      <c r="AD4826" s="182" t="n">
        <v>0</v>
      </c>
      <c r="AE4826" s="182" t="n">
        <v>0</v>
      </c>
      <c r="AF4826" s="182" t="n">
        <v>0</v>
      </c>
      <c r="AG4826" s="182" t="n">
        <v>0.35</v>
      </c>
      <c r="AH4826" s="182" t="n">
        <v>0.36</v>
      </c>
      <c r="AI4826" s="182" t="n">
        <v>0</v>
      </c>
      <c r="AJ4826" s="182" t="n">
        <v>0</v>
      </c>
      <c r="AK4826" s="182" t="n">
        <v>0.9399999999999999</v>
      </c>
      <c r="AL4826" s="182" t="n">
        <v>0</v>
      </c>
      <c r="AM4826" s="182" t="n">
        <v>0.08</v>
      </c>
      <c r="AN4826" s="182" t="n">
        <v>0</v>
      </c>
    </row>
    <row r="4827">
      <c r="A4827" s="155" t="n">
        <v>46103</v>
      </c>
      <c r="B4827" s="156" t="inlineStr">
        <is>
          <t>NS</t>
        </is>
      </c>
      <c r="C4827" s="156" t="inlineStr">
        <is>
          <t>DT-508</t>
        </is>
      </c>
      <c r="D4827" s="156" t="inlineStr">
        <is>
          <t>SKT 105S</t>
        </is>
      </c>
      <c r="E4827" s="156" t="inlineStr">
        <is>
          <t>Hauler</t>
        </is>
      </c>
      <c r="F4827" s="156" t="inlineStr">
        <is>
          <t>Hauling Coal S45, S60 &amp; OB</t>
        </is>
      </c>
      <c r="G4827" s="182" t="n">
        <v>5.78</v>
      </c>
      <c r="H4827" s="182" t="n">
        <v>0</v>
      </c>
      <c r="I4827" s="182" t="n">
        <v>0</v>
      </c>
      <c r="J4827" s="182" t="n">
        <v>0</v>
      </c>
      <c r="K4827" s="182" t="n">
        <v>6.22</v>
      </c>
      <c r="L4827" s="182" t="n">
        <v>12</v>
      </c>
      <c r="M4827" s="182" t="n">
        <v>0.93</v>
      </c>
      <c r="N4827" s="182" t="n">
        <v>4.85</v>
      </c>
      <c r="O4827" s="183" t="n">
        <v>5</v>
      </c>
      <c r="P4827" s="183" t="n">
        <v>15</v>
      </c>
      <c r="Q4827" s="184" t="n">
        <v>102</v>
      </c>
      <c r="R4827" s="184" t="n">
        <v>280.5</v>
      </c>
      <c r="S4827" s="183" t="n">
        <v>0</v>
      </c>
      <c r="T4827" s="183" t="n">
        <v>0</v>
      </c>
      <c r="U4827" s="182" t="n">
        <v>0</v>
      </c>
      <c r="V4827" s="182" t="n">
        <v>0</v>
      </c>
      <c r="W4827" s="182" t="n">
        <v>0</v>
      </c>
      <c r="X4827" s="182" t="n">
        <v>1</v>
      </c>
      <c r="Y4827" s="182" t="n">
        <v>0</v>
      </c>
      <c r="Z4827" s="182" t="n">
        <v>0.07000000000000001</v>
      </c>
      <c r="AA4827" s="182" t="n">
        <v>0</v>
      </c>
      <c r="AB4827" s="182" t="n">
        <v>0</v>
      </c>
      <c r="AC4827" s="182" t="n">
        <v>0</v>
      </c>
      <c r="AD4827" s="182" t="n">
        <v>0</v>
      </c>
      <c r="AE4827" s="182" t="n">
        <v>0</v>
      </c>
      <c r="AF4827" s="182" t="n">
        <v>0</v>
      </c>
      <c r="AG4827" s="182" t="n">
        <v>0</v>
      </c>
      <c r="AH4827" s="182" t="n">
        <v>0.05</v>
      </c>
      <c r="AI4827" s="182" t="n">
        <v>0</v>
      </c>
      <c r="AJ4827" s="182" t="n">
        <v>0</v>
      </c>
      <c r="AK4827" s="182" t="n">
        <v>5.02</v>
      </c>
      <c r="AL4827" s="182" t="n">
        <v>0</v>
      </c>
      <c r="AM4827" s="182" t="n">
        <v>0.08</v>
      </c>
      <c r="AN4827" s="182" t="n">
        <v>0</v>
      </c>
    </row>
    <row r="4828">
      <c r="A4828" s="155" t="n">
        <v>46103</v>
      </c>
      <c r="B4828" s="156" t="inlineStr">
        <is>
          <t>NS</t>
        </is>
      </c>
      <c r="C4828" s="156" t="inlineStr">
        <is>
          <t>DT-515</t>
        </is>
      </c>
      <c r="D4828" s="156" t="inlineStr">
        <is>
          <t>SKT 105S</t>
        </is>
      </c>
      <c r="E4828" s="156" t="inlineStr">
        <is>
          <t>Hauler</t>
        </is>
      </c>
      <c r="F4828" s="156" t="inlineStr"/>
      <c r="G4828" s="182" t="n">
        <v>0</v>
      </c>
      <c r="H4828" s="182" t="n">
        <v>12</v>
      </c>
      <c r="I4828" s="182" t="n">
        <v>0</v>
      </c>
      <c r="J4828" s="182" t="n">
        <v>12</v>
      </c>
      <c r="K4828" s="182" t="n">
        <v>0</v>
      </c>
      <c r="L4828" s="182" t="n">
        <v>12</v>
      </c>
      <c r="M4828" s="182" t="n">
        <v>0</v>
      </c>
      <c r="N4828" s="182" t="n">
        <v>0</v>
      </c>
      <c r="O4828" s="183" t="n">
        <v>0</v>
      </c>
      <c r="P4828" s="183" t="n">
        <v>0</v>
      </c>
      <c r="Q4828" s="184" t="n">
        <v>0</v>
      </c>
      <c r="R4828" s="184" t="n">
        <v>0</v>
      </c>
      <c r="S4828" s="183" t="n">
        <v>0</v>
      </c>
      <c r="T4828" s="183" t="n">
        <v>0</v>
      </c>
      <c r="U4828" s="182" t="n">
        <v>0</v>
      </c>
      <c r="V4828" s="182" t="n">
        <v>0</v>
      </c>
      <c r="W4828" s="182" t="n">
        <v>0</v>
      </c>
      <c r="X4828" s="182" t="n">
        <v>0</v>
      </c>
      <c r="Y4828" s="182" t="n">
        <v>0</v>
      </c>
      <c r="Z4828" s="182" t="n">
        <v>0</v>
      </c>
      <c r="AA4828" s="182" t="n">
        <v>0</v>
      </c>
      <c r="AB4828" s="182" t="n">
        <v>0</v>
      </c>
      <c r="AC4828" s="182" t="n">
        <v>0</v>
      </c>
      <c r="AD4828" s="182" t="n">
        <v>0</v>
      </c>
      <c r="AE4828" s="182" t="n">
        <v>0</v>
      </c>
      <c r="AF4828" s="182" t="n">
        <v>0</v>
      </c>
      <c r="AG4828" s="182" t="n">
        <v>0</v>
      </c>
      <c r="AH4828" s="182" t="n">
        <v>0</v>
      </c>
      <c r="AI4828" s="182" t="n">
        <v>0</v>
      </c>
      <c r="AJ4828" s="182" t="n">
        <v>0</v>
      </c>
      <c r="AK4828" s="182" t="n">
        <v>0</v>
      </c>
      <c r="AL4828" s="182" t="n">
        <v>0</v>
      </c>
      <c r="AM4828" s="182" t="n">
        <v>0</v>
      </c>
      <c r="AN4828" s="182" t="n">
        <v>0</v>
      </c>
    </row>
    <row r="4829">
      <c r="A4829" s="155" t="n">
        <v>46103</v>
      </c>
      <c r="B4829" s="156" t="inlineStr">
        <is>
          <t>NS</t>
        </is>
      </c>
      <c r="C4829" s="156" t="inlineStr">
        <is>
          <t>DT-524</t>
        </is>
      </c>
      <c r="D4829" s="156" t="inlineStr">
        <is>
          <t>SKT 105S</t>
        </is>
      </c>
      <c r="E4829" s="156" t="inlineStr">
        <is>
          <t>Hauler</t>
        </is>
      </c>
      <c r="F4829" s="156" t="inlineStr"/>
      <c r="G4829" s="182" t="n">
        <v>0</v>
      </c>
      <c r="H4829" s="182" t="n">
        <v>0</v>
      </c>
      <c r="I4829" s="182" t="n">
        <v>12</v>
      </c>
      <c r="J4829" s="182" t="n">
        <v>12</v>
      </c>
      <c r="K4829" s="182" t="n">
        <v>0</v>
      </c>
      <c r="L4829" s="182" t="n">
        <v>12</v>
      </c>
      <c r="M4829" s="182" t="n">
        <v>0</v>
      </c>
      <c r="N4829" s="182" t="n">
        <v>0</v>
      </c>
      <c r="O4829" s="183" t="n">
        <v>0</v>
      </c>
      <c r="P4829" s="183" t="n">
        <v>0</v>
      </c>
      <c r="Q4829" s="184" t="n">
        <v>0</v>
      </c>
      <c r="R4829" s="184" t="n">
        <v>0</v>
      </c>
      <c r="S4829" s="183" t="n">
        <v>0</v>
      </c>
      <c r="T4829" s="183" t="n">
        <v>0</v>
      </c>
      <c r="U4829" s="182" t="n">
        <v>0</v>
      </c>
      <c r="V4829" s="182" t="n">
        <v>0</v>
      </c>
      <c r="W4829" s="182" t="n">
        <v>0</v>
      </c>
      <c r="X4829" s="182" t="n">
        <v>0</v>
      </c>
      <c r="Y4829" s="182" t="n">
        <v>0</v>
      </c>
      <c r="Z4829" s="182" t="n">
        <v>0</v>
      </c>
      <c r="AA4829" s="182" t="n">
        <v>0</v>
      </c>
      <c r="AB4829" s="182" t="n">
        <v>0</v>
      </c>
      <c r="AC4829" s="182" t="n">
        <v>0</v>
      </c>
      <c r="AD4829" s="182" t="n">
        <v>0</v>
      </c>
      <c r="AE4829" s="182" t="n">
        <v>0</v>
      </c>
      <c r="AF4829" s="182" t="n">
        <v>0</v>
      </c>
      <c r="AG4829" s="182" t="n">
        <v>0</v>
      </c>
      <c r="AH4829" s="182" t="n">
        <v>0</v>
      </c>
      <c r="AI4829" s="182" t="n">
        <v>0</v>
      </c>
      <c r="AJ4829" s="182" t="n">
        <v>0</v>
      </c>
      <c r="AK4829" s="182" t="n">
        <v>0</v>
      </c>
      <c r="AL4829" s="182" t="n">
        <v>0</v>
      </c>
      <c r="AM4829" s="182" t="n">
        <v>0</v>
      </c>
      <c r="AN4829" s="182" t="n">
        <v>0</v>
      </c>
    </row>
    <row r="4830">
      <c r="A4830" s="155" t="n">
        <v>46103</v>
      </c>
      <c r="B4830" s="156" t="inlineStr">
        <is>
          <t>NS</t>
        </is>
      </c>
      <c r="C4830" s="156" t="inlineStr">
        <is>
          <t>DT-341</t>
        </is>
      </c>
      <c r="D4830" s="156" t="inlineStr">
        <is>
          <t>SYZ324C-8W</t>
        </is>
      </c>
      <c r="E4830" s="156" t="inlineStr">
        <is>
          <t>Hauler</t>
        </is>
      </c>
      <c r="F4830" s="156" t="inlineStr"/>
      <c r="G4830" s="182" t="n">
        <v>0</v>
      </c>
      <c r="H4830" s="182" t="n">
        <v>0</v>
      </c>
      <c r="I4830" s="182" t="n">
        <v>0</v>
      </c>
      <c r="J4830" s="182" t="n">
        <v>0</v>
      </c>
      <c r="K4830" s="182" t="n">
        <v>12</v>
      </c>
      <c r="L4830" s="182" t="n">
        <v>12</v>
      </c>
      <c r="M4830" s="182" t="n">
        <v>0</v>
      </c>
      <c r="N4830" s="182" t="n">
        <v>0</v>
      </c>
      <c r="O4830" s="183" t="n">
        <v>0</v>
      </c>
      <c r="P4830" s="183" t="n">
        <v>0</v>
      </c>
      <c r="Q4830" s="184" t="n">
        <v>0</v>
      </c>
      <c r="R4830" s="184" t="n">
        <v>0</v>
      </c>
      <c r="S4830" s="183" t="n">
        <v>0</v>
      </c>
      <c r="T4830" s="183" t="n">
        <v>0</v>
      </c>
      <c r="U4830" s="182" t="n">
        <v>0</v>
      </c>
      <c r="V4830" s="182" t="n">
        <v>0</v>
      </c>
      <c r="W4830" s="182" t="n">
        <v>0</v>
      </c>
      <c r="X4830" s="182" t="n">
        <v>1</v>
      </c>
      <c r="Y4830" s="182" t="n">
        <v>0</v>
      </c>
      <c r="Z4830" s="182" t="n">
        <v>0</v>
      </c>
      <c r="AA4830" s="182" t="n">
        <v>0</v>
      </c>
      <c r="AB4830" s="182" t="n">
        <v>0</v>
      </c>
      <c r="AC4830" s="182" t="n">
        <v>0</v>
      </c>
      <c r="AD4830" s="182" t="n">
        <v>0</v>
      </c>
      <c r="AE4830" s="182" t="n">
        <v>0</v>
      </c>
      <c r="AF4830" s="182" t="n">
        <v>0</v>
      </c>
      <c r="AG4830" s="182" t="n">
        <v>0</v>
      </c>
      <c r="AH4830" s="182" t="n">
        <v>0</v>
      </c>
      <c r="AI4830" s="182" t="n">
        <v>0</v>
      </c>
      <c r="AJ4830" s="182" t="n">
        <v>0</v>
      </c>
      <c r="AK4830" s="182" t="n">
        <v>10.92</v>
      </c>
      <c r="AL4830" s="182" t="n">
        <v>0</v>
      </c>
      <c r="AM4830" s="182" t="n">
        <v>0.08</v>
      </c>
      <c r="AN4830" s="182" t="n">
        <v>0</v>
      </c>
    </row>
    <row r="4831">
      <c r="A4831" s="155" t="n">
        <v>46103</v>
      </c>
      <c r="B4831" s="156" t="inlineStr">
        <is>
          <t>NS</t>
        </is>
      </c>
      <c r="C4831" s="156" t="inlineStr">
        <is>
          <t>DT-342</t>
        </is>
      </c>
      <c r="D4831" s="156" t="inlineStr">
        <is>
          <t>SYZ324C-8W</t>
        </is>
      </c>
      <c r="E4831" s="156" t="inlineStr">
        <is>
          <t>Hauler</t>
        </is>
      </c>
      <c r="F4831" s="156" t="inlineStr"/>
      <c r="G4831" s="182" t="n">
        <v>0</v>
      </c>
      <c r="H4831" s="182" t="n">
        <v>0</v>
      </c>
      <c r="I4831" s="182" t="n">
        <v>0</v>
      </c>
      <c r="J4831" s="182" t="n">
        <v>0</v>
      </c>
      <c r="K4831" s="182" t="n">
        <v>12</v>
      </c>
      <c r="L4831" s="182" t="n">
        <v>12</v>
      </c>
      <c r="M4831" s="182" t="n">
        <v>0</v>
      </c>
      <c r="N4831" s="182" t="n">
        <v>0</v>
      </c>
      <c r="O4831" s="183" t="n">
        <v>0</v>
      </c>
      <c r="P4831" s="183" t="n">
        <v>0</v>
      </c>
      <c r="Q4831" s="184" t="n">
        <v>0</v>
      </c>
      <c r="R4831" s="184" t="n">
        <v>0</v>
      </c>
      <c r="S4831" s="183" t="n">
        <v>0</v>
      </c>
      <c r="T4831" s="183" t="n">
        <v>0</v>
      </c>
      <c r="U4831" s="182" t="n">
        <v>0</v>
      </c>
      <c r="V4831" s="182" t="n">
        <v>0</v>
      </c>
      <c r="W4831" s="182" t="n">
        <v>0</v>
      </c>
      <c r="X4831" s="182" t="n">
        <v>1</v>
      </c>
      <c r="Y4831" s="182" t="n">
        <v>0</v>
      </c>
      <c r="Z4831" s="182" t="n">
        <v>0</v>
      </c>
      <c r="AA4831" s="182" t="n">
        <v>0</v>
      </c>
      <c r="AB4831" s="182" t="n">
        <v>0</v>
      </c>
      <c r="AC4831" s="182" t="n">
        <v>0</v>
      </c>
      <c r="AD4831" s="182" t="n">
        <v>0</v>
      </c>
      <c r="AE4831" s="182" t="n">
        <v>0</v>
      </c>
      <c r="AF4831" s="182" t="n">
        <v>0</v>
      </c>
      <c r="AG4831" s="182" t="n">
        <v>0</v>
      </c>
      <c r="AH4831" s="182" t="n">
        <v>0</v>
      </c>
      <c r="AI4831" s="182" t="n">
        <v>0</v>
      </c>
      <c r="AJ4831" s="182" t="n">
        <v>0</v>
      </c>
      <c r="AK4831" s="182" t="n">
        <v>10.92</v>
      </c>
      <c r="AL4831" s="182" t="n">
        <v>0</v>
      </c>
      <c r="AM4831" s="182" t="n">
        <v>0.08</v>
      </c>
      <c r="AN4831" s="182" t="n">
        <v>0</v>
      </c>
    </row>
    <row r="4832">
      <c r="A4832" s="155" t="n">
        <v>46103</v>
      </c>
      <c r="B4832" s="156" t="inlineStr">
        <is>
          <t>NS</t>
        </is>
      </c>
      <c r="C4832" s="156" t="inlineStr">
        <is>
          <t>HD-903</t>
        </is>
      </c>
      <c r="D4832" s="156" t="inlineStr">
        <is>
          <t>SRT 95C</t>
        </is>
      </c>
      <c r="E4832" s="156" t="inlineStr">
        <is>
          <t>Hauler</t>
        </is>
      </c>
      <c r="F4832" s="156" t="inlineStr"/>
      <c r="G4832" s="182" t="n">
        <v>0</v>
      </c>
      <c r="H4832" s="182" t="n">
        <v>0</v>
      </c>
      <c r="I4832" s="182" t="n">
        <v>12</v>
      </c>
      <c r="J4832" s="182" t="n">
        <v>12</v>
      </c>
      <c r="K4832" s="182" t="n">
        <v>0</v>
      </c>
      <c r="L4832" s="182" t="n">
        <v>12</v>
      </c>
      <c r="M4832" s="182" t="n">
        <v>0</v>
      </c>
      <c r="N4832" s="182" t="n">
        <v>0</v>
      </c>
      <c r="O4832" s="183" t="n">
        <v>0</v>
      </c>
      <c r="P4832" s="183" t="n">
        <v>0</v>
      </c>
      <c r="Q4832" s="184" t="n">
        <v>0</v>
      </c>
      <c r="R4832" s="184" t="n">
        <v>0</v>
      </c>
      <c r="S4832" s="183" t="n">
        <v>0</v>
      </c>
      <c r="T4832" s="183" t="n">
        <v>0</v>
      </c>
      <c r="U4832" s="182" t="n">
        <v>0</v>
      </c>
      <c r="V4832" s="182" t="n">
        <v>0</v>
      </c>
      <c r="W4832" s="182" t="n">
        <v>0</v>
      </c>
      <c r="X4832" s="182" t="n">
        <v>0</v>
      </c>
      <c r="Y4832" s="182" t="n">
        <v>0</v>
      </c>
      <c r="Z4832" s="182" t="n">
        <v>0</v>
      </c>
      <c r="AA4832" s="182" t="n">
        <v>0</v>
      </c>
      <c r="AB4832" s="182" t="n">
        <v>0</v>
      </c>
      <c r="AC4832" s="182" t="n">
        <v>0</v>
      </c>
      <c r="AD4832" s="182" t="n">
        <v>0</v>
      </c>
      <c r="AE4832" s="182" t="n">
        <v>0</v>
      </c>
      <c r="AF4832" s="182" t="n">
        <v>0</v>
      </c>
      <c r="AG4832" s="182" t="n">
        <v>0</v>
      </c>
      <c r="AH4832" s="182" t="n">
        <v>0</v>
      </c>
      <c r="AI4832" s="182" t="n">
        <v>0</v>
      </c>
      <c r="AJ4832" s="182" t="n">
        <v>0</v>
      </c>
      <c r="AK4832" s="182" t="n">
        <v>0</v>
      </c>
      <c r="AL4832" s="182" t="n">
        <v>0</v>
      </c>
      <c r="AM4832" s="182" t="n">
        <v>0</v>
      </c>
      <c r="AN4832" s="182" t="n">
        <v>0</v>
      </c>
    </row>
    <row r="4833">
      <c r="A4833" s="155" t="n">
        <v>46103</v>
      </c>
      <c r="B4833" s="156" t="inlineStr">
        <is>
          <t>NS</t>
        </is>
      </c>
      <c r="C4833" s="156" t="inlineStr">
        <is>
          <t>HD-905</t>
        </is>
      </c>
      <c r="D4833" s="156" t="inlineStr">
        <is>
          <t>SRT 95C</t>
        </is>
      </c>
      <c r="E4833" s="156" t="inlineStr">
        <is>
          <t>Hauler</t>
        </is>
      </c>
      <c r="F4833" s="156" t="inlineStr">
        <is>
          <t>Hauling OB</t>
        </is>
      </c>
      <c r="G4833" s="182" t="n">
        <v>1.48</v>
      </c>
      <c r="H4833" s="182" t="n">
        <v>0</v>
      </c>
      <c r="I4833" s="182" t="n">
        <v>0</v>
      </c>
      <c r="J4833" s="182" t="n">
        <v>0</v>
      </c>
      <c r="K4833" s="182" t="n">
        <v>10.52</v>
      </c>
      <c r="L4833" s="182" t="n">
        <v>12</v>
      </c>
      <c r="M4833" s="182" t="n">
        <v>1.48</v>
      </c>
      <c r="N4833" s="182" t="n">
        <v>0</v>
      </c>
      <c r="O4833" s="183" t="n">
        <v>4</v>
      </c>
      <c r="P4833" s="183" t="n">
        <v>0</v>
      </c>
      <c r="Q4833" s="184" t="n">
        <v>142.8</v>
      </c>
      <c r="R4833" s="184" t="n">
        <v>0</v>
      </c>
      <c r="S4833" s="183" t="n">
        <v>0</v>
      </c>
      <c r="T4833" s="183" t="n">
        <v>0</v>
      </c>
      <c r="U4833" s="182" t="n">
        <v>0</v>
      </c>
      <c r="V4833" s="182" t="n">
        <v>0</v>
      </c>
      <c r="W4833" s="182" t="n">
        <v>0</v>
      </c>
      <c r="X4833" s="182" t="n">
        <v>0.99</v>
      </c>
      <c r="Y4833" s="182" t="n">
        <v>0</v>
      </c>
      <c r="Z4833" s="182" t="n">
        <v>0</v>
      </c>
      <c r="AA4833" s="182" t="n">
        <v>0</v>
      </c>
      <c r="AB4833" s="182" t="n">
        <v>0</v>
      </c>
      <c r="AC4833" s="182" t="n">
        <v>0</v>
      </c>
      <c r="AD4833" s="182" t="n">
        <v>0</v>
      </c>
      <c r="AE4833" s="182" t="n">
        <v>0</v>
      </c>
      <c r="AF4833" s="182" t="n">
        <v>0</v>
      </c>
      <c r="AG4833" s="182" t="n">
        <v>0</v>
      </c>
      <c r="AH4833" s="182" t="n">
        <v>0</v>
      </c>
      <c r="AI4833" s="182" t="n">
        <v>9.449999999999999</v>
      </c>
      <c r="AJ4833" s="182" t="n">
        <v>0</v>
      </c>
      <c r="AK4833" s="182" t="n">
        <v>0</v>
      </c>
      <c r="AL4833" s="182" t="n">
        <v>0</v>
      </c>
      <c r="AM4833" s="182" t="n">
        <v>0.08</v>
      </c>
      <c r="AN4833" s="182" t="n">
        <v>0</v>
      </c>
    </row>
    <row r="4834">
      <c r="A4834" s="155" t="n">
        <v>46103</v>
      </c>
      <c r="B4834" s="156" t="inlineStr">
        <is>
          <t>NS</t>
        </is>
      </c>
      <c r="C4834" s="156" t="inlineStr">
        <is>
          <t>HD-901</t>
        </is>
      </c>
      <c r="D4834" s="156" t="inlineStr">
        <is>
          <t>SRT 95C</t>
        </is>
      </c>
      <c r="E4834" s="156" t="inlineStr">
        <is>
          <t>Hauler</t>
        </is>
      </c>
      <c r="F4834" s="156" t="inlineStr">
        <is>
          <t>Hauling OB</t>
        </is>
      </c>
      <c r="G4834" s="182" t="n">
        <v>1.46</v>
      </c>
      <c r="H4834" s="182" t="n">
        <v>0</v>
      </c>
      <c r="I4834" s="182" t="n">
        <v>0</v>
      </c>
      <c r="J4834" s="182" t="n">
        <v>0</v>
      </c>
      <c r="K4834" s="182" t="n">
        <v>10.54</v>
      </c>
      <c r="L4834" s="182" t="n">
        <v>12</v>
      </c>
      <c r="M4834" s="182" t="n">
        <v>1.46</v>
      </c>
      <c r="N4834" s="182" t="n">
        <v>0</v>
      </c>
      <c r="O4834" s="183" t="n">
        <v>4</v>
      </c>
      <c r="P4834" s="183" t="n">
        <v>0</v>
      </c>
      <c r="Q4834" s="184" t="n">
        <v>142.8</v>
      </c>
      <c r="R4834" s="184" t="n">
        <v>0</v>
      </c>
      <c r="S4834" s="183" t="n">
        <v>0</v>
      </c>
      <c r="T4834" s="183" t="n">
        <v>0</v>
      </c>
      <c r="U4834" s="182" t="n">
        <v>0</v>
      </c>
      <c r="V4834" s="182" t="n">
        <v>0</v>
      </c>
      <c r="W4834" s="182" t="n">
        <v>0</v>
      </c>
      <c r="X4834" s="182" t="n">
        <v>0.99</v>
      </c>
      <c r="Y4834" s="182" t="n">
        <v>0</v>
      </c>
      <c r="Z4834" s="182" t="n">
        <v>0.07000000000000001</v>
      </c>
      <c r="AA4834" s="182" t="n">
        <v>0</v>
      </c>
      <c r="AB4834" s="182" t="n">
        <v>0</v>
      </c>
      <c r="AC4834" s="182" t="n">
        <v>0</v>
      </c>
      <c r="AD4834" s="182" t="n">
        <v>0</v>
      </c>
      <c r="AE4834" s="182" t="n">
        <v>0</v>
      </c>
      <c r="AF4834" s="182" t="n">
        <v>0</v>
      </c>
      <c r="AG4834" s="182" t="n">
        <v>0</v>
      </c>
      <c r="AH4834" s="182" t="n">
        <v>0</v>
      </c>
      <c r="AI4834" s="182" t="n">
        <v>9.4</v>
      </c>
      <c r="AJ4834" s="182" t="n">
        <v>0</v>
      </c>
      <c r="AK4834" s="182" t="n">
        <v>0</v>
      </c>
      <c r="AL4834" s="182" t="n">
        <v>0</v>
      </c>
      <c r="AM4834" s="182" t="n">
        <v>0.08</v>
      </c>
      <c r="AN4834" s="182" t="n">
        <v>0</v>
      </c>
    </row>
    <row r="4835">
      <c r="A4835" s="155" t="n">
        <v>46103</v>
      </c>
      <c r="B4835" s="156" t="inlineStr">
        <is>
          <t>NS</t>
        </is>
      </c>
      <c r="C4835" s="156" t="inlineStr">
        <is>
          <t>HD-904</t>
        </is>
      </c>
      <c r="D4835" s="156" t="inlineStr">
        <is>
          <t>SRT 95C</t>
        </is>
      </c>
      <c r="E4835" s="156" t="inlineStr">
        <is>
          <t>Hauler</t>
        </is>
      </c>
      <c r="F4835" s="156" t="inlineStr">
        <is>
          <t>Hauling OB</t>
        </is>
      </c>
      <c r="G4835" s="182" t="n">
        <v>1.48</v>
      </c>
      <c r="H4835" s="182" t="n">
        <v>0</v>
      </c>
      <c r="I4835" s="182" t="n">
        <v>0</v>
      </c>
      <c r="J4835" s="182" t="n">
        <v>0</v>
      </c>
      <c r="K4835" s="182" t="n">
        <v>10.52</v>
      </c>
      <c r="L4835" s="182" t="n">
        <v>12</v>
      </c>
      <c r="M4835" s="182" t="n">
        <v>1.48</v>
      </c>
      <c r="N4835" s="182" t="n">
        <v>0</v>
      </c>
      <c r="O4835" s="183" t="n">
        <v>3</v>
      </c>
      <c r="P4835" s="183" t="n">
        <v>0</v>
      </c>
      <c r="Q4835" s="184" t="n">
        <v>107.1</v>
      </c>
      <c r="R4835" s="184" t="n">
        <v>0</v>
      </c>
      <c r="S4835" s="183" t="n">
        <v>0</v>
      </c>
      <c r="T4835" s="183" t="n">
        <v>0</v>
      </c>
      <c r="U4835" s="182" t="n">
        <v>0</v>
      </c>
      <c r="V4835" s="182" t="n">
        <v>0</v>
      </c>
      <c r="W4835" s="182" t="n">
        <v>0</v>
      </c>
      <c r="X4835" s="182" t="n">
        <v>0.97</v>
      </c>
      <c r="Y4835" s="182" t="n">
        <v>0</v>
      </c>
      <c r="Z4835" s="182" t="n">
        <v>0.07000000000000001</v>
      </c>
      <c r="AA4835" s="182" t="n">
        <v>0</v>
      </c>
      <c r="AB4835" s="182" t="n">
        <v>0</v>
      </c>
      <c r="AC4835" s="182" t="n">
        <v>0</v>
      </c>
      <c r="AD4835" s="182" t="n">
        <v>0</v>
      </c>
      <c r="AE4835" s="182" t="n">
        <v>0</v>
      </c>
      <c r="AF4835" s="182" t="n">
        <v>0</v>
      </c>
      <c r="AG4835" s="182" t="n">
        <v>0</v>
      </c>
      <c r="AH4835" s="182" t="n">
        <v>0</v>
      </c>
      <c r="AI4835" s="182" t="n">
        <v>9.4</v>
      </c>
      <c r="AJ4835" s="182" t="n">
        <v>0</v>
      </c>
      <c r="AK4835" s="182" t="n">
        <v>0</v>
      </c>
      <c r="AL4835" s="182" t="n">
        <v>0</v>
      </c>
      <c r="AM4835" s="182" t="n">
        <v>0.08</v>
      </c>
      <c r="AN4835" s="182" t="n">
        <v>0</v>
      </c>
    </row>
    <row r="4836">
      <c r="A4836" s="155" t="n">
        <v>46103</v>
      </c>
      <c r="B4836" s="156" t="inlineStr">
        <is>
          <t>NS</t>
        </is>
      </c>
      <c r="C4836" s="156" t="inlineStr">
        <is>
          <t>HD-902</t>
        </is>
      </c>
      <c r="D4836" s="156" t="inlineStr">
        <is>
          <t>SRT 95C</t>
        </is>
      </c>
      <c r="E4836" s="156" t="inlineStr">
        <is>
          <t>Hauler</t>
        </is>
      </c>
      <c r="F4836" s="156" t="inlineStr"/>
      <c r="G4836" s="182" t="n">
        <v>0</v>
      </c>
      <c r="H4836" s="182" t="n">
        <v>0</v>
      </c>
      <c r="I4836" s="182" t="n">
        <v>0</v>
      </c>
      <c r="J4836" s="182" t="n">
        <v>0</v>
      </c>
      <c r="K4836" s="182" t="n">
        <v>12</v>
      </c>
      <c r="L4836" s="182" t="n">
        <v>12</v>
      </c>
      <c r="M4836" s="182" t="n">
        <v>0</v>
      </c>
      <c r="N4836" s="182" t="n">
        <v>0</v>
      </c>
      <c r="O4836" s="183" t="n">
        <v>0</v>
      </c>
      <c r="P4836" s="183" t="n">
        <v>0</v>
      </c>
      <c r="Q4836" s="184" t="n">
        <v>0</v>
      </c>
      <c r="R4836" s="184" t="n">
        <v>0</v>
      </c>
      <c r="S4836" s="183" t="n">
        <v>0</v>
      </c>
      <c r="T4836" s="183" t="n">
        <v>0</v>
      </c>
      <c r="U4836" s="182" t="n">
        <v>0</v>
      </c>
      <c r="V4836" s="182" t="n">
        <v>0</v>
      </c>
      <c r="W4836" s="182" t="n">
        <v>0</v>
      </c>
      <c r="X4836" s="182" t="n">
        <v>1</v>
      </c>
      <c r="Y4836" s="182" t="n">
        <v>0</v>
      </c>
      <c r="Z4836" s="182" t="n">
        <v>0</v>
      </c>
      <c r="AA4836" s="182" t="n">
        <v>0</v>
      </c>
      <c r="AB4836" s="182" t="n">
        <v>0</v>
      </c>
      <c r="AC4836" s="182" t="n">
        <v>0</v>
      </c>
      <c r="AD4836" s="182" t="n">
        <v>0</v>
      </c>
      <c r="AE4836" s="182" t="n">
        <v>0</v>
      </c>
      <c r="AF4836" s="182" t="n">
        <v>0</v>
      </c>
      <c r="AG4836" s="182" t="n">
        <v>0</v>
      </c>
      <c r="AH4836" s="182" t="n">
        <v>0</v>
      </c>
      <c r="AI4836" s="182" t="n">
        <v>10.92</v>
      </c>
      <c r="AJ4836" s="182" t="n">
        <v>0</v>
      </c>
      <c r="AK4836" s="182" t="n">
        <v>0</v>
      </c>
      <c r="AL4836" s="182" t="n">
        <v>0</v>
      </c>
      <c r="AM4836" s="182" t="n">
        <v>0.08</v>
      </c>
      <c r="AN4836" s="182" t="n">
        <v>0</v>
      </c>
    </row>
    <row r="4837">
      <c r="A4837" s="155" t="n">
        <v>46103</v>
      </c>
      <c r="B4837" s="156" t="inlineStr">
        <is>
          <t>NS</t>
        </is>
      </c>
      <c r="C4837" s="156" t="inlineStr">
        <is>
          <t>WL-025</t>
        </is>
      </c>
      <c r="D4837" s="156" t="inlineStr">
        <is>
          <t>SANY - Loader</t>
        </is>
      </c>
      <c r="E4837" s="156" t="inlineStr">
        <is>
          <t>Loader</t>
        </is>
      </c>
      <c r="F4837" s="156" t="inlineStr"/>
      <c r="G4837" s="182" t="n">
        <v>0</v>
      </c>
      <c r="H4837" s="182" t="n">
        <v>0</v>
      </c>
      <c r="I4837" s="182" t="n">
        <v>0</v>
      </c>
      <c r="J4837" s="182" t="n">
        <v>0</v>
      </c>
      <c r="K4837" s="182" t="n">
        <v>12</v>
      </c>
      <c r="L4837" s="182" t="n">
        <v>12</v>
      </c>
      <c r="M4837" s="182" t="n">
        <v>0</v>
      </c>
      <c r="N4837" s="182" t="n">
        <v>0</v>
      </c>
      <c r="O4837" s="183" t="n">
        <v>0</v>
      </c>
      <c r="P4837" s="183" t="n">
        <v>0</v>
      </c>
      <c r="Q4837" s="184" t="n">
        <v>0</v>
      </c>
      <c r="R4837" s="184" t="n">
        <v>0</v>
      </c>
      <c r="S4837" s="183" t="n">
        <v>0</v>
      </c>
      <c r="T4837" s="183" t="n">
        <v>0</v>
      </c>
      <c r="U4837" s="182" t="n">
        <v>0</v>
      </c>
      <c r="V4837" s="182" t="n">
        <v>0</v>
      </c>
      <c r="W4837" s="182" t="n">
        <v>0</v>
      </c>
      <c r="X4837" s="182" t="n">
        <v>1</v>
      </c>
      <c r="Y4837" s="182" t="n">
        <v>0</v>
      </c>
      <c r="Z4837" s="182" t="n">
        <v>0</v>
      </c>
      <c r="AA4837" s="182" t="n">
        <v>0</v>
      </c>
      <c r="AB4837" s="182" t="n">
        <v>0</v>
      </c>
      <c r="AC4837" s="182" t="n">
        <v>0</v>
      </c>
      <c r="AD4837" s="182" t="n">
        <v>0</v>
      </c>
      <c r="AE4837" s="182" t="n">
        <v>0</v>
      </c>
      <c r="AF4837" s="182" t="n">
        <v>0</v>
      </c>
      <c r="AG4837" s="182" t="n">
        <v>0</v>
      </c>
      <c r="AH4837" s="182" t="n">
        <v>0</v>
      </c>
      <c r="AI4837" s="182" t="n">
        <v>0</v>
      </c>
      <c r="AJ4837" s="182" t="n">
        <v>0</v>
      </c>
      <c r="AK4837" s="182" t="n">
        <v>10.92</v>
      </c>
      <c r="AL4837" s="182" t="n">
        <v>0</v>
      </c>
      <c r="AM4837" s="182" t="n">
        <v>0.08</v>
      </c>
      <c r="AN4837" s="182" t="n">
        <v>0</v>
      </c>
    </row>
    <row r="4838">
      <c r="A4838" s="155" t="n">
        <v>46103</v>
      </c>
      <c r="B4838" s="156" t="inlineStr">
        <is>
          <t>NS</t>
        </is>
      </c>
      <c r="C4838" s="156" t="inlineStr">
        <is>
          <t>WL-023</t>
        </is>
      </c>
      <c r="D4838" s="156" t="inlineStr">
        <is>
          <t>SANY - Loader</t>
        </is>
      </c>
      <c r="E4838" s="156" t="inlineStr">
        <is>
          <t>Loader</t>
        </is>
      </c>
      <c r="F4838" s="156" t="inlineStr"/>
      <c r="G4838" s="182" t="n">
        <v>0</v>
      </c>
      <c r="H4838" s="182" t="n">
        <v>0</v>
      </c>
      <c r="I4838" s="182" t="n">
        <v>0</v>
      </c>
      <c r="J4838" s="182" t="n">
        <v>0</v>
      </c>
      <c r="K4838" s="182" t="n">
        <v>12</v>
      </c>
      <c r="L4838" s="182" t="n">
        <v>12</v>
      </c>
      <c r="M4838" s="182" t="n">
        <v>0</v>
      </c>
      <c r="N4838" s="182" t="n">
        <v>0</v>
      </c>
      <c r="O4838" s="183" t="n">
        <v>0</v>
      </c>
      <c r="P4838" s="183" t="n">
        <v>0</v>
      </c>
      <c r="Q4838" s="184" t="n">
        <v>0</v>
      </c>
      <c r="R4838" s="184" t="n">
        <v>0</v>
      </c>
      <c r="S4838" s="183" t="n">
        <v>0</v>
      </c>
      <c r="T4838" s="183" t="n">
        <v>0</v>
      </c>
      <c r="U4838" s="182" t="n">
        <v>0</v>
      </c>
      <c r="V4838" s="182" t="n">
        <v>0</v>
      </c>
      <c r="W4838" s="182" t="n">
        <v>0</v>
      </c>
      <c r="X4838" s="182" t="n">
        <v>1</v>
      </c>
      <c r="Y4838" s="182" t="n">
        <v>0</v>
      </c>
      <c r="Z4838" s="182" t="n">
        <v>0</v>
      </c>
      <c r="AA4838" s="182" t="n">
        <v>0</v>
      </c>
      <c r="AB4838" s="182" t="n">
        <v>0</v>
      </c>
      <c r="AC4838" s="182" t="n">
        <v>0</v>
      </c>
      <c r="AD4838" s="182" t="n">
        <v>0</v>
      </c>
      <c r="AE4838" s="182" t="n">
        <v>0</v>
      </c>
      <c r="AF4838" s="182" t="n">
        <v>0</v>
      </c>
      <c r="AG4838" s="182" t="n">
        <v>0</v>
      </c>
      <c r="AH4838" s="182" t="n">
        <v>0</v>
      </c>
      <c r="AI4838" s="182" t="n">
        <v>0</v>
      </c>
      <c r="AJ4838" s="182" t="n">
        <v>0</v>
      </c>
      <c r="AK4838" s="182" t="n">
        <v>10.92</v>
      </c>
      <c r="AL4838" s="182" t="n">
        <v>0</v>
      </c>
      <c r="AM4838" s="182" t="n">
        <v>0.08</v>
      </c>
      <c r="AN4838" s="182" t="n">
        <v>0</v>
      </c>
    </row>
    <row r="4839">
      <c r="A4839" s="155" t="n">
        <v>46103</v>
      </c>
      <c r="B4839" s="156" t="inlineStr">
        <is>
          <t>NS</t>
        </is>
      </c>
      <c r="C4839" s="156" t="inlineStr">
        <is>
          <t>WL-021</t>
        </is>
      </c>
      <c r="D4839" s="156" t="inlineStr">
        <is>
          <t>SANY - Loader</t>
        </is>
      </c>
      <c r="E4839" s="156" t="inlineStr">
        <is>
          <t>Loader</t>
        </is>
      </c>
      <c r="F4839" s="156" t="inlineStr"/>
      <c r="G4839" s="182" t="n">
        <v>0</v>
      </c>
      <c r="H4839" s="182" t="n">
        <v>0</v>
      </c>
      <c r="I4839" s="182" t="n">
        <v>12</v>
      </c>
      <c r="J4839" s="182" t="n">
        <v>12</v>
      </c>
      <c r="K4839" s="182" t="n">
        <v>0</v>
      </c>
      <c r="L4839" s="182" t="n">
        <v>12</v>
      </c>
      <c r="M4839" s="182" t="n">
        <v>0</v>
      </c>
      <c r="N4839" s="182" t="n">
        <v>0</v>
      </c>
      <c r="O4839" s="183" t="n">
        <v>0</v>
      </c>
      <c r="P4839" s="183" t="n">
        <v>0</v>
      </c>
      <c r="Q4839" s="184" t="n">
        <v>0</v>
      </c>
      <c r="R4839" s="184" t="n">
        <v>0</v>
      </c>
      <c r="S4839" s="183" t="n">
        <v>0</v>
      </c>
      <c r="T4839" s="183" t="n">
        <v>0</v>
      </c>
      <c r="U4839" s="182" t="n">
        <v>0</v>
      </c>
      <c r="V4839" s="182" t="n">
        <v>0</v>
      </c>
      <c r="W4839" s="182" t="n">
        <v>0</v>
      </c>
      <c r="X4839" s="182" t="n">
        <v>0</v>
      </c>
      <c r="Y4839" s="182" t="n">
        <v>0</v>
      </c>
      <c r="Z4839" s="182" t="n">
        <v>0</v>
      </c>
      <c r="AA4839" s="182" t="n">
        <v>0</v>
      </c>
      <c r="AB4839" s="182" t="n">
        <v>0</v>
      </c>
      <c r="AC4839" s="182" t="n">
        <v>0</v>
      </c>
      <c r="AD4839" s="182" t="n">
        <v>0</v>
      </c>
      <c r="AE4839" s="182" t="n">
        <v>0</v>
      </c>
      <c r="AF4839" s="182" t="n">
        <v>0</v>
      </c>
      <c r="AG4839" s="182" t="n">
        <v>0</v>
      </c>
      <c r="AH4839" s="182" t="n">
        <v>0</v>
      </c>
      <c r="AI4839" s="182" t="n">
        <v>0</v>
      </c>
      <c r="AJ4839" s="182" t="n">
        <v>0</v>
      </c>
      <c r="AK4839" s="182" t="n">
        <v>0</v>
      </c>
      <c r="AL4839" s="182" t="n">
        <v>0</v>
      </c>
      <c r="AM4839" s="182" t="n">
        <v>0</v>
      </c>
      <c r="AN4839" s="182" t="n">
        <v>0</v>
      </c>
    </row>
    <row r="4840">
      <c r="A4840" s="155" t="n">
        <v>46103</v>
      </c>
      <c r="B4840" s="156" t="inlineStr">
        <is>
          <t>NS</t>
        </is>
      </c>
      <c r="C4840" s="156" t="inlineStr">
        <is>
          <t>WL-022</t>
        </is>
      </c>
      <c r="D4840" s="156" t="inlineStr">
        <is>
          <t>SANY - Loader</t>
        </is>
      </c>
      <c r="E4840" s="156" t="inlineStr">
        <is>
          <t>Loader</t>
        </is>
      </c>
      <c r="F4840" s="156" t="inlineStr">
        <is>
          <t>Support Washing Plant</t>
        </is>
      </c>
      <c r="G4840" s="182" t="n">
        <v>8.720000000000001</v>
      </c>
      <c r="H4840" s="182" t="n">
        <v>0.17</v>
      </c>
      <c r="I4840" s="182" t="n">
        <v>0</v>
      </c>
      <c r="J4840" s="182" t="n">
        <v>0.17</v>
      </c>
      <c r="K4840" s="182" t="n">
        <v>3.11</v>
      </c>
      <c r="L4840" s="182" t="n">
        <v>12</v>
      </c>
      <c r="M4840" s="182" t="n">
        <v>0</v>
      </c>
      <c r="N4840" s="182" t="n">
        <v>0</v>
      </c>
      <c r="O4840" s="183" t="n">
        <v>0</v>
      </c>
      <c r="P4840" s="183" t="n">
        <v>0</v>
      </c>
      <c r="Q4840" s="184" t="n">
        <v>0</v>
      </c>
      <c r="R4840" s="184" t="n">
        <v>0</v>
      </c>
      <c r="S4840" s="183" t="n">
        <v>0</v>
      </c>
      <c r="T4840" s="183" t="n">
        <v>0</v>
      </c>
      <c r="U4840" s="182" t="n">
        <v>0</v>
      </c>
      <c r="V4840" s="182" t="n">
        <v>0</v>
      </c>
      <c r="W4840" s="182" t="n">
        <v>0</v>
      </c>
      <c r="X4840" s="182" t="n">
        <v>1.18</v>
      </c>
      <c r="Y4840" s="182" t="n">
        <v>0</v>
      </c>
      <c r="Z4840" s="182" t="n">
        <v>0</v>
      </c>
      <c r="AA4840" s="182" t="n">
        <v>0</v>
      </c>
      <c r="AB4840" s="182" t="n">
        <v>0</v>
      </c>
      <c r="AC4840" s="182" t="n">
        <v>0</v>
      </c>
      <c r="AD4840" s="182" t="n">
        <v>0</v>
      </c>
      <c r="AE4840" s="182" t="n">
        <v>0</v>
      </c>
      <c r="AF4840" s="182" t="n">
        <v>0</v>
      </c>
      <c r="AG4840" s="182" t="n">
        <v>0</v>
      </c>
      <c r="AH4840" s="182" t="n">
        <v>0</v>
      </c>
      <c r="AI4840" s="182" t="n">
        <v>0</v>
      </c>
      <c r="AJ4840" s="182" t="n">
        <v>0</v>
      </c>
      <c r="AK4840" s="182" t="n">
        <v>1.83</v>
      </c>
      <c r="AL4840" s="182" t="n">
        <v>0</v>
      </c>
      <c r="AM4840" s="182" t="n">
        <v>0.09</v>
      </c>
      <c r="AN4840" s="182" t="n">
        <v>0</v>
      </c>
    </row>
    <row r="4841">
      <c r="A4841" s="155" t="n">
        <v>46103</v>
      </c>
      <c r="B4841" s="156" t="inlineStr">
        <is>
          <t>NS</t>
        </is>
      </c>
      <c r="C4841" s="156" t="inlineStr">
        <is>
          <t>WL-024</t>
        </is>
      </c>
      <c r="D4841" s="156" t="inlineStr">
        <is>
          <t>SANY - Loader</t>
        </is>
      </c>
      <c r="E4841" s="156" t="inlineStr">
        <is>
          <t>Loader</t>
        </is>
      </c>
      <c r="F4841" s="156" t="inlineStr">
        <is>
          <t>Support Washing Plant</t>
        </is>
      </c>
      <c r="G4841" s="182" t="n">
        <v>10.16</v>
      </c>
      <c r="H4841" s="182" t="n">
        <v>0.17</v>
      </c>
      <c r="I4841" s="182" t="n">
        <v>0</v>
      </c>
      <c r="J4841" s="182" t="n">
        <v>0.17</v>
      </c>
      <c r="K4841" s="182" t="n">
        <v>1.67</v>
      </c>
      <c r="L4841" s="182" t="n">
        <v>12</v>
      </c>
      <c r="M4841" s="182" t="n">
        <v>0</v>
      </c>
      <c r="N4841" s="182" t="n">
        <v>0</v>
      </c>
      <c r="O4841" s="183" t="n">
        <v>0</v>
      </c>
      <c r="P4841" s="183" t="n">
        <v>0</v>
      </c>
      <c r="Q4841" s="184" t="n">
        <v>0</v>
      </c>
      <c r="R4841" s="184" t="n">
        <v>0</v>
      </c>
      <c r="S4841" s="183" t="n">
        <v>0</v>
      </c>
      <c r="T4841" s="183" t="n">
        <v>0</v>
      </c>
      <c r="U4841" s="182" t="n">
        <v>0</v>
      </c>
      <c r="V4841" s="182" t="n">
        <v>0</v>
      </c>
      <c r="W4841" s="182" t="n">
        <v>0</v>
      </c>
      <c r="X4841" s="182" t="n">
        <v>1.17</v>
      </c>
      <c r="Y4841" s="182" t="n">
        <v>0</v>
      </c>
      <c r="Z4841" s="182" t="n">
        <v>0</v>
      </c>
      <c r="AA4841" s="182" t="n">
        <v>0</v>
      </c>
      <c r="AB4841" s="182" t="n">
        <v>0</v>
      </c>
      <c r="AC4841" s="182" t="n">
        <v>0</v>
      </c>
      <c r="AD4841" s="182" t="n">
        <v>0</v>
      </c>
      <c r="AE4841" s="182" t="n">
        <v>0</v>
      </c>
      <c r="AF4841" s="182" t="n">
        <v>0</v>
      </c>
      <c r="AG4841" s="182" t="n">
        <v>0</v>
      </c>
      <c r="AH4841" s="182" t="n">
        <v>0</v>
      </c>
      <c r="AI4841" s="182" t="n">
        <v>0</v>
      </c>
      <c r="AJ4841" s="182" t="n">
        <v>0</v>
      </c>
      <c r="AK4841" s="182" t="n">
        <v>0.41</v>
      </c>
      <c r="AL4841" s="182" t="n">
        <v>0</v>
      </c>
      <c r="AM4841" s="182" t="n">
        <v>0.09</v>
      </c>
      <c r="AN4841" s="182" t="n">
        <v>0</v>
      </c>
    </row>
    <row r="4842">
      <c r="A4842" s="155" t="n">
        <v>46104</v>
      </c>
      <c r="B4842" s="156" t="inlineStr">
        <is>
          <t>DS</t>
        </is>
      </c>
      <c r="C4842" s="156" t="inlineStr">
        <is>
          <t>DZ-034</t>
        </is>
      </c>
      <c r="D4842" s="156" t="inlineStr">
        <is>
          <t>D 68ESS-12EO</t>
        </is>
      </c>
      <c r="E4842" s="156" t="inlineStr">
        <is>
          <t>Bulldozer</t>
        </is>
      </c>
      <c r="F4842" s="156" t="inlineStr">
        <is>
          <t>Trimming Coal di Stock ROM</t>
        </is>
      </c>
      <c r="G4842" s="182" t="n">
        <v>9.470000000000001</v>
      </c>
      <c r="H4842" s="182" t="n">
        <v>0</v>
      </c>
      <c r="I4842" s="182" t="n">
        <v>0.58</v>
      </c>
      <c r="J4842" s="182" t="n">
        <v>0.58</v>
      </c>
      <c r="K4842" s="182" t="n">
        <v>1.95</v>
      </c>
      <c r="L4842" s="182" t="n">
        <v>12</v>
      </c>
      <c r="M4842" s="182" t="n">
        <v>0</v>
      </c>
      <c r="N4842" s="182" t="n">
        <v>0</v>
      </c>
      <c r="O4842" s="183" t="n">
        <v>0</v>
      </c>
      <c r="P4842" s="183" t="n">
        <v>0</v>
      </c>
      <c r="Q4842" s="184" t="n">
        <v>0</v>
      </c>
      <c r="R4842" s="184" t="n">
        <v>0</v>
      </c>
      <c r="S4842" s="183" t="n">
        <v>0</v>
      </c>
      <c r="T4842" s="183" t="n">
        <v>0</v>
      </c>
      <c r="U4842" s="182" t="n">
        <v>0.58</v>
      </c>
      <c r="V4842" s="182" t="n">
        <v>0</v>
      </c>
      <c r="W4842" s="182" t="n">
        <v>0</v>
      </c>
      <c r="X4842" s="182" t="n">
        <v>1.02</v>
      </c>
      <c r="Y4842" s="182" t="n">
        <v>0</v>
      </c>
      <c r="Z4842" s="182" t="n">
        <v>0</v>
      </c>
      <c r="AA4842" s="182" t="n">
        <v>0</v>
      </c>
      <c r="AB4842" s="182" t="n">
        <v>0</v>
      </c>
      <c r="AC4842" s="182" t="n">
        <v>0</v>
      </c>
      <c r="AD4842" s="182" t="n">
        <v>0</v>
      </c>
      <c r="AE4842" s="182" t="n">
        <v>0</v>
      </c>
      <c r="AF4842" s="182" t="n">
        <v>0</v>
      </c>
      <c r="AG4842" s="182" t="n">
        <v>0</v>
      </c>
      <c r="AH4842" s="182" t="n">
        <v>0.26</v>
      </c>
      <c r="AI4842" s="182" t="n">
        <v>0</v>
      </c>
      <c r="AJ4842" s="182" t="n">
        <v>0</v>
      </c>
      <c r="AK4842" s="182" t="n">
        <v>0</v>
      </c>
      <c r="AL4842" s="182" t="n">
        <v>0</v>
      </c>
      <c r="AM4842" s="182" t="n">
        <v>0.08</v>
      </c>
      <c r="AN4842" s="182" t="n">
        <v>0</v>
      </c>
    </row>
    <row r="4843">
      <c r="A4843" s="155" t="n">
        <v>46104</v>
      </c>
      <c r="B4843" s="156" t="inlineStr">
        <is>
          <t>DS</t>
        </is>
      </c>
      <c r="C4843" s="156" t="inlineStr">
        <is>
          <t>DZ-033</t>
        </is>
      </c>
      <c r="D4843" s="156" t="inlineStr">
        <is>
          <t>D 375A-6R</t>
        </is>
      </c>
      <c r="E4843" s="156" t="inlineStr">
        <is>
          <t>Bulldozer</t>
        </is>
      </c>
      <c r="F4843" s="156" t="inlineStr">
        <is>
          <t>Support Disposal</t>
        </is>
      </c>
      <c r="G4843" s="182" t="n">
        <v>10.88</v>
      </c>
      <c r="H4843" s="182" t="n">
        <v>0</v>
      </c>
      <c r="I4843" s="182" t="n">
        <v>0.27</v>
      </c>
      <c r="J4843" s="182" t="n">
        <v>0.27</v>
      </c>
      <c r="K4843" s="182" t="n">
        <v>0.85</v>
      </c>
      <c r="L4843" s="182" t="n">
        <v>12</v>
      </c>
      <c r="M4843" s="182" t="n">
        <v>0</v>
      </c>
      <c r="N4843" s="182" t="n">
        <v>0</v>
      </c>
      <c r="O4843" s="183" t="n">
        <v>0</v>
      </c>
      <c r="P4843" s="183" t="n">
        <v>0</v>
      </c>
      <c r="Q4843" s="184" t="n">
        <v>0</v>
      </c>
      <c r="R4843" s="184" t="n">
        <v>0</v>
      </c>
      <c r="S4843" s="183" t="n">
        <v>0</v>
      </c>
      <c r="T4843" s="183" t="n">
        <v>0</v>
      </c>
      <c r="U4843" s="182" t="n">
        <v>0</v>
      </c>
      <c r="V4843" s="182" t="n">
        <v>0</v>
      </c>
      <c r="W4843" s="182" t="n">
        <v>0</v>
      </c>
      <c r="X4843" s="182" t="n">
        <v>0.76</v>
      </c>
      <c r="Y4843" s="182" t="n">
        <v>0</v>
      </c>
      <c r="Z4843" s="182" t="n">
        <v>0</v>
      </c>
      <c r="AA4843" s="182" t="n">
        <v>0</v>
      </c>
      <c r="AB4843" s="182" t="n">
        <v>0</v>
      </c>
      <c r="AC4843" s="182" t="n">
        <v>0</v>
      </c>
      <c r="AD4843" s="182" t="n">
        <v>0</v>
      </c>
      <c r="AE4843" s="182" t="n">
        <v>0</v>
      </c>
      <c r="AF4843" s="182" t="n">
        <v>0</v>
      </c>
      <c r="AG4843" s="182" t="n">
        <v>0</v>
      </c>
      <c r="AH4843" s="182" t="n">
        <v>0</v>
      </c>
      <c r="AI4843" s="182" t="n">
        <v>0</v>
      </c>
      <c r="AJ4843" s="182" t="n">
        <v>0</v>
      </c>
      <c r="AK4843" s="182" t="n">
        <v>0</v>
      </c>
      <c r="AL4843" s="182" t="n">
        <v>0</v>
      </c>
      <c r="AM4843" s="182" t="n">
        <v>0.09</v>
      </c>
      <c r="AN4843" s="182" t="n">
        <v>0</v>
      </c>
    </row>
    <row r="4844">
      <c r="A4844" s="155" t="n">
        <v>46104</v>
      </c>
      <c r="B4844" s="156" t="inlineStr">
        <is>
          <t>DS</t>
        </is>
      </c>
      <c r="C4844" s="156" t="inlineStr">
        <is>
          <t>DZ-038</t>
        </is>
      </c>
      <c r="D4844" s="156" t="inlineStr">
        <is>
          <t>D 85 ESS-2</t>
        </is>
      </c>
      <c r="E4844" s="156" t="inlineStr">
        <is>
          <t>Bulldozer</t>
        </is>
      </c>
      <c r="F4844" s="156" t="inlineStr"/>
      <c r="G4844" s="182" t="n">
        <v>0</v>
      </c>
      <c r="H4844" s="182" t="n">
        <v>0</v>
      </c>
      <c r="I4844" s="182" t="n">
        <v>7.5</v>
      </c>
      <c r="J4844" s="182" t="n">
        <v>7.5</v>
      </c>
      <c r="K4844" s="182" t="n">
        <v>4.5</v>
      </c>
      <c r="L4844" s="182" t="n">
        <v>12</v>
      </c>
      <c r="M4844" s="182" t="n">
        <v>0</v>
      </c>
      <c r="N4844" s="182" t="n">
        <v>0</v>
      </c>
      <c r="O4844" s="183" t="n">
        <v>0</v>
      </c>
      <c r="P4844" s="183" t="n">
        <v>0</v>
      </c>
      <c r="Q4844" s="184" t="n">
        <v>0</v>
      </c>
      <c r="R4844" s="184" t="n">
        <v>0</v>
      </c>
      <c r="S4844" s="183" t="n">
        <v>0</v>
      </c>
      <c r="T4844" s="183" t="n">
        <v>0</v>
      </c>
      <c r="U4844" s="182" t="n">
        <v>0</v>
      </c>
      <c r="V4844" s="182" t="n">
        <v>0</v>
      </c>
      <c r="W4844" s="182" t="n">
        <v>0</v>
      </c>
      <c r="X4844" s="182" t="n">
        <v>1</v>
      </c>
      <c r="Y4844" s="182" t="n">
        <v>0</v>
      </c>
      <c r="Z4844" s="182" t="n">
        <v>0</v>
      </c>
      <c r="AA4844" s="182" t="n">
        <v>0</v>
      </c>
      <c r="AB4844" s="182" t="n">
        <v>0</v>
      </c>
      <c r="AC4844" s="182" t="n">
        <v>0</v>
      </c>
      <c r="AD4844" s="182" t="n">
        <v>0</v>
      </c>
      <c r="AE4844" s="182" t="n">
        <v>0</v>
      </c>
      <c r="AF4844" s="182" t="n">
        <v>0</v>
      </c>
      <c r="AG4844" s="182" t="n">
        <v>0</v>
      </c>
      <c r="AH4844" s="182" t="n">
        <v>0</v>
      </c>
      <c r="AI4844" s="182" t="n">
        <v>0</v>
      </c>
      <c r="AJ4844" s="182" t="n">
        <v>0</v>
      </c>
      <c r="AK4844" s="182" t="n">
        <v>3.42</v>
      </c>
      <c r="AL4844" s="182" t="n">
        <v>0</v>
      </c>
      <c r="AM4844" s="182" t="n">
        <v>0.08</v>
      </c>
      <c r="AN4844" s="182" t="n">
        <v>0</v>
      </c>
    </row>
    <row r="4845">
      <c r="A4845" s="155" t="n">
        <v>46104</v>
      </c>
      <c r="B4845" s="156" t="inlineStr">
        <is>
          <t>DS</t>
        </is>
      </c>
      <c r="C4845" s="156" t="inlineStr">
        <is>
          <t>DZ-039</t>
        </is>
      </c>
      <c r="D4845" s="156" t="inlineStr">
        <is>
          <t>D 85 ESS-2</t>
        </is>
      </c>
      <c r="E4845" s="156" t="inlineStr">
        <is>
          <t>Bulldozer</t>
        </is>
      </c>
      <c r="F4845" s="156" t="inlineStr">
        <is>
          <t>Support Front Loading</t>
        </is>
      </c>
      <c r="G4845" s="182" t="n">
        <v>2.86</v>
      </c>
      <c r="H4845" s="182" t="n">
        <v>0</v>
      </c>
      <c r="I4845" s="182" t="n">
        <v>0.3</v>
      </c>
      <c r="J4845" s="182" t="n">
        <v>0.3</v>
      </c>
      <c r="K4845" s="182" t="n">
        <v>8.84</v>
      </c>
      <c r="L4845" s="182" t="n">
        <v>12</v>
      </c>
      <c r="M4845" s="182" t="n">
        <v>0</v>
      </c>
      <c r="N4845" s="182" t="n">
        <v>0</v>
      </c>
      <c r="O4845" s="183" t="n">
        <v>0</v>
      </c>
      <c r="P4845" s="183" t="n">
        <v>0</v>
      </c>
      <c r="Q4845" s="184" t="n">
        <v>0</v>
      </c>
      <c r="R4845" s="184" t="n">
        <v>0</v>
      </c>
      <c r="S4845" s="183" t="n">
        <v>0</v>
      </c>
      <c r="T4845" s="183" t="n">
        <v>0</v>
      </c>
      <c r="U4845" s="182" t="n">
        <v>0</v>
      </c>
      <c r="V4845" s="182" t="n">
        <v>0</v>
      </c>
      <c r="W4845" s="182" t="n">
        <v>0</v>
      </c>
      <c r="X4845" s="182" t="n">
        <v>1</v>
      </c>
      <c r="Y4845" s="182" t="n">
        <v>0</v>
      </c>
      <c r="Z4845" s="182" t="n">
        <v>0</v>
      </c>
      <c r="AA4845" s="182" t="n">
        <v>0</v>
      </c>
      <c r="AB4845" s="182" t="n">
        <v>0</v>
      </c>
      <c r="AC4845" s="182" t="n">
        <v>0</v>
      </c>
      <c r="AD4845" s="182" t="n">
        <v>0</v>
      </c>
      <c r="AE4845" s="182" t="n">
        <v>0</v>
      </c>
      <c r="AF4845" s="182" t="n">
        <v>0</v>
      </c>
      <c r="AG4845" s="182" t="n">
        <v>0</v>
      </c>
      <c r="AH4845" s="182" t="n">
        <v>0</v>
      </c>
      <c r="AI4845" s="182" t="n">
        <v>0</v>
      </c>
      <c r="AJ4845" s="182" t="n">
        <v>0</v>
      </c>
      <c r="AK4845" s="182" t="n">
        <v>7.76</v>
      </c>
      <c r="AL4845" s="182" t="n">
        <v>0</v>
      </c>
      <c r="AM4845" s="182" t="n">
        <v>0.08</v>
      </c>
      <c r="AN4845" s="182" t="n">
        <v>0</v>
      </c>
    </row>
    <row r="4846">
      <c r="A4846" s="155" t="n">
        <v>46104</v>
      </c>
      <c r="B4846" s="156" t="inlineStr">
        <is>
          <t>DS</t>
        </is>
      </c>
      <c r="C4846" s="156" t="inlineStr">
        <is>
          <t>DZ-032</t>
        </is>
      </c>
      <c r="D4846" s="156" t="inlineStr">
        <is>
          <t>CAT</t>
        </is>
      </c>
      <c r="E4846" s="156" t="inlineStr">
        <is>
          <t>Bulldozer</t>
        </is>
      </c>
      <c r="F4846" s="156" t="inlineStr">
        <is>
          <t>Support Disposal</t>
        </is>
      </c>
      <c r="G4846" s="182" t="n">
        <v>10.56</v>
      </c>
      <c r="H4846" s="182" t="n">
        <v>0</v>
      </c>
      <c r="I4846" s="182" t="n">
        <v>0</v>
      </c>
      <c r="J4846" s="182" t="n">
        <v>0</v>
      </c>
      <c r="K4846" s="182" t="n">
        <v>1.44</v>
      </c>
      <c r="L4846" s="182" t="n">
        <v>12</v>
      </c>
      <c r="M4846" s="182" t="n">
        <v>0</v>
      </c>
      <c r="N4846" s="182" t="n">
        <v>0</v>
      </c>
      <c r="O4846" s="183" t="n">
        <v>0</v>
      </c>
      <c r="P4846" s="183" t="n">
        <v>0</v>
      </c>
      <c r="Q4846" s="184" t="n">
        <v>0</v>
      </c>
      <c r="R4846" s="184" t="n">
        <v>0</v>
      </c>
      <c r="S4846" s="183" t="n">
        <v>0</v>
      </c>
      <c r="T4846" s="183" t="n">
        <v>0</v>
      </c>
      <c r="U4846" s="182" t="n">
        <v>0.43</v>
      </c>
      <c r="V4846" s="182" t="n">
        <v>0</v>
      </c>
      <c r="W4846" s="182" t="n">
        <v>0</v>
      </c>
      <c r="X4846" s="182" t="n">
        <v>0.76</v>
      </c>
      <c r="Y4846" s="182" t="n">
        <v>0</v>
      </c>
      <c r="Z4846" s="182" t="n">
        <v>0</v>
      </c>
      <c r="AA4846" s="182" t="n">
        <v>0</v>
      </c>
      <c r="AB4846" s="182" t="n">
        <v>0</v>
      </c>
      <c r="AC4846" s="182" t="n">
        <v>0</v>
      </c>
      <c r="AD4846" s="182" t="n">
        <v>0</v>
      </c>
      <c r="AE4846" s="182" t="n">
        <v>0</v>
      </c>
      <c r="AF4846" s="182" t="n">
        <v>0</v>
      </c>
      <c r="AG4846" s="182" t="n">
        <v>0</v>
      </c>
      <c r="AH4846" s="182" t="n">
        <v>0.19</v>
      </c>
      <c r="AI4846" s="182" t="n">
        <v>0</v>
      </c>
      <c r="AJ4846" s="182" t="n">
        <v>0</v>
      </c>
      <c r="AK4846" s="182" t="n">
        <v>0</v>
      </c>
      <c r="AL4846" s="182" t="n">
        <v>0</v>
      </c>
      <c r="AM4846" s="182" t="n">
        <v>0.06</v>
      </c>
      <c r="AN4846" s="182" t="n">
        <v>0</v>
      </c>
    </row>
    <row r="4847">
      <c r="A4847" s="155" t="n">
        <v>46104</v>
      </c>
      <c r="B4847" s="156" t="inlineStr">
        <is>
          <t>DS</t>
        </is>
      </c>
      <c r="C4847" s="156" t="inlineStr">
        <is>
          <t>DZ-031</t>
        </is>
      </c>
      <c r="D4847" s="156" t="inlineStr">
        <is>
          <t>CAT</t>
        </is>
      </c>
      <c r="E4847" s="156" t="inlineStr">
        <is>
          <t>Bulldozer</t>
        </is>
      </c>
      <c r="F4847" s="156" t="inlineStr">
        <is>
          <t>Support Front Loading</t>
        </is>
      </c>
      <c r="G4847" s="182" t="n">
        <v>10.84</v>
      </c>
      <c r="H4847" s="182" t="n">
        <v>0</v>
      </c>
      <c r="I4847" s="182" t="n">
        <v>0.4</v>
      </c>
      <c r="J4847" s="182" t="n">
        <v>0.4</v>
      </c>
      <c r="K4847" s="182" t="n">
        <v>0.76</v>
      </c>
      <c r="L4847" s="182" t="n">
        <v>12</v>
      </c>
      <c r="M4847" s="182" t="n">
        <v>0</v>
      </c>
      <c r="N4847" s="182" t="n">
        <v>0</v>
      </c>
      <c r="O4847" s="183" t="n">
        <v>0</v>
      </c>
      <c r="P4847" s="183" t="n">
        <v>0</v>
      </c>
      <c r="Q4847" s="184" t="n">
        <v>0</v>
      </c>
      <c r="R4847" s="184" t="n">
        <v>0</v>
      </c>
      <c r="S4847" s="183" t="n">
        <v>0</v>
      </c>
      <c r="T4847" s="183" t="n">
        <v>0</v>
      </c>
      <c r="U4847" s="182" t="n">
        <v>0</v>
      </c>
      <c r="V4847" s="182" t="n">
        <v>0</v>
      </c>
      <c r="W4847" s="182" t="n">
        <v>0</v>
      </c>
      <c r="X4847" s="182" t="n">
        <v>0.6899999999999999</v>
      </c>
      <c r="Y4847" s="182" t="n">
        <v>0</v>
      </c>
      <c r="Z4847" s="182" t="n">
        <v>0</v>
      </c>
      <c r="AA4847" s="182" t="n">
        <v>0</v>
      </c>
      <c r="AB4847" s="182" t="n">
        <v>0</v>
      </c>
      <c r="AC4847" s="182" t="n">
        <v>0</v>
      </c>
      <c r="AD4847" s="182" t="n">
        <v>0</v>
      </c>
      <c r="AE4847" s="182" t="n">
        <v>0</v>
      </c>
      <c r="AF4847" s="182" t="n">
        <v>0</v>
      </c>
      <c r="AG4847" s="182" t="n">
        <v>0</v>
      </c>
      <c r="AH4847" s="182" t="n">
        <v>0.01</v>
      </c>
      <c r="AI4847" s="182" t="n">
        <v>0</v>
      </c>
      <c r="AJ4847" s="182" t="n">
        <v>0</v>
      </c>
      <c r="AK4847" s="182" t="n">
        <v>0</v>
      </c>
      <c r="AL4847" s="182" t="n">
        <v>0</v>
      </c>
      <c r="AM4847" s="182" t="n">
        <v>0.06</v>
      </c>
      <c r="AN4847" s="182" t="n">
        <v>0</v>
      </c>
    </row>
    <row r="4848">
      <c r="A4848" s="155" t="n">
        <v>46104</v>
      </c>
      <c r="B4848" s="156" t="inlineStr">
        <is>
          <t>DS</t>
        </is>
      </c>
      <c r="C4848" s="156" t="inlineStr">
        <is>
          <t>DZ-037</t>
        </is>
      </c>
      <c r="D4848" s="156" t="inlineStr">
        <is>
          <t>D 85 ESS-2</t>
        </is>
      </c>
      <c r="E4848" s="156" t="inlineStr">
        <is>
          <t>Bulldozer</t>
        </is>
      </c>
      <c r="F4848" s="156" t="inlineStr"/>
      <c r="G4848" s="182" t="n">
        <v>0</v>
      </c>
      <c r="H4848" s="182" t="n">
        <v>0</v>
      </c>
      <c r="I4848" s="182" t="n">
        <v>12</v>
      </c>
      <c r="J4848" s="182" t="n">
        <v>12</v>
      </c>
      <c r="K4848" s="182" t="n">
        <v>0</v>
      </c>
      <c r="L4848" s="182" t="n">
        <v>12</v>
      </c>
      <c r="M4848" s="182" t="n">
        <v>0</v>
      </c>
      <c r="N4848" s="182" t="n">
        <v>0</v>
      </c>
      <c r="O4848" s="183" t="n">
        <v>0</v>
      </c>
      <c r="P4848" s="183" t="n">
        <v>0</v>
      </c>
      <c r="Q4848" s="184" t="n">
        <v>0</v>
      </c>
      <c r="R4848" s="184" t="n">
        <v>0</v>
      </c>
      <c r="S4848" s="183" t="n">
        <v>0</v>
      </c>
      <c r="T4848" s="183" t="n">
        <v>0</v>
      </c>
      <c r="U4848" s="182" t="n">
        <v>0</v>
      </c>
      <c r="V4848" s="182" t="n">
        <v>0</v>
      </c>
      <c r="W4848" s="182" t="n">
        <v>0</v>
      </c>
      <c r="X4848" s="182" t="n">
        <v>0</v>
      </c>
      <c r="Y4848" s="182" t="n">
        <v>0</v>
      </c>
      <c r="Z4848" s="182" t="n">
        <v>0</v>
      </c>
      <c r="AA4848" s="182" t="n">
        <v>0</v>
      </c>
      <c r="AB4848" s="182" t="n">
        <v>0</v>
      </c>
      <c r="AC4848" s="182" t="n">
        <v>0</v>
      </c>
      <c r="AD4848" s="182" t="n">
        <v>0</v>
      </c>
      <c r="AE4848" s="182" t="n">
        <v>0</v>
      </c>
      <c r="AF4848" s="182" t="n">
        <v>0</v>
      </c>
      <c r="AG4848" s="182" t="n">
        <v>0</v>
      </c>
      <c r="AH4848" s="182" t="n">
        <v>0</v>
      </c>
      <c r="AI4848" s="182" t="n">
        <v>0</v>
      </c>
      <c r="AJ4848" s="182" t="n">
        <v>0</v>
      </c>
      <c r="AK4848" s="182" t="n">
        <v>0</v>
      </c>
      <c r="AL4848" s="182" t="n">
        <v>0</v>
      </c>
      <c r="AM4848" s="182" t="n">
        <v>0</v>
      </c>
      <c r="AN4848" s="182" t="n">
        <v>0</v>
      </c>
    </row>
    <row r="4849">
      <c r="A4849" s="155" t="n">
        <v>46104</v>
      </c>
      <c r="B4849" s="156" t="inlineStr">
        <is>
          <t>DS</t>
        </is>
      </c>
      <c r="C4849" s="156" t="inlineStr">
        <is>
          <t>DZ-036</t>
        </is>
      </c>
      <c r="D4849" s="156" t="inlineStr">
        <is>
          <t>D 85 ESS-2</t>
        </is>
      </c>
      <c r="E4849" s="156" t="inlineStr">
        <is>
          <t>Bulldozer</t>
        </is>
      </c>
      <c r="F4849" s="156" t="inlineStr"/>
      <c r="G4849" s="182" t="n">
        <v>0</v>
      </c>
      <c r="H4849" s="182" t="n">
        <v>0</v>
      </c>
      <c r="I4849" s="182" t="n">
        <v>0</v>
      </c>
      <c r="J4849" s="182" t="n">
        <v>0</v>
      </c>
      <c r="K4849" s="182" t="n">
        <v>12</v>
      </c>
      <c r="L4849" s="182" t="n">
        <v>12</v>
      </c>
      <c r="M4849" s="182" t="n">
        <v>0</v>
      </c>
      <c r="N4849" s="182" t="n">
        <v>0</v>
      </c>
      <c r="O4849" s="183" t="n">
        <v>0</v>
      </c>
      <c r="P4849" s="183" t="n">
        <v>0</v>
      </c>
      <c r="Q4849" s="184" t="n">
        <v>0</v>
      </c>
      <c r="R4849" s="184" t="n">
        <v>0</v>
      </c>
      <c r="S4849" s="183" t="n">
        <v>0</v>
      </c>
      <c r="T4849" s="183" t="n">
        <v>0</v>
      </c>
      <c r="U4849" s="182" t="n">
        <v>0</v>
      </c>
      <c r="V4849" s="182" t="n">
        <v>0</v>
      </c>
      <c r="W4849" s="182" t="n">
        <v>0</v>
      </c>
      <c r="X4849" s="182" t="n">
        <v>1</v>
      </c>
      <c r="Y4849" s="182" t="n">
        <v>0</v>
      </c>
      <c r="Z4849" s="182" t="n">
        <v>0</v>
      </c>
      <c r="AA4849" s="182" t="n">
        <v>0</v>
      </c>
      <c r="AB4849" s="182" t="n">
        <v>0</v>
      </c>
      <c r="AC4849" s="182" t="n">
        <v>0</v>
      </c>
      <c r="AD4849" s="182" t="n">
        <v>0</v>
      </c>
      <c r="AE4849" s="182" t="n">
        <v>0</v>
      </c>
      <c r="AF4849" s="182" t="n">
        <v>0</v>
      </c>
      <c r="AG4849" s="182" t="n">
        <v>0</v>
      </c>
      <c r="AH4849" s="182" t="n">
        <v>0</v>
      </c>
      <c r="AI4849" s="182" t="n">
        <v>0</v>
      </c>
      <c r="AJ4849" s="182" t="n">
        <v>0</v>
      </c>
      <c r="AK4849" s="182" t="n">
        <v>10.92</v>
      </c>
      <c r="AL4849" s="182" t="n">
        <v>0</v>
      </c>
      <c r="AM4849" s="182" t="n">
        <v>0.08</v>
      </c>
      <c r="AN4849" s="182" t="n">
        <v>0</v>
      </c>
    </row>
    <row r="4850">
      <c r="A4850" s="155" t="n">
        <v>46104</v>
      </c>
      <c r="B4850" s="156" t="inlineStr">
        <is>
          <t>DS</t>
        </is>
      </c>
      <c r="C4850" s="156" t="inlineStr">
        <is>
          <t>DZ-035</t>
        </is>
      </c>
      <c r="D4850" s="156" t="inlineStr">
        <is>
          <t>D 85 ESS-2</t>
        </is>
      </c>
      <c r="E4850" s="156" t="inlineStr">
        <is>
          <t>Bulldozer</t>
        </is>
      </c>
      <c r="F4850" s="156" t="inlineStr">
        <is>
          <t>Support Disposal</t>
        </is>
      </c>
      <c r="G4850" s="182" t="n">
        <v>10.2</v>
      </c>
      <c r="H4850" s="182" t="n">
        <v>0</v>
      </c>
      <c r="I4850" s="182" t="n">
        <v>1.8</v>
      </c>
      <c r="J4850" s="182" t="n">
        <v>1.8</v>
      </c>
      <c r="K4850" s="182" t="n">
        <v>0</v>
      </c>
      <c r="L4850" s="182" t="n">
        <v>12</v>
      </c>
      <c r="M4850" s="182" t="n">
        <v>0</v>
      </c>
      <c r="N4850" s="182" t="n">
        <v>0</v>
      </c>
      <c r="O4850" s="183" t="n">
        <v>0</v>
      </c>
      <c r="P4850" s="183" t="n">
        <v>0</v>
      </c>
      <c r="Q4850" s="184" t="n">
        <v>0</v>
      </c>
      <c r="R4850" s="184" t="n">
        <v>0</v>
      </c>
      <c r="S4850" s="183" t="n">
        <v>0</v>
      </c>
      <c r="T4850" s="183" t="n">
        <v>0</v>
      </c>
      <c r="U4850" s="182" t="n">
        <v>0</v>
      </c>
      <c r="V4850" s="182" t="n">
        <v>0</v>
      </c>
      <c r="W4850" s="182" t="n">
        <v>0</v>
      </c>
      <c r="X4850" s="182" t="n">
        <v>0</v>
      </c>
      <c r="Y4850" s="182" t="n">
        <v>0</v>
      </c>
      <c r="Z4850" s="182" t="n">
        <v>0</v>
      </c>
      <c r="AA4850" s="182" t="n">
        <v>0</v>
      </c>
      <c r="AB4850" s="182" t="n">
        <v>0</v>
      </c>
      <c r="AC4850" s="182" t="n">
        <v>0</v>
      </c>
      <c r="AD4850" s="182" t="n">
        <v>0</v>
      </c>
      <c r="AE4850" s="182" t="n">
        <v>0</v>
      </c>
      <c r="AF4850" s="182" t="n">
        <v>0</v>
      </c>
      <c r="AG4850" s="182" t="n">
        <v>0</v>
      </c>
      <c r="AH4850" s="182" t="n">
        <v>0</v>
      </c>
      <c r="AI4850" s="182" t="n">
        <v>0</v>
      </c>
      <c r="AJ4850" s="182" t="n">
        <v>0</v>
      </c>
      <c r="AK4850" s="182" t="n">
        <v>0</v>
      </c>
      <c r="AL4850" s="182" t="n">
        <v>0</v>
      </c>
      <c r="AM4850" s="182" t="n">
        <v>0</v>
      </c>
      <c r="AN4850" s="182" t="n">
        <v>0</v>
      </c>
    </row>
    <row r="4851">
      <c r="A4851" s="155" t="n">
        <v>46104</v>
      </c>
      <c r="B4851" s="156" t="inlineStr">
        <is>
          <t>DS</t>
        </is>
      </c>
      <c r="C4851" s="156" t="inlineStr">
        <is>
          <t>CP-042</t>
        </is>
      </c>
      <c r="D4851" s="156" t="inlineStr">
        <is>
          <t>SANY - Compactor</t>
        </is>
      </c>
      <c r="E4851" s="156" t="inlineStr">
        <is>
          <t>Compactor</t>
        </is>
      </c>
      <c r="F4851" s="156" t="inlineStr"/>
      <c r="G4851" s="182" t="n">
        <v>0</v>
      </c>
      <c r="H4851" s="182" t="n">
        <v>0</v>
      </c>
      <c r="I4851" s="182" t="n">
        <v>0</v>
      </c>
      <c r="J4851" s="182" t="n">
        <v>0</v>
      </c>
      <c r="K4851" s="182" t="n">
        <v>12</v>
      </c>
      <c r="L4851" s="182" t="n">
        <v>12</v>
      </c>
      <c r="M4851" s="182" t="n">
        <v>0</v>
      </c>
      <c r="N4851" s="182" t="n">
        <v>0</v>
      </c>
      <c r="O4851" s="183" t="n">
        <v>0</v>
      </c>
      <c r="P4851" s="183" t="n">
        <v>0</v>
      </c>
      <c r="Q4851" s="184" t="n">
        <v>0</v>
      </c>
      <c r="R4851" s="184" t="n">
        <v>0</v>
      </c>
      <c r="S4851" s="183" t="n">
        <v>0</v>
      </c>
      <c r="T4851" s="183" t="n">
        <v>0</v>
      </c>
      <c r="U4851" s="182" t="n">
        <v>0</v>
      </c>
      <c r="V4851" s="182" t="n">
        <v>0</v>
      </c>
      <c r="W4851" s="182" t="n">
        <v>0</v>
      </c>
      <c r="X4851" s="182" t="n">
        <v>1</v>
      </c>
      <c r="Y4851" s="182" t="n">
        <v>0</v>
      </c>
      <c r="Z4851" s="182" t="n">
        <v>0</v>
      </c>
      <c r="AA4851" s="182" t="n">
        <v>0</v>
      </c>
      <c r="AB4851" s="182" t="n">
        <v>0</v>
      </c>
      <c r="AC4851" s="182" t="n">
        <v>0</v>
      </c>
      <c r="AD4851" s="182" t="n">
        <v>0</v>
      </c>
      <c r="AE4851" s="182" t="n">
        <v>0</v>
      </c>
      <c r="AF4851" s="182" t="n">
        <v>0</v>
      </c>
      <c r="AG4851" s="182" t="n">
        <v>0</v>
      </c>
      <c r="AH4851" s="182" t="n">
        <v>0</v>
      </c>
      <c r="AI4851" s="182" t="n">
        <v>0</v>
      </c>
      <c r="AJ4851" s="182" t="n">
        <v>0</v>
      </c>
      <c r="AK4851" s="182" t="n">
        <v>10.92</v>
      </c>
      <c r="AL4851" s="182" t="n">
        <v>0</v>
      </c>
      <c r="AM4851" s="182" t="n">
        <v>0.08</v>
      </c>
      <c r="AN4851" s="182" t="n">
        <v>0</v>
      </c>
    </row>
    <row r="4852">
      <c r="A4852" s="155" t="n">
        <v>46104</v>
      </c>
      <c r="B4852" s="156" t="inlineStr">
        <is>
          <t>DS</t>
        </is>
      </c>
      <c r="C4852" s="156" t="inlineStr">
        <is>
          <t>CP-041</t>
        </is>
      </c>
      <c r="D4852" s="156" t="inlineStr">
        <is>
          <t>SANY - Compactor</t>
        </is>
      </c>
      <c r="E4852" s="156" t="inlineStr">
        <is>
          <t>Compactor</t>
        </is>
      </c>
      <c r="F4852" s="156" t="inlineStr">
        <is>
          <t>Support Washing Plant</t>
        </is>
      </c>
      <c r="G4852" s="182" t="n">
        <v>8.380000000000001</v>
      </c>
      <c r="H4852" s="182" t="n">
        <v>0</v>
      </c>
      <c r="I4852" s="182" t="n">
        <v>0</v>
      </c>
      <c r="J4852" s="182" t="n">
        <v>0</v>
      </c>
      <c r="K4852" s="182" t="n">
        <v>3.62</v>
      </c>
      <c r="L4852" s="182" t="n">
        <v>12</v>
      </c>
      <c r="M4852" s="182" t="n">
        <v>0</v>
      </c>
      <c r="N4852" s="182" t="n">
        <v>0</v>
      </c>
      <c r="O4852" s="183" t="n">
        <v>0</v>
      </c>
      <c r="P4852" s="183" t="n">
        <v>0</v>
      </c>
      <c r="Q4852" s="184" t="n">
        <v>0</v>
      </c>
      <c r="R4852" s="184" t="n">
        <v>0</v>
      </c>
      <c r="S4852" s="183" t="n">
        <v>0</v>
      </c>
      <c r="T4852" s="183" t="n">
        <v>0</v>
      </c>
      <c r="U4852" s="182" t="n">
        <v>0</v>
      </c>
      <c r="V4852" s="182" t="n">
        <v>0</v>
      </c>
      <c r="W4852" s="182" t="n">
        <v>0</v>
      </c>
      <c r="X4852" s="182" t="n">
        <v>1.06</v>
      </c>
      <c r="Y4852" s="182" t="n">
        <v>0</v>
      </c>
      <c r="Z4852" s="182" t="n">
        <v>0</v>
      </c>
      <c r="AA4852" s="182" t="n">
        <v>0</v>
      </c>
      <c r="AB4852" s="182" t="n">
        <v>0</v>
      </c>
      <c r="AC4852" s="182" t="n">
        <v>0</v>
      </c>
      <c r="AD4852" s="182" t="n">
        <v>0</v>
      </c>
      <c r="AE4852" s="182" t="n">
        <v>0</v>
      </c>
      <c r="AF4852" s="182" t="n">
        <v>0</v>
      </c>
      <c r="AG4852" s="182" t="n">
        <v>0</v>
      </c>
      <c r="AH4852" s="182" t="n">
        <v>0</v>
      </c>
      <c r="AI4852" s="182" t="n">
        <v>0</v>
      </c>
      <c r="AJ4852" s="182" t="n">
        <v>0</v>
      </c>
      <c r="AK4852" s="182" t="n">
        <v>2.47</v>
      </c>
      <c r="AL4852" s="182" t="n">
        <v>0</v>
      </c>
      <c r="AM4852" s="182" t="n">
        <v>0.09</v>
      </c>
      <c r="AN4852" s="182" t="n">
        <v>0</v>
      </c>
    </row>
    <row r="4853">
      <c r="A4853" s="155" t="n">
        <v>46104</v>
      </c>
      <c r="B4853" s="156" t="inlineStr">
        <is>
          <t>DS</t>
        </is>
      </c>
      <c r="C4853" s="156" t="inlineStr">
        <is>
          <t>HT-418</t>
        </is>
      </c>
      <c r="D4853" s="156" t="inlineStr">
        <is>
          <t>SY430</t>
        </is>
      </c>
      <c r="E4853" s="156" t="inlineStr">
        <is>
          <t>DT Hauling</t>
        </is>
      </c>
      <c r="F4853" s="156" t="inlineStr"/>
      <c r="G4853" s="182" t="n">
        <v>0</v>
      </c>
      <c r="H4853" s="182" t="n">
        <v>0</v>
      </c>
      <c r="I4853" s="182" t="n">
        <v>0</v>
      </c>
      <c r="J4853" s="182" t="n">
        <v>0</v>
      </c>
      <c r="K4853" s="182" t="n">
        <v>12</v>
      </c>
      <c r="L4853" s="182" t="n">
        <v>12</v>
      </c>
      <c r="M4853" s="182" t="n">
        <v>0</v>
      </c>
      <c r="N4853" s="182" t="n">
        <v>0</v>
      </c>
      <c r="O4853" s="183" t="n">
        <v>0</v>
      </c>
      <c r="P4853" s="183" t="n">
        <v>0</v>
      </c>
      <c r="Q4853" s="184" t="n">
        <v>0</v>
      </c>
      <c r="R4853" s="184" t="n">
        <v>0</v>
      </c>
      <c r="S4853" s="183" t="n">
        <v>0</v>
      </c>
      <c r="T4853" s="183" t="n">
        <v>0</v>
      </c>
      <c r="U4853" s="182" t="n">
        <v>0</v>
      </c>
      <c r="V4853" s="182" t="n">
        <v>0</v>
      </c>
      <c r="W4853" s="182" t="n">
        <v>0</v>
      </c>
      <c r="X4853" s="182" t="n">
        <v>1</v>
      </c>
      <c r="Y4853" s="182" t="n">
        <v>0</v>
      </c>
      <c r="Z4853" s="182" t="n">
        <v>0</v>
      </c>
      <c r="AA4853" s="182" t="n">
        <v>0</v>
      </c>
      <c r="AB4853" s="182" t="n">
        <v>0</v>
      </c>
      <c r="AC4853" s="182" t="n">
        <v>0</v>
      </c>
      <c r="AD4853" s="182" t="n">
        <v>0</v>
      </c>
      <c r="AE4853" s="182" t="n">
        <v>0</v>
      </c>
      <c r="AF4853" s="182" t="n">
        <v>0</v>
      </c>
      <c r="AG4853" s="182" t="n">
        <v>0</v>
      </c>
      <c r="AH4853" s="182" t="n">
        <v>0</v>
      </c>
      <c r="AI4853" s="182" t="n">
        <v>0</v>
      </c>
      <c r="AJ4853" s="182" t="n">
        <v>0</v>
      </c>
      <c r="AK4853" s="182" t="n">
        <v>10.92</v>
      </c>
      <c r="AL4853" s="182" t="n">
        <v>0</v>
      </c>
      <c r="AM4853" s="182" t="n">
        <v>0.08</v>
      </c>
      <c r="AN4853" s="182" t="n">
        <v>0</v>
      </c>
    </row>
    <row r="4854">
      <c r="A4854" s="155" t="n">
        <v>46104</v>
      </c>
      <c r="B4854" s="156" t="inlineStr">
        <is>
          <t>DS</t>
        </is>
      </c>
      <c r="C4854" s="156" t="inlineStr">
        <is>
          <t>HT-404</t>
        </is>
      </c>
      <c r="D4854" s="156" t="inlineStr">
        <is>
          <t>SY430</t>
        </is>
      </c>
      <c r="E4854" s="156" t="inlineStr">
        <is>
          <t>DT Hauling</t>
        </is>
      </c>
      <c r="F4854" s="156" t="inlineStr"/>
      <c r="G4854" s="182" t="n">
        <v>0</v>
      </c>
      <c r="H4854" s="182" t="n">
        <v>0</v>
      </c>
      <c r="I4854" s="182" t="n">
        <v>0</v>
      </c>
      <c r="J4854" s="182" t="n">
        <v>0</v>
      </c>
      <c r="K4854" s="182" t="n">
        <v>12</v>
      </c>
      <c r="L4854" s="182" t="n">
        <v>12</v>
      </c>
      <c r="M4854" s="182" t="n">
        <v>0</v>
      </c>
      <c r="N4854" s="182" t="n">
        <v>0</v>
      </c>
      <c r="O4854" s="183" t="n">
        <v>0</v>
      </c>
      <c r="P4854" s="183" t="n">
        <v>0</v>
      </c>
      <c r="Q4854" s="184" t="n">
        <v>0</v>
      </c>
      <c r="R4854" s="184" t="n">
        <v>0</v>
      </c>
      <c r="S4854" s="183" t="n">
        <v>0</v>
      </c>
      <c r="T4854" s="183" t="n">
        <v>0</v>
      </c>
      <c r="U4854" s="182" t="n">
        <v>0</v>
      </c>
      <c r="V4854" s="182" t="n">
        <v>0</v>
      </c>
      <c r="W4854" s="182" t="n">
        <v>0</v>
      </c>
      <c r="X4854" s="182" t="n">
        <v>1</v>
      </c>
      <c r="Y4854" s="182" t="n">
        <v>0</v>
      </c>
      <c r="Z4854" s="182" t="n">
        <v>0</v>
      </c>
      <c r="AA4854" s="182" t="n">
        <v>0</v>
      </c>
      <c r="AB4854" s="182" t="n">
        <v>0</v>
      </c>
      <c r="AC4854" s="182" t="n">
        <v>0</v>
      </c>
      <c r="AD4854" s="182" t="n">
        <v>0</v>
      </c>
      <c r="AE4854" s="182" t="n">
        <v>0</v>
      </c>
      <c r="AF4854" s="182" t="n">
        <v>0</v>
      </c>
      <c r="AG4854" s="182" t="n">
        <v>0</v>
      </c>
      <c r="AH4854" s="182" t="n">
        <v>0</v>
      </c>
      <c r="AI4854" s="182" t="n">
        <v>0</v>
      </c>
      <c r="AJ4854" s="182" t="n">
        <v>0</v>
      </c>
      <c r="AK4854" s="182" t="n">
        <v>10.92</v>
      </c>
      <c r="AL4854" s="182" t="n">
        <v>0</v>
      </c>
      <c r="AM4854" s="182" t="n">
        <v>0.08</v>
      </c>
      <c r="AN4854" s="182" t="n">
        <v>0</v>
      </c>
    </row>
    <row r="4855">
      <c r="A4855" s="155" t="n">
        <v>46104</v>
      </c>
      <c r="B4855" s="156" t="inlineStr">
        <is>
          <t>DS</t>
        </is>
      </c>
      <c r="C4855" s="156" t="inlineStr">
        <is>
          <t>HT-415</t>
        </is>
      </c>
      <c r="D4855" s="156" t="inlineStr">
        <is>
          <t>SY430</t>
        </is>
      </c>
      <c r="E4855" s="156" t="inlineStr">
        <is>
          <t>DT Hauling</t>
        </is>
      </c>
      <c r="F4855" s="156" t="inlineStr"/>
      <c r="G4855" s="182" t="n">
        <v>0</v>
      </c>
      <c r="H4855" s="182" t="n">
        <v>0</v>
      </c>
      <c r="I4855" s="182" t="n">
        <v>12</v>
      </c>
      <c r="J4855" s="182" t="n">
        <v>12</v>
      </c>
      <c r="K4855" s="182" t="n">
        <v>0</v>
      </c>
      <c r="L4855" s="182" t="n">
        <v>12</v>
      </c>
      <c r="M4855" s="182" t="n">
        <v>0</v>
      </c>
      <c r="N4855" s="182" t="n">
        <v>0</v>
      </c>
      <c r="O4855" s="183" t="n">
        <v>0</v>
      </c>
      <c r="P4855" s="183" t="n">
        <v>0</v>
      </c>
      <c r="Q4855" s="184" t="n">
        <v>0</v>
      </c>
      <c r="R4855" s="184" t="n">
        <v>0</v>
      </c>
      <c r="S4855" s="183" t="n">
        <v>0</v>
      </c>
      <c r="T4855" s="183" t="n">
        <v>0</v>
      </c>
      <c r="U4855" s="182" t="n">
        <v>0</v>
      </c>
      <c r="V4855" s="182" t="n">
        <v>0</v>
      </c>
      <c r="W4855" s="182" t="n">
        <v>0</v>
      </c>
      <c r="X4855" s="182" t="n">
        <v>0</v>
      </c>
      <c r="Y4855" s="182" t="n">
        <v>0</v>
      </c>
      <c r="Z4855" s="182" t="n">
        <v>0</v>
      </c>
      <c r="AA4855" s="182" t="n">
        <v>0</v>
      </c>
      <c r="AB4855" s="182" t="n">
        <v>0</v>
      </c>
      <c r="AC4855" s="182" t="n">
        <v>0</v>
      </c>
      <c r="AD4855" s="182" t="n">
        <v>0</v>
      </c>
      <c r="AE4855" s="182" t="n">
        <v>0</v>
      </c>
      <c r="AF4855" s="182" t="n">
        <v>0</v>
      </c>
      <c r="AG4855" s="182" t="n">
        <v>0</v>
      </c>
      <c r="AH4855" s="182" t="n">
        <v>0</v>
      </c>
      <c r="AI4855" s="182" t="n">
        <v>0</v>
      </c>
      <c r="AJ4855" s="182" t="n">
        <v>0</v>
      </c>
      <c r="AK4855" s="182" t="n">
        <v>0</v>
      </c>
      <c r="AL4855" s="182" t="n">
        <v>0</v>
      </c>
      <c r="AM4855" s="182" t="n">
        <v>0</v>
      </c>
      <c r="AN4855" s="182" t="n">
        <v>0</v>
      </c>
    </row>
    <row r="4856">
      <c r="A4856" s="155" t="n">
        <v>46104</v>
      </c>
      <c r="B4856" s="156" t="inlineStr">
        <is>
          <t>DS</t>
        </is>
      </c>
      <c r="C4856" s="156" t="inlineStr">
        <is>
          <t>HT-406</t>
        </is>
      </c>
      <c r="D4856" s="156" t="inlineStr">
        <is>
          <t>SY430</t>
        </is>
      </c>
      <c r="E4856" s="156" t="inlineStr">
        <is>
          <t>DT Hauling</t>
        </is>
      </c>
      <c r="F4856" s="156" t="inlineStr"/>
      <c r="G4856" s="182" t="n">
        <v>0</v>
      </c>
      <c r="H4856" s="182" t="n">
        <v>0</v>
      </c>
      <c r="I4856" s="182" t="n">
        <v>0</v>
      </c>
      <c r="J4856" s="182" t="n">
        <v>0</v>
      </c>
      <c r="K4856" s="182" t="n">
        <v>12</v>
      </c>
      <c r="L4856" s="182" t="n">
        <v>12</v>
      </c>
      <c r="M4856" s="182" t="n">
        <v>0</v>
      </c>
      <c r="N4856" s="182" t="n">
        <v>0</v>
      </c>
      <c r="O4856" s="183" t="n">
        <v>0</v>
      </c>
      <c r="P4856" s="183" t="n">
        <v>0</v>
      </c>
      <c r="Q4856" s="184" t="n">
        <v>0</v>
      </c>
      <c r="R4856" s="184" t="n">
        <v>0</v>
      </c>
      <c r="S4856" s="183" t="n">
        <v>0</v>
      </c>
      <c r="T4856" s="183" t="n">
        <v>0</v>
      </c>
      <c r="U4856" s="182" t="n">
        <v>0</v>
      </c>
      <c r="V4856" s="182" t="n">
        <v>0</v>
      </c>
      <c r="W4856" s="182" t="n">
        <v>0</v>
      </c>
      <c r="X4856" s="182" t="n">
        <v>1</v>
      </c>
      <c r="Y4856" s="182" t="n">
        <v>0</v>
      </c>
      <c r="Z4856" s="182" t="n">
        <v>0</v>
      </c>
      <c r="AA4856" s="182" t="n">
        <v>0</v>
      </c>
      <c r="AB4856" s="182" t="n">
        <v>0</v>
      </c>
      <c r="AC4856" s="182" t="n">
        <v>0</v>
      </c>
      <c r="AD4856" s="182" t="n">
        <v>0</v>
      </c>
      <c r="AE4856" s="182" t="n">
        <v>0</v>
      </c>
      <c r="AF4856" s="182" t="n">
        <v>0</v>
      </c>
      <c r="AG4856" s="182" t="n">
        <v>0</v>
      </c>
      <c r="AH4856" s="182" t="n">
        <v>0</v>
      </c>
      <c r="AI4856" s="182" t="n">
        <v>0</v>
      </c>
      <c r="AJ4856" s="182" t="n">
        <v>0</v>
      </c>
      <c r="AK4856" s="182" t="n">
        <v>10.92</v>
      </c>
      <c r="AL4856" s="182" t="n">
        <v>0</v>
      </c>
      <c r="AM4856" s="182" t="n">
        <v>0.08</v>
      </c>
      <c r="AN4856" s="182" t="n">
        <v>0</v>
      </c>
    </row>
    <row r="4857">
      <c r="A4857" s="155" t="n">
        <v>46104</v>
      </c>
      <c r="B4857" s="156" t="inlineStr">
        <is>
          <t>DS</t>
        </is>
      </c>
      <c r="C4857" s="156" t="inlineStr">
        <is>
          <t>HT-405</t>
        </is>
      </c>
      <c r="D4857" s="156" t="inlineStr">
        <is>
          <t>SY430</t>
        </is>
      </c>
      <c r="E4857" s="156" t="inlineStr">
        <is>
          <t>DT Hauling</t>
        </is>
      </c>
      <c r="F4857" s="156" t="inlineStr"/>
      <c r="G4857" s="182" t="n">
        <v>0</v>
      </c>
      <c r="H4857" s="182" t="n">
        <v>0</v>
      </c>
      <c r="I4857" s="182" t="n">
        <v>12</v>
      </c>
      <c r="J4857" s="182" t="n">
        <v>12</v>
      </c>
      <c r="K4857" s="182" t="n">
        <v>0</v>
      </c>
      <c r="L4857" s="182" t="n">
        <v>12</v>
      </c>
      <c r="M4857" s="182" t="n">
        <v>0</v>
      </c>
      <c r="N4857" s="182" t="n">
        <v>0</v>
      </c>
      <c r="O4857" s="183" t="n">
        <v>0</v>
      </c>
      <c r="P4857" s="183" t="n">
        <v>0</v>
      </c>
      <c r="Q4857" s="184" t="n">
        <v>0</v>
      </c>
      <c r="R4857" s="184" t="n">
        <v>0</v>
      </c>
      <c r="S4857" s="183" t="n">
        <v>0</v>
      </c>
      <c r="T4857" s="183" t="n">
        <v>0</v>
      </c>
      <c r="U4857" s="182" t="n">
        <v>0</v>
      </c>
      <c r="V4857" s="182" t="n">
        <v>0</v>
      </c>
      <c r="W4857" s="182" t="n">
        <v>0</v>
      </c>
      <c r="X4857" s="182" t="n">
        <v>0</v>
      </c>
      <c r="Y4857" s="182" t="n">
        <v>0</v>
      </c>
      <c r="Z4857" s="182" t="n">
        <v>0</v>
      </c>
      <c r="AA4857" s="182" t="n">
        <v>0</v>
      </c>
      <c r="AB4857" s="182" t="n">
        <v>0</v>
      </c>
      <c r="AC4857" s="182" t="n">
        <v>0</v>
      </c>
      <c r="AD4857" s="182" t="n">
        <v>0</v>
      </c>
      <c r="AE4857" s="182" t="n">
        <v>0</v>
      </c>
      <c r="AF4857" s="182" t="n">
        <v>0</v>
      </c>
      <c r="AG4857" s="182" t="n">
        <v>0</v>
      </c>
      <c r="AH4857" s="182" t="n">
        <v>0</v>
      </c>
      <c r="AI4857" s="182" t="n">
        <v>0</v>
      </c>
      <c r="AJ4857" s="182" t="n">
        <v>0</v>
      </c>
      <c r="AK4857" s="182" t="n">
        <v>0</v>
      </c>
      <c r="AL4857" s="182" t="n">
        <v>0</v>
      </c>
      <c r="AM4857" s="182" t="n">
        <v>0</v>
      </c>
      <c r="AN4857" s="182" t="n">
        <v>0</v>
      </c>
    </row>
    <row r="4858">
      <c r="A4858" s="155" t="n">
        <v>46104</v>
      </c>
      <c r="B4858" s="156" t="inlineStr">
        <is>
          <t>DS</t>
        </is>
      </c>
      <c r="C4858" s="156" t="inlineStr">
        <is>
          <t>HT-417</t>
        </is>
      </c>
      <c r="D4858" s="156" t="inlineStr">
        <is>
          <t>SY430</t>
        </is>
      </c>
      <c r="E4858" s="156" t="inlineStr">
        <is>
          <t>DT Hauling</t>
        </is>
      </c>
      <c r="F4858" s="156" t="inlineStr"/>
      <c r="G4858" s="182" t="n">
        <v>0</v>
      </c>
      <c r="H4858" s="182" t="n">
        <v>0</v>
      </c>
      <c r="I4858" s="182" t="n">
        <v>0</v>
      </c>
      <c r="J4858" s="182" t="n">
        <v>0</v>
      </c>
      <c r="K4858" s="182" t="n">
        <v>12</v>
      </c>
      <c r="L4858" s="182" t="n">
        <v>12</v>
      </c>
      <c r="M4858" s="182" t="n">
        <v>0</v>
      </c>
      <c r="N4858" s="182" t="n">
        <v>0</v>
      </c>
      <c r="O4858" s="183" t="n">
        <v>0</v>
      </c>
      <c r="P4858" s="183" t="n">
        <v>0</v>
      </c>
      <c r="Q4858" s="184" t="n">
        <v>0</v>
      </c>
      <c r="R4858" s="184" t="n">
        <v>0</v>
      </c>
      <c r="S4858" s="183" t="n">
        <v>0</v>
      </c>
      <c r="T4858" s="183" t="n">
        <v>0</v>
      </c>
      <c r="U4858" s="182" t="n">
        <v>0</v>
      </c>
      <c r="V4858" s="182" t="n">
        <v>0</v>
      </c>
      <c r="W4858" s="182" t="n">
        <v>0</v>
      </c>
      <c r="X4858" s="182" t="n">
        <v>1</v>
      </c>
      <c r="Y4858" s="182" t="n">
        <v>0</v>
      </c>
      <c r="Z4858" s="182" t="n">
        <v>0</v>
      </c>
      <c r="AA4858" s="182" t="n">
        <v>0</v>
      </c>
      <c r="AB4858" s="182" t="n">
        <v>0</v>
      </c>
      <c r="AC4858" s="182" t="n">
        <v>0</v>
      </c>
      <c r="AD4858" s="182" t="n">
        <v>0</v>
      </c>
      <c r="AE4858" s="182" t="n">
        <v>0</v>
      </c>
      <c r="AF4858" s="182" t="n">
        <v>0</v>
      </c>
      <c r="AG4858" s="182" t="n">
        <v>0</v>
      </c>
      <c r="AH4858" s="182" t="n">
        <v>0</v>
      </c>
      <c r="AI4858" s="182" t="n">
        <v>0</v>
      </c>
      <c r="AJ4858" s="182" t="n">
        <v>0</v>
      </c>
      <c r="AK4858" s="182" t="n">
        <v>10.92</v>
      </c>
      <c r="AL4858" s="182" t="n">
        <v>0</v>
      </c>
      <c r="AM4858" s="182" t="n">
        <v>0.08</v>
      </c>
      <c r="AN4858" s="182" t="n">
        <v>0</v>
      </c>
    </row>
    <row r="4859">
      <c r="A4859" s="155" t="n">
        <v>46104</v>
      </c>
      <c r="B4859" s="156" t="inlineStr">
        <is>
          <t>DS</t>
        </is>
      </c>
      <c r="C4859" s="156" t="inlineStr">
        <is>
          <t>HT-401</t>
        </is>
      </c>
      <c r="D4859" s="156" t="inlineStr">
        <is>
          <t>SY430</t>
        </is>
      </c>
      <c r="E4859" s="156" t="inlineStr">
        <is>
          <t>DT Hauling</t>
        </is>
      </c>
      <c r="F4859" s="156" t="inlineStr"/>
      <c r="G4859" s="182" t="n">
        <v>0</v>
      </c>
      <c r="H4859" s="182" t="n">
        <v>0</v>
      </c>
      <c r="I4859" s="182" t="n">
        <v>0</v>
      </c>
      <c r="J4859" s="182" t="n">
        <v>0</v>
      </c>
      <c r="K4859" s="182" t="n">
        <v>12</v>
      </c>
      <c r="L4859" s="182" t="n">
        <v>12</v>
      </c>
      <c r="M4859" s="182" t="n">
        <v>0</v>
      </c>
      <c r="N4859" s="182" t="n">
        <v>0</v>
      </c>
      <c r="O4859" s="183" t="n">
        <v>0</v>
      </c>
      <c r="P4859" s="183" t="n">
        <v>0</v>
      </c>
      <c r="Q4859" s="184" t="n">
        <v>0</v>
      </c>
      <c r="R4859" s="184" t="n">
        <v>0</v>
      </c>
      <c r="S4859" s="183" t="n">
        <v>0</v>
      </c>
      <c r="T4859" s="183" t="n">
        <v>0</v>
      </c>
      <c r="U4859" s="182" t="n">
        <v>0</v>
      </c>
      <c r="V4859" s="182" t="n">
        <v>0</v>
      </c>
      <c r="W4859" s="182" t="n">
        <v>0</v>
      </c>
      <c r="X4859" s="182" t="n">
        <v>1</v>
      </c>
      <c r="Y4859" s="182" t="n">
        <v>0</v>
      </c>
      <c r="Z4859" s="182" t="n">
        <v>0</v>
      </c>
      <c r="AA4859" s="182" t="n">
        <v>0</v>
      </c>
      <c r="AB4859" s="182" t="n">
        <v>0</v>
      </c>
      <c r="AC4859" s="182" t="n">
        <v>0</v>
      </c>
      <c r="AD4859" s="182" t="n">
        <v>0</v>
      </c>
      <c r="AE4859" s="182" t="n">
        <v>0</v>
      </c>
      <c r="AF4859" s="182" t="n">
        <v>0</v>
      </c>
      <c r="AG4859" s="182" t="n">
        <v>0</v>
      </c>
      <c r="AH4859" s="182" t="n">
        <v>0</v>
      </c>
      <c r="AI4859" s="182" t="n">
        <v>0</v>
      </c>
      <c r="AJ4859" s="182" t="n">
        <v>0</v>
      </c>
      <c r="AK4859" s="182" t="n">
        <v>10.92</v>
      </c>
      <c r="AL4859" s="182" t="n">
        <v>0</v>
      </c>
      <c r="AM4859" s="182" t="n">
        <v>0.08</v>
      </c>
      <c r="AN4859" s="182" t="n">
        <v>0</v>
      </c>
    </row>
    <row r="4860">
      <c r="A4860" s="155" t="n">
        <v>46104</v>
      </c>
      <c r="B4860" s="156" t="inlineStr">
        <is>
          <t>DS</t>
        </is>
      </c>
      <c r="C4860" s="156" t="inlineStr">
        <is>
          <t>HT-410</t>
        </is>
      </c>
      <c r="D4860" s="156" t="inlineStr">
        <is>
          <t>SY430</t>
        </is>
      </c>
      <c r="E4860" s="156" t="inlineStr">
        <is>
          <t>DT Hauling</t>
        </is>
      </c>
      <c r="F4860" s="156" t="inlineStr"/>
      <c r="G4860" s="182" t="n">
        <v>0</v>
      </c>
      <c r="H4860" s="182" t="n">
        <v>0</v>
      </c>
      <c r="I4860" s="182" t="n">
        <v>0</v>
      </c>
      <c r="J4860" s="182" t="n">
        <v>0</v>
      </c>
      <c r="K4860" s="182" t="n">
        <v>12</v>
      </c>
      <c r="L4860" s="182" t="n">
        <v>12</v>
      </c>
      <c r="M4860" s="182" t="n">
        <v>0</v>
      </c>
      <c r="N4860" s="182" t="n">
        <v>0</v>
      </c>
      <c r="O4860" s="183" t="n">
        <v>0</v>
      </c>
      <c r="P4860" s="183" t="n">
        <v>0</v>
      </c>
      <c r="Q4860" s="184" t="n">
        <v>0</v>
      </c>
      <c r="R4860" s="184" t="n">
        <v>0</v>
      </c>
      <c r="S4860" s="183" t="n">
        <v>0</v>
      </c>
      <c r="T4860" s="183" t="n">
        <v>0</v>
      </c>
      <c r="U4860" s="182" t="n">
        <v>0</v>
      </c>
      <c r="V4860" s="182" t="n">
        <v>0</v>
      </c>
      <c r="W4860" s="182" t="n">
        <v>0</v>
      </c>
      <c r="X4860" s="182" t="n">
        <v>1</v>
      </c>
      <c r="Y4860" s="182" t="n">
        <v>0</v>
      </c>
      <c r="Z4860" s="182" t="n">
        <v>0</v>
      </c>
      <c r="AA4860" s="182" t="n">
        <v>0</v>
      </c>
      <c r="AB4860" s="182" t="n">
        <v>0</v>
      </c>
      <c r="AC4860" s="182" t="n">
        <v>0</v>
      </c>
      <c r="AD4860" s="182" t="n">
        <v>0</v>
      </c>
      <c r="AE4860" s="182" t="n">
        <v>0</v>
      </c>
      <c r="AF4860" s="182" t="n">
        <v>0</v>
      </c>
      <c r="AG4860" s="182" t="n">
        <v>0</v>
      </c>
      <c r="AH4860" s="182" t="n">
        <v>0</v>
      </c>
      <c r="AI4860" s="182" t="n">
        <v>0</v>
      </c>
      <c r="AJ4860" s="182" t="n">
        <v>0</v>
      </c>
      <c r="AK4860" s="182" t="n">
        <v>10.92</v>
      </c>
      <c r="AL4860" s="182" t="n">
        <v>0</v>
      </c>
      <c r="AM4860" s="182" t="n">
        <v>0.08</v>
      </c>
      <c r="AN4860" s="182" t="n">
        <v>0</v>
      </c>
    </row>
    <row r="4861">
      <c r="A4861" s="155" t="n">
        <v>46104</v>
      </c>
      <c r="B4861" s="156" t="inlineStr">
        <is>
          <t>DS</t>
        </is>
      </c>
      <c r="C4861" s="156" t="inlineStr">
        <is>
          <t>HT-402</t>
        </is>
      </c>
      <c r="D4861" s="156" t="inlineStr">
        <is>
          <t>SY430</t>
        </is>
      </c>
      <c r="E4861" s="156" t="inlineStr">
        <is>
          <t>DT Hauling</t>
        </is>
      </c>
      <c r="F4861" s="156" t="inlineStr"/>
      <c r="G4861" s="182" t="n">
        <v>0</v>
      </c>
      <c r="H4861" s="182" t="n">
        <v>0</v>
      </c>
      <c r="I4861" s="182" t="n">
        <v>12</v>
      </c>
      <c r="J4861" s="182" t="n">
        <v>12</v>
      </c>
      <c r="K4861" s="182" t="n">
        <v>0</v>
      </c>
      <c r="L4861" s="182" t="n">
        <v>12</v>
      </c>
      <c r="M4861" s="182" t="n">
        <v>0</v>
      </c>
      <c r="N4861" s="182" t="n">
        <v>0</v>
      </c>
      <c r="O4861" s="183" t="n">
        <v>0</v>
      </c>
      <c r="P4861" s="183" t="n">
        <v>0</v>
      </c>
      <c r="Q4861" s="184" t="n">
        <v>0</v>
      </c>
      <c r="R4861" s="184" t="n">
        <v>0</v>
      </c>
      <c r="S4861" s="183" t="n">
        <v>0</v>
      </c>
      <c r="T4861" s="183" t="n">
        <v>0</v>
      </c>
      <c r="U4861" s="182" t="n">
        <v>0</v>
      </c>
      <c r="V4861" s="182" t="n">
        <v>0</v>
      </c>
      <c r="W4861" s="182" t="n">
        <v>0</v>
      </c>
      <c r="X4861" s="182" t="n">
        <v>0</v>
      </c>
      <c r="Y4861" s="182" t="n">
        <v>0</v>
      </c>
      <c r="Z4861" s="182" t="n">
        <v>0</v>
      </c>
      <c r="AA4861" s="182" t="n">
        <v>0</v>
      </c>
      <c r="AB4861" s="182" t="n">
        <v>0</v>
      </c>
      <c r="AC4861" s="182" t="n">
        <v>0</v>
      </c>
      <c r="AD4861" s="182" t="n">
        <v>0</v>
      </c>
      <c r="AE4861" s="182" t="n">
        <v>0</v>
      </c>
      <c r="AF4861" s="182" t="n">
        <v>0</v>
      </c>
      <c r="AG4861" s="182" t="n">
        <v>0</v>
      </c>
      <c r="AH4861" s="182" t="n">
        <v>0</v>
      </c>
      <c r="AI4861" s="182" t="n">
        <v>0</v>
      </c>
      <c r="AJ4861" s="182" t="n">
        <v>0</v>
      </c>
      <c r="AK4861" s="182" t="n">
        <v>0</v>
      </c>
      <c r="AL4861" s="182" t="n">
        <v>0</v>
      </c>
      <c r="AM4861" s="182" t="n">
        <v>0</v>
      </c>
      <c r="AN4861" s="182" t="n">
        <v>0</v>
      </c>
    </row>
    <row r="4862">
      <c r="A4862" s="155" t="n">
        <v>46104</v>
      </c>
      <c r="B4862" s="156" t="inlineStr">
        <is>
          <t>DS</t>
        </is>
      </c>
      <c r="C4862" s="156" t="inlineStr">
        <is>
          <t>HT-419</t>
        </is>
      </c>
      <c r="D4862" s="156" t="inlineStr">
        <is>
          <t>SY430</t>
        </is>
      </c>
      <c r="E4862" s="156" t="inlineStr">
        <is>
          <t>DT Hauling</t>
        </is>
      </c>
      <c r="F4862" s="156" t="inlineStr"/>
      <c r="G4862" s="182" t="n">
        <v>0</v>
      </c>
      <c r="H4862" s="182" t="n">
        <v>0</v>
      </c>
      <c r="I4862" s="182" t="n">
        <v>12</v>
      </c>
      <c r="J4862" s="182" t="n">
        <v>12</v>
      </c>
      <c r="K4862" s="182" t="n">
        <v>0</v>
      </c>
      <c r="L4862" s="182" t="n">
        <v>12</v>
      </c>
      <c r="M4862" s="182" t="n">
        <v>0</v>
      </c>
      <c r="N4862" s="182" t="n">
        <v>0</v>
      </c>
      <c r="O4862" s="183" t="n">
        <v>0</v>
      </c>
      <c r="P4862" s="183" t="n">
        <v>0</v>
      </c>
      <c r="Q4862" s="184" t="n">
        <v>0</v>
      </c>
      <c r="R4862" s="184" t="n">
        <v>0</v>
      </c>
      <c r="S4862" s="183" t="n">
        <v>0</v>
      </c>
      <c r="T4862" s="183" t="n">
        <v>0</v>
      </c>
      <c r="U4862" s="182" t="n">
        <v>0</v>
      </c>
      <c r="V4862" s="182" t="n">
        <v>0</v>
      </c>
      <c r="W4862" s="182" t="n">
        <v>0</v>
      </c>
      <c r="X4862" s="182" t="n">
        <v>0</v>
      </c>
      <c r="Y4862" s="182" t="n">
        <v>0</v>
      </c>
      <c r="Z4862" s="182" t="n">
        <v>0</v>
      </c>
      <c r="AA4862" s="182" t="n">
        <v>0</v>
      </c>
      <c r="AB4862" s="182" t="n">
        <v>0</v>
      </c>
      <c r="AC4862" s="182" t="n">
        <v>0</v>
      </c>
      <c r="AD4862" s="182" t="n">
        <v>0</v>
      </c>
      <c r="AE4862" s="182" t="n">
        <v>0</v>
      </c>
      <c r="AF4862" s="182" t="n">
        <v>0</v>
      </c>
      <c r="AG4862" s="182" t="n">
        <v>0</v>
      </c>
      <c r="AH4862" s="182" t="n">
        <v>0</v>
      </c>
      <c r="AI4862" s="182" t="n">
        <v>0</v>
      </c>
      <c r="AJ4862" s="182" t="n">
        <v>0</v>
      </c>
      <c r="AK4862" s="182" t="n">
        <v>0</v>
      </c>
      <c r="AL4862" s="182" t="n">
        <v>0</v>
      </c>
      <c r="AM4862" s="182" t="n">
        <v>0</v>
      </c>
      <c r="AN4862" s="182" t="n">
        <v>0</v>
      </c>
    </row>
    <row r="4863">
      <c r="A4863" s="155" t="n">
        <v>46104</v>
      </c>
      <c r="B4863" s="156" t="inlineStr">
        <is>
          <t>DS</t>
        </is>
      </c>
      <c r="C4863" s="156" t="inlineStr">
        <is>
          <t>HT-416</t>
        </is>
      </c>
      <c r="D4863" s="156" t="inlineStr">
        <is>
          <t>SY430</t>
        </is>
      </c>
      <c r="E4863" s="156" t="inlineStr">
        <is>
          <t>DT Hauling</t>
        </is>
      </c>
      <c r="F4863" s="156" t="inlineStr"/>
      <c r="G4863" s="182" t="n">
        <v>0</v>
      </c>
      <c r="H4863" s="182" t="n">
        <v>0</v>
      </c>
      <c r="I4863" s="182" t="n">
        <v>7.85</v>
      </c>
      <c r="J4863" s="182" t="n">
        <v>7.85</v>
      </c>
      <c r="K4863" s="182" t="n">
        <v>4.15</v>
      </c>
      <c r="L4863" s="182" t="n">
        <v>12</v>
      </c>
      <c r="M4863" s="182" t="n">
        <v>0</v>
      </c>
      <c r="N4863" s="182" t="n">
        <v>0</v>
      </c>
      <c r="O4863" s="183" t="n">
        <v>0</v>
      </c>
      <c r="P4863" s="183" t="n">
        <v>0</v>
      </c>
      <c r="Q4863" s="184" t="n">
        <v>0</v>
      </c>
      <c r="R4863" s="184" t="n">
        <v>0</v>
      </c>
      <c r="S4863" s="183" t="n">
        <v>0</v>
      </c>
      <c r="T4863" s="183" t="n">
        <v>0</v>
      </c>
      <c r="U4863" s="182" t="n">
        <v>0</v>
      </c>
      <c r="V4863" s="182" t="n">
        <v>0</v>
      </c>
      <c r="W4863" s="182" t="n">
        <v>0</v>
      </c>
      <c r="X4863" s="182" t="n">
        <v>1</v>
      </c>
      <c r="Y4863" s="182" t="n">
        <v>0</v>
      </c>
      <c r="Z4863" s="182" t="n">
        <v>0</v>
      </c>
      <c r="AA4863" s="182" t="n">
        <v>0</v>
      </c>
      <c r="AB4863" s="182" t="n">
        <v>0</v>
      </c>
      <c r="AC4863" s="182" t="n">
        <v>0</v>
      </c>
      <c r="AD4863" s="182" t="n">
        <v>0</v>
      </c>
      <c r="AE4863" s="182" t="n">
        <v>0</v>
      </c>
      <c r="AF4863" s="182" t="n">
        <v>0</v>
      </c>
      <c r="AG4863" s="182" t="n">
        <v>0</v>
      </c>
      <c r="AH4863" s="182" t="n">
        <v>0</v>
      </c>
      <c r="AI4863" s="182" t="n">
        <v>0</v>
      </c>
      <c r="AJ4863" s="182" t="n">
        <v>0</v>
      </c>
      <c r="AK4863" s="182" t="n">
        <v>3.07</v>
      </c>
      <c r="AL4863" s="182" t="n">
        <v>0</v>
      </c>
      <c r="AM4863" s="182" t="n">
        <v>0.08</v>
      </c>
      <c r="AN4863" s="182" t="n">
        <v>0</v>
      </c>
    </row>
    <row r="4864">
      <c r="A4864" s="155" t="n">
        <v>46104</v>
      </c>
      <c r="B4864" s="156" t="inlineStr">
        <is>
          <t>DS</t>
        </is>
      </c>
      <c r="C4864" s="156" t="inlineStr">
        <is>
          <t>HT-420</t>
        </is>
      </c>
      <c r="D4864" s="156" t="inlineStr">
        <is>
          <t>SY430</t>
        </is>
      </c>
      <c r="E4864" s="156" t="inlineStr">
        <is>
          <t>DT Hauling</t>
        </is>
      </c>
      <c r="F4864" s="156" t="inlineStr"/>
      <c r="G4864" s="182" t="n">
        <v>0</v>
      </c>
      <c r="H4864" s="182" t="n">
        <v>0</v>
      </c>
      <c r="I4864" s="182" t="n">
        <v>0</v>
      </c>
      <c r="J4864" s="182" t="n">
        <v>0</v>
      </c>
      <c r="K4864" s="182" t="n">
        <v>12</v>
      </c>
      <c r="L4864" s="182" t="n">
        <v>12</v>
      </c>
      <c r="M4864" s="182" t="n">
        <v>0</v>
      </c>
      <c r="N4864" s="182" t="n">
        <v>0</v>
      </c>
      <c r="O4864" s="183" t="n">
        <v>0</v>
      </c>
      <c r="P4864" s="183" t="n">
        <v>0</v>
      </c>
      <c r="Q4864" s="184" t="n">
        <v>0</v>
      </c>
      <c r="R4864" s="184" t="n">
        <v>0</v>
      </c>
      <c r="S4864" s="183" t="n">
        <v>0</v>
      </c>
      <c r="T4864" s="183" t="n">
        <v>0</v>
      </c>
      <c r="U4864" s="182" t="n">
        <v>0</v>
      </c>
      <c r="V4864" s="182" t="n">
        <v>0</v>
      </c>
      <c r="W4864" s="182" t="n">
        <v>0</v>
      </c>
      <c r="X4864" s="182" t="n">
        <v>1</v>
      </c>
      <c r="Y4864" s="182" t="n">
        <v>0</v>
      </c>
      <c r="Z4864" s="182" t="n">
        <v>0</v>
      </c>
      <c r="AA4864" s="182" t="n">
        <v>0</v>
      </c>
      <c r="AB4864" s="182" t="n">
        <v>0</v>
      </c>
      <c r="AC4864" s="182" t="n">
        <v>0</v>
      </c>
      <c r="AD4864" s="182" t="n">
        <v>0</v>
      </c>
      <c r="AE4864" s="182" t="n">
        <v>0</v>
      </c>
      <c r="AF4864" s="182" t="n">
        <v>0</v>
      </c>
      <c r="AG4864" s="182" t="n">
        <v>0</v>
      </c>
      <c r="AH4864" s="182" t="n">
        <v>0</v>
      </c>
      <c r="AI4864" s="182" t="n">
        <v>0</v>
      </c>
      <c r="AJ4864" s="182" t="n">
        <v>0</v>
      </c>
      <c r="AK4864" s="182" t="n">
        <v>10.92</v>
      </c>
      <c r="AL4864" s="182" t="n">
        <v>0</v>
      </c>
      <c r="AM4864" s="182" t="n">
        <v>0.08</v>
      </c>
      <c r="AN4864" s="182" t="n">
        <v>0</v>
      </c>
    </row>
    <row r="4865">
      <c r="A4865" s="155" t="n">
        <v>46104</v>
      </c>
      <c r="B4865" s="156" t="inlineStr">
        <is>
          <t>DS</t>
        </is>
      </c>
      <c r="C4865" s="156" t="inlineStr">
        <is>
          <t>HT-403</t>
        </is>
      </c>
      <c r="D4865" s="156" t="inlineStr">
        <is>
          <t>SY430</t>
        </is>
      </c>
      <c r="E4865" s="156" t="inlineStr">
        <is>
          <t>DT Hauling</t>
        </is>
      </c>
      <c r="F4865" s="156" t="inlineStr">
        <is>
          <t>Travel</t>
        </is>
      </c>
      <c r="G4865" s="182" t="n">
        <v>0.4</v>
      </c>
      <c r="H4865" s="182" t="n">
        <v>3.15</v>
      </c>
      <c r="I4865" s="182" t="n">
        <v>0</v>
      </c>
      <c r="J4865" s="182" t="n">
        <v>3.15</v>
      </c>
      <c r="K4865" s="182" t="n">
        <v>8.449999999999999</v>
      </c>
      <c r="L4865" s="182" t="n">
        <v>12</v>
      </c>
      <c r="M4865" s="182" t="n">
        <v>0</v>
      </c>
      <c r="N4865" s="182" t="n">
        <v>0</v>
      </c>
      <c r="O4865" s="183" t="n">
        <v>0</v>
      </c>
      <c r="P4865" s="183" t="n">
        <v>0</v>
      </c>
      <c r="Q4865" s="184" t="n">
        <v>0</v>
      </c>
      <c r="R4865" s="184" t="n">
        <v>0</v>
      </c>
      <c r="S4865" s="183" t="n">
        <v>0</v>
      </c>
      <c r="T4865" s="183" t="n">
        <v>0</v>
      </c>
      <c r="U4865" s="182" t="n">
        <v>0</v>
      </c>
      <c r="V4865" s="182" t="n">
        <v>0</v>
      </c>
      <c r="W4865" s="182" t="n">
        <v>0</v>
      </c>
      <c r="X4865" s="182" t="n">
        <v>1</v>
      </c>
      <c r="Y4865" s="182" t="n">
        <v>0</v>
      </c>
      <c r="Z4865" s="182" t="n">
        <v>0</v>
      </c>
      <c r="AA4865" s="182" t="n">
        <v>0</v>
      </c>
      <c r="AB4865" s="182" t="n">
        <v>0</v>
      </c>
      <c r="AC4865" s="182" t="n">
        <v>0</v>
      </c>
      <c r="AD4865" s="182" t="n">
        <v>0</v>
      </c>
      <c r="AE4865" s="182" t="n">
        <v>0</v>
      </c>
      <c r="AF4865" s="182" t="n">
        <v>0</v>
      </c>
      <c r="AG4865" s="182" t="n">
        <v>0</v>
      </c>
      <c r="AH4865" s="182" t="n">
        <v>0</v>
      </c>
      <c r="AI4865" s="182" t="n">
        <v>0</v>
      </c>
      <c r="AJ4865" s="182" t="n">
        <v>0</v>
      </c>
      <c r="AK4865" s="182" t="n">
        <v>7.37</v>
      </c>
      <c r="AL4865" s="182" t="n">
        <v>0</v>
      </c>
      <c r="AM4865" s="182" t="n">
        <v>0.08</v>
      </c>
      <c r="AN4865" s="182" t="n">
        <v>0</v>
      </c>
    </row>
    <row r="4866">
      <c r="A4866" s="155" t="n">
        <v>46104</v>
      </c>
      <c r="B4866" s="156" t="inlineStr">
        <is>
          <t>DS</t>
        </is>
      </c>
      <c r="C4866" s="156" t="inlineStr">
        <is>
          <t>HT-408</t>
        </is>
      </c>
      <c r="D4866" s="156" t="inlineStr">
        <is>
          <t>SY430</t>
        </is>
      </c>
      <c r="E4866" s="156" t="inlineStr">
        <is>
          <t>DT Hauling</t>
        </is>
      </c>
      <c r="F4866" s="156" t="inlineStr"/>
      <c r="G4866" s="182" t="n">
        <v>0</v>
      </c>
      <c r="H4866" s="182" t="n">
        <v>0</v>
      </c>
      <c r="I4866" s="182" t="n">
        <v>0</v>
      </c>
      <c r="J4866" s="182" t="n">
        <v>0</v>
      </c>
      <c r="K4866" s="182" t="n">
        <v>12</v>
      </c>
      <c r="L4866" s="182" t="n">
        <v>12</v>
      </c>
      <c r="M4866" s="182" t="n">
        <v>0</v>
      </c>
      <c r="N4866" s="182" t="n">
        <v>0</v>
      </c>
      <c r="O4866" s="183" t="n">
        <v>0</v>
      </c>
      <c r="P4866" s="183" t="n">
        <v>0</v>
      </c>
      <c r="Q4866" s="184" t="n">
        <v>0</v>
      </c>
      <c r="R4866" s="184" t="n">
        <v>0</v>
      </c>
      <c r="S4866" s="183" t="n">
        <v>0</v>
      </c>
      <c r="T4866" s="183" t="n">
        <v>0</v>
      </c>
      <c r="U4866" s="182" t="n">
        <v>0</v>
      </c>
      <c r="V4866" s="182" t="n">
        <v>0</v>
      </c>
      <c r="W4866" s="182" t="n">
        <v>0</v>
      </c>
      <c r="X4866" s="182" t="n">
        <v>1</v>
      </c>
      <c r="Y4866" s="182" t="n">
        <v>0</v>
      </c>
      <c r="Z4866" s="182" t="n">
        <v>0</v>
      </c>
      <c r="AA4866" s="182" t="n">
        <v>0</v>
      </c>
      <c r="AB4866" s="182" t="n">
        <v>0</v>
      </c>
      <c r="AC4866" s="182" t="n">
        <v>0</v>
      </c>
      <c r="AD4866" s="182" t="n">
        <v>0</v>
      </c>
      <c r="AE4866" s="182" t="n">
        <v>0</v>
      </c>
      <c r="AF4866" s="182" t="n">
        <v>0</v>
      </c>
      <c r="AG4866" s="182" t="n">
        <v>0</v>
      </c>
      <c r="AH4866" s="182" t="n">
        <v>0</v>
      </c>
      <c r="AI4866" s="182" t="n">
        <v>0</v>
      </c>
      <c r="AJ4866" s="182" t="n">
        <v>0</v>
      </c>
      <c r="AK4866" s="182" t="n">
        <v>10.92</v>
      </c>
      <c r="AL4866" s="182" t="n">
        <v>0</v>
      </c>
      <c r="AM4866" s="182" t="n">
        <v>0.08</v>
      </c>
      <c r="AN4866" s="182" t="n">
        <v>0</v>
      </c>
    </row>
    <row r="4867">
      <c r="A4867" s="155" t="n">
        <v>46104</v>
      </c>
      <c r="B4867" s="156" t="inlineStr">
        <is>
          <t>DS</t>
        </is>
      </c>
      <c r="C4867" s="156" t="inlineStr">
        <is>
          <t>HT-412</t>
        </is>
      </c>
      <c r="D4867" s="156" t="inlineStr">
        <is>
          <t>SY430</t>
        </is>
      </c>
      <c r="E4867" s="156" t="inlineStr">
        <is>
          <t>DT Hauling</t>
        </is>
      </c>
      <c r="F4867" s="156" t="inlineStr"/>
      <c r="G4867" s="182" t="n">
        <v>0</v>
      </c>
      <c r="H4867" s="182" t="n">
        <v>0</v>
      </c>
      <c r="I4867" s="182" t="n">
        <v>0</v>
      </c>
      <c r="J4867" s="182" t="n">
        <v>0</v>
      </c>
      <c r="K4867" s="182" t="n">
        <v>12</v>
      </c>
      <c r="L4867" s="182" t="n">
        <v>12</v>
      </c>
      <c r="M4867" s="182" t="n">
        <v>0</v>
      </c>
      <c r="N4867" s="182" t="n">
        <v>0</v>
      </c>
      <c r="O4867" s="183" t="n">
        <v>0</v>
      </c>
      <c r="P4867" s="183" t="n">
        <v>0</v>
      </c>
      <c r="Q4867" s="184" t="n">
        <v>0</v>
      </c>
      <c r="R4867" s="184" t="n">
        <v>0</v>
      </c>
      <c r="S4867" s="183" t="n">
        <v>0</v>
      </c>
      <c r="T4867" s="183" t="n">
        <v>0</v>
      </c>
      <c r="U4867" s="182" t="n">
        <v>0</v>
      </c>
      <c r="V4867" s="182" t="n">
        <v>0</v>
      </c>
      <c r="W4867" s="182" t="n">
        <v>0</v>
      </c>
      <c r="X4867" s="182" t="n">
        <v>1</v>
      </c>
      <c r="Y4867" s="182" t="n">
        <v>0</v>
      </c>
      <c r="Z4867" s="182" t="n">
        <v>0</v>
      </c>
      <c r="AA4867" s="182" t="n">
        <v>0</v>
      </c>
      <c r="AB4867" s="182" t="n">
        <v>0</v>
      </c>
      <c r="AC4867" s="182" t="n">
        <v>0</v>
      </c>
      <c r="AD4867" s="182" t="n">
        <v>0</v>
      </c>
      <c r="AE4867" s="182" t="n">
        <v>0</v>
      </c>
      <c r="AF4867" s="182" t="n">
        <v>0</v>
      </c>
      <c r="AG4867" s="182" t="n">
        <v>0</v>
      </c>
      <c r="AH4867" s="182" t="n">
        <v>0</v>
      </c>
      <c r="AI4867" s="182" t="n">
        <v>0</v>
      </c>
      <c r="AJ4867" s="182" t="n">
        <v>0</v>
      </c>
      <c r="AK4867" s="182" t="n">
        <v>10.92</v>
      </c>
      <c r="AL4867" s="182" t="n">
        <v>0</v>
      </c>
      <c r="AM4867" s="182" t="n">
        <v>0.08</v>
      </c>
      <c r="AN4867" s="182" t="n">
        <v>0</v>
      </c>
    </row>
    <row r="4868">
      <c r="A4868" s="155" t="n">
        <v>46104</v>
      </c>
      <c r="B4868" s="156" t="inlineStr">
        <is>
          <t>DS</t>
        </is>
      </c>
      <c r="C4868" s="156" t="inlineStr">
        <is>
          <t>HT-413</t>
        </is>
      </c>
      <c r="D4868" s="156" t="inlineStr">
        <is>
          <t>SY430</t>
        </is>
      </c>
      <c r="E4868" s="156" t="inlineStr">
        <is>
          <t>DT Hauling</t>
        </is>
      </c>
      <c r="F4868" s="156" t="inlineStr"/>
      <c r="G4868" s="182" t="n">
        <v>0</v>
      </c>
      <c r="H4868" s="182" t="n">
        <v>0</v>
      </c>
      <c r="I4868" s="182" t="n">
        <v>12</v>
      </c>
      <c r="J4868" s="182" t="n">
        <v>12</v>
      </c>
      <c r="K4868" s="182" t="n">
        <v>0</v>
      </c>
      <c r="L4868" s="182" t="n">
        <v>12</v>
      </c>
      <c r="M4868" s="182" t="n">
        <v>0</v>
      </c>
      <c r="N4868" s="182" t="n">
        <v>0</v>
      </c>
      <c r="O4868" s="183" t="n">
        <v>0</v>
      </c>
      <c r="P4868" s="183" t="n">
        <v>0</v>
      </c>
      <c r="Q4868" s="184" t="n">
        <v>0</v>
      </c>
      <c r="R4868" s="184" t="n">
        <v>0</v>
      </c>
      <c r="S4868" s="183" t="n">
        <v>0</v>
      </c>
      <c r="T4868" s="183" t="n">
        <v>0</v>
      </c>
      <c r="U4868" s="182" t="n">
        <v>0</v>
      </c>
      <c r="V4868" s="182" t="n">
        <v>0</v>
      </c>
      <c r="W4868" s="182" t="n">
        <v>0</v>
      </c>
      <c r="X4868" s="182" t="n">
        <v>0</v>
      </c>
      <c r="Y4868" s="182" t="n">
        <v>0</v>
      </c>
      <c r="Z4868" s="182" t="n">
        <v>0</v>
      </c>
      <c r="AA4868" s="182" t="n">
        <v>0</v>
      </c>
      <c r="AB4868" s="182" t="n">
        <v>0</v>
      </c>
      <c r="AC4868" s="182" t="n">
        <v>0</v>
      </c>
      <c r="AD4868" s="182" t="n">
        <v>0</v>
      </c>
      <c r="AE4868" s="182" t="n">
        <v>0</v>
      </c>
      <c r="AF4868" s="182" t="n">
        <v>0</v>
      </c>
      <c r="AG4868" s="182" t="n">
        <v>0</v>
      </c>
      <c r="AH4868" s="182" t="n">
        <v>0</v>
      </c>
      <c r="AI4868" s="182" t="n">
        <v>0</v>
      </c>
      <c r="AJ4868" s="182" t="n">
        <v>0</v>
      </c>
      <c r="AK4868" s="182" t="n">
        <v>0</v>
      </c>
      <c r="AL4868" s="182" t="n">
        <v>0</v>
      </c>
      <c r="AM4868" s="182" t="n">
        <v>0</v>
      </c>
      <c r="AN4868" s="182" t="n">
        <v>0</v>
      </c>
    </row>
    <row r="4869">
      <c r="A4869" s="155" t="n">
        <v>46104</v>
      </c>
      <c r="B4869" s="156" t="inlineStr">
        <is>
          <t>DS</t>
        </is>
      </c>
      <c r="C4869" s="156" t="inlineStr">
        <is>
          <t>HT-407</t>
        </is>
      </c>
      <c r="D4869" s="156" t="inlineStr">
        <is>
          <t>SY430</t>
        </is>
      </c>
      <c r="E4869" s="156" t="inlineStr">
        <is>
          <t>DT Hauling</t>
        </is>
      </c>
      <c r="F4869" s="156" t="inlineStr">
        <is>
          <t>Travel</t>
        </is>
      </c>
      <c r="G4869" s="182" t="n">
        <v>0.8100000000000001</v>
      </c>
      <c r="H4869" s="182" t="n">
        <v>0</v>
      </c>
      <c r="I4869" s="182" t="n">
        <v>4.35</v>
      </c>
      <c r="J4869" s="182" t="n">
        <v>4.35</v>
      </c>
      <c r="K4869" s="182" t="n">
        <v>6.84</v>
      </c>
      <c r="L4869" s="182" t="n">
        <v>12</v>
      </c>
      <c r="M4869" s="182" t="n">
        <v>0</v>
      </c>
      <c r="N4869" s="182" t="n">
        <v>0</v>
      </c>
      <c r="O4869" s="183" t="n">
        <v>0</v>
      </c>
      <c r="P4869" s="183" t="n">
        <v>0</v>
      </c>
      <c r="Q4869" s="184" t="n">
        <v>0</v>
      </c>
      <c r="R4869" s="184" t="n">
        <v>0</v>
      </c>
      <c r="S4869" s="183" t="n">
        <v>0</v>
      </c>
      <c r="T4869" s="183" t="n">
        <v>0</v>
      </c>
      <c r="U4869" s="182" t="n">
        <v>0</v>
      </c>
      <c r="V4869" s="182" t="n">
        <v>0</v>
      </c>
      <c r="W4869" s="182" t="n">
        <v>0</v>
      </c>
      <c r="X4869" s="182" t="n">
        <v>0.97</v>
      </c>
      <c r="Y4869" s="182" t="n">
        <v>0</v>
      </c>
      <c r="Z4869" s="182" t="n">
        <v>0</v>
      </c>
      <c r="AA4869" s="182" t="n">
        <v>0</v>
      </c>
      <c r="AB4869" s="182" t="n">
        <v>0</v>
      </c>
      <c r="AC4869" s="182" t="n">
        <v>0</v>
      </c>
      <c r="AD4869" s="182" t="n">
        <v>0</v>
      </c>
      <c r="AE4869" s="182" t="n">
        <v>0</v>
      </c>
      <c r="AF4869" s="182" t="n">
        <v>0</v>
      </c>
      <c r="AG4869" s="182" t="n">
        <v>0</v>
      </c>
      <c r="AH4869" s="182" t="n">
        <v>0</v>
      </c>
      <c r="AI4869" s="182" t="n">
        <v>0</v>
      </c>
      <c r="AJ4869" s="182" t="n">
        <v>0</v>
      </c>
      <c r="AK4869" s="182" t="n">
        <v>5.79</v>
      </c>
      <c r="AL4869" s="182" t="n">
        <v>0</v>
      </c>
      <c r="AM4869" s="182" t="n">
        <v>0.08</v>
      </c>
      <c r="AN4869" s="182" t="n">
        <v>0</v>
      </c>
    </row>
    <row r="4870">
      <c r="A4870" s="155" t="n">
        <v>46104</v>
      </c>
      <c r="B4870" s="156" t="inlineStr">
        <is>
          <t>DS</t>
        </is>
      </c>
      <c r="C4870" s="156" t="inlineStr">
        <is>
          <t>HT-414</t>
        </is>
      </c>
      <c r="D4870" s="156" t="inlineStr">
        <is>
          <t>SY430</t>
        </is>
      </c>
      <c r="E4870" s="156" t="inlineStr">
        <is>
          <t>DT Hauling</t>
        </is>
      </c>
      <c r="F4870" s="156" t="inlineStr"/>
      <c r="G4870" s="182" t="n">
        <v>0</v>
      </c>
      <c r="H4870" s="182" t="n">
        <v>0</v>
      </c>
      <c r="I4870" s="182" t="n">
        <v>0</v>
      </c>
      <c r="J4870" s="182" t="n">
        <v>0</v>
      </c>
      <c r="K4870" s="182" t="n">
        <v>12</v>
      </c>
      <c r="L4870" s="182" t="n">
        <v>12</v>
      </c>
      <c r="M4870" s="182" t="n">
        <v>0</v>
      </c>
      <c r="N4870" s="182" t="n">
        <v>0</v>
      </c>
      <c r="O4870" s="183" t="n">
        <v>0</v>
      </c>
      <c r="P4870" s="183" t="n">
        <v>0</v>
      </c>
      <c r="Q4870" s="184" t="n">
        <v>0</v>
      </c>
      <c r="R4870" s="184" t="n">
        <v>0</v>
      </c>
      <c r="S4870" s="183" t="n">
        <v>0</v>
      </c>
      <c r="T4870" s="183" t="n">
        <v>0</v>
      </c>
      <c r="U4870" s="182" t="n">
        <v>0</v>
      </c>
      <c r="V4870" s="182" t="n">
        <v>0</v>
      </c>
      <c r="W4870" s="182" t="n">
        <v>0</v>
      </c>
      <c r="X4870" s="182" t="n">
        <v>1</v>
      </c>
      <c r="Y4870" s="182" t="n">
        <v>0</v>
      </c>
      <c r="Z4870" s="182" t="n">
        <v>0</v>
      </c>
      <c r="AA4870" s="182" t="n">
        <v>0</v>
      </c>
      <c r="AB4870" s="182" t="n">
        <v>0</v>
      </c>
      <c r="AC4870" s="182" t="n">
        <v>0</v>
      </c>
      <c r="AD4870" s="182" t="n">
        <v>0</v>
      </c>
      <c r="AE4870" s="182" t="n">
        <v>0</v>
      </c>
      <c r="AF4870" s="182" t="n">
        <v>0</v>
      </c>
      <c r="AG4870" s="182" t="n">
        <v>0</v>
      </c>
      <c r="AH4870" s="182" t="n">
        <v>0</v>
      </c>
      <c r="AI4870" s="182" t="n">
        <v>0</v>
      </c>
      <c r="AJ4870" s="182" t="n">
        <v>0</v>
      </c>
      <c r="AK4870" s="182" t="n">
        <v>10.92</v>
      </c>
      <c r="AL4870" s="182" t="n">
        <v>0</v>
      </c>
      <c r="AM4870" s="182" t="n">
        <v>0.08</v>
      </c>
      <c r="AN4870" s="182" t="n">
        <v>0</v>
      </c>
    </row>
    <row r="4871">
      <c r="A4871" s="155" t="n">
        <v>46104</v>
      </c>
      <c r="B4871" s="156" t="inlineStr">
        <is>
          <t>DS</t>
        </is>
      </c>
      <c r="C4871" s="156" t="inlineStr">
        <is>
          <t>HT-411</t>
        </is>
      </c>
      <c r="D4871" s="156" t="inlineStr">
        <is>
          <t>SY430</t>
        </is>
      </c>
      <c r="E4871" s="156" t="inlineStr">
        <is>
          <t>DT Hauling</t>
        </is>
      </c>
      <c r="F4871" s="156" t="inlineStr"/>
      <c r="G4871" s="182" t="n">
        <v>0</v>
      </c>
      <c r="H4871" s="182" t="n">
        <v>0</v>
      </c>
      <c r="I4871" s="182" t="n">
        <v>1.33</v>
      </c>
      <c r="J4871" s="182" t="n">
        <v>1.33</v>
      </c>
      <c r="K4871" s="182" t="n">
        <v>10.67</v>
      </c>
      <c r="L4871" s="182" t="n">
        <v>12</v>
      </c>
      <c r="M4871" s="182" t="n">
        <v>0</v>
      </c>
      <c r="N4871" s="182" t="n">
        <v>0</v>
      </c>
      <c r="O4871" s="183" t="n">
        <v>0</v>
      </c>
      <c r="P4871" s="183" t="n">
        <v>0</v>
      </c>
      <c r="Q4871" s="184" t="n">
        <v>0</v>
      </c>
      <c r="R4871" s="184" t="n">
        <v>0</v>
      </c>
      <c r="S4871" s="183" t="n">
        <v>0</v>
      </c>
      <c r="T4871" s="183" t="n">
        <v>0</v>
      </c>
      <c r="U4871" s="182" t="n">
        <v>0</v>
      </c>
      <c r="V4871" s="182" t="n">
        <v>0</v>
      </c>
      <c r="W4871" s="182" t="n">
        <v>0</v>
      </c>
      <c r="X4871" s="182" t="n">
        <v>1</v>
      </c>
      <c r="Y4871" s="182" t="n">
        <v>0</v>
      </c>
      <c r="Z4871" s="182" t="n">
        <v>0</v>
      </c>
      <c r="AA4871" s="182" t="n">
        <v>0</v>
      </c>
      <c r="AB4871" s="182" t="n">
        <v>0</v>
      </c>
      <c r="AC4871" s="182" t="n">
        <v>0</v>
      </c>
      <c r="AD4871" s="182" t="n">
        <v>0</v>
      </c>
      <c r="AE4871" s="182" t="n">
        <v>0</v>
      </c>
      <c r="AF4871" s="182" t="n">
        <v>0</v>
      </c>
      <c r="AG4871" s="182" t="n">
        <v>0</v>
      </c>
      <c r="AH4871" s="182" t="n">
        <v>0</v>
      </c>
      <c r="AI4871" s="182" t="n">
        <v>0</v>
      </c>
      <c r="AJ4871" s="182" t="n">
        <v>0</v>
      </c>
      <c r="AK4871" s="182" t="n">
        <v>9.58</v>
      </c>
      <c r="AL4871" s="182" t="n">
        <v>0</v>
      </c>
      <c r="AM4871" s="182" t="n">
        <v>0.08</v>
      </c>
      <c r="AN4871" s="182" t="n">
        <v>0</v>
      </c>
    </row>
    <row r="4872">
      <c r="A4872" s="155" t="n">
        <v>46104</v>
      </c>
      <c r="B4872" s="156" t="inlineStr">
        <is>
          <t>DS</t>
        </is>
      </c>
      <c r="C4872" s="156" t="inlineStr">
        <is>
          <t>HT-409</t>
        </is>
      </c>
      <c r="D4872" s="156" t="inlineStr">
        <is>
          <t>SY430</t>
        </is>
      </c>
      <c r="E4872" s="156" t="inlineStr">
        <is>
          <t>DT Hauling</t>
        </is>
      </c>
      <c r="F4872" s="156" t="inlineStr"/>
      <c r="G4872" s="182" t="n">
        <v>0</v>
      </c>
      <c r="H4872" s="182" t="n">
        <v>0</v>
      </c>
      <c r="I4872" s="182" t="n">
        <v>12</v>
      </c>
      <c r="J4872" s="182" t="n">
        <v>12</v>
      </c>
      <c r="K4872" s="182" t="n">
        <v>0</v>
      </c>
      <c r="L4872" s="182" t="n">
        <v>12</v>
      </c>
      <c r="M4872" s="182" t="n">
        <v>0</v>
      </c>
      <c r="N4872" s="182" t="n">
        <v>0</v>
      </c>
      <c r="O4872" s="183" t="n">
        <v>0</v>
      </c>
      <c r="P4872" s="183" t="n">
        <v>0</v>
      </c>
      <c r="Q4872" s="184" t="n">
        <v>0</v>
      </c>
      <c r="R4872" s="184" t="n">
        <v>0</v>
      </c>
      <c r="S4872" s="183" t="n">
        <v>0</v>
      </c>
      <c r="T4872" s="183" t="n">
        <v>0</v>
      </c>
      <c r="U4872" s="182" t="n">
        <v>0</v>
      </c>
      <c r="V4872" s="182" t="n">
        <v>0</v>
      </c>
      <c r="W4872" s="182" t="n">
        <v>0</v>
      </c>
      <c r="X4872" s="182" t="n">
        <v>0</v>
      </c>
      <c r="Y4872" s="182" t="n">
        <v>0</v>
      </c>
      <c r="Z4872" s="182" t="n">
        <v>0</v>
      </c>
      <c r="AA4872" s="182" t="n">
        <v>0</v>
      </c>
      <c r="AB4872" s="182" t="n">
        <v>0</v>
      </c>
      <c r="AC4872" s="182" t="n">
        <v>0</v>
      </c>
      <c r="AD4872" s="182" t="n">
        <v>0</v>
      </c>
      <c r="AE4872" s="182" t="n">
        <v>0</v>
      </c>
      <c r="AF4872" s="182" t="n">
        <v>0</v>
      </c>
      <c r="AG4872" s="182" t="n">
        <v>0</v>
      </c>
      <c r="AH4872" s="182" t="n">
        <v>0</v>
      </c>
      <c r="AI4872" s="182" t="n">
        <v>0</v>
      </c>
      <c r="AJ4872" s="182" t="n">
        <v>0</v>
      </c>
      <c r="AK4872" s="182" t="n">
        <v>0</v>
      </c>
      <c r="AL4872" s="182" t="n">
        <v>0</v>
      </c>
      <c r="AM4872" s="182" t="n">
        <v>0</v>
      </c>
      <c r="AN4872" s="182" t="n">
        <v>0</v>
      </c>
    </row>
    <row r="4873">
      <c r="A4873" s="155" t="n">
        <v>46104</v>
      </c>
      <c r="B4873" s="156" t="inlineStr">
        <is>
          <t>DS</t>
        </is>
      </c>
      <c r="C4873" s="156" t="inlineStr">
        <is>
          <t>DH-103</t>
        </is>
      </c>
      <c r="D4873" s="156" t="inlineStr">
        <is>
          <t>HINO FM260</t>
        </is>
      </c>
      <c r="E4873" s="156" t="inlineStr">
        <is>
          <t>DT Hino</t>
        </is>
      </c>
      <c r="F4873" s="156" t="inlineStr"/>
      <c r="G4873" s="182" t="n">
        <v>0</v>
      </c>
      <c r="H4873" s="182" t="n">
        <v>0</v>
      </c>
      <c r="I4873" s="182" t="n">
        <v>0</v>
      </c>
      <c r="J4873" s="182" t="n">
        <v>0</v>
      </c>
      <c r="K4873" s="182" t="n">
        <v>12</v>
      </c>
      <c r="L4873" s="182" t="n">
        <v>12</v>
      </c>
      <c r="M4873" s="182" t="n">
        <v>0</v>
      </c>
      <c r="N4873" s="182" t="n">
        <v>0</v>
      </c>
      <c r="O4873" s="183" t="n">
        <v>0</v>
      </c>
      <c r="P4873" s="183" t="n">
        <v>0</v>
      </c>
      <c r="Q4873" s="184" t="n">
        <v>0</v>
      </c>
      <c r="R4873" s="184" t="n">
        <v>0</v>
      </c>
      <c r="S4873" s="183" t="n">
        <v>0</v>
      </c>
      <c r="T4873" s="183" t="n">
        <v>0</v>
      </c>
      <c r="U4873" s="182" t="n">
        <v>0</v>
      </c>
      <c r="V4873" s="182" t="n">
        <v>0</v>
      </c>
      <c r="W4873" s="182" t="n">
        <v>0</v>
      </c>
      <c r="X4873" s="182" t="n">
        <v>1</v>
      </c>
      <c r="Y4873" s="182" t="n">
        <v>0</v>
      </c>
      <c r="Z4873" s="182" t="n">
        <v>0</v>
      </c>
      <c r="AA4873" s="182" t="n">
        <v>0</v>
      </c>
      <c r="AB4873" s="182" t="n">
        <v>0</v>
      </c>
      <c r="AC4873" s="182" t="n">
        <v>0</v>
      </c>
      <c r="AD4873" s="182" t="n">
        <v>0</v>
      </c>
      <c r="AE4873" s="182" t="n">
        <v>0</v>
      </c>
      <c r="AF4873" s="182" t="n">
        <v>0</v>
      </c>
      <c r="AG4873" s="182" t="n">
        <v>0</v>
      </c>
      <c r="AH4873" s="182" t="n">
        <v>0</v>
      </c>
      <c r="AI4873" s="182" t="n">
        <v>0</v>
      </c>
      <c r="AJ4873" s="182" t="n">
        <v>0</v>
      </c>
      <c r="AK4873" s="182" t="n">
        <v>10.92</v>
      </c>
      <c r="AL4873" s="182" t="n">
        <v>0</v>
      </c>
      <c r="AM4873" s="182" t="n">
        <v>0.08</v>
      </c>
      <c r="AN4873" s="182" t="n">
        <v>0</v>
      </c>
    </row>
    <row r="4874">
      <c r="A4874" s="155" t="n">
        <v>46104</v>
      </c>
      <c r="B4874" s="156" t="inlineStr">
        <is>
          <t>DS</t>
        </is>
      </c>
      <c r="C4874" s="156" t="inlineStr">
        <is>
          <t>DH-102</t>
        </is>
      </c>
      <c r="D4874" s="156" t="inlineStr">
        <is>
          <t>HINO FM260</t>
        </is>
      </c>
      <c r="E4874" s="156" t="inlineStr">
        <is>
          <t>DT Hino</t>
        </is>
      </c>
      <c r="F4874" s="156" t="inlineStr"/>
      <c r="G4874" s="182" t="n">
        <v>0</v>
      </c>
      <c r="H4874" s="182" t="n">
        <v>0</v>
      </c>
      <c r="I4874" s="182" t="n">
        <v>0</v>
      </c>
      <c r="J4874" s="182" t="n">
        <v>0</v>
      </c>
      <c r="K4874" s="182" t="n">
        <v>12</v>
      </c>
      <c r="L4874" s="182" t="n">
        <v>12</v>
      </c>
      <c r="M4874" s="182" t="n">
        <v>0</v>
      </c>
      <c r="N4874" s="182" t="n">
        <v>0</v>
      </c>
      <c r="O4874" s="183" t="n">
        <v>0</v>
      </c>
      <c r="P4874" s="183" t="n">
        <v>0</v>
      </c>
      <c r="Q4874" s="184" t="n">
        <v>0</v>
      </c>
      <c r="R4874" s="184" t="n">
        <v>0</v>
      </c>
      <c r="S4874" s="183" t="n">
        <v>0</v>
      </c>
      <c r="T4874" s="183" t="n">
        <v>0</v>
      </c>
      <c r="U4874" s="182" t="n">
        <v>0</v>
      </c>
      <c r="V4874" s="182" t="n">
        <v>0</v>
      </c>
      <c r="W4874" s="182" t="n">
        <v>0</v>
      </c>
      <c r="X4874" s="182" t="n">
        <v>1</v>
      </c>
      <c r="Y4874" s="182" t="n">
        <v>0</v>
      </c>
      <c r="Z4874" s="182" t="n">
        <v>0</v>
      </c>
      <c r="AA4874" s="182" t="n">
        <v>0</v>
      </c>
      <c r="AB4874" s="182" t="n">
        <v>0</v>
      </c>
      <c r="AC4874" s="182" t="n">
        <v>0</v>
      </c>
      <c r="AD4874" s="182" t="n">
        <v>0</v>
      </c>
      <c r="AE4874" s="182" t="n">
        <v>0</v>
      </c>
      <c r="AF4874" s="182" t="n">
        <v>0</v>
      </c>
      <c r="AG4874" s="182" t="n">
        <v>0</v>
      </c>
      <c r="AH4874" s="182" t="n">
        <v>0</v>
      </c>
      <c r="AI4874" s="182" t="n">
        <v>0</v>
      </c>
      <c r="AJ4874" s="182" t="n">
        <v>0</v>
      </c>
      <c r="AK4874" s="182" t="n">
        <v>10.92</v>
      </c>
      <c r="AL4874" s="182" t="n">
        <v>0</v>
      </c>
      <c r="AM4874" s="182" t="n">
        <v>0.08</v>
      </c>
      <c r="AN4874" s="182" t="n">
        <v>0</v>
      </c>
    </row>
    <row r="4875">
      <c r="A4875" s="155" t="n">
        <v>46104</v>
      </c>
      <c r="B4875" s="156" t="inlineStr">
        <is>
          <t>DS</t>
        </is>
      </c>
      <c r="C4875" s="156" t="inlineStr">
        <is>
          <t>DH-101</t>
        </is>
      </c>
      <c r="D4875" s="156" t="inlineStr">
        <is>
          <t>HINO FM260</t>
        </is>
      </c>
      <c r="E4875" s="156" t="inlineStr">
        <is>
          <t>DT Hino</t>
        </is>
      </c>
      <c r="F4875" s="156" t="inlineStr"/>
      <c r="G4875" s="182" t="n">
        <v>0</v>
      </c>
      <c r="H4875" s="182" t="n">
        <v>0</v>
      </c>
      <c r="I4875" s="182" t="n">
        <v>0</v>
      </c>
      <c r="J4875" s="182" t="n">
        <v>0</v>
      </c>
      <c r="K4875" s="182" t="n">
        <v>12</v>
      </c>
      <c r="L4875" s="182" t="n">
        <v>12</v>
      </c>
      <c r="M4875" s="182" t="n">
        <v>0</v>
      </c>
      <c r="N4875" s="182" t="n">
        <v>0</v>
      </c>
      <c r="O4875" s="183" t="n">
        <v>0</v>
      </c>
      <c r="P4875" s="183" t="n">
        <v>0</v>
      </c>
      <c r="Q4875" s="184" t="n">
        <v>0</v>
      </c>
      <c r="R4875" s="184" t="n">
        <v>0</v>
      </c>
      <c r="S4875" s="183" t="n">
        <v>0</v>
      </c>
      <c r="T4875" s="183" t="n">
        <v>0</v>
      </c>
      <c r="U4875" s="182" t="n">
        <v>0</v>
      </c>
      <c r="V4875" s="182" t="n">
        <v>0</v>
      </c>
      <c r="W4875" s="182" t="n">
        <v>0</v>
      </c>
      <c r="X4875" s="182" t="n">
        <v>1</v>
      </c>
      <c r="Y4875" s="182" t="n">
        <v>0</v>
      </c>
      <c r="Z4875" s="182" t="n">
        <v>0</v>
      </c>
      <c r="AA4875" s="182" t="n">
        <v>0</v>
      </c>
      <c r="AB4875" s="182" t="n">
        <v>0</v>
      </c>
      <c r="AC4875" s="182" t="n">
        <v>0</v>
      </c>
      <c r="AD4875" s="182" t="n">
        <v>0</v>
      </c>
      <c r="AE4875" s="182" t="n">
        <v>0</v>
      </c>
      <c r="AF4875" s="182" t="n">
        <v>0</v>
      </c>
      <c r="AG4875" s="182" t="n">
        <v>0</v>
      </c>
      <c r="AH4875" s="182" t="n">
        <v>0</v>
      </c>
      <c r="AI4875" s="182" t="n">
        <v>0</v>
      </c>
      <c r="AJ4875" s="182" t="n">
        <v>0</v>
      </c>
      <c r="AK4875" s="182" t="n">
        <v>10.92</v>
      </c>
      <c r="AL4875" s="182" t="n">
        <v>0</v>
      </c>
      <c r="AM4875" s="182" t="n">
        <v>0.08</v>
      </c>
      <c r="AN4875" s="182" t="n">
        <v>0</v>
      </c>
    </row>
    <row r="4876">
      <c r="A4876" s="155" t="n">
        <v>46104</v>
      </c>
      <c r="B4876" s="156" t="inlineStr">
        <is>
          <t>DS</t>
        </is>
      </c>
      <c r="C4876" s="156" t="inlineStr">
        <is>
          <t>EX-1251</t>
        </is>
      </c>
      <c r="D4876" s="156" t="inlineStr">
        <is>
          <t>SY1250</t>
        </is>
      </c>
      <c r="E4876" s="156" t="inlineStr">
        <is>
          <t>Excavator</t>
        </is>
      </c>
      <c r="F4876" s="156" t="inlineStr">
        <is>
          <t>Loading OB</t>
        </is>
      </c>
      <c r="G4876" s="182" t="n">
        <v>10.82</v>
      </c>
      <c r="H4876" s="182" t="n">
        <v>0</v>
      </c>
      <c r="I4876" s="182" t="n">
        <v>0</v>
      </c>
      <c r="J4876" s="182" t="n">
        <v>0</v>
      </c>
      <c r="K4876" s="182" t="n">
        <v>1.18</v>
      </c>
      <c r="L4876" s="182" t="n">
        <v>12</v>
      </c>
      <c r="M4876" s="182" t="n">
        <v>10.82</v>
      </c>
      <c r="N4876" s="182" t="n">
        <v>0</v>
      </c>
      <c r="O4876" s="185">
        <f>SUMIFS(INPUT_RITASE!$F$5:$F$20000,INPUT_RITASE!$A$5:$A$20000,$A4876,INPUT_RITASE!$H$5:$H$20000,$B4876,INPUT_RITASE!$C$5:$C$20000,$C4876,INPUT_RITASE!$N$5:$N$20000,"OB")</f>
        <v/>
      </c>
      <c r="P4876" s="185">
        <f>SUMIFS(INPUT_RITASE!$F$5:$F$20000,INPUT_RITASE!$A$5:$A$20000,$A4876,INPUT_RITASE!$H$5:$H$20000,$B4876,INPUT_RITASE!$C$5:$C$20000,$C4876,INPUT_RITASE!$N$5:$N$20000,"Coal")</f>
        <v/>
      </c>
      <c r="Q4876" s="186">
        <f>SUMIFS(INPUT_RITASE!$L$5:$L$20000,INPUT_RITASE!$A$5:$A$20000,$A4876,INPUT_RITASE!$H$5:$H$20000,$B4876,INPUT_RITASE!$C$5:$C$20000,$C4876,INPUT_RITASE!$N$5:$N$20000,"OB")</f>
        <v/>
      </c>
      <c r="R4876" s="186">
        <f>SUMIFS(INPUT_RITASE!$L$5:$L$20000,INPUT_RITASE!$A$5:$A$20000,$A4876,INPUT_RITASE!$H$5:$H$20000,$B4876,INPUT_RITASE!$C$5:$C$20000,$C4876,INPUT_RITASE!$N$5:$N$20000,"Coal")</f>
        <v/>
      </c>
      <c r="S4876" s="183" t="n">
        <v>0</v>
      </c>
      <c r="T4876" s="183" t="n">
        <v>0</v>
      </c>
      <c r="U4876" s="182" t="n">
        <v>0</v>
      </c>
      <c r="V4876" s="182" t="n">
        <v>0</v>
      </c>
      <c r="W4876" s="182" t="n">
        <v>0</v>
      </c>
      <c r="X4876" s="182" t="n">
        <v>1.09</v>
      </c>
      <c r="Y4876" s="182" t="n">
        <v>0</v>
      </c>
      <c r="Z4876" s="182" t="n">
        <v>0</v>
      </c>
      <c r="AA4876" s="182" t="n">
        <v>0</v>
      </c>
      <c r="AB4876" s="182" t="n">
        <v>0</v>
      </c>
      <c r="AC4876" s="182" t="n">
        <v>0</v>
      </c>
      <c r="AD4876" s="182" t="n">
        <v>0</v>
      </c>
      <c r="AE4876" s="182" t="n">
        <v>0</v>
      </c>
      <c r="AF4876" s="182" t="n">
        <v>0</v>
      </c>
      <c r="AG4876" s="182" t="n">
        <v>0</v>
      </c>
      <c r="AH4876" s="182" t="n">
        <v>0</v>
      </c>
      <c r="AI4876" s="182" t="n">
        <v>0</v>
      </c>
      <c r="AJ4876" s="182" t="n">
        <v>0</v>
      </c>
      <c r="AK4876" s="182" t="n">
        <v>0</v>
      </c>
      <c r="AL4876" s="182" t="n">
        <v>0</v>
      </c>
      <c r="AM4876" s="182" t="n">
        <v>0.09</v>
      </c>
      <c r="AN4876" s="182" t="n">
        <v>0</v>
      </c>
    </row>
    <row r="4877">
      <c r="A4877" s="155" t="n">
        <v>46104</v>
      </c>
      <c r="B4877" s="156" t="inlineStr">
        <is>
          <t>DS</t>
        </is>
      </c>
      <c r="C4877" s="156" t="inlineStr">
        <is>
          <t>EX-1252</t>
        </is>
      </c>
      <c r="D4877" s="156" t="inlineStr">
        <is>
          <t>SY1250</t>
        </is>
      </c>
      <c r="E4877" s="156" t="inlineStr">
        <is>
          <t>Excavator</t>
        </is>
      </c>
      <c r="F4877" s="156" t="inlineStr">
        <is>
          <t>Loading OB</t>
        </is>
      </c>
      <c r="G4877" s="182" t="n">
        <v>9.51</v>
      </c>
      <c r="H4877" s="182" t="n">
        <v>0</v>
      </c>
      <c r="I4877" s="182" t="n">
        <v>0</v>
      </c>
      <c r="J4877" s="182" t="n">
        <v>0</v>
      </c>
      <c r="K4877" s="182" t="n">
        <v>2.49</v>
      </c>
      <c r="L4877" s="182" t="n">
        <v>12</v>
      </c>
      <c r="M4877" s="182" t="n">
        <v>9.19</v>
      </c>
      <c r="N4877" s="182" t="n">
        <v>0</v>
      </c>
      <c r="O4877" s="185">
        <f>SUMIFS(INPUT_RITASE!$F$5:$F$20000,INPUT_RITASE!$A$5:$A$20000,$A4877,INPUT_RITASE!$H$5:$H$20000,$B4877,INPUT_RITASE!$C$5:$C$20000,$C4877,INPUT_RITASE!$N$5:$N$20000,"OB")</f>
        <v/>
      </c>
      <c r="P4877" s="185">
        <f>SUMIFS(INPUT_RITASE!$F$5:$F$20000,INPUT_RITASE!$A$5:$A$20000,$A4877,INPUT_RITASE!$H$5:$H$20000,$B4877,INPUT_RITASE!$C$5:$C$20000,$C4877,INPUT_RITASE!$N$5:$N$20000,"Coal")</f>
        <v/>
      </c>
      <c r="Q4877" s="186">
        <f>SUMIFS(INPUT_RITASE!$L$5:$L$20000,INPUT_RITASE!$A$5:$A$20000,$A4877,INPUT_RITASE!$H$5:$H$20000,$B4877,INPUT_RITASE!$C$5:$C$20000,$C4877,INPUT_RITASE!$N$5:$N$20000,"OB")</f>
        <v/>
      </c>
      <c r="R4877" s="186">
        <f>SUMIFS(INPUT_RITASE!$L$5:$L$20000,INPUT_RITASE!$A$5:$A$20000,$A4877,INPUT_RITASE!$H$5:$H$20000,$B4877,INPUT_RITASE!$C$5:$C$20000,$C4877,INPUT_RITASE!$N$5:$N$20000,"Coal")</f>
        <v/>
      </c>
      <c r="S4877" s="183" t="n">
        <v>0</v>
      </c>
      <c r="T4877" s="183" t="n">
        <v>0</v>
      </c>
      <c r="U4877" s="182" t="n">
        <v>0.63</v>
      </c>
      <c r="V4877" s="182" t="n">
        <v>0</v>
      </c>
      <c r="W4877" s="182" t="n">
        <v>0</v>
      </c>
      <c r="X4877" s="182" t="n">
        <v>1.11</v>
      </c>
      <c r="Y4877" s="182" t="n">
        <v>0</v>
      </c>
      <c r="Z4877" s="182" t="n">
        <v>0</v>
      </c>
      <c r="AA4877" s="182" t="n">
        <v>0</v>
      </c>
      <c r="AB4877" s="182" t="n">
        <v>0</v>
      </c>
      <c r="AC4877" s="182" t="n">
        <v>0</v>
      </c>
      <c r="AD4877" s="182" t="n">
        <v>0</v>
      </c>
      <c r="AE4877" s="182" t="n">
        <v>0</v>
      </c>
      <c r="AF4877" s="182" t="n">
        <v>0</v>
      </c>
      <c r="AG4877" s="182" t="n">
        <v>0</v>
      </c>
      <c r="AH4877" s="182" t="n">
        <v>0.66</v>
      </c>
      <c r="AI4877" s="182" t="n">
        <v>0</v>
      </c>
      <c r="AJ4877" s="182" t="n">
        <v>0</v>
      </c>
      <c r="AK4877" s="182" t="n">
        <v>0</v>
      </c>
      <c r="AL4877" s="182" t="n">
        <v>0</v>
      </c>
      <c r="AM4877" s="182" t="n">
        <v>0.09</v>
      </c>
      <c r="AN4877" s="182" t="n">
        <v>0</v>
      </c>
    </row>
    <row r="4878">
      <c r="A4878" s="155" t="n">
        <v>46104</v>
      </c>
      <c r="B4878" s="156" t="inlineStr">
        <is>
          <t>DS</t>
        </is>
      </c>
      <c r="C4878" s="156" t="inlineStr">
        <is>
          <t>EX-2101</t>
        </is>
      </c>
      <c r="D4878" s="156" t="inlineStr">
        <is>
          <t>SY2000</t>
        </is>
      </c>
      <c r="E4878" s="156" t="inlineStr">
        <is>
          <t>Excavator</t>
        </is>
      </c>
      <c r="F4878" s="156" t="inlineStr">
        <is>
          <t>Loading OB</t>
        </is>
      </c>
      <c r="G4878" s="182" t="n">
        <v>9.81</v>
      </c>
      <c r="H4878" s="182" t="n">
        <v>0</v>
      </c>
      <c r="I4878" s="182" t="n">
        <v>0</v>
      </c>
      <c r="J4878" s="182" t="n">
        <v>0</v>
      </c>
      <c r="K4878" s="182" t="n">
        <v>2.19</v>
      </c>
      <c r="L4878" s="182" t="n">
        <v>12</v>
      </c>
      <c r="M4878" s="182" t="n">
        <v>9.33</v>
      </c>
      <c r="N4878" s="182" t="n">
        <v>0</v>
      </c>
      <c r="O4878" s="185">
        <f>SUMIFS(INPUT_RITASE!$F$5:$F$20000,INPUT_RITASE!$A$5:$A$20000,$A4878,INPUT_RITASE!$H$5:$H$20000,$B4878,INPUT_RITASE!$C$5:$C$20000,$C4878,INPUT_RITASE!$N$5:$N$20000,"OB")</f>
        <v/>
      </c>
      <c r="P4878" s="185">
        <f>SUMIFS(INPUT_RITASE!$F$5:$F$20000,INPUT_RITASE!$A$5:$A$20000,$A4878,INPUT_RITASE!$H$5:$H$20000,$B4878,INPUT_RITASE!$C$5:$C$20000,$C4878,INPUT_RITASE!$N$5:$N$20000,"Coal")</f>
        <v/>
      </c>
      <c r="Q4878" s="186">
        <f>SUMIFS(INPUT_RITASE!$L$5:$L$20000,INPUT_RITASE!$A$5:$A$20000,$A4878,INPUT_RITASE!$H$5:$H$20000,$B4878,INPUT_RITASE!$C$5:$C$20000,$C4878,INPUT_RITASE!$N$5:$N$20000,"OB")</f>
        <v/>
      </c>
      <c r="R4878" s="186">
        <f>SUMIFS(INPUT_RITASE!$L$5:$L$20000,INPUT_RITASE!$A$5:$A$20000,$A4878,INPUT_RITASE!$H$5:$H$20000,$B4878,INPUT_RITASE!$C$5:$C$20000,$C4878,INPUT_RITASE!$N$5:$N$20000,"Coal")</f>
        <v/>
      </c>
      <c r="S4878" s="183" t="n">
        <v>0</v>
      </c>
      <c r="T4878" s="183" t="n">
        <v>0</v>
      </c>
      <c r="U4878" s="182" t="n">
        <v>0.68</v>
      </c>
      <c r="V4878" s="182" t="n">
        <v>0</v>
      </c>
      <c r="W4878" s="182" t="n">
        <v>0</v>
      </c>
      <c r="X4878" s="182" t="n">
        <v>1.2</v>
      </c>
      <c r="Y4878" s="182" t="n">
        <v>0</v>
      </c>
      <c r="Z4878" s="182" t="n">
        <v>0</v>
      </c>
      <c r="AA4878" s="182" t="n">
        <v>0</v>
      </c>
      <c r="AB4878" s="182" t="n">
        <v>0</v>
      </c>
      <c r="AC4878" s="182" t="n">
        <v>0</v>
      </c>
      <c r="AD4878" s="182" t="n">
        <v>0</v>
      </c>
      <c r="AE4878" s="182" t="n">
        <v>0</v>
      </c>
      <c r="AF4878" s="182" t="n">
        <v>0</v>
      </c>
      <c r="AG4878" s="182" t="n">
        <v>0</v>
      </c>
      <c r="AH4878" s="182" t="n">
        <v>0.22</v>
      </c>
      <c r="AI4878" s="182" t="n">
        <v>0</v>
      </c>
      <c r="AJ4878" s="182" t="n">
        <v>0</v>
      </c>
      <c r="AK4878" s="182" t="n">
        <v>0</v>
      </c>
      <c r="AL4878" s="182" t="n">
        <v>0</v>
      </c>
      <c r="AM4878" s="182" t="n">
        <v>0.1</v>
      </c>
      <c r="AN4878" s="182" t="n">
        <v>0</v>
      </c>
    </row>
    <row r="4879">
      <c r="A4879" s="155" t="n">
        <v>46104</v>
      </c>
      <c r="B4879" s="156" t="inlineStr">
        <is>
          <t>DS</t>
        </is>
      </c>
      <c r="C4879" s="156" t="inlineStr">
        <is>
          <t>EX-222</t>
        </is>
      </c>
      <c r="D4879" s="156" t="inlineStr">
        <is>
          <t>PC 200-8MI</t>
        </is>
      </c>
      <c r="E4879" s="156" t="inlineStr">
        <is>
          <t>Excavator</t>
        </is>
      </c>
      <c r="F4879" s="156" t="inlineStr">
        <is>
          <t>Support Washing Plant</t>
        </is>
      </c>
      <c r="G4879" s="182" t="n">
        <v>12</v>
      </c>
      <c r="H4879" s="182" t="n">
        <v>0</v>
      </c>
      <c r="I4879" s="182" t="n">
        <v>0</v>
      </c>
      <c r="J4879" s="182" t="n">
        <v>0</v>
      </c>
      <c r="K4879" s="182" t="n">
        <v>0</v>
      </c>
      <c r="L4879" s="182" t="n">
        <v>12</v>
      </c>
      <c r="M4879" s="182" t="n">
        <v>0</v>
      </c>
      <c r="N4879" s="182" t="n">
        <v>0</v>
      </c>
      <c r="O4879" s="185">
        <f>SUMIFS(INPUT_RITASE!$F$5:$F$20000,INPUT_RITASE!$A$5:$A$20000,$A4879,INPUT_RITASE!$H$5:$H$20000,$B4879,INPUT_RITASE!$C$5:$C$20000,$C4879,INPUT_RITASE!$N$5:$N$20000,"OB")</f>
        <v/>
      </c>
      <c r="P4879" s="185">
        <f>SUMIFS(INPUT_RITASE!$F$5:$F$20000,INPUT_RITASE!$A$5:$A$20000,$A4879,INPUT_RITASE!$H$5:$H$20000,$B4879,INPUT_RITASE!$C$5:$C$20000,$C4879,INPUT_RITASE!$N$5:$N$20000,"Coal")</f>
        <v/>
      </c>
      <c r="Q4879" s="186">
        <f>SUMIFS(INPUT_RITASE!$L$5:$L$20000,INPUT_RITASE!$A$5:$A$20000,$A4879,INPUT_RITASE!$H$5:$H$20000,$B4879,INPUT_RITASE!$C$5:$C$20000,$C4879,INPUT_RITASE!$N$5:$N$20000,"OB")</f>
        <v/>
      </c>
      <c r="R4879" s="186">
        <f>SUMIFS(INPUT_RITASE!$L$5:$L$20000,INPUT_RITASE!$A$5:$A$20000,$A4879,INPUT_RITASE!$H$5:$H$20000,$B4879,INPUT_RITASE!$C$5:$C$20000,$C4879,INPUT_RITASE!$N$5:$N$20000,"Coal")</f>
        <v/>
      </c>
      <c r="S4879" s="183" t="n">
        <v>0</v>
      </c>
      <c r="T4879" s="183" t="n">
        <v>0</v>
      </c>
      <c r="U4879" s="182" t="n">
        <v>0</v>
      </c>
      <c r="V4879" s="182" t="n">
        <v>0</v>
      </c>
      <c r="W4879" s="182" t="n">
        <v>0</v>
      </c>
      <c r="X4879" s="182" t="n">
        <v>0</v>
      </c>
      <c r="Y4879" s="182" t="n">
        <v>0</v>
      </c>
      <c r="Z4879" s="182" t="n">
        <v>0</v>
      </c>
      <c r="AA4879" s="182" t="n">
        <v>0</v>
      </c>
      <c r="AB4879" s="182" t="n">
        <v>0</v>
      </c>
      <c r="AC4879" s="182" t="n">
        <v>0</v>
      </c>
      <c r="AD4879" s="182" t="n">
        <v>0</v>
      </c>
      <c r="AE4879" s="182" t="n">
        <v>0</v>
      </c>
      <c r="AF4879" s="182" t="n">
        <v>0</v>
      </c>
      <c r="AG4879" s="182" t="n">
        <v>0</v>
      </c>
      <c r="AH4879" s="182" t="n">
        <v>0</v>
      </c>
      <c r="AI4879" s="182" t="n">
        <v>0</v>
      </c>
      <c r="AJ4879" s="182" t="n">
        <v>0</v>
      </c>
      <c r="AK4879" s="182" t="n">
        <v>0</v>
      </c>
      <c r="AL4879" s="182" t="n">
        <v>0</v>
      </c>
      <c r="AM4879" s="182" t="n">
        <v>0</v>
      </c>
      <c r="AN4879" s="182" t="n">
        <v>0</v>
      </c>
    </row>
    <row r="4880">
      <c r="A4880" s="155" t="n">
        <v>46104</v>
      </c>
      <c r="B4880" s="156" t="inlineStr">
        <is>
          <t>DS</t>
        </is>
      </c>
      <c r="C4880" s="156" t="inlineStr">
        <is>
          <t>EX-225</t>
        </is>
      </c>
      <c r="D4880" s="156" t="inlineStr">
        <is>
          <t>PC 200-8</t>
        </is>
      </c>
      <c r="E4880" s="156" t="inlineStr">
        <is>
          <t>Excavator</t>
        </is>
      </c>
      <c r="F4880" s="156" t="inlineStr"/>
      <c r="G4880" s="182" t="n">
        <v>0</v>
      </c>
      <c r="H4880" s="182" t="n">
        <v>0</v>
      </c>
      <c r="I4880" s="182" t="n">
        <v>12</v>
      </c>
      <c r="J4880" s="182" t="n">
        <v>12</v>
      </c>
      <c r="K4880" s="182" t="n">
        <v>0</v>
      </c>
      <c r="L4880" s="182" t="n">
        <v>12</v>
      </c>
      <c r="M4880" s="182" t="n">
        <v>0</v>
      </c>
      <c r="N4880" s="182" t="n">
        <v>0</v>
      </c>
      <c r="O4880" s="185">
        <f>SUMIFS(INPUT_RITASE!$F$5:$F$20000,INPUT_RITASE!$A$5:$A$20000,$A4880,INPUT_RITASE!$H$5:$H$20000,$B4880,INPUT_RITASE!$C$5:$C$20000,$C4880,INPUT_RITASE!$N$5:$N$20000,"OB")</f>
        <v/>
      </c>
      <c r="P4880" s="185">
        <f>SUMIFS(INPUT_RITASE!$F$5:$F$20000,INPUT_RITASE!$A$5:$A$20000,$A4880,INPUT_RITASE!$H$5:$H$20000,$B4880,INPUT_RITASE!$C$5:$C$20000,$C4880,INPUT_RITASE!$N$5:$N$20000,"Coal")</f>
        <v/>
      </c>
      <c r="Q4880" s="186">
        <f>SUMIFS(INPUT_RITASE!$L$5:$L$20000,INPUT_RITASE!$A$5:$A$20000,$A4880,INPUT_RITASE!$H$5:$H$20000,$B4880,INPUT_RITASE!$C$5:$C$20000,$C4880,INPUT_RITASE!$N$5:$N$20000,"OB")</f>
        <v/>
      </c>
      <c r="R4880" s="186">
        <f>SUMIFS(INPUT_RITASE!$L$5:$L$20000,INPUT_RITASE!$A$5:$A$20000,$A4880,INPUT_RITASE!$H$5:$H$20000,$B4880,INPUT_RITASE!$C$5:$C$20000,$C4880,INPUT_RITASE!$N$5:$N$20000,"Coal")</f>
        <v/>
      </c>
      <c r="S4880" s="183" t="n">
        <v>0</v>
      </c>
      <c r="T4880" s="183" t="n">
        <v>0</v>
      </c>
      <c r="U4880" s="182" t="n">
        <v>0</v>
      </c>
      <c r="V4880" s="182" t="n">
        <v>0</v>
      </c>
      <c r="W4880" s="182" t="n">
        <v>0</v>
      </c>
      <c r="X4880" s="182" t="n">
        <v>0</v>
      </c>
      <c r="Y4880" s="182" t="n">
        <v>0</v>
      </c>
      <c r="Z4880" s="182" t="n">
        <v>0</v>
      </c>
      <c r="AA4880" s="182" t="n">
        <v>0</v>
      </c>
      <c r="AB4880" s="182" t="n">
        <v>0</v>
      </c>
      <c r="AC4880" s="182" t="n">
        <v>0</v>
      </c>
      <c r="AD4880" s="182" t="n">
        <v>0</v>
      </c>
      <c r="AE4880" s="182" t="n">
        <v>0</v>
      </c>
      <c r="AF4880" s="182" t="n">
        <v>0</v>
      </c>
      <c r="AG4880" s="182" t="n">
        <v>0</v>
      </c>
      <c r="AH4880" s="182" t="n">
        <v>0</v>
      </c>
      <c r="AI4880" s="182" t="n">
        <v>0</v>
      </c>
      <c r="AJ4880" s="182" t="n">
        <v>0</v>
      </c>
      <c r="AK4880" s="182" t="n">
        <v>0</v>
      </c>
      <c r="AL4880" s="182" t="n">
        <v>0</v>
      </c>
      <c r="AM4880" s="182" t="n">
        <v>0</v>
      </c>
      <c r="AN4880" s="182" t="n">
        <v>0</v>
      </c>
    </row>
    <row r="4881">
      <c r="A4881" s="155" t="n">
        <v>46104</v>
      </c>
      <c r="B4881" s="156" t="inlineStr">
        <is>
          <t>DS</t>
        </is>
      </c>
      <c r="C4881" s="156" t="inlineStr">
        <is>
          <t>EX-223</t>
        </is>
      </c>
      <c r="D4881" s="156" t="inlineStr">
        <is>
          <t>PC 200-8MI</t>
        </is>
      </c>
      <c r="E4881" s="156" t="inlineStr">
        <is>
          <t>Excavator</t>
        </is>
      </c>
      <c r="F4881" s="156" t="inlineStr">
        <is>
          <t>Support Washing Plant</t>
        </is>
      </c>
      <c r="G4881" s="182" t="n">
        <v>10.5</v>
      </c>
      <c r="H4881" s="182" t="n">
        <v>0</v>
      </c>
      <c r="I4881" s="182" t="n">
        <v>0</v>
      </c>
      <c r="J4881" s="182" t="n">
        <v>0</v>
      </c>
      <c r="K4881" s="182" t="n">
        <v>1.5</v>
      </c>
      <c r="L4881" s="182" t="n">
        <v>12</v>
      </c>
      <c r="M4881" s="182" t="n">
        <v>0</v>
      </c>
      <c r="N4881" s="182" t="n">
        <v>0</v>
      </c>
      <c r="O4881" s="185">
        <f>SUMIFS(INPUT_RITASE!$F$5:$F$20000,INPUT_RITASE!$A$5:$A$20000,$A4881,INPUT_RITASE!$H$5:$H$20000,$B4881,INPUT_RITASE!$C$5:$C$20000,$C4881,INPUT_RITASE!$N$5:$N$20000,"OB")</f>
        <v/>
      </c>
      <c r="P4881" s="185">
        <f>SUMIFS(INPUT_RITASE!$F$5:$F$20000,INPUT_RITASE!$A$5:$A$20000,$A4881,INPUT_RITASE!$H$5:$H$20000,$B4881,INPUT_RITASE!$C$5:$C$20000,$C4881,INPUT_RITASE!$N$5:$N$20000,"Coal")</f>
        <v/>
      </c>
      <c r="Q4881" s="186">
        <f>SUMIFS(INPUT_RITASE!$L$5:$L$20000,INPUT_RITASE!$A$5:$A$20000,$A4881,INPUT_RITASE!$H$5:$H$20000,$B4881,INPUT_RITASE!$C$5:$C$20000,$C4881,INPUT_RITASE!$N$5:$N$20000,"OB")</f>
        <v/>
      </c>
      <c r="R4881" s="186">
        <f>SUMIFS(INPUT_RITASE!$L$5:$L$20000,INPUT_RITASE!$A$5:$A$20000,$A4881,INPUT_RITASE!$H$5:$H$20000,$B4881,INPUT_RITASE!$C$5:$C$20000,$C4881,INPUT_RITASE!$N$5:$N$20000,"Coal")</f>
        <v/>
      </c>
      <c r="S4881" s="183" t="n">
        <v>0</v>
      </c>
      <c r="T4881" s="183" t="n">
        <v>0</v>
      </c>
      <c r="U4881" s="182" t="n">
        <v>0.15</v>
      </c>
      <c r="V4881" s="182" t="n">
        <v>0</v>
      </c>
      <c r="W4881" s="182" t="n">
        <v>0</v>
      </c>
      <c r="X4881" s="182" t="n">
        <v>1.25</v>
      </c>
      <c r="Y4881" s="182" t="n">
        <v>0</v>
      </c>
      <c r="Z4881" s="182" t="n">
        <v>0</v>
      </c>
      <c r="AA4881" s="182" t="n">
        <v>0</v>
      </c>
      <c r="AB4881" s="182" t="n">
        <v>0</v>
      </c>
      <c r="AC4881" s="182" t="n">
        <v>0</v>
      </c>
      <c r="AD4881" s="182" t="n">
        <v>0</v>
      </c>
      <c r="AE4881" s="182" t="n">
        <v>0</v>
      </c>
      <c r="AF4881" s="182" t="n">
        <v>0</v>
      </c>
      <c r="AG4881" s="182" t="n">
        <v>0</v>
      </c>
      <c r="AH4881" s="182" t="n">
        <v>0</v>
      </c>
      <c r="AI4881" s="182" t="n">
        <v>0</v>
      </c>
      <c r="AJ4881" s="182" t="n">
        <v>0</v>
      </c>
      <c r="AK4881" s="182" t="n">
        <v>0</v>
      </c>
      <c r="AL4881" s="182" t="n">
        <v>0</v>
      </c>
      <c r="AM4881" s="182" t="n">
        <v>0.1</v>
      </c>
      <c r="AN4881" s="182" t="n">
        <v>0</v>
      </c>
    </row>
    <row r="4882">
      <c r="A4882" s="155" t="n">
        <v>46104</v>
      </c>
      <c r="B4882" s="156" t="inlineStr">
        <is>
          <t>DS</t>
        </is>
      </c>
      <c r="C4882" s="156" t="inlineStr">
        <is>
          <t>EX-221</t>
        </is>
      </c>
      <c r="D4882" s="156" t="inlineStr">
        <is>
          <t>PC 200-8MI</t>
        </is>
      </c>
      <c r="E4882" s="156" t="inlineStr">
        <is>
          <t>Excavator</t>
        </is>
      </c>
      <c r="F4882" s="156" t="inlineStr">
        <is>
          <t>General Jetty</t>
        </is>
      </c>
      <c r="G4882" s="182" t="n">
        <v>1.76</v>
      </c>
      <c r="H4882" s="182" t="n">
        <v>0</v>
      </c>
      <c r="I4882" s="182" t="n">
        <v>0</v>
      </c>
      <c r="J4882" s="182" t="n">
        <v>0</v>
      </c>
      <c r="K4882" s="182" t="n">
        <v>10.24</v>
      </c>
      <c r="L4882" s="182" t="n">
        <v>12</v>
      </c>
      <c r="M4882" s="182" t="n">
        <v>0</v>
      </c>
      <c r="N4882" s="182" t="n">
        <v>0</v>
      </c>
      <c r="O4882" s="185">
        <f>SUMIFS(INPUT_RITASE!$F$5:$F$20000,INPUT_RITASE!$A$5:$A$20000,$A4882,INPUT_RITASE!$H$5:$H$20000,$B4882,INPUT_RITASE!$C$5:$C$20000,$C4882,INPUT_RITASE!$N$5:$N$20000,"OB")</f>
        <v/>
      </c>
      <c r="P4882" s="185">
        <f>SUMIFS(INPUT_RITASE!$F$5:$F$20000,INPUT_RITASE!$A$5:$A$20000,$A4882,INPUT_RITASE!$H$5:$H$20000,$B4882,INPUT_RITASE!$C$5:$C$20000,$C4882,INPUT_RITASE!$N$5:$N$20000,"Coal")</f>
        <v/>
      </c>
      <c r="Q4882" s="186">
        <f>SUMIFS(INPUT_RITASE!$L$5:$L$20000,INPUT_RITASE!$A$5:$A$20000,$A4882,INPUT_RITASE!$H$5:$H$20000,$B4882,INPUT_RITASE!$C$5:$C$20000,$C4882,INPUT_RITASE!$N$5:$N$20000,"OB")</f>
        <v/>
      </c>
      <c r="R4882" s="186">
        <f>SUMIFS(INPUT_RITASE!$L$5:$L$20000,INPUT_RITASE!$A$5:$A$20000,$A4882,INPUT_RITASE!$H$5:$H$20000,$B4882,INPUT_RITASE!$C$5:$C$20000,$C4882,INPUT_RITASE!$N$5:$N$20000,"Coal")</f>
        <v/>
      </c>
      <c r="S4882" s="183" t="n">
        <v>0</v>
      </c>
      <c r="T4882" s="183" t="n">
        <v>0</v>
      </c>
      <c r="U4882" s="182" t="n">
        <v>0</v>
      </c>
      <c r="V4882" s="182" t="n">
        <v>0</v>
      </c>
      <c r="W4882" s="182" t="n">
        <v>0</v>
      </c>
      <c r="X4882" s="182" t="n">
        <v>1.04</v>
      </c>
      <c r="Y4882" s="182" t="n">
        <v>0</v>
      </c>
      <c r="Z4882" s="182" t="n">
        <v>0</v>
      </c>
      <c r="AA4882" s="182" t="n">
        <v>0</v>
      </c>
      <c r="AB4882" s="182" t="n">
        <v>0</v>
      </c>
      <c r="AC4882" s="182" t="n">
        <v>0</v>
      </c>
      <c r="AD4882" s="182" t="n">
        <v>0</v>
      </c>
      <c r="AE4882" s="182" t="n">
        <v>0</v>
      </c>
      <c r="AF4882" s="182" t="n">
        <v>0</v>
      </c>
      <c r="AG4882" s="182" t="n">
        <v>0</v>
      </c>
      <c r="AH4882" s="182" t="n">
        <v>0</v>
      </c>
      <c r="AI4882" s="182" t="n">
        <v>0</v>
      </c>
      <c r="AJ4882" s="182" t="n">
        <v>0</v>
      </c>
      <c r="AK4882" s="182" t="n">
        <v>9.109999999999999</v>
      </c>
      <c r="AL4882" s="182" t="n">
        <v>0</v>
      </c>
      <c r="AM4882" s="182" t="n">
        <v>0.08</v>
      </c>
      <c r="AN4882" s="182" t="n">
        <v>0</v>
      </c>
    </row>
    <row r="4883">
      <c r="A4883" s="155" t="n">
        <v>46104</v>
      </c>
      <c r="B4883" s="156" t="inlineStr">
        <is>
          <t>DS</t>
        </is>
      </c>
      <c r="C4883" s="156" t="inlineStr">
        <is>
          <t>EX-331</t>
        </is>
      </c>
      <c r="D4883" s="156" t="inlineStr">
        <is>
          <t>PC 300-8MO</t>
        </is>
      </c>
      <c r="E4883" s="156" t="inlineStr">
        <is>
          <t>Excavator</t>
        </is>
      </c>
      <c r="F4883" s="156" t="inlineStr"/>
      <c r="G4883" s="182" t="n">
        <v>0</v>
      </c>
      <c r="H4883" s="182" t="n">
        <v>0</v>
      </c>
      <c r="I4883" s="182" t="n">
        <v>12</v>
      </c>
      <c r="J4883" s="182" t="n">
        <v>12</v>
      </c>
      <c r="K4883" s="182" t="n">
        <v>0</v>
      </c>
      <c r="L4883" s="182" t="n">
        <v>12</v>
      </c>
      <c r="M4883" s="182" t="n">
        <v>0</v>
      </c>
      <c r="N4883" s="182" t="n">
        <v>0</v>
      </c>
      <c r="O4883" s="185">
        <f>SUMIFS(INPUT_RITASE!$F$5:$F$20000,INPUT_RITASE!$A$5:$A$20000,$A4883,INPUT_RITASE!$H$5:$H$20000,$B4883,INPUT_RITASE!$C$5:$C$20000,$C4883,INPUT_RITASE!$N$5:$N$20000,"OB")</f>
        <v/>
      </c>
      <c r="P4883" s="185">
        <f>SUMIFS(INPUT_RITASE!$F$5:$F$20000,INPUT_RITASE!$A$5:$A$20000,$A4883,INPUT_RITASE!$H$5:$H$20000,$B4883,INPUT_RITASE!$C$5:$C$20000,$C4883,INPUT_RITASE!$N$5:$N$20000,"Coal")</f>
        <v/>
      </c>
      <c r="Q4883" s="186">
        <f>SUMIFS(INPUT_RITASE!$L$5:$L$20000,INPUT_RITASE!$A$5:$A$20000,$A4883,INPUT_RITASE!$H$5:$H$20000,$B4883,INPUT_RITASE!$C$5:$C$20000,$C4883,INPUT_RITASE!$N$5:$N$20000,"OB")</f>
        <v/>
      </c>
      <c r="R4883" s="186">
        <f>SUMIFS(INPUT_RITASE!$L$5:$L$20000,INPUT_RITASE!$A$5:$A$20000,$A4883,INPUT_RITASE!$H$5:$H$20000,$B4883,INPUT_RITASE!$C$5:$C$20000,$C4883,INPUT_RITASE!$N$5:$N$20000,"Coal")</f>
        <v/>
      </c>
      <c r="S4883" s="183" t="n">
        <v>0</v>
      </c>
      <c r="T4883" s="183" t="n">
        <v>0</v>
      </c>
      <c r="U4883" s="182" t="n">
        <v>0</v>
      </c>
      <c r="V4883" s="182" t="n">
        <v>0</v>
      </c>
      <c r="W4883" s="182" t="n">
        <v>0</v>
      </c>
      <c r="X4883" s="182" t="n">
        <v>0</v>
      </c>
      <c r="Y4883" s="182" t="n">
        <v>0</v>
      </c>
      <c r="Z4883" s="182" t="n">
        <v>0</v>
      </c>
      <c r="AA4883" s="182" t="n">
        <v>0</v>
      </c>
      <c r="AB4883" s="182" t="n">
        <v>0</v>
      </c>
      <c r="AC4883" s="182" t="n">
        <v>0</v>
      </c>
      <c r="AD4883" s="182" t="n">
        <v>0</v>
      </c>
      <c r="AE4883" s="182" t="n">
        <v>0</v>
      </c>
      <c r="AF4883" s="182" t="n">
        <v>0</v>
      </c>
      <c r="AG4883" s="182" t="n">
        <v>0</v>
      </c>
      <c r="AH4883" s="182" t="n">
        <v>0</v>
      </c>
      <c r="AI4883" s="182" t="n">
        <v>0</v>
      </c>
      <c r="AJ4883" s="182" t="n">
        <v>0</v>
      </c>
      <c r="AK4883" s="182" t="n">
        <v>0</v>
      </c>
      <c r="AL4883" s="182" t="n">
        <v>0</v>
      </c>
      <c r="AM4883" s="182" t="n">
        <v>0</v>
      </c>
      <c r="AN4883" s="182" t="n">
        <v>0</v>
      </c>
    </row>
    <row r="4884">
      <c r="A4884" s="155" t="n">
        <v>46104</v>
      </c>
      <c r="B4884" s="156" t="inlineStr">
        <is>
          <t>DS</t>
        </is>
      </c>
      <c r="C4884" s="156" t="inlineStr">
        <is>
          <t>EX-334</t>
        </is>
      </c>
      <c r="D4884" s="156" t="inlineStr">
        <is>
          <t>PC 300-8MO</t>
        </is>
      </c>
      <c r="E4884" s="156" t="inlineStr">
        <is>
          <t>Excavator</t>
        </is>
      </c>
      <c r="F4884" s="156" t="inlineStr">
        <is>
          <t>General Estapet Soil</t>
        </is>
      </c>
      <c r="G4884" s="182" t="n">
        <v>10.85</v>
      </c>
      <c r="H4884" s="182" t="n">
        <v>0</v>
      </c>
      <c r="I4884" s="182" t="n">
        <v>0</v>
      </c>
      <c r="J4884" s="182" t="n">
        <v>0</v>
      </c>
      <c r="K4884" s="182" t="n">
        <v>1.15</v>
      </c>
      <c r="L4884" s="182" t="n">
        <v>12</v>
      </c>
      <c r="M4884" s="182" t="n">
        <v>0</v>
      </c>
      <c r="N4884" s="182" t="n">
        <v>0</v>
      </c>
      <c r="O4884" s="185">
        <f>SUMIFS(INPUT_RITASE!$F$5:$F$20000,INPUT_RITASE!$A$5:$A$20000,$A4884,INPUT_RITASE!$H$5:$H$20000,$B4884,INPUT_RITASE!$C$5:$C$20000,$C4884,INPUT_RITASE!$N$5:$N$20000,"OB")</f>
        <v/>
      </c>
      <c r="P4884" s="185">
        <f>SUMIFS(INPUT_RITASE!$F$5:$F$20000,INPUT_RITASE!$A$5:$A$20000,$A4884,INPUT_RITASE!$H$5:$H$20000,$B4884,INPUT_RITASE!$C$5:$C$20000,$C4884,INPUT_RITASE!$N$5:$N$20000,"Coal")</f>
        <v/>
      </c>
      <c r="Q4884" s="186">
        <f>SUMIFS(INPUT_RITASE!$L$5:$L$20000,INPUT_RITASE!$A$5:$A$20000,$A4884,INPUT_RITASE!$H$5:$H$20000,$B4884,INPUT_RITASE!$C$5:$C$20000,$C4884,INPUT_RITASE!$N$5:$N$20000,"OB")</f>
        <v/>
      </c>
      <c r="R4884" s="186">
        <f>SUMIFS(INPUT_RITASE!$L$5:$L$20000,INPUT_RITASE!$A$5:$A$20000,$A4884,INPUT_RITASE!$H$5:$H$20000,$B4884,INPUT_RITASE!$C$5:$C$20000,$C4884,INPUT_RITASE!$N$5:$N$20000,"Coal")</f>
        <v/>
      </c>
      <c r="S4884" s="183" t="n">
        <v>0</v>
      </c>
      <c r="T4884" s="183" t="n">
        <v>0</v>
      </c>
      <c r="U4884" s="182" t="n">
        <v>0</v>
      </c>
      <c r="V4884" s="182" t="n">
        <v>0</v>
      </c>
      <c r="W4884" s="182" t="n">
        <v>0</v>
      </c>
      <c r="X4884" s="182" t="n">
        <v>1.06</v>
      </c>
      <c r="Y4884" s="182" t="n">
        <v>0</v>
      </c>
      <c r="Z4884" s="182" t="n">
        <v>0</v>
      </c>
      <c r="AA4884" s="182" t="n">
        <v>0</v>
      </c>
      <c r="AB4884" s="182" t="n">
        <v>0</v>
      </c>
      <c r="AC4884" s="182" t="n">
        <v>0</v>
      </c>
      <c r="AD4884" s="182" t="n">
        <v>0</v>
      </c>
      <c r="AE4884" s="182" t="n">
        <v>0</v>
      </c>
      <c r="AF4884" s="182" t="n">
        <v>0</v>
      </c>
      <c r="AG4884" s="182" t="n">
        <v>0</v>
      </c>
      <c r="AH4884" s="182" t="n">
        <v>0</v>
      </c>
      <c r="AI4884" s="182" t="n">
        <v>0</v>
      </c>
      <c r="AJ4884" s="182" t="n">
        <v>0</v>
      </c>
      <c r="AK4884" s="182" t="n">
        <v>0</v>
      </c>
      <c r="AL4884" s="182" t="n">
        <v>0</v>
      </c>
      <c r="AM4884" s="182" t="n">
        <v>0.09</v>
      </c>
      <c r="AN4884" s="182" t="n">
        <v>0</v>
      </c>
    </row>
    <row r="4885">
      <c r="A4885" s="155" t="n">
        <v>46104</v>
      </c>
      <c r="B4885" s="156" t="inlineStr">
        <is>
          <t>DS</t>
        </is>
      </c>
      <c r="C4885" s="156" t="inlineStr">
        <is>
          <t>EX-332</t>
        </is>
      </c>
      <c r="D4885" s="156" t="inlineStr">
        <is>
          <t>PC 300-8MO</t>
        </is>
      </c>
      <c r="E4885" s="156" t="inlineStr">
        <is>
          <t>Excavator</t>
        </is>
      </c>
      <c r="F4885" s="156" t="inlineStr">
        <is>
          <t>General Estapet Soil</t>
        </is>
      </c>
      <c r="G4885" s="182" t="n">
        <v>7.51</v>
      </c>
      <c r="H4885" s="182" t="n">
        <v>3.15</v>
      </c>
      <c r="I4885" s="182" t="n">
        <v>0.4</v>
      </c>
      <c r="J4885" s="182" t="n">
        <v>3.55</v>
      </c>
      <c r="K4885" s="182" t="n">
        <v>0.9399999999999999</v>
      </c>
      <c r="L4885" s="182" t="n">
        <v>12</v>
      </c>
      <c r="M4885" s="182" t="n">
        <v>0</v>
      </c>
      <c r="N4885" s="182" t="n">
        <v>0</v>
      </c>
      <c r="O4885" s="185">
        <f>SUMIFS(INPUT_RITASE!$F$5:$F$20000,INPUT_RITASE!$A$5:$A$20000,$A4885,INPUT_RITASE!$H$5:$H$20000,$B4885,INPUT_RITASE!$C$5:$C$20000,$C4885,INPUT_RITASE!$N$5:$N$20000,"OB")</f>
        <v/>
      </c>
      <c r="P4885" s="185">
        <f>SUMIFS(INPUT_RITASE!$F$5:$F$20000,INPUT_RITASE!$A$5:$A$20000,$A4885,INPUT_RITASE!$H$5:$H$20000,$B4885,INPUT_RITASE!$C$5:$C$20000,$C4885,INPUT_RITASE!$N$5:$N$20000,"Coal")</f>
        <v/>
      </c>
      <c r="Q4885" s="186">
        <f>SUMIFS(INPUT_RITASE!$L$5:$L$20000,INPUT_RITASE!$A$5:$A$20000,$A4885,INPUT_RITASE!$H$5:$H$20000,$B4885,INPUT_RITASE!$C$5:$C$20000,$C4885,INPUT_RITASE!$N$5:$N$20000,"OB")</f>
        <v/>
      </c>
      <c r="R4885" s="186">
        <f>SUMIFS(INPUT_RITASE!$L$5:$L$20000,INPUT_RITASE!$A$5:$A$20000,$A4885,INPUT_RITASE!$H$5:$H$20000,$B4885,INPUT_RITASE!$C$5:$C$20000,$C4885,INPUT_RITASE!$N$5:$N$20000,"Coal")</f>
        <v/>
      </c>
      <c r="S4885" s="183" t="n">
        <v>0</v>
      </c>
      <c r="T4885" s="183" t="n">
        <v>0</v>
      </c>
      <c r="U4885" s="182" t="n">
        <v>0</v>
      </c>
      <c r="V4885" s="182" t="n">
        <v>0</v>
      </c>
      <c r="W4885" s="182" t="n">
        <v>0</v>
      </c>
      <c r="X4885" s="182" t="n">
        <v>0.87</v>
      </c>
      <c r="Y4885" s="182" t="n">
        <v>0</v>
      </c>
      <c r="Z4885" s="182" t="n">
        <v>0</v>
      </c>
      <c r="AA4885" s="182" t="n">
        <v>0</v>
      </c>
      <c r="AB4885" s="182" t="n">
        <v>0</v>
      </c>
      <c r="AC4885" s="182" t="n">
        <v>0</v>
      </c>
      <c r="AD4885" s="182" t="n">
        <v>0</v>
      </c>
      <c r="AE4885" s="182" t="n">
        <v>0</v>
      </c>
      <c r="AF4885" s="182" t="n">
        <v>0</v>
      </c>
      <c r="AG4885" s="182" t="n">
        <v>0</v>
      </c>
      <c r="AH4885" s="182" t="n">
        <v>0</v>
      </c>
      <c r="AI4885" s="182" t="n">
        <v>0</v>
      </c>
      <c r="AJ4885" s="182" t="n">
        <v>0</v>
      </c>
      <c r="AK4885" s="182" t="n">
        <v>0</v>
      </c>
      <c r="AL4885" s="182" t="n">
        <v>0</v>
      </c>
      <c r="AM4885" s="182" t="n">
        <v>0.07000000000000001</v>
      </c>
      <c r="AN4885" s="182" t="n">
        <v>0</v>
      </c>
    </row>
    <row r="4886">
      <c r="A4886" s="155" t="n">
        <v>46104</v>
      </c>
      <c r="B4886" s="156" t="inlineStr">
        <is>
          <t>DS</t>
        </is>
      </c>
      <c r="C4886" s="156" t="inlineStr">
        <is>
          <t>EX-333</t>
        </is>
      </c>
      <c r="D4886" s="156" t="inlineStr">
        <is>
          <t>PC 300-8MO</t>
        </is>
      </c>
      <c r="E4886" s="156" t="inlineStr">
        <is>
          <t>Excavator</t>
        </is>
      </c>
      <c r="F4886" s="156" t="inlineStr">
        <is>
          <t>General Pit tanggul</t>
        </is>
      </c>
      <c r="G4886" s="182" t="n">
        <v>9.74</v>
      </c>
      <c r="H4886" s="182" t="n">
        <v>0.32</v>
      </c>
      <c r="I4886" s="182" t="n">
        <v>0</v>
      </c>
      <c r="J4886" s="182" t="n">
        <v>0.32</v>
      </c>
      <c r="K4886" s="182" t="n">
        <v>1.94</v>
      </c>
      <c r="L4886" s="182" t="n">
        <v>12</v>
      </c>
      <c r="M4886" s="182" t="n">
        <v>0</v>
      </c>
      <c r="N4886" s="182" t="n">
        <v>0</v>
      </c>
      <c r="O4886" s="185">
        <f>SUMIFS(INPUT_RITASE!$F$5:$F$20000,INPUT_RITASE!$A$5:$A$20000,$A4886,INPUT_RITASE!$H$5:$H$20000,$B4886,INPUT_RITASE!$C$5:$C$20000,$C4886,INPUT_RITASE!$N$5:$N$20000,"OB")</f>
        <v/>
      </c>
      <c r="P4886" s="185">
        <f>SUMIFS(INPUT_RITASE!$F$5:$F$20000,INPUT_RITASE!$A$5:$A$20000,$A4886,INPUT_RITASE!$H$5:$H$20000,$B4886,INPUT_RITASE!$C$5:$C$20000,$C4886,INPUT_RITASE!$N$5:$N$20000,"Coal")</f>
        <v/>
      </c>
      <c r="Q4886" s="186">
        <f>SUMIFS(INPUT_RITASE!$L$5:$L$20000,INPUT_RITASE!$A$5:$A$20000,$A4886,INPUT_RITASE!$H$5:$H$20000,$B4886,INPUT_RITASE!$C$5:$C$20000,$C4886,INPUT_RITASE!$N$5:$N$20000,"OB")</f>
        <v/>
      </c>
      <c r="R4886" s="186">
        <f>SUMIFS(INPUT_RITASE!$L$5:$L$20000,INPUT_RITASE!$A$5:$A$20000,$A4886,INPUT_RITASE!$H$5:$H$20000,$B4886,INPUT_RITASE!$C$5:$C$20000,$C4886,INPUT_RITASE!$N$5:$N$20000,"Coal")</f>
        <v/>
      </c>
      <c r="S4886" s="183" t="n">
        <v>0</v>
      </c>
      <c r="T4886" s="183" t="n">
        <v>0</v>
      </c>
      <c r="U4886" s="182" t="n">
        <v>0.62</v>
      </c>
      <c r="V4886" s="182" t="n">
        <v>0</v>
      </c>
      <c r="W4886" s="182" t="n">
        <v>0</v>
      </c>
      <c r="X4886" s="182" t="n">
        <v>1.09</v>
      </c>
      <c r="Y4886" s="182" t="n">
        <v>0</v>
      </c>
      <c r="Z4886" s="182" t="n">
        <v>0</v>
      </c>
      <c r="AA4886" s="182" t="n">
        <v>0</v>
      </c>
      <c r="AB4886" s="182" t="n">
        <v>0</v>
      </c>
      <c r="AC4886" s="182" t="n">
        <v>0</v>
      </c>
      <c r="AD4886" s="182" t="n">
        <v>0</v>
      </c>
      <c r="AE4886" s="182" t="n">
        <v>0</v>
      </c>
      <c r="AF4886" s="182" t="n">
        <v>0</v>
      </c>
      <c r="AG4886" s="182" t="n">
        <v>0</v>
      </c>
      <c r="AH4886" s="182" t="n">
        <v>0.14</v>
      </c>
      <c r="AI4886" s="182" t="n">
        <v>0</v>
      </c>
      <c r="AJ4886" s="182" t="n">
        <v>0</v>
      </c>
      <c r="AK4886" s="182" t="n">
        <v>0</v>
      </c>
      <c r="AL4886" s="182" t="n">
        <v>0</v>
      </c>
      <c r="AM4886" s="182" t="n">
        <v>0.09</v>
      </c>
      <c r="AN4886" s="182" t="n">
        <v>0</v>
      </c>
    </row>
    <row r="4887">
      <c r="A4887" s="155" t="n">
        <v>46104</v>
      </c>
      <c r="B4887" s="156" t="inlineStr">
        <is>
          <t>DS</t>
        </is>
      </c>
      <c r="C4887" s="156" t="inlineStr">
        <is>
          <t>EX-336</t>
        </is>
      </c>
      <c r="D4887" s="156" t="inlineStr">
        <is>
          <t>PC 300-8MO</t>
        </is>
      </c>
      <c r="E4887" s="156" t="inlineStr">
        <is>
          <t>Excavator</t>
        </is>
      </c>
      <c r="F4887" s="156" t="inlineStr">
        <is>
          <t>Loading Coal &amp; Cleaning Coal</t>
        </is>
      </c>
      <c r="G4887" s="182" t="n">
        <v>10.96</v>
      </c>
      <c r="H4887" s="182" t="n">
        <v>0</v>
      </c>
      <c r="I4887" s="182" t="n">
        <v>0.87</v>
      </c>
      <c r="J4887" s="182" t="n">
        <v>0.87</v>
      </c>
      <c r="K4887" s="182" t="n">
        <v>0.17</v>
      </c>
      <c r="L4887" s="182" t="n">
        <v>12</v>
      </c>
      <c r="M4887" s="182" t="n">
        <v>0</v>
      </c>
      <c r="N4887" s="182" t="n">
        <v>3.98</v>
      </c>
      <c r="O4887" s="185">
        <f>SUMIFS(INPUT_RITASE!$F$5:$F$20000,INPUT_RITASE!$A$5:$A$20000,$A4887,INPUT_RITASE!$H$5:$H$20000,$B4887,INPUT_RITASE!$C$5:$C$20000,$C4887,INPUT_RITASE!$N$5:$N$20000,"OB")</f>
        <v/>
      </c>
      <c r="P4887" s="185">
        <f>SUMIFS(INPUT_RITASE!$F$5:$F$20000,INPUT_RITASE!$A$5:$A$20000,$A4887,INPUT_RITASE!$H$5:$H$20000,$B4887,INPUT_RITASE!$C$5:$C$20000,$C4887,INPUT_RITASE!$N$5:$N$20000,"Coal")</f>
        <v/>
      </c>
      <c r="Q4887" s="186">
        <f>SUMIFS(INPUT_RITASE!$L$5:$L$20000,INPUT_RITASE!$A$5:$A$20000,$A4887,INPUT_RITASE!$H$5:$H$20000,$B4887,INPUT_RITASE!$C$5:$C$20000,$C4887,INPUT_RITASE!$N$5:$N$20000,"OB")</f>
        <v/>
      </c>
      <c r="R4887" s="186">
        <f>SUMIFS(INPUT_RITASE!$L$5:$L$20000,INPUT_RITASE!$A$5:$A$20000,$A4887,INPUT_RITASE!$H$5:$H$20000,$B4887,INPUT_RITASE!$C$5:$C$20000,$C4887,INPUT_RITASE!$N$5:$N$20000,"Coal")</f>
        <v/>
      </c>
      <c r="S4887" s="183" t="n">
        <v>0</v>
      </c>
      <c r="T4887" s="183" t="n">
        <v>0</v>
      </c>
      <c r="U4887" s="182" t="n">
        <v>0</v>
      </c>
      <c r="V4887" s="182" t="n">
        <v>0</v>
      </c>
      <c r="W4887" s="182" t="n">
        <v>0</v>
      </c>
      <c r="X4887" s="182" t="n">
        <v>0.07000000000000001</v>
      </c>
      <c r="Y4887" s="182" t="n">
        <v>0</v>
      </c>
      <c r="Z4887" s="182" t="n">
        <v>0</v>
      </c>
      <c r="AA4887" s="182" t="n">
        <v>0</v>
      </c>
      <c r="AB4887" s="182" t="n">
        <v>0</v>
      </c>
      <c r="AC4887" s="182" t="n">
        <v>0</v>
      </c>
      <c r="AD4887" s="182" t="n">
        <v>0</v>
      </c>
      <c r="AE4887" s="182" t="n">
        <v>0</v>
      </c>
      <c r="AF4887" s="182" t="n">
        <v>0</v>
      </c>
      <c r="AG4887" s="182" t="n">
        <v>0</v>
      </c>
      <c r="AH4887" s="182" t="n">
        <v>0</v>
      </c>
      <c r="AI4887" s="182" t="n">
        <v>0</v>
      </c>
      <c r="AJ4887" s="182" t="n">
        <v>0</v>
      </c>
      <c r="AK4887" s="182" t="n">
        <v>0</v>
      </c>
      <c r="AL4887" s="182" t="n">
        <v>0</v>
      </c>
      <c r="AM4887" s="182" t="n">
        <v>0.1</v>
      </c>
      <c r="AN4887" s="182" t="n">
        <v>0</v>
      </c>
    </row>
    <row r="4888">
      <c r="A4888" s="155" t="n">
        <v>46104</v>
      </c>
      <c r="B4888" s="156" t="inlineStr">
        <is>
          <t>DS</t>
        </is>
      </c>
      <c r="C4888" s="156" t="inlineStr">
        <is>
          <t>EX-335</t>
        </is>
      </c>
      <c r="D4888" s="156" t="inlineStr">
        <is>
          <t>PC 300-8MO</t>
        </is>
      </c>
      <c r="E4888" s="156" t="inlineStr">
        <is>
          <t>Excavator</t>
        </is>
      </c>
      <c r="F4888" s="156" t="inlineStr"/>
      <c r="G4888" s="182" t="n">
        <v>0</v>
      </c>
      <c r="H4888" s="182" t="n">
        <v>0</v>
      </c>
      <c r="I4888" s="182" t="n">
        <v>12</v>
      </c>
      <c r="J4888" s="182" t="n">
        <v>12</v>
      </c>
      <c r="K4888" s="182" t="n">
        <v>0</v>
      </c>
      <c r="L4888" s="182" t="n">
        <v>12</v>
      </c>
      <c r="M4888" s="182" t="n">
        <v>0</v>
      </c>
      <c r="N4888" s="182" t="n">
        <v>0</v>
      </c>
      <c r="O4888" s="185">
        <f>SUMIFS(INPUT_RITASE!$F$5:$F$20000,INPUT_RITASE!$A$5:$A$20000,$A4888,INPUT_RITASE!$H$5:$H$20000,$B4888,INPUT_RITASE!$C$5:$C$20000,$C4888,INPUT_RITASE!$N$5:$N$20000,"OB")</f>
        <v/>
      </c>
      <c r="P4888" s="185">
        <f>SUMIFS(INPUT_RITASE!$F$5:$F$20000,INPUT_RITASE!$A$5:$A$20000,$A4888,INPUT_RITASE!$H$5:$H$20000,$B4888,INPUT_RITASE!$C$5:$C$20000,$C4888,INPUT_RITASE!$N$5:$N$20000,"Coal")</f>
        <v/>
      </c>
      <c r="Q4888" s="186">
        <f>SUMIFS(INPUT_RITASE!$L$5:$L$20000,INPUT_RITASE!$A$5:$A$20000,$A4888,INPUT_RITASE!$H$5:$H$20000,$B4888,INPUT_RITASE!$C$5:$C$20000,$C4888,INPUT_RITASE!$N$5:$N$20000,"OB")</f>
        <v/>
      </c>
      <c r="R4888" s="186">
        <f>SUMIFS(INPUT_RITASE!$L$5:$L$20000,INPUT_RITASE!$A$5:$A$20000,$A4888,INPUT_RITASE!$H$5:$H$20000,$B4888,INPUT_RITASE!$C$5:$C$20000,$C4888,INPUT_RITASE!$N$5:$N$20000,"Coal")</f>
        <v/>
      </c>
      <c r="S4888" s="183" t="n">
        <v>0</v>
      </c>
      <c r="T4888" s="183" t="n">
        <v>0</v>
      </c>
      <c r="U4888" s="182" t="n">
        <v>0</v>
      </c>
      <c r="V4888" s="182" t="n">
        <v>0</v>
      </c>
      <c r="W4888" s="182" t="n">
        <v>0</v>
      </c>
      <c r="X4888" s="182" t="n">
        <v>0</v>
      </c>
      <c r="Y4888" s="182" t="n">
        <v>0</v>
      </c>
      <c r="Z4888" s="182" t="n">
        <v>0</v>
      </c>
      <c r="AA4888" s="182" t="n">
        <v>0</v>
      </c>
      <c r="AB4888" s="182" t="n">
        <v>0</v>
      </c>
      <c r="AC4888" s="182" t="n">
        <v>0</v>
      </c>
      <c r="AD4888" s="182" t="n">
        <v>0</v>
      </c>
      <c r="AE4888" s="182" t="n">
        <v>0</v>
      </c>
      <c r="AF4888" s="182" t="n">
        <v>0</v>
      </c>
      <c r="AG4888" s="182" t="n">
        <v>0</v>
      </c>
      <c r="AH4888" s="182" t="n">
        <v>0</v>
      </c>
      <c r="AI4888" s="182" t="n">
        <v>0</v>
      </c>
      <c r="AJ4888" s="182" t="n">
        <v>0</v>
      </c>
      <c r="AK4888" s="182" t="n">
        <v>0</v>
      </c>
      <c r="AL4888" s="182" t="n">
        <v>0</v>
      </c>
      <c r="AM4888" s="182" t="n">
        <v>0</v>
      </c>
      <c r="AN4888" s="182" t="n">
        <v>0</v>
      </c>
    </row>
    <row r="4889">
      <c r="A4889" s="155" t="n">
        <v>46104</v>
      </c>
      <c r="B4889" s="156" t="inlineStr">
        <is>
          <t>DS</t>
        </is>
      </c>
      <c r="C4889" s="156" t="inlineStr">
        <is>
          <t>EX-754</t>
        </is>
      </c>
      <c r="D4889" s="156" t="inlineStr">
        <is>
          <t>SY750H-PRO</t>
        </is>
      </c>
      <c r="E4889" s="156" t="inlineStr">
        <is>
          <t>Excavator</t>
        </is>
      </c>
      <c r="F4889" s="156" t="inlineStr"/>
      <c r="G4889" s="182" t="n">
        <v>0</v>
      </c>
      <c r="H4889" s="182" t="n">
        <v>0</v>
      </c>
      <c r="I4889" s="182" t="n">
        <v>12</v>
      </c>
      <c r="J4889" s="182" t="n">
        <v>12</v>
      </c>
      <c r="K4889" s="182" t="n">
        <v>0</v>
      </c>
      <c r="L4889" s="182" t="n">
        <v>12</v>
      </c>
      <c r="M4889" s="182" t="n">
        <v>0</v>
      </c>
      <c r="N4889" s="182" t="n">
        <v>0</v>
      </c>
      <c r="O4889" s="185">
        <f>SUMIFS(INPUT_RITASE!$F$5:$F$20000,INPUT_RITASE!$A$5:$A$20000,$A4889,INPUT_RITASE!$H$5:$H$20000,$B4889,INPUT_RITASE!$C$5:$C$20000,$C4889,INPUT_RITASE!$N$5:$N$20000,"OB")</f>
        <v/>
      </c>
      <c r="P4889" s="185">
        <f>SUMIFS(INPUT_RITASE!$F$5:$F$20000,INPUT_RITASE!$A$5:$A$20000,$A4889,INPUT_RITASE!$H$5:$H$20000,$B4889,INPUT_RITASE!$C$5:$C$20000,$C4889,INPUT_RITASE!$N$5:$N$20000,"Coal")</f>
        <v/>
      </c>
      <c r="Q4889" s="186">
        <f>SUMIFS(INPUT_RITASE!$L$5:$L$20000,INPUT_RITASE!$A$5:$A$20000,$A4889,INPUT_RITASE!$H$5:$H$20000,$B4889,INPUT_RITASE!$C$5:$C$20000,$C4889,INPUT_RITASE!$N$5:$N$20000,"OB")</f>
        <v/>
      </c>
      <c r="R4889" s="186">
        <f>SUMIFS(INPUT_RITASE!$L$5:$L$20000,INPUT_RITASE!$A$5:$A$20000,$A4889,INPUT_RITASE!$H$5:$H$20000,$B4889,INPUT_RITASE!$C$5:$C$20000,$C4889,INPUT_RITASE!$N$5:$N$20000,"Coal")</f>
        <v/>
      </c>
      <c r="S4889" s="183" t="n">
        <v>0</v>
      </c>
      <c r="T4889" s="183" t="n">
        <v>0</v>
      </c>
      <c r="U4889" s="182" t="n">
        <v>0</v>
      </c>
      <c r="V4889" s="182" t="n">
        <v>0</v>
      </c>
      <c r="W4889" s="182" t="n">
        <v>0</v>
      </c>
      <c r="X4889" s="182" t="n">
        <v>0</v>
      </c>
      <c r="Y4889" s="182" t="n">
        <v>0</v>
      </c>
      <c r="Z4889" s="182" t="n">
        <v>0</v>
      </c>
      <c r="AA4889" s="182" t="n">
        <v>0</v>
      </c>
      <c r="AB4889" s="182" t="n">
        <v>0</v>
      </c>
      <c r="AC4889" s="182" t="n">
        <v>0</v>
      </c>
      <c r="AD4889" s="182" t="n">
        <v>0</v>
      </c>
      <c r="AE4889" s="182" t="n">
        <v>0</v>
      </c>
      <c r="AF4889" s="182" t="n">
        <v>0</v>
      </c>
      <c r="AG4889" s="182" t="n">
        <v>0</v>
      </c>
      <c r="AH4889" s="182" t="n">
        <v>0</v>
      </c>
      <c r="AI4889" s="182" t="n">
        <v>0</v>
      </c>
      <c r="AJ4889" s="182" t="n">
        <v>0</v>
      </c>
      <c r="AK4889" s="182" t="n">
        <v>0</v>
      </c>
      <c r="AL4889" s="182" t="n">
        <v>0</v>
      </c>
      <c r="AM4889" s="182" t="n">
        <v>0</v>
      </c>
      <c r="AN4889" s="182" t="n">
        <v>0</v>
      </c>
    </row>
    <row r="4890">
      <c r="A4890" s="155" t="n">
        <v>46104</v>
      </c>
      <c r="B4890" s="156" t="inlineStr">
        <is>
          <t>DS</t>
        </is>
      </c>
      <c r="C4890" s="156" t="inlineStr">
        <is>
          <t>EX-755</t>
        </is>
      </c>
      <c r="D4890" s="156" t="inlineStr">
        <is>
          <t>SY750H-PRO</t>
        </is>
      </c>
      <c r="E4890" s="156" t="inlineStr">
        <is>
          <t>Excavator</t>
        </is>
      </c>
      <c r="F4890" s="156" t="inlineStr">
        <is>
          <t>Loading OB</t>
        </is>
      </c>
      <c r="G4890" s="182" t="n">
        <v>9.720000000000001</v>
      </c>
      <c r="H4890" s="182" t="n">
        <v>0</v>
      </c>
      <c r="I4890" s="182" t="n">
        <v>0</v>
      </c>
      <c r="J4890" s="182" t="n">
        <v>0</v>
      </c>
      <c r="K4890" s="182" t="n">
        <v>2.28</v>
      </c>
      <c r="L4890" s="182" t="n">
        <v>12</v>
      </c>
      <c r="M4890" s="182" t="n">
        <v>9.550000000000001</v>
      </c>
      <c r="N4890" s="182" t="n">
        <v>0</v>
      </c>
      <c r="O4890" s="185">
        <f>SUMIFS(INPUT_RITASE!$F$5:$F$20000,INPUT_RITASE!$A$5:$A$20000,$A4890,INPUT_RITASE!$H$5:$H$20000,$B4890,INPUT_RITASE!$C$5:$C$20000,$C4890,INPUT_RITASE!$N$5:$N$20000,"OB")</f>
        <v/>
      </c>
      <c r="P4890" s="185">
        <f>SUMIFS(INPUT_RITASE!$F$5:$F$20000,INPUT_RITASE!$A$5:$A$20000,$A4890,INPUT_RITASE!$H$5:$H$20000,$B4890,INPUT_RITASE!$C$5:$C$20000,$C4890,INPUT_RITASE!$N$5:$N$20000,"Coal")</f>
        <v/>
      </c>
      <c r="Q4890" s="186">
        <f>SUMIFS(INPUT_RITASE!$L$5:$L$20000,INPUT_RITASE!$A$5:$A$20000,$A4890,INPUT_RITASE!$H$5:$H$20000,$B4890,INPUT_RITASE!$C$5:$C$20000,$C4890,INPUT_RITASE!$N$5:$N$20000,"OB")</f>
        <v/>
      </c>
      <c r="R4890" s="186">
        <f>SUMIFS(INPUT_RITASE!$L$5:$L$20000,INPUT_RITASE!$A$5:$A$20000,$A4890,INPUT_RITASE!$H$5:$H$20000,$B4890,INPUT_RITASE!$C$5:$C$20000,$C4890,INPUT_RITASE!$N$5:$N$20000,"Coal")</f>
        <v/>
      </c>
      <c r="S4890" s="183" t="n">
        <v>0</v>
      </c>
      <c r="T4890" s="183" t="n">
        <v>0</v>
      </c>
      <c r="U4890" s="182" t="n">
        <v>0.61</v>
      </c>
      <c r="V4890" s="182" t="n">
        <v>0</v>
      </c>
      <c r="W4890" s="182" t="n">
        <v>0</v>
      </c>
      <c r="X4890" s="182" t="n">
        <v>1.08</v>
      </c>
      <c r="Y4890" s="182" t="n">
        <v>0</v>
      </c>
      <c r="Z4890" s="182" t="n">
        <v>0</v>
      </c>
      <c r="AA4890" s="182" t="n">
        <v>0</v>
      </c>
      <c r="AB4890" s="182" t="n">
        <v>0</v>
      </c>
      <c r="AC4890" s="182" t="n">
        <v>0</v>
      </c>
      <c r="AD4890" s="182" t="n">
        <v>0</v>
      </c>
      <c r="AE4890" s="182" t="n">
        <v>0</v>
      </c>
      <c r="AF4890" s="182" t="n">
        <v>0</v>
      </c>
      <c r="AG4890" s="182" t="n">
        <v>0</v>
      </c>
      <c r="AH4890" s="182" t="n">
        <v>0.51</v>
      </c>
      <c r="AI4890" s="182" t="n">
        <v>0</v>
      </c>
      <c r="AJ4890" s="182" t="n">
        <v>0</v>
      </c>
      <c r="AK4890" s="182" t="n">
        <v>0</v>
      </c>
      <c r="AL4890" s="182" t="n">
        <v>0</v>
      </c>
      <c r="AM4890" s="182" t="n">
        <v>0.09</v>
      </c>
      <c r="AN4890" s="182" t="n">
        <v>0</v>
      </c>
    </row>
    <row r="4891">
      <c r="A4891" s="155" t="n">
        <v>46104</v>
      </c>
      <c r="B4891" s="156" t="inlineStr">
        <is>
          <t>DS</t>
        </is>
      </c>
      <c r="C4891" s="156" t="inlineStr">
        <is>
          <t>EX-752</t>
        </is>
      </c>
      <c r="D4891" s="156" t="inlineStr">
        <is>
          <t>SY750H-PRO</t>
        </is>
      </c>
      <c r="E4891" s="156" t="inlineStr">
        <is>
          <t>Excavator</t>
        </is>
      </c>
      <c r="F4891" s="156" t="inlineStr"/>
      <c r="G4891" s="182" t="n">
        <v>0</v>
      </c>
      <c r="H4891" s="182" t="n">
        <v>0</v>
      </c>
      <c r="I4891" s="182" t="n">
        <v>12</v>
      </c>
      <c r="J4891" s="182" t="n">
        <v>12</v>
      </c>
      <c r="K4891" s="182" t="n">
        <v>0</v>
      </c>
      <c r="L4891" s="182" t="n">
        <v>12</v>
      </c>
      <c r="M4891" s="182" t="n">
        <v>0</v>
      </c>
      <c r="N4891" s="182" t="n">
        <v>0</v>
      </c>
      <c r="O4891" s="185">
        <f>SUMIFS(INPUT_RITASE!$F$5:$F$20000,INPUT_RITASE!$A$5:$A$20000,$A4891,INPUT_RITASE!$H$5:$H$20000,$B4891,INPUT_RITASE!$C$5:$C$20000,$C4891,INPUT_RITASE!$N$5:$N$20000,"OB")</f>
        <v/>
      </c>
      <c r="P4891" s="185">
        <f>SUMIFS(INPUT_RITASE!$F$5:$F$20000,INPUT_RITASE!$A$5:$A$20000,$A4891,INPUT_RITASE!$H$5:$H$20000,$B4891,INPUT_RITASE!$C$5:$C$20000,$C4891,INPUT_RITASE!$N$5:$N$20000,"Coal")</f>
        <v/>
      </c>
      <c r="Q4891" s="186">
        <f>SUMIFS(INPUT_RITASE!$L$5:$L$20000,INPUT_RITASE!$A$5:$A$20000,$A4891,INPUT_RITASE!$H$5:$H$20000,$B4891,INPUT_RITASE!$C$5:$C$20000,$C4891,INPUT_RITASE!$N$5:$N$20000,"OB")</f>
        <v/>
      </c>
      <c r="R4891" s="186">
        <f>SUMIFS(INPUT_RITASE!$L$5:$L$20000,INPUT_RITASE!$A$5:$A$20000,$A4891,INPUT_RITASE!$H$5:$H$20000,$B4891,INPUT_RITASE!$C$5:$C$20000,$C4891,INPUT_RITASE!$N$5:$N$20000,"Coal")</f>
        <v/>
      </c>
      <c r="S4891" s="183" t="n">
        <v>0</v>
      </c>
      <c r="T4891" s="183" t="n">
        <v>0</v>
      </c>
      <c r="U4891" s="182" t="n">
        <v>0</v>
      </c>
      <c r="V4891" s="182" t="n">
        <v>0</v>
      </c>
      <c r="W4891" s="182" t="n">
        <v>0</v>
      </c>
      <c r="X4891" s="182" t="n">
        <v>0</v>
      </c>
      <c r="Y4891" s="182" t="n">
        <v>0</v>
      </c>
      <c r="Z4891" s="182" t="n">
        <v>0</v>
      </c>
      <c r="AA4891" s="182" t="n">
        <v>0</v>
      </c>
      <c r="AB4891" s="182" t="n">
        <v>0</v>
      </c>
      <c r="AC4891" s="182" t="n">
        <v>0</v>
      </c>
      <c r="AD4891" s="182" t="n">
        <v>0</v>
      </c>
      <c r="AE4891" s="182" t="n">
        <v>0</v>
      </c>
      <c r="AF4891" s="182" t="n">
        <v>0</v>
      </c>
      <c r="AG4891" s="182" t="n">
        <v>0</v>
      </c>
      <c r="AH4891" s="182" t="n">
        <v>0</v>
      </c>
      <c r="AI4891" s="182" t="n">
        <v>0</v>
      </c>
      <c r="AJ4891" s="182" t="n">
        <v>0</v>
      </c>
      <c r="AK4891" s="182" t="n">
        <v>0</v>
      </c>
      <c r="AL4891" s="182" t="n">
        <v>0</v>
      </c>
      <c r="AM4891" s="182" t="n">
        <v>0</v>
      </c>
      <c r="AN4891" s="182" t="n">
        <v>0</v>
      </c>
    </row>
    <row r="4892">
      <c r="A4892" s="155" t="n">
        <v>46104</v>
      </c>
      <c r="B4892" s="156" t="inlineStr">
        <is>
          <t>DS</t>
        </is>
      </c>
      <c r="C4892" s="156" t="inlineStr">
        <is>
          <t>EX-751</t>
        </is>
      </c>
      <c r="D4892" s="156" t="inlineStr">
        <is>
          <t>SY750H-PRO</t>
        </is>
      </c>
      <c r="E4892" s="156" t="inlineStr">
        <is>
          <t>Excavator</t>
        </is>
      </c>
      <c r="F4892" s="156" t="inlineStr"/>
      <c r="G4892" s="182" t="n">
        <v>0</v>
      </c>
      <c r="H4892" s="182" t="n">
        <v>0</v>
      </c>
      <c r="I4892" s="182" t="n">
        <v>12</v>
      </c>
      <c r="J4892" s="182" t="n">
        <v>12</v>
      </c>
      <c r="K4892" s="182" t="n">
        <v>0</v>
      </c>
      <c r="L4892" s="182" t="n">
        <v>12</v>
      </c>
      <c r="M4892" s="182" t="n">
        <v>0</v>
      </c>
      <c r="N4892" s="182" t="n">
        <v>0</v>
      </c>
      <c r="O4892" s="185">
        <f>SUMIFS(INPUT_RITASE!$F$5:$F$20000,INPUT_RITASE!$A$5:$A$20000,$A4892,INPUT_RITASE!$H$5:$H$20000,$B4892,INPUT_RITASE!$C$5:$C$20000,$C4892,INPUT_RITASE!$N$5:$N$20000,"OB")</f>
        <v/>
      </c>
      <c r="P4892" s="185">
        <f>SUMIFS(INPUT_RITASE!$F$5:$F$20000,INPUT_RITASE!$A$5:$A$20000,$A4892,INPUT_RITASE!$H$5:$H$20000,$B4892,INPUT_RITASE!$C$5:$C$20000,$C4892,INPUT_RITASE!$N$5:$N$20000,"Coal")</f>
        <v/>
      </c>
      <c r="Q4892" s="186">
        <f>SUMIFS(INPUT_RITASE!$L$5:$L$20000,INPUT_RITASE!$A$5:$A$20000,$A4892,INPUT_RITASE!$H$5:$H$20000,$B4892,INPUT_RITASE!$C$5:$C$20000,$C4892,INPUT_RITASE!$N$5:$N$20000,"OB")</f>
        <v/>
      </c>
      <c r="R4892" s="186">
        <f>SUMIFS(INPUT_RITASE!$L$5:$L$20000,INPUT_RITASE!$A$5:$A$20000,$A4892,INPUT_RITASE!$H$5:$H$20000,$B4892,INPUT_RITASE!$C$5:$C$20000,$C4892,INPUT_RITASE!$N$5:$N$20000,"Coal")</f>
        <v/>
      </c>
      <c r="S4892" s="183" t="n">
        <v>0</v>
      </c>
      <c r="T4892" s="183" t="n">
        <v>0</v>
      </c>
      <c r="U4892" s="182" t="n">
        <v>0</v>
      </c>
      <c r="V4892" s="182" t="n">
        <v>0</v>
      </c>
      <c r="W4892" s="182" t="n">
        <v>0</v>
      </c>
      <c r="X4892" s="182" t="n">
        <v>0</v>
      </c>
      <c r="Y4892" s="182" t="n">
        <v>0</v>
      </c>
      <c r="Z4892" s="182" t="n">
        <v>0</v>
      </c>
      <c r="AA4892" s="182" t="n">
        <v>0</v>
      </c>
      <c r="AB4892" s="182" t="n">
        <v>0</v>
      </c>
      <c r="AC4892" s="182" t="n">
        <v>0</v>
      </c>
      <c r="AD4892" s="182" t="n">
        <v>0</v>
      </c>
      <c r="AE4892" s="182" t="n">
        <v>0</v>
      </c>
      <c r="AF4892" s="182" t="n">
        <v>0</v>
      </c>
      <c r="AG4892" s="182" t="n">
        <v>0</v>
      </c>
      <c r="AH4892" s="182" t="n">
        <v>0</v>
      </c>
      <c r="AI4892" s="182" t="n">
        <v>0</v>
      </c>
      <c r="AJ4892" s="182" t="n">
        <v>0</v>
      </c>
      <c r="AK4892" s="182" t="n">
        <v>0</v>
      </c>
      <c r="AL4892" s="182" t="n">
        <v>0</v>
      </c>
      <c r="AM4892" s="182" t="n">
        <v>0</v>
      </c>
      <c r="AN4892" s="182" t="n">
        <v>0</v>
      </c>
    </row>
    <row r="4893">
      <c r="A4893" s="155" t="n">
        <v>46104</v>
      </c>
      <c r="B4893" s="156" t="inlineStr">
        <is>
          <t>DS</t>
        </is>
      </c>
      <c r="C4893" s="156" t="inlineStr">
        <is>
          <t>EX-753</t>
        </is>
      </c>
      <c r="D4893" s="156" t="inlineStr">
        <is>
          <t>SY750H-PRO</t>
        </is>
      </c>
      <c r="E4893" s="156" t="inlineStr">
        <is>
          <t>Excavator</t>
        </is>
      </c>
      <c r="F4893" s="156" t="inlineStr">
        <is>
          <t>Support Washing Plant</t>
        </is>
      </c>
      <c r="G4893" s="182" t="n">
        <v>9.84</v>
      </c>
      <c r="H4893" s="182" t="n">
        <v>0</v>
      </c>
      <c r="I4893" s="182" t="n">
        <v>0</v>
      </c>
      <c r="J4893" s="182" t="n">
        <v>0</v>
      </c>
      <c r="K4893" s="182" t="n">
        <v>2.16</v>
      </c>
      <c r="L4893" s="182" t="n">
        <v>12</v>
      </c>
      <c r="M4893" s="182" t="n">
        <v>0</v>
      </c>
      <c r="N4893" s="182" t="n">
        <v>0</v>
      </c>
      <c r="O4893" s="185">
        <f>SUMIFS(INPUT_RITASE!$F$5:$F$20000,INPUT_RITASE!$A$5:$A$20000,$A4893,INPUT_RITASE!$H$5:$H$20000,$B4893,INPUT_RITASE!$C$5:$C$20000,$C4893,INPUT_RITASE!$N$5:$N$20000,"OB")</f>
        <v/>
      </c>
      <c r="P4893" s="185">
        <f>SUMIFS(INPUT_RITASE!$F$5:$F$20000,INPUT_RITASE!$A$5:$A$20000,$A4893,INPUT_RITASE!$H$5:$H$20000,$B4893,INPUT_RITASE!$C$5:$C$20000,$C4893,INPUT_RITASE!$N$5:$N$20000,"Coal")</f>
        <v/>
      </c>
      <c r="Q4893" s="186">
        <f>SUMIFS(INPUT_RITASE!$L$5:$L$20000,INPUT_RITASE!$A$5:$A$20000,$A4893,INPUT_RITASE!$H$5:$H$20000,$B4893,INPUT_RITASE!$C$5:$C$20000,$C4893,INPUT_RITASE!$N$5:$N$20000,"OB")</f>
        <v/>
      </c>
      <c r="R4893" s="186">
        <f>SUMIFS(INPUT_RITASE!$L$5:$L$20000,INPUT_RITASE!$A$5:$A$20000,$A4893,INPUT_RITASE!$H$5:$H$20000,$B4893,INPUT_RITASE!$C$5:$C$20000,$C4893,INPUT_RITASE!$N$5:$N$20000,"Coal")</f>
        <v/>
      </c>
      <c r="S4893" s="183" t="n">
        <v>0</v>
      </c>
      <c r="T4893" s="183" t="n">
        <v>0</v>
      </c>
      <c r="U4893" s="182" t="n">
        <v>0.67</v>
      </c>
      <c r="V4893" s="182" t="n">
        <v>0</v>
      </c>
      <c r="W4893" s="182" t="n">
        <v>0</v>
      </c>
      <c r="X4893" s="182" t="n">
        <v>1.17</v>
      </c>
      <c r="Y4893" s="182" t="n">
        <v>0</v>
      </c>
      <c r="Z4893" s="182" t="n">
        <v>0</v>
      </c>
      <c r="AA4893" s="182" t="n">
        <v>0</v>
      </c>
      <c r="AB4893" s="182" t="n">
        <v>0</v>
      </c>
      <c r="AC4893" s="182" t="n">
        <v>0</v>
      </c>
      <c r="AD4893" s="182" t="n">
        <v>0</v>
      </c>
      <c r="AE4893" s="182" t="n">
        <v>0</v>
      </c>
      <c r="AF4893" s="182" t="n">
        <v>0</v>
      </c>
      <c r="AG4893" s="182" t="n">
        <v>0</v>
      </c>
      <c r="AH4893" s="182" t="n">
        <v>0.23</v>
      </c>
      <c r="AI4893" s="182" t="n">
        <v>0</v>
      </c>
      <c r="AJ4893" s="182" t="n">
        <v>0</v>
      </c>
      <c r="AK4893" s="182" t="n">
        <v>0</v>
      </c>
      <c r="AL4893" s="182" t="n">
        <v>0</v>
      </c>
      <c r="AM4893" s="182" t="n">
        <v>0.09</v>
      </c>
      <c r="AN4893" s="182" t="n">
        <v>0</v>
      </c>
    </row>
    <row r="4894">
      <c r="A4894" s="155" t="n">
        <v>46104</v>
      </c>
      <c r="B4894" s="156" t="inlineStr">
        <is>
          <t>DS</t>
        </is>
      </c>
      <c r="C4894" s="156" t="inlineStr">
        <is>
          <t>GD-012</t>
        </is>
      </c>
      <c r="D4894" s="156" t="inlineStr">
        <is>
          <t>STG 230C - 8S</t>
        </is>
      </c>
      <c r="E4894" s="156" t="inlineStr">
        <is>
          <t>Grader</t>
        </is>
      </c>
      <c r="F4894" s="156" t="inlineStr"/>
      <c r="G4894" s="182" t="n">
        <v>0</v>
      </c>
      <c r="H4894" s="182" t="n">
        <v>0</v>
      </c>
      <c r="I4894" s="182" t="n">
        <v>0</v>
      </c>
      <c r="J4894" s="182" t="n">
        <v>0</v>
      </c>
      <c r="K4894" s="182" t="n">
        <v>12</v>
      </c>
      <c r="L4894" s="182" t="n">
        <v>12</v>
      </c>
      <c r="M4894" s="182" t="n">
        <v>0</v>
      </c>
      <c r="N4894" s="182" t="n">
        <v>0</v>
      </c>
      <c r="O4894" s="183" t="n">
        <v>0</v>
      </c>
      <c r="P4894" s="183" t="n">
        <v>0</v>
      </c>
      <c r="Q4894" s="184" t="n">
        <v>0</v>
      </c>
      <c r="R4894" s="184" t="n">
        <v>0</v>
      </c>
      <c r="S4894" s="183" t="n">
        <v>0</v>
      </c>
      <c r="T4894" s="183" t="n">
        <v>0</v>
      </c>
      <c r="U4894" s="182" t="n">
        <v>0</v>
      </c>
      <c r="V4894" s="182" t="n">
        <v>0</v>
      </c>
      <c r="W4894" s="182" t="n">
        <v>0</v>
      </c>
      <c r="X4894" s="182" t="n">
        <v>1</v>
      </c>
      <c r="Y4894" s="182" t="n">
        <v>0</v>
      </c>
      <c r="Z4894" s="182" t="n">
        <v>0</v>
      </c>
      <c r="AA4894" s="182" t="n">
        <v>0</v>
      </c>
      <c r="AB4894" s="182" t="n">
        <v>0</v>
      </c>
      <c r="AC4894" s="182" t="n">
        <v>0</v>
      </c>
      <c r="AD4894" s="182" t="n">
        <v>0</v>
      </c>
      <c r="AE4894" s="182" t="n">
        <v>0</v>
      </c>
      <c r="AF4894" s="182" t="n">
        <v>0</v>
      </c>
      <c r="AG4894" s="182" t="n">
        <v>0</v>
      </c>
      <c r="AH4894" s="182" t="n">
        <v>0</v>
      </c>
      <c r="AI4894" s="182" t="n">
        <v>0</v>
      </c>
      <c r="AJ4894" s="182" t="n">
        <v>0</v>
      </c>
      <c r="AK4894" s="182" t="n">
        <v>10.92</v>
      </c>
      <c r="AL4894" s="182" t="n">
        <v>0</v>
      </c>
      <c r="AM4894" s="182" t="n">
        <v>0.08</v>
      </c>
      <c r="AN4894" s="182" t="n">
        <v>0</v>
      </c>
    </row>
    <row r="4895">
      <c r="A4895" s="155" t="n">
        <v>46104</v>
      </c>
      <c r="B4895" s="156" t="inlineStr">
        <is>
          <t>DS</t>
        </is>
      </c>
      <c r="C4895" s="156" t="inlineStr">
        <is>
          <t>GD-011</t>
        </is>
      </c>
      <c r="D4895" s="156" t="inlineStr">
        <is>
          <t>STG 230C - 8S</t>
        </is>
      </c>
      <c r="E4895" s="156" t="inlineStr">
        <is>
          <t>Grader</t>
        </is>
      </c>
      <c r="F4895" s="156" t="inlineStr"/>
      <c r="G4895" s="182" t="n">
        <v>0</v>
      </c>
      <c r="H4895" s="182" t="n">
        <v>0</v>
      </c>
      <c r="I4895" s="182" t="n">
        <v>12</v>
      </c>
      <c r="J4895" s="182" t="n">
        <v>12</v>
      </c>
      <c r="K4895" s="182" t="n">
        <v>0</v>
      </c>
      <c r="L4895" s="182" t="n">
        <v>12</v>
      </c>
      <c r="M4895" s="182" t="n">
        <v>0</v>
      </c>
      <c r="N4895" s="182" t="n">
        <v>0</v>
      </c>
      <c r="O4895" s="183" t="n">
        <v>0</v>
      </c>
      <c r="P4895" s="183" t="n">
        <v>0</v>
      </c>
      <c r="Q4895" s="184" t="n">
        <v>0</v>
      </c>
      <c r="R4895" s="184" t="n">
        <v>0</v>
      </c>
      <c r="S4895" s="183" t="n">
        <v>0</v>
      </c>
      <c r="T4895" s="183" t="n">
        <v>0</v>
      </c>
      <c r="U4895" s="182" t="n">
        <v>0</v>
      </c>
      <c r="V4895" s="182" t="n">
        <v>0</v>
      </c>
      <c r="W4895" s="182" t="n">
        <v>0</v>
      </c>
      <c r="X4895" s="182" t="n">
        <v>0</v>
      </c>
      <c r="Y4895" s="182" t="n">
        <v>0</v>
      </c>
      <c r="Z4895" s="182" t="n">
        <v>0</v>
      </c>
      <c r="AA4895" s="182" t="n">
        <v>0</v>
      </c>
      <c r="AB4895" s="182" t="n">
        <v>0</v>
      </c>
      <c r="AC4895" s="182" t="n">
        <v>0</v>
      </c>
      <c r="AD4895" s="182" t="n">
        <v>0</v>
      </c>
      <c r="AE4895" s="182" t="n">
        <v>0</v>
      </c>
      <c r="AF4895" s="182" t="n">
        <v>0</v>
      </c>
      <c r="AG4895" s="182" t="n">
        <v>0</v>
      </c>
      <c r="AH4895" s="182" t="n">
        <v>0</v>
      </c>
      <c r="AI4895" s="182" t="n">
        <v>0</v>
      </c>
      <c r="AJ4895" s="182" t="n">
        <v>0</v>
      </c>
      <c r="AK4895" s="182" t="n">
        <v>0</v>
      </c>
      <c r="AL4895" s="182" t="n">
        <v>0</v>
      </c>
      <c r="AM4895" s="182" t="n">
        <v>0</v>
      </c>
      <c r="AN4895" s="182" t="n">
        <v>0</v>
      </c>
    </row>
    <row r="4896">
      <c r="A4896" s="155" t="n">
        <v>46104</v>
      </c>
      <c r="B4896" s="156" t="inlineStr">
        <is>
          <t>DS</t>
        </is>
      </c>
      <c r="C4896" s="156" t="inlineStr">
        <is>
          <t>GD-013</t>
        </is>
      </c>
      <c r="D4896" s="156" t="inlineStr">
        <is>
          <t>STG 265C - 10</t>
        </is>
      </c>
      <c r="E4896" s="156" t="inlineStr">
        <is>
          <t>Grader</t>
        </is>
      </c>
      <c r="F4896" s="156" t="inlineStr">
        <is>
          <t>Road Maintenance</t>
        </is>
      </c>
      <c r="G4896" s="182" t="n">
        <v>10.87</v>
      </c>
      <c r="H4896" s="182" t="n">
        <v>0</v>
      </c>
      <c r="I4896" s="182" t="n">
        <v>0</v>
      </c>
      <c r="J4896" s="182" t="n">
        <v>0</v>
      </c>
      <c r="K4896" s="182" t="n">
        <v>1.13</v>
      </c>
      <c r="L4896" s="182" t="n">
        <v>12</v>
      </c>
      <c r="M4896" s="182" t="n">
        <v>0</v>
      </c>
      <c r="N4896" s="182" t="n">
        <v>0</v>
      </c>
      <c r="O4896" s="183" t="n">
        <v>0</v>
      </c>
      <c r="P4896" s="183" t="n">
        <v>0</v>
      </c>
      <c r="Q4896" s="184" t="n">
        <v>0</v>
      </c>
      <c r="R4896" s="184" t="n">
        <v>0</v>
      </c>
      <c r="S4896" s="183" t="n">
        <v>0</v>
      </c>
      <c r="T4896" s="183" t="n">
        <v>0</v>
      </c>
      <c r="U4896" s="182" t="n">
        <v>0</v>
      </c>
      <c r="V4896" s="182" t="n">
        <v>0</v>
      </c>
      <c r="W4896" s="182" t="n">
        <v>0</v>
      </c>
      <c r="X4896" s="182" t="n">
        <v>0.87</v>
      </c>
      <c r="Y4896" s="182" t="n">
        <v>0</v>
      </c>
      <c r="Z4896" s="182" t="n">
        <v>0</v>
      </c>
      <c r="AA4896" s="182" t="n">
        <v>0</v>
      </c>
      <c r="AB4896" s="182" t="n">
        <v>0</v>
      </c>
      <c r="AC4896" s="182" t="n">
        <v>0</v>
      </c>
      <c r="AD4896" s="182" t="n">
        <v>0</v>
      </c>
      <c r="AE4896" s="182" t="n">
        <v>0</v>
      </c>
      <c r="AF4896" s="182" t="n">
        <v>0</v>
      </c>
      <c r="AG4896" s="182" t="n">
        <v>0</v>
      </c>
      <c r="AH4896" s="182" t="n">
        <v>0.19</v>
      </c>
      <c r="AI4896" s="182" t="n">
        <v>0</v>
      </c>
      <c r="AJ4896" s="182" t="n">
        <v>0</v>
      </c>
      <c r="AK4896" s="182" t="n">
        <v>0</v>
      </c>
      <c r="AL4896" s="182" t="n">
        <v>0</v>
      </c>
      <c r="AM4896" s="182" t="n">
        <v>0.07000000000000001</v>
      </c>
      <c r="AN4896" s="182" t="n">
        <v>0</v>
      </c>
    </row>
    <row r="4897">
      <c r="A4897" s="155" t="n">
        <v>46104</v>
      </c>
      <c r="B4897" s="156" t="inlineStr">
        <is>
          <t>DS</t>
        </is>
      </c>
      <c r="C4897" s="156" t="inlineStr">
        <is>
          <t>GD-014</t>
        </is>
      </c>
      <c r="D4897" s="156" t="inlineStr">
        <is>
          <t>STG 335C - 10</t>
        </is>
      </c>
      <c r="E4897" s="156" t="inlineStr">
        <is>
          <t>Grader</t>
        </is>
      </c>
      <c r="F4897" s="156" t="inlineStr">
        <is>
          <t>Road Maintenance</t>
        </is>
      </c>
      <c r="G4897" s="182" t="n">
        <v>8.91</v>
      </c>
      <c r="H4897" s="182" t="n">
        <v>0</v>
      </c>
      <c r="I4897" s="182" t="n">
        <v>1.3</v>
      </c>
      <c r="J4897" s="182" t="n">
        <v>1.3</v>
      </c>
      <c r="K4897" s="182" t="n">
        <v>1.79</v>
      </c>
      <c r="L4897" s="182" t="n">
        <v>12</v>
      </c>
      <c r="M4897" s="182" t="n">
        <v>0</v>
      </c>
      <c r="N4897" s="182" t="n">
        <v>0</v>
      </c>
      <c r="O4897" s="183" t="n">
        <v>0</v>
      </c>
      <c r="P4897" s="183" t="n">
        <v>0</v>
      </c>
      <c r="Q4897" s="184" t="n">
        <v>0</v>
      </c>
      <c r="R4897" s="184" t="n">
        <v>0</v>
      </c>
      <c r="S4897" s="183" t="n">
        <v>0</v>
      </c>
      <c r="T4897" s="183" t="n">
        <v>0</v>
      </c>
      <c r="U4897" s="182" t="n">
        <v>0</v>
      </c>
      <c r="V4897" s="182" t="n">
        <v>0</v>
      </c>
      <c r="W4897" s="182" t="n">
        <v>0</v>
      </c>
      <c r="X4897" s="182" t="n">
        <v>1.38</v>
      </c>
      <c r="Y4897" s="182" t="n">
        <v>0</v>
      </c>
      <c r="Z4897" s="182" t="n">
        <v>0</v>
      </c>
      <c r="AA4897" s="182" t="n">
        <v>0</v>
      </c>
      <c r="AB4897" s="182" t="n">
        <v>0</v>
      </c>
      <c r="AC4897" s="182" t="n">
        <v>0</v>
      </c>
      <c r="AD4897" s="182" t="n">
        <v>0</v>
      </c>
      <c r="AE4897" s="182" t="n">
        <v>0</v>
      </c>
      <c r="AF4897" s="182" t="n">
        <v>0</v>
      </c>
      <c r="AG4897" s="182" t="n">
        <v>0</v>
      </c>
      <c r="AH4897" s="182" t="n">
        <v>0.3</v>
      </c>
      <c r="AI4897" s="182" t="n">
        <v>0</v>
      </c>
      <c r="AJ4897" s="182" t="n">
        <v>0</v>
      </c>
      <c r="AK4897" s="182" t="n">
        <v>0</v>
      </c>
      <c r="AL4897" s="182" t="n">
        <v>0</v>
      </c>
      <c r="AM4897" s="182" t="n">
        <v>0.11</v>
      </c>
      <c r="AN4897" s="182" t="n">
        <v>0</v>
      </c>
    </row>
    <row r="4898">
      <c r="A4898" s="155" t="n">
        <v>46104</v>
      </c>
      <c r="B4898" s="156" t="inlineStr">
        <is>
          <t>DS</t>
        </is>
      </c>
      <c r="C4898" s="156" t="inlineStr">
        <is>
          <t>DT-809</t>
        </is>
      </c>
      <c r="D4898" s="156" t="inlineStr">
        <is>
          <t>SKT 80S</t>
        </is>
      </c>
      <c r="E4898" s="156" t="inlineStr">
        <is>
          <t>Hauler</t>
        </is>
      </c>
      <c r="F4898" s="156" t="inlineStr"/>
      <c r="G4898" s="182" t="n">
        <v>0</v>
      </c>
      <c r="H4898" s="182" t="n">
        <v>0</v>
      </c>
      <c r="I4898" s="182" t="n">
        <v>12</v>
      </c>
      <c r="J4898" s="182" t="n">
        <v>12</v>
      </c>
      <c r="K4898" s="182" t="n">
        <v>0</v>
      </c>
      <c r="L4898" s="182" t="n">
        <v>12</v>
      </c>
      <c r="M4898" s="182" t="n">
        <v>0</v>
      </c>
      <c r="N4898" s="182" t="n">
        <v>0</v>
      </c>
      <c r="O4898" s="183" t="n">
        <v>0</v>
      </c>
      <c r="P4898" s="183" t="n">
        <v>0</v>
      </c>
      <c r="Q4898" s="184" t="n">
        <v>0</v>
      </c>
      <c r="R4898" s="184" t="n">
        <v>0</v>
      </c>
      <c r="S4898" s="183" t="n">
        <v>0</v>
      </c>
      <c r="T4898" s="183" t="n">
        <v>0</v>
      </c>
      <c r="U4898" s="182" t="n">
        <v>0</v>
      </c>
      <c r="V4898" s="182" t="n">
        <v>0</v>
      </c>
      <c r="W4898" s="182" t="n">
        <v>0</v>
      </c>
      <c r="X4898" s="182" t="n">
        <v>0</v>
      </c>
      <c r="Y4898" s="182" t="n">
        <v>0</v>
      </c>
      <c r="Z4898" s="182" t="n">
        <v>0</v>
      </c>
      <c r="AA4898" s="182" t="n">
        <v>0</v>
      </c>
      <c r="AB4898" s="182" t="n">
        <v>0</v>
      </c>
      <c r="AC4898" s="182" t="n">
        <v>0</v>
      </c>
      <c r="AD4898" s="182" t="n">
        <v>0</v>
      </c>
      <c r="AE4898" s="182" t="n">
        <v>0</v>
      </c>
      <c r="AF4898" s="182" t="n">
        <v>0</v>
      </c>
      <c r="AG4898" s="182" t="n">
        <v>0</v>
      </c>
      <c r="AH4898" s="182" t="n">
        <v>0</v>
      </c>
      <c r="AI4898" s="182" t="n">
        <v>0</v>
      </c>
      <c r="AJ4898" s="182" t="n">
        <v>0</v>
      </c>
      <c r="AK4898" s="182" t="n">
        <v>0</v>
      </c>
      <c r="AL4898" s="182" t="n">
        <v>0</v>
      </c>
      <c r="AM4898" s="182" t="n">
        <v>0</v>
      </c>
      <c r="AN4898" s="182" t="n">
        <v>0</v>
      </c>
    </row>
    <row r="4899">
      <c r="A4899" s="155" t="n">
        <v>46104</v>
      </c>
      <c r="B4899" s="156" t="inlineStr">
        <is>
          <t>DS</t>
        </is>
      </c>
      <c r="C4899" s="156" t="inlineStr">
        <is>
          <t>DT-806</t>
        </is>
      </c>
      <c r="D4899" s="156" t="inlineStr">
        <is>
          <t>SKT 80S</t>
        </is>
      </c>
      <c r="E4899" s="156" t="inlineStr">
        <is>
          <t>Hauler</t>
        </is>
      </c>
      <c r="F4899" s="156" t="inlineStr"/>
      <c r="G4899" s="182" t="n">
        <v>0</v>
      </c>
      <c r="H4899" s="182" t="n">
        <v>0</v>
      </c>
      <c r="I4899" s="182" t="n">
        <v>12</v>
      </c>
      <c r="J4899" s="182" t="n">
        <v>12</v>
      </c>
      <c r="K4899" s="182" t="n">
        <v>0</v>
      </c>
      <c r="L4899" s="182" t="n">
        <v>12</v>
      </c>
      <c r="M4899" s="182" t="n">
        <v>0</v>
      </c>
      <c r="N4899" s="182" t="n">
        <v>0</v>
      </c>
      <c r="O4899" s="183" t="n">
        <v>0</v>
      </c>
      <c r="P4899" s="183" t="n">
        <v>0</v>
      </c>
      <c r="Q4899" s="184" t="n">
        <v>0</v>
      </c>
      <c r="R4899" s="184" t="n">
        <v>0</v>
      </c>
      <c r="S4899" s="183" t="n">
        <v>0</v>
      </c>
      <c r="T4899" s="183" t="n">
        <v>0</v>
      </c>
      <c r="U4899" s="182" t="n">
        <v>0</v>
      </c>
      <c r="V4899" s="182" t="n">
        <v>0</v>
      </c>
      <c r="W4899" s="182" t="n">
        <v>0</v>
      </c>
      <c r="X4899" s="182" t="n">
        <v>0</v>
      </c>
      <c r="Y4899" s="182" t="n">
        <v>0</v>
      </c>
      <c r="Z4899" s="182" t="n">
        <v>0</v>
      </c>
      <c r="AA4899" s="182" t="n">
        <v>0</v>
      </c>
      <c r="AB4899" s="182" t="n">
        <v>0</v>
      </c>
      <c r="AC4899" s="182" t="n">
        <v>0</v>
      </c>
      <c r="AD4899" s="182" t="n">
        <v>0</v>
      </c>
      <c r="AE4899" s="182" t="n">
        <v>0</v>
      </c>
      <c r="AF4899" s="182" t="n">
        <v>0</v>
      </c>
      <c r="AG4899" s="182" t="n">
        <v>0</v>
      </c>
      <c r="AH4899" s="182" t="n">
        <v>0</v>
      </c>
      <c r="AI4899" s="182" t="n">
        <v>0</v>
      </c>
      <c r="AJ4899" s="182" t="n">
        <v>0</v>
      </c>
      <c r="AK4899" s="182" t="n">
        <v>0</v>
      </c>
      <c r="AL4899" s="182" t="n">
        <v>0</v>
      </c>
      <c r="AM4899" s="182" t="n">
        <v>0</v>
      </c>
      <c r="AN4899" s="182" t="n">
        <v>0</v>
      </c>
    </row>
    <row r="4900">
      <c r="A4900" s="155" t="n">
        <v>46104</v>
      </c>
      <c r="B4900" s="156" t="inlineStr">
        <is>
          <t>DS</t>
        </is>
      </c>
      <c r="C4900" s="156" t="inlineStr">
        <is>
          <t>DT-805</t>
        </is>
      </c>
      <c r="D4900" s="156" t="inlineStr">
        <is>
          <t>SKT 80S</t>
        </is>
      </c>
      <c r="E4900" s="156" t="inlineStr">
        <is>
          <t>Hauler</t>
        </is>
      </c>
      <c r="F4900" s="156" t="inlineStr"/>
      <c r="G4900" s="182" t="n">
        <v>0</v>
      </c>
      <c r="H4900" s="182" t="n">
        <v>0</v>
      </c>
      <c r="I4900" s="182" t="n">
        <v>12</v>
      </c>
      <c r="J4900" s="182" t="n">
        <v>12</v>
      </c>
      <c r="K4900" s="182" t="n">
        <v>0</v>
      </c>
      <c r="L4900" s="182" t="n">
        <v>12</v>
      </c>
      <c r="M4900" s="182" t="n">
        <v>0</v>
      </c>
      <c r="N4900" s="182" t="n">
        <v>0</v>
      </c>
      <c r="O4900" s="183" t="n">
        <v>0</v>
      </c>
      <c r="P4900" s="183" t="n">
        <v>0</v>
      </c>
      <c r="Q4900" s="184" t="n">
        <v>0</v>
      </c>
      <c r="R4900" s="184" t="n">
        <v>0</v>
      </c>
      <c r="S4900" s="183" t="n">
        <v>0</v>
      </c>
      <c r="T4900" s="183" t="n">
        <v>0</v>
      </c>
      <c r="U4900" s="182" t="n">
        <v>0</v>
      </c>
      <c r="V4900" s="182" t="n">
        <v>0</v>
      </c>
      <c r="W4900" s="182" t="n">
        <v>0</v>
      </c>
      <c r="X4900" s="182" t="n">
        <v>0</v>
      </c>
      <c r="Y4900" s="182" t="n">
        <v>0</v>
      </c>
      <c r="Z4900" s="182" t="n">
        <v>0</v>
      </c>
      <c r="AA4900" s="182" t="n">
        <v>0</v>
      </c>
      <c r="AB4900" s="182" t="n">
        <v>0</v>
      </c>
      <c r="AC4900" s="182" t="n">
        <v>0</v>
      </c>
      <c r="AD4900" s="182" t="n">
        <v>0</v>
      </c>
      <c r="AE4900" s="182" t="n">
        <v>0</v>
      </c>
      <c r="AF4900" s="182" t="n">
        <v>0</v>
      </c>
      <c r="AG4900" s="182" t="n">
        <v>0</v>
      </c>
      <c r="AH4900" s="182" t="n">
        <v>0</v>
      </c>
      <c r="AI4900" s="182" t="n">
        <v>0</v>
      </c>
      <c r="AJ4900" s="182" t="n">
        <v>0</v>
      </c>
      <c r="AK4900" s="182" t="n">
        <v>0</v>
      </c>
      <c r="AL4900" s="182" t="n">
        <v>0</v>
      </c>
      <c r="AM4900" s="182" t="n">
        <v>0</v>
      </c>
      <c r="AN4900" s="182" t="n">
        <v>0</v>
      </c>
    </row>
    <row r="4901">
      <c r="A4901" s="155" t="n">
        <v>46104</v>
      </c>
      <c r="B4901" s="156" t="inlineStr">
        <is>
          <t>DS</t>
        </is>
      </c>
      <c r="C4901" s="156" t="inlineStr">
        <is>
          <t>DT-801</t>
        </is>
      </c>
      <c r="D4901" s="156" t="inlineStr">
        <is>
          <t>SKT 80S</t>
        </is>
      </c>
      <c r="E4901" s="156" t="inlineStr">
        <is>
          <t>Hauler</t>
        </is>
      </c>
      <c r="F4901" s="156" t="inlineStr"/>
      <c r="G4901" s="182" t="n">
        <v>0</v>
      </c>
      <c r="H4901" s="182" t="n">
        <v>0</v>
      </c>
      <c r="I4901" s="182" t="n">
        <v>12</v>
      </c>
      <c r="J4901" s="182" t="n">
        <v>12</v>
      </c>
      <c r="K4901" s="182" t="n">
        <v>0</v>
      </c>
      <c r="L4901" s="182" t="n">
        <v>12</v>
      </c>
      <c r="M4901" s="182" t="n">
        <v>0</v>
      </c>
      <c r="N4901" s="182" t="n">
        <v>0</v>
      </c>
      <c r="O4901" s="183" t="n">
        <v>0</v>
      </c>
      <c r="P4901" s="183" t="n">
        <v>0</v>
      </c>
      <c r="Q4901" s="184" t="n">
        <v>0</v>
      </c>
      <c r="R4901" s="184" t="n">
        <v>0</v>
      </c>
      <c r="S4901" s="183" t="n">
        <v>0</v>
      </c>
      <c r="T4901" s="183" t="n">
        <v>0</v>
      </c>
      <c r="U4901" s="182" t="n">
        <v>0</v>
      </c>
      <c r="V4901" s="182" t="n">
        <v>0</v>
      </c>
      <c r="W4901" s="182" t="n">
        <v>0</v>
      </c>
      <c r="X4901" s="182" t="n">
        <v>0</v>
      </c>
      <c r="Y4901" s="182" t="n">
        <v>0</v>
      </c>
      <c r="Z4901" s="182" t="n">
        <v>0</v>
      </c>
      <c r="AA4901" s="182" t="n">
        <v>0</v>
      </c>
      <c r="AB4901" s="182" t="n">
        <v>0</v>
      </c>
      <c r="AC4901" s="182" t="n">
        <v>0</v>
      </c>
      <c r="AD4901" s="182" t="n">
        <v>0</v>
      </c>
      <c r="AE4901" s="182" t="n">
        <v>0</v>
      </c>
      <c r="AF4901" s="182" t="n">
        <v>0</v>
      </c>
      <c r="AG4901" s="182" t="n">
        <v>0</v>
      </c>
      <c r="AH4901" s="182" t="n">
        <v>0</v>
      </c>
      <c r="AI4901" s="182" t="n">
        <v>0</v>
      </c>
      <c r="AJ4901" s="182" t="n">
        <v>0</v>
      </c>
      <c r="AK4901" s="182" t="n">
        <v>0</v>
      </c>
      <c r="AL4901" s="182" t="n">
        <v>0</v>
      </c>
      <c r="AM4901" s="182" t="n">
        <v>0</v>
      </c>
      <c r="AN4901" s="182" t="n">
        <v>0</v>
      </c>
    </row>
    <row r="4902">
      <c r="A4902" s="155" t="n">
        <v>46104</v>
      </c>
      <c r="B4902" s="156" t="inlineStr">
        <is>
          <t>DS</t>
        </is>
      </c>
      <c r="C4902" s="156" t="inlineStr">
        <is>
          <t>DT-808</t>
        </is>
      </c>
      <c r="D4902" s="156" t="inlineStr">
        <is>
          <t>SKT 80S</t>
        </is>
      </c>
      <c r="E4902" s="156" t="inlineStr">
        <is>
          <t>Hauler</t>
        </is>
      </c>
      <c r="F4902" s="156" t="inlineStr">
        <is>
          <t>Support Washing Plant</t>
        </is>
      </c>
      <c r="G4902" s="182" t="n">
        <v>9.06</v>
      </c>
      <c r="H4902" s="182" t="n">
        <v>0</v>
      </c>
      <c r="I4902" s="182" t="n">
        <v>0</v>
      </c>
      <c r="J4902" s="182" t="n">
        <v>0</v>
      </c>
      <c r="K4902" s="182" t="n">
        <v>2.94</v>
      </c>
      <c r="L4902" s="182" t="n">
        <v>12</v>
      </c>
      <c r="M4902" s="182" t="n">
        <v>0</v>
      </c>
      <c r="N4902" s="182" t="n">
        <v>0</v>
      </c>
      <c r="O4902" s="183" t="n">
        <v>0</v>
      </c>
      <c r="P4902" s="183" t="n">
        <v>0</v>
      </c>
      <c r="Q4902" s="184" t="n">
        <v>0</v>
      </c>
      <c r="R4902" s="184" t="n">
        <v>0</v>
      </c>
      <c r="S4902" s="183" t="n">
        <v>20</v>
      </c>
      <c r="T4902" s="183" t="n">
        <v>0</v>
      </c>
      <c r="U4902" s="182" t="n">
        <v>0</v>
      </c>
      <c r="V4902" s="182" t="n">
        <v>0</v>
      </c>
      <c r="W4902" s="182" t="n">
        <v>0</v>
      </c>
      <c r="X4902" s="182" t="n">
        <v>0.98</v>
      </c>
      <c r="Y4902" s="182" t="n">
        <v>0</v>
      </c>
      <c r="Z4902" s="182" t="n">
        <v>0</v>
      </c>
      <c r="AA4902" s="182" t="n">
        <v>0</v>
      </c>
      <c r="AB4902" s="182" t="n">
        <v>0</v>
      </c>
      <c r="AC4902" s="182" t="n">
        <v>0</v>
      </c>
      <c r="AD4902" s="182" t="n">
        <v>0</v>
      </c>
      <c r="AE4902" s="182" t="n">
        <v>0</v>
      </c>
      <c r="AF4902" s="182" t="n">
        <v>0</v>
      </c>
      <c r="AG4902" s="182" t="n">
        <v>0</v>
      </c>
      <c r="AH4902" s="182" t="n">
        <v>0</v>
      </c>
      <c r="AI4902" s="182" t="n">
        <v>0</v>
      </c>
      <c r="AJ4902" s="182" t="n">
        <v>0</v>
      </c>
      <c r="AK4902" s="182" t="n">
        <v>1.88</v>
      </c>
      <c r="AL4902" s="182" t="n">
        <v>0</v>
      </c>
      <c r="AM4902" s="182" t="n">
        <v>0.08</v>
      </c>
      <c r="AN4902" s="182" t="n">
        <v>0</v>
      </c>
    </row>
    <row r="4903">
      <c r="A4903" s="155" t="n">
        <v>46104</v>
      </c>
      <c r="B4903" s="156" t="inlineStr">
        <is>
          <t>DS</t>
        </is>
      </c>
      <c r="C4903" s="156" t="inlineStr">
        <is>
          <t>DT-811</t>
        </is>
      </c>
      <c r="D4903" s="156" t="inlineStr">
        <is>
          <t>SKT 80S</t>
        </is>
      </c>
      <c r="E4903" s="156" t="inlineStr">
        <is>
          <t>Hauler</t>
        </is>
      </c>
      <c r="F4903" s="156" t="inlineStr">
        <is>
          <t>Support Washing Plant</t>
        </is>
      </c>
      <c r="G4903" s="182" t="n">
        <v>9.81</v>
      </c>
      <c r="H4903" s="182" t="n">
        <v>0</v>
      </c>
      <c r="I4903" s="182" t="n">
        <v>0</v>
      </c>
      <c r="J4903" s="182" t="n">
        <v>0</v>
      </c>
      <c r="K4903" s="182" t="n">
        <v>2.19</v>
      </c>
      <c r="L4903" s="182" t="n">
        <v>12</v>
      </c>
      <c r="M4903" s="182" t="n">
        <v>0</v>
      </c>
      <c r="N4903" s="182" t="n">
        <v>0</v>
      </c>
      <c r="O4903" s="183" t="n">
        <v>0</v>
      </c>
      <c r="P4903" s="183" t="n">
        <v>0</v>
      </c>
      <c r="Q4903" s="184" t="n">
        <v>0</v>
      </c>
      <c r="R4903" s="184" t="n">
        <v>0</v>
      </c>
      <c r="S4903" s="183" t="n">
        <v>26</v>
      </c>
      <c r="T4903" s="183" t="n">
        <v>0</v>
      </c>
      <c r="U4903" s="182" t="n">
        <v>0.73</v>
      </c>
      <c r="V4903" s="182" t="n">
        <v>0</v>
      </c>
      <c r="W4903" s="182" t="n">
        <v>0</v>
      </c>
      <c r="X4903" s="182" t="n">
        <v>1.29</v>
      </c>
      <c r="Y4903" s="182" t="n">
        <v>0</v>
      </c>
      <c r="Z4903" s="182" t="n">
        <v>0</v>
      </c>
      <c r="AA4903" s="182" t="n">
        <v>0</v>
      </c>
      <c r="AB4903" s="182" t="n">
        <v>0</v>
      </c>
      <c r="AC4903" s="182" t="n">
        <v>0</v>
      </c>
      <c r="AD4903" s="182" t="n">
        <v>0</v>
      </c>
      <c r="AE4903" s="182" t="n">
        <v>0</v>
      </c>
      <c r="AF4903" s="182" t="n">
        <v>0</v>
      </c>
      <c r="AG4903" s="182" t="n">
        <v>0</v>
      </c>
      <c r="AH4903" s="182" t="n">
        <v>0.06</v>
      </c>
      <c r="AI4903" s="182" t="n">
        <v>0</v>
      </c>
      <c r="AJ4903" s="182" t="n">
        <v>0</v>
      </c>
      <c r="AK4903" s="182" t="n">
        <v>0</v>
      </c>
      <c r="AL4903" s="182" t="n">
        <v>0</v>
      </c>
      <c r="AM4903" s="182" t="n">
        <v>0.1</v>
      </c>
      <c r="AN4903" s="182" t="n">
        <v>0</v>
      </c>
    </row>
    <row r="4904">
      <c r="A4904" s="155" t="n">
        <v>46104</v>
      </c>
      <c r="B4904" s="156" t="inlineStr">
        <is>
          <t>DS</t>
        </is>
      </c>
      <c r="C4904" s="156" t="inlineStr">
        <is>
          <t>DT-802</t>
        </is>
      </c>
      <c r="D4904" s="156" t="inlineStr">
        <is>
          <t>SKT 80S</t>
        </is>
      </c>
      <c r="E4904" s="156" t="inlineStr">
        <is>
          <t>Hauler</t>
        </is>
      </c>
      <c r="F4904" s="156" t="inlineStr"/>
      <c r="G4904" s="182" t="n">
        <v>0</v>
      </c>
      <c r="H4904" s="182" t="n">
        <v>0</v>
      </c>
      <c r="I4904" s="182" t="n">
        <v>12</v>
      </c>
      <c r="J4904" s="182" t="n">
        <v>12</v>
      </c>
      <c r="K4904" s="182" t="n">
        <v>0</v>
      </c>
      <c r="L4904" s="182" t="n">
        <v>12</v>
      </c>
      <c r="M4904" s="182" t="n">
        <v>0</v>
      </c>
      <c r="N4904" s="182" t="n">
        <v>0</v>
      </c>
      <c r="O4904" s="183" t="n">
        <v>0</v>
      </c>
      <c r="P4904" s="183" t="n">
        <v>0</v>
      </c>
      <c r="Q4904" s="184" t="n">
        <v>0</v>
      </c>
      <c r="R4904" s="184" t="n">
        <v>0</v>
      </c>
      <c r="S4904" s="183" t="n">
        <v>0</v>
      </c>
      <c r="T4904" s="183" t="n">
        <v>0</v>
      </c>
      <c r="U4904" s="182" t="n">
        <v>0</v>
      </c>
      <c r="V4904" s="182" t="n">
        <v>0</v>
      </c>
      <c r="W4904" s="182" t="n">
        <v>0</v>
      </c>
      <c r="X4904" s="182" t="n">
        <v>0</v>
      </c>
      <c r="Y4904" s="182" t="n">
        <v>0</v>
      </c>
      <c r="Z4904" s="182" t="n">
        <v>0</v>
      </c>
      <c r="AA4904" s="182" t="n">
        <v>0</v>
      </c>
      <c r="AB4904" s="182" t="n">
        <v>0</v>
      </c>
      <c r="AC4904" s="182" t="n">
        <v>0</v>
      </c>
      <c r="AD4904" s="182" t="n">
        <v>0</v>
      </c>
      <c r="AE4904" s="182" t="n">
        <v>0</v>
      </c>
      <c r="AF4904" s="182" t="n">
        <v>0</v>
      </c>
      <c r="AG4904" s="182" t="n">
        <v>0</v>
      </c>
      <c r="AH4904" s="182" t="n">
        <v>0</v>
      </c>
      <c r="AI4904" s="182" t="n">
        <v>0</v>
      </c>
      <c r="AJ4904" s="182" t="n">
        <v>0</v>
      </c>
      <c r="AK4904" s="182" t="n">
        <v>0</v>
      </c>
      <c r="AL4904" s="182" t="n">
        <v>0</v>
      </c>
      <c r="AM4904" s="182" t="n">
        <v>0</v>
      </c>
      <c r="AN4904" s="182" t="n">
        <v>0</v>
      </c>
    </row>
    <row r="4905">
      <c r="A4905" s="155" t="n">
        <v>46104</v>
      </c>
      <c r="B4905" s="156" t="inlineStr">
        <is>
          <t>DS</t>
        </is>
      </c>
      <c r="C4905" s="156" t="inlineStr">
        <is>
          <t>DT-807</t>
        </is>
      </c>
      <c r="D4905" s="156" t="inlineStr">
        <is>
          <t>SKT 80S</t>
        </is>
      </c>
      <c r="E4905" s="156" t="inlineStr">
        <is>
          <t>Hauler</t>
        </is>
      </c>
      <c r="F4905" s="156" t="inlineStr"/>
      <c r="G4905" s="182" t="n">
        <v>0</v>
      </c>
      <c r="H4905" s="182" t="n">
        <v>0</v>
      </c>
      <c r="I4905" s="182" t="n">
        <v>12</v>
      </c>
      <c r="J4905" s="182" t="n">
        <v>12</v>
      </c>
      <c r="K4905" s="182" t="n">
        <v>0</v>
      </c>
      <c r="L4905" s="182" t="n">
        <v>12</v>
      </c>
      <c r="M4905" s="182" t="n">
        <v>0</v>
      </c>
      <c r="N4905" s="182" t="n">
        <v>0</v>
      </c>
      <c r="O4905" s="183" t="n">
        <v>0</v>
      </c>
      <c r="P4905" s="183" t="n">
        <v>0</v>
      </c>
      <c r="Q4905" s="184" t="n">
        <v>0</v>
      </c>
      <c r="R4905" s="184" t="n">
        <v>0</v>
      </c>
      <c r="S4905" s="183" t="n">
        <v>0</v>
      </c>
      <c r="T4905" s="183" t="n">
        <v>0</v>
      </c>
      <c r="U4905" s="182" t="n">
        <v>0</v>
      </c>
      <c r="V4905" s="182" t="n">
        <v>0</v>
      </c>
      <c r="W4905" s="182" t="n">
        <v>0</v>
      </c>
      <c r="X4905" s="182" t="n">
        <v>0</v>
      </c>
      <c r="Y4905" s="182" t="n">
        <v>0</v>
      </c>
      <c r="Z4905" s="182" t="n">
        <v>0</v>
      </c>
      <c r="AA4905" s="182" t="n">
        <v>0</v>
      </c>
      <c r="AB4905" s="182" t="n">
        <v>0</v>
      </c>
      <c r="AC4905" s="182" t="n">
        <v>0</v>
      </c>
      <c r="AD4905" s="182" t="n">
        <v>0</v>
      </c>
      <c r="AE4905" s="182" t="n">
        <v>0</v>
      </c>
      <c r="AF4905" s="182" t="n">
        <v>0</v>
      </c>
      <c r="AG4905" s="182" t="n">
        <v>0</v>
      </c>
      <c r="AH4905" s="182" t="n">
        <v>0</v>
      </c>
      <c r="AI4905" s="182" t="n">
        <v>0</v>
      </c>
      <c r="AJ4905" s="182" t="n">
        <v>0</v>
      </c>
      <c r="AK4905" s="182" t="n">
        <v>0</v>
      </c>
      <c r="AL4905" s="182" t="n">
        <v>0</v>
      </c>
      <c r="AM4905" s="182" t="n">
        <v>0</v>
      </c>
      <c r="AN4905" s="182" t="n">
        <v>0</v>
      </c>
    </row>
    <row r="4906">
      <c r="A4906" s="155" t="n">
        <v>46104</v>
      </c>
      <c r="B4906" s="156" t="inlineStr">
        <is>
          <t>DS</t>
        </is>
      </c>
      <c r="C4906" s="156" t="inlineStr">
        <is>
          <t>DT-812</t>
        </is>
      </c>
      <c r="D4906" s="156" t="inlineStr">
        <is>
          <t>SKT 80S</t>
        </is>
      </c>
      <c r="E4906" s="156" t="inlineStr">
        <is>
          <t>Hauler</t>
        </is>
      </c>
      <c r="F4906" s="156" t="inlineStr">
        <is>
          <t>Support Washing Plant</t>
        </is>
      </c>
      <c r="G4906" s="182" t="n">
        <v>10.25</v>
      </c>
      <c r="H4906" s="182" t="n">
        <v>0</v>
      </c>
      <c r="I4906" s="182" t="n">
        <v>0</v>
      </c>
      <c r="J4906" s="182" t="n">
        <v>0</v>
      </c>
      <c r="K4906" s="182" t="n">
        <v>1.75</v>
      </c>
      <c r="L4906" s="182" t="n">
        <v>12</v>
      </c>
      <c r="M4906" s="182" t="n">
        <v>0</v>
      </c>
      <c r="N4906" s="182" t="n">
        <v>0</v>
      </c>
      <c r="O4906" s="183" t="n">
        <v>0</v>
      </c>
      <c r="P4906" s="183" t="n">
        <v>0</v>
      </c>
      <c r="Q4906" s="184" t="n">
        <v>0</v>
      </c>
      <c r="R4906" s="184" t="n">
        <v>0</v>
      </c>
      <c r="S4906" s="183" t="n">
        <v>29</v>
      </c>
      <c r="T4906" s="183" t="n">
        <v>0</v>
      </c>
      <c r="U4906" s="182" t="n">
        <v>0.55</v>
      </c>
      <c r="V4906" s="182" t="n">
        <v>0</v>
      </c>
      <c r="W4906" s="182" t="n">
        <v>0</v>
      </c>
      <c r="X4906" s="182" t="n">
        <v>0.97</v>
      </c>
      <c r="Y4906" s="182" t="n">
        <v>0</v>
      </c>
      <c r="Z4906" s="182" t="n">
        <v>0</v>
      </c>
      <c r="AA4906" s="182" t="n">
        <v>0</v>
      </c>
      <c r="AB4906" s="182" t="n">
        <v>0</v>
      </c>
      <c r="AC4906" s="182" t="n">
        <v>0</v>
      </c>
      <c r="AD4906" s="182" t="n">
        <v>0</v>
      </c>
      <c r="AE4906" s="182" t="n">
        <v>0</v>
      </c>
      <c r="AF4906" s="182" t="n">
        <v>0</v>
      </c>
      <c r="AG4906" s="182" t="n">
        <v>0</v>
      </c>
      <c r="AH4906" s="182" t="n">
        <v>0.15</v>
      </c>
      <c r="AI4906" s="182" t="n">
        <v>0</v>
      </c>
      <c r="AJ4906" s="182" t="n">
        <v>0</v>
      </c>
      <c r="AK4906" s="182" t="n">
        <v>0</v>
      </c>
      <c r="AL4906" s="182" t="n">
        <v>0</v>
      </c>
      <c r="AM4906" s="182" t="n">
        <v>0.08</v>
      </c>
      <c r="AN4906" s="182" t="n">
        <v>0</v>
      </c>
    </row>
    <row r="4907">
      <c r="A4907" s="155" t="n">
        <v>46104</v>
      </c>
      <c r="B4907" s="156" t="inlineStr">
        <is>
          <t>DS</t>
        </is>
      </c>
      <c r="C4907" s="156" t="inlineStr">
        <is>
          <t>DT-803</t>
        </is>
      </c>
      <c r="D4907" s="156" t="inlineStr">
        <is>
          <t>SKT 80S</t>
        </is>
      </c>
      <c r="E4907" s="156" t="inlineStr">
        <is>
          <t>Hauler</t>
        </is>
      </c>
      <c r="F4907" s="156" t="inlineStr"/>
      <c r="G4907" s="182" t="n">
        <v>0</v>
      </c>
      <c r="H4907" s="182" t="n">
        <v>0</v>
      </c>
      <c r="I4907" s="182" t="n">
        <v>0</v>
      </c>
      <c r="J4907" s="182" t="n">
        <v>0</v>
      </c>
      <c r="K4907" s="182" t="n">
        <v>12</v>
      </c>
      <c r="L4907" s="182" t="n">
        <v>12</v>
      </c>
      <c r="M4907" s="182" t="n">
        <v>0</v>
      </c>
      <c r="N4907" s="182" t="n">
        <v>0</v>
      </c>
      <c r="O4907" s="183" t="n">
        <v>0</v>
      </c>
      <c r="P4907" s="183" t="n">
        <v>0</v>
      </c>
      <c r="Q4907" s="184" t="n">
        <v>0</v>
      </c>
      <c r="R4907" s="184" t="n">
        <v>0</v>
      </c>
      <c r="S4907" s="183" t="n">
        <v>0</v>
      </c>
      <c r="T4907" s="183" t="n">
        <v>0</v>
      </c>
      <c r="U4907" s="182" t="n">
        <v>0</v>
      </c>
      <c r="V4907" s="182" t="n">
        <v>0</v>
      </c>
      <c r="W4907" s="182" t="n">
        <v>0</v>
      </c>
      <c r="X4907" s="182" t="n">
        <v>1</v>
      </c>
      <c r="Y4907" s="182" t="n">
        <v>0</v>
      </c>
      <c r="Z4907" s="182" t="n">
        <v>0</v>
      </c>
      <c r="AA4907" s="182" t="n">
        <v>0</v>
      </c>
      <c r="AB4907" s="182" t="n">
        <v>0</v>
      </c>
      <c r="AC4907" s="182" t="n">
        <v>0</v>
      </c>
      <c r="AD4907" s="182" t="n">
        <v>0</v>
      </c>
      <c r="AE4907" s="182" t="n">
        <v>0</v>
      </c>
      <c r="AF4907" s="182" t="n">
        <v>0</v>
      </c>
      <c r="AG4907" s="182" t="n">
        <v>0</v>
      </c>
      <c r="AH4907" s="182" t="n">
        <v>0</v>
      </c>
      <c r="AI4907" s="182" t="n">
        <v>0</v>
      </c>
      <c r="AJ4907" s="182" t="n">
        <v>0</v>
      </c>
      <c r="AK4907" s="182" t="n">
        <v>10.92</v>
      </c>
      <c r="AL4907" s="182" t="n">
        <v>0</v>
      </c>
      <c r="AM4907" s="182" t="n">
        <v>0.08</v>
      </c>
      <c r="AN4907" s="182" t="n">
        <v>0</v>
      </c>
    </row>
    <row r="4908">
      <c r="A4908" s="155" t="n">
        <v>46104</v>
      </c>
      <c r="B4908" s="156" t="inlineStr">
        <is>
          <t>DS</t>
        </is>
      </c>
      <c r="C4908" s="156" t="inlineStr">
        <is>
          <t>DT-810</t>
        </is>
      </c>
      <c r="D4908" s="156" t="inlineStr">
        <is>
          <t>SKT 80S</t>
        </is>
      </c>
      <c r="E4908" s="156" t="inlineStr">
        <is>
          <t>Hauler</t>
        </is>
      </c>
      <c r="F4908" s="156" t="inlineStr">
        <is>
          <t>Support Washing Plant</t>
        </is>
      </c>
      <c r="G4908" s="182" t="n">
        <v>10.79</v>
      </c>
      <c r="H4908" s="182" t="n">
        <v>0</v>
      </c>
      <c r="I4908" s="182" t="n">
        <v>0</v>
      </c>
      <c r="J4908" s="182" t="n">
        <v>0</v>
      </c>
      <c r="K4908" s="182" t="n">
        <v>1.21</v>
      </c>
      <c r="L4908" s="182" t="n">
        <v>12</v>
      </c>
      <c r="M4908" s="182" t="n">
        <v>0</v>
      </c>
      <c r="N4908" s="182" t="n">
        <v>0</v>
      </c>
      <c r="O4908" s="183" t="n">
        <v>0</v>
      </c>
      <c r="P4908" s="183" t="n">
        <v>0</v>
      </c>
      <c r="Q4908" s="184" t="n">
        <v>0</v>
      </c>
      <c r="R4908" s="184" t="n">
        <v>0</v>
      </c>
      <c r="S4908" s="183" t="n">
        <v>26</v>
      </c>
      <c r="T4908" s="183" t="n">
        <v>0</v>
      </c>
      <c r="U4908" s="182" t="n">
        <v>0.34</v>
      </c>
      <c r="V4908" s="182" t="n">
        <v>0</v>
      </c>
      <c r="W4908" s="182" t="n">
        <v>0</v>
      </c>
      <c r="X4908" s="182" t="n">
        <v>0.8100000000000001</v>
      </c>
      <c r="Y4908" s="182" t="n">
        <v>0</v>
      </c>
      <c r="Z4908" s="182" t="n">
        <v>0</v>
      </c>
      <c r="AA4908" s="182" t="n">
        <v>0</v>
      </c>
      <c r="AB4908" s="182" t="n">
        <v>0</v>
      </c>
      <c r="AC4908" s="182" t="n">
        <v>0</v>
      </c>
      <c r="AD4908" s="182" t="n">
        <v>0</v>
      </c>
      <c r="AE4908" s="182" t="n">
        <v>0</v>
      </c>
      <c r="AF4908" s="182" t="n">
        <v>0</v>
      </c>
      <c r="AG4908" s="182" t="n">
        <v>0</v>
      </c>
      <c r="AH4908" s="182" t="n">
        <v>0</v>
      </c>
      <c r="AI4908" s="182" t="n">
        <v>0</v>
      </c>
      <c r="AJ4908" s="182" t="n">
        <v>0</v>
      </c>
      <c r="AK4908" s="182" t="n">
        <v>0</v>
      </c>
      <c r="AL4908" s="182" t="n">
        <v>0</v>
      </c>
      <c r="AM4908" s="182" t="n">
        <v>0.06</v>
      </c>
      <c r="AN4908" s="182" t="n">
        <v>0</v>
      </c>
    </row>
    <row r="4909">
      <c r="A4909" s="155" t="n">
        <v>46104</v>
      </c>
      <c r="B4909" s="156" t="inlineStr">
        <is>
          <t>DS</t>
        </is>
      </c>
      <c r="C4909" s="156" t="inlineStr">
        <is>
          <t>DT-804</t>
        </is>
      </c>
      <c r="D4909" s="156" t="inlineStr">
        <is>
          <t>SKT 80S</t>
        </is>
      </c>
      <c r="E4909" s="156" t="inlineStr">
        <is>
          <t>Hauler</t>
        </is>
      </c>
      <c r="F4909" s="156" t="inlineStr">
        <is>
          <t>Support Washing Plant</t>
        </is>
      </c>
      <c r="G4909" s="182" t="n">
        <v>7.83</v>
      </c>
      <c r="H4909" s="182" t="n">
        <v>0</v>
      </c>
      <c r="I4909" s="182" t="n">
        <v>0.95</v>
      </c>
      <c r="J4909" s="182" t="n">
        <v>0.95</v>
      </c>
      <c r="K4909" s="182" t="n">
        <v>3.22</v>
      </c>
      <c r="L4909" s="182" t="n">
        <v>12</v>
      </c>
      <c r="M4909" s="182" t="n">
        <v>0</v>
      </c>
      <c r="N4909" s="182" t="n">
        <v>0</v>
      </c>
      <c r="O4909" s="183" t="n">
        <v>0</v>
      </c>
      <c r="P4909" s="183" t="n">
        <v>0</v>
      </c>
      <c r="Q4909" s="184" t="n">
        <v>0</v>
      </c>
      <c r="R4909" s="184" t="n">
        <v>0</v>
      </c>
      <c r="S4909" s="183" t="n">
        <v>0</v>
      </c>
      <c r="T4909" s="183" t="n">
        <v>0</v>
      </c>
      <c r="U4909" s="182" t="n">
        <v>0</v>
      </c>
      <c r="V4909" s="182" t="n">
        <v>0</v>
      </c>
      <c r="W4909" s="182" t="n">
        <v>0</v>
      </c>
      <c r="X4909" s="182" t="n">
        <v>0.99</v>
      </c>
      <c r="Y4909" s="182" t="n">
        <v>0</v>
      </c>
      <c r="Z4909" s="182" t="n">
        <v>0</v>
      </c>
      <c r="AA4909" s="182" t="n">
        <v>0</v>
      </c>
      <c r="AB4909" s="182" t="n">
        <v>0</v>
      </c>
      <c r="AC4909" s="182" t="n">
        <v>0</v>
      </c>
      <c r="AD4909" s="182" t="n">
        <v>0</v>
      </c>
      <c r="AE4909" s="182" t="n">
        <v>0</v>
      </c>
      <c r="AF4909" s="182" t="n">
        <v>0</v>
      </c>
      <c r="AG4909" s="182" t="n">
        <v>0</v>
      </c>
      <c r="AH4909" s="182" t="n">
        <v>0</v>
      </c>
      <c r="AI4909" s="182" t="n">
        <v>0</v>
      </c>
      <c r="AJ4909" s="182" t="n">
        <v>0</v>
      </c>
      <c r="AK4909" s="182" t="n">
        <v>2.15</v>
      </c>
      <c r="AL4909" s="182" t="n">
        <v>0</v>
      </c>
      <c r="AM4909" s="182" t="n">
        <v>0.08</v>
      </c>
      <c r="AN4909" s="182" t="n">
        <v>0</v>
      </c>
    </row>
    <row r="4910">
      <c r="A4910" s="155" t="n">
        <v>46104</v>
      </c>
      <c r="B4910" s="156" t="inlineStr">
        <is>
          <t>DS</t>
        </is>
      </c>
      <c r="C4910" s="156" t="inlineStr">
        <is>
          <t>DT-505</t>
        </is>
      </c>
      <c r="D4910" s="156" t="inlineStr">
        <is>
          <t>SKT 105S</t>
        </is>
      </c>
      <c r="E4910" s="156" t="inlineStr">
        <is>
          <t>Hauler</t>
        </is>
      </c>
      <c r="F4910" s="156" t="inlineStr">
        <is>
          <t>Hauling OB</t>
        </is>
      </c>
      <c r="G4910" s="182" t="n">
        <v>9.19</v>
      </c>
      <c r="H4910" s="182" t="n">
        <v>0</v>
      </c>
      <c r="I4910" s="182" t="n">
        <v>0</v>
      </c>
      <c r="J4910" s="182" t="n">
        <v>0</v>
      </c>
      <c r="K4910" s="182" t="n">
        <v>2.81</v>
      </c>
      <c r="L4910" s="182" t="n">
        <v>12</v>
      </c>
      <c r="M4910" s="182" t="n">
        <v>9.19</v>
      </c>
      <c r="N4910" s="182" t="n">
        <v>0</v>
      </c>
      <c r="O4910" s="183" t="n">
        <v>29</v>
      </c>
      <c r="P4910" s="183" t="n">
        <v>0</v>
      </c>
      <c r="Q4910" s="184" t="n">
        <v>567.9</v>
      </c>
      <c r="R4910" s="184" t="n">
        <v>0</v>
      </c>
      <c r="S4910" s="183" t="n">
        <v>0</v>
      </c>
      <c r="T4910" s="183" t="n">
        <v>0</v>
      </c>
      <c r="U4910" s="182" t="n">
        <v>0.57</v>
      </c>
      <c r="V4910" s="182" t="n">
        <v>0.7</v>
      </c>
      <c r="W4910" s="182" t="n">
        <v>0</v>
      </c>
      <c r="X4910" s="182" t="n">
        <v>1</v>
      </c>
      <c r="Y4910" s="182" t="n">
        <v>0</v>
      </c>
      <c r="Z4910" s="182" t="n">
        <v>0</v>
      </c>
      <c r="AA4910" s="182" t="n">
        <v>0</v>
      </c>
      <c r="AB4910" s="182" t="n">
        <v>0</v>
      </c>
      <c r="AC4910" s="182" t="n">
        <v>0</v>
      </c>
      <c r="AD4910" s="182" t="n">
        <v>0</v>
      </c>
      <c r="AE4910" s="182" t="n">
        <v>0</v>
      </c>
      <c r="AF4910" s="182" t="n">
        <v>0</v>
      </c>
      <c r="AG4910" s="182" t="n">
        <v>0</v>
      </c>
      <c r="AH4910" s="182" t="n">
        <v>0.45</v>
      </c>
      <c r="AI4910" s="182" t="n">
        <v>0</v>
      </c>
      <c r="AJ4910" s="182" t="n">
        <v>0</v>
      </c>
      <c r="AK4910" s="182" t="n">
        <v>0</v>
      </c>
      <c r="AL4910" s="182" t="n">
        <v>0</v>
      </c>
      <c r="AM4910" s="182" t="n">
        <v>0.08</v>
      </c>
      <c r="AN4910" s="182" t="n">
        <v>0</v>
      </c>
    </row>
    <row r="4911">
      <c r="A4911" s="155" t="n">
        <v>46104</v>
      </c>
      <c r="B4911" s="156" t="inlineStr">
        <is>
          <t>DS</t>
        </is>
      </c>
      <c r="C4911" s="156" t="inlineStr">
        <is>
          <t>DT-530</t>
        </is>
      </c>
      <c r="D4911" s="156" t="inlineStr">
        <is>
          <t>SKT 105S</t>
        </is>
      </c>
      <c r="E4911" s="156" t="inlineStr">
        <is>
          <t>Hauler</t>
        </is>
      </c>
      <c r="F4911" s="156" t="inlineStr"/>
      <c r="G4911" s="182" t="n">
        <v>0</v>
      </c>
      <c r="H4911" s="182" t="n">
        <v>0</v>
      </c>
      <c r="I4911" s="182" t="n">
        <v>12</v>
      </c>
      <c r="J4911" s="182" t="n">
        <v>12</v>
      </c>
      <c r="K4911" s="182" t="n">
        <v>0</v>
      </c>
      <c r="L4911" s="182" t="n">
        <v>12</v>
      </c>
      <c r="M4911" s="182" t="n">
        <v>0</v>
      </c>
      <c r="N4911" s="182" t="n">
        <v>0</v>
      </c>
      <c r="O4911" s="183" t="n">
        <v>0</v>
      </c>
      <c r="P4911" s="183" t="n">
        <v>0</v>
      </c>
      <c r="Q4911" s="184" t="n">
        <v>0</v>
      </c>
      <c r="R4911" s="184" t="n">
        <v>0</v>
      </c>
      <c r="S4911" s="183" t="n">
        <v>0</v>
      </c>
      <c r="T4911" s="183" t="n">
        <v>0</v>
      </c>
      <c r="U4911" s="182" t="n">
        <v>0</v>
      </c>
      <c r="V4911" s="182" t="n">
        <v>0</v>
      </c>
      <c r="W4911" s="182" t="n">
        <v>0</v>
      </c>
      <c r="X4911" s="182" t="n">
        <v>0</v>
      </c>
      <c r="Y4911" s="182" t="n">
        <v>0</v>
      </c>
      <c r="Z4911" s="182" t="n">
        <v>0</v>
      </c>
      <c r="AA4911" s="182" t="n">
        <v>0</v>
      </c>
      <c r="AB4911" s="182" t="n">
        <v>0</v>
      </c>
      <c r="AC4911" s="182" t="n">
        <v>0</v>
      </c>
      <c r="AD4911" s="182" t="n">
        <v>0</v>
      </c>
      <c r="AE4911" s="182" t="n">
        <v>0</v>
      </c>
      <c r="AF4911" s="182" t="n">
        <v>0</v>
      </c>
      <c r="AG4911" s="182" t="n">
        <v>0</v>
      </c>
      <c r="AH4911" s="182" t="n">
        <v>0</v>
      </c>
      <c r="AI4911" s="182" t="n">
        <v>0</v>
      </c>
      <c r="AJ4911" s="182" t="n">
        <v>0</v>
      </c>
      <c r="AK4911" s="182" t="n">
        <v>0</v>
      </c>
      <c r="AL4911" s="182" t="n">
        <v>0</v>
      </c>
      <c r="AM4911" s="182" t="n">
        <v>0</v>
      </c>
      <c r="AN4911" s="182" t="n">
        <v>0</v>
      </c>
    </row>
    <row r="4912">
      <c r="A4912" s="155" t="n">
        <v>46104</v>
      </c>
      <c r="B4912" s="156" t="inlineStr">
        <is>
          <t>DS</t>
        </is>
      </c>
      <c r="C4912" s="156" t="inlineStr">
        <is>
          <t>DT-525</t>
        </is>
      </c>
      <c r="D4912" s="156" t="inlineStr">
        <is>
          <t>SKT 105S</t>
        </is>
      </c>
      <c r="E4912" s="156" t="inlineStr">
        <is>
          <t>Hauler</t>
        </is>
      </c>
      <c r="F4912" s="156" t="inlineStr"/>
      <c r="G4912" s="182" t="n">
        <v>0</v>
      </c>
      <c r="H4912" s="182" t="n">
        <v>0</v>
      </c>
      <c r="I4912" s="182" t="n">
        <v>12</v>
      </c>
      <c r="J4912" s="182" t="n">
        <v>12</v>
      </c>
      <c r="K4912" s="182" t="n">
        <v>0</v>
      </c>
      <c r="L4912" s="182" t="n">
        <v>12</v>
      </c>
      <c r="M4912" s="182" t="n">
        <v>0</v>
      </c>
      <c r="N4912" s="182" t="n">
        <v>0</v>
      </c>
      <c r="O4912" s="183" t="n">
        <v>0</v>
      </c>
      <c r="P4912" s="183" t="n">
        <v>0</v>
      </c>
      <c r="Q4912" s="184" t="n">
        <v>0</v>
      </c>
      <c r="R4912" s="184" t="n">
        <v>0</v>
      </c>
      <c r="S4912" s="183" t="n">
        <v>0</v>
      </c>
      <c r="T4912" s="183" t="n">
        <v>0</v>
      </c>
      <c r="U4912" s="182" t="n">
        <v>0</v>
      </c>
      <c r="V4912" s="182" t="n">
        <v>0</v>
      </c>
      <c r="W4912" s="182" t="n">
        <v>0</v>
      </c>
      <c r="X4912" s="182" t="n">
        <v>0</v>
      </c>
      <c r="Y4912" s="182" t="n">
        <v>0</v>
      </c>
      <c r="Z4912" s="182" t="n">
        <v>0</v>
      </c>
      <c r="AA4912" s="182" t="n">
        <v>0</v>
      </c>
      <c r="AB4912" s="182" t="n">
        <v>0</v>
      </c>
      <c r="AC4912" s="182" t="n">
        <v>0</v>
      </c>
      <c r="AD4912" s="182" t="n">
        <v>0</v>
      </c>
      <c r="AE4912" s="182" t="n">
        <v>0</v>
      </c>
      <c r="AF4912" s="182" t="n">
        <v>0</v>
      </c>
      <c r="AG4912" s="182" t="n">
        <v>0</v>
      </c>
      <c r="AH4912" s="182" t="n">
        <v>0</v>
      </c>
      <c r="AI4912" s="182" t="n">
        <v>0</v>
      </c>
      <c r="AJ4912" s="182" t="n">
        <v>0</v>
      </c>
      <c r="AK4912" s="182" t="n">
        <v>0</v>
      </c>
      <c r="AL4912" s="182" t="n">
        <v>0</v>
      </c>
      <c r="AM4912" s="182" t="n">
        <v>0</v>
      </c>
      <c r="AN4912" s="182" t="n">
        <v>0</v>
      </c>
    </row>
    <row r="4913">
      <c r="A4913" s="155" t="n">
        <v>46104</v>
      </c>
      <c r="B4913" s="156" t="inlineStr">
        <is>
          <t>DS</t>
        </is>
      </c>
      <c r="C4913" s="156" t="inlineStr">
        <is>
          <t>DT-503</t>
        </is>
      </c>
      <c r="D4913" s="156" t="inlineStr">
        <is>
          <t>SKT 105S</t>
        </is>
      </c>
      <c r="E4913" s="156" t="inlineStr">
        <is>
          <t>Hauler</t>
        </is>
      </c>
      <c r="F4913" s="156" t="inlineStr">
        <is>
          <t>Hauling OB</t>
        </is>
      </c>
      <c r="G4913" s="182" t="n">
        <v>4.44</v>
      </c>
      <c r="H4913" s="182" t="n">
        <v>0</v>
      </c>
      <c r="I4913" s="182" t="n">
        <v>2.18</v>
      </c>
      <c r="J4913" s="182" t="n">
        <v>2.18</v>
      </c>
      <c r="K4913" s="182" t="n">
        <v>5.38</v>
      </c>
      <c r="L4913" s="182" t="n">
        <v>12</v>
      </c>
      <c r="M4913" s="182" t="n">
        <v>4.44</v>
      </c>
      <c r="N4913" s="182" t="n">
        <v>0</v>
      </c>
      <c r="O4913" s="183" t="n">
        <v>14</v>
      </c>
      <c r="P4913" s="183" t="n">
        <v>0</v>
      </c>
      <c r="Q4913" s="184" t="n">
        <v>285.6</v>
      </c>
      <c r="R4913" s="184" t="n">
        <v>0</v>
      </c>
      <c r="S4913" s="183" t="n">
        <v>0</v>
      </c>
      <c r="T4913" s="183" t="n">
        <v>0</v>
      </c>
      <c r="U4913" s="182" t="n">
        <v>0.55</v>
      </c>
      <c r="V4913" s="182" t="n">
        <v>0</v>
      </c>
      <c r="W4913" s="182" t="n">
        <v>0</v>
      </c>
      <c r="X4913" s="182" t="n">
        <v>0.96</v>
      </c>
      <c r="Y4913" s="182" t="n">
        <v>0</v>
      </c>
      <c r="Z4913" s="182" t="n">
        <v>0</v>
      </c>
      <c r="AA4913" s="182" t="n">
        <v>0</v>
      </c>
      <c r="AB4913" s="182" t="n">
        <v>0</v>
      </c>
      <c r="AC4913" s="182" t="n">
        <v>0</v>
      </c>
      <c r="AD4913" s="182" t="n">
        <v>0</v>
      </c>
      <c r="AE4913" s="182" t="n">
        <v>0</v>
      </c>
      <c r="AF4913" s="182" t="n">
        <v>0</v>
      </c>
      <c r="AG4913" s="182" t="n">
        <v>0</v>
      </c>
      <c r="AH4913" s="182" t="n">
        <v>0</v>
      </c>
      <c r="AI4913" s="182" t="n">
        <v>0</v>
      </c>
      <c r="AJ4913" s="182" t="n">
        <v>0</v>
      </c>
      <c r="AK4913" s="182" t="n">
        <v>3.79</v>
      </c>
      <c r="AL4913" s="182" t="n">
        <v>0</v>
      </c>
      <c r="AM4913" s="182" t="n">
        <v>0.08</v>
      </c>
      <c r="AN4913" s="182" t="n">
        <v>0</v>
      </c>
    </row>
    <row r="4914">
      <c r="A4914" s="155" t="n">
        <v>46104</v>
      </c>
      <c r="B4914" s="156" t="inlineStr">
        <is>
          <t>DS</t>
        </is>
      </c>
      <c r="C4914" s="156" t="inlineStr">
        <is>
          <t>DT-504</t>
        </is>
      </c>
      <c r="D4914" s="156" t="inlineStr">
        <is>
          <t>SKT 105S</t>
        </is>
      </c>
      <c r="E4914" s="156" t="inlineStr">
        <is>
          <t>Hauler</t>
        </is>
      </c>
      <c r="F4914" s="156" t="inlineStr">
        <is>
          <t>Hauling OB</t>
        </is>
      </c>
      <c r="G4914" s="182" t="n">
        <v>10.48</v>
      </c>
      <c r="H4914" s="182" t="n">
        <v>0</v>
      </c>
      <c r="I4914" s="182" t="n">
        <v>0</v>
      </c>
      <c r="J4914" s="182" t="n">
        <v>0</v>
      </c>
      <c r="K4914" s="182" t="n">
        <v>1.52</v>
      </c>
      <c r="L4914" s="182" t="n">
        <v>12</v>
      </c>
      <c r="M4914" s="182" t="n">
        <v>10.48</v>
      </c>
      <c r="N4914" s="182" t="n">
        <v>0</v>
      </c>
      <c r="O4914" s="183" t="n">
        <v>63</v>
      </c>
      <c r="P4914" s="183" t="n">
        <v>0</v>
      </c>
      <c r="Q4914" s="184" t="n">
        <v>1285.2</v>
      </c>
      <c r="R4914" s="184" t="n">
        <v>0</v>
      </c>
      <c r="S4914" s="183" t="n">
        <v>0</v>
      </c>
      <c r="T4914" s="183" t="n">
        <v>0</v>
      </c>
      <c r="U4914" s="182" t="n">
        <v>0.48</v>
      </c>
      <c r="V4914" s="182" t="n">
        <v>0</v>
      </c>
      <c r="W4914" s="182" t="n">
        <v>0</v>
      </c>
      <c r="X4914" s="182" t="n">
        <v>0.84</v>
      </c>
      <c r="Y4914" s="182" t="n">
        <v>0</v>
      </c>
      <c r="Z4914" s="182" t="n">
        <v>0</v>
      </c>
      <c r="AA4914" s="182" t="n">
        <v>0</v>
      </c>
      <c r="AB4914" s="182" t="n">
        <v>0</v>
      </c>
      <c r="AC4914" s="182" t="n">
        <v>0</v>
      </c>
      <c r="AD4914" s="182" t="n">
        <v>0</v>
      </c>
      <c r="AE4914" s="182" t="n">
        <v>0</v>
      </c>
      <c r="AF4914" s="182" t="n">
        <v>0</v>
      </c>
      <c r="AG4914" s="182" t="n">
        <v>0</v>
      </c>
      <c r="AH4914" s="182" t="n">
        <v>0.13</v>
      </c>
      <c r="AI4914" s="182" t="n">
        <v>0</v>
      </c>
      <c r="AJ4914" s="182" t="n">
        <v>0</v>
      </c>
      <c r="AK4914" s="182" t="n">
        <v>0</v>
      </c>
      <c r="AL4914" s="182" t="n">
        <v>0</v>
      </c>
      <c r="AM4914" s="182" t="n">
        <v>0.07000000000000001</v>
      </c>
      <c r="AN4914" s="182" t="n">
        <v>0</v>
      </c>
    </row>
    <row r="4915">
      <c r="A4915" s="155" t="n">
        <v>46104</v>
      </c>
      <c r="B4915" s="156" t="inlineStr">
        <is>
          <t>DS</t>
        </is>
      </c>
      <c r="C4915" s="156" t="inlineStr">
        <is>
          <t>DT-507</t>
        </is>
      </c>
      <c r="D4915" s="156" t="inlineStr">
        <is>
          <t>SKT 105S</t>
        </is>
      </c>
      <c r="E4915" s="156" t="inlineStr">
        <is>
          <t>Hauler</t>
        </is>
      </c>
      <c r="F4915" s="156" t="inlineStr">
        <is>
          <t>Hauling OB</t>
        </is>
      </c>
      <c r="G4915" s="182" t="n">
        <v>10.03</v>
      </c>
      <c r="H4915" s="182" t="n">
        <v>0</v>
      </c>
      <c r="I4915" s="182" t="n">
        <v>0</v>
      </c>
      <c r="J4915" s="182" t="n">
        <v>0</v>
      </c>
      <c r="K4915" s="182" t="n">
        <v>1.97</v>
      </c>
      <c r="L4915" s="182" t="n">
        <v>12</v>
      </c>
      <c r="M4915" s="182" t="n">
        <v>10.03</v>
      </c>
      <c r="N4915" s="182" t="n">
        <v>0</v>
      </c>
      <c r="O4915" s="183" t="n">
        <v>72</v>
      </c>
      <c r="P4915" s="183" t="n">
        <v>0</v>
      </c>
      <c r="Q4915" s="184" t="n">
        <v>1468.8</v>
      </c>
      <c r="R4915" s="184" t="n">
        <v>0</v>
      </c>
      <c r="S4915" s="183" t="n">
        <v>0</v>
      </c>
      <c r="T4915" s="183" t="n">
        <v>0</v>
      </c>
      <c r="U4915" s="182" t="n">
        <v>0.62</v>
      </c>
      <c r="V4915" s="182" t="n">
        <v>0</v>
      </c>
      <c r="W4915" s="182" t="n">
        <v>0</v>
      </c>
      <c r="X4915" s="182" t="n">
        <v>1.09</v>
      </c>
      <c r="Y4915" s="182" t="n">
        <v>0</v>
      </c>
      <c r="Z4915" s="182" t="n">
        <v>0</v>
      </c>
      <c r="AA4915" s="182" t="n">
        <v>0</v>
      </c>
      <c r="AB4915" s="182" t="n">
        <v>0</v>
      </c>
      <c r="AC4915" s="182" t="n">
        <v>0</v>
      </c>
      <c r="AD4915" s="182" t="n">
        <v>0</v>
      </c>
      <c r="AE4915" s="182" t="n">
        <v>0</v>
      </c>
      <c r="AF4915" s="182" t="n">
        <v>0</v>
      </c>
      <c r="AG4915" s="182" t="n">
        <v>0</v>
      </c>
      <c r="AH4915" s="182" t="n">
        <v>0.16</v>
      </c>
      <c r="AI4915" s="182" t="n">
        <v>0</v>
      </c>
      <c r="AJ4915" s="182" t="n">
        <v>0</v>
      </c>
      <c r="AK4915" s="182" t="n">
        <v>0</v>
      </c>
      <c r="AL4915" s="182" t="n">
        <v>0</v>
      </c>
      <c r="AM4915" s="182" t="n">
        <v>0.09</v>
      </c>
      <c r="AN4915" s="182" t="n">
        <v>0</v>
      </c>
    </row>
    <row r="4916">
      <c r="A4916" s="155" t="n">
        <v>46104</v>
      </c>
      <c r="B4916" s="156" t="inlineStr">
        <is>
          <t>DS</t>
        </is>
      </c>
      <c r="C4916" s="156" t="inlineStr">
        <is>
          <t>DT-501</t>
        </is>
      </c>
      <c r="D4916" s="156" t="inlineStr">
        <is>
          <t>SKT 105S</t>
        </is>
      </c>
      <c r="E4916" s="156" t="inlineStr">
        <is>
          <t>Hauler</t>
        </is>
      </c>
      <c r="F4916" s="156" t="inlineStr">
        <is>
          <t>Hauling Coal</t>
        </is>
      </c>
      <c r="G4916" s="182" t="n">
        <v>4.68</v>
      </c>
      <c r="H4916" s="182" t="n">
        <v>0</v>
      </c>
      <c r="I4916" s="182" t="n">
        <v>0</v>
      </c>
      <c r="J4916" s="182" t="n">
        <v>0</v>
      </c>
      <c r="K4916" s="182" t="n">
        <v>7.32</v>
      </c>
      <c r="L4916" s="182" t="n">
        <v>12</v>
      </c>
      <c r="M4916" s="182" t="n">
        <v>0</v>
      </c>
      <c r="N4916" s="182" t="n">
        <v>4.68</v>
      </c>
      <c r="O4916" s="183" t="n">
        <v>0</v>
      </c>
      <c r="P4916" s="183" t="n">
        <v>17</v>
      </c>
      <c r="Q4916" s="184" t="n">
        <v>0</v>
      </c>
      <c r="R4916" s="184" t="n">
        <v>317.9</v>
      </c>
      <c r="S4916" s="183" t="n">
        <v>0</v>
      </c>
      <c r="T4916" s="183" t="n">
        <v>0</v>
      </c>
      <c r="U4916" s="182" t="n">
        <v>0.5600000000000001</v>
      </c>
      <c r="V4916" s="182" t="n">
        <v>0</v>
      </c>
      <c r="W4916" s="182" t="n">
        <v>0</v>
      </c>
      <c r="X4916" s="182" t="n">
        <v>0.98</v>
      </c>
      <c r="Y4916" s="182" t="n">
        <v>0</v>
      </c>
      <c r="Z4916" s="182" t="n">
        <v>0</v>
      </c>
      <c r="AA4916" s="182" t="n">
        <v>0</v>
      </c>
      <c r="AB4916" s="182" t="n">
        <v>0</v>
      </c>
      <c r="AC4916" s="182" t="n">
        <v>0</v>
      </c>
      <c r="AD4916" s="182" t="n">
        <v>0</v>
      </c>
      <c r="AE4916" s="182" t="n">
        <v>0</v>
      </c>
      <c r="AF4916" s="182" t="n">
        <v>0</v>
      </c>
      <c r="AG4916" s="182" t="n">
        <v>0</v>
      </c>
      <c r="AH4916" s="182" t="n">
        <v>0</v>
      </c>
      <c r="AI4916" s="182" t="n">
        <v>0</v>
      </c>
      <c r="AJ4916" s="182" t="n">
        <v>0</v>
      </c>
      <c r="AK4916" s="182" t="n">
        <v>5.71</v>
      </c>
      <c r="AL4916" s="182" t="n">
        <v>0</v>
      </c>
      <c r="AM4916" s="182" t="n">
        <v>0.08</v>
      </c>
      <c r="AN4916" s="182" t="n">
        <v>0</v>
      </c>
    </row>
    <row r="4917">
      <c r="A4917" s="155" t="n">
        <v>46104</v>
      </c>
      <c r="B4917" s="156" t="inlineStr">
        <is>
          <t>DS</t>
        </is>
      </c>
      <c r="C4917" s="156" t="inlineStr">
        <is>
          <t>DT-518</t>
        </is>
      </c>
      <c r="D4917" s="156" t="inlineStr">
        <is>
          <t>SKT 105S</t>
        </is>
      </c>
      <c r="E4917" s="156" t="inlineStr">
        <is>
          <t>Hauler</t>
        </is>
      </c>
      <c r="F4917" s="156" t="inlineStr"/>
      <c r="G4917" s="182" t="n">
        <v>0</v>
      </c>
      <c r="H4917" s="182" t="n">
        <v>0</v>
      </c>
      <c r="I4917" s="182" t="n">
        <v>12</v>
      </c>
      <c r="J4917" s="182" t="n">
        <v>12</v>
      </c>
      <c r="K4917" s="182" t="n">
        <v>0</v>
      </c>
      <c r="L4917" s="182" t="n">
        <v>12</v>
      </c>
      <c r="M4917" s="182" t="n">
        <v>0</v>
      </c>
      <c r="N4917" s="182" t="n">
        <v>0</v>
      </c>
      <c r="O4917" s="183" t="n">
        <v>0</v>
      </c>
      <c r="P4917" s="183" t="n">
        <v>0</v>
      </c>
      <c r="Q4917" s="184" t="n">
        <v>0</v>
      </c>
      <c r="R4917" s="184" t="n">
        <v>0</v>
      </c>
      <c r="S4917" s="183" t="n">
        <v>0</v>
      </c>
      <c r="T4917" s="183" t="n">
        <v>0</v>
      </c>
      <c r="U4917" s="182" t="n">
        <v>0</v>
      </c>
      <c r="V4917" s="182" t="n">
        <v>0</v>
      </c>
      <c r="W4917" s="182" t="n">
        <v>0</v>
      </c>
      <c r="X4917" s="182" t="n">
        <v>0</v>
      </c>
      <c r="Y4917" s="182" t="n">
        <v>0</v>
      </c>
      <c r="Z4917" s="182" t="n">
        <v>0</v>
      </c>
      <c r="AA4917" s="182" t="n">
        <v>0</v>
      </c>
      <c r="AB4917" s="182" t="n">
        <v>0</v>
      </c>
      <c r="AC4917" s="182" t="n">
        <v>0</v>
      </c>
      <c r="AD4917" s="182" t="n">
        <v>0</v>
      </c>
      <c r="AE4917" s="182" t="n">
        <v>0</v>
      </c>
      <c r="AF4917" s="182" t="n">
        <v>0</v>
      </c>
      <c r="AG4917" s="182" t="n">
        <v>0</v>
      </c>
      <c r="AH4917" s="182" t="n">
        <v>0</v>
      </c>
      <c r="AI4917" s="182" t="n">
        <v>0</v>
      </c>
      <c r="AJ4917" s="182" t="n">
        <v>0</v>
      </c>
      <c r="AK4917" s="182" t="n">
        <v>0</v>
      </c>
      <c r="AL4917" s="182" t="n">
        <v>0</v>
      </c>
      <c r="AM4917" s="182" t="n">
        <v>0</v>
      </c>
      <c r="AN4917" s="182" t="n">
        <v>0</v>
      </c>
    </row>
    <row r="4918">
      <c r="A4918" s="155" t="n">
        <v>46104</v>
      </c>
      <c r="B4918" s="156" t="inlineStr">
        <is>
          <t>DS</t>
        </is>
      </c>
      <c r="C4918" s="156" t="inlineStr">
        <is>
          <t>DT-514</t>
        </is>
      </c>
      <c r="D4918" s="156" t="inlineStr">
        <is>
          <t>SKT 105S</t>
        </is>
      </c>
      <c r="E4918" s="156" t="inlineStr">
        <is>
          <t>Hauler</t>
        </is>
      </c>
      <c r="F4918" s="156" t="inlineStr"/>
      <c r="G4918" s="182" t="n">
        <v>0</v>
      </c>
      <c r="H4918" s="182" t="n">
        <v>0</v>
      </c>
      <c r="I4918" s="182" t="n">
        <v>12</v>
      </c>
      <c r="J4918" s="182" t="n">
        <v>12</v>
      </c>
      <c r="K4918" s="182" t="n">
        <v>0</v>
      </c>
      <c r="L4918" s="182" t="n">
        <v>12</v>
      </c>
      <c r="M4918" s="182" t="n">
        <v>0</v>
      </c>
      <c r="N4918" s="182" t="n">
        <v>0</v>
      </c>
      <c r="O4918" s="183" t="n">
        <v>0</v>
      </c>
      <c r="P4918" s="183" t="n">
        <v>0</v>
      </c>
      <c r="Q4918" s="184" t="n">
        <v>0</v>
      </c>
      <c r="R4918" s="184" t="n">
        <v>0</v>
      </c>
      <c r="S4918" s="183" t="n">
        <v>0</v>
      </c>
      <c r="T4918" s="183" t="n">
        <v>0</v>
      </c>
      <c r="U4918" s="182" t="n">
        <v>0</v>
      </c>
      <c r="V4918" s="182" t="n">
        <v>0</v>
      </c>
      <c r="W4918" s="182" t="n">
        <v>0</v>
      </c>
      <c r="X4918" s="182" t="n">
        <v>0</v>
      </c>
      <c r="Y4918" s="182" t="n">
        <v>0</v>
      </c>
      <c r="Z4918" s="182" t="n">
        <v>0</v>
      </c>
      <c r="AA4918" s="182" t="n">
        <v>0</v>
      </c>
      <c r="AB4918" s="182" t="n">
        <v>0</v>
      </c>
      <c r="AC4918" s="182" t="n">
        <v>0</v>
      </c>
      <c r="AD4918" s="182" t="n">
        <v>0</v>
      </c>
      <c r="AE4918" s="182" t="n">
        <v>0</v>
      </c>
      <c r="AF4918" s="182" t="n">
        <v>0</v>
      </c>
      <c r="AG4918" s="182" t="n">
        <v>0</v>
      </c>
      <c r="AH4918" s="182" t="n">
        <v>0</v>
      </c>
      <c r="AI4918" s="182" t="n">
        <v>0</v>
      </c>
      <c r="AJ4918" s="182" t="n">
        <v>0</v>
      </c>
      <c r="AK4918" s="182" t="n">
        <v>0</v>
      </c>
      <c r="AL4918" s="182" t="n">
        <v>0</v>
      </c>
      <c r="AM4918" s="182" t="n">
        <v>0</v>
      </c>
      <c r="AN4918" s="182" t="n">
        <v>0</v>
      </c>
    </row>
    <row r="4919">
      <c r="A4919" s="155" t="n">
        <v>46104</v>
      </c>
      <c r="B4919" s="156" t="inlineStr">
        <is>
          <t>DS</t>
        </is>
      </c>
      <c r="C4919" s="156" t="inlineStr">
        <is>
          <t>DT-523</t>
        </is>
      </c>
      <c r="D4919" s="156" t="inlineStr">
        <is>
          <t>SKT 105S</t>
        </is>
      </c>
      <c r="E4919" s="156" t="inlineStr">
        <is>
          <t>Hauler</t>
        </is>
      </c>
      <c r="F4919" s="156" t="inlineStr">
        <is>
          <t>Hauling OB</t>
        </is>
      </c>
      <c r="G4919" s="182" t="n">
        <v>9.23</v>
      </c>
      <c r="H4919" s="182" t="n">
        <v>0</v>
      </c>
      <c r="I4919" s="182" t="n">
        <v>0</v>
      </c>
      <c r="J4919" s="182" t="n">
        <v>0</v>
      </c>
      <c r="K4919" s="182" t="n">
        <v>2.77</v>
      </c>
      <c r="L4919" s="182" t="n">
        <v>12</v>
      </c>
      <c r="M4919" s="182" t="n">
        <v>9.23</v>
      </c>
      <c r="N4919" s="182" t="n">
        <v>0</v>
      </c>
      <c r="O4919" s="183" t="n">
        <v>33</v>
      </c>
      <c r="P4919" s="183" t="n">
        <v>0</v>
      </c>
      <c r="Q4919" s="184" t="n">
        <v>655.8</v>
      </c>
      <c r="R4919" s="184" t="n">
        <v>0</v>
      </c>
      <c r="S4919" s="183" t="n">
        <v>0</v>
      </c>
      <c r="T4919" s="183" t="n">
        <v>0</v>
      </c>
      <c r="U4919" s="182" t="n">
        <v>0.58</v>
      </c>
      <c r="V4919" s="182" t="n">
        <v>0</v>
      </c>
      <c r="W4919" s="182" t="n">
        <v>0</v>
      </c>
      <c r="X4919" s="182" t="n">
        <v>1.03</v>
      </c>
      <c r="Y4919" s="182" t="n">
        <v>0</v>
      </c>
      <c r="Z4919" s="182" t="n">
        <v>0</v>
      </c>
      <c r="AA4919" s="182" t="n">
        <v>0</v>
      </c>
      <c r="AB4919" s="182" t="n">
        <v>0</v>
      </c>
      <c r="AC4919" s="182" t="n">
        <v>0</v>
      </c>
      <c r="AD4919" s="182" t="n">
        <v>0</v>
      </c>
      <c r="AE4919" s="182" t="n">
        <v>0</v>
      </c>
      <c r="AF4919" s="182" t="n">
        <v>0</v>
      </c>
      <c r="AG4919" s="182" t="n">
        <v>0</v>
      </c>
      <c r="AH4919" s="182" t="n">
        <v>0</v>
      </c>
      <c r="AI4919" s="182" t="n">
        <v>0</v>
      </c>
      <c r="AJ4919" s="182" t="n">
        <v>0</v>
      </c>
      <c r="AK4919" s="182" t="n">
        <v>1.08</v>
      </c>
      <c r="AL4919" s="182" t="n">
        <v>0</v>
      </c>
      <c r="AM4919" s="182" t="n">
        <v>0.08</v>
      </c>
      <c r="AN4919" s="182" t="n">
        <v>0</v>
      </c>
    </row>
    <row r="4920">
      <c r="A4920" s="155" t="n">
        <v>46104</v>
      </c>
      <c r="B4920" s="156" t="inlineStr">
        <is>
          <t>DS</t>
        </is>
      </c>
      <c r="C4920" s="156" t="inlineStr">
        <is>
          <t>DT-519</t>
        </is>
      </c>
      <c r="D4920" s="156" t="inlineStr">
        <is>
          <t>SKT 105S</t>
        </is>
      </c>
      <c r="E4920" s="156" t="inlineStr">
        <is>
          <t>Hauler</t>
        </is>
      </c>
      <c r="F4920" s="156" t="inlineStr"/>
      <c r="G4920" s="182" t="n">
        <v>0</v>
      </c>
      <c r="H4920" s="182" t="n">
        <v>0</v>
      </c>
      <c r="I4920" s="182" t="n">
        <v>12</v>
      </c>
      <c r="J4920" s="182" t="n">
        <v>12</v>
      </c>
      <c r="K4920" s="182" t="n">
        <v>0</v>
      </c>
      <c r="L4920" s="182" t="n">
        <v>12</v>
      </c>
      <c r="M4920" s="182" t="n">
        <v>0</v>
      </c>
      <c r="N4920" s="182" t="n">
        <v>0</v>
      </c>
      <c r="O4920" s="183" t="n">
        <v>0</v>
      </c>
      <c r="P4920" s="183" t="n">
        <v>0</v>
      </c>
      <c r="Q4920" s="184" t="n">
        <v>0</v>
      </c>
      <c r="R4920" s="184" t="n">
        <v>0</v>
      </c>
      <c r="S4920" s="183" t="n">
        <v>0</v>
      </c>
      <c r="T4920" s="183" t="n">
        <v>0</v>
      </c>
      <c r="U4920" s="182" t="n">
        <v>0</v>
      </c>
      <c r="V4920" s="182" t="n">
        <v>0</v>
      </c>
      <c r="W4920" s="182" t="n">
        <v>0</v>
      </c>
      <c r="X4920" s="182" t="n">
        <v>0</v>
      </c>
      <c r="Y4920" s="182" t="n">
        <v>0</v>
      </c>
      <c r="Z4920" s="182" t="n">
        <v>0</v>
      </c>
      <c r="AA4920" s="182" t="n">
        <v>0</v>
      </c>
      <c r="AB4920" s="182" t="n">
        <v>0</v>
      </c>
      <c r="AC4920" s="182" t="n">
        <v>0</v>
      </c>
      <c r="AD4920" s="182" t="n">
        <v>0</v>
      </c>
      <c r="AE4920" s="182" t="n">
        <v>0</v>
      </c>
      <c r="AF4920" s="182" t="n">
        <v>0</v>
      </c>
      <c r="AG4920" s="182" t="n">
        <v>0</v>
      </c>
      <c r="AH4920" s="182" t="n">
        <v>0</v>
      </c>
      <c r="AI4920" s="182" t="n">
        <v>0</v>
      </c>
      <c r="AJ4920" s="182" t="n">
        <v>0</v>
      </c>
      <c r="AK4920" s="182" t="n">
        <v>0</v>
      </c>
      <c r="AL4920" s="182" t="n">
        <v>0</v>
      </c>
      <c r="AM4920" s="182" t="n">
        <v>0</v>
      </c>
      <c r="AN4920" s="182" t="n">
        <v>0</v>
      </c>
    </row>
    <row r="4921">
      <c r="A4921" s="155" t="n">
        <v>46104</v>
      </c>
      <c r="B4921" s="156" t="inlineStr">
        <is>
          <t>DS</t>
        </is>
      </c>
      <c r="C4921" s="156" t="inlineStr">
        <is>
          <t>DT-527</t>
        </is>
      </c>
      <c r="D4921" s="156" t="inlineStr">
        <is>
          <t>SKT 105S</t>
        </is>
      </c>
      <c r="E4921" s="156" t="inlineStr">
        <is>
          <t>Hauler</t>
        </is>
      </c>
      <c r="F4921" s="156" t="inlineStr">
        <is>
          <t>Hauling Coal</t>
        </is>
      </c>
      <c r="G4921" s="182" t="n">
        <v>3.82</v>
      </c>
      <c r="H4921" s="182" t="n">
        <v>0</v>
      </c>
      <c r="I4921" s="182" t="n">
        <v>0</v>
      </c>
      <c r="J4921" s="182" t="n">
        <v>0</v>
      </c>
      <c r="K4921" s="182" t="n">
        <v>8.18</v>
      </c>
      <c r="L4921" s="182" t="n">
        <v>12</v>
      </c>
      <c r="M4921" s="182" t="n">
        <v>0</v>
      </c>
      <c r="N4921" s="182" t="n">
        <v>3.82</v>
      </c>
      <c r="O4921" s="183" t="n">
        <v>0</v>
      </c>
      <c r="P4921" s="183" t="n">
        <v>16</v>
      </c>
      <c r="Q4921" s="184" t="n">
        <v>0</v>
      </c>
      <c r="R4921" s="184" t="n">
        <v>299.2</v>
      </c>
      <c r="S4921" s="183" t="n">
        <v>0</v>
      </c>
      <c r="T4921" s="183" t="n">
        <v>0</v>
      </c>
      <c r="U4921" s="182" t="n">
        <v>0.59</v>
      </c>
      <c r="V4921" s="182" t="n">
        <v>0</v>
      </c>
      <c r="W4921" s="182" t="n">
        <v>0</v>
      </c>
      <c r="X4921" s="182" t="n">
        <v>1.04</v>
      </c>
      <c r="Y4921" s="182" t="n">
        <v>0</v>
      </c>
      <c r="Z4921" s="182" t="n">
        <v>0</v>
      </c>
      <c r="AA4921" s="182" t="n">
        <v>0</v>
      </c>
      <c r="AB4921" s="182" t="n">
        <v>0</v>
      </c>
      <c r="AC4921" s="182" t="n">
        <v>0</v>
      </c>
      <c r="AD4921" s="182" t="n">
        <v>0</v>
      </c>
      <c r="AE4921" s="182" t="n">
        <v>0</v>
      </c>
      <c r="AF4921" s="182" t="n">
        <v>0</v>
      </c>
      <c r="AG4921" s="182" t="n">
        <v>0</v>
      </c>
      <c r="AH4921" s="182" t="n">
        <v>0</v>
      </c>
      <c r="AI4921" s="182" t="n">
        <v>0</v>
      </c>
      <c r="AJ4921" s="182" t="n">
        <v>0</v>
      </c>
      <c r="AK4921" s="182" t="n">
        <v>6.47</v>
      </c>
      <c r="AL4921" s="182" t="n">
        <v>0</v>
      </c>
      <c r="AM4921" s="182" t="n">
        <v>0.08</v>
      </c>
      <c r="AN4921" s="182" t="n">
        <v>0</v>
      </c>
    </row>
    <row r="4922">
      <c r="A4922" s="155" t="n">
        <v>46104</v>
      </c>
      <c r="B4922" s="156" t="inlineStr">
        <is>
          <t>DS</t>
        </is>
      </c>
      <c r="C4922" s="156" t="inlineStr">
        <is>
          <t>DT-513</t>
        </is>
      </c>
      <c r="D4922" s="156" t="inlineStr">
        <is>
          <t>SKT 105S</t>
        </is>
      </c>
      <c r="E4922" s="156" t="inlineStr">
        <is>
          <t>Hauler</t>
        </is>
      </c>
      <c r="F4922" s="156" t="inlineStr">
        <is>
          <t>Hauling OB</t>
        </is>
      </c>
      <c r="G4922" s="182" t="n">
        <v>9.130000000000001</v>
      </c>
      <c r="H4922" s="182" t="n">
        <v>0</v>
      </c>
      <c r="I4922" s="182" t="n">
        <v>0</v>
      </c>
      <c r="J4922" s="182" t="n">
        <v>0</v>
      </c>
      <c r="K4922" s="182" t="n">
        <v>2.87</v>
      </c>
      <c r="L4922" s="182" t="n">
        <v>12</v>
      </c>
      <c r="M4922" s="182" t="n">
        <v>9.130000000000001</v>
      </c>
      <c r="N4922" s="182" t="n">
        <v>0</v>
      </c>
      <c r="O4922" s="183" t="n">
        <v>33</v>
      </c>
      <c r="P4922" s="183" t="n">
        <v>0</v>
      </c>
      <c r="Q4922" s="184" t="n">
        <v>641.6</v>
      </c>
      <c r="R4922" s="184" t="n">
        <v>0</v>
      </c>
      <c r="S4922" s="183" t="n">
        <v>0</v>
      </c>
      <c r="T4922" s="183" t="n">
        <v>0</v>
      </c>
      <c r="U4922" s="182" t="n">
        <v>0.65</v>
      </c>
      <c r="V4922" s="182" t="n">
        <v>0.98</v>
      </c>
      <c r="W4922" s="182" t="n">
        <v>0</v>
      </c>
      <c r="X4922" s="182" t="n">
        <v>1.15</v>
      </c>
      <c r="Y4922" s="182" t="n">
        <v>0</v>
      </c>
      <c r="Z4922" s="182" t="n">
        <v>0</v>
      </c>
      <c r="AA4922" s="182" t="n">
        <v>0</v>
      </c>
      <c r="AB4922" s="182" t="n">
        <v>0</v>
      </c>
      <c r="AC4922" s="182" t="n">
        <v>0</v>
      </c>
      <c r="AD4922" s="182" t="n">
        <v>0</v>
      </c>
      <c r="AE4922" s="182" t="n">
        <v>0</v>
      </c>
      <c r="AF4922" s="182" t="n">
        <v>0</v>
      </c>
      <c r="AG4922" s="182" t="n">
        <v>0</v>
      </c>
      <c r="AH4922" s="182" t="n">
        <v>0</v>
      </c>
      <c r="AI4922" s="182" t="n">
        <v>0</v>
      </c>
      <c r="AJ4922" s="182" t="n">
        <v>0</v>
      </c>
      <c r="AK4922" s="182" t="n">
        <v>0</v>
      </c>
      <c r="AL4922" s="182" t="n">
        <v>0</v>
      </c>
      <c r="AM4922" s="182" t="n">
        <v>0.09</v>
      </c>
      <c r="AN4922" s="182" t="n">
        <v>0</v>
      </c>
    </row>
    <row r="4923">
      <c r="A4923" s="155" t="n">
        <v>46104</v>
      </c>
      <c r="B4923" s="156" t="inlineStr">
        <is>
          <t>DS</t>
        </is>
      </c>
      <c r="C4923" s="156" t="inlineStr">
        <is>
          <t>DT-512</t>
        </is>
      </c>
      <c r="D4923" s="156" t="inlineStr">
        <is>
          <t>SKT 105S</t>
        </is>
      </c>
      <c r="E4923" s="156" t="inlineStr">
        <is>
          <t>Hauler</t>
        </is>
      </c>
      <c r="F4923" s="156" t="inlineStr">
        <is>
          <t>Hauling OB</t>
        </is>
      </c>
      <c r="G4923" s="182" t="n">
        <v>11.03</v>
      </c>
      <c r="H4923" s="182" t="n">
        <v>0</v>
      </c>
      <c r="I4923" s="182" t="n">
        <v>0</v>
      </c>
      <c r="J4923" s="182" t="n">
        <v>0</v>
      </c>
      <c r="K4923" s="182" t="n">
        <v>0.97</v>
      </c>
      <c r="L4923" s="182" t="n">
        <v>12</v>
      </c>
      <c r="M4923" s="182" t="n">
        <v>11.03</v>
      </c>
      <c r="N4923" s="182" t="n">
        <v>0</v>
      </c>
      <c r="O4923" s="183" t="n">
        <v>30</v>
      </c>
      <c r="P4923" s="183" t="n">
        <v>0</v>
      </c>
      <c r="Q4923" s="184" t="n">
        <v>612</v>
      </c>
      <c r="R4923" s="184" t="n">
        <v>0</v>
      </c>
      <c r="S4923" s="183" t="n">
        <v>0</v>
      </c>
      <c r="T4923" s="183" t="n">
        <v>0</v>
      </c>
      <c r="U4923" s="182" t="n">
        <v>0.27</v>
      </c>
      <c r="V4923" s="182" t="n">
        <v>0</v>
      </c>
      <c r="W4923" s="182" t="n">
        <v>0</v>
      </c>
      <c r="X4923" s="182" t="n">
        <v>0.65</v>
      </c>
      <c r="Y4923" s="182" t="n">
        <v>0</v>
      </c>
      <c r="Z4923" s="182" t="n">
        <v>0</v>
      </c>
      <c r="AA4923" s="182" t="n">
        <v>0</v>
      </c>
      <c r="AB4923" s="182" t="n">
        <v>0</v>
      </c>
      <c r="AC4923" s="182" t="n">
        <v>0</v>
      </c>
      <c r="AD4923" s="182" t="n">
        <v>0</v>
      </c>
      <c r="AE4923" s="182" t="n">
        <v>0</v>
      </c>
      <c r="AF4923" s="182" t="n">
        <v>0</v>
      </c>
      <c r="AG4923" s="182" t="n">
        <v>0</v>
      </c>
      <c r="AH4923" s="182" t="n">
        <v>0</v>
      </c>
      <c r="AI4923" s="182" t="n">
        <v>0</v>
      </c>
      <c r="AJ4923" s="182" t="n">
        <v>0</v>
      </c>
      <c r="AK4923" s="182" t="n">
        <v>0</v>
      </c>
      <c r="AL4923" s="182" t="n">
        <v>0</v>
      </c>
      <c r="AM4923" s="182" t="n">
        <v>0.05</v>
      </c>
      <c r="AN4923" s="182" t="n">
        <v>0</v>
      </c>
    </row>
    <row r="4924">
      <c r="A4924" s="155" t="n">
        <v>46104</v>
      </c>
      <c r="B4924" s="156" t="inlineStr">
        <is>
          <t>DS</t>
        </is>
      </c>
      <c r="C4924" s="156" t="inlineStr">
        <is>
          <t>DT-522</t>
        </is>
      </c>
      <c r="D4924" s="156" t="inlineStr">
        <is>
          <t>SKT 105S</t>
        </is>
      </c>
      <c r="E4924" s="156" t="inlineStr">
        <is>
          <t>Hauler</t>
        </is>
      </c>
      <c r="F4924" s="156" t="inlineStr">
        <is>
          <t>Hauling OB</t>
        </is>
      </c>
      <c r="G4924" s="182" t="n">
        <v>10.45</v>
      </c>
      <c r="H4924" s="182" t="n">
        <v>0</v>
      </c>
      <c r="I4924" s="182" t="n">
        <v>0</v>
      </c>
      <c r="J4924" s="182" t="n">
        <v>0</v>
      </c>
      <c r="K4924" s="182" t="n">
        <v>1.55</v>
      </c>
      <c r="L4924" s="182" t="n">
        <v>12</v>
      </c>
      <c r="M4924" s="182" t="n">
        <v>10.45</v>
      </c>
      <c r="N4924" s="182" t="n">
        <v>0</v>
      </c>
      <c r="O4924" s="183" t="n">
        <v>29</v>
      </c>
      <c r="P4924" s="183" t="n">
        <v>0</v>
      </c>
      <c r="Q4924" s="184" t="n">
        <v>591.6</v>
      </c>
      <c r="R4924" s="184" t="n">
        <v>0</v>
      </c>
      <c r="S4924" s="183" t="n">
        <v>0</v>
      </c>
      <c r="T4924" s="183" t="n">
        <v>0</v>
      </c>
      <c r="U4924" s="182" t="n">
        <v>0.44</v>
      </c>
      <c r="V4924" s="182" t="n">
        <v>0</v>
      </c>
      <c r="W4924" s="182" t="n">
        <v>0</v>
      </c>
      <c r="X4924" s="182" t="n">
        <v>0.78</v>
      </c>
      <c r="Y4924" s="182" t="n">
        <v>0</v>
      </c>
      <c r="Z4924" s="182" t="n">
        <v>0</v>
      </c>
      <c r="AA4924" s="182" t="n">
        <v>0</v>
      </c>
      <c r="AB4924" s="182" t="n">
        <v>0</v>
      </c>
      <c r="AC4924" s="182" t="n">
        <v>0</v>
      </c>
      <c r="AD4924" s="182" t="n">
        <v>0</v>
      </c>
      <c r="AE4924" s="182" t="n">
        <v>0</v>
      </c>
      <c r="AF4924" s="182" t="n">
        <v>0</v>
      </c>
      <c r="AG4924" s="182" t="n">
        <v>0</v>
      </c>
      <c r="AH4924" s="182" t="n">
        <v>0.27</v>
      </c>
      <c r="AI4924" s="182" t="n">
        <v>0</v>
      </c>
      <c r="AJ4924" s="182" t="n">
        <v>0</v>
      </c>
      <c r="AK4924" s="182" t="n">
        <v>0</v>
      </c>
      <c r="AL4924" s="182" t="n">
        <v>0</v>
      </c>
      <c r="AM4924" s="182" t="n">
        <v>0.06</v>
      </c>
      <c r="AN4924" s="182" t="n">
        <v>0</v>
      </c>
    </row>
    <row r="4925">
      <c r="A4925" s="155" t="n">
        <v>46104</v>
      </c>
      <c r="B4925" s="156" t="inlineStr">
        <is>
          <t>DS</t>
        </is>
      </c>
      <c r="C4925" s="156" t="inlineStr">
        <is>
          <t>DT-517</t>
        </is>
      </c>
      <c r="D4925" s="156" t="inlineStr">
        <is>
          <t>SKT 105S</t>
        </is>
      </c>
      <c r="E4925" s="156" t="inlineStr">
        <is>
          <t>Hauler</t>
        </is>
      </c>
      <c r="F4925" s="156" t="inlineStr"/>
      <c r="G4925" s="182" t="n">
        <v>0</v>
      </c>
      <c r="H4925" s="182" t="n">
        <v>0</v>
      </c>
      <c r="I4925" s="182" t="n">
        <v>9.5</v>
      </c>
      <c r="J4925" s="182" t="n">
        <v>9.5</v>
      </c>
      <c r="K4925" s="182" t="n">
        <v>2.5</v>
      </c>
      <c r="L4925" s="182" t="n">
        <v>12</v>
      </c>
      <c r="M4925" s="182" t="n">
        <v>0</v>
      </c>
      <c r="N4925" s="182" t="n">
        <v>0</v>
      </c>
      <c r="O4925" s="183" t="n">
        <v>0</v>
      </c>
      <c r="P4925" s="183" t="n">
        <v>0</v>
      </c>
      <c r="Q4925" s="184" t="n">
        <v>0</v>
      </c>
      <c r="R4925" s="184" t="n">
        <v>0</v>
      </c>
      <c r="S4925" s="183" t="n">
        <v>0</v>
      </c>
      <c r="T4925" s="183" t="n">
        <v>0</v>
      </c>
      <c r="U4925" s="182" t="n">
        <v>0</v>
      </c>
      <c r="V4925" s="182" t="n">
        <v>0</v>
      </c>
      <c r="W4925" s="182" t="n">
        <v>0</v>
      </c>
      <c r="X4925" s="182" t="n">
        <v>1</v>
      </c>
      <c r="Y4925" s="182" t="n">
        <v>0</v>
      </c>
      <c r="Z4925" s="182" t="n">
        <v>0</v>
      </c>
      <c r="AA4925" s="182" t="n">
        <v>0</v>
      </c>
      <c r="AB4925" s="182" t="n">
        <v>0</v>
      </c>
      <c r="AC4925" s="182" t="n">
        <v>0</v>
      </c>
      <c r="AD4925" s="182" t="n">
        <v>0</v>
      </c>
      <c r="AE4925" s="182" t="n">
        <v>0</v>
      </c>
      <c r="AF4925" s="182" t="n">
        <v>0</v>
      </c>
      <c r="AG4925" s="182" t="n">
        <v>0</v>
      </c>
      <c r="AH4925" s="182" t="n">
        <v>0</v>
      </c>
      <c r="AI4925" s="182" t="n">
        <v>0</v>
      </c>
      <c r="AJ4925" s="182" t="n">
        <v>0</v>
      </c>
      <c r="AK4925" s="182" t="n">
        <v>1.42</v>
      </c>
      <c r="AL4925" s="182" t="n">
        <v>0</v>
      </c>
      <c r="AM4925" s="182" t="n">
        <v>0.08</v>
      </c>
      <c r="AN4925" s="182" t="n">
        <v>0</v>
      </c>
    </row>
    <row r="4926">
      <c r="A4926" s="155" t="n">
        <v>46104</v>
      </c>
      <c r="B4926" s="156" t="inlineStr">
        <is>
          <t>DS</t>
        </is>
      </c>
      <c r="C4926" s="156" t="inlineStr">
        <is>
          <t>DT-510</t>
        </is>
      </c>
      <c r="D4926" s="156" t="inlineStr">
        <is>
          <t>SKT 105S</t>
        </is>
      </c>
      <c r="E4926" s="156" t="inlineStr">
        <is>
          <t>Hauler</t>
        </is>
      </c>
      <c r="F4926" s="156" t="inlineStr">
        <is>
          <t>Hauling OB</t>
        </is>
      </c>
      <c r="G4926" s="182" t="n">
        <v>5.08</v>
      </c>
      <c r="H4926" s="182" t="n">
        <v>0</v>
      </c>
      <c r="I4926" s="182" t="n">
        <v>4.13</v>
      </c>
      <c r="J4926" s="182" t="n">
        <v>4.13</v>
      </c>
      <c r="K4926" s="182" t="n">
        <v>2.79</v>
      </c>
      <c r="L4926" s="182" t="n">
        <v>12</v>
      </c>
      <c r="M4926" s="182" t="n">
        <v>5.08</v>
      </c>
      <c r="N4926" s="182" t="n">
        <v>0</v>
      </c>
      <c r="O4926" s="183" t="n">
        <v>11</v>
      </c>
      <c r="P4926" s="183" t="n">
        <v>0</v>
      </c>
      <c r="Q4926" s="184" t="n">
        <v>224.4</v>
      </c>
      <c r="R4926" s="184" t="n">
        <v>0</v>
      </c>
      <c r="S4926" s="183" t="n">
        <v>0</v>
      </c>
      <c r="T4926" s="183" t="n">
        <v>0</v>
      </c>
      <c r="U4926" s="182" t="n">
        <v>0.5</v>
      </c>
      <c r="V4926" s="182" t="n">
        <v>0</v>
      </c>
      <c r="W4926" s="182" t="n">
        <v>0</v>
      </c>
      <c r="X4926" s="182" t="n">
        <v>0.88</v>
      </c>
      <c r="Y4926" s="182" t="n">
        <v>0</v>
      </c>
      <c r="Z4926" s="182" t="n">
        <v>0</v>
      </c>
      <c r="AA4926" s="182" t="n">
        <v>0</v>
      </c>
      <c r="AB4926" s="182" t="n">
        <v>0</v>
      </c>
      <c r="AC4926" s="182" t="n">
        <v>0</v>
      </c>
      <c r="AD4926" s="182" t="n">
        <v>0</v>
      </c>
      <c r="AE4926" s="182" t="n">
        <v>0</v>
      </c>
      <c r="AF4926" s="182" t="n">
        <v>0</v>
      </c>
      <c r="AG4926" s="182" t="n">
        <v>0</v>
      </c>
      <c r="AH4926" s="182" t="n">
        <v>0</v>
      </c>
      <c r="AI4926" s="182" t="n">
        <v>0</v>
      </c>
      <c r="AJ4926" s="182" t="n">
        <v>0</v>
      </c>
      <c r="AK4926" s="182" t="n">
        <v>1.33</v>
      </c>
      <c r="AL4926" s="182" t="n">
        <v>0</v>
      </c>
      <c r="AM4926" s="182" t="n">
        <v>0.07000000000000001</v>
      </c>
      <c r="AN4926" s="182" t="n">
        <v>0</v>
      </c>
    </row>
    <row r="4927">
      <c r="A4927" s="155" t="n">
        <v>46104</v>
      </c>
      <c r="B4927" s="156" t="inlineStr">
        <is>
          <t>DS</t>
        </is>
      </c>
      <c r="C4927" s="156" t="inlineStr">
        <is>
          <t>DT-521</t>
        </is>
      </c>
      <c r="D4927" s="156" t="inlineStr">
        <is>
          <t>SKT 105S</t>
        </is>
      </c>
      <c r="E4927" s="156" t="inlineStr">
        <is>
          <t>Hauler</t>
        </is>
      </c>
      <c r="F4927" s="156" t="inlineStr">
        <is>
          <t>Hauling OB</t>
        </is>
      </c>
      <c r="G4927" s="182" t="n">
        <v>9.720000000000001</v>
      </c>
      <c r="H4927" s="182" t="n">
        <v>0</v>
      </c>
      <c r="I4927" s="182" t="n">
        <v>0</v>
      </c>
      <c r="J4927" s="182" t="n">
        <v>0</v>
      </c>
      <c r="K4927" s="182" t="n">
        <v>2.28</v>
      </c>
      <c r="L4927" s="182" t="n">
        <v>12</v>
      </c>
      <c r="M4927" s="182" t="n">
        <v>9.720000000000001</v>
      </c>
      <c r="N4927" s="182" t="n">
        <v>0</v>
      </c>
      <c r="O4927" s="183" t="n">
        <v>37</v>
      </c>
      <c r="P4927" s="183" t="n">
        <v>0</v>
      </c>
      <c r="Q4927" s="184" t="n">
        <v>722.7</v>
      </c>
      <c r="R4927" s="184" t="n">
        <v>0</v>
      </c>
      <c r="S4927" s="183" t="n">
        <v>0</v>
      </c>
      <c r="T4927" s="183" t="n">
        <v>0</v>
      </c>
      <c r="U4927" s="182" t="n">
        <v>0.57</v>
      </c>
      <c r="V4927" s="182" t="n">
        <v>0.64</v>
      </c>
      <c r="W4927" s="182" t="n">
        <v>0</v>
      </c>
      <c r="X4927" s="182" t="n">
        <v>0.99</v>
      </c>
      <c r="Y4927" s="182" t="n">
        <v>0</v>
      </c>
      <c r="Z4927" s="182" t="n">
        <v>0</v>
      </c>
      <c r="AA4927" s="182" t="n">
        <v>0</v>
      </c>
      <c r="AB4927" s="182" t="n">
        <v>0</v>
      </c>
      <c r="AC4927" s="182" t="n">
        <v>0</v>
      </c>
      <c r="AD4927" s="182" t="n">
        <v>0</v>
      </c>
      <c r="AE4927" s="182" t="n">
        <v>0</v>
      </c>
      <c r="AF4927" s="182" t="n">
        <v>0</v>
      </c>
      <c r="AG4927" s="182" t="n">
        <v>0</v>
      </c>
      <c r="AH4927" s="182" t="n">
        <v>0</v>
      </c>
      <c r="AI4927" s="182" t="n">
        <v>0</v>
      </c>
      <c r="AJ4927" s="182" t="n">
        <v>0</v>
      </c>
      <c r="AK4927" s="182" t="n">
        <v>0</v>
      </c>
      <c r="AL4927" s="182" t="n">
        <v>0</v>
      </c>
      <c r="AM4927" s="182" t="n">
        <v>0.08</v>
      </c>
      <c r="AN4927" s="182" t="n">
        <v>0</v>
      </c>
    </row>
    <row r="4928">
      <c r="A4928" s="155" t="n">
        <v>46104</v>
      </c>
      <c r="B4928" s="156" t="inlineStr">
        <is>
          <t>DS</t>
        </is>
      </c>
      <c r="C4928" s="156" t="inlineStr">
        <is>
          <t>DT-516</t>
        </is>
      </c>
      <c r="D4928" s="156" t="inlineStr">
        <is>
          <t>SKT 105S</t>
        </is>
      </c>
      <c r="E4928" s="156" t="inlineStr">
        <is>
          <t>Hauler</t>
        </is>
      </c>
      <c r="F4928" s="156" t="inlineStr">
        <is>
          <t>Hauling OB</t>
        </is>
      </c>
      <c r="G4928" s="182" t="n">
        <v>9.460000000000001</v>
      </c>
      <c r="H4928" s="182" t="n">
        <v>0</v>
      </c>
      <c r="I4928" s="182" t="n">
        <v>0</v>
      </c>
      <c r="J4928" s="182" t="n">
        <v>0</v>
      </c>
      <c r="K4928" s="182" t="n">
        <v>2.54</v>
      </c>
      <c r="L4928" s="182" t="n">
        <v>12</v>
      </c>
      <c r="M4928" s="182" t="n">
        <v>9.460000000000001</v>
      </c>
      <c r="N4928" s="182" t="n">
        <v>0</v>
      </c>
      <c r="O4928" s="183" t="n">
        <v>31</v>
      </c>
      <c r="P4928" s="183" t="n">
        <v>0</v>
      </c>
      <c r="Q4928" s="184" t="n">
        <v>632.4</v>
      </c>
      <c r="R4928" s="184" t="n">
        <v>0</v>
      </c>
      <c r="S4928" s="183" t="n">
        <v>0</v>
      </c>
      <c r="T4928" s="183" t="n">
        <v>0</v>
      </c>
      <c r="U4928" s="182" t="n">
        <v>0.63</v>
      </c>
      <c r="V4928" s="182" t="n">
        <v>0</v>
      </c>
      <c r="W4928" s="182" t="n">
        <v>0</v>
      </c>
      <c r="X4928" s="182" t="n">
        <v>1.1</v>
      </c>
      <c r="Y4928" s="182" t="n">
        <v>0</v>
      </c>
      <c r="Z4928" s="182" t="n">
        <v>0</v>
      </c>
      <c r="AA4928" s="182" t="n">
        <v>0</v>
      </c>
      <c r="AB4928" s="182" t="n">
        <v>0</v>
      </c>
      <c r="AC4928" s="182" t="n">
        <v>0</v>
      </c>
      <c r="AD4928" s="182" t="n">
        <v>0</v>
      </c>
      <c r="AE4928" s="182" t="n">
        <v>0</v>
      </c>
      <c r="AF4928" s="182" t="n">
        <v>0</v>
      </c>
      <c r="AG4928" s="182" t="n">
        <v>0</v>
      </c>
      <c r="AH4928" s="182" t="n">
        <v>0.72</v>
      </c>
      <c r="AI4928" s="182" t="n">
        <v>0</v>
      </c>
      <c r="AJ4928" s="182" t="n">
        <v>0</v>
      </c>
      <c r="AK4928" s="182" t="n">
        <v>0</v>
      </c>
      <c r="AL4928" s="182" t="n">
        <v>0</v>
      </c>
      <c r="AM4928" s="182" t="n">
        <v>0.09</v>
      </c>
      <c r="AN4928" s="182" t="n">
        <v>0</v>
      </c>
    </row>
    <row r="4929">
      <c r="A4929" s="155" t="n">
        <v>46104</v>
      </c>
      <c r="B4929" s="156" t="inlineStr">
        <is>
          <t>DS</t>
        </is>
      </c>
      <c r="C4929" s="156" t="inlineStr">
        <is>
          <t>DT-506</t>
        </is>
      </c>
      <c r="D4929" s="156" t="inlineStr">
        <is>
          <t>SKT 105S</t>
        </is>
      </c>
      <c r="E4929" s="156" t="inlineStr">
        <is>
          <t>Hauler</t>
        </is>
      </c>
      <c r="F4929" s="156" t="inlineStr">
        <is>
          <t>Hauling OB</t>
        </is>
      </c>
      <c r="G4929" s="182" t="n">
        <v>10.29</v>
      </c>
      <c r="H4929" s="182" t="n">
        <v>0</v>
      </c>
      <c r="I4929" s="182" t="n">
        <v>0</v>
      </c>
      <c r="J4929" s="182" t="n">
        <v>0</v>
      </c>
      <c r="K4929" s="182" t="n">
        <v>1.71</v>
      </c>
      <c r="L4929" s="182" t="n">
        <v>12</v>
      </c>
      <c r="M4929" s="182" t="n">
        <v>10.29</v>
      </c>
      <c r="N4929" s="182" t="n">
        <v>0</v>
      </c>
      <c r="O4929" s="183" t="n">
        <v>29</v>
      </c>
      <c r="P4929" s="183" t="n">
        <v>0</v>
      </c>
      <c r="Q4929" s="184" t="n">
        <v>591.6</v>
      </c>
      <c r="R4929" s="184" t="n">
        <v>0</v>
      </c>
      <c r="S4929" s="183" t="n">
        <v>0</v>
      </c>
      <c r="T4929" s="183" t="n">
        <v>0</v>
      </c>
      <c r="U4929" s="182" t="n">
        <v>0.46</v>
      </c>
      <c r="V4929" s="182" t="n">
        <v>0</v>
      </c>
      <c r="W4929" s="182" t="n">
        <v>0</v>
      </c>
      <c r="X4929" s="182" t="n">
        <v>0.8100000000000001</v>
      </c>
      <c r="Y4929" s="182" t="n">
        <v>0</v>
      </c>
      <c r="Z4929" s="182" t="n">
        <v>0</v>
      </c>
      <c r="AA4929" s="182" t="n">
        <v>0</v>
      </c>
      <c r="AB4929" s="182" t="n">
        <v>0</v>
      </c>
      <c r="AC4929" s="182" t="n">
        <v>0</v>
      </c>
      <c r="AD4929" s="182" t="n">
        <v>0</v>
      </c>
      <c r="AE4929" s="182" t="n">
        <v>0</v>
      </c>
      <c r="AF4929" s="182" t="n">
        <v>0</v>
      </c>
      <c r="AG4929" s="182" t="n">
        <v>0</v>
      </c>
      <c r="AH4929" s="182" t="n">
        <v>0.37</v>
      </c>
      <c r="AI4929" s="182" t="n">
        <v>0</v>
      </c>
      <c r="AJ4929" s="182" t="n">
        <v>0</v>
      </c>
      <c r="AK4929" s="182" t="n">
        <v>0</v>
      </c>
      <c r="AL4929" s="182" t="n">
        <v>0</v>
      </c>
      <c r="AM4929" s="182" t="n">
        <v>0.07000000000000001</v>
      </c>
      <c r="AN4929" s="182" t="n">
        <v>0</v>
      </c>
    </row>
    <row r="4930">
      <c r="A4930" s="155" t="n">
        <v>46104</v>
      </c>
      <c r="B4930" s="156" t="inlineStr">
        <is>
          <t>DS</t>
        </is>
      </c>
      <c r="C4930" s="156" t="inlineStr">
        <is>
          <t>DT-502</t>
        </is>
      </c>
      <c r="D4930" s="156" t="inlineStr">
        <is>
          <t>SKT 105S</t>
        </is>
      </c>
      <c r="E4930" s="156" t="inlineStr">
        <is>
          <t>Hauler</t>
        </is>
      </c>
      <c r="F4930" s="156" t="inlineStr"/>
      <c r="G4930" s="182" t="n">
        <v>0</v>
      </c>
      <c r="H4930" s="182" t="n">
        <v>0</v>
      </c>
      <c r="I4930" s="182" t="n">
        <v>12</v>
      </c>
      <c r="J4930" s="182" t="n">
        <v>12</v>
      </c>
      <c r="K4930" s="182" t="n">
        <v>0</v>
      </c>
      <c r="L4930" s="182" t="n">
        <v>12</v>
      </c>
      <c r="M4930" s="182" t="n">
        <v>0</v>
      </c>
      <c r="N4930" s="182" t="n">
        <v>0</v>
      </c>
      <c r="O4930" s="183" t="n">
        <v>0</v>
      </c>
      <c r="P4930" s="183" t="n">
        <v>0</v>
      </c>
      <c r="Q4930" s="184" t="n">
        <v>0</v>
      </c>
      <c r="R4930" s="184" t="n">
        <v>0</v>
      </c>
      <c r="S4930" s="183" t="n">
        <v>0</v>
      </c>
      <c r="T4930" s="183" t="n">
        <v>0</v>
      </c>
      <c r="U4930" s="182" t="n">
        <v>0</v>
      </c>
      <c r="V4930" s="182" t="n">
        <v>0</v>
      </c>
      <c r="W4930" s="182" t="n">
        <v>0</v>
      </c>
      <c r="X4930" s="182" t="n">
        <v>0</v>
      </c>
      <c r="Y4930" s="182" t="n">
        <v>0</v>
      </c>
      <c r="Z4930" s="182" t="n">
        <v>0</v>
      </c>
      <c r="AA4930" s="182" t="n">
        <v>0</v>
      </c>
      <c r="AB4930" s="182" t="n">
        <v>0</v>
      </c>
      <c r="AC4930" s="182" t="n">
        <v>0</v>
      </c>
      <c r="AD4930" s="182" t="n">
        <v>0</v>
      </c>
      <c r="AE4930" s="182" t="n">
        <v>0</v>
      </c>
      <c r="AF4930" s="182" t="n">
        <v>0</v>
      </c>
      <c r="AG4930" s="182" t="n">
        <v>0</v>
      </c>
      <c r="AH4930" s="182" t="n">
        <v>0</v>
      </c>
      <c r="AI4930" s="182" t="n">
        <v>0</v>
      </c>
      <c r="AJ4930" s="182" t="n">
        <v>0</v>
      </c>
      <c r="AK4930" s="182" t="n">
        <v>0</v>
      </c>
      <c r="AL4930" s="182" t="n">
        <v>0</v>
      </c>
      <c r="AM4930" s="182" t="n">
        <v>0</v>
      </c>
      <c r="AN4930" s="182" t="n">
        <v>0</v>
      </c>
    </row>
    <row r="4931">
      <c r="A4931" s="155" t="n">
        <v>46104</v>
      </c>
      <c r="B4931" s="156" t="inlineStr">
        <is>
          <t>DS</t>
        </is>
      </c>
      <c r="C4931" s="156" t="inlineStr">
        <is>
          <t>DT-528</t>
        </is>
      </c>
      <c r="D4931" s="156" t="inlineStr">
        <is>
          <t>SKT 105S</t>
        </is>
      </c>
      <c r="E4931" s="156" t="inlineStr">
        <is>
          <t>Hauler</t>
        </is>
      </c>
      <c r="F4931" s="156" t="inlineStr">
        <is>
          <t>Hauling OB</t>
        </is>
      </c>
      <c r="G4931" s="182" t="n">
        <v>9.85</v>
      </c>
      <c r="H4931" s="182" t="n">
        <v>0</v>
      </c>
      <c r="I4931" s="182" t="n">
        <v>0</v>
      </c>
      <c r="J4931" s="182" t="n">
        <v>0</v>
      </c>
      <c r="K4931" s="182" t="n">
        <v>2.15</v>
      </c>
      <c r="L4931" s="182" t="n">
        <v>12</v>
      </c>
      <c r="M4931" s="182" t="n">
        <v>9.85</v>
      </c>
      <c r="N4931" s="182" t="n">
        <v>0</v>
      </c>
      <c r="O4931" s="183" t="n">
        <v>30</v>
      </c>
      <c r="P4931" s="183" t="n">
        <v>0</v>
      </c>
      <c r="Q4931" s="184" t="n">
        <v>612</v>
      </c>
      <c r="R4931" s="184" t="n">
        <v>0</v>
      </c>
      <c r="S4931" s="183" t="n">
        <v>0</v>
      </c>
      <c r="T4931" s="183" t="n">
        <v>0</v>
      </c>
      <c r="U4931" s="182" t="n">
        <v>0.5600000000000001</v>
      </c>
      <c r="V4931" s="182" t="n">
        <v>0</v>
      </c>
      <c r="W4931" s="182" t="n">
        <v>0</v>
      </c>
      <c r="X4931" s="182" t="n">
        <v>0.98</v>
      </c>
      <c r="Y4931" s="182" t="n">
        <v>0</v>
      </c>
      <c r="Z4931" s="182" t="n">
        <v>0</v>
      </c>
      <c r="AA4931" s="182" t="n">
        <v>0</v>
      </c>
      <c r="AB4931" s="182" t="n">
        <v>0</v>
      </c>
      <c r="AC4931" s="182" t="n">
        <v>0</v>
      </c>
      <c r="AD4931" s="182" t="n">
        <v>0</v>
      </c>
      <c r="AE4931" s="182" t="n">
        <v>0</v>
      </c>
      <c r="AF4931" s="182" t="n">
        <v>0</v>
      </c>
      <c r="AG4931" s="182" t="n">
        <v>0</v>
      </c>
      <c r="AH4931" s="182" t="n">
        <v>0.54</v>
      </c>
      <c r="AI4931" s="182" t="n">
        <v>0</v>
      </c>
      <c r="AJ4931" s="182" t="n">
        <v>0</v>
      </c>
      <c r="AK4931" s="182" t="n">
        <v>0</v>
      </c>
      <c r="AL4931" s="182" t="n">
        <v>0</v>
      </c>
      <c r="AM4931" s="182" t="n">
        <v>0.08</v>
      </c>
      <c r="AN4931" s="182" t="n">
        <v>0</v>
      </c>
    </row>
    <row r="4932">
      <c r="A4932" s="155" t="n">
        <v>46104</v>
      </c>
      <c r="B4932" s="156" t="inlineStr">
        <is>
          <t>DS</t>
        </is>
      </c>
      <c r="C4932" s="156" t="inlineStr">
        <is>
          <t>DT-529</t>
        </is>
      </c>
      <c r="D4932" s="156" t="inlineStr">
        <is>
          <t>SKT 105S</t>
        </is>
      </c>
      <c r="E4932" s="156" t="inlineStr">
        <is>
          <t>Hauler</t>
        </is>
      </c>
      <c r="F4932" s="156" t="inlineStr">
        <is>
          <t>Hauling OB</t>
        </is>
      </c>
      <c r="G4932" s="182" t="n">
        <v>10.74</v>
      </c>
      <c r="H4932" s="182" t="n">
        <v>0</v>
      </c>
      <c r="I4932" s="182" t="n">
        <v>0</v>
      </c>
      <c r="J4932" s="182" t="n">
        <v>0</v>
      </c>
      <c r="K4932" s="182" t="n">
        <v>1.26</v>
      </c>
      <c r="L4932" s="182" t="n">
        <v>12</v>
      </c>
      <c r="M4932" s="182" t="n">
        <v>10.74</v>
      </c>
      <c r="N4932" s="182" t="n">
        <v>0</v>
      </c>
      <c r="O4932" s="183" t="n">
        <v>71</v>
      </c>
      <c r="P4932" s="183" t="n">
        <v>0</v>
      </c>
      <c r="Q4932" s="184" t="n">
        <v>1448.4</v>
      </c>
      <c r="R4932" s="184" t="n">
        <v>0</v>
      </c>
      <c r="S4932" s="183" t="n">
        <v>0</v>
      </c>
      <c r="T4932" s="183" t="n">
        <v>0</v>
      </c>
      <c r="U4932" s="182" t="n">
        <v>0.13</v>
      </c>
      <c r="V4932" s="182" t="n">
        <v>0</v>
      </c>
      <c r="W4932" s="182" t="n">
        <v>0</v>
      </c>
      <c r="X4932" s="182" t="n">
        <v>1.05</v>
      </c>
      <c r="Y4932" s="182" t="n">
        <v>0</v>
      </c>
      <c r="Z4932" s="182" t="n">
        <v>0</v>
      </c>
      <c r="AA4932" s="182" t="n">
        <v>0</v>
      </c>
      <c r="AB4932" s="182" t="n">
        <v>0</v>
      </c>
      <c r="AC4932" s="182" t="n">
        <v>0</v>
      </c>
      <c r="AD4932" s="182" t="n">
        <v>0</v>
      </c>
      <c r="AE4932" s="182" t="n">
        <v>0</v>
      </c>
      <c r="AF4932" s="182" t="n">
        <v>0</v>
      </c>
      <c r="AG4932" s="182" t="n">
        <v>0</v>
      </c>
      <c r="AH4932" s="182" t="n">
        <v>0</v>
      </c>
      <c r="AI4932" s="182" t="n">
        <v>0</v>
      </c>
      <c r="AJ4932" s="182" t="n">
        <v>0</v>
      </c>
      <c r="AK4932" s="182" t="n">
        <v>0</v>
      </c>
      <c r="AL4932" s="182" t="n">
        <v>0</v>
      </c>
      <c r="AM4932" s="182" t="n">
        <v>0.08</v>
      </c>
      <c r="AN4932" s="182" t="n">
        <v>0</v>
      </c>
    </row>
    <row r="4933">
      <c r="A4933" s="155" t="n">
        <v>46104</v>
      </c>
      <c r="B4933" s="156" t="inlineStr">
        <is>
          <t>DS</t>
        </is>
      </c>
      <c r="C4933" s="156" t="inlineStr">
        <is>
          <t>DT-520</t>
        </is>
      </c>
      <c r="D4933" s="156" t="inlineStr">
        <is>
          <t>SKT 105S</t>
        </is>
      </c>
      <c r="E4933" s="156" t="inlineStr">
        <is>
          <t>Hauler</t>
        </is>
      </c>
      <c r="F4933" s="156" t="inlineStr">
        <is>
          <t>Hauling OB</t>
        </is>
      </c>
      <c r="G4933" s="182" t="n">
        <v>8.890000000000001</v>
      </c>
      <c r="H4933" s="182" t="n">
        <v>0</v>
      </c>
      <c r="I4933" s="182" t="n">
        <v>0</v>
      </c>
      <c r="J4933" s="182" t="n">
        <v>0</v>
      </c>
      <c r="K4933" s="182" t="n">
        <v>3.11</v>
      </c>
      <c r="L4933" s="182" t="n">
        <v>12</v>
      </c>
      <c r="M4933" s="182" t="n">
        <v>8.890000000000001</v>
      </c>
      <c r="N4933" s="182" t="n">
        <v>0</v>
      </c>
      <c r="O4933" s="183" t="n">
        <v>30</v>
      </c>
      <c r="P4933" s="183" t="n">
        <v>0</v>
      </c>
      <c r="Q4933" s="184" t="n">
        <v>588.3</v>
      </c>
      <c r="R4933" s="184" t="n">
        <v>0</v>
      </c>
      <c r="S4933" s="183" t="n">
        <v>0</v>
      </c>
      <c r="T4933" s="183" t="n">
        <v>0</v>
      </c>
      <c r="U4933" s="182" t="n">
        <v>0.61</v>
      </c>
      <c r="V4933" s="182" t="n">
        <v>0.75</v>
      </c>
      <c r="W4933" s="182" t="n">
        <v>0</v>
      </c>
      <c r="X4933" s="182" t="n">
        <v>1.07</v>
      </c>
      <c r="Y4933" s="182" t="n">
        <v>0</v>
      </c>
      <c r="Z4933" s="182" t="n">
        <v>0</v>
      </c>
      <c r="AA4933" s="182" t="n">
        <v>0</v>
      </c>
      <c r="AB4933" s="182" t="n">
        <v>0</v>
      </c>
      <c r="AC4933" s="182" t="n">
        <v>0</v>
      </c>
      <c r="AD4933" s="182" t="n">
        <v>0</v>
      </c>
      <c r="AE4933" s="182" t="n">
        <v>0</v>
      </c>
      <c r="AF4933" s="182" t="n">
        <v>0</v>
      </c>
      <c r="AG4933" s="182" t="n">
        <v>0</v>
      </c>
      <c r="AH4933" s="182" t="n">
        <v>0.59</v>
      </c>
      <c r="AI4933" s="182" t="n">
        <v>0</v>
      </c>
      <c r="AJ4933" s="182" t="n">
        <v>0</v>
      </c>
      <c r="AK4933" s="182" t="n">
        <v>0</v>
      </c>
      <c r="AL4933" s="182" t="n">
        <v>0</v>
      </c>
      <c r="AM4933" s="182" t="n">
        <v>0.09</v>
      </c>
      <c r="AN4933" s="182" t="n">
        <v>0</v>
      </c>
    </row>
    <row r="4934">
      <c r="A4934" s="155" t="n">
        <v>46104</v>
      </c>
      <c r="B4934" s="156" t="inlineStr">
        <is>
          <t>DS</t>
        </is>
      </c>
      <c r="C4934" s="156" t="inlineStr">
        <is>
          <t>DT-511</t>
        </is>
      </c>
      <c r="D4934" s="156" t="inlineStr">
        <is>
          <t>SKT 105S</t>
        </is>
      </c>
      <c r="E4934" s="156" t="inlineStr">
        <is>
          <t>Hauler</t>
        </is>
      </c>
      <c r="F4934" s="156" t="inlineStr"/>
      <c r="G4934" s="182" t="n">
        <v>0</v>
      </c>
      <c r="H4934" s="182" t="n">
        <v>0</v>
      </c>
      <c r="I4934" s="182" t="n">
        <v>12</v>
      </c>
      <c r="J4934" s="182" t="n">
        <v>12</v>
      </c>
      <c r="K4934" s="182" t="n">
        <v>0</v>
      </c>
      <c r="L4934" s="182" t="n">
        <v>12</v>
      </c>
      <c r="M4934" s="182" t="n">
        <v>0</v>
      </c>
      <c r="N4934" s="182" t="n">
        <v>0</v>
      </c>
      <c r="O4934" s="183" t="n">
        <v>0</v>
      </c>
      <c r="P4934" s="183" t="n">
        <v>0</v>
      </c>
      <c r="Q4934" s="184" t="n">
        <v>0</v>
      </c>
      <c r="R4934" s="184" t="n">
        <v>0</v>
      </c>
      <c r="S4934" s="183" t="n">
        <v>0</v>
      </c>
      <c r="T4934" s="183" t="n">
        <v>0</v>
      </c>
      <c r="U4934" s="182" t="n">
        <v>0</v>
      </c>
      <c r="V4934" s="182" t="n">
        <v>0</v>
      </c>
      <c r="W4934" s="182" t="n">
        <v>0</v>
      </c>
      <c r="X4934" s="182" t="n">
        <v>0</v>
      </c>
      <c r="Y4934" s="182" t="n">
        <v>0</v>
      </c>
      <c r="Z4934" s="182" t="n">
        <v>0</v>
      </c>
      <c r="AA4934" s="182" t="n">
        <v>0</v>
      </c>
      <c r="AB4934" s="182" t="n">
        <v>0</v>
      </c>
      <c r="AC4934" s="182" t="n">
        <v>0</v>
      </c>
      <c r="AD4934" s="182" t="n">
        <v>0</v>
      </c>
      <c r="AE4934" s="182" t="n">
        <v>0</v>
      </c>
      <c r="AF4934" s="182" t="n">
        <v>0</v>
      </c>
      <c r="AG4934" s="182" t="n">
        <v>0</v>
      </c>
      <c r="AH4934" s="182" t="n">
        <v>0</v>
      </c>
      <c r="AI4934" s="182" t="n">
        <v>0</v>
      </c>
      <c r="AJ4934" s="182" t="n">
        <v>0</v>
      </c>
      <c r="AK4934" s="182" t="n">
        <v>0</v>
      </c>
      <c r="AL4934" s="182" t="n">
        <v>0</v>
      </c>
      <c r="AM4934" s="182" t="n">
        <v>0</v>
      </c>
      <c r="AN4934" s="182" t="n">
        <v>0</v>
      </c>
    </row>
    <row r="4935">
      <c r="A4935" s="155" t="n">
        <v>46104</v>
      </c>
      <c r="B4935" s="156" t="inlineStr">
        <is>
          <t>DS</t>
        </is>
      </c>
      <c r="C4935" s="156" t="inlineStr">
        <is>
          <t>DT-509</t>
        </is>
      </c>
      <c r="D4935" s="156" t="inlineStr">
        <is>
          <t>SKT 105S</t>
        </is>
      </c>
      <c r="E4935" s="156" t="inlineStr">
        <is>
          <t>Hauler</t>
        </is>
      </c>
      <c r="F4935" s="156" t="inlineStr"/>
      <c r="G4935" s="182" t="n">
        <v>0</v>
      </c>
      <c r="H4935" s="182" t="n">
        <v>0</v>
      </c>
      <c r="I4935" s="182" t="n">
        <v>12</v>
      </c>
      <c r="J4935" s="182" t="n">
        <v>12</v>
      </c>
      <c r="K4935" s="182" t="n">
        <v>0</v>
      </c>
      <c r="L4935" s="182" t="n">
        <v>12</v>
      </c>
      <c r="M4935" s="182" t="n">
        <v>0</v>
      </c>
      <c r="N4935" s="182" t="n">
        <v>0</v>
      </c>
      <c r="O4935" s="183" t="n">
        <v>0</v>
      </c>
      <c r="P4935" s="183" t="n">
        <v>0</v>
      </c>
      <c r="Q4935" s="184" t="n">
        <v>0</v>
      </c>
      <c r="R4935" s="184" t="n">
        <v>0</v>
      </c>
      <c r="S4935" s="183" t="n">
        <v>0</v>
      </c>
      <c r="T4935" s="183" t="n">
        <v>0</v>
      </c>
      <c r="U4935" s="182" t="n">
        <v>0</v>
      </c>
      <c r="V4935" s="182" t="n">
        <v>0</v>
      </c>
      <c r="W4935" s="182" t="n">
        <v>0</v>
      </c>
      <c r="X4935" s="182" t="n">
        <v>0</v>
      </c>
      <c r="Y4935" s="182" t="n">
        <v>0</v>
      </c>
      <c r="Z4935" s="182" t="n">
        <v>0</v>
      </c>
      <c r="AA4935" s="182" t="n">
        <v>0</v>
      </c>
      <c r="AB4935" s="182" t="n">
        <v>0</v>
      </c>
      <c r="AC4935" s="182" t="n">
        <v>0</v>
      </c>
      <c r="AD4935" s="182" t="n">
        <v>0</v>
      </c>
      <c r="AE4935" s="182" t="n">
        <v>0</v>
      </c>
      <c r="AF4935" s="182" t="n">
        <v>0</v>
      </c>
      <c r="AG4935" s="182" t="n">
        <v>0</v>
      </c>
      <c r="AH4935" s="182" t="n">
        <v>0</v>
      </c>
      <c r="AI4935" s="182" t="n">
        <v>0</v>
      </c>
      <c r="AJ4935" s="182" t="n">
        <v>0</v>
      </c>
      <c r="AK4935" s="182" t="n">
        <v>0</v>
      </c>
      <c r="AL4935" s="182" t="n">
        <v>0</v>
      </c>
      <c r="AM4935" s="182" t="n">
        <v>0</v>
      </c>
      <c r="AN4935" s="182" t="n">
        <v>0</v>
      </c>
    </row>
    <row r="4936">
      <c r="A4936" s="155" t="n">
        <v>46104</v>
      </c>
      <c r="B4936" s="156" t="inlineStr">
        <is>
          <t>DS</t>
        </is>
      </c>
      <c r="C4936" s="156" t="inlineStr">
        <is>
          <t>DT-526</t>
        </is>
      </c>
      <c r="D4936" s="156" t="inlineStr">
        <is>
          <t>SKT 105S</t>
        </is>
      </c>
      <c r="E4936" s="156" t="inlineStr">
        <is>
          <t>Hauler</t>
        </is>
      </c>
      <c r="F4936" s="156" t="inlineStr"/>
      <c r="G4936" s="182" t="n">
        <v>0</v>
      </c>
      <c r="H4936" s="182" t="n">
        <v>0</v>
      </c>
      <c r="I4936" s="182" t="n">
        <v>12</v>
      </c>
      <c r="J4936" s="182" t="n">
        <v>12</v>
      </c>
      <c r="K4936" s="182" t="n">
        <v>0</v>
      </c>
      <c r="L4936" s="182" t="n">
        <v>12</v>
      </c>
      <c r="M4936" s="182" t="n">
        <v>0</v>
      </c>
      <c r="N4936" s="182" t="n">
        <v>0</v>
      </c>
      <c r="O4936" s="183" t="n">
        <v>0</v>
      </c>
      <c r="P4936" s="183" t="n">
        <v>0</v>
      </c>
      <c r="Q4936" s="184" t="n">
        <v>0</v>
      </c>
      <c r="R4936" s="184" t="n">
        <v>0</v>
      </c>
      <c r="S4936" s="183" t="n">
        <v>0</v>
      </c>
      <c r="T4936" s="183" t="n">
        <v>0</v>
      </c>
      <c r="U4936" s="182" t="n">
        <v>0</v>
      </c>
      <c r="V4936" s="182" t="n">
        <v>0</v>
      </c>
      <c r="W4936" s="182" t="n">
        <v>0</v>
      </c>
      <c r="X4936" s="182" t="n">
        <v>0</v>
      </c>
      <c r="Y4936" s="182" t="n">
        <v>0</v>
      </c>
      <c r="Z4936" s="182" t="n">
        <v>0</v>
      </c>
      <c r="AA4936" s="182" t="n">
        <v>0</v>
      </c>
      <c r="AB4936" s="182" t="n">
        <v>0</v>
      </c>
      <c r="AC4936" s="182" t="n">
        <v>0</v>
      </c>
      <c r="AD4936" s="182" t="n">
        <v>0</v>
      </c>
      <c r="AE4936" s="182" t="n">
        <v>0</v>
      </c>
      <c r="AF4936" s="182" t="n">
        <v>0</v>
      </c>
      <c r="AG4936" s="182" t="n">
        <v>0</v>
      </c>
      <c r="AH4936" s="182" t="n">
        <v>0</v>
      </c>
      <c r="AI4936" s="182" t="n">
        <v>0</v>
      </c>
      <c r="AJ4936" s="182" t="n">
        <v>0</v>
      </c>
      <c r="AK4936" s="182" t="n">
        <v>0</v>
      </c>
      <c r="AL4936" s="182" t="n">
        <v>0</v>
      </c>
      <c r="AM4936" s="182" t="n">
        <v>0</v>
      </c>
      <c r="AN4936" s="182" t="n">
        <v>0</v>
      </c>
    </row>
    <row r="4937">
      <c r="A4937" s="155" t="n">
        <v>46104</v>
      </c>
      <c r="B4937" s="156" t="inlineStr">
        <is>
          <t>DS</t>
        </is>
      </c>
      <c r="C4937" s="156" t="inlineStr">
        <is>
          <t>DT-508</t>
        </is>
      </c>
      <c r="D4937" s="156" t="inlineStr">
        <is>
          <t>SKT 105S</t>
        </is>
      </c>
      <c r="E4937" s="156" t="inlineStr">
        <is>
          <t>Hauler</t>
        </is>
      </c>
      <c r="F4937" s="156" t="inlineStr">
        <is>
          <t>Hauling OB</t>
        </is>
      </c>
      <c r="G4937" s="182" t="n">
        <v>9.619999999999999</v>
      </c>
      <c r="H4937" s="182" t="n">
        <v>0</v>
      </c>
      <c r="I4937" s="182" t="n">
        <v>0</v>
      </c>
      <c r="J4937" s="182" t="n">
        <v>0</v>
      </c>
      <c r="K4937" s="182" t="n">
        <v>2.38</v>
      </c>
      <c r="L4937" s="182" t="n">
        <v>12</v>
      </c>
      <c r="M4937" s="182" t="n">
        <v>9.619999999999999</v>
      </c>
      <c r="N4937" s="182" t="n">
        <v>0</v>
      </c>
      <c r="O4937" s="183" t="n">
        <v>15</v>
      </c>
      <c r="P4937" s="183" t="n">
        <v>0</v>
      </c>
      <c r="Q4937" s="184" t="n">
        <v>306</v>
      </c>
      <c r="R4937" s="184" t="n">
        <v>0</v>
      </c>
      <c r="S4937" s="183" t="n">
        <v>0</v>
      </c>
      <c r="T4937" s="183" t="n">
        <v>0</v>
      </c>
      <c r="U4937" s="182" t="n">
        <v>0.54</v>
      </c>
      <c r="V4937" s="182" t="n">
        <v>0</v>
      </c>
      <c r="W4937" s="182" t="n">
        <v>0</v>
      </c>
      <c r="X4937" s="182" t="n">
        <v>0.95</v>
      </c>
      <c r="Y4937" s="182" t="n">
        <v>0</v>
      </c>
      <c r="Z4937" s="182" t="n">
        <v>0</v>
      </c>
      <c r="AA4937" s="182" t="n">
        <v>0</v>
      </c>
      <c r="AB4937" s="182" t="n">
        <v>0</v>
      </c>
      <c r="AC4937" s="182" t="n">
        <v>0</v>
      </c>
      <c r="AD4937" s="182" t="n">
        <v>0</v>
      </c>
      <c r="AE4937" s="182" t="n">
        <v>0</v>
      </c>
      <c r="AF4937" s="182" t="n">
        <v>0</v>
      </c>
      <c r="AG4937" s="182" t="n">
        <v>0</v>
      </c>
      <c r="AH4937" s="182" t="n">
        <v>0.8100000000000001</v>
      </c>
      <c r="AI4937" s="182" t="n">
        <v>0</v>
      </c>
      <c r="AJ4937" s="182" t="n">
        <v>0</v>
      </c>
      <c r="AK4937" s="182" t="n">
        <v>0</v>
      </c>
      <c r="AL4937" s="182" t="n">
        <v>0</v>
      </c>
      <c r="AM4937" s="182" t="n">
        <v>0.08</v>
      </c>
      <c r="AN4937" s="182" t="n">
        <v>0</v>
      </c>
    </row>
    <row r="4938">
      <c r="A4938" s="155" t="n">
        <v>46104</v>
      </c>
      <c r="B4938" s="156" t="inlineStr">
        <is>
          <t>DS</t>
        </is>
      </c>
      <c r="C4938" s="156" t="inlineStr">
        <is>
          <t>DT-515</t>
        </is>
      </c>
      <c r="D4938" s="156" t="inlineStr">
        <is>
          <t>SKT 105S</t>
        </is>
      </c>
      <c r="E4938" s="156" t="inlineStr">
        <is>
          <t>Hauler</t>
        </is>
      </c>
      <c r="F4938" s="156" t="inlineStr">
        <is>
          <t>Hauling OB</t>
        </is>
      </c>
      <c r="G4938" s="182" t="n">
        <v>10.26</v>
      </c>
      <c r="H4938" s="182" t="n">
        <v>0</v>
      </c>
      <c r="I4938" s="182" t="n">
        <v>0</v>
      </c>
      <c r="J4938" s="182" t="n">
        <v>0</v>
      </c>
      <c r="K4938" s="182" t="n">
        <v>1.74</v>
      </c>
      <c r="L4938" s="182" t="n">
        <v>12</v>
      </c>
      <c r="M4938" s="182" t="n">
        <v>10.26</v>
      </c>
      <c r="N4938" s="182" t="n">
        <v>0</v>
      </c>
      <c r="O4938" s="183" t="n">
        <v>36</v>
      </c>
      <c r="P4938" s="183" t="n">
        <v>0</v>
      </c>
      <c r="Q4938" s="184" t="n">
        <v>734.4</v>
      </c>
      <c r="R4938" s="184" t="n">
        <v>0</v>
      </c>
      <c r="S4938" s="183" t="n">
        <v>0</v>
      </c>
      <c r="T4938" s="183" t="n">
        <v>0</v>
      </c>
      <c r="U4938" s="182" t="n">
        <v>0.52</v>
      </c>
      <c r="V4938" s="182" t="n">
        <v>0</v>
      </c>
      <c r="W4938" s="182" t="n">
        <v>0</v>
      </c>
      <c r="X4938" s="182" t="n">
        <v>0.92</v>
      </c>
      <c r="Y4938" s="182" t="n">
        <v>0</v>
      </c>
      <c r="Z4938" s="182" t="n">
        <v>0</v>
      </c>
      <c r="AA4938" s="182" t="n">
        <v>0</v>
      </c>
      <c r="AB4938" s="182" t="n">
        <v>0</v>
      </c>
      <c r="AC4938" s="182" t="n">
        <v>0</v>
      </c>
      <c r="AD4938" s="182" t="n">
        <v>0</v>
      </c>
      <c r="AE4938" s="182" t="n">
        <v>0</v>
      </c>
      <c r="AF4938" s="182" t="n">
        <v>0</v>
      </c>
      <c r="AG4938" s="182" t="n">
        <v>0</v>
      </c>
      <c r="AH4938" s="182" t="n">
        <v>0.23</v>
      </c>
      <c r="AI4938" s="182" t="n">
        <v>0</v>
      </c>
      <c r="AJ4938" s="182" t="n">
        <v>0</v>
      </c>
      <c r="AK4938" s="182" t="n">
        <v>0</v>
      </c>
      <c r="AL4938" s="182" t="n">
        <v>0</v>
      </c>
      <c r="AM4938" s="182" t="n">
        <v>0.07000000000000001</v>
      </c>
      <c r="AN4938" s="182" t="n">
        <v>0</v>
      </c>
    </row>
    <row r="4939">
      <c r="A4939" s="155" t="n">
        <v>46104</v>
      </c>
      <c r="B4939" s="156" t="inlineStr">
        <is>
          <t>DS</t>
        </is>
      </c>
      <c r="C4939" s="156" t="inlineStr">
        <is>
          <t>DT-524</t>
        </is>
      </c>
      <c r="D4939" s="156" t="inlineStr">
        <is>
          <t>SKT 105S</t>
        </is>
      </c>
      <c r="E4939" s="156" t="inlineStr">
        <is>
          <t>Hauler</t>
        </is>
      </c>
      <c r="F4939" s="156" t="inlineStr">
        <is>
          <t>Hauling OB</t>
        </is>
      </c>
      <c r="G4939" s="182" t="n">
        <v>10.53</v>
      </c>
      <c r="H4939" s="182" t="n">
        <v>0</v>
      </c>
      <c r="I4939" s="182" t="n">
        <v>0</v>
      </c>
      <c r="J4939" s="182" t="n">
        <v>0</v>
      </c>
      <c r="K4939" s="182" t="n">
        <v>1.47</v>
      </c>
      <c r="L4939" s="182" t="n">
        <v>12</v>
      </c>
      <c r="M4939" s="182" t="n">
        <v>10.53</v>
      </c>
      <c r="N4939" s="182" t="n">
        <v>0</v>
      </c>
      <c r="O4939" s="183" t="n">
        <v>56</v>
      </c>
      <c r="P4939" s="183" t="n">
        <v>0</v>
      </c>
      <c r="Q4939" s="184" t="n">
        <v>1142.4</v>
      </c>
      <c r="R4939" s="184" t="n">
        <v>0</v>
      </c>
      <c r="S4939" s="183" t="n">
        <v>0</v>
      </c>
      <c r="T4939" s="183" t="n">
        <v>0</v>
      </c>
      <c r="U4939" s="182" t="n">
        <v>0.49</v>
      </c>
      <c r="V4939" s="182" t="n">
        <v>0</v>
      </c>
      <c r="W4939" s="182" t="n">
        <v>0</v>
      </c>
      <c r="X4939" s="182" t="n">
        <v>0.86</v>
      </c>
      <c r="Y4939" s="182" t="n">
        <v>0</v>
      </c>
      <c r="Z4939" s="182" t="n">
        <v>0</v>
      </c>
      <c r="AA4939" s="182" t="n">
        <v>0</v>
      </c>
      <c r="AB4939" s="182" t="n">
        <v>0</v>
      </c>
      <c r="AC4939" s="182" t="n">
        <v>0</v>
      </c>
      <c r="AD4939" s="182" t="n">
        <v>0</v>
      </c>
      <c r="AE4939" s="182" t="n">
        <v>0</v>
      </c>
      <c r="AF4939" s="182" t="n">
        <v>0</v>
      </c>
      <c r="AG4939" s="182" t="n">
        <v>0</v>
      </c>
      <c r="AH4939" s="182" t="n">
        <v>0.04</v>
      </c>
      <c r="AI4939" s="182" t="n">
        <v>0</v>
      </c>
      <c r="AJ4939" s="182" t="n">
        <v>0</v>
      </c>
      <c r="AK4939" s="182" t="n">
        <v>0</v>
      </c>
      <c r="AL4939" s="182" t="n">
        <v>0</v>
      </c>
      <c r="AM4939" s="182" t="n">
        <v>0.07000000000000001</v>
      </c>
      <c r="AN4939" s="182" t="n">
        <v>0</v>
      </c>
    </row>
    <row r="4940">
      <c r="A4940" s="155" t="n">
        <v>46104</v>
      </c>
      <c r="B4940" s="156" t="inlineStr">
        <is>
          <t>DS</t>
        </is>
      </c>
      <c r="C4940" s="156" t="inlineStr">
        <is>
          <t>DT-341</t>
        </is>
      </c>
      <c r="D4940" s="156" t="inlineStr">
        <is>
          <t>SYZ324C-8W</t>
        </is>
      </c>
      <c r="E4940" s="156" t="inlineStr">
        <is>
          <t>Hauler</t>
        </is>
      </c>
      <c r="F4940" s="156" t="inlineStr">
        <is>
          <t>Support Washing Plant</t>
        </is>
      </c>
      <c r="G4940" s="182" t="n">
        <v>6.2</v>
      </c>
      <c r="H4940" s="182" t="n">
        <v>0</v>
      </c>
      <c r="I4940" s="182" t="n">
        <v>0</v>
      </c>
      <c r="J4940" s="182" t="n">
        <v>0</v>
      </c>
      <c r="K4940" s="182" t="n">
        <v>5.8</v>
      </c>
      <c r="L4940" s="182" t="n">
        <v>12</v>
      </c>
      <c r="M4940" s="182" t="n">
        <v>0</v>
      </c>
      <c r="N4940" s="182" t="n">
        <v>0</v>
      </c>
      <c r="O4940" s="183" t="n">
        <v>0</v>
      </c>
      <c r="P4940" s="183" t="n">
        <v>0</v>
      </c>
      <c r="Q4940" s="184" t="n">
        <v>0</v>
      </c>
      <c r="R4940" s="184" t="n">
        <v>0</v>
      </c>
      <c r="S4940" s="183" t="n">
        <v>0</v>
      </c>
      <c r="T4940" s="183" t="n">
        <v>0</v>
      </c>
      <c r="U4940" s="182" t="n">
        <v>0</v>
      </c>
      <c r="V4940" s="182" t="n">
        <v>0</v>
      </c>
      <c r="W4940" s="182" t="n">
        <v>0</v>
      </c>
      <c r="X4940" s="182" t="n">
        <v>0.91</v>
      </c>
      <c r="Y4940" s="182" t="n">
        <v>0</v>
      </c>
      <c r="Z4940" s="182" t="n">
        <v>0</v>
      </c>
      <c r="AA4940" s="182" t="n">
        <v>0</v>
      </c>
      <c r="AB4940" s="182" t="n">
        <v>0</v>
      </c>
      <c r="AC4940" s="182" t="n">
        <v>0</v>
      </c>
      <c r="AD4940" s="182" t="n">
        <v>0</v>
      </c>
      <c r="AE4940" s="182" t="n">
        <v>0</v>
      </c>
      <c r="AF4940" s="182" t="n">
        <v>0</v>
      </c>
      <c r="AG4940" s="182" t="n">
        <v>0</v>
      </c>
      <c r="AH4940" s="182" t="n">
        <v>0</v>
      </c>
      <c r="AI4940" s="182" t="n">
        <v>0</v>
      </c>
      <c r="AJ4940" s="182" t="n">
        <v>0</v>
      </c>
      <c r="AK4940" s="182" t="n">
        <v>4.82</v>
      </c>
      <c r="AL4940" s="182" t="n">
        <v>0</v>
      </c>
      <c r="AM4940" s="182" t="n">
        <v>0.07000000000000001</v>
      </c>
      <c r="AN4940" s="182" t="n">
        <v>0</v>
      </c>
    </row>
    <row r="4941">
      <c r="A4941" s="155" t="n">
        <v>46104</v>
      </c>
      <c r="B4941" s="156" t="inlineStr">
        <is>
          <t>DS</t>
        </is>
      </c>
      <c r="C4941" s="156" t="inlineStr">
        <is>
          <t>DT-342</t>
        </is>
      </c>
      <c r="D4941" s="156" t="inlineStr">
        <is>
          <t>SYZ324C-8W</t>
        </is>
      </c>
      <c r="E4941" s="156" t="inlineStr">
        <is>
          <t>Hauler</t>
        </is>
      </c>
      <c r="F4941" s="156" t="inlineStr">
        <is>
          <t>Support Washing Plant</t>
        </is>
      </c>
      <c r="G4941" s="182" t="n">
        <v>8.199999999999999</v>
      </c>
      <c r="H4941" s="182" t="n">
        <v>0</v>
      </c>
      <c r="I4941" s="182" t="n">
        <v>0</v>
      </c>
      <c r="J4941" s="182" t="n">
        <v>0</v>
      </c>
      <c r="K4941" s="182" t="n">
        <v>3.8</v>
      </c>
      <c r="L4941" s="182" t="n">
        <v>12</v>
      </c>
      <c r="M4941" s="182" t="n">
        <v>0</v>
      </c>
      <c r="N4941" s="182" t="n">
        <v>0</v>
      </c>
      <c r="O4941" s="183" t="n">
        <v>0</v>
      </c>
      <c r="P4941" s="183" t="n">
        <v>0</v>
      </c>
      <c r="Q4941" s="184" t="n">
        <v>0</v>
      </c>
      <c r="R4941" s="184" t="n">
        <v>0</v>
      </c>
      <c r="S4941" s="183" t="n">
        <v>0</v>
      </c>
      <c r="T4941" s="183" t="n">
        <v>0</v>
      </c>
      <c r="U4941" s="182" t="n">
        <v>0</v>
      </c>
      <c r="V4941" s="182" t="n">
        <v>0</v>
      </c>
      <c r="W4941" s="182" t="n">
        <v>0</v>
      </c>
      <c r="X4941" s="182" t="n">
        <v>0.95</v>
      </c>
      <c r="Y4941" s="182" t="n">
        <v>0</v>
      </c>
      <c r="Z4941" s="182" t="n">
        <v>0</v>
      </c>
      <c r="AA4941" s="182" t="n">
        <v>0</v>
      </c>
      <c r="AB4941" s="182" t="n">
        <v>0</v>
      </c>
      <c r="AC4941" s="182" t="n">
        <v>0</v>
      </c>
      <c r="AD4941" s="182" t="n">
        <v>0</v>
      </c>
      <c r="AE4941" s="182" t="n">
        <v>0</v>
      </c>
      <c r="AF4941" s="182" t="n">
        <v>0</v>
      </c>
      <c r="AG4941" s="182" t="n">
        <v>0</v>
      </c>
      <c r="AH4941" s="182" t="n">
        <v>0</v>
      </c>
      <c r="AI4941" s="182" t="n">
        <v>0</v>
      </c>
      <c r="AJ4941" s="182" t="n">
        <v>0</v>
      </c>
      <c r="AK4941" s="182" t="n">
        <v>2.77</v>
      </c>
      <c r="AL4941" s="182" t="n">
        <v>0</v>
      </c>
      <c r="AM4941" s="182" t="n">
        <v>0.08</v>
      </c>
      <c r="AN4941" s="182" t="n">
        <v>0</v>
      </c>
    </row>
    <row r="4942">
      <c r="A4942" s="155" t="n">
        <v>46104</v>
      </c>
      <c r="B4942" s="156" t="inlineStr">
        <is>
          <t>DS</t>
        </is>
      </c>
      <c r="C4942" s="156" t="inlineStr">
        <is>
          <t>HD-903</t>
        </is>
      </c>
      <c r="D4942" s="156" t="inlineStr">
        <is>
          <t>SRT 95C</t>
        </is>
      </c>
      <c r="E4942" s="156" t="inlineStr">
        <is>
          <t>Hauler</t>
        </is>
      </c>
      <c r="F4942" s="156" t="inlineStr">
        <is>
          <t>Hauling OB</t>
        </is>
      </c>
      <c r="G4942" s="182" t="n">
        <v>9.68</v>
      </c>
      <c r="H4942" s="182" t="n">
        <v>0</v>
      </c>
      <c r="I4942" s="182" t="n">
        <v>0</v>
      </c>
      <c r="J4942" s="182" t="n">
        <v>0</v>
      </c>
      <c r="K4942" s="182" t="n">
        <v>2.32</v>
      </c>
      <c r="L4942" s="182" t="n">
        <v>12</v>
      </c>
      <c r="M4942" s="182" t="n">
        <v>9.68</v>
      </c>
      <c r="N4942" s="182" t="n">
        <v>0</v>
      </c>
      <c r="O4942" s="183" t="n">
        <v>44</v>
      </c>
      <c r="P4942" s="183" t="n">
        <v>0</v>
      </c>
      <c r="Q4942" s="184" t="n">
        <v>1570.8</v>
      </c>
      <c r="R4942" s="184" t="n">
        <v>0</v>
      </c>
      <c r="S4942" s="183" t="n">
        <v>0</v>
      </c>
      <c r="T4942" s="183" t="n">
        <v>0</v>
      </c>
      <c r="U4942" s="182" t="n">
        <v>0.63</v>
      </c>
      <c r="V4942" s="182" t="n">
        <v>0</v>
      </c>
      <c r="W4942" s="182" t="n">
        <v>0</v>
      </c>
      <c r="X4942" s="182" t="n">
        <v>1.1</v>
      </c>
      <c r="Y4942" s="182" t="n">
        <v>0</v>
      </c>
      <c r="Z4942" s="182" t="n">
        <v>0</v>
      </c>
      <c r="AA4942" s="182" t="n">
        <v>0</v>
      </c>
      <c r="AB4942" s="182" t="n">
        <v>0</v>
      </c>
      <c r="AC4942" s="182" t="n">
        <v>0</v>
      </c>
      <c r="AD4942" s="182" t="n">
        <v>0</v>
      </c>
      <c r="AE4942" s="182" t="n">
        <v>0</v>
      </c>
      <c r="AF4942" s="182" t="n">
        <v>0</v>
      </c>
      <c r="AG4942" s="182" t="n">
        <v>0</v>
      </c>
      <c r="AH4942" s="182" t="n">
        <v>0.5</v>
      </c>
      <c r="AI4942" s="182" t="n">
        <v>0</v>
      </c>
      <c r="AJ4942" s="182" t="n">
        <v>0</v>
      </c>
      <c r="AK4942" s="182" t="n">
        <v>0</v>
      </c>
      <c r="AL4942" s="182" t="n">
        <v>0</v>
      </c>
      <c r="AM4942" s="182" t="n">
        <v>0.09</v>
      </c>
      <c r="AN4942" s="182" t="n">
        <v>0</v>
      </c>
    </row>
    <row r="4943">
      <c r="A4943" s="155" t="n">
        <v>46104</v>
      </c>
      <c r="B4943" s="156" t="inlineStr">
        <is>
          <t>DS</t>
        </is>
      </c>
      <c r="C4943" s="156" t="inlineStr">
        <is>
          <t>HD-905</t>
        </is>
      </c>
      <c r="D4943" s="156" t="inlineStr">
        <is>
          <t>SRT 95C</t>
        </is>
      </c>
      <c r="E4943" s="156" t="inlineStr">
        <is>
          <t>Hauler</t>
        </is>
      </c>
      <c r="F4943" s="156" t="inlineStr"/>
      <c r="G4943" s="182" t="n">
        <v>0</v>
      </c>
      <c r="H4943" s="182" t="n">
        <v>0</v>
      </c>
      <c r="I4943" s="182" t="n">
        <v>12</v>
      </c>
      <c r="J4943" s="182" t="n">
        <v>12</v>
      </c>
      <c r="K4943" s="182" t="n">
        <v>0</v>
      </c>
      <c r="L4943" s="182" t="n">
        <v>12</v>
      </c>
      <c r="M4943" s="182" t="n">
        <v>0</v>
      </c>
      <c r="N4943" s="182" t="n">
        <v>0</v>
      </c>
      <c r="O4943" s="183" t="n">
        <v>0</v>
      </c>
      <c r="P4943" s="183" t="n">
        <v>0</v>
      </c>
      <c r="Q4943" s="184" t="n">
        <v>0</v>
      </c>
      <c r="R4943" s="184" t="n">
        <v>0</v>
      </c>
      <c r="S4943" s="183" t="n">
        <v>0</v>
      </c>
      <c r="T4943" s="183" t="n">
        <v>0</v>
      </c>
      <c r="U4943" s="182" t="n">
        <v>0</v>
      </c>
      <c r="V4943" s="182" t="n">
        <v>0</v>
      </c>
      <c r="W4943" s="182" t="n">
        <v>0</v>
      </c>
      <c r="X4943" s="182" t="n">
        <v>0</v>
      </c>
      <c r="Y4943" s="182" t="n">
        <v>0</v>
      </c>
      <c r="Z4943" s="182" t="n">
        <v>0</v>
      </c>
      <c r="AA4943" s="182" t="n">
        <v>0</v>
      </c>
      <c r="AB4943" s="182" t="n">
        <v>0</v>
      </c>
      <c r="AC4943" s="182" t="n">
        <v>0</v>
      </c>
      <c r="AD4943" s="182" t="n">
        <v>0</v>
      </c>
      <c r="AE4943" s="182" t="n">
        <v>0</v>
      </c>
      <c r="AF4943" s="182" t="n">
        <v>0</v>
      </c>
      <c r="AG4943" s="182" t="n">
        <v>0</v>
      </c>
      <c r="AH4943" s="182" t="n">
        <v>0</v>
      </c>
      <c r="AI4943" s="182" t="n">
        <v>0</v>
      </c>
      <c r="AJ4943" s="182" t="n">
        <v>0</v>
      </c>
      <c r="AK4943" s="182" t="n">
        <v>0</v>
      </c>
      <c r="AL4943" s="182" t="n">
        <v>0</v>
      </c>
      <c r="AM4943" s="182" t="n">
        <v>0</v>
      </c>
      <c r="AN4943" s="182" t="n">
        <v>0</v>
      </c>
    </row>
    <row r="4944">
      <c r="A4944" s="155" t="n">
        <v>46104</v>
      </c>
      <c r="B4944" s="156" t="inlineStr">
        <is>
          <t>DS</t>
        </is>
      </c>
      <c r="C4944" s="156" t="inlineStr">
        <is>
          <t>HD-901</t>
        </is>
      </c>
      <c r="D4944" s="156" t="inlineStr">
        <is>
          <t>SRT 95C</t>
        </is>
      </c>
      <c r="E4944" s="156" t="inlineStr">
        <is>
          <t>Hauler</t>
        </is>
      </c>
      <c r="F4944" s="156" t="inlineStr">
        <is>
          <t>Hauling OB</t>
        </is>
      </c>
      <c r="G4944" s="182" t="n">
        <v>10.44</v>
      </c>
      <c r="H4944" s="182" t="n">
        <v>0</v>
      </c>
      <c r="I4944" s="182" t="n">
        <v>0</v>
      </c>
      <c r="J4944" s="182" t="n">
        <v>0</v>
      </c>
      <c r="K4944" s="182" t="n">
        <v>1.56</v>
      </c>
      <c r="L4944" s="182" t="n">
        <v>12</v>
      </c>
      <c r="M4944" s="182" t="n">
        <v>10.44</v>
      </c>
      <c r="N4944" s="182" t="n">
        <v>0</v>
      </c>
      <c r="O4944" s="183" t="n">
        <v>40</v>
      </c>
      <c r="P4944" s="183" t="n">
        <v>0</v>
      </c>
      <c r="Q4944" s="184" t="n">
        <v>1428</v>
      </c>
      <c r="R4944" s="184" t="n">
        <v>0</v>
      </c>
      <c r="S4944" s="183" t="n">
        <v>0</v>
      </c>
      <c r="T4944" s="183" t="n">
        <v>0</v>
      </c>
      <c r="U4944" s="182" t="n">
        <v>0.52</v>
      </c>
      <c r="V4944" s="182" t="n">
        <v>0</v>
      </c>
      <c r="W4944" s="182" t="n">
        <v>0</v>
      </c>
      <c r="X4944" s="182" t="n">
        <v>0.92</v>
      </c>
      <c r="Y4944" s="182" t="n">
        <v>0</v>
      </c>
      <c r="Z4944" s="182" t="n">
        <v>0</v>
      </c>
      <c r="AA4944" s="182" t="n">
        <v>0</v>
      </c>
      <c r="AB4944" s="182" t="n">
        <v>0</v>
      </c>
      <c r="AC4944" s="182" t="n">
        <v>0</v>
      </c>
      <c r="AD4944" s="182" t="n">
        <v>0</v>
      </c>
      <c r="AE4944" s="182" t="n">
        <v>0</v>
      </c>
      <c r="AF4944" s="182" t="n">
        <v>0</v>
      </c>
      <c r="AG4944" s="182" t="n">
        <v>0</v>
      </c>
      <c r="AH4944" s="182" t="n">
        <v>0.05</v>
      </c>
      <c r="AI4944" s="182" t="n">
        <v>0</v>
      </c>
      <c r="AJ4944" s="182" t="n">
        <v>0</v>
      </c>
      <c r="AK4944" s="182" t="n">
        <v>0</v>
      </c>
      <c r="AL4944" s="182" t="n">
        <v>0</v>
      </c>
      <c r="AM4944" s="182" t="n">
        <v>0.07000000000000001</v>
      </c>
      <c r="AN4944" s="182" t="n">
        <v>0</v>
      </c>
    </row>
    <row r="4945">
      <c r="A4945" s="155" t="n">
        <v>46104</v>
      </c>
      <c r="B4945" s="156" t="inlineStr">
        <is>
          <t>DS</t>
        </is>
      </c>
      <c r="C4945" s="156" t="inlineStr">
        <is>
          <t>HD-904</t>
        </is>
      </c>
      <c r="D4945" s="156" t="inlineStr">
        <is>
          <t>SRT 95C</t>
        </is>
      </c>
      <c r="E4945" s="156" t="inlineStr">
        <is>
          <t>Hauler</t>
        </is>
      </c>
      <c r="F4945" s="156" t="inlineStr">
        <is>
          <t>Hauling OB</t>
        </is>
      </c>
      <c r="G4945" s="182" t="n">
        <v>9.529999999999999</v>
      </c>
      <c r="H4945" s="182" t="n">
        <v>0</v>
      </c>
      <c r="I4945" s="182" t="n">
        <v>1.58</v>
      </c>
      <c r="J4945" s="182" t="n">
        <v>1.58</v>
      </c>
      <c r="K4945" s="182" t="n">
        <v>0.89</v>
      </c>
      <c r="L4945" s="182" t="n">
        <v>12</v>
      </c>
      <c r="M4945" s="182" t="n">
        <v>9.529999999999999</v>
      </c>
      <c r="N4945" s="182" t="n">
        <v>0</v>
      </c>
      <c r="O4945" s="183" t="n">
        <v>37</v>
      </c>
      <c r="P4945" s="183" t="n">
        <v>0</v>
      </c>
      <c r="Q4945" s="184" t="n">
        <v>1320.9</v>
      </c>
      <c r="R4945" s="184" t="n">
        <v>0</v>
      </c>
      <c r="S4945" s="183" t="n">
        <v>0</v>
      </c>
      <c r="T4945" s="183" t="n">
        <v>0</v>
      </c>
      <c r="U4945" s="182" t="n">
        <v>0.09</v>
      </c>
      <c r="V4945" s="182" t="n">
        <v>0</v>
      </c>
      <c r="W4945" s="182" t="n">
        <v>0</v>
      </c>
      <c r="X4945" s="182" t="n">
        <v>0.73</v>
      </c>
      <c r="Y4945" s="182" t="n">
        <v>0</v>
      </c>
      <c r="Z4945" s="182" t="n">
        <v>0</v>
      </c>
      <c r="AA4945" s="182" t="n">
        <v>0</v>
      </c>
      <c r="AB4945" s="182" t="n">
        <v>0</v>
      </c>
      <c r="AC4945" s="182" t="n">
        <v>0</v>
      </c>
      <c r="AD4945" s="182" t="n">
        <v>0</v>
      </c>
      <c r="AE4945" s="182" t="n">
        <v>0</v>
      </c>
      <c r="AF4945" s="182" t="n">
        <v>0</v>
      </c>
      <c r="AG4945" s="182" t="n">
        <v>0</v>
      </c>
      <c r="AH4945" s="182" t="n">
        <v>0</v>
      </c>
      <c r="AI4945" s="182" t="n">
        <v>0</v>
      </c>
      <c r="AJ4945" s="182" t="n">
        <v>0</v>
      </c>
      <c r="AK4945" s="182" t="n">
        <v>0</v>
      </c>
      <c r="AL4945" s="182" t="n">
        <v>0</v>
      </c>
      <c r="AM4945" s="182" t="n">
        <v>0.06</v>
      </c>
      <c r="AN4945" s="182" t="n">
        <v>0</v>
      </c>
    </row>
    <row r="4946">
      <c r="A4946" s="155" t="n">
        <v>46104</v>
      </c>
      <c r="B4946" s="156" t="inlineStr">
        <is>
          <t>DS</t>
        </is>
      </c>
      <c r="C4946" s="156" t="inlineStr">
        <is>
          <t>HD-902</t>
        </is>
      </c>
      <c r="D4946" s="156" t="inlineStr">
        <is>
          <t>SRT 95C</t>
        </is>
      </c>
      <c r="E4946" s="156" t="inlineStr">
        <is>
          <t>Hauler</t>
        </is>
      </c>
      <c r="F4946" s="156" t="inlineStr"/>
      <c r="G4946" s="182" t="n">
        <v>0</v>
      </c>
      <c r="H4946" s="182" t="n">
        <v>0</v>
      </c>
      <c r="I4946" s="182" t="n">
        <v>12</v>
      </c>
      <c r="J4946" s="182" t="n">
        <v>12</v>
      </c>
      <c r="K4946" s="182" t="n">
        <v>0</v>
      </c>
      <c r="L4946" s="182" t="n">
        <v>12</v>
      </c>
      <c r="M4946" s="182" t="n">
        <v>0</v>
      </c>
      <c r="N4946" s="182" t="n">
        <v>0</v>
      </c>
      <c r="O4946" s="183" t="n">
        <v>0</v>
      </c>
      <c r="P4946" s="183" t="n">
        <v>0</v>
      </c>
      <c r="Q4946" s="184" t="n">
        <v>0</v>
      </c>
      <c r="R4946" s="184" t="n">
        <v>0</v>
      </c>
      <c r="S4946" s="183" t="n">
        <v>0</v>
      </c>
      <c r="T4946" s="183" t="n">
        <v>0</v>
      </c>
      <c r="U4946" s="182" t="n">
        <v>0</v>
      </c>
      <c r="V4946" s="182" t="n">
        <v>0</v>
      </c>
      <c r="W4946" s="182" t="n">
        <v>0</v>
      </c>
      <c r="X4946" s="182" t="n">
        <v>0</v>
      </c>
      <c r="Y4946" s="182" t="n">
        <v>0</v>
      </c>
      <c r="Z4946" s="182" t="n">
        <v>0</v>
      </c>
      <c r="AA4946" s="182" t="n">
        <v>0</v>
      </c>
      <c r="AB4946" s="182" t="n">
        <v>0</v>
      </c>
      <c r="AC4946" s="182" t="n">
        <v>0</v>
      </c>
      <c r="AD4946" s="182" t="n">
        <v>0</v>
      </c>
      <c r="AE4946" s="182" t="n">
        <v>0</v>
      </c>
      <c r="AF4946" s="182" t="n">
        <v>0</v>
      </c>
      <c r="AG4946" s="182" t="n">
        <v>0</v>
      </c>
      <c r="AH4946" s="182" t="n">
        <v>0</v>
      </c>
      <c r="AI4946" s="182" t="n">
        <v>0</v>
      </c>
      <c r="AJ4946" s="182" t="n">
        <v>0</v>
      </c>
      <c r="AK4946" s="182" t="n">
        <v>0</v>
      </c>
      <c r="AL4946" s="182" t="n">
        <v>0</v>
      </c>
      <c r="AM4946" s="182" t="n">
        <v>0</v>
      </c>
      <c r="AN4946" s="182" t="n">
        <v>0</v>
      </c>
    </row>
    <row r="4947">
      <c r="A4947" s="155" t="n">
        <v>46104</v>
      </c>
      <c r="B4947" s="156" t="inlineStr">
        <is>
          <t>DS</t>
        </is>
      </c>
      <c r="C4947" s="156" t="inlineStr">
        <is>
          <t>WL-025</t>
        </is>
      </c>
      <c r="D4947" s="156" t="inlineStr">
        <is>
          <t>SANY - Loader</t>
        </is>
      </c>
      <c r="E4947" s="156" t="inlineStr">
        <is>
          <t>Loader</t>
        </is>
      </c>
      <c r="F4947" s="156" t="inlineStr"/>
      <c r="G4947" s="182" t="n">
        <v>0</v>
      </c>
      <c r="H4947" s="182" t="n">
        <v>0</v>
      </c>
      <c r="I4947" s="182" t="n">
        <v>0</v>
      </c>
      <c r="J4947" s="182" t="n">
        <v>0</v>
      </c>
      <c r="K4947" s="182" t="n">
        <v>12</v>
      </c>
      <c r="L4947" s="182" t="n">
        <v>12</v>
      </c>
      <c r="M4947" s="182" t="n">
        <v>0</v>
      </c>
      <c r="N4947" s="182" t="n">
        <v>0</v>
      </c>
      <c r="O4947" s="183" t="n">
        <v>0</v>
      </c>
      <c r="P4947" s="183" t="n">
        <v>0</v>
      </c>
      <c r="Q4947" s="184" t="n">
        <v>0</v>
      </c>
      <c r="R4947" s="184" t="n">
        <v>0</v>
      </c>
      <c r="S4947" s="183" t="n">
        <v>0</v>
      </c>
      <c r="T4947" s="183" t="n">
        <v>0</v>
      </c>
      <c r="U4947" s="182" t="n">
        <v>0</v>
      </c>
      <c r="V4947" s="182" t="n">
        <v>0</v>
      </c>
      <c r="W4947" s="182" t="n">
        <v>0</v>
      </c>
      <c r="X4947" s="182" t="n">
        <v>1</v>
      </c>
      <c r="Y4947" s="182" t="n">
        <v>0</v>
      </c>
      <c r="Z4947" s="182" t="n">
        <v>0</v>
      </c>
      <c r="AA4947" s="182" t="n">
        <v>0</v>
      </c>
      <c r="AB4947" s="182" t="n">
        <v>0</v>
      </c>
      <c r="AC4947" s="182" t="n">
        <v>0</v>
      </c>
      <c r="AD4947" s="182" t="n">
        <v>0</v>
      </c>
      <c r="AE4947" s="182" t="n">
        <v>0</v>
      </c>
      <c r="AF4947" s="182" t="n">
        <v>0</v>
      </c>
      <c r="AG4947" s="182" t="n">
        <v>0</v>
      </c>
      <c r="AH4947" s="182" t="n">
        <v>0</v>
      </c>
      <c r="AI4947" s="182" t="n">
        <v>0</v>
      </c>
      <c r="AJ4947" s="182" t="n">
        <v>0</v>
      </c>
      <c r="AK4947" s="182" t="n">
        <v>10.92</v>
      </c>
      <c r="AL4947" s="182" t="n">
        <v>0</v>
      </c>
      <c r="AM4947" s="182" t="n">
        <v>0.08</v>
      </c>
      <c r="AN4947" s="182" t="n">
        <v>0</v>
      </c>
    </row>
    <row r="4948">
      <c r="A4948" s="155" t="n">
        <v>46104</v>
      </c>
      <c r="B4948" s="156" t="inlineStr">
        <is>
          <t>DS</t>
        </is>
      </c>
      <c r="C4948" s="156" t="inlineStr">
        <is>
          <t>WL-023</t>
        </is>
      </c>
      <c r="D4948" s="156" t="inlineStr">
        <is>
          <t>SANY - Loader</t>
        </is>
      </c>
      <c r="E4948" s="156" t="inlineStr">
        <is>
          <t>Loader</t>
        </is>
      </c>
      <c r="F4948" s="156" t="inlineStr"/>
      <c r="G4948" s="182" t="n">
        <v>0</v>
      </c>
      <c r="H4948" s="182" t="n">
        <v>0</v>
      </c>
      <c r="I4948" s="182" t="n">
        <v>0</v>
      </c>
      <c r="J4948" s="182" t="n">
        <v>0</v>
      </c>
      <c r="K4948" s="182" t="n">
        <v>12</v>
      </c>
      <c r="L4948" s="182" t="n">
        <v>12</v>
      </c>
      <c r="M4948" s="182" t="n">
        <v>0</v>
      </c>
      <c r="N4948" s="182" t="n">
        <v>0</v>
      </c>
      <c r="O4948" s="183" t="n">
        <v>0</v>
      </c>
      <c r="P4948" s="183" t="n">
        <v>0</v>
      </c>
      <c r="Q4948" s="184" t="n">
        <v>0</v>
      </c>
      <c r="R4948" s="184" t="n">
        <v>0</v>
      </c>
      <c r="S4948" s="183" t="n">
        <v>0</v>
      </c>
      <c r="T4948" s="183" t="n">
        <v>0</v>
      </c>
      <c r="U4948" s="182" t="n">
        <v>0</v>
      </c>
      <c r="V4948" s="182" t="n">
        <v>0</v>
      </c>
      <c r="W4948" s="182" t="n">
        <v>0</v>
      </c>
      <c r="X4948" s="182" t="n">
        <v>1</v>
      </c>
      <c r="Y4948" s="182" t="n">
        <v>0</v>
      </c>
      <c r="Z4948" s="182" t="n">
        <v>0</v>
      </c>
      <c r="AA4948" s="182" t="n">
        <v>0</v>
      </c>
      <c r="AB4948" s="182" t="n">
        <v>0</v>
      </c>
      <c r="AC4948" s="182" t="n">
        <v>0</v>
      </c>
      <c r="AD4948" s="182" t="n">
        <v>0</v>
      </c>
      <c r="AE4948" s="182" t="n">
        <v>0</v>
      </c>
      <c r="AF4948" s="182" t="n">
        <v>0</v>
      </c>
      <c r="AG4948" s="182" t="n">
        <v>0</v>
      </c>
      <c r="AH4948" s="182" t="n">
        <v>0</v>
      </c>
      <c r="AI4948" s="182" t="n">
        <v>0</v>
      </c>
      <c r="AJ4948" s="182" t="n">
        <v>0</v>
      </c>
      <c r="AK4948" s="182" t="n">
        <v>10.92</v>
      </c>
      <c r="AL4948" s="182" t="n">
        <v>0</v>
      </c>
      <c r="AM4948" s="182" t="n">
        <v>0.08</v>
      </c>
      <c r="AN4948" s="182" t="n">
        <v>0</v>
      </c>
    </row>
    <row r="4949">
      <c r="A4949" s="155" t="n">
        <v>46104</v>
      </c>
      <c r="B4949" s="156" t="inlineStr">
        <is>
          <t>DS</t>
        </is>
      </c>
      <c r="C4949" s="156" t="inlineStr">
        <is>
          <t>WL-021</t>
        </is>
      </c>
      <c r="D4949" s="156" t="inlineStr">
        <is>
          <t>SANY - Loader</t>
        </is>
      </c>
      <c r="E4949" s="156" t="inlineStr">
        <is>
          <t>Loader</t>
        </is>
      </c>
      <c r="F4949" s="156" t="inlineStr"/>
      <c r="G4949" s="182" t="n">
        <v>0</v>
      </c>
      <c r="H4949" s="182" t="n">
        <v>0</v>
      </c>
      <c r="I4949" s="182" t="n">
        <v>12</v>
      </c>
      <c r="J4949" s="182" t="n">
        <v>12</v>
      </c>
      <c r="K4949" s="182" t="n">
        <v>0</v>
      </c>
      <c r="L4949" s="182" t="n">
        <v>12</v>
      </c>
      <c r="M4949" s="182" t="n">
        <v>0</v>
      </c>
      <c r="N4949" s="182" t="n">
        <v>0</v>
      </c>
      <c r="O4949" s="183" t="n">
        <v>0</v>
      </c>
      <c r="P4949" s="183" t="n">
        <v>0</v>
      </c>
      <c r="Q4949" s="184" t="n">
        <v>0</v>
      </c>
      <c r="R4949" s="184" t="n">
        <v>0</v>
      </c>
      <c r="S4949" s="183" t="n">
        <v>0</v>
      </c>
      <c r="T4949" s="183" t="n">
        <v>0</v>
      </c>
      <c r="U4949" s="182" t="n">
        <v>0</v>
      </c>
      <c r="V4949" s="182" t="n">
        <v>0</v>
      </c>
      <c r="W4949" s="182" t="n">
        <v>0</v>
      </c>
      <c r="X4949" s="182" t="n">
        <v>0</v>
      </c>
      <c r="Y4949" s="182" t="n">
        <v>0</v>
      </c>
      <c r="Z4949" s="182" t="n">
        <v>0</v>
      </c>
      <c r="AA4949" s="182" t="n">
        <v>0</v>
      </c>
      <c r="AB4949" s="182" t="n">
        <v>0</v>
      </c>
      <c r="AC4949" s="182" t="n">
        <v>0</v>
      </c>
      <c r="AD4949" s="182" t="n">
        <v>0</v>
      </c>
      <c r="AE4949" s="182" t="n">
        <v>0</v>
      </c>
      <c r="AF4949" s="182" t="n">
        <v>0</v>
      </c>
      <c r="AG4949" s="182" t="n">
        <v>0</v>
      </c>
      <c r="AH4949" s="182" t="n">
        <v>0</v>
      </c>
      <c r="AI4949" s="182" t="n">
        <v>0</v>
      </c>
      <c r="AJ4949" s="182" t="n">
        <v>0</v>
      </c>
      <c r="AK4949" s="182" t="n">
        <v>0</v>
      </c>
      <c r="AL4949" s="182" t="n">
        <v>0</v>
      </c>
      <c r="AM4949" s="182" t="n">
        <v>0</v>
      </c>
      <c r="AN4949" s="182" t="n">
        <v>0</v>
      </c>
    </row>
    <row r="4950">
      <c r="A4950" s="155" t="n">
        <v>46104</v>
      </c>
      <c r="B4950" s="156" t="inlineStr">
        <is>
          <t>DS</t>
        </is>
      </c>
      <c r="C4950" s="156" t="inlineStr">
        <is>
          <t>WL-022</t>
        </is>
      </c>
      <c r="D4950" s="156" t="inlineStr">
        <is>
          <t>SANY - Loader</t>
        </is>
      </c>
      <c r="E4950" s="156" t="inlineStr">
        <is>
          <t>Loader</t>
        </is>
      </c>
      <c r="F4950" s="156" t="inlineStr">
        <is>
          <t>Support Washing Plant</t>
        </is>
      </c>
      <c r="G4950" s="182" t="n">
        <v>8.98</v>
      </c>
      <c r="H4950" s="182" t="n">
        <v>1.68</v>
      </c>
      <c r="I4950" s="182" t="n">
        <v>0</v>
      </c>
      <c r="J4950" s="182" t="n">
        <v>1.68</v>
      </c>
      <c r="K4950" s="182" t="n">
        <v>1.34</v>
      </c>
      <c r="L4950" s="182" t="n">
        <v>12</v>
      </c>
      <c r="M4950" s="182" t="n">
        <v>0</v>
      </c>
      <c r="N4950" s="182" t="n">
        <v>0</v>
      </c>
      <c r="O4950" s="183" t="n">
        <v>0</v>
      </c>
      <c r="P4950" s="183" t="n">
        <v>0</v>
      </c>
      <c r="Q4950" s="184" t="n">
        <v>0</v>
      </c>
      <c r="R4950" s="184" t="n">
        <v>0</v>
      </c>
      <c r="S4950" s="183" t="n">
        <v>0</v>
      </c>
      <c r="T4950" s="183" t="n">
        <v>0</v>
      </c>
      <c r="U4950" s="182" t="n">
        <v>0.42</v>
      </c>
      <c r="V4950" s="182" t="n">
        <v>0</v>
      </c>
      <c r="W4950" s="182" t="n">
        <v>0</v>
      </c>
      <c r="X4950" s="182" t="n">
        <v>0.74</v>
      </c>
      <c r="Y4950" s="182" t="n">
        <v>0</v>
      </c>
      <c r="Z4950" s="182" t="n">
        <v>0</v>
      </c>
      <c r="AA4950" s="182" t="n">
        <v>0</v>
      </c>
      <c r="AB4950" s="182" t="n">
        <v>0</v>
      </c>
      <c r="AC4950" s="182" t="n">
        <v>0</v>
      </c>
      <c r="AD4950" s="182" t="n">
        <v>0</v>
      </c>
      <c r="AE4950" s="182" t="n">
        <v>0</v>
      </c>
      <c r="AF4950" s="182" t="n">
        <v>0</v>
      </c>
      <c r="AG4950" s="182" t="n">
        <v>0</v>
      </c>
      <c r="AH4950" s="182" t="n">
        <v>0.12</v>
      </c>
      <c r="AI4950" s="182" t="n">
        <v>0</v>
      </c>
      <c r="AJ4950" s="182" t="n">
        <v>0</v>
      </c>
      <c r="AK4950" s="182" t="n">
        <v>0</v>
      </c>
      <c r="AL4950" s="182" t="n">
        <v>0</v>
      </c>
      <c r="AM4950" s="182" t="n">
        <v>0.06</v>
      </c>
      <c r="AN4950" s="182" t="n">
        <v>0</v>
      </c>
    </row>
    <row r="4951">
      <c r="A4951" s="155" t="n">
        <v>46104</v>
      </c>
      <c r="B4951" s="156" t="inlineStr">
        <is>
          <t>DS</t>
        </is>
      </c>
      <c r="C4951" s="156" t="inlineStr">
        <is>
          <t>WL-024</t>
        </is>
      </c>
      <c r="D4951" s="156" t="inlineStr">
        <is>
          <t>SANY - Loader</t>
        </is>
      </c>
      <c r="E4951" s="156" t="inlineStr">
        <is>
          <t>Loader</t>
        </is>
      </c>
      <c r="F4951" s="156" t="inlineStr">
        <is>
          <t>Support Washing Plant</t>
        </is>
      </c>
      <c r="G4951" s="182" t="n">
        <v>7.18</v>
      </c>
      <c r="H4951" s="182" t="n">
        <v>3.27</v>
      </c>
      <c r="I4951" s="182" t="n">
        <v>1.55</v>
      </c>
      <c r="J4951" s="182" t="n">
        <v>4.82</v>
      </c>
      <c r="K4951" s="182" t="n">
        <v>0</v>
      </c>
      <c r="L4951" s="182" t="n">
        <v>12</v>
      </c>
      <c r="M4951" s="182" t="n">
        <v>0</v>
      </c>
      <c r="N4951" s="182" t="n">
        <v>0</v>
      </c>
      <c r="O4951" s="183" t="n">
        <v>0</v>
      </c>
      <c r="P4951" s="183" t="n">
        <v>0</v>
      </c>
      <c r="Q4951" s="184" t="n">
        <v>0</v>
      </c>
      <c r="R4951" s="184" t="n">
        <v>0</v>
      </c>
      <c r="S4951" s="183" t="n">
        <v>0</v>
      </c>
      <c r="T4951" s="183" t="n">
        <v>0</v>
      </c>
      <c r="U4951" s="182" t="n">
        <v>0</v>
      </c>
      <c r="V4951" s="182" t="n">
        <v>0</v>
      </c>
      <c r="W4951" s="182" t="n">
        <v>0</v>
      </c>
      <c r="X4951" s="182" t="n">
        <v>0</v>
      </c>
      <c r="Y4951" s="182" t="n">
        <v>0</v>
      </c>
      <c r="Z4951" s="182" t="n">
        <v>0</v>
      </c>
      <c r="AA4951" s="182" t="n">
        <v>0</v>
      </c>
      <c r="AB4951" s="182" t="n">
        <v>0</v>
      </c>
      <c r="AC4951" s="182" t="n">
        <v>0</v>
      </c>
      <c r="AD4951" s="182" t="n">
        <v>0</v>
      </c>
      <c r="AE4951" s="182" t="n">
        <v>0</v>
      </c>
      <c r="AF4951" s="182" t="n">
        <v>0</v>
      </c>
      <c r="AG4951" s="182" t="n">
        <v>0</v>
      </c>
      <c r="AH4951" s="182" t="n">
        <v>0</v>
      </c>
      <c r="AI4951" s="182" t="n">
        <v>0</v>
      </c>
      <c r="AJ4951" s="182" t="n">
        <v>0</v>
      </c>
      <c r="AK4951" s="182" t="n">
        <v>0</v>
      </c>
      <c r="AL4951" s="182" t="n">
        <v>0</v>
      </c>
      <c r="AM4951" s="182" t="n">
        <v>0</v>
      </c>
      <c r="AN4951" s="182" t="n">
        <v>0</v>
      </c>
    </row>
    <row r="4952">
      <c r="A4952" s="155" t="n">
        <v>46104</v>
      </c>
      <c r="B4952" s="156" t="inlineStr">
        <is>
          <t>NS</t>
        </is>
      </c>
      <c r="C4952" s="156" t="inlineStr">
        <is>
          <t>DZ-034</t>
        </is>
      </c>
      <c r="D4952" s="156" t="inlineStr">
        <is>
          <t>D 68ESS-12EO</t>
        </is>
      </c>
      <c r="E4952" s="156" t="inlineStr">
        <is>
          <t>Bulldozer</t>
        </is>
      </c>
      <c r="F4952" s="156" t="inlineStr">
        <is>
          <t>Trimming Coal di Stock ROM</t>
        </is>
      </c>
      <c r="G4952" s="182" t="n">
        <v>4.32</v>
      </c>
      <c r="H4952" s="182" t="n">
        <v>0</v>
      </c>
      <c r="I4952" s="182" t="n">
        <v>0</v>
      </c>
      <c r="J4952" s="182" t="n">
        <v>0</v>
      </c>
      <c r="K4952" s="182" t="n">
        <v>7.68</v>
      </c>
      <c r="L4952" s="182" t="n">
        <v>12</v>
      </c>
      <c r="M4952" s="182" t="n">
        <v>0</v>
      </c>
      <c r="N4952" s="182" t="n">
        <v>0</v>
      </c>
      <c r="O4952" s="183" t="n">
        <v>0</v>
      </c>
      <c r="P4952" s="183" t="n">
        <v>0</v>
      </c>
      <c r="Q4952" s="184" t="n">
        <v>0</v>
      </c>
      <c r="R4952" s="184" t="n">
        <v>0</v>
      </c>
      <c r="S4952" s="183" t="n">
        <v>0</v>
      </c>
      <c r="T4952" s="183" t="n">
        <v>0</v>
      </c>
      <c r="U4952" s="182" t="n">
        <v>6.57</v>
      </c>
      <c r="V4952" s="182" t="n">
        <v>0</v>
      </c>
      <c r="W4952" s="182" t="n">
        <v>0</v>
      </c>
      <c r="X4952" s="182" t="n">
        <v>1.02</v>
      </c>
      <c r="Y4952" s="182" t="n">
        <v>0</v>
      </c>
      <c r="Z4952" s="182" t="n">
        <v>0</v>
      </c>
      <c r="AA4952" s="182" t="n">
        <v>0</v>
      </c>
      <c r="AB4952" s="182" t="n">
        <v>0</v>
      </c>
      <c r="AC4952" s="182" t="n">
        <v>0</v>
      </c>
      <c r="AD4952" s="182" t="n">
        <v>0</v>
      </c>
      <c r="AE4952" s="182" t="n">
        <v>0</v>
      </c>
      <c r="AF4952" s="182" t="n">
        <v>0</v>
      </c>
      <c r="AG4952" s="182" t="n">
        <v>0</v>
      </c>
      <c r="AH4952" s="182" t="n">
        <v>0</v>
      </c>
      <c r="AI4952" s="182" t="n">
        <v>0</v>
      </c>
      <c r="AJ4952" s="182" t="n">
        <v>0</v>
      </c>
      <c r="AK4952" s="182" t="n">
        <v>0</v>
      </c>
      <c r="AL4952" s="182" t="n">
        <v>0</v>
      </c>
      <c r="AM4952" s="182" t="n">
        <v>0.08</v>
      </c>
      <c r="AN4952" s="182" t="n">
        <v>0</v>
      </c>
    </row>
    <row r="4953">
      <c r="A4953" s="155" t="n">
        <v>46104</v>
      </c>
      <c r="B4953" s="156" t="inlineStr">
        <is>
          <t>NS</t>
        </is>
      </c>
      <c r="C4953" s="156" t="inlineStr">
        <is>
          <t>DZ-033</t>
        </is>
      </c>
      <c r="D4953" s="156" t="inlineStr">
        <is>
          <t>D 375A-6R</t>
        </is>
      </c>
      <c r="E4953" s="156" t="inlineStr">
        <is>
          <t>Bulldozer</t>
        </is>
      </c>
      <c r="F4953" s="156" t="inlineStr">
        <is>
          <t>Support Disposal</t>
        </is>
      </c>
      <c r="G4953" s="182" t="n">
        <v>5.28</v>
      </c>
      <c r="H4953" s="182" t="n">
        <v>0</v>
      </c>
      <c r="I4953" s="182" t="n">
        <v>0</v>
      </c>
      <c r="J4953" s="182" t="n">
        <v>0</v>
      </c>
      <c r="K4953" s="182" t="n">
        <v>6.72</v>
      </c>
      <c r="L4953" s="182" t="n">
        <v>12</v>
      </c>
      <c r="M4953" s="182" t="n">
        <v>0</v>
      </c>
      <c r="N4953" s="182" t="n">
        <v>0</v>
      </c>
      <c r="O4953" s="183" t="n">
        <v>0</v>
      </c>
      <c r="P4953" s="183" t="n">
        <v>0</v>
      </c>
      <c r="Q4953" s="184" t="n">
        <v>0</v>
      </c>
      <c r="R4953" s="184" t="n">
        <v>0</v>
      </c>
      <c r="S4953" s="183" t="n">
        <v>0</v>
      </c>
      <c r="T4953" s="183" t="n">
        <v>0</v>
      </c>
      <c r="U4953" s="182" t="n">
        <v>5.68</v>
      </c>
      <c r="V4953" s="182" t="n">
        <v>0</v>
      </c>
      <c r="W4953" s="182" t="n">
        <v>0</v>
      </c>
      <c r="X4953" s="182" t="n">
        <v>0.96</v>
      </c>
      <c r="Y4953" s="182" t="n">
        <v>0</v>
      </c>
      <c r="Z4953" s="182" t="n">
        <v>0</v>
      </c>
      <c r="AA4953" s="182" t="n">
        <v>0</v>
      </c>
      <c r="AB4953" s="182" t="n">
        <v>0</v>
      </c>
      <c r="AC4953" s="182" t="n">
        <v>0</v>
      </c>
      <c r="AD4953" s="182" t="n">
        <v>0</v>
      </c>
      <c r="AE4953" s="182" t="n">
        <v>0</v>
      </c>
      <c r="AF4953" s="182" t="n">
        <v>0</v>
      </c>
      <c r="AG4953" s="182" t="n">
        <v>0</v>
      </c>
      <c r="AH4953" s="182" t="n">
        <v>0</v>
      </c>
      <c r="AI4953" s="182" t="n">
        <v>0</v>
      </c>
      <c r="AJ4953" s="182" t="n">
        <v>0</v>
      </c>
      <c r="AK4953" s="182" t="n">
        <v>0</v>
      </c>
      <c r="AL4953" s="182" t="n">
        <v>0</v>
      </c>
      <c r="AM4953" s="182" t="n">
        <v>0.08</v>
      </c>
      <c r="AN4953" s="182" t="n">
        <v>0</v>
      </c>
    </row>
    <row r="4954">
      <c r="A4954" s="155" t="n">
        <v>46104</v>
      </c>
      <c r="B4954" s="156" t="inlineStr">
        <is>
          <t>NS</t>
        </is>
      </c>
      <c r="C4954" s="156" t="inlineStr">
        <is>
          <t>DZ-038</t>
        </is>
      </c>
      <c r="D4954" s="156" t="inlineStr">
        <is>
          <t>D 85 ESS-2</t>
        </is>
      </c>
      <c r="E4954" s="156" t="inlineStr">
        <is>
          <t>Bulldozer</t>
        </is>
      </c>
      <c r="F4954" s="156" t="inlineStr">
        <is>
          <t>Support Front Loading</t>
        </is>
      </c>
      <c r="G4954" s="182" t="n">
        <v>6.35</v>
      </c>
      <c r="H4954" s="182" t="n">
        <v>0</v>
      </c>
      <c r="I4954" s="182" t="n">
        <v>5.52</v>
      </c>
      <c r="J4954" s="182" t="n">
        <v>5.52</v>
      </c>
      <c r="K4954" s="182" t="n">
        <v>0.13</v>
      </c>
      <c r="L4954" s="182" t="n">
        <v>12</v>
      </c>
      <c r="M4954" s="182" t="n">
        <v>0</v>
      </c>
      <c r="N4954" s="182" t="n">
        <v>0</v>
      </c>
      <c r="O4954" s="183" t="n">
        <v>0</v>
      </c>
      <c r="P4954" s="183" t="n">
        <v>0</v>
      </c>
      <c r="Q4954" s="184" t="n">
        <v>0</v>
      </c>
      <c r="R4954" s="184" t="n">
        <v>0</v>
      </c>
      <c r="S4954" s="183" t="n">
        <v>0</v>
      </c>
      <c r="T4954" s="183" t="n">
        <v>0</v>
      </c>
      <c r="U4954" s="182" t="n">
        <v>0</v>
      </c>
      <c r="V4954" s="182" t="n">
        <v>0</v>
      </c>
      <c r="W4954" s="182" t="n">
        <v>0</v>
      </c>
      <c r="X4954" s="182" t="n">
        <v>0</v>
      </c>
      <c r="Y4954" s="182" t="n">
        <v>0</v>
      </c>
      <c r="Z4954" s="182" t="n">
        <v>0</v>
      </c>
      <c r="AA4954" s="182" t="n">
        <v>0</v>
      </c>
      <c r="AB4954" s="182" t="n">
        <v>0</v>
      </c>
      <c r="AC4954" s="182" t="n">
        <v>0</v>
      </c>
      <c r="AD4954" s="182" t="n">
        <v>0</v>
      </c>
      <c r="AE4954" s="182" t="n">
        <v>0</v>
      </c>
      <c r="AF4954" s="182" t="n">
        <v>0</v>
      </c>
      <c r="AG4954" s="182" t="n">
        <v>0</v>
      </c>
      <c r="AH4954" s="182" t="n">
        <v>0</v>
      </c>
      <c r="AI4954" s="182" t="n">
        <v>0</v>
      </c>
      <c r="AJ4954" s="182" t="n">
        <v>0</v>
      </c>
      <c r="AK4954" s="182" t="n">
        <v>0</v>
      </c>
      <c r="AL4954" s="182" t="n">
        <v>0</v>
      </c>
      <c r="AM4954" s="182" t="n">
        <v>0.13</v>
      </c>
      <c r="AN4954" s="182" t="n">
        <v>0</v>
      </c>
    </row>
    <row r="4955">
      <c r="A4955" s="155" t="n">
        <v>46104</v>
      </c>
      <c r="B4955" s="156" t="inlineStr">
        <is>
          <t>NS</t>
        </is>
      </c>
      <c r="C4955" s="156" t="inlineStr">
        <is>
          <t>DZ-039</t>
        </is>
      </c>
      <c r="D4955" s="156" t="inlineStr">
        <is>
          <t>D 85 ESS-2</t>
        </is>
      </c>
      <c r="E4955" s="156" t="inlineStr">
        <is>
          <t>Bulldozer</t>
        </is>
      </c>
      <c r="F4955" s="156" t="inlineStr">
        <is>
          <t>Support Front Loading</t>
        </is>
      </c>
      <c r="G4955" s="182" t="n">
        <v>5.21</v>
      </c>
      <c r="H4955" s="182" t="n">
        <v>0</v>
      </c>
      <c r="I4955" s="182" t="n">
        <v>0</v>
      </c>
      <c r="J4955" s="182" t="n">
        <v>0</v>
      </c>
      <c r="K4955" s="182" t="n">
        <v>6.79</v>
      </c>
      <c r="L4955" s="182" t="n">
        <v>12</v>
      </c>
      <c r="M4955" s="182" t="n">
        <v>0</v>
      </c>
      <c r="N4955" s="182" t="n">
        <v>0</v>
      </c>
      <c r="O4955" s="183" t="n">
        <v>0</v>
      </c>
      <c r="P4955" s="183" t="n">
        <v>0</v>
      </c>
      <c r="Q4955" s="184" t="n">
        <v>0</v>
      </c>
      <c r="R4955" s="184" t="n">
        <v>0</v>
      </c>
      <c r="S4955" s="183" t="n">
        <v>0</v>
      </c>
      <c r="T4955" s="183" t="n">
        <v>0</v>
      </c>
      <c r="U4955" s="182" t="n">
        <v>5.73</v>
      </c>
      <c r="V4955" s="182" t="n">
        <v>0</v>
      </c>
      <c r="W4955" s="182" t="n">
        <v>0</v>
      </c>
      <c r="X4955" s="182" t="n">
        <v>0.98</v>
      </c>
      <c r="Y4955" s="182" t="n">
        <v>0</v>
      </c>
      <c r="Z4955" s="182" t="n">
        <v>0</v>
      </c>
      <c r="AA4955" s="182" t="n">
        <v>0</v>
      </c>
      <c r="AB4955" s="182" t="n">
        <v>0</v>
      </c>
      <c r="AC4955" s="182" t="n">
        <v>0</v>
      </c>
      <c r="AD4955" s="182" t="n">
        <v>0</v>
      </c>
      <c r="AE4955" s="182" t="n">
        <v>0</v>
      </c>
      <c r="AF4955" s="182" t="n">
        <v>0</v>
      </c>
      <c r="AG4955" s="182" t="n">
        <v>0</v>
      </c>
      <c r="AH4955" s="182" t="n">
        <v>0</v>
      </c>
      <c r="AI4955" s="182" t="n">
        <v>0</v>
      </c>
      <c r="AJ4955" s="182" t="n">
        <v>0</v>
      </c>
      <c r="AK4955" s="182" t="n">
        <v>0</v>
      </c>
      <c r="AL4955" s="182" t="n">
        <v>0</v>
      </c>
      <c r="AM4955" s="182" t="n">
        <v>0.08</v>
      </c>
      <c r="AN4955" s="182" t="n">
        <v>0</v>
      </c>
    </row>
    <row r="4956">
      <c r="A4956" s="155" t="n">
        <v>46104</v>
      </c>
      <c r="B4956" s="156" t="inlineStr">
        <is>
          <t>NS</t>
        </is>
      </c>
      <c r="C4956" s="156" t="inlineStr">
        <is>
          <t>DZ-032</t>
        </is>
      </c>
      <c r="D4956" s="156" t="inlineStr">
        <is>
          <t>CAT</t>
        </is>
      </c>
      <c r="E4956" s="156" t="inlineStr">
        <is>
          <t>Bulldozer</t>
        </is>
      </c>
      <c r="F4956" s="156" t="inlineStr">
        <is>
          <t>Support Disposal</t>
        </is>
      </c>
      <c r="G4956" s="182" t="n">
        <v>6.31</v>
      </c>
      <c r="H4956" s="182" t="n">
        <v>0</v>
      </c>
      <c r="I4956" s="182" t="n">
        <v>0</v>
      </c>
      <c r="J4956" s="182" t="n">
        <v>0</v>
      </c>
      <c r="K4956" s="182" t="n">
        <v>5.69</v>
      </c>
      <c r="L4956" s="182" t="n">
        <v>12</v>
      </c>
      <c r="M4956" s="182" t="n">
        <v>0</v>
      </c>
      <c r="N4956" s="182" t="n">
        <v>0</v>
      </c>
      <c r="O4956" s="183" t="n">
        <v>0</v>
      </c>
      <c r="P4956" s="183" t="n">
        <v>0</v>
      </c>
      <c r="Q4956" s="184" t="n">
        <v>0</v>
      </c>
      <c r="R4956" s="184" t="n">
        <v>0</v>
      </c>
      <c r="S4956" s="183" t="n">
        <v>0</v>
      </c>
      <c r="T4956" s="183" t="n">
        <v>0</v>
      </c>
      <c r="U4956" s="182" t="n">
        <v>4.59</v>
      </c>
      <c r="V4956" s="182" t="n">
        <v>0</v>
      </c>
      <c r="W4956" s="182" t="n">
        <v>0</v>
      </c>
      <c r="X4956" s="182" t="n">
        <v>1.02</v>
      </c>
      <c r="Y4956" s="182" t="n">
        <v>0</v>
      </c>
      <c r="Z4956" s="182" t="n">
        <v>0</v>
      </c>
      <c r="AA4956" s="182" t="n">
        <v>0</v>
      </c>
      <c r="AB4956" s="182" t="n">
        <v>0</v>
      </c>
      <c r="AC4956" s="182" t="n">
        <v>0</v>
      </c>
      <c r="AD4956" s="182" t="n">
        <v>0</v>
      </c>
      <c r="AE4956" s="182" t="n">
        <v>0</v>
      </c>
      <c r="AF4956" s="182" t="n">
        <v>0</v>
      </c>
      <c r="AG4956" s="182" t="n">
        <v>0</v>
      </c>
      <c r="AH4956" s="182" t="n">
        <v>0</v>
      </c>
      <c r="AI4956" s="182" t="n">
        <v>0</v>
      </c>
      <c r="AJ4956" s="182" t="n">
        <v>0</v>
      </c>
      <c r="AK4956" s="182" t="n">
        <v>0</v>
      </c>
      <c r="AL4956" s="182" t="n">
        <v>0</v>
      </c>
      <c r="AM4956" s="182" t="n">
        <v>0.08</v>
      </c>
      <c r="AN4956" s="182" t="n">
        <v>0</v>
      </c>
    </row>
    <row r="4957">
      <c r="A4957" s="155" t="n">
        <v>46104</v>
      </c>
      <c r="B4957" s="156" t="inlineStr">
        <is>
          <t>NS</t>
        </is>
      </c>
      <c r="C4957" s="156" t="inlineStr">
        <is>
          <t>DZ-031</t>
        </is>
      </c>
      <c r="D4957" s="156" t="inlineStr">
        <is>
          <t>CAT</t>
        </is>
      </c>
      <c r="E4957" s="156" t="inlineStr">
        <is>
          <t>Bulldozer</t>
        </is>
      </c>
      <c r="F4957" s="156" t="inlineStr">
        <is>
          <t>Support Front Loading</t>
        </is>
      </c>
      <c r="G4957" s="182" t="n">
        <v>5.04</v>
      </c>
      <c r="H4957" s="182" t="n">
        <v>0</v>
      </c>
      <c r="I4957" s="182" t="n">
        <v>0</v>
      </c>
      <c r="J4957" s="182" t="n">
        <v>0</v>
      </c>
      <c r="K4957" s="182" t="n">
        <v>6.96</v>
      </c>
      <c r="L4957" s="182" t="n">
        <v>12</v>
      </c>
      <c r="M4957" s="182" t="n">
        <v>0</v>
      </c>
      <c r="N4957" s="182" t="n">
        <v>0</v>
      </c>
      <c r="O4957" s="183" t="n">
        <v>0</v>
      </c>
      <c r="P4957" s="183" t="n">
        <v>0</v>
      </c>
      <c r="Q4957" s="184" t="n">
        <v>0</v>
      </c>
      <c r="R4957" s="184" t="n">
        <v>0</v>
      </c>
      <c r="S4957" s="183" t="n">
        <v>0</v>
      </c>
      <c r="T4957" s="183" t="n">
        <v>0</v>
      </c>
      <c r="U4957" s="182" t="n">
        <v>5.9</v>
      </c>
      <c r="V4957" s="182" t="n">
        <v>0</v>
      </c>
      <c r="W4957" s="182" t="n">
        <v>0</v>
      </c>
      <c r="X4957" s="182" t="n">
        <v>0.98</v>
      </c>
      <c r="Y4957" s="182" t="n">
        <v>0</v>
      </c>
      <c r="Z4957" s="182" t="n">
        <v>0</v>
      </c>
      <c r="AA4957" s="182" t="n">
        <v>0</v>
      </c>
      <c r="AB4957" s="182" t="n">
        <v>0</v>
      </c>
      <c r="AC4957" s="182" t="n">
        <v>0</v>
      </c>
      <c r="AD4957" s="182" t="n">
        <v>0</v>
      </c>
      <c r="AE4957" s="182" t="n">
        <v>0</v>
      </c>
      <c r="AF4957" s="182" t="n">
        <v>0</v>
      </c>
      <c r="AG4957" s="182" t="n">
        <v>0</v>
      </c>
      <c r="AH4957" s="182" t="n">
        <v>0</v>
      </c>
      <c r="AI4957" s="182" t="n">
        <v>0</v>
      </c>
      <c r="AJ4957" s="182" t="n">
        <v>0</v>
      </c>
      <c r="AK4957" s="182" t="n">
        <v>0</v>
      </c>
      <c r="AL4957" s="182" t="n">
        <v>0</v>
      </c>
      <c r="AM4957" s="182" t="n">
        <v>0.08</v>
      </c>
      <c r="AN4957" s="182" t="n">
        <v>0</v>
      </c>
    </row>
    <row r="4958">
      <c r="A4958" s="155" t="n">
        <v>46104</v>
      </c>
      <c r="B4958" s="156" t="inlineStr">
        <is>
          <t>NS</t>
        </is>
      </c>
      <c r="C4958" s="156" t="inlineStr">
        <is>
          <t>DZ-037</t>
        </is>
      </c>
      <c r="D4958" s="156" t="inlineStr">
        <is>
          <t>D 85 ESS-2</t>
        </is>
      </c>
      <c r="E4958" s="156" t="inlineStr">
        <is>
          <t>Bulldozer</t>
        </is>
      </c>
      <c r="F4958" s="156" t="inlineStr"/>
      <c r="G4958" s="182" t="n">
        <v>0</v>
      </c>
      <c r="H4958" s="182" t="n">
        <v>0</v>
      </c>
      <c r="I4958" s="182" t="n">
        <v>12</v>
      </c>
      <c r="J4958" s="182" t="n">
        <v>12</v>
      </c>
      <c r="K4958" s="182" t="n">
        <v>0</v>
      </c>
      <c r="L4958" s="182" t="n">
        <v>12</v>
      </c>
      <c r="M4958" s="182" t="n">
        <v>0</v>
      </c>
      <c r="N4958" s="182" t="n">
        <v>0</v>
      </c>
      <c r="O4958" s="183" t="n">
        <v>0</v>
      </c>
      <c r="P4958" s="183" t="n">
        <v>0</v>
      </c>
      <c r="Q4958" s="184" t="n">
        <v>0</v>
      </c>
      <c r="R4958" s="184" t="n">
        <v>0</v>
      </c>
      <c r="S4958" s="183" t="n">
        <v>0</v>
      </c>
      <c r="T4958" s="183" t="n">
        <v>0</v>
      </c>
      <c r="U4958" s="182" t="n">
        <v>0</v>
      </c>
      <c r="V4958" s="182" t="n">
        <v>0</v>
      </c>
      <c r="W4958" s="182" t="n">
        <v>0</v>
      </c>
      <c r="X4958" s="182" t="n">
        <v>0</v>
      </c>
      <c r="Y4958" s="182" t="n">
        <v>0</v>
      </c>
      <c r="Z4958" s="182" t="n">
        <v>0</v>
      </c>
      <c r="AA4958" s="182" t="n">
        <v>0</v>
      </c>
      <c r="AB4958" s="182" t="n">
        <v>0</v>
      </c>
      <c r="AC4958" s="182" t="n">
        <v>0</v>
      </c>
      <c r="AD4958" s="182" t="n">
        <v>0</v>
      </c>
      <c r="AE4958" s="182" t="n">
        <v>0</v>
      </c>
      <c r="AF4958" s="182" t="n">
        <v>0</v>
      </c>
      <c r="AG4958" s="182" t="n">
        <v>0</v>
      </c>
      <c r="AH4958" s="182" t="n">
        <v>0</v>
      </c>
      <c r="AI4958" s="182" t="n">
        <v>0</v>
      </c>
      <c r="AJ4958" s="182" t="n">
        <v>0</v>
      </c>
      <c r="AK4958" s="182" t="n">
        <v>0</v>
      </c>
      <c r="AL4958" s="182" t="n">
        <v>0</v>
      </c>
      <c r="AM4958" s="182" t="n">
        <v>0</v>
      </c>
      <c r="AN4958" s="182" t="n">
        <v>0</v>
      </c>
    </row>
    <row r="4959">
      <c r="A4959" s="155" t="n">
        <v>46104</v>
      </c>
      <c r="B4959" s="156" t="inlineStr">
        <is>
          <t>NS</t>
        </is>
      </c>
      <c r="C4959" s="156" t="inlineStr">
        <is>
          <t>DZ-036</t>
        </is>
      </c>
      <c r="D4959" s="156" t="inlineStr">
        <is>
          <t>D 85 ESS-2</t>
        </is>
      </c>
      <c r="E4959" s="156" t="inlineStr">
        <is>
          <t>Bulldozer</t>
        </is>
      </c>
      <c r="F4959" s="156" t="inlineStr"/>
      <c r="G4959" s="182" t="n">
        <v>0</v>
      </c>
      <c r="H4959" s="182" t="n">
        <v>0</v>
      </c>
      <c r="I4959" s="182" t="n">
        <v>0</v>
      </c>
      <c r="J4959" s="182" t="n">
        <v>0</v>
      </c>
      <c r="K4959" s="182" t="n">
        <v>12</v>
      </c>
      <c r="L4959" s="182" t="n">
        <v>12</v>
      </c>
      <c r="M4959" s="182" t="n">
        <v>0</v>
      </c>
      <c r="N4959" s="182" t="n">
        <v>0</v>
      </c>
      <c r="O4959" s="183" t="n">
        <v>0</v>
      </c>
      <c r="P4959" s="183" t="n">
        <v>0</v>
      </c>
      <c r="Q4959" s="184" t="n">
        <v>0</v>
      </c>
      <c r="R4959" s="184" t="n">
        <v>0</v>
      </c>
      <c r="S4959" s="183" t="n">
        <v>0</v>
      </c>
      <c r="T4959" s="183" t="n">
        <v>0</v>
      </c>
      <c r="U4959" s="182" t="n">
        <v>0</v>
      </c>
      <c r="V4959" s="182" t="n">
        <v>0</v>
      </c>
      <c r="W4959" s="182" t="n">
        <v>0</v>
      </c>
      <c r="X4959" s="182" t="n">
        <v>1</v>
      </c>
      <c r="Y4959" s="182" t="n">
        <v>0</v>
      </c>
      <c r="Z4959" s="182" t="n">
        <v>0</v>
      </c>
      <c r="AA4959" s="182" t="n">
        <v>0</v>
      </c>
      <c r="AB4959" s="182" t="n">
        <v>0</v>
      </c>
      <c r="AC4959" s="182" t="n">
        <v>0</v>
      </c>
      <c r="AD4959" s="182" t="n">
        <v>0</v>
      </c>
      <c r="AE4959" s="182" t="n">
        <v>0</v>
      </c>
      <c r="AF4959" s="182" t="n">
        <v>0</v>
      </c>
      <c r="AG4959" s="182" t="n">
        <v>0</v>
      </c>
      <c r="AH4959" s="182" t="n">
        <v>0</v>
      </c>
      <c r="AI4959" s="182" t="n">
        <v>0</v>
      </c>
      <c r="AJ4959" s="182" t="n">
        <v>0</v>
      </c>
      <c r="AK4959" s="182" t="n">
        <v>10.92</v>
      </c>
      <c r="AL4959" s="182" t="n">
        <v>0</v>
      </c>
      <c r="AM4959" s="182" t="n">
        <v>0.08</v>
      </c>
      <c r="AN4959" s="182" t="n">
        <v>0</v>
      </c>
    </row>
    <row r="4960">
      <c r="A4960" s="155" t="n">
        <v>46104</v>
      </c>
      <c r="B4960" s="156" t="inlineStr">
        <is>
          <t>NS</t>
        </is>
      </c>
      <c r="C4960" s="156" t="inlineStr">
        <is>
          <t>DZ-035</t>
        </is>
      </c>
      <c r="D4960" s="156" t="inlineStr">
        <is>
          <t>D 85 ESS-2</t>
        </is>
      </c>
      <c r="E4960" s="156" t="inlineStr">
        <is>
          <t>Bulldozer</t>
        </is>
      </c>
      <c r="F4960" s="156" t="inlineStr">
        <is>
          <t>Support Front Loading</t>
        </is>
      </c>
      <c r="G4960" s="182" t="n">
        <v>3.87</v>
      </c>
      <c r="H4960" s="182" t="n">
        <v>0</v>
      </c>
      <c r="I4960" s="182" t="n">
        <v>0.5</v>
      </c>
      <c r="J4960" s="182" t="n">
        <v>0.5</v>
      </c>
      <c r="K4960" s="182" t="n">
        <v>7.63</v>
      </c>
      <c r="L4960" s="182" t="n">
        <v>12</v>
      </c>
      <c r="M4960" s="182" t="n">
        <v>0</v>
      </c>
      <c r="N4960" s="182" t="n">
        <v>0</v>
      </c>
      <c r="O4960" s="183" t="n">
        <v>0</v>
      </c>
      <c r="P4960" s="183" t="n">
        <v>0</v>
      </c>
      <c r="Q4960" s="184" t="n">
        <v>0</v>
      </c>
      <c r="R4960" s="184" t="n">
        <v>0</v>
      </c>
      <c r="S4960" s="183" t="n">
        <v>0</v>
      </c>
      <c r="T4960" s="183" t="n">
        <v>0</v>
      </c>
      <c r="U4960" s="182" t="n">
        <v>6.56</v>
      </c>
      <c r="V4960" s="182" t="n">
        <v>0</v>
      </c>
      <c r="W4960" s="182" t="n">
        <v>0</v>
      </c>
      <c r="X4960" s="182" t="n">
        <v>0.99</v>
      </c>
      <c r="Y4960" s="182" t="n">
        <v>0</v>
      </c>
      <c r="Z4960" s="182" t="n">
        <v>0</v>
      </c>
      <c r="AA4960" s="182" t="n">
        <v>0</v>
      </c>
      <c r="AB4960" s="182" t="n">
        <v>0</v>
      </c>
      <c r="AC4960" s="182" t="n">
        <v>0</v>
      </c>
      <c r="AD4960" s="182" t="n">
        <v>0</v>
      </c>
      <c r="AE4960" s="182" t="n">
        <v>0</v>
      </c>
      <c r="AF4960" s="182" t="n">
        <v>0</v>
      </c>
      <c r="AG4960" s="182" t="n">
        <v>0</v>
      </c>
      <c r="AH4960" s="182" t="n">
        <v>0</v>
      </c>
      <c r="AI4960" s="182" t="n">
        <v>0</v>
      </c>
      <c r="AJ4960" s="182" t="n">
        <v>0</v>
      </c>
      <c r="AK4960" s="182" t="n">
        <v>0</v>
      </c>
      <c r="AL4960" s="182" t="n">
        <v>0</v>
      </c>
      <c r="AM4960" s="182" t="n">
        <v>0.08</v>
      </c>
      <c r="AN4960" s="182" t="n">
        <v>0</v>
      </c>
    </row>
    <row r="4961">
      <c r="A4961" s="155" t="n">
        <v>46104</v>
      </c>
      <c r="B4961" s="156" t="inlineStr">
        <is>
          <t>NS</t>
        </is>
      </c>
      <c r="C4961" s="156" t="inlineStr">
        <is>
          <t>CP-042</t>
        </is>
      </c>
      <c r="D4961" s="156" t="inlineStr">
        <is>
          <t>SANY - Compactor</t>
        </is>
      </c>
      <c r="E4961" s="156" t="inlineStr">
        <is>
          <t>Compactor</t>
        </is>
      </c>
      <c r="F4961" s="156" t="inlineStr"/>
      <c r="G4961" s="182" t="n">
        <v>0</v>
      </c>
      <c r="H4961" s="182" t="n">
        <v>0</v>
      </c>
      <c r="I4961" s="182" t="n">
        <v>0</v>
      </c>
      <c r="J4961" s="182" t="n">
        <v>0</v>
      </c>
      <c r="K4961" s="182" t="n">
        <v>12</v>
      </c>
      <c r="L4961" s="182" t="n">
        <v>12</v>
      </c>
      <c r="M4961" s="182" t="n">
        <v>0</v>
      </c>
      <c r="N4961" s="182" t="n">
        <v>0</v>
      </c>
      <c r="O4961" s="183" t="n">
        <v>0</v>
      </c>
      <c r="P4961" s="183" t="n">
        <v>0</v>
      </c>
      <c r="Q4961" s="184" t="n">
        <v>0</v>
      </c>
      <c r="R4961" s="184" t="n">
        <v>0</v>
      </c>
      <c r="S4961" s="183" t="n">
        <v>0</v>
      </c>
      <c r="T4961" s="183" t="n">
        <v>0</v>
      </c>
      <c r="U4961" s="182" t="n">
        <v>0</v>
      </c>
      <c r="V4961" s="182" t="n">
        <v>0</v>
      </c>
      <c r="W4961" s="182" t="n">
        <v>0</v>
      </c>
      <c r="X4961" s="182" t="n">
        <v>1</v>
      </c>
      <c r="Y4961" s="182" t="n">
        <v>0</v>
      </c>
      <c r="Z4961" s="182" t="n">
        <v>0</v>
      </c>
      <c r="AA4961" s="182" t="n">
        <v>0</v>
      </c>
      <c r="AB4961" s="182" t="n">
        <v>0</v>
      </c>
      <c r="AC4961" s="182" t="n">
        <v>0</v>
      </c>
      <c r="AD4961" s="182" t="n">
        <v>0</v>
      </c>
      <c r="AE4961" s="182" t="n">
        <v>0</v>
      </c>
      <c r="AF4961" s="182" t="n">
        <v>0</v>
      </c>
      <c r="AG4961" s="182" t="n">
        <v>0</v>
      </c>
      <c r="AH4961" s="182" t="n">
        <v>0</v>
      </c>
      <c r="AI4961" s="182" t="n">
        <v>0</v>
      </c>
      <c r="AJ4961" s="182" t="n">
        <v>0</v>
      </c>
      <c r="AK4961" s="182" t="n">
        <v>10.92</v>
      </c>
      <c r="AL4961" s="182" t="n">
        <v>0</v>
      </c>
      <c r="AM4961" s="182" t="n">
        <v>0.08</v>
      </c>
      <c r="AN4961" s="182" t="n">
        <v>0</v>
      </c>
    </row>
    <row r="4962">
      <c r="A4962" s="155" t="n">
        <v>46104</v>
      </c>
      <c r="B4962" s="156" t="inlineStr">
        <is>
          <t>NS</t>
        </is>
      </c>
      <c r="C4962" s="156" t="inlineStr">
        <is>
          <t>CP-041</t>
        </is>
      </c>
      <c r="D4962" s="156" t="inlineStr">
        <is>
          <t>SANY - Compactor</t>
        </is>
      </c>
      <c r="E4962" s="156" t="inlineStr">
        <is>
          <t>Compactor</t>
        </is>
      </c>
      <c r="F4962" s="156" t="inlineStr"/>
      <c r="G4962" s="182" t="n">
        <v>0</v>
      </c>
      <c r="H4962" s="182" t="n">
        <v>0</v>
      </c>
      <c r="I4962" s="182" t="n">
        <v>0</v>
      </c>
      <c r="J4962" s="182" t="n">
        <v>0</v>
      </c>
      <c r="K4962" s="182" t="n">
        <v>12</v>
      </c>
      <c r="L4962" s="182" t="n">
        <v>12</v>
      </c>
      <c r="M4962" s="182" t="n">
        <v>0</v>
      </c>
      <c r="N4962" s="182" t="n">
        <v>0</v>
      </c>
      <c r="O4962" s="183" t="n">
        <v>0</v>
      </c>
      <c r="P4962" s="183" t="n">
        <v>0</v>
      </c>
      <c r="Q4962" s="184" t="n">
        <v>0</v>
      </c>
      <c r="R4962" s="184" t="n">
        <v>0</v>
      </c>
      <c r="S4962" s="183" t="n">
        <v>0</v>
      </c>
      <c r="T4962" s="183" t="n">
        <v>0</v>
      </c>
      <c r="U4962" s="182" t="n">
        <v>0</v>
      </c>
      <c r="V4962" s="182" t="n">
        <v>0</v>
      </c>
      <c r="W4962" s="182" t="n">
        <v>0</v>
      </c>
      <c r="X4962" s="182" t="n">
        <v>1</v>
      </c>
      <c r="Y4962" s="182" t="n">
        <v>0</v>
      </c>
      <c r="Z4962" s="182" t="n">
        <v>0</v>
      </c>
      <c r="AA4962" s="182" t="n">
        <v>0</v>
      </c>
      <c r="AB4962" s="182" t="n">
        <v>0</v>
      </c>
      <c r="AC4962" s="182" t="n">
        <v>0</v>
      </c>
      <c r="AD4962" s="182" t="n">
        <v>0</v>
      </c>
      <c r="AE4962" s="182" t="n">
        <v>0</v>
      </c>
      <c r="AF4962" s="182" t="n">
        <v>0</v>
      </c>
      <c r="AG4962" s="182" t="n">
        <v>0</v>
      </c>
      <c r="AH4962" s="182" t="n">
        <v>0</v>
      </c>
      <c r="AI4962" s="182" t="n">
        <v>0</v>
      </c>
      <c r="AJ4962" s="182" t="n">
        <v>0</v>
      </c>
      <c r="AK4962" s="182" t="n">
        <v>10.92</v>
      </c>
      <c r="AL4962" s="182" t="n">
        <v>0</v>
      </c>
      <c r="AM4962" s="182" t="n">
        <v>0.08</v>
      </c>
      <c r="AN4962" s="182" t="n">
        <v>0</v>
      </c>
    </row>
    <row r="4963">
      <c r="A4963" s="155" t="n">
        <v>46104</v>
      </c>
      <c r="B4963" s="156" t="inlineStr">
        <is>
          <t>NS</t>
        </is>
      </c>
      <c r="C4963" s="156" t="inlineStr">
        <is>
          <t>HT-418</t>
        </is>
      </c>
      <c r="D4963" s="156" t="inlineStr">
        <is>
          <t>SY430</t>
        </is>
      </c>
      <c r="E4963" s="156" t="inlineStr">
        <is>
          <t>DT Hauling</t>
        </is>
      </c>
      <c r="F4963" s="156" t="inlineStr"/>
      <c r="G4963" s="182" t="n">
        <v>0</v>
      </c>
      <c r="H4963" s="182" t="n">
        <v>0</v>
      </c>
      <c r="I4963" s="182" t="n">
        <v>0</v>
      </c>
      <c r="J4963" s="182" t="n">
        <v>0</v>
      </c>
      <c r="K4963" s="182" t="n">
        <v>12</v>
      </c>
      <c r="L4963" s="182" t="n">
        <v>12</v>
      </c>
      <c r="M4963" s="182" t="n">
        <v>0</v>
      </c>
      <c r="N4963" s="182" t="n">
        <v>0</v>
      </c>
      <c r="O4963" s="183" t="n">
        <v>0</v>
      </c>
      <c r="P4963" s="183" t="n">
        <v>0</v>
      </c>
      <c r="Q4963" s="184" t="n">
        <v>0</v>
      </c>
      <c r="R4963" s="184" t="n">
        <v>0</v>
      </c>
      <c r="S4963" s="183" t="n">
        <v>0</v>
      </c>
      <c r="T4963" s="183" t="n">
        <v>0</v>
      </c>
      <c r="U4963" s="182" t="n">
        <v>0</v>
      </c>
      <c r="V4963" s="182" t="n">
        <v>0</v>
      </c>
      <c r="W4963" s="182" t="n">
        <v>0</v>
      </c>
      <c r="X4963" s="182" t="n">
        <v>1</v>
      </c>
      <c r="Y4963" s="182" t="n">
        <v>0</v>
      </c>
      <c r="Z4963" s="182" t="n">
        <v>0</v>
      </c>
      <c r="AA4963" s="182" t="n">
        <v>0</v>
      </c>
      <c r="AB4963" s="182" t="n">
        <v>0</v>
      </c>
      <c r="AC4963" s="182" t="n">
        <v>0</v>
      </c>
      <c r="AD4963" s="182" t="n">
        <v>0</v>
      </c>
      <c r="AE4963" s="182" t="n">
        <v>0</v>
      </c>
      <c r="AF4963" s="182" t="n">
        <v>0</v>
      </c>
      <c r="AG4963" s="182" t="n">
        <v>0</v>
      </c>
      <c r="AH4963" s="182" t="n">
        <v>0</v>
      </c>
      <c r="AI4963" s="182" t="n">
        <v>0</v>
      </c>
      <c r="AJ4963" s="182" t="n">
        <v>0</v>
      </c>
      <c r="AK4963" s="182" t="n">
        <v>10.92</v>
      </c>
      <c r="AL4963" s="182" t="n">
        <v>0</v>
      </c>
      <c r="AM4963" s="182" t="n">
        <v>0.08</v>
      </c>
      <c r="AN4963" s="182" t="n">
        <v>0</v>
      </c>
    </row>
    <row r="4964">
      <c r="A4964" s="155" t="n">
        <v>46104</v>
      </c>
      <c r="B4964" s="156" t="inlineStr">
        <is>
          <t>NS</t>
        </is>
      </c>
      <c r="C4964" s="156" t="inlineStr">
        <is>
          <t>HT-404</t>
        </is>
      </c>
      <c r="D4964" s="156" t="inlineStr">
        <is>
          <t>SY430</t>
        </is>
      </c>
      <c r="E4964" s="156" t="inlineStr">
        <is>
          <t>DT Hauling</t>
        </is>
      </c>
      <c r="F4964" s="156" t="inlineStr"/>
      <c r="G4964" s="182" t="n">
        <v>0</v>
      </c>
      <c r="H4964" s="182" t="n">
        <v>0</v>
      </c>
      <c r="I4964" s="182" t="n">
        <v>0</v>
      </c>
      <c r="J4964" s="182" t="n">
        <v>0</v>
      </c>
      <c r="K4964" s="182" t="n">
        <v>12</v>
      </c>
      <c r="L4964" s="182" t="n">
        <v>12</v>
      </c>
      <c r="M4964" s="182" t="n">
        <v>0</v>
      </c>
      <c r="N4964" s="182" t="n">
        <v>0</v>
      </c>
      <c r="O4964" s="183" t="n">
        <v>0</v>
      </c>
      <c r="P4964" s="183" t="n">
        <v>0</v>
      </c>
      <c r="Q4964" s="184" t="n">
        <v>0</v>
      </c>
      <c r="R4964" s="184" t="n">
        <v>0</v>
      </c>
      <c r="S4964" s="183" t="n">
        <v>0</v>
      </c>
      <c r="T4964" s="183" t="n">
        <v>0</v>
      </c>
      <c r="U4964" s="182" t="n">
        <v>0</v>
      </c>
      <c r="V4964" s="182" t="n">
        <v>0</v>
      </c>
      <c r="W4964" s="182" t="n">
        <v>0</v>
      </c>
      <c r="X4964" s="182" t="n">
        <v>1</v>
      </c>
      <c r="Y4964" s="182" t="n">
        <v>0</v>
      </c>
      <c r="Z4964" s="182" t="n">
        <v>0</v>
      </c>
      <c r="AA4964" s="182" t="n">
        <v>0</v>
      </c>
      <c r="AB4964" s="182" t="n">
        <v>0</v>
      </c>
      <c r="AC4964" s="182" t="n">
        <v>0</v>
      </c>
      <c r="AD4964" s="182" t="n">
        <v>0</v>
      </c>
      <c r="AE4964" s="182" t="n">
        <v>0</v>
      </c>
      <c r="AF4964" s="182" t="n">
        <v>0</v>
      </c>
      <c r="AG4964" s="182" t="n">
        <v>0</v>
      </c>
      <c r="AH4964" s="182" t="n">
        <v>0</v>
      </c>
      <c r="AI4964" s="182" t="n">
        <v>0</v>
      </c>
      <c r="AJ4964" s="182" t="n">
        <v>0</v>
      </c>
      <c r="AK4964" s="182" t="n">
        <v>10.92</v>
      </c>
      <c r="AL4964" s="182" t="n">
        <v>0</v>
      </c>
      <c r="AM4964" s="182" t="n">
        <v>0.08</v>
      </c>
      <c r="AN4964" s="182" t="n">
        <v>0</v>
      </c>
    </row>
    <row r="4965">
      <c r="A4965" s="155" t="n">
        <v>46104</v>
      </c>
      <c r="B4965" s="156" t="inlineStr">
        <is>
          <t>NS</t>
        </is>
      </c>
      <c r="C4965" s="156" t="inlineStr">
        <is>
          <t>HT-415</t>
        </is>
      </c>
      <c r="D4965" s="156" t="inlineStr">
        <is>
          <t>SY430</t>
        </is>
      </c>
      <c r="E4965" s="156" t="inlineStr">
        <is>
          <t>DT Hauling</t>
        </is>
      </c>
      <c r="F4965" s="156" t="inlineStr"/>
      <c r="G4965" s="182" t="n">
        <v>0</v>
      </c>
      <c r="H4965" s="182" t="n">
        <v>0</v>
      </c>
      <c r="I4965" s="182" t="n">
        <v>12</v>
      </c>
      <c r="J4965" s="182" t="n">
        <v>12</v>
      </c>
      <c r="K4965" s="182" t="n">
        <v>0</v>
      </c>
      <c r="L4965" s="182" t="n">
        <v>12</v>
      </c>
      <c r="M4965" s="182" t="n">
        <v>0</v>
      </c>
      <c r="N4965" s="182" t="n">
        <v>0</v>
      </c>
      <c r="O4965" s="183" t="n">
        <v>0</v>
      </c>
      <c r="P4965" s="183" t="n">
        <v>0</v>
      </c>
      <c r="Q4965" s="184" t="n">
        <v>0</v>
      </c>
      <c r="R4965" s="184" t="n">
        <v>0</v>
      </c>
      <c r="S4965" s="183" t="n">
        <v>0</v>
      </c>
      <c r="T4965" s="183" t="n">
        <v>0</v>
      </c>
      <c r="U4965" s="182" t="n">
        <v>0</v>
      </c>
      <c r="V4965" s="182" t="n">
        <v>0</v>
      </c>
      <c r="W4965" s="182" t="n">
        <v>0</v>
      </c>
      <c r="X4965" s="182" t="n">
        <v>0</v>
      </c>
      <c r="Y4965" s="182" t="n">
        <v>0</v>
      </c>
      <c r="Z4965" s="182" t="n">
        <v>0</v>
      </c>
      <c r="AA4965" s="182" t="n">
        <v>0</v>
      </c>
      <c r="AB4965" s="182" t="n">
        <v>0</v>
      </c>
      <c r="AC4965" s="182" t="n">
        <v>0</v>
      </c>
      <c r="AD4965" s="182" t="n">
        <v>0</v>
      </c>
      <c r="AE4965" s="182" t="n">
        <v>0</v>
      </c>
      <c r="AF4965" s="182" t="n">
        <v>0</v>
      </c>
      <c r="AG4965" s="182" t="n">
        <v>0</v>
      </c>
      <c r="AH4965" s="182" t="n">
        <v>0</v>
      </c>
      <c r="AI4965" s="182" t="n">
        <v>0</v>
      </c>
      <c r="AJ4965" s="182" t="n">
        <v>0</v>
      </c>
      <c r="AK4965" s="182" t="n">
        <v>0</v>
      </c>
      <c r="AL4965" s="182" t="n">
        <v>0</v>
      </c>
      <c r="AM4965" s="182" t="n">
        <v>0</v>
      </c>
      <c r="AN4965" s="182" t="n">
        <v>0</v>
      </c>
    </row>
    <row r="4966">
      <c r="A4966" s="155" t="n">
        <v>46104</v>
      </c>
      <c r="B4966" s="156" t="inlineStr">
        <is>
          <t>NS</t>
        </is>
      </c>
      <c r="C4966" s="156" t="inlineStr">
        <is>
          <t>HT-406</t>
        </is>
      </c>
      <c r="D4966" s="156" t="inlineStr">
        <is>
          <t>SY430</t>
        </is>
      </c>
      <c r="E4966" s="156" t="inlineStr">
        <is>
          <t>DT Hauling</t>
        </is>
      </c>
      <c r="F4966" s="156" t="inlineStr"/>
      <c r="G4966" s="182" t="n">
        <v>0</v>
      </c>
      <c r="H4966" s="182" t="n">
        <v>0</v>
      </c>
      <c r="I4966" s="182" t="n">
        <v>0</v>
      </c>
      <c r="J4966" s="182" t="n">
        <v>0</v>
      </c>
      <c r="K4966" s="182" t="n">
        <v>12</v>
      </c>
      <c r="L4966" s="182" t="n">
        <v>12</v>
      </c>
      <c r="M4966" s="182" t="n">
        <v>0</v>
      </c>
      <c r="N4966" s="182" t="n">
        <v>0</v>
      </c>
      <c r="O4966" s="183" t="n">
        <v>0</v>
      </c>
      <c r="P4966" s="183" t="n">
        <v>0</v>
      </c>
      <c r="Q4966" s="184" t="n">
        <v>0</v>
      </c>
      <c r="R4966" s="184" t="n">
        <v>0</v>
      </c>
      <c r="S4966" s="183" t="n">
        <v>0</v>
      </c>
      <c r="T4966" s="183" t="n">
        <v>0</v>
      </c>
      <c r="U4966" s="182" t="n">
        <v>0</v>
      </c>
      <c r="V4966" s="182" t="n">
        <v>0</v>
      </c>
      <c r="W4966" s="182" t="n">
        <v>0</v>
      </c>
      <c r="X4966" s="182" t="n">
        <v>1</v>
      </c>
      <c r="Y4966" s="182" t="n">
        <v>0</v>
      </c>
      <c r="Z4966" s="182" t="n">
        <v>0</v>
      </c>
      <c r="AA4966" s="182" t="n">
        <v>0</v>
      </c>
      <c r="AB4966" s="182" t="n">
        <v>0</v>
      </c>
      <c r="AC4966" s="182" t="n">
        <v>0</v>
      </c>
      <c r="AD4966" s="182" t="n">
        <v>0</v>
      </c>
      <c r="AE4966" s="182" t="n">
        <v>0</v>
      </c>
      <c r="AF4966" s="182" t="n">
        <v>0</v>
      </c>
      <c r="AG4966" s="182" t="n">
        <v>0</v>
      </c>
      <c r="AH4966" s="182" t="n">
        <v>0</v>
      </c>
      <c r="AI4966" s="182" t="n">
        <v>0</v>
      </c>
      <c r="AJ4966" s="182" t="n">
        <v>0</v>
      </c>
      <c r="AK4966" s="182" t="n">
        <v>10.92</v>
      </c>
      <c r="AL4966" s="182" t="n">
        <v>0</v>
      </c>
      <c r="AM4966" s="182" t="n">
        <v>0.08</v>
      </c>
      <c r="AN4966" s="182" t="n">
        <v>0</v>
      </c>
    </row>
    <row r="4967">
      <c r="A4967" s="155" t="n">
        <v>46104</v>
      </c>
      <c r="B4967" s="156" t="inlineStr">
        <is>
          <t>NS</t>
        </is>
      </c>
      <c r="C4967" s="156" t="inlineStr">
        <is>
          <t>HT-405</t>
        </is>
      </c>
      <c r="D4967" s="156" t="inlineStr">
        <is>
          <t>SY430</t>
        </is>
      </c>
      <c r="E4967" s="156" t="inlineStr">
        <is>
          <t>DT Hauling</t>
        </is>
      </c>
      <c r="F4967" s="156" t="inlineStr"/>
      <c r="G4967" s="182" t="n">
        <v>0</v>
      </c>
      <c r="H4967" s="182" t="n">
        <v>0</v>
      </c>
      <c r="I4967" s="182" t="n">
        <v>12</v>
      </c>
      <c r="J4967" s="182" t="n">
        <v>12</v>
      </c>
      <c r="K4967" s="182" t="n">
        <v>0</v>
      </c>
      <c r="L4967" s="182" t="n">
        <v>12</v>
      </c>
      <c r="M4967" s="182" t="n">
        <v>0</v>
      </c>
      <c r="N4967" s="182" t="n">
        <v>0</v>
      </c>
      <c r="O4967" s="183" t="n">
        <v>0</v>
      </c>
      <c r="P4967" s="183" t="n">
        <v>0</v>
      </c>
      <c r="Q4967" s="184" t="n">
        <v>0</v>
      </c>
      <c r="R4967" s="184" t="n">
        <v>0</v>
      </c>
      <c r="S4967" s="183" t="n">
        <v>0</v>
      </c>
      <c r="T4967" s="183" t="n">
        <v>0</v>
      </c>
      <c r="U4967" s="182" t="n">
        <v>0</v>
      </c>
      <c r="V4967" s="182" t="n">
        <v>0</v>
      </c>
      <c r="W4967" s="182" t="n">
        <v>0</v>
      </c>
      <c r="X4967" s="182" t="n">
        <v>0</v>
      </c>
      <c r="Y4967" s="182" t="n">
        <v>0</v>
      </c>
      <c r="Z4967" s="182" t="n">
        <v>0</v>
      </c>
      <c r="AA4967" s="182" t="n">
        <v>0</v>
      </c>
      <c r="AB4967" s="182" t="n">
        <v>0</v>
      </c>
      <c r="AC4967" s="182" t="n">
        <v>0</v>
      </c>
      <c r="AD4967" s="182" t="n">
        <v>0</v>
      </c>
      <c r="AE4967" s="182" t="n">
        <v>0</v>
      </c>
      <c r="AF4967" s="182" t="n">
        <v>0</v>
      </c>
      <c r="AG4967" s="182" t="n">
        <v>0</v>
      </c>
      <c r="AH4967" s="182" t="n">
        <v>0</v>
      </c>
      <c r="AI4967" s="182" t="n">
        <v>0</v>
      </c>
      <c r="AJ4967" s="182" t="n">
        <v>0</v>
      </c>
      <c r="AK4967" s="182" t="n">
        <v>0</v>
      </c>
      <c r="AL4967" s="182" t="n">
        <v>0</v>
      </c>
      <c r="AM4967" s="182" t="n">
        <v>0</v>
      </c>
      <c r="AN4967" s="182" t="n">
        <v>0</v>
      </c>
    </row>
    <row r="4968">
      <c r="A4968" s="155" t="n">
        <v>46104</v>
      </c>
      <c r="B4968" s="156" t="inlineStr">
        <is>
          <t>NS</t>
        </is>
      </c>
      <c r="C4968" s="156" t="inlineStr">
        <is>
          <t>HT-417</t>
        </is>
      </c>
      <c r="D4968" s="156" t="inlineStr">
        <is>
          <t>SY430</t>
        </is>
      </c>
      <c r="E4968" s="156" t="inlineStr">
        <is>
          <t>DT Hauling</t>
        </is>
      </c>
      <c r="F4968" s="156" t="inlineStr"/>
      <c r="G4968" s="182" t="n">
        <v>0</v>
      </c>
      <c r="H4968" s="182" t="n">
        <v>0</v>
      </c>
      <c r="I4968" s="182" t="n">
        <v>0</v>
      </c>
      <c r="J4968" s="182" t="n">
        <v>0</v>
      </c>
      <c r="K4968" s="182" t="n">
        <v>12</v>
      </c>
      <c r="L4968" s="182" t="n">
        <v>12</v>
      </c>
      <c r="M4968" s="182" t="n">
        <v>0</v>
      </c>
      <c r="N4968" s="182" t="n">
        <v>0</v>
      </c>
      <c r="O4968" s="183" t="n">
        <v>0</v>
      </c>
      <c r="P4968" s="183" t="n">
        <v>0</v>
      </c>
      <c r="Q4968" s="184" t="n">
        <v>0</v>
      </c>
      <c r="R4968" s="184" t="n">
        <v>0</v>
      </c>
      <c r="S4968" s="183" t="n">
        <v>0</v>
      </c>
      <c r="T4968" s="183" t="n">
        <v>0</v>
      </c>
      <c r="U4968" s="182" t="n">
        <v>0</v>
      </c>
      <c r="V4968" s="182" t="n">
        <v>0</v>
      </c>
      <c r="W4968" s="182" t="n">
        <v>0</v>
      </c>
      <c r="X4968" s="182" t="n">
        <v>1</v>
      </c>
      <c r="Y4968" s="182" t="n">
        <v>0</v>
      </c>
      <c r="Z4968" s="182" t="n">
        <v>0</v>
      </c>
      <c r="AA4968" s="182" t="n">
        <v>0</v>
      </c>
      <c r="AB4968" s="182" t="n">
        <v>0</v>
      </c>
      <c r="AC4968" s="182" t="n">
        <v>0</v>
      </c>
      <c r="AD4968" s="182" t="n">
        <v>0</v>
      </c>
      <c r="AE4968" s="182" t="n">
        <v>0</v>
      </c>
      <c r="AF4968" s="182" t="n">
        <v>0</v>
      </c>
      <c r="AG4968" s="182" t="n">
        <v>0</v>
      </c>
      <c r="AH4968" s="182" t="n">
        <v>0</v>
      </c>
      <c r="AI4968" s="182" t="n">
        <v>0</v>
      </c>
      <c r="AJ4968" s="182" t="n">
        <v>0</v>
      </c>
      <c r="AK4968" s="182" t="n">
        <v>10.92</v>
      </c>
      <c r="AL4968" s="182" t="n">
        <v>0</v>
      </c>
      <c r="AM4968" s="182" t="n">
        <v>0.08</v>
      </c>
      <c r="AN4968" s="182" t="n">
        <v>0</v>
      </c>
    </row>
    <row r="4969">
      <c r="A4969" s="155" t="n">
        <v>46104</v>
      </c>
      <c r="B4969" s="156" t="inlineStr">
        <is>
          <t>NS</t>
        </is>
      </c>
      <c r="C4969" s="156" t="inlineStr">
        <is>
          <t>HT-401</t>
        </is>
      </c>
      <c r="D4969" s="156" t="inlineStr">
        <is>
          <t>SY430</t>
        </is>
      </c>
      <c r="E4969" s="156" t="inlineStr">
        <is>
          <t>DT Hauling</t>
        </is>
      </c>
      <c r="F4969" s="156" t="inlineStr"/>
      <c r="G4969" s="182" t="n">
        <v>0</v>
      </c>
      <c r="H4969" s="182" t="n">
        <v>0</v>
      </c>
      <c r="I4969" s="182" t="n">
        <v>0</v>
      </c>
      <c r="J4969" s="182" t="n">
        <v>0</v>
      </c>
      <c r="K4969" s="182" t="n">
        <v>12</v>
      </c>
      <c r="L4969" s="182" t="n">
        <v>12</v>
      </c>
      <c r="M4969" s="182" t="n">
        <v>0</v>
      </c>
      <c r="N4969" s="182" t="n">
        <v>0</v>
      </c>
      <c r="O4969" s="183" t="n">
        <v>0</v>
      </c>
      <c r="P4969" s="183" t="n">
        <v>0</v>
      </c>
      <c r="Q4969" s="184" t="n">
        <v>0</v>
      </c>
      <c r="R4969" s="184" t="n">
        <v>0</v>
      </c>
      <c r="S4969" s="183" t="n">
        <v>0</v>
      </c>
      <c r="T4969" s="183" t="n">
        <v>0</v>
      </c>
      <c r="U4969" s="182" t="n">
        <v>0</v>
      </c>
      <c r="V4969" s="182" t="n">
        <v>0</v>
      </c>
      <c r="W4969" s="182" t="n">
        <v>0</v>
      </c>
      <c r="X4969" s="182" t="n">
        <v>1</v>
      </c>
      <c r="Y4969" s="182" t="n">
        <v>0</v>
      </c>
      <c r="Z4969" s="182" t="n">
        <v>0</v>
      </c>
      <c r="AA4969" s="182" t="n">
        <v>0</v>
      </c>
      <c r="AB4969" s="182" t="n">
        <v>0</v>
      </c>
      <c r="AC4969" s="182" t="n">
        <v>0</v>
      </c>
      <c r="AD4969" s="182" t="n">
        <v>0</v>
      </c>
      <c r="AE4969" s="182" t="n">
        <v>0</v>
      </c>
      <c r="AF4969" s="182" t="n">
        <v>0</v>
      </c>
      <c r="AG4969" s="182" t="n">
        <v>0</v>
      </c>
      <c r="AH4969" s="182" t="n">
        <v>0</v>
      </c>
      <c r="AI4969" s="182" t="n">
        <v>0</v>
      </c>
      <c r="AJ4969" s="182" t="n">
        <v>0</v>
      </c>
      <c r="AK4969" s="182" t="n">
        <v>10.92</v>
      </c>
      <c r="AL4969" s="182" t="n">
        <v>0</v>
      </c>
      <c r="AM4969" s="182" t="n">
        <v>0.08</v>
      </c>
      <c r="AN4969" s="182" t="n">
        <v>0</v>
      </c>
    </row>
    <row r="4970">
      <c r="A4970" s="155" t="n">
        <v>46104</v>
      </c>
      <c r="B4970" s="156" t="inlineStr">
        <is>
          <t>NS</t>
        </is>
      </c>
      <c r="C4970" s="156" t="inlineStr">
        <is>
          <t>HT-410</t>
        </is>
      </c>
      <c r="D4970" s="156" t="inlineStr">
        <is>
          <t>SY430</t>
        </is>
      </c>
      <c r="E4970" s="156" t="inlineStr">
        <is>
          <t>DT Hauling</t>
        </is>
      </c>
      <c r="F4970" s="156" t="inlineStr"/>
      <c r="G4970" s="182" t="n">
        <v>0</v>
      </c>
      <c r="H4970" s="182" t="n">
        <v>0</v>
      </c>
      <c r="I4970" s="182" t="n">
        <v>0</v>
      </c>
      <c r="J4970" s="182" t="n">
        <v>0</v>
      </c>
      <c r="K4970" s="182" t="n">
        <v>12</v>
      </c>
      <c r="L4970" s="182" t="n">
        <v>12</v>
      </c>
      <c r="M4970" s="182" t="n">
        <v>0</v>
      </c>
      <c r="N4970" s="182" t="n">
        <v>0</v>
      </c>
      <c r="O4970" s="183" t="n">
        <v>0</v>
      </c>
      <c r="P4970" s="183" t="n">
        <v>0</v>
      </c>
      <c r="Q4970" s="184" t="n">
        <v>0</v>
      </c>
      <c r="R4970" s="184" t="n">
        <v>0</v>
      </c>
      <c r="S4970" s="183" t="n">
        <v>0</v>
      </c>
      <c r="T4970" s="183" t="n">
        <v>0</v>
      </c>
      <c r="U4970" s="182" t="n">
        <v>0</v>
      </c>
      <c r="V4970" s="182" t="n">
        <v>0</v>
      </c>
      <c r="W4970" s="182" t="n">
        <v>0</v>
      </c>
      <c r="X4970" s="182" t="n">
        <v>1</v>
      </c>
      <c r="Y4970" s="182" t="n">
        <v>0</v>
      </c>
      <c r="Z4970" s="182" t="n">
        <v>0</v>
      </c>
      <c r="AA4970" s="182" t="n">
        <v>0</v>
      </c>
      <c r="AB4970" s="182" t="n">
        <v>0</v>
      </c>
      <c r="AC4970" s="182" t="n">
        <v>0</v>
      </c>
      <c r="AD4970" s="182" t="n">
        <v>0</v>
      </c>
      <c r="AE4970" s="182" t="n">
        <v>0</v>
      </c>
      <c r="AF4970" s="182" t="n">
        <v>0</v>
      </c>
      <c r="AG4970" s="182" t="n">
        <v>0</v>
      </c>
      <c r="AH4970" s="182" t="n">
        <v>0</v>
      </c>
      <c r="AI4970" s="182" t="n">
        <v>0</v>
      </c>
      <c r="AJ4970" s="182" t="n">
        <v>0</v>
      </c>
      <c r="AK4970" s="182" t="n">
        <v>10.92</v>
      </c>
      <c r="AL4970" s="182" t="n">
        <v>0</v>
      </c>
      <c r="AM4970" s="182" t="n">
        <v>0.08</v>
      </c>
      <c r="AN4970" s="182" t="n">
        <v>0</v>
      </c>
    </row>
    <row r="4971">
      <c r="A4971" s="155" t="n">
        <v>46104</v>
      </c>
      <c r="B4971" s="156" t="inlineStr">
        <is>
          <t>NS</t>
        </is>
      </c>
      <c r="C4971" s="156" t="inlineStr">
        <is>
          <t>HT-402</t>
        </is>
      </c>
      <c r="D4971" s="156" t="inlineStr">
        <is>
          <t>SY430</t>
        </is>
      </c>
      <c r="E4971" s="156" t="inlineStr">
        <is>
          <t>DT Hauling</t>
        </is>
      </c>
      <c r="F4971" s="156" t="inlineStr"/>
      <c r="G4971" s="182" t="n">
        <v>0</v>
      </c>
      <c r="H4971" s="182" t="n">
        <v>0</v>
      </c>
      <c r="I4971" s="182" t="n">
        <v>12</v>
      </c>
      <c r="J4971" s="182" t="n">
        <v>12</v>
      </c>
      <c r="K4971" s="182" t="n">
        <v>0</v>
      </c>
      <c r="L4971" s="182" t="n">
        <v>12</v>
      </c>
      <c r="M4971" s="182" t="n">
        <v>0</v>
      </c>
      <c r="N4971" s="182" t="n">
        <v>0</v>
      </c>
      <c r="O4971" s="183" t="n">
        <v>0</v>
      </c>
      <c r="P4971" s="183" t="n">
        <v>0</v>
      </c>
      <c r="Q4971" s="184" t="n">
        <v>0</v>
      </c>
      <c r="R4971" s="184" t="n">
        <v>0</v>
      </c>
      <c r="S4971" s="183" t="n">
        <v>0</v>
      </c>
      <c r="T4971" s="183" t="n">
        <v>0</v>
      </c>
      <c r="U4971" s="182" t="n">
        <v>0</v>
      </c>
      <c r="V4971" s="182" t="n">
        <v>0</v>
      </c>
      <c r="W4971" s="182" t="n">
        <v>0</v>
      </c>
      <c r="X4971" s="182" t="n">
        <v>0</v>
      </c>
      <c r="Y4971" s="182" t="n">
        <v>0</v>
      </c>
      <c r="Z4971" s="182" t="n">
        <v>0</v>
      </c>
      <c r="AA4971" s="182" t="n">
        <v>0</v>
      </c>
      <c r="AB4971" s="182" t="n">
        <v>0</v>
      </c>
      <c r="AC4971" s="182" t="n">
        <v>0</v>
      </c>
      <c r="AD4971" s="182" t="n">
        <v>0</v>
      </c>
      <c r="AE4971" s="182" t="n">
        <v>0</v>
      </c>
      <c r="AF4971" s="182" t="n">
        <v>0</v>
      </c>
      <c r="AG4971" s="182" t="n">
        <v>0</v>
      </c>
      <c r="AH4971" s="182" t="n">
        <v>0</v>
      </c>
      <c r="AI4971" s="182" t="n">
        <v>0</v>
      </c>
      <c r="AJ4971" s="182" t="n">
        <v>0</v>
      </c>
      <c r="AK4971" s="182" t="n">
        <v>0</v>
      </c>
      <c r="AL4971" s="182" t="n">
        <v>0</v>
      </c>
      <c r="AM4971" s="182" t="n">
        <v>0</v>
      </c>
      <c r="AN4971" s="182" t="n">
        <v>0</v>
      </c>
    </row>
    <row r="4972">
      <c r="A4972" s="155" t="n">
        <v>46104</v>
      </c>
      <c r="B4972" s="156" t="inlineStr">
        <is>
          <t>NS</t>
        </is>
      </c>
      <c r="C4972" s="156" t="inlineStr">
        <is>
          <t>HT-419</t>
        </is>
      </c>
      <c r="D4972" s="156" t="inlineStr">
        <is>
          <t>SY430</t>
        </is>
      </c>
      <c r="E4972" s="156" t="inlineStr">
        <is>
          <t>DT Hauling</t>
        </is>
      </c>
      <c r="F4972" s="156" t="inlineStr"/>
      <c r="G4972" s="182" t="n">
        <v>0</v>
      </c>
      <c r="H4972" s="182" t="n">
        <v>0</v>
      </c>
      <c r="I4972" s="182" t="n">
        <v>12</v>
      </c>
      <c r="J4972" s="182" t="n">
        <v>12</v>
      </c>
      <c r="K4972" s="182" t="n">
        <v>0</v>
      </c>
      <c r="L4972" s="182" t="n">
        <v>12</v>
      </c>
      <c r="M4972" s="182" t="n">
        <v>0</v>
      </c>
      <c r="N4972" s="182" t="n">
        <v>0</v>
      </c>
      <c r="O4972" s="183" t="n">
        <v>0</v>
      </c>
      <c r="P4972" s="183" t="n">
        <v>0</v>
      </c>
      <c r="Q4972" s="184" t="n">
        <v>0</v>
      </c>
      <c r="R4972" s="184" t="n">
        <v>0</v>
      </c>
      <c r="S4972" s="183" t="n">
        <v>0</v>
      </c>
      <c r="T4972" s="183" t="n">
        <v>0</v>
      </c>
      <c r="U4972" s="182" t="n">
        <v>0</v>
      </c>
      <c r="V4972" s="182" t="n">
        <v>0</v>
      </c>
      <c r="W4972" s="182" t="n">
        <v>0</v>
      </c>
      <c r="X4972" s="182" t="n">
        <v>0</v>
      </c>
      <c r="Y4972" s="182" t="n">
        <v>0</v>
      </c>
      <c r="Z4972" s="182" t="n">
        <v>0</v>
      </c>
      <c r="AA4972" s="182" t="n">
        <v>0</v>
      </c>
      <c r="AB4972" s="182" t="n">
        <v>0</v>
      </c>
      <c r="AC4972" s="182" t="n">
        <v>0</v>
      </c>
      <c r="AD4972" s="182" t="n">
        <v>0</v>
      </c>
      <c r="AE4972" s="182" t="n">
        <v>0</v>
      </c>
      <c r="AF4972" s="182" t="n">
        <v>0</v>
      </c>
      <c r="AG4972" s="182" t="n">
        <v>0</v>
      </c>
      <c r="AH4972" s="182" t="n">
        <v>0</v>
      </c>
      <c r="AI4972" s="182" t="n">
        <v>0</v>
      </c>
      <c r="AJ4972" s="182" t="n">
        <v>0</v>
      </c>
      <c r="AK4972" s="182" t="n">
        <v>0</v>
      </c>
      <c r="AL4972" s="182" t="n">
        <v>0</v>
      </c>
      <c r="AM4972" s="182" t="n">
        <v>0</v>
      </c>
      <c r="AN4972" s="182" t="n">
        <v>0</v>
      </c>
    </row>
    <row r="4973">
      <c r="A4973" s="155" t="n">
        <v>46104</v>
      </c>
      <c r="B4973" s="156" t="inlineStr">
        <is>
          <t>NS</t>
        </is>
      </c>
      <c r="C4973" s="156" t="inlineStr">
        <is>
          <t>HT-416</t>
        </is>
      </c>
      <c r="D4973" s="156" t="inlineStr">
        <is>
          <t>SY430</t>
        </is>
      </c>
      <c r="E4973" s="156" t="inlineStr">
        <is>
          <t>DT Hauling</t>
        </is>
      </c>
      <c r="F4973" s="156" t="inlineStr"/>
      <c r="G4973" s="182" t="n">
        <v>0</v>
      </c>
      <c r="H4973" s="182" t="n">
        <v>0</v>
      </c>
      <c r="I4973" s="182" t="n">
        <v>0</v>
      </c>
      <c r="J4973" s="182" t="n">
        <v>0</v>
      </c>
      <c r="K4973" s="182" t="n">
        <v>12</v>
      </c>
      <c r="L4973" s="182" t="n">
        <v>12</v>
      </c>
      <c r="M4973" s="182" t="n">
        <v>0</v>
      </c>
      <c r="N4973" s="182" t="n">
        <v>0</v>
      </c>
      <c r="O4973" s="183" t="n">
        <v>0</v>
      </c>
      <c r="P4973" s="183" t="n">
        <v>0</v>
      </c>
      <c r="Q4973" s="184" t="n">
        <v>0</v>
      </c>
      <c r="R4973" s="184" t="n">
        <v>0</v>
      </c>
      <c r="S4973" s="183" t="n">
        <v>0</v>
      </c>
      <c r="T4973" s="183" t="n">
        <v>0</v>
      </c>
      <c r="U4973" s="182" t="n">
        <v>0</v>
      </c>
      <c r="V4973" s="182" t="n">
        <v>0</v>
      </c>
      <c r="W4973" s="182" t="n">
        <v>0</v>
      </c>
      <c r="X4973" s="182" t="n">
        <v>1</v>
      </c>
      <c r="Y4973" s="182" t="n">
        <v>0</v>
      </c>
      <c r="Z4973" s="182" t="n">
        <v>0</v>
      </c>
      <c r="AA4973" s="182" t="n">
        <v>0</v>
      </c>
      <c r="AB4973" s="182" t="n">
        <v>0</v>
      </c>
      <c r="AC4973" s="182" t="n">
        <v>0</v>
      </c>
      <c r="AD4973" s="182" t="n">
        <v>0</v>
      </c>
      <c r="AE4973" s="182" t="n">
        <v>0</v>
      </c>
      <c r="AF4973" s="182" t="n">
        <v>0</v>
      </c>
      <c r="AG4973" s="182" t="n">
        <v>0</v>
      </c>
      <c r="AH4973" s="182" t="n">
        <v>0</v>
      </c>
      <c r="AI4973" s="182" t="n">
        <v>0</v>
      </c>
      <c r="AJ4973" s="182" t="n">
        <v>0</v>
      </c>
      <c r="AK4973" s="182" t="n">
        <v>10.92</v>
      </c>
      <c r="AL4973" s="182" t="n">
        <v>0</v>
      </c>
      <c r="AM4973" s="182" t="n">
        <v>0.08</v>
      </c>
      <c r="AN4973" s="182" t="n">
        <v>0</v>
      </c>
    </row>
    <row r="4974">
      <c r="A4974" s="155" t="n">
        <v>46104</v>
      </c>
      <c r="B4974" s="156" t="inlineStr">
        <is>
          <t>NS</t>
        </is>
      </c>
      <c r="C4974" s="156" t="inlineStr">
        <is>
          <t>HT-420</t>
        </is>
      </c>
      <c r="D4974" s="156" t="inlineStr">
        <is>
          <t>SY430</t>
        </is>
      </c>
      <c r="E4974" s="156" t="inlineStr">
        <is>
          <t>DT Hauling</t>
        </is>
      </c>
      <c r="F4974" s="156" t="inlineStr"/>
      <c r="G4974" s="182" t="n">
        <v>0</v>
      </c>
      <c r="H4974" s="182" t="n">
        <v>0</v>
      </c>
      <c r="I4974" s="182" t="n">
        <v>0</v>
      </c>
      <c r="J4974" s="182" t="n">
        <v>0</v>
      </c>
      <c r="K4974" s="182" t="n">
        <v>12</v>
      </c>
      <c r="L4974" s="182" t="n">
        <v>12</v>
      </c>
      <c r="M4974" s="182" t="n">
        <v>0</v>
      </c>
      <c r="N4974" s="182" t="n">
        <v>0</v>
      </c>
      <c r="O4974" s="183" t="n">
        <v>0</v>
      </c>
      <c r="P4974" s="183" t="n">
        <v>0</v>
      </c>
      <c r="Q4974" s="184" t="n">
        <v>0</v>
      </c>
      <c r="R4974" s="184" t="n">
        <v>0</v>
      </c>
      <c r="S4974" s="183" t="n">
        <v>0</v>
      </c>
      <c r="T4974" s="183" t="n">
        <v>0</v>
      </c>
      <c r="U4974" s="182" t="n">
        <v>0</v>
      </c>
      <c r="V4974" s="182" t="n">
        <v>0</v>
      </c>
      <c r="W4974" s="182" t="n">
        <v>0</v>
      </c>
      <c r="X4974" s="182" t="n">
        <v>1</v>
      </c>
      <c r="Y4974" s="182" t="n">
        <v>0</v>
      </c>
      <c r="Z4974" s="182" t="n">
        <v>0</v>
      </c>
      <c r="AA4974" s="182" t="n">
        <v>0</v>
      </c>
      <c r="AB4974" s="182" t="n">
        <v>0</v>
      </c>
      <c r="AC4974" s="182" t="n">
        <v>0</v>
      </c>
      <c r="AD4974" s="182" t="n">
        <v>0</v>
      </c>
      <c r="AE4974" s="182" t="n">
        <v>0</v>
      </c>
      <c r="AF4974" s="182" t="n">
        <v>0</v>
      </c>
      <c r="AG4974" s="182" t="n">
        <v>0</v>
      </c>
      <c r="AH4974" s="182" t="n">
        <v>0</v>
      </c>
      <c r="AI4974" s="182" t="n">
        <v>0</v>
      </c>
      <c r="AJ4974" s="182" t="n">
        <v>0</v>
      </c>
      <c r="AK4974" s="182" t="n">
        <v>10.92</v>
      </c>
      <c r="AL4974" s="182" t="n">
        <v>0</v>
      </c>
      <c r="AM4974" s="182" t="n">
        <v>0.08</v>
      </c>
      <c r="AN4974" s="182" t="n">
        <v>0</v>
      </c>
    </row>
    <row r="4975">
      <c r="A4975" s="155" t="n">
        <v>46104</v>
      </c>
      <c r="B4975" s="156" t="inlineStr">
        <is>
          <t>NS</t>
        </is>
      </c>
      <c r="C4975" s="156" t="inlineStr">
        <is>
          <t>HT-403</t>
        </is>
      </c>
      <c r="D4975" s="156" t="inlineStr">
        <is>
          <t>SY430</t>
        </is>
      </c>
      <c r="E4975" s="156" t="inlineStr">
        <is>
          <t>DT Hauling</t>
        </is>
      </c>
      <c r="F4975" s="156" t="inlineStr"/>
      <c r="G4975" s="182" t="n">
        <v>0</v>
      </c>
      <c r="H4975" s="182" t="n">
        <v>0</v>
      </c>
      <c r="I4975" s="182" t="n">
        <v>0</v>
      </c>
      <c r="J4975" s="182" t="n">
        <v>0</v>
      </c>
      <c r="K4975" s="182" t="n">
        <v>12</v>
      </c>
      <c r="L4975" s="182" t="n">
        <v>12</v>
      </c>
      <c r="M4975" s="182" t="n">
        <v>0</v>
      </c>
      <c r="N4975" s="182" t="n">
        <v>0</v>
      </c>
      <c r="O4975" s="183" t="n">
        <v>0</v>
      </c>
      <c r="P4975" s="183" t="n">
        <v>0</v>
      </c>
      <c r="Q4975" s="184" t="n">
        <v>0</v>
      </c>
      <c r="R4975" s="184" t="n">
        <v>0</v>
      </c>
      <c r="S4975" s="183" t="n">
        <v>0</v>
      </c>
      <c r="T4975" s="183" t="n">
        <v>0</v>
      </c>
      <c r="U4975" s="182" t="n">
        <v>0</v>
      </c>
      <c r="V4975" s="182" t="n">
        <v>0</v>
      </c>
      <c r="W4975" s="182" t="n">
        <v>0</v>
      </c>
      <c r="X4975" s="182" t="n">
        <v>1</v>
      </c>
      <c r="Y4975" s="182" t="n">
        <v>0</v>
      </c>
      <c r="Z4975" s="182" t="n">
        <v>0</v>
      </c>
      <c r="AA4975" s="182" t="n">
        <v>0</v>
      </c>
      <c r="AB4975" s="182" t="n">
        <v>0</v>
      </c>
      <c r="AC4975" s="182" t="n">
        <v>0</v>
      </c>
      <c r="AD4975" s="182" t="n">
        <v>0</v>
      </c>
      <c r="AE4975" s="182" t="n">
        <v>0</v>
      </c>
      <c r="AF4975" s="182" t="n">
        <v>0</v>
      </c>
      <c r="AG4975" s="182" t="n">
        <v>0</v>
      </c>
      <c r="AH4975" s="182" t="n">
        <v>0</v>
      </c>
      <c r="AI4975" s="182" t="n">
        <v>0</v>
      </c>
      <c r="AJ4975" s="182" t="n">
        <v>0</v>
      </c>
      <c r="AK4975" s="182" t="n">
        <v>10.92</v>
      </c>
      <c r="AL4975" s="182" t="n">
        <v>0</v>
      </c>
      <c r="AM4975" s="182" t="n">
        <v>0.08</v>
      </c>
      <c r="AN4975" s="182" t="n">
        <v>0</v>
      </c>
    </row>
    <row r="4976">
      <c r="A4976" s="155" t="n">
        <v>46104</v>
      </c>
      <c r="B4976" s="156" t="inlineStr">
        <is>
          <t>NS</t>
        </is>
      </c>
      <c r="C4976" s="156" t="inlineStr">
        <is>
          <t>HT-408</t>
        </is>
      </c>
      <c r="D4976" s="156" t="inlineStr">
        <is>
          <t>SY430</t>
        </is>
      </c>
      <c r="E4976" s="156" t="inlineStr">
        <is>
          <t>DT Hauling</t>
        </is>
      </c>
      <c r="F4976" s="156" t="inlineStr"/>
      <c r="G4976" s="182" t="n">
        <v>0</v>
      </c>
      <c r="H4976" s="182" t="n">
        <v>0</v>
      </c>
      <c r="I4976" s="182" t="n">
        <v>0</v>
      </c>
      <c r="J4976" s="182" t="n">
        <v>0</v>
      </c>
      <c r="K4976" s="182" t="n">
        <v>12</v>
      </c>
      <c r="L4976" s="182" t="n">
        <v>12</v>
      </c>
      <c r="M4976" s="182" t="n">
        <v>0</v>
      </c>
      <c r="N4976" s="182" t="n">
        <v>0</v>
      </c>
      <c r="O4976" s="183" t="n">
        <v>0</v>
      </c>
      <c r="P4976" s="183" t="n">
        <v>0</v>
      </c>
      <c r="Q4976" s="184" t="n">
        <v>0</v>
      </c>
      <c r="R4976" s="184" t="n">
        <v>0</v>
      </c>
      <c r="S4976" s="183" t="n">
        <v>0</v>
      </c>
      <c r="T4976" s="183" t="n">
        <v>0</v>
      </c>
      <c r="U4976" s="182" t="n">
        <v>0</v>
      </c>
      <c r="V4976" s="182" t="n">
        <v>0</v>
      </c>
      <c r="W4976" s="182" t="n">
        <v>0</v>
      </c>
      <c r="X4976" s="182" t="n">
        <v>1</v>
      </c>
      <c r="Y4976" s="182" t="n">
        <v>0</v>
      </c>
      <c r="Z4976" s="182" t="n">
        <v>0</v>
      </c>
      <c r="AA4976" s="182" t="n">
        <v>0</v>
      </c>
      <c r="AB4976" s="182" t="n">
        <v>0</v>
      </c>
      <c r="AC4976" s="182" t="n">
        <v>0</v>
      </c>
      <c r="AD4976" s="182" t="n">
        <v>0</v>
      </c>
      <c r="AE4976" s="182" t="n">
        <v>0</v>
      </c>
      <c r="AF4976" s="182" t="n">
        <v>0</v>
      </c>
      <c r="AG4976" s="182" t="n">
        <v>0</v>
      </c>
      <c r="AH4976" s="182" t="n">
        <v>0</v>
      </c>
      <c r="AI4976" s="182" t="n">
        <v>0</v>
      </c>
      <c r="AJ4976" s="182" t="n">
        <v>0</v>
      </c>
      <c r="AK4976" s="182" t="n">
        <v>10.92</v>
      </c>
      <c r="AL4976" s="182" t="n">
        <v>0</v>
      </c>
      <c r="AM4976" s="182" t="n">
        <v>0.08</v>
      </c>
      <c r="AN4976" s="182" t="n">
        <v>0</v>
      </c>
    </row>
    <row r="4977">
      <c r="A4977" s="155" t="n">
        <v>46104</v>
      </c>
      <c r="B4977" s="156" t="inlineStr">
        <is>
          <t>NS</t>
        </is>
      </c>
      <c r="C4977" s="156" t="inlineStr">
        <is>
          <t>HT-412</t>
        </is>
      </c>
      <c r="D4977" s="156" t="inlineStr">
        <is>
          <t>SY430</t>
        </is>
      </c>
      <c r="E4977" s="156" t="inlineStr">
        <is>
          <t>DT Hauling</t>
        </is>
      </c>
      <c r="F4977" s="156" t="inlineStr"/>
      <c r="G4977" s="182" t="n">
        <v>0</v>
      </c>
      <c r="H4977" s="182" t="n">
        <v>0</v>
      </c>
      <c r="I4977" s="182" t="n">
        <v>0</v>
      </c>
      <c r="J4977" s="182" t="n">
        <v>0</v>
      </c>
      <c r="K4977" s="182" t="n">
        <v>12</v>
      </c>
      <c r="L4977" s="182" t="n">
        <v>12</v>
      </c>
      <c r="M4977" s="182" t="n">
        <v>0</v>
      </c>
      <c r="N4977" s="182" t="n">
        <v>0</v>
      </c>
      <c r="O4977" s="183" t="n">
        <v>0</v>
      </c>
      <c r="P4977" s="183" t="n">
        <v>0</v>
      </c>
      <c r="Q4977" s="184" t="n">
        <v>0</v>
      </c>
      <c r="R4977" s="184" t="n">
        <v>0</v>
      </c>
      <c r="S4977" s="183" t="n">
        <v>0</v>
      </c>
      <c r="T4977" s="183" t="n">
        <v>0</v>
      </c>
      <c r="U4977" s="182" t="n">
        <v>0</v>
      </c>
      <c r="V4977" s="182" t="n">
        <v>0</v>
      </c>
      <c r="W4977" s="182" t="n">
        <v>0</v>
      </c>
      <c r="X4977" s="182" t="n">
        <v>1</v>
      </c>
      <c r="Y4977" s="182" t="n">
        <v>0</v>
      </c>
      <c r="Z4977" s="182" t="n">
        <v>0</v>
      </c>
      <c r="AA4977" s="182" t="n">
        <v>0</v>
      </c>
      <c r="AB4977" s="182" t="n">
        <v>0</v>
      </c>
      <c r="AC4977" s="182" t="n">
        <v>0</v>
      </c>
      <c r="AD4977" s="182" t="n">
        <v>0</v>
      </c>
      <c r="AE4977" s="182" t="n">
        <v>0</v>
      </c>
      <c r="AF4977" s="182" t="n">
        <v>0</v>
      </c>
      <c r="AG4977" s="182" t="n">
        <v>0</v>
      </c>
      <c r="AH4977" s="182" t="n">
        <v>0</v>
      </c>
      <c r="AI4977" s="182" t="n">
        <v>0</v>
      </c>
      <c r="AJ4977" s="182" t="n">
        <v>0</v>
      </c>
      <c r="AK4977" s="182" t="n">
        <v>10.92</v>
      </c>
      <c r="AL4977" s="182" t="n">
        <v>0</v>
      </c>
      <c r="AM4977" s="182" t="n">
        <v>0.08</v>
      </c>
      <c r="AN4977" s="182" t="n">
        <v>0</v>
      </c>
    </row>
    <row r="4978">
      <c r="A4978" s="155" t="n">
        <v>46104</v>
      </c>
      <c r="B4978" s="156" t="inlineStr">
        <is>
          <t>NS</t>
        </is>
      </c>
      <c r="C4978" s="156" t="inlineStr">
        <is>
          <t>HT-413</t>
        </is>
      </c>
      <c r="D4978" s="156" t="inlineStr">
        <is>
          <t>SY430</t>
        </is>
      </c>
      <c r="E4978" s="156" t="inlineStr">
        <is>
          <t>DT Hauling</t>
        </is>
      </c>
      <c r="F4978" s="156" t="inlineStr"/>
      <c r="G4978" s="182" t="n">
        <v>0</v>
      </c>
      <c r="H4978" s="182" t="n">
        <v>0</v>
      </c>
      <c r="I4978" s="182" t="n">
        <v>12</v>
      </c>
      <c r="J4978" s="182" t="n">
        <v>12</v>
      </c>
      <c r="K4978" s="182" t="n">
        <v>0</v>
      </c>
      <c r="L4978" s="182" t="n">
        <v>12</v>
      </c>
      <c r="M4978" s="182" t="n">
        <v>0</v>
      </c>
      <c r="N4978" s="182" t="n">
        <v>0</v>
      </c>
      <c r="O4978" s="183" t="n">
        <v>0</v>
      </c>
      <c r="P4978" s="183" t="n">
        <v>0</v>
      </c>
      <c r="Q4978" s="184" t="n">
        <v>0</v>
      </c>
      <c r="R4978" s="184" t="n">
        <v>0</v>
      </c>
      <c r="S4978" s="183" t="n">
        <v>0</v>
      </c>
      <c r="T4978" s="183" t="n">
        <v>0</v>
      </c>
      <c r="U4978" s="182" t="n">
        <v>0</v>
      </c>
      <c r="V4978" s="182" t="n">
        <v>0</v>
      </c>
      <c r="W4978" s="182" t="n">
        <v>0</v>
      </c>
      <c r="X4978" s="182" t="n">
        <v>0</v>
      </c>
      <c r="Y4978" s="182" t="n">
        <v>0</v>
      </c>
      <c r="Z4978" s="182" t="n">
        <v>0</v>
      </c>
      <c r="AA4978" s="182" t="n">
        <v>0</v>
      </c>
      <c r="AB4978" s="182" t="n">
        <v>0</v>
      </c>
      <c r="AC4978" s="182" t="n">
        <v>0</v>
      </c>
      <c r="AD4978" s="182" t="n">
        <v>0</v>
      </c>
      <c r="AE4978" s="182" t="n">
        <v>0</v>
      </c>
      <c r="AF4978" s="182" t="n">
        <v>0</v>
      </c>
      <c r="AG4978" s="182" t="n">
        <v>0</v>
      </c>
      <c r="AH4978" s="182" t="n">
        <v>0</v>
      </c>
      <c r="AI4978" s="182" t="n">
        <v>0</v>
      </c>
      <c r="AJ4978" s="182" t="n">
        <v>0</v>
      </c>
      <c r="AK4978" s="182" t="n">
        <v>0</v>
      </c>
      <c r="AL4978" s="182" t="n">
        <v>0</v>
      </c>
      <c r="AM4978" s="182" t="n">
        <v>0</v>
      </c>
      <c r="AN4978" s="182" t="n">
        <v>0</v>
      </c>
    </row>
    <row r="4979">
      <c r="A4979" s="155" t="n">
        <v>46104</v>
      </c>
      <c r="B4979" s="156" t="inlineStr">
        <is>
          <t>NS</t>
        </is>
      </c>
      <c r="C4979" s="156" t="inlineStr">
        <is>
          <t>HT-407</t>
        </is>
      </c>
      <c r="D4979" s="156" t="inlineStr">
        <is>
          <t>SY430</t>
        </is>
      </c>
      <c r="E4979" s="156" t="inlineStr">
        <is>
          <t>DT Hauling</t>
        </is>
      </c>
      <c r="F4979" s="156" t="inlineStr"/>
      <c r="G4979" s="182" t="n">
        <v>0</v>
      </c>
      <c r="H4979" s="182" t="n">
        <v>0</v>
      </c>
      <c r="I4979" s="182" t="n">
        <v>0</v>
      </c>
      <c r="J4979" s="182" t="n">
        <v>0</v>
      </c>
      <c r="K4979" s="182" t="n">
        <v>12</v>
      </c>
      <c r="L4979" s="182" t="n">
        <v>12</v>
      </c>
      <c r="M4979" s="182" t="n">
        <v>0</v>
      </c>
      <c r="N4979" s="182" t="n">
        <v>0</v>
      </c>
      <c r="O4979" s="183" t="n">
        <v>0</v>
      </c>
      <c r="P4979" s="183" t="n">
        <v>0</v>
      </c>
      <c r="Q4979" s="184" t="n">
        <v>0</v>
      </c>
      <c r="R4979" s="184" t="n">
        <v>0</v>
      </c>
      <c r="S4979" s="183" t="n">
        <v>0</v>
      </c>
      <c r="T4979" s="183" t="n">
        <v>0</v>
      </c>
      <c r="U4979" s="182" t="n">
        <v>0</v>
      </c>
      <c r="V4979" s="182" t="n">
        <v>0</v>
      </c>
      <c r="W4979" s="182" t="n">
        <v>0</v>
      </c>
      <c r="X4979" s="182" t="n">
        <v>1</v>
      </c>
      <c r="Y4979" s="182" t="n">
        <v>0</v>
      </c>
      <c r="Z4979" s="182" t="n">
        <v>0</v>
      </c>
      <c r="AA4979" s="182" t="n">
        <v>0</v>
      </c>
      <c r="AB4979" s="182" t="n">
        <v>0</v>
      </c>
      <c r="AC4979" s="182" t="n">
        <v>0</v>
      </c>
      <c r="AD4979" s="182" t="n">
        <v>0</v>
      </c>
      <c r="AE4979" s="182" t="n">
        <v>0</v>
      </c>
      <c r="AF4979" s="182" t="n">
        <v>0</v>
      </c>
      <c r="AG4979" s="182" t="n">
        <v>0</v>
      </c>
      <c r="AH4979" s="182" t="n">
        <v>0</v>
      </c>
      <c r="AI4979" s="182" t="n">
        <v>0</v>
      </c>
      <c r="AJ4979" s="182" t="n">
        <v>0</v>
      </c>
      <c r="AK4979" s="182" t="n">
        <v>10.92</v>
      </c>
      <c r="AL4979" s="182" t="n">
        <v>0</v>
      </c>
      <c r="AM4979" s="182" t="n">
        <v>0.08</v>
      </c>
      <c r="AN4979" s="182" t="n">
        <v>0</v>
      </c>
    </row>
    <row r="4980">
      <c r="A4980" s="155" t="n">
        <v>46104</v>
      </c>
      <c r="B4980" s="156" t="inlineStr">
        <is>
          <t>NS</t>
        </is>
      </c>
      <c r="C4980" s="156" t="inlineStr">
        <is>
          <t>HT-414</t>
        </is>
      </c>
      <c r="D4980" s="156" t="inlineStr">
        <is>
          <t>SY430</t>
        </is>
      </c>
      <c r="E4980" s="156" t="inlineStr">
        <is>
          <t>DT Hauling</t>
        </is>
      </c>
      <c r="F4980" s="156" t="inlineStr"/>
      <c r="G4980" s="182" t="n">
        <v>0</v>
      </c>
      <c r="H4980" s="182" t="n">
        <v>0</v>
      </c>
      <c r="I4980" s="182" t="n">
        <v>0.28</v>
      </c>
      <c r="J4980" s="182" t="n">
        <v>0.28</v>
      </c>
      <c r="K4980" s="182" t="n">
        <v>11.72</v>
      </c>
      <c r="L4980" s="182" t="n">
        <v>12</v>
      </c>
      <c r="M4980" s="182" t="n">
        <v>0</v>
      </c>
      <c r="N4980" s="182" t="n">
        <v>0</v>
      </c>
      <c r="O4980" s="183" t="n">
        <v>0</v>
      </c>
      <c r="P4980" s="183" t="n">
        <v>0</v>
      </c>
      <c r="Q4980" s="184" t="n">
        <v>0</v>
      </c>
      <c r="R4980" s="184" t="n">
        <v>0</v>
      </c>
      <c r="S4980" s="183" t="n">
        <v>0</v>
      </c>
      <c r="T4980" s="183" t="n">
        <v>0</v>
      </c>
      <c r="U4980" s="182" t="n">
        <v>0</v>
      </c>
      <c r="V4980" s="182" t="n">
        <v>0</v>
      </c>
      <c r="W4980" s="182" t="n">
        <v>0</v>
      </c>
      <c r="X4980" s="182" t="n">
        <v>1</v>
      </c>
      <c r="Y4980" s="182" t="n">
        <v>0</v>
      </c>
      <c r="Z4980" s="182" t="n">
        <v>0</v>
      </c>
      <c r="AA4980" s="182" t="n">
        <v>0</v>
      </c>
      <c r="AB4980" s="182" t="n">
        <v>0</v>
      </c>
      <c r="AC4980" s="182" t="n">
        <v>0</v>
      </c>
      <c r="AD4980" s="182" t="n">
        <v>0</v>
      </c>
      <c r="AE4980" s="182" t="n">
        <v>0</v>
      </c>
      <c r="AF4980" s="182" t="n">
        <v>0</v>
      </c>
      <c r="AG4980" s="182" t="n">
        <v>0</v>
      </c>
      <c r="AH4980" s="182" t="n">
        <v>0</v>
      </c>
      <c r="AI4980" s="182" t="n">
        <v>0</v>
      </c>
      <c r="AJ4980" s="182" t="n">
        <v>0</v>
      </c>
      <c r="AK4980" s="182" t="n">
        <v>10.63</v>
      </c>
      <c r="AL4980" s="182" t="n">
        <v>0</v>
      </c>
      <c r="AM4980" s="182" t="n">
        <v>0.08</v>
      </c>
      <c r="AN4980" s="182" t="n">
        <v>0</v>
      </c>
    </row>
    <row r="4981">
      <c r="A4981" s="155" t="n">
        <v>46104</v>
      </c>
      <c r="B4981" s="156" t="inlineStr">
        <is>
          <t>NS</t>
        </is>
      </c>
      <c r="C4981" s="156" t="inlineStr">
        <is>
          <t>HT-411</t>
        </is>
      </c>
      <c r="D4981" s="156" t="inlineStr">
        <is>
          <t>SY430</t>
        </is>
      </c>
      <c r="E4981" s="156" t="inlineStr">
        <is>
          <t>DT Hauling</t>
        </is>
      </c>
      <c r="F4981" s="156" t="inlineStr"/>
      <c r="G4981" s="182" t="n">
        <v>0</v>
      </c>
      <c r="H4981" s="182" t="n">
        <v>0</v>
      </c>
      <c r="I4981" s="182" t="n">
        <v>0</v>
      </c>
      <c r="J4981" s="182" t="n">
        <v>0</v>
      </c>
      <c r="K4981" s="182" t="n">
        <v>12</v>
      </c>
      <c r="L4981" s="182" t="n">
        <v>12</v>
      </c>
      <c r="M4981" s="182" t="n">
        <v>0</v>
      </c>
      <c r="N4981" s="182" t="n">
        <v>0</v>
      </c>
      <c r="O4981" s="183" t="n">
        <v>0</v>
      </c>
      <c r="P4981" s="183" t="n">
        <v>0</v>
      </c>
      <c r="Q4981" s="184" t="n">
        <v>0</v>
      </c>
      <c r="R4981" s="184" t="n">
        <v>0</v>
      </c>
      <c r="S4981" s="183" t="n">
        <v>0</v>
      </c>
      <c r="T4981" s="183" t="n">
        <v>0</v>
      </c>
      <c r="U4981" s="182" t="n">
        <v>0</v>
      </c>
      <c r="V4981" s="182" t="n">
        <v>0</v>
      </c>
      <c r="W4981" s="182" t="n">
        <v>0</v>
      </c>
      <c r="X4981" s="182" t="n">
        <v>1</v>
      </c>
      <c r="Y4981" s="182" t="n">
        <v>0</v>
      </c>
      <c r="Z4981" s="182" t="n">
        <v>0</v>
      </c>
      <c r="AA4981" s="182" t="n">
        <v>0</v>
      </c>
      <c r="AB4981" s="182" t="n">
        <v>0</v>
      </c>
      <c r="AC4981" s="182" t="n">
        <v>0</v>
      </c>
      <c r="AD4981" s="182" t="n">
        <v>0</v>
      </c>
      <c r="AE4981" s="182" t="n">
        <v>0</v>
      </c>
      <c r="AF4981" s="182" t="n">
        <v>0</v>
      </c>
      <c r="AG4981" s="182" t="n">
        <v>0</v>
      </c>
      <c r="AH4981" s="182" t="n">
        <v>0</v>
      </c>
      <c r="AI4981" s="182" t="n">
        <v>0</v>
      </c>
      <c r="AJ4981" s="182" t="n">
        <v>0</v>
      </c>
      <c r="AK4981" s="182" t="n">
        <v>10.92</v>
      </c>
      <c r="AL4981" s="182" t="n">
        <v>0</v>
      </c>
      <c r="AM4981" s="182" t="n">
        <v>0.08</v>
      </c>
      <c r="AN4981" s="182" t="n">
        <v>0</v>
      </c>
    </row>
    <row r="4982">
      <c r="A4982" s="155" t="n">
        <v>46104</v>
      </c>
      <c r="B4982" s="156" t="inlineStr">
        <is>
          <t>NS</t>
        </is>
      </c>
      <c r="C4982" s="156" t="inlineStr">
        <is>
          <t>HT-409</t>
        </is>
      </c>
      <c r="D4982" s="156" t="inlineStr">
        <is>
          <t>SY430</t>
        </is>
      </c>
      <c r="E4982" s="156" t="inlineStr">
        <is>
          <t>DT Hauling</t>
        </is>
      </c>
      <c r="F4982" s="156" t="inlineStr"/>
      <c r="G4982" s="182" t="n">
        <v>0</v>
      </c>
      <c r="H4982" s="182" t="n">
        <v>0</v>
      </c>
      <c r="I4982" s="182" t="n">
        <v>12</v>
      </c>
      <c r="J4982" s="182" t="n">
        <v>12</v>
      </c>
      <c r="K4982" s="182" t="n">
        <v>0</v>
      </c>
      <c r="L4982" s="182" t="n">
        <v>12</v>
      </c>
      <c r="M4982" s="182" t="n">
        <v>0</v>
      </c>
      <c r="N4982" s="182" t="n">
        <v>0</v>
      </c>
      <c r="O4982" s="183" t="n">
        <v>0</v>
      </c>
      <c r="P4982" s="183" t="n">
        <v>0</v>
      </c>
      <c r="Q4982" s="184" t="n">
        <v>0</v>
      </c>
      <c r="R4982" s="184" t="n">
        <v>0</v>
      </c>
      <c r="S4982" s="183" t="n">
        <v>0</v>
      </c>
      <c r="T4982" s="183" t="n">
        <v>0</v>
      </c>
      <c r="U4982" s="182" t="n">
        <v>0</v>
      </c>
      <c r="V4982" s="182" t="n">
        <v>0</v>
      </c>
      <c r="W4982" s="182" t="n">
        <v>0</v>
      </c>
      <c r="X4982" s="182" t="n">
        <v>0</v>
      </c>
      <c r="Y4982" s="182" t="n">
        <v>0</v>
      </c>
      <c r="Z4982" s="182" t="n">
        <v>0</v>
      </c>
      <c r="AA4982" s="182" t="n">
        <v>0</v>
      </c>
      <c r="AB4982" s="182" t="n">
        <v>0</v>
      </c>
      <c r="AC4982" s="182" t="n">
        <v>0</v>
      </c>
      <c r="AD4982" s="182" t="n">
        <v>0</v>
      </c>
      <c r="AE4982" s="182" t="n">
        <v>0</v>
      </c>
      <c r="AF4982" s="182" t="n">
        <v>0</v>
      </c>
      <c r="AG4982" s="182" t="n">
        <v>0</v>
      </c>
      <c r="AH4982" s="182" t="n">
        <v>0</v>
      </c>
      <c r="AI4982" s="182" t="n">
        <v>0</v>
      </c>
      <c r="AJ4982" s="182" t="n">
        <v>0</v>
      </c>
      <c r="AK4982" s="182" t="n">
        <v>0</v>
      </c>
      <c r="AL4982" s="182" t="n">
        <v>0</v>
      </c>
      <c r="AM4982" s="182" t="n">
        <v>0</v>
      </c>
      <c r="AN4982" s="182" t="n">
        <v>0</v>
      </c>
    </row>
    <row r="4983">
      <c r="A4983" s="155" t="n">
        <v>46104</v>
      </c>
      <c r="B4983" s="156" t="inlineStr">
        <is>
          <t>NS</t>
        </is>
      </c>
      <c r="C4983" s="156" t="inlineStr">
        <is>
          <t>DH-103</t>
        </is>
      </c>
      <c r="D4983" s="156" t="inlineStr">
        <is>
          <t>HINO FM260</t>
        </is>
      </c>
      <c r="E4983" s="156" t="inlineStr">
        <is>
          <t>DT Hino</t>
        </is>
      </c>
      <c r="F4983" s="156" t="inlineStr"/>
      <c r="G4983" s="182" t="n">
        <v>0</v>
      </c>
      <c r="H4983" s="182" t="n">
        <v>0</v>
      </c>
      <c r="I4983" s="182" t="n">
        <v>0</v>
      </c>
      <c r="J4983" s="182" t="n">
        <v>0</v>
      </c>
      <c r="K4983" s="182" t="n">
        <v>12</v>
      </c>
      <c r="L4983" s="182" t="n">
        <v>12</v>
      </c>
      <c r="M4983" s="182" t="n">
        <v>0</v>
      </c>
      <c r="N4983" s="182" t="n">
        <v>0</v>
      </c>
      <c r="O4983" s="183" t="n">
        <v>0</v>
      </c>
      <c r="P4983" s="183" t="n">
        <v>0</v>
      </c>
      <c r="Q4983" s="184" t="n">
        <v>0</v>
      </c>
      <c r="R4983" s="184" t="n">
        <v>0</v>
      </c>
      <c r="S4983" s="183" t="n">
        <v>0</v>
      </c>
      <c r="T4983" s="183" t="n">
        <v>0</v>
      </c>
      <c r="U4983" s="182" t="n">
        <v>0</v>
      </c>
      <c r="V4983" s="182" t="n">
        <v>0</v>
      </c>
      <c r="W4983" s="182" t="n">
        <v>0</v>
      </c>
      <c r="X4983" s="182" t="n">
        <v>1</v>
      </c>
      <c r="Y4983" s="182" t="n">
        <v>0</v>
      </c>
      <c r="Z4983" s="182" t="n">
        <v>0</v>
      </c>
      <c r="AA4983" s="182" t="n">
        <v>0</v>
      </c>
      <c r="AB4983" s="182" t="n">
        <v>0</v>
      </c>
      <c r="AC4983" s="182" t="n">
        <v>0</v>
      </c>
      <c r="AD4983" s="182" t="n">
        <v>0</v>
      </c>
      <c r="AE4983" s="182" t="n">
        <v>0</v>
      </c>
      <c r="AF4983" s="182" t="n">
        <v>0</v>
      </c>
      <c r="AG4983" s="182" t="n">
        <v>0</v>
      </c>
      <c r="AH4983" s="182" t="n">
        <v>0</v>
      </c>
      <c r="AI4983" s="182" t="n">
        <v>0</v>
      </c>
      <c r="AJ4983" s="182" t="n">
        <v>0</v>
      </c>
      <c r="AK4983" s="182" t="n">
        <v>10.92</v>
      </c>
      <c r="AL4983" s="182" t="n">
        <v>0</v>
      </c>
      <c r="AM4983" s="182" t="n">
        <v>0.08</v>
      </c>
      <c r="AN4983" s="182" t="n">
        <v>0</v>
      </c>
    </row>
    <row r="4984">
      <c r="A4984" s="155" t="n">
        <v>46104</v>
      </c>
      <c r="B4984" s="156" t="inlineStr">
        <is>
          <t>NS</t>
        </is>
      </c>
      <c r="C4984" s="156" t="inlineStr">
        <is>
          <t>DH-102</t>
        </is>
      </c>
      <c r="D4984" s="156" t="inlineStr">
        <is>
          <t>HINO FM260</t>
        </is>
      </c>
      <c r="E4984" s="156" t="inlineStr">
        <is>
          <t>DT Hino</t>
        </is>
      </c>
      <c r="F4984" s="156" t="inlineStr"/>
      <c r="G4984" s="182" t="n">
        <v>0</v>
      </c>
      <c r="H4984" s="182" t="n">
        <v>0</v>
      </c>
      <c r="I4984" s="182" t="n">
        <v>0</v>
      </c>
      <c r="J4984" s="182" t="n">
        <v>0</v>
      </c>
      <c r="K4984" s="182" t="n">
        <v>12</v>
      </c>
      <c r="L4984" s="182" t="n">
        <v>12</v>
      </c>
      <c r="M4984" s="182" t="n">
        <v>0</v>
      </c>
      <c r="N4984" s="182" t="n">
        <v>0</v>
      </c>
      <c r="O4984" s="183" t="n">
        <v>0</v>
      </c>
      <c r="P4984" s="183" t="n">
        <v>0</v>
      </c>
      <c r="Q4984" s="184" t="n">
        <v>0</v>
      </c>
      <c r="R4984" s="184" t="n">
        <v>0</v>
      </c>
      <c r="S4984" s="183" t="n">
        <v>0</v>
      </c>
      <c r="T4984" s="183" t="n">
        <v>0</v>
      </c>
      <c r="U4984" s="182" t="n">
        <v>0</v>
      </c>
      <c r="V4984" s="182" t="n">
        <v>0</v>
      </c>
      <c r="W4984" s="182" t="n">
        <v>0</v>
      </c>
      <c r="X4984" s="182" t="n">
        <v>1</v>
      </c>
      <c r="Y4984" s="182" t="n">
        <v>0</v>
      </c>
      <c r="Z4984" s="182" t="n">
        <v>0</v>
      </c>
      <c r="AA4984" s="182" t="n">
        <v>0</v>
      </c>
      <c r="AB4984" s="182" t="n">
        <v>0</v>
      </c>
      <c r="AC4984" s="182" t="n">
        <v>0</v>
      </c>
      <c r="AD4984" s="182" t="n">
        <v>0</v>
      </c>
      <c r="AE4984" s="182" t="n">
        <v>0</v>
      </c>
      <c r="AF4984" s="182" t="n">
        <v>0</v>
      </c>
      <c r="AG4984" s="182" t="n">
        <v>0</v>
      </c>
      <c r="AH4984" s="182" t="n">
        <v>0</v>
      </c>
      <c r="AI4984" s="182" t="n">
        <v>0</v>
      </c>
      <c r="AJ4984" s="182" t="n">
        <v>0</v>
      </c>
      <c r="AK4984" s="182" t="n">
        <v>10.92</v>
      </c>
      <c r="AL4984" s="182" t="n">
        <v>0</v>
      </c>
      <c r="AM4984" s="182" t="n">
        <v>0.08</v>
      </c>
      <c r="AN4984" s="182" t="n">
        <v>0</v>
      </c>
    </row>
    <row r="4985">
      <c r="A4985" s="155" t="n">
        <v>46104</v>
      </c>
      <c r="B4985" s="156" t="inlineStr">
        <is>
          <t>NS</t>
        </is>
      </c>
      <c r="C4985" s="156" t="inlineStr">
        <is>
          <t>DH-101</t>
        </is>
      </c>
      <c r="D4985" s="156" t="inlineStr">
        <is>
          <t>HINO FM260</t>
        </is>
      </c>
      <c r="E4985" s="156" t="inlineStr">
        <is>
          <t>DT Hino</t>
        </is>
      </c>
      <c r="F4985" s="156" t="inlineStr"/>
      <c r="G4985" s="182" t="n">
        <v>0</v>
      </c>
      <c r="H4985" s="182" t="n">
        <v>0</v>
      </c>
      <c r="I4985" s="182" t="n">
        <v>0</v>
      </c>
      <c r="J4985" s="182" t="n">
        <v>0</v>
      </c>
      <c r="K4985" s="182" t="n">
        <v>12</v>
      </c>
      <c r="L4985" s="182" t="n">
        <v>12</v>
      </c>
      <c r="M4985" s="182" t="n">
        <v>0</v>
      </c>
      <c r="N4985" s="182" t="n">
        <v>0</v>
      </c>
      <c r="O4985" s="183" t="n">
        <v>0</v>
      </c>
      <c r="P4985" s="183" t="n">
        <v>0</v>
      </c>
      <c r="Q4985" s="184" t="n">
        <v>0</v>
      </c>
      <c r="R4985" s="184" t="n">
        <v>0</v>
      </c>
      <c r="S4985" s="183" t="n">
        <v>0</v>
      </c>
      <c r="T4985" s="183" t="n">
        <v>0</v>
      </c>
      <c r="U4985" s="182" t="n">
        <v>0</v>
      </c>
      <c r="V4985" s="182" t="n">
        <v>0</v>
      </c>
      <c r="W4985" s="182" t="n">
        <v>0</v>
      </c>
      <c r="X4985" s="182" t="n">
        <v>1</v>
      </c>
      <c r="Y4985" s="182" t="n">
        <v>0</v>
      </c>
      <c r="Z4985" s="182" t="n">
        <v>0</v>
      </c>
      <c r="AA4985" s="182" t="n">
        <v>0</v>
      </c>
      <c r="AB4985" s="182" t="n">
        <v>0</v>
      </c>
      <c r="AC4985" s="182" t="n">
        <v>0</v>
      </c>
      <c r="AD4985" s="182" t="n">
        <v>0</v>
      </c>
      <c r="AE4985" s="182" t="n">
        <v>0</v>
      </c>
      <c r="AF4985" s="182" t="n">
        <v>0</v>
      </c>
      <c r="AG4985" s="182" t="n">
        <v>0</v>
      </c>
      <c r="AH4985" s="182" t="n">
        <v>0</v>
      </c>
      <c r="AI4985" s="182" t="n">
        <v>0</v>
      </c>
      <c r="AJ4985" s="182" t="n">
        <v>0</v>
      </c>
      <c r="AK4985" s="182" t="n">
        <v>10.92</v>
      </c>
      <c r="AL4985" s="182" t="n">
        <v>0</v>
      </c>
      <c r="AM4985" s="182" t="n">
        <v>0.08</v>
      </c>
      <c r="AN4985" s="182" t="n">
        <v>0</v>
      </c>
    </row>
    <row r="4986">
      <c r="A4986" s="155" t="n">
        <v>46104</v>
      </c>
      <c r="B4986" s="156" t="inlineStr">
        <is>
          <t>NS</t>
        </is>
      </c>
      <c r="C4986" s="156" t="inlineStr">
        <is>
          <t>EX-1251</t>
        </is>
      </c>
      <c r="D4986" s="156" t="inlineStr">
        <is>
          <t>SY1250</t>
        </is>
      </c>
      <c r="E4986" s="156" t="inlineStr">
        <is>
          <t>Excavator</t>
        </is>
      </c>
      <c r="F4986" s="156" t="inlineStr">
        <is>
          <t>Loading OB</t>
        </is>
      </c>
      <c r="G4986" s="182" t="n">
        <v>4.3</v>
      </c>
      <c r="H4986" s="182" t="n">
        <v>0</v>
      </c>
      <c r="I4986" s="182" t="n">
        <v>0</v>
      </c>
      <c r="J4986" s="182" t="n">
        <v>0</v>
      </c>
      <c r="K4986" s="182" t="n">
        <v>7.7</v>
      </c>
      <c r="L4986" s="182" t="n">
        <v>12</v>
      </c>
      <c r="M4986" s="182" t="n">
        <v>3.34</v>
      </c>
      <c r="N4986" s="182" t="n">
        <v>0</v>
      </c>
      <c r="O4986" s="185">
        <f>SUMIFS(INPUT_RITASE!$F$5:$F$20000,INPUT_RITASE!$A$5:$A$20000,$A4986,INPUT_RITASE!$H$5:$H$20000,$B4986,INPUT_RITASE!$C$5:$C$20000,$C4986,INPUT_RITASE!$N$5:$N$20000,"OB")</f>
        <v/>
      </c>
      <c r="P4986" s="185">
        <f>SUMIFS(INPUT_RITASE!$F$5:$F$20000,INPUT_RITASE!$A$5:$A$20000,$A4986,INPUT_RITASE!$H$5:$H$20000,$B4986,INPUT_RITASE!$C$5:$C$20000,$C4986,INPUT_RITASE!$N$5:$N$20000,"Coal")</f>
        <v/>
      </c>
      <c r="Q4986" s="186">
        <f>SUMIFS(INPUT_RITASE!$L$5:$L$20000,INPUT_RITASE!$A$5:$A$20000,$A4986,INPUT_RITASE!$H$5:$H$20000,$B4986,INPUT_RITASE!$C$5:$C$20000,$C4986,INPUT_RITASE!$N$5:$N$20000,"OB")</f>
        <v/>
      </c>
      <c r="R4986" s="186">
        <f>SUMIFS(INPUT_RITASE!$L$5:$L$20000,INPUT_RITASE!$A$5:$A$20000,$A4986,INPUT_RITASE!$H$5:$H$20000,$B4986,INPUT_RITASE!$C$5:$C$20000,$C4986,INPUT_RITASE!$N$5:$N$20000,"Coal")</f>
        <v/>
      </c>
      <c r="S4986" s="183" t="n">
        <v>0</v>
      </c>
      <c r="T4986" s="183" t="n">
        <v>0</v>
      </c>
      <c r="U4986" s="182" t="n">
        <v>6.6</v>
      </c>
      <c r="V4986" s="182" t="n">
        <v>0</v>
      </c>
      <c r="W4986" s="182" t="n">
        <v>0</v>
      </c>
      <c r="X4986" s="182" t="n">
        <v>1.02</v>
      </c>
      <c r="Y4986" s="182" t="n">
        <v>0</v>
      </c>
      <c r="Z4986" s="182" t="n">
        <v>0</v>
      </c>
      <c r="AA4986" s="182" t="n">
        <v>0</v>
      </c>
      <c r="AB4986" s="182" t="n">
        <v>0</v>
      </c>
      <c r="AC4986" s="182" t="n">
        <v>0</v>
      </c>
      <c r="AD4986" s="182" t="n">
        <v>0</v>
      </c>
      <c r="AE4986" s="182" t="n">
        <v>0</v>
      </c>
      <c r="AF4986" s="182" t="n">
        <v>0</v>
      </c>
      <c r="AG4986" s="182" t="n">
        <v>0</v>
      </c>
      <c r="AH4986" s="182" t="n">
        <v>0</v>
      </c>
      <c r="AI4986" s="182" t="n">
        <v>0</v>
      </c>
      <c r="AJ4986" s="182" t="n">
        <v>0</v>
      </c>
      <c r="AK4986" s="182" t="n">
        <v>0</v>
      </c>
      <c r="AL4986" s="182" t="n">
        <v>0</v>
      </c>
      <c r="AM4986" s="182" t="n">
        <v>0.08</v>
      </c>
      <c r="AN4986" s="182" t="n">
        <v>0</v>
      </c>
    </row>
    <row r="4987">
      <c r="A4987" s="155" t="n">
        <v>46104</v>
      </c>
      <c r="B4987" s="156" t="inlineStr">
        <is>
          <t>NS</t>
        </is>
      </c>
      <c r="C4987" s="156" t="inlineStr">
        <is>
          <t>EX-1252</t>
        </is>
      </c>
      <c r="D4987" s="156" t="inlineStr">
        <is>
          <t>SY1250</t>
        </is>
      </c>
      <c r="E4987" s="156" t="inlineStr">
        <is>
          <t>Excavator</t>
        </is>
      </c>
      <c r="F4987" s="156" t="inlineStr">
        <is>
          <t>Loading OB</t>
        </is>
      </c>
      <c r="G4987" s="182" t="n">
        <v>4.81</v>
      </c>
      <c r="H4987" s="182" t="n">
        <v>0</v>
      </c>
      <c r="I4987" s="182" t="n">
        <v>0</v>
      </c>
      <c r="J4987" s="182" t="n">
        <v>0</v>
      </c>
      <c r="K4987" s="182" t="n">
        <v>7.19</v>
      </c>
      <c r="L4987" s="182" t="n">
        <v>12</v>
      </c>
      <c r="M4987" s="182" t="n">
        <v>3.81</v>
      </c>
      <c r="N4987" s="182" t="n">
        <v>0</v>
      </c>
      <c r="O4987" s="185">
        <f>SUMIFS(INPUT_RITASE!$F$5:$F$20000,INPUT_RITASE!$A$5:$A$20000,$A4987,INPUT_RITASE!$H$5:$H$20000,$B4987,INPUT_RITASE!$C$5:$C$20000,$C4987,INPUT_RITASE!$N$5:$N$20000,"OB")</f>
        <v/>
      </c>
      <c r="P4987" s="185">
        <f>SUMIFS(INPUT_RITASE!$F$5:$F$20000,INPUT_RITASE!$A$5:$A$20000,$A4987,INPUT_RITASE!$H$5:$H$20000,$B4987,INPUT_RITASE!$C$5:$C$20000,$C4987,INPUT_RITASE!$N$5:$N$20000,"Coal")</f>
        <v/>
      </c>
      <c r="Q4987" s="186">
        <f>SUMIFS(INPUT_RITASE!$L$5:$L$20000,INPUT_RITASE!$A$5:$A$20000,$A4987,INPUT_RITASE!$H$5:$H$20000,$B4987,INPUT_RITASE!$C$5:$C$20000,$C4987,INPUT_RITASE!$N$5:$N$20000,"OB")</f>
        <v/>
      </c>
      <c r="R4987" s="186">
        <f>SUMIFS(INPUT_RITASE!$L$5:$L$20000,INPUT_RITASE!$A$5:$A$20000,$A4987,INPUT_RITASE!$H$5:$H$20000,$B4987,INPUT_RITASE!$C$5:$C$20000,$C4987,INPUT_RITASE!$N$5:$N$20000,"Coal")</f>
        <v/>
      </c>
      <c r="S4987" s="183" t="n">
        <v>0</v>
      </c>
      <c r="T4987" s="183" t="n">
        <v>0</v>
      </c>
      <c r="U4987" s="182" t="n">
        <v>6.05</v>
      </c>
      <c r="V4987" s="182" t="n">
        <v>0</v>
      </c>
      <c r="W4987" s="182" t="n">
        <v>0</v>
      </c>
      <c r="X4987" s="182" t="n">
        <v>1.06</v>
      </c>
      <c r="Y4987" s="182" t="n">
        <v>0</v>
      </c>
      <c r="Z4987" s="182" t="n">
        <v>0</v>
      </c>
      <c r="AA4987" s="182" t="n">
        <v>0</v>
      </c>
      <c r="AB4987" s="182" t="n">
        <v>0</v>
      </c>
      <c r="AC4987" s="182" t="n">
        <v>0</v>
      </c>
      <c r="AD4987" s="182" t="n">
        <v>0</v>
      </c>
      <c r="AE4987" s="182" t="n">
        <v>0</v>
      </c>
      <c r="AF4987" s="182" t="n">
        <v>0</v>
      </c>
      <c r="AG4987" s="182" t="n">
        <v>0</v>
      </c>
      <c r="AH4987" s="182" t="n">
        <v>0</v>
      </c>
      <c r="AI4987" s="182" t="n">
        <v>0</v>
      </c>
      <c r="AJ4987" s="182" t="n">
        <v>0</v>
      </c>
      <c r="AK4987" s="182" t="n">
        <v>0</v>
      </c>
      <c r="AL4987" s="182" t="n">
        <v>0</v>
      </c>
      <c r="AM4987" s="182" t="n">
        <v>0.08</v>
      </c>
      <c r="AN4987" s="182" t="n">
        <v>0</v>
      </c>
    </row>
    <row r="4988">
      <c r="A4988" s="155" t="n">
        <v>46104</v>
      </c>
      <c r="B4988" s="156" t="inlineStr">
        <is>
          <t>NS</t>
        </is>
      </c>
      <c r="C4988" s="156" t="inlineStr">
        <is>
          <t>EX-2101</t>
        </is>
      </c>
      <c r="D4988" s="156" t="inlineStr">
        <is>
          <t>SY2000</t>
        </is>
      </c>
      <c r="E4988" s="156" t="inlineStr">
        <is>
          <t>Excavator</t>
        </is>
      </c>
      <c r="F4988" s="156" t="inlineStr">
        <is>
          <t>Loading OB</t>
        </is>
      </c>
      <c r="G4988" s="182" t="n">
        <v>3.8</v>
      </c>
      <c r="H4988" s="182" t="n">
        <v>0</v>
      </c>
      <c r="I4988" s="182" t="n">
        <v>0</v>
      </c>
      <c r="J4988" s="182" t="n">
        <v>0</v>
      </c>
      <c r="K4988" s="182" t="n">
        <v>8.199999999999999</v>
      </c>
      <c r="L4988" s="182" t="n">
        <v>12</v>
      </c>
      <c r="M4988" s="182" t="n">
        <v>3.54</v>
      </c>
      <c r="N4988" s="182" t="n">
        <v>0</v>
      </c>
      <c r="O4988" s="185">
        <f>SUMIFS(INPUT_RITASE!$F$5:$F$20000,INPUT_RITASE!$A$5:$A$20000,$A4988,INPUT_RITASE!$H$5:$H$20000,$B4988,INPUT_RITASE!$C$5:$C$20000,$C4988,INPUT_RITASE!$N$5:$N$20000,"OB")</f>
        <v/>
      </c>
      <c r="P4988" s="185">
        <f>SUMIFS(INPUT_RITASE!$F$5:$F$20000,INPUT_RITASE!$A$5:$A$20000,$A4988,INPUT_RITASE!$H$5:$H$20000,$B4988,INPUT_RITASE!$C$5:$C$20000,$C4988,INPUT_RITASE!$N$5:$N$20000,"Coal")</f>
        <v/>
      </c>
      <c r="Q4988" s="186">
        <f>SUMIFS(INPUT_RITASE!$L$5:$L$20000,INPUT_RITASE!$A$5:$A$20000,$A4988,INPUT_RITASE!$H$5:$H$20000,$B4988,INPUT_RITASE!$C$5:$C$20000,$C4988,INPUT_RITASE!$N$5:$N$20000,"OB")</f>
        <v/>
      </c>
      <c r="R4988" s="186">
        <f>SUMIFS(INPUT_RITASE!$L$5:$L$20000,INPUT_RITASE!$A$5:$A$20000,$A4988,INPUT_RITASE!$H$5:$H$20000,$B4988,INPUT_RITASE!$C$5:$C$20000,$C4988,INPUT_RITASE!$N$5:$N$20000,"Coal")</f>
        <v/>
      </c>
      <c r="S4988" s="183" t="n">
        <v>0</v>
      </c>
      <c r="T4988" s="183" t="n">
        <v>0</v>
      </c>
      <c r="U4988" s="182" t="n">
        <v>7.07</v>
      </c>
      <c r="V4988" s="182" t="n">
        <v>0</v>
      </c>
      <c r="W4988" s="182" t="n">
        <v>0</v>
      </c>
      <c r="X4988" s="182" t="n">
        <v>1.05</v>
      </c>
      <c r="Y4988" s="182" t="n">
        <v>0</v>
      </c>
      <c r="Z4988" s="182" t="n">
        <v>0</v>
      </c>
      <c r="AA4988" s="182" t="n">
        <v>0</v>
      </c>
      <c r="AB4988" s="182" t="n">
        <v>0</v>
      </c>
      <c r="AC4988" s="182" t="n">
        <v>0</v>
      </c>
      <c r="AD4988" s="182" t="n">
        <v>0</v>
      </c>
      <c r="AE4988" s="182" t="n">
        <v>0</v>
      </c>
      <c r="AF4988" s="182" t="n">
        <v>0</v>
      </c>
      <c r="AG4988" s="182" t="n">
        <v>0</v>
      </c>
      <c r="AH4988" s="182" t="n">
        <v>0</v>
      </c>
      <c r="AI4988" s="182" t="n">
        <v>0</v>
      </c>
      <c r="AJ4988" s="182" t="n">
        <v>0</v>
      </c>
      <c r="AK4988" s="182" t="n">
        <v>0</v>
      </c>
      <c r="AL4988" s="182" t="n">
        <v>0</v>
      </c>
      <c r="AM4988" s="182" t="n">
        <v>0.08</v>
      </c>
      <c r="AN4988" s="182" t="n">
        <v>0</v>
      </c>
    </row>
    <row r="4989">
      <c r="A4989" s="155" t="n">
        <v>46104</v>
      </c>
      <c r="B4989" s="156" t="inlineStr">
        <is>
          <t>NS</t>
        </is>
      </c>
      <c r="C4989" s="156" t="inlineStr">
        <is>
          <t>EX-222</t>
        </is>
      </c>
      <c r="D4989" s="156" t="inlineStr">
        <is>
          <t>PC 200-8MI</t>
        </is>
      </c>
      <c r="E4989" s="156" t="inlineStr">
        <is>
          <t>Excavator</t>
        </is>
      </c>
      <c r="F4989" s="156" t="inlineStr">
        <is>
          <t>Support Washing Plant</t>
        </is>
      </c>
      <c r="G4989" s="182" t="n">
        <v>11.86</v>
      </c>
      <c r="H4989" s="182" t="n">
        <v>0</v>
      </c>
      <c r="I4989" s="182" t="n">
        <v>0</v>
      </c>
      <c r="J4989" s="182" t="n">
        <v>0</v>
      </c>
      <c r="K4989" s="182" t="n">
        <v>0.14</v>
      </c>
      <c r="L4989" s="182" t="n">
        <v>12</v>
      </c>
      <c r="M4989" s="182" t="n">
        <v>0</v>
      </c>
      <c r="N4989" s="182" t="n">
        <v>0</v>
      </c>
      <c r="O4989" s="185">
        <f>SUMIFS(INPUT_RITASE!$F$5:$F$20000,INPUT_RITASE!$A$5:$A$20000,$A4989,INPUT_RITASE!$H$5:$H$20000,$B4989,INPUT_RITASE!$C$5:$C$20000,$C4989,INPUT_RITASE!$N$5:$N$20000,"OB")</f>
        <v/>
      </c>
      <c r="P4989" s="185">
        <f>SUMIFS(INPUT_RITASE!$F$5:$F$20000,INPUT_RITASE!$A$5:$A$20000,$A4989,INPUT_RITASE!$H$5:$H$20000,$B4989,INPUT_RITASE!$C$5:$C$20000,$C4989,INPUT_RITASE!$N$5:$N$20000,"Coal")</f>
        <v/>
      </c>
      <c r="Q4989" s="186">
        <f>SUMIFS(INPUT_RITASE!$L$5:$L$20000,INPUT_RITASE!$A$5:$A$20000,$A4989,INPUT_RITASE!$H$5:$H$20000,$B4989,INPUT_RITASE!$C$5:$C$20000,$C4989,INPUT_RITASE!$N$5:$N$20000,"OB")</f>
        <v/>
      </c>
      <c r="R4989" s="186">
        <f>SUMIFS(INPUT_RITASE!$L$5:$L$20000,INPUT_RITASE!$A$5:$A$20000,$A4989,INPUT_RITASE!$H$5:$H$20000,$B4989,INPUT_RITASE!$C$5:$C$20000,$C4989,INPUT_RITASE!$N$5:$N$20000,"Coal")</f>
        <v/>
      </c>
      <c r="S4989" s="183" t="n">
        <v>0</v>
      </c>
      <c r="T4989" s="183" t="n">
        <v>0</v>
      </c>
      <c r="U4989" s="182" t="n">
        <v>0</v>
      </c>
      <c r="V4989" s="182" t="n">
        <v>0</v>
      </c>
      <c r="W4989" s="182" t="n">
        <v>0</v>
      </c>
      <c r="X4989" s="182" t="n">
        <v>0</v>
      </c>
      <c r="Y4989" s="182" t="n">
        <v>0</v>
      </c>
      <c r="Z4989" s="182" t="n">
        <v>0</v>
      </c>
      <c r="AA4989" s="182" t="n">
        <v>0</v>
      </c>
      <c r="AB4989" s="182" t="n">
        <v>0</v>
      </c>
      <c r="AC4989" s="182" t="n">
        <v>0</v>
      </c>
      <c r="AD4989" s="182" t="n">
        <v>0</v>
      </c>
      <c r="AE4989" s="182" t="n">
        <v>0</v>
      </c>
      <c r="AF4989" s="182" t="n">
        <v>0</v>
      </c>
      <c r="AG4989" s="182" t="n">
        <v>0</v>
      </c>
      <c r="AH4989" s="182" t="n">
        <v>0</v>
      </c>
      <c r="AI4989" s="182" t="n">
        <v>0</v>
      </c>
      <c r="AJ4989" s="182" t="n">
        <v>0</v>
      </c>
      <c r="AK4989" s="182" t="n">
        <v>0</v>
      </c>
      <c r="AL4989" s="182" t="n">
        <v>0</v>
      </c>
      <c r="AM4989" s="182" t="n">
        <v>0</v>
      </c>
      <c r="AN4989" s="182" t="n">
        <v>0</v>
      </c>
    </row>
    <row r="4990">
      <c r="A4990" s="155" t="n">
        <v>46104</v>
      </c>
      <c r="B4990" s="156" t="inlineStr">
        <is>
          <t>NS</t>
        </is>
      </c>
      <c r="C4990" s="156" t="inlineStr">
        <is>
          <t>EX-225</t>
        </is>
      </c>
      <c r="D4990" s="156" t="inlineStr">
        <is>
          <t>PC 200-8</t>
        </is>
      </c>
      <c r="E4990" s="156" t="inlineStr">
        <is>
          <t>Excavator</t>
        </is>
      </c>
      <c r="F4990" s="156" t="inlineStr"/>
      <c r="G4990" s="182" t="n">
        <v>0</v>
      </c>
      <c r="H4990" s="182" t="n">
        <v>0</v>
      </c>
      <c r="I4990" s="182" t="n">
        <v>12</v>
      </c>
      <c r="J4990" s="182" t="n">
        <v>12</v>
      </c>
      <c r="K4990" s="182" t="n">
        <v>0</v>
      </c>
      <c r="L4990" s="182" t="n">
        <v>12</v>
      </c>
      <c r="M4990" s="182" t="n">
        <v>0</v>
      </c>
      <c r="N4990" s="182" t="n">
        <v>0</v>
      </c>
      <c r="O4990" s="185">
        <f>SUMIFS(INPUT_RITASE!$F$5:$F$20000,INPUT_RITASE!$A$5:$A$20000,$A4990,INPUT_RITASE!$H$5:$H$20000,$B4990,INPUT_RITASE!$C$5:$C$20000,$C4990,INPUT_RITASE!$N$5:$N$20000,"OB")</f>
        <v/>
      </c>
      <c r="P4990" s="185">
        <f>SUMIFS(INPUT_RITASE!$F$5:$F$20000,INPUT_RITASE!$A$5:$A$20000,$A4990,INPUT_RITASE!$H$5:$H$20000,$B4990,INPUT_RITASE!$C$5:$C$20000,$C4990,INPUT_RITASE!$N$5:$N$20000,"Coal")</f>
        <v/>
      </c>
      <c r="Q4990" s="186">
        <f>SUMIFS(INPUT_RITASE!$L$5:$L$20000,INPUT_RITASE!$A$5:$A$20000,$A4990,INPUT_RITASE!$H$5:$H$20000,$B4990,INPUT_RITASE!$C$5:$C$20000,$C4990,INPUT_RITASE!$N$5:$N$20000,"OB")</f>
        <v/>
      </c>
      <c r="R4990" s="186">
        <f>SUMIFS(INPUT_RITASE!$L$5:$L$20000,INPUT_RITASE!$A$5:$A$20000,$A4990,INPUT_RITASE!$H$5:$H$20000,$B4990,INPUT_RITASE!$C$5:$C$20000,$C4990,INPUT_RITASE!$N$5:$N$20000,"Coal")</f>
        <v/>
      </c>
      <c r="S4990" s="183" t="n">
        <v>0</v>
      </c>
      <c r="T4990" s="183" t="n">
        <v>0</v>
      </c>
      <c r="U4990" s="182" t="n">
        <v>0</v>
      </c>
      <c r="V4990" s="182" t="n">
        <v>0</v>
      </c>
      <c r="W4990" s="182" t="n">
        <v>0</v>
      </c>
      <c r="X4990" s="182" t="n">
        <v>0</v>
      </c>
      <c r="Y4990" s="182" t="n">
        <v>0</v>
      </c>
      <c r="Z4990" s="182" t="n">
        <v>0</v>
      </c>
      <c r="AA4990" s="182" t="n">
        <v>0</v>
      </c>
      <c r="AB4990" s="182" t="n">
        <v>0</v>
      </c>
      <c r="AC4990" s="182" t="n">
        <v>0</v>
      </c>
      <c r="AD4990" s="182" t="n">
        <v>0</v>
      </c>
      <c r="AE4990" s="182" t="n">
        <v>0</v>
      </c>
      <c r="AF4990" s="182" t="n">
        <v>0</v>
      </c>
      <c r="AG4990" s="182" t="n">
        <v>0</v>
      </c>
      <c r="AH4990" s="182" t="n">
        <v>0</v>
      </c>
      <c r="AI4990" s="182" t="n">
        <v>0</v>
      </c>
      <c r="AJ4990" s="182" t="n">
        <v>0</v>
      </c>
      <c r="AK4990" s="182" t="n">
        <v>0</v>
      </c>
      <c r="AL4990" s="182" t="n">
        <v>0</v>
      </c>
      <c r="AM4990" s="182" t="n">
        <v>0</v>
      </c>
      <c r="AN4990" s="182" t="n">
        <v>0</v>
      </c>
    </row>
    <row r="4991">
      <c r="A4991" s="155" t="n">
        <v>46104</v>
      </c>
      <c r="B4991" s="156" t="inlineStr">
        <is>
          <t>NS</t>
        </is>
      </c>
      <c r="C4991" s="156" t="inlineStr">
        <is>
          <t>EX-223</t>
        </is>
      </c>
      <c r="D4991" s="156" t="inlineStr">
        <is>
          <t>PC 200-8MI</t>
        </is>
      </c>
      <c r="E4991" s="156" t="inlineStr">
        <is>
          <t>Excavator</t>
        </is>
      </c>
      <c r="F4991" s="156" t="inlineStr">
        <is>
          <t>Trimming Coal di Stock ROM</t>
        </is>
      </c>
      <c r="G4991" s="182" t="n">
        <v>7.65</v>
      </c>
      <c r="H4991" s="182" t="n">
        <v>0</v>
      </c>
      <c r="I4991" s="182" t="n">
        <v>0</v>
      </c>
      <c r="J4991" s="182" t="n">
        <v>0</v>
      </c>
      <c r="K4991" s="182" t="n">
        <v>4.35</v>
      </c>
      <c r="L4991" s="182" t="n">
        <v>12</v>
      </c>
      <c r="M4991" s="182" t="n">
        <v>0</v>
      </c>
      <c r="N4991" s="182" t="n">
        <v>0</v>
      </c>
      <c r="O4991" s="185">
        <f>SUMIFS(INPUT_RITASE!$F$5:$F$20000,INPUT_RITASE!$A$5:$A$20000,$A4991,INPUT_RITASE!$H$5:$H$20000,$B4991,INPUT_RITASE!$C$5:$C$20000,$C4991,INPUT_RITASE!$N$5:$N$20000,"OB")</f>
        <v/>
      </c>
      <c r="P4991" s="185">
        <f>SUMIFS(INPUT_RITASE!$F$5:$F$20000,INPUT_RITASE!$A$5:$A$20000,$A4991,INPUT_RITASE!$H$5:$H$20000,$B4991,INPUT_RITASE!$C$5:$C$20000,$C4991,INPUT_RITASE!$N$5:$N$20000,"Coal")</f>
        <v/>
      </c>
      <c r="Q4991" s="186">
        <f>SUMIFS(INPUT_RITASE!$L$5:$L$20000,INPUT_RITASE!$A$5:$A$20000,$A4991,INPUT_RITASE!$H$5:$H$20000,$B4991,INPUT_RITASE!$C$5:$C$20000,$C4991,INPUT_RITASE!$N$5:$N$20000,"OB")</f>
        <v/>
      </c>
      <c r="R4991" s="186">
        <f>SUMIFS(INPUT_RITASE!$L$5:$L$20000,INPUT_RITASE!$A$5:$A$20000,$A4991,INPUT_RITASE!$H$5:$H$20000,$B4991,INPUT_RITASE!$C$5:$C$20000,$C4991,INPUT_RITASE!$N$5:$N$20000,"Coal")</f>
        <v/>
      </c>
      <c r="S4991" s="183" t="n">
        <v>0</v>
      </c>
      <c r="T4991" s="183" t="n">
        <v>0</v>
      </c>
      <c r="U4991" s="182" t="n">
        <v>3.26</v>
      </c>
      <c r="V4991" s="182" t="n">
        <v>0</v>
      </c>
      <c r="W4991" s="182" t="n">
        <v>0</v>
      </c>
      <c r="X4991" s="182" t="n">
        <v>1.01</v>
      </c>
      <c r="Y4991" s="182" t="n">
        <v>0</v>
      </c>
      <c r="Z4991" s="182" t="n">
        <v>0</v>
      </c>
      <c r="AA4991" s="182" t="n">
        <v>0</v>
      </c>
      <c r="AB4991" s="182" t="n">
        <v>0</v>
      </c>
      <c r="AC4991" s="182" t="n">
        <v>0</v>
      </c>
      <c r="AD4991" s="182" t="n">
        <v>0</v>
      </c>
      <c r="AE4991" s="182" t="n">
        <v>0</v>
      </c>
      <c r="AF4991" s="182" t="n">
        <v>0</v>
      </c>
      <c r="AG4991" s="182" t="n">
        <v>0</v>
      </c>
      <c r="AH4991" s="182" t="n">
        <v>0</v>
      </c>
      <c r="AI4991" s="182" t="n">
        <v>0</v>
      </c>
      <c r="AJ4991" s="182" t="n">
        <v>0</v>
      </c>
      <c r="AK4991" s="182" t="n">
        <v>0</v>
      </c>
      <c r="AL4991" s="182" t="n">
        <v>0</v>
      </c>
      <c r="AM4991" s="182" t="n">
        <v>0.08</v>
      </c>
      <c r="AN4991" s="182" t="n">
        <v>0</v>
      </c>
    </row>
    <row r="4992">
      <c r="A4992" s="155" t="n">
        <v>46104</v>
      </c>
      <c r="B4992" s="156" t="inlineStr">
        <is>
          <t>NS</t>
        </is>
      </c>
      <c r="C4992" s="156" t="inlineStr">
        <is>
          <t>EX-221</t>
        </is>
      </c>
      <c r="D4992" s="156" t="inlineStr">
        <is>
          <t>PC 200-8MI</t>
        </is>
      </c>
      <c r="E4992" s="156" t="inlineStr">
        <is>
          <t>Excavator</t>
        </is>
      </c>
      <c r="F4992" s="156" t="inlineStr">
        <is>
          <t>General Jetty</t>
        </is>
      </c>
      <c r="G4992" s="182" t="n">
        <v>0.82</v>
      </c>
      <c r="H4992" s="182" t="n">
        <v>0</v>
      </c>
      <c r="I4992" s="182" t="n">
        <v>0</v>
      </c>
      <c r="J4992" s="182" t="n">
        <v>0</v>
      </c>
      <c r="K4992" s="182" t="n">
        <v>11.18</v>
      </c>
      <c r="L4992" s="182" t="n">
        <v>12</v>
      </c>
      <c r="M4992" s="182" t="n">
        <v>0</v>
      </c>
      <c r="N4992" s="182" t="n">
        <v>0</v>
      </c>
      <c r="O4992" s="185">
        <f>SUMIFS(INPUT_RITASE!$F$5:$F$20000,INPUT_RITASE!$A$5:$A$20000,$A4992,INPUT_RITASE!$H$5:$H$20000,$B4992,INPUT_RITASE!$C$5:$C$20000,$C4992,INPUT_RITASE!$N$5:$N$20000,"OB")</f>
        <v/>
      </c>
      <c r="P4992" s="185">
        <f>SUMIFS(INPUT_RITASE!$F$5:$F$20000,INPUT_RITASE!$A$5:$A$20000,$A4992,INPUT_RITASE!$H$5:$H$20000,$B4992,INPUT_RITASE!$C$5:$C$20000,$C4992,INPUT_RITASE!$N$5:$N$20000,"Coal")</f>
        <v/>
      </c>
      <c r="Q4992" s="186">
        <f>SUMIFS(INPUT_RITASE!$L$5:$L$20000,INPUT_RITASE!$A$5:$A$20000,$A4992,INPUT_RITASE!$H$5:$H$20000,$B4992,INPUT_RITASE!$C$5:$C$20000,$C4992,INPUT_RITASE!$N$5:$N$20000,"OB")</f>
        <v/>
      </c>
      <c r="R4992" s="186">
        <f>SUMIFS(INPUT_RITASE!$L$5:$L$20000,INPUT_RITASE!$A$5:$A$20000,$A4992,INPUT_RITASE!$H$5:$H$20000,$B4992,INPUT_RITASE!$C$5:$C$20000,$C4992,INPUT_RITASE!$N$5:$N$20000,"Coal")</f>
        <v/>
      </c>
      <c r="S4992" s="183" t="n">
        <v>0</v>
      </c>
      <c r="T4992" s="183" t="n">
        <v>0</v>
      </c>
      <c r="U4992" s="182" t="n">
        <v>0</v>
      </c>
      <c r="V4992" s="182" t="n">
        <v>0</v>
      </c>
      <c r="W4992" s="182" t="n">
        <v>0</v>
      </c>
      <c r="X4992" s="182" t="n">
        <v>1.02</v>
      </c>
      <c r="Y4992" s="182" t="n">
        <v>0</v>
      </c>
      <c r="Z4992" s="182" t="n">
        <v>0</v>
      </c>
      <c r="AA4992" s="182" t="n">
        <v>0</v>
      </c>
      <c r="AB4992" s="182" t="n">
        <v>0</v>
      </c>
      <c r="AC4992" s="182" t="n">
        <v>0</v>
      </c>
      <c r="AD4992" s="182" t="n">
        <v>0</v>
      </c>
      <c r="AE4992" s="182" t="n">
        <v>0</v>
      </c>
      <c r="AF4992" s="182" t="n">
        <v>0</v>
      </c>
      <c r="AG4992" s="182" t="n">
        <v>0</v>
      </c>
      <c r="AH4992" s="182" t="n">
        <v>0</v>
      </c>
      <c r="AI4992" s="182" t="n">
        <v>0</v>
      </c>
      <c r="AJ4992" s="182" t="n">
        <v>0</v>
      </c>
      <c r="AK4992" s="182" t="n">
        <v>10.08</v>
      </c>
      <c r="AL4992" s="182" t="n">
        <v>0</v>
      </c>
      <c r="AM4992" s="182" t="n">
        <v>0.08</v>
      </c>
      <c r="AN4992" s="182" t="n">
        <v>0</v>
      </c>
    </row>
    <row r="4993">
      <c r="A4993" s="155" t="n">
        <v>46104</v>
      </c>
      <c r="B4993" s="156" t="inlineStr">
        <is>
          <t>NS</t>
        </is>
      </c>
      <c r="C4993" s="156" t="inlineStr">
        <is>
          <t>EX-331</t>
        </is>
      </c>
      <c r="D4993" s="156" t="inlineStr">
        <is>
          <t>PC 300-8MO</t>
        </is>
      </c>
      <c r="E4993" s="156" t="inlineStr">
        <is>
          <t>Excavator</t>
        </is>
      </c>
      <c r="F4993" s="156" t="inlineStr"/>
      <c r="G4993" s="182" t="n">
        <v>0</v>
      </c>
      <c r="H4993" s="182" t="n">
        <v>0</v>
      </c>
      <c r="I4993" s="182" t="n">
        <v>12</v>
      </c>
      <c r="J4993" s="182" t="n">
        <v>12</v>
      </c>
      <c r="K4993" s="182" t="n">
        <v>0</v>
      </c>
      <c r="L4993" s="182" t="n">
        <v>12</v>
      </c>
      <c r="M4993" s="182" t="n">
        <v>0</v>
      </c>
      <c r="N4993" s="182" t="n">
        <v>0</v>
      </c>
      <c r="O4993" s="185">
        <f>SUMIFS(INPUT_RITASE!$F$5:$F$20000,INPUT_RITASE!$A$5:$A$20000,$A4993,INPUT_RITASE!$H$5:$H$20000,$B4993,INPUT_RITASE!$C$5:$C$20000,$C4993,INPUT_RITASE!$N$5:$N$20000,"OB")</f>
        <v/>
      </c>
      <c r="P4993" s="185">
        <f>SUMIFS(INPUT_RITASE!$F$5:$F$20000,INPUT_RITASE!$A$5:$A$20000,$A4993,INPUT_RITASE!$H$5:$H$20000,$B4993,INPUT_RITASE!$C$5:$C$20000,$C4993,INPUT_RITASE!$N$5:$N$20000,"Coal")</f>
        <v/>
      </c>
      <c r="Q4993" s="186">
        <f>SUMIFS(INPUT_RITASE!$L$5:$L$20000,INPUT_RITASE!$A$5:$A$20000,$A4993,INPUT_RITASE!$H$5:$H$20000,$B4993,INPUT_RITASE!$C$5:$C$20000,$C4993,INPUT_RITASE!$N$5:$N$20000,"OB")</f>
        <v/>
      </c>
      <c r="R4993" s="186">
        <f>SUMIFS(INPUT_RITASE!$L$5:$L$20000,INPUT_RITASE!$A$5:$A$20000,$A4993,INPUT_RITASE!$H$5:$H$20000,$B4993,INPUT_RITASE!$C$5:$C$20000,$C4993,INPUT_RITASE!$N$5:$N$20000,"Coal")</f>
        <v/>
      </c>
      <c r="S4993" s="183" t="n">
        <v>0</v>
      </c>
      <c r="T4993" s="183" t="n">
        <v>0</v>
      </c>
      <c r="U4993" s="182" t="n">
        <v>0</v>
      </c>
      <c r="V4993" s="182" t="n">
        <v>0</v>
      </c>
      <c r="W4993" s="182" t="n">
        <v>0</v>
      </c>
      <c r="X4993" s="182" t="n">
        <v>0</v>
      </c>
      <c r="Y4993" s="182" t="n">
        <v>0</v>
      </c>
      <c r="Z4993" s="182" t="n">
        <v>0</v>
      </c>
      <c r="AA4993" s="182" t="n">
        <v>0</v>
      </c>
      <c r="AB4993" s="182" t="n">
        <v>0</v>
      </c>
      <c r="AC4993" s="182" t="n">
        <v>0</v>
      </c>
      <c r="AD4993" s="182" t="n">
        <v>0</v>
      </c>
      <c r="AE4993" s="182" t="n">
        <v>0</v>
      </c>
      <c r="AF4993" s="182" t="n">
        <v>0</v>
      </c>
      <c r="AG4993" s="182" t="n">
        <v>0</v>
      </c>
      <c r="AH4993" s="182" t="n">
        <v>0</v>
      </c>
      <c r="AI4993" s="182" t="n">
        <v>0</v>
      </c>
      <c r="AJ4993" s="182" t="n">
        <v>0</v>
      </c>
      <c r="AK4993" s="182" t="n">
        <v>0</v>
      </c>
      <c r="AL4993" s="182" t="n">
        <v>0</v>
      </c>
      <c r="AM4993" s="182" t="n">
        <v>0</v>
      </c>
      <c r="AN4993" s="182" t="n">
        <v>0</v>
      </c>
    </row>
    <row r="4994">
      <c r="A4994" s="155" t="n">
        <v>46104</v>
      </c>
      <c r="B4994" s="156" t="inlineStr">
        <is>
          <t>NS</t>
        </is>
      </c>
      <c r="C4994" s="156" t="inlineStr">
        <is>
          <t>EX-334</t>
        </is>
      </c>
      <c r="D4994" s="156" t="inlineStr">
        <is>
          <t>PC 300-8MO</t>
        </is>
      </c>
      <c r="E4994" s="156" t="inlineStr">
        <is>
          <t>Excavator</t>
        </is>
      </c>
      <c r="F4994" s="156" t="inlineStr">
        <is>
          <t>Cleaning Coal</t>
        </is>
      </c>
      <c r="G4994" s="182" t="n">
        <v>7.35</v>
      </c>
      <c r="H4994" s="182" t="n">
        <v>0</v>
      </c>
      <c r="I4994" s="182" t="n">
        <v>0</v>
      </c>
      <c r="J4994" s="182" t="n">
        <v>0</v>
      </c>
      <c r="K4994" s="182" t="n">
        <v>4.65</v>
      </c>
      <c r="L4994" s="182" t="n">
        <v>12</v>
      </c>
      <c r="M4994" s="182" t="n">
        <v>0</v>
      </c>
      <c r="N4994" s="182" t="n">
        <v>0</v>
      </c>
      <c r="O4994" s="185">
        <f>SUMIFS(INPUT_RITASE!$F$5:$F$20000,INPUT_RITASE!$A$5:$A$20000,$A4994,INPUT_RITASE!$H$5:$H$20000,$B4994,INPUT_RITASE!$C$5:$C$20000,$C4994,INPUT_RITASE!$N$5:$N$20000,"OB")</f>
        <v/>
      </c>
      <c r="P4994" s="185">
        <f>SUMIFS(INPUT_RITASE!$F$5:$F$20000,INPUT_RITASE!$A$5:$A$20000,$A4994,INPUT_RITASE!$H$5:$H$20000,$B4994,INPUT_RITASE!$C$5:$C$20000,$C4994,INPUT_RITASE!$N$5:$N$20000,"Coal")</f>
        <v/>
      </c>
      <c r="Q4994" s="186">
        <f>SUMIFS(INPUT_RITASE!$L$5:$L$20000,INPUT_RITASE!$A$5:$A$20000,$A4994,INPUT_RITASE!$H$5:$H$20000,$B4994,INPUT_RITASE!$C$5:$C$20000,$C4994,INPUT_RITASE!$N$5:$N$20000,"OB")</f>
        <v/>
      </c>
      <c r="R4994" s="186">
        <f>SUMIFS(INPUT_RITASE!$L$5:$L$20000,INPUT_RITASE!$A$5:$A$20000,$A4994,INPUT_RITASE!$H$5:$H$20000,$B4994,INPUT_RITASE!$C$5:$C$20000,$C4994,INPUT_RITASE!$N$5:$N$20000,"Coal")</f>
        <v/>
      </c>
      <c r="S4994" s="183" t="n">
        <v>0</v>
      </c>
      <c r="T4994" s="183" t="n">
        <v>0</v>
      </c>
      <c r="U4994" s="182" t="n">
        <v>3.56</v>
      </c>
      <c r="V4994" s="182" t="n">
        <v>0</v>
      </c>
      <c r="W4994" s="182" t="n">
        <v>0</v>
      </c>
      <c r="X4994" s="182" t="n">
        <v>1.01</v>
      </c>
      <c r="Y4994" s="182" t="n">
        <v>0</v>
      </c>
      <c r="Z4994" s="182" t="n">
        <v>0</v>
      </c>
      <c r="AA4994" s="182" t="n">
        <v>0</v>
      </c>
      <c r="AB4994" s="182" t="n">
        <v>0</v>
      </c>
      <c r="AC4994" s="182" t="n">
        <v>0</v>
      </c>
      <c r="AD4994" s="182" t="n">
        <v>0</v>
      </c>
      <c r="AE4994" s="182" t="n">
        <v>0</v>
      </c>
      <c r="AF4994" s="182" t="n">
        <v>0</v>
      </c>
      <c r="AG4994" s="182" t="n">
        <v>0</v>
      </c>
      <c r="AH4994" s="182" t="n">
        <v>0</v>
      </c>
      <c r="AI4994" s="182" t="n">
        <v>0</v>
      </c>
      <c r="AJ4994" s="182" t="n">
        <v>0</v>
      </c>
      <c r="AK4994" s="182" t="n">
        <v>0</v>
      </c>
      <c r="AL4994" s="182" t="n">
        <v>0</v>
      </c>
      <c r="AM4994" s="182" t="n">
        <v>0.08</v>
      </c>
      <c r="AN4994" s="182" t="n">
        <v>0</v>
      </c>
    </row>
    <row r="4995">
      <c r="A4995" s="155" t="n">
        <v>46104</v>
      </c>
      <c r="B4995" s="156" t="inlineStr">
        <is>
          <t>NS</t>
        </is>
      </c>
      <c r="C4995" s="156" t="inlineStr">
        <is>
          <t>EX-332</t>
        </is>
      </c>
      <c r="D4995" s="156" t="inlineStr">
        <is>
          <t>PC 300-8MO</t>
        </is>
      </c>
      <c r="E4995" s="156" t="inlineStr">
        <is>
          <t>Excavator</t>
        </is>
      </c>
      <c r="F4995" s="156" t="inlineStr">
        <is>
          <t>Cleaning Coal</t>
        </is>
      </c>
      <c r="G4995" s="182" t="n">
        <v>10.08</v>
      </c>
      <c r="H4995" s="182" t="n">
        <v>0</v>
      </c>
      <c r="I4995" s="182" t="n">
        <v>0</v>
      </c>
      <c r="J4995" s="182" t="n">
        <v>0</v>
      </c>
      <c r="K4995" s="182" t="n">
        <v>1.92</v>
      </c>
      <c r="L4995" s="182" t="n">
        <v>12</v>
      </c>
      <c r="M4995" s="182" t="n">
        <v>0</v>
      </c>
      <c r="N4995" s="182" t="n">
        <v>0</v>
      </c>
      <c r="O4995" s="185">
        <f>SUMIFS(INPUT_RITASE!$F$5:$F$20000,INPUT_RITASE!$A$5:$A$20000,$A4995,INPUT_RITASE!$H$5:$H$20000,$B4995,INPUT_RITASE!$C$5:$C$20000,$C4995,INPUT_RITASE!$N$5:$N$20000,"OB")</f>
        <v/>
      </c>
      <c r="P4995" s="185">
        <f>SUMIFS(INPUT_RITASE!$F$5:$F$20000,INPUT_RITASE!$A$5:$A$20000,$A4995,INPUT_RITASE!$H$5:$H$20000,$B4995,INPUT_RITASE!$C$5:$C$20000,$C4995,INPUT_RITASE!$N$5:$N$20000,"Coal")</f>
        <v/>
      </c>
      <c r="Q4995" s="186">
        <f>SUMIFS(INPUT_RITASE!$L$5:$L$20000,INPUT_RITASE!$A$5:$A$20000,$A4995,INPUT_RITASE!$H$5:$H$20000,$B4995,INPUT_RITASE!$C$5:$C$20000,$C4995,INPUT_RITASE!$N$5:$N$20000,"OB")</f>
        <v/>
      </c>
      <c r="R4995" s="186">
        <f>SUMIFS(INPUT_RITASE!$L$5:$L$20000,INPUT_RITASE!$A$5:$A$20000,$A4995,INPUT_RITASE!$H$5:$H$20000,$B4995,INPUT_RITASE!$C$5:$C$20000,$C4995,INPUT_RITASE!$N$5:$N$20000,"Coal")</f>
        <v/>
      </c>
      <c r="S4995" s="183" t="n">
        <v>0</v>
      </c>
      <c r="T4995" s="183" t="n">
        <v>0</v>
      </c>
      <c r="U4995" s="182" t="n">
        <v>1.02</v>
      </c>
      <c r="V4995" s="182" t="n">
        <v>0</v>
      </c>
      <c r="W4995" s="182" t="n">
        <v>0</v>
      </c>
      <c r="X4995" s="182" t="n">
        <v>0.83</v>
      </c>
      <c r="Y4995" s="182" t="n">
        <v>0</v>
      </c>
      <c r="Z4995" s="182" t="n">
        <v>0</v>
      </c>
      <c r="AA4995" s="182" t="n">
        <v>0</v>
      </c>
      <c r="AB4995" s="182" t="n">
        <v>0</v>
      </c>
      <c r="AC4995" s="182" t="n">
        <v>0</v>
      </c>
      <c r="AD4995" s="182" t="n">
        <v>0</v>
      </c>
      <c r="AE4995" s="182" t="n">
        <v>0</v>
      </c>
      <c r="AF4995" s="182" t="n">
        <v>0</v>
      </c>
      <c r="AG4995" s="182" t="n">
        <v>0</v>
      </c>
      <c r="AH4995" s="182" t="n">
        <v>0</v>
      </c>
      <c r="AI4995" s="182" t="n">
        <v>0</v>
      </c>
      <c r="AJ4995" s="182" t="n">
        <v>0</v>
      </c>
      <c r="AK4995" s="182" t="n">
        <v>0</v>
      </c>
      <c r="AL4995" s="182" t="n">
        <v>0</v>
      </c>
      <c r="AM4995" s="182" t="n">
        <v>0.07000000000000001</v>
      </c>
      <c r="AN4995" s="182" t="n">
        <v>0</v>
      </c>
    </row>
    <row r="4996">
      <c r="A4996" s="155" t="n">
        <v>46104</v>
      </c>
      <c r="B4996" s="156" t="inlineStr">
        <is>
          <t>NS</t>
        </is>
      </c>
      <c r="C4996" s="156" t="inlineStr">
        <is>
          <t>EX-333</t>
        </is>
      </c>
      <c r="D4996" s="156" t="inlineStr">
        <is>
          <t>PC 300-8MO</t>
        </is>
      </c>
      <c r="E4996" s="156" t="inlineStr">
        <is>
          <t>Excavator</t>
        </is>
      </c>
      <c r="F4996" s="156" t="inlineStr">
        <is>
          <t>General Release Air</t>
        </is>
      </c>
      <c r="G4996" s="182" t="n">
        <v>7.72</v>
      </c>
      <c r="H4996" s="182" t="n">
        <v>0</v>
      </c>
      <c r="I4996" s="182" t="n">
        <v>0</v>
      </c>
      <c r="J4996" s="182" t="n">
        <v>0</v>
      </c>
      <c r="K4996" s="182" t="n">
        <v>4.28</v>
      </c>
      <c r="L4996" s="182" t="n">
        <v>12</v>
      </c>
      <c r="M4996" s="182" t="n">
        <v>0</v>
      </c>
      <c r="N4996" s="182" t="n">
        <v>0</v>
      </c>
      <c r="O4996" s="185">
        <f>SUMIFS(INPUT_RITASE!$F$5:$F$20000,INPUT_RITASE!$A$5:$A$20000,$A4996,INPUT_RITASE!$H$5:$H$20000,$B4996,INPUT_RITASE!$C$5:$C$20000,$C4996,INPUT_RITASE!$N$5:$N$20000,"OB")</f>
        <v/>
      </c>
      <c r="P4996" s="185">
        <f>SUMIFS(INPUT_RITASE!$F$5:$F$20000,INPUT_RITASE!$A$5:$A$20000,$A4996,INPUT_RITASE!$H$5:$H$20000,$B4996,INPUT_RITASE!$C$5:$C$20000,$C4996,INPUT_RITASE!$N$5:$N$20000,"Coal")</f>
        <v/>
      </c>
      <c r="Q4996" s="186">
        <f>SUMIFS(INPUT_RITASE!$L$5:$L$20000,INPUT_RITASE!$A$5:$A$20000,$A4996,INPUT_RITASE!$H$5:$H$20000,$B4996,INPUT_RITASE!$C$5:$C$20000,$C4996,INPUT_RITASE!$N$5:$N$20000,"OB")</f>
        <v/>
      </c>
      <c r="R4996" s="186">
        <f>SUMIFS(INPUT_RITASE!$L$5:$L$20000,INPUT_RITASE!$A$5:$A$20000,$A4996,INPUT_RITASE!$H$5:$H$20000,$B4996,INPUT_RITASE!$C$5:$C$20000,$C4996,INPUT_RITASE!$N$5:$N$20000,"Coal")</f>
        <v/>
      </c>
      <c r="S4996" s="183" t="n">
        <v>0</v>
      </c>
      <c r="T4996" s="183" t="n">
        <v>0</v>
      </c>
      <c r="U4996" s="182" t="n">
        <v>3.32</v>
      </c>
      <c r="V4996" s="182" t="n">
        <v>0</v>
      </c>
      <c r="W4996" s="182" t="n">
        <v>0</v>
      </c>
      <c r="X4996" s="182" t="n">
        <v>0.89</v>
      </c>
      <c r="Y4996" s="182" t="n">
        <v>0</v>
      </c>
      <c r="Z4996" s="182" t="n">
        <v>0</v>
      </c>
      <c r="AA4996" s="182" t="n">
        <v>0</v>
      </c>
      <c r="AB4996" s="182" t="n">
        <v>0</v>
      </c>
      <c r="AC4996" s="182" t="n">
        <v>0</v>
      </c>
      <c r="AD4996" s="182" t="n">
        <v>0</v>
      </c>
      <c r="AE4996" s="182" t="n">
        <v>0</v>
      </c>
      <c r="AF4996" s="182" t="n">
        <v>0</v>
      </c>
      <c r="AG4996" s="182" t="n">
        <v>0</v>
      </c>
      <c r="AH4996" s="182" t="n">
        <v>0</v>
      </c>
      <c r="AI4996" s="182" t="n">
        <v>0</v>
      </c>
      <c r="AJ4996" s="182" t="n">
        <v>0</v>
      </c>
      <c r="AK4996" s="182" t="n">
        <v>0</v>
      </c>
      <c r="AL4996" s="182" t="n">
        <v>0</v>
      </c>
      <c r="AM4996" s="182" t="n">
        <v>0.07000000000000001</v>
      </c>
      <c r="AN4996" s="182" t="n">
        <v>0</v>
      </c>
    </row>
    <row r="4997">
      <c r="A4997" s="155" t="n">
        <v>46104</v>
      </c>
      <c r="B4997" s="156" t="inlineStr">
        <is>
          <t>NS</t>
        </is>
      </c>
      <c r="C4997" s="156" t="inlineStr">
        <is>
          <t>EX-336</t>
        </is>
      </c>
      <c r="D4997" s="156" t="inlineStr">
        <is>
          <t>PC 300-8MO</t>
        </is>
      </c>
      <c r="E4997" s="156" t="inlineStr">
        <is>
          <t>Excavator</t>
        </is>
      </c>
      <c r="F4997" s="156" t="inlineStr">
        <is>
          <t>Loading Coal &amp; Cleaning Coal</t>
        </is>
      </c>
      <c r="G4997" s="182" t="n">
        <v>7.17</v>
      </c>
      <c r="H4997" s="182" t="n">
        <v>0</v>
      </c>
      <c r="I4997" s="182" t="n">
        <v>0</v>
      </c>
      <c r="J4997" s="182" t="n">
        <v>0</v>
      </c>
      <c r="K4997" s="182" t="n">
        <v>4.83</v>
      </c>
      <c r="L4997" s="182" t="n">
        <v>12</v>
      </c>
      <c r="M4997" s="182" t="n">
        <v>0</v>
      </c>
      <c r="N4997" s="182" t="n">
        <v>2.05</v>
      </c>
      <c r="O4997" s="185">
        <f>SUMIFS(INPUT_RITASE!$F$5:$F$20000,INPUT_RITASE!$A$5:$A$20000,$A4997,INPUT_RITASE!$H$5:$H$20000,$B4997,INPUT_RITASE!$C$5:$C$20000,$C4997,INPUT_RITASE!$N$5:$N$20000,"OB")</f>
        <v/>
      </c>
      <c r="P4997" s="185">
        <f>SUMIFS(INPUT_RITASE!$F$5:$F$20000,INPUT_RITASE!$A$5:$A$20000,$A4997,INPUT_RITASE!$H$5:$H$20000,$B4997,INPUT_RITASE!$C$5:$C$20000,$C4997,INPUT_RITASE!$N$5:$N$20000,"Coal")</f>
        <v/>
      </c>
      <c r="Q4997" s="186">
        <f>SUMIFS(INPUT_RITASE!$L$5:$L$20000,INPUT_RITASE!$A$5:$A$20000,$A4997,INPUT_RITASE!$H$5:$H$20000,$B4997,INPUT_RITASE!$C$5:$C$20000,$C4997,INPUT_RITASE!$N$5:$N$20000,"OB")</f>
        <v/>
      </c>
      <c r="R4997" s="186">
        <f>SUMIFS(INPUT_RITASE!$L$5:$L$20000,INPUT_RITASE!$A$5:$A$20000,$A4997,INPUT_RITASE!$H$5:$H$20000,$B4997,INPUT_RITASE!$C$5:$C$20000,$C4997,INPUT_RITASE!$N$5:$N$20000,"Coal")</f>
        <v/>
      </c>
      <c r="S4997" s="183" t="n">
        <v>0</v>
      </c>
      <c r="T4997" s="183" t="n">
        <v>0</v>
      </c>
      <c r="U4997" s="182" t="n">
        <v>3.79</v>
      </c>
      <c r="V4997" s="182" t="n">
        <v>0</v>
      </c>
      <c r="W4997" s="182" t="n">
        <v>0</v>
      </c>
      <c r="X4997" s="182" t="n">
        <v>0.97</v>
      </c>
      <c r="Y4997" s="182" t="n">
        <v>0</v>
      </c>
      <c r="Z4997" s="182" t="n">
        <v>0</v>
      </c>
      <c r="AA4997" s="182" t="n">
        <v>0</v>
      </c>
      <c r="AB4997" s="182" t="n">
        <v>0</v>
      </c>
      <c r="AC4997" s="182" t="n">
        <v>0</v>
      </c>
      <c r="AD4997" s="182" t="n">
        <v>0</v>
      </c>
      <c r="AE4997" s="182" t="n">
        <v>0</v>
      </c>
      <c r="AF4997" s="182" t="n">
        <v>0</v>
      </c>
      <c r="AG4997" s="182" t="n">
        <v>0</v>
      </c>
      <c r="AH4997" s="182" t="n">
        <v>0</v>
      </c>
      <c r="AI4997" s="182" t="n">
        <v>0</v>
      </c>
      <c r="AJ4997" s="182" t="n">
        <v>0</v>
      </c>
      <c r="AK4997" s="182" t="n">
        <v>0</v>
      </c>
      <c r="AL4997" s="182" t="n">
        <v>0</v>
      </c>
      <c r="AM4997" s="182" t="n">
        <v>0.08</v>
      </c>
      <c r="AN4997" s="182" t="n">
        <v>0</v>
      </c>
    </row>
    <row r="4998">
      <c r="A4998" s="155" t="n">
        <v>46104</v>
      </c>
      <c r="B4998" s="156" t="inlineStr">
        <is>
          <t>NS</t>
        </is>
      </c>
      <c r="C4998" s="156" t="inlineStr">
        <is>
          <t>EX-335</t>
        </is>
      </c>
      <c r="D4998" s="156" t="inlineStr">
        <is>
          <t>PC 300-8MO</t>
        </is>
      </c>
      <c r="E4998" s="156" t="inlineStr">
        <is>
          <t>Excavator</t>
        </is>
      </c>
      <c r="F4998" s="156" t="inlineStr"/>
      <c r="G4998" s="182" t="n">
        <v>0</v>
      </c>
      <c r="H4998" s="182" t="n">
        <v>0</v>
      </c>
      <c r="I4998" s="182" t="n">
        <v>12</v>
      </c>
      <c r="J4998" s="182" t="n">
        <v>12</v>
      </c>
      <c r="K4998" s="182" t="n">
        <v>0</v>
      </c>
      <c r="L4998" s="182" t="n">
        <v>12</v>
      </c>
      <c r="M4998" s="182" t="n">
        <v>0</v>
      </c>
      <c r="N4998" s="182" t="n">
        <v>0</v>
      </c>
      <c r="O4998" s="185">
        <f>SUMIFS(INPUT_RITASE!$F$5:$F$20000,INPUT_RITASE!$A$5:$A$20000,$A4998,INPUT_RITASE!$H$5:$H$20000,$B4998,INPUT_RITASE!$C$5:$C$20000,$C4998,INPUT_RITASE!$N$5:$N$20000,"OB")</f>
        <v/>
      </c>
      <c r="P4998" s="185">
        <f>SUMIFS(INPUT_RITASE!$F$5:$F$20000,INPUT_RITASE!$A$5:$A$20000,$A4998,INPUT_RITASE!$H$5:$H$20000,$B4998,INPUT_RITASE!$C$5:$C$20000,$C4998,INPUT_RITASE!$N$5:$N$20000,"Coal")</f>
        <v/>
      </c>
      <c r="Q4998" s="186">
        <f>SUMIFS(INPUT_RITASE!$L$5:$L$20000,INPUT_RITASE!$A$5:$A$20000,$A4998,INPUT_RITASE!$H$5:$H$20000,$B4998,INPUT_RITASE!$C$5:$C$20000,$C4998,INPUT_RITASE!$N$5:$N$20000,"OB")</f>
        <v/>
      </c>
      <c r="R4998" s="186">
        <f>SUMIFS(INPUT_RITASE!$L$5:$L$20000,INPUT_RITASE!$A$5:$A$20000,$A4998,INPUT_RITASE!$H$5:$H$20000,$B4998,INPUT_RITASE!$C$5:$C$20000,$C4998,INPUT_RITASE!$N$5:$N$20000,"Coal")</f>
        <v/>
      </c>
      <c r="S4998" s="183" t="n">
        <v>0</v>
      </c>
      <c r="T4998" s="183" t="n">
        <v>0</v>
      </c>
      <c r="U4998" s="182" t="n">
        <v>0</v>
      </c>
      <c r="V4998" s="182" t="n">
        <v>0</v>
      </c>
      <c r="W4998" s="182" t="n">
        <v>0</v>
      </c>
      <c r="X4998" s="182" t="n">
        <v>0</v>
      </c>
      <c r="Y4998" s="182" t="n">
        <v>0</v>
      </c>
      <c r="Z4998" s="182" t="n">
        <v>0</v>
      </c>
      <c r="AA4998" s="182" t="n">
        <v>0</v>
      </c>
      <c r="AB4998" s="182" t="n">
        <v>0</v>
      </c>
      <c r="AC4998" s="182" t="n">
        <v>0</v>
      </c>
      <c r="AD4998" s="182" t="n">
        <v>0</v>
      </c>
      <c r="AE4998" s="182" t="n">
        <v>0</v>
      </c>
      <c r="AF4998" s="182" t="n">
        <v>0</v>
      </c>
      <c r="AG4998" s="182" t="n">
        <v>0</v>
      </c>
      <c r="AH4998" s="182" t="n">
        <v>0</v>
      </c>
      <c r="AI4998" s="182" t="n">
        <v>0</v>
      </c>
      <c r="AJ4998" s="182" t="n">
        <v>0</v>
      </c>
      <c r="AK4998" s="182" t="n">
        <v>0</v>
      </c>
      <c r="AL4998" s="182" t="n">
        <v>0</v>
      </c>
      <c r="AM4998" s="182" t="n">
        <v>0</v>
      </c>
      <c r="AN4998" s="182" t="n">
        <v>0</v>
      </c>
    </row>
    <row r="4999">
      <c r="A4999" s="155" t="n">
        <v>46104</v>
      </c>
      <c r="B4999" s="156" t="inlineStr">
        <is>
          <t>NS</t>
        </is>
      </c>
      <c r="C4999" s="156" t="inlineStr">
        <is>
          <t>EX-754</t>
        </is>
      </c>
      <c r="D4999" s="156" t="inlineStr">
        <is>
          <t>SY750H-PRO</t>
        </is>
      </c>
      <c r="E4999" s="156" t="inlineStr">
        <is>
          <t>Excavator</t>
        </is>
      </c>
      <c r="F4999" s="156" t="inlineStr"/>
      <c r="G4999" s="182" t="n">
        <v>0</v>
      </c>
      <c r="H4999" s="182" t="n">
        <v>0</v>
      </c>
      <c r="I4999" s="182" t="n">
        <v>12</v>
      </c>
      <c r="J4999" s="182" t="n">
        <v>12</v>
      </c>
      <c r="K4999" s="182" t="n">
        <v>0</v>
      </c>
      <c r="L4999" s="182" t="n">
        <v>12</v>
      </c>
      <c r="M4999" s="182" t="n">
        <v>0</v>
      </c>
      <c r="N4999" s="182" t="n">
        <v>0</v>
      </c>
      <c r="O4999" s="185">
        <f>SUMIFS(INPUT_RITASE!$F$5:$F$20000,INPUT_RITASE!$A$5:$A$20000,$A4999,INPUT_RITASE!$H$5:$H$20000,$B4999,INPUT_RITASE!$C$5:$C$20000,$C4999,INPUT_RITASE!$N$5:$N$20000,"OB")</f>
        <v/>
      </c>
      <c r="P4999" s="185">
        <f>SUMIFS(INPUT_RITASE!$F$5:$F$20000,INPUT_RITASE!$A$5:$A$20000,$A4999,INPUT_RITASE!$H$5:$H$20000,$B4999,INPUT_RITASE!$C$5:$C$20000,$C4999,INPUT_RITASE!$N$5:$N$20000,"Coal")</f>
        <v/>
      </c>
      <c r="Q4999" s="186">
        <f>SUMIFS(INPUT_RITASE!$L$5:$L$20000,INPUT_RITASE!$A$5:$A$20000,$A4999,INPUT_RITASE!$H$5:$H$20000,$B4999,INPUT_RITASE!$C$5:$C$20000,$C4999,INPUT_RITASE!$N$5:$N$20000,"OB")</f>
        <v/>
      </c>
      <c r="R4999" s="186">
        <f>SUMIFS(INPUT_RITASE!$L$5:$L$20000,INPUT_RITASE!$A$5:$A$20000,$A4999,INPUT_RITASE!$H$5:$H$20000,$B4999,INPUT_RITASE!$C$5:$C$20000,$C4999,INPUT_RITASE!$N$5:$N$20000,"Coal")</f>
        <v/>
      </c>
      <c r="S4999" s="183" t="n">
        <v>0</v>
      </c>
      <c r="T4999" s="183" t="n">
        <v>0</v>
      </c>
      <c r="U4999" s="182" t="n">
        <v>0</v>
      </c>
      <c r="V4999" s="182" t="n">
        <v>0</v>
      </c>
      <c r="W4999" s="182" t="n">
        <v>0</v>
      </c>
      <c r="X4999" s="182" t="n">
        <v>0</v>
      </c>
      <c r="Y4999" s="182" t="n">
        <v>0</v>
      </c>
      <c r="Z4999" s="182" t="n">
        <v>0</v>
      </c>
      <c r="AA4999" s="182" t="n">
        <v>0</v>
      </c>
      <c r="AB4999" s="182" t="n">
        <v>0</v>
      </c>
      <c r="AC4999" s="182" t="n">
        <v>0</v>
      </c>
      <c r="AD4999" s="182" t="n">
        <v>0</v>
      </c>
      <c r="AE4999" s="182" t="n">
        <v>0</v>
      </c>
      <c r="AF4999" s="182" t="n">
        <v>0</v>
      </c>
      <c r="AG4999" s="182" t="n">
        <v>0</v>
      </c>
      <c r="AH4999" s="182" t="n">
        <v>0</v>
      </c>
      <c r="AI4999" s="182" t="n">
        <v>0</v>
      </c>
      <c r="AJ4999" s="182" t="n">
        <v>0</v>
      </c>
      <c r="AK4999" s="182" t="n">
        <v>0</v>
      </c>
      <c r="AL4999" s="182" t="n">
        <v>0</v>
      </c>
      <c r="AM4999" s="182" t="n">
        <v>0</v>
      </c>
      <c r="AN4999" s="182" t="n">
        <v>0</v>
      </c>
    </row>
    <row r="5000">
      <c r="A5000" s="155" t="n">
        <v>46104</v>
      </c>
      <c r="B5000" s="156" t="inlineStr">
        <is>
          <t>NS</t>
        </is>
      </c>
      <c r="C5000" s="156" t="inlineStr">
        <is>
          <t>EX-755</t>
        </is>
      </c>
      <c r="D5000" s="156" t="inlineStr">
        <is>
          <t>SY750H-PRO</t>
        </is>
      </c>
      <c r="E5000" s="156" t="inlineStr">
        <is>
          <t>Excavator</t>
        </is>
      </c>
      <c r="F5000" s="156" t="inlineStr">
        <is>
          <t>General Sidecast HW</t>
        </is>
      </c>
      <c r="G5000" s="182" t="n">
        <v>6.2</v>
      </c>
      <c r="H5000" s="182" t="n">
        <v>0</v>
      </c>
      <c r="I5000" s="182" t="n">
        <v>0</v>
      </c>
      <c r="J5000" s="182" t="n">
        <v>0</v>
      </c>
      <c r="K5000" s="182" t="n">
        <v>5.8</v>
      </c>
      <c r="L5000" s="182" t="n">
        <v>12</v>
      </c>
      <c r="M5000" s="182" t="n">
        <v>0</v>
      </c>
      <c r="N5000" s="182" t="n">
        <v>0</v>
      </c>
      <c r="O5000" s="185">
        <f>SUMIFS(INPUT_RITASE!$F$5:$F$20000,INPUT_RITASE!$A$5:$A$20000,$A5000,INPUT_RITASE!$H$5:$H$20000,$B5000,INPUT_RITASE!$C$5:$C$20000,$C5000,INPUT_RITASE!$N$5:$N$20000,"OB")</f>
        <v/>
      </c>
      <c r="P5000" s="185">
        <f>SUMIFS(INPUT_RITASE!$F$5:$F$20000,INPUT_RITASE!$A$5:$A$20000,$A5000,INPUT_RITASE!$H$5:$H$20000,$B5000,INPUT_RITASE!$C$5:$C$20000,$C5000,INPUT_RITASE!$N$5:$N$20000,"Coal")</f>
        <v/>
      </c>
      <c r="Q5000" s="186">
        <f>SUMIFS(INPUT_RITASE!$L$5:$L$20000,INPUT_RITASE!$A$5:$A$20000,$A5000,INPUT_RITASE!$H$5:$H$20000,$B5000,INPUT_RITASE!$C$5:$C$20000,$C5000,INPUT_RITASE!$N$5:$N$20000,"OB")</f>
        <v/>
      </c>
      <c r="R5000" s="186">
        <f>SUMIFS(INPUT_RITASE!$L$5:$L$20000,INPUT_RITASE!$A$5:$A$20000,$A5000,INPUT_RITASE!$H$5:$H$20000,$B5000,INPUT_RITASE!$C$5:$C$20000,$C5000,INPUT_RITASE!$N$5:$N$20000,"Coal")</f>
        <v/>
      </c>
      <c r="S5000" s="183" t="n">
        <v>0</v>
      </c>
      <c r="T5000" s="183" t="n">
        <v>0</v>
      </c>
      <c r="U5000" s="182" t="n">
        <v>5.42</v>
      </c>
      <c r="V5000" s="182" t="n">
        <v>0</v>
      </c>
      <c r="W5000" s="182" t="n">
        <v>0</v>
      </c>
      <c r="X5000" s="182" t="n">
        <v>0.31</v>
      </c>
      <c r="Y5000" s="182" t="n">
        <v>0</v>
      </c>
      <c r="Z5000" s="182" t="n">
        <v>0</v>
      </c>
      <c r="AA5000" s="182" t="n">
        <v>0</v>
      </c>
      <c r="AB5000" s="182" t="n">
        <v>0</v>
      </c>
      <c r="AC5000" s="182" t="n">
        <v>0</v>
      </c>
      <c r="AD5000" s="182" t="n">
        <v>0</v>
      </c>
      <c r="AE5000" s="182" t="n">
        <v>0</v>
      </c>
      <c r="AF5000" s="182" t="n">
        <v>0</v>
      </c>
      <c r="AG5000" s="182" t="n">
        <v>0</v>
      </c>
      <c r="AH5000" s="182" t="n">
        <v>0</v>
      </c>
      <c r="AI5000" s="182" t="n">
        <v>0</v>
      </c>
      <c r="AJ5000" s="182" t="n">
        <v>0</v>
      </c>
      <c r="AK5000" s="182" t="n">
        <v>0</v>
      </c>
      <c r="AL5000" s="182" t="n">
        <v>0</v>
      </c>
      <c r="AM5000" s="182" t="n">
        <v>0.07000000000000001</v>
      </c>
      <c r="AN5000" s="182" t="n">
        <v>0</v>
      </c>
    </row>
    <row r="5001">
      <c r="A5001" s="155" t="n">
        <v>46104</v>
      </c>
      <c r="B5001" s="156" t="inlineStr">
        <is>
          <t>NS</t>
        </is>
      </c>
      <c r="C5001" s="156" t="inlineStr">
        <is>
          <t>EX-752</t>
        </is>
      </c>
      <c r="D5001" s="156" t="inlineStr">
        <is>
          <t>SY750H-PRO</t>
        </is>
      </c>
      <c r="E5001" s="156" t="inlineStr">
        <is>
          <t>Excavator</t>
        </is>
      </c>
      <c r="F5001" s="156" t="inlineStr"/>
      <c r="G5001" s="182" t="n">
        <v>0</v>
      </c>
      <c r="H5001" s="182" t="n">
        <v>0</v>
      </c>
      <c r="I5001" s="182" t="n">
        <v>12</v>
      </c>
      <c r="J5001" s="182" t="n">
        <v>12</v>
      </c>
      <c r="K5001" s="182" t="n">
        <v>0</v>
      </c>
      <c r="L5001" s="182" t="n">
        <v>12</v>
      </c>
      <c r="M5001" s="182" t="n">
        <v>0</v>
      </c>
      <c r="N5001" s="182" t="n">
        <v>0</v>
      </c>
      <c r="O5001" s="185">
        <f>SUMIFS(INPUT_RITASE!$F$5:$F$20000,INPUT_RITASE!$A$5:$A$20000,$A5001,INPUT_RITASE!$H$5:$H$20000,$B5001,INPUT_RITASE!$C$5:$C$20000,$C5001,INPUT_RITASE!$N$5:$N$20000,"OB")</f>
        <v/>
      </c>
      <c r="P5001" s="185">
        <f>SUMIFS(INPUT_RITASE!$F$5:$F$20000,INPUT_RITASE!$A$5:$A$20000,$A5001,INPUT_RITASE!$H$5:$H$20000,$B5001,INPUT_RITASE!$C$5:$C$20000,$C5001,INPUT_RITASE!$N$5:$N$20000,"Coal")</f>
        <v/>
      </c>
      <c r="Q5001" s="186">
        <f>SUMIFS(INPUT_RITASE!$L$5:$L$20000,INPUT_RITASE!$A$5:$A$20000,$A5001,INPUT_RITASE!$H$5:$H$20000,$B5001,INPUT_RITASE!$C$5:$C$20000,$C5001,INPUT_RITASE!$N$5:$N$20000,"OB")</f>
        <v/>
      </c>
      <c r="R5001" s="186">
        <f>SUMIFS(INPUT_RITASE!$L$5:$L$20000,INPUT_RITASE!$A$5:$A$20000,$A5001,INPUT_RITASE!$H$5:$H$20000,$B5001,INPUT_RITASE!$C$5:$C$20000,$C5001,INPUT_RITASE!$N$5:$N$20000,"Coal")</f>
        <v/>
      </c>
      <c r="S5001" s="183" t="n">
        <v>0</v>
      </c>
      <c r="T5001" s="183" t="n">
        <v>0</v>
      </c>
      <c r="U5001" s="182" t="n">
        <v>0</v>
      </c>
      <c r="V5001" s="182" t="n">
        <v>0</v>
      </c>
      <c r="W5001" s="182" t="n">
        <v>0</v>
      </c>
      <c r="X5001" s="182" t="n">
        <v>0</v>
      </c>
      <c r="Y5001" s="182" t="n">
        <v>0</v>
      </c>
      <c r="Z5001" s="182" t="n">
        <v>0</v>
      </c>
      <c r="AA5001" s="182" t="n">
        <v>0</v>
      </c>
      <c r="AB5001" s="182" t="n">
        <v>0</v>
      </c>
      <c r="AC5001" s="182" t="n">
        <v>0</v>
      </c>
      <c r="AD5001" s="182" t="n">
        <v>0</v>
      </c>
      <c r="AE5001" s="182" t="n">
        <v>0</v>
      </c>
      <c r="AF5001" s="182" t="n">
        <v>0</v>
      </c>
      <c r="AG5001" s="182" t="n">
        <v>0</v>
      </c>
      <c r="AH5001" s="182" t="n">
        <v>0</v>
      </c>
      <c r="AI5001" s="182" t="n">
        <v>0</v>
      </c>
      <c r="AJ5001" s="182" t="n">
        <v>0</v>
      </c>
      <c r="AK5001" s="182" t="n">
        <v>0</v>
      </c>
      <c r="AL5001" s="182" t="n">
        <v>0</v>
      </c>
      <c r="AM5001" s="182" t="n">
        <v>0</v>
      </c>
      <c r="AN5001" s="182" t="n">
        <v>0</v>
      </c>
    </row>
    <row r="5002">
      <c r="A5002" s="155" t="n">
        <v>46104</v>
      </c>
      <c r="B5002" s="156" t="inlineStr">
        <is>
          <t>NS</t>
        </is>
      </c>
      <c r="C5002" s="156" t="inlineStr">
        <is>
          <t>EX-751</t>
        </is>
      </c>
      <c r="D5002" s="156" t="inlineStr">
        <is>
          <t>SY750H-PRO</t>
        </is>
      </c>
      <c r="E5002" s="156" t="inlineStr">
        <is>
          <t>Excavator</t>
        </is>
      </c>
      <c r="F5002" s="156" t="inlineStr"/>
      <c r="G5002" s="182" t="n">
        <v>0</v>
      </c>
      <c r="H5002" s="182" t="n">
        <v>0</v>
      </c>
      <c r="I5002" s="182" t="n">
        <v>12</v>
      </c>
      <c r="J5002" s="182" t="n">
        <v>12</v>
      </c>
      <c r="K5002" s="182" t="n">
        <v>0</v>
      </c>
      <c r="L5002" s="182" t="n">
        <v>12</v>
      </c>
      <c r="M5002" s="182" t="n">
        <v>0</v>
      </c>
      <c r="N5002" s="182" t="n">
        <v>0</v>
      </c>
      <c r="O5002" s="185">
        <f>SUMIFS(INPUT_RITASE!$F$5:$F$20000,INPUT_RITASE!$A$5:$A$20000,$A5002,INPUT_RITASE!$H$5:$H$20000,$B5002,INPUT_RITASE!$C$5:$C$20000,$C5002,INPUT_RITASE!$N$5:$N$20000,"OB")</f>
        <v/>
      </c>
      <c r="P5002" s="185">
        <f>SUMIFS(INPUT_RITASE!$F$5:$F$20000,INPUT_RITASE!$A$5:$A$20000,$A5002,INPUT_RITASE!$H$5:$H$20000,$B5002,INPUT_RITASE!$C$5:$C$20000,$C5002,INPUT_RITASE!$N$5:$N$20000,"Coal")</f>
        <v/>
      </c>
      <c r="Q5002" s="186">
        <f>SUMIFS(INPUT_RITASE!$L$5:$L$20000,INPUT_RITASE!$A$5:$A$20000,$A5002,INPUT_RITASE!$H$5:$H$20000,$B5002,INPUT_RITASE!$C$5:$C$20000,$C5002,INPUT_RITASE!$N$5:$N$20000,"OB")</f>
        <v/>
      </c>
      <c r="R5002" s="186">
        <f>SUMIFS(INPUT_RITASE!$L$5:$L$20000,INPUT_RITASE!$A$5:$A$20000,$A5002,INPUT_RITASE!$H$5:$H$20000,$B5002,INPUT_RITASE!$C$5:$C$20000,$C5002,INPUT_RITASE!$N$5:$N$20000,"Coal")</f>
        <v/>
      </c>
      <c r="S5002" s="183" t="n">
        <v>0</v>
      </c>
      <c r="T5002" s="183" t="n">
        <v>0</v>
      </c>
      <c r="U5002" s="182" t="n">
        <v>0</v>
      </c>
      <c r="V5002" s="182" t="n">
        <v>0</v>
      </c>
      <c r="W5002" s="182" t="n">
        <v>0</v>
      </c>
      <c r="X5002" s="182" t="n">
        <v>0</v>
      </c>
      <c r="Y5002" s="182" t="n">
        <v>0</v>
      </c>
      <c r="Z5002" s="182" t="n">
        <v>0</v>
      </c>
      <c r="AA5002" s="182" t="n">
        <v>0</v>
      </c>
      <c r="AB5002" s="182" t="n">
        <v>0</v>
      </c>
      <c r="AC5002" s="182" t="n">
        <v>0</v>
      </c>
      <c r="AD5002" s="182" t="n">
        <v>0</v>
      </c>
      <c r="AE5002" s="182" t="n">
        <v>0</v>
      </c>
      <c r="AF5002" s="182" t="n">
        <v>0</v>
      </c>
      <c r="AG5002" s="182" t="n">
        <v>0</v>
      </c>
      <c r="AH5002" s="182" t="n">
        <v>0</v>
      </c>
      <c r="AI5002" s="182" t="n">
        <v>0</v>
      </c>
      <c r="AJ5002" s="182" t="n">
        <v>0</v>
      </c>
      <c r="AK5002" s="182" t="n">
        <v>0</v>
      </c>
      <c r="AL5002" s="182" t="n">
        <v>0</v>
      </c>
      <c r="AM5002" s="182" t="n">
        <v>0</v>
      </c>
      <c r="AN5002" s="182" t="n">
        <v>0</v>
      </c>
    </row>
    <row r="5003">
      <c r="A5003" s="155" t="n">
        <v>46104</v>
      </c>
      <c r="B5003" s="156" t="inlineStr">
        <is>
          <t>NS</t>
        </is>
      </c>
      <c r="C5003" s="156" t="inlineStr">
        <is>
          <t>EX-753</t>
        </is>
      </c>
      <c r="D5003" s="156" t="inlineStr">
        <is>
          <t>SY750H-PRO</t>
        </is>
      </c>
      <c r="E5003" s="156" t="inlineStr">
        <is>
          <t>Excavator</t>
        </is>
      </c>
      <c r="F5003" s="156" t="inlineStr">
        <is>
          <t>Travel dari Washing ke CPP</t>
        </is>
      </c>
      <c r="G5003" s="182" t="n">
        <v>0.42</v>
      </c>
      <c r="H5003" s="182" t="n">
        <v>0</v>
      </c>
      <c r="I5003" s="182" t="n">
        <v>3.25</v>
      </c>
      <c r="J5003" s="182" t="n">
        <v>3.25</v>
      </c>
      <c r="K5003" s="182" t="n">
        <v>8.33</v>
      </c>
      <c r="L5003" s="182" t="n">
        <v>12</v>
      </c>
      <c r="M5003" s="182" t="n">
        <v>0</v>
      </c>
      <c r="N5003" s="182" t="n">
        <v>0</v>
      </c>
      <c r="O5003" s="185">
        <f>SUMIFS(INPUT_RITASE!$F$5:$F$20000,INPUT_RITASE!$A$5:$A$20000,$A5003,INPUT_RITASE!$H$5:$H$20000,$B5003,INPUT_RITASE!$C$5:$C$20000,$C5003,INPUT_RITASE!$N$5:$N$20000,"OB")</f>
        <v/>
      </c>
      <c r="P5003" s="185">
        <f>SUMIFS(INPUT_RITASE!$F$5:$F$20000,INPUT_RITASE!$A$5:$A$20000,$A5003,INPUT_RITASE!$H$5:$H$20000,$B5003,INPUT_RITASE!$C$5:$C$20000,$C5003,INPUT_RITASE!$N$5:$N$20000,"Coal")</f>
        <v/>
      </c>
      <c r="Q5003" s="186">
        <f>SUMIFS(INPUT_RITASE!$L$5:$L$20000,INPUT_RITASE!$A$5:$A$20000,$A5003,INPUT_RITASE!$H$5:$H$20000,$B5003,INPUT_RITASE!$C$5:$C$20000,$C5003,INPUT_RITASE!$N$5:$N$20000,"OB")</f>
        <v/>
      </c>
      <c r="R5003" s="186">
        <f>SUMIFS(INPUT_RITASE!$L$5:$L$20000,INPUT_RITASE!$A$5:$A$20000,$A5003,INPUT_RITASE!$H$5:$H$20000,$B5003,INPUT_RITASE!$C$5:$C$20000,$C5003,INPUT_RITASE!$N$5:$N$20000,"Coal")</f>
        <v/>
      </c>
      <c r="S5003" s="183" t="n">
        <v>0</v>
      </c>
      <c r="T5003" s="183" t="n">
        <v>0</v>
      </c>
      <c r="U5003" s="182" t="n">
        <v>7.21</v>
      </c>
      <c r="V5003" s="182" t="n">
        <v>0</v>
      </c>
      <c r="W5003" s="182" t="n">
        <v>0</v>
      </c>
      <c r="X5003" s="182" t="n">
        <v>1.03</v>
      </c>
      <c r="Y5003" s="182" t="n">
        <v>0</v>
      </c>
      <c r="Z5003" s="182" t="n">
        <v>0</v>
      </c>
      <c r="AA5003" s="182" t="n">
        <v>0</v>
      </c>
      <c r="AB5003" s="182" t="n">
        <v>0</v>
      </c>
      <c r="AC5003" s="182" t="n">
        <v>0</v>
      </c>
      <c r="AD5003" s="182" t="n">
        <v>0</v>
      </c>
      <c r="AE5003" s="182" t="n">
        <v>0</v>
      </c>
      <c r="AF5003" s="182" t="n">
        <v>0</v>
      </c>
      <c r="AG5003" s="182" t="n">
        <v>0</v>
      </c>
      <c r="AH5003" s="182" t="n">
        <v>0</v>
      </c>
      <c r="AI5003" s="182" t="n">
        <v>0</v>
      </c>
      <c r="AJ5003" s="182" t="n">
        <v>0</v>
      </c>
      <c r="AK5003" s="182" t="n">
        <v>0</v>
      </c>
      <c r="AL5003" s="182" t="n">
        <v>0</v>
      </c>
      <c r="AM5003" s="182" t="n">
        <v>0.08</v>
      </c>
      <c r="AN5003" s="182" t="n">
        <v>0</v>
      </c>
    </row>
    <row r="5004">
      <c r="A5004" s="155" t="n">
        <v>46104</v>
      </c>
      <c r="B5004" s="156" t="inlineStr">
        <is>
          <t>NS</t>
        </is>
      </c>
      <c r="C5004" s="156" t="inlineStr">
        <is>
          <t>GD-012</t>
        </is>
      </c>
      <c r="D5004" s="156" t="inlineStr">
        <is>
          <t>STG 230C - 8S</t>
        </is>
      </c>
      <c r="E5004" s="156" t="inlineStr">
        <is>
          <t>Grader</t>
        </is>
      </c>
      <c r="F5004" s="156" t="inlineStr"/>
      <c r="G5004" s="182" t="n">
        <v>0</v>
      </c>
      <c r="H5004" s="182" t="n">
        <v>0</v>
      </c>
      <c r="I5004" s="182" t="n">
        <v>0</v>
      </c>
      <c r="J5004" s="182" t="n">
        <v>0</v>
      </c>
      <c r="K5004" s="182" t="n">
        <v>12</v>
      </c>
      <c r="L5004" s="182" t="n">
        <v>12</v>
      </c>
      <c r="M5004" s="182" t="n">
        <v>0</v>
      </c>
      <c r="N5004" s="182" t="n">
        <v>0</v>
      </c>
      <c r="O5004" s="183" t="n">
        <v>0</v>
      </c>
      <c r="P5004" s="183" t="n">
        <v>0</v>
      </c>
      <c r="Q5004" s="184" t="n">
        <v>0</v>
      </c>
      <c r="R5004" s="184" t="n">
        <v>0</v>
      </c>
      <c r="S5004" s="183" t="n">
        <v>0</v>
      </c>
      <c r="T5004" s="183" t="n">
        <v>0</v>
      </c>
      <c r="U5004" s="182" t="n">
        <v>0</v>
      </c>
      <c r="V5004" s="182" t="n">
        <v>0</v>
      </c>
      <c r="W5004" s="182" t="n">
        <v>0</v>
      </c>
      <c r="X5004" s="182" t="n">
        <v>1</v>
      </c>
      <c r="Y5004" s="182" t="n">
        <v>0</v>
      </c>
      <c r="Z5004" s="182" t="n">
        <v>0</v>
      </c>
      <c r="AA5004" s="182" t="n">
        <v>0</v>
      </c>
      <c r="AB5004" s="182" t="n">
        <v>0</v>
      </c>
      <c r="AC5004" s="182" t="n">
        <v>0</v>
      </c>
      <c r="AD5004" s="182" t="n">
        <v>0</v>
      </c>
      <c r="AE5004" s="182" t="n">
        <v>0</v>
      </c>
      <c r="AF5004" s="182" t="n">
        <v>0</v>
      </c>
      <c r="AG5004" s="182" t="n">
        <v>0</v>
      </c>
      <c r="AH5004" s="182" t="n">
        <v>0</v>
      </c>
      <c r="AI5004" s="182" t="n">
        <v>0</v>
      </c>
      <c r="AJ5004" s="182" t="n">
        <v>0</v>
      </c>
      <c r="AK5004" s="182" t="n">
        <v>10.92</v>
      </c>
      <c r="AL5004" s="182" t="n">
        <v>0</v>
      </c>
      <c r="AM5004" s="182" t="n">
        <v>0.08</v>
      </c>
      <c r="AN5004" s="182" t="n">
        <v>0</v>
      </c>
    </row>
    <row r="5005">
      <c r="A5005" s="155" t="n">
        <v>46104</v>
      </c>
      <c r="B5005" s="156" t="inlineStr">
        <is>
          <t>NS</t>
        </is>
      </c>
      <c r="C5005" s="156" t="inlineStr">
        <is>
          <t>GD-011</t>
        </is>
      </c>
      <c r="D5005" s="156" t="inlineStr">
        <is>
          <t>STG 230C - 8S</t>
        </is>
      </c>
      <c r="E5005" s="156" t="inlineStr">
        <is>
          <t>Grader</t>
        </is>
      </c>
      <c r="F5005" s="156" t="inlineStr"/>
      <c r="G5005" s="182" t="n">
        <v>0</v>
      </c>
      <c r="H5005" s="182" t="n">
        <v>0</v>
      </c>
      <c r="I5005" s="182" t="n">
        <v>12</v>
      </c>
      <c r="J5005" s="182" t="n">
        <v>12</v>
      </c>
      <c r="K5005" s="182" t="n">
        <v>0</v>
      </c>
      <c r="L5005" s="182" t="n">
        <v>12</v>
      </c>
      <c r="M5005" s="182" t="n">
        <v>0</v>
      </c>
      <c r="N5005" s="182" t="n">
        <v>0</v>
      </c>
      <c r="O5005" s="183" t="n">
        <v>0</v>
      </c>
      <c r="P5005" s="183" t="n">
        <v>0</v>
      </c>
      <c r="Q5005" s="184" t="n">
        <v>0</v>
      </c>
      <c r="R5005" s="184" t="n">
        <v>0</v>
      </c>
      <c r="S5005" s="183" t="n">
        <v>0</v>
      </c>
      <c r="T5005" s="183" t="n">
        <v>0</v>
      </c>
      <c r="U5005" s="182" t="n">
        <v>0</v>
      </c>
      <c r="V5005" s="182" t="n">
        <v>0</v>
      </c>
      <c r="W5005" s="182" t="n">
        <v>0</v>
      </c>
      <c r="X5005" s="182" t="n">
        <v>0</v>
      </c>
      <c r="Y5005" s="182" t="n">
        <v>0</v>
      </c>
      <c r="Z5005" s="182" t="n">
        <v>0</v>
      </c>
      <c r="AA5005" s="182" t="n">
        <v>0</v>
      </c>
      <c r="AB5005" s="182" t="n">
        <v>0</v>
      </c>
      <c r="AC5005" s="182" t="n">
        <v>0</v>
      </c>
      <c r="AD5005" s="182" t="n">
        <v>0</v>
      </c>
      <c r="AE5005" s="182" t="n">
        <v>0</v>
      </c>
      <c r="AF5005" s="182" t="n">
        <v>0</v>
      </c>
      <c r="AG5005" s="182" t="n">
        <v>0</v>
      </c>
      <c r="AH5005" s="182" t="n">
        <v>0</v>
      </c>
      <c r="AI5005" s="182" t="n">
        <v>0</v>
      </c>
      <c r="AJ5005" s="182" t="n">
        <v>0</v>
      </c>
      <c r="AK5005" s="182" t="n">
        <v>0</v>
      </c>
      <c r="AL5005" s="182" t="n">
        <v>0</v>
      </c>
      <c r="AM5005" s="182" t="n">
        <v>0</v>
      </c>
      <c r="AN5005" s="182" t="n">
        <v>0</v>
      </c>
    </row>
    <row r="5006">
      <c r="A5006" s="155" t="n">
        <v>46104</v>
      </c>
      <c r="B5006" s="156" t="inlineStr">
        <is>
          <t>NS</t>
        </is>
      </c>
      <c r="C5006" s="156" t="inlineStr">
        <is>
          <t>GD-013</t>
        </is>
      </c>
      <c r="D5006" s="156" t="inlineStr">
        <is>
          <t>STG 265C - 10</t>
        </is>
      </c>
      <c r="E5006" s="156" t="inlineStr">
        <is>
          <t>Grader</t>
        </is>
      </c>
      <c r="F5006" s="156" t="inlineStr">
        <is>
          <t>Road Maintenance</t>
        </is>
      </c>
      <c r="G5006" s="182" t="n">
        <v>6.07</v>
      </c>
      <c r="H5006" s="182" t="n">
        <v>0</v>
      </c>
      <c r="I5006" s="182" t="n">
        <v>0</v>
      </c>
      <c r="J5006" s="182" t="n">
        <v>0</v>
      </c>
      <c r="K5006" s="182" t="n">
        <v>5.93</v>
      </c>
      <c r="L5006" s="182" t="n">
        <v>12</v>
      </c>
      <c r="M5006" s="182" t="n">
        <v>0</v>
      </c>
      <c r="N5006" s="182" t="n">
        <v>0</v>
      </c>
      <c r="O5006" s="183" t="n">
        <v>0</v>
      </c>
      <c r="P5006" s="183" t="n">
        <v>0</v>
      </c>
      <c r="Q5006" s="184" t="n">
        <v>0</v>
      </c>
      <c r="R5006" s="184" t="n">
        <v>0</v>
      </c>
      <c r="S5006" s="183" t="n">
        <v>0</v>
      </c>
      <c r="T5006" s="183" t="n">
        <v>0</v>
      </c>
      <c r="U5006" s="182" t="n">
        <v>4.84</v>
      </c>
      <c r="V5006" s="182" t="n">
        <v>0</v>
      </c>
      <c r="W5006" s="182" t="n">
        <v>0</v>
      </c>
      <c r="X5006" s="182" t="n">
        <v>1.01</v>
      </c>
      <c r="Y5006" s="182" t="n">
        <v>0</v>
      </c>
      <c r="Z5006" s="182" t="n">
        <v>0</v>
      </c>
      <c r="AA5006" s="182" t="n">
        <v>0</v>
      </c>
      <c r="AB5006" s="182" t="n">
        <v>0</v>
      </c>
      <c r="AC5006" s="182" t="n">
        <v>0</v>
      </c>
      <c r="AD5006" s="182" t="n">
        <v>0</v>
      </c>
      <c r="AE5006" s="182" t="n">
        <v>0</v>
      </c>
      <c r="AF5006" s="182" t="n">
        <v>0</v>
      </c>
      <c r="AG5006" s="182" t="n">
        <v>0</v>
      </c>
      <c r="AH5006" s="182" t="n">
        <v>0</v>
      </c>
      <c r="AI5006" s="182" t="n">
        <v>0</v>
      </c>
      <c r="AJ5006" s="182" t="n">
        <v>0</v>
      </c>
      <c r="AK5006" s="182" t="n">
        <v>0</v>
      </c>
      <c r="AL5006" s="182" t="n">
        <v>0</v>
      </c>
      <c r="AM5006" s="182" t="n">
        <v>0.08</v>
      </c>
      <c r="AN5006" s="182" t="n">
        <v>0</v>
      </c>
    </row>
    <row r="5007">
      <c r="A5007" s="155" t="n">
        <v>46104</v>
      </c>
      <c r="B5007" s="156" t="inlineStr">
        <is>
          <t>NS</t>
        </is>
      </c>
      <c r="C5007" s="156" t="inlineStr">
        <is>
          <t>GD-014</t>
        </is>
      </c>
      <c r="D5007" s="156" t="inlineStr">
        <is>
          <t>STG 335C - 10</t>
        </is>
      </c>
      <c r="E5007" s="156" t="inlineStr">
        <is>
          <t>Grader</t>
        </is>
      </c>
      <c r="F5007" s="156" t="inlineStr">
        <is>
          <t>Road Maintenance</t>
        </is>
      </c>
      <c r="G5007" s="182" t="n">
        <v>4.73</v>
      </c>
      <c r="H5007" s="182" t="n">
        <v>0</v>
      </c>
      <c r="I5007" s="182" t="n">
        <v>0</v>
      </c>
      <c r="J5007" s="182" t="n">
        <v>0</v>
      </c>
      <c r="K5007" s="182" t="n">
        <v>7.27</v>
      </c>
      <c r="L5007" s="182" t="n">
        <v>12</v>
      </c>
      <c r="M5007" s="182" t="n">
        <v>0</v>
      </c>
      <c r="N5007" s="182" t="n">
        <v>0</v>
      </c>
      <c r="O5007" s="183" t="n">
        <v>0</v>
      </c>
      <c r="P5007" s="183" t="n">
        <v>0</v>
      </c>
      <c r="Q5007" s="184" t="n">
        <v>0</v>
      </c>
      <c r="R5007" s="184" t="n">
        <v>0</v>
      </c>
      <c r="S5007" s="183" t="n">
        <v>0</v>
      </c>
      <c r="T5007" s="183" t="n">
        <v>0</v>
      </c>
      <c r="U5007" s="182" t="n">
        <v>6.22</v>
      </c>
      <c r="V5007" s="182" t="n">
        <v>0</v>
      </c>
      <c r="W5007" s="182" t="n">
        <v>0</v>
      </c>
      <c r="X5007" s="182" t="n">
        <v>0.97</v>
      </c>
      <c r="Y5007" s="182" t="n">
        <v>0</v>
      </c>
      <c r="Z5007" s="182" t="n">
        <v>0</v>
      </c>
      <c r="AA5007" s="182" t="n">
        <v>0</v>
      </c>
      <c r="AB5007" s="182" t="n">
        <v>0</v>
      </c>
      <c r="AC5007" s="182" t="n">
        <v>0</v>
      </c>
      <c r="AD5007" s="182" t="n">
        <v>0</v>
      </c>
      <c r="AE5007" s="182" t="n">
        <v>0</v>
      </c>
      <c r="AF5007" s="182" t="n">
        <v>0</v>
      </c>
      <c r="AG5007" s="182" t="n">
        <v>0</v>
      </c>
      <c r="AH5007" s="182" t="n">
        <v>0</v>
      </c>
      <c r="AI5007" s="182" t="n">
        <v>0</v>
      </c>
      <c r="AJ5007" s="182" t="n">
        <v>0</v>
      </c>
      <c r="AK5007" s="182" t="n">
        <v>0</v>
      </c>
      <c r="AL5007" s="182" t="n">
        <v>0</v>
      </c>
      <c r="AM5007" s="182" t="n">
        <v>0.08</v>
      </c>
      <c r="AN5007" s="182" t="n">
        <v>0</v>
      </c>
    </row>
    <row r="5008">
      <c r="A5008" s="155" t="n">
        <v>46104</v>
      </c>
      <c r="B5008" s="156" t="inlineStr">
        <is>
          <t>NS</t>
        </is>
      </c>
      <c r="C5008" s="156" t="inlineStr">
        <is>
          <t>DT-809</t>
        </is>
      </c>
      <c r="D5008" s="156" t="inlineStr">
        <is>
          <t>SKT 80S</t>
        </is>
      </c>
      <c r="E5008" s="156" t="inlineStr">
        <is>
          <t>Hauler</t>
        </is>
      </c>
      <c r="F5008" s="156" t="inlineStr"/>
      <c r="G5008" s="182" t="n">
        <v>0</v>
      </c>
      <c r="H5008" s="182" t="n">
        <v>0</v>
      </c>
      <c r="I5008" s="182" t="n">
        <v>12</v>
      </c>
      <c r="J5008" s="182" t="n">
        <v>12</v>
      </c>
      <c r="K5008" s="182" t="n">
        <v>0</v>
      </c>
      <c r="L5008" s="182" t="n">
        <v>12</v>
      </c>
      <c r="M5008" s="182" t="n">
        <v>0</v>
      </c>
      <c r="N5008" s="182" t="n">
        <v>0</v>
      </c>
      <c r="O5008" s="183" t="n">
        <v>0</v>
      </c>
      <c r="P5008" s="183" t="n">
        <v>0</v>
      </c>
      <c r="Q5008" s="184" t="n">
        <v>0</v>
      </c>
      <c r="R5008" s="184" t="n">
        <v>0</v>
      </c>
      <c r="S5008" s="183" t="n">
        <v>0</v>
      </c>
      <c r="T5008" s="183" t="n">
        <v>0</v>
      </c>
      <c r="U5008" s="182" t="n">
        <v>0</v>
      </c>
      <c r="V5008" s="182" t="n">
        <v>0</v>
      </c>
      <c r="W5008" s="182" t="n">
        <v>0</v>
      </c>
      <c r="X5008" s="182" t="n">
        <v>0</v>
      </c>
      <c r="Y5008" s="182" t="n">
        <v>0</v>
      </c>
      <c r="Z5008" s="182" t="n">
        <v>0</v>
      </c>
      <c r="AA5008" s="182" t="n">
        <v>0</v>
      </c>
      <c r="AB5008" s="182" t="n">
        <v>0</v>
      </c>
      <c r="AC5008" s="182" t="n">
        <v>0</v>
      </c>
      <c r="AD5008" s="182" t="n">
        <v>0</v>
      </c>
      <c r="AE5008" s="182" t="n">
        <v>0</v>
      </c>
      <c r="AF5008" s="182" t="n">
        <v>0</v>
      </c>
      <c r="AG5008" s="182" t="n">
        <v>0</v>
      </c>
      <c r="AH5008" s="182" t="n">
        <v>0</v>
      </c>
      <c r="AI5008" s="182" t="n">
        <v>0</v>
      </c>
      <c r="AJ5008" s="182" t="n">
        <v>0</v>
      </c>
      <c r="AK5008" s="182" t="n">
        <v>0</v>
      </c>
      <c r="AL5008" s="182" t="n">
        <v>0</v>
      </c>
      <c r="AM5008" s="182" t="n">
        <v>0</v>
      </c>
      <c r="AN5008" s="182" t="n">
        <v>0</v>
      </c>
    </row>
    <row r="5009">
      <c r="A5009" s="155" t="n">
        <v>46104</v>
      </c>
      <c r="B5009" s="156" t="inlineStr">
        <is>
          <t>NS</t>
        </is>
      </c>
      <c r="C5009" s="156" t="inlineStr">
        <is>
          <t>DT-806</t>
        </is>
      </c>
      <c r="D5009" s="156" t="inlineStr">
        <is>
          <t>SKT 80S</t>
        </is>
      </c>
      <c r="E5009" s="156" t="inlineStr">
        <is>
          <t>Hauler</t>
        </is>
      </c>
      <c r="F5009" s="156" t="inlineStr"/>
      <c r="G5009" s="182" t="n">
        <v>0</v>
      </c>
      <c r="H5009" s="182" t="n">
        <v>0</v>
      </c>
      <c r="I5009" s="182" t="n">
        <v>12</v>
      </c>
      <c r="J5009" s="182" t="n">
        <v>12</v>
      </c>
      <c r="K5009" s="182" t="n">
        <v>0</v>
      </c>
      <c r="L5009" s="182" t="n">
        <v>12</v>
      </c>
      <c r="M5009" s="182" t="n">
        <v>0</v>
      </c>
      <c r="N5009" s="182" t="n">
        <v>0</v>
      </c>
      <c r="O5009" s="183" t="n">
        <v>0</v>
      </c>
      <c r="P5009" s="183" t="n">
        <v>0</v>
      </c>
      <c r="Q5009" s="184" t="n">
        <v>0</v>
      </c>
      <c r="R5009" s="184" t="n">
        <v>0</v>
      </c>
      <c r="S5009" s="183" t="n">
        <v>0</v>
      </c>
      <c r="T5009" s="183" t="n">
        <v>0</v>
      </c>
      <c r="U5009" s="182" t="n">
        <v>0</v>
      </c>
      <c r="V5009" s="182" t="n">
        <v>0</v>
      </c>
      <c r="W5009" s="182" t="n">
        <v>0</v>
      </c>
      <c r="X5009" s="182" t="n">
        <v>0</v>
      </c>
      <c r="Y5009" s="182" t="n">
        <v>0</v>
      </c>
      <c r="Z5009" s="182" t="n">
        <v>0</v>
      </c>
      <c r="AA5009" s="182" t="n">
        <v>0</v>
      </c>
      <c r="AB5009" s="182" t="n">
        <v>0</v>
      </c>
      <c r="AC5009" s="182" t="n">
        <v>0</v>
      </c>
      <c r="AD5009" s="182" t="n">
        <v>0</v>
      </c>
      <c r="AE5009" s="182" t="n">
        <v>0</v>
      </c>
      <c r="AF5009" s="182" t="n">
        <v>0</v>
      </c>
      <c r="AG5009" s="182" t="n">
        <v>0</v>
      </c>
      <c r="AH5009" s="182" t="n">
        <v>0</v>
      </c>
      <c r="AI5009" s="182" t="n">
        <v>0</v>
      </c>
      <c r="AJ5009" s="182" t="n">
        <v>0</v>
      </c>
      <c r="AK5009" s="182" t="n">
        <v>0</v>
      </c>
      <c r="AL5009" s="182" t="n">
        <v>0</v>
      </c>
      <c r="AM5009" s="182" t="n">
        <v>0</v>
      </c>
      <c r="AN5009" s="182" t="n">
        <v>0</v>
      </c>
    </row>
    <row r="5010">
      <c r="A5010" s="155" t="n">
        <v>46104</v>
      </c>
      <c r="B5010" s="156" t="inlineStr">
        <is>
          <t>NS</t>
        </is>
      </c>
      <c r="C5010" s="156" t="inlineStr">
        <is>
          <t>DT-805</t>
        </is>
      </c>
      <c r="D5010" s="156" t="inlineStr">
        <is>
          <t>SKT 80S</t>
        </is>
      </c>
      <c r="E5010" s="156" t="inlineStr">
        <is>
          <t>Hauler</t>
        </is>
      </c>
      <c r="F5010" s="156" t="inlineStr"/>
      <c r="G5010" s="182" t="n">
        <v>0</v>
      </c>
      <c r="H5010" s="182" t="n">
        <v>0</v>
      </c>
      <c r="I5010" s="182" t="n">
        <v>12</v>
      </c>
      <c r="J5010" s="182" t="n">
        <v>12</v>
      </c>
      <c r="K5010" s="182" t="n">
        <v>0</v>
      </c>
      <c r="L5010" s="182" t="n">
        <v>12</v>
      </c>
      <c r="M5010" s="182" t="n">
        <v>0</v>
      </c>
      <c r="N5010" s="182" t="n">
        <v>0</v>
      </c>
      <c r="O5010" s="183" t="n">
        <v>0</v>
      </c>
      <c r="P5010" s="183" t="n">
        <v>0</v>
      </c>
      <c r="Q5010" s="184" t="n">
        <v>0</v>
      </c>
      <c r="R5010" s="184" t="n">
        <v>0</v>
      </c>
      <c r="S5010" s="183" t="n">
        <v>0</v>
      </c>
      <c r="T5010" s="183" t="n">
        <v>0</v>
      </c>
      <c r="U5010" s="182" t="n">
        <v>0</v>
      </c>
      <c r="V5010" s="182" t="n">
        <v>0</v>
      </c>
      <c r="W5010" s="182" t="n">
        <v>0</v>
      </c>
      <c r="X5010" s="182" t="n">
        <v>0</v>
      </c>
      <c r="Y5010" s="182" t="n">
        <v>0</v>
      </c>
      <c r="Z5010" s="182" t="n">
        <v>0</v>
      </c>
      <c r="AA5010" s="182" t="n">
        <v>0</v>
      </c>
      <c r="AB5010" s="182" t="n">
        <v>0</v>
      </c>
      <c r="AC5010" s="182" t="n">
        <v>0</v>
      </c>
      <c r="AD5010" s="182" t="n">
        <v>0</v>
      </c>
      <c r="AE5010" s="182" t="n">
        <v>0</v>
      </c>
      <c r="AF5010" s="182" t="n">
        <v>0</v>
      </c>
      <c r="AG5010" s="182" t="n">
        <v>0</v>
      </c>
      <c r="AH5010" s="182" t="n">
        <v>0</v>
      </c>
      <c r="AI5010" s="182" t="n">
        <v>0</v>
      </c>
      <c r="AJ5010" s="182" t="n">
        <v>0</v>
      </c>
      <c r="AK5010" s="182" t="n">
        <v>0</v>
      </c>
      <c r="AL5010" s="182" t="n">
        <v>0</v>
      </c>
      <c r="AM5010" s="182" t="n">
        <v>0</v>
      </c>
      <c r="AN5010" s="182" t="n">
        <v>0</v>
      </c>
    </row>
    <row r="5011">
      <c r="A5011" s="155" t="n">
        <v>46104</v>
      </c>
      <c r="B5011" s="156" t="inlineStr">
        <is>
          <t>NS</t>
        </is>
      </c>
      <c r="C5011" s="156" t="inlineStr">
        <is>
          <t>DT-801</t>
        </is>
      </c>
      <c r="D5011" s="156" t="inlineStr">
        <is>
          <t>SKT 80S</t>
        </is>
      </c>
      <c r="E5011" s="156" t="inlineStr">
        <is>
          <t>Hauler</t>
        </is>
      </c>
      <c r="F5011" s="156" t="inlineStr"/>
      <c r="G5011" s="182" t="n">
        <v>0</v>
      </c>
      <c r="H5011" s="182" t="n">
        <v>0</v>
      </c>
      <c r="I5011" s="182" t="n">
        <v>12</v>
      </c>
      <c r="J5011" s="182" t="n">
        <v>12</v>
      </c>
      <c r="K5011" s="182" t="n">
        <v>0</v>
      </c>
      <c r="L5011" s="182" t="n">
        <v>12</v>
      </c>
      <c r="M5011" s="182" t="n">
        <v>0</v>
      </c>
      <c r="N5011" s="182" t="n">
        <v>0</v>
      </c>
      <c r="O5011" s="183" t="n">
        <v>0</v>
      </c>
      <c r="P5011" s="183" t="n">
        <v>0</v>
      </c>
      <c r="Q5011" s="184" t="n">
        <v>0</v>
      </c>
      <c r="R5011" s="184" t="n">
        <v>0</v>
      </c>
      <c r="S5011" s="183" t="n">
        <v>0</v>
      </c>
      <c r="T5011" s="183" t="n">
        <v>0</v>
      </c>
      <c r="U5011" s="182" t="n">
        <v>0</v>
      </c>
      <c r="V5011" s="182" t="n">
        <v>0</v>
      </c>
      <c r="W5011" s="182" t="n">
        <v>0</v>
      </c>
      <c r="X5011" s="182" t="n">
        <v>0</v>
      </c>
      <c r="Y5011" s="182" t="n">
        <v>0</v>
      </c>
      <c r="Z5011" s="182" t="n">
        <v>0</v>
      </c>
      <c r="AA5011" s="182" t="n">
        <v>0</v>
      </c>
      <c r="AB5011" s="182" t="n">
        <v>0</v>
      </c>
      <c r="AC5011" s="182" t="n">
        <v>0</v>
      </c>
      <c r="AD5011" s="182" t="n">
        <v>0</v>
      </c>
      <c r="AE5011" s="182" t="n">
        <v>0</v>
      </c>
      <c r="AF5011" s="182" t="n">
        <v>0</v>
      </c>
      <c r="AG5011" s="182" t="n">
        <v>0</v>
      </c>
      <c r="AH5011" s="182" t="n">
        <v>0</v>
      </c>
      <c r="AI5011" s="182" t="n">
        <v>0</v>
      </c>
      <c r="AJ5011" s="182" t="n">
        <v>0</v>
      </c>
      <c r="AK5011" s="182" t="n">
        <v>0</v>
      </c>
      <c r="AL5011" s="182" t="n">
        <v>0</v>
      </c>
      <c r="AM5011" s="182" t="n">
        <v>0</v>
      </c>
      <c r="AN5011" s="182" t="n">
        <v>0</v>
      </c>
    </row>
    <row r="5012">
      <c r="A5012" s="155" t="n">
        <v>46104</v>
      </c>
      <c r="B5012" s="156" t="inlineStr">
        <is>
          <t>NS</t>
        </is>
      </c>
      <c r="C5012" s="156" t="inlineStr">
        <is>
          <t>DT-808</t>
        </is>
      </c>
      <c r="D5012" s="156" t="inlineStr">
        <is>
          <t>SKT 80S</t>
        </is>
      </c>
      <c r="E5012" s="156" t="inlineStr">
        <is>
          <t>Hauler</t>
        </is>
      </c>
      <c r="F5012" s="156" t="inlineStr">
        <is>
          <t>Support Washing Plant</t>
        </is>
      </c>
      <c r="G5012" s="182" t="n">
        <v>4.71</v>
      </c>
      <c r="H5012" s="182" t="n">
        <v>0</v>
      </c>
      <c r="I5012" s="182" t="n">
        <v>0</v>
      </c>
      <c r="J5012" s="182" t="n">
        <v>0</v>
      </c>
      <c r="K5012" s="182" t="n">
        <v>7.29</v>
      </c>
      <c r="L5012" s="182" t="n">
        <v>12</v>
      </c>
      <c r="M5012" s="182" t="n">
        <v>0</v>
      </c>
      <c r="N5012" s="182" t="n">
        <v>0</v>
      </c>
      <c r="O5012" s="183" t="n">
        <v>0</v>
      </c>
      <c r="P5012" s="183" t="n">
        <v>0</v>
      </c>
      <c r="Q5012" s="184" t="n">
        <v>0</v>
      </c>
      <c r="R5012" s="184" t="n">
        <v>0</v>
      </c>
      <c r="S5012" s="183" t="n">
        <v>8</v>
      </c>
      <c r="T5012" s="183" t="n">
        <v>0</v>
      </c>
      <c r="U5012" s="182" t="n">
        <v>6.24</v>
      </c>
      <c r="V5012" s="182" t="n">
        <v>0</v>
      </c>
      <c r="W5012" s="182" t="n">
        <v>0</v>
      </c>
      <c r="X5012" s="182" t="n">
        <v>0.97</v>
      </c>
      <c r="Y5012" s="182" t="n">
        <v>0</v>
      </c>
      <c r="Z5012" s="182" t="n">
        <v>0</v>
      </c>
      <c r="AA5012" s="182" t="n">
        <v>0</v>
      </c>
      <c r="AB5012" s="182" t="n">
        <v>0</v>
      </c>
      <c r="AC5012" s="182" t="n">
        <v>0</v>
      </c>
      <c r="AD5012" s="182" t="n">
        <v>0</v>
      </c>
      <c r="AE5012" s="182" t="n">
        <v>0</v>
      </c>
      <c r="AF5012" s="182" t="n">
        <v>0</v>
      </c>
      <c r="AG5012" s="182" t="n">
        <v>0</v>
      </c>
      <c r="AH5012" s="182" t="n">
        <v>0</v>
      </c>
      <c r="AI5012" s="182" t="n">
        <v>0</v>
      </c>
      <c r="AJ5012" s="182" t="n">
        <v>0</v>
      </c>
      <c r="AK5012" s="182" t="n">
        <v>0</v>
      </c>
      <c r="AL5012" s="182" t="n">
        <v>0</v>
      </c>
      <c r="AM5012" s="182" t="n">
        <v>0.08</v>
      </c>
      <c r="AN5012" s="182" t="n">
        <v>0</v>
      </c>
    </row>
    <row r="5013">
      <c r="A5013" s="155" t="n">
        <v>46104</v>
      </c>
      <c r="B5013" s="156" t="inlineStr">
        <is>
          <t>NS</t>
        </is>
      </c>
      <c r="C5013" s="156" t="inlineStr">
        <is>
          <t>DT-811</t>
        </is>
      </c>
      <c r="D5013" s="156" t="inlineStr">
        <is>
          <t>SKT 80S</t>
        </is>
      </c>
      <c r="E5013" s="156" t="inlineStr">
        <is>
          <t>Hauler</t>
        </is>
      </c>
      <c r="F5013" s="156" t="inlineStr"/>
      <c r="G5013" s="182" t="n">
        <v>0</v>
      </c>
      <c r="H5013" s="182" t="n">
        <v>0</v>
      </c>
      <c r="I5013" s="182" t="n">
        <v>2.5</v>
      </c>
      <c r="J5013" s="182" t="n">
        <v>2.5</v>
      </c>
      <c r="K5013" s="182" t="n">
        <v>9.5</v>
      </c>
      <c r="L5013" s="182" t="n">
        <v>12</v>
      </c>
      <c r="M5013" s="182" t="n">
        <v>0</v>
      </c>
      <c r="N5013" s="182" t="n">
        <v>0</v>
      </c>
      <c r="O5013" s="183" t="n">
        <v>0</v>
      </c>
      <c r="P5013" s="183" t="n">
        <v>0</v>
      </c>
      <c r="Q5013" s="184" t="n">
        <v>0</v>
      </c>
      <c r="R5013" s="184" t="n">
        <v>0</v>
      </c>
      <c r="S5013" s="183" t="n">
        <v>0</v>
      </c>
      <c r="T5013" s="183" t="n">
        <v>0</v>
      </c>
      <c r="U5013" s="182" t="n">
        <v>8.42</v>
      </c>
      <c r="V5013" s="182" t="n">
        <v>0</v>
      </c>
      <c r="W5013" s="182" t="n">
        <v>0</v>
      </c>
      <c r="X5013" s="182" t="n">
        <v>1</v>
      </c>
      <c r="Y5013" s="182" t="n">
        <v>0</v>
      </c>
      <c r="Z5013" s="182" t="n">
        <v>0</v>
      </c>
      <c r="AA5013" s="182" t="n">
        <v>0</v>
      </c>
      <c r="AB5013" s="182" t="n">
        <v>0</v>
      </c>
      <c r="AC5013" s="182" t="n">
        <v>0</v>
      </c>
      <c r="AD5013" s="182" t="n">
        <v>0</v>
      </c>
      <c r="AE5013" s="182" t="n">
        <v>0</v>
      </c>
      <c r="AF5013" s="182" t="n">
        <v>0</v>
      </c>
      <c r="AG5013" s="182" t="n">
        <v>0</v>
      </c>
      <c r="AH5013" s="182" t="n">
        <v>0</v>
      </c>
      <c r="AI5013" s="182" t="n">
        <v>0</v>
      </c>
      <c r="AJ5013" s="182" t="n">
        <v>0</v>
      </c>
      <c r="AK5013" s="182" t="n">
        <v>0</v>
      </c>
      <c r="AL5013" s="182" t="n">
        <v>0</v>
      </c>
      <c r="AM5013" s="182" t="n">
        <v>0.08</v>
      </c>
      <c r="AN5013" s="182" t="n">
        <v>0</v>
      </c>
    </row>
    <row r="5014">
      <c r="A5014" s="155" t="n">
        <v>46104</v>
      </c>
      <c r="B5014" s="156" t="inlineStr">
        <is>
          <t>NS</t>
        </is>
      </c>
      <c r="C5014" s="156" t="inlineStr">
        <is>
          <t>DT-802</t>
        </is>
      </c>
      <c r="D5014" s="156" t="inlineStr">
        <is>
          <t>SKT 80S</t>
        </is>
      </c>
      <c r="E5014" s="156" t="inlineStr">
        <is>
          <t>Hauler</t>
        </is>
      </c>
      <c r="F5014" s="156" t="inlineStr"/>
      <c r="G5014" s="182" t="n">
        <v>0</v>
      </c>
      <c r="H5014" s="182" t="n">
        <v>0</v>
      </c>
      <c r="I5014" s="182" t="n">
        <v>12</v>
      </c>
      <c r="J5014" s="182" t="n">
        <v>12</v>
      </c>
      <c r="K5014" s="182" t="n">
        <v>0</v>
      </c>
      <c r="L5014" s="182" t="n">
        <v>12</v>
      </c>
      <c r="M5014" s="182" t="n">
        <v>0</v>
      </c>
      <c r="N5014" s="182" t="n">
        <v>0</v>
      </c>
      <c r="O5014" s="183" t="n">
        <v>0</v>
      </c>
      <c r="P5014" s="183" t="n">
        <v>0</v>
      </c>
      <c r="Q5014" s="184" t="n">
        <v>0</v>
      </c>
      <c r="R5014" s="184" t="n">
        <v>0</v>
      </c>
      <c r="S5014" s="183" t="n">
        <v>0</v>
      </c>
      <c r="T5014" s="183" t="n">
        <v>0</v>
      </c>
      <c r="U5014" s="182" t="n">
        <v>0</v>
      </c>
      <c r="V5014" s="182" t="n">
        <v>0</v>
      </c>
      <c r="W5014" s="182" t="n">
        <v>0</v>
      </c>
      <c r="X5014" s="182" t="n">
        <v>0</v>
      </c>
      <c r="Y5014" s="182" t="n">
        <v>0</v>
      </c>
      <c r="Z5014" s="182" t="n">
        <v>0</v>
      </c>
      <c r="AA5014" s="182" t="n">
        <v>0</v>
      </c>
      <c r="AB5014" s="182" t="n">
        <v>0</v>
      </c>
      <c r="AC5014" s="182" t="n">
        <v>0</v>
      </c>
      <c r="AD5014" s="182" t="n">
        <v>0</v>
      </c>
      <c r="AE5014" s="182" t="n">
        <v>0</v>
      </c>
      <c r="AF5014" s="182" t="n">
        <v>0</v>
      </c>
      <c r="AG5014" s="182" t="n">
        <v>0</v>
      </c>
      <c r="AH5014" s="182" t="n">
        <v>0</v>
      </c>
      <c r="AI5014" s="182" t="n">
        <v>0</v>
      </c>
      <c r="AJ5014" s="182" t="n">
        <v>0</v>
      </c>
      <c r="AK5014" s="182" t="n">
        <v>0</v>
      </c>
      <c r="AL5014" s="182" t="n">
        <v>0</v>
      </c>
      <c r="AM5014" s="182" t="n">
        <v>0</v>
      </c>
      <c r="AN5014" s="182" t="n">
        <v>0</v>
      </c>
    </row>
    <row r="5015">
      <c r="A5015" s="155" t="n">
        <v>46104</v>
      </c>
      <c r="B5015" s="156" t="inlineStr">
        <is>
          <t>NS</t>
        </is>
      </c>
      <c r="C5015" s="156" t="inlineStr">
        <is>
          <t>DT-807</t>
        </is>
      </c>
      <c r="D5015" s="156" t="inlineStr">
        <is>
          <t>SKT 80S</t>
        </is>
      </c>
      <c r="E5015" s="156" t="inlineStr">
        <is>
          <t>Hauler</t>
        </is>
      </c>
      <c r="F5015" s="156" t="inlineStr"/>
      <c r="G5015" s="182" t="n">
        <v>0</v>
      </c>
      <c r="H5015" s="182" t="n">
        <v>0</v>
      </c>
      <c r="I5015" s="182" t="n">
        <v>12</v>
      </c>
      <c r="J5015" s="182" t="n">
        <v>12</v>
      </c>
      <c r="K5015" s="182" t="n">
        <v>0</v>
      </c>
      <c r="L5015" s="182" t="n">
        <v>12</v>
      </c>
      <c r="M5015" s="182" t="n">
        <v>0</v>
      </c>
      <c r="N5015" s="182" t="n">
        <v>0</v>
      </c>
      <c r="O5015" s="183" t="n">
        <v>0</v>
      </c>
      <c r="P5015" s="183" t="n">
        <v>0</v>
      </c>
      <c r="Q5015" s="184" t="n">
        <v>0</v>
      </c>
      <c r="R5015" s="184" t="n">
        <v>0</v>
      </c>
      <c r="S5015" s="183" t="n">
        <v>0</v>
      </c>
      <c r="T5015" s="183" t="n">
        <v>0</v>
      </c>
      <c r="U5015" s="182" t="n">
        <v>0</v>
      </c>
      <c r="V5015" s="182" t="n">
        <v>0</v>
      </c>
      <c r="W5015" s="182" t="n">
        <v>0</v>
      </c>
      <c r="X5015" s="182" t="n">
        <v>0</v>
      </c>
      <c r="Y5015" s="182" t="n">
        <v>0</v>
      </c>
      <c r="Z5015" s="182" t="n">
        <v>0</v>
      </c>
      <c r="AA5015" s="182" t="n">
        <v>0</v>
      </c>
      <c r="AB5015" s="182" t="n">
        <v>0</v>
      </c>
      <c r="AC5015" s="182" t="n">
        <v>0</v>
      </c>
      <c r="AD5015" s="182" t="n">
        <v>0</v>
      </c>
      <c r="AE5015" s="182" t="n">
        <v>0</v>
      </c>
      <c r="AF5015" s="182" t="n">
        <v>0</v>
      </c>
      <c r="AG5015" s="182" t="n">
        <v>0</v>
      </c>
      <c r="AH5015" s="182" t="n">
        <v>0</v>
      </c>
      <c r="AI5015" s="182" t="n">
        <v>0</v>
      </c>
      <c r="AJ5015" s="182" t="n">
        <v>0</v>
      </c>
      <c r="AK5015" s="182" t="n">
        <v>0</v>
      </c>
      <c r="AL5015" s="182" t="n">
        <v>0</v>
      </c>
      <c r="AM5015" s="182" t="n">
        <v>0</v>
      </c>
      <c r="AN5015" s="182" t="n">
        <v>0</v>
      </c>
    </row>
    <row r="5016">
      <c r="A5016" s="155" t="n">
        <v>46104</v>
      </c>
      <c r="B5016" s="156" t="inlineStr">
        <is>
          <t>NS</t>
        </is>
      </c>
      <c r="C5016" s="156" t="inlineStr">
        <is>
          <t>DT-812</t>
        </is>
      </c>
      <c r="D5016" s="156" t="inlineStr">
        <is>
          <t>SKT 80S</t>
        </is>
      </c>
      <c r="E5016" s="156" t="inlineStr">
        <is>
          <t>Hauler</t>
        </is>
      </c>
      <c r="F5016" s="156" t="inlineStr"/>
      <c r="G5016" s="182" t="n">
        <v>0</v>
      </c>
      <c r="H5016" s="182" t="n">
        <v>0</v>
      </c>
      <c r="I5016" s="182" t="n">
        <v>0</v>
      </c>
      <c r="J5016" s="182" t="n">
        <v>0</v>
      </c>
      <c r="K5016" s="182" t="n">
        <v>12</v>
      </c>
      <c r="L5016" s="182" t="n">
        <v>12</v>
      </c>
      <c r="M5016" s="182" t="n">
        <v>0</v>
      </c>
      <c r="N5016" s="182" t="n">
        <v>0</v>
      </c>
      <c r="O5016" s="183" t="n">
        <v>0</v>
      </c>
      <c r="P5016" s="183" t="n">
        <v>0</v>
      </c>
      <c r="Q5016" s="184" t="n">
        <v>0</v>
      </c>
      <c r="R5016" s="184" t="n">
        <v>0</v>
      </c>
      <c r="S5016" s="183" t="n">
        <v>0</v>
      </c>
      <c r="T5016" s="183" t="n">
        <v>0</v>
      </c>
      <c r="U5016" s="182" t="n">
        <v>7.35</v>
      </c>
      <c r="V5016" s="182" t="n">
        <v>0</v>
      </c>
      <c r="W5016" s="182" t="n">
        <v>0</v>
      </c>
      <c r="X5016" s="182" t="n">
        <v>1</v>
      </c>
      <c r="Y5016" s="182" t="n">
        <v>0</v>
      </c>
      <c r="Z5016" s="182" t="n">
        <v>0</v>
      </c>
      <c r="AA5016" s="182" t="n">
        <v>0</v>
      </c>
      <c r="AB5016" s="182" t="n">
        <v>0</v>
      </c>
      <c r="AC5016" s="182" t="n">
        <v>0</v>
      </c>
      <c r="AD5016" s="182" t="n">
        <v>0</v>
      </c>
      <c r="AE5016" s="182" t="n">
        <v>0</v>
      </c>
      <c r="AF5016" s="182" t="n">
        <v>0</v>
      </c>
      <c r="AG5016" s="182" t="n">
        <v>0</v>
      </c>
      <c r="AH5016" s="182" t="n">
        <v>0</v>
      </c>
      <c r="AI5016" s="182" t="n">
        <v>0</v>
      </c>
      <c r="AJ5016" s="182" t="n">
        <v>0</v>
      </c>
      <c r="AK5016" s="182" t="n">
        <v>3.57</v>
      </c>
      <c r="AL5016" s="182" t="n">
        <v>0</v>
      </c>
      <c r="AM5016" s="182" t="n">
        <v>0.08</v>
      </c>
      <c r="AN5016" s="182" t="n">
        <v>0</v>
      </c>
    </row>
    <row r="5017">
      <c r="A5017" s="155" t="n">
        <v>46104</v>
      </c>
      <c r="B5017" s="156" t="inlineStr">
        <is>
          <t>NS</t>
        </is>
      </c>
      <c r="C5017" s="156" t="inlineStr">
        <is>
          <t>DT-803</t>
        </is>
      </c>
      <c r="D5017" s="156" t="inlineStr">
        <is>
          <t>SKT 80S</t>
        </is>
      </c>
      <c r="E5017" s="156" t="inlineStr">
        <is>
          <t>Hauler</t>
        </is>
      </c>
      <c r="F5017" s="156" t="inlineStr"/>
      <c r="G5017" s="182" t="n">
        <v>0</v>
      </c>
      <c r="H5017" s="182" t="n">
        <v>0</v>
      </c>
      <c r="I5017" s="182" t="n">
        <v>0</v>
      </c>
      <c r="J5017" s="182" t="n">
        <v>0</v>
      </c>
      <c r="K5017" s="182" t="n">
        <v>12</v>
      </c>
      <c r="L5017" s="182" t="n">
        <v>12</v>
      </c>
      <c r="M5017" s="182" t="n">
        <v>0</v>
      </c>
      <c r="N5017" s="182" t="n">
        <v>0</v>
      </c>
      <c r="O5017" s="183" t="n">
        <v>0</v>
      </c>
      <c r="P5017" s="183" t="n">
        <v>0</v>
      </c>
      <c r="Q5017" s="184" t="n">
        <v>0</v>
      </c>
      <c r="R5017" s="184" t="n">
        <v>0</v>
      </c>
      <c r="S5017" s="183" t="n">
        <v>0</v>
      </c>
      <c r="T5017" s="183" t="n">
        <v>0</v>
      </c>
      <c r="U5017" s="182" t="n">
        <v>7.35</v>
      </c>
      <c r="V5017" s="182" t="n">
        <v>0</v>
      </c>
      <c r="W5017" s="182" t="n">
        <v>0</v>
      </c>
      <c r="X5017" s="182" t="n">
        <v>1</v>
      </c>
      <c r="Y5017" s="182" t="n">
        <v>0</v>
      </c>
      <c r="Z5017" s="182" t="n">
        <v>0</v>
      </c>
      <c r="AA5017" s="182" t="n">
        <v>0</v>
      </c>
      <c r="AB5017" s="182" t="n">
        <v>0</v>
      </c>
      <c r="AC5017" s="182" t="n">
        <v>0</v>
      </c>
      <c r="AD5017" s="182" t="n">
        <v>0</v>
      </c>
      <c r="AE5017" s="182" t="n">
        <v>0</v>
      </c>
      <c r="AF5017" s="182" t="n">
        <v>0</v>
      </c>
      <c r="AG5017" s="182" t="n">
        <v>0</v>
      </c>
      <c r="AH5017" s="182" t="n">
        <v>0</v>
      </c>
      <c r="AI5017" s="182" t="n">
        <v>0</v>
      </c>
      <c r="AJ5017" s="182" t="n">
        <v>0</v>
      </c>
      <c r="AK5017" s="182" t="n">
        <v>3.57</v>
      </c>
      <c r="AL5017" s="182" t="n">
        <v>0</v>
      </c>
      <c r="AM5017" s="182" t="n">
        <v>0.08</v>
      </c>
      <c r="AN5017" s="182" t="n">
        <v>0</v>
      </c>
    </row>
    <row r="5018">
      <c r="A5018" s="155" t="n">
        <v>46104</v>
      </c>
      <c r="B5018" s="156" t="inlineStr">
        <is>
          <t>NS</t>
        </is>
      </c>
      <c r="C5018" s="156" t="inlineStr">
        <is>
          <t>DT-810</t>
        </is>
      </c>
      <c r="D5018" s="156" t="inlineStr">
        <is>
          <t>SKT 80S</t>
        </is>
      </c>
      <c r="E5018" s="156" t="inlineStr">
        <is>
          <t>Hauler</t>
        </is>
      </c>
      <c r="F5018" s="156" t="inlineStr"/>
      <c r="G5018" s="182" t="n">
        <v>0</v>
      </c>
      <c r="H5018" s="182" t="n">
        <v>0</v>
      </c>
      <c r="I5018" s="182" t="n">
        <v>0</v>
      </c>
      <c r="J5018" s="182" t="n">
        <v>0</v>
      </c>
      <c r="K5018" s="182" t="n">
        <v>12</v>
      </c>
      <c r="L5018" s="182" t="n">
        <v>12</v>
      </c>
      <c r="M5018" s="182" t="n">
        <v>0</v>
      </c>
      <c r="N5018" s="182" t="n">
        <v>0</v>
      </c>
      <c r="O5018" s="183" t="n">
        <v>0</v>
      </c>
      <c r="P5018" s="183" t="n">
        <v>0</v>
      </c>
      <c r="Q5018" s="184" t="n">
        <v>0</v>
      </c>
      <c r="R5018" s="184" t="n">
        <v>0</v>
      </c>
      <c r="S5018" s="183" t="n">
        <v>0</v>
      </c>
      <c r="T5018" s="183" t="n">
        <v>0</v>
      </c>
      <c r="U5018" s="182" t="n">
        <v>7.35</v>
      </c>
      <c r="V5018" s="182" t="n">
        <v>0</v>
      </c>
      <c r="W5018" s="182" t="n">
        <v>0</v>
      </c>
      <c r="X5018" s="182" t="n">
        <v>1</v>
      </c>
      <c r="Y5018" s="182" t="n">
        <v>0</v>
      </c>
      <c r="Z5018" s="182" t="n">
        <v>0</v>
      </c>
      <c r="AA5018" s="182" t="n">
        <v>0</v>
      </c>
      <c r="AB5018" s="182" t="n">
        <v>0</v>
      </c>
      <c r="AC5018" s="182" t="n">
        <v>0</v>
      </c>
      <c r="AD5018" s="182" t="n">
        <v>0</v>
      </c>
      <c r="AE5018" s="182" t="n">
        <v>0</v>
      </c>
      <c r="AF5018" s="182" t="n">
        <v>0</v>
      </c>
      <c r="AG5018" s="182" t="n">
        <v>0</v>
      </c>
      <c r="AH5018" s="182" t="n">
        <v>0</v>
      </c>
      <c r="AI5018" s="182" t="n">
        <v>0</v>
      </c>
      <c r="AJ5018" s="182" t="n">
        <v>0</v>
      </c>
      <c r="AK5018" s="182" t="n">
        <v>3.57</v>
      </c>
      <c r="AL5018" s="182" t="n">
        <v>0</v>
      </c>
      <c r="AM5018" s="182" t="n">
        <v>0.08</v>
      </c>
      <c r="AN5018" s="182" t="n">
        <v>0</v>
      </c>
    </row>
    <row r="5019">
      <c r="A5019" s="155" t="n">
        <v>46104</v>
      </c>
      <c r="B5019" s="156" t="inlineStr">
        <is>
          <t>NS</t>
        </is>
      </c>
      <c r="C5019" s="156" t="inlineStr">
        <is>
          <t>DT-804</t>
        </is>
      </c>
      <c r="D5019" s="156" t="inlineStr">
        <is>
          <t>SKT 80S</t>
        </is>
      </c>
      <c r="E5019" s="156" t="inlineStr">
        <is>
          <t>Hauler</t>
        </is>
      </c>
      <c r="F5019" s="156" t="inlineStr">
        <is>
          <t>Support Washing Plant</t>
        </is>
      </c>
      <c r="G5019" s="182" t="n">
        <v>3.82</v>
      </c>
      <c r="H5019" s="182" t="n">
        <v>0</v>
      </c>
      <c r="I5019" s="182" t="n">
        <v>0</v>
      </c>
      <c r="J5019" s="182" t="n">
        <v>0</v>
      </c>
      <c r="K5019" s="182" t="n">
        <v>8.18</v>
      </c>
      <c r="L5019" s="182" t="n">
        <v>12</v>
      </c>
      <c r="M5019" s="182" t="n">
        <v>0</v>
      </c>
      <c r="N5019" s="182" t="n">
        <v>0</v>
      </c>
      <c r="O5019" s="183" t="n">
        <v>0</v>
      </c>
      <c r="P5019" s="183" t="n">
        <v>0</v>
      </c>
      <c r="Q5019" s="184" t="n">
        <v>0</v>
      </c>
      <c r="R5019" s="184" t="n">
        <v>0</v>
      </c>
      <c r="S5019" s="183" t="n">
        <v>0</v>
      </c>
      <c r="T5019" s="183" t="n">
        <v>0</v>
      </c>
      <c r="U5019" s="182" t="n">
        <v>7.1</v>
      </c>
      <c r="V5019" s="182" t="n">
        <v>0</v>
      </c>
      <c r="W5019" s="182" t="n">
        <v>0</v>
      </c>
      <c r="X5019" s="182" t="n">
        <v>1</v>
      </c>
      <c r="Y5019" s="182" t="n">
        <v>0</v>
      </c>
      <c r="Z5019" s="182" t="n">
        <v>0</v>
      </c>
      <c r="AA5019" s="182" t="n">
        <v>0</v>
      </c>
      <c r="AB5019" s="182" t="n">
        <v>0</v>
      </c>
      <c r="AC5019" s="182" t="n">
        <v>0</v>
      </c>
      <c r="AD5019" s="182" t="n">
        <v>0</v>
      </c>
      <c r="AE5019" s="182" t="n">
        <v>0</v>
      </c>
      <c r="AF5019" s="182" t="n">
        <v>0</v>
      </c>
      <c r="AG5019" s="182" t="n">
        <v>0</v>
      </c>
      <c r="AH5019" s="182" t="n">
        <v>0</v>
      </c>
      <c r="AI5019" s="182" t="n">
        <v>0</v>
      </c>
      <c r="AJ5019" s="182" t="n">
        <v>0</v>
      </c>
      <c r="AK5019" s="182" t="n">
        <v>0</v>
      </c>
      <c r="AL5019" s="182" t="n">
        <v>0</v>
      </c>
      <c r="AM5019" s="182" t="n">
        <v>0.08</v>
      </c>
      <c r="AN5019" s="182" t="n">
        <v>0</v>
      </c>
    </row>
    <row r="5020">
      <c r="A5020" s="155" t="n">
        <v>46104</v>
      </c>
      <c r="B5020" s="156" t="inlineStr">
        <is>
          <t>NS</t>
        </is>
      </c>
      <c r="C5020" s="156" t="inlineStr">
        <is>
          <t>DT-505</t>
        </is>
      </c>
      <c r="D5020" s="156" t="inlineStr">
        <is>
          <t>SKT 105S</t>
        </is>
      </c>
      <c r="E5020" s="156" t="inlineStr">
        <is>
          <t>Hauler</t>
        </is>
      </c>
      <c r="F5020" s="156" t="inlineStr">
        <is>
          <t>Hauling OB</t>
        </is>
      </c>
      <c r="G5020" s="182" t="n">
        <v>3.18</v>
      </c>
      <c r="H5020" s="182" t="n">
        <v>0</v>
      </c>
      <c r="I5020" s="182" t="n">
        <v>0</v>
      </c>
      <c r="J5020" s="182" t="n">
        <v>0</v>
      </c>
      <c r="K5020" s="182" t="n">
        <v>8.82</v>
      </c>
      <c r="L5020" s="182" t="n">
        <v>12</v>
      </c>
      <c r="M5020" s="182" t="n">
        <v>3.18</v>
      </c>
      <c r="N5020" s="182" t="n">
        <v>0</v>
      </c>
      <c r="O5020" s="183" t="n">
        <v>18</v>
      </c>
      <c r="P5020" s="183" t="n">
        <v>0</v>
      </c>
      <c r="Q5020" s="184" t="n">
        <v>367.2</v>
      </c>
      <c r="R5020" s="184" t="n">
        <v>0</v>
      </c>
      <c r="S5020" s="183" t="n">
        <v>0</v>
      </c>
      <c r="T5020" s="183" t="n">
        <v>0</v>
      </c>
      <c r="U5020" s="182" t="n">
        <v>7.67</v>
      </c>
      <c r="V5020" s="182" t="n">
        <v>0</v>
      </c>
      <c r="W5020" s="182" t="n">
        <v>0</v>
      </c>
      <c r="X5020" s="182" t="n">
        <v>1.06</v>
      </c>
      <c r="Y5020" s="182" t="n">
        <v>0</v>
      </c>
      <c r="Z5020" s="182" t="n">
        <v>0</v>
      </c>
      <c r="AA5020" s="182" t="n">
        <v>0</v>
      </c>
      <c r="AB5020" s="182" t="n">
        <v>0</v>
      </c>
      <c r="AC5020" s="182" t="n">
        <v>0</v>
      </c>
      <c r="AD5020" s="182" t="n">
        <v>0</v>
      </c>
      <c r="AE5020" s="182" t="n">
        <v>0</v>
      </c>
      <c r="AF5020" s="182" t="n">
        <v>0</v>
      </c>
      <c r="AG5020" s="182" t="n">
        <v>0</v>
      </c>
      <c r="AH5020" s="182" t="n">
        <v>0</v>
      </c>
      <c r="AI5020" s="182" t="n">
        <v>0</v>
      </c>
      <c r="AJ5020" s="182" t="n">
        <v>0</v>
      </c>
      <c r="AK5020" s="182" t="n">
        <v>0</v>
      </c>
      <c r="AL5020" s="182" t="n">
        <v>0</v>
      </c>
      <c r="AM5020" s="182" t="n">
        <v>0.09</v>
      </c>
      <c r="AN5020" s="182" t="n">
        <v>0</v>
      </c>
    </row>
    <row r="5021">
      <c r="A5021" s="155" t="n">
        <v>46104</v>
      </c>
      <c r="B5021" s="156" t="inlineStr">
        <is>
          <t>NS</t>
        </is>
      </c>
      <c r="C5021" s="156" t="inlineStr">
        <is>
          <t>DT-530</t>
        </is>
      </c>
      <c r="D5021" s="156" t="inlineStr">
        <is>
          <t>SKT 105S</t>
        </is>
      </c>
      <c r="E5021" s="156" t="inlineStr">
        <is>
          <t>Hauler</t>
        </is>
      </c>
      <c r="F5021" s="156" t="inlineStr"/>
      <c r="G5021" s="182" t="n">
        <v>0</v>
      </c>
      <c r="H5021" s="182" t="n">
        <v>0</v>
      </c>
      <c r="I5021" s="182" t="n">
        <v>12</v>
      </c>
      <c r="J5021" s="182" t="n">
        <v>12</v>
      </c>
      <c r="K5021" s="182" t="n">
        <v>0</v>
      </c>
      <c r="L5021" s="182" t="n">
        <v>12</v>
      </c>
      <c r="M5021" s="182" t="n">
        <v>0</v>
      </c>
      <c r="N5021" s="182" t="n">
        <v>0</v>
      </c>
      <c r="O5021" s="183" t="n">
        <v>0</v>
      </c>
      <c r="P5021" s="183" t="n">
        <v>0</v>
      </c>
      <c r="Q5021" s="184" t="n">
        <v>0</v>
      </c>
      <c r="R5021" s="184" t="n">
        <v>0</v>
      </c>
      <c r="S5021" s="183" t="n">
        <v>0</v>
      </c>
      <c r="T5021" s="183" t="n">
        <v>0</v>
      </c>
      <c r="U5021" s="182" t="n">
        <v>0</v>
      </c>
      <c r="V5021" s="182" t="n">
        <v>0</v>
      </c>
      <c r="W5021" s="182" t="n">
        <v>0</v>
      </c>
      <c r="X5021" s="182" t="n">
        <v>0</v>
      </c>
      <c r="Y5021" s="182" t="n">
        <v>0</v>
      </c>
      <c r="Z5021" s="182" t="n">
        <v>0</v>
      </c>
      <c r="AA5021" s="182" t="n">
        <v>0</v>
      </c>
      <c r="AB5021" s="182" t="n">
        <v>0</v>
      </c>
      <c r="AC5021" s="182" t="n">
        <v>0</v>
      </c>
      <c r="AD5021" s="182" t="n">
        <v>0</v>
      </c>
      <c r="AE5021" s="182" t="n">
        <v>0</v>
      </c>
      <c r="AF5021" s="182" t="n">
        <v>0</v>
      </c>
      <c r="AG5021" s="182" t="n">
        <v>0</v>
      </c>
      <c r="AH5021" s="182" t="n">
        <v>0</v>
      </c>
      <c r="AI5021" s="182" t="n">
        <v>0</v>
      </c>
      <c r="AJ5021" s="182" t="n">
        <v>0</v>
      </c>
      <c r="AK5021" s="182" t="n">
        <v>0</v>
      </c>
      <c r="AL5021" s="182" t="n">
        <v>0</v>
      </c>
      <c r="AM5021" s="182" t="n">
        <v>0</v>
      </c>
      <c r="AN5021" s="182" t="n">
        <v>0</v>
      </c>
    </row>
    <row r="5022">
      <c r="A5022" s="155" t="n">
        <v>46104</v>
      </c>
      <c r="B5022" s="156" t="inlineStr">
        <is>
          <t>NS</t>
        </is>
      </c>
      <c r="C5022" s="156" t="inlineStr">
        <is>
          <t>DT-525</t>
        </is>
      </c>
      <c r="D5022" s="156" t="inlineStr">
        <is>
          <t>SKT 105S</t>
        </is>
      </c>
      <c r="E5022" s="156" t="inlineStr">
        <is>
          <t>Hauler</t>
        </is>
      </c>
      <c r="F5022" s="156" t="inlineStr"/>
      <c r="G5022" s="182" t="n">
        <v>0</v>
      </c>
      <c r="H5022" s="182" t="n">
        <v>0</v>
      </c>
      <c r="I5022" s="182" t="n">
        <v>12</v>
      </c>
      <c r="J5022" s="182" t="n">
        <v>12</v>
      </c>
      <c r="K5022" s="182" t="n">
        <v>0</v>
      </c>
      <c r="L5022" s="182" t="n">
        <v>12</v>
      </c>
      <c r="M5022" s="182" t="n">
        <v>0</v>
      </c>
      <c r="N5022" s="182" t="n">
        <v>0</v>
      </c>
      <c r="O5022" s="183" t="n">
        <v>0</v>
      </c>
      <c r="P5022" s="183" t="n">
        <v>0</v>
      </c>
      <c r="Q5022" s="184" t="n">
        <v>0</v>
      </c>
      <c r="R5022" s="184" t="n">
        <v>0</v>
      </c>
      <c r="S5022" s="183" t="n">
        <v>0</v>
      </c>
      <c r="T5022" s="183" t="n">
        <v>0</v>
      </c>
      <c r="U5022" s="182" t="n">
        <v>0</v>
      </c>
      <c r="V5022" s="182" t="n">
        <v>0</v>
      </c>
      <c r="W5022" s="182" t="n">
        <v>0</v>
      </c>
      <c r="X5022" s="182" t="n">
        <v>0</v>
      </c>
      <c r="Y5022" s="182" t="n">
        <v>0</v>
      </c>
      <c r="Z5022" s="182" t="n">
        <v>0</v>
      </c>
      <c r="AA5022" s="182" t="n">
        <v>0</v>
      </c>
      <c r="AB5022" s="182" t="n">
        <v>0</v>
      </c>
      <c r="AC5022" s="182" t="n">
        <v>0</v>
      </c>
      <c r="AD5022" s="182" t="n">
        <v>0</v>
      </c>
      <c r="AE5022" s="182" t="n">
        <v>0</v>
      </c>
      <c r="AF5022" s="182" t="n">
        <v>0</v>
      </c>
      <c r="AG5022" s="182" t="n">
        <v>0</v>
      </c>
      <c r="AH5022" s="182" t="n">
        <v>0</v>
      </c>
      <c r="AI5022" s="182" t="n">
        <v>0</v>
      </c>
      <c r="AJ5022" s="182" t="n">
        <v>0</v>
      </c>
      <c r="AK5022" s="182" t="n">
        <v>0</v>
      </c>
      <c r="AL5022" s="182" t="n">
        <v>0</v>
      </c>
      <c r="AM5022" s="182" t="n">
        <v>0</v>
      </c>
      <c r="AN5022" s="182" t="n">
        <v>0</v>
      </c>
    </row>
    <row r="5023">
      <c r="A5023" s="155" t="n">
        <v>46104</v>
      </c>
      <c r="B5023" s="156" t="inlineStr">
        <is>
          <t>NS</t>
        </is>
      </c>
      <c r="C5023" s="156" t="inlineStr">
        <is>
          <t>DT-503</t>
        </is>
      </c>
      <c r="D5023" s="156" t="inlineStr">
        <is>
          <t>SKT 105S</t>
        </is>
      </c>
      <c r="E5023" s="156" t="inlineStr">
        <is>
          <t>Hauler</t>
        </is>
      </c>
      <c r="F5023" s="156" t="inlineStr">
        <is>
          <t>Hauling OB</t>
        </is>
      </c>
      <c r="G5023" s="182" t="n">
        <v>5.07</v>
      </c>
      <c r="H5023" s="182" t="n">
        <v>0</v>
      </c>
      <c r="I5023" s="182" t="n">
        <v>0.58</v>
      </c>
      <c r="J5023" s="182" t="n">
        <v>0.58</v>
      </c>
      <c r="K5023" s="182" t="n">
        <v>6.35</v>
      </c>
      <c r="L5023" s="182" t="n">
        <v>12</v>
      </c>
      <c r="M5023" s="182" t="n">
        <v>5.07</v>
      </c>
      <c r="N5023" s="182" t="n">
        <v>0</v>
      </c>
      <c r="O5023" s="183" t="n">
        <v>11</v>
      </c>
      <c r="P5023" s="183" t="n">
        <v>0</v>
      </c>
      <c r="Q5023" s="184" t="n">
        <v>224.4</v>
      </c>
      <c r="R5023" s="184" t="n">
        <v>0</v>
      </c>
      <c r="S5023" s="183" t="n">
        <v>0</v>
      </c>
      <c r="T5023" s="183" t="n">
        <v>0</v>
      </c>
      <c r="U5023" s="182" t="n">
        <v>5.29</v>
      </c>
      <c r="V5023" s="182" t="n">
        <v>0</v>
      </c>
      <c r="W5023" s="182" t="n">
        <v>0</v>
      </c>
      <c r="X5023" s="182" t="n">
        <v>0.97</v>
      </c>
      <c r="Y5023" s="182" t="n">
        <v>0</v>
      </c>
      <c r="Z5023" s="182" t="n">
        <v>0</v>
      </c>
      <c r="AA5023" s="182" t="n">
        <v>0</v>
      </c>
      <c r="AB5023" s="182" t="n">
        <v>0</v>
      </c>
      <c r="AC5023" s="182" t="n">
        <v>0</v>
      </c>
      <c r="AD5023" s="182" t="n">
        <v>0</v>
      </c>
      <c r="AE5023" s="182" t="n">
        <v>0</v>
      </c>
      <c r="AF5023" s="182" t="n">
        <v>0</v>
      </c>
      <c r="AG5023" s="182" t="n">
        <v>0</v>
      </c>
      <c r="AH5023" s="182" t="n">
        <v>0</v>
      </c>
      <c r="AI5023" s="182" t="n">
        <v>0</v>
      </c>
      <c r="AJ5023" s="182" t="n">
        <v>0</v>
      </c>
      <c r="AK5023" s="182" t="n">
        <v>0</v>
      </c>
      <c r="AL5023" s="182" t="n">
        <v>0</v>
      </c>
      <c r="AM5023" s="182" t="n">
        <v>0.08</v>
      </c>
      <c r="AN5023" s="182" t="n">
        <v>0</v>
      </c>
    </row>
    <row r="5024">
      <c r="A5024" s="155" t="n">
        <v>46104</v>
      </c>
      <c r="B5024" s="156" t="inlineStr">
        <is>
          <t>NS</t>
        </is>
      </c>
      <c r="C5024" s="156" t="inlineStr">
        <is>
          <t>DT-504</t>
        </is>
      </c>
      <c r="D5024" s="156" t="inlineStr">
        <is>
          <t>SKT 105S</t>
        </is>
      </c>
      <c r="E5024" s="156" t="inlineStr">
        <is>
          <t>Hauler</t>
        </is>
      </c>
      <c r="F5024" s="156" t="inlineStr">
        <is>
          <t>Travel</t>
        </is>
      </c>
      <c r="G5024" s="182" t="n">
        <v>0.4</v>
      </c>
      <c r="H5024" s="182" t="n">
        <v>0</v>
      </c>
      <c r="I5024" s="182" t="n">
        <v>0</v>
      </c>
      <c r="J5024" s="182" t="n">
        <v>0</v>
      </c>
      <c r="K5024" s="182" t="n">
        <v>11.6</v>
      </c>
      <c r="L5024" s="182" t="n">
        <v>12</v>
      </c>
      <c r="M5024" s="182" t="n">
        <v>0</v>
      </c>
      <c r="N5024" s="182" t="n">
        <v>0</v>
      </c>
      <c r="O5024" s="183" t="n">
        <v>0</v>
      </c>
      <c r="P5024" s="183" t="n">
        <v>0</v>
      </c>
      <c r="Q5024" s="184" t="n">
        <v>0</v>
      </c>
      <c r="R5024" s="184" t="n">
        <v>0</v>
      </c>
      <c r="S5024" s="183" t="n">
        <v>0</v>
      </c>
      <c r="T5024" s="183" t="n">
        <v>0</v>
      </c>
      <c r="U5024" s="182" t="n">
        <v>7.5</v>
      </c>
      <c r="V5024" s="182" t="n">
        <v>0</v>
      </c>
      <c r="W5024" s="182" t="n">
        <v>0</v>
      </c>
      <c r="X5024" s="182" t="n">
        <v>1</v>
      </c>
      <c r="Y5024" s="182" t="n">
        <v>0</v>
      </c>
      <c r="Z5024" s="182" t="n">
        <v>0</v>
      </c>
      <c r="AA5024" s="182" t="n">
        <v>0</v>
      </c>
      <c r="AB5024" s="182" t="n">
        <v>0</v>
      </c>
      <c r="AC5024" s="182" t="n">
        <v>0</v>
      </c>
      <c r="AD5024" s="182" t="n">
        <v>0</v>
      </c>
      <c r="AE5024" s="182" t="n">
        <v>0</v>
      </c>
      <c r="AF5024" s="182" t="n">
        <v>0</v>
      </c>
      <c r="AG5024" s="182" t="n">
        <v>0</v>
      </c>
      <c r="AH5024" s="182" t="n">
        <v>0</v>
      </c>
      <c r="AI5024" s="182" t="n">
        <v>0</v>
      </c>
      <c r="AJ5024" s="182" t="n">
        <v>0</v>
      </c>
      <c r="AK5024" s="182" t="n">
        <v>3.02</v>
      </c>
      <c r="AL5024" s="182" t="n">
        <v>0</v>
      </c>
      <c r="AM5024" s="182" t="n">
        <v>0.08</v>
      </c>
      <c r="AN5024" s="182" t="n">
        <v>0</v>
      </c>
    </row>
    <row r="5025">
      <c r="A5025" s="155" t="n">
        <v>46104</v>
      </c>
      <c r="B5025" s="156" t="inlineStr">
        <is>
          <t>NS</t>
        </is>
      </c>
      <c r="C5025" s="156" t="inlineStr">
        <is>
          <t>DT-507</t>
        </is>
      </c>
      <c r="D5025" s="156" t="inlineStr">
        <is>
          <t>SKT 105S</t>
        </is>
      </c>
      <c r="E5025" s="156" t="inlineStr">
        <is>
          <t>Hauler</t>
        </is>
      </c>
      <c r="F5025" s="156" t="inlineStr">
        <is>
          <t>Hauling Coal</t>
        </is>
      </c>
      <c r="G5025" s="182" t="n">
        <v>2.82</v>
      </c>
      <c r="H5025" s="182" t="n">
        <v>0</v>
      </c>
      <c r="I5025" s="182" t="n">
        <v>0</v>
      </c>
      <c r="J5025" s="182" t="n">
        <v>0</v>
      </c>
      <c r="K5025" s="182" t="n">
        <v>9.18</v>
      </c>
      <c r="L5025" s="182" t="n">
        <v>12</v>
      </c>
      <c r="M5025" s="182" t="n">
        <v>0</v>
      </c>
      <c r="N5025" s="182" t="n">
        <v>2.82</v>
      </c>
      <c r="O5025" s="183" t="n">
        <v>0</v>
      </c>
      <c r="P5025" s="183" t="n">
        <v>6</v>
      </c>
      <c r="Q5025" s="184" t="n">
        <v>0</v>
      </c>
      <c r="R5025" s="184" t="n">
        <v>112.2</v>
      </c>
      <c r="S5025" s="183" t="n">
        <v>0</v>
      </c>
      <c r="T5025" s="183" t="n">
        <v>0</v>
      </c>
      <c r="U5025" s="182" t="n">
        <v>6.91</v>
      </c>
      <c r="V5025" s="182" t="n">
        <v>1.2</v>
      </c>
      <c r="W5025" s="182" t="n">
        <v>0</v>
      </c>
      <c r="X5025" s="182" t="n">
        <v>0.99</v>
      </c>
      <c r="Y5025" s="182" t="n">
        <v>0</v>
      </c>
      <c r="Z5025" s="182" t="n">
        <v>0</v>
      </c>
      <c r="AA5025" s="182" t="n">
        <v>0</v>
      </c>
      <c r="AB5025" s="182" t="n">
        <v>0</v>
      </c>
      <c r="AC5025" s="182" t="n">
        <v>0</v>
      </c>
      <c r="AD5025" s="182" t="n">
        <v>0</v>
      </c>
      <c r="AE5025" s="182" t="n">
        <v>0</v>
      </c>
      <c r="AF5025" s="182" t="n">
        <v>0</v>
      </c>
      <c r="AG5025" s="182" t="n">
        <v>0</v>
      </c>
      <c r="AH5025" s="182" t="n">
        <v>0</v>
      </c>
      <c r="AI5025" s="182" t="n">
        <v>0</v>
      </c>
      <c r="AJ5025" s="182" t="n">
        <v>0</v>
      </c>
      <c r="AK5025" s="182" t="n">
        <v>0</v>
      </c>
      <c r="AL5025" s="182" t="n">
        <v>0</v>
      </c>
      <c r="AM5025" s="182" t="n">
        <v>0.08</v>
      </c>
      <c r="AN5025" s="182" t="n">
        <v>0</v>
      </c>
    </row>
    <row r="5026">
      <c r="A5026" s="155" t="n">
        <v>46104</v>
      </c>
      <c r="B5026" s="156" t="inlineStr">
        <is>
          <t>NS</t>
        </is>
      </c>
      <c r="C5026" s="156" t="inlineStr">
        <is>
          <t>DT-501</t>
        </is>
      </c>
      <c r="D5026" s="156" t="inlineStr">
        <is>
          <t>SKT 105S</t>
        </is>
      </c>
      <c r="E5026" s="156" t="inlineStr">
        <is>
          <t>Hauler</t>
        </is>
      </c>
      <c r="F5026" s="156" t="inlineStr">
        <is>
          <t>Hauling OB</t>
        </is>
      </c>
      <c r="G5026" s="182" t="n">
        <v>4.88</v>
      </c>
      <c r="H5026" s="182" t="n">
        <v>0</v>
      </c>
      <c r="I5026" s="182" t="n">
        <v>0</v>
      </c>
      <c r="J5026" s="182" t="n">
        <v>0</v>
      </c>
      <c r="K5026" s="182" t="n">
        <v>7.12</v>
      </c>
      <c r="L5026" s="182" t="n">
        <v>12</v>
      </c>
      <c r="M5026" s="182" t="n">
        <v>4.88</v>
      </c>
      <c r="N5026" s="182" t="n">
        <v>0</v>
      </c>
      <c r="O5026" s="183" t="n">
        <v>13</v>
      </c>
      <c r="P5026" s="183" t="n">
        <v>0</v>
      </c>
      <c r="Q5026" s="184" t="n">
        <v>265.2</v>
      </c>
      <c r="R5026" s="184" t="n">
        <v>0</v>
      </c>
      <c r="S5026" s="183" t="n">
        <v>0</v>
      </c>
      <c r="T5026" s="183" t="n">
        <v>0</v>
      </c>
      <c r="U5026" s="182" t="n">
        <v>6.02</v>
      </c>
      <c r="V5026" s="182" t="n">
        <v>0</v>
      </c>
      <c r="W5026" s="182" t="n">
        <v>0</v>
      </c>
      <c r="X5026" s="182" t="n">
        <v>1.02</v>
      </c>
      <c r="Y5026" s="182" t="n">
        <v>0</v>
      </c>
      <c r="Z5026" s="182" t="n">
        <v>0</v>
      </c>
      <c r="AA5026" s="182" t="n">
        <v>0</v>
      </c>
      <c r="AB5026" s="182" t="n">
        <v>0</v>
      </c>
      <c r="AC5026" s="182" t="n">
        <v>0</v>
      </c>
      <c r="AD5026" s="182" t="n">
        <v>0</v>
      </c>
      <c r="AE5026" s="182" t="n">
        <v>0</v>
      </c>
      <c r="AF5026" s="182" t="n">
        <v>0</v>
      </c>
      <c r="AG5026" s="182" t="n">
        <v>0</v>
      </c>
      <c r="AH5026" s="182" t="n">
        <v>0</v>
      </c>
      <c r="AI5026" s="182" t="n">
        <v>0</v>
      </c>
      <c r="AJ5026" s="182" t="n">
        <v>0</v>
      </c>
      <c r="AK5026" s="182" t="n">
        <v>0</v>
      </c>
      <c r="AL5026" s="182" t="n">
        <v>0</v>
      </c>
      <c r="AM5026" s="182" t="n">
        <v>0.08</v>
      </c>
      <c r="AN5026" s="182" t="n">
        <v>0</v>
      </c>
    </row>
    <row r="5027">
      <c r="A5027" s="155" t="n">
        <v>46104</v>
      </c>
      <c r="B5027" s="156" t="inlineStr">
        <is>
          <t>NS</t>
        </is>
      </c>
      <c r="C5027" s="156" t="inlineStr">
        <is>
          <t>DT-518</t>
        </is>
      </c>
      <c r="D5027" s="156" t="inlineStr">
        <is>
          <t>SKT 105S</t>
        </is>
      </c>
      <c r="E5027" s="156" t="inlineStr">
        <is>
          <t>Hauler</t>
        </is>
      </c>
      <c r="F5027" s="156" t="inlineStr"/>
      <c r="G5027" s="182" t="n">
        <v>0</v>
      </c>
      <c r="H5027" s="182" t="n">
        <v>0</v>
      </c>
      <c r="I5027" s="182" t="n">
        <v>7.5</v>
      </c>
      <c r="J5027" s="182" t="n">
        <v>7.5</v>
      </c>
      <c r="K5027" s="182" t="n">
        <v>4.5</v>
      </c>
      <c r="L5027" s="182" t="n">
        <v>12</v>
      </c>
      <c r="M5027" s="182" t="n">
        <v>0</v>
      </c>
      <c r="N5027" s="182" t="n">
        <v>0</v>
      </c>
      <c r="O5027" s="183" t="n">
        <v>0</v>
      </c>
      <c r="P5027" s="183" t="n">
        <v>0</v>
      </c>
      <c r="Q5027" s="184" t="n">
        <v>0</v>
      </c>
      <c r="R5027" s="184" t="n">
        <v>0</v>
      </c>
      <c r="S5027" s="183" t="n">
        <v>0</v>
      </c>
      <c r="T5027" s="183" t="n">
        <v>0</v>
      </c>
      <c r="U5027" s="182" t="n">
        <v>3.42</v>
      </c>
      <c r="V5027" s="182" t="n">
        <v>0</v>
      </c>
      <c r="W5027" s="182" t="n">
        <v>0</v>
      </c>
      <c r="X5027" s="182" t="n">
        <v>1</v>
      </c>
      <c r="Y5027" s="182" t="n">
        <v>0</v>
      </c>
      <c r="Z5027" s="182" t="n">
        <v>0</v>
      </c>
      <c r="AA5027" s="182" t="n">
        <v>0</v>
      </c>
      <c r="AB5027" s="182" t="n">
        <v>0</v>
      </c>
      <c r="AC5027" s="182" t="n">
        <v>0</v>
      </c>
      <c r="AD5027" s="182" t="n">
        <v>0</v>
      </c>
      <c r="AE5027" s="182" t="n">
        <v>0</v>
      </c>
      <c r="AF5027" s="182" t="n">
        <v>0</v>
      </c>
      <c r="AG5027" s="182" t="n">
        <v>0</v>
      </c>
      <c r="AH5027" s="182" t="n">
        <v>0</v>
      </c>
      <c r="AI5027" s="182" t="n">
        <v>0</v>
      </c>
      <c r="AJ5027" s="182" t="n">
        <v>0</v>
      </c>
      <c r="AK5027" s="182" t="n">
        <v>0</v>
      </c>
      <c r="AL5027" s="182" t="n">
        <v>0</v>
      </c>
      <c r="AM5027" s="182" t="n">
        <v>0.08</v>
      </c>
      <c r="AN5027" s="182" t="n">
        <v>0</v>
      </c>
    </row>
    <row r="5028">
      <c r="A5028" s="155" t="n">
        <v>46104</v>
      </c>
      <c r="B5028" s="156" t="inlineStr">
        <is>
          <t>NS</t>
        </is>
      </c>
      <c r="C5028" s="156" t="inlineStr">
        <is>
          <t>DT-514</t>
        </is>
      </c>
      <c r="D5028" s="156" t="inlineStr">
        <is>
          <t>SKT 105S</t>
        </is>
      </c>
      <c r="E5028" s="156" t="inlineStr">
        <is>
          <t>Hauler</t>
        </is>
      </c>
      <c r="F5028" s="156" t="inlineStr"/>
      <c r="G5028" s="182" t="n">
        <v>0</v>
      </c>
      <c r="H5028" s="182" t="n">
        <v>0</v>
      </c>
      <c r="I5028" s="182" t="n">
        <v>12</v>
      </c>
      <c r="J5028" s="182" t="n">
        <v>12</v>
      </c>
      <c r="K5028" s="182" t="n">
        <v>0</v>
      </c>
      <c r="L5028" s="182" t="n">
        <v>12</v>
      </c>
      <c r="M5028" s="182" t="n">
        <v>0</v>
      </c>
      <c r="N5028" s="182" t="n">
        <v>0</v>
      </c>
      <c r="O5028" s="183" t="n">
        <v>0</v>
      </c>
      <c r="P5028" s="183" t="n">
        <v>0</v>
      </c>
      <c r="Q5028" s="184" t="n">
        <v>0</v>
      </c>
      <c r="R5028" s="184" t="n">
        <v>0</v>
      </c>
      <c r="S5028" s="183" t="n">
        <v>0</v>
      </c>
      <c r="T5028" s="183" t="n">
        <v>0</v>
      </c>
      <c r="U5028" s="182" t="n">
        <v>0</v>
      </c>
      <c r="V5028" s="182" t="n">
        <v>0</v>
      </c>
      <c r="W5028" s="182" t="n">
        <v>0</v>
      </c>
      <c r="X5028" s="182" t="n">
        <v>0</v>
      </c>
      <c r="Y5028" s="182" t="n">
        <v>0</v>
      </c>
      <c r="Z5028" s="182" t="n">
        <v>0</v>
      </c>
      <c r="AA5028" s="182" t="n">
        <v>0</v>
      </c>
      <c r="AB5028" s="182" t="n">
        <v>0</v>
      </c>
      <c r="AC5028" s="182" t="n">
        <v>0</v>
      </c>
      <c r="AD5028" s="182" t="n">
        <v>0</v>
      </c>
      <c r="AE5028" s="182" t="n">
        <v>0</v>
      </c>
      <c r="AF5028" s="182" t="n">
        <v>0</v>
      </c>
      <c r="AG5028" s="182" t="n">
        <v>0</v>
      </c>
      <c r="AH5028" s="182" t="n">
        <v>0</v>
      </c>
      <c r="AI5028" s="182" t="n">
        <v>0</v>
      </c>
      <c r="AJ5028" s="182" t="n">
        <v>0</v>
      </c>
      <c r="AK5028" s="182" t="n">
        <v>0</v>
      </c>
      <c r="AL5028" s="182" t="n">
        <v>0</v>
      </c>
      <c r="AM5028" s="182" t="n">
        <v>0</v>
      </c>
      <c r="AN5028" s="182" t="n">
        <v>0</v>
      </c>
    </row>
    <row r="5029">
      <c r="A5029" s="155" t="n">
        <v>46104</v>
      </c>
      <c r="B5029" s="156" t="inlineStr">
        <is>
          <t>NS</t>
        </is>
      </c>
      <c r="C5029" s="156" t="inlineStr">
        <is>
          <t>DT-523</t>
        </is>
      </c>
      <c r="D5029" s="156" t="inlineStr">
        <is>
          <t>SKT 105S</t>
        </is>
      </c>
      <c r="E5029" s="156" t="inlineStr">
        <is>
          <t>Hauler</t>
        </is>
      </c>
      <c r="F5029" s="156" t="inlineStr">
        <is>
          <t>Hauling OB</t>
        </is>
      </c>
      <c r="G5029" s="182" t="n">
        <v>4.89</v>
      </c>
      <c r="H5029" s="182" t="n">
        <v>0</v>
      </c>
      <c r="I5029" s="182" t="n">
        <v>0</v>
      </c>
      <c r="J5029" s="182" t="n">
        <v>0</v>
      </c>
      <c r="K5029" s="182" t="n">
        <v>7.11</v>
      </c>
      <c r="L5029" s="182" t="n">
        <v>12</v>
      </c>
      <c r="M5029" s="182" t="n">
        <v>4.88</v>
      </c>
      <c r="N5029" s="182" t="n">
        <v>0</v>
      </c>
      <c r="O5029" s="183" t="n">
        <v>11</v>
      </c>
      <c r="P5029" s="183" t="n">
        <v>0</v>
      </c>
      <c r="Q5029" s="184" t="n">
        <v>224.4</v>
      </c>
      <c r="R5029" s="184" t="n">
        <v>0</v>
      </c>
      <c r="S5029" s="183" t="n">
        <v>0</v>
      </c>
      <c r="T5029" s="183" t="n">
        <v>0</v>
      </c>
      <c r="U5029" s="182" t="n">
        <v>6.07</v>
      </c>
      <c r="V5029" s="182" t="n">
        <v>0</v>
      </c>
      <c r="W5029" s="182" t="n">
        <v>0</v>
      </c>
      <c r="X5029" s="182" t="n">
        <v>0.96</v>
      </c>
      <c r="Y5029" s="182" t="n">
        <v>0</v>
      </c>
      <c r="Z5029" s="182" t="n">
        <v>0</v>
      </c>
      <c r="AA5029" s="182" t="n">
        <v>0</v>
      </c>
      <c r="AB5029" s="182" t="n">
        <v>0</v>
      </c>
      <c r="AC5029" s="182" t="n">
        <v>0</v>
      </c>
      <c r="AD5029" s="182" t="n">
        <v>0</v>
      </c>
      <c r="AE5029" s="182" t="n">
        <v>0</v>
      </c>
      <c r="AF5029" s="182" t="n">
        <v>0</v>
      </c>
      <c r="AG5029" s="182" t="n">
        <v>0</v>
      </c>
      <c r="AH5029" s="182" t="n">
        <v>0</v>
      </c>
      <c r="AI5029" s="182" t="n">
        <v>0</v>
      </c>
      <c r="AJ5029" s="182" t="n">
        <v>0</v>
      </c>
      <c r="AK5029" s="182" t="n">
        <v>0</v>
      </c>
      <c r="AL5029" s="182" t="n">
        <v>0</v>
      </c>
      <c r="AM5029" s="182" t="n">
        <v>0.08</v>
      </c>
      <c r="AN5029" s="182" t="n">
        <v>0</v>
      </c>
    </row>
    <row r="5030">
      <c r="A5030" s="155" t="n">
        <v>46104</v>
      </c>
      <c r="B5030" s="156" t="inlineStr">
        <is>
          <t>NS</t>
        </is>
      </c>
      <c r="C5030" s="156" t="inlineStr">
        <is>
          <t>DT-519</t>
        </is>
      </c>
      <c r="D5030" s="156" t="inlineStr">
        <is>
          <t>SKT 105S</t>
        </is>
      </c>
      <c r="E5030" s="156" t="inlineStr">
        <is>
          <t>Hauler</t>
        </is>
      </c>
      <c r="F5030" s="156" t="inlineStr"/>
      <c r="G5030" s="182" t="n">
        <v>0</v>
      </c>
      <c r="H5030" s="182" t="n">
        <v>0</v>
      </c>
      <c r="I5030" s="182" t="n">
        <v>12</v>
      </c>
      <c r="J5030" s="182" t="n">
        <v>12</v>
      </c>
      <c r="K5030" s="182" t="n">
        <v>0</v>
      </c>
      <c r="L5030" s="182" t="n">
        <v>12</v>
      </c>
      <c r="M5030" s="182" t="n">
        <v>0</v>
      </c>
      <c r="N5030" s="182" t="n">
        <v>0</v>
      </c>
      <c r="O5030" s="183" t="n">
        <v>0</v>
      </c>
      <c r="P5030" s="183" t="n">
        <v>0</v>
      </c>
      <c r="Q5030" s="184" t="n">
        <v>0</v>
      </c>
      <c r="R5030" s="184" t="n">
        <v>0</v>
      </c>
      <c r="S5030" s="183" t="n">
        <v>0</v>
      </c>
      <c r="T5030" s="183" t="n">
        <v>0</v>
      </c>
      <c r="U5030" s="182" t="n">
        <v>0</v>
      </c>
      <c r="V5030" s="182" t="n">
        <v>0</v>
      </c>
      <c r="W5030" s="182" t="n">
        <v>0</v>
      </c>
      <c r="X5030" s="182" t="n">
        <v>0</v>
      </c>
      <c r="Y5030" s="182" t="n">
        <v>0</v>
      </c>
      <c r="Z5030" s="182" t="n">
        <v>0</v>
      </c>
      <c r="AA5030" s="182" t="n">
        <v>0</v>
      </c>
      <c r="AB5030" s="182" t="n">
        <v>0</v>
      </c>
      <c r="AC5030" s="182" t="n">
        <v>0</v>
      </c>
      <c r="AD5030" s="182" t="n">
        <v>0</v>
      </c>
      <c r="AE5030" s="182" t="n">
        <v>0</v>
      </c>
      <c r="AF5030" s="182" t="n">
        <v>0</v>
      </c>
      <c r="AG5030" s="182" t="n">
        <v>0</v>
      </c>
      <c r="AH5030" s="182" t="n">
        <v>0</v>
      </c>
      <c r="AI5030" s="182" t="n">
        <v>0</v>
      </c>
      <c r="AJ5030" s="182" t="n">
        <v>0</v>
      </c>
      <c r="AK5030" s="182" t="n">
        <v>0</v>
      </c>
      <c r="AL5030" s="182" t="n">
        <v>0</v>
      </c>
      <c r="AM5030" s="182" t="n">
        <v>0</v>
      </c>
      <c r="AN5030" s="182" t="n">
        <v>0</v>
      </c>
    </row>
    <row r="5031">
      <c r="A5031" s="155" t="n">
        <v>46104</v>
      </c>
      <c r="B5031" s="156" t="inlineStr">
        <is>
          <t>NS</t>
        </is>
      </c>
      <c r="C5031" s="156" t="inlineStr">
        <is>
          <t>DT-527</t>
        </is>
      </c>
      <c r="D5031" s="156" t="inlineStr">
        <is>
          <t>SKT 105S</t>
        </is>
      </c>
      <c r="E5031" s="156" t="inlineStr">
        <is>
          <t>Hauler</t>
        </is>
      </c>
      <c r="F5031" s="156" t="inlineStr">
        <is>
          <t>Travel</t>
        </is>
      </c>
      <c r="G5031" s="182" t="n">
        <v>0.4</v>
      </c>
      <c r="H5031" s="182" t="n">
        <v>0</v>
      </c>
      <c r="I5031" s="182" t="n">
        <v>0</v>
      </c>
      <c r="J5031" s="182" t="n">
        <v>0</v>
      </c>
      <c r="K5031" s="182" t="n">
        <v>11.6</v>
      </c>
      <c r="L5031" s="182" t="n">
        <v>12</v>
      </c>
      <c r="M5031" s="182" t="n">
        <v>0</v>
      </c>
      <c r="N5031" s="182" t="n">
        <v>0</v>
      </c>
      <c r="O5031" s="183" t="n">
        <v>0</v>
      </c>
      <c r="P5031" s="183" t="n">
        <v>0</v>
      </c>
      <c r="Q5031" s="184" t="n">
        <v>0</v>
      </c>
      <c r="R5031" s="184" t="n">
        <v>0</v>
      </c>
      <c r="S5031" s="183" t="n">
        <v>0</v>
      </c>
      <c r="T5031" s="183" t="n">
        <v>0</v>
      </c>
      <c r="U5031" s="182" t="n">
        <v>7.35</v>
      </c>
      <c r="V5031" s="182" t="n">
        <v>0</v>
      </c>
      <c r="W5031" s="182" t="n">
        <v>0</v>
      </c>
      <c r="X5031" s="182" t="n">
        <v>1</v>
      </c>
      <c r="Y5031" s="182" t="n">
        <v>0</v>
      </c>
      <c r="Z5031" s="182" t="n">
        <v>0</v>
      </c>
      <c r="AA5031" s="182" t="n">
        <v>0</v>
      </c>
      <c r="AB5031" s="182" t="n">
        <v>0</v>
      </c>
      <c r="AC5031" s="182" t="n">
        <v>0</v>
      </c>
      <c r="AD5031" s="182" t="n">
        <v>0</v>
      </c>
      <c r="AE5031" s="182" t="n">
        <v>0</v>
      </c>
      <c r="AF5031" s="182" t="n">
        <v>0</v>
      </c>
      <c r="AG5031" s="182" t="n">
        <v>0</v>
      </c>
      <c r="AH5031" s="182" t="n">
        <v>0</v>
      </c>
      <c r="AI5031" s="182" t="n">
        <v>0</v>
      </c>
      <c r="AJ5031" s="182" t="n">
        <v>0</v>
      </c>
      <c r="AK5031" s="182" t="n">
        <v>3.17</v>
      </c>
      <c r="AL5031" s="182" t="n">
        <v>0</v>
      </c>
      <c r="AM5031" s="182" t="n">
        <v>0.08</v>
      </c>
      <c r="AN5031" s="182" t="n">
        <v>0</v>
      </c>
    </row>
    <row r="5032">
      <c r="A5032" s="155" t="n">
        <v>46104</v>
      </c>
      <c r="B5032" s="156" t="inlineStr">
        <is>
          <t>NS</t>
        </is>
      </c>
      <c r="C5032" s="156" t="inlineStr">
        <is>
          <t>DT-513</t>
        </is>
      </c>
      <c r="D5032" s="156" t="inlineStr">
        <is>
          <t>SKT 105S</t>
        </is>
      </c>
      <c r="E5032" s="156" t="inlineStr">
        <is>
          <t>Hauler</t>
        </is>
      </c>
      <c r="F5032" s="156" t="inlineStr">
        <is>
          <t>Hauling OB</t>
        </is>
      </c>
      <c r="G5032" s="182" t="n">
        <v>4.05</v>
      </c>
      <c r="H5032" s="182" t="n">
        <v>0</v>
      </c>
      <c r="I5032" s="182" t="n">
        <v>0</v>
      </c>
      <c r="J5032" s="182" t="n">
        <v>0</v>
      </c>
      <c r="K5032" s="182" t="n">
        <v>7.95</v>
      </c>
      <c r="L5032" s="182" t="n">
        <v>12</v>
      </c>
      <c r="M5032" s="182" t="n">
        <v>4.05</v>
      </c>
      <c r="N5032" s="182" t="n">
        <v>0</v>
      </c>
      <c r="O5032" s="183" t="n">
        <v>13</v>
      </c>
      <c r="P5032" s="183" t="n">
        <v>0</v>
      </c>
      <c r="Q5032" s="184" t="n">
        <v>265.2</v>
      </c>
      <c r="R5032" s="184" t="n">
        <v>0</v>
      </c>
      <c r="S5032" s="183" t="n">
        <v>0</v>
      </c>
      <c r="T5032" s="183" t="n">
        <v>0</v>
      </c>
      <c r="U5032" s="182" t="n">
        <v>6.82</v>
      </c>
      <c r="V5032" s="182" t="n">
        <v>0</v>
      </c>
      <c r="W5032" s="182" t="n">
        <v>0</v>
      </c>
      <c r="X5032" s="182" t="n">
        <v>1.05</v>
      </c>
      <c r="Y5032" s="182" t="n">
        <v>0</v>
      </c>
      <c r="Z5032" s="182" t="n">
        <v>0</v>
      </c>
      <c r="AA5032" s="182" t="n">
        <v>0</v>
      </c>
      <c r="AB5032" s="182" t="n">
        <v>0</v>
      </c>
      <c r="AC5032" s="182" t="n">
        <v>0</v>
      </c>
      <c r="AD5032" s="182" t="n">
        <v>0</v>
      </c>
      <c r="AE5032" s="182" t="n">
        <v>0</v>
      </c>
      <c r="AF5032" s="182" t="n">
        <v>0</v>
      </c>
      <c r="AG5032" s="182" t="n">
        <v>0</v>
      </c>
      <c r="AH5032" s="182" t="n">
        <v>0</v>
      </c>
      <c r="AI5032" s="182" t="n">
        <v>0</v>
      </c>
      <c r="AJ5032" s="182" t="n">
        <v>0</v>
      </c>
      <c r="AK5032" s="182" t="n">
        <v>0</v>
      </c>
      <c r="AL5032" s="182" t="n">
        <v>0</v>
      </c>
      <c r="AM5032" s="182" t="n">
        <v>0.08</v>
      </c>
      <c r="AN5032" s="182" t="n">
        <v>0</v>
      </c>
    </row>
    <row r="5033">
      <c r="A5033" s="155" t="n">
        <v>46104</v>
      </c>
      <c r="B5033" s="156" t="inlineStr">
        <is>
          <t>NS</t>
        </is>
      </c>
      <c r="C5033" s="156" t="inlineStr">
        <is>
          <t>DT-512</t>
        </is>
      </c>
      <c r="D5033" s="156" t="inlineStr">
        <is>
          <t>SKT 105S</t>
        </is>
      </c>
      <c r="E5033" s="156" t="inlineStr">
        <is>
          <t>Hauler</t>
        </is>
      </c>
      <c r="F5033" s="156" t="inlineStr">
        <is>
          <t>Travel</t>
        </is>
      </c>
      <c r="G5033" s="182" t="n">
        <v>0.84</v>
      </c>
      <c r="H5033" s="182" t="n">
        <v>0</v>
      </c>
      <c r="I5033" s="182" t="n">
        <v>0</v>
      </c>
      <c r="J5033" s="182" t="n">
        <v>0</v>
      </c>
      <c r="K5033" s="182" t="n">
        <v>11.16</v>
      </c>
      <c r="L5033" s="182" t="n">
        <v>12</v>
      </c>
      <c r="M5033" s="182" t="n">
        <v>0</v>
      </c>
      <c r="N5033" s="182" t="n">
        <v>0</v>
      </c>
      <c r="O5033" s="183" t="n">
        <v>0</v>
      </c>
      <c r="P5033" s="183" t="n">
        <v>0</v>
      </c>
      <c r="Q5033" s="184" t="n">
        <v>0</v>
      </c>
      <c r="R5033" s="184" t="n">
        <v>0</v>
      </c>
      <c r="S5033" s="183" t="n">
        <v>0</v>
      </c>
      <c r="T5033" s="183" t="n">
        <v>0</v>
      </c>
      <c r="U5033" s="182" t="n">
        <v>7.2</v>
      </c>
      <c r="V5033" s="182" t="n">
        <v>0</v>
      </c>
      <c r="W5033" s="182" t="n">
        <v>0</v>
      </c>
      <c r="X5033" s="182" t="n">
        <v>0.98</v>
      </c>
      <c r="Y5033" s="182" t="n">
        <v>0</v>
      </c>
      <c r="Z5033" s="182" t="n">
        <v>0</v>
      </c>
      <c r="AA5033" s="182" t="n">
        <v>0</v>
      </c>
      <c r="AB5033" s="182" t="n">
        <v>0</v>
      </c>
      <c r="AC5033" s="182" t="n">
        <v>0</v>
      </c>
      <c r="AD5033" s="182" t="n">
        <v>0</v>
      </c>
      <c r="AE5033" s="182" t="n">
        <v>0</v>
      </c>
      <c r="AF5033" s="182" t="n">
        <v>0</v>
      </c>
      <c r="AG5033" s="182" t="n">
        <v>0</v>
      </c>
      <c r="AH5033" s="182" t="n">
        <v>0</v>
      </c>
      <c r="AI5033" s="182" t="n">
        <v>0</v>
      </c>
      <c r="AJ5033" s="182" t="n">
        <v>0</v>
      </c>
      <c r="AK5033" s="182" t="n">
        <v>2.91</v>
      </c>
      <c r="AL5033" s="182" t="n">
        <v>0</v>
      </c>
      <c r="AM5033" s="182" t="n">
        <v>0.08</v>
      </c>
      <c r="AN5033" s="182" t="n">
        <v>0</v>
      </c>
    </row>
    <row r="5034">
      <c r="A5034" s="155" t="n">
        <v>46104</v>
      </c>
      <c r="B5034" s="156" t="inlineStr">
        <is>
          <t>NS</t>
        </is>
      </c>
      <c r="C5034" s="156" t="inlineStr">
        <is>
          <t>DT-522</t>
        </is>
      </c>
      <c r="D5034" s="156" t="inlineStr">
        <is>
          <t>SKT 105S</t>
        </is>
      </c>
      <c r="E5034" s="156" t="inlineStr">
        <is>
          <t>Hauler</t>
        </is>
      </c>
      <c r="F5034" s="156" t="inlineStr">
        <is>
          <t>Hauling OB</t>
        </is>
      </c>
      <c r="G5034" s="182" t="n">
        <v>3.21</v>
      </c>
      <c r="H5034" s="182" t="n">
        <v>0</v>
      </c>
      <c r="I5034" s="182" t="n">
        <v>0</v>
      </c>
      <c r="J5034" s="182" t="n">
        <v>0</v>
      </c>
      <c r="K5034" s="182" t="n">
        <v>8.789999999999999</v>
      </c>
      <c r="L5034" s="182" t="n">
        <v>12</v>
      </c>
      <c r="M5034" s="182" t="n">
        <v>3.21</v>
      </c>
      <c r="N5034" s="182" t="n">
        <v>0</v>
      </c>
      <c r="O5034" s="183" t="n">
        <v>17</v>
      </c>
      <c r="P5034" s="183" t="n">
        <v>0</v>
      </c>
      <c r="Q5034" s="184" t="n">
        <v>346.8</v>
      </c>
      <c r="R5034" s="184" t="n">
        <v>0</v>
      </c>
      <c r="S5034" s="183" t="n">
        <v>0</v>
      </c>
      <c r="T5034" s="183" t="n">
        <v>0</v>
      </c>
      <c r="U5034" s="182" t="n">
        <v>7.71</v>
      </c>
      <c r="V5034" s="182" t="n">
        <v>0</v>
      </c>
      <c r="W5034" s="182" t="n">
        <v>0</v>
      </c>
      <c r="X5034" s="182" t="n">
        <v>1</v>
      </c>
      <c r="Y5034" s="182" t="n">
        <v>0</v>
      </c>
      <c r="Z5034" s="182" t="n">
        <v>0</v>
      </c>
      <c r="AA5034" s="182" t="n">
        <v>0</v>
      </c>
      <c r="AB5034" s="182" t="n">
        <v>0</v>
      </c>
      <c r="AC5034" s="182" t="n">
        <v>0</v>
      </c>
      <c r="AD5034" s="182" t="n">
        <v>0</v>
      </c>
      <c r="AE5034" s="182" t="n">
        <v>0</v>
      </c>
      <c r="AF5034" s="182" t="n">
        <v>0</v>
      </c>
      <c r="AG5034" s="182" t="n">
        <v>0</v>
      </c>
      <c r="AH5034" s="182" t="n">
        <v>0</v>
      </c>
      <c r="AI5034" s="182" t="n">
        <v>0</v>
      </c>
      <c r="AJ5034" s="182" t="n">
        <v>0</v>
      </c>
      <c r="AK5034" s="182" t="n">
        <v>0</v>
      </c>
      <c r="AL5034" s="182" t="n">
        <v>0</v>
      </c>
      <c r="AM5034" s="182" t="n">
        <v>0.08</v>
      </c>
      <c r="AN5034" s="182" t="n">
        <v>0</v>
      </c>
    </row>
    <row r="5035">
      <c r="A5035" s="155" t="n">
        <v>46104</v>
      </c>
      <c r="B5035" s="156" t="inlineStr">
        <is>
          <t>NS</t>
        </is>
      </c>
      <c r="C5035" s="156" t="inlineStr">
        <is>
          <t>DT-517</t>
        </is>
      </c>
      <c r="D5035" s="156" t="inlineStr">
        <is>
          <t>SKT 105S</t>
        </is>
      </c>
      <c r="E5035" s="156" t="inlineStr">
        <is>
          <t>Hauler</t>
        </is>
      </c>
      <c r="F5035" s="156" t="inlineStr"/>
      <c r="G5035" s="182" t="n">
        <v>0</v>
      </c>
      <c r="H5035" s="182" t="n">
        <v>0</v>
      </c>
      <c r="I5035" s="182" t="n">
        <v>8.5</v>
      </c>
      <c r="J5035" s="182" t="n">
        <v>8.5</v>
      </c>
      <c r="K5035" s="182" t="n">
        <v>3.5</v>
      </c>
      <c r="L5035" s="182" t="n">
        <v>12</v>
      </c>
      <c r="M5035" s="182" t="n">
        <v>0</v>
      </c>
      <c r="N5035" s="182" t="n">
        <v>0</v>
      </c>
      <c r="O5035" s="183" t="n">
        <v>0</v>
      </c>
      <c r="P5035" s="183" t="n">
        <v>0</v>
      </c>
      <c r="Q5035" s="184" t="n">
        <v>0</v>
      </c>
      <c r="R5035" s="184" t="n">
        <v>0</v>
      </c>
      <c r="S5035" s="183" t="n">
        <v>0</v>
      </c>
      <c r="T5035" s="183" t="n">
        <v>0</v>
      </c>
      <c r="U5035" s="182" t="n">
        <v>2.42</v>
      </c>
      <c r="V5035" s="182" t="n">
        <v>0</v>
      </c>
      <c r="W5035" s="182" t="n">
        <v>0</v>
      </c>
      <c r="X5035" s="182" t="n">
        <v>1</v>
      </c>
      <c r="Y5035" s="182" t="n">
        <v>0</v>
      </c>
      <c r="Z5035" s="182" t="n">
        <v>0</v>
      </c>
      <c r="AA5035" s="182" t="n">
        <v>0</v>
      </c>
      <c r="AB5035" s="182" t="n">
        <v>0</v>
      </c>
      <c r="AC5035" s="182" t="n">
        <v>0</v>
      </c>
      <c r="AD5035" s="182" t="n">
        <v>0</v>
      </c>
      <c r="AE5035" s="182" t="n">
        <v>0</v>
      </c>
      <c r="AF5035" s="182" t="n">
        <v>0</v>
      </c>
      <c r="AG5035" s="182" t="n">
        <v>0</v>
      </c>
      <c r="AH5035" s="182" t="n">
        <v>0</v>
      </c>
      <c r="AI5035" s="182" t="n">
        <v>0</v>
      </c>
      <c r="AJ5035" s="182" t="n">
        <v>0</v>
      </c>
      <c r="AK5035" s="182" t="n">
        <v>0</v>
      </c>
      <c r="AL5035" s="182" t="n">
        <v>0</v>
      </c>
      <c r="AM5035" s="182" t="n">
        <v>0.08</v>
      </c>
      <c r="AN5035" s="182" t="n">
        <v>0</v>
      </c>
    </row>
    <row r="5036">
      <c r="A5036" s="155" t="n">
        <v>46104</v>
      </c>
      <c r="B5036" s="156" t="inlineStr">
        <is>
          <t>NS</t>
        </is>
      </c>
      <c r="C5036" s="156" t="inlineStr">
        <is>
          <t>DT-510</t>
        </is>
      </c>
      <c r="D5036" s="156" t="inlineStr">
        <is>
          <t>SKT 105S</t>
        </is>
      </c>
      <c r="E5036" s="156" t="inlineStr">
        <is>
          <t>Hauler</t>
        </is>
      </c>
      <c r="F5036" s="156" t="inlineStr">
        <is>
          <t>Hauling OB</t>
        </is>
      </c>
      <c r="G5036" s="182" t="n">
        <v>4.77</v>
      </c>
      <c r="H5036" s="182" t="n">
        <v>0</v>
      </c>
      <c r="I5036" s="182" t="n">
        <v>0.13</v>
      </c>
      <c r="J5036" s="182" t="n">
        <v>0.13</v>
      </c>
      <c r="K5036" s="182" t="n">
        <v>7.1</v>
      </c>
      <c r="L5036" s="182" t="n">
        <v>12</v>
      </c>
      <c r="M5036" s="182" t="n">
        <v>4.77</v>
      </c>
      <c r="N5036" s="182" t="n">
        <v>0</v>
      </c>
      <c r="O5036" s="183" t="n">
        <v>13</v>
      </c>
      <c r="P5036" s="183" t="n">
        <v>0</v>
      </c>
      <c r="Q5036" s="184" t="n">
        <v>265.2</v>
      </c>
      <c r="R5036" s="184" t="n">
        <v>0</v>
      </c>
      <c r="S5036" s="183" t="n">
        <v>0</v>
      </c>
      <c r="T5036" s="183" t="n">
        <v>0</v>
      </c>
      <c r="U5036" s="182" t="n">
        <v>6.02</v>
      </c>
      <c r="V5036" s="182" t="n">
        <v>0</v>
      </c>
      <c r="W5036" s="182" t="n">
        <v>0</v>
      </c>
      <c r="X5036" s="182" t="n">
        <v>0.99</v>
      </c>
      <c r="Y5036" s="182" t="n">
        <v>0</v>
      </c>
      <c r="Z5036" s="182" t="n">
        <v>0</v>
      </c>
      <c r="AA5036" s="182" t="n">
        <v>0</v>
      </c>
      <c r="AB5036" s="182" t="n">
        <v>0</v>
      </c>
      <c r="AC5036" s="182" t="n">
        <v>0</v>
      </c>
      <c r="AD5036" s="182" t="n">
        <v>0</v>
      </c>
      <c r="AE5036" s="182" t="n">
        <v>0</v>
      </c>
      <c r="AF5036" s="182" t="n">
        <v>0</v>
      </c>
      <c r="AG5036" s="182" t="n">
        <v>0</v>
      </c>
      <c r="AH5036" s="182" t="n">
        <v>0</v>
      </c>
      <c r="AI5036" s="182" t="n">
        <v>0</v>
      </c>
      <c r="AJ5036" s="182" t="n">
        <v>0</v>
      </c>
      <c r="AK5036" s="182" t="n">
        <v>0</v>
      </c>
      <c r="AL5036" s="182" t="n">
        <v>0</v>
      </c>
      <c r="AM5036" s="182" t="n">
        <v>0.08</v>
      </c>
      <c r="AN5036" s="182" t="n">
        <v>0</v>
      </c>
    </row>
    <row r="5037">
      <c r="A5037" s="155" t="n">
        <v>46104</v>
      </c>
      <c r="B5037" s="156" t="inlineStr">
        <is>
          <t>NS</t>
        </is>
      </c>
      <c r="C5037" s="156" t="inlineStr">
        <is>
          <t>DT-521</t>
        </is>
      </c>
      <c r="D5037" s="156" t="inlineStr">
        <is>
          <t>SKT 105S</t>
        </is>
      </c>
      <c r="E5037" s="156" t="inlineStr">
        <is>
          <t>Hauler</t>
        </is>
      </c>
      <c r="F5037" s="156" t="inlineStr">
        <is>
          <t>Hauling OB</t>
        </is>
      </c>
      <c r="G5037" s="182" t="n">
        <v>3.02</v>
      </c>
      <c r="H5037" s="182" t="n">
        <v>0</v>
      </c>
      <c r="I5037" s="182" t="n">
        <v>0.75</v>
      </c>
      <c r="J5037" s="182" t="n">
        <v>0.75</v>
      </c>
      <c r="K5037" s="182" t="n">
        <v>8.23</v>
      </c>
      <c r="L5037" s="182" t="n">
        <v>12</v>
      </c>
      <c r="M5037" s="182" t="n">
        <v>3.02</v>
      </c>
      <c r="N5037" s="182" t="n">
        <v>0</v>
      </c>
      <c r="O5037" s="183" t="n">
        <v>9</v>
      </c>
      <c r="P5037" s="183" t="n">
        <v>0</v>
      </c>
      <c r="Q5037" s="184" t="n">
        <v>183.6</v>
      </c>
      <c r="R5037" s="184" t="n">
        <v>0</v>
      </c>
      <c r="S5037" s="183" t="n">
        <v>0</v>
      </c>
      <c r="T5037" s="183" t="n">
        <v>0</v>
      </c>
      <c r="U5037" s="182" t="n">
        <v>6.18</v>
      </c>
      <c r="V5037" s="182" t="n">
        <v>0.99</v>
      </c>
      <c r="W5037" s="182" t="n">
        <v>0</v>
      </c>
      <c r="X5037" s="182" t="n">
        <v>0.99</v>
      </c>
      <c r="Y5037" s="182" t="n">
        <v>0</v>
      </c>
      <c r="Z5037" s="182" t="n">
        <v>0</v>
      </c>
      <c r="AA5037" s="182" t="n">
        <v>0</v>
      </c>
      <c r="AB5037" s="182" t="n">
        <v>0</v>
      </c>
      <c r="AC5037" s="182" t="n">
        <v>0</v>
      </c>
      <c r="AD5037" s="182" t="n">
        <v>0</v>
      </c>
      <c r="AE5037" s="182" t="n">
        <v>0</v>
      </c>
      <c r="AF5037" s="182" t="n">
        <v>0</v>
      </c>
      <c r="AG5037" s="182" t="n">
        <v>0</v>
      </c>
      <c r="AH5037" s="182" t="n">
        <v>0</v>
      </c>
      <c r="AI5037" s="182" t="n">
        <v>0</v>
      </c>
      <c r="AJ5037" s="182" t="n">
        <v>0</v>
      </c>
      <c r="AK5037" s="182" t="n">
        <v>0</v>
      </c>
      <c r="AL5037" s="182" t="n">
        <v>0</v>
      </c>
      <c r="AM5037" s="182" t="n">
        <v>0.08</v>
      </c>
      <c r="AN5037" s="182" t="n">
        <v>0</v>
      </c>
    </row>
    <row r="5038">
      <c r="A5038" s="155" t="n">
        <v>46104</v>
      </c>
      <c r="B5038" s="156" t="inlineStr">
        <is>
          <t>NS</t>
        </is>
      </c>
      <c r="C5038" s="156" t="inlineStr">
        <is>
          <t>DT-516</t>
        </is>
      </c>
      <c r="D5038" s="156" t="inlineStr">
        <is>
          <t>SKT 105S</t>
        </is>
      </c>
      <c r="E5038" s="156" t="inlineStr">
        <is>
          <t>Hauler</t>
        </is>
      </c>
      <c r="F5038" s="156" t="inlineStr">
        <is>
          <t>Hauling OB</t>
        </is>
      </c>
      <c r="G5038" s="182" t="n">
        <v>3.82</v>
      </c>
      <c r="H5038" s="182" t="n">
        <v>0</v>
      </c>
      <c r="I5038" s="182" t="n">
        <v>0</v>
      </c>
      <c r="J5038" s="182" t="n">
        <v>0</v>
      </c>
      <c r="K5038" s="182" t="n">
        <v>8.18</v>
      </c>
      <c r="L5038" s="182" t="n">
        <v>12</v>
      </c>
      <c r="M5038" s="182" t="n">
        <v>3.82</v>
      </c>
      <c r="N5038" s="182" t="n">
        <v>0</v>
      </c>
      <c r="O5038" s="183" t="n">
        <v>17</v>
      </c>
      <c r="P5038" s="183" t="n">
        <v>0</v>
      </c>
      <c r="Q5038" s="184" t="n">
        <v>346.8</v>
      </c>
      <c r="R5038" s="184" t="n">
        <v>0</v>
      </c>
      <c r="S5038" s="183" t="n">
        <v>0</v>
      </c>
      <c r="T5038" s="183" t="n">
        <v>0</v>
      </c>
      <c r="U5038" s="182" t="n">
        <v>7.13</v>
      </c>
      <c r="V5038" s="182" t="n">
        <v>0</v>
      </c>
      <c r="W5038" s="182" t="n">
        <v>0</v>
      </c>
      <c r="X5038" s="182" t="n">
        <v>0.97</v>
      </c>
      <c r="Y5038" s="182" t="n">
        <v>0</v>
      </c>
      <c r="Z5038" s="182" t="n">
        <v>0</v>
      </c>
      <c r="AA5038" s="182" t="n">
        <v>0</v>
      </c>
      <c r="AB5038" s="182" t="n">
        <v>0</v>
      </c>
      <c r="AC5038" s="182" t="n">
        <v>0</v>
      </c>
      <c r="AD5038" s="182" t="n">
        <v>0</v>
      </c>
      <c r="AE5038" s="182" t="n">
        <v>0</v>
      </c>
      <c r="AF5038" s="182" t="n">
        <v>0</v>
      </c>
      <c r="AG5038" s="182" t="n">
        <v>0</v>
      </c>
      <c r="AH5038" s="182" t="n">
        <v>0</v>
      </c>
      <c r="AI5038" s="182" t="n">
        <v>0</v>
      </c>
      <c r="AJ5038" s="182" t="n">
        <v>0</v>
      </c>
      <c r="AK5038" s="182" t="n">
        <v>0</v>
      </c>
      <c r="AL5038" s="182" t="n">
        <v>0</v>
      </c>
      <c r="AM5038" s="182" t="n">
        <v>0.08</v>
      </c>
      <c r="AN5038" s="182" t="n">
        <v>0</v>
      </c>
    </row>
    <row r="5039">
      <c r="A5039" s="155" t="n">
        <v>46104</v>
      </c>
      <c r="B5039" s="156" t="inlineStr">
        <is>
          <t>NS</t>
        </is>
      </c>
      <c r="C5039" s="156" t="inlineStr">
        <is>
          <t>DT-506</t>
        </is>
      </c>
      <c r="D5039" s="156" t="inlineStr">
        <is>
          <t>SKT 105S</t>
        </is>
      </c>
      <c r="E5039" s="156" t="inlineStr">
        <is>
          <t>Hauler</t>
        </is>
      </c>
      <c r="F5039" s="156" t="inlineStr"/>
      <c r="G5039" s="182" t="n">
        <v>0</v>
      </c>
      <c r="H5039" s="182" t="n">
        <v>0</v>
      </c>
      <c r="I5039" s="182" t="n">
        <v>0</v>
      </c>
      <c r="J5039" s="182" t="n">
        <v>0</v>
      </c>
      <c r="K5039" s="182" t="n">
        <v>12</v>
      </c>
      <c r="L5039" s="182" t="n">
        <v>12</v>
      </c>
      <c r="M5039" s="182" t="n">
        <v>0</v>
      </c>
      <c r="N5039" s="182" t="n">
        <v>0</v>
      </c>
      <c r="O5039" s="183" t="n">
        <v>0</v>
      </c>
      <c r="P5039" s="183" t="n">
        <v>0</v>
      </c>
      <c r="Q5039" s="184" t="n">
        <v>0</v>
      </c>
      <c r="R5039" s="184" t="n">
        <v>0</v>
      </c>
      <c r="S5039" s="183" t="n">
        <v>0</v>
      </c>
      <c r="T5039" s="183" t="n">
        <v>0</v>
      </c>
      <c r="U5039" s="182" t="n">
        <v>7.35</v>
      </c>
      <c r="V5039" s="182" t="n">
        <v>0</v>
      </c>
      <c r="W5039" s="182" t="n">
        <v>0</v>
      </c>
      <c r="X5039" s="182" t="n">
        <v>1</v>
      </c>
      <c r="Y5039" s="182" t="n">
        <v>0</v>
      </c>
      <c r="Z5039" s="182" t="n">
        <v>0</v>
      </c>
      <c r="AA5039" s="182" t="n">
        <v>0</v>
      </c>
      <c r="AB5039" s="182" t="n">
        <v>0</v>
      </c>
      <c r="AC5039" s="182" t="n">
        <v>0</v>
      </c>
      <c r="AD5039" s="182" t="n">
        <v>0</v>
      </c>
      <c r="AE5039" s="182" t="n">
        <v>0</v>
      </c>
      <c r="AF5039" s="182" t="n">
        <v>0</v>
      </c>
      <c r="AG5039" s="182" t="n">
        <v>0</v>
      </c>
      <c r="AH5039" s="182" t="n">
        <v>0</v>
      </c>
      <c r="AI5039" s="182" t="n">
        <v>0</v>
      </c>
      <c r="AJ5039" s="182" t="n">
        <v>0</v>
      </c>
      <c r="AK5039" s="182" t="n">
        <v>3.57</v>
      </c>
      <c r="AL5039" s="182" t="n">
        <v>0</v>
      </c>
      <c r="AM5039" s="182" t="n">
        <v>0.08</v>
      </c>
      <c r="AN5039" s="182" t="n">
        <v>0</v>
      </c>
    </row>
    <row r="5040">
      <c r="A5040" s="155" t="n">
        <v>46104</v>
      </c>
      <c r="B5040" s="156" t="inlineStr">
        <is>
          <t>NS</t>
        </is>
      </c>
      <c r="C5040" s="156" t="inlineStr">
        <is>
          <t>DT-502</t>
        </is>
      </c>
      <c r="D5040" s="156" t="inlineStr">
        <is>
          <t>SKT 105S</t>
        </is>
      </c>
      <c r="E5040" s="156" t="inlineStr">
        <is>
          <t>Hauler</t>
        </is>
      </c>
      <c r="F5040" s="156" t="inlineStr"/>
      <c r="G5040" s="182" t="n">
        <v>0</v>
      </c>
      <c r="H5040" s="182" t="n">
        <v>0</v>
      </c>
      <c r="I5040" s="182" t="n">
        <v>12</v>
      </c>
      <c r="J5040" s="182" t="n">
        <v>12</v>
      </c>
      <c r="K5040" s="182" t="n">
        <v>0</v>
      </c>
      <c r="L5040" s="182" t="n">
        <v>12</v>
      </c>
      <c r="M5040" s="182" t="n">
        <v>0</v>
      </c>
      <c r="N5040" s="182" t="n">
        <v>0</v>
      </c>
      <c r="O5040" s="183" t="n">
        <v>0</v>
      </c>
      <c r="P5040" s="183" t="n">
        <v>0</v>
      </c>
      <c r="Q5040" s="184" t="n">
        <v>0</v>
      </c>
      <c r="R5040" s="184" t="n">
        <v>0</v>
      </c>
      <c r="S5040" s="183" t="n">
        <v>0</v>
      </c>
      <c r="T5040" s="183" t="n">
        <v>0</v>
      </c>
      <c r="U5040" s="182" t="n">
        <v>0</v>
      </c>
      <c r="V5040" s="182" t="n">
        <v>0</v>
      </c>
      <c r="W5040" s="182" t="n">
        <v>0</v>
      </c>
      <c r="X5040" s="182" t="n">
        <v>0</v>
      </c>
      <c r="Y5040" s="182" t="n">
        <v>0</v>
      </c>
      <c r="Z5040" s="182" t="n">
        <v>0</v>
      </c>
      <c r="AA5040" s="182" t="n">
        <v>0</v>
      </c>
      <c r="AB5040" s="182" t="n">
        <v>0</v>
      </c>
      <c r="AC5040" s="182" t="n">
        <v>0</v>
      </c>
      <c r="AD5040" s="182" t="n">
        <v>0</v>
      </c>
      <c r="AE5040" s="182" t="n">
        <v>0</v>
      </c>
      <c r="AF5040" s="182" t="n">
        <v>0</v>
      </c>
      <c r="AG5040" s="182" t="n">
        <v>0</v>
      </c>
      <c r="AH5040" s="182" t="n">
        <v>0</v>
      </c>
      <c r="AI5040" s="182" t="n">
        <v>0</v>
      </c>
      <c r="AJ5040" s="182" t="n">
        <v>0</v>
      </c>
      <c r="AK5040" s="182" t="n">
        <v>0</v>
      </c>
      <c r="AL5040" s="182" t="n">
        <v>0</v>
      </c>
      <c r="AM5040" s="182" t="n">
        <v>0</v>
      </c>
      <c r="AN5040" s="182" t="n">
        <v>0</v>
      </c>
    </row>
    <row r="5041">
      <c r="A5041" s="155" t="n">
        <v>46104</v>
      </c>
      <c r="B5041" s="156" t="inlineStr">
        <is>
          <t>NS</t>
        </is>
      </c>
      <c r="C5041" s="156" t="inlineStr">
        <is>
          <t>DT-528</t>
        </is>
      </c>
      <c r="D5041" s="156" t="inlineStr">
        <is>
          <t>SKT 105S</t>
        </is>
      </c>
      <c r="E5041" s="156" t="inlineStr">
        <is>
          <t>Hauler</t>
        </is>
      </c>
      <c r="F5041" s="156" t="inlineStr">
        <is>
          <t>Travel</t>
        </is>
      </c>
      <c r="G5041" s="182" t="n">
        <v>0.4</v>
      </c>
      <c r="H5041" s="182" t="n">
        <v>0</v>
      </c>
      <c r="I5041" s="182" t="n">
        <v>0</v>
      </c>
      <c r="J5041" s="182" t="n">
        <v>0</v>
      </c>
      <c r="K5041" s="182" t="n">
        <v>11.6</v>
      </c>
      <c r="L5041" s="182" t="n">
        <v>12</v>
      </c>
      <c r="M5041" s="182" t="n">
        <v>0</v>
      </c>
      <c r="N5041" s="182" t="n">
        <v>0</v>
      </c>
      <c r="O5041" s="183" t="n">
        <v>0</v>
      </c>
      <c r="P5041" s="183" t="n">
        <v>0</v>
      </c>
      <c r="Q5041" s="184" t="n">
        <v>0</v>
      </c>
      <c r="R5041" s="184" t="n">
        <v>0</v>
      </c>
      <c r="S5041" s="183" t="n">
        <v>0</v>
      </c>
      <c r="T5041" s="183" t="n">
        <v>0</v>
      </c>
      <c r="U5041" s="182" t="n">
        <v>7.35</v>
      </c>
      <c r="V5041" s="182" t="n">
        <v>0</v>
      </c>
      <c r="W5041" s="182" t="n">
        <v>0</v>
      </c>
      <c r="X5041" s="182" t="n">
        <v>1</v>
      </c>
      <c r="Y5041" s="182" t="n">
        <v>0</v>
      </c>
      <c r="Z5041" s="182" t="n">
        <v>0</v>
      </c>
      <c r="AA5041" s="182" t="n">
        <v>0</v>
      </c>
      <c r="AB5041" s="182" t="n">
        <v>0</v>
      </c>
      <c r="AC5041" s="182" t="n">
        <v>0</v>
      </c>
      <c r="AD5041" s="182" t="n">
        <v>0</v>
      </c>
      <c r="AE5041" s="182" t="n">
        <v>0</v>
      </c>
      <c r="AF5041" s="182" t="n">
        <v>0</v>
      </c>
      <c r="AG5041" s="182" t="n">
        <v>0</v>
      </c>
      <c r="AH5041" s="182" t="n">
        <v>0</v>
      </c>
      <c r="AI5041" s="182" t="n">
        <v>0</v>
      </c>
      <c r="AJ5041" s="182" t="n">
        <v>0</v>
      </c>
      <c r="AK5041" s="182" t="n">
        <v>3.17</v>
      </c>
      <c r="AL5041" s="182" t="n">
        <v>0</v>
      </c>
      <c r="AM5041" s="182" t="n">
        <v>0.08</v>
      </c>
      <c r="AN5041" s="182" t="n">
        <v>0</v>
      </c>
    </row>
    <row r="5042">
      <c r="A5042" s="155" t="n">
        <v>46104</v>
      </c>
      <c r="B5042" s="156" t="inlineStr">
        <is>
          <t>NS</t>
        </is>
      </c>
      <c r="C5042" s="156" t="inlineStr">
        <is>
          <t>DT-529</t>
        </is>
      </c>
      <c r="D5042" s="156" t="inlineStr">
        <is>
          <t>SKT 105S</t>
        </is>
      </c>
      <c r="E5042" s="156" t="inlineStr">
        <is>
          <t>Hauler</t>
        </is>
      </c>
      <c r="F5042" s="156" t="inlineStr"/>
      <c r="G5042" s="182" t="n">
        <v>0</v>
      </c>
      <c r="H5042" s="182" t="n">
        <v>0</v>
      </c>
      <c r="I5042" s="182" t="n">
        <v>12</v>
      </c>
      <c r="J5042" s="182" t="n">
        <v>12</v>
      </c>
      <c r="K5042" s="182" t="n">
        <v>0</v>
      </c>
      <c r="L5042" s="182" t="n">
        <v>12</v>
      </c>
      <c r="M5042" s="182" t="n">
        <v>0</v>
      </c>
      <c r="N5042" s="182" t="n">
        <v>0</v>
      </c>
      <c r="O5042" s="183" t="n">
        <v>0</v>
      </c>
      <c r="P5042" s="183" t="n">
        <v>0</v>
      </c>
      <c r="Q5042" s="184" t="n">
        <v>0</v>
      </c>
      <c r="R5042" s="184" t="n">
        <v>0</v>
      </c>
      <c r="S5042" s="183" t="n">
        <v>0</v>
      </c>
      <c r="T5042" s="183" t="n">
        <v>0</v>
      </c>
      <c r="U5042" s="182" t="n">
        <v>0</v>
      </c>
      <c r="V5042" s="182" t="n">
        <v>0</v>
      </c>
      <c r="W5042" s="182" t="n">
        <v>0</v>
      </c>
      <c r="X5042" s="182" t="n">
        <v>0</v>
      </c>
      <c r="Y5042" s="182" t="n">
        <v>0</v>
      </c>
      <c r="Z5042" s="182" t="n">
        <v>0</v>
      </c>
      <c r="AA5042" s="182" t="n">
        <v>0</v>
      </c>
      <c r="AB5042" s="182" t="n">
        <v>0</v>
      </c>
      <c r="AC5042" s="182" t="n">
        <v>0</v>
      </c>
      <c r="AD5042" s="182" t="n">
        <v>0</v>
      </c>
      <c r="AE5042" s="182" t="n">
        <v>0</v>
      </c>
      <c r="AF5042" s="182" t="n">
        <v>0</v>
      </c>
      <c r="AG5042" s="182" t="n">
        <v>0</v>
      </c>
      <c r="AH5042" s="182" t="n">
        <v>0</v>
      </c>
      <c r="AI5042" s="182" t="n">
        <v>0</v>
      </c>
      <c r="AJ5042" s="182" t="n">
        <v>0</v>
      </c>
      <c r="AK5042" s="182" t="n">
        <v>0</v>
      </c>
      <c r="AL5042" s="182" t="n">
        <v>0</v>
      </c>
      <c r="AM5042" s="182" t="n">
        <v>0</v>
      </c>
      <c r="AN5042" s="182" t="n">
        <v>0</v>
      </c>
    </row>
    <row r="5043">
      <c r="A5043" s="155" t="n">
        <v>46104</v>
      </c>
      <c r="B5043" s="156" t="inlineStr">
        <is>
          <t>NS</t>
        </is>
      </c>
      <c r="C5043" s="156" t="inlineStr">
        <is>
          <t>DT-520</t>
        </is>
      </c>
      <c r="D5043" s="156" t="inlineStr">
        <is>
          <t>SKT 105S</t>
        </is>
      </c>
      <c r="E5043" s="156" t="inlineStr">
        <is>
          <t>Hauler</t>
        </is>
      </c>
      <c r="F5043" s="156" t="inlineStr">
        <is>
          <t>Hauling OB</t>
        </is>
      </c>
      <c r="G5043" s="182" t="n">
        <v>3.71</v>
      </c>
      <c r="H5043" s="182" t="n">
        <v>0</v>
      </c>
      <c r="I5043" s="182" t="n">
        <v>0</v>
      </c>
      <c r="J5043" s="182" t="n">
        <v>0</v>
      </c>
      <c r="K5043" s="182" t="n">
        <v>8.289999999999999</v>
      </c>
      <c r="L5043" s="182" t="n">
        <v>12</v>
      </c>
      <c r="M5043" s="182" t="n">
        <v>3.71</v>
      </c>
      <c r="N5043" s="182" t="n">
        <v>0</v>
      </c>
      <c r="O5043" s="183" t="n">
        <v>18</v>
      </c>
      <c r="P5043" s="183" t="n">
        <v>0</v>
      </c>
      <c r="Q5043" s="184" t="n">
        <v>367.2</v>
      </c>
      <c r="R5043" s="184" t="n">
        <v>0</v>
      </c>
      <c r="S5043" s="183" t="n">
        <v>0</v>
      </c>
      <c r="T5043" s="183" t="n">
        <v>0</v>
      </c>
      <c r="U5043" s="182" t="n">
        <v>7.21</v>
      </c>
      <c r="V5043" s="182" t="n">
        <v>0</v>
      </c>
      <c r="W5043" s="182" t="n">
        <v>0</v>
      </c>
      <c r="X5043" s="182" t="n">
        <v>1</v>
      </c>
      <c r="Y5043" s="182" t="n">
        <v>0</v>
      </c>
      <c r="Z5043" s="182" t="n">
        <v>0</v>
      </c>
      <c r="AA5043" s="182" t="n">
        <v>0</v>
      </c>
      <c r="AB5043" s="182" t="n">
        <v>0</v>
      </c>
      <c r="AC5043" s="182" t="n">
        <v>0</v>
      </c>
      <c r="AD5043" s="182" t="n">
        <v>0</v>
      </c>
      <c r="AE5043" s="182" t="n">
        <v>0</v>
      </c>
      <c r="AF5043" s="182" t="n">
        <v>0</v>
      </c>
      <c r="AG5043" s="182" t="n">
        <v>0</v>
      </c>
      <c r="AH5043" s="182" t="n">
        <v>0</v>
      </c>
      <c r="AI5043" s="182" t="n">
        <v>0</v>
      </c>
      <c r="AJ5043" s="182" t="n">
        <v>0</v>
      </c>
      <c r="AK5043" s="182" t="n">
        <v>0</v>
      </c>
      <c r="AL5043" s="182" t="n">
        <v>0</v>
      </c>
      <c r="AM5043" s="182" t="n">
        <v>0.08</v>
      </c>
      <c r="AN5043" s="182" t="n">
        <v>0</v>
      </c>
    </row>
    <row r="5044">
      <c r="A5044" s="155" t="n">
        <v>46104</v>
      </c>
      <c r="B5044" s="156" t="inlineStr">
        <is>
          <t>NS</t>
        </is>
      </c>
      <c r="C5044" s="156" t="inlineStr">
        <is>
          <t>DT-511</t>
        </is>
      </c>
      <c r="D5044" s="156" t="inlineStr">
        <is>
          <t>SKT 105S</t>
        </is>
      </c>
      <c r="E5044" s="156" t="inlineStr">
        <is>
          <t>Hauler</t>
        </is>
      </c>
      <c r="F5044" s="156" t="inlineStr"/>
      <c r="G5044" s="182" t="n">
        <v>0</v>
      </c>
      <c r="H5044" s="182" t="n">
        <v>0</v>
      </c>
      <c r="I5044" s="182" t="n">
        <v>12</v>
      </c>
      <c r="J5044" s="182" t="n">
        <v>12</v>
      </c>
      <c r="K5044" s="182" t="n">
        <v>0</v>
      </c>
      <c r="L5044" s="182" t="n">
        <v>12</v>
      </c>
      <c r="M5044" s="182" t="n">
        <v>0</v>
      </c>
      <c r="N5044" s="182" t="n">
        <v>0</v>
      </c>
      <c r="O5044" s="183" t="n">
        <v>0</v>
      </c>
      <c r="P5044" s="183" t="n">
        <v>0</v>
      </c>
      <c r="Q5044" s="184" t="n">
        <v>0</v>
      </c>
      <c r="R5044" s="184" t="n">
        <v>0</v>
      </c>
      <c r="S5044" s="183" t="n">
        <v>0</v>
      </c>
      <c r="T5044" s="183" t="n">
        <v>0</v>
      </c>
      <c r="U5044" s="182" t="n">
        <v>0</v>
      </c>
      <c r="V5044" s="182" t="n">
        <v>0</v>
      </c>
      <c r="W5044" s="182" t="n">
        <v>0</v>
      </c>
      <c r="X5044" s="182" t="n">
        <v>0</v>
      </c>
      <c r="Y5044" s="182" t="n">
        <v>0</v>
      </c>
      <c r="Z5044" s="182" t="n">
        <v>0</v>
      </c>
      <c r="AA5044" s="182" t="n">
        <v>0</v>
      </c>
      <c r="AB5044" s="182" t="n">
        <v>0</v>
      </c>
      <c r="AC5044" s="182" t="n">
        <v>0</v>
      </c>
      <c r="AD5044" s="182" t="n">
        <v>0</v>
      </c>
      <c r="AE5044" s="182" t="n">
        <v>0</v>
      </c>
      <c r="AF5044" s="182" t="n">
        <v>0</v>
      </c>
      <c r="AG5044" s="182" t="n">
        <v>0</v>
      </c>
      <c r="AH5044" s="182" t="n">
        <v>0</v>
      </c>
      <c r="AI5044" s="182" t="n">
        <v>0</v>
      </c>
      <c r="AJ5044" s="182" t="n">
        <v>0</v>
      </c>
      <c r="AK5044" s="182" t="n">
        <v>0</v>
      </c>
      <c r="AL5044" s="182" t="n">
        <v>0</v>
      </c>
      <c r="AM5044" s="182" t="n">
        <v>0</v>
      </c>
      <c r="AN5044" s="182" t="n">
        <v>0</v>
      </c>
    </row>
    <row r="5045">
      <c r="A5045" s="155" t="n">
        <v>46104</v>
      </c>
      <c r="B5045" s="156" t="inlineStr">
        <is>
          <t>NS</t>
        </is>
      </c>
      <c r="C5045" s="156" t="inlineStr">
        <is>
          <t>DT-509</t>
        </is>
      </c>
      <c r="D5045" s="156" t="inlineStr">
        <is>
          <t>SKT 105S</t>
        </is>
      </c>
      <c r="E5045" s="156" t="inlineStr">
        <is>
          <t>Hauler</t>
        </is>
      </c>
      <c r="F5045" s="156" t="inlineStr"/>
      <c r="G5045" s="182" t="n">
        <v>0</v>
      </c>
      <c r="H5045" s="182" t="n">
        <v>0</v>
      </c>
      <c r="I5045" s="182" t="n">
        <v>12</v>
      </c>
      <c r="J5045" s="182" t="n">
        <v>12</v>
      </c>
      <c r="K5045" s="182" t="n">
        <v>0</v>
      </c>
      <c r="L5045" s="182" t="n">
        <v>12</v>
      </c>
      <c r="M5045" s="182" t="n">
        <v>0</v>
      </c>
      <c r="N5045" s="182" t="n">
        <v>0</v>
      </c>
      <c r="O5045" s="183" t="n">
        <v>0</v>
      </c>
      <c r="P5045" s="183" t="n">
        <v>0</v>
      </c>
      <c r="Q5045" s="184" t="n">
        <v>0</v>
      </c>
      <c r="R5045" s="184" t="n">
        <v>0</v>
      </c>
      <c r="S5045" s="183" t="n">
        <v>0</v>
      </c>
      <c r="T5045" s="183" t="n">
        <v>0</v>
      </c>
      <c r="U5045" s="182" t="n">
        <v>0</v>
      </c>
      <c r="V5045" s="182" t="n">
        <v>0</v>
      </c>
      <c r="W5045" s="182" t="n">
        <v>0</v>
      </c>
      <c r="X5045" s="182" t="n">
        <v>0</v>
      </c>
      <c r="Y5045" s="182" t="n">
        <v>0</v>
      </c>
      <c r="Z5045" s="182" t="n">
        <v>0</v>
      </c>
      <c r="AA5045" s="182" t="n">
        <v>0</v>
      </c>
      <c r="AB5045" s="182" t="n">
        <v>0</v>
      </c>
      <c r="AC5045" s="182" t="n">
        <v>0</v>
      </c>
      <c r="AD5045" s="182" t="n">
        <v>0</v>
      </c>
      <c r="AE5045" s="182" t="n">
        <v>0</v>
      </c>
      <c r="AF5045" s="182" t="n">
        <v>0</v>
      </c>
      <c r="AG5045" s="182" t="n">
        <v>0</v>
      </c>
      <c r="AH5045" s="182" t="n">
        <v>0</v>
      </c>
      <c r="AI5045" s="182" t="n">
        <v>0</v>
      </c>
      <c r="AJ5045" s="182" t="n">
        <v>0</v>
      </c>
      <c r="AK5045" s="182" t="n">
        <v>0</v>
      </c>
      <c r="AL5045" s="182" t="n">
        <v>0</v>
      </c>
      <c r="AM5045" s="182" t="n">
        <v>0</v>
      </c>
      <c r="AN5045" s="182" t="n">
        <v>0</v>
      </c>
    </row>
    <row r="5046">
      <c r="A5046" s="155" t="n">
        <v>46104</v>
      </c>
      <c r="B5046" s="156" t="inlineStr">
        <is>
          <t>NS</t>
        </is>
      </c>
      <c r="C5046" s="156" t="inlineStr">
        <is>
          <t>DT-526</t>
        </is>
      </c>
      <c r="D5046" s="156" t="inlineStr">
        <is>
          <t>SKT 105S</t>
        </is>
      </c>
      <c r="E5046" s="156" t="inlineStr">
        <is>
          <t>Hauler</t>
        </is>
      </c>
      <c r="F5046" s="156" t="inlineStr"/>
      <c r="G5046" s="182" t="n">
        <v>0</v>
      </c>
      <c r="H5046" s="182" t="n">
        <v>0</v>
      </c>
      <c r="I5046" s="182" t="n">
        <v>12</v>
      </c>
      <c r="J5046" s="182" t="n">
        <v>12</v>
      </c>
      <c r="K5046" s="182" t="n">
        <v>0</v>
      </c>
      <c r="L5046" s="182" t="n">
        <v>12</v>
      </c>
      <c r="M5046" s="182" t="n">
        <v>0</v>
      </c>
      <c r="N5046" s="182" t="n">
        <v>0</v>
      </c>
      <c r="O5046" s="183" t="n">
        <v>0</v>
      </c>
      <c r="P5046" s="183" t="n">
        <v>0</v>
      </c>
      <c r="Q5046" s="184" t="n">
        <v>0</v>
      </c>
      <c r="R5046" s="184" t="n">
        <v>0</v>
      </c>
      <c r="S5046" s="183" t="n">
        <v>0</v>
      </c>
      <c r="T5046" s="183" t="n">
        <v>0</v>
      </c>
      <c r="U5046" s="182" t="n">
        <v>0</v>
      </c>
      <c r="V5046" s="182" t="n">
        <v>0</v>
      </c>
      <c r="W5046" s="182" t="n">
        <v>0</v>
      </c>
      <c r="X5046" s="182" t="n">
        <v>0</v>
      </c>
      <c r="Y5046" s="182" t="n">
        <v>0</v>
      </c>
      <c r="Z5046" s="182" t="n">
        <v>0</v>
      </c>
      <c r="AA5046" s="182" t="n">
        <v>0</v>
      </c>
      <c r="AB5046" s="182" t="n">
        <v>0</v>
      </c>
      <c r="AC5046" s="182" t="n">
        <v>0</v>
      </c>
      <c r="AD5046" s="182" t="n">
        <v>0</v>
      </c>
      <c r="AE5046" s="182" t="n">
        <v>0</v>
      </c>
      <c r="AF5046" s="182" t="n">
        <v>0</v>
      </c>
      <c r="AG5046" s="182" t="n">
        <v>0</v>
      </c>
      <c r="AH5046" s="182" t="n">
        <v>0</v>
      </c>
      <c r="AI5046" s="182" t="n">
        <v>0</v>
      </c>
      <c r="AJ5046" s="182" t="n">
        <v>0</v>
      </c>
      <c r="AK5046" s="182" t="n">
        <v>0</v>
      </c>
      <c r="AL5046" s="182" t="n">
        <v>0</v>
      </c>
      <c r="AM5046" s="182" t="n">
        <v>0</v>
      </c>
      <c r="AN5046" s="182" t="n">
        <v>0</v>
      </c>
    </row>
    <row r="5047">
      <c r="A5047" s="155" t="n">
        <v>46104</v>
      </c>
      <c r="B5047" s="156" t="inlineStr">
        <is>
          <t>NS</t>
        </is>
      </c>
      <c r="C5047" s="156" t="inlineStr">
        <is>
          <t>DT-508</t>
        </is>
      </c>
      <c r="D5047" s="156" t="inlineStr">
        <is>
          <t>SKT 105S</t>
        </is>
      </c>
      <c r="E5047" s="156" t="inlineStr">
        <is>
          <t>Hauler</t>
        </is>
      </c>
      <c r="F5047" s="156" t="inlineStr">
        <is>
          <t>Hauling OB</t>
        </is>
      </c>
      <c r="G5047" s="182" t="n">
        <v>3.92</v>
      </c>
      <c r="H5047" s="182" t="n">
        <v>0</v>
      </c>
      <c r="I5047" s="182" t="n">
        <v>0</v>
      </c>
      <c r="J5047" s="182" t="n">
        <v>0</v>
      </c>
      <c r="K5047" s="182" t="n">
        <v>8.08</v>
      </c>
      <c r="L5047" s="182" t="n">
        <v>12</v>
      </c>
      <c r="M5047" s="182" t="n">
        <v>3.92</v>
      </c>
      <c r="N5047" s="182" t="n">
        <v>0</v>
      </c>
      <c r="O5047" s="183" t="n">
        <v>16</v>
      </c>
      <c r="P5047" s="183" t="n">
        <v>0</v>
      </c>
      <c r="Q5047" s="184" t="n">
        <v>326.4</v>
      </c>
      <c r="R5047" s="184" t="n">
        <v>0</v>
      </c>
      <c r="S5047" s="183" t="n">
        <v>0</v>
      </c>
      <c r="T5047" s="183" t="n">
        <v>0</v>
      </c>
      <c r="U5047" s="182" t="n">
        <v>7.05</v>
      </c>
      <c r="V5047" s="182" t="n">
        <v>0</v>
      </c>
      <c r="W5047" s="182" t="n">
        <v>0</v>
      </c>
      <c r="X5047" s="182" t="n">
        <v>0.95</v>
      </c>
      <c r="Y5047" s="182" t="n">
        <v>0</v>
      </c>
      <c r="Z5047" s="182" t="n">
        <v>0</v>
      </c>
      <c r="AA5047" s="182" t="n">
        <v>0</v>
      </c>
      <c r="AB5047" s="182" t="n">
        <v>0</v>
      </c>
      <c r="AC5047" s="182" t="n">
        <v>0</v>
      </c>
      <c r="AD5047" s="182" t="n">
        <v>0</v>
      </c>
      <c r="AE5047" s="182" t="n">
        <v>0</v>
      </c>
      <c r="AF5047" s="182" t="n">
        <v>0</v>
      </c>
      <c r="AG5047" s="182" t="n">
        <v>0</v>
      </c>
      <c r="AH5047" s="182" t="n">
        <v>0</v>
      </c>
      <c r="AI5047" s="182" t="n">
        <v>0</v>
      </c>
      <c r="AJ5047" s="182" t="n">
        <v>0</v>
      </c>
      <c r="AK5047" s="182" t="n">
        <v>0</v>
      </c>
      <c r="AL5047" s="182" t="n">
        <v>0</v>
      </c>
      <c r="AM5047" s="182" t="n">
        <v>0.08</v>
      </c>
      <c r="AN5047" s="182" t="n">
        <v>0</v>
      </c>
    </row>
    <row r="5048">
      <c r="A5048" s="155" t="n">
        <v>46104</v>
      </c>
      <c r="B5048" s="156" t="inlineStr">
        <is>
          <t>NS</t>
        </is>
      </c>
      <c r="C5048" s="156" t="inlineStr">
        <is>
          <t>DT-515</t>
        </is>
      </c>
      <c r="D5048" s="156" t="inlineStr">
        <is>
          <t>SKT 105S</t>
        </is>
      </c>
      <c r="E5048" s="156" t="inlineStr">
        <is>
          <t>Hauler</t>
        </is>
      </c>
      <c r="F5048" s="156" t="inlineStr">
        <is>
          <t>Hauling Coal</t>
        </is>
      </c>
      <c r="G5048" s="182" t="n">
        <v>2.86</v>
      </c>
      <c r="H5048" s="182" t="n">
        <v>0</v>
      </c>
      <c r="I5048" s="182" t="n">
        <v>0</v>
      </c>
      <c r="J5048" s="182" t="n">
        <v>0</v>
      </c>
      <c r="K5048" s="182" t="n">
        <v>9.140000000000001</v>
      </c>
      <c r="L5048" s="182" t="n">
        <v>12</v>
      </c>
      <c r="M5048" s="182" t="n">
        <v>0</v>
      </c>
      <c r="N5048" s="182" t="n">
        <v>2.86</v>
      </c>
      <c r="O5048" s="183" t="n">
        <v>0</v>
      </c>
      <c r="P5048" s="183" t="n">
        <v>7</v>
      </c>
      <c r="Q5048" s="184" t="n">
        <v>0</v>
      </c>
      <c r="R5048" s="184" t="n">
        <v>130.9</v>
      </c>
      <c r="S5048" s="183" t="n">
        <v>0</v>
      </c>
      <c r="T5048" s="183" t="n">
        <v>0</v>
      </c>
      <c r="U5048" s="182" t="n">
        <v>7.35</v>
      </c>
      <c r="V5048" s="182" t="n">
        <v>0.65</v>
      </c>
      <c r="W5048" s="182" t="n">
        <v>0</v>
      </c>
      <c r="X5048" s="182" t="n">
        <v>1.05</v>
      </c>
      <c r="Y5048" s="182" t="n">
        <v>0</v>
      </c>
      <c r="Z5048" s="182" t="n">
        <v>0</v>
      </c>
      <c r="AA5048" s="182" t="n">
        <v>0</v>
      </c>
      <c r="AB5048" s="182" t="n">
        <v>0</v>
      </c>
      <c r="AC5048" s="182" t="n">
        <v>0</v>
      </c>
      <c r="AD5048" s="182" t="n">
        <v>0</v>
      </c>
      <c r="AE5048" s="182" t="n">
        <v>0</v>
      </c>
      <c r="AF5048" s="182" t="n">
        <v>0</v>
      </c>
      <c r="AG5048" s="182" t="n">
        <v>0</v>
      </c>
      <c r="AH5048" s="182" t="n">
        <v>0</v>
      </c>
      <c r="AI5048" s="182" t="n">
        <v>0</v>
      </c>
      <c r="AJ5048" s="182" t="n">
        <v>0</v>
      </c>
      <c r="AK5048" s="182" t="n">
        <v>0</v>
      </c>
      <c r="AL5048" s="182" t="n">
        <v>0</v>
      </c>
      <c r="AM5048" s="182" t="n">
        <v>0.08</v>
      </c>
      <c r="AN5048" s="182" t="n">
        <v>0</v>
      </c>
    </row>
    <row r="5049">
      <c r="A5049" s="155" t="n">
        <v>46104</v>
      </c>
      <c r="B5049" s="156" t="inlineStr">
        <is>
          <t>NS</t>
        </is>
      </c>
      <c r="C5049" s="156" t="inlineStr">
        <is>
          <t>DT-524</t>
        </is>
      </c>
      <c r="D5049" s="156" t="inlineStr">
        <is>
          <t>SKT 105S</t>
        </is>
      </c>
      <c r="E5049" s="156" t="inlineStr">
        <is>
          <t>Hauler</t>
        </is>
      </c>
      <c r="F5049" s="156" t="inlineStr"/>
      <c r="G5049" s="182" t="n">
        <v>0</v>
      </c>
      <c r="H5049" s="182" t="n">
        <v>0</v>
      </c>
      <c r="I5049" s="182" t="n">
        <v>0</v>
      </c>
      <c r="J5049" s="182" t="n">
        <v>0</v>
      </c>
      <c r="K5049" s="182" t="n">
        <v>12</v>
      </c>
      <c r="L5049" s="182" t="n">
        <v>12</v>
      </c>
      <c r="M5049" s="182" t="n">
        <v>0</v>
      </c>
      <c r="N5049" s="182" t="n">
        <v>0</v>
      </c>
      <c r="O5049" s="183" t="n">
        <v>0</v>
      </c>
      <c r="P5049" s="183" t="n">
        <v>0</v>
      </c>
      <c r="Q5049" s="184" t="n">
        <v>0</v>
      </c>
      <c r="R5049" s="184" t="n">
        <v>0</v>
      </c>
      <c r="S5049" s="183" t="n">
        <v>0</v>
      </c>
      <c r="T5049" s="183" t="n">
        <v>0</v>
      </c>
      <c r="U5049" s="182" t="n">
        <v>7.35</v>
      </c>
      <c r="V5049" s="182" t="n">
        <v>0</v>
      </c>
      <c r="W5049" s="182" t="n">
        <v>0</v>
      </c>
      <c r="X5049" s="182" t="n">
        <v>1</v>
      </c>
      <c r="Y5049" s="182" t="n">
        <v>0</v>
      </c>
      <c r="Z5049" s="182" t="n">
        <v>0</v>
      </c>
      <c r="AA5049" s="182" t="n">
        <v>0</v>
      </c>
      <c r="AB5049" s="182" t="n">
        <v>0</v>
      </c>
      <c r="AC5049" s="182" t="n">
        <v>0</v>
      </c>
      <c r="AD5049" s="182" t="n">
        <v>0</v>
      </c>
      <c r="AE5049" s="182" t="n">
        <v>0</v>
      </c>
      <c r="AF5049" s="182" t="n">
        <v>0</v>
      </c>
      <c r="AG5049" s="182" t="n">
        <v>0</v>
      </c>
      <c r="AH5049" s="182" t="n">
        <v>0</v>
      </c>
      <c r="AI5049" s="182" t="n">
        <v>0</v>
      </c>
      <c r="AJ5049" s="182" t="n">
        <v>0</v>
      </c>
      <c r="AK5049" s="182" t="n">
        <v>3.57</v>
      </c>
      <c r="AL5049" s="182" t="n">
        <v>0</v>
      </c>
      <c r="AM5049" s="182" t="n">
        <v>0.08</v>
      </c>
      <c r="AN5049" s="182" t="n">
        <v>0</v>
      </c>
    </row>
    <row r="5050">
      <c r="A5050" s="155" t="n">
        <v>46104</v>
      </c>
      <c r="B5050" s="156" t="inlineStr">
        <is>
          <t>NS</t>
        </is>
      </c>
      <c r="C5050" s="156" t="inlineStr">
        <is>
          <t>DT-341</t>
        </is>
      </c>
      <c r="D5050" s="156" t="inlineStr">
        <is>
          <t>SYZ324C-8W</t>
        </is>
      </c>
      <c r="E5050" s="156" t="inlineStr">
        <is>
          <t>Hauler</t>
        </is>
      </c>
      <c r="F5050" s="156" t="inlineStr">
        <is>
          <t>Support Washing Plant</t>
        </is>
      </c>
      <c r="G5050" s="182" t="n">
        <v>3.23</v>
      </c>
      <c r="H5050" s="182" t="n">
        <v>0</v>
      </c>
      <c r="I5050" s="182" t="n">
        <v>0</v>
      </c>
      <c r="J5050" s="182" t="n">
        <v>0</v>
      </c>
      <c r="K5050" s="182" t="n">
        <v>8.77</v>
      </c>
      <c r="L5050" s="182" t="n">
        <v>12</v>
      </c>
      <c r="M5050" s="182" t="n">
        <v>0</v>
      </c>
      <c r="N5050" s="182" t="n">
        <v>0</v>
      </c>
      <c r="O5050" s="183" t="n">
        <v>0</v>
      </c>
      <c r="P5050" s="183" t="n">
        <v>0</v>
      </c>
      <c r="Q5050" s="184" t="n">
        <v>0</v>
      </c>
      <c r="R5050" s="184" t="n">
        <v>0</v>
      </c>
      <c r="S5050" s="183" t="n">
        <v>0</v>
      </c>
      <c r="T5050" s="183" t="n">
        <v>0</v>
      </c>
      <c r="U5050" s="182" t="n">
        <v>7.68</v>
      </c>
      <c r="V5050" s="182" t="n">
        <v>0</v>
      </c>
      <c r="W5050" s="182" t="n">
        <v>0</v>
      </c>
      <c r="X5050" s="182" t="n">
        <v>1.01</v>
      </c>
      <c r="Y5050" s="182" t="n">
        <v>0</v>
      </c>
      <c r="Z5050" s="182" t="n">
        <v>0</v>
      </c>
      <c r="AA5050" s="182" t="n">
        <v>0</v>
      </c>
      <c r="AB5050" s="182" t="n">
        <v>0</v>
      </c>
      <c r="AC5050" s="182" t="n">
        <v>0</v>
      </c>
      <c r="AD5050" s="182" t="n">
        <v>0</v>
      </c>
      <c r="AE5050" s="182" t="n">
        <v>0</v>
      </c>
      <c r="AF5050" s="182" t="n">
        <v>0</v>
      </c>
      <c r="AG5050" s="182" t="n">
        <v>0</v>
      </c>
      <c r="AH5050" s="182" t="n">
        <v>0</v>
      </c>
      <c r="AI5050" s="182" t="n">
        <v>0</v>
      </c>
      <c r="AJ5050" s="182" t="n">
        <v>0</v>
      </c>
      <c r="AK5050" s="182" t="n">
        <v>0</v>
      </c>
      <c r="AL5050" s="182" t="n">
        <v>0</v>
      </c>
      <c r="AM5050" s="182" t="n">
        <v>0.08</v>
      </c>
      <c r="AN5050" s="182" t="n">
        <v>0</v>
      </c>
    </row>
    <row r="5051">
      <c r="A5051" s="155" t="n">
        <v>46104</v>
      </c>
      <c r="B5051" s="156" t="inlineStr">
        <is>
          <t>NS</t>
        </is>
      </c>
      <c r="C5051" s="156" t="inlineStr">
        <is>
          <t>DT-342</t>
        </is>
      </c>
      <c r="D5051" s="156" t="inlineStr">
        <is>
          <t>SYZ324C-8W</t>
        </is>
      </c>
      <c r="E5051" s="156" t="inlineStr">
        <is>
          <t>Hauler</t>
        </is>
      </c>
      <c r="F5051" s="156" t="inlineStr">
        <is>
          <t>Support Washing Plant</t>
        </is>
      </c>
      <c r="G5051" s="182" t="n">
        <v>2.87</v>
      </c>
      <c r="H5051" s="182" t="n">
        <v>0</v>
      </c>
      <c r="I5051" s="182" t="n">
        <v>0</v>
      </c>
      <c r="J5051" s="182" t="n">
        <v>0</v>
      </c>
      <c r="K5051" s="182" t="n">
        <v>9.130000000000001</v>
      </c>
      <c r="L5051" s="182" t="n">
        <v>12</v>
      </c>
      <c r="M5051" s="182" t="n">
        <v>0</v>
      </c>
      <c r="N5051" s="182" t="n">
        <v>0</v>
      </c>
      <c r="O5051" s="183" t="n">
        <v>0</v>
      </c>
      <c r="P5051" s="183" t="n">
        <v>0</v>
      </c>
      <c r="Q5051" s="184" t="n">
        <v>0</v>
      </c>
      <c r="R5051" s="184" t="n">
        <v>0</v>
      </c>
      <c r="S5051" s="183" t="n">
        <v>0</v>
      </c>
      <c r="T5051" s="183" t="n">
        <v>0</v>
      </c>
      <c r="U5051" s="182" t="n">
        <v>8.02</v>
      </c>
      <c r="V5051" s="182" t="n">
        <v>0</v>
      </c>
      <c r="W5051" s="182" t="n">
        <v>0</v>
      </c>
      <c r="X5051" s="182" t="n">
        <v>1.03</v>
      </c>
      <c r="Y5051" s="182" t="n">
        <v>0</v>
      </c>
      <c r="Z5051" s="182" t="n">
        <v>0</v>
      </c>
      <c r="AA5051" s="182" t="n">
        <v>0</v>
      </c>
      <c r="AB5051" s="182" t="n">
        <v>0</v>
      </c>
      <c r="AC5051" s="182" t="n">
        <v>0</v>
      </c>
      <c r="AD5051" s="182" t="n">
        <v>0</v>
      </c>
      <c r="AE5051" s="182" t="n">
        <v>0</v>
      </c>
      <c r="AF5051" s="182" t="n">
        <v>0</v>
      </c>
      <c r="AG5051" s="182" t="n">
        <v>0</v>
      </c>
      <c r="AH5051" s="182" t="n">
        <v>0</v>
      </c>
      <c r="AI5051" s="182" t="n">
        <v>0</v>
      </c>
      <c r="AJ5051" s="182" t="n">
        <v>0</v>
      </c>
      <c r="AK5051" s="182" t="n">
        <v>0</v>
      </c>
      <c r="AL5051" s="182" t="n">
        <v>0</v>
      </c>
      <c r="AM5051" s="182" t="n">
        <v>0.08</v>
      </c>
      <c r="AN5051" s="182" t="n">
        <v>0</v>
      </c>
    </row>
    <row r="5052">
      <c r="A5052" s="155" t="n">
        <v>46104</v>
      </c>
      <c r="B5052" s="156" t="inlineStr">
        <is>
          <t>NS</t>
        </is>
      </c>
      <c r="C5052" s="156" t="inlineStr">
        <is>
          <t>HD-903</t>
        </is>
      </c>
      <c r="D5052" s="156" t="inlineStr">
        <is>
          <t>SRT 95C</t>
        </is>
      </c>
      <c r="E5052" s="156" t="inlineStr">
        <is>
          <t>Hauler</t>
        </is>
      </c>
      <c r="F5052" s="156" t="inlineStr">
        <is>
          <t>Hauling OB</t>
        </is>
      </c>
      <c r="G5052" s="182" t="n">
        <v>3.95</v>
      </c>
      <c r="H5052" s="182" t="n">
        <v>0</v>
      </c>
      <c r="I5052" s="182" t="n">
        <v>0</v>
      </c>
      <c r="J5052" s="182" t="n">
        <v>0</v>
      </c>
      <c r="K5052" s="182" t="n">
        <v>8.050000000000001</v>
      </c>
      <c r="L5052" s="182" t="n">
        <v>12</v>
      </c>
      <c r="M5052" s="182" t="n">
        <v>3.95</v>
      </c>
      <c r="N5052" s="182" t="n">
        <v>0</v>
      </c>
      <c r="O5052" s="183" t="n">
        <v>16</v>
      </c>
      <c r="P5052" s="183" t="n">
        <v>0</v>
      </c>
      <c r="Q5052" s="184" t="n">
        <v>571.2</v>
      </c>
      <c r="R5052" s="184" t="n">
        <v>0</v>
      </c>
      <c r="S5052" s="183" t="n">
        <v>0</v>
      </c>
      <c r="T5052" s="183" t="n">
        <v>0</v>
      </c>
      <c r="U5052" s="182" t="n">
        <v>6.98</v>
      </c>
      <c r="V5052" s="182" t="n">
        <v>0</v>
      </c>
      <c r="W5052" s="182" t="n">
        <v>0</v>
      </c>
      <c r="X5052" s="182" t="n">
        <v>0.99</v>
      </c>
      <c r="Y5052" s="182" t="n">
        <v>0</v>
      </c>
      <c r="Z5052" s="182" t="n">
        <v>0</v>
      </c>
      <c r="AA5052" s="182" t="n">
        <v>0</v>
      </c>
      <c r="AB5052" s="182" t="n">
        <v>0</v>
      </c>
      <c r="AC5052" s="182" t="n">
        <v>0</v>
      </c>
      <c r="AD5052" s="182" t="n">
        <v>0</v>
      </c>
      <c r="AE5052" s="182" t="n">
        <v>0</v>
      </c>
      <c r="AF5052" s="182" t="n">
        <v>0</v>
      </c>
      <c r="AG5052" s="182" t="n">
        <v>0</v>
      </c>
      <c r="AH5052" s="182" t="n">
        <v>0</v>
      </c>
      <c r="AI5052" s="182" t="n">
        <v>0</v>
      </c>
      <c r="AJ5052" s="182" t="n">
        <v>0</v>
      </c>
      <c r="AK5052" s="182" t="n">
        <v>0</v>
      </c>
      <c r="AL5052" s="182" t="n">
        <v>0</v>
      </c>
      <c r="AM5052" s="182" t="n">
        <v>0.08</v>
      </c>
      <c r="AN5052" s="182" t="n">
        <v>0</v>
      </c>
    </row>
    <row r="5053">
      <c r="A5053" s="155" t="n">
        <v>46104</v>
      </c>
      <c r="B5053" s="156" t="inlineStr">
        <is>
          <t>NS</t>
        </is>
      </c>
      <c r="C5053" s="156" t="inlineStr">
        <is>
          <t>HD-905</t>
        </is>
      </c>
      <c r="D5053" s="156" t="inlineStr">
        <is>
          <t>SRT 95C</t>
        </is>
      </c>
      <c r="E5053" s="156" t="inlineStr">
        <is>
          <t>Hauler</t>
        </is>
      </c>
      <c r="F5053" s="156" t="inlineStr"/>
      <c r="G5053" s="182" t="n">
        <v>0</v>
      </c>
      <c r="H5053" s="182" t="n">
        <v>0</v>
      </c>
      <c r="I5053" s="182" t="n">
        <v>12</v>
      </c>
      <c r="J5053" s="182" t="n">
        <v>12</v>
      </c>
      <c r="K5053" s="182" t="n">
        <v>0</v>
      </c>
      <c r="L5053" s="182" t="n">
        <v>12</v>
      </c>
      <c r="M5053" s="182" t="n">
        <v>0</v>
      </c>
      <c r="N5053" s="182" t="n">
        <v>0</v>
      </c>
      <c r="O5053" s="183" t="n">
        <v>0</v>
      </c>
      <c r="P5053" s="183" t="n">
        <v>0</v>
      </c>
      <c r="Q5053" s="184" t="n">
        <v>0</v>
      </c>
      <c r="R5053" s="184" t="n">
        <v>0</v>
      </c>
      <c r="S5053" s="183" t="n">
        <v>0</v>
      </c>
      <c r="T5053" s="183" t="n">
        <v>0</v>
      </c>
      <c r="U5053" s="182" t="n">
        <v>0</v>
      </c>
      <c r="V5053" s="182" t="n">
        <v>0</v>
      </c>
      <c r="W5053" s="182" t="n">
        <v>0</v>
      </c>
      <c r="X5053" s="182" t="n">
        <v>0</v>
      </c>
      <c r="Y5053" s="182" t="n">
        <v>0</v>
      </c>
      <c r="Z5053" s="182" t="n">
        <v>0</v>
      </c>
      <c r="AA5053" s="182" t="n">
        <v>0</v>
      </c>
      <c r="AB5053" s="182" t="n">
        <v>0</v>
      </c>
      <c r="AC5053" s="182" t="n">
        <v>0</v>
      </c>
      <c r="AD5053" s="182" t="n">
        <v>0</v>
      </c>
      <c r="AE5053" s="182" t="n">
        <v>0</v>
      </c>
      <c r="AF5053" s="182" t="n">
        <v>0</v>
      </c>
      <c r="AG5053" s="182" t="n">
        <v>0</v>
      </c>
      <c r="AH5053" s="182" t="n">
        <v>0</v>
      </c>
      <c r="AI5053" s="182" t="n">
        <v>0</v>
      </c>
      <c r="AJ5053" s="182" t="n">
        <v>0</v>
      </c>
      <c r="AK5053" s="182" t="n">
        <v>0</v>
      </c>
      <c r="AL5053" s="182" t="n">
        <v>0</v>
      </c>
      <c r="AM5053" s="182" t="n">
        <v>0</v>
      </c>
      <c r="AN5053" s="182" t="n">
        <v>0</v>
      </c>
    </row>
    <row r="5054">
      <c r="A5054" s="155" t="n">
        <v>46104</v>
      </c>
      <c r="B5054" s="156" t="inlineStr">
        <is>
          <t>NS</t>
        </is>
      </c>
      <c r="C5054" s="156" t="inlineStr">
        <is>
          <t>HD-901</t>
        </is>
      </c>
      <c r="D5054" s="156" t="inlineStr">
        <is>
          <t>SRT 95C</t>
        </is>
      </c>
      <c r="E5054" s="156" t="inlineStr">
        <is>
          <t>Hauler</t>
        </is>
      </c>
      <c r="F5054" s="156" t="inlineStr">
        <is>
          <t>Hauling OB</t>
        </is>
      </c>
      <c r="G5054" s="182" t="n">
        <v>3.82</v>
      </c>
      <c r="H5054" s="182" t="n">
        <v>0</v>
      </c>
      <c r="I5054" s="182" t="n">
        <v>0</v>
      </c>
      <c r="J5054" s="182" t="n">
        <v>0</v>
      </c>
      <c r="K5054" s="182" t="n">
        <v>8.18</v>
      </c>
      <c r="L5054" s="182" t="n">
        <v>12</v>
      </c>
      <c r="M5054" s="182" t="n">
        <v>3.82</v>
      </c>
      <c r="N5054" s="182" t="n">
        <v>0</v>
      </c>
      <c r="O5054" s="183" t="n">
        <v>18</v>
      </c>
      <c r="P5054" s="183" t="n">
        <v>0</v>
      </c>
      <c r="Q5054" s="184" t="n">
        <v>642.6</v>
      </c>
      <c r="R5054" s="184" t="n">
        <v>0</v>
      </c>
      <c r="S5054" s="183" t="n">
        <v>0</v>
      </c>
      <c r="T5054" s="183" t="n">
        <v>0</v>
      </c>
      <c r="U5054" s="182" t="n">
        <v>7.1</v>
      </c>
      <c r="V5054" s="182" t="n">
        <v>0</v>
      </c>
      <c r="W5054" s="182" t="n">
        <v>0</v>
      </c>
      <c r="X5054" s="182" t="n">
        <v>1</v>
      </c>
      <c r="Y5054" s="182" t="n">
        <v>0</v>
      </c>
      <c r="Z5054" s="182" t="n">
        <v>0</v>
      </c>
      <c r="AA5054" s="182" t="n">
        <v>0</v>
      </c>
      <c r="AB5054" s="182" t="n">
        <v>0</v>
      </c>
      <c r="AC5054" s="182" t="n">
        <v>0</v>
      </c>
      <c r="AD5054" s="182" t="n">
        <v>0</v>
      </c>
      <c r="AE5054" s="182" t="n">
        <v>0</v>
      </c>
      <c r="AF5054" s="182" t="n">
        <v>0</v>
      </c>
      <c r="AG5054" s="182" t="n">
        <v>0</v>
      </c>
      <c r="AH5054" s="182" t="n">
        <v>0</v>
      </c>
      <c r="AI5054" s="182" t="n">
        <v>0</v>
      </c>
      <c r="AJ5054" s="182" t="n">
        <v>0</v>
      </c>
      <c r="AK5054" s="182" t="n">
        <v>0</v>
      </c>
      <c r="AL5054" s="182" t="n">
        <v>0</v>
      </c>
      <c r="AM5054" s="182" t="n">
        <v>0.08</v>
      </c>
      <c r="AN5054" s="182" t="n">
        <v>0</v>
      </c>
    </row>
    <row r="5055">
      <c r="A5055" s="155" t="n">
        <v>46104</v>
      </c>
      <c r="B5055" s="156" t="inlineStr">
        <is>
          <t>NS</t>
        </is>
      </c>
      <c r="C5055" s="156" t="inlineStr">
        <is>
          <t>HD-904</t>
        </is>
      </c>
      <c r="D5055" s="156" t="inlineStr">
        <is>
          <t>SRT 95C</t>
        </is>
      </c>
      <c r="E5055" s="156" t="inlineStr">
        <is>
          <t>Hauler</t>
        </is>
      </c>
      <c r="F5055" s="156" t="inlineStr">
        <is>
          <t>Hauling OB</t>
        </is>
      </c>
      <c r="G5055" s="182" t="n">
        <v>3.65</v>
      </c>
      <c r="H5055" s="182" t="n">
        <v>0</v>
      </c>
      <c r="I5055" s="182" t="n">
        <v>0</v>
      </c>
      <c r="J5055" s="182" t="n">
        <v>0</v>
      </c>
      <c r="K5055" s="182" t="n">
        <v>8.35</v>
      </c>
      <c r="L5055" s="182" t="n">
        <v>12</v>
      </c>
      <c r="M5055" s="182" t="n">
        <v>3.65</v>
      </c>
      <c r="N5055" s="182" t="n">
        <v>0</v>
      </c>
      <c r="O5055" s="183" t="n">
        <v>19</v>
      </c>
      <c r="P5055" s="183" t="n">
        <v>0</v>
      </c>
      <c r="Q5055" s="184" t="n">
        <v>678.3</v>
      </c>
      <c r="R5055" s="184" t="n">
        <v>0</v>
      </c>
      <c r="S5055" s="183" t="n">
        <v>0</v>
      </c>
      <c r="T5055" s="183" t="n">
        <v>0</v>
      </c>
      <c r="U5055" s="182" t="n">
        <v>7.25</v>
      </c>
      <c r="V5055" s="182" t="n">
        <v>0</v>
      </c>
      <c r="W5055" s="182" t="n">
        <v>0</v>
      </c>
      <c r="X5055" s="182" t="n">
        <v>1.02</v>
      </c>
      <c r="Y5055" s="182" t="n">
        <v>0</v>
      </c>
      <c r="Z5055" s="182" t="n">
        <v>0</v>
      </c>
      <c r="AA5055" s="182" t="n">
        <v>0</v>
      </c>
      <c r="AB5055" s="182" t="n">
        <v>0</v>
      </c>
      <c r="AC5055" s="182" t="n">
        <v>0</v>
      </c>
      <c r="AD5055" s="182" t="n">
        <v>0</v>
      </c>
      <c r="AE5055" s="182" t="n">
        <v>0</v>
      </c>
      <c r="AF5055" s="182" t="n">
        <v>0</v>
      </c>
      <c r="AG5055" s="182" t="n">
        <v>0</v>
      </c>
      <c r="AH5055" s="182" t="n">
        <v>0</v>
      </c>
      <c r="AI5055" s="182" t="n">
        <v>0</v>
      </c>
      <c r="AJ5055" s="182" t="n">
        <v>0</v>
      </c>
      <c r="AK5055" s="182" t="n">
        <v>0</v>
      </c>
      <c r="AL5055" s="182" t="n">
        <v>0</v>
      </c>
      <c r="AM5055" s="182" t="n">
        <v>0.08</v>
      </c>
      <c r="AN5055" s="182" t="n">
        <v>0</v>
      </c>
    </row>
    <row r="5056">
      <c r="A5056" s="155" t="n">
        <v>46104</v>
      </c>
      <c r="B5056" s="156" t="inlineStr">
        <is>
          <t>NS</t>
        </is>
      </c>
      <c r="C5056" s="156" t="inlineStr">
        <is>
          <t>HD-902</t>
        </is>
      </c>
      <c r="D5056" s="156" t="inlineStr">
        <is>
          <t>SRT 95C</t>
        </is>
      </c>
      <c r="E5056" s="156" t="inlineStr">
        <is>
          <t>Hauler</t>
        </is>
      </c>
      <c r="F5056" s="156" t="inlineStr"/>
      <c r="G5056" s="182" t="n">
        <v>0</v>
      </c>
      <c r="H5056" s="182" t="n">
        <v>0</v>
      </c>
      <c r="I5056" s="182" t="n">
        <v>12</v>
      </c>
      <c r="J5056" s="182" t="n">
        <v>12</v>
      </c>
      <c r="K5056" s="182" t="n">
        <v>0</v>
      </c>
      <c r="L5056" s="182" t="n">
        <v>12</v>
      </c>
      <c r="M5056" s="182" t="n">
        <v>0</v>
      </c>
      <c r="N5056" s="182" t="n">
        <v>0</v>
      </c>
      <c r="O5056" s="183" t="n">
        <v>0</v>
      </c>
      <c r="P5056" s="183" t="n">
        <v>0</v>
      </c>
      <c r="Q5056" s="184" t="n">
        <v>0</v>
      </c>
      <c r="R5056" s="184" t="n">
        <v>0</v>
      </c>
      <c r="S5056" s="183" t="n">
        <v>0</v>
      </c>
      <c r="T5056" s="183" t="n">
        <v>0</v>
      </c>
      <c r="U5056" s="182" t="n">
        <v>0</v>
      </c>
      <c r="V5056" s="182" t="n">
        <v>0</v>
      </c>
      <c r="W5056" s="182" t="n">
        <v>0</v>
      </c>
      <c r="X5056" s="182" t="n">
        <v>0</v>
      </c>
      <c r="Y5056" s="182" t="n">
        <v>0</v>
      </c>
      <c r="Z5056" s="182" t="n">
        <v>0</v>
      </c>
      <c r="AA5056" s="182" t="n">
        <v>0</v>
      </c>
      <c r="AB5056" s="182" t="n">
        <v>0</v>
      </c>
      <c r="AC5056" s="182" t="n">
        <v>0</v>
      </c>
      <c r="AD5056" s="182" t="n">
        <v>0</v>
      </c>
      <c r="AE5056" s="182" t="n">
        <v>0</v>
      </c>
      <c r="AF5056" s="182" t="n">
        <v>0</v>
      </c>
      <c r="AG5056" s="182" t="n">
        <v>0</v>
      </c>
      <c r="AH5056" s="182" t="n">
        <v>0</v>
      </c>
      <c r="AI5056" s="182" t="n">
        <v>0</v>
      </c>
      <c r="AJ5056" s="182" t="n">
        <v>0</v>
      </c>
      <c r="AK5056" s="182" t="n">
        <v>0</v>
      </c>
      <c r="AL5056" s="182" t="n">
        <v>0</v>
      </c>
      <c r="AM5056" s="182" t="n">
        <v>0</v>
      </c>
      <c r="AN5056" s="182" t="n">
        <v>0</v>
      </c>
    </row>
    <row r="5057">
      <c r="A5057" s="155" t="n">
        <v>46104</v>
      </c>
      <c r="B5057" s="156" t="inlineStr">
        <is>
          <t>NS</t>
        </is>
      </c>
      <c r="C5057" s="156" t="inlineStr">
        <is>
          <t>WL-025</t>
        </is>
      </c>
      <c r="D5057" s="156" t="inlineStr">
        <is>
          <t>SANY - Loader</t>
        </is>
      </c>
      <c r="E5057" s="156" t="inlineStr">
        <is>
          <t>Loader</t>
        </is>
      </c>
      <c r="F5057" s="156" t="inlineStr"/>
      <c r="G5057" s="182" t="n">
        <v>0</v>
      </c>
      <c r="H5057" s="182" t="n">
        <v>0</v>
      </c>
      <c r="I5057" s="182" t="n">
        <v>0</v>
      </c>
      <c r="J5057" s="182" t="n">
        <v>0</v>
      </c>
      <c r="K5057" s="182" t="n">
        <v>12</v>
      </c>
      <c r="L5057" s="182" t="n">
        <v>12</v>
      </c>
      <c r="M5057" s="182" t="n">
        <v>0</v>
      </c>
      <c r="N5057" s="182" t="n">
        <v>0</v>
      </c>
      <c r="O5057" s="183" t="n">
        <v>0</v>
      </c>
      <c r="P5057" s="183" t="n">
        <v>0</v>
      </c>
      <c r="Q5057" s="184" t="n">
        <v>0</v>
      </c>
      <c r="R5057" s="184" t="n">
        <v>0</v>
      </c>
      <c r="S5057" s="183" t="n">
        <v>0</v>
      </c>
      <c r="T5057" s="183" t="n">
        <v>0</v>
      </c>
      <c r="U5057" s="182" t="n">
        <v>0</v>
      </c>
      <c r="V5057" s="182" t="n">
        <v>0</v>
      </c>
      <c r="W5057" s="182" t="n">
        <v>0</v>
      </c>
      <c r="X5057" s="182" t="n">
        <v>1</v>
      </c>
      <c r="Y5057" s="182" t="n">
        <v>0</v>
      </c>
      <c r="Z5057" s="182" t="n">
        <v>0</v>
      </c>
      <c r="AA5057" s="182" t="n">
        <v>0</v>
      </c>
      <c r="AB5057" s="182" t="n">
        <v>0</v>
      </c>
      <c r="AC5057" s="182" t="n">
        <v>0</v>
      </c>
      <c r="AD5057" s="182" t="n">
        <v>0</v>
      </c>
      <c r="AE5057" s="182" t="n">
        <v>0</v>
      </c>
      <c r="AF5057" s="182" t="n">
        <v>0</v>
      </c>
      <c r="AG5057" s="182" t="n">
        <v>0</v>
      </c>
      <c r="AH5057" s="182" t="n">
        <v>0</v>
      </c>
      <c r="AI5057" s="182" t="n">
        <v>0</v>
      </c>
      <c r="AJ5057" s="182" t="n">
        <v>0</v>
      </c>
      <c r="AK5057" s="182" t="n">
        <v>10.92</v>
      </c>
      <c r="AL5057" s="182" t="n">
        <v>0</v>
      </c>
      <c r="AM5057" s="182" t="n">
        <v>0.08</v>
      </c>
      <c r="AN5057" s="182" t="n">
        <v>0</v>
      </c>
    </row>
    <row r="5058">
      <c r="A5058" s="155" t="n">
        <v>46104</v>
      </c>
      <c r="B5058" s="156" t="inlineStr">
        <is>
          <t>NS</t>
        </is>
      </c>
      <c r="C5058" s="156" t="inlineStr">
        <is>
          <t>WL-023</t>
        </is>
      </c>
      <c r="D5058" s="156" t="inlineStr">
        <is>
          <t>SANY - Loader</t>
        </is>
      </c>
      <c r="E5058" s="156" t="inlineStr">
        <is>
          <t>Loader</t>
        </is>
      </c>
      <c r="F5058" s="156" t="inlineStr"/>
      <c r="G5058" s="182" t="n">
        <v>0</v>
      </c>
      <c r="H5058" s="182" t="n">
        <v>0</v>
      </c>
      <c r="I5058" s="182" t="n">
        <v>0</v>
      </c>
      <c r="J5058" s="182" t="n">
        <v>0</v>
      </c>
      <c r="K5058" s="182" t="n">
        <v>12</v>
      </c>
      <c r="L5058" s="182" t="n">
        <v>12</v>
      </c>
      <c r="M5058" s="182" t="n">
        <v>0</v>
      </c>
      <c r="N5058" s="182" t="n">
        <v>0</v>
      </c>
      <c r="O5058" s="183" t="n">
        <v>0</v>
      </c>
      <c r="P5058" s="183" t="n">
        <v>0</v>
      </c>
      <c r="Q5058" s="184" t="n">
        <v>0</v>
      </c>
      <c r="R5058" s="184" t="n">
        <v>0</v>
      </c>
      <c r="S5058" s="183" t="n">
        <v>0</v>
      </c>
      <c r="T5058" s="183" t="n">
        <v>0</v>
      </c>
      <c r="U5058" s="182" t="n">
        <v>0</v>
      </c>
      <c r="V5058" s="182" t="n">
        <v>0</v>
      </c>
      <c r="W5058" s="182" t="n">
        <v>0</v>
      </c>
      <c r="X5058" s="182" t="n">
        <v>1</v>
      </c>
      <c r="Y5058" s="182" t="n">
        <v>0</v>
      </c>
      <c r="Z5058" s="182" t="n">
        <v>0</v>
      </c>
      <c r="AA5058" s="182" t="n">
        <v>0</v>
      </c>
      <c r="AB5058" s="182" t="n">
        <v>0</v>
      </c>
      <c r="AC5058" s="182" t="n">
        <v>0</v>
      </c>
      <c r="AD5058" s="182" t="n">
        <v>0</v>
      </c>
      <c r="AE5058" s="182" t="n">
        <v>0</v>
      </c>
      <c r="AF5058" s="182" t="n">
        <v>0</v>
      </c>
      <c r="AG5058" s="182" t="n">
        <v>0</v>
      </c>
      <c r="AH5058" s="182" t="n">
        <v>0</v>
      </c>
      <c r="AI5058" s="182" t="n">
        <v>0</v>
      </c>
      <c r="AJ5058" s="182" t="n">
        <v>0</v>
      </c>
      <c r="AK5058" s="182" t="n">
        <v>10.92</v>
      </c>
      <c r="AL5058" s="182" t="n">
        <v>0</v>
      </c>
      <c r="AM5058" s="182" t="n">
        <v>0.08</v>
      </c>
      <c r="AN5058" s="182" t="n">
        <v>0</v>
      </c>
    </row>
    <row r="5059">
      <c r="A5059" s="155" t="n">
        <v>46104</v>
      </c>
      <c r="B5059" s="156" t="inlineStr">
        <is>
          <t>NS</t>
        </is>
      </c>
      <c r="C5059" s="156" t="inlineStr">
        <is>
          <t>WL-021</t>
        </is>
      </c>
      <c r="D5059" s="156" t="inlineStr">
        <is>
          <t>SANY - Loader</t>
        </is>
      </c>
      <c r="E5059" s="156" t="inlineStr">
        <is>
          <t>Loader</t>
        </is>
      </c>
      <c r="F5059" s="156" t="inlineStr"/>
      <c r="G5059" s="182" t="n">
        <v>0</v>
      </c>
      <c r="H5059" s="182" t="n">
        <v>0</v>
      </c>
      <c r="I5059" s="182" t="n">
        <v>12</v>
      </c>
      <c r="J5059" s="182" t="n">
        <v>12</v>
      </c>
      <c r="K5059" s="182" t="n">
        <v>0</v>
      </c>
      <c r="L5059" s="182" t="n">
        <v>12</v>
      </c>
      <c r="M5059" s="182" t="n">
        <v>0</v>
      </c>
      <c r="N5059" s="182" t="n">
        <v>0</v>
      </c>
      <c r="O5059" s="183" t="n">
        <v>0</v>
      </c>
      <c r="P5059" s="183" t="n">
        <v>0</v>
      </c>
      <c r="Q5059" s="184" t="n">
        <v>0</v>
      </c>
      <c r="R5059" s="184" t="n">
        <v>0</v>
      </c>
      <c r="S5059" s="183" t="n">
        <v>0</v>
      </c>
      <c r="T5059" s="183" t="n">
        <v>0</v>
      </c>
      <c r="U5059" s="182" t="n">
        <v>0</v>
      </c>
      <c r="V5059" s="182" t="n">
        <v>0</v>
      </c>
      <c r="W5059" s="182" t="n">
        <v>0</v>
      </c>
      <c r="X5059" s="182" t="n">
        <v>0</v>
      </c>
      <c r="Y5059" s="182" t="n">
        <v>0</v>
      </c>
      <c r="Z5059" s="182" t="n">
        <v>0</v>
      </c>
      <c r="AA5059" s="182" t="n">
        <v>0</v>
      </c>
      <c r="AB5059" s="182" t="n">
        <v>0</v>
      </c>
      <c r="AC5059" s="182" t="n">
        <v>0</v>
      </c>
      <c r="AD5059" s="182" t="n">
        <v>0</v>
      </c>
      <c r="AE5059" s="182" t="n">
        <v>0</v>
      </c>
      <c r="AF5059" s="182" t="n">
        <v>0</v>
      </c>
      <c r="AG5059" s="182" t="n">
        <v>0</v>
      </c>
      <c r="AH5059" s="182" t="n">
        <v>0</v>
      </c>
      <c r="AI5059" s="182" t="n">
        <v>0</v>
      </c>
      <c r="AJ5059" s="182" t="n">
        <v>0</v>
      </c>
      <c r="AK5059" s="182" t="n">
        <v>0</v>
      </c>
      <c r="AL5059" s="182" t="n">
        <v>0</v>
      </c>
      <c r="AM5059" s="182" t="n">
        <v>0</v>
      </c>
      <c r="AN5059" s="182" t="n">
        <v>0</v>
      </c>
    </row>
    <row r="5060">
      <c r="A5060" s="155" t="n">
        <v>46104</v>
      </c>
      <c r="B5060" s="156" t="inlineStr">
        <is>
          <t>NS</t>
        </is>
      </c>
      <c r="C5060" s="156" t="inlineStr">
        <is>
          <t>WL-022</t>
        </is>
      </c>
      <c r="D5060" s="156" t="inlineStr">
        <is>
          <t>SANY - Loader</t>
        </is>
      </c>
      <c r="E5060" s="156" t="inlineStr">
        <is>
          <t>Loader</t>
        </is>
      </c>
      <c r="F5060" s="156" t="inlineStr">
        <is>
          <t>Support Washing Plant</t>
        </is>
      </c>
      <c r="G5060" s="182" t="n">
        <v>10.84</v>
      </c>
      <c r="H5060" s="182" t="n">
        <v>0</v>
      </c>
      <c r="I5060" s="182" t="n">
        <v>0</v>
      </c>
      <c r="J5060" s="182" t="n">
        <v>0</v>
      </c>
      <c r="K5060" s="182" t="n">
        <v>1.16</v>
      </c>
      <c r="L5060" s="182" t="n">
        <v>12</v>
      </c>
      <c r="M5060" s="182" t="n">
        <v>0</v>
      </c>
      <c r="N5060" s="182" t="n">
        <v>0</v>
      </c>
      <c r="O5060" s="183" t="n">
        <v>0</v>
      </c>
      <c r="P5060" s="183" t="n">
        <v>0</v>
      </c>
      <c r="Q5060" s="184" t="n">
        <v>0</v>
      </c>
      <c r="R5060" s="184" t="n">
        <v>0</v>
      </c>
      <c r="S5060" s="183" t="n">
        <v>0</v>
      </c>
      <c r="T5060" s="183" t="n">
        <v>0</v>
      </c>
      <c r="U5060" s="182" t="n">
        <v>0</v>
      </c>
      <c r="V5060" s="182" t="n">
        <v>0</v>
      </c>
      <c r="W5060" s="182" t="n">
        <v>0</v>
      </c>
      <c r="X5060" s="182" t="n">
        <v>1.05</v>
      </c>
      <c r="Y5060" s="182" t="n">
        <v>0</v>
      </c>
      <c r="Z5060" s="182" t="n">
        <v>0</v>
      </c>
      <c r="AA5060" s="182" t="n">
        <v>0</v>
      </c>
      <c r="AB5060" s="182" t="n">
        <v>0</v>
      </c>
      <c r="AC5060" s="182" t="n">
        <v>0</v>
      </c>
      <c r="AD5060" s="182" t="n">
        <v>0</v>
      </c>
      <c r="AE5060" s="182" t="n">
        <v>0</v>
      </c>
      <c r="AF5060" s="182" t="n">
        <v>0</v>
      </c>
      <c r="AG5060" s="182" t="n">
        <v>0</v>
      </c>
      <c r="AH5060" s="182" t="n">
        <v>0.02</v>
      </c>
      <c r="AI5060" s="182" t="n">
        <v>0</v>
      </c>
      <c r="AJ5060" s="182" t="n">
        <v>0</v>
      </c>
      <c r="AK5060" s="182" t="n">
        <v>0</v>
      </c>
      <c r="AL5060" s="182" t="n">
        <v>0</v>
      </c>
      <c r="AM5060" s="182" t="n">
        <v>0.08</v>
      </c>
      <c r="AN5060" s="182" t="n">
        <v>0</v>
      </c>
    </row>
    <row r="5061">
      <c r="A5061" s="155" t="n">
        <v>46104</v>
      </c>
      <c r="B5061" s="156" t="inlineStr">
        <is>
          <t>NS</t>
        </is>
      </c>
      <c r="C5061" s="156" t="inlineStr">
        <is>
          <t>WL-024</t>
        </is>
      </c>
      <c r="D5061" s="156" t="inlineStr">
        <is>
          <t>SANY - Loader</t>
        </is>
      </c>
      <c r="E5061" s="156" t="inlineStr">
        <is>
          <t>Loader</t>
        </is>
      </c>
      <c r="F5061" s="156" t="inlineStr">
        <is>
          <t>Support Washing Plant</t>
        </is>
      </c>
      <c r="G5061" s="182" t="n">
        <v>9.26</v>
      </c>
      <c r="H5061" s="182" t="n">
        <v>0</v>
      </c>
      <c r="I5061" s="182" t="n">
        <v>1.2</v>
      </c>
      <c r="J5061" s="182" t="n">
        <v>1.2</v>
      </c>
      <c r="K5061" s="182" t="n">
        <v>1.54</v>
      </c>
      <c r="L5061" s="182" t="n">
        <v>12</v>
      </c>
      <c r="M5061" s="182" t="n">
        <v>0</v>
      </c>
      <c r="N5061" s="182" t="n">
        <v>0</v>
      </c>
      <c r="O5061" s="183" t="n">
        <v>0</v>
      </c>
      <c r="P5061" s="183" t="n">
        <v>0</v>
      </c>
      <c r="Q5061" s="184" t="n">
        <v>0</v>
      </c>
      <c r="R5061" s="184" t="n">
        <v>0</v>
      </c>
      <c r="S5061" s="183" t="n">
        <v>0</v>
      </c>
      <c r="T5061" s="183" t="n">
        <v>0</v>
      </c>
      <c r="U5061" s="182" t="n">
        <v>0</v>
      </c>
      <c r="V5061" s="182" t="n">
        <v>0</v>
      </c>
      <c r="W5061" s="182" t="n">
        <v>0</v>
      </c>
      <c r="X5061" s="182" t="n">
        <v>1.03</v>
      </c>
      <c r="Y5061" s="182" t="n">
        <v>0</v>
      </c>
      <c r="Z5061" s="182" t="n">
        <v>0</v>
      </c>
      <c r="AA5061" s="182" t="n">
        <v>0</v>
      </c>
      <c r="AB5061" s="182" t="n">
        <v>0</v>
      </c>
      <c r="AC5061" s="182" t="n">
        <v>0</v>
      </c>
      <c r="AD5061" s="182" t="n">
        <v>0</v>
      </c>
      <c r="AE5061" s="182" t="n">
        <v>0</v>
      </c>
      <c r="AF5061" s="182" t="n">
        <v>0</v>
      </c>
      <c r="AG5061" s="182" t="n">
        <v>0</v>
      </c>
      <c r="AH5061" s="182" t="n">
        <v>0.43</v>
      </c>
      <c r="AI5061" s="182" t="n">
        <v>0</v>
      </c>
      <c r="AJ5061" s="182" t="n">
        <v>0</v>
      </c>
      <c r="AK5061" s="182" t="n">
        <v>0</v>
      </c>
      <c r="AL5061" s="182" t="n">
        <v>0</v>
      </c>
      <c r="AM5061" s="182" t="n">
        <v>0.08</v>
      </c>
      <c r="AN5061" s="182" t="n">
        <v>0</v>
      </c>
    </row>
    <row r="5062">
      <c r="A5062" s="155" t="n">
        <v>46105</v>
      </c>
      <c r="B5062" s="156" t="inlineStr">
        <is>
          <t>DS</t>
        </is>
      </c>
      <c r="C5062" s="156" t="inlineStr">
        <is>
          <t>DZ-034</t>
        </is>
      </c>
      <c r="D5062" s="156" t="inlineStr">
        <is>
          <t>D 68ESS-12EO</t>
        </is>
      </c>
      <c r="E5062" s="156" t="inlineStr">
        <is>
          <t>Bulldozer</t>
        </is>
      </c>
      <c r="F5062" s="156" t="inlineStr"/>
      <c r="G5062" s="182" t="n">
        <v>0</v>
      </c>
      <c r="H5062" s="182" t="n">
        <v>0</v>
      </c>
      <c r="I5062" s="182" t="n">
        <v>12</v>
      </c>
      <c r="J5062" s="182" t="n">
        <v>12</v>
      </c>
      <c r="K5062" s="182" t="n">
        <v>0</v>
      </c>
      <c r="L5062" s="182" t="n">
        <v>12</v>
      </c>
      <c r="M5062" s="182" t="n">
        <v>0</v>
      </c>
      <c r="N5062" s="182" t="n">
        <v>0</v>
      </c>
      <c r="O5062" s="183" t="n">
        <v>0</v>
      </c>
      <c r="P5062" s="183" t="n">
        <v>0</v>
      </c>
      <c r="Q5062" s="184" t="n">
        <v>0</v>
      </c>
      <c r="R5062" s="184" t="n">
        <v>0</v>
      </c>
      <c r="S5062" s="183" t="n">
        <v>0</v>
      </c>
      <c r="T5062" s="183" t="n">
        <v>0</v>
      </c>
      <c r="U5062" s="182" t="n">
        <v>0</v>
      </c>
      <c r="V5062" s="182" t="n">
        <v>0</v>
      </c>
      <c r="W5062" s="182" t="n">
        <v>0</v>
      </c>
      <c r="X5062" s="182" t="n">
        <v>0</v>
      </c>
      <c r="Y5062" s="182" t="n">
        <v>0</v>
      </c>
      <c r="Z5062" s="182" t="n">
        <v>0</v>
      </c>
      <c r="AA5062" s="182" t="n">
        <v>0</v>
      </c>
      <c r="AB5062" s="182" t="n">
        <v>0</v>
      </c>
      <c r="AC5062" s="182" t="n">
        <v>0</v>
      </c>
      <c r="AD5062" s="182" t="n">
        <v>0</v>
      </c>
      <c r="AE5062" s="182" t="n">
        <v>0</v>
      </c>
      <c r="AF5062" s="182" t="n">
        <v>0</v>
      </c>
      <c r="AG5062" s="182" t="n">
        <v>0</v>
      </c>
      <c r="AH5062" s="182" t="n">
        <v>0</v>
      </c>
      <c r="AI5062" s="182" t="n">
        <v>0</v>
      </c>
      <c r="AJ5062" s="182" t="n">
        <v>0</v>
      </c>
      <c r="AK5062" s="182" t="n">
        <v>0</v>
      </c>
      <c r="AL5062" s="182" t="n">
        <v>0</v>
      </c>
      <c r="AM5062" s="182" t="n">
        <v>0</v>
      </c>
      <c r="AN5062" s="182" t="n">
        <v>0</v>
      </c>
    </row>
    <row r="5063">
      <c r="A5063" s="155" t="n">
        <v>46105</v>
      </c>
      <c r="B5063" s="156" t="inlineStr">
        <is>
          <t>DS</t>
        </is>
      </c>
      <c r="C5063" s="156" t="inlineStr">
        <is>
          <t>DZ-033</t>
        </is>
      </c>
      <c r="D5063" s="156" t="inlineStr">
        <is>
          <t>D 375A-6R</t>
        </is>
      </c>
      <c r="E5063" s="156" t="inlineStr">
        <is>
          <t>Bulldozer</t>
        </is>
      </c>
      <c r="F5063" s="156" t="inlineStr">
        <is>
          <t>Support Disposal</t>
        </is>
      </c>
      <c r="G5063" s="182" t="n">
        <v>10.81</v>
      </c>
      <c r="H5063" s="182" t="n">
        <v>0</v>
      </c>
      <c r="I5063" s="182" t="n">
        <v>0</v>
      </c>
      <c r="J5063" s="182" t="n">
        <v>0</v>
      </c>
      <c r="K5063" s="182" t="n">
        <v>1.19</v>
      </c>
      <c r="L5063" s="182" t="n">
        <v>12</v>
      </c>
      <c r="M5063" s="182" t="n">
        <v>0</v>
      </c>
      <c r="N5063" s="182" t="n">
        <v>0</v>
      </c>
      <c r="O5063" s="183" t="n">
        <v>0</v>
      </c>
      <c r="P5063" s="183" t="n">
        <v>0</v>
      </c>
      <c r="Q5063" s="184" t="n">
        <v>0</v>
      </c>
      <c r="R5063" s="184" t="n">
        <v>0</v>
      </c>
      <c r="S5063" s="183" t="n">
        <v>0</v>
      </c>
      <c r="T5063" s="183" t="n">
        <v>0</v>
      </c>
      <c r="U5063" s="182" t="n">
        <v>0</v>
      </c>
      <c r="V5063" s="182" t="n">
        <v>0</v>
      </c>
      <c r="W5063" s="182" t="n">
        <v>0</v>
      </c>
      <c r="X5063" s="182" t="n">
        <v>0</v>
      </c>
      <c r="Y5063" s="182" t="n">
        <v>0</v>
      </c>
      <c r="Z5063" s="182" t="n">
        <v>0</v>
      </c>
      <c r="AA5063" s="182" t="n">
        <v>0</v>
      </c>
      <c r="AB5063" s="182" t="n">
        <v>0</v>
      </c>
      <c r="AC5063" s="182" t="n">
        <v>0</v>
      </c>
      <c r="AD5063" s="182" t="n">
        <v>0</v>
      </c>
      <c r="AE5063" s="182" t="n">
        <v>1.09</v>
      </c>
      <c r="AF5063" s="182" t="n">
        <v>0</v>
      </c>
      <c r="AG5063" s="182" t="n">
        <v>0</v>
      </c>
      <c r="AH5063" s="182" t="n">
        <v>0</v>
      </c>
      <c r="AI5063" s="182" t="n">
        <v>0</v>
      </c>
      <c r="AJ5063" s="182" t="n">
        <v>0</v>
      </c>
      <c r="AK5063" s="182" t="n">
        <v>0</v>
      </c>
      <c r="AL5063" s="182" t="n">
        <v>0</v>
      </c>
      <c r="AM5063" s="182" t="n">
        <v>0.1</v>
      </c>
      <c r="AN5063" s="182" t="n">
        <v>0</v>
      </c>
    </row>
    <row r="5064">
      <c r="A5064" s="155" t="n">
        <v>46105</v>
      </c>
      <c r="B5064" s="156" t="inlineStr">
        <is>
          <t>DS</t>
        </is>
      </c>
      <c r="C5064" s="156" t="inlineStr">
        <is>
          <t>DZ-038</t>
        </is>
      </c>
      <c r="D5064" s="156" t="inlineStr">
        <is>
          <t>D 85 ESS-2</t>
        </is>
      </c>
      <c r="E5064" s="156" t="inlineStr">
        <is>
          <t>Bulldozer</t>
        </is>
      </c>
      <c r="F5064" s="156" t="inlineStr"/>
      <c r="G5064" s="182" t="n">
        <v>0</v>
      </c>
      <c r="H5064" s="182" t="n">
        <v>0</v>
      </c>
      <c r="I5064" s="182" t="n">
        <v>12</v>
      </c>
      <c r="J5064" s="182" t="n">
        <v>12</v>
      </c>
      <c r="K5064" s="182" t="n">
        <v>0</v>
      </c>
      <c r="L5064" s="182" t="n">
        <v>12</v>
      </c>
      <c r="M5064" s="182" t="n">
        <v>0</v>
      </c>
      <c r="N5064" s="182" t="n">
        <v>0</v>
      </c>
      <c r="O5064" s="183" t="n">
        <v>0</v>
      </c>
      <c r="P5064" s="183" t="n">
        <v>0</v>
      </c>
      <c r="Q5064" s="184" t="n">
        <v>0</v>
      </c>
      <c r="R5064" s="184" t="n">
        <v>0</v>
      </c>
      <c r="S5064" s="183" t="n">
        <v>0</v>
      </c>
      <c r="T5064" s="183" t="n">
        <v>0</v>
      </c>
      <c r="U5064" s="182" t="n">
        <v>0</v>
      </c>
      <c r="V5064" s="182" t="n">
        <v>0</v>
      </c>
      <c r="W5064" s="182" t="n">
        <v>0</v>
      </c>
      <c r="X5064" s="182" t="n">
        <v>0</v>
      </c>
      <c r="Y5064" s="182" t="n">
        <v>0</v>
      </c>
      <c r="Z5064" s="182" t="n">
        <v>0</v>
      </c>
      <c r="AA5064" s="182" t="n">
        <v>0</v>
      </c>
      <c r="AB5064" s="182" t="n">
        <v>0</v>
      </c>
      <c r="AC5064" s="182" t="n">
        <v>0</v>
      </c>
      <c r="AD5064" s="182" t="n">
        <v>0</v>
      </c>
      <c r="AE5064" s="182" t="n">
        <v>0</v>
      </c>
      <c r="AF5064" s="182" t="n">
        <v>0</v>
      </c>
      <c r="AG5064" s="182" t="n">
        <v>0</v>
      </c>
      <c r="AH5064" s="182" t="n">
        <v>0</v>
      </c>
      <c r="AI5064" s="182" t="n">
        <v>0</v>
      </c>
      <c r="AJ5064" s="182" t="n">
        <v>0</v>
      </c>
      <c r="AK5064" s="182" t="n">
        <v>0</v>
      </c>
      <c r="AL5064" s="182" t="n">
        <v>0</v>
      </c>
      <c r="AM5064" s="182" t="n">
        <v>0</v>
      </c>
      <c r="AN5064" s="182" t="n">
        <v>0</v>
      </c>
    </row>
    <row r="5065">
      <c r="A5065" s="155" t="n">
        <v>46105</v>
      </c>
      <c r="B5065" s="156" t="inlineStr">
        <is>
          <t>DS</t>
        </is>
      </c>
      <c r="C5065" s="156" t="inlineStr">
        <is>
          <t>DZ-039</t>
        </is>
      </c>
      <c r="D5065" s="156" t="inlineStr">
        <is>
          <t>D 85 ESS-2</t>
        </is>
      </c>
      <c r="E5065" s="156" t="inlineStr">
        <is>
          <t>Bulldozer</t>
        </is>
      </c>
      <c r="F5065" s="156" t="inlineStr">
        <is>
          <t>Support Disposal</t>
        </is>
      </c>
      <c r="G5065" s="182" t="n">
        <v>5.53</v>
      </c>
      <c r="H5065" s="182" t="n">
        <v>0</v>
      </c>
      <c r="I5065" s="182" t="n">
        <v>0</v>
      </c>
      <c r="J5065" s="182" t="n">
        <v>0</v>
      </c>
      <c r="K5065" s="182" t="n">
        <v>6.47</v>
      </c>
      <c r="L5065" s="182" t="n">
        <v>12</v>
      </c>
      <c r="M5065" s="182" t="n">
        <v>0</v>
      </c>
      <c r="N5065" s="182" t="n">
        <v>0</v>
      </c>
      <c r="O5065" s="183" t="n">
        <v>0</v>
      </c>
      <c r="P5065" s="183" t="n">
        <v>0</v>
      </c>
      <c r="Q5065" s="184" t="n">
        <v>0</v>
      </c>
      <c r="R5065" s="184" t="n">
        <v>0</v>
      </c>
      <c r="S5065" s="183" t="n">
        <v>0</v>
      </c>
      <c r="T5065" s="183" t="n">
        <v>0</v>
      </c>
      <c r="U5065" s="182" t="n">
        <v>0</v>
      </c>
      <c r="V5065" s="182" t="n">
        <v>0</v>
      </c>
      <c r="W5065" s="182" t="n">
        <v>0</v>
      </c>
      <c r="X5065" s="182" t="n">
        <v>1.08</v>
      </c>
      <c r="Y5065" s="182" t="n">
        <v>0</v>
      </c>
      <c r="Z5065" s="182" t="n">
        <v>0</v>
      </c>
      <c r="AA5065" s="182" t="n">
        <v>0</v>
      </c>
      <c r="AB5065" s="182" t="n">
        <v>0</v>
      </c>
      <c r="AC5065" s="182" t="n">
        <v>0</v>
      </c>
      <c r="AD5065" s="182" t="n">
        <v>0</v>
      </c>
      <c r="AE5065" s="182" t="n">
        <v>0</v>
      </c>
      <c r="AF5065" s="182" t="n">
        <v>0</v>
      </c>
      <c r="AG5065" s="182" t="n">
        <v>0</v>
      </c>
      <c r="AH5065" s="182" t="n">
        <v>0</v>
      </c>
      <c r="AI5065" s="182" t="n">
        <v>0</v>
      </c>
      <c r="AJ5065" s="182" t="n">
        <v>0</v>
      </c>
      <c r="AK5065" s="182" t="n">
        <v>5.31</v>
      </c>
      <c r="AL5065" s="182" t="n">
        <v>0</v>
      </c>
      <c r="AM5065" s="182" t="n">
        <v>0.09</v>
      </c>
      <c r="AN5065" s="182" t="n">
        <v>0</v>
      </c>
    </row>
    <row r="5066">
      <c r="A5066" s="155" t="n">
        <v>46105</v>
      </c>
      <c r="B5066" s="156" t="inlineStr">
        <is>
          <t>DS</t>
        </is>
      </c>
      <c r="C5066" s="156" t="inlineStr">
        <is>
          <t>DZ-032</t>
        </is>
      </c>
      <c r="D5066" s="156" t="inlineStr">
        <is>
          <t>CAT</t>
        </is>
      </c>
      <c r="E5066" s="156" t="inlineStr">
        <is>
          <t>Bulldozer</t>
        </is>
      </c>
      <c r="F5066" s="156" t="inlineStr"/>
      <c r="G5066" s="182" t="n">
        <v>0</v>
      </c>
      <c r="H5066" s="182" t="n">
        <v>0</v>
      </c>
      <c r="I5066" s="182" t="n">
        <v>12</v>
      </c>
      <c r="J5066" s="182" t="n">
        <v>12</v>
      </c>
      <c r="K5066" s="182" t="n">
        <v>0</v>
      </c>
      <c r="L5066" s="182" t="n">
        <v>12</v>
      </c>
      <c r="M5066" s="182" t="n">
        <v>0</v>
      </c>
      <c r="N5066" s="182" t="n">
        <v>0</v>
      </c>
      <c r="O5066" s="183" t="n">
        <v>0</v>
      </c>
      <c r="P5066" s="183" t="n">
        <v>0</v>
      </c>
      <c r="Q5066" s="184" t="n">
        <v>0</v>
      </c>
      <c r="R5066" s="184" t="n">
        <v>0</v>
      </c>
      <c r="S5066" s="183" t="n">
        <v>0</v>
      </c>
      <c r="T5066" s="183" t="n">
        <v>0</v>
      </c>
      <c r="U5066" s="182" t="n">
        <v>0</v>
      </c>
      <c r="V5066" s="182" t="n">
        <v>0</v>
      </c>
      <c r="W5066" s="182" t="n">
        <v>0</v>
      </c>
      <c r="X5066" s="182" t="n">
        <v>0</v>
      </c>
      <c r="Y5066" s="182" t="n">
        <v>0</v>
      </c>
      <c r="Z5066" s="182" t="n">
        <v>0</v>
      </c>
      <c r="AA5066" s="182" t="n">
        <v>0</v>
      </c>
      <c r="AB5066" s="182" t="n">
        <v>0</v>
      </c>
      <c r="AC5066" s="182" t="n">
        <v>0</v>
      </c>
      <c r="AD5066" s="182" t="n">
        <v>0</v>
      </c>
      <c r="AE5066" s="182" t="n">
        <v>0</v>
      </c>
      <c r="AF5066" s="182" t="n">
        <v>0</v>
      </c>
      <c r="AG5066" s="182" t="n">
        <v>0</v>
      </c>
      <c r="AH5066" s="182" t="n">
        <v>0</v>
      </c>
      <c r="AI5066" s="182" t="n">
        <v>0</v>
      </c>
      <c r="AJ5066" s="182" t="n">
        <v>0</v>
      </c>
      <c r="AK5066" s="182" t="n">
        <v>0</v>
      </c>
      <c r="AL5066" s="182" t="n">
        <v>0</v>
      </c>
      <c r="AM5066" s="182" t="n">
        <v>0</v>
      </c>
      <c r="AN5066" s="182" t="n">
        <v>0</v>
      </c>
    </row>
    <row r="5067">
      <c r="A5067" s="155" t="n">
        <v>46105</v>
      </c>
      <c r="B5067" s="156" t="inlineStr">
        <is>
          <t>DS</t>
        </is>
      </c>
      <c r="C5067" s="156" t="inlineStr">
        <is>
          <t>DZ-031</t>
        </is>
      </c>
      <c r="D5067" s="156" t="inlineStr">
        <is>
          <t>CAT</t>
        </is>
      </c>
      <c r="E5067" s="156" t="inlineStr">
        <is>
          <t>Bulldozer</t>
        </is>
      </c>
      <c r="F5067" s="156" t="inlineStr">
        <is>
          <t>Support Front Loading</t>
        </is>
      </c>
      <c r="G5067" s="182" t="n">
        <v>11.05</v>
      </c>
      <c r="H5067" s="182" t="n">
        <v>0</v>
      </c>
      <c r="I5067" s="182" t="n">
        <v>0</v>
      </c>
      <c r="J5067" s="182" t="n">
        <v>0</v>
      </c>
      <c r="K5067" s="182" t="n">
        <v>0.95</v>
      </c>
      <c r="L5067" s="182" t="n">
        <v>12</v>
      </c>
      <c r="M5067" s="182" t="n">
        <v>0</v>
      </c>
      <c r="N5067" s="182" t="n">
        <v>0</v>
      </c>
      <c r="O5067" s="183" t="n">
        <v>0</v>
      </c>
      <c r="P5067" s="183" t="n">
        <v>0</v>
      </c>
      <c r="Q5067" s="184" t="n">
        <v>0</v>
      </c>
      <c r="R5067" s="184" t="n">
        <v>0</v>
      </c>
      <c r="S5067" s="183" t="n">
        <v>0</v>
      </c>
      <c r="T5067" s="183" t="n">
        <v>0</v>
      </c>
      <c r="U5067" s="182" t="n">
        <v>0</v>
      </c>
      <c r="V5067" s="182" t="n">
        <v>0</v>
      </c>
      <c r="W5067" s="182" t="n">
        <v>0</v>
      </c>
      <c r="X5067" s="182" t="n">
        <v>0.87</v>
      </c>
      <c r="Y5067" s="182" t="n">
        <v>0</v>
      </c>
      <c r="Z5067" s="182" t="n">
        <v>0</v>
      </c>
      <c r="AA5067" s="182" t="n">
        <v>0</v>
      </c>
      <c r="AB5067" s="182" t="n">
        <v>0</v>
      </c>
      <c r="AC5067" s="182" t="n">
        <v>0</v>
      </c>
      <c r="AD5067" s="182" t="n">
        <v>0</v>
      </c>
      <c r="AE5067" s="182" t="n">
        <v>0</v>
      </c>
      <c r="AF5067" s="182" t="n">
        <v>0</v>
      </c>
      <c r="AG5067" s="182" t="n">
        <v>0</v>
      </c>
      <c r="AH5067" s="182" t="n">
        <v>0</v>
      </c>
      <c r="AI5067" s="182" t="n">
        <v>0</v>
      </c>
      <c r="AJ5067" s="182" t="n">
        <v>0</v>
      </c>
      <c r="AK5067" s="182" t="n">
        <v>0</v>
      </c>
      <c r="AL5067" s="182" t="n">
        <v>0</v>
      </c>
      <c r="AM5067" s="182" t="n">
        <v>0.08</v>
      </c>
      <c r="AN5067" s="182" t="n">
        <v>0</v>
      </c>
    </row>
    <row r="5068">
      <c r="A5068" s="155" t="n">
        <v>46105</v>
      </c>
      <c r="B5068" s="156" t="inlineStr">
        <is>
          <t>DS</t>
        </is>
      </c>
      <c r="C5068" s="156" t="inlineStr">
        <is>
          <t>DZ-037</t>
        </is>
      </c>
      <c r="D5068" s="156" t="inlineStr">
        <is>
          <t>D 85 ESS-2</t>
        </is>
      </c>
      <c r="E5068" s="156" t="inlineStr">
        <is>
          <t>Bulldozer</t>
        </is>
      </c>
      <c r="F5068" s="156" t="inlineStr"/>
      <c r="G5068" s="182" t="n">
        <v>0</v>
      </c>
      <c r="H5068" s="182" t="n">
        <v>0</v>
      </c>
      <c r="I5068" s="182" t="n">
        <v>12</v>
      </c>
      <c r="J5068" s="182" t="n">
        <v>12</v>
      </c>
      <c r="K5068" s="182" t="n">
        <v>0</v>
      </c>
      <c r="L5068" s="182" t="n">
        <v>12</v>
      </c>
      <c r="M5068" s="182" t="n">
        <v>0</v>
      </c>
      <c r="N5068" s="182" t="n">
        <v>0</v>
      </c>
      <c r="O5068" s="183" t="n">
        <v>0</v>
      </c>
      <c r="P5068" s="183" t="n">
        <v>0</v>
      </c>
      <c r="Q5068" s="184" t="n">
        <v>0</v>
      </c>
      <c r="R5068" s="184" t="n">
        <v>0</v>
      </c>
      <c r="S5068" s="183" t="n">
        <v>0</v>
      </c>
      <c r="T5068" s="183" t="n">
        <v>0</v>
      </c>
      <c r="U5068" s="182" t="n">
        <v>0</v>
      </c>
      <c r="V5068" s="182" t="n">
        <v>0</v>
      </c>
      <c r="W5068" s="182" t="n">
        <v>0</v>
      </c>
      <c r="X5068" s="182" t="n">
        <v>0</v>
      </c>
      <c r="Y5068" s="182" t="n">
        <v>0</v>
      </c>
      <c r="Z5068" s="182" t="n">
        <v>0</v>
      </c>
      <c r="AA5068" s="182" t="n">
        <v>0</v>
      </c>
      <c r="AB5068" s="182" t="n">
        <v>0</v>
      </c>
      <c r="AC5068" s="182" t="n">
        <v>0</v>
      </c>
      <c r="AD5068" s="182" t="n">
        <v>0</v>
      </c>
      <c r="AE5068" s="182" t="n">
        <v>0</v>
      </c>
      <c r="AF5068" s="182" t="n">
        <v>0</v>
      </c>
      <c r="AG5068" s="182" t="n">
        <v>0</v>
      </c>
      <c r="AH5068" s="182" t="n">
        <v>0</v>
      </c>
      <c r="AI5068" s="182" t="n">
        <v>0</v>
      </c>
      <c r="AJ5068" s="182" t="n">
        <v>0</v>
      </c>
      <c r="AK5068" s="182" t="n">
        <v>0</v>
      </c>
      <c r="AL5068" s="182" t="n">
        <v>0</v>
      </c>
      <c r="AM5068" s="182" t="n">
        <v>0</v>
      </c>
      <c r="AN5068" s="182" t="n">
        <v>0</v>
      </c>
    </row>
    <row r="5069">
      <c r="A5069" s="155" t="n">
        <v>46105</v>
      </c>
      <c r="B5069" s="156" t="inlineStr">
        <is>
          <t>DS</t>
        </is>
      </c>
      <c r="C5069" s="156" t="inlineStr">
        <is>
          <t>DZ-036</t>
        </is>
      </c>
      <c r="D5069" s="156" t="inlineStr">
        <is>
          <t>D 85 ESS-2</t>
        </is>
      </c>
      <c r="E5069" s="156" t="inlineStr">
        <is>
          <t>Bulldozer</t>
        </is>
      </c>
      <c r="F5069" s="156" t="inlineStr">
        <is>
          <t>Support Jetty</t>
        </is>
      </c>
      <c r="G5069" s="182" t="n">
        <v>6.41</v>
      </c>
      <c r="H5069" s="182" t="n">
        <v>0</v>
      </c>
      <c r="I5069" s="182" t="n">
        <v>0</v>
      </c>
      <c r="J5069" s="182" t="n">
        <v>0</v>
      </c>
      <c r="K5069" s="182" t="n">
        <v>5.59</v>
      </c>
      <c r="L5069" s="182" t="n">
        <v>12</v>
      </c>
      <c r="M5069" s="182" t="n">
        <v>0</v>
      </c>
      <c r="N5069" s="182" t="n">
        <v>0</v>
      </c>
      <c r="O5069" s="183" t="n">
        <v>0</v>
      </c>
      <c r="P5069" s="183" t="n">
        <v>0</v>
      </c>
      <c r="Q5069" s="184" t="n">
        <v>0</v>
      </c>
      <c r="R5069" s="184" t="n">
        <v>0</v>
      </c>
      <c r="S5069" s="183" t="n">
        <v>0</v>
      </c>
      <c r="T5069" s="183" t="n">
        <v>0</v>
      </c>
      <c r="U5069" s="182" t="n">
        <v>0</v>
      </c>
      <c r="V5069" s="182" t="n">
        <v>0</v>
      </c>
      <c r="W5069" s="182" t="n">
        <v>0</v>
      </c>
      <c r="X5069" s="182" t="n">
        <v>1</v>
      </c>
      <c r="Y5069" s="182" t="n">
        <v>0</v>
      </c>
      <c r="Z5069" s="182" t="n">
        <v>0</v>
      </c>
      <c r="AA5069" s="182" t="n">
        <v>0</v>
      </c>
      <c r="AB5069" s="182" t="n">
        <v>0</v>
      </c>
      <c r="AC5069" s="182" t="n">
        <v>0</v>
      </c>
      <c r="AD5069" s="182" t="n">
        <v>0</v>
      </c>
      <c r="AE5069" s="182" t="n">
        <v>0</v>
      </c>
      <c r="AF5069" s="182" t="n">
        <v>0</v>
      </c>
      <c r="AG5069" s="182" t="n">
        <v>0</v>
      </c>
      <c r="AH5069" s="182" t="n">
        <v>0</v>
      </c>
      <c r="AI5069" s="182" t="n">
        <v>0</v>
      </c>
      <c r="AJ5069" s="182" t="n">
        <v>0</v>
      </c>
      <c r="AK5069" s="182" t="n">
        <v>4.51</v>
      </c>
      <c r="AL5069" s="182" t="n">
        <v>0</v>
      </c>
      <c r="AM5069" s="182" t="n">
        <v>0.08</v>
      </c>
      <c r="AN5069" s="182" t="n">
        <v>0</v>
      </c>
    </row>
    <row r="5070">
      <c r="A5070" s="155" t="n">
        <v>46105</v>
      </c>
      <c r="B5070" s="156" t="inlineStr">
        <is>
          <t>DS</t>
        </is>
      </c>
      <c r="C5070" s="156" t="inlineStr">
        <is>
          <t>DZ-035</t>
        </is>
      </c>
      <c r="D5070" s="156" t="inlineStr">
        <is>
          <t>D 85 ESS-2</t>
        </is>
      </c>
      <c r="E5070" s="156" t="inlineStr">
        <is>
          <t>Bulldozer</t>
        </is>
      </c>
      <c r="F5070" s="156" t="inlineStr">
        <is>
          <t>Support Front Loading &amp; Disposal</t>
        </is>
      </c>
      <c r="G5070" s="182" t="n">
        <v>8.69</v>
      </c>
      <c r="H5070" s="182" t="n">
        <v>0</v>
      </c>
      <c r="I5070" s="182" t="n">
        <v>2.72</v>
      </c>
      <c r="J5070" s="182" t="n">
        <v>2.72</v>
      </c>
      <c r="K5070" s="182" t="n">
        <v>0.59</v>
      </c>
      <c r="L5070" s="182" t="n">
        <v>12</v>
      </c>
      <c r="M5070" s="182" t="n">
        <v>0</v>
      </c>
      <c r="N5070" s="182" t="n">
        <v>0</v>
      </c>
      <c r="O5070" s="183" t="n">
        <v>0</v>
      </c>
      <c r="P5070" s="183" t="n">
        <v>0</v>
      </c>
      <c r="Q5070" s="184" t="n">
        <v>0</v>
      </c>
      <c r="R5070" s="184" t="n">
        <v>0</v>
      </c>
      <c r="S5070" s="183" t="n">
        <v>0</v>
      </c>
      <c r="T5070" s="183" t="n">
        <v>0</v>
      </c>
      <c r="U5070" s="182" t="n">
        <v>0</v>
      </c>
      <c r="V5070" s="182" t="n">
        <v>0</v>
      </c>
      <c r="W5070" s="182" t="n">
        <v>0</v>
      </c>
      <c r="X5070" s="182" t="n">
        <v>0.52</v>
      </c>
      <c r="Y5070" s="182" t="n">
        <v>0</v>
      </c>
      <c r="Z5070" s="182" t="n">
        <v>0</v>
      </c>
      <c r="AA5070" s="182" t="n">
        <v>0</v>
      </c>
      <c r="AB5070" s="182" t="n">
        <v>0</v>
      </c>
      <c r="AC5070" s="182" t="n">
        <v>0</v>
      </c>
      <c r="AD5070" s="182" t="n">
        <v>0</v>
      </c>
      <c r="AE5070" s="182" t="n">
        <v>0</v>
      </c>
      <c r="AF5070" s="182" t="n">
        <v>0</v>
      </c>
      <c r="AG5070" s="182" t="n">
        <v>0</v>
      </c>
      <c r="AH5070" s="182" t="n">
        <v>0</v>
      </c>
      <c r="AI5070" s="182" t="n">
        <v>0</v>
      </c>
      <c r="AJ5070" s="182" t="n">
        <v>0</v>
      </c>
      <c r="AK5070" s="182" t="n">
        <v>0</v>
      </c>
      <c r="AL5070" s="182" t="n">
        <v>0</v>
      </c>
      <c r="AM5070" s="182" t="n">
        <v>0.07000000000000001</v>
      </c>
      <c r="AN5070" s="182" t="n">
        <v>0</v>
      </c>
    </row>
    <row r="5071">
      <c r="A5071" s="155" t="n">
        <v>46105</v>
      </c>
      <c r="B5071" s="156" t="inlineStr">
        <is>
          <t>DS</t>
        </is>
      </c>
      <c r="C5071" s="156" t="inlineStr">
        <is>
          <t>CP-042</t>
        </is>
      </c>
      <c r="D5071" s="156" t="inlineStr">
        <is>
          <t>SANY - Compactor</t>
        </is>
      </c>
      <c r="E5071" s="156" t="inlineStr">
        <is>
          <t>Compactor</t>
        </is>
      </c>
      <c r="F5071" s="156" t="inlineStr">
        <is>
          <t>Pemadatan Area Jetty</t>
        </is>
      </c>
      <c r="G5071" s="182" t="n">
        <v>4.18</v>
      </c>
      <c r="H5071" s="182" t="n">
        <v>0</v>
      </c>
      <c r="I5071" s="182" t="n">
        <v>0</v>
      </c>
      <c r="J5071" s="182" t="n">
        <v>0</v>
      </c>
      <c r="K5071" s="182" t="n">
        <v>7.82</v>
      </c>
      <c r="L5071" s="182" t="n">
        <v>12</v>
      </c>
      <c r="M5071" s="182" t="n">
        <v>0</v>
      </c>
      <c r="N5071" s="182" t="n">
        <v>0</v>
      </c>
      <c r="O5071" s="183" t="n">
        <v>0</v>
      </c>
      <c r="P5071" s="183" t="n">
        <v>0</v>
      </c>
      <c r="Q5071" s="184" t="n">
        <v>0</v>
      </c>
      <c r="R5071" s="184" t="n">
        <v>0</v>
      </c>
      <c r="S5071" s="183" t="n">
        <v>0</v>
      </c>
      <c r="T5071" s="183" t="n">
        <v>0</v>
      </c>
      <c r="U5071" s="182" t="n">
        <v>0</v>
      </c>
      <c r="V5071" s="182" t="n">
        <v>0</v>
      </c>
      <c r="W5071" s="182" t="n">
        <v>0</v>
      </c>
      <c r="X5071" s="182" t="n">
        <v>0.98</v>
      </c>
      <c r="Y5071" s="182" t="n">
        <v>0</v>
      </c>
      <c r="Z5071" s="182" t="n">
        <v>0</v>
      </c>
      <c r="AA5071" s="182" t="n">
        <v>0</v>
      </c>
      <c r="AB5071" s="182" t="n">
        <v>0</v>
      </c>
      <c r="AC5071" s="182" t="n">
        <v>0</v>
      </c>
      <c r="AD5071" s="182" t="n">
        <v>0</v>
      </c>
      <c r="AE5071" s="182" t="n">
        <v>0</v>
      </c>
      <c r="AF5071" s="182" t="n">
        <v>0</v>
      </c>
      <c r="AG5071" s="182" t="n">
        <v>0</v>
      </c>
      <c r="AH5071" s="182" t="n">
        <v>0</v>
      </c>
      <c r="AI5071" s="182" t="n">
        <v>0</v>
      </c>
      <c r="AJ5071" s="182" t="n">
        <v>0</v>
      </c>
      <c r="AK5071" s="182" t="n">
        <v>6.76</v>
      </c>
      <c r="AL5071" s="182" t="n">
        <v>0</v>
      </c>
      <c r="AM5071" s="182" t="n">
        <v>0.08</v>
      </c>
      <c r="AN5071" s="182" t="n">
        <v>0</v>
      </c>
    </row>
    <row r="5072">
      <c r="A5072" s="155" t="n">
        <v>46105</v>
      </c>
      <c r="B5072" s="156" t="inlineStr">
        <is>
          <t>DS</t>
        </is>
      </c>
      <c r="C5072" s="156" t="inlineStr">
        <is>
          <t>CP-041</t>
        </is>
      </c>
      <c r="D5072" s="156" t="inlineStr">
        <is>
          <t>SANY - Compactor</t>
        </is>
      </c>
      <c r="E5072" s="156" t="inlineStr">
        <is>
          <t>Compactor</t>
        </is>
      </c>
      <c r="F5072" s="156" t="inlineStr">
        <is>
          <t>General Road</t>
        </is>
      </c>
      <c r="G5072" s="182" t="n">
        <v>6.36</v>
      </c>
      <c r="H5072" s="182" t="n">
        <v>0</v>
      </c>
      <c r="I5072" s="182" t="n">
        <v>0</v>
      </c>
      <c r="J5072" s="182" t="n">
        <v>0</v>
      </c>
      <c r="K5072" s="182" t="n">
        <v>5.64</v>
      </c>
      <c r="L5072" s="182" t="n">
        <v>12</v>
      </c>
      <c r="M5072" s="182" t="n">
        <v>0</v>
      </c>
      <c r="N5072" s="182" t="n">
        <v>0</v>
      </c>
      <c r="O5072" s="183" t="n">
        <v>0</v>
      </c>
      <c r="P5072" s="183" t="n">
        <v>0</v>
      </c>
      <c r="Q5072" s="184" t="n">
        <v>0</v>
      </c>
      <c r="R5072" s="184" t="n">
        <v>0</v>
      </c>
      <c r="S5072" s="183" t="n">
        <v>0</v>
      </c>
      <c r="T5072" s="183" t="n">
        <v>0</v>
      </c>
      <c r="U5072" s="182" t="n">
        <v>0</v>
      </c>
      <c r="V5072" s="182" t="n">
        <v>0</v>
      </c>
      <c r="W5072" s="182" t="n">
        <v>0</v>
      </c>
      <c r="X5072" s="182" t="n">
        <v>0.96</v>
      </c>
      <c r="Y5072" s="182" t="n">
        <v>0</v>
      </c>
      <c r="Z5072" s="182" t="n">
        <v>0</v>
      </c>
      <c r="AA5072" s="182" t="n">
        <v>0</v>
      </c>
      <c r="AB5072" s="182" t="n">
        <v>0</v>
      </c>
      <c r="AC5072" s="182" t="n">
        <v>0</v>
      </c>
      <c r="AD5072" s="182" t="n">
        <v>0</v>
      </c>
      <c r="AE5072" s="182" t="n">
        <v>0</v>
      </c>
      <c r="AF5072" s="182" t="n">
        <v>0</v>
      </c>
      <c r="AG5072" s="182" t="n">
        <v>0</v>
      </c>
      <c r="AH5072" s="182" t="n">
        <v>0</v>
      </c>
      <c r="AI5072" s="182" t="n">
        <v>0</v>
      </c>
      <c r="AJ5072" s="182" t="n">
        <v>0</v>
      </c>
      <c r="AK5072" s="182" t="n">
        <v>4.61</v>
      </c>
      <c r="AL5072" s="182" t="n">
        <v>0</v>
      </c>
      <c r="AM5072" s="182" t="n">
        <v>0.08</v>
      </c>
      <c r="AN5072" s="182" t="n">
        <v>0</v>
      </c>
    </row>
    <row r="5073">
      <c r="A5073" s="155" t="n">
        <v>46105</v>
      </c>
      <c r="B5073" s="156" t="inlineStr">
        <is>
          <t>DS</t>
        </is>
      </c>
      <c r="C5073" s="156" t="inlineStr">
        <is>
          <t>HT-418</t>
        </is>
      </c>
      <c r="D5073" s="156" t="inlineStr">
        <is>
          <t>SY430</t>
        </is>
      </c>
      <c r="E5073" s="156" t="inlineStr">
        <is>
          <t>DT Hauling</t>
        </is>
      </c>
      <c r="F5073" s="156" t="inlineStr">
        <is>
          <t>Hauling Coal ke Jetty</t>
        </is>
      </c>
      <c r="G5073" s="182" t="n">
        <v>3.06</v>
      </c>
      <c r="H5073" s="182" t="n">
        <v>0</v>
      </c>
      <c r="I5073" s="182" t="n">
        <v>0</v>
      </c>
      <c r="J5073" s="182" t="n">
        <v>0</v>
      </c>
      <c r="K5073" s="182" t="n">
        <v>8.94</v>
      </c>
      <c r="L5073" s="182" t="n">
        <v>12</v>
      </c>
      <c r="M5073" s="182" t="n">
        <v>0</v>
      </c>
      <c r="N5073" s="182" t="n">
        <v>0</v>
      </c>
      <c r="O5073" s="183" t="n">
        <v>0</v>
      </c>
      <c r="P5073" s="183" t="n">
        <v>0</v>
      </c>
      <c r="Q5073" s="184" t="n">
        <v>0</v>
      </c>
      <c r="R5073" s="184" t="n">
        <v>0</v>
      </c>
      <c r="S5073" s="183" t="n">
        <v>0</v>
      </c>
      <c r="T5073" s="183" t="n">
        <v>0</v>
      </c>
      <c r="U5073" s="182" t="n">
        <v>0</v>
      </c>
      <c r="V5073" s="182" t="n">
        <v>0</v>
      </c>
      <c r="W5073" s="182" t="n">
        <v>0</v>
      </c>
      <c r="X5073" s="182" t="n">
        <v>0.99</v>
      </c>
      <c r="Y5073" s="182" t="n">
        <v>0</v>
      </c>
      <c r="Z5073" s="182" t="n">
        <v>0</v>
      </c>
      <c r="AA5073" s="182" t="n">
        <v>0</v>
      </c>
      <c r="AB5073" s="182" t="n">
        <v>0</v>
      </c>
      <c r="AC5073" s="182" t="n">
        <v>0</v>
      </c>
      <c r="AD5073" s="182" t="n">
        <v>0</v>
      </c>
      <c r="AE5073" s="182" t="n">
        <v>0</v>
      </c>
      <c r="AF5073" s="182" t="n">
        <v>0</v>
      </c>
      <c r="AG5073" s="182" t="n">
        <v>0</v>
      </c>
      <c r="AH5073" s="182" t="n">
        <v>0</v>
      </c>
      <c r="AI5073" s="182" t="n">
        <v>0</v>
      </c>
      <c r="AJ5073" s="182" t="n">
        <v>0</v>
      </c>
      <c r="AK5073" s="182" t="n">
        <v>7.87</v>
      </c>
      <c r="AL5073" s="182" t="n">
        <v>0</v>
      </c>
      <c r="AM5073" s="182" t="n">
        <v>0.08</v>
      </c>
      <c r="AN5073" s="182" t="n">
        <v>0</v>
      </c>
    </row>
    <row r="5074">
      <c r="A5074" s="155" t="n">
        <v>46105</v>
      </c>
      <c r="B5074" s="156" t="inlineStr">
        <is>
          <t>DS</t>
        </is>
      </c>
      <c r="C5074" s="156" t="inlineStr">
        <is>
          <t>HT-404</t>
        </is>
      </c>
      <c r="D5074" s="156" t="inlineStr">
        <is>
          <t>SY430</t>
        </is>
      </c>
      <c r="E5074" s="156" t="inlineStr">
        <is>
          <t>DT Hauling</t>
        </is>
      </c>
      <c r="F5074" s="156" t="inlineStr"/>
      <c r="G5074" s="182" t="n">
        <v>0</v>
      </c>
      <c r="H5074" s="182" t="n">
        <v>6.98</v>
      </c>
      <c r="I5074" s="182" t="n">
        <v>0</v>
      </c>
      <c r="J5074" s="182" t="n">
        <v>6.98</v>
      </c>
      <c r="K5074" s="182" t="n">
        <v>5.02</v>
      </c>
      <c r="L5074" s="182" t="n">
        <v>12</v>
      </c>
      <c r="M5074" s="182" t="n">
        <v>0</v>
      </c>
      <c r="N5074" s="182" t="n">
        <v>0</v>
      </c>
      <c r="O5074" s="183" t="n">
        <v>0</v>
      </c>
      <c r="P5074" s="183" t="n">
        <v>0</v>
      </c>
      <c r="Q5074" s="184" t="n">
        <v>0</v>
      </c>
      <c r="R5074" s="184" t="n">
        <v>0</v>
      </c>
      <c r="S5074" s="183" t="n">
        <v>0</v>
      </c>
      <c r="T5074" s="183" t="n">
        <v>0</v>
      </c>
      <c r="U5074" s="182" t="n">
        <v>0</v>
      </c>
      <c r="V5074" s="182" t="n">
        <v>0</v>
      </c>
      <c r="W5074" s="182" t="n">
        <v>0</v>
      </c>
      <c r="X5074" s="182" t="n">
        <v>1</v>
      </c>
      <c r="Y5074" s="182" t="n">
        <v>0</v>
      </c>
      <c r="Z5074" s="182" t="n">
        <v>0</v>
      </c>
      <c r="AA5074" s="182" t="n">
        <v>0</v>
      </c>
      <c r="AB5074" s="182" t="n">
        <v>0</v>
      </c>
      <c r="AC5074" s="182" t="n">
        <v>0</v>
      </c>
      <c r="AD5074" s="182" t="n">
        <v>0</v>
      </c>
      <c r="AE5074" s="182" t="n">
        <v>0</v>
      </c>
      <c r="AF5074" s="182" t="n">
        <v>0</v>
      </c>
      <c r="AG5074" s="182" t="n">
        <v>0</v>
      </c>
      <c r="AH5074" s="182" t="n">
        <v>0</v>
      </c>
      <c r="AI5074" s="182" t="n">
        <v>0</v>
      </c>
      <c r="AJ5074" s="182" t="n">
        <v>0</v>
      </c>
      <c r="AK5074" s="182" t="n">
        <v>3.93</v>
      </c>
      <c r="AL5074" s="182" t="n">
        <v>0</v>
      </c>
      <c r="AM5074" s="182" t="n">
        <v>0.08</v>
      </c>
      <c r="AN5074" s="182" t="n">
        <v>0</v>
      </c>
    </row>
    <row r="5075">
      <c r="A5075" s="155" t="n">
        <v>46105</v>
      </c>
      <c r="B5075" s="156" t="inlineStr">
        <is>
          <t>DS</t>
        </is>
      </c>
      <c r="C5075" s="156" t="inlineStr">
        <is>
          <t>HT-415</t>
        </is>
      </c>
      <c r="D5075" s="156" t="inlineStr">
        <is>
          <t>SY430</t>
        </is>
      </c>
      <c r="E5075" s="156" t="inlineStr">
        <is>
          <t>DT Hauling</t>
        </is>
      </c>
      <c r="F5075" s="156" t="inlineStr"/>
      <c r="G5075" s="182" t="n">
        <v>0</v>
      </c>
      <c r="H5075" s="182" t="n">
        <v>0</v>
      </c>
      <c r="I5075" s="182" t="n">
        <v>12</v>
      </c>
      <c r="J5075" s="182" t="n">
        <v>12</v>
      </c>
      <c r="K5075" s="182" t="n">
        <v>0</v>
      </c>
      <c r="L5075" s="182" t="n">
        <v>12</v>
      </c>
      <c r="M5075" s="182" t="n">
        <v>0</v>
      </c>
      <c r="N5075" s="182" t="n">
        <v>0</v>
      </c>
      <c r="O5075" s="183" t="n">
        <v>0</v>
      </c>
      <c r="P5075" s="183" t="n">
        <v>0</v>
      </c>
      <c r="Q5075" s="184" t="n">
        <v>0</v>
      </c>
      <c r="R5075" s="184" t="n">
        <v>0</v>
      </c>
      <c r="S5075" s="183" t="n">
        <v>0</v>
      </c>
      <c r="T5075" s="183" t="n">
        <v>0</v>
      </c>
      <c r="U5075" s="182" t="n">
        <v>0</v>
      </c>
      <c r="V5075" s="182" t="n">
        <v>0</v>
      </c>
      <c r="W5075" s="182" t="n">
        <v>0</v>
      </c>
      <c r="X5075" s="182" t="n">
        <v>0</v>
      </c>
      <c r="Y5075" s="182" t="n">
        <v>0</v>
      </c>
      <c r="Z5075" s="182" t="n">
        <v>0</v>
      </c>
      <c r="AA5075" s="182" t="n">
        <v>0</v>
      </c>
      <c r="AB5075" s="182" t="n">
        <v>0</v>
      </c>
      <c r="AC5075" s="182" t="n">
        <v>0</v>
      </c>
      <c r="AD5075" s="182" t="n">
        <v>0</v>
      </c>
      <c r="AE5075" s="182" t="n">
        <v>0</v>
      </c>
      <c r="AF5075" s="182" t="n">
        <v>0</v>
      </c>
      <c r="AG5075" s="182" t="n">
        <v>0</v>
      </c>
      <c r="AH5075" s="182" t="n">
        <v>0</v>
      </c>
      <c r="AI5075" s="182" t="n">
        <v>0</v>
      </c>
      <c r="AJ5075" s="182" t="n">
        <v>0</v>
      </c>
      <c r="AK5075" s="182" t="n">
        <v>0</v>
      </c>
      <c r="AL5075" s="182" t="n">
        <v>0</v>
      </c>
      <c r="AM5075" s="182" t="n">
        <v>0</v>
      </c>
      <c r="AN5075" s="182" t="n">
        <v>0</v>
      </c>
    </row>
    <row r="5076">
      <c r="A5076" s="155" t="n">
        <v>46105</v>
      </c>
      <c r="B5076" s="156" t="inlineStr">
        <is>
          <t>DS</t>
        </is>
      </c>
      <c r="C5076" s="156" t="inlineStr">
        <is>
          <t>HT-406</t>
        </is>
      </c>
      <c r="D5076" s="156" t="inlineStr">
        <is>
          <t>SY430</t>
        </is>
      </c>
      <c r="E5076" s="156" t="inlineStr">
        <is>
          <t>DT Hauling</t>
        </is>
      </c>
      <c r="F5076" s="156" t="inlineStr"/>
      <c r="G5076" s="182" t="n">
        <v>0</v>
      </c>
      <c r="H5076" s="182" t="n">
        <v>0</v>
      </c>
      <c r="I5076" s="182" t="n">
        <v>12</v>
      </c>
      <c r="J5076" s="182" t="n">
        <v>12</v>
      </c>
      <c r="K5076" s="182" t="n">
        <v>0</v>
      </c>
      <c r="L5076" s="182" t="n">
        <v>12</v>
      </c>
      <c r="M5076" s="182" t="n">
        <v>0</v>
      </c>
      <c r="N5076" s="182" t="n">
        <v>0</v>
      </c>
      <c r="O5076" s="183" t="n">
        <v>0</v>
      </c>
      <c r="P5076" s="183" t="n">
        <v>0</v>
      </c>
      <c r="Q5076" s="184" t="n">
        <v>0</v>
      </c>
      <c r="R5076" s="184" t="n">
        <v>0</v>
      </c>
      <c r="S5076" s="183" t="n">
        <v>0</v>
      </c>
      <c r="T5076" s="183" t="n">
        <v>0</v>
      </c>
      <c r="U5076" s="182" t="n">
        <v>0</v>
      </c>
      <c r="V5076" s="182" t="n">
        <v>0</v>
      </c>
      <c r="W5076" s="182" t="n">
        <v>0</v>
      </c>
      <c r="X5076" s="182" t="n">
        <v>0</v>
      </c>
      <c r="Y5076" s="182" t="n">
        <v>0</v>
      </c>
      <c r="Z5076" s="182" t="n">
        <v>0</v>
      </c>
      <c r="AA5076" s="182" t="n">
        <v>0</v>
      </c>
      <c r="AB5076" s="182" t="n">
        <v>0</v>
      </c>
      <c r="AC5076" s="182" t="n">
        <v>0</v>
      </c>
      <c r="AD5076" s="182" t="n">
        <v>0</v>
      </c>
      <c r="AE5076" s="182" t="n">
        <v>0</v>
      </c>
      <c r="AF5076" s="182" t="n">
        <v>0</v>
      </c>
      <c r="AG5076" s="182" t="n">
        <v>0</v>
      </c>
      <c r="AH5076" s="182" t="n">
        <v>0</v>
      </c>
      <c r="AI5076" s="182" t="n">
        <v>0</v>
      </c>
      <c r="AJ5076" s="182" t="n">
        <v>0</v>
      </c>
      <c r="AK5076" s="182" t="n">
        <v>0</v>
      </c>
      <c r="AL5076" s="182" t="n">
        <v>0</v>
      </c>
      <c r="AM5076" s="182" t="n">
        <v>0</v>
      </c>
      <c r="AN5076" s="182" t="n">
        <v>0</v>
      </c>
    </row>
    <row r="5077">
      <c r="A5077" s="155" t="n">
        <v>46105</v>
      </c>
      <c r="B5077" s="156" t="inlineStr">
        <is>
          <t>DS</t>
        </is>
      </c>
      <c r="C5077" s="156" t="inlineStr">
        <is>
          <t>HT-405</t>
        </is>
      </c>
      <c r="D5077" s="156" t="inlineStr">
        <is>
          <t>SY430</t>
        </is>
      </c>
      <c r="E5077" s="156" t="inlineStr">
        <is>
          <t>DT Hauling</t>
        </is>
      </c>
      <c r="F5077" s="156" t="inlineStr">
        <is>
          <t>Hauling Coal ke Jetty</t>
        </is>
      </c>
      <c r="G5077" s="182" t="n">
        <v>2.8</v>
      </c>
      <c r="H5077" s="182" t="n">
        <v>0</v>
      </c>
      <c r="I5077" s="182" t="n">
        <v>4.02</v>
      </c>
      <c r="J5077" s="182" t="n">
        <v>4.02</v>
      </c>
      <c r="K5077" s="182" t="n">
        <v>5.18</v>
      </c>
      <c r="L5077" s="182" t="n">
        <v>12</v>
      </c>
      <c r="M5077" s="182" t="n">
        <v>0</v>
      </c>
      <c r="N5077" s="182" t="n">
        <v>0</v>
      </c>
      <c r="O5077" s="183" t="n">
        <v>0</v>
      </c>
      <c r="P5077" s="183" t="n">
        <v>0</v>
      </c>
      <c r="Q5077" s="184" t="n">
        <v>0</v>
      </c>
      <c r="R5077" s="184" t="n">
        <v>0</v>
      </c>
      <c r="S5077" s="183" t="n">
        <v>0</v>
      </c>
      <c r="T5077" s="183" t="n">
        <v>0</v>
      </c>
      <c r="U5077" s="182" t="n">
        <v>0</v>
      </c>
      <c r="V5077" s="182" t="n">
        <v>0</v>
      </c>
      <c r="W5077" s="182" t="n">
        <v>0</v>
      </c>
      <c r="X5077" s="182" t="n">
        <v>0.98</v>
      </c>
      <c r="Y5077" s="182" t="n">
        <v>0</v>
      </c>
      <c r="Z5077" s="182" t="n">
        <v>0</v>
      </c>
      <c r="AA5077" s="182" t="n">
        <v>0</v>
      </c>
      <c r="AB5077" s="182" t="n">
        <v>0</v>
      </c>
      <c r="AC5077" s="182" t="n">
        <v>0</v>
      </c>
      <c r="AD5077" s="182" t="n">
        <v>0</v>
      </c>
      <c r="AE5077" s="182" t="n">
        <v>0</v>
      </c>
      <c r="AF5077" s="182" t="n">
        <v>0</v>
      </c>
      <c r="AG5077" s="182" t="n">
        <v>0</v>
      </c>
      <c r="AH5077" s="182" t="n">
        <v>0</v>
      </c>
      <c r="AI5077" s="182" t="n">
        <v>0</v>
      </c>
      <c r="AJ5077" s="182" t="n">
        <v>0</v>
      </c>
      <c r="AK5077" s="182" t="n">
        <v>4.12</v>
      </c>
      <c r="AL5077" s="182" t="n">
        <v>0</v>
      </c>
      <c r="AM5077" s="182" t="n">
        <v>0.08</v>
      </c>
      <c r="AN5077" s="182" t="n">
        <v>0</v>
      </c>
    </row>
    <row r="5078">
      <c r="A5078" s="155" t="n">
        <v>46105</v>
      </c>
      <c r="B5078" s="156" t="inlineStr">
        <is>
          <t>DS</t>
        </is>
      </c>
      <c r="C5078" s="156" t="inlineStr">
        <is>
          <t>HT-417</t>
        </is>
      </c>
      <c r="D5078" s="156" t="inlineStr">
        <is>
          <t>SY430</t>
        </is>
      </c>
      <c r="E5078" s="156" t="inlineStr">
        <is>
          <t>DT Hauling</t>
        </is>
      </c>
      <c r="F5078" s="156" t="inlineStr">
        <is>
          <t>Hauling Coal ke Jetty</t>
        </is>
      </c>
      <c r="G5078" s="182" t="n">
        <v>4.07</v>
      </c>
      <c r="H5078" s="182" t="n">
        <v>0</v>
      </c>
      <c r="I5078" s="182" t="n">
        <v>0</v>
      </c>
      <c r="J5078" s="182" t="n">
        <v>0</v>
      </c>
      <c r="K5078" s="182" t="n">
        <v>7.93</v>
      </c>
      <c r="L5078" s="182" t="n">
        <v>12</v>
      </c>
      <c r="M5078" s="182" t="n">
        <v>0</v>
      </c>
      <c r="N5078" s="182" t="n">
        <v>0</v>
      </c>
      <c r="O5078" s="183" t="n">
        <v>0</v>
      </c>
      <c r="P5078" s="183" t="n">
        <v>0</v>
      </c>
      <c r="Q5078" s="184" t="n">
        <v>0</v>
      </c>
      <c r="R5078" s="184" t="n">
        <v>0</v>
      </c>
      <c r="S5078" s="183" t="n">
        <v>0</v>
      </c>
      <c r="T5078" s="183" t="n">
        <v>0</v>
      </c>
      <c r="U5078" s="182" t="n">
        <v>0</v>
      </c>
      <c r="V5078" s="182" t="n">
        <v>0</v>
      </c>
      <c r="W5078" s="182" t="n">
        <v>0</v>
      </c>
      <c r="X5078" s="182" t="n">
        <v>0.99</v>
      </c>
      <c r="Y5078" s="182" t="n">
        <v>0</v>
      </c>
      <c r="Z5078" s="182" t="n">
        <v>0</v>
      </c>
      <c r="AA5078" s="182" t="n">
        <v>0</v>
      </c>
      <c r="AB5078" s="182" t="n">
        <v>0</v>
      </c>
      <c r="AC5078" s="182" t="n">
        <v>0</v>
      </c>
      <c r="AD5078" s="182" t="n">
        <v>0</v>
      </c>
      <c r="AE5078" s="182" t="n">
        <v>0</v>
      </c>
      <c r="AF5078" s="182" t="n">
        <v>0</v>
      </c>
      <c r="AG5078" s="182" t="n">
        <v>0</v>
      </c>
      <c r="AH5078" s="182" t="n">
        <v>0</v>
      </c>
      <c r="AI5078" s="182" t="n">
        <v>0</v>
      </c>
      <c r="AJ5078" s="182" t="n">
        <v>0</v>
      </c>
      <c r="AK5078" s="182" t="n">
        <v>6.86</v>
      </c>
      <c r="AL5078" s="182" t="n">
        <v>0</v>
      </c>
      <c r="AM5078" s="182" t="n">
        <v>0.08</v>
      </c>
      <c r="AN5078" s="182" t="n">
        <v>0</v>
      </c>
    </row>
    <row r="5079">
      <c r="A5079" s="155" t="n">
        <v>46105</v>
      </c>
      <c r="B5079" s="156" t="inlineStr">
        <is>
          <t>DS</t>
        </is>
      </c>
      <c r="C5079" s="156" t="inlineStr">
        <is>
          <t>HT-401</t>
        </is>
      </c>
      <c r="D5079" s="156" t="inlineStr">
        <is>
          <t>SY430</t>
        </is>
      </c>
      <c r="E5079" s="156" t="inlineStr">
        <is>
          <t>DT Hauling</t>
        </is>
      </c>
      <c r="F5079" s="156" t="inlineStr"/>
      <c r="G5079" s="182" t="n">
        <v>0</v>
      </c>
      <c r="H5079" s="182" t="n">
        <v>0</v>
      </c>
      <c r="I5079" s="182" t="n">
        <v>0</v>
      </c>
      <c r="J5079" s="182" t="n">
        <v>0</v>
      </c>
      <c r="K5079" s="182" t="n">
        <v>12</v>
      </c>
      <c r="L5079" s="182" t="n">
        <v>12</v>
      </c>
      <c r="M5079" s="182" t="n">
        <v>0</v>
      </c>
      <c r="N5079" s="182" t="n">
        <v>0</v>
      </c>
      <c r="O5079" s="183" t="n">
        <v>0</v>
      </c>
      <c r="P5079" s="183" t="n">
        <v>0</v>
      </c>
      <c r="Q5079" s="184" t="n">
        <v>0</v>
      </c>
      <c r="R5079" s="184" t="n">
        <v>0</v>
      </c>
      <c r="S5079" s="183" t="n">
        <v>0</v>
      </c>
      <c r="T5079" s="183" t="n">
        <v>0</v>
      </c>
      <c r="U5079" s="182" t="n">
        <v>0</v>
      </c>
      <c r="V5079" s="182" t="n">
        <v>0</v>
      </c>
      <c r="W5079" s="182" t="n">
        <v>0</v>
      </c>
      <c r="X5079" s="182" t="n">
        <v>1</v>
      </c>
      <c r="Y5079" s="182" t="n">
        <v>0</v>
      </c>
      <c r="Z5079" s="182" t="n">
        <v>0</v>
      </c>
      <c r="AA5079" s="182" t="n">
        <v>0</v>
      </c>
      <c r="AB5079" s="182" t="n">
        <v>0</v>
      </c>
      <c r="AC5079" s="182" t="n">
        <v>0</v>
      </c>
      <c r="AD5079" s="182" t="n">
        <v>0</v>
      </c>
      <c r="AE5079" s="182" t="n">
        <v>0</v>
      </c>
      <c r="AF5079" s="182" t="n">
        <v>0</v>
      </c>
      <c r="AG5079" s="182" t="n">
        <v>0</v>
      </c>
      <c r="AH5079" s="182" t="n">
        <v>0</v>
      </c>
      <c r="AI5079" s="182" t="n">
        <v>0</v>
      </c>
      <c r="AJ5079" s="182" t="n">
        <v>0</v>
      </c>
      <c r="AK5079" s="182" t="n">
        <v>10.92</v>
      </c>
      <c r="AL5079" s="182" t="n">
        <v>0</v>
      </c>
      <c r="AM5079" s="182" t="n">
        <v>0.08</v>
      </c>
      <c r="AN5079" s="182" t="n">
        <v>0</v>
      </c>
    </row>
    <row r="5080">
      <c r="A5080" s="155" t="n">
        <v>46105</v>
      </c>
      <c r="B5080" s="156" t="inlineStr">
        <is>
          <t>DS</t>
        </is>
      </c>
      <c r="C5080" s="156" t="inlineStr">
        <is>
          <t>HT-410</t>
        </is>
      </c>
      <c r="D5080" s="156" t="inlineStr">
        <is>
          <t>SY430</t>
        </is>
      </c>
      <c r="E5080" s="156" t="inlineStr">
        <is>
          <t>DT Hauling</t>
        </is>
      </c>
      <c r="F5080" s="156" t="inlineStr"/>
      <c r="G5080" s="182" t="n">
        <v>0</v>
      </c>
      <c r="H5080" s="182" t="n">
        <v>0</v>
      </c>
      <c r="I5080" s="182" t="n">
        <v>0</v>
      </c>
      <c r="J5080" s="182" t="n">
        <v>0</v>
      </c>
      <c r="K5080" s="182" t="n">
        <v>12</v>
      </c>
      <c r="L5080" s="182" t="n">
        <v>12</v>
      </c>
      <c r="M5080" s="182" t="n">
        <v>0</v>
      </c>
      <c r="N5080" s="182" t="n">
        <v>0</v>
      </c>
      <c r="O5080" s="183" t="n">
        <v>0</v>
      </c>
      <c r="P5080" s="183" t="n">
        <v>0</v>
      </c>
      <c r="Q5080" s="184" t="n">
        <v>0</v>
      </c>
      <c r="R5080" s="184" t="n">
        <v>0</v>
      </c>
      <c r="S5080" s="183" t="n">
        <v>0</v>
      </c>
      <c r="T5080" s="183" t="n">
        <v>0</v>
      </c>
      <c r="U5080" s="182" t="n">
        <v>0</v>
      </c>
      <c r="V5080" s="182" t="n">
        <v>0</v>
      </c>
      <c r="W5080" s="182" t="n">
        <v>0</v>
      </c>
      <c r="X5080" s="182" t="n">
        <v>1</v>
      </c>
      <c r="Y5080" s="182" t="n">
        <v>0</v>
      </c>
      <c r="Z5080" s="182" t="n">
        <v>0</v>
      </c>
      <c r="AA5080" s="182" t="n">
        <v>0</v>
      </c>
      <c r="AB5080" s="182" t="n">
        <v>0</v>
      </c>
      <c r="AC5080" s="182" t="n">
        <v>0</v>
      </c>
      <c r="AD5080" s="182" t="n">
        <v>0</v>
      </c>
      <c r="AE5080" s="182" t="n">
        <v>0</v>
      </c>
      <c r="AF5080" s="182" t="n">
        <v>0</v>
      </c>
      <c r="AG5080" s="182" t="n">
        <v>0</v>
      </c>
      <c r="AH5080" s="182" t="n">
        <v>0</v>
      </c>
      <c r="AI5080" s="182" t="n">
        <v>0</v>
      </c>
      <c r="AJ5080" s="182" t="n">
        <v>0</v>
      </c>
      <c r="AK5080" s="182" t="n">
        <v>10.92</v>
      </c>
      <c r="AL5080" s="182" t="n">
        <v>0</v>
      </c>
      <c r="AM5080" s="182" t="n">
        <v>0.08</v>
      </c>
      <c r="AN5080" s="182" t="n">
        <v>0</v>
      </c>
    </row>
    <row r="5081">
      <c r="A5081" s="155" t="n">
        <v>46105</v>
      </c>
      <c r="B5081" s="156" t="inlineStr">
        <is>
          <t>DS</t>
        </is>
      </c>
      <c r="C5081" s="156" t="inlineStr">
        <is>
          <t>HT-402</t>
        </is>
      </c>
      <c r="D5081" s="156" t="inlineStr">
        <is>
          <t>SY430</t>
        </is>
      </c>
      <c r="E5081" s="156" t="inlineStr">
        <is>
          <t>DT Hauling</t>
        </is>
      </c>
      <c r="F5081" s="156" t="inlineStr">
        <is>
          <t>Hauling Coal ke Jetty</t>
        </is>
      </c>
      <c r="G5081" s="182" t="n">
        <v>3.19</v>
      </c>
      <c r="H5081" s="182" t="n">
        <v>0</v>
      </c>
      <c r="I5081" s="182" t="n">
        <v>0</v>
      </c>
      <c r="J5081" s="182" t="n">
        <v>0</v>
      </c>
      <c r="K5081" s="182" t="n">
        <v>8.81</v>
      </c>
      <c r="L5081" s="182" t="n">
        <v>12</v>
      </c>
      <c r="M5081" s="182" t="n">
        <v>0</v>
      </c>
      <c r="N5081" s="182" t="n">
        <v>0</v>
      </c>
      <c r="O5081" s="183" t="n">
        <v>0</v>
      </c>
      <c r="P5081" s="183" t="n">
        <v>0</v>
      </c>
      <c r="Q5081" s="184" t="n">
        <v>0</v>
      </c>
      <c r="R5081" s="184" t="n">
        <v>0</v>
      </c>
      <c r="S5081" s="183" t="n">
        <v>0</v>
      </c>
      <c r="T5081" s="183" t="n">
        <v>0</v>
      </c>
      <c r="U5081" s="182" t="n">
        <v>0</v>
      </c>
      <c r="V5081" s="182" t="n">
        <v>0</v>
      </c>
      <c r="W5081" s="182" t="n">
        <v>0</v>
      </c>
      <c r="X5081" s="182" t="n">
        <v>1.02</v>
      </c>
      <c r="Y5081" s="182" t="n">
        <v>0</v>
      </c>
      <c r="Z5081" s="182" t="n">
        <v>0</v>
      </c>
      <c r="AA5081" s="182" t="n">
        <v>0</v>
      </c>
      <c r="AB5081" s="182" t="n">
        <v>0</v>
      </c>
      <c r="AC5081" s="182" t="n">
        <v>0</v>
      </c>
      <c r="AD5081" s="182" t="n">
        <v>0</v>
      </c>
      <c r="AE5081" s="182" t="n">
        <v>0</v>
      </c>
      <c r="AF5081" s="182" t="n">
        <v>0</v>
      </c>
      <c r="AG5081" s="182" t="n">
        <v>0</v>
      </c>
      <c r="AH5081" s="182" t="n">
        <v>0</v>
      </c>
      <c r="AI5081" s="182" t="n">
        <v>0</v>
      </c>
      <c r="AJ5081" s="182" t="n">
        <v>0</v>
      </c>
      <c r="AK5081" s="182" t="n">
        <v>7.7</v>
      </c>
      <c r="AL5081" s="182" t="n">
        <v>0</v>
      </c>
      <c r="AM5081" s="182" t="n">
        <v>0.08</v>
      </c>
      <c r="AN5081" s="182" t="n">
        <v>0</v>
      </c>
    </row>
    <row r="5082">
      <c r="A5082" s="155" t="n">
        <v>46105</v>
      </c>
      <c r="B5082" s="156" t="inlineStr">
        <is>
          <t>DS</t>
        </is>
      </c>
      <c r="C5082" s="156" t="inlineStr">
        <is>
          <t>HT-419</t>
        </is>
      </c>
      <c r="D5082" s="156" t="inlineStr">
        <is>
          <t>SY430</t>
        </is>
      </c>
      <c r="E5082" s="156" t="inlineStr">
        <is>
          <t>DT Hauling</t>
        </is>
      </c>
      <c r="F5082" s="156" t="inlineStr"/>
      <c r="G5082" s="182" t="n">
        <v>0</v>
      </c>
      <c r="H5082" s="182" t="n">
        <v>0</v>
      </c>
      <c r="I5082" s="182" t="n">
        <v>0</v>
      </c>
      <c r="J5082" s="182" t="n">
        <v>0</v>
      </c>
      <c r="K5082" s="182" t="n">
        <v>12</v>
      </c>
      <c r="L5082" s="182" t="n">
        <v>12</v>
      </c>
      <c r="M5082" s="182" t="n">
        <v>0</v>
      </c>
      <c r="N5082" s="182" t="n">
        <v>0</v>
      </c>
      <c r="O5082" s="183" t="n">
        <v>0</v>
      </c>
      <c r="P5082" s="183" t="n">
        <v>0</v>
      </c>
      <c r="Q5082" s="184" t="n">
        <v>0</v>
      </c>
      <c r="R5082" s="184" t="n">
        <v>0</v>
      </c>
      <c r="S5082" s="183" t="n">
        <v>0</v>
      </c>
      <c r="T5082" s="183" t="n">
        <v>0</v>
      </c>
      <c r="U5082" s="182" t="n">
        <v>0</v>
      </c>
      <c r="V5082" s="182" t="n">
        <v>0</v>
      </c>
      <c r="W5082" s="182" t="n">
        <v>0</v>
      </c>
      <c r="X5082" s="182" t="n">
        <v>1</v>
      </c>
      <c r="Y5082" s="182" t="n">
        <v>0</v>
      </c>
      <c r="Z5082" s="182" t="n">
        <v>0</v>
      </c>
      <c r="AA5082" s="182" t="n">
        <v>0</v>
      </c>
      <c r="AB5082" s="182" t="n">
        <v>0</v>
      </c>
      <c r="AC5082" s="182" t="n">
        <v>0</v>
      </c>
      <c r="AD5082" s="182" t="n">
        <v>0</v>
      </c>
      <c r="AE5082" s="182" t="n">
        <v>0</v>
      </c>
      <c r="AF5082" s="182" t="n">
        <v>0</v>
      </c>
      <c r="AG5082" s="182" t="n">
        <v>0</v>
      </c>
      <c r="AH5082" s="182" t="n">
        <v>0</v>
      </c>
      <c r="AI5082" s="182" t="n">
        <v>0</v>
      </c>
      <c r="AJ5082" s="182" t="n">
        <v>0</v>
      </c>
      <c r="AK5082" s="182" t="n">
        <v>10.92</v>
      </c>
      <c r="AL5082" s="182" t="n">
        <v>0</v>
      </c>
      <c r="AM5082" s="182" t="n">
        <v>0.08</v>
      </c>
      <c r="AN5082" s="182" t="n">
        <v>0</v>
      </c>
    </row>
    <row r="5083">
      <c r="A5083" s="155" t="n">
        <v>46105</v>
      </c>
      <c r="B5083" s="156" t="inlineStr">
        <is>
          <t>DS</t>
        </is>
      </c>
      <c r="C5083" s="156" t="inlineStr">
        <is>
          <t>HT-416</t>
        </is>
      </c>
      <c r="D5083" s="156" t="inlineStr">
        <is>
          <t>SY430</t>
        </is>
      </c>
      <c r="E5083" s="156" t="inlineStr">
        <is>
          <t>DT Hauling</t>
        </is>
      </c>
      <c r="F5083" s="156" t="inlineStr">
        <is>
          <t>Hauling Coal ke Jetty</t>
        </is>
      </c>
      <c r="G5083" s="182" t="n">
        <v>3.17</v>
      </c>
      <c r="H5083" s="182" t="n">
        <v>0</v>
      </c>
      <c r="I5083" s="182" t="n">
        <v>0</v>
      </c>
      <c r="J5083" s="182" t="n">
        <v>0</v>
      </c>
      <c r="K5083" s="182" t="n">
        <v>8.83</v>
      </c>
      <c r="L5083" s="182" t="n">
        <v>12</v>
      </c>
      <c r="M5083" s="182" t="n">
        <v>0</v>
      </c>
      <c r="N5083" s="182" t="n">
        <v>0</v>
      </c>
      <c r="O5083" s="183" t="n">
        <v>0</v>
      </c>
      <c r="P5083" s="183" t="n">
        <v>0</v>
      </c>
      <c r="Q5083" s="184" t="n">
        <v>0</v>
      </c>
      <c r="R5083" s="184" t="n">
        <v>0</v>
      </c>
      <c r="S5083" s="183" t="n">
        <v>0</v>
      </c>
      <c r="T5083" s="183" t="n">
        <v>0</v>
      </c>
      <c r="U5083" s="182" t="n">
        <v>0</v>
      </c>
      <c r="V5083" s="182" t="n">
        <v>0</v>
      </c>
      <c r="W5083" s="182" t="n">
        <v>0</v>
      </c>
      <c r="X5083" s="182" t="n">
        <v>0.97</v>
      </c>
      <c r="Y5083" s="182" t="n">
        <v>0</v>
      </c>
      <c r="Z5083" s="182" t="n">
        <v>0</v>
      </c>
      <c r="AA5083" s="182" t="n">
        <v>0</v>
      </c>
      <c r="AB5083" s="182" t="n">
        <v>0</v>
      </c>
      <c r="AC5083" s="182" t="n">
        <v>0</v>
      </c>
      <c r="AD5083" s="182" t="n">
        <v>0</v>
      </c>
      <c r="AE5083" s="182" t="n">
        <v>0</v>
      </c>
      <c r="AF5083" s="182" t="n">
        <v>0</v>
      </c>
      <c r="AG5083" s="182" t="n">
        <v>0</v>
      </c>
      <c r="AH5083" s="182" t="n">
        <v>0</v>
      </c>
      <c r="AI5083" s="182" t="n">
        <v>0</v>
      </c>
      <c r="AJ5083" s="182" t="n">
        <v>0</v>
      </c>
      <c r="AK5083" s="182" t="n">
        <v>7.78</v>
      </c>
      <c r="AL5083" s="182" t="n">
        <v>0</v>
      </c>
      <c r="AM5083" s="182" t="n">
        <v>0.08</v>
      </c>
      <c r="AN5083" s="182" t="n">
        <v>0</v>
      </c>
    </row>
    <row r="5084">
      <c r="A5084" s="155" t="n">
        <v>46105</v>
      </c>
      <c r="B5084" s="156" t="inlineStr">
        <is>
          <t>DS</t>
        </is>
      </c>
      <c r="C5084" s="156" t="inlineStr">
        <is>
          <t>HT-420</t>
        </is>
      </c>
      <c r="D5084" s="156" t="inlineStr">
        <is>
          <t>SY430</t>
        </is>
      </c>
      <c r="E5084" s="156" t="inlineStr">
        <is>
          <t>DT Hauling</t>
        </is>
      </c>
      <c r="F5084" s="156" t="inlineStr">
        <is>
          <t>Hauling Coal ke Jetty</t>
        </is>
      </c>
      <c r="G5084" s="182" t="n">
        <v>3.96</v>
      </c>
      <c r="H5084" s="182" t="n">
        <v>0</v>
      </c>
      <c r="I5084" s="182" t="n">
        <v>0</v>
      </c>
      <c r="J5084" s="182" t="n">
        <v>0</v>
      </c>
      <c r="K5084" s="182" t="n">
        <v>8.039999999999999</v>
      </c>
      <c r="L5084" s="182" t="n">
        <v>12</v>
      </c>
      <c r="M5084" s="182" t="n">
        <v>0</v>
      </c>
      <c r="N5084" s="182" t="n">
        <v>0</v>
      </c>
      <c r="O5084" s="183" t="n">
        <v>0</v>
      </c>
      <c r="P5084" s="183" t="n">
        <v>0</v>
      </c>
      <c r="Q5084" s="184" t="n">
        <v>0</v>
      </c>
      <c r="R5084" s="184" t="n">
        <v>0</v>
      </c>
      <c r="S5084" s="183" t="n">
        <v>0</v>
      </c>
      <c r="T5084" s="183" t="n">
        <v>0</v>
      </c>
      <c r="U5084" s="182" t="n">
        <v>0</v>
      </c>
      <c r="V5084" s="182" t="n">
        <v>0</v>
      </c>
      <c r="W5084" s="182" t="n">
        <v>0</v>
      </c>
      <c r="X5084" s="182" t="n">
        <v>1</v>
      </c>
      <c r="Y5084" s="182" t="n">
        <v>0</v>
      </c>
      <c r="Z5084" s="182" t="n">
        <v>0</v>
      </c>
      <c r="AA5084" s="182" t="n">
        <v>0</v>
      </c>
      <c r="AB5084" s="182" t="n">
        <v>0</v>
      </c>
      <c r="AC5084" s="182" t="n">
        <v>0</v>
      </c>
      <c r="AD5084" s="182" t="n">
        <v>0</v>
      </c>
      <c r="AE5084" s="182" t="n">
        <v>0</v>
      </c>
      <c r="AF5084" s="182" t="n">
        <v>0</v>
      </c>
      <c r="AG5084" s="182" t="n">
        <v>0</v>
      </c>
      <c r="AH5084" s="182" t="n">
        <v>0</v>
      </c>
      <c r="AI5084" s="182" t="n">
        <v>0</v>
      </c>
      <c r="AJ5084" s="182" t="n">
        <v>0</v>
      </c>
      <c r="AK5084" s="182" t="n">
        <v>6.95</v>
      </c>
      <c r="AL5084" s="182" t="n">
        <v>0</v>
      </c>
      <c r="AM5084" s="182" t="n">
        <v>0.08</v>
      </c>
      <c r="AN5084" s="182" t="n">
        <v>0</v>
      </c>
    </row>
    <row r="5085">
      <c r="A5085" s="155" t="n">
        <v>46105</v>
      </c>
      <c r="B5085" s="156" t="inlineStr">
        <is>
          <t>DS</t>
        </is>
      </c>
      <c r="C5085" s="156" t="inlineStr">
        <is>
          <t>HT-403</t>
        </is>
      </c>
      <c r="D5085" s="156" t="inlineStr">
        <is>
          <t>SY430</t>
        </is>
      </c>
      <c r="E5085" s="156" t="inlineStr">
        <is>
          <t>DT Hauling</t>
        </is>
      </c>
      <c r="F5085" s="156" t="inlineStr"/>
      <c r="G5085" s="182" t="n">
        <v>0</v>
      </c>
      <c r="H5085" s="182" t="n">
        <v>0</v>
      </c>
      <c r="I5085" s="182" t="n">
        <v>0</v>
      </c>
      <c r="J5085" s="182" t="n">
        <v>0</v>
      </c>
      <c r="K5085" s="182" t="n">
        <v>12</v>
      </c>
      <c r="L5085" s="182" t="n">
        <v>12</v>
      </c>
      <c r="M5085" s="182" t="n">
        <v>0</v>
      </c>
      <c r="N5085" s="182" t="n">
        <v>0</v>
      </c>
      <c r="O5085" s="183" t="n">
        <v>0</v>
      </c>
      <c r="P5085" s="183" t="n">
        <v>0</v>
      </c>
      <c r="Q5085" s="184" t="n">
        <v>0</v>
      </c>
      <c r="R5085" s="184" t="n">
        <v>0</v>
      </c>
      <c r="S5085" s="183" t="n">
        <v>0</v>
      </c>
      <c r="T5085" s="183" t="n">
        <v>0</v>
      </c>
      <c r="U5085" s="182" t="n">
        <v>0</v>
      </c>
      <c r="V5085" s="182" t="n">
        <v>0</v>
      </c>
      <c r="W5085" s="182" t="n">
        <v>0</v>
      </c>
      <c r="X5085" s="182" t="n">
        <v>1</v>
      </c>
      <c r="Y5085" s="182" t="n">
        <v>0</v>
      </c>
      <c r="Z5085" s="182" t="n">
        <v>0</v>
      </c>
      <c r="AA5085" s="182" t="n">
        <v>0</v>
      </c>
      <c r="AB5085" s="182" t="n">
        <v>0</v>
      </c>
      <c r="AC5085" s="182" t="n">
        <v>0</v>
      </c>
      <c r="AD5085" s="182" t="n">
        <v>0</v>
      </c>
      <c r="AE5085" s="182" t="n">
        <v>0</v>
      </c>
      <c r="AF5085" s="182" t="n">
        <v>0</v>
      </c>
      <c r="AG5085" s="182" t="n">
        <v>0</v>
      </c>
      <c r="AH5085" s="182" t="n">
        <v>0</v>
      </c>
      <c r="AI5085" s="182" t="n">
        <v>0</v>
      </c>
      <c r="AJ5085" s="182" t="n">
        <v>0</v>
      </c>
      <c r="AK5085" s="182" t="n">
        <v>10.92</v>
      </c>
      <c r="AL5085" s="182" t="n">
        <v>0</v>
      </c>
      <c r="AM5085" s="182" t="n">
        <v>0.08</v>
      </c>
      <c r="AN5085" s="182" t="n">
        <v>0</v>
      </c>
    </row>
    <row r="5086">
      <c r="A5086" s="155" t="n">
        <v>46105</v>
      </c>
      <c r="B5086" s="156" t="inlineStr">
        <is>
          <t>DS</t>
        </is>
      </c>
      <c r="C5086" s="156" t="inlineStr">
        <is>
          <t>HT-408</t>
        </is>
      </c>
      <c r="D5086" s="156" t="inlineStr">
        <is>
          <t>SY430</t>
        </is>
      </c>
      <c r="E5086" s="156" t="inlineStr">
        <is>
          <t>DT Hauling</t>
        </is>
      </c>
      <c r="F5086" s="156" t="inlineStr"/>
      <c r="G5086" s="182" t="n">
        <v>0</v>
      </c>
      <c r="H5086" s="182" t="n">
        <v>0</v>
      </c>
      <c r="I5086" s="182" t="n">
        <v>0</v>
      </c>
      <c r="J5086" s="182" t="n">
        <v>0</v>
      </c>
      <c r="K5086" s="182" t="n">
        <v>12</v>
      </c>
      <c r="L5086" s="182" t="n">
        <v>12</v>
      </c>
      <c r="M5086" s="182" t="n">
        <v>0</v>
      </c>
      <c r="N5086" s="182" t="n">
        <v>0</v>
      </c>
      <c r="O5086" s="183" t="n">
        <v>0</v>
      </c>
      <c r="P5086" s="183" t="n">
        <v>0</v>
      </c>
      <c r="Q5086" s="184" t="n">
        <v>0</v>
      </c>
      <c r="R5086" s="184" t="n">
        <v>0</v>
      </c>
      <c r="S5086" s="183" t="n">
        <v>0</v>
      </c>
      <c r="T5086" s="183" t="n">
        <v>0</v>
      </c>
      <c r="U5086" s="182" t="n">
        <v>0</v>
      </c>
      <c r="V5086" s="182" t="n">
        <v>0</v>
      </c>
      <c r="W5086" s="182" t="n">
        <v>0</v>
      </c>
      <c r="X5086" s="182" t="n">
        <v>1</v>
      </c>
      <c r="Y5086" s="182" t="n">
        <v>0</v>
      </c>
      <c r="Z5086" s="182" t="n">
        <v>0</v>
      </c>
      <c r="AA5086" s="182" t="n">
        <v>0</v>
      </c>
      <c r="AB5086" s="182" t="n">
        <v>0</v>
      </c>
      <c r="AC5086" s="182" t="n">
        <v>0</v>
      </c>
      <c r="AD5086" s="182" t="n">
        <v>0</v>
      </c>
      <c r="AE5086" s="182" t="n">
        <v>0</v>
      </c>
      <c r="AF5086" s="182" t="n">
        <v>0</v>
      </c>
      <c r="AG5086" s="182" t="n">
        <v>0</v>
      </c>
      <c r="AH5086" s="182" t="n">
        <v>0</v>
      </c>
      <c r="AI5086" s="182" t="n">
        <v>0</v>
      </c>
      <c r="AJ5086" s="182" t="n">
        <v>0</v>
      </c>
      <c r="AK5086" s="182" t="n">
        <v>10.92</v>
      </c>
      <c r="AL5086" s="182" t="n">
        <v>0</v>
      </c>
      <c r="AM5086" s="182" t="n">
        <v>0.08</v>
      </c>
      <c r="AN5086" s="182" t="n">
        <v>0</v>
      </c>
    </row>
    <row r="5087">
      <c r="A5087" s="155" t="n">
        <v>46105</v>
      </c>
      <c r="B5087" s="156" t="inlineStr">
        <is>
          <t>DS</t>
        </is>
      </c>
      <c r="C5087" s="156" t="inlineStr">
        <is>
          <t>HT-412</t>
        </is>
      </c>
      <c r="D5087" s="156" t="inlineStr">
        <is>
          <t>SY430</t>
        </is>
      </c>
      <c r="E5087" s="156" t="inlineStr">
        <is>
          <t>DT Hauling</t>
        </is>
      </c>
      <c r="F5087" s="156" t="inlineStr">
        <is>
          <t>Hauling Coal ke Jetty</t>
        </is>
      </c>
      <c r="G5087" s="182" t="n">
        <v>2.34</v>
      </c>
      <c r="H5087" s="182" t="n">
        <v>0</v>
      </c>
      <c r="I5087" s="182" t="n">
        <v>0</v>
      </c>
      <c r="J5087" s="182" t="n">
        <v>0</v>
      </c>
      <c r="K5087" s="182" t="n">
        <v>9.66</v>
      </c>
      <c r="L5087" s="182" t="n">
        <v>12</v>
      </c>
      <c r="M5087" s="182" t="n">
        <v>0</v>
      </c>
      <c r="N5087" s="182" t="n">
        <v>0</v>
      </c>
      <c r="O5087" s="183" t="n">
        <v>0</v>
      </c>
      <c r="P5087" s="183" t="n">
        <v>0</v>
      </c>
      <c r="Q5087" s="184" t="n">
        <v>0</v>
      </c>
      <c r="R5087" s="184" t="n">
        <v>0</v>
      </c>
      <c r="S5087" s="183" t="n">
        <v>0</v>
      </c>
      <c r="T5087" s="183" t="n">
        <v>0</v>
      </c>
      <c r="U5087" s="182" t="n">
        <v>0</v>
      </c>
      <c r="V5087" s="182" t="n">
        <v>0</v>
      </c>
      <c r="W5087" s="182" t="n">
        <v>0</v>
      </c>
      <c r="X5087" s="182" t="n">
        <v>1.01</v>
      </c>
      <c r="Y5087" s="182" t="n">
        <v>0</v>
      </c>
      <c r="Z5087" s="182" t="n">
        <v>0</v>
      </c>
      <c r="AA5087" s="182" t="n">
        <v>0</v>
      </c>
      <c r="AB5087" s="182" t="n">
        <v>0</v>
      </c>
      <c r="AC5087" s="182" t="n">
        <v>0</v>
      </c>
      <c r="AD5087" s="182" t="n">
        <v>0</v>
      </c>
      <c r="AE5087" s="182" t="n">
        <v>0</v>
      </c>
      <c r="AF5087" s="182" t="n">
        <v>0</v>
      </c>
      <c r="AG5087" s="182" t="n">
        <v>0</v>
      </c>
      <c r="AH5087" s="182" t="n">
        <v>0</v>
      </c>
      <c r="AI5087" s="182" t="n">
        <v>0</v>
      </c>
      <c r="AJ5087" s="182" t="n">
        <v>0</v>
      </c>
      <c r="AK5087" s="182" t="n">
        <v>8.57</v>
      </c>
      <c r="AL5087" s="182" t="n">
        <v>0</v>
      </c>
      <c r="AM5087" s="182" t="n">
        <v>0.08</v>
      </c>
      <c r="AN5087" s="182" t="n">
        <v>0</v>
      </c>
    </row>
    <row r="5088">
      <c r="A5088" s="155" t="n">
        <v>46105</v>
      </c>
      <c r="B5088" s="156" t="inlineStr">
        <is>
          <t>DS</t>
        </is>
      </c>
      <c r="C5088" s="156" t="inlineStr">
        <is>
          <t>HT-413</t>
        </is>
      </c>
      <c r="D5088" s="156" t="inlineStr">
        <is>
          <t>SY430</t>
        </is>
      </c>
      <c r="E5088" s="156" t="inlineStr">
        <is>
          <t>DT Hauling</t>
        </is>
      </c>
      <c r="F5088" s="156" t="inlineStr"/>
      <c r="G5088" s="182" t="n">
        <v>0</v>
      </c>
      <c r="H5088" s="182" t="n">
        <v>0</v>
      </c>
      <c r="I5088" s="182" t="n">
        <v>12</v>
      </c>
      <c r="J5088" s="182" t="n">
        <v>12</v>
      </c>
      <c r="K5088" s="182" t="n">
        <v>0</v>
      </c>
      <c r="L5088" s="182" t="n">
        <v>12</v>
      </c>
      <c r="M5088" s="182" t="n">
        <v>0</v>
      </c>
      <c r="N5088" s="182" t="n">
        <v>0</v>
      </c>
      <c r="O5088" s="183" t="n">
        <v>0</v>
      </c>
      <c r="P5088" s="183" t="n">
        <v>0</v>
      </c>
      <c r="Q5088" s="184" t="n">
        <v>0</v>
      </c>
      <c r="R5088" s="184" t="n">
        <v>0</v>
      </c>
      <c r="S5088" s="183" t="n">
        <v>0</v>
      </c>
      <c r="T5088" s="183" t="n">
        <v>0</v>
      </c>
      <c r="U5088" s="182" t="n">
        <v>0</v>
      </c>
      <c r="V5088" s="182" t="n">
        <v>0</v>
      </c>
      <c r="W5088" s="182" t="n">
        <v>0</v>
      </c>
      <c r="X5088" s="182" t="n">
        <v>0</v>
      </c>
      <c r="Y5088" s="182" t="n">
        <v>0</v>
      </c>
      <c r="Z5088" s="182" t="n">
        <v>0</v>
      </c>
      <c r="AA5088" s="182" t="n">
        <v>0</v>
      </c>
      <c r="AB5088" s="182" t="n">
        <v>0</v>
      </c>
      <c r="AC5088" s="182" t="n">
        <v>0</v>
      </c>
      <c r="AD5088" s="182" t="n">
        <v>0</v>
      </c>
      <c r="AE5088" s="182" t="n">
        <v>0</v>
      </c>
      <c r="AF5088" s="182" t="n">
        <v>0</v>
      </c>
      <c r="AG5088" s="182" t="n">
        <v>0</v>
      </c>
      <c r="AH5088" s="182" t="n">
        <v>0</v>
      </c>
      <c r="AI5088" s="182" t="n">
        <v>0</v>
      </c>
      <c r="AJ5088" s="182" t="n">
        <v>0</v>
      </c>
      <c r="AK5088" s="182" t="n">
        <v>0</v>
      </c>
      <c r="AL5088" s="182" t="n">
        <v>0</v>
      </c>
      <c r="AM5088" s="182" t="n">
        <v>0</v>
      </c>
      <c r="AN5088" s="182" t="n">
        <v>0</v>
      </c>
    </row>
    <row r="5089">
      <c r="A5089" s="155" t="n">
        <v>46105</v>
      </c>
      <c r="B5089" s="156" t="inlineStr">
        <is>
          <t>DS</t>
        </is>
      </c>
      <c r="C5089" s="156" t="inlineStr">
        <is>
          <t>HT-407</t>
        </is>
      </c>
      <c r="D5089" s="156" t="inlineStr">
        <is>
          <t>SY430</t>
        </is>
      </c>
      <c r="E5089" s="156" t="inlineStr">
        <is>
          <t>DT Hauling</t>
        </is>
      </c>
      <c r="F5089" s="156" t="inlineStr">
        <is>
          <t>Hauling Coal ke Jetty</t>
        </is>
      </c>
      <c r="G5089" s="182" t="n">
        <v>3.43</v>
      </c>
      <c r="H5089" s="182" t="n">
        <v>0</v>
      </c>
      <c r="I5089" s="182" t="n">
        <v>0</v>
      </c>
      <c r="J5089" s="182" t="n">
        <v>0</v>
      </c>
      <c r="K5089" s="182" t="n">
        <v>8.57</v>
      </c>
      <c r="L5089" s="182" t="n">
        <v>12</v>
      </c>
      <c r="M5089" s="182" t="n">
        <v>0</v>
      </c>
      <c r="N5089" s="182" t="n">
        <v>0</v>
      </c>
      <c r="O5089" s="183" t="n">
        <v>0</v>
      </c>
      <c r="P5089" s="183" t="n">
        <v>0</v>
      </c>
      <c r="Q5089" s="184" t="n">
        <v>0</v>
      </c>
      <c r="R5089" s="184" t="n">
        <v>0</v>
      </c>
      <c r="S5089" s="183" t="n">
        <v>0</v>
      </c>
      <c r="T5089" s="183" t="n">
        <v>0</v>
      </c>
      <c r="U5089" s="182" t="n">
        <v>0</v>
      </c>
      <c r="V5089" s="182" t="n">
        <v>0</v>
      </c>
      <c r="W5089" s="182" t="n">
        <v>0</v>
      </c>
      <c r="X5089" s="182" t="n">
        <v>0.9399999999999999</v>
      </c>
      <c r="Y5089" s="182" t="n">
        <v>0</v>
      </c>
      <c r="Z5089" s="182" t="n">
        <v>0</v>
      </c>
      <c r="AA5089" s="182" t="n">
        <v>0</v>
      </c>
      <c r="AB5089" s="182" t="n">
        <v>0</v>
      </c>
      <c r="AC5089" s="182" t="n">
        <v>0</v>
      </c>
      <c r="AD5089" s="182" t="n">
        <v>0</v>
      </c>
      <c r="AE5089" s="182" t="n">
        <v>0</v>
      </c>
      <c r="AF5089" s="182" t="n">
        <v>0</v>
      </c>
      <c r="AG5089" s="182" t="n">
        <v>0</v>
      </c>
      <c r="AH5089" s="182" t="n">
        <v>0</v>
      </c>
      <c r="AI5089" s="182" t="n">
        <v>0</v>
      </c>
      <c r="AJ5089" s="182" t="n">
        <v>0</v>
      </c>
      <c r="AK5089" s="182" t="n">
        <v>7.55</v>
      </c>
      <c r="AL5089" s="182" t="n">
        <v>0</v>
      </c>
      <c r="AM5089" s="182" t="n">
        <v>0.08</v>
      </c>
      <c r="AN5089" s="182" t="n">
        <v>0</v>
      </c>
    </row>
    <row r="5090">
      <c r="A5090" s="155" t="n">
        <v>46105</v>
      </c>
      <c r="B5090" s="156" t="inlineStr">
        <is>
          <t>DS</t>
        </is>
      </c>
      <c r="C5090" s="156" t="inlineStr">
        <is>
          <t>HT-414</t>
        </is>
      </c>
      <c r="D5090" s="156" t="inlineStr">
        <is>
          <t>SY430</t>
        </is>
      </c>
      <c r="E5090" s="156" t="inlineStr">
        <is>
          <t>DT Hauling</t>
        </is>
      </c>
      <c r="F5090" s="156" t="inlineStr">
        <is>
          <t>Hauling Coal ke Jetty</t>
        </is>
      </c>
      <c r="G5090" s="182" t="n">
        <v>2.91</v>
      </c>
      <c r="H5090" s="182" t="n">
        <v>0</v>
      </c>
      <c r="I5090" s="182" t="n">
        <v>0</v>
      </c>
      <c r="J5090" s="182" t="n">
        <v>0</v>
      </c>
      <c r="K5090" s="182" t="n">
        <v>9.09</v>
      </c>
      <c r="L5090" s="182" t="n">
        <v>12</v>
      </c>
      <c r="M5090" s="182" t="n">
        <v>0</v>
      </c>
      <c r="N5090" s="182" t="n">
        <v>0</v>
      </c>
      <c r="O5090" s="183" t="n">
        <v>0</v>
      </c>
      <c r="P5090" s="183" t="n">
        <v>0</v>
      </c>
      <c r="Q5090" s="184" t="n">
        <v>0</v>
      </c>
      <c r="R5090" s="184" t="n">
        <v>0</v>
      </c>
      <c r="S5090" s="183" t="n">
        <v>0</v>
      </c>
      <c r="T5090" s="183" t="n">
        <v>0</v>
      </c>
      <c r="U5090" s="182" t="n">
        <v>0</v>
      </c>
      <c r="V5090" s="182" t="n">
        <v>0</v>
      </c>
      <c r="W5090" s="182" t="n">
        <v>0</v>
      </c>
      <c r="X5090" s="182" t="n">
        <v>0.97</v>
      </c>
      <c r="Y5090" s="182" t="n">
        <v>0</v>
      </c>
      <c r="Z5090" s="182" t="n">
        <v>0</v>
      </c>
      <c r="AA5090" s="182" t="n">
        <v>0</v>
      </c>
      <c r="AB5090" s="182" t="n">
        <v>0</v>
      </c>
      <c r="AC5090" s="182" t="n">
        <v>0</v>
      </c>
      <c r="AD5090" s="182" t="n">
        <v>0</v>
      </c>
      <c r="AE5090" s="182" t="n">
        <v>0</v>
      </c>
      <c r="AF5090" s="182" t="n">
        <v>0</v>
      </c>
      <c r="AG5090" s="182" t="n">
        <v>0</v>
      </c>
      <c r="AH5090" s="182" t="n">
        <v>0</v>
      </c>
      <c r="AI5090" s="182" t="n">
        <v>0</v>
      </c>
      <c r="AJ5090" s="182" t="n">
        <v>0</v>
      </c>
      <c r="AK5090" s="182" t="n">
        <v>8.050000000000001</v>
      </c>
      <c r="AL5090" s="182" t="n">
        <v>0</v>
      </c>
      <c r="AM5090" s="182" t="n">
        <v>0.08</v>
      </c>
      <c r="AN5090" s="182" t="n">
        <v>0</v>
      </c>
    </row>
    <row r="5091">
      <c r="A5091" s="155" t="n">
        <v>46105</v>
      </c>
      <c r="B5091" s="156" t="inlineStr">
        <is>
          <t>DS</t>
        </is>
      </c>
      <c r="C5091" s="156" t="inlineStr">
        <is>
          <t>HT-411</t>
        </is>
      </c>
      <c r="D5091" s="156" t="inlineStr">
        <is>
          <t>SY430</t>
        </is>
      </c>
      <c r="E5091" s="156" t="inlineStr">
        <is>
          <t>DT Hauling</t>
        </is>
      </c>
      <c r="F5091" s="156" t="inlineStr">
        <is>
          <t>Hauling Coal ke Jetty</t>
        </is>
      </c>
      <c r="G5091" s="182" t="n">
        <v>3.4</v>
      </c>
      <c r="H5091" s="182" t="n">
        <v>0</v>
      </c>
      <c r="I5091" s="182" t="n">
        <v>8.6</v>
      </c>
      <c r="J5091" s="182" t="n">
        <v>8.6</v>
      </c>
      <c r="K5091" s="182" t="n">
        <v>0</v>
      </c>
      <c r="L5091" s="182" t="n">
        <v>12</v>
      </c>
      <c r="M5091" s="182" t="n">
        <v>0</v>
      </c>
      <c r="N5091" s="182" t="n">
        <v>0</v>
      </c>
      <c r="O5091" s="183" t="n">
        <v>0</v>
      </c>
      <c r="P5091" s="183" t="n">
        <v>0</v>
      </c>
      <c r="Q5091" s="184" t="n">
        <v>0</v>
      </c>
      <c r="R5091" s="184" t="n">
        <v>0</v>
      </c>
      <c r="S5091" s="183" t="n">
        <v>0</v>
      </c>
      <c r="T5091" s="183" t="n">
        <v>0</v>
      </c>
      <c r="U5091" s="182" t="n">
        <v>0</v>
      </c>
      <c r="V5091" s="182" t="n">
        <v>0</v>
      </c>
      <c r="W5091" s="182" t="n">
        <v>0</v>
      </c>
      <c r="X5091" s="182" t="n">
        <v>0</v>
      </c>
      <c r="Y5091" s="182" t="n">
        <v>0</v>
      </c>
      <c r="Z5091" s="182" t="n">
        <v>0</v>
      </c>
      <c r="AA5091" s="182" t="n">
        <v>0</v>
      </c>
      <c r="AB5091" s="182" t="n">
        <v>0</v>
      </c>
      <c r="AC5091" s="182" t="n">
        <v>0</v>
      </c>
      <c r="AD5091" s="182" t="n">
        <v>0</v>
      </c>
      <c r="AE5091" s="182" t="n">
        <v>0</v>
      </c>
      <c r="AF5091" s="182" t="n">
        <v>0</v>
      </c>
      <c r="AG5091" s="182" t="n">
        <v>0</v>
      </c>
      <c r="AH5091" s="182" t="n">
        <v>0</v>
      </c>
      <c r="AI5091" s="182" t="n">
        <v>0</v>
      </c>
      <c r="AJ5091" s="182" t="n">
        <v>0</v>
      </c>
      <c r="AK5091" s="182" t="n">
        <v>0</v>
      </c>
      <c r="AL5091" s="182" t="n">
        <v>0</v>
      </c>
      <c r="AM5091" s="182" t="n">
        <v>0</v>
      </c>
      <c r="AN5091" s="182" t="n">
        <v>0</v>
      </c>
    </row>
    <row r="5092">
      <c r="A5092" s="155" t="n">
        <v>46105</v>
      </c>
      <c r="B5092" s="156" t="inlineStr">
        <is>
          <t>DS</t>
        </is>
      </c>
      <c r="C5092" s="156" t="inlineStr">
        <is>
          <t>HT-409</t>
        </is>
      </c>
      <c r="D5092" s="156" t="inlineStr">
        <is>
          <t>SY430</t>
        </is>
      </c>
      <c r="E5092" s="156" t="inlineStr">
        <is>
          <t>DT Hauling</t>
        </is>
      </c>
      <c r="F5092" s="156" t="inlineStr"/>
      <c r="G5092" s="182" t="n">
        <v>0</v>
      </c>
      <c r="H5092" s="182" t="n">
        <v>0</v>
      </c>
      <c r="I5092" s="182" t="n">
        <v>0</v>
      </c>
      <c r="J5092" s="182" t="n">
        <v>0</v>
      </c>
      <c r="K5092" s="182" t="n">
        <v>12</v>
      </c>
      <c r="L5092" s="182" t="n">
        <v>12</v>
      </c>
      <c r="M5092" s="182" t="n">
        <v>0</v>
      </c>
      <c r="N5092" s="182" t="n">
        <v>0</v>
      </c>
      <c r="O5092" s="183" t="n">
        <v>0</v>
      </c>
      <c r="P5092" s="183" t="n">
        <v>0</v>
      </c>
      <c r="Q5092" s="184" t="n">
        <v>0</v>
      </c>
      <c r="R5092" s="184" t="n">
        <v>0</v>
      </c>
      <c r="S5092" s="183" t="n">
        <v>0</v>
      </c>
      <c r="T5092" s="183" t="n">
        <v>0</v>
      </c>
      <c r="U5092" s="182" t="n">
        <v>0</v>
      </c>
      <c r="V5092" s="182" t="n">
        <v>0</v>
      </c>
      <c r="W5092" s="182" t="n">
        <v>0</v>
      </c>
      <c r="X5092" s="182" t="n">
        <v>1</v>
      </c>
      <c r="Y5092" s="182" t="n">
        <v>0</v>
      </c>
      <c r="Z5092" s="182" t="n">
        <v>0</v>
      </c>
      <c r="AA5092" s="182" t="n">
        <v>0</v>
      </c>
      <c r="AB5092" s="182" t="n">
        <v>0</v>
      </c>
      <c r="AC5092" s="182" t="n">
        <v>0</v>
      </c>
      <c r="AD5092" s="182" t="n">
        <v>0</v>
      </c>
      <c r="AE5092" s="182" t="n">
        <v>0</v>
      </c>
      <c r="AF5092" s="182" t="n">
        <v>0</v>
      </c>
      <c r="AG5092" s="182" t="n">
        <v>0</v>
      </c>
      <c r="AH5092" s="182" t="n">
        <v>0</v>
      </c>
      <c r="AI5092" s="182" t="n">
        <v>0</v>
      </c>
      <c r="AJ5092" s="182" t="n">
        <v>0</v>
      </c>
      <c r="AK5092" s="182" t="n">
        <v>10.92</v>
      </c>
      <c r="AL5092" s="182" t="n">
        <v>0</v>
      </c>
      <c r="AM5092" s="182" t="n">
        <v>0.08</v>
      </c>
      <c r="AN5092" s="182" t="n">
        <v>0</v>
      </c>
    </row>
    <row r="5093">
      <c r="A5093" s="155" t="n">
        <v>46105</v>
      </c>
      <c r="B5093" s="156" t="inlineStr">
        <is>
          <t>DS</t>
        </is>
      </c>
      <c r="C5093" s="156" t="inlineStr">
        <is>
          <t>DH-103</t>
        </is>
      </c>
      <c r="D5093" s="156" t="inlineStr">
        <is>
          <t>HINO FM260</t>
        </is>
      </c>
      <c r="E5093" s="156" t="inlineStr">
        <is>
          <t>DT Hino</t>
        </is>
      </c>
      <c r="F5093" s="156" t="inlineStr"/>
      <c r="G5093" s="182" t="n">
        <v>0</v>
      </c>
      <c r="H5093" s="182" t="n">
        <v>0</v>
      </c>
      <c r="I5093" s="182" t="n">
        <v>12</v>
      </c>
      <c r="J5093" s="182" t="n">
        <v>12</v>
      </c>
      <c r="K5093" s="182" t="n">
        <v>0</v>
      </c>
      <c r="L5093" s="182" t="n">
        <v>12</v>
      </c>
      <c r="M5093" s="182" t="n">
        <v>0</v>
      </c>
      <c r="N5093" s="182" t="n">
        <v>0</v>
      </c>
      <c r="O5093" s="183" t="n">
        <v>0</v>
      </c>
      <c r="P5093" s="183" t="n">
        <v>0</v>
      </c>
      <c r="Q5093" s="184" t="n">
        <v>0</v>
      </c>
      <c r="R5093" s="184" t="n">
        <v>0</v>
      </c>
      <c r="S5093" s="183" t="n">
        <v>0</v>
      </c>
      <c r="T5093" s="183" t="n">
        <v>0</v>
      </c>
      <c r="U5093" s="182" t="n">
        <v>0</v>
      </c>
      <c r="V5093" s="182" t="n">
        <v>0</v>
      </c>
      <c r="W5093" s="182" t="n">
        <v>0</v>
      </c>
      <c r="X5093" s="182" t="n">
        <v>0</v>
      </c>
      <c r="Y5093" s="182" t="n">
        <v>0</v>
      </c>
      <c r="Z5093" s="182" t="n">
        <v>0</v>
      </c>
      <c r="AA5093" s="182" t="n">
        <v>0</v>
      </c>
      <c r="AB5093" s="182" t="n">
        <v>0</v>
      </c>
      <c r="AC5093" s="182" t="n">
        <v>0</v>
      </c>
      <c r="AD5093" s="182" t="n">
        <v>0</v>
      </c>
      <c r="AE5093" s="182" t="n">
        <v>0</v>
      </c>
      <c r="AF5093" s="182" t="n">
        <v>0</v>
      </c>
      <c r="AG5093" s="182" t="n">
        <v>0</v>
      </c>
      <c r="AH5093" s="182" t="n">
        <v>0</v>
      </c>
      <c r="AI5093" s="182" t="n">
        <v>0</v>
      </c>
      <c r="AJ5093" s="182" t="n">
        <v>0</v>
      </c>
      <c r="AK5093" s="182" t="n">
        <v>0</v>
      </c>
      <c r="AL5093" s="182" t="n">
        <v>0</v>
      </c>
      <c r="AM5093" s="182" t="n">
        <v>0</v>
      </c>
      <c r="AN5093" s="182" t="n">
        <v>0</v>
      </c>
    </row>
    <row r="5094">
      <c r="A5094" s="155" t="n">
        <v>46105</v>
      </c>
      <c r="B5094" s="156" t="inlineStr">
        <is>
          <t>DS</t>
        </is>
      </c>
      <c r="C5094" s="156" t="inlineStr">
        <is>
          <t>DH-102</t>
        </is>
      </c>
      <c r="D5094" s="156" t="inlineStr">
        <is>
          <t>HINO FM260</t>
        </is>
      </c>
      <c r="E5094" s="156" t="inlineStr">
        <is>
          <t>DT Hino</t>
        </is>
      </c>
      <c r="F5094" s="156" t="inlineStr"/>
      <c r="G5094" s="182" t="n">
        <v>0</v>
      </c>
      <c r="H5094" s="182" t="n">
        <v>0</v>
      </c>
      <c r="I5094" s="182" t="n">
        <v>0</v>
      </c>
      <c r="J5094" s="182" t="n">
        <v>0</v>
      </c>
      <c r="K5094" s="182" t="n">
        <v>12</v>
      </c>
      <c r="L5094" s="182" t="n">
        <v>12</v>
      </c>
      <c r="M5094" s="182" t="n">
        <v>0</v>
      </c>
      <c r="N5094" s="182" t="n">
        <v>0</v>
      </c>
      <c r="O5094" s="183" t="n">
        <v>0</v>
      </c>
      <c r="P5094" s="183" t="n">
        <v>0</v>
      </c>
      <c r="Q5094" s="184" t="n">
        <v>0</v>
      </c>
      <c r="R5094" s="184" t="n">
        <v>0</v>
      </c>
      <c r="S5094" s="183" t="n">
        <v>0</v>
      </c>
      <c r="T5094" s="183" t="n">
        <v>0</v>
      </c>
      <c r="U5094" s="182" t="n">
        <v>0</v>
      </c>
      <c r="V5094" s="182" t="n">
        <v>0</v>
      </c>
      <c r="W5094" s="182" t="n">
        <v>0</v>
      </c>
      <c r="X5094" s="182" t="n">
        <v>1</v>
      </c>
      <c r="Y5094" s="182" t="n">
        <v>0</v>
      </c>
      <c r="Z5094" s="182" t="n">
        <v>0</v>
      </c>
      <c r="AA5094" s="182" t="n">
        <v>0</v>
      </c>
      <c r="AB5094" s="182" t="n">
        <v>0</v>
      </c>
      <c r="AC5094" s="182" t="n">
        <v>0</v>
      </c>
      <c r="AD5094" s="182" t="n">
        <v>0</v>
      </c>
      <c r="AE5094" s="182" t="n">
        <v>0</v>
      </c>
      <c r="AF5094" s="182" t="n">
        <v>0</v>
      </c>
      <c r="AG5094" s="182" t="n">
        <v>0</v>
      </c>
      <c r="AH5094" s="182" t="n">
        <v>0</v>
      </c>
      <c r="AI5094" s="182" t="n">
        <v>0</v>
      </c>
      <c r="AJ5094" s="182" t="n">
        <v>0</v>
      </c>
      <c r="AK5094" s="182" t="n">
        <v>10.92</v>
      </c>
      <c r="AL5094" s="182" t="n">
        <v>0</v>
      </c>
      <c r="AM5094" s="182" t="n">
        <v>0.08</v>
      </c>
      <c r="AN5094" s="182" t="n">
        <v>0</v>
      </c>
    </row>
    <row r="5095">
      <c r="A5095" s="155" t="n">
        <v>46105</v>
      </c>
      <c r="B5095" s="156" t="inlineStr">
        <is>
          <t>DS</t>
        </is>
      </c>
      <c r="C5095" s="156" t="inlineStr">
        <is>
          <t>DH-101</t>
        </is>
      </c>
      <c r="D5095" s="156" t="inlineStr">
        <is>
          <t>HINO FM260</t>
        </is>
      </c>
      <c r="E5095" s="156" t="inlineStr">
        <is>
          <t>DT Hino</t>
        </is>
      </c>
      <c r="F5095" s="156" t="inlineStr"/>
      <c r="G5095" s="182" t="n">
        <v>0</v>
      </c>
      <c r="H5095" s="182" t="n">
        <v>0</v>
      </c>
      <c r="I5095" s="182" t="n">
        <v>0</v>
      </c>
      <c r="J5095" s="182" t="n">
        <v>0</v>
      </c>
      <c r="K5095" s="182" t="n">
        <v>12</v>
      </c>
      <c r="L5095" s="182" t="n">
        <v>12</v>
      </c>
      <c r="M5095" s="182" t="n">
        <v>0</v>
      </c>
      <c r="N5095" s="182" t="n">
        <v>0</v>
      </c>
      <c r="O5095" s="183" t="n">
        <v>0</v>
      </c>
      <c r="P5095" s="183" t="n">
        <v>0</v>
      </c>
      <c r="Q5095" s="184" t="n">
        <v>0</v>
      </c>
      <c r="R5095" s="184" t="n">
        <v>0</v>
      </c>
      <c r="S5095" s="183" t="n">
        <v>0</v>
      </c>
      <c r="T5095" s="183" t="n">
        <v>0</v>
      </c>
      <c r="U5095" s="182" t="n">
        <v>0</v>
      </c>
      <c r="V5095" s="182" t="n">
        <v>0</v>
      </c>
      <c r="W5095" s="182" t="n">
        <v>0</v>
      </c>
      <c r="X5095" s="182" t="n">
        <v>1</v>
      </c>
      <c r="Y5095" s="182" t="n">
        <v>0</v>
      </c>
      <c r="Z5095" s="182" t="n">
        <v>0</v>
      </c>
      <c r="AA5095" s="182" t="n">
        <v>0</v>
      </c>
      <c r="AB5095" s="182" t="n">
        <v>0</v>
      </c>
      <c r="AC5095" s="182" t="n">
        <v>0</v>
      </c>
      <c r="AD5095" s="182" t="n">
        <v>0</v>
      </c>
      <c r="AE5095" s="182" t="n">
        <v>0</v>
      </c>
      <c r="AF5095" s="182" t="n">
        <v>0</v>
      </c>
      <c r="AG5095" s="182" t="n">
        <v>0</v>
      </c>
      <c r="AH5095" s="182" t="n">
        <v>0</v>
      </c>
      <c r="AI5095" s="182" t="n">
        <v>0</v>
      </c>
      <c r="AJ5095" s="182" t="n">
        <v>0</v>
      </c>
      <c r="AK5095" s="182" t="n">
        <v>10.92</v>
      </c>
      <c r="AL5095" s="182" t="n">
        <v>0</v>
      </c>
      <c r="AM5095" s="182" t="n">
        <v>0.08</v>
      </c>
      <c r="AN5095" s="182" t="n">
        <v>0</v>
      </c>
    </row>
    <row r="5096">
      <c r="A5096" s="155" t="n">
        <v>46105</v>
      </c>
      <c r="B5096" s="156" t="inlineStr">
        <is>
          <t>DS</t>
        </is>
      </c>
      <c r="C5096" s="156" t="inlineStr">
        <is>
          <t>EX-1251</t>
        </is>
      </c>
      <c r="D5096" s="156" t="inlineStr">
        <is>
          <t>SY1250</t>
        </is>
      </c>
      <c r="E5096" s="156" t="inlineStr">
        <is>
          <t>Excavator</t>
        </is>
      </c>
      <c r="F5096" s="156" t="inlineStr">
        <is>
          <t>Travel</t>
        </is>
      </c>
      <c r="G5096" s="182" t="n">
        <v>1.45</v>
      </c>
      <c r="H5096" s="182" t="n">
        <v>0</v>
      </c>
      <c r="I5096" s="182" t="n">
        <v>10.55</v>
      </c>
      <c r="J5096" s="182" t="n">
        <v>10.55</v>
      </c>
      <c r="K5096" s="182" t="n">
        <v>0</v>
      </c>
      <c r="L5096" s="182" t="n">
        <v>12</v>
      </c>
      <c r="M5096" s="182" t="n">
        <v>0</v>
      </c>
      <c r="N5096" s="182" t="n">
        <v>0</v>
      </c>
      <c r="O5096" s="185">
        <f>SUMIFS(INPUT_RITASE!$F$5:$F$20000,INPUT_RITASE!$A$5:$A$20000,$A5096,INPUT_RITASE!$H$5:$H$20000,$B5096,INPUT_RITASE!$C$5:$C$20000,$C5096,INPUT_RITASE!$N$5:$N$20000,"OB")</f>
        <v/>
      </c>
      <c r="P5096" s="185">
        <f>SUMIFS(INPUT_RITASE!$F$5:$F$20000,INPUT_RITASE!$A$5:$A$20000,$A5096,INPUT_RITASE!$H$5:$H$20000,$B5096,INPUT_RITASE!$C$5:$C$20000,$C5096,INPUT_RITASE!$N$5:$N$20000,"Coal")</f>
        <v/>
      </c>
      <c r="Q5096" s="186">
        <f>SUMIFS(INPUT_RITASE!$L$5:$L$20000,INPUT_RITASE!$A$5:$A$20000,$A5096,INPUT_RITASE!$H$5:$H$20000,$B5096,INPUT_RITASE!$C$5:$C$20000,$C5096,INPUT_RITASE!$N$5:$N$20000,"OB")</f>
        <v/>
      </c>
      <c r="R5096" s="186">
        <f>SUMIFS(INPUT_RITASE!$L$5:$L$20000,INPUT_RITASE!$A$5:$A$20000,$A5096,INPUT_RITASE!$H$5:$H$20000,$B5096,INPUT_RITASE!$C$5:$C$20000,$C5096,INPUT_RITASE!$N$5:$N$20000,"Coal")</f>
        <v/>
      </c>
      <c r="S5096" s="183" t="n">
        <v>0</v>
      </c>
      <c r="T5096" s="183" t="n">
        <v>0</v>
      </c>
      <c r="U5096" s="182" t="n">
        <v>0</v>
      </c>
      <c r="V5096" s="182" t="n">
        <v>0</v>
      </c>
      <c r="W5096" s="182" t="n">
        <v>0</v>
      </c>
      <c r="X5096" s="182" t="n">
        <v>0</v>
      </c>
      <c r="Y5096" s="182" t="n">
        <v>0</v>
      </c>
      <c r="Z5096" s="182" t="n">
        <v>0</v>
      </c>
      <c r="AA5096" s="182" t="n">
        <v>0</v>
      </c>
      <c r="AB5096" s="182" t="n">
        <v>0</v>
      </c>
      <c r="AC5096" s="182" t="n">
        <v>0</v>
      </c>
      <c r="AD5096" s="182" t="n">
        <v>0</v>
      </c>
      <c r="AE5096" s="182" t="n">
        <v>0</v>
      </c>
      <c r="AF5096" s="182" t="n">
        <v>0</v>
      </c>
      <c r="AG5096" s="182" t="n">
        <v>0</v>
      </c>
      <c r="AH5096" s="182" t="n">
        <v>0</v>
      </c>
      <c r="AI5096" s="182" t="n">
        <v>0</v>
      </c>
      <c r="AJ5096" s="182" t="n">
        <v>0</v>
      </c>
      <c r="AK5096" s="182" t="n">
        <v>0</v>
      </c>
      <c r="AL5096" s="182" t="n">
        <v>0</v>
      </c>
      <c r="AM5096" s="182" t="n">
        <v>0</v>
      </c>
      <c r="AN5096" s="182" t="n">
        <v>0</v>
      </c>
    </row>
    <row r="5097">
      <c r="A5097" s="155" t="n">
        <v>46105</v>
      </c>
      <c r="B5097" s="156" t="inlineStr">
        <is>
          <t>DS</t>
        </is>
      </c>
      <c r="C5097" s="156" t="inlineStr">
        <is>
          <t>EX-1252</t>
        </is>
      </c>
      <c r="D5097" s="156" t="inlineStr">
        <is>
          <t>SY1250</t>
        </is>
      </c>
      <c r="E5097" s="156" t="inlineStr">
        <is>
          <t>Excavator</t>
        </is>
      </c>
      <c r="F5097" s="156" t="inlineStr"/>
      <c r="G5097" s="182" t="n">
        <v>0</v>
      </c>
      <c r="H5097" s="182" t="n">
        <v>0</v>
      </c>
      <c r="I5097" s="182" t="n">
        <v>12</v>
      </c>
      <c r="J5097" s="182" t="n">
        <v>12</v>
      </c>
      <c r="K5097" s="182" t="n">
        <v>0</v>
      </c>
      <c r="L5097" s="182" t="n">
        <v>12</v>
      </c>
      <c r="M5097" s="182" t="n">
        <v>0</v>
      </c>
      <c r="N5097" s="182" t="n">
        <v>0</v>
      </c>
      <c r="O5097" s="185">
        <f>SUMIFS(INPUT_RITASE!$F$5:$F$20000,INPUT_RITASE!$A$5:$A$20000,$A5097,INPUT_RITASE!$H$5:$H$20000,$B5097,INPUT_RITASE!$C$5:$C$20000,$C5097,INPUT_RITASE!$N$5:$N$20000,"OB")</f>
        <v/>
      </c>
      <c r="P5097" s="185">
        <f>SUMIFS(INPUT_RITASE!$F$5:$F$20000,INPUT_RITASE!$A$5:$A$20000,$A5097,INPUT_RITASE!$H$5:$H$20000,$B5097,INPUT_RITASE!$C$5:$C$20000,$C5097,INPUT_RITASE!$N$5:$N$20000,"Coal")</f>
        <v/>
      </c>
      <c r="Q5097" s="186">
        <f>SUMIFS(INPUT_RITASE!$L$5:$L$20000,INPUT_RITASE!$A$5:$A$20000,$A5097,INPUT_RITASE!$H$5:$H$20000,$B5097,INPUT_RITASE!$C$5:$C$20000,$C5097,INPUT_RITASE!$N$5:$N$20000,"OB")</f>
        <v/>
      </c>
      <c r="R5097" s="186">
        <f>SUMIFS(INPUT_RITASE!$L$5:$L$20000,INPUT_RITASE!$A$5:$A$20000,$A5097,INPUT_RITASE!$H$5:$H$20000,$B5097,INPUT_RITASE!$C$5:$C$20000,$C5097,INPUT_RITASE!$N$5:$N$20000,"Coal")</f>
        <v/>
      </c>
      <c r="S5097" s="183" t="n">
        <v>0</v>
      </c>
      <c r="T5097" s="183" t="n">
        <v>0</v>
      </c>
      <c r="U5097" s="182" t="n">
        <v>0</v>
      </c>
      <c r="V5097" s="182" t="n">
        <v>0</v>
      </c>
      <c r="W5097" s="182" t="n">
        <v>0</v>
      </c>
      <c r="X5097" s="182" t="n">
        <v>0</v>
      </c>
      <c r="Y5097" s="182" t="n">
        <v>0</v>
      </c>
      <c r="Z5097" s="182" t="n">
        <v>0</v>
      </c>
      <c r="AA5097" s="182" t="n">
        <v>0</v>
      </c>
      <c r="AB5097" s="182" t="n">
        <v>0</v>
      </c>
      <c r="AC5097" s="182" t="n">
        <v>0</v>
      </c>
      <c r="AD5097" s="182" t="n">
        <v>0</v>
      </c>
      <c r="AE5097" s="182" t="n">
        <v>0</v>
      </c>
      <c r="AF5097" s="182" t="n">
        <v>0</v>
      </c>
      <c r="AG5097" s="182" t="n">
        <v>0</v>
      </c>
      <c r="AH5097" s="182" t="n">
        <v>0</v>
      </c>
      <c r="AI5097" s="182" t="n">
        <v>0</v>
      </c>
      <c r="AJ5097" s="182" t="n">
        <v>0</v>
      </c>
      <c r="AK5097" s="182" t="n">
        <v>0</v>
      </c>
      <c r="AL5097" s="182" t="n">
        <v>0</v>
      </c>
      <c r="AM5097" s="182" t="n">
        <v>0</v>
      </c>
      <c r="AN5097" s="182" t="n">
        <v>0</v>
      </c>
    </row>
    <row r="5098">
      <c r="A5098" s="155" t="n">
        <v>46105</v>
      </c>
      <c r="B5098" s="156" t="inlineStr">
        <is>
          <t>DS</t>
        </is>
      </c>
      <c r="C5098" s="156" t="inlineStr">
        <is>
          <t>EX-2101</t>
        </is>
      </c>
      <c r="D5098" s="156" t="inlineStr">
        <is>
          <t>SY2000</t>
        </is>
      </c>
      <c r="E5098" s="156" t="inlineStr">
        <is>
          <t>Excavator</t>
        </is>
      </c>
      <c r="F5098" s="156" t="inlineStr">
        <is>
          <t>Loading OB</t>
        </is>
      </c>
      <c r="G5098" s="182" t="n">
        <v>8.85</v>
      </c>
      <c r="H5098" s="182" t="n">
        <v>0</v>
      </c>
      <c r="I5098" s="182" t="n">
        <v>0.58</v>
      </c>
      <c r="J5098" s="182" t="n">
        <v>0.58</v>
      </c>
      <c r="K5098" s="182" t="n">
        <v>2.57</v>
      </c>
      <c r="L5098" s="182" t="n">
        <v>12</v>
      </c>
      <c r="M5098" s="182" t="n">
        <v>8.85</v>
      </c>
      <c r="N5098" s="182" t="n">
        <v>0</v>
      </c>
      <c r="O5098" s="185">
        <f>SUMIFS(INPUT_RITASE!$F$5:$F$20000,INPUT_RITASE!$A$5:$A$20000,$A5098,INPUT_RITASE!$H$5:$H$20000,$B5098,INPUT_RITASE!$C$5:$C$20000,$C5098,INPUT_RITASE!$N$5:$N$20000,"OB")</f>
        <v/>
      </c>
      <c r="P5098" s="185">
        <f>SUMIFS(INPUT_RITASE!$F$5:$F$20000,INPUT_RITASE!$A$5:$A$20000,$A5098,INPUT_RITASE!$H$5:$H$20000,$B5098,INPUT_RITASE!$C$5:$C$20000,$C5098,INPUT_RITASE!$N$5:$N$20000,"Coal")</f>
        <v/>
      </c>
      <c r="Q5098" s="186">
        <f>SUMIFS(INPUT_RITASE!$L$5:$L$20000,INPUT_RITASE!$A$5:$A$20000,$A5098,INPUT_RITASE!$H$5:$H$20000,$B5098,INPUT_RITASE!$C$5:$C$20000,$C5098,INPUT_RITASE!$N$5:$N$20000,"OB")</f>
        <v/>
      </c>
      <c r="R5098" s="186">
        <f>SUMIFS(INPUT_RITASE!$L$5:$L$20000,INPUT_RITASE!$A$5:$A$20000,$A5098,INPUT_RITASE!$H$5:$H$20000,$B5098,INPUT_RITASE!$C$5:$C$20000,$C5098,INPUT_RITASE!$N$5:$N$20000,"Coal")</f>
        <v/>
      </c>
      <c r="S5098" s="183" t="n">
        <v>0</v>
      </c>
      <c r="T5098" s="183" t="n">
        <v>0</v>
      </c>
      <c r="U5098" s="182" t="n">
        <v>0</v>
      </c>
      <c r="V5098" s="182" t="n">
        <v>0</v>
      </c>
      <c r="W5098" s="182" t="n">
        <v>1.02</v>
      </c>
      <c r="X5098" s="182" t="n">
        <v>1.04</v>
      </c>
      <c r="Y5098" s="182" t="n">
        <v>0</v>
      </c>
      <c r="Z5098" s="182" t="n">
        <v>0</v>
      </c>
      <c r="AA5098" s="182" t="n">
        <v>0</v>
      </c>
      <c r="AB5098" s="182" t="n">
        <v>0</v>
      </c>
      <c r="AC5098" s="182" t="n">
        <v>0</v>
      </c>
      <c r="AD5098" s="182" t="n">
        <v>0</v>
      </c>
      <c r="AE5098" s="182" t="n">
        <v>0</v>
      </c>
      <c r="AF5098" s="182" t="n">
        <v>0</v>
      </c>
      <c r="AG5098" s="182" t="n">
        <v>0</v>
      </c>
      <c r="AH5098" s="182" t="n">
        <v>0.42</v>
      </c>
      <c r="AI5098" s="182" t="n">
        <v>0</v>
      </c>
      <c r="AJ5098" s="182" t="n">
        <v>0</v>
      </c>
      <c r="AK5098" s="182" t="n">
        <v>0</v>
      </c>
      <c r="AL5098" s="182" t="n">
        <v>0</v>
      </c>
      <c r="AM5098" s="182" t="n">
        <v>0.08</v>
      </c>
      <c r="AN5098" s="182" t="n">
        <v>0</v>
      </c>
    </row>
    <row r="5099">
      <c r="A5099" s="155" t="n">
        <v>46105</v>
      </c>
      <c r="B5099" s="156" t="inlineStr">
        <is>
          <t>DS</t>
        </is>
      </c>
      <c r="C5099" s="156" t="inlineStr">
        <is>
          <t>EX-222</t>
        </is>
      </c>
      <c r="D5099" s="156" t="inlineStr">
        <is>
          <t>PC 200-8MI</t>
        </is>
      </c>
      <c r="E5099" s="156" t="inlineStr">
        <is>
          <t>Excavator</t>
        </is>
      </c>
      <c r="F5099" s="156" t="inlineStr">
        <is>
          <t>Support ROM</t>
        </is>
      </c>
      <c r="G5099" s="182" t="n">
        <v>10.39</v>
      </c>
      <c r="H5099" s="182" t="n">
        <v>0</v>
      </c>
      <c r="I5099" s="182" t="n">
        <v>1.5</v>
      </c>
      <c r="J5099" s="182" t="n">
        <v>1.5</v>
      </c>
      <c r="K5099" s="182" t="n">
        <v>0.11</v>
      </c>
      <c r="L5099" s="182" t="n">
        <v>12</v>
      </c>
      <c r="M5099" s="182" t="n">
        <v>0</v>
      </c>
      <c r="N5099" s="182" t="n">
        <v>0</v>
      </c>
      <c r="O5099" s="185">
        <f>SUMIFS(INPUT_RITASE!$F$5:$F$20000,INPUT_RITASE!$A$5:$A$20000,$A5099,INPUT_RITASE!$H$5:$H$20000,$B5099,INPUT_RITASE!$C$5:$C$20000,$C5099,INPUT_RITASE!$N$5:$N$20000,"OB")</f>
        <v/>
      </c>
      <c r="P5099" s="185">
        <f>SUMIFS(INPUT_RITASE!$F$5:$F$20000,INPUT_RITASE!$A$5:$A$20000,$A5099,INPUT_RITASE!$H$5:$H$20000,$B5099,INPUT_RITASE!$C$5:$C$20000,$C5099,INPUT_RITASE!$N$5:$N$20000,"Coal")</f>
        <v/>
      </c>
      <c r="Q5099" s="186">
        <f>SUMIFS(INPUT_RITASE!$L$5:$L$20000,INPUT_RITASE!$A$5:$A$20000,$A5099,INPUT_RITASE!$H$5:$H$20000,$B5099,INPUT_RITASE!$C$5:$C$20000,$C5099,INPUT_RITASE!$N$5:$N$20000,"OB")</f>
        <v/>
      </c>
      <c r="R5099" s="186">
        <f>SUMIFS(INPUT_RITASE!$L$5:$L$20000,INPUT_RITASE!$A$5:$A$20000,$A5099,INPUT_RITASE!$H$5:$H$20000,$B5099,INPUT_RITASE!$C$5:$C$20000,$C5099,INPUT_RITASE!$N$5:$N$20000,"Coal")</f>
        <v/>
      </c>
      <c r="S5099" s="183" t="n">
        <v>0</v>
      </c>
      <c r="T5099" s="183" t="n">
        <v>0</v>
      </c>
      <c r="U5099" s="182" t="n">
        <v>0</v>
      </c>
      <c r="V5099" s="182" t="n">
        <v>0</v>
      </c>
      <c r="W5099" s="182" t="n">
        <v>0</v>
      </c>
      <c r="X5099" s="182" t="n">
        <v>0</v>
      </c>
      <c r="Y5099" s="182" t="n">
        <v>0</v>
      </c>
      <c r="Z5099" s="182" t="n">
        <v>0</v>
      </c>
      <c r="AA5099" s="182" t="n">
        <v>0</v>
      </c>
      <c r="AB5099" s="182" t="n">
        <v>0</v>
      </c>
      <c r="AC5099" s="182" t="n">
        <v>0</v>
      </c>
      <c r="AD5099" s="182" t="n">
        <v>0</v>
      </c>
      <c r="AE5099" s="182" t="n">
        <v>0</v>
      </c>
      <c r="AF5099" s="182" t="n">
        <v>0</v>
      </c>
      <c r="AG5099" s="182" t="n">
        <v>0</v>
      </c>
      <c r="AH5099" s="182" t="n">
        <v>0</v>
      </c>
      <c r="AI5099" s="182" t="n">
        <v>0</v>
      </c>
      <c r="AJ5099" s="182" t="n">
        <v>0</v>
      </c>
      <c r="AK5099" s="182" t="n">
        <v>0</v>
      </c>
      <c r="AL5099" s="182" t="n">
        <v>0</v>
      </c>
      <c r="AM5099" s="182" t="n">
        <v>0</v>
      </c>
      <c r="AN5099" s="182" t="n">
        <v>0</v>
      </c>
    </row>
    <row r="5100">
      <c r="A5100" s="155" t="n">
        <v>46105</v>
      </c>
      <c r="B5100" s="156" t="inlineStr">
        <is>
          <t>DS</t>
        </is>
      </c>
      <c r="C5100" s="156" t="inlineStr">
        <is>
          <t>EX-225</t>
        </is>
      </c>
      <c r="D5100" s="156" t="inlineStr">
        <is>
          <t>PC 200-8</t>
        </is>
      </c>
      <c r="E5100" s="156" t="inlineStr">
        <is>
          <t>Excavator</t>
        </is>
      </c>
      <c r="F5100" s="156" t="inlineStr"/>
      <c r="G5100" s="182" t="n">
        <v>0</v>
      </c>
      <c r="H5100" s="182" t="n">
        <v>0</v>
      </c>
      <c r="I5100" s="182" t="n">
        <v>12</v>
      </c>
      <c r="J5100" s="182" t="n">
        <v>12</v>
      </c>
      <c r="K5100" s="182" t="n">
        <v>0</v>
      </c>
      <c r="L5100" s="182" t="n">
        <v>12</v>
      </c>
      <c r="M5100" s="182" t="n">
        <v>0</v>
      </c>
      <c r="N5100" s="182" t="n">
        <v>0</v>
      </c>
      <c r="O5100" s="185">
        <f>SUMIFS(INPUT_RITASE!$F$5:$F$20000,INPUT_RITASE!$A$5:$A$20000,$A5100,INPUT_RITASE!$H$5:$H$20000,$B5100,INPUT_RITASE!$C$5:$C$20000,$C5100,INPUT_RITASE!$N$5:$N$20000,"OB")</f>
        <v/>
      </c>
      <c r="P5100" s="185">
        <f>SUMIFS(INPUT_RITASE!$F$5:$F$20000,INPUT_RITASE!$A$5:$A$20000,$A5100,INPUT_RITASE!$H$5:$H$20000,$B5100,INPUT_RITASE!$C$5:$C$20000,$C5100,INPUT_RITASE!$N$5:$N$20000,"Coal")</f>
        <v/>
      </c>
      <c r="Q5100" s="186">
        <f>SUMIFS(INPUT_RITASE!$L$5:$L$20000,INPUT_RITASE!$A$5:$A$20000,$A5100,INPUT_RITASE!$H$5:$H$20000,$B5100,INPUT_RITASE!$C$5:$C$20000,$C5100,INPUT_RITASE!$N$5:$N$20000,"OB")</f>
        <v/>
      </c>
      <c r="R5100" s="186">
        <f>SUMIFS(INPUT_RITASE!$L$5:$L$20000,INPUT_RITASE!$A$5:$A$20000,$A5100,INPUT_RITASE!$H$5:$H$20000,$B5100,INPUT_RITASE!$C$5:$C$20000,$C5100,INPUT_RITASE!$N$5:$N$20000,"Coal")</f>
        <v/>
      </c>
      <c r="S5100" s="183" t="n">
        <v>0</v>
      </c>
      <c r="T5100" s="183" t="n">
        <v>0</v>
      </c>
      <c r="U5100" s="182" t="n">
        <v>0</v>
      </c>
      <c r="V5100" s="182" t="n">
        <v>0</v>
      </c>
      <c r="W5100" s="182" t="n">
        <v>0</v>
      </c>
      <c r="X5100" s="182" t="n">
        <v>0</v>
      </c>
      <c r="Y5100" s="182" t="n">
        <v>0</v>
      </c>
      <c r="Z5100" s="182" t="n">
        <v>0</v>
      </c>
      <c r="AA5100" s="182" t="n">
        <v>0</v>
      </c>
      <c r="AB5100" s="182" t="n">
        <v>0</v>
      </c>
      <c r="AC5100" s="182" t="n">
        <v>0</v>
      </c>
      <c r="AD5100" s="182" t="n">
        <v>0</v>
      </c>
      <c r="AE5100" s="182" t="n">
        <v>0</v>
      </c>
      <c r="AF5100" s="182" t="n">
        <v>0</v>
      </c>
      <c r="AG5100" s="182" t="n">
        <v>0</v>
      </c>
      <c r="AH5100" s="182" t="n">
        <v>0</v>
      </c>
      <c r="AI5100" s="182" t="n">
        <v>0</v>
      </c>
      <c r="AJ5100" s="182" t="n">
        <v>0</v>
      </c>
      <c r="AK5100" s="182" t="n">
        <v>0</v>
      </c>
      <c r="AL5100" s="182" t="n">
        <v>0</v>
      </c>
      <c r="AM5100" s="182" t="n">
        <v>0</v>
      </c>
      <c r="AN5100" s="182" t="n">
        <v>0</v>
      </c>
    </row>
    <row r="5101">
      <c r="A5101" s="155" t="n">
        <v>46105</v>
      </c>
      <c r="B5101" s="156" t="inlineStr">
        <is>
          <t>DS</t>
        </is>
      </c>
      <c r="C5101" s="156" t="inlineStr">
        <is>
          <t>EX-223</t>
        </is>
      </c>
      <c r="D5101" s="156" t="inlineStr">
        <is>
          <t>PC 200-8MI</t>
        </is>
      </c>
      <c r="E5101" s="156" t="inlineStr">
        <is>
          <t>Excavator</t>
        </is>
      </c>
      <c r="F5101" s="156" t="inlineStr">
        <is>
          <t>General</t>
        </is>
      </c>
      <c r="G5101" s="182" t="n">
        <v>8.539999999999999</v>
      </c>
      <c r="H5101" s="182" t="n">
        <v>0</v>
      </c>
      <c r="I5101" s="182" t="n">
        <v>0</v>
      </c>
      <c r="J5101" s="182" t="n">
        <v>0</v>
      </c>
      <c r="K5101" s="182" t="n">
        <v>3.46</v>
      </c>
      <c r="L5101" s="182" t="n">
        <v>12</v>
      </c>
      <c r="M5101" s="182" t="n">
        <v>0</v>
      </c>
      <c r="N5101" s="182" t="n">
        <v>0</v>
      </c>
      <c r="O5101" s="185">
        <f>SUMIFS(INPUT_RITASE!$F$5:$F$20000,INPUT_RITASE!$A$5:$A$20000,$A5101,INPUT_RITASE!$H$5:$H$20000,$B5101,INPUT_RITASE!$C$5:$C$20000,$C5101,INPUT_RITASE!$N$5:$N$20000,"OB")</f>
        <v/>
      </c>
      <c r="P5101" s="185">
        <f>SUMIFS(INPUT_RITASE!$F$5:$F$20000,INPUT_RITASE!$A$5:$A$20000,$A5101,INPUT_RITASE!$H$5:$H$20000,$B5101,INPUT_RITASE!$C$5:$C$20000,$C5101,INPUT_RITASE!$N$5:$N$20000,"Coal")</f>
        <v/>
      </c>
      <c r="Q5101" s="186">
        <f>SUMIFS(INPUT_RITASE!$L$5:$L$20000,INPUT_RITASE!$A$5:$A$20000,$A5101,INPUT_RITASE!$H$5:$H$20000,$B5101,INPUT_RITASE!$C$5:$C$20000,$C5101,INPUT_RITASE!$N$5:$N$20000,"OB")</f>
        <v/>
      </c>
      <c r="R5101" s="186">
        <f>SUMIFS(INPUT_RITASE!$L$5:$L$20000,INPUT_RITASE!$A$5:$A$20000,$A5101,INPUT_RITASE!$H$5:$H$20000,$B5101,INPUT_RITASE!$C$5:$C$20000,$C5101,INPUT_RITASE!$N$5:$N$20000,"Coal")</f>
        <v/>
      </c>
      <c r="S5101" s="183" t="n">
        <v>0</v>
      </c>
      <c r="T5101" s="183" t="n">
        <v>0</v>
      </c>
      <c r="U5101" s="182" t="n">
        <v>0</v>
      </c>
      <c r="V5101" s="182" t="n">
        <v>0</v>
      </c>
      <c r="W5101" s="182" t="n">
        <v>0</v>
      </c>
      <c r="X5101" s="182" t="n">
        <v>0.99</v>
      </c>
      <c r="Y5101" s="182" t="n">
        <v>0</v>
      </c>
      <c r="Z5101" s="182" t="n">
        <v>0</v>
      </c>
      <c r="AA5101" s="182" t="n">
        <v>0</v>
      </c>
      <c r="AB5101" s="182" t="n">
        <v>0</v>
      </c>
      <c r="AC5101" s="182" t="n">
        <v>0</v>
      </c>
      <c r="AD5101" s="182" t="n">
        <v>0</v>
      </c>
      <c r="AE5101" s="182" t="n">
        <v>0</v>
      </c>
      <c r="AF5101" s="182" t="n">
        <v>0</v>
      </c>
      <c r="AG5101" s="182" t="n">
        <v>0</v>
      </c>
      <c r="AH5101" s="182" t="n">
        <v>0</v>
      </c>
      <c r="AI5101" s="182" t="n">
        <v>0</v>
      </c>
      <c r="AJ5101" s="182" t="n">
        <v>0</v>
      </c>
      <c r="AK5101" s="182" t="n">
        <v>2.39</v>
      </c>
      <c r="AL5101" s="182" t="n">
        <v>0</v>
      </c>
      <c r="AM5101" s="182" t="n">
        <v>0.08</v>
      </c>
      <c r="AN5101" s="182" t="n">
        <v>0</v>
      </c>
    </row>
    <row r="5102">
      <c r="A5102" s="155" t="n">
        <v>46105</v>
      </c>
      <c r="B5102" s="156" t="inlineStr">
        <is>
          <t>DS</t>
        </is>
      </c>
      <c r="C5102" s="156" t="inlineStr">
        <is>
          <t>EX-221</t>
        </is>
      </c>
      <c r="D5102" s="156" t="inlineStr">
        <is>
          <t>PC 200-8MI</t>
        </is>
      </c>
      <c r="E5102" s="156" t="inlineStr">
        <is>
          <t>Excavator</t>
        </is>
      </c>
      <c r="F5102" s="156" t="inlineStr">
        <is>
          <t>General Jetty</t>
        </is>
      </c>
      <c r="G5102" s="182" t="n">
        <v>11.15</v>
      </c>
      <c r="H5102" s="182" t="n">
        <v>0</v>
      </c>
      <c r="I5102" s="182" t="n">
        <v>0</v>
      </c>
      <c r="J5102" s="182" t="n">
        <v>0</v>
      </c>
      <c r="K5102" s="182" t="n">
        <v>0.85</v>
      </c>
      <c r="L5102" s="182" t="n">
        <v>12</v>
      </c>
      <c r="M5102" s="182" t="n">
        <v>0</v>
      </c>
      <c r="N5102" s="182" t="n">
        <v>0</v>
      </c>
      <c r="O5102" s="185">
        <f>SUMIFS(INPUT_RITASE!$F$5:$F$20000,INPUT_RITASE!$A$5:$A$20000,$A5102,INPUT_RITASE!$H$5:$H$20000,$B5102,INPUT_RITASE!$C$5:$C$20000,$C5102,INPUT_RITASE!$N$5:$N$20000,"OB")</f>
        <v/>
      </c>
      <c r="P5102" s="185">
        <f>SUMIFS(INPUT_RITASE!$F$5:$F$20000,INPUT_RITASE!$A$5:$A$20000,$A5102,INPUT_RITASE!$H$5:$H$20000,$B5102,INPUT_RITASE!$C$5:$C$20000,$C5102,INPUT_RITASE!$N$5:$N$20000,"Coal")</f>
        <v/>
      </c>
      <c r="Q5102" s="186">
        <f>SUMIFS(INPUT_RITASE!$L$5:$L$20000,INPUT_RITASE!$A$5:$A$20000,$A5102,INPUT_RITASE!$H$5:$H$20000,$B5102,INPUT_RITASE!$C$5:$C$20000,$C5102,INPUT_RITASE!$N$5:$N$20000,"OB")</f>
        <v/>
      </c>
      <c r="R5102" s="186">
        <f>SUMIFS(INPUT_RITASE!$L$5:$L$20000,INPUT_RITASE!$A$5:$A$20000,$A5102,INPUT_RITASE!$H$5:$H$20000,$B5102,INPUT_RITASE!$C$5:$C$20000,$C5102,INPUT_RITASE!$N$5:$N$20000,"Coal")</f>
        <v/>
      </c>
      <c r="S5102" s="183" t="n">
        <v>0</v>
      </c>
      <c r="T5102" s="183" t="n">
        <v>0</v>
      </c>
      <c r="U5102" s="182" t="n">
        <v>0</v>
      </c>
      <c r="V5102" s="182" t="n">
        <v>0</v>
      </c>
      <c r="W5102" s="182" t="n">
        <v>0</v>
      </c>
      <c r="X5102" s="182" t="n">
        <v>0.77</v>
      </c>
      <c r="Y5102" s="182" t="n">
        <v>0</v>
      </c>
      <c r="Z5102" s="182" t="n">
        <v>0</v>
      </c>
      <c r="AA5102" s="182" t="n">
        <v>0</v>
      </c>
      <c r="AB5102" s="182" t="n">
        <v>0</v>
      </c>
      <c r="AC5102" s="182" t="n">
        <v>0</v>
      </c>
      <c r="AD5102" s="182" t="n">
        <v>0</v>
      </c>
      <c r="AE5102" s="182" t="n">
        <v>0</v>
      </c>
      <c r="AF5102" s="182" t="n">
        <v>0</v>
      </c>
      <c r="AG5102" s="182" t="n">
        <v>0</v>
      </c>
      <c r="AH5102" s="182" t="n">
        <v>0</v>
      </c>
      <c r="AI5102" s="182" t="n">
        <v>0</v>
      </c>
      <c r="AJ5102" s="182" t="n">
        <v>0</v>
      </c>
      <c r="AK5102" s="182" t="n">
        <v>0</v>
      </c>
      <c r="AL5102" s="182" t="n">
        <v>0</v>
      </c>
      <c r="AM5102" s="182" t="n">
        <v>0.08</v>
      </c>
      <c r="AN5102" s="182" t="n">
        <v>0</v>
      </c>
    </row>
    <row r="5103">
      <c r="A5103" s="155" t="n">
        <v>46105</v>
      </c>
      <c r="B5103" s="156" t="inlineStr">
        <is>
          <t>DS</t>
        </is>
      </c>
      <c r="C5103" s="156" t="inlineStr">
        <is>
          <t>EX-331</t>
        </is>
      </c>
      <c r="D5103" s="156" t="inlineStr">
        <is>
          <t>PC 300-8MO</t>
        </is>
      </c>
      <c r="E5103" s="156" t="inlineStr">
        <is>
          <t>Excavator</t>
        </is>
      </c>
      <c r="F5103" s="156" t="inlineStr"/>
      <c r="G5103" s="182" t="n">
        <v>0</v>
      </c>
      <c r="H5103" s="182" t="n">
        <v>0</v>
      </c>
      <c r="I5103" s="182" t="n">
        <v>12</v>
      </c>
      <c r="J5103" s="182" t="n">
        <v>12</v>
      </c>
      <c r="K5103" s="182" t="n">
        <v>0</v>
      </c>
      <c r="L5103" s="182" t="n">
        <v>12</v>
      </c>
      <c r="M5103" s="182" t="n">
        <v>0</v>
      </c>
      <c r="N5103" s="182" t="n">
        <v>0</v>
      </c>
      <c r="O5103" s="185">
        <f>SUMIFS(INPUT_RITASE!$F$5:$F$20000,INPUT_RITASE!$A$5:$A$20000,$A5103,INPUT_RITASE!$H$5:$H$20000,$B5103,INPUT_RITASE!$C$5:$C$20000,$C5103,INPUT_RITASE!$N$5:$N$20000,"OB")</f>
        <v/>
      </c>
      <c r="P5103" s="185">
        <f>SUMIFS(INPUT_RITASE!$F$5:$F$20000,INPUT_RITASE!$A$5:$A$20000,$A5103,INPUT_RITASE!$H$5:$H$20000,$B5103,INPUT_RITASE!$C$5:$C$20000,$C5103,INPUT_RITASE!$N$5:$N$20000,"Coal")</f>
        <v/>
      </c>
      <c r="Q5103" s="186">
        <f>SUMIFS(INPUT_RITASE!$L$5:$L$20000,INPUT_RITASE!$A$5:$A$20000,$A5103,INPUT_RITASE!$H$5:$H$20000,$B5103,INPUT_RITASE!$C$5:$C$20000,$C5103,INPUT_RITASE!$N$5:$N$20000,"OB")</f>
        <v/>
      </c>
      <c r="R5103" s="186">
        <f>SUMIFS(INPUT_RITASE!$L$5:$L$20000,INPUT_RITASE!$A$5:$A$20000,$A5103,INPUT_RITASE!$H$5:$H$20000,$B5103,INPUT_RITASE!$C$5:$C$20000,$C5103,INPUT_RITASE!$N$5:$N$20000,"Coal")</f>
        <v/>
      </c>
      <c r="S5103" s="183" t="n">
        <v>0</v>
      </c>
      <c r="T5103" s="183" t="n">
        <v>0</v>
      </c>
      <c r="U5103" s="182" t="n">
        <v>0</v>
      </c>
      <c r="V5103" s="182" t="n">
        <v>0</v>
      </c>
      <c r="W5103" s="182" t="n">
        <v>0</v>
      </c>
      <c r="X5103" s="182" t="n">
        <v>0</v>
      </c>
      <c r="Y5103" s="182" t="n">
        <v>0</v>
      </c>
      <c r="Z5103" s="182" t="n">
        <v>0</v>
      </c>
      <c r="AA5103" s="182" t="n">
        <v>0</v>
      </c>
      <c r="AB5103" s="182" t="n">
        <v>0</v>
      </c>
      <c r="AC5103" s="182" t="n">
        <v>0</v>
      </c>
      <c r="AD5103" s="182" t="n">
        <v>0</v>
      </c>
      <c r="AE5103" s="182" t="n">
        <v>0</v>
      </c>
      <c r="AF5103" s="182" t="n">
        <v>0</v>
      </c>
      <c r="AG5103" s="182" t="n">
        <v>0</v>
      </c>
      <c r="AH5103" s="182" t="n">
        <v>0</v>
      </c>
      <c r="AI5103" s="182" t="n">
        <v>0</v>
      </c>
      <c r="AJ5103" s="182" t="n">
        <v>0</v>
      </c>
      <c r="AK5103" s="182" t="n">
        <v>0</v>
      </c>
      <c r="AL5103" s="182" t="n">
        <v>0</v>
      </c>
      <c r="AM5103" s="182" t="n">
        <v>0</v>
      </c>
      <c r="AN5103" s="182" t="n">
        <v>0</v>
      </c>
    </row>
    <row r="5104">
      <c r="A5104" s="155" t="n">
        <v>46105</v>
      </c>
      <c r="B5104" s="156" t="inlineStr">
        <is>
          <t>DS</t>
        </is>
      </c>
      <c r="C5104" s="156" t="inlineStr">
        <is>
          <t>EX-334</t>
        </is>
      </c>
      <c r="D5104" s="156" t="inlineStr">
        <is>
          <t>PC 300-8MO</t>
        </is>
      </c>
      <c r="E5104" s="156" t="inlineStr">
        <is>
          <t>Excavator</t>
        </is>
      </c>
      <c r="F5104" s="156" t="inlineStr">
        <is>
          <t>Support ROM &amp; Washing Plant</t>
        </is>
      </c>
      <c r="G5104" s="182" t="n">
        <v>11.36</v>
      </c>
      <c r="H5104" s="182" t="n">
        <v>0</v>
      </c>
      <c r="I5104" s="182" t="n">
        <v>0</v>
      </c>
      <c r="J5104" s="182" t="n">
        <v>0</v>
      </c>
      <c r="K5104" s="182" t="n">
        <v>0.64</v>
      </c>
      <c r="L5104" s="182" t="n">
        <v>12</v>
      </c>
      <c r="M5104" s="182" t="n">
        <v>0</v>
      </c>
      <c r="N5104" s="182" t="n">
        <v>0</v>
      </c>
      <c r="O5104" s="185">
        <f>SUMIFS(INPUT_RITASE!$F$5:$F$20000,INPUT_RITASE!$A$5:$A$20000,$A5104,INPUT_RITASE!$H$5:$H$20000,$B5104,INPUT_RITASE!$C$5:$C$20000,$C5104,INPUT_RITASE!$N$5:$N$20000,"OB")</f>
        <v/>
      </c>
      <c r="P5104" s="185">
        <f>SUMIFS(INPUT_RITASE!$F$5:$F$20000,INPUT_RITASE!$A$5:$A$20000,$A5104,INPUT_RITASE!$H$5:$H$20000,$B5104,INPUT_RITASE!$C$5:$C$20000,$C5104,INPUT_RITASE!$N$5:$N$20000,"Coal")</f>
        <v/>
      </c>
      <c r="Q5104" s="186">
        <f>SUMIFS(INPUT_RITASE!$L$5:$L$20000,INPUT_RITASE!$A$5:$A$20000,$A5104,INPUT_RITASE!$H$5:$H$20000,$B5104,INPUT_RITASE!$C$5:$C$20000,$C5104,INPUT_RITASE!$N$5:$N$20000,"OB")</f>
        <v/>
      </c>
      <c r="R5104" s="186">
        <f>SUMIFS(INPUT_RITASE!$L$5:$L$20000,INPUT_RITASE!$A$5:$A$20000,$A5104,INPUT_RITASE!$H$5:$H$20000,$B5104,INPUT_RITASE!$C$5:$C$20000,$C5104,INPUT_RITASE!$N$5:$N$20000,"Coal")</f>
        <v/>
      </c>
      <c r="S5104" s="183" t="n">
        <v>0</v>
      </c>
      <c r="T5104" s="183" t="n">
        <v>0</v>
      </c>
      <c r="U5104" s="182" t="n">
        <v>0</v>
      </c>
      <c r="V5104" s="182" t="n">
        <v>0</v>
      </c>
      <c r="W5104" s="182" t="n">
        <v>0</v>
      </c>
      <c r="X5104" s="182" t="n">
        <v>0.58</v>
      </c>
      <c r="Y5104" s="182" t="n">
        <v>0</v>
      </c>
      <c r="Z5104" s="182" t="n">
        <v>0</v>
      </c>
      <c r="AA5104" s="182" t="n">
        <v>0</v>
      </c>
      <c r="AB5104" s="182" t="n">
        <v>0</v>
      </c>
      <c r="AC5104" s="182" t="n">
        <v>0</v>
      </c>
      <c r="AD5104" s="182" t="n">
        <v>0</v>
      </c>
      <c r="AE5104" s="182" t="n">
        <v>0</v>
      </c>
      <c r="AF5104" s="182" t="n">
        <v>0</v>
      </c>
      <c r="AG5104" s="182" t="n">
        <v>0</v>
      </c>
      <c r="AH5104" s="182" t="n">
        <v>0.01</v>
      </c>
      <c r="AI5104" s="182" t="n">
        <v>0</v>
      </c>
      <c r="AJ5104" s="182" t="n">
        <v>0</v>
      </c>
      <c r="AK5104" s="182" t="n">
        <v>0</v>
      </c>
      <c r="AL5104" s="182" t="n">
        <v>0</v>
      </c>
      <c r="AM5104" s="182" t="n">
        <v>0.05</v>
      </c>
      <c r="AN5104" s="182" t="n">
        <v>0</v>
      </c>
    </row>
    <row r="5105">
      <c r="A5105" s="155" t="n">
        <v>46105</v>
      </c>
      <c r="B5105" s="156" t="inlineStr">
        <is>
          <t>DS</t>
        </is>
      </c>
      <c r="C5105" s="156" t="inlineStr">
        <is>
          <t>EX-332</t>
        </is>
      </c>
      <c r="D5105" s="156" t="inlineStr">
        <is>
          <t>PC 300-8MO</t>
        </is>
      </c>
      <c r="E5105" s="156" t="inlineStr">
        <is>
          <t>Excavator</t>
        </is>
      </c>
      <c r="F5105" s="156" t="inlineStr"/>
      <c r="G5105" s="182" t="n">
        <v>0</v>
      </c>
      <c r="H5105" s="182" t="n">
        <v>0</v>
      </c>
      <c r="I5105" s="182" t="n">
        <v>12</v>
      </c>
      <c r="J5105" s="182" t="n">
        <v>12</v>
      </c>
      <c r="K5105" s="182" t="n">
        <v>0</v>
      </c>
      <c r="L5105" s="182" t="n">
        <v>12</v>
      </c>
      <c r="M5105" s="182" t="n">
        <v>0</v>
      </c>
      <c r="N5105" s="182" t="n">
        <v>0</v>
      </c>
      <c r="O5105" s="185">
        <f>SUMIFS(INPUT_RITASE!$F$5:$F$20000,INPUT_RITASE!$A$5:$A$20000,$A5105,INPUT_RITASE!$H$5:$H$20000,$B5105,INPUT_RITASE!$C$5:$C$20000,$C5105,INPUT_RITASE!$N$5:$N$20000,"OB")</f>
        <v/>
      </c>
      <c r="P5105" s="185">
        <f>SUMIFS(INPUT_RITASE!$F$5:$F$20000,INPUT_RITASE!$A$5:$A$20000,$A5105,INPUT_RITASE!$H$5:$H$20000,$B5105,INPUT_RITASE!$C$5:$C$20000,$C5105,INPUT_RITASE!$N$5:$N$20000,"Coal")</f>
        <v/>
      </c>
      <c r="Q5105" s="186">
        <f>SUMIFS(INPUT_RITASE!$L$5:$L$20000,INPUT_RITASE!$A$5:$A$20000,$A5105,INPUT_RITASE!$H$5:$H$20000,$B5105,INPUT_RITASE!$C$5:$C$20000,$C5105,INPUT_RITASE!$N$5:$N$20000,"OB")</f>
        <v/>
      </c>
      <c r="R5105" s="186">
        <f>SUMIFS(INPUT_RITASE!$L$5:$L$20000,INPUT_RITASE!$A$5:$A$20000,$A5105,INPUT_RITASE!$H$5:$H$20000,$B5105,INPUT_RITASE!$C$5:$C$20000,$C5105,INPUT_RITASE!$N$5:$N$20000,"Coal")</f>
        <v/>
      </c>
      <c r="S5105" s="183" t="n">
        <v>0</v>
      </c>
      <c r="T5105" s="183" t="n">
        <v>0</v>
      </c>
      <c r="U5105" s="182" t="n">
        <v>0</v>
      </c>
      <c r="V5105" s="182" t="n">
        <v>0</v>
      </c>
      <c r="W5105" s="182" t="n">
        <v>0</v>
      </c>
      <c r="X5105" s="182" t="n">
        <v>0</v>
      </c>
      <c r="Y5105" s="182" t="n">
        <v>0</v>
      </c>
      <c r="Z5105" s="182" t="n">
        <v>0</v>
      </c>
      <c r="AA5105" s="182" t="n">
        <v>0</v>
      </c>
      <c r="AB5105" s="182" t="n">
        <v>0</v>
      </c>
      <c r="AC5105" s="182" t="n">
        <v>0</v>
      </c>
      <c r="AD5105" s="182" t="n">
        <v>0</v>
      </c>
      <c r="AE5105" s="182" t="n">
        <v>0</v>
      </c>
      <c r="AF5105" s="182" t="n">
        <v>0</v>
      </c>
      <c r="AG5105" s="182" t="n">
        <v>0</v>
      </c>
      <c r="AH5105" s="182" t="n">
        <v>0</v>
      </c>
      <c r="AI5105" s="182" t="n">
        <v>0</v>
      </c>
      <c r="AJ5105" s="182" t="n">
        <v>0</v>
      </c>
      <c r="AK5105" s="182" t="n">
        <v>0</v>
      </c>
      <c r="AL5105" s="182" t="n">
        <v>0</v>
      </c>
      <c r="AM5105" s="182" t="n">
        <v>0</v>
      </c>
      <c r="AN5105" s="182" t="n">
        <v>0</v>
      </c>
    </row>
    <row r="5106">
      <c r="A5106" s="155" t="n">
        <v>46105</v>
      </c>
      <c r="B5106" s="156" t="inlineStr">
        <is>
          <t>DS</t>
        </is>
      </c>
      <c r="C5106" s="156" t="inlineStr">
        <is>
          <t>EX-333</t>
        </is>
      </c>
      <c r="D5106" s="156" t="inlineStr">
        <is>
          <t>PC 300-8MO</t>
        </is>
      </c>
      <c r="E5106" s="156" t="inlineStr">
        <is>
          <t>Excavator</t>
        </is>
      </c>
      <c r="F5106" s="156" t="inlineStr">
        <is>
          <t>Loading &amp; Cleaning Coal</t>
        </is>
      </c>
      <c r="G5106" s="182" t="n">
        <v>11.94</v>
      </c>
      <c r="H5106" s="182" t="n">
        <v>0</v>
      </c>
      <c r="I5106" s="182" t="n">
        <v>0</v>
      </c>
      <c r="J5106" s="182" t="n">
        <v>0</v>
      </c>
      <c r="K5106" s="182" t="n">
        <v>0.06</v>
      </c>
      <c r="L5106" s="182" t="n">
        <v>12</v>
      </c>
      <c r="M5106" s="182" t="n">
        <v>0</v>
      </c>
      <c r="N5106" s="182" t="n">
        <v>5.1</v>
      </c>
      <c r="O5106" s="185">
        <f>SUMIFS(INPUT_RITASE!$F$5:$F$20000,INPUT_RITASE!$A$5:$A$20000,$A5106,INPUT_RITASE!$H$5:$H$20000,$B5106,INPUT_RITASE!$C$5:$C$20000,$C5106,INPUT_RITASE!$N$5:$N$20000,"OB")</f>
        <v/>
      </c>
      <c r="P5106" s="185">
        <f>SUMIFS(INPUT_RITASE!$F$5:$F$20000,INPUT_RITASE!$A$5:$A$20000,$A5106,INPUT_RITASE!$H$5:$H$20000,$B5106,INPUT_RITASE!$C$5:$C$20000,$C5106,INPUT_RITASE!$N$5:$N$20000,"Coal")</f>
        <v/>
      </c>
      <c r="Q5106" s="186">
        <f>SUMIFS(INPUT_RITASE!$L$5:$L$20000,INPUT_RITASE!$A$5:$A$20000,$A5106,INPUT_RITASE!$H$5:$H$20000,$B5106,INPUT_RITASE!$C$5:$C$20000,$C5106,INPUT_RITASE!$N$5:$N$20000,"OB")</f>
        <v/>
      </c>
      <c r="R5106" s="186">
        <f>SUMIFS(INPUT_RITASE!$L$5:$L$20000,INPUT_RITASE!$A$5:$A$20000,$A5106,INPUT_RITASE!$H$5:$H$20000,$B5106,INPUT_RITASE!$C$5:$C$20000,$C5106,INPUT_RITASE!$N$5:$N$20000,"Coal")</f>
        <v/>
      </c>
      <c r="S5106" s="183" t="n">
        <v>0</v>
      </c>
      <c r="T5106" s="183" t="n">
        <v>0</v>
      </c>
      <c r="U5106" s="182" t="n">
        <v>0</v>
      </c>
      <c r="V5106" s="182" t="n">
        <v>0</v>
      </c>
      <c r="W5106" s="182" t="n">
        <v>0</v>
      </c>
      <c r="X5106" s="182" t="n">
        <v>0.04</v>
      </c>
      <c r="Y5106" s="182" t="n">
        <v>0</v>
      </c>
      <c r="Z5106" s="182" t="n">
        <v>0</v>
      </c>
      <c r="AA5106" s="182" t="n">
        <v>0</v>
      </c>
      <c r="AB5106" s="182" t="n">
        <v>0</v>
      </c>
      <c r="AC5106" s="182" t="n">
        <v>0</v>
      </c>
      <c r="AD5106" s="182" t="n">
        <v>0</v>
      </c>
      <c r="AE5106" s="182" t="n">
        <v>0</v>
      </c>
      <c r="AF5106" s="182" t="n">
        <v>0</v>
      </c>
      <c r="AG5106" s="182" t="n">
        <v>0</v>
      </c>
      <c r="AH5106" s="182" t="n">
        <v>0</v>
      </c>
      <c r="AI5106" s="182" t="n">
        <v>0</v>
      </c>
      <c r="AJ5106" s="182" t="n">
        <v>0</v>
      </c>
      <c r="AK5106" s="182" t="n">
        <v>0</v>
      </c>
      <c r="AL5106" s="182" t="n">
        <v>0</v>
      </c>
      <c r="AM5106" s="182" t="n">
        <v>0.02</v>
      </c>
      <c r="AN5106" s="182" t="n">
        <v>0</v>
      </c>
    </row>
    <row r="5107">
      <c r="A5107" s="155" t="n">
        <v>46105</v>
      </c>
      <c r="B5107" s="156" t="inlineStr">
        <is>
          <t>DS</t>
        </is>
      </c>
      <c r="C5107" s="156" t="inlineStr">
        <is>
          <t>EX-336</t>
        </is>
      </c>
      <c r="D5107" s="156" t="inlineStr">
        <is>
          <t>PC 300-8MO</t>
        </is>
      </c>
      <c r="E5107" s="156" t="inlineStr">
        <is>
          <t>Excavator</t>
        </is>
      </c>
      <c r="F5107" s="156" t="inlineStr">
        <is>
          <t>Cleaning Coal</t>
        </is>
      </c>
      <c r="G5107" s="182" t="n">
        <v>10.74</v>
      </c>
      <c r="H5107" s="182" t="n">
        <v>0</v>
      </c>
      <c r="I5107" s="182" t="n">
        <v>0</v>
      </c>
      <c r="J5107" s="182" t="n">
        <v>0</v>
      </c>
      <c r="K5107" s="182" t="n">
        <v>1.26</v>
      </c>
      <c r="L5107" s="182" t="n">
        <v>12</v>
      </c>
      <c r="M5107" s="182" t="n">
        <v>0</v>
      </c>
      <c r="N5107" s="182" t="n">
        <v>0</v>
      </c>
      <c r="O5107" s="185">
        <f>SUMIFS(INPUT_RITASE!$F$5:$F$20000,INPUT_RITASE!$A$5:$A$20000,$A5107,INPUT_RITASE!$H$5:$H$20000,$B5107,INPUT_RITASE!$C$5:$C$20000,$C5107,INPUT_RITASE!$N$5:$N$20000,"OB")</f>
        <v/>
      </c>
      <c r="P5107" s="185">
        <f>SUMIFS(INPUT_RITASE!$F$5:$F$20000,INPUT_RITASE!$A$5:$A$20000,$A5107,INPUT_RITASE!$H$5:$H$20000,$B5107,INPUT_RITASE!$C$5:$C$20000,$C5107,INPUT_RITASE!$N$5:$N$20000,"Coal")</f>
        <v/>
      </c>
      <c r="Q5107" s="186">
        <f>SUMIFS(INPUT_RITASE!$L$5:$L$20000,INPUT_RITASE!$A$5:$A$20000,$A5107,INPUT_RITASE!$H$5:$H$20000,$B5107,INPUT_RITASE!$C$5:$C$20000,$C5107,INPUT_RITASE!$N$5:$N$20000,"OB")</f>
        <v/>
      </c>
      <c r="R5107" s="186">
        <f>SUMIFS(INPUT_RITASE!$L$5:$L$20000,INPUT_RITASE!$A$5:$A$20000,$A5107,INPUT_RITASE!$H$5:$H$20000,$B5107,INPUT_RITASE!$C$5:$C$20000,$C5107,INPUT_RITASE!$N$5:$N$20000,"Coal")</f>
        <v/>
      </c>
      <c r="S5107" s="183" t="n">
        <v>0</v>
      </c>
      <c r="T5107" s="183" t="n">
        <v>0</v>
      </c>
      <c r="U5107" s="182" t="n">
        <v>0</v>
      </c>
      <c r="V5107" s="182" t="n">
        <v>0</v>
      </c>
      <c r="W5107" s="182" t="n">
        <v>0</v>
      </c>
      <c r="X5107" s="182" t="n">
        <v>1.16</v>
      </c>
      <c r="Y5107" s="182" t="n">
        <v>0</v>
      </c>
      <c r="Z5107" s="182" t="n">
        <v>0</v>
      </c>
      <c r="AA5107" s="182" t="n">
        <v>0</v>
      </c>
      <c r="AB5107" s="182" t="n">
        <v>0</v>
      </c>
      <c r="AC5107" s="182" t="n">
        <v>0</v>
      </c>
      <c r="AD5107" s="182" t="n">
        <v>0</v>
      </c>
      <c r="AE5107" s="182" t="n">
        <v>0</v>
      </c>
      <c r="AF5107" s="182" t="n">
        <v>0</v>
      </c>
      <c r="AG5107" s="182" t="n">
        <v>0</v>
      </c>
      <c r="AH5107" s="182" t="n">
        <v>0</v>
      </c>
      <c r="AI5107" s="182" t="n">
        <v>0</v>
      </c>
      <c r="AJ5107" s="182" t="n">
        <v>0</v>
      </c>
      <c r="AK5107" s="182" t="n">
        <v>0</v>
      </c>
      <c r="AL5107" s="182" t="n">
        <v>0</v>
      </c>
      <c r="AM5107" s="182" t="n">
        <v>0.1</v>
      </c>
      <c r="AN5107" s="182" t="n">
        <v>0</v>
      </c>
    </row>
    <row r="5108">
      <c r="A5108" s="155" t="n">
        <v>46105</v>
      </c>
      <c r="B5108" s="156" t="inlineStr">
        <is>
          <t>DS</t>
        </is>
      </c>
      <c r="C5108" s="156" t="inlineStr">
        <is>
          <t>EX-335</t>
        </is>
      </c>
      <c r="D5108" s="156" t="inlineStr">
        <is>
          <t>PC 300-8MO</t>
        </is>
      </c>
      <c r="E5108" s="156" t="inlineStr">
        <is>
          <t>Excavator</t>
        </is>
      </c>
      <c r="F5108" s="156" t="inlineStr">
        <is>
          <t>Cleaning Coal &amp; General</t>
        </is>
      </c>
      <c r="G5108" s="182" t="n">
        <v>12</v>
      </c>
      <c r="H5108" s="182" t="n">
        <v>0</v>
      </c>
      <c r="I5108" s="182" t="n">
        <v>0</v>
      </c>
      <c r="J5108" s="182" t="n">
        <v>0</v>
      </c>
      <c r="K5108" s="182" t="n">
        <v>0</v>
      </c>
      <c r="L5108" s="182" t="n">
        <v>12</v>
      </c>
      <c r="M5108" s="182" t="n">
        <v>0</v>
      </c>
      <c r="N5108" s="182" t="n">
        <v>0</v>
      </c>
      <c r="O5108" s="185">
        <f>SUMIFS(INPUT_RITASE!$F$5:$F$20000,INPUT_RITASE!$A$5:$A$20000,$A5108,INPUT_RITASE!$H$5:$H$20000,$B5108,INPUT_RITASE!$C$5:$C$20000,$C5108,INPUT_RITASE!$N$5:$N$20000,"OB")</f>
        <v/>
      </c>
      <c r="P5108" s="185">
        <f>SUMIFS(INPUT_RITASE!$F$5:$F$20000,INPUT_RITASE!$A$5:$A$20000,$A5108,INPUT_RITASE!$H$5:$H$20000,$B5108,INPUT_RITASE!$C$5:$C$20000,$C5108,INPUT_RITASE!$N$5:$N$20000,"Coal")</f>
        <v/>
      </c>
      <c r="Q5108" s="186">
        <f>SUMIFS(INPUT_RITASE!$L$5:$L$20000,INPUT_RITASE!$A$5:$A$20000,$A5108,INPUT_RITASE!$H$5:$H$20000,$B5108,INPUT_RITASE!$C$5:$C$20000,$C5108,INPUT_RITASE!$N$5:$N$20000,"OB")</f>
        <v/>
      </c>
      <c r="R5108" s="186">
        <f>SUMIFS(INPUT_RITASE!$L$5:$L$20000,INPUT_RITASE!$A$5:$A$20000,$A5108,INPUT_RITASE!$H$5:$H$20000,$B5108,INPUT_RITASE!$C$5:$C$20000,$C5108,INPUT_RITASE!$N$5:$N$20000,"Coal")</f>
        <v/>
      </c>
      <c r="S5108" s="183" t="n">
        <v>0</v>
      </c>
      <c r="T5108" s="183" t="n">
        <v>0</v>
      </c>
      <c r="U5108" s="182" t="n">
        <v>0</v>
      </c>
      <c r="V5108" s="182" t="n">
        <v>0</v>
      </c>
      <c r="W5108" s="182" t="n">
        <v>0</v>
      </c>
      <c r="X5108" s="182" t="n">
        <v>0</v>
      </c>
      <c r="Y5108" s="182" t="n">
        <v>0</v>
      </c>
      <c r="Z5108" s="182" t="n">
        <v>0</v>
      </c>
      <c r="AA5108" s="182" t="n">
        <v>0</v>
      </c>
      <c r="AB5108" s="182" t="n">
        <v>0</v>
      </c>
      <c r="AC5108" s="182" t="n">
        <v>0</v>
      </c>
      <c r="AD5108" s="182" t="n">
        <v>0</v>
      </c>
      <c r="AE5108" s="182" t="n">
        <v>0</v>
      </c>
      <c r="AF5108" s="182" t="n">
        <v>0</v>
      </c>
      <c r="AG5108" s="182" t="n">
        <v>0</v>
      </c>
      <c r="AH5108" s="182" t="n">
        <v>0</v>
      </c>
      <c r="AI5108" s="182" t="n">
        <v>0</v>
      </c>
      <c r="AJ5108" s="182" t="n">
        <v>0</v>
      </c>
      <c r="AK5108" s="182" t="n">
        <v>0</v>
      </c>
      <c r="AL5108" s="182" t="n">
        <v>0</v>
      </c>
      <c r="AM5108" s="182" t="n">
        <v>0</v>
      </c>
      <c r="AN5108" s="182" t="n">
        <v>0</v>
      </c>
    </row>
    <row r="5109">
      <c r="A5109" s="155" t="n">
        <v>46105</v>
      </c>
      <c r="B5109" s="156" t="inlineStr">
        <is>
          <t>DS</t>
        </is>
      </c>
      <c r="C5109" s="156" t="inlineStr">
        <is>
          <t>EX-754</t>
        </is>
      </c>
      <c r="D5109" s="156" t="inlineStr">
        <is>
          <t>SY750H-PRO</t>
        </is>
      </c>
      <c r="E5109" s="156" t="inlineStr">
        <is>
          <t>Excavator</t>
        </is>
      </c>
      <c r="F5109" s="156" t="inlineStr">
        <is>
          <t>Loading OB</t>
        </is>
      </c>
      <c r="G5109" s="182" t="n">
        <v>10.95</v>
      </c>
      <c r="H5109" s="182" t="n">
        <v>0</v>
      </c>
      <c r="I5109" s="182" t="n">
        <v>0</v>
      </c>
      <c r="J5109" s="182" t="n">
        <v>0</v>
      </c>
      <c r="K5109" s="182" t="n">
        <v>1.05</v>
      </c>
      <c r="L5109" s="182" t="n">
        <v>12</v>
      </c>
      <c r="M5109" s="182" t="n">
        <v>10.58</v>
      </c>
      <c r="N5109" s="182" t="n">
        <v>0</v>
      </c>
      <c r="O5109" s="185">
        <f>SUMIFS(INPUT_RITASE!$F$5:$F$20000,INPUT_RITASE!$A$5:$A$20000,$A5109,INPUT_RITASE!$H$5:$H$20000,$B5109,INPUT_RITASE!$C$5:$C$20000,$C5109,INPUT_RITASE!$N$5:$N$20000,"OB")</f>
        <v/>
      </c>
      <c r="P5109" s="185">
        <f>SUMIFS(INPUT_RITASE!$F$5:$F$20000,INPUT_RITASE!$A$5:$A$20000,$A5109,INPUT_RITASE!$H$5:$H$20000,$B5109,INPUT_RITASE!$C$5:$C$20000,$C5109,INPUT_RITASE!$N$5:$N$20000,"Coal")</f>
        <v/>
      </c>
      <c r="Q5109" s="186">
        <f>SUMIFS(INPUT_RITASE!$L$5:$L$20000,INPUT_RITASE!$A$5:$A$20000,$A5109,INPUT_RITASE!$H$5:$H$20000,$B5109,INPUT_RITASE!$C$5:$C$20000,$C5109,INPUT_RITASE!$N$5:$N$20000,"OB")</f>
        <v/>
      </c>
      <c r="R5109" s="186">
        <f>SUMIFS(INPUT_RITASE!$L$5:$L$20000,INPUT_RITASE!$A$5:$A$20000,$A5109,INPUT_RITASE!$H$5:$H$20000,$B5109,INPUT_RITASE!$C$5:$C$20000,$C5109,INPUT_RITASE!$N$5:$N$20000,"Coal")</f>
        <v/>
      </c>
      <c r="S5109" s="183" t="n">
        <v>0</v>
      </c>
      <c r="T5109" s="183" t="n">
        <v>0</v>
      </c>
      <c r="U5109" s="182" t="n">
        <v>0</v>
      </c>
      <c r="V5109" s="182" t="n">
        <v>0</v>
      </c>
      <c r="W5109" s="182" t="n">
        <v>0</v>
      </c>
      <c r="X5109" s="182" t="n">
        <v>0.64</v>
      </c>
      <c r="Y5109" s="182" t="n">
        <v>0</v>
      </c>
      <c r="Z5109" s="182" t="n">
        <v>0</v>
      </c>
      <c r="AA5109" s="182" t="n">
        <v>0</v>
      </c>
      <c r="AB5109" s="182" t="n">
        <v>0</v>
      </c>
      <c r="AC5109" s="182" t="n">
        <v>0</v>
      </c>
      <c r="AD5109" s="182" t="n">
        <v>0</v>
      </c>
      <c r="AE5109" s="182" t="n">
        <v>0</v>
      </c>
      <c r="AF5109" s="182" t="n">
        <v>0</v>
      </c>
      <c r="AG5109" s="182" t="n">
        <v>0</v>
      </c>
      <c r="AH5109" s="182" t="n">
        <v>0.36</v>
      </c>
      <c r="AI5109" s="182" t="n">
        <v>0</v>
      </c>
      <c r="AJ5109" s="182" t="n">
        <v>0</v>
      </c>
      <c r="AK5109" s="182" t="n">
        <v>0</v>
      </c>
      <c r="AL5109" s="182" t="n">
        <v>0</v>
      </c>
      <c r="AM5109" s="182" t="n">
        <v>0.05</v>
      </c>
      <c r="AN5109" s="182" t="n">
        <v>0</v>
      </c>
    </row>
    <row r="5110">
      <c r="A5110" s="155" t="n">
        <v>46105</v>
      </c>
      <c r="B5110" s="156" t="inlineStr">
        <is>
          <t>DS</t>
        </is>
      </c>
      <c r="C5110" s="156" t="inlineStr">
        <is>
          <t>EX-755</t>
        </is>
      </c>
      <c r="D5110" s="156" t="inlineStr">
        <is>
          <t>SY750H-PRO</t>
        </is>
      </c>
      <c r="E5110" s="156" t="inlineStr">
        <is>
          <t>Excavator</t>
        </is>
      </c>
      <c r="F5110" s="156" t="inlineStr">
        <is>
          <t>Loading OB</t>
        </is>
      </c>
      <c r="G5110" s="182" t="n">
        <v>10.1</v>
      </c>
      <c r="H5110" s="182" t="n">
        <v>0</v>
      </c>
      <c r="I5110" s="182" t="n">
        <v>0.23</v>
      </c>
      <c r="J5110" s="182" t="n">
        <v>0.23</v>
      </c>
      <c r="K5110" s="182" t="n">
        <v>1.67</v>
      </c>
      <c r="L5110" s="182" t="n">
        <v>12</v>
      </c>
      <c r="M5110" s="182" t="n">
        <v>10.1</v>
      </c>
      <c r="N5110" s="182" t="n">
        <v>0</v>
      </c>
      <c r="O5110" s="185">
        <f>SUMIFS(INPUT_RITASE!$F$5:$F$20000,INPUT_RITASE!$A$5:$A$20000,$A5110,INPUT_RITASE!$H$5:$H$20000,$B5110,INPUT_RITASE!$C$5:$C$20000,$C5110,INPUT_RITASE!$N$5:$N$20000,"OB")</f>
        <v/>
      </c>
      <c r="P5110" s="185">
        <f>SUMIFS(INPUT_RITASE!$F$5:$F$20000,INPUT_RITASE!$A$5:$A$20000,$A5110,INPUT_RITASE!$H$5:$H$20000,$B5110,INPUT_RITASE!$C$5:$C$20000,$C5110,INPUT_RITASE!$N$5:$N$20000,"Coal")</f>
        <v/>
      </c>
      <c r="Q5110" s="186">
        <f>SUMIFS(INPUT_RITASE!$L$5:$L$20000,INPUT_RITASE!$A$5:$A$20000,$A5110,INPUT_RITASE!$H$5:$H$20000,$B5110,INPUT_RITASE!$C$5:$C$20000,$C5110,INPUT_RITASE!$N$5:$N$20000,"OB")</f>
        <v/>
      </c>
      <c r="R5110" s="186">
        <f>SUMIFS(INPUT_RITASE!$L$5:$L$20000,INPUT_RITASE!$A$5:$A$20000,$A5110,INPUT_RITASE!$H$5:$H$20000,$B5110,INPUT_RITASE!$C$5:$C$20000,$C5110,INPUT_RITASE!$N$5:$N$20000,"Coal")</f>
        <v/>
      </c>
      <c r="S5110" s="183" t="n">
        <v>0</v>
      </c>
      <c r="T5110" s="183" t="n">
        <v>0</v>
      </c>
      <c r="U5110" s="182" t="n">
        <v>0</v>
      </c>
      <c r="V5110" s="182" t="n">
        <v>0</v>
      </c>
      <c r="W5110" s="182" t="n">
        <v>0</v>
      </c>
      <c r="X5110" s="182" t="n">
        <v>0.9399999999999999</v>
      </c>
      <c r="Y5110" s="182" t="n">
        <v>0</v>
      </c>
      <c r="Z5110" s="182" t="n">
        <v>0.16</v>
      </c>
      <c r="AA5110" s="182" t="n">
        <v>0</v>
      </c>
      <c r="AB5110" s="182" t="n">
        <v>0</v>
      </c>
      <c r="AC5110" s="182" t="n">
        <v>0</v>
      </c>
      <c r="AD5110" s="182" t="n">
        <v>0</v>
      </c>
      <c r="AE5110" s="182" t="n">
        <v>0</v>
      </c>
      <c r="AF5110" s="182" t="n">
        <v>0</v>
      </c>
      <c r="AG5110" s="182" t="n">
        <v>0</v>
      </c>
      <c r="AH5110" s="182" t="n">
        <v>0.49</v>
      </c>
      <c r="AI5110" s="182" t="n">
        <v>0</v>
      </c>
      <c r="AJ5110" s="182" t="n">
        <v>0</v>
      </c>
      <c r="AK5110" s="182" t="n">
        <v>0</v>
      </c>
      <c r="AL5110" s="182" t="n">
        <v>0</v>
      </c>
      <c r="AM5110" s="182" t="n">
        <v>0.08</v>
      </c>
      <c r="AN5110" s="182" t="n">
        <v>0</v>
      </c>
    </row>
    <row r="5111">
      <c r="A5111" s="155" t="n">
        <v>46105</v>
      </c>
      <c r="B5111" s="156" t="inlineStr">
        <is>
          <t>DS</t>
        </is>
      </c>
      <c r="C5111" s="156" t="inlineStr">
        <is>
          <t>EX-752</t>
        </is>
      </c>
      <c r="D5111" s="156" t="inlineStr">
        <is>
          <t>SY750H-PRO</t>
        </is>
      </c>
      <c r="E5111" s="156" t="inlineStr">
        <is>
          <t>Excavator</t>
        </is>
      </c>
      <c r="F5111" s="156" t="inlineStr"/>
      <c r="G5111" s="182" t="n">
        <v>0</v>
      </c>
      <c r="H5111" s="182" t="n">
        <v>0</v>
      </c>
      <c r="I5111" s="182" t="n">
        <v>12</v>
      </c>
      <c r="J5111" s="182" t="n">
        <v>12</v>
      </c>
      <c r="K5111" s="182" t="n">
        <v>0</v>
      </c>
      <c r="L5111" s="182" t="n">
        <v>12</v>
      </c>
      <c r="M5111" s="182" t="n">
        <v>0</v>
      </c>
      <c r="N5111" s="182" t="n">
        <v>0</v>
      </c>
      <c r="O5111" s="185">
        <f>SUMIFS(INPUT_RITASE!$F$5:$F$20000,INPUT_RITASE!$A$5:$A$20000,$A5111,INPUT_RITASE!$H$5:$H$20000,$B5111,INPUT_RITASE!$C$5:$C$20000,$C5111,INPUT_RITASE!$N$5:$N$20000,"OB")</f>
        <v/>
      </c>
      <c r="P5111" s="185">
        <f>SUMIFS(INPUT_RITASE!$F$5:$F$20000,INPUT_RITASE!$A$5:$A$20000,$A5111,INPUT_RITASE!$H$5:$H$20000,$B5111,INPUT_RITASE!$C$5:$C$20000,$C5111,INPUT_RITASE!$N$5:$N$20000,"Coal")</f>
        <v/>
      </c>
      <c r="Q5111" s="186">
        <f>SUMIFS(INPUT_RITASE!$L$5:$L$20000,INPUT_RITASE!$A$5:$A$20000,$A5111,INPUT_RITASE!$H$5:$H$20000,$B5111,INPUT_RITASE!$C$5:$C$20000,$C5111,INPUT_RITASE!$N$5:$N$20000,"OB")</f>
        <v/>
      </c>
      <c r="R5111" s="186">
        <f>SUMIFS(INPUT_RITASE!$L$5:$L$20000,INPUT_RITASE!$A$5:$A$20000,$A5111,INPUT_RITASE!$H$5:$H$20000,$B5111,INPUT_RITASE!$C$5:$C$20000,$C5111,INPUT_RITASE!$N$5:$N$20000,"Coal")</f>
        <v/>
      </c>
      <c r="S5111" s="183" t="n">
        <v>0</v>
      </c>
      <c r="T5111" s="183" t="n">
        <v>0</v>
      </c>
      <c r="U5111" s="182" t="n">
        <v>0</v>
      </c>
      <c r="V5111" s="182" t="n">
        <v>0</v>
      </c>
      <c r="W5111" s="182" t="n">
        <v>0</v>
      </c>
      <c r="X5111" s="182" t="n">
        <v>0</v>
      </c>
      <c r="Y5111" s="182" t="n">
        <v>0</v>
      </c>
      <c r="Z5111" s="182" t="n">
        <v>0</v>
      </c>
      <c r="AA5111" s="182" t="n">
        <v>0</v>
      </c>
      <c r="AB5111" s="182" t="n">
        <v>0</v>
      </c>
      <c r="AC5111" s="182" t="n">
        <v>0</v>
      </c>
      <c r="AD5111" s="182" t="n">
        <v>0</v>
      </c>
      <c r="AE5111" s="182" t="n">
        <v>0</v>
      </c>
      <c r="AF5111" s="182" t="n">
        <v>0</v>
      </c>
      <c r="AG5111" s="182" t="n">
        <v>0</v>
      </c>
      <c r="AH5111" s="182" t="n">
        <v>0</v>
      </c>
      <c r="AI5111" s="182" t="n">
        <v>0</v>
      </c>
      <c r="AJ5111" s="182" t="n">
        <v>0</v>
      </c>
      <c r="AK5111" s="182" t="n">
        <v>0</v>
      </c>
      <c r="AL5111" s="182" t="n">
        <v>0</v>
      </c>
      <c r="AM5111" s="182" t="n">
        <v>0</v>
      </c>
      <c r="AN5111" s="182" t="n">
        <v>0</v>
      </c>
    </row>
    <row r="5112">
      <c r="A5112" s="155" t="n">
        <v>46105</v>
      </c>
      <c r="B5112" s="156" t="inlineStr">
        <is>
          <t>DS</t>
        </is>
      </c>
      <c r="C5112" s="156" t="inlineStr">
        <is>
          <t>EX-751</t>
        </is>
      </c>
      <c r="D5112" s="156" t="inlineStr">
        <is>
          <t>SY750H-PRO</t>
        </is>
      </c>
      <c r="E5112" s="156" t="inlineStr">
        <is>
          <t>Excavator</t>
        </is>
      </c>
      <c r="F5112" s="156" t="inlineStr"/>
      <c r="G5112" s="182" t="n">
        <v>0</v>
      </c>
      <c r="H5112" s="182" t="n">
        <v>0</v>
      </c>
      <c r="I5112" s="182" t="n">
        <v>12</v>
      </c>
      <c r="J5112" s="182" t="n">
        <v>12</v>
      </c>
      <c r="K5112" s="182" t="n">
        <v>0</v>
      </c>
      <c r="L5112" s="182" t="n">
        <v>12</v>
      </c>
      <c r="M5112" s="182" t="n">
        <v>0</v>
      </c>
      <c r="N5112" s="182" t="n">
        <v>0</v>
      </c>
      <c r="O5112" s="185">
        <f>SUMIFS(INPUT_RITASE!$F$5:$F$20000,INPUT_RITASE!$A$5:$A$20000,$A5112,INPUT_RITASE!$H$5:$H$20000,$B5112,INPUT_RITASE!$C$5:$C$20000,$C5112,INPUT_RITASE!$N$5:$N$20000,"OB")</f>
        <v/>
      </c>
      <c r="P5112" s="185">
        <f>SUMIFS(INPUT_RITASE!$F$5:$F$20000,INPUT_RITASE!$A$5:$A$20000,$A5112,INPUT_RITASE!$H$5:$H$20000,$B5112,INPUT_RITASE!$C$5:$C$20000,$C5112,INPUT_RITASE!$N$5:$N$20000,"Coal")</f>
        <v/>
      </c>
      <c r="Q5112" s="186">
        <f>SUMIFS(INPUT_RITASE!$L$5:$L$20000,INPUT_RITASE!$A$5:$A$20000,$A5112,INPUT_RITASE!$H$5:$H$20000,$B5112,INPUT_RITASE!$C$5:$C$20000,$C5112,INPUT_RITASE!$N$5:$N$20000,"OB")</f>
        <v/>
      </c>
      <c r="R5112" s="186">
        <f>SUMIFS(INPUT_RITASE!$L$5:$L$20000,INPUT_RITASE!$A$5:$A$20000,$A5112,INPUT_RITASE!$H$5:$H$20000,$B5112,INPUT_RITASE!$C$5:$C$20000,$C5112,INPUT_RITASE!$N$5:$N$20000,"Coal")</f>
        <v/>
      </c>
      <c r="S5112" s="183" t="n">
        <v>0</v>
      </c>
      <c r="T5112" s="183" t="n">
        <v>0</v>
      </c>
      <c r="U5112" s="182" t="n">
        <v>0</v>
      </c>
      <c r="V5112" s="182" t="n">
        <v>0</v>
      </c>
      <c r="W5112" s="182" t="n">
        <v>0</v>
      </c>
      <c r="X5112" s="182" t="n">
        <v>0</v>
      </c>
      <c r="Y5112" s="182" t="n">
        <v>0</v>
      </c>
      <c r="Z5112" s="182" t="n">
        <v>0</v>
      </c>
      <c r="AA5112" s="182" t="n">
        <v>0</v>
      </c>
      <c r="AB5112" s="182" t="n">
        <v>0</v>
      </c>
      <c r="AC5112" s="182" t="n">
        <v>0</v>
      </c>
      <c r="AD5112" s="182" t="n">
        <v>0</v>
      </c>
      <c r="AE5112" s="182" t="n">
        <v>0</v>
      </c>
      <c r="AF5112" s="182" t="n">
        <v>0</v>
      </c>
      <c r="AG5112" s="182" t="n">
        <v>0</v>
      </c>
      <c r="AH5112" s="182" t="n">
        <v>0</v>
      </c>
      <c r="AI5112" s="182" t="n">
        <v>0</v>
      </c>
      <c r="AJ5112" s="182" t="n">
        <v>0</v>
      </c>
      <c r="AK5112" s="182" t="n">
        <v>0</v>
      </c>
      <c r="AL5112" s="182" t="n">
        <v>0</v>
      </c>
      <c r="AM5112" s="182" t="n">
        <v>0</v>
      </c>
      <c r="AN5112" s="182" t="n">
        <v>0</v>
      </c>
    </row>
    <row r="5113">
      <c r="A5113" s="155" t="n">
        <v>46105</v>
      </c>
      <c r="B5113" s="156" t="inlineStr">
        <is>
          <t>DS</t>
        </is>
      </c>
      <c r="C5113" s="156" t="inlineStr">
        <is>
          <t>EX-753</t>
        </is>
      </c>
      <c r="D5113" s="156" t="inlineStr">
        <is>
          <t>SY750H-PRO</t>
        </is>
      </c>
      <c r="E5113" s="156" t="inlineStr">
        <is>
          <t>Excavator</t>
        </is>
      </c>
      <c r="F5113" s="156" t="inlineStr">
        <is>
          <t>Loading OB</t>
        </is>
      </c>
      <c r="G5113" s="182" t="n">
        <v>11.17</v>
      </c>
      <c r="H5113" s="182" t="n">
        <v>0</v>
      </c>
      <c r="I5113" s="182" t="n">
        <v>0</v>
      </c>
      <c r="J5113" s="182" t="n">
        <v>0</v>
      </c>
      <c r="K5113" s="182" t="n">
        <v>0.83</v>
      </c>
      <c r="L5113" s="182" t="n">
        <v>12</v>
      </c>
      <c r="M5113" s="182" t="n">
        <v>6.97</v>
      </c>
      <c r="N5113" s="182" t="n">
        <v>0</v>
      </c>
      <c r="O5113" s="185">
        <f>SUMIFS(INPUT_RITASE!$F$5:$F$20000,INPUT_RITASE!$A$5:$A$20000,$A5113,INPUT_RITASE!$H$5:$H$20000,$B5113,INPUT_RITASE!$C$5:$C$20000,$C5113,INPUT_RITASE!$N$5:$N$20000,"OB")</f>
        <v/>
      </c>
      <c r="P5113" s="185">
        <f>SUMIFS(INPUT_RITASE!$F$5:$F$20000,INPUT_RITASE!$A$5:$A$20000,$A5113,INPUT_RITASE!$H$5:$H$20000,$B5113,INPUT_RITASE!$C$5:$C$20000,$C5113,INPUT_RITASE!$N$5:$N$20000,"Coal")</f>
        <v/>
      </c>
      <c r="Q5113" s="186">
        <f>SUMIFS(INPUT_RITASE!$L$5:$L$20000,INPUT_RITASE!$A$5:$A$20000,$A5113,INPUT_RITASE!$H$5:$H$20000,$B5113,INPUT_RITASE!$C$5:$C$20000,$C5113,INPUT_RITASE!$N$5:$N$20000,"OB")</f>
        <v/>
      </c>
      <c r="R5113" s="186">
        <f>SUMIFS(INPUT_RITASE!$L$5:$L$20000,INPUT_RITASE!$A$5:$A$20000,$A5113,INPUT_RITASE!$H$5:$H$20000,$B5113,INPUT_RITASE!$C$5:$C$20000,$C5113,INPUT_RITASE!$N$5:$N$20000,"Coal")</f>
        <v/>
      </c>
      <c r="S5113" s="183" t="n">
        <v>51</v>
      </c>
      <c r="T5113" s="183" t="n">
        <v>0</v>
      </c>
      <c r="U5113" s="182" t="n">
        <v>0</v>
      </c>
      <c r="V5113" s="182" t="n">
        <v>0</v>
      </c>
      <c r="W5113" s="182" t="n">
        <v>0</v>
      </c>
      <c r="X5113" s="182" t="n">
        <v>0.59</v>
      </c>
      <c r="Y5113" s="182" t="n">
        <v>0</v>
      </c>
      <c r="Z5113" s="182" t="n">
        <v>0.14</v>
      </c>
      <c r="AA5113" s="182" t="n">
        <v>0</v>
      </c>
      <c r="AB5113" s="182" t="n">
        <v>0</v>
      </c>
      <c r="AC5113" s="182" t="n">
        <v>0</v>
      </c>
      <c r="AD5113" s="182" t="n">
        <v>0</v>
      </c>
      <c r="AE5113" s="182" t="n">
        <v>0</v>
      </c>
      <c r="AF5113" s="182" t="n">
        <v>0</v>
      </c>
      <c r="AG5113" s="182" t="n">
        <v>0</v>
      </c>
      <c r="AH5113" s="182" t="n">
        <v>0</v>
      </c>
      <c r="AI5113" s="182" t="n">
        <v>0</v>
      </c>
      <c r="AJ5113" s="182" t="n">
        <v>0</v>
      </c>
      <c r="AK5113" s="182" t="n">
        <v>0</v>
      </c>
      <c r="AL5113" s="182" t="n">
        <v>0</v>
      </c>
      <c r="AM5113" s="182" t="n">
        <v>0.1</v>
      </c>
      <c r="AN5113" s="182" t="n">
        <v>0</v>
      </c>
    </row>
    <row r="5114">
      <c r="A5114" s="155" t="n">
        <v>46105</v>
      </c>
      <c r="B5114" s="156" t="inlineStr">
        <is>
          <t>DS</t>
        </is>
      </c>
      <c r="C5114" s="156" t="inlineStr">
        <is>
          <t>GD-012</t>
        </is>
      </c>
      <c r="D5114" s="156" t="inlineStr">
        <is>
          <t>STG 230C - 8S</t>
        </is>
      </c>
      <c r="E5114" s="156" t="inlineStr">
        <is>
          <t>Grader</t>
        </is>
      </c>
      <c r="F5114" s="156" t="inlineStr">
        <is>
          <t>Support Jetty</t>
        </is>
      </c>
      <c r="G5114" s="182" t="n">
        <v>2.47</v>
      </c>
      <c r="H5114" s="182" t="n">
        <v>0</v>
      </c>
      <c r="I5114" s="182" t="n">
        <v>0</v>
      </c>
      <c r="J5114" s="182" t="n">
        <v>0</v>
      </c>
      <c r="K5114" s="182" t="n">
        <v>9.529999999999999</v>
      </c>
      <c r="L5114" s="182" t="n">
        <v>12</v>
      </c>
      <c r="M5114" s="182" t="n">
        <v>0</v>
      </c>
      <c r="N5114" s="182" t="n">
        <v>0</v>
      </c>
      <c r="O5114" s="183" t="n">
        <v>0</v>
      </c>
      <c r="P5114" s="183" t="n">
        <v>0</v>
      </c>
      <c r="Q5114" s="184" t="n">
        <v>0</v>
      </c>
      <c r="R5114" s="184" t="n">
        <v>0</v>
      </c>
      <c r="S5114" s="183" t="n">
        <v>0</v>
      </c>
      <c r="T5114" s="183" t="n">
        <v>0</v>
      </c>
      <c r="U5114" s="182" t="n">
        <v>0</v>
      </c>
      <c r="V5114" s="182" t="n">
        <v>0</v>
      </c>
      <c r="W5114" s="182" t="n">
        <v>0</v>
      </c>
      <c r="X5114" s="182" t="n">
        <v>0.96</v>
      </c>
      <c r="Y5114" s="182" t="n">
        <v>0</v>
      </c>
      <c r="Z5114" s="182" t="n">
        <v>0</v>
      </c>
      <c r="AA5114" s="182" t="n">
        <v>0</v>
      </c>
      <c r="AB5114" s="182" t="n">
        <v>0</v>
      </c>
      <c r="AC5114" s="182" t="n">
        <v>0</v>
      </c>
      <c r="AD5114" s="182" t="n">
        <v>0</v>
      </c>
      <c r="AE5114" s="182" t="n">
        <v>0</v>
      </c>
      <c r="AF5114" s="182" t="n">
        <v>0</v>
      </c>
      <c r="AG5114" s="182" t="n">
        <v>0</v>
      </c>
      <c r="AH5114" s="182" t="n">
        <v>0</v>
      </c>
      <c r="AI5114" s="182" t="n">
        <v>0</v>
      </c>
      <c r="AJ5114" s="182" t="n">
        <v>0</v>
      </c>
      <c r="AK5114" s="182" t="n">
        <v>8.49</v>
      </c>
      <c r="AL5114" s="182" t="n">
        <v>0</v>
      </c>
      <c r="AM5114" s="182" t="n">
        <v>0.08</v>
      </c>
      <c r="AN5114" s="182" t="n">
        <v>0</v>
      </c>
    </row>
    <row r="5115">
      <c r="A5115" s="155" t="n">
        <v>46105</v>
      </c>
      <c r="B5115" s="156" t="inlineStr">
        <is>
          <t>DS</t>
        </is>
      </c>
      <c r="C5115" s="156" t="inlineStr">
        <is>
          <t>GD-011</t>
        </is>
      </c>
      <c r="D5115" s="156" t="inlineStr">
        <is>
          <t>STG 230C - 8S</t>
        </is>
      </c>
      <c r="E5115" s="156" t="inlineStr">
        <is>
          <t>Grader</t>
        </is>
      </c>
      <c r="F5115" s="156" t="inlineStr"/>
      <c r="G5115" s="182" t="n">
        <v>0</v>
      </c>
      <c r="H5115" s="182" t="n">
        <v>0</v>
      </c>
      <c r="I5115" s="182" t="n">
        <v>12</v>
      </c>
      <c r="J5115" s="182" t="n">
        <v>12</v>
      </c>
      <c r="K5115" s="182" t="n">
        <v>0</v>
      </c>
      <c r="L5115" s="182" t="n">
        <v>12</v>
      </c>
      <c r="M5115" s="182" t="n">
        <v>0</v>
      </c>
      <c r="N5115" s="182" t="n">
        <v>0</v>
      </c>
      <c r="O5115" s="183" t="n">
        <v>0</v>
      </c>
      <c r="P5115" s="183" t="n">
        <v>0</v>
      </c>
      <c r="Q5115" s="184" t="n">
        <v>0</v>
      </c>
      <c r="R5115" s="184" t="n">
        <v>0</v>
      </c>
      <c r="S5115" s="183" t="n">
        <v>0</v>
      </c>
      <c r="T5115" s="183" t="n">
        <v>0</v>
      </c>
      <c r="U5115" s="182" t="n">
        <v>0</v>
      </c>
      <c r="V5115" s="182" t="n">
        <v>0</v>
      </c>
      <c r="W5115" s="182" t="n">
        <v>0</v>
      </c>
      <c r="X5115" s="182" t="n">
        <v>0</v>
      </c>
      <c r="Y5115" s="182" t="n">
        <v>0</v>
      </c>
      <c r="Z5115" s="182" t="n">
        <v>0</v>
      </c>
      <c r="AA5115" s="182" t="n">
        <v>0</v>
      </c>
      <c r="AB5115" s="182" t="n">
        <v>0</v>
      </c>
      <c r="AC5115" s="182" t="n">
        <v>0</v>
      </c>
      <c r="AD5115" s="182" t="n">
        <v>0</v>
      </c>
      <c r="AE5115" s="182" t="n">
        <v>0</v>
      </c>
      <c r="AF5115" s="182" t="n">
        <v>0</v>
      </c>
      <c r="AG5115" s="182" t="n">
        <v>0</v>
      </c>
      <c r="AH5115" s="182" t="n">
        <v>0</v>
      </c>
      <c r="AI5115" s="182" t="n">
        <v>0</v>
      </c>
      <c r="AJ5115" s="182" t="n">
        <v>0</v>
      </c>
      <c r="AK5115" s="182" t="n">
        <v>0</v>
      </c>
      <c r="AL5115" s="182" t="n">
        <v>0</v>
      </c>
      <c r="AM5115" s="182" t="n">
        <v>0</v>
      </c>
      <c r="AN5115" s="182" t="n">
        <v>0</v>
      </c>
    </row>
    <row r="5116">
      <c r="A5116" s="155" t="n">
        <v>46105</v>
      </c>
      <c r="B5116" s="156" t="inlineStr">
        <is>
          <t>DS</t>
        </is>
      </c>
      <c r="C5116" s="156" t="inlineStr">
        <is>
          <t>GD-013</t>
        </is>
      </c>
      <c r="D5116" s="156" t="inlineStr">
        <is>
          <t>STG 265C - 10</t>
        </is>
      </c>
      <c r="E5116" s="156" t="inlineStr">
        <is>
          <t>Grader</t>
        </is>
      </c>
      <c r="F5116" s="156" t="inlineStr">
        <is>
          <t>Road Maintenance</t>
        </is>
      </c>
      <c r="G5116" s="182" t="n">
        <v>10.36</v>
      </c>
      <c r="H5116" s="182" t="n">
        <v>0</v>
      </c>
      <c r="I5116" s="182" t="n">
        <v>0</v>
      </c>
      <c r="J5116" s="182" t="n">
        <v>0</v>
      </c>
      <c r="K5116" s="182" t="n">
        <v>1.64</v>
      </c>
      <c r="L5116" s="182" t="n">
        <v>12</v>
      </c>
      <c r="M5116" s="182" t="n">
        <v>0</v>
      </c>
      <c r="N5116" s="182" t="n">
        <v>0</v>
      </c>
      <c r="O5116" s="183" t="n">
        <v>0</v>
      </c>
      <c r="P5116" s="183" t="n">
        <v>0</v>
      </c>
      <c r="Q5116" s="184" t="n">
        <v>0</v>
      </c>
      <c r="R5116" s="184" t="n">
        <v>0</v>
      </c>
      <c r="S5116" s="183" t="n">
        <v>0</v>
      </c>
      <c r="T5116" s="183" t="n">
        <v>0</v>
      </c>
      <c r="U5116" s="182" t="n">
        <v>0</v>
      </c>
      <c r="V5116" s="182" t="n">
        <v>0</v>
      </c>
      <c r="W5116" s="182" t="n">
        <v>0</v>
      </c>
      <c r="X5116" s="182" t="n">
        <v>0.96</v>
      </c>
      <c r="Y5116" s="182" t="n">
        <v>0</v>
      </c>
      <c r="Z5116" s="182" t="n">
        <v>0</v>
      </c>
      <c r="AA5116" s="182" t="n">
        <v>0</v>
      </c>
      <c r="AB5116" s="182" t="n">
        <v>0</v>
      </c>
      <c r="AC5116" s="182" t="n">
        <v>0</v>
      </c>
      <c r="AD5116" s="182" t="n">
        <v>0</v>
      </c>
      <c r="AE5116" s="182" t="n">
        <v>0</v>
      </c>
      <c r="AF5116" s="182" t="n">
        <v>0</v>
      </c>
      <c r="AG5116" s="182" t="n">
        <v>0</v>
      </c>
      <c r="AH5116" s="182" t="n">
        <v>0.6</v>
      </c>
      <c r="AI5116" s="182" t="n">
        <v>0</v>
      </c>
      <c r="AJ5116" s="182" t="n">
        <v>0</v>
      </c>
      <c r="AK5116" s="182" t="n">
        <v>0</v>
      </c>
      <c r="AL5116" s="182" t="n">
        <v>0</v>
      </c>
      <c r="AM5116" s="182" t="n">
        <v>0.08</v>
      </c>
      <c r="AN5116" s="182" t="n">
        <v>0</v>
      </c>
    </row>
    <row r="5117">
      <c r="A5117" s="155" t="n">
        <v>46105</v>
      </c>
      <c r="B5117" s="156" t="inlineStr">
        <is>
          <t>DS</t>
        </is>
      </c>
      <c r="C5117" s="156" t="inlineStr">
        <is>
          <t>GD-014</t>
        </is>
      </c>
      <c r="D5117" s="156" t="inlineStr">
        <is>
          <t>STG 335C - 10</t>
        </is>
      </c>
      <c r="E5117" s="156" t="inlineStr">
        <is>
          <t>Grader</t>
        </is>
      </c>
      <c r="F5117" s="156" t="inlineStr">
        <is>
          <t>Road Maintenance</t>
        </is>
      </c>
      <c r="G5117" s="182" t="n">
        <v>8.17</v>
      </c>
      <c r="H5117" s="182" t="n">
        <v>3.8</v>
      </c>
      <c r="I5117" s="182" t="n">
        <v>0</v>
      </c>
      <c r="J5117" s="182" t="n">
        <v>3.8</v>
      </c>
      <c r="K5117" s="182" t="n">
        <v>0.03</v>
      </c>
      <c r="L5117" s="182" t="n">
        <v>12</v>
      </c>
      <c r="M5117" s="182" t="n">
        <v>0</v>
      </c>
      <c r="N5117" s="182" t="n">
        <v>0</v>
      </c>
      <c r="O5117" s="183" t="n">
        <v>0</v>
      </c>
      <c r="P5117" s="183" t="n">
        <v>0</v>
      </c>
      <c r="Q5117" s="184" t="n">
        <v>0</v>
      </c>
      <c r="R5117" s="184" t="n">
        <v>0</v>
      </c>
      <c r="S5117" s="183" t="n">
        <v>0</v>
      </c>
      <c r="T5117" s="183" t="n">
        <v>0</v>
      </c>
      <c r="U5117" s="182" t="n">
        <v>0</v>
      </c>
      <c r="V5117" s="182" t="n">
        <v>0</v>
      </c>
      <c r="W5117" s="182" t="n">
        <v>0</v>
      </c>
      <c r="X5117" s="182" t="n">
        <v>0</v>
      </c>
      <c r="Y5117" s="182" t="n">
        <v>0</v>
      </c>
      <c r="Z5117" s="182" t="n">
        <v>0</v>
      </c>
      <c r="AA5117" s="182" t="n">
        <v>0</v>
      </c>
      <c r="AB5117" s="182" t="n">
        <v>0</v>
      </c>
      <c r="AC5117" s="182" t="n">
        <v>0</v>
      </c>
      <c r="AD5117" s="182" t="n">
        <v>0</v>
      </c>
      <c r="AE5117" s="182" t="n">
        <v>0</v>
      </c>
      <c r="AF5117" s="182" t="n">
        <v>0</v>
      </c>
      <c r="AG5117" s="182" t="n">
        <v>0</v>
      </c>
      <c r="AH5117" s="182" t="n">
        <v>0</v>
      </c>
      <c r="AI5117" s="182" t="n">
        <v>0</v>
      </c>
      <c r="AJ5117" s="182" t="n">
        <v>0</v>
      </c>
      <c r="AK5117" s="182" t="n">
        <v>0</v>
      </c>
      <c r="AL5117" s="182" t="n">
        <v>0</v>
      </c>
      <c r="AM5117" s="182" t="n">
        <v>0</v>
      </c>
      <c r="AN5117" s="182" t="n">
        <v>0</v>
      </c>
    </row>
    <row r="5118">
      <c r="A5118" s="155" t="n">
        <v>46105</v>
      </c>
      <c r="B5118" s="156" t="inlineStr">
        <is>
          <t>DS</t>
        </is>
      </c>
      <c r="C5118" s="156" t="inlineStr">
        <is>
          <t>DT-809</t>
        </is>
      </c>
      <c r="D5118" s="156" t="inlineStr">
        <is>
          <t>SKT 80S</t>
        </is>
      </c>
      <c r="E5118" s="156" t="inlineStr">
        <is>
          <t>Hauler</t>
        </is>
      </c>
      <c r="F5118" s="156" t="inlineStr"/>
      <c r="G5118" s="182" t="n">
        <v>0</v>
      </c>
      <c r="H5118" s="182" t="n">
        <v>0</v>
      </c>
      <c r="I5118" s="182" t="n">
        <v>0</v>
      </c>
      <c r="J5118" s="182" t="n">
        <v>0</v>
      </c>
      <c r="K5118" s="182" t="n">
        <v>12</v>
      </c>
      <c r="L5118" s="182" t="n">
        <v>12</v>
      </c>
      <c r="M5118" s="182" t="n">
        <v>0</v>
      </c>
      <c r="N5118" s="182" t="n">
        <v>0</v>
      </c>
      <c r="O5118" s="183" t="n">
        <v>0</v>
      </c>
      <c r="P5118" s="183" t="n">
        <v>0</v>
      </c>
      <c r="Q5118" s="184" t="n">
        <v>0</v>
      </c>
      <c r="R5118" s="184" t="n">
        <v>0</v>
      </c>
      <c r="S5118" s="183" t="n">
        <v>0</v>
      </c>
      <c r="T5118" s="183" t="n">
        <v>0</v>
      </c>
      <c r="U5118" s="182" t="n">
        <v>0</v>
      </c>
      <c r="V5118" s="182" t="n">
        <v>0</v>
      </c>
      <c r="W5118" s="182" t="n">
        <v>0</v>
      </c>
      <c r="X5118" s="182" t="n">
        <v>1</v>
      </c>
      <c r="Y5118" s="182" t="n">
        <v>0</v>
      </c>
      <c r="Z5118" s="182" t="n">
        <v>0</v>
      </c>
      <c r="AA5118" s="182" t="n">
        <v>0</v>
      </c>
      <c r="AB5118" s="182" t="n">
        <v>0</v>
      </c>
      <c r="AC5118" s="182" t="n">
        <v>0</v>
      </c>
      <c r="AD5118" s="182" t="n">
        <v>0</v>
      </c>
      <c r="AE5118" s="182" t="n">
        <v>0</v>
      </c>
      <c r="AF5118" s="182" t="n">
        <v>0</v>
      </c>
      <c r="AG5118" s="182" t="n">
        <v>0</v>
      </c>
      <c r="AH5118" s="182" t="n">
        <v>0</v>
      </c>
      <c r="AI5118" s="182" t="n">
        <v>0</v>
      </c>
      <c r="AJ5118" s="182" t="n">
        <v>0</v>
      </c>
      <c r="AK5118" s="182" t="n">
        <v>10.92</v>
      </c>
      <c r="AL5118" s="182" t="n">
        <v>0</v>
      </c>
      <c r="AM5118" s="182" t="n">
        <v>0.08</v>
      </c>
      <c r="AN5118" s="182" t="n">
        <v>0</v>
      </c>
    </row>
    <row r="5119">
      <c r="A5119" s="155" t="n">
        <v>46105</v>
      </c>
      <c r="B5119" s="156" t="inlineStr">
        <is>
          <t>DS</t>
        </is>
      </c>
      <c r="C5119" s="156" t="inlineStr">
        <is>
          <t>DT-806</t>
        </is>
      </c>
      <c r="D5119" s="156" t="inlineStr">
        <is>
          <t>SKT 80S</t>
        </is>
      </c>
      <c r="E5119" s="156" t="inlineStr">
        <is>
          <t>Hauler</t>
        </is>
      </c>
      <c r="F5119" s="156" t="inlineStr"/>
      <c r="G5119" s="182" t="n">
        <v>0</v>
      </c>
      <c r="H5119" s="182" t="n">
        <v>0</v>
      </c>
      <c r="I5119" s="182" t="n">
        <v>0</v>
      </c>
      <c r="J5119" s="182" t="n">
        <v>0</v>
      </c>
      <c r="K5119" s="182" t="n">
        <v>12</v>
      </c>
      <c r="L5119" s="182" t="n">
        <v>12</v>
      </c>
      <c r="M5119" s="182" t="n">
        <v>0</v>
      </c>
      <c r="N5119" s="182" t="n">
        <v>0</v>
      </c>
      <c r="O5119" s="183" t="n">
        <v>0</v>
      </c>
      <c r="P5119" s="183" t="n">
        <v>0</v>
      </c>
      <c r="Q5119" s="184" t="n">
        <v>0</v>
      </c>
      <c r="R5119" s="184" t="n">
        <v>0</v>
      </c>
      <c r="S5119" s="183" t="n">
        <v>0</v>
      </c>
      <c r="T5119" s="183" t="n">
        <v>0</v>
      </c>
      <c r="U5119" s="182" t="n">
        <v>0</v>
      </c>
      <c r="V5119" s="182" t="n">
        <v>0</v>
      </c>
      <c r="W5119" s="182" t="n">
        <v>0</v>
      </c>
      <c r="X5119" s="182" t="n">
        <v>1</v>
      </c>
      <c r="Y5119" s="182" t="n">
        <v>0</v>
      </c>
      <c r="Z5119" s="182" t="n">
        <v>0</v>
      </c>
      <c r="AA5119" s="182" t="n">
        <v>0</v>
      </c>
      <c r="AB5119" s="182" t="n">
        <v>0</v>
      </c>
      <c r="AC5119" s="182" t="n">
        <v>0</v>
      </c>
      <c r="AD5119" s="182" t="n">
        <v>0</v>
      </c>
      <c r="AE5119" s="182" t="n">
        <v>0</v>
      </c>
      <c r="AF5119" s="182" t="n">
        <v>0</v>
      </c>
      <c r="AG5119" s="182" t="n">
        <v>0</v>
      </c>
      <c r="AH5119" s="182" t="n">
        <v>0</v>
      </c>
      <c r="AI5119" s="182" t="n">
        <v>0</v>
      </c>
      <c r="AJ5119" s="182" t="n">
        <v>0</v>
      </c>
      <c r="AK5119" s="182" t="n">
        <v>10.92</v>
      </c>
      <c r="AL5119" s="182" t="n">
        <v>0</v>
      </c>
      <c r="AM5119" s="182" t="n">
        <v>0.08</v>
      </c>
      <c r="AN5119" s="182" t="n">
        <v>0</v>
      </c>
    </row>
    <row r="5120">
      <c r="A5120" s="155" t="n">
        <v>46105</v>
      </c>
      <c r="B5120" s="156" t="inlineStr">
        <is>
          <t>DS</t>
        </is>
      </c>
      <c r="C5120" s="156" t="inlineStr">
        <is>
          <t>DT-805</t>
        </is>
      </c>
      <c r="D5120" s="156" t="inlineStr">
        <is>
          <t>SKT 80S</t>
        </is>
      </c>
      <c r="E5120" s="156" t="inlineStr">
        <is>
          <t>Hauler</t>
        </is>
      </c>
      <c r="F5120" s="156" t="inlineStr"/>
      <c r="G5120" s="182" t="n">
        <v>0</v>
      </c>
      <c r="H5120" s="182" t="n">
        <v>0</v>
      </c>
      <c r="I5120" s="182" t="n">
        <v>0</v>
      </c>
      <c r="J5120" s="182" t="n">
        <v>0</v>
      </c>
      <c r="K5120" s="182" t="n">
        <v>12</v>
      </c>
      <c r="L5120" s="182" t="n">
        <v>12</v>
      </c>
      <c r="M5120" s="182" t="n">
        <v>0</v>
      </c>
      <c r="N5120" s="182" t="n">
        <v>0</v>
      </c>
      <c r="O5120" s="183" t="n">
        <v>0</v>
      </c>
      <c r="P5120" s="183" t="n">
        <v>0</v>
      </c>
      <c r="Q5120" s="184" t="n">
        <v>0</v>
      </c>
      <c r="R5120" s="184" t="n">
        <v>0</v>
      </c>
      <c r="S5120" s="183" t="n">
        <v>0</v>
      </c>
      <c r="T5120" s="183" t="n">
        <v>0</v>
      </c>
      <c r="U5120" s="182" t="n">
        <v>0</v>
      </c>
      <c r="V5120" s="182" t="n">
        <v>0</v>
      </c>
      <c r="W5120" s="182" t="n">
        <v>0</v>
      </c>
      <c r="X5120" s="182" t="n">
        <v>1</v>
      </c>
      <c r="Y5120" s="182" t="n">
        <v>0</v>
      </c>
      <c r="Z5120" s="182" t="n">
        <v>0</v>
      </c>
      <c r="AA5120" s="182" t="n">
        <v>0</v>
      </c>
      <c r="AB5120" s="182" t="n">
        <v>0</v>
      </c>
      <c r="AC5120" s="182" t="n">
        <v>0</v>
      </c>
      <c r="AD5120" s="182" t="n">
        <v>0</v>
      </c>
      <c r="AE5120" s="182" t="n">
        <v>0</v>
      </c>
      <c r="AF5120" s="182" t="n">
        <v>0</v>
      </c>
      <c r="AG5120" s="182" t="n">
        <v>0</v>
      </c>
      <c r="AH5120" s="182" t="n">
        <v>0</v>
      </c>
      <c r="AI5120" s="182" t="n">
        <v>0</v>
      </c>
      <c r="AJ5120" s="182" t="n">
        <v>0</v>
      </c>
      <c r="AK5120" s="182" t="n">
        <v>10.92</v>
      </c>
      <c r="AL5120" s="182" t="n">
        <v>0</v>
      </c>
      <c r="AM5120" s="182" t="n">
        <v>0.08</v>
      </c>
      <c r="AN5120" s="182" t="n">
        <v>0</v>
      </c>
    </row>
    <row r="5121">
      <c r="A5121" s="155" t="n">
        <v>46105</v>
      </c>
      <c r="B5121" s="156" t="inlineStr">
        <is>
          <t>DS</t>
        </is>
      </c>
      <c r="C5121" s="156" t="inlineStr">
        <is>
          <t>DT-801</t>
        </is>
      </c>
      <c r="D5121" s="156" t="inlineStr">
        <is>
          <t>SKT 80S</t>
        </is>
      </c>
      <c r="E5121" s="156" t="inlineStr">
        <is>
          <t>Hauler</t>
        </is>
      </c>
      <c r="F5121" s="156" t="inlineStr"/>
      <c r="G5121" s="182" t="n">
        <v>0</v>
      </c>
      <c r="H5121" s="182" t="n">
        <v>0</v>
      </c>
      <c r="I5121" s="182" t="n">
        <v>0</v>
      </c>
      <c r="J5121" s="182" t="n">
        <v>0</v>
      </c>
      <c r="K5121" s="182" t="n">
        <v>12</v>
      </c>
      <c r="L5121" s="182" t="n">
        <v>12</v>
      </c>
      <c r="M5121" s="182" t="n">
        <v>0</v>
      </c>
      <c r="N5121" s="182" t="n">
        <v>0</v>
      </c>
      <c r="O5121" s="183" t="n">
        <v>0</v>
      </c>
      <c r="P5121" s="183" t="n">
        <v>0</v>
      </c>
      <c r="Q5121" s="184" t="n">
        <v>0</v>
      </c>
      <c r="R5121" s="184" t="n">
        <v>0</v>
      </c>
      <c r="S5121" s="183" t="n">
        <v>0</v>
      </c>
      <c r="T5121" s="183" t="n">
        <v>0</v>
      </c>
      <c r="U5121" s="182" t="n">
        <v>0</v>
      </c>
      <c r="V5121" s="182" t="n">
        <v>0</v>
      </c>
      <c r="W5121" s="182" t="n">
        <v>0</v>
      </c>
      <c r="X5121" s="182" t="n">
        <v>1</v>
      </c>
      <c r="Y5121" s="182" t="n">
        <v>0</v>
      </c>
      <c r="Z5121" s="182" t="n">
        <v>0</v>
      </c>
      <c r="AA5121" s="182" t="n">
        <v>0</v>
      </c>
      <c r="AB5121" s="182" t="n">
        <v>0</v>
      </c>
      <c r="AC5121" s="182" t="n">
        <v>0</v>
      </c>
      <c r="AD5121" s="182" t="n">
        <v>0</v>
      </c>
      <c r="AE5121" s="182" t="n">
        <v>0</v>
      </c>
      <c r="AF5121" s="182" t="n">
        <v>0</v>
      </c>
      <c r="AG5121" s="182" t="n">
        <v>0</v>
      </c>
      <c r="AH5121" s="182" t="n">
        <v>0</v>
      </c>
      <c r="AI5121" s="182" t="n">
        <v>0</v>
      </c>
      <c r="AJ5121" s="182" t="n">
        <v>0</v>
      </c>
      <c r="AK5121" s="182" t="n">
        <v>10.92</v>
      </c>
      <c r="AL5121" s="182" t="n">
        <v>0</v>
      </c>
      <c r="AM5121" s="182" t="n">
        <v>0.08</v>
      </c>
      <c r="AN5121" s="182" t="n">
        <v>0</v>
      </c>
    </row>
    <row r="5122">
      <c r="A5122" s="155" t="n">
        <v>46105</v>
      </c>
      <c r="B5122" s="156" t="inlineStr">
        <is>
          <t>DS</t>
        </is>
      </c>
      <c r="C5122" s="156" t="inlineStr">
        <is>
          <t>DT-808</t>
        </is>
      </c>
      <c r="D5122" s="156" t="inlineStr">
        <is>
          <t>SKT 80S</t>
        </is>
      </c>
      <c r="E5122" s="156" t="inlineStr">
        <is>
          <t>Hauler</t>
        </is>
      </c>
      <c r="F5122" s="156" t="inlineStr">
        <is>
          <t>Hauling Lumpur dari Washing Plant</t>
        </is>
      </c>
      <c r="G5122" s="182" t="n">
        <v>3.36</v>
      </c>
      <c r="H5122" s="182" t="n">
        <v>0</v>
      </c>
      <c r="I5122" s="182" t="n">
        <v>3.65</v>
      </c>
      <c r="J5122" s="182" t="n">
        <v>3.65</v>
      </c>
      <c r="K5122" s="182" t="n">
        <v>4.99</v>
      </c>
      <c r="L5122" s="182" t="n">
        <v>12</v>
      </c>
      <c r="M5122" s="182" t="n">
        <v>0</v>
      </c>
      <c r="N5122" s="182" t="n">
        <v>0</v>
      </c>
      <c r="O5122" s="183" t="n">
        <v>0</v>
      </c>
      <c r="P5122" s="183" t="n">
        <v>0</v>
      </c>
      <c r="Q5122" s="184" t="n">
        <v>0</v>
      </c>
      <c r="R5122" s="184" t="n">
        <v>0</v>
      </c>
      <c r="S5122" s="183" t="n">
        <v>0</v>
      </c>
      <c r="T5122" s="183" t="n">
        <v>0</v>
      </c>
      <c r="U5122" s="182" t="n">
        <v>0</v>
      </c>
      <c r="V5122" s="182" t="n">
        <v>0</v>
      </c>
      <c r="W5122" s="182" t="n">
        <v>0</v>
      </c>
      <c r="X5122" s="182" t="n">
        <v>1.03</v>
      </c>
      <c r="Y5122" s="182" t="n">
        <v>0</v>
      </c>
      <c r="Z5122" s="182" t="n">
        <v>0</v>
      </c>
      <c r="AA5122" s="182" t="n">
        <v>0</v>
      </c>
      <c r="AB5122" s="182" t="n">
        <v>0</v>
      </c>
      <c r="AC5122" s="182" t="n">
        <v>0</v>
      </c>
      <c r="AD5122" s="182" t="n">
        <v>0</v>
      </c>
      <c r="AE5122" s="182" t="n">
        <v>0</v>
      </c>
      <c r="AF5122" s="182" t="n">
        <v>0</v>
      </c>
      <c r="AG5122" s="182" t="n">
        <v>0</v>
      </c>
      <c r="AH5122" s="182" t="n">
        <v>0</v>
      </c>
      <c r="AI5122" s="182" t="n">
        <v>0</v>
      </c>
      <c r="AJ5122" s="182" t="n">
        <v>0</v>
      </c>
      <c r="AK5122" s="182" t="n">
        <v>3.88</v>
      </c>
      <c r="AL5122" s="182" t="n">
        <v>0</v>
      </c>
      <c r="AM5122" s="182" t="n">
        <v>0.08</v>
      </c>
      <c r="AN5122" s="182" t="n">
        <v>0</v>
      </c>
    </row>
    <row r="5123">
      <c r="A5123" s="155" t="n">
        <v>46105</v>
      </c>
      <c r="B5123" s="156" t="inlineStr">
        <is>
          <t>DS</t>
        </is>
      </c>
      <c r="C5123" s="156" t="inlineStr">
        <is>
          <t>DT-811</t>
        </is>
      </c>
      <c r="D5123" s="156" t="inlineStr">
        <is>
          <t>SKT 80S</t>
        </is>
      </c>
      <c r="E5123" s="156" t="inlineStr">
        <is>
          <t>Hauler</t>
        </is>
      </c>
      <c r="F5123" s="156" t="inlineStr"/>
      <c r="G5123" s="182" t="n">
        <v>0</v>
      </c>
      <c r="H5123" s="182" t="n">
        <v>0</v>
      </c>
      <c r="I5123" s="182" t="n">
        <v>0</v>
      </c>
      <c r="J5123" s="182" t="n">
        <v>0</v>
      </c>
      <c r="K5123" s="182" t="n">
        <v>12</v>
      </c>
      <c r="L5123" s="182" t="n">
        <v>12</v>
      </c>
      <c r="M5123" s="182" t="n">
        <v>0</v>
      </c>
      <c r="N5123" s="182" t="n">
        <v>0</v>
      </c>
      <c r="O5123" s="183" t="n">
        <v>0</v>
      </c>
      <c r="P5123" s="183" t="n">
        <v>0</v>
      </c>
      <c r="Q5123" s="184" t="n">
        <v>0</v>
      </c>
      <c r="R5123" s="184" t="n">
        <v>0</v>
      </c>
      <c r="S5123" s="183" t="n">
        <v>0</v>
      </c>
      <c r="T5123" s="183" t="n">
        <v>0</v>
      </c>
      <c r="U5123" s="182" t="n">
        <v>0</v>
      </c>
      <c r="V5123" s="182" t="n">
        <v>0</v>
      </c>
      <c r="W5123" s="182" t="n">
        <v>0</v>
      </c>
      <c r="X5123" s="182" t="n">
        <v>1</v>
      </c>
      <c r="Y5123" s="182" t="n">
        <v>0</v>
      </c>
      <c r="Z5123" s="182" t="n">
        <v>0</v>
      </c>
      <c r="AA5123" s="182" t="n">
        <v>0</v>
      </c>
      <c r="AB5123" s="182" t="n">
        <v>0</v>
      </c>
      <c r="AC5123" s="182" t="n">
        <v>0</v>
      </c>
      <c r="AD5123" s="182" t="n">
        <v>0</v>
      </c>
      <c r="AE5123" s="182" t="n">
        <v>0</v>
      </c>
      <c r="AF5123" s="182" t="n">
        <v>0</v>
      </c>
      <c r="AG5123" s="182" t="n">
        <v>0</v>
      </c>
      <c r="AH5123" s="182" t="n">
        <v>0</v>
      </c>
      <c r="AI5123" s="182" t="n">
        <v>0</v>
      </c>
      <c r="AJ5123" s="182" t="n">
        <v>0</v>
      </c>
      <c r="AK5123" s="182" t="n">
        <v>10.92</v>
      </c>
      <c r="AL5123" s="182" t="n">
        <v>0</v>
      </c>
      <c r="AM5123" s="182" t="n">
        <v>0.08</v>
      </c>
      <c r="AN5123" s="182" t="n">
        <v>0</v>
      </c>
    </row>
    <row r="5124">
      <c r="A5124" s="155" t="n">
        <v>46105</v>
      </c>
      <c r="B5124" s="156" t="inlineStr">
        <is>
          <t>DS</t>
        </is>
      </c>
      <c r="C5124" s="156" t="inlineStr">
        <is>
          <t>DT-802</t>
        </is>
      </c>
      <c r="D5124" s="156" t="inlineStr">
        <is>
          <t>SKT 80S</t>
        </is>
      </c>
      <c r="E5124" s="156" t="inlineStr">
        <is>
          <t>Hauler</t>
        </is>
      </c>
      <c r="F5124" s="156" t="inlineStr"/>
      <c r="G5124" s="182" t="n">
        <v>0</v>
      </c>
      <c r="H5124" s="182" t="n">
        <v>0</v>
      </c>
      <c r="I5124" s="182" t="n">
        <v>0</v>
      </c>
      <c r="J5124" s="182" t="n">
        <v>0</v>
      </c>
      <c r="K5124" s="182" t="n">
        <v>12</v>
      </c>
      <c r="L5124" s="182" t="n">
        <v>12</v>
      </c>
      <c r="M5124" s="182" t="n">
        <v>0</v>
      </c>
      <c r="N5124" s="182" t="n">
        <v>0</v>
      </c>
      <c r="O5124" s="183" t="n">
        <v>0</v>
      </c>
      <c r="P5124" s="183" t="n">
        <v>0</v>
      </c>
      <c r="Q5124" s="184" t="n">
        <v>0</v>
      </c>
      <c r="R5124" s="184" t="n">
        <v>0</v>
      </c>
      <c r="S5124" s="183" t="n">
        <v>0</v>
      </c>
      <c r="T5124" s="183" t="n">
        <v>0</v>
      </c>
      <c r="U5124" s="182" t="n">
        <v>0</v>
      </c>
      <c r="V5124" s="182" t="n">
        <v>0</v>
      </c>
      <c r="W5124" s="182" t="n">
        <v>0</v>
      </c>
      <c r="X5124" s="182" t="n">
        <v>1</v>
      </c>
      <c r="Y5124" s="182" t="n">
        <v>0</v>
      </c>
      <c r="Z5124" s="182" t="n">
        <v>0</v>
      </c>
      <c r="AA5124" s="182" t="n">
        <v>0</v>
      </c>
      <c r="AB5124" s="182" t="n">
        <v>0</v>
      </c>
      <c r="AC5124" s="182" t="n">
        <v>0</v>
      </c>
      <c r="AD5124" s="182" t="n">
        <v>0</v>
      </c>
      <c r="AE5124" s="182" t="n">
        <v>0</v>
      </c>
      <c r="AF5124" s="182" t="n">
        <v>0</v>
      </c>
      <c r="AG5124" s="182" t="n">
        <v>0</v>
      </c>
      <c r="AH5124" s="182" t="n">
        <v>0</v>
      </c>
      <c r="AI5124" s="182" t="n">
        <v>0</v>
      </c>
      <c r="AJ5124" s="182" t="n">
        <v>0</v>
      </c>
      <c r="AK5124" s="182" t="n">
        <v>10.92</v>
      </c>
      <c r="AL5124" s="182" t="n">
        <v>0</v>
      </c>
      <c r="AM5124" s="182" t="n">
        <v>0.08</v>
      </c>
      <c r="AN5124" s="182" t="n">
        <v>0</v>
      </c>
    </row>
    <row r="5125">
      <c r="A5125" s="155" t="n">
        <v>46105</v>
      </c>
      <c r="B5125" s="156" t="inlineStr">
        <is>
          <t>DS</t>
        </is>
      </c>
      <c r="C5125" s="156" t="inlineStr">
        <is>
          <t>DT-807</t>
        </is>
      </c>
      <c r="D5125" s="156" t="inlineStr">
        <is>
          <t>SKT 80S</t>
        </is>
      </c>
      <c r="E5125" s="156" t="inlineStr">
        <is>
          <t>Hauler</t>
        </is>
      </c>
      <c r="F5125" s="156" t="inlineStr"/>
      <c r="G5125" s="182" t="n">
        <v>0</v>
      </c>
      <c r="H5125" s="182" t="n">
        <v>0</v>
      </c>
      <c r="I5125" s="182" t="n">
        <v>0</v>
      </c>
      <c r="J5125" s="182" t="n">
        <v>0</v>
      </c>
      <c r="K5125" s="182" t="n">
        <v>12</v>
      </c>
      <c r="L5125" s="182" t="n">
        <v>12</v>
      </c>
      <c r="M5125" s="182" t="n">
        <v>0</v>
      </c>
      <c r="N5125" s="182" t="n">
        <v>0</v>
      </c>
      <c r="O5125" s="183" t="n">
        <v>0</v>
      </c>
      <c r="P5125" s="183" t="n">
        <v>0</v>
      </c>
      <c r="Q5125" s="184" t="n">
        <v>0</v>
      </c>
      <c r="R5125" s="184" t="n">
        <v>0</v>
      </c>
      <c r="S5125" s="183" t="n">
        <v>0</v>
      </c>
      <c r="T5125" s="183" t="n">
        <v>0</v>
      </c>
      <c r="U5125" s="182" t="n">
        <v>0</v>
      </c>
      <c r="V5125" s="182" t="n">
        <v>0</v>
      </c>
      <c r="W5125" s="182" t="n">
        <v>0</v>
      </c>
      <c r="X5125" s="182" t="n">
        <v>1</v>
      </c>
      <c r="Y5125" s="182" t="n">
        <v>0</v>
      </c>
      <c r="Z5125" s="182" t="n">
        <v>0</v>
      </c>
      <c r="AA5125" s="182" t="n">
        <v>0</v>
      </c>
      <c r="AB5125" s="182" t="n">
        <v>0</v>
      </c>
      <c r="AC5125" s="182" t="n">
        <v>0</v>
      </c>
      <c r="AD5125" s="182" t="n">
        <v>0</v>
      </c>
      <c r="AE5125" s="182" t="n">
        <v>0</v>
      </c>
      <c r="AF5125" s="182" t="n">
        <v>0</v>
      </c>
      <c r="AG5125" s="182" t="n">
        <v>0</v>
      </c>
      <c r="AH5125" s="182" t="n">
        <v>0</v>
      </c>
      <c r="AI5125" s="182" t="n">
        <v>0</v>
      </c>
      <c r="AJ5125" s="182" t="n">
        <v>0</v>
      </c>
      <c r="AK5125" s="182" t="n">
        <v>10.92</v>
      </c>
      <c r="AL5125" s="182" t="n">
        <v>0</v>
      </c>
      <c r="AM5125" s="182" t="n">
        <v>0.08</v>
      </c>
      <c r="AN5125" s="182" t="n">
        <v>0</v>
      </c>
    </row>
    <row r="5126">
      <c r="A5126" s="155" t="n">
        <v>46105</v>
      </c>
      <c r="B5126" s="156" t="inlineStr">
        <is>
          <t>DS</t>
        </is>
      </c>
      <c r="C5126" s="156" t="inlineStr">
        <is>
          <t>DT-812</t>
        </is>
      </c>
      <c r="D5126" s="156" t="inlineStr">
        <is>
          <t>SKT 80S</t>
        </is>
      </c>
      <c r="E5126" s="156" t="inlineStr">
        <is>
          <t>Hauler</t>
        </is>
      </c>
      <c r="F5126" s="156" t="inlineStr">
        <is>
          <t>Hauling Coal</t>
        </is>
      </c>
      <c r="G5126" s="182" t="n">
        <v>4.71</v>
      </c>
      <c r="H5126" s="182" t="n">
        <v>0</v>
      </c>
      <c r="I5126" s="182" t="n">
        <v>0</v>
      </c>
      <c r="J5126" s="182" t="n">
        <v>0</v>
      </c>
      <c r="K5126" s="182" t="n">
        <v>7.29</v>
      </c>
      <c r="L5126" s="182" t="n">
        <v>12</v>
      </c>
      <c r="M5126" s="182" t="n">
        <v>0</v>
      </c>
      <c r="N5126" s="182" t="n">
        <v>4.71</v>
      </c>
      <c r="O5126" s="183" t="n">
        <v>0</v>
      </c>
      <c r="P5126" s="183" t="n">
        <v>10</v>
      </c>
      <c r="Q5126" s="184" t="n">
        <v>0</v>
      </c>
      <c r="R5126" s="184" t="n">
        <v>153</v>
      </c>
      <c r="S5126" s="183" t="n">
        <v>0</v>
      </c>
      <c r="T5126" s="183" t="n">
        <v>0</v>
      </c>
      <c r="U5126" s="182" t="n">
        <v>0</v>
      </c>
      <c r="V5126" s="182" t="n">
        <v>0</v>
      </c>
      <c r="W5126" s="182" t="n">
        <v>0</v>
      </c>
      <c r="X5126" s="182" t="n">
        <v>1.01</v>
      </c>
      <c r="Y5126" s="182" t="n">
        <v>0</v>
      </c>
      <c r="Z5126" s="182" t="n">
        <v>0</v>
      </c>
      <c r="AA5126" s="182" t="n">
        <v>0</v>
      </c>
      <c r="AB5126" s="182" t="n">
        <v>0</v>
      </c>
      <c r="AC5126" s="182" t="n">
        <v>0</v>
      </c>
      <c r="AD5126" s="182" t="n">
        <v>0</v>
      </c>
      <c r="AE5126" s="182" t="n">
        <v>0</v>
      </c>
      <c r="AF5126" s="182" t="n">
        <v>0</v>
      </c>
      <c r="AG5126" s="182" t="n">
        <v>0</v>
      </c>
      <c r="AH5126" s="182" t="n">
        <v>0</v>
      </c>
      <c r="AI5126" s="182" t="n">
        <v>0</v>
      </c>
      <c r="AJ5126" s="182" t="n">
        <v>0</v>
      </c>
      <c r="AK5126" s="182" t="n">
        <v>6.2</v>
      </c>
      <c r="AL5126" s="182" t="n">
        <v>0</v>
      </c>
      <c r="AM5126" s="182" t="n">
        <v>0.08</v>
      </c>
      <c r="AN5126" s="182" t="n">
        <v>0</v>
      </c>
    </row>
    <row r="5127">
      <c r="A5127" s="155" t="n">
        <v>46105</v>
      </c>
      <c r="B5127" s="156" t="inlineStr">
        <is>
          <t>DS</t>
        </is>
      </c>
      <c r="C5127" s="156" t="inlineStr">
        <is>
          <t>DT-803</t>
        </is>
      </c>
      <c r="D5127" s="156" t="inlineStr">
        <is>
          <t>SKT 80S</t>
        </is>
      </c>
      <c r="E5127" s="156" t="inlineStr">
        <is>
          <t>Hauler</t>
        </is>
      </c>
      <c r="F5127" s="156" t="inlineStr"/>
      <c r="G5127" s="182" t="n">
        <v>0</v>
      </c>
      <c r="H5127" s="182" t="n">
        <v>0</v>
      </c>
      <c r="I5127" s="182" t="n">
        <v>0</v>
      </c>
      <c r="J5127" s="182" t="n">
        <v>0</v>
      </c>
      <c r="K5127" s="182" t="n">
        <v>12</v>
      </c>
      <c r="L5127" s="182" t="n">
        <v>12</v>
      </c>
      <c r="M5127" s="182" t="n">
        <v>0</v>
      </c>
      <c r="N5127" s="182" t="n">
        <v>0</v>
      </c>
      <c r="O5127" s="183" t="n">
        <v>0</v>
      </c>
      <c r="P5127" s="183" t="n">
        <v>0</v>
      </c>
      <c r="Q5127" s="184" t="n">
        <v>0</v>
      </c>
      <c r="R5127" s="184" t="n">
        <v>0</v>
      </c>
      <c r="S5127" s="183" t="n">
        <v>0</v>
      </c>
      <c r="T5127" s="183" t="n">
        <v>0</v>
      </c>
      <c r="U5127" s="182" t="n">
        <v>0</v>
      </c>
      <c r="V5127" s="182" t="n">
        <v>0</v>
      </c>
      <c r="W5127" s="182" t="n">
        <v>0</v>
      </c>
      <c r="X5127" s="182" t="n">
        <v>1</v>
      </c>
      <c r="Y5127" s="182" t="n">
        <v>0</v>
      </c>
      <c r="Z5127" s="182" t="n">
        <v>0</v>
      </c>
      <c r="AA5127" s="182" t="n">
        <v>0</v>
      </c>
      <c r="AB5127" s="182" t="n">
        <v>0</v>
      </c>
      <c r="AC5127" s="182" t="n">
        <v>0</v>
      </c>
      <c r="AD5127" s="182" t="n">
        <v>0</v>
      </c>
      <c r="AE5127" s="182" t="n">
        <v>0</v>
      </c>
      <c r="AF5127" s="182" t="n">
        <v>0</v>
      </c>
      <c r="AG5127" s="182" t="n">
        <v>0</v>
      </c>
      <c r="AH5127" s="182" t="n">
        <v>0</v>
      </c>
      <c r="AI5127" s="182" t="n">
        <v>0</v>
      </c>
      <c r="AJ5127" s="182" t="n">
        <v>0</v>
      </c>
      <c r="AK5127" s="182" t="n">
        <v>10.92</v>
      </c>
      <c r="AL5127" s="182" t="n">
        <v>0</v>
      </c>
      <c r="AM5127" s="182" t="n">
        <v>0.08</v>
      </c>
      <c r="AN5127" s="182" t="n">
        <v>0</v>
      </c>
    </row>
    <row r="5128">
      <c r="A5128" s="155" t="n">
        <v>46105</v>
      </c>
      <c r="B5128" s="156" t="inlineStr">
        <is>
          <t>DS</t>
        </is>
      </c>
      <c r="C5128" s="156" t="inlineStr">
        <is>
          <t>DT-810</t>
        </is>
      </c>
      <c r="D5128" s="156" t="inlineStr">
        <is>
          <t>SKT 80S</t>
        </is>
      </c>
      <c r="E5128" s="156" t="inlineStr">
        <is>
          <t>Hauler</t>
        </is>
      </c>
      <c r="F5128" s="156" t="inlineStr">
        <is>
          <t>Hauling Coal</t>
        </is>
      </c>
      <c r="G5128" s="182" t="n">
        <v>6.42</v>
      </c>
      <c r="H5128" s="182" t="n">
        <v>0</v>
      </c>
      <c r="I5128" s="182" t="n">
        <v>0</v>
      </c>
      <c r="J5128" s="182" t="n">
        <v>0</v>
      </c>
      <c r="K5128" s="182" t="n">
        <v>5.58</v>
      </c>
      <c r="L5128" s="182" t="n">
        <v>12</v>
      </c>
      <c r="M5128" s="182" t="n">
        <v>0</v>
      </c>
      <c r="N5128" s="182" t="n">
        <v>6.42</v>
      </c>
      <c r="O5128" s="183" t="n">
        <v>0</v>
      </c>
      <c r="P5128" s="183" t="n">
        <v>10</v>
      </c>
      <c r="Q5128" s="184" t="n">
        <v>0</v>
      </c>
      <c r="R5128" s="184" t="n">
        <v>153</v>
      </c>
      <c r="S5128" s="183" t="n">
        <v>0</v>
      </c>
      <c r="T5128" s="183" t="n">
        <v>0</v>
      </c>
      <c r="U5128" s="182" t="n">
        <v>0</v>
      </c>
      <c r="V5128" s="182" t="n">
        <v>0</v>
      </c>
      <c r="W5128" s="182" t="n">
        <v>0</v>
      </c>
      <c r="X5128" s="182" t="n">
        <v>1.03</v>
      </c>
      <c r="Y5128" s="182" t="n">
        <v>0</v>
      </c>
      <c r="Z5128" s="182" t="n">
        <v>0</v>
      </c>
      <c r="AA5128" s="182" t="n">
        <v>0</v>
      </c>
      <c r="AB5128" s="182" t="n">
        <v>0</v>
      </c>
      <c r="AC5128" s="182" t="n">
        <v>0</v>
      </c>
      <c r="AD5128" s="182" t="n">
        <v>0</v>
      </c>
      <c r="AE5128" s="182" t="n">
        <v>0</v>
      </c>
      <c r="AF5128" s="182" t="n">
        <v>0</v>
      </c>
      <c r="AG5128" s="182" t="n">
        <v>0</v>
      </c>
      <c r="AH5128" s="182" t="n">
        <v>0</v>
      </c>
      <c r="AI5128" s="182" t="n">
        <v>0</v>
      </c>
      <c r="AJ5128" s="182" t="n">
        <v>0</v>
      </c>
      <c r="AK5128" s="182" t="n">
        <v>4.46</v>
      </c>
      <c r="AL5128" s="182" t="n">
        <v>0</v>
      </c>
      <c r="AM5128" s="182" t="n">
        <v>0.08</v>
      </c>
      <c r="AN5128" s="182" t="n">
        <v>0</v>
      </c>
    </row>
    <row r="5129">
      <c r="A5129" s="155" t="n">
        <v>46105</v>
      </c>
      <c r="B5129" s="156" t="inlineStr">
        <is>
          <t>DS</t>
        </is>
      </c>
      <c r="C5129" s="156" t="inlineStr">
        <is>
          <t>DT-804</t>
        </is>
      </c>
      <c r="D5129" s="156" t="inlineStr">
        <is>
          <t>SKT 80S</t>
        </is>
      </c>
      <c r="E5129" s="156" t="inlineStr">
        <is>
          <t>Hauler</t>
        </is>
      </c>
      <c r="F5129" s="156" t="inlineStr">
        <is>
          <t>Hauling Lumpur dari Washing Plant</t>
        </is>
      </c>
      <c r="G5129" s="182" t="n">
        <v>6.5</v>
      </c>
      <c r="H5129" s="182" t="n">
        <v>0</v>
      </c>
      <c r="I5129" s="182" t="n">
        <v>0</v>
      </c>
      <c r="J5129" s="182" t="n">
        <v>0</v>
      </c>
      <c r="K5129" s="182" t="n">
        <v>5.5</v>
      </c>
      <c r="L5129" s="182" t="n">
        <v>12</v>
      </c>
      <c r="M5129" s="182" t="n">
        <v>0</v>
      </c>
      <c r="N5129" s="182" t="n">
        <v>0</v>
      </c>
      <c r="O5129" s="183" t="n">
        <v>0</v>
      </c>
      <c r="P5129" s="183" t="n">
        <v>0</v>
      </c>
      <c r="Q5129" s="184" t="n">
        <v>0</v>
      </c>
      <c r="R5129" s="184" t="n">
        <v>0</v>
      </c>
      <c r="S5129" s="183" t="n">
        <v>0</v>
      </c>
      <c r="T5129" s="183" t="n">
        <v>0</v>
      </c>
      <c r="U5129" s="182" t="n">
        <v>0</v>
      </c>
      <c r="V5129" s="182" t="n">
        <v>0</v>
      </c>
      <c r="W5129" s="182" t="n">
        <v>0</v>
      </c>
      <c r="X5129" s="182" t="n">
        <v>0.93</v>
      </c>
      <c r="Y5129" s="182" t="n">
        <v>0</v>
      </c>
      <c r="Z5129" s="182" t="n">
        <v>0</v>
      </c>
      <c r="AA5129" s="182" t="n">
        <v>0</v>
      </c>
      <c r="AB5129" s="182" t="n">
        <v>0</v>
      </c>
      <c r="AC5129" s="182" t="n">
        <v>0</v>
      </c>
      <c r="AD5129" s="182" t="n">
        <v>0</v>
      </c>
      <c r="AE5129" s="182" t="n">
        <v>0</v>
      </c>
      <c r="AF5129" s="182" t="n">
        <v>0</v>
      </c>
      <c r="AG5129" s="182" t="n">
        <v>0</v>
      </c>
      <c r="AH5129" s="182" t="n">
        <v>0</v>
      </c>
      <c r="AI5129" s="182" t="n">
        <v>0</v>
      </c>
      <c r="AJ5129" s="182" t="n">
        <v>0</v>
      </c>
      <c r="AK5129" s="182" t="n">
        <v>0</v>
      </c>
      <c r="AL5129" s="182" t="n">
        <v>0</v>
      </c>
      <c r="AM5129" s="182" t="n">
        <v>0.07000000000000001</v>
      </c>
      <c r="AN5129" s="182" t="n">
        <v>0</v>
      </c>
    </row>
    <row r="5130">
      <c r="A5130" s="155" t="n">
        <v>46105</v>
      </c>
      <c r="B5130" s="156" t="inlineStr">
        <is>
          <t>DS</t>
        </is>
      </c>
      <c r="C5130" s="156" t="inlineStr">
        <is>
          <t>DT-505</t>
        </is>
      </c>
      <c r="D5130" s="156" t="inlineStr">
        <is>
          <t>SKT 105S</t>
        </is>
      </c>
      <c r="E5130" s="156" t="inlineStr">
        <is>
          <t>Hauler</t>
        </is>
      </c>
      <c r="F5130" s="156" t="inlineStr">
        <is>
          <t>Hauling OB &amp; Coal</t>
        </is>
      </c>
      <c r="G5130" s="182" t="n">
        <v>8.44</v>
      </c>
      <c r="H5130" s="182" t="n">
        <v>0</v>
      </c>
      <c r="I5130" s="182" t="n">
        <v>0</v>
      </c>
      <c r="J5130" s="182" t="n">
        <v>0</v>
      </c>
      <c r="K5130" s="182" t="n">
        <v>3.56</v>
      </c>
      <c r="L5130" s="182" t="n">
        <v>12</v>
      </c>
      <c r="M5130" s="182" t="n">
        <v>8.1</v>
      </c>
      <c r="N5130" s="182" t="n">
        <v>0.33</v>
      </c>
      <c r="O5130" s="183" t="n">
        <v>21</v>
      </c>
      <c r="P5130" s="183" t="n">
        <v>1</v>
      </c>
      <c r="Q5130" s="184" t="n">
        <v>428.4</v>
      </c>
      <c r="R5130" s="184" t="n">
        <v>18.7</v>
      </c>
      <c r="S5130" s="183" t="n">
        <v>0</v>
      </c>
      <c r="T5130" s="183" t="n">
        <v>0</v>
      </c>
      <c r="U5130" s="182" t="n">
        <v>0</v>
      </c>
      <c r="V5130" s="182" t="n">
        <v>0</v>
      </c>
      <c r="W5130" s="182" t="n">
        <v>0</v>
      </c>
      <c r="X5130" s="182" t="n">
        <v>0.99</v>
      </c>
      <c r="Y5130" s="182" t="n">
        <v>0</v>
      </c>
      <c r="Z5130" s="182" t="n">
        <v>0</v>
      </c>
      <c r="AA5130" s="182" t="n">
        <v>0</v>
      </c>
      <c r="AB5130" s="182" t="n">
        <v>0</v>
      </c>
      <c r="AC5130" s="182" t="n">
        <v>0</v>
      </c>
      <c r="AD5130" s="182" t="n">
        <v>0</v>
      </c>
      <c r="AE5130" s="182" t="n">
        <v>0</v>
      </c>
      <c r="AF5130" s="182" t="n">
        <v>0</v>
      </c>
      <c r="AG5130" s="182" t="n">
        <v>0</v>
      </c>
      <c r="AH5130" s="182" t="n">
        <v>0</v>
      </c>
      <c r="AI5130" s="182" t="n">
        <v>2.49</v>
      </c>
      <c r="AJ5130" s="182" t="n">
        <v>0</v>
      </c>
      <c r="AK5130" s="182" t="n">
        <v>0</v>
      </c>
      <c r="AL5130" s="182" t="n">
        <v>0</v>
      </c>
      <c r="AM5130" s="182" t="n">
        <v>0.08</v>
      </c>
      <c r="AN5130" s="182" t="n">
        <v>0</v>
      </c>
    </row>
    <row r="5131">
      <c r="A5131" s="155" t="n">
        <v>46105</v>
      </c>
      <c r="B5131" s="156" t="inlineStr">
        <is>
          <t>DS</t>
        </is>
      </c>
      <c r="C5131" s="156" t="inlineStr">
        <is>
          <t>DT-530</t>
        </is>
      </c>
      <c r="D5131" s="156" t="inlineStr">
        <is>
          <t>SKT 105S</t>
        </is>
      </c>
      <c r="E5131" s="156" t="inlineStr">
        <is>
          <t>Hauler</t>
        </is>
      </c>
      <c r="F5131" s="156" t="inlineStr"/>
      <c r="G5131" s="182" t="n">
        <v>0</v>
      </c>
      <c r="H5131" s="182" t="n">
        <v>0</v>
      </c>
      <c r="I5131" s="182" t="n">
        <v>12</v>
      </c>
      <c r="J5131" s="182" t="n">
        <v>12</v>
      </c>
      <c r="K5131" s="182" t="n">
        <v>0</v>
      </c>
      <c r="L5131" s="182" t="n">
        <v>12</v>
      </c>
      <c r="M5131" s="182" t="n">
        <v>0</v>
      </c>
      <c r="N5131" s="182" t="n">
        <v>0</v>
      </c>
      <c r="O5131" s="183" t="n">
        <v>0</v>
      </c>
      <c r="P5131" s="183" t="n">
        <v>0</v>
      </c>
      <c r="Q5131" s="184" t="n">
        <v>0</v>
      </c>
      <c r="R5131" s="184" t="n">
        <v>0</v>
      </c>
      <c r="S5131" s="183" t="n">
        <v>0</v>
      </c>
      <c r="T5131" s="183" t="n">
        <v>0</v>
      </c>
      <c r="U5131" s="182" t="n">
        <v>0</v>
      </c>
      <c r="V5131" s="182" t="n">
        <v>0</v>
      </c>
      <c r="W5131" s="182" t="n">
        <v>0</v>
      </c>
      <c r="X5131" s="182" t="n">
        <v>0</v>
      </c>
      <c r="Y5131" s="182" t="n">
        <v>0</v>
      </c>
      <c r="Z5131" s="182" t="n">
        <v>0</v>
      </c>
      <c r="AA5131" s="182" t="n">
        <v>0</v>
      </c>
      <c r="AB5131" s="182" t="n">
        <v>0</v>
      </c>
      <c r="AC5131" s="182" t="n">
        <v>0</v>
      </c>
      <c r="AD5131" s="182" t="n">
        <v>0</v>
      </c>
      <c r="AE5131" s="182" t="n">
        <v>0</v>
      </c>
      <c r="AF5131" s="182" t="n">
        <v>0</v>
      </c>
      <c r="AG5131" s="182" t="n">
        <v>0</v>
      </c>
      <c r="AH5131" s="182" t="n">
        <v>0</v>
      </c>
      <c r="AI5131" s="182" t="n">
        <v>0</v>
      </c>
      <c r="AJ5131" s="182" t="n">
        <v>0</v>
      </c>
      <c r="AK5131" s="182" t="n">
        <v>0</v>
      </c>
      <c r="AL5131" s="182" t="n">
        <v>0</v>
      </c>
      <c r="AM5131" s="182" t="n">
        <v>0</v>
      </c>
      <c r="AN5131" s="182" t="n">
        <v>0</v>
      </c>
    </row>
    <row r="5132">
      <c r="A5132" s="155" t="n">
        <v>46105</v>
      </c>
      <c r="B5132" s="156" t="inlineStr">
        <is>
          <t>DS</t>
        </is>
      </c>
      <c r="C5132" s="156" t="inlineStr">
        <is>
          <t>DT-525</t>
        </is>
      </c>
      <c r="D5132" s="156" t="inlineStr">
        <is>
          <t>SKT 105S</t>
        </is>
      </c>
      <c r="E5132" s="156" t="inlineStr">
        <is>
          <t>Hauler</t>
        </is>
      </c>
      <c r="F5132" s="156" t="inlineStr"/>
      <c r="G5132" s="182" t="n">
        <v>0</v>
      </c>
      <c r="H5132" s="182" t="n">
        <v>0</v>
      </c>
      <c r="I5132" s="182" t="n">
        <v>12</v>
      </c>
      <c r="J5132" s="182" t="n">
        <v>12</v>
      </c>
      <c r="K5132" s="182" t="n">
        <v>0</v>
      </c>
      <c r="L5132" s="182" t="n">
        <v>12</v>
      </c>
      <c r="M5132" s="182" t="n">
        <v>0</v>
      </c>
      <c r="N5132" s="182" t="n">
        <v>0</v>
      </c>
      <c r="O5132" s="183" t="n">
        <v>0</v>
      </c>
      <c r="P5132" s="183" t="n">
        <v>0</v>
      </c>
      <c r="Q5132" s="184" t="n">
        <v>0</v>
      </c>
      <c r="R5132" s="184" t="n">
        <v>0</v>
      </c>
      <c r="S5132" s="183" t="n">
        <v>0</v>
      </c>
      <c r="T5132" s="183" t="n">
        <v>0</v>
      </c>
      <c r="U5132" s="182" t="n">
        <v>0</v>
      </c>
      <c r="V5132" s="182" t="n">
        <v>0</v>
      </c>
      <c r="W5132" s="182" t="n">
        <v>0</v>
      </c>
      <c r="X5132" s="182" t="n">
        <v>0</v>
      </c>
      <c r="Y5132" s="182" t="n">
        <v>0</v>
      </c>
      <c r="Z5132" s="182" t="n">
        <v>0</v>
      </c>
      <c r="AA5132" s="182" t="n">
        <v>0</v>
      </c>
      <c r="AB5132" s="182" t="n">
        <v>0</v>
      </c>
      <c r="AC5132" s="182" t="n">
        <v>0</v>
      </c>
      <c r="AD5132" s="182" t="n">
        <v>0</v>
      </c>
      <c r="AE5132" s="182" t="n">
        <v>0</v>
      </c>
      <c r="AF5132" s="182" t="n">
        <v>0</v>
      </c>
      <c r="AG5132" s="182" t="n">
        <v>0</v>
      </c>
      <c r="AH5132" s="182" t="n">
        <v>0</v>
      </c>
      <c r="AI5132" s="182" t="n">
        <v>0</v>
      </c>
      <c r="AJ5132" s="182" t="n">
        <v>0</v>
      </c>
      <c r="AK5132" s="182" t="n">
        <v>0</v>
      </c>
      <c r="AL5132" s="182" t="n">
        <v>0</v>
      </c>
      <c r="AM5132" s="182" t="n">
        <v>0</v>
      </c>
      <c r="AN5132" s="182" t="n">
        <v>0</v>
      </c>
    </row>
    <row r="5133">
      <c r="A5133" s="155" t="n">
        <v>46105</v>
      </c>
      <c r="B5133" s="156" t="inlineStr">
        <is>
          <t>DS</t>
        </is>
      </c>
      <c r="C5133" s="156" t="inlineStr">
        <is>
          <t>DT-503</t>
        </is>
      </c>
      <c r="D5133" s="156" t="inlineStr">
        <is>
          <t>SKT 105S</t>
        </is>
      </c>
      <c r="E5133" s="156" t="inlineStr">
        <is>
          <t>Hauler</t>
        </is>
      </c>
      <c r="F5133" s="156" t="inlineStr">
        <is>
          <t>Hauling OB</t>
        </is>
      </c>
      <c r="G5133" s="182" t="n">
        <v>10.36</v>
      </c>
      <c r="H5133" s="182" t="n">
        <v>0</v>
      </c>
      <c r="I5133" s="182" t="n">
        <v>0</v>
      </c>
      <c r="J5133" s="182" t="n">
        <v>0</v>
      </c>
      <c r="K5133" s="182" t="n">
        <v>1.64</v>
      </c>
      <c r="L5133" s="182" t="n">
        <v>12</v>
      </c>
      <c r="M5133" s="182" t="n">
        <v>10.36</v>
      </c>
      <c r="N5133" s="182" t="n">
        <v>0</v>
      </c>
      <c r="O5133" s="183" t="n">
        <v>43</v>
      </c>
      <c r="P5133" s="183" t="n">
        <v>0</v>
      </c>
      <c r="Q5133" s="184" t="n">
        <v>877.2</v>
      </c>
      <c r="R5133" s="184" t="n">
        <v>0</v>
      </c>
      <c r="S5133" s="183" t="n">
        <v>0</v>
      </c>
      <c r="T5133" s="183" t="n">
        <v>0</v>
      </c>
      <c r="U5133" s="182" t="n">
        <v>0</v>
      </c>
      <c r="V5133" s="182" t="n">
        <v>0</v>
      </c>
      <c r="W5133" s="182" t="n">
        <v>0</v>
      </c>
      <c r="X5133" s="182" t="n">
        <v>1.26</v>
      </c>
      <c r="Y5133" s="182" t="n">
        <v>0</v>
      </c>
      <c r="Z5133" s="182" t="n">
        <v>0</v>
      </c>
      <c r="AA5133" s="182" t="n">
        <v>0</v>
      </c>
      <c r="AB5133" s="182" t="n">
        <v>0</v>
      </c>
      <c r="AC5133" s="182" t="n">
        <v>0</v>
      </c>
      <c r="AD5133" s="182" t="n">
        <v>0</v>
      </c>
      <c r="AE5133" s="182" t="n">
        <v>0</v>
      </c>
      <c r="AF5133" s="182" t="n">
        <v>0</v>
      </c>
      <c r="AG5133" s="182" t="n">
        <v>0</v>
      </c>
      <c r="AH5133" s="182" t="n">
        <v>0.28</v>
      </c>
      <c r="AI5133" s="182" t="n">
        <v>0</v>
      </c>
      <c r="AJ5133" s="182" t="n">
        <v>0</v>
      </c>
      <c r="AK5133" s="182" t="n">
        <v>0</v>
      </c>
      <c r="AL5133" s="182" t="n">
        <v>0</v>
      </c>
      <c r="AM5133" s="182" t="n">
        <v>0.1</v>
      </c>
      <c r="AN5133" s="182" t="n">
        <v>0</v>
      </c>
    </row>
    <row r="5134">
      <c r="A5134" s="155" t="n">
        <v>46105</v>
      </c>
      <c r="B5134" s="156" t="inlineStr">
        <is>
          <t>DS</t>
        </is>
      </c>
      <c r="C5134" s="156" t="inlineStr">
        <is>
          <t>DT-504</t>
        </is>
      </c>
      <c r="D5134" s="156" t="inlineStr">
        <is>
          <t>SKT 105S</t>
        </is>
      </c>
      <c r="E5134" s="156" t="inlineStr">
        <is>
          <t>Hauler</t>
        </is>
      </c>
      <c r="F5134" s="156" t="inlineStr">
        <is>
          <t>Hauling Coal</t>
        </is>
      </c>
      <c r="G5134" s="182" t="n">
        <v>2.54</v>
      </c>
      <c r="H5134" s="182" t="n">
        <v>0</v>
      </c>
      <c r="I5134" s="182" t="n">
        <v>1.98</v>
      </c>
      <c r="J5134" s="182" t="n">
        <v>1.98</v>
      </c>
      <c r="K5134" s="182" t="n">
        <v>7.48</v>
      </c>
      <c r="L5134" s="182" t="n">
        <v>12</v>
      </c>
      <c r="M5134" s="182" t="n">
        <v>0</v>
      </c>
      <c r="N5134" s="182" t="n">
        <v>2.54</v>
      </c>
      <c r="O5134" s="183" t="n">
        <v>0</v>
      </c>
      <c r="P5134" s="183" t="n">
        <v>3</v>
      </c>
      <c r="Q5134" s="184" t="n">
        <v>0</v>
      </c>
      <c r="R5134" s="184" t="n">
        <v>56.1</v>
      </c>
      <c r="S5134" s="183" t="n">
        <v>0</v>
      </c>
      <c r="T5134" s="183" t="n">
        <v>0</v>
      </c>
      <c r="U5134" s="182" t="n">
        <v>0</v>
      </c>
      <c r="V5134" s="182" t="n">
        <v>0</v>
      </c>
      <c r="W5134" s="182" t="n">
        <v>0</v>
      </c>
      <c r="X5134" s="182" t="n">
        <v>0.98</v>
      </c>
      <c r="Y5134" s="182" t="n">
        <v>0</v>
      </c>
      <c r="Z5134" s="182" t="n">
        <v>0</v>
      </c>
      <c r="AA5134" s="182" t="n">
        <v>0</v>
      </c>
      <c r="AB5134" s="182" t="n">
        <v>0</v>
      </c>
      <c r="AC5134" s="182" t="n">
        <v>0</v>
      </c>
      <c r="AD5134" s="182" t="n">
        <v>0</v>
      </c>
      <c r="AE5134" s="182" t="n">
        <v>0</v>
      </c>
      <c r="AF5134" s="182" t="n">
        <v>0</v>
      </c>
      <c r="AG5134" s="182" t="n">
        <v>0</v>
      </c>
      <c r="AH5134" s="182" t="n">
        <v>0</v>
      </c>
      <c r="AI5134" s="182" t="n">
        <v>6.41</v>
      </c>
      <c r="AJ5134" s="182" t="n">
        <v>0</v>
      </c>
      <c r="AK5134" s="182" t="n">
        <v>0</v>
      </c>
      <c r="AL5134" s="182" t="n">
        <v>0</v>
      </c>
      <c r="AM5134" s="182" t="n">
        <v>0.08</v>
      </c>
      <c r="AN5134" s="182" t="n">
        <v>0</v>
      </c>
    </row>
    <row r="5135">
      <c r="A5135" s="155" t="n">
        <v>46105</v>
      </c>
      <c r="B5135" s="156" t="inlineStr">
        <is>
          <t>DS</t>
        </is>
      </c>
      <c r="C5135" s="156" t="inlineStr">
        <is>
          <t>DT-507</t>
        </is>
      </c>
      <c r="D5135" s="156" t="inlineStr">
        <is>
          <t>SKT 105S</t>
        </is>
      </c>
      <c r="E5135" s="156" t="inlineStr">
        <is>
          <t>Hauler</t>
        </is>
      </c>
      <c r="F5135" s="156" t="inlineStr"/>
      <c r="G5135" s="182" t="n">
        <v>0</v>
      </c>
      <c r="H5135" s="182" t="n">
        <v>0</v>
      </c>
      <c r="I5135" s="182" t="n">
        <v>12</v>
      </c>
      <c r="J5135" s="182" t="n">
        <v>12</v>
      </c>
      <c r="K5135" s="182" t="n">
        <v>0</v>
      </c>
      <c r="L5135" s="182" t="n">
        <v>12</v>
      </c>
      <c r="M5135" s="182" t="n">
        <v>0</v>
      </c>
      <c r="N5135" s="182" t="n">
        <v>0</v>
      </c>
      <c r="O5135" s="183" t="n">
        <v>0</v>
      </c>
      <c r="P5135" s="183" t="n">
        <v>0</v>
      </c>
      <c r="Q5135" s="184" t="n">
        <v>0</v>
      </c>
      <c r="R5135" s="184" t="n">
        <v>0</v>
      </c>
      <c r="S5135" s="183" t="n">
        <v>0</v>
      </c>
      <c r="T5135" s="183" t="n">
        <v>0</v>
      </c>
      <c r="U5135" s="182" t="n">
        <v>0</v>
      </c>
      <c r="V5135" s="182" t="n">
        <v>0</v>
      </c>
      <c r="W5135" s="182" t="n">
        <v>0</v>
      </c>
      <c r="X5135" s="182" t="n">
        <v>0</v>
      </c>
      <c r="Y5135" s="182" t="n">
        <v>0</v>
      </c>
      <c r="Z5135" s="182" t="n">
        <v>0</v>
      </c>
      <c r="AA5135" s="182" t="n">
        <v>0</v>
      </c>
      <c r="AB5135" s="182" t="n">
        <v>0</v>
      </c>
      <c r="AC5135" s="182" t="n">
        <v>0</v>
      </c>
      <c r="AD5135" s="182" t="n">
        <v>0</v>
      </c>
      <c r="AE5135" s="182" t="n">
        <v>0</v>
      </c>
      <c r="AF5135" s="182" t="n">
        <v>0</v>
      </c>
      <c r="AG5135" s="182" t="n">
        <v>0</v>
      </c>
      <c r="AH5135" s="182" t="n">
        <v>0</v>
      </c>
      <c r="AI5135" s="182" t="n">
        <v>0</v>
      </c>
      <c r="AJ5135" s="182" t="n">
        <v>0</v>
      </c>
      <c r="AK5135" s="182" t="n">
        <v>0</v>
      </c>
      <c r="AL5135" s="182" t="n">
        <v>0</v>
      </c>
      <c r="AM5135" s="182" t="n">
        <v>0</v>
      </c>
      <c r="AN5135" s="182" t="n">
        <v>0</v>
      </c>
    </row>
    <row r="5136">
      <c r="A5136" s="155" t="n">
        <v>46105</v>
      </c>
      <c r="B5136" s="156" t="inlineStr">
        <is>
          <t>DS</t>
        </is>
      </c>
      <c r="C5136" s="156" t="inlineStr">
        <is>
          <t>DT-501</t>
        </is>
      </c>
      <c r="D5136" s="156" t="inlineStr">
        <is>
          <t>SKT 105S</t>
        </is>
      </c>
      <c r="E5136" s="156" t="inlineStr">
        <is>
          <t>Hauler</t>
        </is>
      </c>
      <c r="F5136" s="156" t="inlineStr">
        <is>
          <t>Hauling OB</t>
        </is>
      </c>
      <c r="G5136" s="182" t="n">
        <v>10.07</v>
      </c>
      <c r="H5136" s="182" t="n">
        <v>0</v>
      </c>
      <c r="I5136" s="182" t="n">
        <v>0</v>
      </c>
      <c r="J5136" s="182" t="n">
        <v>0</v>
      </c>
      <c r="K5136" s="182" t="n">
        <v>1.93</v>
      </c>
      <c r="L5136" s="182" t="n">
        <v>12</v>
      </c>
      <c r="M5136" s="182" t="n">
        <v>10.07</v>
      </c>
      <c r="N5136" s="182" t="n">
        <v>0</v>
      </c>
      <c r="O5136" s="183" t="n">
        <v>34</v>
      </c>
      <c r="P5136" s="183" t="n">
        <v>0</v>
      </c>
      <c r="Q5136" s="184" t="n">
        <v>693.6</v>
      </c>
      <c r="R5136" s="184" t="n">
        <v>0</v>
      </c>
      <c r="S5136" s="183" t="n">
        <v>0</v>
      </c>
      <c r="T5136" s="183" t="n">
        <v>0</v>
      </c>
      <c r="U5136" s="182" t="n">
        <v>0</v>
      </c>
      <c r="V5136" s="182" t="n">
        <v>0</v>
      </c>
      <c r="W5136" s="182" t="n">
        <v>0</v>
      </c>
      <c r="X5136" s="182" t="n">
        <v>1.21</v>
      </c>
      <c r="Y5136" s="182" t="n">
        <v>0</v>
      </c>
      <c r="Z5136" s="182" t="n">
        <v>0</v>
      </c>
      <c r="AA5136" s="182" t="n">
        <v>0</v>
      </c>
      <c r="AB5136" s="182" t="n">
        <v>0</v>
      </c>
      <c r="AC5136" s="182" t="n">
        <v>0</v>
      </c>
      <c r="AD5136" s="182" t="n">
        <v>0</v>
      </c>
      <c r="AE5136" s="182" t="n">
        <v>0</v>
      </c>
      <c r="AF5136" s="182" t="n">
        <v>0</v>
      </c>
      <c r="AG5136" s="182" t="n">
        <v>0</v>
      </c>
      <c r="AH5136" s="182" t="n">
        <v>0.63</v>
      </c>
      <c r="AI5136" s="182" t="n">
        <v>0</v>
      </c>
      <c r="AJ5136" s="182" t="n">
        <v>0</v>
      </c>
      <c r="AK5136" s="182" t="n">
        <v>0</v>
      </c>
      <c r="AL5136" s="182" t="n">
        <v>0</v>
      </c>
      <c r="AM5136" s="182" t="n">
        <v>0.1</v>
      </c>
      <c r="AN5136" s="182" t="n">
        <v>0</v>
      </c>
    </row>
    <row r="5137">
      <c r="A5137" s="155" t="n">
        <v>46105</v>
      </c>
      <c r="B5137" s="156" t="inlineStr">
        <is>
          <t>DS</t>
        </is>
      </c>
      <c r="C5137" s="156" t="inlineStr">
        <is>
          <t>DT-518</t>
        </is>
      </c>
      <c r="D5137" s="156" t="inlineStr">
        <is>
          <t>SKT 105S</t>
        </is>
      </c>
      <c r="E5137" s="156" t="inlineStr">
        <is>
          <t>Hauler</t>
        </is>
      </c>
      <c r="F5137" s="156" t="inlineStr"/>
      <c r="G5137" s="182" t="n">
        <v>0</v>
      </c>
      <c r="H5137" s="182" t="n">
        <v>0</v>
      </c>
      <c r="I5137" s="182" t="n">
        <v>9.5</v>
      </c>
      <c r="J5137" s="182" t="n">
        <v>9.5</v>
      </c>
      <c r="K5137" s="182" t="n">
        <v>2.5</v>
      </c>
      <c r="L5137" s="182" t="n">
        <v>12</v>
      </c>
      <c r="M5137" s="182" t="n">
        <v>0</v>
      </c>
      <c r="N5137" s="182" t="n">
        <v>0</v>
      </c>
      <c r="O5137" s="183" t="n">
        <v>0</v>
      </c>
      <c r="P5137" s="183" t="n">
        <v>0</v>
      </c>
      <c r="Q5137" s="184" t="n">
        <v>0</v>
      </c>
      <c r="R5137" s="184" t="n">
        <v>0</v>
      </c>
      <c r="S5137" s="183" t="n">
        <v>0</v>
      </c>
      <c r="T5137" s="183" t="n">
        <v>0</v>
      </c>
      <c r="U5137" s="182" t="n">
        <v>0</v>
      </c>
      <c r="V5137" s="182" t="n">
        <v>0</v>
      </c>
      <c r="W5137" s="182" t="n">
        <v>0</v>
      </c>
      <c r="X5137" s="182" t="n">
        <v>1</v>
      </c>
      <c r="Y5137" s="182" t="n">
        <v>0</v>
      </c>
      <c r="Z5137" s="182" t="n">
        <v>0</v>
      </c>
      <c r="AA5137" s="182" t="n">
        <v>0</v>
      </c>
      <c r="AB5137" s="182" t="n">
        <v>0</v>
      </c>
      <c r="AC5137" s="182" t="n">
        <v>0</v>
      </c>
      <c r="AD5137" s="182" t="n">
        <v>0</v>
      </c>
      <c r="AE5137" s="182" t="n">
        <v>0</v>
      </c>
      <c r="AF5137" s="182" t="n">
        <v>0</v>
      </c>
      <c r="AG5137" s="182" t="n">
        <v>0.7</v>
      </c>
      <c r="AH5137" s="182" t="n">
        <v>0.72</v>
      </c>
      <c r="AI5137" s="182" t="n">
        <v>0</v>
      </c>
      <c r="AJ5137" s="182" t="n">
        <v>0</v>
      </c>
      <c r="AK5137" s="182" t="n">
        <v>0</v>
      </c>
      <c r="AL5137" s="182" t="n">
        <v>0</v>
      </c>
      <c r="AM5137" s="182" t="n">
        <v>0.08</v>
      </c>
      <c r="AN5137" s="182" t="n">
        <v>0</v>
      </c>
    </row>
    <row r="5138">
      <c r="A5138" s="155" t="n">
        <v>46105</v>
      </c>
      <c r="B5138" s="156" t="inlineStr">
        <is>
          <t>DS</t>
        </is>
      </c>
      <c r="C5138" s="156" t="inlineStr">
        <is>
          <t>DT-514</t>
        </is>
      </c>
      <c r="D5138" s="156" t="inlineStr">
        <is>
          <t>SKT 105S</t>
        </is>
      </c>
      <c r="E5138" s="156" t="inlineStr">
        <is>
          <t>Hauler</t>
        </is>
      </c>
      <c r="F5138" s="156" t="inlineStr"/>
      <c r="G5138" s="182" t="n">
        <v>0</v>
      </c>
      <c r="H5138" s="182" t="n">
        <v>0</v>
      </c>
      <c r="I5138" s="182" t="n">
        <v>12</v>
      </c>
      <c r="J5138" s="182" t="n">
        <v>12</v>
      </c>
      <c r="K5138" s="182" t="n">
        <v>0</v>
      </c>
      <c r="L5138" s="182" t="n">
        <v>12</v>
      </c>
      <c r="M5138" s="182" t="n">
        <v>0</v>
      </c>
      <c r="N5138" s="182" t="n">
        <v>0</v>
      </c>
      <c r="O5138" s="183" t="n">
        <v>0</v>
      </c>
      <c r="P5138" s="183" t="n">
        <v>0</v>
      </c>
      <c r="Q5138" s="184" t="n">
        <v>0</v>
      </c>
      <c r="R5138" s="184" t="n">
        <v>0</v>
      </c>
      <c r="S5138" s="183" t="n">
        <v>0</v>
      </c>
      <c r="T5138" s="183" t="n">
        <v>0</v>
      </c>
      <c r="U5138" s="182" t="n">
        <v>0</v>
      </c>
      <c r="V5138" s="182" t="n">
        <v>0</v>
      </c>
      <c r="W5138" s="182" t="n">
        <v>0</v>
      </c>
      <c r="X5138" s="182" t="n">
        <v>0</v>
      </c>
      <c r="Y5138" s="182" t="n">
        <v>0</v>
      </c>
      <c r="Z5138" s="182" t="n">
        <v>0</v>
      </c>
      <c r="AA5138" s="182" t="n">
        <v>0</v>
      </c>
      <c r="AB5138" s="182" t="n">
        <v>0</v>
      </c>
      <c r="AC5138" s="182" t="n">
        <v>0</v>
      </c>
      <c r="AD5138" s="182" t="n">
        <v>0</v>
      </c>
      <c r="AE5138" s="182" t="n">
        <v>0</v>
      </c>
      <c r="AF5138" s="182" t="n">
        <v>0</v>
      </c>
      <c r="AG5138" s="182" t="n">
        <v>0</v>
      </c>
      <c r="AH5138" s="182" t="n">
        <v>0</v>
      </c>
      <c r="AI5138" s="182" t="n">
        <v>0</v>
      </c>
      <c r="AJ5138" s="182" t="n">
        <v>0</v>
      </c>
      <c r="AK5138" s="182" t="n">
        <v>0</v>
      </c>
      <c r="AL5138" s="182" t="n">
        <v>0</v>
      </c>
      <c r="AM5138" s="182" t="n">
        <v>0</v>
      </c>
      <c r="AN5138" s="182" t="n">
        <v>0</v>
      </c>
    </row>
    <row r="5139">
      <c r="A5139" s="155" t="n">
        <v>46105</v>
      </c>
      <c r="B5139" s="156" t="inlineStr">
        <is>
          <t>DS</t>
        </is>
      </c>
      <c r="C5139" s="156" t="inlineStr">
        <is>
          <t>DT-523</t>
        </is>
      </c>
      <c r="D5139" s="156" t="inlineStr">
        <is>
          <t>SKT 105S</t>
        </is>
      </c>
      <c r="E5139" s="156" t="inlineStr">
        <is>
          <t>Hauler</t>
        </is>
      </c>
      <c r="F5139" s="156" t="inlineStr">
        <is>
          <t>Hauling OB</t>
        </is>
      </c>
      <c r="G5139" s="182" t="n">
        <v>9.58</v>
      </c>
      <c r="H5139" s="182" t="n">
        <v>0</v>
      </c>
      <c r="I5139" s="182" t="n">
        <v>0.58</v>
      </c>
      <c r="J5139" s="182" t="n">
        <v>0.58</v>
      </c>
      <c r="K5139" s="182" t="n">
        <v>1.84</v>
      </c>
      <c r="L5139" s="182" t="n">
        <v>12</v>
      </c>
      <c r="M5139" s="182" t="n">
        <v>9.58</v>
      </c>
      <c r="N5139" s="182" t="n">
        <v>0</v>
      </c>
      <c r="O5139" s="183" t="n">
        <v>32</v>
      </c>
      <c r="P5139" s="183" t="n">
        <v>0</v>
      </c>
      <c r="Q5139" s="184" t="n">
        <v>652.8</v>
      </c>
      <c r="R5139" s="184" t="n">
        <v>0</v>
      </c>
      <c r="S5139" s="183" t="n">
        <v>0</v>
      </c>
      <c r="T5139" s="183" t="n">
        <v>0</v>
      </c>
      <c r="U5139" s="182" t="n">
        <v>0</v>
      </c>
      <c r="V5139" s="182" t="n">
        <v>0</v>
      </c>
      <c r="W5139" s="182" t="n">
        <v>0</v>
      </c>
      <c r="X5139" s="182" t="n">
        <v>0.96</v>
      </c>
      <c r="Y5139" s="182" t="n">
        <v>0</v>
      </c>
      <c r="Z5139" s="182" t="n">
        <v>0</v>
      </c>
      <c r="AA5139" s="182" t="n">
        <v>0</v>
      </c>
      <c r="AB5139" s="182" t="n">
        <v>0</v>
      </c>
      <c r="AC5139" s="182" t="n">
        <v>0</v>
      </c>
      <c r="AD5139" s="182" t="n">
        <v>0</v>
      </c>
      <c r="AE5139" s="182" t="n">
        <v>0</v>
      </c>
      <c r="AF5139" s="182" t="n">
        <v>0</v>
      </c>
      <c r="AG5139" s="182" t="n">
        <v>0</v>
      </c>
      <c r="AH5139" s="182" t="n">
        <v>0.8</v>
      </c>
      <c r="AI5139" s="182" t="n">
        <v>0</v>
      </c>
      <c r="AJ5139" s="182" t="n">
        <v>0</v>
      </c>
      <c r="AK5139" s="182" t="n">
        <v>0</v>
      </c>
      <c r="AL5139" s="182" t="n">
        <v>0</v>
      </c>
      <c r="AM5139" s="182" t="n">
        <v>0.08</v>
      </c>
      <c r="AN5139" s="182" t="n">
        <v>0</v>
      </c>
    </row>
    <row r="5140">
      <c r="A5140" s="155" t="n">
        <v>46105</v>
      </c>
      <c r="B5140" s="156" t="inlineStr">
        <is>
          <t>DS</t>
        </is>
      </c>
      <c r="C5140" s="156" t="inlineStr">
        <is>
          <t>DT-519</t>
        </is>
      </c>
      <c r="D5140" s="156" t="inlineStr">
        <is>
          <t>SKT 105S</t>
        </is>
      </c>
      <c r="E5140" s="156" t="inlineStr">
        <is>
          <t>Hauler</t>
        </is>
      </c>
      <c r="F5140" s="156" t="inlineStr"/>
      <c r="G5140" s="182" t="n">
        <v>0</v>
      </c>
      <c r="H5140" s="182" t="n">
        <v>0</v>
      </c>
      <c r="I5140" s="182" t="n">
        <v>0</v>
      </c>
      <c r="J5140" s="182" t="n">
        <v>0</v>
      </c>
      <c r="K5140" s="182" t="n">
        <v>12</v>
      </c>
      <c r="L5140" s="182" t="n">
        <v>12</v>
      </c>
      <c r="M5140" s="182" t="n">
        <v>0</v>
      </c>
      <c r="N5140" s="182" t="n">
        <v>0</v>
      </c>
      <c r="O5140" s="183" t="n">
        <v>0</v>
      </c>
      <c r="P5140" s="183" t="n">
        <v>0</v>
      </c>
      <c r="Q5140" s="184" t="n">
        <v>0</v>
      </c>
      <c r="R5140" s="184" t="n">
        <v>0</v>
      </c>
      <c r="S5140" s="183" t="n">
        <v>0</v>
      </c>
      <c r="T5140" s="183" t="n">
        <v>0</v>
      </c>
      <c r="U5140" s="182" t="n">
        <v>0</v>
      </c>
      <c r="V5140" s="182" t="n">
        <v>0</v>
      </c>
      <c r="W5140" s="182" t="n">
        <v>0</v>
      </c>
      <c r="X5140" s="182" t="n">
        <v>1</v>
      </c>
      <c r="Y5140" s="182" t="n">
        <v>0</v>
      </c>
      <c r="Z5140" s="182" t="n">
        <v>0</v>
      </c>
      <c r="AA5140" s="182" t="n">
        <v>0</v>
      </c>
      <c r="AB5140" s="182" t="n">
        <v>0</v>
      </c>
      <c r="AC5140" s="182" t="n">
        <v>0</v>
      </c>
      <c r="AD5140" s="182" t="n">
        <v>0</v>
      </c>
      <c r="AE5140" s="182" t="n">
        <v>0</v>
      </c>
      <c r="AF5140" s="182" t="n">
        <v>0</v>
      </c>
      <c r="AG5140" s="182" t="n">
        <v>0</v>
      </c>
      <c r="AH5140" s="182" t="n">
        <v>0</v>
      </c>
      <c r="AI5140" s="182" t="n">
        <v>10.92</v>
      </c>
      <c r="AJ5140" s="182" t="n">
        <v>0</v>
      </c>
      <c r="AK5140" s="182" t="n">
        <v>0</v>
      </c>
      <c r="AL5140" s="182" t="n">
        <v>0</v>
      </c>
      <c r="AM5140" s="182" t="n">
        <v>0.08</v>
      </c>
      <c r="AN5140" s="182" t="n">
        <v>0</v>
      </c>
    </row>
    <row r="5141">
      <c r="A5141" s="155" t="n">
        <v>46105</v>
      </c>
      <c r="B5141" s="156" t="inlineStr">
        <is>
          <t>DS</t>
        </is>
      </c>
      <c r="C5141" s="156" t="inlineStr">
        <is>
          <t>DT-527</t>
        </is>
      </c>
      <c r="D5141" s="156" t="inlineStr">
        <is>
          <t>SKT 105S</t>
        </is>
      </c>
      <c r="E5141" s="156" t="inlineStr">
        <is>
          <t>Hauler</t>
        </is>
      </c>
      <c r="F5141" s="156" t="inlineStr">
        <is>
          <t>Hauling OB</t>
        </is>
      </c>
      <c r="G5141" s="182" t="n">
        <v>10.27</v>
      </c>
      <c r="H5141" s="182" t="n">
        <v>0</v>
      </c>
      <c r="I5141" s="182" t="n">
        <v>0</v>
      </c>
      <c r="J5141" s="182" t="n">
        <v>0</v>
      </c>
      <c r="K5141" s="182" t="n">
        <v>1.73</v>
      </c>
      <c r="L5141" s="182" t="n">
        <v>12</v>
      </c>
      <c r="M5141" s="182" t="n">
        <v>10.27</v>
      </c>
      <c r="N5141" s="182" t="n">
        <v>0</v>
      </c>
      <c r="O5141" s="183" t="n">
        <v>40</v>
      </c>
      <c r="P5141" s="183" t="n">
        <v>0</v>
      </c>
      <c r="Q5141" s="184" t="n">
        <v>816</v>
      </c>
      <c r="R5141" s="184" t="n">
        <v>0</v>
      </c>
      <c r="S5141" s="183" t="n">
        <v>0</v>
      </c>
      <c r="T5141" s="183" t="n">
        <v>0</v>
      </c>
      <c r="U5141" s="182" t="n">
        <v>0</v>
      </c>
      <c r="V5141" s="182" t="n">
        <v>0</v>
      </c>
      <c r="W5141" s="182" t="n">
        <v>0</v>
      </c>
      <c r="X5141" s="182" t="n">
        <v>1.08</v>
      </c>
      <c r="Y5141" s="182" t="n">
        <v>0</v>
      </c>
      <c r="Z5141" s="182" t="n">
        <v>0</v>
      </c>
      <c r="AA5141" s="182" t="n">
        <v>0</v>
      </c>
      <c r="AB5141" s="182" t="n">
        <v>0</v>
      </c>
      <c r="AC5141" s="182" t="n">
        <v>0</v>
      </c>
      <c r="AD5141" s="182" t="n">
        <v>0</v>
      </c>
      <c r="AE5141" s="182" t="n">
        <v>0</v>
      </c>
      <c r="AF5141" s="182" t="n">
        <v>0</v>
      </c>
      <c r="AG5141" s="182" t="n">
        <v>0</v>
      </c>
      <c r="AH5141" s="182" t="n">
        <v>0.5600000000000001</v>
      </c>
      <c r="AI5141" s="182" t="n">
        <v>0</v>
      </c>
      <c r="AJ5141" s="182" t="n">
        <v>0</v>
      </c>
      <c r="AK5141" s="182" t="n">
        <v>0</v>
      </c>
      <c r="AL5141" s="182" t="n">
        <v>0</v>
      </c>
      <c r="AM5141" s="182" t="n">
        <v>0.09</v>
      </c>
      <c r="AN5141" s="182" t="n">
        <v>0</v>
      </c>
    </row>
    <row r="5142">
      <c r="A5142" s="155" t="n">
        <v>46105</v>
      </c>
      <c r="B5142" s="156" t="inlineStr">
        <is>
          <t>DS</t>
        </is>
      </c>
      <c r="C5142" s="156" t="inlineStr">
        <is>
          <t>DT-513</t>
        </is>
      </c>
      <c r="D5142" s="156" t="inlineStr">
        <is>
          <t>SKT 105S</t>
        </is>
      </c>
      <c r="E5142" s="156" t="inlineStr">
        <is>
          <t>Hauler</t>
        </is>
      </c>
      <c r="F5142" s="156" t="inlineStr">
        <is>
          <t>Hauling OB</t>
        </is>
      </c>
      <c r="G5142" s="182" t="n">
        <v>6.48</v>
      </c>
      <c r="H5142" s="182" t="n">
        <v>0</v>
      </c>
      <c r="I5142" s="182" t="n">
        <v>0</v>
      </c>
      <c r="J5142" s="182" t="n">
        <v>0</v>
      </c>
      <c r="K5142" s="182" t="n">
        <v>5.52</v>
      </c>
      <c r="L5142" s="182" t="n">
        <v>12</v>
      </c>
      <c r="M5142" s="182" t="n">
        <v>6.48</v>
      </c>
      <c r="N5142" s="182" t="n">
        <v>0</v>
      </c>
      <c r="O5142" s="183" t="n">
        <v>22</v>
      </c>
      <c r="P5142" s="183" t="n">
        <v>0</v>
      </c>
      <c r="Q5142" s="184" t="n">
        <v>448.8</v>
      </c>
      <c r="R5142" s="184" t="n">
        <v>0</v>
      </c>
      <c r="S5142" s="183" t="n">
        <v>0</v>
      </c>
      <c r="T5142" s="183" t="n">
        <v>0</v>
      </c>
      <c r="U5142" s="182" t="n">
        <v>0</v>
      </c>
      <c r="V5142" s="182" t="n">
        <v>0</v>
      </c>
      <c r="W5142" s="182" t="n">
        <v>0</v>
      </c>
      <c r="X5142" s="182" t="n">
        <v>0.97</v>
      </c>
      <c r="Y5142" s="182" t="n">
        <v>0</v>
      </c>
      <c r="Z5142" s="182" t="n">
        <v>0</v>
      </c>
      <c r="AA5142" s="182" t="n">
        <v>0</v>
      </c>
      <c r="AB5142" s="182" t="n">
        <v>0</v>
      </c>
      <c r="AC5142" s="182" t="n">
        <v>0</v>
      </c>
      <c r="AD5142" s="182" t="n">
        <v>0</v>
      </c>
      <c r="AE5142" s="182" t="n">
        <v>0</v>
      </c>
      <c r="AF5142" s="182" t="n">
        <v>0</v>
      </c>
      <c r="AG5142" s="182" t="n">
        <v>0</v>
      </c>
      <c r="AH5142" s="182" t="n">
        <v>0</v>
      </c>
      <c r="AI5142" s="182" t="n">
        <v>4.47</v>
      </c>
      <c r="AJ5142" s="182" t="n">
        <v>0</v>
      </c>
      <c r="AK5142" s="182" t="n">
        <v>0</v>
      </c>
      <c r="AL5142" s="182" t="n">
        <v>0</v>
      </c>
      <c r="AM5142" s="182" t="n">
        <v>0.08</v>
      </c>
      <c r="AN5142" s="182" t="n">
        <v>0</v>
      </c>
    </row>
    <row r="5143">
      <c r="A5143" s="155" t="n">
        <v>46105</v>
      </c>
      <c r="B5143" s="156" t="inlineStr">
        <is>
          <t>DS</t>
        </is>
      </c>
      <c r="C5143" s="156" t="inlineStr">
        <is>
          <t>DT-512</t>
        </is>
      </c>
      <c r="D5143" s="156" t="inlineStr">
        <is>
          <t>SKT 105S</t>
        </is>
      </c>
      <c r="E5143" s="156" t="inlineStr">
        <is>
          <t>Hauler</t>
        </is>
      </c>
      <c r="F5143" s="156" t="inlineStr">
        <is>
          <t>Hauling OB</t>
        </is>
      </c>
      <c r="G5143" s="182" t="n">
        <v>8.44</v>
      </c>
      <c r="H5143" s="182" t="n">
        <v>0</v>
      </c>
      <c r="I5143" s="182" t="n">
        <v>0.42</v>
      </c>
      <c r="J5143" s="182" t="n">
        <v>0.42</v>
      </c>
      <c r="K5143" s="182" t="n">
        <v>3.14</v>
      </c>
      <c r="L5143" s="182" t="n">
        <v>12</v>
      </c>
      <c r="M5143" s="182" t="n">
        <v>7.14</v>
      </c>
      <c r="N5143" s="182" t="n">
        <v>0</v>
      </c>
      <c r="O5143" s="183" t="n">
        <v>23</v>
      </c>
      <c r="P5143" s="183" t="n">
        <v>0</v>
      </c>
      <c r="Q5143" s="184" t="n">
        <v>469.2</v>
      </c>
      <c r="R5143" s="184" t="n">
        <v>0</v>
      </c>
      <c r="S5143" s="183" t="n">
        <v>5</v>
      </c>
      <c r="T5143" s="183" t="n">
        <v>0</v>
      </c>
      <c r="U5143" s="182" t="n">
        <v>0</v>
      </c>
      <c r="V5143" s="182" t="n">
        <v>0</v>
      </c>
      <c r="W5143" s="182" t="n">
        <v>0</v>
      </c>
      <c r="X5143" s="182" t="n">
        <v>0.9</v>
      </c>
      <c r="Y5143" s="182" t="n">
        <v>0</v>
      </c>
      <c r="Z5143" s="182" t="n">
        <v>0</v>
      </c>
      <c r="AA5143" s="182" t="n">
        <v>0</v>
      </c>
      <c r="AB5143" s="182" t="n">
        <v>0</v>
      </c>
      <c r="AC5143" s="182" t="n">
        <v>0</v>
      </c>
      <c r="AD5143" s="182" t="n">
        <v>0</v>
      </c>
      <c r="AE5143" s="182" t="n">
        <v>0</v>
      </c>
      <c r="AF5143" s="182" t="n">
        <v>0</v>
      </c>
      <c r="AG5143" s="182" t="n">
        <v>0</v>
      </c>
      <c r="AH5143" s="182" t="n">
        <v>0</v>
      </c>
      <c r="AI5143" s="182" t="n">
        <v>2.17</v>
      </c>
      <c r="AJ5143" s="182" t="n">
        <v>0</v>
      </c>
      <c r="AK5143" s="182" t="n">
        <v>0</v>
      </c>
      <c r="AL5143" s="182" t="n">
        <v>0</v>
      </c>
      <c r="AM5143" s="182" t="n">
        <v>0.07000000000000001</v>
      </c>
      <c r="AN5143" s="182" t="n">
        <v>0</v>
      </c>
    </row>
    <row r="5144">
      <c r="A5144" s="155" t="n">
        <v>46105</v>
      </c>
      <c r="B5144" s="156" t="inlineStr">
        <is>
          <t>DS</t>
        </is>
      </c>
      <c r="C5144" s="156" t="inlineStr">
        <is>
          <t>DT-522</t>
        </is>
      </c>
      <c r="D5144" s="156" t="inlineStr">
        <is>
          <t>SKT 105S</t>
        </is>
      </c>
      <c r="E5144" s="156" t="inlineStr">
        <is>
          <t>Hauler</t>
        </is>
      </c>
      <c r="F5144" s="156" t="inlineStr">
        <is>
          <t>Hauling OB</t>
        </is>
      </c>
      <c r="G5144" s="182" t="n">
        <v>5.42</v>
      </c>
      <c r="H5144" s="182" t="n">
        <v>0</v>
      </c>
      <c r="I5144" s="182" t="n">
        <v>0</v>
      </c>
      <c r="J5144" s="182" t="n">
        <v>0</v>
      </c>
      <c r="K5144" s="182" t="n">
        <v>6.58</v>
      </c>
      <c r="L5144" s="182" t="n">
        <v>12</v>
      </c>
      <c r="M5144" s="182" t="n">
        <v>5.42</v>
      </c>
      <c r="N5144" s="182" t="n">
        <v>0</v>
      </c>
      <c r="O5144" s="183" t="n">
        <v>19</v>
      </c>
      <c r="P5144" s="183" t="n">
        <v>0</v>
      </c>
      <c r="Q5144" s="184" t="n">
        <v>387.6</v>
      </c>
      <c r="R5144" s="184" t="n">
        <v>0</v>
      </c>
      <c r="S5144" s="183" t="n">
        <v>0</v>
      </c>
      <c r="T5144" s="183" t="n">
        <v>0</v>
      </c>
      <c r="U5144" s="182" t="n">
        <v>0</v>
      </c>
      <c r="V5144" s="182" t="n">
        <v>0</v>
      </c>
      <c r="W5144" s="182" t="n">
        <v>0</v>
      </c>
      <c r="X5144" s="182" t="n">
        <v>1.08</v>
      </c>
      <c r="Y5144" s="182" t="n">
        <v>0</v>
      </c>
      <c r="Z5144" s="182" t="n">
        <v>0</v>
      </c>
      <c r="AA5144" s="182" t="n">
        <v>0</v>
      </c>
      <c r="AB5144" s="182" t="n">
        <v>0</v>
      </c>
      <c r="AC5144" s="182" t="n">
        <v>0</v>
      </c>
      <c r="AD5144" s="182" t="n">
        <v>0</v>
      </c>
      <c r="AE5144" s="182" t="n">
        <v>0</v>
      </c>
      <c r="AF5144" s="182" t="n">
        <v>0</v>
      </c>
      <c r="AG5144" s="182" t="n">
        <v>0</v>
      </c>
      <c r="AH5144" s="182" t="n">
        <v>0</v>
      </c>
      <c r="AI5144" s="182" t="n">
        <v>5.42</v>
      </c>
      <c r="AJ5144" s="182" t="n">
        <v>0</v>
      </c>
      <c r="AK5144" s="182" t="n">
        <v>0</v>
      </c>
      <c r="AL5144" s="182" t="n">
        <v>0</v>
      </c>
      <c r="AM5144" s="182" t="n">
        <v>0.09</v>
      </c>
      <c r="AN5144" s="182" t="n">
        <v>0</v>
      </c>
    </row>
    <row r="5145">
      <c r="A5145" s="155" t="n">
        <v>46105</v>
      </c>
      <c r="B5145" s="156" t="inlineStr">
        <is>
          <t>DS</t>
        </is>
      </c>
      <c r="C5145" s="156" t="inlineStr">
        <is>
          <t>DT-517</t>
        </is>
      </c>
      <c r="D5145" s="156" t="inlineStr">
        <is>
          <t>SKT 105S</t>
        </is>
      </c>
      <c r="E5145" s="156" t="inlineStr">
        <is>
          <t>Hauler</t>
        </is>
      </c>
      <c r="F5145" s="156" t="inlineStr">
        <is>
          <t>Hauling OB</t>
        </is>
      </c>
      <c r="G5145" s="182" t="n">
        <v>11.09</v>
      </c>
      <c r="H5145" s="182" t="n">
        <v>0</v>
      </c>
      <c r="I5145" s="182" t="n">
        <v>0</v>
      </c>
      <c r="J5145" s="182" t="n">
        <v>0</v>
      </c>
      <c r="K5145" s="182" t="n">
        <v>0.91</v>
      </c>
      <c r="L5145" s="182" t="n">
        <v>12</v>
      </c>
      <c r="M5145" s="182" t="n">
        <v>11.09</v>
      </c>
      <c r="N5145" s="182" t="n">
        <v>0</v>
      </c>
      <c r="O5145" s="183" t="n">
        <v>45</v>
      </c>
      <c r="P5145" s="183" t="n">
        <v>0</v>
      </c>
      <c r="Q5145" s="184" t="n">
        <v>918</v>
      </c>
      <c r="R5145" s="184" t="n">
        <v>0</v>
      </c>
      <c r="S5145" s="183" t="n">
        <v>0</v>
      </c>
      <c r="T5145" s="183" t="n">
        <v>0</v>
      </c>
      <c r="U5145" s="182" t="n">
        <v>0</v>
      </c>
      <c r="V5145" s="182" t="n">
        <v>0</v>
      </c>
      <c r="W5145" s="182" t="n">
        <v>0</v>
      </c>
      <c r="X5145" s="182" t="n">
        <v>0.76</v>
      </c>
      <c r="Y5145" s="182" t="n">
        <v>0</v>
      </c>
      <c r="Z5145" s="182" t="n">
        <v>0</v>
      </c>
      <c r="AA5145" s="182" t="n">
        <v>0</v>
      </c>
      <c r="AB5145" s="182" t="n">
        <v>0</v>
      </c>
      <c r="AC5145" s="182" t="n">
        <v>0</v>
      </c>
      <c r="AD5145" s="182" t="n">
        <v>0</v>
      </c>
      <c r="AE5145" s="182" t="n">
        <v>0</v>
      </c>
      <c r="AF5145" s="182" t="n">
        <v>0</v>
      </c>
      <c r="AG5145" s="182" t="n">
        <v>0</v>
      </c>
      <c r="AH5145" s="182" t="n">
        <v>0.09</v>
      </c>
      <c r="AI5145" s="182" t="n">
        <v>0</v>
      </c>
      <c r="AJ5145" s="182" t="n">
        <v>0</v>
      </c>
      <c r="AK5145" s="182" t="n">
        <v>0</v>
      </c>
      <c r="AL5145" s="182" t="n">
        <v>0</v>
      </c>
      <c r="AM5145" s="182" t="n">
        <v>0.06</v>
      </c>
      <c r="AN5145" s="182" t="n">
        <v>0</v>
      </c>
    </row>
    <row r="5146">
      <c r="A5146" s="155" t="n">
        <v>46105</v>
      </c>
      <c r="B5146" s="156" t="inlineStr">
        <is>
          <t>DS</t>
        </is>
      </c>
      <c r="C5146" s="156" t="inlineStr">
        <is>
          <t>DT-510</t>
        </is>
      </c>
      <c r="D5146" s="156" t="inlineStr">
        <is>
          <t>SKT 105S</t>
        </is>
      </c>
      <c r="E5146" s="156" t="inlineStr">
        <is>
          <t>Hauler</t>
        </is>
      </c>
      <c r="F5146" s="156" t="inlineStr">
        <is>
          <t>Hauling OB</t>
        </is>
      </c>
      <c r="G5146" s="182" t="n">
        <v>6.12</v>
      </c>
      <c r="H5146" s="182" t="n">
        <v>0</v>
      </c>
      <c r="I5146" s="182" t="n">
        <v>0</v>
      </c>
      <c r="J5146" s="182" t="n">
        <v>0</v>
      </c>
      <c r="K5146" s="182" t="n">
        <v>5.88</v>
      </c>
      <c r="L5146" s="182" t="n">
        <v>12</v>
      </c>
      <c r="M5146" s="182" t="n">
        <v>3.36</v>
      </c>
      <c r="N5146" s="182" t="n">
        <v>0</v>
      </c>
      <c r="O5146" s="183" t="n">
        <v>16</v>
      </c>
      <c r="P5146" s="183" t="n">
        <v>0</v>
      </c>
      <c r="Q5146" s="184" t="n">
        <v>326.4</v>
      </c>
      <c r="R5146" s="184" t="n">
        <v>0</v>
      </c>
      <c r="S5146" s="183" t="n">
        <v>11</v>
      </c>
      <c r="T5146" s="183" t="n">
        <v>0</v>
      </c>
      <c r="U5146" s="182" t="n">
        <v>0</v>
      </c>
      <c r="V5146" s="182" t="n">
        <v>0</v>
      </c>
      <c r="W5146" s="182" t="n">
        <v>0</v>
      </c>
      <c r="X5146" s="182" t="n">
        <v>1</v>
      </c>
      <c r="Y5146" s="182" t="n">
        <v>0</v>
      </c>
      <c r="Z5146" s="182" t="n">
        <v>0</v>
      </c>
      <c r="AA5146" s="182" t="n">
        <v>0</v>
      </c>
      <c r="AB5146" s="182" t="n">
        <v>0</v>
      </c>
      <c r="AC5146" s="182" t="n">
        <v>0</v>
      </c>
      <c r="AD5146" s="182" t="n">
        <v>0</v>
      </c>
      <c r="AE5146" s="182" t="n">
        <v>0</v>
      </c>
      <c r="AF5146" s="182" t="n">
        <v>0</v>
      </c>
      <c r="AG5146" s="182" t="n">
        <v>0</v>
      </c>
      <c r="AH5146" s="182" t="n">
        <v>0</v>
      </c>
      <c r="AI5146" s="182" t="n">
        <v>4.8</v>
      </c>
      <c r="AJ5146" s="182" t="n">
        <v>0</v>
      </c>
      <c r="AK5146" s="182" t="n">
        <v>0</v>
      </c>
      <c r="AL5146" s="182" t="n">
        <v>0</v>
      </c>
      <c r="AM5146" s="182" t="n">
        <v>0.08</v>
      </c>
      <c r="AN5146" s="182" t="n">
        <v>0</v>
      </c>
    </row>
    <row r="5147">
      <c r="A5147" s="155" t="n">
        <v>46105</v>
      </c>
      <c r="B5147" s="156" t="inlineStr">
        <is>
          <t>DS</t>
        </is>
      </c>
      <c r="C5147" s="156" t="inlineStr">
        <is>
          <t>DT-521</t>
        </is>
      </c>
      <c r="D5147" s="156" t="inlineStr">
        <is>
          <t>SKT 105S</t>
        </is>
      </c>
      <c r="E5147" s="156" t="inlineStr">
        <is>
          <t>Hauler</t>
        </is>
      </c>
      <c r="F5147" s="156" t="inlineStr">
        <is>
          <t>Hauling OB</t>
        </is>
      </c>
      <c r="G5147" s="182" t="n">
        <v>10.42</v>
      </c>
      <c r="H5147" s="182" t="n">
        <v>0</v>
      </c>
      <c r="I5147" s="182" t="n">
        <v>0</v>
      </c>
      <c r="J5147" s="182" t="n">
        <v>0</v>
      </c>
      <c r="K5147" s="182" t="n">
        <v>1.58</v>
      </c>
      <c r="L5147" s="182" t="n">
        <v>12</v>
      </c>
      <c r="M5147" s="182" t="n">
        <v>10.42</v>
      </c>
      <c r="N5147" s="182" t="n">
        <v>0</v>
      </c>
      <c r="O5147" s="183" t="n">
        <v>39</v>
      </c>
      <c r="P5147" s="183" t="n">
        <v>0</v>
      </c>
      <c r="Q5147" s="184" t="n">
        <v>795.6</v>
      </c>
      <c r="R5147" s="184" t="n">
        <v>0</v>
      </c>
      <c r="S5147" s="183" t="n">
        <v>0</v>
      </c>
      <c r="T5147" s="183" t="n">
        <v>0</v>
      </c>
      <c r="U5147" s="182" t="n">
        <v>0</v>
      </c>
      <c r="V5147" s="182" t="n">
        <v>0</v>
      </c>
      <c r="W5147" s="182" t="n">
        <v>0</v>
      </c>
      <c r="X5147" s="182" t="n">
        <v>1.05</v>
      </c>
      <c r="Y5147" s="182" t="n">
        <v>0</v>
      </c>
      <c r="Z5147" s="182" t="n">
        <v>0</v>
      </c>
      <c r="AA5147" s="182" t="n">
        <v>0</v>
      </c>
      <c r="AB5147" s="182" t="n">
        <v>0</v>
      </c>
      <c r="AC5147" s="182" t="n">
        <v>0</v>
      </c>
      <c r="AD5147" s="182" t="n">
        <v>0</v>
      </c>
      <c r="AE5147" s="182" t="n">
        <v>0</v>
      </c>
      <c r="AF5147" s="182" t="n">
        <v>0</v>
      </c>
      <c r="AG5147" s="182" t="n">
        <v>0</v>
      </c>
      <c r="AH5147" s="182" t="n">
        <v>0.44</v>
      </c>
      <c r="AI5147" s="182" t="n">
        <v>0</v>
      </c>
      <c r="AJ5147" s="182" t="n">
        <v>0</v>
      </c>
      <c r="AK5147" s="182" t="n">
        <v>0</v>
      </c>
      <c r="AL5147" s="182" t="n">
        <v>0</v>
      </c>
      <c r="AM5147" s="182" t="n">
        <v>0.08</v>
      </c>
      <c r="AN5147" s="182" t="n">
        <v>0</v>
      </c>
    </row>
    <row r="5148">
      <c r="A5148" s="155" t="n">
        <v>46105</v>
      </c>
      <c r="B5148" s="156" t="inlineStr">
        <is>
          <t>DS</t>
        </is>
      </c>
      <c r="C5148" s="156" t="inlineStr">
        <is>
          <t>DT-516</t>
        </is>
      </c>
      <c r="D5148" s="156" t="inlineStr">
        <is>
          <t>SKT 105S</t>
        </is>
      </c>
      <c r="E5148" s="156" t="inlineStr">
        <is>
          <t>Hauler</t>
        </is>
      </c>
      <c r="F5148" s="156" t="inlineStr"/>
      <c r="G5148" s="182" t="n">
        <v>0</v>
      </c>
      <c r="H5148" s="182" t="n">
        <v>0</v>
      </c>
      <c r="I5148" s="182" t="n">
        <v>12</v>
      </c>
      <c r="J5148" s="182" t="n">
        <v>12</v>
      </c>
      <c r="K5148" s="182" t="n">
        <v>0</v>
      </c>
      <c r="L5148" s="182" t="n">
        <v>12</v>
      </c>
      <c r="M5148" s="182" t="n">
        <v>0</v>
      </c>
      <c r="N5148" s="182" t="n">
        <v>0</v>
      </c>
      <c r="O5148" s="183" t="n">
        <v>0</v>
      </c>
      <c r="P5148" s="183" t="n">
        <v>0</v>
      </c>
      <c r="Q5148" s="184" t="n">
        <v>0</v>
      </c>
      <c r="R5148" s="184" t="n">
        <v>0</v>
      </c>
      <c r="S5148" s="183" t="n">
        <v>0</v>
      </c>
      <c r="T5148" s="183" t="n">
        <v>0</v>
      </c>
      <c r="U5148" s="182" t="n">
        <v>0</v>
      </c>
      <c r="V5148" s="182" t="n">
        <v>0</v>
      </c>
      <c r="W5148" s="182" t="n">
        <v>0</v>
      </c>
      <c r="X5148" s="182" t="n">
        <v>0</v>
      </c>
      <c r="Y5148" s="182" t="n">
        <v>0</v>
      </c>
      <c r="Z5148" s="182" t="n">
        <v>0</v>
      </c>
      <c r="AA5148" s="182" t="n">
        <v>0</v>
      </c>
      <c r="AB5148" s="182" t="n">
        <v>0</v>
      </c>
      <c r="AC5148" s="182" t="n">
        <v>0</v>
      </c>
      <c r="AD5148" s="182" t="n">
        <v>0</v>
      </c>
      <c r="AE5148" s="182" t="n">
        <v>0</v>
      </c>
      <c r="AF5148" s="182" t="n">
        <v>0</v>
      </c>
      <c r="AG5148" s="182" t="n">
        <v>0</v>
      </c>
      <c r="AH5148" s="182" t="n">
        <v>0</v>
      </c>
      <c r="AI5148" s="182" t="n">
        <v>0</v>
      </c>
      <c r="AJ5148" s="182" t="n">
        <v>0</v>
      </c>
      <c r="AK5148" s="182" t="n">
        <v>0</v>
      </c>
      <c r="AL5148" s="182" t="n">
        <v>0</v>
      </c>
      <c r="AM5148" s="182" t="n">
        <v>0</v>
      </c>
      <c r="AN5148" s="182" t="n">
        <v>0</v>
      </c>
    </row>
    <row r="5149">
      <c r="A5149" s="155" t="n">
        <v>46105</v>
      </c>
      <c r="B5149" s="156" t="inlineStr">
        <is>
          <t>DS</t>
        </is>
      </c>
      <c r="C5149" s="156" t="inlineStr">
        <is>
          <t>DT-506</t>
        </is>
      </c>
      <c r="D5149" s="156" t="inlineStr">
        <is>
          <t>SKT 105S</t>
        </is>
      </c>
      <c r="E5149" s="156" t="inlineStr">
        <is>
          <t>Hauler</t>
        </is>
      </c>
      <c r="F5149" s="156" t="inlineStr">
        <is>
          <t>Hauling OB</t>
        </is>
      </c>
      <c r="G5149" s="182" t="n">
        <v>9.76</v>
      </c>
      <c r="H5149" s="182" t="n">
        <v>0</v>
      </c>
      <c r="I5149" s="182" t="n">
        <v>0</v>
      </c>
      <c r="J5149" s="182" t="n">
        <v>0</v>
      </c>
      <c r="K5149" s="182" t="n">
        <v>2.24</v>
      </c>
      <c r="L5149" s="182" t="n">
        <v>12</v>
      </c>
      <c r="M5149" s="182" t="n">
        <v>9.76</v>
      </c>
      <c r="N5149" s="182" t="n">
        <v>0</v>
      </c>
      <c r="O5149" s="183" t="n">
        <v>31</v>
      </c>
      <c r="P5149" s="183" t="n">
        <v>0</v>
      </c>
      <c r="Q5149" s="184" t="n">
        <v>632.4</v>
      </c>
      <c r="R5149" s="184" t="n">
        <v>0</v>
      </c>
      <c r="S5149" s="183" t="n">
        <v>0</v>
      </c>
      <c r="T5149" s="183" t="n">
        <v>0</v>
      </c>
      <c r="U5149" s="182" t="n">
        <v>0</v>
      </c>
      <c r="V5149" s="182" t="n">
        <v>0</v>
      </c>
      <c r="W5149" s="182" t="n">
        <v>0</v>
      </c>
      <c r="X5149" s="182" t="n">
        <v>0.93</v>
      </c>
      <c r="Y5149" s="182" t="n">
        <v>0</v>
      </c>
      <c r="Z5149" s="182" t="n">
        <v>0</v>
      </c>
      <c r="AA5149" s="182" t="n">
        <v>0</v>
      </c>
      <c r="AB5149" s="182" t="n">
        <v>0</v>
      </c>
      <c r="AC5149" s="182" t="n">
        <v>0</v>
      </c>
      <c r="AD5149" s="182" t="n">
        <v>0</v>
      </c>
      <c r="AE5149" s="182" t="n">
        <v>0</v>
      </c>
      <c r="AF5149" s="182" t="n">
        <v>0</v>
      </c>
      <c r="AG5149" s="182" t="n">
        <v>0.65</v>
      </c>
      <c r="AH5149" s="182" t="n">
        <v>0.58</v>
      </c>
      <c r="AI5149" s="182" t="n">
        <v>0</v>
      </c>
      <c r="AJ5149" s="182" t="n">
        <v>0</v>
      </c>
      <c r="AK5149" s="182" t="n">
        <v>0</v>
      </c>
      <c r="AL5149" s="182" t="n">
        <v>0</v>
      </c>
      <c r="AM5149" s="182" t="n">
        <v>0.07000000000000001</v>
      </c>
      <c r="AN5149" s="182" t="n">
        <v>0</v>
      </c>
    </row>
    <row r="5150">
      <c r="A5150" s="155" t="n">
        <v>46105</v>
      </c>
      <c r="B5150" s="156" t="inlineStr">
        <is>
          <t>DS</t>
        </is>
      </c>
      <c r="C5150" s="156" t="inlineStr">
        <is>
          <t>DT-502</t>
        </is>
      </c>
      <c r="D5150" s="156" t="inlineStr">
        <is>
          <t>SKT 105S</t>
        </is>
      </c>
      <c r="E5150" s="156" t="inlineStr">
        <is>
          <t>Hauler</t>
        </is>
      </c>
      <c r="F5150" s="156" t="inlineStr">
        <is>
          <t>Hauling OB</t>
        </is>
      </c>
      <c r="G5150" s="182" t="n">
        <v>9.5</v>
      </c>
      <c r="H5150" s="182" t="n">
        <v>0</v>
      </c>
      <c r="I5150" s="182" t="n">
        <v>0</v>
      </c>
      <c r="J5150" s="182" t="n">
        <v>0</v>
      </c>
      <c r="K5150" s="182" t="n">
        <v>2.5</v>
      </c>
      <c r="L5150" s="182" t="n">
        <v>12</v>
      </c>
      <c r="M5150" s="182" t="n">
        <v>5.71</v>
      </c>
      <c r="N5150" s="182" t="n">
        <v>0</v>
      </c>
      <c r="O5150" s="183" t="n">
        <v>24</v>
      </c>
      <c r="P5150" s="183" t="n">
        <v>0</v>
      </c>
      <c r="Q5150" s="184" t="n">
        <v>489.6</v>
      </c>
      <c r="R5150" s="184" t="n">
        <v>0</v>
      </c>
      <c r="S5150" s="183" t="n">
        <v>16</v>
      </c>
      <c r="T5150" s="183" t="n">
        <v>0</v>
      </c>
      <c r="U5150" s="182" t="n">
        <v>0</v>
      </c>
      <c r="V5150" s="182" t="n">
        <v>0</v>
      </c>
      <c r="W5150" s="182" t="n">
        <v>0</v>
      </c>
      <c r="X5150" s="182" t="n">
        <v>0.96</v>
      </c>
      <c r="Y5150" s="182" t="n">
        <v>0</v>
      </c>
      <c r="Z5150" s="182" t="n">
        <v>0</v>
      </c>
      <c r="AA5150" s="182" t="n">
        <v>0</v>
      </c>
      <c r="AB5150" s="182" t="n">
        <v>0</v>
      </c>
      <c r="AC5150" s="182" t="n">
        <v>0</v>
      </c>
      <c r="AD5150" s="182" t="n">
        <v>0</v>
      </c>
      <c r="AE5150" s="182" t="n">
        <v>0</v>
      </c>
      <c r="AF5150" s="182" t="n">
        <v>0</v>
      </c>
      <c r="AG5150" s="182" t="n">
        <v>0</v>
      </c>
      <c r="AH5150" s="182" t="n">
        <v>0.89</v>
      </c>
      <c r="AI5150" s="182" t="n">
        <v>0.5600000000000001</v>
      </c>
      <c r="AJ5150" s="182" t="n">
        <v>0</v>
      </c>
      <c r="AK5150" s="182" t="n">
        <v>0</v>
      </c>
      <c r="AL5150" s="182" t="n">
        <v>0</v>
      </c>
      <c r="AM5150" s="182" t="n">
        <v>0.08</v>
      </c>
      <c r="AN5150" s="182" t="n">
        <v>0</v>
      </c>
    </row>
    <row r="5151">
      <c r="A5151" s="155" t="n">
        <v>46105</v>
      </c>
      <c r="B5151" s="156" t="inlineStr">
        <is>
          <t>DS</t>
        </is>
      </c>
      <c r="C5151" s="156" t="inlineStr">
        <is>
          <t>DT-528</t>
        </is>
      </c>
      <c r="D5151" s="156" t="inlineStr">
        <is>
          <t>SKT 105S</t>
        </is>
      </c>
      <c r="E5151" s="156" t="inlineStr">
        <is>
          <t>Hauler</t>
        </is>
      </c>
      <c r="F5151" s="156" t="inlineStr">
        <is>
          <t>Hauling OB</t>
        </is>
      </c>
      <c r="G5151" s="182" t="n">
        <v>6.44</v>
      </c>
      <c r="H5151" s="182" t="n">
        <v>0</v>
      </c>
      <c r="I5151" s="182" t="n">
        <v>0</v>
      </c>
      <c r="J5151" s="182" t="n">
        <v>0</v>
      </c>
      <c r="K5151" s="182" t="n">
        <v>5.56</v>
      </c>
      <c r="L5151" s="182" t="n">
        <v>12</v>
      </c>
      <c r="M5151" s="182" t="n">
        <v>3.01</v>
      </c>
      <c r="N5151" s="182" t="n">
        <v>0</v>
      </c>
      <c r="O5151" s="183" t="n">
        <v>14</v>
      </c>
      <c r="P5151" s="183" t="n">
        <v>0</v>
      </c>
      <c r="Q5151" s="184" t="n">
        <v>285.6</v>
      </c>
      <c r="R5151" s="184" t="n">
        <v>0</v>
      </c>
      <c r="S5151" s="183" t="n">
        <v>14</v>
      </c>
      <c r="T5151" s="183" t="n">
        <v>0</v>
      </c>
      <c r="U5151" s="182" t="n">
        <v>0</v>
      </c>
      <c r="V5151" s="182" t="n">
        <v>0</v>
      </c>
      <c r="W5151" s="182" t="n">
        <v>0</v>
      </c>
      <c r="X5151" s="182" t="n">
        <v>0.9399999999999999</v>
      </c>
      <c r="Y5151" s="182" t="n">
        <v>0</v>
      </c>
      <c r="Z5151" s="182" t="n">
        <v>0</v>
      </c>
      <c r="AA5151" s="182" t="n">
        <v>0</v>
      </c>
      <c r="AB5151" s="182" t="n">
        <v>0</v>
      </c>
      <c r="AC5151" s="182" t="n">
        <v>0</v>
      </c>
      <c r="AD5151" s="182" t="n">
        <v>0</v>
      </c>
      <c r="AE5151" s="182" t="n">
        <v>0</v>
      </c>
      <c r="AF5151" s="182" t="n">
        <v>0</v>
      </c>
      <c r="AG5151" s="182" t="n">
        <v>0</v>
      </c>
      <c r="AH5151" s="182" t="n">
        <v>0</v>
      </c>
      <c r="AI5151" s="182" t="n">
        <v>4.54</v>
      </c>
      <c r="AJ5151" s="182" t="n">
        <v>0</v>
      </c>
      <c r="AK5151" s="182" t="n">
        <v>0</v>
      </c>
      <c r="AL5151" s="182" t="n">
        <v>0</v>
      </c>
      <c r="AM5151" s="182" t="n">
        <v>0.08</v>
      </c>
      <c r="AN5151" s="182" t="n">
        <v>0</v>
      </c>
    </row>
    <row r="5152">
      <c r="A5152" s="155" t="n">
        <v>46105</v>
      </c>
      <c r="B5152" s="156" t="inlineStr">
        <is>
          <t>DS</t>
        </is>
      </c>
      <c r="C5152" s="156" t="inlineStr">
        <is>
          <t>DT-529</t>
        </is>
      </c>
      <c r="D5152" s="156" t="inlineStr">
        <is>
          <t>SKT 105S</t>
        </is>
      </c>
      <c r="E5152" s="156" t="inlineStr">
        <is>
          <t>Hauler</t>
        </is>
      </c>
      <c r="F5152" s="156" t="inlineStr">
        <is>
          <t>Hauling OB</t>
        </is>
      </c>
      <c r="G5152" s="182" t="n">
        <v>5.21</v>
      </c>
      <c r="H5152" s="182" t="n">
        <v>0</v>
      </c>
      <c r="I5152" s="182" t="n">
        <v>4.37</v>
      </c>
      <c r="J5152" s="182" t="n">
        <v>4.37</v>
      </c>
      <c r="K5152" s="182" t="n">
        <v>2.42</v>
      </c>
      <c r="L5152" s="182" t="n">
        <v>12</v>
      </c>
      <c r="M5152" s="182" t="n">
        <v>5.2</v>
      </c>
      <c r="N5152" s="182" t="n">
        <v>0</v>
      </c>
      <c r="O5152" s="183" t="n">
        <v>18</v>
      </c>
      <c r="P5152" s="183" t="n">
        <v>0</v>
      </c>
      <c r="Q5152" s="184" t="n">
        <v>367.2</v>
      </c>
      <c r="R5152" s="184" t="n">
        <v>0</v>
      </c>
      <c r="S5152" s="183" t="n">
        <v>0</v>
      </c>
      <c r="T5152" s="183" t="n">
        <v>0</v>
      </c>
      <c r="U5152" s="182" t="n">
        <v>0</v>
      </c>
      <c r="V5152" s="182" t="n">
        <v>0</v>
      </c>
      <c r="W5152" s="182" t="n">
        <v>0</v>
      </c>
      <c r="X5152" s="182" t="n">
        <v>0.92</v>
      </c>
      <c r="Y5152" s="182" t="n">
        <v>0</v>
      </c>
      <c r="Z5152" s="182" t="n">
        <v>0</v>
      </c>
      <c r="AA5152" s="182" t="n">
        <v>0</v>
      </c>
      <c r="AB5152" s="182" t="n">
        <v>0</v>
      </c>
      <c r="AC5152" s="182" t="n">
        <v>0</v>
      </c>
      <c r="AD5152" s="182" t="n">
        <v>0</v>
      </c>
      <c r="AE5152" s="182" t="n">
        <v>0</v>
      </c>
      <c r="AF5152" s="182" t="n">
        <v>0</v>
      </c>
      <c r="AG5152" s="182" t="n">
        <v>0.64</v>
      </c>
      <c r="AH5152" s="182" t="n">
        <v>0.78</v>
      </c>
      <c r="AI5152" s="182" t="n">
        <v>0</v>
      </c>
      <c r="AJ5152" s="182" t="n">
        <v>0</v>
      </c>
      <c r="AK5152" s="182" t="n">
        <v>0</v>
      </c>
      <c r="AL5152" s="182" t="n">
        <v>0</v>
      </c>
      <c r="AM5152" s="182" t="n">
        <v>0.07000000000000001</v>
      </c>
      <c r="AN5152" s="182" t="n">
        <v>0</v>
      </c>
    </row>
    <row r="5153">
      <c r="A5153" s="155" t="n">
        <v>46105</v>
      </c>
      <c r="B5153" s="156" t="inlineStr">
        <is>
          <t>DS</t>
        </is>
      </c>
      <c r="C5153" s="156" t="inlineStr">
        <is>
          <t>DT-520</t>
        </is>
      </c>
      <c r="D5153" s="156" t="inlineStr">
        <is>
          <t>SKT 105S</t>
        </is>
      </c>
      <c r="E5153" s="156" t="inlineStr">
        <is>
          <t>Hauler</t>
        </is>
      </c>
      <c r="F5153" s="156" t="inlineStr">
        <is>
          <t>Hauling OB</t>
        </is>
      </c>
      <c r="G5153" s="182" t="n">
        <v>5.3</v>
      </c>
      <c r="H5153" s="182" t="n">
        <v>0</v>
      </c>
      <c r="I5153" s="182" t="n">
        <v>0</v>
      </c>
      <c r="J5153" s="182" t="n">
        <v>0</v>
      </c>
      <c r="K5153" s="182" t="n">
        <v>6.7</v>
      </c>
      <c r="L5153" s="182" t="n">
        <v>12</v>
      </c>
      <c r="M5153" s="182" t="n">
        <v>5.3</v>
      </c>
      <c r="N5153" s="182" t="n">
        <v>0</v>
      </c>
      <c r="O5153" s="183" t="n">
        <v>19</v>
      </c>
      <c r="P5153" s="183" t="n">
        <v>0</v>
      </c>
      <c r="Q5153" s="184" t="n">
        <v>387.6</v>
      </c>
      <c r="R5153" s="184" t="n">
        <v>0</v>
      </c>
      <c r="S5153" s="183" t="n">
        <v>0</v>
      </c>
      <c r="T5153" s="183" t="n">
        <v>0</v>
      </c>
      <c r="U5153" s="182" t="n">
        <v>0</v>
      </c>
      <c r="V5153" s="182" t="n">
        <v>0</v>
      </c>
      <c r="W5153" s="182" t="n">
        <v>0</v>
      </c>
      <c r="X5153" s="182" t="n">
        <v>1.1</v>
      </c>
      <c r="Y5153" s="182" t="n">
        <v>0</v>
      </c>
      <c r="Z5153" s="182" t="n">
        <v>0</v>
      </c>
      <c r="AA5153" s="182" t="n">
        <v>0</v>
      </c>
      <c r="AB5153" s="182" t="n">
        <v>0</v>
      </c>
      <c r="AC5153" s="182" t="n">
        <v>0</v>
      </c>
      <c r="AD5153" s="182" t="n">
        <v>0</v>
      </c>
      <c r="AE5153" s="182" t="n">
        <v>0</v>
      </c>
      <c r="AF5153" s="182" t="n">
        <v>0</v>
      </c>
      <c r="AG5153" s="182" t="n">
        <v>0</v>
      </c>
      <c r="AH5153" s="182" t="n">
        <v>0</v>
      </c>
      <c r="AI5153" s="182" t="n">
        <v>5.51</v>
      </c>
      <c r="AJ5153" s="182" t="n">
        <v>0</v>
      </c>
      <c r="AK5153" s="182" t="n">
        <v>0</v>
      </c>
      <c r="AL5153" s="182" t="n">
        <v>0</v>
      </c>
      <c r="AM5153" s="182" t="n">
        <v>0.09</v>
      </c>
      <c r="AN5153" s="182" t="n">
        <v>0</v>
      </c>
    </row>
    <row r="5154">
      <c r="A5154" s="155" t="n">
        <v>46105</v>
      </c>
      <c r="B5154" s="156" t="inlineStr">
        <is>
          <t>DS</t>
        </is>
      </c>
      <c r="C5154" s="156" t="inlineStr">
        <is>
          <t>DT-511</t>
        </is>
      </c>
      <c r="D5154" s="156" t="inlineStr">
        <is>
          <t>SKT 105S</t>
        </is>
      </c>
      <c r="E5154" s="156" t="inlineStr">
        <is>
          <t>Hauler</t>
        </is>
      </c>
      <c r="F5154" s="156" t="inlineStr"/>
      <c r="G5154" s="182" t="n">
        <v>0</v>
      </c>
      <c r="H5154" s="182" t="n">
        <v>0</v>
      </c>
      <c r="I5154" s="182" t="n">
        <v>12</v>
      </c>
      <c r="J5154" s="182" t="n">
        <v>12</v>
      </c>
      <c r="K5154" s="182" t="n">
        <v>0</v>
      </c>
      <c r="L5154" s="182" t="n">
        <v>12</v>
      </c>
      <c r="M5154" s="182" t="n">
        <v>0</v>
      </c>
      <c r="N5154" s="182" t="n">
        <v>0</v>
      </c>
      <c r="O5154" s="183" t="n">
        <v>0</v>
      </c>
      <c r="P5154" s="183" t="n">
        <v>0</v>
      </c>
      <c r="Q5154" s="184" t="n">
        <v>0</v>
      </c>
      <c r="R5154" s="184" t="n">
        <v>0</v>
      </c>
      <c r="S5154" s="183" t="n">
        <v>0</v>
      </c>
      <c r="T5154" s="183" t="n">
        <v>0</v>
      </c>
      <c r="U5154" s="182" t="n">
        <v>0</v>
      </c>
      <c r="V5154" s="182" t="n">
        <v>0</v>
      </c>
      <c r="W5154" s="182" t="n">
        <v>0</v>
      </c>
      <c r="X5154" s="182" t="n">
        <v>0</v>
      </c>
      <c r="Y5154" s="182" t="n">
        <v>0</v>
      </c>
      <c r="Z5154" s="182" t="n">
        <v>0</v>
      </c>
      <c r="AA5154" s="182" t="n">
        <v>0</v>
      </c>
      <c r="AB5154" s="182" t="n">
        <v>0</v>
      </c>
      <c r="AC5154" s="182" t="n">
        <v>0</v>
      </c>
      <c r="AD5154" s="182" t="n">
        <v>0</v>
      </c>
      <c r="AE5154" s="182" t="n">
        <v>0</v>
      </c>
      <c r="AF5154" s="182" t="n">
        <v>0</v>
      </c>
      <c r="AG5154" s="182" t="n">
        <v>0</v>
      </c>
      <c r="AH5154" s="182" t="n">
        <v>0</v>
      </c>
      <c r="AI5154" s="182" t="n">
        <v>0</v>
      </c>
      <c r="AJ5154" s="182" t="n">
        <v>0</v>
      </c>
      <c r="AK5154" s="182" t="n">
        <v>0</v>
      </c>
      <c r="AL5154" s="182" t="n">
        <v>0</v>
      </c>
      <c r="AM5154" s="182" t="n">
        <v>0</v>
      </c>
      <c r="AN5154" s="182" t="n">
        <v>0</v>
      </c>
    </row>
    <row r="5155">
      <c r="A5155" s="155" t="n">
        <v>46105</v>
      </c>
      <c r="B5155" s="156" t="inlineStr">
        <is>
          <t>DS</t>
        </is>
      </c>
      <c r="C5155" s="156" t="inlineStr">
        <is>
          <t>DT-509</t>
        </is>
      </c>
      <c r="D5155" s="156" t="inlineStr">
        <is>
          <t>SKT 105S</t>
        </is>
      </c>
      <c r="E5155" s="156" t="inlineStr">
        <is>
          <t>Hauler</t>
        </is>
      </c>
      <c r="F5155" s="156" t="inlineStr"/>
      <c r="G5155" s="182" t="n">
        <v>0</v>
      </c>
      <c r="H5155" s="182" t="n">
        <v>0</v>
      </c>
      <c r="I5155" s="182" t="n">
        <v>12</v>
      </c>
      <c r="J5155" s="182" t="n">
        <v>12</v>
      </c>
      <c r="K5155" s="182" t="n">
        <v>0</v>
      </c>
      <c r="L5155" s="182" t="n">
        <v>12</v>
      </c>
      <c r="M5155" s="182" t="n">
        <v>0</v>
      </c>
      <c r="N5155" s="182" t="n">
        <v>0</v>
      </c>
      <c r="O5155" s="183" t="n">
        <v>0</v>
      </c>
      <c r="P5155" s="183" t="n">
        <v>0</v>
      </c>
      <c r="Q5155" s="184" t="n">
        <v>0</v>
      </c>
      <c r="R5155" s="184" t="n">
        <v>0</v>
      </c>
      <c r="S5155" s="183" t="n">
        <v>0</v>
      </c>
      <c r="T5155" s="183" t="n">
        <v>0</v>
      </c>
      <c r="U5155" s="182" t="n">
        <v>0</v>
      </c>
      <c r="V5155" s="182" t="n">
        <v>0</v>
      </c>
      <c r="W5155" s="182" t="n">
        <v>0</v>
      </c>
      <c r="X5155" s="182" t="n">
        <v>0</v>
      </c>
      <c r="Y5155" s="182" t="n">
        <v>0</v>
      </c>
      <c r="Z5155" s="182" t="n">
        <v>0</v>
      </c>
      <c r="AA5155" s="182" t="n">
        <v>0</v>
      </c>
      <c r="AB5155" s="182" t="n">
        <v>0</v>
      </c>
      <c r="AC5155" s="182" t="n">
        <v>0</v>
      </c>
      <c r="AD5155" s="182" t="n">
        <v>0</v>
      </c>
      <c r="AE5155" s="182" t="n">
        <v>0</v>
      </c>
      <c r="AF5155" s="182" t="n">
        <v>0</v>
      </c>
      <c r="AG5155" s="182" t="n">
        <v>0</v>
      </c>
      <c r="AH5155" s="182" t="n">
        <v>0</v>
      </c>
      <c r="AI5155" s="182" t="n">
        <v>0</v>
      </c>
      <c r="AJ5155" s="182" t="n">
        <v>0</v>
      </c>
      <c r="AK5155" s="182" t="n">
        <v>0</v>
      </c>
      <c r="AL5155" s="182" t="n">
        <v>0</v>
      </c>
      <c r="AM5155" s="182" t="n">
        <v>0</v>
      </c>
      <c r="AN5155" s="182" t="n">
        <v>0</v>
      </c>
    </row>
    <row r="5156">
      <c r="A5156" s="155" t="n">
        <v>46105</v>
      </c>
      <c r="B5156" s="156" t="inlineStr">
        <is>
          <t>DS</t>
        </is>
      </c>
      <c r="C5156" s="156" t="inlineStr">
        <is>
          <t>DT-526</t>
        </is>
      </c>
      <c r="D5156" s="156" t="inlineStr">
        <is>
          <t>SKT 105S</t>
        </is>
      </c>
      <c r="E5156" s="156" t="inlineStr">
        <is>
          <t>Hauler</t>
        </is>
      </c>
      <c r="F5156" s="156" t="inlineStr">
        <is>
          <t>Hauling OB</t>
        </is>
      </c>
      <c r="G5156" s="182" t="n">
        <v>1.54</v>
      </c>
      <c r="H5156" s="182" t="n">
        <v>0</v>
      </c>
      <c r="I5156" s="182" t="n">
        <v>8.529999999999999</v>
      </c>
      <c r="J5156" s="182" t="n">
        <v>8.529999999999999</v>
      </c>
      <c r="K5156" s="182" t="n">
        <v>1.93</v>
      </c>
      <c r="L5156" s="182" t="n">
        <v>12</v>
      </c>
      <c r="M5156" s="182" t="n">
        <v>1.29</v>
      </c>
      <c r="N5156" s="182" t="n">
        <v>0</v>
      </c>
      <c r="O5156" s="183" t="n">
        <v>4</v>
      </c>
      <c r="P5156" s="183" t="n">
        <v>0</v>
      </c>
      <c r="Q5156" s="184" t="n">
        <v>81.59999999999999</v>
      </c>
      <c r="R5156" s="184" t="n">
        <v>0</v>
      </c>
      <c r="S5156" s="183" t="n">
        <v>1</v>
      </c>
      <c r="T5156" s="183" t="n">
        <v>0</v>
      </c>
      <c r="U5156" s="182" t="n">
        <v>0</v>
      </c>
      <c r="V5156" s="182" t="n">
        <v>0</v>
      </c>
      <c r="W5156" s="182" t="n">
        <v>0</v>
      </c>
      <c r="X5156" s="182" t="n">
        <v>0.98</v>
      </c>
      <c r="Y5156" s="182" t="n">
        <v>0</v>
      </c>
      <c r="Z5156" s="182" t="n">
        <v>0</v>
      </c>
      <c r="AA5156" s="182" t="n">
        <v>0</v>
      </c>
      <c r="AB5156" s="182" t="n">
        <v>0</v>
      </c>
      <c r="AC5156" s="182" t="n">
        <v>0</v>
      </c>
      <c r="AD5156" s="182" t="n">
        <v>0</v>
      </c>
      <c r="AE5156" s="182" t="n">
        <v>0</v>
      </c>
      <c r="AF5156" s="182" t="n">
        <v>0</v>
      </c>
      <c r="AG5156" s="182" t="n">
        <v>0</v>
      </c>
      <c r="AH5156" s="182" t="n">
        <v>0.86</v>
      </c>
      <c r="AI5156" s="182" t="n">
        <v>0</v>
      </c>
      <c r="AJ5156" s="182" t="n">
        <v>0</v>
      </c>
      <c r="AK5156" s="182" t="n">
        <v>0</v>
      </c>
      <c r="AL5156" s="182" t="n">
        <v>0</v>
      </c>
      <c r="AM5156" s="182" t="n">
        <v>0.08</v>
      </c>
      <c r="AN5156" s="182" t="n">
        <v>0</v>
      </c>
    </row>
    <row r="5157">
      <c r="A5157" s="155" t="n">
        <v>46105</v>
      </c>
      <c r="B5157" s="156" t="inlineStr">
        <is>
          <t>DS</t>
        </is>
      </c>
      <c r="C5157" s="156" t="inlineStr">
        <is>
          <t>DT-508</t>
        </is>
      </c>
      <c r="D5157" s="156" t="inlineStr">
        <is>
          <t>SKT 105S</t>
        </is>
      </c>
      <c r="E5157" s="156" t="inlineStr">
        <is>
          <t>Hauler</t>
        </is>
      </c>
      <c r="F5157" s="156" t="inlineStr">
        <is>
          <t>Hauling OB</t>
        </is>
      </c>
      <c r="G5157" s="182" t="n">
        <v>6.4</v>
      </c>
      <c r="H5157" s="182" t="n">
        <v>0</v>
      </c>
      <c r="I5157" s="182" t="n">
        <v>0</v>
      </c>
      <c r="J5157" s="182" t="n">
        <v>0</v>
      </c>
      <c r="K5157" s="182" t="n">
        <v>5.6</v>
      </c>
      <c r="L5157" s="182" t="n">
        <v>12</v>
      </c>
      <c r="M5157" s="182" t="n">
        <v>6.4</v>
      </c>
      <c r="N5157" s="182" t="n">
        <v>0</v>
      </c>
      <c r="O5157" s="183" t="n">
        <v>20</v>
      </c>
      <c r="P5157" s="183" t="n">
        <v>0</v>
      </c>
      <c r="Q5157" s="184" t="n">
        <v>408</v>
      </c>
      <c r="R5157" s="184" t="n">
        <v>0</v>
      </c>
      <c r="S5157" s="183" t="n">
        <v>0</v>
      </c>
      <c r="T5157" s="183" t="n">
        <v>0</v>
      </c>
      <c r="U5157" s="182" t="n">
        <v>0</v>
      </c>
      <c r="V5157" s="182" t="n">
        <v>0</v>
      </c>
      <c r="W5157" s="182" t="n">
        <v>0</v>
      </c>
      <c r="X5157" s="182" t="n">
        <v>0.9</v>
      </c>
      <c r="Y5157" s="182" t="n">
        <v>0</v>
      </c>
      <c r="Z5157" s="182" t="n">
        <v>0</v>
      </c>
      <c r="AA5157" s="182" t="n">
        <v>0</v>
      </c>
      <c r="AB5157" s="182" t="n">
        <v>0</v>
      </c>
      <c r="AC5157" s="182" t="n">
        <v>0</v>
      </c>
      <c r="AD5157" s="182" t="n">
        <v>0</v>
      </c>
      <c r="AE5157" s="182" t="n">
        <v>0</v>
      </c>
      <c r="AF5157" s="182" t="n">
        <v>0</v>
      </c>
      <c r="AG5157" s="182" t="n">
        <v>0</v>
      </c>
      <c r="AH5157" s="182" t="n">
        <v>0</v>
      </c>
      <c r="AI5157" s="182" t="n">
        <v>4.62</v>
      </c>
      <c r="AJ5157" s="182" t="n">
        <v>0</v>
      </c>
      <c r="AK5157" s="182" t="n">
        <v>0</v>
      </c>
      <c r="AL5157" s="182" t="n">
        <v>0</v>
      </c>
      <c r="AM5157" s="182" t="n">
        <v>0.07000000000000001</v>
      </c>
      <c r="AN5157" s="182" t="n">
        <v>0</v>
      </c>
    </row>
    <row r="5158">
      <c r="A5158" s="155" t="n">
        <v>46105</v>
      </c>
      <c r="B5158" s="156" t="inlineStr">
        <is>
          <t>DS</t>
        </is>
      </c>
      <c r="C5158" s="156" t="inlineStr">
        <is>
          <t>DT-515</t>
        </is>
      </c>
      <c r="D5158" s="156" t="inlineStr">
        <is>
          <t>SKT 105S</t>
        </is>
      </c>
      <c r="E5158" s="156" t="inlineStr">
        <is>
          <t>Hauler</t>
        </is>
      </c>
      <c r="F5158" s="156" t="inlineStr">
        <is>
          <t>Hauling OB</t>
        </is>
      </c>
      <c r="G5158" s="182" t="n">
        <v>5.22</v>
      </c>
      <c r="H5158" s="182" t="n">
        <v>0</v>
      </c>
      <c r="I5158" s="182" t="n">
        <v>0</v>
      </c>
      <c r="J5158" s="182" t="n">
        <v>0</v>
      </c>
      <c r="K5158" s="182" t="n">
        <v>6.78</v>
      </c>
      <c r="L5158" s="182" t="n">
        <v>12</v>
      </c>
      <c r="M5158" s="182" t="n">
        <v>4.22</v>
      </c>
      <c r="N5158" s="182" t="n">
        <v>0</v>
      </c>
      <c r="O5158" s="183" t="n">
        <v>14</v>
      </c>
      <c r="P5158" s="183" t="n">
        <v>0</v>
      </c>
      <c r="Q5158" s="184" t="n">
        <v>285.6</v>
      </c>
      <c r="R5158" s="184" t="n">
        <v>0</v>
      </c>
      <c r="S5158" s="183" t="n">
        <v>4</v>
      </c>
      <c r="T5158" s="183" t="n">
        <v>0</v>
      </c>
      <c r="U5158" s="182" t="n">
        <v>0</v>
      </c>
      <c r="V5158" s="182" t="n">
        <v>0</v>
      </c>
      <c r="W5158" s="182" t="n">
        <v>0</v>
      </c>
      <c r="X5158" s="182" t="n">
        <v>1</v>
      </c>
      <c r="Y5158" s="182" t="n">
        <v>0</v>
      </c>
      <c r="Z5158" s="182" t="n">
        <v>0</v>
      </c>
      <c r="AA5158" s="182" t="n">
        <v>0</v>
      </c>
      <c r="AB5158" s="182" t="n">
        <v>0</v>
      </c>
      <c r="AC5158" s="182" t="n">
        <v>0</v>
      </c>
      <c r="AD5158" s="182" t="n">
        <v>0</v>
      </c>
      <c r="AE5158" s="182" t="n">
        <v>0</v>
      </c>
      <c r="AF5158" s="182" t="n">
        <v>0</v>
      </c>
      <c r="AG5158" s="182" t="n">
        <v>0</v>
      </c>
      <c r="AH5158" s="182" t="n">
        <v>0</v>
      </c>
      <c r="AI5158" s="182" t="n">
        <v>5.7</v>
      </c>
      <c r="AJ5158" s="182" t="n">
        <v>0</v>
      </c>
      <c r="AK5158" s="182" t="n">
        <v>0</v>
      </c>
      <c r="AL5158" s="182" t="n">
        <v>0</v>
      </c>
      <c r="AM5158" s="182" t="n">
        <v>0.08</v>
      </c>
      <c r="AN5158" s="182" t="n">
        <v>0</v>
      </c>
    </row>
    <row r="5159">
      <c r="A5159" s="155" t="n">
        <v>46105</v>
      </c>
      <c r="B5159" s="156" t="inlineStr">
        <is>
          <t>DS</t>
        </is>
      </c>
      <c r="C5159" s="156" t="inlineStr">
        <is>
          <t>DT-524</t>
        </is>
      </c>
      <c r="D5159" s="156" t="inlineStr">
        <is>
          <t>SKT 105S</t>
        </is>
      </c>
      <c r="E5159" s="156" t="inlineStr">
        <is>
          <t>Hauler</t>
        </is>
      </c>
      <c r="F5159" s="156" t="inlineStr"/>
      <c r="G5159" s="182" t="n">
        <v>0</v>
      </c>
      <c r="H5159" s="182" t="n">
        <v>0</v>
      </c>
      <c r="I5159" s="182" t="n">
        <v>12</v>
      </c>
      <c r="J5159" s="182" t="n">
        <v>12</v>
      </c>
      <c r="K5159" s="182" t="n">
        <v>0</v>
      </c>
      <c r="L5159" s="182" t="n">
        <v>12</v>
      </c>
      <c r="M5159" s="182" t="n">
        <v>0</v>
      </c>
      <c r="N5159" s="182" t="n">
        <v>0</v>
      </c>
      <c r="O5159" s="183" t="n">
        <v>0</v>
      </c>
      <c r="P5159" s="183" t="n">
        <v>0</v>
      </c>
      <c r="Q5159" s="184" t="n">
        <v>0</v>
      </c>
      <c r="R5159" s="184" t="n">
        <v>0</v>
      </c>
      <c r="S5159" s="183" t="n">
        <v>0</v>
      </c>
      <c r="T5159" s="183" t="n">
        <v>0</v>
      </c>
      <c r="U5159" s="182" t="n">
        <v>0</v>
      </c>
      <c r="V5159" s="182" t="n">
        <v>0</v>
      </c>
      <c r="W5159" s="182" t="n">
        <v>0</v>
      </c>
      <c r="X5159" s="182" t="n">
        <v>0</v>
      </c>
      <c r="Y5159" s="182" t="n">
        <v>0</v>
      </c>
      <c r="Z5159" s="182" t="n">
        <v>0</v>
      </c>
      <c r="AA5159" s="182" t="n">
        <v>0</v>
      </c>
      <c r="AB5159" s="182" t="n">
        <v>0</v>
      </c>
      <c r="AC5159" s="182" t="n">
        <v>0</v>
      </c>
      <c r="AD5159" s="182" t="n">
        <v>0</v>
      </c>
      <c r="AE5159" s="182" t="n">
        <v>0</v>
      </c>
      <c r="AF5159" s="182" t="n">
        <v>0</v>
      </c>
      <c r="AG5159" s="182" t="n">
        <v>0</v>
      </c>
      <c r="AH5159" s="182" t="n">
        <v>0</v>
      </c>
      <c r="AI5159" s="182" t="n">
        <v>0</v>
      </c>
      <c r="AJ5159" s="182" t="n">
        <v>0</v>
      </c>
      <c r="AK5159" s="182" t="n">
        <v>0</v>
      </c>
      <c r="AL5159" s="182" t="n">
        <v>0</v>
      </c>
      <c r="AM5159" s="182" t="n">
        <v>0</v>
      </c>
      <c r="AN5159" s="182" t="n">
        <v>0</v>
      </c>
    </row>
    <row r="5160">
      <c r="A5160" s="155" t="n">
        <v>46105</v>
      </c>
      <c r="B5160" s="156" t="inlineStr">
        <is>
          <t>DS</t>
        </is>
      </c>
      <c r="C5160" s="156" t="inlineStr">
        <is>
          <t>DT-341</t>
        </is>
      </c>
      <c r="D5160" s="156" t="inlineStr">
        <is>
          <t>SYZ324C-8W</t>
        </is>
      </c>
      <c r="E5160" s="156" t="inlineStr">
        <is>
          <t>Hauler</t>
        </is>
      </c>
      <c r="F5160" s="156" t="inlineStr">
        <is>
          <t>Rehandling Material di Washing Plant</t>
        </is>
      </c>
      <c r="G5160" s="182" t="n">
        <v>2.77</v>
      </c>
      <c r="H5160" s="182" t="n">
        <v>0</v>
      </c>
      <c r="I5160" s="182" t="n">
        <v>0</v>
      </c>
      <c r="J5160" s="182" t="n">
        <v>0</v>
      </c>
      <c r="K5160" s="182" t="n">
        <v>9.23</v>
      </c>
      <c r="L5160" s="182" t="n">
        <v>12</v>
      </c>
      <c r="M5160" s="182" t="n">
        <v>0</v>
      </c>
      <c r="N5160" s="182" t="n">
        <v>0</v>
      </c>
      <c r="O5160" s="183" t="n">
        <v>0</v>
      </c>
      <c r="P5160" s="183" t="n">
        <v>0</v>
      </c>
      <c r="Q5160" s="184" t="n">
        <v>0</v>
      </c>
      <c r="R5160" s="184" t="n">
        <v>0</v>
      </c>
      <c r="S5160" s="183" t="n">
        <v>0</v>
      </c>
      <c r="T5160" s="183" t="n">
        <v>0</v>
      </c>
      <c r="U5160" s="182" t="n">
        <v>0</v>
      </c>
      <c r="V5160" s="182" t="n">
        <v>0</v>
      </c>
      <c r="W5160" s="182" t="n">
        <v>0</v>
      </c>
      <c r="X5160" s="182" t="n">
        <v>1.01</v>
      </c>
      <c r="Y5160" s="182" t="n">
        <v>0</v>
      </c>
      <c r="Z5160" s="182" t="n">
        <v>0</v>
      </c>
      <c r="AA5160" s="182" t="n">
        <v>0</v>
      </c>
      <c r="AB5160" s="182" t="n">
        <v>0</v>
      </c>
      <c r="AC5160" s="182" t="n">
        <v>0</v>
      </c>
      <c r="AD5160" s="182" t="n">
        <v>0</v>
      </c>
      <c r="AE5160" s="182" t="n">
        <v>0</v>
      </c>
      <c r="AF5160" s="182" t="n">
        <v>0</v>
      </c>
      <c r="AG5160" s="182" t="n">
        <v>0</v>
      </c>
      <c r="AH5160" s="182" t="n">
        <v>0</v>
      </c>
      <c r="AI5160" s="182" t="n">
        <v>0</v>
      </c>
      <c r="AJ5160" s="182" t="n">
        <v>0</v>
      </c>
      <c r="AK5160" s="182" t="n">
        <v>8.130000000000001</v>
      </c>
      <c r="AL5160" s="182" t="n">
        <v>0</v>
      </c>
      <c r="AM5160" s="182" t="n">
        <v>0.08</v>
      </c>
      <c r="AN5160" s="182" t="n">
        <v>0</v>
      </c>
    </row>
    <row r="5161">
      <c r="A5161" s="155" t="n">
        <v>46105</v>
      </c>
      <c r="B5161" s="156" t="inlineStr">
        <is>
          <t>DS</t>
        </is>
      </c>
      <c r="C5161" s="156" t="inlineStr">
        <is>
          <t>DT-342</t>
        </is>
      </c>
      <c r="D5161" s="156" t="inlineStr">
        <is>
          <t>SYZ324C-8W</t>
        </is>
      </c>
      <c r="E5161" s="156" t="inlineStr">
        <is>
          <t>Hauler</t>
        </is>
      </c>
      <c r="F5161" s="156" t="inlineStr">
        <is>
          <t>Rehandling Material di Washing Plant</t>
        </is>
      </c>
      <c r="G5161" s="182" t="n">
        <v>4.28</v>
      </c>
      <c r="H5161" s="182" t="n">
        <v>0</v>
      </c>
      <c r="I5161" s="182" t="n">
        <v>0</v>
      </c>
      <c r="J5161" s="182" t="n">
        <v>0</v>
      </c>
      <c r="K5161" s="182" t="n">
        <v>7.72</v>
      </c>
      <c r="L5161" s="182" t="n">
        <v>12</v>
      </c>
      <c r="M5161" s="182" t="n">
        <v>0</v>
      </c>
      <c r="N5161" s="182" t="n">
        <v>0</v>
      </c>
      <c r="O5161" s="183" t="n">
        <v>0</v>
      </c>
      <c r="P5161" s="183" t="n">
        <v>0</v>
      </c>
      <c r="Q5161" s="184" t="n">
        <v>0</v>
      </c>
      <c r="R5161" s="184" t="n">
        <v>0</v>
      </c>
      <c r="S5161" s="183" t="n">
        <v>0</v>
      </c>
      <c r="T5161" s="183" t="n">
        <v>0</v>
      </c>
      <c r="U5161" s="182" t="n">
        <v>0</v>
      </c>
      <c r="V5161" s="182" t="n">
        <v>0</v>
      </c>
      <c r="W5161" s="182" t="n">
        <v>0</v>
      </c>
      <c r="X5161" s="182" t="n">
        <v>0.99</v>
      </c>
      <c r="Y5161" s="182" t="n">
        <v>0</v>
      </c>
      <c r="Z5161" s="182" t="n">
        <v>0</v>
      </c>
      <c r="AA5161" s="182" t="n">
        <v>0</v>
      </c>
      <c r="AB5161" s="182" t="n">
        <v>0</v>
      </c>
      <c r="AC5161" s="182" t="n">
        <v>0</v>
      </c>
      <c r="AD5161" s="182" t="n">
        <v>0</v>
      </c>
      <c r="AE5161" s="182" t="n">
        <v>0</v>
      </c>
      <c r="AF5161" s="182" t="n">
        <v>0</v>
      </c>
      <c r="AG5161" s="182" t="n">
        <v>0</v>
      </c>
      <c r="AH5161" s="182" t="n">
        <v>0</v>
      </c>
      <c r="AI5161" s="182" t="n">
        <v>0</v>
      </c>
      <c r="AJ5161" s="182" t="n">
        <v>0</v>
      </c>
      <c r="AK5161" s="182" t="n">
        <v>6.65</v>
      </c>
      <c r="AL5161" s="182" t="n">
        <v>0</v>
      </c>
      <c r="AM5161" s="182" t="n">
        <v>0.08</v>
      </c>
      <c r="AN5161" s="182" t="n">
        <v>0</v>
      </c>
    </row>
    <row r="5162">
      <c r="A5162" s="155" t="n">
        <v>46105</v>
      </c>
      <c r="B5162" s="156" t="inlineStr">
        <is>
          <t>DS</t>
        </is>
      </c>
      <c r="C5162" s="156" t="inlineStr">
        <is>
          <t>HD-903</t>
        </is>
      </c>
      <c r="D5162" s="156" t="inlineStr">
        <is>
          <t>SRT 95C</t>
        </is>
      </c>
      <c r="E5162" s="156" t="inlineStr">
        <is>
          <t>Hauler</t>
        </is>
      </c>
      <c r="F5162" s="156" t="inlineStr">
        <is>
          <t>Hauling OB</t>
        </is>
      </c>
      <c r="G5162" s="182" t="n">
        <v>3.89</v>
      </c>
      <c r="H5162" s="182" t="n">
        <v>3</v>
      </c>
      <c r="I5162" s="182" t="n">
        <v>3.5</v>
      </c>
      <c r="J5162" s="182" t="n">
        <v>6.5</v>
      </c>
      <c r="K5162" s="182" t="n">
        <v>1.61</v>
      </c>
      <c r="L5162" s="182" t="n">
        <v>12</v>
      </c>
      <c r="M5162" s="182" t="n">
        <v>3.89</v>
      </c>
      <c r="N5162" s="182" t="n">
        <v>0</v>
      </c>
      <c r="O5162" s="183" t="n">
        <v>17</v>
      </c>
      <c r="P5162" s="183" t="n">
        <v>0</v>
      </c>
      <c r="Q5162" s="184" t="n">
        <v>606.9</v>
      </c>
      <c r="R5162" s="184" t="n">
        <v>0</v>
      </c>
      <c r="S5162" s="183" t="n">
        <v>0</v>
      </c>
      <c r="T5162" s="183" t="n">
        <v>0</v>
      </c>
      <c r="U5162" s="182" t="n">
        <v>0</v>
      </c>
      <c r="V5162" s="182" t="n">
        <v>0</v>
      </c>
      <c r="W5162" s="182" t="n">
        <v>0</v>
      </c>
      <c r="X5162" s="182" t="n">
        <v>1.01</v>
      </c>
      <c r="Y5162" s="182" t="n">
        <v>0</v>
      </c>
      <c r="Z5162" s="182" t="n">
        <v>0</v>
      </c>
      <c r="AA5162" s="182" t="n">
        <v>0</v>
      </c>
      <c r="AB5162" s="182" t="n">
        <v>0</v>
      </c>
      <c r="AC5162" s="182" t="n">
        <v>0</v>
      </c>
      <c r="AD5162" s="182" t="n">
        <v>0</v>
      </c>
      <c r="AE5162" s="182" t="n">
        <v>0</v>
      </c>
      <c r="AF5162" s="182" t="n">
        <v>0</v>
      </c>
      <c r="AG5162" s="182" t="n">
        <v>0</v>
      </c>
      <c r="AH5162" s="182" t="n">
        <v>0.52</v>
      </c>
      <c r="AI5162" s="182" t="n">
        <v>0</v>
      </c>
      <c r="AJ5162" s="182" t="n">
        <v>0</v>
      </c>
      <c r="AK5162" s="182" t="n">
        <v>0</v>
      </c>
      <c r="AL5162" s="182" t="n">
        <v>0</v>
      </c>
      <c r="AM5162" s="182" t="n">
        <v>0.08</v>
      </c>
      <c r="AN5162" s="182" t="n">
        <v>0</v>
      </c>
    </row>
    <row r="5163">
      <c r="A5163" s="155" t="n">
        <v>46105</v>
      </c>
      <c r="B5163" s="156" t="inlineStr">
        <is>
          <t>DS</t>
        </is>
      </c>
      <c r="C5163" s="156" t="inlineStr">
        <is>
          <t>HD-905</t>
        </is>
      </c>
      <c r="D5163" s="156" t="inlineStr">
        <is>
          <t>SRT 95C</t>
        </is>
      </c>
      <c r="E5163" s="156" t="inlineStr">
        <is>
          <t>Hauler</t>
        </is>
      </c>
      <c r="F5163" s="156" t="inlineStr">
        <is>
          <t>Hauling OB</t>
        </is>
      </c>
      <c r="G5163" s="182" t="n">
        <v>8.91</v>
      </c>
      <c r="H5163" s="182" t="n">
        <v>0</v>
      </c>
      <c r="I5163" s="182" t="n">
        <v>0</v>
      </c>
      <c r="J5163" s="182" t="n">
        <v>0</v>
      </c>
      <c r="K5163" s="182" t="n">
        <v>3.09</v>
      </c>
      <c r="L5163" s="182" t="n">
        <v>12</v>
      </c>
      <c r="M5163" s="182" t="n">
        <v>8.91</v>
      </c>
      <c r="N5163" s="182" t="n">
        <v>0</v>
      </c>
      <c r="O5163" s="183" t="n">
        <v>39</v>
      </c>
      <c r="P5163" s="183" t="n">
        <v>0</v>
      </c>
      <c r="Q5163" s="184" t="n">
        <v>1392.3</v>
      </c>
      <c r="R5163" s="184" t="n">
        <v>0</v>
      </c>
      <c r="S5163" s="183" t="n">
        <v>0</v>
      </c>
      <c r="T5163" s="183" t="n">
        <v>0</v>
      </c>
      <c r="U5163" s="182" t="n">
        <v>0</v>
      </c>
      <c r="V5163" s="182" t="n">
        <v>0</v>
      </c>
      <c r="W5163" s="182" t="n">
        <v>1.01</v>
      </c>
      <c r="X5163" s="182" t="n">
        <v>1.03</v>
      </c>
      <c r="Y5163" s="182" t="n">
        <v>0</v>
      </c>
      <c r="Z5163" s="182" t="n">
        <v>0</v>
      </c>
      <c r="AA5163" s="182" t="n">
        <v>0</v>
      </c>
      <c r="AB5163" s="182" t="n">
        <v>0</v>
      </c>
      <c r="AC5163" s="182" t="n">
        <v>0</v>
      </c>
      <c r="AD5163" s="182" t="n">
        <v>0</v>
      </c>
      <c r="AE5163" s="182" t="n">
        <v>0</v>
      </c>
      <c r="AF5163" s="182" t="n">
        <v>0</v>
      </c>
      <c r="AG5163" s="182" t="n">
        <v>0</v>
      </c>
      <c r="AH5163" s="182" t="n">
        <v>0.36</v>
      </c>
      <c r="AI5163" s="182" t="n">
        <v>0.6</v>
      </c>
      <c r="AJ5163" s="182" t="n">
        <v>0</v>
      </c>
      <c r="AK5163" s="182" t="n">
        <v>0</v>
      </c>
      <c r="AL5163" s="182" t="n">
        <v>0</v>
      </c>
      <c r="AM5163" s="182" t="n">
        <v>0.08</v>
      </c>
      <c r="AN5163" s="182" t="n">
        <v>0</v>
      </c>
    </row>
    <row r="5164">
      <c r="A5164" s="155" t="n">
        <v>46105</v>
      </c>
      <c r="B5164" s="156" t="inlineStr">
        <is>
          <t>DS</t>
        </is>
      </c>
      <c r="C5164" s="156" t="inlineStr">
        <is>
          <t>HD-901</t>
        </is>
      </c>
      <c r="D5164" s="156" t="inlineStr">
        <is>
          <t>SRT 95C</t>
        </is>
      </c>
      <c r="E5164" s="156" t="inlineStr">
        <is>
          <t>Hauler</t>
        </is>
      </c>
      <c r="F5164" s="156" t="inlineStr">
        <is>
          <t>Hauling OB</t>
        </is>
      </c>
      <c r="G5164" s="182" t="n">
        <v>7.95</v>
      </c>
      <c r="H5164" s="182" t="n">
        <v>0</v>
      </c>
      <c r="I5164" s="182" t="n">
        <v>0</v>
      </c>
      <c r="J5164" s="182" t="n">
        <v>0</v>
      </c>
      <c r="K5164" s="182" t="n">
        <v>4.05</v>
      </c>
      <c r="L5164" s="182" t="n">
        <v>12</v>
      </c>
      <c r="M5164" s="182" t="n">
        <v>7.95</v>
      </c>
      <c r="N5164" s="182" t="n">
        <v>0</v>
      </c>
      <c r="O5164" s="183" t="n">
        <v>42</v>
      </c>
      <c r="P5164" s="183" t="n">
        <v>0</v>
      </c>
      <c r="Q5164" s="184" t="n">
        <v>1499.4</v>
      </c>
      <c r="R5164" s="184" t="n">
        <v>0</v>
      </c>
      <c r="S5164" s="183" t="n">
        <v>0</v>
      </c>
      <c r="T5164" s="183" t="n">
        <v>0</v>
      </c>
      <c r="U5164" s="182" t="n">
        <v>0</v>
      </c>
      <c r="V5164" s="182" t="n">
        <v>0</v>
      </c>
      <c r="W5164" s="182" t="n">
        <v>1.04</v>
      </c>
      <c r="X5164" s="182" t="n">
        <v>1.04</v>
      </c>
      <c r="Y5164" s="182" t="n">
        <v>0</v>
      </c>
      <c r="Z5164" s="182" t="n">
        <v>0</v>
      </c>
      <c r="AA5164" s="182" t="n">
        <v>0</v>
      </c>
      <c r="AB5164" s="182" t="n">
        <v>0</v>
      </c>
      <c r="AC5164" s="182" t="n">
        <v>0</v>
      </c>
      <c r="AD5164" s="182" t="n">
        <v>0</v>
      </c>
      <c r="AE5164" s="182" t="n">
        <v>0</v>
      </c>
      <c r="AF5164" s="182" t="n">
        <v>0</v>
      </c>
      <c r="AG5164" s="182" t="n">
        <v>0.65</v>
      </c>
      <c r="AH5164" s="182" t="n">
        <v>0.6</v>
      </c>
      <c r="AI5164" s="182" t="n">
        <v>0.62</v>
      </c>
      <c r="AJ5164" s="182" t="n">
        <v>0</v>
      </c>
      <c r="AK5164" s="182" t="n">
        <v>0</v>
      </c>
      <c r="AL5164" s="182" t="n">
        <v>0</v>
      </c>
      <c r="AM5164" s="182" t="n">
        <v>0.08</v>
      </c>
      <c r="AN5164" s="182" t="n">
        <v>0</v>
      </c>
    </row>
    <row r="5165">
      <c r="A5165" s="155" t="n">
        <v>46105</v>
      </c>
      <c r="B5165" s="156" t="inlineStr">
        <is>
          <t>DS</t>
        </is>
      </c>
      <c r="C5165" s="156" t="inlineStr">
        <is>
          <t>HD-904</t>
        </is>
      </c>
      <c r="D5165" s="156" t="inlineStr">
        <is>
          <t>SRT 95C</t>
        </is>
      </c>
      <c r="E5165" s="156" t="inlineStr">
        <is>
          <t>Hauler</t>
        </is>
      </c>
      <c r="F5165" s="156" t="inlineStr"/>
      <c r="G5165" s="182" t="n">
        <v>0</v>
      </c>
      <c r="H5165" s="182" t="n">
        <v>0</v>
      </c>
      <c r="I5165" s="182" t="n">
        <v>12</v>
      </c>
      <c r="J5165" s="182" t="n">
        <v>12</v>
      </c>
      <c r="K5165" s="182" t="n">
        <v>0</v>
      </c>
      <c r="L5165" s="182" t="n">
        <v>12</v>
      </c>
      <c r="M5165" s="182" t="n">
        <v>0</v>
      </c>
      <c r="N5165" s="182" t="n">
        <v>0</v>
      </c>
      <c r="O5165" s="183" t="n">
        <v>0</v>
      </c>
      <c r="P5165" s="183" t="n">
        <v>0</v>
      </c>
      <c r="Q5165" s="184" t="n">
        <v>0</v>
      </c>
      <c r="R5165" s="184" t="n">
        <v>0</v>
      </c>
      <c r="S5165" s="183" t="n">
        <v>0</v>
      </c>
      <c r="T5165" s="183" t="n">
        <v>0</v>
      </c>
      <c r="U5165" s="182" t="n">
        <v>0</v>
      </c>
      <c r="V5165" s="182" t="n">
        <v>0</v>
      </c>
      <c r="W5165" s="182" t="n">
        <v>0</v>
      </c>
      <c r="X5165" s="182" t="n">
        <v>0</v>
      </c>
      <c r="Y5165" s="182" t="n">
        <v>0</v>
      </c>
      <c r="Z5165" s="182" t="n">
        <v>0</v>
      </c>
      <c r="AA5165" s="182" t="n">
        <v>0</v>
      </c>
      <c r="AB5165" s="182" t="n">
        <v>0</v>
      </c>
      <c r="AC5165" s="182" t="n">
        <v>0</v>
      </c>
      <c r="AD5165" s="182" t="n">
        <v>0</v>
      </c>
      <c r="AE5165" s="182" t="n">
        <v>0</v>
      </c>
      <c r="AF5165" s="182" t="n">
        <v>0</v>
      </c>
      <c r="AG5165" s="182" t="n">
        <v>0</v>
      </c>
      <c r="AH5165" s="182" t="n">
        <v>0</v>
      </c>
      <c r="AI5165" s="182" t="n">
        <v>0</v>
      </c>
      <c r="AJ5165" s="182" t="n">
        <v>0</v>
      </c>
      <c r="AK5165" s="182" t="n">
        <v>0</v>
      </c>
      <c r="AL5165" s="182" t="n">
        <v>0</v>
      </c>
      <c r="AM5165" s="182" t="n">
        <v>0</v>
      </c>
      <c r="AN5165" s="182" t="n">
        <v>0</v>
      </c>
    </row>
    <row r="5166">
      <c r="A5166" s="155" t="n">
        <v>46105</v>
      </c>
      <c r="B5166" s="156" t="inlineStr">
        <is>
          <t>DS</t>
        </is>
      </c>
      <c r="C5166" s="156" t="inlineStr">
        <is>
          <t>HD-902</t>
        </is>
      </c>
      <c r="D5166" s="156" t="inlineStr">
        <is>
          <t>SRT 95C</t>
        </is>
      </c>
      <c r="E5166" s="156" t="inlineStr">
        <is>
          <t>Hauler</t>
        </is>
      </c>
      <c r="F5166" s="156" t="inlineStr">
        <is>
          <t>Hauling OB</t>
        </is>
      </c>
      <c r="G5166" s="182" t="n">
        <v>8.91</v>
      </c>
      <c r="H5166" s="182" t="n">
        <v>0</v>
      </c>
      <c r="I5166" s="182" t="n">
        <v>0</v>
      </c>
      <c r="J5166" s="182" t="n">
        <v>0</v>
      </c>
      <c r="K5166" s="182" t="n">
        <v>3.09</v>
      </c>
      <c r="L5166" s="182" t="n">
        <v>12</v>
      </c>
      <c r="M5166" s="182" t="n">
        <v>8.91</v>
      </c>
      <c r="N5166" s="182" t="n">
        <v>0</v>
      </c>
      <c r="O5166" s="183" t="n">
        <v>42</v>
      </c>
      <c r="P5166" s="183" t="n">
        <v>0</v>
      </c>
      <c r="Q5166" s="184" t="n">
        <v>1499.4</v>
      </c>
      <c r="R5166" s="184" t="n">
        <v>0</v>
      </c>
      <c r="S5166" s="183" t="n">
        <v>0</v>
      </c>
      <c r="T5166" s="183" t="n">
        <v>0</v>
      </c>
      <c r="U5166" s="182" t="n">
        <v>0</v>
      </c>
      <c r="V5166" s="182" t="n">
        <v>0</v>
      </c>
      <c r="W5166" s="182" t="n">
        <v>1.08</v>
      </c>
      <c r="X5166" s="182" t="n">
        <v>1.1</v>
      </c>
      <c r="Y5166" s="182" t="n">
        <v>0</v>
      </c>
      <c r="Z5166" s="182" t="n">
        <v>0</v>
      </c>
      <c r="AA5166" s="182" t="n">
        <v>0</v>
      </c>
      <c r="AB5166" s="182" t="n">
        <v>0</v>
      </c>
      <c r="AC5166" s="182" t="n">
        <v>0</v>
      </c>
      <c r="AD5166" s="182" t="n">
        <v>0</v>
      </c>
      <c r="AE5166" s="182" t="n">
        <v>0</v>
      </c>
      <c r="AF5166" s="182" t="n">
        <v>0</v>
      </c>
      <c r="AG5166" s="182" t="n">
        <v>0</v>
      </c>
      <c r="AH5166" s="182" t="n">
        <v>0.17</v>
      </c>
      <c r="AI5166" s="182" t="n">
        <v>0.64</v>
      </c>
      <c r="AJ5166" s="182" t="n">
        <v>0</v>
      </c>
      <c r="AK5166" s="182" t="n">
        <v>0</v>
      </c>
      <c r="AL5166" s="182" t="n">
        <v>0</v>
      </c>
      <c r="AM5166" s="182" t="n">
        <v>0.09</v>
      </c>
      <c r="AN5166" s="182" t="n">
        <v>0</v>
      </c>
    </row>
    <row r="5167">
      <c r="A5167" s="155" t="n">
        <v>46105</v>
      </c>
      <c r="B5167" s="156" t="inlineStr">
        <is>
          <t>DS</t>
        </is>
      </c>
      <c r="C5167" s="156" t="inlineStr">
        <is>
          <t>WL-025</t>
        </is>
      </c>
      <c r="D5167" s="156" t="inlineStr">
        <is>
          <t>SANY - Loader</t>
        </is>
      </c>
      <c r="E5167" s="156" t="inlineStr">
        <is>
          <t>Loader</t>
        </is>
      </c>
      <c r="F5167" s="156" t="inlineStr"/>
      <c r="G5167" s="182" t="n">
        <v>0</v>
      </c>
      <c r="H5167" s="182" t="n">
        <v>0</v>
      </c>
      <c r="I5167" s="182" t="n">
        <v>9</v>
      </c>
      <c r="J5167" s="182" t="n">
        <v>9</v>
      </c>
      <c r="K5167" s="182" t="n">
        <v>3</v>
      </c>
      <c r="L5167" s="182" t="n">
        <v>12</v>
      </c>
      <c r="M5167" s="182" t="n">
        <v>0</v>
      </c>
      <c r="N5167" s="182" t="n">
        <v>0</v>
      </c>
      <c r="O5167" s="183" t="n">
        <v>0</v>
      </c>
      <c r="P5167" s="183" t="n">
        <v>0</v>
      </c>
      <c r="Q5167" s="184" t="n">
        <v>0</v>
      </c>
      <c r="R5167" s="184" t="n">
        <v>0</v>
      </c>
      <c r="S5167" s="183" t="n">
        <v>0</v>
      </c>
      <c r="T5167" s="183" t="n">
        <v>0</v>
      </c>
      <c r="U5167" s="182" t="n">
        <v>0</v>
      </c>
      <c r="V5167" s="182" t="n">
        <v>0</v>
      </c>
      <c r="W5167" s="182" t="n">
        <v>0</v>
      </c>
      <c r="X5167" s="182" t="n">
        <v>1</v>
      </c>
      <c r="Y5167" s="182" t="n">
        <v>0</v>
      </c>
      <c r="Z5167" s="182" t="n">
        <v>0</v>
      </c>
      <c r="AA5167" s="182" t="n">
        <v>0</v>
      </c>
      <c r="AB5167" s="182" t="n">
        <v>0</v>
      </c>
      <c r="AC5167" s="182" t="n">
        <v>0</v>
      </c>
      <c r="AD5167" s="182" t="n">
        <v>0</v>
      </c>
      <c r="AE5167" s="182" t="n">
        <v>0</v>
      </c>
      <c r="AF5167" s="182" t="n">
        <v>0</v>
      </c>
      <c r="AG5167" s="182" t="n">
        <v>0</v>
      </c>
      <c r="AH5167" s="182" t="n">
        <v>0</v>
      </c>
      <c r="AI5167" s="182" t="n">
        <v>0</v>
      </c>
      <c r="AJ5167" s="182" t="n">
        <v>0</v>
      </c>
      <c r="AK5167" s="182" t="n">
        <v>1.92</v>
      </c>
      <c r="AL5167" s="182" t="n">
        <v>0</v>
      </c>
      <c r="AM5167" s="182" t="n">
        <v>0.08</v>
      </c>
      <c r="AN5167" s="182" t="n">
        <v>0</v>
      </c>
    </row>
    <row r="5168">
      <c r="A5168" s="155" t="n">
        <v>46105</v>
      </c>
      <c r="B5168" s="156" t="inlineStr">
        <is>
          <t>DS</t>
        </is>
      </c>
      <c r="C5168" s="156" t="inlineStr">
        <is>
          <t>WL-023</t>
        </is>
      </c>
      <c r="D5168" s="156" t="inlineStr">
        <is>
          <t>SANY - Loader</t>
        </is>
      </c>
      <c r="E5168" s="156" t="inlineStr">
        <is>
          <t>Loader</t>
        </is>
      </c>
      <c r="F5168" s="156" t="inlineStr">
        <is>
          <t>Trimming Coal di Jetty</t>
        </is>
      </c>
      <c r="G5168" s="182" t="n">
        <v>5.37</v>
      </c>
      <c r="H5168" s="182" t="n">
        <v>0</v>
      </c>
      <c r="I5168" s="182" t="n">
        <v>2.42</v>
      </c>
      <c r="J5168" s="182" t="n">
        <v>2.42</v>
      </c>
      <c r="K5168" s="182" t="n">
        <v>4.21</v>
      </c>
      <c r="L5168" s="182" t="n">
        <v>12</v>
      </c>
      <c r="M5168" s="182" t="n">
        <v>0</v>
      </c>
      <c r="N5168" s="182" t="n">
        <v>0</v>
      </c>
      <c r="O5168" s="183" t="n">
        <v>0</v>
      </c>
      <c r="P5168" s="183" t="n">
        <v>0</v>
      </c>
      <c r="Q5168" s="184" t="n">
        <v>0</v>
      </c>
      <c r="R5168" s="184" t="n">
        <v>0</v>
      </c>
      <c r="S5168" s="183" t="n">
        <v>0</v>
      </c>
      <c r="T5168" s="183" t="n">
        <v>0</v>
      </c>
      <c r="U5168" s="182" t="n">
        <v>0</v>
      </c>
      <c r="V5168" s="182" t="n">
        <v>0</v>
      </c>
      <c r="W5168" s="182" t="n">
        <v>0</v>
      </c>
      <c r="X5168" s="182" t="n">
        <v>1.06</v>
      </c>
      <c r="Y5168" s="182" t="n">
        <v>0</v>
      </c>
      <c r="Z5168" s="182" t="n">
        <v>0</v>
      </c>
      <c r="AA5168" s="182" t="n">
        <v>0</v>
      </c>
      <c r="AB5168" s="182" t="n">
        <v>0</v>
      </c>
      <c r="AC5168" s="182" t="n">
        <v>0</v>
      </c>
      <c r="AD5168" s="182" t="n">
        <v>0</v>
      </c>
      <c r="AE5168" s="182" t="n">
        <v>0</v>
      </c>
      <c r="AF5168" s="182" t="n">
        <v>0</v>
      </c>
      <c r="AG5168" s="182" t="n">
        <v>0</v>
      </c>
      <c r="AH5168" s="182" t="n">
        <v>0</v>
      </c>
      <c r="AI5168" s="182" t="n">
        <v>0</v>
      </c>
      <c r="AJ5168" s="182" t="n">
        <v>0</v>
      </c>
      <c r="AK5168" s="182" t="n">
        <v>3.07</v>
      </c>
      <c r="AL5168" s="182" t="n">
        <v>0</v>
      </c>
      <c r="AM5168" s="182" t="n">
        <v>0.08</v>
      </c>
      <c r="AN5168" s="182" t="n">
        <v>0</v>
      </c>
    </row>
    <row r="5169">
      <c r="A5169" s="155" t="n">
        <v>46105</v>
      </c>
      <c r="B5169" s="156" t="inlineStr">
        <is>
          <t>DS</t>
        </is>
      </c>
      <c r="C5169" s="156" t="inlineStr">
        <is>
          <t>WL-021</t>
        </is>
      </c>
      <c r="D5169" s="156" t="inlineStr">
        <is>
          <t>SANY - Loader</t>
        </is>
      </c>
      <c r="E5169" s="156" t="inlineStr">
        <is>
          <t>Loader</t>
        </is>
      </c>
      <c r="F5169" s="156" t="inlineStr"/>
      <c r="G5169" s="182" t="n">
        <v>0</v>
      </c>
      <c r="H5169" s="182" t="n">
        <v>0</v>
      </c>
      <c r="I5169" s="182" t="n">
        <v>12</v>
      </c>
      <c r="J5169" s="182" t="n">
        <v>12</v>
      </c>
      <c r="K5169" s="182" t="n">
        <v>0</v>
      </c>
      <c r="L5169" s="182" t="n">
        <v>12</v>
      </c>
      <c r="M5169" s="182" t="n">
        <v>0</v>
      </c>
      <c r="N5169" s="182" t="n">
        <v>0</v>
      </c>
      <c r="O5169" s="183" t="n">
        <v>0</v>
      </c>
      <c r="P5169" s="183" t="n">
        <v>0</v>
      </c>
      <c r="Q5169" s="184" t="n">
        <v>0</v>
      </c>
      <c r="R5169" s="184" t="n">
        <v>0</v>
      </c>
      <c r="S5169" s="183" t="n">
        <v>0</v>
      </c>
      <c r="T5169" s="183" t="n">
        <v>0</v>
      </c>
      <c r="U5169" s="182" t="n">
        <v>0</v>
      </c>
      <c r="V5169" s="182" t="n">
        <v>0</v>
      </c>
      <c r="W5169" s="182" t="n">
        <v>0</v>
      </c>
      <c r="X5169" s="182" t="n">
        <v>0</v>
      </c>
      <c r="Y5169" s="182" t="n">
        <v>0</v>
      </c>
      <c r="Z5169" s="182" t="n">
        <v>0</v>
      </c>
      <c r="AA5169" s="182" t="n">
        <v>0</v>
      </c>
      <c r="AB5169" s="182" t="n">
        <v>0</v>
      </c>
      <c r="AC5169" s="182" t="n">
        <v>0</v>
      </c>
      <c r="AD5169" s="182" t="n">
        <v>0</v>
      </c>
      <c r="AE5169" s="182" t="n">
        <v>0</v>
      </c>
      <c r="AF5169" s="182" t="n">
        <v>0</v>
      </c>
      <c r="AG5169" s="182" t="n">
        <v>0</v>
      </c>
      <c r="AH5169" s="182" t="n">
        <v>0</v>
      </c>
      <c r="AI5169" s="182" t="n">
        <v>0</v>
      </c>
      <c r="AJ5169" s="182" t="n">
        <v>0</v>
      </c>
      <c r="AK5169" s="182" t="n">
        <v>0</v>
      </c>
      <c r="AL5169" s="182" t="n">
        <v>0</v>
      </c>
      <c r="AM5169" s="182" t="n">
        <v>0</v>
      </c>
      <c r="AN5169" s="182" t="n">
        <v>0</v>
      </c>
    </row>
    <row r="5170">
      <c r="A5170" s="155" t="n">
        <v>46105</v>
      </c>
      <c r="B5170" s="156" t="inlineStr">
        <is>
          <t>DS</t>
        </is>
      </c>
      <c r="C5170" s="156" t="inlineStr">
        <is>
          <t>WL-022</t>
        </is>
      </c>
      <c r="D5170" s="156" t="inlineStr">
        <is>
          <t>SANY - Loader</t>
        </is>
      </c>
      <c r="E5170" s="156" t="inlineStr">
        <is>
          <t>Loader</t>
        </is>
      </c>
      <c r="F5170" s="156" t="inlineStr">
        <is>
          <t>Trimmig Coal di ROM</t>
        </is>
      </c>
      <c r="G5170" s="182" t="n">
        <v>11.19</v>
      </c>
      <c r="H5170" s="182" t="n">
        <v>0</v>
      </c>
      <c r="I5170" s="182" t="n">
        <v>0</v>
      </c>
      <c r="J5170" s="182" t="n">
        <v>0</v>
      </c>
      <c r="K5170" s="182" t="n">
        <v>0.8100000000000001</v>
      </c>
      <c r="L5170" s="182" t="n">
        <v>12</v>
      </c>
      <c r="M5170" s="182" t="n">
        <v>0</v>
      </c>
      <c r="N5170" s="182" t="n">
        <v>0</v>
      </c>
      <c r="O5170" s="183" t="n">
        <v>0</v>
      </c>
      <c r="P5170" s="183" t="n">
        <v>0</v>
      </c>
      <c r="Q5170" s="184" t="n">
        <v>0</v>
      </c>
      <c r="R5170" s="184" t="n">
        <v>0</v>
      </c>
      <c r="S5170" s="183" t="n">
        <v>0</v>
      </c>
      <c r="T5170" s="183" t="n">
        <v>0</v>
      </c>
      <c r="U5170" s="182" t="n">
        <v>0</v>
      </c>
      <c r="V5170" s="182" t="n">
        <v>0</v>
      </c>
      <c r="W5170" s="182" t="n">
        <v>0</v>
      </c>
      <c r="X5170" s="182" t="n">
        <v>0.68</v>
      </c>
      <c r="Y5170" s="182" t="n">
        <v>0</v>
      </c>
      <c r="Z5170" s="182" t="n">
        <v>0</v>
      </c>
      <c r="AA5170" s="182" t="n">
        <v>0</v>
      </c>
      <c r="AB5170" s="182" t="n">
        <v>0</v>
      </c>
      <c r="AC5170" s="182" t="n">
        <v>0</v>
      </c>
      <c r="AD5170" s="182" t="n">
        <v>0</v>
      </c>
      <c r="AE5170" s="182" t="n">
        <v>0</v>
      </c>
      <c r="AF5170" s="182" t="n">
        <v>0</v>
      </c>
      <c r="AG5170" s="182" t="n">
        <v>0</v>
      </c>
      <c r="AH5170" s="182" t="n">
        <v>0.08</v>
      </c>
      <c r="AI5170" s="182" t="n">
        <v>0</v>
      </c>
      <c r="AJ5170" s="182" t="n">
        <v>0</v>
      </c>
      <c r="AK5170" s="182" t="n">
        <v>0</v>
      </c>
      <c r="AL5170" s="182" t="n">
        <v>0</v>
      </c>
      <c r="AM5170" s="182" t="n">
        <v>0.05</v>
      </c>
      <c r="AN5170" s="182" t="n">
        <v>0</v>
      </c>
    </row>
    <row r="5171">
      <c r="A5171" s="155" t="n">
        <v>46105</v>
      </c>
      <c r="B5171" s="156" t="inlineStr">
        <is>
          <t>DS</t>
        </is>
      </c>
      <c r="C5171" s="156" t="inlineStr">
        <is>
          <t>WL-024</t>
        </is>
      </c>
      <c r="D5171" s="156" t="inlineStr">
        <is>
          <t>SANY - Loader</t>
        </is>
      </c>
      <c r="E5171" s="156" t="inlineStr">
        <is>
          <t>Loader</t>
        </is>
      </c>
      <c r="F5171" s="156" t="inlineStr">
        <is>
          <t>Trimmig Coal di Washing Plant</t>
        </is>
      </c>
      <c r="G5171" s="182" t="n">
        <v>10.62</v>
      </c>
      <c r="H5171" s="182" t="n">
        <v>0</v>
      </c>
      <c r="I5171" s="182" t="n">
        <v>0</v>
      </c>
      <c r="J5171" s="182" t="n">
        <v>0</v>
      </c>
      <c r="K5171" s="182" t="n">
        <v>1.38</v>
      </c>
      <c r="L5171" s="182" t="n">
        <v>12</v>
      </c>
      <c r="M5171" s="182" t="n">
        <v>0</v>
      </c>
      <c r="N5171" s="182" t="n">
        <v>0</v>
      </c>
      <c r="O5171" s="183" t="n">
        <v>0</v>
      </c>
      <c r="P5171" s="183" t="n">
        <v>0</v>
      </c>
      <c r="Q5171" s="184" t="n">
        <v>0</v>
      </c>
      <c r="R5171" s="184" t="n">
        <v>0</v>
      </c>
      <c r="S5171" s="183" t="n">
        <v>0</v>
      </c>
      <c r="T5171" s="183" t="n">
        <v>0</v>
      </c>
      <c r="U5171" s="182" t="n">
        <v>0</v>
      </c>
      <c r="V5171" s="182" t="n">
        <v>0</v>
      </c>
      <c r="W5171" s="182" t="n">
        <v>0</v>
      </c>
      <c r="X5171" s="182" t="n">
        <v>0.99</v>
      </c>
      <c r="Y5171" s="182" t="n">
        <v>0</v>
      </c>
      <c r="Z5171" s="182" t="n">
        <v>0</v>
      </c>
      <c r="AA5171" s="182" t="n">
        <v>0</v>
      </c>
      <c r="AB5171" s="182" t="n">
        <v>0</v>
      </c>
      <c r="AC5171" s="182" t="n">
        <v>0</v>
      </c>
      <c r="AD5171" s="182" t="n">
        <v>0</v>
      </c>
      <c r="AE5171" s="182" t="n">
        <v>0</v>
      </c>
      <c r="AF5171" s="182" t="n">
        <v>0</v>
      </c>
      <c r="AG5171" s="182" t="n">
        <v>0</v>
      </c>
      <c r="AH5171" s="182" t="n">
        <v>0.32</v>
      </c>
      <c r="AI5171" s="182" t="n">
        <v>0</v>
      </c>
      <c r="AJ5171" s="182" t="n">
        <v>0</v>
      </c>
      <c r="AK5171" s="182" t="n">
        <v>0</v>
      </c>
      <c r="AL5171" s="182" t="n">
        <v>0</v>
      </c>
      <c r="AM5171" s="182" t="n">
        <v>0.08</v>
      </c>
      <c r="AN5171" s="182" t="n">
        <v>0</v>
      </c>
    </row>
    <row r="5172">
      <c r="A5172" s="155" t="n">
        <v>46105</v>
      </c>
      <c r="B5172" s="156" t="inlineStr">
        <is>
          <t>NS</t>
        </is>
      </c>
      <c r="C5172" s="156" t="inlineStr">
        <is>
          <t>DZ-034</t>
        </is>
      </c>
      <c r="D5172" s="156" t="inlineStr">
        <is>
          <t>D 68ESS-12EO</t>
        </is>
      </c>
      <c r="E5172" s="156" t="inlineStr">
        <is>
          <t>Bulldozer</t>
        </is>
      </c>
      <c r="F5172" s="156" t="inlineStr"/>
      <c r="G5172" s="182" t="n">
        <v>0</v>
      </c>
      <c r="H5172" s="182" t="n">
        <v>0</v>
      </c>
      <c r="I5172" s="182" t="n">
        <v>12</v>
      </c>
      <c r="J5172" s="182" t="n">
        <v>12</v>
      </c>
      <c r="K5172" s="182" t="n">
        <v>0</v>
      </c>
      <c r="L5172" s="182" t="n">
        <v>12</v>
      </c>
      <c r="M5172" s="182" t="n">
        <v>0</v>
      </c>
      <c r="N5172" s="182" t="n">
        <v>0</v>
      </c>
      <c r="O5172" s="183" t="n">
        <v>0</v>
      </c>
      <c r="P5172" s="183" t="n">
        <v>0</v>
      </c>
      <c r="Q5172" s="184" t="n">
        <v>0</v>
      </c>
      <c r="R5172" s="184" t="n">
        <v>0</v>
      </c>
      <c r="S5172" s="183" t="n">
        <v>0</v>
      </c>
      <c r="T5172" s="183" t="n">
        <v>0</v>
      </c>
      <c r="U5172" s="182" t="n">
        <v>0</v>
      </c>
      <c r="V5172" s="182" t="n">
        <v>0</v>
      </c>
      <c r="W5172" s="182" t="n">
        <v>0</v>
      </c>
      <c r="X5172" s="182" t="n">
        <v>0</v>
      </c>
      <c r="Y5172" s="182" t="n">
        <v>0</v>
      </c>
      <c r="Z5172" s="182" t="n">
        <v>0</v>
      </c>
      <c r="AA5172" s="182" t="n">
        <v>0</v>
      </c>
      <c r="AB5172" s="182" t="n">
        <v>0</v>
      </c>
      <c r="AC5172" s="182" t="n">
        <v>0</v>
      </c>
      <c r="AD5172" s="182" t="n">
        <v>0</v>
      </c>
      <c r="AE5172" s="182" t="n">
        <v>0</v>
      </c>
      <c r="AF5172" s="182" t="n">
        <v>0</v>
      </c>
      <c r="AG5172" s="182" t="n">
        <v>0</v>
      </c>
      <c r="AH5172" s="182" t="n">
        <v>0</v>
      </c>
      <c r="AI5172" s="182" t="n">
        <v>0</v>
      </c>
      <c r="AJ5172" s="182" t="n">
        <v>0</v>
      </c>
      <c r="AK5172" s="182" t="n">
        <v>0</v>
      </c>
      <c r="AL5172" s="182" t="n">
        <v>0</v>
      </c>
      <c r="AM5172" s="182" t="n">
        <v>0</v>
      </c>
      <c r="AN5172" s="182" t="n">
        <v>0</v>
      </c>
    </row>
    <row r="5173">
      <c r="A5173" s="155" t="n">
        <v>46105</v>
      </c>
      <c r="B5173" s="156" t="inlineStr">
        <is>
          <t>NS</t>
        </is>
      </c>
      <c r="C5173" s="156" t="inlineStr">
        <is>
          <t>DZ-033</t>
        </is>
      </c>
      <c r="D5173" s="156" t="inlineStr">
        <is>
          <t>D 375A-6R</t>
        </is>
      </c>
      <c r="E5173" s="156" t="inlineStr">
        <is>
          <t>Bulldozer</t>
        </is>
      </c>
      <c r="F5173" s="156" t="inlineStr">
        <is>
          <t>Support Disposal</t>
        </is>
      </c>
      <c r="G5173" s="182" t="n">
        <v>7.17</v>
      </c>
      <c r="H5173" s="182" t="n">
        <v>0</v>
      </c>
      <c r="I5173" s="182" t="n">
        <v>0.37</v>
      </c>
      <c r="J5173" s="182" t="n">
        <v>0.37</v>
      </c>
      <c r="K5173" s="182" t="n">
        <v>4.46</v>
      </c>
      <c r="L5173" s="182" t="n">
        <v>12</v>
      </c>
      <c r="M5173" s="182" t="n">
        <v>0</v>
      </c>
      <c r="N5173" s="182" t="n">
        <v>0</v>
      </c>
      <c r="O5173" s="183" t="n">
        <v>0</v>
      </c>
      <c r="P5173" s="183" t="n">
        <v>0</v>
      </c>
      <c r="Q5173" s="184" t="n">
        <v>0</v>
      </c>
      <c r="R5173" s="184" t="n">
        <v>0</v>
      </c>
      <c r="S5173" s="183" t="n">
        <v>0</v>
      </c>
      <c r="T5173" s="183" t="n">
        <v>0</v>
      </c>
      <c r="U5173" s="182" t="n">
        <v>0</v>
      </c>
      <c r="V5173" s="182" t="n">
        <v>0</v>
      </c>
      <c r="W5173" s="182" t="n">
        <v>0</v>
      </c>
      <c r="X5173" s="182" t="n">
        <v>0.96</v>
      </c>
      <c r="Y5173" s="182" t="n">
        <v>0</v>
      </c>
      <c r="Z5173" s="182" t="n">
        <v>0</v>
      </c>
      <c r="AA5173" s="182" t="n">
        <v>0</v>
      </c>
      <c r="AB5173" s="182" t="n">
        <v>0</v>
      </c>
      <c r="AC5173" s="182" t="n">
        <v>0</v>
      </c>
      <c r="AD5173" s="182" t="n">
        <v>0</v>
      </c>
      <c r="AE5173" s="182" t="n">
        <v>0</v>
      </c>
      <c r="AF5173" s="182" t="n">
        <v>0</v>
      </c>
      <c r="AG5173" s="182" t="n">
        <v>0</v>
      </c>
      <c r="AH5173" s="182" t="n">
        <v>0</v>
      </c>
      <c r="AI5173" s="182" t="n">
        <v>0</v>
      </c>
      <c r="AJ5173" s="182" t="n">
        <v>0</v>
      </c>
      <c r="AK5173" s="182" t="n">
        <v>3.42</v>
      </c>
      <c r="AL5173" s="182" t="n">
        <v>0</v>
      </c>
      <c r="AM5173" s="182" t="n">
        <v>0.08</v>
      </c>
      <c r="AN5173" s="182" t="n">
        <v>0</v>
      </c>
    </row>
    <row r="5174">
      <c r="A5174" s="155" t="n">
        <v>46105</v>
      </c>
      <c r="B5174" s="156" t="inlineStr">
        <is>
          <t>NS</t>
        </is>
      </c>
      <c r="C5174" s="156" t="inlineStr">
        <is>
          <t>DZ-038</t>
        </is>
      </c>
      <c r="D5174" s="156" t="inlineStr">
        <is>
          <t>D 85 ESS-2</t>
        </is>
      </c>
      <c r="E5174" s="156" t="inlineStr">
        <is>
          <t>Bulldozer</t>
        </is>
      </c>
      <c r="F5174" s="156" t="inlineStr"/>
      <c r="G5174" s="182" t="n">
        <v>0</v>
      </c>
      <c r="H5174" s="182" t="n">
        <v>0</v>
      </c>
      <c r="I5174" s="182" t="n">
        <v>12</v>
      </c>
      <c r="J5174" s="182" t="n">
        <v>12</v>
      </c>
      <c r="K5174" s="182" t="n">
        <v>0</v>
      </c>
      <c r="L5174" s="182" t="n">
        <v>12</v>
      </c>
      <c r="M5174" s="182" t="n">
        <v>0</v>
      </c>
      <c r="N5174" s="182" t="n">
        <v>0</v>
      </c>
      <c r="O5174" s="183" t="n">
        <v>0</v>
      </c>
      <c r="P5174" s="183" t="n">
        <v>0</v>
      </c>
      <c r="Q5174" s="184" t="n">
        <v>0</v>
      </c>
      <c r="R5174" s="184" t="n">
        <v>0</v>
      </c>
      <c r="S5174" s="183" t="n">
        <v>0</v>
      </c>
      <c r="T5174" s="183" t="n">
        <v>0</v>
      </c>
      <c r="U5174" s="182" t="n">
        <v>0</v>
      </c>
      <c r="V5174" s="182" t="n">
        <v>0</v>
      </c>
      <c r="W5174" s="182" t="n">
        <v>0</v>
      </c>
      <c r="X5174" s="182" t="n">
        <v>0</v>
      </c>
      <c r="Y5174" s="182" t="n">
        <v>0</v>
      </c>
      <c r="Z5174" s="182" t="n">
        <v>0</v>
      </c>
      <c r="AA5174" s="182" t="n">
        <v>0</v>
      </c>
      <c r="AB5174" s="182" t="n">
        <v>0</v>
      </c>
      <c r="AC5174" s="182" t="n">
        <v>0</v>
      </c>
      <c r="AD5174" s="182" t="n">
        <v>0</v>
      </c>
      <c r="AE5174" s="182" t="n">
        <v>0</v>
      </c>
      <c r="AF5174" s="182" t="n">
        <v>0</v>
      </c>
      <c r="AG5174" s="182" t="n">
        <v>0</v>
      </c>
      <c r="AH5174" s="182" t="n">
        <v>0</v>
      </c>
      <c r="AI5174" s="182" t="n">
        <v>0</v>
      </c>
      <c r="AJ5174" s="182" t="n">
        <v>0</v>
      </c>
      <c r="AK5174" s="182" t="n">
        <v>0</v>
      </c>
      <c r="AL5174" s="182" t="n">
        <v>0</v>
      </c>
      <c r="AM5174" s="182" t="n">
        <v>0</v>
      </c>
      <c r="AN5174" s="182" t="n">
        <v>0</v>
      </c>
    </row>
    <row r="5175">
      <c r="A5175" s="155" t="n">
        <v>46105</v>
      </c>
      <c r="B5175" s="156" t="inlineStr">
        <is>
          <t>NS</t>
        </is>
      </c>
      <c r="C5175" s="156" t="inlineStr">
        <is>
          <t>DZ-039</t>
        </is>
      </c>
      <c r="D5175" s="156" t="inlineStr">
        <is>
          <t>D 85 ESS-2</t>
        </is>
      </c>
      <c r="E5175" s="156" t="inlineStr">
        <is>
          <t>Bulldozer</t>
        </is>
      </c>
      <c r="F5175" s="156" t="inlineStr">
        <is>
          <t>Support Disposal</t>
        </is>
      </c>
      <c r="G5175" s="182" t="n">
        <v>10.58</v>
      </c>
      <c r="H5175" s="182" t="n">
        <v>0</v>
      </c>
      <c r="I5175" s="182" t="n">
        <v>0</v>
      </c>
      <c r="J5175" s="182" t="n">
        <v>0</v>
      </c>
      <c r="K5175" s="182" t="n">
        <v>1.42</v>
      </c>
      <c r="L5175" s="182" t="n">
        <v>12</v>
      </c>
      <c r="M5175" s="182" t="n">
        <v>0</v>
      </c>
      <c r="N5175" s="182" t="n">
        <v>0</v>
      </c>
      <c r="O5175" s="183" t="n">
        <v>0</v>
      </c>
      <c r="P5175" s="183" t="n">
        <v>0</v>
      </c>
      <c r="Q5175" s="184" t="n">
        <v>0</v>
      </c>
      <c r="R5175" s="184" t="n">
        <v>0</v>
      </c>
      <c r="S5175" s="183" t="n">
        <v>0</v>
      </c>
      <c r="T5175" s="183" t="n">
        <v>0</v>
      </c>
      <c r="U5175" s="182" t="n">
        <v>0</v>
      </c>
      <c r="V5175" s="182" t="n">
        <v>0</v>
      </c>
      <c r="W5175" s="182" t="n">
        <v>0</v>
      </c>
      <c r="X5175" s="182" t="n">
        <v>0.95</v>
      </c>
      <c r="Y5175" s="182" t="n">
        <v>0</v>
      </c>
      <c r="Z5175" s="182" t="n">
        <v>0</v>
      </c>
      <c r="AA5175" s="182" t="n">
        <v>0</v>
      </c>
      <c r="AB5175" s="182" t="n">
        <v>0</v>
      </c>
      <c r="AC5175" s="182" t="n">
        <v>0</v>
      </c>
      <c r="AD5175" s="182" t="n">
        <v>0</v>
      </c>
      <c r="AE5175" s="182" t="n">
        <v>0</v>
      </c>
      <c r="AF5175" s="182" t="n">
        <v>0</v>
      </c>
      <c r="AG5175" s="182" t="n">
        <v>0</v>
      </c>
      <c r="AH5175" s="182" t="n">
        <v>0.4</v>
      </c>
      <c r="AI5175" s="182" t="n">
        <v>0</v>
      </c>
      <c r="AJ5175" s="182" t="n">
        <v>0</v>
      </c>
      <c r="AK5175" s="182" t="n">
        <v>0</v>
      </c>
      <c r="AL5175" s="182" t="n">
        <v>0</v>
      </c>
      <c r="AM5175" s="182" t="n">
        <v>0.08</v>
      </c>
      <c r="AN5175" s="182" t="n">
        <v>0</v>
      </c>
    </row>
    <row r="5176">
      <c r="A5176" s="155" t="n">
        <v>46105</v>
      </c>
      <c r="B5176" s="156" t="inlineStr">
        <is>
          <t>NS</t>
        </is>
      </c>
      <c r="C5176" s="156" t="inlineStr">
        <is>
          <t>DZ-032</t>
        </is>
      </c>
      <c r="D5176" s="156" t="inlineStr">
        <is>
          <t>CAT</t>
        </is>
      </c>
      <c r="E5176" s="156" t="inlineStr">
        <is>
          <t>Bulldozer</t>
        </is>
      </c>
      <c r="F5176" s="156" t="inlineStr"/>
      <c r="G5176" s="182" t="n">
        <v>0</v>
      </c>
      <c r="H5176" s="182" t="n">
        <v>0</v>
      </c>
      <c r="I5176" s="182" t="n">
        <v>12</v>
      </c>
      <c r="J5176" s="182" t="n">
        <v>12</v>
      </c>
      <c r="K5176" s="182" t="n">
        <v>0</v>
      </c>
      <c r="L5176" s="182" t="n">
        <v>12</v>
      </c>
      <c r="M5176" s="182" t="n">
        <v>0</v>
      </c>
      <c r="N5176" s="182" t="n">
        <v>0</v>
      </c>
      <c r="O5176" s="183" t="n">
        <v>0</v>
      </c>
      <c r="P5176" s="183" t="n">
        <v>0</v>
      </c>
      <c r="Q5176" s="184" t="n">
        <v>0</v>
      </c>
      <c r="R5176" s="184" t="n">
        <v>0</v>
      </c>
      <c r="S5176" s="183" t="n">
        <v>0</v>
      </c>
      <c r="T5176" s="183" t="n">
        <v>0</v>
      </c>
      <c r="U5176" s="182" t="n">
        <v>0</v>
      </c>
      <c r="V5176" s="182" t="n">
        <v>0</v>
      </c>
      <c r="W5176" s="182" t="n">
        <v>0</v>
      </c>
      <c r="X5176" s="182" t="n">
        <v>0</v>
      </c>
      <c r="Y5176" s="182" t="n">
        <v>0</v>
      </c>
      <c r="Z5176" s="182" t="n">
        <v>0</v>
      </c>
      <c r="AA5176" s="182" t="n">
        <v>0</v>
      </c>
      <c r="AB5176" s="182" t="n">
        <v>0</v>
      </c>
      <c r="AC5176" s="182" t="n">
        <v>0</v>
      </c>
      <c r="AD5176" s="182" t="n">
        <v>0</v>
      </c>
      <c r="AE5176" s="182" t="n">
        <v>0</v>
      </c>
      <c r="AF5176" s="182" t="n">
        <v>0</v>
      </c>
      <c r="AG5176" s="182" t="n">
        <v>0</v>
      </c>
      <c r="AH5176" s="182" t="n">
        <v>0</v>
      </c>
      <c r="AI5176" s="182" t="n">
        <v>0</v>
      </c>
      <c r="AJ5176" s="182" t="n">
        <v>0</v>
      </c>
      <c r="AK5176" s="182" t="n">
        <v>0</v>
      </c>
      <c r="AL5176" s="182" t="n">
        <v>0</v>
      </c>
      <c r="AM5176" s="182" t="n">
        <v>0</v>
      </c>
      <c r="AN5176" s="182" t="n">
        <v>0</v>
      </c>
    </row>
    <row r="5177">
      <c r="A5177" s="155" t="n">
        <v>46105</v>
      </c>
      <c r="B5177" s="156" t="inlineStr">
        <is>
          <t>NS</t>
        </is>
      </c>
      <c r="C5177" s="156" t="inlineStr">
        <is>
          <t>DZ-031</t>
        </is>
      </c>
      <c r="D5177" s="156" t="inlineStr">
        <is>
          <t>CAT</t>
        </is>
      </c>
      <c r="E5177" s="156" t="inlineStr">
        <is>
          <t>Bulldozer</t>
        </is>
      </c>
      <c r="F5177" s="156" t="inlineStr">
        <is>
          <t>Support Front Loading</t>
        </is>
      </c>
      <c r="G5177" s="182" t="n">
        <v>11.25</v>
      </c>
      <c r="H5177" s="182" t="n">
        <v>0</v>
      </c>
      <c r="I5177" s="182" t="n">
        <v>0.75</v>
      </c>
      <c r="J5177" s="182" t="n">
        <v>0.75</v>
      </c>
      <c r="K5177" s="182" t="n">
        <v>0</v>
      </c>
      <c r="L5177" s="182" t="n">
        <v>12</v>
      </c>
      <c r="M5177" s="182" t="n">
        <v>0</v>
      </c>
      <c r="N5177" s="182" t="n">
        <v>0</v>
      </c>
      <c r="O5177" s="183" t="n">
        <v>0</v>
      </c>
      <c r="P5177" s="183" t="n">
        <v>0</v>
      </c>
      <c r="Q5177" s="184" t="n">
        <v>0</v>
      </c>
      <c r="R5177" s="184" t="n">
        <v>0</v>
      </c>
      <c r="S5177" s="183" t="n">
        <v>0</v>
      </c>
      <c r="T5177" s="183" t="n">
        <v>0</v>
      </c>
      <c r="U5177" s="182" t="n">
        <v>0</v>
      </c>
      <c r="V5177" s="182" t="n">
        <v>0</v>
      </c>
      <c r="W5177" s="182" t="n">
        <v>0</v>
      </c>
      <c r="X5177" s="182" t="n">
        <v>0</v>
      </c>
      <c r="Y5177" s="182" t="n">
        <v>0</v>
      </c>
      <c r="Z5177" s="182" t="n">
        <v>0</v>
      </c>
      <c r="AA5177" s="182" t="n">
        <v>0</v>
      </c>
      <c r="AB5177" s="182" t="n">
        <v>0</v>
      </c>
      <c r="AC5177" s="182" t="n">
        <v>0</v>
      </c>
      <c r="AD5177" s="182" t="n">
        <v>0</v>
      </c>
      <c r="AE5177" s="182" t="n">
        <v>0</v>
      </c>
      <c r="AF5177" s="182" t="n">
        <v>0</v>
      </c>
      <c r="AG5177" s="182" t="n">
        <v>0</v>
      </c>
      <c r="AH5177" s="182" t="n">
        <v>0</v>
      </c>
      <c r="AI5177" s="182" t="n">
        <v>0</v>
      </c>
      <c r="AJ5177" s="182" t="n">
        <v>0</v>
      </c>
      <c r="AK5177" s="182" t="n">
        <v>0</v>
      </c>
      <c r="AL5177" s="182" t="n">
        <v>0</v>
      </c>
      <c r="AM5177" s="182" t="n">
        <v>0</v>
      </c>
      <c r="AN5177" s="182" t="n">
        <v>0</v>
      </c>
    </row>
    <row r="5178">
      <c r="A5178" s="155" t="n">
        <v>46105</v>
      </c>
      <c r="B5178" s="156" t="inlineStr">
        <is>
          <t>NS</t>
        </is>
      </c>
      <c r="C5178" s="156" t="inlineStr">
        <is>
          <t>DZ-037</t>
        </is>
      </c>
      <c r="D5178" s="156" t="inlineStr">
        <is>
          <t>D 85 ESS-2</t>
        </is>
      </c>
      <c r="E5178" s="156" t="inlineStr">
        <is>
          <t>Bulldozer</t>
        </is>
      </c>
      <c r="F5178" s="156" t="inlineStr"/>
      <c r="G5178" s="182" t="n">
        <v>0</v>
      </c>
      <c r="H5178" s="182" t="n">
        <v>0</v>
      </c>
      <c r="I5178" s="182" t="n">
        <v>12</v>
      </c>
      <c r="J5178" s="182" t="n">
        <v>12</v>
      </c>
      <c r="K5178" s="182" t="n">
        <v>0</v>
      </c>
      <c r="L5178" s="182" t="n">
        <v>12</v>
      </c>
      <c r="M5178" s="182" t="n">
        <v>0</v>
      </c>
      <c r="N5178" s="182" t="n">
        <v>0</v>
      </c>
      <c r="O5178" s="183" t="n">
        <v>0</v>
      </c>
      <c r="P5178" s="183" t="n">
        <v>0</v>
      </c>
      <c r="Q5178" s="184" t="n">
        <v>0</v>
      </c>
      <c r="R5178" s="184" t="n">
        <v>0</v>
      </c>
      <c r="S5178" s="183" t="n">
        <v>0</v>
      </c>
      <c r="T5178" s="183" t="n">
        <v>0</v>
      </c>
      <c r="U5178" s="182" t="n">
        <v>0</v>
      </c>
      <c r="V5178" s="182" t="n">
        <v>0</v>
      </c>
      <c r="W5178" s="182" t="n">
        <v>0</v>
      </c>
      <c r="X5178" s="182" t="n">
        <v>0</v>
      </c>
      <c r="Y5178" s="182" t="n">
        <v>0</v>
      </c>
      <c r="Z5178" s="182" t="n">
        <v>0</v>
      </c>
      <c r="AA5178" s="182" t="n">
        <v>0</v>
      </c>
      <c r="AB5178" s="182" t="n">
        <v>0</v>
      </c>
      <c r="AC5178" s="182" t="n">
        <v>0</v>
      </c>
      <c r="AD5178" s="182" t="n">
        <v>0</v>
      </c>
      <c r="AE5178" s="182" t="n">
        <v>0</v>
      </c>
      <c r="AF5178" s="182" t="n">
        <v>0</v>
      </c>
      <c r="AG5178" s="182" t="n">
        <v>0</v>
      </c>
      <c r="AH5178" s="182" t="n">
        <v>0</v>
      </c>
      <c r="AI5178" s="182" t="n">
        <v>0</v>
      </c>
      <c r="AJ5178" s="182" t="n">
        <v>0</v>
      </c>
      <c r="AK5178" s="182" t="n">
        <v>0</v>
      </c>
      <c r="AL5178" s="182" t="n">
        <v>0</v>
      </c>
      <c r="AM5178" s="182" t="n">
        <v>0</v>
      </c>
      <c r="AN5178" s="182" t="n">
        <v>0</v>
      </c>
    </row>
    <row r="5179">
      <c r="A5179" s="155" t="n">
        <v>46105</v>
      </c>
      <c r="B5179" s="156" t="inlineStr">
        <is>
          <t>NS</t>
        </is>
      </c>
      <c r="C5179" s="156" t="inlineStr">
        <is>
          <t>DZ-036</t>
        </is>
      </c>
      <c r="D5179" s="156" t="inlineStr">
        <is>
          <t>D 85 ESS-2</t>
        </is>
      </c>
      <c r="E5179" s="156" t="inlineStr">
        <is>
          <t>Bulldozer</t>
        </is>
      </c>
      <c r="F5179" s="156" t="inlineStr">
        <is>
          <t>Support Jetty</t>
        </is>
      </c>
      <c r="G5179" s="182" t="n">
        <v>6.59</v>
      </c>
      <c r="H5179" s="182" t="n">
        <v>0</v>
      </c>
      <c r="I5179" s="182" t="n">
        <v>0</v>
      </c>
      <c r="J5179" s="182" t="n">
        <v>0</v>
      </c>
      <c r="K5179" s="182" t="n">
        <v>5.41</v>
      </c>
      <c r="L5179" s="182" t="n">
        <v>12</v>
      </c>
      <c r="M5179" s="182" t="n">
        <v>0</v>
      </c>
      <c r="N5179" s="182" t="n">
        <v>0</v>
      </c>
      <c r="O5179" s="183" t="n">
        <v>0</v>
      </c>
      <c r="P5179" s="183" t="n">
        <v>0</v>
      </c>
      <c r="Q5179" s="184" t="n">
        <v>0</v>
      </c>
      <c r="R5179" s="184" t="n">
        <v>0</v>
      </c>
      <c r="S5179" s="183" t="n">
        <v>0</v>
      </c>
      <c r="T5179" s="183" t="n">
        <v>0</v>
      </c>
      <c r="U5179" s="182" t="n">
        <v>0</v>
      </c>
      <c r="V5179" s="182" t="n">
        <v>0</v>
      </c>
      <c r="W5179" s="182" t="n">
        <v>0</v>
      </c>
      <c r="X5179" s="182" t="n">
        <v>0.9</v>
      </c>
      <c r="Y5179" s="182" t="n">
        <v>0</v>
      </c>
      <c r="Z5179" s="182" t="n">
        <v>0</v>
      </c>
      <c r="AA5179" s="182" t="n">
        <v>0</v>
      </c>
      <c r="AB5179" s="182" t="n">
        <v>0</v>
      </c>
      <c r="AC5179" s="182" t="n">
        <v>0</v>
      </c>
      <c r="AD5179" s="182" t="n">
        <v>0</v>
      </c>
      <c r="AE5179" s="182" t="n">
        <v>0</v>
      </c>
      <c r="AF5179" s="182" t="n">
        <v>0</v>
      </c>
      <c r="AG5179" s="182" t="n">
        <v>0</v>
      </c>
      <c r="AH5179" s="182" t="n">
        <v>0</v>
      </c>
      <c r="AI5179" s="182" t="n">
        <v>0</v>
      </c>
      <c r="AJ5179" s="182" t="n">
        <v>0</v>
      </c>
      <c r="AK5179" s="182" t="n">
        <v>4.44</v>
      </c>
      <c r="AL5179" s="182" t="n">
        <v>0</v>
      </c>
      <c r="AM5179" s="182" t="n">
        <v>0.07000000000000001</v>
      </c>
      <c r="AN5179" s="182" t="n">
        <v>0</v>
      </c>
    </row>
    <row r="5180">
      <c r="A5180" s="155" t="n">
        <v>46105</v>
      </c>
      <c r="B5180" s="156" t="inlineStr">
        <is>
          <t>NS</t>
        </is>
      </c>
      <c r="C5180" s="156" t="inlineStr">
        <is>
          <t>DZ-035</t>
        </is>
      </c>
      <c r="D5180" s="156" t="inlineStr">
        <is>
          <t>D 85 ESS-2</t>
        </is>
      </c>
      <c r="E5180" s="156" t="inlineStr">
        <is>
          <t>Bulldozer</t>
        </is>
      </c>
      <c r="F5180" s="156" t="inlineStr">
        <is>
          <t>Support Disposal</t>
        </is>
      </c>
      <c r="G5180" s="182" t="n">
        <v>9.720000000000001</v>
      </c>
      <c r="H5180" s="182" t="n">
        <v>0</v>
      </c>
      <c r="I5180" s="182" t="n">
        <v>0</v>
      </c>
      <c r="J5180" s="182" t="n">
        <v>0</v>
      </c>
      <c r="K5180" s="182" t="n">
        <v>2.28</v>
      </c>
      <c r="L5180" s="182" t="n">
        <v>12</v>
      </c>
      <c r="M5180" s="182" t="n">
        <v>0</v>
      </c>
      <c r="N5180" s="182" t="n">
        <v>0</v>
      </c>
      <c r="O5180" s="183" t="n">
        <v>0</v>
      </c>
      <c r="P5180" s="183" t="n">
        <v>0</v>
      </c>
      <c r="Q5180" s="184" t="n">
        <v>0</v>
      </c>
      <c r="R5180" s="184" t="n">
        <v>0</v>
      </c>
      <c r="S5180" s="183" t="n">
        <v>0</v>
      </c>
      <c r="T5180" s="183" t="n">
        <v>0</v>
      </c>
      <c r="U5180" s="182" t="n">
        <v>0</v>
      </c>
      <c r="V5180" s="182" t="n">
        <v>0</v>
      </c>
      <c r="W5180" s="182" t="n">
        <v>0</v>
      </c>
      <c r="X5180" s="182" t="n">
        <v>1.14</v>
      </c>
      <c r="Y5180" s="182" t="n">
        <v>0</v>
      </c>
      <c r="Z5180" s="182" t="n">
        <v>0</v>
      </c>
      <c r="AA5180" s="182" t="n">
        <v>0</v>
      </c>
      <c r="AB5180" s="182" t="n">
        <v>0</v>
      </c>
      <c r="AC5180" s="182" t="n">
        <v>0</v>
      </c>
      <c r="AD5180" s="182" t="n">
        <v>0</v>
      </c>
      <c r="AE5180" s="182" t="n">
        <v>0</v>
      </c>
      <c r="AF5180" s="182" t="n">
        <v>0</v>
      </c>
      <c r="AG5180" s="182" t="n">
        <v>0</v>
      </c>
      <c r="AH5180" s="182" t="n">
        <v>1.05</v>
      </c>
      <c r="AI5180" s="182" t="n">
        <v>0</v>
      </c>
      <c r="AJ5180" s="182" t="n">
        <v>0</v>
      </c>
      <c r="AK5180" s="182" t="n">
        <v>0</v>
      </c>
      <c r="AL5180" s="182" t="n">
        <v>0</v>
      </c>
      <c r="AM5180" s="182" t="n">
        <v>0.09</v>
      </c>
      <c r="AN5180" s="182" t="n">
        <v>0</v>
      </c>
    </row>
    <row r="5181">
      <c r="A5181" s="155" t="n">
        <v>46105</v>
      </c>
      <c r="B5181" s="156" t="inlineStr">
        <is>
          <t>NS</t>
        </is>
      </c>
      <c r="C5181" s="156" t="inlineStr">
        <is>
          <t>CP-042</t>
        </is>
      </c>
      <c r="D5181" s="156" t="inlineStr">
        <is>
          <t>SANY - Compactor</t>
        </is>
      </c>
      <c r="E5181" s="156" t="inlineStr">
        <is>
          <t>Compactor</t>
        </is>
      </c>
      <c r="F5181" s="156" t="inlineStr"/>
      <c r="G5181" s="182" t="n">
        <v>0</v>
      </c>
      <c r="H5181" s="182" t="n">
        <v>0</v>
      </c>
      <c r="I5181" s="182" t="n">
        <v>0</v>
      </c>
      <c r="J5181" s="182" t="n">
        <v>0</v>
      </c>
      <c r="K5181" s="182" t="n">
        <v>12</v>
      </c>
      <c r="L5181" s="182" t="n">
        <v>12</v>
      </c>
      <c r="M5181" s="182" t="n">
        <v>0</v>
      </c>
      <c r="N5181" s="182" t="n">
        <v>0</v>
      </c>
      <c r="O5181" s="183" t="n">
        <v>0</v>
      </c>
      <c r="P5181" s="183" t="n">
        <v>0</v>
      </c>
      <c r="Q5181" s="184" t="n">
        <v>0</v>
      </c>
      <c r="R5181" s="184" t="n">
        <v>0</v>
      </c>
      <c r="S5181" s="183" t="n">
        <v>0</v>
      </c>
      <c r="T5181" s="183" t="n">
        <v>0</v>
      </c>
      <c r="U5181" s="182" t="n">
        <v>0</v>
      </c>
      <c r="V5181" s="182" t="n">
        <v>0</v>
      </c>
      <c r="W5181" s="182" t="n">
        <v>0</v>
      </c>
      <c r="X5181" s="182" t="n">
        <v>1</v>
      </c>
      <c r="Y5181" s="182" t="n">
        <v>0</v>
      </c>
      <c r="Z5181" s="182" t="n">
        <v>0</v>
      </c>
      <c r="AA5181" s="182" t="n">
        <v>0</v>
      </c>
      <c r="AB5181" s="182" t="n">
        <v>0</v>
      </c>
      <c r="AC5181" s="182" t="n">
        <v>0</v>
      </c>
      <c r="AD5181" s="182" t="n">
        <v>0</v>
      </c>
      <c r="AE5181" s="182" t="n">
        <v>0</v>
      </c>
      <c r="AF5181" s="182" t="n">
        <v>0</v>
      </c>
      <c r="AG5181" s="182" t="n">
        <v>0</v>
      </c>
      <c r="AH5181" s="182" t="n">
        <v>0</v>
      </c>
      <c r="AI5181" s="182" t="n">
        <v>0</v>
      </c>
      <c r="AJ5181" s="182" t="n">
        <v>0</v>
      </c>
      <c r="AK5181" s="182" t="n">
        <v>10.92</v>
      </c>
      <c r="AL5181" s="182" t="n">
        <v>0</v>
      </c>
      <c r="AM5181" s="182" t="n">
        <v>0.08</v>
      </c>
      <c r="AN5181" s="182" t="n">
        <v>0</v>
      </c>
    </row>
    <row r="5182">
      <c r="A5182" s="155" t="n">
        <v>46105</v>
      </c>
      <c r="B5182" s="156" t="inlineStr">
        <is>
          <t>NS</t>
        </is>
      </c>
      <c r="C5182" s="156" t="inlineStr">
        <is>
          <t>CP-041</t>
        </is>
      </c>
      <c r="D5182" s="156" t="inlineStr">
        <is>
          <t>SANY - Compactor</t>
        </is>
      </c>
      <c r="E5182" s="156" t="inlineStr">
        <is>
          <t>Compactor</t>
        </is>
      </c>
      <c r="F5182" s="156" t="inlineStr">
        <is>
          <t>General Road</t>
        </is>
      </c>
      <c r="G5182" s="182" t="n">
        <v>4.76</v>
      </c>
      <c r="H5182" s="182" t="n">
        <v>0</v>
      </c>
      <c r="I5182" s="182" t="n">
        <v>0</v>
      </c>
      <c r="J5182" s="182" t="n">
        <v>0</v>
      </c>
      <c r="K5182" s="182" t="n">
        <v>7.24</v>
      </c>
      <c r="L5182" s="182" t="n">
        <v>12</v>
      </c>
      <c r="M5182" s="182" t="n">
        <v>0</v>
      </c>
      <c r="N5182" s="182" t="n">
        <v>0</v>
      </c>
      <c r="O5182" s="183" t="n">
        <v>0</v>
      </c>
      <c r="P5182" s="183" t="n">
        <v>0</v>
      </c>
      <c r="Q5182" s="184" t="n">
        <v>0</v>
      </c>
      <c r="R5182" s="184" t="n">
        <v>0</v>
      </c>
      <c r="S5182" s="183" t="n">
        <v>0</v>
      </c>
      <c r="T5182" s="183" t="n">
        <v>0</v>
      </c>
      <c r="U5182" s="182" t="n">
        <v>0</v>
      </c>
      <c r="V5182" s="182" t="n">
        <v>0</v>
      </c>
      <c r="W5182" s="182" t="n">
        <v>0</v>
      </c>
      <c r="X5182" s="182" t="n">
        <v>0.97</v>
      </c>
      <c r="Y5182" s="182" t="n">
        <v>0</v>
      </c>
      <c r="Z5182" s="182" t="n">
        <v>0</v>
      </c>
      <c r="AA5182" s="182" t="n">
        <v>0</v>
      </c>
      <c r="AB5182" s="182" t="n">
        <v>0</v>
      </c>
      <c r="AC5182" s="182" t="n">
        <v>0</v>
      </c>
      <c r="AD5182" s="182" t="n">
        <v>0</v>
      </c>
      <c r="AE5182" s="182" t="n">
        <v>0</v>
      </c>
      <c r="AF5182" s="182" t="n">
        <v>0</v>
      </c>
      <c r="AG5182" s="182" t="n">
        <v>0</v>
      </c>
      <c r="AH5182" s="182" t="n">
        <v>0</v>
      </c>
      <c r="AI5182" s="182" t="n">
        <v>0</v>
      </c>
      <c r="AJ5182" s="182" t="n">
        <v>0</v>
      </c>
      <c r="AK5182" s="182" t="n">
        <v>6.2</v>
      </c>
      <c r="AL5182" s="182" t="n">
        <v>0</v>
      </c>
      <c r="AM5182" s="182" t="n">
        <v>0.08</v>
      </c>
      <c r="AN5182" s="182" t="n">
        <v>0</v>
      </c>
    </row>
    <row r="5183">
      <c r="A5183" s="155" t="n">
        <v>46105</v>
      </c>
      <c r="B5183" s="156" t="inlineStr">
        <is>
          <t>NS</t>
        </is>
      </c>
      <c r="C5183" s="156" t="inlineStr">
        <is>
          <t>HT-418</t>
        </is>
      </c>
      <c r="D5183" s="156" t="inlineStr">
        <is>
          <t>SY430</t>
        </is>
      </c>
      <c r="E5183" s="156" t="inlineStr">
        <is>
          <t>DT Hauling</t>
        </is>
      </c>
      <c r="F5183" s="156" t="inlineStr"/>
      <c r="G5183" s="182" t="n">
        <v>0</v>
      </c>
      <c r="H5183" s="182" t="n">
        <v>0</v>
      </c>
      <c r="I5183" s="182" t="n">
        <v>0</v>
      </c>
      <c r="J5183" s="182" t="n">
        <v>0</v>
      </c>
      <c r="K5183" s="182" t="n">
        <v>12</v>
      </c>
      <c r="L5183" s="182" t="n">
        <v>12</v>
      </c>
      <c r="M5183" s="182" t="n">
        <v>0</v>
      </c>
      <c r="N5183" s="182" t="n">
        <v>0</v>
      </c>
      <c r="O5183" s="183" t="n">
        <v>0</v>
      </c>
      <c r="P5183" s="183" t="n">
        <v>0</v>
      </c>
      <c r="Q5183" s="184" t="n">
        <v>0</v>
      </c>
      <c r="R5183" s="184" t="n">
        <v>0</v>
      </c>
      <c r="S5183" s="183" t="n">
        <v>0</v>
      </c>
      <c r="T5183" s="183" t="n">
        <v>0</v>
      </c>
      <c r="U5183" s="182" t="n">
        <v>0</v>
      </c>
      <c r="V5183" s="182" t="n">
        <v>0</v>
      </c>
      <c r="W5183" s="182" t="n">
        <v>0</v>
      </c>
      <c r="X5183" s="182" t="n">
        <v>1</v>
      </c>
      <c r="Y5183" s="182" t="n">
        <v>0</v>
      </c>
      <c r="Z5183" s="182" t="n">
        <v>0</v>
      </c>
      <c r="AA5183" s="182" t="n">
        <v>0</v>
      </c>
      <c r="AB5183" s="182" t="n">
        <v>0</v>
      </c>
      <c r="AC5183" s="182" t="n">
        <v>0</v>
      </c>
      <c r="AD5183" s="182" t="n">
        <v>0</v>
      </c>
      <c r="AE5183" s="182" t="n">
        <v>0</v>
      </c>
      <c r="AF5183" s="182" t="n">
        <v>0</v>
      </c>
      <c r="AG5183" s="182" t="n">
        <v>0</v>
      </c>
      <c r="AH5183" s="182" t="n">
        <v>0</v>
      </c>
      <c r="AI5183" s="182" t="n">
        <v>0</v>
      </c>
      <c r="AJ5183" s="182" t="n">
        <v>0</v>
      </c>
      <c r="AK5183" s="182" t="n">
        <v>10.92</v>
      </c>
      <c r="AL5183" s="182" t="n">
        <v>0</v>
      </c>
      <c r="AM5183" s="182" t="n">
        <v>0.08</v>
      </c>
      <c r="AN5183" s="182" t="n">
        <v>0</v>
      </c>
    </row>
    <row r="5184">
      <c r="A5184" s="155" t="n">
        <v>46105</v>
      </c>
      <c r="B5184" s="156" t="inlineStr">
        <is>
          <t>NS</t>
        </is>
      </c>
      <c r="C5184" s="156" t="inlineStr">
        <is>
          <t>HT-404</t>
        </is>
      </c>
      <c r="D5184" s="156" t="inlineStr">
        <is>
          <t>SY430</t>
        </is>
      </c>
      <c r="E5184" s="156" t="inlineStr">
        <is>
          <t>DT Hauling</t>
        </is>
      </c>
      <c r="F5184" s="156" t="inlineStr"/>
      <c r="G5184" s="182" t="n">
        <v>0</v>
      </c>
      <c r="H5184" s="182" t="n">
        <v>0</v>
      </c>
      <c r="I5184" s="182" t="n">
        <v>0</v>
      </c>
      <c r="J5184" s="182" t="n">
        <v>0</v>
      </c>
      <c r="K5184" s="182" t="n">
        <v>12</v>
      </c>
      <c r="L5184" s="182" t="n">
        <v>12</v>
      </c>
      <c r="M5184" s="182" t="n">
        <v>0</v>
      </c>
      <c r="N5184" s="182" t="n">
        <v>0</v>
      </c>
      <c r="O5184" s="183" t="n">
        <v>0</v>
      </c>
      <c r="P5184" s="183" t="n">
        <v>0</v>
      </c>
      <c r="Q5184" s="184" t="n">
        <v>0</v>
      </c>
      <c r="R5184" s="184" t="n">
        <v>0</v>
      </c>
      <c r="S5184" s="183" t="n">
        <v>0</v>
      </c>
      <c r="T5184" s="183" t="n">
        <v>0</v>
      </c>
      <c r="U5184" s="182" t="n">
        <v>0</v>
      </c>
      <c r="V5184" s="182" t="n">
        <v>0</v>
      </c>
      <c r="W5184" s="182" t="n">
        <v>0</v>
      </c>
      <c r="X5184" s="182" t="n">
        <v>1</v>
      </c>
      <c r="Y5184" s="182" t="n">
        <v>0</v>
      </c>
      <c r="Z5184" s="182" t="n">
        <v>0</v>
      </c>
      <c r="AA5184" s="182" t="n">
        <v>0</v>
      </c>
      <c r="AB5184" s="182" t="n">
        <v>0</v>
      </c>
      <c r="AC5184" s="182" t="n">
        <v>0</v>
      </c>
      <c r="AD5184" s="182" t="n">
        <v>0</v>
      </c>
      <c r="AE5184" s="182" t="n">
        <v>0</v>
      </c>
      <c r="AF5184" s="182" t="n">
        <v>0</v>
      </c>
      <c r="AG5184" s="182" t="n">
        <v>0</v>
      </c>
      <c r="AH5184" s="182" t="n">
        <v>0</v>
      </c>
      <c r="AI5184" s="182" t="n">
        <v>0</v>
      </c>
      <c r="AJ5184" s="182" t="n">
        <v>0</v>
      </c>
      <c r="AK5184" s="182" t="n">
        <v>10.92</v>
      </c>
      <c r="AL5184" s="182" t="n">
        <v>0</v>
      </c>
      <c r="AM5184" s="182" t="n">
        <v>0.08</v>
      </c>
      <c r="AN5184" s="182" t="n">
        <v>0</v>
      </c>
    </row>
    <row r="5185">
      <c r="A5185" s="155" t="n">
        <v>46105</v>
      </c>
      <c r="B5185" s="156" t="inlineStr">
        <is>
          <t>NS</t>
        </is>
      </c>
      <c r="C5185" s="156" t="inlineStr">
        <is>
          <t>HT-415</t>
        </is>
      </c>
      <c r="D5185" s="156" t="inlineStr">
        <is>
          <t>SY430</t>
        </is>
      </c>
      <c r="E5185" s="156" t="inlineStr">
        <is>
          <t>DT Hauling</t>
        </is>
      </c>
      <c r="F5185" s="156" t="inlineStr"/>
      <c r="G5185" s="182" t="n">
        <v>0</v>
      </c>
      <c r="H5185" s="182" t="n">
        <v>0</v>
      </c>
      <c r="I5185" s="182" t="n">
        <v>12</v>
      </c>
      <c r="J5185" s="182" t="n">
        <v>12</v>
      </c>
      <c r="K5185" s="182" t="n">
        <v>0</v>
      </c>
      <c r="L5185" s="182" t="n">
        <v>12</v>
      </c>
      <c r="M5185" s="182" t="n">
        <v>0</v>
      </c>
      <c r="N5185" s="182" t="n">
        <v>0</v>
      </c>
      <c r="O5185" s="183" t="n">
        <v>0</v>
      </c>
      <c r="P5185" s="183" t="n">
        <v>0</v>
      </c>
      <c r="Q5185" s="184" t="n">
        <v>0</v>
      </c>
      <c r="R5185" s="184" t="n">
        <v>0</v>
      </c>
      <c r="S5185" s="183" t="n">
        <v>0</v>
      </c>
      <c r="T5185" s="183" t="n">
        <v>0</v>
      </c>
      <c r="U5185" s="182" t="n">
        <v>0</v>
      </c>
      <c r="V5185" s="182" t="n">
        <v>0</v>
      </c>
      <c r="W5185" s="182" t="n">
        <v>0</v>
      </c>
      <c r="X5185" s="182" t="n">
        <v>0</v>
      </c>
      <c r="Y5185" s="182" t="n">
        <v>0</v>
      </c>
      <c r="Z5185" s="182" t="n">
        <v>0</v>
      </c>
      <c r="AA5185" s="182" t="n">
        <v>0</v>
      </c>
      <c r="AB5185" s="182" t="n">
        <v>0</v>
      </c>
      <c r="AC5185" s="182" t="n">
        <v>0</v>
      </c>
      <c r="AD5185" s="182" t="n">
        <v>0</v>
      </c>
      <c r="AE5185" s="182" t="n">
        <v>0</v>
      </c>
      <c r="AF5185" s="182" t="n">
        <v>0</v>
      </c>
      <c r="AG5185" s="182" t="n">
        <v>0</v>
      </c>
      <c r="AH5185" s="182" t="n">
        <v>0</v>
      </c>
      <c r="AI5185" s="182" t="n">
        <v>0</v>
      </c>
      <c r="AJ5185" s="182" t="n">
        <v>0</v>
      </c>
      <c r="AK5185" s="182" t="n">
        <v>0</v>
      </c>
      <c r="AL5185" s="182" t="n">
        <v>0</v>
      </c>
      <c r="AM5185" s="182" t="n">
        <v>0</v>
      </c>
      <c r="AN5185" s="182" t="n">
        <v>0</v>
      </c>
    </row>
    <row r="5186">
      <c r="A5186" s="155" t="n">
        <v>46105</v>
      </c>
      <c r="B5186" s="156" t="inlineStr">
        <is>
          <t>NS</t>
        </is>
      </c>
      <c r="C5186" s="156" t="inlineStr">
        <is>
          <t>HT-406</t>
        </is>
      </c>
      <c r="D5186" s="156" t="inlineStr">
        <is>
          <t>SY430</t>
        </is>
      </c>
      <c r="E5186" s="156" t="inlineStr">
        <is>
          <t>DT Hauling</t>
        </is>
      </c>
      <c r="F5186" s="156" t="inlineStr"/>
      <c r="G5186" s="182" t="n">
        <v>0</v>
      </c>
      <c r="H5186" s="182" t="n">
        <v>0</v>
      </c>
      <c r="I5186" s="182" t="n">
        <v>12</v>
      </c>
      <c r="J5186" s="182" t="n">
        <v>12</v>
      </c>
      <c r="K5186" s="182" t="n">
        <v>0</v>
      </c>
      <c r="L5186" s="182" t="n">
        <v>12</v>
      </c>
      <c r="M5186" s="182" t="n">
        <v>0</v>
      </c>
      <c r="N5186" s="182" t="n">
        <v>0</v>
      </c>
      <c r="O5186" s="183" t="n">
        <v>0</v>
      </c>
      <c r="P5186" s="183" t="n">
        <v>0</v>
      </c>
      <c r="Q5186" s="184" t="n">
        <v>0</v>
      </c>
      <c r="R5186" s="184" t="n">
        <v>0</v>
      </c>
      <c r="S5186" s="183" t="n">
        <v>0</v>
      </c>
      <c r="T5186" s="183" t="n">
        <v>0</v>
      </c>
      <c r="U5186" s="182" t="n">
        <v>0</v>
      </c>
      <c r="V5186" s="182" t="n">
        <v>0</v>
      </c>
      <c r="W5186" s="182" t="n">
        <v>0</v>
      </c>
      <c r="X5186" s="182" t="n">
        <v>0</v>
      </c>
      <c r="Y5186" s="182" t="n">
        <v>0</v>
      </c>
      <c r="Z5186" s="182" t="n">
        <v>0</v>
      </c>
      <c r="AA5186" s="182" t="n">
        <v>0</v>
      </c>
      <c r="AB5186" s="182" t="n">
        <v>0</v>
      </c>
      <c r="AC5186" s="182" t="n">
        <v>0</v>
      </c>
      <c r="AD5186" s="182" t="n">
        <v>0</v>
      </c>
      <c r="AE5186" s="182" t="n">
        <v>0</v>
      </c>
      <c r="AF5186" s="182" t="n">
        <v>0</v>
      </c>
      <c r="AG5186" s="182" t="n">
        <v>0</v>
      </c>
      <c r="AH5186" s="182" t="n">
        <v>0</v>
      </c>
      <c r="AI5186" s="182" t="n">
        <v>0</v>
      </c>
      <c r="AJ5186" s="182" t="n">
        <v>0</v>
      </c>
      <c r="AK5186" s="182" t="n">
        <v>0</v>
      </c>
      <c r="AL5186" s="182" t="n">
        <v>0</v>
      </c>
      <c r="AM5186" s="182" t="n">
        <v>0</v>
      </c>
      <c r="AN5186" s="182" t="n">
        <v>0</v>
      </c>
    </row>
    <row r="5187">
      <c r="A5187" s="155" t="n">
        <v>46105</v>
      </c>
      <c r="B5187" s="156" t="inlineStr">
        <is>
          <t>NS</t>
        </is>
      </c>
      <c r="C5187" s="156" t="inlineStr">
        <is>
          <t>HT-405</t>
        </is>
      </c>
      <c r="D5187" s="156" t="inlineStr">
        <is>
          <t>SY430</t>
        </is>
      </c>
      <c r="E5187" s="156" t="inlineStr">
        <is>
          <t>DT Hauling</t>
        </is>
      </c>
      <c r="F5187" s="156" t="inlineStr"/>
      <c r="G5187" s="182" t="n">
        <v>0</v>
      </c>
      <c r="H5187" s="182" t="n">
        <v>0</v>
      </c>
      <c r="I5187" s="182" t="n">
        <v>0</v>
      </c>
      <c r="J5187" s="182" t="n">
        <v>0</v>
      </c>
      <c r="K5187" s="182" t="n">
        <v>12</v>
      </c>
      <c r="L5187" s="182" t="n">
        <v>12</v>
      </c>
      <c r="M5187" s="182" t="n">
        <v>0</v>
      </c>
      <c r="N5187" s="182" t="n">
        <v>0</v>
      </c>
      <c r="O5187" s="183" t="n">
        <v>0</v>
      </c>
      <c r="P5187" s="183" t="n">
        <v>0</v>
      </c>
      <c r="Q5187" s="184" t="n">
        <v>0</v>
      </c>
      <c r="R5187" s="184" t="n">
        <v>0</v>
      </c>
      <c r="S5187" s="183" t="n">
        <v>0</v>
      </c>
      <c r="T5187" s="183" t="n">
        <v>0</v>
      </c>
      <c r="U5187" s="182" t="n">
        <v>0</v>
      </c>
      <c r="V5187" s="182" t="n">
        <v>0</v>
      </c>
      <c r="W5187" s="182" t="n">
        <v>0</v>
      </c>
      <c r="X5187" s="182" t="n">
        <v>1</v>
      </c>
      <c r="Y5187" s="182" t="n">
        <v>0</v>
      </c>
      <c r="Z5187" s="182" t="n">
        <v>0</v>
      </c>
      <c r="AA5187" s="182" t="n">
        <v>0</v>
      </c>
      <c r="AB5187" s="182" t="n">
        <v>0</v>
      </c>
      <c r="AC5187" s="182" t="n">
        <v>0</v>
      </c>
      <c r="AD5187" s="182" t="n">
        <v>0</v>
      </c>
      <c r="AE5187" s="182" t="n">
        <v>0</v>
      </c>
      <c r="AF5187" s="182" t="n">
        <v>0</v>
      </c>
      <c r="AG5187" s="182" t="n">
        <v>0</v>
      </c>
      <c r="AH5187" s="182" t="n">
        <v>0</v>
      </c>
      <c r="AI5187" s="182" t="n">
        <v>0</v>
      </c>
      <c r="AJ5187" s="182" t="n">
        <v>0</v>
      </c>
      <c r="AK5187" s="182" t="n">
        <v>10.92</v>
      </c>
      <c r="AL5187" s="182" t="n">
        <v>0</v>
      </c>
      <c r="AM5187" s="182" t="n">
        <v>0.08</v>
      </c>
      <c r="AN5187" s="182" t="n">
        <v>0</v>
      </c>
    </row>
    <row r="5188">
      <c r="A5188" s="155" t="n">
        <v>46105</v>
      </c>
      <c r="B5188" s="156" t="inlineStr">
        <is>
          <t>NS</t>
        </is>
      </c>
      <c r="C5188" s="156" t="inlineStr">
        <is>
          <t>HT-417</t>
        </is>
      </c>
      <c r="D5188" s="156" t="inlineStr">
        <is>
          <t>SY430</t>
        </is>
      </c>
      <c r="E5188" s="156" t="inlineStr">
        <is>
          <t>DT Hauling</t>
        </is>
      </c>
      <c r="F5188" s="156" t="inlineStr"/>
      <c r="G5188" s="182" t="n">
        <v>0</v>
      </c>
      <c r="H5188" s="182" t="n">
        <v>0</v>
      </c>
      <c r="I5188" s="182" t="n">
        <v>0</v>
      </c>
      <c r="J5188" s="182" t="n">
        <v>0</v>
      </c>
      <c r="K5188" s="182" t="n">
        <v>12</v>
      </c>
      <c r="L5188" s="182" t="n">
        <v>12</v>
      </c>
      <c r="M5188" s="182" t="n">
        <v>0</v>
      </c>
      <c r="N5188" s="182" t="n">
        <v>0</v>
      </c>
      <c r="O5188" s="183" t="n">
        <v>0</v>
      </c>
      <c r="P5188" s="183" t="n">
        <v>0</v>
      </c>
      <c r="Q5188" s="184" t="n">
        <v>0</v>
      </c>
      <c r="R5188" s="184" t="n">
        <v>0</v>
      </c>
      <c r="S5188" s="183" t="n">
        <v>0</v>
      </c>
      <c r="T5188" s="183" t="n">
        <v>0</v>
      </c>
      <c r="U5188" s="182" t="n">
        <v>0</v>
      </c>
      <c r="V5188" s="182" t="n">
        <v>0</v>
      </c>
      <c r="W5188" s="182" t="n">
        <v>0</v>
      </c>
      <c r="X5188" s="182" t="n">
        <v>1</v>
      </c>
      <c r="Y5188" s="182" t="n">
        <v>0</v>
      </c>
      <c r="Z5188" s="182" t="n">
        <v>0</v>
      </c>
      <c r="AA5188" s="182" t="n">
        <v>0</v>
      </c>
      <c r="AB5188" s="182" t="n">
        <v>0</v>
      </c>
      <c r="AC5188" s="182" t="n">
        <v>0</v>
      </c>
      <c r="AD5188" s="182" t="n">
        <v>0</v>
      </c>
      <c r="AE5188" s="182" t="n">
        <v>0</v>
      </c>
      <c r="AF5188" s="182" t="n">
        <v>0</v>
      </c>
      <c r="AG5188" s="182" t="n">
        <v>0</v>
      </c>
      <c r="AH5188" s="182" t="n">
        <v>0</v>
      </c>
      <c r="AI5188" s="182" t="n">
        <v>0</v>
      </c>
      <c r="AJ5188" s="182" t="n">
        <v>0</v>
      </c>
      <c r="AK5188" s="182" t="n">
        <v>10.92</v>
      </c>
      <c r="AL5188" s="182" t="n">
        <v>0</v>
      </c>
      <c r="AM5188" s="182" t="n">
        <v>0.08</v>
      </c>
      <c r="AN5188" s="182" t="n">
        <v>0</v>
      </c>
    </row>
    <row r="5189">
      <c r="A5189" s="155" t="n">
        <v>46105</v>
      </c>
      <c r="B5189" s="156" t="inlineStr">
        <is>
          <t>NS</t>
        </is>
      </c>
      <c r="C5189" s="156" t="inlineStr">
        <is>
          <t>HT-401</t>
        </is>
      </c>
      <c r="D5189" s="156" t="inlineStr">
        <is>
          <t>SY430</t>
        </is>
      </c>
      <c r="E5189" s="156" t="inlineStr">
        <is>
          <t>DT Hauling</t>
        </is>
      </c>
      <c r="F5189" s="156" t="inlineStr"/>
      <c r="G5189" s="182" t="n">
        <v>0</v>
      </c>
      <c r="H5189" s="182" t="n">
        <v>0</v>
      </c>
      <c r="I5189" s="182" t="n">
        <v>0</v>
      </c>
      <c r="J5189" s="182" t="n">
        <v>0</v>
      </c>
      <c r="K5189" s="182" t="n">
        <v>12</v>
      </c>
      <c r="L5189" s="182" t="n">
        <v>12</v>
      </c>
      <c r="M5189" s="182" t="n">
        <v>0</v>
      </c>
      <c r="N5189" s="182" t="n">
        <v>0</v>
      </c>
      <c r="O5189" s="183" t="n">
        <v>0</v>
      </c>
      <c r="P5189" s="183" t="n">
        <v>0</v>
      </c>
      <c r="Q5189" s="184" t="n">
        <v>0</v>
      </c>
      <c r="R5189" s="184" t="n">
        <v>0</v>
      </c>
      <c r="S5189" s="183" t="n">
        <v>0</v>
      </c>
      <c r="T5189" s="183" t="n">
        <v>0</v>
      </c>
      <c r="U5189" s="182" t="n">
        <v>0</v>
      </c>
      <c r="V5189" s="182" t="n">
        <v>0</v>
      </c>
      <c r="W5189" s="182" t="n">
        <v>0</v>
      </c>
      <c r="X5189" s="182" t="n">
        <v>1</v>
      </c>
      <c r="Y5189" s="182" t="n">
        <v>0</v>
      </c>
      <c r="Z5189" s="182" t="n">
        <v>0</v>
      </c>
      <c r="AA5189" s="182" t="n">
        <v>0</v>
      </c>
      <c r="AB5189" s="182" t="n">
        <v>0</v>
      </c>
      <c r="AC5189" s="182" t="n">
        <v>0</v>
      </c>
      <c r="AD5189" s="182" t="n">
        <v>0</v>
      </c>
      <c r="AE5189" s="182" t="n">
        <v>0</v>
      </c>
      <c r="AF5189" s="182" t="n">
        <v>0</v>
      </c>
      <c r="AG5189" s="182" t="n">
        <v>0</v>
      </c>
      <c r="AH5189" s="182" t="n">
        <v>0</v>
      </c>
      <c r="AI5189" s="182" t="n">
        <v>0</v>
      </c>
      <c r="AJ5189" s="182" t="n">
        <v>0</v>
      </c>
      <c r="AK5189" s="182" t="n">
        <v>10.92</v>
      </c>
      <c r="AL5189" s="182" t="n">
        <v>0</v>
      </c>
      <c r="AM5189" s="182" t="n">
        <v>0.08</v>
      </c>
      <c r="AN5189" s="182" t="n">
        <v>0</v>
      </c>
    </row>
    <row r="5190">
      <c r="A5190" s="155" t="n">
        <v>46105</v>
      </c>
      <c r="B5190" s="156" t="inlineStr">
        <is>
          <t>NS</t>
        </is>
      </c>
      <c r="C5190" s="156" t="inlineStr">
        <is>
          <t>HT-410</t>
        </is>
      </c>
      <c r="D5190" s="156" t="inlineStr">
        <is>
          <t>SY430</t>
        </is>
      </c>
      <c r="E5190" s="156" t="inlineStr">
        <is>
          <t>DT Hauling</t>
        </is>
      </c>
      <c r="F5190" s="156" t="inlineStr"/>
      <c r="G5190" s="182" t="n">
        <v>0</v>
      </c>
      <c r="H5190" s="182" t="n">
        <v>0</v>
      </c>
      <c r="I5190" s="182" t="n">
        <v>0</v>
      </c>
      <c r="J5190" s="182" t="n">
        <v>0</v>
      </c>
      <c r="K5190" s="182" t="n">
        <v>12</v>
      </c>
      <c r="L5190" s="182" t="n">
        <v>12</v>
      </c>
      <c r="M5190" s="182" t="n">
        <v>0</v>
      </c>
      <c r="N5190" s="182" t="n">
        <v>0</v>
      </c>
      <c r="O5190" s="183" t="n">
        <v>0</v>
      </c>
      <c r="P5190" s="183" t="n">
        <v>0</v>
      </c>
      <c r="Q5190" s="184" t="n">
        <v>0</v>
      </c>
      <c r="R5190" s="184" t="n">
        <v>0</v>
      </c>
      <c r="S5190" s="183" t="n">
        <v>0</v>
      </c>
      <c r="T5190" s="183" t="n">
        <v>0</v>
      </c>
      <c r="U5190" s="182" t="n">
        <v>0</v>
      </c>
      <c r="V5190" s="182" t="n">
        <v>0</v>
      </c>
      <c r="W5190" s="182" t="n">
        <v>0</v>
      </c>
      <c r="X5190" s="182" t="n">
        <v>1</v>
      </c>
      <c r="Y5190" s="182" t="n">
        <v>0</v>
      </c>
      <c r="Z5190" s="182" t="n">
        <v>0</v>
      </c>
      <c r="AA5190" s="182" t="n">
        <v>0</v>
      </c>
      <c r="AB5190" s="182" t="n">
        <v>0</v>
      </c>
      <c r="AC5190" s="182" t="n">
        <v>0</v>
      </c>
      <c r="AD5190" s="182" t="n">
        <v>0</v>
      </c>
      <c r="AE5190" s="182" t="n">
        <v>0</v>
      </c>
      <c r="AF5190" s="182" t="n">
        <v>0</v>
      </c>
      <c r="AG5190" s="182" t="n">
        <v>0</v>
      </c>
      <c r="AH5190" s="182" t="n">
        <v>0</v>
      </c>
      <c r="AI5190" s="182" t="n">
        <v>0</v>
      </c>
      <c r="AJ5190" s="182" t="n">
        <v>0</v>
      </c>
      <c r="AK5190" s="182" t="n">
        <v>10.92</v>
      </c>
      <c r="AL5190" s="182" t="n">
        <v>0</v>
      </c>
      <c r="AM5190" s="182" t="n">
        <v>0.08</v>
      </c>
      <c r="AN5190" s="182" t="n">
        <v>0</v>
      </c>
    </row>
    <row r="5191">
      <c r="A5191" s="155" t="n">
        <v>46105</v>
      </c>
      <c r="B5191" s="156" t="inlineStr">
        <is>
          <t>NS</t>
        </is>
      </c>
      <c r="C5191" s="156" t="inlineStr">
        <is>
          <t>HT-402</t>
        </is>
      </c>
      <c r="D5191" s="156" t="inlineStr">
        <is>
          <t>SY430</t>
        </is>
      </c>
      <c r="E5191" s="156" t="inlineStr">
        <is>
          <t>DT Hauling</t>
        </is>
      </c>
      <c r="F5191" s="156" t="inlineStr"/>
      <c r="G5191" s="182" t="n">
        <v>0</v>
      </c>
      <c r="H5191" s="182" t="n">
        <v>0</v>
      </c>
      <c r="I5191" s="182" t="n">
        <v>0</v>
      </c>
      <c r="J5191" s="182" t="n">
        <v>0</v>
      </c>
      <c r="K5191" s="182" t="n">
        <v>12</v>
      </c>
      <c r="L5191" s="182" t="n">
        <v>12</v>
      </c>
      <c r="M5191" s="182" t="n">
        <v>0</v>
      </c>
      <c r="N5191" s="182" t="n">
        <v>0</v>
      </c>
      <c r="O5191" s="183" t="n">
        <v>0</v>
      </c>
      <c r="P5191" s="183" t="n">
        <v>0</v>
      </c>
      <c r="Q5191" s="184" t="n">
        <v>0</v>
      </c>
      <c r="R5191" s="184" t="n">
        <v>0</v>
      </c>
      <c r="S5191" s="183" t="n">
        <v>0</v>
      </c>
      <c r="T5191" s="183" t="n">
        <v>0</v>
      </c>
      <c r="U5191" s="182" t="n">
        <v>0</v>
      </c>
      <c r="V5191" s="182" t="n">
        <v>0</v>
      </c>
      <c r="W5191" s="182" t="n">
        <v>0</v>
      </c>
      <c r="X5191" s="182" t="n">
        <v>1</v>
      </c>
      <c r="Y5191" s="182" t="n">
        <v>0</v>
      </c>
      <c r="Z5191" s="182" t="n">
        <v>0</v>
      </c>
      <c r="AA5191" s="182" t="n">
        <v>0</v>
      </c>
      <c r="AB5191" s="182" t="n">
        <v>0</v>
      </c>
      <c r="AC5191" s="182" t="n">
        <v>0</v>
      </c>
      <c r="AD5191" s="182" t="n">
        <v>0</v>
      </c>
      <c r="AE5191" s="182" t="n">
        <v>0</v>
      </c>
      <c r="AF5191" s="182" t="n">
        <v>0</v>
      </c>
      <c r="AG5191" s="182" t="n">
        <v>0</v>
      </c>
      <c r="AH5191" s="182" t="n">
        <v>0</v>
      </c>
      <c r="AI5191" s="182" t="n">
        <v>0</v>
      </c>
      <c r="AJ5191" s="182" t="n">
        <v>0</v>
      </c>
      <c r="AK5191" s="182" t="n">
        <v>10.92</v>
      </c>
      <c r="AL5191" s="182" t="n">
        <v>0</v>
      </c>
      <c r="AM5191" s="182" t="n">
        <v>0.08</v>
      </c>
      <c r="AN5191" s="182" t="n">
        <v>0</v>
      </c>
    </row>
    <row r="5192">
      <c r="A5192" s="155" t="n">
        <v>46105</v>
      </c>
      <c r="B5192" s="156" t="inlineStr">
        <is>
          <t>NS</t>
        </is>
      </c>
      <c r="C5192" s="156" t="inlineStr">
        <is>
          <t>HT-419</t>
        </is>
      </c>
      <c r="D5192" s="156" t="inlineStr">
        <is>
          <t>SY430</t>
        </is>
      </c>
      <c r="E5192" s="156" t="inlineStr">
        <is>
          <t>DT Hauling</t>
        </is>
      </c>
      <c r="F5192" s="156" t="inlineStr"/>
      <c r="G5192" s="182" t="n">
        <v>0</v>
      </c>
      <c r="H5192" s="182" t="n">
        <v>0</v>
      </c>
      <c r="I5192" s="182" t="n">
        <v>0</v>
      </c>
      <c r="J5192" s="182" t="n">
        <v>0</v>
      </c>
      <c r="K5192" s="182" t="n">
        <v>12</v>
      </c>
      <c r="L5192" s="182" t="n">
        <v>12</v>
      </c>
      <c r="M5192" s="182" t="n">
        <v>0</v>
      </c>
      <c r="N5192" s="182" t="n">
        <v>0</v>
      </c>
      <c r="O5192" s="183" t="n">
        <v>0</v>
      </c>
      <c r="P5192" s="183" t="n">
        <v>0</v>
      </c>
      <c r="Q5192" s="184" t="n">
        <v>0</v>
      </c>
      <c r="R5192" s="184" t="n">
        <v>0</v>
      </c>
      <c r="S5192" s="183" t="n">
        <v>0</v>
      </c>
      <c r="T5192" s="183" t="n">
        <v>0</v>
      </c>
      <c r="U5192" s="182" t="n">
        <v>0</v>
      </c>
      <c r="V5192" s="182" t="n">
        <v>0</v>
      </c>
      <c r="W5192" s="182" t="n">
        <v>0</v>
      </c>
      <c r="X5192" s="182" t="n">
        <v>1</v>
      </c>
      <c r="Y5192" s="182" t="n">
        <v>0</v>
      </c>
      <c r="Z5192" s="182" t="n">
        <v>0</v>
      </c>
      <c r="AA5192" s="182" t="n">
        <v>0</v>
      </c>
      <c r="AB5192" s="182" t="n">
        <v>0</v>
      </c>
      <c r="AC5192" s="182" t="n">
        <v>0</v>
      </c>
      <c r="AD5192" s="182" t="n">
        <v>0</v>
      </c>
      <c r="AE5192" s="182" t="n">
        <v>0</v>
      </c>
      <c r="AF5192" s="182" t="n">
        <v>0</v>
      </c>
      <c r="AG5192" s="182" t="n">
        <v>0</v>
      </c>
      <c r="AH5192" s="182" t="n">
        <v>0</v>
      </c>
      <c r="AI5192" s="182" t="n">
        <v>0</v>
      </c>
      <c r="AJ5192" s="182" t="n">
        <v>0</v>
      </c>
      <c r="AK5192" s="182" t="n">
        <v>10.92</v>
      </c>
      <c r="AL5192" s="182" t="n">
        <v>0</v>
      </c>
      <c r="AM5192" s="182" t="n">
        <v>0.08</v>
      </c>
      <c r="AN5192" s="182" t="n">
        <v>0</v>
      </c>
    </row>
    <row r="5193">
      <c r="A5193" s="155" t="n">
        <v>46105</v>
      </c>
      <c r="B5193" s="156" t="inlineStr">
        <is>
          <t>NS</t>
        </is>
      </c>
      <c r="C5193" s="156" t="inlineStr">
        <is>
          <t>HT-416</t>
        </is>
      </c>
      <c r="D5193" s="156" t="inlineStr">
        <is>
          <t>SY430</t>
        </is>
      </c>
      <c r="E5193" s="156" t="inlineStr">
        <is>
          <t>DT Hauling</t>
        </is>
      </c>
      <c r="F5193" s="156" t="inlineStr"/>
      <c r="G5193" s="182" t="n">
        <v>0</v>
      </c>
      <c r="H5193" s="182" t="n">
        <v>0</v>
      </c>
      <c r="I5193" s="182" t="n">
        <v>0</v>
      </c>
      <c r="J5193" s="182" t="n">
        <v>0</v>
      </c>
      <c r="K5193" s="182" t="n">
        <v>12</v>
      </c>
      <c r="L5193" s="182" t="n">
        <v>12</v>
      </c>
      <c r="M5193" s="182" t="n">
        <v>0</v>
      </c>
      <c r="N5193" s="182" t="n">
        <v>0</v>
      </c>
      <c r="O5193" s="183" t="n">
        <v>0</v>
      </c>
      <c r="P5193" s="183" t="n">
        <v>0</v>
      </c>
      <c r="Q5193" s="184" t="n">
        <v>0</v>
      </c>
      <c r="R5193" s="184" t="n">
        <v>0</v>
      </c>
      <c r="S5193" s="183" t="n">
        <v>0</v>
      </c>
      <c r="T5193" s="183" t="n">
        <v>0</v>
      </c>
      <c r="U5193" s="182" t="n">
        <v>0</v>
      </c>
      <c r="V5193" s="182" t="n">
        <v>0</v>
      </c>
      <c r="W5193" s="182" t="n">
        <v>0</v>
      </c>
      <c r="X5193" s="182" t="n">
        <v>1</v>
      </c>
      <c r="Y5193" s="182" t="n">
        <v>0</v>
      </c>
      <c r="Z5193" s="182" t="n">
        <v>0</v>
      </c>
      <c r="AA5193" s="182" t="n">
        <v>0</v>
      </c>
      <c r="AB5193" s="182" t="n">
        <v>0</v>
      </c>
      <c r="AC5193" s="182" t="n">
        <v>0</v>
      </c>
      <c r="AD5193" s="182" t="n">
        <v>0</v>
      </c>
      <c r="AE5193" s="182" t="n">
        <v>0</v>
      </c>
      <c r="AF5193" s="182" t="n">
        <v>0</v>
      </c>
      <c r="AG5193" s="182" t="n">
        <v>0</v>
      </c>
      <c r="AH5193" s="182" t="n">
        <v>0</v>
      </c>
      <c r="AI5193" s="182" t="n">
        <v>0</v>
      </c>
      <c r="AJ5193" s="182" t="n">
        <v>0</v>
      </c>
      <c r="AK5193" s="182" t="n">
        <v>10.92</v>
      </c>
      <c r="AL5193" s="182" t="n">
        <v>0</v>
      </c>
      <c r="AM5193" s="182" t="n">
        <v>0.08</v>
      </c>
      <c r="AN5193" s="182" t="n">
        <v>0</v>
      </c>
    </row>
    <row r="5194">
      <c r="A5194" s="155" t="n">
        <v>46105</v>
      </c>
      <c r="B5194" s="156" t="inlineStr">
        <is>
          <t>NS</t>
        </is>
      </c>
      <c r="C5194" s="156" t="inlineStr">
        <is>
          <t>HT-420</t>
        </is>
      </c>
      <c r="D5194" s="156" t="inlineStr">
        <is>
          <t>SY430</t>
        </is>
      </c>
      <c r="E5194" s="156" t="inlineStr">
        <is>
          <t>DT Hauling</t>
        </is>
      </c>
      <c r="F5194" s="156" t="inlineStr"/>
      <c r="G5194" s="182" t="n">
        <v>0</v>
      </c>
      <c r="H5194" s="182" t="n">
        <v>0</v>
      </c>
      <c r="I5194" s="182" t="n">
        <v>0</v>
      </c>
      <c r="J5194" s="182" t="n">
        <v>0</v>
      </c>
      <c r="K5194" s="182" t="n">
        <v>12</v>
      </c>
      <c r="L5194" s="182" t="n">
        <v>12</v>
      </c>
      <c r="M5194" s="182" t="n">
        <v>0</v>
      </c>
      <c r="N5194" s="182" t="n">
        <v>0</v>
      </c>
      <c r="O5194" s="183" t="n">
        <v>0</v>
      </c>
      <c r="P5194" s="183" t="n">
        <v>0</v>
      </c>
      <c r="Q5194" s="184" t="n">
        <v>0</v>
      </c>
      <c r="R5194" s="184" t="n">
        <v>0</v>
      </c>
      <c r="S5194" s="183" t="n">
        <v>0</v>
      </c>
      <c r="T5194" s="183" t="n">
        <v>0</v>
      </c>
      <c r="U5194" s="182" t="n">
        <v>0</v>
      </c>
      <c r="V5194" s="182" t="n">
        <v>0</v>
      </c>
      <c r="W5194" s="182" t="n">
        <v>0</v>
      </c>
      <c r="X5194" s="182" t="n">
        <v>1</v>
      </c>
      <c r="Y5194" s="182" t="n">
        <v>0</v>
      </c>
      <c r="Z5194" s="182" t="n">
        <v>0</v>
      </c>
      <c r="AA5194" s="182" t="n">
        <v>0</v>
      </c>
      <c r="AB5194" s="182" t="n">
        <v>0</v>
      </c>
      <c r="AC5194" s="182" t="n">
        <v>0</v>
      </c>
      <c r="AD5194" s="182" t="n">
        <v>0</v>
      </c>
      <c r="AE5194" s="182" t="n">
        <v>0</v>
      </c>
      <c r="AF5194" s="182" t="n">
        <v>0</v>
      </c>
      <c r="AG5194" s="182" t="n">
        <v>0</v>
      </c>
      <c r="AH5194" s="182" t="n">
        <v>0</v>
      </c>
      <c r="AI5194" s="182" t="n">
        <v>0</v>
      </c>
      <c r="AJ5194" s="182" t="n">
        <v>0</v>
      </c>
      <c r="AK5194" s="182" t="n">
        <v>10.92</v>
      </c>
      <c r="AL5194" s="182" t="n">
        <v>0</v>
      </c>
      <c r="AM5194" s="182" t="n">
        <v>0.08</v>
      </c>
      <c r="AN5194" s="182" t="n">
        <v>0</v>
      </c>
    </row>
    <row r="5195">
      <c r="A5195" s="155" t="n">
        <v>46105</v>
      </c>
      <c r="B5195" s="156" t="inlineStr">
        <is>
          <t>NS</t>
        </is>
      </c>
      <c r="C5195" s="156" t="inlineStr">
        <is>
          <t>HT-403</t>
        </is>
      </c>
      <c r="D5195" s="156" t="inlineStr">
        <is>
          <t>SY430</t>
        </is>
      </c>
      <c r="E5195" s="156" t="inlineStr">
        <is>
          <t>DT Hauling</t>
        </is>
      </c>
      <c r="F5195" s="156" t="inlineStr"/>
      <c r="G5195" s="182" t="n">
        <v>0</v>
      </c>
      <c r="H5195" s="182" t="n">
        <v>0</v>
      </c>
      <c r="I5195" s="182" t="n">
        <v>0</v>
      </c>
      <c r="J5195" s="182" t="n">
        <v>0</v>
      </c>
      <c r="K5195" s="182" t="n">
        <v>12</v>
      </c>
      <c r="L5195" s="182" t="n">
        <v>12</v>
      </c>
      <c r="M5195" s="182" t="n">
        <v>0</v>
      </c>
      <c r="N5195" s="182" t="n">
        <v>0</v>
      </c>
      <c r="O5195" s="183" t="n">
        <v>0</v>
      </c>
      <c r="P5195" s="183" t="n">
        <v>0</v>
      </c>
      <c r="Q5195" s="184" t="n">
        <v>0</v>
      </c>
      <c r="R5195" s="184" t="n">
        <v>0</v>
      </c>
      <c r="S5195" s="183" t="n">
        <v>0</v>
      </c>
      <c r="T5195" s="183" t="n">
        <v>0</v>
      </c>
      <c r="U5195" s="182" t="n">
        <v>0</v>
      </c>
      <c r="V5195" s="182" t="n">
        <v>0</v>
      </c>
      <c r="W5195" s="182" t="n">
        <v>0</v>
      </c>
      <c r="X5195" s="182" t="n">
        <v>1</v>
      </c>
      <c r="Y5195" s="182" t="n">
        <v>0</v>
      </c>
      <c r="Z5195" s="182" t="n">
        <v>0</v>
      </c>
      <c r="AA5195" s="182" t="n">
        <v>0</v>
      </c>
      <c r="AB5195" s="182" t="n">
        <v>0</v>
      </c>
      <c r="AC5195" s="182" t="n">
        <v>0</v>
      </c>
      <c r="AD5195" s="182" t="n">
        <v>0</v>
      </c>
      <c r="AE5195" s="182" t="n">
        <v>0</v>
      </c>
      <c r="AF5195" s="182" t="n">
        <v>0</v>
      </c>
      <c r="AG5195" s="182" t="n">
        <v>0</v>
      </c>
      <c r="AH5195" s="182" t="n">
        <v>0</v>
      </c>
      <c r="AI5195" s="182" t="n">
        <v>0</v>
      </c>
      <c r="AJ5195" s="182" t="n">
        <v>0</v>
      </c>
      <c r="AK5195" s="182" t="n">
        <v>10.92</v>
      </c>
      <c r="AL5195" s="182" t="n">
        <v>0</v>
      </c>
      <c r="AM5195" s="182" t="n">
        <v>0.08</v>
      </c>
      <c r="AN5195" s="182" t="n">
        <v>0</v>
      </c>
    </row>
    <row r="5196">
      <c r="A5196" s="155" t="n">
        <v>46105</v>
      </c>
      <c r="B5196" s="156" t="inlineStr">
        <is>
          <t>NS</t>
        </is>
      </c>
      <c r="C5196" s="156" t="inlineStr">
        <is>
          <t>HT-408</t>
        </is>
      </c>
      <c r="D5196" s="156" t="inlineStr">
        <is>
          <t>SY430</t>
        </is>
      </c>
      <c r="E5196" s="156" t="inlineStr">
        <is>
          <t>DT Hauling</t>
        </is>
      </c>
      <c r="F5196" s="156" t="inlineStr"/>
      <c r="G5196" s="182" t="n">
        <v>0</v>
      </c>
      <c r="H5196" s="182" t="n">
        <v>0</v>
      </c>
      <c r="I5196" s="182" t="n">
        <v>0</v>
      </c>
      <c r="J5196" s="182" t="n">
        <v>0</v>
      </c>
      <c r="K5196" s="182" t="n">
        <v>12</v>
      </c>
      <c r="L5196" s="182" t="n">
        <v>12</v>
      </c>
      <c r="M5196" s="182" t="n">
        <v>0</v>
      </c>
      <c r="N5196" s="182" t="n">
        <v>0</v>
      </c>
      <c r="O5196" s="183" t="n">
        <v>0</v>
      </c>
      <c r="P5196" s="183" t="n">
        <v>0</v>
      </c>
      <c r="Q5196" s="184" t="n">
        <v>0</v>
      </c>
      <c r="R5196" s="184" t="n">
        <v>0</v>
      </c>
      <c r="S5196" s="183" t="n">
        <v>0</v>
      </c>
      <c r="T5196" s="183" t="n">
        <v>0</v>
      </c>
      <c r="U5196" s="182" t="n">
        <v>0</v>
      </c>
      <c r="V5196" s="182" t="n">
        <v>0</v>
      </c>
      <c r="W5196" s="182" t="n">
        <v>0</v>
      </c>
      <c r="X5196" s="182" t="n">
        <v>1</v>
      </c>
      <c r="Y5196" s="182" t="n">
        <v>0</v>
      </c>
      <c r="Z5196" s="182" t="n">
        <v>0</v>
      </c>
      <c r="AA5196" s="182" t="n">
        <v>0</v>
      </c>
      <c r="AB5196" s="182" t="n">
        <v>0</v>
      </c>
      <c r="AC5196" s="182" t="n">
        <v>0</v>
      </c>
      <c r="AD5196" s="182" t="n">
        <v>0</v>
      </c>
      <c r="AE5196" s="182" t="n">
        <v>0</v>
      </c>
      <c r="AF5196" s="182" t="n">
        <v>0</v>
      </c>
      <c r="AG5196" s="182" t="n">
        <v>0</v>
      </c>
      <c r="AH5196" s="182" t="n">
        <v>0</v>
      </c>
      <c r="AI5196" s="182" t="n">
        <v>0</v>
      </c>
      <c r="AJ5196" s="182" t="n">
        <v>0</v>
      </c>
      <c r="AK5196" s="182" t="n">
        <v>10.92</v>
      </c>
      <c r="AL5196" s="182" t="n">
        <v>0</v>
      </c>
      <c r="AM5196" s="182" t="n">
        <v>0.08</v>
      </c>
      <c r="AN5196" s="182" t="n">
        <v>0</v>
      </c>
    </row>
    <row r="5197">
      <c r="A5197" s="155" t="n">
        <v>46105</v>
      </c>
      <c r="B5197" s="156" t="inlineStr">
        <is>
          <t>NS</t>
        </is>
      </c>
      <c r="C5197" s="156" t="inlineStr">
        <is>
          <t>HT-412</t>
        </is>
      </c>
      <c r="D5197" s="156" t="inlineStr">
        <is>
          <t>SY430</t>
        </is>
      </c>
      <c r="E5197" s="156" t="inlineStr">
        <is>
          <t>DT Hauling</t>
        </is>
      </c>
      <c r="F5197" s="156" t="inlineStr"/>
      <c r="G5197" s="182" t="n">
        <v>0</v>
      </c>
      <c r="H5197" s="182" t="n">
        <v>0</v>
      </c>
      <c r="I5197" s="182" t="n">
        <v>0</v>
      </c>
      <c r="J5197" s="182" t="n">
        <v>0</v>
      </c>
      <c r="K5197" s="182" t="n">
        <v>12</v>
      </c>
      <c r="L5197" s="182" t="n">
        <v>12</v>
      </c>
      <c r="M5197" s="182" t="n">
        <v>0</v>
      </c>
      <c r="N5197" s="182" t="n">
        <v>0</v>
      </c>
      <c r="O5197" s="183" t="n">
        <v>0</v>
      </c>
      <c r="P5197" s="183" t="n">
        <v>0</v>
      </c>
      <c r="Q5197" s="184" t="n">
        <v>0</v>
      </c>
      <c r="R5197" s="184" t="n">
        <v>0</v>
      </c>
      <c r="S5197" s="183" t="n">
        <v>0</v>
      </c>
      <c r="T5197" s="183" t="n">
        <v>0</v>
      </c>
      <c r="U5197" s="182" t="n">
        <v>0</v>
      </c>
      <c r="V5197" s="182" t="n">
        <v>0</v>
      </c>
      <c r="W5197" s="182" t="n">
        <v>0</v>
      </c>
      <c r="X5197" s="182" t="n">
        <v>1</v>
      </c>
      <c r="Y5197" s="182" t="n">
        <v>0</v>
      </c>
      <c r="Z5197" s="182" t="n">
        <v>0</v>
      </c>
      <c r="AA5197" s="182" t="n">
        <v>0</v>
      </c>
      <c r="AB5197" s="182" t="n">
        <v>0</v>
      </c>
      <c r="AC5197" s="182" t="n">
        <v>0</v>
      </c>
      <c r="AD5197" s="182" t="n">
        <v>0</v>
      </c>
      <c r="AE5197" s="182" t="n">
        <v>0</v>
      </c>
      <c r="AF5197" s="182" t="n">
        <v>0</v>
      </c>
      <c r="AG5197" s="182" t="n">
        <v>0</v>
      </c>
      <c r="AH5197" s="182" t="n">
        <v>0</v>
      </c>
      <c r="AI5197" s="182" t="n">
        <v>0</v>
      </c>
      <c r="AJ5197" s="182" t="n">
        <v>0</v>
      </c>
      <c r="AK5197" s="182" t="n">
        <v>10.92</v>
      </c>
      <c r="AL5197" s="182" t="n">
        <v>0</v>
      </c>
      <c r="AM5197" s="182" t="n">
        <v>0.08</v>
      </c>
      <c r="AN5197" s="182" t="n">
        <v>0</v>
      </c>
    </row>
    <row r="5198">
      <c r="A5198" s="155" t="n">
        <v>46105</v>
      </c>
      <c r="B5198" s="156" t="inlineStr">
        <is>
          <t>NS</t>
        </is>
      </c>
      <c r="C5198" s="156" t="inlineStr">
        <is>
          <t>HT-413</t>
        </is>
      </c>
      <c r="D5198" s="156" t="inlineStr">
        <is>
          <t>SY430</t>
        </is>
      </c>
      <c r="E5198" s="156" t="inlineStr">
        <is>
          <t>DT Hauling</t>
        </is>
      </c>
      <c r="F5198" s="156" t="inlineStr"/>
      <c r="G5198" s="182" t="n">
        <v>0</v>
      </c>
      <c r="H5198" s="182" t="n">
        <v>0</v>
      </c>
      <c r="I5198" s="182" t="n">
        <v>12</v>
      </c>
      <c r="J5198" s="182" t="n">
        <v>12</v>
      </c>
      <c r="K5198" s="182" t="n">
        <v>0</v>
      </c>
      <c r="L5198" s="182" t="n">
        <v>12</v>
      </c>
      <c r="M5198" s="182" t="n">
        <v>0</v>
      </c>
      <c r="N5198" s="182" t="n">
        <v>0</v>
      </c>
      <c r="O5198" s="183" t="n">
        <v>0</v>
      </c>
      <c r="P5198" s="183" t="n">
        <v>0</v>
      </c>
      <c r="Q5198" s="184" t="n">
        <v>0</v>
      </c>
      <c r="R5198" s="184" t="n">
        <v>0</v>
      </c>
      <c r="S5198" s="183" t="n">
        <v>0</v>
      </c>
      <c r="T5198" s="183" t="n">
        <v>0</v>
      </c>
      <c r="U5198" s="182" t="n">
        <v>0</v>
      </c>
      <c r="V5198" s="182" t="n">
        <v>0</v>
      </c>
      <c r="W5198" s="182" t="n">
        <v>0</v>
      </c>
      <c r="X5198" s="182" t="n">
        <v>0</v>
      </c>
      <c r="Y5198" s="182" t="n">
        <v>0</v>
      </c>
      <c r="Z5198" s="182" t="n">
        <v>0</v>
      </c>
      <c r="AA5198" s="182" t="n">
        <v>0</v>
      </c>
      <c r="AB5198" s="182" t="n">
        <v>0</v>
      </c>
      <c r="AC5198" s="182" t="n">
        <v>0</v>
      </c>
      <c r="AD5198" s="182" t="n">
        <v>0</v>
      </c>
      <c r="AE5198" s="182" t="n">
        <v>0</v>
      </c>
      <c r="AF5198" s="182" t="n">
        <v>0</v>
      </c>
      <c r="AG5198" s="182" t="n">
        <v>0</v>
      </c>
      <c r="AH5198" s="182" t="n">
        <v>0</v>
      </c>
      <c r="AI5198" s="182" t="n">
        <v>0</v>
      </c>
      <c r="AJ5198" s="182" t="n">
        <v>0</v>
      </c>
      <c r="AK5198" s="182" t="n">
        <v>0</v>
      </c>
      <c r="AL5198" s="182" t="n">
        <v>0</v>
      </c>
      <c r="AM5198" s="182" t="n">
        <v>0</v>
      </c>
      <c r="AN5198" s="182" t="n">
        <v>0</v>
      </c>
    </row>
    <row r="5199">
      <c r="A5199" s="155" t="n">
        <v>46105</v>
      </c>
      <c r="B5199" s="156" t="inlineStr">
        <is>
          <t>NS</t>
        </is>
      </c>
      <c r="C5199" s="156" t="inlineStr">
        <is>
          <t>HT-407</t>
        </is>
      </c>
      <c r="D5199" s="156" t="inlineStr">
        <is>
          <t>SY430</t>
        </is>
      </c>
      <c r="E5199" s="156" t="inlineStr">
        <is>
          <t>DT Hauling</t>
        </is>
      </c>
      <c r="F5199" s="156" t="inlineStr"/>
      <c r="G5199" s="182" t="n">
        <v>0</v>
      </c>
      <c r="H5199" s="182" t="n">
        <v>0</v>
      </c>
      <c r="I5199" s="182" t="n">
        <v>0</v>
      </c>
      <c r="J5199" s="182" t="n">
        <v>0</v>
      </c>
      <c r="K5199" s="182" t="n">
        <v>12</v>
      </c>
      <c r="L5199" s="182" t="n">
        <v>12</v>
      </c>
      <c r="M5199" s="182" t="n">
        <v>0</v>
      </c>
      <c r="N5199" s="182" t="n">
        <v>0</v>
      </c>
      <c r="O5199" s="183" t="n">
        <v>0</v>
      </c>
      <c r="P5199" s="183" t="n">
        <v>0</v>
      </c>
      <c r="Q5199" s="184" t="n">
        <v>0</v>
      </c>
      <c r="R5199" s="184" t="n">
        <v>0</v>
      </c>
      <c r="S5199" s="183" t="n">
        <v>0</v>
      </c>
      <c r="T5199" s="183" t="n">
        <v>0</v>
      </c>
      <c r="U5199" s="182" t="n">
        <v>0</v>
      </c>
      <c r="V5199" s="182" t="n">
        <v>0</v>
      </c>
      <c r="W5199" s="182" t="n">
        <v>0</v>
      </c>
      <c r="X5199" s="182" t="n">
        <v>1</v>
      </c>
      <c r="Y5199" s="182" t="n">
        <v>0</v>
      </c>
      <c r="Z5199" s="182" t="n">
        <v>0</v>
      </c>
      <c r="AA5199" s="182" t="n">
        <v>0</v>
      </c>
      <c r="AB5199" s="182" t="n">
        <v>0</v>
      </c>
      <c r="AC5199" s="182" t="n">
        <v>0</v>
      </c>
      <c r="AD5199" s="182" t="n">
        <v>0</v>
      </c>
      <c r="AE5199" s="182" t="n">
        <v>0</v>
      </c>
      <c r="AF5199" s="182" t="n">
        <v>0</v>
      </c>
      <c r="AG5199" s="182" t="n">
        <v>0</v>
      </c>
      <c r="AH5199" s="182" t="n">
        <v>0</v>
      </c>
      <c r="AI5199" s="182" t="n">
        <v>0</v>
      </c>
      <c r="AJ5199" s="182" t="n">
        <v>0</v>
      </c>
      <c r="AK5199" s="182" t="n">
        <v>10.92</v>
      </c>
      <c r="AL5199" s="182" t="n">
        <v>0</v>
      </c>
      <c r="AM5199" s="182" t="n">
        <v>0.08</v>
      </c>
      <c r="AN5199" s="182" t="n">
        <v>0</v>
      </c>
    </row>
    <row r="5200">
      <c r="A5200" s="155" t="n">
        <v>46105</v>
      </c>
      <c r="B5200" s="156" t="inlineStr">
        <is>
          <t>NS</t>
        </is>
      </c>
      <c r="C5200" s="156" t="inlineStr">
        <is>
          <t>HT-414</t>
        </is>
      </c>
      <c r="D5200" s="156" t="inlineStr">
        <is>
          <t>SY430</t>
        </is>
      </c>
      <c r="E5200" s="156" t="inlineStr">
        <is>
          <t>DT Hauling</t>
        </is>
      </c>
      <c r="F5200" s="156" t="inlineStr"/>
      <c r="G5200" s="182" t="n">
        <v>0</v>
      </c>
      <c r="H5200" s="182" t="n">
        <v>0</v>
      </c>
      <c r="I5200" s="182" t="n">
        <v>0</v>
      </c>
      <c r="J5200" s="182" t="n">
        <v>0</v>
      </c>
      <c r="K5200" s="182" t="n">
        <v>12</v>
      </c>
      <c r="L5200" s="182" t="n">
        <v>12</v>
      </c>
      <c r="M5200" s="182" t="n">
        <v>0</v>
      </c>
      <c r="N5200" s="182" t="n">
        <v>0</v>
      </c>
      <c r="O5200" s="183" t="n">
        <v>0</v>
      </c>
      <c r="P5200" s="183" t="n">
        <v>0</v>
      </c>
      <c r="Q5200" s="184" t="n">
        <v>0</v>
      </c>
      <c r="R5200" s="184" t="n">
        <v>0</v>
      </c>
      <c r="S5200" s="183" t="n">
        <v>0</v>
      </c>
      <c r="T5200" s="183" t="n">
        <v>0</v>
      </c>
      <c r="U5200" s="182" t="n">
        <v>0</v>
      </c>
      <c r="V5200" s="182" t="n">
        <v>0</v>
      </c>
      <c r="W5200" s="182" t="n">
        <v>0</v>
      </c>
      <c r="X5200" s="182" t="n">
        <v>1</v>
      </c>
      <c r="Y5200" s="182" t="n">
        <v>0</v>
      </c>
      <c r="Z5200" s="182" t="n">
        <v>0</v>
      </c>
      <c r="AA5200" s="182" t="n">
        <v>0</v>
      </c>
      <c r="AB5200" s="182" t="n">
        <v>0</v>
      </c>
      <c r="AC5200" s="182" t="n">
        <v>0</v>
      </c>
      <c r="AD5200" s="182" t="n">
        <v>0</v>
      </c>
      <c r="AE5200" s="182" t="n">
        <v>0</v>
      </c>
      <c r="AF5200" s="182" t="n">
        <v>0</v>
      </c>
      <c r="AG5200" s="182" t="n">
        <v>0</v>
      </c>
      <c r="AH5200" s="182" t="n">
        <v>0</v>
      </c>
      <c r="AI5200" s="182" t="n">
        <v>0</v>
      </c>
      <c r="AJ5200" s="182" t="n">
        <v>0</v>
      </c>
      <c r="AK5200" s="182" t="n">
        <v>10.92</v>
      </c>
      <c r="AL5200" s="182" t="n">
        <v>0</v>
      </c>
      <c r="AM5200" s="182" t="n">
        <v>0.08</v>
      </c>
      <c r="AN5200" s="182" t="n">
        <v>0</v>
      </c>
    </row>
    <row r="5201">
      <c r="A5201" s="155" t="n">
        <v>46105</v>
      </c>
      <c r="B5201" s="156" t="inlineStr">
        <is>
          <t>NS</t>
        </is>
      </c>
      <c r="C5201" s="156" t="inlineStr">
        <is>
          <t>HT-411</t>
        </is>
      </c>
      <c r="D5201" s="156" t="inlineStr">
        <is>
          <t>SY430</t>
        </is>
      </c>
      <c r="E5201" s="156" t="inlineStr">
        <is>
          <t>DT Hauling</t>
        </is>
      </c>
      <c r="F5201" s="156" t="inlineStr"/>
      <c r="G5201" s="182" t="n">
        <v>0</v>
      </c>
      <c r="H5201" s="182" t="n">
        <v>0</v>
      </c>
      <c r="I5201" s="182" t="n">
        <v>2</v>
      </c>
      <c r="J5201" s="182" t="n">
        <v>2</v>
      </c>
      <c r="K5201" s="182" t="n">
        <v>10</v>
      </c>
      <c r="L5201" s="182" t="n">
        <v>12</v>
      </c>
      <c r="M5201" s="182" t="n">
        <v>0</v>
      </c>
      <c r="N5201" s="182" t="n">
        <v>0</v>
      </c>
      <c r="O5201" s="183" t="n">
        <v>0</v>
      </c>
      <c r="P5201" s="183" t="n">
        <v>0</v>
      </c>
      <c r="Q5201" s="184" t="n">
        <v>0</v>
      </c>
      <c r="R5201" s="184" t="n">
        <v>0</v>
      </c>
      <c r="S5201" s="183" t="n">
        <v>0</v>
      </c>
      <c r="T5201" s="183" t="n">
        <v>0</v>
      </c>
      <c r="U5201" s="182" t="n">
        <v>0</v>
      </c>
      <c r="V5201" s="182" t="n">
        <v>0</v>
      </c>
      <c r="W5201" s="182" t="n">
        <v>0</v>
      </c>
      <c r="X5201" s="182" t="n">
        <v>1</v>
      </c>
      <c r="Y5201" s="182" t="n">
        <v>0</v>
      </c>
      <c r="Z5201" s="182" t="n">
        <v>0</v>
      </c>
      <c r="AA5201" s="182" t="n">
        <v>0</v>
      </c>
      <c r="AB5201" s="182" t="n">
        <v>0</v>
      </c>
      <c r="AC5201" s="182" t="n">
        <v>0</v>
      </c>
      <c r="AD5201" s="182" t="n">
        <v>0</v>
      </c>
      <c r="AE5201" s="182" t="n">
        <v>0</v>
      </c>
      <c r="AF5201" s="182" t="n">
        <v>0</v>
      </c>
      <c r="AG5201" s="182" t="n">
        <v>0</v>
      </c>
      <c r="AH5201" s="182" t="n">
        <v>0</v>
      </c>
      <c r="AI5201" s="182" t="n">
        <v>0</v>
      </c>
      <c r="AJ5201" s="182" t="n">
        <v>0</v>
      </c>
      <c r="AK5201" s="182" t="n">
        <v>8.92</v>
      </c>
      <c r="AL5201" s="182" t="n">
        <v>0</v>
      </c>
      <c r="AM5201" s="182" t="n">
        <v>0.08</v>
      </c>
      <c r="AN5201" s="182" t="n">
        <v>0</v>
      </c>
    </row>
    <row r="5202">
      <c r="A5202" s="155" t="n">
        <v>46105</v>
      </c>
      <c r="B5202" s="156" t="inlineStr">
        <is>
          <t>NS</t>
        </is>
      </c>
      <c r="C5202" s="156" t="inlineStr">
        <is>
          <t>HT-409</t>
        </is>
      </c>
      <c r="D5202" s="156" t="inlineStr">
        <is>
          <t>SY430</t>
        </is>
      </c>
      <c r="E5202" s="156" t="inlineStr">
        <is>
          <t>DT Hauling</t>
        </is>
      </c>
      <c r="F5202" s="156" t="inlineStr"/>
      <c r="G5202" s="182" t="n">
        <v>0</v>
      </c>
      <c r="H5202" s="182" t="n">
        <v>0</v>
      </c>
      <c r="I5202" s="182" t="n">
        <v>0</v>
      </c>
      <c r="J5202" s="182" t="n">
        <v>0</v>
      </c>
      <c r="K5202" s="182" t="n">
        <v>12</v>
      </c>
      <c r="L5202" s="182" t="n">
        <v>12</v>
      </c>
      <c r="M5202" s="182" t="n">
        <v>0</v>
      </c>
      <c r="N5202" s="182" t="n">
        <v>0</v>
      </c>
      <c r="O5202" s="183" t="n">
        <v>0</v>
      </c>
      <c r="P5202" s="183" t="n">
        <v>0</v>
      </c>
      <c r="Q5202" s="184" t="n">
        <v>0</v>
      </c>
      <c r="R5202" s="184" t="n">
        <v>0</v>
      </c>
      <c r="S5202" s="183" t="n">
        <v>0</v>
      </c>
      <c r="T5202" s="183" t="n">
        <v>0</v>
      </c>
      <c r="U5202" s="182" t="n">
        <v>0</v>
      </c>
      <c r="V5202" s="182" t="n">
        <v>0</v>
      </c>
      <c r="W5202" s="182" t="n">
        <v>0</v>
      </c>
      <c r="X5202" s="182" t="n">
        <v>1</v>
      </c>
      <c r="Y5202" s="182" t="n">
        <v>0</v>
      </c>
      <c r="Z5202" s="182" t="n">
        <v>0</v>
      </c>
      <c r="AA5202" s="182" t="n">
        <v>0</v>
      </c>
      <c r="AB5202" s="182" t="n">
        <v>0</v>
      </c>
      <c r="AC5202" s="182" t="n">
        <v>0</v>
      </c>
      <c r="AD5202" s="182" t="n">
        <v>0</v>
      </c>
      <c r="AE5202" s="182" t="n">
        <v>0</v>
      </c>
      <c r="AF5202" s="182" t="n">
        <v>0</v>
      </c>
      <c r="AG5202" s="182" t="n">
        <v>0</v>
      </c>
      <c r="AH5202" s="182" t="n">
        <v>0</v>
      </c>
      <c r="AI5202" s="182" t="n">
        <v>0</v>
      </c>
      <c r="AJ5202" s="182" t="n">
        <v>0</v>
      </c>
      <c r="AK5202" s="182" t="n">
        <v>10.92</v>
      </c>
      <c r="AL5202" s="182" t="n">
        <v>0</v>
      </c>
      <c r="AM5202" s="182" t="n">
        <v>0.08</v>
      </c>
      <c r="AN5202" s="182" t="n">
        <v>0</v>
      </c>
    </row>
    <row r="5203">
      <c r="A5203" s="155" t="n">
        <v>46105</v>
      </c>
      <c r="B5203" s="156" t="inlineStr">
        <is>
          <t>NS</t>
        </is>
      </c>
      <c r="C5203" s="156" t="inlineStr">
        <is>
          <t>DH-103</t>
        </is>
      </c>
      <c r="D5203" s="156" t="inlineStr">
        <is>
          <t>HINO FM260</t>
        </is>
      </c>
      <c r="E5203" s="156" t="inlineStr">
        <is>
          <t>DT Hino</t>
        </is>
      </c>
      <c r="F5203" s="156" t="inlineStr"/>
      <c r="G5203" s="182" t="n">
        <v>0</v>
      </c>
      <c r="H5203" s="182" t="n">
        <v>0</v>
      </c>
      <c r="I5203" s="182" t="n">
        <v>12</v>
      </c>
      <c r="J5203" s="182" t="n">
        <v>12</v>
      </c>
      <c r="K5203" s="182" t="n">
        <v>0</v>
      </c>
      <c r="L5203" s="182" t="n">
        <v>12</v>
      </c>
      <c r="M5203" s="182" t="n">
        <v>0</v>
      </c>
      <c r="N5203" s="182" t="n">
        <v>0</v>
      </c>
      <c r="O5203" s="183" t="n">
        <v>0</v>
      </c>
      <c r="P5203" s="183" t="n">
        <v>0</v>
      </c>
      <c r="Q5203" s="184" t="n">
        <v>0</v>
      </c>
      <c r="R5203" s="184" t="n">
        <v>0</v>
      </c>
      <c r="S5203" s="183" t="n">
        <v>0</v>
      </c>
      <c r="T5203" s="183" t="n">
        <v>0</v>
      </c>
      <c r="U5203" s="182" t="n">
        <v>0</v>
      </c>
      <c r="V5203" s="182" t="n">
        <v>0</v>
      </c>
      <c r="W5203" s="182" t="n">
        <v>0</v>
      </c>
      <c r="X5203" s="182" t="n">
        <v>0</v>
      </c>
      <c r="Y5203" s="182" t="n">
        <v>0</v>
      </c>
      <c r="Z5203" s="182" t="n">
        <v>0</v>
      </c>
      <c r="AA5203" s="182" t="n">
        <v>0</v>
      </c>
      <c r="AB5203" s="182" t="n">
        <v>0</v>
      </c>
      <c r="AC5203" s="182" t="n">
        <v>0</v>
      </c>
      <c r="AD5203" s="182" t="n">
        <v>0</v>
      </c>
      <c r="AE5203" s="182" t="n">
        <v>0</v>
      </c>
      <c r="AF5203" s="182" t="n">
        <v>0</v>
      </c>
      <c r="AG5203" s="182" t="n">
        <v>0</v>
      </c>
      <c r="AH5203" s="182" t="n">
        <v>0</v>
      </c>
      <c r="AI5203" s="182" t="n">
        <v>0</v>
      </c>
      <c r="AJ5203" s="182" t="n">
        <v>0</v>
      </c>
      <c r="AK5203" s="182" t="n">
        <v>0</v>
      </c>
      <c r="AL5203" s="182" t="n">
        <v>0</v>
      </c>
      <c r="AM5203" s="182" t="n">
        <v>0</v>
      </c>
      <c r="AN5203" s="182" t="n">
        <v>0</v>
      </c>
    </row>
    <row r="5204">
      <c r="A5204" s="155" t="n">
        <v>46105</v>
      </c>
      <c r="B5204" s="156" t="inlineStr">
        <is>
          <t>NS</t>
        </is>
      </c>
      <c r="C5204" s="156" t="inlineStr">
        <is>
          <t>DH-102</t>
        </is>
      </c>
      <c r="D5204" s="156" t="inlineStr">
        <is>
          <t>HINO FM260</t>
        </is>
      </c>
      <c r="E5204" s="156" t="inlineStr">
        <is>
          <t>DT Hino</t>
        </is>
      </c>
      <c r="F5204" s="156" t="inlineStr"/>
      <c r="G5204" s="182" t="n">
        <v>0</v>
      </c>
      <c r="H5204" s="182" t="n">
        <v>0</v>
      </c>
      <c r="I5204" s="182" t="n">
        <v>0</v>
      </c>
      <c r="J5204" s="182" t="n">
        <v>0</v>
      </c>
      <c r="K5204" s="182" t="n">
        <v>12</v>
      </c>
      <c r="L5204" s="182" t="n">
        <v>12</v>
      </c>
      <c r="M5204" s="182" t="n">
        <v>0</v>
      </c>
      <c r="N5204" s="182" t="n">
        <v>0</v>
      </c>
      <c r="O5204" s="183" t="n">
        <v>0</v>
      </c>
      <c r="P5204" s="183" t="n">
        <v>0</v>
      </c>
      <c r="Q5204" s="184" t="n">
        <v>0</v>
      </c>
      <c r="R5204" s="184" t="n">
        <v>0</v>
      </c>
      <c r="S5204" s="183" t="n">
        <v>0</v>
      </c>
      <c r="T5204" s="183" t="n">
        <v>0</v>
      </c>
      <c r="U5204" s="182" t="n">
        <v>0</v>
      </c>
      <c r="V5204" s="182" t="n">
        <v>0</v>
      </c>
      <c r="W5204" s="182" t="n">
        <v>0</v>
      </c>
      <c r="X5204" s="182" t="n">
        <v>1</v>
      </c>
      <c r="Y5204" s="182" t="n">
        <v>0</v>
      </c>
      <c r="Z5204" s="182" t="n">
        <v>0</v>
      </c>
      <c r="AA5204" s="182" t="n">
        <v>0</v>
      </c>
      <c r="AB5204" s="182" t="n">
        <v>0</v>
      </c>
      <c r="AC5204" s="182" t="n">
        <v>0</v>
      </c>
      <c r="AD5204" s="182" t="n">
        <v>0</v>
      </c>
      <c r="AE5204" s="182" t="n">
        <v>0</v>
      </c>
      <c r="AF5204" s="182" t="n">
        <v>0</v>
      </c>
      <c r="AG5204" s="182" t="n">
        <v>0</v>
      </c>
      <c r="AH5204" s="182" t="n">
        <v>0</v>
      </c>
      <c r="AI5204" s="182" t="n">
        <v>0</v>
      </c>
      <c r="AJ5204" s="182" t="n">
        <v>0</v>
      </c>
      <c r="AK5204" s="182" t="n">
        <v>10.92</v>
      </c>
      <c r="AL5204" s="182" t="n">
        <v>0</v>
      </c>
      <c r="AM5204" s="182" t="n">
        <v>0.08</v>
      </c>
      <c r="AN5204" s="182" t="n">
        <v>0</v>
      </c>
    </row>
    <row r="5205">
      <c r="A5205" s="155" t="n">
        <v>46105</v>
      </c>
      <c r="B5205" s="156" t="inlineStr">
        <is>
          <t>NS</t>
        </is>
      </c>
      <c r="C5205" s="156" t="inlineStr">
        <is>
          <t>DH-101</t>
        </is>
      </c>
      <c r="D5205" s="156" t="inlineStr">
        <is>
          <t>HINO FM260</t>
        </is>
      </c>
      <c r="E5205" s="156" t="inlineStr">
        <is>
          <t>DT Hino</t>
        </is>
      </c>
      <c r="F5205" s="156" t="inlineStr"/>
      <c r="G5205" s="182" t="n">
        <v>0</v>
      </c>
      <c r="H5205" s="182" t="n">
        <v>0</v>
      </c>
      <c r="I5205" s="182" t="n">
        <v>0</v>
      </c>
      <c r="J5205" s="182" t="n">
        <v>0</v>
      </c>
      <c r="K5205" s="182" t="n">
        <v>12</v>
      </c>
      <c r="L5205" s="182" t="n">
        <v>12</v>
      </c>
      <c r="M5205" s="182" t="n">
        <v>0</v>
      </c>
      <c r="N5205" s="182" t="n">
        <v>0</v>
      </c>
      <c r="O5205" s="183" t="n">
        <v>0</v>
      </c>
      <c r="P5205" s="183" t="n">
        <v>0</v>
      </c>
      <c r="Q5205" s="184" t="n">
        <v>0</v>
      </c>
      <c r="R5205" s="184" t="n">
        <v>0</v>
      </c>
      <c r="S5205" s="183" t="n">
        <v>0</v>
      </c>
      <c r="T5205" s="183" t="n">
        <v>0</v>
      </c>
      <c r="U5205" s="182" t="n">
        <v>0</v>
      </c>
      <c r="V5205" s="182" t="n">
        <v>0</v>
      </c>
      <c r="W5205" s="182" t="n">
        <v>0</v>
      </c>
      <c r="X5205" s="182" t="n">
        <v>1</v>
      </c>
      <c r="Y5205" s="182" t="n">
        <v>0</v>
      </c>
      <c r="Z5205" s="182" t="n">
        <v>0</v>
      </c>
      <c r="AA5205" s="182" t="n">
        <v>0</v>
      </c>
      <c r="AB5205" s="182" t="n">
        <v>0</v>
      </c>
      <c r="AC5205" s="182" t="n">
        <v>0</v>
      </c>
      <c r="AD5205" s="182" t="n">
        <v>0</v>
      </c>
      <c r="AE5205" s="182" t="n">
        <v>0</v>
      </c>
      <c r="AF5205" s="182" t="n">
        <v>0</v>
      </c>
      <c r="AG5205" s="182" t="n">
        <v>0</v>
      </c>
      <c r="AH5205" s="182" t="n">
        <v>0</v>
      </c>
      <c r="AI5205" s="182" t="n">
        <v>0</v>
      </c>
      <c r="AJ5205" s="182" t="n">
        <v>0</v>
      </c>
      <c r="AK5205" s="182" t="n">
        <v>10.92</v>
      </c>
      <c r="AL5205" s="182" t="n">
        <v>0</v>
      </c>
      <c r="AM5205" s="182" t="n">
        <v>0.08</v>
      </c>
      <c r="AN5205" s="182" t="n">
        <v>0</v>
      </c>
    </row>
    <row r="5206">
      <c r="A5206" s="155" t="n">
        <v>46105</v>
      </c>
      <c r="B5206" s="156" t="inlineStr">
        <is>
          <t>NS</t>
        </is>
      </c>
      <c r="C5206" s="156" t="inlineStr">
        <is>
          <t>EX-1251</t>
        </is>
      </c>
      <c r="D5206" s="156" t="inlineStr">
        <is>
          <t>SY1250</t>
        </is>
      </c>
      <c r="E5206" s="156" t="inlineStr">
        <is>
          <t>Excavator</t>
        </is>
      </c>
      <c r="F5206" s="156" t="inlineStr"/>
      <c r="G5206" s="182" t="n">
        <v>0</v>
      </c>
      <c r="H5206" s="182" t="n">
        <v>0</v>
      </c>
      <c r="I5206" s="182" t="n">
        <v>12</v>
      </c>
      <c r="J5206" s="182" t="n">
        <v>12</v>
      </c>
      <c r="K5206" s="182" t="n">
        <v>0</v>
      </c>
      <c r="L5206" s="182" t="n">
        <v>12</v>
      </c>
      <c r="M5206" s="182" t="n">
        <v>0</v>
      </c>
      <c r="N5206" s="182" t="n">
        <v>0</v>
      </c>
      <c r="O5206" s="185">
        <f>SUMIFS(INPUT_RITASE!$F$5:$F$20000,INPUT_RITASE!$A$5:$A$20000,$A5206,INPUT_RITASE!$H$5:$H$20000,$B5206,INPUT_RITASE!$C$5:$C$20000,$C5206,INPUT_RITASE!$N$5:$N$20000,"OB")</f>
        <v/>
      </c>
      <c r="P5206" s="185">
        <f>SUMIFS(INPUT_RITASE!$F$5:$F$20000,INPUT_RITASE!$A$5:$A$20000,$A5206,INPUT_RITASE!$H$5:$H$20000,$B5206,INPUT_RITASE!$C$5:$C$20000,$C5206,INPUT_RITASE!$N$5:$N$20000,"Coal")</f>
        <v/>
      </c>
      <c r="Q5206" s="186">
        <f>SUMIFS(INPUT_RITASE!$L$5:$L$20000,INPUT_RITASE!$A$5:$A$20000,$A5206,INPUT_RITASE!$H$5:$H$20000,$B5206,INPUT_RITASE!$C$5:$C$20000,$C5206,INPUT_RITASE!$N$5:$N$20000,"OB")</f>
        <v/>
      </c>
      <c r="R5206" s="186">
        <f>SUMIFS(INPUT_RITASE!$L$5:$L$20000,INPUT_RITASE!$A$5:$A$20000,$A5206,INPUT_RITASE!$H$5:$H$20000,$B5206,INPUT_RITASE!$C$5:$C$20000,$C5206,INPUT_RITASE!$N$5:$N$20000,"Coal")</f>
        <v/>
      </c>
      <c r="S5206" s="183" t="n">
        <v>0</v>
      </c>
      <c r="T5206" s="183" t="n">
        <v>0</v>
      </c>
      <c r="U5206" s="182" t="n">
        <v>0</v>
      </c>
      <c r="V5206" s="182" t="n">
        <v>0</v>
      </c>
      <c r="W5206" s="182" t="n">
        <v>0</v>
      </c>
      <c r="X5206" s="182" t="n">
        <v>0</v>
      </c>
      <c r="Y5206" s="182" t="n">
        <v>0</v>
      </c>
      <c r="Z5206" s="182" t="n">
        <v>0</v>
      </c>
      <c r="AA5206" s="182" t="n">
        <v>0</v>
      </c>
      <c r="AB5206" s="182" t="n">
        <v>0</v>
      </c>
      <c r="AC5206" s="182" t="n">
        <v>0</v>
      </c>
      <c r="AD5206" s="182" t="n">
        <v>0</v>
      </c>
      <c r="AE5206" s="182" t="n">
        <v>0</v>
      </c>
      <c r="AF5206" s="182" t="n">
        <v>0</v>
      </c>
      <c r="AG5206" s="182" t="n">
        <v>0</v>
      </c>
      <c r="AH5206" s="182" t="n">
        <v>0</v>
      </c>
      <c r="AI5206" s="182" t="n">
        <v>0</v>
      </c>
      <c r="AJ5206" s="182" t="n">
        <v>0</v>
      </c>
      <c r="AK5206" s="182" t="n">
        <v>0</v>
      </c>
      <c r="AL5206" s="182" t="n">
        <v>0</v>
      </c>
      <c r="AM5206" s="182" t="n">
        <v>0</v>
      </c>
      <c r="AN5206" s="182" t="n">
        <v>0</v>
      </c>
    </row>
    <row r="5207">
      <c r="A5207" s="155" t="n">
        <v>46105</v>
      </c>
      <c r="B5207" s="156" t="inlineStr">
        <is>
          <t>NS</t>
        </is>
      </c>
      <c r="C5207" s="156" t="inlineStr">
        <is>
          <t>EX-1252</t>
        </is>
      </c>
      <c r="D5207" s="156" t="inlineStr">
        <is>
          <t>SY1250</t>
        </is>
      </c>
      <c r="E5207" s="156" t="inlineStr">
        <is>
          <t>Excavator</t>
        </is>
      </c>
      <c r="F5207" s="156" t="inlineStr"/>
      <c r="G5207" s="182" t="n">
        <v>0</v>
      </c>
      <c r="H5207" s="182" t="n">
        <v>0</v>
      </c>
      <c r="I5207" s="182" t="n">
        <v>12</v>
      </c>
      <c r="J5207" s="182" t="n">
        <v>12</v>
      </c>
      <c r="K5207" s="182" t="n">
        <v>0</v>
      </c>
      <c r="L5207" s="182" t="n">
        <v>12</v>
      </c>
      <c r="M5207" s="182" t="n">
        <v>0</v>
      </c>
      <c r="N5207" s="182" t="n">
        <v>0</v>
      </c>
      <c r="O5207" s="185">
        <f>SUMIFS(INPUT_RITASE!$F$5:$F$20000,INPUT_RITASE!$A$5:$A$20000,$A5207,INPUT_RITASE!$H$5:$H$20000,$B5207,INPUT_RITASE!$C$5:$C$20000,$C5207,INPUT_RITASE!$N$5:$N$20000,"OB")</f>
        <v/>
      </c>
      <c r="P5207" s="185">
        <f>SUMIFS(INPUT_RITASE!$F$5:$F$20000,INPUT_RITASE!$A$5:$A$20000,$A5207,INPUT_RITASE!$H$5:$H$20000,$B5207,INPUT_RITASE!$C$5:$C$20000,$C5207,INPUT_RITASE!$N$5:$N$20000,"Coal")</f>
        <v/>
      </c>
      <c r="Q5207" s="186">
        <f>SUMIFS(INPUT_RITASE!$L$5:$L$20000,INPUT_RITASE!$A$5:$A$20000,$A5207,INPUT_RITASE!$H$5:$H$20000,$B5207,INPUT_RITASE!$C$5:$C$20000,$C5207,INPUT_RITASE!$N$5:$N$20000,"OB")</f>
        <v/>
      </c>
      <c r="R5207" s="186">
        <f>SUMIFS(INPUT_RITASE!$L$5:$L$20000,INPUT_RITASE!$A$5:$A$20000,$A5207,INPUT_RITASE!$H$5:$H$20000,$B5207,INPUT_RITASE!$C$5:$C$20000,$C5207,INPUT_RITASE!$N$5:$N$20000,"Coal")</f>
        <v/>
      </c>
      <c r="S5207" s="183" t="n">
        <v>0</v>
      </c>
      <c r="T5207" s="183" t="n">
        <v>0</v>
      </c>
      <c r="U5207" s="182" t="n">
        <v>0</v>
      </c>
      <c r="V5207" s="182" t="n">
        <v>0</v>
      </c>
      <c r="W5207" s="182" t="n">
        <v>0</v>
      </c>
      <c r="X5207" s="182" t="n">
        <v>0</v>
      </c>
      <c r="Y5207" s="182" t="n">
        <v>0</v>
      </c>
      <c r="Z5207" s="182" t="n">
        <v>0</v>
      </c>
      <c r="AA5207" s="182" t="n">
        <v>0</v>
      </c>
      <c r="AB5207" s="182" t="n">
        <v>0</v>
      </c>
      <c r="AC5207" s="182" t="n">
        <v>0</v>
      </c>
      <c r="AD5207" s="182" t="n">
        <v>0</v>
      </c>
      <c r="AE5207" s="182" t="n">
        <v>0</v>
      </c>
      <c r="AF5207" s="182" t="n">
        <v>0</v>
      </c>
      <c r="AG5207" s="182" t="n">
        <v>0</v>
      </c>
      <c r="AH5207" s="182" t="n">
        <v>0</v>
      </c>
      <c r="AI5207" s="182" t="n">
        <v>0</v>
      </c>
      <c r="AJ5207" s="182" t="n">
        <v>0</v>
      </c>
      <c r="AK5207" s="182" t="n">
        <v>0</v>
      </c>
      <c r="AL5207" s="182" t="n">
        <v>0</v>
      </c>
      <c r="AM5207" s="182" t="n">
        <v>0</v>
      </c>
      <c r="AN5207" s="182" t="n">
        <v>0</v>
      </c>
    </row>
    <row r="5208">
      <c r="A5208" s="155" t="n">
        <v>46105</v>
      </c>
      <c r="B5208" s="156" t="inlineStr">
        <is>
          <t>NS</t>
        </is>
      </c>
      <c r="C5208" s="156" t="inlineStr">
        <is>
          <t>EX-2101</t>
        </is>
      </c>
      <c r="D5208" s="156" t="inlineStr">
        <is>
          <t>SY2000</t>
        </is>
      </c>
      <c r="E5208" s="156" t="inlineStr">
        <is>
          <t>Excavator</t>
        </is>
      </c>
      <c r="F5208" s="156" t="inlineStr">
        <is>
          <t>Loading OB</t>
        </is>
      </c>
      <c r="G5208" s="182" t="n">
        <v>3.21</v>
      </c>
      <c r="H5208" s="182" t="n">
        <v>0</v>
      </c>
      <c r="I5208" s="182" t="n">
        <v>4</v>
      </c>
      <c r="J5208" s="182" t="n">
        <v>4</v>
      </c>
      <c r="K5208" s="182" t="n">
        <v>4.79</v>
      </c>
      <c r="L5208" s="182" t="n">
        <v>12</v>
      </c>
      <c r="M5208" s="182" t="n">
        <v>3.14</v>
      </c>
      <c r="N5208" s="182" t="n">
        <v>0</v>
      </c>
      <c r="O5208" s="185">
        <f>SUMIFS(INPUT_RITASE!$F$5:$F$20000,INPUT_RITASE!$A$5:$A$20000,$A5208,INPUT_RITASE!$H$5:$H$20000,$B5208,INPUT_RITASE!$C$5:$C$20000,$C5208,INPUT_RITASE!$N$5:$N$20000,"OB")</f>
        <v/>
      </c>
      <c r="P5208" s="185">
        <f>SUMIFS(INPUT_RITASE!$F$5:$F$20000,INPUT_RITASE!$A$5:$A$20000,$A5208,INPUT_RITASE!$H$5:$H$20000,$B5208,INPUT_RITASE!$C$5:$C$20000,$C5208,INPUT_RITASE!$N$5:$N$20000,"Coal")</f>
        <v/>
      </c>
      <c r="Q5208" s="186">
        <f>SUMIFS(INPUT_RITASE!$L$5:$L$20000,INPUT_RITASE!$A$5:$A$20000,$A5208,INPUT_RITASE!$H$5:$H$20000,$B5208,INPUT_RITASE!$C$5:$C$20000,$C5208,INPUT_RITASE!$N$5:$N$20000,"OB")</f>
        <v/>
      </c>
      <c r="R5208" s="186">
        <f>SUMIFS(INPUT_RITASE!$L$5:$L$20000,INPUT_RITASE!$A$5:$A$20000,$A5208,INPUT_RITASE!$H$5:$H$20000,$B5208,INPUT_RITASE!$C$5:$C$20000,$C5208,INPUT_RITASE!$N$5:$N$20000,"Coal")</f>
        <v/>
      </c>
      <c r="S5208" s="183" t="n">
        <v>0</v>
      </c>
      <c r="T5208" s="183" t="n">
        <v>0</v>
      </c>
      <c r="U5208" s="182" t="n">
        <v>0</v>
      </c>
      <c r="V5208" s="182" t="n">
        <v>0</v>
      </c>
      <c r="W5208" s="182" t="n">
        <v>0</v>
      </c>
      <c r="X5208" s="182" t="n">
        <v>1.06</v>
      </c>
      <c r="Y5208" s="182" t="n">
        <v>0</v>
      </c>
      <c r="Z5208" s="182" t="n">
        <v>0</v>
      </c>
      <c r="AA5208" s="182" t="n">
        <v>0</v>
      </c>
      <c r="AB5208" s="182" t="n">
        <v>0</v>
      </c>
      <c r="AC5208" s="182" t="n">
        <v>0</v>
      </c>
      <c r="AD5208" s="182" t="n">
        <v>0</v>
      </c>
      <c r="AE5208" s="182" t="n">
        <v>0</v>
      </c>
      <c r="AF5208" s="182" t="n">
        <v>0</v>
      </c>
      <c r="AG5208" s="182" t="n">
        <v>0</v>
      </c>
      <c r="AH5208" s="182" t="n">
        <v>0</v>
      </c>
      <c r="AI5208" s="182" t="n">
        <v>3.65</v>
      </c>
      <c r="AJ5208" s="182" t="n">
        <v>0</v>
      </c>
      <c r="AK5208" s="182" t="n">
        <v>0</v>
      </c>
      <c r="AL5208" s="182" t="n">
        <v>0</v>
      </c>
      <c r="AM5208" s="182" t="n">
        <v>0.08</v>
      </c>
      <c r="AN5208" s="182" t="n">
        <v>0</v>
      </c>
    </row>
    <row r="5209">
      <c r="A5209" s="155" t="n">
        <v>46105</v>
      </c>
      <c r="B5209" s="156" t="inlineStr">
        <is>
          <t>NS</t>
        </is>
      </c>
      <c r="C5209" s="156" t="inlineStr">
        <is>
          <t>EX-222</t>
        </is>
      </c>
      <c r="D5209" s="156" t="inlineStr">
        <is>
          <t>PC 200-8MI</t>
        </is>
      </c>
      <c r="E5209" s="156" t="inlineStr">
        <is>
          <t>Excavator</t>
        </is>
      </c>
      <c r="F5209" s="156" t="inlineStr">
        <is>
          <t>Support ROM</t>
        </is>
      </c>
      <c r="G5209" s="182" t="n">
        <v>6.09</v>
      </c>
      <c r="H5209" s="182" t="n">
        <v>0</v>
      </c>
      <c r="I5209" s="182" t="n">
        <v>1.17</v>
      </c>
      <c r="J5209" s="182" t="n">
        <v>1.17</v>
      </c>
      <c r="K5209" s="182" t="n">
        <v>4.74</v>
      </c>
      <c r="L5209" s="182" t="n">
        <v>12</v>
      </c>
      <c r="M5209" s="182" t="n">
        <v>0</v>
      </c>
      <c r="N5209" s="182" t="n">
        <v>0</v>
      </c>
      <c r="O5209" s="185">
        <f>SUMIFS(INPUT_RITASE!$F$5:$F$20000,INPUT_RITASE!$A$5:$A$20000,$A5209,INPUT_RITASE!$H$5:$H$20000,$B5209,INPUT_RITASE!$C$5:$C$20000,$C5209,INPUT_RITASE!$N$5:$N$20000,"OB")</f>
        <v/>
      </c>
      <c r="P5209" s="185">
        <f>SUMIFS(INPUT_RITASE!$F$5:$F$20000,INPUT_RITASE!$A$5:$A$20000,$A5209,INPUT_RITASE!$H$5:$H$20000,$B5209,INPUT_RITASE!$C$5:$C$20000,$C5209,INPUT_RITASE!$N$5:$N$20000,"Coal")</f>
        <v/>
      </c>
      <c r="Q5209" s="186">
        <f>SUMIFS(INPUT_RITASE!$L$5:$L$20000,INPUT_RITASE!$A$5:$A$20000,$A5209,INPUT_RITASE!$H$5:$H$20000,$B5209,INPUT_RITASE!$C$5:$C$20000,$C5209,INPUT_RITASE!$N$5:$N$20000,"OB")</f>
        <v/>
      </c>
      <c r="R5209" s="186">
        <f>SUMIFS(INPUT_RITASE!$L$5:$L$20000,INPUT_RITASE!$A$5:$A$20000,$A5209,INPUT_RITASE!$H$5:$H$20000,$B5209,INPUT_RITASE!$C$5:$C$20000,$C5209,INPUT_RITASE!$N$5:$N$20000,"Coal")</f>
        <v/>
      </c>
      <c r="S5209" s="183" t="n">
        <v>0</v>
      </c>
      <c r="T5209" s="183" t="n">
        <v>0</v>
      </c>
      <c r="U5209" s="182" t="n">
        <v>0</v>
      </c>
      <c r="V5209" s="182" t="n">
        <v>0</v>
      </c>
      <c r="W5209" s="182" t="n">
        <v>0</v>
      </c>
      <c r="X5209" s="182" t="n">
        <v>0.98</v>
      </c>
      <c r="Y5209" s="182" t="n">
        <v>0</v>
      </c>
      <c r="Z5209" s="182" t="n">
        <v>0</v>
      </c>
      <c r="AA5209" s="182" t="n">
        <v>0</v>
      </c>
      <c r="AB5209" s="182" t="n">
        <v>0</v>
      </c>
      <c r="AC5209" s="182" t="n">
        <v>0</v>
      </c>
      <c r="AD5209" s="182" t="n">
        <v>0</v>
      </c>
      <c r="AE5209" s="182" t="n">
        <v>0</v>
      </c>
      <c r="AF5209" s="182" t="n">
        <v>0</v>
      </c>
      <c r="AG5209" s="182" t="n">
        <v>0</v>
      </c>
      <c r="AH5209" s="182" t="n">
        <v>0</v>
      </c>
      <c r="AI5209" s="182" t="n">
        <v>0</v>
      </c>
      <c r="AJ5209" s="182" t="n">
        <v>0</v>
      </c>
      <c r="AK5209" s="182" t="n">
        <v>3.68</v>
      </c>
      <c r="AL5209" s="182" t="n">
        <v>0</v>
      </c>
      <c r="AM5209" s="182" t="n">
        <v>0.08</v>
      </c>
      <c r="AN5209" s="182" t="n">
        <v>0</v>
      </c>
    </row>
    <row r="5210">
      <c r="A5210" s="155" t="n">
        <v>46105</v>
      </c>
      <c r="B5210" s="156" t="inlineStr">
        <is>
          <t>NS</t>
        </is>
      </c>
      <c r="C5210" s="156" t="inlineStr">
        <is>
          <t>EX-225</t>
        </is>
      </c>
      <c r="D5210" s="156" t="inlineStr">
        <is>
          <t>PC 200-8</t>
        </is>
      </c>
      <c r="E5210" s="156" t="inlineStr">
        <is>
          <t>Excavator</t>
        </is>
      </c>
      <c r="F5210" s="156" t="inlineStr"/>
      <c r="G5210" s="182" t="n">
        <v>0</v>
      </c>
      <c r="H5210" s="182" t="n">
        <v>0</v>
      </c>
      <c r="I5210" s="182" t="n">
        <v>12</v>
      </c>
      <c r="J5210" s="182" t="n">
        <v>12</v>
      </c>
      <c r="K5210" s="182" t="n">
        <v>0</v>
      </c>
      <c r="L5210" s="182" t="n">
        <v>12</v>
      </c>
      <c r="M5210" s="182" t="n">
        <v>0</v>
      </c>
      <c r="N5210" s="182" t="n">
        <v>0</v>
      </c>
      <c r="O5210" s="185">
        <f>SUMIFS(INPUT_RITASE!$F$5:$F$20000,INPUT_RITASE!$A$5:$A$20000,$A5210,INPUT_RITASE!$H$5:$H$20000,$B5210,INPUT_RITASE!$C$5:$C$20000,$C5210,INPUT_RITASE!$N$5:$N$20000,"OB")</f>
        <v/>
      </c>
      <c r="P5210" s="185">
        <f>SUMIFS(INPUT_RITASE!$F$5:$F$20000,INPUT_RITASE!$A$5:$A$20000,$A5210,INPUT_RITASE!$H$5:$H$20000,$B5210,INPUT_RITASE!$C$5:$C$20000,$C5210,INPUT_RITASE!$N$5:$N$20000,"Coal")</f>
        <v/>
      </c>
      <c r="Q5210" s="186">
        <f>SUMIFS(INPUT_RITASE!$L$5:$L$20000,INPUT_RITASE!$A$5:$A$20000,$A5210,INPUT_RITASE!$H$5:$H$20000,$B5210,INPUT_RITASE!$C$5:$C$20000,$C5210,INPUT_RITASE!$N$5:$N$20000,"OB")</f>
        <v/>
      </c>
      <c r="R5210" s="186">
        <f>SUMIFS(INPUT_RITASE!$L$5:$L$20000,INPUT_RITASE!$A$5:$A$20000,$A5210,INPUT_RITASE!$H$5:$H$20000,$B5210,INPUT_RITASE!$C$5:$C$20000,$C5210,INPUT_RITASE!$N$5:$N$20000,"Coal")</f>
        <v/>
      </c>
      <c r="S5210" s="183" t="n">
        <v>0</v>
      </c>
      <c r="T5210" s="183" t="n">
        <v>0</v>
      </c>
      <c r="U5210" s="182" t="n">
        <v>0</v>
      </c>
      <c r="V5210" s="182" t="n">
        <v>0</v>
      </c>
      <c r="W5210" s="182" t="n">
        <v>0</v>
      </c>
      <c r="X5210" s="182" t="n">
        <v>0</v>
      </c>
      <c r="Y5210" s="182" t="n">
        <v>0</v>
      </c>
      <c r="Z5210" s="182" t="n">
        <v>0</v>
      </c>
      <c r="AA5210" s="182" t="n">
        <v>0</v>
      </c>
      <c r="AB5210" s="182" t="n">
        <v>0</v>
      </c>
      <c r="AC5210" s="182" t="n">
        <v>0</v>
      </c>
      <c r="AD5210" s="182" t="n">
        <v>0</v>
      </c>
      <c r="AE5210" s="182" t="n">
        <v>0</v>
      </c>
      <c r="AF5210" s="182" t="n">
        <v>0</v>
      </c>
      <c r="AG5210" s="182" t="n">
        <v>0</v>
      </c>
      <c r="AH5210" s="182" t="n">
        <v>0</v>
      </c>
      <c r="AI5210" s="182" t="n">
        <v>0</v>
      </c>
      <c r="AJ5210" s="182" t="n">
        <v>0</v>
      </c>
      <c r="AK5210" s="182" t="n">
        <v>0</v>
      </c>
      <c r="AL5210" s="182" t="n">
        <v>0</v>
      </c>
      <c r="AM5210" s="182" t="n">
        <v>0</v>
      </c>
      <c r="AN5210" s="182" t="n">
        <v>0</v>
      </c>
    </row>
    <row r="5211">
      <c r="A5211" s="155" t="n">
        <v>46105</v>
      </c>
      <c r="B5211" s="156" t="inlineStr">
        <is>
          <t>NS</t>
        </is>
      </c>
      <c r="C5211" s="156" t="inlineStr">
        <is>
          <t>EX-223</t>
        </is>
      </c>
      <c r="D5211" s="156" t="inlineStr">
        <is>
          <t>PC 200-8MI</t>
        </is>
      </c>
      <c r="E5211" s="156" t="inlineStr">
        <is>
          <t>Excavator</t>
        </is>
      </c>
      <c r="F5211" s="156" t="inlineStr">
        <is>
          <t>Support ROM</t>
        </is>
      </c>
      <c r="G5211" s="182" t="n">
        <v>8.52</v>
      </c>
      <c r="H5211" s="182" t="n">
        <v>0</v>
      </c>
      <c r="I5211" s="182" t="n">
        <v>0</v>
      </c>
      <c r="J5211" s="182" t="n">
        <v>0</v>
      </c>
      <c r="K5211" s="182" t="n">
        <v>3.48</v>
      </c>
      <c r="L5211" s="182" t="n">
        <v>12</v>
      </c>
      <c r="M5211" s="182" t="n">
        <v>0</v>
      </c>
      <c r="N5211" s="182" t="n">
        <v>0</v>
      </c>
      <c r="O5211" s="185">
        <f>SUMIFS(INPUT_RITASE!$F$5:$F$20000,INPUT_RITASE!$A$5:$A$20000,$A5211,INPUT_RITASE!$H$5:$H$20000,$B5211,INPUT_RITASE!$C$5:$C$20000,$C5211,INPUT_RITASE!$N$5:$N$20000,"OB")</f>
        <v/>
      </c>
      <c r="P5211" s="185">
        <f>SUMIFS(INPUT_RITASE!$F$5:$F$20000,INPUT_RITASE!$A$5:$A$20000,$A5211,INPUT_RITASE!$H$5:$H$20000,$B5211,INPUT_RITASE!$C$5:$C$20000,$C5211,INPUT_RITASE!$N$5:$N$20000,"Coal")</f>
        <v/>
      </c>
      <c r="Q5211" s="186">
        <f>SUMIFS(INPUT_RITASE!$L$5:$L$20000,INPUT_RITASE!$A$5:$A$20000,$A5211,INPUT_RITASE!$H$5:$H$20000,$B5211,INPUT_RITASE!$C$5:$C$20000,$C5211,INPUT_RITASE!$N$5:$N$20000,"OB")</f>
        <v/>
      </c>
      <c r="R5211" s="186">
        <f>SUMIFS(INPUT_RITASE!$L$5:$L$20000,INPUT_RITASE!$A$5:$A$20000,$A5211,INPUT_RITASE!$H$5:$H$20000,$B5211,INPUT_RITASE!$C$5:$C$20000,$C5211,INPUT_RITASE!$N$5:$N$20000,"Coal")</f>
        <v/>
      </c>
      <c r="S5211" s="183" t="n">
        <v>0</v>
      </c>
      <c r="T5211" s="183" t="n">
        <v>0</v>
      </c>
      <c r="U5211" s="182" t="n">
        <v>0</v>
      </c>
      <c r="V5211" s="182" t="n">
        <v>0</v>
      </c>
      <c r="W5211" s="182" t="n">
        <v>0</v>
      </c>
      <c r="X5211" s="182" t="n">
        <v>1.05</v>
      </c>
      <c r="Y5211" s="182" t="n">
        <v>0</v>
      </c>
      <c r="Z5211" s="182" t="n">
        <v>0</v>
      </c>
      <c r="AA5211" s="182" t="n">
        <v>0</v>
      </c>
      <c r="AB5211" s="182" t="n">
        <v>0</v>
      </c>
      <c r="AC5211" s="182" t="n">
        <v>0</v>
      </c>
      <c r="AD5211" s="182" t="n">
        <v>0</v>
      </c>
      <c r="AE5211" s="182" t="n">
        <v>0</v>
      </c>
      <c r="AF5211" s="182" t="n">
        <v>0</v>
      </c>
      <c r="AG5211" s="182" t="n">
        <v>0</v>
      </c>
      <c r="AH5211" s="182" t="n">
        <v>0</v>
      </c>
      <c r="AI5211" s="182" t="n">
        <v>0</v>
      </c>
      <c r="AJ5211" s="182" t="n">
        <v>0</v>
      </c>
      <c r="AK5211" s="182" t="n">
        <v>2.34</v>
      </c>
      <c r="AL5211" s="182" t="n">
        <v>0</v>
      </c>
      <c r="AM5211" s="182" t="n">
        <v>0.08</v>
      </c>
      <c r="AN5211" s="182" t="n">
        <v>0</v>
      </c>
    </row>
    <row r="5212">
      <c r="A5212" s="155" t="n">
        <v>46105</v>
      </c>
      <c r="B5212" s="156" t="inlineStr">
        <is>
          <t>NS</t>
        </is>
      </c>
      <c r="C5212" s="156" t="inlineStr">
        <is>
          <t>EX-221</t>
        </is>
      </c>
      <c r="D5212" s="156" t="inlineStr">
        <is>
          <t>PC 200-8MI</t>
        </is>
      </c>
      <c r="E5212" s="156" t="inlineStr">
        <is>
          <t>Excavator</t>
        </is>
      </c>
      <c r="F5212" s="156" t="inlineStr">
        <is>
          <t>General Jetty</t>
        </is>
      </c>
      <c r="G5212" s="182" t="n">
        <v>5.64</v>
      </c>
      <c r="H5212" s="182" t="n">
        <v>0</v>
      </c>
      <c r="I5212" s="182" t="n">
        <v>0</v>
      </c>
      <c r="J5212" s="182" t="n">
        <v>0</v>
      </c>
      <c r="K5212" s="182" t="n">
        <v>6.36</v>
      </c>
      <c r="L5212" s="182" t="n">
        <v>12</v>
      </c>
      <c r="M5212" s="182" t="n">
        <v>0</v>
      </c>
      <c r="N5212" s="182" t="n">
        <v>0</v>
      </c>
      <c r="O5212" s="185">
        <f>SUMIFS(INPUT_RITASE!$F$5:$F$20000,INPUT_RITASE!$A$5:$A$20000,$A5212,INPUT_RITASE!$H$5:$H$20000,$B5212,INPUT_RITASE!$C$5:$C$20000,$C5212,INPUT_RITASE!$N$5:$N$20000,"OB")</f>
        <v/>
      </c>
      <c r="P5212" s="185">
        <f>SUMIFS(INPUT_RITASE!$F$5:$F$20000,INPUT_RITASE!$A$5:$A$20000,$A5212,INPUT_RITASE!$H$5:$H$20000,$B5212,INPUT_RITASE!$C$5:$C$20000,$C5212,INPUT_RITASE!$N$5:$N$20000,"Coal")</f>
        <v/>
      </c>
      <c r="Q5212" s="186">
        <f>SUMIFS(INPUT_RITASE!$L$5:$L$20000,INPUT_RITASE!$A$5:$A$20000,$A5212,INPUT_RITASE!$H$5:$H$20000,$B5212,INPUT_RITASE!$C$5:$C$20000,$C5212,INPUT_RITASE!$N$5:$N$20000,"OB")</f>
        <v/>
      </c>
      <c r="R5212" s="186">
        <f>SUMIFS(INPUT_RITASE!$L$5:$L$20000,INPUT_RITASE!$A$5:$A$20000,$A5212,INPUT_RITASE!$H$5:$H$20000,$B5212,INPUT_RITASE!$C$5:$C$20000,$C5212,INPUT_RITASE!$N$5:$N$20000,"Coal")</f>
        <v/>
      </c>
      <c r="S5212" s="183" t="n">
        <v>0</v>
      </c>
      <c r="T5212" s="183" t="n">
        <v>0</v>
      </c>
      <c r="U5212" s="182" t="n">
        <v>0</v>
      </c>
      <c r="V5212" s="182" t="n">
        <v>0</v>
      </c>
      <c r="W5212" s="182" t="n">
        <v>0</v>
      </c>
      <c r="X5212" s="182" t="n">
        <v>0.98</v>
      </c>
      <c r="Y5212" s="182" t="n">
        <v>0</v>
      </c>
      <c r="Z5212" s="182" t="n">
        <v>0</v>
      </c>
      <c r="AA5212" s="182" t="n">
        <v>0</v>
      </c>
      <c r="AB5212" s="182" t="n">
        <v>0</v>
      </c>
      <c r="AC5212" s="182" t="n">
        <v>0</v>
      </c>
      <c r="AD5212" s="182" t="n">
        <v>0</v>
      </c>
      <c r="AE5212" s="182" t="n">
        <v>0</v>
      </c>
      <c r="AF5212" s="182" t="n">
        <v>0</v>
      </c>
      <c r="AG5212" s="182" t="n">
        <v>0</v>
      </c>
      <c r="AH5212" s="182" t="n">
        <v>0</v>
      </c>
      <c r="AI5212" s="182" t="n">
        <v>0</v>
      </c>
      <c r="AJ5212" s="182" t="n">
        <v>0</v>
      </c>
      <c r="AK5212" s="182" t="n">
        <v>5.3</v>
      </c>
      <c r="AL5212" s="182" t="n">
        <v>0</v>
      </c>
      <c r="AM5212" s="182" t="n">
        <v>0.08</v>
      </c>
      <c r="AN5212" s="182" t="n">
        <v>0</v>
      </c>
    </row>
    <row r="5213">
      <c r="A5213" s="155" t="n">
        <v>46105</v>
      </c>
      <c r="B5213" s="156" t="inlineStr">
        <is>
          <t>NS</t>
        </is>
      </c>
      <c r="C5213" s="156" t="inlineStr">
        <is>
          <t>EX-331</t>
        </is>
      </c>
      <c r="D5213" s="156" t="inlineStr">
        <is>
          <t>PC 300-8MO</t>
        </is>
      </c>
      <c r="E5213" s="156" t="inlineStr">
        <is>
          <t>Excavator</t>
        </is>
      </c>
      <c r="F5213" s="156" t="inlineStr"/>
      <c r="G5213" s="182" t="n">
        <v>0</v>
      </c>
      <c r="H5213" s="182" t="n">
        <v>0</v>
      </c>
      <c r="I5213" s="182" t="n">
        <v>12</v>
      </c>
      <c r="J5213" s="182" t="n">
        <v>12</v>
      </c>
      <c r="K5213" s="182" t="n">
        <v>0</v>
      </c>
      <c r="L5213" s="182" t="n">
        <v>12</v>
      </c>
      <c r="M5213" s="182" t="n">
        <v>0</v>
      </c>
      <c r="N5213" s="182" t="n">
        <v>0</v>
      </c>
      <c r="O5213" s="185">
        <f>SUMIFS(INPUT_RITASE!$F$5:$F$20000,INPUT_RITASE!$A$5:$A$20000,$A5213,INPUT_RITASE!$H$5:$H$20000,$B5213,INPUT_RITASE!$C$5:$C$20000,$C5213,INPUT_RITASE!$N$5:$N$20000,"OB")</f>
        <v/>
      </c>
      <c r="P5213" s="185">
        <f>SUMIFS(INPUT_RITASE!$F$5:$F$20000,INPUT_RITASE!$A$5:$A$20000,$A5213,INPUT_RITASE!$H$5:$H$20000,$B5213,INPUT_RITASE!$C$5:$C$20000,$C5213,INPUT_RITASE!$N$5:$N$20000,"Coal")</f>
        <v/>
      </c>
      <c r="Q5213" s="186">
        <f>SUMIFS(INPUT_RITASE!$L$5:$L$20000,INPUT_RITASE!$A$5:$A$20000,$A5213,INPUT_RITASE!$H$5:$H$20000,$B5213,INPUT_RITASE!$C$5:$C$20000,$C5213,INPUT_RITASE!$N$5:$N$20000,"OB")</f>
        <v/>
      </c>
      <c r="R5213" s="186">
        <f>SUMIFS(INPUT_RITASE!$L$5:$L$20000,INPUT_RITASE!$A$5:$A$20000,$A5213,INPUT_RITASE!$H$5:$H$20000,$B5213,INPUT_RITASE!$C$5:$C$20000,$C5213,INPUT_RITASE!$N$5:$N$20000,"Coal")</f>
        <v/>
      </c>
      <c r="S5213" s="183" t="n">
        <v>0</v>
      </c>
      <c r="T5213" s="183" t="n">
        <v>0</v>
      </c>
      <c r="U5213" s="182" t="n">
        <v>0</v>
      </c>
      <c r="V5213" s="182" t="n">
        <v>0</v>
      </c>
      <c r="W5213" s="182" t="n">
        <v>0</v>
      </c>
      <c r="X5213" s="182" t="n">
        <v>0</v>
      </c>
      <c r="Y5213" s="182" t="n">
        <v>0</v>
      </c>
      <c r="Z5213" s="182" t="n">
        <v>0</v>
      </c>
      <c r="AA5213" s="182" t="n">
        <v>0</v>
      </c>
      <c r="AB5213" s="182" t="n">
        <v>0</v>
      </c>
      <c r="AC5213" s="182" t="n">
        <v>0</v>
      </c>
      <c r="AD5213" s="182" t="n">
        <v>0</v>
      </c>
      <c r="AE5213" s="182" t="n">
        <v>0</v>
      </c>
      <c r="AF5213" s="182" t="n">
        <v>0</v>
      </c>
      <c r="AG5213" s="182" t="n">
        <v>0</v>
      </c>
      <c r="AH5213" s="182" t="n">
        <v>0</v>
      </c>
      <c r="AI5213" s="182" t="n">
        <v>0</v>
      </c>
      <c r="AJ5213" s="182" t="n">
        <v>0</v>
      </c>
      <c r="AK5213" s="182" t="n">
        <v>0</v>
      </c>
      <c r="AL5213" s="182" t="n">
        <v>0</v>
      </c>
      <c r="AM5213" s="182" t="n">
        <v>0</v>
      </c>
      <c r="AN5213" s="182" t="n">
        <v>0</v>
      </c>
    </row>
    <row r="5214">
      <c r="A5214" s="155" t="n">
        <v>46105</v>
      </c>
      <c r="B5214" s="156" t="inlineStr">
        <is>
          <t>NS</t>
        </is>
      </c>
      <c r="C5214" s="156" t="inlineStr">
        <is>
          <t>EX-334</t>
        </is>
      </c>
      <c r="D5214" s="156" t="inlineStr">
        <is>
          <t>PC 300-8MO</t>
        </is>
      </c>
      <c r="E5214" s="156" t="inlineStr">
        <is>
          <t>Excavator</t>
        </is>
      </c>
      <c r="F5214" s="156" t="inlineStr">
        <is>
          <t>Support Washing Plant</t>
        </is>
      </c>
      <c r="G5214" s="182" t="n">
        <v>12</v>
      </c>
      <c r="H5214" s="182" t="n">
        <v>0</v>
      </c>
      <c r="I5214" s="182" t="n">
        <v>0</v>
      </c>
      <c r="J5214" s="182" t="n">
        <v>0</v>
      </c>
      <c r="K5214" s="182" t="n">
        <v>0</v>
      </c>
      <c r="L5214" s="182" t="n">
        <v>12</v>
      </c>
      <c r="M5214" s="182" t="n">
        <v>0</v>
      </c>
      <c r="N5214" s="182" t="n">
        <v>0</v>
      </c>
      <c r="O5214" s="185">
        <f>SUMIFS(INPUT_RITASE!$F$5:$F$20000,INPUT_RITASE!$A$5:$A$20000,$A5214,INPUT_RITASE!$H$5:$H$20000,$B5214,INPUT_RITASE!$C$5:$C$20000,$C5214,INPUT_RITASE!$N$5:$N$20000,"OB")</f>
        <v/>
      </c>
      <c r="P5214" s="185">
        <f>SUMIFS(INPUT_RITASE!$F$5:$F$20000,INPUT_RITASE!$A$5:$A$20000,$A5214,INPUT_RITASE!$H$5:$H$20000,$B5214,INPUT_RITASE!$C$5:$C$20000,$C5214,INPUT_RITASE!$N$5:$N$20000,"Coal")</f>
        <v/>
      </c>
      <c r="Q5214" s="186">
        <f>SUMIFS(INPUT_RITASE!$L$5:$L$20000,INPUT_RITASE!$A$5:$A$20000,$A5214,INPUT_RITASE!$H$5:$H$20000,$B5214,INPUT_RITASE!$C$5:$C$20000,$C5214,INPUT_RITASE!$N$5:$N$20000,"OB")</f>
        <v/>
      </c>
      <c r="R5214" s="186">
        <f>SUMIFS(INPUT_RITASE!$L$5:$L$20000,INPUT_RITASE!$A$5:$A$20000,$A5214,INPUT_RITASE!$H$5:$H$20000,$B5214,INPUT_RITASE!$C$5:$C$20000,$C5214,INPUT_RITASE!$N$5:$N$20000,"Coal")</f>
        <v/>
      </c>
      <c r="S5214" s="183" t="n">
        <v>0</v>
      </c>
      <c r="T5214" s="183" t="n">
        <v>0</v>
      </c>
      <c r="U5214" s="182" t="n">
        <v>0</v>
      </c>
      <c r="V5214" s="182" t="n">
        <v>0</v>
      </c>
      <c r="W5214" s="182" t="n">
        <v>0</v>
      </c>
      <c r="X5214" s="182" t="n">
        <v>0</v>
      </c>
      <c r="Y5214" s="182" t="n">
        <v>0</v>
      </c>
      <c r="Z5214" s="182" t="n">
        <v>0</v>
      </c>
      <c r="AA5214" s="182" t="n">
        <v>0</v>
      </c>
      <c r="AB5214" s="182" t="n">
        <v>0</v>
      </c>
      <c r="AC5214" s="182" t="n">
        <v>0</v>
      </c>
      <c r="AD5214" s="182" t="n">
        <v>0</v>
      </c>
      <c r="AE5214" s="182" t="n">
        <v>0</v>
      </c>
      <c r="AF5214" s="182" t="n">
        <v>0</v>
      </c>
      <c r="AG5214" s="182" t="n">
        <v>0</v>
      </c>
      <c r="AH5214" s="182" t="n">
        <v>0</v>
      </c>
      <c r="AI5214" s="182" t="n">
        <v>0</v>
      </c>
      <c r="AJ5214" s="182" t="n">
        <v>0</v>
      </c>
      <c r="AK5214" s="182" t="n">
        <v>0</v>
      </c>
      <c r="AL5214" s="182" t="n">
        <v>0</v>
      </c>
      <c r="AM5214" s="182" t="n">
        <v>0</v>
      </c>
      <c r="AN5214" s="182" t="n">
        <v>0</v>
      </c>
    </row>
    <row r="5215">
      <c r="A5215" s="155" t="n">
        <v>46105</v>
      </c>
      <c r="B5215" s="156" t="inlineStr">
        <is>
          <t>NS</t>
        </is>
      </c>
      <c r="C5215" s="156" t="inlineStr">
        <is>
          <t>EX-332</t>
        </is>
      </c>
      <c r="D5215" s="156" t="inlineStr">
        <is>
          <t>PC 300-8MO</t>
        </is>
      </c>
      <c r="E5215" s="156" t="inlineStr">
        <is>
          <t>Excavator</t>
        </is>
      </c>
      <c r="F5215" s="156" t="inlineStr"/>
      <c r="G5215" s="182" t="n">
        <v>0</v>
      </c>
      <c r="H5215" s="182" t="n">
        <v>0</v>
      </c>
      <c r="I5215" s="182" t="n">
        <v>12</v>
      </c>
      <c r="J5215" s="182" t="n">
        <v>12</v>
      </c>
      <c r="K5215" s="182" t="n">
        <v>0</v>
      </c>
      <c r="L5215" s="182" t="n">
        <v>12</v>
      </c>
      <c r="M5215" s="182" t="n">
        <v>0</v>
      </c>
      <c r="N5215" s="182" t="n">
        <v>0</v>
      </c>
      <c r="O5215" s="185">
        <f>SUMIFS(INPUT_RITASE!$F$5:$F$20000,INPUT_RITASE!$A$5:$A$20000,$A5215,INPUT_RITASE!$H$5:$H$20000,$B5215,INPUT_RITASE!$C$5:$C$20000,$C5215,INPUT_RITASE!$N$5:$N$20000,"OB")</f>
        <v/>
      </c>
      <c r="P5215" s="185">
        <f>SUMIFS(INPUT_RITASE!$F$5:$F$20000,INPUT_RITASE!$A$5:$A$20000,$A5215,INPUT_RITASE!$H$5:$H$20000,$B5215,INPUT_RITASE!$C$5:$C$20000,$C5215,INPUT_RITASE!$N$5:$N$20000,"Coal")</f>
        <v/>
      </c>
      <c r="Q5215" s="186">
        <f>SUMIFS(INPUT_RITASE!$L$5:$L$20000,INPUT_RITASE!$A$5:$A$20000,$A5215,INPUT_RITASE!$H$5:$H$20000,$B5215,INPUT_RITASE!$C$5:$C$20000,$C5215,INPUT_RITASE!$N$5:$N$20000,"OB")</f>
        <v/>
      </c>
      <c r="R5215" s="186">
        <f>SUMIFS(INPUT_RITASE!$L$5:$L$20000,INPUT_RITASE!$A$5:$A$20000,$A5215,INPUT_RITASE!$H$5:$H$20000,$B5215,INPUT_RITASE!$C$5:$C$20000,$C5215,INPUT_RITASE!$N$5:$N$20000,"Coal")</f>
        <v/>
      </c>
      <c r="S5215" s="183" t="n">
        <v>0</v>
      </c>
      <c r="T5215" s="183" t="n">
        <v>0</v>
      </c>
      <c r="U5215" s="182" t="n">
        <v>0</v>
      </c>
      <c r="V5215" s="182" t="n">
        <v>0</v>
      </c>
      <c r="W5215" s="182" t="n">
        <v>0</v>
      </c>
      <c r="X5215" s="182" t="n">
        <v>0</v>
      </c>
      <c r="Y5215" s="182" t="n">
        <v>0</v>
      </c>
      <c r="Z5215" s="182" t="n">
        <v>0</v>
      </c>
      <c r="AA5215" s="182" t="n">
        <v>0</v>
      </c>
      <c r="AB5215" s="182" t="n">
        <v>0</v>
      </c>
      <c r="AC5215" s="182" t="n">
        <v>0</v>
      </c>
      <c r="AD5215" s="182" t="n">
        <v>0</v>
      </c>
      <c r="AE5215" s="182" t="n">
        <v>0</v>
      </c>
      <c r="AF5215" s="182" t="n">
        <v>0</v>
      </c>
      <c r="AG5215" s="182" t="n">
        <v>0</v>
      </c>
      <c r="AH5215" s="182" t="n">
        <v>0</v>
      </c>
      <c r="AI5215" s="182" t="n">
        <v>0</v>
      </c>
      <c r="AJ5215" s="182" t="n">
        <v>0</v>
      </c>
      <c r="AK5215" s="182" t="n">
        <v>0</v>
      </c>
      <c r="AL5215" s="182" t="n">
        <v>0</v>
      </c>
      <c r="AM5215" s="182" t="n">
        <v>0</v>
      </c>
      <c r="AN5215" s="182" t="n">
        <v>0</v>
      </c>
    </row>
    <row r="5216">
      <c r="A5216" s="155" t="n">
        <v>46105</v>
      </c>
      <c r="B5216" s="156" t="inlineStr">
        <is>
          <t>NS</t>
        </is>
      </c>
      <c r="C5216" s="156" t="inlineStr">
        <is>
          <t>EX-333</t>
        </is>
      </c>
      <c r="D5216" s="156" t="inlineStr">
        <is>
          <t>PC 300-8MO</t>
        </is>
      </c>
      <c r="E5216" s="156" t="inlineStr">
        <is>
          <t>Excavator</t>
        </is>
      </c>
      <c r="F5216" s="156" t="inlineStr">
        <is>
          <t>Cleaning Coal &amp; General</t>
        </is>
      </c>
      <c r="G5216" s="182" t="n">
        <v>9.94</v>
      </c>
      <c r="H5216" s="182" t="n">
        <v>0</v>
      </c>
      <c r="I5216" s="182" t="n">
        <v>0</v>
      </c>
      <c r="J5216" s="182" t="n">
        <v>0</v>
      </c>
      <c r="K5216" s="182" t="n">
        <v>2.06</v>
      </c>
      <c r="L5216" s="182" t="n">
        <v>12</v>
      </c>
      <c r="M5216" s="182" t="n">
        <v>0</v>
      </c>
      <c r="N5216" s="182" t="n">
        <v>0</v>
      </c>
      <c r="O5216" s="185">
        <f>SUMIFS(INPUT_RITASE!$F$5:$F$20000,INPUT_RITASE!$A$5:$A$20000,$A5216,INPUT_RITASE!$H$5:$H$20000,$B5216,INPUT_RITASE!$C$5:$C$20000,$C5216,INPUT_RITASE!$N$5:$N$20000,"OB")</f>
        <v/>
      </c>
      <c r="P5216" s="185">
        <f>SUMIFS(INPUT_RITASE!$F$5:$F$20000,INPUT_RITASE!$A$5:$A$20000,$A5216,INPUT_RITASE!$H$5:$H$20000,$B5216,INPUT_RITASE!$C$5:$C$20000,$C5216,INPUT_RITASE!$N$5:$N$20000,"Coal")</f>
        <v/>
      </c>
      <c r="Q5216" s="186">
        <f>SUMIFS(INPUT_RITASE!$L$5:$L$20000,INPUT_RITASE!$A$5:$A$20000,$A5216,INPUT_RITASE!$H$5:$H$20000,$B5216,INPUT_RITASE!$C$5:$C$20000,$C5216,INPUT_RITASE!$N$5:$N$20000,"OB")</f>
        <v/>
      </c>
      <c r="R5216" s="186">
        <f>SUMIFS(INPUT_RITASE!$L$5:$L$20000,INPUT_RITASE!$A$5:$A$20000,$A5216,INPUT_RITASE!$H$5:$H$20000,$B5216,INPUT_RITASE!$C$5:$C$20000,$C5216,INPUT_RITASE!$N$5:$N$20000,"Coal")</f>
        <v/>
      </c>
      <c r="S5216" s="183" t="n">
        <v>0</v>
      </c>
      <c r="T5216" s="183" t="n">
        <v>0</v>
      </c>
      <c r="U5216" s="182" t="n">
        <v>0</v>
      </c>
      <c r="V5216" s="182" t="n">
        <v>0</v>
      </c>
      <c r="W5216" s="182" t="n">
        <v>0</v>
      </c>
      <c r="X5216" s="182" t="n">
        <v>1.14</v>
      </c>
      <c r="Y5216" s="182" t="n">
        <v>0</v>
      </c>
      <c r="Z5216" s="182" t="n">
        <v>0</v>
      </c>
      <c r="AA5216" s="182" t="n">
        <v>0</v>
      </c>
      <c r="AB5216" s="182" t="n">
        <v>0</v>
      </c>
      <c r="AC5216" s="182" t="n">
        <v>0</v>
      </c>
      <c r="AD5216" s="182" t="n">
        <v>0</v>
      </c>
      <c r="AE5216" s="182" t="n">
        <v>0</v>
      </c>
      <c r="AF5216" s="182" t="n">
        <v>0</v>
      </c>
      <c r="AG5216" s="182" t="n">
        <v>0</v>
      </c>
      <c r="AH5216" s="182" t="n">
        <v>0.82</v>
      </c>
      <c r="AI5216" s="182" t="n">
        <v>0</v>
      </c>
      <c r="AJ5216" s="182" t="n">
        <v>0</v>
      </c>
      <c r="AK5216" s="182" t="n">
        <v>0</v>
      </c>
      <c r="AL5216" s="182" t="n">
        <v>0</v>
      </c>
      <c r="AM5216" s="182" t="n">
        <v>0.09</v>
      </c>
      <c r="AN5216" s="182" t="n">
        <v>0</v>
      </c>
    </row>
    <row r="5217">
      <c r="A5217" s="155" t="n">
        <v>46105</v>
      </c>
      <c r="B5217" s="156" t="inlineStr">
        <is>
          <t>NS</t>
        </is>
      </c>
      <c r="C5217" s="156" t="inlineStr">
        <is>
          <t>EX-336</t>
        </is>
      </c>
      <c r="D5217" s="156" t="inlineStr">
        <is>
          <t>PC 300-8MO</t>
        </is>
      </c>
      <c r="E5217" s="156" t="inlineStr">
        <is>
          <t>Excavator</t>
        </is>
      </c>
      <c r="F5217" s="156" t="inlineStr">
        <is>
          <t>Loading Parting &amp; Coal</t>
        </is>
      </c>
      <c r="G5217" s="182" t="n">
        <v>10.23</v>
      </c>
      <c r="H5217" s="182" t="n">
        <v>0</v>
      </c>
      <c r="I5217" s="182" t="n">
        <v>0</v>
      </c>
      <c r="J5217" s="182" t="n">
        <v>0</v>
      </c>
      <c r="K5217" s="182" t="n">
        <v>1.77</v>
      </c>
      <c r="L5217" s="182" t="n">
        <v>12</v>
      </c>
      <c r="M5217" s="182" t="n">
        <v>4.6</v>
      </c>
      <c r="N5217" s="182" t="n">
        <v>4.6</v>
      </c>
      <c r="O5217" s="185">
        <f>SUMIFS(INPUT_RITASE!$F$5:$F$20000,INPUT_RITASE!$A$5:$A$20000,$A5217,INPUT_RITASE!$H$5:$H$20000,$B5217,INPUT_RITASE!$C$5:$C$20000,$C5217,INPUT_RITASE!$N$5:$N$20000,"OB")</f>
        <v/>
      </c>
      <c r="P5217" s="185">
        <f>SUMIFS(INPUT_RITASE!$F$5:$F$20000,INPUT_RITASE!$A$5:$A$20000,$A5217,INPUT_RITASE!$H$5:$H$20000,$B5217,INPUT_RITASE!$C$5:$C$20000,$C5217,INPUT_RITASE!$N$5:$N$20000,"Coal")</f>
        <v/>
      </c>
      <c r="Q5217" s="186">
        <f>SUMIFS(INPUT_RITASE!$L$5:$L$20000,INPUT_RITASE!$A$5:$A$20000,$A5217,INPUT_RITASE!$H$5:$H$20000,$B5217,INPUT_RITASE!$C$5:$C$20000,$C5217,INPUT_RITASE!$N$5:$N$20000,"OB")</f>
        <v/>
      </c>
      <c r="R5217" s="186">
        <f>SUMIFS(INPUT_RITASE!$L$5:$L$20000,INPUT_RITASE!$A$5:$A$20000,$A5217,INPUT_RITASE!$H$5:$H$20000,$B5217,INPUT_RITASE!$C$5:$C$20000,$C5217,INPUT_RITASE!$N$5:$N$20000,"Coal")</f>
        <v/>
      </c>
      <c r="S5217" s="183" t="n">
        <v>0</v>
      </c>
      <c r="T5217" s="183" t="n">
        <v>0</v>
      </c>
      <c r="U5217" s="182" t="n">
        <v>0</v>
      </c>
      <c r="V5217" s="182" t="n">
        <v>0</v>
      </c>
      <c r="W5217" s="182" t="n">
        <v>0</v>
      </c>
      <c r="X5217" s="182" t="n">
        <v>0.89</v>
      </c>
      <c r="Y5217" s="182" t="n">
        <v>0</v>
      </c>
      <c r="Z5217" s="182" t="n">
        <v>0</v>
      </c>
      <c r="AA5217" s="182" t="n">
        <v>0</v>
      </c>
      <c r="AB5217" s="182" t="n">
        <v>0</v>
      </c>
      <c r="AC5217" s="182" t="n">
        <v>0</v>
      </c>
      <c r="AD5217" s="182" t="n">
        <v>0</v>
      </c>
      <c r="AE5217" s="182" t="n">
        <v>0</v>
      </c>
      <c r="AF5217" s="182" t="n">
        <v>0</v>
      </c>
      <c r="AG5217" s="182" t="n">
        <v>0</v>
      </c>
      <c r="AH5217" s="182" t="n">
        <v>0.8100000000000001</v>
      </c>
      <c r="AI5217" s="182" t="n">
        <v>0</v>
      </c>
      <c r="AJ5217" s="182" t="n">
        <v>0</v>
      </c>
      <c r="AK5217" s="182" t="n">
        <v>0</v>
      </c>
      <c r="AL5217" s="182" t="n">
        <v>0</v>
      </c>
      <c r="AM5217" s="182" t="n">
        <v>0.07000000000000001</v>
      </c>
      <c r="AN5217" s="182" t="n">
        <v>0</v>
      </c>
    </row>
    <row r="5218">
      <c r="A5218" s="155" t="n">
        <v>46105</v>
      </c>
      <c r="B5218" s="156" t="inlineStr">
        <is>
          <t>NS</t>
        </is>
      </c>
      <c r="C5218" s="156" t="inlineStr">
        <is>
          <t>EX-335</t>
        </is>
      </c>
      <c r="D5218" s="156" t="inlineStr">
        <is>
          <t>PC 300-8MO</t>
        </is>
      </c>
      <c r="E5218" s="156" t="inlineStr">
        <is>
          <t>Excavator</t>
        </is>
      </c>
      <c r="F5218" s="156" t="inlineStr">
        <is>
          <t>Loading &amp; Cleaning Coal</t>
        </is>
      </c>
      <c r="G5218" s="182" t="n">
        <v>10.31</v>
      </c>
      <c r="H5218" s="182" t="n">
        <v>0</v>
      </c>
      <c r="I5218" s="182" t="n">
        <v>0.17</v>
      </c>
      <c r="J5218" s="182" t="n">
        <v>0.17</v>
      </c>
      <c r="K5218" s="182" t="n">
        <v>1.52</v>
      </c>
      <c r="L5218" s="182" t="n">
        <v>12</v>
      </c>
      <c r="M5218" s="182" t="n">
        <v>0</v>
      </c>
      <c r="N5218" s="182" t="n">
        <v>0.6899999999999999</v>
      </c>
      <c r="O5218" s="185">
        <f>SUMIFS(INPUT_RITASE!$F$5:$F$20000,INPUT_RITASE!$A$5:$A$20000,$A5218,INPUT_RITASE!$H$5:$H$20000,$B5218,INPUT_RITASE!$C$5:$C$20000,$C5218,INPUT_RITASE!$N$5:$N$20000,"OB")</f>
        <v/>
      </c>
      <c r="P5218" s="185">
        <f>SUMIFS(INPUT_RITASE!$F$5:$F$20000,INPUT_RITASE!$A$5:$A$20000,$A5218,INPUT_RITASE!$H$5:$H$20000,$B5218,INPUT_RITASE!$C$5:$C$20000,$C5218,INPUT_RITASE!$N$5:$N$20000,"Coal")</f>
        <v/>
      </c>
      <c r="Q5218" s="186">
        <f>SUMIFS(INPUT_RITASE!$L$5:$L$20000,INPUT_RITASE!$A$5:$A$20000,$A5218,INPUT_RITASE!$H$5:$H$20000,$B5218,INPUT_RITASE!$C$5:$C$20000,$C5218,INPUT_RITASE!$N$5:$N$20000,"OB")</f>
        <v/>
      </c>
      <c r="R5218" s="186">
        <f>SUMIFS(INPUT_RITASE!$L$5:$L$20000,INPUT_RITASE!$A$5:$A$20000,$A5218,INPUT_RITASE!$H$5:$H$20000,$B5218,INPUT_RITASE!$C$5:$C$20000,$C5218,INPUT_RITASE!$N$5:$N$20000,"Coal")</f>
        <v/>
      </c>
      <c r="S5218" s="183" t="n">
        <v>0</v>
      </c>
      <c r="T5218" s="183" t="n">
        <v>0</v>
      </c>
      <c r="U5218" s="182" t="n">
        <v>0</v>
      </c>
      <c r="V5218" s="182" t="n">
        <v>0</v>
      </c>
      <c r="W5218" s="182" t="n">
        <v>0</v>
      </c>
      <c r="X5218" s="182" t="n">
        <v>1.06</v>
      </c>
      <c r="Y5218" s="182" t="n">
        <v>0</v>
      </c>
      <c r="Z5218" s="182" t="n">
        <v>0</v>
      </c>
      <c r="AA5218" s="182" t="n">
        <v>0</v>
      </c>
      <c r="AB5218" s="182" t="n">
        <v>0</v>
      </c>
      <c r="AC5218" s="182" t="n">
        <v>0</v>
      </c>
      <c r="AD5218" s="182" t="n">
        <v>0</v>
      </c>
      <c r="AE5218" s="182" t="n">
        <v>0</v>
      </c>
      <c r="AF5218" s="182" t="n">
        <v>0</v>
      </c>
      <c r="AG5218" s="182" t="n">
        <v>0</v>
      </c>
      <c r="AH5218" s="182" t="n">
        <v>0.37</v>
      </c>
      <c r="AI5218" s="182" t="n">
        <v>0</v>
      </c>
      <c r="AJ5218" s="182" t="n">
        <v>0</v>
      </c>
      <c r="AK5218" s="182" t="n">
        <v>0</v>
      </c>
      <c r="AL5218" s="182" t="n">
        <v>0</v>
      </c>
      <c r="AM5218" s="182" t="n">
        <v>0.09</v>
      </c>
      <c r="AN5218" s="182" t="n">
        <v>0</v>
      </c>
    </row>
    <row r="5219">
      <c r="A5219" s="155" t="n">
        <v>46105</v>
      </c>
      <c r="B5219" s="156" t="inlineStr">
        <is>
          <t>NS</t>
        </is>
      </c>
      <c r="C5219" s="156" t="inlineStr">
        <is>
          <t>EX-754</t>
        </is>
      </c>
      <c r="D5219" s="156" t="inlineStr">
        <is>
          <t>SY750H-PRO</t>
        </is>
      </c>
      <c r="E5219" s="156" t="inlineStr">
        <is>
          <t>Excavator</t>
        </is>
      </c>
      <c r="F5219" s="156" t="inlineStr">
        <is>
          <t>Loading OB</t>
        </is>
      </c>
      <c r="G5219" s="182" t="n">
        <v>9.869999999999999</v>
      </c>
      <c r="H5219" s="182" t="n">
        <v>0</v>
      </c>
      <c r="I5219" s="182" t="n">
        <v>0.17</v>
      </c>
      <c r="J5219" s="182" t="n">
        <v>0.17</v>
      </c>
      <c r="K5219" s="182" t="n">
        <v>1.96</v>
      </c>
      <c r="L5219" s="182" t="n">
        <v>12</v>
      </c>
      <c r="M5219" s="182" t="n">
        <v>9.82</v>
      </c>
      <c r="N5219" s="182" t="n">
        <v>0</v>
      </c>
      <c r="O5219" s="185">
        <f>SUMIFS(INPUT_RITASE!$F$5:$F$20000,INPUT_RITASE!$A$5:$A$20000,$A5219,INPUT_RITASE!$H$5:$H$20000,$B5219,INPUT_RITASE!$C$5:$C$20000,$C5219,INPUT_RITASE!$N$5:$N$20000,"OB")</f>
        <v/>
      </c>
      <c r="P5219" s="185">
        <f>SUMIFS(INPUT_RITASE!$F$5:$F$20000,INPUT_RITASE!$A$5:$A$20000,$A5219,INPUT_RITASE!$H$5:$H$20000,$B5219,INPUT_RITASE!$C$5:$C$20000,$C5219,INPUT_RITASE!$N$5:$N$20000,"Coal")</f>
        <v/>
      </c>
      <c r="Q5219" s="186">
        <f>SUMIFS(INPUT_RITASE!$L$5:$L$20000,INPUT_RITASE!$A$5:$A$20000,$A5219,INPUT_RITASE!$H$5:$H$20000,$B5219,INPUT_RITASE!$C$5:$C$20000,$C5219,INPUT_RITASE!$N$5:$N$20000,"OB")</f>
        <v/>
      </c>
      <c r="R5219" s="186">
        <f>SUMIFS(INPUT_RITASE!$L$5:$L$20000,INPUT_RITASE!$A$5:$A$20000,$A5219,INPUT_RITASE!$H$5:$H$20000,$B5219,INPUT_RITASE!$C$5:$C$20000,$C5219,INPUT_RITASE!$N$5:$N$20000,"Coal")</f>
        <v/>
      </c>
      <c r="S5219" s="183" t="n">
        <v>0</v>
      </c>
      <c r="T5219" s="183" t="n">
        <v>0</v>
      </c>
      <c r="U5219" s="182" t="n">
        <v>0</v>
      </c>
      <c r="V5219" s="182" t="n">
        <v>0</v>
      </c>
      <c r="W5219" s="182" t="n">
        <v>0</v>
      </c>
      <c r="X5219" s="182" t="n">
        <v>1.14</v>
      </c>
      <c r="Y5219" s="182" t="n">
        <v>0</v>
      </c>
      <c r="Z5219" s="182" t="n">
        <v>0</v>
      </c>
      <c r="AA5219" s="182" t="n">
        <v>0</v>
      </c>
      <c r="AB5219" s="182" t="n">
        <v>0</v>
      </c>
      <c r="AC5219" s="182" t="n">
        <v>0</v>
      </c>
      <c r="AD5219" s="182" t="n">
        <v>0</v>
      </c>
      <c r="AE5219" s="182" t="n">
        <v>0</v>
      </c>
      <c r="AF5219" s="182" t="n">
        <v>0</v>
      </c>
      <c r="AG5219" s="182" t="n">
        <v>0</v>
      </c>
      <c r="AH5219" s="182" t="n">
        <v>0.73</v>
      </c>
      <c r="AI5219" s="182" t="n">
        <v>0</v>
      </c>
      <c r="AJ5219" s="182" t="n">
        <v>0</v>
      </c>
      <c r="AK5219" s="182" t="n">
        <v>0</v>
      </c>
      <c r="AL5219" s="182" t="n">
        <v>0</v>
      </c>
      <c r="AM5219" s="182" t="n">
        <v>0.09</v>
      </c>
      <c r="AN5219" s="182" t="n">
        <v>0</v>
      </c>
    </row>
    <row r="5220">
      <c r="A5220" s="155" t="n">
        <v>46105</v>
      </c>
      <c r="B5220" s="156" t="inlineStr">
        <is>
          <t>NS</t>
        </is>
      </c>
      <c r="C5220" s="156" t="inlineStr">
        <is>
          <t>EX-755</t>
        </is>
      </c>
      <c r="D5220" s="156" t="inlineStr">
        <is>
          <t>SY750H-PRO</t>
        </is>
      </c>
      <c r="E5220" s="156" t="inlineStr">
        <is>
          <t>Excavator</t>
        </is>
      </c>
      <c r="F5220" s="156" t="inlineStr">
        <is>
          <t>Loading OB</t>
        </is>
      </c>
      <c r="G5220" s="182" t="n">
        <v>10.33</v>
      </c>
      <c r="H5220" s="182" t="n">
        <v>0</v>
      </c>
      <c r="I5220" s="182" t="n">
        <v>0</v>
      </c>
      <c r="J5220" s="182" t="n">
        <v>0</v>
      </c>
      <c r="K5220" s="182" t="n">
        <v>1.67</v>
      </c>
      <c r="L5220" s="182" t="n">
        <v>12</v>
      </c>
      <c r="M5220" s="182" t="n">
        <v>9.65</v>
      </c>
      <c r="N5220" s="182" t="n">
        <v>0</v>
      </c>
      <c r="O5220" s="185">
        <f>SUMIFS(INPUT_RITASE!$F$5:$F$20000,INPUT_RITASE!$A$5:$A$20000,$A5220,INPUT_RITASE!$H$5:$H$20000,$B5220,INPUT_RITASE!$C$5:$C$20000,$C5220,INPUT_RITASE!$N$5:$N$20000,"OB")</f>
        <v/>
      </c>
      <c r="P5220" s="185">
        <f>SUMIFS(INPUT_RITASE!$F$5:$F$20000,INPUT_RITASE!$A$5:$A$20000,$A5220,INPUT_RITASE!$H$5:$H$20000,$B5220,INPUT_RITASE!$C$5:$C$20000,$C5220,INPUT_RITASE!$N$5:$N$20000,"Coal")</f>
        <v/>
      </c>
      <c r="Q5220" s="186">
        <f>SUMIFS(INPUT_RITASE!$L$5:$L$20000,INPUT_RITASE!$A$5:$A$20000,$A5220,INPUT_RITASE!$H$5:$H$20000,$B5220,INPUT_RITASE!$C$5:$C$20000,$C5220,INPUT_RITASE!$N$5:$N$20000,"OB")</f>
        <v/>
      </c>
      <c r="R5220" s="186">
        <f>SUMIFS(INPUT_RITASE!$L$5:$L$20000,INPUT_RITASE!$A$5:$A$20000,$A5220,INPUT_RITASE!$H$5:$H$20000,$B5220,INPUT_RITASE!$C$5:$C$20000,$C5220,INPUT_RITASE!$N$5:$N$20000,"Coal")</f>
        <v/>
      </c>
      <c r="S5220" s="183" t="n">
        <v>0</v>
      </c>
      <c r="T5220" s="183" t="n">
        <v>0</v>
      </c>
      <c r="U5220" s="182" t="n">
        <v>0</v>
      </c>
      <c r="V5220" s="182" t="n">
        <v>0</v>
      </c>
      <c r="W5220" s="182" t="n">
        <v>0</v>
      </c>
      <c r="X5220" s="182" t="n">
        <v>1.21</v>
      </c>
      <c r="Y5220" s="182" t="n">
        <v>0</v>
      </c>
      <c r="Z5220" s="182" t="n">
        <v>0</v>
      </c>
      <c r="AA5220" s="182" t="n">
        <v>0</v>
      </c>
      <c r="AB5220" s="182" t="n">
        <v>0</v>
      </c>
      <c r="AC5220" s="182" t="n">
        <v>0</v>
      </c>
      <c r="AD5220" s="182" t="n">
        <v>0</v>
      </c>
      <c r="AE5220" s="182" t="n">
        <v>0</v>
      </c>
      <c r="AF5220" s="182" t="n">
        <v>0</v>
      </c>
      <c r="AG5220" s="182" t="n">
        <v>0</v>
      </c>
      <c r="AH5220" s="182" t="n">
        <v>0.36</v>
      </c>
      <c r="AI5220" s="182" t="n">
        <v>0</v>
      </c>
      <c r="AJ5220" s="182" t="n">
        <v>0</v>
      </c>
      <c r="AK5220" s="182" t="n">
        <v>0</v>
      </c>
      <c r="AL5220" s="182" t="n">
        <v>0</v>
      </c>
      <c r="AM5220" s="182" t="n">
        <v>0.1</v>
      </c>
      <c r="AN5220" s="182" t="n">
        <v>0</v>
      </c>
    </row>
    <row r="5221">
      <c r="A5221" s="155" t="n">
        <v>46105</v>
      </c>
      <c r="B5221" s="156" t="inlineStr">
        <is>
          <t>NS</t>
        </is>
      </c>
      <c r="C5221" s="156" t="inlineStr">
        <is>
          <t>EX-752</t>
        </is>
      </c>
      <c r="D5221" s="156" t="inlineStr">
        <is>
          <t>SY750H-PRO</t>
        </is>
      </c>
      <c r="E5221" s="156" t="inlineStr">
        <is>
          <t>Excavator</t>
        </is>
      </c>
      <c r="F5221" s="156" t="inlineStr"/>
      <c r="G5221" s="182" t="n">
        <v>0</v>
      </c>
      <c r="H5221" s="182" t="n">
        <v>0</v>
      </c>
      <c r="I5221" s="182" t="n">
        <v>12</v>
      </c>
      <c r="J5221" s="182" t="n">
        <v>12</v>
      </c>
      <c r="K5221" s="182" t="n">
        <v>0</v>
      </c>
      <c r="L5221" s="182" t="n">
        <v>12</v>
      </c>
      <c r="M5221" s="182" t="n">
        <v>0</v>
      </c>
      <c r="N5221" s="182" t="n">
        <v>0</v>
      </c>
      <c r="O5221" s="185">
        <f>SUMIFS(INPUT_RITASE!$F$5:$F$20000,INPUT_RITASE!$A$5:$A$20000,$A5221,INPUT_RITASE!$H$5:$H$20000,$B5221,INPUT_RITASE!$C$5:$C$20000,$C5221,INPUT_RITASE!$N$5:$N$20000,"OB")</f>
        <v/>
      </c>
      <c r="P5221" s="185">
        <f>SUMIFS(INPUT_RITASE!$F$5:$F$20000,INPUT_RITASE!$A$5:$A$20000,$A5221,INPUT_RITASE!$H$5:$H$20000,$B5221,INPUT_RITASE!$C$5:$C$20000,$C5221,INPUT_RITASE!$N$5:$N$20000,"Coal")</f>
        <v/>
      </c>
      <c r="Q5221" s="186">
        <f>SUMIFS(INPUT_RITASE!$L$5:$L$20000,INPUT_RITASE!$A$5:$A$20000,$A5221,INPUT_RITASE!$H$5:$H$20000,$B5221,INPUT_RITASE!$C$5:$C$20000,$C5221,INPUT_RITASE!$N$5:$N$20000,"OB")</f>
        <v/>
      </c>
      <c r="R5221" s="186">
        <f>SUMIFS(INPUT_RITASE!$L$5:$L$20000,INPUT_RITASE!$A$5:$A$20000,$A5221,INPUT_RITASE!$H$5:$H$20000,$B5221,INPUT_RITASE!$C$5:$C$20000,$C5221,INPUT_RITASE!$N$5:$N$20000,"Coal")</f>
        <v/>
      </c>
      <c r="S5221" s="183" t="n">
        <v>0</v>
      </c>
      <c r="T5221" s="183" t="n">
        <v>0</v>
      </c>
      <c r="U5221" s="182" t="n">
        <v>0</v>
      </c>
      <c r="V5221" s="182" t="n">
        <v>0</v>
      </c>
      <c r="W5221" s="182" t="n">
        <v>0</v>
      </c>
      <c r="X5221" s="182" t="n">
        <v>0</v>
      </c>
      <c r="Y5221" s="182" t="n">
        <v>0</v>
      </c>
      <c r="Z5221" s="182" t="n">
        <v>0</v>
      </c>
      <c r="AA5221" s="182" t="n">
        <v>0</v>
      </c>
      <c r="AB5221" s="182" t="n">
        <v>0</v>
      </c>
      <c r="AC5221" s="182" t="n">
        <v>0</v>
      </c>
      <c r="AD5221" s="182" t="n">
        <v>0</v>
      </c>
      <c r="AE5221" s="182" t="n">
        <v>0</v>
      </c>
      <c r="AF5221" s="182" t="n">
        <v>0</v>
      </c>
      <c r="AG5221" s="182" t="n">
        <v>0</v>
      </c>
      <c r="AH5221" s="182" t="n">
        <v>0</v>
      </c>
      <c r="AI5221" s="182" t="n">
        <v>0</v>
      </c>
      <c r="AJ5221" s="182" t="n">
        <v>0</v>
      </c>
      <c r="AK5221" s="182" t="n">
        <v>0</v>
      </c>
      <c r="AL5221" s="182" t="n">
        <v>0</v>
      </c>
      <c r="AM5221" s="182" t="n">
        <v>0</v>
      </c>
      <c r="AN5221" s="182" t="n">
        <v>0</v>
      </c>
    </row>
    <row r="5222">
      <c r="A5222" s="155" t="n">
        <v>46105</v>
      </c>
      <c r="B5222" s="156" t="inlineStr">
        <is>
          <t>NS</t>
        </is>
      </c>
      <c r="C5222" s="156" t="inlineStr">
        <is>
          <t>EX-751</t>
        </is>
      </c>
      <c r="D5222" s="156" t="inlineStr">
        <is>
          <t>SY750H-PRO</t>
        </is>
      </c>
      <c r="E5222" s="156" t="inlineStr">
        <is>
          <t>Excavator</t>
        </is>
      </c>
      <c r="F5222" s="156" t="inlineStr"/>
      <c r="G5222" s="182" t="n">
        <v>0</v>
      </c>
      <c r="H5222" s="182" t="n">
        <v>0</v>
      </c>
      <c r="I5222" s="182" t="n">
        <v>12</v>
      </c>
      <c r="J5222" s="182" t="n">
        <v>12</v>
      </c>
      <c r="K5222" s="182" t="n">
        <v>0</v>
      </c>
      <c r="L5222" s="182" t="n">
        <v>12</v>
      </c>
      <c r="M5222" s="182" t="n">
        <v>0</v>
      </c>
      <c r="N5222" s="182" t="n">
        <v>0</v>
      </c>
      <c r="O5222" s="185">
        <f>SUMIFS(INPUT_RITASE!$F$5:$F$20000,INPUT_RITASE!$A$5:$A$20000,$A5222,INPUT_RITASE!$H$5:$H$20000,$B5222,INPUT_RITASE!$C$5:$C$20000,$C5222,INPUT_RITASE!$N$5:$N$20000,"OB")</f>
        <v/>
      </c>
      <c r="P5222" s="185">
        <f>SUMIFS(INPUT_RITASE!$F$5:$F$20000,INPUT_RITASE!$A$5:$A$20000,$A5222,INPUT_RITASE!$H$5:$H$20000,$B5222,INPUT_RITASE!$C$5:$C$20000,$C5222,INPUT_RITASE!$N$5:$N$20000,"Coal")</f>
        <v/>
      </c>
      <c r="Q5222" s="186">
        <f>SUMIFS(INPUT_RITASE!$L$5:$L$20000,INPUT_RITASE!$A$5:$A$20000,$A5222,INPUT_RITASE!$H$5:$H$20000,$B5222,INPUT_RITASE!$C$5:$C$20000,$C5222,INPUT_RITASE!$N$5:$N$20000,"OB")</f>
        <v/>
      </c>
      <c r="R5222" s="186">
        <f>SUMIFS(INPUT_RITASE!$L$5:$L$20000,INPUT_RITASE!$A$5:$A$20000,$A5222,INPUT_RITASE!$H$5:$H$20000,$B5222,INPUT_RITASE!$C$5:$C$20000,$C5222,INPUT_RITASE!$N$5:$N$20000,"Coal")</f>
        <v/>
      </c>
      <c r="S5222" s="183" t="n">
        <v>0</v>
      </c>
      <c r="T5222" s="183" t="n">
        <v>0</v>
      </c>
      <c r="U5222" s="182" t="n">
        <v>0</v>
      </c>
      <c r="V5222" s="182" t="n">
        <v>0</v>
      </c>
      <c r="W5222" s="182" t="n">
        <v>0</v>
      </c>
      <c r="X5222" s="182" t="n">
        <v>0</v>
      </c>
      <c r="Y5222" s="182" t="n">
        <v>0</v>
      </c>
      <c r="Z5222" s="182" t="n">
        <v>0</v>
      </c>
      <c r="AA5222" s="182" t="n">
        <v>0</v>
      </c>
      <c r="AB5222" s="182" t="n">
        <v>0</v>
      </c>
      <c r="AC5222" s="182" t="n">
        <v>0</v>
      </c>
      <c r="AD5222" s="182" t="n">
        <v>0</v>
      </c>
      <c r="AE5222" s="182" t="n">
        <v>0</v>
      </c>
      <c r="AF5222" s="182" t="n">
        <v>0</v>
      </c>
      <c r="AG5222" s="182" t="n">
        <v>0</v>
      </c>
      <c r="AH5222" s="182" t="n">
        <v>0</v>
      </c>
      <c r="AI5222" s="182" t="n">
        <v>0</v>
      </c>
      <c r="AJ5222" s="182" t="n">
        <v>0</v>
      </c>
      <c r="AK5222" s="182" t="n">
        <v>0</v>
      </c>
      <c r="AL5222" s="182" t="n">
        <v>0</v>
      </c>
      <c r="AM5222" s="182" t="n">
        <v>0</v>
      </c>
      <c r="AN5222" s="182" t="n">
        <v>0</v>
      </c>
    </row>
    <row r="5223">
      <c r="A5223" s="155" t="n">
        <v>46105</v>
      </c>
      <c r="B5223" s="156" t="inlineStr">
        <is>
          <t>NS</t>
        </is>
      </c>
      <c r="C5223" s="156" t="inlineStr">
        <is>
          <t>EX-753</t>
        </is>
      </c>
      <c r="D5223" s="156" t="inlineStr">
        <is>
          <t>SY750H-PRO</t>
        </is>
      </c>
      <c r="E5223" s="156" t="inlineStr">
        <is>
          <t>Excavator</t>
        </is>
      </c>
      <c r="F5223" s="156" t="inlineStr">
        <is>
          <t>Loading OB &amp; Coal</t>
        </is>
      </c>
      <c r="G5223" s="182" t="n">
        <v>10.4</v>
      </c>
      <c r="H5223" s="182" t="n">
        <v>0</v>
      </c>
      <c r="I5223" s="182" t="n">
        <v>0</v>
      </c>
      <c r="J5223" s="182" t="n">
        <v>0</v>
      </c>
      <c r="K5223" s="182" t="n">
        <v>1.6</v>
      </c>
      <c r="L5223" s="182" t="n">
        <v>12</v>
      </c>
      <c r="M5223" s="182" t="n">
        <v>8.42</v>
      </c>
      <c r="N5223" s="182" t="n">
        <v>1.47</v>
      </c>
      <c r="O5223" s="185">
        <f>SUMIFS(INPUT_RITASE!$F$5:$F$20000,INPUT_RITASE!$A$5:$A$20000,$A5223,INPUT_RITASE!$H$5:$H$20000,$B5223,INPUT_RITASE!$C$5:$C$20000,$C5223,INPUT_RITASE!$N$5:$N$20000,"OB")</f>
        <v/>
      </c>
      <c r="P5223" s="185">
        <f>SUMIFS(INPUT_RITASE!$F$5:$F$20000,INPUT_RITASE!$A$5:$A$20000,$A5223,INPUT_RITASE!$H$5:$H$20000,$B5223,INPUT_RITASE!$C$5:$C$20000,$C5223,INPUT_RITASE!$N$5:$N$20000,"Coal")</f>
        <v/>
      </c>
      <c r="Q5223" s="186">
        <f>SUMIFS(INPUT_RITASE!$L$5:$L$20000,INPUT_RITASE!$A$5:$A$20000,$A5223,INPUT_RITASE!$H$5:$H$20000,$B5223,INPUT_RITASE!$C$5:$C$20000,$C5223,INPUT_RITASE!$N$5:$N$20000,"OB")</f>
        <v/>
      </c>
      <c r="R5223" s="186">
        <f>SUMIFS(INPUT_RITASE!$L$5:$L$20000,INPUT_RITASE!$A$5:$A$20000,$A5223,INPUT_RITASE!$H$5:$H$20000,$B5223,INPUT_RITASE!$C$5:$C$20000,$C5223,INPUT_RITASE!$N$5:$N$20000,"Coal")</f>
        <v/>
      </c>
      <c r="S5223" s="183" t="n">
        <v>0</v>
      </c>
      <c r="T5223" s="183" t="n">
        <v>0</v>
      </c>
      <c r="U5223" s="182" t="n">
        <v>0</v>
      </c>
      <c r="V5223" s="182" t="n">
        <v>0</v>
      </c>
      <c r="W5223" s="182" t="n">
        <v>0</v>
      </c>
      <c r="X5223" s="182" t="n">
        <v>1.13</v>
      </c>
      <c r="Y5223" s="182" t="n">
        <v>0</v>
      </c>
      <c r="Z5223" s="182" t="n">
        <v>0</v>
      </c>
      <c r="AA5223" s="182" t="n">
        <v>0</v>
      </c>
      <c r="AB5223" s="182" t="n">
        <v>0</v>
      </c>
      <c r="AC5223" s="182" t="n">
        <v>0</v>
      </c>
      <c r="AD5223" s="182" t="n">
        <v>0</v>
      </c>
      <c r="AE5223" s="182" t="n">
        <v>0</v>
      </c>
      <c r="AF5223" s="182" t="n">
        <v>0</v>
      </c>
      <c r="AG5223" s="182" t="n">
        <v>0</v>
      </c>
      <c r="AH5223" s="182" t="n">
        <v>0.37</v>
      </c>
      <c r="AI5223" s="182" t="n">
        <v>0</v>
      </c>
      <c r="AJ5223" s="182" t="n">
        <v>0</v>
      </c>
      <c r="AK5223" s="182" t="n">
        <v>0</v>
      </c>
      <c r="AL5223" s="182" t="n">
        <v>0</v>
      </c>
      <c r="AM5223" s="182" t="n">
        <v>0.09</v>
      </c>
      <c r="AN5223" s="182" t="n">
        <v>0</v>
      </c>
    </row>
    <row r="5224">
      <c r="A5224" s="155" t="n">
        <v>46105</v>
      </c>
      <c r="B5224" s="156" t="inlineStr">
        <is>
          <t>NS</t>
        </is>
      </c>
      <c r="C5224" s="156" t="inlineStr">
        <is>
          <t>GD-012</t>
        </is>
      </c>
      <c r="D5224" s="156" t="inlineStr">
        <is>
          <t>STG 230C - 8S</t>
        </is>
      </c>
      <c r="E5224" s="156" t="inlineStr">
        <is>
          <t>Grader</t>
        </is>
      </c>
      <c r="F5224" s="156" t="inlineStr"/>
      <c r="G5224" s="182" t="n">
        <v>0</v>
      </c>
      <c r="H5224" s="182" t="n">
        <v>0</v>
      </c>
      <c r="I5224" s="182" t="n">
        <v>0</v>
      </c>
      <c r="J5224" s="182" t="n">
        <v>0</v>
      </c>
      <c r="K5224" s="182" t="n">
        <v>12</v>
      </c>
      <c r="L5224" s="182" t="n">
        <v>12</v>
      </c>
      <c r="M5224" s="182" t="n">
        <v>0</v>
      </c>
      <c r="N5224" s="182" t="n">
        <v>0</v>
      </c>
      <c r="O5224" s="183" t="n">
        <v>0</v>
      </c>
      <c r="P5224" s="183" t="n">
        <v>0</v>
      </c>
      <c r="Q5224" s="184" t="n">
        <v>0</v>
      </c>
      <c r="R5224" s="184" t="n">
        <v>0</v>
      </c>
      <c r="S5224" s="183" t="n">
        <v>0</v>
      </c>
      <c r="T5224" s="183" t="n">
        <v>0</v>
      </c>
      <c r="U5224" s="182" t="n">
        <v>0</v>
      </c>
      <c r="V5224" s="182" t="n">
        <v>0</v>
      </c>
      <c r="W5224" s="182" t="n">
        <v>0</v>
      </c>
      <c r="X5224" s="182" t="n">
        <v>1</v>
      </c>
      <c r="Y5224" s="182" t="n">
        <v>0</v>
      </c>
      <c r="Z5224" s="182" t="n">
        <v>0</v>
      </c>
      <c r="AA5224" s="182" t="n">
        <v>0</v>
      </c>
      <c r="AB5224" s="182" t="n">
        <v>0</v>
      </c>
      <c r="AC5224" s="182" t="n">
        <v>0</v>
      </c>
      <c r="AD5224" s="182" t="n">
        <v>0</v>
      </c>
      <c r="AE5224" s="182" t="n">
        <v>0</v>
      </c>
      <c r="AF5224" s="182" t="n">
        <v>0</v>
      </c>
      <c r="AG5224" s="182" t="n">
        <v>0</v>
      </c>
      <c r="AH5224" s="182" t="n">
        <v>0</v>
      </c>
      <c r="AI5224" s="182" t="n">
        <v>0</v>
      </c>
      <c r="AJ5224" s="182" t="n">
        <v>0</v>
      </c>
      <c r="AK5224" s="182" t="n">
        <v>10.92</v>
      </c>
      <c r="AL5224" s="182" t="n">
        <v>0</v>
      </c>
      <c r="AM5224" s="182" t="n">
        <v>0.08</v>
      </c>
      <c r="AN5224" s="182" t="n">
        <v>0</v>
      </c>
    </row>
    <row r="5225">
      <c r="A5225" s="155" t="n">
        <v>46105</v>
      </c>
      <c r="B5225" s="156" t="inlineStr">
        <is>
          <t>NS</t>
        </is>
      </c>
      <c r="C5225" s="156" t="inlineStr">
        <is>
          <t>GD-011</t>
        </is>
      </c>
      <c r="D5225" s="156" t="inlineStr">
        <is>
          <t>STG 230C - 8S</t>
        </is>
      </c>
      <c r="E5225" s="156" t="inlineStr">
        <is>
          <t>Grader</t>
        </is>
      </c>
      <c r="F5225" s="156" t="inlineStr"/>
      <c r="G5225" s="182" t="n">
        <v>0</v>
      </c>
      <c r="H5225" s="182" t="n">
        <v>0</v>
      </c>
      <c r="I5225" s="182" t="n">
        <v>12</v>
      </c>
      <c r="J5225" s="182" t="n">
        <v>12</v>
      </c>
      <c r="K5225" s="182" t="n">
        <v>0</v>
      </c>
      <c r="L5225" s="182" t="n">
        <v>12</v>
      </c>
      <c r="M5225" s="182" t="n">
        <v>0</v>
      </c>
      <c r="N5225" s="182" t="n">
        <v>0</v>
      </c>
      <c r="O5225" s="183" t="n">
        <v>0</v>
      </c>
      <c r="P5225" s="183" t="n">
        <v>0</v>
      </c>
      <c r="Q5225" s="184" t="n">
        <v>0</v>
      </c>
      <c r="R5225" s="184" t="n">
        <v>0</v>
      </c>
      <c r="S5225" s="183" t="n">
        <v>0</v>
      </c>
      <c r="T5225" s="183" t="n">
        <v>0</v>
      </c>
      <c r="U5225" s="182" t="n">
        <v>0</v>
      </c>
      <c r="V5225" s="182" t="n">
        <v>0</v>
      </c>
      <c r="W5225" s="182" t="n">
        <v>0</v>
      </c>
      <c r="X5225" s="182" t="n">
        <v>0</v>
      </c>
      <c r="Y5225" s="182" t="n">
        <v>0</v>
      </c>
      <c r="Z5225" s="182" t="n">
        <v>0</v>
      </c>
      <c r="AA5225" s="182" t="n">
        <v>0</v>
      </c>
      <c r="AB5225" s="182" t="n">
        <v>0</v>
      </c>
      <c r="AC5225" s="182" t="n">
        <v>0</v>
      </c>
      <c r="AD5225" s="182" t="n">
        <v>0</v>
      </c>
      <c r="AE5225" s="182" t="n">
        <v>0</v>
      </c>
      <c r="AF5225" s="182" t="n">
        <v>0</v>
      </c>
      <c r="AG5225" s="182" t="n">
        <v>0</v>
      </c>
      <c r="AH5225" s="182" t="n">
        <v>0</v>
      </c>
      <c r="AI5225" s="182" t="n">
        <v>0</v>
      </c>
      <c r="AJ5225" s="182" t="n">
        <v>0</v>
      </c>
      <c r="AK5225" s="182" t="n">
        <v>0</v>
      </c>
      <c r="AL5225" s="182" t="n">
        <v>0</v>
      </c>
      <c r="AM5225" s="182" t="n">
        <v>0</v>
      </c>
      <c r="AN5225" s="182" t="n">
        <v>0</v>
      </c>
    </row>
    <row r="5226">
      <c r="A5226" s="155" t="n">
        <v>46105</v>
      </c>
      <c r="B5226" s="156" t="inlineStr">
        <is>
          <t>NS</t>
        </is>
      </c>
      <c r="C5226" s="156" t="inlineStr">
        <is>
          <t>GD-013</t>
        </is>
      </c>
      <c r="D5226" s="156" t="inlineStr">
        <is>
          <t>STG 265C - 10</t>
        </is>
      </c>
      <c r="E5226" s="156" t="inlineStr">
        <is>
          <t>Grader</t>
        </is>
      </c>
      <c r="F5226" s="156" t="inlineStr">
        <is>
          <t>Road Maintenance</t>
        </is>
      </c>
      <c r="G5226" s="182" t="n">
        <v>11.57</v>
      </c>
      <c r="H5226" s="182" t="n">
        <v>0</v>
      </c>
      <c r="I5226" s="182" t="n">
        <v>0</v>
      </c>
      <c r="J5226" s="182" t="n">
        <v>0</v>
      </c>
      <c r="K5226" s="182" t="n">
        <v>0.43</v>
      </c>
      <c r="L5226" s="182" t="n">
        <v>12</v>
      </c>
      <c r="M5226" s="182" t="n">
        <v>0</v>
      </c>
      <c r="N5226" s="182" t="n">
        <v>0</v>
      </c>
      <c r="O5226" s="183" t="n">
        <v>0</v>
      </c>
      <c r="P5226" s="183" t="n">
        <v>0</v>
      </c>
      <c r="Q5226" s="184" t="n">
        <v>0</v>
      </c>
      <c r="R5226" s="184" t="n">
        <v>0</v>
      </c>
      <c r="S5226" s="183" t="n">
        <v>0</v>
      </c>
      <c r="T5226" s="183" t="n">
        <v>0</v>
      </c>
      <c r="U5226" s="182" t="n">
        <v>0</v>
      </c>
      <c r="V5226" s="182" t="n">
        <v>0</v>
      </c>
      <c r="W5226" s="182" t="n">
        <v>0</v>
      </c>
      <c r="X5226" s="182" t="n">
        <v>0.37</v>
      </c>
      <c r="Y5226" s="182" t="n">
        <v>0</v>
      </c>
      <c r="Z5226" s="182" t="n">
        <v>0</v>
      </c>
      <c r="AA5226" s="182" t="n">
        <v>0</v>
      </c>
      <c r="AB5226" s="182" t="n">
        <v>0</v>
      </c>
      <c r="AC5226" s="182" t="n">
        <v>0</v>
      </c>
      <c r="AD5226" s="182" t="n">
        <v>0</v>
      </c>
      <c r="AE5226" s="182" t="n">
        <v>0</v>
      </c>
      <c r="AF5226" s="182" t="n">
        <v>0</v>
      </c>
      <c r="AG5226" s="182" t="n">
        <v>0</v>
      </c>
      <c r="AH5226" s="182" t="n">
        <v>0</v>
      </c>
      <c r="AI5226" s="182" t="n">
        <v>0</v>
      </c>
      <c r="AJ5226" s="182" t="n">
        <v>0</v>
      </c>
      <c r="AK5226" s="182" t="n">
        <v>0</v>
      </c>
      <c r="AL5226" s="182" t="n">
        <v>0</v>
      </c>
      <c r="AM5226" s="182" t="n">
        <v>0.06</v>
      </c>
      <c r="AN5226" s="182" t="n">
        <v>0</v>
      </c>
    </row>
    <row r="5227">
      <c r="A5227" s="155" t="n">
        <v>46105</v>
      </c>
      <c r="B5227" s="156" t="inlineStr">
        <is>
          <t>NS</t>
        </is>
      </c>
      <c r="C5227" s="156" t="inlineStr">
        <is>
          <t>GD-014</t>
        </is>
      </c>
      <c r="D5227" s="156" t="inlineStr">
        <is>
          <t>STG 335C - 10</t>
        </is>
      </c>
      <c r="E5227" s="156" t="inlineStr">
        <is>
          <t>Grader</t>
        </is>
      </c>
      <c r="F5227" s="156" t="inlineStr">
        <is>
          <t>Road Maintenance</t>
        </is>
      </c>
      <c r="G5227" s="182" t="n">
        <v>10.58</v>
      </c>
      <c r="H5227" s="182" t="n">
        <v>0</v>
      </c>
      <c r="I5227" s="182" t="n">
        <v>0.17</v>
      </c>
      <c r="J5227" s="182" t="n">
        <v>0.17</v>
      </c>
      <c r="K5227" s="182" t="n">
        <v>1.25</v>
      </c>
      <c r="L5227" s="182" t="n">
        <v>12</v>
      </c>
      <c r="M5227" s="182" t="n">
        <v>0</v>
      </c>
      <c r="N5227" s="182" t="n">
        <v>0</v>
      </c>
      <c r="O5227" s="183" t="n">
        <v>0</v>
      </c>
      <c r="P5227" s="183" t="n">
        <v>0</v>
      </c>
      <c r="Q5227" s="184" t="n">
        <v>0</v>
      </c>
      <c r="R5227" s="184" t="n">
        <v>0</v>
      </c>
      <c r="S5227" s="183" t="n">
        <v>0</v>
      </c>
      <c r="T5227" s="183" t="n">
        <v>0</v>
      </c>
      <c r="U5227" s="182" t="n">
        <v>0</v>
      </c>
      <c r="V5227" s="182" t="n">
        <v>0</v>
      </c>
      <c r="W5227" s="182" t="n">
        <v>0</v>
      </c>
      <c r="X5227" s="182" t="n">
        <v>0.9399999999999999</v>
      </c>
      <c r="Y5227" s="182" t="n">
        <v>0</v>
      </c>
      <c r="Z5227" s="182" t="n">
        <v>0</v>
      </c>
      <c r="AA5227" s="182" t="n">
        <v>0</v>
      </c>
      <c r="AB5227" s="182" t="n">
        <v>0</v>
      </c>
      <c r="AC5227" s="182" t="n">
        <v>0</v>
      </c>
      <c r="AD5227" s="182" t="n">
        <v>0</v>
      </c>
      <c r="AE5227" s="182" t="n">
        <v>0</v>
      </c>
      <c r="AF5227" s="182" t="n">
        <v>0</v>
      </c>
      <c r="AG5227" s="182" t="n">
        <v>0</v>
      </c>
      <c r="AH5227" s="182" t="n">
        <v>0.23</v>
      </c>
      <c r="AI5227" s="182" t="n">
        <v>0</v>
      </c>
      <c r="AJ5227" s="182" t="n">
        <v>0</v>
      </c>
      <c r="AK5227" s="182" t="n">
        <v>0</v>
      </c>
      <c r="AL5227" s="182" t="n">
        <v>0</v>
      </c>
      <c r="AM5227" s="182" t="n">
        <v>0.08</v>
      </c>
      <c r="AN5227" s="182" t="n">
        <v>0</v>
      </c>
    </row>
    <row r="5228">
      <c r="A5228" s="155" t="n">
        <v>46105</v>
      </c>
      <c r="B5228" s="156" t="inlineStr">
        <is>
          <t>NS</t>
        </is>
      </c>
      <c r="C5228" s="156" t="inlineStr">
        <is>
          <t>DT-809</t>
        </is>
      </c>
      <c r="D5228" s="156" t="inlineStr">
        <is>
          <t>SKT 80S</t>
        </is>
      </c>
      <c r="E5228" s="156" t="inlineStr">
        <is>
          <t>Hauler</t>
        </is>
      </c>
      <c r="F5228" s="156" t="inlineStr"/>
      <c r="G5228" s="182" t="n">
        <v>0</v>
      </c>
      <c r="H5228" s="182" t="n">
        <v>0</v>
      </c>
      <c r="I5228" s="182" t="n">
        <v>0</v>
      </c>
      <c r="J5228" s="182" t="n">
        <v>0</v>
      </c>
      <c r="K5228" s="182" t="n">
        <v>12</v>
      </c>
      <c r="L5228" s="182" t="n">
        <v>12</v>
      </c>
      <c r="M5228" s="182" t="n">
        <v>0</v>
      </c>
      <c r="N5228" s="182" t="n">
        <v>0</v>
      </c>
      <c r="O5228" s="183" t="n">
        <v>0</v>
      </c>
      <c r="P5228" s="183" t="n">
        <v>0</v>
      </c>
      <c r="Q5228" s="184" t="n">
        <v>0</v>
      </c>
      <c r="R5228" s="184" t="n">
        <v>0</v>
      </c>
      <c r="S5228" s="183" t="n">
        <v>0</v>
      </c>
      <c r="T5228" s="183" t="n">
        <v>0</v>
      </c>
      <c r="U5228" s="182" t="n">
        <v>0</v>
      </c>
      <c r="V5228" s="182" t="n">
        <v>0</v>
      </c>
      <c r="W5228" s="182" t="n">
        <v>0</v>
      </c>
      <c r="X5228" s="182" t="n">
        <v>1</v>
      </c>
      <c r="Y5228" s="182" t="n">
        <v>0</v>
      </c>
      <c r="Z5228" s="182" t="n">
        <v>0</v>
      </c>
      <c r="AA5228" s="182" t="n">
        <v>0</v>
      </c>
      <c r="AB5228" s="182" t="n">
        <v>0</v>
      </c>
      <c r="AC5228" s="182" t="n">
        <v>0</v>
      </c>
      <c r="AD5228" s="182" t="n">
        <v>0</v>
      </c>
      <c r="AE5228" s="182" t="n">
        <v>0</v>
      </c>
      <c r="AF5228" s="182" t="n">
        <v>0</v>
      </c>
      <c r="AG5228" s="182" t="n">
        <v>0</v>
      </c>
      <c r="AH5228" s="182" t="n">
        <v>0</v>
      </c>
      <c r="AI5228" s="182" t="n">
        <v>0</v>
      </c>
      <c r="AJ5228" s="182" t="n">
        <v>0</v>
      </c>
      <c r="AK5228" s="182" t="n">
        <v>10.92</v>
      </c>
      <c r="AL5228" s="182" t="n">
        <v>0</v>
      </c>
      <c r="AM5228" s="182" t="n">
        <v>0.08</v>
      </c>
      <c r="AN5228" s="182" t="n">
        <v>0</v>
      </c>
    </row>
    <row r="5229">
      <c r="A5229" s="155" t="n">
        <v>46105</v>
      </c>
      <c r="B5229" s="156" t="inlineStr">
        <is>
          <t>NS</t>
        </is>
      </c>
      <c r="C5229" s="156" t="inlineStr">
        <is>
          <t>DT-806</t>
        </is>
      </c>
      <c r="D5229" s="156" t="inlineStr">
        <is>
          <t>SKT 80S</t>
        </is>
      </c>
      <c r="E5229" s="156" t="inlineStr">
        <is>
          <t>Hauler</t>
        </is>
      </c>
      <c r="F5229" s="156" t="inlineStr"/>
      <c r="G5229" s="182" t="n">
        <v>0</v>
      </c>
      <c r="H5229" s="182" t="n">
        <v>0</v>
      </c>
      <c r="I5229" s="182" t="n">
        <v>0</v>
      </c>
      <c r="J5229" s="182" t="n">
        <v>0</v>
      </c>
      <c r="K5229" s="182" t="n">
        <v>12</v>
      </c>
      <c r="L5229" s="182" t="n">
        <v>12</v>
      </c>
      <c r="M5229" s="182" t="n">
        <v>0</v>
      </c>
      <c r="N5229" s="182" t="n">
        <v>0</v>
      </c>
      <c r="O5229" s="183" t="n">
        <v>0</v>
      </c>
      <c r="P5229" s="183" t="n">
        <v>0</v>
      </c>
      <c r="Q5229" s="184" t="n">
        <v>0</v>
      </c>
      <c r="R5229" s="184" t="n">
        <v>0</v>
      </c>
      <c r="S5229" s="183" t="n">
        <v>0</v>
      </c>
      <c r="T5229" s="183" t="n">
        <v>0</v>
      </c>
      <c r="U5229" s="182" t="n">
        <v>0</v>
      </c>
      <c r="V5229" s="182" t="n">
        <v>0</v>
      </c>
      <c r="W5229" s="182" t="n">
        <v>0</v>
      </c>
      <c r="X5229" s="182" t="n">
        <v>1</v>
      </c>
      <c r="Y5229" s="182" t="n">
        <v>0</v>
      </c>
      <c r="Z5229" s="182" t="n">
        <v>0</v>
      </c>
      <c r="AA5229" s="182" t="n">
        <v>0</v>
      </c>
      <c r="AB5229" s="182" t="n">
        <v>0</v>
      </c>
      <c r="AC5229" s="182" t="n">
        <v>0</v>
      </c>
      <c r="AD5229" s="182" t="n">
        <v>0</v>
      </c>
      <c r="AE5229" s="182" t="n">
        <v>0</v>
      </c>
      <c r="AF5229" s="182" t="n">
        <v>0</v>
      </c>
      <c r="AG5229" s="182" t="n">
        <v>0</v>
      </c>
      <c r="AH5229" s="182" t="n">
        <v>0</v>
      </c>
      <c r="AI5229" s="182" t="n">
        <v>0</v>
      </c>
      <c r="AJ5229" s="182" t="n">
        <v>0</v>
      </c>
      <c r="AK5229" s="182" t="n">
        <v>10.92</v>
      </c>
      <c r="AL5229" s="182" t="n">
        <v>0</v>
      </c>
      <c r="AM5229" s="182" t="n">
        <v>0.08</v>
      </c>
      <c r="AN5229" s="182" t="n">
        <v>0</v>
      </c>
    </row>
    <row r="5230">
      <c r="A5230" s="155" t="n">
        <v>46105</v>
      </c>
      <c r="B5230" s="156" t="inlineStr">
        <is>
          <t>NS</t>
        </is>
      </c>
      <c r="C5230" s="156" t="inlineStr">
        <is>
          <t>DT-805</t>
        </is>
      </c>
      <c r="D5230" s="156" t="inlineStr">
        <is>
          <t>SKT 80S</t>
        </is>
      </c>
      <c r="E5230" s="156" t="inlineStr">
        <is>
          <t>Hauler</t>
        </is>
      </c>
      <c r="F5230" s="156" t="inlineStr"/>
      <c r="G5230" s="182" t="n">
        <v>0</v>
      </c>
      <c r="H5230" s="182" t="n">
        <v>0</v>
      </c>
      <c r="I5230" s="182" t="n">
        <v>0</v>
      </c>
      <c r="J5230" s="182" t="n">
        <v>0</v>
      </c>
      <c r="K5230" s="182" t="n">
        <v>12</v>
      </c>
      <c r="L5230" s="182" t="n">
        <v>12</v>
      </c>
      <c r="M5230" s="182" t="n">
        <v>0</v>
      </c>
      <c r="N5230" s="182" t="n">
        <v>0</v>
      </c>
      <c r="O5230" s="183" t="n">
        <v>0</v>
      </c>
      <c r="P5230" s="183" t="n">
        <v>0</v>
      </c>
      <c r="Q5230" s="184" t="n">
        <v>0</v>
      </c>
      <c r="R5230" s="184" t="n">
        <v>0</v>
      </c>
      <c r="S5230" s="183" t="n">
        <v>0</v>
      </c>
      <c r="T5230" s="183" t="n">
        <v>0</v>
      </c>
      <c r="U5230" s="182" t="n">
        <v>0</v>
      </c>
      <c r="V5230" s="182" t="n">
        <v>0</v>
      </c>
      <c r="W5230" s="182" t="n">
        <v>0</v>
      </c>
      <c r="X5230" s="182" t="n">
        <v>1</v>
      </c>
      <c r="Y5230" s="182" t="n">
        <v>0</v>
      </c>
      <c r="Z5230" s="182" t="n">
        <v>0</v>
      </c>
      <c r="AA5230" s="182" t="n">
        <v>0</v>
      </c>
      <c r="AB5230" s="182" t="n">
        <v>0</v>
      </c>
      <c r="AC5230" s="182" t="n">
        <v>0</v>
      </c>
      <c r="AD5230" s="182" t="n">
        <v>0</v>
      </c>
      <c r="AE5230" s="182" t="n">
        <v>0</v>
      </c>
      <c r="AF5230" s="182" t="n">
        <v>0</v>
      </c>
      <c r="AG5230" s="182" t="n">
        <v>0</v>
      </c>
      <c r="AH5230" s="182" t="n">
        <v>0</v>
      </c>
      <c r="AI5230" s="182" t="n">
        <v>0</v>
      </c>
      <c r="AJ5230" s="182" t="n">
        <v>0</v>
      </c>
      <c r="AK5230" s="182" t="n">
        <v>10.92</v>
      </c>
      <c r="AL5230" s="182" t="n">
        <v>0</v>
      </c>
      <c r="AM5230" s="182" t="n">
        <v>0.08</v>
      </c>
      <c r="AN5230" s="182" t="n">
        <v>0</v>
      </c>
    </row>
    <row r="5231">
      <c r="A5231" s="155" t="n">
        <v>46105</v>
      </c>
      <c r="B5231" s="156" t="inlineStr">
        <is>
          <t>NS</t>
        </is>
      </c>
      <c r="C5231" s="156" t="inlineStr">
        <is>
          <t>DT-801</t>
        </is>
      </c>
      <c r="D5231" s="156" t="inlineStr">
        <is>
          <t>SKT 80S</t>
        </is>
      </c>
      <c r="E5231" s="156" t="inlineStr">
        <is>
          <t>Hauler</t>
        </is>
      </c>
      <c r="F5231" s="156" t="inlineStr"/>
      <c r="G5231" s="182" t="n">
        <v>0</v>
      </c>
      <c r="H5231" s="182" t="n">
        <v>0</v>
      </c>
      <c r="I5231" s="182" t="n">
        <v>0</v>
      </c>
      <c r="J5231" s="182" t="n">
        <v>0</v>
      </c>
      <c r="K5231" s="182" t="n">
        <v>12</v>
      </c>
      <c r="L5231" s="182" t="n">
        <v>12</v>
      </c>
      <c r="M5231" s="182" t="n">
        <v>0</v>
      </c>
      <c r="N5231" s="182" t="n">
        <v>0</v>
      </c>
      <c r="O5231" s="183" t="n">
        <v>0</v>
      </c>
      <c r="P5231" s="183" t="n">
        <v>0</v>
      </c>
      <c r="Q5231" s="184" t="n">
        <v>0</v>
      </c>
      <c r="R5231" s="184" t="n">
        <v>0</v>
      </c>
      <c r="S5231" s="183" t="n">
        <v>0</v>
      </c>
      <c r="T5231" s="183" t="n">
        <v>0</v>
      </c>
      <c r="U5231" s="182" t="n">
        <v>0</v>
      </c>
      <c r="V5231" s="182" t="n">
        <v>0</v>
      </c>
      <c r="W5231" s="182" t="n">
        <v>0</v>
      </c>
      <c r="X5231" s="182" t="n">
        <v>1</v>
      </c>
      <c r="Y5231" s="182" t="n">
        <v>0</v>
      </c>
      <c r="Z5231" s="182" t="n">
        <v>0</v>
      </c>
      <c r="AA5231" s="182" t="n">
        <v>0</v>
      </c>
      <c r="AB5231" s="182" t="n">
        <v>0</v>
      </c>
      <c r="AC5231" s="182" t="n">
        <v>0</v>
      </c>
      <c r="AD5231" s="182" t="n">
        <v>0</v>
      </c>
      <c r="AE5231" s="182" t="n">
        <v>0</v>
      </c>
      <c r="AF5231" s="182" t="n">
        <v>0</v>
      </c>
      <c r="AG5231" s="182" t="n">
        <v>0</v>
      </c>
      <c r="AH5231" s="182" t="n">
        <v>0</v>
      </c>
      <c r="AI5231" s="182" t="n">
        <v>0</v>
      </c>
      <c r="AJ5231" s="182" t="n">
        <v>0</v>
      </c>
      <c r="AK5231" s="182" t="n">
        <v>10.92</v>
      </c>
      <c r="AL5231" s="182" t="n">
        <v>0</v>
      </c>
      <c r="AM5231" s="182" t="n">
        <v>0.08</v>
      </c>
      <c r="AN5231" s="182" t="n">
        <v>0</v>
      </c>
    </row>
    <row r="5232">
      <c r="A5232" s="155" t="n">
        <v>46105</v>
      </c>
      <c r="B5232" s="156" t="inlineStr">
        <is>
          <t>NS</t>
        </is>
      </c>
      <c r="C5232" s="156" t="inlineStr">
        <is>
          <t>DT-808</t>
        </is>
      </c>
      <c r="D5232" s="156" t="inlineStr">
        <is>
          <t>SKT 80S</t>
        </is>
      </c>
      <c r="E5232" s="156" t="inlineStr">
        <is>
          <t>Hauler</t>
        </is>
      </c>
      <c r="F5232" s="156" t="inlineStr">
        <is>
          <t>Hauling Lumpur dari Washing Plant</t>
        </is>
      </c>
      <c r="G5232" s="182" t="n">
        <v>3.28</v>
      </c>
      <c r="H5232" s="182" t="n">
        <v>0</v>
      </c>
      <c r="I5232" s="182" t="n">
        <v>0</v>
      </c>
      <c r="J5232" s="182" t="n">
        <v>0</v>
      </c>
      <c r="K5232" s="182" t="n">
        <v>8.720000000000001</v>
      </c>
      <c r="L5232" s="182" t="n">
        <v>12</v>
      </c>
      <c r="M5232" s="182" t="n">
        <v>0</v>
      </c>
      <c r="N5232" s="182" t="n">
        <v>0</v>
      </c>
      <c r="O5232" s="183" t="n">
        <v>0</v>
      </c>
      <c r="P5232" s="183" t="n">
        <v>0</v>
      </c>
      <c r="Q5232" s="184" t="n">
        <v>0</v>
      </c>
      <c r="R5232" s="184" t="n">
        <v>0</v>
      </c>
      <c r="S5232" s="183" t="n">
        <v>0</v>
      </c>
      <c r="T5232" s="183" t="n">
        <v>0</v>
      </c>
      <c r="U5232" s="182" t="n">
        <v>0</v>
      </c>
      <c r="V5232" s="182" t="n">
        <v>0</v>
      </c>
      <c r="W5232" s="182" t="n">
        <v>0</v>
      </c>
      <c r="X5232" s="182" t="n">
        <v>0.96</v>
      </c>
      <c r="Y5232" s="182" t="n">
        <v>0</v>
      </c>
      <c r="Z5232" s="182" t="n">
        <v>0</v>
      </c>
      <c r="AA5232" s="182" t="n">
        <v>0</v>
      </c>
      <c r="AB5232" s="182" t="n">
        <v>0</v>
      </c>
      <c r="AC5232" s="182" t="n">
        <v>0</v>
      </c>
      <c r="AD5232" s="182" t="n">
        <v>0</v>
      </c>
      <c r="AE5232" s="182" t="n">
        <v>0</v>
      </c>
      <c r="AF5232" s="182" t="n">
        <v>0</v>
      </c>
      <c r="AG5232" s="182" t="n">
        <v>0</v>
      </c>
      <c r="AH5232" s="182" t="n">
        <v>0</v>
      </c>
      <c r="AI5232" s="182" t="n">
        <v>0</v>
      </c>
      <c r="AJ5232" s="182" t="n">
        <v>0</v>
      </c>
      <c r="AK5232" s="182" t="n">
        <v>7.69</v>
      </c>
      <c r="AL5232" s="182" t="n">
        <v>0</v>
      </c>
      <c r="AM5232" s="182" t="n">
        <v>0.08</v>
      </c>
      <c r="AN5232" s="182" t="n">
        <v>0</v>
      </c>
    </row>
    <row r="5233">
      <c r="A5233" s="155" t="n">
        <v>46105</v>
      </c>
      <c r="B5233" s="156" t="inlineStr">
        <is>
          <t>NS</t>
        </is>
      </c>
      <c r="C5233" s="156" t="inlineStr">
        <is>
          <t>DT-811</t>
        </is>
      </c>
      <c r="D5233" s="156" t="inlineStr">
        <is>
          <t>SKT 80S</t>
        </is>
      </c>
      <c r="E5233" s="156" t="inlineStr">
        <is>
          <t>Hauler</t>
        </is>
      </c>
      <c r="F5233" s="156" t="inlineStr"/>
      <c r="G5233" s="182" t="n">
        <v>0</v>
      </c>
      <c r="H5233" s="182" t="n">
        <v>0</v>
      </c>
      <c r="I5233" s="182" t="n">
        <v>0</v>
      </c>
      <c r="J5233" s="182" t="n">
        <v>0</v>
      </c>
      <c r="K5233" s="182" t="n">
        <v>12</v>
      </c>
      <c r="L5233" s="182" t="n">
        <v>12</v>
      </c>
      <c r="M5233" s="182" t="n">
        <v>0</v>
      </c>
      <c r="N5233" s="182" t="n">
        <v>0</v>
      </c>
      <c r="O5233" s="183" t="n">
        <v>0</v>
      </c>
      <c r="P5233" s="183" t="n">
        <v>0</v>
      </c>
      <c r="Q5233" s="184" t="n">
        <v>0</v>
      </c>
      <c r="R5233" s="184" t="n">
        <v>0</v>
      </c>
      <c r="S5233" s="183" t="n">
        <v>0</v>
      </c>
      <c r="T5233" s="183" t="n">
        <v>0</v>
      </c>
      <c r="U5233" s="182" t="n">
        <v>0</v>
      </c>
      <c r="V5233" s="182" t="n">
        <v>0</v>
      </c>
      <c r="W5233" s="182" t="n">
        <v>0</v>
      </c>
      <c r="X5233" s="182" t="n">
        <v>1</v>
      </c>
      <c r="Y5233" s="182" t="n">
        <v>0</v>
      </c>
      <c r="Z5233" s="182" t="n">
        <v>0</v>
      </c>
      <c r="AA5233" s="182" t="n">
        <v>0</v>
      </c>
      <c r="AB5233" s="182" t="n">
        <v>0</v>
      </c>
      <c r="AC5233" s="182" t="n">
        <v>0</v>
      </c>
      <c r="AD5233" s="182" t="n">
        <v>0</v>
      </c>
      <c r="AE5233" s="182" t="n">
        <v>0</v>
      </c>
      <c r="AF5233" s="182" t="n">
        <v>0</v>
      </c>
      <c r="AG5233" s="182" t="n">
        <v>0</v>
      </c>
      <c r="AH5233" s="182" t="n">
        <v>0</v>
      </c>
      <c r="AI5233" s="182" t="n">
        <v>0</v>
      </c>
      <c r="AJ5233" s="182" t="n">
        <v>0</v>
      </c>
      <c r="AK5233" s="182" t="n">
        <v>10.92</v>
      </c>
      <c r="AL5233" s="182" t="n">
        <v>0</v>
      </c>
      <c r="AM5233" s="182" t="n">
        <v>0.08</v>
      </c>
      <c r="AN5233" s="182" t="n">
        <v>0</v>
      </c>
    </row>
    <row r="5234">
      <c r="A5234" s="155" t="n">
        <v>46105</v>
      </c>
      <c r="B5234" s="156" t="inlineStr">
        <is>
          <t>NS</t>
        </is>
      </c>
      <c r="C5234" s="156" t="inlineStr">
        <is>
          <t>DT-802</t>
        </is>
      </c>
      <c r="D5234" s="156" t="inlineStr">
        <is>
          <t>SKT 80S</t>
        </is>
      </c>
      <c r="E5234" s="156" t="inlineStr">
        <is>
          <t>Hauler</t>
        </is>
      </c>
      <c r="F5234" s="156" t="inlineStr"/>
      <c r="G5234" s="182" t="n">
        <v>0</v>
      </c>
      <c r="H5234" s="182" t="n">
        <v>0</v>
      </c>
      <c r="I5234" s="182" t="n">
        <v>0</v>
      </c>
      <c r="J5234" s="182" t="n">
        <v>0</v>
      </c>
      <c r="K5234" s="182" t="n">
        <v>12</v>
      </c>
      <c r="L5234" s="182" t="n">
        <v>12</v>
      </c>
      <c r="M5234" s="182" t="n">
        <v>0</v>
      </c>
      <c r="N5234" s="182" t="n">
        <v>0</v>
      </c>
      <c r="O5234" s="183" t="n">
        <v>0</v>
      </c>
      <c r="P5234" s="183" t="n">
        <v>0</v>
      </c>
      <c r="Q5234" s="184" t="n">
        <v>0</v>
      </c>
      <c r="R5234" s="184" t="n">
        <v>0</v>
      </c>
      <c r="S5234" s="183" t="n">
        <v>0</v>
      </c>
      <c r="T5234" s="183" t="n">
        <v>0</v>
      </c>
      <c r="U5234" s="182" t="n">
        <v>0</v>
      </c>
      <c r="V5234" s="182" t="n">
        <v>0</v>
      </c>
      <c r="W5234" s="182" t="n">
        <v>0</v>
      </c>
      <c r="X5234" s="182" t="n">
        <v>1</v>
      </c>
      <c r="Y5234" s="182" t="n">
        <v>0</v>
      </c>
      <c r="Z5234" s="182" t="n">
        <v>0</v>
      </c>
      <c r="AA5234" s="182" t="n">
        <v>0</v>
      </c>
      <c r="AB5234" s="182" t="n">
        <v>0</v>
      </c>
      <c r="AC5234" s="182" t="n">
        <v>0</v>
      </c>
      <c r="AD5234" s="182" t="n">
        <v>0</v>
      </c>
      <c r="AE5234" s="182" t="n">
        <v>0</v>
      </c>
      <c r="AF5234" s="182" t="n">
        <v>0</v>
      </c>
      <c r="AG5234" s="182" t="n">
        <v>0</v>
      </c>
      <c r="AH5234" s="182" t="n">
        <v>0</v>
      </c>
      <c r="AI5234" s="182" t="n">
        <v>0</v>
      </c>
      <c r="AJ5234" s="182" t="n">
        <v>0</v>
      </c>
      <c r="AK5234" s="182" t="n">
        <v>10.92</v>
      </c>
      <c r="AL5234" s="182" t="n">
        <v>0</v>
      </c>
      <c r="AM5234" s="182" t="n">
        <v>0.08</v>
      </c>
      <c r="AN5234" s="182" t="n">
        <v>0</v>
      </c>
    </row>
    <row r="5235">
      <c r="A5235" s="155" t="n">
        <v>46105</v>
      </c>
      <c r="B5235" s="156" t="inlineStr">
        <is>
          <t>NS</t>
        </is>
      </c>
      <c r="C5235" s="156" t="inlineStr">
        <is>
          <t>DT-807</t>
        </is>
      </c>
      <c r="D5235" s="156" t="inlineStr">
        <is>
          <t>SKT 80S</t>
        </is>
      </c>
      <c r="E5235" s="156" t="inlineStr">
        <is>
          <t>Hauler</t>
        </is>
      </c>
      <c r="F5235" s="156" t="inlineStr"/>
      <c r="G5235" s="182" t="n">
        <v>0</v>
      </c>
      <c r="H5235" s="182" t="n">
        <v>0</v>
      </c>
      <c r="I5235" s="182" t="n">
        <v>0</v>
      </c>
      <c r="J5235" s="182" t="n">
        <v>0</v>
      </c>
      <c r="K5235" s="182" t="n">
        <v>12</v>
      </c>
      <c r="L5235" s="182" t="n">
        <v>12</v>
      </c>
      <c r="M5235" s="182" t="n">
        <v>0</v>
      </c>
      <c r="N5235" s="182" t="n">
        <v>0</v>
      </c>
      <c r="O5235" s="183" t="n">
        <v>0</v>
      </c>
      <c r="P5235" s="183" t="n">
        <v>0</v>
      </c>
      <c r="Q5235" s="184" t="n">
        <v>0</v>
      </c>
      <c r="R5235" s="184" t="n">
        <v>0</v>
      </c>
      <c r="S5235" s="183" t="n">
        <v>0</v>
      </c>
      <c r="T5235" s="183" t="n">
        <v>0</v>
      </c>
      <c r="U5235" s="182" t="n">
        <v>0</v>
      </c>
      <c r="V5235" s="182" t="n">
        <v>0</v>
      </c>
      <c r="W5235" s="182" t="n">
        <v>0</v>
      </c>
      <c r="X5235" s="182" t="n">
        <v>1</v>
      </c>
      <c r="Y5235" s="182" t="n">
        <v>0</v>
      </c>
      <c r="Z5235" s="182" t="n">
        <v>0</v>
      </c>
      <c r="AA5235" s="182" t="n">
        <v>0</v>
      </c>
      <c r="AB5235" s="182" t="n">
        <v>0</v>
      </c>
      <c r="AC5235" s="182" t="n">
        <v>0</v>
      </c>
      <c r="AD5235" s="182" t="n">
        <v>0</v>
      </c>
      <c r="AE5235" s="182" t="n">
        <v>0</v>
      </c>
      <c r="AF5235" s="182" t="n">
        <v>0</v>
      </c>
      <c r="AG5235" s="182" t="n">
        <v>0</v>
      </c>
      <c r="AH5235" s="182" t="n">
        <v>0</v>
      </c>
      <c r="AI5235" s="182" t="n">
        <v>0</v>
      </c>
      <c r="AJ5235" s="182" t="n">
        <v>0</v>
      </c>
      <c r="AK5235" s="182" t="n">
        <v>10.92</v>
      </c>
      <c r="AL5235" s="182" t="n">
        <v>0</v>
      </c>
      <c r="AM5235" s="182" t="n">
        <v>0.08</v>
      </c>
      <c r="AN5235" s="182" t="n">
        <v>0</v>
      </c>
    </row>
    <row r="5236">
      <c r="A5236" s="155" t="n">
        <v>46105</v>
      </c>
      <c r="B5236" s="156" t="inlineStr">
        <is>
          <t>NS</t>
        </is>
      </c>
      <c r="C5236" s="156" t="inlineStr">
        <is>
          <t>DT-812</t>
        </is>
      </c>
      <c r="D5236" s="156" t="inlineStr">
        <is>
          <t>SKT 80S</t>
        </is>
      </c>
      <c r="E5236" s="156" t="inlineStr">
        <is>
          <t>Hauler</t>
        </is>
      </c>
      <c r="F5236" s="156" t="inlineStr"/>
      <c r="G5236" s="182" t="n">
        <v>0</v>
      </c>
      <c r="H5236" s="182" t="n">
        <v>0</v>
      </c>
      <c r="I5236" s="182" t="n">
        <v>0</v>
      </c>
      <c r="J5236" s="182" t="n">
        <v>0</v>
      </c>
      <c r="K5236" s="182" t="n">
        <v>12</v>
      </c>
      <c r="L5236" s="182" t="n">
        <v>12</v>
      </c>
      <c r="M5236" s="182" t="n">
        <v>0</v>
      </c>
      <c r="N5236" s="182" t="n">
        <v>0</v>
      </c>
      <c r="O5236" s="183" t="n">
        <v>0</v>
      </c>
      <c r="P5236" s="183" t="n">
        <v>0</v>
      </c>
      <c r="Q5236" s="184" t="n">
        <v>0</v>
      </c>
      <c r="R5236" s="184" t="n">
        <v>0</v>
      </c>
      <c r="S5236" s="183" t="n">
        <v>0</v>
      </c>
      <c r="T5236" s="183" t="n">
        <v>0</v>
      </c>
      <c r="U5236" s="182" t="n">
        <v>0</v>
      </c>
      <c r="V5236" s="182" t="n">
        <v>0</v>
      </c>
      <c r="W5236" s="182" t="n">
        <v>0</v>
      </c>
      <c r="X5236" s="182" t="n">
        <v>1</v>
      </c>
      <c r="Y5236" s="182" t="n">
        <v>0</v>
      </c>
      <c r="Z5236" s="182" t="n">
        <v>0</v>
      </c>
      <c r="AA5236" s="182" t="n">
        <v>0</v>
      </c>
      <c r="AB5236" s="182" t="n">
        <v>0</v>
      </c>
      <c r="AC5236" s="182" t="n">
        <v>0</v>
      </c>
      <c r="AD5236" s="182" t="n">
        <v>0</v>
      </c>
      <c r="AE5236" s="182" t="n">
        <v>0</v>
      </c>
      <c r="AF5236" s="182" t="n">
        <v>0</v>
      </c>
      <c r="AG5236" s="182" t="n">
        <v>0</v>
      </c>
      <c r="AH5236" s="182" t="n">
        <v>0</v>
      </c>
      <c r="AI5236" s="182" t="n">
        <v>0</v>
      </c>
      <c r="AJ5236" s="182" t="n">
        <v>0</v>
      </c>
      <c r="AK5236" s="182" t="n">
        <v>10.92</v>
      </c>
      <c r="AL5236" s="182" t="n">
        <v>0</v>
      </c>
      <c r="AM5236" s="182" t="n">
        <v>0.08</v>
      </c>
      <c r="AN5236" s="182" t="n">
        <v>0</v>
      </c>
    </row>
    <row r="5237">
      <c r="A5237" s="155" t="n">
        <v>46105</v>
      </c>
      <c r="B5237" s="156" t="inlineStr">
        <is>
          <t>NS</t>
        </is>
      </c>
      <c r="C5237" s="156" t="inlineStr">
        <is>
          <t>DT-803</t>
        </is>
      </c>
      <c r="D5237" s="156" t="inlineStr">
        <is>
          <t>SKT 80S</t>
        </is>
      </c>
      <c r="E5237" s="156" t="inlineStr">
        <is>
          <t>Hauler</t>
        </is>
      </c>
      <c r="F5237" s="156" t="inlineStr"/>
      <c r="G5237" s="182" t="n">
        <v>0</v>
      </c>
      <c r="H5237" s="182" t="n">
        <v>0</v>
      </c>
      <c r="I5237" s="182" t="n">
        <v>0</v>
      </c>
      <c r="J5237" s="182" t="n">
        <v>0</v>
      </c>
      <c r="K5237" s="182" t="n">
        <v>12</v>
      </c>
      <c r="L5237" s="182" t="n">
        <v>12</v>
      </c>
      <c r="M5237" s="182" t="n">
        <v>0</v>
      </c>
      <c r="N5237" s="182" t="n">
        <v>0</v>
      </c>
      <c r="O5237" s="183" t="n">
        <v>0</v>
      </c>
      <c r="P5237" s="183" t="n">
        <v>0</v>
      </c>
      <c r="Q5237" s="184" t="n">
        <v>0</v>
      </c>
      <c r="R5237" s="184" t="n">
        <v>0</v>
      </c>
      <c r="S5237" s="183" t="n">
        <v>0</v>
      </c>
      <c r="T5237" s="183" t="n">
        <v>0</v>
      </c>
      <c r="U5237" s="182" t="n">
        <v>0</v>
      </c>
      <c r="V5237" s="182" t="n">
        <v>0</v>
      </c>
      <c r="W5237" s="182" t="n">
        <v>0</v>
      </c>
      <c r="X5237" s="182" t="n">
        <v>1</v>
      </c>
      <c r="Y5237" s="182" t="n">
        <v>0</v>
      </c>
      <c r="Z5237" s="182" t="n">
        <v>0</v>
      </c>
      <c r="AA5237" s="182" t="n">
        <v>0</v>
      </c>
      <c r="AB5237" s="182" t="n">
        <v>0</v>
      </c>
      <c r="AC5237" s="182" t="n">
        <v>0</v>
      </c>
      <c r="AD5237" s="182" t="n">
        <v>0</v>
      </c>
      <c r="AE5237" s="182" t="n">
        <v>0</v>
      </c>
      <c r="AF5237" s="182" t="n">
        <v>0</v>
      </c>
      <c r="AG5237" s="182" t="n">
        <v>0</v>
      </c>
      <c r="AH5237" s="182" t="n">
        <v>0</v>
      </c>
      <c r="AI5237" s="182" t="n">
        <v>0</v>
      </c>
      <c r="AJ5237" s="182" t="n">
        <v>0</v>
      </c>
      <c r="AK5237" s="182" t="n">
        <v>10.92</v>
      </c>
      <c r="AL5237" s="182" t="n">
        <v>0</v>
      </c>
      <c r="AM5237" s="182" t="n">
        <v>0.08</v>
      </c>
      <c r="AN5237" s="182" t="n">
        <v>0</v>
      </c>
    </row>
    <row r="5238">
      <c r="A5238" s="155" t="n">
        <v>46105</v>
      </c>
      <c r="B5238" s="156" t="inlineStr">
        <is>
          <t>NS</t>
        </is>
      </c>
      <c r="C5238" s="156" t="inlineStr">
        <is>
          <t>DT-810</t>
        </is>
      </c>
      <c r="D5238" s="156" t="inlineStr">
        <is>
          <t>SKT 80S</t>
        </is>
      </c>
      <c r="E5238" s="156" t="inlineStr">
        <is>
          <t>Hauler</t>
        </is>
      </c>
      <c r="F5238" s="156" t="inlineStr"/>
      <c r="G5238" s="182" t="n">
        <v>0</v>
      </c>
      <c r="H5238" s="182" t="n">
        <v>0</v>
      </c>
      <c r="I5238" s="182" t="n">
        <v>0</v>
      </c>
      <c r="J5238" s="182" t="n">
        <v>0</v>
      </c>
      <c r="K5238" s="182" t="n">
        <v>12</v>
      </c>
      <c r="L5238" s="182" t="n">
        <v>12</v>
      </c>
      <c r="M5238" s="182" t="n">
        <v>0</v>
      </c>
      <c r="N5238" s="182" t="n">
        <v>0</v>
      </c>
      <c r="O5238" s="183" t="n">
        <v>0</v>
      </c>
      <c r="P5238" s="183" t="n">
        <v>0</v>
      </c>
      <c r="Q5238" s="184" t="n">
        <v>0</v>
      </c>
      <c r="R5238" s="184" t="n">
        <v>0</v>
      </c>
      <c r="S5238" s="183" t="n">
        <v>0</v>
      </c>
      <c r="T5238" s="183" t="n">
        <v>0</v>
      </c>
      <c r="U5238" s="182" t="n">
        <v>0</v>
      </c>
      <c r="V5238" s="182" t="n">
        <v>0</v>
      </c>
      <c r="W5238" s="182" t="n">
        <v>0</v>
      </c>
      <c r="X5238" s="182" t="n">
        <v>1</v>
      </c>
      <c r="Y5238" s="182" t="n">
        <v>0</v>
      </c>
      <c r="Z5238" s="182" t="n">
        <v>0</v>
      </c>
      <c r="AA5238" s="182" t="n">
        <v>0</v>
      </c>
      <c r="AB5238" s="182" t="n">
        <v>0</v>
      </c>
      <c r="AC5238" s="182" t="n">
        <v>0</v>
      </c>
      <c r="AD5238" s="182" t="n">
        <v>0</v>
      </c>
      <c r="AE5238" s="182" t="n">
        <v>0</v>
      </c>
      <c r="AF5238" s="182" t="n">
        <v>0</v>
      </c>
      <c r="AG5238" s="182" t="n">
        <v>0</v>
      </c>
      <c r="AH5238" s="182" t="n">
        <v>0</v>
      </c>
      <c r="AI5238" s="182" t="n">
        <v>0</v>
      </c>
      <c r="AJ5238" s="182" t="n">
        <v>0</v>
      </c>
      <c r="AK5238" s="182" t="n">
        <v>10.92</v>
      </c>
      <c r="AL5238" s="182" t="n">
        <v>0</v>
      </c>
      <c r="AM5238" s="182" t="n">
        <v>0.08</v>
      </c>
      <c r="AN5238" s="182" t="n">
        <v>0</v>
      </c>
    </row>
    <row r="5239">
      <c r="A5239" s="155" t="n">
        <v>46105</v>
      </c>
      <c r="B5239" s="156" t="inlineStr">
        <is>
          <t>NS</t>
        </is>
      </c>
      <c r="C5239" s="156" t="inlineStr">
        <is>
          <t>DT-804</t>
        </is>
      </c>
      <c r="D5239" s="156" t="inlineStr">
        <is>
          <t>SKT 80S</t>
        </is>
      </c>
      <c r="E5239" s="156" t="inlineStr">
        <is>
          <t>Hauler</t>
        </is>
      </c>
      <c r="F5239" s="156" t="inlineStr">
        <is>
          <t>Hauling Lumpur dari Washing Plant</t>
        </is>
      </c>
      <c r="G5239" s="182" t="n">
        <v>2.67</v>
      </c>
      <c r="H5239" s="182" t="n">
        <v>0</v>
      </c>
      <c r="I5239" s="182" t="n">
        <v>0</v>
      </c>
      <c r="J5239" s="182" t="n">
        <v>0</v>
      </c>
      <c r="K5239" s="182" t="n">
        <v>9.33</v>
      </c>
      <c r="L5239" s="182" t="n">
        <v>12</v>
      </c>
      <c r="M5239" s="182" t="n">
        <v>0</v>
      </c>
      <c r="N5239" s="182" t="n">
        <v>0</v>
      </c>
      <c r="O5239" s="183" t="n">
        <v>0</v>
      </c>
      <c r="P5239" s="183" t="n">
        <v>0</v>
      </c>
      <c r="Q5239" s="184" t="n">
        <v>0</v>
      </c>
      <c r="R5239" s="184" t="n">
        <v>0</v>
      </c>
      <c r="S5239" s="183" t="n">
        <v>0</v>
      </c>
      <c r="T5239" s="183" t="n">
        <v>0</v>
      </c>
      <c r="U5239" s="182" t="n">
        <v>0</v>
      </c>
      <c r="V5239" s="182" t="n">
        <v>0</v>
      </c>
      <c r="W5239" s="182" t="n">
        <v>0</v>
      </c>
      <c r="X5239" s="182" t="n">
        <v>1.01</v>
      </c>
      <c r="Y5239" s="182" t="n">
        <v>0</v>
      </c>
      <c r="Z5239" s="182" t="n">
        <v>0</v>
      </c>
      <c r="AA5239" s="182" t="n">
        <v>0</v>
      </c>
      <c r="AB5239" s="182" t="n">
        <v>0</v>
      </c>
      <c r="AC5239" s="182" t="n">
        <v>0</v>
      </c>
      <c r="AD5239" s="182" t="n">
        <v>0</v>
      </c>
      <c r="AE5239" s="182" t="n">
        <v>0</v>
      </c>
      <c r="AF5239" s="182" t="n">
        <v>0</v>
      </c>
      <c r="AG5239" s="182" t="n">
        <v>0</v>
      </c>
      <c r="AH5239" s="182" t="n">
        <v>0</v>
      </c>
      <c r="AI5239" s="182" t="n">
        <v>0</v>
      </c>
      <c r="AJ5239" s="182" t="n">
        <v>0</v>
      </c>
      <c r="AK5239" s="182" t="n">
        <v>8.23</v>
      </c>
      <c r="AL5239" s="182" t="n">
        <v>0</v>
      </c>
      <c r="AM5239" s="182" t="n">
        <v>0.08</v>
      </c>
      <c r="AN5239" s="182" t="n">
        <v>0</v>
      </c>
    </row>
    <row r="5240">
      <c r="A5240" s="155" t="n">
        <v>46105</v>
      </c>
      <c r="B5240" s="156" t="inlineStr">
        <is>
          <t>NS</t>
        </is>
      </c>
      <c r="C5240" s="156" t="inlineStr">
        <is>
          <t>DT-505</t>
        </is>
      </c>
      <c r="D5240" s="156" t="inlineStr">
        <is>
          <t>SKT 105S</t>
        </is>
      </c>
      <c r="E5240" s="156" t="inlineStr">
        <is>
          <t>Hauler</t>
        </is>
      </c>
      <c r="F5240" s="156" t="inlineStr">
        <is>
          <t>Hauling OB &amp; Coal</t>
        </is>
      </c>
      <c r="G5240" s="182" t="n">
        <v>5.7</v>
      </c>
      <c r="H5240" s="182" t="n">
        <v>0</v>
      </c>
      <c r="I5240" s="182" t="n">
        <v>0</v>
      </c>
      <c r="J5240" s="182" t="n">
        <v>0</v>
      </c>
      <c r="K5240" s="182" t="n">
        <v>6.3</v>
      </c>
      <c r="L5240" s="182" t="n">
        <v>12</v>
      </c>
      <c r="M5240" s="182" t="n">
        <v>4.25</v>
      </c>
      <c r="N5240" s="182" t="n">
        <v>1.45</v>
      </c>
      <c r="O5240" s="183" t="n">
        <v>19</v>
      </c>
      <c r="P5240" s="183" t="n">
        <v>3</v>
      </c>
      <c r="Q5240" s="184" t="n">
        <v>387.6</v>
      </c>
      <c r="R5240" s="184" t="n">
        <v>56.1</v>
      </c>
      <c r="S5240" s="183" t="n">
        <v>0</v>
      </c>
      <c r="T5240" s="183" t="n">
        <v>0</v>
      </c>
      <c r="U5240" s="182" t="n">
        <v>0</v>
      </c>
      <c r="V5240" s="182" t="n">
        <v>0</v>
      </c>
      <c r="W5240" s="182" t="n">
        <v>0</v>
      </c>
      <c r="X5240" s="182" t="n">
        <v>1.03</v>
      </c>
      <c r="Y5240" s="182" t="n">
        <v>0</v>
      </c>
      <c r="Z5240" s="182" t="n">
        <v>0</v>
      </c>
      <c r="AA5240" s="182" t="n">
        <v>0</v>
      </c>
      <c r="AB5240" s="182" t="n">
        <v>0</v>
      </c>
      <c r="AC5240" s="182" t="n">
        <v>0</v>
      </c>
      <c r="AD5240" s="182" t="n">
        <v>0</v>
      </c>
      <c r="AE5240" s="182" t="n">
        <v>0</v>
      </c>
      <c r="AF5240" s="182" t="n">
        <v>0</v>
      </c>
      <c r="AG5240" s="182" t="n">
        <v>0</v>
      </c>
      <c r="AH5240" s="182" t="n">
        <v>0</v>
      </c>
      <c r="AI5240" s="182" t="n">
        <v>5.18</v>
      </c>
      <c r="AJ5240" s="182" t="n">
        <v>0</v>
      </c>
      <c r="AK5240" s="182" t="n">
        <v>0</v>
      </c>
      <c r="AL5240" s="182" t="n">
        <v>0</v>
      </c>
      <c r="AM5240" s="182" t="n">
        <v>0.08</v>
      </c>
      <c r="AN5240" s="182" t="n">
        <v>0</v>
      </c>
    </row>
    <row r="5241">
      <c r="A5241" s="155" t="n">
        <v>46105</v>
      </c>
      <c r="B5241" s="156" t="inlineStr">
        <is>
          <t>NS</t>
        </is>
      </c>
      <c r="C5241" s="156" t="inlineStr">
        <is>
          <t>DT-530</t>
        </is>
      </c>
      <c r="D5241" s="156" t="inlineStr">
        <is>
          <t>SKT 105S</t>
        </is>
      </c>
      <c r="E5241" s="156" t="inlineStr">
        <is>
          <t>Hauler</t>
        </is>
      </c>
      <c r="F5241" s="156" t="inlineStr"/>
      <c r="G5241" s="182" t="n">
        <v>0</v>
      </c>
      <c r="H5241" s="182" t="n">
        <v>0</v>
      </c>
      <c r="I5241" s="182" t="n">
        <v>12</v>
      </c>
      <c r="J5241" s="182" t="n">
        <v>12</v>
      </c>
      <c r="K5241" s="182" t="n">
        <v>0</v>
      </c>
      <c r="L5241" s="182" t="n">
        <v>12</v>
      </c>
      <c r="M5241" s="182" t="n">
        <v>0</v>
      </c>
      <c r="N5241" s="182" t="n">
        <v>0</v>
      </c>
      <c r="O5241" s="183" t="n">
        <v>0</v>
      </c>
      <c r="P5241" s="183" t="n">
        <v>0</v>
      </c>
      <c r="Q5241" s="184" t="n">
        <v>0</v>
      </c>
      <c r="R5241" s="184" t="n">
        <v>0</v>
      </c>
      <c r="S5241" s="183" t="n">
        <v>0</v>
      </c>
      <c r="T5241" s="183" t="n">
        <v>0</v>
      </c>
      <c r="U5241" s="182" t="n">
        <v>0</v>
      </c>
      <c r="V5241" s="182" t="n">
        <v>0</v>
      </c>
      <c r="W5241" s="182" t="n">
        <v>0</v>
      </c>
      <c r="X5241" s="182" t="n">
        <v>0</v>
      </c>
      <c r="Y5241" s="182" t="n">
        <v>0</v>
      </c>
      <c r="Z5241" s="182" t="n">
        <v>0</v>
      </c>
      <c r="AA5241" s="182" t="n">
        <v>0</v>
      </c>
      <c r="AB5241" s="182" t="n">
        <v>0</v>
      </c>
      <c r="AC5241" s="182" t="n">
        <v>0</v>
      </c>
      <c r="AD5241" s="182" t="n">
        <v>0</v>
      </c>
      <c r="AE5241" s="182" t="n">
        <v>0</v>
      </c>
      <c r="AF5241" s="182" t="n">
        <v>0</v>
      </c>
      <c r="AG5241" s="182" t="n">
        <v>0</v>
      </c>
      <c r="AH5241" s="182" t="n">
        <v>0</v>
      </c>
      <c r="AI5241" s="182" t="n">
        <v>0</v>
      </c>
      <c r="AJ5241" s="182" t="n">
        <v>0</v>
      </c>
      <c r="AK5241" s="182" t="n">
        <v>0</v>
      </c>
      <c r="AL5241" s="182" t="n">
        <v>0</v>
      </c>
      <c r="AM5241" s="182" t="n">
        <v>0</v>
      </c>
      <c r="AN5241" s="182" t="n">
        <v>0</v>
      </c>
    </row>
    <row r="5242">
      <c r="A5242" s="155" t="n">
        <v>46105</v>
      </c>
      <c r="B5242" s="156" t="inlineStr">
        <is>
          <t>NS</t>
        </is>
      </c>
      <c r="C5242" s="156" t="inlineStr">
        <is>
          <t>DT-525</t>
        </is>
      </c>
      <c r="D5242" s="156" t="inlineStr">
        <is>
          <t>SKT 105S</t>
        </is>
      </c>
      <c r="E5242" s="156" t="inlineStr">
        <is>
          <t>Hauler</t>
        </is>
      </c>
      <c r="F5242" s="156" t="inlineStr"/>
      <c r="G5242" s="182" t="n">
        <v>0</v>
      </c>
      <c r="H5242" s="182" t="n">
        <v>0</v>
      </c>
      <c r="I5242" s="182" t="n">
        <v>12</v>
      </c>
      <c r="J5242" s="182" t="n">
        <v>12</v>
      </c>
      <c r="K5242" s="182" t="n">
        <v>0</v>
      </c>
      <c r="L5242" s="182" t="n">
        <v>12</v>
      </c>
      <c r="M5242" s="182" t="n">
        <v>0</v>
      </c>
      <c r="N5242" s="182" t="n">
        <v>0</v>
      </c>
      <c r="O5242" s="183" t="n">
        <v>0</v>
      </c>
      <c r="P5242" s="183" t="n">
        <v>0</v>
      </c>
      <c r="Q5242" s="184" t="n">
        <v>0</v>
      </c>
      <c r="R5242" s="184" t="n">
        <v>0</v>
      </c>
      <c r="S5242" s="183" t="n">
        <v>0</v>
      </c>
      <c r="T5242" s="183" t="n">
        <v>0</v>
      </c>
      <c r="U5242" s="182" t="n">
        <v>0</v>
      </c>
      <c r="V5242" s="182" t="n">
        <v>0</v>
      </c>
      <c r="W5242" s="182" t="n">
        <v>0</v>
      </c>
      <c r="X5242" s="182" t="n">
        <v>0</v>
      </c>
      <c r="Y5242" s="182" t="n">
        <v>0</v>
      </c>
      <c r="Z5242" s="182" t="n">
        <v>0</v>
      </c>
      <c r="AA5242" s="182" t="n">
        <v>0</v>
      </c>
      <c r="AB5242" s="182" t="n">
        <v>0</v>
      </c>
      <c r="AC5242" s="182" t="n">
        <v>0</v>
      </c>
      <c r="AD5242" s="182" t="n">
        <v>0</v>
      </c>
      <c r="AE5242" s="182" t="n">
        <v>0</v>
      </c>
      <c r="AF5242" s="182" t="n">
        <v>0</v>
      </c>
      <c r="AG5242" s="182" t="n">
        <v>0</v>
      </c>
      <c r="AH5242" s="182" t="n">
        <v>0</v>
      </c>
      <c r="AI5242" s="182" t="n">
        <v>0</v>
      </c>
      <c r="AJ5242" s="182" t="n">
        <v>0</v>
      </c>
      <c r="AK5242" s="182" t="n">
        <v>0</v>
      </c>
      <c r="AL5242" s="182" t="n">
        <v>0</v>
      </c>
      <c r="AM5242" s="182" t="n">
        <v>0</v>
      </c>
      <c r="AN5242" s="182" t="n">
        <v>0</v>
      </c>
    </row>
    <row r="5243">
      <c r="A5243" s="155" t="n">
        <v>46105</v>
      </c>
      <c r="B5243" s="156" t="inlineStr">
        <is>
          <t>NS</t>
        </is>
      </c>
      <c r="C5243" s="156" t="inlineStr">
        <is>
          <t>DT-503</t>
        </is>
      </c>
      <c r="D5243" s="156" t="inlineStr">
        <is>
          <t>SKT 105S</t>
        </is>
      </c>
      <c r="E5243" s="156" t="inlineStr">
        <is>
          <t>Hauler</t>
        </is>
      </c>
      <c r="F5243" s="156" t="inlineStr">
        <is>
          <t>Hauling OB</t>
        </is>
      </c>
      <c r="G5243" s="182" t="n">
        <v>10.06</v>
      </c>
      <c r="H5243" s="182" t="n">
        <v>0</v>
      </c>
      <c r="I5243" s="182" t="n">
        <v>0</v>
      </c>
      <c r="J5243" s="182" t="n">
        <v>0</v>
      </c>
      <c r="K5243" s="182" t="n">
        <v>1.94</v>
      </c>
      <c r="L5243" s="182" t="n">
        <v>12</v>
      </c>
      <c r="M5243" s="182" t="n">
        <v>10.06</v>
      </c>
      <c r="N5243" s="182" t="n">
        <v>0</v>
      </c>
      <c r="O5243" s="183" t="n">
        <v>34</v>
      </c>
      <c r="P5243" s="183" t="n">
        <v>0</v>
      </c>
      <c r="Q5243" s="184" t="n">
        <v>693.6</v>
      </c>
      <c r="R5243" s="184" t="n">
        <v>0</v>
      </c>
      <c r="S5243" s="183" t="n">
        <v>0</v>
      </c>
      <c r="T5243" s="183" t="n">
        <v>0</v>
      </c>
      <c r="U5243" s="182" t="n">
        <v>0</v>
      </c>
      <c r="V5243" s="182" t="n">
        <v>0</v>
      </c>
      <c r="W5243" s="182" t="n">
        <v>0</v>
      </c>
      <c r="X5243" s="182" t="n">
        <v>0.88</v>
      </c>
      <c r="Y5243" s="182" t="n">
        <v>0</v>
      </c>
      <c r="Z5243" s="182" t="n">
        <v>0</v>
      </c>
      <c r="AA5243" s="182" t="n">
        <v>0</v>
      </c>
      <c r="AB5243" s="182" t="n">
        <v>0</v>
      </c>
      <c r="AC5243" s="182" t="n">
        <v>0</v>
      </c>
      <c r="AD5243" s="182" t="n">
        <v>0</v>
      </c>
      <c r="AE5243" s="182" t="n">
        <v>0</v>
      </c>
      <c r="AF5243" s="182" t="n">
        <v>0</v>
      </c>
      <c r="AG5243" s="182" t="n">
        <v>0.53</v>
      </c>
      <c r="AH5243" s="182" t="n">
        <v>0.46</v>
      </c>
      <c r="AI5243" s="182" t="n">
        <v>0</v>
      </c>
      <c r="AJ5243" s="182" t="n">
        <v>0</v>
      </c>
      <c r="AK5243" s="182" t="n">
        <v>0</v>
      </c>
      <c r="AL5243" s="182" t="n">
        <v>0</v>
      </c>
      <c r="AM5243" s="182" t="n">
        <v>0.07000000000000001</v>
      </c>
      <c r="AN5243" s="182" t="n">
        <v>0</v>
      </c>
    </row>
    <row r="5244">
      <c r="A5244" s="155" t="n">
        <v>46105</v>
      </c>
      <c r="B5244" s="156" t="inlineStr">
        <is>
          <t>NS</t>
        </is>
      </c>
      <c r="C5244" s="156" t="inlineStr">
        <is>
          <t>DT-504</t>
        </is>
      </c>
      <c r="D5244" s="156" t="inlineStr">
        <is>
          <t>SKT 105S</t>
        </is>
      </c>
      <c r="E5244" s="156" t="inlineStr">
        <is>
          <t>Hauler</t>
        </is>
      </c>
      <c r="F5244" s="156" t="inlineStr">
        <is>
          <t>Hauling OB</t>
        </is>
      </c>
      <c r="G5244" s="182" t="n">
        <v>10.31</v>
      </c>
      <c r="H5244" s="182" t="n">
        <v>0</v>
      </c>
      <c r="I5244" s="182" t="n">
        <v>0</v>
      </c>
      <c r="J5244" s="182" t="n">
        <v>0</v>
      </c>
      <c r="K5244" s="182" t="n">
        <v>1.69</v>
      </c>
      <c r="L5244" s="182" t="n">
        <v>12</v>
      </c>
      <c r="M5244" s="182" t="n">
        <v>6.49</v>
      </c>
      <c r="N5244" s="182" t="n">
        <v>0</v>
      </c>
      <c r="O5244" s="183" t="n">
        <v>24</v>
      </c>
      <c r="P5244" s="183" t="n">
        <v>0</v>
      </c>
      <c r="Q5244" s="184" t="n">
        <v>489.6</v>
      </c>
      <c r="R5244" s="184" t="n">
        <v>0</v>
      </c>
      <c r="S5244" s="183" t="n">
        <v>0</v>
      </c>
      <c r="T5244" s="183" t="n">
        <v>0</v>
      </c>
      <c r="U5244" s="182" t="n">
        <v>0</v>
      </c>
      <c r="V5244" s="182" t="n">
        <v>0</v>
      </c>
      <c r="W5244" s="182" t="n">
        <v>0</v>
      </c>
      <c r="X5244" s="182" t="n">
        <v>0.84</v>
      </c>
      <c r="Y5244" s="182" t="n">
        <v>0</v>
      </c>
      <c r="Z5244" s="182" t="n">
        <v>0</v>
      </c>
      <c r="AA5244" s="182" t="n">
        <v>0</v>
      </c>
      <c r="AB5244" s="182" t="n">
        <v>0</v>
      </c>
      <c r="AC5244" s="182" t="n">
        <v>0</v>
      </c>
      <c r="AD5244" s="182" t="n">
        <v>0</v>
      </c>
      <c r="AE5244" s="182" t="n">
        <v>0</v>
      </c>
      <c r="AF5244" s="182" t="n">
        <v>0</v>
      </c>
      <c r="AG5244" s="182" t="n">
        <v>0</v>
      </c>
      <c r="AH5244" s="182" t="n">
        <v>0.78</v>
      </c>
      <c r="AI5244" s="182" t="n">
        <v>0</v>
      </c>
      <c r="AJ5244" s="182" t="n">
        <v>0</v>
      </c>
      <c r="AK5244" s="182" t="n">
        <v>0</v>
      </c>
      <c r="AL5244" s="182" t="n">
        <v>0</v>
      </c>
      <c r="AM5244" s="182" t="n">
        <v>0.07000000000000001</v>
      </c>
      <c r="AN5244" s="182" t="n">
        <v>0</v>
      </c>
    </row>
    <row r="5245">
      <c r="A5245" s="155" t="n">
        <v>46105</v>
      </c>
      <c r="B5245" s="156" t="inlineStr">
        <is>
          <t>NS</t>
        </is>
      </c>
      <c r="C5245" s="156" t="inlineStr">
        <is>
          <t>DT-507</t>
        </is>
      </c>
      <c r="D5245" s="156" t="inlineStr">
        <is>
          <t>SKT 105S</t>
        </is>
      </c>
      <c r="E5245" s="156" t="inlineStr">
        <is>
          <t>Hauler</t>
        </is>
      </c>
      <c r="F5245" s="156" t="inlineStr"/>
      <c r="G5245" s="182" t="n">
        <v>0</v>
      </c>
      <c r="H5245" s="182" t="n">
        <v>0</v>
      </c>
      <c r="I5245" s="182" t="n">
        <v>12</v>
      </c>
      <c r="J5245" s="182" t="n">
        <v>12</v>
      </c>
      <c r="K5245" s="182" t="n">
        <v>0</v>
      </c>
      <c r="L5245" s="182" t="n">
        <v>12</v>
      </c>
      <c r="M5245" s="182" t="n">
        <v>0</v>
      </c>
      <c r="N5245" s="182" t="n">
        <v>0</v>
      </c>
      <c r="O5245" s="183" t="n">
        <v>0</v>
      </c>
      <c r="P5245" s="183" t="n">
        <v>0</v>
      </c>
      <c r="Q5245" s="184" t="n">
        <v>0</v>
      </c>
      <c r="R5245" s="184" t="n">
        <v>0</v>
      </c>
      <c r="S5245" s="183" t="n">
        <v>0</v>
      </c>
      <c r="T5245" s="183" t="n">
        <v>0</v>
      </c>
      <c r="U5245" s="182" t="n">
        <v>0</v>
      </c>
      <c r="V5245" s="182" t="n">
        <v>0</v>
      </c>
      <c r="W5245" s="182" t="n">
        <v>0</v>
      </c>
      <c r="X5245" s="182" t="n">
        <v>0</v>
      </c>
      <c r="Y5245" s="182" t="n">
        <v>0</v>
      </c>
      <c r="Z5245" s="182" t="n">
        <v>0</v>
      </c>
      <c r="AA5245" s="182" t="n">
        <v>0</v>
      </c>
      <c r="AB5245" s="182" t="n">
        <v>0</v>
      </c>
      <c r="AC5245" s="182" t="n">
        <v>0</v>
      </c>
      <c r="AD5245" s="182" t="n">
        <v>0</v>
      </c>
      <c r="AE5245" s="182" t="n">
        <v>0</v>
      </c>
      <c r="AF5245" s="182" t="n">
        <v>0</v>
      </c>
      <c r="AG5245" s="182" t="n">
        <v>0</v>
      </c>
      <c r="AH5245" s="182" t="n">
        <v>0</v>
      </c>
      <c r="AI5245" s="182" t="n">
        <v>0</v>
      </c>
      <c r="AJ5245" s="182" t="n">
        <v>0</v>
      </c>
      <c r="AK5245" s="182" t="n">
        <v>0</v>
      </c>
      <c r="AL5245" s="182" t="n">
        <v>0</v>
      </c>
      <c r="AM5245" s="182" t="n">
        <v>0</v>
      </c>
      <c r="AN5245" s="182" t="n">
        <v>0</v>
      </c>
    </row>
    <row r="5246">
      <c r="A5246" s="155" t="n">
        <v>46105</v>
      </c>
      <c r="B5246" s="156" t="inlineStr">
        <is>
          <t>NS</t>
        </is>
      </c>
      <c r="C5246" s="156" t="inlineStr">
        <is>
          <t>DT-501</t>
        </is>
      </c>
      <c r="D5246" s="156" t="inlineStr">
        <is>
          <t>SKT 105S</t>
        </is>
      </c>
      <c r="E5246" s="156" t="inlineStr">
        <is>
          <t>Hauler</t>
        </is>
      </c>
      <c r="F5246" s="156" t="inlineStr">
        <is>
          <t>Hauling OB &amp; Coal</t>
        </is>
      </c>
      <c r="G5246" s="182" t="n">
        <v>5.34</v>
      </c>
      <c r="H5246" s="182" t="n">
        <v>0</v>
      </c>
      <c r="I5246" s="182" t="n">
        <v>0</v>
      </c>
      <c r="J5246" s="182" t="n">
        <v>0</v>
      </c>
      <c r="K5246" s="182" t="n">
        <v>6.66</v>
      </c>
      <c r="L5246" s="182" t="n">
        <v>12</v>
      </c>
      <c r="M5246" s="182" t="n">
        <v>3.86</v>
      </c>
      <c r="N5246" s="182" t="n">
        <v>1.48</v>
      </c>
      <c r="O5246" s="183" t="n">
        <v>13</v>
      </c>
      <c r="P5246" s="183" t="n">
        <v>3</v>
      </c>
      <c r="Q5246" s="184" t="n">
        <v>265.2</v>
      </c>
      <c r="R5246" s="184" t="n">
        <v>56.1</v>
      </c>
      <c r="S5246" s="183" t="n">
        <v>0</v>
      </c>
      <c r="T5246" s="183" t="n">
        <v>0</v>
      </c>
      <c r="U5246" s="182" t="n">
        <v>0</v>
      </c>
      <c r="V5246" s="182" t="n">
        <v>0</v>
      </c>
      <c r="W5246" s="182" t="n">
        <v>0</v>
      </c>
      <c r="X5246" s="182" t="n">
        <v>1.01</v>
      </c>
      <c r="Y5246" s="182" t="n">
        <v>0</v>
      </c>
      <c r="Z5246" s="182" t="n">
        <v>0</v>
      </c>
      <c r="AA5246" s="182" t="n">
        <v>0</v>
      </c>
      <c r="AB5246" s="182" t="n">
        <v>0</v>
      </c>
      <c r="AC5246" s="182" t="n">
        <v>0</v>
      </c>
      <c r="AD5246" s="182" t="n">
        <v>0</v>
      </c>
      <c r="AE5246" s="182" t="n">
        <v>0</v>
      </c>
      <c r="AF5246" s="182" t="n">
        <v>0</v>
      </c>
      <c r="AG5246" s="182" t="n">
        <v>0</v>
      </c>
      <c r="AH5246" s="182" t="n">
        <v>0</v>
      </c>
      <c r="AI5246" s="182" t="n">
        <v>5.57</v>
      </c>
      <c r="AJ5246" s="182" t="n">
        <v>0</v>
      </c>
      <c r="AK5246" s="182" t="n">
        <v>0</v>
      </c>
      <c r="AL5246" s="182" t="n">
        <v>0</v>
      </c>
      <c r="AM5246" s="182" t="n">
        <v>0.08</v>
      </c>
      <c r="AN5246" s="182" t="n">
        <v>0</v>
      </c>
    </row>
    <row r="5247">
      <c r="A5247" s="155" t="n">
        <v>46105</v>
      </c>
      <c r="B5247" s="156" t="inlineStr">
        <is>
          <t>NS</t>
        </is>
      </c>
      <c r="C5247" s="156" t="inlineStr">
        <is>
          <t>DT-518</t>
        </is>
      </c>
      <c r="D5247" s="156" t="inlineStr">
        <is>
          <t>SKT 105S</t>
        </is>
      </c>
      <c r="E5247" s="156" t="inlineStr">
        <is>
          <t>Hauler</t>
        </is>
      </c>
      <c r="F5247" s="156" t="inlineStr"/>
      <c r="G5247" s="182" t="n">
        <v>0</v>
      </c>
      <c r="H5247" s="182" t="n">
        <v>0</v>
      </c>
      <c r="I5247" s="182" t="n">
        <v>12</v>
      </c>
      <c r="J5247" s="182" t="n">
        <v>12</v>
      </c>
      <c r="K5247" s="182" t="n">
        <v>0</v>
      </c>
      <c r="L5247" s="182" t="n">
        <v>12</v>
      </c>
      <c r="M5247" s="182" t="n">
        <v>0</v>
      </c>
      <c r="N5247" s="182" t="n">
        <v>0</v>
      </c>
      <c r="O5247" s="183" t="n">
        <v>0</v>
      </c>
      <c r="P5247" s="183" t="n">
        <v>0</v>
      </c>
      <c r="Q5247" s="184" t="n">
        <v>0</v>
      </c>
      <c r="R5247" s="184" t="n">
        <v>0</v>
      </c>
      <c r="S5247" s="183" t="n">
        <v>0</v>
      </c>
      <c r="T5247" s="183" t="n">
        <v>0</v>
      </c>
      <c r="U5247" s="182" t="n">
        <v>0</v>
      </c>
      <c r="V5247" s="182" t="n">
        <v>0</v>
      </c>
      <c r="W5247" s="182" t="n">
        <v>0</v>
      </c>
      <c r="X5247" s="182" t="n">
        <v>0</v>
      </c>
      <c r="Y5247" s="182" t="n">
        <v>0</v>
      </c>
      <c r="Z5247" s="182" t="n">
        <v>0</v>
      </c>
      <c r="AA5247" s="182" t="n">
        <v>0</v>
      </c>
      <c r="AB5247" s="182" t="n">
        <v>0</v>
      </c>
      <c r="AC5247" s="182" t="n">
        <v>0</v>
      </c>
      <c r="AD5247" s="182" t="n">
        <v>0</v>
      </c>
      <c r="AE5247" s="182" t="n">
        <v>0</v>
      </c>
      <c r="AF5247" s="182" t="n">
        <v>0</v>
      </c>
      <c r="AG5247" s="182" t="n">
        <v>0</v>
      </c>
      <c r="AH5247" s="182" t="n">
        <v>0</v>
      </c>
      <c r="AI5247" s="182" t="n">
        <v>0</v>
      </c>
      <c r="AJ5247" s="182" t="n">
        <v>0</v>
      </c>
      <c r="AK5247" s="182" t="n">
        <v>0</v>
      </c>
      <c r="AL5247" s="182" t="n">
        <v>0</v>
      </c>
      <c r="AM5247" s="182" t="n">
        <v>0</v>
      </c>
      <c r="AN5247" s="182" t="n">
        <v>0</v>
      </c>
    </row>
    <row r="5248">
      <c r="A5248" s="155" t="n">
        <v>46105</v>
      </c>
      <c r="B5248" s="156" t="inlineStr">
        <is>
          <t>NS</t>
        </is>
      </c>
      <c r="C5248" s="156" t="inlineStr">
        <is>
          <t>DT-514</t>
        </is>
      </c>
      <c r="D5248" s="156" t="inlineStr">
        <is>
          <t>SKT 105S</t>
        </is>
      </c>
      <c r="E5248" s="156" t="inlineStr">
        <is>
          <t>Hauler</t>
        </is>
      </c>
      <c r="F5248" s="156" t="inlineStr"/>
      <c r="G5248" s="182" t="n">
        <v>0</v>
      </c>
      <c r="H5248" s="182" t="n">
        <v>0</v>
      </c>
      <c r="I5248" s="182" t="n">
        <v>12</v>
      </c>
      <c r="J5248" s="182" t="n">
        <v>12</v>
      </c>
      <c r="K5248" s="182" t="n">
        <v>0</v>
      </c>
      <c r="L5248" s="182" t="n">
        <v>12</v>
      </c>
      <c r="M5248" s="182" t="n">
        <v>0</v>
      </c>
      <c r="N5248" s="182" t="n">
        <v>0</v>
      </c>
      <c r="O5248" s="183" t="n">
        <v>0</v>
      </c>
      <c r="P5248" s="183" t="n">
        <v>0</v>
      </c>
      <c r="Q5248" s="184" t="n">
        <v>0</v>
      </c>
      <c r="R5248" s="184" t="n">
        <v>0</v>
      </c>
      <c r="S5248" s="183" t="n">
        <v>0</v>
      </c>
      <c r="T5248" s="183" t="n">
        <v>0</v>
      </c>
      <c r="U5248" s="182" t="n">
        <v>0</v>
      </c>
      <c r="V5248" s="182" t="n">
        <v>0</v>
      </c>
      <c r="W5248" s="182" t="n">
        <v>0</v>
      </c>
      <c r="X5248" s="182" t="n">
        <v>0</v>
      </c>
      <c r="Y5248" s="182" t="n">
        <v>0</v>
      </c>
      <c r="Z5248" s="182" t="n">
        <v>0</v>
      </c>
      <c r="AA5248" s="182" t="n">
        <v>0</v>
      </c>
      <c r="AB5248" s="182" t="n">
        <v>0</v>
      </c>
      <c r="AC5248" s="182" t="n">
        <v>0</v>
      </c>
      <c r="AD5248" s="182" t="n">
        <v>0</v>
      </c>
      <c r="AE5248" s="182" t="n">
        <v>0</v>
      </c>
      <c r="AF5248" s="182" t="n">
        <v>0</v>
      </c>
      <c r="AG5248" s="182" t="n">
        <v>0</v>
      </c>
      <c r="AH5248" s="182" t="n">
        <v>0</v>
      </c>
      <c r="AI5248" s="182" t="n">
        <v>0</v>
      </c>
      <c r="AJ5248" s="182" t="n">
        <v>0</v>
      </c>
      <c r="AK5248" s="182" t="n">
        <v>0</v>
      </c>
      <c r="AL5248" s="182" t="n">
        <v>0</v>
      </c>
      <c r="AM5248" s="182" t="n">
        <v>0</v>
      </c>
      <c r="AN5248" s="182" t="n">
        <v>0</v>
      </c>
    </row>
    <row r="5249">
      <c r="A5249" s="155" t="n">
        <v>46105</v>
      </c>
      <c r="B5249" s="156" t="inlineStr">
        <is>
          <t>NS</t>
        </is>
      </c>
      <c r="C5249" s="156" t="inlineStr">
        <is>
          <t>DT-523</t>
        </is>
      </c>
      <c r="D5249" s="156" t="inlineStr">
        <is>
          <t>SKT 105S</t>
        </is>
      </c>
      <c r="E5249" s="156" t="inlineStr">
        <is>
          <t>Hauler</t>
        </is>
      </c>
      <c r="F5249" s="156" t="inlineStr">
        <is>
          <t>Hauling OB &amp; Coal</t>
        </is>
      </c>
      <c r="G5249" s="182" t="n">
        <v>6.52</v>
      </c>
      <c r="H5249" s="182" t="n">
        <v>0</v>
      </c>
      <c r="I5249" s="182" t="n">
        <v>2</v>
      </c>
      <c r="J5249" s="182" t="n">
        <v>2</v>
      </c>
      <c r="K5249" s="182" t="n">
        <v>3.48</v>
      </c>
      <c r="L5249" s="182" t="n">
        <v>12</v>
      </c>
      <c r="M5249" s="182" t="n">
        <v>3.26</v>
      </c>
      <c r="N5249" s="182" t="n">
        <v>3.26</v>
      </c>
      <c r="O5249" s="183" t="n">
        <v>5</v>
      </c>
      <c r="P5249" s="183" t="n">
        <v>11</v>
      </c>
      <c r="Q5249" s="184" t="n">
        <v>102</v>
      </c>
      <c r="R5249" s="184" t="n">
        <v>205.7</v>
      </c>
      <c r="S5249" s="183" t="n">
        <v>0</v>
      </c>
      <c r="T5249" s="183" t="n">
        <v>0</v>
      </c>
      <c r="U5249" s="182" t="n">
        <v>0</v>
      </c>
      <c r="V5249" s="182" t="n">
        <v>0</v>
      </c>
      <c r="W5249" s="182" t="n">
        <v>0</v>
      </c>
      <c r="X5249" s="182" t="n">
        <v>1.02</v>
      </c>
      <c r="Y5249" s="182" t="n">
        <v>0</v>
      </c>
      <c r="Z5249" s="182" t="n">
        <v>0</v>
      </c>
      <c r="AA5249" s="182" t="n">
        <v>0</v>
      </c>
      <c r="AB5249" s="182" t="n">
        <v>0</v>
      </c>
      <c r="AC5249" s="182" t="n">
        <v>0</v>
      </c>
      <c r="AD5249" s="182" t="n">
        <v>0</v>
      </c>
      <c r="AE5249" s="182" t="n">
        <v>0</v>
      </c>
      <c r="AF5249" s="182" t="n">
        <v>0</v>
      </c>
      <c r="AG5249" s="182" t="n">
        <v>0</v>
      </c>
      <c r="AH5249" s="182" t="n">
        <v>0</v>
      </c>
      <c r="AI5249" s="182" t="n">
        <v>2.37</v>
      </c>
      <c r="AJ5249" s="182" t="n">
        <v>0</v>
      </c>
      <c r="AK5249" s="182" t="n">
        <v>0</v>
      </c>
      <c r="AL5249" s="182" t="n">
        <v>0</v>
      </c>
      <c r="AM5249" s="182" t="n">
        <v>0.08</v>
      </c>
      <c r="AN5249" s="182" t="n">
        <v>0</v>
      </c>
    </row>
    <row r="5250">
      <c r="A5250" s="155" t="n">
        <v>46105</v>
      </c>
      <c r="B5250" s="156" t="inlineStr">
        <is>
          <t>NS</t>
        </is>
      </c>
      <c r="C5250" s="156" t="inlineStr">
        <is>
          <t>DT-519</t>
        </is>
      </c>
      <c r="D5250" s="156" t="inlineStr">
        <is>
          <t>SKT 105S</t>
        </is>
      </c>
      <c r="E5250" s="156" t="inlineStr">
        <is>
          <t>Hauler</t>
        </is>
      </c>
      <c r="F5250" s="156" t="inlineStr"/>
      <c r="G5250" s="182" t="n">
        <v>0</v>
      </c>
      <c r="H5250" s="182" t="n">
        <v>0</v>
      </c>
      <c r="I5250" s="182" t="n">
        <v>0</v>
      </c>
      <c r="J5250" s="182" t="n">
        <v>0</v>
      </c>
      <c r="K5250" s="182" t="n">
        <v>12</v>
      </c>
      <c r="L5250" s="182" t="n">
        <v>12</v>
      </c>
      <c r="M5250" s="182" t="n">
        <v>0</v>
      </c>
      <c r="N5250" s="182" t="n">
        <v>0</v>
      </c>
      <c r="O5250" s="183" t="n">
        <v>0</v>
      </c>
      <c r="P5250" s="183" t="n">
        <v>0</v>
      </c>
      <c r="Q5250" s="184" t="n">
        <v>0</v>
      </c>
      <c r="R5250" s="184" t="n">
        <v>0</v>
      </c>
      <c r="S5250" s="183" t="n">
        <v>0</v>
      </c>
      <c r="T5250" s="183" t="n">
        <v>0</v>
      </c>
      <c r="U5250" s="182" t="n">
        <v>0</v>
      </c>
      <c r="V5250" s="182" t="n">
        <v>0</v>
      </c>
      <c r="W5250" s="182" t="n">
        <v>0</v>
      </c>
      <c r="X5250" s="182" t="n">
        <v>1</v>
      </c>
      <c r="Y5250" s="182" t="n">
        <v>0</v>
      </c>
      <c r="Z5250" s="182" t="n">
        <v>0</v>
      </c>
      <c r="AA5250" s="182" t="n">
        <v>0</v>
      </c>
      <c r="AB5250" s="182" t="n">
        <v>0</v>
      </c>
      <c r="AC5250" s="182" t="n">
        <v>0</v>
      </c>
      <c r="AD5250" s="182" t="n">
        <v>0</v>
      </c>
      <c r="AE5250" s="182" t="n">
        <v>0</v>
      </c>
      <c r="AF5250" s="182" t="n">
        <v>0</v>
      </c>
      <c r="AG5250" s="182" t="n">
        <v>0</v>
      </c>
      <c r="AH5250" s="182" t="n">
        <v>0</v>
      </c>
      <c r="AI5250" s="182" t="n">
        <v>10.92</v>
      </c>
      <c r="AJ5250" s="182" t="n">
        <v>0</v>
      </c>
      <c r="AK5250" s="182" t="n">
        <v>0</v>
      </c>
      <c r="AL5250" s="182" t="n">
        <v>0</v>
      </c>
      <c r="AM5250" s="182" t="n">
        <v>0.08</v>
      </c>
      <c r="AN5250" s="182" t="n">
        <v>0</v>
      </c>
    </row>
    <row r="5251">
      <c r="A5251" s="155" t="n">
        <v>46105</v>
      </c>
      <c r="B5251" s="156" t="inlineStr">
        <is>
          <t>NS</t>
        </is>
      </c>
      <c r="C5251" s="156" t="inlineStr">
        <is>
          <t>DT-527</t>
        </is>
      </c>
      <c r="D5251" s="156" t="inlineStr">
        <is>
          <t>SKT 105S</t>
        </is>
      </c>
      <c r="E5251" s="156" t="inlineStr">
        <is>
          <t>Hauler</t>
        </is>
      </c>
      <c r="F5251" s="156" t="inlineStr">
        <is>
          <t>Hauling Coal</t>
        </is>
      </c>
      <c r="G5251" s="182" t="n">
        <v>3.15</v>
      </c>
      <c r="H5251" s="182" t="n">
        <v>0</v>
      </c>
      <c r="I5251" s="182" t="n">
        <v>6.75</v>
      </c>
      <c r="J5251" s="182" t="n">
        <v>6.75</v>
      </c>
      <c r="K5251" s="182" t="n">
        <v>2.1</v>
      </c>
      <c r="L5251" s="182" t="n">
        <v>12</v>
      </c>
      <c r="M5251" s="182" t="n">
        <v>0</v>
      </c>
      <c r="N5251" s="182" t="n">
        <v>3.15</v>
      </c>
      <c r="O5251" s="183" t="n">
        <v>0</v>
      </c>
      <c r="P5251" s="183" t="n">
        <v>7</v>
      </c>
      <c r="Q5251" s="184" t="n">
        <v>0</v>
      </c>
      <c r="R5251" s="184" t="n">
        <v>130.9</v>
      </c>
      <c r="S5251" s="183" t="n">
        <v>0</v>
      </c>
      <c r="T5251" s="183" t="n">
        <v>0</v>
      </c>
      <c r="U5251" s="182" t="n">
        <v>0</v>
      </c>
      <c r="V5251" s="182" t="n">
        <v>0</v>
      </c>
      <c r="W5251" s="182" t="n">
        <v>0</v>
      </c>
      <c r="X5251" s="182" t="n">
        <v>1.02</v>
      </c>
      <c r="Y5251" s="182" t="n">
        <v>0</v>
      </c>
      <c r="Z5251" s="182" t="n">
        <v>0</v>
      </c>
      <c r="AA5251" s="182" t="n">
        <v>0</v>
      </c>
      <c r="AB5251" s="182" t="n">
        <v>0</v>
      </c>
      <c r="AC5251" s="182" t="n">
        <v>0</v>
      </c>
      <c r="AD5251" s="182" t="n">
        <v>0</v>
      </c>
      <c r="AE5251" s="182" t="n">
        <v>0</v>
      </c>
      <c r="AF5251" s="182" t="n">
        <v>0</v>
      </c>
      <c r="AG5251" s="182" t="n">
        <v>0</v>
      </c>
      <c r="AH5251" s="182" t="n">
        <v>0.99</v>
      </c>
      <c r="AI5251" s="182" t="n">
        <v>0</v>
      </c>
      <c r="AJ5251" s="182" t="n">
        <v>0</v>
      </c>
      <c r="AK5251" s="182" t="n">
        <v>0</v>
      </c>
      <c r="AL5251" s="182" t="n">
        <v>0</v>
      </c>
      <c r="AM5251" s="182" t="n">
        <v>0.08</v>
      </c>
      <c r="AN5251" s="182" t="n">
        <v>0</v>
      </c>
    </row>
    <row r="5252">
      <c r="A5252" s="155" t="n">
        <v>46105</v>
      </c>
      <c r="B5252" s="156" t="inlineStr">
        <is>
          <t>NS</t>
        </is>
      </c>
      <c r="C5252" s="156" t="inlineStr">
        <is>
          <t>DT-513</t>
        </is>
      </c>
      <c r="D5252" s="156" t="inlineStr">
        <is>
          <t>SKT 105S</t>
        </is>
      </c>
      <c r="E5252" s="156" t="inlineStr">
        <is>
          <t>Hauler</t>
        </is>
      </c>
      <c r="F5252" s="156" t="inlineStr">
        <is>
          <t>Hauling OB</t>
        </is>
      </c>
      <c r="G5252" s="182" t="n">
        <v>9.76</v>
      </c>
      <c r="H5252" s="182" t="n">
        <v>0</v>
      </c>
      <c r="I5252" s="182" t="n">
        <v>0</v>
      </c>
      <c r="J5252" s="182" t="n">
        <v>0</v>
      </c>
      <c r="K5252" s="182" t="n">
        <v>2.24</v>
      </c>
      <c r="L5252" s="182" t="n">
        <v>12</v>
      </c>
      <c r="M5252" s="182" t="n">
        <v>9.76</v>
      </c>
      <c r="N5252" s="182" t="n">
        <v>0</v>
      </c>
      <c r="O5252" s="183" t="n">
        <v>43</v>
      </c>
      <c r="P5252" s="183" t="n">
        <v>0</v>
      </c>
      <c r="Q5252" s="184" t="n">
        <v>877.2</v>
      </c>
      <c r="R5252" s="184" t="n">
        <v>0</v>
      </c>
      <c r="S5252" s="183" t="n">
        <v>0</v>
      </c>
      <c r="T5252" s="183" t="n">
        <v>0</v>
      </c>
      <c r="U5252" s="182" t="n">
        <v>0</v>
      </c>
      <c r="V5252" s="182" t="n">
        <v>0</v>
      </c>
      <c r="W5252" s="182" t="n">
        <v>0</v>
      </c>
      <c r="X5252" s="182" t="n">
        <v>0.93</v>
      </c>
      <c r="Y5252" s="182" t="n">
        <v>0</v>
      </c>
      <c r="Z5252" s="182" t="n">
        <v>0</v>
      </c>
      <c r="AA5252" s="182" t="n">
        <v>0</v>
      </c>
      <c r="AB5252" s="182" t="n">
        <v>0</v>
      </c>
      <c r="AC5252" s="182" t="n">
        <v>0</v>
      </c>
      <c r="AD5252" s="182" t="n">
        <v>0</v>
      </c>
      <c r="AE5252" s="182" t="n">
        <v>0</v>
      </c>
      <c r="AF5252" s="182" t="n">
        <v>0</v>
      </c>
      <c r="AG5252" s="182" t="n">
        <v>0.5600000000000001</v>
      </c>
      <c r="AH5252" s="182" t="n">
        <v>0.67</v>
      </c>
      <c r="AI5252" s="182" t="n">
        <v>0</v>
      </c>
      <c r="AJ5252" s="182" t="n">
        <v>0</v>
      </c>
      <c r="AK5252" s="182" t="n">
        <v>0</v>
      </c>
      <c r="AL5252" s="182" t="n">
        <v>0</v>
      </c>
      <c r="AM5252" s="182" t="n">
        <v>0.07000000000000001</v>
      </c>
      <c r="AN5252" s="182" t="n">
        <v>0</v>
      </c>
    </row>
    <row r="5253">
      <c r="A5253" s="155" t="n">
        <v>46105</v>
      </c>
      <c r="B5253" s="156" t="inlineStr">
        <is>
          <t>NS</t>
        </is>
      </c>
      <c r="C5253" s="156" t="inlineStr">
        <is>
          <t>DT-512</t>
        </is>
      </c>
      <c r="D5253" s="156" t="inlineStr">
        <is>
          <t>SKT 105S</t>
        </is>
      </c>
      <c r="E5253" s="156" t="inlineStr">
        <is>
          <t>Hauler</t>
        </is>
      </c>
      <c r="F5253" s="156" t="inlineStr">
        <is>
          <t>Hauling OB</t>
        </is>
      </c>
      <c r="G5253" s="182" t="n">
        <v>10.37</v>
      </c>
      <c r="H5253" s="182" t="n">
        <v>0</v>
      </c>
      <c r="I5253" s="182" t="n">
        <v>0</v>
      </c>
      <c r="J5253" s="182" t="n">
        <v>0</v>
      </c>
      <c r="K5253" s="182" t="n">
        <v>1.63</v>
      </c>
      <c r="L5253" s="182" t="n">
        <v>12</v>
      </c>
      <c r="M5253" s="182" t="n">
        <v>10.37</v>
      </c>
      <c r="N5253" s="182" t="n">
        <v>0</v>
      </c>
      <c r="O5253" s="183" t="n">
        <v>36</v>
      </c>
      <c r="P5253" s="183" t="n">
        <v>0</v>
      </c>
      <c r="Q5253" s="184" t="n">
        <v>734.4</v>
      </c>
      <c r="R5253" s="184" t="n">
        <v>0</v>
      </c>
      <c r="S5253" s="183" t="n">
        <v>0</v>
      </c>
      <c r="T5253" s="183" t="n">
        <v>0</v>
      </c>
      <c r="U5253" s="182" t="n">
        <v>0</v>
      </c>
      <c r="V5253" s="182" t="n">
        <v>0</v>
      </c>
      <c r="W5253" s="182" t="n">
        <v>0</v>
      </c>
      <c r="X5253" s="182" t="n">
        <v>1.09</v>
      </c>
      <c r="Y5253" s="182" t="n">
        <v>0</v>
      </c>
      <c r="Z5253" s="182" t="n">
        <v>0</v>
      </c>
      <c r="AA5253" s="182" t="n">
        <v>0</v>
      </c>
      <c r="AB5253" s="182" t="n">
        <v>0</v>
      </c>
      <c r="AC5253" s="182" t="n">
        <v>0</v>
      </c>
      <c r="AD5253" s="182" t="n">
        <v>0</v>
      </c>
      <c r="AE5253" s="182" t="n">
        <v>0</v>
      </c>
      <c r="AF5253" s="182" t="n">
        <v>0</v>
      </c>
      <c r="AG5253" s="182" t="n">
        <v>0</v>
      </c>
      <c r="AH5253" s="182" t="n">
        <v>0.46</v>
      </c>
      <c r="AI5253" s="182" t="n">
        <v>0</v>
      </c>
      <c r="AJ5253" s="182" t="n">
        <v>0</v>
      </c>
      <c r="AK5253" s="182" t="n">
        <v>0</v>
      </c>
      <c r="AL5253" s="182" t="n">
        <v>0</v>
      </c>
      <c r="AM5253" s="182" t="n">
        <v>0.09</v>
      </c>
      <c r="AN5253" s="182" t="n">
        <v>0</v>
      </c>
    </row>
    <row r="5254">
      <c r="A5254" s="155" t="n">
        <v>46105</v>
      </c>
      <c r="B5254" s="156" t="inlineStr">
        <is>
          <t>NS</t>
        </is>
      </c>
      <c r="C5254" s="156" t="inlineStr">
        <is>
          <t>DT-522</t>
        </is>
      </c>
      <c r="D5254" s="156" t="inlineStr">
        <is>
          <t>SKT 105S</t>
        </is>
      </c>
      <c r="E5254" s="156" t="inlineStr">
        <is>
          <t>Hauler</t>
        </is>
      </c>
      <c r="F5254" s="156" t="inlineStr">
        <is>
          <t>Hauling OB &amp; Coal</t>
        </is>
      </c>
      <c r="G5254" s="182" t="n">
        <v>9.640000000000001</v>
      </c>
      <c r="H5254" s="182" t="n">
        <v>0</v>
      </c>
      <c r="I5254" s="182" t="n">
        <v>0</v>
      </c>
      <c r="J5254" s="182" t="n">
        <v>0</v>
      </c>
      <c r="K5254" s="182" t="n">
        <v>2.36</v>
      </c>
      <c r="L5254" s="182" t="n">
        <v>12</v>
      </c>
      <c r="M5254" s="182" t="n">
        <v>9.279999999999999</v>
      </c>
      <c r="N5254" s="182" t="n">
        <v>0.36</v>
      </c>
      <c r="O5254" s="183" t="n">
        <v>31</v>
      </c>
      <c r="P5254" s="183" t="n">
        <v>1</v>
      </c>
      <c r="Q5254" s="184" t="n">
        <v>632.4</v>
      </c>
      <c r="R5254" s="184" t="n">
        <v>18.7</v>
      </c>
      <c r="S5254" s="183" t="n">
        <v>0</v>
      </c>
      <c r="T5254" s="183" t="n">
        <v>0</v>
      </c>
      <c r="U5254" s="182" t="n">
        <v>0</v>
      </c>
      <c r="V5254" s="182" t="n">
        <v>0</v>
      </c>
      <c r="W5254" s="182" t="n">
        <v>0</v>
      </c>
      <c r="X5254" s="182" t="n">
        <v>0.9399999999999999</v>
      </c>
      <c r="Y5254" s="182" t="n">
        <v>0</v>
      </c>
      <c r="Z5254" s="182" t="n">
        <v>0</v>
      </c>
      <c r="AA5254" s="182" t="n">
        <v>0</v>
      </c>
      <c r="AB5254" s="182" t="n">
        <v>0</v>
      </c>
      <c r="AC5254" s="182" t="n">
        <v>0</v>
      </c>
      <c r="AD5254" s="182" t="n">
        <v>0</v>
      </c>
      <c r="AE5254" s="182" t="n">
        <v>0</v>
      </c>
      <c r="AF5254" s="182" t="n">
        <v>0</v>
      </c>
      <c r="AG5254" s="182" t="n">
        <v>0.57</v>
      </c>
      <c r="AH5254" s="182" t="n">
        <v>0.77</v>
      </c>
      <c r="AI5254" s="182" t="n">
        <v>0</v>
      </c>
      <c r="AJ5254" s="182" t="n">
        <v>0</v>
      </c>
      <c r="AK5254" s="182" t="n">
        <v>0</v>
      </c>
      <c r="AL5254" s="182" t="n">
        <v>0</v>
      </c>
      <c r="AM5254" s="182" t="n">
        <v>0.08</v>
      </c>
      <c r="AN5254" s="182" t="n">
        <v>0</v>
      </c>
    </row>
    <row r="5255">
      <c r="A5255" s="155" t="n">
        <v>46105</v>
      </c>
      <c r="B5255" s="156" t="inlineStr">
        <is>
          <t>NS</t>
        </is>
      </c>
      <c r="C5255" s="156" t="inlineStr">
        <is>
          <t>DT-517</t>
        </is>
      </c>
      <c r="D5255" s="156" t="inlineStr">
        <is>
          <t>SKT 105S</t>
        </is>
      </c>
      <c r="E5255" s="156" t="inlineStr">
        <is>
          <t>Hauler</t>
        </is>
      </c>
      <c r="F5255" s="156" t="inlineStr">
        <is>
          <t>Hauling OB</t>
        </is>
      </c>
      <c r="G5255" s="182" t="n">
        <v>7.37</v>
      </c>
      <c r="H5255" s="182" t="n">
        <v>0</v>
      </c>
      <c r="I5255" s="182" t="n">
        <v>0</v>
      </c>
      <c r="J5255" s="182" t="n">
        <v>0</v>
      </c>
      <c r="K5255" s="182" t="n">
        <v>4.63</v>
      </c>
      <c r="L5255" s="182" t="n">
        <v>12</v>
      </c>
      <c r="M5255" s="182" t="n">
        <v>7.37</v>
      </c>
      <c r="N5255" s="182" t="n">
        <v>0</v>
      </c>
      <c r="O5255" s="183" t="n">
        <v>27</v>
      </c>
      <c r="P5255" s="183" t="n">
        <v>0</v>
      </c>
      <c r="Q5255" s="184" t="n">
        <v>550.8</v>
      </c>
      <c r="R5255" s="184" t="n">
        <v>0</v>
      </c>
      <c r="S5255" s="183" t="n">
        <v>0</v>
      </c>
      <c r="T5255" s="183" t="n">
        <v>0</v>
      </c>
      <c r="U5255" s="182" t="n">
        <v>0</v>
      </c>
      <c r="V5255" s="182" t="n">
        <v>0</v>
      </c>
      <c r="W5255" s="182" t="n">
        <v>0</v>
      </c>
      <c r="X5255" s="182" t="n">
        <v>1.05</v>
      </c>
      <c r="Y5255" s="182" t="n">
        <v>0</v>
      </c>
      <c r="Z5255" s="182" t="n">
        <v>0</v>
      </c>
      <c r="AA5255" s="182" t="n">
        <v>0</v>
      </c>
      <c r="AB5255" s="182" t="n">
        <v>0</v>
      </c>
      <c r="AC5255" s="182" t="n">
        <v>0</v>
      </c>
      <c r="AD5255" s="182" t="n">
        <v>0</v>
      </c>
      <c r="AE5255" s="182" t="n">
        <v>0</v>
      </c>
      <c r="AF5255" s="182" t="n">
        <v>0</v>
      </c>
      <c r="AG5255" s="182" t="n">
        <v>0</v>
      </c>
      <c r="AH5255" s="182" t="n">
        <v>0</v>
      </c>
      <c r="AI5255" s="182" t="n">
        <v>3.49</v>
      </c>
      <c r="AJ5255" s="182" t="n">
        <v>0</v>
      </c>
      <c r="AK5255" s="182" t="n">
        <v>0</v>
      </c>
      <c r="AL5255" s="182" t="n">
        <v>0</v>
      </c>
      <c r="AM5255" s="182" t="n">
        <v>0.08</v>
      </c>
      <c r="AN5255" s="182" t="n">
        <v>0</v>
      </c>
    </row>
    <row r="5256">
      <c r="A5256" s="155" t="n">
        <v>46105</v>
      </c>
      <c r="B5256" s="156" t="inlineStr">
        <is>
          <t>NS</t>
        </is>
      </c>
      <c r="C5256" s="156" t="inlineStr">
        <is>
          <t>DT-510</t>
        </is>
      </c>
      <c r="D5256" s="156" t="inlineStr">
        <is>
          <t>SKT 105S</t>
        </is>
      </c>
      <c r="E5256" s="156" t="inlineStr">
        <is>
          <t>Hauler</t>
        </is>
      </c>
      <c r="F5256" s="156" t="inlineStr">
        <is>
          <t>Hauling OB &amp; Coal</t>
        </is>
      </c>
      <c r="G5256" s="182" t="n">
        <v>8.15</v>
      </c>
      <c r="H5256" s="182" t="n">
        <v>0</v>
      </c>
      <c r="I5256" s="182" t="n">
        <v>0</v>
      </c>
      <c r="J5256" s="182" t="n">
        <v>0</v>
      </c>
      <c r="K5256" s="182" t="n">
        <v>3.85</v>
      </c>
      <c r="L5256" s="182" t="n">
        <v>12</v>
      </c>
      <c r="M5256" s="182" t="n">
        <v>5.24</v>
      </c>
      <c r="N5256" s="182" t="n">
        <v>2.91</v>
      </c>
      <c r="O5256" s="183" t="n">
        <v>17</v>
      </c>
      <c r="P5256" s="183" t="n">
        <v>9</v>
      </c>
      <c r="Q5256" s="184" t="n">
        <v>346.8</v>
      </c>
      <c r="R5256" s="184" t="n">
        <v>168.3</v>
      </c>
      <c r="S5256" s="183" t="n">
        <v>0</v>
      </c>
      <c r="T5256" s="183" t="n">
        <v>0</v>
      </c>
      <c r="U5256" s="182" t="n">
        <v>0</v>
      </c>
      <c r="V5256" s="182" t="n">
        <v>0</v>
      </c>
      <c r="W5256" s="182" t="n">
        <v>0</v>
      </c>
      <c r="X5256" s="182" t="n">
        <v>1.07</v>
      </c>
      <c r="Y5256" s="182" t="n">
        <v>0</v>
      </c>
      <c r="Z5256" s="182" t="n">
        <v>0</v>
      </c>
      <c r="AA5256" s="182" t="n">
        <v>0</v>
      </c>
      <c r="AB5256" s="182" t="n">
        <v>0</v>
      </c>
      <c r="AC5256" s="182" t="n">
        <v>0</v>
      </c>
      <c r="AD5256" s="182" t="n">
        <v>0</v>
      </c>
      <c r="AE5256" s="182" t="n">
        <v>0</v>
      </c>
      <c r="AF5256" s="182" t="n">
        <v>0</v>
      </c>
      <c r="AG5256" s="182" t="n">
        <v>0</v>
      </c>
      <c r="AH5256" s="182" t="n">
        <v>0</v>
      </c>
      <c r="AI5256" s="182" t="n">
        <v>2.69</v>
      </c>
      <c r="AJ5256" s="182" t="n">
        <v>0</v>
      </c>
      <c r="AK5256" s="182" t="n">
        <v>0</v>
      </c>
      <c r="AL5256" s="182" t="n">
        <v>0</v>
      </c>
      <c r="AM5256" s="182" t="n">
        <v>0.09</v>
      </c>
      <c r="AN5256" s="182" t="n">
        <v>0</v>
      </c>
    </row>
    <row r="5257">
      <c r="A5257" s="155" t="n">
        <v>46105</v>
      </c>
      <c r="B5257" s="156" t="inlineStr">
        <is>
          <t>NS</t>
        </is>
      </c>
      <c r="C5257" s="156" t="inlineStr">
        <is>
          <t>DT-521</t>
        </is>
      </c>
      <c r="D5257" s="156" t="inlineStr">
        <is>
          <t>SKT 105S</t>
        </is>
      </c>
      <c r="E5257" s="156" t="inlineStr">
        <is>
          <t>Hauler</t>
        </is>
      </c>
      <c r="F5257" s="156" t="inlineStr">
        <is>
          <t>Hauling OB &amp; Coal</t>
        </is>
      </c>
      <c r="G5257" s="182" t="n">
        <v>9.91</v>
      </c>
      <c r="H5257" s="182" t="n">
        <v>0</v>
      </c>
      <c r="I5257" s="182" t="n">
        <v>0</v>
      </c>
      <c r="J5257" s="182" t="n">
        <v>0</v>
      </c>
      <c r="K5257" s="182" t="n">
        <v>2.09</v>
      </c>
      <c r="L5257" s="182" t="n">
        <v>12</v>
      </c>
      <c r="M5257" s="182" t="n">
        <v>8.460000000000001</v>
      </c>
      <c r="N5257" s="182" t="n">
        <v>1.44</v>
      </c>
      <c r="O5257" s="183" t="n">
        <v>35</v>
      </c>
      <c r="P5257" s="183" t="n">
        <v>2</v>
      </c>
      <c r="Q5257" s="184" t="n">
        <v>714</v>
      </c>
      <c r="R5257" s="184" t="n">
        <v>37.4</v>
      </c>
      <c r="S5257" s="183" t="n">
        <v>0</v>
      </c>
      <c r="T5257" s="183" t="n">
        <v>0</v>
      </c>
      <c r="U5257" s="182" t="n">
        <v>0</v>
      </c>
      <c r="V5257" s="182" t="n">
        <v>0</v>
      </c>
      <c r="W5257" s="182" t="n">
        <v>0</v>
      </c>
      <c r="X5257" s="182" t="n">
        <v>1.23</v>
      </c>
      <c r="Y5257" s="182" t="n">
        <v>0</v>
      </c>
      <c r="Z5257" s="182" t="n">
        <v>0</v>
      </c>
      <c r="AA5257" s="182" t="n">
        <v>0</v>
      </c>
      <c r="AB5257" s="182" t="n">
        <v>0</v>
      </c>
      <c r="AC5257" s="182" t="n">
        <v>0</v>
      </c>
      <c r="AD5257" s="182" t="n">
        <v>0</v>
      </c>
      <c r="AE5257" s="182" t="n">
        <v>0</v>
      </c>
      <c r="AF5257" s="182" t="n">
        <v>0</v>
      </c>
      <c r="AG5257" s="182" t="n">
        <v>0</v>
      </c>
      <c r="AH5257" s="182" t="n">
        <v>0.76</v>
      </c>
      <c r="AI5257" s="182" t="n">
        <v>0</v>
      </c>
      <c r="AJ5257" s="182" t="n">
        <v>0</v>
      </c>
      <c r="AK5257" s="182" t="n">
        <v>0</v>
      </c>
      <c r="AL5257" s="182" t="n">
        <v>0</v>
      </c>
      <c r="AM5257" s="182" t="n">
        <v>0.1</v>
      </c>
      <c r="AN5257" s="182" t="n">
        <v>0</v>
      </c>
    </row>
    <row r="5258">
      <c r="A5258" s="155" t="n">
        <v>46105</v>
      </c>
      <c r="B5258" s="156" t="inlineStr">
        <is>
          <t>NS</t>
        </is>
      </c>
      <c r="C5258" s="156" t="inlineStr">
        <is>
          <t>DT-516</t>
        </is>
      </c>
      <c r="D5258" s="156" t="inlineStr">
        <is>
          <t>SKT 105S</t>
        </is>
      </c>
      <c r="E5258" s="156" t="inlineStr">
        <is>
          <t>Hauler</t>
        </is>
      </c>
      <c r="F5258" s="156" t="inlineStr"/>
      <c r="G5258" s="182" t="n">
        <v>0</v>
      </c>
      <c r="H5258" s="182" t="n">
        <v>0</v>
      </c>
      <c r="I5258" s="182" t="n">
        <v>12</v>
      </c>
      <c r="J5258" s="182" t="n">
        <v>12</v>
      </c>
      <c r="K5258" s="182" t="n">
        <v>0</v>
      </c>
      <c r="L5258" s="182" t="n">
        <v>12</v>
      </c>
      <c r="M5258" s="182" t="n">
        <v>0</v>
      </c>
      <c r="N5258" s="182" t="n">
        <v>0</v>
      </c>
      <c r="O5258" s="183" t="n">
        <v>0</v>
      </c>
      <c r="P5258" s="183" t="n">
        <v>0</v>
      </c>
      <c r="Q5258" s="184" t="n">
        <v>0</v>
      </c>
      <c r="R5258" s="184" t="n">
        <v>0</v>
      </c>
      <c r="S5258" s="183" t="n">
        <v>0</v>
      </c>
      <c r="T5258" s="183" t="n">
        <v>0</v>
      </c>
      <c r="U5258" s="182" t="n">
        <v>0</v>
      </c>
      <c r="V5258" s="182" t="n">
        <v>0</v>
      </c>
      <c r="W5258" s="182" t="n">
        <v>0</v>
      </c>
      <c r="X5258" s="182" t="n">
        <v>0</v>
      </c>
      <c r="Y5258" s="182" t="n">
        <v>0</v>
      </c>
      <c r="Z5258" s="182" t="n">
        <v>0</v>
      </c>
      <c r="AA5258" s="182" t="n">
        <v>0</v>
      </c>
      <c r="AB5258" s="182" t="n">
        <v>0</v>
      </c>
      <c r="AC5258" s="182" t="n">
        <v>0</v>
      </c>
      <c r="AD5258" s="182" t="n">
        <v>0</v>
      </c>
      <c r="AE5258" s="182" t="n">
        <v>0</v>
      </c>
      <c r="AF5258" s="182" t="n">
        <v>0</v>
      </c>
      <c r="AG5258" s="182" t="n">
        <v>0</v>
      </c>
      <c r="AH5258" s="182" t="n">
        <v>0</v>
      </c>
      <c r="AI5258" s="182" t="n">
        <v>0</v>
      </c>
      <c r="AJ5258" s="182" t="n">
        <v>0</v>
      </c>
      <c r="AK5258" s="182" t="n">
        <v>0</v>
      </c>
      <c r="AL5258" s="182" t="n">
        <v>0</v>
      </c>
      <c r="AM5258" s="182" t="n">
        <v>0</v>
      </c>
      <c r="AN5258" s="182" t="n">
        <v>0</v>
      </c>
    </row>
    <row r="5259">
      <c r="A5259" s="155" t="n">
        <v>46105</v>
      </c>
      <c r="B5259" s="156" t="inlineStr">
        <is>
          <t>NS</t>
        </is>
      </c>
      <c r="C5259" s="156" t="inlineStr">
        <is>
          <t>DT-506</t>
        </is>
      </c>
      <c r="D5259" s="156" t="inlineStr">
        <is>
          <t>SKT 105S</t>
        </is>
      </c>
      <c r="E5259" s="156" t="inlineStr">
        <is>
          <t>Hauler</t>
        </is>
      </c>
      <c r="F5259" s="156" t="inlineStr">
        <is>
          <t>Hauling OB &amp; Coal</t>
        </is>
      </c>
      <c r="G5259" s="182" t="n">
        <v>10.52</v>
      </c>
      <c r="H5259" s="182" t="n">
        <v>0</v>
      </c>
      <c r="I5259" s="182" t="n">
        <v>0</v>
      </c>
      <c r="J5259" s="182" t="n">
        <v>0</v>
      </c>
      <c r="K5259" s="182" t="n">
        <v>1.48</v>
      </c>
      <c r="L5259" s="182" t="n">
        <v>12</v>
      </c>
      <c r="M5259" s="182" t="n">
        <v>9.06</v>
      </c>
      <c r="N5259" s="182" t="n">
        <v>1.46</v>
      </c>
      <c r="O5259" s="183" t="n">
        <v>28</v>
      </c>
      <c r="P5259" s="183" t="n">
        <v>2</v>
      </c>
      <c r="Q5259" s="184" t="n">
        <v>571.2</v>
      </c>
      <c r="R5259" s="184" t="n">
        <v>37.4</v>
      </c>
      <c r="S5259" s="183" t="n">
        <v>0</v>
      </c>
      <c r="T5259" s="183" t="n">
        <v>0</v>
      </c>
      <c r="U5259" s="182" t="n">
        <v>0</v>
      </c>
      <c r="V5259" s="182" t="n">
        <v>0</v>
      </c>
      <c r="W5259" s="182" t="n">
        <v>0</v>
      </c>
      <c r="X5259" s="182" t="n">
        <v>1.23</v>
      </c>
      <c r="Y5259" s="182" t="n">
        <v>0</v>
      </c>
      <c r="Z5259" s="182" t="n">
        <v>0</v>
      </c>
      <c r="AA5259" s="182" t="n">
        <v>0</v>
      </c>
      <c r="AB5259" s="182" t="n">
        <v>0</v>
      </c>
      <c r="AC5259" s="182" t="n">
        <v>0</v>
      </c>
      <c r="AD5259" s="182" t="n">
        <v>0</v>
      </c>
      <c r="AE5259" s="182" t="n">
        <v>0</v>
      </c>
      <c r="AF5259" s="182" t="n">
        <v>0</v>
      </c>
      <c r="AG5259" s="182" t="n">
        <v>0</v>
      </c>
      <c r="AH5259" s="182" t="n">
        <v>0.15</v>
      </c>
      <c r="AI5259" s="182" t="n">
        <v>0</v>
      </c>
      <c r="AJ5259" s="182" t="n">
        <v>0</v>
      </c>
      <c r="AK5259" s="182" t="n">
        <v>0</v>
      </c>
      <c r="AL5259" s="182" t="n">
        <v>0</v>
      </c>
      <c r="AM5259" s="182" t="n">
        <v>0.1</v>
      </c>
      <c r="AN5259" s="182" t="n">
        <v>0</v>
      </c>
    </row>
    <row r="5260">
      <c r="A5260" s="155" t="n">
        <v>46105</v>
      </c>
      <c r="B5260" s="156" t="inlineStr">
        <is>
          <t>NS</t>
        </is>
      </c>
      <c r="C5260" s="156" t="inlineStr">
        <is>
          <t>DT-502</t>
        </is>
      </c>
      <c r="D5260" s="156" t="inlineStr">
        <is>
          <t>SKT 105S</t>
        </is>
      </c>
      <c r="E5260" s="156" t="inlineStr">
        <is>
          <t>Hauler</t>
        </is>
      </c>
      <c r="F5260" s="156" t="inlineStr">
        <is>
          <t>Hauling OB</t>
        </is>
      </c>
      <c r="G5260" s="182" t="n">
        <v>2.89</v>
      </c>
      <c r="H5260" s="182" t="n">
        <v>0</v>
      </c>
      <c r="I5260" s="182" t="n">
        <v>1.67</v>
      </c>
      <c r="J5260" s="182" t="n">
        <v>1.67</v>
      </c>
      <c r="K5260" s="182" t="n">
        <v>7.44</v>
      </c>
      <c r="L5260" s="182" t="n">
        <v>12</v>
      </c>
      <c r="M5260" s="182" t="n">
        <v>2.89</v>
      </c>
      <c r="N5260" s="182" t="n">
        <v>0</v>
      </c>
      <c r="O5260" s="183" t="n">
        <v>23</v>
      </c>
      <c r="P5260" s="183" t="n">
        <v>0</v>
      </c>
      <c r="Q5260" s="184" t="n">
        <v>469.2</v>
      </c>
      <c r="R5260" s="184" t="n">
        <v>0</v>
      </c>
      <c r="S5260" s="183" t="n">
        <v>0</v>
      </c>
      <c r="T5260" s="183" t="n">
        <v>0</v>
      </c>
      <c r="U5260" s="182" t="n">
        <v>0</v>
      </c>
      <c r="V5260" s="182" t="n">
        <v>0</v>
      </c>
      <c r="W5260" s="182" t="n">
        <v>0</v>
      </c>
      <c r="X5260" s="182" t="n">
        <v>1.03</v>
      </c>
      <c r="Y5260" s="182" t="n">
        <v>0</v>
      </c>
      <c r="Z5260" s="182" t="n">
        <v>0</v>
      </c>
      <c r="AA5260" s="182" t="n">
        <v>0</v>
      </c>
      <c r="AB5260" s="182" t="n">
        <v>0</v>
      </c>
      <c r="AC5260" s="182" t="n">
        <v>0</v>
      </c>
      <c r="AD5260" s="182" t="n">
        <v>0</v>
      </c>
      <c r="AE5260" s="182" t="n">
        <v>0</v>
      </c>
      <c r="AF5260" s="182" t="n">
        <v>0</v>
      </c>
      <c r="AG5260" s="182" t="n">
        <v>0</v>
      </c>
      <c r="AH5260" s="182" t="n">
        <v>0</v>
      </c>
      <c r="AI5260" s="182" t="n">
        <v>6.33</v>
      </c>
      <c r="AJ5260" s="182" t="n">
        <v>0</v>
      </c>
      <c r="AK5260" s="182" t="n">
        <v>0</v>
      </c>
      <c r="AL5260" s="182" t="n">
        <v>0</v>
      </c>
      <c r="AM5260" s="182" t="n">
        <v>0.08</v>
      </c>
      <c r="AN5260" s="182" t="n">
        <v>0</v>
      </c>
    </row>
    <row r="5261">
      <c r="A5261" s="155" t="n">
        <v>46105</v>
      </c>
      <c r="B5261" s="156" t="inlineStr">
        <is>
          <t>NS</t>
        </is>
      </c>
      <c r="C5261" s="156" t="inlineStr">
        <is>
          <t>DT-528</t>
        </is>
      </c>
      <c r="D5261" s="156" t="inlineStr">
        <is>
          <t>SKT 105S</t>
        </is>
      </c>
      <c r="E5261" s="156" t="inlineStr">
        <is>
          <t>Hauler</t>
        </is>
      </c>
      <c r="F5261" s="156" t="inlineStr">
        <is>
          <t>Hauling OB</t>
        </is>
      </c>
      <c r="G5261" s="182" t="n">
        <v>10.42</v>
      </c>
      <c r="H5261" s="182" t="n">
        <v>0</v>
      </c>
      <c r="I5261" s="182" t="n">
        <v>0</v>
      </c>
      <c r="J5261" s="182" t="n">
        <v>0</v>
      </c>
      <c r="K5261" s="182" t="n">
        <v>1.58</v>
      </c>
      <c r="L5261" s="182" t="n">
        <v>12</v>
      </c>
      <c r="M5261" s="182" t="n">
        <v>10.42</v>
      </c>
      <c r="N5261" s="182" t="n">
        <v>0</v>
      </c>
      <c r="O5261" s="183" t="n">
        <v>45</v>
      </c>
      <c r="P5261" s="183" t="n">
        <v>0</v>
      </c>
      <c r="Q5261" s="184" t="n">
        <v>918</v>
      </c>
      <c r="R5261" s="184" t="n">
        <v>0</v>
      </c>
      <c r="S5261" s="183" t="n">
        <v>0</v>
      </c>
      <c r="T5261" s="183" t="n">
        <v>0</v>
      </c>
      <c r="U5261" s="182" t="n">
        <v>0</v>
      </c>
      <c r="V5261" s="182" t="n">
        <v>0</v>
      </c>
      <c r="W5261" s="182" t="n">
        <v>0</v>
      </c>
      <c r="X5261" s="182" t="n">
        <v>1.13</v>
      </c>
      <c r="Y5261" s="182" t="n">
        <v>0</v>
      </c>
      <c r="Z5261" s="182" t="n">
        <v>0</v>
      </c>
      <c r="AA5261" s="182" t="n">
        <v>0</v>
      </c>
      <c r="AB5261" s="182" t="n">
        <v>0</v>
      </c>
      <c r="AC5261" s="182" t="n">
        <v>0</v>
      </c>
      <c r="AD5261" s="182" t="n">
        <v>0</v>
      </c>
      <c r="AE5261" s="182" t="n">
        <v>0</v>
      </c>
      <c r="AF5261" s="182" t="n">
        <v>0</v>
      </c>
      <c r="AG5261" s="182" t="n">
        <v>0</v>
      </c>
      <c r="AH5261" s="182" t="n">
        <v>0.36</v>
      </c>
      <c r="AI5261" s="182" t="n">
        <v>0</v>
      </c>
      <c r="AJ5261" s="182" t="n">
        <v>0</v>
      </c>
      <c r="AK5261" s="182" t="n">
        <v>0</v>
      </c>
      <c r="AL5261" s="182" t="n">
        <v>0</v>
      </c>
      <c r="AM5261" s="182" t="n">
        <v>0.09</v>
      </c>
      <c r="AN5261" s="182" t="n">
        <v>0</v>
      </c>
    </row>
    <row r="5262">
      <c r="A5262" s="155" t="n">
        <v>46105</v>
      </c>
      <c r="B5262" s="156" t="inlineStr">
        <is>
          <t>NS</t>
        </is>
      </c>
      <c r="C5262" s="156" t="inlineStr">
        <is>
          <t>DT-529</t>
        </is>
      </c>
      <c r="D5262" s="156" t="inlineStr">
        <is>
          <t>SKT 105S</t>
        </is>
      </c>
      <c r="E5262" s="156" t="inlineStr">
        <is>
          <t>Hauler</t>
        </is>
      </c>
      <c r="F5262" s="156" t="inlineStr">
        <is>
          <t>Hauling OB &amp; Coal</t>
        </is>
      </c>
      <c r="G5262" s="182" t="n">
        <v>9.300000000000001</v>
      </c>
      <c r="H5262" s="182" t="n">
        <v>0</v>
      </c>
      <c r="I5262" s="182" t="n">
        <v>0</v>
      </c>
      <c r="J5262" s="182" t="n">
        <v>0</v>
      </c>
      <c r="K5262" s="182" t="n">
        <v>2.7</v>
      </c>
      <c r="L5262" s="182" t="n">
        <v>12</v>
      </c>
      <c r="M5262" s="182" t="n">
        <v>6.27</v>
      </c>
      <c r="N5262" s="182" t="n">
        <v>3.03</v>
      </c>
      <c r="O5262" s="183" t="n">
        <v>15</v>
      </c>
      <c r="P5262" s="183" t="n">
        <v>8</v>
      </c>
      <c r="Q5262" s="184" t="n">
        <v>306</v>
      </c>
      <c r="R5262" s="184" t="n">
        <v>149.6</v>
      </c>
      <c r="S5262" s="183" t="n">
        <v>0</v>
      </c>
      <c r="T5262" s="183" t="n">
        <v>0</v>
      </c>
      <c r="U5262" s="182" t="n">
        <v>0</v>
      </c>
      <c r="V5262" s="182" t="n">
        <v>0</v>
      </c>
      <c r="W5262" s="182" t="n">
        <v>0</v>
      </c>
      <c r="X5262" s="182" t="n">
        <v>0.96</v>
      </c>
      <c r="Y5262" s="182" t="n">
        <v>0</v>
      </c>
      <c r="Z5262" s="182" t="n">
        <v>0</v>
      </c>
      <c r="AA5262" s="182" t="n">
        <v>0</v>
      </c>
      <c r="AB5262" s="182" t="n">
        <v>0</v>
      </c>
      <c r="AC5262" s="182" t="n">
        <v>0</v>
      </c>
      <c r="AD5262" s="182" t="n">
        <v>0</v>
      </c>
      <c r="AE5262" s="182" t="n">
        <v>0</v>
      </c>
      <c r="AF5262" s="182" t="n">
        <v>0</v>
      </c>
      <c r="AG5262" s="182" t="n">
        <v>0.77</v>
      </c>
      <c r="AH5262" s="182" t="n">
        <v>0.89</v>
      </c>
      <c r="AI5262" s="182" t="n">
        <v>0</v>
      </c>
      <c r="AJ5262" s="182" t="n">
        <v>0</v>
      </c>
      <c r="AK5262" s="182" t="n">
        <v>0</v>
      </c>
      <c r="AL5262" s="182" t="n">
        <v>0</v>
      </c>
      <c r="AM5262" s="182" t="n">
        <v>0.08</v>
      </c>
      <c r="AN5262" s="182" t="n">
        <v>0</v>
      </c>
    </row>
    <row r="5263">
      <c r="A5263" s="155" t="n">
        <v>46105</v>
      </c>
      <c r="B5263" s="156" t="inlineStr">
        <is>
          <t>NS</t>
        </is>
      </c>
      <c r="C5263" s="156" t="inlineStr">
        <is>
          <t>DT-520</t>
        </is>
      </c>
      <c r="D5263" s="156" t="inlineStr">
        <is>
          <t>SKT 105S</t>
        </is>
      </c>
      <c r="E5263" s="156" t="inlineStr">
        <is>
          <t>Hauler</t>
        </is>
      </c>
      <c r="F5263" s="156" t="inlineStr">
        <is>
          <t>Hauling OB</t>
        </is>
      </c>
      <c r="G5263" s="182" t="n">
        <v>9.699999999999999</v>
      </c>
      <c r="H5263" s="182" t="n">
        <v>0</v>
      </c>
      <c r="I5263" s="182" t="n">
        <v>0</v>
      </c>
      <c r="J5263" s="182" t="n">
        <v>0</v>
      </c>
      <c r="K5263" s="182" t="n">
        <v>2.3</v>
      </c>
      <c r="L5263" s="182" t="n">
        <v>12</v>
      </c>
      <c r="M5263" s="182" t="n">
        <v>9.699999999999999</v>
      </c>
      <c r="N5263" s="182" t="n">
        <v>0</v>
      </c>
      <c r="O5263" s="183" t="n">
        <v>35</v>
      </c>
      <c r="P5263" s="183" t="n">
        <v>0</v>
      </c>
      <c r="Q5263" s="184" t="n">
        <v>714</v>
      </c>
      <c r="R5263" s="184" t="n">
        <v>0</v>
      </c>
      <c r="S5263" s="183" t="n">
        <v>0</v>
      </c>
      <c r="T5263" s="183" t="n">
        <v>0</v>
      </c>
      <c r="U5263" s="182" t="n">
        <v>0</v>
      </c>
      <c r="V5263" s="182" t="n">
        <v>0</v>
      </c>
      <c r="W5263" s="182" t="n">
        <v>0</v>
      </c>
      <c r="X5263" s="182" t="n">
        <v>1.35</v>
      </c>
      <c r="Y5263" s="182" t="n">
        <v>0</v>
      </c>
      <c r="Z5263" s="182" t="n">
        <v>0</v>
      </c>
      <c r="AA5263" s="182" t="n">
        <v>0</v>
      </c>
      <c r="AB5263" s="182" t="n">
        <v>0</v>
      </c>
      <c r="AC5263" s="182" t="n">
        <v>0</v>
      </c>
      <c r="AD5263" s="182" t="n">
        <v>0</v>
      </c>
      <c r="AE5263" s="182" t="n">
        <v>0</v>
      </c>
      <c r="AF5263" s="182" t="n">
        <v>0</v>
      </c>
      <c r="AG5263" s="182" t="n">
        <v>0</v>
      </c>
      <c r="AH5263" s="182" t="n">
        <v>0.84</v>
      </c>
      <c r="AI5263" s="182" t="n">
        <v>0</v>
      </c>
      <c r="AJ5263" s="182" t="n">
        <v>0</v>
      </c>
      <c r="AK5263" s="182" t="n">
        <v>0</v>
      </c>
      <c r="AL5263" s="182" t="n">
        <v>0</v>
      </c>
      <c r="AM5263" s="182" t="n">
        <v>0.11</v>
      </c>
      <c r="AN5263" s="182" t="n">
        <v>0</v>
      </c>
    </row>
    <row r="5264">
      <c r="A5264" s="155" t="n">
        <v>46105</v>
      </c>
      <c r="B5264" s="156" t="inlineStr">
        <is>
          <t>NS</t>
        </is>
      </c>
      <c r="C5264" s="156" t="inlineStr">
        <is>
          <t>DT-511</t>
        </is>
      </c>
      <c r="D5264" s="156" t="inlineStr">
        <is>
          <t>SKT 105S</t>
        </is>
      </c>
      <c r="E5264" s="156" t="inlineStr">
        <is>
          <t>Hauler</t>
        </is>
      </c>
      <c r="F5264" s="156" t="inlineStr"/>
      <c r="G5264" s="182" t="n">
        <v>0</v>
      </c>
      <c r="H5264" s="182" t="n">
        <v>0</v>
      </c>
      <c r="I5264" s="182" t="n">
        <v>12</v>
      </c>
      <c r="J5264" s="182" t="n">
        <v>12</v>
      </c>
      <c r="K5264" s="182" t="n">
        <v>0</v>
      </c>
      <c r="L5264" s="182" t="n">
        <v>12</v>
      </c>
      <c r="M5264" s="182" t="n">
        <v>0</v>
      </c>
      <c r="N5264" s="182" t="n">
        <v>0</v>
      </c>
      <c r="O5264" s="183" t="n">
        <v>0</v>
      </c>
      <c r="P5264" s="183" t="n">
        <v>0</v>
      </c>
      <c r="Q5264" s="184" t="n">
        <v>0</v>
      </c>
      <c r="R5264" s="184" t="n">
        <v>0</v>
      </c>
      <c r="S5264" s="183" t="n">
        <v>0</v>
      </c>
      <c r="T5264" s="183" t="n">
        <v>0</v>
      </c>
      <c r="U5264" s="182" t="n">
        <v>0</v>
      </c>
      <c r="V5264" s="182" t="n">
        <v>0</v>
      </c>
      <c r="W5264" s="182" t="n">
        <v>0</v>
      </c>
      <c r="X5264" s="182" t="n">
        <v>0</v>
      </c>
      <c r="Y5264" s="182" t="n">
        <v>0</v>
      </c>
      <c r="Z5264" s="182" t="n">
        <v>0</v>
      </c>
      <c r="AA5264" s="182" t="n">
        <v>0</v>
      </c>
      <c r="AB5264" s="182" t="n">
        <v>0</v>
      </c>
      <c r="AC5264" s="182" t="n">
        <v>0</v>
      </c>
      <c r="AD5264" s="182" t="n">
        <v>0</v>
      </c>
      <c r="AE5264" s="182" t="n">
        <v>0</v>
      </c>
      <c r="AF5264" s="182" t="n">
        <v>0</v>
      </c>
      <c r="AG5264" s="182" t="n">
        <v>0</v>
      </c>
      <c r="AH5264" s="182" t="n">
        <v>0</v>
      </c>
      <c r="AI5264" s="182" t="n">
        <v>0</v>
      </c>
      <c r="AJ5264" s="182" t="n">
        <v>0</v>
      </c>
      <c r="AK5264" s="182" t="n">
        <v>0</v>
      </c>
      <c r="AL5264" s="182" t="n">
        <v>0</v>
      </c>
      <c r="AM5264" s="182" t="n">
        <v>0</v>
      </c>
      <c r="AN5264" s="182" t="n">
        <v>0</v>
      </c>
    </row>
    <row r="5265">
      <c r="A5265" s="155" t="n">
        <v>46105</v>
      </c>
      <c r="B5265" s="156" t="inlineStr">
        <is>
          <t>NS</t>
        </is>
      </c>
      <c r="C5265" s="156" t="inlineStr">
        <is>
          <t>DT-509</t>
        </is>
      </c>
      <c r="D5265" s="156" t="inlineStr">
        <is>
          <t>SKT 105S</t>
        </is>
      </c>
      <c r="E5265" s="156" t="inlineStr">
        <is>
          <t>Hauler</t>
        </is>
      </c>
      <c r="F5265" s="156" t="inlineStr"/>
      <c r="G5265" s="182" t="n">
        <v>0</v>
      </c>
      <c r="H5265" s="182" t="n">
        <v>0</v>
      </c>
      <c r="I5265" s="182" t="n">
        <v>12</v>
      </c>
      <c r="J5265" s="182" t="n">
        <v>12</v>
      </c>
      <c r="K5265" s="182" t="n">
        <v>0</v>
      </c>
      <c r="L5265" s="182" t="n">
        <v>12</v>
      </c>
      <c r="M5265" s="182" t="n">
        <v>0</v>
      </c>
      <c r="N5265" s="182" t="n">
        <v>0</v>
      </c>
      <c r="O5265" s="183" t="n">
        <v>0</v>
      </c>
      <c r="P5265" s="183" t="n">
        <v>0</v>
      </c>
      <c r="Q5265" s="184" t="n">
        <v>0</v>
      </c>
      <c r="R5265" s="184" t="n">
        <v>0</v>
      </c>
      <c r="S5265" s="183" t="n">
        <v>0</v>
      </c>
      <c r="T5265" s="183" t="n">
        <v>0</v>
      </c>
      <c r="U5265" s="182" t="n">
        <v>0</v>
      </c>
      <c r="V5265" s="182" t="n">
        <v>0</v>
      </c>
      <c r="W5265" s="182" t="n">
        <v>0</v>
      </c>
      <c r="X5265" s="182" t="n">
        <v>0</v>
      </c>
      <c r="Y5265" s="182" t="n">
        <v>0</v>
      </c>
      <c r="Z5265" s="182" t="n">
        <v>0</v>
      </c>
      <c r="AA5265" s="182" t="n">
        <v>0</v>
      </c>
      <c r="AB5265" s="182" t="n">
        <v>0</v>
      </c>
      <c r="AC5265" s="182" t="n">
        <v>0</v>
      </c>
      <c r="AD5265" s="182" t="n">
        <v>0</v>
      </c>
      <c r="AE5265" s="182" t="n">
        <v>0</v>
      </c>
      <c r="AF5265" s="182" t="n">
        <v>0</v>
      </c>
      <c r="AG5265" s="182" t="n">
        <v>0</v>
      </c>
      <c r="AH5265" s="182" t="n">
        <v>0</v>
      </c>
      <c r="AI5265" s="182" t="n">
        <v>0</v>
      </c>
      <c r="AJ5265" s="182" t="n">
        <v>0</v>
      </c>
      <c r="AK5265" s="182" t="n">
        <v>0</v>
      </c>
      <c r="AL5265" s="182" t="n">
        <v>0</v>
      </c>
      <c r="AM5265" s="182" t="n">
        <v>0</v>
      </c>
      <c r="AN5265" s="182" t="n">
        <v>0</v>
      </c>
    </row>
    <row r="5266">
      <c r="A5266" s="155" t="n">
        <v>46105</v>
      </c>
      <c r="B5266" s="156" t="inlineStr">
        <is>
          <t>NS</t>
        </is>
      </c>
      <c r="C5266" s="156" t="inlineStr">
        <is>
          <t>DT-526</t>
        </is>
      </c>
      <c r="D5266" s="156" t="inlineStr">
        <is>
          <t>SKT 105S</t>
        </is>
      </c>
      <c r="E5266" s="156" t="inlineStr">
        <is>
          <t>Hauler</t>
        </is>
      </c>
      <c r="F5266" s="156" t="inlineStr">
        <is>
          <t>Hauling Coal</t>
        </is>
      </c>
      <c r="G5266" s="182" t="n">
        <v>2.21</v>
      </c>
      <c r="H5266" s="182" t="n">
        <v>0</v>
      </c>
      <c r="I5266" s="182" t="n">
        <v>0</v>
      </c>
      <c r="J5266" s="182" t="n">
        <v>0</v>
      </c>
      <c r="K5266" s="182" t="n">
        <v>9.789999999999999</v>
      </c>
      <c r="L5266" s="182" t="n">
        <v>12</v>
      </c>
      <c r="M5266" s="182" t="n">
        <v>0</v>
      </c>
      <c r="N5266" s="182" t="n">
        <v>2.21</v>
      </c>
      <c r="O5266" s="183" t="n">
        <v>0</v>
      </c>
      <c r="P5266" s="183" t="n">
        <v>3</v>
      </c>
      <c r="Q5266" s="184" t="n">
        <v>0</v>
      </c>
      <c r="R5266" s="184" t="n">
        <v>56.1</v>
      </c>
      <c r="S5266" s="183" t="n">
        <v>0</v>
      </c>
      <c r="T5266" s="183" t="n">
        <v>0</v>
      </c>
      <c r="U5266" s="182" t="n">
        <v>0</v>
      </c>
      <c r="V5266" s="182" t="n">
        <v>0</v>
      </c>
      <c r="W5266" s="182" t="n">
        <v>0</v>
      </c>
      <c r="X5266" s="182" t="n">
        <v>0.98</v>
      </c>
      <c r="Y5266" s="182" t="n">
        <v>0</v>
      </c>
      <c r="Z5266" s="182" t="n">
        <v>0</v>
      </c>
      <c r="AA5266" s="182" t="n">
        <v>0</v>
      </c>
      <c r="AB5266" s="182" t="n">
        <v>0</v>
      </c>
      <c r="AC5266" s="182" t="n">
        <v>0</v>
      </c>
      <c r="AD5266" s="182" t="n">
        <v>0</v>
      </c>
      <c r="AE5266" s="182" t="n">
        <v>0</v>
      </c>
      <c r="AF5266" s="182" t="n">
        <v>0</v>
      </c>
      <c r="AG5266" s="182" t="n">
        <v>0</v>
      </c>
      <c r="AH5266" s="182" t="n">
        <v>0</v>
      </c>
      <c r="AI5266" s="182" t="n">
        <v>8.73</v>
      </c>
      <c r="AJ5266" s="182" t="n">
        <v>0</v>
      </c>
      <c r="AK5266" s="182" t="n">
        <v>0</v>
      </c>
      <c r="AL5266" s="182" t="n">
        <v>0</v>
      </c>
      <c r="AM5266" s="182" t="n">
        <v>0.08</v>
      </c>
      <c r="AN5266" s="182" t="n">
        <v>0</v>
      </c>
    </row>
    <row r="5267">
      <c r="A5267" s="155" t="n">
        <v>46105</v>
      </c>
      <c r="B5267" s="156" t="inlineStr">
        <is>
          <t>NS</t>
        </is>
      </c>
      <c r="C5267" s="156" t="inlineStr">
        <is>
          <t>DT-508</t>
        </is>
      </c>
      <c r="D5267" s="156" t="inlineStr">
        <is>
          <t>SKT 105S</t>
        </is>
      </c>
      <c r="E5267" s="156" t="inlineStr">
        <is>
          <t>Hauler</t>
        </is>
      </c>
      <c r="F5267" s="156" t="inlineStr">
        <is>
          <t>Hauling OB</t>
        </is>
      </c>
      <c r="G5267" s="182" t="n">
        <v>7.86</v>
      </c>
      <c r="H5267" s="182" t="n">
        <v>0</v>
      </c>
      <c r="I5267" s="182" t="n">
        <v>4</v>
      </c>
      <c r="J5267" s="182" t="n">
        <v>4</v>
      </c>
      <c r="K5267" s="182" t="n">
        <v>0.14</v>
      </c>
      <c r="L5267" s="182" t="n">
        <v>12</v>
      </c>
      <c r="M5267" s="182" t="n">
        <v>7.86</v>
      </c>
      <c r="N5267" s="182" t="n">
        <v>0</v>
      </c>
      <c r="O5267" s="183" t="n">
        <v>30</v>
      </c>
      <c r="P5267" s="183" t="n">
        <v>0</v>
      </c>
      <c r="Q5267" s="184" t="n">
        <v>612</v>
      </c>
      <c r="R5267" s="184" t="n">
        <v>0</v>
      </c>
      <c r="S5267" s="183" t="n">
        <v>0</v>
      </c>
      <c r="T5267" s="183" t="n">
        <v>0</v>
      </c>
      <c r="U5267" s="182" t="n">
        <v>0</v>
      </c>
      <c r="V5267" s="182" t="n">
        <v>0</v>
      </c>
      <c r="W5267" s="182" t="n">
        <v>0</v>
      </c>
      <c r="X5267" s="182" t="n">
        <v>0</v>
      </c>
      <c r="Y5267" s="182" t="n">
        <v>0</v>
      </c>
      <c r="Z5267" s="182" t="n">
        <v>0</v>
      </c>
      <c r="AA5267" s="182" t="n">
        <v>0</v>
      </c>
      <c r="AB5267" s="182" t="n">
        <v>0</v>
      </c>
      <c r="AC5267" s="182" t="n">
        <v>0</v>
      </c>
      <c r="AD5267" s="182" t="n">
        <v>0</v>
      </c>
      <c r="AE5267" s="182" t="n">
        <v>0</v>
      </c>
      <c r="AF5267" s="182" t="n">
        <v>0</v>
      </c>
      <c r="AG5267" s="182" t="n">
        <v>0</v>
      </c>
      <c r="AH5267" s="182" t="n">
        <v>0</v>
      </c>
      <c r="AI5267" s="182" t="n">
        <v>0</v>
      </c>
      <c r="AJ5267" s="182" t="n">
        <v>0</v>
      </c>
      <c r="AK5267" s="182" t="n">
        <v>0</v>
      </c>
      <c r="AL5267" s="182" t="n">
        <v>0</v>
      </c>
      <c r="AM5267" s="182" t="n">
        <v>0</v>
      </c>
      <c r="AN5267" s="182" t="n">
        <v>0</v>
      </c>
    </row>
    <row r="5268">
      <c r="A5268" s="155" t="n">
        <v>46105</v>
      </c>
      <c r="B5268" s="156" t="inlineStr">
        <is>
          <t>NS</t>
        </is>
      </c>
      <c r="C5268" s="156" t="inlineStr">
        <is>
          <t>DT-515</t>
        </is>
      </c>
      <c r="D5268" s="156" t="inlineStr">
        <is>
          <t>SKT 105S</t>
        </is>
      </c>
      <c r="E5268" s="156" t="inlineStr">
        <is>
          <t>Hauler</t>
        </is>
      </c>
      <c r="F5268" s="156" t="inlineStr">
        <is>
          <t>Hauling OB &amp; Coal</t>
        </is>
      </c>
      <c r="G5268" s="182" t="n">
        <v>10.88</v>
      </c>
      <c r="H5268" s="182" t="n">
        <v>0</v>
      </c>
      <c r="I5268" s="182" t="n">
        <v>0</v>
      </c>
      <c r="J5268" s="182" t="n">
        <v>0</v>
      </c>
      <c r="K5268" s="182" t="n">
        <v>1.12</v>
      </c>
      <c r="L5268" s="182" t="n">
        <v>12</v>
      </c>
      <c r="M5268" s="182" t="n">
        <v>9.33</v>
      </c>
      <c r="N5268" s="182" t="n">
        <v>1.55</v>
      </c>
      <c r="O5268" s="183" t="n">
        <v>37</v>
      </c>
      <c r="P5268" s="183" t="n">
        <v>3</v>
      </c>
      <c r="Q5268" s="184" t="n">
        <v>754.8</v>
      </c>
      <c r="R5268" s="184" t="n">
        <v>56.1</v>
      </c>
      <c r="S5268" s="183" t="n">
        <v>0</v>
      </c>
      <c r="T5268" s="183" t="n">
        <v>0</v>
      </c>
      <c r="U5268" s="182" t="n">
        <v>0</v>
      </c>
      <c r="V5268" s="182" t="n">
        <v>0</v>
      </c>
      <c r="W5268" s="182" t="n">
        <v>0</v>
      </c>
      <c r="X5268" s="182" t="n">
        <v>0.75</v>
      </c>
      <c r="Y5268" s="182" t="n">
        <v>0</v>
      </c>
      <c r="Z5268" s="182" t="n">
        <v>0</v>
      </c>
      <c r="AA5268" s="182" t="n">
        <v>0</v>
      </c>
      <c r="AB5268" s="182" t="n">
        <v>0</v>
      </c>
      <c r="AC5268" s="182" t="n">
        <v>0</v>
      </c>
      <c r="AD5268" s="182" t="n">
        <v>0</v>
      </c>
      <c r="AE5268" s="182" t="n">
        <v>0</v>
      </c>
      <c r="AF5268" s="182" t="n">
        <v>0</v>
      </c>
      <c r="AG5268" s="182" t="n">
        <v>0</v>
      </c>
      <c r="AH5268" s="182" t="n">
        <v>0.31</v>
      </c>
      <c r="AI5268" s="182" t="n">
        <v>0</v>
      </c>
      <c r="AJ5268" s="182" t="n">
        <v>0</v>
      </c>
      <c r="AK5268" s="182" t="n">
        <v>0</v>
      </c>
      <c r="AL5268" s="182" t="n">
        <v>0</v>
      </c>
      <c r="AM5268" s="182" t="n">
        <v>0.06</v>
      </c>
      <c r="AN5268" s="182" t="n">
        <v>0</v>
      </c>
    </row>
    <row r="5269">
      <c r="A5269" s="155" t="n">
        <v>46105</v>
      </c>
      <c r="B5269" s="156" t="inlineStr">
        <is>
          <t>NS</t>
        </is>
      </c>
      <c r="C5269" s="156" t="inlineStr">
        <is>
          <t>DT-524</t>
        </is>
      </c>
      <c r="D5269" s="156" t="inlineStr">
        <is>
          <t>SKT 105S</t>
        </is>
      </c>
      <c r="E5269" s="156" t="inlineStr">
        <is>
          <t>Hauler</t>
        </is>
      </c>
      <c r="F5269" s="156" t="inlineStr"/>
      <c r="G5269" s="182" t="n">
        <v>0</v>
      </c>
      <c r="H5269" s="182" t="n">
        <v>0</v>
      </c>
      <c r="I5269" s="182" t="n">
        <v>12</v>
      </c>
      <c r="J5269" s="182" t="n">
        <v>12</v>
      </c>
      <c r="K5269" s="182" t="n">
        <v>0</v>
      </c>
      <c r="L5269" s="182" t="n">
        <v>12</v>
      </c>
      <c r="M5269" s="182" t="n">
        <v>0</v>
      </c>
      <c r="N5269" s="182" t="n">
        <v>0</v>
      </c>
      <c r="O5269" s="183" t="n">
        <v>0</v>
      </c>
      <c r="P5269" s="183" t="n">
        <v>0</v>
      </c>
      <c r="Q5269" s="184" t="n">
        <v>0</v>
      </c>
      <c r="R5269" s="184" t="n">
        <v>0</v>
      </c>
      <c r="S5269" s="183" t="n">
        <v>0</v>
      </c>
      <c r="T5269" s="183" t="n">
        <v>0</v>
      </c>
      <c r="U5269" s="182" t="n">
        <v>0</v>
      </c>
      <c r="V5269" s="182" t="n">
        <v>0</v>
      </c>
      <c r="W5269" s="182" t="n">
        <v>0</v>
      </c>
      <c r="X5269" s="182" t="n">
        <v>0</v>
      </c>
      <c r="Y5269" s="182" t="n">
        <v>0</v>
      </c>
      <c r="Z5269" s="182" t="n">
        <v>0</v>
      </c>
      <c r="AA5269" s="182" t="n">
        <v>0</v>
      </c>
      <c r="AB5269" s="182" t="n">
        <v>0</v>
      </c>
      <c r="AC5269" s="182" t="n">
        <v>0</v>
      </c>
      <c r="AD5269" s="182" t="n">
        <v>0</v>
      </c>
      <c r="AE5269" s="182" t="n">
        <v>0</v>
      </c>
      <c r="AF5269" s="182" t="n">
        <v>0</v>
      </c>
      <c r="AG5269" s="182" t="n">
        <v>0</v>
      </c>
      <c r="AH5269" s="182" t="n">
        <v>0</v>
      </c>
      <c r="AI5269" s="182" t="n">
        <v>0</v>
      </c>
      <c r="AJ5269" s="182" t="n">
        <v>0</v>
      </c>
      <c r="AK5269" s="182" t="n">
        <v>0</v>
      </c>
      <c r="AL5269" s="182" t="n">
        <v>0</v>
      </c>
      <c r="AM5269" s="182" t="n">
        <v>0</v>
      </c>
      <c r="AN5269" s="182" t="n">
        <v>0</v>
      </c>
    </row>
    <row r="5270">
      <c r="A5270" s="155" t="n">
        <v>46105</v>
      </c>
      <c r="B5270" s="156" t="inlineStr">
        <is>
          <t>NS</t>
        </is>
      </c>
      <c r="C5270" s="156" t="inlineStr">
        <is>
          <t>DT-341</t>
        </is>
      </c>
      <c r="D5270" s="156" t="inlineStr">
        <is>
          <t>SYZ324C-8W</t>
        </is>
      </c>
      <c r="E5270" s="156" t="inlineStr">
        <is>
          <t>Hauler</t>
        </is>
      </c>
      <c r="F5270" s="156" t="inlineStr">
        <is>
          <t>Rehandling Material di Washing Plant</t>
        </is>
      </c>
      <c r="G5270" s="182" t="n">
        <v>3.1</v>
      </c>
      <c r="H5270" s="182" t="n">
        <v>0</v>
      </c>
      <c r="I5270" s="182" t="n">
        <v>0</v>
      </c>
      <c r="J5270" s="182" t="n">
        <v>0</v>
      </c>
      <c r="K5270" s="182" t="n">
        <v>8.9</v>
      </c>
      <c r="L5270" s="182" t="n">
        <v>12</v>
      </c>
      <c r="M5270" s="182" t="n">
        <v>0</v>
      </c>
      <c r="N5270" s="182" t="n">
        <v>0</v>
      </c>
      <c r="O5270" s="183" t="n">
        <v>0</v>
      </c>
      <c r="P5270" s="183" t="n">
        <v>0</v>
      </c>
      <c r="Q5270" s="184" t="n">
        <v>0</v>
      </c>
      <c r="R5270" s="184" t="n">
        <v>0</v>
      </c>
      <c r="S5270" s="183" t="n">
        <v>0</v>
      </c>
      <c r="T5270" s="183" t="n">
        <v>0</v>
      </c>
      <c r="U5270" s="182" t="n">
        <v>0</v>
      </c>
      <c r="V5270" s="182" t="n">
        <v>0</v>
      </c>
      <c r="W5270" s="182" t="n">
        <v>0</v>
      </c>
      <c r="X5270" s="182" t="n">
        <v>1.03</v>
      </c>
      <c r="Y5270" s="182" t="n">
        <v>0</v>
      </c>
      <c r="Z5270" s="182" t="n">
        <v>0</v>
      </c>
      <c r="AA5270" s="182" t="n">
        <v>0</v>
      </c>
      <c r="AB5270" s="182" t="n">
        <v>0</v>
      </c>
      <c r="AC5270" s="182" t="n">
        <v>0</v>
      </c>
      <c r="AD5270" s="182" t="n">
        <v>0</v>
      </c>
      <c r="AE5270" s="182" t="n">
        <v>0</v>
      </c>
      <c r="AF5270" s="182" t="n">
        <v>0</v>
      </c>
      <c r="AG5270" s="182" t="n">
        <v>0</v>
      </c>
      <c r="AH5270" s="182" t="n">
        <v>0</v>
      </c>
      <c r="AI5270" s="182" t="n">
        <v>0</v>
      </c>
      <c r="AJ5270" s="182" t="n">
        <v>0</v>
      </c>
      <c r="AK5270" s="182" t="n">
        <v>7.78</v>
      </c>
      <c r="AL5270" s="182" t="n">
        <v>0</v>
      </c>
      <c r="AM5270" s="182" t="n">
        <v>0.08</v>
      </c>
      <c r="AN5270" s="182" t="n">
        <v>0</v>
      </c>
    </row>
    <row r="5271">
      <c r="A5271" s="155" t="n">
        <v>46105</v>
      </c>
      <c r="B5271" s="156" t="inlineStr">
        <is>
          <t>NS</t>
        </is>
      </c>
      <c r="C5271" s="156" t="inlineStr">
        <is>
          <t>DT-342</t>
        </is>
      </c>
      <c r="D5271" s="156" t="inlineStr">
        <is>
          <t>SYZ324C-8W</t>
        </is>
      </c>
      <c r="E5271" s="156" t="inlineStr">
        <is>
          <t>Hauler</t>
        </is>
      </c>
      <c r="F5271" s="156" t="inlineStr">
        <is>
          <t>Rehandling Material di Washing Plant</t>
        </is>
      </c>
      <c r="G5271" s="182" t="n">
        <v>3.17</v>
      </c>
      <c r="H5271" s="182" t="n">
        <v>0</v>
      </c>
      <c r="I5271" s="182" t="n">
        <v>0</v>
      </c>
      <c r="J5271" s="182" t="n">
        <v>0</v>
      </c>
      <c r="K5271" s="182" t="n">
        <v>8.83</v>
      </c>
      <c r="L5271" s="182" t="n">
        <v>12</v>
      </c>
      <c r="M5271" s="182" t="n">
        <v>0</v>
      </c>
      <c r="N5271" s="182" t="n">
        <v>0</v>
      </c>
      <c r="O5271" s="183" t="n">
        <v>0</v>
      </c>
      <c r="P5271" s="183" t="n">
        <v>0</v>
      </c>
      <c r="Q5271" s="184" t="n">
        <v>0</v>
      </c>
      <c r="R5271" s="184" t="n">
        <v>0</v>
      </c>
      <c r="S5271" s="183" t="n">
        <v>0</v>
      </c>
      <c r="T5271" s="183" t="n">
        <v>0</v>
      </c>
      <c r="U5271" s="182" t="n">
        <v>0</v>
      </c>
      <c r="V5271" s="182" t="n">
        <v>0</v>
      </c>
      <c r="W5271" s="182" t="n">
        <v>0</v>
      </c>
      <c r="X5271" s="182" t="n">
        <v>0.99</v>
      </c>
      <c r="Y5271" s="182" t="n">
        <v>0</v>
      </c>
      <c r="Z5271" s="182" t="n">
        <v>0</v>
      </c>
      <c r="AA5271" s="182" t="n">
        <v>0</v>
      </c>
      <c r="AB5271" s="182" t="n">
        <v>0</v>
      </c>
      <c r="AC5271" s="182" t="n">
        <v>0</v>
      </c>
      <c r="AD5271" s="182" t="n">
        <v>0</v>
      </c>
      <c r="AE5271" s="182" t="n">
        <v>0</v>
      </c>
      <c r="AF5271" s="182" t="n">
        <v>0</v>
      </c>
      <c r="AG5271" s="182" t="n">
        <v>0</v>
      </c>
      <c r="AH5271" s="182" t="n">
        <v>0</v>
      </c>
      <c r="AI5271" s="182" t="n">
        <v>0</v>
      </c>
      <c r="AJ5271" s="182" t="n">
        <v>0</v>
      </c>
      <c r="AK5271" s="182" t="n">
        <v>7.76</v>
      </c>
      <c r="AL5271" s="182" t="n">
        <v>0</v>
      </c>
      <c r="AM5271" s="182" t="n">
        <v>0.08</v>
      </c>
      <c r="AN5271" s="182" t="n">
        <v>0</v>
      </c>
    </row>
    <row r="5272">
      <c r="A5272" s="155" t="n">
        <v>46105</v>
      </c>
      <c r="B5272" s="156" t="inlineStr">
        <is>
          <t>NS</t>
        </is>
      </c>
      <c r="C5272" s="156" t="inlineStr">
        <is>
          <t>HD-903</t>
        </is>
      </c>
      <c r="D5272" s="156" t="inlineStr">
        <is>
          <t>SRT 95C</t>
        </is>
      </c>
      <c r="E5272" s="156" t="inlineStr">
        <is>
          <t>Hauler</t>
        </is>
      </c>
      <c r="F5272" s="156" t="inlineStr"/>
      <c r="G5272" s="182" t="n">
        <v>0</v>
      </c>
      <c r="H5272" s="182" t="n">
        <v>0</v>
      </c>
      <c r="I5272" s="182" t="n">
        <v>12</v>
      </c>
      <c r="J5272" s="182" t="n">
        <v>12</v>
      </c>
      <c r="K5272" s="182" t="n">
        <v>0</v>
      </c>
      <c r="L5272" s="182" t="n">
        <v>12</v>
      </c>
      <c r="M5272" s="182" t="n">
        <v>0</v>
      </c>
      <c r="N5272" s="182" t="n">
        <v>0</v>
      </c>
      <c r="O5272" s="183" t="n">
        <v>0</v>
      </c>
      <c r="P5272" s="183" t="n">
        <v>0</v>
      </c>
      <c r="Q5272" s="184" t="n">
        <v>0</v>
      </c>
      <c r="R5272" s="184" t="n">
        <v>0</v>
      </c>
      <c r="S5272" s="183" t="n">
        <v>0</v>
      </c>
      <c r="T5272" s="183" t="n">
        <v>0</v>
      </c>
      <c r="U5272" s="182" t="n">
        <v>0</v>
      </c>
      <c r="V5272" s="182" t="n">
        <v>0</v>
      </c>
      <c r="W5272" s="182" t="n">
        <v>0</v>
      </c>
      <c r="X5272" s="182" t="n">
        <v>0</v>
      </c>
      <c r="Y5272" s="182" t="n">
        <v>0</v>
      </c>
      <c r="Z5272" s="182" t="n">
        <v>0</v>
      </c>
      <c r="AA5272" s="182" t="n">
        <v>0</v>
      </c>
      <c r="AB5272" s="182" t="n">
        <v>0</v>
      </c>
      <c r="AC5272" s="182" t="n">
        <v>0</v>
      </c>
      <c r="AD5272" s="182" t="n">
        <v>0</v>
      </c>
      <c r="AE5272" s="182" t="n">
        <v>0</v>
      </c>
      <c r="AF5272" s="182" t="n">
        <v>0</v>
      </c>
      <c r="AG5272" s="182" t="n">
        <v>0</v>
      </c>
      <c r="AH5272" s="182" t="n">
        <v>0</v>
      </c>
      <c r="AI5272" s="182" t="n">
        <v>0</v>
      </c>
      <c r="AJ5272" s="182" t="n">
        <v>0</v>
      </c>
      <c r="AK5272" s="182" t="n">
        <v>0</v>
      </c>
      <c r="AL5272" s="182" t="n">
        <v>0</v>
      </c>
      <c r="AM5272" s="182" t="n">
        <v>0</v>
      </c>
      <c r="AN5272" s="182" t="n">
        <v>0</v>
      </c>
    </row>
    <row r="5273">
      <c r="A5273" s="155" t="n">
        <v>46105</v>
      </c>
      <c r="B5273" s="156" t="inlineStr">
        <is>
          <t>NS</t>
        </is>
      </c>
      <c r="C5273" s="156" t="inlineStr">
        <is>
          <t>HD-905</t>
        </is>
      </c>
      <c r="D5273" s="156" t="inlineStr">
        <is>
          <t>SRT 95C</t>
        </is>
      </c>
      <c r="E5273" s="156" t="inlineStr">
        <is>
          <t>Hauler</t>
        </is>
      </c>
      <c r="F5273" s="156" t="inlineStr">
        <is>
          <t>Hauling OB</t>
        </is>
      </c>
      <c r="G5273" s="182" t="n">
        <v>3.23</v>
      </c>
      <c r="H5273" s="182" t="n">
        <v>0</v>
      </c>
      <c r="I5273" s="182" t="n">
        <v>8.33</v>
      </c>
      <c r="J5273" s="182" t="n">
        <v>8.33</v>
      </c>
      <c r="K5273" s="182" t="n">
        <v>0.44</v>
      </c>
      <c r="L5273" s="182" t="n">
        <v>12</v>
      </c>
      <c r="M5273" s="182" t="n">
        <v>3.23</v>
      </c>
      <c r="N5273" s="182" t="n">
        <v>0</v>
      </c>
      <c r="O5273" s="183" t="n">
        <v>14</v>
      </c>
      <c r="P5273" s="183" t="n">
        <v>0</v>
      </c>
      <c r="Q5273" s="184" t="n">
        <v>499.8</v>
      </c>
      <c r="R5273" s="184" t="n">
        <v>0</v>
      </c>
      <c r="S5273" s="183" t="n">
        <v>0</v>
      </c>
      <c r="T5273" s="183" t="n">
        <v>0</v>
      </c>
      <c r="U5273" s="182" t="n">
        <v>0</v>
      </c>
      <c r="V5273" s="182" t="n">
        <v>0</v>
      </c>
      <c r="W5273" s="182" t="n">
        <v>0</v>
      </c>
      <c r="X5273" s="182" t="n">
        <v>0.29</v>
      </c>
      <c r="Y5273" s="182" t="n">
        <v>0</v>
      </c>
      <c r="Z5273" s="182" t="n">
        <v>0</v>
      </c>
      <c r="AA5273" s="182" t="n">
        <v>0</v>
      </c>
      <c r="AB5273" s="182" t="n">
        <v>0</v>
      </c>
      <c r="AC5273" s="182" t="n">
        <v>0</v>
      </c>
      <c r="AD5273" s="182" t="n">
        <v>0</v>
      </c>
      <c r="AE5273" s="182" t="n">
        <v>0</v>
      </c>
      <c r="AF5273" s="182" t="n">
        <v>0</v>
      </c>
      <c r="AG5273" s="182" t="n">
        <v>0</v>
      </c>
      <c r="AH5273" s="182" t="n">
        <v>0</v>
      </c>
      <c r="AI5273" s="182" t="n">
        <v>0</v>
      </c>
      <c r="AJ5273" s="182" t="n">
        <v>0</v>
      </c>
      <c r="AK5273" s="182" t="n">
        <v>0</v>
      </c>
      <c r="AL5273" s="182" t="n">
        <v>0</v>
      </c>
      <c r="AM5273" s="182" t="n">
        <v>0.13</v>
      </c>
      <c r="AN5273" s="182" t="n">
        <v>0</v>
      </c>
    </row>
    <row r="5274">
      <c r="A5274" s="155" t="n">
        <v>46105</v>
      </c>
      <c r="B5274" s="156" t="inlineStr">
        <is>
          <t>NS</t>
        </is>
      </c>
      <c r="C5274" s="156" t="inlineStr">
        <is>
          <t>HD-901</t>
        </is>
      </c>
      <c r="D5274" s="156" t="inlineStr">
        <is>
          <t>SRT 95C</t>
        </is>
      </c>
      <c r="E5274" s="156" t="inlineStr">
        <is>
          <t>Hauler</t>
        </is>
      </c>
      <c r="F5274" s="156" t="inlineStr">
        <is>
          <t>Hauling OB</t>
        </is>
      </c>
      <c r="G5274" s="182" t="n">
        <v>3.04</v>
      </c>
      <c r="H5274" s="182" t="n">
        <v>0</v>
      </c>
      <c r="I5274" s="182" t="n">
        <v>0</v>
      </c>
      <c r="J5274" s="182" t="n">
        <v>0</v>
      </c>
      <c r="K5274" s="182" t="n">
        <v>8.960000000000001</v>
      </c>
      <c r="L5274" s="182" t="n">
        <v>12</v>
      </c>
      <c r="M5274" s="182" t="n">
        <v>3.04</v>
      </c>
      <c r="N5274" s="182" t="n">
        <v>0</v>
      </c>
      <c r="O5274" s="183" t="n">
        <v>17</v>
      </c>
      <c r="P5274" s="183" t="n">
        <v>0</v>
      </c>
      <c r="Q5274" s="184" t="n">
        <v>606.9</v>
      </c>
      <c r="R5274" s="184" t="n">
        <v>0</v>
      </c>
      <c r="S5274" s="183" t="n">
        <v>0</v>
      </c>
      <c r="T5274" s="183" t="n">
        <v>0</v>
      </c>
      <c r="U5274" s="182" t="n">
        <v>0</v>
      </c>
      <c r="V5274" s="182" t="n">
        <v>0</v>
      </c>
      <c r="W5274" s="182" t="n">
        <v>0</v>
      </c>
      <c r="X5274" s="182" t="n">
        <v>1.03</v>
      </c>
      <c r="Y5274" s="182" t="n">
        <v>0</v>
      </c>
      <c r="Z5274" s="182" t="n">
        <v>0</v>
      </c>
      <c r="AA5274" s="182" t="n">
        <v>0</v>
      </c>
      <c r="AB5274" s="182" t="n">
        <v>0</v>
      </c>
      <c r="AC5274" s="182" t="n">
        <v>0</v>
      </c>
      <c r="AD5274" s="182" t="n">
        <v>0</v>
      </c>
      <c r="AE5274" s="182" t="n">
        <v>0</v>
      </c>
      <c r="AF5274" s="182" t="n">
        <v>0</v>
      </c>
      <c r="AG5274" s="182" t="n">
        <v>0</v>
      </c>
      <c r="AH5274" s="182" t="n">
        <v>0</v>
      </c>
      <c r="AI5274" s="182" t="n">
        <v>7.85</v>
      </c>
      <c r="AJ5274" s="182" t="n">
        <v>0</v>
      </c>
      <c r="AK5274" s="182" t="n">
        <v>0</v>
      </c>
      <c r="AL5274" s="182" t="n">
        <v>0</v>
      </c>
      <c r="AM5274" s="182" t="n">
        <v>0.08</v>
      </c>
      <c r="AN5274" s="182" t="n">
        <v>0</v>
      </c>
    </row>
    <row r="5275">
      <c r="A5275" s="155" t="n">
        <v>46105</v>
      </c>
      <c r="B5275" s="156" t="inlineStr">
        <is>
          <t>NS</t>
        </is>
      </c>
      <c r="C5275" s="156" t="inlineStr">
        <is>
          <t>HD-904</t>
        </is>
      </c>
      <c r="D5275" s="156" t="inlineStr">
        <is>
          <t>SRT 95C</t>
        </is>
      </c>
      <c r="E5275" s="156" t="inlineStr">
        <is>
          <t>Hauler</t>
        </is>
      </c>
      <c r="F5275" s="156" t="inlineStr"/>
      <c r="G5275" s="182" t="n">
        <v>0</v>
      </c>
      <c r="H5275" s="182" t="n">
        <v>0</v>
      </c>
      <c r="I5275" s="182" t="n">
        <v>12</v>
      </c>
      <c r="J5275" s="182" t="n">
        <v>12</v>
      </c>
      <c r="K5275" s="182" t="n">
        <v>0</v>
      </c>
      <c r="L5275" s="182" t="n">
        <v>12</v>
      </c>
      <c r="M5275" s="182" t="n">
        <v>0</v>
      </c>
      <c r="N5275" s="182" t="n">
        <v>0</v>
      </c>
      <c r="O5275" s="183" t="n">
        <v>0</v>
      </c>
      <c r="P5275" s="183" t="n">
        <v>0</v>
      </c>
      <c r="Q5275" s="184" t="n">
        <v>0</v>
      </c>
      <c r="R5275" s="184" t="n">
        <v>0</v>
      </c>
      <c r="S5275" s="183" t="n">
        <v>0</v>
      </c>
      <c r="T5275" s="183" t="n">
        <v>0</v>
      </c>
      <c r="U5275" s="182" t="n">
        <v>0</v>
      </c>
      <c r="V5275" s="182" t="n">
        <v>0</v>
      </c>
      <c r="W5275" s="182" t="n">
        <v>0</v>
      </c>
      <c r="X5275" s="182" t="n">
        <v>0</v>
      </c>
      <c r="Y5275" s="182" t="n">
        <v>0</v>
      </c>
      <c r="Z5275" s="182" t="n">
        <v>0</v>
      </c>
      <c r="AA5275" s="182" t="n">
        <v>0</v>
      </c>
      <c r="AB5275" s="182" t="n">
        <v>0</v>
      </c>
      <c r="AC5275" s="182" t="n">
        <v>0</v>
      </c>
      <c r="AD5275" s="182" t="n">
        <v>0</v>
      </c>
      <c r="AE5275" s="182" t="n">
        <v>0</v>
      </c>
      <c r="AF5275" s="182" t="n">
        <v>0</v>
      </c>
      <c r="AG5275" s="182" t="n">
        <v>0</v>
      </c>
      <c r="AH5275" s="182" t="n">
        <v>0</v>
      </c>
      <c r="AI5275" s="182" t="n">
        <v>0</v>
      </c>
      <c r="AJ5275" s="182" t="n">
        <v>0</v>
      </c>
      <c r="AK5275" s="182" t="n">
        <v>0</v>
      </c>
      <c r="AL5275" s="182" t="n">
        <v>0</v>
      </c>
      <c r="AM5275" s="182" t="n">
        <v>0</v>
      </c>
      <c r="AN5275" s="182" t="n">
        <v>0</v>
      </c>
    </row>
    <row r="5276">
      <c r="A5276" s="155" t="n">
        <v>46105</v>
      </c>
      <c r="B5276" s="156" t="inlineStr">
        <is>
          <t>NS</t>
        </is>
      </c>
      <c r="C5276" s="156" t="inlineStr">
        <is>
          <t>HD-902</t>
        </is>
      </c>
      <c r="D5276" s="156" t="inlineStr">
        <is>
          <t>SRT 95C</t>
        </is>
      </c>
      <c r="E5276" s="156" t="inlineStr">
        <is>
          <t>Hauler</t>
        </is>
      </c>
      <c r="F5276" s="156" t="inlineStr">
        <is>
          <t>Hauling OB</t>
        </is>
      </c>
      <c r="G5276" s="182" t="n">
        <v>3.23</v>
      </c>
      <c r="H5276" s="182" t="n">
        <v>0</v>
      </c>
      <c r="I5276" s="182" t="n">
        <v>0</v>
      </c>
      <c r="J5276" s="182" t="n">
        <v>0</v>
      </c>
      <c r="K5276" s="182" t="n">
        <v>8.77</v>
      </c>
      <c r="L5276" s="182" t="n">
        <v>12</v>
      </c>
      <c r="M5276" s="182" t="n">
        <v>3.23</v>
      </c>
      <c r="N5276" s="182" t="n">
        <v>0</v>
      </c>
      <c r="O5276" s="183" t="n">
        <v>15</v>
      </c>
      <c r="P5276" s="183" t="n">
        <v>0</v>
      </c>
      <c r="Q5276" s="184" t="n">
        <v>535.5</v>
      </c>
      <c r="R5276" s="184" t="n">
        <v>0</v>
      </c>
      <c r="S5276" s="183" t="n">
        <v>0</v>
      </c>
      <c r="T5276" s="183" t="n">
        <v>0</v>
      </c>
      <c r="U5276" s="182" t="n">
        <v>0</v>
      </c>
      <c r="V5276" s="182" t="n">
        <v>0</v>
      </c>
      <c r="W5276" s="182" t="n">
        <v>0</v>
      </c>
      <c r="X5276" s="182" t="n">
        <v>0.99</v>
      </c>
      <c r="Y5276" s="182" t="n">
        <v>0</v>
      </c>
      <c r="Z5276" s="182" t="n">
        <v>0</v>
      </c>
      <c r="AA5276" s="182" t="n">
        <v>0</v>
      </c>
      <c r="AB5276" s="182" t="n">
        <v>0</v>
      </c>
      <c r="AC5276" s="182" t="n">
        <v>0</v>
      </c>
      <c r="AD5276" s="182" t="n">
        <v>0</v>
      </c>
      <c r="AE5276" s="182" t="n">
        <v>0</v>
      </c>
      <c r="AF5276" s="182" t="n">
        <v>0</v>
      </c>
      <c r="AG5276" s="182" t="n">
        <v>0</v>
      </c>
      <c r="AH5276" s="182" t="n">
        <v>0</v>
      </c>
      <c r="AI5276" s="182" t="n">
        <v>7.71</v>
      </c>
      <c r="AJ5276" s="182" t="n">
        <v>0</v>
      </c>
      <c r="AK5276" s="182" t="n">
        <v>0</v>
      </c>
      <c r="AL5276" s="182" t="n">
        <v>0</v>
      </c>
      <c r="AM5276" s="182" t="n">
        <v>0.08</v>
      </c>
      <c r="AN5276" s="182" t="n">
        <v>0</v>
      </c>
    </row>
    <row r="5277">
      <c r="A5277" s="155" t="n">
        <v>46105</v>
      </c>
      <c r="B5277" s="156" t="inlineStr">
        <is>
          <t>NS</t>
        </is>
      </c>
      <c r="C5277" s="156" t="inlineStr">
        <is>
          <t>WL-025</t>
        </is>
      </c>
      <c r="D5277" s="156" t="inlineStr">
        <is>
          <t>SANY - Loader</t>
        </is>
      </c>
      <c r="E5277" s="156" t="inlineStr">
        <is>
          <t>Loader</t>
        </is>
      </c>
      <c r="F5277" s="156" t="inlineStr"/>
      <c r="G5277" s="182" t="n">
        <v>0</v>
      </c>
      <c r="H5277" s="182" t="n">
        <v>0</v>
      </c>
      <c r="I5277" s="182" t="n">
        <v>12</v>
      </c>
      <c r="J5277" s="182" t="n">
        <v>12</v>
      </c>
      <c r="K5277" s="182" t="n">
        <v>0</v>
      </c>
      <c r="L5277" s="182" t="n">
        <v>12</v>
      </c>
      <c r="M5277" s="182" t="n">
        <v>0</v>
      </c>
      <c r="N5277" s="182" t="n">
        <v>0</v>
      </c>
      <c r="O5277" s="183" t="n">
        <v>0</v>
      </c>
      <c r="P5277" s="183" t="n">
        <v>0</v>
      </c>
      <c r="Q5277" s="184" t="n">
        <v>0</v>
      </c>
      <c r="R5277" s="184" t="n">
        <v>0</v>
      </c>
      <c r="S5277" s="183" t="n">
        <v>0</v>
      </c>
      <c r="T5277" s="183" t="n">
        <v>0</v>
      </c>
      <c r="U5277" s="182" t="n">
        <v>0</v>
      </c>
      <c r="V5277" s="182" t="n">
        <v>0</v>
      </c>
      <c r="W5277" s="182" t="n">
        <v>0</v>
      </c>
      <c r="X5277" s="182" t="n">
        <v>0</v>
      </c>
      <c r="Y5277" s="182" t="n">
        <v>0</v>
      </c>
      <c r="Z5277" s="182" t="n">
        <v>0</v>
      </c>
      <c r="AA5277" s="182" t="n">
        <v>0</v>
      </c>
      <c r="AB5277" s="182" t="n">
        <v>0</v>
      </c>
      <c r="AC5277" s="182" t="n">
        <v>0</v>
      </c>
      <c r="AD5277" s="182" t="n">
        <v>0</v>
      </c>
      <c r="AE5277" s="182" t="n">
        <v>0</v>
      </c>
      <c r="AF5277" s="182" t="n">
        <v>0</v>
      </c>
      <c r="AG5277" s="182" t="n">
        <v>0</v>
      </c>
      <c r="AH5277" s="182" t="n">
        <v>0</v>
      </c>
      <c r="AI5277" s="182" t="n">
        <v>0</v>
      </c>
      <c r="AJ5277" s="182" t="n">
        <v>0</v>
      </c>
      <c r="AK5277" s="182" t="n">
        <v>0</v>
      </c>
      <c r="AL5277" s="182" t="n">
        <v>0</v>
      </c>
      <c r="AM5277" s="182" t="n">
        <v>0</v>
      </c>
      <c r="AN5277" s="182" t="n">
        <v>0</v>
      </c>
    </row>
    <row r="5278">
      <c r="A5278" s="155" t="n">
        <v>46105</v>
      </c>
      <c r="B5278" s="156" t="inlineStr">
        <is>
          <t>NS</t>
        </is>
      </c>
      <c r="C5278" s="156" t="inlineStr">
        <is>
          <t>WL-023</t>
        </is>
      </c>
      <c r="D5278" s="156" t="inlineStr">
        <is>
          <t>SANY - Loader</t>
        </is>
      </c>
      <c r="E5278" s="156" t="inlineStr">
        <is>
          <t>Loader</t>
        </is>
      </c>
      <c r="F5278" s="156" t="inlineStr">
        <is>
          <t>Trimming Coal di Jetty</t>
        </is>
      </c>
      <c r="G5278" s="182" t="n">
        <v>10.16</v>
      </c>
      <c r="H5278" s="182" t="n">
        <v>0</v>
      </c>
      <c r="I5278" s="182" t="n">
        <v>0</v>
      </c>
      <c r="J5278" s="182" t="n">
        <v>0</v>
      </c>
      <c r="K5278" s="182" t="n">
        <v>1.84</v>
      </c>
      <c r="L5278" s="182" t="n">
        <v>12</v>
      </c>
      <c r="M5278" s="182" t="n">
        <v>0</v>
      </c>
      <c r="N5278" s="182" t="n">
        <v>0</v>
      </c>
      <c r="O5278" s="183" t="n">
        <v>0</v>
      </c>
      <c r="P5278" s="183" t="n">
        <v>0</v>
      </c>
      <c r="Q5278" s="184" t="n">
        <v>0</v>
      </c>
      <c r="R5278" s="184" t="n">
        <v>0</v>
      </c>
      <c r="S5278" s="183" t="n">
        <v>0</v>
      </c>
      <c r="T5278" s="183" t="n">
        <v>0</v>
      </c>
      <c r="U5278" s="182" t="n">
        <v>0</v>
      </c>
      <c r="V5278" s="182" t="n">
        <v>0</v>
      </c>
      <c r="W5278" s="182" t="n">
        <v>0</v>
      </c>
      <c r="X5278" s="182" t="n">
        <v>0.97</v>
      </c>
      <c r="Y5278" s="182" t="n">
        <v>0</v>
      </c>
      <c r="Z5278" s="182" t="n">
        <v>0</v>
      </c>
      <c r="AA5278" s="182" t="n">
        <v>0</v>
      </c>
      <c r="AB5278" s="182" t="n">
        <v>0</v>
      </c>
      <c r="AC5278" s="182" t="n">
        <v>0</v>
      </c>
      <c r="AD5278" s="182" t="n">
        <v>0</v>
      </c>
      <c r="AE5278" s="182" t="n">
        <v>0</v>
      </c>
      <c r="AF5278" s="182" t="n">
        <v>0</v>
      </c>
      <c r="AG5278" s="182" t="n">
        <v>0</v>
      </c>
      <c r="AH5278" s="182" t="n">
        <v>0</v>
      </c>
      <c r="AI5278" s="182" t="n">
        <v>0</v>
      </c>
      <c r="AJ5278" s="182" t="n">
        <v>0</v>
      </c>
      <c r="AK5278" s="182" t="n">
        <v>0.79</v>
      </c>
      <c r="AL5278" s="182" t="n">
        <v>0</v>
      </c>
      <c r="AM5278" s="182" t="n">
        <v>0.08</v>
      </c>
      <c r="AN5278" s="182" t="n">
        <v>0</v>
      </c>
    </row>
    <row r="5279">
      <c r="A5279" s="155" t="n">
        <v>46105</v>
      </c>
      <c r="B5279" s="156" t="inlineStr">
        <is>
          <t>NS</t>
        </is>
      </c>
      <c r="C5279" s="156" t="inlineStr">
        <is>
          <t>WL-021</t>
        </is>
      </c>
      <c r="D5279" s="156" t="inlineStr">
        <is>
          <t>SANY - Loader</t>
        </is>
      </c>
      <c r="E5279" s="156" t="inlineStr">
        <is>
          <t>Loader</t>
        </is>
      </c>
      <c r="F5279" s="156" t="inlineStr"/>
      <c r="G5279" s="182" t="n">
        <v>0</v>
      </c>
      <c r="H5279" s="182" t="n">
        <v>0</v>
      </c>
      <c r="I5279" s="182" t="n">
        <v>12</v>
      </c>
      <c r="J5279" s="182" t="n">
        <v>12</v>
      </c>
      <c r="K5279" s="182" t="n">
        <v>0</v>
      </c>
      <c r="L5279" s="182" t="n">
        <v>12</v>
      </c>
      <c r="M5279" s="182" t="n">
        <v>0</v>
      </c>
      <c r="N5279" s="182" t="n">
        <v>0</v>
      </c>
      <c r="O5279" s="183" t="n">
        <v>0</v>
      </c>
      <c r="P5279" s="183" t="n">
        <v>0</v>
      </c>
      <c r="Q5279" s="184" t="n">
        <v>0</v>
      </c>
      <c r="R5279" s="184" t="n">
        <v>0</v>
      </c>
      <c r="S5279" s="183" t="n">
        <v>0</v>
      </c>
      <c r="T5279" s="183" t="n">
        <v>0</v>
      </c>
      <c r="U5279" s="182" t="n">
        <v>0</v>
      </c>
      <c r="V5279" s="182" t="n">
        <v>0</v>
      </c>
      <c r="W5279" s="182" t="n">
        <v>0</v>
      </c>
      <c r="X5279" s="182" t="n">
        <v>0</v>
      </c>
      <c r="Y5279" s="182" t="n">
        <v>0</v>
      </c>
      <c r="Z5279" s="182" t="n">
        <v>0</v>
      </c>
      <c r="AA5279" s="182" t="n">
        <v>0</v>
      </c>
      <c r="AB5279" s="182" t="n">
        <v>0</v>
      </c>
      <c r="AC5279" s="182" t="n">
        <v>0</v>
      </c>
      <c r="AD5279" s="182" t="n">
        <v>0</v>
      </c>
      <c r="AE5279" s="182" t="n">
        <v>0</v>
      </c>
      <c r="AF5279" s="182" t="n">
        <v>0</v>
      </c>
      <c r="AG5279" s="182" t="n">
        <v>0</v>
      </c>
      <c r="AH5279" s="182" t="n">
        <v>0</v>
      </c>
      <c r="AI5279" s="182" t="n">
        <v>0</v>
      </c>
      <c r="AJ5279" s="182" t="n">
        <v>0</v>
      </c>
      <c r="AK5279" s="182" t="n">
        <v>0</v>
      </c>
      <c r="AL5279" s="182" t="n">
        <v>0</v>
      </c>
      <c r="AM5279" s="182" t="n">
        <v>0</v>
      </c>
      <c r="AN5279" s="182" t="n">
        <v>0</v>
      </c>
    </row>
    <row r="5280">
      <c r="A5280" s="155" t="n">
        <v>46105</v>
      </c>
      <c r="B5280" s="156" t="inlineStr">
        <is>
          <t>NS</t>
        </is>
      </c>
      <c r="C5280" s="156" t="inlineStr">
        <is>
          <t>WL-022</t>
        </is>
      </c>
      <c r="D5280" s="156" t="inlineStr">
        <is>
          <t>SANY - Loader</t>
        </is>
      </c>
      <c r="E5280" s="156" t="inlineStr">
        <is>
          <t>Loader</t>
        </is>
      </c>
      <c r="F5280" s="156" t="inlineStr">
        <is>
          <t>Trimming Coal di ROM</t>
        </is>
      </c>
      <c r="G5280" s="182" t="n">
        <v>10.66</v>
      </c>
      <c r="H5280" s="182" t="n">
        <v>0</v>
      </c>
      <c r="I5280" s="182" t="n">
        <v>0</v>
      </c>
      <c r="J5280" s="182" t="n">
        <v>0</v>
      </c>
      <c r="K5280" s="182" t="n">
        <v>1.34</v>
      </c>
      <c r="L5280" s="182" t="n">
        <v>12</v>
      </c>
      <c r="M5280" s="182" t="n">
        <v>0</v>
      </c>
      <c r="N5280" s="182" t="n">
        <v>0</v>
      </c>
      <c r="O5280" s="183" t="n">
        <v>0</v>
      </c>
      <c r="P5280" s="183" t="n">
        <v>0</v>
      </c>
      <c r="Q5280" s="184" t="n">
        <v>0</v>
      </c>
      <c r="R5280" s="184" t="n">
        <v>0</v>
      </c>
      <c r="S5280" s="183" t="n">
        <v>0</v>
      </c>
      <c r="T5280" s="183" t="n">
        <v>0</v>
      </c>
      <c r="U5280" s="182" t="n">
        <v>0</v>
      </c>
      <c r="V5280" s="182" t="n">
        <v>0</v>
      </c>
      <c r="W5280" s="182" t="n">
        <v>0</v>
      </c>
      <c r="X5280" s="182" t="n">
        <v>0.84</v>
      </c>
      <c r="Y5280" s="182" t="n">
        <v>0</v>
      </c>
      <c r="Z5280" s="182" t="n">
        <v>0</v>
      </c>
      <c r="AA5280" s="182" t="n">
        <v>0</v>
      </c>
      <c r="AB5280" s="182" t="n">
        <v>0</v>
      </c>
      <c r="AC5280" s="182" t="n">
        <v>0</v>
      </c>
      <c r="AD5280" s="182" t="n">
        <v>0</v>
      </c>
      <c r="AE5280" s="182" t="n">
        <v>0</v>
      </c>
      <c r="AF5280" s="182" t="n">
        <v>0</v>
      </c>
      <c r="AG5280" s="182" t="n">
        <v>0</v>
      </c>
      <c r="AH5280" s="182" t="n">
        <v>0.44</v>
      </c>
      <c r="AI5280" s="182" t="n">
        <v>0</v>
      </c>
      <c r="AJ5280" s="182" t="n">
        <v>0</v>
      </c>
      <c r="AK5280" s="182" t="n">
        <v>0</v>
      </c>
      <c r="AL5280" s="182" t="n">
        <v>0</v>
      </c>
      <c r="AM5280" s="182" t="n">
        <v>0.07000000000000001</v>
      </c>
      <c r="AN5280" s="182" t="n">
        <v>0</v>
      </c>
    </row>
    <row r="5281">
      <c r="A5281" s="155" t="n">
        <v>46105</v>
      </c>
      <c r="B5281" s="156" t="inlineStr">
        <is>
          <t>NS</t>
        </is>
      </c>
      <c r="C5281" s="156" t="inlineStr">
        <is>
          <t>WL-024</t>
        </is>
      </c>
      <c r="D5281" s="156" t="inlineStr">
        <is>
          <t>SANY - Loader</t>
        </is>
      </c>
      <c r="E5281" s="156" t="inlineStr">
        <is>
          <t>Loader</t>
        </is>
      </c>
      <c r="F5281" s="156" t="inlineStr">
        <is>
          <t>Trimming Coal di Washing Plant</t>
        </is>
      </c>
      <c r="G5281" s="182" t="n">
        <v>10.46</v>
      </c>
      <c r="H5281" s="182" t="n">
        <v>0</v>
      </c>
      <c r="I5281" s="182" t="n">
        <v>0</v>
      </c>
      <c r="J5281" s="182" t="n">
        <v>0</v>
      </c>
      <c r="K5281" s="182" t="n">
        <v>1.54</v>
      </c>
      <c r="L5281" s="182" t="n">
        <v>12</v>
      </c>
      <c r="M5281" s="182" t="n">
        <v>0</v>
      </c>
      <c r="N5281" s="182" t="n">
        <v>0</v>
      </c>
      <c r="O5281" s="183" t="n">
        <v>0</v>
      </c>
      <c r="P5281" s="183" t="n">
        <v>0</v>
      </c>
      <c r="Q5281" s="184" t="n">
        <v>0</v>
      </c>
      <c r="R5281" s="184" t="n">
        <v>0</v>
      </c>
      <c r="S5281" s="183" t="n">
        <v>0</v>
      </c>
      <c r="T5281" s="183" t="n">
        <v>0</v>
      </c>
      <c r="U5281" s="182" t="n">
        <v>0</v>
      </c>
      <c r="V5281" s="182" t="n">
        <v>0</v>
      </c>
      <c r="W5281" s="182" t="n">
        <v>0</v>
      </c>
      <c r="X5281" s="182" t="n">
        <v>0.77</v>
      </c>
      <c r="Y5281" s="182" t="n">
        <v>0</v>
      </c>
      <c r="Z5281" s="182" t="n">
        <v>0</v>
      </c>
      <c r="AA5281" s="182" t="n">
        <v>0</v>
      </c>
      <c r="AB5281" s="182" t="n">
        <v>0</v>
      </c>
      <c r="AC5281" s="182" t="n">
        <v>0</v>
      </c>
      <c r="AD5281" s="182" t="n">
        <v>0</v>
      </c>
      <c r="AE5281" s="182" t="n">
        <v>0</v>
      </c>
      <c r="AF5281" s="182" t="n">
        <v>0</v>
      </c>
      <c r="AG5281" s="182" t="n">
        <v>0</v>
      </c>
      <c r="AH5281" s="182" t="n">
        <v>0.71</v>
      </c>
      <c r="AI5281" s="182" t="n">
        <v>0</v>
      </c>
      <c r="AJ5281" s="182" t="n">
        <v>0</v>
      </c>
      <c r="AK5281" s="182" t="n">
        <v>0</v>
      </c>
      <c r="AL5281" s="182" t="n">
        <v>0</v>
      </c>
      <c r="AM5281" s="182" t="n">
        <v>0.06</v>
      </c>
      <c r="AN5281" s="182" t="n">
        <v>0</v>
      </c>
    </row>
    <row r="5282">
      <c r="A5282" s="155" t="n">
        <v>46106</v>
      </c>
      <c r="B5282" s="156" t="inlineStr">
        <is>
          <t>DS</t>
        </is>
      </c>
      <c r="C5282" s="156" t="inlineStr">
        <is>
          <t>DZ-034</t>
        </is>
      </c>
      <c r="D5282" s="156" t="inlineStr">
        <is>
          <t>D 68ESS-12EO</t>
        </is>
      </c>
      <c r="E5282" s="156" t="inlineStr">
        <is>
          <t>Bulldozer</t>
        </is>
      </c>
      <c r="F5282" s="156" t="inlineStr"/>
      <c r="G5282" s="182" t="n">
        <v>0</v>
      </c>
      <c r="H5282" s="182" t="n">
        <v>0</v>
      </c>
      <c r="I5282" s="182" t="n">
        <v>12</v>
      </c>
      <c r="J5282" s="182" t="n">
        <v>12</v>
      </c>
      <c r="K5282" s="182" t="n">
        <v>0</v>
      </c>
      <c r="L5282" s="182" t="n">
        <v>12</v>
      </c>
      <c r="M5282" s="182" t="n">
        <v>0</v>
      </c>
      <c r="N5282" s="182" t="n">
        <v>0</v>
      </c>
      <c r="O5282" s="183" t="n">
        <v>0</v>
      </c>
      <c r="P5282" s="183" t="n">
        <v>0</v>
      </c>
      <c r="Q5282" s="184" t="n">
        <v>0</v>
      </c>
      <c r="R5282" s="184" t="n">
        <v>0</v>
      </c>
      <c r="S5282" s="183" t="n">
        <v>0</v>
      </c>
      <c r="T5282" s="183" t="n">
        <v>0</v>
      </c>
      <c r="U5282" s="182" t="n">
        <v>0</v>
      </c>
      <c r="V5282" s="182" t="n">
        <v>0</v>
      </c>
      <c r="W5282" s="182" t="n">
        <v>0</v>
      </c>
      <c r="X5282" s="182" t="n">
        <v>0</v>
      </c>
      <c r="Y5282" s="182" t="n">
        <v>0</v>
      </c>
      <c r="Z5282" s="182" t="n">
        <v>0</v>
      </c>
      <c r="AA5282" s="182" t="n">
        <v>0</v>
      </c>
      <c r="AB5282" s="182" t="n">
        <v>0</v>
      </c>
      <c r="AC5282" s="182" t="n">
        <v>0</v>
      </c>
      <c r="AD5282" s="182" t="n">
        <v>0</v>
      </c>
      <c r="AE5282" s="182" t="n">
        <v>0</v>
      </c>
      <c r="AF5282" s="182" t="n">
        <v>0</v>
      </c>
      <c r="AG5282" s="182" t="n">
        <v>0</v>
      </c>
      <c r="AH5282" s="182" t="n">
        <v>0</v>
      </c>
      <c r="AI5282" s="182" t="n">
        <v>0</v>
      </c>
      <c r="AJ5282" s="182" t="n">
        <v>0</v>
      </c>
      <c r="AK5282" s="182" t="n">
        <v>0</v>
      </c>
      <c r="AL5282" s="182" t="n">
        <v>0</v>
      </c>
      <c r="AM5282" s="182" t="n">
        <v>0</v>
      </c>
      <c r="AN5282" s="182" t="n">
        <v>0</v>
      </c>
    </row>
    <row r="5283">
      <c r="A5283" s="155" t="n">
        <v>46106</v>
      </c>
      <c r="B5283" s="156" t="inlineStr">
        <is>
          <t>DS</t>
        </is>
      </c>
      <c r="C5283" s="156" t="inlineStr">
        <is>
          <t>DZ-033</t>
        </is>
      </c>
      <c r="D5283" s="156" t="inlineStr">
        <is>
          <t>D 375A-6R</t>
        </is>
      </c>
      <c r="E5283" s="156" t="inlineStr">
        <is>
          <t>Bulldozer</t>
        </is>
      </c>
      <c r="F5283" s="156" t="inlineStr">
        <is>
          <t>Support Disposal</t>
        </is>
      </c>
      <c r="G5283" s="182" t="n">
        <v>9.359999999999999</v>
      </c>
      <c r="H5283" s="182" t="n">
        <v>0</v>
      </c>
      <c r="I5283" s="182" t="n">
        <v>0</v>
      </c>
      <c r="J5283" s="182" t="n">
        <v>0</v>
      </c>
      <c r="K5283" s="182" t="n">
        <v>2.64</v>
      </c>
      <c r="L5283" s="182" t="n">
        <v>12</v>
      </c>
      <c r="M5283" s="182" t="n">
        <v>0</v>
      </c>
      <c r="N5283" s="182" t="n">
        <v>0</v>
      </c>
      <c r="O5283" s="183" t="n">
        <v>0</v>
      </c>
      <c r="P5283" s="183" t="n">
        <v>0</v>
      </c>
      <c r="Q5283" s="184" t="n">
        <v>0</v>
      </c>
      <c r="R5283" s="184" t="n">
        <v>0</v>
      </c>
      <c r="S5283" s="183" t="n">
        <v>0</v>
      </c>
      <c r="T5283" s="183" t="n">
        <v>0</v>
      </c>
      <c r="U5283" s="182" t="n">
        <v>0</v>
      </c>
      <c r="V5283" s="182" t="n">
        <v>0</v>
      </c>
      <c r="W5283" s="182" t="n">
        <v>0</v>
      </c>
      <c r="X5283" s="182" t="n">
        <v>0.88</v>
      </c>
      <c r="Y5283" s="182" t="n">
        <v>0</v>
      </c>
      <c r="Z5283" s="182" t="n">
        <v>0</v>
      </c>
      <c r="AA5283" s="182" t="n">
        <v>0</v>
      </c>
      <c r="AB5283" s="182" t="n">
        <v>0</v>
      </c>
      <c r="AC5283" s="182" t="n">
        <v>1.69</v>
      </c>
      <c r="AD5283" s="182" t="n">
        <v>0</v>
      </c>
      <c r="AE5283" s="182" t="n">
        <v>0</v>
      </c>
      <c r="AF5283" s="182" t="n">
        <v>0</v>
      </c>
      <c r="AG5283" s="182" t="n">
        <v>0</v>
      </c>
      <c r="AH5283" s="182" t="n">
        <v>0</v>
      </c>
      <c r="AI5283" s="182" t="n">
        <v>0</v>
      </c>
      <c r="AJ5283" s="182" t="n">
        <v>0</v>
      </c>
      <c r="AK5283" s="182" t="n">
        <v>0</v>
      </c>
      <c r="AL5283" s="182" t="n">
        <v>0</v>
      </c>
      <c r="AM5283" s="182" t="n">
        <v>0.07000000000000001</v>
      </c>
      <c r="AN5283" s="182" t="n">
        <v>0</v>
      </c>
    </row>
    <row r="5284">
      <c r="A5284" s="155" t="n">
        <v>46106</v>
      </c>
      <c r="B5284" s="156" t="inlineStr">
        <is>
          <t>DS</t>
        </is>
      </c>
      <c r="C5284" s="156" t="inlineStr">
        <is>
          <t>DZ-038</t>
        </is>
      </c>
      <c r="D5284" s="156" t="inlineStr">
        <is>
          <t>D 85 ESS-2</t>
        </is>
      </c>
      <c r="E5284" s="156" t="inlineStr">
        <is>
          <t>Bulldozer</t>
        </is>
      </c>
      <c r="F5284" s="156" t="inlineStr"/>
      <c r="G5284" s="182" t="n">
        <v>0</v>
      </c>
      <c r="H5284" s="182" t="n">
        <v>0</v>
      </c>
      <c r="I5284" s="182" t="n">
        <v>12</v>
      </c>
      <c r="J5284" s="182" t="n">
        <v>12</v>
      </c>
      <c r="K5284" s="182" t="n">
        <v>0</v>
      </c>
      <c r="L5284" s="182" t="n">
        <v>12</v>
      </c>
      <c r="M5284" s="182" t="n">
        <v>0</v>
      </c>
      <c r="N5284" s="182" t="n">
        <v>0</v>
      </c>
      <c r="O5284" s="183" t="n">
        <v>0</v>
      </c>
      <c r="P5284" s="183" t="n">
        <v>0</v>
      </c>
      <c r="Q5284" s="184" t="n">
        <v>0</v>
      </c>
      <c r="R5284" s="184" t="n">
        <v>0</v>
      </c>
      <c r="S5284" s="183" t="n">
        <v>0</v>
      </c>
      <c r="T5284" s="183" t="n">
        <v>0</v>
      </c>
      <c r="U5284" s="182" t="n">
        <v>0</v>
      </c>
      <c r="V5284" s="182" t="n">
        <v>0</v>
      </c>
      <c r="W5284" s="182" t="n">
        <v>0</v>
      </c>
      <c r="X5284" s="182" t="n">
        <v>0</v>
      </c>
      <c r="Y5284" s="182" t="n">
        <v>0</v>
      </c>
      <c r="Z5284" s="182" t="n">
        <v>0</v>
      </c>
      <c r="AA5284" s="182" t="n">
        <v>0</v>
      </c>
      <c r="AB5284" s="182" t="n">
        <v>0</v>
      </c>
      <c r="AC5284" s="182" t="n">
        <v>0</v>
      </c>
      <c r="AD5284" s="182" t="n">
        <v>0</v>
      </c>
      <c r="AE5284" s="182" t="n">
        <v>0</v>
      </c>
      <c r="AF5284" s="182" t="n">
        <v>0</v>
      </c>
      <c r="AG5284" s="182" t="n">
        <v>0</v>
      </c>
      <c r="AH5284" s="182" t="n">
        <v>0</v>
      </c>
      <c r="AI5284" s="182" t="n">
        <v>0</v>
      </c>
      <c r="AJ5284" s="182" t="n">
        <v>0</v>
      </c>
      <c r="AK5284" s="182" t="n">
        <v>0</v>
      </c>
      <c r="AL5284" s="182" t="n">
        <v>0</v>
      </c>
      <c r="AM5284" s="182" t="n">
        <v>0</v>
      </c>
      <c r="AN5284" s="182" t="n">
        <v>0</v>
      </c>
    </row>
    <row r="5285">
      <c r="A5285" s="155" t="n">
        <v>46106</v>
      </c>
      <c r="B5285" s="156" t="inlineStr">
        <is>
          <t>DS</t>
        </is>
      </c>
      <c r="C5285" s="156" t="inlineStr">
        <is>
          <t>DZ-039</t>
        </is>
      </c>
      <c r="D5285" s="156" t="inlineStr">
        <is>
          <t>D 85 ESS-2</t>
        </is>
      </c>
      <c r="E5285" s="156" t="inlineStr">
        <is>
          <t>Bulldozer</t>
        </is>
      </c>
      <c r="F5285" s="156" t="inlineStr"/>
      <c r="G5285" s="182" t="n">
        <v>0</v>
      </c>
      <c r="H5285" s="182" t="n">
        <v>10</v>
      </c>
      <c r="I5285" s="182" t="n">
        <v>0</v>
      </c>
      <c r="J5285" s="182" t="n">
        <v>10</v>
      </c>
      <c r="K5285" s="182" t="n">
        <v>2</v>
      </c>
      <c r="L5285" s="182" t="n">
        <v>12</v>
      </c>
      <c r="M5285" s="182" t="n">
        <v>0</v>
      </c>
      <c r="N5285" s="182" t="n">
        <v>0</v>
      </c>
      <c r="O5285" s="183" t="n">
        <v>0</v>
      </c>
      <c r="P5285" s="183" t="n">
        <v>0</v>
      </c>
      <c r="Q5285" s="184" t="n">
        <v>0</v>
      </c>
      <c r="R5285" s="184" t="n">
        <v>0</v>
      </c>
      <c r="S5285" s="183" t="n">
        <v>0</v>
      </c>
      <c r="T5285" s="183" t="n">
        <v>0</v>
      </c>
      <c r="U5285" s="182" t="n">
        <v>0</v>
      </c>
      <c r="V5285" s="182" t="n">
        <v>0</v>
      </c>
      <c r="W5285" s="182" t="n">
        <v>0</v>
      </c>
      <c r="X5285" s="182" t="n">
        <v>1</v>
      </c>
      <c r="Y5285" s="182" t="n">
        <v>0</v>
      </c>
      <c r="Z5285" s="182" t="n">
        <v>0</v>
      </c>
      <c r="AA5285" s="182" t="n">
        <v>0</v>
      </c>
      <c r="AB5285" s="182" t="n">
        <v>0</v>
      </c>
      <c r="AC5285" s="182" t="n">
        <v>0</v>
      </c>
      <c r="AD5285" s="182" t="n">
        <v>0</v>
      </c>
      <c r="AE5285" s="182" t="n">
        <v>0</v>
      </c>
      <c r="AF5285" s="182" t="n">
        <v>0</v>
      </c>
      <c r="AG5285" s="182" t="n">
        <v>0</v>
      </c>
      <c r="AH5285" s="182" t="n">
        <v>0.92</v>
      </c>
      <c r="AI5285" s="182" t="n">
        <v>0</v>
      </c>
      <c r="AJ5285" s="182" t="n">
        <v>0</v>
      </c>
      <c r="AK5285" s="182" t="n">
        <v>0</v>
      </c>
      <c r="AL5285" s="182" t="n">
        <v>0</v>
      </c>
      <c r="AM5285" s="182" t="n">
        <v>0.08</v>
      </c>
      <c r="AN5285" s="182" t="n">
        <v>0</v>
      </c>
    </row>
    <row r="5286">
      <c r="A5286" s="155" t="n">
        <v>46106</v>
      </c>
      <c r="B5286" s="156" t="inlineStr">
        <is>
          <t>DS</t>
        </is>
      </c>
      <c r="C5286" s="156" t="inlineStr">
        <is>
          <t>DZ-032</t>
        </is>
      </c>
      <c r="D5286" s="156" t="inlineStr">
        <is>
          <t>CAT</t>
        </is>
      </c>
      <c r="E5286" s="156" t="inlineStr">
        <is>
          <t>Bulldozer</t>
        </is>
      </c>
      <c r="F5286" s="156" t="inlineStr">
        <is>
          <t>Support Front Loading</t>
        </is>
      </c>
      <c r="G5286" s="182" t="n">
        <v>5.92</v>
      </c>
      <c r="H5286" s="182" t="n">
        <v>0</v>
      </c>
      <c r="I5286" s="182" t="n">
        <v>5.5</v>
      </c>
      <c r="J5286" s="182" t="n">
        <v>5.5</v>
      </c>
      <c r="K5286" s="182" t="n">
        <v>0.58</v>
      </c>
      <c r="L5286" s="182" t="n">
        <v>12</v>
      </c>
      <c r="M5286" s="182" t="n">
        <v>0</v>
      </c>
      <c r="N5286" s="182" t="n">
        <v>0</v>
      </c>
      <c r="O5286" s="183" t="n">
        <v>0</v>
      </c>
      <c r="P5286" s="183" t="n">
        <v>0</v>
      </c>
      <c r="Q5286" s="184" t="n">
        <v>0</v>
      </c>
      <c r="R5286" s="184" t="n">
        <v>0</v>
      </c>
      <c r="S5286" s="183" t="n">
        <v>0</v>
      </c>
      <c r="T5286" s="183" t="n">
        <v>0</v>
      </c>
      <c r="U5286" s="182" t="n">
        <v>0</v>
      </c>
      <c r="V5286" s="182" t="n">
        <v>0</v>
      </c>
      <c r="W5286" s="182" t="n">
        <v>0</v>
      </c>
      <c r="X5286" s="182" t="n">
        <v>0.53</v>
      </c>
      <c r="Y5286" s="182" t="n">
        <v>0</v>
      </c>
      <c r="Z5286" s="182" t="n">
        <v>0</v>
      </c>
      <c r="AA5286" s="182" t="n">
        <v>0</v>
      </c>
      <c r="AB5286" s="182" t="n">
        <v>0</v>
      </c>
      <c r="AC5286" s="182" t="n">
        <v>0</v>
      </c>
      <c r="AD5286" s="182" t="n">
        <v>0</v>
      </c>
      <c r="AE5286" s="182" t="n">
        <v>0</v>
      </c>
      <c r="AF5286" s="182" t="n">
        <v>0</v>
      </c>
      <c r="AG5286" s="182" t="n">
        <v>0</v>
      </c>
      <c r="AH5286" s="182" t="n">
        <v>0</v>
      </c>
      <c r="AI5286" s="182" t="n">
        <v>0</v>
      </c>
      <c r="AJ5286" s="182" t="n">
        <v>0</v>
      </c>
      <c r="AK5286" s="182" t="n">
        <v>0</v>
      </c>
      <c r="AL5286" s="182" t="n">
        <v>0</v>
      </c>
      <c r="AM5286" s="182" t="n">
        <v>0.05</v>
      </c>
      <c r="AN5286" s="182" t="n">
        <v>0</v>
      </c>
    </row>
    <row r="5287">
      <c r="A5287" s="155" t="n">
        <v>46106</v>
      </c>
      <c r="B5287" s="156" t="inlineStr">
        <is>
          <t>DS</t>
        </is>
      </c>
      <c r="C5287" s="156" t="inlineStr">
        <is>
          <t>DZ-031</t>
        </is>
      </c>
      <c r="D5287" s="156" t="inlineStr">
        <is>
          <t>CAT</t>
        </is>
      </c>
      <c r="E5287" s="156" t="inlineStr">
        <is>
          <t>Bulldozer</t>
        </is>
      </c>
      <c r="F5287" s="156" t="inlineStr">
        <is>
          <t>Support Workshop</t>
        </is>
      </c>
      <c r="G5287" s="182" t="n">
        <v>9.859999999999999</v>
      </c>
      <c r="H5287" s="182" t="n">
        <v>0</v>
      </c>
      <c r="I5287" s="182" t="n">
        <v>0</v>
      </c>
      <c r="J5287" s="182" t="n">
        <v>0</v>
      </c>
      <c r="K5287" s="182" t="n">
        <v>2.14</v>
      </c>
      <c r="L5287" s="182" t="n">
        <v>12</v>
      </c>
      <c r="M5287" s="182" t="n">
        <v>0</v>
      </c>
      <c r="N5287" s="182" t="n">
        <v>0</v>
      </c>
      <c r="O5287" s="183" t="n">
        <v>0</v>
      </c>
      <c r="P5287" s="183" t="n">
        <v>0</v>
      </c>
      <c r="Q5287" s="184" t="n">
        <v>0</v>
      </c>
      <c r="R5287" s="184" t="n">
        <v>0</v>
      </c>
      <c r="S5287" s="183" t="n">
        <v>0</v>
      </c>
      <c r="T5287" s="183" t="n">
        <v>0</v>
      </c>
      <c r="U5287" s="182" t="n">
        <v>0</v>
      </c>
      <c r="V5287" s="182" t="n">
        <v>0</v>
      </c>
      <c r="W5287" s="182" t="n">
        <v>0</v>
      </c>
      <c r="X5287" s="182" t="n">
        <v>1.26</v>
      </c>
      <c r="Y5287" s="182" t="n">
        <v>0</v>
      </c>
      <c r="Z5287" s="182" t="n">
        <v>0</v>
      </c>
      <c r="AA5287" s="182" t="n">
        <v>0</v>
      </c>
      <c r="AB5287" s="182" t="n">
        <v>0</v>
      </c>
      <c r="AC5287" s="182" t="n">
        <v>0</v>
      </c>
      <c r="AD5287" s="182" t="n">
        <v>0</v>
      </c>
      <c r="AE5287" s="182" t="n">
        <v>0</v>
      </c>
      <c r="AF5287" s="182" t="n">
        <v>0</v>
      </c>
      <c r="AG5287" s="182" t="n">
        <v>0</v>
      </c>
      <c r="AH5287" s="182" t="n">
        <v>0.78</v>
      </c>
      <c r="AI5287" s="182" t="n">
        <v>0</v>
      </c>
      <c r="AJ5287" s="182" t="n">
        <v>0</v>
      </c>
      <c r="AK5287" s="182" t="n">
        <v>0</v>
      </c>
      <c r="AL5287" s="182" t="n">
        <v>0</v>
      </c>
      <c r="AM5287" s="182" t="n">
        <v>0.1</v>
      </c>
      <c r="AN5287" s="182" t="n">
        <v>0</v>
      </c>
    </row>
    <row r="5288">
      <c r="A5288" s="155" t="n">
        <v>46106</v>
      </c>
      <c r="B5288" s="156" t="inlineStr">
        <is>
          <t>DS</t>
        </is>
      </c>
      <c r="C5288" s="156" t="inlineStr">
        <is>
          <t>DZ-037</t>
        </is>
      </c>
      <c r="D5288" s="156" t="inlineStr">
        <is>
          <t>D 85 ESS-2</t>
        </is>
      </c>
      <c r="E5288" s="156" t="inlineStr">
        <is>
          <t>Bulldozer</t>
        </is>
      </c>
      <c r="F5288" s="156" t="inlineStr"/>
      <c r="G5288" s="182" t="n">
        <v>0</v>
      </c>
      <c r="H5288" s="182" t="n">
        <v>0</v>
      </c>
      <c r="I5288" s="182" t="n">
        <v>12</v>
      </c>
      <c r="J5288" s="182" t="n">
        <v>12</v>
      </c>
      <c r="K5288" s="182" t="n">
        <v>0</v>
      </c>
      <c r="L5288" s="182" t="n">
        <v>12</v>
      </c>
      <c r="M5288" s="182" t="n">
        <v>0</v>
      </c>
      <c r="N5288" s="182" t="n">
        <v>0</v>
      </c>
      <c r="O5288" s="183" t="n">
        <v>0</v>
      </c>
      <c r="P5288" s="183" t="n">
        <v>0</v>
      </c>
      <c r="Q5288" s="184" t="n">
        <v>0</v>
      </c>
      <c r="R5288" s="184" t="n">
        <v>0</v>
      </c>
      <c r="S5288" s="183" t="n">
        <v>0</v>
      </c>
      <c r="T5288" s="183" t="n">
        <v>0</v>
      </c>
      <c r="U5288" s="182" t="n">
        <v>0</v>
      </c>
      <c r="V5288" s="182" t="n">
        <v>0</v>
      </c>
      <c r="W5288" s="182" t="n">
        <v>0</v>
      </c>
      <c r="X5288" s="182" t="n">
        <v>0</v>
      </c>
      <c r="Y5288" s="182" t="n">
        <v>0</v>
      </c>
      <c r="Z5288" s="182" t="n">
        <v>0</v>
      </c>
      <c r="AA5288" s="182" t="n">
        <v>0</v>
      </c>
      <c r="AB5288" s="182" t="n">
        <v>0</v>
      </c>
      <c r="AC5288" s="182" t="n">
        <v>0</v>
      </c>
      <c r="AD5288" s="182" t="n">
        <v>0</v>
      </c>
      <c r="AE5288" s="182" t="n">
        <v>0</v>
      </c>
      <c r="AF5288" s="182" t="n">
        <v>0</v>
      </c>
      <c r="AG5288" s="182" t="n">
        <v>0</v>
      </c>
      <c r="AH5288" s="182" t="n">
        <v>0</v>
      </c>
      <c r="AI5288" s="182" t="n">
        <v>0</v>
      </c>
      <c r="AJ5288" s="182" t="n">
        <v>0</v>
      </c>
      <c r="AK5288" s="182" t="n">
        <v>0</v>
      </c>
      <c r="AL5288" s="182" t="n">
        <v>0</v>
      </c>
      <c r="AM5288" s="182" t="n">
        <v>0</v>
      </c>
      <c r="AN5288" s="182" t="n">
        <v>0</v>
      </c>
    </row>
    <row r="5289">
      <c r="A5289" s="155" t="n">
        <v>46106</v>
      </c>
      <c r="B5289" s="156" t="inlineStr">
        <is>
          <t>DS</t>
        </is>
      </c>
      <c r="C5289" s="156" t="inlineStr">
        <is>
          <t>DZ-036</t>
        </is>
      </c>
      <c r="D5289" s="156" t="inlineStr">
        <is>
          <t>D 85 ESS-2</t>
        </is>
      </c>
      <c r="E5289" s="156" t="inlineStr">
        <is>
          <t>Bulldozer</t>
        </is>
      </c>
      <c r="F5289" s="156" t="inlineStr"/>
      <c r="G5289" s="182" t="n">
        <v>0</v>
      </c>
      <c r="H5289" s="182" t="n">
        <v>0</v>
      </c>
      <c r="I5289" s="182" t="n">
        <v>0</v>
      </c>
      <c r="J5289" s="182" t="n">
        <v>0</v>
      </c>
      <c r="K5289" s="182" t="n">
        <v>12</v>
      </c>
      <c r="L5289" s="182" t="n">
        <v>12</v>
      </c>
      <c r="M5289" s="182" t="n">
        <v>0</v>
      </c>
      <c r="N5289" s="182" t="n">
        <v>0</v>
      </c>
      <c r="O5289" s="183" t="n">
        <v>0</v>
      </c>
      <c r="P5289" s="183" t="n">
        <v>0</v>
      </c>
      <c r="Q5289" s="184" t="n">
        <v>0</v>
      </c>
      <c r="R5289" s="184" t="n">
        <v>0</v>
      </c>
      <c r="S5289" s="183" t="n">
        <v>0</v>
      </c>
      <c r="T5289" s="183" t="n">
        <v>0</v>
      </c>
      <c r="U5289" s="182" t="n">
        <v>0</v>
      </c>
      <c r="V5289" s="182" t="n">
        <v>0</v>
      </c>
      <c r="W5289" s="182" t="n">
        <v>0</v>
      </c>
      <c r="X5289" s="182" t="n">
        <v>1</v>
      </c>
      <c r="Y5289" s="182" t="n">
        <v>0</v>
      </c>
      <c r="Z5289" s="182" t="n">
        <v>0</v>
      </c>
      <c r="AA5289" s="182" t="n">
        <v>0</v>
      </c>
      <c r="AB5289" s="182" t="n">
        <v>0</v>
      </c>
      <c r="AC5289" s="182" t="n">
        <v>0</v>
      </c>
      <c r="AD5289" s="182" t="n">
        <v>0</v>
      </c>
      <c r="AE5289" s="182" t="n">
        <v>0</v>
      </c>
      <c r="AF5289" s="182" t="n">
        <v>0</v>
      </c>
      <c r="AG5289" s="182" t="n">
        <v>0</v>
      </c>
      <c r="AH5289" s="182" t="n">
        <v>0</v>
      </c>
      <c r="AI5289" s="182" t="n">
        <v>0</v>
      </c>
      <c r="AJ5289" s="182" t="n">
        <v>0</v>
      </c>
      <c r="AK5289" s="182" t="n">
        <v>10.92</v>
      </c>
      <c r="AL5289" s="182" t="n">
        <v>0</v>
      </c>
      <c r="AM5289" s="182" t="n">
        <v>0.08</v>
      </c>
      <c r="AN5289" s="182" t="n">
        <v>0</v>
      </c>
    </row>
    <row r="5290">
      <c r="A5290" s="155" t="n">
        <v>46106</v>
      </c>
      <c r="B5290" s="156" t="inlineStr">
        <is>
          <t>DS</t>
        </is>
      </c>
      <c r="C5290" s="156" t="inlineStr">
        <is>
          <t>DZ-035</t>
        </is>
      </c>
      <c r="D5290" s="156" t="inlineStr">
        <is>
          <t>D 85 ESS-2</t>
        </is>
      </c>
      <c r="E5290" s="156" t="inlineStr">
        <is>
          <t>Bulldozer</t>
        </is>
      </c>
      <c r="F5290" s="156" t="inlineStr">
        <is>
          <t>Support Front Loading</t>
        </is>
      </c>
      <c r="G5290" s="182" t="n">
        <v>9.69</v>
      </c>
      <c r="H5290" s="182" t="n">
        <v>0</v>
      </c>
      <c r="I5290" s="182" t="n">
        <v>0</v>
      </c>
      <c r="J5290" s="182" t="n">
        <v>0</v>
      </c>
      <c r="K5290" s="182" t="n">
        <v>2.31</v>
      </c>
      <c r="L5290" s="182" t="n">
        <v>12</v>
      </c>
      <c r="M5290" s="182" t="n">
        <v>0</v>
      </c>
      <c r="N5290" s="182" t="n">
        <v>0</v>
      </c>
      <c r="O5290" s="183" t="n">
        <v>0</v>
      </c>
      <c r="P5290" s="183" t="n">
        <v>0</v>
      </c>
      <c r="Q5290" s="184" t="n">
        <v>0</v>
      </c>
      <c r="R5290" s="184" t="n">
        <v>0</v>
      </c>
      <c r="S5290" s="183" t="n">
        <v>0</v>
      </c>
      <c r="T5290" s="183" t="n">
        <v>0</v>
      </c>
      <c r="U5290" s="182" t="n">
        <v>0</v>
      </c>
      <c r="V5290" s="182" t="n">
        <v>0</v>
      </c>
      <c r="W5290" s="182" t="n">
        <v>0</v>
      </c>
      <c r="X5290" s="182" t="n">
        <v>0.92</v>
      </c>
      <c r="Y5290" s="182" t="n">
        <v>0</v>
      </c>
      <c r="Z5290" s="182" t="n">
        <v>0</v>
      </c>
      <c r="AA5290" s="182" t="n">
        <v>0</v>
      </c>
      <c r="AB5290" s="182" t="n">
        <v>0</v>
      </c>
      <c r="AC5290" s="182" t="n">
        <v>1.31</v>
      </c>
      <c r="AD5290" s="182" t="n">
        <v>0</v>
      </c>
      <c r="AE5290" s="182" t="n">
        <v>0</v>
      </c>
      <c r="AF5290" s="182" t="n">
        <v>0</v>
      </c>
      <c r="AG5290" s="182" t="n">
        <v>0</v>
      </c>
      <c r="AH5290" s="182" t="n">
        <v>0</v>
      </c>
      <c r="AI5290" s="182" t="n">
        <v>0</v>
      </c>
      <c r="AJ5290" s="182" t="n">
        <v>0</v>
      </c>
      <c r="AK5290" s="182" t="n">
        <v>0</v>
      </c>
      <c r="AL5290" s="182" t="n">
        <v>0</v>
      </c>
      <c r="AM5290" s="182" t="n">
        <v>0.07000000000000001</v>
      </c>
      <c r="AN5290" s="182" t="n">
        <v>0</v>
      </c>
    </row>
    <row r="5291">
      <c r="A5291" s="155" t="n">
        <v>46106</v>
      </c>
      <c r="B5291" s="156" t="inlineStr">
        <is>
          <t>DS</t>
        </is>
      </c>
      <c r="C5291" s="156" t="inlineStr">
        <is>
          <t>CP-042</t>
        </is>
      </c>
      <c r="D5291" s="156" t="inlineStr">
        <is>
          <t>SANY - Compactor</t>
        </is>
      </c>
      <c r="E5291" s="156" t="inlineStr">
        <is>
          <t>Compactor</t>
        </is>
      </c>
      <c r="F5291" s="156" t="inlineStr"/>
      <c r="G5291" s="182" t="n">
        <v>0</v>
      </c>
      <c r="H5291" s="182" t="n">
        <v>0</v>
      </c>
      <c r="I5291" s="182" t="n">
        <v>0</v>
      </c>
      <c r="J5291" s="182" t="n">
        <v>0</v>
      </c>
      <c r="K5291" s="182" t="n">
        <v>12</v>
      </c>
      <c r="L5291" s="182" t="n">
        <v>12</v>
      </c>
      <c r="M5291" s="182" t="n">
        <v>0</v>
      </c>
      <c r="N5291" s="182" t="n">
        <v>0</v>
      </c>
      <c r="O5291" s="183" t="n">
        <v>0</v>
      </c>
      <c r="P5291" s="183" t="n">
        <v>0</v>
      </c>
      <c r="Q5291" s="184" t="n">
        <v>0</v>
      </c>
      <c r="R5291" s="184" t="n">
        <v>0</v>
      </c>
      <c r="S5291" s="183" t="n">
        <v>0</v>
      </c>
      <c r="T5291" s="183" t="n">
        <v>0</v>
      </c>
      <c r="U5291" s="182" t="n">
        <v>0</v>
      </c>
      <c r="V5291" s="182" t="n">
        <v>0</v>
      </c>
      <c r="W5291" s="182" t="n">
        <v>0</v>
      </c>
      <c r="X5291" s="182" t="n">
        <v>1</v>
      </c>
      <c r="Y5291" s="182" t="n">
        <v>0</v>
      </c>
      <c r="Z5291" s="182" t="n">
        <v>0</v>
      </c>
      <c r="AA5291" s="182" t="n">
        <v>0</v>
      </c>
      <c r="AB5291" s="182" t="n">
        <v>0</v>
      </c>
      <c r="AC5291" s="182" t="n">
        <v>0</v>
      </c>
      <c r="AD5291" s="182" t="n">
        <v>0</v>
      </c>
      <c r="AE5291" s="182" t="n">
        <v>0</v>
      </c>
      <c r="AF5291" s="182" t="n">
        <v>0</v>
      </c>
      <c r="AG5291" s="182" t="n">
        <v>0</v>
      </c>
      <c r="AH5291" s="182" t="n">
        <v>0</v>
      </c>
      <c r="AI5291" s="182" t="n">
        <v>0</v>
      </c>
      <c r="AJ5291" s="182" t="n">
        <v>0</v>
      </c>
      <c r="AK5291" s="182" t="n">
        <v>10.92</v>
      </c>
      <c r="AL5291" s="182" t="n">
        <v>0</v>
      </c>
      <c r="AM5291" s="182" t="n">
        <v>0.08</v>
      </c>
      <c r="AN5291" s="182" t="n">
        <v>0</v>
      </c>
    </row>
    <row r="5292">
      <c r="A5292" s="155" t="n">
        <v>46106</v>
      </c>
      <c r="B5292" s="156" t="inlineStr">
        <is>
          <t>DS</t>
        </is>
      </c>
      <c r="C5292" s="156" t="inlineStr">
        <is>
          <t>CP-041</t>
        </is>
      </c>
      <c r="D5292" s="156" t="inlineStr">
        <is>
          <t>SANY - Compactor</t>
        </is>
      </c>
      <c r="E5292" s="156" t="inlineStr">
        <is>
          <t>Compactor</t>
        </is>
      </c>
      <c r="F5292" s="156" t="inlineStr">
        <is>
          <t>General Road</t>
        </is>
      </c>
      <c r="G5292" s="182" t="n">
        <v>3.11</v>
      </c>
      <c r="H5292" s="182" t="n">
        <v>0</v>
      </c>
      <c r="I5292" s="182" t="n">
        <v>0.42</v>
      </c>
      <c r="J5292" s="182" t="n">
        <v>0.42</v>
      </c>
      <c r="K5292" s="182" t="n">
        <v>8.470000000000001</v>
      </c>
      <c r="L5292" s="182" t="n">
        <v>12</v>
      </c>
      <c r="M5292" s="182" t="n">
        <v>0</v>
      </c>
      <c r="N5292" s="182" t="n">
        <v>0</v>
      </c>
      <c r="O5292" s="183" t="n">
        <v>0</v>
      </c>
      <c r="P5292" s="183" t="n">
        <v>0</v>
      </c>
      <c r="Q5292" s="184" t="n">
        <v>0</v>
      </c>
      <c r="R5292" s="184" t="n">
        <v>0</v>
      </c>
      <c r="S5292" s="183" t="n">
        <v>0</v>
      </c>
      <c r="T5292" s="183" t="n">
        <v>0</v>
      </c>
      <c r="U5292" s="182" t="n">
        <v>0</v>
      </c>
      <c r="V5292" s="182" t="n">
        <v>0</v>
      </c>
      <c r="W5292" s="182" t="n">
        <v>0</v>
      </c>
      <c r="X5292" s="182" t="n">
        <v>0.99</v>
      </c>
      <c r="Y5292" s="182" t="n">
        <v>0</v>
      </c>
      <c r="Z5292" s="182" t="n">
        <v>0</v>
      </c>
      <c r="AA5292" s="182" t="n">
        <v>0</v>
      </c>
      <c r="AB5292" s="182" t="n">
        <v>0</v>
      </c>
      <c r="AC5292" s="182" t="n">
        <v>0</v>
      </c>
      <c r="AD5292" s="182" t="n">
        <v>0</v>
      </c>
      <c r="AE5292" s="182" t="n">
        <v>0</v>
      </c>
      <c r="AF5292" s="182" t="n">
        <v>0</v>
      </c>
      <c r="AG5292" s="182" t="n">
        <v>0</v>
      </c>
      <c r="AH5292" s="182" t="n">
        <v>0</v>
      </c>
      <c r="AI5292" s="182" t="n">
        <v>0</v>
      </c>
      <c r="AJ5292" s="182" t="n">
        <v>0</v>
      </c>
      <c r="AK5292" s="182" t="n">
        <v>7.4</v>
      </c>
      <c r="AL5292" s="182" t="n">
        <v>0</v>
      </c>
      <c r="AM5292" s="182" t="n">
        <v>0.08</v>
      </c>
      <c r="AN5292" s="182" t="n">
        <v>0</v>
      </c>
    </row>
    <row r="5293">
      <c r="A5293" s="155" t="n">
        <v>46106</v>
      </c>
      <c r="B5293" s="156" t="inlineStr">
        <is>
          <t>DS</t>
        </is>
      </c>
      <c r="C5293" s="156" t="inlineStr">
        <is>
          <t>HT-418</t>
        </is>
      </c>
      <c r="D5293" s="156" t="inlineStr">
        <is>
          <t>SY430</t>
        </is>
      </c>
      <c r="E5293" s="156" t="inlineStr">
        <is>
          <t>DT Hauling</t>
        </is>
      </c>
      <c r="F5293" s="156" t="inlineStr"/>
      <c r="G5293" s="182" t="n">
        <v>0</v>
      </c>
      <c r="H5293" s="182" t="n">
        <v>0</v>
      </c>
      <c r="I5293" s="182" t="n">
        <v>0</v>
      </c>
      <c r="J5293" s="182" t="n">
        <v>0</v>
      </c>
      <c r="K5293" s="182" t="n">
        <v>12</v>
      </c>
      <c r="L5293" s="182" t="n">
        <v>12</v>
      </c>
      <c r="M5293" s="182" t="n">
        <v>0</v>
      </c>
      <c r="N5293" s="182" t="n">
        <v>0</v>
      </c>
      <c r="O5293" s="183" t="n">
        <v>0</v>
      </c>
      <c r="P5293" s="183" t="n">
        <v>0</v>
      </c>
      <c r="Q5293" s="184" t="n">
        <v>0</v>
      </c>
      <c r="R5293" s="184" t="n">
        <v>0</v>
      </c>
      <c r="S5293" s="183" t="n">
        <v>0</v>
      </c>
      <c r="T5293" s="183" t="n">
        <v>0</v>
      </c>
      <c r="U5293" s="182" t="n">
        <v>0</v>
      </c>
      <c r="V5293" s="182" t="n">
        <v>0</v>
      </c>
      <c r="W5293" s="182" t="n">
        <v>0</v>
      </c>
      <c r="X5293" s="182" t="n">
        <v>1</v>
      </c>
      <c r="Y5293" s="182" t="n">
        <v>0</v>
      </c>
      <c r="Z5293" s="182" t="n">
        <v>0</v>
      </c>
      <c r="AA5293" s="182" t="n">
        <v>0</v>
      </c>
      <c r="AB5293" s="182" t="n">
        <v>0</v>
      </c>
      <c r="AC5293" s="182" t="n">
        <v>0</v>
      </c>
      <c r="AD5293" s="182" t="n">
        <v>0</v>
      </c>
      <c r="AE5293" s="182" t="n">
        <v>0</v>
      </c>
      <c r="AF5293" s="182" t="n">
        <v>0</v>
      </c>
      <c r="AG5293" s="182" t="n">
        <v>0</v>
      </c>
      <c r="AH5293" s="182" t="n">
        <v>0</v>
      </c>
      <c r="AI5293" s="182" t="n">
        <v>0</v>
      </c>
      <c r="AJ5293" s="182" t="n">
        <v>0</v>
      </c>
      <c r="AK5293" s="182" t="n">
        <v>10.92</v>
      </c>
      <c r="AL5293" s="182" t="n">
        <v>0</v>
      </c>
      <c r="AM5293" s="182" t="n">
        <v>0.08</v>
      </c>
      <c r="AN5293" s="182" t="n">
        <v>0</v>
      </c>
    </row>
    <row r="5294">
      <c r="A5294" s="155" t="n">
        <v>46106</v>
      </c>
      <c r="B5294" s="156" t="inlineStr">
        <is>
          <t>DS</t>
        </is>
      </c>
      <c r="C5294" s="156" t="inlineStr">
        <is>
          <t>HT-404</t>
        </is>
      </c>
      <c r="D5294" s="156" t="inlineStr">
        <is>
          <t>SY430</t>
        </is>
      </c>
      <c r="E5294" s="156" t="inlineStr">
        <is>
          <t>DT Hauling</t>
        </is>
      </c>
      <c r="F5294" s="156" t="inlineStr"/>
      <c r="G5294" s="182" t="n">
        <v>0</v>
      </c>
      <c r="H5294" s="182" t="n">
        <v>0</v>
      </c>
      <c r="I5294" s="182" t="n">
        <v>0</v>
      </c>
      <c r="J5294" s="182" t="n">
        <v>0</v>
      </c>
      <c r="K5294" s="182" t="n">
        <v>12</v>
      </c>
      <c r="L5294" s="182" t="n">
        <v>12</v>
      </c>
      <c r="M5294" s="182" t="n">
        <v>0</v>
      </c>
      <c r="N5294" s="182" t="n">
        <v>0</v>
      </c>
      <c r="O5294" s="183" t="n">
        <v>0</v>
      </c>
      <c r="P5294" s="183" t="n">
        <v>0</v>
      </c>
      <c r="Q5294" s="184" t="n">
        <v>0</v>
      </c>
      <c r="R5294" s="184" t="n">
        <v>0</v>
      </c>
      <c r="S5294" s="183" t="n">
        <v>0</v>
      </c>
      <c r="T5294" s="183" t="n">
        <v>0</v>
      </c>
      <c r="U5294" s="182" t="n">
        <v>0</v>
      </c>
      <c r="V5294" s="182" t="n">
        <v>0</v>
      </c>
      <c r="W5294" s="182" t="n">
        <v>0</v>
      </c>
      <c r="X5294" s="182" t="n">
        <v>1</v>
      </c>
      <c r="Y5294" s="182" t="n">
        <v>0</v>
      </c>
      <c r="Z5294" s="182" t="n">
        <v>0</v>
      </c>
      <c r="AA5294" s="182" t="n">
        <v>0</v>
      </c>
      <c r="AB5294" s="182" t="n">
        <v>0</v>
      </c>
      <c r="AC5294" s="182" t="n">
        <v>0</v>
      </c>
      <c r="AD5294" s="182" t="n">
        <v>0</v>
      </c>
      <c r="AE5294" s="182" t="n">
        <v>0</v>
      </c>
      <c r="AF5294" s="182" t="n">
        <v>0</v>
      </c>
      <c r="AG5294" s="182" t="n">
        <v>0</v>
      </c>
      <c r="AH5294" s="182" t="n">
        <v>0</v>
      </c>
      <c r="AI5294" s="182" t="n">
        <v>0</v>
      </c>
      <c r="AJ5294" s="182" t="n">
        <v>0</v>
      </c>
      <c r="AK5294" s="182" t="n">
        <v>10.92</v>
      </c>
      <c r="AL5294" s="182" t="n">
        <v>0</v>
      </c>
      <c r="AM5294" s="182" t="n">
        <v>0.08</v>
      </c>
      <c r="AN5294" s="182" t="n">
        <v>0</v>
      </c>
    </row>
    <row r="5295">
      <c r="A5295" s="155" t="n">
        <v>46106</v>
      </c>
      <c r="B5295" s="156" t="inlineStr">
        <is>
          <t>DS</t>
        </is>
      </c>
      <c r="C5295" s="156" t="inlineStr">
        <is>
          <t>HT-415</t>
        </is>
      </c>
      <c r="D5295" s="156" t="inlineStr">
        <is>
          <t>SY430</t>
        </is>
      </c>
      <c r="E5295" s="156" t="inlineStr">
        <is>
          <t>DT Hauling</t>
        </is>
      </c>
      <c r="F5295" s="156" t="inlineStr"/>
      <c r="G5295" s="182" t="n">
        <v>0</v>
      </c>
      <c r="H5295" s="182" t="n">
        <v>0</v>
      </c>
      <c r="I5295" s="182" t="n">
        <v>12</v>
      </c>
      <c r="J5295" s="182" t="n">
        <v>12</v>
      </c>
      <c r="K5295" s="182" t="n">
        <v>0</v>
      </c>
      <c r="L5295" s="182" t="n">
        <v>12</v>
      </c>
      <c r="M5295" s="182" t="n">
        <v>0</v>
      </c>
      <c r="N5295" s="182" t="n">
        <v>0</v>
      </c>
      <c r="O5295" s="183" t="n">
        <v>0</v>
      </c>
      <c r="P5295" s="183" t="n">
        <v>0</v>
      </c>
      <c r="Q5295" s="184" t="n">
        <v>0</v>
      </c>
      <c r="R5295" s="184" t="n">
        <v>0</v>
      </c>
      <c r="S5295" s="183" t="n">
        <v>0</v>
      </c>
      <c r="T5295" s="183" t="n">
        <v>0</v>
      </c>
      <c r="U5295" s="182" t="n">
        <v>0</v>
      </c>
      <c r="V5295" s="182" t="n">
        <v>0</v>
      </c>
      <c r="W5295" s="182" t="n">
        <v>0</v>
      </c>
      <c r="X5295" s="182" t="n">
        <v>0</v>
      </c>
      <c r="Y5295" s="182" t="n">
        <v>0</v>
      </c>
      <c r="Z5295" s="182" t="n">
        <v>0</v>
      </c>
      <c r="AA5295" s="182" t="n">
        <v>0</v>
      </c>
      <c r="AB5295" s="182" t="n">
        <v>0</v>
      </c>
      <c r="AC5295" s="182" t="n">
        <v>0</v>
      </c>
      <c r="AD5295" s="182" t="n">
        <v>0</v>
      </c>
      <c r="AE5295" s="182" t="n">
        <v>0</v>
      </c>
      <c r="AF5295" s="182" t="n">
        <v>0</v>
      </c>
      <c r="AG5295" s="182" t="n">
        <v>0</v>
      </c>
      <c r="AH5295" s="182" t="n">
        <v>0</v>
      </c>
      <c r="AI5295" s="182" t="n">
        <v>0</v>
      </c>
      <c r="AJ5295" s="182" t="n">
        <v>0</v>
      </c>
      <c r="AK5295" s="182" t="n">
        <v>0</v>
      </c>
      <c r="AL5295" s="182" t="n">
        <v>0</v>
      </c>
      <c r="AM5295" s="182" t="n">
        <v>0</v>
      </c>
      <c r="AN5295" s="182" t="n">
        <v>0</v>
      </c>
    </row>
    <row r="5296">
      <c r="A5296" s="155" t="n">
        <v>46106</v>
      </c>
      <c r="B5296" s="156" t="inlineStr">
        <is>
          <t>DS</t>
        </is>
      </c>
      <c r="C5296" s="156" t="inlineStr">
        <is>
          <t>HT-406</t>
        </is>
      </c>
      <c r="D5296" s="156" t="inlineStr">
        <is>
          <t>SY430</t>
        </is>
      </c>
      <c r="E5296" s="156" t="inlineStr">
        <is>
          <t>DT Hauling</t>
        </is>
      </c>
      <c r="F5296" s="156" t="inlineStr"/>
      <c r="G5296" s="182" t="n">
        <v>0</v>
      </c>
      <c r="H5296" s="182" t="n">
        <v>0</v>
      </c>
      <c r="I5296" s="182" t="n">
        <v>0</v>
      </c>
      <c r="J5296" s="182" t="n">
        <v>0</v>
      </c>
      <c r="K5296" s="182" t="n">
        <v>12</v>
      </c>
      <c r="L5296" s="182" t="n">
        <v>12</v>
      </c>
      <c r="M5296" s="182" t="n">
        <v>0</v>
      </c>
      <c r="N5296" s="182" t="n">
        <v>0</v>
      </c>
      <c r="O5296" s="183" t="n">
        <v>0</v>
      </c>
      <c r="P5296" s="183" t="n">
        <v>0</v>
      </c>
      <c r="Q5296" s="184" t="n">
        <v>0</v>
      </c>
      <c r="R5296" s="184" t="n">
        <v>0</v>
      </c>
      <c r="S5296" s="183" t="n">
        <v>0</v>
      </c>
      <c r="T5296" s="183" t="n">
        <v>0</v>
      </c>
      <c r="U5296" s="182" t="n">
        <v>0</v>
      </c>
      <c r="V5296" s="182" t="n">
        <v>0</v>
      </c>
      <c r="W5296" s="182" t="n">
        <v>0</v>
      </c>
      <c r="X5296" s="182" t="n">
        <v>1</v>
      </c>
      <c r="Y5296" s="182" t="n">
        <v>0</v>
      </c>
      <c r="Z5296" s="182" t="n">
        <v>0</v>
      </c>
      <c r="AA5296" s="182" t="n">
        <v>0</v>
      </c>
      <c r="AB5296" s="182" t="n">
        <v>0</v>
      </c>
      <c r="AC5296" s="182" t="n">
        <v>0</v>
      </c>
      <c r="AD5296" s="182" t="n">
        <v>0</v>
      </c>
      <c r="AE5296" s="182" t="n">
        <v>0</v>
      </c>
      <c r="AF5296" s="182" t="n">
        <v>0</v>
      </c>
      <c r="AG5296" s="182" t="n">
        <v>0</v>
      </c>
      <c r="AH5296" s="182" t="n">
        <v>0</v>
      </c>
      <c r="AI5296" s="182" t="n">
        <v>0</v>
      </c>
      <c r="AJ5296" s="182" t="n">
        <v>0</v>
      </c>
      <c r="AK5296" s="182" t="n">
        <v>10.92</v>
      </c>
      <c r="AL5296" s="182" t="n">
        <v>0</v>
      </c>
      <c r="AM5296" s="182" t="n">
        <v>0.08</v>
      </c>
      <c r="AN5296" s="182" t="n">
        <v>0</v>
      </c>
    </row>
    <row r="5297">
      <c r="A5297" s="155" t="n">
        <v>46106</v>
      </c>
      <c r="B5297" s="156" t="inlineStr">
        <is>
          <t>DS</t>
        </is>
      </c>
      <c r="C5297" s="156" t="inlineStr">
        <is>
          <t>HT-405</t>
        </is>
      </c>
      <c r="D5297" s="156" t="inlineStr">
        <is>
          <t>SY430</t>
        </is>
      </c>
      <c r="E5297" s="156" t="inlineStr">
        <is>
          <t>DT Hauling</t>
        </is>
      </c>
      <c r="F5297" s="156" t="inlineStr"/>
      <c r="G5297" s="182" t="n">
        <v>0</v>
      </c>
      <c r="H5297" s="182" t="n">
        <v>0</v>
      </c>
      <c r="I5297" s="182" t="n">
        <v>12</v>
      </c>
      <c r="J5297" s="182" t="n">
        <v>12</v>
      </c>
      <c r="K5297" s="182" t="n">
        <v>0</v>
      </c>
      <c r="L5297" s="182" t="n">
        <v>12</v>
      </c>
      <c r="M5297" s="182" t="n">
        <v>0</v>
      </c>
      <c r="N5297" s="182" t="n">
        <v>0</v>
      </c>
      <c r="O5297" s="183" t="n">
        <v>0</v>
      </c>
      <c r="P5297" s="183" t="n">
        <v>0</v>
      </c>
      <c r="Q5297" s="184" t="n">
        <v>0</v>
      </c>
      <c r="R5297" s="184" t="n">
        <v>0</v>
      </c>
      <c r="S5297" s="183" t="n">
        <v>0</v>
      </c>
      <c r="T5297" s="183" t="n">
        <v>0</v>
      </c>
      <c r="U5297" s="182" t="n">
        <v>0</v>
      </c>
      <c r="V5297" s="182" t="n">
        <v>0</v>
      </c>
      <c r="W5297" s="182" t="n">
        <v>0</v>
      </c>
      <c r="X5297" s="182" t="n">
        <v>0</v>
      </c>
      <c r="Y5297" s="182" t="n">
        <v>0</v>
      </c>
      <c r="Z5297" s="182" t="n">
        <v>0</v>
      </c>
      <c r="AA5297" s="182" t="n">
        <v>0</v>
      </c>
      <c r="AB5297" s="182" t="n">
        <v>0</v>
      </c>
      <c r="AC5297" s="182" t="n">
        <v>0</v>
      </c>
      <c r="AD5297" s="182" t="n">
        <v>0</v>
      </c>
      <c r="AE5297" s="182" t="n">
        <v>0</v>
      </c>
      <c r="AF5297" s="182" t="n">
        <v>0</v>
      </c>
      <c r="AG5297" s="182" t="n">
        <v>0</v>
      </c>
      <c r="AH5297" s="182" t="n">
        <v>0</v>
      </c>
      <c r="AI5297" s="182" t="n">
        <v>0</v>
      </c>
      <c r="AJ5297" s="182" t="n">
        <v>0</v>
      </c>
      <c r="AK5297" s="182" t="n">
        <v>0</v>
      </c>
      <c r="AL5297" s="182" t="n">
        <v>0</v>
      </c>
      <c r="AM5297" s="182" t="n">
        <v>0</v>
      </c>
      <c r="AN5297" s="182" t="n">
        <v>0</v>
      </c>
    </row>
    <row r="5298">
      <c r="A5298" s="155" t="n">
        <v>46106</v>
      </c>
      <c r="B5298" s="156" t="inlineStr">
        <is>
          <t>DS</t>
        </is>
      </c>
      <c r="C5298" s="156" t="inlineStr">
        <is>
          <t>HT-417</t>
        </is>
      </c>
      <c r="D5298" s="156" t="inlineStr">
        <is>
          <t>SY430</t>
        </is>
      </c>
      <c r="E5298" s="156" t="inlineStr">
        <is>
          <t>DT Hauling</t>
        </is>
      </c>
      <c r="F5298" s="156" t="inlineStr"/>
      <c r="G5298" s="182" t="n">
        <v>0</v>
      </c>
      <c r="H5298" s="182" t="n">
        <v>0</v>
      </c>
      <c r="I5298" s="182" t="n">
        <v>0</v>
      </c>
      <c r="J5298" s="182" t="n">
        <v>0</v>
      </c>
      <c r="K5298" s="182" t="n">
        <v>12</v>
      </c>
      <c r="L5298" s="182" t="n">
        <v>12</v>
      </c>
      <c r="M5298" s="182" t="n">
        <v>0</v>
      </c>
      <c r="N5298" s="182" t="n">
        <v>0</v>
      </c>
      <c r="O5298" s="183" t="n">
        <v>0</v>
      </c>
      <c r="P5298" s="183" t="n">
        <v>0</v>
      </c>
      <c r="Q5298" s="184" t="n">
        <v>0</v>
      </c>
      <c r="R5298" s="184" t="n">
        <v>0</v>
      </c>
      <c r="S5298" s="183" t="n">
        <v>0</v>
      </c>
      <c r="T5298" s="183" t="n">
        <v>0</v>
      </c>
      <c r="U5298" s="182" t="n">
        <v>0</v>
      </c>
      <c r="V5298" s="182" t="n">
        <v>0</v>
      </c>
      <c r="W5298" s="182" t="n">
        <v>0</v>
      </c>
      <c r="X5298" s="182" t="n">
        <v>1</v>
      </c>
      <c r="Y5298" s="182" t="n">
        <v>0</v>
      </c>
      <c r="Z5298" s="182" t="n">
        <v>0</v>
      </c>
      <c r="AA5298" s="182" t="n">
        <v>0</v>
      </c>
      <c r="AB5298" s="182" t="n">
        <v>0</v>
      </c>
      <c r="AC5298" s="182" t="n">
        <v>0</v>
      </c>
      <c r="AD5298" s="182" t="n">
        <v>0</v>
      </c>
      <c r="AE5298" s="182" t="n">
        <v>0</v>
      </c>
      <c r="AF5298" s="182" t="n">
        <v>0</v>
      </c>
      <c r="AG5298" s="182" t="n">
        <v>0</v>
      </c>
      <c r="AH5298" s="182" t="n">
        <v>0</v>
      </c>
      <c r="AI5298" s="182" t="n">
        <v>0</v>
      </c>
      <c r="AJ5298" s="182" t="n">
        <v>0</v>
      </c>
      <c r="AK5298" s="182" t="n">
        <v>10.92</v>
      </c>
      <c r="AL5298" s="182" t="n">
        <v>0</v>
      </c>
      <c r="AM5298" s="182" t="n">
        <v>0.08</v>
      </c>
      <c r="AN5298" s="182" t="n">
        <v>0</v>
      </c>
    </row>
    <row r="5299">
      <c r="A5299" s="155" t="n">
        <v>46106</v>
      </c>
      <c r="B5299" s="156" t="inlineStr">
        <is>
          <t>DS</t>
        </is>
      </c>
      <c r="C5299" s="156" t="inlineStr">
        <is>
          <t>HT-401</t>
        </is>
      </c>
      <c r="D5299" s="156" t="inlineStr">
        <is>
          <t>SY430</t>
        </is>
      </c>
      <c r="E5299" s="156" t="inlineStr">
        <is>
          <t>DT Hauling</t>
        </is>
      </c>
      <c r="F5299" s="156" t="inlineStr"/>
      <c r="G5299" s="182" t="n">
        <v>0</v>
      </c>
      <c r="H5299" s="182" t="n">
        <v>0</v>
      </c>
      <c r="I5299" s="182" t="n">
        <v>0</v>
      </c>
      <c r="J5299" s="182" t="n">
        <v>0</v>
      </c>
      <c r="K5299" s="182" t="n">
        <v>12</v>
      </c>
      <c r="L5299" s="182" t="n">
        <v>12</v>
      </c>
      <c r="M5299" s="182" t="n">
        <v>0</v>
      </c>
      <c r="N5299" s="182" t="n">
        <v>0</v>
      </c>
      <c r="O5299" s="183" t="n">
        <v>0</v>
      </c>
      <c r="P5299" s="183" t="n">
        <v>0</v>
      </c>
      <c r="Q5299" s="184" t="n">
        <v>0</v>
      </c>
      <c r="R5299" s="184" t="n">
        <v>0</v>
      </c>
      <c r="S5299" s="183" t="n">
        <v>0</v>
      </c>
      <c r="T5299" s="183" t="n">
        <v>0</v>
      </c>
      <c r="U5299" s="182" t="n">
        <v>0</v>
      </c>
      <c r="V5299" s="182" t="n">
        <v>0</v>
      </c>
      <c r="W5299" s="182" t="n">
        <v>0</v>
      </c>
      <c r="X5299" s="182" t="n">
        <v>1</v>
      </c>
      <c r="Y5299" s="182" t="n">
        <v>0</v>
      </c>
      <c r="Z5299" s="182" t="n">
        <v>0</v>
      </c>
      <c r="AA5299" s="182" t="n">
        <v>0</v>
      </c>
      <c r="AB5299" s="182" t="n">
        <v>0</v>
      </c>
      <c r="AC5299" s="182" t="n">
        <v>0</v>
      </c>
      <c r="AD5299" s="182" t="n">
        <v>0</v>
      </c>
      <c r="AE5299" s="182" t="n">
        <v>0</v>
      </c>
      <c r="AF5299" s="182" t="n">
        <v>0</v>
      </c>
      <c r="AG5299" s="182" t="n">
        <v>0</v>
      </c>
      <c r="AH5299" s="182" t="n">
        <v>0</v>
      </c>
      <c r="AI5299" s="182" t="n">
        <v>0</v>
      </c>
      <c r="AJ5299" s="182" t="n">
        <v>0</v>
      </c>
      <c r="AK5299" s="182" t="n">
        <v>10.92</v>
      </c>
      <c r="AL5299" s="182" t="n">
        <v>0</v>
      </c>
      <c r="AM5299" s="182" t="n">
        <v>0.08</v>
      </c>
      <c r="AN5299" s="182" t="n">
        <v>0</v>
      </c>
    </row>
    <row r="5300">
      <c r="A5300" s="155" t="n">
        <v>46106</v>
      </c>
      <c r="B5300" s="156" t="inlineStr">
        <is>
          <t>DS</t>
        </is>
      </c>
      <c r="C5300" s="156" t="inlineStr">
        <is>
          <t>HT-410</t>
        </is>
      </c>
      <c r="D5300" s="156" t="inlineStr">
        <is>
          <t>SY430</t>
        </is>
      </c>
      <c r="E5300" s="156" t="inlineStr">
        <is>
          <t>DT Hauling</t>
        </is>
      </c>
      <c r="F5300" s="156" t="inlineStr"/>
      <c r="G5300" s="182" t="n">
        <v>0</v>
      </c>
      <c r="H5300" s="182" t="n">
        <v>0</v>
      </c>
      <c r="I5300" s="182" t="n">
        <v>0</v>
      </c>
      <c r="J5300" s="182" t="n">
        <v>0</v>
      </c>
      <c r="K5300" s="182" t="n">
        <v>12</v>
      </c>
      <c r="L5300" s="182" t="n">
        <v>12</v>
      </c>
      <c r="M5300" s="182" t="n">
        <v>0</v>
      </c>
      <c r="N5300" s="182" t="n">
        <v>0</v>
      </c>
      <c r="O5300" s="183" t="n">
        <v>0</v>
      </c>
      <c r="P5300" s="183" t="n">
        <v>0</v>
      </c>
      <c r="Q5300" s="184" t="n">
        <v>0</v>
      </c>
      <c r="R5300" s="184" t="n">
        <v>0</v>
      </c>
      <c r="S5300" s="183" t="n">
        <v>0</v>
      </c>
      <c r="T5300" s="183" t="n">
        <v>0</v>
      </c>
      <c r="U5300" s="182" t="n">
        <v>0</v>
      </c>
      <c r="V5300" s="182" t="n">
        <v>0</v>
      </c>
      <c r="W5300" s="182" t="n">
        <v>0</v>
      </c>
      <c r="X5300" s="182" t="n">
        <v>1</v>
      </c>
      <c r="Y5300" s="182" t="n">
        <v>0</v>
      </c>
      <c r="Z5300" s="182" t="n">
        <v>0</v>
      </c>
      <c r="AA5300" s="182" t="n">
        <v>0</v>
      </c>
      <c r="AB5300" s="182" t="n">
        <v>0</v>
      </c>
      <c r="AC5300" s="182" t="n">
        <v>0</v>
      </c>
      <c r="AD5300" s="182" t="n">
        <v>0</v>
      </c>
      <c r="AE5300" s="182" t="n">
        <v>0</v>
      </c>
      <c r="AF5300" s="182" t="n">
        <v>0</v>
      </c>
      <c r="AG5300" s="182" t="n">
        <v>0</v>
      </c>
      <c r="AH5300" s="182" t="n">
        <v>0</v>
      </c>
      <c r="AI5300" s="182" t="n">
        <v>0</v>
      </c>
      <c r="AJ5300" s="182" t="n">
        <v>0</v>
      </c>
      <c r="AK5300" s="182" t="n">
        <v>10.92</v>
      </c>
      <c r="AL5300" s="182" t="n">
        <v>0</v>
      </c>
      <c r="AM5300" s="182" t="n">
        <v>0.08</v>
      </c>
      <c r="AN5300" s="182" t="n">
        <v>0</v>
      </c>
    </row>
    <row r="5301">
      <c r="A5301" s="155" t="n">
        <v>46106</v>
      </c>
      <c r="B5301" s="156" t="inlineStr">
        <is>
          <t>DS</t>
        </is>
      </c>
      <c r="C5301" s="156" t="inlineStr">
        <is>
          <t>HT-402</t>
        </is>
      </c>
      <c r="D5301" s="156" t="inlineStr">
        <is>
          <t>SY430</t>
        </is>
      </c>
      <c r="E5301" s="156" t="inlineStr">
        <is>
          <t>DT Hauling</t>
        </is>
      </c>
      <c r="F5301" s="156" t="inlineStr"/>
      <c r="G5301" s="182" t="n">
        <v>0</v>
      </c>
      <c r="H5301" s="182" t="n">
        <v>0</v>
      </c>
      <c r="I5301" s="182" t="n">
        <v>0</v>
      </c>
      <c r="J5301" s="182" t="n">
        <v>0</v>
      </c>
      <c r="K5301" s="182" t="n">
        <v>12</v>
      </c>
      <c r="L5301" s="182" t="n">
        <v>12</v>
      </c>
      <c r="M5301" s="182" t="n">
        <v>0</v>
      </c>
      <c r="N5301" s="182" t="n">
        <v>0</v>
      </c>
      <c r="O5301" s="183" t="n">
        <v>0</v>
      </c>
      <c r="P5301" s="183" t="n">
        <v>0</v>
      </c>
      <c r="Q5301" s="184" t="n">
        <v>0</v>
      </c>
      <c r="R5301" s="184" t="n">
        <v>0</v>
      </c>
      <c r="S5301" s="183" t="n">
        <v>0</v>
      </c>
      <c r="T5301" s="183" t="n">
        <v>0</v>
      </c>
      <c r="U5301" s="182" t="n">
        <v>0</v>
      </c>
      <c r="V5301" s="182" t="n">
        <v>0</v>
      </c>
      <c r="W5301" s="182" t="n">
        <v>0</v>
      </c>
      <c r="X5301" s="182" t="n">
        <v>1</v>
      </c>
      <c r="Y5301" s="182" t="n">
        <v>0</v>
      </c>
      <c r="Z5301" s="182" t="n">
        <v>0</v>
      </c>
      <c r="AA5301" s="182" t="n">
        <v>0</v>
      </c>
      <c r="AB5301" s="182" t="n">
        <v>0</v>
      </c>
      <c r="AC5301" s="182" t="n">
        <v>0</v>
      </c>
      <c r="AD5301" s="182" t="n">
        <v>0</v>
      </c>
      <c r="AE5301" s="182" t="n">
        <v>0</v>
      </c>
      <c r="AF5301" s="182" t="n">
        <v>0</v>
      </c>
      <c r="AG5301" s="182" t="n">
        <v>0</v>
      </c>
      <c r="AH5301" s="182" t="n">
        <v>0</v>
      </c>
      <c r="AI5301" s="182" t="n">
        <v>0</v>
      </c>
      <c r="AJ5301" s="182" t="n">
        <v>0</v>
      </c>
      <c r="AK5301" s="182" t="n">
        <v>10.92</v>
      </c>
      <c r="AL5301" s="182" t="n">
        <v>0</v>
      </c>
      <c r="AM5301" s="182" t="n">
        <v>0.08</v>
      </c>
      <c r="AN5301" s="182" t="n">
        <v>0</v>
      </c>
    </row>
    <row r="5302">
      <c r="A5302" s="155" t="n">
        <v>46106</v>
      </c>
      <c r="B5302" s="156" t="inlineStr">
        <is>
          <t>DS</t>
        </is>
      </c>
      <c r="C5302" s="156" t="inlineStr">
        <is>
          <t>HT-419</t>
        </is>
      </c>
      <c r="D5302" s="156" t="inlineStr">
        <is>
          <t>SY430</t>
        </is>
      </c>
      <c r="E5302" s="156" t="inlineStr">
        <is>
          <t>DT Hauling</t>
        </is>
      </c>
      <c r="F5302" s="156" t="inlineStr"/>
      <c r="G5302" s="182" t="n">
        <v>0</v>
      </c>
      <c r="H5302" s="182" t="n">
        <v>0</v>
      </c>
      <c r="I5302" s="182" t="n">
        <v>12</v>
      </c>
      <c r="J5302" s="182" t="n">
        <v>12</v>
      </c>
      <c r="K5302" s="182" t="n">
        <v>0</v>
      </c>
      <c r="L5302" s="182" t="n">
        <v>12</v>
      </c>
      <c r="M5302" s="182" t="n">
        <v>0</v>
      </c>
      <c r="N5302" s="182" t="n">
        <v>0</v>
      </c>
      <c r="O5302" s="183" t="n">
        <v>0</v>
      </c>
      <c r="P5302" s="183" t="n">
        <v>0</v>
      </c>
      <c r="Q5302" s="184" t="n">
        <v>0</v>
      </c>
      <c r="R5302" s="184" t="n">
        <v>0</v>
      </c>
      <c r="S5302" s="183" t="n">
        <v>0</v>
      </c>
      <c r="T5302" s="183" t="n">
        <v>0</v>
      </c>
      <c r="U5302" s="182" t="n">
        <v>0</v>
      </c>
      <c r="V5302" s="182" t="n">
        <v>0</v>
      </c>
      <c r="W5302" s="182" t="n">
        <v>0</v>
      </c>
      <c r="X5302" s="182" t="n">
        <v>0</v>
      </c>
      <c r="Y5302" s="182" t="n">
        <v>0</v>
      </c>
      <c r="Z5302" s="182" t="n">
        <v>0</v>
      </c>
      <c r="AA5302" s="182" t="n">
        <v>0</v>
      </c>
      <c r="AB5302" s="182" t="n">
        <v>0</v>
      </c>
      <c r="AC5302" s="182" t="n">
        <v>0</v>
      </c>
      <c r="AD5302" s="182" t="n">
        <v>0</v>
      </c>
      <c r="AE5302" s="182" t="n">
        <v>0</v>
      </c>
      <c r="AF5302" s="182" t="n">
        <v>0</v>
      </c>
      <c r="AG5302" s="182" t="n">
        <v>0</v>
      </c>
      <c r="AH5302" s="182" t="n">
        <v>0</v>
      </c>
      <c r="AI5302" s="182" t="n">
        <v>0</v>
      </c>
      <c r="AJ5302" s="182" t="n">
        <v>0</v>
      </c>
      <c r="AK5302" s="182" t="n">
        <v>0</v>
      </c>
      <c r="AL5302" s="182" t="n">
        <v>0</v>
      </c>
      <c r="AM5302" s="182" t="n">
        <v>0</v>
      </c>
      <c r="AN5302" s="182" t="n">
        <v>0</v>
      </c>
    </row>
    <row r="5303">
      <c r="A5303" s="155" t="n">
        <v>46106</v>
      </c>
      <c r="B5303" s="156" t="inlineStr">
        <is>
          <t>DS</t>
        </is>
      </c>
      <c r="C5303" s="156" t="inlineStr">
        <is>
          <t>HT-416</t>
        </is>
      </c>
      <c r="D5303" s="156" t="inlineStr">
        <is>
          <t>SY430</t>
        </is>
      </c>
      <c r="E5303" s="156" t="inlineStr">
        <is>
          <t>DT Hauling</t>
        </is>
      </c>
      <c r="F5303" s="156" t="inlineStr"/>
      <c r="G5303" s="182" t="n">
        <v>0</v>
      </c>
      <c r="H5303" s="182" t="n">
        <v>0</v>
      </c>
      <c r="I5303" s="182" t="n">
        <v>0</v>
      </c>
      <c r="J5303" s="182" t="n">
        <v>0</v>
      </c>
      <c r="K5303" s="182" t="n">
        <v>12</v>
      </c>
      <c r="L5303" s="182" t="n">
        <v>12</v>
      </c>
      <c r="M5303" s="182" t="n">
        <v>0</v>
      </c>
      <c r="N5303" s="182" t="n">
        <v>0</v>
      </c>
      <c r="O5303" s="183" t="n">
        <v>0</v>
      </c>
      <c r="P5303" s="183" t="n">
        <v>0</v>
      </c>
      <c r="Q5303" s="184" t="n">
        <v>0</v>
      </c>
      <c r="R5303" s="184" t="n">
        <v>0</v>
      </c>
      <c r="S5303" s="183" t="n">
        <v>0</v>
      </c>
      <c r="T5303" s="183" t="n">
        <v>0</v>
      </c>
      <c r="U5303" s="182" t="n">
        <v>0</v>
      </c>
      <c r="V5303" s="182" t="n">
        <v>0</v>
      </c>
      <c r="W5303" s="182" t="n">
        <v>0</v>
      </c>
      <c r="X5303" s="182" t="n">
        <v>1</v>
      </c>
      <c r="Y5303" s="182" t="n">
        <v>0</v>
      </c>
      <c r="Z5303" s="182" t="n">
        <v>0</v>
      </c>
      <c r="AA5303" s="182" t="n">
        <v>0</v>
      </c>
      <c r="AB5303" s="182" t="n">
        <v>0</v>
      </c>
      <c r="AC5303" s="182" t="n">
        <v>0</v>
      </c>
      <c r="AD5303" s="182" t="n">
        <v>0</v>
      </c>
      <c r="AE5303" s="182" t="n">
        <v>0</v>
      </c>
      <c r="AF5303" s="182" t="n">
        <v>0</v>
      </c>
      <c r="AG5303" s="182" t="n">
        <v>0</v>
      </c>
      <c r="AH5303" s="182" t="n">
        <v>0</v>
      </c>
      <c r="AI5303" s="182" t="n">
        <v>0</v>
      </c>
      <c r="AJ5303" s="182" t="n">
        <v>0</v>
      </c>
      <c r="AK5303" s="182" t="n">
        <v>10.92</v>
      </c>
      <c r="AL5303" s="182" t="n">
        <v>0</v>
      </c>
      <c r="AM5303" s="182" t="n">
        <v>0.08</v>
      </c>
      <c r="AN5303" s="182" t="n">
        <v>0</v>
      </c>
    </row>
    <row r="5304">
      <c r="A5304" s="155" t="n">
        <v>46106</v>
      </c>
      <c r="B5304" s="156" t="inlineStr">
        <is>
          <t>DS</t>
        </is>
      </c>
      <c r="C5304" s="156" t="inlineStr">
        <is>
          <t>HT-420</t>
        </is>
      </c>
      <c r="D5304" s="156" t="inlineStr">
        <is>
          <t>SY430</t>
        </is>
      </c>
      <c r="E5304" s="156" t="inlineStr">
        <is>
          <t>DT Hauling</t>
        </is>
      </c>
      <c r="F5304" s="156" t="inlineStr"/>
      <c r="G5304" s="182" t="n">
        <v>0</v>
      </c>
      <c r="H5304" s="182" t="n">
        <v>0</v>
      </c>
      <c r="I5304" s="182" t="n">
        <v>0</v>
      </c>
      <c r="J5304" s="182" t="n">
        <v>0</v>
      </c>
      <c r="K5304" s="182" t="n">
        <v>12</v>
      </c>
      <c r="L5304" s="182" t="n">
        <v>12</v>
      </c>
      <c r="M5304" s="182" t="n">
        <v>0</v>
      </c>
      <c r="N5304" s="182" t="n">
        <v>0</v>
      </c>
      <c r="O5304" s="183" t="n">
        <v>0</v>
      </c>
      <c r="P5304" s="183" t="n">
        <v>0</v>
      </c>
      <c r="Q5304" s="184" t="n">
        <v>0</v>
      </c>
      <c r="R5304" s="184" t="n">
        <v>0</v>
      </c>
      <c r="S5304" s="183" t="n">
        <v>0</v>
      </c>
      <c r="T5304" s="183" t="n">
        <v>0</v>
      </c>
      <c r="U5304" s="182" t="n">
        <v>0</v>
      </c>
      <c r="V5304" s="182" t="n">
        <v>0</v>
      </c>
      <c r="W5304" s="182" t="n">
        <v>0</v>
      </c>
      <c r="X5304" s="182" t="n">
        <v>1</v>
      </c>
      <c r="Y5304" s="182" t="n">
        <v>0</v>
      </c>
      <c r="Z5304" s="182" t="n">
        <v>0</v>
      </c>
      <c r="AA5304" s="182" t="n">
        <v>0</v>
      </c>
      <c r="AB5304" s="182" t="n">
        <v>0</v>
      </c>
      <c r="AC5304" s="182" t="n">
        <v>0</v>
      </c>
      <c r="AD5304" s="182" t="n">
        <v>0</v>
      </c>
      <c r="AE5304" s="182" t="n">
        <v>0</v>
      </c>
      <c r="AF5304" s="182" t="n">
        <v>0</v>
      </c>
      <c r="AG5304" s="182" t="n">
        <v>0</v>
      </c>
      <c r="AH5304" s="182" t="n">
        <v>0</v>
      </c>
      <c r="AI5304" s="182" t="n">
        <v>0</v>
      </c>
      <c r="AJ5304" s="182" t="n">
        <v>0</v>
      </c>
      <c r="AK5304" s="182" t="n">
        <v>10.92</v>
      </c>
      <c r="AL5304" s="182" t="n">
        <v>0</v>
      </c>
      <c r="AM5304" s="182" t="n">
        <v>0.08</v>
      </c>
      <c r="AN5304" s="182" t="n">
        <v>0</v>
      </c>
    </row>
    <row r="5305">
      <c r="A5305" s="155" t="n">
        <v>46106</v>
      </c>
      <c r="B5305" s="156" t="inlineStr">
        <is>
          <t>DS</t>
        </is>
      </c>
      <c r="C5305" s="156" t="inlineStr">
        <is>
          <t>HT-403</t>
        </is>
      </c>
      <c r="D5305" s="156" t="inlineStr">
        <is>
          <t>SY430</t>
        </is>
      </c>
      <c r="E5305" s="156" t="inlineStr">
        <is>
          <t>DT Hauling</t>
        </is>
      </c>
      <c r="F5305" s="156" t="inlineStr"/>
      <c r="G5305" s="182" t="n">
        <v>0</v>
      </c>
      <c r="H5305" s="182" t="n">
        <v>0</v>
      </c>
      <c r="I5305" s="182" t="n">
        <v>0</v>
      </c>
      <c r="J5305" s="182" t="n">
        <v>0</v>
      </c>
      <c r="K5305" s="182" t="n">
        <v>12</v>
      </c>
      <c r="L5305" s="182" t="n">
        <v>12</v>
      </c>
      <c r="M5305" s="182" t="n">
        <v>0</v>
      </c>
      <c r="N5305" s="182" t="n">
        <v>0</v>
      </c>
      <c r="O5305" s="183" t="n">
        <v>0</v>
      </c>
      <c r="P5305" s="183" t="n">
        <v>0</v>
      </c>
      <c r="Q5305" s="184" t="n">
        <v>0</v>
      </c>
      <c r="R5305" s="184" t="n">
        <v>0</v>
      </c>
      <c r="S5305" s="183" t="n">
        <v>0</v>
      </c>
      <c r="T5305" s="183" t="n">
        <v>0</v>
      </c>
      <c r="U5305" s="182" t="n">
        <v>0</v>
      </c>
      <c r="V5305" s="182" t="n">
        <v>0</v>
      </c>
      <c r="W5305" s="182" t="n">
        <v>0</v>
      </c>
      <c r="X5305" s="182" t="n">
        <v>1</v>
      </c>
      <c r="Y5305" s="182" t="n">
        <v>0</v>
      </c>
      <c r="Z5305" s="182" t="n">
        <v>0</v>
      </c>
      <c r="AA5305" s="182" t="n">
        <v>0</v>
      </c>
      <c r="AB5305" s="182" t="n">
        <v>0</v>
      </c>
      <c r="AC5305" s="182" t="n">
        <v>0</v>
      </c>
      <c r="AD5305" s="182" t="n">
        <v>0</v>
      </c>
      <c r="AE5305" s="182" t="n">
        <v>0</v>
      </c>
      <c r="AF5305" s="182" t="n">
        <v>0</v>
      </c>
      <c r="AG5305" s="182" t="n">
        <v>0</v>
      </c>
      <c r="AH5305" s="182" t="n">
        <v>0</v>
      </c>
      <c r="AI5305" s="182" t="n">
        <v>0</v>
      </c>
      <c r="AJ5305" s="182" t="n">
        <v>0</v>
      </c>
      <c r="AK5305" s="182" t="n">
        <v>10.92</v>
      </c>
      <c r="AL5305" s="182" t="n">
        <v>0</v>
      </c>
      <c r="AM5305" s="182" t="n">
        <v>0.08</v>
      </c>
      <c r="AN5305" s="182" t="n">
        <v>0</v>
      </c>
    </row>
    <row r="5306">
      <c r="A5306" s="155" t="n">
        <v>46106</v>
      </c>
      <c r="B5306" s="156" t="inlineStr">
        <is>
          <t>DS</t>
        </is>
      </c>
      <c r="C5306" s="156" t="inlineStr">
        <is>
          <t>HT-408</t>
        </is>
      </c>
      <c r="D5306" s="156" t="inlineStr">
        <is>
          <t>SY430</t>
        </is>
      </c>
      <c r="E5306" s="156" t="inlineStr">
        <is>
          <t>DT Hauling</t>
        </is>
      </c>
      <c r="F5306" s="156" t="inlineStr"/>
      <c r="G5306" s="182" t="n">
        <v>0</v>
      </c>
      <c r="H5306" s="182" t="n">
        <v>0</v>
      </c>
      <c r="I5306" s="182" t="n">
        <v>0</v>
      </c>
      <c r="J5306" s="182" t="n">
        <v>0</v>
      </c>
      <c r="K5306" s="182" t="n">
        <v>12</v>
      </c>
      <c r="L5306" s="182" t="n">
        <v>12</v>
      </c>
      <c r="M5306" s="182" t="n">
        <v>0</v>
      </c>
      <c r="N5306" s="182" t="n">
        <v>0</v>
      </c>
      <c r="O5306" s="183" t="n">
        <v>0</v>
      </c>
      <c r="P5306" s="183" t="n">
        <v>0</v>
      </c>
      <c r="Q5306" s="184" t="n">
        <v>0</v>
      </c>
      <c r="R5306" s="184" t="n">
        <v>0</v>
      </c>
      <c r="S5306" s="183" t="n">
        <v>0</v>
      </c>
      <c r="T5306" s="183" t="n">
        <v>0</v>
      </c>
      <c r="U5306" s="182" t="n">
        <v>0</v>
      </c>
      <c r="V5306" s="182" t="n">
        <v>0</v>
      </c>
      <c r="W5306" s="182" t="n">
        <v>0</v>
      </c>
      <c r="X5306" s="182" t="n">
        <v>1</v>
      </c>
      <c r="Y5306" s="182" t="n">
        <v>0</v>
      </c>
      <c r="Z5306" s="182" t="n">
        <v>0</v>
      </c>
      <c r="AA5306" s="182" t="n">
        <v>0</v>
      </c>
      <c r="AB5306" s="182" t="n">
        <v>0</v>
      </c>
      <c r="AC5306" s="182" t="n">
        <v>0</v>
      </c>
      <c r="AD5306" s="182" t="n">
        <v>0</v>
      </c>
      <c r="AE5306" s="182" t="n">
        <v>0</v>
      </c>
      <c r="AF5306" s="182" t="n">
        <v>0</v>
      </c>
      <c r="AG5306" s="182" t="n">
        <v>0</v>
      </c>
      <c r="AH5306" s="182" t="n">
        <v>0</v>
      </c>
      <c r="AI5306" s="182" t="n">
        <v>0</v>
      </c>
      <c r="AJ5306" s="182" t="n">
        <v>0</v>
      </c>
      <c r="AK5306" s="182" t="n">
        <v>10.92</v>
      </c>
      <c r="AL5306" s="182" t="n">
        <v>0</v>
      </c>
      <c r="AM5306" s="182" t="n">
        <v>0.08</v>
      </c>
      <c r="AN5306" s="182" t="n">
        <v>0</v>
      </c>
    </row>
    <row r="5307">
      <c r="A5307" s="155" t="n">
        <v>46106</v>
      </c>
      <c r="B5307" s="156" t="inlineStr">
        <is>
          <t>DS</t>
        </is>
      </c>
      <c r="C5307" s="156" t="inlineStr">
        <is>
          <t>HT-412</t>
        </is>
      </c>
      <c r="D5307" s="156" t="inlineStr">
        <is>
          <t>SY430</t>
        </is>
      </c>
      <c r="E5307" s="156" t="inlineStr">
        <is>
          <t>DT Hauling</t>
        </is>
      </c>
      <c r="F5307" s="156" t="inlineStr"/>
      <c r="G5307" s="182" t="n">
        <v>0</v>
      </c>
      <c r="H5307" s="182" t="n">
        <v>0</v>
      </c>
      <c r="I5307" s="182" t="n">
        <v>0</v>
      </c>
      <c r="J5307" s="182" t="n">
        <v>0</v>
      </c>
      <c r="K5307" s="182" t="n">
        <v>12</v>
      </c>
      <c r="L5307" s="182" t="n">
        <v>12</v>
      </c>
      <c r="M5307" s="182" t="n">
        <v>0</v>
      </c>
      <c r="N5307" s="182" t="n">
        <v>0</v>
      </c>
      <c r="O5307" s="183" t="n">
        <v>0</v>
      </c>
      <c r="P5307" s="183" t="n">
        <v>0</v>
      </c>
      <c r="Q5307" s="184" t="n">
        <v>0</v>
      </c>
      <c r="R5307" s="184" t="n">
        <v>0</v>
      </c>
      <c r="S5307" s="183" t="n">
        <v>0</v>
      </c>
      <c r="T5307" s="183" t="n">
        <v>0</v>
      </c>
      <c r="U5307" s="182" t="n">
        <v>0</v>
      </c>
      <c r="V5307" s="182" t="n">
        <v>0</v>
      </c>
      <c r="W5307" s="182" t="n">
        <v>0</v>
      </c>
      <c r="X5307" s="182" t="n">
        <v>1</v>
      </c>
      <c r="Y5307" s="182" t="n">
        <v>0</v>
      </c>
      <c r="Z5307" s="182" t="n">
        <v>0</v>
      </c>
      <c r="AA5307" s="182" t="n">
        <v>0</v>
      </c>
      <c r="AB5307" s="182" t="n">
        <v>0</v>
      </c>
      <c r="AC5307" s="182" t="n">
        <v>0</v>
      </c>
      <c r="AD5307" s="182" t="n">
        <v>0</v>
      </c>
      <c r="AE5307" s="182" t="n">
        <v>0</v>
      </c>
      <c r="AF5307" s="182" t="n">
        <v>0</v>
      </c>
      <c r="AG5307" s="182" t="n">
        <v>0</v>
      </c>
      <c r="AH5307" s="182" t="n">
        <v>0</v>
      </c>
      <c r="AI5307" s="182" t="n">
        <v>0</v>
      </c>
      <c r="AJ5307" s="182" t="n">
        <v>0</v>
      </c>
      <c r="AK5307" s="182" t="n">
        <v>10.92</v>
      </c>
      <c r="AL5307" s="182" t="n">
        <v>0</v>
      </c>
      <c r="AM5307" s="182" t="n">
        <v>0.08</v>
      </c>
      <c r="AN5307" s="182" t="n">
        <v>0</v>
      </c>
    </row>
    <row r="5308">
      <c r="A5308" s="155" t="n">
        <v>46106</v>
      </c>
      <c r="B5308" s="156" t="inlineStr">
        <is>
          <t>DS</t>
        </is>
      </c>
      <c r="C5308" s="156" t="inlineStr">
        <is>
          <t>HT-413</t>
        </is>
      </c>
      <c r="D5308" s="156" t="inlineStr">
        <is>
          <t>SY430</t>
        </is>
      </c>
      <c r="E5308" s="156" t="inlineStr">
        <is>
          <t>DT Hauling</t>
        </is>
      </c>
      <c r="F5308" s="156" t="inlineStr"/>
      <c r="G5308" s="182" t="n">
        <v>0</v>
      </c>
      <c r="H5308" s="182" t="n">
        <v>0</v>
      </c>
      <c r="I5308" s="182" t="n">
        <v>12</v>
      </c>
      <c r="J5308" s="182" t="n">
        <v>12</v>
      </c>
      <c r="K5308" s="182" t="n">
        <v>0</v>
      </c>
      <c r="L5308" s="182" t="n">
        <v>12</v>
      </c>
      <c r="M5308" s="182" t="n">
        <v>0</v>
      </c>
      <c r="N5308" s="182" t="n">
        <v>0</v>
      </c>
      <c r="O5308" s="183" t="n">
        <v>0</v>
      </c>
      <c r="P5308" s="183" t="n">
        <v>0</v>
      </c>
      <c r="Q5308" s="184" t="n">
        <v>0</v>
      </c>
      <c r="R5308" s="184" t="n">
        <v>0</v>
      </c>
      <c r="S5308" s="183" t="n">
        <v>0</v>
      </c>
      <c r="T5308" s="183" t="n">
        <v>0</v>
      </c>
      <c r="U5308" s="182" t="n">
        <v>0</v>
      </c>
      <c r="V5308" s="182" t="n">
        <v>0</v>
      </c>
      <c r="W5308" s="182" t="n">
        <v>0</v>
      </c>
      <c r="X5308" s="182" t="n">
        <v>0</v>
      </c>
      <c r="Y5308" s="182" t="n">
        <v>0</v>
      </c>
      <c r="Z5308" s="182" t="n">
        <v>0</v>
      </c>
      <c r="AA5308" s="182" t="n">
        <v>0</v>
      </c>
      <c r="AB5308" s="182" t="n">
        <v>0</v>
      </c>
      <c r="AC5308" s="182" t="n">
        <v>0</v>
      </c>
      <c r="AD5308" s="182" t="n">
        <v>0</v>
      </c>
      <c r="AE5308" s="182" t="n">
        <v>0</v>
      </c>
      <c r="AF5308" s="182" t="n">
        <v>0</v>
      </c>
      <c r="AG5308" s="182" t="n">
        <v>0</v>
      </c>
      <c r="AH5308" s="182" t="n">
        <v>0</v>
      </c>
      <c r="AI5308" s="182" t="n">
        <v>0</v>
      </c>
      <c r="AJ5308" s="182" t="n">
        <v>0</v>
      </c>
      <c r="AK5308" s="182" t="n">
        <v>0</v>
      </c>
      <c r="AL5308" s="182" t="n">
        <v>0</v>
      </c>
      <c r="AM5308" s="182" t="n">
        <v>0</v>
      </c>
      <c r="AN5308" s="182" t="n">
        <v>0</v>
      </c>
    </row>
    <row r="5309">
      <c r="A5309" s="155" t="n">
        <v>46106</v>
      </c>
      <c r="B5309" s="156" t="inlineStr">
        <is>
          <t>DS</t>
        </is>
      </c>
      <c r="C5309" s="156" t="inlineStr">
        <is>
          <t>HT-407</t>
        </is>
      </c>
      <c r="D5309" s="156" t="inlineStr">
        <is>
          <t>SY430</t>
        </is>
      </c>
      <c r="E5309" s="156" t="inlineStr">
        <is>
          <t>DT Hauling</t>
        </is>
      </c>
      <c r="F5309" s="156" t="inlineStr"/>
      <c r="G5309" s="182" t="n">
        <v>0</v>
      </c>
      <c r="H5309" s="182" t="n">
        <v>0</v>
      </c>
      <c r="I5309" s="182" t="n">
        <v>0</v>
      </c>
      <c r="J5309" s="182" t="n">
        <v>0</v>
      </c>
      <c r="K5309" s="182" t="n">
        <v>12</v>
      </c>
      <c r="L5309" s="182" t="n">
        <v>12</v>
      </c>
      <c r="M5309" s="182" t="n">
        <v>0</v>
      </c>
      <c r="N5309" s="182" t="n">
        <v>0</v>
      </c>
      <c r="O5309" s="183" t="n">
        <v>0</v>
      </c>
      <c r="P5309" s="183" t="n">
        <v>0</v>
      </c>
      <c r="Q5309" s="184" t="n">
        <v>0</v>
      </c>
      <c r="R5309" s="184" t="n">
        <v>0</v>
      </c>
      <c r="S5309" s="183" t="n">
        <v>0</v>
      </c>
      <c r="T5309" s="183" t="n">
        <v>0</v>
      </c>
      <c r="U5309" s="182" t="n">
        <v>0</v>
      </c>
      <c r="V5309" s="182" t="n">
        <v>0</v>
      </c>
      <c r="W5309" s="182" t="n">
        <v>0</v>
      </c>
      <c r="X5309" s="182" t="n">
        <v>1</v>
      </c>
      <c r="Y5309" s="182" t="n">
        <v>0</v>
      </c>
      <c r="Z5309" s="182" t="n">
        <v>0</v>
      </c>
      <c r="AA5309" s="182" t="n">
        <v>0</v>
      </c>
      <c r="AB5309" s="182" t="n">
        <v>0</v>
      </c>
      <c r="AC5309" s="182" t="n">
        <v>0</v>
      </c>
      <c r="AD5309" s="182" t="n">
        <v>0</v>
      </c>
      <c r="AE5309" s="182" t="n">
        <v>0</v>
      </c>
      <c r="AF5309" s="182" t="n">
        <v>0</v>
      </c>
      <c r="AG5309" s="182" t="n">
        <v>0</v>
      </c>
      <c r="AH5309" s="182" t="n">
        <v>0</v>
      </c>
      <c r="AI5309" s="182" t="n">
        <v>0</v>
      </c>
      <c r="AJ5309" s="182" t="n">
        <v>0</v>
      </c>
      <c r="AK5309" s="182" t="n">
        <v>10.92</v>
      </c>
      <c r="AL5309" s="182" t="n">
        <v>0</v>
      </c>
      <c r="AM5309" s="182" t="n">
        <v>0.08</v>
      </c>
      <c r="AN5309" s="182" t="n">
        <v>0</v>
      </c>
    </row>
    <row r="5310">
      <c r="A5310" s="155" t="n">
        <v>46106</v>
      </c>
      <c r="B5310" s="156" t="inlineStr">
        <is>
          <t>DS</t>
        </is>
      </c>
      <c r="C5310" s="156" t="inlineStr">
        <is>
          <t>HT-414</t>
        </is>
      </c>
      <c r="D5310" s="156" t="inlineStr">
        <is>
          <t>SY430</t>
        </is>
      </c>
      <c r="E5310" s="156" t="inlineStr">
        <is>
          <t>DT Hauling</t>
        </is>
      </c>
      <c r="F5310" s="156" t="inlineStr"/>
      <c r="G5310" s="182" t="n">
        <v>0</v>
      </c>
      <c r="H5310" s="182" t="n">
        <v>0</v>
      </c>
      <c r="I5310" s="182" t="n">
        <v>0</v>
      </c>
      <c r="J5310" s="182" t="n">
        <v>0</v>
      </c>
      <c r="K5310" s="182" t="n">
        <v>12</v>
      </c>
      <c r="L5310" s="182" t="n">
        <v>12</v>
      </c>
      <c r="M5310" s="182" t="n">
        <v>0</v>
      </c>
      <c r="N5310" s="182" t="n">
        <v>0</v>
      </c>
      <c r="O5310" s="183" t="n">
        <v>0</v>
      </c>
      <c r="P5310" s="183" t="n">
        <v>0</v>
      </c>
      <c r="Q5310" s="184" t="n">
        <v>0</v>
      </c>
      <c r="R5310" s="184" t="n">
        <v>0</v>
      </c>
      <c r="S5310" s="183" t="n">
        <v>0</v>
      </c>
      <c r="T5310" s="183" t="n">
        <v>0</v>
      </c>
      <c r="U5310" s="182" t="n">
        <v>0</v>
      </c>
      <c r="V5310" s="182" t="n">
        <v>0</v>
      </c>
      <c r="W5310" s="182" t="n">
        <v>0</v>
      </c>
      <c r="X5310" s="182" t="n">
        <v>1</v>
      </c>
      <c r="Y5310" s="182" t="n">
        <v>0</v>
      </c>
      <c r="Z5310" s="182" t="n">
        <v>0</v>
      </c>
      <c r="AA5310" s="182" t="n">
        <v>0</v>
      </c>
      <c r="AB5310" s="182" t="n">
        <v>0</v>
      </c>
      <c r="AC5310" s="182" t="n">
        <v>0</v>
      </c>
      <c r="AD5310" s="182" t="n">
        <v>0</v>
      </c>
      <c r="AE5310" s="182" t="n">
        <v>0</v>
      </c>
      <c r="AF5310" s="182" t="n">
        <v>0</v>
      </c>
      <c r="AG5310" s="182" t="n">
        <v>0</v>
      </c>
      <c r="AH5310" s="182" t="n">
        <v>0</v>
      </c>
      <c r="AI5310" s="182" t="n">
        <v>0</v>
      </c>
      <c r="AJ5310" s="182" t="n">
        <v>0</v>
      </c>
      <c r="AK5310" s="182" t="n">
        <v>10.92</v>
      </c>
      <c r="AL5310" s="182" t="n">
        <v>0</v>
      </c>
      <c r="AM5310" s="182" t="n">
        <v>0.08</v>
      </c>
      <c r="AN5310" s="182" t="n">
        <v>0</v>
      </c>
    </row>
    <row r="5311">
      <c r="A5311" s="155" t="n">
        <v>46106</v>
      </c>
      <c r="B5311" s="156" t="inlineStr">
        <is>
          <t>DS</t>
        </is>
      </c>
      <c r="C5311" s="156" t="inlineStr">
        <is>
          <t>HT-411</t>
        </is>
      </c>
      <c r="D5311" s="156" t="inlineStr">
        <is>
          <t>SY430</t>
        </is>
      </c>
      <c r="E5311" s="156" t="inlineStr">
        <is>
          <t>DT Hauling</t>
        </is>
      </c>
      <c r="F5311" s="156" t="inlineStr"/>
      <c r="G5311" s="182" t="n">
        <v>0</v>
      </c>
      <c r="H5311" s="182" t="n">
        <v>0</v>
      </c>
      <c r="I5311" s="182" t="n">
        <v>0</v>
      </c>
      <c r="J5311" s="182" t="n">
        <v>0</v>
      </c>
      <c r="K5311" s="182" t="n">
        <v>12</v>
      </c>
      <c r="L5311" s="182" t="n">
        <v>12</v>
      </c>
      <c r="M5311" s="182" t="n">
        <v>0</v>
      </c>
      <c r="N5311" s="182" t="n">
        <v>0</v>
      </c>
      <c r="O5311" s="183" t="n">
        <v>0</v>
      </c>
      <c r="P5311" s="183" t="n">
        <v>0</v>
      </c>
      <c r="Q5311" s="184" t="n">
        <v>0</v>
      </c>
      <c r="R5311" s="184" t="n">
        <v>0</v>
      </c>
      <c r="S5311" s="183" t="n">
        <v>0</v>
      </c>
      <c r="T5311" s="183" t="n">
        <v>0</v>
      </c>
      <c r="U5311" s="182" t="n">
        <v>0</v>
      </c>
      <c r="V5311" s="182" t="n">
        <v>0</v>
      </c>
      <c r="W5311" s="182" t="n">
        <v>0</v>
      </c>
      <c r="X5311" s="182" t="n">
        <v>1</v>
      </c>
      <c r="Y5311" s="182" t="n">
        <v>0</v>
      </c>
      <c r="Z5311" s="182" t="n">
        <v>0</v>
      </c>
      <c r="AA5311" s="182" t="n">
        <v>0</v>
      </c>
      <c r="AB5311" s="182" t="n">
        <v>0</v>
      </c>
      <c r="AC5311" s="182" t="n">
        <v>0</v>
      </c>
      <c r="AD5311" s="182" t="n">
        <v>0</v>
      </c>
      <c r="AE5311" s="182" t="n">
        <v>0</v>
      </c>
      <c r="AF5311" s="182" t="n">
        <v>0</v>
      </c>
      <c r="AG5311" s="182" t="n">
        <v>0</v>
      </c>
      <c r="AH5311" s="182" t="n">
        <v>0</v>
      </c>
      <c r="AI5311" s="182" t="n">
        <v>0</v>
      </c>
      <c r="AJ5311" s="182" t="n">
        <v>0</v>
      </c>
      <c r="AK5311" s="182" t="n">
        <v>10.92</v>
      </c>
      <c r="AL5311" s="182" t="n">
        <v>0</v>
      </c>
      <c r="AM5311" s="182" t="n">
        <v>0.08</v>
      </c>
      <c r="AN5311" s="182" t="n">
        <v>0</v>
      </c>
    </row>
    <row r="5312">
      <c r="A5312" s="155" t="n">
        <v>46106</v>
      </c>
      <c r="B5312" s="156" t="inlineStr">
        <is>
          <t>DS</t>
        </is>
      </c>
      <c r="C5312" s="156" t="inlineStr">
        <is>
          <t>HT-409</t>
        </is>
      </c>
      <c r="D5312" s="156" t="inlineStr">
        <is>
          <t>SY430</t>
        </is>
      </c>
      <c r="E5312" s="156" t="inlineStr">
        <is>
          <t>DT Hauling</t>
        </is>
      </c>
      <c r="F5312" s="156" t="inlineStr"/>
      <c r="G5312" s="182" t="n">
        <v>0</v>
      </c>
      <c r="H5312" s="182" t="n">
        <v>0</v>
      </c>
      <c r="I5312" s="182" t="n">
        <v>0</v>
      </c>
      <c r="J5312" s="182" t="n">
        <v>0</v>
      </c>
      <c r="K5312" s="182" t="n">
        <v>12</v>
      </c>
      <c r="L5312" s="182" t="n">
        <v>12</v>
      </c>
      <c r="M5312" s="182" t="n">
        <v>0</v>
      </c>
      <c r="N5312" s="182" t="n">
        <v>0</v>
      </c>
      <c r="O5312" s="183" t="n">
        <v>0</v>
      </c>
      <c r="P5312" s="183" t="n">
        <v>0</v>
      </c>
      <c r="Q5312" s="184" t="n">
        <v>0</v>
      </c>
      <c r="R5312" s="184" t="n">
        <v>0</v>
      </c>
      <c r="S5312" s="183" t="n">
        <v>0</v>
      </c>
      <c r="T5312" s="183" t="n">
        <v>0</v>
      </c>
      <c r="U5312" s="182" t="n">
        <v>0</v>
      </c>
      <c r="V5312" s="182" t="n">
        <v>0</v>
      </c>
      <c r="W5312" s="182" t="n">
        <v>0</v>
      </c>
      <c r="X5312" s="182" t="n">
        <v>1</v>
      </c>
      <c r="Y5312" s="182" t="n">
        <v>0</v>
      </c>
      <c r="Z5312" s="182" t="n">
        <v>0</v>
      </c>
      <c r="AA5312" s="182" t="n">
        <v>0</v>
      </c>
      <c r="AB5312" s="182" t="n">
        <v>0</v>
      </c>
      <c r="AC5312" s="182" t="n">
        <v>0</v>
      </c>
      <c r="AD5312" s="182" t="n">
        <v>0</v>
      </c>
      <c r="AE5312" s="182" t="n">
        <v>0</v>
      </c>
      <c r="AF5312" s="182" t="n">
        <v>0</v>
      </c>
      <c r="AG5312" s="182" t="n">
        <v>0</v>
      </c>
      <c r="AH5312" s="182" t="n">
        <v>0</v>
      </c>
      <c r="AI5312" s="182" t="n">
        <v>0</v>
      </c>
      <c r="AJ5312" s="182" t="n">
        <v>0</v>
      </c>
      <c r="AK5312" s="182" t="n">
        <v>10.92</v>
      </c>
      <c r="AL5312" s="182" t="n">
        <v>0</v>
      </c>
      <c r="AM5312" s="182" t="n">
        <v>0.08</v>
      </c>
      <c r="AN5312" s="182" t="n">
        <v>0</v>
      </c>
    </row>
    <row r="5313">
      <c r="A5313" s="155" t="n">
        <v>46106</v>
      </c>
      <c r="B5313" s="156" t="inlineStr">
        <is>
          <t>DS</t>
        </is>
      </c>
      <c r="C5313" s="156" t="inlineStr">
        <is>
          <t>DH-103</t>
        </is>
      </c>
      <c r="D5313" s="156" t="inlineStr">
        <is>
          <t>HINO FM260</t>
        </is>
      </c>
      <c r="E5313" s="156" t="inlineStr">
        <is>
          <t>DT Hino</t>
        </is>
      </c>
      <c r="F5313" s="156" t="inlineStr"/>
      <c r="G5313" s="182" t="n">
        <v>0</v>
      </c>
      <c r="H5313" s="182" t="n">
        <v>0</v>
      </c>
      <c r="I5313" s="182" t="n">
        <v>0</v>
      </c>
      <c r="J5313" s="182" t="n">
        <v>0</v>
      </c>
      <c r="K5313" s="182" t="n">
        <v>12</v>
      </c>
      <c r="L5313" s="182" t="n">
        <v>12</v>
      </c>
      <c r="M5313" s="182" t="n">
        <v>0</v>
      </c>
      <c r="N5313" s="182" t="n">
        <v>0</v>
      </c>
      <c r="O5313" s="183" t="n">
        <v>0</v>
      </c>
      <c r="P5313" s="183" t="n">
        <v>0</v>
      </c>
      <c r="Q5313" s="184" t="n">
        <v>0</v>
      </c>
      <c r="R5313" s="184" t="n">
        <v>0</v>
      </c>
      <c r="S5313" s="183" t="n">
        <v>0</v>
      </c>
      <c r="T5313" s="183" t="n">
        <v>0</v>
      </c>
      <c r="U5313" s="182" t="n">
        <v>0</v>
      </c>
      <c r="V5313" s="182" t="n">
        <v>0</v>
      </c>
      <c r="W5313" s="182" t="n">
        <v>0</v>
      </c>
      <c r="X5313" s="182" t="n">
        <v>1</v>
      </c>
      <c r="Y5313" s="182" t="n">
        <v>0</v>
      </c>
      <c r="Z5313" s="182" t="n">
        <v>0</v>
      </c>
      <c r="AA5313" s="182" t="n">
        <v>0</v>
      </c>
      <c r="AB5313" s="182" t="n">
        <v>0</v>
      </c>
      <c r="AC5313" s="182" t="n">
        <v>0</v>
      </c>
      <c r="AD5313" s="182" t="n">
        <v>0</v>
      </c>
      <c r="AE5313" s="182" t="n">
        <v>0</v>
      </c>
      <c r="AF5313" s="182" t="n">
        <v>0</v>
      </c>
      <c r="AG5313" s="182" t="n">
        <v>0</v>
      </c>
      <c r="AH5313" s="182" t="n">
        <v>0</v>
      </c>
      <c r="AI5313" s="182" t="n">
        <v>0</v>
      </c>
      <c r="AJ5313" s="182" t="n">
        <v>0</v>
      </c>
      <c r="AK5313" s="182" t="n">
        <v>10.92</v>
      </c>
      <c r="AL5313" s="182" t="n">
        <v>0</v>
      </c>
      <c r="AM5313" s="182" t="n">
        <v>0.08</v>
      </c>
      <c r="AN5313" s="182" t="n">
        <v>0</v>
      </c>
    </row>
    <row r="5314">
      <c r="A5314" s="155" t="n">
        <v>46106</v>
      </c>
      <c r="B5314" s="156" t="inlineStr">
        <is>
          <t>DS</t>
        </is>
      </c>
      <c r="C5314" s="156" t="inlineStr">
        <is>
          <t>DH-102</t>
        </is>
      </c>
      <c r="D5314" s="156" t="inlineStr">
        <is>
          <t>HINO FM260</t>
        </is>
      </c>
      <c r="E5314" s="156" t="inlineStr">
        <is>
          <t>DT Hino</t>
        </is>
      </c>
      <c r="F5314" s="156" t="inlineStr"/>
      <c r="G5314" s="182" t="n">
        <v>0</v>
      </c>
      <c r="H5314" s="182" t="n">
        <v>0</v>
      </c>
      <c r="I5314" s="182" t="n">
        <v>0</v>
      </c>
      <c r="J5314" s="182" t="n">
        <v>0</v>
      </c>
      <c r="K5314" s="182" t="n">
        <v>12</v>
      </c>
      <c r="L5314" s="182" t="n">
        <v>12</v>
      </c>
      <c r="M5314" s="182" t="n">
        <v>0</v>
      </c>
      <c r="N5314" s="182" t="n">
        <v>0</v>
      </c>
      <c r="O5314" s="183" t="n">
        <v>0</v>
      </c>
      <c r="P5314" s="183" t="n">
        <v>0</v>
      </c>
      <c r="Q5314" s="184" t="n">
        <v>0</v>
      </c>
      <c r="R5314" s="184" t="n">
        <v>0</v>
      </c>
      <c r="S5314" s="183" t="n">
        <v>0</v>
      </c>
      <c r="T5314" s="183" t="n">
        <v>0</v>
      </c>
      <c r="U5314" s="182" t="n">
        <v>0</v>
      </c>
      <c r="V5314" s="182" t="n">
        <v>0</v>
      </c>
      <c r="W5314" s="182" t="n">
        <v>0</v>
      </c>
      <c r="X5314" s="182" t="n">
        <v>1</v>
      </c>
      <c r="Y5314" s="182" t="n">
        <v>0</v>
      </c>
      <c r="Z5314" s="182" t="n">
        <v>0</v>
      </c>
      <c r="AA5314" s="182" t="n">
        <v>0</v>
      </c>
      <c r="AB5314" s="182" t="n">
        <v>0</v>
      </c>
      <c r="AC5314" s="182" t="n">
        <v>0</v>
      </c>
      <c r="AD5314" s="182" t="n">
        <v>0</v>
      </c>
      <c r="AE5314" s="182" t="n">
        <v>0</v>
      </c>
      <c r="AF5314" s="182" t="n">
        <v>0</v>
      </c>
      <c r="AG5314" s="182" t="n">
        <v>0</v>
      </c>
      <c r="AH5314" s="182" t="n">
        <v>0</v>
      </c>
      <c r="AI5314" s="182" t="n">
        <v>0</v>
      </c>
      <c r="AJ5314" s="182" t="n">
        <v>0</v>
      </c>
      <c r="AK5314" s="182" t="n">
        <v>10.92</v>
      </c>
      <c r="AL5314" s="182" t="n">
        <v>0</v>
      </c>
      <c r="AM5314" s="182" t="n">
        <v>0.08</v>
      </c>
      <c r="AN5314" s="182" t="n">
        <v>0</v>
      </c>
    </row>
    <row r="5315">
      <c r="A5315" s="155" t="n">
        <v>46106</v>
      </c>
      <c r="B5315" s="156" t="inlineStr">
        <is>
          <t>DS</t>
        </is>
      </c>
      <c r="C5315" s="156" t="inlineStr">
        <is>
          <t>DH-101</t>
        </is>
      </c>
      <c r="D5315" s="156" t="inlineStr">
        <is>
          <t>HINO FM260</t>
        </is>
      </c>
      <c r="E5315" s="156" t="inlineStr">
        <is>
          <t>DT Hino</t>
        </is>
      </c>
      <c r="F5315" s="156" t="inlineStr"/>
      <c r="G5315" s="182" t="n">
        <v>0</v>
      </c>
      <c r="H5315" s="182" t="n">
        <v>0</v>
      </c>
      <c r="I5315" s="182" t="n">
        <v>0</v>
      </c>
      <c r="J5315" s="182" t="n">
        <v>0</v>
      </c>
      <c r="K5315" s="182" t="n">
        <v>12</v>
      </c>
      <c r="L5315" s="182" t="n">
        <v>12</v>
      </c>
      <c r="M5315" s="182" t="n">
        <v>0</v>
      </c>
      <c r="N5315" s="182" t="n">
        <v>0</v>
      </c>
      <c r="O5315" s="183" t="n">
        <v>0</v>
      </c>
      <c r="P5315" s="183" t="n">
        <v>0</v>
      </c>
      <c r="Q5315" s="184" t="n">
        <v>0</v>
      </c>
      <c r="R5315" s="184" t="n">
        <v>0</v>
      </c>
      <c r="S5315" s="183" t="n">
        <v>0</v>
      </c>
      <c r="T5315" s="183" t="n">
        <v>0</v>
      </c>
      <c r="U5315" s="182" t="n">
        <v>0</v>
      </c>
      <c r="V5315" s="182" t="n">
        <v>0</v>
      </c>
      <c r="W5315" s="182" t="n">
        <v>0</v>
      </c>
      <c r="X5315" s="182" t="n">
        <v>1</v>
      </c>
      <c r="Y5315" s="182" t="n">
        <v>0</v>
      </c>
      <c r="Z5315" s="182" t="n">
        <v>0</v>
      </c>
      <c r="AA5315" s="182" t="n">
        <v>0</v>
      </c>
      <c r="AB5315" s="182" t="n">
        <v>0</v>
      </c>
      <c r="AC5315" s="182" t="n">
        <v>0</v>
      </c>
      <c r="AD5315" s="182" t="n">
        <v>0</v>
      </c>
      <c r="AE5315" s="182" t="n">
        <v>0</v>
      </c>
      <c r="AF5315" s="182" t="n">
        <v>0</v>
      </c>
      <c r="AG5315" s="182" t="n">
        <v>0</v>
      </c>
      <c r="AH5315" s="182" t="n">
        <v>0</v>
      </c>
      <c r="AI5315" s="182" t="n">
        <v>0</v>
      </c>
      <c r="AJ5315" s="182" t="n">
        <v>0</v>
      </c>
      <c r="AK5315" s="182" t="n">
        <v>10.92</v>
      </c>
      <c r="AL5315" s="182" t="n">
        <v>0</v>
      </c>
      <c r="AM5315" s="182" t="n">
        <v>0.08</v>
      </c>
      <c r="AN5315" s="182" t="n">
        <v>0</v>
      </c>
    </row>
    <row r="5316">
      <c r="A5316" s="155" t="n">
        <v>46106</v>
      </c>
      <c r="B5316" s="156" t="inlineStr">
        <is>
          <t>DS</t>
        </is>
      </c>
      <c r="C5316" s="156" t="inlineStr">
        <is>
          <t>EX-1251</t>
        </is>
      </c>
      <c r="D5316" s="156" t="inlineStr">
        <is>
          <t>SY1250</t>
        </is>
      </c>
      <c r="E5316" s="156" t="inlineStr">
        <is>
          <t>Excavator</t>
        </is>
      </c>
      <c r="F5316" s="156" t="inlineStr">
        <is>
          <t>Loading OB</t>
        </is>
      </c>
      <c r="G5316" s="182" t="n">
        <v>3.32</v>
      </c>
      <c r="H5316" s="182" t="n">
        <v>0</v>
      </c>
      <c r="I5316" s="182" t="n">
        <v>8.68</v>
      </c>
      <c r="J5316" s="182" t="n">
        <v>8.68</v>
      </c>
      <c r="K5316" s="182" t="n">
        <v>0</v>
      </c>
      <c r="L5316" s="182" t="n">
        <v>12</v>
      </c>
      <c r="M5316" s="182" t="n">
        <v>2.89</v>
      </c>
      <c r="N5316" s="182" t="n">
        <v>0</v>
      </c>
      <c r="O5316" s="185">
        <f>SUMIFS(INPUT_RITASE!$F$5:$F$20000,INPUT_RITASE!$A$5:$A$20000,$A5316,INPUT_RITASE!$H$5:$H$20000,$B5316,INPUT_RITASE!$C$5:$C$20000,$C5316,INPUT_RITASE!$N$5:$N$20000,"OB")</f>
        <v/>
      </c>
      <c r="P5316" s="185">
        <f>SUMIFS(INPUT_RITASE!$F$5:$F$20000,INPUT_RITASE!$A$5:$A$20000,$A5316,INPUT_RITASE!$H$5:$H$20000,$B5316,INPUT_RITASE!$C$5:$C$20000,$C5316,INPUT_RITASE!$N$5:$N$20000,"Coal")</f>
        <v/>
      </c>
      <c r="Q5316" s="186">
        <f>SUMIFS(INPUT_RITASE!$L$5:$L$20000,INPUT_RITASE!$A$5:$A$20000,$A5316,INPUT_RITASE!$H$5:$H$20000,$B5316,INPUT_RITASE!$C$5:$C$20000,$C5316,INPUT_RITASE!$N$5:$N$20000,"OB")</f>
        <v/>
      </c>
      <c r="R5316" s="186">
        <f>SUMIFS(INPUT_RITASE!$L$5:$L$20000,INPUT_RITASE!$A$5:$A$20000,$A5316,INPUT_RITASE!$H$5:$H$20000,$B5316,INPUT_RITASE!$C$5:$C$20000,$C5316,INPUT_RITASE!$N$5:$N$20000,"Coal")</f>
        <v/>
      </c>
      <c r="S5316" s="183" t="n">
        <v>0</v>
      </c>
      <c r="T5316" s="183" t="n">
        <v>0</v>
      </c>
      <c r="U5316" s="182" t="n">
        <v>0</v>
      </c>
      <c r="V5316" s="182" t="n">
        <v>0</v>
      </c>
      <c r="W5316" s="182" t="n">
        <v>0</v>
      </c>
      <c r="X5316" s="182" t="n">
        <v>0</v>
      </c>
      <c r="Y5316" s="182" t="n">
        <v>0</v>
      </c>
      <c r="Z5316" s="182" t="n">
        <v>0</v>
      </c>
      <c r="AA5316" s="182" t="n">
        <v>0</v>
      </c>
      <c r="AB5316" s="182" t="n">
        <v>0</v>
      </c>
      <c r="AC5316" s="182" t="n">
        <v>0</v>
      </c>
      <c r="AD5316" s="182" t="n">
        <v>0</v>
      </c>
      <c r="AE5316" s="182" t="n">
        <v>0</v>
      </c>
      <c r="AF5316" s="182" t="n">
        <v>0</v>
      </c>
      <c r="AG5316" s="182" t="n">
        <v>0</v>
      </c>
      <c r="AH5316" s="182" t="n">
        <v>0</v>
      </c>
      <c r="AI5316" s="182" t="n">
        <v>0</v>
      </c>
      <c r="AJ5316" s="182" t="n">
        <v>0</v>
      </c>
      <c r="AK5316" s="182" t="n">
        <v>0</v>
      </c>
      <c r="AL5316" s="182" t="n">
        <v>0</v>
      </c>
      <c r="AM5316" s="182" t="n">
        <v>0</v>
      </c>
      <c r="AN5316" s="182" t="n">
        <v>0</v>
      </c>
    </row>
    <row r="5317">
      <c r="A5317" s="155" t="n">
        <v>46106</v>
      </c>
      <c r="B5317" s="156" t="inlineStr">
        <is>
          <t>DS</t>
        </is>
      </c>
      <c r="C5317" s="156" t="inlineStr">
        <is>
          <t>EX-1252</t>
        </is>
      </c>
      <c r="D5317" s="156" t="inlineStr">
        <is>
          <t>SY1250</t>
        </is>
      </c>
      <c r="E5317" s="156" t="inlineStr">
        <is>
          <t>Excavator</t>
        </is>
      </c>
      <c r="F5317" s="156" t="inlineStr"/>
      <c r="G5317" s="182" t="n">
        <v>0</v>
      </c>
      <c r="H5317" s="182" t="n">
        <v>0</v>
      </c>
      <c r="I5317" s="182" t="n">
        <v>12</v>
      </c>
      <c r="J5317" s="182" t="n">
        <v>12</v>
      </c>
      <c r="K5317" s="182" t="n">
        <v>0</v>
      </c>
      <c r="L5317" s="182" t="n">
        <v>12</v>
      </c>
      <c r="M5317" s="182" t="n">
        <v>0</v>
      </c>
      <c r="N5317" s="182" t="n">
        <v>0</v>
      </c>
      <c r="O5317" s="185">
        <f>SUMIFS(INPUT_RITASE!$F$5:$F$20000,INPUT_RITASE!$A$5:$A$20000,$A5317,INPUT_RITASE!$H$5:$H$20000,$B5317,INPUT_RITASE!$C$5:$C$20000,$C5317,INPUT_RITASE!$N$5:$N$20000,"OB")</f>
        <v/>
      </c>
      <c r="P5317" s="185">
        <f>SUMIFS(INPUT_RITASE!$F$5:$F$20000,INPUT_RITASE!$A$5:$A$20000,$A5317,INPUT_RITASE!$H$5:$H$20000,$B5317,INPUT_RITASE!$C$5:$C$20000,$C5317,INPUT_RITASE!$N$5:$N$20000,"Coal")</f>
        <v/>
      </c>
      <c r="Q5317" s="186">
        <f>SUMIFS(INPUT_RITASE!$L$5:$L$20000,INPUT_RITASE!$A$5:$A$20000,$A5317,INPUT_RITASE!$H$5:$H$20000,$B5317,INPUT_RITASE!$C$5:$C$20000,$C5317,INPUT_RITASE!$N$5:$N$20000,"OB")</f>
        <v/>
      </c>
      <c r="R5317" s="186">
        <f>SUMIFS(INPUT_RITASE!$L$5:$L$20000,INPUT_RITASE!$A$5:$A$20000,$A5317,INPUT_RITASE!$H$5:$H$20000,$B5317,INPUT_RITASE!$C$5:$C$20000,$C5317,INPUT_RITASE!$N$5:$N$20000,"Coal")</f>
        <v/>
      </c>
      <c r="S5317" s="183" t="n">
        <v>0</v>
      </c>
      <c r="T5317" s="183" t="n">
        <v>0</v>
      </c>
      <c r="U5317" s="182" t="n">
        <v>0</v>
      </c>
      <c r="V5317" s="182" t="n">
        <v>0</v>
      </c>
      <c r="W5317" s="182" t="n">
        <v>0</v>
      </c>
      <c r="X5317" s="182" t="n">
        <v>0</v>
      </c>
      <c r="Y5317" s="182" t="n">
        <v>0</v>
      </c>
      <c r="Z5317" s="182" t="n">
        <v>0</v>
      </c>
      <c r="AA5317" s="182" t="n">
        <v>0</v>
      </c>
      <c r="AB5317" s="182" t="n">
        <v>0</v>
      </c>
      <c r="AC5317" s="182" t="n">
        <v>0</v>
      </c>
      <c r="AD5317" s="182" t="n">
        <v>0</v>
      </c>
      <c r="AE5317" s="182" t="n">
        <v>0</v>
      </c>
      <c r="AF5317" s="182" t="n">
        <v>0</v>
      </c>
      <c r="AG5317" s="182" t="n">
        <v>0</v>
      </c>
      <c r="AH5317" s="182" t="n">
        <v>0</v>
      </c>
      <c r="AI5317" s="182" t="n">
        <v>0</v>
      </c>
      <c r="AJ5317" s="182" t="n">
        <v>0</v>
      </c>
      <c r="AK5317" s="182" t="n">
        <v>0</v>
      </c>
      <c r="AL5317" s="182" t="n">
        <v>0</v>
      </c>
      <c r="AM5317" s="182" t="n">
        <v>0</v>
      </c>
      <c r="AN5317" s="182" t="n">
        <v>0</v>
      </c>
    </row>
    <row r="5318">
      <c r="A5318" s="155" t="n">
        <v>46106</v>
      </c>
      <c r="B5318" s="156" t="inlineStr">
        <is>
          <t>DS</t>
        </is>
      </c>
      <c r="C5318" s="156" t="inlineStr">
        <is>
          <t>EX-2101</t>
        </is>
      </c>
      <c r="D5318" s="156" t="inlineStr">
        <is>
          <t>SY2000</t>
        </is>
      </c>
      <c r="E5318" s="156" t="inlineStr">
        <is>
          <t>Excavator</t>
        </is>
      </c>
      <c r="F5318" s="156" t="inlineStr">
        <is>
          <t>Loading OB</t>
        </is>
      </c>
      <c r="G5318" s="182" t="n">
        <v>6.44</v>
      </c>
      <c r="H5318" s="182" t="n">
        <v>0</v>
      </c>
      <c r="I5318" s="182" t="n">
        <v>0.92</v>
      </c>
      <c r="J5318" s="182" t="n">
        <v>0.92</v>
      </c>
      <c r="K5318" s="182" t="n">
        <v>4.64</v>
      </c>
      <c r="L5318" s="182" t="n">
        <v>12</v>
      </c>
      <c r="M5318" s="182" t="n">
        <v>5.75</v>
      </c>
      <c r="N5318" s="182" t="n">
        <v>0</v>
      </c>
      <c r="O5318" s="185">
        <f>SUMIFS(INPUT_RITASE!$F$5:$F$20000,INPUT_RITASE!$A$5:$A$20000,$A5318,INPUT_RITASE!$H$5:$H$20000,$B5318,INPUT_RITASE!$C$5:$C$20000,$C5318,INPUT_RITASE!$N$5:$N$20000,"OB")</f>
        <v/>
      </c>
      <c r="P5318" s="185">
        <f>SUMIFS(INPUT_RITASE!$F$5:$F$20000,INPUT_RITASE!$A$5:$A$20000,$A5318,INPUT_RITASE!$H$5:$H$20000,$B5318,INPUT_RITASE!$C$5:$C$20000,$C5318,INPUT_RITASE!$N$5:$N$20000,"Coal")</f>
        <v/>
      </c>
      <c r="Q5318" s="186">
        <f>SUMIFS(INPUT_RITASE!$L$5:$L$20000,INPUT_RITASE!$A$5:$A$20000,$A5318,INPUT_RITASE!$H$5:$H$20000,$B5318,INPUT_RITASE!$C$5:$C$20000,$C5318,INPUT_RITASE!$N$5:$N$20000,"OB")</f>
        <v/>
      </c>
      <c r="R5318" s="186">
        <f>SUMIFS(INPUT_RITASE!$L$5:$L$20000,INPUT_RITASE!$A$5:$A$20000,$A5318,INPUT_RITASE!$H$5:$H$20000,$B5318,INPUT_RITASE!$C$5:$C$20000,$C5318,INPUT_RITASE!$N$5:$N$20000,"Coal")</f>
        <v/>
      </c>
      <c r="S5318" s="183" t="n">
        <v>0</v>
      </c>
      <c r="T5318" s="183" t="n">
        <v>0</v>
      </c>
      <c r="U5318" s="182" t="n">
        <v>0</v>
      </c>
      <c r="V5318" s="182" t="n">
        <v>0</v>
      </c>
      <c r="W5318" s="182" t="n">
        <v>0</v>
      </c>
      <c r="X5318" s="182" t="n">
        <v>0.97</v>
      </c>
      <c r="Y5318" s="182" t="n">
        <v>0</v>
      </c>
      <c r="Z5318" s="182" t="n">
        <v>0</v>
      </c>
      <c r="AA5318" s="182" t="n">
        <v>0</v>
      </c>
      <c r="AB5318" s="182" t="n">
        <v>0</v>
      </c>
      <c r="AC5318" s="182" t="n">
        <v>0.89</v>
      </c>
      <c r="AD5318" s="182" t="n">
        <v>0</v>
      </c>
      <c r="AE5318" s="182" t="n">
        <v>0</v>
      </c>
      <c r="AF5318" s="182" t="n">
        <v>0</v>
      </c>
      <c r="AG5318" s="182" t="n">
        <v>0</v>
      </c>
      <c r="AH5318" s="182" t="n">
        <v>0</v>
      </c>
      <c r="AI5318" s="182" t="n">
        <v>0</v>
      </c>
      <c r="AJ5318" s="182" t="n">
        <v>2.7</v>
      </c>
      <c r="AK5318" s="182" t="n">
        <v>0</v>
      </c>
      <c r="AL5318" s="182" t="n">
        <v>0</v>
      </c>
      <c r="AM5318" s="182" t="n">
        <v>0.08</v>
      </c>
      <c r="AN5318" s="182" t="n">
        <v>0</v>
      </c>
    </row>
    <row r="5319">
      <c r="A5319" s="155" t="n">
        <v>46106</v>
      </c>
      <c r="B5319" s="156" t="inlineStr">
        <is>
          <t>DS</t>
        </is>
      </c>
      <c r="C5319" s="156" t="inlineStr">
        <is>
          <t>EX-222</t>
        </is>
      </c>
      <c r="D5319" s="156" t="inlineStr">
        <is>
          <t>PC 200-8MI</t>
        </is>
      </c>
      <c r="E5319" s="156" t="inlineStr">
        <is>
          <t>Excavator</t>
        </is>
      </c>
      <c r="F5319" s="156" t="inlineStr">
        <is>
          <t>Support Washing Plant</t>
        </is>
      </c>
      <c r="G5319" s="182" t="n">
        <v>12</v>
      </c>
      <c r="H5319" s="182" t="n">
        <v>0</v>
      </c>
      <c r="I5319" s="182" t="n">
        <v>0</v>
      </c>
      <c r="J5319" s="182" t="n">
        <v>0</v>
      </c>
      <c r="K5319" s="182" t="n">
        <v>0</v>
      </c>
      <c r="L5319" s="182" t="n">
        <v>12</v>
      </c>
      <c r="M5319" s="182" t="n">
        <v>0</v>
      </c>
      <c r="N5319" s="182" t="n">
        <v>0</v>
      </c>
      <c r="O5319" s="185">
        <f>SUMIFS(INPUT_RITASE!$F$5:$F$20000,INPUT_RITASE!$A$5:$A$20000,$A5319,INPUT_RITASE!$H$5:$H$20000,$B5319,INPUT_RITASE!$C$5:$C$20000,$C5319,INPUT_RITASE!$N$5:$N$20000,"OB")</f>
        <v/>
      </c>
      <c r="P5319" s="185">
        <f>SUMIFS(INPUT_RITASE!$F$5:$F$20000,INPUT_RITASE!$A$5:$A$20000,$A5319,INPUT_RITASE!$H$5:$H$20000,$B5319,INPUT_RITASE!$C$5:$C$20000,$C5319,INPUT_RITASE!$N$5:$N$20000,"Coal")</f>
        <v/>
      </c>
      <c r="Q5319" s="186">
        <f>SUMIFS(INPUT_RITASE!$L$5:$L$20000,INPUT_RITASE!$A$5:$A$20000,$A5319,INPUT_RITASE!$H$5:$H$20000,$B5319,INPUT_RITASE!$C$5:$C$20000,$C5319,INPUT_RITASE!$N$5:$N$20000,"OB")</f>
        <v/>
      </c>
      <c r="R5319" s="186">
        <f>SUMIFS(INPUT_RITASE!$L$5:$L$20000,INPUT_RITASE!$A$5:$A$20000,$A5319,INPUT_RITASE!$H$5:$H$20000,$B5319,INPUT_RITASE!$C$5:$C$20000,$C5319,INPUT_RITASE!$N$5:$N$20000,"Coal")</f>
        <v/>
      </c>
      <c r="S5319" s="183" t="n">
        <v>0</v>
      </c>
      <c r="T5319" s="183" t="n">
        <v>0</v>
      </c>
      <c r="U5319" s="182" t="n">
        <v>0</v>
      </c>
      <c r="V5319" s="182" t="n">
        <v>0</v>
      </c>
      <c r="W5319" s="182" t="n">
        <v>0</v>
      </c>
      <c r="X5319" s="182" t="n">
        <v>0</v>
      </c>
      <c r="Y5319" s="182" t="n">
        <v>0</v>
      </c>
      <c r="Z5319" s="182" t="n">
        <v>0</v>
      </c>
      <c r="AA5319" s="182" t="n">
        <v>0</v>
      </c>
      <c r="AB5319" s="182" t="n">
        <v>0</v>
      </c>
      <c r="AC5319" s="182" t="n">
        <v>0</v>
      </c>
      <c r="AD5319" s="182" t="n">
        <v>0</v>
      </c>
      <c r="AE5319" s="182" t="n">
        <v>0</v>
      </c>
      <c r="AF5319" s="182" t="n">
        <v>0</v>
      </c>
      <c r="AG5319" s="182" t="n">
        <v>0</v>
      </c>
      <c r="AH5319" s="182" t="n">
        <v>0</v>
      </c>
      <c r="AI5319" s="182" t="n">
        <v>0</v>
      </c>
      <c r="AJ5319" s="182" t="n">
        <v>0</v>
      </c>
      <c r="AK5319" s="182" t="n">
        <v>0</v>
      </c>
      <c r="AL5319" s="182" t="n">
        <v>0</v>
      </c>
      <c r="AM5319" s="182" t="n">
        <v>0</v>
      </c>
      <c r="AN5319" s="182" t="n">
        <v>0</v>
      </c>
    </row>
    <row r="5320">
      <c r="A5320" s="155" t="n">
        <v>46106</v>
      </c>
      <c r="B5320" s="156" t="inlineStr">
        <is>
          <t>DS</t>
        </is>
      </c>
      <c r="C5320" s="156" t="inlineStr">
        <is>
          <t>EX-225</t>
        </is>
      </c>
      <c r="D5320" s="156" t="inlineStr">
        <is>
          <t>PC 200-8</t>
        </is>
      </c>
      <c r="E5320" s="156" t="inlineStr">
        <is>
          <t>Excavator</t>
        </is>
      </c>
      <c r="F5320" s="156" t="inlineStr"/>
      <c r="G5320" s="182" t="n">
        <v>0</v>
      </c>
      <c r="H5320" s="182" t="n">
        <v>0</v>
      </c>
      <c r="I5320" s="182" t="n">
        <v>12</v>
      </c>
      <c r="J5320" s="182" t="n">
        <v>12</v>
      </c>
      <c r="K5320" s="182" t="n">
        <v>0</v>
      </c>
      <c r="L5320" s="182" t="n">
        <v>12</v>
      </c>
      <c r="M5320" s="182" t="n">
        <v>0</v>
      </c>
      <c r="N5320" s="182" t="n">
        <v>0</v>
      </c>
      <c r="O5320" s="185">
        <f>SUMIFS(INPUT_RITASE!$F$5:$F$20000,INPUT_RITASE!$A$5:$A$20000,$A5320,INPUT_RITASE!$H$5:$H$20000,$B5320,INPUT_RITASE!$C$5:$C$20000,$C5320,INPUT_RITASE!$N$5:$N$20000,"OB")</f>
        <v/>
      </c>
      <c r="P5320" s="185">
        <f>SUMIFS(INPUT_RITASE!$F$5:$F$20000,INPUT_RITASE!$A$5:$A$20000,$A5320,INPUT_RITASE!$H$5:$H$20000,$B5320,INPUT_RITASE!$C$5:$C$20000,$C5320,INPUT_RITASE!$N$5:$N$20000,"Coal")</f>
        <v/>
      </c>
      <c r="Q5320" s="186">
        <f>SUMIFS(INPUT_RITASE!$L$5:$L$20000,INPUT_RITASE!$A$5:$A$20000,$A5320,INPUT_RITASE!$H$5:$H$20000,$B5320,INPUT_RITASE!$C$5:$C$20000,$C5320,INPUT_RITASE!$N$5:$N$20000,"OB")</f>
        <v/>
      </c>
      <c r="R5320" s="186">
        <f>SUMIFS(INPUT_RITASE!$L$5:$L$20000,INPUT_RITASE!$A$5:$A$20000,$A5320,INPUT_RITASE!$H$5:$H$20000,$B5320,INPUT_RITASE!$C$5:$C$20000,$C5320,INPUT_RITASE!$N$5:$N$20000,"Coal")</f>
        <v/>
      </c>
      <c r="S5320" s="183" t="n">
        <v>0</v>
      </c>
      <c r="T5320" s="183" t="n">
        <v>0</v>
      </c>
      <c r="U5320" s="182" t="n">
        <v>0</v>
      </c>
      <c r="V5320" s="182" t="n">
        <v>0</v>
      </c>
      <c r="W5320" s="182" t="n">
        <v>0</v>
      </c>
      <c r="X5320" s="182" t="n">
        <v>0</v>
      </c>
      <c r="Y5320" s="182" t="n">
        <v>0</v>
      </c>
      <c r="Z5320" s="182" t="n">
        <v>0</v>
      </c>
      <c r="AA5320" s="182" t="n">
        <v>0</v>
      </c>
      <c r="AB5320" s="182" t="n">
        <v>0</v>
      </c>
      <c r="AC5320" s="182" t="n">
        <v>0</v>
      </c>
      <c r="AD5320" s="182" t="n">
        <v>0</v>
      </c>
      <c r="AE5320" s="182" t="n">
        <v>0</v>
      </c>
      <c r="AF5320" s="182" t="n">
        <v>0</v>
      </c>
      <c r="AG5320" s="182" t="n">
        <v>0</v>
      </c>
      <c r="AH5320" s="182" t="n">
        <v>0</v>
      </c>
      <c r="AI5320" s="182" t="n">
        <v>0</v>
      </c>
      <c r="AJ5320" s="182" t="n">
        <v>0</v>
      </c>
      <c r="AK5320" s="182" t="n">
        <v>0</v>
      </c>
      <c r="AL5320" s="182" t="n">
        <v>0</v>
      </c>
      <c r="AM5320" s="182" t="n">
        <v>0</v>
      </c>
      <c r="AN5320" s="182" t="n">
        <v>0</v>
      </c>
    </row>
    <row r="5321">
      <c r="A5321" s="155" t="n">
        <v>46106</v>
      </c>
      <c r="B5321" s="156" t="inlineStr">
        <is>
          <t>DS</t>
        </is>
      </c>
      <c r="C5321" s="156" t="inlineStr">
        <is>
          <t>EX-223</t>
        </is>
      </c>
      <c r="D5321" s="156" t="inlineStr">
        <is>
          <t>PC 200-8MI</t>
        </is>
      </c>
      <c r="E5321" s="156" t="inlineStr">
        <is>
          <t>Excavator</t>
        </is>
      </c>
      <c r="F5321" s="156" t="inlineStr">
        <is>
          <t>Support Washing Plant</t>
        </is>
      </c>
      <c r="G5321" s="182" t="n">
        <v>11.36</v>
      </c>
      <c r="H5321" s="182" t="n">
        <v>0</v>
      </c>
      <c r="I5321" s="182" t="n">
        <v>0</v>
      </c>
      <c r="J5321" s="182" t="n">
        <v>0</v>
      </c>
      <c r="K5321" s="182" t="n">
        <v>0.64</v>
      </c>
      <c r="L5321" s="182" t="n">
        <v>12</v>
      </c>
      <c r="M5321" s="182" t="n">
        <v>0</v>
      </c>
      <c r="N5321" s="182" t="n">
        <v>0</v>
      </c>
      <c r="O5321" s="185">
        <f>SUMIFS(INPUT_RITASE!$F$5:$F$20000,INPUT_RITASE!$A$5:$A$20000,$A5321,INPUT_RITASE!$H$5:$H$20000,$B5321,INPUT_RITASE!$C$5:$C$20000,$C5321,INPUT_RITASE!$N$5:$N$20000,"OB")</f>
        <v/>
      </c>
      <c r="P5321" s="185">
        <f>SUMIFS(INPUT_RITASE!$F$5:$F$20000,INPUT_RITASE!$A$5:$A$20000,$A5321,INPUT_RITASE!$H$5:$H$20000,$B5321,INPUT_RITASE!$C$5:$C$20000,$C5321,INPUT_RITASE!$N$5:$N$20000,"Coal")</f>
        <v/>
      </c>
      <c r="Q5321" s="186">
        <f>SUMIFS(INPUT_RITASE!$L$5:$L$20000,INPUT_RITASE!$A$5:$A$20000,$A5321,INPUT_RITASE!$H$5:$H$20000,$B5321,INPUT_RITASE!$C$5:$C$20000,$C5321,INPUT_RITASE!$N$5:$N$20000,"OB")</f>
        <v/>
      </c>
      <c r="R5321" s="186">
        <f>SUMIFS(INPUT_RITASE!$L$5:$L$20000,INPUT_RITASE!$A$5:$A$20000,$A5321,INPUT_RITASE!$H$5:$H$20000,$B5321,INPUT_RITASE!$C$5:$C$20000,$C5321,INPUT_RITASE!$N$5:$N$20000,"Coal")</f>
        <v/>
      </c>
      <c r="S5321" s="183" t="n">
        <v>0</v>
      </c>
      <c r="T5321" s="183" t="n">
        <v>0</v>
      </c>
      <c r="U5321" s="182" t="n">
        <v>0</v>
      </c>
      <c r="V5321" s="182" t="n">
        <v>0</v>
      </c>
      <c r="W5321" s="182" t="n">
        <v>0</v>
      </c>
      <c r="X5321" s="182" t="n">
        <v>0.54</v>
      </c>
      <c r="Y5321" s="182" t="n">
        <v>0</v>
      </c>
      <c r="Z5321" s="182" t="n">
        <v>0</v>
      </c>
      <c r="AA5321" s="182" t="n">
        <v>0</v>
      </c>
      <c r="AB5321" s="182" t="n">
        <v>0</v>
      </c>
      <c r="AC5321" s="182" t="n">
        <v>0</v>
      </c>
      <c r="AD5321" s="182" t="n">
        <v>0</v>
      </c>
      <c r="AE5321" s="182" t="n">
        <v>0</v>
      </c>
      <c r="AF5321" s="182" t="n">
        <v>0</v>
      </c>
      <c r="AG5321" s="182" t="n">
        <v>0</v>
      </c>
      <c r="AH5321" s="182" t="n">
        <v>0</v>
      </c>
      <c r="AI5321" s="182" t="n">
        <v>0</v>
      </c>
      <c r="AJ5321" s="182" t="n">
        <v>0</v>
      </c>
      <c r="AK5321" s="182" t="n">
        <v>0</v>
      </c>
      <c r="AL5321" s="182" t="n">
        <v>0</v>
      </c>
      <c r="AM5321" s="182" t="n">
        <v>0.1</v>
      </c>
      <c r="AN5321" s="182" t="n">
        <v>0</v>
      </c>
    </row>
    <row r="5322">
      <c r="A5322" s="155" t="n">
        <v>46106</v>
      </c>
      <c r="B5322" s="156" t="inlineStr">
        <is>
          <t>DS</t>
        </is>
      </c>
      <c r="C5322" s="156" t="inlineStr">
        <is>
          <t>EX-221</t>
        </is>
      </c>
      <c r="D5322" s="156" t="inlineStr">
        <is>
          <t>PC 200-8MI</t>
        </is>
      </c>
      <c r="E5322" s="156" t="inlineStr">
        <is>
          <t>Excavator</t>
        </is>
      </c>
      <c r="F5322" s="156" t="inlineStr"/>
      <c r="G5322" s="182" t="n">
        <v>0</v>
      </c>
      <c r="H5322" s="182" t="n">
        <v>0</v>
      </c>
      <c r="I5322" s="182" t="n">
        <v>0</v>
      </c>
      <c r="J5322" s="182" t="n">
        <v>0</v>
      </c>
      <c r="K5322" s="182" t="n">
        <v>12</v>
      </c>
      <c r="L5322" s="182" t="n">
        <v>12</v>
      </c>
      <c r="M5322" s="182" t="n">
        <v>0</v>
      </c>
      <c r="N5322" s="182" t="n">
        <v>0</v>
      </c>
      <c r="O5322" s="185">
        <f>SUMIFS(INPUT_RITASE!$F$5:$F$20000,INPUT_RITASE!$A$5:$A$20000,$A5322,INPUT_RITASE!$H$5:$H$20000,$B5322,INPUT_RITASE!$C$5:$C$20000,$C5322,INPUT_RITASE!$N$5:$N$20000,"OB")</f>
        <v/>
      </c>
      <c r="P5322" s="185">
        <f>SUMIFS(INPUT_RITASE!$F$5:$F$20000,INPUT_RITASE!$A$5:$A$20000,$A5322,INPUT_RITASE!$H$5:$H$20000,$B5322,INPUT_RITASE!$C$5:$C$20000,$C5322,INPUT_RITASE!$N$5:$N$20000,"Coal")</f>
        <v/>
      </c>
      <c r="Q5322" s="186">
        <f>SUMIFS(INPUT_RITASE!$L$5:$L$20000,INPUT_RITASE!$A$5:$A$20000,$A5322,INPUT_RITASE!$H$5:$H$20000,$B5322,INPUT_RITASE!$C$5:$C$20000,$C5322,INPUT_RITASE!$N$5:$N$20000,"OB")</f>
        <v/>
      </c>
      <c r="R5322" s="186">
        <f>SUMIFS(INPUT_RITASE!$L$5:$L$20000,INPUT_RITASE!$A$5:$A$20000,$A5322,INPUT_RITASE!$H$5:$H$20000,$B5322,INPUT_RITASE!$C$5:$C$20000,$C5322,INPUT_RITASE!$N$5:$N$20000,"Coal")</f>
        <v/>
      </c>
      <c r="S5322" s="183" t="n">
        <v>0</v>
      </c>
      <c r="T5322" s="183" t="n">
        <v>0</v>
      </c>
      <c r="U5322" s="182" t="n">
        <v>0</v>
      </c>
      <c r="V5322" s="182" t="n">
        <v>0</v>
      </c>
      <c r="W5322" s="182" t="n">
        <v>0</v>
      </c>
      <c r="X5322" s="182" t="n">
        <v>1</v>
      </c>
      <c r="Y5322" s="182" t="n">
        <v>0</v>
      </c>
      <c r="Z5322" s="182" t="n">
        <v>0</v>
      </c>
      <c r="AA5322" s="182" t="n">
        <v>0</v>
      </c>
      <c r="AB5322" s="182" t="n">
        <v>0</v>
      </c>
      <c r="AC5322" s="182" t="n">
        <v>0</v>
      </c>
      <c r="AD5322" s="182" t="n">
        <v>0</v>
      </c>
      <c r="AE5322" s="182" t="n">
        <v>0</v>
      </c>
      <c r="AF5322" s="182" t="n">
        <v>0</v>
      </c>
      <c r="AG5322" s="182" t="n">
        <v>0</v>
      </c>
      <c r="AH5322" s="182" t="n">
        <v>0</v>
      </c>
      <c r="AI5322" s="182" t="n">
        <v>0</v>
      </c>
      <c r="AJ5322" s="182" t="n">
        <v>0</v>
      </c>
      <c r="AK5322" s="182" t="n">
        <v>10.92</v>
      </c>
      <c r="AL5322" s="182" t="n">
        <v>0</v>
      </c>
      <c r="AM5322" s="182" t="n">
        <v>0.08</v>
      </c>
      <c r="AN5322" s="182" t="n">
        <v>0</v>
      </c>
    </row>
    <row r="5323">
      <c r="A5323" s="155" t="n">
        <v>46106</v>
      </c>
      <c r="B5323" s="156" t="inlineStr">
        <is>
          <t>DS</t>
        </is>
      </c>
      <c r="C5323" s="156" t="inlineStr">
        <is>
          <t>EX-331</t>
        </is>
      </c>
      <c r="D5323" s="156" t="inlineStr">
        <is>
          <t>PC 300-8MO</t>
        </is>
      </c>
      <c r="E5323" s="156" t="inlineStr">
        <is>
          <t>Excavator</t>
        </is>
      </c>
      <c r="F5323" s="156" t="inlineStr"/>
      <c r="G5323" s="182" t="n">
        <v>0</v>
      </c>
      <c r="H5323" s="182" t="n">
        <v>0</v>
      </c>
      <c r="I5323" s="182" t="n">
        <v>12</v>
      </c>
      <c r="J5323" s="182" t="n">
        <v>12</v>
      </c>
      <c r="K5323" s="182" t="n">
        <v>0</v>
      </c>
      <c r="L5323" s="182" t="n">
        <v>12</v>
      </c>
      <c r="M5323" s="182" t="n">
        <v>0</v>
      </c>
      <c r="N5323" s="182" t="n">
        <v>0</v>
      </c>
      <c r="O5323" s="185">
        <f>SUMIFS(INPUT_RITASE!$F$5:$F$20000,INPUT_RITASE!$A$5:$A$20000,$A5323,INPUT_RITASE!$H$5:$H$20000,$B5323,INPUT_RITASE!$C$5:$C$20000,$C5323,INPUT_RITASE!$N$5:$N$20000,"OB")</f>
        <v/>
      </c>
      <c r="P5323" s="185">
        <f>SUMIFS(INPUT_RITASE!$F$5:$F$20000,INPUT_RITASE!$A$5:$A$20000,$A5323,INPUT_RITASE!$H$5:$H$20000,$B5323,INPUT_RITASE!$C$5:$C$20000,$C5323,INPUT_RITASE!$N$5:$N$20000,"Coal")</f>
        <v/>
      </c>
      <c r="Q5323" s="186">
        <f>SUMIFS(INPUT_RITASE!$L$5:$L$20000,INPUT_RITASE!$A$5:$A$20000,$A5323,INPUT_RITASE!$H$5:$H$20000,$B5323,INPUT_RITASE!$C$5:$C$20000,$C5323,INPUT_RITASE!$N$5:$N$20000,"OB")</f>
        <v/>
      </c>
      <c r="R5323" s="186">
        <f>SUMIFS(INPUT_RITASE!$L$5:$L$20000,INPUT_RITASE!$A$5:$A$20000,$A5323,INPUT_RITASE!$H$5:$H$20000,$B5323,INPUT_RITASE!$C$5:$C$20000,$C5323,INPUT_RITASE!$N$5:$N$20000,"Coal")</f>
        <v/>
      </c>
      <c r="S5323" s="183" t="n">
        <v>0</v>
      </c>
      <c r="T5323" s="183" t="n">
        <v>0</v>
      </c>
      <c r="U5323" s="182" t="n">
        <v>0</v>
      </c>
      <c r="V5323" s="182" t="n">
        <v>0</v>
      </c>
      <c r="W5323" s="182" t="n">
        <v>0</v>
      </c>
      <c r="X5323" s="182" t="n">
        <v>0</v>
      </c>
      <c r="Y5323" s="182" t="n">
        <v>0</v>
      </c>
      <c r="Z5323" s="182" t="n">
        <v>0</v>
      </c>
      <c r="AA5323" s="182" t="n">
        <v>0</v>
      </c>
      <c r="AB5323" s="182" t="n">
        <v>0</v>
      </c>
      <c r="AC5323" s="182" t="n">
        <v>0</v>
      </c>
      <c r="AD5323" s="182" t="n">
        <v>0</v>
      </c>
      <c r="AE5323" s="182" t="n">
        <v>0</v>
      </c>
      <c r="AF5323" s="182" t="n">
        <v>0</v>
      </c>
      <c r="AG5323" s="182" t="n">
        <v>0</v>
      </c>
      <c r="AH5323" s="182" t="n">
        <v>0</v>
      </c>
      <c r="AI5323" s="182" t="n">
        <v>0</v>
      </c>
      <c r="AJ5323" s="182" t="n">
        <v>0</v>
      </c>
      <c r="AK5323" s="182" t="n">
        <v>0</v>
      </c>
      <c r="AL5323" s="182" t="n">
        <v>0</v>
      </c>
      <c r="AM5323" s="182" t="n">
        <v>0</v>
      </c>
      <c r="AN5323" s="182" t="n">
        <v>0</v>
      </c>
    </row>
    <row r="5324">
      <c r="A5324" s="155" t="n">
        <v>46106</v>
      </c>
      <c r="B5324" s="156" t="inlineStr">
        <is>
          <t>DS</t>
        </is>
      </c>
      <c r="C5324" s="156" t="inlineStr">
        <is>
          <t>EX-334</t>
        </is>
      </c>
      <c r="D5324" s="156" t="inlineStr">
        <is>
          <t>PC 300-8MO</t>
        </is>
      </c>
      <c r="E5324" s="156" t="inlineStr">
        <is>
          <t>Excavator</t>
        </is>
      </c>
      <c r="F5324" s="156" t="inlineStr">
        <is>
          <t>General Tanggul Pit</t>
        </is>
      </c>
      <c r="G5324" s="182" t="n">
        <v>11.33</v>
      </c>
      <c r="H5324" s="182" t="n">
        <v>0</v>
      </c>
      <c r="I5324" s="182" t="n">
        <v>0</v>
      </c>
      <c r="J5324" s="182" t="n">
        <v>0</v>
      </c>
      <c r="K5324" s="182" t="n">
        <v>0.67</v>
      </c>
      <c r="L5324" s="182" t="n">
        <v>12</v>
      </c>
      <c r="M5324" s="182" t="n">
        <v>0</v>
      </c>
      <c r="N5324" s="182" t="n">
        <v>0</v>
      </c>
      <c r="O5324" s="185">
        <f>SUMIFS(INPUT_RITASE!$F$5:$F$20000,INPUT_RITASE!$A$5:$A$20000,$A5324,INPUT_RITASE!$H$5:$H$20000,$B5324,INPUT_RITASE!$C$5:$C$20000,$C5324,INPUT_RITASE!$N$5:$N$20000,"OB")</f>
        <v/>
      </c>
      <c r="P5324" s="185">
        <f>SUMIFS(INPUT_RITASE!$F$5:$F$20000,INPUT_RITASE!$A$5:$A$20000,$A5324,INPUT_RITASE!$H$5:$H$20000,$B5324,INPUT_RITASE!$C$5:$C$20000,$C5324,INPUT_RITASE!$N$5:$N$20000,"Coal")</f>
        <v/>
      </c>
      <c r="Q5324" s="186">
        <f>SUMIFS(INPUT_RITASE!$L$5:$L$20000,INPUT_RITASE!$A$5:$A$20000,$A5324,INPUT_RITASE!$H$5:$H$20000,$B5324,INPUT_RITASE!$C$5:$C$20000,$C5324,INPUT_RITASE!$N$5:$N$20000,"OB")</f>
        <v/>
      </c>
      <c r="R5324" s="186">
        <f>SUMIFS(INPUT_RITASE!$L$5:$L$20000,INPUT_RITASE!$A$5:$A$20000,$A5324,INPUT_RITASE!$H$5:$H$20000,$B5324,INPUT_RITASE!$C$5:$C$20000,$C5324,INPUT_RITASE!$N$5:$N$20000,"Coal")</f>
        <v/>
      </c>
      <c r="S5324" s="183" t="n">
        <v>0</v>
      </c>
      <c r="T5324" s="183" t="n">
        <v>0</v>
      </c>
      <c r="U5324" s="182" t="n">
        <v>0</v>
      </c>
      <c r="V5324" s="182" t="n">
        <v>0</v>
      </c>
      <c r="W5324" s="182" t="n">
        <v>0</v>
      </c>
      <c r="X5324" s="182" t="n">
        <v>0.58</v>
      </c>
      <c r="Y5324" s="182" t="n">
        <v>0</v>
      </c>
      <c r="Z5324" s="182" t="n">
        <v>0</v>
      </c>
      <c r="AA5324" s="182" t="n">
        <v>0</v>
      </c>
      <c r="AB5324" s="182" t="n">
        <v>0</v>
      </c>
      <c r="AC5324" s="182" t="n">
        <v>0</v>
      </c>
      <c r="AD5324" s="182" t="n">
        <v>0</v>
      </c>
      <c r="AE5324" s="182" t="n">
        <v>0</v>
      </c>
      <c r="AF5324" s="182" t="n">
        <v>0</v>
      </c>
      <c r="AG5324" s="182" t="n">
        <v>0</v>
      </c>
      <c r="AH5324" s="182" t="n">
        <v>0</v>
      </c>
      <c r="AI5324" s="182" t="n">
        <v>0</v>
      </c>
      <c r="AJ5324" s="182" t="n">
        <v>0</v>
      </c>
      <c r="AK5324" s="182" t="n">
        <v>0</v>
      </c>
      <c r="AL5324" s="182" t="n">
        <v>0</v>
      </c>
      <c r="AM5324" s="182" t="n">
        <v>0.09</v>
      </c>
      <c r="AN5324" s="182" t="n">
        <v>0</v>
      </c>
    </row>
    <row r="5325">
      <c r="A5325" s="155" t="n">
        <v>46106</v>
      </c>
      <c r="B5325" s="156" t="inlineStr">
        <is>
          <t>DS</t>
        </is>
      </c>
      <c r="C5325" s="156" t="inlineStr">
        <is>
          <t>EX-332</t>
        </is>
      </c>
      <c r="D5325" s="156" t="inlineStr">
        <is>
          <t>PC 300-8MO</t>
        </is>
      </c>
      <c r="E5325" s="156" t="inlineStr">
        <is>
          <t>Excavator</t>
        </is>
      </c>
      <c r="F5325" s="156" t="inlineStr"/>
      <c r="G5325" s="182" t="n">
        <v>0</v>
      </c>
      <c r="H5325" s="182" t="n">
        <v>0</v>
      </c>
      <c r="I5325" s="182" t="n">
        <v>12</v>
      </c>
      <c r="J5325" s="182" t="n">
        <v>12</v>
      </c>
      <c r="K5325" s="182" t="n">
        <v>0</v>
      </c>
      <c r="L5325" s="182" t="n">
        <v>12</v>
      </c>
      <c r="M5325" s="182" t="n">
        <v>0</v>
      </c>
      <c r="N5325" s="182" t="n">
        <v>0</v>
      </c>
      <c r="O5325" s="185">
        <f>SUMIFS(INPUT_RITASE!$F$5:$F$20000,INPUT_RITASE!$A$5:$A$20000,$A5325,INPUT_RITASE!$H$5:$H$20000,$B5325,INPUT_RITASE!$C$5:$C$20000,$C5325,INPUT_RITASE!$N$5:$N$20000,"OB")</f>
        <v/>
      </c>
      <c r="P5325" s="185">
        <f>SUMIFS(INPUT_RITASE!$F$5:$F$20000,INPUT_RITASE!$A$5:$A$20000,$A5325,INPUT_RITASE!$H$5:$H$20000,$B5325,INPUT_RITASE!$C$5:$C$20000,$C5325,INPUT_RITASE!$N$5:$N$20000,"Coal")</f>
        <v/>
      </c>
      <c r="Q5325" s="186">
        <f>SUMIFS(INPUT_RITASE!$L$5:$L$20000,INPUT_RITASE!$A$5:$A$20000,$A5325,INPUT_RITASE!$H$5:$H$20000,$B5325,INPUT_RITASE!$C$5:$C$20000,$C5325,INPUT_RITASE!$N$5:$N$20000,"OB")</f>
        <v/>
      </c>
      <c r="R5325" s="186">
        <f>SUMIFS(INPUT_RITASE!$L$5:$L$20000,INPUT_RITASE!$A$5:$A$20000,$A5325,INPUT_RITASE!$H$5:$H$20000,$B5325,INPUT_RITASE!$C$5:$C$20000,$C5325,INPUT_RITASE!$N$5:$N$20000,"Coal")</f>
        <v/>
      </c>
      <c r="S5325" s="183" t="n">
        <v>0</v>
      </c>
      <c r="T5325" s="183" t="n">
        <v>0</v>
      </c>
      <c r="U5325" s="182" t="n">
        <v>0</v>
      </c>
      <c r="V5325" s="182" t="n">
        <v>0</v>
      </c>
      <c r="W5325" s="182" t="n">
        <v>0</v>
      </c>
      <c r="X5325" s="182" t="n">
        <v>0</v>
      </c>
      <c r="Y5325" s="182" t="n">
        <v>0</v>
      </c>
      <c r="Z5325" s="182" t="n">
        <v>0</v>
      </c>
      <c r="AA5325" s="182" t="n">
        <v>0</v>
      </c>
      <c r="AB5325" s="182" t="n">
        <v>0</v>
      </c>
      <c r="AC5325" s="182" t="n">
        <v>0</v>
      </c>
      <c r="AD5325" s="182" t="n">
        <v>0</v>
      </c>
      <c r="AE5325" s="182" t="n">
        <v>0</v>
      </c>
      <c r="AF5325" s="182" t="n">
        <v>0</v>
      </c>
      <c r="AG5325" s="182" t="n">
        <v>0</v>
      </c>
      <c r="AH5325" s="182" t="n">
        <v>0</v>
      </c>
      <c r="AI5325" s="182" t="n">
        <v>0</v>
      </c>
      <c r="AJ5325" s="182" t="n">
        <v>0</v>
      </c>
      <c r="AK5325" s="182" t="n">
        <v>0</v>
      </c>
      <c r="AL5325" s="182" t="n">
        <v>0</v>
      </c>
      <c r="AM5325" s="182" t="n">
        <v>0</v>
      </c>
      <c r="AN5325" s="182" t="n">
        <v>0</v>
      </c>
    </row>
    <row r="5326">
      <c r="A5326" s="155" t="n">
        <v>46106</v>
      </c>
      <c r="B5326" s="156" t="inlineStr">
        <is>
          <t>DS</t>
        </is>
      </c>
      <c r="C5326" s="156" t="inlineStr">
        <is>
          <t>EX-333</t>
        </is>
      </c>
      <c r="D5326" s="156" t="inlineStr">
        <is>
          <t>PC 300-8MO</t>
        </is>
      </c>
      <c r="E5326" s="156" t="inlineStr">
        <is>
          <t>Excavator</t>
        </is>
      </c>
      <c r="F5326" s="156" t="inlineStr">
        <is>
          <t>Cleaning Coal</t>
        </is>
      </c>
      <c r="G5326" s="182" t="n">
        <v>5.64</v>
      </c>
      <c r="H5326" s="182" t="n">
        <v>0</v>
      </c>
      <c r="I5326" s="182" t="n">
        <v>5.32</v>
      </c>
      <c r="J5326" s="182" t="n">
        <v>5.32</v>
      </c>
      <c r="K5326" s="182" t="n">
        <v>1.04</v>
      </c>
      <c r="L5326" s="182" t="n">
        <v>12</v>
      </c>
      <c r="M5326" s="182" t="n">
        <v>0</v>
      </c>
      <c r="N5326" s="182" t="n">
        <v>0</v>
      </c>
      <c r="O5326" s="185">
        <f>SUMIFS(INPUT_RITASE!$F$5:$F$20000,INPUT_RITASE!$A$5:$A$20000,$A5326,INPUT_RITASE!$H$5:$H$20000,$B5326,INPUT_RITASE!$C$5:$C$20000,$C5326,INPUT_RITASE!$N$5:$N$20000,"OB")</f>
        <v/>
      </c>
      <c r="P5326" s="185">
        <f>SUMIFS(INPUT_RITASE!$F$5:$F$20000,INPUT_RITASE!$A$5:$A$20000,$A5326,INPUT_RITASE!$H$5:$H$20000,$B5326,INPUT_RITASE!$C$5:$C$20000,$C5326,INPUT_RITASE!$N$5:$N$20000,"Coal")</f>
        <v/>
      </c>
      <c r="Q5326" s="186">
        <f>SUMIFS(INPUT_RITASE!$L$5:$L$20000,INPUT_RITASE!$A$5:$A$20000,$A5326,INPUT_RITASE!$H$5:$H$20000,$B5326,INPUT_RITASE!$C$5:$C$20000,$C5326,INPUT_RITASE!$N$5:$N$20000,"OB")</f>
        <v/>
      </c>
      <c r="R5326" s="186">
        <f>SUMIFS(INPUT_RITASE!$L$5:$L$20000,INPUT_RITASE!$A$5:$A$20000,$A5326,INPUT_RITASE!$H$5:$H$20000,$B5326,INPUT_RITASE!$C$5:$C$20000,$C5326,INPUT_RITASE!$N$5:$N$20000,"Coal")</f>
        <v/>
      </c>
      <c r="S5326" s="183" t="n">
        <v>0</v>
      </c>
      <c r="T5326" s="183" t="n">
        <v>0</v>
      </c>
      <c r="U5326" s="182" t="n">
        <v>0</v>
      </c>
      <c r="V5326" s="182" t="n">
        <v>0</v>
      </c>
      <c r="W5326" s="182" t="n">
        <v>0</v>
      </c>
      <c r="X5326" s="182" t="n">
        <v>0.92</v>
      </c>
      <c r="Y5326" s="182" t="n">
        <v>0</v>
      </c>
      <c r="Z5326" s="182" t="n">
        <v>0</v>
      </c>
      <c r="AA5326" s="182" t="n">
        <v>0</v>
      </c>
      <c r="AB5326" s="182" t="n">
        <v>0</v>
      </c>
      <c r="AC5326" s="182" t="n">
        <v>0</v>
      </c>
      <c r="AD5326" s="182" t="n">
        <v>0</v>
      </c>
      <c r="AE5326" s="182" t="n">
        <v>0</v>
      </c>
      <c r="AF5326" s="182" t="n">
        <v>0</v>
      </c>
      <c r="AG5326" s="182" t="n">
        <v>0</v>
      </c>
      <c r="AH5326" s="182" t="n">
        <v>0</v>
      </c>
      <c r="AI5326" s="182" t="n">
        <v>0</v>
      </c>
      <c r="AJ5326" s="182" t="n">
        <v>0</v>
      </c>
      <c r="AK5326" s="182" t="n">
        <v>0</v>
      </c>
      <c r="AL5326" s="182" t="n">
        <v>0</v>
      </c>
      <c r="AM5326" s="182" t="n">
        <v>0.12</v>
      </c>
      <c r="AN5326" s="182" t="n">
        <v>0</v>
      </c>
    </row>
    <row r="5327">
      <c r="A5327" s="155" t="n">
        <v>46106</v>
      </c>
      <c r="B5327" s="156" t="inlineStr">
        <is>
          <t>DS</t>
        </is>
      </c>
      <c r="C5327" s="156" t="inlineStr">
        <is>
          <t>EX-336</t>
        </is>
      </c>
      <c r="D5327" s="156" t="inlineStr">
        <is>
          <t>PC 300-8MO</t>
        </is>
      </c>
      <c r="E5327" s="156" t="inlineStr">
        <is>
          <t>Excavator</t>
        </is>
      </c>
      <c r="F5327" s="156" t="inlineStr">
        <is>
          <t>Loading Coal &amp; Cleaning Coal</t>
        </is>
      </c>
      <c r="G5327" s="182" t="n">
        <v>10.8</v>
      </c>
      <c r="H5327" s="182" t="n">
        <v>0</v>
      </c>
      <c r="I5327" s="182" t="n">
        <v>0.75</v>
      </c>
      <c r="J5327" s="182" t="n">
        <v>0.75</v>
      </c>
      <c r="K5327" s="182" t="n">
        <v>0.45</v>
      </c>
      <c r="L5327" s="182" t="n">
        <v>12</v>
      </c>
      <c r="M5327" s="182" t="n">
        <v>0</v>
      </c>
      <c r="N5327" s="182" t="n">
        <v>1.96</v>
      </c>
      <c r="O5327" s="185">
        <f>SUMIFS(INPUT_RITASE!$F$5:$F$20000,INPUT_RITASE!$A$5:$A$20000,$A5327,INPUT_RITASE!$H$5:$H$20000,$B5327,INPUT_RITASE!$C$5:$C$20000,$C5327,INPUT_RITASE!$N$5:$N$20000,"OB")</f>
        <v/>
      </c>
      <c r="P5327" s="185">
        <f>SUMIFS(INPUT_RITASE!$F$5:$F$20000,INPUT_RITASE!$A$5:$A$20000,$A5327,INPUT_RITASE!$H$5:$H$20000,$B5327,INPUT_RITASE!$C$5:$C$20000,$C5327,INPUT_RITASE!$N$5:$N$20000,"Coal")</f>
        <v/>
      </c>
      <c r="Q5327" s="186">
        <f>SUMIFS(INPUT_RITASE!$L$5:$L$20000,INPUT_RITASE!$A$5:$A$20000,$A5327,INPUT_RITASE!$H$5:$H$20000,$B5327,INPUT_RITASE!$C$5:$C$20000,$C5327,INPUT_RITASE!$N$5:$N$20000,"OB")</f>
        <v/>
      </c>
      <c r="R5327" s="186">
        <f>SUMIFS(INPUT_RITASE!$L$5:$L$20000,INPUT_RITASE!$A$5:$A$20000,$A5327,INPUT_RITASE!$H$5:$H$20000,$B5327,INPUT_RITASE!$C$5:$C$20000,$C5327,INPUT_RITASE!$N$5:$N$20000,"Coal")</f>
        <v/>
      </c>
      <c r="S5327" s="183" t="n">
        <v>0</v>
      </c>
      <c r="T5327" s="183" t="n">
        <v>0</v>
      </c>
      <c r="U5327" s="182" t="n">
        <v>0</v>
      </c>
      <c r="V5327" s="182" t="n">
        <v>0</v>
      </c>
      <c r="W5327" s="182" t="n">
        <v>0</v>
      </c>
      <c r="X5327" s="182" t="n">
        <v>0.31</v>
      </c>
      <c r="Y5327" s="182" t="n">
        <v>0</v>
      </c>
      <c r="Z5327" s="182" t="n">
        <v>0</v>
      </c>
      <c r="AA5327" s="182" t="n">
        <v>0</v>
      </c>
      <c r="AB5327" s="182" t="n">
        <v>0</v>
      </c>
      <c r="AC5327" s="182" t="n">
        <v>0</v>
      </c>
      <c r="AD5327" s="182" t="n">
        <v>0</v>
      </c>
      <c r="AE5327" s="182" t="n">
        <v>0</v>
      </c>
      <c r="AF5327" s="182" t="n">
        <v>0</v>
      </c>
      <c r="AG5327" s="182" t="n">
        <v>0</v>
      </c>
      <c r="AH5327" s="182" t="n">
        <v>0</v>
      </c>
      <c r="AI5327" s="182" t="n">
        <v>0</v>
      </c>
      <c r="AJ5327" s="182" t="n">
        <v>0</v>
      </c>
      <c r="AK5327" s="182" t="n">
        <v>0</v>
      </c>
      <c r="AL5327" s="182" t="n">
        <v>0</v>
      </c>
      <c r="AM5327" s="182" t="n">
        <v>0.14</v>
      </c>
      <c r="AN5327" s="182" t="n">
        <v>0</v>
      </c>
    </row>
    <row r="5328">
      <c r="A5328" s="155" t="n">
        <v>46106</v>
      </c>
      <c r="B5328" s="156" t="inlineStr">
        <is>
          <t>DS</t>
        </is>
      </c>
      <c r="C5328" s="156" t="inlineStr">
        <is>
          <t>EX-335</t>
        </is>
      </c>
      <c r="D5328" s="156" t="inlineStr">
        <is>
          <t>PC 300-8MO</t>
        </is>
      </c>
      <c r="E5328" s="156" t="inlineStr">
        <is>
          <t>Excavator</t>
        </is>
      </c>
      <c r="F5328" s="156" t="inlineStr"/>
      <c r="G5328" s="182" t="n">
        <v>0</v>
      </c>
      <c r="H5328" s="182" t="n">
        <v>0</v>
      </c>
      <c r="I5328" s="182" t="n">
        <v>12</v>
      </c>
      <c r="J5328" s="182" t="n">
        <v>12</v>
      </c>
      <c r="K5328" s="182" t="n">
        <v>0</v>
      </c>
      <c r="L5328" s="182" t="n">
        <v>12</v>
      </c>
      <c r="M5328" s="182" t="n">
        <v>0</v>
      </c>
      <c r="N5328" s="182" t="n">
        <v>0</v>
      </c>
      <c r="O5328" s="185">
        <f>SUMIFS(INPUT_RITASE!$F$5:$F$20000,INPUT_RITASE!$A$5:$A$20000,$A5328,INPUT_RITASE!$H$5:$H$20000,$B5328,INPUT_RITASE!$C$5:$C$20000,$C5328,INPUT_RITASE!$N$5:$N$20000,"OB")</f>
        <v/>
      </c>
      <c r="P5328" s="185">
        <f>SUMIFS(INPUT_RITASE!$F$5:$F$20000,INPUT_RITASE!$A$5:$A$20000,$A5328,INPUT_RITASE!$H$5:$H$20000,$B5328,INPUT_RITASE!$C$5:$C$20000,$C5328,INPUT_RITASE!$N$5:$N$20000,"Coal")</f>
        <v/>
      </c>
      <c r="Q5328" s="186">
        <f>SUMIFS(INPUT_RITASE!$L$5:$L$20000,INPUT_RITASE!$A$5:$A$20000,$A5328,INPUT_RITASE!$H$5:$H$20000,$B5328,INPUT_RITASE!$C$5:$C$20000,$C5328,INPUT_RITASE!$N$5:$N$20000,"OB")</f>
        <v/>
      </c>
      <c r="R5328" s="186">
        <f>SUMIFS(INPUT_RITASE!$L$5:$L$20000,INPUT_RITASE!$A$5:$A$20000,$A5328,INPUT_RITASE!$H$5:$H$20000,$B5328,INPUT_RITASE!$C$5:$C$20000,$C5328,INPUT_RITASE!$N$5:$N$20000,"Coal")</f>
        <v/>
      </c>
      <c r="S5328" s="183" t="n">
        <v>0</v>
      </c>
      <c r="T5328" s="183" t="n">
        <v>0</v>
      </c>
      <c r="U5328" s="182" t="n">
        <v>0</v>
      </c>
      <c r="V5328" s="182" t="n">
        <v>0</v>
      </c>
      <c r="W5328" s="182" t="n">
        <v>0</v>
      </c>
      <c r="X5328" s="182" t="n">
        <v>0</v>
      </c>
      <c r="Y5328" s="182" t="n">
        <v>0</v>
      </c>
      <c r="Z5328" s="182" t="n">
        <v>0</v>
      </c>
      <c r="AA5328" s="182" t="n">
        <v>0</v>
      </c>
      <c r="AB5328" s="182" t="n">
        <v>0</v>
      </c>
      <c r="AC5328" s="182" t="n">
        <v>0</v>
      </c>
      <c r="AD5328" s="182" t="n">
        <v>0</v>
      </c>
      <c r="AE5328" s="182" t="n">
        <v>0</v>
      </c>
      <c r="AF5328" s="182" t="n">
        <v>0</v>
      </c>
      <c r="AG5328" s="182" t="n">
        <v>0</v>
      </c>
      <c r="AH5328" s="182" t="n">
        <v>0</v>
      </c>
      <c r="AI5328" s="182" t="n">
        <v>0</v>
      </c>
      <c r="AJ5328" s="182" t="n">
        <v>0</v>
      </c>
      <c r="AK5328" s="182" t="n">
        <v>0</v>
      </c>
      <c r="AL5328" s="182" t="n">
        <v>0</v>
      </c>
      <c r="AM5328" s="182" t="n">
        <v>0</v>
      </c>
      <c r="AN5328" s="182" t="n">
        <v>0</v>
      </c>
    </row>
    <row r="5329">
      <c r="A5329" s="155" t="n">
        <v>46106</v>
      </c>
      <c r="B5329" s="156" t="inlineStr">
        <is>
          <t>DS</t>
        </is>
      </c>
      <c r="C5329" s="156" t="inlineStr">
        <is>
          <t>EX-754</t>
        </is>
      </c>
      <c r="D5329" s="156" t="inlineStr">
        <is>
          <t>SY750H-PRO</t>
        </is>
      </c>
      <c r="E5329" s="156" t="inlineStr">
        <is>
          <t>Excavator</t>
        </is>
      </c>
      <c r="F5329" s="156" t="inlineStr">
        <is>
          <t>Loading Mud</t>
        </is>
      </c>
      <c r="G5329" s="182" t="n">
        <v>6.29</v>
      </c>
      <c r="H5329" s="182" t="n">
        <v>0</v>
      </c>
      <c r="I5329" s="182" t="n">
        <v>0</v>
      </c>
      <c r="J5329" s="182" t="n">
        <v>0</v>
      </c>
      <c r="K5329" s="182" t="n">
        <v>5.71</v>
      </c>
      <c r="L5329" s="182" t="n">
        <v>12</v>
      </c>
      <c r="M5329" s="182" t="n">
        <v>4.6</v>
      </c>
      <c r="N5329" s="182" t="n">
        <v>0</v>
      </c>
      <c r="O5329" s="185">
        <f>SUMIFS(INPUT_RITASE!$F$5:$F$20000,INPUT_RITASE!$A$5:$A$20000,$A5329,INPUT_RITASE!$H$5:$H$20000,$B5329,INPUT_RITASE!$C$5:$C$20000,$C5329,INPUT_RITASE!$N$5:$N$20000,"OB")</f>
        <v/>
      </c>
      <c r="P5329" s="185">
        <f>SUMIFS(INPUT_RITASE!$F$5:$F$20000,INPUT_RITASE!$A$5:$A$20000,$A5329,INPUT_RITASE!$H$5:$H$20000,$B5329,INPUT_RITASE!$C$5:$C$20000,$C5329,INPUT_RITASE!$N$5:$N$20000,"Coal")</f>
        <v/>
      </c>
      <c r="Q5329" s="186">
        <f>SUMIFS(INPUT_RITASE!$L$5:$L$20000,INPUT_RITASE!$A$5:$A$20000,$A5329,INPUT_RITASE!$H$5:$H$20000,$B5329,INPUT_RITASE!$C$5:$C$20000,$C5329,INPUT_RITASE!$N$5:$N$20000,"OB")</f>
        <v/>
      </c>
      <c r="R5329" s="186">
        <f>SUMIFS(INPUT_RITASE!$L$5:$L$20000,INPUT_RITASE!$A$5:$A$20000,$A5329,INPUT_RITASE!$H$5:$H$20000,$B5329,INPUT_RITASE!$C$5:$C$20000,$C5329,INPUT_RITASE!$N$5:$N$20000,"Coal")</f>
        <v/>
      </c>
      <c r="S5329" s="183" t="n">
        <v>0</v>
      </c>
      <c r="T5329" s="183" t="n">
        <v>0</v>
      </c>
      <c r="U5329" s="182" t="n">
        <v>0</v>
      </c>
      <c r="V5329" s="182" t="n">
        <v>0</v>
      </c>
      <c r="W5329" s="182" t="n">
        <v>0</v>
      </c>
      <c r="X5329" s="182" t="n">
        <v>1.04</v>
      </c>
      <c r="Y5329" s="182" t="n">
        <v>0</v>
      </c>
      <c r="Z5329" s="182" t="n">
        <v>0</v>
      </c>
      <c r="AA5329" s="182" t="n">
        <v>0</v>
      </c>
      <c r="AB5329" s="182" t="n">
        <v>0</v>
      </c>
      <c r="AC5329" s="182" t="n">
        <v>1.67</v>
      </c>
      <c r="AD5329" s="182" t="n">
        <v>0</v>
      </c>
      <c r="AE5329" s="182" t="n">
        <v>0</v>
      </c>
      <c r="AF5329" s="182" t="n">
        <v>0</v>
      </c>
      <c r="AG5329" s="182" t="n">
        <v>0</v>
      </c>
      <c r="AH5329" s="182" t="n">
        <v>0</v>
      </c>
      <c r="AI5329" s="182" t="n">
        <v>0</v>
      </c>
      <c r="AJ5329" s="182" t="n">
        <v>0</v>
      </c>
      <c r="AK5329" s="182" t="n">
        <v>2.91</v>
      </c>
      <c r="AL5329" s="182" t="n">
        <v>0</v>
      </c>
      <c r="AM5329" s="182" t="n">
        <v>0.08</v>
      </c>
      <c r="AN5329" s="182" t="n">
        <v>0</v>
      </c>
    </row>
    <row r="5330">
      <c r="A5330" s="155" t="n">
        <v>46106</v>
      </c>
      <c r="B5330" s="156" t="inlineStr">
        <is>
          <t>DS</t>
        </is>
      </c>
      <c r="C5330" s="156" t="inlineStr">
        <is>
          <t>EX-755</t>
        </is>
      </c>
      <c r="D5330" s="156" t="inlineStr">
        <is>
          <t>SY750H-PRO</t>
        </is>
      </c>
      <c r="E5330" s="156" t="inlineStr">
        <is>
          <t>Excavator</t>
        </is>
      </c>
      <c r="F5330" s="156" t="inlineStr">
        <is>
          <t>Loading OB</t>
        </is>
      </c>
      <c r="G5330" s="182" t="n">
        <v>8.960000000000001</v>
      </c>
      <c r="H5330" s="182" t="n">
        <v>0</v>
      </c>
      <c r="I5330" s="182" t="n">
        <v>0</v>
      </c>
      <c r="J5330" s="182" t="n">
        <v>0</v>
      </c>
      <c r="K5330" s="182" t="n">
        <v>3.04</v>
      </c>
      <c r="L5330" s="182" t="n">
        <v>12</v>
      </c>
      <c r="M5330" s="182" t="n">
        <v>3.37</v>
      </c>
      <c r="N5330" s="182" t="n">
        <v>0</v>
      </c>
      <c r="O5330" s="185">
        <f>SUMIFS(INPUT_RITASE!$F$5:$F$20000,INPUT_RITASE!$A$5:$A$20000,$A5330,INPUT_RITASE!$H$5:$H$20000,$B5330,INPUT_RITASE!$C$5:$C$20000,$C5330,INPUT_RITASE!$N$5:$N$20000,"OB")</f>
        <v/>
      </c>
      <c r="P5330" s="185">
        <f>SUMIFS(INPUT_RITASE!$F$5:$F$20000,INPUT_RITASE!$A$5:$A$20000,$A5330,INPUT_RITASE!$H$5:$H$20000,$B5330,INPUT_RITASE!$C$5:$C$20000,$C5330,INPUT_RITASE!$N$5:$N$20000,"Coal")</f>
        <v/>
      </c>
      <c r="Q5330" s="186">
        <f>SUMIFS(INPUT_RITASE!$L$5:$L$20000,INPUT_RITASE!$A$5:$A$20000,$A5330,INPUT_RITASE!$H$5:$H$20000,$B5330,INPUT_RITASE!$C$5:$C$20000,$C5330,INPUT_RITASE!$N$5:$N$20000,"OB")</f>
        <v/>
      </c>
      <c r="R5330" s="186">
        <f>SUMIFS(INPUT_RITASE!$L$5:$L$20000,INPUT_RITASE!$A$5:$A$20000,$A5330,INPUT_RITASE!$H$5:$H$20000,$B5330,INPUT_RITASE!$C$5:$C$20000,$C5330,INPUT_RITASE!$N$5:$N$20000,"Coal")</f>
        <v/>
      </c>
      <c r="S5330" s="183" t="n">
        <v>0</v>
      </c>
      <c r="T5330" s="183" t="n">
        <v>0</v>
      </c>
      <c r="U5330" s="182" t="n">
        <v>0</v>
      </c>
      <c r="V5330" s="182" t="n">
        <v>0</v>
      </c>
      <c r="W5330" s="182" t="n">
        <v>0</v>
      </c>
      <c r="X5330" s="182" t="n">
        <v>1.06</v>
      </c>
      <c r="Y5330" s="182" t="n">
        <v>0</v>
      </c>
      <c r="Z5330" s="182" t="n">
        <v>0</v>
      </c>
      <c r="AA5330" s="182" t="n">
        <v>0</v>
      </c>
      <c r="AB5330" s="182" t="n">
        <v>0</v>
      </c>
      <c r="AC5330" s="182" t="n">
        <v>1.9</v>
      </c>
      <c r="AD5330" s="182" t="n">
        <v>0</v>
      </c>
      <c r="AE5330" s="182" t="n">
        <v>0</v>
      </c>
      <c r="AF5330" s="182" t="n">
        <v>0</v>
      </c>
      <c r="AG5330" s="182" t="n">
        <v>0</v>
      </c>
      <c r="AH5330" s="182" t="n">
        <v>0</v>
      </c>
      <c r="AI5330" s="182" t="n">
        <v>0</v>
      </c>
      <c r="AJ5330" s="182" t="n">
        <v>0</v>
      </c>
      <c r="AK5330" s="182" t="n">
        <v>0</v>
      </c>
      <c r="AL5330" s="182" t="n">
        <v>0</v>
      </c>
      <c r="AM5330" s="182" t="n">
        <v>0.08</v>
      </c>
      <c r="AN5330" s="182" t="n">
        <v>0</v>
      </c>
    </row>
    <row r="5331">
      <c r="A5331" s="155" t="n">
        <v>46106</v>
      </c>
      <c r="B5331" s="156" t="inlineStr">
        <is>
          <t>DS</t>
        </is>
      </c>
      <c r="C5331" s="156" t="inlineStr">
        <is>
          <t>EX-752</t>
        </is>
      </c>
      <c r="D5331" s="156" t="inlineStr">
        <is>
          <t>SY750H-PRO</t>
        </is>
      </c>
      <c r="E5331" s="156" t="inlineStr">
        <is>
          <t>Excavator</t>
        </is>
      </c>
      <c r="F5331" s="156" t="inlineStr"/>
      <c r="G5331" s="182" t="n">
        <v>0</v>
      </c>
      <c r="H5331" s="182" t="n">
        <v>0</v>
      </c>
      <c r="I5331" s="182" t="n">
        <v>12</v>
      </c>
      <c r="J5331" s="182" t="n">
        <v>12</v>
      </c>
      <c r="K5331" s="182" t="n">
        <v>0</v>
      </c>
      <c r="L5331" s="182" t="n">
        <v>12</v>
      </c>
      <c r="M5331" s="182" t="n">
        <v>0</v>
      </c>
      <c r="N5331" s="182" t="n">
        <v>0</v>
      </c>
      <c r="O5331" s="185">
        <f>SUMIFS(INPUT_RITASE!$F$5:$F$20000,INPUT_RITASE!$A$5:$A$20000,$A5331,INPUT_RITASE!$H$5:$H$20000,$B5331,INPUT_RITASE!$C$5:$C$20000,$C5331,INPUT_RITASE!$N$5:$N$20000,"OB")</f>
        <v/>
      </c>
      <c r="P5331" s="185">
        <f>SUMIFS(INPUT_RITASE!$F$5:$F$20000,INPUT_RITASE!$A$5:$A$20000,$A5331,INPUT_RITASE!$H$5:$H$20000,$B5331,INPUT_RITASE!$C$5:$C$20000,$C5331,INPUT_RITASE!$N$5:$N$20000,"Coal")</f>
        <v/>
      </c>
      <c r="Q5331" s="186">
        <f>SUMIFS(INPUT_RITASE!$L$5:$L$20000,INPUT_RITASE!$A$5:$A$20000,$A5331,INPUT_RITASE!$H$5:$H$20000,$B5331,INPUT_RITASE!$C$5:$C$20000,$C5331,INPUT_RITASE!$N$5:$N$20000,"OB")</f>
        <v/>
      </c>
      <c r="R5331" s="186">
        <f>SUMIFS(INPUT_RITASE!$L$5:$L$20000,INPUT_RITASE!$A$5:$A$20000,$A5331,INPUT_RITASE!$H$5:$H$20000,$B5331,INPUT_RITASE!$C$5:$C$20000,$C5331,INPUT_RITASE!$N$5:$N$20000,"Coal")</f>
        <v/>
      </c>
      <c r="S5331" s="183" t="n">
        <v>0</v>
      </c>
      <c r="T5331" s="183" t="n">
        <v>0</v>
      </c>
      <c r="U5331" s="182" t="n">
        <v>0</v>
      </c>
      <c r="V5331" s="182" t="n">
        <v>0</v>
      </c>
      <c r="W5331" s="182" t="n">
        <v>0</v>
      </c>
      <c r="X5331" s="182" t="n">
        <v>0</v>
      </c>
      <c r="Y5331" s="182" t="n">
        <v>0</v>
      </c>
      <c r="Z5331" s="182" t="n">
        <v>0</v>
      </c>
      <c r="AA5331" s="182" t="n">
        <v>0</v>
      </c>
      <c r="AB5331" s="182" t="n">
        <v>0</v>
      </c>
      <c r="AC5331" s="182" t="n">
        <v>0</v>
      </c>
      <c r="AD5331" s="182" t="n">
        <v>0</v>
      </c>
      <c r="AE5331" s="182" t="n">
        <v>0</v>
      </c>
      <c r="AF5331" s="182" t="n">
        <v>0</v>
      </c>
      <c r="AG5331" s="182" t="n">
        <v>0</v>
      </c>
      <c r="AH5331" s="182" t="n">
        <v>0</v>
      </c>
      <c r="AI5331" s="182" t="n">
        <v>0</v>
      </c>
      <c r="AJ5331" s="182" t="n">
        <v>0</v>
      </c>
      <c r="AK5331" s="182" t="n">
        <v>0</v>
      </c>
      <c r="AL5331" s="182" t="n">
        <v>0</v>
      </c>
      <c r="AM5331" s="182" t="n">
        <v>0</v>
      </c>
      <c r="AN5331" s="182" t="n">
        <v>0</v>
      </c>
    </row>
    <row r="5332">
      <c r="A5332" s="155" t="n">
        <v>46106</v>
      </c>
      <c r="B5332" s="156" t="inlineStr">
        <is>
          <t>DS</t>
        </is>
      </c>
      <c r="C5332" s="156" t="inlineStr">
        <is>
          <t>EX-751</t>
        </is>
      </c>
      <c r="D5332" s="156" t="inlineStr">
        <is>
          <t>SY750H-PRO</t>
        </is>
      </c>
      <c r="E5332" s="156" t="inlineStr">
        <is>
          <t>Excavator</t>
        </is>
      </c>
      <c r="F5332" s="156" t="inlineStr"/>
      <c r="G5332" s="182" t="n">
        <v>0</v>
      </c>
      <c r="H5332" s="182" t="n">
        <v>0</v>
      </c>
      <c r="I5332" s="182" t="n">
        <v>12</v>
      </c>
      <c r="J5332" s="182" t="n">
        <v>12</v>
      </c>
      <c r="K5332" s="182" t="n">
        <v>0</v>
      </c>
      <c r="L5332" s="182" t="n">
        <v>12</v>
      </c>
      <c r="M5332" s="182" t="n">
        <v>0</v>
      </c>
      <c r="N5332" s="182" t="n">
        <v>0</v>
      </c>
      <c r="O5332" s="185">
        <f>SUMIFS(INPUT_RITASE!$F$5:$F$20000,INPUT_RITASE!$A$5:$A$20000,$A5332,INPUT_RITASE!$H$5:$H$20000,$B5332,INPUT_RITASE!$C$5:$C$20000,$C5332,INPUT_RITASE!$N$5:$N$20000,"OB")</f>
        <v/>
      </c>
      <c r="P5332" s="185">
        <f>SUMIFS(INPUT_RITASE!$F$5:$F$20000,INPUT_RITASE!$A$5:$A$20000,$A5332,INPUT_RITASE!$H$5:$H$20000,$B5332,INPUT_RITASE!$C$5:$C$20000,$C5332,INPUT_RITASE!$N$5:$N$20000,"Coal")</f>
        <v/>
      </c>
      <c r="Q5332" s="186">
        <f>SUMIFS(INPUT_RITASE!$L$5:$L$20000,INPUT_RITASE!$A$5:$A$20000,$A5332,INPUT_RITASE!$H$5:$H$20000,$B5332,INPUT_RITASE!$C$5:$C$20000,$C5332,INPUT_RITASE!$N$5:$N$20000,"OB")</f>
        <v/>
      </c>
      <c r="R5332" s="186">
        <f>SUMIFS(INPUT_RITASE!$L$5:$L$20000,INPUT_RITASE!$A$5:$A$20000,$A5332,INPUT_RITASE!$H$5:$H$20000,$B5332,INPUT_RITASE!$C$5:$C$20000,$C5332,INPUT_RITASE!$N$5:$N$20000,"Coal")</f>
        <v/>
      </c>
      <c r="S5332" s="183" t="n">
        <v>0</v>
      </c>
      <c r="T5332" s="183" t="n">
        <v>0</v>
      </c>
      <c r="U5332" s="182" t="n">
        <v>0</v>
      </c>
      <c r="V5332" s="182" t="n">
        <v>0</v>
      </c>
      <c r="W5332" s="182" t="n">
        <v>0</v>
      </c>
      <c r="X5332" s="182" t="n">
        <v>0</v>
      </c>
      <c r="Y5332" s="182" t="n">
        <v>0</v>
      </c>
      <c r="Z5332" s="182" t="n">
        <v>0</v>
      </c>
      <c r="AA5332" s="182" t="n">
        <v>0</v>
      </c>
      <c r="AB5332" s="182" t="n">
        <v>0</v>
      </c>
      <c r="AC5332" s="182" t="n">
        <v>0</v>
      </c>
      <c r="AD5332" s="182" t="n">
        <v>0</v>
      </c>
      <c r="AE5332" s="182" t="n">
        <v>0</v>
      </c>
      <c r="AF5332" s="182" t="n">
        <v>0</v>
      </c>
      <c r="AG5332" s="182" t="n">
        <v>0</v>
      </c>
      <c r="AH5332" s="182" t="n">
        <v>0</v>
      </c>
      <c r="AI5332" s="182" t="n">
        <v>0</v>
      </c>
      <c r="AJ5332" s="182" t="n">
        <v>0</v>
      </c>
      <c r="AK5332" s="182" t="n">
        <v>0</v>
      </c>
      <c r="AL5332" s="182" t="n">
        <v>0</v>
      </c>
      <c r="AM5332" s="182" t="n">
        <v>0</v>
      </c>
      <c r="AN5332" s="182" t="n">
        <v>0</v>
      </c>
    </row>
    <row r="5333">
      <c r="A5333" s="155" t="n">
        <v>46106</v>
      </c>
      <c r="B5333" s="156" t="inlineStr">
        <is>
          <t>DS</t>
        </is>
      </c>
      <c r="C5333" s="156" t="inlineStr">
        <is>
          <t>EX-753</t>
        </is>
      </c>
      <c r="D5333" s="156" t="inlineStr">
        <is>
          <t>SY750H-PRO</t>
        </is>
      </c>
      <c r="E5333" s="156" t="inlineStr">
        <is>
          <t>Excavator</t>
        </is>
      </c>
      <c r="F5333" s="156" t="inlineStr">
        <is>
          <t>Loading Spoil di WS Baru</t>
        </is>
      </c>
      <c r="G5333" s="182" t="n">
        <v>6.75</v>
      </c>
      <c r="H5333" s="182" t="n">
        <v>0</v>
      </c>
      <c r="I5333" s="182" t="n">
        <v>0</v>
      </c>
      <c r="J5333" s="182" t="n">
        <v>0</v>
      </c>
      <c r="K5333" s="182" t="n">
        <v>5.25</v>
      </c>
      <c r="L5333" s="182" t="n">
        <v>12</v>
      </c>
      <c r="M5333" s="182" t="n">
        <v>0</v>
      </c>
      <c r="N5333" s="182" t="n">
        <v>0</v>
      </c>
      <c r="O5333" s="185">
        <f>SUMIFS(INPUT_RITASE!$F$5:$F$20000,INPUT_RITASE!$A$5:$A$20000,$A5333,INPUT_RITASE!$H$5:$H$20000,$B5333,INPUT_RITASE!$C$5:$C$20000,$C5333,INPUT_RITASE!$N$5:$N$20000,"OB")</f>
        <v/>
      </c>
      <c r="P5333" s="185">
        <f>SUMIFS(INPUT_RITASE!$F$5:$F$20000,INPUT_RITASE!$A$5:$A$20000,$A5333,INPUT_RITASE!$H$5:$H$20000,$B5333,INPUT_RITASE!$C$5:$C$20000,$C5333,INPUT_RITASE!$N$5:$N$20000,"Coal")</f>
        <v/>
      </c>
      <c r="Q5333" s="186">
        <f>SUMIFS(INPUT_RITASE!$L$5:$L$20000,INPUT_RITASE!$A$5:$A$20000,$A5333,INPUT_RITASE!$H$5:$H$20000,$B5333,INPUT_RITASE!$C$5:$C$20000,$C5333,INPUT_RITASE!$N$5:$N$20000,"OB")</f>
        <v/>
      </c>
      <c r="R5333" s="186">
        <f>SUMIFS(INPUT_RITASE!$L$5:$L$20000,INPUT_RITASE!$A$5:$A$20000,$A5333,INPUT_RITASE!$H$5:$H$20000,$B5333,INPUT_RITASE!$C$5:$C$20000,$C5333,INPUT_RITASE!$N$5:$N$20000,"Coal")</f>
        <v/>
      </c>
      <c r="S5333" s="183" t="n">
        <v>0</v>
      </c>
      <c r="T5333" s="183" t="n">
        <v>0</v>
      </c>
      <c r="U5333" s="182" t="n">
        <v>0</v>
      </c>
      <c r="V5333" s="182" t="n">
        <v>0</v>
      </c>
      <c r="W5333" s="182" t="n">
        <v>0</v>
      </c>
      <c r="X5333" s="182" t="n">
        <v>0.98</v>
      </c>
      <c r="Y5333" s="182" t="n">
        <v>0</v>
      </c>
      <c r="Z5333" s="182" t="n">
        <v>0</v>
      </c>
      <c r="AA5333" s="182" t="n">
        <v>0</v>
      </c>
      <c r="AB5333" s="182" t="n">
        <v>0</v>
      </c>
      <c r="AC5333" s="182" t="n">
        <v>2.93</v>
      </c>
      <c r="AD5333" s="182" t="n">
        <v>0</v>
      </c>
      <c r="AE5333" s="182" t="n">
        <v>0</v>
      </c>
      <c r="AF5333" s="182" t="n">
        <v>0</v>
      </c>
      <c r="AG5333" s="182" t="n">
        <v>0</v>
      </c>
      <c r="AH5333" s="182" t="n">
        <v>0</v>
      </c>
      <c r="AI5333" s="182" t="n">
        <v>0</v>
      </c>
      <c r="AJ5333" s="182" t="n">
        <v>0</v>
      </c>
      <c r="AK5333" s="182" t="n">
        <v>1.27</v>
      </c>
      <c r="AL5333" s="182" t="n">
        <v>0</v>
      </c>
      <c r="AM5333" s="182" t="n">
        <v>0.08</v>
      </c>
      <c r="AN5333" s="182" t="n">
        <v>0</v>
      </c>
    </row>
    <row r="5334">
      <c r="A5334" s="155" t="n">
        <v>46106</v>
      </c>
      <c r="B5334" s="156" t="inlineStr">
        <is>
          <t>DS</t>
        </is>
      </c>
      <c r="C5334" s="156" t="inlineStr">
        <is>
          <t>GD-012</t>
        </is>
      </c>
      <c r="D5334" s="156" t="inlineStr">
        <is>
          <t>STG 230C - 8S</t>
        </is>
      </c>
      <c r="E5334" s="156" t="inlineStr">
        <is>
          <t>Grader</t>
        </is>
      </c>
      <c r="F5334" s="156" t="inlineStr"/>
      <c r="G5334" s="182" t="n">
        <v>0</v>
      </c>
      <c r="H5334" s="182" t="n">
        <v>0</v>
      </c>
      <c r="I5334" s="182" t="n">
        <v>0</v>
      </c>
      <c r="J5334" s="182" t="n">
        <v>0</v>
      </c>
      <c r="K5334" s="182" t="n">
        <v>12</v>
      </c>
      <c r="L5334" s="182" t="n">
        <v>12</v>
      </c>
      <c r="M5334" s="182" t="n">
        <v>0</v>
      </c>
      <c r="N5334" s="182" t="n">
        <v>0</v>
      </c>
      <c r="O5334" s="183" t="n">
        <v>0</v>
      </c>
      <c r="P5334" s="183" t="n">
        <v>0</v>
      </c>
      <c r="Q5334" s="184" t="n">
        <v>0</v>
      </c>
      <c r="R5334" s="184" t="n">
        <v>0</v>
      </c>
      <c r="S5334" s="183" t="n">
        <v>0</v>
      </c>
      <c r="T5334" s="183" t="n">
        <v>0</v>
      </c>
      <c r="U5334" s="182" t="n">
        <v>0</v>
      </c>
      <c r="V5334" s="182" t="n">
        <v>0</v>
      </c>
      <c r="W5334" s="182" t="n">
        <v>0</v>
      </c>
      <c r="X5334" s="182" t="n">
        <v>1</v>
      </c>
      <c r="Y5334" s="182" t="n">
        <v>0</v>
      </c>
      <c r="Z5334" s="182" t="n">
        <v>0</v>
      </c>
      <c r="AA5334" s="182" t="n">
        <v>0</v>
      </c>
      <c r="AB5334" s="182" t="n">
        <v>0</v>
      </c>
      <c r="AC5334" s="182" t="n">
        <v>0</v>
      </c>
      <c r="AD5334" s="182" t="n">
        <v>0</v>
      </c>
      <c r="AE5334" s="182" t="n">
        <v>0</v>
      </c>
      <c r="AF5334" s="182" t="n">
        <v>0</v>
      </c>
      <c r="AG5334" s="182" t="n">
        <v>0</v>
      </c>
      <c r="AH5334" s="182" t="n">
        <v>0</v>
      </c>
      <c r="AI5334" s="182" t="n">
        <v>0</v>
      </c>
      <c r="AJ5334" s="182" t="n">
        <v>0</v>
      </c>
      <c r="AK5334" s="182" t="n">
        <v>10.92</v>
      </c>
      <c r="AL5334" s="182" t="n">
        <v>0</v>
      </c>
      <c r="AM5334" s="182" t="n">
        <v>0.08</v>
      </c>
      <c r="AN5334" s="182" t="n">
        <v>0</v>
      </c>
    </row>
    <row r="5335">
      <c r="A5335" s="155" t="n">
        <v>46106</v>
      </c>
      <c r="B5335" s="156" t="inlineStr">
        <is>
          <t>DS</t>
        </is>
      </c>
      <c r="C5335" s="156" t="inlineStr">
        <is>
          <t>GD-011</t>
        </is>
      </c>
      <c r="D5335" s="156" t="inlineStr">
        <is>
          <t>STG 230C - 8S</t>
        </is>
      </c>
      <c r="E5335" s="156" t="inlineStr">
        <is>
          <t>Grader</t>
        </is>
      </c>
      <c r="F5335" s="156" t="inlineStr"/>
      <c r="G5335" s="182" t="n">
        <v>0</v>
      </c>
      <c r="H5335" s="182" t="n">
        <v>0</v>
      </c>
      <c r="I5335" s="182" t="n">
        <v>12</v>
      </c>
      <c r="J5335" s="182" t="n">
        <v>12</v>
      </c>
      <c r="K5335" s="182" t="n">
        <v>0</v>
      </c>
      <c r="L5335" s="182" t="n">
        <v>12</v>
      </c>
      <c r="M5335" s="182" t="n">
        <v>0</v>
      </c>
      <c r="N5335" s="182" t="n">
        <v>0</v>
      </c>
      <c r="O5335" s="183" t="n">
        <v>0</v>
      </c>
      <c r="P5335" s="183" t="n">
        <v>0</v>
      </c>
      <c r="Q5335" s="184" t="n">
        <v>0</v>
      </c>
      <c r="R5335" s="184" t="n">
        <v>0</v>
      </c>
      <c r="S5335" s="183" t="n">
        <v>0</v>
      </c>
      <c r="T5335" s="183" t="n">
        <v>0</v>
      </c>
      <c r="U5335" s="182" t="n">
        <v>0</v>
      </c>
      <c r="V5335" s="182" t="n">
        <v>0</v>
      </c>
      <c r="W5335" s="182" t="n">
        <v>0</v>
      </c>
      <c r="X5335" s="182" t="n">
        <v>0</v>
      </c>
      <c r="Y5335" s="182" t="n">
        <v>0</v>
      </c>
      <c r="Z5335" s="182" t="n">
        <v>0</v>
      </c>
      <c r="AA5335" s="182" t="n">
        <v>0</v>
      </c>
      <c r="AB5335" s="182" t="n">
        <v>0</v>
      </c>
      <c r="AC5335" s="182" t="n">
        <v>0</v>
      </c>
      <c r="AD5335" s="182" t="n">
        <v>0</v>
      </c>
      <c r="AE5335" s="182" t="n">
        <v>0</v>
      </c>
      <c r="AF5335" s="182" t="n">
        <v>0</v>
      </c>
      <c r="AG5335" s="182" t="n">
        <v>0</v>
      </c>
      <c r="AH5335" s="182" t="n">
        <v>0</v>
      </c>
      <c r="AI5335" s="182" t="n">
        <v>0</v>
      </c>
      <c r="AJ5335" s="182" t="n">
        <v>0</v>
      </c>
      <c r="AK5335" s="182" t="n">
        <v>0</v>
      </c>
      <c r="AL5335" s="182" t="n">
        <v>0</v>
      </c>
      <c r="AM5335" s="182" t="n">
        <v>0</v>
      </c>
      <c r="AN5335" s="182" t="n">
        <v>0</v>
      </c>
    </row>
    <row r="5336">
      <c r="A5336" s="155" t="n">
        <v>46106</v>
      </c>
      <c r="B5336" s="156" t="inlineStr">
        <is>
          <t>DS</t>
        </is>
      </c>
      <c r="C5336" s="156" t="inlineStr">
        <is>
          <t>GD-013</t>
        </is>
      </c>
      <c r="D5336" s="156" t="inlineStr">
        <is>
          <t>STG 265C - 10</t>
        </is>
      </c>
      <c r="E5336" s="156" t="inlineStr">
        <is>
          <t>Grader</t>
        </is>
      </c>
      <c r="F5336" s="156" t="inlineStr">
        <is>
          <t>Road Maintenance</t>
        </is>
      </c>
      <c r="G5336" s="182" t="n">
        <v>6.76</v>
      </c>
      <c r="H5336" s="182" t="n">
        <v>0</v>
      </c>
      <c r="I5336" s="182" t="n">
        <v>3.5</v>
      </c>
      <c r="J5336" s="182" t="n">
        <v>3.5</v>
      </c>
      <c r="K5336" s="182" t="n">
        <v>1.74</v>
      </c>
      <c r="L5336" s="182" t="n">
        <v>12</v>
      </c>
      <c r="M5336" s="182" t="n">
        <v>0</v>
      </c>
      <c r="N5336" s="182" t="n">
        <v>0</v>
      </c>
      <c r="O5336" s="183" t="n">
        <v>0</v>
      </c>
      <c r="P5336" s="183" t="n">
        <v>0</v>
      </c>
      <c r="Q5336" s="184" t="n">
        <v>0</v>
      </c>
      <c r="R5336" s="184" t="n">
        <v>0</v>
      </c>
      <c r="S5336" s="183" t="n">
        <v>0</v>
      </c>
      <c r="T5336" s="183" t="n">
        <v>0</v>
      </c>
      <c r="U5336" s="182" t="n">
        <v>0</v>
      </c>
      <c r="V5336" s="182" t="n">
        <v>0</v>
      </c>
      <c r="W5336" s="182" t="n">
        <v>0</v>
      </c>
      <c r="X5336" s="182" t="n">
        <v>1.09</v>
      </c>
      <c r="Y5336" s="182" t="n">
        <v>0</v>
      </c>
      <c r="Z5336" s="182" t="n">
        <v>0</v>
      </c>
      <c r="AA5336" s="182" t="n">
        <v>0</v>
      </c>
      <c r="AB5336" s="182" t="n">
        <v>0</v>
      </c>
      <c r="AC5336" s="182" t="n">
        <v>0.57</v>
      </c>
      <c r="AD5336" s="182" t="n">
        <v>0</v>
      </c>
      <c r="AE5336" s="182" t="n">
        <v>0</v>
      </c>
      <c r="AF5336" s="182" t="n">
        <v>0</v>
      </c>
      <c r="AG5336" s="182" t="n">
        <v>0</v>
      </c>
      <c r="AH5336" s="182" t="n">
        <v>0</v>
      </c>
      <c r="AI5336" s="182" t="n">
        <v>0</v>
      </c>
      <c r="AJ5336" s="182" t="n">
        <v>0</v>
      </c>
      <c r="AK5336" s="182" t="n">
        <v>0</v>
      </c>
      <c r="AL5336" s="182" t="n">
        <v>0</v>
      </c>
      <c r="AM5336" s="182" t="n">
        <v>0.09</v>
      </c>
      <c r="AN5336" s="182" t="n">
        <v>0</v>
      </c>
    </row>
    <row r="5337">
      <c r="A5337" s="155" t="n">
        <v>46106</v>
      </c>
      <c r="B5337" s="156" t="inlineStr">
        <is>
          <t>DS</t>
        </is>
      </c>
      <c r="C5337" s="156" t="inlineStr">
        <is>
          <t>GD-014</t>
        </is>
      </c>
      <c r="D5337" s="156" t="inlineStr">
        <is>
          <t>STG 335C - 10</t>
        </is>
      </c>
      <c r="E5337" s="156" t="inlineStr">
        <is>
          <t>Grader</t>
        </is>
      </c>
      <c r="F5337" s="156" t="inlineStr">
        <is>
          <t>Road Maintenance</t>
        </is>
      </c>
      <c r="G5337" s="182" t="n">
        <v>10.28</v>
      </c>
      <c r="H5337" s="182" t="n">
        <v>0</v>
      </c>
      <c r="I5337" s="182" t="n">
        <v>0</v>
      </c>
      <c r="J5337" s="182" t="n">
        <v>0</v>
      </c>
      <c r="K5337" s="182" t="n">
        <v>1.72</v>
      </c>
      <c r="L5337" s="182" t="n">
        <v>12</v>
      </c>
      <c r="M5337" s="182" t="n">
        <v>0</v>
      </c>
      <c r="N5337" s="182" t="n">
        <v>0</v>
      </c>
      <c r="O5337" s="183" t="n">
        <v>0</v>
      </c>
      <c r="P5337" s="183" t="n">
        <v>0</v>
      </c>
      <c r="Q5337" s="184" t="n">
        <v>0</v>
      </c>
      <c r="R5337" s="184" t="n">
        <v>0</v>
      </c>
      <c r="S5337" s="183" t="n">
        <v>0</v>
      </c>
      <c r="T5337" s="183" t="n">
        <v>0</v>
      </c>
      <c r="U5337" s="182" t="n">
        <v>0</v>
      </c>
      <c r="V5337" s="182" t="n">
        <v>0</v>
      </c>
      <c r="W5337" s="182" t="n">
        <v>0</v>
      </c>
      <c r="X5337" s="182" t="n">
        <v>0.91</v>
      </c>
      <c r="Y5337" s="182" t="n">
        <v>0</v>
      </c>
      <c r="Z5337" s="182" t="n">
        <v>0</v>
      </c>
      <c r="AA5337" s="182" t="n">
        <v>0</v>
      </c>
      <c r="AB5337" s="182" t="n">
        <v>0</v>
      </c>
      <c r="AC5337" s="182" t="n">
        <v>0.74</v>
      </c>
      <c r="AD5337" s="182" t="n">
        <v>0</v>
      </c>
      <c r="AE5337" s="182" t="n">
        <v>0</v>
      </c>
      <c r="AF5337" s="182" t="n">
        <v>0</v>
      </c>
      <c r="AG5337" s="182" t="n">
        <v>0</v>
      </c>
      <c r="AH5337" s="182" t="n">
        <v>0</v>
      </c>
      <c r="AI5337" s="182" t="n">
        <v>0</v>
      </c>
      <c r="AJ5337" s="182" t="n">
        <v>0</v>
      </c>
      <c r="AK5337" s="182" t="n">
        <v>0</v>
      </c>
      <c r="AL5337" s="182" t="n">
        <v>0</v>
      </c>
      <c r="AM5337" s="182" t="n">
        <v>0.07000000000000001</v>
      </c>
      <c r="AN5337" s="182" t="n">
        <v>0</v>
      </c>
    </row>
    <row r="5338">
      <c r="A5338" s="155" t="n">
        <v>46106</v>
      </c>
      <c r="B5338" s="156" t="inlineStr">
        <is>
          <t>DS</t>
        </is>
      </c>
      <c r="C5338" s="156" t="inlineStr">
        <is>
          <t>DT-809</t>
        </is>
      </c>
      <c r="D5338" s="156" t="inlineStr">
        <is>
          <t>SKT 80S</t>
        </is>
      </c>
      <c r="E5338" s="156" t="inlineStr">
        <is>
          <t>Hauler</t>
        </is>
      </c>
      <c r="F5338" s="156" t="inlineStr"/>
      <c r="G5338" s="182" t="n">
        <v>0</v>
      </c>
      <c r="H5338" s="182" t="n">
        <v>0</v>
      </c>
      <c r="I5338" s="182" t="n">
        <v>12</v>
      </c>
      <c r="J5338" s="182" t="n">
        <v>12</v>
      </c>
      <c r="K5338" s="182" t="n">
        <v>0</v>
      </c>
      <c r="L5338" s="182" t="n">
        <v>12</v>
      </c>
      <c r="M5338" s="182" t="n">
        <v>0</v>
      </c>
      <c r="N5338" s="182" t="n">
        <v>0</v>
      </c>
      <c r="O5338" s="183" t="n">
        <v>0</v>
      </c>
      <c r="P5338" s="183" t="n">
        <v>0</v>
      </c>
      <c r="Q5338" s="184" t="n">
        <v>0</v>
      </c>
      <c r="R5338" s="184" t="n">
        <v>0</v>
      </c>
      <c r="S5338" s="183" t="n">
        <v>0</v>
      </c>
      <c r="T5338" s="183" t="n">
        <v>0</v>
      </c>
      <c r="U5338" s="182" t="n">
        <v>0</v>
      </c>
      <c r="V5338" s="182" t="n">
        <v>0</v>
      </c>
      <c r="W5338" s="182" t="n">
        <v>0</v>
      </c>
      <c r="X5338" s="182" t="n">
        <v>0</v>
      </c>
      <c r="Y5338" s="182" t="n">
        <v>0</v>
      </c>
      <c r="Z5338" s="182" t="n">
        <v>0</v>
      </c>
      <c r="AA5338" s="182" t="n">
        <v>0</v>
      </c>
      <c r="AB5338" s="182" t="n">
        <v>0</v>
      </c>
      <c r="AC5338" s="182" t="n">
        <v>0</v>
      </c>
      <c r="AD5338" s="182" t="n">
        <v>0</v>
      </c>
      <c r="AE5338" s="182" t="n">
        <v>0</v>
      </c>
      <c r="AF5338" s="182" t="n">
        <v>0</v>
      </c>
      <c r="AG5338" s="182" t="n">
        <v>0</v>
      </c>
      <c r="AH5338" s="182" t="n">
        <v>0</v>
      </c>
      <c r="AI5338" s="182" t="n">
        <v>0</v>
      </c>
      <c r="AJ5338" s="182" t="n">
        <v>0</v>
      </c>
      <c r="AK5338" s="182" t="n">
        <v>0</v>
      </c>
      <c r="AL5338" s="182" t="n">
        <v>0</v>
      </c>
      <c r="AM5338" s="182" t="n">
        <v>0</v>
      </c>
      <c r="AN5338" s="182" t="n">
        <v>0</v>
      </c>
    </row>
    <row r="5339">
      <c r="A5339" s="155" t="n">
        <v>46106</v>
      </c>
      <c r="B5339" s="156" t="inlineStr">
        <is>
          <t>DS</t>
        </is>
      </c>
      <c r="C5339" s="156" t="inlineStr">
        <is>
          <t>DT-806</t>
        </is>
      </c>
      <c r="D5339" s="156" t="inlineStr">
        <is>
          <t>SKT 80S</t>
        </is>
      </c>
      <c r="E5339" s="156" t="inlineStr">
        <is>
          <t>Hauler</t>
        </is>
      </c>
      <c r="F5339" s="156" t="inlineStr"/>
      <c r="G5339" s="182" t="n">
        <v>0</v>
      </c>
      <c r="H5339" s="182" t="n">
        <v>0</v>
      </c>
      <c r="I5339" s="182" t="n">
        <v>12</v>
      </c>
      <c r="J5339" s="182" t="n">
        <v>12</v>
      </c>
      <c r="K5339" s="182" t="n">
        <v>0</v>
      </c>
      <c r="L5339" s="182" t="n">
        <v>12</v>
      </c>
      <c r="M5339" s="182" t="n">
        <v>0</v>
      </c>
      <c r="N5339" s="182" t="n">
        <v>0</v>
      </c>
      <c r="O5339" s="183" t="n">
        <v>0</v>
      </c>
      <c r="P5339" s="183" t="n">
        <v>0</v>
      </c>
      <c r="Q5339" s="184" t="n">
        <v>0</v>
      </c>
      <c r="R5339" s="184" t="n">
        <v>0</v>
      </c>
      <c r="S5339" s="183" t="n">
        <v>0</v>
      </c>
      <c r="T5339" s="183" t="n">
        <v>0</v>
      </c>
      <c r="U5339" s="182" t="n">
        <v>0</v>
      </c>
      <c r="V5339" s="182" t="n">
        <v>0</v>
      </c>
      <c r="W5339" s="182" t="n">
        <v>0</v>
      </c>
      <c r="X5339" s="182" t="n">
        <v>0</v>
      </c>
      <c r="Y5339" s="182" t="n">
        <v>0</v>
      </c>
      <c r="Z5339" s="182" t="n">
        <v>0</v>
      </c>
      <c r="AA5339" s="182" t="n">
        <v>0</v>
      </c>
      <c r="AB5339" s="182" t="n">
        <v>0</v>
      </c>
      <c r="AC5339" s="182" t="n">
        <v>0</v>
      </c>
      <c r="AD5339" s="182" t="n">
        <v>0</v>
      </c>
      <c r="AE5339" s="182" t="n">
        <v>0</v>
      </c>
      <c r="AF5339" s="182" t="n">
        <v>0</v>
      </c>
      <c r="AG5339" s="182" t="n">
        <v>0</v>
      </c>
      <c r="AH5339" s="182" t="n">
        <v>0</v>
      </c>
      <c r="AI5339" s="182" t="n">
        <v>0</v>
      </c>
      <c r="AJ5339" s="182" t="n">
        <v>0</v>
      </c>
      <c r="AK5339" s="182" t="n">
        <v>0</v>
      </c>
      <c r="AL5339" s="182" t="n">
        <v>0</v>
      </c>
      <c r="AM5339" s="182" t="n">
        <v>0</v>
      </c>
      <c r="AN5339" s="182" t="n">
        <v>0</v>
      </c>
    </row>
    <row r="5340">
      <c r="A5340" s="155" t="n">
        <v>46106</v>
      </c>
      <c r="B5340" s="156" t="inlineStr">
        <is>
          <t>DS</t>
        </is>
      </c>
      <c r="C5340" s="156" t="inlineStr">
        <is>
          <t>DT-805</t>
        </is>
      </c>
      <c r="D5340" s="156" t="inlineStr">
        <is>
          <t>SKT 80S</t>
        </is>
      </c>
      <c r="E5340" s="156" t="inlineStr">
        <is>
          <t>Hauler</t>
        </is>
      </c>
      <c r="F5340" s="156" t="inlineStr"/>
      <c r="G5340" s="182" t="n">
        <v>0</v>
      </c>
      <c r="H5340" s="182" t="n">
        <v>0</v>
      </c>
      <c r="I5340" s="182" t="n">
        <v>12</v>
      </c>
      <c r="J5340" s="182" t="n">
        <v>12</v>
      </c>
      <c r="K5340" s="182" t="n">
        <v>0</v>
      </c>
      <c r="L5340" s="182" t="n">
        <v>12</v>
      </c>
      <c r="M5340" s="182" t="n">
        <v>0</v>
      </c>
      <c r="N5340" s="182" t="n">
        <v>0</v>
      </c>
      <c r="O5340" s="183" t="n">
        <v>0</v>
      </c>
      <c r="P5340" s="183" t="n">
        <v>0</v>
      </c>
      <c r="Q5340" s="184" t="n">
        <v>0</v>
      </c>
      <c r="R5340" s="184" t="n">
        <v>0</v>
      </c>
      <c r="S5340" s="183" t="n">
        <v>0</v>
      </c>
      <c r="T5340" s="183" t="n">
        <v>0</v>
      </c>
      <c r="U5340" s="182" t="n">
        <v>0</v>
      </c>
      <c r="V5340" s="182" t="n">
        <v>0</v>
      </c>
      <c r="W5340" s="182" t="n">
        <v>0</v>
      </c>
      <c r="X5340" s="182" t="n">
        <v>0</v>
      </c>
      <c r="Y5340" s="182" t="n">
        <v>0</v>
      </c>
      <c r="Z5340" s="182" t="n">
        <v>0</v>
      </c>
      <c r="AA5340" s="182" t="n">
        <v>0</v>
      </c>
      <c r="AB5340" s="182" t="n">
        <v>0</v>
      </c>
      <c r="AC5340" s="182" t="n">
        <v>0</v>
      </c>
      <c r="AD5340" s="182" t="n">
        <v>0</v>
      </c>
      <c r="AE5340" s="182" t="n">
        <v>0</v>
      </c>
      <c r="AF5340" s="182" t="n">
        <v>0</v>
      </c>
      <c r="AG5340" s="182" t="n">
        <v>0</v>
      </c>
      <c r="AH5340" s="182" t="n">
        <v>0</v>
      </c>
      <c r="AI5340" s="182" t="n">
        <v>0</v>
      </c>
      <c r="AJ5340" s="182" t="n">
        <v>0</v>
      </c>
      <c r="AK5340" s="182" t="n">
        <v>0</v>
      </c>
      <c r="AL5340" s="182" t="n">
        <v>0</v>
      </c>
      <c r="AM5340" s="182" t="n">
        <v>0</v>
      </c>
      <c r="AN5340" s="182" t="n">
        <v>0</v>
      </c>
    </row>
    <row r="5341">
      <c r="A5341" s="155" t="n">
        <v>46106</v>
      </c>
      <c r="B5341" s="156" t="inlineStr">
        <is>
          <t>DS</t>
        </is>
      </c>
      <c r="C5341" s="156" t="inlineStr">
        <is>
          <t>DT-801</t>
        </is>
      </c>
      <c r="D5341" s="156" t="inlineStr">
        <is>
          <t>SKT 80S</t>
        </is>
      </c>
      <c r="E5341" s="156" t="inlineStr">
        <is>
          <t>Hauler</t>
        </is>
      </c>
      <c r="F5341" s="156" t="inlineStr"/>
      <c r="G5341" s="182" t="n">
        <v>0</v>
      </c>
      <c r="H5341" s="182" t="n">
        <v>0</v>
      </c>
      <c r="I5341" s="182" t="n">
        <v>12</v>
      </c>
      <c r="J5341" s="182" t="n">
        <v>12</v>
      </c>
      <c r="K5341" s="182" t="n">
        <v>0</v>
      </c>
      <c r="L5341" s="182" t="n">
        <v>12</v>
      </c>
      <c r="M5341" s="182" t="n">
        <v>0</v>
      </c>
      <c r="N5341" s="182" t="n">
        <v>0</v>
      </c>
      <c r="O5341" s="183" t="n">
        <v>0</v>
      </c>
      <c r="P5341" s="183" t="n">
        <v>0</v>
      </c>
      <c r="Q5341" s="184" t="n">
        <v>0</v>
      </c>
      <c r="R5341" s="184" t="n">
        <v>0</v>
      </c>
      <c r="S5341" s="183" t="n">
        <v>0</v>
      </c>
      <c r="T5341" s="183" t="n">
        <v>0</v>
      </c>
      <c r="U5341" s="182" t="n">
        <v>0</v>
      </c>
      <c r="V5341" s="182" t="n">
        <v>0</v>
      </c>
      <c r="W5341" s="182" t="n">
        <v>0</v>
      </c>
      <c r="X5341" s="182" t="n">
        <v>0</v>
      </c>
      <c r="Y5341" s="182" t="n">
        <v>0</v>
      </c>
      <c r="Z5341" s="182" t="n">
        <v>0</v>
      </c>
      <c r="AA5341" s="182" t="n">
        <v>0</v>
      </c>
      <c r="AB5341" s="182" t="n">
        <v>0</v>
      </c>
      <c r="AC5341" s="182" t="n">
        <v>0</v>
      </c>
      <c r="AD5341" s="182" t="n">
        <v>0</v>
      </c>
      <c r="AE5341" s="182" t="n">
        <v>0</v>
      </c>
      <c r="AF5341" s="182" t="n">
        <v>0</v>
      </c>
      <c r="AG5341" s="182" t="n">
        <v>0</v>
      </c>
      <c r="AH5341" s="182" t="n">
        <v>0</v>
      </c>
      <c r="AI5341" s="182" t="n">
        <v>0</v>
      </c>
      <c r="AJ5341" s="182" t="n">
        <v>0</v>
      </c>
      <c r="AK5341" s="182" t="n">
        <v>0</v>
      </c>
      <c r="AL5341" s="182" t="n">
        <v>0</v>
      </c>
      <c r="AM5341" s="182" t="n">
        <v>0</v>
      </c>
      <c r="AN5341" s="182" t="n">
        <v>0</v>
      </c>
    </row>
    <row r="5342">
      <c r="A5342" s="155" t="n">
        <v>46106</v>
      </c>
      <c r="B5342" s="156" t="inlineStr">
        <is>
          <t>DS</t>
        </is>
      </c>
      <c r="C5342" s="156" t="inlineStr">
        <is>
          <t>DT-808</t>
        </is>
      </c>
      <c r="D5342" s="156" t="inlineStr">
        <is>
          <t>SKT 80S</t>
        </is>
      </c>
      <c r="E5342" s="156" t="inlineStr">
        <is>
          <t>Hauler</t>
        </is>
      </c>
      <c r="F5342" s="156" t="inlineStr">
        <is>
          <t>Support Washing Plant</t>
        </is>
      </c>
      <c r="G5342" s="182" t="n">
        <v>1.94</v>
      </c>
      <c r="H5342" s="182" t="n">
        <v>0</v>
      </c>
      <c r="I5342" s="182" t="n">
        <v>0</v>
      </c>
      <c r="J5342" s="182" t="n">
        <v>0</v>
      </c>
      <c r="K5342" s="182" t="n">
        <v>10.06</v>
      </c>
      <c r="L5342" s="182" t="n">
        <v>12</v>
      </c>
      <c r="M5342" s="182" t="n">
        <v>0</v>
      </c>
      <c r="N5342" s="182" t="n">
        <v>0</v>
      </c>
      <c r="O5342" s="183" t="n">
        <v>0</v>
      </c>
      <c r="P5342" s="183" t="n">
        <v>0</v>
      </c>
      <c r="Q5342" s="184" t="n">
        <v>0</v>
      </c>
      <c r="R5342" s="184" t="n">
        <v>0</v>
      </c>
      <c r="S5342" s="183" t="n">
        <v>0</v>
      </c>
      <c r="T5342" s="183" t="n">
        <v>0</v>
      </c>
      <c r="U5342" s="182" t="n">
        <v>0</v>
      </c>
      <c r="V5342" s="182" t="n">
        <v>0</v>
      </c>
      <c r="W5342" s="182" t="n">
        <v>0</v>
      </c>
      <c r="X5342" s="182" t="n">
        <v>1</v>
      </c>
      <c r="Y5342" s="182" t="n">
        <v>0</v>
      </c>
      <c r="Z5342" s="182" t="n">
        <v>0</v>
      </c>
      <c r="AA5342" s="182" t="n">
        <v>0</v>
      </c>
      <c r="AB5342" s="182" t="n">
        <v>0</v>
      </c>
      <c r="AC5342" s="182" t="n">
        <v>0</v>
      </c>
      <c r="AD5342" s="182" t="n">
        <v>0</v>
      </c>
      <c r="AE5342" s="182" t="n">
        <v>0</v>
      </c>
      <c r="AF5342" s="182" t="n">
        <v>0</v>
      </c>
      <c r="AG5342" s="182" t="n">
        <v>0</v>
      </c>
      <c r="AH5342" s="182" t="n">
        <v>0</v>
      </c>
      <c r="AI5342" s="182" t="n">
        <v>0</v>
      </c>
      <c r="AJ5342" s="182" t="n">
        <v>0</v>
      </c>
      <c r="AK5342" s="182" t="n">
        <v>8.98</v>
      </c>
      <c r="AL5342" s="182" t="n">
        <v>0</v>
      </c>
      <c r="AM5342" s="182" t="n">
        <v>0.08</v>
      </c>
      <c r="AN5342" s="182" t="n">
        <v>0</v>
      </c>
    </row>
    <row r="5343">
      <c r="A5343" s="155" t="n">
        <v>46106</v>
      </c>
      <c r="B5343" s="156" t="inlineStr">
        <is>
          <t>DS</t>
        </is>
      </c>
      <c r="C5343" s="156" t="inlineStr">
        <is>
          <t>DT-811</t>
        </is>
      </c>
      <c r="D5343" s="156" t="inlineStr">
        <is>
          <t>SKT 80S</t>
        </is>
      </c>
      <c r="E5343" s="156" t="inlineStr">
        <is>
          <t>Hauler</t>
        </is>
      </c>
      <c r="F5343" s="156" t="inlineStr">
        <is>
          <t>Hauling Coal</t>
        </is>
      </c>
      <c r="G5343" s="182" t="n">
        <v>3.15</v>
      </c>
      <c r="H5343" s="182" t="n">
        <v>0</v>
      </c>
      <c r="I5343" s="182" t="n">
        <v>0</v>
      </c>
      <c r="J5343" s="182" t="n">
        <v>0</v>
      </c>
      <c r="K5343" s="182" t="n">
        <v>8.85</v>
      </c>
      <c r="L5343" s="182" t="n">
        <v>12</v>
      </c>
      <c r="M5343" s="182" t="n">
        <v>0</v>
      </c>
      <c r="N5343" s="182" t="n">
        <v>3.15</v>
      </c>
      <c r="O5343" s="183" t="n">
        <v>0</v>
      </c>
      <c r="P5343" s="183" t="n">
        <v>5</v>
      </c>
      <c r="Q5343" s="184" t="n">
        <v>0</v>
      </c>
      <c r="R5343" s="184" t="n">
        <v>76.5</v>
      </c>
      <c r="S5343" s="183" t="n">
        <v>0</v>
      </c>
      <c r="T5343" s="183" t="n">
        <v>0</v>
      </c>
      <c r="U5343" s="182" t="n">
        <v>0</v>
      </c>
      <c r="V5343" s="182" t="n">
        <v>0</v>
      </c>
      <c r="W5343" s="182" t="n">
        <v>0</v>
      </c>
      <c r="X5343" s="182" t="n">
        <v>0.98</v>
      </c>
      <c r="Y5343" s="182" t="n">
        <v>0</v>
      </c>
      <c r="Z5343" s="182" t="n">
        <v>0</v>
      </c>
      <c r="AA5343" s="182" t="n">
        <v>0</v>
      </c>
      <c r="AB5343" s="182" t="n">
        <v>0</v>
      </c>
      <c r="AC5343" s="182" t="n">
        <v>2.95</v>
      </c>
      <c r="AD5343" s="182" t="n">
        <v>0</v>
      </c>
      <c r="AE5343" s="182" t="n">
        <v>0</v>
      </c>
      <c r="AF5343" s="182" t="n">
        <v>0</v>
      </c>
      <c r="AG5343" s="182" t="n">
        <v>0</v>
      </c>
      <c r="AH5343" s="182" t="n">
        <v>0</v>
      </c>
      <c r="AI5343" s="182" t="n">
        <v>0</v>
      </c>
      <c r="AJ5343" s="182" t="n">
        <v>0</v>
      </c>
      <c r="AK5343" s="182" t="n">
        <v>4.84</v>
      </c>
      <c r="AL5343" s="182" t="n">
        <v>0</v>
      </c>
      <c r="AM5343" s="182" t="n">
        <v>0.08</v>
      </c>
      <c r="AN5343" s="182" t="n">
        <v>0</v>
      </c>
    </row>
    <row r="5344">
      <c r="A5344" s="155" t="n">
        <v>46106</v>
      </c>
      <c r="B5344" s="156" t="inlineStr">
        <is>
          <t>DS</t>
        </is>
      </c>
      <c r="C5344" s="156" t="inlineStr">
        <is>
          <t>DT-802</t>
        </is>
      </c>
      <c r="D5344" s="156" t="inlineStr">
        <is>
          <t>SKT 80S</t>
        </is>
      </c>
      <c r="E5344" s="156" t="inlineStr">
        <is>
          <t>Hauler</t>
        </is>
      </c>
      <c r="F5344" s="156" t="inlineStr"/>
      <c r="G5344" s="182" t="n">
        <v>0</v>
      </c>
      <c r="H5344" s="182" t="n">
        <v>0</v>
      </c>
      <c r="I5344" s="182" t="n">
        <v>0</v>
      </c>
      <c r="J5344" s="182" t="n">
        <v>0</v>
      </c>
      <c r="K5344" s="182" t="n">
        <v>12</v>
      </c>
      <c r="L5344" s="182" t="n">
        <v>12</v>
      </c>
      <c r="M5344" s="182" t="n">
        <v>0</v>
      </c>
      <c r="N5344" s="182" t="n">
        <v>0</v>
      </c>
      <c r="O5344" s="183" t="n">
        <v>0</v>
      </c>
      <c r="P5344" s="183" t="n">
        <v>0</v>
      </c>
      <c r="Q5344" s="184" t="n">
        <v>0</v>
      </c>
      <c r="R5344" s="184" t="n">
        <v>0</v>
      </c>
      <c r="S5344" s="183" t="n">
        <v>0</v>
      </c>
      <c r="T5344" s="183" t="n">
        <v>0</v>
      </c>
      <c r="U5344" s="182" t="n">
        <v>0</v>
      </c>
      <c r="V5344" s="182" t="n">
        <v>0</v>
      </c>
      <c r="W5344" s="182" t="n">
        <v>0</v>
      </c>
      <c r="X5344" s="182" t="n">
        <v>1</v>
      </c>
      <c r="Y5344" s="182" t="n">
        <v>0</v>
      </c>
      <c r="Z5344" s="182" t="n">
        <v>0</v>
      </c>
      <c r="AA5344" s="182" t="n">
        <v>0</v>
      </c>
      <c r="AB5344" s="182" t="n">
        <v>0</v>
      </c>
      <c r="AC5344" s="182" t="n">
        <v>0</v>
      </c>
      <c r="AD5344" s="182" t="n">
        <v>0</v>
      </c>
      <c r="AE5344" s="182" t="n">
        <v>0</v>
      </c>
      <c r="AF5344" s="182" t="n">
        <v>0</v>
      </c>
      <c r="AG5344" s="182" t="n">
        <v>0</v>
      </c>
      <c r="AH5344" s="182" t="n">
        <v>0</v>
      </c>
      <c r="AI5344" s="182" t="n">
        <v>0</v>
      </c>
      <c r="AJ5344" s="182" t="n">
        <v>0</v>
      </c>
      <c r="AK5344" s="182" t="n">
        <v>10.92</v>
      </c>
      <c r="AL5344" s="182" t="n">
        <v>0</v>
      </c>
      <c r="AM5344" s="182" t="n">
        <v>0.08</v>
      </c>
      <c r="AN5344" s="182" t="n">
        <v>0</v>
      </c>
    </row>
    <row r="5345">
      <c r="A5345" s="155" t="n">
        <v>46106</v>
      </c>
      <c r="B5345" s="156" t="inlineStr">
        <is>
          <t>DS</t>
        </is>
      </c>
      <c r="C5345" s="156" t="inlineStr">
        <is>
          <t>DT-807</t>
        </is>
      </c>
      <c r="D5345" s="156" t="inlineStr">
        <is>
          <t>SKT 80S</t>
        </is>
      </c>
      <c r="E5345" s="156" t="inlineStr">
        <is>
          <t>Hauler</t>
        </is>
      </c>
      <c r="F5345" s="156" t="inlineStr"/>
      <c r="G5345" s="182" t="n">
        <v>0</v>
      </c>
      <c r="H5345" s="182" t="n">
        <v>0</v>
      </c>
      <c r="I5345" s="182" t="n">
        <v>12</v>
      </c>
      <c r="J5345" s="182" t="n">
        <v>12</v>
      </c>
      <c r="K5345" s="182" t="n">
        <v>0</v>
      </c>
      <c r="L5345" s="182" t="n">
        <v>12</v>
      </c>
      <c r="M5345" s="182" t="n">
        <v>0</v>
      </c>
      <c r="N5345" s="182" t="n">
        <v>0</v>
      </c>
      <c r="O5345" s="183" t="n">
        <v>0</v>
      </c>
      <c r="P5345" s="183" t="n">
        <v>0</v>
      </c>
      <c r="Q5345" s="184" t="n">
        <v>0</v>
      </c>
      <c r="R5345" s="184" t="n">
        <v>0</v>
      </c>
      <c r="S5345" s="183" t="n">
        <v>0</v>
      </c>
      <c r="T5345" s="183" t="n">
        <v>0</v>
      </c>
      <c r="U5345" s="182" t="n">
        <v>0</v>
      </c>
      <c r="V5345" s="182" t="n">
        <v>0</v>
      </c>
      <c r="W5345" s="182" t="n">
        <v>0</v>
      </c>
      <c r="X5345" s="182" t="n">
        <v>0</v>
      </c>
      <c r="Y5345" s="182" t="n">
        <v>0</v>
      </c>
      <c r="Z5345" s="182" t="n">
        <v>0</v>
      </c>
      <c r="AA5345" s="182" t="n">
        <v>0</v>
      </c>
      <c r="AB5345" s="182" t="n">
        <v>0</v>
      </c>
      <c r="AC5345" s="182" t="n">
        <v>0</v>
      </c>
      <c r="AD5345" s="182" t="n">
        <v>0</v>
      </c>
      <c r="AE5345" s="182" t="n">
        <v>0</v>
      </c>
      <c r="AF5345" s="182" t="n">
        <v>0</v>
      </c>
      <c r="AG5345" s="182" t="n">
        <v>0</v>
      </c>
      <c r="AH5345" s="182" t="n">
        <v>0</v>
      </c>
      <c r="AI5345" s="182" t="n">
        <v>0</v>
      </c>
      <c r="AJ5345" s="182" t="n">
        <v>0</v>
      </c>
      <c r="AK5345" s="182" t="n">
        <v>0</v>
      </c>
      <c r="AL5345" s="182" t="n">
        <v>0</v>
      </c>
      <c r="AM5345" s="182" t="n">
        <v>0</v>
      </c>
      <c r="AN5345" s="182" t="n">
        <v>0</v>
      </c>
    </row>
    <row r="5346">
      <c r="A5346" s="155" t="n">
        <v>46106</v>
      </c>
      <c r="B5346" s="156" t="inlineStr">
        <is>
          <t>DS</t>
        </is>
      </c>
      <c r="C5346" s="156" t="inlineStr">
        <is>
          <t>DT-812</t>
        </is>
      </c>
      <c r="D5346" s="156" t="inlineStr">
        <is>
          <t>SKT 80S</t>
        </is>
      </c>
      <c r="E5346" s="156" t="inlineStr">
        <is>
          <t>Hauler</t>
        </is>
      </c>
      <c r="F5346" s="156" t="inlineStr">
        <is>
          <t>Travel ke WS</t>
        </is>
      </c>
      <c r="G5346" s="182" t="n">
        <v>0.5600000000000001</v>
      </c>
      <c r="H5346" s="182" t="n">
        <v>2.33</v>
      </c>
      <c r="I5346" s="182" t="n">
        <v>0</v>
      </c>
      <c r="J5346" s="182" t="n">
        <v>2.33</v>
      </c>
      <c r="K5346" s="182" t="n">
        <v>9.109999999999999</v>
      </c>
      <c r="L5346" s="182" t="n">
        <v>12</v>
      </c>
      <c r="M5346" s="182" t="n">
        <v>0</v>
      </c>
      <c r="N5346" s="182" t="n">
        <v>0</v>
      </c>
      <c r="O5346" s="183" t="n">
        <v>0</v>
      </c>
      <c r="P5346" s="183" t="n">
        <v>0</v>
      </c>
      <c r="Q5346" s="184" t="n">
        <v>0</v>
      </c>
      <c r="R5346" s="184" t="n">
        <v>0</v>
      </c>
      <c r="S5346" s="183" t="n">
        <v>0</v>
      </c>
      <c r="T5346" s="183" t="n">
        <v>0</v>
      </c>
      <c r="U5346" s="182" t="n">
        <v>0</v>
      </c>
      <c r="V5346" s="182" t="n">
        <v>0</v>
      </c>
      <c r="W5346" s="182" t="n">
        <v>0</v>
      </c>
      <c r="X5346" s="182" t="n">
        <v>1</v>
      </c>
      <c r="Y5346" s="182" t="n">
        <v>0</v>
      </c>
      <c r="Z5346" s="182" t="n">
        <v>0</v>
      </c>
      <c r="AA5346" s="182" t="n">
        <v>0</v>
      </c>
      <c r="AB5346" s="182" t="n">
        <v>0</v>
      </c>
      <c r="AC5346" s="182" t="n">
        <v>0</v>
      </c>
      <c r="AD5346" s="182" t="n">
        <v>0</v>
      </c>
      <c r="AE5346" s="182" t="n">
        <v>0</v>
      </c>
      <c r="AF5346" s="182" t="n">
        <v>0</v>
      </c>
      <c r="AG5346" s="182" t="n">
        <v>0</v>
      </c>
      <c r="AH5346" s="182" t="n">
        <v>0</v>
      </c>
      <c r="AI5346" s="182" t="n">
        <v>0</v>
      </c>
      <c r="AJ5346" s="182" t="n">
        <v>0</v>
      </c>
      <c r="AK5346" s="182" t="n">
        <v>8.02</v>
      </c>
      <c r="AL5346" s="182" t="n">
        <v>0</v>
      </c>
      <c r="AM5346" s="182" t="n">
        <v>0.08</v>
      </c>
      <c r="AN5346" s="182" t="n">
        <v>0</v>
      </c>
    </row>
    <row r="5347">
      <c r="A5347" s="155" t="n">
        <v>46106</v>
      </c>
      <c r="B5347" s="156" t="inlineStr">
        <is>
          <t>DS</t>
        </is>
      </c>
      <c r="C5347" s="156" t="inlineStr">
        <is>
          <t>DT-803</t>
        </is>
      </c>
      <c r="D5347" s="156" t="inlineStr">
        <is>
          <t>SKT 80S</t>
        </is>
      </c>
      <c r="E5347" s="156" t="inlineStr">
        <is>
          <t>Hauler</t>
        </is>
      </c>
      <c r="F5347" s="156" t="inlineStr"/>
      <c r="G5347" s="182" t="n">
        <v>0</v>
      </c>
      <c r="H5347" s="182" t="n">
        <v>0</v>
      </c>
      <c r="I5347" s="182" t="n">
        <v>0</v>
      </c>
      <c r="J5347" s="182" t="n">
        <v>0</v>
      </c>
      <c r="K5347" s="182" t="n">
        <v>12</v>
      </c>
      <c r="L5347" s="182" t="n">
        <v>12</v>
      </c>
      <c r="M5347" s="182" t="n">
        <v>0</v>
      </c>
      <c r="N5347" s="182" t="n">
        <v>0</v>
      </c>
      <c r="O5347" s="183" t="n">
        <v>0</v>
      </c>
      <c r="P5347" s="183" t="n">
        <v>0</v>
      </c>
      <c r="Q5347" s="184" t="n">
        <v>0</v>
      </c>
      <c r="R5347" s="184" t="n">
        <v>0</v>
      </c>
      <c r="S5347" s="183" t="n">
        <v>0</v>
      </c>
      <c r="T5347" s="183" t="n">
        <v>0</v>
      </c>
      <c r="U5347" s="182" t="n">
        <v>0</v>
      </c>
      <c r="V5347" s="182" t="n">
        <v>0</v>
      </c>
      <c r="W5347" s="182" t="n">
        <v>0</v>
      </c>
      <c r="X5347" s="182" t="n">
        <v>1</v>
      </c>
      <c r="Y5347" s="182" t="n">
        <v>0</v>
      </c>
      <c r="Z5347" s="182" t="n">
        <v>0</v>
      </c>
      <c r="AA5347" s="182" t="n">
        <v>0</v>
      </c>
      <c r="AB5347" s="182" t="n">
        <v>0</v>
      </c>
      <c r="AC5347" s="182" t="n">
        <v>0</v>
      </c>
      <c r="AD5347" s="182" t="n">
        <v>0</v>
      </c>
      <c r="AE5347" s="182" t="n">
        <v>0</v>
      </c>
      <c r="AF5347" s="182" t="n">
        <v>0</v>
      </c>
      <c r="AG5347" s="182" t="n">
        <v>0</v>
      </c>
      <c r="AH5347" s="182" t="n">
        <v>0</v>
      </c>
      <c r="AI5347" s="182" t="n">
        <v>0</v>
      </c>
      <c r="AJ5347" s="182" t="n">
        <v>0</v>
      </c>
      <c r="AK5347" s="182" t="n">
        <v>10.92</v>
      </c>
      <c r="AL5347" s="182" t="n">
        <v>0</v>
      </c>
      <c r="AM5347" s="182" t="n">
        <v>0.08</v>
      </c>
      <c r="AN5347" s="182" t="n">
        <v>0</v>
      </c>
    </row>
    <row r="5348">
      <c r="A5348" s="155" t="n">
        <v>46106</v>
      </c>
      <c r="B5348" s="156" t="inlineStr">
        <is>
          <t>DS</t>
        </is>
      </c>
      <c r="C5348" s="156" t="inlineStr">
        <is>
          <t>DT-810</t>
        </is>
      </c>
      <c r="D5348" s="156" t="inlineStr">
        <is>
          <t>SKT 80S</t>
        </is>
      </c>
      <c r="E5348" s="156" t="inlineStr">
        <is>
          <t>Hauler</t>
        </is>
      </c>
      <c r="F5348" s="156" t="inlineStr">
        <is>
          <t>Hauling Coal</t>
        </is>
      </c>
      <c r="G5348" s="182" t="n">
        <v>3.93</v>
      </c>
      <c r="H5348" s="182" t="n">
        <v>0</v>
      </c>
      <c r="I5348" s="182" t="n">
        <v>0</v>
      </c>
      <c r="J5348" s="182" t="n">
        <v>0</v>
      </c>
      <c r="K5348" s="182" t="n">
        <v>8.07</v>
      </c>
      <c r="L5348" s="182" t="n">
        <v>12</v>
      </c>
      <c r="M5348" s="182" t="n">
        <v>0</v>
      </c>
      <c r="N5348" s="182" t="n">
        <v>3.93</v>
      </c>
      <c r="O5348" s="183" t="n">
        <v>0</v>
      </c>
      <c r="P5348" s="183" t="n">
        <v>8</v>
      </c>
      <c r="Q5348" s="184" t="n">
        <v>0</v>
      </c>
      <c r="R5348" s="184" t="n">
        <v>122.4</v>
      </c>
      <c r="S5348" s="183" t="n">
        <v>0</v>
      </c>
      <c r="T5348" s="183" t="n">
        <v>0</v>
      </c>
      <c r="U5348" s="182" t="n">
        <v>0</v>
      </c>
      <c r="V5348" s="182" t="n">
        <v>0</v>
      </c>
      <c r="W5348" s="182" t="n">
        <v>0</v>
      </c>
      <c r="X5348" s="182" t="n">
        <v>1.02</v>
      </c>
      <c r="Y5348" s="182" t="n">
        <v>0</v>
      </c>
      <c r="Z5348" s="182" t="n">
        <v>0</v>
      </c>
      <c r="AA5348" s="182" t="n">
        <v>0</v>
      </c>
      <c r="AB5348" s="182" t="n">
        <v>0</v>
      </c>
      <c r="AC5348" s="182" t="n">
        <v>3.06</v>
      </c>
      <c r="AD5348" s="182" t="n">
        <v>0</v>
      </c>
      <c r="AE5348" s="182" t="n">
        <v>0</v>
      </c>
      <c r="AF5348" s="182" t="n">
        <v>0</v>
      </c>
      <c r="AG5348" s="182" t="n">
        <v>0</v>
      </c>
      <c r="AH5348" s="182" t="n">
        <v>0</v>
      </c>
      <c r="AI5348" s="182" t="n">
        <v>0</v>
      </c>
      <c r="AJ5348" s="182" t="n">
        <v>0</v>
      </c>
      <c r="AK5348" s="182" t="n">
        <v>3.9</v>
      </c>
      <c r="AL5348" s="182" t="n">
        <v>0</v>
      </c>
      <c r="AM5348" s="182" t="n">
        <v>0.08</v>
      </c>
      <c r="AN5348" s="182" t="n">
        <v>0</v>
      </c>
    </row>
    <row r="5349">
      <c r="A5349" s="155" t="n">
        <v>46106</v>
      </c>
      <c r="B5349" s="156" t="inlineStr">
        <is>
          <t>DS</t>
        </is>
      </c>
      <c r="C5349" s="156" t="inlineStr">
        <is>
          <t>DT-804</t>
        </is>
      </c>
      <c r="D5349" s="156" t="inlineStr">
        <is>
          <t>SKT 80S</t>
        </is>
      </c>
      <c r="E5349" s="156" t="inlineStr">
        <is>
          <t>Hauler</t>
        </is>
      </c>
      <c r="F5349" s="156" t="inlineStr">
        <is>
          <t>Support Washing Plant</t>
        </is>
      </c>
      <c r="G5349" s="182" t="n">
        <v>2.46</v>
      </c>
      <c r="H5349" s="182" t="n">
        <v>0</v>
      </c>
      <c r="I5349" s="182" t="n">
        <v>0</v>
      </c>
      <c r="J5349" s="182" t="n">
        <v>0</v>
      </c>
      <c r="K5349" s="182" t="n">
        <v>9.539999999999999</v>
      </c>
      <c r="L5349" s="182" t="n">
        <v>12</v>
      </c>
      <c r="M5349" s="182" t="n">
        <v>0</v>
      </c>
      <c r="N5349" s="182" t="n">
        <v>0</v>
      </c>
      <c r="O5349" s="183" t="n">
        <v>0</v>
      </c>
      <c r="P5349" s="183" t="n">
        <v>0</v>
      </c>
      <c r="Q5349" s="184" t="n">
        <v>0</v>
      </c>
      <c r="R5349" s="184" t="n">
        <v>0</v>
      </c>
      <c r="S5349" s="183" t="n">
        <v>0</v>
      </c>
      <c r="T5349" s="183" t="n">
        <v>0</v>
      </c>
      <c r="U5349" s="182" t="n">
        <v>0</v>
      </c>
      <c r="V5349" s="182" t="n">
        <v>0</v>
      </c>
      <c r="W5349" s="182" t="n">
        <v>0</v>
      </c>
      <c r="X5349" s="182" t="n">
        <v>1.01</v>
      </c>
      <c r="Y5349" s="182" t="n">
        <v>0</v>
      </c>
      <c r="Z5349" s="182" t="n">
        <v>0</v>
      </c>
      <c r="AA5349" s="182" t="n">
        <v>0</v>
      </c>
      <c r="AB5349" s="182" t="n">
        <v>0</v>
      </c>
      <c r="AC5349" s="182" t="n">
        <v>0</v>
      </c>
      <c r="AD5349" s="182" t="n">
        <v>0</v>
      </c>
      <c r="AE5349" s="182" t="n">
        <v>0</v>
      </c>
      <c r="AF5349" s="182" t="n">
        <v>0</v>
      </c>
      <c r="AG5349" s="182" t="n">
        <v>0</v>
      </c>
      <c r="AH5349" s="182" t="n">
        <v>0</v>
      </c>
      <c r="AI5349" s="182" t="n">
        <v>0</v>
      </c>
      <c r="AJ5349" s="182" t="n">
        <v>0</v>
      </c>
      <c r="AK5349" s="182" t="n">
        <v>8.44</v>
      </c>
      <c r="AL5349" s="182" t="n">
        <v>0</v>
      </c>
      <c r="AM5349" s="182" t="n">
        <v>0.08</v>
      </c>
      <c r="AN5349" s="182" t="n">
        <v>0</v>
      </c>
    </row>
    <row r="5350">
      <c r="A5350" s="155" t="n">
        <v>46106</v>
      </c>
      <c r="B5350" s="156" t="inlineStr">
        <is>
          <t>DS</t>
        </is>
      </c>
      <c r="C5350" s="156" t="inlineStr">
        <is>
          <t>DT-505</t>
        </is>
      </c>
      <c r="D5350" s="156" t="inlineStr">
        <is>
          <t>SKT 105S</t>
        </is>
      </c>
      <c r="E5350" s="156" t="inlineStr">
        <is>
          <t>Hauler</t>
        </is>
      </c>
      <c r="F5350" s="156" t="inlineStr">
        <is>
          <t>Hauling Mud</t>
        </is>
      </c>
      <c r="G5350" s="182" t="n">
        <v>6.4</v>
      </c>
      <c r="H5350" s="182" t="n">
        <v>0</v>
      </c>
      <c r="I5350" s="182" t="n">
        <v>0</v>
      </c>
      <c r="J5350" s="182" t="n">
        <v>0</v>
      </c>
      <c r="K5350" s="182" t="n">
        <v>5.6</v>
      </c>
      <c r="L5350" s="182" t="n">
        <v>12</v>
      </c>
      <c r="M5350" s="182" t="n">
        <v>6.4</v>
      </c>
      <c r="N5350" s="182" t="n">
        <v>0</v>
      </c>
      <c r="O5350" s="183" t="n">
        <v>12</v>
      </c>
      <c r="P5350" s="183" t="n">
        <v>0</v>
      </c>
      <c r="Q5350" s="184" t="n">
        <v>122.4</v>
      </c>
      <c r="R5350" s="184" t="n">
        <v>0</v>
      </c>
      <c r="S5350" s="183" t="n">
        <v>0</v>
      </c>
      <c r="T5350" s="183" t="n">
        <v>0</v>
      </c>
      <c r="U5350" s="182" t="n">
        <v>0</v>
      </c>
      <c r="V5350" s="182" t="n">
        <v>0</v>
      </c>
      <c r="W5350" s="182" t="n">
        <v>0</v>
      </c>
      <c r="X5350" s="182" t="n">
        <v>1.02</v>
      </c>
      <c r="Y5350" s="182" t="n">
        <v>0</v>
      </c>
      <c r="Z5350" s="182" t="n">
        <v>0</v>
      </c>
      <c r="AA5350" s="182" t="n">
        <v>0</v>
      </c>
      <c r="AB5350" s="182" t="n">
        <v>0</v>
      </c>
      <c r="AC5350" s="182" t="n">
        <v>1.14</v>
      </c>
      <c r="AD5350" s="182" t="n">
        <v>0</v>
      </c>
      <c r="AE5350" s="182" t="n">
        <v>0</v>
      </c>
      <c r="AF5350" s="182" t="n">
        <v>0</v>
      </c>
      <c r="AG5350" s="182" t="n">
        <v>0</v>
      </c>
      <c r="AH5350" s="182" t="n">
        <v>0.51</v>
      </c>
      <c r="AI5350" s="182" t="n">
        <v>2.85</v>
      </c>
      <c r="AJ5350" s="182" t="n">
        <v>0</v>
      </c>
      <c r="AK5350" s="182" t="n">
        <v>0</v>
      </c>
      <c r="AL5350" s="182" t="n">
        <v>0</v>
      </c>
      <c r="AM5350" s="182" t="n">
        <v>0.08</v>
      </c>
      <c r="AN5350" s="182" t="n">
        <v>0</v>
      </c>
    </row>
    <row r="5351">
      <c r="A5351" s="155" t="n">
        <v>46106</v>
      </c>
      <c r="B5351" s="156" t="inlineStr">
        <is>
          <t>DS</t>
        </is>
      </c>
      <c r="C5351" s="156" t="inlineStr">
        <is>
          <t>DT-530</t>
        </is>
      </c>
      <c r="D5351" s="156" t="inlineStr">
        <is>
          <t>SKT 105S</t>
        </is>
      </c>
      <c r="E5351" s="156" t="inlineStr">
        <is>
          <t>Hauler</t>
        </is>
      </c>
      <c r="F5351" s="156" t="inlineStr"/>
      <c r="G5351" s="182" t="n">
        <v>0</v>
      </c>
      <c r="H5351" s="182" t="n">
        <v>0</v>
      </c>
      <c r="I5351" s="182" t="n">
        <v>12</v>
      </c>
      <c r="J5351" s="182" t="n">
        <v>12</v>
      </c>
      <c r="K5351" s="182" t="n">
        <v>0</v>
      </c>
      <c r="L5351" s="182" t="n">
        <v>12</v>
      </c>
      <c r="M5351" s="182" t="n">
        <v>0</v>
      </c>
      <c r="N5351" s="182" t="n">
        <v>0</v>
      </c>
      <c r="O5351" s="183" t="n">
        <v>0</v>
      </c>
      <c r="P5351" s="183" t="n">
        <v>0</v>
      </c>
      <c r="Q5351" s="184" t="n">
        <v>0</v>
      </c>
      <c r="R5351" s="184" t="n">
        <v>0</v>
      </c>
      <c r="S5351" s="183" t="n">
        <v>0</v>
      </c>
      <c r="T5351" s="183" t="n">
        <v>0</v>
      </c>
      <c r="U5351" s="182" t="n">
        <v>0</v>
      </c>
      <c r="V5351" s="182" t="n">
        <v>0</v>
      </c>
      <c r="W5351" s="182" t="n">
        <v>0</v>
      </c>
      <c r="X5351" s="182" t="n">
        <v>0</v>
      </c>
      <c r="Y5351" s="182" t="n">
        <v>0</v>
      </c>
      <c r="Z5351" s="182" t="n">
        <v>0</v>
      </c>
      <c r="AA5351" s="182" t="n">
        <v>0</v>
      </c>
      <c r="AB5351" s="182" t="n">
        <v>0</v>
      </c>
      <c r="AC5351" s="182" t="n">
        <v>0</v>
      </c>
      <c r="AD5351" s="182" t="n">
        <v>0</v>
      </c>
      <c r="AE5351" s="182" t="n">
        <v>0</v>
      </c>
      <c r="AF5351" s="182" t="n">
        <v>0</v>
      </c>
      <c r="AG5351" s="182" t="n">
        <v>0</v>
      </c>
      <c r="AH5351" s="182" t="n">
        <v>0</v>
      </c>
      <c r="AI5351" s="182" t="n">
        <v>0</v>
      </c>
      <c r="AJ5351" s="182" t="n">
        <v>0</v>
      </c>
      <c r="AK5351" s="182" t="n">
        <v>0</v>
      </c>
      <c r="AL5351" s="182" t="n">
        <v>0</v>
      </c>
      <c r="AM5351" s="182" t="n">
        <v>0</v>
      </c>
      <c r="AN5351" s="182" t="n">
        <v>0</v>
      </c>
    </row>
    <row r="5352">
      <c r="A5352" s="155" t="n">
        <v>46106</v>
      </c>
      <c r="B5352" s="156" t="inlineStr">
        <is>
          <t>DS</t>
        </is>
      </c>
      <c r="C5352" s="156" t="inlineStr">
        <is>
          <t>DT-525</t>
        </is>
      </c>
      <c r="D5352" s="156" t="inlineStr">
        <is>
          <t>SKT 105S</t>
        </is>
      </c>
      <c r="E5352" s="156" t="inlineStr">
        <is>
          <t>Hauler</t>
        </is>
      </c>
      <c r="F5352" s="156" t="inlineStr"/>
      <c r="G5352" s="182" t="n">
        <v>0</v>
      </c>
      <c r="H5352" s="182" t="n">
        <v>0</v>
      </c>
      <c r="I5352" s="182" t="n">
        <v>12</v>
      </c>
      <c r="J5352" s="182" t="n">
        <v>12</v>
      </c>
      <c r="K5352" s="182" t="n">
        <v>0</v>
      </c>
      <c r="L5352" s="182" t="n">
        <v>12</v>
      </c>
      <c r="M5352" s="182" t="n">
        <v>0</v>
      </c>
      <c r="N5352" s="182" t="n">
        <v>0</v>
      </c>
      <c r="O5352" s="183" t="n">
        <v>0</v>
      </c>
      <c r="P5352" s="183" t="n">
        <v>0</v>
      </c>
      <c r="Q5352" s="184" t="n">
        <v>0</v>
      </c>
      <c r="R5352" s="184" t="n">
        <v>0</v>
      </c>
      <c r="S5352" s="183" t="n">
        <v>0</v>
      </c>
      <c r="T5352" s="183" t="n">
        <v>0</v>
      </c>
      <c r="U5352" s="182" t="n">
        <v>0</v>
      </c>
      <c r="V5352" s="182" t="n">
        <v>0</v>
      </c>
      <c r="W5352" s="182" t="n">
        <v>0</v>
      </c>
      <c r="X5352" s="182" t="n">
        <v>0</v>
      </c>
      <c r="Y5352" s="182" t="n">
        <v>0</v>
      </c>
      <c r="Z5352" s="182" t="n">
        <v>0</v>
      </c>
      <c r="AA5352" s="182" t="n">
        <v>0</v>
      </c>
      <c r="AB5352" s="182" t="n">
        <v>0</v>
      </c>
      <c r="AC5352" s="182" t="n">
        <v>0</v>
      </c>
      <c r="AD5352" s="182" t="n">
        <v>0</v>
      </c>
      <c r="AE5352" s="182" t="n">
        <v>0</v>
      </c>
      <c r="AF5352" s="182" t="n">
        <v>0</v>
      </c>
      <c r="AG5352" s="182" t="n">
        <v>0</v>
      </c>
      <c r="AH5352" s="182" t="n">
        <v>0</v>
      </c>
      <c r="AI5352" s="182" t="n">
        <v>0</v>
      </c>
      <c r="AJ5352" s="182" t="n">
        <v>0</v>
      </c>
      <c r="AK5352" s="182" t="n">
        <v>0</v>
      </c>
      <c r="AL5352" s="182" t="n">
        <v>0</v>
      </c>
      <c r="AM5352" s="182" t="n">
        <v>0</v>
      </c>
      <c r="AN5352" s="182" t="n">
        <v>0</v>
      </c>
    </row>
    <row r="5353">
      <c r="A5353" s="155" t="n">
        <v>46106</v>
      </c>
      <c r="B5353" s="156" t="inlineStr">
        <is>
          <t>DS</t>
        </is>
      </c>
      <c r="C5353" s="156" t="inlineStr">
        <is>
          <t>DT-503</t>
        </is>
      </c>
      <c r="D5353" s="156" t="inlineStr">
        <is>
          <t>SKT 105S</t>
        </is>
      </c>
      <c r="E5353" s="156" t="inlineStr">
        <is>
          <t>Hauler</t>
        </is>
      </c>
      <c r="F5353" s="156" t="inlineStr"/>
      <c r="G5353" s="182" t="n">
        <v>0</v>
      </c>
      <c r="H5353" s="182" t="n">
        <v>7.92</v>
      </c>
      <c r="I5353" s="182" t="n">
        <v>0</v>
      </c>
      <c r="J5353" s="182" t="n">
        <v>7.92</v>
      </c>
      <c r="K5353" s="182" t="n">
        <v>4.08</v>
      </c>
      <c r="L5353" s="182" t="n">
        <v>12</v>
      </c>
      <c r="M5353" s="182" t="n">
        <v>0</v>
      </c>
      <c r="N5353" s="182" t="n">
        <v>0</v>
      </c>
      <c r="O5353" s="183" t="n">
        <v>0</v>
      </c>
      <c r="P5353" s="183" t="n">
        <v>0</v>
      </c>
      <c r="Q5353" s="184" t="n">
        <v>0</v>
      </c>
      <c r="R5353" s="184" t="n">
        <v>0</v>
      </c>
      <c r="S5353" s="183" t="n">
        <v>0</v>
      </c>
      <c r="T5353" s="183" t="n">
        <v>0</v>
      </c>
      <c r="U5353" s="182" t="n">
        <v>0</v>
      </c>
      <c r="V5353" s="182" t="n">
        <v>0</v>
      </c>
      <c r="W5353" s="182" t="n">
        <v>0</v>
      </c>
      <c r="X5353" s="182" t="n">
        <v>1</v>
      </c>
      <c r="Y5353" s="182" t="n">
        <v>0</v>
      </c>
      <c r="Z5353" s="182" t="n">
        <v>0</v>
      </c>
      <c r="AA5353" s="182" t="n">
        <v>0</v>
      </c>
      <c r="AB5353" s="182" t="n">
        <v>0</v>
      </c>
      <c r="AC5353" s="182" t="n">
        <v>0</v>
      </c>
      <c r="AD5353" s="182" t="n">
        <v>0</v>
      </c>
      <c r="AE5353" s="182" t="n">
        <v>0</v>
      </c>
      <c r="AF5353" s="182" t="n">
        <v>0</v>
      </c>
      <c r="AG5353" s="182" t="n">
        <v>0</v>
      </c>
      <c r="AH5353" s="182" t="n">
        <v>0</v>
      </c>
      <c r="AI5353" s="182" t="n">
        <v>3</v>
      </c>
      <c r="AJ5353" s="182" t="n">
        <v>0</v>
      </c>
      <c r="AK5353" s="182" t="n">
        <v>0</v>
      </c>
      <c r="AL5353" s="182" t="n">
        <v>0</v>
      </c>
      <c r="AM5353" s="182" t="n">
        <v>0.08</v>
      </c>
      <c r="AN5353" s="182" t="n">
        <v>0</v>
      </c>
    </row>
    <row r="5354">
      <c r="A5354" s="155" t="n">
        <v>46106</v>
      </c>
      <c r="B5354" s="156" t="inlineStr">
        <is>
          <t>DS</t>
        </is>
      </c>
      <c r="C5354" s="156" t="inlineStr">
        <is>
          <t>DT-504</t>
        </is>
      </c>
      <c r="D5354" s="156" t="inlineStr">
        <is>
          <t>SKT 105S</t>
        </is>
      </c>
      <c r="E5354" s="156" t="inlineStr">
        <is>
          <t>Hauler</t>
        </is>
      </c>
      <c r="F5354" s="156" t="inlineStr">
        <is>
          <t>Hauling OB &amp; Hauling Spoil di WS Baru</t>
        </is>
      </c>
      <c r="G5354" s="182" t="n">
        <v>9.800000000000001</v>
      </c>
      <c r="H5354" s="182" t="n">
        <v>0</v>
      </c>
      <c r="I5354" s="182" t="n">
        <v>1.33</v>
      </c>
      <c r="J5354" s="182" t="n">
        <v>1.33</v>
      </c>
      <c r="K5354" s="182" t="n">
        <v>0.87</v>
      </c>
      <c r="L5354" s="182" t="n">
        <v>12</v>
      </c>
      <c r="M5354" s="182" t="n">
        <v>3.41</v>
      </c>
      <c r="N5354" s="182" t="n">
        <v>0</v>
      </c>
      <c r="O5354" s="183" t="n">
        <v>10</v>
      </c>
      <c r="P5354" s="183" t="n">
        <v>0</v>
      </c>
      <c r="Q5354" s="184" t="n">
        <v>204</v>
      </c>
      <c r="R5354" s="184" t="n">
        <v>0</v>
      </c>
      <c r="S5354" s="183" t="n">
        <v>0</v>
      </c>
      <c r="T5354" s="183" t="n">
        <v>0</v>
      </c>
      <c r="U5354" s="182" t="n">
        <v>0</v>
      </c>
      <c r="V5354" s="182" t="n">
        <v>0</v>
      </c>
      <c r="W5354" s="182" t="n">
        <v>0</v>
      </c>
      <c r="X5354" s="182" t="n">
        <v>0.59</v>
      </c>
      <c r="Y5354" s="182" t="n">
        <v>0</v>
      </c>
      <c r="Z5354" s="182" t="n">
        <v>0</v>
      </c>
      <c r="AA5354" s="182" t="n">
        <v>0</v>
      </c>
      <c r="AB5354" s="182" t="n">
        <v>0</v>
      </c>
      <c r="AC5354" s="182" t="n">
        <v>0.22</v>
      </c>
      <c r="AD5354" s="182" t="n">
        <v>0</v>
      </c>
      <c r="AE5354" s="182" t="n">
        <v>0</v>
      </c>
      <c r="AF5354" s="182" t="n">
        <v>0</v>
      </c>
      <c r="AG5354" s="182" t="n">
        <v>0</v>
      </c>
      <c r="AH5354" s="182" t="n">
        <v>0</v>
      </c>
      <c r="AI5354" s="182" t="n">
        <v>0</v>
      </c>
      <c r="AJ5354" s="182" t="n">
        <v>0</v>
      </c>
      <c r="AK5354" s="182" t="n">
        <v>0</v>
      </c>
      <c r="AL5354" s="182" t="n">
        <v>0</v>
      </c>
      <c r="AM5354" s="182" t="n">
        <v>0.05</v>
      </c>
      <c r="AN5354" s="182" t="n">
        <v>0</v>
      </c>
    </row>
    <row r="5355">
      <c r="A5355" s="155" t="n">
        <v>46106</v>
      </c>
      <c r="B5355" s="156" t="inlineStr">
        <is>
          <t>DS</t>
        </is>
      </c>
      <c r="C5355" s="156" t="inlineStr">
        <is>
          <t>DT-507</t>
        </is>
      </c>
      <c r="D5355" s="156" t="inlineStr">
        <is>
          <t>SKT 105S</t>
        </is>
      </c>
      <c r="E5355" s="156" t="inlineStr">
        <is>
          <t>Hauler</t>
        </is>
      </c>
      <c r="F5355" s="156" t="inlineStr">
        <is>
          <t>Hauling OB</t>
        </is>
      </c>
      <c r="G5355" s="182" t="n">
        <v>4.5</v>
      </c>
      <c r="H5355" s="182" t="n">
        <v>0</v>
      </c>
      <c r="I5355" s="182" t="n">
        <v>0</v>
      </c>
      <c r="J5355" s="182" t="n">
        <v>0</v>
      </c>
      <c r="K5355" s="182" t="n">
        <v>7.5</v>
      </c>
      <c r="L5355" s="182" t="n">
        <v>12</v>
      </c>
      <c r="M5355" s="182" t="n">
        <v>4.5</v>
      </c>
      <c r="N5355" s="182" t="n">
        <v>0</v>
      </c>
      <c r="O5355" s="183" t="n">
        <v>12</v>
      </c>
      <c r="P5355" s="183" t="n">
        <v>0</v>
      </c>
      <c r="Q5355" s="184" t="n">
        <v>244.8</v>
      </c>
      <c r="R5355" s="184" t="n">
        <v>0</v>
      </c>
      <c r="S5355" s="183" t="n">
        <v>0</v>
      </c>
      <c r="T5355" s="183" t="n">
        <v>0</v>
      </c>
      <c r="U5355" s="182" t="n">
        <v>0</v>
      </c>
      <c r="V5355" s="182" t="n">
        <v>0</v>
      </c>
      <c r="W5355" s="182" t="n">
        <v>0</v>
      </c>
      <c r="X5355" s="182" t="n">
        <v>0.95</v>
      </c>
      <c r="Y5355" s="182" t="n">
        <v>0</v>
      </c>
      <c r="Z5355" s="182" t="n">
        <v>0</v>
      </c>
      <c r="AA5355" s="182" t="n">
        <v>0</v>
      </c>
      <c r="AB5355" s="182" t="n">
        <v>0</v>
      </c>
      <c r="AC5355" s="182" t="n">
        <v>0</v>
      </c>
      <c r="AD5355" s="182" t="n">
        <v>0</v>
      </c>
      <c r="AE5355" s="182" t="n">
        <v>0</v>
      </c>
      <c r="AF5355" s="182" t="n">
        <v>0</v>
      </c>
      <c r="AG5355" s="182" t="n">
        <v>0</v>
      </c>
      <c r="AH5355" s="182" t="n">
        <v>0</v>
      </c>
      <c r="AI5355" s="182" t="n">
        <v>6.47</v>
      </c>
      <c r="AJ5355" s="182" t="n">
        <v>0</v>
      </c>
      <c r="AK5355" s="182" t="n">
        <v>0</v>
      </c>
      <c r="AL5355" s="182" t="n">
        <v>0</v>
      </c>
      <c r="AM5355" s="182" t="n">
        <v>0.08</v>
      </c>
      <c r="AN5355" s="182" t="n">
        <v>0</v>
      </c>
    </row>
    <row r="5356">
      <c r="A5356" s="155" t="n">
        <v>46106</v>
      </c>
      <c r="B5356" s="156" t="inlineStr">
        <is>
          <t>DS</t>
        </is>
      </c>
      <c r="C5356" s="156" t="inlineStr">
        <is>
          <t>DT-501</t>
        </is>
      </c>
      <c r="D5356" s="156" t="inlineStr">
        <is>
          <t>SKT 105S</t>
        </is>
      </c>
      <c r="E5356" s="156" t="inlineStr">
        <is>
          <t>Hauler</t>
        </is>
      </c>
      <c r="F5356" s="156" t="inlineStr"/>
      <c r="G5356" s="182" t="n">
        <v>0</v>
      </c>
      <c r="H5356" s="182" t="n">
        <v>0</v>
      </c>
      <c r="I5356" s="182" t="n">
        <v>9.5</v>
      </c>
      <c r="J5356" s="182" t="n">
        <v>9.5</v>
      </c>
      <c r="K5356" s="182" t="n">
        <v>2.5</v>
      </c>
      <c r="L5356" s="182" t="n">
        <v>12</v>
      </c>
      <c r="M5356" s="182" t="n">
        <v>0</v>
      </c>
      <c r="N5356" s="182" t="n">
        <v>0</v>
      </c>
      <c r="O5356" s="183" t="n">
        <v>0</v>
      </c>
      <c r="P5356" s="183" t="n">
        <v>0</v>
      </c>
      <c r="Q5356" s="184" t="n">
        <v>0</v>
      </c>
      <c r="R5356" s="184" t="n">
        <v>0</v>
      </c>
      <c r="S5356" s="183" t="n">
        <v>0</v>
      </c>
      <c r="T5356" s="183" t="n">
        <v>0</v>
      </c>
      <c r="U5356" s="182" t="n">
        <v>0</v>
      </c>
      <c r="V5356" s="182" t="n">
        <v>0</v>
      </c>
      <c r="W5356" s="182" t="n">
        <v>0</v>
      </c>
      <c r="X5356" s="182" t="n">
        <v>1</v>
      </c>
      <c r="Y5356" s="182" t="n">
        <v>0</v>
      </c>
      <c r="Z5356" s="182" t="n">
        <v>0</v>
      </c>
      <c r="AA5356" s="182" t="n">
        <v>0</v>
      </c>
      <c r="AB5356" s="182" t="n">
        <v>0</v>
      </c>
      <c r="AC5356" s="182" t="n">
        <v>0</v>
      </c>
      <c r="AD5356" s="182" t="n">
        <v>0</v>
      </c>
      <c r="AE5356" s="182" t="n">
        <v>0</v>
      </c>
      <c r="AF5356" s="182" t="n">
        <v>0</v>
      </c>
      <c r="AG5356" s="182" t="n">
        <v>0</v>
      </c>
      <c r="AH5356" s="182" t="n">
        <v>0</v>
      </c>
      <c r="AI5356" s="182" t="n">
        <v>1.42</v>
      </c>
      <c r="AJ5356" s="182" t="n">
        <v>0</v>
      </c>
      <c r="AK5356" s="182" t="n">
        <v>0</v>
      </c>
      <c r="AL5356" s="182" t="n">
        <v>0</v>
      </c>
      <c r="AM5356" s="182" t="n">
        <v>0.08</v>
      </c>
      <c r="AN5356" s="182" t="n">
        <v>0</v>
      </c>
    </row>
    <row r="5357">
      <c r="A5357" s="155" t="n">
        <v>46106</v>
      </c>
      <c r="B5357" s="156" t="inlineStr">
        <is>
          <t>DS</t>
        </is>
      </c>
      <c r="C5357" s="156" t="inlineStr">
        <is>
          <t>DT-518</t>
        </is>
      </c>
      <c r="D5357" s="156" t="inlineStr">
        <is>
          <t>SKT 105S</t>
        </is>
      </c>
      <c r="E5357" s="156" t="inlineStr">
        <is>
          <t>Hauler</t>
        </is>
      </c>
      <c r="F5357" s="156" t="inlineStr">
        <is>
          <t>Hauling OB</t>
        </is>
      </c>
      <c r="G5357" s="182" t="n">
        <v>3.92</v>
      </c>
      <c r="H5357" s="182" t="n">
        <v>0</v>
      </c>
      <c r="I5357" s="182" t="n">
        <v>0</v>
      </c>
      <c r="J5357" s="182" t="n">
        <v>0</v>
      </c>
      <c r="K5357" s="182" t="n">
        <v>8.08</v>
      </c>
      <c r="L5357" s="182" t="n">
        <v>12</v>
      </c>
      <c r="M5357" s="182" t="n">
        <v>3.92</v>
      </c>
      <c r="N5357" s="182" t="n">
        <v>0</v>
      </c>
      <c r="O5357" s="183" t="n">
        <v>19</v>
      </c>
      <c r="P5357" s="183" t="n">
        <v>0</v>
      </c>
      <c r="Q5357" s="184" t="n">
        <v>387.6</v>
      </c>
      <c r="R5357" s="184" t="n">
        <v>0</v>
      </c>
      <c r="S5357" s="183" t="n">
        <v>0</v>
      </c>
      <c r="T5357" s="183" t="n">
        <v>0</v>
      </c>
      <c r="U5357" s="182" t="n">
        <v>0</v>
      </c>
      <c r="V5357" s="182" t="n">
        <v>0</v>
      </c>
      <c r="W5357" s="182" t="n">
        <v>0</v>
      </c>
      <c r="X5357" s="182" t="n">
        <v>1.01</v>
      </c>
      <c r="Y5357" s="182" t="n">
        <v>0</v>
      </c>
      <c r="Z5357" s="182" t="n">
        <v>0</v>
      </c>
      <c r="AA5357" s="182" t="n">
        <v>0</v>
      </c>
      <c r="AB5357" s="182" t="n">
        <v>0</v>
      </c>
      <c r="AC5357" s="182" t="n">
        <v>1.77</v>
      </c>
      <c r="AD5357" s="182" t="n">
        <v>0</v>
      </c>
      <c r="AE5357" s="182" t="n">
        <v>0</v>
      </c>
      <c r="AF5357" s="182" t="n">
        <v>0</v>
      </c>
      <c r="AG5357" s="182" t="n">
        <v>0</v>
      </c>
      <c r="AH5357" s="182" t="n">
        <v>0</v>
      </c>
      <c r="AI5357" s="182" t="n">
        <v>1.01</v>
      </c>
      <c r="AJ5357" s="182" t="n">
        <v>0</v>
      </c>
      <c r="AK5357" s="182" t="n">
        <v>4.21</v>
      </c>
      <c r="AL5357" s="182" t="n">
        <v>0</v>
      </c>
      <c r="AM5357" s="182" t="n">
        <v>0.08</v>
      </c>
      <c r="AN5357" s="182" t="n">
        <v>0</v>
      </c>
    </row>
    <row r="5358">
      <c r="A5358" s="155" t="n">
        <v>46106</v>
      </c>
      <c r="B5358" s="156" t="inlineStr">
        <is>
          <t>DS</t>
        </is>
      </c>
      <c r="C5358" s="156" t="inlineStr">
        <is>
          <t>DT-514</t>
        </is>
      </c>
      <c r="D5358" s="156" t="inlineStr">
        <is>
          <t>SKT 105S</t>
        </is>
      </c>
      <c r="E5358" s="156" t="inlineStr">
        <is>
          <t>Hauler</t>
        </is>
      </c>
      <c r="F5358" s="156" t="inlineStr"/>
      <c r="G5358" s="182" t="n">
        <v>0</v>
      </c>
      <c r="H5358" s="182" t="n">
        <v>0</v>
      </c>
      <c r="I5358" s="182" t="n">
        <v>12</v>
      </c>
      <c r="J5358" s="182" t="n">
        <v>12</v>
      </c>
      <c r="K5358" s="182" t="n">
        <v>0</v>
      </c>
      <c r="L5358" s="182" t="n">
        <v>12</v>
      </c>
      <c r="M5358" s="182" t="n">
        <v>0</v>
      </c>
      <c r="N5358" s="182" t="n">
        <v>0</v>
      </c>
      <c r="O5358" s="183" t="n">
        <v>0</v>
      </c>
      <c r="P5358" s="183" t="n">
        <v>0</v>
      </c>
      <c r="Q5358" s="184" t="n">
        <v>0</v>
      </c>
      <c r="R5358" s="184" t="n">
        <v>0</v>
      </c>
      <c r="S5358" s="183" t="n">
        <v>0</v>
      </c>
      <c r="T5358" s="183" t="n">
        <v>0</v>
      </c>
      <c r="U5358" s="182" t="n">
        <v>0</v>
      </c>
      <c r="V5358" s="182" t="n">
        <v>0</v>
      </c>
      <c r="W5358" s="182" t="n">
        <v>0</v>
      </c>
      <c r="X5358" s="182" t="n">
        <v>0</v>
      </c>
      <c r="Y5358" s="182" t="n">
        <v>0</v>
      </c>
      <c r="Z5358" s="182" t="n">
        <v>0</v>
      </c>
      <c r="AA5358" s="182" t="n">
        <v>0</v>
      </c>
      <c r="AB5358" s="182" t="n">
        <v>0</v>
      </c>
      <c r="AC5358" s="182" t="n">
        <v>0</v>
      </c>
      <c r="AD5358" s="182" t="n">
        <v>0</v>
      </c>
      <c r="AE5358" s="182" t="n">
        <v>0</v>
      </c>
      <c r="AF5358" s="182" t="n">
        <v>0</v>
      </c>
      <c r="AG5358" s="182" t="n">
        <v>0</v>
      </c>
      <c r="AH5358" s="182" t="n">
        <v>0</v>
      </c>
      <c r="AI5358" s="182" t="n">
        <v>0</v>
      </c>
      <c r="AJ5358" s="182" t="n">
        <v>0</v>
      </c>
      <c r="AK5358" s="182" t="n">
        <v>0</v>
      </c>
      <c r="AL5358" s="182" t="n">
        <v>0</v>
      </c>
      <c r="AM5358" s="182" t="n">
        <v>0</v>
      </c>
      <c r="AN5358" s="182" t="n">
        <v>0</v>
      </c>
    </row>
    <row r="5359">
      <c r="A5359" s="155" t="n">
        <v>46106</v>
      </c>
      <c r="B5359" s="156" t="inlineStr">
        <is>
          <t>DS</t>
        </is>
      </c>
      <c r="C5359" s="156" t="inlineStr">
        <is>
          <t>DT-523</t>
        </is>
      </c>
      <c r="D5359" s="156" t="inlineStr">
        <is>
          <t>SKT 105S</t>
        </is>
      </c>
      <c r="E5359" s="156" t="inlineStr">
        <is>
          <t>Hauler</t>
        </is>
      </c>
      <c r="F5359" s="156" t="inlineStr">
        <is>
          <t>Hauling OB</t>
        </is>
      </c>
      <c r="G5359" s="182" t="n">
        <v>5.5</v>
      </c>
      <c r="H5359" s="182" t="n">
        <v>0</v>
      </c>
      <c r="I5359" s="182" t="n">
        <v>0</v>
      </c>
      <c r="J5359" s="182" t="n">
        <v>0</v>
      </c>
      <c r="K5359" s="182" t="n">
        <v>6.5</v>
      </c>
      <c r="L5359" s="182" t="n">
        <v>12</v>
      </c>
      <c r="M5359" s="182" t="n">
        <v>5.5</v>
      </c>
      <c r="N5359" s="182" t="n">
        <v>0</v>
      </c>
      <c r="O5359" s="183" t="n">
        <v>16</v>
      </c>
      <c r="P5359" s="183" t="n">
        <v>0</v>
      </c>
      <c r="Q5359" s="184" t="n">
        <v>326.4</v>
      </c>
      <c r="R5359" s="184" t="n">
        <v>0</v>
      </c>
      <c r="S5359" s="183" t="n">
        <v>0</v>
      </c>
      <c r="T5359" s="183" t="n">
        <v>0</v>
      </c>
      <c r="U5359" s="182" t="n">
        <v>0</v>
      </c>
      <c r="V5359" s="182" t="n">
        <v>0</v>
      </c>
      <c r="W5359" s="182" t="n">
        <v>0</v>
      </c>
      <c r="X5359" s="182" t="n">
        <v>0.97</v>
      </c>
      <c r="Y5359" s="182" t="n">
        <v>0</v>
      </c>
      <c r="Z5359" s="182" t="n">
        <v>0</v>
      </c>
      <c r="AA5359" s="182" t="n">
        <v>0</v>
      </c>
      <c r="AB5359" s="182" t="n">
        <v>0</v>
      </c>
      <c r="AC5359" s="182" t="n">
        <v>0</v>
      </c>
      <c r="AD5359" s="182" t="n">
        <v>0</v>
      </c>
      <c r="AE5359" s="182" t="n">
        <v>0</v>
      </c>
      <c r="AF5359" s="182" t="n">
        <v>0</v>
      </c>
      <c r="AG5359" s="182" t="n">
        <v>0</v>
      </c>
      <c r="AH5359" s="182" t="n">
        <v>0</v>
      </c>
      <c r="AI5359" s="182" t="n">
        <v>5.45</v>
      </c>
      <c r="AJ5359" s="182" t="n">
        <v>0</v>
      </c>
      <c r="AK5359" s="182" t="n">
        <v>0</v>
      </c>
      <c r="AL5359" s="182" t="n">
        <v>0</v>
      </c>
      <c r="AM5359" s="182" t="n">
        <v>0.08</v>
      </c>
      <c r="AN5359" s="182" t="n">
        <v>0</v>
      </c>
    </row>
    <row r="5360">
      <c r="A5360" s="155" t="n">
        <v>46106</v>
      </c>
      <c r="B5360" s="156" t="inlineStr">
        <is>
          <t>DS</t>
        </is>
      </c>
      <c r="C5360" s="156" t="inlineStr">
        <is>
          <t>DT-519</t>
        </is>
      </c>
      <c r="D5360" s="156" t="inlineStr">
        <is>
          <t>SKT 105S</t>
        </is>
      </c>
      <c r="E5360" s="156" t="inlineStr">
        <is>
          <t>Hauler</t>
        </is>
      </c>
      <c r="F5360" s="156" t="inlineStr"/>
      <c r="G5360" s="182" t="n">
        <v>0</v>
      </c>
      <c r="H5360" s="182" t="n">
        <v>0</v>
      </c>
      <c r="I5360" s="182" t="n">
        <v>12</v>
      </c>
      <c r="J5360" s="182" t="n">
        <v>12</v>
      </c>
      <c r="K5360" s="182" t="n">
        <v>0</v>
      </c>
      <c r="L5360" s="182" t="n">
        <v>12</v>
      </c>
      <c r="M5360" s="182" t="n">
        <v>0</v>
      </c>
      <c r="N5360" s="182" t="n">
        <v>0</v>
      </c>
      <c r="O5360" s="183" t="n">
        <v>0</v>
      </c>
      <c r="P5360" s="183" t="n">
        <v>0</v>
      </c>
      <c r="Q5360" s="184" t="n">
        <v>0</v>
      </c>
      <c r="R5360" s="184" t="n">
        <v>0</v>
      </c>
      <c r="S5360" s="183" t="n">
        <v>0</v>
      </c>
      <c r="T5360" s="183" t="n">
        <v>0</v>
      </c>
      <c r="U5360" s="182" t="n">
        <v>0</v>
      </c>
      <c r="V5360" s="182" t="n">
        <v>0</v>
      </c>
      <c r="W5360" s="182" t="n">
        <v>0</v>
      </c>
      <c r="X5360" s="182" t="n">
        <v>0</v>
      </c>
      <c r="Y5360" s="182" t="n">
        <v>0</v>
      </c>
      <c r="Z5360" s="182" t="n">
        <v>0</v>
      </c>
      <c r="AA5360" s="182" t="n">
        <v>0</v>
      </c>
      <c r="AB5360" s="182" t="n">
        <v>0</v>
      </c>
      <c r="AC5360" s="182" t="n">
        <v>0</v>
      </c>
      <c r="AD5360" s="182" t="n">
        <v>0</v>
      </c>
      <c r="AE5360" s="182" t="n">
        <v>0</v>
      </c>
      <c r="AF5360" s="182" t="n">
        <v>0</v>
      </c>
      <c r="AG5360" s="182" t="n">
        <v>0</v>
      </c>
      <c r="AH5360" s="182" t="n">
        <v>0</v>
      </c>
      <c r="AI5360" s="182" t="n">
        <v>0</v>
      </c>
      <c r="AJ5360" s="182" t="n">
        <v>0</v>
      </c>
      <c r="AK5360" s="182" t="n">
        <v>0</v>
      </c>
      <c r="AL5360" s="182" t="n">
        <v>0</v>
      </c>
      <c r="AM5360" s="182" t="n">
        <v>0</v>
      </c>
      <c r="AN5360" s="182" t="n">
        <v>0</v>
      </c>
    </row>
    <row r="5361">
      <c r="A5361" s="155" t="n">
        <v>46106</v>
      </c>
      <c r="B5361" s="156" t="inlineStr">
        <is>
          <t>DS</t>
        </is>
      </c>
      <c r="C5361" s="156" t="inlineStr">
        <is>
          <t>DT-527</t>
        </is>
      </c>
      <c r="D5361" s="156" t="inlineStr">
        <is>
          <t>SKT 105S</t>
        </is>
      </c>
      <c r="E5361" s="156" t="inlineStr">
        <is>
          <t>Hauler</t>
        </is>
      </c>
      <c r="F5361" s="156" t="inlineStr">
        <is>
          <t>Hauling OB &amp; Hauling Spoil di WS Baru</t>
        </is>
      </c>
      <c r="G5361" s="182" t="n">
        <v>9.08</v>
      </c>
      <c r="H5361" s="182" t="n">
        <v>0</v>
      </c>
      <c r="I5361" s="182" t="n">
        <v>0</v>
      </c>
      <c r="J5361" s="182" t="n">
        <v>0</v>
      </c>
      <c r="K5361" s="182" t="n">
        <v>2.92</v>
      </c>
      <c r="L5361" s="182" t="n">
        <v>12</v>
      </c>
      <c r="M5361" s="182" t="n">
        <v>4.14</v>
      </c>
      <c r="N5361" s="182" t="n">
        <v>0</v>
      </c>
      <c r="O5361" s="183" t="n">
        <v>12</v>
      </c>
      <c r="P5361" s="183" t="n">
        <v>0</v>
      </c>
      <c r="Q5361" s="184" t="n">
        <v>244.8</v>
      </c>
      <c r="R5361" s="184" t="n">
        <v>0</v>
      </c>
      <c r="S5361" s="183" t="n">
        <v>0</v>
      </c>
      <c r="T5361" s="183" t="n">
        <v>0</v>
      </c>
      <c r="U5361" s="182" t="n">
        <v>0</v>
      </c>
      <c r="V5361" s="182" t="n">
        <v>0</v>
      </c>
      <c r="W5361" s="182" t="n">
        <v>0</v>
      </c>
      <c r="X5361" s="182" t="n">
        <v>1.04</v>
      </c>
      <c r="Y5361" s="182" t="n">
        <v>0</v>
      </c>
      <c r="Z5361" s="182" t="n">
        <v>0</v>
      </c>
      <c r="AA5361" s="182" t="n">
        <v>0</v>
      </c>
      <c r="AB5361" s="182" t="n">
        <v>0</v>
      </c>
      <c r="AC5361" s="182" t="n">
        <v>1.79</v>
      </c>
      <c r="AD5361" s="182" t="n">
        <v>0</v>
      </c>
      <c r="AE5361" s="182" t="n">
        <v>0</v>
      </c>
      <c r="AF5361" s="182" t="n">
        <v>0</v>
      </c>
      <c r="AG5361" s="182" t="n">
        <v>0</v>
      </c>
      <c r="AH5361" s="182" t="n">
        <v>0</v>
      </c>
      <c r="AI5361" s="182" t="n">
        <v>0</v>
      </c>
      <c r="AJ5361" s="182" t="n">
        <v>0</v>
      </c>
      <c r="AK5361" s="182" t="n">
        <v>0</v>
      </c>
      <c r="AL5361" s="182" t="n">
        <v>0</v>
      </c>
      <c r="AM5361" s="182" t="n">
        <v>0.08</v>
      </c>
      <c r="AN5361" s="182" t="n">
        <v>0</v>
      </c>
    </row>
    <row r="5362">
      <c r="A5362" s="155" t="n">
        <v>46106</v>
      </c>
      <c r="B5362" s="156" t="inlineStr">
        <is>
          <t>DS</t>
        </is>
      </c>
      <c r="C5362" s="156" t="inlineStr">
        <is>
          <t>DT-513</t>
        </is>
      </c>
      <c r="D5362" s="156" t="inlineStr">
        <is>
          <t>SKT 105S</t>
        </is>
      </c>
      <c r="E5362" s="156" t="inlineStr">
        <is>
          <t>Hauler</t>
        </is>
      </c>
      <c r="F5362" s="156" t="inlineStr">
        <is>
          <t>Hauling OB &amp; Hauling Spoil di WS Baru</t>
        </is>
      </c>
      <c r="G5362" s="182" t="n">
        <v>6.2</v>
      </c>
      <c r="H5362" s="182" t="n">
        <v>3</v>
      </c>
      <c r="I5362" s="182" t="n">
        <v>0</v>
      </c>
      <c r="J5362" s="182" t="n">
        <v>3</v>
      </c>
      <c r="K5362" s="182" t="n">
        <v>2.8</v>
      </c>
      <c r="L5362" s="182" t="n">
        <v>12</v>
      </c>
      <c r="M5362" s="182" t="n">
        <v>2.91</v>
      </c>
      <c r="N5362" s="182" t="n">
        <v>0</v>
      </c>
      <c r="O5362" s="183" t="n">
        <v>10</v>
      </c>
      <c r="P5362" s="183" t="n">
        <v>0</v>
      </c>
      <c r="Q5362" s="184" t="n">
        <v>204</v>
      </c>
      <c r="R5362" s="184" t="n">
        <v>0</v>
      </c>
      <c r="S5362" s="183" t="n">
        <v>0</v>
      </c>
      <c r="T5362" s="183" t="n">
        <v>0</v>
      </c>
      <c r="U5362" s="182" t="n">
        <v>0</v>
      </c>
      <c r="V5362" s="182" t="n">
        <v>0</v>
      </c>
      <c r="W5362" s="182" t="n">
        <v>0</v>
      </c>
      <c r="X5362" s="182" t="n">
        <v>1.08</v>
      </c>
      <c r="Y5362" s="182" t="n">
        <v>0</v>
      </c>
      <c r="Z5362" s="182" t="n">
        <v>0</v>
      </c>
      <c r="AA5362" s="182" t="n">
        <v>0</v>
      </c>
      <c r="AB5362" s="182" t="n">
        <v>0</v>
      </c>
      <c r="AC5362" s="182" t="n">
        <v>1.64</v>
      </c>
      <c r="AD5362" s="182" t="n">
        <v>0</v>
      </c>
      <c r="AE5362" s="182" t="n">
        <v>0</v>
      </c>
      <c r="AF5362" s="182" t="n">
        <v>0</v>
      </c>
      <c r="AG5362" s="182" t="n">
        <v>0</v>
      </c>
      <c r="AH5362" s="182" t="n">
        <v>0</v>
      </c>
      <c r="AI5362" s="182" t="n">
        <v>0</v>
      </c>
      <c r="AJ5362" s="182" t="n">
        <v>0</v>
      </c>
      <c r="AK5362" s="182" t="n">
        <v>0</v>
      </c>
      <c r="AL5362" s="182" t="n">
        <v>0</v>
      </c>
      <c r="AM5362" s="182" t="n">
        <v>0.09</v>
      </c>
      <c r="AN5362" s="182" t="n">
        <v>0</v>
      </c>
    </row>
    <row r="5363">
      <c r="A5363" s="155" t="n">
        <v>46106</v>
      </c>
      <c r="B5363" s="156" t="inlineStr">
        <is>
          <t>DS</t>
        </is>
      </c>
      <c r="C5363" s="156" t="inlineStr">
        <is>
          <t>DT-512</t>
        </is>
      </c>
      <c r="D5363" s="156" t="inlineStr">
        <is>
          <t>SKT 105S</t>
        </is>
      </c>
      <c r="E5363" s="156" t="inlineStr">
        <is>
          <t>Hauler</t>
        </is>
      </c>
      <c r="F5363" s="156" t="inlineStr"/>
      <c r="G5363" s="182" t="n">
        <v>0</v>
      </c>
      <c r="H5363" s="182" t="n">
        <v>0</v>
      </c>
      <c r="I5363" s="182" t="n">
        <v>0</v>
      </c>
      <c r="J5363" s="182" t="n">
        <v>0</v>
      </c>
      <c r="K5363" s="182" t="n">
        <v>12</v>
      </c>
      <c r="L5363" s="182" t="n">
        <v>12</v>
      </c>
      <c r="M5363" s="182" t="n">
        <v>0</v>
      </c>
      <c r="N5363" s="182" t="n">
        <v>0</v>
      </c>
      <c r="O5363" s="183" t="n">
        <v>0</v>
      </c>
      <c r="P5363" s="183" t="n">
        <v>0</v>
      </c>
      <c r="Q5363" s="184" t="n">
        <v>0</v>
      </c>
      <c r="R5363" s="184" t="n">
        <v>0</v>
      </c>
      <c r="S5363" s="183" t="n">
        <v>0</v>
      </c>
      <c r="T5363" s="183" t="n">
        <v>0</v>
      </c>
      <c r="U5363" s="182" t="n">
        <v>0</v>
      </c>
      <c r="V5363" s="182" t="n">
        <v>0</v>
      </c>
      <c r="W5363" s="182" t="n">
        <v>0</v>
      </c>
      <c r="X5363" s="182" t="n">
        <v>1</v>
      </c>
      <c r="Y5363" s="182" t="n">
        <v>0</v>
      </c>
      <c r="Z5363" s="182" t="n">
        <v>0</v>
      </c>
      <c r="AA5363" s="182" t="n">
        <v>0</v>
      </c>
      <c r="AB5363" s="182" t="n">
        <v>0</v>
      </c>
      <c r="AC5363" s="182" t="n">
        <v>0</v>
      </c>
      <c r="AD5363" s="182" t="n">
        <v>0</v>
      </c>
      <c r="AE5363" s="182" t="n">
        <v>0</v>
      </c>
      <c r="AF5363" s="182" t="n">
        <v>0</v>
      </c>
      <c r="AG5363" s="182" t="n">
        <v>0</v>
      </c>
      <c r="AH5363" s="182" t="n">
        <v>0</v>
      </c>
      <c r="AI5363" s="182" t="n">
        <v>10.92</v>
      </c>
      <c r="AJ5363" s="182" t="n">
        <v>0</v>
      </c>
      <c r="AK5363" s="182" t="n">
        <v>0</v>
      </c>
      <c r="AL5363" s="182" t="n">
        <v>0</v>
      </c>
      <c r="AM5363" s="182" t="n">
        <v>0.08</v>
      </c>
      <c r="AN5363" s="182" t="n">
        <v>0</v>
      </c>
    </row>
    <row r="5364">
      <c r="A5364" s="155" t="n">
        <v>46106</v>
      </c>
      <c r="B5364" s="156" t="inlineStr">
        <is>
          <t>DS</t>
        </is>
      </c>
      <c r="C5364" s="156" t="inlineStr">
        <is>
          <t>DT-522</t>
        </is>
      </c>
      <c r="D5364" s="156" t="inlineStr">
        <is>
          <t>SKT 105S</t>
        </is>
      </c>
      <c r="E5364" s="156" t="inlineStr">
        <is>
          <t>Hauler</t>
        </is>
      </c>
      <c r="F5364" s="156" t="inlineStr">
        <is>
          <t>Hauling OB</t>
        </is>
      </c>
      <c r="G5364" s="182" t="n">
        <v>4.05</v>
      </c>
      <c r="H5364" s="182" t="n">
        <v>0</v>
      </c>
      <c r="I5364" s="182" t="n">
        <v>0.5</v>
      </c>
      <c r="J5364" s="182" t="n">
        <v>0.5</v>
      </c>
      <c r="K5364" s="182" t="n">
        <v>7.45</v>
      </c>
      <c r="L5364" s="182" t="n">
        <v>12</v>
      </c>
      <c r="M5364" s="182" t="n">
        <v>4.05</v>
      </c>
      <c r="N5364" s="182" t="n">
        <v>0</v>
      </c>
      <c r="O5364" s="183" t="n">
        <v>9</v>
      </c>
      <c r="P5364" s="183" t="n">
        <v>0</v>
      </c>
      <c r="Q5364" s="184" t="n">
        <v>183.6</v>
      </c>
      <c r="R5364" s="184" t="n">
        <v>0</v>
      </c>
      <c r="S5364" s="183" t="n">
        <v>0</v>
      </c>
      <c r="T5364" s="183" t="n">
        <v>0</v>
      </c>
      <c r="U5364" s="182" t="n">
        <v>0</v>
      </c>
      <c r="V5364" s="182" t="n">
        <v>0</v>
      </c>
      <c r="W5364" s="182" t="n">
        <v>0</v>
      </c>
      <c r="X5364" s="182" t="n">
        <v>1.02</v>
      </c>
      <c r="Y5364" s="182" t="n">
        <v>0</v>
      </c>
      <c r="Z5364" s="182" t="n">
        <v>0</v>
      </c>
      <c r="AA5364" s="182" t="n">
        <v>0</v>
      </c>
      <c r="AB5364" s="182" t="n">
        <v>0</v>
      </c>
      <c r="AC5364" s="182" t="n">
        <v>0</v>
      </c>
      <c r="AD5364" s="182" t="n">
        <v>0</v>
      </c>
      <c r="AE5364" s="182" t="n">
        <v>0</v>
      </c>
      <c r="AF5364" s="182" t="n">
        <v>0</v>
      </c>
      <c r="AG5364" s="182" t="n">
        <v>0</v>
      </c>
      <c r="AH5364" s="182" t="n">
        <v>0</v>
      </c>
      <c r="AI5364" s="182" t="n">
        <v>6.35</v>
      </c>
      <c r="AJ5364" s="182" t="n">
        <v>0</v>
      </c>
      <c r="AK5364" s="182" t="n">
        <v>0</v>
      </c>
      <c r="AL5364" s="182" t="n">
        <v>0</v>
      </c>
      <c r="AM5364" s="182" t="n">
        <v>0.08</v>
      </c>
      <c r="AN5364" s="182" t="n">
        <v>0</v>
      </c>
    </row>
    <row r="5365">
      <c r="A5365" s="155" t="n">
        <v>46106</v>
      </c>
      <c r="B5365" s="156" t="inlineStr">
        <is>
          <t>DS</t>
        </is>
      </c>
      <c r="C5365" s="156" t="inlineStr">
        <is>
          <t>DT-517</t>
        </is>
      </c>
      <c r="D5365" s="156" t="inlineStr">
        <is>
          <t>SKT 105S</t>
        </is>
      </c>
      <c r="E5365" s="156" t="inlineStr">
        <is>
          <t>Hauler</t>
        </is>
      </c>
      <c r="F5365" s="156" t="inlineStr">
        <is>
          <t>Hauling OB</t>
        </is>
      </c>
      <c r="G5365" s="182" t="n">
        <v>3.99</v>
      </c>
      <c r="H5365" s="182" t="n">
        <v>0</v>
      </c>
      <c r="I5365" s="182" t="n">
        <v>0</v>
      </c>
      <c r="J5365" s="182" t="n">
        <v>0</v>
      </c>
      <c r="K5365" s="182" t="n">
        <v>8.01</v>
      </c>
      <c r="L5365" s="182" t="n">
        <v>12</v>
      </c>
      <c r="M5365" s="182" t="n">
        <v>3.99</v>
      </c>
      <c r="N5365" s="182" t="n">
        <v>0</v>
      </c>
      <c r="O5365" s="183" t="n">
        <v>12</v>
      </c>
      <c r="P5365" s="183" t="n">
        <v>0</v>
      </c>
      <c r="Q5365" s="184" t="n">
        <v>244.8</v>
      </c>
      <c r="R5365" s="184" t="n">
        <v>0</v>
      </c>
      <c r="S5365" s="183" t="n">
        <v>0</v>
      </c>
      <c r="T5365" s="183" t="n">
        <v>0</v>
      </c>
      <c r="U5365" s="182" t="n">
        <v>0</v>
      </c>
      <c r="V5365" s="182" t="n">
        <v>0</v>
      </c>
      <c r="W5365" s="182" t="n">
        <v>0</v>
      </c>
      <c r="X5365" s="182" t="n">
        <v>1.04</v>
      </c>
      <c r="Y5365" s="182" t="n">
        <v>0</v>
      </c>
      <c r="Z5365" s="182" t="n">
        <v>0</v>
      </c>
      <c r="AA5365" s="182" t="n">
        <v>0</v>
      </c>
      <c r="AB5365" s="182" t="n">
        <v>0</v>
      </c>
      <c r="AC5365" s="182" t="n">
        <v>0</v>
      </c>
      <c r="AD5365" s="182" t="n">
        <v>0</v>
      </c>
      <c r="AE5365" s="182" t="n">
        <v>0</v>
      </c>
      <c r="AF5365" s="182" t="n">
        <v>0</v>
      </c>
      <c r="AG5365" s="182" t="n">
        <v>0</v>
      </c>
      <c r="AH5365" s="182" t="n">
        <v>0</v>
      </c>
      <c r="AI5365" s="182" t="n">
        <v>6.89</v>
      </c>
      <c r="AJ5365" s="182" t="n">
        <v>0</v>
      </c>
      <c r="AK5365" s="182" t="n">
        <v>0</v>
      </c>
      <c r="AL5365" s="182" t="n">
        <v>0</v>
      </c>
      <c r="AM5365" s="182" t="n">
        <v>0.08</v>
      </c>
      <c r="AN5365" s="182" t="n">
        <v>0</v>
      </c>
    </row>
    <row r="5366">
      <c r="A5366" s="155" t="n">
        <v>46106</v>
      </c>
      <c r="B5366" s="156" t="inlineStr">
        <is>
          <t>DS</t>
        </is>
      </c>
      <c r="C5366" s="156" t="inlineStr">
        <is>
          <t>DT-510</t>
        </is>
      </c>
      <c r="D5366" s="156" t="inlineStr">
        <is>
          <t>SKT 105S</t>
        </is>
      </c>
      <c r="E5366" s="156" t="inlineStr">
        <is>
          <t>Hauler</t>
        </is>
      </c>
      <c r="F5366" s="156" t="inlineStr"/>
      <c r="G5366" s="182" t="n">
        <v>0</v>
      </c>
      <c r="H5366" s="182" t="n">
        <v>0</v>
      </c>
      <c r="I5366" s="182" t="n">
        <v>9</v>
      </c>
      <c r="J5366" s="182" t="n">
        <v>9</v>
      </c>
      <c r="K5366" s="182" t="n">
        <v>3</v>
      </c>
      <c r="L5366" s="182" t="n">
        <v>12</v>
      </c>
      <c r="M5366" s="182" t="n">
        <v>0</v>
      </c>
      <c r="N5366" s="182" t="n">
        <v>0</v>
      </c>
      <c r="O5366" s="183" t="n">
        <v>0</v>
      </c>
      <c r="P5366" s="183" t="n">
        <v>0</v>
      </c>
      <c r="Q5366" s="184" t="n">
        <v>0</v>
      </c>
      <c r="R5366" s="184" t="n">
        <v>0</v>
      </c>
      <c r="S5366" s="183" t="n">
        <v>0</v>
      </c>
      <c r="T5366" s="183" t="n">
        <v>0</v>
      </c>
      <c r="U5366" s="182" t="n">
        <v>0</v>
      </c>
      <c r="V5366" s="182" t="n">
        <v>0</v>
      </c>
      <c r="W5366" s="182" t="n">
        <v>0</v>
      </c>
      <c r="X5366" s="182" t="n">
        <v>1</v>
      </c>
      <c r="Y5366" s="182" t="n">
        <v>0</v>
      </c>
      <c r="Z5366" s="182" t="n">
        <v>0</v>
      </c>
      <c r="AA5366" s="182" t="n">
        <v>0</v>
      </c>
      <c r="AB5366" s="182" t="n">
        <v>0</v>
      </c>
      <c r="AC5366" s="182" t="n">
        <v>0</v>
      </c>
      <c r="AD5366" s="182" t="n">
        <v>0</v>
      </c>
      <c r="AE5366" s="182" t="n">
        <v>0</v>
      </c>
      <c r="AF5366" s="182" t="n">
        <v>0</v>
      </c>
      <c r="AG5366" s="182" t="n">
        <v>0</v>
      </c>
      <c r="AH5366" s="182" t="n">
        <v>0</v>
      </c>
      <c r="AI5366" s="182" t="n">
        <v>1.92</v>
      </c>
      <c r="AJ5366" s="182" t="n">
        <v>0</v>
      </c>
      <c r="AK5366" s="182" t="n">
        <v>0</v>
      </c>
      <c r="AL5366" s="182" t="n">
        <v>0</v>
      </c>
      <c r="AM5366" s="182" t="n">
        <v>0.08</v>
      </c>
      <c r="AN5366" s="182" t="n">
        <v>0</v>
      </c>
    </row>
    <row r="5367">
      <c r="A5367" s="155" t="n">
        <v>46106</v>
      </c>
      <c r="B5367" s="156" t="inlineStr">
        <is>
          <t>DS</t>
        </is>
      </c>
      <c r="C5367" s="156" t="inlineStr">
        <is>
          <t>DT-521</t>
        </is>
      </c>
      <c r="D5367" s="156" t="inlineStr">
        <is>
          <t>SKT 105S</t>
        </is>
      </c>
      <c r="E5367" s="156" t="inlineStr">
        <is>
          <t>Hauler</t>
        </is>
      </c>
      <c r="F5367" s="156" t="inlineStr">
        <is>
          <t>Hauling Mud</t>
        </is>
      </c>
      <c r="G5367" s="182" t="n">
        <v>5.9</v>
      </c>
      <c r="H5367" s="182" t="n">
        <v>0</v>
      </c>
      <c r="I5367" s="182" t="n">
        <v>0.42</v>
      </c>
      <c r="J5367" s="182" t="n">
        <v>0.42</v>
      </c>
      <c r="K5367" s="182" t="n">
        <v>5.68</v>
      </c>
      <c r="L5367" s="182" t="n">
        <v>12</v>
      </c>
      <c r="M5367" s="182" t="n">
        <v>5.9</v>
      </c>
      <c r="N5367" s="182" t="n">
        <v>0</v>
      </c>
      <c r="O5367" s="183" t="n">
        <v>12</v>
      </c>
      <c r="P5367" s="183" t="n">
        <v>0</v>
      </c>
      <c r="Q5367" s="184" t="n">
        <v>122.4</v>
      </c>
      <c r="R5367" s="184" t="n">
        <v>0</v>
      </c>
      <c r="S5367" s="183" t="n">
        <v>0</v>
      </c>
      <c r="T5367" s="183" t="n">
        <v>0</v>
      </c>
      <c r="U5367" s="182" t="n">
        <v>0</v>
      </c>
      <c r="V5367" s="182" t="n">
        <v>0</v>
      </c>
      <c r="W5367" s="182" t="n">
        <v>0</v>
      </c>
      <c r="X5367" s="182" t="n">
        <v>0.9</v>
      </c>
      <c r="Y5367" s="182" t="n">
        <v>0</v>
      </c>
      <c r="Z5367" s="182" t="n">
        <v>0</v>
      </c>
      <c r="AA5367" s="182" t="n">
        <v>0</v>
      </c>
      <c r="AB5367" s="182" t="n">
        <v>0</v>
      </c>
      <c r="AC5367" s="182" t="n">
        <v>1.72</v>
      </c>
      <c r="AD5367" s="182" t="n">
        <v>0</v>
      </c>
      <c r="AE5367" s="182" t="n">
        <v>0</v>
      </c>
      <c r="AF5367" s="182" t="n">
        <v>0</v>
      </c>
      <c r="AG5367" s="182" t="n">
        <v>0</v>
      </c>
      <c r="AH5367" s="182" t="n">
        <v>0.45</v>
      </c>
      <c r="AI5367" s="182" t="n">
        <v>2.53</v>
      </c>
      <c r="AJ5367" s="182" t="n">
        <v>0</v>
      </c>
      <c r="AK5367" s="182" t="n">
        <v>0</v>
      </c>
      <c r="AL5367" s="182" t="n">
        <v>0</v>
      </c>
      <c r="AM5367" s="182" t="n">
        <v>0.07000000000000001</v>
      </c>
      <c r="AN5367" s="182" t="n">
        <v>0</v>
      </c>
    </row>
    <row r="5368">
      <c r="A5368" s="155" t="n">
        <v>46106</v>
      </c>
      <c r="B5368" s="156" t="inlineStr">
        <is>
          <t>DS</t>
        </is>
      </c>
      <c r="C5368" s="156" t="inlineStr">
        <is>
          <t>DT-516</t>
        </is>
      </c>
      <c r="D5368" s="156" t="inlineStr">
        <is>
          <t>SKT 105S</t>
        </is>
      </c>
      <c r="E5368" s="156" t="inlineStr">
        <is>
          <t>Hauler</t>
        </is>
      </c>
      <c r="F5368" s="156" t="inlineStr">
        <is>
          <t>Hauling Mud</t>
        </is>
      </c>
      <c r="G5368" s="182" t="n">
        <v>3.61</v>
      </c>
      <c r="H5368" s="182" t="n">
        <v>0</v>
      </c>
      <c r="I5368" s="182" t="n">
        <v>0</v>
      </c>
      <c r="J5368" s="182" t="n">
        <v>0</v>
      </c>
      <c r="K5368" s="182" t="n">
        <v>8.390000000000001</v>
      </c>
      <c r="L5368" s="182" t="n">
        <v>12</v>
      </c>
      <c r="M5368" s="182" t="n">
        <v>3.61</v>
      </c>
      <c r="N5368" s="182" t="n">
        <v>0</v>
      </c>
      <c r="O5368" s="183" t="n">
        <v>11</v>
      </c>
      <c r="P5368" s="183" t="n">
        <v>0</v>
      </c>
      <c r="Q5368" s="184" t="n">
        <v>112.2</v>
      </c>
      <c r="R5368" s="184" t="n">
        <v>0</v>
      </c>
      <c r="S5368" s="183" t="n">
        <v>0</v>
      </c>
      <c r="T5368" s="183" t="n">
        <v>0</v>
      </c>
      <c r="U5368" s="182" t="n">
        <v>0</v>
      </c>
      <c r="V5368" s="182" t="n">
        <v>0</v>
      </c>
      <c r="W5368" s="182" t="n">
        <v>0</v>
      </c>
      <c r="X5368" s="182" t="n">
        <v>1.02</v>
      </c>
      <c r="Y5368" s="182" t="n">
        <v>0</v>
      </c>
      <c r="Z5368" s="182" t="n">
        <v>0</v>
      </c>
      <c r="AA5368" s="182" t="n">
        <v>0</v>
      </c>
      <c r="AB5368" s="182" t="n">
        <v>0</v>
      </c>
      <c r="AC5368" s="182" t="n">
        <v>3.07</v>
      </c>
      <c r="AD5368" s="182" t="n">
        <v>0</v>
      </c>
      <c r="AE5368" s="182" t="n">
        <v>0</v>
      </c>
      <c r="AF5368" s="182" t="n">
        <v>0</v>
      </c>
      <c r="AG5368" s="182" t="n">
        <v>0</v>
      </c>
      <c r="AH5368" s="182" t="n">
        <v>0.51</v>
      </c>
      <c r="AI5368" s="182" t="n">
        <v>2.86</v>
      </c>
      <c r="AJ5368" s="182" t="n">
        <v>0</v>
      </c>
      <c r="AK5368" s="182" t="n">
        <v>0.84</v>
      </c>
      <c r="AL5368" s="182" t="n">
        <v>0</v>
      </c>
      <c r="AM5368" s="182" t="n">
        <v>0.08</v>
      </c>
      <c r="AN5368" s="182" t="n">
        <v>0</v>
      </c>
    </row>
    <row r="5369">
      <c r="A5369" s="155" t="n">
        <v>46106</v>
      </c>
      <c r="B5369" s="156" t="inlineStr">
        <is>
          <t>DS</t>
        </is>
      </c>
      <c r="C5369" s="156" t="inlineStr">
        <is>
          <t>DT-506</t>
        </is>
      </c>
      <c r="D5369" s="156" t="inlineStr">
        <is>
          <t>SKT 105S</t>
        </is>
      </c>
      <c r="E5369" s="156" t="inlineStr">
        <is>
          <t>Hauler</t>
        </is>
      </c>
      <c r="F5369" s="156" t="inlineStr">
        <is>
          <t>Hauling OB</t>
        </is>
      </c>
      <c r="G5369" s="182" t="n">
        <v>5.22</v>
      </c>
      <c r="H5369" s="182" t="n">
        <v>0</v>
      </c>
      <c r="I5369" s="182" t="n">
        <v>0</v>
      </c>
      <c r="J5369" s="182" t="n">
        <v>0</v>
      </c>
      <c r="K5369" s="182" t="n">
        <v>6.78</v>
      </c>
      <c r="L5369" s="182" t="n">
        <v>12</v>
      </c>
      <c r="M5369" s="182" t="n">
        <v>5.22</v>
      </c>
      <c r="N5369" s="182" t="n">
        <v>0</v>
      </c>
      <c r="O5369" s="183" t="n">
        <v>23</v>
      </c>
      <c r="P5369" s="183" t="n">
        <v>0</v>
      </c>
      <c r="Q5369" s="184" t="n">
        <v>469.2</v>
      </c>
      <c r="R5369" s="184" t="n">
        <v>0</v>
      </c>
      <c r="S5369" s="183" t="n">
        <v>0</v>
      </c>
      <c r="T5369" s="183" t="n">
        <v>0</v>
      </c>
      <c r="U5369" s="182" t="n">
        <v>0</v>
      </c>
      <c r="V5369" s="182" t="n">
        <v>0</v>
      </c>
      <c r="W5369" s="182" t="n">
        <v>0</v>
      </c>
      <c r="X5369" s="182" t="n">
        <v>0.98</v>
      </c>
      <c r="Y5369" s="182" t="n">
        <v>0</v>
      </c>
      <c r="Z5369" s="182" t="n">
        <v>0</v>
      </c>
      <c r="AA5369" s="182" t="n">
        <v>0</v>
      </c>
      <c r="AB5369" s="182" t="n">
        <v>0</v>
      </c>
      <c r="AC5369" s="182" t="n">
        <v>1.72</v>
      </c>
      <c r="AD5369" s="182" t="n">
        <v>0</v>
      </c>
      <c r="AE5369" s="182" t="n">
        <v>0</v>
      </c>
      <c r="AF5369" s="182" t="n">
        <v>0</v>
      </c>
      <c r="AG5369" s="182" t="n">
        <v>0</v>
      </c>
      <c r="AH5369" s="182" t="n">
        <v>0</v>
      </c>
      <c r="AI5369" s="182" t="n">
        <v>1.05</v>
      </c>
      <c r="AJ5369" s="182" t="n">
        <v>0</v>
      </c>
      <c r="AK5369" s="182" t="n">
        <v>2.95</v>
      </c>
      <c r="AL5369" s="182" t="n">
        <v>0</v>
      </c>
      <c r="AM5369" s="182" t="n">
        <v>0.08</v>
      </c>
      <c r="AN5369" s="182" t="n">
        <v>0</v>
      </c>
    </row>
    <row r="5370">
      <c r="A5370" s="155" t="n">
        <v>46106</v>
      </c>
      <c r="B5370" s="156" t="inlineStr">
        <is>
          <t>DS</t>
        </is>
      </c>
      <c r="C5370" s="156" t="inlineStr">
        <is>
          <t>DT-502</t>
        </is>
      </c>
      <c r="D5370" s="156" t="inlineStr">
        <is>
          <t>SKT 105S</t>
        </is>
      </c>
      <c r="E5370" s="156" t="inlineStr">
        <is>
          <t>Hauler</t>
        </is>
      </c>
      <c r="F5370" s="156" t="inlineStr">
        <is>
          <t>Hauling Mud</t>
        </is>
      </c>
      <c r="G5370" s="182" t="n">
        <v>4.02</v>
      </c>
      <c r="H5370" s="182" t="n">
        <v>0</v>
      </c>
      <c r="I5370" s="182" t="n">
        <v>0</v>
      </c>
      <c r="J5370" s="182" t="n">
        <v>0</v>
      </c>
      <c r="K5370" s="182" t="n">
        <v>7.98</v>
      </c>
      <c r="L5370" s="182" t="n">
        <v>12</v>
      </c>
      <c r="M5370" s="182" t="n">
        <v>4.02</v>
      </c>
      <c r="N5370" s="182" t="n">
        <v>0</v>
      </c>
      <c r="O5370" s="183" t="n">
        <v>11</v>
      </c>
      <c r="P5370" s="183" t="n">
        <v>0</v>
      </c>
      <c r="Q5370" s="184" t="n">
        <v>112.2</v>
      </c>
      <c r="R5370" s="184" t="n">
        <v>0</v>
      </c>
      <c r="S5370" s="183" t="n">
        <v>0</v>
      </c>
      <c r="T5370" s="183" t="n">
        <v>0</v>
      </c>
      <c r="U5370" s="182" t="n">
        <v>0</v>
      </c>
      <c r="V5370" s="182" t="n">
        <v>0</v>
      </c>
      <c r="W5370" s="182" t="n">
        <v>0</v>
      </c>
      <c r="X5370" s="182" t="n">
        <v>1.08</v>
      </c>
      <c r="Y5370" s="182" t="n">
        <v>0</v>
      </c>
      <c r="Z5370" s="182" t="n">
        <v>0</v>
      </c>
      <c r="AA5370" s="182" t="n">
        <v>0</v>
      </c>
      <c r="AB5370" s="182" t="n">
        <v>0</v>
      </c>
      <c r="AC5370" s="182" t="n">
        <v>3.26</v>
      </c>
      <c r="AD5370" s="182" t="n">
        <v>0</v>
      </c>
      <c r="AE5370" s="182" t="n">
        <v>0</v>
      </c>
      <c r="AF5370" s="182" t="n">
        <v>0</v>
      </c>
      <c r="AG5370" s="182" t="n">
        <v>0</v>
      </c>
      <c r="AH5370" s="182" t="n">
        <v>0.54</v>
      </c>
      <c r="AI5370" s="182" t="n">
        <v>3.02</v>
      </c>
      <c r="AJ5370" s="182" t="n">
        <v>0</v>
      </c>
      <c r="AK5370" s="182" t="n">
        <v>0</v>
      </c>
      <c r="AL5370" s="182" t="n">
        <v>0</v>
      </c>
      <c r="AM5370" s="182" t="n">
        <v>0.09</v>
      </c>
      <c r="AN5370" s="182" t="n">
        <v>0</v>
      </c>
    </row>
    <row r="5371">
      <c r="A5371" s="155" t="n">
        <v>46106</v>
      </c>
      <c r="B5371" s="156" t="inlineStr">
        <is>
          <t>DS</t>
        </is>
      </c>
      <c r="C5371" s="156" t="inlineStr">
        <is>
          <t>DT-528</t>
        </is>
      </c>
      <c r="D5371" s="156" t="inlineStr">
        <is>
          <t>SKT 105S</t>
        </is>
      </c>
      <c r="E5371" s="156" t="inlineStr">
        <is>
          <t>Hauler</t>
        </is>
      </c>
      <c r="F5371" s="156" t="inlineStr">
        <is>
          <t>Hauling Mud</t>
        </is>
      </c>
      <c r="G5371" s="182" t="n">
        <v>5.23</v>
      </c>
      <c r="H5371" s="182" t="n">
        <v>0</v>
      </c>
      <c r="I5371" s="182" t="n">
        <v>0</v>
      </c>
      <c r="J5371" s="182" t="n">
        <v>0</v>
      </c>
      <c r="K5371" s="182" t="n">
        <v>6.77</v>
      </c>
      <c r="L5371" s="182" t="n">
        <v>12</v>
      </c>
      <c r="M5371" s="182" t="n">
        <v>5.23</v>
      </c>
      <c r="N5371" s="182" t="n">
        <v>0</v>
      </c>
      <c r="O5371" s="183" t="n">
        <v>12</v>
      </c>
      <c r="P5371" s="183" t="n">
        <v>0</v>
      </c>
      <c r="Q5371" s="184" t="n">
        <v>131.1</v>
      </c>
      <c r="R5371" s="184" t="n">
        <v>0</v>
      </c>
      <c r="S5371" s="183" t="n">
        <v>0</v>
      </c>
      <c r="T5371" s="183" t="n">
        <v>0</v>
      </c>
      <c r="U5371" s="182" t="n">
        <v>0</v>
      </c>
      <c r="V5371" s="182" t="n">
        <v>0</v>
      </c>
      <c r="W5371" s="182" t="n">
        <v>0</v>
      </c>
      <c r="X5371" s="182" t="n">
        <v>0.95</v>
      </c>
      <c r="Y5371" s="182" t="n">
        <v>0</v>
      </c>
      <c r="Z5371" s="182" t="n">
        <v>0</v>
      </c>
      <c r="AA5371" s="182" t="n">
        <v>0</v>
      </c>
      <c r="AB5371" s="182" t="n">
        <v>0</v>
      </c>
      <c r="AC5371" s="182" t="n">
        <v>2.59</v>
      </c>
      <c r="AD5371" s="182" t="n">
        <v>0</v>
      </c>
      <c r="AE5371" s="182" t="n">
        <v>0</v>
      </c>
      <c r="AF5371" s="182" t="n">
        <v>0</v>
      </c>
      <c r="AG5371" s="182" t="n">
        <v>0</v>
      </c>
      <c r="AH5371" s="182" t="n">
        <v>0.48</v>
      </c>
      <c r="AI5371" s="182" t="n">
        <v>2.67</v>
      </c>
      <c r="AJ5371" s="182" t="n">
        <v>0</v>
      </c>
      <c r="AK5371" s="182" t="n">
        <v>0</v>
      </c>
      <c r="AL5371" s="182" t="n">
        <v>0</v>
      </c>
      <c r="AM5371" s="182" t="n">
        <v>0.08</v>
      </c>
      <c r="AN5371" s="182" t="n">
        <v>0</v>
      </c>
    </row>
    <row r="5372">
      <c r="A5372" s="155" t="n">
        <v>46106</v>
      </c>
      <c r="B5372" s="156" t="inlineStr">
        <is>
          <t>DS</t>
        </is>
      </c>
      <c r="C5372" s="156" t="inlineStr">
        <is>
          <t>DT-529</t>
        </is>
      </c>
      <c r="D5372" s="156" t="inlineStr">
        <is>
          <t>SKT 105S</t>
        </is>
      </c>
      <c r="E5372" s="156" t="inlineStr">
        <is>
          <t>Hauler</t>
        </is>
      </c>
      <c r="F5372" s="156" t="inlineStr">
        <is>
          <t>Hauling OB</t>
        </is>
      </c>
      <c r="G5372" s="182" t="n">
        <v>5</v>
      </c>
      <c r="H5372" s="182" t="n">
        <v>0</v>
      </c>
      <c r="I5372" s="182" t="n">
        <v>0</v>
      </c>
      <c r="J5372" s="182" t="n">
        <v>0</v>
      </c>
      <c r="K5372" s="182" t="n">
        <v>7</v>
      </c>
      <c r="L5372" s="182" t="n">
        <v>12</v>
      </c>
      <c r="M5372" s="182" t="n">
        <v>5</v>
      </c>
      <c r="N5372" s="182" t="n">
        <v>0</v>
      </c>
      <c r="O5372" s="183" t="n">
        <v>17</v>
      </c>
      <c r="P5372" s="183" t="n">
        <v>0</v>
      </c>
      <c r="Q5372" s="184" t="n">
        <v>346.8</v>
      </c>
      <c r="R5372" s="184" t="n">
        <v>0</v>
      </c>
      <c r="S5372" s="183" t="n">
        <v>0</v>
      </c>
      <c r="T5372" s="183" t="n">
        <v>0</v>
      </c>
      <c r="U5372" s="182" t="n">
        <v>0</v>
      </c>
      <c r="V5372" s="182" t="n">
        <v>0</v>
      </c>
      <c r="W5372" s="182" t="n">
        <v>0</v>
      </c>
      <c r="X5372" s="182" t="n">
        <v>1</v>
      </c>
      <c r="Y5372" s="182" t="n">
        <v>0</v>
      </c>
      <c r="Z5372" s="182" t="n">
        <v>0</v>
      </c>
      <c r="AA5372" s="182" t="n">
        <v>0</v>
      </c>
      <c r="AB5372" s="182" t="n">
        <v>0</v>
      </c>
      <c r="AC5372" s="182" t="n">
        <v>0</v>
      </c>
      <c r="AD5372" s="182" t="n">
        <v>0</v>
      </c>
      <c r="AE5372" s="182" t="n">
        <v>0</v>
      </c>
      <c r="AF5372" s="182" t="n">
        <v>0</v>
      </c>
      <c r="AG5372" s="182" t="n">
        <v>0</v>
      </c>
      <c r="AH5372" s="182" t="n">
        <v>0</v>
      </c>
      <c r="AI5372" s="182" t="n">
        <v>5.92</v>
      </c>
      <c r="AJ5372" s="182" t="n">
        <v>0</v>
      </c>
      <c r="AK5372" s="182" t="n">
        <v>0</v>
      </c>
      <c r="AL5372" s="182" t="n">
        <v>0</v>
      </c>
      <c r="AM5372" s="182" t="n">
        <v>0.08</v>
      </c>
      <c r="AN5372" s="182" t="n">
        <v>0</v>
      </c>
    </row>
    <row r="5373">
      <c r="A5373" s="155" t="n">
        <v>46106</v>
      </c>
      <c r="B5373" s="156" t="inlineStr">
        <is>
          <t>DS</t>
        </is>
      </c>
      <c r="C5373" s="156" t="inlineStr">
        <is>
          <t>DT-520</t>
        </is>
      </c>
      <c r="D5373" s="156" t="inlineStr">
        <is>
          <t>SKT 105S</t>
        </is>
      </c>
      <c r="E5373" s="156" t="inlineStr">
        <is>
          <t>Hauler</t>
        </is>
      </c>
      <c r="F5373" s="156" t="inlineStr">
        <is>
          <t>Hauling OB</t>
        </is>
      </c>
      <c r="G5373" s="182" t="n">
        <v>5.66</v>
      </c>
      <c r="H5373" s="182" t="n">
        <v>0</v>
      </c>
      <c r="I5373" s="182" t="n">
        <v>0</v>
      </c>
      <c r="J5373" s="182" t="n">
        <v>0</v>
      </c>
      <c r="K5373" s="182" t="n">
        <v>6.34</v>
      </c>
      <c r="L5373" s="182" t="n">
        <v>12</v>
      </c>
      <c r="M5373" s="182" t="n">
        <v>5.66</v>
      </c>
      <c r="N5373" s="182" t="n">
        <v>0</v>
      </c>
      <c r="O5373" s="183" t="n">
        <v>24</v>
      </c>
      <c r="P5373" s="183" t="n">
        <v>0</v>
      </c>
      <c r="Q5373" s="184" t="n">
        <v>489.6</v>
      </c>
      <c r="R5373" s="184" t="n">
        <v>0</v>
      </c>
      <c r="S5373" s="183" t="n">
        <v>0</v>
      </c>
      <c r="T5373" s="183" t="n">
        <v>0</v>
      </c>
      <c r="U5373" s="182" t="n">
        <v>0</v>
      </c>
      <c r="V5373" s="182" t="n">
        <v>0</v>
      </c>
      <c r="W5373" s="182" t="n">
        <v>0</v>
      </c>
      <c r="X5373" s="182" t="n">
        <v>1.01</v>
      </c>
      <c r="Y5373" s="182" t="n">
        <v>0</v>
      </c>
      <c r="Z5373" s="182" t="n">
        <v>0</v>
      </c>
      <c r="AA5373" s="182" t="n">
        <v>0</v>
      </c>
      <c r="AB5373" s="182" t="n">
        <v>0</v>
      </c>
      <c r="AC5373" s="182" t="n">
        <v>1.76</v>
      </c>
      <c r="AD5373" s="182" t="n">
        <v>0</v>
      </c>
      <c r="AE5373" s="182" t="n">
        <v>0</v>
      </c>
      <c r="AF5373" s="182" t="n">
        <v>0</v>
      </c>
      <c r="AG5373" s="182" t="n">
        <v>0</v>
      </c>
      <c r="AH5373" s="182" t="n">
        <v>0</v>
      </c>
      <c r="AI5373" s="182" t="n">
        <v>0.47</v>
      </c>
      <c r="AJ5373" s="182" t="n">
        <v>0</v>
      </c>
      <c r="AK5373" s="182" t="n">
        <v>3.02</v>
      </c>
      <c r="AL5373" s="182" t="n">
        <v>0</v>
      </c>
      <c r="AM5373" s="182" t="n">
        <v>0.08</v>
      </c>
      <c r="AN5373" s="182" t="n">
        <v>0</v>
      </c>
    </row>
    <row r="5374">
      <c r="A5374" s="155" t="n">
        <v>46106</v>
      </c>
      <c r="B5374" s="156" t="inlineStr">
        <is>
          <t>DS</t>
        </is>
      </c>
      <c r="C5374" s="156" t="inlineStr">
        <is>
          <t>DT-511</t>
        </is>
      </c>
      <c r="D5374" s="156" t="inlineStr">
        <is>
          <t>SKT 105S</t>
        </is>
      </c>
      <c r="E5374" s="156" t="inlineStr">
        <is>
          <t>Hauler</t>
        </is>
      </c>
      <c r="F5374" s="156" t="inlineStr"/>
      <c r="G5374" s="182" t="n">
        <v>0</v>
      </c>
      <c r="H5374" s="182" t="n">
        <v>0</v>
      </c>
      <c r="I5374" s="182" t="n">
        <v>12</v>
      </c>
      <c r="J5374" s="182" t="n">
        <v>12</v>
      </c>
      <c r="K5374" s="182" t="n">
        <v>0</v>
      </c>
      <c r="L5374" s="182" t="n">
        <v>12</v>
      </c>
      <c r="M5374" s="182" t="n">
        <v>0</v>
      </c>
      <c r="N5374" s="182" t="n">
        <v>0</v>
      </c>
      <c r="O5374" s="183" t="n">
        <v>0</v>
      </c>
      <c r="P5374" s="183" t="n">
        <v>0</v>
      </c>
      <c r="Q5374" s="184" t="n">
        <v>0</v>
      </c>
      <c r="R5374" s="184" t="n">
        <v>0</v>
      </c>
      <c r="S5374" s="183" t="n">
        <v>0</v>
      </c>
      <c r="T5374" s="183" t="n">
        <v>0</v>
      </c>
      <c r="U5374" s="182" t="n">
        <v>0</v>
      </c>
      <c r="V5374" s="182" t="n">
        <v>0</v>
      </c>
      <c r="W5374" s="182" t="n">
        <v>0</v>
      </c>
      <c r="X5374" s="182" t="n">
        <v>0</v>
      </c>
      <c r="Y5374" s="182" t="n">
        <v>0</v>
      </c>
      <c r="Z5374" s="182" t="n">
        <v>0</v>
      </c>
      <c r="AA5374" s="182" t="n">
        <v>0</v>
      </c>
      <c r="AB5374" s="182" t="n">
        <v>0</v>
      </c>
      <c r="AC5374" s="182" t="n">
        <v>0</v>
      </c>
      <c r="AD5374" s="182" t="n">
        <v>0</v>
      </c>
      <c r="AE5374" s="182" t="n">
        <v>0</v>
      </c>
      <c r="AF5374" s="182" t="n">
        <v>0</v>
      </c>
      <c r="AG5374" s="182" t="n">
        <v>0</v>
      </c>
      <c r="AH5374" s="182" t="n">
        <v>0</v>
      </c>
      <c r="AI5374" s="182" t="n">
        <v>0</v>
      </c>
      <c r="AJ5374" s="182" t="n">
        <v>0</v>
      </c>
      <c r="AK5374" s="182" t="n">
        <v>0</v>
      </c>
      <c r="AL5374" s="182" t="n">
        <v>0</v>
      </c>
      <c r="AM5374" s="182" t="n">
        <v>0</v>
      </c>
      <c r="AN5374" s="182" t="n">
        <v>0</v>
      </c>
    </row>
    <row r="5375">
      <c r="A5375" s="155" t="n">
        <v>46106</v>
      </c>
      <c r="B5375" s="156" t="inlineStr">
        <is>
          <t>DS</t>
        </is>
      </c>
      <c r="C5375" s="156" t="inlineStr">
        <is>
          <t>DT-509</t>
        </is>
      </c>
      <c r="D5375" s="156" t="inlineStr">
        <is>
          <t>SKT 105S</t>
        </is>
      </c>
      <c r="E5375" s="156" t="inlineStr">
        <is>
          <t>Hauler</t>
        </is>
      </c>
      <c r="F5375" s="156" t="inlineStr"/>
      <c r="G5375" s="182" t="n">
        <v>0</v>
      </c>
      <c r="H5375" s="182" t="n">
        <v>0</v>
      </c>
      <c r="I5375" s="182" t="n">
        <v>12</v>
      </c>
      <c r="J5375" s="182" t="n">
        <v>12</v>
      </c>
      <c r="K5375" s="182" t="n">
        <v>0</v>
      </c>
      <c r="L5375" s="182" t="n">
        <v>12</v>
      </c>
      <c r="M5375" s="182" t="n">
        <v>0</v>
      </c>
      <c r="N5375" s="182" t="n">
        <v>0</v>
      </c>
      <c r="O5375" s="183" t="n">
        <v>0</v>
      </c>
      <c r="P5375" s="183" t="n">
        <v>0</v>
      </c>
      <c r="Q5375" s="184" t="n">
        <v>0</v>
      </c>
      <c r="R5375" s="184" t="n">
        <v>0</v>
      </c>
      <c r="S5375" s="183" t="n">
        <v>0</v>
      </c>
      <c r="T5375" s="183" t="n">
        <v>0</v>
      </c>
      <c r="U5375" s="182" t="n">
        <v>0</v>
      </c>
      <c r="V5375" s="182" t="n">
        <v>0</v>
      </c>
      <c r="W5375" s="182" t="n">
        <v>0</v>
      </c>
      <c r="X5375" s="182" t="n">
        <v>0</v>
      </c>
      <c r="Y5375" s="182" t="n">
        <v>0</v>
      </c>
      <c r="Z5375" s="182" t="n">
        <v>0</v>
      </c>
      <c r="AA5375" s="182" t="n">
        <v>0</v>
      </c>
      <c r="AB5375" s="182" t="n">
        <v>0</v>
      </c>
      <c r="AC5375" s="182" t="n">
        <v>0</v>
      </c>
      <c r="AD5375" s="182" t="n">
        <v>0</v>
      </c>
      <c r="AE5375" s="182" t="n">
        <v>0</v>
      </c>
      <c r="AF5375" s="182" t="n">
        <v>0</v>
      </c>
      <c r="AG5375" s="182" t="n">
        <v>0</v>
      </c>
      <c r="AH5375" s="182" t="n">
        <v>0</v>
      </c>
      <c r="AI5375" s="182" t="n">
        <v>0</v>
      </c>
      <c r="AJ5375" s="182" t="n">
        <v>0</v>
      </c>
      <c r="AK5375" s="182" t="n">
        <v>0</v>
      </c>
      <c r="AL5375" s="182" t="n">
        <v>0</v>
      </c>
      <c r="AM5375" s="182" t="n">
        <v>0</v>
      </c>
      <c r="AN5375" s="182" t="n">
        <v>0</v>
      </c>
    </row>
    <row r="5376">
      <c r="A5376" s="155" t="n">
        <v>46106</v>
      </c>
      <c r="B5376" s="156" t="inlineStr">
        <is>
          <t>DS</t>
        </is>
      </c>
      <c r="C5376" s="156" t="inlineStr">
        <is>
          <t>DT-526</t>
        </is>
      </c>
      <c r="D5376" s="156" t="inlineStr">
        <is>
          <t>SKT 105S</t>
        </is>
      </c>
      <c r="E5376" s="156" t="inlineStr">
        <is>
          <t>Hauler</t>
        </is>
      </c>
      <c r="F5376" s="156" t="inlineStr"/>
      <c r="G5376" s="182" t="n">
        <v>0</v>
      </c>
      <c r="H5376" s="182" t="n">
        <v>0</v>
      </c>
      <c r="I5376" s="182" t="n">
        <v>12</v>
      </c>
      <c r="J5376" s="182" t="n">
        <v>12</v>
      </c>
      <c r="K5376" s="182" t="n">
        <v>0</v>
      </c>
      <c r="L5376" s="182" t="n">
        <v>12</v>
      </c>
      <c r="M5376" s="182" t="n">
        <v>0</v>
      </c>
      <c r="N5376" s="182" t="n">
        <v>0</v>
      </c>
      <c r="O5376" s="183" t="n">
        <v>0</v>
      </c>
      <c r="P5376" s="183" t="n">
        <v>0</v>
      </c>
      <c r="Q5376" s="184" t="n">
        <v>0</v>
      </c>
      <c r="R5376" s="184" t="n">
        <v>0</v>
      </c>
      <c r="S5376" s="183" t="n">
        <v>0</v>
      </c>
      <c r="T5376" s="183" t="n">
        <v>0</v>
      </c>
      <c r="U5376" s="182" t="n">
        <v>0</v>
      </c>
      <c r="V5376" s="182" t="n">
        <v>0</v>
      </c>
      <c r="W5376" s="182" t="n">
        <v>0</v>
      </c>
      <c r="X5376" s="182" t="n">
        <v>0</v>
      </c>
      <c r="Y5376" s="182" t="n">
        <v>0</v>
      </c>
      <c r="Z5376" s="182" t="n">
        <v>0</v>
      </c>
      <c r="AA5376" s="182" t="n">
        <v>0</v>
      </c>
      <c r="AB5376" s="182" t="n">
        <v>0</v>
      </c>
      <c r="AC5376" s="182" t="n">
        <v>0</v>
      </c>
      <c r="AD5376" s="182" t="n">
        <v>0</v>
      </c>
      <c r="AE5376" s="182" t="n">
        <v>0</v>
      </c>
      <c r="AF5376" s="182" t="n">
        <v>0</v>
      </c>
      <c r="AG5376" s="182" t="n">
        <v>0</v>
      </c>
      <c r="AH5376" s="182" t="n">
        <v>0</v>
      </c>
      <c r="AI5376" s="182" t="n">
        <v>0</v>
      </c>
      <c r="AJ5376" s="182" t="n">
        <v>0</v>
      </c>
      <c r="AK5376" s="182" t="n">
        <v>0</v>
      </c>
      <c r="AL5376" s="182" t="n">
        <v>0</v>
      </c>
      <c r="AM5376" s="182" t="n">
        <v>0</v>
      </c>
      <c r="AN5376" s="182" t="n">
        <v>0</v>
      </c>
    </row>
    <row r="5377">
      <c r="A5377" s="155" t="n">
        <v>46106</v>
      </c>
      <c r="B5377" s="156" t="inlineStr">
        <is>
          <t>DS</t>
        </is>
      </c>
      <c r="C5377" s="156" t="inlineStr">
        <is>
          <t>DT-508</t>
        </is>
      </c>
      <c r="D5377" s="156" t="inlineStr">
        <is>
          <t>SKT 105S</t>
        </is>
      </c>
      <c r="E5377" s="156" t="inlineStr">
        <is>
          <t>Hauler</t>
        </is>
      </c>
      <c r="F5377" s="156" t="inlineStr">
        <is>
          <t>Hauling OB &amp; Hauling Spoil di WS Baru</t>
        </is>
      </c>
      <c r="G5377" s="182" t="n">
        <v>8.66</v>
      </c>
      <c r="H5377" s="182" t="n">
        <v>0</v>
      </c>
      <c r="I5377" s="182" t="n">
        <v>0</v>
      </c>
      <c r="J5377" s="182" t="n">
        <v>0</v>
      </c>
      <c r="K5377" s="182" t="n">
        <v>3.34</v>
      </c>
      <c r="L5377" s="182" t="n">
        <v>12</v>
      </c>
      <c r="M5377" s="182" t="n">
        <v>2.75</v>
      </c>
      <c r="N5377" s="182" t="n">
        <v>0</v>
      </c>
      <c r="O5377" s="183" t="n">
        <v>10</v>
      </c>
      <c r="P5377" s="183" t="n">
        <v>0</v>
      </c>
      <c r="Q5377" s="184" t="n">
        <v>204</v>
      </c>
      <c r="R5377" s="184" t="n">
        <v>0</v>
      </c>
      <c r="S5377" s="183" t="n">
        <v>0</v>
      </c>
      <c r="T5377" s="183" t="n">
        <v>0</v>
      </c>
      <c r="U5377" s="182" t="n">
        <v>0</v>
      </c>
      <c r="V5377" s="182" t="n">
        <v>0</v>
      </c>
      <c r="W5377" s="182" t="n">
        <v>0</v>
      </c>
      <c r="X5377" s="182" t="n">
        <v>1.04</v>
      </c>
      <c r="Y5377" s="182" t="n">
        <v>0</v>
      </c>
      <c r="Z5377" s="182" t="n">
        <v>0</v>
      </c>
      <c r="AA5377" s="182" t="n">
        <v>0</v>
      </c>
      <c r="AB5377" s="182" t="n">
        <v>0</v>
      </c>
      <c r="AC5377" s="182" t="n">
        <v>2.21</v>
      </c>
      <c r="AD5377" s="182" t="n">
        <v>0</v>
      </c>
      <c r="AE5377" s="182" t="n">
        <v>0</v>
      </c>
      <c r="AF5377" s="182" t="n">
        <v>0</v>
      </c>
      <c r="AG5377" s="182" t="n">
        <v>0</v>
      </c>
      <c r="AH5377" s="182" t="n">
        <v>0</v>
      </c>
      <c r="AI5377" s="182" t="n">
        <v>0</v>
      </c>
      <c r="AJ5377" s="182" t="n">
        <v>0</v>
      </c>
      <c r="AK5377" s="182" t="n">
        <v>0</v>
      </c>
      <c r="AL5377" s="182" t="n">
        <v>0</v>
      </c>
      <c r="AM5377" s="182" t="n">
        <v>0.08</v>
      </c>
      <c r="AN5377" s="182" t="n">
        <v>0</v>
      </c>
    </row>
    <row r="5378">
      <c r="A5378" s="155" t="n">
        <v>46106</v>
      </c>
      <c r="B5378" s="156" t="inlineStr">
        <is>
          <t>DS</t>
        </is>
      </c>
      <c r="C5378" s="156" t="inlineStr">
        <is>
          <t>DT-515</t>
        </is>
      </c>
      <c r="D5378" s="156" t="inlineStr">
        <is>
          <t>SKT 105S</t>
        </is>
      </c>
      <c r="E5378" s="156" t="inlineStr">
        <is>
          <t>Hauler</t>
        </is>
      </c>
      <c r="F5378" s="156" t="inlineStr">
        <is>
          <t>Hauling OB</t>
        </is>
      </c>
      <c r="G5378" s="182" t="n">
        <v>5.08</v>
      </c>
      <c r="H5378" s="182" t="n">
        <v>0</v>
      </c>
      <c r="I5378" s="182" t="n">
        <v>0</v>
      </c>
      <c r="J5378" s="182" t="n">
        <v>0</v>
      </c>
      <c r="K5378" s="182" t="n">
        <v>6.92</v>
      </c>
      <c r="L5378" s="182" t="n">
        <v>12</v>
      </c>
      <c r="M5378" s="182" t="n">
        <v>5.08</v>
      </c>
      <c r="N5378" s="182" t="n">
        <v>0</v>
      </c>
      <c r="O5378" s="183" t="n">
        <v>13</v>
      </c>
      <c r="P5378" s="183" t="n">
        <v>0</v>
      </c>
      <c r="Q5378" s="184" t="n">
        <v>265.2</v>
      </c>
      <c r="R5378" s="184" t="n">
        <v>0</v>
      </c>
      <c r="S5378" s="183" t="n">
        <v>0</v>
      </c>
      <c r="T5378" s="183" t="n">
        <v>0</v>
      </c>
      <c r="U5378" s="182" t="n">
        <v>0</v>
      </c>
      <c r="V5378" s="182" t="n">
        <v>0</v>
      </c>
      <c r="W5378" s="182" t="n">
        <v>0</v>
      </c>
      <c r="X5378" s="182" t="n">
        <v>0.99</v>
      </c>
      <c r="Y5378" s="182" t="n">
        <v>0</v>
      </c>
      <c r="Z5378" s="182" t="n">
        <v>0</v>
      </c>
      <c r="AA5378" s="182" t="n">
        <v>0</v>
      </c>
      <c r="AB5378" s="182" t="n">
        <v>0</v>
      </c>
      <c r="AC5378" s="182" t="n">
        <v>0</v>
      </c>
      <c r="AD5378" s="182" t="n">
        <v>0</v>
      </c>
      <c r="AE5378" s="182" t="n">
        <v>0</v>
      </c>
      <c r="AF5378" s="182" t="n">
        <v>0</v>
      </c>
      <c r="AG5378" s="182" t="n">
        <v>0</v>
      </c>
      <c r="AH5378" s="182" t="n">
        <v>0</v>
      </c>
      <c r="AI5378" s="182" t="n">
        <v>5.85</v>
      </c>
      <c r="AJ5378" s="182" t="n">
        <v>0</v>
      </c>
      <c r="AK5378" s="182" t="n">
        <v>0</v>
      </c>
      <c r="AL5378" s="182" t="n">
        <v>0</v>
      </c>
      <c r="AM5378" s="182" t="n">
        <v>0.08</v>
      </c>
      <c r="AN5378" s="182" t="n">
        <v>0</v>
      </c>
    </row>
    <row r="5379">
      <c r="A5379" s="155" t="n">
        <v>46106</v>
      </c>
      <c r="B5379" s="156" t="inlineStr">
        <is>
          <t>DS</t>
        </is>
      </c>
      <c r="C5379" s="156" t="inlineStr">
        <is>
          <t>DT-524</t>
        </is>
      </c>
      <c r="D5379" s="156" t="inlineStr">
        <is>
          <t>SKT 105S</t>
        </is>
      </c>
      <c r="E5379" s="156" t="inlineStr">
        <is>
          <t>Hauler</t>
        </is>
      </c>
      <c r="F5379" s="156" t="inlineStr">
        <is>
          <t>Hauling Spoil di WS Baru</t>
        </is>
      </c>
      <c r="G5379" s="182" t="n">
        <v>3.57</v>
      </c>
      <c r="H5379" s="182" t="n">
        <v>0</v>
      </c>
      <c r="I5379" s="182" t="n">
        <v>2.33</v>
      </c>
      <c r="J5379" s="182" t="n">
        <v>2.33</v>
      </c>
      <c r="K5379" s="182" t="n">
        <v>6.1</v>
      </c>
      <c r="L5379" s="182" t="n">
        <v>12</v>
      </c>
      <c r="M5379" s="182" t="n">
        <v>0</v>
      </c>
      <c r="N5379" s="182" t="n">
        <v>0</v>
      </c>
      <c r="O5379" s="183" t="n">
        <v>0</v>
      </c>
      <c r="P5379" s="183" t="n">
        <v>0</v>
      </c>
      <c r="Q5379" s="184" t="n">
        <v>0</v>
      </c>
      <c r="R5379" s="184" t="n">
        <v>0</v>
      </c>
      <c r="S5379" s="183" t="n">
        <v>0</v>
      </c>
      <c r="T5379" s="183" t="n">
        <v>0</v>
      </c>
      <c r="U5379" s="182" t="n">
        <v>0</v>
      </c>
      <c r="V5379" s="182" t="n">
        <v>0</v>
      </c>
      <c r="W5379" s="182" t="n">
        <v>0</v>
      </c>
      <c r="X5379" s="182" t="n">
        <v>0.99</v>
      </c>
      <c r="Y5379" s="182" t="n">
        <v>0</v>
      </c>
      <c r="Z5379" s="182" t="n">
        <v>0</v>
      </c>
      <c r="AA5379" s="182" t="n">
        <v>0</v>
      </c>
      <c r="AB5379" s="182" t="n">
        <v>0</v>
      </c>
      <c r="AC5379" s="182" t="n">
        <v>2.97</v>
      </c>
      <c r="AD5379" s="182" t="n">
        <v>0</v>
      </c>
      <c r="AE5379" s="182" t="n">
        <v>0</v>
      </c>
      <c r="AF5379" s="182" t="n">
        <v>0</v>
      </c>
      <c r="AG5379" s="182" t="n">
        <v>0</v>
      </c>
      <c r="AH5379" s="182" t="n">
        <v>0</v>
      </c>
      <c r="AI5379" s="182" t="n">
        <v>0</v>
      </c>
      <c r="AJ5379" s="182" t="n">
        <v>0</v>
      </c>
      <c r="AK5379" s="182" t="n">
        <v>2.06</v>
      </c>
      <c r="AL5379" s="182" t="n">
        <v>0</v>
      </c>
      <c r="AM5379" s="182" t="n">
        <v>0.08</v>
      </c>
      <c r="AN5379" s="182" t="n">
        <v>0</v>
      </c>
    </row>
    <row r="5380">
      <c r="A5380" s="155" t="n">
        <v>46106</v>
      </c>
      <c r="B5380" s="156" t="inlineStr">
        <is>
          <t>DS</t>
        </is>
      </c>
      <c r="C5380" s="156" t="inlineStr">
        <is>
          <t>DT-341</t>
        </is>
      </c>
      <c r="D5380" s="156" t="inlineStr">
        <is>
          <t>SYZ324C-8W</t>
        </is>
      </c>
      <c r="E5380" s="156" t="inlineStr">
        <is>
          <t>Hauler</t>
        </is>
      </c>
      <c r="F5380" s="156" t="inlineStr">
        <is>
          <t>Support Washing Plant</t>
        </is>
      </c>
      <c r="G5380" s="182" t="n">
        <v>4.46</v>
      </c>
      <c r="H5380" s="182" t="n">
        <v>0</v>
      </c>
      <c r="I5380" s="182" t="n">
        <v>0</v>
      </c>
      <c r="J5380" s="182" t="n">
        <v>0</v>
      </c>
      <c r="K5380" s="182" t="n">
        <v>7.54</v>
      </c>
      <c r="L5380" s="182" t="n">
        <v>12</v>
      </c>
      <c r="M5380" s="182" t="n">
        <v>0</v>
      </c>
      <c r="N5380" s="182" t="n">
        <v>0</v>
      </c>
      <c r="O5380" s="183" t="n">
        <v>0</v>
      </c>
      <c r="P5380" s="183" t="n">
        <v>0</v>
      </c>
      <c r="Q5380" s="184" t="n">
        <v>0</v>
      </c>
      <c r="R5380" s="184" t="n">
        <v>0</v>
      </c>
      <c r="S5380" s="183" t="n">
        <v>0</v>
      </c>
      <c r="T5380" s="183" t="n">
        <v>0</v>
      </c>
      <c r="U5380" s="182" t="n">
        <v>0</v>
      </c>
      <c r="V5380" s="182" t="n">
        <v>0</v>
      </c>
      <c r="W5380" s="182" t="n">
        <v>0</v>
      </c>
      <c r="X5380" s="182" t="n">
        <v>0.97</v>
      </c>
      <c r="Y5380" s="182" t="n">
        <v>0</v>
      </c>
      <c r="Z5380" s="182" t="n">
        <v>0</v>
      </c>
      <c r="AA5380" s="182" t="n">
        <v>0</v>
      </c>
      <c r="AB5380" s="182" t="n">
        <v>0</v>
      </c>
      <c r="AC5380" s="182" t="n">
        <v>0</v>
      </c>
      <c r="AD5380" s="182" t="n">
        <v>0</v>
      </c>
      <c r="AE5380" s="182" t="n">
        <v>0</v>
      </c>
      <c r="AF5380" s="182" t="n">
        <v>0</v>
      </c>
      <c r="AG5380" s="182" t="n">
        <v>0</v>
      </c>
      <c r="AH5380" s="182" t="n">
        <v>0</v>
      </c>
      <c r="AI5380" s="182" t="n">
        <v>0</v>
      </c>
      <c r="AJ5380" s="182" t="n">
        <v>0</v>
      </c>
      <c r="AK5380" s="182" t="n">
        <v>6.5</v>
      </c>
      <c r="AL5380" s="182" t="n">
        <v>0</v>
      </c>
      <c r="AM5380" s="182" t="n">
        <v>0.08</v>
      </c>
      <c r="AN5380" s="182" t="n">
        <v>0</v>
      </c>
    </row>
    <row r="5381">
      <c r="A5381" s="155" t="n">
        <v>46106</v>
      </c>
      <c r="B5381" s="156" t="inlineStr">
        <is>
          <t>DS</t>
        </is>
      </c>
      <c r="C5381" s="156" t="inlineStr">
        <is>
          <t>DT-342</t>
        </is>
      </c>
      <c r="D5381" s="156" t="inlineStr">
        <is>
          <t>SYZ324C-8W</t>
        </is>
      </c>
      <c r="E5381" s="156" t="inlineStr">
        <is>
          <t>Hauler</t>
        </is>
      </c>
      <c r="F5381" s="156" t="inlineStr">
        <is>
          <t>Support Washing Plant</t>
        </is>
      </c>
      <c r="G5381" s="182" t="n">
        <v>3.86</v>
      </c>
      <c r="H5381" s="182" t="n">
        <v>0</v>
      </c>
      <c r="I5381" s="182" t="n">
        <v>0</v>
      </c>
      <c r="J5381" s="182" t="n">
        <v>0</v>
      </c>
      <c r="K5381" s="182" t="n">
        <v>8.140000000000001</v>
      </c>
      <c r="L5381" s="182" t="n">
        <v>12</v>
      </c>
      <c r="M5381" s="182" t="n">
        <v>0</v>
      </c>
      <c r="N5381" s="182" t="n">
        <v>0</v>
      </c>
      <c r="O5381" s="183" t="n">
        <v>0</v>
      </c>
      <c r="P5381" s="183" t="n">
        <v>0</v>
      </c>
      <c r="Q5381" s="184" t="n">
        <v>0</v>
      </c>
      <c r="R5381" s="184" t="n">
        <v>0</v>
      </c>
      <c r="S5381" s="183" t="n">
        <v>0</v>
      </c>
      <c r="T5381" s="183" t="n">
        <v>0</v>
      </c>
      <c r="U5381" s="182" t="n">
        <v>0</v>
      </c>
      <c r="V5381" s="182" t="n">
        <v>0</v>
      </c>
      <c r="W5381" s="182" t="n">
        <v>0</v>
      </c>
      <c r="X5381" s="182" t="n">
        <v>1</v>
      </c>
      <c r="Y5381" s="182" t="n">
        <v>0</v>
      </c>
      <c r="Z5381" s="182" t="n">
        <v>0</v>
      </c>
      <c r="AA5381" s="182" t="n">
        <v>0</v>
      </c>
      <c r="AB5381" s="182" t="n">
        <v>0</v>
      </c>
      <c r="AC5381" s="182" t="n">
        <v>0</v>
      </c>
      <c r="AD5381" s="182" t="n">
        <v>0</v>
      </c>
      <c r="AE5381" s="182" t="n">
        <v>0</v>
      </c>
      <c r="AF5381" s="182" t="n">
        <v>0</v>
      </c>
      <c r="AG5381" s="182" t="n">
        <v>0</v>
      </c>
      <c r="AH5381" s="182" t="n">
        <v>0</v>
      </c>
      <c r="AI5381" s="182" t="n">
        <v>0</v>
      </c>
      <c r="AJ5381" s="182" t="n">
        <v>0</v>
      </c>
      <c r="AK5381" s="182" t="n">
        <v>7.05</v>
      </c>
      <c r="AL5381" s="182" t="n">
        <v>0</v>
      </c>
      <c r="AM5381" s="182" t="n">
        <v>0.08</v>
      </c>
      <c r="AN5381" s="182" t="n">
        <v>0</v>
      </c>
    </row>
    <row r="5382">
      <c r="A5382" s="155" t="n">
        <v>46106</v>
      </c>
      <c r="B5382" s="156" t="inlineStr">
        <is>
          <t>DS</t>
        </is>
      </c>
      <c r="C5382" s="156" t="inlineStr">
        <is>
          <t>HD-903</t>
        </is>
      </c>
      <c r="D5382" s="156" t="inlineStr">
        <is>
          <t>SRT 95C</t>
        </is>
      </c>
      <c r="E5382" s="156" t="inlineStr">
        <is>
          <t>Hauler</t>
        </is>
      </c>
      <c r="F5382" s="156" t="inlineStr">
        <is>
          <t>Hauling OB</t>
        </is>
      </c>
      <c r="G5382" s="182" t="n">
        <v>5.45</v>
      </c>
      <c r="H5382" s="182" t="n">
        <v>0</v>
      </c>
      <c r="I5382" s="182" t="n">
        <v>0</v>
      </c>
      <c r="J5382" s="182" t="n">
        <v>0</v>
      </c>
      <c r="K5382" s="182" t="n">
        <v>6.55</v>
      </c>
      <c r="L5382" s="182" t="n">
        <v>12</v>
      </c>
      <c r="M5382" s="182" t="n">
        <v>5.45</v>
      </c>
      <c r="N5382" s="182" t="n">
        <v>0</v>
      </c>
      <c r="O5382" s="183" t="n">
        <v>21</v>
      </c>
      <c r="P5382" s="183" t="n">
        <v>0</v>
      </c>
      <c r="Q5382" s="184" t="n">
        <v>749.7</v>
      </c>
      <c r="R5382" s="184" t="n">
        <v>0</v>
      </c>
      <c r="S5382" s="183" t="n">
        <v>0</v>
      </c>
      <c r="T5382" s="183" t="n">
        <v>0</v>
      </c>
      <c r="U5382" s="182" t="n">
        <v>0</v>
      </c>
      <c r="V5382" s="182" t="n">
        <v>0</v>
      </c>
      <c r="W5382" s="182" t="n">
        <v>0</v>
      </c>
      <c r="X5382" s="182" t="n">
        <v>0.98</v>
      </c>
      <c r="Y5382" s="182" t="n">
        <v>0</v>
      </c>
      <c r="Z5382" s="182" t="n">
        <v>0</v>
      </c>
      <c r="AA5382" s="182" t="n">
        <v>0</v>
      </c>
      <c r="AB5382" s="182" t="n">
        <v>0</v>
      </c>
      <c r="AC5382" s="182" t="n">
        <v>1.71</v>
      </c>
      <c r="AD5382" s="182" t="n">
        <v>0</v>
      </c>
      <c r="AE5382" s="182" t="n">
        <v>0</v>
      </c>
      <c r="AF5382" s="182" t="n">
        <v>0</v>
      </c>
      <c r="AG5382" s="182" t="n">
        <v>0</v>
      </c>
      <c r="AH5382" s="182" t="n">
        <v>0</v>
      </c>
      <c r="AI5382" s="182" t="n">
        <v>0.85</v>
      </c>
      <c r="AJ5382" s="182" t="n">
        <v>0</v>
      </c>
      <c r="AK5382" s="182" t="n">
        <v>2.93</v>
      </c>
      <c r="AL5382" s="182" t="n">
        <v>0</v>
      </c>
      <c r="AM5382" s="182" t="n">
        <v>0.08</v>
      </c>
      <c r="AN5382" s="182" t="n">
        <v>0</v>
      </c>
    </row>
    <row r="5383">
      <c r="A5383" s="155" t="n">
        <v>46106</v>
      </c>
      <c r="B5383" s="156" t="inlineStr">
        <is>
          <t>DS</t>
        </is>
      </c>
      <c r="C5383" s="156" t="inlineStr">
        <is>
          <t>HD-905</t>
        </is>
      </c>
      <c r="D5383" s="156" t="inlineStr">
        <is>
          <t>SRT 95C</t>
        </is>
      </c>
      <c r="E5383" s="156" t="inlineStr">
        <is>
          <t>Hauler</t>
        </is>
      </c>
      <c r="F5383" s="156" t="inlineStr"/>
      <c r="G5383" s="182" t="n">
        <v>0</v>
      </c>
      <c r="H5383" s="182" t="n">
        <v>0</v>
      </c>
      <c r="I5383" s="182" t="n">
        <v>12</v>
      </c>
      <c r="J5383" s="182" t="n">
        <v>12</v>
      </c>
      <c r="K5383" s="182" t="n">
        <v>0</v>
      </c>
      <c r="L5383" s="182" t="n">
        <v>12</v>
      </c>
      <c r="M5383" s="182" t="n">
        <v>0</v>
      </c>
      <c r="N5383" s="182" t="n">
        <v>0</v>
      </c>
      <c r="O5383" s="183" t="n">
        <v>0</v>
      </c>
      <c r="P5383" s="183" t="n">
        <v>0</v>
      </c>
      <c r="Q5383" s="184" t="n">
        <v>0</v>
      </c>
      <c r="R5383" s="184" t="n">
        <v>0</v>
      </c>
      <c r="S5383" s="183" t="n">
        <v>0</v>
      </c>
      <c r="T5383" s="183" t="n">
        <v>0</v>
      </c>
      <c r="U5383" s="182" t="n">
        <v>0</v>
      </c>
      <c r="V5383" s="182" t="n">
        <v>0</v>
      </c>
      <c r="W5383" s="182" t="n">
        <v>0</v>
      </c>
      <c r="X5383" s="182" t="n">
        <v>0</v>
      </c>
      <c r="Y5383" s="182" t="n">
        <v>0</v>
      </c>
      <c r="Z5383" s="182" t="n">
        <v>0</v>
      </c>
      <c r="AA5383" s="182" t="n">
        <v>0</v>
      </c>
      <c r="AB5383" s="182" t="n">
        <v>0</v>
      </c>
      <c r="AC5383" s="182" t="n">
        <v>0</v>
      </c>
      <c r="AD5383" s="182" t="n">
        <v>0</v>
      </c>
      <c r="AE5383" s="182" t="n">
        <v>0</v>
      </c>
      <c r="AF5383" s="182" t="n">
        <v>0</v>
      </c>
      <c r="AG5383" s="182" t="n">
        <v>0</v>
      </c>
      <c r="AH5383" s="182" t="n">
        <v>0</v>
      </c>
      <c r="AI5383" s="182" t="n">
        <v>0</v>
      </c>
      <c r="AJ5383" s="182" t="n">
        <v>0</v>
      </c>
      <c r="AK5383" s="182" t="n">
        <v>0</v>
      </c>
      <c r="AL5383" s="182" t="n">
        <v>0</v>
      </c>
      <c r="AM5383" s="182" t="n">
        <v>0</v>
      </c>
      <c r="AN5383" s="182" t="n">
        <v>0</v>
      </c>
    </row>
    <row r="5384">
      <c r="A5384" s="155" t="n">
        <v>46106</v>
      </c>
      <c r="B5384" s="156" t="inlineStr">
        <is>
          <t>DS</t>
        </is>
      </c>
      <c r="C5384" s="156" t="inlineStr">
        <is>
          <t>HD-901</t>
        </is>
      </c>
      <c r="D5384" s="156" t="inlineStr">
        <is>
          <t>SRT 95C</t>
        </is>
      </c>
      <c r="E5384" s="156" t="inlineStr">
        <is>
          <t>Hauler</t>
        </is>
      </c>
      <c r="F5384" s="156" t="inlineStr">
        <is>
          <t>Hauling OB</t>
        </is>
      </c>
      <c r="G5384" s="182" t="n">
        <v>5.52</v>
      </c>
      <c r="H5384" s="182" t="n">
        <v>0</v>
      </c>
      <c r="I5384" s="182" t="n">
        <v>0</v>
      </c>
      <c r="J5384" s="182" t="n">
        <v>0</v>
      </c>
      <c r="K5384" s="182" t="n">
        <v>6.48</v>
      </c>
      <c r="L5384" s="182" t="n">
        <v>12</v>
      </c>
      <c r="M5384" s="182" t="n">
        <v>5.52</v>
      </c>
      <c r="N5384" s="182" t="n">
        <v>0</v>
      </c>
      <c r="O5384" s="183" t="n">
        <v>23</v>
      </c>
      <c r="P5384" s="183" t="n">
        <v>0</v>
      </c>
      <c r="Q5384" s="184" t="n">
        <v>821.1</v>
      </c>
      <c r="R5384" s="184" t="n">
        <v>0</v>
      </c>
      <c r="S5384" s="183" t="n">
        <v>0</v>
      </c>
      <c r="T5384" s="183" t="n">
        <v>0</v>
      </c>
      <c r="U5384" s="182" t="n">
        <v>0</v>
      </c>
      <c r="V5384" s="182" t="n">
        <v>0</v>
      </c>
      <c r="W5384" s="182" t="n">
        <v>0</v>
      </c>
      <c r="X5384" s="182" t="n">
        <v>0.9399999999999999</v>
      </c>
      <c r="Y5384" s="182" t="n">
        <v>0</v>
      </c>
      <c r="Z5384" s="182" t="n">
        <v>0</v>
      </c>
      <c r="AA5384" s="182" t="n">
        <v>0</v>
      </c>
      <c r="AB5384" s="182" t="n">
        <v>0</v>
      </c>
      <c r="AC5384" s="182" t="n">
        <v>1.64</v>
      </c>
      <c r="AD5384" s="182" t="n">
        <v>0</v>
      </c>
      <c r="AE5384" s="182" t="n">
        <v>0</v>
      </c>
      <c r="AF5384" s="182" t="n">
        <v>0</v>
      </c>
      <c r="AG5384" s="182" t="n">
        <v>0</v>
      </c>
      <c r="AH5384" s="182" t="n">
        <v>0</v>
      </c>
      <c r="AI5384" s="182" t="n">
        <v>1</v>
      </c>
      <c r="AJ5384" s="182" t="n">
        <v>0</v>
      </c>
      <c r="AK5384" s="182" t="n">
        <v>2.82</v>
      </c>
      <c r="AL5384" s="182" t="n">
        <v>0</v>
      </c>
      <c r="AM5384" s="182" t="n">
        <v>0.08</v>
      </c>
      <c r="AN5384" s="182" t="n">
        <v>0</v>
      </c>
    </row>
    <row r="5385">
      <c r="A5385" s="155" t="n">
        <v>46106</v>
      </c>
      <c r="B5385" s="156" t="inlineStr">
        <is>
          <t>DS</t>
        </is>
      </c>
      <c r="C5385" s="156" t="inlineStr">
        <is>
          <t>HD-904</t>
        </is>
      </c>
      <c r="D5385" s="156" t="inlineStr">
        <is>
          <t>SRT 95C</t>
        </is>
      </c>
      <c r="E5385" s="156" t="inlineStr">
        <is>
          <t>Hauler</t>
        </is>
      </c>
      <c r="F5385" s="156" t="inlineStr"/>
      <c r="G5385" s="182" t="n">
        <v>0</v>
      </c>
      <c r="H5385" s="182" t="n">
        <v>0</v>
      </c>
      <c r="I5385" s="182" t="n">
        <v>12</v>
      </c>
      <c r="J5385" s="182" t="n">
        <v>12</v>
      </c>
      <c r="K5385" s="182" t="n">
        <v>0</v>
      </c>
      <c r="L5385" s="182" t="n">
        <v>12</v>
      </c>
      <c r="M5385" s="182" t="n">
        <v>0</v>
      </c>
      <c r="N5385" s="182" t="n">
        <v>0</v>
      </c>
      <c r="O5385" s="183" t="n">
        <v>0</v>
      </c>
      <c r="P5385" s="183" t="n">
        <v>0</v>
      </c>
      <c r="Q5385" s="184" t="n">
        <v>0</v>
      </c>
      <c r="R5385" s="184" t="n">
        <v>0</v>
      </c>
      <c r="S5385" s="183" t="n">
        <v>0</v>
      </c>
      <c r="T5385" s="183" t="n">
        <v>0</v>
      </c>
      <c r="U5385" s="182" t="n">
        <v>0</v>
      </c>
      <c r="V5385" s="182" t="n">
        <v>0</v>
      </c>
      <c r="W5385" s="182" t="n">
        <v>0</v>
      </c>
      <c r="X5385" s="182" t="n">
        <v>0</v>
      </c>
      <c r="Y5385" s="182" t="n">
        <v>0</v>
      </c>
      <c r="Z5385" s="182" t="n">
        <v>0</v>
      </c>
      <c r="AA5385" s="182" t="n">
        <v>0</v>
      </c>
      <c r="AB5385" s="182" t="n">
        <v>0</v>
      </c>
      <c r="AC5385" s="182" t="n">
        <v>0</v>
      </c>
      <c r="AD5385" s="182" t="n">
        <v>0</v>
      </c>
      <c r="AE5385" s="182" t="n">
        <v>0</v>
      </c>
      <c r="AF5385" s="182" t="n">
        <v>0</v>
      </c>
      <c r="AG5385" s="182" t="n">
        <v>0</v>
      </c>
      <c r="AH5385" s="182" t="n">
        <v>0</v>
      </c>
      <c r="AI5385" s="182" t="n">
        <v>0</v>
      </c>
      <c r="AJ5385" s="182" t="n">
        <v>0</v>
      </c>
      <c r="AK5385" s="182" t="n">
        <v>0</v>
      </c>
      <c r="AL5385" s="182" t="n">
        <v>0</v>
      </c>
      <c r="AM5385" s="182" t="n">
        <v>0</v>
      </c>
      <c r="AN5385" s="182" t="n">
        <v>0</v>
      </c>
    </row>
    <row r="5386">
      <c r="A5386" s="155" t="n">
        <v>46106</v>
      </c>
      <c r="B5386" s="156" t="inlineStr">
        <is>
          <t>DS</t>
        </is>
      </c>
      <c r="C5386" s="156" t="inlineStr">
        <is>
          <t>HD-902</t>
        </is>
      </c>
      <c r="D5386" s="156" t="inlineStr">
        <is>
          <t>SRT 95C</t>
        </is>
      </c>
      <c r="E5386" s="156" t="inlineStr">
        <is>
          <t>Hauler</t>
        </is>
      </c>
      <c r="F5386" s="156" t="inlineStr">
        <is>
          <t>Hauling OB</t>
        </is>
      </c>
      <c r="G5386" s="182" t="n">
        <v>3.21</v>
      </c>
      <c r="H5386" s="182" t="n">
        <v>0</v>
      </c>
      <c r="I5386" s="182" t="n">
        <v>7.83</v>
      </c>
      <c r="J5386" s="182" t="n">
        <v>7.83</v>
      </c>
      <c r="K5386" s="182" t="n">
        <v>0.96</v>
      </c>
      <c r="L5386" s="182" t="n">
        <v>12</v>
      </c>
      <c r="M5386" s="182" t="n">
        <v>1.98</v>
      </c>
      <c r="N5386" s="182" t="n">
        <v>0</v>
      </c>
      <c r="O5386" s="183" t="n">
        <v>6</v>
      </c>
      <c r="P5386" s="183" t="n">
        <v>0</v>
      </c>
      <c r="Q5386" s="184" t="n">
        <v>214.2</v>
      </c>
      <c r="R5386" s="184" t="n">
        <v>0</v>
      </c>
      <c r="S5386" s="183" t="n">
        <v>0</v>
      </c>
      <c r="T5386" s="183" t="n">
        <v>0</v>
      </c>
      <c r="U5386" s="182" t="n">
        <v>0</v>
      </c>
      <c r="V5386" s="182" t="n">
        <v>0</v>
      </c>
      <c r="W5386" s="182" t="n">
        <v>0</v>
      </c>
      <c r="X5386" s="182" t="n">
        <v>0.85</v>
      </c>
      <c r="Y5386" s="182" t="n">
        <v>0</v>
      </c>
      <c r="Z5386" s="182" t="n">
        <v>0</v>
      </c>
      <c r="AA5386" s="182" t="n">
        <v>0</v>
      </c>
      <c r="AB5386" s="182" t="n">
        <v>0</v>
      </c>
      <c r="AC5386" s="182" t="n">
        <v>0</v>
      </c>
      <c r="AD5386" s="182" t="n">
        <v>0</v>
      </c>
      <c r="AE5386" s="182" t="n">
        <v>0</v>
      </c>
      <c r="AF5386" s="182" t="n">
        <v>0</v>
      </c>
      <c r="AG5386" s="182" t="n">
        <v>0</v>
      </c>
      <c r="AH5386" s="182" t="n">
        <v>0</v>
      </c>
      <c r="AI5386" s="182" t="n">
        <v>0</v>
      </c>
      <c r="AJ5386" s="182" t="n">
        <v>0</v>
      </c>
      <c r="AK5386" s="182" t="n">
        <v>0</v>
      </c>
      <c r="AL5386" s="182" t="n">
        <v>0</v>
      </c>
      <c r="AM5386" s="182" t="n">
        <v>0.1</v>
      </c>
      <c r="AN5386" s="182" t="n">
        <v>0</v>
      </c>
    </row>
    <row r="5387">
      <c r="A5387" s="155" t="n">
        <v>46106</v>
      </c>
      <c r="B5387" s="156" t="inlineStr">
        <is>
          <t>DS</t>
        </is>
      </c>
      <c r="C5387" s="156" t="inlineStr">
        <is>
          <t>WL-025</t>
        </is>
      </c>
      <c r="D5387" s="156" t="inlineStr">
        <is>
          <t>SANY - Loader</t>
        </is>
      </c>
      <c r="E5387" s="156" t="inlineStr">
        <is>
          <t>Loader</t>
        </is>
      </c>
      <c r="F5387" s="156" t="inlineStr"/>
      <c r="G5387" s="182" t="n">
        <v>0</v>
      </c>
      <c r="H5387" s="182" t="n">
        <v>0</v>
      </c>
      <c r="I5387" s="182" t="n">
        <v>12</v>
      </c>
      <c r="J5387" s="182" t="n">
        <v>12</v>
      </c>
      <c r="K5387" s="182" t="n">
        <v>0</v>
      </c>
      <c r="L5387" s="182" t="n">
        <v>12</v>
      </c>
      <c r="M5387" s="182" t="n">
        <v>0</v>
      </c>
      <c r="N5387" s="182" t="n">
        <v>0</v>
      </c>
      <c r="O5387" s="183" t="n">
        <v>0</v>
      </c>
      <c r="P5387" s="183" t="n">
        <v>0</v>
      </c>
      <c r="Q5387" s="184" t="n">
        <v>0</v>
      </c>
      <c r="R5387" s="184" t="n">
        <v>0</v>
      </c>
      <c r="S5387" s="183" t="n">
        <v>0</v>
      </c>
      <c r="T5387" s="183" t="n">
        <v>0</v>
      </c>
      <c r="U5387" s="182" t="n">
        <v>0</v>
      </c>
      <c r="V5387" s="182" t="n">
        <v>0</v>
      </c>
      <c r="W5387" s="182" t="n">
        <v>0</v>
      </c>
      <c r="X5387" s="182" t="n">
        <v>0</v>
      </c>
      <c r="Y5387" s="182" t="n">
        <v>0</v>
      </c>
      <c r="Z5387" s="182" t="n">
        <v>0</v>
      </c>
      <c r="AA5387" s="182" t="n">
        <v>0</v>
      </c>
      <c r="AB5387" s="182" t="n">
        <v>0</v>
      </c>
      <c r="AC5387" s="182" t="n">
        <v>0</v>
      </c>
      <c r="AD5387" s="182" t="n">
        <v>0</v>
      </c>
      <c r="AE5387" s="182" t="n">
        <v>0</v>
      </c>
      <c r="AF5387" s="182" t="n">
        <v>0</v>
      </c>
      <c r="AG5387" s="182" t="n">
        <v>0</v>
      </c>
      <c r="AH5387" s="182" t="n">
        <v>0</v>
      </c>
      <c r="AI5387" s="182" t="n">
        <v>0</v>
      </c>
      <c r="AJ5387" s="182" t="n">
        <v>0</v>
      </c>
      <c r="AK5387" s="182" t="n">
        <v>0</v>
      </c>
      <c r="AL5387" s="182" t="n">
        <v>0</v>
      </c>
      <c r="AM5387" s="182" t="n">
        <v>0</v>
      </c>
      <c r="AN5387" s="182" t="n">
        <v>0</v>
      </c>
    </row>
    <row r="5388">
      <c r="A5388" s="155" t="n">
        <v>46106</v>
      </c>
      <c r="B5388" s="156" t="inlineStr">
        <is>
          <t>DS</t>
        </is>
      </c>
      <c r="C5388" s="156" t="inlineStr">
        <is>
          <t>WL-023</t>
        </is>
      </c>
      <c r="D5388" s="156" t="inlineStr">
        <is>
          <t>SANY - Loader</t>
        </is>
      </c>
      <c r="E5388" s="156" t="inlineStr">
        <is>
          <t>Loader</t>
        </is>
      </c>
      <c r="F5388" s="156" t="inlineStr"/>
      <c r="G5388" s="182" t="n">
        <v>0</v>
      </c>
      <c r="H5388" s="182" t="n">
        <v>0</v>
      </c>
      <c r="I5388" s="182" t="n">
        <v>0</v>
      </c>
      <c r="J5388" s="182" t="n">
        <v>0</v>
      </c>
      <c r="K5388" s="182" t="n">
        <v>12</v>
      </c>
      <c r="L5388" s="182" t="n">
        <v>12</v>
      </c>
      <c r="M5388" s="182" t="n">
        <v>0</v>
      </c>
      <c r="N5388" s="182" t="n">
        <v>0</v>
      </c>
      <c r="O5388" s="183" t="n">
        <v>0</v>
      </c>
      <c r="P5388" s="183" t="n">
        <v>0</v>
      </c>
      <c r="Q5388" s="184" t="n">
        <v>0</v>
      </c>
      <c r="R5388" s="184" t="n">
        <v>0</v>
      </c>
      <c r="S5388" s="183" t="n">
        <v>0</v>
      </c>
      <c r="T5388" s="183" t="n">
        <v>0</v>
      </c>
      <c r="U5388" s="182" t="n">
        <v>0</v>
      </c>
      <c r="V5388" s="182" t="n">
        <v>0</v>
      </c>
      <c r="W5388" s="182" t="n">
        <v>0</v>
      </c>
      <c r="X5388" s="182" t="n">
        <v>1</v>
      </c>
      <c r="Y5388" s="182" t="n">
        <v>0</v>
      </c>
      <c r="Z5388" s="182" t="n">
        <v>0</v>
      </c>
      <c r="AA5388" s="182" t="n">
        <v>0</v>
      </c>
      <c r="AB5388" s="182" t="n">
        <v>0</v>
      </c>
      <c r="AC5388" s="182" t="n">
        <v>0</v>
      </c>
      <c r="AD5388" s="182" t="n">
        <v>0</v>
      </c>
      <c r="AE5388" s="182" t="n">
        <v>0</v>
      </c>
      <c r="AF5388" s="182" t="n">
        <v>0</v>
      </c>
      <c r="AG5388" s="182" t="n">
        <v>0</v>
      </c>
      <c r="AH5388" s="182" t="n">
        <v>0</v>
      </c>
      <c r="AI5388" s="182" t="n">
        <v>0</v>
      </c>
      <c r="AJ5388" s="182" t="n">
        <v>0</v>
      </c>
      <c r="AK5388" s="182" t="n">
        <v>10.92</v>
      </c>
      <c r="AL5388" s="182" t="n">
        <v>0</v>
      </c>
      <c r="AM5388" s="182" t="n">
        <v>0.08</v>
      </c>
      <c r="AN5388" s="182" t="n">
        <v>0</v>
      </c>
    </row>
    <row r="5389">
      <c r="A5389" s="155" t="n">
        <v>46106</v>
      </c>
      <c r="B5389" s="156" t="inlineStr">
        <is>
          <t>DS</t>
        </is>
      </c>
      <c r="C5389" s="156" t="inlineStr">
        <is>
          <t>WL-021</t>
        </is>
      </c>
      <c r="D5389" s="156" t="inlineStr">
        <is>
          <t>SANY - Loader</t>
        </is>
      </c>
      <c r="E5389" s="156" t="inlineStr">
        <is>
          <t>Loader</t>
        </is>
      </c>
      <c r="F5389" s="156" t="inlineStr"/>
      <c r="G5389" s="182" t="n">
        <v>0</v>
      </c>
      <c r="H5389" s="182" t="n">
        <v>0</v>
      </c>
      <c r="I5389" s="182" t="n">
        <v>12</v>
      </c>
      <c r="J5389" s="182" t="n">
        <v>12</v>
      </c>
      <c r="K5389" s="182" t="n">
        <v>0</v>
      </c>
      <c r="L5389" s="182" t="n">
        <v>12</v>
      </c>
      <c r="M5389" s="182" t="n">
        <v>0</v>
      </c>
      <c r="N5389" s="182" t="n">
        <v>0</v>
      </c>
      <c r="O5389" s="183" t="n">
        <v>0</v>
      </c>
      <c r="P5389" s="183" t="n">
        <v>0</v>
      </c>
      <c r="Q5389" s="184" t="n">
        <v>0</v>
      </c>
      <c r="R5389" s="184" t="n">
        <v>0</v>
      </c>
      <c r="S5389" s="183" t="n">
        <v>0</v>
      </c>
      <c r="T5389" s="183" t="n">
        <v>0</v>
      </c>
      <c r="U5389" s="182" t="n">
        <v>0</v>
      </c>
      <c r="V5389" s="182" t="n">
        <v>0</v>
      </c>
      <c r="W5389" s="182" t="n">
        <v>0</v>
      </c>
      <c r="X5389" s="182" t="n">
        <v>0</v>
      </c>
      <c r="Y5389" s="182" t="n">
        <v>0</v>
      </c>
      <c r="Z5389" s="182" t="n">
        <v>0</v>
      </c>
      <c r="AA5389" s="182" t="n">
        <v>0</v>
      </c>
      <c r="AB5389" s="182" t="n">
        <v>0</v>
      </c>
      <c r="AC5389" s="182" t="n">
        <v>0</v>
      </c>
      <c r="AD5389" s="182" t="n">
        <v>0</v>
      </c>
      <c r="AE5389" s="182" t="n">
        <v>0</v>
      </c>
      <c r="AF5389" s="182" t="n">
        <v>0</v>
      </c>
      <c r="AG5389" s="182" t="n">
        <v>0</v>
      </c>
      <c r="AH5389" s="182" t="n">
        <v>0</v>
      </c>
      <c r="AI5389" s="182" t="n">
        <v>0</v>
      </c>
      <c r="AJ5389" s="182" t="n">
        <v>0</v>
      </c>
      <c r="AK5389" s="182" t="n">
        <v>0</v>
      </c>
      <c r="AL5389" s="182" t="n">
        <v>0</v>
      </c>
      <c r="AM5389" s="182" t="n">
        <v>0</v>
      </c>
      <c r="AN5389" s="182" t="n">
        <v>0</v>
      </c>
    </row>
    <row r="5390">
      <c r="A5390" s="155" t="n">
        <v>46106</v>
      </c>
      <c r="B5390" s="156" t="inlineStr">
        <is>
          <t>DS</t>
        </is>
      </c>
      <c r="C5390" s="156" t="inlineStr">
        <is>
          <t>WL-022</t>
        </is>
      </c>
      <c r="D5390" s="156" t="inlineStr">
        <is>
          <t>SANY - Loader</t>
        </is>
      </c>
      <c r="E5390" s="156" t="inlineStr">
        <is>
          <t>Loader</t>
        </is>
      </c>
      <c r="F5390" s="156" t="inlineStr">
        <is>
          <t>Support Washing Plant</t>
        </is>
      </c>
      <c r="G5390" s="182" t="n">
        <v>10.1</v>
      </c>
      <c r="H5390" s="182" t="n">
        <v>0</v>
      </c>
      <c r="I5390" s="182" t="n">
        <v>0</v>
      </c>
      <c r="J5390" s="182" t="n">
        <v>0</v>
      </c>
      <c r="K5390" s="182" t="n">
        <v>1.9</v>
      </c>
      <c r="L5390" s="182" t="n">
        <v>12</v>
      </c>
      <c r="M5390" s="182" t="n">
        <v>0</v>
      </c>
      <c r="N5390" s="182" t="n">
        <v>0</v>
      </c>
      <c r="O5390" s="183" t="n">
        <v>0</v>
      </c>
      <c r="P5390" s="183" t="n">
        <v>0</v>
      </c>
      <c r="Q5390" s="184" t="n">
        <v>0</v>
      </c>
      <c r="R5390" s="184" t="n">
        <v>0</v>
      </c>
      <c r="S5390" s="183" t="n">
        <v>0</v>
      </c>
      <c r="T5390" s="183" t="n">
        <v>0</v>
      </c>
      <c r="U5390" s="182" t="n">
        <v>0</v>
      </c>
      <c r="V5390" s="182" t="n">
        <v>0</v>
      </c>
      <c r="W5390" s="182" t="n">
        <v>0</v>
      </c>
      <c r="X5390" s="182" t="n">
        <v>1.12</v>
      </c>
      <c r="Y5390" s="182" t="n">
        <v>0</v>
      </c>
      <c r="Z5390" s="182" t="n">
        <v>0</v>
      </c>
      <c r="AA5390" s="182" t="n">
        <v>0</v>
      </c>
      <c r="AB5390" s="182" t="n">
        <v>0</v>
      </c>
      <c r="AC5390" s="182" t="n">
        <v>0</v>
      </c>
      <c r="AD5390" s="182" t="n">
        <v>0</v>
      </c>
      <c r="AE5390" s="182" t="n">
        <v>0</v>
      </c>
      <c r="AF5390" s="182" t="n">
        <v>0</v>
      </c>
      <c r="AG5390" s="182" t="n">
        <v>0</v>
      </c>
      <c r="AH5390" s="182" t="n">
        <v>0.6899999999999999</v>
      </c>
      <c r="AI5390" s="182" t="n">
        <v>0</v>
      </c>
      <c r="AJ5390" s="182" t="n">
        <v>0</v>
      </c>
      <c r="AK5390" s="182" t="n">
        <v>0</v>
      </c>
      <c r="AL5390" s="182" t="n">
        <v>0</v>
      </c>
      <c r="AM5390" s="182" t="n">
        <v>0.09</v>
      </c>
      <c r="AN5390" s="182" t="n">
        <v>0</v>
      </c>
    </row>
    <row r="5391">
      <c r="A5391" s="155" t="n">
        <v>46106</v>
      </c>
      <c r="B5391" s="156" t="inlineStr">
        <is>
          <t>DS</t>
        </is>
      </c>
      <c r="C5391" s="156" t="inlineStr">
        <is>
          <t>WL-024</t>
        </is>
      </c>
      <c r="D5391" s="156" t="inlineStr">
        <is>
          <t>SANY - Loader</t>
        </is>
      </c>
      <c r="E5391" s="156" t="inlineStr">
        <is>
          <t>Loader</t>
        </is>
      </c>
      <c r="F5391" s="156" t="inlineStr">
        <is>
          <t>Support Washing Plant</t>
        </is>
      </c>
      <c r="G5391" s="182" t="n">
        <v>11.41</v>
      </c>
      <c r="H5391" s="182" t="n">
        <v>0</v>
      </c>
      <c r="I5391" s="182" t="n">
        <v>0</v>
      </c>
      <c r="J5391" s="182" t="n">
        <v>0</v>
      </c>
      <c r="K5391" s="182" t="n">
        <v>0.59</v>
      </c>
      <c r="L5391" s="182" t="n">
        <v>12</v>
      </c>
      <c r="M5391" s="182" t="n">
        <v>0</v>
      </c>
      <c r="N5391" s="182" t="n">
        <v>0</v>
      </c>
      <c r="O5391" s="183" t="n">
        <v>0</v>
      </c>
      <c r="P5391" s="183" t="n">
        <v>0</v>
      </c>
      <c r="Q5391" s="184" t="n">
        <v>0</v>
      </c>
      <c r="R5391" s="184" t="n">
        <v>0</v>
      </c>
      <c r="S5391" s="183" t="n">
        <v>0</v>
      </c>
      <c r="T5391" s="183" t="n">
        <v>0</v>
      </c>
      <c r="U5391" s="182" t="n">
        <v>0</v>
      </c>
      <c r="V5391" s="182" t="n">
        <v>0</v>
      </c>
      <c r="W5391" s="182" t="n">
        <v>0</v>
      </c>
      <c r="X5391" s="182" t="n">
        <v>0.5</v>
      </c>
      <c r="Y5391" s="182" t="n">
        <v>0</v>
      </c>
      <c r="Z5391" s="182" t="n">
        <v>0</v>
      </c>
      <c r="AA5391" s="182" t="n">
        <v>0</v>
      </c>
      <c r="AB5391" s="182" t="n">
        <v>0</v>
      </c>
      <c r="AC5391" s="182" t="n">
        <v>0</v>
      </c>
      <c r="AD5391" s="182" t="n">
        <v>0</v>
      </c>
      <c r="AE5391" s="182" t="n">
        <v>0</v>
      </c>
      <c r="AF5391" s="182" t="n">
        <v>0</v>
      </c>
      <c r="AG5391" s="182" t="n">
        <v>0</v>
      </c>
      <c r="AH5391" s="182" t="n">
        <v>0</v>
      </c>
      <c r="AI5391" s="182" t="n">
        <v>0</v>
      </c>
      <c r="AJ5391" s="182" t="n">
        <v>0</v>
      </c>
      <c r="AK5391" s="182" t="n">
        <v>0</v>
      </c>
      <c r="AL5391" s="182" t="n">
        <v>0</v>
      </c>
      <c r="AM5391" s="182" t="n">
        <v>0.09</v>
      </c>
      <c r="AN5391" s="182" t="n">
        <v>0</v>
      </c>
    </row>
    <row r="5392">
      <c r="A5392" s="155" t="n">
        <v>46106</v>
      </c>
      <c r="B5392" s="156" t="inlineStr">
        <is>
          <t>NS</t>
        </is>
      </c>
      <c r="C5392" s="156" t="inlineStr">
        <is>
          <t>DZ-034</t>
        </is>
      </c>
      <c r="D5392" s="156" t="inlineStr">
        <is>
          <t>D 68ESS-12EO</t>
        </is>
      </c>
      <c r="E5392" s="156" t="inlineStr">
        <is>
          <t>Bulldozer</t>
        </is>
      </c>
      <c r="F5392" s="156" t="inlineStr"/>
      <c r="G5392" s="182" t="n">
        <v>0</v>
      </c>
      <c r="H5392" s="182" t="n">
        <v>0</v>
      </c>
      <c r="I5392" s="182" t="n">
        <v>12</v>
      </c>
      <c r="J5392" s="182" t="n">
        <v>12</v>
      </c>
      <c r="K5392" s="182" t="n">
        <v>0</v>
      </c>
      <c r="L5392" s="182" t="n">
        <v>12</v>
      </c>
      <c r="M5392" s="182" t="n">
        <v>0</v>
      </c>
      <c r="N5392" s="182" t="n">
        <v>0</v>
      </c>
      <c r="O5392" s="183" t="n">
        <v>0</v>
      </c>
      <c r="P5392" s="183" t="n">
        <v>0</v>
      </c>
      <c r="Q5392" s="184" t="n">
        <v>0</v>
      </c>
      <c r="R5392" s="184" t="n">
        <v>0</v>
      </c>
      <c r="S5392" s="183" t="n">
        <v>0</v>
      </c>
      <c r="T5392" s="183" t="n">
        <v>0</v>
      </c>
      <c r="U5392" s="182" t="n">
        <v>0</v>
      </c>
      <c r="V5392" s="182" t="n">
        <v>0</v>
      </c>
      <c r="W5392" s="182" t="n">
        <v>0</v>
      </c>
      <c r="X5392" s="182" t="n">
        <v>0</v>
      </c>
      <c r="Y5392" s="182" t="n">
        <v>0</v>
      </c>
      <c r="Z5392" s="182" t="n">
        <v>0</v>
      </c>
      <c r="AA5392" s="182" t="n">
        <v>0</v>
      </c>
      <c r="AB5392" s="182" t="n">
        <v>0</v>
      </c>
      <c r="AC5392" s="182" t="n">
        <v>0</v>
      </c>
      <c r="AD5392" s="182" t="n">
        <v>0</v>
      </c>
      <c r="AE5392" s="182" t="n">
        <v>0</v>
      </c>
      <c r="AF5392" s="182" t="n">
        <v>0</v>
      </c>
      <c r="AG5392" s="182" t="n">
        <v>0</v>
      </c>
      <c r="AH5392" s="182" t="n">
        <v>0</v>
      </c>
      <c r="AI5392" s="182" t="n">
        <v>0</v>
      </c>
      <c r="AJ5392" s="182" t="n">
        <v>0</v>
      </c>
      <c r="AK5392" s="182" t="n">
        <v>0</v>
      </c>
      <c r="AL5392" s="182" t="n">
        <v>0</v>
      </c>
      <c r="AM5392" s="182" t="n">
        <v>0</v>
      </c>
      <c r="AN5392" s="182" t="n">
        <v>0</v>
      </c>
    </row>
    <row r="5393">
      <c r="A5393" s="155" t="n">
        <v>46106</v>
      </c>
      <c r="B5393" s="156" t="inlineStr">
        <is>
          <t>NS</t>
        </is>
      </c>
      <c r="C5393" s="156" t="inlineStr">
        <is>
          <t>DZ-033</t>
        </is>
      </c>
      <c r="D5393" s="156" t="inlineStr">
        <is>
          <t>D 375A-6R</t>
        </is>
      </c>
      <c r="E5393" s="156" t="inlineStr">
        <is>
          <t>Bulldozer</t>
        </is>
      </c>
      <c r="F5393" s="156" t="inlineStr">
        <is>
          <t>Support Disposal</t>
        </is>
      </c>
      <c r="G5393" s="182" t="n">
        <v>9.720000000000001</v>
      </c>
      <c r="H5393" s="182" t="n">
        <v>0</v>
      </c>
      <c r="I5393" s="182" t="n">
        <v>0</v>
      </c>
      <c r="J5393" s="182" t="n">
        <v>0</v>
      </c>
      <c r="K5393" s="182" t="n">
        <v>2.28</v>
      </c>
      <c r="L5393" s="182" t="n">
        <v>12</v>
      </c>
      <c r="M5393" s="182" t="n">
        <v>0</v>
      </c>
      <c r="N5393" s="182" t="n">
        <v>0</v>
      </c>
      <c r="O5393" s="183" t="n">
        <v>0</v>
      </c>
      <c r="P5393" s="183" t="n">
        <v>0</v>
      </c>
      <c r="Q5393" s="184" t="n">
        <v>0</v>
      </c>
      <c r="R5393" s="184" t="n">
        <v>0</v>
      </c>
      <c r="S5393" s="183" t="n">
        <v>0</v>
      </c>
      <c r="T5393" s="183" t="n">
        <v>0</v>
      </c>
      <c r="U5393" s="182" t="n">
        <v>1.05</v>
      </c>
      <c r="V5393" s="182" t="n">
        <v>0</v>
      </c>
      <c r="W5393" s="182" t="n">
        <v>0</v>
      </c>
      <c r="X5393" s="182" t="n">
        <v>1.14</v>
      </c>
      <c r="Y5393" s="182" t="n">
        <v>0</v>
      </c>
      <c r="Z5393" s="182" t="n">
        <v>0</v>
      </c>
      <c r="AA5393" s="182" t="n">
        <v>0</v>
      </c>
      <c r="AB5393" s="182" t="n">
        <v>0</v>
      </c>
      <c r="AC5393" s="182" t="n">
        <v>0</v>
      </c>
      <c r="AD5393" s="182" t="n">
        <v>0</v>
      </c>
      <c r="AE5393" s="182" t="n">
        <v>0</v>
      </c>
      <c r="AF5393" s="182" t="n">
        <v>0</v>
      </c>
      <c r="AG5393" s="182" t="n">
        <v>0</v>
      </c>
      <c r="AH5393" s="182" t="n">
        <v>0</v>
      </c>
      <c r="AI5393" s="182" t="n">
        <v>0</v>
      </c>
      <c r="AJ5393" s="182" t="n">
        <v>0</v>
      </c>
      <c r="AK5393" s="182" t="n">
        <v>0</v>
      </c>
      <c r="AL5393" s="182" t="n">
        <v>0</v>
      </c>
      <c r="AM5393" s="182" t="n">
        <v>0.09</v>
      </c>
      <c r="AN5393" s="182" t="n">
        <v>0</v>
      </c>
    </row>
    <row r="5394">
      <c r="A5394" s="155" t="n">
        <v>46106</v>
      </c>
      <c r="B5394" s="156" t="inlineStr">
        <is>
          <t>NS</t>
        </is>
      </c>
      <c r="C5394" s="156" t="inlineStr">
        <is>
          <t>DZ-038</t>
        </is>
      </c>
      <c r="D5394" s="156" t="inlineStr">
        <is>
          <t>D 85 ESS-2</t>
        </is>
      </c>
      <c r="E5394" s="156" t="inlineStr">
        <is>
          <t>Bulldozer</t>
        </is>
      </c>
      <c r="F5394" s="156" t="inlineStr"/>
      <c r="G5394" s="182" t="n">
        <v>0</v>
      </c>
      <c r="H5394" s="182" t="n">
        <v>0</v>
      </c>
      <c r="I5394" s="182" t="n">
        <v>12</v>
      </c>
      <c r="J5394" s="182" t="n">
        <v>12</v>
      </c>
      <c r="K5394" s="182" t="n">
        <v>0</v>
      </c>
      <c r="L5394" s="182" t="n">
        <v>12</v>
      </c>
      <c r="M5394" s="182" t="n">
        <v>0</v>
      </c>
      <c r="N5394" s="182" t="n">
        <v>0</v>
      </c>
      <c r="O5394" s="183" t="n">
        <v>0</v>
      </c>
      <c r="P5394" s="183" t="n">
        <v>0</v>
      </c>
      <c r="Q5394" s="184" t="n">
        <v>0</v>
      </c>
      <c r="R5394" s="184" t="n">
        <v>0</v>
      </c>
      <c r="S5394" s="183" t="n">
        <v>0</v>
      </c>
      <c r="T5394" s="183" t="n">
        <v>0</v>
      </c>
      <c r="U5394" s="182" t="n">
        <v>0</v>
      </c>
      <c r="V5394" s="182" t="n">
        <v>0</v>
      </c>
      <c r="W5394" s="182" t="n">
        <v>0</v>
      </c>
      <c r="X5394" s="182" t="n">
        <v>0</v>
      </c>
      <c r="Y5394" s="182" t="n">
        <v>0</v>
      </c>
      <c r="Z5394" s="182" t="n">
        <v>0</v>
      </c>
      <c r="AA5394" s="182" t="n">
        <v>0</v>
      </c>
      <c r="AB5394" s="182" t="n">
        <v>0</v>
      </c>
      <c r="AC5394" s="182" t="n">
        <v>0</v>
      </c>
      <c r="AD5394" s="182" t="n">
        <v>0</v>
      </c>
      <c r="AE5394" s="182" t="n">
        <v>0</v>
      </c>
      <c r="AF5394" s="182" t="n">
        <v>0</v>
      </c>
      <c r="AG5394" s="182" t="n">
        <v>0</v>
      </c>
      <c r="AH5394" s="182" t="n">
        <v>0</v>
      </c>
      <c r="AI5394" s="182" t="n">
        <v>0</v>
      </c>
      <c r="AJ5394" s="182" t="n">
        <v>0</v>
      </c>
      <c r="AK5394" s="182" t="n">
        <v>0</v>
      </c>
      <c r="AL5394" s="182" t="n">
        <v>0</v>
      </c>
      <c r="AM5394" s="182" t="n">
        <v>0</v>
      </c>
      <c r="AN5394" s="182" t="n">
        <v>0</v>
      </c>
    </row>
    <row r="5395">
      <c r="A5395" s="155" t="n">
        <v>46106</v>
      </c>
      <c r="B5395" s="156" t="inlineStr">
        <is>
          <t>NS</t>
        </is>
      </c>
      <c r="C5395" s="156" t="inlineStr">
        <is>
          <t>DZ-039</t>
        </is>
      </c>
      <c r="D5395" s="156" t="inlineStr">
        <is>
          <t>D 85 ESS-2</t>
        </is>
      </c>
      <c r="E5395" s="156" t="inlineStr">
        <is>
          <t>Bulldozer</t>
        </is>
      </c>
      <c r="F5395" s="156" t="inlineStr"/>
      <c r="G5395" s="182" t="n">
        <v>0</v>
      </c>
      <c r="H5395" s="182" t="n">
        <v>12</v>
      </c>
      <c r="I5395" s="182" t="n">
        <v>0</v>
      </c>
      <c r="J5395" s="182" t="n">
        <v>12</v>
      </c>
      <c r="K5395" s="182" t="n">
        <v>0</v>
      </c>
      <c r="L5395" s="182" t="n">
        <v>12</v>
      </c>
      <c r="M5395" s="182" t="n">
        <v>0</v>
      </c>
      <c r="N5395" s="182" t="n">
        <v>0</v>
      </c>
      <c r="O5395" s="183" t="n">
        <v>0</v>
      </c>
      <c r="P5395" s="183" t="n">
        <v>0</v>
      </c>
      <c r="Q5395" s="184" t="n">
        <v>0</v>
      </c>
      <c r="R5395" s="184" t="n">
        <v>0</v>
      </c>
      <c r="S5395" s="183" t="n">
        <v>0</v>
      </c>
      <c r="T5395" s="183" t="n">
        <v>0</v>
      </c>
      <c r="U5395" s="182" t="n">
        <v>0</v>
      </c>
      <c r="V5395" s="182" t="n">
        <v>0</v>
      </c>
      <c r="W5395" s="182" t="n">
        <v>0</v>
      </c>
      <c r="X5395" s="182" t="n">
        <v>0</v>
      </c>
      <c r="Y5395" s="182" t="n">
        <v>0</v>
      </c>
      <c r="Z5395" s="182" t="n">
        <v>0</v>
      </c>
      <c r="AA5395" s="182" t="n">
        <v>0</v>
      </c>
      <c r="AB5395" s="182" t="n">
        <v>0</v>
      </c>
      <c r="AC5395" s="182" t="n">
        <v>0</v>
      </c>
      <c r="AD5395" s="182" t="n">
        <v>0</v>
      </c>
      <c r="AE5395" s="182" t="n">
        <v>0</v>
      </c>
      <c r="AF5395" s="182" t="n">
        <v>0</v>
      </c>
      <c r="AG5395" s="182" t="n">
        <v>0</v>
      </c>
      <c r="AH5395" s="182" t="n">
        <v>0</v>
      </c>
      <c r="AI5395" s="182" t="n">
        <v>0</v>
      </c>
      <c r="AJ5395" s="182" t="n">
        <v>0</v>
      </c>
      <c r="AK5395" s="182" t="n">
        <v>0</v>
      </c>
      <c r="AL5395" s="182" t="n">
        <v>0</v>
      </c>
      <c r="AM5395" s="182" t="n">
        <v>0</v>
      </c>
      <c r="AN5395" s="182" t="n">
        <v>0</v>
      </c>
    </row>
    <row r="5396">
      <c r="A5396" s="155" t="n">
        <v>46106</v>
      </c>
      <c r="B5396" s="156" t="inlineStr">
        <is>
          <t>NS</t>
        </is>
      </c>
      <c r="C5396" s="156" t="inlineStr">
        <is>
          <t>DZ-032</t>
        </is>
      </c>
      <c r="D5396" s="156" t="inlineStr">
        <is>
          <t>CAT</t>
        </is>
      </c>
      <c r="E5396" s="156" t="inlineStr">
        <is>
          <t>Bulldozer</t>
        </is>
      </c>
      <c r="F5396" s="156" t="inlineStr">
        <is>
          <t>Support Front Loading</t>
        </is>
      </c>
      <c r="G5396" s="182" t="n">
        <v>10.39</v>
      </c>
      <c r="H5396" s="182" t="n">
        <v>0</v>
      </c>
      <c r="I5396" s="182" t="n">
        <v>0.1</v>
      </c>
      <c r="J5396" s="182" t="n">
        <v>0.1</v>
      </c>
      <c r="K5396" s="182" t="n">
        <v>1.51</v>
      </c>
      <c r="L5396" s="182" t="n">
        <v>12</v>
      </c>
      <c r="M5396" s="182" t="n">
        <v>0</v>
      </c>
      <c r="N5396" s="182" t="n">
        <v>0</v>
      </c>
      <c r="O5396" s="183" t="n">
        <v>0</v>
      </c>
      <c r="P5396" s="183" t="n">
        <v>0</v>
      </c>
      <c r="Q5396" s="184" t="n">
        <v>0</v>
      </c>
      <c r="R5396" s="184" t="n">
        <v>0</v>
      </c>
      <c r="S5396" s="183" t="n">
        <v>0</v>
      </c>
      <c r="T5396" s="183" t="n">
        <v>0</v>
      </c>
      <c r="U5396" s="182" t="n">
        <v>0.03</v>
      </c>
      <c r="V5396" s="182" t="n">
        <v>0</v>
      </c>
      <c r="W5396" s="182" t="n">
        <v>0</v>
      </c>
      <c r="X5396" s="182" t="n">
        <v>1.37</v>
      </c>
      <c r="Y5396" s="182" t="n">
        <v>0</v>
      </c>
      <c r="Z5396" s="182" t="n">
        <v>0</v>
      </c>
      <c r="AA5396" s="182" t="n">
        <v>0</v>
      </c>
      <c r="AB5396" s="182" t="n">
        <v>0</v>
      </c>
      <c r="AC5396" s="182" t="n">
        <v>0</v>
      </c>
      <c r="AD5396" s="182" t="n">
        <v>0</v>
      </c>
      <c r="AE5396" s="182" t="n">
        <v>0</v>
      </c>
      <c r="AF5396" s="182" t="n">
        <v>0</v>
      </c>
      <c r="AG5396" s="182" t="n">
        <v>0</v>
      </c>
      <c r="AH5396" s="182" t="n">
        <v>0</v>
      </c>
      <c r="AI5396" s="182" t="n">
        <v>0</v>
      </c>
      <c r="AJ5396" s="182" t="n">
        <v>0</v>
      </c>
      <c r="AK5396" s="182" t="n">
        <v>0</v>
      </c>
      <c r="AL5396" s="182" t="n">
        <v>0</v>
      </c>
      <c r="AM5396" s="182" t="n">
        <v>0.11</v>
      </c>
      <c r="AN5396" s="182" t="n">
        <v>0</v>
      </c>
    </row>
    <row r="5397">
      <c r="A5397" s="155" t="n">
        <v>46106</v>
      </c>
      <c r="B5397" s="156" t="inlineStr">
        <is>
          <t>NS</t>
        </is>
      </c>
      <c r="C5397" s="156" t="inlineStr">
        <is>
          <t>DZ-031</t>
        </is>
      </c>
      <c r="D5397" s="156" t="inlineStr">
        <is>
          <t>CAT</t>
        </is>
      </c>
      <c r="E5397" s="156" t="inlineStr">
        <is>
          <t>Bulldozer</t>
        </is>
      </c>
      <c r="F5397" s="156" t="inlineStr"/>
      <c r="G5397" s="182" t="n">
        <v>0</v>
      </c>
      <c r="H5397" s="182" t="n">
        <v>0</v>
      </c>
      <c r="I5397" s="182" t="n">
        <v>12</v>
      </c>
      <c r="J5397" s="182" t="n">
        <v>12</v>
      </c>
      <c r="K5397" s="182" t="n">
        <v>0</v>
      </c>
      <c r="L5397" s="182" t="n">
        <v>12</v>
      </c>
      <c r="M5397" s="182" t="n">
        <v>0</v>
      </c>
      <c r="N5397" s="182" t="n">
        <v>0</v>
      </c>
      <c r="O5397" s="183" t="n">
        <v>0</v>
      </c>
      <c r="P5397" s="183" t="n">
        <v>0</v>
      </c>
      <c r="Q5397" s="184" t="n">
        <v>0</v>
      </c>
      <c r="R5397" s="184" t="n">
        <v>0</v>
      </c>
      <c r="S5397" s="183" t="n">
        <v>0</v>
      </c>
      <c r="T5397" s="183" t="n">
        <v>0</v>
      </c>
      <c r="U5397" s="182" t="n">
        <v>0</v>
      </c>
      <c r="V5397" s="182" t="n">
        <v>0</v>
      </c>
      <c r="W5397" s="182" t="n">
        <v>0</v>
      </c>
      <c r="X5397" s="182" t="n">
        <v>0</v>
      </c>
      <c r="Y5397" s="182" t="n">
        <v>0</v>
      </c>
      <c r="Z5397" s="182" t="n">
        <v>0</v>
      </c>
      <c r="AA5397" s="182" t="n">
        <v>0</v>
      </c>
      <c r="AB5397" s="182" t="n">
        <v>0</v>
      </c>
      <c r="AC5397" s="182" t="n">
        <v>0</v>
      </c>
      <c r="AD5397" s="182" t="n">
        <v>0</v>
      </c>
      <c r="AE5397" s="182" t="n">
        <v>0</v>
      </c>
      <c r="AF5397" s="182" t="n">
        <v>0</v>
      </c>
      <c r="AG5397" s="182" t="n">
        <v>0</v>
      </c>
      <c r="AH5397" s="182" t="n">
        <v>0</v>
      </c>
      <c r="AI5397" s="182" t="n">
        <v>0</v>
      </c>
      <c r="AJ5397" s="182" t="n">
        <v>0</v>
      </c>
      <c r="AK5397" s="182" t="n">
        <v>0</v>
      </c>
      <c r="AL5397" s="182" t="n">
        <v>0</v>
      </c>
      <c r="AM5397" s="182" t="n">
        <v>0</v>
      </c>
      <c r="AN5397" s="182" t="n">
        <v>0</v>
      </c>
    </row>
    <row r="5398">
      <c r="A5398" s="155" t="n">
        <v>46106</v>
      </c>
      <c r="B5398" s="156" t="inlineStr">
        <is>
          <t>NS</t>
        </is>
      </c>
      <c r="C5398" s="156" t="inlineStr">
        <is>
          <t>DZ-037</t>
        </is>
      </c>
      <c r="D5398" s="156" t="inlineStr">
        <is>
          <t>D 85 ESS-2</t>
        </is>
      </c>
      <c r="E5398" s="156" t="inlineStr">
        <is>
          <t>Bulldozer</t>
        </is>
      </c>
      <c r="F5398" s="156" t="inlineStr"/>
      <c r="G5398" s="182" t="n">
        <v>0</v>
      </c>
      <c r="H5398" s="182" t="n">
        <v>0</v>
      </c>
      <c r="I5398" s="182" t="n">
        <v>12</v>
      </c>
      <c r="J5398" s="182" t="n">
        <v>12</v>
      </c>
      <c r="K5398" s="182" t="n">
        <v>0</v>
      </c>
      <c r="L5398" s="182" t="n">
        <v>12</v>
      </c>
      <c r="M5398" s="182" t="n">
        <v>0</v>
      </c>
      <c r="N5398" s="182" t="n">
        <v>0</v>
      </c>
      <c r="O5398" s="183" t="n">
        <v>0</v>
      </c>
      <c r="P5398" s="183" t="n">
        <v>0</v>
      </c>
      <c r="Q5398" s="184" t="n">
        <v>0</v>
      </c>
      <c r="R5398" s="184" t="n">
        <v>0</v>
      </c>
      <c r="S5398" s="183" t="n">
        <v>0</v>
      </c>
      <c r="T5398" s="183" t="n">
        <v>0</v>
      </c>
      <c r="U5398" s="182" t="n">
        <v>0</v>
      </c>
      <c r="V5398" s="182" t="n">
        <v>0</v>
      </c>
      <c r="W5398" s="182" t="n">
        <v>0</v>
      </c>
      <c r="X5398" s="182" t="n">
        <v>0</v>
      </c>
      <c r="Y5398" s="182" t="n">
        <v>0</v>
      </c>
      <c r="Z5398" s="182" t="n">
        <v>0</v>
      </c>
      <c r="AA5398" s="182" t="n">
        <v>0</v>
      </c>
      <c r="AB5398" s="182" t="n">
        <v>0</v>
      </c>
      <c r="AC5398" s="182" t="n">
        <v>0</v>
      </c>
      <c r="AD5398" s="182" t="n">
        <v>0</v>
      </c>
      <c r="AE5398" s="182" t="n">
        <v>0</v>
      </c>
      <c r="AF5398" s="182" t="n">
        <v>0</v>
      </c>
      <c r="AG5398" s="182" t="n">
        <v>0</v>
      </c>
      <c r="AH5398" s="182" t="n">
        <v>0</v>
      </c>
      <c r="AI5398" s="182" t="n">
        <v>0</v>
      </c>
      <c r="AJ5398" s="182" t="n">
        <v>0</v>
      </c>
      <c r="AK5398" s="182" t="n">
        <v>0</v>
      </c>
      <c r="AL5398" s="182" t="n">
        <v>0</v>
      </c>
      <c r="AM5398" s="182" t="n">
        <v>0</v>
      </c>
      <c r="AN5398" s="182" t="n">
        <v>0</v>
      </c>
    </row>
    <row r="5399">
      <c r="A5399" s="155" t="n">
        <v>46106</v>
      </c>
      <c r="B5399" s="156" t="inlineStr">
        <is>
          <t>NS</t>
        </is>
      </c>
      <c r="C5399" s="156" t="inlineStr">
        <is>
          <t>DZ-036</t>
        </is>
      </c>
      <c r="D5399" s="156" t="inlineStr">
        <is>
          <t>D 85 ESS-2</t>
        </is>
      </c>
      <c r="E5399" s="156" t="inlineStr">
        <is>
          <t>Bulldozer</t>
        </is>
      </c>
      <c r="F5399" s="156" t="inlineStr"/>
      <c r="G5399" s="182" t="n">
        <v>0</v>
      </c>
      <c r="H5399" s="182" t="n">
        <v>0</v>
      </c>
      <c r="I5399" s="182" t="n">
        <v>0</v>
      </c>
      <c r="J5399" s="182" t="n">
        <v>0</v>
      </c>
      <c r="K5399" s="182" t="n">
        <v>12</v>
      </c>
      <c r="L5399" s="182" t="n">
        <v>12</v>
      </c>
      <c r="M5399" s="182" t="n">
        <v>0</v>
      </c>
      <c r="N5399" s="182" t="n">
        <v>0</v>
      </c>
      <c r="O5399" s="183" t="n">
        <v>0</v>
      </c>
      <c r="P5399" s="183" t="n">
        <v>0</v>
      </c>
      <c r="Q5399" s="184" t="n">
        <v>0</v>
      </c>
      <c r="R5399" s="184" t="n">
        <v>0</v>
      </c>
      <c r="S5399" s="183" t="n">
        <v>0</v>
      </c>
      <c r="T5399" s="183" t="n">
        <v>0</v>
      </c>
      <c r="U5399" s="182" t="n">
        <v>0</v>
      </c>
      <c r="V5399" s="182" t="n">
        <v>0</v>
      </c>
      <c r="W5399" s="182" t="n">
        <v>0</v>
      </c>
      <c r="X5399" s="182" t="n">
        <v>1</v>
      </c>
      <c r="Y5399" s="182" t="n">
        <v>0</v>
      </c>
      <c r="Z5399" s="182" t="n">
        <v>0</v>
      </c>
      <c r="AA5399" s="182" t="n">
        <v>0</v>
      </c>
      <c r="AB5399" s="182" t="n">
        <v>0</v>
      </c>
      <c r="AC5399" s="182" t="n">
        <v>0</v>
      </c>
      <c r="AD5399" s="182" t="n">
        <v>0</v>
      </c>
      <c r="AE5399" s="182" t="n">
        <v>0</v>
      </c>
      <c r="AF5399" s="182" t="n">
        <v>0</v>
      </c>
      <c r="AG5399" s="182" t="n">
        <v>0</v>
      </c>
      <c r="AH5399" s="182" t="n">
        <v>0</v>
      </c>
      <c r="AI5399" s="182" t="n">
        <v>0</v>
      </c>
      <c r="AJ5399" s="182" t="n">
        <v>0</v>
      </c>
      <c r="AK5399" s="182" t="n">
        <v>10.92</v>
      </c>
      <c r="AL5399" s="182" t="n">
        <v>0</v>
      </c>
      <c r="AM5399" s="182" t="n">
        <v>0.08</v>
      </c>
      <c r="AN5399" s="182" t="n">
        <v>0</v>
      </c>
    </row>
    <row r="5400">
      <c r="A5400" s="155" t="n">
        <v>46106</v>
      </c>
      <c r="B5400" s="156" t="inlineStr">
        <is>
          <t>NS</t>
        </is>
      </c>
      <c r="C5400" s="156" t="inlineStr">
        <is>
          <t>DZ-035</t>
        </is>
      </c>
      <c r="D5400" s="156" t="inlineStr">
        <is>
          <t>D 85 ESS-2</t>
        </is>
      </c>
      <c r="E5400" s="156" t="inlineStr">
        <is>
          <t>Bulldozer</t>
        </is>
      </c>
      <c r="F5400" s="156" t="inlineStr">
        <is>
          <t>Support Front Loading</t>
        </is>
      </c>
      <c r="G5400" s="182" t="n">
        <v>10.62</v>
      </c>
      <c r="H5400" s="182" t="n">
        <v>0</v>
      </c>
      <c r="I5400" s="182" t="n">
        <v>0.72</v>
      </c>
      <c r="J5400" s="182" t="n">
        <v>0.72</v>
      </c>
      <c r="K5400" s="182" t="n">
        <v>0.66</v>
      </c>
      <c r="L5400" s="182" t="n">
        <v>12</v>
      </c>
      <c r="M5400" s="182" t="n">
        <v>0</v>
      </c>
      <c r="N5400" s="182" t="n">
        <v>0</v>
      </c>
      <c r="O5400" s="183" t="n">
        <v>0</v>
      </c>
      <c r="P5400" s="183" t="n">
        <v>0</v>
      </c>
      <c r="Q5400" s="184" t="n">
        <v>0</v>
      </c>
      <c r="R5400" s="184" t="n">
        <v>0</v>
      </c>
      <c r="S5400" s="183" t="n">
        <v>0</v>
      </c>
      <c r="T5400" s="183" t="n">
        <v>0</v>
      </c>
      <c r="U5400" s="182" t="n">
        <v>0.06</v>
      </c>
      <c r="V5400" s="182" t="n">
        <v>0</v>
      </c>
      <c r="W5400" s="182" t="n">
        <v>0</v>
      </c>
      <c r="X5400" s="182" t="n">
        <v>0.5600000000000001</v>
      </c>
      <c r="Y5400" s="182" t="n">
        <v>0</v>
      </c>
      <c r="Z5400" s="182" t="n">
        <v>0</v>
      </c>
      <c r="AA5400" s="182" t="n">
        <v>0</v>
      </c>
      <c r="AB5400" s="182" t="n">
        <v>0</v>
      </c>
      <c r="AC5400" s="182" t="n">
        <v>0</v>
      </c>
      <c r="AD5400" s="182" t="n">
        <v>0</v>
      </c>
      <c r="AE5400" s="182" t="n">
        <v>0</v>
      </c>
      <c r="AF5400" s="182" t="n">
        <v>0</v>
      </c>
      <c r="AG5400" s="182" t="n">
        <v>0</v>
      </c>
      <c r="AH5400" s="182" t="n">
        <v>0</v>
      </c>
      <c r="AI5400" s="182" t="n">
        <v>0</v>
      </c>
      <c r="AJ5400" s="182" t="n">
        <v>0</v>
      </c>
      <c r="AK5400" s="182" t="n">
        <v>0</v>
      </c>
      <c r="AL5400" s="182" t="n">
        <v>0</v>
      </c>
      <c r="AM5400" s="182" t="n">
        <v>0.04</v>
      </c>
      <c r="AN5400" s="182" t="n">
        <v>0</v>
      </c>
    </row>
    <row r="5401">
      <c r="A5401" s="155" t="n">
        <v>46106</v>
      </c>
      <c r="B5401" s="156" t="inlineStr">
        <is>
          <t>NS</t>
        </is>
      </c>
      <c r="C5401" s="156" t="inlineStr">
        <is>
          <t>CP-042</t>
        </is>
      </c>
      <c r="D5401" s="156" t="inlineStr">
        <is>
          <t>SANY - Compactor</t>
        </is>
      </c>
      <c r="E5401" s="156" t="inlineStr">
        <is>
          <t>Compactor</t>
        </is>
      </c>
      <c r="F5401" s="156" t="inlineStr"/>
      <c r="G5401" s="182" t="n">
        <v>0</v>
      </c>
      <c r="H5401" s="182" t="n">
        <v>0</v>
      </c>
      <c r="I5401" s="182" t="n">
        <v>0</v>
      </c>
      <c r="J5401" s="182" t="n">
        <v>0</v>
      </c>
      <c r="K5401" s="182" t="n">
        <v>12</v>
      </c>
      <c r="L5401" s="182" t="n">
        <v>12</v>
      </c>
      <c r="M5401" s="182" t="n">
        <v>0</v>
      </c>
      <c r="N5401" s="182" t="n">
        <v>0</v>
      </c>
      <c r="O5401" s="183" t="n">
        <v>0</v>
      </c>
      <c r="P5401" s="183" t="n">
        <v>0</v>
      </c>
      <c r="Q5401" s="184" t="n">
        <v>0</v>
      </c>
      <c r="R5401" s="184" t="n">
        <v>0</v>
      </c>
      <c r="S5401" s="183" t="n">
        <v>0</v>
      </c>
      <c r="T5401" s="183" t="n">
        <v>0</v>
      </c>
      <c r="U5401" s="182" t="n">
        <v>0</v>
      </c>
      <c r="V5401" s="182" t="n">
        <v>0</v>
      </c>
      <c r="W5401" s="182" t="n">
        <v>0</v>
      </c>
      <c r="X5401" s="182" t="n">
        <v>1</v>
      </c>
      <c r="Y5401" s="182" t="n">
        <v>0</v>
      </c>
      <c r="Z5401" s="182" t="n">
        <v>0</v>
      </c>
      <c r="AA5401" s="182" t="n">
        <v>0</v>
      </c>
      <c r="AB5401" s="182" t="n">
        <v>0</v>
      </c>
      <c r="AC5401" s="182" t="n">
        <v>0</v>
      </c>
      <c r="AD5401" s="182" t="n">
        <v>0</v>
      </c>
      <c r="AE5401" s="182" t="n">
        <v>0</v>
      </c>
      <c r="AF5401" s="182" t="n">
        <v>0</v>
      </c>
      <c r="AG5401" s="182" t="n">
        <v>0</v>
      </c>
      <c r="AH5401" s="182" t="n">
        <v>0</v>
      </c>
      <c r="AI5401" s="182" t="n">
        <v>0</v>
      </c>
      <c r="AJ5401" s="182" t="n">
        <v>0</v>
      </c>
      <c r="AK5401" s="182" t="n">
        <v>10.92</v>
      </c>
      <c r="AL5401" s="182" t="n">
        <v>0</v>
      </c>
      <c r="AM5401" s="182" t="n">
        <v>0.08</v>
      </c>
      <c r="AN5401" s="182" t="n">
        <v>0</v>
      </c>
    </row>
    <row r="5402">
      <c r="A5402" s="155" t="n">
        <v>46106</v>
      </c>
      <c r="B5402" s="156" t="inlineStr">
        <is>
          <t>NS</t>
        </is>
      </c>
      <c r="C5402" s="156" t="inlineStr">
        <is>
          <t>CP-041</t>
        </is>
      </c>
      <c r="D5402" s="156" t="inlineStr">
        <is>
          <t>SANY - Compactor</t>
        </is>
      </c>
      <c r="E5402" s="156" t="inlineStr">
        <is>
          <t>Compactor</t>
        </is>
      </c>
      <c r="F5402" s="156" t="inlineStr"/>
      <c r="G5402" s="182" t="n">
        <v>0</v>
      </c>
      <c r="H5402" s="182" t="n">
        <v>0</v>
      </c>
      <c r="I5402" s="182" t="n">
        <v>0</v>
      </c>
      <c r="J5402" s="182" t="n">
        <v>0</v>
      </c>
      <c r="K5402" s="182" t="n">
        <v>12</v>
      </c>
      <c r="L5402" s="182" t="n">
        <v>12</v>
      </c>
      <c r="M5402" s="182" t="n">
        <v>0</v>
      </c>
      <c r="N5402" s="182" t="n">
        <v>0</v>
      </c>
      <c r="O5402" s="183" t="n">
        <v>0</v>
      </c>
      <c r="P5402" s="183" t="n">
        <v>0</v>
      </c>
      <c r="Q5402" s="184" t="n">
        <v>0</v>
      </c>
      <c r="R5402" s="184" t="n">
        <v>0</v>
      </c>
      <c r="S5402" s="183" t="n">
        <v>0</v>
      </c>
      <c r="T5402" s="183" t="n">
        <v>0</v>
      </c>
      <c r="U5402" s="182" t="n">
        <v>0</v>
      </c>
      <c r="V5402" s="182" t="n">
        <v>0</v>
      </c>
      <c r="W5402" s="182" t="n">
        <v>0</v>
      </c>
      <c r="X5402" s="182" t="n">
        <v>1</v>
      </c>
      <c r="Y5402" s="182" t="n">
        <v>0</v>
      </c>
      <c r="Z5402" s="182" t="n">
        <v>0</v>
      </c>
      <c r="AA5402" s="182" t="n">
        <v>0</v>
      </c>
      <c r="AB5402" s="182" t="n">
        <v>0</v>
      </c>
      <c r="AC5402" s="182" t="n">
        <v>0</v>
      </c>
      <c r="AD5402" s="182" t="n">
        <v>0</v>
      </c>
      <c r="AE5402" s="182" t="n">
        <v>0</v>
      </c>
      <c r="AF5402" s="182" t="n">
        <v>0</v>
      </c>
      <c r="AG5402" s="182" t="n">
        <v>0</v>
      </c>
      <c r="AH5402" s="182" t="n">
        <v>0</v>
      </c>
      <c r="AI5402" s="182" t="n">
        <v>0</v>
      </c>
      <c r="AJ5402" s="182" t="n">
        <v>0</v>
      </c>
      <c r="AK5402" s="182" t="n">
        <v>10.92</v>
      </c>
      <c r="AL5402" s="182" t="n">
        <v>0</v>
      </c>
      <c r="AM5402" s="182" t="n">
        <v>0.08</v>
      </c>
      <c r="AN5402" s="182" t="n">
        <v>0</v>
      </c>
    </row>
    <row r="5403">
      <c r="A5403" s="155" t="n">
        <v>46106</v>
      </c>
      <c r="B5403" s="156" t="inlineStr">
        <is>
          <t>NS</t>
        </is>
      </c>
      <c r="C5403" s="156" t="inlineStr">
        <is>
          <t>HT-418</t>
        </is>
      </c>
      <c r="D5403" s="156" t="inlineStr">
        <is>
          <t>SY430</t>
        </is>
      </c>
      <c r="E5403" s="156" t="inlineStr">
        <is>
          <t>DT Hauling</t>
        </is>
      </c>
      <c r="F5403" s="156" t="inlineStr"/>
      <c r="G5403" s="182" t="n">
        <v>0</v>
      </c>
      <c r="H5403" s="182" t="n">
        <v>0</v>
      </c>
      <c r="I5403" s="182" t="n">
        <v>0</v>
      </c>
      <c r="J5403" s="182" t="n">
        <v>0</v>
      </c>
      <c r="K5403" s="182" t="n">
        <v>12</v>
      </c>
      <c r="L5403" s="182" t="n">
        <v>12</v>
      </c>
      <c r="M5403" s="182" t="n">
        <v>0</v>
      </c>
      <c r="N5403" s="182" t="n">
        <v>0</v>
      </c>
      <c r="O5403" s="183" t="n">
        <v>0</v>
      </c>
      <c r="P5403" s="183" t="n">
        <v>0</v>
      </c>
      <c r="Q5403" s="184" t="n">
        <v>0</v>
      </c>
      <c r="R5403" s="184" t="n">
        <v>0</v>
      </c>
      <c r="S5403" s="183" t="n">
        <v>0</v>
      </c>
      <c r="T5403" s="183" t="n">
        <v>0</v>
      </c>
      <c r="U5403" s="182" t="n">
        <v>0</v>
      </c>
      <c r="V5403" s="182" t="n">
        <v>0</v>
      </c>
      <c r="W5403" s="182" t="n">
        <v>0</v>
      </c>
      <c r="X5403" s="182" t="n">
        <v>1</v>
      </c>
      <c r="Y5403" s="182" t="n">
        <v>0</v>
      </c>
      <c r="Z5403" s="182" t="n">
        <v>0</v>
      </c>
      <c r="AA5403" s="182" t="n">
        <v>0</v>
      </c>
      <c r="AB5403" s="182" t="n">
        <v>0</v>
      </c>
      <c r="AC5403" s="182" t="n">
        <v>0</v>
      </c>
      <c r="AD5403" s="182" t="n">
        <v>0</v>
      </c>
      <c r="AE5403" s="182" t="n">
        <v>0</v>
      </c>
      <c r="AF5403" s="182" t="n">
        <v>0</v>
      </c>
      <c r="AG5403" s="182" t="n">
        <v>0</v>
      </c>
      <c r="AH5403" s="182" t="n">
        <v>0</v>
      </c>
      <c r="AI5403" s="182" t="n">
        <v>0</v>
      </c>
      <c r="AJ5403" s="182" t="n">
        <v>0</v>
      </c>
      <c r="AK5403" s="182" t="n">
        <v>10.92</v>
      </c>
      <c r="AL5403" s="182" t="n">
        <v>0</v>
      </c>
      <c r="AM5403" s="182" t="n">
        <v>0.08</v>
      </c>
      <c r="AN5403" s="182" t="n">
        <v>0</v>
      </c>
    </row>
    <row r="5404">
      <c r="A5404" s="155" t="n">
        <v>46106</v>
      </c>
      <c r="B5404" s="156" t="inlineStr">
        <is>
          <t>NS</t>
        </is>
      </c>
      <c r="C5404" s="156" t="inlineStr">
        <is>
          <t>HT-404</t>
        </is>
      </c>
      <c r="D5404" s="156" t="inlineStr">
        <is>
          <t>SY430</t>
        </is>
      </c>
      <c r="E5404" s="156" t="inlineStr">
        <is>
          <t>DT Hauling</t>
        </is>
      </c>
      <c r="F5404" s="156" t="inlineStr"/>
      <c r="G5404" s="182" t="n">
        <v>0</v>
      </c>
      <c r="H5404" s="182" t="n">
        <v>0</v>
      </c>
      <c r="I5404" s="182" t="n">
        <v>0</v>
      </c>
      <c r="J5404" s="182" t="n">
        <v>0</v>
      </c>
      <c r="K5404" s="182" t="n">
        <v>12</v>
      </c>
      <c r="L5404" s="182" t="n">
        <v>12</v>
      </c>
      <c r="M5404" s="182" t="n">
        <v>0</v>
      </c>
      <c r="N5404" s="182" t="n">
        <v>0</v>
      </c>
      <c r="O5404" s="183" t="n">
        <v>0</v>
      </c>
      <c r="P5404" s="183" t="n">
        <v>0</v>
      </c>
      <c r="Q5404" s="184" t="n">
        <v>0</v>
      </c>
      <c r="R5404" s="184" t="n">
        <v>0</v>
      </c>
      <c r="S5404" s="183" t="n">
        <v>0</v>
      </c>
      <c r="T5404" s="183" t="n">
        <v>0</v>
      </c>
      <c r="U5404" s="182" t="n">
        <v>0</v>
      </c>
      <c r="V5404" s="182" t="n">
        <v>0</v>
      </c>
      <c r="W5404" s="182" t="n">
        <v>0</v>
      </c>
      <c r="X5404" s="182" t="n">
        <v>1</v>
      </c>
      <c r="Y5404" s="182" t="n">
        <v>0</v>
      </c>
      <c r="Z5404" s="182" t="n">
        <v>0</v>
      </c>
      <c r="AA5404" s="182" t="n">
        <v>0</v>
      </c>
      <c r="AB5404" s="182" t="n">
        <v>0</v>
      </c>
      <c r="AC5404" s="182" t="n">
        <v>0</v>
      </c>
      <c r="AD5404" s="182" t="n">
        <v>0</v>
      </c>
      <c r="AE5404" s="182" t="n">
        <v>0</v>
      </c>
      <c r="AF5404" s="182" t="n">
        <v>0</v>
      </c>
      <c r="AG5404" s="182" t="n">
        <v>0</v>
      </c>
      <c r="AH5404" s="182" t="n">
        <v>0</v>
      </c>
      <c r="AI5404" s="182" t="n">
        <v>0</v>
      </c>
      <c r="AJ5404" s="182" t="n">
        <v>0</v>
      </c>
      <c r="AK5404" s="182" t="n">
        <v>10.92</v>
      </c>
      <c r="AL5404" s="182" t="n">
        <v>0</v>
      </c>
      <c r="AM5404" s="182" t="n">
        <v>0.08</v>
      </c>
      <c r="AN5404" s="182" t="n">
        <v>0</v>
      </c>
    </row>
    <row r="5405">
      <c r="A5405" s="155" t="n">
        <v>46106</v>
      </c>
      <c r="B5405" s="156" t="inlineStr">
        <is>
          <t>NS</t>
        </is>
      </c>
      <c r="C5405" s="156" t="inlineStr">
        <is>
          <t>HT-415</t>
        </is>
      </c>
      <c r="D5405" s="156" t="inlineStr">
        <is>
          <t>SY430</t>
        </is>
      </c>
      <c r="E5405" s="156" t="inlineStr">
        <is>
          <t>DT Hauling</t>
        </is>
      </c>
      <c r="F5405" s="156" t="inlineStr"/>
      <c r="G5405" s="182" t="n">
        <v>0</v>
      </c>
      <c r="H5405" s="182" t="n">
        <v>0</v>
      </c>
      <c r="I5405" s="182" t="n">
        <v>12</v>
      </c>
      <c r="J5405" s="182" t="n">
        <v>12</v>
      </c>
      <c r="K5405" s="182" t="n">
        <v>0</v>
      </c>
      <c r="L5405" s="182" t="n">
        <v>12</v>
      </c>
      <c r="M5405" s="182" t="n">
        <v>0</v>
      </c>
      <c r="N5405" s="182" t="n">
        <v>0</v>
      </c>
      <c r="O5405" s="183" t="n">
        <v>0</v>
      </c>
      <c r="P5405" s="183" t="n">
        <v>0</v>
      </c>
      <c r="Q5405" s="184" t="n">
        <v>0</v>
      </c>
      <c r="R5405" s="184" t="n">
        <v>0</v>
      </c>
      <c r="S5405" s="183" t="n">
        <v>0</v>
      </c>
      <c r="T5405" s="183" t="n">
        <v>0</v>
      </c>
      <c r="U5405" s="182" t="n">
        <v>0</v>
      </c>
      <c r="V5405" s="182" t="n">
        <v>0</v>
      </c>
      <c r="W5405" s="182" t="n">
        <v>0</v>
      </c>
      <c r="X5405" s="182" t="n">
        <v>0</v>
      </c>
      <c r="Y5405" s="182" t="n">
        <v>0</v>
      </c>
      <c r="Z5405" s="182" t="n">
        <v>0</v>
      </c>
      <c r="AA5405" s="182" t="n">
        <v>0</v>
      </c>
      <c r="AB5405" s="182" t="n">
        <v>0</v>
      </c>
      <c r="AC5405" s="182" t="n">
        <v>0</v>
      </c>
      <c r="AD5405" s="182" t="n">
        <v>0</v>
      </c>
      <c r="AE5405" s="182" t="n">
        <v>0</v>
      </c>
      <c r="AF5405" s="182" t="n">
        <v>0</v>
      </c>
      <c r="AG5405" s="182" t="n">
        <v>0</v>
      </c>
      <c r="AH5405" s="182" t="n">
        <v>0</v>
      </c>
      <c r="AI5405" s="182" t="n">
        <v>0</v>
      </c>
      <c r="AJ5405" s="182" t="n">
        <v>0</v>
      </c>
      <c r="AK5405" s="182" t="n">
        <v>0</v>
      </c>
      <c r="AL5405" s="182" t="n">
        <v>0</v>
      </c>
      <c r="AM5405" s="182" t="n">
        <v>0</v>
      </c>
      <c r="AN5405" s="182" t="n">
        <v>0</v>
      </c>
    </row>
    <row r="5406">
      <c r="A5406" s="155" t="n">
        <v>46106</v>
      </c>
      <c r="B5406" s="156" t="inlineStr">
        <is>
          <t>NS</t>
        </is>
      </c>
      <c r="C5406" s="156" t="inlineStr">
        <is>
          <t>HT-406</t>
        </is>
      </c>
      <c r="D5406" s="156" t="inlineStr">
        <is>
          <t>SY430</t>
        </is>
      </c>
      <c r="E5406" s="156" t="inlineStr">
        <is>
          <t>DT Hauling</t>
        </is>
      </c>
      <c r="F5406" s="156" t="inlineStr"/>
      <c r="G5406" s="182" t="n">
        <v>0</v>
      </c>
      <c r="H5406" s="182" t="n">
        <v>0</v>
      </c>
      <c r="I5406" s="182" t="n">
        <v>0</v>
      </c>
      <c r="J5406" s="182" t="n">
        <v>0</v>
      </c>
      <c r="K5406" s="182" t="n">
        <v>12</v>
      </c>
      <c r="L5406" s="182" t="n">
        <v>12</v>
      </c>
      <c r="M5406" s="182" t="n">
        <v>0</v>
      </c>
      <c r="N5406" s="182" t="n">
        <v>0</v>
      </c>
      <c r="O5406" s="183" t="n">
        <v>0</v>
      </c>
      <c r="P5406" s="183" t="n">
        <v>0</v>
      </c>
      <c r="Q5406" s="184" t="n">
        <v>0</v>
      </c>
      <c r="R5406" s="184" t="n">
        <v>0</v>
      </c>
      <c r="S5406" s="183" t="n">
        <v>0</v>
      </c>
      <c r="T5406" s="183" t="n">
        <v>0</v>
      </c>
      <c r="U5406" s="182" t="n">
        <v>0</v>
      </c>
      <c r="V5406" s="182" t="n">
        <v>0</v>
      </c>
      <c r="W5406" s="182" t="n">
        <v>0</v>
      </c>
      <c r="X5406" s="182" t="n">
        <v>1</v>
      </c>
      <c r="Y5406" s="182" t="n">
        <v>0</v>
      </c>
      <c r="Z5406" s="182" t="n">
        <v>0</v>
      </c>
      <c r="AA5406" s="182" t="n">
        <v>0</v>
      </c>
      <c r="AB5406" s="182" t="n">
        <v>0</v>
      </c>
      <c r="AC5406" s="182" t="n">
        <v>0</v>
      </c>
      <c r="AD5406" s="182" t="n">
        <v>0</v>
      </c>
      <c r="AE5406" s="182" t="n">
        <v>0</v>
      </c>
      <c r="AF5406" s="182" t="n">
        <v>0</v>
      </c>
      <c r="AG5406" s="182" t="n">
        <v>0</v>
      </c>
      <c r="AH5406" s="182" t="n">
        <v>0</v>
      </c>
      <c r="AI5406" s="182" t="n">
        <v>0</v>
      </c>
      <c r="AJ5406" s="182" t="n">
        <v>0</v>
      </c>
      <c r="AK5406" s="182" t="n">
        <v>10.92</v>
      </c>
      <c r="AL5406" s="182" t="n">
        <v>0</v>
      </c>
      <c r="AM5406" s="182" t="n">
        <v>0.08</v>
      </c>
      <c r="AN5406" s="182" t="n">
        <v>0</v>
      </c>
    </row>
    <row r="5407">
      <c r="A5407" s="155" t="n">
        <v>46106</v>
      </c>
      <c r="B5407" s="156" t="inlineStr">
        <is>
          <t>NS</t>
        </is>
      </c>
      <c r="C5407" s="156" t="inlineStr">
        <is>
          <t>HT-405</t>
        </is>
      </c>
      <c r="D5407" s="156" t="inlineStr">
        <is>
          <t>SY430</t>
        </is>
      </c>
      <c r="E5407" s="156" t="inlineStr">
        <is>
          <t>DT Hauling</t>
        </is>
      </c>
      <c r="F5407" s="156" t="inlineStr"/>
      <c r="G5407" s="182" t="n">
        <v>0</v>
      </c>
      <c r="H5407" s="182" t="n">
        <v>0</v>
      </c>
      <c r="I5407" s="182" t="n">
        <v>12</v>
      </c>
      <c r="J5407" s="182" t="n">
        <v>12</v>
      </c>
      <c r="K5407" s="182" t="n">
        <v>0</v>
      </c>
      <c r="L5407" s="182" t="n">
        <v>12</v>
      </c>
      <c r="M5407" s="182" t="n">
        <v>0</v>
      </c>
      <c r="N5407" s="182" t="n">
        <v>0</v>
      </c>
      <c r="O5407" s="183" t="n">
        <v>0</v>
      </c>
      <c r="P5407" s="183" t="n">
        <v>0</v>
      </c>
      <c r="Q5407" s="184" t="n">
        <v>0</v>
      </c>
      <c r="R5407" s="184" t="n">
        <v>0</v>
      </c>
      <c r="S5407" s="183" t="n">
        <v>0</v>
      </c>
      <c r="T5407" s="183" t="n">
        <v>0</v>
      </c>
      <c r="U5407" s="182" t="n">
        <v>0</v>
      </c>
      <c r="V5407" s="182" t="n">
        <v>0</v>
      </c>
      <c r="W5407" s="182" t="n">
        <v>0</v>
      </c>
      <c r="X5407" s="182" t="n">
        <v>0</v>
      </c>
      <c r="Y5407" s="182" t="n">
        <v>0</v>
      </c>
      <c r="Z5407" s="182" t="n">
        <v>0</v>
      </c>
      <c r="AA5407" s="182" t="n">
        <v>0</v>
      </c>
      <c r="AB5407" s="182" t="n">
        <v>0</v>
      </c>
      <c r="AC5407" s="182" t="n">
        <v>0</v>
      </c>
      <c r="AD5407" s="182" t="n">
        <v>0</v>
      </c>
      <c r="AE5407" s="182" t="n">
        <v>0</v>
      </c>
      <c r="AF5407" s="182" t="n">
        <v>0</v>
      </c>
      <c r="AG5407" s="182" t="n">
        <v>0</v>
      </c>
      <c r="AH5407" s="182" t="n">
        <v>0</v>
      </c>
      <c r="AI5407" s="182" t="n">
        <v>0</v>
      </c>
      <c r="AJ5407" s="182" t="n">
        <v>0</v>
      </c>
      <c r="AK5407" s="182" t="n">
        <v>0</v>
      </c>
      <c r="AL5407" s="182" t="n">
        <v>0</v>
      </c>
      <c r="AM5407" s="182" t="n">
        <v>0</v>
      </c>
      <c r="AN5407" s="182" t="n">
        <v>0</v>
      </c>
    </row>
    <row r="5408">
      <c r="A5408" s="155" t="n">
        <v>46106</v>
      </c>
      <c r="B5408" s="156" t="inlineStr">
        <is>
          <t>NS</t>
        </is>
      </c>
      <c r="C5408" s="156" t="inlineStr">
        <is>
          <t>HT-417</t>
        </is>
      </c>
      <c r="D5408" s="156" t="inlineStr">
        <is>
          <t>SY430</t>
        </is>
      </c>
      <c r="E5408" s="156" t="inlineStr">
        <is>
          <t>DT Hauling</t>
        </is>
      </c>
      <c r="F5408" s="156" t="inlineStr"/>
      <c r="G5408" s="182" t="n">
        <v>0</v>
      </c>
      <c r="H5408" s="182" t="n">
        <v>0</v>
      </c>
      <c r="I5408" s="182" t="n">
        <v>0</v>
      </c>
      <c r="J5408" s="182" t="n">
        <v>0</v>
      </c>
      <c r="K5408" s="182" t="n">
        <v>12</v>
      </c>
      <c r="L5408" s="182" t="n">
        <v>12</v>
      </c>
      <c r="M5408" s="182" t="n">
        <v>0</v>
      </c>
      <c r="N5408" s="182" t="n">
        <v>0</v>
      </c>
      <c r="O5408" s="183" t="n">
        <v>0</v>
      </c>
      <c r="P5408" s="183" t="n">
        <v>0</v>
      </c>
      <c r="Q5408" s="184" t="n">
        <v>0</v>
      </c>
      <c r="R5408" s="184" t="n">
        <v>0</v>
      </c>
      <c r="S5408" s="183" t="n">
        <v>0</v>
      </c>
      <c r="T5408" s="183" t="n">
        <v>0</v>
      </c>
      <c r="U5408" s="182" t="n">
        <v>0</v>
      </c>
      <c r="V5408" s="182" t="n">
        <v>0</v>
      </c>
      <c r="W5408" s="182" t="n">
        <v>0</v>
      </c>
      <c r="X5408" s="182" t="n">
        <v>1</v>
      </c>
      <c r="Y5408" s="182" t="n">
        <v>0</v>
      </c>
      <c r="Z5408" s="182" t="n">
        <v>0</v>
      </c>
      <c r="AA5408" s="182" t="n">
        <v>0</v>
      </c>
      <c r="AB5408" s="182" t="n">
        <v>0</v>
      </c>
      <c r="AC5408" s="182" t="n">
        <v>0</v>
      </c>
      <c r="AD5408" s="182" t="n">
        <v>0</v>
      </c>
      <c r="AE5408" s="182" t="n">
        <v>0</v>
      </c>
      <c r="AF5408" s="182" t="n">
        <v>0</v>
      </c>
      <c r="AG5408" s="182" t="n">
        <v>0</v>
      </c>
      <c r="AH5408" s="182" t="n">
        <v>0</v>
      </c>
      <c r="AI5408" s="182" t="n">
        <v>0</v>
      </c>
      <c r="AJ5408" s="182" t="n">
        <v>0</v>
      </c>
      <c r="AK5408" s="182" t="n">
        <v>10.92</v>
      </c>
      <c r="AL5408" s="182" t="n">
        <v>0</v>
      </c>
      <c r="AM5408" s="182" t="n">
        <v>0.08</v>
      </c>
      <c r="AN5408" s="182" t="n">
        <v>0</v>
      </c>
    </row>
    <row r="5409">
      <c r="A5409" s="155" t="n">
        <v>46106</v>
      </c>
      <c r="B5409" s="156" t="inlineStr">
        <is>
          <t>NS</t>
        </is>
      </c>
      <c r="C5409" s="156" t="inlineStr">
        <is>
          <t>HT-401</t>
        </is>
      </c>
      <c r="D5409" s="156" t="inlineStr">
        <is>
          <t>SY430</t>
        </is>
      </c>
      <c r="E5409" s="156" t="inlineStr">
        <is>
          <t>DT Hauling</t>
        </is>
      </c>
      <c r="F5409" s="156" t="inlineStr"/>
      <c r="G5409" s="182" t="n">
        <v>0</v>
      </c>
      <c r="H5409" s="182" t="n">
        <v>0</v>
      </c>
      <c r="I5409" s="182" t="n">
        <v>0</v>
      </c>
      <c r="J5409" s="182" t="n">
        <v>0</v>
      </c>
      <c r="K5409" s="182" t="n">
        <v>12</v>
      </c>
      <c r="L5409" s="182" t="n">
        <v>12</v>
      </c>
      <c r="M5409" s="182" t="n">
        <v>0</v>
      </c>
      <c r="N5409" s="182" t="n">
        <v>0</v>
      </c>
      <c r="O5409" s="183" t="n">
        <v>0</v>
      </c>
      <c r="P5409" s="183" t="n">
        <v>0</v>
      </c>
      <c r="Q5409" s="184" t="n">
        <v>0</v>
      </c>
      <c r="R5409" s="184" t="n">
        <v>0</v>
      </c>
      <c r="S5409" s="183" t="n">
        <v>0</v>
      </c>
      <c r="T5409" s="183" t="n">
        <v>0</v>
      </c>
      <c r="U5409" s="182" t="n">
        <v>0</v>
      </c>
      <c r="V5409" s="182" t="n">
        <v>0</v>
      </c>
      <c r="W5409" s="182" t="n">
        <v>0</v>
      </c>
      <c r="X5409" s="182" t="n">
        <v>1</v>
      </c>
      <c r="Y5409" s="182" t="n">
        <v>0</v>
      </c>
      <c r="Z5409" s="182" t="n">
        <v>0</v>
      </c>
      <c r="AA5409" s="182" t="n">
        <v>0</v>
      </c>
      <c r="AB5409" s="182" t="n">
        <v>0</v>
      </c>
      <c r="AC5409" s="182" t="n">
        <v>0</v>
      </c>
      <c r="AD5409" s="182" t="n">
        <v>0</v>
      </c>
      <c r="AE5409" s="182" t="n">
        <v>0</v>
      </c>
      <c r="AF5409" s="182" t="n">
        <v>0</v>
      </c>
      <c r="AG5409" s="182" t="n">
        <v>0</v>
      </c>
      <c r="AH5409" s="182" t="n">
        <v>0</v>
      </c>
      <c r="AI5409" s="182" t="n">
        <v>0</v>
      </c>
      <c r="AJ5409" s="182" t="n">
        <v>0</v>
      </c>
      <c r="AK5409" s="182" t="n">
        <v>10.92</v>
      </c>
      <c r="AL5409" s="182" t="n">
        <v>0</v>
      </c>
      <c r="AM5409" s="182" t="n">
        <v>0.08</v>
      </c>
      <c r="AN5409" s="182" t="n">
        <v>0</v>
      </c>
    </row>
    <row r="5410">
      <c r="A5410" s="155" t="n">
        <v>46106</v>
      </c>
      <c r="B5410" s="156" t="inlineStr">
        <is>
          <t>NS</t>
        </is>
      </c>
      <c r="C5410" s="156" t="inlineStr">
        <is>
          <t>HT-410</t>
        </is>
      </c>
      <c r="D5410" s="156" t="inlineStr">
        <is>
          <t>SY430</t>
        </is>
      </c>
      <c r="E5410" s="156" t="inlineStr">
        <is>
          <t>DT Hauling</t>
        </is>
      </c>
      <c r="F5410" s="156" t="inlineStr"/>
      <c r="G5410" s="182" t="n">
        <v>0</v>
      </c>
      <c r="H5410" s="182" t="n">
        <v>0</v>
      </c>
      <c r="I5410" s="182" t="n">
        <v>0</v>
      </c>
      <c r="J5410" s="182" t="n">
        <v>0</v>
      </c>
      <c r="K5410" s="182" t="n">
        <v>12</v>
      </c>
      <c r="L5410" s="182" t="n">
        <v>12</v>
      </c>
      <c r="M5410" s="182" t="n">
        <v>0</v>
      </c>
      <c r="N5410" s="182" t="n">
        <v>0</v>
      </c>
      <c r="O5410" s="183" t="n">
        <v>0</v>
      </c>
      <c r="P5410" s="183" t="n">
        <v>0</v>
      </c>
      <c r="Q5410" s="184" t="n">
        <v>0</v>
      </c>
      <c r="R5410" s="184" t="n">
        <v>0</v>
      </c>
      <c r="S5410" s="183" t="n">
        <v>0</v>
      </c>
      <c r="T5410" s="183" t="n">
        <v>0</v>
      </c>
      <c r="U5410" s="182" t="n">
        <v>0</v>
      </c>
      <c r="V5410" s="182" t="n">
        <v>0</v>
      </c>
      <c r="W5410" s="182" t="n">
        <v>0</v>
      </c>
      <c r="X5410" s="182" t="n">
        <v>1</v>
      </c>
      <c r="Y5410" s="182" t="n">
        <v>0</v>
      </c>
      <c r="Z5410" s="182" t="n">
        <v>0</v>
      </c>
      <c r="AA5410" s="182" t="n">
        <v>0</v>
      </c>
      <c r="AB5410" s="182" t="n">
        <v>0</v>
      </c>
      <c r="AC5410" s="182" t="n">
        <v>0</v>
      </c>
      <c r="AD5410" s="182" t="n">
        <v>0</v>
      </c>
      <c r="AE5410" s="182" t="n">
        <v>0</v>
      </c>
      <c r="AF5410" s="182" t="n">
        <v>0</v>
      </c>
      <c r="AG5410" s="182" t="n">
        <v>0</v>
      </c>
      <c r="AH5410" s="182" t="n">
        <v>0</v>
      </c>
      <c r="AI5410" s="182" t="n">
        <v>0</v>
      </c>
      <c r="AJ5410" s="182" t="n">
        <v>0</v>
      </c>
      <c r="AK5410" s="182" t="n">
        <v>10.92</v>
      </c>
      <c r="AL5410" s="182" t="n">
        <v>0</v>
      </c>
      <c r="AM5410" s="182" t="n">
        <v>0.08</v>
      </c>
      <c r="AN5410" s="182" t="n">
        <v>0</v>
      </c>
    </row>
    <row r="5411">
      <c r="A5411" s="155" t="n">
        <v>46106</v>
      </c>
      <c r="B5411" s="156" t="inlineStr">
        <is>
          <t>NS</t>
        </is>
      </c>
      <c r="C5411" s="156" t="inlineStr">
        <is>
          <t>HT-402</t>
        </is>
      </c>
      <c r="D5411" s="156" t="inlineStr">
        <is>
          <t>SY430</t>
        </is>
      </c>
      <c r="E5411" s="156" t="inlineStr">
        <is>
          <t>DT Hauling</t>
        </is>
      </c>
      <c r="F5411" s="156" t="inlineStr"/>
      <c r="G5411" s="182" t="n">
        <v>0</v>
      </c>
      <c r="H5411" s="182" t="n">
        <v>0</v>
      </c>
      <c r="I5411" s="182" t="n">
        <v>0</v>
      </c>
      <c r="J5411" s="182" t="n">
        <v>0</v>
      </c>
      <c r="K5411" s="182" t="n">
        <v>12</v>
      </c>
      <c r="L5411" s="182" t="n">
        <v>12</v>
      </c>
      <c r="M5411" s="182" t="n">
        <v>0</v>
      </c>
      <c r="N5411" s="182" t="n">
        <v>0</v>
      </c>
      <c r="O5411" s="183" t="n">
        <v>0</v>
      </c>
      <c r="P5411" s="183" t="n">
        <v>0</v>
      </c>
      <c r="Q5411" s="184" t="n">
        <v>0</v>
      </c>
      <c r="R5411" s="184" t="n">
        <v>0</v>
      </c>
      <c r="S5411" s="183" t="n">
        <v>0</v>
      </c>
      <c r="T5411" s="183" t="n">
        <v>0</v>
      </c>
      <c r="U5411" s="182" t="n">
        <v>0</v>
      </c>
      <c r="V5411" s="182" t="n">
        <v>0</v>
      </c>
      <c r="W5411" s="182" t="n">
        <v>0</v>
      </c>
      <c r="X5411" s="182" t="n">
        <v>1</v>
      </c>
      <c r="Y5411" s="182" t="n">
        <v>0</v>
      </c>
      <c r="Z5411" s="182" t="n">
        <v>0</v>
      </c>
      <c r="AA5411" s="182" t="n">
        <v>0</v>
      </c>
      <c r="AB5411" s="182" t="n">
        <v>0</v>
      </c>
      <c r="AC5411" s="182" t="n">
        <v>0</v>
      </c>
      <c r="AD5411" s="182" t="n">
        <v>0</v>
      </c>
      <c r="AE5411" s="182" t="n">
        <v>0</v>
      </c>
      <c r="AF5411" s="182" t="n">
        <v>0</v>
      </c>
      <c r="AG5411" s="182" t="n">
        <v>0</v>
      </c>
      <c r="AH5411" s="182" t="n">
        <v>0</v>
      </c>
      <c r="AI5411" s="182" t="n">
        <v>0</v>
      </c>
      <c r="AJ5411" s="182" t="n">
        <v>0</v>
      </c>
      <c r="AK5411" s="182" t="n">
        <v>10.92</v>
      </c>
      <c r="AL5411" s="182" t="n">
        <v>0</v>
      </c>
      <c r="AM5411" s="182" t="n">
        <v>0.08</v>
      </c>
      <c r="AN5411" s="182" t="n">
        <v>0</v>
      </c>
    </row>
    <row r="5412">
      <c r="A5412" s="155" t="n">
        <v>46106</v>
      </c>
      <c r="B5412" s="156" t="inlineStr">
        <is>
          <t>NS</t>
        </is>
      </c>
      <c r="C5412" s="156" t="inlineStr">
        <is>
          <t>HT-419</t>
        </is>
      </c>
      <c r="D5412" s="156" t="inlineStr">
        <is>
          <t>SY430</t>
        </is>
      </c>
      <c r="E5412" s="156" t="inlineStr">
        <is>
          <t>DT Hauling</t>
        </is>
      </c>
      <c r="F5412" s="156" t="inlineStr"/>
      <c r="G5412" s="182" t="n">
        <v>0</v>
      </c>
      <c r="H5412" s="182" t="n">
        <v>0</v>
      </c>
      <c r="I5412" s="182" t="n">
        <v>12</v>
      </c>
      <c r="J5412" s="182" t="n">
        <v>12</v>
      </c>
      <c r="K5412" s="182" t="n">
        <v>0</v>
      </c>
      <c r="L5412" s="182" t="n">
        <v>12</v>
      </c>
      <c r="M5412" s="182" t="n">
        <v>0</v>
      </c>
      <c r="N5412" s="182" t="n">
        <v>0</v>
      </c>
      <c r="O5412" s="183" t="n">
        <v>0</v>
      </c>
      <c r="P5412" s="183" t="n">
        <v>0</v>
      </c>
      <c r="Q5412" s="184" t="n">
        <v>0</v>
      </c>
      <c r="R5412" s="184" t="n">
        <v>0</v>
      </c>
      <c r="S5412" s="183" t="n">
        <v>0</v>
      </c>
      <c r="T5412" s="183" t="n">
        <v>0</v>
      </c>
      <c r="U5412" s="182" t="n">
        <v>0</v>
      </c>
      <c r="V5412" s="182" t="n">
        <v>0</v>
      </c>
      <c r="W5412" s="182" t="n">
        <v>0</v>
      </c>
      <c r="X5412" s="182" t="n">
        <v>0</v>
      </c>
      <c r="Y5412" s="182" t="n">
        <v>0</v>
      </c>
      <c r="Z5412" s="182" t="n">
        <v>0</v>
      </c>
      <c r="AA5412" s="182" t="n">
        <v>0</v>
      </c>
      <c r="AB5412" s="182" t="n">
        <v>0</v>
      </c>
      <c r="AC5412" s="182" t="n">
        <v>0</v>
      </c>
      <c r="AD5412" s="182" t="n">
        <v>0</v>
      </c>
      <c r="AE5412" s="182" t="n">
        <v>0</v>
      </c>
      <c r="AF5412" s="182" t="n">
        <v>0</v>
      </c>
      <c r="AG5412" s="182" t="n">
        <v>0</v>
      </c>
      <c r="AH5412" s="182" t="n">
        <v>0</v>
      </c>
      <c r="AI5412" s="182" t="n">
        <v>0</v>
      </c>
      <c r="AJ5412" s="182" t="n">
        <v>0</v>
      </c>
      <c r="AK5412" s="182" t="n">
        <v>0</v>
      </c>
      <c r="AL5412" s="182" t="n">
        <v>0</v>
      </c>
      <c r="AM5412" s="182" t="n">
        <v>0</v>
      </c>
      <c r="AN5412" s="182" t="n">
        <v>0</v>
      </c>
    </row>
    <row r="5413">
      <c r="A5413" s="155" t="n">
        <v>46106</v>
      </c>
      <c r="B5413" s="156" t="inlineStr">
        <is>
          <t>NS</t>
        </is>
      </c>
      <c r="C5413" s="156" t="inlineStr">
        <is>
          <t>HT-416</t>
        </is>
      </c>
      <c r="D5413" s="156" t="inlineStr">
        <is>
          <t>SY430</t>
        </is>
      </c>
      <c r="E5413" s="156" t="inlineStr">
        <is>
          <t>DT Hauling</t>
        </is>
      </c>
      <c r="F5413" s="156" t="inlineStr"/>
      <c r="G5413" s="182" t="n">
        <v>0</v>
      </c>
      <c r="H5413" s="182" t="n">
        <v>0</v>
      </c>
      <c r="I5413" s="182" t="n">
        <v>0</v>
      </c>
      <c r="J5413" s="182" t="n">
        <v>0</v>
      </c>
      <c r="K5413" s="182" t="n">
        <v>12</v>
      </c>
      <c r="L5413" s="182" t="n">
        <v>12</v>
      </c>
      <c r="M5413" s="182" t="n">
        <v>0</v>
      </c>
      <c r="N5413" s="182" t="n">
        <v>0</v>
      </c>
      <c r="O5413" s="183" t="n">
        <v>0</v>
      </c>
      <c r="P5413" s="183" t="n">
        <v>0</v>
      </c>
      <c r="Q5413" s="184" t="n">
        <v>0</v>
      </c>
      <c r="R5413" s="184" t="n">
        <v>0</v>
      </c>
      <c r="S5413" s="183" t="n">
        <v>0</v>
      </c>
      <c r="T5413" s="183" t="n">
        <v>0</v>
      </c>
      <c r="U5413" s="182" t="n">
        <v>0</v>
      </c>
      <c r="V5413" s="182" t="n">
        <v>0</v>
      </c>
      <c r="W5413" s="182" t="n">
        <v>0</v>
      </c>
      <c r="X5413" s="182" t="n">
        <v>1</v>
      </c>
      <c r="Y5413" s="182" t="n">
        <v>0</v>
      </c>
      <c r="Z5413" s="182" t="n">
        <v>0</v>
      </c>
      <c r="AA5413" s="182" t="n">
        <v>0</v>
      </c>
      <c r="AB5413" s="182" t="n">
        <v>0</v>
      </c>
      <c r="AC5413" s="182" t="n">
        <v>0</v>
      </c>
      <c r="AD5413" s="182" t="n">
        <v>0</v>
      </c>
      <c r="AE5413" s="182" t="n">
        <v>0</v>
      </c>
      <c r="AF5413" s="182" t="n">
        <v>0</v>
      </c>
      <c r="AG5413" s="182" t="n">
        <v>0</v>
      </c>
      <c r="AH5413" s="182" t="n">
        <v>0</v>
      </c>
      <c r="AI5413" s="182" t="n">
        <v>0</v>
      </c>
      <c r="AJ5413" s="182" t="n">
        <v>0</v>
      </c>
      <c r="AK5413" s="182" t="n">
        <v>10.92</v>
      </c>
      <c r="AL5413" s="182" t="n">
        <v>0</v>
      </c>
      <c r="AM5413" s="182" t="n">
        <v>0.08</v>
      </c>
      <c r="AN5413" s="182" t="n">
        <v>0</v>
      </c>
    </row>
    <row r="5414">
      <c r="A5414" s="155" t="n">
        <v>46106</v>
      </c>
      <c r="B5414" s="156" t="inlineStr">
        <is>
          <t>NS</t>
        </is>
      </c>
      <c r="C5414" s="156" t="inlineStr">
        <is>
          <t>HT-420</t>
        </is>
      </c>
      <c r="D5414" s="156" t="inlineStr">
        <is>
          <t>SY430</t>
        </is>
      </c>
      <c r="E5414" s="156" t="inlineStr">
        <is>
          <t>DT Hauling</t>
        </is>
      </c>
      <c r="F5414" s="156" t="inlineStr"/>
      <c r="G5414" s="182" t="n">
        <v>0</v>
      </c>
      <c r="H5414" s="182" t="n">
        <v>0</v>
      </c>
      <c r="I5414" s="182" t="n">
        <v>0</v>
      </c>
      <c r="J5414" s="182" t="n">
        <v>0</v>
      </c>
      <c r="K5414" s="182" t="n">
        <v>12</v>
      </c>
      <c r="L5414" s="182" t="n">
        <v>12</v>
      </c>
      <c r="M5414" s="182" t="n">
        <v>0</v>
      </c>
      <c r="N5414" s="182" t="n">
        <v>0</v>
      </c>
      <c r="O5414" s="183" t="n">
        <v>0</v>
      </c>
      <c r="P5414" s="183" t="n">
        <v>0</v>
      </c>
      <c r="Q5414" s="184" t="n">
        <v>0</v>
      </c>
      <c r="R5414" s="184" t="n">
        <v>0</v>
      </c>
      <c r="S5414" s="183" t="n">
        <v>0</v>
      </c>
      <c r="T5414" s="183" t="n">
        <v>0</v>
      </c>
      <c r="U5414" s="182" t="n">
        <v>0</v>
      </c>
      <c r="V5414" s="182" t="n">
        <v>0</v>
      </c>
      <c r="W5414" s="182" t="n">
        <v>0</v>
      </c>
      <c r="X5414" s="182" t="n">
        <v>1</v>
      </c>
      <c r="Y5414" s="182" t="n">
        <v>0</v>
      </c>
      <c r="Z5414" s="182" t="n">
        <v>0</v>
      </c>
      <c r="AA5414" s="182" t="n">
        <v>0</v>
      </c>
      <c r="AB5414" s="182" t="n">
        <v>0</v>
      </c>
      <c r="AC5414" s="182" t="n">
        <v>0</v>
      </c>
      <c r="AD5414" s="182" t="n">
        <v>0</v>
      </c>
      <c r="AE5414" s="182" t="n">
        <v>0</v>
      </c>
      <c r="AF5414" s="182" t="n">
        <v>0</v>
      </c>
      <c r="AG5414" s="182" t="n">
        <v>0</v>
      </c>
      <c r="AH5414" s="182" t="n">
        <v>0</v>
      </c>
      <c r="AI5414" s="182" t="n">
        <v>0</v>
      </c>
      <c r="AJ5414" s="182" t="n">
        <v>0</v>
      </c>
      <c r="AK5414" s="182" t="n">
        <v>10.92</v>
      </c>
      <c r="AL5414" s="182" t="n">
        <v>0</v>
      </c>
      <c r="AM5414" s="182" t="n">
        <v>0.08</v>
      </c>
      <c r="AN5414" s="182" t="n">
        <v>0</v>
      </c>
    </row>
    <row r="5415">
      <c r="A5415" s="155" t="n">
        <v>46106</v>
      </c>
      <c r="B5415" s="156" t="inlineStr">
        <is>
          <t>NS</t>
        </is>
      </c>
      <c r="C5415" s="156" t="inlineStr">
        <is>
          <t>HT-403</t>
        </is>
      </c>
      <c r="D5415" s="156" t="inlineStr">
        <is>
          <t>SY430</t>
        </is>
      </c>
      <c r="E5415" s="156" t="inlineStr">
        <is>
          <t>DT Hauling</t>
        </is>
      </c>
      <c r="F5415" s="156" t="inlineStr"/>
      <c r="G5415" s="182" t="n">
        <v>0</v>
      </c>
      <c r="H5415" s="182" t="n">
        <v>0</v>
      </c>
      <c r="I5415" s="182" t="n">
        <v>0</v>
      </c>
      <c r="J5415" s="182" t="n">
        <v>0</v>
      </c>
      <c r="K5415" s="182" t="n">
        <v>12</v>
      </c>
      <c r="L5415" s="182" t="n">
        <v>12</v>
      </c>
      <c r="M5415" s="182" t="n">
        <v>0</v>
      </c>
      <c r="N5415" s="182" t="n">
        <v>0</v>
      </c>
      <c r="O5415" s="183" t="n">
        <v>0</v>
      </c>
      <c r="P5415" s="183" t="n">
        <v>0</v>
      </c>
      <c r="Q5415" s="184" t="n">
        <v>0</v>
      </c>
      <c r="R5415" s="184" t="n">
        <v>0</v>
      </c>
      <c r="S5415" s="183" t="n">
        <v>0</v>
      </c>
      <c r="T5415" s="183" t="n">
        <v>0</v>
      </c>
      <c r="U5415" s="182" t="n">
        <v>0</v>
      </c>
      <c r="V5415" s="182" t="n">
        <v>0</v>
      </c>
      <c r="W5415" s="182" t="n">
        <v>0</v>
      </c>
      <c r="X5415" s="182" t="n">
        <v>1</v>
      </c>
      <c r="Y5415" s="182" t="n">
        <v>0</v>
      </c>
      <c r="Z5415" s="182" t="n">
        <v>0</v>
      </c>
      <c r="AA5415" s="182" t="n">
        <v>0</v>
      </c>
      <c r="AB5415" s="182" t="n">
        <v>0</v>
      </c>
      <c r="AC5415" s="182" t="n">
        <v>0</v>
      </c>
      <c r="AD5415" s="182" t="n">
        <v>0</v>
      </c>
      <c r="AE5415" s="182" t="n">
        <v>0</v>
      </c>
      <c r="AF5415" s="182" t="n">
        <v>0</v>
      </c>
      <c r="AG5415" s="182" t="n">
        <v>0</v>
      </c>
      <c r="AH5415" s="182" t="n">
        <v>0</v>
      </c>
      <c r="AI5415" s="182" t="n">
        <v>0</v>
      </c>
      <c r="AJ5415" s="182" t="n">
        <v>0</v>
      </c>
      <c r="AK5415" s="182" t="n">
        <v>10.92</v>
      </c>
      <c r="AL5415" s="182" t="n">
        <v>0</v>
      </c>
      <c r="AM5415" s="182" t="n">
        <v>0.08</v>
      </c>
      <c r="AN5415" s="182" t="n">
        <v>0</v>
      </c>
    </row>
    <row r="5416">
      <c r="A5416" s="155" t="n">
        <v>46106</v>
      </c>
      <c r="B5416" s="156" t="inlineStr">
        <is>
          <t>NS</t>
        </is>
      </c>
      <c r="C5416" s="156" t="inlineStr">
        <is>
          <t>HT-408</t>
        </is>
      </c>
      <c r="D5416" s="156" t="inlineStr">
        <is>
          <t>SY430</t>
        </is>
      </c>
      <c r="E5416" s="156" t="inlineStr">
        <is>
          <t>DT Hauling</t>
        </is>
      </c>
      <c r="F5416" s="156" t="inlineStr"/>
      <c r="G5416" s="182" t="n">
        <v>0</v>
      </c>
      <c r="H5416" s="182" t="n">
        <v>0</v>
      </c>
      <c r="I5416" s="182" t="n">
        <v>0</v>
      </c>
      <c r="J5416" s="182" t="n">
        <v>0</v>
      </c>
      <c r="K5416" s="182" t="n">
        <v>12</v>
      </c>
      <c r="L5416" s="182" t="n">
        <v>12</v>
      </c>
      <c r="M5416" s="182" t="n">
        <v>0</v>
      </c>
      <c r="N5416" s="182" t="n">
        <v>0</v>
      </c>
      <c r="O5416" s="183" t="n">
        <v>0</v>
      </c>
      <c r="P5416" s="183" t="n">
        <v>0</v>
      </c>
      <c r="Q5416" s="184" t="n">
        <v>0</v>
      </c>
      <c r="R5416" s="184" t="n">
        <v>0</v>
      </c>
      <c r="S5416" s="183" t="n">
        <v>0</v>
      </c>
      <c r="T5416" s="183" t="n">
        <v>0</v>
      </c>
      <c r="U5416" s="182" t="n">
        <v>0</v>
      </c>
      <c r="V5416" s="182" t="n">
        <v>0</v>
      </c>
      <c r="W5416" s="182" t="n">
        <v>0</v>
      </c>
      <c r="X5416" s="182" t="n">
        <v>1</v>
      </c>
      <c r="Y5416" s="182" t="n">
        <v>0</v>
      </c>
      <c r="Z5416" s="182" t="n">
        <v>0</v>
      </c>
      <c r="AA5416" s="182" t="n">
        <v>0</v>
      </c>
      <c r="AB5416" s="182" t="n">
        <v>0</v>
      </c>
      <c r="AC5416" s="182" t="n">
        <v>0</v>
      </c>
      <c r="AD5416" s="182" t="n">
        <v>0</v>
      </c>
      <c r="AE5416" s="182" t="n">
        <v>0</v>
      </c>
      <c r="AF5416" s="182" t="n">
        <v>0</v>
      </c>
      <c r="AG5416" s="182" t="n">
        <v>0</v>
      </c>
      <c r="AH5416" s="182" t="n">
        <v>0</v>
      </c>
      <c r="AI5416" s="182" t="n">
        <v>0</v>
      </c>
      <c r="AJ5416" s="182" t="n">
        <v>0</v>
      </c>
      <c r="AK5416" s="182" t="n">
        <v>10.92</v>
      </c>
      <c r="AL5416" s="182" t="n">
        <v>0</v>
      </c>
      <c r="AM5416" s="182" t="n">
        <v>0.08</v>
      </c>
      <c r="AN5416" s="182" t="n">
        <v>0</v>
      </c>
    </row>
    <row r="5417">
      <c r="A5417" s="155" t="n">
        <v>46106</v>
      </c>
      <c r="B5417" s="156" t="inlineStr">
        <is>
          <t>NS</t>
        </is>
      </c>
      <c r="C5417" s="156" t="inlineStr">
        <is>
          <t>HT-412</t>
        </is>
      </c>
      <c r="D5417" s="156" t="inlineStr">
        <is>
          <t>SY430</t>
        </is>
      </c>
      <c r="E5417" s="156" t="inlineStr">
        <is>
          <t>DT Hauling</t>
        </is>
      </c>
      <c r="F5417" s="156" t="inlineStr"/>
      <c r="G5417" s="182" t="n">
        <v>0</v>
      </c>
      <c r="H5417" s="182" t="n">
        <v>0</v>
      </c>
      <c r="I5417" s="182" t="n">
        <v>0</v>
      </c>
      <c r="J5417" s="182" t="n">
        <v>0</v>
      </c>
      <c r="K5417" s="182" t="n">
        <v>12</v>
      </c>
      <c r="L5417" s="182" t="n">
        <v>12</v>
      </c>
      <c r="M5417" s="182" t="n">
        <v>0</v>
      </c>
      <c r="N5417" s="182" t="n">
        <v>0</v>
      </c>
      <c r="O5417" s="183" t="n">
        <v>0</v>
      </c>
      <c r="P5417" s="183" t="n">
        <v>0</v>
      </c>
      <c r="Q5417" s="184" t="n">
        <v>0</v>
      </c>
      <c r="R5417" s="184" t="n">
        <v>0</v>
      </c>
      <c r="S5417" s="183" t="n">
        <v>0</v>
      </c>
      <c r="T5417" s="183" t="n">
        <v>0</v>
      </c>
      <c r="U5417" s="182" t="n">
        <v>0</v>
      </c>
      <c r="V5417" s="182" t="n">
        <v>0</v>
      </c>
      <c r="W5417" s="182" t="n">
        <v>0</v>
      </c>
      <c r="X5417" s="182" t="n">
        <v>1</v>
      </c>
      <c r="Y5417" s="182" t="n">
        <v>0</v>
      </c>
      <c r="Z5417" s="182" t="n">
        <v>0</v>
      </c>
      <c r="AA5417" s="182" t="n">
        <v>0</v>
      </c>
      <c r="AB5417" s="182" t="n">
        <v>0</v>
      </c>
      <c r="AC5417" s="182" t="n">
        <v>0</v>
      </c>
      <c r="AD5417" s="182" t="n">
        <v>0</v>
      </c>
      <c r="AE5417" s="182" t="n">
        <v>0</v>
      </c>
      <c r="AF5417" s="182" t="n">
        <v>0</v>
      </c>
      <c r="AG5417" s="182" t="n">
        <v>0</v>
      </c>
      <c r="AH5417" s="182" t="n">
        <v>0</v>
      </c>
      <c r="AI5417" s="182" t="n">
        <v>0</v>
      </c>
      <c r="AJ5417" s="182" t="n">
        <v>0</v>
      </c>
      <c r="AK5417" s="182" t="n">
        <v>10.92</v>
      </c>
      <c r="AL5417" s="182" t="n">
        <v>0</v>
      </c>
      <c r="AM5417" s="182" t="n">
        <v>0.08</v>
      </c>
      <c r="AN5417" s="182" t="n">
        <v>0</v>
      </c>
    </row>
    <row r="5418">
      <c r="A5418" s="155" t="n">
        <v>46106</v>
      </c>
      <c r="B5418" s="156" t="inlineStr">
        <is>
          <t>NS</t>
        </is>
      </c>
      <c r="C5418" s="156" t="inlineStr">
        <is>
          <t>HT-413</t>
        </is>
      </c>
      <c r="D5418" s="156" t="inlineStr">
        <is>
          <t>SY430</t>
        </is>
      </c>
      <c r="E5418" s="156" t="inlineStr">
        <is>
          <t>DT Hauling</t>
        </is>
      </c>
      <c r="F5418" s="156" t="inlineStr"/>
      <c r="G5418" s="182" t="n">
        <v>0</v>
      </c>
      <c r="H5418" s="182" t="n">
        <v>0</v>
      </c>
      <c r="I5418" s="182" t="n">
        <v>12</v>
      </c>
      <c r="J5418" s="182" t="n">
        <v>12</v>
      </c>
      <c r="K5418" s="182" t="n">
        <v>0</v>
      </c>
      <c r="L5418" s="182" t="n">
        <v>12</v>
      </c>
      <c r="M5418" s="182" t="n">
        <v>0</v>
      </c>
      <c r="N5418" s="182" t="n">
        <v>0</v>
      </c>
      <c r="O5418" s="183" t="n">
        <v>0</v>
      </c>
      <c r="P5418" s="183" t="n">
        <v>0</v>
      </c>
      <c r="Q5418" s="184" t="n">
        <v>0</v>
      </c>
      <c r="R5418" s="184" t="n">
        <v>0</v>
      </c>
      <c r="S5418" s="183" t="n">
        <v>0</v>
      </c>
      <c r="T5418" s="183" t="n">
        <v>0</v>
      </c>
      <c r="U5418" s="182" t="n">
        <v>0</v>
      </c>
      <c r="V5418" s="182" t="n">
        <v>0</v>
      </c>
      <c r="W5418" s="182" t="n">
        <v>0</v>
      </c>
      <c r="X5418" s="182" t="n">
        <v>0</v>
      </c>
      <c r="Y5418" s="182" t="n">
        <v>0</v>
      </c>
      <c r="Z5418" s="182" t="n">
        <v>0</v>
      </c>
      <c r="AA5418" s="182" t="n">
        <v>0</v>
      </c>
      <c r="AB5418" s="182" t="n">
        <v>0</v>
      </c>
      <c r="AC5418" s="182" t="n">
        <v>0</v>
      </c>
      <c r="AD5418" s="182" t="n">
        <v>0</v>
      </c>
      <c r="AE5418" s="182" t="n">
        <v>0</v>
      </c>
      <c r="AF5418" s="182" t="n">
        <v>0</v>
      </c>
      <c r="AG5418" s="182" t="n">
        <v>0</v>
      </c>
      <c r="AH5418" s="182" t="n">
        <v>0</v>
      </c>
      <c r="AI5418" s="182" t="n">
        <v>0</v>
      </c>
      <c r="AJ5418" s="182" t="n">
        <v>0</v>
      </c>
      <c r="AK5418" s="182" t="n">
        <v>0</v>
      </c>
      <c r="AL5418" s="182" t="n">
        <v>0</v>
      </c>
      <c r="AM5418" s="182" t="n">
        <v>0</v>
      </c>
      <c r="AN5418" s="182" t="n">
        <v>0</v>
      </c>
    </row>
    <row r="5419">
      <c r="A5419" s="155" t="n">
        <v>46106</v>
      </c>
      <c r="B5419" s="156" t="inlineStr">
        <is>
          <t>NS</t>
        </is>
      </c>
      <c r="C5419" s="156" t="inlineStr">
        <is>
          <t>HT-407</t>
        </is>
      </c>
      <c r="D5419" s="156" t="inlineStr">
        <is>
          <t>SY430</t>
        </is>
      </c>
      <c r="E5419" s="156" t="inlineStr">
        <is>
          <t>DT Hauling</t>
        </is>
      </c>
      <c r="F5419" s="156" t="inlineStr"/>
      <c r="G5419" s="182" t="n">
        <v>0</v>
      </c>
      <c r="H5419" s="182" t="n">
        <v>0</v>
      </c>
      <c r="I5419" s="182" t="n">
        <v>0</v>
      </c>
      <c r="J5419" s="182" t="n">
        <v>0</v>
      </c>
      <c r="K5419" s="182" t="n">
        <v>12</v>
      </c>
      <c r="L5419" s="182" t="n">
        <v>12</v>
      </c>
      <c r="M5419" s="182" t="n">
        <v>0</v>
      </c>
      <c r="N5419" s="182" t="n">
        <v>0</v>
      </c>
      <c r="O5419" s="183" t="n">
        <v>0</v>
      </c>
      <c r="P5419" s="183" t="n">
        <v>0</v>
      </c>
      <c r="Q5419" s="184" t="n">
        <v>0</v>
      </c>
      <c r="R5419" s="184" t="n">
        <v>0</v>
      </c>
      <c r="S5419" s="183" t="n">
        <v>0</v>
      </c>
      <c r="T5419" s="183" t="n">
        <v>0</v>
      </c>
      <c r="U5419" s="182" t="n">
        <v>0</v>
      </c>
      <c r="V5419" s="182" t="n">
        <v>0</v>
      </c>
      <c r="W5419" s="182" t="n">
        <v>0</v>
      </c>
      <c r="X5419" s="182" t="n">
        <v>1</v>
      </c>
      <c r="Y5419" s="182" t="n">
        <v>0</v>
      </c>
      <c r="Z5419" s="182" t="n">
        <v>0</v>
      </c>
      <c r="AA5419" s="182" t="n">
        <v>0</v>
      </c>
      <c r="AB5419" s="182" t="n">
        <v>0</v>
      </c>
      <c r="AC5419" s="182" t="n">
        <v>0</v>
      </c>
      <c r="AD5419" s="182" t="n">
        <v>0</v>
      </c>
      <c r="AE5419" s="182" t="n">
        <v>0</v>
      </c>
      <c r="AF5419" s="182" t="n">
        <v>0</v>
      </c>
      <c r="AG5419" s="182" t="n">
        <v>0</v>
      </c>
      <c r="AH5419" s="182" t="n">
        <v>0</v>
      </c>
      <c r="AI5419" s="182" t="n">
        <v>0</v>
      </c>
      <c r="AJ5419" s="182" t="n">
        <v>0</v>
      </c>
      <c r="AK5419" s="182" t="n">
        <v>10.92</v>
      </c>
      <c r="AL5419" s="182" t="n">
        <v>0</v>
      </c>
      <c r="AM5419" s="182" t="n">
        <v>0.08</v>
      </c>
      <c r="AN5419" s="182" t="n">
        <v>0</v>
      </c>
    </row>
    <row r="5420">
      <c r="A5420" s="155" t="n">
        <v>46106</v>
      </c>
      <c r="B5420" s="156" t="inlineStr">
        <is>
          <t>NS</t>
        </is>
      </c>
      <c r="C5420" s="156" t="inlineStr">
        <is>
          <t>HT-414</t>
        </is>
      </c>
      <c r="D5420" s="156" t="inlineStr">
        <is>
          <t>SY430</t>
        </is>
      </c>
      <c r="E5420" s="156" t="inlineStr">
        <is>
          <t>DT Hauling</t>
        </is>
      </c>
      <c r="F5420" s="156" t="inlineStr"/>
      <c r="G5420" s="182" t="n">
        <v>0</v>
      </c>
      <c r="H5420" s="182" t="n">
        <v>0</v>
      </c>
      <c r="I5420" s="182" t="n">
        <v>0</v>
      </c>
      <c r="J5420" s="182" t="n">
        <v>0</v>
      </c>
      <c r="K5420" s="182" t="n">
        <v>12</v>
      </c>
      <c r="L5420" s="182" t="n">
        <v>12</v>
      </c>
      <c r="M5420" s="182" t="n">
        <v>0</v>
      </c>
      <c r="N5420" s="182" t="n">
        <v>0</v>
      </c>
      <c r="O5420" s="183" t="n">
        <v>0</v>
      </c>
      <c r="P5420" s="183" t="n">
        <v>0</v>
      </c>
      <c r="Q5420" s="184" t="n">
        <v>0</v>
      </c>
      <c r="R5420" s="184" t="n">
        <v>0</v>
      </c>
      <c r="S5420" s="183" t="n">
        <v>0</v>
      </c>
      <c r="T5420" s="183" t="n">
        <v>0</v>
      </c>
      <c r="U5420" s="182" t="n">
        <v>0</v>
      </c>
      <c r="V5420" s="182" t="n">
        <v>0</v>
      </c>
      <c r="W5420" s="182" t="n">
        <v>0</v>
      </c>
      <c r="X5420" s="182" t="n">
        <v>1</v>
      </c>
      <c r="Y5420" s="182" t="n">
        <v>0</v>
      </c>
      <c r="Z5420" s="182" t="n">
        <v>0</v>
      </c>
      <c r="AA5420" s="182" t="n">
        <v>0</v>
      </c>
      <c r="AB5420" s="182" t="n">
        <v>0</v>
      </c>
      <c r="AC5420" s="182" t="n">
        <v>0</v>
      </c>
      <c r="AD5420" s="182" t="n">
        <v>0</v>
      </c>
      <c r="AE5420" s="182" t="n">
        <v>0</v>
      </c>
      <c r="AF5420" s="182" t="n">
        <v>0</v>
      </c>
      <c r="AG5420" s="182" t="n">
        <v>0</v>
      </c>
      <c r="AH5420" s="182" t="n">
        <v>0</v>
      </c>
      <c r="AI5420" s="182" t="n">
        <v>0</v>
      </c>
      <c r="AJ5420" s="182" t="n">
        <v>0</v>
      </c>
      <c r="AK5420" s="182" t="n">
        <v>10.92</v>
      </c>
      <c r="AL5420" s="182" t="n">
        <v>0</v>
      </c>
      <c r="AM5420" s="182" t="n">
        <v>0.08</v>
      </c>
      <c r="AN5420" s="182" t="n">
        <v>0</v>
      </c>
    </row>
    <row r="5421">
      <c r="A5421" s="155" t="n">
        <v>46106</v>
      </c>
      <c r="B5421" s="156" t="inlineStr">
        <is>
          <t>NS</t>
        </is>
      </c>
      <c r="C5421" s="156" t="inlineStr">
        <is>
          <t>HT-411</t>
        </is>
      </c>
      <c r="D5421" s="156" t="inlineStr">
        <is>
          <t>SY430</t>
        </is>
      </c>
      <c r="E5421" s="156" t="inlineStr">
        <is>
          <t>DT Hauling</t>
        </is>
      </c>
      <c r="F5421" s="156" t="inlineStr"/>
      <c r="G5421" s="182" t="n">
        <v>0</v>
      </c>
      <c r="H5421" s="182" t="n">
        <v>0</v>
      </c>
      <c r="I5421" s="182" t="n">
        <v>0</v>
      </c>
      <c r="J5421" s="182" t="n">
        <v>0</v>
      </c>
      <c r="K5421" s="182" t="n">
        <v>12</v>
      </c>
      <c r="L5421" s="182" t="n">
        <v>12</v>
      </c>
      <c r="M5421" s="182" t="n">
        <v>0</v>
      </c>
      <c r="N5421" s="182" t="n">
        <v>0</v>
      </c>
      <c r="O5421" s="183" t="n">
        <v>0</v>
      </c>
      <c r="P5421" s="183" t="n">
        <v>0</v>
      </c>
      <c r="Q5421" s="184" t="n">
        <v>0</v>
      </c>
      <c r="R5421" s="184" t="n">
        <v>0</v>
      </c>
      <c r="S5421" s="183" t="n">
        <v>0</v>
      </c>
      <c r="T5421" s="183" t="n">
        <v>0</v>
      </c>
      <c r="U5421" s="182" t="n">
        <v>0</v>
      </c>
      <c r="V5421" s="182" t="n">
        <v>0</v>
      </c>
      <c r="W5421" s="182" t="n">
        <v>0</v>
      </c>
      <c r="X5421" s="182" t="n">
        <v>1</v>
      </c>
      <c r="Y5421" s="182" t="n">
        <v>0</v>
      </c>
      <c r="Z5421" s="182" t="n">
        <v>0</v>
      </c>
      <c r="AA5421" s="182" t="n">
        <v>0</v>
      </c>
      <c r="AB5421" s="182" t="n">
        <v>0</v>
      </c>
      <c r="AC5421" s="182" t="n">
        <v>0</v>
      </c>
      <c r="AD5421" s="182" t="n">
        <v>0</v>
      </c>
      <c r="AE5421" s="182" t="n">
        <v>0</v>
      </c>
      <c r="AF5421" s="182" t="n">
        <v>0</v>
      </c>
      <c r="AG5421" s="182" t="n">
        <v>0</v>
      </c>
      <c r="AH5421" s="182" t="n">
        <v>0</v>
      </c>
      <c r="AI5421" s="182" t="n">
        <v>0</v>
      </c>
      <c r="AJ5421" s="182" t="n">
        <v>0</v>
      </c>
      <c r="AK5421" s="182" t="n">
        <v>10.92</v>
      </c>
      <c r="AL5421" s="182" t="n">
        <v>0</v>
      </c>
      <c r="AM5421" s="182" t="n">
        <v>0.08</v>
      </c>
      <c r="AN5421" s="182" t="n">
        <v>0</v>
      </c>
    </row>
    <row r="5422">
      <c r="A5422" s="155" t="n">
        <v>46106</v>
      </c>
      <c r="B5422" s="156" t="inlineStr">
        <is>
          <t>NS</t>
        </is>
      </c>
      <c r="C5422" s="156" t="inlineStr">
        <is>
          <t>HT-409</t>
        </is>
      </c>
      <c r="D5422" s="156" t="inlineStr">
        <is>
          <t>SY430</t>
        </is>
      </c>
      <c r="E5422" s="156" t="inlineStr">
        <is>
          <t>DT Hauling</t>
        </is>
      </c>
      <c r="F5422" s="156" t="inlineStr"/>
      <c r="G5422" s="182" t="n">
        <v>0</v>
      </c>
      <c r="H5422" s="182" t="n">
        <v>0</v>
      </c>
      <c r="I5422" s="182" t="n">
        <v>0</v>
      </c>
      <c r="J5422" s="182" t="n">
        <v>0</v>
      </c>
      <c r="K5422" s="182" t="n">
        <v>12</v>
      </c>
      <c r="L5422" s="182" t="n">
        <v>12</v>
      </c>
      <c r="M5422" s="182" t="n">
        <v>0</v>
      </c>
      <c r="N5422" s="182" t="n">
        <v>0</v>
      </c>
      <c r="O5422" s="183" t="n">
        <v>0</v>
      </c>
      <c r="P5422" s="183" t="n">
        <v>0</v>
      </c>
      <c r="Q5422" s="184" t="n">
        <v>0</v>
      </c>
      <c r="R5422" s="184" t="n">
        <v>0</v>
      </c>
      <c r="S5422" s="183" t="n">
        <v>0</v>
      </c>
      <c r="T5422" s="183" t="n">
        <v>0</v>
      </c>
      <c r="U5422" s="182" t="n">
        <v>0</v>
      </c>
      <c r="V5422" s="182" t="n">
        <v>0</v>
      </c>
      <c r="W5422" s="182" t="n">
        <v>0</v>
      </c>
      <c r="X5422" s="182" t="n">
        <v>1</v>
      </c>
      <c r="Y5422" s="182" t="n">
        <v>0</v>
      </c>
      <c r="Z5422" s="182" t="n">
        <v>0</v>
      </c>
      <c r="AA5422" s="182" t="n">
        <v>0</v>
      </c>
      <c r="AB5422" s="182" t="n">
        <v>0</v>
      </c>
      <c r="AC5422" s="182" t="n">
        <v>0</v>
      </c>
      <c r="AD5422" s="182" t="n">
        <v>0</v>
      </c>
      <c r="AE5422" s="182" t="n">
        <v>0</v>
      </c>
      <c r="AF5422" s="182" t="n">
        <v>0</v>
      </c>
      <c r="AG5422" s="182" t="n">
        <v>0</v>
      </c>
      <c r="AH5422" s="182" t="n">
        <v>0</v>
      </c>
      <c r="AI5422" s="182" t="n">
        <v>0</v>
      </c>
      <c r="AJ5422" s="182" t="n">
        <v>0</v>
      </c>
      <c r="AK5422" s="182" t="n">
        <v>10.92</v>
      </c>
      <c r="AL5422" s="182" t="n">
        <v>0</v>
      </c>
      <c r="AM5422" s="182" t="n">
        <v>0.08</v>
      </c>
      <c r="AN5422" s="182" t="n">
        <v>0</v>
      </c>
    </row>
    <row r="5423">
      <c r="A5423" s="155" t="n">
        <v>46106</v>
      </c>
      <c r="B5423" s="156" t="inlineStr">
        <is>
          <t>NS</t>
        </is>
      </c>
      <c r="C5423" s="156" t="inlineStr">
        <is>
          <t>DH-103</t>
        </is>
      </c>
      <c r="D5423" s="156" t="inlineStr">
        <is>
          <t>HINO FM260</t>
        </is>
      </c>
      <c r="E5423" s="156" t="inlineStr">
        <is>
          <t>DT Hino</t>
        </is>
      </c>
      <c r="F5423" s="156" t="inlineStr"/>
      <c r="G5423" s="182" t="n">
        <v>0</v>
      </c>
      <c r="H5423" s="182" t="n">
        <v>0</v>
      </c>
      <c r="I5423" s="182" t="n">
        <v>0</v>
      </c>
      <c r="J5423" s="182" t="n">
        <v>0</v>
      </c>
      <c r="K5423" s="182" t="n">
        <v>12</v>
      </c>
      <c r="L5423" s="182" t="n">
        <v>12</v>
      </c>
      <c r="M5423" s="182" t="n">
        <v>0</v>
      </c>
      <c r="N5423" s="182" t="n">
        <v>0</v>
      </c>
      <c r="O5423" s="183" t="n">
        <v>0</v>
      </c>
      <c r="P5423" s="183" t="n">
        <v>0</v>
      </c>
      <c r="Q5423" s="184" t="n">
        <v>0</v>
      </c>
      <c r="R5423" s="184" t="n">
        <v>0</v>
      </c>
      <c r="S5423" s="183" t="n">
        <v>0</v>
      </c>
      <c r="T5423" s="183" t="n">
        <v>0</v>
      </c>
      <c r="U5423" s="182" t="n">
        <v>0</v>
      </c>
      <c r="V5423" s="182" t="n">
        <v>0</v>
      </c>
      <c r="W5423" s="182" t="n">
        <v>0</v>
      </c>
      <c r="X5423" s="182" t="n">
        <v>1</v>
      </c>
      <c r="Y5423" s="182" t="n">
        <v>0</v>
      </c>
      <c r="Z5423" s="182" t="n">
        <v>0</v>
      </c>
      <c r="AA5423" s="182" t="n">
        <v>0</v>
      </c>
      <c r="AB5423" s="182" t="n">
        <v>0</v>
      </c>
      <c r="AC5423" s="182" t="n">
        <v>0</v>
      </c>
      <c r="AD5423" s="182" t="n">
        <v>0</v>
      </c>
      <c r="AE5423" s="182" t="n">
        <v>0</v>
      </c>
      <c r="AF5423" s="182" t="n">
        <v>0</v>
      </c>
      <c r="AG5423" s="182" t="n">
        <v>0</v>
      </c>
      <c r="AH5423" s="182" t="n">
        <v>0</v>
      </c>
      <c r="AI5423" s="182" t="n">
        <v>0</v>
      </c>
      <c r="AJ5423" s="182" t="n">
        <v>0</v>
      </c>
      <c r="AK5423" s="182" t="n">
        <v>10.92</v>
      </c>
      <c r="AL5423" s="182" t="n">
        <v>0</v>
      </c>
      <c r="AM5423" s="182" t="n">
        <v>0.08</v>
      </c>
      <c r="AN5423" s="182" t="n">
        <v>0</v>
      </c>
    </row>
    <row r="5424">
      <c r="A5424" s="155" t="n">
        <v>46106</v>
      </c>
      <c r="B5424" s="156" t="inlineStr">
        <is>
          <t>NS</t>
        </is>
      </c>
      <c r="C5424" s="156" t="inlineStr">
        <is>
          <t>DH-102</t>
        </is>
      </c>
      <c r="D5424" s="156" t="inlineStr">
        <is>
          <t>HINO FM260</t>
        </is>
      </c>
      <c r="E5424" s="156" t="inlineStr">
        <is>
          <t>DT Hino</t>
        </is>
      </c>
      <c r="F5424" s="156" t="inlineStr"/>
      <c r="G5424" s="182" t="n">
        <v>0</v>
      </c>
      <c r="H5424" s="182" t="n">
        <v>0</v>
      </c>
      <c r="I5424" s="182" t="n">
        <v>0</v>
      </c>
      <c r="J5424" s="182" t="n">
        <v>0</v>
      </c>
      <c r="K5424" s="182" t="n">
        <v>12</v>
      </c>
      <c r="L5424" s="182" t="n">
        <v>12</v>
      </c>
      <c r="M5424" s="182" t="n">
        <v>0</v>
      </c>
      <c r="N5424" s="182" t="n">
        <v>0</v>
      </c>
      <c r="O5424" s="183" t="n">
        <v>0</v>
      </c>
      <c r="P5424" s="183" t="n">
        <v>0</v>
      </c>
      <c r="Q5424" s="184" t="n">
        <v>0</v>
      </c>
      <c r="R5424" s="184" t="n">
        <v>0</v>
      </c>
      <c r="S5424" s="183" t="n">
        <v>0</v>
      </c>
      <c r="T5424" s="183" t="n">
        <v>0</v>
      </c>
      <c r="U5424" s="182" t="n">
        <v>0</v>
      </c>
      <c r="V5424" s="182" t="n">
        <v>0</v>
      </c>
      <c r="W5424" s="182" t="n">
        <v>0</v>
      </c>
      <c r="X5424" s="182" t="n">
        <v>1</v>
      </c>
      <c r="Y5424" s="182" t="n">
        <v>0</v>
      </c>
      <c r="Z5424" s="182" t="n">
        <v>0</v>
      </c>
      <c r="AA5424" s="182" t="n">
        <v>0</v>
      </c>
      <c r="AB5424" s="182" t="n">
        <v>0</v>
      </c>
      <c r="AC5424" s="182" t="n">
        <v>0</v>
      </c>
      <c r="AD5424" s="182" t="n">
        <v>0</v>
      </c>
      <c r="AE5424" s="182" t="n">
        <v>0</v>
      </c>
      <c r="AF5424" s="182" t="n">
        <v>0</v>
      </c>
      <c r="AG5424" s="182" t="n">
        <v>0</v>
      </c>
      <c r="AH5424" s="182" t="n">
        <v>0</v>
      </c>
      <c r="AI5424" s="182" t="n">
        <v>0</v>
      </c>
      <c r="AJ5424" s="182" t="n">
        <v>0</v>
      </c>
      <c r="AK5424" s="182" t="n">
        <v>10.92</v>
      </c>
      <c r="AL5424" s="182" t="n">
        <v>0</v>
      </c>
      <c r="AM5424" s="182" t="n">
        <v>0.08</v>
      </c>
      <c r="AN5424" s="182" t="n">
        <v>0</v>
      </c>
    </row>
    <row r="5425">
      <c r="A5425" s="155" t="n">
        <v>46106</v>
      </c>
      <c r="B5425" s="156" t="inlineStr">
        <is>
          <t>NS</t>
        </is>
      </c>
      <c r="C5425" s="156" t="inlineStr">
        <is>
          <t>DH-101</t>
        </is>
      </c>
      <c r="D5425" s="156" t="inlineStr">
        <is>
          <t>HINO FM260</t>
        </is>
      </c>
      <c r="E5425" s="156" t="inlineStr">
        <is>
          <t>DT Hino</t>
        </is>
      </c>
      <c r="F5425" s="156" t="inlineStr"/>
      <c r="G5425" s="182" t="n">
        <v>0</v>
      </c>
      <c r="H5425" s="182" t="n">
        <v>0</v>
      </c>
      <c r="I5425" s="182" t="n">
        <v>0</v>
      </c>
      <c r="J5425" s="182" t="n">
        <v>0</v>
      </c>
      <c r="K5425" s="182" t="n">
        <v>12</v>
      </c>
      <c r="L5425" s="182" t="n">
        <v>12</v>
      </c>
      <c r="M5425" s="182" t="n">
        <v>0</v>
      </c>
      <c r="N5425" s="182" t="n">
        <v>0</v>
      </c>
      <c r="O5425" s="183" t="n">
        <v>0</v>
      </c>
      <c r="P5425" s="183" t="n">
        <v>0</v>
      </c>
      <c r="Q5425" s="184" t="n">
        <v>0</v>
      </c>
      <c r="R5425" s="184" t="n">
        <v>0</v>
      </c>
      <c r="S5425" s="183" t="n">
        <v>0</v>
      </c>
      <c r="T5425" s="183" t="n">
        <v>0</v>
      </c>
      <c r="U5425" s="182" t="n">
        <v>0</v>
      </c>
      <c r="V5425" s="182" t="n">
        <v>0</v>
      </c>
      <c r="W5425" s="182" t="n">
        <v>0</v>
      </c>
      <c r="X5425" s="182" t="n">
        <v>1</v>
      </c>
      <c r="Y5425" s="182" t="n">
        <v>0</v>
      </c>
      <c r="Z5425" s="182" t="n">
        <v>0</v>
      </c>
      <c r="AA5425" s="182" t="n">
        <v>0</v>
      </c>
      <c r="AB5425" s="182" t="n">
        <v>0</v>
      </c>
      <c r="AC5425" s="182" t="n">
        <v>0</v>
      </c>
      <c r="AD5425" s="182" t="n">
        <v>0</v>
      </c>
      <c r="AE5425" s="182" t="n">
        <v>0</v>
      </c>
      <c r="AF5425" s="182" t="n">
        <v>0</v>
      </c>
      <c r="AG5425" s="182" t="n">
        <v>0</v>
      </c>
      <c r="AH5425" s="182" t="n">
        <v>0</v>
      </c>
      <c r="AI5425" s="182" t="n">
        <v>0</v>
      </c>
      <c r="AJ5425" s="182" t="n">
        <v>0</v>
      </c>
      <c r="AK5425" s="182" t="n">
        <v>10.92</v>
      </c>
      <c r="AL5425" s="182" t="n">
        <v>0</v>
      </c>
      <c r="AM5425" s="182" t="n">
        <v>0.08</v>
      </c>
      <c r="AN5425" s="182" t="n">
        <v>0</v>
      </c>
    </row>
    <row r="5426">
      <c r="A5426" s="155" t="n">
        <v>46106</v>
      </c>
      <c r="B5426" s="156" t="inlineStr">
        <is>
          <t>NS</t>
        </is>
      </c>
      <c r="C5426" s="156" t="inlineStr">
        <is>
          <t>EX-1251</t>
        </is>
      </c>
      <c r="D5426" s="156" t="inlineStr">
        <is>
          <t>SY1250</t>
        </is>
      </c>
      <c r="E5426" s="156" t="inlineStr">
        <is>
          <t>Excavator</t>
        </is>
      </c>
      <c r="F5426" s="156" t="inlineStr"/>
      <c r="G5426" s="182" t="n">
        <v>0</v>
      </c>
      <c r="H5426" s="182" t="n">
        <v>0</v>
      </c>
      <c r="I5426" s="182" t="n">
        <v>12</v>
      </c>
      <c r="J5426" s="182" t="n">
        <v>12</v>
      </c>
      <c r="K5426" s="182" t="n">
        <v>0</v>
      </c>
      <c r="L5426" s="182" t="n">
        <v>12</v>
      </c>
      <c r="M5426" s="182" t="n">
        <v>0</v>
      </c>
      <c r="N5426" s="182" t="n">
        <v>0</v>
      </c>
      <c r="O5426" s="185">
        <f>SUMIFS(INPUT_RITASE!$F$5:$F$20000,INPUT_RITASE!$A$5:$A$20000,$A5426,INPUT_RITASE!$H$5:$H$20000,$B5426,INPUT_RITASE!$C$5:$C$20000,$C5426,INPUT_RITASE!$N$5:$N$20000,"OB")</f>
        <v/>
      </c>
      <c r="P5426" s="185">
        <f>SUMIFS(INPUT_RITASE!$F$5:$F$20000,INPUT_RITASE!$A$5:$A$20000,$A5426,INPUT_RITASE!$H$5:$H$20000,$B5426,INPUT_RITASE!$C$5:$C$20000,$C5426,INPUT_RITASE!$N$5:$N$20000,"Coal")</f>
        <v/>
      </c>
      <c r="Q5426" s="186">
        <f>SUMIFS(INPUT_RITASE!$L$5:$L$20000,INPUT_RITASE!$A$5:$A$20000,$A5426,INPUT_RITASE!$H$5:$H$20000,$B5426,INPUT_RITASE!$C$5:$C$20000,$C5426,INPUT_RITASE!$N$5:$N$20000,"OB")</f>
        <v/>
      </c>
      <c r="R5426" s="186">
        <f>SUMIFS(INPUT_RITASE!$L$5:$L$20000,INPUT_RITASE!$A$5:$A$20000,$A5426,INPUT_RITASE!$H$5:$H$20000,$B5426,INPUT_RITASE!$C$5:$C$20000,$C5426,INPUT_RITASE!$N$5:$N$20000,"Coal")</f>
        <v/>
      </c>
      <c r="S5426" s="183" t="n">
        <v>0</v>
      </c>
      <c r="T5426" s="183" t="n">
        <v>0</v>
      </c>
      <c r="U5426" s="182" t="n">
        <v>0</v>
      </c>
      <c r="V5426" s="182" t="n">
        <v>0</v>
      </c>
      <c r="W5426" s="182" t="n">
        <v>0</v>
      </c>
      <c r="X5426" s="182" t="n">
        <v>0</v>
      </c>
      <c r="Y5426" s="182" t="n">
        <v>0</v>
      </c>
      <c r="Z5426" s="182" t="n">
        <v>0</v>
      </c>
      <c r="AA5426" s="182" t="n">
        <v>0</v>
      </c>
      <c r="AB5426" s="182" t="n">
        <v>0</v>
      </c>
      <c r="AC5426" s="182" t="n">
        <v>0</v>
      </c>
      <c r="AD5426" s="182" t="n">
        <v>0</v>
      </c>
      <c r="AE5426" s="182" t="n">
        <v>0</v>
      </c>
      <c r="AF5426" s="182" t="n">
        <v>0</v>
      </c>
      <c r="AG5426" s="182" t="n">
        <v>0</v>
      </c>
      <c r="AH5426" s="182" t="n">
        <v>0</v>
      </c>
      <c r="AI5426" s="182" t="n">
        <v>0</v>
      </c>
      <c r="AJ5426" s="182" t="n">
        <v>0</v>
      </c>
      <c r="AK5426" s="182" t="n">
        <v>0</v>
      </c>
      <c r="AL5426" s="182" t="n">
        <v>0</v>
      </c>
      <c r="AM5426" s="182" t="n">
        <v>0</v>
      </c>
      <c r="AN5426" s="182" t="n">
        <v>0</v>
      </c>
    </row>
    <row r="5427">
      <c r="A5427" s="155" t="n">
        <v>46106</v>
      </c>
      <c r="B5427" s="156" t="inlineStr">
        <is>
          <t>NS</t>
        </is>
      </c>
      <c r="C5427" s="156" t="inlineStr">
        <is>
          <t>EX-1252</t>
        </is>
      </c>
      <c r="D5427" s="156" t="inlineStr">
        <is>
          <t>SY1250</t>
        </is>
      </c>
      <c r="E5427" s="156" t="inlineStr">
        <is>
          <t>Excavator</t>
        </is>
      </c>
      <c r="F5427" s="156" t="inlineStr"/>
      <c r="G5427" s="182" t="n">
        <v>0</v>
      </c>
      <c r="H5427" s="182" t="n">
        <v>0</v>
      </c>
      <c r="I5427" s="182" t="n">
        <v>12</v>
      </c>
      <c r="J5427" s="182" t="n">
        <v>12</v>
      </c>
      <c r="K5427" s="182" t="n">
        <v>0</v>
      </c>
      <c r="L5427" s="182" t="n">
        <v>12</v>
      </c>
      <c r="M5427" s="182" t="n">
        <v>0</v>
      </c>
      <c r="N5427" s="182" t="n">
        <v>0</v>
      </c>
      <c r="O5427" s="185">
        <f>SUMIFS(INPUT_RITASE!$F$5:$F$20000,INPUT_RITASE!$A$5:$A$20000,$A5427,INPUT_RITASE!$H$5:$H$20000,$B5427,INPUT_RITASE!$C$5:$C$20000,$C5427,INPUT_RITASE!$N$5:$N$20000,"OB")</f>
        <v/>
      </c>
      <c r="P5427" s="185">
        <f>SUMIFS(INPUT_RITASE!$F$5:$F$20000,INPUT_RITASE!$A$5:$A$20000,$A5427,INPUT_RITASE!$H$5:$H$20000,$B5427,INPUT_RITASE!$C$5:$C$20000,$C5427,INPUT_RITASE!$N$5:$N$20000,"Coal")</f>
        <v/>
      </c>
      <c r="Q5427" s="186">
        <f>SUMIFS(INPUT_RITASE!$L$5:$L$20000,INPUT_RITASE!$A$5:$A$20000,$A5427,INPUT_RITASE!$H$5:$H$20000,$B5427,INPUT_RITASE!$C$5:$C$20000,$C5427,INPUT_RITASE!$N$5:$N$20000,"OB")</f>
        <v/>
      </c>
      <c r="R5427" s="186">
        <f>SUMIFS(INPUT_RITASE!$L$5:$L$20000,INPUT_RITASE!$A$5:$A$20000,$A5427,INPUT_RITASE!$H$5:$H$20000,$B5427,INPUT_RITASE!$C$5:$C$20000,$C5427,INPUT_RITASE!$N$5:$N$20000,"Coal")</f>
        <v/>
      </c>
      <c r="S5427" s="183" t="n">
        <v>0</v>
      </c>
      <c r="T5427" s="183" t="n">
        <v>0</v>
      </c>
      <c r="U5427" s="182" t="n">
        <v>0</v>
      </c>
      <c r="V5427" s="182" t="n">
        <v>0</v>
      </c>
      <c r="W5427" s="182" t="n">
        <v>0</v>
      </c>
      <c r="X5427" s="182" t="n">
        <v>0</v>
      </c>
      <c r="Y5427" s="182" t="n">
        <v>0</v>
      </c>
      <c r="Z5427" s="182" t="n">
        <v>0</v>
      </c>
      <c r="AA5427" s="182" t="n">
        <v>0</v>
      </c>
      <c r="AB5427" s="182" t="n">
        <v>0</v>
      </c>
      <c r="AC5427" s="182" t="n">
        <v>0</v>
      </c>
      <c r="AD5427" s="182" t="n">
        <v>0</v>
      </c>
      <c r="AE5427" s="182" t="n">
        <v>0</v>
      </c>
      <c r="AF5427" s="182" t="n">
        <v>0</v>
      </c>
      <c r="AG5427" s="182" t="n">
        <v>0</v>
      </c>
      <c r="AH5427" s="182" t="n">
        <v>0</v>
      </c>
      <c r="AI5427" s="182" t="n">
        <v>0</v>
      </c>
      <c r="AJ5427" s="182" t="n">
        <v>0</v>
      </c>
      <c r="AK5427" s="182" t="n">
        <v>0</v>
      </c>
      <c r="AL5427" s="182" t="n">
        <v>0</v>
      </c>
      <c r="AM5427" s="182" t="n">
        <v>0</v>
      </c>
      <c r="AN5427" s="182" t="n">
        <v>0</v>
      </c>
    </row>
    <row r="5428">
      <c r="A5428" s="155" t="n">
        <v>46106</v>
      </c>
      <c r="B5428" s="156" t="inlineStr">
        <is>
          <t>NS</t>
        </is>
      </c>
      <c r="C5428" s="156" t="inlineStr">
        <is>
          <t>EX-2101</t>
        </is>
      </c>
      <c r="D5428" s="156" t="inlineStr">
        <is>
          <t>SY2000</t>
        </is>
      </c>
      <c r="E5428" s="156" t="inlineStr">
        <is>
          <t>Excavator</t>
        </is>
      </c>
      <c r="F5428" s="156" t="inlineStr">
        <is>
          <t>Loading OB</t>
        </is>
      </c>
      <c r="G5428" s="182" t="n">
        <v>9.789999999999999</v>
      </c>
      <c r="H5428" s="182" t="n">
        <v>0</v>
      </c>
      <c r="I5428" s="182" t="n">
        <v>0</v>
      </c>
      <c r="J5428" s="182" t="n">
        <v>0</v>
      </c>
      <c r="K5428" s="182" t="n">
        <v>2.21</v>
      </c>
      <c r="L5428" s="182" t="n">
        <v>12</v>
      </c>
      <c r="M5428" s="182" t="n">
        <v>9.789999999999999</v>
      </c>
      <c r="N5428" s="182" t="n">
        <v>0</v>
      </c>
      <c r="O5428" s="185">
        <f>SUMIFS(INPUT_RITASE!$F$5:$F$20000,INPUT_RITASE!$A$5:$A$20000,$A5428,INPUT_RITASE!$H$5:$H$20000,$B5428,INPUT_RITASE!$C$5:$C$20000,$C5428,INPUT_RITASE!$N$5:$N$20000,"OB")</f>
        <v/>
      </c>
      <c r="P5428" s="185">
        <f>SUMIFS(INPUT_RITASE!$F$5:$F$20000,INPUT_RITASE!$A$5:$A$20000,$A5428,INPUT_RITASE!$H$5:$H$20000,$B5428,INPUT_RITASE!$C$5:$C$20000,$C5428,INPUT_RITASE!$N$5:$N$20000,"Coal")</f>
        <v/>
      </c>
      <c r="Q5428" s="186">
        <f>SUMIFS(INPUT_RITASE!$L$5:$L$20000,INPUT_RITASE!$A$5:$A$20000,$A5428,INPUT_RITASE!$H$5:$H$20000,$B5428,INPUT_RITASE!$C$5:$C$20000,$C5428,INPUT_RITASE!$N$5:$N$20000,"OB")</f>
        <v/>
      </c>
      <c r="R5428" s="186">
        <f>SUMIFS(INPUT_RITASE!$L$5:$L$20000,INPUT_RITASE!$A$5:$A$20000,$A5428,INPUT_RITASE!$H$5:$H$20000,$B5428,INPUT_RITASE!$C$5:$C$20000,$C5428,INPUT_RITASE!$N$5:$N$20000,"Coal")</f>
        <v/>
      </c>
      <c r="S5428" s="183" t="n">
        <v>0</v>
      </c>
      <c r="T5428" s="183" t="n">
        <v>0</v>
      </c>
      <c r="U5428" s="182" t="n">
        <v>1.21</v>
      </c>
      <c r="V5428" s="182" t="n">
        <v>0</v>
      </c>
      <c r="W5428" s="182" t="n">
        <v>0</v>
      </c>
      <c r="X5428" s="182" t="n">
        <v>0.92</v>
      </c>
      <c r="Y5428" s="182" t="n">
        <v>0</v>
      </c>
      <c r="Z5428" s="182" t="n">
        <v>0</v>
      </c>
      <c r="AA5428" s="182" t="n">
        <v>0</v>
      </c>
      <c r="AB5428" s="182" t="n">
        <v>0</v>
      </c>
      <c r="AC5428" s="182" t="n">
        <v>0</v>
      </c>
      <c r="AD5428" s="182" t="n">
        <v>0</v>
      </c>
      <c r="AE5428" s="182" t="n">
        <v>0</v>
      </c>
      <c r="AF5428" s="182" t="n">
        <v>0</v>
      </c>
      <c r="AG5428" s="182" t="n">
        <v>0</v>
      </c>
      <c r="AH5428" s="182" t="n">
        <v>0</v>
      </c>
      <c r="AI5428" s="182" t="n">
        <v>0</v>
      </c>
      <c r="AJ5428" s="182" t="n">
        <v>0</v>
      </c>
      <c r="AK5428" s="182" t="n">
        <v>0</v>
      </c>
      <c r="AL5428" s="182" t="n">
        <v>0</v>
      </c>
      <c r="AM5428" s="182" t="n">
        <v>0.07000000000000001</v>
      </c>
      <c r="AN5428" s="182" t="n">
        <v>0</v>
      </c>
    </row>
    <row r="5429">
      <c r="A5429" s="155" t="n">
        <v>46106</v>
      </c>
      <c r="B5429" s="156" t="inlineStr">
        <is>
          <t>NS</t>
        </is>
      </c>
      <c r="C5429" s="156" t="inlineStr">
        <is>
          <t>EX-222</t>
        </is>
      </c>
      <c r="D5429" s="156" t="inlineStr">
        <is>
          <t>PC 200-8MI</t>
        </is>
      </c>
      <c r="E5429" s="156" t="inlineStr">
        <is>
          <t>Excavator</t>
        </is>
      </c>
      <c r="F5429" s="156" t="inlineStr">
        <is>
          <t>Support Washing Plant</t>
        </is>
      </c>
      <c r="G5429" s="182" t="n">
        <v>11.53</v>
      </c>
      <c r="H5429" s="182" t="n">
        <v>0</v>
      </c>
      <c r="I5429" s="182" t="n">
        <v>0</v>
      </c>
      <c r="J5429" s="182" t="n">
        <v>0</v>
      </c>
      <c r="K5429" s="182" t="n">
        <v>0.47</v>
      </c>
      <c r="L5429" s="182" t="n">
        <v>12</v>
      </c>
      <c r="M5429" s="182" t="n">
        <v>0</v>
      </c>
      <c r="N5429" s="182" t="n">
        <v>0</v>
      </c>
      <c r="O5429" s="185">
        <f>SUMIFS(INPUT_RITASE!$F$5:$F$20000,INPUT_RITASE!$A$5:$A$20000,$A5429,INPUT_RITASE!$H$5:$H$20000,$B5429,INPUT_RITASE!$C$5:$C$20000,$C5429,INPUT_RITASE!$N$5:$N$20000,"OB")</f>
        <v/>
      </c>
      <c r="P5429" s="185">
        <f>SUMIFS(INPUT_RITASE!$F$5:$F$20000,INPUT_RITASE!$A$5:$A$20000,$A5429,INPUT_RITASE!$H$5:$H$20000,$B5429,INPUT_RITASE!$C$5:$C$20000,$C5429,INPUT_RITASE!$N$5:$N$20000,"Coal")</f>
        <v/>
      </c>
      <c r="Q5429" s="186">
        <f>SUMIFS(INPUT_RITASE!$L$5:$L$20000,INPUT_RITASE!$A$5:$A$20000,$A5429,INPUT_RITASE!$H$5:$H$20000,$B5429,INPUT_RITASE!$C$5:$C$20000,$C5429,INPUT_RITASE!$N$5:$N$20000,"OB")</f>
        <v/>
      </c>
      <c r="R5429" s="186">
        <f>SUMIFS(INPUT_RITASE!$L$5:$L$20000,INPUT_RITASE!$A$5:$A$20000,$A5429,INPUT_RITASE!$H$5:$H$20000,$B5429,INPUT_RITASE!$C$5:$C$20000,$C5429,INPUT_RITASE!$N$5:$N$20000,"Coal")</f>
        <v/>
      </c>
      <c r="S5429" s="183" t="n">
        <v>0</v>
      </c>
      <c r="T5429" s="183" t="n">
        <v>0</v>
      </c>
      <c r="U5429" s="182" t="n">
        <v>0</v>
      </c>
      <c r="V5429" s="182" t="n">
        <v>0</v>
      </c>
      <c r="W5429" s="182" t="n">
        <v>0</v>
      </c>
      <c r="X5429" s="182" t="n">
        <v>0</v>
      </c>
      <c r="Y5429" s="182" t="n">
        <v>0</v>
      </c>
      <c r="Z5429" s="182" t="n">
        <v>0</v>
      </c>
      <c r="AA5429" s="182" t="n">
        <v>0</v>
      </c>
      <c r="AB5429" s="182" t="n">
        <v>0</v>
      </c>
      <c r="AC5429" s="182" t="n">
        <v>0</v>
      </c>
      <c r="AD5429" s="182" t="n">
        <v>0</v>
      </c>
      <c r="AE5429" s="182" t="n">
        <v>0</v>
      </c>
      <c r="AF5429" s="182" t="n">
        <v>0</v>
      </c>
      <c r="AG5429" s="182" t="n">
        <v>0</v>
      </c>
      <c r="AH5429" s="182" t="n">
        <v>0</v>
      </c>
      <c r="AI5429" s="182" t="n">
        <v>0</v>
      </c>
      <c r="AJ5429" s="182" t="n">
        <v>0</v>
      </c>
      <c r="AK5429" s="182" t="n">
        <v>0</v>
      </c>
      <c r="AL5429" s="182" t="n">
        <v>0</v>
      </c>
      <c r="AM5429" s="182" t="n">
        <v>0</v>
      </c>
      <c r="AN5429" s="182" t="n">
        <v>0</v>
      </c>
    </row>
    <row r="5430">
      <c r="A5430" s="155" t="n">
        <v>46106</v>
      </c>
      <c r="B5430" s="156" t="inlineStr">
        <is>
          <t>NS</t>
        </is>
      </c>
      <c r="C5430" s="156" t="inlineStr">
        <is>
          <t>EX-225</t>
        </is>
      </c>
      <c r="D5430" s="156" t="inlineStr">
        <is>
          <t>PC 200-8</t>
        </is>
      </c>
      <c r="E5430" s="156" t="inlineStr">
        <is>
          <t>Excavator</t>
        </is>
      </c>
      <c r="F5430" s="156" t="inlineStr"/>
      <c r="G5430" s="182" t="n">
        <v>0</v>
      </c>
      <c r="H5430" s="182" t="n">
        <v>0</v>
      </c>
      <c r="I5430" s="182" t="n">
        <v>12</v>
      </c>
      <c r="J5430" s="182" t="n">
        <v>12</v>
      </c>
      <c r="K5430" s="182" t="n">
        <v>0</v>
      </c>
      <c r="L5430" s="182" t="n">
        <v>12</v>
      </c>
      <c r="M5430" s="182" t="n">
        <v>0</v>
      </c>
      <c r="N5430" s="182" t="n">
        <v>0</v>
      </c>
      <c r="O5430" s="185">
        <f>SUMIFS(INPUT_RITASE!$F$5:$F$20000,INPUT_RITASE!$A$5:$A$20000,$A5430,INPUT_RITASE!$H$5:$H$20000,$B5430,INPUT_RITASE!$C$5:$C$20000,$C5430,INPUT_RITASE!$N$5:$N$20000,"OB")</f>
        <v/>
      </c>
      <c r="P5430" s="185">
        <f>SUMIFS(INPUT_RITASE!$F$5:$F$20000,INPUT_RITASE!$A$5:$A$20000,$A5430,INPUT_RITASE!$H$5:$H$20000,$B5430,INPUT_RITASE!$C$5:$C$20000,$C5430,INPUT_RITASE!$N$5:$N$20000,"Coal")</f>
        <v/>
      </c>
      <c r="Q5430" s="186">
        <f>SUMIFS(INPUT_RITASE!$L$5:$L$20000,INPUT_RITASE!$A$5:$A$20000,$A5430,INPUT_RITASE!$H$5:$H$20000,$B5430,INPUT_RITASE!$C$5:$C$20000,$C5430,INPUT_RITASE!$N$5:$N$20000,"OB")</f>
        <v/>
      </c>
      <c r="R5430" s="186">
        <f>SUMIFS(INPUT_RITASE!$L$5:$L$20000,INPUT_RITASE!$A$5:$A$20000,$A5430,INPUT_RITASE!$H$5:$H$20000,$B5430,INPUT_RITASE!$C$5:$C$20000,$C5430,INPUT_RITASE!$N$5:$N$20000,"Coal")</f>
        <v/>
      </c>
      <c r="S5430" s="183" t="n">
        <v>0</v>
      </c>
      <c r="T5430" s="183" t="n">
        <v>0</v>
      </c>
      <c r="U5430" s="182" t="n">
        <v>0</v>
      </c>
      <c r="V5430" s="182" t="n">
        <v>0</v>
      </c>
      <c r="W5430" s="182" t="n">
        <v>0</v>
      </c>
      <c r="X5430" s="182" t="n">
        <v>0</v>
      </c>
      <c r="Y5430" s="182" t="n">
        <v>0</v>
      </c>
      <c r="Z5430" s="182" t="n">
        <v>0</v>
      </c>
      <c r="AA5430" s="182" t="n">
        <v>0</v>
      </c>
      <c r="AB5430" s="182" t="n">
        <v>0</v>
      </c>
      <c r="AC5430" s="182" t="n">
        <v>0</v>
      </c>
      <c r="AD5430" s="182" t="n">
        <v>0</v>
      </c>
      <c r="AE5430" s="182" t="n">
        <v>0</v>
      </c>
      <c r="AF5430" s="182" t="n">
        <v>0</v>
      </c>
      <c r="AG5430" s="182" t="n">
        <v>0</v>
      </c>
      <c r="AH5430" s="182" t="n">
        <v>0</v>
      </c>
      <c r="AI5430" s="182" t="n">
        <v>0</v>
      </c>
      <c r="AJ5430" s="182" t="n">
        <v>0</v>
      </c>
      <c r="AK5430" s="182" t="n">
        <v>0</v>
      </c>
      <c r="AL5430" s="182" t="n">
        <v>0</v>
      </c>
      <c r="AM5430" s="182" t="n">
        <v>0</v>
      </c>
      <c r="AN5430" s="182" t="n">
        <v>0</v>
      </c>
    </row>
    <row r="5431">
      <c r="A5431" s="155" t="n">
        <v>46106</v>
      </c>
      <c r="B5431" s="156" t="inlineStr">
        <is>
          <t>NS</t>
        </is>
      </c>
      <c r="C5431" s="156" t="inlineStr">
        <is>
          <t>EX-223</t>
        </is>
      </c>
      <c r="D5431" s="156" t="inlineStr">
        <is>
          <t>PC 200-8MI</t>
        </is>
      </c>
      <c r="E5431" s="156" t="inlineStr">
        <is>
          <t>Excavator</t>
        </is>
      </c>
      <c r="F5431" s="156" t="inlineStr">
        <is>
          <t>Support Washing Plant</t>
        </is>
      </c>
      <c r="G5431" s="182" t="n">
        <v>10.26</v>
      </c>
      <c r="H5431" s="182" t="n">
        <v>0</v>
      </c>
      <c r="I5431" s="182" t="n">
        <v>0</v>
      </c>
      <c r="J5431" s="182" t="n">
        <v>0</v>
      </c>
      <c r="K5431" s="182" t="n">
        <v>1.74</v>
      </c>
      <c r="L5431" s="182" t="n">
        <v>12</v>
      </c>
      <c r="M5431" s="182" t="n">
        <v>0</v>
      </c>
      <c r="N5431" s="182" t="n">
        <v>0</v>
      </c>
      <c r="O5431" s="185">
        <f>SUMIFS(INPUT_RITASE!$F$5:$F$20000,INPUT_RITASE!$A$5:$A$20000,$A5431,INPUT_RITASE!$H$5:$H$20000,$B5431,INPUT_RITASE!$C$5:$C$20000,$C5431,INPUT_RITASE!$N$5:$N$20000,"OB")</f>
        <v/>
      </c>
      <c r="P5431" s="185">
        <f>SUMIFS(INPUT_RITASE!$F$5:$F$20000,INPUT_RITASE!$A$5:$A$20000,$A5431,INPUT_RITASE!$H$5:$H$20000,$B5431,INPUT_RITASE!$C$5:$C$20000,$C5431,INPUT_RITASE!$N$5:$N$20000,"Coal")</f>
        <v/>
      </c>
      <c r="Q5431" s="186">
        <f>SUMIFS(INPUT_RITASE!$L$5:$L$20000,INPUT_RITASE!$A$5:$A$20000,$A5431,INPUT_RITASE!$H$5:$H$20000,$B5431,INPUT_RITASE!$C$5:$C$20000,$C5431,INPUT_RITASE!$N$5:$N$20000,"OB")</f>
        <v/>
      </c>
      <c r="R5431" s="186">
        <f>SUMIFS(INPUT_RITASE!$L$5:$L$20000,INPUT_RITASE!$A$5:$A$20000,$A5431,INPUT_RITASE!$H$5:$H$20000,$B5431,INPUT_RITASE!$C$5:$C$20000,$C5431,INPUT_RITASE!$N$5:$N$20000,"Coal")</f>
        <v/>
      </c>
      <c r="S5431" s="183" t="n">
        <v>0</v>
      </c>
      <c r="T5431" s="183" t="n">
        <v>0</v>
      </c>
      <c r="U5431" s="182" t="n">
        <v>0</v>
      </c>
      <c r="V5431" s="182" t="n">
        <v>0</v>
      </c>
      <c r="W5431" s="182" t="n">
        <v>0</v>
      </c>
      <c r="X5431" s="182" t="n">
        <v>1.02</v>
      </c>
      <c r="Y5431" s="182" t="n">
        <v>0</v>
      </c>
      <c r="Z5431" s="182" t="n">
        <v>0</v>
      </c>
      <c r="AA5431" s="182" t="n">
        <v>0</v>
      </c>
      <c r="AB5431" s="182" t="n">
        <v>0</v>
      </c>
      <c r="AC5431" s="182" t="n">
        <v>0</v>
      </c>
      <c r="AD5431" s="182" t="n">
        <v>0</v>
      </c>
      <c r="AE5431" s="182" t="n">
        <v>0</v>
      </c>
      <c r="AF5431" s="182" t="n">
        <v>0</v>
      </c>
      <c r="AG5431" s="182" t="n">
        <v>0</v>
      </c>
      <c r="AH5431" s="182" t="n">
        <v>0.63</v>
      </c>
      <c r="AI5431" s="182" t="n">
        <v>0</v>
      </c>
      <c r="AJ5431" s="182" t="n">
        <v>0</v>
      </c>
      <c r="AK5431" s="182" t="n">
        <v>0</v>
      </c>
      <c r="AL5431" s="182" t="n">
        <v>0</v>
      </c>
      <c r="AM5431" s="182" t="n">
        <v>0.08</v>
      </c>
      <c r="AN5431" s="182" t="n">
        <v>0</v>
      </c>
    </row>
    <row r="5432">
      <c r="A5432" s="155" t="n">
        <v>46106</v>
      </c>
      <c r="B5432" s="156" t="inlineStr">
        <is>
          <t>NS</t>
        </is>
      </c>
      <c r="C5432" s="156" t="inlineStr">
        <is>
          <t>EX-221</t>
        </is>
      </c>
      <c r="D5432" s="156" t="inlineStr">
        <is>
          <t>PC 200-8MI</t>
        </is>
      </c>
      <c r="E5432" s="156" t="inlineStr">
        <is>
          <t>Excavator</t>
        </is>
      </c>
      <c r="F5432" s="156" t="inlineStr"/>
      <c r="G5432" s="182" t="n">
        <v>0</v>
      </c>
      <c r="H5432" s="182" t="n">
        <v>0</v>
      </c>
      <c r="I5432" s="182" t="n">
        <v>0</v>
      </c>
      <c r="J5432" s="182" t="n">
        <v>0</v>
      </c>
      <c r="K5432" s="182" t="n">
        <v>12</v>
      </c>
      <c r="L5432" s="182" t="n">
        <v>12</v>
      </c>
      <c r="M5432" s="182" t="n">
        <v>0</v>
      </c>
      <c r="N5432" s="182" t="n">
        <v>0</v>
      </c>
      <c r="O5432" s="185">
        <f>SUMIFS(INPUT_RITASE!$F$5:$F$20000,INPUT_RITASE!$A$5:$A$20000,$A5432,INPUT_RITASE!$H$5:$H$20000,$B5432,INPUT_RITASE!$C$5:$C$20000,$C5432,INPUT_RITASE!$N$5:$N$20000,"OB")</f>
        <v/>
      </c>
      <c r="P5432" s="185">
        <f>SUMIFS(INPUT_RITASE!$F$5:$F$20000,INPUT_RITASE!$A$5:$A$20000,$A5432,INPUT_RITASE!$H$5:$H$20000,$B5432,INPUT_RITASE!$C$5:$C$20000,$C5432,INPUT_RITASE!$N$5:$N$20000,"Coal")</f>
        <v/>
      </c>
      <c r="Q5432" s="186">
        <f>SUMIFS(INPUT_RITASE!$L$5:$L$20000,INPUT_RITASE!$A$5:$A$20000,$A5432,INPUT_RITASE!$H$5:$H$20000,$B5432,INPUT_RITASE!$C$5:$C$20000,$C5432,INPUT_RITASE!$N$5:$N$20000,"OB")</f>
        <v/>
      </c>
      <c r="R5432" s="186">
        <f>SUMIFS(INPUT_RITASE!$L$5:$L$20000,INPUT_RITASE!$A$5:$A$20000,$A5432,INPUT_RITASE!$H$5:$H$20000,$B5432,INPUT_RITASE!$C$5:$C$20000,$C5432,INPUT_RITASE!$N$5:$N$20000,"Coal")</f>
        <v/>
      </c>
      <c r="S5432" s="183" t="n">
        <v>0</v>
      </c>
      <c r="T5432" s="183" t="n">
        <v>0</v>
      </c>
      <c r="U5432" s="182" t="n">
        <v>0</v>
      </c>
      <c r="V5432" s="182" t="n">
        <v>0</v>
      </c>
      <c r="W5432" s="182" t="n">
        <v>0</v>
      </c>
      <c r="X5432" s="182" t="n">
        <v>1</v>
      </c>
      <c r="Y5432" s="182" t="n">
        <v>0</v>
      </c>
      <c r="Z5432" s="182" t="n">
        <v>0</v>
      </c>
      <c r="AA5432" s="182" t="n">
        <v>0</v>
      </c>
      <c r="AB5432" s="182" t="n">
        <v>0</v>
      </c>
      <c r="AC5432" s="182" t="n">
        <v>0</v>
      </c>
      <c r="AD5432" s="182" t="n">
        <v>0</v>
      </c>
      <c r="AE5432" s="182" t="n">
        <v>0</v>
      </c>
      <c r="AF5432" s="182" t="n">
        <v>0</v>
      </c>
      <c r="AG5432" s="182" t="n">
        <v>0</v>
      </c>
      <c r="AH5432" s="182" t="n">
        <v>0</v>
      </c>
      <c r="AI5432" s="182" t="n">
        <v>0</v>
      </c>
      <c r="AJ5432" s="182" t="n">
        <v>0</v>
      </c>
      <c r="AK5432" s="182" t="n">
        <v>10.92</v>
      </c>
      <c r="AL5432" s="182" t="n">
        <v>0</v>
      </c>
      <c r="AM5432" s="182" t="n">
        <v>0.08</v>
      </c>
      <c r="AN5432" s="182" t="n">
        <v>0</v>
      </c>
    </row>
    <row r="5433">
      <c r="A5433" s="155" t="n">
        <v>46106</v>
      </c>
      <c r="B5433" s="156" t="inlineStr">
        <is>
          <t>NS</t>
        </is>
      </c>
      <c r="C5433" s="156" t="inlineStr">
        <is>
          <t>EX-331</t>
        </is>
      </c>
      <c r="D5433" s="156" t="inlineStr">
        <is>
          <t>PC 300-8MO</t>
        </is>
      </c>
      <c r="E5433" s="156" t="inlineStr">
        <is>
          <t>Excavator</t>
        </is>
      </c>
      <c r="F5433" s="156" t="inlineStr"/>
      <c r="G5433" s="182" t="n">
        <v>0</v>
      </c>
      <c r="H5433" s="182" t="n">
        <v>0</v>
      </c>
      <c r="I5433" s="182" t="n">
        <v>12</v>
      </c>
      <c r="J5433" s="182" t="n">
        <v>12</v>
      </c>
      <c r="K5433" s="182" t="n">
        <v>0</v>
      </c>
      <c r="L5433" s="182" t="n">
        <v>12</v>
      </c>
      <c r="M5433" s="182" t="n">
        <v>0</v>
      </c>
      <c r="N5433" s="182" t="n">
        <v>0</v>
      </c>
      <c r="O5433" s="185">
        <f>SUMIFS(INPUT_RITASE!$F$5:$F$20000,INPUT_RITASE!$A$5:$A$20000,$A5433,INPUT_RITASE!$H$5:$H$20000,$B5433,INPUT_RITASE!$C$5:$C$20000,$C5433,INPUT_RITASE!$N$5:$N$20000,"OB")</f>
        <v/>
      </c>
      <c r="P5433" s="185">
        <f>SUMIFS(INPUT_RITASE!$F$5:$F$20000,INPUT_RITASE!$A$5:$A$20000,$A5433,INPUT_RITASE!$H$5:$H$20000,$B5433,INPUT_RITASE!$C$5:$C$20000,$C5433,INPUT_RITASE!$N$5:$N$20000,"Coal")</f>
        <v/>
      </c>
      <c r="Q5433" s="186">
        <f>SUMIFS(INPUT_RITASE!$L$5:$L$20000,INPUT_RITASE!$A$5:$A$20000,$A5433,INPUT_RITASE!$H$5:$H$20000,$B5433,INPUT_RITASE!$C$5:$C$20000,$C5433,INPUT_RITASE!$N$5:$N$20000,"OB")</f>
        <v/>
      </c>
      <c r="R5433" s="186">
        <f>SUMIFS(INPUT_RITASE!$L$5:$L$20000,INPUT_RITASE!$A$5:$A$20000,$A5433,INPUT_RITASE!$H$5:$H$20000,$B5433,INPUT_RITASE!$C$5:$C$20000,$C5433,INPUT_RITASE!$N$5:$N$20000,"Coal")</f>
        <v/>
      </c>
      <c r="S5433" s="183" t="n">
        <v>0</v>
      </c>
      <c r="T5433" s="183" t="n">
        <v>0</v>
      </c>
      <c r="U5433" s="182" t="n">
        <v>0</v>
      </c>
      <c r="V5433" s="182" t="n">
        <v>0</v>
      </c>
      <c r="W5433" s="182" t="n">
        <v>0</v>
      </c>
      <c r="X5433" s="182" t="n">
        <v>0</v>
      </c>
      <c r="Y5433" s="182" t="n">
        <v>0</v>
      </c>
      <c r="Z5433" s="182" t="n">
        <v>0</v>
      </c>
      <c r="AA5433" s="182" t="n">
        <v>0</v>
      </c>
      <c r="AB5433" s="182" t="n">
        <v>0</v>
      </c>
      <c r="AC5433" s="182" t="n">
        <v>0</v>
      </c>
      <c r="AD5433" s="182" t="n">
        <v>0</v>
      </c>
      <c r="AE5433" s="182" t="n">
        <v>0</v>
      </c>
      <c r="AF5433" s="182" t="n">
        <v>0</v>
      </c>
      <c r="AG5433" s="182" t="n">
        <v>0</v>
      </c>
      <c r="AH5433" s="182" t="n">
        <v>0</v>
      </c>
      <c r="AI5433" s="182" t="n">
        <v>0</v>
      </c>
      <c r="AJ5433" s="182" t="n">
        <v>0</v>
      </c>
      <c r="AK5433" s="182" t="n">
        <v>0</v>
      </c>
      <c r="AL5433" s="182" t="n">
        <v>0</v>
      </c>
      <c r="AM5433" s="182" t="n">
        <v>0</v>
      </c>
      <c r="AN5433" s="182" t="n">
        <v>0</v>
      </c>
    </row>
    <row r="5434">
      <c r="A5434" s="155" t="n">
        <v>46106</v>
      </c>
      <c r="B5434" s="156" t="inlineStr">
        <is>
          <t>NS</t>
        </is>
      </c>
      <c r="C5434" s="156" t="inlineStr">
        <is>
          <t>EX-334</t>
        </is>
      </c>
      <c r="D5434" s="156" t="inlineStr">
        <is>
          <t>PC 300-8MO</t>
        </is>
      </c>
      <c r="E5434" s="156" t="inlineStr">
        <is>
          <t>Excavator</t>
        </is>
      </c>
      <c r="F5434" s="156" t="inlineStr">
        <is>
          <t>General Estapet Soil</t>
        </is>
      </c>
      <c r="G5434" s="182" t="n">
        <v>11.88</v>
      </c>
      <c r="H5434" s="182" t="n">
        <v>0</v>
      </c>
      <c r="I5434" s="182" t="n">
        <v>0.12</v>
      </c>
      <c r="J5434" s="182" t="n">
        <v>0.12</v>
      </c>
      <c r="K5434" s="182" t="n">
        <v>0</v>
      </c>
      <c r="L5434" s="182" t="n">
        <v>12</v>
      </c>
      <c r="M5434" s="182" t="n">
        <v>0</v>
      </c>
      <c r="N5434" s="182" t="n">
        <v>0</v>
      </c>
      <c r="O5434" s="185">
        <f>SUMIFS(INPUT_RITASE!$F$5:$F$20000,INPUT_RITASE!$A$5:$A$20000,$A5434,INPUT_RITASE!$H$5:$H$20000,$B5434,INPUT_RITASE!$C$5:$C$20000,$C5434,INPUT_RITASE!$N$5:$N$20000,"OB")</f>
        <v/>
      </c>
      <c r="P5434" s="185">
        <f>SUMIFS(INPUT_RITASE!$F$5:$F$20000,INPUT_RITASE!$A$5:$A$20000,$A5434,INPUT_RITASE!$H$5:$H$20000,$B5434,INPUT_RITASE!$C$5:$C$20000,$C5434,INPUT_RITASE!$N$5:$N$20000,"Coal")</f>
        <v/>
      </c>
      <c r="Q5434" s="186">
        <f>SUMIFS(INPUT_RITASE!$L$5:$L$20000,INPUT_RITASE!$A$5:$A$20000,$A5434,INPUT_RITASE!$H$5:$H$20000,$B5434,INPUT_RITASE!$C$5:$C$20000,$C5434,INPUT_RITASE!$N$5:$N$20000,"OB")</f>
        <v/>
      </c>
      <c r="R5434" s="186">
        <f>SUMIFS(INPUT_RITASE!$L$5:$L$20000,INPUT_RITASE!$A$5:$A$20000,$A5434,INPUT_RITASE!$H$5:$H$20000,$B5434,INPUT_RITASE!$C$5:$C$20000,$C5434,INPUT_RITASE!$N$5:$N$20000,"Coal")</f>
        <v/>
      </c>
      <c r="S5434" s="183" t="n">
        <v>0</v>
      </c>
      <c r="T5434" s="183" t="n">
        <v>0</v>
      </c>
      <c r="U5434" s="182" t="n">
        <v>0</v>
      </c>
      <c r="V5434" s="182" t="n">
        <v>0</v>
      </c>
      <c r="W5434" s="182" t="n">
        <v>0</v>
      </c>
      <c r="X5434" s="182" t="n">
        <v>0</v>
      </c>
      <c r="Y5434" s="182" t="n">
        <v>0</v>
      </c>
      <c r="Z5434" s="182" t="n">
        <v>0</v>
      </c>
      <c r="AA5434" s="182" t="n">
        <v>0</v>
      </c>
      <c r="AB5434" s="182" t="n">
        <v>0</v>
      </c>
      <c r="AC5434" s="182" t="n">
        <v>0</v>
      </c>
      <c r="AD5434" s="182" t="n">
        <v>0</v>
      </c>
      <c r="AE5434" s="182" t="n">
        <v>0</v>
      </c>
      <c r="AF5434" s="182" t="n">
        <v>0</v>
      </c>
      <c r="AG5434" s="182" t="n">
        <v>0</v>
      </c>
      <c r="AH5434" s="182" t="n">
        <v>0</v>
      </c>
      <c r="AI5434" s="182" t="n">
        <v>0</v>
      </c>
      <c r="AJ5434" s="182" t="n">
        <v>0</v>
      </c>
      <c r="AK5434" s="182" t="n">
        <v>0</v>
      </c>
      <c r="AL5434" s="182" t="n">
        <v>0</v>
      </c>
      <c r="AM5434" s="182" t="n">
        <v>0</v>
      </c>
      <c r="AN5434" s="182" t="n">
        <v>0</v>
      </c>
    </row>
    <row r="5435">
      <c r="A5435" s="155" t="n">
        <v>46106</v>
      </c>
      <c r="B5435" s="156" t="inlineStr">
        <is>
          <t>NS</t>
        </is>
      </c>
      <c r="C5435" s="156" t="inlineStr">
        <is>
          <t>EX-332</t>
        </is>
      </c>
      <c r="D5435" s="156" t="inlineStr">
        <is>
          <t>PC 300-8MO</t>
        </is>
      </c>
      <c r="E5435" s="156" t="inlineStr">
        <is>
          <t>Excavator</t>
        </is>
      </c>
      <c r="F5435" s="156" t="inlineStr"/>
      <c r="G5435" s="182" t="n">
        <v>0</v>
      </c>
      <c r="H5435" s="182" t="n">
        <v>0</v>
      </c>
      <c r="I5435" s="182" t="n">
        <v>12</v>
      </c>
      <c r="J5435" s="182" t="n">
        <v>12</v>
      </c>
      <c r="K5435" s="182" t="n">
        <v>0</v>
      </c>
      <c r="L5435" s="182" t="n">
        <v>12</v>
      </c>
      <c r="M5435" s="182" t="n">
        <v>0</v>
      </c>
      <c r="N5435" s="182" t="n">
        <v>0</v>
      </c>
      <c r="O5435" s="185">
        <f>SUMIFS(INPUT_RITASE!$F$5:$F$20000,INPUT_RITASE!$A$5:$A$20000,$A5435,INPUT_RITASE!$H$5:$H$20000,$B5435,INPUT_RITASE!$C$5:$C$20000,$C5435,INPUT_RITASE!$N$5:$N$20000,"OB")</f>
        <v/>
      </c>
      <c r="P5435" s="185">
        <f>SUMIFS(INPUT_RITASE!$F$5:$F$20000,INPUT_RITASE!$A$5:$A$20000,$A5435,INPUT_RITASE!$H$5:$H$20000,$B5435,INPUT_RITASE!$C$5:$C$20000,$C5435,INPUT_RITASE!$N$5:$N$20000,"Coal")</f>
        <v/>
      </c>
      <c r="Q5435" s="186">
        <f>SUMIFS(INPUT_RITASE!$L$5:$L$20000,INPUT_RITASE!$A$5:$A$20000,$A5435,INPUT_RITASE!$H$5:$H$20000,$B5435,INPUT_RITASE!$C$5:$C$20000,$C5435,INPUT_RITASE!$N$5:$N$20000,"OB")</f>
        <v/>
      </c>
      <c r="R5435" s="186">
        <f>SUMIFS(INPUT_RITASE!$L$5:$L$20000,INPUT_RITASE!$A$5:$A$20000,$A5435,INPUT_RITASE!$H$5:$H$20000,$B5435,INPUT_RITASE!$C$5:$C$20000,$C5435,INPUT_RITASE!$N$5:$N$20000,"Coal")</f>
        <v/>
      </c>
      <c r="S5435" s="183" t="n">
        <v>0</v>
      </c>
      <c r="T5435" s="183" t="n">
        <v>0</v>
      </c>
      <c r="U5435" s="182" t="n">
        <v>0</v>
      </c>
      <c r="V5435" s="182" t="n">
        <v>0</v>
      </c>
      <c r="W5435" s="182" t="n">
        <v>0</v>
      </c>
      <c r="X5435" s="182" t="n">
        <v>0</v>
      </c>
      <c r="Y5435" s="182" t="n">
        <v>0</v>
      </c>
      <c r="Z5435" s="182" t="n">
        <v>0</v>
      </c>
      <c r="AA5435" s="182" t="n">
        <v>0</v>
      </c>
      <c r="AB5435" s="182" t="n">
        <v>0</v>
      </c>
      <c r="AC5435" s="182" t="n">
        <v>0</v>
      </c>
      <c r="AD5435" s="182" t="n">
        <v>0</v>
      </c>
      <c r="AE5435" s="182" t="n">
        <v>0</v>
      </c>
      <c r="AF5435" s="182" t="n">
        <v>0</v>
      </c>
      <c r="AG5435" s="182" t="n">
        <v>0</v>
      </c>
      <c r="AH5435" s="182" t="n">
        <v>0</v>
      </c>
      <c r="AI5435" s="182" t="n">
        <v>0</v>
      </c>
      <c r="AJ5435" s="182" t="n">
        <v>0</v>
      </c>
      <c r="AK5435" s="182" t="n">
        <v>0</v>
      </c>
      <c r="AL5435" s="182" t="n">
        <v>0</v>
      </c>
      <c r="AM5435" s="182" t="n">
        <v>0</v>
      </c>
      <c r="AN5435" s="182" t="n">
        <v>0</v>
      </c>
    </row>
    <row r="5436">
      <c r="A5436" s="155" t="n">
        <v>46106</v>
      </c>
      <c r="B5436" s="156" t="inlineStr">
        <is>
          <t>NS</t>
        </is>
      </c>
      <c r="C5436" s="156" t="inlineStr">
        <is>
          <t>EX-333</t>
        </is>
      </c>
      <c r="D5436" s="156" t="inlineStr">
        <is>
          <t>PC 300-8MO</t>
        </is>
      </c>
      <c r="E5436" s="156" t="inlineStr">
        <is>
          <t>Excavator</t>
        </is>
      </c>
      <c r="F5436" s="156" t="inlineStr"/>
      <c r="G5436" s="182" t="n">
        <v>0</v>
      </c>
      <c r="H5436" s="182" t="n">
        <v>0</v>
      </c>
      <c r="I5436" s="182" t="n">
        <v>12</v>
      </c>
      <c r="J5436" s="182" t="n">
        <v>12</v>
      </c>
      <c r="K5436" s="182" t="n">
        <v>0</v>
      </c>
      <c r="L5436" s="182" t="n">
        <v>12</v>
      </c>
      <c r="M5436" s="182" t="n">
        <v>0</v>
      </c>
      <c r="N5436" s="182" t="n">
        <v>0</v>
      </c>
      <c r="O5436" s="185">
        <f>SUMIFS(INPUT_RITASE!$F$5:$F$20000,INPUT_RITASE!$A$5:$A$20000,$A5436,INPUT_RITASE!$H$5:$H$20000,$B5436,INPUT_RITASE!$C$5:$C$20000,$C5436,INPUT_RITASE!$N$5:$N$20000,"OB")</f>
        <v/>
      </c>
      <c r="P5436" s="185">
        <f>SUMIFS(INPUT_RITASE!$F$5:$F$20000,INPUT_RITASE!$A$5:$A$20000,$A5436,INPUT_RITASE!$H$5:$H$20000,$B5436,INPUT_RITASE!$C$5:$C$20000,$C5436,INPUT_RITASE!$N$5:$N$20000,"Coal")</f>
        <v/>
      </c>
      <c r="Q5436" s="186">
        <f>SUMIFS(INPUT_RITASE!$L$5:$L$20000,INPUT_RITASE!$A$5:$A$20000,$A5436,INPUT_RITASE!$H$5:$H$20000,$B5436,INPUT_RITASE!$C$5:$C$20000,$C5436,INPUT_RITASE!$N$5:$N$20000,"OB")</f>
        <v/>
      </c>
      <c r="R5436" s="186">
        <f>SUMIFS(INPUT_RITASE!$L$5:$L$20000,INPUT_RITASE!$A$5:$A$20000,$A5436,INPUT_RITASE!$H$5:$H$20000,$B5436,INPUT_RITASE!$C$5:$C$20000,$C5436,INPUT_RITASE!$N$5:$N$20000,"Coal")</f>
        <v/>
      </c>
      <c r="S5436" s="183" t="n">
        <v>0</v>
      </c>
      <c r="T5436" s="183" t="n">
        <v>0</v>
      </c>
      <c r="U5436" s="182" t="n">
        <v>0</v>
      </c>
      <c r="V5436" s="182" t="n">
        <v>0</v>
      </c>
      <c r="W5436" s="182" t="n">
        <v>0</v>
      </c>
      <c r="X5436" s="182" t="n">
        <v>0</v>
      </c>
      <c r="Y5436" s="182" t="n">
        <v>0</v>
      </c>
      <c r="Z5436" s="182" t="n">
        <v>0</v>
      </c>
      <c r="AA5436" s="182" t="n">
        <v>0</v>
      </c>
      <c r="AB5436" s="182" t="n">
        <v>0</v>
      </c>
      <c r="AC5436" s="182" t="n">
        <v>0</v>
      </c>
      <c r="AD5436" s="182" t="n">
        <v>0</v>
      </c>
      <c r="AE5436" s="182" t="n">
        <v>0</v>
      </c>
      <c r="AF5436" s="182" t="n">
        <v>0</v>
      </c>
      <c r="AG5436" s="182" t="n">
        <v>0</v>
      </c>
      <c r="AH5436" s="182" t="n">
        <v>0</v>
      </c>
      <c r="AI5436" s="182" t="n">
        <v>0</v>
      </c>
      <c r="AJ5436" s="182" t="n">
        <v>0</v>
      </c>
      <c r="AK5436" s="182" t="n">
        <v>0</v>
      </c>
      <c r="AL5436" s="182" t="n">
        <v>0</v>
      </c>
      <c r="AM5436" s="182" t="n">
        <v>0</v>
      </c>
      <c r="AN5436" s="182" t="n">
        <v>0</v>
      </c>
    </row>
    <row r="5437">
      <c r="A5437" s="155" t="n">
        <v>46106</v>
      </c>
      <c r="B5437" s="156" t="inlineStr">
        <is>
          <t>NS</t>
        </is>
      </c>
      <c r="C5437" s="156" t="inlineStr">
        <is>
          <t>EX-336</t>
        </is>
      </c>
      <c r="D5437" s="156" t="inlineStr">
        <is>
          <t>PC 300-8MO</t>
        </is>
      </c>
      <c r="E5437" s="156" t="inlineStr">
        <is>
          <t>Excavator</t>
        </is>
      </c>
      <c r="F5437" s="156" t="inlineStr">
        <is>
          <t>Loading Coal &amp; Cleaning Coal</t>
        </is>
      </c>
      <c r="G5437" s="182" t="n">
        <v>11.38</v>
      </c>
      <c r="H5437" s="182" t="n">
        <v>0</v>
      </c>
      <c r="I5437" s="182" t="n">
        <v>0</v>
      </c>
      <c r="J5437" s="182" t="n">
        <v>0</v>
      </c>
      <c r="K5437" s="182" t="n">
        <v>0.62</v>
      </c>
      <c r="L5437" s="182" t="n">
        <v>12</v>
      </c>
      <c r="M5437" s="182" t="n">
        <v>0</v>
      </c>
      <c r="N5437" s="182" t="n">
        <v>2.59</v>
      </c>
      <c r="O5437" s="185">
        <f>SUMIFS(INPUT_RITASE!$F$5:$F$20000,INPUT_RITASE!$A$5:$A$20000,$A5437,INPUT_RITASE!$H$5:$H$20000,$B5437,INPUT_RITASE!$C$5:$C$20000,$C5437,INPUT_RITASE!$N$5:$N$20000,"OB")</f>
        <v/>
      </c>
      <c r="P5437" s="185">
        <f>SUMIFS(INPUT_RITASE!$F$5:$F$20000,INPUT_RITASE!$A$5:$A$20000,$A5437,INPUT_RITASE!$H$5:$H$20000,$B5437,INPUT_RITASE!$C$5:$C$20000,$C5437,INPUT_RITASE!$N$5:$N$20000,"Coal")</f>
        <v/>
      </c>
      <c r="Q5437" s="186">
        <f>SUMIFS(INPUT_RITASE!$L$5:$L$20000,INPUT_RITASE!$A$5:$A$20000,$A5437,INPUT_RITASE!$H$5:$H$20000,$B5437,INPUT_RITASE!$C$5:$C$20000,$C5437,INPUT_RITASE!$N$5:$N$20000,"OB")</f>
        <v/>
      </c>
      <c r="R5437" s="186">
        <f>SUMIFS(INPUT_RITASE!$L$5:$L$20000,INPUT_RITASE!$A$5:$A$20000,$A5437,INPUT_RITASE!$H$5:$H$20000,$B5437,INPUT_RITASE!$C$5:$C$20000,$C5437,INPUT_RITASE!$N$5:$N$20000,"Coal")</f>
        <v/>
      </c>
      <c r="S5437" s="183" t="n">
        <v>0</v>
      </c>
      <c r="T5437" s="183" t="n">
        <v>0</v>
      </c>
      <c r="U5437" s="182" t="n">
        <v>0</v>
      </c>
      <c r="V5437" s="182" t="n">
        <v>0</v>
      </c>
      <c r="W5437" s="182" t="n">
        <v>0</v>
      </c>
      <c r="X5437" s="182" t="n">
        <v>0.57</v>
      </c>
      <c r="Y5437" s="182" t="n">
        <v>0</v>
      </c>
      <c r="Z5437" s="182" t="n">
        <v>0</v>
      </c>
      <c r="AA5437" s="182" t="n">
        <v>0</v>
      </c>
      <c r="AB5437" s="182" t="n">
        <v>0</v>
      </c>
      <c r="AC5437" s="182" t="n">
        <v>0</v>
      </c>
      <c r="AD5437" s="182" t="n">
        <v>0</v>
      </c>
      <c r="AE5437" s="182" t="n">
        <v>0</v>
      </c>
      <c r="AF5437" s="182" t="n">
        <v>0</v>
      </c>
      <c r="AG5437" s="182" t="n">
        <v>0</v>
      </c>
      <c r="AH5437" s="182" t="n">
        <v>0</v>
      </c>
      <c r="AI5437" s="182" t="n">
        <v>0</v>
      </c>
      <c r="AJ5437" s="182" t="n">
        <v>0</v>
      </c>
      <c r="AK5437" s="182" t="n">
        <v>0</v>
      </c>
      <c r="AL5437" s="182" t="n">
        <v>0</v>
      </c>
      <c r="AM5437" s="182" t="n">
        <v>0.05</v>
      </c>
      <c r="AN5437" s="182" t="n">
        <v>0</v>
      </c>
    </row>
    <row r="5438">
      <c r="A5438" s="155" t="n">
        <v>46106</v>
      </c>
      <c r="B5438" s="156" t="inlineStr">
        <is>
          <t>NS</t>
        </is>
      </c>
      <c r="C5438" s="156" t="inlineStr">
        <is>
          <t>EX-335</t>
        </is>
      </c>
      <c r="D5438" s="156" t="inlineStr">
        <is>
          <t>PC 300-8MO</t>
        </is>
      </c>
      <c r="E5438" s="156" t="inlineStr">
        <is>
          <t>Excavator</t>
        </is>
      </c>
      <c r="F5438" s="156" t="inlineStr"/>
      <c r="G5438" s="182" t="n">
        <v>0</v>
      </c>
      <c r="H5438" s="182" t="n">
        <v>0</v>
      </c>
      <c r="I5438" s="182" t="n">
        <v>12</v>
      </c>
      <c r="J5438" s="182" t="n">
        <v>12</v>
      </c>
      <c r="K5438" s="182" t="n">
        <v>0</v>
      </c>
      <c r="L5438" s="182" t="n">
        <v>12</v>
      </c>
      <c r="M5438" s="182" t="n">
        <v>0</v>
      </c>
      <c r="N5438" s="182" t="n">
        <v>0</v>
      </c>
      <c r="O5438" s="185">
        <f>SUMIFS(INPUT_RITASE!$F$5:$F$20000,INPUT_RITASE!$A$5:$A$20000,$A5438,INPUT_RITASE!$H$5:$H$20000,$B5438,INPUT_RITASE!$C$5:$C$20000,$C5438,INPUT_RITASE!$N$5:$N$20000,"OB")</f>
        <v/>
      </c>
      <c r="P5438" s="185">
        <f>SUMIFS(INPUT_RITASE!$F$5:$F$20000,INPUT_RITASE!$A$5:$A$20000,$A5438,INPUT_RITASE!$H$5:$H$20000,$B5438,INPUT_RITASE!$C$5:$C$20000,$C5438,INPUT_RITASE!$N$5:$N$20000,"Coal")</f>
        <v/>
      </c>
      <c r="Q5438" s="186">
        <f>SUMIFS(INPUT_RITASE!$L$5:$L$20000,INPUT_RITASE!$A$5:$A$20000,$A5438,INPUT_RITASE!$H$5:$H$20000,$B5438,INPUT_RITASE!$C$5:$C$20000,$C5438,INPUT_RITASE!$N$5:$N$20000,"OB")</f>
        <v/>
      </c>
      <c r="R5438" s="186">
        <f>SUMIFS(INPUT_RITASE!$L$5:$L$20000,INPUT_RITASE!$A$5:$A$20000,$A5438,INPUT_RITASE!$H$5:$H$20000,$B5438,INPUT_RITASE!$C$5:$C$20000,$C5438,INPUT_RITASE!$N$5:$N$20000,"Coal")</f>
        <v/>
      </c>
      <c r="S5438" s="183" t="n">
        <v>0</v>
      </c>
      <c r="T5438" s="183" t="n">
        <v>0</v>
      </c>
      <c r="U5438" s="182" t="n">
        <v>0</v>
      </c>
      <c r="V5438" s="182" t="n">
        <v>0</v>
      </c>
      <c r="W5438" s="182" t="n">
        <v>0</v>
      </c>
      <c r="X5438" s="182" t="n">
        <v>0</v>
      </c>
      <c r="Y5438" s="182" t="n">
        <v>0</v>
      </c>
      <c r="Z5438" s="182" t="n">
        <v>0</v>
      </c>
      <c r="AA5438" s="182" t="n">
        <v>0</v>
      </c>
      <c r="AB5438" s="182" t="n">
        <v>0</v>
      </c>
      <c r="AC5438" s="182" t="n">
        <v>0</v>
      </c>
      <c r="AD5438" s="182" t="n">
        <v>0</v>
      </c>
      <c r="AE5438" s="182" t="n">
        <v>0</v>
      </c>
      <c r="AF5438" s="182" t="n">
        <v>0</v>
      </c>
      <c r="AG5438" s="182" t="n">
        <v>0</v>
      </c>
      <c r="AH5438" s="182" t="n">
        <v>0</v>
      </c>
      <c r="AI5438" s="182" t="n">
        <v>0</v>
      </c>
      <c r="AJ5438" s="182" t="n">
        <v>0</v>
      </c>
      <c r="AK5438" s="182" t="n">
        <v>0</v>
      </c>
      <c r="AL5438" s="182" t="n">
        <v>0</v>
      </c>
      <c r="AM5438" s="182" t="n">
        <v>0</v>
      </c>
      <c r="AN5438" s="182" t="n">
        <v>0</v>
      </c>
    </row>
    <row r="5439">
      <c r="A5439" s="155" t="n">
        <v>46106</v>
      </c>
      <c r="B5439" s="156" t="inlineStr">
        <is>
          <t>NS</t>
        </is>
      </c>
      <c r="C5439" s="156" t="inlineStr">
        <is>
          <t>EX-754</t>
        </is>
      </c>
      <c r="D5439" s="156" t="inlineStr">
        <is>
          <t>SY750H-PRO</t>
        </is>
      </c>
      <c r="E5439" s="156" t="inlineStr">
        <is>
          <t>Excavator</t>
        </is>
      </c>
      <c r="F5439" s="156" t="inlineStr">
        <is>
          <t>Loading OB</t>
        </is>
      </c>
      <c r="G5439" s="182" t="n">
        <v>4.51</v>
      </c>
      <c r="H5439" s="182" t="n">
        <v>0</v>
      </c>
      <c r="I5439" s="182" t="n">
        <v>7.39</v>
      </c>
      <c r="J5439" s="182" t="n">
        <v>7.39</v>
      </c>
      <c r="K5439" s="182" t="n">
        <v>0.1</v>
      </c>
      <c r="L5439" s="182" t="n">
        <v>12</v>
      </c>
      <c r="M5439" s="182" t="n">
        <v>4.51</v>
      </c>
      <c r="N5439" s="182" t="n">
        <v>0</v>
      </c>
      <c r="O5439" s="185">
        <f>SUMIFS(INPUT_RITASE!$F$5:$F$20000,INPUT_RITASE!$A$5:$A$20000,$A5439,INPUT_RITASE!$H$5:$H$20000,$B5439,INPUT_RITASE!$C$5:$C$20000,$C5439,INPUT_RITASE!$N$5:$N$20000,"OB")</f>
        <v/>
      </c>
      <c r="P5439" s="185">
        <f>SUMIFS(INPUT_RITASE!$F$5:$F$20000,INPUT_RITASE!$A$5:$A$20000,$A5439,INPUT_RITASE!$H$5:$H$20000,$B5439,INPUT_RITASE!$C$5:$C$20000,$C5439,INPUT_RITASE!$N$5:$N$20000,"Coal")</f>
        <v/>
      </c>
      <c r="Q5439" s="186">
        <f>SUMIFS(INPUT_RITASE!$L$5:$L$20000,INPUT_RITASE!$A$5:$A$20000,$A5439,INPUT_RITASE!$H$5:$H$20000,$B5439,INPUT_RITASE!$C$5:$C$20000,$C5439,INPUT_RITASE!$N$5:$N$20000,"OB")</f>
        <v/>
      </c>
      <c r="R5439" s="186">
        <f>SUMIFS(INPUT_RITASE!$L$5:$L$20000,INPUT_RITASE!$A$5:$A$20000,$A5439,INPUT_RITASE!$H$5:$H$20000,$B5439,INPUT_RITASE!$C$5:$C$20000,$C5439,INPUT_RITASE!$N$5:$N$20000,"Coal")</f>
        <v/>
      </c>
      <c r="S5439" s="183" t="n">
        <v>0</v>
      </c>
      <c r="T5439" s="183" t="n">
        <v>0</v>
      </c>
      <c r="U5439" s="182" t="n">
        <v>0</v>
      </c>
      <c r="V5439" s="182" t="n">
        <v>0</v>
      </c>
      <c r="W5439" s="182" t="n">
        <v>0</v>
      </c>
      <c r="X5439" s="182" t="n">
        <v>0</v>
      </c>
      <c r="Y5439" s="182" t="n">
        <v>0</v>
      </c>
      <c r="Z5439" s="182" t="n">
        <v>0</v>
      </c>
      <c r="AA5439" s="182" t="n">
        <v>0</v>
      </c>
      <c r="AB5439" s="182" t="n">
        <v>0</v>
      </c>
      <c r="AC5439" s="182" t="n">
        <v>0</v>
      </c>
      <c r="AD5439" s="182" t="n">
        <v>0</v>
      </c>
      <c r="AE5439" s="182" t="n">
        <v>0</v>
      </c>
      <c r="AF5439" s="182" t="n">
        <v>0</v>
      </c>
      <c r="AG5439" s="182" t="n">
        <v>0</v>
      </c>
      <c r="AH5439" s="182" t="n">
        <v>0</v>
      </c>
      <c r="AI5439" s="182" t="n">
        <v>0</v>
      </c>
      <c r="AJ5439" s="182" t="n">
        <v>0</v>
      </c>
      <c r="AK5439" s="182" t="n">
        <v>0</v>
      </c>
      <c r="AL5439" s="182" t="n">
        <v>0</v>
      </c>
      <c r="AM5439" s="182" t="n">
        <v>0.1</v>
      </c>
      <c r="AN5439" s="182" t="n">
        <v>0</v>
      </c>
    </row>
    <row r="5440">
      <c r="A5440" s="155" t="n">
        <v>46106</v>
      </c>
      <c r="B5440" s="156" t="inlineStr">
        <is>
          <t>NS</t>
        </is>
      </c>
      <c r="C5440" s="156" t="inlineStr">
        <is>
          <t>EX-755</t>
        </is>
      </c>
      <c r="D5440" s="156" t="inlineStr">
        <is>
          <t>SY750H-PRO</t>
        </is>
      </c>
      <c r="E5440" s="156" t="inlineStr">
        <is>
          <t>Excavator</t>
        </is>
      </c>
      <c r="F5440" s="156" t="inlineStr">
        <is>
          <t>Loading OB</t>
        </is>
      </c>
      <c r="G5440" s="182" t="n">
        <v>9.390000000000001</v>
      </c>
      <c r="H5440" s="182" t="n">
        <v>0</v>
      </c>
      <c r="I5440" s="182" t="n">
        <v>0</v>
      </c>
      <c r="J5440" s="182" t="n">
        <v>0</v>
      </c>
      <c r="K5440" s="182" t="n">
        <v>2.61</v>
      </c>
      <c r="L5440" s="182" t="n">
        <v>12</v>
      </c>
      <c r="M5440" s="182" t="n">
        <v>8.98</v>
      </c>
      <c r="N5440" s="182" t="n">
        <v>0</v>
      </c>
      <c r="O5440" s="185">
        <f>SUMIFS(INPUT_RITASE!$F$5:$F$20000,INPUT_RITASE!$A$5:$A$20000,$A5440,INPUT_RITASE!$H$5:$H$20000,$B5440,INPUT_RITASE!$C$5:$C$20000,$C5440,INPUT_RITASE!$N$5:$N$20000,"OB")</f>
        <v/>
      </c>
      <c r="P5440" s="185">
        <f>SUMIFS(INPUT_RITASE!$F$5:$F$20000,INPUT_RITASE!$A$5:$A$20000,$A5440,INPUT_RITASE!$H$5:$H$20000,$B5440,INPUT_RITASE!$C$5:$C$20000,$C5440,INPUT_RITASE!$N$5:$N$20000,"Coal")</f>
        <v/>
      </c>
      <c r="Q5440" s="186">
        <f>SUMIFS(INPUT_RITASE!$L$5:$L$20000,INPUT_RITASE!$A$5:$A$20000,$A5440,INPUT_RITASE!$H$5:$H$20000,$B5440,INPUT_RITASE!$C$5:$C$20000,$C5440,INPUT_RITASE!$N$5:$N$20000,"OB")</f>
        <v/>
      </c>
      <c r="R5440" s="186">
        <f>SUMIFS(INPUT_RITASE!$L$5:$L$20000,INPUT_RITASE!$A$5:$A$20000,$A5440,INPUT_RITASE!$H$5:$H$20000,$B5440,INPUT_RITASE!$C$5:$C$20000,$C5440,INPUT_RITASE!$N$5:$N$20000,"Coal")</f>
        <v/>
      </c>
      <c r="S5440" s="183" t="n">
        <v>0</v>
      </c>
      <c r="T5440" s="183" t="n">
        <v>0</v>
      </c>
      <c r="U5440" s="182" t="n">
        <v>1.45</v>
      </c>
      <c r="V5440" s="182" t="n">
        <v>0</v>
      </c>
      <c r="W5440" s="182" t="n">
        <v>0</v>
      </c>
      <c r="X5440" s="182" t="n">
        <v>1.07</v>
      </c>
      <c r="Y5440" s="182" t="n">
        <v>0</v>
      </c>
      <c r="Z5440" s="182" t="n">
        <v>0</v>
      </c>
      <c r="AA5440" s="182" t="n">
        <v>0</v>
      </c>
      <c r="AB5440" s="182" t="n">
        <v>0</v>
      </c>
      <c r="AC5440" s="182" t="n">
        <v>0</v>
      </c>
      <c r="AD5440" s="182" t="n">
        <v>0</v>
      </c>
      <c r="AE5440" s="182" t="n">
        <v>0</v>
      </c>
      <c r="AF5440" s="182" t="n">
        <v>0</v>
      </c>
      <c r="AG5440" s="182" t="n">
        <v>0</v>
      </c>
      <c r="AH5440" s="182" t="n">
        <v>0</v>
      </c>
      <c r="AI5440" s="182" t="n">
        <v>0</v>
      </c>
      <c r="AJ5440" s="182" t="n">
        <v>0</v>
      </c>
      <c r="AK5440" s="182" t="n">
        <v>0</v>
      </c>
      <c r="AL5440" s="182" t="n">
        <v>0</v>
      </c>
      <c r="AM5440" s="182" t="n">
        <v>0.09</v>
      </c>
      <c r="AN5440" s="182" t="n">
        <v>0</v>
      </c>
    </row>
    <row r="5441">
      <c r="A5441" s="155" t="n">
        <v>46106</v>
      </c>
      <c r="B5441" s="156" t="inlineStr">
        <is>
          <t>NS</t>
        </is>
      </c>
      <c r="C5441" s="156" t="inlineStr">
        <is>
          <t>EX-752</t>
        </is>
      </c>
      <c r="D5441" s="156" t="inlineStr">
        <is>
          <t>SY750H-PRO</t>
        </is>
      </c>
      <c r="E5441" s="156" t="inlineStr">
        <is>
          <t>Excavator</t>
        </is>
      </c>
      <c r="F5441" s="156" t="inlineStr"/>
      <c r="G5441" s="182" t="n">
        <v>0</v>
      </c>
      <c r="H5441" s="182" t="n">
        <v>0</v>
      </c>
      <c r="I5441" s="182" t="n">
        <v>12</v>
      </c>
      <c r="J5441" s="182" t="n">
        <v>12</v>
      </c>
      <c r="K5441" s="182" t="n">
        <v>0</v>
      </c>
      <c r="L5441" s="182" t="n">
        <v>12</v>
      </c>
      <c r="M5441" s="182" t="n">
        <v>0</v>
      </c>
      <c r="N5441" s="182" t="n">
        <v>0</v>
      </c>
      <c r="O5441" s="185">
        <f>SUMIFS(INPUT_RITASE!$F$5:$F$20000,INPUT_RITASE!$A$5:$A$20000,$A5441,INPUT_RITASE!$H$5:$H$20000,$B5441,INPUT_RITASE!$C$5:$C$20000,$C5441,INPUT_RITASE!$N$5:$N$20000,"OB")</f>
        <v/>
      </c>
      <c r="P5441" s="185">
        <f>SUMIFS(INPUT_RITASE!$F$5:$F$20000,INPUT_RITASE!$A$5:$A$20000,$A5441,INPUT_RITASE!$H$5:$H$20000,$B5441,INPUT_RITASE!$C$5:$C$20000,$C5441,INPUT_RITASE!$N$5:$N$20000,"Coal")</f>
        <v/>
      </c>
      <c r="Q5441" s="186">
        <f>SUMIFS(INPUT_RITASE!$L$5:$L$20000,INPUT_RITASE!$A$5:$A$20000,$A5441,INPUT_RITASE!$H$5:$H$20000,$B5441,INPUT_RITASE!$C$5:$C$20000,$C5441,INPUT_RITASE!$N$5:$N$20000,"OB")</f>
        <v/>
      </c>
      <c r="R5441" s="186">
        <f>SUMIFS(INPUT_RITASE!$L$5:$L$20000,INPUT_RITASE!$A$5:$A$20000,$A5441,INPUT_RITASE!$H$5:$H$20000,$B5441,INPUT_RITASE!$C$5:$C$20000,$C5441,INPUT_RITASE!$N$5:$N$20000,"Coal")</f>
        <v/>
      </c>
      <c r="S5441" s="183" t="n">
        <v>0</v>
      </c>
      <c r="T5441" s="183" t="n">
        <v>0</v>
      </c>
      <c r="U5441" s="182" t="n">
        <v>0</v>
      </c>
      <c r="V5441" s="182" t="n">
        <v>0</v>
      </c>
      <c r="W5441" s="182" t="n">
        <v>0</v>
      </c>
      <c r="X5441" s="182" t="n">
        <v>0</v>
      </c>
      <c r="Y5441" s="182" t="n">
        <v>0</v>
      </c>
      <c r="Z5441" s="182" t="n">
        <v>0</v>
      </c>
      <c r="AA5441" s="182" t="n">
        <v>0</v>
      </c>
      <c r="AB5441" s="182" t="n">
        <v>0</v>
      </c>
      <c r="AC5441" s="182" t="n">
        <v>0</v>
      </c>
      <c r="AD5441" s="182" t="n">
        <v>0</v>
      </c>
      <c r="AE5441" s="182" t="n">
        <v>0</v>
      </c>
      <c r="AF5441" s="182" t="n">
        <v>0</v>
      </c>
      <c r="AG5441" s="182" t="n">
        <v>0</v>
      </c>
      <c r="AH5441" s="182" t="n">
        <v>0</v>
      </c>
      <c r="AI5441" s="182" t="n">
        <v>0</v>
      </c>
      <c r="AJ5441" s="182" t="n">
        <v>0</v>
      </c>
      <c r="AK5441" s="182" t="n">
        <v>0</v>
      </c>
      <c r="AL5441" s="182" t="n">
        <v>0</v>
      </c>
      <c r="AM5441" s="182" t="n">
        <v>0</v>
      </c>
      <c r="AN5441" s="182" t="n">
        <v>0</v>
      </c>
    </row>
    <row r="5442">
      <c r="A5442" s="155" t="n">
        <v>46106</v>
      </c>
      <c r="B5442" s="156" t="inlineStr">
        <is>
          <t>NS</t>
        </is>
      </c>
      <c r="C5442" s="156" t="inlineStr">
        <is>
          <t>EX-751</t>
        </is>
      </c>
      <c r="D5442" s="156" t="inlineStr">
        <is>
          <t>SY750H-PRO</t>
        </is>
      </c>
      <c r="E5442" s="156" t="inlineStr">
        <is>
          <t>Excavator</t>
        </is>
      </c>
      <c r="F5442" s="156" t="inlineStr"/>
      <c r="G5442" s="182" t="n">
        <v>0</v>
      </c>
      <c r="H5442" s="182" t="n">
        <v>0</v>
      </c>
      <c r="I5442" s="182" t="n">
        <v>12</v>
      </c>
      <c r="J5442" s="182" t="n">
        <v>12</v>
      </c>
      <c r="K5442" s="182" t="n">
        <v>0</v>
      </c>
      <c r="L5442" s="182" t="n">
        <v>12</v>
      </c>
      <c r="M5442" s="182" t="n">
        <v>0</v>
      </c>
      <c r="N5442" s="182" t="n">
        <v>0</v>
      </c>
      <c r="O5442" s="185">
        <f>SUMIFS(INPUT_RITASE!$F$5:$F$20000,INPUT_RITASE!$A$5:$A$20000,$A5442,INPUT_RITASE!$H$5:$H$20000,$B5442,INPUT_RITASE!$C$5:$C$20000,$C5442,INPUT_RITASE!$N$5:$N$20000,"OB")</f>
        <v/>
      </c>
      <c r="P5442" s="185">
        <f>SUMIFS(INPUT_RITASE!$F$5:$F$20000,INPUT_RITASE!$A$5:$A$20000,$A5442,INPUT_RITASE!$H$5:$H$20000,$B5442,INPUT_RITASE!$C$5:$C$20000,$C5442,INPUT_RITASE!$N$5:$N$20000,"Coal")</f>
        <v/>
      </c>
      <c r="Q5442" s="186">
        <f>SUMIFS(INPUT_RITASE!$L$5:$L$20000,INPUT_RITASE!$A$5:$A$20000,$A5442,INPUT_RITASE!$H$5:$H$20000,$B5442,INPUT_RITASE!$C$5:$C$20000,$C5442,INPUT_RITASE!$N$5:$N$20000,"OB")</f>
        <v/>
      </c>
      <c r="R5442" s="186">
        <f>SUMIFS(INPUT_RITASE!$L$5:$L$20000,INPUT_RITASE!$A$5:$A$20000,$A5442,INPUT_RITASE!$H$5:$H$20000,$B5442,INPUT_RITASE!$C$5:$C$20000,$C5442,INPUT_RITASE!$N$5:$N$20000,"Coal")</f>
        <v/>
      </c>
      <c r="S5442" s="183" t="n">
        <v>0</v>
      </c>
      <c r="T5442" s="183" t="n">
        <v>0</v>
      </c>
      <c r="U5442" s="182" t="n">
        <v>0</v>
      </c>
      <c r="V5442" s="182" t="n">
        <v>0</v>
      </c>
      <c r="W5442" s="182" t="n">
        <v>0</v>
      </c>
      <c r="X5442" s="182" t="n">
        <v>0</v>
      </c>
      <c r="Y5442" s="182" t="n">
        <v>0</v>
      </c>
      <c r="Z5442" s="182" t="n">
        <v>0</v>
      </c>
      <c r="AA5442" s="182" t="n">
        <v>0</v>
      </c>
      <c r="AB5442" s="182" t="n">
        <v>0</v>
      </c>
      <c r="AC5442" s="182" t="n">
        <v>0</v>
      </c>
      <c r="AD5442" s="182" t="n">
        <v>0</v>
      </c>
      <c r="AE5442" s="182" t="n">
        <v>0</v>
      </c>
      <c r="AF5442" s="182" t="n">
        <v>0</v>
      </c>
      <c r="AG5442" s="182" t="n">
        <v>0</v>
      </c>
      <c r="AH5442" s="182" t="n">
        <v>0</v>
      </c>
      <c r="AI5442" s="182" t="n">
        <v>0</v>
      </c>
      <c r="AJ5442" s="182" t="n">
        <v>0</v>
      </c>
      <c r="AK5442" s="182" t="n">
        <v>0</v>
      </c>
      <c r="AL5442" s="182" t="n">
        <v>0</v>
      </c>
      <c r="AM5442" s="182" t="n">
        <v>0</v>
      </c>
      <c r="AN5442" s="182" t="n">
        <v>0</v>
      </c>
    </row>
    <row r="5443">
      <c r="A5443" s="155" t="n">
        <v>46106</v>
      </c>
      <c r="B5443" s="156" t="inlineStr">
        <is>
          <t>NS</t>
        </is>
      </c>
      <c r="C5443" s="156" t="inlineStr">
        <is>
          <t>EX-753</t>
        </is>
      </c>
      <c r="D5443" s="156" t="inlineStr">
        <is>
          <t>SY750H-PRO</t>
        </is>
      </c>
      <c r="E5443" s="156" t="inlineStr">
        <is>
          <t>Excavator</t>
        </is>
      </c>
      <c r="F5443" s="156" t="inlineStr">
        <is>
          <t>Loading OB</t>
        </is>
      </c>
      <c r="G5443" s="182" t="n">
        <v>6.28</v>
      </c>
      <c r="H5443" s="182" t="n">
        <v>0</v>
      </c>
      <c r="I5443" s="182" t="n">
        <v>0</v>
      </c>
      <c r="J5443" s="182" t="n">
        <v>0</v>
      </c>
      <c r="K5443" s="182" t="n">
        <v>5.72</v>
      </c>
      <c r="L5443" s="182" t="n">
        <v>12</v>
      </c>
      <c r="M5443" s="182" t="n">
        <v>6.28</v>
      </c>
      <c r="N5443" s="182" t="n">
        <v>0</v>
      </c>
      <c r="O5443" s="185">
        <f>SUMIFS(INPUT_RITASE!$F$5:$F$20000,INPUT_RITASE!$A$5:$A$20000,$A5443,INPUT_RITASE!$H$5:$H$20000,$B5443,INPUT_RITASE!$C$5:$C$20000,$C5443,INPUT_RITASE!$N$5:$N$20000,"OB")</f>
        <v/>
      </c>
      <c r="P5443" s="185">
        <f>SUMIFS(INPUT_RITASE!$F$5:$F$20000,INPUT_RITASE!$A$5:$A$20000,$A5443,INPUT_RITASE!$H$5:$H$20000,$B5443,INPUT_RITASE!$C$5:$C$20000,$C5443,INPUT_RITASE!$N$5:$N$20000,"Coal")</f>
        <v/>
      </c>
      <c r="Q5443" s="186">
        <f>SUMIFS(INPUT_RITASE!$L$5:$L$20000,INPUT_RITASE!$A$5:$A$20000,$A5443,INPUT_RITASE!$H$5:$H$20000,$B5443,INPUT_RITASE!$C$5:$C$20000,$C5443,INPUT_RITASE!$N$5:$N$20000,"OB")</f>
        <v/>
      </c>
      <c r="R5443" s="186">
        <f>SUMIFS(INPUT_RITASE!$L$5:$L$20000,INPUT_RITASE!$A$5:$A$20000,$A5443,INPUT_RITASE!$H$5:$H$20000,$B5443,INPUT_RITASE!$C$5:$C$20000,$C5443,INPUT_RITASE!$N$5:$N$20000,"Coal")</f>
        <v/>
      </c>
      <c r="S5443" s="183" t="n">
        <v>0</v>
      </c>
      <c r="T5443" s="183" t="n">
        <v>0</v>
      </c>
      <c r="U5443" s="182" t="n">
        <v>1.43</v>
      </c>
      <c r="V5443" s="182" t="n">
        <v>0</v>
      </c>
      <c r="W5443" s="182" t="n">
        <v>0</v>
      </c>
      <c r="X5443" s="182" t="n">
        <v>0.95</v>
      </c>
      <c r="Y5443" s="182" t="n">
        <v>0</v>
      </c>
      <c r="Z5443" s="182" t="n">
        <v>0</v>
      </c>
      <c r="AA5443" s="182" t="n">
        <v>0</v>
      </c>
      <c r="AB5443" s="182" t="n">
        <v>0</v>
      </c>
      <c r="AC5443" s="182" t="n">
        <v>0</v>
      </c>
      <c r="AD5443" s="182" t="n">
        <v>0</v>
      </c>
      <c r="AE5443" s="182" t="n">
        <v>0</v>
      </c>
      <c r="AF5443" s="182" t="n">
        <v>0</v>
      </c>
      <c r="AG5443" s="182" t="n">
        <v>0</v>
      </c>
      <c r="AH5443" s="182" t="n">
        <v>0</v>
      </c>
      <c r="AI5443" s="182" t="n">
        <v>3.26</v>
      </c>
      <c r="AJ5443" s="182" t="n">
        <v>0</v>
      </c>
      <c r="AK5443" s="182" t="n">
        <v>0</v>
      </c>
      <c r="AL5443" s="182" t="n">
        <v>0</v>
      </c>
      <c r="AM5443" s="182" t="n">
        <v>0.08</v>
      </c>
      <c r="AN5443" s="182" t="n">
        <v>0</v>
      </c>
    </row>
    <row r="5444">
      <c r="A5444" s="155" t="n">
        <v>46106</v>
      </c>
      <c r="B5444" s="156" t="inlineStr">
        <is>
          <t>NS</t>
        </is>
      </c>
      <c r="C5444" s="156" t="inlineStr">
        <is>
          <t>GD-012</t>
        </is>
      </c>
      <c r="D5444" s="156" t="inlineStr">
        <is>
          <t>STG 230C - 8S</t>
        </is>
      </c>
      <c r="E5444" s="156" t="inlineStr">
        <is>
          <t>Grader</t>
        </is>
      </c>
      <c r="F5444" s="156" t="inlineStr"/>
      <c r="G5444" s="182" t="n">
        <v>0</v>
      </c>
      <c r="H5444" s="182" t="n">
        <v>0</v>
      </c>
      <c r="I5444" s="182" t="n">
        <v>0</v>
      </c>
      <c r="J5444" s="182" t="n">
        <v>0</v>
      </c>
      <c r="K5444" s="182" t="n">
        <v>12</v>
      </c>
      <c r="L5444" s="182" t="n">
        <v>12</v>
      </c>
      <c r="M5444" s="182" t="n">
        <v>0</v>
      </c>
      <c r="N5444" s="182" t="n">
        <v>0</v>
      </c>
      <c r="O5444" s="183" t="n">
        <v>0</v>
      </c>
      <c r="P5444" s="183" t="n">
        <v>0</v>
      </c>
      <c r="Q5444" s="184" t="n">
        <v>0</v>
      </c>
      <c r="R5444" s="184" t="n">
        <v>0</v>
      </c>
      <c r="S5444" s="183" t="n">
        <v>0</v>
      </c>
      <c r="T5444" s="183" t="n">
        <v>0</v>
      </c>
      <c r="U5444" s="182" t="n">
        <v>0</v>
      </c>
      <c r="V5444" s="182" t="n">
        <v>0</v>
      </c>
      <c r="W5444" s="182" t="n">
        <v>0</v>
      </c>
      <c r="X5444" s="182" t="n">
        <v>1</v>
      </c>
      <c r="Y5444" s="182" t="n">
        <v>0</v>
      </c>
      <c r="Z5444" s="182" t="n">
        <v>0</v>
      </c>
      <c r="AA5444" s="182" t="n">
        <v>0</v>
      </c>
      <c r="AB5444" s="182" t="n">
        <v>0</v>
      </c>
      <c r="AC5444" s="182" t="n">
        <v>0</v>
      </c>
      <c r="AD5444" s="182" t="n">
        <v>0</v>
      </c>
      <c r="AE5444" s="182" t="n">
        <v>0</v>
      </c>
      <c r="AF5444" s="182" t="n">
        <v>0</v>
      </c>
      <c r="AG5444" s="182" t="n">
        <v>0</v>
      </c>
      <c r="AH5444" s="182" t="n">
        <v>0</v>
      </c>
      <c r="AI5444" s="182" t="n">
        <v>0</v>
      </c>
      <c r="AJ5444" s="182" t="n">
        <v>0</v>
      </c>
      <c r="AK5444" s="182" t="n">
        <v>10.92</v>
      </c>
      <c r="AL5444" s="182" t="n">
        <v>0</v>
      </c>
      <c r="AM5444" s="182" t="n">
        <v>0.08</v>
      </c>
      <c r="AN5444" s="182" t="n">
        <v>0</v>
      </c>
    </row>
    <row r="5445">
      <c r="A5445" s="155" t="n">
        <v>46106</v>
      </c>
      <c r="B5445" s="156" t="inlineStr">
        <is>
          <t>NS</t>
        </is>
      </c>
      <c r="C5445" s="156" t="inlineStr">
        <is>
          <t>GD-011</t>
        </is>
      </c>
      <c r="D5445" s="156" t="inlineStr">
        <is>
          <t>STG 230C - 8S</t>
        </is>
      </c>
      <c r="E5445" s="156" t="inlineStr">
        <is>
          <t>Grader</t>
        </is>
      </c>
      <c r="F5445" s="156" t="inlineStr"/>
      <c r="G5445" s="182" t="n">
        <v>0</v>
      </c>
      <c r="H5445" s="182" t="n">
        <v>0</v>
      </c>
      <c r="I5445" s="182" t="n">
        <v>12</v>
      </c>
      <c r="J5445" s="182" t="n">
        <v>12</v>
      </c>
      <c r="K5445" s="182" t="n">
        <v>0</v>
      </c>
      <c r="L5445" s="182" t="n">
        <v>12</v>
      </c>
      <c r="M5445" s="182" t="n">
        <v>0</v>
      </c>
      <c r="N5445" s="182" t="n">
        <v>0</v>
      </c>
      <c r="O5445" s="183" t="n">
        <v>0</v>
      </c>
      <c r="P5445" s="183" t="n">
        <v>0</v>
      </c>
      <c r="Q5445" s="184" t="n">
        <v>0</v>
      </c>
      <c r="R5445" s="184" t="n">
        <v>0</v>
      </c>
      <c r="S5445" s="183" t="n">
        <v>0</v>
      </c>
      <c r="T5445" s="183" t="n">
        <v>0</v>
      </c>
      <c r="U5445" s="182" t="n">
        <v>0</v>
      </c>
      <c r="V5445" s="182" t="n">
        <v>0</v>
      </c>
      <c r="W5445" s="182" t="n">
        <v>0</v>
      </c>
      <c r="X5445" s="182" t="n">
        <v>0</v>
      </c>
      <c r="Y5445" s="182" t="n">
        <v>0</v>
      </c>
      <c r="Z5445" s="182" t="n">
        <v>0</v>
      </c>
      <c r="AA5445" s="182" t="n">
        <v>0</v>
      </c>
      <c r="AB5445" s="182" t="n">
        <v>0</v>
      </c>
      <c r="AC5445" s="182" t="n">
        <v>0</v>
      </c>
      <c r="AD5445" s="182" t="n">
        <v>0</v>
      </c>
      <c r="AE5445" s="182" t="n">
        <v>0</v>
      </c>
      <c r="AF5445" s="182" t="n">
        <v>0</v>
      </c>
      <c r="AG5445" s="182" t="n">
        <v>0</v>
      </c>
      <c r="AH5445" s="182" t="n">
        <v>0</v>
      </c>
      <c r="AI5445" s="182" t="n">
        <v>0</v>
      </c>
      <c r="AJ5445" s="182" t="n">
        <v>0</v>
      </c>
      <c r="AK5445" s="182" t="n">
        <v>0</v>
      </c>
      <c r="AL5445" s="182" t="n">
        <v>0</v>
      </c>
      <c r="AM5445" s="182" t="n">
        <v>0</v>
      </c>
      <c r="AN5445" s="182" t="n">
        <v>0</v>
      </c>
    </row>
    <row r="5446">
      <c r="A5446" s="155" t="n">
        <v>46106</v>
      </c>
      <c r="B5446" s="156" t="inlineStr">
        <is>
          <t>NS</t>
        </is>
      </c>
      <c r="C5446" s="156" t="inlineStr">
        <is>
          <t>GD-013</t>
        </is>
      </c>
      <c r="D5446" s="156" t="inlineStr">
        <is>
          <t>STG 265C - 10</t>
        </is>
      </c>
      <c r="E5446" s="156" t="inlineStr">
        <is>
          <t>Grader</t>
        </is>
      </c>
      <c r="F5446" s="156" t="inlineStr">
        <is>
          <t>Road Maintenance</t>
        </is>
      </c>
      <c r="G5446" s="182" t="n">
        <v>9.869999999999999</v>
      </c>
      <c r="H5446" s="182" t="n">
        <v>0</v>
      </c>
      <c r="I5446" s="182" t="n">
        <v>0</v>
      </c>
      <c r="J5446" s="182" t="n">
        <v>0</v>
      </c>
      <c r="K5446" s="182" t="n">
        <v>2.13</v>
      </c>
      <c r="L5446" s="182" t="n">
        <v>12</v>
      </c>
      <c r="M5446" s="182" t="n">
        <v>0</v>
      </c>
      <c r="N5446" s="182" t="n">
        <v>0</v>
      </c>
      <c r="O5446" s="183" t="n">
        <v>0</v>
      </c>
      <c r="P5446" s="183" t="n">
        <v>0</v>
      </c>
      <c r="Q5446" s="184" t="n">
        <v>0</v>
      </c>
      <c r="R5446" s="184" t="n">
        <v>0</v>
      </c>
      <c r="S5446" s="183" t="n">
        <v>0</v>
      </c>
      <c r="T5446" s="183" t="n">
        <v>0</v>
      </c>
      <c r="U5446" s="182" t="n">
        <v>0</v>
      </c>
      <c r="V5446" s="182" t="n">
        <v>0</v>
      </c>
      <c r="W5446" s="182" t="n">
        <v>0</v>
      </c>
      <c r="X5446" s="182" t="n">
        <v>1.06</v>
      </c>
      <c r="Y5446" s="182" t="n">
        <v>0</v>
      </c>
      <c r="Z5446" s="182" t="n">
        <v>0</v>
      </c>
      <c r="AA5446" s="182" t="n">
        <v>0</v>
      </c>
      <c r="AB5446" s="182" t="n">
        <v>0</v>
      </c>
      <c r="AC5446" s="182" t="n">
        <v>0</v>
      </c>
      <c r="AD5446" s="182" t="n">
        <v>0</v>
      </c>
      <c r="AE5446" s="182" t="n">
        <v>0</v>
      </c>
      <c r="AF5446" s="182" t="n">
        <v>0</v>
      </c>
      <c r="AG5446" s="182" t="n">
        <v>0</v>
      </c>
      <c r="AH5446" s="182" t="n">
        <v>0.98</v>
      </c>
      <c r="AI5446" s="182" t="n">
        <v>0</v>
      </c>
      <c r="AJ5446" s="182" t="n">
        <v>0</v>
      </c>
      <c r="AK5446" s="182" t="n">
        <v>0</v>
      </c>
      <c r="AL5446" s="182" t="n">
        <v>0</v>
      </c>
      <c r="AM5446" s="182" t="n">
        <v>0.09</v>
      </c>
      <c r="AN5446" s="182" t="n">
        <v>0</v>
      </c>
    </row>
    <row r="5447">
      <c r="A5447" s="155" t="n">
        <v>46106</v>
      </c>
      <c r="B5447" s="156" t="inlineStr">
        <is>
          <t>NS</t>
        </is>
      </c>
      <c r="C5447" s="156" t="inlineStr">
        <is>
          <t>GD-014</t>
        </is>
      </c>
      <c r="D5447" s="156" t="inlineStr">
        <is>
          <t>STG 335C - 10</t>
        </is>
      </c>
      <c r="E5447" s="156" t="inlineStr">
        <is>
          <t>Grader</t>
        </is>
      </c>
      <c r="F5447" s="156" t="inlineStr">
        <is>
          <t>Road Maintenance</t>
        </is>
      </c>
      <c r="G5447" s="182" t="n">
        <v>9.17</v>
      </c>
      <c r="H5447" s="182" t="n">
        <v>0</v>
      </c>
      <c r="I5447" s="182" t="n">
        <v>0</v>
      </c>
      <c r="J5447" s="182" t="n">
        <v>0</v>
      </c>
      <c r="K5447" s="182" t="n">
        <v>2.83</v>
      </c>
      <c r="L5447" s="182" t="n">
        <v>12</v>
      </c>
      <c r="M5447" s="182" t="n">
        <v>0</v>
      </c>
      <c r="N5447" s="182" t="n">
        <v>0</v>
      </c>
      <c r="O5447" s="183" t="n">
        <v>0</v>
      </c>
      <c r="P5447" s="183" t="n">
        <v>0</v>
      </c>
      <c r="Q5447" s="184" t="n">
        <v>0</v>
      </c>
      <c r="R5447" s="184" t="n">
        <v>0</v>
      </c>
      <c r="S5447" s="183" t="n">
        <v>0</v>
      </c>
      <c r="T5447" s="183" t="n">
        <v>0</v>
      </c>
      <c r="U5447" s="182" t="n">
        <v>1.63</v>
      </c>
      <c r="V5447" s="182" t="n">
        <v>0</v>
      </c>
      <c r="W5447" s="182" t="n">
        <v>0</v>
      </c>
      <c r="X5447" s="182" t="n">
        <v>1.09</v>
      </c>
      <c r="Y5447" s="182" t="n">
        <v>0</v>
      </c>
      <c r="Z5447" s="182" t="n">
        <v>0</v>
      </c>
      <c r="AA5447" s="182" t="n">
        <v>0</v>
      </c>
      <c r="AB5447" s="182" t="n">
        <v>0</v>
      </c>
      <c r="AC5447" s="182" t="n">
        <v>0</v>
      </c>
      <c r="AD5447" s="182" t="n">
        <v>0</v>
      </c>
      <c r="AE5447" s="182" t="n">
        <v>0</v>
      </c>
      <c r="AF5447" s="182" t="n">
        <v>0</v>
      </c>
      <c r="AG5447" s="182" t="n">
        <v>0</v>
      </c>
      <c r="AH5447" s="182" t="n">
        <v>0.02</v>
      </c>
      <c r="AI5447" s="182" t="n">
        <v>0</v>
      </c>
      <c r="AJ5447" s="182" t="n">
        <v>0</v>
      </c>
      <c r="AK5447" s="182" t="n">
        <v>0</v>
      </c>
      <c r="AL5447" s="182" t="n">
        <v>0</v>
      </c>
      <c r="AM5447" s="182" t="n">
        <v>0.09</v>
      </c>
      <c r="AN5447" s="182" t="n">
        <v>0</v>
      </c>
    </row>
    <row r="5448">
      <c r="A5448" s="155" t="n">
        <v>46106</v>
      </c>
      <c r="B5448" s="156" t="inlineStr">
        <is>
          <t>NS</t>
        </is>
      </c>
      <c r="C5448" s="156" t="inlineStr">
        <is>
          <t>DT-809</t>
        </is>
      </c>
      <c r="D5448" s="156" t="inlineStr">
        <is>
          <t>SKT 80S</t>
        </is>
      </c>
      <c r="E5448" s="156" t="inlineStr">
        <is>
          <t>Hauler</t>
        </is>
      </c>
      <c r="F5448" s="156" t="inlineStr"/>
      <c r="G5448" s="182" t="n">
        <v>0</v>
      </c>
      <c r="H5448" s="182" t="n">
        <v>0</v>
      </c>
      <c r="I5448" s="182" t="n">
        <v>12</v>
      </c>
      <c r="J5448" s="182" t="n">
        <v>12</v>
      </c>
      <c r="K5448" s="182" t="n">
        <v>0</v>
      </c>
      <c r="L5448" s="182" t="n">
        <v>12</v>
      </c>
      <c r="M5448" s="182" t="n">
        <v>0</v>
      </c>
      <c r="N5448" s="182" t="n">
        <v>0</v>
      </c>
      <c r="O5448" s="183" t="n">
        <v>0</v>
      </c>
      <c r="P5448" s="183" t="n">
        <v>0</v>
      </c>
      <c r="Q5448" s="184" t="n">
        <v>0</v>
      </c>
      <c r="R5448" s="184" t="n">
        <v>0</v>
      </c>
      <c r="S5448" s="183" t="n">
        <v>0</v>
      </c>
      <c r="T5448" s="183" t="n">
        <v>0</v>
      </c>
      <c r="U5448" s="182" t="n">
        <v>0</v>
      </c>
      <c r="V5448" s="182" t="n">
        <v>0</v>
      </c>
      <c r="W5448" s="182" t="n">
        <v>0</v>
      </c>
      <c r="X5448" s="182" t="n">
        <v>0</v>
      </c>
      <c r="Y5448" s="182" t="n">
        <v>0</v>
      </c>
      <c r="Z5448" s="182" t="n">
        <v>0</v>
      </c>
      <c r="AA5448" s="182" t="n">
        <v>0</v>
      </c>
      <c r="AB5448" s="182" t="n">
        <v>0</v>
      </c>
      <c r="AC5448" s="182" t="n">
        <v>0</v>
      </c>
      <c r="AD5448" s="182" t="n">
        <v>0</v>
      </c>
      <c r="AE5448" s="182" t="n">
        <v>0</v>
      </c>
      <c r="AF5448" s="182" t="n">
        <v>0</v>
      </c>
      <c r="AG5448" s="182" t="n">
        <v>0</v>
      </c>
      <c r="AH5448" s="182" t="n">
        <v>0</v>
      </c>
      <c r="AI5448" s="182" t="n">
        <v>0</v>
      </c>
      <c r="AJ5448" s="182" t="n">
        <v>0</v>
      </c>
      <c r="AK5448" s="182" t="n">
        <v>0</v>
      </c>
      <c r="AL5448" s="182" t="n">
        <v>0</v>
      </c>
      <c r="AM5448" s="182" t="n">
        <v>0</v>
      </c>
      <c r="AN5448" s="182" t="n">
        <v>0</v>
      </c>
    </row>
    <row r="5449">
      <c r="A5449" s="155" t="n">
        <v>46106</v>
      </c>
      <c r="B5449" s="156" t="inlineStr">
        <is>
          <t>NS</t>
        </is>
      </c>
      <c r="C5449" s="156" t="inlineStr">
        <is>
          <t>DT-806</t>
        </is>
      </c>
      <c r="D5449" s="156" t="inlineStr">
        <is>
          <t>SKT 80S</t>
        </is>
      </c>
      <c r="E5449" s="156" t="inlineStr">
        <is>
          <t>Hauler</t>
        </is>
      </c>
      <c r="F5449" s="156" t="inlineStr"/>
      <c r="G5449" s="182" t="n">
        <v>0</v>
      </c>
      <c r="H5449" s="182" t="n">
        <v>0</v>
      </c>
      <c r="I5449" s="182" t="n">
        <v>12</v>
      </c>
      <c r="J5449" s="182" t="n">
        <v>12</v>
      </c>
      <c r="K5449" s="182" t="n">
        <v>0</v>
      </c>
      <c r="L5449" s="182" t="n">
        <v>12</v>
      </c>
      <c r="M5449" s="182" t="n">
        <v>0</v>
      </c>
      <c r="N5449" s="182" t="n">
        <v>0</v>
      </c>
      <c r="O5449" s="183" t="n">
        <v>0</v>
      </c>
      <c r="P5449" s="183" t="n">
        <v>0</v>
      </c>
      <c r="Q5449" s="184" t="n">
        <v>0</v>
      </c>
      <c r="R5449" s="184" t="n">
        <v>0</v>
      </c>
      <c r="S5449" s="183" t="n">
        <v>0</v>
      </c>
      <c r="T5449" s="183" t="n">
        <v>0</v>
      </c>
      <c r="U5449" s="182" t="n">
        <v>0</v>
      </c>
      <c r="V5449" s="182" t="n">
        <v>0</v>
      </c>
      <c r="W5449" s="182" t="n">
        <v>0</v>
      </c>
      <c r="X5449" s="182" t="n">
        <v>0</v>
      </c>
      <c r="Y5449" s="182" t="n">
        <v>0</v>
      </c>
      <c r="Z5449" s="182" t="n">
        <v>0</v>
      </c>
      <c r="AA5449" s="182" t="n">
        <v>0</v>
      </c>
      <c r="AB5449" s="182" t="n">
        <v>0</v>
      </c>
      <c r="AC5449" s="182" t="n">
        <v>0</v>
      </c>
      <c r="AD5449" s="182" t="n">
        <v>0</v>
      </c>
      <c r="AE5449" s="182" t="n">
        <v>0</v>
      </c>
      <c r="AF5449" s="182" t="n">
        <v>0</v>
      </c>
      <c r="AG5449" s="182" t="n">
        <v>0</v>
      </c>
      <c r="AH5449" s="182" t="n">
        <v>0</v>
      </c>
      <c r="AI5449" s="182" t="n">
        <v>0</v>
      </c>
      <c r="AJ5449" s="182" t="n">
        <v>0</v>
      </c>
      <c r="AK5449" s="182" t="n">
        <v>0</v>
      </c>
      <c r="AL5449" s="182" t="n">
        <v>0</v>
      </c>
      <c r="AM5449" s="182" t="n">
        <v>0</v>
      </c>
      <c r="AN5449" s="182" t="n">
        <v>0</v>
      </c>
    </row>
    <row r="5450">
      <c r="A5450" s="155" t="n">
        <v>46106</v>
      </c>
      <c r="B5450" s="156" t="inlineStr">
        <is>
          <t>NS</t>
        </is>
      </c>
      <c r="C5450" s="156" t="inlineStr">
        <is>
          <t>DT-805</t>
        </is>
      </c>
      <c r="D5450" s="156" t="inlineStr">
        <is>
          <t>SKT 80S</t>
        </is>
      </c>
      <c r="E5450" s="156" t="inlineStr">
        <is>
          <t>Hauler</t>
        </is>
      </c>
      <c r="F5450" s="156" t="inlineStr"/>
      <c r="G5450" s="182" t="n">
        <v>0</v>
      </c>
      <c r="H5450" s="182" t="n">
        <v>0</v>
      </c>
      <c r="I5450" s="182" t="n">
        <v>12</v>
      </c>
      <c r="J5450" s="182" t="n">
        <v>12</v>
      </c>
      <c r="K5450" s="182" t="n">
        <v>0</v>
      </c>
      <c r="L5450" s="182" t="n">
        <v>12</v>
      </c>
      <c r="M5450" s="182" t="n">
        <v>0</v>
      </c>
      <c r="N5450" s="182" t="n">
        <v>0</v>
      </c>
      <c r="O5450" s="183" t="n">
        <v>0</v>
      </c>
      <c r="P5450" s="183" t="n">
        <v>0</v>
      </c>
      <c r="Q5450" s="184" t="n">
        <v>0</v>
      </c>
      <c r="R5450" s="184" t="n">
        <v>0</v>
      </c>
      <c r="S5450" s="183" t="n">
        <v>0</v>
      </c>
      <c r="T5450" s="183" t="n">
        <v>0</v>
      </c>
      <c r="U5450" s="182" t="n">
        <v>0</v>
      </c>
      <c r="V5450" s="182" t="n">
        <v>0</v>
      </c>
      <c r="W5450" s="182" t="n">
        <v>0</v>
      </c>
      <c r="X5450" s="182" t="n">
        <v>0</v>
      </c>
      <c r="Y5450" s="182" t="n">
        <v>0</v>
      </c>
      <c r="Z5450" s="182" t="n">
        <v>0</v>
      </c>
      <c r="AA5450" s="182" t="n">
        <v>0</v>
      </c>
      <c r="AB5450" s="182" t="n">
        <v>0</v>
      </c>
      <c r="AC5450" s="182" t="n">
        <v>0</v>
      </c>
      <c r="AD5450" s="182" t="n">
        <v>0</v>
      </c>
      <c r="AE5450" s="182" t="n">
        <v>0</v>
      </c>
      <c r="AF5450" s="182" t="n">
        <v>0</v>
      </c>
      <c r="AG5450" s="182" t="n">
        <v>0</v>
      </c>
      <c r="AH5450" s="182" t="n">
        <v>0</v>
      </c>
      <c r="AI5450" s="182" t="n">
        <v>0</v>
      </c>
      <c r="AJ5450" s="182" t="n">
        <v>0</v>
      </c>
      <c r="AK5450" s="182" t="n">
        <v>0</v>
      </c>
      <c r="AL5450" s="182" t="n">
        <v>0</v>
      </c>
      <c r="AM5450" s="182" t="n">
        <v>0</v>
      </c>
      <c r="AN5450" s="182" t="n">
        <v>0</v>
      </c>
    </row>
    <row r="5451">
      <c r="A5451" s="155" t="n">
        <v>46106</v>
      </c>
      <c r="B5451" s="156" t="inlineStr">
        <is>
          <t>NS</t>
        </is>
      </c>
      <c r="C5451" s="156" t="inlineStr">
        <is>
          <t>DT-801</t>
        </is>
      </c>
      <c r="D5451" s="156" t="inlineStr">
        <is>
          <t>SKT 80S</t>
        </is>
      </c>
      <c r="E5451" s="156" t="inlineStr">
        <is>
          <t>Hauler</t>
        </is>
      </c>
      <c r="F5451" s="156" t="inlineStr"/>
      <c r="G5451" s="182" t="n">
        <v>0</v>
      </c>
      <c r="H5451" s="182" t="n">
        <v>0</v>
      </c>
      <c r="I5451" s="182" t="n">
        <v>12</v>
      </c>
      <c r="J5451" s="182" t="n">
        <v>12</v>
      </c>
      <c r="K5451" s="182" t="n">
        <v>0</v>
      </c>
      <c r="L5451" s="182" t="n">
        <v>12</v>
      </c>
      <c r="M5451" s="182" t="n">
        <v>0</v>
      </c>
      <c r="N5451" s="182" t="n">
        <v>0</v>
      </c>
      <c r="O5451" s="183" t="n">
        <v>0</v>
      </c>
      <c r="P5451" s="183" t="n">
        <v>0</v>
      </c>
      <c r="Q5451" s="184" t="n">
        <v>0</v>
      </c>
      <c r="R5451" s="184" t="n">
        <v>0</v>
      </c>
      <c r="S5451" s="183" t="n">
        <v>0</v>
      </c>
      <c r="T5451" s="183" t="n">
        <v>0</v>
      </c>
      <c r="U5451" s="182" t="n">
        <v>0</v>
      </c>
      <c r="V5451" s="182" t="n">
        <v>0</v>
      </c>
      <c r="W5451" s="182" t="n">
        <v>0</v>
      </c>
      <c r="X5451" s="182" t="n">
        <v>0</v>
      </c>
      <c r="Y5451" s="182" t="n">
        <v>0</v>
      </c>
      <c r="Z5451" s="182" t="n">
        <v>0</v>
      </c>
      <c r="AA5451" s="182" t="n">
        <v>0</v>
      </c>
      <c r="AB5451" s="182" t="n">
        <v>0</v>
      </c>
      <c r="AC5451" s="182" t="n">
        <v>0</v>
      </c>
      <c r="AD5451" s="182" t="n">
        <v>0</v>
      </c>
      <c r="AE5451" s="182" t="n">
        <v>0</v>
      </c>
      <c r="AF5451" s="182" t="n">
        <v>0</v>
      </c>
      <c r="AG5451" s="182" t="n">
        <v>0</v>
      </c>
      <c r="AH5451" s="182" t="n">
        <v>0</v>
      </c>
      <c r="AI5451" s="182" t="n">
        <v>0</v>
      </c>
      <c r="AJ5451" s="182" t="n">
        <v>0</v>
      </c>
      <c r="AK5451" s="182" t="n">
        <v>0</v>
      </c>
      <c r="AL5451" s="182" t="n">
        <v>0</v>
      </c>
      <c r="AM5451" s="182" t="n">
        <v>0</v>
      </c>
      <c r="AN5451" s="182" t="n">
        <v>0</v>
      </c>
    </row>
    <row r="5452">
      <c r="A5452" s="155" t="n">
        <v>46106</v>
      </c>
      <c r="B5452" s="156" t="inlineStr">
        <is>
          <t>NS</t>
        </is>
      </c>
      <c r="C5452" s="156" t="inlineStr">
        <is>
          <t>DT-808</t>
        </is>
      </c>
      <c r="D5452" s="156" t="inlineStr">
        <is>
          <t>SKT 80S</t>
        </is>
      </c>
      <c r="E5452" s="156" t="inlineStr">
        <is>
          <t>Hauler</t>
        </is>
      </c>
      <c r="F5452" s="156" t="inlineStr"/>
      <c r="G5452" s="182" t="n">
        <v>0</v>
      </c>
      <c r="H5452" s="182" t="n">
        <v>0</v>
      </c>
      <c r="I5452" s="182" t="n">
        <v>0</v>
      </c>
      <c r="J5452" s="182" t="n">
        <v>0</v>
      </c>
      <c r="K5452" s="182" t="n">
        <v>12</v>
      </c>
      <c r="L5452" s="182" t="n">
        <v>12</v>
      </c>
      <c r="M5452" s="182" t="n">
        <v>0</v>
      </c>
      <c r="N5452" s="182" t="n">
        <v>0</v>
      </c>
      <c r="O5452" s="183" t="n">
        <v>0</v>
      </c>
      <c r="P5452" s="183" t="n">
        <v>0</v>
      </c>
      <c r="Q5452" s="184" t="n">
        <v>0</v>
      </c>
      <c r="R5452" s="184" t="n">
        <v>0</v>
      </c>
      <c r="S5452" s="183" t="n">
        <v>0</v>
      </c>
      <c r="T5452" s="183" t="n">
        <v>0</v>
      </c>
      <c r="U5452" s="182" t="n">
        <v>0</v>
      </c>
      <c r="V5452" s="182" t="n">
        <v>0</v>
      </c>
      <c r="W5452" s="182" t="n">
        <v>0</v>
      </c>
      <c r="X5452" s="182" t="n">
        <v>1</v>
      </c>
      <c r="Y5452" s="182" t="n">
        <v>0</v>
      </c>
      <c r="Z5452" s="182" t="n">
        <v>0</v>
      </c>
      <c r="AA5452" s="182" t="n">
        <v>0</v>
      </c>
      <c r="AB5452" s="182" t="n">
        <v>0</v>
      </c>
      <c r="AC5452" s="182" t="n">
        <v>0</v>
      </c>
      <c r="AD5452" s="182" t="n">
        <v>0</v>
      </c>
      <c r="AE5452" s="182" t="n">
        <v>0</v>
      </c>
      <c r="AF5452" s="182" t="n">
        <v>0</v>
      </c>
      <c r="AG5452" s="182" t="n">
        <v>0</v>
      </c>
      <c r="AH5452" s="182" t="n">
        <v>0</v>
      </c>
      <c r="AI5452" s="182" t="n">
        <v>0</v>
      </c>
      <c r="AJ5452" s="182" t="n">
        <v>0</v>
      </c>
      <c r="AK5452" s="182" t="n">
        <v>10.92</v>
      </c>
      <c r="AL5452" s="182" t="n">
        <v>0</v>
      </c>
      <c r="AM5452" s="182" t="n">
        <v>0.08</v>
      </c>
      <c r="AN5452" s="182" t="n">
        <v>0</v>
      </c>
    </row>
    <row r="5453">
      <c r="A5453" s="155" t="n">
        <v>46106</v>
      </c>
      <c r="B5453" s="156" t="inlineStr">
        <is>
          <t>NS</t>
        </is>
      </c>
      <c r="C5453" s="156" t="inlineStr">
        <is>
          <t>DT-811</t>
        </is>
      </c>
      <c r="D5453" s="156" t="inlineStr">
        <is>
          <t>SKT 80S</t>
        </is>
      </c>
      <c r="E5453" s="156" t="inlineStr">
        <is>
          <t>Hauler</t>
        </is>
      </c>
      <c r="F5453" s="156" t="inlineStr">
        <is>
          <t>Hauling Coal</t>
        </is>
      </c>
      <c r="G5453" s="182" t="n">
        <v>3.36</v>
      </c>
      <c r="H5453" s="182" t="n">
        <v>0</v>
      </c>
      <c r="I5453" s="182" t="n">
        <v>0</v>
      </c>
      <c r="J5453" s="182" t="n">
        <v>0</v>
      </c>
      <c r="K5453" s="182" t="n">
        <v>8.640000000000001</v>
      </c>
      <c r="L5453" s="182" t="n">
        <v>12</v>
      </c>
      <c r="M5453" s="182" t="n">
        <v>0</v>
      </c>
      <c r="N5453" s="182" t="n">
        <v>3.36</v>
      </c>
      <c r="O5453" s="183" t="n">
        <v>0</v>
      </c>
      <c r="P5453" s="183" t="n">
        <v>9</v>
      </c>
      <c r="Q5453" s="184" t="n">
        <v>0</v>
      </c>
      <c r="R5453" s="184" t="n">
        <v>137.7</v>
      </c>
      <c r="S5453" s="183" t="n">
        <v>0</v>
      </c>
      <c r="T5453" s="183" t="n">
        <v>0</v>
      </c>
      <c r="U5453" s="182" t="n">
        <v>1.47</v>
      </c>
      <c r="V5453" s="182" t="n">
        <v>0</v>
      </c>
      <c r="W5453" s="182" t="n">
        <v>0</v>
      </c>
      <c r="X5453" s="182" t="n">
        <v>0.98</v>
      </c>
      <c r="Y5453" s="182" t="n">
        <v>0</v>
      </c>
      <c r="Z5453" s="182" t="n">
        <v>0</v>
      </c>
      <c r="AA5453" s="182" t="n">
        <v>0</v>
      </c>
      <c r="AB5453" s="182" t="n">
        <v>0</v>
      </c>
      <c r="AC5453" s="182" t="n">
        <v>0</v>
      </c>
      <c r="AD5453" s="182" t="n">
        <v>0</v>
      </c>
      <c r="AE5453" s="182" t="n">
        <v>0</v>
      </c>
      <c r="AF5453" s="182" t="n">
        <v>0</v>
      </c>
      <c r="AG5453" s="182" t="n">
        <v>0</v>
      </c>
      <c r="AH5453" s="182" t="n">
        <v>0</v>
      </c>
      <c r="AI5453" s="182" t="n">
        <v>0</v>
      </c>
      <c r="AJ5453" s="182" t="n">
        <v>0</v>
      </c>
      <c r="AK5453" s="182" t="n">
        <v>6.11</v>
      </c>
      <c r="AL5453" s="182" t="n">
        <v>0</v>
      </c>
      <c r="AM5453" s="182" t="n">
        <v>0.08</v>
      </c>
      <c r="AN5453" s="182" t="n">
        <v>0</v>
      </c>
    </row>
    <row r="5454">
      <c r="A5454" s="155" t="n">
        <v>46106</v>
      </c>
      <c r="B5454" s="156" t="inlineStr">
        <is>
          <t>NS</t>
        </is>
      </c>
      <c r="C5454" s="156" t="inlineStr">
        <is>
          <t>DT-802</t>
        </is>
      </c>
      <c r="D5454" s="156" t="inlineStr">
        <is>
          <t>SKT 80S</t>
        </is>
      </c>
      <c r="E5454" s="156" t="inlineStr">
        <is>
          <t>Hauler</t>
        </is>
      </c>
      <c r="F5454" s="156" t="inlineStr"/>
      <c r="G5454" s="182" t="n">
        <v>0</v>
      </c>
      <c r="H5454" s="182" t="n">
        <v>0</v>
      </c>
      <c r="I5454" s="182" t="n">
        <v>0</v>
      </c>
      <c r="J5454" s="182" t="n">
        <v>0</v>
      </c>
      <c r="K5454" s="182" t="n">
        <v>12</v>
      </c>
      <c r="L5454" s="182" t="n">
        <v>12</v>
      </c>
      <c r="M5454" s="182" t="n">
        <v>0</v>
      </c>
      <c r="N5454" s="182" t="n">
        <v>0</v>
      </c>
      <c r="O5454" s="183" t="n">
        <v>0</v>
      </c>
      <c r="P5454" s="183" t="n">
        <v>0</v>
      </c>
      <c r="Q5454" s="184" t="n">
        <v>0</v>
      </c>
      <c r="R5454" s="184" t="n">
        <v>0</v>
      </c>
      <c r="S5454" s="183" t="n">
        <v>0</v>
      </c>
      <c r="T5454" s="183" t="n">
        <v>0</v>
      </c>
      <c r="U5454" s="182" t="n">
        <v>0</v>
      </c>
      <c r="V5454" s="182" t="n">
        <v>0</v>
      </c>
      <c r="W5454" s="182" t="n">
        <v>0</v>
      </c>
      <c r="X5454" s="182" t="n">
        <v>1</v>
      </c>
      <c r="Y5454" s="182" t="n">
        <v>0</v>
      </c>
      <c r="Z5454" s="182" t="n">
        <v>0</v>
      </c>
      <c r="AA5454" s="182" t="n">
        <v>0</v>
      </c>
      <c r="AB5454" s="182" t="n">
        <v>0</v>
      </c>
      <c r="AC5454" s="182" t="n">
        <v>0</v>
      </c>
      <c r="AD5454" s="182" t="n">
        <v>0</v>
      </c>
      <c r="AE5454" s="182" t="n">
        <v>0</v>
      </c>
      <c r="AF5454" s="182" t="n">
        <v>0</v>
      </c>
      <c r="AG5454" s="182" t="n">
        <v>0</v>
      </c>
      <c r="AH5454" s="182" t="n">
        <v>0</v>
      </c>
      <c r="AI5454" s="182" t="n">
        <v>0</v>
      </c>
      <c r="AJ5454" s="182" t="n">
        <v>0</v>
      </c>
      <c r="AK5454" s="182" t="n">
        <v>10.92</v>
      </c>
      <c r="AL5454" s="182" t="n">
        <v>0</v>
      </c>
      <c r="AM5454" s="182" t="n">
        <v>0.08</v>
      </c>
      <c r="AN5454" s="182" t="n">
        <v>0</v>
      </c>
    </row>
    <row r="5455">
      <c r="A5455" s="155" t="n">
        <v>46106</v>
      </c>
      <c r="B5455" s="156" t="inlineStr">
        <is>
          <t>NS</t>
        </is>
      </c>
      <c r="C5455" s="156" t="inlineStr">
        <is>
          <t>DT-807</t>
        </is>
      </c>
      <c r="D5455" s="156" t="inlineStr">
        <is>
          <t>SKT 80S</t>
        </is>
      </c>
      <c r="E5455" s="156" t="inlineStr">
        <is>
          <t>Hauler</t>
        </is>
      </c>
      <c r="F5455" s="156" t="inlineStr"/>
      <c r="G5455" s="182" t="n">
        <v>0</v>
      </c>
      <c r="H5455" s="182" t="n">
        <v>0</v>
      </c>
      <c r="I5455" s="182" t="n">
        <v>12</v>
      </c>
      <c r="J5455" s="182" t="n">
        <v>12</v>
      </c>
      <c r="K5455" s="182" t="n">
        <v>0</v>
      </c>
      <c r="L5455" s="182" t="n">
        <v>12</v>
      </c>
      <c r="M5455" s="182" t="n">
        <v>0</v>
      </c>
      <c r="N5455" s="182" t="n">
        <v>0</v>
      </c>
      <c r="O5455" s="183" t="n">
        <v>0</v>
      </c>
      <c r="P5455" s="183" t="n">
        <v>0</v>
      </c>
      <c r="Q5455" s="184" t="n">
        <v>0</v>
      </c>
      <c r="R5455" s="184" t="n">
        <v>0</v>
      </c>
      <c r="S5455" s="183" t="n">
        <v>0</v>
      </c>
      <c r="T5455" s="183" t="n">
        <v>0</v>
      </c>
      <c r="U5455" s="182" t="n">
        <v>0</v>
      </c>
      <c r="V5455" s="182" t="n">
        <v>0</v>
      </c>
      <c r="W5455" s="182" t="n">
        <v>0</v>
      </c>
      <c r="X5455" s="182" t="n">
        <v>0</v>
      </c>
      <c r="Y5455" s="182" t="n">
        <v>0</v>
      </c>
      <c r="Z5455" s="182" t="n">
        <v>0</v>
      </c>
      <c r="AA5455" s="182" t="n">
        <v>0</v>
      </c>
      <c r="AB5455" s="182" t="n">
        <v>0</v>
      </c>
      <c r="AC5455" s="182" t="n">
        <v>0</v>
      </c>
      <c r="AD5455" s="182" t="n">
        <v>0</v>
      </c>
      <c r="AE5455" s="182" t="n">
        <v>0</v>
      </c>
      <c r="AF5455" s="182" t="n">
        <v>0</v>
      </c>
      <c r="AG5455" s="182" t="n">
        <v>0</v>
      </c>
      <c r="AH5455" s="182" t="n">
        <v>0</v>
      </c>
      <c r="AI5455" s="182" t="n">
        <v>0</v>
      </c>
      <c r="AJ5455" s="182" t="n">
        <v>0</v>
      </c>
      <c r="AK5455" s="182" t="n">
        <v>0</v>
      </c>
      <c r="AL5455" s="182" t="n">
        <v>0</v>
      </c>
      <c r="AM5455" s="182" t="n">
        <v>0</v>
      </c>
      <c r="AN5455" s="182" t="n">
        <v>0</v>
      </c>
    </row>
    <row r="5456">
      <c r="A5456" s="155" t="n">
        <v>46106</v>
      </c>
      <c r="B5456" s="156" t="inlineStr">
        <is>
          <t>NS</t>
        </is>
      </c>
      <c r="C5456" s="156" t="inlineStr">
        <is>
          <t>DT-812</t>
        </is>
      </c>
      <c r="D5456" s="156" t="inlineStr">
        <is>
          <t>SKT 80S</t>
        </is>
      </c>
      <c r="E5456" s="156" t="inlineStr">
        <is>
          <t>Hauler</t>
        </is>
      </c>
      <c r="F5456" s="156" t="inlineStr">
        <is>
          <t>Hauling Coal</t>
        </is>
      </c>
      <c r="G5456" s="182" t="n">
        <v>1.28</v>
      </c>
      <c r="H5456" s="182" t="n">
        <v>0</v>
      </c>
      <c r="I5456" s="182" t="n">
        <v>0</v>
      </c>
      <c r="J5456" s="182" t="n">
        <v>0</v>
      </c>
      <c r="K5456" s="182" t="n">
        <v>10.72</v>
      </c>
      <c r="L5456" s="182" t="n">
        <v>12</v>
      </c>
      <c r="M5456" s="182" t="n">
        <v>0</v>
      </c>
      <c r="N5456" s="182" t="n">
        <v>1.28</v>
      </c>
      <c r="O5456" s="183" t="n">
        <v>0</v>
      </c>
      <c r="P5456" s="183" t="n">
        <v>5</v>
      </c>
      <c r="Q5456" s="184" t="n">
        <v>0</v>
      </c>
      <c r="R5456" s="184" t="n">
        <v>76.5</v>
      </c>
      <c r="S5456" s="183" t="n">
        <v>0</v>
      </c>
      <c r="T5456" s="183" t="n">
        <v>0</v>
      </c>
      <c r="U5456" s="182" t="n">
        <v>1.58</v>
      </c>
      <c r="V5456" s="182" t="n">
        <v>0</v>
      </c>
      <c r="W5456" s="182" t="n">
        <v>0</v>
      </c>
      <c r="X5456" s="182" t="n">
        <v>1.05</v>
      </c>
      <c r="Y5456" s="182" t="n">
        <v>0</v>
      </c>
      <c r="Z5456" s="182" t="n">
        <v>0</v>
      </c>
      <c r="AA5456" s="182" t="n">
        <v>0</v>
      </c>
      <c r="AB5456" s="182" t="n">
        <v>0</v>
      </c>
      <c r="AC5456" s="182" t="n">
        <v>0</v>
      </c>
      <c r="AD5456" s="182" t="n">
        <v>0</v>
      </c>
      <c r="AE5456" s="182" t="n">
        <v>0</v>
      </c>
      <c r="AF5456" s="182" t="n">
        <v>0</v>
      </c>
      <c r="AG5456" s="182" t="n">
        <v>0</v>
      </c>
      <c r="AH5456" s="182" t="n">
        <v>0</v>
      </c>
      <c r="AI5456" s="182" t="n">
        <v>0</v>
      </c>
      <c r="AJ5456" s="182" t="n">
        <v>0</v>
      </c>
      <c r="AK5456" s="182" t="n">
        <v>8.01</v>
      </c>
      <c r="AL5456" s="182" t="n">
        <v>0</v>
      </c>
      <c r="AM5456" s="182" t="n">
        <v>0.08</v>
      </c>
      <c r="AN5456" s="182" t="n">
        <v>0</v>
      </c>
    </row>
    <row r="5457">
      <c r="A5457" s="155" t="n">
        <v>46106</v>
      </c>
      <c r="B5457" s="156" t="inlineStr">
        <is>
          <t>NS</t>
        </is>
      </c>
      <c r="C5457" s="156" t="inlineStr">
        <is>
          <t>DT-803</t>
        </is>
      </c>
      <c r="D5457" s="156" t="inlineStr">
        <is>
          <t>SKT 80S</t>
        </is>
      </c>
      <c r="E5457" s="156" t="inlineStr">
        <is>
          <t>Hauler</t>
        </is>
      </c>
      <c r="F5457" s="156" t="inlineStr"/>
      <c r="G5457" s="182" t="n">
        <v>0</v>
      </c>
      <c r="H5457" s="182" t="n">
        <v>0</v>
      </c>
      <c r="I5457" s="182" t="n">
        <v>0</v>
      </c>
      <c r="J5457" s="182" t="n">
        <v>0</v>
      </c>
      <c r="K5457" s="182" t="n">
        <v>12</v>
      </c>
      <c r="L5457" s="182" t="n">
        <v>12</v>
      </c>
      <c r="M5457" s="182" t="n">
        <v>0</v>
      </c>
      <c r="N5457" s="182" t="n">
        <v>0</v>
      </c>
      <c r="O5457" s="183" t="n">
        <v>0</v>
      </c>
      <c r="P5457" s="183" t="n">
        <v>0</v>
      </c>
      <c r="Q5457" s="184" t="n">
        <v>0</v>
      </c>
      <c r="R5457" s="184" t="n">
        <v>0</v>
      </c>
      <c r="S5457" s="183" t="n">
        <v>0</v>
      </c>
      <c r="T5457" s="183" t="n">
        <v>0</v>
      </c>
      <c r="U5457" s="182" t="n">
        <v>0</v>
      </c>
      <c r="V5457" s="182" t="n">
        <v>0</v>
      </c>
      <c r="W5457" s="182" t="n">
        <v>0</v>
      </c>
      <c r="X5457" s="182" t="n">
        <v>1</v>
      </c>
      <c r="Y5457" s="182" t="n">
        <v>0</v>
      </c>
      <c r="Z5457" s="182" t="n">
        <v>0</v>
      </c>
      <c r="AA5457" s="182" t="n">
        <v>0</v>
      </c>
      <c r="AB5457" s="182" t="n">
        <v>0</v>
      </c>
      <c r="AC5457" s="182" t="n">
        <v>0</v>
      </c>
      <c r="AD5457" s="182" t="n">
        <v>0</v>
      </c>
      <c r="AE5457" s="182" t="n">
        <v>0</v>
      </c>
      <c r="AF5457" s="182" t="n">
        <v>0</v>
      </c>
      <c r="AG5457" s="182" t="n">
        <v>0</v>
      </c>
      <c r="AH5457" s="182" t="n">
        <v>0</v>
      </c>
      <c r="AI5457" s="182" t="n">
        <v>0</v>
      </c>
      <c r="AJ5457" s="182" t="n">
        <v>0</v>
      </c>
      <c r="AK5457" s="182" t="n">
        <v>10.92</v>
      </c>
      <c r="AL5457" s="182" t="n">
        <v>0</v>
      </c>
      <c r="AM5457" s="182" t="n">
        <v>0.08</v>
      </c>
      <c r="AN5457" s="182" t="n">
        <v>0</v>
      </c>
    </row>
    <row r="5458">
      <c r="A5458" s="155" t="n">
        <v>46106</v>
      </c>
      <c r="B5458" s="156" t="inlineStr">
        <is>
          <t>NS</t>
        </is>
      </c>
      <c r="C5458" s="156" t="inlineStr">
        <is>
          <t>DT-810</t>
        </is>
      </c>
      <c r="D5458" s="156" t="inlineStr">
        <is>
          <t>SKT 80S</t>
        </is>
      </c>
      <c r="E5458" s="156" t="inlineStr">
        <is>
          <t>Hauler</t>
        </is>
      </c>
      <c r="F5458" s="156" t="inlineStr">
        <is>
          <t>Hauling Coal</t>
        </is>
      </c>
      <c r="G5458" s="182" t="n">
        <v>3.73</v>
      </c>
      <c r="H5458" s="182" t="n">
        <v>0</v>
      </c>
      <c r="I5458" s="182" t="n">
        <v>0</v>
      </c>
      <c r="J5458" s="182" t="n">
        <v>0</v>
      </c>
      <c r="K5458" s="182" t="n">
        <v>8.27</v>
      </c>
      <c r="L5458" s="182" t="n">
        <v>12</v>
      </c>
      <c r="M5458" s="182" t="n">
        <v>0</v>
      </c>
      <c r="N5458" s="182" t="n">
        <v>3.73</v>
      </c>
      <c r="O5458" s="183" t="n">
        <v>0</v>
      </c>
      <c r="P5458" s="183" t="n">
        <v>13</v>
      </c>
      <c r="Q5458" s="184" t="n">
        <v>0</v>
      </c>
      <c r="R5458" s="184" t="n">
        <v>198.9</v>
      </c>
      <c r="S5458" s="183" t="n">
        <v>0</v>
      </c>
      <c r="T5458" s="183" t="n">
        <v>0</v>
      </c>
      <c r="U5458" s="182" t="n">
        <v>1.55</v>
      </c>
      <c r="V5458" s="182" t="n">
        <v>0</v>
      </c>
      <c r="W5458" s="182" t="n">
        <v>0</v>
      </c>
      <c r="X5458" s="182" t="n">
        <v>1.03</v>
      </c>
      <c r="Y5458" s="182" t="n">
        <v>0</v>
      </c>
      <c r="Z5458" s="182" t="n">
        <v>0</v>
      </c>
      <c r="AA5458" s="182" t="n">
        <v>0</v>
      </c>
      <c r="AB5458" s="182" t="n">
        <v>0</v>
      </c>
      <c r="AC5458" s="182" t="n">
        <v>0</v>
      </c>
      <c r="AD5458" s="182" t="n">
        <v>0</v>
      </c>
      <c r="AE5458" s="182" t="n">
        <v>0</v>
      </c>
      <c r="AF5458" s="182" t="n">
        <v>0</v>
      </c>
      <c r="AG5458" s="182" t="n">
        <v>0</v>
      </c>
      <c r="AH5458" s="182" t="n">
        <v>0</v>
      </c>
      <c r="AI5458" s="182" t="n">
        <v>0</v>
      </c>
      <c r="AJ5458" s="182" t="n">
        <v>0</v>
      </c>
      <c r="AK5458" s="182" t="n">
        <v>5.6</v>
      </c>
      <c r="AL5458" s="182" t="n">
        <v>0</v>
      </c>
      <c r="AM5458" s="182" t="n">
        <v>0.08</v>
      </c>
      <c r="AN5458" s="182" t="n">
        <v>0</v>
      </c>
    </row>
    <row r="5459">
      <c r="A5459" s="155" t="n">
        <v>46106</v>
      </c>
      <c r="B5459" s="156" t="inlineStr">
        <is>
          <t>NS</t>
        </is>
      </c>
      <c r="C5459" s="156" t="inlineStr">
        <is>
          <t>DT-804</t>
        </is>
      </c>
      <c r="D5459" s="156" t="inlineStr">
        <is>
          <t>SKT 80S</t>
        </is>
      </c>
      <c r="E5459" s="156" t="inlineStr">
        <is>
          <t>Hauler</t>
        </is>
      </c>
      <c r="F5459" s="156" t="inlineStr"/>
      <c r="G5459" s="182" t="n">
        <v>0</v>
      </c>
      <c r="H5459" s="182" t="n">
        <v>0</v>
      </c>
      <c r="I5459" s="182" t="n">
        <v>0</v>
      </c>
      <c r="J5459" s="182" t="n">
        <v>0</v>
      </c>
      <c r="K5459" s="182" t="n">
        <v>12</v>
      </c>
      <c r="L5459" s="182" t="n">
        <v>12</v>
      </c>
      <c r="M5459" s="182" t="n">
        <v>0</v>
      </c>
      <c r="N5459" s="182" t="n">
        <v>0</v>
      </c>
      <c r="O5459" s="183" t="n">
        <v>0</v>
      </c>
      <c r="P5459" s="183" t="n">
        <v>0</v>
      </c>
      <c r="Q5459" s="184" t="n">
        <v>0</v>
      </c>
      <c r="R5459" s="184" t="n">
        <v>0</v>
      </c>
      <c r="S5459" s="183" t="n">
        <v>0</v>
      </c>
      <c r="T5459" s="183" t="n">
        <v>0</v>
      </c>
      <c r="U5459" s="182" t="n">
        <v>0</v>
      </c>
      <c r="V5459" s="182" t="n">
        <v>0</v>
      </c>
      <c r="W5459" s="182" t="n">
        <v>0</v>
      </c>
      <c r="X5459" s="182" t="n">
        <v>1</v>
      </c>
      <c r="Y5459" s="182" t="n">
        <v>0</v>
      </c>
      <c r="Z5459" s="182" t="n">
        <v>0</v>
      </c>
      <c r="AA5459" s="182" t="n">
        <v>0</v>
      </c>
      <c r="AB5459" s="182" t="n">
        <v>0</v>
      </c>
      <c r="AC5459" s="182" t="n">
        <v>0</v>
      </c>
      <c r="AD5459" s="182" t="n">
        <v>0</v>
      </c>
      <c r="AE5459" s="182" t="n">
        <v>0</v>
      </c>
      <c r="AF5459" s="182" t="n">
        <v>0</v>
      </c>
      <c r="AG5459" s="182" t="n">
        <v>0</v>
      </c>
      <c r="AH5459" s="182" t="n">
        <v>0</v>
      </c>
      <c r="AI5459" s="182" t="n">
        <v>0</v>
      </c>
      <c r="AJ5459" s="182" t="n">
        <v>0</v>
      </c>
      <c r="AK5459" s="182" t="n">
        <v>10.92</v>
      </c>
      <c r="AL5459" s="182" t="n">
        <v>0</v>
      </c>
      <c r="AM5459" s="182" t="n">
        <v>0.08</v>
      </c>
      <c r="AN5459" s="182" t="n">
        <v>0</v>
      </c>
    </row>
    <row r="5460">
      <c r="A5460" s="155" t="n">
        <v>46106</v>
      </c>
      <c r="B5460" s="156" t="inlineStr">
        <is>
          <t>NS</t>
        </is>
      </c>
      <c r="C5460" s="156" t="inlineStr">
        <is>
          <t>DT-505</t>
        </is>
      </c>
      <c r="D5460" s="156" t="inlineStr">
        <is>
          <t>SKT 105S</t>
        </is>
      </c>
      <c r="E5460" s="156" t="inlineStr">
        <is>
          <t>Hauler</t>
        </is>
      </c>
      <c r="F5460" s="156" t="inlineStr">
        <is>
          <t>Hauling OB</t>
        </is>
      </c>
      <c r="G5460" s="182" t="n">
        <v>3.21</v>
      </c>
      <c r="H5460" s="182" t="n">
        <v>0</v>
      </c>
      <c r="I5460" s="182" t="n">
        <v>0</v>
      </c>
      <c r="J5460" s="182" t="n">
        <v>0</v>
      </c>
      <c r="K5460" s="182" t="n">
        <v>8.789999999999999</v>
      </c>
      <c r="L5460" s="182" t="n">
        <v>12</v>
      </c>
      <c r="M5460" s="182" t="n">
        <v>3.21</v>
      </c>
      <c r="N5460" s="182" t="n">
        <v>0</v>
      </c>
      <c r="O5460" s="183" t="n">
        <v>13</v>
      </c>
      <c r="P5460" s="183" t="n">
        <v>0</v>
      </c>
      <c r="Q5460" s="184" t="n">
        <v>265.2</v>
      </c>
      <c r="R5460" s="184" t="n">
        <v>0</v>
      </c>
      <c r="S5460" s="183" t="n">
        <v>0</v>
      </c>
      <c r="T5460" s="183" t="n">
        <v>0</v>
      </c>
      <c r="U5460" s="182" t="n">
        <v>1.57</v>
      </c>
      <c r="V5460" s="182" t="n">
        <v>0</v>
      </c>
      <c r="W5460" s="182" t="n">
        <v>0</v>
      </c>
      <c r="X5460" s="182" t="n">
        <v>1.05</v>
      </c>
      <c r="Y5460" s="182" t="n">
        <v>0</v>
      </c>
      <c r="Z5460" s="182" t="n">
        <v>0</v>
      </c>
      <c r="AA5460" s="182" t="n">
        <v>0</v>
      </c>
      <c r="AB5460" s="182" t="n">
        <v>0</v>
      </c>
      <c r="AC5460" s="182" t="n">
        <v>0</v>
      </c>
      <c r="AD5460" s="182" t="n">
        <v>0</v>
      </c>
      <c r="AE5460" s="182" t="n">
        <v>0</v>
      </c>
      <c r="AF5460" s="182" t="n">
        <v>0</v>
      </c>
      <c r="AG5460" s="182" t="n">
        <v>0</v>
      </c>
      <c r="AH5460" s="182" t="n">
        <v>0</v>
      </c>
      <c r="AI5460" s="182" t="n">
        <v>6.09</v>
      </c>
      <c r="AJ5460" s="182" t="n">
        <v>0</v>
      </c>
      <c r="AK5460" s="182" t="n">
        <v>0</v>
      </c>
      <c r="AL5460" s="182" t="n">
        <v>0</v>
      </c>
      <c r="AM5460" s="182" t="n">
        <v>0.08</v>
      </c>
      <c r="AN5460" s="182" t="n">
        <v>0</v>
      </c>
    </row>
    <row r="5461">
      <c r="A5461" s="155" t="n">
        <v>46106</v>
      </c>
      <c r="B5461" s="156" t="inlineStr">
        <is>
          <t>NS</t>
        </is>
      </c>
      <c r="C5461" s="156" t="inlineStr">
        <is>
          <t>DT-530</t>
        </is>
      </c>
      <c r="D5461" s="156" t="inlineStr">
        <is>
          <t>SKT 105S</t>
        </is>
      </c>
      <c r="E5461" s="156" t="inlineStr">
        <is>
          <t>Hauler</t>
        </is>
      </c>
      <c r="F5461" s="156" t="inlineStr"/>
      <c r="G5461" s="182" t="n">
        <v>0</v>
      </c>
      <c r="H5461" s="182" t="n">
        <v>0</v>
      </c>
      <c r="I5461" s="182" t="n">
        <v>12</v>
      </c>
      <c r="J5461" s="182" t="n">
        <v>12</v>
      </c>
      <c r="K5461" s="182" t="n">
        <v>0</v>
      </c>
      <c r="L5461" s="182" t="n">
        <v>12</v>
      </c>
      <c r="M5461" s="182" t="n">
        <v>0</v>
      </c>
      <c r="N5461" s="182" t="n">
        <v>0</v>
      </c>
      <c r="O5461" s="183" t="n">
        <v>0</v>
      </c>
      <c r="P5461" s="183" t="n">
        <v>0</v>
      </c>
      <c r="Q5461" s="184" t="n">
        <v>0</v>
      </c>
      <c r="R5461" s="184" t="n">
        <v>0</v>
      </c>
      <c r="S5461" s="183" t="n">
        <v>0</v>
      </c>
      <c r="T5461" s="183" t="n">
        <v>0</v>
      </c>
      <c r="U5461" s="182" t="n">
        <v>0</v>
      </c>
      <c r="V5461" s="182" t="n">
        <v>0</v>
      </c>
      <c r="W5461" s="182" t="n">
        <v>0</v>
      </c>
      <c r="X5461" s="182" t="n">
        <v>0</v>
      </c>
      <c r="Y5461" s="182" t="n">
        <v>0</v>
      </c>
      <c r="Z5461" s="182" t="n">
        <v>0</v>
      </c>
      <c r="AA5461" s="182" t="n">
        <v>0</v>
      </c>
      <c r="AB5461" s="182" t="n">
        <v>0</v>
      </c>
      <c r="AC5461" s="182" t="n">
        <v>0</v>
      </c>
      <c r="AD5461" s="182" t="n">
        <v>0</v>
      </c>
      <c r="AE5461" s="182" t="n">
        <v>0</v>
      </c>
      <c r="AF5461" s="182" t="n">
        <v>0</v>
      </c>
      <c r="AG5461" s="182" t="n">
        <v>0</v>
      </c>
      <c r="AH5461" s="182" t="n">
        <v>0</v>
      </c>
      <c r="AI5461" s="182" t="n">
        <v>0</v>
      </c>
      <c r="AJ5461" s="182" t="n">
        <v>0</v>
      </c>
      <c r="AK5461" s="182" t="n">
        <v>0</v>
      </c>
      <c r="AL5461" s="182" t="n">
        <v>0</v>
      </c>
      <c r="AM5461" s="182" t="n">
        <v>0</v>
      </c>
      <c r="AN5461" s="182" t="n">
        <v>0</v>
      </c>
    </row>
    <row r="5462">
      <c r="A5462" s="155" t="n">
        <v>46106</v>
      </c>
      <c r="B5462" s="156" t="inlineStr">
        <is>
          <t>NS</t>
        </is>
      </c>
      <c r="C5462" s="156" t="inlineStr">
        <is>
          <t>DT-525</t>
        </is>
      </c>
      <c r="D5462" s="156" t="inlineStr">
        <is>
          <t>SKT 105S</t>
        </is>
      </c>
      <c r="E5462" s="156" t="inlineStr">
        <is>
          <t>Hauler</t>
        </is>
      </c>
      <c r="F5462" s="156" t="inlineStr"/>
      <c r="G5462" s="182" t="n">
        <v>0</v>
      </c>
      <c r="H5462" s="182" t="n">
        <v>0</v>
      </c>
      <c r="I5462" s="182" t="n">
        <v>12</v>
      </c>
      <c r="J5462" s="182" t="n">
        <v>12</v>
      </c>
      <c r="K5462" s="182" t="n">
        <v>0</v>
      </c>
      <c r="L5462" s="182" t="n">
        <v>12</v>
      </c>
      <c r="M5462" s="182" t="n">
        <v>0</v>
      </c>
      <c r="N5462" s="182" t="n">
        <v>0</v>
      </c>
      <c r="O5462" s="183" t="n">
        <v>0</v>
      </c>
      <c r="P5462" s="183" t="n">
        <v>0</v>
      </c>
      <c r="Q5462" s="184" t="n">
        <v>0</v>
      </c>
      <c r="R5462" s="184" t="n">
        <v>0</v>
      </c>
      <c r="S5462" s="183" t="n">
        <v>0</v>
      </c>
      <c r="T5462" s="183" t="n">
        <v>0</v>
      </c>
      <c r="U5462" s="182" t="n">
        <v>0</v>
      </c>
      <c r="V5462" s="182" t="n">
        <v>0</v>
      </c>
      <c r="W5462" s="182" t="n">
        <v>0</v>
      </c>
      <c r="X5462" s="182" t="n">
        <v>0</v>
      </c>
      <c r="Y5462" s="182" t="n">
        <v>0</v>
      </c>
      <c r="Z5462" s="182" t="n">
        <v>0</v>
      </c>
      <c r="AA5462" s="182" t="n">
        <v>0</v>
      </c>
      <c r="AB5462" s="182" t="n">
        <v>0</v>
      </c>
      <c r="AC5462" s="182" t="n">
        <v>0</v>
      </c>
      <c r="AD5462" s="182" t="n">
        <v>0</v>
      </c>
      <c r="AE5462" s="182" t="n">
        <v>0</v>
      </c>
      <c r="AF5462" s="182" t="n">
        <v>0</v>
      </c>
      <c r="AG5462" s="182" t="n">
        <v>0</v>
      </c>
      <c r="AH5462" s="182" t="n">
        <v>0</v>
      </c>
      <c r="AI5462" s="182" t="n">
        <v>0</v>
      </c>
      <c r="AJ5462" s="182" t="n">
        <v>0</v>
      </c>
      <c r="AK5462" s="182" t="n">
        <v>0</v>
      </c>
      <c r="AL5462" s="182" t="n">
        <v>0</v>
      </c>
      <c r="AM5462" s="182" t="n">
        <v>0</v>
      </c>
      <c r="AN5462" s="182" t="n">
        <v>0</v>
      </c>
    </row>
    <row r="5463">
      <c r="A5463" s="155" t="n">
        <v>46106</v>
      </c>
      <c r="B5463" s="156" t="inlineStr">
        <is>
          <t>NS</t>
        </is>
      </c>
      <c r="C5463" s="156" t="inlineStr">
        <is>
          <t>DT-503</t>
        </is>
      </c>
      <c r="D5463" s="156" t="inlineStr">
        <is>
          <t>SKT 105S</t>
        </is>
      </c>
      <c r="E5463" s="156" t="inlineStr">
        <is>
          <t>Hauler</t>
        </is>
      </c>
      <c r="F5463" s="156" t="inlineStr">
        <is>
          <t>Hauling OB</t>
        </is>
      </c>
      <c r="G5463" s="182" t="n">
        <v>5.8</v>
      </c>
      <c r="H5463" s="182" t="n">
        <v>0</v>
      </c>
      <c r="I5463" s="182" t="n">
        <v>0</v>
      </c>
      <c r="J5463" s="182" t="n">
        <v>0</v>
      </c>
      <c r="K5463" s="182" t="n">
        <v>6.2</v>
      </c>
      <c r="L5463" s="182" t="n">
        <v>12</v>
      </c>
      <c r="M5463" s="182" t="n">
        <v>5.8</v>
      </c>
      <c r="N5463" s="182" t="n">
        <v>0</v>
      </c>
      <c r="O5463" s="183" t="n">
        <v>17</v>
      </c>
      <c r="P5463" s="183" t="n">
        <v>0</v>
      </c>
      <c r="Q5463" s="184" t="n">
        <v>346.8</v>
      </c>
      <c r="R5463" s="184" t="n">
        <v>0</v>
      </c>
      <c r="S5463" s="183" t="n">
        <v>0</v>
      </c>
      <c r="T5463" s="183" t="n">
        <v>0</v>
      </c>
      <c r="U5463" s="182" t="n">
        <v>1.55</v>
      </c>
      <c r="V5463" s="182" t="n">
        <v>0</v>
      </c>
      <c r="W5463" s="182" t="n">
        <v>0</v>
      </c>
      <c r="X5463" s="182" t="n">
        <v>1.03</v>
      </c>
      <c r="Y5463" s="182" t="n">
        <v>0</v>
      </c>
      <c r="Z5463" s="182" t="n">
        <v>0</v>
      </c>
      <c r="AA5463" s="182" t="n">
        <v>0</v>
      </c>
      <c r="AB5463" s="182" t="n">
        <v>0</v>
      </c>
      <c r="AC5463" s="182" t="n">
        <v>0</v>
      </c>
      <c r="AD5463" s="182" t="n">
        <v>0</v>
      </c>
      <c r="AE5463" s="182" t="n">
        <v>0</v>
      </c>
      <c r="AF5463" s="182" t="n">
        <v>0</v>
      </c>
      <c r="AG5463" s="182" t="n">
        <v>0</v>
      </c>
      <c r="AH5463" s="182" t="n">
        <v>0</v>
      </c>
      <c r="AI5463" s="182" t="n">
        <v>3.53</v>
      </c>
      <c r="AJ5463" s="182" t="n">
        <v>0</v>
      </c>
      <c r="AK5463" s="182" t="n">
        <v>0</v>
      </c>
      <c r="AL5463" s="182" t="n">
        <v>0</v>
      </c>
      <c r="AM5463" s="182" t="n">
        <v>0.08</v>
      </c>
      <c r="AN5463" s="182" t="n">
        <v>0</v>
      </c>
    </row>
    <row r="5464">
      <c r="A5464" s="155" t="n">
        <v>46106</v>
      </c>
      <c r="B5464" s="156" t="inlineStr">
        <is>
          <t>NS</t>
        </is>
      </c>
      <c r="C5464" s="156" t="inlineStr">
        <is>
          <t>DT-504</t>
        </is>
      </c>
      <c r="D5464" s="156" t="inlineStr">
        <is>
          <t>SKT 105S</t>
        </is>
      </c>
      <c r="E5464" s="156" t="inlineStr">
        <is>
          <t>Hauler</t>
        </is>
      </c>
      <c r="F5464" s="156" t="inlineStr">
        <is>
          <t>Hauling OB</t>
        </is>
      </c>
      <c r="G5464" s="182" t="n">
        <v>3.89</v>
      </c>
      <c r="H5464" s="182" t="n">
        <v>0</v>
      </c>
      <c r="I5464" s="182" t="n">
        <v>0</v>
      </c>
      <c r="J5464" s="182" t="n">
        <v>0</v>
      </c>
      <c r="K5464" s="182" t="n">
        <v>8.109999999999999</v>
      </c>
      <c r="L5464" s="182" t="n">
        <v>12</v>
      </c>
      <c r="M5464" s="182" t="n">
        <v>3.89</v>
      </c>
      <c r="N5464" s="182" t="n">
        <v>0</v>
      </c>
      <c r="O5464" s="183" t="n">
        <v>21</v>
      </c>
      <c r="P5464" s="183" t="n">
        <v>0</v>
      </c>
      <c r="Q5464" s="184" t="n">
        <v>428.4</v>
      </c>
      <c r="R5464" s="184" t="n">
        <v>0</v>
      </c>
      <c r="S5464" s="183" t="n">
        <v>0</v>
      </c>
      <c r="T5464" s="183" t="n">
        <v>0</v>
      </c>
      <c r="U5464" s="182" t="n">
        <v>1.58</v>
      </c>
      <c r="V5464" s="182" t="n">
        <v>0</v>
      </c>
      <c r="W5464" s="182" t="n">
        <v>0</v>
      </c>
      <c r="X5464" s="182" t="n">
        <v>1.05</v>
      </c>
      <c r="Y5464" s="182" t="n">
        <v>0</v>
      </c>
      <c r="Z5464" s="182" t="n">
        <v>0</v>
      </c>
      <c r="AA5464" s="182" t="n">
        <v>0</v>
      </c>
      <c r="AB5464" s="182" t="n">
        <v>0</v>
      </c>
      <c r="AC5464" s="182" t="n">
        <v>0</v>
      </c>
      <c r="AD5464" s="182" t="n">
        <v>0</v>
      </c>
      <c r="AE5464" s="182" t="n">
        <v>0</v>
      </c>
      <c r="AF5464" s="182" t="n">
        <v>0</v>
      </c>
      <c r="AG5464" s="182" t="n">
        <v>0</v>
      </c>
      <c r="AH5464" s="182" t="n">
        <v>0</v>
      </c>
      <c r="AI5464" s="182" t="n">
        <v>5.39</v>
      </c>
      <c r="AJ5464" s="182" t="n">
        <v>0</v>
      </c>
      <c r="AK5464" s="182" t="n">
        <v>0</v>
      </c>
      <c r="AL5464" s="182" t="n">
        <v>0</v>
      </c>
      <c r="AM5464" s="182" t="n">
        <v>0.08</v>
      </c>
      <c r="AN5464" s="182" t="n">
        <v>0</v>
      </c>
    </row>
    <row r="5465">
      <c r="A5465" s="155" t="n">
        <v>46106</v>
      </c>
      <c r="B5465" s="156" t="inlineStr">
        <is>
          <t>NS</t>
        </is>
      </c>
      <c r="C5465" s="156" t="inlineStr">
        <is>
          <t>DT-507</t>
        </is>
      </c>
      <c r="D5465" s="156" t="inlineStr">
        <is>
          <t>SKT 105S</t>
        </is>
      </c>
      <c r="E5465" s="156" t="inlineStr">
        <is>
          <t>Hauler</t>
        </is>
      </c>
      <c r="F5465" s="156" t="inlineStr">
        <is>
          <t>Hauling OB</t>
        </is>
      </c>
      <c r="G5465" s="182" t="n">
        <v>8.720000000000001</v>
      </c>
      <c r="H5465" s="182" t="n">
        <v>0</v>
      </c>
      <c r="I5465" s="182" t="n">
        <v>0</v>
      </c>
      <c r="J5465" s="182" t="n">
        <v>0</v>
      </c>
      <c r="K5465" s="182" t="n">
        <v>3.28</v>
      </c>
      <c r="L5465" s="182" t="n">
        <v>12</v>
      </c>
      <c r="M5465" s="182" t="n">
        <v>8.720000000000001</v>
      </c>
      <c r="N5465" s="182" t="n">
        <v>0</v>
      </c>
      <c r="O5465" s="183" t="n">
        <v>26</v>
      </c>
      <c r="P5465" s="183" t="n">
        <v>0</v>
      </c>
      <c r="Q5465" s="184" t="n">
        <v>530.4</v>
      </c>
      <c r="R5465" s="184" t="n">
        <v>0</v>
      </c>
      <c r="S5465" s="183" t="n">
        <v>0</v>
      </c>
      <c r="T5465" s="183" t="n">
        <v>0</v>
      </c>
      <c r="U5465" s="182" t="n">
        <v>1.45</v>
      </c>
      <c r="V5465" s="182" t="n">
        <v>0</v>
      </c>
      <c r="W5465" s="182" t="n">
        <v>0</v>
      </c>
      <c r="X5465" s="182" t="n">
        <v>0.96</v>
      </c>
      <c r="Y5465" s="182" t="n">
        <v>0</v>
      </c>
      <c r="Z5465" s="182" t="n">
        <v>0</v>
      </c>
      <c r="AA5465" s="182" t="n">
        <v>0</v>
      </c>
      <c r="AB5465" s="182" t="n">
        <v>0</v>
      </c>
      <c r="AC5465" s="182" t="n">
        <v>0</v>
      </c>
      <c r="AD5465" s="182" t="n">
        <v>0</v>
      </c>
      <c r="AE5465" s="182" t="n">
        <v>0</v>
      </c>
      <c r="AF5465" s="182" t="n">
        <v>0</v>
      </c>
      <c r="AG5465" s="182" t="n">
        <v>0</v>
      </c>
      <c r="AH5465" s="182" t="n">
        <v>0.79</v>
      </c>
      <c r="AI5465" s="182" t="n">
        <v>0</v>
      </c>
      <c r="AJ5465" s="182" t="n">
        <v>0</v>
      </c>
      <c r="AK5465" s="182" t="n">
        <v>0</v>
      </c>
      <c r="AL5465" s="182" t="n">
        <v>0</v>
      </c>
      <c r="AM5465" s="182" t="n">
        <v>0.08</v>
      </c>
      <c r="AN5465" s="182" t="n">
        <v>0</v>
      </c>
    </row>
    <row r="5466">
      <c r="A5466" s="155" t="n">
        <v>46106</v>
      </c>
      <c r="B5466" s="156" t="inlineStr">
        <is>
          <t>NS</t>
        </is>
      </c>
      <c r="C5466" s="156" t="inlineStr">
        <is>
          <t>DT-501</t>
        </is>
      </c>
      <c r="D5466" s="156" t="inlineStr">
        <is>
          <t>SKT 105S</t>
        </is>
      </c>
      <c r="E5466" s="156" t="inlineStr">
        <is>
          <t>Hauler</t>
        </is>
      </c>
      <c r="F5466" s="156" t="inlineStr"/>
      <c r="G5466" s="182" t="n">
        <v>0</v>
      </c>
      <c r="H5466" s="182" t="n">
        <v>0</v>
      </c>
      <c r="I5466" s="182" t="n">
        <v>3</v>
      </c>
      <c r="J5466" s="182" t="n">
        <v>3</v>
      </c>
      <c r="K5466" s="182" t="n">
        <v>9</v>
      </c>
      <c r="L5466" s="182" t="n">
        <v>12</v>
      </c>
      <c r="M5466" s="182" t="n">
        <v>0</v>
      </c>
      <c r="N5466" s="182" t="n">
        <v>0</v>
      </c>
      <c r="O5466" s="183" t="n">
        <v>0</v>
      </c>
      <c r="P5466" s="183" t="n">
        <v>0</v>
      </c>
      <c r="Q5466" s="184" t="n">
        <v>0</v>
      </c>
      <c r="R5466" s="184" t="n">
        <v>0</v>
      </c>
      <c r="S5466" s="183" t="n">
        <v>0</v>
      </c>
      <c r="T5466" s="183" t="n">
        <v>0</v>
      </c>
      <c r="U5466" s="182" t="n">
        <v>1.5</v>
      </c>
      <c r="V5466" s="182" t="n">
        <v>0</v>
      </c>
      <c r="W5466" s="182" t="n">
        <v>0</v>
      </c>
      <c r="X5466" s="182" t="n">
        <v>1</v>
      </c>
      <c r="Y5466" s="182" t="n">
        <v>0</v>
      </c>
      <c r="Z5466" s="182" t="n">
        <v>0</v>
      </c>
      <c r="AA5466" s="182" t="n">
        <v>0</v>
      </c>
      <c r="AB5466" s="182" t="n">
        <v>0</v>
      </c>
      <c r="AC5466" s="182" t="n">
        <v>0</v>
      </c>
      <c r="AD5466" s="182" t="n">
        <v>0</v>
      </c>
      <c r="AE5466" s="182" t="n">
        <v>0</v>
      </c>
      <c r="AF5466" s="182" t="n">
        <v>0</v>
      </c>
      <c r="AG5466" s="182" t="n">
        <v>0</v>
      </c>
      <c r="AH5466" s="182" t="n">
        <v>0</v>
      </c>
      <c r="AI5466" s="182" t="n">
        <v>6.42</v>
      </c>
      <c r="AJ5466" s="182" t="n">
        <v>0</v>
      </c>
      <c r="AK5466" s="182" t="n">
        <v>0</v>
      </c>
      <c r="AL5466" s="182" t="n">
        <v>0</v>
      </c>
      <c r="AM5466" s="182" t="n">
        <v>0.08</v>
      </c>
      <c r="AN5466" s="182" t="n">
        <v>0</v>
      </c>
    </row>
    <row r="5467">
      <c r="A5467" s="155" t="n">
        <v>46106</v>
      </c>
      <c r="B5467" s="156" t="inlineStr">
        <is>
          <t>NS</t>
        </is>
      </c>
      <c r="C5467" s="156" t="inlineStr">
        <is>
          <t>DT-518</t>
        </is>
      </c>
      <c r="D5467" s="156" t="inlineStr">
        <is>
          <t>SKT 105S</t>
        </is>
      </c>
      <c r="E5467" s="156" t="inlineStr">
        <is>
          <t>Hauler</t>
        </is>
      </c>
      <c r="F5467" s="156" t="inlineStr">
        <is>
          <t>Hauling OB</t>
        </is>
      </c>
      <c r="G5467" s="182" t="n">
        <v>2.23</v>
      </c>
      <c r="H5467" s="182" t="n">
        <v>0</v>
      </c>
      <c r="I5467" s="182" t="n">
        <v>2.42</v>
      </c>
      <c r="J5467" s="182" t="n">
        <v>2.42</v>
      </c>
      <c r="K5467" s="182" t="n">
        <v>7.35</v>
      </c>
      <c r="L5467" s="182" t="n">
        <v>12</v>
      </c>
      <c r="M5467" s="182" t="n">
        <v>2.23</v>
      </c>
      <c r="N5467" s="182" t="n">
        <v>0</v>
      </c>
      <c r="O5467" s="183" t="n">
        <v>9</v>
      </c>
      <c r="P5467" s="183" t="n">
        <v>0</v>
      </c>
      <c r="Q5467" s="184" t="n">
        <v>183.6</v>
      </c>
      <c r="R5467" s="184" t="n">
        <v>0</v>
      </c>
      <c r="S5467" s="183" t="n">
        <v>0</v>
      </c>
      <c r="T5467" s="183" t="n">
        <v>0</v>
      </c>
      <c r="U5467" s="182" t="n">
        <v>1.49</v>
      </c>
      <c r="V5467" s="182" t="n">
        <v>0</v>
      </c>
      <c r="W5467" s="182" t="n">
        <v>0</v>
      </c>
      <c r="X5467" s="182" t="n">
        <v>1</v>
      </c>
      <c r="Y5467" s="182" t="n">
        <v>0</v>
      </c>
      <c r="Z5467" s="182" t="n">
        <v>0</v>
      </c>
      <c r="AA5467" s="182" t="n">
        <v>0</v>
      </c>
      <c r="AB5467" s="182" t="n">
        <v>0</v>
      </c>
      <c r="AC5467" s="182" t="n">
        <v>0</v>
      </c>
      <c r="AD5467" s="182" t="n">
        <v>0</v>
      </c>
      <c r="AE5467" s="182" t="n">
        <v>0</v>
      </c>
      <c r="AF5467" s="182" t="n">
        <v>0</v>
      </c>
      <c r="AG5467" s="182" t="n">
        <v>0</v>
      </c>
      <c r="AH5467" s="182" t="n">
        <v>0</v>
      </c>
      <c r="AI5467" s="182" t="n">
        <v>4.78</v>
      </c>
      <c r="AJ5467" s="182" t="n">
        <v>0</v>
      </c>
      <c r="AK5467" s="182" t="n">
        <v>0</v>
      </c>
      <c r="AL5467" s="182" t="n">
        <v>0</v>
      </c>
      <c r="AM5467" s="182" t="n">
        <v>0.08</v>
      </c>
      <c r="AN5467" s="182" t="n">
        <v>0</v>
      </c>
    </row>
    <row r="5468">
      <c r="A5468" s="155" t="n">
        <v>46106</v>
      </c>
      <c r="B5468" s="156" t="inlineStr">
        <is>
          <t>NS</t>
        </is>
      </c>
      <c r="C5468" s="156" t="inlineStr">
        <is>
          <t>DT-514</t>
        </is>
      </c>
      <c r="D5468" s="156" t="inlineStr">
        <is>
          <t>SKT 105S</t>
        </is>
      </c>
      <c r="E5468" s="156" t="inlineStr">
        <is>
          <t>Hauler</t>
        </is>
      </c>
      <c r="F5468" s="156" t="inlineStr"/>
      <c r="G5468" s="182" t="n">
        <v>0</v>
      </c>
      <c r="H5468" s="182" t="n">
        <v>0</v>
      </c>
      <c r="I5468" s="182" t="n">
        <v>12</v>
      </c>
      <c r="J5468" s="182" t="n">
        <v>12</v>
      </c>
      <c r="K5468" s="182" t="n">
        <v>0</v>
      </c>
      <c r="L5468" s="182" t="n">
        <v>12</v>
      </c>
      <c r="M5468" s="182" t="n">
        <v>0</v>
      </c>
      <c r="N5468" s="182" t="n">
        <v>0</v>
      </c>
      <c r="O5468" s="183" t="n">
        <v>0</v>
      </c>
      <c r="P5468" s="183" t="n">
        <v>0</v>
      </c>
      <c r="Q5468" s="184" t="n">
        <v>0</v>
      </c>
      <c r="R5468" s="184" t="n">
        <v>0</v>
      </c>
      <c r="S5468" s="183" t="n">
        <v>0</v>
      </c>
      <c r="T5468" s="183" t="n">
        <v>0</v>
      </c>
      <c r="U5468" s="182" t="n">
        <v>0</v>
      </c>
      <c r="V5468" s="182" t="n">
        <v>0</v>
      </c>
      <c r="W5468" s="182" t="n">
        <v>0</v>
      </c>
      <c r="X5468" s="182" t="n">
        <v>0</v>
      </c>
      <c r="Y5468" s="182" t="n">
        <v>0</v>
      </c>
      <c r="Z5468" s="182" t="n">
        <v>0</v>
      </c>
      <c r="AA5468" s="182" t="n">
        <v>0</v>
      </c>
      <c r="AB5468" s="182" t="n">
        <v>0</v>
      </c>
      <c r="AC5468" s="182" t="n">
        <v>0</v>
      </c>
      <c r="AD5468" s="182" t="n">
        <v>0</v>
      </c>
      <c r="AE5468" s="182" t="n">
        <v>0</v>
      </c>
      <c r="AF5468" s="182" t="n">
        <v>0</v>
      </c>
      <c r="AG5468" s="182" t="n">
        <v>0</v>
      </c>
      <c r="AH5468" s="182" t="n">
        <v>0</v>
      </c>
      <c r="AI5468" s="182" t="n">
        <v>0</v>
      </c>
      <c r="AJ5468" s="182" t="n">
        <v>0</v>
      </c>
      <c r="AK5468" s="182" t="n">
        <v>0</v>
      </c>
      <c r="AL5468" s="182" t="n">
        <v>0</v>
      </c>
      <c r="AM5468" s="182" t="n">
        <v>0</v>
      </c>
      <c r="AN5468" s="182" t="n">
        <v>0</v>
      </c>
    </row>
    <row r="5469">
      <c r="A5469" s="155" t="n">
        <v>46106</v>
      </c>
      <c r="B5469" s="156" t="inlineStr">
        <is>
          <t>NS</t>
        </is>
      </c>
      <c r="C5469" s="156" t="inlineStr">
        <is>
          <t>DT-523</t>
        </is>
      </c>
      <c r="D5469" s="156" t="inlineStr">
        <is>
          <t>SKT 105S</t>
        </is>
      </c>
      <c r="E5469" s="156" t="inlineStr">
        <is>
          <t>Hauler</t>
        </is>
      </c>
      <c r="F5469" s="156" t="inlineStr">
        <is>
          <t>Hauling OB</t>
        </is>
      </c>
      <c r="G5469" s="182" t="n">
        <v>5.44</v>
      </c>
      <c r="H5469" s="182" t="n">
        <v>0</v>
      </c>
      <c r="I5469" s="182" t="n">
        <v>0</v>
      </c>
      <c r="J5469" s="182" t="n">
        <v>0</v>
      </c>
      <c r="K5469" s="182" t="n">
        <v>6.56</v>
      </c>
      <c r="L5469" s="182" t="n">
        <v>12</v>
      </c>
      <c r="M5469" s="182" t="n">
        <v>5.44</v>
      </c>
      <c r="N5469" s="182" t="n">
        <v>0</v>
      </c>
      <c r="O5469" s="183" t="n">
        <v>23</v>
      </c>
      <c r="P5469" s="183" t="n">
        <v>0</v>
      </c>
      <c r="Q5469" s="184" t="n">
        <v>469.2</v>
      </c>
      <c r="R5469" s="184" t="n">
        <v>0</v>
      </c>
      <c r="S5469" s="183" t="n">
        <v>0</v>
      </c>
      <c r="T5469" s="183" t="n">
        <v>0</v>
      </c>
      <c r="U5469" s="182" t="n">
        <v>1.43</v>
      </c>
      <c r="V5469" s="182" t="n">
        <v>0</v>
      </c>
      <c r="W5469" s="182" t="n">
        <v>0</v>
      </c>
      <c r="X5469" s="182" t="n">
        <v>0.95</v>
      </c>
      <c r="Y5469" s="182" t="n">
        <v>0</v>
      </c>
      <c r="Z5469" s="182" t="n">
        <v>0</v>
      </c>
      <c r="AA5469" s="182" t="n">
        <v>0</v>
      </c>
      <c r="AB5469" s="182" t="n">
        <v>0</v>
      </c>
      <c r="AC5469" s="182" t="n">
        <v>0</v>
      </c>
      <c r="AD5469" s="182" t="n">
        <v>0</v>
      </c>
      <c r="AE5469" s="182" t="n">
        <v>0</v>
      </c>
      <c r="AF5469" s="182" t="n">
        <v>0</v>
      </c>
      <c r="AG5469" s="182" t="n">
        <v>0</v>
      </c>
      <c r="AH5469" s="182" t="n">
        <v>0</v>
      </c>
      <c r="AI5469" s="182" t="n">
        <v>4.11</v>
      </c>
      <c r="AJ5469" s="182" t="n">
        <v>0</v>
      </c>
      <c r="AK5469" s="182" t="n">
        <v>0</v>
      </c>
      <c r="AL5469" s="182" t="n">
        <v>0</v>
      </c>
      <c r="AM5469" s="182" t="n">
        <v>0.08</v>
      </c>
      <c r="AN5469" s="182" t="n">
        <v>0</v>
      </c>
    </row>
    <row r="5470">
      <c r="A5470" s="155" t="n">
        <v>46106</v>
      </c>
      <c r="B5470" s="156" t="inlineStr">
        <is>
          <t>NS</t>
        </is>
      </c>
      <c r="C5470" s="156" t="inlineStr">
        <is>
          <t>DT-519</t>
        </is>
      </c>
      <c r="D5470" s="156" t="inlineStr">
        <is>
          <t>SKT 105S</t>
        </is>
      </c>
      <c r="E5470" s="156" t="inlineStr">
        <is>
          <t>Hauler</t>
        </is>
      </c>
      <c r="F5470" s="156" t="inlineStr"/>
      <c r="G5470" s="182" t="n">
        <v>0</v>
      </c>
      <c r="H5470" s="182" t="n">
        <v>0</v>
      </c>
      <c r="I5470" s="182" t="n">
        <v>12</v>
      </c>
      <c r="J5470" s="182" t="n">
        <v>12</v>
      </c>
      <c r="K5470" s="182" t="n">
        <v>0</v>
      </c>
      <c r="L5470" s="182" t="n">
        <v>12</v>
      </c>
      <c r="M5470" s="182" t="n">
        <v>0</v>
      </c>
      <c r="N5470" s="182" t="n">
        <v>0</v>
      </c>
      <c r="O5470" s="183" t="n">
        <v>0</v>
      </c>
      <c r="P5470" s="183" t="n">
        <v>0</v>
      </c>
      <c r="Q5470" s="184" t="n">
        <v>0</v>
      </c>
      <c r="R5470" s="184" t="n">
        <v>0</v>
      </c>
      <c r="S5470" s="183" t="n">
        <v>0</v>
      </c>
      <c r="T5470" s="183" t="n">
        <v>0</v>
      </c>
      <c r="U5470" s="182" t="n">
        <v>0</v>
      </c>
      <c r="V5470" s="182" t="n">
        <v>0</v>
      </c>
      <c r="W5470" s="182" t="n">
        <v>0</v>
      </c>
      <c r="X5470" s="182" t="n">
        <v>0</v>
      </c>
      <c r="Y5470" s="182" t="n">
        <v>0</v>
      </c>
      <c r="Z5470" s="182" t="n">
        <v>0</v>
      </c>
      <c r="AA5470" s="182" t="n">
        <v>0</v>
      </c>
      <c r="AB5470" s="182" t="n">
        <v>0</v>
      </c>
      <c r="AC5470" s="182" t="n">
        <v>0</v>
      </c>
      <c r="AD5470" s="182" t="n">
        <v>0</v>
      </c>
      <c r="AE5470" s="182" t="n">
        <v>0</v>
      </c>
      <c r="AF5470" s="182" t="n">
        <v>0</v>
      </c>
      <c r="AG5470" s="182" t="n">
        <v>0</v>
      </c>
      <c r="AH5470" s="182" t="n">
        <v>0</v>
      </c>
      <c r="AI5470" s="182" t="n">
        <v>0</v>
      </c>
      <c r="AJ5470" s="182" t="n">
        <v>0</v>
      </c>
      <c r="AK5470" s="182" t="n">
        <v>0</v>
      </c>
      <c r="AL5470" s="182" t="n">
        <v>0</v>
      </c>
      <c r="AM5470" s="182" t="n">
        <v>0</v>
      </c>
      <c r="AN5470" s="182" t="n">
        <v>0</v>
      </c>
    </row>
    <row r="5471">
      <c r="A5471" s="155" t="n">
        <v>46106</v>
      </c>
      <c r="B5471" s="156" t="inlineStr">
        <is>
          <t>NS</t>
        </is>
      </c>
      <c r="C5471" s="156" t="inlineStr">
        <is>
          <t>DT-527</t>
        </is>
      </c>
      <c r="D5471" s="156" t="inlineStr">
        <is>
          <t>SKT 105S</t>
        </is>
      </c>
      <c r="E5471" s="156" t="inlineStr">
        <is>
          <t>Hauler</t>
        </is>
      </c>
      <c r="F5471" s="156" t="inlineStr">
        <is>
          <t>Hauling OB</t>
        </is>
      </c>
      <c r="G5471" s="182" t="n">
        <v>5.73</v>
      </c>
      <c r="H5471" s="182" t="n">
        <v>0</v>
      </c>
      <c r="I5471" s="182" t="n">
        <v>0</v>
      </c>
      <c r="J5471" s="182" t="n">
        <v>0</v>
      </c>
      <c r="K5471" s="182" t="n">
        <v>6.27</v>
      </c>
      <c r="L5471" s="182" t="n">
        <v>12</v>
      </c>
      <c r="M5471" s="182" t="n">
        <v>5.73</v>
      </c>
      <c r="N5471" s="182" t="n">
        <v>0</v>
      </c>
      <c r="O5471" s="183" t="n">
        <v>27</v>
      </c>
      <c r="P5471" s="183" t="n">
        <v>0</v>
      </c>
      <c r="Q5471" s="184" t="n">
        <v>550.8</v>
      </c>
      <c r="R5471" s="184" t="n">
        <v>0</v>
      </c>
      <c r="S5471" s="183" t="n">
        <v>0</v>
      </c>
      <c r="T5471" s="183" t="n">
        <v>0</v>
      </c>
      <c r="U5471" s="182" t="n">
        <v>1.52</v>
      </c>
      <c r="V5471" s="182" t="n">
        <v>0</v>
      </c>
      <c r="W5471" s="182" t="n">
        <v>0</v>
      </c>
      <c r="X5471" s="182" t="n">
        <v>1.01</v>
      </c>
      <c r="Y5471" s="182" t="n">
        <v>0</v>
      </c>
      <c r="Z5471" s="182" t="n">
        <v>0</v>
      </c>
      <c r="AA5471" s="182" t="n">
        <v>0</v>
      </c>
      <c r="AB5471" s="182" t="n">
        <v>0</v>
      </c>
      <c r="AC5471" s="182" t="n">
        <v>0</v>
      </c>
      <c r="AD5471" s="182" t="n">
        <v>0</v>
      </c>
      <c r="AE5471" s="182" t="n">
        <v>0</v>
      </c>
      <c r="AF5471" s="182" t="n">
        <v>0</v>
      </c>
      <c r="AG5471" s="182" t="n">
        <v>0</v>
      </c>
      <c r="AH5471" s="182" t="n">
        <v>0</v>
      </c>
      <c r="AI5471" s="182" t="n">
        <v>3.66</v>
      </c>
      <c r="AJ5471" s="182" t="n">
        <v>0</v>
      </c>
      <c r="AK5471" s="182" t="n">
        <v>0</v>
      </c>
      <c r="AL5471" s="182" t="n">
        <v>0</v>
      </c>
      <c r="AM5471" s="182" t="n">
        <v>0.08</v>
      </c>
      <c r="AN5471" s="182" t="n">
        <v>0</v>
      </c>
    </row>
    <row r="5472">
      <c r="A5472" s="155" t="n">
        <v>46106</v>
      </c>
      <c r="B5472" s="156" t="inlineStr">
        <is>
          <t>NS</t>
        </is>
      </c>
      <c r="C5472" s="156" t="inlineStr">
        <is>
          <t>DT-513</t>
        </is>
      </c>
      <c r="D5472" s="156" t="inlineStr">
        <is>
          <t>SKT 105S</t>
        </is>
      </c>
      <c r="E5472" s="156" t="inlineStr">
        <is>
          <t>Hauler</t>
        </is>
      </c>
      <c r="F5472" s="156" t="inlineStr"/>
      <c r="G5472" s="182" t="n">
        <v>0</v>
      </c>
      <c r="H5472" s="182" t="n">
        <v>12</v>
      </c>
      <c r="I5472" s="182" t="n">
        <v>0</v>
      </c>
      <c r="J5472" s="182" t="n">
        <v>12</v>
      </c>
      <c r="K5472" s="182" t="n">
        <v>0</v>
      </c>
      <c r="L5472" s="182" t="n">
        <v>12</v>
      </c>
      <c r="M5472" s="182" t="n">
        <v>0</v>
      </c>
      <c r="N5472" s="182" t="n">
        <v>0</v>
      </c>
      <c r="O5472" s="183" t="n">
        <v>0</v>
      </c>
      <c r="P5472" s="183" t="n">
        <v>0</v>
      </c>
      <c r="Q5472" s="184" t="n">
        <v>0</v>
      </c>
      <c r="R5472" s="184" t="n">
        <v>0</v>
      </c>
      <c r="S5472" s="183" t="n">
        <v>0</v>
      </c>
      <c r="T5472" s="183" t="n">
        <v>0</v>
      </c>
      <c r="U5472" s="182" t="n">
        <v>0</v>
      </c>
      <c r="V5472" s="182" t="n">
        <v>0</v>
      </c>
      <c r="W5472" s="182" t="n">
        <v>0</v>
      </c>
      <c r="X5472" s="182" t="n">
        <v>0</v>
      </c>
      <c r="Y5472" s="182" t="n">
        <v>0</v>
      </c>
      <c r="Z5472" s="182" t="n">
        <v>0</v>
      </c>
      <c r="AA5472" s="182" t="n">
        <v>0</v>
      </c>
      <c r="AB5472" s="182" t="n">
        <v>0</v>
      </c>
      <c r="AC5472" s="182" t="n">
        <v>0</v>
      </c>
      <c r="AD5472" s="182" t="n">
        <v>0</v>
      </c>
      <c r="AE5472" s="182" t="n">
        <v>0</v>
      </c>
      <c r="AF5472" s="182" t="n">
        <v>0</v>
      </c>
      <c r="AG5472" s="182" t="n">
        <v>0</v>
      </c>
      <c r="AH5472" s="182" t="n">
        <v>0</v>
      </c>
      <c r="AI5472" s="182" t="n">
        <v>0</v>
      </c>
      <c r="AJ5472" s="182" t="n">
        <v>0</v>
      </c>
      <c r="AK5472" s="182" t="n">
        <v>0</v>
      </c>
      <c r="AL5472" s="182" t="n">
        <v>0</v>
      </c>
      <c r="AM5472" s="182" t="n">
        <v>0</v>
      </c>
      <c r="AN5472" s="182" t="n">
        <v>0</v>
      </c>
    </row>
    <row r="5473">
      <c r="A5473" s="155" t="n">
        <v>46106</v>
      </c>
      <c r="B5473" s="156" t="inlineStr">
        <is>
          <t>NS</t>
        </is>
      </c>
      <c r="C5473" s="156" t="inlineStr">
        <is>
          <t>DT-512</t>
        </is>
      </c>
      <c r="D5473" s="156" t="inlineStr">
        <is>
          <t>SKT 105S</t>
        </is>
      </c>
      <c r="E5473" s="156" t="inlineStr">
        <is>
          <t>Hauler</t>
        </is>
      </c>
      <c r="F5473" s="156" t="inlineStr">
        <is>
          <t>Hauling OB</t>
        </is>
      </c>
      <c r="G5473" s="182" t="n">
        <v>4.17</v>
      </c>
      <c r="H5473" s="182" t="n">
        <v>0</v>
      </c>
      <c r="I5473" s="182" t="n">
        <v>0.43</v>
      </c>
      <c r="J5473" s="182" t="n">
        <v>0.43</v>
      </c>
      <c r="K5473" s="182" t="n">
        <v>7.4</v>
      </c>
      <c r="L5473" s="182" t="n">
        <v>12</v>
      </c>
      <c r="M5473" s="182" t="n">
        <v>4.17</v>
      </c>
      <c r="N5473" s="182" t="n">
        <v>0</v>
      </c>
      <c r="O5473" s="183" t="n">
        <v>18</v>
      </c>
      <c r="P5473" s="183" t="n">
        <v>0</v>
      </c>
      <c r="Q5473" s="184" t="n">
        <v>367.2</v>
      </c>
      <c r="R5473" s="184" t="n">
        <v>0</v>
      </c>
      <c r="S5473" s="183" t="n">
        <v>0</v>
      </c>
      <c r="T5473" s="183" t="n">
        <v>0</v>
      </c>
      <c r="U5473" s="182" t="n">
        <v>1.62</v>
      </c>
      <c r="V5473" s="182" t="n">
        <v>0</v>
      </c>
      <c r="W5473" s="182" t="n">
        <v>0</v>
      </c>
      <c r="X5473" s="182" t="n">
        <v>1.08</v>
      </c>
      <c r="Y5473" s="182" t="n">
        <v>0</v>
      </c>
      <c r="Z5473" s="182" t="n">
        <v>0</v>
      </c>
      <c r="AA5473" s="182" t="n">
        <v>0</v>
      </c>
      <c r="AB5473" s="182" t="n">
        <v>0</v>
      </c>
      <c r="AC5473" s="182" t="n">
        <v>0</v>
      </c>
      <c r="AD5473" s="182" t="n">
        <v>0</v>
      </c>
      <c r="AE5473" s="182" t="n">
        <v>0</v>
      </c>
      <c r="AF5473" s="182" t="n">
        <v>0</v>
      </c>
      <c r="AG5473" s="182" t="n">
        <v>0</v>
      </c>
      <c r="AH5473" s="182" t="n">
        <v>0</v>
      </c>
      <c r="AI5473" s="182" t="n">
        <v>4.61</v>
      </c>
      <c r="AJ5473" s="182" t="n">
        <v>0</v>
      </c>
      <c r="AK5473" s="182" t="n">
        <v>0</v>
      </c>
      <c r="AL5473" s="182" t="n">
        <v>0</v>
      </c>
      <c r="AM5473" s="182" t="n">
        <v>0.09</v>
      </c>
      <c r="AN5473" s="182" t="n">
        <v>0</v>
      </c>
    </row>
    <row r="5474">
      <c r="A5474" s="155" t="n">
        <v>46106</v>
      </c>
      <c r="B5474" s="156" t="inlineStr">
        <is>
          <t>NS</t>
        </is>
      </c>
      <c r="C5474" s="156" t="inlineStr">
        <is>
          <t>DT-522</t>
        </is>
      </c>
      <c r="D5474" s="156" t="inlineStr">
        <is>
          <t>SKT 105S</t>
        </is>
      </c>
      <c r="E5474" s="156" t="inlineStr">
        <is>
          <t>Hauler</t>
        </is>
      </c>
      <c r="F5474" s="156" t="inlineStr">
        <is>
          <t>Hauling OB</t>
        </is>
      </c>
      <c r="G5474" s="182" t="n">
        <v>9.220000000000001</v>
      </c>
      <c r="H5474" s="182" t="n">
        <v>0</v>
      </c>
      <c r="I5474" s="182" t="n">
        <v>0</v>
      </c>
      <c r="J5474" s="182" t="n">
        <v>0</v>
      </c>
      <c r="K5474" s="182" t="n">
        <v>2.78</v>
      </c>
      <c r="L5474" s="182" t="n">
        <v>12</v>
      </c>
      <c r="M5474" s="182" t="n">
        <v>9.220000000000001</v>
      </c>
      <c r="N5474" s="182" t="n">
        <v>0</v>
      </c>
      <c r="O5474" s="183" t="n">
        <v>34</v>
      </c>
      <c r="P5474" s="183" t="n">
        <v>0</v>
      </c>
      <c r="Q5474" s="184" t="n">
        <v>693.6</v>
      </c>
      <c r="R5474" s="184" t="n">
        <v>0</v>
      </c>
      <c r="S5474" s="183" t="n">
        <v>0</v>
      </c>
      <c r="T5474" s="183" t="n">
        <v>0</v>
      </c>
      <c r="U5474" s="182" t="n">
        <v>1.49</v>
      </c>
      <c r="V5474" s="182" t="n">
        <v>0</v>
      </c>
      <c r="W5474" s="182" t="n">
        <v>0</v>
      </c>
      <c r="X5474" s="182" t="n">
        <v>0.99</v>
      </c>
      <c r="Y5474" s="182" t="n">
        <v>0</v>
      </c>
      <c r="Z5474" s="182" t="n">
        <v>0</v>
      </c>
      <c r="AA5474" s="182" t="n">
        <v>0</v>
      </c>
      <c r="AB5474" s="182" t="n">
        <v>0</v>
      </c>
      <c r="AC5474" s="182" t="n">
        <v>0</v>
      </c>
      <c r="AD5474" s="182" t="n">
        <v>0</v>
      </c>
      <c r="AE5474" s="182" t="n">
        <v>0</v>
      </c>
      <c r="AF5474" s="182" t="n">
        <v>0</v>
      </c>
      <c r="AG5474" s="182" t="n">
        <v>0</v>
      </c>
      <c r="AH5474" s="182" t="n">
        <v>0.22</v>
      </c>
      <c r="AI5474" s="182" t="n">
        <v>0</v>
      </c>
      <c r="AJ5474" s="182" t="n">
        <v>0</v>
      </c>
      <c r="AK5474" s="182" t="n">
        <v>0</v>
      </c>
      <c r="AL5474" s="182" t="n">
        <v>0</v>
      </c>
      <c r="AM5474" s="182" t="n">
        <v>0.08</v>
      </c>
      <c r="AN5474" s="182" t="n">
        <v>0</v>
      </c>
    </row>
    <row r="5475">
      <c r="A5475" s="155" t="n">
        <v>46106</v>
      </c>
      <c r="B5475" s="156" t="inlineStr">
        <is>
          <t>NS</t>
        </is>
      </c>
      <c r="C5475" s="156" t="inlineStr">
        <is>
          <t>DT-517</t>
        </is>
      </c>
      <c r="D5475" s="156" t="inlineStr">
        <is>
          <t>SKT 105S</t>
        </is>
      </c>
      <c r="E5475" s="156" t="inlineStr">
        <is>
          <t>Hauler</t>
        </is>
      </c>
      <c r="F5475" s="156" t="inlineStr">
        <is>
          <t>Hauling OB</t>
        </is>
      </c>
      <c r="G5475" s="182" t="n">
        <v>6.03</v>
      </c>
      <c r="H5475" s="182" t="n">
        <v>0</v>
      </c>
      <c r="I5475" s="182" t="n">
        <v>0</v>
      </c>
      <c r="J5475" s="182" t="n">
        <v>0</v>
      </c>
      <c r="K5475" s="182" t="n">
        <v>5.97</v>
      </c>
      <c r="L5475" s="182" t="n">
        <v>12</v>
      </c>
      <c r="M5475" s="182" t="n">
        <v>6.03</v>
      </c>
      <c r="N5475" s="182" t="n">
        <v>0</v>
      </c>
      <c r="O5475" s="183" t="n">
        <v>22</v>
      </c>
      <c r="P5475" s="183" t="n">
        <v>0</v>
      </c>
      <c r="Q5475" s="184" t="n">
        <v>448.8</v>
      </c>
      <c r="R5475" s="184" t="n">
        <v>0</v>
      </c>
      <c r="S5475" s="183" t="n">
        <v>0</v>
      </c>
      <c r="T5475" s="183" t="n">
        <v>0</v>
      </c>
      <c r="U5475" s="182" t="n">
        <v>1.47</v>
      </c>
      <c r="V5475" s="182" t="n">
        <v>0</v>
      </c>
      <c r="W5475" s="182" t="n">
        <v>0</v>
      </c>
      <c r="X5475" s="182" t="n">
        <v>0.98</v>
      </c>
      <c r="Y5475" s="182" t="n">
        <v>0</v>
      </c>
      <c r="Z5475" s="182" t="n">
        <v>0</v>
      </c>
      <c r="AA5475" s="182" t="n">
        <v>0</v>
      </c>
      <c r="AB5475" s="182" t="n">
        <v>0</v>
      </c>
      <c r="AC5475" s="182" t="n">
        <v>0</v>
      </c>
      <c r="AD5475" s="182" t="n">
        <v>0</v>
      </c>
      <c r="AE5475" s="182" t="n">
        <v>0</v>
      </c>
      <c r="AF5475" s="182" t="n">
        <v>0</v>
      </c>
      <c r="AG5475" s="182" t="n">
        <v>0</v>
      </c>
      <c r="AH5475" s="182" t="n">
        <v>0</v>
      </c>
      <c r="AI5475" s="182" t="n">
        <v>3.44</v>
      </c>
      <c r="AJ5475" s="182" t="n">
        <v>0</v>
      </c>
      <c r="AK5475" s="182" t="n">
        <v>0</v>
      </c>
      <c r="AL5475" s="182" t="n">
        <v>0</v>
      </c>
      <c r="AM5475" s="182" t="n">
        <v>0.08</v>
      </c>
      <c r="AN5475" s="182" t="n">
        <v>0</v>
      </c>
    </row>
    <row r="5476">
      <c r="A5476" s="155" t="n">
        <v>46106</v>
      </c>
      <c r="B5476" s="156" t="inlineStr">
        <is>
          <t>NS</t>
        </is>
      </c>
      <c r="C5476" s="156" t="inlineStr">
        <is>
          <t>DT-510</t>
        </is>
      </c>
      <c r="D5476" s="156" t="inlineStr">
        <is>
          <t>SKT 105S</t>
        </is>
      </c>
      <c r="E5476" s="156" t="inlineStr">
        <is>
          <t>Hauler</t>
        </is>
      </c>
      <c r="F5476" s="156" t="inlineStr">
        <is>
          <t>Hauling OB</t>
        </is>
      </c>
      <c r="G5476" s="182" t="n">
        <v>4.84</v>
      </c>
      <c r="H5476" s="182" t="n">
        <v>0</v>
      </c>
      <c r="I5476" s="182" t="n">
        <v>0</v>
      </c>
      <c r="J5476" s="182" t="n">
        <v>0</v>
      </c>
      <c r="K5476" s="182" t="n">
        <v>7.16</v>
      </c>
      <c r="L5476" s="182" t="n">
        <v>12</v>
      </c>
      <c r="M5476" s="182" t="n">
        <v>4.84</v>
      </c>
      <c r="N5476" s="182" t="n">
        <v>0</v>
      </c>
      <c r="O5476" s="183" t="n">
        <v>21</v>
      </c>
      <c r="P5476" s="183" t="n">
        <v>0</v>
      </c>
      <c r="Q5476" s="184" t="n">
        <v>428.4</v>
      </c>
      <c r="R5476" s="184" t="n">
        <v>0</v>
      </c>
      <c r="S5476" s="183" t="n">
        <v>0</v>
      </c>
      <c r="T5476" s="183" t="n">
        <v>0</v>
      </c>
      <c r="U5476" s="182" t="n">
        <v>1.58</v>
      </c>
      <c r="V5476" s="182" t="n">
        <v>0</v>
      </c>
      <c r="W5476" s="182" t="n">
        <v>0</v>
      </c>
      <c r="X5476" s="182" t="n">
        <v>1.05</v>
      </c>
      <c r="Y5476" s="182" t="n">
        <v>0</v>
      </c>
      <c r="Z5476" s="182" t="n">
        <v>0</v>
      </c>
      <c r="AA5476" s="182" t="n">
        <v>0</v>
      </c>
      <c r="AB5476" s="182" t="n">
        <v>0</v>
      </c>
      <c r="AC5476" s="182" t="n">
        <v>0</v>
      </c>
      <c r="AD5476" s="182" t="n">
        <v>0</v>
      </c>
      <c r="AE5476" s="182" t="n">
        <v>0</v>
      </c>
      <c r="AF5476" s="182" t="n">
        <v>0</v>
      </c>
      <c r="AG5476" s="182" t="n">
        <v>0</v>
      </c>
      <c r="AH5476" s="182" t="n">
        <v>0</v>
      </c>
      <c r="AI5476" s="182" t="n">
        <v>4.44</v>
      </c>
      <c r="AJ5476" s="182" t="n">
        <v>0</v>
      </c>
      <c r="AK5476" s="182" t="n">
        <v>0</v>
      </c>
      <c r="AL5476" s="182" t="n">
        <v>0</v>
      </c>
      <c r="AM5476" s="182" t="n">
        <v>0.08</v>
      </c>
      <c r="AN5476" s="182" t="n">
        <v>0</v>
      </c>
    </row>
    <row r="5477">
      <c r="A5477" s="155" t="n">
        <v>46106</v>
      </c>
      <c r="B5477" s="156" t="inlineStr">
        <is>
          <t>NS</t>
        </is>
      </c>
      <c r="C5477" s="156" t="inlineStr">
        <is>
          <t>DT-521</t>
        </is>
      </c>
      <c r="D5477" s="156" t="inlineStr">
        <is>
          <t>SKT 105S</t>
        </is>
      </c>
      <c r="E5477" s="156" t="inlineStr">
        <is>
          <t>Hauler</t>
        </is>
      </c>
      <c r="F5477" s="156" t="inlineStr">
        <is>
          <t>Support Washing Plant</t>
        </is>
      </c>
      <c r="G5477" s="182" t="n">
        <v>3.95</v>
      </c>
      <c r="H5477" s="182" t="n">
        <v>0</v>
      </c>
      <c r="I5477" s="182" t="n">
        <v>0</v>
      </c>
      <c r="J5477" s="182" t="n">
        <v>0</v>
      </c>
      <c r="K5477" s="182" t="n">
        <v>8.050000000000001</v>
      </c>
      <c r="L5477" s="182" t="n">
        <v>12</v>
      </c>
      <c r="M5477" s="182" t="n">
        <v>0</v>
      </c>
      <c r="N5477" s="182" t="n">
        <v>0</v>
      </c>
      <c r="O5477" s="183" t="n">
        <v>0</v>
      </c>
      <c r="P5477" s="183" t="n">
        <v>0</v>
      </c>
      <c r="Q5477" s="184" t="n">
        <v>0</v>
      </c>
      <c r="R5477" s="184" t="n">
        <v>0</v>
      </c>
      <c r="S5477" s="183" t="n">
        <v>12</v>
      </c>
      <c r="T5477" s="183" t="n">
        <v>0</v>
      </c>
      <c r="U5477" s="182" t="n">
        <v>1.47</v>
      </c>
      <c r="V5477" s="182" t="n">
        <v>0</v>
      </c>
      <c r="W5477" s="182" t="n">
        <v>0</v>
      </c>
      <c r="X5477" s="182" t="n">
        <v>0.98</v>
      </c>
      <c r="Y5477" s="182" t="n">
        <v>0</v>
      </c>
      <c r="Z5477" s="182" t="n">
        <v>0</v>
      </c>
      <c r="AA5477" s="182" t="n">
        <v>0</v>
      </c>
      <c r="AB5477" s="182" t="n">
        <v>0</v>
      </c>
      <c r="AC5477" s="182" t="n">
        <v>0</v>
      </c>
      <c r="AD5477" s="182" t="n">
        <v>0</v>
      </c>
      <c r="AE5477" s="182" t="n">
        <v>0</v>
      </c>
      <c r="AF5477" s="182" t="n">
        <v>0</v>
      </c>
      <c r="AG5477" s="182" t="n">
        <v>0</v>
      </c>
      <c r="AH5477" s="182" t="n">
        <v>0</v>
      </c>
      <c r="AI5477" s="182" t="n">
        <v>0</v>
      </c>
      <c r="AJ5477" s="182" t="n">
        <v>0</v>
      </c>
      <c r="AK5477" s="182" t="n">
        <v>5.52</v>
      </c>
      <c r="AL5477" s="182" t="n">
        <v>0</v>
      </c>
      <c r="AM5477" s="182" t="n">
        <v>0.08</v>
      </c>
      <c r="AN5477" s="182" t="n">
        <v>0</v>
      </c>
    </row>
    <row r="5478">
      <c r="A5478" s="155" t="n">
        <v>46106</v>
      </c>
      <c r="B5478" s="156" t="inlineStr">
        <is>
          <t>NS</t>
        </is>
      </c>
      <c r="C5478" s="156" t="inlineStr">
        <is>
          <t>DT-516</t>
        </is>
      </c>
      <c r="D5478" s="156" t="inlineStr">
        <is>
          <t>SKT 105S</t>
        </is>
      </c>
      <c r="E5478" s="156" t="inlineStr">
        <is>
          <t>Hauler</t>
        </is>
      </c>
      <c r="F5478" s="156" t="inlineStr">
        <is>
          <t>Hauling OB</t>
        </is>
      </c>
      <c r="G5478" s="182" t="n">
        <v>5.93</v>
      </c>
      <c r="H5478" s="182" t="n">
        <v>0</v>
      </c>
      <c r="I5478" s="182" t="n">
        <v>0</v>
      </c>
      <c r="J5478" s="182" t="n">
        <v>0</v>
      </c>
      <c r="K5478" s="182" t="n">
        <v>6.07</v>
      </c>
      <c r="L5478" s="182" t="n">
        <v>12</v>
      </c>
      <c r="M5478" s="182" t="n">
        <v>5.93</v>
      </c>
      <c r="N5478" s="182" t="n">
        <v>0</v>
      </c>
      <c r="O5478" s="183" t="n">
        <v>32</v>
      </c>
      <c r="P5478" s="183" t="n">
        <v>0</v>
      </c>
      <c r="Q5478" s="184" t="n">
        <v>652.8</v>
      </c>
      <c r="R5478" s="184" t="n">
        <v>0</v>
      </c>
      <c r="S5478" s="183" t="n">
        <v>0</v>
      </c>
      <c r="T5478" s="183" t="n">
        <v>0</v>
      </c>
      <c r="U5478" s="182" t="n">
        <v>1.6</v>
      </c>
      <c r="V5478" s="182" t="n">
        <v>0</v>
      </c>
      <c r="W5478" s="182" t="n">
        <v>0</v>
      </c>
      <c r="X5478" s="182" t="n">
        <v>1.06</v>
      </c>
      <c r="Y5478" s="182" t="n">
        <v>0</v>
      </c>
      <c r="Z5478" s="182" t="n">
        <v>0</v>
      </c>
      <c r="AA5478" s="182" t="n">
        <v>0</v>
      </c>
      <c r="AB5478" s="182" t="n">
        <v>0</v>
      </c>
      <c r="AC5478" s="182" t="n">
        <v>0</v>
      </c>
      <c r="AD5478" s="182" t="n">
        <v>0</v>
      </c>
      <c r="AE5478" s="182" t="n">
        <v>0</v>
      </c>
      <c r="AF5478" s="182" t="n">
        <v>0</v>
      </c>
      <c r="AG5478" s="182" t="n">
        <v>0</v>
      </c>
      <c r="AH5478" s="182" t="n">
        <v>0</v>
      </c>
      <c r="AI5478" s="182" t="n">
        <v>3.32</v>
      </c>
      <c r="AJ5478" s="182" t="n">
        <v>0</v>
      </c>
      <c r="AK5478" s="182" t="n">
        <v>0</v>
      </c>
      <c r="AL5478" s="182" t="n">
        <v>0</v>
      </c>
      <c r="AM5478" s="182" t="n">
        <v>0.09</v>
      </c>
      <c r="AN5478" s="182" t="n">
        <v>0</v>
      </c>
    </row>
    <row r="5479">
      <c r="A5479" s="155" t="n">
        <v>46106</v>
      </c>
      <c r="B5479" s="156" t="inlineStr">
        <is>
          <t>NS</t>
        </is>
      </c>
      <c r="C5479" s="156" t="inlineStr">
        <is>
          <t>DT-506</t>
        </is>
      </c>
      <c r="D5479" s="156" t="inlineStr">
        <is>
          <t>SKT 105S</t>
        </is>
      </c>
      <c r="E5479" s="156" t="inlineStr">
        <is>
          <t>Hauler</t>
        </is>
      </c>
      <c r="F5479" s="156" t="inlineStr">
        <is>
          <t>Hauling OB</t>
        </is>
      </c>
      <c r="G5479" s="182" t="n">
        <v>8.68</v>
      </c>
      <c r="H5479" s="182" t="n">
        <v>0</v>
      </c>
      <c r="I5479" s="182" t="n">
        <v>0</v>
      </c>
      <c r="J5479" s="182" t="n">
        <v>0</v>
      </c>
      <c r="K5479" s="182" t="n">
        <v>3.32</v>
      </c>
      <c r="L5479" s="182" t="n">
        <v>12</v>
      </c>
      <c r="M5479" s="182" t="n">
        <v>8.68</v>
      </c>
      <c r="N5479" s="182" t="n">
        <v>0</v>
      </c>
      <c r="O5479" s="183" t="n">
        <v>27</v>
      </c>
      <c r="P5479" s="183" t="n">
        <v>0</v>
      </c>
      <c r="Q5479" s="184" t="n">
        <v>550.8</v>
      </c>
      <c r="R5479" s="184" t="n">
        <v>0</v>
      </c>
      <c r="S5479" s="183" t="n">
        <v>0</v>
      </c>
      <c r="T5479" s="183" t="n">
        <v>0</v>
      </c>
      <c r="U5479" s="182" t="n">
        <v>1.51</v>
      </c>
      <c r="V5479" s="182" t="n">
        <v>0</v>
      </c>
      <c r="W5479" s="182" t="n">
        <v>0</v>
      </c>
      <c r="X5479" s="182" t="n">
        <v>1.01</v>
      </c>
      <c r="Y5479" s="182" t="n">
        <v>0</v>
      </c>
      <c r="Z5479" s="182" t="n">
        <v>0</v>
      </c>
      <c r="AA5479" s="182" t="n">
        <v>0</v>
      </c>
      <c r="AB5479" s="182" t="n">
        <v>0</v>
      </c>
      <c r="AC5479" s="182" t="n">
        <v>0</v>
      </c>
      <c r="AD5479" s="182" t="n">
        <v>0</v>
      </c>
      <c r="AE5479" s="182" t="n">
        <v>0</v>
      </c>
      <c r="AF5479" s="182" t="n">
        <v>0</v>
      </c>
      <c r="AG5479" s="182" t="n">
        <v>0</v>
      </c>
      <c r="AH5479" s="182" t="n">
        <v>0.72</v>
      </c>
      <c r="AI5479" s="182" t="n">
        <v>0</v>
      </c>
      <c r="AJ5479" s="182" t="n">
        <v>0</v>
      </c>
      <c r="AK5479" s="182" t="n">
        <v>0</v>
      </c>
      <c r="AL5479" s="182" t="n">
        <v>0</v>
      </c>
      <c r="AM5479" s="182" t="n">
        <v>0.08</v>
      </c>
      <c r="AN5479" s="182" t="n">
        <v>0</v>
      </c>
    </row>
    <row r="5480">
      <c r="A5480" s="155" t="n">
        <v>46106</v>
      </c>
      <c r="B5480" s="156" t="inlineStr">
        <is>
          <t>NS</t>
        </is>
      </c>
      <c r="C5480" s="156" t="inlineStr">
        <is>
          <t>DT-502</t>
        </is>
      </c>
      <c r="D5480" s="156" t="inlineStr">
        <is>
          <t>SKT 105S</t>
        </is>
      </c>
      <c r="E5480" s="156" t="inlineStr">
        <is>
          <t>Hauler</t>
        </is>
      </c>
      <c r="F5480" s="156" t="inlineStr"/>
      <c r="G5480" s="182" t="n">
        <v>0</v>
      </c>
      <c r="H5480" s="182" t="n">
        <v>0</v>
      </c>
      <c r="I5480" s="182" t="n">
        <v>0</v>
      </c>
      <c r="J5480" s="182" t="n">
        <v>0</v>
      </c>
      <c r="K5480" s="182" t="n">
        <v>12</v>
      </c>
      <c r="L5480" s="182" t="n">
        <v>12</v>
      </c>
      <c r="M5480" s="182" t="n">
        <v>0</v>
      </c>
      <c r="N5480" s="182" t="n">
        <v>0</v>
      </c>
      <c r="O5480" s="183" t="n">
        <v>0</v>
      </c>
      <c r="P5480" s="183" t="n">
        <v>0</v>
      </c>
      <c r="Q5480" s="184" t="n">
        <v>0</v>
      </c>
      <c r="R5480" s="184" t="n">
        <v>0</v>
      </c>
      <c r="S5480" s="183" t="n">
        <v>0</v>
      </c>
      <c r="T5480" s="183" t="n">
        <v>0</v>
      </c>
      <c r="U5480" s="182" t="n">
        <v>0</v>
      </c>
      <c r="V5480" s="182" t="n">
        <v>0</v>
      </c>
      <c r="W5480" s="182" t="n">
        <v>0</v>
      </c>
      <c r="X5480" s="182" t="n">
        <v>1</v>
      </c>
      <c r="Y5480" s="182" t="n">
        <v>0</v>
      </c>
      <c r="Z5480" s="182" t="n">
        <v>0</v>
      </c>
      <c r="AA5480" s="182" t="n">
        <v>0</v>
      </c>
      <c r="AB5480" s="182" t="n">
        <v>0</v>
      </c>
      <c r="AC5480" s="182" t="n">
        <v>0</v>
      </c>
      <c r="AD5480" s="182" t="n">
        <v>0</v>
      </c>
      <c r="AE5480" s="182" t="n">
        <v>0</v>
      </c>
      <c r="AF5480" s="182" t="n">
        <v>0</v>
      </c>
      <c r="AG5480" s="182" t="n">
        <v>0</v>
      </c>
      <c r="AH5480" s="182" t="n">
        <v>0</v>
      </c>
      <c r="AI5480" s="182" t="n">
        <v>10.92</v>
      </c>
      <c r="AJ5480" s="182" t="n">
        <v>0</v>
      </c>
      <c r="AK5480" s="182" t="n">
        <v>0</v>
      </c>
      <c r="AL5480" s="182" t="n">
        <v>0</v>
      </c>
      <c r="AM5480" s="182" t="n">
        <v>0.08</v>
      </c>
      <c r="AN5480" s="182" t="n">
        <v>0</v>
      </c>
    </row>
    <row r="5481">
      <c r="A5481" s="155" t="n">
        <v>46106</v>
      </c>
      <c r="B5481" s="156" t="inlineStr">
        <is>
          <t>NS</t>
        </is>
      </c>
      <c r="C5481" s="156" t="inlineStr">
        <is>
          <t>DT-528</t>
        </is>
      </c>
      <c r="D5481" s="156" t="inlineStr">
        <is>
          <t>SKT 105S</t>
        </is>
      </c>
      <c r="E5481" s="156" t="inlineStr">
        <is>
          <t>Hauler</t>
        </is>
      </c>
      <c r="F5481" s="156" t="inlineStr">
        <is>
          <t>Support Washing Plant</t>
        </is>
      </c>
      <c r="G5481" s="182" t="n">
        <v>3.72</v>
      </c>
      <c r="H5481" s="182" t="n">
        <v>0</v>
      </c>
      <c r="I5481" s="182" t="n">
        <v>0</v>
      </c>
      <c r="J5481" s="182" t="n">
        <v>0</v>
      </c>
      <c r="K5481" s="182" t="n">
        <v>8.279999999999999</v>
      </c>
      <c r="L5481" s="182" t="n">
        <v>12</v>
      </c>
      <c r="M5481" s="182" t="n">
        <v>0</v>
      </c>
      <c r="N5481" s="182" t="n">
        <v>0</v>
      </c>
      <c r="O5481" s="183" t="n">
        <v>0</v>
      </c>
      <c r="P5481" s="183" t="n">
        <v>0</v>
      </c>
      <c r="Q5481" s="184" t="n">
        <v>0</v>
      </c>
      <c r="R5481" s="184" t="n">
        <v>0</v>
      </c>
      <c r="S5481" s="183" t="n">
        <v>0</v>
      </c>
      <c r="T5481" s="183" t="n">
        <v>0</v>
      </c>
      <c r="U5481" s="182" t="n">
        <v>1.57</v>
      </c>
      <c r="V5481" s="182" t="n">
        <v>0</v>
      </c>
      <c r="W5481" s="182" t="n">
        <v>0</v>
      </c>
      <c r="X5481" s="182" t="n">
        <v>1.05</v>
      </c>
      <c r="Y5481" s="182" t="n">
        <v>0</v>
      </c>
      <c r="Z5481" s="182" t="n">
        <v>0</v>
      </c>
      <c r="AA5481" s="182" t="n">
        <v>0</v>
      </c>
      <c r="AB5481" s="182" t="n">
        <v>0</v>
      </c>
      <c r="AC5481" s="182" t="n">
        <v>0</v>
      </c>
      <c r="AD5481" s="182" t="n">
        <v>0</v>
      </c>
      <c r="AE5481" s="182" t="n">
        <v>0</v>
      </c>
      <c r="AF5481" s="182" t="n">
        <v>0</v>
      </c>
      <c r="AG5481" s="182" t="n">
        <v>0</v>
      </c>
      <c r="AH5481" s="182" t="n">
        <v>0</v>
      </c>
      <c r="AI5481" s="182" t="n">
        <v>0</v>
      </c>
      <c r="AJ5481" s="182" t="n">
        <v>0</v>
      </c>
      <c r="AK5481" s="182" t="n">
        <v>5.58</v>
      </c>
      <c r="AL5481" s="182" t="n">
        <v>0</v>
      </c>
      <c r="AM5481" s="182" t="n">
        <v>0.08</v>
      </c>
      <c r="AN5481" s="182" t="n">
        <v>0</v>
      </c>
    </row>
    <row r="5482">
      <c r="A5482" s="155" t="n">
        <v>46106</v>
      </c>
      <c r="B5482" s="156" t="inlineStr">
        <is>
          <t>NS</t>
        </is>
      </c>
      <c r="C5482" s="156" t="inlineStr">
        <is>
          <t>DT-529</t>
        </is>
      </c>
      <c r="D5482" s="156" t="inlineStr">
        <is>
          <t>SKT 105S</t>
        </is>
      </c>
      <c r="E5482" s="156" t="inlineStr">
        <is>
          <t>Hauler</t>
        </is>
      </c>
      <c r="F5482" s="156" t="inlineStr">
        <is>
          <t>Hauling OB</t>
        </is>
      </c>
      <c r="G5482" s="182" t="n">
        <v>9.92</v>
      </c>
      <c r="H5482" s="182" t="n">
        <v>0</v>
      </c>
      <c r="I5482" s="182" t="n">
        <v>0</v>
      </c>
      <c r="J5482" s="182" t="n">
        <v>0</v>
      </c>
      <c r="K5482" s="182" t="n">
        <v>2.08</v>
      </c>
      <c r="L5482" s="182" t="n">
        <v>12</v>
      </c>
      <c r="M5482" s="182" t="n">
        <v>9.92</v>
      </c>
      <c r="N5482" s="182" t="n">
        <v>0</v>
      </c>
      <c r="O5482" s="183" t="n">
        <v>39</v>
      </c>
      <c r="P5482" s="183" t="n">
        <v>0</v>
      </c>
      <c r="Q5482" s="184" t="n">
        <v>795.6</v>
      </c>
      <c r="R5482" s="184" t="n">
        <v>0</v>
      </c>
      <c r="S5482" s="183" t="n">
        <v>0</v>
      </c>
      <c r="T5482" s="183" t="n">
        <v>0</v>
      </c>
      <c r="U5482" s="182" t="n">
        <v>1.01</v>
      </c>
      <c r="V5482" s="182" t="n">
        <v>0</v>
      </c>
      <c r="W5482" s="182" t="n">
        <v>0</v>
      </c>
      <c r="X5482" s="182" t="n">
        <v>0.99</v>
      </c>
      <c r="Y5482" s="182" t="n">
        <v>0</v>
      </c>
      <c r="Z5482" s="182" t="n">
        <v>0</v>
      </c>
      <c r="AA5482" s="182" t="n">
        <v>0</v>
      </c>
      <c r="AB5482" s="182" t="n">
        <v>0</v>
      </c>
      <c r="AC5482" s="182" t="n">
        <v>0</v>
      </c>
      <c r="AD5482" s="182" t="n">
        <v>0</v>
      </c>
      <c r="AE5482" s="182" t="n">
        <v>0</v>
      </c>
      <c r="AF5482" s="182" t="n">
        <v>0</v>
      </c>
      <c r="AG5482" s="182" t="n">
        <v>0</v>
      </c>
      <c r="AH5482" s="182" t="n">
        <v>0</v>
      </c>
      <c r="AI5482" s="182" t="n">
        <v>0</v>
      </c>
      <c r="AJ5482" s="182" t="n">
        <v>0</v>
      </c>
      <c r="AK5482" s="182" t="n">
        <v>0</v>
      </c>
      <c r="AL5482" s="182" t="n">
        <v>0</v>
      </c>
      <c r="AM5482" s="182" t="n">
        <v>0.08</v>
      </c>
      <c r="AN5482" s="182" t="n">
        <v>0</v>
      </c>
    </row>
    <row r="5483">
      <c r="A5483" s="155" t="n">
        <v>46106</v>
      </c>
      <c r="B5483" s="156" t="inlineStr">
        <is>
          <t>NS</t>
        </is>
      </c>
      <c r="C5483" s="156" t="inlineStr">
        <is>
          <t>DT-520</t>
        </is>
      </c>
      <c r="D5483" s="156" t="inlineStr">
        <is>
          <t>SKT 105S</t>
        </is>
      </c>
      <c r="E5483" s="156" t="inlineStr">
        <is>
          <t>Hauler</t>
        </is>
      </c>
      <c r="F5483" s="156" t="inlineStr"/>
      <c r="G5483" s="182" t="n">
        <v>0</v>
      </c>
      <c r="H5483" s="182" t="n">
        <v>0</v>
      </c>
      <c r="I5483" s="182" t="n">
        <v>0</v>
      </c>
      <c r="J5483" s="182" t="n">
        <v>0</v>
      </c>
      <c r="K5483" s="182" t="n">
        <v>12</v>
      </c>
      <c r="L5483" s="182" t="n">
        <v>12</v>
      </c>
      <c r="M5483" s="182" t="n">
        <v>0</v>
      </c>
      <c r="N5483" s="182" t="n">
        <v>0</v>
      </c>
      <c r="O5483" s="183" t="n">
        <v>0</v>
      </c>
      <c r="P5483" s="183" t="n">
        <v>0</v>
      </c>
      <c r="Q5483" s="184" t="n">
        <v>0</v>
      </c>
      <c r="R5483" s="184" t="n">
        <v>0</v>
      </c>
      <c r="S5483" s="183" t="n">
        <v>0</v>
      </c>
      <c r="T5483" s="183" t="n">
        <v>0</v>
      </c>
      <c r="U5483" s="182" t="n">
        <v>0</v>
      </c>
      <c r="V5483" s="182" t="n">
        <v>0</v>
      </c>
      <c r="W5483" s="182" t="n">
        <v>0</v>
      </c>
      <c r="X5483" s="182" t="n">
        <v>1</v>
      </c>
      <c r="Y5483" s="182" t="n">
        <v>0</v>
      </c>
      <c r="Z5483" s="182" t="n">
        <v>0</v>
      </c>
      <c r="AA5483" s="182" t="n">
        <v>0</v>
      </c>
      <c r="AB5483" s="182" t="n">
        <v>0</v>
      </c>
      <c r="AC5483" s="182" t="n">
        <v>0</v>
      </c>
      <c r="AD5483" s="182" t="n">
        <v>0</v>
      </c>
      <c r="AE5483" s="182" t="n">
        <v>0</v>
      </c>
      <c r="AF5483" s="182" t="n">
        <v>0</v>
      </c>
      <c r="AG5483" s="182" t="n">
        <v>0</v>
      </c>
      <c r="AH5483" s="182" t="n">
        <v>0</v>
      </c>
      <c r="AI5483" s="182" t="n">
        <v>10.92</v>
      </c>
      <c r="AJ5483" s="182" t="n">
        <v>0</v>
      </c>
      <c r="AK5483" s="182" t="n">
        <v>0</v>
      </c>
      <c r="AL5483" s="182" t="n">
        <v>0</v>
      </c>
      <c r="AM5483" s="182" t="n">
        <v>0.08</v>
      </c>
      <c r="AN5483" s="182" t="n">
        <v>0</v>
      </c>
    </row>
    <row r="5484">
      <c r="A5484" s="155" t="n">
        <v>46106</v>
      </c>
      <c r="B5484" s="156" t="inlineStr">
        <is>
          <t>NS</t>
        </is>
      </c>
      <c r="C5484" s="156" t="inlineStr">
        <is>
          <t>DT-511</t>
        </is>
      </c>
      <c r="D5484" s="156" t="inlineStr">
        <is>
          <t>SKT 105S</t>
        </is>
      </c>
      <c r="E5484" s="156" t="inlineStr">
        <is>
          <t>Hauler</t>
        </is>
      </c>
      <c r="F5484" s="156" t="inlineStr"/>
      <c r="G5484" s="182" t="n">
        <v>0</v>
      </c>
      <c r="H5484" s="182" t="n">
        <v>0</v>
      </c>
      <c r="I5484" s="182" t="n">
        <v>12</v>
      </c>
      <c r="J5484" s="182" t="n">
        <v>12</v>
      </c>
      <c r="K5484" s="182" t="n">
        <v>0</v>
      </c>
      <c r="L5484" s="182" t="n">
        <v>12</v>
      </c>
      <c r="M5484" s="182" t="n">
        <v>0</v>
      </c>
      <c r="N5484" s="182" t="n">
        <v>0</v>
      </c>
      <c r="O5484" s="183" t="n">
        <v>0</v>
      </c>
      <c r="P5484" s="183" t="n">
        <v>0</v>
      </c>
      <c r="Q5484" s="184" t="n">
        <v>0</v>
      </c>
      <c r="R5484" s="184" t="n">
        <v>0</v>
      </c>
      <c r="S5484" s="183" t="n">
        <v>0</v>
      </c>
      <c r="T5484" s="183" t="n">
        <v>0</v>
      </c>
      <c r="U5484" s="182" t="n">
        <v>0</v>
      </c>
      <c r="V5484" s="182" t="n">
        <v>0</v>
      </c>
      <c r="W5484" s="182" t="n">
        <v>0</v>
      </c>
      <c r="X5484" s="182" t="n">
        <v>0</v>
      </c>
      <c r="Y5484" s="182" t="n">
        <v>0</v>
      </c>
      <c r="Z5484" s="182" t="n">
        <v>0</v>
      </c>
      <c r="AA5484" s="182" t="n">
        <v>0</v>
      </c>
      <c r="AB5484" s="182" t="n">
        <v>0</v>
      </c>
      <c r="AC5484" s="182" t="n">
        <v>0</v>
      </c>
      <c r="AD5484" s="182" t="n">
        <v>0</v>
      </c>
      <c r="AE5484" s="182" t="n">
        <v>0</v>
      </c>
      <c r="AF5484" s="182" t="n">
        <v>0</v>
      </c>
      <c r="AG5484" s="182" t="n">
        <v>0</v>
      </c>
      <c r="AH5484" s="182" t="n">
        <v>0</v>
      </c>
      <c r="AI5484" s="182" t="n">
        <v>0</v>
      </c>
      <c r="AJ5484" s="182" t="n">
        <v>0</v>
      </c>
      <c r="AK5484" s="182" t="n">
        <v>0</v>
      </c>
      <c r="AL5484" s="182" t="n">
        <v>0</v>
      </c>
      <c r="AM5484" s="182" t="n">
        <v>0</v>
      </c>
      <c r="AN5484" s="182" t="n">
        <v>0</v>
      </c>
    </row>
    <row r="5485">
      <c r="A5485" s="155" t="n">
        <v>46106</v>
      </c>
      <c r="B5485" s="156" t="inlineStr">
        <is>
          <t>NS</t>
        </is>
      </c>
      <c r="C5485" s="156" t="inlineStr">
        <is>
          <t>DT-509</t>
        </is>
      </c>
      <c r="D5485" s="156" t="inlineStr">
        <is>
          <t>SKT 105S</t>
        </is>
      </c>
      <c r="E5485" s="156" t="inlineStr">
        <is>
          <t>Hauler</t>
        </is>
      </c>
      <c r="F5485" s="156" t="inlineStr"/>
      <c r="G5485" s="182" t="n">
        <v>0</v>
      </c>
      <c r="H5485" s="182" t="n">
        <v>0</v>
      </c>
      <c r="I5485" s="182" t="n">
        <v>12</v>
      </c>
      <c r="J5485" s="182" t="n">
        <v>12</v>
      </c>
      <c r="K5485" s="182" t="n">
        <v>0</v>
      </c>
      <c r="L5485" s="182" t="n">
        <v>12</v>
      </c>
      <c r="M5485" s="182" t="n">
        <v>0</v>
      </c>
      <c r="N5485" s="182" t="n">
        <v>0</v>
      </c>
      <c r="O5485" s="183" t="n">
        <v>0</v>
      </c>
      <c r="P5485" s="183" t="n">
        <v>0</v>
      </c>
      <c r="Q5485" s="184" t="n">
        <v>0</v>
      </c>
      <c r="R5485" s="184" t="n">
        <v>0</v>
      </c>
      <c r="S5485" s="183" t="n">
        <v>0</v>
      </c>
      <c r="T5485" s="183" t="n">
        <v>0</v>
      </c>
      <c r="U5485" s="182" t="n">
        <v>0</v>
      </c>
      <c r="V5485" s="182" t="n">
        <v>0</v>
      </c>
      <c r="W5485" s="182" t="n">
        <v>0</v>
      </c>
      <c r="X5485" s="182" t="n">
        <v>0</v>
      </c>
      <c r="Y5485" s="182" t="n">
        <v>0</v>
      </c>
      <c r="Z5485" s="182" t="n">
        <v>0</v>
      </c>
      <c r="AA5485" s="182" t="n">
        <v>0</v>
      </c>
      <c r="AB5485" s="182" t="n">
        <v>0</v>
      </c>
      <c r="AC5485" s="182" t="n">
        <v>0</v>
      </c>
      <c r="AD5485" s="182" t="n">
        <v>0</v>
      </c>
      <c r="AE5485" s="182" t="n">
        <v>0</v>
      </c>
      <c r="AF5485" s="182" t="n">
        <v>0</v>
      </c>
      <c r="AG5485" s="182" t="n">
        <v>0</v>
      </c>
      <c r="AH5485" s="182" t="n">
        <v>0</v>
      </c>
      <c r="AI5485" s="182" t="n">
        <v>0</v>
      </c>
      <c r="AJ5485" s="182" t="n">
        <v>0</v>
      </c>
      <c r="AK5485" s="182" t="n">
        <v>0</v>
      </c>
      <c r="AL5485" s="182" t="n">
        <v>0</v>
      </c>
      <c r="AM5485" s="182" t="n">
        <v>0</v>
      </c>
      <c r="AN5485" s="182" t="n">
        <v>0</v>
      </c>
    </row>
    <row r="5486">
      <c r="A5486" s="155" t="n">
        <v>46106</v>
      </c>
      <c r="B5486" s="156" t="inlineStr">
        <is>
          <t>NS</t>
        </is>
      </c>
      <c r="C5486" s="156" t="inlineStr">
        <is>
          <t>DT-526</t>
        </is>
      </c>
      <c r="D5486" s="156" t="inlineStr">
        <is>
          <t>SKT 105S</t>
        </is>
      </c>
      <c r="E5486" s="156" t="inlineStr">
        <is>
          <t>Hauler</t>
        </is>
      </c>
      <c r="F5486" s="156" t="inlineStr"/>
      <c r="G5486" s="182" t="n">
        <v>0</v>
      </c>
      <c r="H5486" s="182" t="n">
        <v>0</v>
      </c>
      <c r="I5486" s="182" t="n">
        <v>3.58</v>
      </c>
      <c r="J5486" s="182" t="n">
        <v>3.58</v>
      </c>
      <c r="K5486" s="182" t="n">
        <v>8.42</v>
      </c>
      <c r="L5486" s="182" t="n">
        <v>12</v>
      </c>
      <c r="M5486" s="182" t="n">
        <v>0</v>
      </c>
      <c r="N5486" s="182" t="n">
        <v>0</v>
      </c>
      <c r="O5486" s="183" t="n">
        <v>0</v>
      </c>
      <c r="P5486" s="183" t="n">
        <v>0</v>
      </c>
      <c r="Q5486" s="184" t="n">
        <v>0</v>
      </c>
      <c r="R5486" s="184" t="n">
        <v>0</v>
      </c>
      <c r="S5486" s="183" t="n">
        <v>0</v>
      </c>
      <c r="T5486" s="183" t="n">
        <v>0</v>
      </c>
      <c r="U5486" s="182" t="n">
        <v>1.5</v>
      </c>
      <c r="V5486" s="182" t="n">
        <v>0</v>
      </c>
      <c r="W5486" s="182" t="n">
        <v>0</v>
      </c>
      <c r="X5486" s="182" t="n">
        <v>1</v>
      </c>
      <c r="Y5486" s="182" t="n">
        <v>0</v>
      </c>
      <c r="Z5486" s="182" t="n">
        <v>0</v>
      </c>
      <c r="AA5486" s="182" t="n">
        <v>0</v>
      </c>
      <c r="AB5486" s="182" t="n">
        <v>0</v>
      </c>
      <c r="AC5486" s="182" t="n">
        <v>0</v>
      </c>
      <c r="AD5486" s="182" t="n">
        <v>0</v>
      </c>
      <c r="AE5486" s="182" t="n">
        <v>0</v>
      </c>
      <c r="AF5486" s="182" t="n">
        <v>0</v>
      </c>
      <c r="AG5486" s="182" t="n">
        <v>0</v>
      </c>
      <c r="AH5486" s="182" t="n">
        <v>0</v>
      </c>
      <c r="AI5486" s="182" t="n">
        <v>0</v>
      </c>
      <c r="AJ5486" s="182" t="n">
        <v>0</v>
      </c>
      <c r="AK5486" s="182" t="n">
        <v>5.83</v>
      </c>
      <c r="AL5486" s="182" t="n">
        <v>0</v>
      </c>
      <c r="AM5486" s="182" t="n">
        <v>0.08</v>
      </c>
      <c r="AN5486" s="182" t="n">
        <v>0</v>
      </c>
    </row>
    <row r="5487">
      <c r="A5487" s="155" t="n">
        <v>46106</v>
      </c>
      <c r="B5487" s="156" t="inlineStr">
        <is>
          <t>NS</t>
        </is>
      </c>
      <c r="C5487" s="156" t="inlineStr">
        <is>
          <t>DT-508</t>
        </is>
      </c>
      <c r="D5487" s="156" t="inlineStr">
        <is>
          <t>SKT 105S</t>
        </is>
      </c>
      <c r="E5487" s="156" t="inlineStr">
        <is>
          <t>Hauler</t>
        </is>
      </c>
      <c r="F5487" s="156" t="inlineStr">
        <is>
          <t>Hauling OB</t>
        </is>
      </c>
      <c r="G5487" s="182" t="n">
        <v>9.56</v>
      </c>
      <c r="H5487" s="182" t="n">
        <v>0</v>
      </c>
      <c r="I5487" s="182" t="n">
        <v>0</v>
      </c>
      <c r="J5487" s="182" t="n">
        <v>0</v>
      </c>
      <c r="K5487" s="182" t="n">
        <v>2.44</v>
      </c>
      <c r="L5487" s="182" t="n">
        <v>12</v>
      </c>
      <c r="M5487" s="182" t="n">
        <v>9.56</v>
      </c>
      <c r="N5487" s="182" t="n">
        <v>0</v>
      </c>
      <c r="O5487" s="183" t="n">
        <v>32</v>
      </c>
      <c r="P5487" s="183" t="n">
        <v>0</v>
      </c>
      <c r="Q5487" s="184" t="n">
        <v>652.8</v>
      </c>
      <c r="R5487" s="184" t="n">
        <v>0</v>
      </c>
      <c r="S5487" s="183" t="n">
        <v>0</v>
      </c>
      <c r="T5487" s="183" t="n">
        <v>0</v>
      </c>
      <c r="U5487" s="182" t="n">
        <v>1.24</v>
      </c>
      <c r="V5487" s="182" t="n">
        <v>0</v>
      </c>
      <c r="W5487" s="182" t="n">
        <v>0</v>
      </c>
      <c r="X5487" s="182" t="n">
        <v>1.11</v>
      </c>
      <c r="Y5487" s="182" t="n">
        <v>0</v>
      </c>
      <c r="Z5487" s="182" t="n">
        <v>0</v>
      </c>
      <c r="AA5487" s="182" t="n">
        <v>0</v>
      </c>
      <c r="AB5487" s="182" t="n">
        <v>0</v>
      </c>
      <c r="AC5487" s="182" t="n">
        <v>0</v>
      </c>
      <c r="AD5487" s="182" t="n">
        <v>0</v>
      </c>
      <c r="AE5487" s="182" t="n">
        <v>0</v>
      </c>
      <c r="AF5487" s="182" t="n">
        <v>0</v>
      </c>
      <c r="AG5487" s="182" t="n">
        <v>0</v>
      </c>
      <c r="AH5487" s="182" t="n">
        <v>0</v>
      </c>
      <c r="AI5487" s="182" t="n">
        <v>0</v>
      </c>
      <c r="AJ5487" s="182" t="n">
        <v>0</v>
      </c>
      <c r="AK5487" s="182" t="n">
        <v>0</v>
      </c>
      <c r="AL5487" s="182" t="n">
        <v>0</v>
      </c>
      <c r="AM5487" s="182" t="n">
        <v>0.09</v>
      </c>
      <c r="AN5487" s="182" t="n">
        <v>0</v>
      </c>
    </row>
    <row r="5488">
      <c r="A5488" s="155" t="n">
        <v>46106</v>
      </c>
      <c r="B5488" s="156" t="inlineStr">
        <is>
          <t>NS</t>
        </is>
      </c>
      <c r="C5488" s="156" t="inlineStr">
        <is>
          <t>DT-515</t>
        </is>
      </c>
      <c r="D5488" s="156" t="inlineStr">
        <is>
          <t>SKT 105S</t>
        </is>
      </c>
      <c r="E5488" s="156" t="inlineStr">
        <is>
          <t>Hauler</t>
        </is>
      </c>
      <c r="F5488" s="156" t="inlineStr">
        <is>
          <t>Support Washing Plant</t>
        </is>
      </c>
      <c r="G5488" s="182" t="n">
        <v>4.28</v>
      </c>
      <c r="H5488" s="182" t="n">
        <v>0</v>
      </c>
      <c r="I5488" s="182" t="n">
        <v>0</v>
      </c>
      <c r="J5488" s="182" t="n">
        <v>0</v>
      </c>
      <c r="K5488" s="182" t="n">
        <v>7.72</v>
      </c>
      <c r="L5488" s="182" t="n">
        <v>12</v>
      </c>
      <c r="M5488" s="182" t="n">
        <v>0</v>
      </c>
      <c r="N5488" s="182" t="n">
        <v>0</v>
      </c>
      <c r="O5488" s="183" t="n">
        <v>0</v>
      </c>
      <c r="P5488" s="183" t="n">
        <v>0</v>
      </c>
      <c r="Q5488" s="184" t="n">
        <v>0</v>
      </c>
      <c r="R5488" s="184" t="n">
        <v>0</v>
      </c>
      <c r="S5488" s="183" t="n">
        <v>0</v>
      </c>
      <c r="T5488" s="183" t="n">
        <v>0</v>
      </c>
      <c r="U5488" s="182" t="n">
        <v>1.5</v>
      </c>
      <c r="V5488" s="182" t="n">
        <v>0</v>
      </c>
      <c r="W5488" s="182" t="n">
        <v>0</v>
      </c>
      <c r="X5488" s="182" t="n">
        <v>1</v>
      </c>
      <c r="Y5488" s="182" t="n">
        <v>0</v>
      </c>
      <c r="Z5488" s="182" t="n">
        <v>0</v>
      </c>
      <c r="AA5488" s="182" t="n">
        <v>0</v>
      </c>
      <c r="AB5488" s="182" t="n">
        <v>0</v>
      </c>
      <c r="AC5488" s="182" t="n">
        <v>0</v>
      </c>
      <c r="AD5488" s="182" t="n">
        <v>0</v>
      </c>
      <c r="AE5488" s="182" t="n">
        <v>0</v>
      </c>
      <c r="AF5488" s="182" t="n">
        <v>0</v>
      </c>
      <c r="AG5488" s="182" t="n">
        <v>0</v>
      </c>
      <c r="AH5488" s="182" t="n">
        <v>0</v>
      </c>
      <c r="AI5488" s="182" t="n">
        <v>0</v>
      </c>
      <c r="AJ5488" s="182" t="n">
        <v>0</v>
      </c>
      <c r="AK5488" s="182" t="n">
        <v>5.13</v>
      </c>
      <c r="AL5488" s="182" t="n">
        <v>0</v>
      </c>
      <c r="AM5488" s="182" t="n">
        <v>0.08</v>
      </c>
      <c r="AN5488" s="182" t="n">
        <v>0</v>
      </c>
    </row>
    <row r="5489">
      <c r="A5489" s="155" t="n">
        <v>46106</v>
      </c>
      <c r="B5489" s="156" t="inlineStr">
        <is>
          <t>NS</t>
        </is>
      </c>
      <c r="C5489" s="156" t="inlineStr">
        <is>
          <t>DT-524</t>
        </is>
      </c>
      <c r="D5489" s="156" t="inlineStr">
        <is>
          <t>SKT 105S</t>
        </is>
      </c>
      <c r="E5489" s="156" t="inlineStr">
        <is>
          <t>Hauler</t>
        </is>
      </c>
      <c r="F5489" s="156" t="inlineStr">
        <is>
          <t>Hauling OB</t>
        </is>
      </c>
      <c r="G5489" s="182" t="n">
        <v>10.28</v>
      </c>
      <c r="H5489" s="182" t="n">
        <v>0</v>
      </c>
      <c r="I5489" s="182" t="n">
        <v>0</v>
      </c>
      <c r="J5489" s="182" t="n">
        <v>0</v>
      </c>
      <c r="K5489" s="182" t="n">
        <v>1.72</v>
      </c>
      <c r="L5489" s="182" t="n">
        <v>12</v>
      </c>
      <c r="M5489" s="182" t="n">
        <v>10.28</v>
      </c>
      <c r="N5489" s="182" t="n">
        <v>0</v>
      </c>
      <c r="O5489" s="183" t="n">
        <v>40</v>
      </c>
      <c r="P5489" s="183" t="n">
        <v>0</v>
      </c>
      <c r="Q5489" s="184" t="n">
        <v>816</v>
      </c>
      <c r="R5489" s="184" t="n">
        <v>0</v>
      </c>
      <c r="S5489" s="183" t="n">
        <v>0</v>
      </c>
      <c r="T5489" s="183" t="n">
        <v>0</v>
      </c>
      <c r="U5489" s="182" t="n">
        <v>0.91</v>
      </c>
      <c r="V5489" s="182" t="n">
        <v>0</v>
      </c>
      <c r="W5489" s="182" t="n">
        <v>0</v>
      </c>
      <c r="X5489" s="182" t="n">
        <v>0.75</v>
      </c>
      <c r="Y5489" s="182" t="n">
        <v>0</v>
      </c>
      <c r="Z5489" s="182" t="n">
        <v>0</v>
      </c>
      <c r="AA5489" s="182" t="n">
        <v>0</v>
      </c>
      <c r="AB5489" s="182" t="n">
        <v>0</v>
      </c>
      <c r="AC5489" s="182" t="n">
        <v>0</v>
      </c>
      <c r="AD5489" s="182" t="n">
        <v>0</v>
      </c>
      <c r="AE5489" s="182" t="n">
        <v>0</v>
      </c>
      <c r="AF5489" s="182" t="n">
        <v>0</v>
      </c>
      <c r="AG5489" s="182" t="n">
        <v>0</v>
      </c>
      <c r="AH5489" s="182" t="n">
        <v>0</v>
      </c>
      <c r="AI5489" s="182" t="n">
        <v>0</v>
      </c>
      <c r="AJ5489" s="182" t="n">
        <v>0</v>
      </c>
      <c r="AK5489" s="182" t="n">
        <v>0</v>
      </c>
      <c r="AL5489" s="182" t="n">
        <v>0</v>
      </c>
      <c r="AM5489" s="182" t="n">
        <v>0.06</v>
      </c>
      <c r="AN5489" s="182" t="n">
        <v>0</v>
      </c>
    </row>
    <row r="5490">
      <c r="A5490" s="155" t="n">
        <v>46106</v>
      </c>
      <c r="B5490" s="156" t="inlineStr">
        <is>
          <t>NS</t>
        </is>
      </c>
      <c r="C5490" s="156" t="inlineStr">
        <is>
          <t>DT-341</t>
        </is>
      </c>
      <c r="D5490" s="156" t="inlineStr">
        <is>
          <t>SYZ324C-8W</t>
        </is>
      </c>
      <c r="E5490" s="156" t="inlineStr">
        <is>
          <t>Hauler</t>
        </is>
      </c>
      <c r="F5490" s="156" t="inlineStr">
        <is>
          <t>Support Washing Plant</t>
        </is>
      </c>
      <c r="G5490" s="182" t="n">
        <v>3.51</v>
      </c>
      <c r="H5490" s="182" t="n">
        <v>0</v>
      </c>
      <c r="I5490" s="182" t="n">
        <v>0</v>
      </c>
      <c r="J5490" s="182" t="n">
        <v>0</v>
      </c>
      <c r="K5490" s="182" t="n">
        <v>8.49</v>
      </c>
      <c r="L5490" s="182" t="n">
        <v>12</v>
      </c>
      <c r="M5490" s="182" t="n">
        <v>0</v>
      </c>
      <c r="N5490" s="182" t="n">
        <v>0</v>
      </c>
      <c r="O5490" s="183" t="n">
        <v>0</v>
      </c>
      <c r="P5490" s="183" t="n">
        <v>0</v>
      </c>
      <c r="Q5490" s="184" t="n">
        <v>0</v>
      </c>
      <c r="R5490" s="184" t="n">
        <v>0</v>
      </c>
      <c r="S5490" s="183" t="n">
        <v>0</v>
      </c>
      <c r="T5490" s="183" t="n">
        <v>0</v>
      </c>
      <c r="U5490" s="182" t="n">
        <v>0</v>
      </c>
      <c r="V5490" s="182" t="n">
        <v>0</v>
      </c>
      <c r="W5490" s="182" t="n">
        <v>0</v>
      </c>
      <c r="X5490" s="182" t="n">
        <v>1.01</v>
      </c>
      <c r="Y5490" s="182" t="n">
        <v>0</v>
      </c>
      <c r="Z5490" s="182" t="n">
        <v>0</v>
      </c>
      <c r="AA5490" s="182" t="n">
        <v>0</v>
      </c>
      <c r="AB5490" s="182" t="n">
        <v>0</v>
      </c>
      <c r="AC5490" s="182" t="n">
        <v>0</v>
      </c>
      <c r="AD5490" s="182" t="n">
        <v>0</v>
      </c>
      <c r="AE5490" s="182" t="n">
        <v>0</v>
      </c>
      <c r="AF5490" s="182" t="n">
        <v>0</v>
      </c>
      <c r="AG5490" s="182" t="n">
        <v>0</v>
      </c>
      <c r="AH5490" s="182" t="n">
        <v>0</v>
      </c>
      <c r="AI5490" s="182" t="n">
        <v>0</v>
      </c>
      <c r="AJ5490" s="182" t="n">
        <v>0</v>
      </c>
      <c r="AK5490" s="182" t="n">
        <v>7.4</v>
      </c>
      <c r="AL5490" s="182" t="n">
        <v>0</v>
      </c>
      <c r="AM5490" s="182" t="n">
        <v>0.08</v>
      </c>
      <c r="AN5490" s="182" t="n">
        <v>0</v>
      </c>
    </row>
    <row r="5491">
      <c r="A5491" s="155" t="n">
        <v>46106</v>
      </c>
      <c r="B5491" s="156" t="inlineStr">
        <is>
          <t>NS</t>
        </is>
      </c>
      <c r="C5491" s="156" t="inlineStr">
        <is>
          <t>DT-342</t>
        </is>
      </c>
      <c r="D5491" s="156" t="inlineStr">
        <is>
          <t>SYZ324C-8W</t>
        </is>
      </c>
      <c r="E5491" s="156" t="inlineStr">
        <is>
          <t>Hauler</t>
        </is>
      </c>
      <c r="F5491" s="156" t="inlineStr">
        <is>
          <t>Support Washing Plant</t>
        </is>
      </c>
      <c r="G5491" s="182" t="n">
        <v>3.39</v>
      </c>
      <c r="H5491" s="182" t="n">
        <v>0</v>
      </c>
      <c r="I5491" s="182" t="n">
        <v>0</v>
      </c>
      <c r="J5491" s="182" t="n">
        <v>0</v>
      </c>
      <c r="K5491" s="182" t="n">
        <v>8.609999999999999</v>
      </c>
      <c r="L5491" s="182" t="n">
        <v>12</v>
      </c>
      <c r="M5491" s="182" t="n">
        <v>0</v>
      </c>
      <c r="N5491" s="182" t="n">
        <v>0</v>
      </c>
      <c r="O5491" s="183" t="n">
        <v>0</v>
      </c>
      <c r="P5491" s="183" t="n">
        <v>0</v>
      </c>
      <c r="Q5491" s="184" t="n">
        <v>0</v>
      </c>
      <c r="R5491" s="184" t="n">
        <v>0</v>
      </c>
      <c r="S5491" s="183" t="n">
        <v>0</v>
      </c>
      <c r="T5491" s="183" t="n">
        <v>0</v>
      </c>
      <c r="U5491" s="182" t="n">
        <v>0</v>
      </c>
      <c r="V5491" s="182" t="n">
        <v>0</v>
      </c>
      <c r="W5491" s="182" t="n">
        <v>0</v>
      </c>
      <c r="X5491" s="182" t="n">
        <v>1.02</v>
      </c>
      <c r="Y5491" s="182" t="n">
        <v>0</v>
      </c>
      <c r="Z5491" s="182" t="n">
        <v>0</v>
      </c>
      <c r="AA5491" s="182" t="n">
        <v>0</v>
      </c>
      <c r="AB5491" s="182" t="n">
        <v>0</v>
      </c>
      <c r="AC5491" s="182" t="n">
        <v>0</v>
      </c>
      <c r="AD5491" s="182" t="n">
        <v>0</v>
      </c>
      <c r="AE5491" s="182" t="n">
        <v>0</v>
      </c>
      <c r="AF5491" s="182" t="n">
        <v>0</v>
      </c>
      <c r="AG5491" s="182" t="n">
        <v>0</v>
      </c>
      <c r="AH5491" s="182" t="n">
        <v>0</v>
      </c>
      <c r="AI5491" s="182" t="n">
        <v>0</v>
      </c>
      <c r="AJ5491" s="182" t="n">
        <v>0</v>
      </c>
      <c r="AK5491" s="182" t="n">
        <v>7.5</v>
      </c>
      <c r="AL5491" s="182" t="n">
        <v>0</v>
      </c>
      <c r="AM5491" s="182" t="n">
        <v>0.08</v>
      </c>
      <c r="AN5491" s="182" t="n">
        <v>0</v>
      </c>
    </row>
    <row r="5492">
      <c r="A5492" s="155" t="n">
        <v>46106</v>
      </c>
      <c r="B5492" s="156" t="inlineStr">
        <is>
          <t>NS</t>
        </is>
      </c>
      <c r="C5492" s="156" t="inlineStr">
        <is>
          <t>HD-903</t>
        </is>
      </c>
      <c r="D5492" s="156" t="inlineStr">
        <is>
          <t>SRT 95C</t>
        </is>
      </c>
      <c r="E5492" s="156" t="inlineStr">
        <is>
          <t>Hauler</t>
        </is>
      </c>
      <c r="F5492" s="156" t="inlineStr">
        <is>
          <t>Hauling OB</t>
        </is>
      </c>
      <c r="G5492" s="182" t="n">
        <v>9.890000000000001</v>
      </c>
      <c r="H5492" s="182" t="n">
        <v>0</v>
      </c>
      <c r="I5492" s="182" t="n">
        <v>0</v>
      </c>
      <c r="J5492" s="182" t="n">
        <v>0</v>
      </c>
      <c r="K5492" s="182" t="n">
        <v>2.11</v>
      </c>
      <c r="L5492" s="182" t="n">
        <v>12</v>
      </c>
      <c r="M5492" s="182" t="n">
        <v>9.890000000000001</v>
      </c>
      <c r="N5492" s="182" t="n">
        <v>0</v>
      </c>
      <c r="O5492" s="183" t="n">
        <v>40</v>
      </c>
      <c r="P5492" s="183" t="n">
        <v>0</v>
      </c>
      <c r="Q5492" s="184" t="n">
        <v>1428</v>
      </c>
      <c r="R5492" s="184" t="n">
        <v>0</v>
      </c>
      <c r="S5492" s="183" t="n">
        <v>0</v>
      </c>
      <c r="T5492" s="183" t="n">
        <v>0</v>
      </c>
      <c r="U5492" s="182" t="n">
        <v>1.12</v>
      </c>
      <c r="V5492" s="182" t="n">
        <v>0</v>
      </c>
      <c r="W5492" s="182" t="n">
        <v>0</v>
      </c>
      <c r="X5492" s="182" t="n">
        <v>0.92</v>
      </c>
      <c r="Y5492" s="182" t="n">
        <v>0</v>
      </c>
      <c r="Z5492" s="182" t="n">
        <v>0</v>
      </c>
      <c r="AA5492" s="182" t="n">
        <v>0</v>
      </c>
      <c r="AB5492" s="182" t="n">
        <v>0</v>
      </c>
      <c r="AC5492" s="182" t="n">
        <v>0</v>
      </c>
      <c r="AD5492" s="182" t="n">
        <v>0</v>
      </c>
      <c r="AE5492" s="182" t="n">
        <v>0</v>
      </c>
      <c r="AF5492" s="182" t="n">
        <v>0</v>
      </c>
      <c r="AG5492" s="182" t="n">
        <v>0</v>
      </c>
      <c r="AH5492" s="182" t="n">
        <v>0</v>
      </c>
      <c r="AI5492" s="182" t="n">
        <v>0</v>
      </c>
      <c r="AJ5492" s="182" t="n">
        <v>0</v>
      </c>
      <c r="AK5492" s="182" t="n">
        <v>0</v>
      </c>
      <c r="AL5492" s="182" t="n">
        <v>0</v>
      </c>
      <c r="AM5492" s="182" t="n">
        <v>0.07000000000000001</v>
      </c>
      <c r="AN5492" s="182" t="n">
        <v>0</v>
      </c>
    </row>
    <row r="5493">
      <c r="A5493" s="155" t="n">
        <v>46106</v>
      </c>
      <c r="B5493" s="156" t="inlineStr">
        <is>
          <t>NS</t>
        </is>
      </c>
      <c r="C5493" s="156" t="inlineStr">
        <is>
          <t>HD-905</t>
        </is>
      </c>
      <c r="D5493" s="156" t="inlineStr">
        <is>
          <t>SRT 95C</t>
        </is>
      </c>
      <c r="E5493" s="156" t="inlineStr">
        <is>
          <t>Hauler</t>
        </is>
      </c>
      <c r="F5493" s="156" t="inlineStr"/>
      <c r="G5493" s="182" t="n">
        <v>0</v>
      </c>
      <c r="H5493" s="182" t="n">
        <v>0</v>
      </c>
      <c r="I5493" s="182" t="n">
        <v>12</v>
      </c>
      <c r="J5493" s="182" t="n">
        <v>12</v>
      </c>
      <c r="K5493" s="182" t="n">
        <v>0</v>
      </c>
      <c r="L5493" s="182" t="n">
        <v>12</v>
      </c>
      <c r="M5493" s="182" t="n">
        <v>0</v>
      </c>
      <c r="N5493" s="182" t="n">
        <v>0</v>
      </c>
      <c r="O5493" s="183" t="n">
        <v>0</v>
      </c>
      <c r="P5493" s="183" t="n">
        <v>0</v>
      </c>
      <c r="Q5493" s="184" t="n">
        <v>0</v>
      </c>
      <c r="R5493" s="184" t="n">
        <v>0</v>
      </c>
      <c r="S5493" s="183" t="n">
        <v>0</v>
      </c>
      <c r="T5493" s="183" t="n">
        <v>0</v>
      </c>
      <c r="U5493" s="182" t="n">
        <v>0</v>
      </c>
      <c r="V5493" s="182" t="n">
        <v>0</v>
      </c>
      <c r="W5493" s="182" t="n">
        <v>0</v>
      </c>
      <c r="X5493" s="182" t="n">
        <v>0</v>
      </c>
      <c r="Y5493" s="182" t="n">
        <v>0</v>
      </c>
      <c r="Z5493" s="182" t="n">
        <v>0</v>
      </c>
      <c r="AA5493" s="182" t="n">
        <v>0</v>
      </c>
      <c r="AB5493" s="182" t="n">
        <v>0</v>
      </c>
      <c r="AC5493" s="182" t="n">
        <v>0</v>
      </c>
      <c r="AD5493" s="182" t="n">
        <v>0</v>
      </c>
      <c r="AE5493" s="182" t="n">
        <v>0</v>
      </c>
      <c r="AF5493" s="182" t="n">
        <v>0</v>
      </c>
      <c r="AG5493" s="182" t="n">
        <v>0</v>
      </c>
      <c r="AH5493" s="182" t="n">
        <v>0</v>
      </c>
      <c r="AI5493" s="182" t="n">
        <v>0</v>
      </c>
      <c r="AJ5493" s="182" t="n">
        <v>0</v>
      </c>
      <c r="AK5493" s="182" t="n">
        <v>0</v>
      </c>
      <c r="AL5493" s="182" t="n">
        <v>0</v>
      </c>
      <c r="AM5493" s="182" t="n">
        <v>0</v>
      </c>
      <c r="AN5493" s="182" t="n">
        <v>0</v>
      </c>
    </row>
    <row r="5494">
      <c r="A5494" s="155" t="n">
        <v>46106</v>
      </c>
      <c r="B5494" s="156" t="inlineStr">
        <is>
          <t>NS</t>
        </is>
      </c>
      <c r="C5494" s="156" t="inlineStr">
        <is>
          <t>HD-901</t>
        </is>
      </c>
      <c r="D5494" s="156" t="inlineStr">
        <is>
          <t>SRT 95C</t>
        </is>
      </c>
      <c r="E5494" s="156" t="inlineStr">
        <is>
          <t>Hauler</t>
        </is>
      </c>
      <c r="F5494" s="156" t="inlineStr">
        <is>
          <t>Hauling OB</t>
        </is>
      </c>
      <c r="G5494" s="182" t="n">
        <v>9.09</v>
      </c>
      <c r="H5494" s="182" t="n">
        <v>0</v>
      </c>
      <c r="I5494" s="182" t="n">
        <v>0</v>
      </c>
      <c r="J5494" s="182" t="n">
        <v>0</v>
      </c>
      <c r="K5494" s="182" t="n">
        <v>2.91</v>
      </c>
      <c r="L5494" s="182" t="n">
        <v>12</v>
      </c>
      <c r="M5494" s="182" t="n">
        <v>9.09</v>
      </c>
      <c r="N5494" s="182" t="n">
        <v>0</v>
      </c>
      <c r="O5494" s="183" t="n">
        <v>37</v>
      </c>
      <c r="P5494" s="183" t="n">
        <v>0</v>
      </c>
      <c r="Q5494" s="184" t="n">
        <v>1320.9</v>
      </c>
      <c r="R5494" s="184" t="n">
        <v>0</v>
      </c>
      <c r="S5494" s="183" t="n">
        <v>0</v>
      </c>
      <c r="T5494" s="183" t="n">
        <v>0</v>
      </c>
      <c r="U5494" s="182" t="n">
        <v>1.56</v>
      </c>
      <c r="V5494" s="182" t="n">
        <v>0</v>
      </c>
      <c r="W5494" s="182" t="n">
        <v>0</v>
      </c>
      <c r="X5494" s="182" t="n">
        <v>1.04</v>
      </c>
      <c r="Y5494" s="182" t="n">
        <v>0</v>
      </c>
      <c r="Z5494" s="182" t="n">
        <v>0</v>
      </c>
      <c r="AA5494" s="182" t="n">
        <v>0</v>
      </c>
      <c r="AB5494" s="182" t="n">
        <v>0</v>
      </c>
      <c r="AC5494" s="182" t="n">
        <v>0</v>
      </c>
      <c r="AD5494" s="182" t="n">
        <v>0</v>
      </c>
      <c r="AE5494" s="182" t="n">
        <v>0</v>
      </c>
      <c r="AF5494" s="182" t="n">
        <v>0</v>
      </c>
      <c r="AG5494" s="182" t="n">
        <v>0</v>
      </c>
      <c r="AH5494" s="182" t="n">
        <v>0.23</v>
      </c>
      <c r="AI5494" s="182" t="n">
        <v>0</v>
      </c>
      <c r="AJ5494" s="182" t="n">
        <v>0</v>
      </c>
      <c r="AK5494" s="182" t="n">
        <v>0</v>
      </c>
      <c r="AL5494" s="182" t="n">
        <v>0</v>
      </c>
      <c r="AM5494" s="182" t="n">
        <v>0.08</v>
      </c>
      <c r="AN5494" s="182" t="n">
        <v>0</v>
      </c>
    </row>
    <row r="5495">
      <c r="A5495" s="155" t="n">
        <v>46106</v>
      </c>
      <c r="B5495" s="156" t="inlineStr">
        <is>
          <t>NS</t>
        </is>
      </c>
      <c r="C5495" s="156" t="inlineStr">
        <is>
          <t>HD-904</t>
        </is>
      </c>
      <c r="D5495" s="156" t="inlineStr">
        <is>
          <t>SRT 95C</t>
        </is>
      </c>
      <c r="E5495" s="156" t="inlineStr">
        <is>
          <t>Hauler</t>
        </is>
      </c>
      <c r="F5495" s="156" t="inlineStr"/>
      <c r="G5495" s="182" t="n">
        <v>0</v>
      </c>
      <c r="H5495" s="182" t="n">
        <v>0</v>
      </c>
      <c r="I5495" s="182" t="n">
        <v>12</v>
      </c>
      <c r="J5495" s="182" t="n">
        <v>12</v>
      </c>
      <c r="K5495" s="182" t="n">
        <v>0</v>
      </c>
      <c r="L5495" s="182" t="n">
        <v>12</v>
      </c>
      <c r="M5495" s="182" t="n">
        <v>0</v>
      </c>
      <c r="N5495" s="182" t="n">
        <v>0</v>
      </c>
      <c r="O5495" s="183" t="n">
        <v>0</v>
      </c>
      <c r="P5495" s="183" t="n">
        <v>0</v>
      </c>
      <c r="Q5495" s="184" t="n">
        <v>0</v>
      </c>
      <c r="R5495" s="184" t="n">
        <v>0</v>
      </c>
      <c r="S5495" s="183" t="n">
        <v>0</v>
      </c>
      <c r="T5495" s="183" t="n">
        <v>0</v>
      </c>
      <c r="U5495" s="182" t="n">
        <v>0</v>
      </c>
      <c r="V5495" s="182" t="n">
        <v>0</v>
      </c>
      <c r="W5495" s="182" t="n">
        <v>0</v>
      </c>
      <c r="X5495" s="182" t="n">
        <v>0</v>
      </c>
      <c r="Y5495" s="182" t="n">
        <v>0</v>
      </c>
      <c r="Z5495" s="182" t="n">
        <v>0</v>
      </c>
      <c r="AA5495" s="182" t="n">
        <v>0</v>
      </c>
      <c r="AB5495" s="182" t="n">
        <v>0</v>
      </c>
      <c r="AC5495" s="182" t="n">
        <v>0</v>
      </c>
      <c r="AD5495" s="182" t="n">
        <v>0</v>
      </c>
      <c r="AE5495" s="182" t="n">
        <v>0</v>
      </c>
      <c r="AF5495" s="182" t="n">
        <v>0</v>
      </c>
      <c r="AG5495" s="182" t="n">
        <v>0</v>
      </c>
      <c r="AH5495" s="182" t="n">
        <v>0</v>
      </c>
      <c r="AI5495" s="182" t="n">
        <v>0</v>
      </c>
      <c r="AJ5495" s="182" t="n">
        <v>0</v>
      </c>
      <c r="AK5495" s="182" t="n">
        <v>0</v>
      </c>
      <c r="AL5495" s="182" t="n">
        <v>0</v>
      </c>
      <c r="AM5495" s="182" t="n">
        <v>0</v>
      </c>
      <c r="AN5495" s="182" t="n">
        <v>0</v>
      </c>
    </row>
    <row r="5496">
      <c r="A5496" s="155" t="n">
        <v>46106</v>
      </c>
      <c r="B5496" s="156" t="inlineStr">
        <is>
          <t>NS</t>
        </is>
      </c>
      <c r="C5496" s="156" t="inlineStr">
        <is>
          <t>HD-902</t>
        </is>
      </c>
      <c r="D5496" s="156" t="inlineStr">
        <is>
          <t>SRT 95C</t>
        </is>
      </c>
      <c r="E5496" s="156" t="inlineStr">
        <is>
          <t>Hauler</t>
        </is>
      </c>
      <c r="F5496" s="156" t="inlineStr">
        <is>
          <t>Hauling OB</t>
        </is>
      </c>
      <c r="G5496" s="182" t="n">
        <v>9.5</v>
      </c>
      <c r="H5496" s="182" t="n">
        <v>0</v>
      </c>
      <c r="I5496" s="182" t="n">
        <v>0.4</v>
      </c>
      <c r="J5496" s="182" t="n">
        <v>0.4</v>
      </c>
      <c r="K5496" s="182" t="n">
        <v>2.1</v>
      </c>
      <c r="L5496" s="182" t="n">
        <v>12</v>
      </c>
      <c r="M5496" s="182" t="n">
        <v>9.5</v>
      </c>
      <c r="N5496" s="182" t="n">
        <v>0</v>
      </c>
      <c r="O5496" s="183" t="n">
        <v>48</v>
      </c>
      <c r="P5496" s="183" t="n">
        <v>0</v>
      </c>
      <c r="Q5496" s="184" t="n">
        <v>1713.6</v>
      </c>
      <c r="R5496" s="184" t="n">
        <v>0</v>
      </c>
      <c r="S5496" s="183" t="n">
        <v>0</v>
      </c>
      <c r="T5496" s="183" t="n">
        <v>0</v>
      </c>
      <c r="U5496" s="182" t="n">
        <v>1.07</v>
      </c>
      <c r="V5496" s="182" t="n">
        <v>0</v>
      </c>
      <c r="W5496" s="182" t="n">
        <v>0</v>
      </c>
      <c r="X5496" s="182" t="n">
        <v>0.95</v>
      </c>
      <c r="Y5496" s="182" t="n">
        <v>0</v>
      </c>
      <c r="Z5496" s="182" t="n">
        <v>0</v>
      </c>
      <c r="AA5496" s="182" t="n">
        <v>0</v>
      </c>
      <c r="AB5496" s="182" t="n">
        <v>0</v>
      </c>
      <c r="AC5496" s="182" t="n">
        <v>0</v>
      </c>
      <c r="AD5496" s="182" t="n">
        <v>0</v>
      </c>
      <c r="AE5496" s="182" t="n">
        <v>0</v>
      </c>
      <c r="AF5496" s="182" t="n">
        <v>0</v>
      </c>
      <c r="AG5496" s="182" t="n">
        <v>0</v>
      </c>
      <c r="AH5496" s="182" t="n">
        <v>0</v>
      </c>
      <c r="AI5496" s="182" t="n">
        <v>0</v>
      </c>
      <c r="AJ5496" s="182" t="n">
        <v>0</v>
      </c>
      <c r="AK5496" s="182" t="n">
        <v>0</v>
      </c>
      <c r="AL5496" s="182" t="n">
        <v>0</v>
      </c>
      <c r="AM5496" s="182" t="n">
        <v>0.08</v>
      </c>
      <c r="AN5496" s="182" t="n">
        <v>0</v>
      </c>
    </row>
    <row r="5497">
      <c r="A5497" s="155" t="n">
        <v>46106</v>
      </c>
      <c r="B5497" s="156" t="inlineStr">
        <is>
          <t>NS</t>
        </is>
      </c>
      <c r="C5497" s="156" t="inlineStr">
        <is>
          <t>WL-025</t>
        </is>
      </c>
      <c r="D5497" s="156" t="inlineStr">
        <is>
          <t>SANY - Loader</t>
        </is>
      </c>
      <c r="E5497" s="156" t="inlineStr">
        <is>
          <t>Loader</t>
        </is>
      </c>
      <c r="F5497" s="156" t="inlineStr"/>
      <c r="G5497" s="182" t="n">
        <v>0</v>
      </c>
      <c r="H5497" s="182" t="n">
        <v>0</v>
      </c>
      <c r="I5497" s="182" t="n">
        <v>12</v>
      </c>
      <c r="J5497" s="182" t="n">
        <v>12</v>
      </c>
      <c r="K5497" s="182" t="n">
        <v>0</v>
      </c>
      <c r="L5497" s="182" t="n">
        <v>12</v>
      </c>
      <c r="M5497" s="182" t="n">
        <v>0</v>
      </c>
      <c r="N5497" s="182" t="n">
        <v>0</v>
      </c>
      <c r="O5497" s="183" t="n">
        <v>0</v>
      </c>
      <c r="P5497" s="183" t="n">
        <v>0</v>
      </c>
      <c r="Q5497" s="184" t="n">
        <v>0</v>
      </c>
      <c r="R5497" s="184" t="n">
        <v>0</v>
      </c>
      <c r="S5497" s="183" t="n">
        <v>0</v>
      </c>
      <c r="T5497" s="183" t="n">
        <v>0</v>
      </c>
      <c r="U5497" s="182" t="n">
        <v>0</v>
      </c>
      <c r="V5497" s="182" t="n">
        <v>0</v>
      </c>
      <c r="W5497" s="182" t="n">
        <v>0</v>
      </c>
      <c r="X5497" s="182" t="n">
        <v>0</v>
      </c>
      <c r="Y5497" s="182" t="n">
        <v>0</v>
      </c>
      <c r="Z5497" s="182" t="n">
        <v>0</v>
      </c>
      <c r="AA5497" s="182" t="n">
        <v>0</v>
      </c>
      <c r="AB5497" s="182" t="n">
        <v>0</v>
      </c>
      <c r="AC5497" s="182" t="n">
        <v>0</v>
      </c>
      <c r="AD5497" s="182" t="n">
        <v>0</v>
      </c>
      <c r="AE5497" s="182" t="n">
        <v>0</v>
      </c>
      <c r="AF5497" s="182" t="n">
        <v>0</v>
      </c>
      <c r="AG5497" s="182" t="n">
        <v>0</v>
      </c>
      <c r="AH5497" s="182" t="n">
        <v>0</v>
      </c>
      <c r="AI5497" s="182" t="n">
        <v>0</v>
      </c>
      <c r="AJ5497" s="182" t="n">
        <v>0</v>
      </c>
      <c r="AK5497" s="182" t="n">
        <v>0</v>
      </c>
      <c r="AL5497" s="182" t="n">
        <v>0</v>
      </c>
      <c r="AM5497" s="182" t="n">
        <v>0</v>
      </c>
      <c r="AN5497" s="182" t="n">
        <v>0</v>
      </c>
    </row>
    <row r="5498">
      <c r="A5498" s="155" t="n">
        <v>46106</v>
      </c>
      <c r="B5498" s="156" t="inlineStr">
        <is>
          <t>NS</t>
        </is>
      </c>
      <c r="C5498" s="156" t="inlineStr">
        <is>
          <t>WL-023</t>
        </is>
      </c>
      <c r="D5498" s="156" t="inlineStr">
        <is>
          <t>SANY - Loader</t>
        </is>
      </c>
      <c r="E5498" s="156" t="inlineStr">
        <is>
          <t>Loader</t>
        </is>
      </c>
      <c r="F5498" s="156" t="inlineStr"/>
      <c r="G5498" s="182" t="n">
        <v>0</v>
      </c>
      <c r="H5498" s="182" t="n">
        <v>0</v>
      </c>
      <c r="I5498" s="182" t="n">
        <v>0</v>
      </c>
      <c r="J5498" s="182" t="n">
        <v>0</v>
      </c>
      <c r="K5498" s="182" t="n">
        <v>12</v>
      </c>
      <c r="L5498" s="182" t="n">
        <v>12</v>
      </c>
      <c r="M5498" s="182" t="n">
        <v>0</v>
      </c>
      <c r="N5498" s="182" t="n">
        <v>0</v>
      </c>
      <c r="O5498" s="183" t="n">
        <v>0</v>
      </c>
      <c r="P5498" s="183" t="n">
        <v>0</v>
      </c>
      <c r="Q5498" s="184" t="n">
        <v>0</v>
      </c>
      <c r="R5498" s="184" t="n">
        <v>0</v>
      </c>
      <c r="S5498" s="183" t="n">
        <v>0</v>
      </c>
      <c r="T5498" s="183" t="n">
        <v>0</v>
      </c>
      <c r="U5498" s="182" t="n">
        <v>0</v>
      </c>
      <c r="V5498" s="182" t="n">
        <v>0</v>
      </c>
      <c r="W5498" s="182" t="n">
        <v>0</v>
      </c>
      <c r="X5498" s="182" t="n">
        <v>1</v>
      </c>
      <c r="Y5498" s="182" t="n">
        <v>0</v>
      </c>
      <c r="Z5498" s="182" t="n">
        <v>0</v>
      </c>
      <c r="AA5498" s="182" t="n">
        <v>0</v>
      </c>
      <c r="AB5498" s="182" t="n">
        <v>0</v>
      </c>
      <c r="AC5498" s="182" t="n">
        <v>0</v>
      </c>
      <c r="AD5498" s="182" t="n">
        <v>0</v>
      </c>
      <c r="AE5498" s="182" t="n">
        <v>0</v>
      </c>
      <c r="AF5498" s="182" t="n">
        <v>0</v>
      </c>
      <c r="AG5498" s="182" t="n">
        <v>0</v>
      </c>
      <c r="AH5498" s="182" t="n">
        <v>0</v>
      </c>
      <c r="AI5498" s="182" t="n">
        <v>0</v>
      </c>
      <c r="AJ5498" s="182" t="n">
        <v>0</v>
      </c>
      <c r="AK5498" s="182" t="n">
        <v>10.92</v>
      </c>
      <c r="AL5498" s="182" t="n">
        <v>0</v>
      </c>
      <c r="AM5498" s="182" t="n">
        <v>0.08</v>
      </c>
      <c r="AN5498" s="182" t="n">
        <v>0</v>
      </c>
    </row>
    <row r="5499">
      <c r="A5499" s="155" t="n">
        <v>46106</v>
      </c>
      <c r="B5499" s="156" t="inlineStr">
        <is>
          <t>NS</t>
        </is>
      </c>
      <c r="C5499" s="156" t="inlineStr">
        <is>
          <t>WL-021</t>
        </is>
      </c>
      <c r="D5499" s="156" t="inlineStr">
        <is>
          <t>SANY - Loader</t>
        </is>
      </c>
      <c r="E5499" s="156" t="inlineStr">
        <is>
          <t>Loader</t>
        </is>
      </c>
      <c r="F5499" s="156" t="inlineStr"/>
      <c r="G5499" s="182" t="n">
        <v>0</v>
      </c>
      <c r="H5499" s="182" t="n">
        <v>0</v>
      </c>
      <c r="I5499" s="182" t="n">
        <v>12</v>
      </c>
      <c r="J5499" s="182" t="n">
        <v>12</v>
      </c>
      <c r="K5499" s="182" t="n">
        <v>0</v>
      </c>
      <c r="L5499" s="182" t="n">
        <v>12</v>
      </c>
      <c r="M5499" s="182" t="n">
        <v>0</v>
      </c>
      <c r="N5499" s="182" t="n">
        <v>0</v>
      </c>
      <c r="O5499" s="183" t="n">
        <v>0</v>
      </c>
      <c r="P5499" s="183" t="n">
        <v>0</v>
      </c>
      <c r="Q5499" s="184" t="n">
        <v>0</v>
      </c>
      <c r="R5499" s="184" t="n">
        <v>0</v>
      </c>
      <c r="S5499" s="183" t="n">
        <v>0</v>
      </c>
      <c r="T5499" s="183" t="n">
        <v>0</v>
      </c>
      <c r="U5499" s="182" t="n">
        <v>0</v>
      </c>
      <c r="V5499" s="182" t="n">
        <v>0</v>
      </c>
      <c r="W5499" s="182" t="n">
        <v>0</v>
      </c>
      <c r="X5499" s="182" t="n">
        <v>0</v>
      </c>
      <c r="Y5499" s="182" t="n">
        <v>0</v>
      </c>
      <c r="Z5499" s="182" t="n">
        <v>0</v>
      </c>
      <c r="AA5499" s="182" t="n">
        <v>0</v>
      </c>
      <c r="AB5499" s="182" t="n">
        <v>0</v>
      </c>
      <c r="AC5499" s="182" t="n">
        <v>0</v>
      </c>
      <c r="AD5499" s="182" t="n">
        <v>0</v>
      </c>
      <c r="AE5499" s="182" t="n">
        <v>0</v>
      </c>
      <c r="AF5499" s="182" t="n">
        <v>0</v>
      </c>
      <c r="AG5499" s="182" t="n">
        <v>0</v>
      </c>
      <c r="AH5499" s="182" t="n">
        <v>0</v>
      </c>
      <c r="AI5499" s="182" t="n">
        <v>0</v>
      </c>
      <c r="AJ5499" s="182" t="n">
        <v>0</v>
      </c>
      <c r="AK5499" s="182" t="n">
        <v>0</v>
      </c>
      <c r="AL5499" s="182" t="n">
        <v>0</v>
      </c>
      <c r="AM5499" s="182" t="n">
        <v>0</v>
      </c>
      <c r="AN5499" s="182" t="n">
        <v>0</v>
      </c>
    </row>
    <row r="5500">
      <c r="A5500" s="155" t="n">
        <v>46106</v>
      </c>
      <c r="B5500" s="156" t="inlineStr">
        <is>
          <t>NS</t>
        </is>
      </c>
      <c r="C5500" s="156" t="inlineStr">
        <is>
          <t>WL-022</t>
        </is>
      </c>
      <c r="D5500" s="156" t="inlineStr">
        <is>
          <t>SANY - Loader</t>
        </is>
      </c>
      <c r="E5500" s="156" t="inlineStr">
        <is>
          <t>Loader</t>
        </is>
      </c>
      <c r="F5500" s="156" t="inlineStr">
        <is>
          <t>Support Washing Plant</t>
        </is>
      </c>
      <c r="G5500" s="182" t="n">
        <v>10.2</v>
      </c>
      <c r="H5500" s="182" t="n">
        <v>0</v>
      </c>
      <c r="I5500" s="182" t="n">
        <v>0</v>
      </c>
      <c r="J5500" s="182" t="n">
        <v>0</v>
      </c>
      <c r="K5500" s="182" t="n">
        <v>1.8</v>
      </c>
      <c r="L5500" s="182" t="n">
        <v>12</v>
      </c>
      <c r="M5500" s="182" t="n">
        <v>0</v>
      </c>
      <c r="N5500" s="182" t="n">
        <v>0</v>
      </c>
      <c r="O5500" s="183" t="n">
        <v>0</v>
      </c>
      <c r="P5500" s="183" t="n">
        <v>0</v>
      </c>
      <c r="Q5500" s="184" t="n">
        <v>0</v>
      </c>
      <c r="R5500" s="184" t="n">
        <v>0</v>
      </c>
      <c r="S5500" s="183" t="n">
        <v>0</v>
      </c>
      <c r="T5500" s="183" t="n">
        <v>0</v>
      </c>
      <c r="U5500" s="182" t="n">
        <v>0</v>
      </c>
      <c r="V5500" s="182" t="n">
        <v>0</v>
      </c>
      <c r="W5500" s="182" t="n">
        <v>0</v>
      </c>
      <c r="X5500" s="182" t="n">
        <v>1</v>
      </c>
      <c r="Y5500" s="182" t="n">
        <v>0</v>
      </c>
      <c r="Z5500" s="182" t="n">
        <v>0</v>
      </c>
      <c r="AA5500" s="182" t="n">
        <v>0</v>
      </c>
      <c r="AB5500" s="182" t="n">
        <v>0</v>
      </c>
      <c r="AC5500" s="182" t="n">
        <v>0</v>
      </c>
      <c r="AD5500" s="182" t="n">
        <v>0</v>
      </c>
      <c r="AE5500" s="182" t="n">
        <v>0</v>
      </c>
      <c r="AF5500" s="182" t="n">
        <v>0</v>
      </c>
      <c r="AG5500" s="182" t="n">
        <v>0</v>
      </c>
      <c r="AH5500" s="182" t="n">
        <v>0.72</v>
      </c>
      <c r="AI5500" s="182" t="n">
        <v>0</v>
      </c>
      <c r="AJ5500" s="182" t="n">
        <v>0</v>
      </c>
      <c r="AK5500" s="182" t="n">
        <v>0</v>
      </c>
      <c r="AL5500" s="182" t="n">
        <v>0</v>
      </c>
      <c r="AM5500" s="182" t="n">
        <v>0.08</v>
      </c>
      <c r="AN5500" s="182" t="n">
        <v>0</v>
      </c>
    </row>
    <row r="5501">
      <c r="A5501" s="155" t="n">
        <v>46106</v>
      </c>
      <c r="B5501" s="156" t="inlineStr">
        <is>
          <t>NS</t>
        </is>
      </c>
      <c r="C5501" s="156" t="inlineStr">
        <is>
          <t>WL-024</t>
        </is>
      </c>
      <c r="D5501" s="156" t="inlineStr">
        <is>
          <t>SANY - Loader</t>
        </is>
      </c>
      <c r="E5501" s="156" t="inlineStr">
        <is>
          <t>Loader</t>
        </is>
      </c>
      <c r="F5501" s="156" t="inlineStr">
        <is>
          <t>Support Washing Plant</t>
        </is>
      </c>
      <c r="G5501" s="182" t="n">
        <v>10.06</v>
      </c>
      <c r="H5501" s="182" t="n">
        <v>0</v>
      </c>
      <c r="I5501" s="182" t="n">
        <v>0</v>
      </c>
      <c r="J5501" s="182" t="n">
        <v>0</v>
      </c>
      <c r="K5501" s="182" t="n">
        <v>1.94</v>
      </c>
      <c r="L5501" s="182" t="n">
        <v>12</v>
      </c>
      <c r="M5501" s="182" t="n">
        <v>0</v>
      </c>
      <c r="N5501" s="182" t="n">
        <v>0</v>
      </c>
      <c r="O5501" s="183" t="n">
        <v>0</v>
      </c>
      <c r="P5501" s="183" t="n">
        <v>0</v>
      </c>
      <c r="Q5501" s="184" t="n">
        <v>0</v>
      </c>
      <c r="R5501" s="184" t="n">
        <v>0</v>
      </c>
      <c r="S5501" s="183" t="n">
        <v>0</v>
      </c>
      <c r="T5501" s="183" t="n">
        <v>0</v>
      </c>
      <c r="U5501" s="182" t="n">
        <v>0</v>
      </c>
      <c r="V5501" s="182" t="n">
        <v>0</v>
      </c>
      <c r="W5501" s="182" t="n">
        <v>0</v>
      </c>
      <c r="X5501" s="182" t="n">
        <v>1.14</v>
      </c>
      <c r="Y5501" s="182" t="n">
        <v>0</v>
      </c>
      <c r="Z5501" s="182" t="n">
        <v>0</v>
      </c>
      <c r="AA5501" s="182" t="n">
        <v>0</v>
      </c>
      <c r="AB5501" s="182" t="n">
        <v>0</v>
      </c>
      <c r="AC5501" s="182" t="n">
        <v>0</v>
      </c>
      <c r="AD5501" s="182" t="n">
        <v>0</v>
      </c>
      <c r="AE5501" s="182" t="n">
        <v>0</v>
      </c>
      <c r="AF5501" s="182" t="n">
        <v>0</v>
      </c>
      <c r="AG5501" s="182" t="n">
        <v>0</v>
      </c>
      <c r="AH5501" s="182" t="n">
        <v>0.71</v>
      </c>
      <c r="AI5501" s="182" t="n">
        <v>0</v>
      </c>
      <c r="AJ5501" s="182" t="n">
        <v>0</v>
      </c>
      <c r="AK5501" s="182" t="n">
        <v>0</v>
      </c>
      <c r="AL5501" s="182" t="n">
        <v>0</v>
      </c>
      <c r="AM5501" s="182" t="n">
        <v>0.09</v>
      </c>
      <c r="AN5501" s="182" t="n">
        <v>0</v>
      </c>
    </row>
    <row r="5502">
      <c r="A5502" s="155" t="n">
        <v>46107</v>
      </c>
      <c r="B5502" s="156" t="inlineStr">
        <is>
          <t>DS</t>
        </is>
      </c>
      <c r="C5502" s="156" t="inlineStr">
        <is>
          <t>DZ-034</t>
        </is>
      </c>
      <c r="D5502" s="156" t="inlineStr">
        <is>
          <t>D 68ESS-12EO</t>
        </is>
      </c>
      <c r="E5502" s="156" t="inlineStr">
        <is>
          <t>Bulldozer</t>
        </is>
      </c>
      <c r="F5502" s="156" t="inlineStr"/>
      <c r="G5502" s="182" t="n">
        <v>0</v>
      </c>
      <c r="H5502" s="182" t="n">
        <v>0</v>
      </c>
      <c r="I5502" s="182" t="n">
        <v>12</v>
      </c>
      <c r="J5502" s="182" t="n">
        <v>12</v>
      </c>
      <c r="K5502" s="182" t="n">
        <v>0</v>
      </c>
      <c r="L5502" s="182" t="n">
        <v>12</v>
      </c>
      <c r="M5502" s="182" t="n">
        <v>0</v>
      </c>
      <c r="N5502" s="182" t="n">
        <v>0</v>
      </c>
      <c r="O5502" s="183" t="n">
        <v>0</v>
      </c>
      <c r="P5502" s="183" t="n">
        <v>0</v>
      </c>
      <c r="Q5502" s="184" t="n">
        <v>0</v>
      </c>
      <c r="R5502" s="184" t="n">
        <v>0</v>
      </c>
      <c r="S5502" s="183" t="n">
        <v>0</v>
      </c>
      <c r="T5502" s="183" t="n">
        <v>0</v>
      </c>
      <c r="U5502" s="182" t="n">
        <v>0</v>
      </c>
      <c r="V5502" s="182" t="n">
        <v>0</v>
      </c>
      <c r="W5502" s="182" t="n">
        <v>0</v>
      </c>
      <c r="X5502" s="182" t="n">
        <v>0</v>
      </c>
      <c r="Y5502" s="182" t="n">
        <v>0</v>
      </c>
      <c r="Z5502" s="182" t="n">
        <v>0</v>
      </c>
      <c r="AA5502" s="182" t="n">
        <v>0</v>
      </c>
      <c r="AB5502" s="182" t="n">
        <v>0</v>
      </c>
      <c r="AC5502" s="182" t="n">
        <v>0</v>
      </c>
      <c r="AD5502" s="182" t="n">
        <v>0</v>
      </c>
      <c r="AE5502" s="182" t="n">
        <v>0</v>
      </c>
      <c r="AF5502" s="182" t="n">
        <v>0</v>
      </c>
      <c r="AG5502" s="182" t="n">
        <v>0</v>
      </c>
      <c r="AH5502" s="182" t="n">
        <v>0</v>
      </c>
      <c r="AI5502" s="182" t="n">
        <v>0</v>
      </c>
      <c r="AJ5502" s="182" t="n">
        <v>0</v>
      </c>
      <c r="AK5502" s="182" t="n">
        <v>0</v>
      </c>
      <c r="AL5502" s="182" t="n">
        <v>0</v>
      </c>
      <c r="AM5502" s="182" t="n">
        <v>0</v>
      </c>
      <c r="AN5502" s="182" t="n">
        <v>0</v>
      </c>
    </row>
    <row r="5503">
      <c r="A5503" s="155" t="n">
        <v>46107</v>
      </c>
      <c r="B5503" s="156" t="inlineStr">
        <is>
          <t>DS</t>
        </is>
      </c>
      <c r="C5503" s="156" t="inlineStr">
        <is>
          <t>DZ-033</t>
        </is>
      </c>
      <c r="D5503" s="156" t="inlineStr">
        <is>
          <t>D 375A-6R</t>
        </is>
      </c>
      <c r="E5503" s="156" t="inlineStr">
        <is>
          <t>Bulldozer</t>
        </is>
      </c>
      <c r="F5503" s="156" t="inlineStr">
        <is>
          <t>Support Disposal</t>
        </is>
      </c>
      <c r="G5503" s="182" t="n">
        <v>10.8</v>
      </c>
      <c r="H5503" s="182" t="n">
        <v>0</v>
      </c>
      <c r="I5503" s="182" t="n">
        <v>0</v>
      </c>
      <c r="J5503" s="182" t="n">
        <v>0</v>
      </c>
      <c r="K5503" s="182" t="n">
        <v>1.2</v>
      </c>
      <c r="L5503" s="182" t="n">
        <v>12</v>
      </c>
      <c r="M5503" s="182" t="n">
        <v>0</v>
      </c>
      <c r="N5503" s="182" t="n">
        <v>0</v>
      </c>
      <c r="O5503" s="183" t="n">
        <v>0</v>
      </c>
      <c r="P5503" s="183" t="n">
        <v>0</v>
      </c>
      <c r="Q5503" s="184" t="n">
        <v>0</v>
      </c>
      <c r="R5503" s="184" t="n">
        <v>0</v>
      </c>
      <c r="S5503" s="183" t="n">
        <v>0</v>
      </c>
      <c r="T5503" s="183" t="n">
        <v>0</v>
      </c>
      <c r="U5503" s="182" t="n">
        <v>0</v>
      </c>
      <c r="V5503" s="182" t="n">
        <v>0</v>
      </c>
      <c r="W5503" s="182" t="n">
        <v>0</v>
      </c>
      <c r="X5503" s="182" t="n">
        <v>1.1</v>
      </c>
      <c r="Y5503" s="182" t="n">
        <v>0</v>
      </c>
      <c r="Z5503" s="182" t="n">
        <v>0</v>
      </c>
      <c r="AA5503" s="182" t="n">
        <v>0</v>
      </c>
      <c r="AB5503" s="182" t="n">
        <v>0</v>
      </c>
      <c r="AC5503" s="182" t="n">
        <v>0</v>
      </c>
      <c r="AD5503" s="182" t="n">
        <v>0</v>
      </c>
      <c r="AE5503" s="182" t="n">
        <v>0</v>
      </c>
      <c r="AF5503" s="182" t="n">
        <v>0</v>
      </c>
      <c r="AG5503" s="182" t="n">
        <v>0</v>
      </c>
      <c r="AH5503" s="182" t="n">
        <v>0</v>
      </c>
      <c r="AI5503" s="182" t="n">
        <v>0</v>
      </c>
      <c r="AJ5503" s="182" t="n">
        <v>0</v>
      </c>
      <c r="AK5503" s="182" t="n">
        <v>0</v>
      </c>
      <c r="AL5503" s="182" t="n">
        <v>0</v>
      </c>
      <c r="AM5503" s="182" t="n">
        <v>0.1</v>
      </c>
      <c r="AN5503" s="182" t="n">
        <v>0</v>
      </c>
    </row>
    <row r="5504">
      <c r="A5504" s="155" t="n">
        <v>46107</v>
      </c>
      <c r="B5504" s="156" t="inlineStr">
        <is>
          <t>DS</t>
        </is>
      </c>
      <c r="C5504" s="156" t="inlineStr">
        <is>
          <t>DZ-038</t>
        </is>
      </c>
      <c r="D5504" s="156" t="inlineStr">
        <is>
          <t>D 85 ESS-2</t>
        </is>
      </c>
      <c r="E5504" s="156" t="inlineStr">
        <is>
          <t>Bulldozer</t>
        </is>
      </c>
      <c r="F5504" s="156" t="inlineStr">
        <is>
          <t>Support Disposal</t>
        </is>
      </c>
      <c r="G5504" s="182" t="n">
        <v>8.76</v>
      </c>
      <c r="H5504" s="182" t="n">
        <v>0</v>
      </c>
      <c r="I5504" s="182" t="n">
        <v>2.47</v>
      </c>
      <c r="J5504" s="182" t="n">
        <v>2.47</v>
      </c>
      <c r="K5504" s="182" t="n">
        <v>0.77</v>
      </c>
      <c r="L5504" s="182" t="n">
        <v>12</v>
      </c>
      <c r="M5504" s="182" t="n">
        <v>0</v>
      </c>
      <c r="N5504" s="182" t="n">
        <v>0</v>
      </c>
      <c r="O5504" s="183" t="n">
        <v>0</v>
      </c>
      <c r="P5504" s="183" t="n">
        <v>0</v>
      </c>
      <c r="Q5504" s="184" t="n">
        <v>0</v>
      </c>
      <c r="R5504" s="184" t="n">
        <v>0</v>
      </c>
      <c r="S5504" s="183" t="n">
        <v>0</v>
      </c>
      <c r="T5504" s="183" t="n">
        <v>0</v>
      </c>
      <c r="U5504" s="182" t="n">
        <v>0</v>
      </c>
      <c r="V5504" s="182" t="n">
        <v>0</v>
      </c>
      <c r="W5504" s="182" t="n">
        <v>0</v>
      </c>
      <c r="X5504" s="182" t="n">
        <v>0.7</v>
      </c>
      <c r="Y5504" s="182" t="n">
        <v>0</v>
      </c>
      <c r="Z5504" s="182" t="n">
        <v>0</v>
      </c>
      <c r="AA5504" s="182" t="n">
        <v>0</v>
      </c>
      <c r="AB5504" s="182" t="n">
        <v>0</v>
      </c>
      <c r="AC5504" s="182" t="n">
        <v>0</v>
      </c>
      <c r="AD5504" s="182" t="n">
        <v>0</v>
      </c>
      <c r="AE5504" s="182" t="n">
        <v>0</v>
      </c>
      <c r="AF5504" s="182" t="n">
        <v>0</v>
      </c>
      <c r="AG5504" s="182" t="n">
        <v>0</v>
      </c>
      <c r="AH5504" s="182" t="n">
        <v>0</v>
      </c>
      <c r="AI5504" s="182" t="n">
        <v>0</v>
      </c>
      <c r="AJ5504" s="182" t="n">
        <v>0</v>
      </c>
      <c r="AK5504" s="182" t="n">
        <v>0</v>
      </c>
      <c r="AL5504" s="182" t="n">
        <v>0</v>
      </c>
      <c r="AM5504" s="182" t="n">
        <v>0.07000000000000001</v>
      </c>
      <c r="AN5504" s="182" t="n">
        <v>0</v>
      </c>
    </row>
    <row r="5505">
      <c r="A5505" s="155" t="n">
        <v>46107</v>
      </c>
      <c r="B5505" s="156" t="inlineStr">
        <is>
          <t>DS</t>
        </is>
      </c>
      <c r="C5505" s="156" t="inlineStr">
        <is>
          <t>DZ-039</t>
        </is>
      </c>
      <c r="D5505" s="156" t="inlineStr">
        <is>
          <t>D 85 ESS-2</t>
        </is>
      </c>
      <c r="E5505" s="156" t="inlineStr">
        <is>
          <t>Bulldozer</t>
        </is>
      </c>
      <c r="F5505" s="156" t="inlineStr">
        <is>
          <t>Support Disposal</t>
        </is>
      </c>
      <c r="G5505" s="182" t="n">
        <v>10.24</v>
      </c>
      <c r="H5505" s="182" t="n">
        <v>0</v>
      </c>
      <c r="I5505" s="182" t="n">
        <v>0.85</v>
      </c>
      <c r="J5505" s="182" t="n">
        <v>0.85</v>
      </c>
      <c r="K5505" s="182" t="n">
        <v>0.91</v>
      </c>
      <c r="L5505" s="182" t="n">
        <v>12</v>
      </c>
      <c r="M5505" s="182" t="n">
        <v>0</v>
      </c>
      <c r="N5505" s="182" t="n">
        <v>0</v>
      </c>
      <c r="O5505" s="183" t="n">
        <v>0</v>
      </c>
      <c r="P5505" s="183" t="n">
        <v>0</v>
      </c>
      <c r="Q5505" s="184" t="n">
        <v>0</v>
      </c>
      <c r="R5505" s="184" t="n">
        <v>0</v>
      </c>
      <c r="S5505" s="183" t="n">
        <v>0</v>
      </c>
      <c r="T5505" s="183" t="n">
        <v>0</v>
      </c>
      <c r="U5505" s="182" t="n">
        <v>0</v>
      </c>
      <c r="V5505" s="182" t="n">
        <v>0</v>
      </c>
      <c r="W5505" s="182" t="n">
        <v>0</v>
      </c>
      <c r="X5505" s="182" t="n">
        <v>0.82</v>
      </c>
      <c r="Y5505" s="182" t="n">
        <v>0</v>
      </c>
      <c r="Z5505" s="182" t="n">
        <v>0</v>
      </c>
      <c r="AA5505" s="182" t="n">
        <v>0</v>
      </c>
      <c r="AB5505" s="182" t="n">
        <v>0</v>
      </c>
      <c r="AC5505" s="182" t="n">
        <v>0</v>
      </c>
      <c r="AD5505" s="182" t="n">
        <v>0</v>
      </c>
      <c r="AE5505" s="182" t="n">
        <v>0</v>
      </c>
      <c r="AF5505" s="182" t="n">
        <v>0</v>
      </c>
      <c r="AG5505" s="182" t="n">
        <v>0</v>
      </c>
      <c r="AH5505" s="182" t="n">
        <v>0</v>
      </c>
      <c r="AI5505" s="182" t="n">
        <v>0</v>
      </c>
      <c r="AJ5505" s="182" t="n">
        <v>0</v>
      </c>
      <c r="AK5505" s="182" t="n">
        <v>0</v>
      </c>
      <c r="AL5505" s="182" t="n">
        <v>0</v>
      </c>
      <c r="AM5505" s="182" t="n">
        <v>0.09</v>
      </c>
      <c r="AN5505" s="182" t="n">
        <v>0</v>
      </c>
    </row>
    <row r="5506">
      <c r="A5506" s="155" t="n">
        <v>46107</v>
      </c>
      <c r="B5506" s="156" t="inlineStr">
        <is>
          <t>DS</t>
        </is>
      </c>
      <c r="C5506" s="156" t="inlineStr">
        <is>
          <t>DZ-032</t>
        </is>
      </c>
      <c r="D5506" s="156" t="inlineStr">
        <is>
          <t>CAT</t>
        </is>
      </c>
      <c r="E5506" s="156" t="inlineStr">
        <is>
          <t>Bulldozer</t>
        </is>
      </c>
      <c r="F5506" s="156" t="inlineStr">
        <is>
          <t>Support Front Loading</t>
        </is>
      </c>
      <c r="G5506" s="182" t="n">
        <v>10.32</v>
      </c>
      <c r="H5506" s="182" t="n">
        <v>0</v>
      </c>
      <c r="I5506" s="182" t="n">
        <v>0</v>
      </c>
      <c r="J5506" s="182" t="n">
        <v>0</v>
      </c>
      <c r="K5506" s="182" t="n">
        <v>1.68</v>
      </c>
      <c r="L5506" s="182" t="n">
        <v>12</v>
      </c>
      <c r="M5506" s="182" t="n">
        <v>0</v>
      </c>
      <c r="N5506" s="182" t="n">
        <v>0</v>
      </c>
      <c r="O5506" s="183" t="n">
        <v>0</v>
      </c>
      <c r="P5506" s="183" t="n">
        <v>0</v>
      </c>
      <c r="Q5506" s="184" t="n">
        <v>0</v>
      </c>
      <c r="R5506" s="184" t="n">
        <v>0</v>
      </c>
      <c r="S5506" s="183" t="n">
        <v>0</v>
      </c>
      <c r="T5506" s="183" t="n">
        <v>0</v>
      </c>
      <c r="U5506" s="182" t="n">
        <v>0</v>
      </c>
      <c r="V5506" s="182" t="n">
        <v>0</v>
      </c>
      <c r="W5506" s="182" t="n">
        <v>0</v>
      </c>
      <c r="X5506" s="182" t="n">
        <v>1.12</v>
      </c>
      <c r="Y5506" s="182" t="n">
        <v>0</v>
      </c>
      <c r="Z5506" s="182" t="n">
        <v>0</v>
      </c>
      <c r="AA5506" s="182" t="n">
        <v>0</v>
      </c>
      <c r="AB5506" s="182" t="n">
        <v>0</v>
      </c>
      <c r="AC5506" s="182" t="n">
        <v>0</v>
      </c>
      <c r="AD5506" s="182" t="n">
        <v>0</v>
      </c>
      <c r="AE5506" s="182" t="n">
        <v>0</v>
      </c>
      <c r="AF5506" s="182" t="n">
        <v>0</v>
      </c>
      <c r="AG5506" s="182" t="n">
        <v>0</v>
      </c>
      <c r="AH5506" s="182" t="n">
        <v>0.47</v>
      </c>
      <c r="AI5506" s="182" t="n">
        <v>0</v>
      </c>
      <c r="AJ5506" s="182" t="n">
        <v>0</v>
      </c>
      <c r="AK5506" s="182" t="n">
        <v>0</v>
      </c>
      <c r="AL5506" s="182" t="n">
        <v>0</v>
      </c>
      <c r="AM5506" s="182" t="n">
        <v>0.09</v>
      </c>
      <c r="AN5506" s="182" t="n">
        <v>0</v>
      </c>
    </row>
    <row r="5507">
      <c r="A5507" s="155" t="n">
        <v>46107</v>
      </c>
      <c r="B5507" s="156" t="inlineStr">
        <is>
          <t>DS</t>
        </is>
      </c>
      <c r="C5507" s="156" t="inlineStr">
        <is>
          <t>DZ-031</t>
        </is>
      </c>
      <c r="D5507" s="156" t="inlineStr">
        <is>
          <t>CAT</t>
        </is>
      </c>
      <c r="E5507" s="156" t="inlineStr">
        <is>
          <t>Bulldozer</t>
        </is>
      </c>
      <c r="F5507" s="156" t="inlineStr"/>
      <c r="G5507" s="182" t="n">
        <v>0</v>
      </c>
      <c r="H5507" s="182" t="n">
        <v>10.28</v>
      </c>
      <c r="I5507" s="182" t="n">
        <v>0</v>
      </c>
      <c r="J5507" s="182" t="n">
        <v>10.28</v>
      </c>
      <c r="K5507" s="182" t="n">
        <v>1.72</v>
      </c>
      <c r="L5507" s="182" t="n">
        <v>12</v>
      </c>
      <c r="M5507" s="182" t="n">
        <v>0</v>
      </c>
      <c r="N5507" s="182" t="n">
        <v>0</v>
      </c>
      <c r="O5507" s="183" t="n">
        <v>0</v>
      </c>
      <c r="P5507" s="183" t="n">
        <v>0</v>
      </c>
      <c r="Q5507" s="184" t="n">
        <v>0</v>
      </c>
      <c r="R5507" s="184" t="n">
        <v>0</v>
      </c>
      <c r="S5507" s="183" t="n">
        <v>0</v>
      </c>
      <c r="T5507" s="183" t="n">
        <v>0</v>
      </c>
      <c r="U5507" s="182" t="n">
        <v>0</v>
      </c>
      <c r="V5507" s="182" t="n">
        <v>0</v>
      </c>
      <c r="W5507" s="182" t="n">
        <v>0</v>
      </c>
      <c r="X5507" s="182" t="n">
        <v>1</v>
      </c>
      <c r="Y5507" s="182" t="n">
        <v>0</v>
      </c>
      <c r="Z5507" s="182" t="n">
        <v>0</v>
      </c>
      <c r="AA5507" s="182" t="n">
        <v>0</v>
      </c>
      <c r="AB5507" s="182" t="n">
        <v>0</v>
      </c>
      <c r="AC5507" s="182" t="n">
        <v>0</v>
      </c>
      <c r="AD5507" s="182" t="n">
        <v>0</v>
      </c>
      <c r="AE5507" s="182" t="n">
        <v>0</v>
      </c>
      <c r="AF5507" s="182" t="n">
        <v>0</v>
      </c>
      <c r="AG5507" s="182" t="n">
        <v>0</v>
      </c>
      <c r="AH5507" s="182" t="n">
        <v>0.63</v>
      </c>
      <c r="AI5507" s="182" t="n">
        <v>0</v>
      </c>
      <c r="AJ5507" s="182" t="n">
        <v>0</v>
      </c>
      <c r="AK5507" s="182" t="n">
        <v>0</v>
      </c>
      <c r="AL5507" s="182" t="n">
        <v>0</v>
      </c>
      <c r="AM5507" s="182" t="n">
        <v>0.08</v>
      </c>
      <c r="AN5507" s="182" t="n">
        <v>0</v>
      </c>
    </row>
    <row r="5508">
      <c r="A5508" s="155" t="n">
        <v>46107</v>
      </c>
      <c r="B5508" s="156" t="inlineStr">
        <is>
          <t>DS</t>
        </is>
      </c>
      <c r="C5508" s="156" t="inlineStr">
        <is>
          <t>DZ-037</t>
        </is>
      </c>
      <c r="D5508" s="156" t="inlineStr">
        <is>
          <t>D 85 ESS-2</t>
        </is>
      </c>
      <c r="E5508" s="156" t="inlineStr">
        <is>
          <t>Bulldozer</t>
        </is>
      </c>
      <c r="F5508" s="156" t="inlineStr"/>
      <c r="G5508" s="182" t="n">
        <v>0</v>
      </c>
      <c r="H5508" s="182" t="n">
        <v>0</v>
      </c>
      <c r="I5508" s="182" t="n">
        <v>12</v>
      </c>
      <c r="J5508" s="182" t="n">
        <v>12</v>
      </c>
      <c r="K5508" s="182" t="n">
        <v>0</v>
      </c>
      <c r="L5508" s="182" t="n">
        <v>12</v>
      </c>
      <c r="M5508" s="182" t="n">
        <v>0</v>
      </c>
      <c r="N5508" s="182" t="n">
        <v>0</v>
      </c>
      <c r="O5508" s="183" t="n">
        <v>0</v>
      </c>
      <c r="P5508" s="183" t="n">
        <v>0</v>
      </c>
      <c r="Q5508" s="184" t="n">
        <v>0</v>
      </c>
      <c r="R5508" s="184" t="n">
        <v>0</v>
      </c>
      <c r="S5508" s="183" t="n">
        <v>0</v>
      </c>
      <c r="T5508" s="183" t="n">
        <v>0</v>
      </c>
      <c r="U5508" s="182" t="n">
        <v>0</v>
      </c>
      <c r="V5508" s="182" t="n">
        <v>0</v>
      </c>
      <c r="W5508" s="182" t="n">
        <v>0</v>
      </c>
      <c r="X5508" s="182" t="n">
        <v>0</v>
      </c>
      <c r="Y5508" s="182" t="n">
        <v>0</v>
      </c>
      <c r="Z5508" s="182" t="n">
        <v>0</v>
      </c>
      <c r="AA5508" s="182" t="n">
        <v>0</v>
      </c>
      <c r="AB5508" s="182" t="n">
        <v>0</v>
      </c>
      <c r="AC5508" s="182" t="n">
        <v>0</v>
      </c>
      <c r="AD5508" s="182" t="n">
        <v>0</v>
      </c>
      <c r="AE5508" s="182" t="n">
        <v>0</v>
      </c>
      <c r="AF5508" s="182" t="n">
        <v>0</v>
      </c>
      <c r="AG5508" s="182" t="n">
        <v>0</v>
      </c>
      <c r="AH5508" s="182" t="n">
        <v>0</v>
      </c>
      <c r="AI5508" s="182" t="n">
        <v>0</v>
      </c>
      <c r="AJ5508" s="182" t="n">
        <v>0</v>
      </c>
      <c r="AK5508" s="182" t="n">
        <v>0</v>
      </c>
      <c r="AL5508" s="182" t="n">
        <v>0</v>
      </c>
      <c r="AM5508" s="182" t="n">
        <v>0</v>
      </c>
      <c r="AN5508" s="182" t="n">
        <v>0</v>
      </c>
    </row>
    <row r="5509">
      <c r="A5509" s="155" t="n">
        <v>46107</v>
      </c>
      <c r="B5509" s="156" t="inlineStr">
        <is>
          <t>DS</t>
        </is>
      </c>
      <c r="C5509" s="156" t="inlineStr">
        <is>
          <t>DZ-036</t>
        </is>
      </c>
      <c r="D5509" s="156" t="inlineStr">
        <is>
          <t>D 85 ESS-2</t>
        </is>
      </c>
      <c r="E5509" s="156" t="inlineStr">
        <is>
          <t>Bulldozer</t>
        </is>
      </c>
      <c r="F5509" s="156" t="inlineStr"/>
      <c r="G5509" s="182" t="n">
        <v>0</v>
      </c>
      <c r="H5509" s="182" t="n">
        <v>0</v>
      </c>
      <c r="I5509" s="182" t="n">
        <v>0</v>
      </c>
      <c r="J5509" s="182" t="n">
        <v>0</v>
      </c>
      <c r="K5509" s="182" t="n">
        <v>12</v>
      </c>
      <c r="L5509" s="182" t="n">
        <v>12</v>
      </c>
      <c r="M5509" s="182" t="n">
        <v>0</v>
      </c>
      <c r="N5509" s="182" t="n">
        <v>0</v>
      </c>
      <c r="O5509" s="183" t="n">
        <v>0</v>
      </c>
      <c r="P5509" s="183" t="n">
        <v>0</v>
      </c>
      <c r="Q5509" s="184" t="n">
        <v>0</v>
      </c>
      <c r="R5509" s="184" t="n">
        <v>0</v>
      </c>
      <c r="S5509" s="183" t="n">
        <v>0</v>
      </c>
      <c r="T5509" s="183" t="n">
        <v>0</v>
      </c>
      <c r="U5509" s="182" t="n">
        <v>0</v>
      </c>
      <c r="V5509" s="182" t="n">
        <v>0</v>
      </c>
      <c r="W5509" s="182" t="n">
        <v>0</v>
      </c>
      <c r="X5509" s="182" t="n">
        <v>1</v>
      </c>
      <c r="Y5509" s="182" t="n">
        <v>0</v>
      </c>
      <c r="Z5509" s="182" t="n">
        <v>0</v>
      </c>
      <c r="AA5509" s="182" t="n">
        <v>0</v>
      </c>
      <c r="AB5509" s="182" t="n">
        <v>0</v>
      </c>
      <c r="AC5509" s="182" t="n">
        <v>0</v>
      </c>
      <c r="AD5509" s="182" t="n">
        <v>0</v>
      </c>
      <c r="AE5509" s="182" t="n">
        <v>0</v>
      </c>
      <c r="AF5509" s="182" t="n">
        <v>0</v>
      </c>
      <c r="AG5509" s="182" t="n">
        <v>0</v>
      </c>
      <c r="AH5509" s="182" t="n">
        <v>0</v>
      </c>
      <c r="AI5509" s="182" t="n">
        <v>0</v>
      </c>
      <c r="AJ5509" s="182" t="n">
        <v>0</v>
      </c>
      <c r="AK5509" s="182" t="n">
        <v>10.92</v>
      </c>
      <c r="AL5509" s="182" t="n">
        <v>0</v>
      </c>
      <c r="AM5509" s="182" t="n">
        <v>0.08</v>
      </c>
      <c r="AN5509" s="182" t="n">
        <v>0</v>
      </c>
    </row>
    <row r="5510">
      <c r="A5510" s="155" t="n">
        <v>46107</v>
      </c>
      <c r="B5510" s="156" t="inlineStr">
        <is>
          <t>DS</t>
        </is>
      </c>
      <c r="C5510" s="156" t="inlineStr">
        <is>
          <t>DZ-035</t>
        </is>
      </c>
      <c r="D5510" s="156" t="inlineStr">
        <is>
          <t>D 85 ESS-2</t>
        </is>
      </c>
      <c r="E5510" s="156" t="inlineStr">
        <is>
          <t>Bulldozer</t>
        </is>
      </c>
      <c r="F5510" s="156" t="inlineStr">
        <is>
          <t>Support Front Loading</t>
        </is>
      </c>
      <c r="G5510" s="182" t="n">
        <v>8.67</v>
      </c>
      <c r="H5510" s="182" t="n">
        <v>0</v>
      </c>
      <c r="I5510" s="182" t="n">
        <v>1.33</v>
      </c>
      <c r="J5510" s="182" t="n">
        <v>1.33</v>
      </c>
      <c r="K5510" s="182" t="n">
        <v>2</v>
      </c>
      <c r="L5510" s="182" t="n">
        <v>12</v>
      </c>
      <c r="M5510" s="182" t="n">
        <v>0</v>
      </c>
      <c r="N5510" s="182" t="n">
        <v>0</v>
      </c>
      <c r="O5510" s="183" t="n">
        <v>0</v>
      </c>
      <c r="P5510" s="183" t="n">
        <v>0</v>
      </c>
      <c r="Q5510" s="184" t="n">
        <v>0</v>
      </c>
      <c r="R5510" s="184" t="n">
        <v>0</v>
      </c>
      <c r="S5510" s="183" t="n">
        <v>0</v>
      </c>
      <c r="T5510" s="183" t="n">
        <v>0</v>
      </c>
      <c r="U5510" s="182" t="n">
        <v>0</v>
      </c>
      <c r="V5510" s="182" t="n">
        <v>0</v>
      </c>
      <c r="W5510" s="182" t="n">
        <v>0</v>
      </c>
      <c r="X5510" s="182" t="n">
        <v>1.27</v>
      </c>
      <c r="Y5510" s="182" t="n">
        <v>0</v>
      </c>
      <c r="Z5510" s="182" t="n">
        <v>0</v>
      </c>
      <c r="AA5510" s="182" t="n">
        <v>0</v>
      </c>
      <c r="AB5510" s="182" t="n">
        <v>0</v>
      </c>
      <c r="AC5510" s="182" t="n">
        <v>0</v>
      </c>
      <c r="AD5510" s="182" t="n">
        <v>0</v>
      </c>
      <c r="AE5510" s="182" t="n">
        <v>0</v>
      </c>
      <c r="AF5510" s="182" t="n">
        <v>0</v>
      </c>
      <c r="AG5510" s="182" t="n">
        <v>0</v>
      </c>
      <c r="AH5510" s="182" t="n">
        <v>0.61</v>
      </c>
      <c r="AI5510" s="182" t="n">
        <v>0</v>
      </c>
      <c r="AJ5510" s="182" t="n">
        <v>0</v>
      </c>
      <c r="AK5510" s="182" t="n">
        <v>0</v>
      </c>
      <c r="AL5510" s="182" t="n">
        <v>0</v>
      </c>
      <c r="AM5510" s="182" t="n">
        <v>0.1</v>
      </c>
      <c r="AN5510" s="182" t="n">
        <v>0</v>
      </c>
    </row>
    <row r="5511">
      <c r="A5511" s="155" t="n">
        <v>46107</v>
      </c>
      <c r="B5511" s="156" t="inlineStr">
        <is>
          <t>DS</t>
        </is>
      </c>
      <c r="C5511" s="156" t="inlineStr">
        <is>
          <t>CP-042</t>
        </is>
      </c>
      <c r="D5511" s="156" t="inlineStr">
        <is>
          <t>SANY - Compactor</t>
        </is>
      </c>
      <c r="E5511" s="156" t="inlineStr">
        <is>
          <t>Compactor</t>
        </is>
      </c>
      <c r="F5511" s="156" t="inlineStr">
        <is>
          <t>General Jetty</t>
        </is>
      </c>
      <c r="G5511" s="182" t="n">
        <v>3.95</v>
      </c>
      <c r="H5511" s="182" t="n">
        <v>0</v>
      </c>
      <c r="I5511" s="182" t="n">
        <v>0</v>
      </c>
      <c r="J5511" s="182" t="n">
        <v>0</v>
      </c>
      <c r="K5511" s="182" t="n">
        <v>8.050000000000001</v>
      </c>
      <c r="L5511" s="182" t="n">
        <v>12</v>
      </c>
      <c r="M5511" s="182" t="n">
        <v>0</v>
      </c>
      <c r="N5511" s="182" t="n">
        <v>0</v>
      </c>
      <c r="O5511" s="183" t="n">
        <v>0</v>
      </c>
      <c r="P5511" s="183" t="n">
        <v>0</v>
      </c>
      <c r="Q5511" s="184" t="n">
        <v>0</v>
      </c>
      <c r="R5511" s="184" t="n">
        <v>0</v>
      </c>
      <c r="S5511" s="183" t="n">
        <v>0</v>
      </c>
      <c r="T5511" s="183" t="n">
        <v>0</v>
      </c>
      <c r="U5511" s="182" t="n">
        <v>0</v>
      </c>
      <c r="V5511" s="182" t="n">
        <v>0</v>
      </c>
      <c r="W5511" s="182" t="n">
        <v>0</v>
      </c>
      <c r="X5511" s="182" t="n">
        <v>1.02</v>
      </c>
      <c r="Y5511" s="182" t="n">
        <v>0</v>
      </c>
      <c r="Z5511" s="182" t="n">
        <v>0</v>
      </c>
      <c r="AA5511" s="182" t="n">
        <v>0</v>
      </c>
      <c r="AB5511" s="182" t="n">
        <v>0</v>
      </c>
      <c r="AC5511" s="182" t="n">
        <v>0</v>
      </c>
      <c r="AD5511" s="182" t="n">
        <v>0</v>
      </c>
      <c r="AE5511" s="182" t="n">
        <v>0</v>
      </c>
      <c r="AF5511" s="182" t="n">
        <v>0</v>
      </c>
      <c r="AG5511" s="182" t="n">
        <v>0</v>
      </c>
      <c r="AH5511" s="182" t="n">
        <v>0</v>
      </c>
      <c r="AI5511" s="182" t="n">
        <v>0</v>
      </c>
      <c r="AJ5511" s="182" t="n">
        <v>0</v>
      </c>
      <c r="AK5511" s="182" t="n">
        <v>6.95</v>
      </c>
      <c r="AL5511" s="182" t="n">
        <v>0</v>
      </c>
      <c r="AM5511" s="182" t="n">
        <v>0.08</v>
      </c>
      <c r="AN5511" s="182" t="n">
        <v>0</v>
      </c>
    </row>
    <row r="5512">
      <c r="A5512" s="155" t="n">
        <v>46107</v>
      </c>
      <c r="B5512" s="156" t="inlineStr">
        <is>
          <t>DS</t>
        </is>
      </c>
      <c r="C5512" s="156" t="inlineStr">
        <is>
          <t>CP-041</t>
        </is>
      </c>
      <c r="D5512" s="156" t="inlineStr">
        <is>
          <t>SANY - Compactor</t>
        </is>
      </c>
      <c r="E5512" s="156" t="inlineStr">
        <is>
          <t>Compactor</t>
        </is>
      </c>
      <c r="F5512" s="156" t="inlineStr">
        <is>
          <t>General Road</t>
        </is>
      </c>
      <c r="G5512" s="182" t="n">
        <v>9.06</v>
      </c>
      <c r="H5512" s="182" t="n">
        <v>0</v>
      </c>
      <c r="I5512" s="182" t="n">
        <v>0.17</v>
      </c>
      <c r="J5512" s="182" t="n">
        <v>0.17</v>
      </c>
      <c r="K5512" s="182" t="n">
        <v>2.77</v>
      </c>
      <c r="L5512" s="182" t="n">
        <v>12</v>
      </c>
      <c r="M5512" s="182" t="n">
        <v>0</v>
      </c>
      <c r="N5512" s="182" t="n">
        <v>0</v>
      </c>
      <c r="O5512" s="183" t="n">
        <v>0</v>
      </c>
      <c r="P5512" s="183" t="n">
        <v>0</v>
      </c>
      <c r="Q5512" s="184" t="n">
        <v>0</v>
      </c>
      <c r="R5512" s="184" t="n">
        <v>0</v>
      </c>
      <c r="S5512" s="183" t="n">
        <v>0</v>
      </c>
      <c r="T5512" s="183" t="n">
        <v>0</v>
      </c>
      <c r="U5512" s="182" t="n">
        <v>0</v>
      </c>
      <c r="V5512" s="182" t="n">
        <v>0</v>
      </c>
      <c r="W5512" s="182" t="n">
        <v>0</v>
      </c>
      <c r="X5512" s="182" t="n">
        <v>0.98</v>
      </c>
      <c r="Y5512" s="182" t="n">
        <v>0</v>
      </c>
      <c r="Z5512" s="182" t="n">
        <v>0</v>
      </c>
      <c r="AA5512" s="182" t="n">
        <v>0</v>
      </c>
      <c r="AB5512" s="182" t="n">
        <v>0</v>
      </c>
      <c r="AC5512" s="182" t="n">
        <v>0</v>
      </c>
      <c r="AD5512" s="182" t="n">
        <v>0</v>
      </c>
      <c r="AE5512" s="182" t="n">
        <v>0</v>
      </c>
      <c r="AF5512" s="182" t="n">
        <v>0</v>
      </c>
      <c r="AG5512" s="182" t="n">
        <v>0</v>
      </c>
      <c r="AH5512" s="182" t="n">
        <v>0</v>
      </c>
      <c r="AI5512" s="182" t="n">
        <v>0</v>
      </c>
      <c r="AJ5512" s="182" t="n">
        <v>0</v>
      </c>
      <c r="AK5512" s="182" t="n">
        <v>1.71</v>
      </c>
      <c r="AL5512" s="182" t="n">
        <v>0</v>
      </c>
      <c r="AM5512" s="182" t="n">
        <v>0.08</v>
      </c>
      <c r="AN5512" s="182" t="n">
        <v>0</v>
      </c>
    </row>
    <row r="5513">
      <c r="A5513" s="155" t="n">
        <v>46107</v>
      </c>
      <c r="B5513" s="156" t="inlineStr">
        <is>
          <t>DS</t>
        </is>
      </c>
      <c r="C5513" s="156" t="inlineStr">
        <is>
          <t>HT-418</t>
        </is>
      </c>
      <c r="D5513" s="156" t="inlineStr">
        <is>
          <t>SY430</t>
        </is>
      </c>
      <c r="E5513" s="156" t="inlineStr">
        <is>
          <t>DT Hauling</t>
        </is>
      </c>
      <c r="F5513" s="156" t="inlineStr"/>
      <c r="G5513" s="182" t="n">
        <v>0</v>
      </c>
      <c r="H5513" s="182" t="n">
        <v>0</v>
      </c>
      <c r="I5513" s="182" t="n">
        <v>0</v>
      </c>
      <c r="J5513" s="182" t="n">
        <v>0</v>
      </c>
      <c r="K5513" s="182" t="n">
        <v>12</v>
      </c>
      <c r="L5513" s="182" t="n">
        <v>12</v>
      </c>
      <c r="M5513" s="182" t="n">
        <v>0</v>
      </c>
      <c r="N5513" s="182" t="n">
        <v>0</v>
      </c>
      <c r="O5513" s="183" t="n">
        <v>0</v>
      </c>
      <c r="P5513" s="183" t="n">
        <v>0</v>
      </c>
      <c r="Q5513" s="184" t="n">
        <v>0</v>
      </c>
      <c r="R5513" s="184" t="n">
        <v>0</v>
      </c>
      <c r="S5513" s="183" t="n">
        <v>0</v>
      </c>
      <c r="T5513" s="183" t="n">
        <v>0</v>
      </c>
      <c r="U5513" s="182" t="n">
        <v>0</v>
      </c>
      <c r="V5513" s="182" t="n">
        <v>0</v>
      </c>
      <c r="W5513" s="182" t="n">
        <v>0</v>
      </c>
      <c r="X5513" s="182" t="n">
        <v>1</v>
      </c>
      <c r="Y5513" s="182" t="n">
        <v>0</v>
      </c>
      <c r="Z5513" s="182" t="n">
        <v>0</v>
      </c>
      <c r="AA5513" s="182" t="n">
        <v>0</v>
      </c>
      <c r="AB5513" s="182" t="n">
        <v>0</v>
      </c>
      <c r="AC5513" s="182" t="n">
        <v>0</v>
      </c>
      <c r="AD5513" s="182" t="n">
        <v>0</v>
      </c>
      <c r="AE5513" s="182" t="n">
        <v>0</v>
      </c>
      <c r="AF5513" s="182" t="n">
        <v>0</v>
      </c>
      <c r="AG5513" s="182" t="n">
        <v>0</v>
      </c>
      <c r="AH5513" s="182" t="n">
        <v>0</v>
      </c>
      <c r="AI5513" s="182" t="n">
        <v>0</v>
      </c>
      <c r="AJ5513" s="182" t="n">
        <v>0</v>
      </c>
      <c r="AK5513" s="182" t="n">
        <v>10.92</v>
      </c>
      <c r="AL5513" s="182" t="n">
        <v>0</v>
      </c>
      <c r="AM5513" s="182" t="n">
        <v>0.08</v>
      </c>
      <c r="AN5513" s="182" t="n">
        <v>0</v>
      </c>
    </row>
    <row r="5514">
      <c r="A5514" s="155" t="n">
        <v>46107</v>
      </c>
      <c r="B5514" s="156" t="inlineStr">
        <is>
          <t>DS</t>
        </is>
      </c>
      <c r="C5514" s="156" t="inlineStr">
        <is>
          <t>HT-404</t>
        </is>
      </c>
      <c r="D5514" s="156" t="inlineStr">
        <is>
          <t>SY430</t>
        </is>
      </c>
      <c r="E5514" s="156" t="inlineStr">
        <is>
          <t>DT Hauling</t>
        </is>
      </c>
      <c r="F5514" s="156" t="inlineStr"/>
      <c r="G5514" s="182" t="n">
        <v>0</v>
      </c>
      <c r="H5514" s="182" t="n">
        <v>0</v>
      </c>
      <c r="I5514" s="182" t="n">
        <v>0</v>
      </c>
      <c r="J5514" s="182" t="n">
        <v>0</v>
      </c>
      <c r="K5514" s="182" t="n">
        <v>12</v>
      </c>
      <c r="L5514" s="182" t="n">
        <v>12</v>
      </c>
      <c r="M5514" s="182" t="n">
        <v>0</v>
      </c>
      <c r="N5514" s="182" t="n">
        <v>0</v>
      </c>
      <c r="O5514" s="183" t="n">
        <v>0</v>
      </c>
      <c r="P5514" s="183" t="n">
        <v>0</v>
      </c>
      <c r="Q5514" s="184" t="n">
        <v>0</v>
      </c>
      <c r="R5514" s="184" t="n">
        <v>0</v>
      </c>
      <c r="S5514" s="183" t="n">
        <v>0</v>
      </c>
      <c r="T5514" s="183" t="n">
        <v>0</v>
      </c>
      <c r="U5514" s="182" t="n">
        <v>0</v>
      </c>
      <c r="V5514" s="182" t="n">
        <v>0</v>
      </c>
      <c r="W5514" s="182" t="n">
        <v>0</v>
      </c>
      <c r="X5514" s="182" t="n">
        <v>1</v>
      </c>
      <c r="Y5514" s="182" t="n">
        <v>0</v>
      </c>
      <c r="Z5514" s="182" t="n">
        <v>0</v>
      </c>
      <c r="AA5514" s="182" t="n">
        <v>0</v>
      </c>
      <c r="AB5514" s="182" t="n">
        <v>0</v>
      </c>
      <c r="AC5514" s="182" t="n">
        <v>0</v>
      </c>
      <c r="AD5514" s="182" t="n">
        <v>0</v>
      </c>
      <c r="AE5514" s="182" t="n">
        <v>0</v>
      </c>
      <c r="AF5514" s="182" t="n">
        <v>0</v>
      </c>
      <c r="AG5514" s="182" t="n">
        <v>0</v>
      </c>
      <c r="AH5514" s="182" t="n">
        <v>0</v>
      </c>
      <c r="AI5514" s="182" t="n">
        <v>0</v>
      </c>
      <c r="AJ5514" s="182" t="n">
        <v>0</v>
      </c>
      <c r="AK5514" s="182" t="n">
        <v>10.92</v>
      </c>
      <c r="AL5514" s="182" t="n">
        <v>0</v>
      </c>
      <c r="AM5514" s="182" t="n">
        <v>0.08</v>
      </c>
      <c r="AN5514" s="182" t="n">
        <v>0</v>
      </c>
    </row>
    <row r="5515">
      <c r="A5515" s="155" t="n">
        <v>46107</v>
      </c>
      <c r="B5515" s="156" t="inlineStr">
        <is>
          <t>DS</t>
        </is>
      </c>
      <c r="C5515" s="156" t="inlineStr">
        <is>
          <t>HT-415</t>
        </is>
      </c>
      <c r="D5515" s="156" t="inlineStr">
        <is>
          <t>SY430</t>
        </is>
      </c>
      <c r="E5515" s="156" t="inlineStr">
        <is>
          <t>DT Hauling</t>
        </is>
      </c>
      <c r="F5515" s="156" t="inlineStr"/>
      <c r="G5515" s="182" t="n">
        <v>0</v>
      </c>
      <c r="H5515" s="182" t="n">
        <v>0</v>
      </c>
      <c r="I5515" s="182" t="n">
        <v>12</v>
      </c>
      <c r="J5515" s="182" t="n">
        <v>12</v>
      </c>
      <c r="K5515" s="182" t="n">
        <v>0</v>
      </c>
      <c r="L5515" s="182" t="n">
        <v>12</v>
      </c>
      <c r="M5515" s="182" t="n">
        <v>0</v>
      </c>
      <c r="N5515" s="182" t="n">
        <v>0</v>
      </c>
      <c r="O5515" s="183" t="n">
        <v>0</v>
      </c>
      <c r="P5515" s="183" t="n">
        <v>0</v>
      </c>
      <c r="Q5515" s="184" t="n">
        <v>0</v>
      </c>
      <c r="R5515" s="184" t="n">
        <v>0</v>
      </c>
      <c r="S5515" s="183" t="n">
        <v>0</v>
      </c>
      <c r="T5515" s="183" t="n">
        <v>0</v>
      </c>
      <c r="U5515" s="182" t="n">
        <v>0</v>
      </c>
      <c r="V5515" s="182" t="n">
        <v>0</v>
      </c>
      <c r="W5515" s="182" t="n">
        <v>0</v>
      </c>
      <c r="X5515" s="182" t="n">
        <v>0</v>
      </c>
      <c r="Y5515" s="182" t="n">
        <v>0</v>
      </c>
      <c r="Z5515" s="182" t="n">
        <v>0</v>
      </c>
      <c r="AA5515" s="182" t="n">
        <v>0</v>
      </c>
      <c r="AB5515" s="182" t="n">
        <v>0</v>
      </c>
      <c r="AC5515" s="182" t="n">
        <v>0</v>
      </c>
      <c r="AD5515" s="182" t="n">
        <v>0</v>
      </c>
      <c r="AE5515" s="182" t="n">
        <v>0</v>
      </c>
      <c r="AF5515" s="182" t="n">
        <v>0</v>
      </c>
      <c r="AG5515" s="182" t="n">
        <v>0</v>
      </c>
      <c r="AH5515" s="182" t="n">
        <v>0</v>
      </c>
      <c r="AI5515" s="182" t="n">
        <v>0</v>
      </c>
      <c r="AJ5515" s="182" t="n">
        <v>0</v>
      </c>
      <c r="AK5515" s="182" t="n">
        <v>0</v>
      </c>
      <c r="AL5515" s="182" t="n">
        <v>0</v>
      </c>
      <c r="AM5515" s="182" t="n">
        <v>0</v>
      </c>
      <c r="AN5515" s="182" t="n">
        <v>0</v>
      </c>
    </row>
    <row r="5516">
      <c r="A5516" s="155" t="n">
        <v>46107</v>
      </c>
      <c r="B5516" s="156" t="inlineStr">
        <is>
          <t>DS</t>
        </is>
      </c>
      <c r="C5516" s="156" t="inlineStr">
        <is>
          <t>HT-406</t>
        </is>
      </c>
      <c r="D5516" s="156" t="inlineStr">
        <is>
          <t>SY430</t>
        </is>
      </c>
      <c r="E5516" s="156" t="inlineStr">
        <is>
          <t>DT Hauling</t>
        </is>
      </c>
      <c r="F5516" s="156" t="inlineStr"/>
      <c r="G5516" s="182" t="n">
        <v>0</v>
      </c>
      <c r="H5516" s="182" t="n">
        <v>0</v>
      </c>
      <c r="I5516" s="182" t="n">
        <v>0</v>
      </c>
      <c r="J5516" s="182" t="n">
        <v>0</v>
      </c>
      <c r="K5516" s="182" t="n">
        <v>12</v>
      </c>
      <c r="L5516" s="182" t="n">
        <v>12</v>
      </c>
      <c r="M5516" s="182" t="n">
        <v>0</v>
      </c>
      <c r="N5516" s="182" t="n">
        <v>0</v>
      </c>
      <c r="O5516" s="183" t="n">
        <v>0</v>
      </c>
      <c r="P5516" s="183" t="n">
        <v>0</v>
      </c>
      <c r="Q5516" s="184" t="n">
        <v>0</v>
      </c>
      <c r="R5516" s="184" t="n">
        <v>0</v>
      </c>
      <c r="S5516" s="183" t="n">
        <v>0</v>
      </c>
      <c r="T5516" s="183" t="n">
        <v>0</v>
      </c>
      <c r="U5516" s="182" t="n">
        <v>0</v>
      </c>
      <c r="V5516" s="182" t="n">
        <v>0</v>
      </c>
      <c r="W5516" s="182" t="n">
        <v>0</v>
      </c>
      <c r="X5516" s="182" t="n">
        <v>1</v>
      </c>
      <c r="Y5516" s="182" t="n">
        <v>0</v>
      </c>
      <c r="Z5516" s="182" t="n">
        <v>0</v>
      </c>
      <c r="AA5516" s="182" t="n">
        <v>0</v>
      </c>
      <c r="AB5516" s="182" t="n">
        <v>0</v>
      </c>
      <c r="AC5516" s="182" t="n">
        <v>0</v>
      </c>
      <c r="AD5516" s="182" t="n">
        <v>0</v>
      </c>
      <c r="AE5516" s="182" t="n">
        <v>0</v>
      </c>
      <c r="AF5516" s="182" t="n">
        <v>0</v>
      </c>
      <c r="AG5516" s="182" t="n">
        <v>0</v>
      </c>
      <c r="AH5516" s="182" t="n">
        <v>0</v>
      </c>
      <c r="AI5516" s="182" t="n">
        <v>0</v>
      </c>
      <c r="AJ5516" s="182" t="n">
        <v>0</v>
      </c>
      <c r="AK5516" s="182" t="n">
        <v>10.92</v>
      </c>
      <c r="AL5516" s="182" t="n">
        <v>0</v>
      </c>
      <c r="AM5516" s="182" t="n">
        <v>0.08</v>
      </c>
      <c r="AN5516" s="182" t="n">
        <v>0</v>
      </c>
    </row>
    <row r="5517">
      <c r="A5517" s="155" t="n">
        <v>46107</v>
      </c>
      <c r="B5517" s="156" t="inlineStr">
        <is>
          <t>DS</t>
        </is>
      </c>
      <c r="C5517" s="156" t="inlineStr">
        <is>
          <t>HT-405</t>
        </is>
      </c>
      <c r="D5517" s="156" t="inlineStr">
        <is>
          <t>SY430</t>
        </is>
      </c>
      <c r="E5517" s="156" t="inlineStr">
        <is>
          <t>DT Hauling</t>
        </is>
      </c>
      <c r="F5517" s="156" t="inlineStr"/>
      <c r="G5517" s="182" t="n">
        <v>0</v>
      </c>
      <c r="H5517" s="182" t="n">
        <v>0</v>
      </c>
      <c r="I5517" s="182" t="n">
        <v>12</v>
      </c>
      <c r="J5517" s="182" t="n">
        <v>12</v>
      </c>
      <c r="K5517" s="182" t="n">
        <v>0</v>
      </c>
      <c r="L5517" s="182" t="n">
        <v>12</v>
      </c>
      <c r="M5517" s="182" t="n">
        <v>0</v>
      </c>
      <c r="N5517" s="182" t="n">
        <v>0</v>
      </c>
      <c r="O5517" s="183" t="n">
        <v>0</v>
      </c>
      <c r="P5517" s="183" t="n">
        <v>0</v>
      </c>
      <c r="Q5517" s="184" t="n">
        <v>0</v>
      </c>
      <c r="R5517" s="184" t="n">
        <v>0</v>
      </c>
      <c r="S5517" s="183" t="n">
        <v>0</v>
      </c>
      <c r="T5517" s="183" t="n">
        <v>0</v>
      </c>
      <c r="U5517" s="182" t="n">
        <v>0</v>
      </c>
      <c r="V5517" s="182" t="n">
        <v>0</v>
      </c>
      <c r="W5517" s="182" t="n">
        <v>0</v>
      </c>
      <c r="X5517" s="182" t="n">
        <v>0</v>
      </c>
      <c r="Y5517" s="182" t="n">
        <v>0</v>
      </c>
      <c r="Z5517" s="182" t="n">
        <v>0</v>
      </c>
      <c r="AA5517" s="182" t="n">
        <v>0</v>
      </c>
      <c r="AB5517" s="182" t="n">
        <v>0</v>
      </c>
      <c r="AC5517" s="182" t="n">
        <v>0</v>
      </c>
      <c r="AD5517" s="182" t="n">
        <v>0</v>
      </c>
      <c r="AE5517" s="182" t="n">
        <v>0</v>
      </c>
      <c r="AF5517" s="182" t="n">
        <v>0</v>
      </c>
      <c r="AG5517" s="182" t="n">
        <v>0</v>
      </c>
      <c r="AH5517" s="182" t="n">
        <v>0</v>
      </c>
      <c r="AI5517" s="182" t="n">
        <v>0</v>
      </c>
      <c r="AJ5517" s="182" t="n">
        <v>0</v>
      </c>
      <c r="AK5517" s="182" t="n">
        <v>0</v>
      </c>
      <c r="AL5517" s="182" t="n">
        <v>0</v>
      </c>
      <c r="AM5517" s="182" t="n">
        <v>0</v>
      </c>
      <c r="AN5517" s="182" t="n">
        <v>0</v>
      </c>
    </row>
    <row r="5518">
      <c r="A5518" s="155" t="n">
        <v>46107</v>
      </c>
      <c r="B5518" s="156" t="inlineStr">
        <is>
          <t>DS</t>
        </is>
      </c>
      <c r="C5518" s="156" t="inlineStr">
        <is>
          <t>HT-417</t>
        </is>
      </c>
      <c r="D5518" s="156" t="inlineStr">
        <is>
          <t>SY430</t>
        </is>
      </c>
      <c r="E5518" s="156" t="inlineStr">
        <is>
          <t>DT Hauling</t>
        </is>
      </c>
      <c r="F5518" s="156" t="inlineStr"/>
      <c r="G5518" s="182" t="n">
        <v>0</v>
      </c>
      <c r="H5518" s="182" t="n">
        <v>0</v>
      </c>
      <c r="I5518" s="182" t="n">
        <v>0</v>
      </c>
      <c r="J5518" s="182" t="n">
        <v>0</v>
      </c>
      <c r="K5518" s="182" t="n">
        <v>12</v>
      </c>
      <c r="L5518" s="182" t="n">
        <v>12</v>
      </c>
      <c r="M5518" s="182" t="n">
        <v>0</v>
      </c>
      <c r="N5518" s="182" t="n">
        <v>0</v>
      </c>
      <c r="O5518" s="183" t="n">
        <v>0</v>
      </c>
      <c r="P5518" s="183" t="n">
        <v>0</v>
      </c>
      <c r="Q5518" s="184" t="n">
        <v>0</v>
      </c>
      <c r="R5518" s="184" t="n">
        <v>0</v>
      </c>
      <c r="S5518" s="183" t="n">
        <v>0</v>
      </c>
      <c r="T5518" s="183" t="n">
        <v>0</v>
      </c>
      <c r="U5518" s="182" t="n">
        <v>0</v>
      </c>
      <c r="V5518" s="182" t="n">
        <v>0</v>
      </c>
      <c r="W5518" s="182" t="n">
        <v>0</v>
      </c>
      <c r="X5518" s="182" t="n">
        <v>1</v>
      </c>
      <c r="Y5518" s="182" t="n">
        <v>0</v>
      </c>
      <c r="Z5518" s="182" t="n">
        <v>0</v>
      </c>
      <c r="AA5518" s="182" t="n">
        <v>0</v>
      </c>
      <c r="AB5518" s="182" t="n">
        <v>0</v>
      </c>
      <c r="AC5518" s="182" t="n">
        <v>0</v>
      </c>
      <c r="AD5518" s="182" t="n">
        <v>0</v>
      </c>
      <c r="AE5518" s="182" t="n">
        <v>0</v>
      </c>
      <c r="AF5518" s="182" t="n">
        <v>0</v>
      </c>
      <c r="AG5518" s="182" t="n">
        <v>0</v>
      </c>
      <c r="AH5518" s="182" t="n">
        <v>0</v>
      </c>
      <c r="AI5518" s="182" t="n">
        <v>0</v>
      </c>
      <c r="AJ5518" s="182" t="n">
        <v>0</v>
      </c>
      <c r="AK5518" s="182" t="n">
        <v>10.92</v>
      </c>
      <c r="AL5518" s="182" t="n">
        <v>0</v>
      </c>
      <c r="AM5518" s="182" t="n">
        <v>0.08</v>
      </c>
      <c r="AN5518" s="182" t="n">
        <v>0</v>
      </c>
    </row>
    <row r="5519">
      <c r="A5519" s="155" t="n">
        <v>46107</v>
      </c>
      <c r="B5519" s="156" t="inlineStr">
        <is>
          <t>DS</t>
        </is>
      </c>
      <c r="C5519" s="156" t="inlineStr">
        <is>
          <t>HT-401</t>
        </is>
      </c>
      <c r="D5519" s="156" t="inlineStr">
        <is>
          <t>SY430</t>
        </is>
      </c>
      <c r="E5519" s="156" t="inlineStr">
        <is>
          <t>DT Hauling</t>
        </is>
      </c>
      <c r="F5519" s="156" t="inlineStr"/>
      <c r="G5519" s="182" t="n">
        <v>0</v>
      </c>
      <c r="H5519" s="182" t="n">
        <v>0</v>
      </c>
      <c r="I5519" s="182" t="n">
        <v>0</v>
      </c>
      <c r="J5519" s="182" t="n">
        <v>0</v>
      </c>
      <c r="K5519" s="182" t="n">
        <v>12</v>
      </c>
      <c r="L5519" s="182" t="n">
        <v>12</v>
      </c>
      <c r="M5519" s="182" t="n">
        <v>0</v>
      </c>
      <c r="N5519" s="182" t="n">
        <v>0</v>
      </c>
      <c r="O5519" s="183" t="n">
        <v>0</v>
      </c>
      <c r="P5519" s="183" t="n">
        <v>0</v>
      </c>
      <c r="Q5519" s="184" t="n">
        <v>0</v>
      </c>
      <c r="R5519" s="184" t="n">
        <v>0</v>
      </c>
      <c r="S5519" s="183" t="n">
        <v>0</v>
      </c>
      <c r="T5519" s="183" t="n">
        <v>0</v>
      </c>
      <c r="U5519" s="182" t="n">
        <v>0</v>
      </c>
      <c r="V5519" s="182" t="n">
        <v>0</v>
      </c>
      <c r="W5519" s="182" t="n">
        <v>0</v>
      </c>
      <c r="X5519" s="182" t="n">
        <v>1</v>
      </c>
      <c r="Y5519" s="182" t="n">
        <v>0</v>
      </c>
      <c r="Z5519" s="182" t="n">
        <v>0</v>
      </c>
      <c r="AA5519" s="182" t="n">
        <v>0</v>
      </c>
      <c r="AB5519" s="182" t="n">
        <v>0</v>
      </c>
      <c r="AC5519" s="182" t="n">
        <v>0</v>
      </c>
      <c r="AD5519" s="182" t="n">
        <v>0</v>
      </c>
      <c r="AE5519" s="182" t="n">
        <v>0</v>
      </c>
      <c r="AF5519" s="182" t="n">
        <v>0</v>
      </c>
      <c r="AG5519" s="182" t="n">
        <v>0</v>
      </c>
      <c r="AH5519" s="182" t="n">
        <v>0</v>
      </c>
      <c r="AI5519" s="182" t="n">
        <v>0</v>
      </c>
      <c r="AJ5519" s="182" t="n">
        <v>0</v>
      </c>
      <c r="AK5519" s="182" t="n">
        <v>10.92</v>
      </c>
      <c r="AL5519" s="182" t="n">
        <v>0</v>
      </c>
      <c r="AM5519" s="182" t="n">
        <v>0.08</v>
      </c>
      <c r="AN5519" s="182" t="n">
        <v>0</v>
      </c>
    </row>
    <row r="5520">
      <c r="A5520" s="155" t="n">
        <v>46107</v>
      </c>
      <c r="B5520" s="156" t="inlineStr">
        <is>
          <t>DS</t>
        </is>
      </c>
      <c r="C5520" s="156" t="inlineStr">
        <is>
          <t>HT-410</t>
        </is>
      </c>
      <c r="D5520" s="156" t="inlineStr">
        <is>
          <t>SY430</t>
        </is>
      </c>
      <c r="E5520" s="156" t="inlineStr">
        <is>
          <t>DT Hauling</t>
        </is>
      </c>
      <c r="F5520" s="156" t="inlineStr"/>
      <c r="G5520" s="182" t="n">
        <v>0</v>
      </c>
      <c r="H5520" s="182" t="n">
        <v>0</v>
      </c>
      <c r="I5520" s="182" t="n">
        <v>0</v>
      </c>
      <c r="J5520" s="182" t="n">
        <v>0</v>
      </c>
      <c r="K5520" s="182" t="n">
        <v>12</v>
      </c>
      <c r="L5520" s="182" t="n">
        <v>12</v>
      </c>
      <c r="M5520" s="182" t="n">
        <v>0</v>
      </c>
      <c r="N5520" s="182" t="n">
        <v>0</v>
      </c>
      <c r="O5520" s="183" t="n">
        <v>0</v>
      </c>
      <c r="P5520" s="183" t="n">
        <v>0</v>
      </c>
      <c r="Q5520" s="184" t="n">
        <v>0</v>
      </c>
      <c r="R5520" s="184" t="n">
        <v>0</v>
      </c>
      <c r="S5520" s="183" t="n">
        <v>0</v>
      </c>
      <c r="T5520" s="183" t="n">
        <v>0</v>
      </c>
      <c r="U5520" s="182" t="n">
        <v>0</v>
      </c>
      <c r="V5520" s="182" t="n">
        <v>0</v>
      </c>
      <c r="W5520" s="182" t="n">
        <v>0</v>
      </c>
      <c r="X5520" s="182" t="n">
        <v>1</v>
      </c>
      <c r="Y5520" s="182" t="n">
        <v>0</v>
      </c>
      <c r="Z5520" s="182" t="n">
        <v>0</v>
      </c>
      <c r="AA5520" s="182" t="n">
        <v>0</v>
      </c>
      <c r="AB5520" s="182" t="n">
        <v>0</v>
      </c>
      <c r="AC5520" s="182" t="n">
        <v>0</v>
      </c>
      <c r="AD5520" s="182" t="n">
        <v>0</v>
      </c>
      <c r="AE5520" s="182" t="n">
        <v>0</v>
      </c>
      <c r="AF5520" s="182" t="n">
        <v>0</v>
      </c>
      <c r="AG5520" s="182" t="n">
        <v>0</v>
      </c>
      <c r="AH5520" s="182" t="n">
        <v>0</v>
      </c>
      <c r="AI5520" s="182" t="n">
        <v>0</v>
      </c>
      <c r="AJ5520" s="182" t="n">
        <v>0</v>
      </c>
      <c r="AK5520" s="182" t="n">
        <v>10.92</v>
      </c>
      <c r="AL5520" s="182" t="n">
        <v>0</v>
      </c>
      <c r="AM5520" s="182" t="n">
        <v>0.08</v>
      </c>
      <c r="AN5520" s="182" t="n">
        <v>0</v>
      </c>
    </row>
    <row r="5521">
      <c r="A5521" s="155" t="n">
        <v>46107</v>
      </c>
      <c r="B5521" s="156" t="inlineStr">
        <is>
          <t>DS</t>
        </is>
      </c>
      <c r="C5521" s="156" t="inlineStr">
        <is>
          <t>HT-402</t>
        </is>
      </c>
      <c r="D5521" s="156" t="inlineStr">
        <is>
          <t>SY430</t>
        </is>
      </c>
      <c r="E5521" s="156" t="inlineStr">
        <is>
          <t>DT Hauling</t>
        </is>
      </c>
      <c r="F5521" s="156" t="inlineStr"/>
      <c r="G5521" s="182" t="n">
        <v>0</v>
      </c>
      <c r="H5521" s="182" t="n">
        <v>0</v>
      </c>
      <c r="I5521" s="182" t="n">
        <v>12</v>
      </c>
      <c r="J5521" s="182" t="n">
        <v>12</v>
      </c>
      <c r="K5521" s="182" t="n">
        <v>0</v>
      </c>
      <c r="L5521" s="182" t="n">
        <v>12</v>
      </c>
      <c r="M5521" s="182" t="n">
        <v>0</v>
      </c>
      <c r="N5521" s="182" t="n">
        <v>0</v>
      </c>
      <c r="O5521" s="183" t="n">
        <v>0</v>
      </c>
      <c r="P5521" s="183" t="n">
        <v>0</v>
      </c>
      <c r="Q5521" s="184" t="n">
        <v>0</v>
      </c>
      <c r="R5521" s="184" t="n">
        <v>0</v>
      </c>
      <c r="S5521" s="183" t="n">
        <v>0</v>
      </c>
      <c r="T5521" s="183" t="n">
        <v>0</v>
      </c>
      <c r="U5521" s="182" t="n">
        <v>0</v>
      </c>
      <c r="V5521" s="182" t="n">
        <v>0</v>
      </c>
      <c r="W5521" s="182" t="n">
        <v>0</v>
      </c>
      <c r="X5521" s="182" t="n">
        <v>0</v>
      </c>
      <c r="Y5521" s="182" t="n">
        <v>0</v>
      </c>
      <c r="Z5521" s="182" t="n">
        <v>0</v>
      </c>
      <c r="AA5521" s="182" t="n">
        <v>0</v>
      </c>
      <c r="AB5521" s="182" t="n">
        <v>0</v>
      </c>
      <c r="AC5521" s="182" t="n">
        <v>0</v>
      </c>
      <c r="AD5521" s="182" t="n">
        <v>0</v>
      </c>
      <c r="AE5521" s="182" t="n">
        <v>0</v>
      </c>
      <c r="AF5521" s="182" t="n">
        <v>0</v>
      </c>
      <c r="AG5521" s="182" t="n">
        <v>0</v>
      </c>
      <c r="AH5521" s="182" t="n">
        <v>0</v>
      </c>
      <c r="AI5521" s="182" t="n">
        <v>0</v>
      </c>
      <c r="AJ5521" s="182" t="n">
        <v>0</v>
      </c>
      <c r="AK5521" s="182" t="n">
        <v>0</v>
      </c>
      <c r="AL5521" s="182" t="n">
        <v>0</v>
      </c>
      <c r="AM5521" s="182" t="n">
        <v>0</v>
      </c>
      <c r="AN5521" s="182" t="n">
        <v>0</v>
      </c>
    </row>
    <row r="5522">
      <c r="A5522" s="155" t="n">
        <v>46107</v>
      </c>
      <c r="B5522" s="156" t="inlineStr">
        <is>
          <t>DS</t>
        </is>
      </c>
      <c r="C5522" s="156" t="inlineStr">
        <is>
          <t>HT-419</t>
        </is>
      </c>
      <c r="D5522" s="156" t="inlineStr">
        <is>
          <t>SY430</t>
        </is>
      </c>
      <c r="E5522" s="156" t="inlineStr">
        <is>
          <t>DT Hauling</t>
        </is>
      </c>
      <c r="F5522" s="156" t="inlineStr"/>
      <c r="G5522" s="182" t="n">
        <v>0</v>
      </c>
      <c r="H5522" s="182" t="n">
        <v>0</v>
      </c>
      <c r="I5522" s="182" t="n">
        <v>12</v>
      </c>
      <c r="J5522" s="182" t="n">
        <v>12</v>
      </c>
      <c r="K5522" s="182" t="n">
        <v>0</v>
      </c>
      <c r="L5522" s="182" t="n">
        <v>12</v>
      </c>
      <c r="M5522" s="182" t="n">
        <v>0</v>
      </c>
      <c r="N5522" s="182" t="n">
        <v>0</v>
      </c>
      <c r="O5522" s="183" t="n">
        <v>0</v>
      </c>
      <c r="P5522" s="183" t="n">
        <v>0</v>
      </c>
      <c r="Q5522" s="184" t="n">
        <v>0</v>
      </c>
      <c r="R5522" s="184" t="n">
        <v>0</v>
      </c>
      <c r="S5522" s="183" t="n">
        <v>0</v>
      </c>
      <c r="T5522" s="183" t="n">
        <v>0</v>
      </c>
      <c r="U5522" s="182" t="n">
        <v>0</v>
      </c>
      <c r="V5522" s="182" t="n">
        <v>0</v>
      </c>
      <c r="W5522" s="182" t="n">
        <v>0</v>
      </c>
      <c r="X5522" s="182" t="n">
        <v>0</v>
      </c>
      <c r="Y5522" s="182" t="n">
        <v>0</v>
      </c>
      <c r="Z5522" s="182" t="n">
        <v>0</v>
      </c>
      <c r="AA5522" s="182" t="n">
        <v>0</v>
      </c>
      <c r="AB5522" s="182" t="n">
        <v>0</v>
      </c>
      <c r="AC5522" s="182" t="n">
        <v>0</v>
      </c>
      <c r="AD5522" s="182" t="n">
        <v>0</v>
      </c>
      <c r="AE5522" s="182" t="n">
        <v>0</v>
      </c>
      <c r="AF5522" s="182" t="n">
        <v>0</v>
      </c>
      <c r="AG5522" s="182" t="n">
        <v>0</v>
      </c>
      <c r="AH5522" s="182" t="n">
        <v>0</v>
      </c>
      <c r="AI5522" s="182" t="n">
        <v>0</v>
      </c>
      <c r="AJ5522" s="182" t="n">
        <v>0</v>
      </c>
      <c r="AK5522" s="182" t="n">
        <v>0</v>
      </c>
      <c r="AL5522" s="182" t="n">
        <v>0</v>
      </c>
      <c r="AM5522" s="182" t="n">
        <v>0</v>
      </c>
      <c r="AN5522" s="182" t="n">
        <v>0</v>
      </c>
    </row>
    <row r="5523">
      <c r="A5523" s="155" t="n">
        <v>46107</v>
      </c>
      <c r="B5523" s="156" t="inlineStr">
        <is>
          <t>DS</t>
        </is>
      </c>
      <c r="C5523" s="156" t="inlineStr">
        <is>
          <t>HT-416</t>
        </is>
      </c>
      <c r="D5523" s="156" t="inlineStr">
        <is>
          <t>SY430</t>
        </is>
      </c>
      <c r="E5523" s="156" t="inlineStr">
        <is>
          <t>DT Hauling</t>
        </is>
      </c>
      <c r="F5523" s="156" t="inlineStr"/>
      <c r="G5523" s="182" t="n">
        <v>0</v>
      </c>
      <c r="H5523" s="182" t="n">
        <v>0</v>
      </c>
      <c r="I5523" s="182" t="n">
        <v>0</v>
      </c>
      <c r="J5523" s="182" t="n">
        <v>0</v>
      </c>
      <c r="K5523" s="182" t="n">
        <v>12</v>
      </c>
      <c r="L5523" s="182" t="n">
        <v>12</v>
      </c>
      <c r="M5523" s="182" t="n">
        <v>0</v>
      </c>
      <c r="N5523" s="182" t="n">
        <v>0</v>
      </c>
      <c r="O5523" s="183" t="n">
        <v>0</v>
      </c>
      <c r="P5523" s="183" t="n">
        <v>0</v>
      </c>
      <c r="Q5523" s="184" t="n">
        <v>0</v>
      </c>
      <c r="R5523" s="184" t="n">
        <v>0</v>
      </c>
      <c r="S5523" s="183" t="n">
        <v>0</v>
      </c>
      <c r="T5523" s="183" t="n">
        <v>0</v>
      </c>
      <c r="U5523" s="182" t="n">
        <v>0</v>
      </c>
      <c r="V5523" s="182" t="n">
        <v>0</v>
      </c>
      <c r="W5523" s="182" t="n">
        <v>0</v>
      </c>
      <c r="X5523" s="182" t="n">
        <v>1</v>
      </c>
      <c r="Y5523" s="182" t="n">
        <v>0</v>
      </c>
      <c r="Z5523" s="182" t="n">
        <v>0</v>
      </c>
      <c r="AA5523" s="182" t="n">
        <v>0</v>
      </c>
      <c r="AB5523" s="182" t="n">
        <v>0</v>
      </c>
      <c r="AC5523" s="182" t="n">
        <v>0</v>
      </c>
      <c r="AD5523" s="182" t="n">
        <v>0</v>
      </c>
      <c r="AE5523" s="182" t="n">
        <v>0</v>
      </c>
      <c r="AF5523" s="182" t="n">
        <v>0</v>
      </c>
      <c r="AG5523" s="182" t="n">
        <v>0</v>
      </c>
      <c r="AH5523" s="182" t="n">
        <v>0</v>
      </c>
      <c r="AI5523" s="182" t="n">
        <v>0</v>
      </c>
      <c r="AJ5523" s="182" t="n">
        <v>0</v>
      </c>
      <c r="AK5523" s="182" t="n">
        <v>10.92</v>
      </c>
      <c r="AL5523" s="182" t="n">
        <v>0</v>
      </c>
      <c r="AM5523" s="182" t="n">
        <v>0.08</v>
      </c>
      <c r="AN5523" s="182" t="n">
        <v>0</v>
      </c>
    </row>
    <row r="5524">
      <c r="A5524" s="155" t="n">
        <v>46107</v>
      </c>
      <c r="B5524" s="156" t="inlineStr">
        <is>
          <t>DS</t>
        </is>
      </c>
      <c r="C5524" s="156" t="inlineStr">
        <is>
          <t>HT-420</t>
        </is>
      </c>
      <c r="D5524" s="156" t="inlineStr">
        <is>
          <t>SY430</t>
        </is>
      </c>
      <c r="E5524" s="156" t="inlineStr">
        <is>
          <t>DT Hauling</t>
        </is>
      </c>
      <c r="F5524" s="156" t="inlineStr"/>
      <c r="G5524" s="182" t="n">
        <v>0</v>
      </c>
      <c r="H5524" s="182" t="n">
        <v>0</v>
      </c>
      <c r="I5524" s="182" t="n">
        <v>0</v>
      </c>
      <c r="J5524" s="182" t="n">
        <v>0</v>
      </c>
      <c r="K5524" s="182" t="n">
        <v>12</v>
      </c>
      <c r="L5524" s="182" t="n">
        <v>12</v>
      </c>
      <c r="M5524" s="182" t="n">
        <v>0</v>
      </c>
      <c r="N5524" s="182" t="n">
        <v>0</v>
      </c>
      <c r="O5524" s="183" t="n">
        <v>0</v>
      </c>
      <c r="P5524" s="183" t="n">
        <v>0</v>
      </c>
      <c r="Q5524" s="184" t="n">
        <v>0</v>
      </c>
      <c r="R5524" s="184" t="n">
        <v>0</v>
      </c>
      <c r="S5524" s="183" t="n">
        <v>0</v>
      </c>
      <c r="T5524" s="183" t="n">
        <v>0</v>
      </c>
      <c r="U5524" s="182" t="n">
        <v>0</v>
      </c>
      <c r="V5524" s="182" t="n">
        <v>0</v>
      </c>
      <c r="W5524" s="182" t="n">
        <v>0</v>
      </c>
      <c r="X5524" s="182" t="n">
        <v>1</v>
      </c>
      <c r="Y5524" s="182" t="n">
        <v>0</v>
      </c>
      <c r="Z5524" s="182" t="n">
        <v>0</v>
      </c>
      <c r="AA5524" s="182" t="n">
        <v>0</v>
      </c>
      <c r="AB5524" s="182" t="n">
        <v>0</v>
      </c>
      <c r="AC5524" s="182" t="n">
        <v>0</v>
      </c>
      <c r="AD5524" s="182" t="n">
        <v>0</v>
      </c>
      <c r="AE5524" s="182" t="n">
        <v>0</v>
      </c>
      <c r="AF5524" s="182" t="n">
        <v>0</v>
      </c>
      <c r="AG5524" s="182" t="n">
        <v>0</v>
      </c>
      <c r="AH5524" s="182" t="n">
        <v>0</v>
      </c>
      <c r="AI5524" s="182" t="n">
        <v>0</v>
      </c>
      <c r="AJ5524" s="182" t="n">
        <v>0</v>
      </c>
      <c r="AK5524" s="182" t="n">
        <v>10.92</v>
      </c>
      <c r="AL5524" s="182" t="n">
        <v>0</v>
      </c>
      <c r="AM5524" s="182" t="n">
        <v>0.08</v>
      </c>
      <c r="AN5524" s="182" t="n">
        <v>0</v>
      </c>
    </row>
    <row r="5525">
      <c r="A5525" s="155" t="n">
        <v>46107</v>
      </c>
      <c r="B5525" s="156" t="inlineStr">
        <is>
          <t>DS</t>
        </is>
      </c>
      <c r="C5525" s="156" t="inlineStr">
        <is>
          <t>HT-403</t>
        </is>
      </c>
      <c r="D5525" s="156" t="inlineStr">
        <is>
          <t>SY430</t>
        </is>
      </c>
      <c r="E5525" s="156" t="inlineStr">
        <is>
          <t>DT Hauling</t>
        </is>
      </c>
      <c r="F5525" s="156" t="inlineStr"/>
      <c r="G5525" s="182" t="n">
        <v>0</v>
      </c>
      <c r="H5525" s="182" t="n">
        <v>0</v>
      </c>
      <c r="I5525" s="182" t="n">
        <v>0</v>
      </c>
      <c r="J5525" s="182" t="n">
        <v>0</v>
      </c>
      <c r="K5525" s="182" t="n">
        <v>12</v>
      </c>
      <c r="L5525" s="182" t="n">
        <v>12</v>
      </c>
      <c r="M5525" s="182" t="n">
        <v>0</v>
      </c>
      <c r="N5525" s="182" t="n">
        <v>0</v>
      </c>
      <c r="O5525" s="183" t="n">
        <v>0</v>
      </c>
      <c r="P5525" s="183" t="n">
        <v>0</v>
      </c>
      <c r="Q5525" s="184" t="n">
        <v>0</v>
      </c>
      <c r="R5525" s="184" t="n">
        <v>0</v>
      </c>
      <c r="S5525" s="183" t="n">
        <v>0</v>
      </c>
      <c r="T5525" s="183" t="n">
        <v>0</v>
      </c>
      <c r="U5525" s="182" t="n">
        <v>0</v>
      </c>
      <c r="V5525" s="182" t="n">
        <v>0</v>
      </c>
      <c r="W5525" s="182" t="n">
        <v>0</v>
      </c>
      <c r="X5525" s="182" t="n">
        <v>1</v>
      </c>
      <c r="Y5525" s="182" t="n">
        <v>0</v>
      </c>
      <c r="Z5525" s="182" t="n">
        <v>0</v>
      </c>
      <c r="AA5525" s="182" t="n">
        <v>0</v>
      </c>
      <c r="AB5525" s="182" t="n">
        <v>0</v>
      </c>
      <c r="AC5525" s="182" t="n">
        <v>0</v>
      </c>
      <c r="AD5525" s="182" t="n">
        <v>0</v>
      </c>
      <c r="AE5525" s="182" t="n">
        <v>0</v>
      </c>
      <c r="AF5525" s="182" t="n">
        <v>0</v>
      </c>
      <c r="AG5525" s="182" t="n">
        <v>0</v>
      </c>
      <c r="AH5525" s="182" t="n">
        <v>0</v>
      </c>
      <c r="AI5525" s="182" t="n">
        <v>0</v>
      </c>
      <c r="AJ5525" s="182" t="n">
        <v>0</v>
      </c>
      <c r="AK5525" s="182" t="n">
        <v>10.92</v>
      </c>
      <c r="AL5525" s="182" t="n">
        <v>0</v>
      </c>
      <c r="AM5525" s="182" t="n">
        <v>0.08</v>
      </c>
      <c r="AN5525" s="182" t="n">
        <v>0</v>
      </c>
    </row>
    <row r="5526">
      <c r="A5526" s="155" t="n">
        <v>46107</v>
      </c>
      <c r="B5526" s="156" t="inlineStr">
        <is>
          <t>DS</t>
        </is>
      </c>
      <c r="C5526" s="156" t="inlineStr">
        <is>
          <t>HT-408</t>
        </is>
      </c>
      <c r="D5526" s="156" t="inlineStr">
        <is>
          <t>SY430</t>
        </is>
      </c>
      <c r="E5526" s="156" t="inlineStr">
        <is>
          <t>DT Hauling</t>
        </is>
      </c>
      <c r="F5526" s="156" t="inlineStr"/>
      <c r="G5526" s="182" t="n">
        <v>0</v>
      </c>
      <c r="H5526" s="182" t="n">
        <v>0</v>
      </c>
      <c r="I5526" s="182" t="n">
        <v>0</v>
      </c>
      <c r="J5526" s="182" t="n">
        <v>0</v>
      </c>
      <c r="K5526" s="182" t="n">
        <v>12</v>
      </c>
      <c r="L5526" s="182" t="n">
        <v>12</v>
      </c>
      <c r="M5526" s="182" t="n">
        <v>0</v>
      </c>
      <c r="N5526" s="182" t="n">
        <v>0</v>
      </c>
      <c r="O5526" s="183" t="n">
        <v>0</v>
      </c>
      <c r="P5526" s="183" t="n">
        <v>0</v>
      </c>
      <c r="Q5526" s="184" t="n">
        <v>0</v>
      </c>
      <c r="R5526" s="184" t="n">
        <v>0</v>
      </c>
      <c r="S5526" s="183" t="n">
        <v>0</v>
      </c>
      <c r="T5526" s="183" t="n">
        <v>0</v>
      </c>
      <c r="U5526" s="182" t="n">
        <v>0</v>
      </c>
      <c r="V5526" s="182" t="n">
        <v>0</v>
      </c>
      <c r="W5526" s="182" t="n">
        <v>0</v>
      </c>
      <c r="X5526" s="182" t="n">
        <v>1</v>
      </c>
      <c r="Y5526" s="182" t="n">
        <v>0</v>
      </c>
      <c r="Z5526" s="182" t="n">
        <v>0</v>
      </c>
      <c r="AA5526" s="182" t="n">
        <v>0</v>
      </c>
      <c r="AB5526" s="182" t="n">
        <v>0</v>
      </c>
      <c r="AC5526" s="182" t="n">
        <v>0</v>
      </c>
      <c r="AD5526" s="182" t="n">
        <v>0</v>
      </c>
      <c r="AE5526" s="182" t="n">
        <v>0</v>
      </c>
      <c r="AF5526" s="182" t="n">
        <v>0</v>
      </c>
      <c r="AG5526" s="182" t="n">
        <v>0</v>
      </c>
      <c r="AH5526" s="182" t="n">
        <v>0</v>
      </c>
      <c r="AI5526" s="182" t="n">
        <v>0</v>
      </c>
      <c r="AJ5526" s="182" t="n">
        <v>0</v>
      </c>
      <c r="AK5526" s="182" t="n">
        <v>10.92</v>
      </c>
      <c r="AL5526" s="182" t="n">
        <v>0</v>
      </c>
      <c r="AM5526" s="182" t="n">
        <v>0.08</v>
      </c>
      <c r="AN5526" s="182" t="n">
        <v>0</v>
      </c>
    </row>
    <row r="5527">
      <c r="A5527" s="155" t="n">
        <v>46107</v>
      </c>
      <c r="B5527" s="156" t="inlineStr">
        <is>
          <t>DS</t>
        </is>
      </c>
      <c r="C5527" s="156" t="inlineStr">
        <is>
          <t>HT-412</t>
        </is>
      </c>
      <c r="D5527" s="156" t="inlineStr">
        <is>
          <t>SY430</t>
        </is>
      </c>
      <c r="E5527" s="156" t="inlineStr">
        <is>
          <t>DT Hauling</t>
        </is>
      </c>
      <c r="F5527" s="156" t="inlineStr"/>
      <c r="G5527" s="182" t="n">
        <v>0</v>
      </c>
      <c r="H5527" s="182" t="n">
        <v>0</v>
      </c>
      <c r="I5527" s="182" t="n">
        <v>0</v>
      </c>
      <c r="J5527" s="182" t="n">
        <v>0</v>
      </c>
      <c r="K5527" s="182" t="n">
        <v>12</v>
      </c>
      <c r="L5527" s="182" t="n">
        <v>12</v>
      </c>
      <c r="M5527" s="182" t="n">
        <v>0</v>
      </c>
      <c r="N5527" s="182" t="n">
        <v>0</v>
      </c>
      <c r="O5527" s="183" t="n">
        <v>0</v>
      </c>
      <c r="P5527" s="183" t="n">
        <v>0</v>
      </c>
      <c r="Q5527" s="184" t="n">
        <v>0</v>
      </c>
      <c r="R5527" s="184" t="n">
        <v>0</v>
      </c>
      <c r="S5527" s="183" t="n">
        <v>0</v>
      </c>
      <c r="T5527" s="183" t="n">
        <v>0</v>
      </c>
      <c r="U5527" s="182" t="n">
        <v>0</v>
      </c>
      <c r="V5527" s="182" t="n">
        <v>0</v>
      </c>
      <c r="W5527" s="182" t="n">
        <v>0</v>
      </c>
      <c r="X5527" s="182" t="n">
        <v>1</v>
      </c>
      <c r="Y5527" s="182" t="n">
        <v>0</v>
      </c>
      <c r="Z5527" s="182" t="n">
        <v>0</v>
      </c>
      <c r="AA5527" s="182" t="n">
        <v>0</v>
      </c>
      <c r="AB5527" s="182" t="n">
        <v>0</v>
      </c>
      <c r="AC5527" s="182" t="n">
        <v>0</v>
      </c>
      <c r="AD5527" s="182" t="n">
        <v>0</v>
      </c>
      <c r="AE5527" s="182" t="n">
        <v>0</v>
      </c>
      <c r="AF5527" s="182" t="n">
        <v>0</v>
      </c>
      <c r="AG5527" s="182" t="n">
        <v>0</v>
      </c>
      <c r="AH5527" s="182" t="n">
        <v>0</v>
      </c>
      <c r="AI5527" s="182" t="n">
        <v>0</v>
      </c>
      <c r="AJ5527" s="182" t="n">
        <v>0</v>
      </c>
      <c r="AK5527" s="182" t="n">
        <v>10.92</v>
      </c>
      <c r="AL5527" s="182" t="n">
        <v>0</v>
      </c>
      <c r="AM5527" s="182" t="n">
        <v>0.08</v>
      </c>
      <c r="AN5527" s="182" t="n">
        <v>0</v>
      </c>
    </row>
    <row r="5528">
      <c r="A5528" s="155" t="n">
        <v>46107</v>
      </c>
      <c r="B5528" s="156" t="inlineStr">
        <is>
          <t>DS</t>
        </is>
      </c>
      <c r="C5528" s="156" t="inlineStr">
        <is>
          <t>HT-413</t>
        </is>
      </c>
      <c r="D5528" s="156" t="inlineStr">
        <is>
          <t>SY430</t>
        </is>
      </c>
      <c r="E5528" s="156" t="inlineStr">
        <is>
          <t>DT Hauling</t>
        </is>
      </c>
      <c r="F5528" s="156" t="inlineStr"/>
      <c r="G5528" s="182" t="n">
        <v>0</v>
      </c>
      <c r="H5528" s="182" t="n">
        <v>0</v>
      </c>
      <c r="I5528" s="182" t="n">
        <v>12</v>
      </c>
      <c r="J5528" s="182" t="n">
        <v>12</v>
      </c>
      <c r="K5528" s="182" t="n">
        <v>0</v>
      </c>
      <c r="L5528" s="182" t="n">
        <v>12</v>
      </c>
      <c r="M5528" s="182" t="n">
        <v>0</v>
      </c>
      <c r="N5528" s="182" t="n">
        <v>0</v>
      </c>
      <c r="O5528" s="183" t="n">
        <v>0</v>
      </c>
      <c r="P5528" s="183" t="n">
        <v>0</v>
      </c>
      <c r="Q5528" s="184" t="n">
        <v>0</v>
      </c>
      <c r="R5528" s="184" t="n">
        <v>0</v>
      </c>
      <c r="S5528" s="183" t="n">
        <v>0</v>
      </c>
      <c r="T5528" s="183" t="n">
        <v>0</v>
      </c>
      <c r="U5528" s="182" t="n">
        <v>0</v>
      </c>
      <c r="V5528" s="182" t="n">
        <v>0</v>
      </c>
      <c r="W5528" s="182" t="n">
        <v>0</v>
      </c>
      <c r="X5528" s="182" t="n">
        <v>0</v>
      </c>
      <c r="Y5528" s="182" t="n">
        <v>0</v>
      </c>
      <c r="Z5528" s="182" t="n">
        <v>0</v>
      </c>
      <c r="AA5528" s="182" t="n">
        <v>0</v>
      </c>
      <c r="AB5528" s="182" t="n">
        <v>0</v>
      </c>
      <c r="AC5528" s="182" t="n">
        <v>0</v>
      </c>
      <c r="AD5528" s="182" t="n">
        <v>0</v>
      </c>
      <c r="AE5528" s="182" t="n">
        <v>0</v>
      </c>
      <c r="AF5528" s="182" t="n">
        <v>0</v>
      </c>
      <c r="AG5528" s="182" t="n">
        <v>0</v>
      </c>
      <c r="AH5528" s="182" t="n">
        <v>0</v>
      </c>
      <c r="AI5528" s="182" t="n">
        <v>0</v>
      </c>
      <c r="AJ5528" s="182" t="n">
        <v>0</v>
      </c>
      <c r="AK5528" s="182" t="n">
        <v>0</v>
      </c>
      <c r="AL5528" s="182" t="n">
        <v>0</v>
      </c>
      <c r="AM5528" s="182" t="n">
        <v>0</v>
      </c>
      <c r="AN5528" s="182" t="n">
        <v>0</v>
      </c>
    </row>
    <row r="5529">
      <c r="A5529" s="155" t="n">
        <v>46107</v>
      </c>
      <c r="B5529" s="156" t="inlineStr">
        <is>
          <t>DS</t>
        </is>
      </c>
      <c r="C5529" s="156" t="inlineStr">
        <is>
          <t>HT-407</t>
        </is>
      </c>
      <c r="D5529" s="156" t="inlineStr">
        <is>
          <t>SY430</t>
        </is>
      </c>
      <c r="E5529" s="156" t="inlineStr">
        <is>
          <t>DT Hauling</t>
        </is>
      </c>
      <c r="F5529" s="156" t="inlineStr"/>
      <c r="G5529" s="182" t="n">
        <v>0</v>
      </c>
      <c r="H5529" s="182" t="n">
        <v>3.37</v>
      </c>
      <c r="I5529" s="182" t="n">
        <v>0</v>
      </c>
      <c r="J5529" s="182" t="n">
        <v>3.37</v>
      </c>
      <c r="K5529" s="182" t="n">
        <v>8.630000000000001</v>
      </c>
      <c r="L5529" s="182" t="n">
        <v>12</v>
      </c>
      <c r="M5529" s="182" t="n">
        <v>0</v>
      </c>
      <c r="N5529" s="182" t="n">
        <v>0</v>
      </c>
      <c r="O5529" s="183" t="n">
        <v>0</v>
      </c>
      <c r="P5529" s="183" t="n">
        <v>0</v>
      </c>
      <c r="Q5529" s="184" t="n">
        <v>0</v>
      </c>
      <c r="R5529" s="184" t="n">
        <v>0</v>
      </c>
      <c r="S5529" s="183" t="n">
        <v>0</v>
      </c>
      <c r="T5529" s="183" t="n">
        <v>0</v>
      </c>
      <c r="U5529" s="182" t="n">
        <v>0</v>
      </c>
      <c r="V5529" s="182" t="n">
        <v>0</v>
      </c>
      <c r="W5529" s="182" t="n">
        <v>0</v>
      </c>
      <c r="X5529" s="182" t="n">
        <v>1</v>
      </c>
      <c r="Y5529" s="182" t="n">
        <v>0</v>
      </c>
      <c r="Z5529" s="182" t="n">
        <v>0</v>
      </c>
      <c r="AA5529" s="182" t="n">
        <v>0</v>
      </c>
      <c r="AB5529" s="182" t="n">
        <v>0</v>
      </c>
      <c r="AC5529" s="182" t="n">
        <v>0</v>
      </c>
      <c r="AD5529" s="182" t="n">
        <v>0</v>
      </c>
      <c r="AE5529" s="182" t="n">
        <v>0</v>
      </c>
      <c r="AF5529" s="182" t="n">
        <v>0</v>
      </c>
      <c r="AG5529" s="182" t="n">
        <v>0</v>
      </c>
      <c r="AH5529" s="182" t="n">
        <v>0</v>
      </c>
      <c r="AI5529" s="182" t="n">
        <v>0</v>
      </c>
      <c r="AJ5529" s="182" t="n">
        <v>0</v>
      </c>
      <c r="AK5529" s="182" t="n">
        <v>7.55</v>
      </c>
      <c r="AL5529" s="182" t="n">
        <v>0</v>
      </c>
      <c r="AM5529" s="182" t="n">
        <v>0.08</v>
      </c>
      <c r="AN5529" s="182" t="n">
        <v>0</v>
      </c>
    </row>
    <row r="5530">
      <c r="A5530" s="155" t="n">
        <v>46107</v>
      </c>
      <c r="B5530" s="156" t="inlineStr">
        <is>
          <t>DS</t>
        </is>
      </c>
      <c r="C5530" s="156" t="inlineStr">
        <is>
          <t>HT-414</t>
        </is>
      </c>
      <c r="D5530" s="156" t="inlineStr">
        <is>
          <t>SY430</t>
        </is>
      </c>
      <c r="E5530" s="156" t="inlineStr">
        <is>
          <t>DT Hauling</t>
        </is>
      </c>
      <c r="F5530" s="156" t="inlineStr"/>
      <c r="G5530" s="182" t="n">
        <v>0</v>
      </c>
      <c r="H5530" s="182" t="n">
        <v>0</v>
      </c>
      <c r="I5530" s="182" t="n">
        <v>0</v>
      </c>
      <c r="J5530" s="182" t="n">
        <v>0</v>
      </c>
      <c r="K5530" s="182" t="n">
        <v>12</v>
      </c>
      <c r="L5530" s="182" t="n">
        <v>12</v>
      </c>
      <c r="M5530" s="182" t="n">
        <v>0</v>
      </c>
      <c r="N5530" s="182" t="n">
        <v>0</v>
      </c>
      <c r="O5530" s="183" t="n">
        <v>0</v>
      </c>
      <c r="P5530" s="183" t="n">
        <v>0</v>
      </c>
      <c r="Q5530" s="184" t="n">
        <v>0</v>
      </c>
      <c r="R5530" s="184" t="n">
        <v>0</v>
      </c>
      <c r="S5530" s="183" t="n">
        <v>0</v>
      </c>
      <c r="T5530" s="183" t="n">
        <v>0</v>
      </c>
      <c r="U5530" s="182" t="n">
        <v>0</v>
      </c>
      <c r="V5530" s="182" t="n">
        <v>0</v>
      </c>
      <c r="W5530" s="182" t="n">
        <v>0</v>
      </c>
      <c r="X5530" s="182" t="n">
        <v>1</v>
      </c>
      <c r="Y5530" s="182" t="n">
        <v>0</v>
      </c>
      <c r="Z5530" s="182" t="n">
        <v>0</v>
      </c>
      <c r="AA5530" s="182" t="n">
        <v>0</v>
      </c>
      <c r="AB5530" s="182" t="n">
        <v>0</v>
      </c>
      <c r="AC5530" s="182" t="n">
        <v>0</v>
      </c>
      <c r="AD5530" s="182" t="n">
        <v>0</v>
      </c>
      <c r="AE5530" s="182" t="n">
        <v>0</v>
      </c>
      <c r="AF5530" s="182" t="n">
        <v>0</v>
      </c>
      <c r="AG5530" s="182" t="n">
        <v>0</v>
      </c>
      <c r="AH5530" s="182" t="n">
        <v>0</v>
      </c>
      <c r="AI5530" s="182" t="n">
        <v>0</v>
      </c>
      <c r="AJ5530" s="182" t="n">
        <v>0</v>
      </c>
      <c r="AK5530" s="182" t="n">
        <v>10.92</v>
      </c>
      <c r="AL5530" s="182" t="n">
        <v>0</v>
      </c>
      <c r="AM5530" s="182" t="n">
        <v>0.08</v>
      </c>
      <c r="AN5530" s="182" t="n">
        <v>0</v>
      </c>
    </row>
    <row r="5531">
      <c r="A5531" s="155" t="n">
        <v>46107</v>
      </c>
      <c r="B5531" s="156" t="inlineStr">
        <is>
          <t>DS</t>
        </is>
      </c>
      <c r="C5531" s="156" t="inlineStr">
        <is>
          <t>HT-411</t>
        </is>
      </c>
      <c r="D5531" s="156" t="inlineStr">
        <is>
          <t>SY430</t>
        </is>
      </c>
      <c r="E5531" s="156" t="inlineStr">
        <is>
          <t>DT Hauling</t>
        </is>
      </c>
      <c r="F5531" s="156" t="inlineStr"/>
      <c r="G5531" s="182" t="n">
        <v>0</v>
      </c>
      <c r="H5531" s="182" t="n">
        <v>0</v>
      </c>
      <c r="I5531" s="182" t="n">
        <v>0</v>
      </c>
      <c r="J5531" s="182" t="n">
        <v>0</v>
      </c>
      <c r="K5531" s="182" t="n">
        <v>12</v>
      </c>
      <c r="L5531" s="182" t="n">
        <v>12</v>
      </c>
      <c r="M5531" s="182" t="n">
        <v>0</v>
      </c>
      <c r="N5531" s="182" t="n">
        <v>0</v>
      </c>
      <c r="O5531" s="183" t="n">
        <v>0</v>
      </c>
      <c r="P5531" s="183" t="n">
        <v>0</v>
      </c>
      <c r="Q5531" s="184" t="n">
        <v>0</v>
      </c>
      <c r="R5531" s="184" t="n">
        <v>0</v>
      </c>
      <c r="S5531" s="183" t="n">
        <v>0</v>
      </c>
      <c r="T5531" s="183" t="n">
        <v>0</v>
      </c>
      <c r="U5531" s="182" t="n">
        <v>0</v>
      </c>
      <c r="V5531" s="182" t="n">
        <v>0</v>
      </c>
      <c r="W5531" s="182" t="n">
        <v>0</v>
      </c>
      <c r="X5531" s="182" t="n">
        <v>1</v>
      </c>
      <c r="Y5531" s="182" t="n">
        <v>0</v>
      </c>
      <c r="Z5531" s="182" t="n">
        <v>0</v>
      </c>
      <c r="AA5531" s="182" t="n">
        <v>0</v>
      </c>
      <c r="AB5531" s="182" t="n">
        <v>0</v>
      </c>
      <c r="AC5531" s="182" t="n">
        <v>0</v>
      </c>
      <c r="AD5531" s="182" t="n">
        <v>0</v>
      </c>
      <c r="AE5531" s="182" t="n">
        <v>0</v>
      </c>
      <c r="AF5531" s="182" t="n">
        <v>0</v>
      </c>
      <c r="AG5531" s="182" t="n">
        <v>0</v>
      </c>
      <c r="AH5531" s="182" t="n">
        <v>0</v>
      </c>
      <c r="AI5531" s="182" t="n">
        <v>0</v>
      </c>
      <c r="AJ5531" s="182" t="n">
        <v>0</v>
      </c>
      <c r="AK5531" s="182" t="n">
        <v>10.92</v>
      </c>
      <c r="AL5531" s="182" t="n">
        <v>0</v>
      </c>
      <c r="AM5531" s="182" t="n">
        <v>0.08</v>
      </c>
      <c r="AN5531" s="182" t="n">
        <v>0</v>
      </c>
    </row>
    <row r="5532">
      <c r="A5532" s="155" t="n">
        <v>46107</v>
      </c>
      <c r="B5532" s="156" t="inlineStr">
        <is>
          <t>DS</t>
        </is>
      </c>
      <c r="C5532" s="156" t="inlineStr">
        <is>
          <t>HT-409</t>
        </is>
      </c>
      <c r="D5532" s="156" t="inlineStr">
        <is>
          <t>SY430</t>
        </is>
      </c>
      <c r="E5532" s="156" t="inlineStr">
        <is>
          <t>DT Hauling</t>
        </is>
      </c>
      <c r="F5532" s="156" t="inlineStr"/>
      <c r="G5532" s="182" t="n">
        <v>0</v>
      </c>
      <c r="H5532" s="182" t="n">
        <v>0</v>
      </c>
      <c r="I5532" s="182" t="n">
        <v>7</v>
      </c>
      <c r="J5532" s="182" t="n">
        <v>7</v>
      </c>
      <c r="K5532" s="182" t="n">
        <v>5</v>
      </c>
      <c r="L5532" s="182" t="n">
        <v>12</v>
      </c>
      <c r="M5532" s="182" t="n">
        <v>0</v>
      </c>
      <c r="N5532" s="182" t="n">
        <v>0</v>
      </c>
      <c r="O5532" s="183" t="n">
        <v>0</v>
      </c>
      <c r="P5532" s="183" t="n">
        <v>0</v>
      </c>
      <c r="Q5532" s="184" t="n">
        <v>0</v>
      </c>
      <c r="R5532" s="184" t="n">
        <v>0</v>
      </c>
      <c r="S5532" s="183" t="n">
        <v>0</v>
      </c>
      <c r="T5532" s="183" t="n">
        <v>0</v>
      </c>
      <c r="U5532" s="182" t="n">
        <v>0</v>
      </c>
      <c r="V5532" s="182" t="n">
        <v>0</v>
      </c>
      <c r="W5532" s="182" t="n">
        <v>0</v>
      </c>
      <c r="X5532" s="182" t="n">
        <v>1</v>
      </c>
      <c r="Y5532" s="182" t="n">
        <v>0</v>
      </c>
      <c r="Z5532" s="182" t="n">
        <v>0</v>
      </c>
      <c r="AA5532" s="182" t="n">
        <v>0</v>
      </c>
      <c r="AB5532" s="182" t="n">
        <v>0</v>
      </c>
      <c r="AC5532" s="182" t="n">
        <v>0</v>
      </c>
      <c r="AD5532" s="182" t="n">
        <v>0</v>
      </c>
      <c r="AE5532" s="182" t="n">
        <v>0</v>
      </c>
      <c r="AF5532" s="182" t="n">
        <v>0</v>
      </c>
      <c r="AG5532" s="182" t="n">
        <v>0</v>
      </c>
      <c r="AH5532" s="182" t="n">
        <v>0</v>
      </c>
      <c r="AI5532" s="182" t="n">
        <v>0</v>
      </c>
      <c r="AJ5532" s="182" t="n">
        <v>0</v>
      </c>
      <c r="AK5532" s="182" t="n">
        <v>3.92</v>
      </c>
      <c r="AL5532" s="182" t="n">
        <v>0</v>
      </c>
      <c r="AM5532" s="182" t="n">
        <v>0.08</v>
      </c>
      <c r="AN5532" s="182" t="n">
        <v>0</v>
      </c>
    </row>
    <row r="5533">
      <c r="A5533" s="155" t="n">
        <v>46107</v>
      </c>
      <c r="B5533" s="156" t="inlineStr">
        <is>
          <t>DS</t>
        </is>
      </c>
      <c r="C5533" s="156" t="inlineStr">
        <is>
          <t>DH-103</t>
        </is>
      </c>
      <c r="D5533" s="156" t="inlineStr">
        <is>
          <t>HINO FM260</t>
        </is>
      </c>
      <c r="E5533" s="156" t="inlineStr">
        <is>
          <t>DT Hino</t>
        </is>
      </c>
      <c r="F5533" s="156" t="inlineStr"/>
      <c r="G5533" s="182" t="n">
        <v>0</v>
      </c>
      <c r="H5533" s="182" t="n">
        <v>0</v>
      </c>
      <c r="I5533" s="182" t="n">
        <v>0</v>
      </c>
      <c r="J5533" s="182" t="n">
        <v>0</v>
      </c>
      <c r="K5533" s="182" t="n">
        <v>12</v>
      </c>
      <c r="L5533" s="182" t="n">
        <v>12</v>
      </c>
      <c r="M5533" s="182" t="n">
        <v>0</v>
      </c>
      <c r="N5533" s="182" t="n">
        <v>0</v>
      </c>
      <c r="O5533" s="183" t="n">
        <v>0</v>
      </c>
      <c r="P5533" s="183" t="n">
        <v>0</v>
      </c>
      <c r="Q5533" s="184" t="n">
        <v>0</v>
      </c>
      <c r="R5533" s="184" t="n">
        <v>0</v>
      </c>
      <c r="S5533" s="183" t="n">
        <v>0</v>
      </c>
      <c r="T5533" s="183" t="n">
        <v>0</v>
      </c>
      <c r="U5533" s="182" t="n">
        <v>0</v>
      </c>
      <c r="V5533" s="182" t="n">
        <v>0</v>
      </c>
      <c r="W5533" s="182" t="n">
        <v>0</v>
      </c>
      <c r="X5533" s="182" t="n">
        <v>1</v>
      </c>
      <c r="Y5533" s="182" t="n">
        <v>0</v>
      </c>
      <c r="Z5533" s="182" t="n">
        <v>0</v>
      </c>
      <c r="AA5533" s="182" t="n">
        <v>0</v>
      </c>
      <c r="AB5533" s="182" t="n">
        <v>0</v>
      </c>
      <c r="AC5533" s="182" t="n">
        <v>0</v>
      </c>
      <c r="AD5533" s="182" t="n">
        <v>0</v>
      </c>
      <c r="AE5533" s="182" t="n">
        <v>0</v>
      </c>
      <c r="AF5533" s="182" t="n">
        <v>0</v>
      </c>
      <c r="AG5533" s="182" t="n">
        <v>0</v>
      </c>
      <c r="AH5533" s="182" t="n">
        <v>0</v>
      </c>
      <c r="AI5533" s="182" t="n">
        <v>0</v>
      </c>
      <c r="AJ5533" s="182" t="n">
        <v>0</v>
      </c>
      <c r="AK5533" s="182" t="n">
        <v>10.92</v>
      </c>
      <c r="AL5533" s="182" t="n">
        <v>0</v>
      </c>
      <c r="AM5533" s="182" t="n">
        <v>0.08</v>
      </c>
      <c r="AN5533" s="182" t="n">
        <v>0</v>
      </c>
    </row>
    <row r="5534">
      <c r="A5534" s="155" t="n">
        <v>46107</v>
      </c>
      <c r="B5534" s="156" t="inlineStr">
        <is>
          <t>DS</t>
        </is>
      </c>
      <c r="C5534" s="156" t="inlineStr">
        <is>
          <t>DH-102</t>
        </is>
      </c>
      <c r="D5534" s="156" t="inlineStr">
        <is>
          <t>HINO FM260</t>
        </is>
      </c>
      <c r="E5534" s="156" t="inlineStr">
        <is>
          <t>DT Hino</t>
        </is>
      </c>
      <c r="F5534" s="156" t="inlineStr"/>
      <c r="G5534" s="182" t="n">
        <v>0</v>
      </c>
      <c r="H5534" s="182" t="n">
        <v>0</v>
      </c>
      <c r="I5534" s="182" t="n">
        <v>0</v>
      </c>
      <c r="J5534" s="182" t="n">
        <v>0</v>
      </c>
      <c r="K5534" s="182" t="n">
        <v>12</v>
      </c>
      <c r="L5534" s="182" t="n">
        <v>12</v>
      </c>
      <c r="M5534" s="182" t="n">
        <v>0</v>
      </c>
      <c r="N5534" s="182" t="n">
        <v>0</v>
      </c>
      <c r="O5534" s="183" t="n">
        <v>0</v>
      </c>
      <c r="P5534" s="183" t="n">
        <v>0</v>
      </c>
      <c r="Q5534" s="184" t="n">
        <v>0</v>
      </c>
      <c r="R5534" s="184" t="n">
        <v>0</v>
      </c>
      <c r="S5534" s="183" t="n">
        <v>0</v>
      </c>
      <c r="T5534" s="183" t="n">
        <v>0</v>
      </c>
      <c r="U5534" s="182" t="n">
        <v>0</v>
      </c>
      <c r="V5534" s="182" t="n">
        <v>0</v>
      </c>
      <c r="W5534" s="182" t="n">
        <v>0</v>
      </c>
      <c r="X5534" s="182" t="n">
        <v>1</v>
      </c>
      <c r="Y5534" s="182" t="n">
        <v>0</v>
      </c>
      <c r="Z5534" s="182" t="n">
        <v>0</v>
      </c>
      <c r="AA5534" s="182" t="n">
        <v>0</v>
      </c>
      <c r="AB5534" s="182" t="n">
        <v>0</v>
      </c>
      <c r="AC5534" s="182" t="n">
        <v>0</v>
      </c>
      <c r="AD5534" s="182" t="n">
        <v>0</v>
      </c>
      <c r="AE5534" s="182" t="n">
        <v>0</v>
      </c>
      <c r="AF5534" s="182" t="n">
        <v>0</v>
      </c>
      <c r="AG5534" s="182" t="n">
        <v>0</v>
      </c>
      <c r="AH5534" s="182" t="n">
        <v>0</v>
      </c>
      <c r="AI5534" s="182" t="n">
        <v>0</v>
      </c>
      <c r="AJ5534" s="182" t="n">
        <v>0</v>
      </c>
      <c r="AK5534" s="182" t="n">
        <v>10.92</v>
      </c>
      <c r="AL5534" s="182" t="n">
        <v>0</v>
      </c>
      <c r="AM5534" s="182" t="n">
        <v>0.08</v>
      </c>
      <c r="AN5534" s="182" t="n">
        <v>0</v>
      </c>
    </row>
    <row r="5535">
      <c r="A5535" s="155" t="n">
        <v>46107</v>
      </c>
      <c r="B5535" s="156" t="inlineStr">
        <is>
          <t>DS</t>
        </is>
      </c>
      <c r="C5535" s="156" t="inlineStr">
        <is>
          <t>DH-101</t>
        </is>
      </c>
      <c r="D5535" s="156" t="inlineStr">
        <is>
          <t>HINO FM260</t>
        </is>
      </c>
      <c r="E5535" s="156" t="inlineStr">
        <is>
          <t>DT Hino</t>
        </is>
      </c>
      <c r="F5535" s="156" t="inlineStr"/>
      <c r="G5535" s="182" t="n">
        <v>0</v>
      </c>
      <c r="H5535" s="182" t="n">
        <v>0</v>
      </c>
      <c r="I5535" s="182" t="n">
        <v>0</v>
      </c>
      <c r="J5535" s="182" t="n">
        <v>0</v>
      </c>
      <c r="K5535" s="182" t="n">
        <v>12</v>
      </c>
      <c r="L5535" s="182" t="n">
        <v>12</v>
      </c>
      <c r="M5535" s="182" t="n">
        <v>0</v>
      </c>
      <c r="N5535" s="182" t="n">
        <v>0</v>
      </c>
      <c r="O5535" s="183" t="n">
        <v>0</v>
      </c>
      <c r="P5535" s="183" t="n">
        <v>0</v>
      </c>
      <c r="Q5535" s="184" t="n">
        <v>0</v>
      </c>
      <c r="R5535" s="184" t="n">
        <v>0</v>
      </c>
      <c r="S5535" s="183" t="n">
        <v>0</v>
      </c>
      <c r="T5535" s="183" t="n">
        <v>0</v>
      </c>
      <c r="U5535" s="182" t="n">
        <v>0</v>
      </c>
      <c r="V5535" s="182" t="n">
        <v>0</v>
      </c>
      <c r="W5535" s="182" t="n">
        <v>0</v>
      </c>
      <c r="X5535" s="182" t="n">
        <v>1</v>
      </c>
      <c r="Y5535" s="182" t="n">
        <v>0</v>
      </c>
      <c r="Z5535" s="182" t="n">
        <v>0</v>
      </c>
      <c r="AA5535" s="182" t="n">
        <v>0</v>
      </c>
      <c r="AB5535" s="182" t="n">
        <v>0</v>
      </c>
      <c r="AC5535" s="182" t="n">
        <v>0</v>
      </c>
      <c r="AD5535" s="182" t="n">
        <v>0</v>
      </c>
      <c r="AE5535" s="182" t="n">
        <v>0</v>
      </c>
      <c r="AF5535" s="182" t="n">
        <v>0</v>
      </c>
      <c r="AG5535" s="182" t="n">
        <v>0</v>
      </c>
      <c r="AH5535" s="182" t="n">
        <v>0</v>
      </c>
      <c r="AI5535" s="182" t="n">
        <v>0</v>
      </c>
      <c r="AJ5535" s="182" t="n">
        <v>0</v>
      </c>
      <c r="AK5535" s="182" t="n">
        <v>10.92</v>
      </c>
      <c r="AL5535" s="182" t="n">
        <v>0</v>
      </c>
      <c r="AM5535" s="182" t="n">
        <v>0.08</v>
      </c>
      <c r="AN5535" s="182" t="n">
        <v>0</v>
      </c>
    </row>
    <row r="5536">
      <c r="A5536" s="155" t="n">
        <v>46107</v>
      </c>
      <c r="B5536" s="156" t="inlineStr">
        <is>
          <t>DS</t>
        </is>
      </c>
      <c r="C5536" s="156" t="inlineStr">
        <is>
          <t>EX-1251</t>
        </is>
      </c>
      <c r="D5536" s="156" t="inlineStr">
        <is>
          <t>SY1250</t>
        </is>
      </c>
      <c r="E5536" s="156" t="inlineStr">
        <is>
          <t>Excavator</t>
        </is>
      </c>
      <c r="F5536" s="156" t="inlineStr">
        <is>
          <t>Loading OB</t>
        </is>
      </c>
      <c r="G5536" s="182" t="n">
        <v>10.29</v>
      </c>
      <c r="H5536" s="182" t="n">
        <v>0</v>
      </c>
      <c r="I5536" s="182" t="n">
        <v>0.18</v>
      </c>
      <c r="J5536" s="182" t="n">
        <v>0.18</v>
      </c>
      <c r="K5536" s="182" t="n">
        <v>1.53</v>
      </c>
      <c r="L5536" s="182" t="n">
        <v>12</v>
      </c>
      <c r="M5536" s="182" t="n">
        <v>9.56</v>
      </c>
      <c r="N5536" s="182" t="n">
        <v>0</v>
      </c>
      <c r="O5536" s="185">
        <f>SUMIFS(INPUT_RITASE!$F$5:$F$20000,INPUT_RITASE!$A$5:$A$20000,$A5536,INPUT_RITASE!$H$5:$H$20000,$B5536,INPUT_RITASE!$C$5:$C$20000,$C5536,INPUT_RITASE!$N$5:$N$20000,"OB")</f>
        <v/>
      </c>
      <c r="P5536" s="185">
        <f>SUMIFS(INPUT_RITASE!$F$5:$F$20000,INPUT_RITASE!$A$5:$A$20000,$A5536,INPUT_RITASE!$H$5:$H$20000,$B5536,INPUT_RITASE!$C$5:$C$20000,$C5536,INPUT_RITASE!$N$5:$N$20000,"Coal")</f>
        <v/>
      </c>
      <c r="Q5536" s="186">
        <f>SUMIFS(INPUT_RITASE!$L$5:$L$20000,INPUT_RITASE!$A$5:$A$20000,$A5536,INPUT_RITASE!$H$5:$H$20000,$B5536,INPUT_RITASE!$C$5:$C$20000,$C5536,INPUT_RITASE!$N$5:$N$20000,"OB")</f>
        <v/>
      </c>
      <c r="R5536" s="186">
        <f>SUMIFS(INPUT_RITASE!$L$5:$L$20000,INPUT_RITASE!$A$5:$A$20000,$A5536,INPUT_RITASE!$H$5:$H$20000,$B5536,INPUT_RITASE!$C$5:$C$20000,$C5536,INPUT_RITASE!$N$5:$N$20000,"Coal")</f>
        <v/>
      </c>
      <c r="S5536" s="183" t="n">
        <v>0</v>
      </c>
      <c r="T5536" s="183" t="n">
        <v>0</v>
      </c>
      <c r="U5536" s="182" t="n">
        <v>0</v>
      </c>
      <c r="V5536" s="182" t="n">
        <v>0</v>
      </c>
      <c r="W5536" s="182" t="n">
        <v>0</v>
      </c>
      <c r="X5536" s="182" t="n">
        <v>1.2</v>
      </c>
      <c r="Y5536" s="182" t="n">
        <v>0</v>
      </c>
      <c r="Z5536" s="182" t="n">
        <v>0</v>
      </c>
      <c r="AA5536" s="182" t="n">
        <v>0</v>
      </c>
      <c r="AB5536" s="182" t="n">
        <v>0</v>
      </c>
      <c r="AC5536" s="182" t="n">
        <v>0</v>
      </c>
      <c r="AD5536" s="182" t="n">
        <v>0</v>
      </c>
      <c r="AE5536" s="182" t="n">
        <v>0</v>
      </c>
      <c r="AF5536" s="182" t="n">
        <v>0</v>
      </c>
      <c r="AG5536" s="182" t="n">
        <v>0</v>
      </c>
      <c r="AH5536" s="182" t="n">
        <v>0.22</v>
      </c>
      <c r="AI5536" s="182" t="n">
        <v>0</v>
      </c>
      <c r="AJ5536" s="182" t="n">
        <v>0</v>
      </c>
      <c r="AK5536" s="182" t="n">
        <v>0</v>
      </c>
      <c r="AL5536" s="182" t="n">
        <v>0</v>
      </c>
      <c r="AM5536" s="182" t="n">
        <v>0.1</v>
      </c>
      <c r="AN5536" s="182" t="n">
        <v>0</v>
      </c>
    </row>
    <row r="5537">
      <c r="A5537" s="155" t="n">
        <v>46107</v>
      </c>
      <c r="B5537" s="156" t="inlineStr">
        <is>
          <t>DS</t>
        </is>
      </c>
      <c r="C5537" s="156" t="inlineStr">
        <is>
          <t>EX-1252</t>
        </is>
      </c>
      <c r="D5537" s="156" t="inlineStr">
        <is>
          <t>SY1250</t>
        </is>
      </c>
      <c r="E5537" s="156" t="inlineStr">
        <is>
          <t>Excavator</t>
        </is>
      </c>
      <c r="F5537" s="156" t="inlineStr">
        <is>
          <t>Loading OB</t>
        </is>
      </c>
      <c r="G5537" s="182" t="n">
        <v>8.890000000000001</v>
      </c>
      <c r="H5537" s="182" t="n">
        <v>0</v>
      </c>
      <c r="I5537" s="182" t="n">
        <v>1.8</v>
      </c>
      <c r="J5537" s="182" t="n">
        <v>1.8</v>
      </c>
      <c r="K5537" s="182" t="n">
        <v>1.31</v>
      </c>
      <c r="L5537" s="182" t="n">
        <v>12</v>
      </c>
      <c r="M5537" s="182" t="n">
        <v>8.09</v>
      </c>
      <c r="N5537" s="182" t="n">
        <v>0</v>
      </c>
      <c r="O5537" s="185">
        <f>SUMIFS(INPUT_RITASE!$F$5:$F$20000,INPUT_RITASE!$A$5:$A$20000,$A5537,INPUT_RITASE!$H$5:$H$20000,$B5537,INPUT_RITASE!$C$5:$C$20000,$C5537,INPUT_RITASE!$N$5:$N$20000,"OB")</f>
        <v/>
      </c>
      <c r="P5537" s="185">
        <f>SUMIFS(INPUT_RITASE!$F$5:$F$20000,INPUT_RITASE!$A$5:$A$20000,$A5537,INPUT_RITASE!$H$5:$H$20000,$B5537,INPUT_RITASE!$C$5:$C$20000,$C5537,INPUT_RITASE!$N$5:$N$20000,"Coal")</f>
        <v/>
      </c>
      <c r="Q5537" s="186">
        <f>SUMIFS(INPUT_RITASE!$L$5:$L$20000,INPUT_RITASE!$A$5:$A$20000,$A5537,INPUT_RITASE!$H$5:$H$20000,$B5537,INPUT_RITASE!$C$5:$C$20000,$C5537,INPUT_RITASE!$N$5:$N$20000,"OB")</f>
        <v/>
      </c>
      <c r="R5537" s="186">
        <f>SUMIFS(INPUT_RITASE!$L$5:$L$20000,INPUT_RITASE!$A$5:$A$20000,$A5537,INPUT_RITASE!$H$5:$H$20000,$B5537,INPUT_RITASE!$C$5:$C$20000,$C5537,INPUT_RITASE!$N$5:$N$20000,"Coal")</f>
        <v/>
      </c>
      <c r="S5537" s="183" t="n">
        <v>0</v>
      </c>
      <c r="T5537" s="183" t="n">
        <v>0</v>
      </c>
      <c r="U5537" s="182" t="n">
        <v>0</v>
      </c>
      <c r="V5537" s="182" t="n">
        <v>0</v>
      </c>
      <c r="W5537" s="182" t="n">
        <v>0</v>
      </c>
      <c r="X5537" s="182" t="n">
        <v>1.38</v>
      </c>
      <c r="Y5537" s="182" t="n">
        <v>0</v>
      </c>
      <c r="Z5537" s="182" t="n">
        <v>0</v>
      </c>
      <c r="AA5537" s="182" t="n">
        <v>0</v>
      </c>
      <c r="AB5537" s="182" t="n">
        <v>0</v>
      </c>
      <c r="AC5537" s="182" t="n">
        <v>0</v>
      </c>
      <c r="AD5537" s="182" t="n">
        <v>0</v>
      </c>
      <c r="AE5537" s="182" t="n">
        <v>0</v>
      </c>
      <c r="AF5537" s="182" t="n">
        <v>0</v>
      </c>
      <c r="AG5537" s="182" t="n">
        <v>0</v>
      </c>
      <c r="AH5537" s="182" t="n">
        <v>0.17</v>
      </c>
      <c r="AI5537" s="182" t="n">
        <v>0</v>
      </c>
      <c r="AJ5537" s="182" t="n">
        <v>0</v>
      </c>
      <c r="AK5537" s="182" t="n">
        <v>0</v>
      </c>
      <c r="AL5537" s="182" t="n">
        <v>0</v>
      </c>
      <c r="AM5537" s="182" t="n">
        <v>0.11</v>
      </c>
      <c r="AN5537" s="182" t="n">
        <v>-0.34</v>
      </c>
    </row>
    <row r="5538">
      <c r="A5538" s="155" t="n">
        <v>46107</v>
      </c>
      <c r="B5538" s="156" t="inlineStr">
        <is>
          <t>DS</t>
        </is>
      </c>
      <c r="C5538" s="156" t="inlineStr">
        <is>
          <t>EX-2101</t>
        </is>
      </c>
      <c r="D5538" s="156" t="inlineStr">
        <is>
          <t>SY2000</t>
        </is>
      </c>
      <c r="E5538" s="156" t="inlineStr">
        <is>
          <t>Excavator</t>
        </is>
      </c>
      <c r="F5538" s="156" t="inlineStr">
        <is>
          <t>Loading OB</t>
        </is>
      </c>
      <c r="G5538" s="182" t="n">
        <v>11.03</v>
      </c>
      <c r="H5538" s="182" t="n">
        <v>0</v>
      </c>
      <c r="I5538" s="182" t="n">
        <v>0</v>
      </c>
      <c r="J5538" s="182" t="n">
        <v>0</v>
      </c>
      <c r="K5538" s="182" t="n">
        <v>0.97</v>
      </c>
      <c r="L5538" s="182" t="n">
        <v>12</v>
      </c>
      <c r="M5538" s="182" t="n">
        <v>10.77</v>
      </c>
      <c r="N5538" s="182" t="n">
        <v>0</v>
      </c>
      <c r="O5538" s="185">
        <f>SUMIFS(INPUT_RITASE!$F$5:$F$20000,INPUT_RITASE!$A$5:$A$20000,$A5538,INPUT_RITASE!$H$5:$H$20000,$B5538,INPUT_RITASE!$C$5:$C$20000,$C5538,INPUT_RITASE!$N$5:$N$20000,"OB")</f>
        <v/>
      </c>
      <c r="P5538" s="185">
        <f>SUMIFS(INPUT_RITASE!$F$5:$F$20000,INPUT_RITASE!$A$5:$A$20000,$A5538,INPUT_RITASE!$H$5:$H$20000,$B5538,INPUT_RITASE!$C$5:$C$20000,$C5538,INPUT_RITASE!$N$5:$N$20000,"Coal")</f>
        <v/>
      </c>
      <c r="Q5538" s="186">
        <f>SUMIFS(INPUT_RITASE!$L$5:$L$20000,INPUT_RITASE!$A$5:$A$20000,$A5538,INPUT_RITASE!$H$5:$H$20000,$B5538,INPUT_RITASE!$C$5:$C$20000,$C5538,INPUT_RITASE!$N$5:$N$20000,"OB")</f>
        <v/>
      </c>
      <c r="R5538" s="186">
        <f>SUMIFS(INPUT_RITASE!$L$5:$L$20000,INPUT_RITASE!$A$5:$A$20000,$A5538,INPUT_RITASE!$H$5:$H$20000,$B5538,INPUT_RITASE!$C$5:$C$20000,$C5538,INPUT_RITASE!$N$5:$N$20000,"Coal")</f>
        <v/>
      </c>
      <c r="S5538" s="183" t="n">
        <v>0</v>
      </c>
      <c r="T5538" s="183" t="n">
        <v>0</v>
      </c>
      <c r="U5538" s="182" t="n">
        <v>0</v>
      </c>
      <c r="V5538" s="182" t="n">
        <v>0</v>
      </c>
      <c r="W5538" s="182" t="n">
        <v>0</v>
      </c>
      <c r="X5538" s="182" t="n">
        <v>0.73</v>
      </c>
      <c r="Y5538" s="182" t="n">
        <v>0</v>
      </c>
      <c r="Z5538" s="182" t="n">
        <v>0</v>
      </c>
      <c r="AA5538" s="182" t="n">
        <v>0</v>
      </c>
      <c r="AB5538" s="182" t="n">
        <v>0</v>
      </c>
      <c r="AC5538" s="182" t="n">
        <v>0</v>
      </c>
      <c r="AD5538" s="182" t="n">
        <v>0</v>
      </c>
      <c r="AE5538" s="182" t="n">
        <v>0</v>
      </c>
      <c r="AF5538" s="182" t="n">
        <v>0</v>
      </c>
      <c r="AG5538" s="182" t="n">
        <v>0</v>
      </c>
      <c r="AH5538" s="182" t="n">
        <v>0</v>
      </c>
      <c r="AI5538" s="182" t="n">
        <v>0</v>
      </c>
      <c r="AJ5538" s="182" t="n">
        <v>0.18</v>
      </c>
      <c r="AK5538" s="182" t="n">
        <v>0</v>
      </c>
      <c r="AL5538" s="182" t="n">
        <v>0</v>
      </c>
      <c r="AM5538" s="182" t="n">
        <v>0.06</v>
      </c>
      <c r="AN5538" s="182" t="n">
        <v>0</v>
      </c>
    </row>
    <row r="5539">
      <c r="A5539" s="155" t="n">
        <v>46107</v>
      </c>
      <c r="B5539" s="156" t="inlineStr">
        <is>
          <t>DS</t>
        </is>
      </c>
      <c r="C5539" s="156" t="inlineStr">
        <is>
          <t>EX-222</t>
        </is>
      </c>
      <c r="D5539" s="156" t="inlineStr">
        <is>
          <t>PC 200-8MI</t>
        </is>
      </c>
      <c r="E5539" s="156" t="inlineStr">
        <is>
          <t>Excavator</t>
        </is>
      </c>
      <c r="F5539" s="156" t="inlineStr">
        <is>
          <t>Support Washing Plant</t>
        </is>
      </c>
      <c r="G5539" s="182" t="n">
        <v>12</v>
      </c>
      <c r="H5539" s="182" t="n">
        <v>0</v>
      </c>
      <c r="I5539" s="182" t="n">
        <v>0</v>
      </c>
      <c r="J5539" s="182" t="n">
        <v>0</v>
      </c>
      <c r="K5539" s="182" t="n">
        <v>0</v>
      </c>
      <c r="L5539" s="182" t="n">
        <v>12</v>
      </c>
      <c r="M5539" s="182" t="n">
        <v>0</v>
      </c>
      <c r="N5539" s="182" t="n">
        <v>0</v>
      </c>
      <c r="O5539" s="185">
        <f>SUMIFS(INPUT_RITASE!$F$5:$F$20000,INPUT_RITASE!$A$5:$A$20000,$A5539,INPUT_RITASE!$H$5:$H$20000,$B5539,INPUT_RITASE!$C$5:$C$20000,$C5539,INPUT_RITASE!$N$5:$N$20000,"OB")</f>
        <v/>
      </c>
      <c r="P5539" s="185">
        <f>SUMIFS(INPUT_RITASE!$F$5:$F$20000,INPUT_RITASE!$A$5:$A$20000,$A5539,INPUT_RITASE!$H$5:$H$20000,$B5539,INPUT_RITASE!$C$5:$C$20000,$C5539,INPUT_RITASE!$N$5:$N$20000,"Coal")</f>
        <v/>
      </c>
      <c r="Q5539" s="186">
        <f>SUMIFS(INPUT_RITASE!$L$5:$L$20000,INPUT_RITASE!$A$5:$A$20000,$A5539,INPUT_RITASE!$H$5:$H$20000,$B5539,INPUT_RITASE!$C$5:$C$20000,$C5539,INPUT_RITASE!$N$5:$N$20000,"OB")</f>
        <v/>
      </c>
      <c r="R5539" s="186">
        <f>SUMIFS(INPUT_RITASE!$L$5:$L$20000,INPUT_RITASE!$A$5:$A$20000,$A5539,INPUT_RITASE!$H$5:$H$20000,$B5539,INPUT_RITASE!$C$5:$C$20000,$C5539,INPUT_RITASE!$N$5:$N$20000,"Coal")</f>
        <v/>
      </c>
      <c r="S5539" s="183" t="n">
        <v>0</v>
      </c>
      <c r="T5539" s="183" t="n">
        <v>0</v>
      </c>
      <c r="U5539" s="182" t="n">
        <v>0</v>
      </c>
      <c r="V5539" s="182" t="n">
        <v>0</v>
      </c>
      <c r="W5539" s="182" t="n">
        <v>0</v>
      </c>
      <c r="X5539" s="182" t="n">
        <v>0</v>
      </c>
      <c r="Y5539" s="182" t="n">
        <v>0</v>
      </c>
      <c r="Z5539" s="182" t="n">
        <v>0</v>
      </c>
      <c r="AA5539" s="182" t="n">
        <v>0</v>
      </c>
      <c r="AB5539" s="182" t="n">
        <v>0</v>
      </c>
      <c r="AC5539" s="182" t="n">
        <v>0</v>
      </c>
      <c r="AD5539" s="182" t="n">
        <v>0</v>
      </c>
      <c r="AE5539" s="182" t="n">
        <v>0</v>
      </c>
      <c r="AF5539" s="182" t="n">
        <v>0</v>
      </c>
      <c r="AG5539" s="182" t="n">
        <v>0</v>
      </c>
      <c r="AH5539" s="182" t="n">
        <v>0</v>
      </c>
      <c r="AI5539" s="182" t="n">
        <v>0</v>
      </c>
      <c r="AJ5539" s="182" t="n">
        <v>0</v>
      </c>
      <c r="AK5539" s="182" t="n">
        <v>0</v>
      </c>
      <c r="AL5539" s="182" t="n">
        <v>0</v>
      </c>
      <c r="AM5539" s="182" t="n">
        <v>0</v>
      </c>
      <c r="AN5539" s="182" t="n">
        <v>0</v>
      </c>
    </row>
    <row r="5540">
      <c r="A5540" s="155" t="n">
        <v>46107</v>
      </c>
      <c r="B5540" s="156" t="inlineStr">
        <is>
          <t>DS</t>
        </is>
      </c>
      <c r="C5540" s="156" t="inlineStr">
        <is>
          <t>EX-225</t>
        </is>
      </c>
      <c r="D5540" s="156" t="inlineStr">
        <is>
          <t>PC 200-8</t>
        </is>
      </c>
      <c r="E5540" s="156" t="inlineStr">
        <is>
          <t>Excavator</t>
        </is>
      </c>
      <c r="F5540" s="156" t="inlineStr"/>
      <c r="G5540" s="182" t="n">
        <v>0</v>
      </c>
      <c r="H5540" s="182" t="n">
        <v>0</v>
      </c>
      <c r="I5540" s="182" t="n">
        <v>12</v>
      </c>
      <c r="J5540" s="182" t="n">
        <v>12</v>
      </c>
      <c r="K5540" s="182" t="n">
        <v>0</v>
      </c>
      <c r="L5540" s="182" t="n">
        <v>12</v>
      </c>
      <c r="M5540" s="182" t="n">
        <v>0</v>
      </c>
      <c r="N5540" s="182" t="n">
        <v>0</v>
      </c>
      <c r="O5540" s="185">
        <f>SUMIFS(INPUT_RITASE!$F$5:$F$20000,INPUT_RITASE!$A$5:$A$20000,$A5540,INPUT_RITASE!$H$5:$H$20000,$B5540,INPUT_RITASE!$C$5:$C$20000,$C5540,INPUT_RITASE!$N$5:$N$20000,"OB")</f>
        <v/>
      </c>
      <c r="P5540" s="185">
        <f>SUMIFS(INPUT_RITASE!$F$5:$F$20000,INPUT_RITASE!$A$5:$A$20000,$A5540,INPUT_RITASE!$H$5:$H$20000,$B5540,INPUT_RITASE!$C$5:$C$20000,$C5540,INPUT_RITASE!$N$5:$N$20000,"Coal")</f>
        <v/>
      </c>
      <c r="Q5540" s="186">
        <f>SUMIFS(INPUT_RITASE!$L$5:$L$20000,INPUT_RITASE!$A$5:$A$20000,$A5540,INPUT_RITASE!$H$5:$H$20000,$B5540,INPUT_RITASE!$C$5:$C$20000,$C5540,INPUT_RITASE!$N$5:$N$20000,"OB")</f>
        <v/>
      </c>
      <c r="R5540" s="186">
        <f>SUMIFS(INPUT_RITASE!$L$5:$L$20000,INPUT_RITASE!$A$5:$A$20000,$A5540,INPUT_RITASE!$H$5:$H$20000,$B5540,INPUT_RITASE!$C$5:$C$20000,$C5540,INPUT_RITASE!$N$5:$N$20000,"Coal")</f>
        <v/>
      </c>
      <c r="S5540" s="183" t="n">
        <v>0</v>
      </c>
      <c r="T5540" s="183" t="n">
        <v>0</v>
      </c>
      <c r="U5540" s="182" t="n">
        <v>0</v>
      </c>
      <c r="V5540" s="182" t="n">
        <v>0</v>
      </c>
      <c r="W5540" s="182" t="n">
        <v>0</v>
      </c>
      <c r="X5540" s="182" t="n">
        <v>0</v>
      </c>
      <c r="Y5540" s="182" t="n">
        <v>0</v>
      </c>
      <c r="Z5540" s="182" t="n">
        <v>0</v>
      </c>
      <c r="AA5540" s="182" t="n">
        <v>0</v>
      </c>
      <c r="AB5540" s="182" t="n">
        <v>0</v>
      </c>
      <c r="AC5540" s="182" t="n">
        <v>0</v>
      </c>
      <c r="AD5540" s="182" t="n">
        <v>0</v>
      </c>
      <c r="AE5540" s="182" t="n">
        <v>0</v>
      </c>
      <c r="AF5540" s="182" t="n">
        <v>0</v>
      </c>
      <c r="AG5540" s="182" t="n">
        <v>0</v>
      </c>
      <c r="AH5540" s="182" t="n">
        <v>0</v>
      </c>
      <c r="AI5540" s="182" t="n">
        <v>0</v>
      </c>
      <c r="AJ5540" s="182" t="n">
        <v>0</v>
      </c>
      <c r="AK5540" s="182" t="n">
        <v>0</v>
      </c>
      <c r="AL5540" s="182" t="n">
        <v>0</v>
      </c>
      <c r="AM5540" s="182" t="n">
        <v>0</v>
      </c>
      <c r="AN5540" s="182" t="n">
        <v>0</v>
      </c>
    </row>
    <row r="5541">
      <c r="A5541" s="155" t="n">
        <v>46107</v>
      </c>
      <c r="B5541" s="156" t="inlineStr">
        <is>
          <t>DS</t>
        </is>
      </c>
      <c r="C5541" s="156" t="inlineStr">
        <is>
          <t>EX-223</t>
        </is>
      </c>
      <c r="D5541" s="156" t="inlineStr">
        <is>
          <t>PC 200-8MI</t>
        </is>
      </c>
      <c r="E5541" s="156" t="inlineStr">
        <is>
          <t>Excavator</t>
        </is>
      </c>
      <c r="F5541" s="156" t="inlineStr">
        <is>
          <t>Support Washing Plant</t>
        </is>
      </c>
      <c r="G5541" s="182" t="n">
        <v>9.890000000000001</v>
      </c>
      <c r="H5541" s="182" t="n">
        <v>0</v>
      </c>
      <c r="I5541" s="182" t="n">
        <v>0</v>
      </c>
      <c r="J5541" s="182" t="n">
        <v>0</v>
      </c>
      <c r="K5541" s="182" t="n">
        <v>2.11</v>
      </c>
      <c r="L5541" s="182" t="n">
        <v>12</v>
      </c>
      <c r="M5541" s="182" t="n">
        <v>0</v>
      </c>
      <c r="N5541" s="182" t="n">
        <v>0</v>
      </c>
      <c r="O5541" s="185">
        <f>SUMIFS(INPUT_RITASE!$F$5:$F$20000,INPUT_RITASE!$A$5:$A$20000,$A5541,INPUT_RITASE!$H$5:$H$20000,$B5541,INPUT_RITASE!$C$5:$C$20000,$C5541,INPUT_RITASE!$N$5:$N$20000,"OB")</f>
        <v/>
      </c>
      <c r="P5541" s="185">
        <f>SUMIFS(INPUT_RITASE!$F$5:$F$20000,INPUT_RITASE!$A$5:$A$20000,$A5541,INPUT_RITASE!$H$5:$H$20000,$B5541,INPUT_RITASE!$C$5:$C$20000,$C5541,INPUT_RITASE!$N$5:$N$20000,"Coal")</f>
        <v/>
      </c>
      <c r="Q5541" s="186">
        <f>SUMIFS(INPUT_RITASE!$L$5:$L$20000,INPUT_RITASE!$A$5:$A$20000,$A5541,INPUT_RITASE!$H$5:$H$20000,$B5541,INPUT_RITASE!$C$5:$C$20000,$C5541,INPUT_RITASE!$N$5:$N$20000,"OB")</f>
        <v/>
      </c>
      <c r="R5541" s="186">
        <f>SUMIFS(INPUT_RITASE!$L$5:$L$20000,INPUT_RITASE!$A$5:$A$20000,$A5541,INPUT_RITASE!$H$5:$H$20000,$B5541,INPUT_RITASE!$C$5:$C$20000,$C5541,INPUT_RITASE!$N$5:$N$20000,"Coal")</f>
        <v/>
      </c>
      <c r="S5541" s="183" t="n">
        <v>0</v>
      </c>
      <c r="T5541" s="183" t="n">
        <v>0</v>
      </c>
      <c r="U5541" s="182" t="n">
        <v>0</v>
      </c>
      <c r="V5541" s="182" t="n">
        <v>0</v>
      </c>
      <c r="W5541" s="182" t="n">
        <v>0</v>
      </c>
      <c r="X5541" s="182" t="n">
        <v>1</v>
      </c>
      <c r="Y5541" s="182" t="n">
        <v>0</v>
      </c>
      <c r="Z5541" s="182" t="n">
        <v>0</v>
      </c>
      <c r="AA5541" s="182" t="n">
        <v>0</v>
      </c>
      <c r="AB5541" s="182" t="n">
        <v>0</v>
      </c>
      <c r="AC5541" s="182" t="n">
        <v>0</v>
      </c>
      <c r="AD5541" s="182" t="n">
        <v>0</v>
      </c>
      <c r="AE5541" s="182" t="n">
        <v>0</v>
      </c>
      <c r="AF5541" s="182" t="n">
        <v>0</v>
      </c>
      <c r="AG5541" s="182" t="n">
        <v>0</v>
      </c>
      <c r="AH5541" s="182" t="n">
        <v>0</v>
      </c>
      <c r="AI5541" s="182" t="n">
        <v>0</v>
      </c>
      <c r="AJ5541" s="182" t="n">
        <v>0</v>
      </c>
      <c r="AK5541" s="182" t="n">
        <v>1.02</v>
      </c>
      <c r="AL5541" s="182" t="n">
        <v>0</v>
      </c>
      <c r="AM5541" s="182" t="n">
        <v>0.08</v>
      </c>
      <c r="AN5541" s="182" t="n">
        <v>0</v>
      </c>
    </row>
    <row r="5542">
      <c r="A5542" s="155" t="n">
        <v>46107</v>
      </c>
      <c r="B5542" s="156" t="inlineStr">
        <is>
          <t>DS</t>
        </is>
      </c>
      <c r="C5542" s="156" t="inlineStr">
        <is>
          <t>EX-221</t>
        </is>
      </c>
      <c r="D5542" s="156" t="inlineStr">
        <is>
          <t>PC 200-8MI</t>
        </is>
      </c>
      <c r="E5542" s="156" t="inlineStr">
        <is>
          <t>Excavator</t>
        </is>
      </c>
      <c r="F5542" s="156" t="inlineStr">
        <is>
          <t>General Jetty</t>
        </is>
      </c>
      <c r="G5542" s="182" t="n">
        <v>9.51</v>
      </c>
      <c r="H5542" s="182" t="n">
        <v>0</v>
      </c>
      <c r="I5542" s="182" t="n">
        <v>0</v>
      </c>
      <c r="J5542" s="182" t="n">
        <v>0</v>
      </c>
      <c r="K5542" s="182" t="n">
        <v>2.49</v>
      </c>
      <c r="L5542" s="182" t="n">
        <v>12</v>
      </c>
      <c r="M5542" s="182" t="n">
        <v>0</v>
      </c>
      <c r="N5542" s="182" t="n">
        <v>0</v>
      </c>
      <c r="O5542" s="185">
        <f>SUMIFS(INPUT_RITASE!$F$5:$F$20000,INPUT_RITASE!$A$5:$A$20000,$A5542,INPUT_RITASE!$H$5:$H$20000,$B5542,INPUT_RITASE!$C$5:$C$20000,$C5542,INPUT_RITASE!$N$5:$N$20000,"OB")</f>
        <v/>
      </c>
      <c r="P5542" s="185">
        <f>SUMIFS(INPUT_RITASE!$F$5:$F$20000,INPUT_RITASE!$A$5:$A$20000,$A5542,INPUT_RITASE!$H$5:$H$20000,$B5542,INPUT_RITASE!$C$5:$C$20000,$C5542,INPUT_RITASE!$N$5:$N$20000,"Coal")</f>
        <v/>
      </c>
      <c r="Q5542" s="186">
        <f>SUMIFS(INPUT_RITASE!$L$5:$L$20000,INPUT_RITASE!$A$5:$A$20000,$A5542,INPUT_RITASE!$H$5:$H$20000,$B5542,INPUT_RITASE!$C$5:$C$20000,$C5542,INPUT_RITASE!$N$5:$N$20000,"OB")</f>
        <v/>
      </c>
      <c r="R5542" s="186">
        <f>SUMIFS(INPUT_RITASE!$L$5:$L$20000,INPUT_RITASE!$A$5:$A$20000,$A5542,INPUT_RITASE!$H$5:$H$20000,$B5542,INPUT_RITASE!$C$5:$C$20000,$C5542,INPUT_RITASE!$N$5:$N$20000,"Coal")</f>
        <v/>
      </c>
      <c r="S5542" s="183" t="n">
        <v>0</v>
      </c>
      <c r="T5542" s="183" t="n">
        <v>0</v>
      </c>
      <c r="U5542" s="182" t="n">
        <v>0</v>
      </c>
      <c r="V5542" s="182" t="n">
        <v>0</v>
      </c>
      <c r="W5542" s="182" t="n">
        <v>0</v>
      </c>
      <c r="X5542" s="182" t="n">
        <v>0.96</v>
      </c>
      <c r="Y5542" s="182" t="n">
        <v>0</v>
      </c>
      <c r="Z5542" s="182" t="n">
        <v>0</v>
      </c>
      <c r="AA5542" s="182" t="n">
        <v>0</v>
      </c>
      <c r="AB5542" s="182" t="n">
        <v>0</v>
      </c>
      <c r="AC5542" s="182" t="n">
        <v>0</v>
      </c>
      <c r="AD5542" s="182" t="n">
        <v>0</v>
      </c>
      <c r="AE5542" s="182" t="n">
        <v>0</v>
      </c>
      <c r="AF5542" s="182" t="n">
        <v>0</v>
      </c>
      <c r="AG5542" s="182" t="n">
        <v>0</v>
      </c>
      <c r="AH5542" s="182" t="n">
        <v>0</v>
      </c>
      <c r="AI5542" s="182" t="n">
        <v>0</v>
      </c>
      <c r="AJ5542" s="182" t="n">
        <v>0</v>
      </c>
      <c r="AK5542" s="182" t="n">
        <v>1.46</v>
      </c>
      <c r="AL5542" s="182" t="n">
        <v>0</v>
      </c>
      <c r="AM5542" s="182" t="n">
        <v>0.08</v>
      </c>
      <c r="AN5542" s="182" t="n">
        <v>0</v>
      </c>
    </row>
    <row r="5543">
      <c r="A5543" s="155" t="n">
        <v>46107</v>
      </c>
      <c r="B5543" s="156" t="inlineStr">
        <is>
          <t>DS</t>
        </is>
      </c>
      <c r="C5543" s="156" t="inlineStr">
        <is>
          <t>EX-331</t>
        </is>
      </c>
      <c r="D5543" s="156" t="inlineStr">
        <is>
          <t>PC 300-8MO</t>
        </is>
      </c>
      <c r="E5543" s="156" t="inlineStr">
        <is>
          <t>Excavator</t>
        </is>
      </c>
      <c r="F5543" s="156" t="inlineStr"/>
      <c r="G5543" s="182" t="n">
        <v>0</v>
      </c>
      <c r="H5543" s="182" t="n">
        <v>0</v>
      </c>
      <c r="I5543" s="182" t="n">
        <v>12</v>
      </c>
      <c r="J5543" s="182" t="n">
        <v>12</v>
      </c>
      <c r="K5543" s="182" t="n">
        <v>0</v>
      </c>
      <c r="L5543" s="182" t="n">
        <v>12</v>
      </c>
      <c r="M5543" s="182" t="n">
        <v>0</v>
      </c>
      <c r="N5543" s="182" t="n">
        <v>0</v>
      </c>
      <c r="O5543" s="185">
        <f>SUMIFS(INPUT_RITASE!$F$5:$F$20000,INPUT_RITASE!$A$5:$A$20000,$A5543,INPUT_RITASE!$H$5:$H$20000,$B5543,INPUT_RITASE!$C$5:$C$20000,$C5543,INPUT_RITASE!$N$5:$N$20000,"OB")</f>
        <v/>
      </c>
      <c r="P5543" s="185">
        <f>SUMIFS(INPUT_RITASE!$F$5:$F$20000,INPUT_RITASE!$A$5:$A$20000,$A5543,INPUT_RITASE!$H$5:$H$20000,$B5543,INPUT_RITASE!$C$5:$C$20000,$C5543,INPUT_RITASE!$N$5:$N$20000,"Coal")</f>
        <v/>
      </c>
      <c r="Q5543" s="186">
        <f>SUMIFS(INPUT_RITASE!$L$5:$L$20000,INPUT_RITASE!$A$5:$A$20000,$A5543,INPUT_RITASE!$H$5:$H$20000,$B5543,INPUT_RITASE!$C$5:$C$20000,$C5543,INPUT_RITASE!$N$5:$N$20000,"OB")</f>
        <v/>
      </c>
      <c r="R5543" s="186">
        <f>SUMIFS(INPUT_RITASE!$L$5:$L$20000,INPUT_RITASE!$A$5:$A$20000,$A5543,INPUT_RITASE!$H$5:$H$20000,$B5543,INPUT_RITASE!$C$5:$C$20000,$C5543,INPUT_RITASE!$N$5:$N$20000,"Coal")</f>
        <v/>
      </c>
      <c r="S5543" s="183" t="n">
        <v>0</v>
      </c>
      <c r="T5543" s="183" t="n">
        <v>0</v>
      </c>
      <c r="U5543" s="182" t="n">
        <v>0</v>
      </c>
      <c r="V5543" s="182" t="n">
        <v>0</v>
      </c>
      <c r="W5543" s="182" t="n">
        <v>0</v>
      </c>
      <c r="X5543" s="182" t="n">
        <v>0</v>
      </c>
      <c r="Y5543" s="182" t="n">
        <v>0</v>
      </c>
      <c r="Z5543" s="182" t="n">
        <v>0</v>
      </c>
      <c r="AA5543" s="182" t="n">
        <v>0</v>
      </c>
      <c r="AB5543" s="182" t="n">
        <v>0</v>
      </c>
      <c r="AC5543" s="182" t="n">
        <v>0</v>
      </c>
      <c r="AD5543" s="182" t="n">
        <v>0</v>
      </c>
      <c r="AE5543" s="182" t="n">
        <v>0</v>
      </c>
      <c r="AF5543" s="182" t="n">
        <v>0</v>
      </c>
      <c r="AG5543" s="182" t="n">
        <v>0</v>
      </c>
      <c r="AH5543" s="182" t="n">
        <v>0</v>
      </c>
      <c r="AI5543" s="182" t="n">
        <v>0</v>
      </c>
      <c r="AJ5543" s="182" t="n">
        <v>0</v>
      </c>
      <c r="AK5543" s="182" t="n">
        <v>0</v>
      </c>
      <c r="AL5543" s="182" t="n">
        <v>0</v>
      </c>
      <c r="AM5543" s="182" t="n">
        <v>0</v>
      </c>
      <c r="AN5543" s="182" t="n">
        <v>0</v>
      </c>
    </row>
    <row r="5544">
      <c r="A5544" s="155" t="n">
        <v>46107</v>
      </c>
      <c r="B5544" s="156" t="inlineStr">
        <is>
          <t>DS</t>
        </is>
      </c>
      <c r="C5544" s="156" t="inlineStr">
        <is>
          <t>EX-334</t>
        </is>
      </c>
      <c r="D5544" s="156" t="inlineStr">
        <is>
          <t>PC 300-8MO</t>
        </is>
      </c>
      <c r="E5544" s="156" t="inlineStr">
        <is>
          <t>Excavator</t>
        </is>
      </c>
      <c r="F5544" s="156" t="inlineStr">
        <is>
          <t>Loading Coal &amp; Cleaning Coal</t>
        </is>
      </c>
      <c r="G5544" s="182" t="n">
        <v>6.58</v>
      </c>
      <c r="H5544" s="182" t="n">
        <v>0</v>
      </c>
      <c r="I5544" s="182" t="n">
        <v>3.33</v>
      </c>
      <c r="J5544" s="182" t="n">
        <v>3.33</v>
      </c>
      <c r="K5544" s="182" t="n">
        <v>2.09</v>
      </c>
      <c r="L5544" s="182" t="n">
        <v>12</v>
      </c>
      <c r="M5544" s="182" t="n">
        <v>0</v>
      </c>
      <c r="N5544" s="182" t="n">
        <v>1.88</v>
      </c>
      <c r="O5544" s="185">
        <f>SUMIFS(INPUT_RITASE!$F$5:$F$20000,INPUT_RITASE!$A$5:$A$20000,$A5544,INPUT_RITASE!$H$5:$H$20000,$B5544,INPUT_RITASE!$C$5:$C$20000,$C5544,INPUT_RITASE!$N$5:$N$20000,"OB")</f>
        <v/>
      </c>
      <c r="P5544" s="185">
        <f>SUMIFS(INPUT_RITASE!$F$5:$F$20000,INPUT_RITASE!$A$5:$A$20000,$A5544,INPUT_RITASE!$H$5:$H$20000,$B5544,INPUT_RITASE!$C$5:$C$20000,$C5544,INPUT_RITASE!$N$5:$N$20000,"Coal")</f>
        <v/>
      </c>
      <c r="Q5544" s="186">
        <f>SUMIFS(INPUT_RITASE!$L$5:$L$20000,INPUT_RITASE!$A$5:$A$20000,$A5544,INPUT_RITASE!$H$5:$H$20000,$B5544,INPUT_RITASE!$C$5:$C$20000,$C5544,INPUT_RITASE!$N$5:$N$20000,"OB")</f>
        <v/>
      </c>
      <c r="R5544" s="186">
        <f>SUMIFS(INPUT_RITASE!$L$5:$L$20000,INPUT_RITASE!$A$5:$A$20000,$A5544,INPUT_RITASE!$H$5:$H$20000,$B5544,INPUT_RITASE!$C$5:$C$20000,$C5544,INPUT_RITASE!$N$5:$N$20000,"Coal")</f>
        <v/>
      </c>
      <c r="S5544" s="183" t="n">
        <v>0</v>
      </c>
      <c r="T5544" s="183" t="n">
        <v>0</v>
      </c>
      <c r="U5544" s="182" t="n">
        <v>0</v>
      </c>
      <c r="V5544" s="182" t="n">
        <v>0</v>
      </c>
      <c r="W5544" s="182" t="n">
        <v>0</v>
      </c>
      <c r="X5544" s="182" t="n">
        <v>1.25</v>
      </c>
      <c r="Y5544" s="182" t="n">
        <v>0</v>
      </c>
      <c r="Z5544" s="182" t="n">
        <v>0</v>
      </c>
      <c r="AA5544" s="182" t="n">
        <v>0</v>
      </c>
      <c r="AB5544" s="182" t="n">
        <v>0</v>
      </c>
      <c r="AC5544" s="182" t="n">
        <v>0</v>
      </c>
      <c r="AD5544" s="182" t="n">
        <v>0</v>
      </c>
      <c r="AE5544" s="182" t="n">
        <v>0</v>
      </c>
      <c r="AF5544" s="182" t="n">
        <v>0</v>
      </c>
      <c r="AG5544" s="182" t="n">
        <v>0</v>
      </c>
      <c r="AH5544" s="182" t="n">
        <v>0.73</v>
      </c>
      <c r="AI5544" s="182" t="n">
        <v>0</v>
      </c>
      <c r="AJ5544" s="182" t="n">
        <v>0</v>
      </c>
      <c r="AK5544" s="182" t="n">
        <v>0</v>
      </c>
      <c r="AL5544" s="182" t="n">
        <v>0</v>
      </c>
      <c r="AM5544" s="182" t="n">
        <v>0.1</v>
      </c>
      <c r="AN5544" s="182" t="n">
        <v>0</v>
      </c>
    </row>
    <row r="5545">
      <c r="A5545" s="155" t="n">
        <v>46107</v>
      </c>
      <c r="B5545" s="156" t="inlineStr">
        <is>
          <t>DS</t>
        </is>
      </c>
      <c r="C5545" s="156" t="inlineStr">
        <is>
          <t>EX-332</t>
        </is>
      </c>
      <c r="D5545" s="156" t="inlineStr">
        <is>
          <t>PC 300-8MO</t>
        </is>
      </c>
      <c r="E5545" s="156" t="inlineStr">
        <is>
          <t>Excavator</t>
        </is>
      </c>
      <c r="F5545" s="156" t="inlineStr">
        <is>
          <t>Cleaning Coal</t>
        </is>
      </c>
      <c r="G5545" s="182" t="n">
        <v>1.55</v>
      </c>
      <c r="H5545" s="182" t="n">
        <v>0</v>
      </c>
      <c r="I5545" s="182" t="n">
        <v>10.32</v>
      </c>
      <c r="J5545" s="182" t="n">
        <v>10.32</v>
      </c>
      <c r="K5545" s="182" t="n">
        <v>0.13</v>
      </c>
      <c r="L5545" s="182" t="n">
        <v>12</v>
      </c>
      <c r="M5545" s="182" t="n">
        <v>0</v>
      </c>
      <c r="N5545" s="182" t="n">
        <v>0</v>
      </c>
      <c r="O5545" s="185">
        <f>SUMIFS(INPUT_RITASE!$F$5:$F$20000,INPUT_RITASE!$A$5:$A$20000,$A5545,INPUT_RITASE!$H$5:$H$20000,$B5545,INPUT_RITASE!$C$5:$C$20000,$C5545,INPUT_RITASE!$N$5:$N$20000,"OB")</f>
        <v/>
      </c>
      <c r="P5545" s="185">
        <f>SUMIFS(INPUT_RITASE!$F$5:$F$20000,INPUT_RITASE!$A$5:$A$20000,$A5545,INPUT_RITASE!$H$5:$H$20000,$B5545,INPUT_RITASE!$C$5:$C$20000,$C5545,INPUT_RITASE!$N$5:$N$20000,"Coal")</f>
        <v/>
      </c>
      <c r="Q5545" s="186">
        <f>SUMIFS(INPUT_RITASE!$L$5:$L$20000,INPUT_RITASE!$A$5:$A$20000,$A5545,INPUT_RITASE!$H$5:$H$20000,$B5545,INPUT_RITASE!$C$5:$C$20000,$C5545,INPUT_RITASE!$N$5:$N$20000,"OB")</f>
        <v/>
      </c>
      <c r="R5545" s="186">
        <f>SUMIFS(INPUT_RITASE!$L$5:$L$20000,INPUT_RITASE!$A$5:$A$20000,$A5545,INPUT_RITASE!$H$5:$H$20000,$B5545,INPUT_RITASE!$C$5:$C$20000,$C5545,INPUT_RITASE!$N$5:$N$20000,"Coal")</f>
        <v/>
      </c>
      <c r="S5545" s="183" t="n">
        <v>0</v>
      </c>
      <c r="T5545" s="183" t="n">
        <v>0</v>
      </c>
      <c r="U5545" s="182" t="n">
        <v>0</v>
      </c>
      <c r="V5545" s="182" t="n">
        <v>0</v>
      </c>
      <c r="W5545" s="182" t="n">
        <v>0</v>
      </c>
      <c r="X5545" s="182" t="n">
        <v>0</v>
      </c>
      <c r="Y5545" s="182" t="n">
        <v>0</v>
      </c>
      <c r="Z5545" s="182" t="n">
        <v>0</v>
      </c>
      <c r="AA5545" s="182" t="n">
        <v>0</v>
      </c>
      <c r="AB5545" s="182" t="n">
        <v>0</v>
      </c>
      <c r="AC5545" s="182" t="n">
        <v>0</v>
      </c>
      <c r="AD5545" s="182" t="n">
        <v>0</v>
      </c>
      <c r="AE5545" s="182" t="n">
        <v>0</v>
      </c>
      <c r="AF5545" s="182" t="n">
        <v>0</v>
      </c>
      <c r="AG5545" s="182" t="n">
        <v>0</v>
      </c>
      <c r="AH5545" s="182" t="n">
        <v>0</v>
      </c>
      <c r="AI5545" s="182" t="n">
        <v>0</v>
      </c>
      <c r="AJ5545" s="182" t="n">
        <v>0</v>
      </c>
      <c r="AK5545" s="182" t="n">
        <v>0</v>
      </c>
      <c r="AL5545" s="182" t="n">
        <v>0</v>
      </c>
      <c r="AM5545" s="182" t="n">
        <v>0.13</v>
      </c>
      <c r="AN5545" s="182" t="n">
        <v>0</v>
      </c>
    </row>
    <row r="5546">
      <c r="A5546" s="155" t="n">
        <v>46107</v>
      </c>
      <c r="B5546" s="156" t="inlineStr">
        <is>
          <t>DS</t>
        </is>
      </c>
      <c r="C5546" s="156" t="inlineStr">
        <is>
          <t>EX-333</t>
        </is>
      </c>
      <c r="D5546" s="156" t="inlineStr">
        <is>
          <t>PC 300-8MO</t>
        </is>
      </c>
      <c r="E5546" s="156" t="inlineStr">
        <is>
          <t>Excavator</t>
        </is>
      </c>
      <c r="F5546" s="156" t="inlineStr">
        <is>
          <t>General Estapet Soil</t>
        </is>
      </c>
      <c r="G5546" s="182" t="n">
        <v>11.28</v>
      </c>
      <c r="H5546" s="182" t="n">
        <v>0</v>
      </c>
      <c r="I5546" s="182" t="n">
        <v>0.32</v>
      </c>
      <c r="J5546" s="182" t="n">
        <v>0.32</v>
      </c>
      <c r="K5546" s="182" t="n">
        <v>0.4</v>
      </c>
      <c r="L5546" s="182" t="n">
        <v>12</v>
      </c>
      <c r="M5546" s="182" t="n">
        <v>0</v>
      </c>
      <c r="N5546" s="182" t="n">
        <v>0</v>
      </c>
      <c r="O5546" s="185">
        <f>SUMIFS(INPUT_RITASE!$F$5:$F$20000,INPUT_RITASE!$A$5:$A$20000,$A5546,INPUT_RITASE!$H$5:$H$20000,$B5546,INPUT_RITASE!$C$5:$C$20000,$C5546,INPUT_RITASE!$N$5:$N$20000,"OB")</f>
        <v/>
      </c>
      <c r="P5546" s="185">
        <f>SUMIFS(INPUT_RITASE!$F$5:$F$20000,INPUT_RITASE!$A$5:$A$20000,$A5546,INPUT_RITASE!$H$5:$H$20000,$B5546,INPUT_RITASE!$C$5:$C$20000,$C5546,INPUT_RITASE!$N$5:$N$20000,"Coal")</f>
        <v/>
      </c>
      <c r="Q5546" s="186">
        <f>SUMIFS(INPUT_RITASE!$L$5:$L$20000,INPUT_RITASE!$A$5:$A$20000,$A5546,INPUT_RITASE!$H$5:$H$20000,$B5546,INPUT_RITASE!$C$5:$C$20000,$C5546,INPUT_RITASE!$N$5:$N$20000,"OB")</f>
        <v/>
      </c>
      <c r="R5546" s="186">
        <f>SUMIFS(INPUT_RITASE!$L$5:$L$20000,INPUT_RITASE!$A$5:$A$20000,$A5546,INPUT_RITASE!$H$5:$H$20000,$B5546,INPUT_RITASE!$C$5:$C$20000,$C5546,INPUT_RITASE!$N$5:$N$20000,"Coal")</f>
        <v/>
      </c>
      <c r="S5546" s="183" t="n">
        <v>0</v>
      </c>
      <c r="T5546" s="183" t="n">
        <v>0</v>
      </c>
      <c r="U5546" s="182" t="n">
        <v>0</v>
      </c>
      <c r="V5546" s="182" t="n">
        <v>0</v>
      </c>
      <c r="W5546" s="182" t="n">
        <v>0</v>
      </c>
      <c r="X5546" s="182" t="n">
        <v>0</v>
      </c>
      <c r="Y5546" s="182" t="n">
        <v>0</v>
      </c>
      <c r="Z5546" s="182" t="n">
        <v>0</v>
      </c>
      <c r="AA5546" s="182" t="n">
        <v>0</v>
      </c>
      <c r="AB5546" s="182" t="n">
        <v>0</v>
      </c>
      <c r="AC5546" s="182" t="n">
        <v>0</v>
      </c>
      <c r="AD5546" s="182" t="n">
        <v>0</v>
      </c>
      <c r="AE5546" s="182" t="n">
        <v>0</v>
      </c>
      <c r="AF5546" s="182" t="n">
        <v>0</v>
      </c>
      <c r="AG5546" s="182" t="n">
        <v>0</v>
      </c>
      <c r="AH5546" s="182" t="n">
        <v>0</v>
      </c>
      <c r="AI5546" s="182" t="n">
        <v>0</v>
      </c>
      <c r="AJ5546" s="182" t="n">
        <v>0</v>
      </c>
      <c r="AK5546" s="182" t="n">
        <v>0</v>
      </c>
      <c r="AL5546" s="182" t="n">
        <v>0</v>
      </c>
      <c r="AM5546" s="182" t="n">
        <v>0.4</v>
      </c>
      <c r="AN5546" s="182" t="n">
        <v>0</v>
      </c>
    </row>
    <row r="5547">
      <c r="A5547" s="155" t="n">
        <v>46107</v>
      </c>
      <c r="B5547" s="156" t="inlineStr">
        <is>
          <t>DS</t>
        </is>
      </c>
      <c r="C5547" s="156" t="inlineStr">
        <is>
          <t>EX-336</t>
        </is>
      </c>
      <c r="D5547" s="156" t="inlineStr">
        <is>
          <t>PC 300-8MO</t>
        </is>
      </c>
      <c r="E5547" s="156" t="inlineStr">
        <is>
          <t>Excavator</t>
        </is>
      </c>
      <c r="F5547" s="156" t="inlineStr">
        <is>
          <t>General Estapet Soil</t>
        </is>
      </c>
      <c r="G5547" s="182" t="n">
        <v>9.539999999999999</v>
      </c>
      <c r="H5547" s="182" t="n">
        <v>0</v>
      </c>
      <c r="I5547" s="182" t="n">
        <v>2.27</v>
      </c>
      <c r="J5547" s="182" t="n">
        <v>2.27</v>
      </c>
      <c r="K5547" s="182" t="n">
        <v>0.19</v>
      </c>
      <c r="L5547" s="182" t="n">
        <v>12</v>
      </c>
      <c r="M5547" s="182" t="n">
        <v>0</v>
      </c>
      <c r="N5547" s="182" t="n">
        <v>0</v>
      </c>
      <c r="O5547" s="185">
        <f>SUMIFS(INPUT_RITASE!$F$5:$F$20000,INPUT_RITASE!$A$5:$A$20000,$A5547,INPUT_RITASE!$H$5:$H$20000,$B5547,INPUT_RITASE!$C$5:$C$20000,$C5547,INPUT_RITASE!$N$5:$N$20000,"OB")</f>
        <v/>
      </c>
      <c r="P5547" s="185">
        <f>SUMIFS(INPUT_RITASE!$F$5:$F$20000,INPUT_RITASE!$A$5:$A$20000,$A5547,INPUT_RITASE!$H$5:$H$20000,$B5547,INPUT_RITASE!$C$5:$C$20000,$C5547,INPUT_RITASE!$N$5:$N$20000,"Coal")</f>
        <v/>
      </c>
      <c r="Q5547" s="186">
        <f>SUMIFS(INPUT_RITASE!$L$5:$L$20000,INPUT_RITASE!$A$5:$A$20000,$A5547,INPUT_RITASE!$H$5:$H$20000,$B5547,INPUT_RITASE!$C$5:$C$20000,$C5547,INPUT_RITASE!$N$5:$N$20000,"OB")</f>
        <v/>
      </c>
      <c r="R5547" s="186">
        <f>SUMIFS(INPUT_RITASE!$L$5:$L$20000,INPUT_RITASE!$A$5:$A$20000,$A5547,INPUT_RITASE!$H$5:$H$20000,$B5547,INPUT_RITASE!$C$5:$C$20000,$C5547,INPUT_RITASE!$N$5:$N$20000,"Coal")</f>
        <v/>
      </c>
      <c r="S5547" s="183" t="n">
        <v>0</v>
      </c>
      <c r="T5547" s="183" t="n">
        <v>0</v>
      </c>
      <c r="U5547" s="182" t="n">
        <v>0</v>
      </c>
      <c r="V5547" s="182" t="n">
        <v>0</v>
      </c>
      <c r="W5547" s="182" t="n">
        <v>0</v>
      </c>
      <c r="X5547" s="182" t="n">
        <v>0.17</v>
      </c>
      <c r="Y5547" s="182" t="n">
        <v>0</v>
      </c>
      <c r="Z5547" s="182" t="n">
        <v>0</v>
      </c>
      <c r="AA5547" s="182" t="n">
        <v>0</v>
      </c>
      <c r="AB5547" s="182" t="n">
        <v>0</v>
      </c>
      <c r="AC5547" s="182" t="n">
        <v>0</v>
      </c>
      <c r="AD5547" s="182" t="n">
        <v>0</v>
      </c>
      <c r="AE5547" s="182" t="n">
        <v>0</v>
      </c>
      <c r="AF5547" s="182" t="n">
        <v>0</v>
      </c>
      <c r="AG5547" s="182" t="n">
        <v>0</v>
      </c>
      <c r="AH5547" s="182" t="n">
        <v>0</v>
      </c>
      <c r="AI5547" s="182" t="n">
        <v>0</v>
      </c>
      <c r="AJ5547" s="182" t="n">
        <v>0</v>
      </c>
      <c r="AK5547" s="182" t="n">
        <v>0</v>
      </c>
      <c r="AL5547" s="182" t="n">
        <v>0</v>
      </c>
      <c r="AM5547" s="182" t="n">
        <v>0.02</v>
      </c>
      <c r="AN5547" s="182" t="n">
        <v>0</v>
      </c>
    </row>
    <row r="5548">
      <c r="A5548" s="155" t="n">
        <v>46107</v>
      </c>
      <c r="B5548" s="156" t="inlineStr">
        <is>
          <t>DS</t>
        </is>
      </c>
      <c r="C5548" s="156" t="inlineStr">
        <is>
          <t>EX-335</t>
        </is>
      </c>
      <c r="D5548" s="156" t="inlineStr">
        <is>
          <t>PC 300-8MO</t>
        </is>
      </c>
      <c r="E5548" s="156" t="inlineStr">
        <is>
          <t>Excavator</t>
        </is>
      </c>
      <c r="F5548" s="156" t="inlineStr"/>
      <c r="G5548" s="182" t="n">
        <v>0</v>
      </c>
      <c r="H5548" s="182" t="n">
        <v>0</v>
      </c>
      <c r="I5548" s="182" t="n">
        <v>12</v>
      </c>
      <c r="J5548" s="182" t="n">
        <v>12</v>
      </c>
      <c r="K5548" s="182" t="n">
        <v>0</v>
      </c>
      <c r="L5548" s="182" t="n">
        <v>12</v>
      </c>
      <c r="M5548" s="182" t="n">
        <v>0</v>
      </c>
      <c r="N5548" s="182" t="n">
        <v>0</v>
      </c>
      <c r="O5548" s="185">
        <f>SUMIFS(INPUT_RITASE!$F$5:$F$20000,INPUT_RITASE!$A$5:$A$20000,$A5548,INPUT_RITASE!$H$5:$H$20000,$B5548,INPUT_RITASE!$C$5:$C$20000,$C5548,INPUT_RITASE!$N$5:$N$20000,"OB")</f>
        <v/>
      </c>
      <c r="P5548" s="185">
        <f>SUMIFS(INPUT_RITASE!$F$5:$F$20000,INPUT_RITASE!$A$5:$A$20000,$A5548,INPUT_RITASE!$H$5:$H$20000,$B5548,INPUT_RITASE!$C$5:$C$20000,$C5548,INPUT_RITASE!$N$5:$N$20000,"Coal")</f>
        <v/>
      </c>
      <c r="Q5548" s="186">
        <f>SUMIFS(INPUT_RITASE!$L$5:$L$20000,INPUT_RITASE!$A$5:$A$20000,$A5548,INPUT_RITASE!$H$5:$H$20000,$B5548,INPUT_RITASE!$C$5:$C$20000,$C5548,INPUT_RITASE!$N$5:$N$20000,"OB")</f>
        <v/>
      </c>
      <c r="R5548" s="186">
        <f>SUMIFS(INPUT_RITASE!$L$5:$L$20000,INPUT_RITASE!$A$5:$A$20000,$A5548,INPUT_RITASE!$H$5:$H$20000,$B5548,INPUT_RITASE!$C$5:$C$20000,$C5548,INPUT_RITASE!$N$5:$N$20000,"Coal")</f>
        <v/>
      </c>
      <c r="S5548" s="183" t="n">
        <v>0</v>
      </c>
      <c r="T5548" s="183" t="n">
        <v>0</v>
      </c>
      <c r="U5548" s="182" t="n">
        <v>0</v>
      </c>
      <c r="V5548" s="182" t="n">
        <v>0</v>
      </c>
      <c r="W5548" s="182" t="n">
        <v>0</v>
      </c>
      <c r="X5548" s="182" t="n">
        <v>0</v>
      </c>
      <c r="Y5548" s="182" t="n">
        <v>0</v>
      </c>
      <c r="Z5548" s="182" t="n">
        <v>0</v>
      </c>
      <c r="AA5548" s="182" t="n">
        <v>0</v>
      </c>
      <c r="AB5548" s="182" t="n">
        <v>0</v>
      </c>
      <c r="AC5548" s="182" t="n">
        <v>0</v>
      </c>
      <c r="AD5548" s="182" t="n">
        <v>0</v>
      </c>
      <c r="AE5548" s="182" t="n">
        <v>0</v>
      </c>
      <c r="AF5548" s="182" t="n">
        <v>0</v>
      </c>
      <c r="AG5548" s="182" t="n">
        <v>0</v>
      </c>
      <c r="AH5548" s="182" t="n">
        <v>0</v>
      </c>
      <c r="AI5548" s="182" t="n">
        <v>0</v>
      </c>
      <c r="AJ5548" s="182" t="n">
        <v>0</v>
      </c>
      <c r="AK5548" s="182" t="n">
        <v>0</v>
      </c>
      <c r="AL5548" s="182" t="n">
        <v>0</v>
      </c>
      <c r="AM5548" s="182" t="n">
        <v>0</v>
      </c>
      <c r="AN5548" s="182" t="n">
        <v>0</v>
      </c>
    </row>
    <row r="5549">
      <c r="A5549" s="155" t="n">
        <v>46107</v>
      </c>
      <c r="B5549" s="156" t="inlineStr">
        <is>
          <t>DS</t>
        </is>
      </c>
      <c r="C5549" s="156" t="inlineStr">
        <is>
          <t>EX-754</t>
        </is>
      </c>
      <c r="D5549" s="156" t="inlineStr">
        <is>
          <t>SY750H-PRO</t>
        </is>
      </c>
      <c r="E5549" s="156" t="inlineStr">
        <is>
          <t>Excavator</t>
        </is>
      </c>
      <c r="F5549" s="156" t="inlineStr"/>
      <c r="G5549" s="182" t="n">
        <v>0</v>
      </c>
      <c r="H5549" s="182" t="n">
        <v>0</v>
      </c>
      <c r="I5549" s="182" t="n">
        <v>12</v>
      </c>
      <c r="J5549" s="182" t="n">
        <v>12</v>
      </c>
      <c r="K5549" s="182" t="n">
        <v>0</v>
      </c>
      <c r="L5549" s="182" t="n">
        <v>12</v>
      </c>
      <c r="M5549" s="182" t="n">
        <v>0</v>
      </c>
      <c r="N5549" s="182" t="n">
        <v>0</v>
      </c>
      <c r="O5549" s="185">
        <f>SUMIFS(INPUT_RITASE!$F$5:$F$20000,INPUT_RITASE!$A$5:$A$20000,$A5549,INPUT_RITASE!$H$5:$H$20000,$B5549,INPUT_RITASE!$C$5:$C$20000,$C5549,INPUT_RITASE!$N$5:$N$20000,"OB")</f>
        <v/>
      </c>
      <c r="P5549" s="185">
        <f>SUMIFS(INPUT_RITASE!$F$5:$F$20000,INPUT_RITASE!$A$5:$A$20000,$A5549,INPUT_RITASE!$H$5:$H$20000,$B5549,INPUT_RITASE!$C$5:$C$20000,$C5549,INPUT_RITASE!$N$5:$N$20000,"Coal")</f>
        <v/>
      </c>
      <c r="Q5549" s="186">
        <f>SUMIFS(INPUT_RITASE!$L$5:$L$20000,INPUT_RITASE!$A$5:$A$20000,$A5549,INPUT_RITASE!$H$5:$H$20000,$B5549,INPUT_RITASE!$C$5:$C$20000,$C5549,INPUT_RITASE!$N$5:$N$20000,"OB")</f>
        <v/>
      </c>
      <c r="R5549" s="186">
        <f>SUMIFS(INPUT_RITASE!$L$5:$L$20000,INPUT_RITASE!$A$5:$A$20000,$A5549,INPUT_RITASE!$H$5:$H$20000,$B5549,INPUT_RITASE!$C$5:$C$20000,$C5549,INPUT_RITASE!$N$5:$N$20000,"Coal")</f>
        <v/>
      </c>
      <c r="S5549" s="183" t="n">
        <v>0</v>
      </c>
      <c r="T5549" s="183" t="n">
        <v>0</v>
      </c>
      <c r="U5549" s="182" t="n">
        <v>0</v>
      </c>
      <c r="V5549" s="182" t="n">
        <v>0</v>
      </c>
      <c r="W5549" s="182" t="n">
        <v>0</v>
      </c>
      <c r="X5549" s="182" t="n">
        <v>0</v>
      </c>
      <c r="Y5549" s="182" t="n">
        <v>0</v>
      </c>
      <c r="Z5549" s="182" t="n">
        <v>0</v>
      </c>
      <c r="AA5549" s="182" t="n">
        <v>0</v>
      </c>
      <c r="AB5549" s="182" t="n">
        <v>0</v>
      </c>
      <c r="AC5549" s="182" t="n">
        <v>0</v>
      </c>
      <c r="AD5549" s="182" t="n">
        <v>0</v>
      </c>
      <c r="AE5549" s="182" t="n">
        <v>0</v>
      </c>
      <c r="AF5549" s="182" t="n">
        <v>0</v>
      </c>
      <c r="AG5549" s="182" t="n">
        <v>0</v>
      </c>
      <c r="AH5549" s="182" t="n">
        <v>0</v>
      </c>
      <c r="AI5549" s="182" t="n">
        <v>0</v>
      </c>
      <c r="AJ5549" s="182" t="n">
        <v>0</v>
      </c>
      <c r="AK5549" s="182" t="n">
        <v>0</v>
      </c>
      <c r="AL5549" s="182" t="n">
        <v>0</v>
      </c>
      <c r="AM5549" s="182" t="n">
        <v>0</v>
      </c>
      <c r="AN5549" s="182" t="n">
        <v>0</v>
      </c>
    </row>
    <row r="5550">
      <c r="A5550" s="155" t="n">
        <v>46107</v>
      </c>
      <c r="B5550" s="156" t="inlineStr">
        <is>
          <t>DS</t>
        </is>
      </c>
      <c r="C5550" s="156" t="inlineStr">
        <is>
          <t>EX-755</t>
        </is>
      </c>
      <c r="D5550" s="156" t="inlineStr">
        <is>
          <t>SY750H-PRO</t>
        </is>
      </c>
      <c r="E5550" s="156" t="inlineStr">
        <is>
          <t>Excavator</t>
        </is>
      </c>
      <c r="F5550" s="156" t="inlineStr">
        <is>
          <t>Loading Coal &amp; OB</t>
        </is>
      </c>
      <c r="G5550" s="182" t="n">
        <v>11.4</v>
      </c>
      <c r="H5550" s="182" t="n">
        <v>0</v>
      </c>
      <c r="I5550" s="182" t="n">
        <v>0</v>
      </c>
      <c r="J5550" s="182" t="n">
        <v>0</v>
      </c>
      <c r="K5550" s="182" t="n">
        <v>0.6</v>
      </c>
      <c r="L5550" s="182" t="n">
        <v>12</v>
      </c>
      <c r="M5550" s="182" t="n">
        <v>3.71</v>
      </c>
      <c r="N5550" s="182" t="n">
        <v>3.97</v>
      </c>
      <c r="O5550" s="185">
        <f>SUMIFS(INPUT_RITASE!$F$5:$F$20000,INPUT_RITASE!$A$5:$A$20000,$A5550,INPUT_RITASE!$H$5:$H$20000,$B5550,INPUT_RITASE!$C$5:$C$20000,$C5550,INPUT_RITASE!$N$5:$N$20000,"OB")</f>
        <v/>
      </c>
      <c r="P5550" s="185">
        <f>SUMIFS(INPUT_RITASE!$F$5:$F$20000,INPUT_RITASE!$A$5:$A$20000,$A5550,INPUT_RITASE!$H$5:$H$20000,$B5550,INPUT_RITASE!$C$5:$C$20000,$C5550,INPUT_RITASE!$N$5:$N$20000,"Coal")</f>
        <v/>
      </c>
      <c r="Q5550" s="186">
        <f>SUMIFS(INPUT_RITASE!$L$5:$L$20000,INPUT_RITASE!$A$5:$A$20000,$A5550,INPUT_RITASE!$H$5:$H$20000,$B5550,INPUT_RITASE!$C$5:$C$20000,$C5550,INPUT_RITASE!$N$5:$N$20000,"OB")</f>
        <v/>
      </c>
      <c r="R5550" s="186">
        <f>SUMIFS(INPUT_RITASE!$L$5:$L$20000,INPUT_RITASE!$A$5:$A$20000,$A5550,INPUT_RITASE!$H$5:$H$20000,$B5550,INPUT_RITASE!$C$5:$C$20000,$C5550,INPUT_RITASE!$N$5:$N$20000,"Coal")</f>
        <v/>
      </c>
      <c r="S5550" s="183" t="n">
        <v>0</v>
      </c>
      <c r="T5550" s="183" t="n">
        <v>0</v>
      </c>
      <c r="U5550" s="182" t="n">
        <v>0</v>
      </c>
      <c r="V5550" s="182" t="n">
        <v>0</v>
      </c>
      <c r="W5550" s="182" t="n">
        <v>0</v>
      </c>
      <c r="X5550" s="182" t="n">
        <v>0.51</v>
      </c>
      <c r="Y5550" s="182" t="n">
        <v>0</v>
      </c>
      <c r="Z5550" s="182" t="n">
        <v>0</v>
      </c>
      <c r="AA5550" s="182" t="n">
        <v>0</v>
      </c>
      <c r="AB5550" s="182" t="n">
        <v>0</v>
      </c>
      <c r="AC5550" s="182" t="n">
        <v>0</v>
      </c>
      <c r="AD5550" s="182" t="n">
        <v>0</v>
      </c>
      <c r="AE5550" s="182" t="n">
        <v>0</v>
      </c>
      <c r="AF5550" s="182" t="n">
        <v>0</v>
      </c>
      <c r="AG5550" s="182" t="n">
        <v>0</v>
      </c>
      <c r="AH5550" s="182" t="n">
        <v>0</v>
      </c>
      <c r="AI5550" s="182" t="n">
        <v>0</v>
      </c>
      <c r="AJ5550" s="182" t="n">
        <v>0</v>
      </c>
      <c r="AK5550" s="182" t="n">
        <v>0</v>
      </c>
      <c r="AL5550" s="182" t="n">
        <v>0</v>
      </c>
      <c r="AM5550" s="182" t="n">
        <v>0.09</v>
      </c>
      <c r="AN5550" s="182" t="n">
        <v>0</v>
      </c>
    </row>
    <row r="5551">
      <c r="A5551" s="155" t="n">
        <v>46107</v>
      </c>
      <c r="B5551" s="156" t="inlineStr">
        <is>
          <t>DS</t>
        </is>
      </c>
      <c r="C5551" s="156" t="inlineStr">
        <is>
          <t>EX-752</t>
        </is>
      </c>
      <c r="D5551" s="156" t="inlineStr">
        <is>
          <t>SY750H-PRO</t>
        </is>
      </c>
      <c r="E5551" s="156" t="inlineStr">
        <is>
          <t>Excavator</t>
        </is>
      </c>
      <c r="F5551" s="156" t="inlineStr"/>
      <c r="G5551" s="182" t="n">
        <v>0</v>
      </c>
      <c r="H5551" s="182" t="n">
        <v>0</v>
      </c>
      <c r="I5551" s="182" t="n">
        <v>12</v>
      </c>
      <c r="J5551" s="182" t="n">
        <v>12</v>
      </c>
      <c r="K5551" s="182" t="n">
        <v>0</v>
      </c>
      <c r="L5551" s="182" t="n">
        <v>12</v>
      </c>
      <c r="M5551" s="182" t="n">
        <v>0</v>
      </c>
      <c r="N5551" s="182" t="n">
        <v>0</v>
      </c>
      <c r="O5551" s="185">
        <f>SUMIFS(INPUT_RITASE!$F$5:$F$20000,INPUT_RITASE!$A$5:$A$20000,$A5551,INPUT_RITASE!$H$5:$H$20000,$B5551,INPUT_RITASE!$C$5:$C$20000,$C5551,INPUT_RITASE!$N$5:$N$20000,"OB")</f>
        <v/>
      </c>
      <c r="P5551" s="185">
        <f>SUMIFS(INPUT_RITASE!$F$5:$F$20000,INPUT_RITASE!$A$5:$A$20000,$A5551,INPUT_RITASE!$H$5:$H$20000,$B5551,INPUT_RITASE!$C$5:$C$20000,$C5551,INPUT_RITASE!$N$5:$N$20000,"Coal")</f>
        <v/>
      </c>
      <c r="Q5551" s="186">
        <f>SUMIFS(INPUT_RITASE!$L$5:$L$20000,INPUT_RITASE!$A$5:$A$20000,$A5551,INPUT_RITASE!$H$5:$H$20000,$B5551,INPUT_RITASE!$C$5:$C$20000,$C5551,INPUT_RITASE!$N$5:$N$20000,"OB")</f>
        <v/>
      </c>
      <c r="R5551" s="186">
        <f>SUMIFS(INPUT_RITASE!$L$5:$L$20000,INPUT_RITASE!$A$5:$A$20000,$A5551,INPUT_RITASE!$H$5:$H$20000,$B5551,INPUT_RITASE!$C$5:$C$20000,$C5551,INPUT_RITASE!$N$5:$N$20000,"Coal")</f>
        <v/>
      </c>
      <c r="S5551" s="183" t="n">
        <v>0</v>
      </c>
      <c r="T5551" s="183" t="n">
        <v>0</v>
      </c>
      <c r="U5551" s="182" t="n">
        <v>0</v>
      </c>
      <c r="V5551" s="182" t="n">
        <v>0</v>
      </c>
      <c r="W5551" s="182" t="n">
        <v>0</v>
      </c>
      <c r="X5551" s="182" t="n">
        <v>0</v>
      </c>
      <c r="Y5551" s="182" t="n">
        <v>0</v>
      </c>
      <c r="Z5551" s="182" t="n">
        <v>0</v>
      </c>
      <c r="AA5551" s="182" t="n">
        <v>0</v>
      </c>
      <c r="AB5551" s="182" t="n">
        <v>0</v>
      </c>
      <c r="AC5551" s="182" t="n">
        <v>0</v>
      </c>
      <c r="AD5551" s="182" t="n">
        <v>0</v>
      </c>
      <c r="AE5551" s="182" t="n">
        <v>0</v>
      </c>
      <c r="AF5551" s="182" t="n">
        <v>0</v>
      </c>
      <c r="AG5551" s="182" t="n">
        <v>0</v>
      </c>
      <c r="AH5551" s="182" t="n">
        <v>0</v>
      </c>
      <c r="AI5551" s="182" t="n">
        <v>0</v>
      </c>
      <c r="AJ5551" s="182" t="n">
        <v>0</v>
      </c>
      <c r="AK5551" s="182" t="n">
        <v>0</v>
      </c>
      <c r="AL5551" s="182" t="n">
        <v>0</v>
      </c>
      <c r="AM5551" s="182" t="n">
        <v>0</v>
      </c>
      <c r="AN5551" s="182" t="n">
        <v>0</v>
      </c>
    </row>
    <row r="5552">
      <c r="A5552" s="155" t="n">
        <v>46107</v>
      </c>
      <c r="B5552" s="156" t="inlineStr">
        <is>
          <t>DS</t>
        </is>
      </c>
      <c r="C5552" s="156" t="inlineStr">
        <is>
          <t>EX-751</t>
        </is>
      </c>
      <c r="D5552" s="156" t="inlineStr">
        <is>
          <t>SY750H-PRO</t>
        </is>
      </c>
      <c r="E5552" s="156" t="inlineStr">
        <is>
          <t>Excavator</t>
        </is>
      </c>
      <c r="F5552" s="156" t="inlineStr"/>
      <c r="G5552" s="182" t="n">
        <v>0</v>
      </c>
      <c r="H5552" s="182" t="n">
        <v>0</v>
      </c>
      <c r="I5552" s="182" t="n">
        <v>12</v>
      </c>
      <c r="J5552" s="182" t="n">
        <v>12</v>
      </c>
      <c r="K5552" s="182" t="n">
        <v>0</v>
      </c>
      <c r="L5552" s="182" t="n">
        <v>12</v>
      </c>
      <c r="M5552" s="182" t="n">
        <v>0</v>
      </c>
      <c r="N5552" s="182" t="n">
        <v>0</v>
      </c>
      <c r="O5552" s="185">
        <f>SUMIFS(INPUT_RITASE!$F$5:$F$20000,INPUT_RITASE!$A$5:$A$20000,$A5552,INPUT_RITASE!$H$5:$H$20000,$B5552,INPUT_RITASE!$C$5:$C$20000,$C5552,INPUT_RITASE!$N$5:$N$20000,"OB")</f>
        <v/>
      </c>
      <c r="P5552" s="185">
        <f>SUMIFS(INPUT_RITASE!$F$5:$F$20000,INPUT_RITASE!$A$5:$A$20000,$A5552,INPUT_RITASE!$H$5:$H$20000,$B5552,INPUT_RITASE!$C$5:$C$20000,$C5552,INPUT_RITASE!$N$5:$N$20000,"Coal")</f>
        <v/>
      </c>
      <c r="Q5552" s="186">
        <f>SUMIFS(INPUT_RITASE!$L$5:$L$20000,INPUT_RITASE!$A$5:$A$20000,$A5552,INPUT_RITASE!$H$5:$H$20000,$B5552,INPUT_RITASE!$C$5:$C$20000,$C5552,INPUT_RITASE!$N$5:$N$20000,"OB")</f>
        <v/>
      </c>
      <c r="R5552" s="186">
        <f>SUMIFS(INPUT_RITASE!$L$5:$L$20000,INPUT_RITASE!$A$5:$A$20000,$A5552,INPUT_RITASE!$H$5:$H$20000,$B5552,INPUT_RITASE!$C$5:$C$20000,$C5552,INPUT_RITASE!$N$5:$N$20000,"Coal")</f>
        <v/>
      </c>
      <c r="S5552" s="183" t="n">
        <v>0</v>
      </c>
      <c r="T5552" s="183" t="n">
        <v>0</v>
      </c>
      <c r="U5552" s="182" t="n">
        <v>0</v>
      </c>
      <c r="V5552" s="182" t="n">
        <v>0</v>
      </c>
      <c r="W5552" s="182" t="n">
        <v>0</v>
      </c>
      <c r="X5552" s="182" t="n">
        <v>0</v>
      </c>
      <c r="Y5552" s="182" t="n">
        <v>0</v>
      </c>
      <c r="Z5552" s="182" t="n">
        <v>0</v>
      </c>
      <c r="AA5552" s="182" t="n">
        <v>0</v>
      </c>
      <c r="AB5552" s="182" t="n">
        <v>0</v>
      </c>
      <c r="AC5552" s="182" t="n">
        <v>0</v>
      </c>
      <c r="AD5552" s="182" t="n">
        <v>0</v>
      </c>
      <c r="AE5552" s="182" t="n">
        <v>0</v>
      </c>
      <c r="AF5552" s="182" t="n">
        <v>0</v>
      </c>
      <c r="AG5552" s="182" t="n">
        <v>0</v>
      </c>
      <c r="AH5552" s="182" t="n">
        <v>0</v>
      </c>
      <c r="AI5552" s="182" t="n">
        <v>0</v>
      </c>
      <c r="AJ5552" s="182" t="n">
        <v>0</v>
      </c>
      <c r="AK5552" s="182" t="n">
        <v>0</v>
      </c>
      <c r="AL5552" s="182" t="n">
        <v>0</v>
      </c>
      <c r="AM5552" s="182" t="n">
        <v>0</v>
      </c>
      <c r="AN5552" s="182" t="n">
        <v>0</v>
      </c>
    </row>
    <row r="5553">
      <c r="A5553" s="155" t="n">
        <v>46107</v>
      </c>
      <c r="B5553" s="156" t="inlineStr">
        <is>
          <t>DS</t>
        </is>
      </c>
      <c r="C5553" s="156" t="inlineStr">
        <is>
          <t>EX-753</t>
        </is>
      </c>
      <c r="D5553" s="156" t="inlineStr">
        <is>
          <t>SY750H-PRO</t>
        </is>
      </c>
      <c r="E5553" s="156" t="inlineStr">
        <is>
          <t>Excavator</t>
        </is>
      </c>
      <c r="F5553" s="156" t="inlineStr">
        <is>
          <t>Support Washing Plant</t>
        </is>
      </c>
      <c r="G5553" s="182" t="n">
        <v>4.37</v>
      </c>
      <c r="H5553" s="182" t="n">
        <v>0</v>
      </c>
      <c r="I5553" s="182" t="n">
        <v>0</v>
      </c>
      <c r="J5553" s="182" t="n">
        <v>0</v>
      </c>
      <c r="K5553" s="182" t="n">
        <v>7.63</v>
      </c>
      <c r="L5553" s="182" t="n">
        <v>12</v>
      </c>
      <c r="M5553" s="182" t="n">
        <v>0</v>
      </c>
      <c r="N5553" s="182" t="n">
        <v>0</v>
      </c>
      <c r="O5553" s="185">
        <f>SUMIFS(INPUT_RITASE!$F$5:$F$20000,INPUT_RITASE!$A$5:$A$20000,$A5553,INPUT_RITASE!$H$5:$H$20000,$B5553,INPUT_RITASE!$C$5:$C$20000,$C5553,INPUT_RITASE!$N$5:$N$20000,"OB")</f>
        <v/>
      </c>
      <c r="P5553" s="185">
        <f>SUMIFS(INPUT_RITASE!$F$5:$F$20000,INPUT_RITASE!$A$5:$A$20000,$A5553,INPUT_RITASE!$H$5:$H$20000,$B5553,INPUT_RITASE!$C$5:$C$20000,$C5553,INPUT_RITASE!$N$5:$N$20000,"Coal")</f>
        <v/>
      </c>
      <c r="Q5553" s="186">
        <f>SUMIFS(INPUT_RITASE!$L$5:$L$20000,INPUT_RITASE!$A$5:$A$20000,$A5553,INPUT_RITASE!$H$5:$H$20000,$B5553,INPUT_RITASE!$C$5:$C$20000,$C5553,INPUT_RITASE!$N$5:$N$20000,"OB")</f>
        <v/>
      </c>
      <c r="R5553" s="186">
        <f>SUMIFS(INPUT_RITASE!$L$5:$L$20000,INPUT_RITASE!$A$5:$A$20000,$A5553,INPUT_RITASE!$H$5:$H$20000,$B5553,INPUT_RITASE!$C$5:$C$20000,$C5553,INPUT_RITASE!$N$5:$N$20000,"Coal")</f>
        <v/>
      </c>
      <c r="S5553" s="183" t="n">
        <v>0</v>
      </c>
      <c r="T5553" s="183" t="n">
        <v>0</v>
      </c>
      <c r="U5553" s="182" t="n">
        <v>0</v>
      </c>
      <c r="V5553" s="182" t="n">
        <v>0</v>
      </c>
      <c r="W5553" s="182" t="n">
        <v>0</v>
      </c>
      <c r="X5553" s="182" t="n">
        <v>0.98</v>
      </c>
      <c r="Y5553" s="182" t="n">
        <v>0</v>
      </c>
      <c r="Z5553" s="182" t="n">
        <v>0</v>
      </c>
      <c r="AA5553" s="182" t="n">
        <v>0</v>
      </c>
      <c r="AB5553" s="182" t="n">
        <v>0</v>
      </c>
      <c r="AC5553" s="182" t="n">
        <v>0</v>
      </c>
      <c r="AD5553" s="182" t="n">
        <v>0</v>
      </c>
      <c r="AE5553" s="182" t="n">
        <v>0</v>
      </c>
      <c r="AF5553" s="182" t="n">
        <v>0</v>
      </c>
      <c r="AG5553" s="182" t="n">
        <v>0</v>
      </c>
      <c r="AH5553" s="182" t="n">
        <v>0</v>
      </c>
      <c r="AI5553" s="182" t="n">
        <v>0</v>
      </c>
      <c r="AJ5553" s="182" t="n">
        <v>0</v>
      </c>
      <c r="AK5553" s="182" t="n">
        <v>6.57</v>
      </c>
      <c r="AL5553" s="182" t="n">
        <v>0</v>
      </c>
      <c r="AM5553" s="182" t="n">
        <v>0.08</v>
      </c>
      <c r="AN5553" s="182" t="n">
        <v>0</v>
      </c>
    </row>
    <row r="5554">
      <c r="A5554" s="155" t="n">
        <v>46107</v>
      </c>
      <c r="B5554" s="156" t="inlineStr">
        <is>
          <t>DS</t>
        </is>
      </c>
      <c r="C5554" s="156" t="inlineStr">
        <is>
          <t>GD-012</t>
        </is>
      </c>
      <c r="D5554" s="156" t="inlineStr">
        <is>
          <t>STG 230C - 8S</t>
        </is>
      </c>
      <c r="E5554" s="156" t="inlineStr">
        <is>
          <t>Grader</t>
        </is>
      </c>
      <c r="F5554" s="156" t="inlineStr">
        <is>
          <t>General Jetty</t>
        </is>
      </c>
      <c r="G5554" s="182" t="n">
        <v>1.66</v>
      </c>
      <c r="H5554" s="182" t="n">
        <v>0</v>
      </c>
      <c r="I5554" s="182" t="n">
        <v>0</v>
      </c>
      <c r="J5554" s="182" t="n">
        <v>0</v>
      </c>
      <c r="K5554" s="182" t="n">
        <v>10.34</v>
      </c>
      <c r="L5554" s="182" t="n">
        <v>12</v>
      </c>
      <c r="M5554" s="182" t="n">
        <v>0</v>
      </c>
      <c r="N5554" s="182" t="n">
        <v>0</v>
      </c>
      <c r="O5554" s="183" t="n">
        <v>0</v>
      </c>
      <c r="P5554" s="183" t="n">
        <v>0</v>
      </c>
      <c r="Q5554" s="184" t="n">
        <v>0</v>
      </c>
      <c r="R5554" s="184" t="n">
        <v>0</v>
      </c>
      <c r="S5554" s="183" t="n">
        <v>0</v>
      </c>
      <c r="T5554" s="183" t="n">
        <v>0</v>
      </c>
      <c r="U5554" s="182" t="n">
        <v>0</v>
      </c>
      <c r="V5554" s="182" t="n">
        <v>0</v>
      </c>
      <c r="W5554" s="182" t="n">
        <v>0</v>
      </c>
      <c r="X5554" s="182" t="n">
        <v>1.06</v>
      </c>
      <c r="Y5554" s="182" t="n">
        <v>0</v>
      </c>
      <c r="Z5554" s="182" t="n">
        <v>0</v>
      </c>
      <c r="AA5554" s="182" t="n">
        <v>0</v>
      </c>
      <c r="AB5554" s="182" t="n">
        <v>0</v>
      </c>
      <c r="AC5554" s="182" t="n">
        <v>0</v>
      </c>
      <c r="AD5554" s="182" t="n">
        <v>0</v>
      </c>
      <c r="AE5554" s="182" t="n">
        <v>0</v>
      </c>
      <c r="AF5554" s="182" t="n">
        <v>0</v>
      </c>
      <c r="AG5554" s="182" t="n">
        <v>0</v>
      </c>
      <c r="AH5554" s="182" t="n">
        <v>0</v>
      </c>
      <c r="AI5554" s="182" t="n">
        <v>0</v>
      </c>
      <c r="AJ5554" s="182" t="n">
        <v>0</v>
      </c>
      <c r="AK5554" s="182" t="n">
        <v>9.199999999999999</v>
      </c>
      <c r="AL5554" s="182" t="n">
        <v>0</v>
      </c>
      <c r="AM5554" s="182" t="n">
        <v>0.08</v>
      </c>
      <c r="AN5554" s="182" t="n">
        <v>0</v>
      </c>
    </row>
    <row r="5555">
      <c r="A5555" s="155" t="n">
        <v>46107</v>
      </c>
      <c r="B5555" s="156" t="inlineStr">
        <is>
          <t>DS</t>
        </is>
      </c>
      <c r="C5555" s="156" t="inlineStr">
        <is>
          <t>GD-011</t>
        </is>
      </c>
      <c r="D5555" s="156" t="inlineStr">
        <is>
          <t>STG 230C - 8S</t>
        </is>
      </c>
      <c r="E5555" s="156" t="inlineStr">
        <is>
          <t>Grader</t>
        </is>
      </c>
      <c r="F5555" s="156" t="inlineStr"/>
      <c r="G5555" s="182" t="n">
        <v>0</v>
      </c>
      <c r="H5555" s="182" t="n">
        <v>0</v>
      </c>
      <c r="I5555" s="182" t="n">
        <v>12</v>
      </c>
      <c r="J5555" s="182" t="n">
        <v>12</v>
      </c>
      <c r="K5555" s="182" t="n">
        <v>0</v>
      </c>
      <c r="L5555" s="182" t="n">
        <v>12</v>
      </c>
      <c r="M5555" s="182" t="n">
        <v>0</v>
      </c>
      <c r="N5555" s="182" t="n">
        <v>0</v>
      </c>
      <c r="O5555" s="183" t="n">
        <v>0</v>
      </c>
      <c r="P5555" s="183" t="n">
        <v>0</v>
      </c>
      <c r="Q5555" s="184" t="n">
        <v>0</v>
      </c>
      <c r="R5555" s="184" t="n">
        <v>0</v>
      </c>
      <c r="S5555" s="183" t="n">
        <v>0</v>
      </c>
      <c r="T5555" s="183" t="n">
        <v>0</v>
      </c>
      <c r="U5555" s="182" t="n">
        <v>0</v>
      </c>
      <c r="V5555" s="182" t="n">
        <v>0</v>
      </c>
      <c r="W5555" s="182" t="n">
        <v>0</v>
      </c>
      <c r="X5555" s="182" t="n">
        <v>0</v>
      </c>
      <c r="Y5555" s="182" t="n">
        <v>0</v>
      </c>
      <c r="Z5555" s="182" t="n">
        <v>0</v>
      </c>
      <c r="AA5555" s="182" t="n">
        <v>0</v>
      </c>
      <c r="AB5555" s="182" t="n">
        <v>0</v>
      </c>
      <c r="AC5555" s="182" t="n">
        <v>0</v>
      </c>
      <c r="AD5555" s="182" t="n">
        <v>0</v>
      </c>
      <c r="AE5555" s="182" t="n">
        <v>0</v>
      </c>
      <c r="AF5555" s="182" t="n">
        <v>0</v>
      </c>
      <c r="AG5555" s="182" t="n">
        <v>0</v>
      </c>
      <c r="AH5555" s="182" t="n">
        <v>0</v>
      </c>
      <c r="AI5555" s="182" t="n">
        <v>0</v>
      </c>
      <c r="AJ5555" s="182" t="n">
        <v>0</v>
      </c>
      <c r="AK5555" s="182" t="n">
        <v>0</v>
      </c>
      <c r="AL5555" s="182" t="n">
        <v>0</v>
      </c>
      <c r="AM5555" s="182" t="n">
        <v>0</v>
      </c>
      <c r="AN5555" s="182" t="n">
        <v>0</v>
      </c>
    </row>
    <row r="5556">
      <c r="A5556" s="155" t="n">
        <v>46107</v>
      </c>
      <c r="B5556" s="156" t="inlineStr">
        <is>
          <t>DS</t>
        </is>
      </c>
      <c r="C5556" s="156" t="inlineStr">
        <is>
          <t>GD-013</t>
        </is>
      </c>
      <c r="D5556" s="156" t="inlineStr">
        <is>
          <t>STG 265C - 10</t>
        </is>
      </c>
      <c r="E5556" s="156" t="inlineStr">
        <is>
          <t>Grader</t>
        </is>
      </c>
      <c r="F5556" s="156" t="inlineStr">
        <is>
          <t>Road Maintenance</t>
        </is>
      </c>
      <c r="G5556" s="182" t="n">
        <v>7.48</v>
      </c>
      <c r="H5556" s="182" t="n">
        <v>0</v>
      </c>
      <c r="I5556" s="182" t="n">
        <v>4.52</v>
      </c>
      <c r="J5556" s="182" t="n">
        <v>4.52</v>
      </c>
      <c r="K5556" s="182" t="n">
        <v>0</v>
      </c>
      <c r="L5556" s="182" t="n">
        <v>12</v>
      </c>
      <c r="M5556" s="182" t="n">
        <v>0</v>
      </c>
      <c r="N5556" s="182" t="n">
        <v>0</v>
      </c>
      <c r="O5556" s="183" t="n">
        <v>0</v>
      </c>
      <c r="P5556" s="183" t="n">
        <v>0</v>
      </c>
      <c r="Q5556" s="184" t="n">
        <v>0</v>
      </c>
      <c r="R5556" s="184" t="n">
        <v>0</v>
      </c>
      <c r="S5556" s="183" t="n">
        <v>0</v>
      </c>
      <c r="T5556" s="183" t="n">
        <v>0</v>
      </c>
      <c r="U5556" s="182" t="n">
        <v>0</v>
      </c>
      <c r="V5556" s="182" t="n">
        <v>0</v>
      </c>
      <c r="W5556" s="182" t="n">
        <v>0</v>
      </c>
      <c r="X5556" s="182" t="n">
        <v>0</v>
      </c>
      <c r="Y5556" s="182" t="n">
        <v>0</v>
      </c>
      <c r="Z5556" s="182" t="n">
        <v>0</v>
      </c>
      <c r="AA5556" s="182" t="n">
        <v>0</v>
      </c>
      <c r="AB5556" s="182" t="n">
        <v>0</v>
      </c>
      <c r="AC5556" s="182" t="n">
        <v>0</v>
      </c>
      <c r="AD5556" s="182" t="n">
        <v>0</v>
      </c>
      <c r="AE5556" s="182" t="n">
        <v>0</v>
      </c>
      <c r="AF5556" s="182" t="n">
        <v>0</v>
      </c>
      <c r="AG5556" s="182" t="n">
        <v>0</v>
      </c>
      <c r="AH5556" s="182" t="n">
        <v>0</v>
      </c>
      <c r="AI5556" s="182" t="n">
        <v>0</v>
      </c>
      <c r="AJ5556" s="182" t="n">
        <v>0</v>
      </c>
      <c r="AK5556" s="182" t="n">
        <v>0</v>
      </c>
      <c r="AL5556" s="182" t="n">
        <v>0</v>
      </c>
      <c r="AM5556" s="182" t="n">
        <v>0</v>
      </c>
      <c r="AN5556" s="182" t="n">
        <v>0</v>
      </c>
    </row>
    <row r="5557">
      <c r="A5557" s="155" t="n">
        <v>46107</v>
      </c>
      <c r="B5557" s="156" t="inlineStr">
        <is>
          <t>DS</t>
        </is>
      </c>
      <c r="C5557" s="156" t="inlineStr">
        <is>
          <t>GD-014</t>
        </is>
      </c>
      <c r="D5557" s="156" t="inlineStr">
        <is>
          <t>STG 335C - 10</t>
        </is>
      </c>
      <c r="E5557" s="156" t="inlineStr">
        <is>
          <t>Grader</t>
        </is>
      </c>
      <c r="F5557" s="156" t="inlineStr">
        <is>
          <t>Road Maintenance</t>
        </is>
      </c>
      <c r="G5557" s="182" t="n">
        <v>10.8</v>
      </c>
      <c r="H5557" s="182" t="n">
        <v>0</v>
      </c>
      <c r="I5557" s="182" t="n">
        <v>0</v>
      </c>
      <c r="J5557" s="182" t="n">
        <v>0</v>
      </c>
      <c r="K5557" s="182" t="n">
        <v>1.2</v>
      </c>
      <c r="L5557" s="182" t="n">
        <v>12</v>
      </c>
      <c r="M5557" s="182" t="n">
        <v>0</v>
      </c>
      <c r="N5557" s="182" t="n">
        <v>0</v>
      </c>
      <c r="O5557" s="183" t="n">
        <v>0</v>
      </c>
      <c r="P5557" s="183" t="n">
        <v>0</v>
      </c>
      <c r="Q5557" s="184" t="n">
        <v>0</v>
      </c>
      <c r="R5557" s="184" t="n">
        <v>0</v>
      </c>
      <c r="S5557" s="183" t="n">
        <v>0</v>
      </c>
      <c r="T5557" s="183" t="n">
        <v>0</v>
      </c>
      <c r="U5557" s="182" t="n">
        <v>0</v>
      </c>
      <c r="V5557" s="182" t="n">
        <v>0</v>
      </c>
      <c r="W5557" s="182" t="n">
        <v>0</v>
      </c>
      <c r="X5557" s="182" t="n">
        <v>0.92</v>
      </c>
      <c r="Y5557" s="182" t="n">
        <v>0</v>
      </c>
      <c r="Z5557" s="182" t="n">
        <v>0</v>
      </c>
      <c r="AA5557" s="182" t="n">
        <v>0</v>
      </c>
      <c r="AB5557" s="182" t="n">
        <v>0</v>
      </c>
      <c r="AC5557" s="182" t="n">
        <v>0</v>
      </c>
      <c r="AD5557" s="182" t="n">
        <v>0</v>
      </c>
      <c r="AE5557" s="182" t="n">
        <v>0</v>
      </c>
      <c r="AF5557" s="182" t="n">
        <v>0</v>
      </c>
      <c r="AG5557" s="182" t="n">
        <v>0</v>
      </c>
      <c r="AH5557" s="182" t="n">
        <v>0.2</v>
      </c>
      <c r="AI5557" s="182" t="n">
        <v>0</v>
      </c>
      <c r="AJ5557" s="182" t="n">
        <v>0</v>
      </c>
      <c r="AK5557" s="182" t="n">
        <v>0</v>
      </c>
      <c r="AL5557" s="182" t="n">
        <v>0</v>
      </c>
      <c r="AM5557" s="182" t="n">
        <v>0.07000000000000001</v>
      </c>
      <c r="AN5557" s="182" t="n">
        <v>0</v>
      </c>
    </row>
    <row r="5558">
      <c r="A5558" s="155" t="n">
        <v>46107</v>
      </c>
      <c r="B5558" s="156" t="inlineStr">
        <is>
          <t>DS</t>
        </is>
      </c>
      <c r="C5558" s="156" t="inlineStr">
        <is>
          <t>DT-809</t>
        </is>
      </c>
      <c r="D5558" s="156" t="inlineStr">
        <is>
          <t>SKT 80S</t>
        </is>
      </c>
      <c r="E5558" s="156" t="inlineStr">
        <is>
          <t>Hauler</t>
        </is>
      </c>
      <c r="F5558" s="156" t="inlineStr"/>
      <c r="G5558" s="182" t="n">
        <v>0</v>
      </c>
      <c r="H5558" s="182" t="n">
        <v>0</v>
      </c>
      <c r="I5558" s="182" t="n">
        <v>12</v>
      </c>
      <c r="J5558" s="182" t="n">
        <v>12</v>
      </c>
      <c r="K5558" s="182" t="n">
        <v>0</v>
      </c>
      <c r="L5558" s="182" t="n">
        <v>12</v>
      </c>
      <c r="M5558" s="182" t="n">
        <v>0</v>
      </c>
      <c r="N5558" s="182" t="n">
        <v>0</v>
      </c>
      <c r="O5558" s="183" t="n">
        <v>0</v>
      </c>
      <c r="P5558" s="183" t="n">
        <v>0</v>
      </c>
      <c r="Q5558" s="184" t="n">
        <v>0</v>
      </c>
      <c r="R5558" s="184" t="n">
        <v>0</v>
      </c>
      <c r="S5558" s="183" t="n">
        <v>0</v>
      </c>
      <c r="T5558" s="183" t="n">
        <v>0</v>
      </c>
      <c r="U5558" s="182" t="n">
        <v>0</v>
      </c>
      <c r="V5558" s="182" t="n">
        <v>0</v>
      </c>
      <c r="W5558" s="182" t="n">
        <v>0</v>
      </c>
      <c r="X5558" s="182" t="n">
        <v>0</v>
      </c>
      <c r="Y5558" s="182" t="n">
        <v>0</v>
      </c>
      <c r="Z5558" s="182" t="n">
        <v>0</v>
      </c>
      <c r="AA5558" s="182" t="n">
        <v>0</v>
      </c>
      <c r="AB5558" s="182" t="n">
        <v>0</v>
      </c>
      <c r="AC5558" s="182" t="n">
        <v>0</v>
      </c>
      <c r="AD5558" s="182" t="n">
        <v>0</v>
      </c>
      <c r="AE5558" s="182" t="n">
        <v>0</v>
      </c>
      <c r="AF5558" s="182" t="n">
        <v>0</v>
      </c>
      <c r="AG5558" s="182" t="n">
        <v>0</v>
      </c>
      <c r="AH5558" s="182" t="n">
        <v>0</v>
      </c>
      <c r="AI5558" s="182" t="n">
        <v>0</v>
      </c>
      <c r="AJ5558" s="182" t="n">
        <v>0</v>
      </c>
      <c r="AK5558" s="182" t="n">
        <v>0</v>
      </c>
      <c r="AL5558" s="182" t="n">
        <v>0</v>
      </c>
      <c r="AM5558" s="182" t="n">
        <v>0</v>
      </c>
      <c r="AN5558" s="182" t="n">
        <v>0</v>
      </c>
    </row>
    <row r="5559">
      <c r="A5559" s="155" t="n">
        <v>46107</v>
      </c>
      <c r="B5559" s="156" t="inlineStr">
        <is>
          <t>DS</t>
        </is>
      </c>
      <c r="C5559" s="156" t="inlineStr">
        <is>
          <t>DT-806</t>
        </is>
      </c>
      <c r="D5559" s="156" t="inlineStr">
        <is>
          <t>SKT 80S</t>
        </is>
      </c>
      <c r="E5559" s="156" t="inlineStr">
        <is>
          <t>Hauler</t>
        </is>
      </c>
      <c r="F5559" s="156" t="inlineStr"/>
      <c r="G5559" s="182" t="n">
        <v>0</v>
      </c>
      <c r="H5559" s="182" t="n">
        <v>0</v>
      </c>
      <c r="I5559" s="182" t="n">
        <v>12</v>
      </c>
      <c r="J5559" s="182" t="n">
        <v>12</v>
      </c>
      <c r="K5559" s="182" t="n">
        <v>0</v>
      </c>
      <c r="L5559" s="182" t="n">
        <v>12</v>
      </c>
      <c r="M5559" s="182" t="n">
        <v>0</v>
      </c>
      <c r="N5559" s="182" t="n">
        <v>0</v>
      </c>
      <c r="O5559" s="183" t="n">
        <v>0</v>
      </c>
      <c r="P5559" s="183" t="n">
        <v>0</v>
      </c>
      <c r="Q5559" s="184" t="n">
        <v>0</v>
      </c>
      <c r="R5559" s="184" t="n">
        <v>0</v>
      </c>
      <c r="S5559" s="183" t="n">
        <v>0</v>
      </c>
      <c r="T5559" s="183" t="n">
        <v>0</v>
      </c>
      <c r="U5559" s="182" t="n">
        <v>0</v>
      </c>
      <c r="V5559" s="182" t="n">
        <v>0</v>
      </c>
      <c r="W5559" s="182" t="n">
        <v>0</v>
      </c>
      <c r="X5559" s="182" t="n">
        <v>0</v>
      </c>
      <c r="Y5559" s="182" t="n">
        <v>0</v>
      </c>
      <c r="Z5559" s="182" t="n">
        <v>0</v>
      </c>
      <c r="AA5559" s="182" t="n">
        <v>0</v>
      </c>
      <c r="AB5559" s="182" t="n">
        <v>0</v>
      </c>
      <c r="AC5559" s="182" t="n">
        <v>0</v>
      </c>
      <c r="AD5559" s="182" t="n">
        <v>0</v>
      </c>
      <c r="AE5559" s="182" t="n">
        <v>0</v>
      </c>
      <c r="AF5559" s="182" t="n">
        <v>0</v>
      </c>
      <c r="AG5559" s="182" t="n">
        <v>0</v>
      </c>
      <c r="AH5559" s="182" t="n">
        <v>0</v>
      </c>
      <c r="AI5559" s="182" t="n">
        <v>0</v>
      </c>
      <c r="AJ5559" s="182" t="n">
        <v>0</v>
      </c>
      <c r="AK5559" s="182" t="n">
        <v>0</v>
      </c>
      <c r="AL5559" s="182" t="n">
        <v>0</v>
      </c>
      <c r="AM5559" s="182" t="n">
        <v>0</v>
      </c>
      <c r="AN5559" s="182" t="n">
        <v>0</v>
      </c>
    </row>
    <row r="5560">
      <c r="A5560" s="155" t="n">
        <v>46107</v>
      </c>
      <c r="B5560" s="156" t="inlineStr">
        <is>
          <t>DS</t>
        </is>
      </c>
      <c r="C5560" s="156" t="inlineStr">
        <is>
          <t>DT-805</t>
        </is>
      </c>
      <c r="D5560" s="156" t="inlineStr">
        <is>
          <t>SKT 80S</t>
        </is>
      </c>
      <c r="E5560" s="156" t="inlineStr">
        <is>
          <t>Hauler</t>
        </is>
      </c>
      <c r="F5560" s="156" t="inlineStr"/>
      <c r="G5560" s="182" t="n">
        <v>0</v>
      </c>
      <c r="H5560" s="182" t="n">
        <v>0</v>
      </c>
      <c r="I5560" s="182" t="n">
        <v>12</v>
      </c>
      <c r="J5560" s="182" t="n">
        <v>12</v>
      </c>
      <c r="K5560" s="182" t="n">
        <v>0</v>
      </c>
      <c r="L5560" s="182" t="n">
        <v>12</v>
      </c>
      <c r="M5560" s="182" t="n">
        <v>0</v>
      </c>
      <c r="N5560" s="182" t="n">
        <v>0</v>
      </c>
      <c r="O5560" s="183" t="n">
        <v>0</v>
      </c>
      <c r="P5560" s="183" t="n">
        <v>0</v>
      </c>
      <c r="Q5560" s="184" t="n">
        <v>0</v>
      </c>
      <c r="R5560" s="184" t="n">
        <v>0</v>
      </c>
      <c r="S5560" s="183" t="n">
        <v>0</v>
      </c>
      <c r="T5560" s="183" t="n">
        <v>0</v>
      </c>
      <c r="U5560" s="182" t="n">
        <v>0</v>
      </c>
      <c r="V5560" s="182" t="n">
        <v>0</v>
      </c>
      <c r="W5560" s="182" t="n">
        <v>0</v>
      </c>
      <c r="X5560" s="182" t="n">
        <v>0</v>
      </c>
      <c r="Y5560" s="182" t="n">
        <v>0</v>
      </c>
      <c r="Z5560" s="182" t="n">
        <v>0</v>
      </c>
      <c r="AA5560" s="182" t="n">
        <v>0</v>
      </c>
      <c r="AB5560" s="182" t="n">
        <v>0</v>
      </c>
      <c r="AC5560" s="182" t="n">
        <v>0</v>
      </c>
      <c r="AD5560" s="182" t="n">
        <v>0</v>
      </c>
      <c r="AE5560" s="182" t="n">
        <v>0</v>
      </c>
      <c r="AF5560" s="182" t="n">
        <v>0</v>
      </c>
      <c r="AG5560" s="182" t="n">
        <v>0</v>
      </c>
      <c r="AH5560" s="182" t="n">
        <v>0</v>
      </c>
      <c r="AI5560" s="182" t="n">
        <v>0</v>
      </c>
      <c r="AJ5560" s="182" t="n">
        <v>0</v>
      </c>
      <c r="AK5560" s="182" t="n">
        <v>0</v>
      </c>
      <c r="AL5560" s="182" t="n">
        <v>0</v>
      </c>
      <c r="AM5560" s="182" t="n">
        <v>0</v>
      </c>
      <c r="AN5560" s="182" t="n">
        <v>0</v>
      </c>
    </row>
    <row r="5561">
      <c r="A5561" s="155" t="n">
        <v>46107</v>
      </c>
      <c r="B5561" s="156" t="inlineStr">
        <is>
          <t>DS</t>
        </is>
      </c>
      <c r="C5561" s="156" t="inlineStr">
        <is>
          <t>DT-801</t>
        </is>
      </c>
      <c r="D5561" s="156" t="inlineStr">
        <is>
          <t>SKT 80S</t>
        </is>
      </c>
      <c r="E5561" s="156" t="inlineStr">
        <is>
          <t>Hauler</t>
        </is>
      </c>
      <c r="F5561" s="156" t="inlineStr"/>
      <c r="G5561" s="182" t="n">
        <v>0</v>
      </c>
      <c r="H5561" s="182" t="n">
        <v>0</v>
      </c>
      <c r="I5561" s="182" t="n">
        <v>12</v>
      </c>
      <c r="J5561" s="182" t="n">
        <v>12</v>
      </c>
      <c r="K5561" s="182" t="n">
        <v>0</v>
      </c>
      <c r="L5561" s="182" t="n">
        <v>12</v>
      </c>
      <c r="M5561" s="182" t="n">
        <v>0</v>
      </c>
      <c r="N5561" s="182" t="n">
        <v>0</v>
      </c>
      <c r="O5561" s="183" t="n">
        <v>0</v>
      </c>
      <c r="P5561" s="183" t="n">
        <v>0</v>
      </c>
      <c r="Q5561" s="184" t="n">
        <v>0</v>
      </c>
      <c r="R5561" s="184" t="n">
        <v>0</v>
      </c>
      <c r="S5561" s="183" t="n">
        <v>0</v>
      </c>
      <c r="T5561" s="183" t="n">
        <v>0</v>
      </c>
      <c r="U5561" s="182" t="n">
        <v>0</v>
      </c>
      <c r="V5561" s="182" t="n">
        <v>0</v>
      </c>
      <c r="W5561" s="182" t="n">
        <v>0</v>
      </c>
      <c r="X5561" s="182" t="n">
        <v>0</v>
      </c>
      <c r="Y5561" s="182" t="n">
        <v>0</v>
      </c>
      <c r="Z5561" s="182" t="n">
        <v>0</v>
      </c>
      <c r="AA5561" s="182" t="n">
        <v>0</v>
      </c>
      <c r="AB5561" s="182" t="n">
        <v>0</v>
      </c>
      <c r="AC5561" s="182" t="n">
        <v>0</v>
      </c>
      <c r="AD5561" s="182" t="n">
        <v>0</v>
      </c>
      <c r="AE5561" s="182" t="n">
        <v>0</v>
      </c>
      <c r="AF5561" s="182" t="n">
        <v>0</v>
      </c>
      <c r="AG5561" s="182" t="n">
        <v>0</v>
      </c>
      <c r="AH5561" s="182" t="n">
        <v>0</v>
      </c>
      <c r="AI5561" s="182" t="n">
        <v>0</v>
      </c>
      <c r="AJ5561" s="182" t="n">
        <v>0</v>
      </c>
      <c r="AK5561" s="182" t="n">
        <v>0</v>
      </c>
      <c r="AL5561" s="182" t="n">
        <v>0</v>
      </c>
      <c r="AM5561" s="182" t="n">
        <v>0</v>
      </c>
      <c r="AN5561" s="182" t="n">
        <v>0</v>
      </c>
    </row>
    <row r="5562">
      <c r="A5562" s="155" t="n">
        <v>46107</v>
      </c>
      <c r="B5562" s="156" t="inlineStr">
        <is>
          <t>DS</t>
        </is>
      </c>
      <c r="C5562" s="156" t="inlineStr">
        <is>
          <t>DT-808</t>
        </is>
      </c>
      <c r="D5562" s="156" t="inlineStr">
        <is>
          <t>SKT 80S</t>
        </is>
      </c>
      <c r="E5562" s="156" t="inlineStr">
        <is>
          <t>Hauler</t>
        </is>
      </c>
      <c r="F5562" s="156" t="inlineStr">
        <is>
          <t>Support Washing Plant</t>
        </is>
      </c>
      <c r="G5562" s="182" t="n">
        <v>5.83</v>
      </c>
      <c r="H5562" s="182" t="n">
        <v>0</v>
      </c>
      <c r="I5562" s="182" t="n">
        <v>0</v>
      </c>
      <c r="J5562" s="182" t="n">
        <v>0</v>
      </c>
      <c r="K5562" s="182" t="n">
        <v>6.17</v>
      </c>
      <c r="L5562" s="182" t="n">
        <v>12</v>
      </c>
      <c r="M5562" s="182" t="n">
        <v>0</v>
      </c>
      <c r="N5562" s="182" t="n">
        <v>0</v>
      </c>
      <c r="O5562" s="183" t="n">
        <v>0</v>
      </c>
      <c r="P5562" s="183" t="n">
        <v>0</v>
      </c>
      <c r="Q5562" s="184" t="n">
        <v>0</v>
      </c>
      <c r="R5562" s="184" t="n">
        <v>0</v>
      </c>
      <c r="S5562" s="183" t="n">
        <v>0</v>
      </c>
      <c r="T5562" s="183" t="n">
        <v>0</v>
      </c>
      <c r="U5562" s="182" t="n">
        <v>0</v>
      </c>
      <c r="V5562" s="182" t="n">
        <v>0</v>
      </c>
      <c r="W5562" s="182" t="n">
        <v>0</v>
      </c>
      <c r="X5562" s="182" t="n">
        <v>0.95</v>
      </c>
      <c r="Y5562" s="182" t="n">
        <v>0</v>
      </c>
      <c r="Z5562" s="182" t="n">
        <v>0</v>
      </c>
      <c r="AA5562" s="182" t="n">
        <v>0</v>
      </c>
      <c r="AB5562" s="182" t="n">
        <v>0</v>
      </c>
      <c r="AC5562" s="182" t="n">
        <v>0</v>
      </c>
      <c r="AD5562" s="182" t="n">
        <v>0</v>
      </c>
      <c r="AE5562" s="182" t="n">
        <v>0</v>
      </c>
      <c r="AF5562" s="182" t="n">
        <v>0</v>
      </c>
      <c r="AG5562" s="182" t="n">
        <v>0</v>
      </c>
      <c r="AH5562" s="182" t="n">
        <v>0</v>
      </c>
      <c r="AI5562" s="182" t="n">
        <v>0</v>
      </c>
      <c r="AJ5562" s="182" t="n">
        <v>0</v>
      </c>
      <c r="AK5562" s="182" t="n">
        <v>5.14</v>
      </c>
      <c r="AL5562" s="182" t="n">
        <v>0</v>
      </c>
      <c r="AM5562" s="182" t="n">
        <v>0.08</v>
      </c>
      <c r="AN5562" s="182" t="n">
        <v>0</v>
      </c>
    </row>
    <row r="5563">
      <c r="A5563" s="155" t="n">
        <v>46107</v>
      </c>
      <c r="B5563" s="156" t="inlineStr">
        <is>
          <t>DS</t>
        </is>
      </c>
      <c r="C5563" s="156" t="inlineStr">
        <is>
          <t>DT-811</t>
        </is>
      </c>
      <c r="D5563" s="156" t="inlineStr">
        <is>
          <t>SKT 80S</t>
        </is>
      </c>
      <c r="E5563" s="156" t="inlineStr">
        <is>
          <t>Hauler</t>
        </is>
      </c>
      <c r="F5563" s="156" t="inlineStr">
        <is>
          <t>Hauling Coal &amp; Support Washing Plant</t>
        </is>
      </c>
      <c r="G5563" s="182" t="n">
        <v>3.03</v>
      </c>
      <c r="H5563" s="182" t="n">
        <v>0</v>
      </c>
      <c r="I5563" s="182" t="n">
        <v>6.5</v>
      </c>
      <c r="J5563" s="182" t="n">
        <v>6.5</v>
      </c>
      <c r="K5563" s="182" t="n">
        <v>2.47</v>
      </c>
      <c r="L5563" s="182" t="n">
        <v>12</v>
      </c>
      <c r="M5563" s="182" t="n">
        <v>0</v>
      </c>
      <c r="N5563" s="182" t="n">
        <v>0.85</v>
      </c>
      <c r="O5563" s="183" t="n">
        <v>0</v>
      </c>
      <c r="P5563" s="183" t="n">
        <v>2</v>
      </c>
      <c r="Q5563" s="184" t="n">
        <v>0</v>
      </c>
      <c r="R5563" s="184" t="n">
        <v>30.6</v>
      </c>
      <c r="S5563" s="183" t="n">
        <v>0</v>
      </c>
      <c r="T5563" s="183" t="n">
        <v>0</v>
      </c>
      <c r="U5563" s="182" t="n">
        <v>0</v>
      </c>
      <c r="V5563" s="182" t="n">
        <v>0</v>
      </c>
      <c r="W5563" s="182" t="n">
        <v>0</v>
      </c>
      <c r="X5563" s="182" t="n">
        <v>1.07</v>
      </c>
      <c r="Y5563" s="182" t="n">
        <v>0</v>
      </c>
      <c r="Z5563" s="182" t="n">
        <v>0</v>
      </c>
      <c r="AA5563" s="182" t="n">
        <v>0</v>
      </c>
      <c r="AB5563" s="182" t="n">
        <v>0</v>
      </c>
      <c r="AC5563" s="182" t="n">
        <v>0</v>
      </c>
      <c r="AD5563" s="182" t="n">
        <v>0</v>
      </c>
      <c r="AE5563" s="182" t="n">
        <v>0</v>
      </c>
      <c r="AF5563" s="182" t="n">
        <v>0</v>
      </c>
      <c r="AG5563" s="182" t="n">
        <v>0</v>
      </c>
      <c r="AH5563" s="182" t="n">
        <v>0</v>
      </c>
      <c r="AI5563" s="182" t="n">
        <v>0</v>
      </c>
      <c r="AJ5563" s="182" t="n">
        <v>0</v>
      </c>
      <c r="AK5563" s="182" t="n">
        <v>1.31</v>
      </c>
      <c r="AL5563" s="182" t="n">
        <v>0</v>
      </c>
      <c r="AM5563" s="182" t="n">
        <v>0.09</v>
      </c>
      <c r="AN5563" s="182" t="n">
        <v>0</v>
      </c>
    </row>
    <row r="5564">
      <c r="A5564" s="155" t="n">
        <v>46107</v>
      </c>
      <c r="B5564" s="156" t="inlineStr">
        <is>
          <t>DS</t>
        </is>
      </c>
      <c r="C5564" s="156" t="inlineStr">
        <is>
          <t>DT-802</t>
        </is>
      </c>
      <c r="D5564" s="156" t="inlineStr">
        <is>
          <t>SKT 80S</t>
        </is>
      </c>
      <c r="E5564" s="156" t="inlineStr">
        <is>
          <t>Hauler</t>
        </is>
      </c>
      <c r="F5564" s="156" t="inlineStr"/>
      <c r="G5564" s="182" t="n">
        <v>0</v>
      </c>
      <c r="H5564" s="182" t="n">
        <v>0</v>
      </c>
      <c r="I5564" s="182" t="n">
        <v>0</v>
      </c>
      <c r="J5564" s="182" t="n">
        <v>0</v>
      </c>
      <c r="K5564" s="182" t="n">
        <v>12</v>
      </c>
      <c r="L5564" s="182" t="n">
        <v>12</v>
      </c>
      <c r="M5564" s="182" t="n">
        <v>0</v>
      </c>
      <c r="N5564" s="182" t="n">
        <v>0</v>
      </c>
      <c r="O5564" s="183" t="n">
        <v>0</v>
      </c>
      <c r="P5564" s="183" t="n">
        <v>0</v>
      </c>
      <c r="Q5564" s="184" t="n">
        <v>0</v>
      </c>
      <c r="R5564" s="184" t="n">
        <v>0</v>
      </c>
      <c r="S5564" s="183" t="n">
        <v>0</v>
      </c>
      <c r="T5564" s="183" t="n">
        <v>0</v>
      </c>
      <c r="U5564" s="182" t="n">
        <v>0</v>
      </c>
      <c r="V5564" s="182" t="n">
        <v>0</v>
      </c>
      <c r="W5564" s="182" t="n">
        <v>0</v>
      </c>
      <c r="X5564" s="182" t="n">
        <v>1</v>
      </c>
      <c r="Y5564" s="182" t="n">
        <v>0</v>
      </c>
      <c r="Z5564" s="182" t="n">
        <v>0</v>
      </c>
      <c r="AA5564" s="182" t="n">
        <v>0</v>
      </c>
      <c r="AB5564" s="182" t="n">
        <v>0</v>
      </c>
      <c r="AC5564" s="182" t="n">
        <v>0</v>
      </c>
      <c r="AD5564" s="182" t="n">
        <v>0</v>
      </c>
      <c r="AE5564" s="182" t="n">
        <v>0</v>
      </c>
      <c r="AF5564" s="182" t="n">
        <v>0</v>
      </c>
      <c r="AG5564" s="182" t="n">
        <v>0</v>
      </c>
      <c r="AH5564" s="182" t="n">
        <v>0</v>
      </c>
      <c r="AI5564" s="182" t="n">
        <v>0</v>
      </c>
      <c r="AJ5564" s="182" t="n">
        <v>0</v>
      </c>
      <c r="AK5564" s="182" t="n">
        <v>10.92</v>
      </c>
      <c r="AL5564" s="182" t="n">
        <v>0</v>
      </c>
      <c r="AM5564" s="182" t="n">
        <v>0.08</v>
      </c>
      <c r="AN5564" s="182" t="n">
        <v>0</v>
      </c>
    </row>
    <row r="5565">
      <c r="A5565" s="155" t="n">
        <v>46107</v>
      </c>
      <c r="B5565" s="156" t="inlineStr">
        <is>
          <t>DS</t>
        </is>
      </c>
      <c r="C5565" s="156" t="inlineStr">
        <is>
          <t>DT-807</t>
        </is>
      </c>
      <c r="D5565" s="156" t="inlineStr">
        <is>
          <t>SKT 80S</t>
        </is>
      </c>
      <c r="E5565" s="156" t="inlineStr">
        <is>
          <t>Hauler</t>
        </is>
      </c>
      <c r="F5565" s="156" t="inlineStr"/>
      <c r="G5565" s="182" t="n">
        <v>0</v>
      </c>
      <c r="H5565" s="182" t="n">
        <v>0</v>
      </c>
      <c r="I5565" s="182" t="n">
        <v>12</v>
      </c>
      <c r="J5565" s="182" t="n">
        <v>12</v>
      </c>
      <c r="K5565" s="182" t="n">
        <v>0</v>
      </c>
      <c r="L5565" s="182" t="n">
        <v>12</v>
      </c>
      <c r="M5565" s="182" t="n">
        <v>0</v>
      </c>
      <c r="N5565" s="182" t="n">
        <v>0</v>
      </c>
      <c r="O5565" s="183" t="n">
        <v>0</v>
      </c>
      <c r="P5565" s="183" t="n">
        <v>0</v>
      </c>
      <c r="Q5565" s="184" t="n">
        <v>0</v>
      </c>
      <c r="R5565" s="184" t="n">
        <v>0</v>
      </c>
      <c r="S5565" s="183" t="n">
        <v>0</v>
      </c>
      <c r="T5565" s="183" t="n">
        <v>0</v>
      </c>
      <c r="U5565" s="182" t="n">
        <v>0</v>
      </c>
      <c r="V5565" s="182" t="n">
        <v>0</v>
      </c>
      <c r="W5565" s="182" t="n">
        <v>0</v>
      </c>
      <c r="X5565" s="182" t="n">
        <v>0</v>
      </c>
      <c r="Y5565" s="182" t="n">
        <v>0</v>
      </c>
      <c r="Z5565" s="182" t="n">
        <v>0</v>
      </c>
      <c r="AA5565" s="182" t="n">
        <v>0</v>
      </c>
      <c r="AB5565" s="182" t="n">
        <v>0</v>
      </c>
      <c r="AC5565" s="182" t="n">
        <v>0</v>
      </c>
      <c r="AD5565" s="182" t="n">
        <v>0</v>
      </c>
      <c r="AE5565" s="182" t="n">
        <v>0</v>
      </c>
      <c r="AF5565" s="182" t="n">
        <v>0</v>
      </c>
      <c r="AG5565" s="182" t="n">
        <v>0</v>
      </c>
      <c r="AH5565" s="182" t="n">
        <v>0</v>
      </c>
      <c r="AI5565" s="182" t="n">
        <v>0</v>
      </c>
      <c r="AJ5565" s="182" t="n">
        <v>0</v>
      </c>
      <c r="AK5565" s="182" t="n">
        <v>0</v>
      </c>
      <c r="AL5565" s="182" t="n">
        <v>0</v>
      </c>
      <c r="AM5565" s="182" t="n">
        <v>0</v>
      </c>
      <c r="AN5565" s="182" t="n">
        <v>0</v>
      </c>
    </row>
    <row r="5566">
      <c r="A5566" s="155" t="n">
        <v>46107</v>
      </c>
      <c r="B5566" s="156" t="inlineStr">
        <is>
          <t>DS</t>
        </is>
      </c>
      <c r="C5566" s="156" t="inlineStr">
        <is>
          <t>DT-812</t>
        </is>
      </c>
      <c r="D5566" s="156" t="inlineStr">
        <is>
          <t>SKT 80S</t>
        </is>
      </c>
      <c r="E5566" s="156" t="inlineStr">
        <is>
          <t>Hauler</t>
        </is>
      </c>
      <c r="F5566" s="156" t="inlineStr">
        <is>
          <t>Hauling Coal &amp; Support Washing Plant</t>
        </is>
      </c>
      <c r="G5566" s="182" t="n">
        <v>5.88</v>
      </c>
      <c r="H5566" s="182" t="n">
        <v>0</v>
      </c>
      <c r="I5566" s="182" t="n">
        <v>0</v>
      </c>
      <c r="J5566" s="182" t="n">
        <v>0</v>
      </c>
      <c r="K5566" s="182" t="n">
        <v>6.12</v>
      </c>
      <c r="L5566" s="182" t="n">
        <v>12</v>
      </c>
      <c r="M5566" s="182" t="n">
        <v>0</v>
      </c>
      <c r="N5566" s="182" t="n">
        <v>2.8</v>
      </c>
      <c r="O5566" s="183" t="n">
        <v>0</v>
      </c>
      <c r="P5566" s="183" t="n">
        <v>8</v>
      </c>
      <c r="Q5566" s="184" t="n">
        <v>0</v>
      </c>
      <c r="R5566" s="184" t="n">
        <v>122.4</v>
      </c>
      <c r="S5566" s="183" t="n">
        <v>0</v>
      </c>
      <c r="T5566" s="183" t="n">
        <v>0</v>
      </c>
      <c r="U5566" s="182" t="n">
        <v>0</v>
      </c>
      <c r="V5566" s="182" t="n">
        <v>0</v>
      </c>
      <c r="W5566" s="182" t="n">
        <v>0</v>
      </c>
      <c r="X5566" s="182" t="n">
        <v>1.07</v>
      </c>
      <c r="Y5566" s="182" t="n">
        <v>0</v>
      </c>
      <c r="Z5566" s="182" t="n">
        <v>0</v>
      </c>
      <c r="AA5566" s="182" t="n">
        <v>0</v>
      </c>
      <c r="AB5566" s="182" t="n">
        <v>0</v>
      </c>
      <c r="AC5566" s="182" t="n">
        <v>0</v>
      </c>
      <c r="AD5566" s="182" t="n">
        <v>0</v>
      </c>
      <c r="AE5566" s="182" t="n">
        <v>0</v>
      </c>
      <c r="AF5566" s="182" t="n">
        <v>0</v>
      </c>
      <c r="AG5566" s="182" t="n">
        <v>0</v>
      </c>
      <c r="AH5566" s="182" t="n">
        <v>0</v>
      </c>
      <c r="AI5566" s="182" t="n">
        <v>0</v>
      </c>
      <c r="AJ5566" s="182" t="n">
        <v>0</v>
      </c>
      <c r="AK5566" s="182" t="n">
        <v>4.96</v>
      </c>
      <c r="AL5566" s="182" t="n">
        <v>0</v>
      </c>
      <c r="AM5566" s="182" t="n">
        <v>0.09</v>
      </c>
      <c r="AN5566" s="182" t="n">
        <v>0</v>
      </c>
    </row>
    <row r="5567">
      <c r="A5567" s="155" t="n">
        <v>46107</v>
      </c>
      <c r="B5567" s="156" t="inlineStr">
        <is>
          <t>DS</t>
        </is>
      </c>
      <c r="C5567" s="156" t="inlineStr">
        <is>
          <t>DT-803</t>
        </is>
      </c>
      <c r="D5567" s="156" t="inlineStr">
        <is>
          <t>SKT 80S</t>
        </is>
      </c>
      <c r="E5567" s="156" t="inlineStr">
        <is>
          <t>Hauler</t>
        </is>
      </c>
      <c r="F5567" s="156" t="inlineStr"/>
      <c r="G5567" s="182" t="n">
        <v>0</v>
      </c>
      <c r="H5567" s="182" t="n">
        <v>0</v>
      </c>
      <c r="I5567" s="182" t="n">
        <v>0</v>
      </c>
      <c r="J5567" s="182" t="n">
        <v>0</v>
      </c>
      <c r="K5567" s="182" t="n">
        <v>12</v>
      </c>
      <c r="L5567" s="182" t="n">
        <v>12</v>
      </c>
      <c r="M5567" s="182" t="n">
        <v>0</v>
      </c>
      <c r="N5567" s="182" t="n">
        <v>0</v>
      </c>
      <c r="O5567" s="183" t="n">
        <v>0</v>
      </c>
      <c r="P5567" s="183" t="n">
        <v>0</v>
      </c>
      <c r="Q5567" s="184" t="n">
        <v>0</v>
      </c>
      <c r="R5567" s="184" t="n">
        <v>0</v>
      </c>
      <c r="S5567" s="183" t="n">
        <v>0</v>
      </c>
      <c r="T5567" s="183" t="n">
        <v>0</v>
      </c>
      <c r="U5567" s="182" t="n">
        <v>0</v>
      </c>
      <c r="V5567" s="182" t="n">
        <v>0</v>
      </c>
      <c r="W5567" s="182" t="n">
        <v>0</v>
      </c>
      <c r="X5567" s="182" t="n">
        <v>1</v>
      </c>
      <c r="Y5567" s="182" t="n">
        <v>0</v>
      </c>
      <c r="Z5567" s="182" t="n">
        <v>0</v>
      </c>
      <c r="AA5567" s="182" t="n">
        <v>0</v>
      </c>
      <c r="AB5567" s="182" t="n">
        <v>0</v>
      </c>
      <c r="AC5567" s="182" t="n">
        <v>0</v>
      </c>
      <c r="AD5567" s="182" t="n">
        <v>0</v>
      </c>
      <c r="AE5567" s="182" t="n">
        <v>0</v>
      </c>
      <c r="AF5567" s="182" t="n">
        <v>0</v>
      </c>
      <c r="AG5567" s="182" t="n">
        <v>0</v>
      </c>
      <c r="AH5567" s="182" t="n">
        <v>0</v>
      </c>
      <c r="AI5567" s="182" t="n">
        <v>0</v>
      </c>
      <c r="AJ5567" s="182" t="n">
        <v>0</v>
      </c>
      <c r="AK5567" s="182" t="n">
        <v>10.92</v>
      </c>
      <c r="AL5567" s="182" t="n">
        <v>0</v>
      </c>
      <c r="AM5567" s="182" t="n">
        <v>0.08</v>
      </c>
      <c r="AN5567" s="182" t="n">
        <v>0</v>
      </c>
    </row>
    <row r="5568">
      <c r="A5568" s="155" t="n">
        <v>46107</v>
      </c>
      <c r="B5568" s="156" t="inlineStr">
        <is>
          <t>DS</t>
        </is>
      </c>
      <c r="C5568" s="156" t="inlineStr">
        <is>
          <t>DT-810</t>
        </is>
      </c>
      <c r="D5568" s="156" t="inlineStr">
        <is>
          <t>SKT 80S</t>
        </is>
      </c>
      <c r="E5568" s="156" t="inlineStr">
        <is>
          <t>Hauler</t>
        </is>
      </c>
      <c r="F5568" s="156" t="inlineStr">
        <is>
          <t>Hauling Coal &amp; Support Washing Plant</t>
        </is>
      </c>
      <c r="G5568" s="182" t="n">
        <v>6.23</v>
      </c>
      <c r="H5568" s="182" t="n">
        <v>0</v>
      </c>
      <c r="I5568" s="182" t="n">
        <v>0</v>
      </c>
      <c r="J5568" s="182" t="n">
        <v>0</v>
      </c>
      <c r="K5568" s="182" t="n">
        <v>5.77</v>
      </c>
      <c r="L5568" s="182" t="n">
        <v>12</v>
      </c>
      <c r="M5568" s="182" t="n">
        <v>0</v>
      </c>
      <c r="N5568" s="182" t="n">
        <v>3.89</v>
      </c>
      <c r="O5568" s="183" t="n">
        <v>0</v>
      </c>
      <c r="P5568" s="183" t="n">
        <v>8</v>
      </c>
      <c r="Q5568" s="184" t="n">
        <v>0</v>
      </c>
      <c r="R5568" s="184" t="n">
        <v>122.4</v>
      </c>
      <c r="S5568" s="183" t="n">
        <v>0</v>
      </c>
      <c r="T5568" s="183" t="n">
        <v>0</v>
      </c>
      <c r="U5568" s="182" t="n">
        <v>0</v>
      </c>
      <c r="V5568" s="182" t="n">
        <v>0</v>
      </c>
      <c r="W5568" s="182" t="n">
        <v>0</v>
      </c>
      <c r="X5568" s="182" t="n">
        <v>1.03</v>
      </c>
      <c r="Y5568" s="182" t="n">
        <v>0</v>
      </c>
      <c r="Z5568" s="182" t="n">
        <v>0</v>
      </c>
      <c r="AA5568" s="182" t="n">
        <v>0</v>
      </c>
      <c r="AB5568" s="182" t="n">
        <v>0</v>
      </c>
      <c r="AC5568" s="182" t="n">
        <v>0</v>
      </c>
      <c r="AD5568" s="182" t="n">
        <v>0</v>
      </c>
      <c r="AE5568" s="182" t="n">
        <v>0</v>
      </c>
      <c r="AF5568" s="182" t="n">
        <v>0</v>
      </c>
      <c r="AG5568" s="182" t="n">
        <v>0</v>
      </c>
      <c r="AH5568" s="182" t="n">
        <v>0</v>
      </c>
      <c r="AI5568" s="182" t="n">
        <v>0</v>
      </c>
      <c r="AJ5568" s="182" t="n">
        <v>0</v>
      </c>
      <c r="AK5568" s="182" t="n">
        <v>4.66</v>
      </c>
      <c r="AL5568" s="182" t="n">
        <v>0</v>
      </c>
      <c r="AM5568" s="182" t="n">
        <v>0.08</v>
      </c>
      <c r="AN5568" s="182" t="n">
        <v>0</v>
      </c>
    </row>
    <row r="5569">
      <c r="A5569" s="155" t="n">
        <v>46107</v>
      </c>
      <c r="B5569" s="156" t="inlineStr">
        <is>
          <t>DS</t>
        </is>
      </c>
      <c r="C5569" s="156" t="inlineStr">
        <is>
          <t>DT-804</t>
        </is>
      </c>
      <c r="D5569" s="156" t="inlineStr">
        <is>
          <t>SKT 80S</t>
        </is>
      </c>
      <c r="E5569" s="156" t="inlineStr">
        <is>
          <t>Hauler</t>
        </is>
      </c>
      <c r="F5569" s="156" t="inlineStr">
        <is>
          <t>Support Washing Plant</t>
        </is>
      </c>
      <c r="G5569" s="182" t="n">
        <v>5.77</v>
      </c>
      <c r="H5569" s="182" t="n">
        <v>0</v>
      </c>
      <c r="I5569" s="182" t="n">
        <v>0</v>
      </c>
      <c r="J5569" s="182" t="n">
        <v>0</v>
      </c>
      <c r="K5569" s="182" t="n">
        <v>6.23</v>
      </c>
      <c r="L5569" s="182" t="n">
        <v>12</v>
      </c>
      <c r="M5569" s="182" t="n">
        <v>0</v>
      </c>
      <c r="N5569" s="182" t="n">
        <v>0</v>
      </c>
      <c r="O5569" s="183" t="n">
        <v>0</v>
      </c>
      <c r="P5569" s="183" t="n">
        <v>0</v>
      </c>
      <c r="Q5569" s="184" t="n">
        <v>0</v>
      </c>
      <c r="R5569" s="184" t="n">
        <v>0</v>
      </c>
      <c r="S5569" s="183" t="n">
        <v>0</v>
      </c>
      <c r="T5569" s="183" t="n">
        <v>0</v>
      </c>
      <c r="U5569" s="182" t="n">
        <v>0</v>
      </c>
      <c r="V5569" s="182" t="n">
        <v>0</v>
      </c>
      <c r="W5569" s="182" t="n">
        <v>0</v>
      </c>
      <c r="X5569" s="182" t="n">
        <v>1.02</v>
      </c>
      <c r="Y5569" s="182" t="n">
        <v>0</v>
      </c>
      <c r="Z5569" s="182" t="n">
        <v>0</v>
      </c>
      <c r="AA5569" s="182" t="n">
        <v>0</v>
      </c>
      <c r="AB5569" s="182" t="n">
        <v>0</v>
      </c>
      <c r="AC5569" s="182" t="n">
        <v>0</v>
      </c>
      <c r="AD5569" s="182" t="n">
        <v>0</v>
      </c>
      <c r="AE5569" s="182" t="n">
        <v>0</v>
      </c>
      <c r="AF5569" s="182" t="n">
        <v>0</v>
      </c>
      <c r="AG5569" s="182" t="n">
        <v>0</v>
      </c>
      <c r="AH5569" s="182" t="n">
        <v>0</v>
      </c>
      <c r="AI5569" s="182" t="n">
        <v>0</v>
      </c>
      <c r="AJ5569" s="182" t="n">
        <v>0</v>
      </c>
      <c r="AK5569" s="182" t="n">
        <v>5.13</v>
      </c>
      <c r="AL5569" s="182" t="n">
        <v>0</v>
      </c>
      <c r="AM5569" s="182" t="n">
        <v>0.08</v>
      </c>
      <c r="AN5569" s="182" t="n">
        <v>0</v>
      </c>
    </row>
    <row r="5570">
      <c r="A5570" s="155" t="n">
        <v>46107</v>
      </c>
      <c r="B5570" s="156" t="inlineStr">
        <is>
          <t>DS</t>
        </is>
      </c>
      <c r="C5570" s="156" t="inlineStr">
        <is>
          <t>DT-505</t>
        </is>
      </c>
      <c r="D5570" s="156" t="inlineStr">
        <is>
          <t>SKT 105S</t>
        </is>
      </c>
      <c r="E5570" s="156" t="inlineStr">
        <is>
          <t>Hauler</t>
        </is>
      </c>
      <c r="F5570" s="156" t="inlineStr">
        <is>
          <t>Hauling OB</t>
        </is>
      </c>
      <c r="G5570" s="182" t="n">
        <v>9.609999999999999</v>
      </c>
      <c r="H5570" s="182" t="n">
        <v>0</v>
      </c>
      <c r="I5570" s="182" t="n">
        <v>0</v>
      </c>
      <c r="J5570" s="182" t="n">
        <v>0</v>
      </c>
      <c r="K5570" s="182" t="n">
        <v>2.39</v>
      </c>
      <c r="L5570" s="182" t="n">
        <v>12</v>
      </c>
      <c r="M5570" s="182" t="n">
        <v>9.609999999999999</v>
      </c>
      <c r="N5570" s="182" t="n">
        <v>0</v>
      </c>
      <c r="O5570" s="183" t="n">
        <v>39</v>
      </c>
      <c r="P5570" s="183" t="n">
        <v>0</v>
      </c>
      <c r="Q5570" s="184" t="n">
        <v>795.6</v>
      </c>
      <c r="R5570" s="184" t="n">
        <v>0</v>
      </c>
      <c r="S5570" s="183" t="n">
        <v>0</v>
      </c>
      <c r="T5570" s="183" t="n">
        <v>0</v>
      </c>
      <c r="U5570" s="182" t="n">
        <v>0</v>
      </c>
      <c r="V5570" s="182" t="n">
        <v>0</v>
      </c>
      <c r="W5570" s="182" t="n">
        <v>0</v>
      </c>
      <c r="X5570" s="182" t="n">
        <v>1.04</v>
      </c>
      <c r="Y5570" s="182" t="n">
        <v>0</v>
      </c>
      <c r="Z5570" s="182" t="n">
        <v>0</v>
      </c>
      <c r="AA5570" s="182" t="n">
        <v>0</v>
      </c>
      <c r="AB5570" s="182" t="n">
        <v>0</v>
      </c>
      <c r="AC5570" s="182" t="n">
        <v>0</v>
      </c>
      <c r="AD5570" s="182" t="n">
        <v>0</v>
      </c>
      <c r="AE5570" s="182" t="n">
        <v>0</v>
      </c>
      <c r="AF5570" s="182" t="n">
        <v>0</v>
      </c>
      <c r="AG5570" s="182" t="n">
        <v>0</v>
      </c>
      <c r="AH5570" s="182" t="n">
        <v>0</v>
      </c>
      <c r="AI5570" s="182" t="n">
        <v>1.27</v>
      </c>
      <c r="AJ5570" s="182" t="n">
        <v>0</v>
      </c>
      <c r="AK5570" s="182" t="n">
        <v>0</v>
      </c>
      <c r="AL5570" s="182" t="n">
        <v>0</v>
      </c>
      <c r="AM5570" s="182" t="n">
        <v>0.08</v>
      </c>
      <c r="AN5570" s="182" t="n">
        <v>0</v>
      </c>
    </row>
    <row r="5571">
      <c r="A5571" s="155" t="n">
        <v>46107</v>
      </c>
      <c r="B5571" s="156" t="inlineStr">
        <is>
          <t>DS</t>
        </is>
      </c>
      <c r="C5571" s="156" t="inlineStr">
        <is>
          <t>DT-530</t>
        </is>
      </c>
      <c r="D5571" s="156" t="inlineStr">
        <is>
          <t>SKT 105S</t>
        </is>
      </c>
      <c r="E5571" s="156" t="inlineStr">
        <is>
          <t>Hauler</t>
        </is>
      </c>
      <c r="F5571" s="156" t="inlineStr"/>
      <c r="G5571" s="182" t="n">
        <v>0</v>
      </c>
      <c r="H5571" s="182" t="n">
        <v>0</v>
      </c>
      <c r="I5571" s="182" t="n">
        <v>12</v>
      </c>
      <c r="J5571" s="182" t="n">
        <v>12</v>
      </c>
      <c r="K5571" s="182" t="n">
        <v>0</v>
      </c>
      <c r="L5571" s="182" t="n">
        <v>12</v>
      </c>
      <c r="M5571" s="182" t="n">
        <v>0</v>
      </c>
      <c r="N5571" s="182" t="n">
        <v>0</v>
      </c>
      <c r="O5571" s="183" t="n">
        <v>0</v>
      </c>
      <c r="P5571" s="183" t="n">
        <v>0</v>
      </c>
      <c r="Q5571" s="184" t="n">
        <v>0</v>
      </c>
      <c r="R5571" s="184" t="n">
        <v>0</v>
      </c>
      <c r="S5571" s="183" t="n">
        <v>0</v>
      </c>
      <c r="T5571" s="183" t="n">
        <v>0</v>
      </c>
      <c r="U5571" s="182" t="n">
        <v>0</v>
      </c>
      <c r="V5571" s="182" t="n">
        <v>0</v>
      </c>
      <c r="W5571" s="182" t="n">
        <v>0</v>
      </c>
      <c r="X5571" s="182" t="n">
        <v>0</v>
      </c>
      <c r="Y5571" s="182" t="n">
        <v>0</v>
      </c>
      <c r="Z5571" s="182" t="n">
        <v>0</v>
      </c>
      <c r="AA5571" s="182" t="n">
        <v>0</v>
      </c>
      <c r="AB5571" s="182" t="n">
        <v>0</v>
      </c>
      <c r="AC5571" s="182" t="n">
        <v>0</v>
      </c>
      <c r="AD5571" s="182" t="n">
        <v>0</v>
      </c>
      <c r="AE5571" s="182" t="n">
        <v>0</v>
      </c>
      <c r="AF5571" s="182" t="n">
        <v>0</v>
      </c>
      <c r="AG5571" s="182" t="n">
        <v>0</v>
      </c>
      <c r="AH5571" s="182" t="n">
        <v>0</v>
      </c>
      <c r="AI5571" s="182" t="n">
        <v>0</v>
      </c>
      <c r="AJ5571" s="182" t="n">
        <v>0</v>
      </c>
      <c r="AK5571" s="182" t="n">
        <v>0</v>
      </c>
      <c r="AL5571" s="182" t="n">
        <v>0</v>
      </c>
      <c r="AM5571" s="182" t="n">
        <v>0</v>
      </c>
      <c r="AN5571" s="182" t="n">
        <v>0</v>
      </c>
    </row>
    <row r="5572">
      <c r="A5572" s="155" t="n">
        <v>46107</v>
      </c>
      <c r="B5572" s="156" t="inlineStr">
        <is>
          <t>DS</t>
        </is>
      </c>
      <c r="C5572" s="156" t="inlineStr">
        <is>
          <t>DT-525</t>
        </is>
      </c>
      <c r="D5572" s="156" t="inlineStr">
        <is>
          <t>SKT 105S</t>
        </is>
      </c>
      <c r="E5572" s="156" t="inlineStr">
        <is>
          <t>Hauler</t>
        </is>
      </c>
      <c r="F5572" s="156" t="inlineStr"/>
      <c r="G5572" s="182" t="n">
        <v>0</v>
      </c>
      <c r="H5572" s="182" t="n">
        <v>0</v>
      </c>
      <c r="I5572" s="182" t="n">
        <v>12</v>
      </c>
      <c r="J5572" s="182" t="n">
        <v>12</v>
      </c>
      <c r="K5572" s="182" t="n">
        <v>0</v>
      </c>
      <c r="L5572" s="182" t="n">
        <v>12</v>
      </c>
      <c r="M5572" s="182" t="n">
        <v>0</v>
      </c>
      <c r="N5572" s="182" t="n">
        <v>0</v>
      </c>
      <c r="O5572" s="183" t="n">
        <v>0</v>
      </c>
      <c r="P5572" s="183" t="n">
        <v>0</v>
      </c>
      <c r="Q5572" s="184" t="n">
        <v>0</v>
      </c>
      <c r="R5572" s="184" t="n">
        <v>0</v>
      </c>
      <c r="S5572" s="183" t="n">
        <v>0</v>
      </c>
      <c r="T5572" s="183" t="n">
        <v>0</v>
      </c>
      <c r="U5572" s="182" t="n">
        <v>0</v>
      </c>
      <c r="V5572" s="182" t="n">
        <v>0</v>
      </c>
      <c r="W5572" s="182" t="n">
        <v>0</v>
      </c>
      <c r="X5572" s="182" t="n">
        <v>0</v>
      </c>
      <c r="Y5572" s="182" t="n">
        <v>0</v>
      </c>
      <c r="Z5572" s="182" t="n">
        <v>0</v>
      </c>
      <c r="AA5572" s="182" t="n">
        <v>0</v>
      </c>
      <c r="AB5572" s="182" t="n">
        <v>0</v>
      </c>
      <c r="AC5572" s="182" t="n">
        <v>0</v>
      </c>
      <c r="AD5572" s="182" t="n">
        <v>0</v>
      </c>
      <c r="AE5572" s="182" t="n">
        <v>0</v>
      </c>
      <c r="AF5572" s="182" t="n">
        <v>0</v>
      </c>
      <c r="AG5572" s="182" t="n">
        <v>0</v>
      </c>
      <c r="AH5572" s="182" t="n">
        <v>0</v>
      </c>
      <c r="AI5572" s="182" t="n">
        <v>0</v>
      </c>
      <c r="AJ5572" s="182" t="n">
        <v>0</v>
      </c>
      <c r="AK5572" s="182" t="n">
        <v>0</v>
      </c>
      <c r="AL5572" s="182" t="n">
        <v>0</v>
      </c>
      <c r="AM5572" s="182" t="n">
        <v>0</v>
      </c>
      <c r="AN5572" s="182" t="n">
        <v>0</v>
      </c>
    </row>
    <row r="5573">
      <c r="A5573" s="155" t="n">
        <v>46107</v>
      </c>
      <c r="B5573" s="156" t="inlineStr">
        <is>
          <t>DS</t>
        </is>
      </c>
      <c r="C5573" s="156" t="inlineStr">
        <is>
          <t>DT-503</t>
        </is>
      </c>
      <c r="D5573" s="156" t="inlineStr">
        <is>
          <t>SKT 105S</t>
        </is>
      </c>
      <c r="E5573" s="156" t="inlineStr">
        <is>
          <t>Hauler</t>
        </is>
      </c>
      <c r="F5573" s="156" t="inlineStr">
        <is>
          <t>Hauling OB</t>
        </is>
      </c>
      <c r="G5573" s="182" t="n">
        <v>9.869999999999999</v>
      </c>
      <c r="H5573" s="182" t="n">
        <v>0</v>
      </c>
      <c r="I5573" s="182" t="n">
        <v>0</v>
      </c>
      <c r="J5573" s="182" t="n">
        <v>0</v>
      </c>
      <c r="K5573" s="182" t="n">
        <v>2.13</v>
      </c>
      <c r="L5573" s="182" t="n">
        <v>12</v>
      </c>
      <c r="M5573" s="182" t="n">
        <v>9.869999999999999</v>
      </c>
      <c r="N5573" s="182" t="n">
        <v>0</v>
      </c>
      <c r="O5573" s="183" t="n">
        <v>47</v>
      </c>
      <c r="P5573" s="183" t="n">
        <v>0</v>
      </c>
      <c r="Q5573" s="184" t="n">
        <v>958.8</v>
      </c>
      <c r="R5573" s="184" t="n">
        <v>0</v>
      </c>
      <c r="S5573" s="183" t="n">
        <v>0</v>
      </c>
      <c r="T5573" s="183" t="n">
        <v>0</v>
      </c>
      <c r="U5573" s="182" t="n">
        <v>0</v>
      </c>
      <c r="V5573" s="182" t="n">
        <v>0</v>
      </c>
      <c r="W5573" s="182" t="n">
        <v>0</v>
      </c>
      <c r="X5573" s="182" t="n">
        <v>0.93</v>
      </c>
      <c r="Y5573" s="182" t="n">
        <v>0</v>
      </c>
      <c r="Z5573" s="182" t="n">
        <v>0</v>
      </c>
      <c r="AA5573" s="182" t="n">
        <v>0</v>
      </c>
      <c r="AB5573" s="182" t="n">
        <v>0</v>
      </c>
      <c r="AC5573" s="182" t="n">
        <v>0</v>
      </c>
      <c r="AD5573" s="182" t="n">
        <v>0</v>
      </c>
      <c r="AE5573" s="182" t="n">
        <v>0</v>
      </c>
      <c r="AF5573" s="182" t="n">
        <v>0</v>
      </c>
      <c r="AG5573" s="182" t="n">
        <v>0</v>
      </c>
      <c r="AH5573" s="182" t="n">
        <v>0</v>
      </c>
      <c r="AI5573" s="182" t="n">
        <v>1.13</v>
      </c>
      <c r="AJ5573" s="182" t="n">
        <v>0</v>
      </c>
      <c r="AK5573" s="182" t="n">
        <v>0</v>
      </c>
      <c r="AL5573" s="182" t="n">
        <v>0</v>
      </c>
      <c r="AM5573" s="182" t="n">
        <v>0.07000000000000001</v>
      </c>
      <c r="AN5573" s="182" t="n">
        <v>0</v>
      </c>
    </row>
    <row r="5574">
      <c r="A5574" s="155" t="n">
        <v>46107</v>
      </c>
      <c r="B5574" s="156" t="inlineStr">
        <is>
          <t>DS</t>
        </is>
      </c>
      <c r="C5574" s="156" t="inlineStr">
        <is>
          <t>DT-504</t>
        </is>
      </c>
      <c r="D5574" s="156" t="inlineStr">
        <is>
          <t>SKT 105S</t>
        </is>
      </c>
      <c r="E5574" s="156" t="inlineStr">
        <is>
          <t>Hauler</t>
        </is>
      </c>
      <c r="F5574" s="156" t="inlineStr">
        <is>
          <t>Hauling OB</t>
        </is>
      </c>
      <c r="G5574" s="182" t="n">
        <v>9.25</v>
      </c>
      <c r="H5574" s="182" t="n">
        <v>0</v>
      </c>
      <c r="I5574" s="182" t="n">
        <v>0</v>
      </c>
      <c r="J5574" s="182" t="n">
        <v>0</v>
      </c>
      <c r="K5574" s="182" t="n">
        <v>2.75</v>
      </c>
      <c r="L5574" s="182" t="n">
        <v>12</v>
      </c>
      <c r="M5574" s="182" t="n">
        <v>9.25</v>
      </c>
      <c r="N5574" s="182" t="n">
        <v>0</v>
      </c>
      <c r="O5574" s="183" t="n">
        <v>46</v>
      </c>
      <c r="P5574" s="183" t="n">
        <v>0</v>
      </c>
      <c r="Q5574" s="184" t="n">
        <v>938.4</v>
      </c>
      <c r="R5574" s="184" t="n">
        <v>0</v>
      </c>
      <c r="S5574" s="183" t="n">
        <v>0</v>
      </c>
      <c r="T5574" s="183" t="n">
        <v>0</v>
      </c>
      <c r="U5574" s="182" t="n">
        <v>0</v>
      </c>
      <c r="V5574" s="182" t="n">
        <v>0</v>
      </c>
      <c r="W5574" s="182" t="n">
        <v>0</v>
      </c>
      <c r="X5574" s="182" t="n">
        <v>0.92</v>
      </c>
      <c r="Y5574" s="182" t="n">
        <v>0</v>
      </c>
      <c r="Z5574" s="182" t="n">
        <v>0</v>
      </c>
      <c r="AA5574" s="182" t="n">
        <v>0</v>
      </c>
      <c r="AB5574" s="182" t="n">
        <v>0</v>
      </c>
      <c r="AC5574" s="182" t="n">
        <v>0</v>
      </c>
      <c r="AD5574" s="182" t="n">
        <v>0</v>
      </c>
      <c r="AE5574" s="182" t="n">
        <v>0</v>
      </c>
      <c r="AF5574" s="182" t="n">
        <v>0</v>
      </c>
      <c r="AG5574" s="182" t="n">
        <v>0</v>
      </c>
      <c r="AH5574" s="182" t="n">
        <v>0</v>
      </c>
      <c r="AI5574" s="182" t="n">
        <v>1.76</v>
      </c>
      <c r="AJ5574" s="182" t="n">
        <v>0</v>
      </c>
      <c r="AK5574" s="182" t="n">
        <v>0</v>
      </c>
      <c r="AL5574" s="182" t="n">
        <v>0</v>
      </c>
      <c r="AM5574" s="182" t="n">
        <v>0.07000000000000001</v>
      </c>
      <c r="AN5574" s="182" t="n">
        <v>0</v>
      </c>
    </row>
    <row r="5575">
      <c r="A5575" s="155" t="n">
        <v>46107</v>
      </c>
      <c r="B5575" s="156" t="inlineStr">
        <is>
          <t>DS</t>
        </is>
      </c>
      <c r="C5575" s="156" t="inlineStr">
        <is>
          <t>DT-507</t>
        </is>
      </c>
      <c r="D5575" s="156" t="inlineStr">
        <is>
          <t>SKT 105S</t>
        </is>
      </c>
      <c r="E5575" s="156" t="inlineStr">
        <is>
          <t>Hauler</t>
        </is>
      </c>
      <c r="F5575" s="156" t="inlineStr">
        <is>
          <t>Hauling OB &amp; Spoil</t>
        </is>
      </c>
      <c r="G5575" s="182" t="n">
        <v>5.06</v>
      </c>
      <c r="H5575" s="182" t="n">
        <v>0</v>
      </c>
      <c r="I5575" s="182" t="n">
        <v>0</v>
      </c>
      <c r="J5575" s="182" t="n">
        <v>0</v>
      </c>
      <c r="K5575" s="182" t="n">
        <v>6.94</v>
      </c>
      <c r="L5575" s="182" t="n">
        <v>12</v>
      </c>
      <c r="M5575" s="182" t="n">
        <v>3.15</v>
      </c>
      <c r="N5575" s="182" t="n">
        <v>0</v>
      </c>
      <c r="O5575" s="183" t="n">
        <v>15</v>
      </c>
      <c r="P5575" s="183" t="n">
        <v>0</v>
      </c>
      <c r="Q5575" s="184" t="n">
        <v>306</v>
      </c>
      <c r="R5575" s="184" t="n">
        <v>0</v>
      </c>
      <c r="S5575" s="183" t="n">
        <v>6</v>
      </c>
      <c r="T5575" s="183" t="n">
        <v>0</v>
      </c>
      <c r="U5575" s="182" t="n">
        <v>0</v>
      </c>
      <c r="V5575" s="182" t="n">
        <v>0</v>
      </c>
      <c r="W5575" s="182" t="n">
        <v>0</v>
      </c>
      <c r="X5575" s="182" t="n">
        <v>1.04</v>
      </c>
      <c r="Y5575" s="182" t="n">
        <v>0</v>
      </c>
      <c r="Z5575" s="182" t="n">
        <v>0</v>
      </c>
      <c r="AA5575" s="182" t="n">
        <v>0</v>
      </c>
      <c r="AB5575" s="182" t="n">
        <v>0</v>
      </c>
      <c r="AC5575" s="182" t="n">
        <v>0</v>
      </c>
      <c r="AD5575" s="182" t="n">
        <v>0</v>
      </c>
      <c r="AE5575" s="182" t="n">
        <v>0</v>
      </c>
      <c r="AF5575" s="182" t="n">
        <v>0</v>
      </c>
      <c r="AG5575" s="182" t="n">
        <v>0</v>
      </c>
      <c r="AH5575" s="182" t="n">
        <v>0</v>
      </c>
      <c r="AI5575" s="182" t="n">
        <v>5.82</v>
      </c>
      <c r="AJ5575" s="182" t="n">
        <v>0</v>
      </c>
      <c r="AK5575" s="182" t="n">
        <v>0</v>
      </c>
      <c r="AL5575" s="182" t="n">
        <v>0</v>
      </c>
      <c r="AM5575" s="182" t="n">
        <v>0.08</v>
      </c>
      <c r="AN5575" s="182" t="n">
        <v>0</v>
      </c>
    </row>
    <row r="5576">
      <c r="A5576" s="155" t="n">
        <v>46107</v>
      </c>
      <c r="B5576" s="156" t="inlineStr">
        <is>
          <t>DS</t>
        </is>
      </c>
      <c r="C5576" s="156" t="inlineStr">
        <is>
          <t>DT-501</t>
        </is>
      </c>
      <c r="D5576" s="156" t="inlineStr">
        <is>
          <t>SKT 105S</t>
        </is>
      </c>
      <c r="E5576" s="156" t="inlineStr">
        <is>
          <t>Hauler</t>
        </is>
      </c>
      <c r="F5576" s="156" t="inlineStr">
        <is>
          <t>Hauling OB</t>
        </is>
      </c>
      <c r="G5576" s="182" t="n">
        <v>9.52</v>
      </c>
      <c r="H5576" s="182" t="n">
        <v>0</v>
      </c>
      <c r="I5576" s="182" t="n">
        <v>0</v>
      </c>
      <c r="J5576" s="182" t="n">
        <v>0</v>
      </c>
      <c r="K5576" s="182" t="n">
        <v>2.48</v>
      </c>
      <c r="L5576" s="182" t="n">
        <v>12</v>
      </c>
      <c r="M5576" s="182" t="n">
        <v>9.52</v>
      </c>
      <c r="N5576" s="182" t="n">
        <v>0</v>
      </c>
      <c r="O5576" s="183" t="n">
        <v>37</v>
      </c>
      <c r="P5576" s="183" t="n">
        <v>0</v>
      </c>
      <c r="Q5576" s="184" t="n">
        <v>754.8</v>
      </c>
      <c r="R5576" s="184" t="n">
        <v>0</v>
      </c>
      <c r="S5576" s="183" t="n">
        <v>0</v>
      </c>
      <c r="T5576" s="183" t="n">
        <v>0</v>
      </c>
      <c r="U5576" s="182" t="n">
        <v>0</v>
      </c>
      <c r="V5576" s="182" t="n">
        <v>0</v>
      </c>
      <c r="W5576" s="182" t="n">
        <v>0</v>
      </c>
      <c r="X5576" s="182" t="n">
        <v>0.92</v>
      </c>
      <c r="Y5576" s="182" t="n">
        <v>0</v>
      </c>
      <c r="Z5576" s="182" t="n">
        <v>0</v>
      </c>
      <c r="AA5576" s="182" t="n">
        <v>0</v>
      </c>
      <c r="AB5576" s="182" t="n">
        <v>0</v>
      </c>
      <c r="AC5576" s="182" t="n">
        <v>0</v>
      </c>
      <c r="AD5576" s="182" t="n">
        <v>0</v>
      </c>
      <c r="AE5576" s="182" t="n">
        <v>0</v>
      </c>
      <c r="AF5576" s="182" t="n">
        <v>0</v>
      </c>
      <c r="AG5576" s="182" t="n">
        <v>0</v>
      </c>
      <c r="AH5576" s="182" t="n">
        <v>0</v>
      </c>
      <c r="AI5576" s="182" t="n">
        <v>1.49</v>
      </c>
      <c r="AJ5576" s="182" t="n">
        <v>0</v>
      </c>
      <c r="AK5576" s="182" t="n">
        <v>0</v>
      </c>
      <c r="AL5576" s="182" t="n">
        <v>0</v>
      </c>
      <c r="AM5576" s="182" t="n">
        <v>0.07000000000000001</v>
      </c>
      <c r="AN5576" s="182" t="n">
        <v>0</v>
      </c>
    </row>
    <row r="5577">
      <c r="A5577" s="155" t="n">
        <v>46107</v>
      </c>
      <c r="B5577" s="156" t="inlineStr">
        <is>
          <t>DS</t>
        </is>
      </c>
      <c r="C5577" s="156" t="inlineStr">
        <is>
          <t>DT-518</t>
        </is>
      </c>
      <c r="D5577" s="156" t="inlineStr">
        <is>
          <t>SKT 105S</t>
        </is>
      </c>
      <c r="E5577" s="156" t="inlineStr">
        <is>
          <t>Hauler</t>
        </is>
      </c>
      <c r="F5577" s="156" t="inlineStr">
        <is>
          <t>Hauling OB &amp; Spoil</t>
        </is>
      </c>
      <c r="G5577" s="182" t="n">
        <v>5.49</v>
      </c>
      <c r="H5577" s="182" t="n">
        <v>0</v>
      </c>
      <c r="I5577" s="182" t="n">
        <v>0</v>
      </c>
      <c r="J5577" s="182" t="n">
        <v>0</v>
      </c>
      <c r="K5577" s="182" t="n">
        <v>6.51</v>
      </c>
      <c r="L5577" s="182" t="n">
        <v>12</v>
      </c>
      <c r="M5577" s="182" t="n">
        <v>3.57</v>
      </c>
      <c r="N5577" s="182" t="n">
        <v>0</v>
      </c>
      <c r="O5577" s="183" t="n">
        <v>7</v>
      </c>
      <c r="P5577" s="183" t="n">
        <v>0</v>
      </c>
      <c r="Q5577" s="184" t="n">
        <v>142.8</v>
      </c>
      <c r="R5577" s="184" t="n">
        <v>0</v>
      </c>
      <c r="S5577" s="183" t="n">
        <v>9</v>
      </c>
      <c r="T5577" s="183" t="n">
        <v>0</v>
      </c>
      <c r="U5577" s="182" t="n">
        <v>0</v>
      </c>
      <c r="V5577" s="182" t="n">
        <v>0</v>
      </c>
      <c r="W5577" s="182" t="n">
        <v>0</v>
      </c>
      <c r="X5577" s="182" t="n">
        <v>1.03</v>
      </c>
      <c r="Y5577" s="182" t="n">
        <v>0</v>
      </c>
      <c r="Z5577" s="182" t="n">
        <v>0</v>
      </c>
      <c r="AA5577" s="182" t="n">
        <v>0</v>
      </c>
      <c r="AB5577" s="182" t="n">
        <v>0</v>
      </c>
      <c r="AC5577" s="182" t="n">
        <v>0</v>
      </c>
      <c r="AD5577" s="182" t="n">
        <v>0</v>
      </c>
      <c r="AE5577" s="182" t="n">
        <v>0</v>
      </c>
      <c r="AF5577" s="182" t="n">
        <v>0</v>
      </c>
      <c r="AG5577" s="182" t="n">
        <v>0</v>
      </c>
      <c r="AH5577" s="182" t="n">
        <v>0</v>
      </c>
      <c r="AI5577" s="182" t="n">
        <v>5.39</v>
      </c>
      <c r="AJ5577" s="182" t="n">
        <v>0</v>
      </c>
      <c r="AK5577" s="182" t="n">
        <v>0</v>
      </c>
      <c r="AL5577" s="182" t="n">
        <v>0</v>
      </c>
      <c r="AM5577" s="182" t="n">
        <v>0.08</v>
      </c>
      <c r="AN5577" s="182" t="n">
        <v>0</v>
      </c>
    </row>
    <row r="5578">
      <c r="A5578" s="155" t="n">
        <v>46107</v>
      </c>
      <c r="B5578" s="156" t="inlineStr">
        <is>
          <t>DS</t>
        </is>
      </c>
      <c r="C5578" s="156" t="inlineStr">
        <is>
          <t>DT-514</t>
        </is>
      </c>
      <c r="D5578" s="156" t="inlineStr">
        <is>
          <t>SKT 105S</t>
        </is>
      </c>
      <c r="E5578" s="156" t="inlineStr">
        <is>
          <t>Hauler</t>
        </is>
      </c>
      <c r="F5578" s="156" t="inlineStr"/>
      <c r="G5578" s="182" t="n">
        <v>0</v>
      </c>
      <c r="H5578" s="182" t="n">
        <v>0</v>
      </c>
      <c r="I5578" s="182" t="n">
        <v>12</v>
      </c>
      <c r="J5578" s="182" t="n">
        <v>12</v>
      </c>
      <c r="K5578" s="182" t="n">
        <v>0</v>
      </c>
      <c r="L5578" s="182" t="n">
        <v>12</v>
      </c>
      <c r="M5578" s="182" t="n">
        <v>0</v>
      </c>
      <c r="N5578" s="182" t="n">
        <v>0</v>
      </c>
      <c r="O5578" s="183" t="n">
        <v>0</v>
      </c>
      <c r="P5578" s="183" t="n">
        <v>0</v>
      </c>
      <c r="Q5578" s="184" t="n">
        <v>0</v>
      </c>
      <c r="R5578" s="184" t="n">
        <v>0</v>
      </c>
      <c r="S5578" s="183" t="n">
        <v>0</v>
      </c>
      <c r="T5578" s="183" t="n">
        <v>0</v>
      </c>
      <c r="U5578" s="182" t="n">
        <v>0</v>
      </c>
      <c r="V5578" s="182" t="n">
        <v>0</v>
      </c>
      <c r="W5578" s="182" t="n">
        <v>0</v>
      </c>
      <c r="X5578" s="182" t="n">
        <v>0</v>
      </c>
      <c r="Y5578" s="182" t="n">
        <v>0</v>
      </c>
      <c r="Z5578" s="182" t="n">
        <v>0</v>
      </c>
      <c r="AA5578" s="182" t="n">
        <v>0</v>
      </c>
      <c r="AB5578" s="182" t="n">
        <v>0</v>
      </c>
      <c r="AC5578" s="182" t="n">
        <v>0</v>
      </c>
      <c r="AD5578" s="182" t="n">
        <v>0</v>
      </c>
      <c r="AE5578" s="182" t="n">
        <v>0</v>
      </c>
      <c r="AF5578" s="182" t="n">
        <v>0</v>
      </c>
      <c r="AG5578" s="182" t="n">
        <v>0</v>
      </c>
      <c r="AH5578" s="182" t="n">
        <v>0</v>
      </c>
      <c r="AI5578" s="182" t="n">
        <v>0</v>
      </c>
      <c r="AJ5578" s="182" t="n">
        <v>0</v>
      </c>
      <c r="AK5578" s="182" t="n">
        <v>0</v>
      </c>
      <c r="AL5578" s="182" t="n">
        <v>0</v>
      </c>
      <c r="AM5578" s="182" t="n">
        <v>0</v>
      </c>
      <c r="AN5578" s="182" t="n">
        <v>0</v>
      </c>
    </row>
    <row r="5579">
      <c r="A5579" s="155" t="n">
        <v>46107</v>
      </c>
      <c r="B5579" s="156" t="inlineStr">
        <is>
          <t>DS</t>
        </is>
      </c>
      <c r="C5579" s="156" t="inlineStr">
        <is>
          <t>DT-523</t>
        </is>
      </c>
      <c r="D5579" s="156" t="inlineStr">
        <is>
          <t>SKT 105S</t>
        </is>
      </c>
      <c r="E5579" s="156" t="inlineStr">
        <is>
          <t>Hauler</t>
        </is>
      </c>
      <c r="F5579" s="156" t="inlineStr">
        <is>
          <t>Hauling OB &amp; Spoil</t>
        </is>
      </c>
      <c r="G5579" s="182" t="n">
        <v>3.72</v>
      </c>
      <c r="H5579" s="182" t="n">
        <v>0</v>
      </c>
      <c r="I5579" s="182" t="n">
        <v>0</v>
      </c>
      <c r="J5579" s="182" t="n">
        <v>0</v>
      </c>
      <c r="K5579" s="182" t="n">
        <v>8.279999999999999</v>
      </c>
      <c r="L5579" s="182" t="n">
        <v>12</v>
      </c>
      <c r="M5579" s="182" t="n">
        <v>2.32</v>
      </c>
      <c r="N5579" s="182" t="n">
        <v>0</v>
      </c>
      <c r="O5579" s="183" t="n">
        <v>7</v>
      </c>
      <c r="P5579" s="183" t="n">
        <v>0</v>
      </c>
      <c r="Q5579" s="184" t="n">
        <v>142.8</v>
      </c>
      <c r="R5579" s="184" t="n">
        <v>0</v>
      </c>
      <c r="S5579" s="183" t="n">
        <v>5</v>
      </c>
      <c r="T5579" s="183" t="n">
        <v>0</v>
      </c>
      <c r="U5579" s="182" t="n">
        <v>0</v>
      </c>
      <c r="V5579" s="182" t="n">
        <v>0</v>
      </c>
      <c r="W5579" s="182" t="n">
        <v>0</v>
      </c>
      <c r="X5579" s="182" t="n">
        <v>1.03</v>
      </c>
      <c r="Y5579" s="182" t="n">
        <v>0</v>
      </c>
      <c r="Z5579" s="182" t="n">
        <v>0</v>
      </c>
      <c r="AA5579" s="182" t="n">
        <v>0</v>
      </c>
      <c r="AB5579" s="182" t="n">
        <v>0</v>
      </c>
      <c r="AC5579" s="182" t="n">
        <v>0</v>
      </c>
      <c r="AD5579" s="182" t="n">
        <v>0</v>
      </c>
      <c r="AE5579" s="182" t="n">
        <v>0</v>
      </c>
      <c r="AF5579" s="182" t="n">
        <v>0</v>
      </c>
      <c r="AG5579" s="182" t="n">
        <v>0</v>
      </c>
      <c r="AH5579" s="182" t="n">
        <v>0</v>
      </c>
      <c r="AI5579" s="182" t="n">
        <v>7.16</v>
      </c>
      <c r="AJ5579" s="182" t="n">
        <v>0</v>
      </c>
      <c r="AK5579" s="182" t="n">
        <v>0</v>
      </c>
      <c r="AL5579" s="182" t="n">
        <v>0</v>
      </c>
      <c r="AM5579" s="182" t="n">
        <v>0.08</v>
      </c>
      <c r="AN5579" s="182" t="n">
        <v>0</v>
      </c>
    </row>
    <row r="5580">
      <c r="A5580" s="155" t="n">
        <v>46107</v>
      </c>
      <c r="B5580" s="156" t="inlineStr">
        <is>
          <t>DS</t>
        </is>
      </c>
      <c r="C5580" s="156" t="inlineStr">
        <is>
          <t>DT-519</t>
        </is>
      </c>
      <c r="D5580" s="156" t="inlineStr">
        <is>
          <t>SKT 105S</t>
        </is>
      </c>
      <c r="E5580" s="156" t="inlineStr">
        <is>
          <t>Hauler</t>
        </is>
      </c>
      <c r="F5580" s="156" t="inlineStr"/>
      <c r="G5580" s="182" t="n">
        <v>0</v>
      </c>
      <c r="H5580" s="182" t="n">
        <v>0</v>
      </c>
      <c r="I5580" s="182" t="n">
        <v>12</v>
      </c>
      <c r="J5580" s="182" t="n">
        <v>12</v>
      </c>
      <c r="K5580" s="182" t="n">
        <v>0</v>
      </c>
      <c r="L5580" s="182" t="n">
        <v>12</v>
      </c>
      <c r="M5580" s="182" t="n">
        <v>0</v>
      </c>
      <c r="N5580" s="182" t="n">
        <v>0</v>
      </c>
      <c r="O5580" s="183" t="n">
        <v>0</v>
      </c>
      <c r="P5580" s="183" t="n">
        <v>0</v>
      </c>
      <c r="Q5580" s="184" t="n">
        <v>0</v>
      </c>
      <c r="R5580" s="184" t="n">
        <v>0</v>
      </c>
      <c r="S5580" s="183" t="n">
        <v>0</v>
      </c>
      <c r="T5580" s="183" t="n">
        <v>0</v>
      </c>
      <c r="U5580" s="182" t="n">
        <v>0</v>
      </c>
      <c r="V5580" s="182" t="n">
        <v>0</v>
      </c>
      <c r="W5580" s="182" t="n">
        <v>0</v>
      </c>
      <c r="X5580" s="182" t="n">
        <v>0</v>
      </c>
      <c r="Y5580" s="182" t="n">
        <v>0</v>
      </c>
      <c r="Z5580" s="182" t="n">
        <v>0</v>
      </c>
      <c r="AA5580" s="182" t="n">
        <v>0</v>
      </c>
      <c r="AB5580" s="182" t="n">
        <v>0</v>
      </c>
      <c r="AC5580" s="182" t="n">
        <v>0</v>
      </c>
      <c r="AD5580" s="182" t="n">
        <v>0</v>
      </c>
      <c r="AE5580" s="182" t="n">
        <v>0</v>
      </c>
      <c r="AF5580" s="182" t="n">
        <v>0</v>
      </c>
      <c r="AG5580" s="182" t="n">
        <v>0</v>
      </c>
      <c r="AH5580" s="182" t="n">
        <v>0</v>
      </c>
      <c r="AI5580" s="182" t="n">
        <v>0</v>
      </c>
      <c r="AJ5580" s="182" t="n">
        <v>0</v>
      </c>
      <c r="AK5580" s="182" t="n">
        <v>0</v>
      </c>
      <c r="AL5580" s="182" t="n">
        <v>0</v>
      </c>
      <c r="AM5580" s="182" t="n">
        <v>0</v>
      </c>
      <c r="AN5580" s="182" t="n">
        <v>0</v>
      </c>
    </row>
    <row r="5581">
      <c r="A5581" s="155" t="n">
        <v>46107</v>
      </c>
      <c r="B5581" s="156" t="inlineStr">
        <is>
          <t>DS</t>
        </is>
      </c>
      <c r="C5581" s="156" t="inlineStr">
        <is>
          <t>DT-527</t>
        </is>
      </c>
      <c r="D5581" s="156" t="inlineStr">
        <is>
          <t>SKT 105S</t>
        </is>
      </c>
      <c r="E5581" s="156" t="inlineStr">
        <is>
          <t>Hauler</t>
        </is>
      </c>
      <c r="F5581" s="156" t="inlineStr">
        <is>
          <t>Hauling OB</t>
        </is>
      </c>
      <c r="G5581" s="182" t="n">
        <v>9.109999999999999</v>
      </c>
      <c r="H5581" s="182" t="n">
        <v>0</v>
      </c>
      <c r="I5581" s="182" t="n">
        <v>0.47</v>
      </c>
      <c r="J5581" s="182" t="n">
        <v>0.47</v>
      </c>
      <c r="K5581" s="182" t="n">
        <v>2.42</v>
      </c>
      <c r="L5581" s="182" t="n">
        <v>12</v>
      </c>
      <c r="M5581" s="182" t="n">
        <v>9.109999999999999</v>
      </c>
      <c r="N5581" s="182" t="n">
        <v>0</v>
      </c>
      <c r="O5581" s="183" t="n">
        <v>9</v>
      </c>
      <c r="P5581" s="183" t="n">
        <v>0</v>
      </c>
      <c r="Q5581" s="184" t="n">
        <v>183.6</v>
      </c>
      <c r="R5581" s="184" t="n">
        <v>0</v>
      </c>
      <c r="S5581" s="183" t="n">
        <v>0</v>
      </c>
      <c r="T5581" s="183" t="n">
        <v>0</v>
      </c>
      <c r="U5581" s="182" t="n">
        <v>0</v>
      </c>
      <c r="V5581" s="182" t="n">
        <v>0</v>
      </c>
      <c r="W5581" s="182" t="n">
        <v>0</v>
      </c>
      <c r="X5581" s="182" t="n">
        <v>1.04</v>
      </c>
      <c r="Y5581" s="182" t="n">
        <v>0</v>
      </c>
      <c r="Z5581" s="182" t="n">
        <v>0</v>
      </c>
      <c r="AA5581" s="182" t="n">
        <v>0</v>
      </c>
      <c r="AB5581" s="182" t="n">
        <v>0</v>
      </c>
      <c r="AC5581" s="182" t="n">
        <v>0</v>
      </c>
      <c r="AD5581" s="182" t="n">
        <v>0</v>
      </c>
      <c r="AE5581" s="182" t="n">
        <v>0</v>
      </c>
      <c r="AF5581" s="182" t="n">
        <v>0</v>
      </c>
      <c r="AG5581" s="182" t="n">
        <v>0</v>
      </c>
      <c r="AH5581" s="182" t="n">
        <v>0</v>
      </c>
      <c r="AI5581" s="182" t="n">
        <v>0</v>
      </c>
      <c r="AJ5581" s="182" t="n">
        <v>0</v>
      </c>
      <c r="AK5581" s="182" t="n">
        <v>1.3</v>
      </c>
      <c r="AL5581" s="182" t="n">
        <v>0</v>
      </c>
      <c r="AM5581" s="182" t="n">
        <v>0.08</v>
      </c>
      <c r="AN5581" s="182" t="n">
        <v>0</v>
      </c>
    </row>
    <row r="5582">
      <c r="A5582" s="155" t="n">
        <v>46107</v>
      </c>
      <c r="B5582" s="156" t="inlineStr">
        <is>
          <t>DS</t>
        </is>
      </c>
      <c r="C5582" s="156" t="inlineStr">
        <is>
          <t>DT-513</t>
        </is>
      </c>
      <c r="D5582" s="156" t="inlineStr">
        <is>
          <t>SKT 105S</t>
        </is>
      </c>
      <c r="E5582" s="156" t="inlineStr">
        <is>
          <t>Hauler</t>
        </is>
      </c>
      <c r="F5582" s="156" t="inlineStr">
        <is>
          <t>Hauling Coal &amp; OB</t>
        </is>
      </c>
      <c r="G5582" s="182" t="n">
        <v>8.449999999999999</v>
      </c>
      <c r="H5582" s="182" t="n">
        <v>0</v>
      </c>
      <c r="I5582" s="182" t="n">
        <v>0</v>
      </c>
      <c r="J5582" s="182" t="n">
        <v>0</v>
      </c>
      <c r="K5582" s="182" t="n">
        <v>3.55</v>
      </c>
      <c r="L5582" s="182" t="n">
        <v>12</v>
      </c>
      <c r="M5582" s="182" t="n">
        <v>3.81</v>
      </c>
      <c r="N5582" s="182" t="n">
        <v>4.64</v>
      </c>
      <c r="O5582" s="183" t="n">
        <v>11</v>
      </c>
      <c r="P5582" s="183" t="n">
        <v>9</v>
      </c>
      <c r="Q5582" s="184" t="n">
        <v>224.4</v>
      </c>
      <c r="R5582" s="184" t="n">
        <v>168.3</v>
      </c>
      <c r="S5582" s="183" t="n">
        <v>0</v>
      </c>
      <c r="T5582" s="183" t="n">
        <v>0</v>
      </c>
      <c r="U5582" s="182" t="n">
        <v>0</v>
      </c>
      <c r="V5582" s="182" t="n">
        <v>0</v>
      </c>
      <c r="W5582" s="182" t="n">
        <v>0</v>
      </c>
      <c r="X5582" s="182" t="n">
        <v>0.93</v>
      </c>
      <c r="Y5582" s="182" t="n">
        <v>0</v>
      </c>
      <c r="Z5582" s="182" t="n">
        <v>0</v>
      </c>
      <c r="AA5582" s="182" t="n">
        <v>0</v>
      </c>
      <c r="AB5582" s="182" t="n">
        <v>0</v>
      </c>
      <c r="AC5582" s="182" t="n">
        <v>0</v>
      </c>
      <c r="AD5582" s="182" t="n">
        <v>0</v>
      </c>
      <c r="AE5582" s="182" t="n">
        <v>0</v>
      </c>
      <c r="AF5582" s="182" t="n">
        <v>0</v>
      </c>
      <c r="AG5582" s="182" t="n">
        <v>0</v>
      </c>
      <c r="AH5582" s="182" t="n">
        <v>0</v>
      </c>
      <c r="AI5582" s="182" t="n">
        <v>2.54</v>
      </c>
      <c r="AJ5582" s="182" t="n">
        <v>0</v>
      </c>
      <c r="AK5582" s="182" t="n">
        <v>0</v>
      </c>
      <c r="AL5582" s="182" t="n">
        <v>0</v>
      </c>
      <c r="AM5582" s="182" t="n">
        <v>0.07000000000000001</v>
      </c>
      <c r="AN5582" s="182" t="n">
        <v>0</v>
      </c>
    </row>
    <row r="5583">
      <c r="A5583" s="155" t="n">
        <v>46107</v>
      </c>
      <c r="B5583" s="156" t="inlineStr">
        <is>
          <t>DS</t>
        </is>
      </c>
      <c r="C5583" s="156" t="inlineStr">
        <is>
          <t>DT-512</t>
        </is>
      </c>
      <c r="D5583" s="156" t="inlineStr">
        <is>
          <t>SKT 105S</t>
        </is>
      </c>
      <c r="E5583" s="156" t="inlineStr">
        <is>
          <t>Hauler</t>
        </is>
      </c>
      <c r="F5583" s="156" t="inlineStr"/>
      <c r="G5583" s="182" t="n">
        <v>0</v>
      </c>
      <c r="H5583" s="182" t="n">
        <v>0</v>
      </c>
      <c r="I5583" s="182" t="n">
        <v>0</v>
      </c>
      <c r="J5583" s="182" t="n">
        <v>0</v>
      </c>
      <c r="K5583" s="182" t="n">
        <v>12</v>
      </c>
      <c r="L5583" s="182" t="n">
        <v>12</v>
      </c>
      <c r="M5583" s="182" t="n">
        <v>0</v>
      </c>
      <c r="N5583" s="182" t="n">
        <v>0</v>
      </c>
      <c r="O5583" s="183" t="n">
        <v>0</v>
      </c>
      <c r="P5583" s="183" t="n">
        <v>0</v>
      </c>
      <c r="Q5583" s="184" t="n">
        <v>0</v>
      </c>
      <c r="R5583" s="184" t="n">
        <v>0</v>
      </c>
      <c r="S5583" s="183" t="n">
        <v>0</v>
      </c>
      <c r="T5583" s="183" t="n">
        <v>0</v>
      </c>
      <c r="U5583" s="182" t="n">
        <v>0</v>
      </c>
      <c r="V5583" s="182" t="n">
        <v>0</v>
      </c>
      <c r="W5583" s="182" t="n">
        <v>0</v>
      </c>
      <c r="X5583" s="182" t="n">
        <v>1</v>
      </c>
      <c r="Y5583" s="182" t="n">
        <v>0</v>
      </c>
      <c r="Z5583" s="182" t="n">
        <v>0</v>
      </c>
      <c r="AA5583" s="182" t="n">
        <v>0</v>
      </c>
      <c r="AB5583" s="182" t="n">
        <v>0</v>
      </c>
      <c r="AC5583" s="182" t="n">
        <v>0</v>
      </c>
      <c r="AD5583" s="182" t="n">
        <v>0</v>
      </c>
      <c r="AE5583" s="182" t="n">
        <v>0</v>
      </c>
      <c r="AF5583" s="182" t="n">
        <v>0</v>
      </c>
      <c r="AG5583" s="182" t="n">
        <v>0</v>
      </c>
      <c r="AH5583" s="182" t="n">
        <v>0</v>
      </c>
      <c r="AI5583" s="182" t="n">
        <v>0</v>
      </c>
      <c r="AJ5583" s="182" t="n">
        <v>0</v>
      </c>
      <c r="AK5583" s="182" t="n">
        <v>10.92</v>
      </c>
      <c r="AL5583" s="182" t="n">
        <v>0</v>
      </c>
      <c r="AM5583" s="182" t="n">
        <v>0.08</v>
      </c>
      <c r="AN5583" s="182" t="n">
        <v>0</v>
      </c>
    </row>
    <row r="5584">
      <c r="A5584" s="155" t="n">
        <v>46107</v>
      </c>
      <c r="B5584" s="156" t="inlineStr">
        <is>
          <t>DS</t>
        </is>
      </c>
      <c r="C5584" s="156" t="inlineStr">
        <is>
          <t>DT-522</t>
        </is>
      </c>
      <c r="D5584" s="156" t="inlineStr">
        <is>
          <t>SKT 105S</t>
        </is>
      </c>
      <c r="E5584" s="156" t="inlineStr">
        <is>
          <t>Hauler</t>
        </is>
      </c>
      <c r="F5584" s="156" t="inlineStr">
        <is>
          <t>Hauling Coal &amp; OB</t>
        </is>
      </c>
      <c r="G5584" s="182" t="n">
        <v>8.140000000000001</v>
      </c>
      <c r="H5584" s="182" t="n">
        <v>0</v>
      </c>
      <c r="I5584" s="182" t="n">
        <v>0</v>
      </c>
      <c r="J5584" s="182" t="n">
        <v>0</v>
      </c>
      <c r="K5584" s="182" t="n">
        <v>3.86</v>
      </c>
      <c r="L5584" s="182" t="n">
        <v>12</v>
      </c>
      <c r="M5584" s="182" t="n">
        <v>3.72</v>
      </c>
      <c r="N5584" s="182" t="n">
        <v>4.41</v>
      </c>
      <c r="O5584" s="183" t="n">
        <v>12</v>
      </c>
      <c r="P5584" s="183" t="n">
        <v>9</v>
      </c>
      <c r="Q5584" s="184" t="n">
        <v>244.8</v>
      </c>
      <c r="R5584" s="184" t="n">
        <v>168.3</v>
      </c>
      <c r="S5584" s="183" t="n">
        <v>0</v>
      </c>
      <c r="T5584" s="183" t="n">
        <v>0</v>
      </c>
      <c r="U5584" s="182" t="n">
        <v>0</v>
      </c>
      <c r="V5584" s="182" t="n">
        <v>0</v>
      </c>
      <c r="W5584" s="182" t="n">
        <v>0</v>
      </c>
      <c r="X5584" s="182" t="n">
        <v>1.04</v>
      </c>
      <c r="Y5584" s="182" t="n">
        <v>0</v>
      </c>
      <c r="Z5584" s="182" t="n">
        <v>0</v>
      </c>
      <c r="AA5584" s="182" t="n">
        <v>0</v>
      </c>
      <c r="AB5584" s="182" t="n">
        <v>0</v>
      </c>
      <c r="AC5584" s="182" t="n">
        <v>0</v>
      </c>
      <c r="AD5584" s="182" t="n">
        <v>0</v>
      </c>
      <c r="AE5584" s="182" t="n">
        <v>0</v>
      </c>
      <c r="AF5584" s="182" t="n">
        <v>0</v>
      </c>
      <c r="AG5584" s="182" t="n">
        <v>0</v>
      </c>
      <c r="AH5584" s="182" t="n">
        <v>0</v>
      </c>
      <c r="AI5584" s="182" t="n">
        <v>2.73</v>
      </c>
      <c r="AJ5584" s="182" t="n">
        <v>0</v>
      </c>
      <c r="AK5584" s="182" t="n">
        <v>0</v>
      </c>
      <c r="AL5584" s="182" t="n">
        <v>0</v>
      </c>
      <c r="AM5584" s="182" t="n">
        <v>0.08</v>
      </c>
      <c r="AN5584" s="182" t="n">
        <v>0</v>
      </c>
    </row>
    <row r="5585">
      <c r="A5585" s="155" t="n">
        <v>46107</v>
      </c>
      <c r="B5585" s="156" t="inlineStr">
        <is>
          <t>DS</t>
        </is>
      </c>
      <c r="C5585" s="156" t="inlineStr">
        <is>
          <t>DT-517</t>
        </is>
      </c>
      <c r="D5585" s="156" t="inlineStr">
        <is>
          <t>SKT 105S</t>
        </is>
      </c>
      <c r="E5585" s="156" t="inlineStr">
        <is>
          <t>Hauler</t>
        </is>
      </c>
      <c r="F5585" s="156" t="inlineStr">
        <is>
          <t>Hauling Coal</t>
        </is>
      </c>
      <c r="G5585" s="182" t="n">
        <v>1.78</v>
      </c>
      <c r="H5585" s="182" t="n">
        <v>0</v>
      </c>
      <c r="I5585" s="182" t="n">
        <v>2.35</v>
      </c>
      <c r="J5585" s="182" t="n">
        <v>2.35</v>
      </c>
      <c r="K5585" s="182" t="n">
        <v>7.87</v>
      </c>
      <c r="L5585" s="182" t="n">
        <v>12</v>
      </c>
      <c r="M5585" s="182" t="n">
        <v>0</v>
      </c>
      <c r="N5585" s="182" t="n">
        <v>1.78</v>
      </c>
      <c r="O5585" s="183" t="n">
        <v>0</v>
      </c>
      <c r="P5585" s="183" t="n">
        <v>4</v>
      </c>
      <c r="Q5585" s="184" t="n">
        <v>0</v>
      </c>
      <c r="R5585" s="184" t="n">
        <v>74.8</v>
      </c>
      <c r="S5585" s="183" t="n">
        <v>0</v>
      </c>
      <c r="T5585" s="183" t="n">
        <v>0</v>
      </c>
      <c r="U5585" s="182" t="n">
        <v>0</v>
      </c>
      <c r="V5585" s="182" t="n">
        <v>0</v>
      </c>
      <c r="W5585" s="182" t="n">
        <v>0</v>
      </c>
      <c r="X5585" s="182" t="n">
        <v>1.04</v>
      </c>
      <c r="Y5585" s="182" t="n">
        <v>0</v>
      </c>
      <c r="Z5585" s="182" t="n">
        <v>0</v>
      </c>
      <c r="AA5585" s="182" t="n">
        <v>0</v>
      </c>
      <c r="AB5585" s="182" t="n">
        <v>0</v>
      </c>
      <c r="AC5585" s="182" t="n">
        <v>0</v>
      </c>
      <c r="AD5585" s="182" t="n">
        <v>0</v>
      </c>
      <c r="AE5585" s="182" t="n">
        <v>0</v>
      </c>
      <c r="AF5585" s="182" t="n">
        <v>0</v>
      </c>
      <c r="AG5585" s="182" t="n">
        <v>0</v>
      </c>
      <c r="AH5585" s="182" t="n">
        <v>0</v>
      </c>
      <c r="AI5585" s="182" t="n">
        <v>6.74</v>
      </c>
      <c r="AJ5585" s="182" t="n">
        <v>0</v>
      </c>
      <c r="AK5585" s="182" t="n">
        <v>0</v>
      </c>
      <c r="AL5585" s="182" t="n">
        <v>0</v>
      </c>
      <c r="AM5585" s="182" t="n">
        <v>0.08</v>
      </c>
      <c r="AN5585" s="182" t="n">
        <v>0</v>
      </c>
    </row>
    <row r="5586">
      <c r="A5586" s="155" t="n">
        <v>46107</v>
      </c>
      <c r="B5586" s="156" t="inlineStr">
        <is>
          <t>DS</t>
        </is>
      </c>
      <c r="C5586" s="156" t="inlineStr">
        <is>
          <t>DT-510</t>
        </is>
      </c>
      <c r="D5586" s="156" t="inlineStr">
        <is>
          <t>SKT 105S</t>
        </is>
      </c>
      <c r="E5586" s="156" t="inlineStr">
        <is>
          <t>Hauler</t>
        </is>
      </c>
      <c r="F5586" s="156" t="inlineStr">
        <is>
          <t>Hauling Coal &amp; OB</t>
        </is>
      </c>
      <c r="G5586" s="182" t="n">
        <v>5.71</v>
      </c>
      <c r="H5586" s="182" t="n">
        <v>2.27</v>
      </c>
      <c r="I5586" s="182" t="n">
        <v>0</v>
      </c>
      <c r="J5586" s="182" t="n">
        <v>2.27</v>
      </c>
      <c r="K5586" s="182" t="n">
        <v>4.02</v>
      </c>
      <c r="L5586" s="182" t="n">
        <v>12</v>
      </c>
      <c r="M5586" s="182" t="n">
        <v>1.12</v>
      </c>
      <c r="N5586" s="182" t="n">
        <v>4.59</v>
      </c>
      <c r="O5586" s="183" t="n">
        <v>4</v>
      </c>
      <c r="P5586" s="183" t="n">
        <v>10</v>
      </c>
      <c r="Q5586" s="184" t="n">
        <v>81.59999999999999</v>
      </c>
      <c r="R5586" s="184" t="n">
        <v>187</v>
      </c>
      <c r="S5586" s="183" t="n">
        <v>0</v>
      </c>
      <c r="T5586" s="183" t="n">
        <v>0</v>
      </c>
      <c r="U5586" s="182" t="n">
        <v>0</v>
      </c>
      <c r="V5586" s="182" t="n">
        <v>0</v>
      </c>
      <c r="W5586" s="182" t="n">
        <v>0</v>
      </c>
      <c r="X5586" s="182" t="n">
        <v>0.97</v>
      </c>
      <c r="Y5586" s="182" t="n">
        <v>0</v>
      </c>
      <c r="Z5586" s="182" t="n">
        <v>0</v>
      </c>
      <c r="AA5586" s="182" t="n">
        <v>0</v>
      </c>
      <c r="AB5586" s="182" t="n">
        <v>0</v>
      </c>
      <c r="AC5586" s="182" t="n">
        <v>0</v>
      </c>
      <c r="AD5586" s="182" t="n">
        <v>0</v>
      </c>
      <c r="AE5586" s="182" t="n">
        <v>0</v>
      </c>
      <c r="AF5586" s="182" t="n">
        <v>0</v>
      </c>
      <c r="AG5586" s="182" t="n">
        <v>0</v>
      </c>
      <c r="AH5586" s="182" t="n">
        <v>0</v>
      </c>
      <c r="AI5586" s="182" t="n">
        <v>2.97</v>
      </c>
      <c r="AJ5586" s="182" t="n">
        <v>0</v>
      </c>
      <c r="AK5586" s="182" t="n">
        <v>0</v>
      </c>
      <c r="AL5586" s="182" t="n">
        <v>0</v>
      </c>
      <c r="AM5586" s="182" t="n">
        <v>0.08</v>
      </c>
      <c r="AN5586" s="182" t="n">
        <v>0</v>
      </c>
    </row>
    <row r="5587">
      <c r="A5587" s="155" t="n">
        <v>46107</v>
      </c>
      <c r="B5587" s="156" t="inlineStr">
        <is>
          <t>DS</t>
        </is>
      </c>
      <c r="C5587" s="156" t="inlineStr">
        <is>
          <t>DT-521</t>
        </is>
      </c>
      <c r="D5587" s="156" t="inlineStr">
        <is>
          <t>SKT 105S</t>
        </is>
      </c>
      <c r="E5587" s="156" t="inlineStr">
        <is>
          <t>Hauler</t>
        </is>
      </c>
      <c r="F5587" s="156" t="inlineStr">
        <is>
          <t>Hauling Coal &amp; OB</t>
        </is>
      </c>
      <c r="G5587" s="182" t="n">
        <v>8.33</v>
      </c>
      <c r="H5587" s="182" t="n">
        <v>0</v>
      </c>
      <c r="I5587" s="182" t="n">
        <v>0</v>
      </c>
      <c r="J5587" s="182" t="n">
        <v>0</v>
      </c>
      <c r="K5587" s="182" t="n">
        <v>3.67</v>
      </c>
      <c r="L5587" s="182" t="n">
        <v>12</v>
      </c>
      <c r="M5587" s="182" t="n">
        <v>3.7</v>
      </c>
      <c r="N5587" s="182" t="n">
        <v>4.63</v>
      </c>
      <c r="O5587" s="183" t="n">
        <v>11</v>
      </c>
      <c r="P5587" s="183" t="n">
        <v>9</v>
      </c>
      <c r="Q5587" s="184" t="n">
        <v>224.4</v>
      </c>
      <c r="R5587" s="184" t="n">
        <v>168.3</v>
      </c>
      <c r="S5587" s="183" t="n">
        <v>0</v>
      </c>
      <c r="T5587" s="183" t="n">
        <v>0</v>
      </c>
      <c r="U5587" s="182" t="n">
        <v>0</v>
      </c>
      <c r="V5587" s="182" t="n">
        <v>0</v>
      </c>
      <c r="W5587" s="182" t="n">
        <v>0</v>
      </c>
      <c r="X5587" s="182" t="n">
        <v>0.9399999999999999</v>
      </c>
      <c r="Y5587" s="182" t="n">
        <v>0</v>
      </c>
      <c r="Z5587" s="182" t="n">
        <v>0</v>
      </c>
      <c r="AA5587" s="182" t="n">
        <v>0</v>
      </c>
      <c r="AB5587" s="182" t="n">
        <v>0</v>
      </c>
      <c r="AC5587" s="182" t="n">
        <v>0</v>
      </c>
      <c r="AD5587" s="182" t="n">
        <v>0</v>
      </c>
      <c r="AE5587" s="182" t="n">
        <v>0</v>
      </c>
      <c r="AF5587" s="182" t="n">
        <v>0</v>
      </c>
      <c r="AG5587" s="182" t="n">
        <v>0</v>
      </c>
      <c r="AH5587" s="182" t="n">
        <v>0</v>
      </c>
      <c r="AI5587" s="182" t="n">
        <v>2.65</v>
      </c>
      <c r="AJ5587" s="182" t="n">
        <v>0</v>
      </c>
      <c r="AK5587" s="182" t="n">
        <v>0</v>
      </c>
      <c r="AL5587" s="182" t="n">
        <v>0</v>
      </c>
      <c r="AM5587" s="182" t="n">
        <v>0.08</v>
      </c>
      <c r="AN5587" s="182" t="n">
        <v>0</v>
      </c>
    </row>
    <row r="5588">
      <c r="A5588" s="155" t="n">
        <v>46107</v>
      </c>
      <c r="B5588" s="156" t="inlineStr">
        <is>
          <t>DS</t>
        </is>
      </c>
      <c r="C5588" s="156" t="inlineStr">
        <is>
          <t>DT-516</t>
        </is>
      </c>
      <c r="D5588" s="156" t="inlineStr">
        <is>
          <t>SKT 105S</t>
        </is>
      </c>
      <c r="E5588" s="156" t="inlineStr">
        <is>
          <t>Hauler</t>
        </is>
      </c>
      <c r="F5588" s="156" t="inlineStr">
        <is>
          <t>Hauling OB</t>
        </is>
      </c>
      <c r="G5588" s="182" t="n">
        <v>10.2</v>
      </c>
      <c r="H5588" s="182" t="n">
        <v>0</v>
      </c>
      <c r="I5588" s="182" t="n">
        <v>0</v>
      </c>
      <c r="J5588" s="182" t="n">
        <v>0</v>
      </c>
      <c r="K5588" s="182" t="n">
        <v>1.8</v>
      </c>
      <c r="L5588" s="182" t="n">
        <v>12</v>
      </c>
      <c r="M5588" s="182" t="n">
        <v>10.2</v>
      </c>
      <c r="N5588" s="182" t="n">
        <v>0</v>
      </c>
      <c r="O5588" s="183" t="n">
        <v>48</v>
      </c>
      <c r="P5588" s="183" t="n">
        <v>0</v>
      </c>
      <c r="Q5588" s="184" t="n">
        <v>979.2</v>
      </c>
      <c r="R5588" s="184" t="n">
        <v>0</v>
      </c>
      <c r="S5588" s="183" t="n">
        <v>0</v>
      </c>
      <c r="T5588" s="183" t="n">
        <v>0</v>
      </c>
      <c r="U5588" s="182" t="n">
        <v>0</v>
      </c>
      <c r="V5588" s="182" t="n">
        <v>0</v>
      </c>
      <c r="W5588" s="182" t="n">
        <v>0</v>
      </c>
      <c r="X5588" s="182" t="n">
        <v>1</v>
      </c>
      <c r="Y5588" s="182" t="n">
        <v>0</v>
      </c>
      <c r="Z5588" s="182" t="n">
        <v>0</v>
      </c>
      <c r="AA5588" s="182" t="n">
        <v>0</v>
      </c>
      <c r="AB5588" s="182" t="n">
        <v>0</v>
      </c>
      <c r="AC5588" s="182" t="n">
        <v>0</v>
      </c>
      <c r="AD5588" s="182" t="n">
        <v>0</v>
      </c>
      <c r="AE5588" s="182" t="n">
        <v>0</v>
      </c>
      <c r="AF5588" s="182" t="n">
        <v>0</v>
      </c>
      <c r="AG5588" s="182" t="n">
        <v>0</v>
      </c>
      <c r="AH5588" s="182" t="n">
        <v>0</v>
      </c>
      <c r="AI5588" s="182" t="n">
        <v>0</v>
      </c>
      <c r="AJ5588" s="182" t="n">
        <v>0.72</v>
      </c>
      <c r="AK5588" s="182" t="n">
        <v>0</v>
      </c>
      <c r="AL5588" s="182" t="n">
        <v>0</v>
      </c>
      <c r="AM5588" s="182" t="n">
        <v>0.08</v>
      </c>
      <c r="AN5588" s="182" t="n">
        <v>0</v>
      </c>
    </row>
    <row r="5589">
      <c r="A5589" s="155" t="n">
        <v>46107</v>
      </c>
      <c r="B5589" s="156" t="inlineStr">
        <is>
          <t>DS</t>
        </is>
      </c>
      <c r="C5589" s="156" t="inlineStr">
        <is>
          <t>DT-506</t>
        </is>
      </c>
      <c r="D5589" s="156" t="inlineStr">
        <is>
          <t>SKT 105S</t>
        </is>
      </c>
      <c r="E5589" s="156" t="inlineStr">
        <is>
          <t>Hauler</t>
        </is>
      </c>
      <c r="F5589" s="156" t="inlineStr">
        <is>
          <t>Hauling OB</t>
        </is>
      </c>
      <c r="G5589" s="182" t="n">
        <v>9.779999999999999</v>
      </c>
      <c r="H5589" s="182" t="n">
        <v>0</v>
      </c>
      <c r="I5589" s="182" t="n">
        <v>0</v>
      </c>
      <c r="J5589" s="182" t="n">
        <v>0</v>
      </c>
      <c r="K5589" s="182" t="n">
        <v>2.22</v>
      </c>
      <c r="L5589" s="182" t="n">
        <v>12</v>
      </c>
      <c r="M5589" s="182" t="n">
        <v>9.779999999999999</v>
      </c>
      <c r="N5589" s="182" t="n">
        <v>0</v>
      </c>
      <c r="O5589" s="183" t="n">
        <v>38</v>
      </c>
      <c r="P5589" s="183" t="n">
        <v>0</v>
      </c>
      <c r="Q5589" s="184" t="n">
        <v>775.2</v>
      </c>
      <c r="R5589" s="184" t="n">
        <v>0</v>
      </c>
      <c r="S5589" s="183" t="n">
        <v>0</v>
      </c>
      <c r="T5589" s="183" t="n">
        <v>0</v>
      </c>
      <c r="U5589" s="182" t="n">
        <v>0</v>
      </c>
      <c r="V5589" s="182" t="n">
        <v>0</v>
      </c>
      <c r="W5589" s="182" t="n">
        <v>0</v>
      </c>
      <c r="X5589" s="182" t="n">
        <v>0.97</v>
      </c>
      <c r="Y5589" s="182" t="n">
        <v>0</v>
      </c>
      <c r="Z5589" s="182" t="n">
        <v>0</v>
      </c>
      <c r="AA5589" s="182" t="n">
        <v>0</v>
      </c>
      <c r="AB5589" s="182" t="n">
        <v>0</v>
      </c>
      <c r="AC5589" s="182" t="n">
        <v>0</v>
      </c>
      <c r="AD5589" s="182" t="n">
        <v>0</v>
      </c>
      <c r="AE5589" s="182" t="n">
        <v>0</v>
      </c>
      <c r="AF5589" s="182" t="n">
        <v>0</v>
      </c>
      <c r="AG5589" s="182" t="n">
        <v>0</v>
      </c>
      <c r="AH5589" s="182" t="n">
        <v>0</v>
      </c>
      <c r="AI5589" s="182" t="n">
        <v>0</v>
      </c>
      <c r="AJ5589" s="182" t="n">
        <v>0</v>
      </c>
      <c r="AK5589" s="182" t="n">
        <v>1.18</v>
      </c>
      <c r="AL5589" s="182" t="n">
        <v>0</v>
      </c>
      <c r="AM5589" s="182" t="n">
        <v>0.08</v>
      </c>
      <c r="AN5589" s="182" t="n">
        <v>0</v>
      </c>
    </row>
    <row r="5590">
      <c r="A5590" s="155" t="n">
        <v>46107</v>
      </c>
      <c r="B5590" s="156" t="inlineStr">
        <is>
          <t>DS</t>
        </is>
      </c>
      <c r="C5590" s="156" t="inlineStr">
        <is>
          <t>DT-502</t>
        </is>
      </c>
      <c r="D5590" s="156" t="inlineStr">
        <is>
          <t>SKT 105S</t>
        </is>
      </c>
      <c r="E5590" s="156" t="inlineStr">
        <is>
          <t>Hauler</t>
        </is>
      </c>
      <c r="F5590" s="156" t="inlineStr"/>
      <c r="G5590" s="182" t="n">
        <v>0</v>
      </c>
      <c r="H5590" s="182" t="n">
        <v>0</v>
      </c>
      <c r="I5590" s="182" t="n">
        <v>10</v>
      </c>
      <c r="J5590" s="182" t="n">
        <v>10</v>
      </c>
      <c r="K5590" s="182" t="n">
        <v>2</v>
      </c>
      <c r="L5590" s="182" t="n">
        <v>12</v>
      </c>
      <c r="M5590" s="182" t="n">
        <v>0</v>
      </c>
      <c r="N5590" s="182" t="n">
        <v>0</v>
      </c>
      <c r="O5590" s="183" t="n">
        <v>0</v>
      </c>
      <c r="P5590" s="183" t="n">
        <v>0</v>
      </c>
      <c r="Q5590" s="184" t="n">
        <v>0</v>
      </c>
      <c r="R5590" s="184" t="n">
        <v>0</v>
      </c>
      <c r="S5590" s="183" t="n">
        <v>0</v>
      </c>
      <c r="T5590" s="183" t="n">
        <v>0</v>
      </c>
      <c r="U5590" s="182" t="n">
        <v>0</v>
      </c>
      <c r="V5590" s="182" t="n">
        <v>0</v>
      </c>
      <c r="W5590" s="182" t="n">
        <v>0</v>
      </c>
      <c r="X5590" s="182" t="n">
        <v>1</v>
      </c>
      <c r="Y5590" s="182" t="n">
        <v>0</v>
      </c>
      <c r="Z5590" s="182" t="n">
        <v>0</v>
      </c>
      <c r="AA5590" s="182" t="n">
        <v>0</v>
      </c>
      <c r="AB5590" s="182" t="n">
        <v>0</v>
      </c>
      <c r="AC5590" s="182" t="n">
        <v>0</v>
      </c>
      <c r="AD5590" s="182" t="n">
        <v>0</v>
      </c>
      <c r="AE5590" s="182" t="n">
        <v>0</v>
      </c>
      <c r="AF5590" s="182" t="n">
        <v>0</v>
      </c>
      <c r="AG5590" s="182" t="n">
        <v>0</v>
      </c>
      <c r="AH5590" s="182" t="n">
        <v>0.92</v>
      </c>
      <c r="AI5590" s="182" t="n">
        <v>0</v>
      </c>
      <c r="AJ5590" s="182" t="n">
        <v>0</v>
      </c>
      <c r="AK5590" s="182" t="n">
        <v>0</v>
      </c>
      <c r="AL5590" s="182" t="n">
        <v>0</v>
      </c>
      <c r="AM5590" s="182" t="n">
        <v>0.08</v>
      </c>
      <c r="AN5590" s="182" t="n">
        <v>0</v>
      </c>
    </row>
    <row r="5591">
      <c r="A5591" s="155" t="n">
        <v>46107</v>
      </c>
      <c r="B5591" s="156" t="inlineStr">
        <is>
          <t>DS</t>
        </is>
      </c>
      <c r="C5591" s="156" t="inlineStr">
        <is>
          <t>DT-528</t>
        </is>
      </c>
      <c r="D5591" s="156" t="inlineStr">
        <is>
          <t>SKT 105S</t>
        </is>
      </c>
      <c r="E5591" s="156" t="inlineStr">
        <is>
          <t>Hauler</t>
        </is>
      </c>
      <c r="F5591" s="156" t="inlineStr">
        <is>
          <t>Hauling OB</t>
        </is>
      </c>
      <c r="G5591" s="182" t="n">
        <v>10.76</v>
      </c>
      <c r="H5591" s="182" t="n">
        <v>0</v>
      </c>
      <c r="I5591" s="182" t="n">
        <v>0</v>
      </c>
      <c r="J5591" s="182" t="n">
        <v>0</v>
      </c>
      <c r="K5591" s="182" t="n">
        <v>1.24</v>
      </c>
      <c r="L5591" s="182" t="n">
        <v>12</v>
      </c>
      <c r="M5591" s="182" t="n">
        <v>10.76</v>
      </c>
      <c r="N5591" s="182" t="n">
        <v>0</v>
      </c>
      <c r="O5591" s="183" t="n">
        <v>44</v>
      </c>
      <c r="P5591" s="183" t="n">
        <v>0</v>
      </c>
      <c r="Q5591" s="184" t="n">
        <v>897.6</v>
      </c>
      <c r="R5591" s="184" t="n">
        <v>0</v>
      </c>
      <c r="S5591" s="183" t="n">
        <v>0</v>
      </c>
      <c r="T5591" s="183" t="n">
        <v>0</v>
      </c>
      <c r="U5591" s="182" t="n">
        <v>0</v>
      </c>
      <c r="V5591" s="182" t="n">
        <v>0</v>
      </c>
      <c r="W5591" s="182" t="n">
        <v>0</v>
      </c>
      <c r="X5591" s="182" t="n">
        <v>0.77</v>
      </c>
      <c r="Y5591" s="182" t="n">
        <v>0</v>
      </c>
      <c r="Z5591" s="182" t="n">
        <v>0</v>
      </c>
      <c r="AA5591" s="182" t="n">
        <v>0</v>
      </c>
      <c r="AB5591" s="182" t="n">
        <v>0</v>
      </c>
      <c r="AC5591" s="182" t="n">
        <v>0</v>
      </c>
      <c r="AD5591" s="182" t="n">
        <v>0</v>
      </c>
      <c r="AE5591" s="182" t="n">
        <v>0</v>
      </c>
      <c r="AF5591" s="182" t="n">
        <v>0</v>
      </c>
      <c r="AG5591" s="182" t="n">
        <v>0</v>
      </c>
      <c r="AH5591" s="182" t="n">
        <v>0.4</v>
      </c>
      <c r="AI5591" s="182" t="n">
        <v>0</v>
      </c>
      <c r="AJ5591" s="182" t="n">
        <v>0</v>
      </c>
      <c r="AK5591" s="182" t="n">
        <v>0</v>
      </c>
      <c r="AL5591" s="182" t="n">
        <v>0</v>
      </c>
      <c r="AM5591" s="182" t="n">
        <v>0.06</v>
      </c>
      <c r="AN5591" s="182" t="n">
        <v>0</v>
      </c>
    </row>
    <row r="5592">
      <c r="A5592" s="155" t="n">
        <v>46107</v>
      </c>
      <c r="B5592" s="156" t="inlineStr">
        <is>
          <t>DS</t>
        </is>
      </c>
      <c r="C5592" s="156" t="inlineStr">
        <is>
          <t>DT-529</t>
        </is>
      </c>
      <c r="D5592" s="156" t="inlineStr">
        <is>
          <t>SKT 105S</t>
        </is>
      </c>
      <c r="E5592" s="156" t="inlineStr">
        <is>
          <t>Hauler</t>
        </is>
      </c>
      <c r="F5592" s="156" t="inlineStr">
        <is>
          <t>Hauling OB</t>
        </is>
      </c>
      <c r="G5592" s="182" t="n">
        <v>3.28</v>
      </c>
      <c r="H5592" s="182" t="n">
        <v>6.77</v>
      </c>
      <c r="I5592" s="182" t="n">
        <v>1.95</v>
      </c>
      <c r="J5592" s="182" t="n">
        <v>8.720000000000001</v>
      </c>
      <c r="K5592" s="182" t="n">
        <v>0</v>
      </c>
      <c r="L5592" s="182" t="n">
        <v>12</v>
      </c>
      <c r="M5592" s="182" t="n">
        <v>3.28</v>
      </c>
      <c r="N5592" s="182" t="n">
        <v>0</v>
      </c>
      <c r="O5592" s="183" t="n">
        <v>8</v>
      </c>
      <c r="P5592" s="183" t="n">
        <v>0</v>
      </c>
      <c r="Q5592" s="184" t="n">
        <v>163.2</v>
      </c>
      <c r="R5592" s="184" t="n">
        <v>0</v>
      </c>
      <c r="S5592" s="183" t="n">
        <v>0</v>
      </c>
      <c r="T5592" s="183" t="n">
        <v>0</v>
      </c>
      <c r="U5592" s="182" t="n">
        <v>0</v>
      </c>
      <c r="V5592" s="182" t="n">
        <v>0</v>
      </c>
      <c r="W5592" s="182" t="n">
        <v>0</v>
      </c>
      <c r="X5592" s="182" t="n">
        <v>0</v>
      </c>
      <c r="Y5592" s="182" t="n">
        <v>0</v>
      </c>
      <c r="Z5592" s="182" t="n">
        <v>0</v>
      </c>
      <c r="AA5592" s="182" t="n">
        <v>0</v>
      </c>
      <c r="AB5592" s="182" t="n">
        <v>0</v>
      </c>
      <c r="AC5592" s="182" t="n">
        <v>0</v>
      </c>
      <c r="AD5592" s="182" t="n">
        <v>0</v>
      </c>
      <c r="AE5592" s="182" t="n">
        <v>0</v>
      </c>
      <c r="AF5592" s="182" t="n">
        <v>0</v>
      </c>
      <c r="AG5592" s="182" t="n">
        <v>0</v>
      </c>
      <c r="AH5592" s="182" t="n">
        <v>0</v>
      </c>
      <c r="AI5592" s="182" t="n">
        <v>0</v>
      </c>
      <c r="AJ5592" s="182" t="n">
        <v>0</v>
      </c>
      <c r="AK5592" s="182" t="n">
        <v>0</v>
      </c>
      <c r="AL5592" s="182" t="n">
        <v>0</v>
      </c>
      <c r="AM5592" s="182" t="n">
        <v>0</v>
      </c>
      <c r="AN5592" s="182" t="n">
        <v>0</v>
      </c>
    </row>
    <row r="5593">
      <c r="A5593" s="155" t="n">
        <v>46107</v>
      </c>
      <c r="B5593" s="156" t="inlineStr">
        <is>
          <t>DS</t>
        </is>
      </c>
      <c r="C5593" s="156" t="inlineStr">
        <is>
          <t>DT-520</t>
        </is>
      </c>
      <c r="D5593" s="156" t="inlineStr">
        <is>
          <t>SKT 105S</t>
        </is>
      </c>
      <c r="E5593" s="156" t="inlineStr">
        <is>
          <t>Hauler</t>
        </is>
      </c>
      <c r="F5593" s="156" t="inlineStr">
        <is>
          <t>Travel ke WS</t>
        </is>
      </c>
      <c r="G5593" s="182" t="n">
        <v>0.6</v>
      </c>
      <c r="H5593" s="182" t="n">
        <v>11.4</v>
      </c>
      <c r="I5593" s="182" t="n">
        <v>0</v>
      </c>
      <c r="J5593" s="182" t="n">
        <v>11.4</v>
      </c>
      <c r="K5593" s="182" t="n">
        <v>0</v>
      </c>
      <c r="L5593" s="182" t="n">
        <v>12</v>
      </c>
      <c r="M5593" s="182" t="n">
        <v>0</v>
      </c>
      <c r="N5593" s="182" t="n">
        <v>0</v>
      </c>
      <c r="O5593" s="183" t="n">
        <v>0</v>
      </c>
      <c r="P5593" s="183" t="n">
        <v>0</v>
      </c>
      <c r="Q5593" s="184" t="n">
        <v>0</v>
      </c>
      <c r="R5593" s="184" t="n">
        <v>0</v>
      </c>
      <c r="S5593" s="183" t="n">
        <v>0</v>
      </c>
      <c r="T5593" s="183" t="n">
        <v>0</v>
      </c>
      <c r="U5593" s="182" t="n">
        <v>0</v>
      </c>
      <c r="V5593" s="182" t="n">
        <v>0</v>
      </c>
      <c r="W5593" s="182" t="n">
        <v>0</v>
      </c>
      <c r="X5593" s="182" t="n">
        <v>0</v>
      </c>
      <c r="Y5593" s="182" t="n">
        <v>0</v>
      </c>
      <c r="Z5593" s="182" t="n">
        <v>0</v>
      </c>
      <c r="AA5593" s="182" t="n">
        <v>0</v>
      </c>
      <c r="AB5593" s="182" t="n">
        <v>0</v>
      </c>
      <c r="AC5593" s="182" t="n">
        <v>0</v>
      </c>
      <c r="AD5593" s="182" t="n">
        <v>0</v>
      </c>
      <c r="AE5593" s="182" t="n">
        <v>0</v>
      </c>
      <c r="AF5593" s="182" t="n">
        <v>0</v>
      </c>
      <c r="AG5593" s="182" t="n">
        <v>0</v>
      </c>
      <c r="AH5593" s="182" t="n">
        <v>0</v>
      </c>
      <c r="AI5593" s="182" t="n">
        <v>0</v>
      </c>
      <c r="AJ5593" s="182" t="n">
        <v>0</v>
      </c>
      <c r="AK5593" s="182" t="n">
        <v>0</v>
      </c>
      <c r="AL5593" s="182" t="n">
        <v>0</v>
      </c>
      <c r="AM5593" s="182" t="n">
        <v>0</v>
      </c>
      <c r="AN5593" s="182" t="n">
        <v>0</v>
      </c>
    </row>
    <row r="5594">
      <c r="A5594" s="155" t="n">
        <v>46107</v>
      </c>
      <c r="B5594" s="156" t="inlineStr">
        <is>
          <t>DS</t>
        </is>
      </c>
      <c r="C5594" s="156" t="inlineStr">
        <is>
          <t>DT-511</t>
        </is>
      </c>
      <c r="D5594" s="156" t="inlineStr">
        <is>
          <t>SKT 105S</t>
        </is>
      </c>
      <c r="E5594" s="156" t="inlineStr">
        <is>
          <t>Hauler</t>
        </is>
      </c>
      <c r="F5594" s="156" t="inlineStr"/>
      <c r="G5594" s="182" t="n">
        <v>0</v>
      </c>
      <c r="H5594" s="182" t="n">
        <v>0</v>
      </c>
      <c r="I5594" s="182" t="n">
        <v>12</v>
      </c>
      <c r="J5594" s="182" t="n">
        <v>12</v>
      </c>
      <c r="K5594" s="182" t="n">
        <v>0</v>
      </c>
      <c r="L5594" s="182" t="n">
        <v>12</v>
      </c>
      <c r="M5594" s="182" t="n">
        <v>0</v>
      </c>
      <c r="N5594" s="182" t="n">
        <v>0</v>
      </c>
      <c r="O5594" s="183" t="n">
        <v>0</v>
      </c>
      <c r="P5594" s="183" t="n">
        <v>0</v>
      </c>
      <c r="Q5594" s="184" t="n">
        <v>0</v>
      </c>
      <c r="R5594" s="184" t="n">
        <v>0</v>
      </c>
      <c r="S5594" s="183" t="n">
        <v>0</v>
      </c>
      <c r="T5594" s="183" t="n">
        <v>0</v>
      </c>
      <c r="U5594" s="182" t="n">
        <v>0</v>
      </c>
      <c r="V5594" s="182" t="n">
        <v>0</v>
      </c>
      <c r="W5594" s="182" t="n">
        <v>0</v>
      </c>
      <c r="X5594" s="182" t="n">
        <v>0</v>
      </c>
      <c r="Y5594" s="182" t="n">
        <v>0</v>
      </c>
      <c r="Z5594" s="182" t="n">
        <v>0</v>
      </c>
      <c r="AA5594" s="182" t="n">
        <v>0</v>
      </c>
      <c r="AB5594" s="182" t="n">
        <v>0</v>
      </c>
      <c r="AC5594" s="182" t="n">
        <v>0</v>
      </c>
      <c r="AD5594" s="182" t="n">
        <v>0</v>
      </c>
      <c r="AE5594" s="182" t="n">
        <v>0</v>
      </c>
      <c r="AF5594" s="182" t="n">
        <v>0</v>
      </c>
      <c r="AG5594" s="182" t="n">
        <v>0</v>
      </c>
      <c r="AH5594" s="182" t="n">
        <v>0</v>
      </c>
      <c r="AI5594" s="182" t="n">
        <v>0</v>
      </c>
      <c r="AJ5594" s="182" t="n">
        <v>0</v>
      </c>
      <c r="AK5594" s="182" t="n">
        <v>0</v>
      </c>
      <c r="AL5594" s="182" t="n">
        <v>0</v>
      </c>
      <c r="AM5594" s="182" t="n">
        <v>0</v>
      </c>
      <c r="AN5594" s="182" t="n">
        <v>0</v>
      </c>
    </row>
    <row r="5595">
      <c r="A5595" s="155" t="n">
        <v>46107</v>
      </c>
      <c r="B5595" s="156" t="inlineStr">
        <is>
          <t>DS</t>
        </is>
      </c>
      <c r="C5595" s="156" t="inlineStr">
        <is>
          <t>DT-509</t>
        </is>
      </c>
      <c r="D5595" s="156" t="inlineStr">
        <is>
          <t>SKT 105S</t>
        </is>
      </c>
      <c r="E5595" s="156" t="inlineStr">
        <is>
          <t>Hauler</t>
        </is>
      </c>
      <c r="F5595" s="156" t="inlineStr"/>
      <c r="G5595" s="182" t="n">
        <v>0</v>
      </c>
      <c r="H5595" s="182" t="n">
        <v>0</v>
      </c>
      <c r="I5595" s="182" t="n">
        <v>12</v>
      </c>
      <c r="J5595" s="182" t="n">
        <v>12</v>
      </c>
      <c r="K5595" s="182" t="n">
        <v>0</v>
      </c>
      <c r="L5595" s="182" t="n">
        <v>12</v>
      </c>
      <c r="M5595" s="182" t="n">
        <v>0</v>
      </c>
      <c r="N5595" s="182" t="n">
        <v>0</v>
      </c>
      <c r="O5595" s="183" t="n">
        <v>0</v>
      </c>
      <c r="P5595" s="183" t="n">
        <v>0</v>
      </c>
      <c r="Q5595" s="184" t="n">
        <v>0</v>
      </c>
      <c r="R5595" s="184" t="n">
        <v>0</v>
      </c>
      <c r="S5595" s="183" t="n">
        <v>0</v>
      </c>
      <c r="T5595" s="183" t="n">
        <v>0</v>
      </c>
      <c r="U5595" s="182" t="n">
        <v>0</v>
      </c>
      <c r="V5595" s="182" t="n">
        <v>0</v>
      </c>
      <c r="W5595" s="182" t="n">
        <v>0</v>
      </c>
      <c r="X5595" s="182" t="n">
        <v>0</v>
      </c>
      <c r="Y5595" s="182" t="n">
        <v>0</v>
      </c>
      <c r="Z5595" s="182" t="n">
        <v>0</v>
      </c>
      <c r="AA5595" s="182" t="n">
        <v>0</v>
      </c>
      <c r="AB5595" s="182" t="n">
        <v>0</v>
      </c>
      <c r="AC5595" s="182" t="n">
        <v>0</v>
      </c>
      <c r="AD5595" s="182" t="n">
        <v>0</v>
      </c>
      <c r="AE5595" s="182" t="n">
        <v>0</v>
      </c>
      <c r="AF5595" s="182" t="n">
        <v>0</v>
      </c>
      <c r="AG5595" s="182" t="n">
        <v>0</v>
      </c>
      <c r="AH5595" s="182" t="n">
        <v>0</v>
      </c>
      <c r="AI5595" s="182" t="n">
        <v>0</v>
      </c>
      <c r="AJ5595" s="182" t="n">
        <v>0</v>
      </c>
      <c r="AK5595" s="182" t="n">
        <v>0</v>
      </c>
      <c r="AL5595" s="182" t="n">
        <v>0</v>
      </c>
      <c r="AM5595" s="182" t="n">
        <v>0</v>
      </c>
      <c r="AN5595" s="182" t="n">
        <v>0</v>
      </c>
    </row>
    <row r="5596">
      <c r="A5596" s="155" t="n">
        <v>46107</v>
      </c>
      <c r="B5596" s="156" t="inlineStr">
        <is>
          <t>DS</t>
        </is>
      </c>
      <c r="C5596" s="156" t="inlineStr">
        <is>
          <t>DT-526</t>
        </is>
      </c>
      <c r="D5596" s="156" t="inlineStr">
        <is>
          <t>SKT 105S</t>
        </is>
      </c>
      <c r="E5596" s="156" t="inlineStr">
        <is>
          <t>Hauler</t>
        </is>
      </c>
      <c r="F5596" s="156" t="inlineStr"/>
      <c r="G5596" s="182" t="n">
        <v>0</v>
      </c>
      <c r="H5596" s="182" t="n">
        <v>0</v>
      </c>
      <c r="I5596" s="182" t="n">
        <v>12</v>
      </c>
      <c r="J5596" s="182" t="n">
        <v>12</v>
      </c>
      <c r="K5596" s="182" t="n">
        <v>0</v>
      </c>
      <c r="L5596" s="182" t="n">
        <v>12</v>
      </c>
      <c r="M5596" s="182" t="n">
        <v>0</v>
      </c>
      <c r="N5596" s="182" t="n">
        <v>0</v>
      </c>
      <c r="O5596" s="183" t="n">
        <v>0</v>
      </c>
      <c r="P5596" s="183" t="n">
        <v>0</v>
      </c>
      <c r="Q5596" s="184" t="n">
        <v>0</v>
      </c>
      <c r="R5596" s="184" t="n">
        <v>0</v>
      </c>
      <c r="S5596" s="183" t="n">
        <v>0</v>
      </c>
      <c r="T5596" s="183" t="n">
        <v>0</v>
      </c>
      <c r="U5596" s="182" t="n">
        <v>0</v>
      </c>
      <c r="V5596" s="182" t="n">
        <v>0</v>
      </c>
      <c r="W5596" s="182" t="n">
        <v>0</v>
      </c>
      <c r="X5596" s="182" t="n">
        <v>0</v>
      </c>
      <c r="Y5596" s="182" t="n">
        <v>0</v>
      </c>
      <c r="Z5596" s="182" t="n">
        <v>0</v>
      </c>
      <c r="AA5596" s="182" t="n">
        <v>0</v>
      </c>
      <c r="AB5596" s="182" t="n">
        <v>0</v>
      </c>
      <c r="AC5596" s="182" t="n">
        <v>0</v>
      </c>
      <c r="AD5596" s="182" t="n">
        <v>0</v>
      </c>
      <c r="AE5596" s="182" t="n">
        <v>0</v>
      </c>
      <c r="AF5596" s="182" t="n">
        <v>0</v>
      </c>
      <c r="AG5596" s="182" t="n">
        <v>0</v>
      </c>
      <c r="AH5596" s="182" t="n">
        <v>0</v>
      </c>
      <c r="AI5596" s="182" t="n">
        <v>0</v>
      </c>
      <c r="AJ5596" s="182" t="n">
        <v>0</v>
      </c>
      <c r="AK5596" s="182" t="n">
        <v>0</v>
      </c>
      <c r="AL5596" s="182" t="n">
        <v>0</v>
      </c>
      <c r="AM5596" s="182" t="n">
        <v>0</v>
      </c>
      <c r="AN5596" s="182" t="n">
        <v>0</v>
      </c>
    </row>
    <row r="5597">
      <c r="A5597" s="155" t="n">
        <v>46107</v>
      </c>
      <c r="B5597" s="156" t="inlineStr">
        <is>
          <t>DS</t>
        </is>
      </c>
      <c r="C5597" s="156" t="inlineStr">
        <is>
          <t>DT-508</t>
        </is>
      </c>
      <c r="D5597" s="156" t="inlineStr">
        <is>
          <t>SKT 105S</t>
        </is>
      </c>
      <c r="E5597" s="156" t="inlineStr">
        <is>
          <t>Hauler</t>
        </is>
      </c>
      <c r="F5597" s="156" t="inlineStr">
        <is>
          <t>Hauling OB</t>
        </is>
      </c>
      <c r="G5597" s="182" t="n">
        <v>9.890000000000001</v>
      </c>
      <c r="H5597" s="182" t="n">
        <v>0</v>
      </c>
      <c r="I5597" s="182" t="n">
        <v>0</v>
      </c>
      <c r="J5597" s="182" t="n">
        <v>0</v>
      </c>
      <c r="K5597" s="182" t="n">
        <v>2.11</v>
      </c>
      <c r="L5597" s="182" t="n">
        <v>12</v>
      </c>
      <c r="M5597" s="182" t="n">
        <v>9.890000000000001</v>
      </c>
      <c r="N5597" s="182" t="n">
        <v>0</v>
      </c>
      <c r="O5597" s="183" t="n">
        <v>38</v>
      </c>
      <c r="P5597" s="183" t="n">
        <v>0</v>
      </c>
      <c r="Q5597" s="184" t="n">
        <v>775.2</v>
      </c>
      <c r="R5597" s="184" t="n">
        <v>0</v>
      </c>
      <c r="S5597" s="183" t="n">
        <v>0</v>
      </c>
      <c r="T5597" s="183" t="n">
        <v>0</v>
      </c>
      <c r="U5597" s="182" t="n">
        <v>0</v>
      </c>
      <c r="V5597" s="182" t="n">
        <v>0</v>
      </c>
      <c r="W5597" s="182" t="n">
        <v>0</v>
      </c>
      <c r="X5597" s="182" t="n">
        <v>1.24</v>
      </c>
      <c r="Y5597" s="182" t="n">
        <v>0</v>
      </c>
      <c r="Z5597" s="182" t="n">
        <v>0</v>
      </c>
      <c r="AA5597" s="182" t="n">
        <v>0</v>
      </c>
      <c r="AB5597" s="182" t="n">
        <v>0</v>
      </c>
      <c r="AC5597" s="182" t="n">
        <v>0</v>
      </c>
      <c r="AD5597" s="182" t="n">
        <v>0</v>
      </c>
      <c r="AE5597" s="182" t="n">
        <v>0</v>
      </c>
      <c r="AF5597" s="182" t="n">
        <v>0</v>
      </c>
      <c r="AG5597" s="182" t="n">
        <v>0</v>
      </c>
      <c r="AH5597" s="182" t="n">
        <v>0.77</v>
      </c>
      <c r="AI5597" s="182" t="n">
        <v>0</v>
      </c>
      <c r="AJ5597" s="182" t="n">
        <v>0</v>
      </c>
      <c r="AK5597" s="182" t="n">
        <v>0</v>
      </c>
      <c r="AL5597" s="182" t="n">
        <v>0</v>
      </c>
      <c r="AM5597" s="182" t="n">
        <v>0.1</v>
      </c>
      <c r="AN5597" s="182" t="n">
        <v>0</v>
      </c>
    </row>
    <row r="5598">
      <c r="A5598" s="155" t="n">
        <v>46107</v>
      </c>
      <c r="B5598" s="156" t="inlineStr">
        <is>
          <t>DS</t>
        </is>
      </c>
      <c r="C5598" s="156" t="inlineStr">
        <is>
          <t>DT-515</t>
        </is>
      </c>
      <c r="D5598" s="156" t="inlineStr">
        <is>
          <t>SKT 105S</t>
        </is>
      </c>
      <c r="E5598" s="156" t="inlineStr">
        <is>
          <t>Hauler</t>
        </is>
      </c>
      <c r="F5598" s="156" t="inlineStr">
        <is>
          <t>Hauling OB</t>
        </is>
      </c>
      <c r="G5598" s="182" t="n">
        <v>10.37</v>
      </c>
      <c r="H5598" s="182" t="n">
        <v>0</v>
      </c>
      <c r="I5598" s="182" t="n">
        <v>0</v>
      </c>
      <c r="J5598" s="182" t="n">
        <v>0</v>
      </c>
      <c r="K5598" s="182" t="n">
        <v>1.63</v>
      </c>
      <c r="L5598" s="182" t="n">
        <v>12</v>
      </c>
      <c r="M5598" s="182" t="n">
        <v>10.37</v>
      </c>
      <c r="N5598" s="182" t="n">
        <v>0</v>
      </c>
      <c r="O5598" s="183" t="n">
        <v>36</v>
      </c>
      <c r="P5598" s="183" t="n">
        <v>0</v>
      </c>
      <c r="Q5598" s="184" t="n">
        <v>734.4</v>
      </c>
      <c r="R5598" s="184" t="n">
        <v>0</v>
      </c>
      <c r="S5598" s="183" t="n">
        <v>0</v>
      </c>
      <c r="T5598" s="183" t="n">
        <v>0</v>
      </c>
      <c r="U5598" s="182" t="n">
        <v>0</v>
      </c>
      <c r="V5598" s="182" t="n">
        <v>0</v>
      </c>
      <c r="W5598" s="182" t="n">
        <v>0</v>
      </c>
      <c r="X5598" s="182" t="n">
        <v>0.91</v>
      </c>
      <c r="Y5598" s="182" t="n">
        <v>0</v>
      </c>
      <c r="Z5598" s="182" t="n">
        <v>0</v>
      </c>
      <c r="AA5598" s="182" t="n">
        <v>0</v>
      </c>
      <c r="AB5598" s="182" t="n">
        <v>0</v>
      </c>
      <c r="AC5598" s="182" t="n">
        <v>0</v>
      </c>
      <c r="AD5598" s="182" t="n">
        <v>0</v>
      </c>
      <c r="AE5598" s="182" t="n">
        <v>0</v>
      </c>
      <c r="AF5598" s="182" t="n">
        <v>0</v>
      </c>
      <c r="AG5598" s="182" t="n">
        <v>0</v>
      </c>
      <c r="AH5598" s="182" t="n">
        <v>0.65</v>
      </c>
      <c r="AI5598" s="182" t="n">
        <v>0</v>
      </c>
      <c r="AJ5598" s="182" t="n">
        <v>0</v>
      </c>
      <c r="AK5598" s="182" t="n">
        <v>0</v>
      </c>
      <c r="AL5598" s="182" t="n">
        <v>0</v>
      </c>
      <c r="AM5598" s="182" t="n">
        <v>0.07000000000000001</v>
      </c>
      <c r="AN5598" s="182" t="n">
        <v>0</v>
      </c>
    </row>
    <row r="5599">
      <c r="A5599" s="155" t="n">
        <v>46107</v>
      </c>
      <c r="B5599" s="156" t="inlineStr">
        <is>
          <t>DS</t>
        </is>
      </c>
      <c r="C5599" s="156" t="inlineStr">
        <is>
          <t>DT-524</t>
        </is>
      </c>
      <c r="D5599" s="156" t="inlineStr">
        <is>
          <t>SKT 105S</t>
        </is>
      </c>
      <c r="E5599" s="156" t="inlineStr">
        <is>
          <t>Hauler</t>
        </is>
      </c>
      <c r="F5599" s="156" t="inlineStr"/>
      <c r="G5599" s="182" t="n">
        <v>0</v>
      </c>
      <c r="H5599" s="182" t="n">
        <v>0</v>
      </c>
      <c r="I5599" s="182" t="n">
        <v>0</v>
      </c>
      <c r="J5599" s="182" t="n">
        <v>0</v>
      </c>
      <c r="K5599" s="182" t="n">
        <v>12</v>
      </c>
      <c r="L5599" s="182" t="n">
        <v>12</v>
      </c>
      <c r="M5599" s="182" t="n">
        <v>0</v>
      </c>
      <c r="N5599" s="182" t="n">
        <v>0</v>
      </c>
      <c r="O5599" s="183" t="n">
        <v>0</v>
      </c>
      <c r="P5599" s="183" t="n">
        <v>0</v>
      </c>
      <c r="Q5599" s="184" t="n">
        <v>0</v>
      </c>
      <c r="R5599" s="184" t="n">
        <v>0</v>
      </c>
      <c r="S5599" s="183" t="n">
        <v>0</v>
      </c>
      <c r="T5599" s="183" t="n">
        <v>0</v>
      </c>
      <c r="U5599" s="182" t="n">
        <v>0</v>
      </c>
      <c r="V5599" s="182" t="n">
        <v>0</v>
      </c>
      <c r="W5599" s="182" t="n">
        <v>0</v>
      </c>
      <c r="X5599" s="182" t="n">
        <v>1</v>
      </c>
      <c r="Y5599" s="182" t="n">
        <v>0</v>
      </c>
      <c r="Z5599" s="182" t="n">
        <v>0</v>
      </c>
      <c r="AA5599" s="182" t="n">
        <v>0</v>
      </c>
      <c r="AB5599" s="182" t="n">
        <v>0</v>
      </c>
      <c r="AC5599" s="182" t="n">
        <v>0</v>
      </c>
      <c r="AD5599" s="182" t="n">
        <v>0</v>
      </c>
      <c r="AE5599" s="182" t="n">
        <v>0</v>
      </c>
      <c r="AF5599" s="182" t="n">
        <v>0</v>
      </c>
      <c r="AG5599" s="182" t="n">
        <v>0</v>
      </c>
      <c r="AH5599" s="182" t="n">
        <v>0</v>
      </c>
      <c r="AI5599" s="182" t="n">
        <v>0</v>
      </c>
      <c r="AJ5599" s="182" t="n">
        <v>0</v>
      </c>
      <c r="AK5599" s="182" t="n">
        <v>10.92</v>
      </c>
      <c r="AL5599" s="182" t="n">
        <v>0</v>
      </c>
      <c r="AM5599" s="182" t="n">
        <v>0.08</v>
      </c>
      <c r="AN5599" s="182" t="n">
        <v>0</v>
      </c>
    </row>
    <row r="5600">
      <c r="A5600" s="155" t="n">
        <v>46107</v>
      </c>
      <c r="B5600" s="156" t="inlineStr">
        <is>
          <t>DS</t>
        </is>
      </c>
      <c r="C5600" s="156" t="inlineStr">
        <is>
          <t>DT-341</t>
        </is>
      </c>
      <c r="D5600" s="156" t="inlineStr">
        <is>
          <t>SYZ324C-8W</t>
        </is>
      </c>
      <c r="E5600" s="156" t="inlineStr">
        <is>
          <t>Hauler</t>
        </is>
      </c>
      <c r="F5600" s="156" t="inlineStr">
        <is>
          <t>Support Washing Plant</t>
        </is>
      </c>
      <c r="G5600" s="182" t="n">
        <v>1.69</v>
      </c>
      <c r="H5600" s="182" t="n">
        <v>0</v>
      </c>
      <c r="I5600" s="182" t="n">
        <v>0</v>
      </c>
      <c r="J5600" s="182" t="n">
        <v>0</v>
      </c>
      <c r="K5600" s="182" t="n">
        <v>10.31</v>
      </c>
      <c r="L5600" s="182" t="n">
        <v>12</v>
      </c>
      <c r="M5600" s="182" t="n">
        <v>0</v>
      </c>
      <c r="N5600" s="182" t="n">
        <v>0</v>
      </c>
      <c r="O5600" s="183" t="n">
        <v>0</v>
      </c>
      <c r="P5600" s="183" t="n">
        <v>0</v>
      </c>
      <c r="Q5600" s="184" t="n">
        <v>0</v>
      </c>
      <c r="R5600" s="184" t="n">
        <v>0</v>
      </c>
      <c r="S5600" s="183" t="n">
        <v>0</v>
      </c>
      <c r="T5600" s="183" t="n">
        <v>0</v>
      </c>
      <c r="U5600" s="182" t="n">
        <v>0</v>
      </c>
      <c r="V5600" s="182" t="n">
        <v>0</v>
      </c>
      <c r="W5600" s="182" t="n">
        <v>0</v>
      </c>
      <c r="X5600" s="182" t="n">
        <v>1</v>
      </c>
      <c r="Y5600" s="182" t="n">
        <v>0</v>
      </c>
      <c r="Z5600" s="182" t="n">
        <v>0</v>
      </c>
      <c r="AA5600" s="182" t="n">
        <v>0</v>
      </c>
      <c r="AB5600" s="182" t="n">
        <v>0</v>
      </c>
      <c r="AC5600" s="182" t="n">
        <v>0</v>
      </c>
      <c r="AD5600" s="182" t="n">
        <v>0</v>
      </c>
      <c r="AE5600" s="182" t="n">
        <v>0</v>
      </c>
      <c r="AF5600" s="182" t="n">
        <v>0</v>
      </c>
      <c r="AG5600" s="182" t="n">
        <v>0</v>
      </c>
      <c r="AH5600" s="182" t="n">
        <v>0</v>
      </c>
      <c r="AI5600" s="182" t="n">
        <v>0</v>
      </c>
      <c r="AJ5600" s="182" t="n">
        <v>0</v>
      </c>
      <c r="AK5600" s="182" t="n">
        <v>9.23</v>
      </c>
      <c r="AL5600" s="182" t="n">
        <v>0</v>
      </c>
      <c r="AM5600" s="182" t="n">
        <v>0.08</v>
      </c>
      <c r="AN5600" s="182" t="n">
        <v>0</v>
      </c>
    </row>
    <row r="5601">
      <c r="A5601" s="155" t="n">
        <v>46107</v>
      </c>
      <c r="B5601" s="156" t="inlineStr">
        <is>
          <t>DS</t>
        </is>
      </c>
      <c r="C5601" s="156" t="inlineStr">
        <is>
          <t>DT-342</t>
        </is>
      </c>
      <c r="D5601" s="156" t="inlineStr">
        <is>
          <t>SYZ324C-8W</t>
        </is>
      </c>
      <c r="E5601" s="156" t="inlineStr">
        <is>
          <t>Hauler</t>
        </is>
      </c>
      <c r="F5601" s="156" t="inlineStr">
        <is>
          <t>Support Washing Plant</t>
        </is>
      </c>
      <c r="G5601" s="182" t="n">
        <v>2.6</v>
      </c>
      <c r="H5601" s="182" t="n">
        <v>0</v>
      </c>
      <c r="I5601" s="182" t="n">
        <v>0</v>
      </c>
      <c r="J5601" s="182" t="n">
        <v>0</v>
      </c>
      <c r="K5601" s="182" t="n">
        <v>9.4</v>
      </c>
      <c r="L5601" s="182" t="n">
        <v>12</v>
      </c>
      <c r="M5601" s="182" t="n">
        <v>0</v>
      </c>
      <c r="N5601" s="182" t="n">
        <v>0</v>
      </c>
      <c r="O5601" s="183" t="n">
        <v>0</v>
      </c>
      <c r="P5601" s="183" t="n">
        <v>0</v>
      </c>
      <c r="Q5601" s="184" t="n">
        <v>0</v>
      </c>
      <c r="R5601" s="184" t="n">
        <v>0</v>
      </c>
      <c r="S5601" s="183" t="n">
        <v>0</v>
      </c>
      <c r="T5601" s="183" t="n">
        <v>0</v>
      </c>
      <c r="U5601" s="182" t="n">
        <v>0</v>
      </c>
      <c r="V5601" s="182" t="n">
        <v>0</v>
      </c>
      <c r="W5601" s="182" t="n">
        <v>0</v>
      </c>
      <c r="X5601" s="182" t="n">
        <v>0.98</v>
      </c>
      <c r="Y5601" s="182" t="n">
        <v>0</v>
      </c>
      <c r="Z5601" s="182" t="n">
        <v>0</v>
      </c>
      <c r="AA5601" s="182" t="n">
        <v>0</v>
      </c>
      <c r="AB5601" s="182" t="n">
        <v>0</v>
      </c>
      <c r="AC5601" s="182" t="n">
        <v>0</v>
      </c>
      <c r="AD5601" s="182" t="n">
        <v>0</v>
      </c>
      <c r="AE5601" s="182" t="n">
        <v>0</v>
      </c>
      <c r="AF5601" s="182" t="n">
        <v>0</v>
      </c>
      <c r="AG5601" s="182" t="n">
        <v>0</v>
      </c>
      <c r="AH5601" s="182" t="n">
        <v>0</v>
      </c>
      <c r="AI5601" s="182" t="n">
        <v>0</v>
      </c>
      <c r="AJ5601" s="182" t="n">
        <v>0</v>
      </c>
      <c r="AK5601" s="182" t="n">
        <v>8.34</v>
      </c>
      <c r="AL5601" s="182" t="n">
        <v>0</v>
      </c>
      <c r="AM5601" s="182" t="n">
        <v>0.08</v>
      </c>
      <c r="AN5601" s="182" t="n">
        <v>0</v>
      </c>
    </row>
    <row r="5602">
      <c r="A5602" s="155" t="n">
        <v>46107</v>
      </c>
      <c r="B5602" s="156" t="inlineStr">
        <is>
          <t>DS</t>
        </is>
      </c>
      <c r="C5602" s="156" t="inlineStr">
        <is>
          <t>HD-903</t>
        </is>
      </c>
      <c r="D5602" s="156" t="inlineStr">
        <is>
          <t>SRT 95C</t>
        </is>
      </c>
      <c r="E5602" s="156" t="inlineStr">
        <is>
          <t>Hauler</t>
        </is>
      </c>
      <c r="F5602" s="156" t="inlineStr">
        <is>
          <t>Hauling OB</t>
        </is>
      </c>
      <c r="G5602" s="182" t="n">
        <v>7.61</v>
      </c>
      <c r="H5602" s="182" t="n">
        <v>0</v>
      </c>
      <c r="I5602" s="182" t="n">
        <v>3.87</v>
      </c>
      <c r="J5602" s="182" t="n">
        <v>3.87</v>
      </c>
      <c r="K5602" s="182" t="n">
        <v>0.52</v>
      </c>
      <c r="L5602" s="182" t="n">
        <v>12</v>
      </c>
      <c r="M5602" s="182" t="n">
        <v>7.61</v>
      </c>
      <c r="N5602" s="182" t="n">
        <v>0</v>
      </c>
      <c r="O5602" s="183" t="n">
        <v>30</v>
      </c>
      <c r="P5602" s="183" t="n">
        <v>0</v>
      </c>
      <c r="Q5602" s="184" t="n">
        <v>1071</v>
      </c>
      <c r="R5602" s="184" t="n">
        <v>0</v>
      </c>
      <c r="S5602" s="183" t="n">
        <v>0</v>
      </c>
      <c r="T5602" s="183" t="n">
        <v>0</v>
      </c>
      <c r="U5602" s="182" t="n">
        <v>0</v>
      </c>
      <c r="V5602" s="182" t="n">
        <v>0</v>
      </c>
      <c r="W5602" s="182" t="n">
        <v>0</v>
      </c>
      <c r="X5602" s="182" t="n">
        <v>0.45</v>
      </c>
      <c r="Y5602" s="182" t="n">
        <v>0</v>
      </c>
      <c r="Z5602" s="182" t="n">
        <v>0</v>
      </c>
      <c r="AA5602" s="182" t="n">
        <v>0</v>
      </c>
      <c r="AB5602" s="182" t="n">
        <v>0</v>
      </c>
      <c r="AC5602" s="182" t="n">
        <v>0</v>
      </c>
      <c r="AD5602" s="182" t="n">
        <v>0</v>
      </c>
      <c r="AE5602" s="182" t="n">
        <v>0</v>
      </c>
      <c r="AF5602" s="182" t="n">
        <v>0</v>
      </c>
      <c r="AG5602" s="182" t="n">
        <v>0</v>
      </c>
      <c r="AH5602" s="182" t="n">
        <v>0</v>
      </c>
      <c r="AI5602" s="182" t="n">
        <v>0</v>
      </c>
      <c r="AJ5602" s="182" t="n">
        <v>0</v>
      </c>
      <c r="AK5602" s="182" t="n">
        <v>0</v>
      </c>
      <c r="AL5602" s="182" t="n">
        <v>0</v>
      </c>
      <c r="AM5602" s="182" t="n">
        <v>0.07000000000000001</v>
      </c>
      <c r="AN5602" s="182" t="n">
        <v>0</v>
      </c>
    </row>
    <row r="5603">
      <c r="A5603" s="155" t="n">
        <v>46107</v>
      </c>
      <c r="B5603" s="156" t="inlineStr">
        <is>
          <t>DS</t>
        </is>
      </c>
      <c r="C5603" s="156" t="inlineStr">
        <is>
          <t>HD-905</t>
        </is>
      </c>
      <c r="D5603" s="156" t="inlineStr">
        <is>
          <t>SRT 95C</t>
        </is>
      </c>
      <c r="E5603" s="156" t="inlineStr">
        <is>
          <t>Hauler</t>
        </is>
      </c>
      <c r="F5603" s="156" t="inlineStr"/>
      <c r="G5603" s="182" t="n">
        <v>0</v>
      </c>
      <c r="H5603" s="182" t="n">
        <v>0</v>
      </c>
      <c r="I5603" s="182" t="n">
        <v>12</v>
      </c>
      <c r="J5603" s="182" t="n">
        <v>12</v>
      </c>
      <c r="K5603" s="182" t="n">
        <v>0</v>
      </c>
      <c r="L5603" s="182" t="n">
        <v>12</v>
      </c>
      <c r="M5603" s="182" t="n">
        <v>0</v>
      </c>
      <c r="N5603" s="182" t="n">
        <v>0</v>
      </c>
      <c r="O5603" s="183" t="n">
        <v>0</v>
      </c>
      <c r="P5603" s="183" t="n">
        <v>0</v>
      </c>
      <c r="Q5603" s="184" t="n">
        <v>0</v>
      </c>
      <c r="R5603" s="184" t="n">
        <v>0</v>
      </c>
      <c r="S5603" s="183" t="n">
        <v>0</v>
      </c>
      <c r="T5603" s="183" t="n">
        <v>0</v>
      </c>
      <c r="U5603" s="182" t="n">
        <v>0</v>
      </c>
      <c r="V5603" s="182" t="n">
        <v>0</v>
      </c>
      <c r="W5603" s="182" t="n">
        <v>0</v>
      </c>
      <c r="X5603" s="182" t="n">
        <v>0</v>
      </c>
      <c r="Y5603" s="182" t="n">
        <v>0</v>
      </c>
      <c r="Z5603" s="182" t="n">
        <v>0</v>
      </c>
      <c r="AA5603" s="182" t="n">
        <v>0</v>
      </c>
      <c r="AB5603" s="182" t="n">
        <v>0</v>
      </c>
      <c r="AC5603" s="182" t="n">
        <v>0</v>
      </c>
      <c r="AD5603" s="182" t="n">
        <v>0</v>
      </c>
      <c r="AE5603" s="182" t="n">
        <v>0</v>
      </c>
      <c r="AF5603" s="182" t="n">
        <v>0</v>
      </c>
      <c r="AG5603" s="182" t="n">
        <v>0</v>
      </c>
      <c r="AH5603" s="182" t="n">
        <v>0</v>
      </c>
      <c r="AI5603" s="182" t="n">
        <v>0</v>
      </c>
      <c r="AJ5603" s="182" t="n">
        <v>0</v>
      </c>
      <c r="AK5603" s="182" t="n">
        <v>0</v>
      </c>
      <c r="AL5603" s="182" t="n">
        <v>0</v>
      </c>
      <c r="AM5603" s="182" t="n">
        <v>0</v>
      </c>
      <c r="AN5603" s="182" t="n">
        <v>0</v>
      </c>
    </row>
    <row r="5604">
      <c r="A5604" s="155" t="n">
        <v>46107</v>
      </c>
      <c r="B5604" s="156" t="inlineStr">
        <is>
          <t>DS</t>
        </is>
      </c>
      <c r="C5604" s="156" t="inlineStr">
        <is>
          <t>HD-901</t>
        </is>
      </c>
      <c r="D5604" s="156" t="inlineStr">
        <is>
          <t>SRT 95C</t>
        </is>
      </c>
      <c r="E5604" s="156" t="inlineStr">
        <is>
          <t>Hauler</t>
        </is>
      </c>
      <c r="F5604" s="156" t="inlineStr">
        <is>
          <t>Hauling OB</t>
        </is>
      </c>
      <c r="G5604" s="182" t="n">
        <v>10.12</v>
      </c>
      <c r="H5604" s="182" t="n">
        <v>0</v>
      </c>
      <c r="I5604" s="182" t="n">
        <v>0</v>
      </c>
      <c r="J5604" s="182" t="n">
        <v>0</v>
      </c>
      <c r="K5604" s="182" t="n">
        <v>1.88</v>
      </c>
      <c r="L5604" s="182" t="n">
        <v>12</v>
      </c>
      <c r="M5604" s="182" t="n">
        <v>10.12</v>
      </c>
      <c r="N5604" s="182" t="n">
        <v>0</v>
      </c>
      <c r="O5604" s="183" t="n">
        <v>52</v>
      </c>
      <c r="P5604" s="183" t="n">
        <v>0</v>
      </c>
      <c r="Q5604" s="184" t="n">
        <v>1856.4</v>
      </c>
      <c r="R5604" s="184" t="n">
        <v>0</v>
      </c>
      <c r="S5604" s="183" t="n">
        <v>0</v>
      </c>
      <c r="T5604" s="183" t="n">
        <v>0</v>
      </c>
      <c r="U5604" s="182" t="n">
        <v>0</v>
      </c>
      <c r="V5604" s="182" t="n">
        <v>0</v>
      </c>
      <c r="W5604" s="182" t="n">
        <v>0</v>
      </c>
      <c r="X5604" s="182" t="n">
        <v>0.99</v>
      </c>
      <c r="Y5604" s="182" t="n">
        <v>0</v>
      </c>
      <c r="Z5604" s="182" t="n">
        <v>0</v>
      </c>
      <c r="AA5604" s="182" t="n">
        <v>0</v>
      </c>
      <c r="AB5604" s="182" t="n">
        <v>0</v>
      </c>
      <c r="AC5604" s="182" t="n">
        <v>0</v>
      </c>
      <c r="AD5604" s="182" t="n">
        <v>0</v>
      </c>
      <c r="AE5604" s="182" t="n">
        <v>0</v>
      </c>
      <c r="AF5604" s="182" t="n">
        <v>0</v>
      </c>
      <c r="AG5604" s="182" t="n">
        <v>0</v>
      </c>
      <c r="AH5604" s="182" t="n">
        <v>0</v>
      </c>
      <c r="AI5604" s="182" t="n">
        <v>0</v>
      </c>
      <c r="AJ5604" s="182" t="n">
        <v>0.8100000000000001</v>
      </c>
      <c r="AK5604" s="182" t="n">
        <v>0</v>
      </c>
      <c r="AL5604" s="182" t="n">
        <v>0</v>
      </c>
      <c r="AM5604" s="182" t="n">
        <v>0.08</v>
      </c>
      <c r="AN5604" s="182" t="n">
        <v>0</v>
      </c>
    </row>
    <row r="5605">
      <c r="A5605" s="155" t="n">
        <v>46107</v>
      </c>
      <c r="B5605" s="156" t="inlineStr">
        <is>
          <t>DS</t>
        </is>
      </c>
      <c r="C5605" s="156" t="inlineStr">
        <is>
          <t>HD-904</t>
        </is>
      </c>
      <c r="D5605" s="156" t="inlineStr">
        <is>
          <t>SRT 95C</t>
        </is>
      </c>
      <c r="E5605" s="156" t="inlineStr">
        <is>
          <t>Hauler</t>
        </is>
      </c>
      <c r="F5605" s="156" t="inlineStr">
        <is>
          <t>Hauling OB</t>
        </is>
      </c>
      <c r="G5605" s="182" t="n">
        <v>10</v>
      </c>
      <c r="H5605" s="182" t="n">
        <v>0</v>
      </c>
      <c r="I5605" s="182" t="n">
        <v>0</v>
      </c>
      <c r="J5605" s="182" t="n">
        <v>0</v>
      </c>
      <c r="K5605" s="182" t="n">
        <v>2</v>
      </c>
      <c r="L5605" s="182" t="n">
        <v>12</v>
      </c>
      <c r="M5605" s="182" t="n">
        <v>10</v>
      </c>
      <c r="N5605" s="182" t="n">
        <v>0</v>
      </c>
      <c r="O5605" s="183" t="n">
        <v>41</v>
      </c>
      <c r="P5605" s="183" t="n">
        <v>0</v>
      </c>
      <c r="Q5605" s="184" t="n">
        <v>1463.7</v>
      </c>
      <c r="R5605" s="184" t="n">
        <v>0</v>
      </c>
      <c r="S5605" s="183" t="n">
        <v>0</v>
      </c>
      <c r="T5605" s="183" t="n">
        <v>0</v>
      </c>
      <c r="U5605" s="182" t="n">
        <v>0</v>
      </c>
      <c r="V5605" s="182" t="n">
        <v>0</v>
      </c>
      <c r="W5605" s="182" t="n">
        <v>0</v>
      </c>
      <c r="X5605" s="182" t="n">
        <v>0.91</v>
      </c>
      <c r="Y5605" s="182" t="n">
        <v>0</v>
      </c>
      <c r="Z5605" s="182" t="n">
        <v>0</v>
      </c>
      <c r="AA5605" s="182" t="n">
        <v>0</v>
      </c>
      <c r="AB5605" s="182" t="n">
        <v>0</v>
      </c>
      <c r="AC5605" s="182" t="n">
        <v>0</v>
      </c>
      <c r="AD5605" s="182" t="n">
        <v>0</v>
      </c>
      <c r="AE5605" s="182" t="n">
        <v>0</v>
      </c>
      <c r="AF5605" s="182" t="n">
        <v>0</v>
      </c>
      <c r="AG5605" s="182" t="n">
        <v>0</v>
      </c>
      <c r="AH5605" s="182" t="n">
        <v>0</v>
      </c>
      <c r="AI5605" s="182" t="n">
        <v>1.02</v>
      </c>
      <c r="AJ5605" s="182" t="n">
        <v>0</v>
      </c>
      <c r="AK5605" s="182" t="n">
        <v>0</v>
      </c>
      <c r="AL5605" s="182" t="n">
        <v>0</v>
      </c>
      <c r="AM5605" s="182" t="n">
        <v>0.07000000000000001</v>
      </c>
      <c r="AN5605" s="182" t="n">
        <v>0</v>
      </c>
    </row>
    <row r="5606">
      <c r="A5606" s="155" t="n">
        <v>46107</v>
      </c>
      <c r="B5606" s="156" t="inlineStr">
        <is>
          <t>DS</t>
        </is>
      </c>
      <c r="C5606" s="156" t="inlineStr">
        <is>
          <t>HD-902</t>
        </is>
      </c>
      <c r="D5606" s="156" t="inlineStr">
        <is>
          <t>SRT 95C</t>
        </is>
      </c>
      <c r="E5606" s="156" t="inlineStr">
        <is>
          <t>Hauler</t>
        </is>
      </c>
      <c r="F5606" s="156" t="inlineStr"/>
      <c r="G5606" s="182" t="n">
        <v>0</v>
      </c>
      <c r="H5606" s="182" t="n">
        <v>0</v>
      </c>
      <c r="I5606" s="182" t="n">
        <v>12</v>
      </c>
      <c r="J5606" s="182" t="n">
        <v>12</v>
      </c>
      <c r="K5606" s="182" t="n">
        <v>0</v>
      </c>
      <c r="L5606" s="182" t="n">
        <v>12</v>
      </c>
      <c r="M5606" s="182" t="n">
        <v>0</v>
      </c>
      <c r="N5606" s="182" t="n">
        <v>0</v>
      </c>
      <c r="O5606" s="183" t="n">
        <v>0</v>
      </c>
      <c r="P5606" s="183" t="n">
        <v>0</v>
      </c>
      <c r="Q5606" s="184" t="n">
        <v>0</v>
      </c>
      <c r="R5606" s="184" t="n">
        <v>0</v>
      </c>
      <c r="S5606" s="183" t="n">
        <v>0</v>
      </c>
      <c r="T5606" s="183" t="n">
        <v>0</v>
      </c>
      <c r="U5606" s="182" t="n">
        <v>0</v>
      </c>
      <c r="V5606" s="182" t="n">
        <v>0</v>
      </c>
      <c r="W5606" s="182" t="n">
        <v>0</v>
      </c>
      <c r="X5606" s="182" t="n">
        <v>0</v>
      </c>
      <c r="Y5606" s="182" t="n">
        <v>0</v>
      </c>
      <c r="Z5606" s="182" t="n">
        <v>0</v>
      </c>
      <c r="AA5606" s="182" t="n">
        <v>0</v>
      </c>
      <c r="AB5606" s="182" t="n">
        <v>0</v>
      </c>
      <c r="AC5606" s="182" t="n">
        <v>0</v>
      </c>
      <c r="AD5606" s="182" t="n">
        <v>0</v>
      </c>
      <c r="AE5606" s="182" t="n">
        <v>0</v>
      </c>
      <c r="AF5606" s="182" t="n">
        <v>0</v>
      </c>
      <c r="AG5606" s="182" t="n">
        <v>0</v>
      </c>
      <c r="AH5606" s="182" t="n">
        <v>0</v>
      </c>
      <c r="AI5606" s="182" t="n">
        <v>0</v>
      </c>
      <c r="AJ5606" s="182" t="n">
        <v>0</v>
      </c>
      <c r="AK5606" s="182" t="n">
        <v>0</v>
      </c>
      <c r="AL5606" s="182" t="n">
        <v>0</v>
      </c>
      <c r="AM5606" s="182" t="n">
        <v>0</v>
      </c>
      <c r="AN5606" s="182" t="n">
        <v>0</v>
      </c>
    </row>
    <row r="5607">
      <c r="A5607" s="155" t="n">
        <v>46107</v>
      </c>
      <c r="B5607" s="156" t="inlineStr">
        <is>
          <t>DS</t>
        </is>
      </c>
      <c r="C5607" s="156" t="inlineStr">
        <is>
          <t>WL-025</t>
        </is>
      </c>
      <c r="D5607" s="156" t="inlineStr">
        <is>
          <t>SANY - Loader</t>
        </is>
      </c>
      <c r="E5607" s="156" t="inlineStr">
        <is>
          <t>Loader</t>
        </is>
      </c>
      <c r="F5607" s="156" t="inlineStr"/>
      <c r="G5607" s="182" t="n">
        <v>0</v>
      </c>
      <c r="H5607" s="182" t="n">
        <v>0</v>
      </c>
      <c r="I5607" s="182" t="n">
        <v>0</v>
      </c>
      <c r="J5607" s="182" t="n">
        <v>0</v>
      </c>
      <c r="K5607" s="182" t="n">
        <v>12</v>
      </c>
      <c r="L5607" s="182" t="n">
        <v>12</v>
      </c>
      <c r="M5607" s="182" t="n">
        <v>0</v>
      </c>
      <c r="N5607" s="182" t="n">
        <v>0</v>
      </c>
      <c r="O5607" s="183" t="n">
        <v>0</v>
      </c>
      <c r="P5607" s="183" t="n">
        <v>0</v>
      </c>
      <c r="Q5607" s="184" t="n">
        <v>0</v>
      </c>
      <c r="R5607" s="184" t="n">
        <v>0</v>
      </c>
      <c r="S5607" s="183" t="n">
        <v>0</v>
      </c>
      <c r="T5607" s="183" t="n">
        <v>0</v>
      </c>
      <c r="U5607" s="182" t="n">
        <v>0</v>
      </c>
      <c r="V5607" s="182" t="n">
        <v>0</v>
      </c>
      <c r="W5607" s="182" t="n">
        <v>0</v>
      </c>
      <c r="X5607" s="182" t="n">
        <v>1</v>
      </c>
      <c r="Y5607" s="182" t="n">
        <v>0</v>
      </c>
      <c r="Z5607" s="182" t="n">
        <v>0</v>
      </c>
      <c r="AA5607" s="182" t="n">
        <v>0</v>
      </c>
      <c r="AB5607" s="182" t="n">
        <v>0</v>
      </c>
      <c r="AC5607" s="182" t="n">
        <v>0</v>
      </c>
      <c r="AD5607" s="182" t="n">
        <v>0</v>
      </c>
      <c r="AE5607" s="182" t="n">
        <v>0</v>
      </c>
      <c r="AF5607" s="182" t="n">
        <v>0</v>
      </c>
      <c r="AG5607" s="182" t="n">
        <v>0</v>
      </c>
      <c r="AH5607" s="182" t="n">
        <v>0</v>
      </c>
      <c r="AI5607" s="182" t="n">
        <v>0</v>
      </c>
      <c r="AJ5607" s="182" t="n">
        <v>0</v>
      </c>
      <c r="AK5607" s="182" t="n">
        <v>10.92</v>
      </c>
      <c r="AL5607" s="182" t="n">
        <v>0</v>
      </c>
      <c r="AM5607" s="182" t="n">
        <v>0.08</v>
      </c>
      <c r="AN5607" s="182" t="n">
        <v>0</v>
      </c>
    </row>
    <row r="5608">
      <c r="A5608" s="155" t="n">
        <v>46107</v>
      </c>
      <c r="B5608" s="156" t="inlineStr">
        <is>
          <t>DS</t>
        </is>
      </c>
      <c r="C5608" s="156" t="inlineStr">
        <is>
          <t>WL-023</t>
        </is>
      </c>
      <c r="D5608" s="156" t="inlineStr">
        <is>
          <t>SANY - Loader</t>
        </is>
      </c>
      <c r="E5608" s="156" t="inlineStr">
        <is>
          <t>Loader</t>
        </is>
      </c>
      <c r="F5608" s="156" t="inlineStr">
        <is>
          <t>General Jetty</t>
        </is>
      </c>
      <c r="G5608" s="182" t="n">
        <v>8.630000000000001</v>
      </c>
      <c r="H5608" s="182" t="n">
        <v>0</v>
      </c>
      <c r="I5608" s="182" t="n">
        <v>0</v>
      </c>
      <c r="J5608" s="182" t="n">
        <v>0</v>
      </c>
      <c r="K5608" s="182" t="n">
        <v>3.37</v>
      </c>
      <c r="L5608" s="182" t="n">
        <v>12</v>
      </c>
      <c r="M5608" s="182" t="n">
        <v>0</v>
      </c>
      <c r="N5608" s="182" t="n">
        <v>0</v>
      </c>
      <c r="O5608" s="183" t="n">
        <v>0</v>
      </c>
      <c r="P5608" s="183" t="n">
        <v>0</v>
      </c>
      <c r="Q5608" s="184" t="n">
        <v>0</v>
      </c>
      <c r="R5608" s="184" t="n">
        <v>0</v>
      </c>
      <c r="S5608" s="183" t="n">
        <v>0</v>
      </c>
      <c r="T5608" s="183" t="n">
        <v>0</v>
      </c>
      <c r="U5608" s="182" t="n">
        <v>0</v>
      </c>
      <c r="V5608" s="182" t="n">
        <v>0</v>
      </c>
      <c r="W5608" s="182" t="n">
        <v>0</v>
      </c>
      <c r="X5608" s="182" t="n">
        <v>1.12</v>
      </c>
      <c r="Y5608" s="182" t="n">
        <v>0</v>
      </c>
      <c r="Z5608" s="182" t="n">
        <v>0</v>
      </c>
      <c r="AA5608" s="182" t="n">
        <v>0</v>
      </c>
      <c r="AB5608" s="182" t="n">
        <v>0</v>
      </c>
      <c r="AC5608" s="182" t="n">
        <v>0</v>
      </c>
      <c r="AD5608" s="182" t="n">
        <v>0</v>
      </c>
      <c r="AE5608" s="182" t="n">
        <v>0</v>
      </c>
      <c r="AF5608" s="182" t="n">
        <v>0</v>
      </c>
      <c r="AG5608" s="182" t="n">
        <v>0</v>
      </c>
      <c r="AH5608" s="182" t="n">
        <v>0</v>
      </c>
      <c r="AI5608" s="182" t="n">
        <v>0</v>
      </c>
      <c r="AJ5608" s="182" t="n">
        <v>0</v>
      </c>
      <c r="AK5608" s="182" t="n">
        <v>2.16</v>
      </c>
      <c r="AL5608" s="182" t="n">
        <v>0</v>
      </c>
      <c r="AM5608" s="182" t="n">
        <v>0.09</v>
      </c>
      <c r="AN5608" s="182" t="n">
        <v>0</v>
      </c>
    </row>
    <row r="5609">
      <c r="A5609" s="155" t="n">
        <v>46107</v>
      </c>
      <c r="B5609" s="156" t="inlineStr">
        <is>
          <t>DS</t>
        </is>
      </c>
      <c r="C5609" s="156" t="inlineStr">
        <is>
          <t>WL-021</t>
        </is>
      </c>
      <c r="D5609" s="156" t="inlineStr">
        <is>
          <t>SANY - Loader</t>
        </is>
      </c>
      <c r="E5609" s="156" t="inlineStr">
        <is>
          <t>Loader</t>
        </is>
      </c>
      <c r="F5609" s="156" t="inlineStr"/>
      <c r="G5609" s="182" t="n">
        <v>0</v>
      </c>
      <c r="H5609" s="182" t="n">
        <v>0</v>
      </c>
      <c r="I5609" s="182" t="n">
        <v>12</v>
      </c>
      <c r="J5609" s="182" t="n">
        <v>12</v>
      </c>
      <c r="K5609" s="182" t="n">
        <v>0</v>
      </c>
      <c r="L5609" s="182" t="n">
        <v>12</v>
      </c>
      <c r="M5609" s="182" t="n">
        <v>0</v>
      </c>
      <c r="N5609" s="182" t="n">
        <v>0</v>
      </c>
      <c r="O5609" s="183" t="n">
        <v>0</v>
      </c>
      <c r="P5609" s="183" t="n">
        <v>0</v>
      </c>
      <c r="Q5609" s="184" t="n">
        <v>0</v>
      </c>
      <c r="R5609" s="184" t="n">
        <v>0</v>
      </c>
      <c r="S5609" s="183" t="n">
        <v>0</v>
      </c>
      <c r="T5609" s="183" t="n">
        <v>0</v>
      </c>
      <c r="U5609" s="182" t="n">
        <v>0</v>
      </c>
      <c r="V5609" s="182" t="n">
        <v>0</v>
      </c>
      <c r="W5609" s="182" t="n">
        <v>0</v>
      </c>
      <c r="X5609" s="182" t="n">
        <v>0</v>
      </c>
      <c r="Y5609" s="182" t="n">
        <v>0</v>
      </c>
      <c r="Z5609" s="182" t="n">
        <v>0</v>
      </c>
      <c r="AA5609" s="182" t="n">
        <v>0</v>
      </c>
      <c r="AB5609" s="182" t="n">
        <v>0</v>
      </c>
      <c r="AC5609" s="182" t="n">
        <v>0</v>
      </c>
      <c r="AD5609" s="182" t="n">
        <v>0</v>
      </c>
      <c r="AE5609" s="182" t="n">
        <v>0</v>
      </c>
      <c r="AF5609" s="182" t="n">
        <v>0</v>
      </c>
      <c r="AG5609" s="182" t="n">
        <v>0</v>
      </c>
      <c r="AH5609" s="182" t="n">
        <v>0</v>
      </c>
      <c r="AI5609" s="182" t="n">
        <v>0</v>
      </c>
      <c r="AJ5609" s="182" t="n">
        <v>0</v>
      </c>
      <c r="AK5609" s="182" t="n">
        <v>0</v>
      </c>
      <c r="AL5609" s="182" t="n">
        <v>0</v>
      </c>
      <c r="AM5609" s="182" t="n">
        <v>0</v>
      </c>
      <c r="AN5609" s="182" t="n">
        <v>0</v>
      </c>
    </row>
    <row r="5610">
      <c r="A5610" s="155" t="n">
        <v>46107</v>
      </c>
      <c r="B5610" s="156" t="inlineStr">
        <is>
          <t>DS</t>
        </is>
      </c>
      <c r="C5610" s="156" t="inlineStr">
        <is>
          <t>WL-022</t>
        </is>
      </c>
      <c r="D5610" s="156" t="inlineStr">
        <is>
          <t>SANY - Loader</t>
        </is>
      </c>
      <c r="E5610" s="156" t="inlineStr">
        <is>
          <t>Loader</t>
        </is>
      </c>
      <c r="F5610" s="156" t="inlineStr">
        <is>
          <t>Support Washing Plant</t>
        </is>
      </c>
      <c r="G5610" s="182" t="n">
        <v>11.62</v>
      </c>
      <c r="H5610" s="182" t="n">
        <v>0</v>
      </c>
      <c r="I5610" s="182" t="n">
        <v>0</v>
      </c>
      <c r="J5610" s="182" t="n">
        <v>0</v>
      </c>
      <c r="K5610" s="182" t="n">
        <v>0.38</v>
      </c>
      <c r="L5610" s="182" t="n">
        <v>12</v>
      </c>
      <c r="M5610" s="182" t="n">
        <v>0</v>
      </c>
      <c r="N5610" s="182" t="n">
        <v>0</v>
      </c>
      <c r="O5610" s="183" t="n">
        <v>0</v>
      </c>
      <c r="P5610" s="183" t="n">
        <v>0</v>
      </c>
      <c r="Q5610" s="184" t="n">
        <v>0</v>
      </c>
      <c r="R5610" s="184" t="n">
        <v>0</v>
      </c>
      <c r="S5610" s="183" t="n">
        <v>0</v>
      </c>
      <c r="T5610" s="183" t="n">
        <v>0</v>
      </c>
      <c r="U5610" s="182" t="n">
        <v>0</v>
      </c>
      <c r="V5610" s="182" t="n">
        <v>0</v>
      </c>
      <c r="W5610" s="182" t="n">
        <v>0</v>
      </c>
      <c r="X5610" s="182" t="n">
        <v>0.23</v>
      </c>
      <c r="Y5610" s="182" t="n">
        <v>0</v>
      </c>
      <c r="Z5610" s="182" t="n">
        <v>0</v>
      </c>
      <c r="AA5610" s="182" t="n">
        <v>0</v>
      </c>
      <c r="AB5610" s="182" t="n">
        <v>0</v>
      </c>
      <c r="AC5610" s="182" t="n">
        <v>0</v>
      </c>
      <c r="AD5610" s="182" t="n">
        <v>0</v>
      </c>
      <c r="AE5610" s="182" t="n">
        <v>0</v>
      </c>
      <c r="AF5610" s="182" t="n">
        <v>0</v>
      </c>
      <c r="AG5610" s="182" t="n">
        <v>0</v>
      </c>
      <c r="AH5610" s="182" t="n">
        <v>0</v>
      </c>
      <c r="AI5610" s="182" t="n">
        <v>0</v>
      </c>
      <c r="AJ5610" s="182" t="n">
        <v>0</v>
      </c>
      <c r="AK5610" s="182" t="n">
        <v>0</v>
      </c>
      <c r="AL5610" s="182" t="n">
        <v>0</v>
      </c>
      <c r="AM5610" s="182" t="n">
        <v>0.15</v>
      </c>
      <c r="AN5610" s="182" t="n">
        <v>0</v>
      </c>
    </row>
    <row r="5611">
      <c r="A5611" s="155" t="n">
        <v>46107</v>
      </c>
      <c r="B5611" s="156" t="inlineStr">
        <is>
          <t>DS</t>
        </is>
      </c>
      <c r="C5611" s="156" t="inlineStr">
        <is>
          <t>WL-024</t>
        </is>
      </c>
      <c r="D5611" s="156" t="inlineStr">
        <is>
          <t>SANY - Loader</t>
        </is>
      </c>
      <c r="E5611" s="156" t="inlineStr">
        <is>
          <t>Loader</t>
        </is>
      </c>
      <c r="F5611" s="156" t="inlineStr">
        <is>
          <t>Support Washing Plant</t>
        </is>
      </c>
      <c r="G5611" s="182" t="n">
        <v>7.96</v>
      </c>
      <c r="H5611" s="182" t="n">
        <v>0</v>
      </c>
      <c r="I5611" s="182" t="n">
        <v>3.62</v>
      </c>
      <c r="J5611" s="182" t="n">
        <v>3.62</v>
      </c>
      <c r="K5611" s="182" t="n">
        <v>0.42</v>
      </c>
      <c r="L5611" s="182" t="n">
        <v>12</v>
      </c>
      <c r="M5611" s="182" t="n">
        <v>0</v>
      </c>
      <c r="N5611" s="182" t="n">
        <v>0</v>
      </c>
      <c r="O5611" s="183" t="n">
        <v>0</v>
      </c>
      <c r="P5611" s="183" t="n">
        <v>0</v>
      </c>
      <c r="Q5611" s="184" t="n">
        <v>0</v>
      </c>
      <c r="R5611" s="184" t="n">
        <v>0</v>
      </c>
      <c r="S5611" s="183" t="n">
        <v>0</v>
      </c>
      <c r="T5611" s="183" t="n">
        <v>0</v>
      </c>
      <c r="U5611" s="182" t="n">
        <v>0</v>
      </c>
      <c r="V5611" s="182" t="n">
        <v>0</v>
      </c>
      <c r="W5611" s="182" t="n">
        <v>0</v>
      </c>
      <c r="X5611" s="182" t="n">
        <v>0</v>
      </c>
      <c r="Y5611" s="182" t="n">
        <v>0</v>
      </c>
      <c r="Z5611" s="182" t="n">
        <v>0</v>
      </c>
      <c r="AA5611" s="182" t="n">
        <v>0</v>
      </c>
      <c r="AB5611" s="182" t="n">
        <v>0</v>
      </c>
      <c r="AC5611" s="182" t="n">
        <v>0</v>
      </c>
      <c r="AD5611" s="182" t="n">
        <v>0</v>
      </c>
      <c r="AE5611" s="182" t="n">
        <v>0</v>
      </c>
      <c r="AF5611" s="182" t="n">
        <v>0</v>
      </c>
      <c r="AG5611" s="182" t="n">
        <v>0</v>
      </c>
      <c r="AH5611" s="182" t="n">
        <v>0</v>
      </c>
      <c r="AI5611" s="182" t="n">
        <v>0</v>
      </c>
      <c r="AJ5611" s="182" t="n">
        <v>0</v>
      </c>
      <c r="AK5611" s="182" t="n">
        <v>0</v>
      </c>
      <c r="AL5611" s="182" t="n">
        <v>0</v>
      </c>
      <c r="AM5611" s="182" t="n">
        <v>0.42</v>
      </c>
      <c r="AN5611" s="182" t="n">
        <v>0</v>
      </c>
    </row>
    <row r="5612">
      <c r="A5612" s="155" t="n">
        <v>46107</v>
      </c>
      <c r="B5612" s="156" t="inlineStr">
        <is>
          <t>NS</t>
        </is>
      </c>
      <c r="C5612" s="156" t="inlineStr">
        <is>
          <t>DZ-034</t>
        </is>
      </c>
      <c r="D5612" s="156" t="inlineStr">
        <is>
          <t>D 68ESS-12EO</t>
        </is>
      </c>
      <c r="E5612" s="156" t="inlineStr">
        <is>
          <t>Bulldozer</t>
        </is>
      </c>
      <c r="F5612" s="156" t="inlineStr"/>
      <c r="G5612" s="182" t="n">
        <v>0</v>
      </c>
      <c r="H5612" s="182" t="n">
        <v>0</v>
      </c>
      <c r="I5612" s="182" t="n">
        <v>12</v>
      </c>
      <c r="J5612" s="182" t="n">
        <v>12</v>
      </c>
      <c r="K5612" s="182" t="n">
        <v>0</v>
      </c>
      <c r="L5612" s="182" t="n">
        <v>12</v>
      </c>
      <c r="M5612" s="182" t="n">
        <v>0</v>
      </c>
      <c r="N5612" s="182" t="n">
        <v>0</v>
      </c>
      <c r="O5612" s="183" t="n">
        <v>0</v>
      </c>
      <c r="P5612" s="183" t="n">
        <v>0</v>
      </c>
      <c r="Q5612" s="184" t="n">
        <v>0</v>
      </c>
      <c r="R5612" s="184" t="n">
        <v>0</v>
      </c>
      <c r="S5612" s="183" t="n">
        <v>0</v>
      </c>
      <c r="T5612" s="183" t="n">
        <v>0</v>
      </c>
      <c r="U5612" s="182" t="n">
        <v>0</v>
      </c>
      <c r="V5612" s="182" t="n">
        <v>0</v>
      </c>
      <c r="W5612" s="182" t="n">
        <v>0</v>
      </c>
      <c r="X5612" s="182" t="n">
        <v>0</v>
      </c>
      <c r="Y5612" s="182" t="n">
        <v>0</v>
      </c>
      <c r="Z5612" s="182" t="n">
        <v>0</v>
      </c>
      <c r="AA5612" s="182" t="n">
        <v>0</v>
      </c>
      <c r="AB5612" s="182" t="n">
        <v>0</v>
      </c>
      <c r="AC5612" s="182" t="n">
        <v>0</v>
      </c>
      <c r="AD5612" s="182" t="n">
        <v>0</v>
      </c>
      <c r="AE5612" s="182" t="n">
        <v>0</v>
      </c>
      <c r="AF5612" s="182" t="n">
        <v>0</v>
      </c>
      <c r="AG5612" s="182" t="n">
        <v>0</v>
      </c>
      <c r="AH5612" s="182" t="n">
        <v>0</v>
      </c>
      <c r="AI5612" s="182" t="n">
        <v>0</v>
      </c>
      <c r="AJ5612" s="182" t="n">
        <v>0</v>
      </c>
      <c r="AK5612" s="182" t="n">
        <v>0</v>
      </c>
      <c r="AL5612" s="182" t="n">
        <v>0</v>
      </c>
      <c r="AM5612" s="182" t="n">
        <v>0</v>
      </c>
      <c r="AN5612" s="182" t="n">
        <v>0</v>
      </c>
    </row>
    <row r="5613">
      <c r="A5613" s="155" t="n">
        <v>46107</v>
      </c>
      <c r="B5613" s="156" t="inlineStr">
        <is>
          <t>NS</t>
        </is>
      </c>
      <c r="C5613" s="156" t="inlineStr">
        <is>
          <t>DZ-033</t>
        </is>
      </c>
      <c r="D5613" s="156" t="inlineStr">
        <is>
          <t>D 375A-6R</t>
        </is>
      </c>
      <c r="E5613" s="156" t="inlineStr">
        <is>
          <t>Bulldozer</t>
        </is>
      </c>
      <c r="F5613" s="156" t="inlineStr">
        <is>
          <t>Support Disposal</t>
        </is>
      </c>
      <c r="G5613" s="182" t="n">
        <v>6.72</v>
      </c>
      <c r="H5613" s="182" t="n">
        <v>0</v>
      </c>
      <c r="I5613" s="182" t="n">
        <v>0.28</v>
      </c>
      <c r="J5613" s="182" t="n">
        <v>0.28</v>
      </c>
      <c r="K5613" s="182" t="n">
        <v>5</v>
      </c>
      <c r="L5613" s="182" t="n">
        <v>12</v>
      </c>
      <c r="M5613" s="182" t="n">
        <v>0</v>
      </c>
      <c r="N5613" s="182" t="n">
        <v>0</v>
      </c>
      <c r="O5613" s="183" t="n">
        <v>0</v>
      </c>
      <c r="P5613" s="183" t="n">
        <v>0</v>
      </c>
      <c r="Q5613" s="184" t="n">
        <v>0</v>
      </c>
      <c r="R5613" s="184" t="n">
        <v>0</v>
      </c>
      <c r="S5613" s="183" t="n">
        <v>0</v>
      </c>
      <c r="T5613" s="183" t="n">
        <v>0</v>
      </c>
      <c r="U5613" s="182" t="n">
        <v>3.85</v>
      </c>
      <c r="V5613" s="182" t="n">
        <v>0</v>
      </c>
      <c r="W5613" s="182" t="n">
        <v>0</v>
      </c>
      <c r="X5613" s="182" t="n">
        <v>1.06</v>
      </c>
      <c r="Y5613" s="182" t="n">
        <v>0</v>
      </c>
      <c r="Z5613" s="182" t="n">
        <v>0</v>
      </c>
      <c r="AA5613" s="182" t="n">
        <v>0</v>
      </c>
      <c r="AB5613" s="182" t="n">
        <v>0</v>
      </c>
      <c r="AC5613" s="182" t="n">
        <v>0</v>
      </c>
      <c r="AD5613" s="182" t="n">
        <v>0</v>
      </c>
      <c r="AE5613" s="182" t="n">
        <v>0</v>
      </c>
      <c r="AF5613" s="182" t="n">
        <v>0</v>
      </c>
      <c r="AG5613" s="182" t="n">
        <v>0</v>
      </c>
      <c r="AH5613" s="182" t="n">
        <v>0</v>
      </c>
      <c r="AI5613" s="182" t="n">
        <v>0</v>
      </c>
      <c r="AJ5613" s="182" t="n">
        <v>0</v>
      </c>
      <c r="AK5613" s="182" t="n">
        <v>0</v>
      </c>
      <c r="AL5613" s="182" t="n">
        <v>0</v>
      </c>
      <c r="AM5613" s="182" t="n">
        <v>0.08</v>
      </c>
      <c r="AN5613" s="182" t="n">
        <v>0</v>
      </c>
    </row>
    <row r="5614">
      <c r="A5614" s="155" t="n">
        <v>46107</v>
      </c>
      <c r="B5614" s="156" t="inlineStr">
        <is>
          <t>NS</t>
        </is>
      </c>
      <c r="C5614" s="156" t="inlineStr">
        <is>
          <t>DZ-038</t>
        </is>
      </c>
      <c r="D5614" s="156" t="inlineStr">
        <is>
          <t>D 85 ESS-2</t>
        </is>
      </c>
      <c r="E5614" s="156" t="inlineStr">
        <is>
          <t>Bulldozer</t>
        </is>
      </c>
      <c r="F5614" s="156" t="inlineStr">
        <is>
          <t>Support Disposal</t>
        </is>
      </c>
      <c r="G5614" s="182" t="n">
        <v>4.49</v>
      </c>
      <c r="H5614" s="182" t="n">
        <v>0</v>
      </c>
      <c r="I5614" s="182" t="n">
        <v>0.07000000000000001</v>
      </c>
      <c r="J5614" s="182" t="n">
        <v>0.07000000000000001</v>
      </c>
      <c r="K5614" s="182" t="n">
        <v>7.44</v>
      </c>
      <c r="L5614" s="182" t="n">
        <v>12</v>
      </c>
      <c r="M5614" s="182" t="n">
        <v>0</v>
      </c>
      <c r="N5614" s="182" t="n">
        <v>0</v>
      </c>
      <c r="O5614" s="183" t="n">
        <v>0</v>
      </c>
      <c r="P5614" s="183" t="n">
        <v>0</v>
      </c>
      <c r="Q5614" s="184" t="n">
        <v>0</v>
      </c>
      <c r="R5614" s="184" t="n">
        <v>0</v>
      </c>
      <c r="S5614" s="183" t="n">
        <v>0</v>
      </c>
      <c r="T5614" s="183" t="n">
        <v>0</v>
      </c>
      <c r="U5614" s="182" t="n">
        <v>4.2</v>
      </c>
      <c r="V5614" s="182" t="n">
        <v>0</v>
      </c>
      <c r="W5614" s="182" t="n">
        <v>0</v>
      </c>
      <c r="X5614" s="182" t="n">
        <v>1.03</v>
      </c>
      <c r="Y5614" s="182" t="n">
        <v>0</v>
      </c>
      <c r="Z5614" s="182" t="n">
        <v>0</v>
      </c>
      <c r="AA5614" s="182" t="n">
        <v>0</v>
      </c>
      <c r="AB5614" s="182" t="n">
        <v>0</v>
      </c>
      <c r="AC5614" s="182" t="n">
        <v>0</v>
      </c>
      <c r="AD5614" s="182" t="n">
        <v>0</v>
      </c>
      <c r="AE5614" s="182" t="n">
        <v>0</v>
      </c>
      <c r="AF5614" s="182" t="n">
        <v>0</v>
      </c>
      <c r="AG5614" s="182" t="n">
        <v>0</v>
      </c>
      <c r="AH5614" s="182" t="n">
        <v>0</v>
      </c>
      <c r="AI5614" s="182" t="n">
        <v>0</v>
      </c>
      <c r="AJ5614" s="182" t="n">
        <v>0</v>
      </c>
      <c r="AK5614" s="182" t="n">
        <v>2.13</v>
      </c>
      <c r="AL5614" s="182" t="n">
        <v>0</v>
      </c>
      <c r="AM5614" s="182" t="n">
        <v>0.08</v>
      </c>
      <c r="AN5614" s="182" t="n">
        <v>0</v>
      </c>
    </row>
    <row r="5615">
      <c r="A5615" s="155" t="n">
        <v>46107</v>
      </c>
      <c r="B5615" s="156" t="inlineStr">
        <is>
          <t>NS</t>
        </is>
      </c>
      <c r="C5615" s="156" t="inlineStr">
        <is>
          <t>DZ-039</t>
        </is>
      </c>
      <c r="D5615" s="156" t="inlineStr">
        <is>
          <t>D 85 ESS-2</t>
        </is>
      </c>
      <c r="E5615" s="156" t="inlineStr">
        <is>
          <t>Bulldozer</t>
        </is>
      </c>
      <c r="F5615" s="156" t="inlineStr">
        <is>
          <t>Support Disposal</t>
        </is>
      </c>
      <c r="G5615" s="182" t="n">
        <v>7.65</v>
      </c>
      <c r="H5615" s="182" t="n">
        <v>0</v>
      </c>
      <c r="I5615" s="182" t="n">
        <v>0</v>
      </c>
      <c r="J5615" s="182" t="n">
        <v>0</v>
      </c>
      <c r="K5615" s="182" t="n">
        <v>4.35</v>
      </c>
      <c r="L5615" s="182" t="n">
        <v>12</v>
      </c>
      <c r="M5615" s="182" t="n">
        <v>0</v>
      </c>
      <c r="N5615" s="182" t="n">
        <v>0</v>
      </c>
      <c r="O5615" s="183" t="n">
        <v>0</v>
      </c>
      <c r="P5615" s="183" t="n">
        <v>0</v>
      </c>
      <c r="Q5615" s="184" t="n">
        <v>0</v>
      </c>
      <c r="R5615" s="184" t="n">
        <v>0</v>
      </c>
      <c r="S5615" s="183" t="n">
        <v>0</v>
      </c>
      <c r="T5615" s="183" t="n">
        <v>0</v>
      </c>
      <c r="U5615" s="182" t="n">
        <v>3.35</v>
      </c>
      <c r="V5615" s="182" t="n">
        <v>0</v>
      </c>
      <c r="W5615" s="182" t="n">
        <v>0</v>
      </c>
      <c r="X5615" s="182" t="n">
        <v>0.93</v>
      </c>
      <c r="Y5615" s="182" t="n">
        <v>0</v>
      </c>
      <c r="Z5615" s="182" t="n">
        <v>0</v>
      </c>
      <c r="AA5615" s="182" t="n">
        <v>0</v>
      </c>
      <c r="AB5615" s="182" t="n">
        <v>0</v>
      </c>
      <c r="AC5615" s="182" t="n">
        <v>0</v>
      </c>
      <c r="AD5615" s="182" t="n">
        <v>0</v>
      </c>
      <c r="AE5615" s="182" t="n">
        <v>0</v>
      </c>
      <c r="AF5615" s="182" t="n">
        <v>0</v>
      </c>
      <c r="AG5615" s="182" t="n">
        <v>0</v>
      </c>
      <c r="AH5615" s="182" t="n">
        <v>0</v>
      </c>
      <c r="AI5615" s="182" t="n">
        <v>0</v>
      </c>
      <c r="AJ5615" s="182" t="n">
        <v>0</v>
      </c>
      <c r="AK5615" s="182" t="n">
        <v>0</v>
      </c>
      <c r="AL5615" s="182" t="n">
        <v>0</v>
      </c>
      <c r="AM5615" s="182" t="n">
        <v>0.07000000000000001</v>
      </c>
      <c r="AN5615" s="182" t="n">
        <v>0</v>
      </c>
    </row>
    <row r="5616">
      <c r="A5616" s="155" t="n">
        <v>46107</v>
      </c>
      <c r="B5616" s="156" t="inlineStr">
        <is>
          <t>NS</t>
        </is>
      </c>
      <c r="C5616" s="156" t="inlineStr">
        <is>
          <t>DZ-032</t>
        </is>
      </c>
      <c r="D5616" s="156" t="inlineStr">
        <is>
          <t>CAT</t>
        </is>
      </c>
      <c r="E5616" s="156" t="inlineStr">
        <is>
          <t>Bulldozer</t>
        </is>
      </c>
      <c r="F5616" s="156" t="inlineStr">
        <is>
          <t>Support Front Loading</t>
        </is>
      </c>
      <c r="G5616" s="182" t="n">
        <v>5.42</v>
      </c>
      <c r="H5616" s="182" t="n">
        <v>0</v>
      </c>
      <c r="I5616" s="182" t="n">
        <v>0</v>
      </c>
      <c r="J5616" s="182" t="n">
        <v>0</v>
      </c>
      <c r="K5616" s="182" t="n">
        <v>6.58</v>
      </c>
      <c r="L5616" s="182" t="n">
        <v>12</v>
      </c>
      <c r="M5616" s="182" t="n">
        <v>0</v>
      </c>
      <c r="N5616" s="182" t="n">
        <v>0</v>
      </c>
      <c r="O5616" s="183" t="n">
        <v>0</v>
      </c>
      <c r="P5616" s="183" t="n">
        <v>0</v>
      </c>
      <c r="Q5616" s="184" t="n">
        <v>0</v>
      </c>
      <c r="R5616" s="184" t="n">
        <v>0</v>
      </c>
      <c r="S5616" s="183" t="n">
        <v>0</v>
      </c>
      <c r="T5616" s="183" t="n">
        <v>0</v>
      </c>
      <c r="U5616" s="182" t="n">
        <v>4.01</v>
      </c>
      <c r="V5616" s="182" t="n">
        <v>0</v>
      </c>
      <c r="W5616" s="182" t="n">
        <v>0</v>
      </c>
      <c r="X5616" s="182" t="n">
        <v>0.98</v>
      </c>
      <c r="Y5616" s="182" t="n">
        <v>0</v>
      </c>
      <c r="Z5616" s="182" t="n">
        <v>0</v>
      </c>
      <c r="AA5616" s="182" t="n">
        <v>0</v>
      </c>
      <c r="AB5616" s="182" t="n">
        <v>0</v>
      </c>
      <c r="AC5616" s="182" t="n">
        <v>0</v>
      </c>
      <c r="AD5616" s="182" t="n">
        <v>0</v>
      </c>
      <c r="AE5616" s="182" t="n">
        <v>0</v>
      </c>
      <c r="AF5616" s="182" t="n">
        <v>0</v>
      </c>
      <c r="AG5616" s="182" t="n">
        <v>0</v>
      </c>
      <c r="AH5616" s="182" t="n">
        <v>0</v>
      </c>
      <c r="AI5616" s="182" t="n">
        <v>0</v>
      </c>
      <c r="AJ5616" s="182" t="n">
        <v>0</v>
      </c>
      <c r="AK5616" s="182" t="n">
        <v>1.51</v>
      </c>
      <c r="AL5616" s="182" t="n">
        <v>0</v>
      </c>
      <c r="AM5616" s="182" t="n">
        <v>0.08</v>
      </c>
      <c r="AN5616" s="182" t="n">
        <v>0</v>
      </c>
    </row>
    <row r="5617">
      <c r="A5617" s="155" t="n">
        <v>46107</v>
      </c>
      <c r="B5617" s="156" t="inlineStr">
        <is>
          <t>NS</t>
        </is>
      </c>
      <c r="C5617" s="156" t="inlineStr">
        <is>
          <t>DZ-031</t>
        </is>
      </c>
      <c r="D5617" s="156" t="inlineStr">
        <is>
          <t>CAT</t>
        </is>
      </c>
      <c r="E5617" s="156" t="inlineStr">
        <is>
          <t>Bulldozer</t>
        </is>
      </c>
      <c r="F5617" s="156" t="inlineStr">
        <is>
          <t>Support Front Loading</t>
        </is>
      </c>
      <c r="G5617" s="182" t="n">
        <v>8.039999999999999</v>
      </c>
      <c r="H5617" s="182" t="n">
        <v>0</v>
      </c>
      <c r="I5617" s="182" t="n">
        <v>0</v>
      </c>
      <c r="J5617" s="182" t="n">
        <v>0</v>
      </c>
      <c r="K5617" s="182" t="n">
        <v>3.96</v>
      </c>
      <c r="L5617" s="182" t="n">
        <v>12</v>
      </c>
      <c r="M5617" s="182" t="n">
        <v>0</v>
      </c>
      <c r="N5617" s="182" t="n">
        <v>0</v>
      </c>
      <c r="O5617" s="183" t="n">
        <v>0</v>
      </c>
      <c r="P5617" s="183" t="n">
        <v>0</v>
      </c>
      <c r="Q5617" s="184" t="n">
        <v>0</v>
      </c>
      <c r="R5617" s="184" t="n">
        <v>0</v>
      </c>
      <c r="S5617" s="183" t="n">
        <v>0</v>
      </c>
      <c r="T5617" s="183" t="n">
        <v>0</v>
      </c>
      <c r="U5617" s="182" t="n">
        <v>2.86</v>
      </c>
      <c r="V5617" s="182" t="n">
        <v>0</v>
      </c>
      <c r="W5617" s="182" t="n">
        <v>0</v>
      </c>
      <c r="X5617" s="182" t="n">
        <v>1.02</v>
      </c>
      <c r="Y5617" s="182" t="n">
        <v>0</v>
      </c>
      <c r="Z5617" s="182" t="n">
        <v>0</v>
      </c>
      <c r="AA5617" s="182" t="n">
        <v>0</v>
      </c>
      <c r="AB5617" s="182" t="n">
        <v>0</v>
      </c>
      <c r="AC5617" s="182" t="n">
        <v>0</v>
      </c>
      <c r="AD5617" s="182" t="n">
        <v>0</v>
      </c>
      <c r="AE5617" s="182" t="n">
        <v>0</v>
      </c>
      <c r="AF5617" s="182" t="n">
        <v>0</v>
      </c>
      <c r="AG5617" s="182" t="n">
        <v>0</v>
      </c>
      <c r="AH5617" s="182" t="n">
        <v>0</v>
      </c>
      <c r="AI5617" s="182" t="n">
        <v>0</v>
      </c>
      <c r="AJ5617" s="182" t="n">
        <v>0</v>
      </c>
      <c r="AK5617" s="182" t="n">
        <v>0</v>
      </c>
      <c r="AL5617" s="182" t="n">
        <v>0</v>
      </c>
      <c r="AM5617" s="182" t="n">
        <v>0.08</v>
      </c>
      <c r="AN5617" s="182" t="n">
        <v>0</v>
      </c>
    </row>
    <row r="5618">
      <c r="A5618" s="155" t="n">
        <v>46107</v>
      </c>
      <c r="B5618" s="156" t="inlineStr">
        <is>
          <t>NS</t>
        </is>
      </c>
      <c r="C5618" s="156" t="inlineStr">
        <is>
          <t>DZ-037</t>
        </is>
      </c>
      <c r="D5618" s="156" t="inlineStr">
        <is>
          <t>D 85 ESS-2</t>
        </is>
      </c>
      <c r="E5618" s="156" t="inlineStr">
        <is>
          <t>Bulldozer</t>
        </is>
      </c>
      <c r="F5618" s="156" t="inlineStr"/>
      <c r="G5618" s="182" t="n">
        <v>0</v>
      </c>
      <c r="H5618" s="182" t="n">
        <v>0</v>
      </c>
      <c r="I5618" s="182" t="n">
        <v>12</v>
      </c>
      <c r="J5618" s="182" t="n">
        <v>12</v>
      </c>
      <c r="K5618" s="182" t="n">
        <v>0</v>
      </c>
      <c r="L5618" s="182" t="n">
        <v>12</v>
      </c>
      <c r="M5618" s="182" t="n">
        <v>0</v>
      </c>
      <c r="N5618" s="182" t="n">
        <v>0</v>
      </c>
      <c r="O5618" s="183" t="n">
        <v>0</v>
      </c>
      <c r="P5618" s="183" t="n">
        <v>0</v>
      </c>
      <c r="Q5618" s="184" t="n">
        <v>0</v>
      </c>
      <c r="R5618" s="184" t="n">
        <v>0</v>
      </c>
      <c r="S5618" s="183" t="n">
        <v>0</v>
      </c>
      <c r="T5618" s="183" t="n">
        <v>0</v>
      </c>
      <c r="U5618" s="182" t="n">
        <v>0</v>
      </c>
      <c r="V5618" s="182" t="n">
        <v>0</v>
      </c>
      <c r="W5618" s="182" t="n">
        <v>0</v>
      </c>
      <c r="X5618" s="182" t="n">
        <v>0</v>
      </c>
      <c r="Y5618" s="182" t="n">
        <v>0</v>
      </c>
      <c r="Z5618" s="182" t="n">
        <v>0</v>
      </c>
      <c r="AA5618" s="182" t="n">
        <v>0</v>
      </c>
      <c r="AB5618" s="182" t="n">
        <v>0</v>
      </c>
      <c r="AC5618" s="182" t="n">
        <v>0</v>
      </c>
      <c r="AD5618" s="182" t="n">
        <v>0</v>
      </c>
      <c r="AE5618" s="182" t="n">
        <v>0</v>
      </c>
      <c r="AF5618" s="182" t="n">
        <v>0</v>
      </c>
      <c r="AG5618" s="182" t="n">
        <v>0</v>
      </c>
      <c r="AH5618" s="182" t="n">
        <v>0</v>
      </c>
      <c r="AI5618" s="182" t="n">
        <v>0</v>
      </c>
      <c r="AJ5618" s="182" t="n">
        <v>0</v>
      </c>
      <c r="AK5618" s="182" t="n">
        <v>0</v>
      </c>
      <c r="AL5618" s="182" t="n">
        <v>0</v>
      </c>
      <c r="AM5618" s="182" t="n">
        <v>0</v>
      </c>
      <c r="AN5618" s="182" t="n">
        <v>0</v>
      </c>
    </row>
    <row r="5619">
      <c r="A5619" s="155" t="n">
        <v>46107</v>
      </c>
      <c r="B5619" s="156" t="inlineStr">
        <is>
          <t>NS</t>
        </is>
      </c>
      <c r="C5619" s="156" t="inlineStr">
        <is>
          <t>DZ-036</t>
        </is>
      </c>
      <c r="D5619" s="156" t="inlineStr">
        <is>
          <t>D 85 ESS-2</t>
        </is>
      </c>
      <c r="E5619" s="156" t="inlineStr">
        <is>
          <t>Bulldozer</t>
        </is>
      </c>
      <c r="F5619" s="156" t="inlineStr">
        <is>
          <t>General Jetty</t>
        </is>
      </c>
      <c r="G5619" s="182" t="n">
        <v>4.73</v>
      </c>
      <c r="H5619" s="182" t="n">
        <v>0</v>
      </c>
      <c r="I5619" s="182" t="n">
        <v>0</v>
      </c>
      <c r="J5619" s="182" t="n">
        <v>0</v>
      </c>
      <c r="K5619" s="182" t="n">
        <v>7.27</v>
      </c>
      <c r="L5619" s="182" t="n">
        <v>12</v>
      </c>
      <c r="M5619" s="182" t="n">
        <v>0</v>
      </c>
      <c r="N5619" s="182" t="n">
        <v>0</v>
      </c>
      <c r="O5619" s="183" t="n">
        <v>0</v>
      </c>
      <c r="P5619" s="183" t="n">
        <v>0</v>
      </c>
      <c r="Q5619" s="184" t="n">
        <v>0</v>
      </c>
      <c r="R5619" s="184" t="n">
        <v>0</v>
      </c>
      <c r="S5619" s="183" t="n">
        <v>0</v>
      </c>
      <c r="T5619" s="183" t="n">
        <v>0</v>
      </c>
      <c r="U5619" s="182" t="n">
        <v>0</v>
      </c>
      <c r="V5619" s="182" t="n">
        <v>0</v>
      </c>
      <c r="W5619" s="182" t="n">
        <v>0</v>
      </c>
      <c r="X5619" s="182" t="n">
        <v>1</v>
      </c>
      <c r="Y5619" s="182" t="n">
        <v>0</v>
      </c>
      <c r="Z5619" s="182" t="n">
        <v>0</v>
      </c>
      <c r="AA5619" s="182" t="n">
        <v>0</v>
      </c>
      <c r="AB5619" s="182" t="n">
        <v>0</v>
      </c>
      <c r="AC5619" s="182" t="n">
        <v>0</v>
      </c>
      <c r="AD5619" s="182" t="n">
        <v>0</v>
      </c>
      <c r="AE5619" s="182" t="n">
        <v>0</v>
      </c>
      <c r="AF5619" s="182" t="n">
        <v>0</v>
      </c>
      <c r="AG5619" s="182" t="n">
        <v>0</v>
      </c>
      <c r="AH5619" s="182" t="n">
        <v>0</v>
      </c>
      <c r="AI5619" s="182" t="n">
        <v>0</v>
      </c>
      <c r="AJ5619" s="182" t="n">
        <v>0</v>
      </c>
      <c r="AK5619" s="182" t="n">
        <v>6.19</v>
      </c>
      <c r="AL5619" s="182" t="n">
        <v>0</v>
      </c>
      <c r="AM5619" s="182" t="n">
        <v>0.08</v>
      </c>
      <c r="AN5619" s="182" t="n">
        <v>0</v>
      </c>
    </row>
    <row r="5620">
      <c r="A5620" s="155" t="n">
        <v>46107</v>
      </c>
      <c r="B5620" s="156" t="inlineStr">
        <is>
          <t>NS</t>
        </is>
      </c>
      <c r="C5620" s="156" t="inlineStr">
        <is>
          <t>DZ-035</t>
        </is>
      </c>
      <c r="D5620" s="156" t="inlineStr">
        <is>
          <t>D 85 ESS-2</t>
        </is>
      </c>
      <c r="E5620" s="156" t="inlineStr">
        <is>
          <t>Bulldozer</t>
        </is>
      </c>
      <c r="F5620" s="156" t="inlineStr"/>
      <c r="G5620" s="182" t="n">
        <v>0</v>
      </c>
      <c r="H5620" s="182" t="n">
        <v>0</v>
      </c>
      <c r="I5620" s="182" t="n">
        <v>3.3</v>
      </c>
      <c r="J5620" s="182" t="n">
        <v>3.3</v>
      </c>
      <c r="K5620" s="182" t="n">
        <v>8.699999999999999</v>
      </c>
      <c r="L5620" s="182" t="n">
        <v>12</v>
      </c>
      <c r="M5620" s="182" t="n">
        <v>0</v>
      </c>
      <c r="N5620" s="182" t="n">
        <v>0</v>
      </c>
      <c r="O5620" s="183" t="n">
        <v>0</v>
      </c>
      <c r="P5620" s="183" t="n">
        <v>0</v>
      </c>
      <c r="Q5620" s="184" t="n">
        <v>0</v>
      </c>
      <c r="R5620" s="184" t="n">
        <v>0</v>
      </c>
      <c r="S5620" s="183" t="n">
        <v>0</v>
      </c>
      <c r="T5620" s="183" t="n">
        <v>0</v>
      </c>
      <c r="U5620" s="182" t="n">
        <v>4.08</v>
      </c>
      <c r="V5620" s="182" t="n">
        <v>0</v>
      </c>
      <c r="W5620" s="182" t="n">
        <v>0</v>
      </c>
      <c r="X5620" s="182" t="n">
        <v>1</v>
      </c>
      <c r="Y5620" s="182" t="n">
        <v>0</v>
      </c>
      <c r="Z5620" s="182" t="n">
        <v>0</v>
      </c>
      <c r="AA5620" s="182" t="n">
        <v>0</v>
      </c>
      <c r="AB5620" s="182" t="n">
        <v>0</v>
      </c>
      <c r="AC5620" s="182" t="n">
        <v>0</v>
      </c>
      <c r="AD5620" s="182" t="n">
        <v>0</v>
      </c>
      <c r="AE5620" s="182" t="n">
        <v>0</v>
      </c>
      <c r="AF5620" s="182" t="n">
        <v>0</v>
      </c>
      <c r="AG5620" s="182" t="n">
        <v>0</v>
      </c>
      <c r="AH5620" s="182" t="n">
        <v>0</v>
      </c>
      <c r="AI5620" s="182" t="n">
        <v>0</v>
      </c>
      <c r="AJ5620" s="182" t="n">
        <v>0</v>
      </c>
      <c r="AK5620" s="182" t="n">
        <v>3.54</v>
      </c>
      <c r="AL5620" s="182" t="n">
        <v>0</v>
      </c>
      <c r="AM5620" s="182" t="n">
        <v>0.08</v>
      </c>
      <c r="AN5620" s="182" t="n">
        <v>0</v>
      </c>
    </row>
    <row r="5621">
      <c r="A5621" s="155" t="n">
        <v>46107</v>
      </c>
      <c r="B5621" s="156" t="inlineStr">
        <is>
          <t>NS</t>
        </is>
      </c>
      <c r="C5621" s="156" t="inlineStr">
        <is>
          <t>CP-042</t>
        </is>
      </c>
      <c r="D5621" s="156" t="inlineStr">
        <is>
          <t>SANY - Compactor</t>
        </is>
      </c>
      <c r="E5621" s="156" t="inlineStr">
        <is>
          <t>Compactor</t>
        </is>
      </c>
      <c r="F5621" s="156" t="inlineStr"/>
      <c r="G5621" s="182" t="n">
        <v>0</v>
      </c>
      <c r="H5621" s="182" t="n">
        <v>0</v>
      </c>
      <c r="I5621" s="182" t="n">
        <v>0</v>
      </c>
      <c r="J5621" s="182" t="n">
        <v>0</v>
      </c>
      <c r="K5621" s="182" t="n">
        <v>12</v>
      </c>
      <c r="L5621" s="182" t="n">
        <v>12</v>
      </c>
      <c r="M5621" s="182" t="n">
        <v>0</v>
      </c>
      <c r="N5621" s="182" t="n">
        <v>0</v>
      </c>
      <c r="O5621" s="183" t="n">
        <v>0</v>
      </c>
      <c r="P5621" s="183" t="n">
        <v>0</v>
      </c>
      <c r="Q5621" s="184" t="n">
        <v>0</v>
      </c>
      <c r="R5621" s="184" t="n">
        <v>0</v>
      </c>
      <c r="S5621" s="183" t="n">
        <v>0</v>
      </c>
      <c r="T5621" s="183" t="n">
        <v>0</v>
      </c>
      <c r="U5621" s="182" t="n">
        <v>0</v>
      </c>
      <c r="V5621" s="182" t="n">
        <v>0</v>
      </c>
      <c r="W5621" s="182" t="n">
        <v>0</v>
      </c>
      <c r="X5621" s="182" t="n">
        <v>1</v>
      </c>
      <c r="Y5621" s="182" t="n">
        <v>0</v>
      </c>
      <c r="Z5621" s="182" t="n">
        <v>0</v>
      </c>
      <c r="AA5621" s="182" t="n">
        <v>0</v>
      </c>
      <c r="AB5621" s="182" t="n">
        <v>0</v>
      </c>
      <c r="AC5621" s="182" t="n">
        <v>0</v>
      </c>
      <c r="AD5621" s="182" t="n">
        <v>0</v>
      </c>
      <c r="AE5621" s="182" t="n">
        <v>0</v>
      </c>
      <c r="AF5621" s="182" t="n">
        <v>0</v>
      </c>
      <c r="AG5621" s="182" t="n">
        <v>0</v>
      </c>
      <c r="AH5621" s="182" t="n">
        <v>0</v>
      </c>
      <c r="AI5621" s="182" t="n">
        <v>0</v>
      </c>
      <c r="AJ5621" s="182" t="n">
        <v>0</v>
      </c>
      <c r="AK5621" s="182" t="n">
        <v>10.92</v>
      </c>
      <c r="AL5621" s="182" t="n">
        <v>0</v>
      </c>
      <c r="AM5621" s="182" t="n">
        <v>0.08</v>
      </c>
      <c r="AN5621" s="182" t="n">
        <v>0</v>
      </c>
    </row>
    <row r="5622">
      <c r="A5622" s="155" t="n">
        <v>46107</v>
      </c>
      <c r="B5622" s="156" t="inlineStr">
        <is>
          <t>NS</t>
        </is>
      </c>
      <c r="C5622" s="156" t="inlineStr">
        <is>
          <t>CP-041</t>
        </is>
      </c>
      <c r="D5622" s="156" t="inlineStr">
        <is>
          <t>SANY - Compactor</t>
        </is>
      </c>
      <c r="E5622" s="156" t="inlineStr">
        <is>
          <t>Compactor</t>
        </is>
      </c>
      <c r="F5622" s="156" t="inlineStr"/>
      <c r="G5622" s="182" t="n">
        <v>0</v>
      </c>
      <c r="H5622" s="182" t="n">
        <v>0</v>
      </c>
      <c r="I5622" s="182" t="n">
        <v>0</v>
      </c>
      <c r="J5622" s="182" t="n">
        <v>0</v>
      </c>
      <c r="K5622" s="182" t="n">
        <v>12</v>
      </c>
      <c r="L5622" s="182" t="n">
        <v>12</v>
      </c>
      <c r="M5622" s="182" t="n">
        <v>0</v>
      </c>
      <c r="N5622" s="182" t="n">
        <v>0</v>
      </c>
      <c r="O5622" s="183" t="n">
        <v>0</v>
      </c>
      <c r="P5622" s="183" t="n">
        <v>0</v>
      </c>
      <c r="Q5622" s="184" t="n">
        <v>0</v>
      </c>
      <c r="R5622" s="184" t="n">
        <v>0</v>
      </c>
      <c r="S5622" s="183" t="n">
        <v>0</v>
      </c>
      <c r="T5622" s="183" t="n">
        <v>0</v>
      </c>
      <c r="U5622" s="182" t="n">
        <v>0</v>
      </c>
      <c r="V5622" s="182" t="n">
        <v>0</v>
      </c>
      <c r="W5622" s="182" t="n">
        <v>0</v>
      </c>
      <c r="X5622" s="182" t="n">
        <v>1</v>
      </c>
      <c r="Y5622" s="182" t="n">
        <v>0</v>
      </c>
      <c r="Z5622" s="182" t="n">
        <v>0</v>
      </c>
      <c r="AA5622" s="182" t="n">
        <v>0</v>
      </c>
      <c r="AB5622" s="182" t="n">
        <v>0</v>
      </c>
      <c r="AC5622" s="182" t="n">
        <v>0</v>
      </c>
      <c r="AD5622" s="182" t="n">
        <v>0</v>
      </c>
      <c r="AE5622" s="182" t="n">
        <v>0</v>
      </c>
      <c r="AF5622" s="182" t="n">
        <v>0</v>
      </c>
      <c r="AG5622" s="182" t="n">
        <v>0</v>
      </c>
      <c r="AH5622" s="182" t="n">
        <v>0</v>
      </c>
      <c r="AI5622" s="182" t="n">
        <v>0</v>
      </c>
      <c r="AJ5622" s="182" t="n">
        <v>0</v>
      </c>
      <c r="AK5622" s="182" t="n">
        <v>10.92</v>
      </c>
      <c r="AL5622" s="182" t="n">
        <v>0</v>
      </c>
      <c r="AM5622" s="182" t="n">
        <v>0.08</v>
      </c>
      <c r="AN5622" s="182" t="n">
        <v>0</v>
      </c>
    </row>
    <row r="5623">
      <c r="A5623" s="155" t="n">
        <v>46107</v>
      </c>
      <c r="B5623" s="156" t="inlineStr">
        <is>
          <t>NS</t>
        </is>
      </c>
      <c r="C5623" s="156" t="inlineStr">
        <is>
          <t>HT-418</t>
        </is>
      </c>
      <c r="D5623" s="156" t="inlineStr">
        <is>
          <t>SY430</t>
        </is>
      </c>
      <c r="E5623" s="156" t="inlineStr">
        <is>
          <t>DT Hauling</t>
        </is>
      </c>
      <c r="F5623" s="156" t="inlineStr"/>
      <c r="G5623" s="182" t="n">
        <v>0</v>
      </c>
      <c r="H5623" s="182" t="n">
        <v>0</v>
      </c>
      <c r="I5623" s="182" t="n">
        <v>0</v>
      </c>
      <c r="J5623" s="182" t="n">
        <v>0</v>
      </c>
      <c r="K5623" s="182" t="n">
        <v>12</v>
      </c>
      <c r="L5623" s="182" t="n">
        <v>12</v>
      </c>
      <c r="M5623" s="182" t="n">
        <v>0</v>
      </c>
      <c r="N5623" s="182" t="n">
        <v>0</v>
      </c>
      <c r="O5623" s="183" t="n">
        <v>0</v>
      </c>
      <c r="P5623" s="183" t="n">
        <v>0</v>
      </c>
      <c r="Q5623" s="184" t="n">
        <v>0</v>
      </c>
      <c r="R5623" s="184" t="n">
        <v>0</v>
      </c>
      <c r="S5623" s="183" t="n">
        <v>0</v>
      </c>
      <c r="T5623" s="183" t="n">
        <v>0</v>
      </c>
      <c r="U5623" s="182" t="n">
        <v>0</v>
      </c>
      <c r="V5623" s="182" t="n">
        <v>0</v>
      </c>
      <c r="W5623" s="182" t="n">
        <v>0</v>
      </c>
      <c r="X5623" s="182" t="n">
        <v>1</v>
      </c>
      <c r="Y5623" s="182" t="n">
        <v>0</v>
      </c>
      <c r="Z5623" s="182" t="n">
        <v>0</v>
      </c>
      <c r="AA5623" s="182" t="n">
        <v>0</v>
      </c>
      <c r="AB5623" s="182" t="n">
        <v>0</v>
      </c>
      <c r="AC5623" s="182" t="n">
        <v>0</v>
      </c>
      <c r="AD5623" s="182" t="n">
        <v>0</v>
      </c>
      <c r="AE5623" s="182" t="n">
        <v>0</v>
      </c>
      <c r="AF5623" s="182" t="n">
        <v>0</v>
      </c>
      <c r="AG5623" s="182" t="n">
        <v>0</v>
      </c>
      <c r="AH5623" s="182" t="n">
        <v>0</v>
      </c>
      <c r="AI5623" s="182" t="n">
        <v>0</v>
      </c>
      <c r="AJ5623" s="182" t="n">
        <v>0</v>
      </c>
      <c r="AK5623" s="182" t="n">
        <v>10.92</v>
      </c>
      <c r="AL5623" s="182" t="n">
        <v>0</v>
      </c>
      <c r="AM5623" s="182" t="n">
        <v>0.08</v>
      </c>
      <c r="AN5623" s="182" t="n">
        <v>0</v>
      </c>
    </row>
    <row r="5624">
      <c r="A5624" s="155" t="n">
        <v>46107</v>
      </c>
      <c r="B5624" s="156" t="inlineStr">
        <is>
          <t>NS</t>
        </is>
      </c>
      <c r="C5624" s="156" t="inlineStr">
        <is>
          <t>HT-404</t>
        </is>
      </c>
      <c r="D5624" s="156" t="inlineStr">
        <is>
          <t>SY430</t>
        </is>
      </c>
      <c r="E5624" s="156" t="inlineStr">
        <is>
          <t>DT Hauling</t>
        </is>
      </c>
      <c r="F5624" s="156" t="inlineStr"/>
      <c r="G5624" s="182" t="n">
        <v>0</v>
      </c>
      <c r="H5624" s="182" t="n">
        <v>0</v>
      </c>
      <c r="I5624" s="182" t="n">
        <v>0</v>
      </c>
      <c r="J5624" s="182" t="n">
        <v>0</v>
      </c>
      <c r="K5624" s="182" t="n">
        <v>12</v>
      </c>
      <c r="L5624" s="182" t="n">
        <v>12</v>
      </c>
      <c r="M5624" s="182" t="n">
        <v>0</v>
      </c>
      <c r="N5624" s="182" t="n">
        <v>0</v>
      </c>
      <c r="O5624" s="183" t="n">
        <v>0</v>
      </c>
      <c r="P5624" s="183" t="n">
        <v>0</v>
      </c>
      <c r="Q5624" s="184" t="n">
        <v>0</v>
      </c>
      <c r="R5624" s="184" t="n">
        <v>0</v>
      </c>
      <c r="S5624" s="183" t="n">
        <v>0</v>
      </c>
      <c r="T5624" s="183" t="n">
        <v>0</v>
      </c>
      <c r="U5624" s="182" t="n">
        <v>0</v>
      </c>
      <c r="V5624" s="182" t="n">
        <v>0</v>
      </c>
      <c r="W5624" s="182" t="n">
        <v>0</v>
      </c>
      <c r="X5624" s="182" t="n">
        <v>1</v>
      </c>
      <c r="Y5624" s="182" t="n">
        <v>0</v>
      </c>
      <c r="Z5624" s="182" t="n">
        <v>0</v>
      </c>
      <c r="AA5624" s="182" t="n">
        <v>0</v>
      </c>
      <c r="AB5624" s="182" t="n">
        <v>0</v>
      </c>
      <c r="AC5624" s="182" t="n">
        <v>0</v>
      </c>
      <c r="AD5624" s="182" t="n">
        <v>0</v>
      </c>
      <c r="AE5624" s="182" t="n">
        <v>0</v>
      </c>
      <c r="AF5624" s="182" t="n">
        <v>0</v>
      </c>
      <c r="AG5624" s="182" t="n">
        <v>0</v>
      </c>
      <c r="AH5624" s="182" t="n">
        <v>0</v>
      </c>
      <c r="AI5624" s="182" t="n">
        <v>0</v>
      </c>
      <c r="AJ5624" s="182" t="n">
        <v>0</v>
      </c>
      <c r="AK5624" s="182" t="n">
        <v>10.92</v>
      </c>
      <c r="AL5624" s="182" t="n">
        <v>0</v>
      </c>
      <c r="AM5624" s="182" t="n">
        <v>0.08</v>
      </c>
      <c r="AN5624" s="182" t="n">
        <v>0</v>
      </c>
    </row>
    <row r="5625">
      <c r="A5625" s="155" t="n">
        <v>46107</v>
      </c>
      <c r="B5625" s="156" t="inlineStr">
        <is>
          <t>NS</t>
        </is>
      </c>
      <c r="C5625" s="156" t="inlineStr">
        <is>
          <t>HT-415</t>
        </is>
      </c>
      <c r="D5625" s="156" t="inlineStr">
        <is>
          <t>SY430</t>
        </is>
      </c>
      <c r="E5625" s="156" t="inlineStr">
        <is>
          <t>DT Hauling</t>
        </is>
      </c>
      <c r="F5625" s="156" t="inlineStr"/>
      <c r="G5625" s="182" t="n">
        <v>0</v>
      </c>
      <c r="H5625" s="182" t="n">
        <v>0</v>
      </c>
      <c r="I5625" s="182" t="n">
        <v>12</v>
      </c>
      <c r="J5625" s="182" t="n">
        <v>12</v>
      </c>
      <c r="K5625" s="182" t="n">
        <v>0</v>
      </c>
      <c r="L5625" s="182" t="n">
        <v>12</v>
      </c>
      <c r="M5625" s="182" t="n">
        <v>0</v>
      </c>
      <c r="N5625" s="182" t="n">
        <v>0</v>
      </c>
      <c r="O5625" s="183" t="n">
        <v>0</v>
      </c>
      <c r="P5625" s="183" t="n">
        <v>0</v>
      </c>
      <c r="Q5625" s="184" t="n">
        <v>0</v>
      </c>
      <c r="R5625" s="184" t="n">
        <v>0</v>
      </c>
      <c r="S5625" s="183" t="n">
        <v>0</v>
      </c>
      <c r="T5625" s="183" t="n">
        <v>0</v>
      </c>
      <c r="U5625" s="182" t="n">
        <v>0</v>
      </c>
      <c r="V5625" s="182" t="n">
        <v>0</v>
      </c>
      <c r="W5625" s="182" t="n">
        <v>0</v>
      </c>
      <c r="X5625" s="182" t="n">
        <v>0</v>
      </c>
      <c r="Y5625" s="182" t="n">
        <v>0</v>
      </c>
      <c r="Z5625" s="182" t="n">
        <v>0</v>
      </c>
      <c r="AA5625" s="182" t="n">
        <v>0</v>
      </c>
      <c r="AB5625" s="182" t="n">
        <v>0</v>
      </c>
      <c r="AC5625" s="182" t="n">
        <v>0</v>
      </c>
      <c r="AD5625" s="182" t="n">
        <v>0</v>
      </c>
      <c r="AE5625" s="182" t="n">
        <v>0</v>
      </c>
      <c r="AF5625" s="182" t="n">
        <v>0</v>
      </c>
      <c r="AG5625" s="182" t="n">
        <v>0</v>
      </c>
      <c r="AH5625" s="182" t="n">
        <v>0</v>
      </c>
      <c r="AI5625" s="182" t="n">
        <v>0</v>
      </c>
      <c r="AJ5625" s="182" t="n">
        <v>0</v>
      </c>
      <c r="AK5625" s="182" t="n">
        <v>0</v>
      </c>
      <c r="AL5625" s="182" t="n">
        <v>0</v>
      </c>
      <c r="AM5625" s="182" t="n">
        <v>0</v>
      </c>
      <c r="AN5625" s="182" t="n">
        <v>0</v>
      </c>
    </row>
    <row r="5626">
      <c r="A5626" s="155" t="n">
        <v>46107</v>
      </c>
      <c r="B5626" s="156" t="inlineStr">
        <is>
          <t>NS</t>
        </is>
      </c>
      <c r="C5626" s="156" t="inlineStr">
        <is>
          <t>HT-406</t>
        </is>
      </c>
      <c r="D5626" s="156" t="inlineStr">
        <is>
          <t>SY430</t>
        </is>
      </c>
      <c r="E5626" s="156" t="inlineStr">
        <is>
          <t>DT Hauling</t>
        </is>
      </c>
      <c r="F5626" s="156" t="inlineStr"/>
      <c r="G5626" s="182" t="n">
        <v>0</v>
      </c>
      <c r="H5626" s="182" t="n">
        <v>0</v>
      </c>
      <c r="I5626" s="182" t="n">
        <v>0</v>
      </c>
      <c r="J5626" s="182" t="n">
        <v>0</v>
      </c>
      <c r="K5626" s="182" t="n">
        <v>12</v>
      </c>
      <c r="L5626" s="182" t="n">
        <v>12</v>
      </c>
      <c r="M5626" s="182" t="n">
        <v>0</v>
      </c>
      <c r="N5626" s="182" t="n">
        <v>0</v>
      </c>
      <c r="O5626" s="183" t="n">
        <v>0</v>
      </c>
      <c r="P5626" s="183" t="n">
        <v>0</v>
      </c>
      <c r="Q5626" s="184" t="n">
        <v>0</v>
      </c>
      <c r="R5626" s="184" t="n">
        <v>0</v>
      </c>
      <c r="S5626" s="183" t="n">
        <v>0</v>
      </c>
      <c r="T5626" s="183" t="n">
        <v>0</v>
      </c>
      <c r="U5626" s="182" t="n">
        <v>0</v>
      </c>
      <c r="V5626" s="182" t="n">
        <v>0</v>
      </c>
      <c r="W5626" s="182" t="n">
        <v>0</v>
      </c>
      <c r="X5626" s="182" t="n">
        <v>1</v>
      </c>
      <c r="Y5626" s="182" t="n">
        <v>0</v>
      </c>
      <c r="Z5626" s="182" t="n">
        <v>0</v>
      </c>
      <c r="AA5626" s="182" t="n">
        <v>0</v>
      </c>
      <c r="AB5626" s="182" t="n">
        <v>0</v>
      </c>
      <c r="AC5626" s="182" t="n">
        <v>0</v>
      </c>
      <c r="AD5626" s="182" t="n">
        <v>0</v>
      </c>
      <c r="AE5626" s="182" t="n">
        <v>0</v>
      </c>
      <c r="AF5626" s="182" t="n">
        <v>0</v>
      </c>
      <c r="AG5626" s="182" t="n">
        <v>0</v>
      </c>
      <c r="AH5626" s="182" t="n">
        <v>0</v>
      </c>
      <c r="AI5626" s="182" t="n">
        <v>0</v>
      </c>
      <c r="AJ5626" s="182" t="n">
        <v>0</v>
      </c>
      <c r="AK5626" s="182" t="n">
        <v>10.92</v>
      </c>
      <c r="AL5626" s="182" t="n">
        <v>0</v>
      </c>
      <c r="AM5626" s="182" t="n">
        <v>0.08</v>
      </c>
      <c r="AN5626" s="182" t="n">
        <v>0</v>
      </c>
    </row>
    <row r="5627">
      <c r="A5627" s="155" t="n">
        <v>46107</v>
      </c>
      <c r="B5627" s="156" t="inlineStr">
        <is>
          <t>NS</t>
        </is>
      </c>
      <c r="C5627" s="156" t="inlineStr">
        <is>
          <t>HT-405</t>
        </is>
      </c>
      <c r="D5627" s="156" t="inlineStr">
        <is>
          <t>SY430</t>
        </is>
      </c>
      <c r="E5627" s="156" t="inlineStr">
        <is>
          <t>DT Hauling</t>
        </is>
      </c>
      <c r="F5627" s="156" t="inlineStr"/>
      <c r="G5627" s="182" t="n">
        <v>0</v>
      </c>
      <c r="H5627" s="182" t="n">
        <v>0</v>
      </c>
      <c r="I5627" s="182" t="n">
        <v>12</v>
      </c>
      <c r="J5627" s="182" t="n">
        <v>12</v>
      </c>
      <c r="K5627" s="182" t="n">
        <v>0</v>
      </c>
      <c r="L5627" s="182" t="n">
        <v>12</v>
      </c>
      <c r="M5627" s="182" t="n">
        <v>0</v>
      </c>
      <c r="N5627" s="182" t="n">
        <v>0</v>
      </c>
      <c r="O5627" s="183" t="n">
        <v>0</v>
      </c>
      <c r="P5627" s="183" t="n">
        <v>0</v>
      </c>
      <c r="Q5627" s="184" t="n">
        <v>0</v>
      </c>
      <c r="R5627" s="184" t="n">
        <v>0</v>
      </c>
      <c r="S5627" s="183" t="n">
        <v>0</v>
      </c>
      <c r="T5627" s="183" t="n">
        <v>0</v>
      </c>
      <c r="U5627" s="182" t="n">
        <v>0</v>
      </c>
      <c r="V5627" s="182" t="n">
        <v>0</v>
      </c>
      <c r="W5627" s="182" t="n">
        <v>0</v>
      </c>
      <c r="X5627" s="182" t="n">
        <v>0</v>
      </c>
      <c r="Y5627" s="182" t="n">
        <v>0</v>
      </c>
      <c r="Z5627" s="182" t="n">
        <v>0</v>
      </c>
      <c r="AA5627" s="182" t="n">
        <v>0</v>
      </c>
      <c r="AB5627" s="182" t="n">
        <v>0</v>
      </c>
      <c r="AC5627" s="182" t="n">
        <v>0</v>
      </c>
      <c r="AD5627" s="182" t="n">
        <v>0</v>
      </c>
      <c r="AE5627" s="182" t="n">
        <v>0</v>
      </c>
      <c r="AF5627" s="182" t="n">
        <v>0</v>
      </c>
      <c r="AG5627" s="182" t="n">
        <v>0</v>
      </c>
      <c r="AH5627" s="182" t="n">
        <v>0</v>
      </c>
      <c r="AI5627" s="182" t="n">
        <v>0</v>
      </c>
      <c r="AJ5627" s="182" t="n">
        <v>0</v>
      </c>
      <c r="AK5627" s="182" t="n">
        <v>0</v>
      </c>
      <c r="AL5627" s="182" t="n">
        <v>0</v>
      </c>
      <c r="AM5627" s="182" t="n">
        <v>0</v>
      </c>
      <c r="AN5627" s="182" t="n">
        <v>0</v>
      </c>
    </row>
    <row r="5628">
      <c r="A5628" s="155" t="n">
        <v>46107</v>
      </c>
      <c r="B5628" s="156" t="inlineStr">
        <is>
          <t>NS</t>
        </is>
      </c>
      <c r="C5628" s="156" t="inlineStr">
        <is>
          <t>HT-417</t>
        </is>
      </c>
      <c r="D5628" s="156" t="inlineStr">
        <is>
          <t>SY430</t>
        </is>
      </c>
      <c r="E5628" s="156" t="inlineStr">
        <is>
          <t>DT Hauling</t>
        </is>
      </c>
      <c r="F5628" s="156" t="inlineStr"/>
      <c r="G5628" s="182" t="n">
        <v>0</v>
      </c>
      <c r="H5628" s="182" t="n">
        <v>0</v>
      </c>
      <c r="I5628" s="182" t="n">
        <v>0</v>
      </c>
      <c r="J5628" s="182" t="n">
        <v>0</v>
      </c>
      <c r="K5628" s="182" t="n">
        <v>12</v>
      </c>
      <c r="L5628" s="182" t="n">
        <v>12</v>
      </c>
      <c r="M5628" s="182" t="n">
        <v>0</v>
      </c>
      <c r="N5628" s="182" t="n">
        <v>0</v>
      </c>
      <c r="O5628" s="183" t="n">
        <v>0</v>
      </c>
      <c r="P5628" s="183" t="n">
        <v>0</v>
      </c>
      <c r="Q5628" s="184" t="n">
        <v>0</v>
      </c>
      <c r="R5628" s="184" t="n">
        <v>0</v>
      </c>
      <c r="S5628" s="183" t="n">
        <v>0</v>
      </c>
      <c r="T5628" s="183" t="n">
        <v>0</v>
      </c>
      <c r="U5628" s="182" t="n">
        <v>0</v>
      </c>
      <c r="V5628" s="182" t="n">
        <v>0</v>
      </c>
      <c r="W5628" s="182" t="n">
        <v>0</v>
      </c>
      <c r="X5628" s="182" t="n">
        <v>1</v>
      </c>
      <c r="Y5628" s="182" t="n">
        <v>0</v>
      </c>
      <c r="Z5628" s="182" t="n">
        <v>0</v>
      </c>
      <c r="AA5628" s="182" t="n">
        <v>0</v>
      </c>
      <c r="AB5628" s="182" t="n">
        <v>0</v>
      </c>
      <c r="AC5628" s="182" t="n">
        <v>0</v>
      </c>
      <c r="AD5628" s="182" t="n">
        <v>0</v>
      </c>
      <c r="AE5628" s="182" t="n">
        <v>0</v>
      </c>
      <c r="AF5628" s="182" t="n">
        <v>0</v>
      </c>
      <c r="AG5628" s="182" t="n">
        <v>0</v>
      </c>
      <c r="AH5628" s="182" t="n">
        <v>0</v>
      </c>
      <c r="AI5628" s="182" t="n">
        <v>0</v>
      </c>
      <c r="AJ5628" s="182" t="n">
        <v>0</v>
      </c>
      <c r="AK5628" s="182" t="n">
        <v>10.92</v>
      </c>
      <c r="AL5628" s="182" t="n">
        <v>0</v>
      </c>
      <c r="AM5628" s="182" t="n">
        <v>0.08</v>
      </c>
      <c r="AN5628" s="182" t="n">
        <v>0</v>
      </c>
    </row>
    <row r="5629">
      <c r="A5629" s="155" t="n">
        <v>46107</v>
      </c>
      <c r="B5629" s="156" t="inlineStr">
        <is>
          <t>NS</t>
        </is>
      </c>
      <c r="C5629" s="156" t="inlineStr">
        <is>
          <t>HT-401</t>
        </is>
      </c>
      <c r="D5629" s="156" t="inlineStr">
        <is>
          <t>SY430</t>
        </is>
      </c>
      <c r="E5629" s="156" t="inlineStr">
        <is>
          <t>DT Hauling</t>
        </is>
      </c>
      <c r="F5629" s="156" t="inlineStr"/>
      <c r="G5629" s="182" t="n">
        <v>0</v>
      </c>
      <c r="H5629" s="182" t="n">
        <v>0</v>
      </c>
      <c r="I5629" s="182" t="n">
        <v>0</v>
      </c>
      <c r="J5629" s="182" t="n">
        <v>0</v>
      </c>
      <c r="K5629" s="182" t="n">
        <v>12</v>
      </c>
      <c r="L5629" s="182" t="n">
        <v>12</v>
      </c>
      <c r="M5629" s="182" t="n">
        <v>0</v>
      </c>
      <c r="N5629" s="182" t="n">
        <v>0</v>
      </c>
      <c r="O5629" s="183" t="n">
        <v>0</v>
      </c>
      <c r="P5629" s="183" t="n">
        <v>0</v>
      </c>
      <c r="Q5629" s="184" t="n">
        <v>0</v>
      </c>
      <c r="R5629" s="184" t="n">
        <v>0</v>
      </c>
      <c r="S5629" s="183" t="n">
        <v>0</v>
      </c>
      <c r="T5629" s="183" t="n">
        <v>0</v>
      </c>
      <c r="U5629" s="182" t="n">
        <v>0</v>
      </c>
      <c r="V5629" s="182" t="n">
        <v>0</v>
      </c>
      <c r="W5629" s="182" t="n">
        <v>0</v>
      </c>
      <c r="X5629" s="182" t="n">
        <v>1</v>
      </c>
      <c r="Y5629" s="182" t="n">
        <v>0</v>
      </c>
      <c r="Z5629" s="182" t="n">
        <v>0</v>
      </c>
      <c r="AA5629" s="182" t="n">
        <v>0</v>
      </c>
      <c r="AB5629" s="182" t="n">
        <v>0</v>
      </c>
      <c r="AC5629" s="182" t="n">
        <v>0</v>
      </c>
      <c r="AD5629" s="182" t="n">
        <v>0</v>
      </c>
      <c r="AE5629" s="182" t="n">
        <v>0</v>
      </c>
      <c r="AF5629" s="182" t="n">
        <v>0</v>
      </c>
      <c r="AG5629" s="182" t="n">
        <v>0</v>
      </c>
      <c r="AH5629" s="182" t="n">
        <v>0</v>
      </c>
      <c r="AI5629" s="182" t="n">
        <v>0</v>
      </c>
      <c r="AJ5629" s="182" t="n">
        <v>0</v>
      </c>
      <c r="AK5629" s="182" t="n">
        <v>10.92</v>
      </c>
      <c r="AL5629" s="182" t="n">
        <v>0</v>
      </c>
      <c r="AM5629" s="182" t="n">
        <v>0.08</v>
      </c>
      <c r="AN5629" s="182" t="n">
        <v>0</v>
      </c>
    </row>
    <row r="5630">
      <c r="A5630" s="155" t="n">
        <v>46107</v>
      </c>
      <c r="B5630" s="156" t="inlineStr">
        <is>
          <t>NS</t>
        </is>
      </c>
      <c r="C5630" s="156" t="inlineStr">
        <is>
          <t>HT-410</t>
        </is>
      </c>
      <c r="D5630" s="156" t="inlineStr">
        <is>
          <t>SY430</t>
        </is>
      </c>
      <c r="E5630" s="156" t="inlineStr">
        <is>
          <t>DT Hauling</t>
        </is>
      </c>
      <c r="F5630" s="156" t="inlineStr"/>
      <c r="G5630" s="182" t="n">
        <v>0</v>
      </c>
      <c r="H5630" s="182" t="n">
        <v>0</v>
      </c>
      <c r="I5630" s="182" t="n">
        <v>0</v>
      </c>
      <c r="J5630" s="182" t="n">
        <v>0</v>
      </c>
      <c r="K5630" s="182" t="n">
        <v>12</v>
      </c>
      <c r="L5630" s="182" t="n">
        <v>12</v>
      </c>
      <c r="M5630" s="182" t="n">
        <v>0</v>
      </c>
      <c r="N5630" s="182" t="n">
        <v>0</v>
      </c>
      <c r="O5630" s="183" t="n">
        <v>0</v>
      </c>
      <c r="P5630" s="183" t="n">
        <v>0</v>
      </c>
      <c r="Q5630" s="184" t="n">
        <v>0</v>
      </c>
      <c r="R5630" s="184" t="n">
        <v>0</v>
      </c>
      <c r="S5630" s="183" t="n">
        <v>0</v>
      </c>
      <c r="T5630" s="183" t="n">
        <v>0</v>
      </c>
      <c r="U5630" s="182" t="n">
        <v>0</v>
      </c>
      <c r="V5630" s="182" t="n">
        <v>0</v>
      </c>
      <c r="W5630" s="182" t="n">
        <v>0</v>
      </c>
      <c r="X5630" s="182" t="n">
        <v>1</v>
      </c>
      <c r="Y5630" s="182" t="n">
        <v>0</v>
      </c>
      <c r="Z5630" s="182" t="n">
        <v>0</v>
      </c>
      <c r="AA5630" s="182" t="n">
        <v>0</v>
      </c>
      <c r="AB5630" s="182" t="n">
        <v>0</v>
      </c>
      <c r="AC5630" s="182" t="n">
        <v>0</v>
      </c>
      <c r="AD5630" s="182" t="n">
        <v>0</v>
      </c>
      <c r="AE5630" s="182" t="n">
        <v>0</v>
      </c>
      <c r="AF5630" s="182" t="n">
        <v>0</v>
      </c>
      <c r="AG5630" s="182" t="n">
        <v>0</v>
      </c>
      <c r="AH5630" s="182" t="n">
        <v>0</v>
      </c>
      <c r="AI5630" s="182" t="n">
        <v>0</v>
      </c>
      <c r="AJ5630" s="182" t="n">
        <v>0</v>
      </c>
      <c r="AK5630" s="182" t="n">
        <v>10.92</v>
      </c>
      <c r="AL5630" s="182" t="n">
        <v>0</v>
      </c>
      <c r="AM5630" s="182" t="n">
        <v>0.08</v>
      </c>
      <c r="AN5630" s="182" t="n">
        <v>0</v>
      </c>
    </row>
    <row r="5631">
      <c r="A5631" s="155" t="n">
        <v>46107</v>
      </c>
      <c r="B5631" s="156" t="inlineStr">
        <is>
          <t>NS</t>
        </is>
      </c>
      <c r="C5631" s="156" t="inlineStr">
        <is>
          <t>HT-402</t>
        </is>
      </c>
      <c r="D5631" s="156" t="inlineStr">
        <is>
          <t>SY430</t>
        </is>
      </c>
      <c r="E5631" s="156" t="inlineStr">
        <is>
          <t>DT Hauling</t>
        </is>
      </c>
      <c r="F5631" s="156" t="inlineStr"/>
      <c r="G5631" s="182" t="n">
        <v>0</v>
      </c>
      <c r="H5631" s="182" t="n">
        <v>0</v>
      </c>
      <c r="I5631" s="182" t="n">
        <v>12</v>
      </c>
      <c r="J5631" s="182" t="n">
        <v>12</v>
      </c>
      <c r="K5631" s="182" t="n">
        <v>0</v>
      </c>
      <c r="L5631" s="182" t="n">
        <v>12</v>
      </c>
      <c r="M5631" s="182" t="n">
        <v>0</v>
      </c>
      <c r="N5631" s="182" t="n">
        <v>0</v>
      </c>
      <c r="O5631" s="183" t="n">
        <v>0</v>
      </c>
      <c r="P5631" s="183" t="n">
        <v>0</v>
      </c>
      <c r="Q5631" s="184" t="n">
        <v>0</v>
      </c>
      <c r="R5631" s="184" t="n">
        <v>0</v>
      </c>
      <c r="S5631" s="183" t="n">
        <v>0</v>
      </c>
      <c r="T5631" s="183" t="n">
        <v>0</v>
      </c>
      <c r="U5631" s="182" t="n">
        <v>0</v>
      </c>
      <c r="V5631" s="182" t="n">
        <v>0</v>
      </c>
      <c r="W5631" s="182" t="n">
        <v>0</v>
      </c>
      <c r="X5631" s="182" t="n">
        <v>0</v>
      </c>
      <c r="Y5631" s="182" t="n">
        <v>0</v>
      </c>
      <c r="Z5631" s="182" t="n">
        <v>0</v>
      </c>
      <c r="AA5631" s="182" t="n">
        <v>0</v>
      </c>
      <c r="AB5631" s="182" t="n">
        <v>0</v>
      </c>
      <c r="AC5631" s="182" t="n">
        <v>0</v>
      </c>
      <c r="AD5631" s="182" t="n">
        <v>0</v>
      </c>
      <c r="AE5631" s="182" t="n">
        <v>0</v>
      </c>
      <c r="AF5631" s="182" t="n">
        <v>0</v>
      </c>
      <c r="AG5631" s="182" t="n">
        <v>0</v>
      </c>
      <c r="AH5631" s="182" t="n">
        <v>0</v>
      </c>
      <c r="AI5631" s="182" t="n">
        <v>0</v>
      </c>
      <c r="AJ5631" s="182" t="n">
        <v>0</v>
      </c>
      <c r="AK5631" s="182" t="n">
        <v>0</v>
      </c>
      <c r="AL5631" s="182" t="n">
        <v>0</v>
      </c>
      <c r="AM5631" s="182" t="n">
        <v>0</v>
      </c>
      <c r="AN5631" s="182" t="n">
        <v>0</v>
      </c>
    </row>
    <row r="5632">
      <c r="A5632" s="155" t="n">
        <v>46107</v>
      </c>
      <c r="B5632" s="156" t="inlineStr">
        <is>
          <t>NS</t>
        </is>
      </c>
      <c r="C5632" s="156" t="inlineStr">
        <is>
          <t>HT-419</t>
        </is>
      </c>
      <c r="D5632" s="156" t="inlineStr">
        <is>
          <t>SY430</t>
        </is>
      </c>
      <c r="E5632" s="156" t="inlineStr">
        <is>
          <t>DT Hauling</t>
        </is>
      </c>
      <c r="F5632" s="156" t="inlineStr"/>
      <c r="G5632" s="182" t="n">
        <v>0</v>
      </c>
      <c r="H5632" s="182" t="n">
        <v>0</v>
      </c>
      <c r="I5632" s="182" t="n">
        <v>12</v>
      </c>
      <c r="J5632" s="182" t="n">
        <v>12</v>
      </c>
      <c r="K5632" s="182" t="n">
        <v>0</v>
      </c>
      <c r="L5632" s="182" t="n">
        <v>12</v>
      </c>
      <c r="M5632" s="182" t="n">
        <v>0</v>
      </c>
      <c r="N5632" s="182" t="n">
        <v>0</v>
      </c>
      <c r="O5632" s="183" t="n">
        <v>0</v>
      </c>
      <c r="P5632" s="183" t="n">
        <v>0</v>
      </c>
      <c r="Q5632" s="184" t="n">
        <v>0</v>
      </c>
      <c r="R5632" s="184" t="n">
        <v>0</v>
      </c>
      <c r="S5632" s="183" t="n">
        <v>0</v>
      </c>
      <c r="T5632" s="183" t="n">
        <v>0</v>
      </c>
      <c r="U5632" s="182" t="n">
        <v>0</v>
      </c>
      <c r="V5632" s="182" t="n">
        <v>0</v>
      </c>
      <c r="W5632" s="182" t="n">
        <v>0</v>
      </c>
      <c r="X5632" s="182" t="n">
        <v>0</v>
      </c>
      <c r="Y5632" s="182" t="n">
        <v>0</v>
      </c>
      <c r="Z5632" s="182" t="n">
        <v>0</v>
      </c>
      <c r="AA5632" s="182" t="n">
        <v>0</v>
      </c>
      <c r="AB5632" s="182" t="n">
        <v>0</v>
      </c>
      <c r="AC5632" s="182" t="n">
        <v>0</v>
      </c>
      <c r="AD5632" s="182" t="n">
        <v>0</v>
      </c>
      <c r="AE5632" s="182" t="n">
        <v>0</v>
      </c>
      <c r="AF5632" s="182" t="n">
        <v>0</v>
      </c>
      <c r="AG5632" s="182" t="n">
        <v>0</v>
      </c>
      <c r="AH5632" s="182" t="n">
        <v>0</v>
      </c>
      <c r="AI5632" s="182" t="n">
        <v>0</v>
      </c>
      <c r="AJ5632" s="182" t="n">
        <v>0</v>
      </c>
      <c r="AK5632" s="182" t="n">
        <v>0</v>
      </c>
      <c r="AL5632" s="182" t="n">
        <v>0</v>
      </c>
      <c r="AM5632" s="182" t="n">
        <v>0</v>
      </c>
      <c r="AN5632" s="182" t="n">
        <v>0</v>
      </c>
    </row>
    <row r="5633">
      <c r="A5633" s="155" t="n">
        <v>46107</v>
      </c>
      <c r="B5633" s="156" t="inlineStr">
        <is>
          <t>NS</t>
        </is>
      </c>
      <c r="C5633" s="156" t="inlineStr">
        <is>
          <t>HT-416</t>
        </is>
      </c>
      <c r="D5633" s="156" t="inlineStr">
        <is>
          <t>SY430</t>
        </is>
      </c>
      <c r="E5633" s="156" t="inlineStr">
        <is>
          <t>DT Hauling</t>
        </is>
      </c>
      <c r="F5633" s="156" t="inlineStr"/>
      <c r="G5633" s="182" t="n">
        <v>0</v>
      </c>
      <c r="H5633" s="182" t="n">
        <v>0</v>
      </c>
      <c r="I5633" s="182" t="n">
        <v>0</v>
      </c>
      <c r="J5633" s="182" t="n">
        <v>0</v>
      </c>
      <c r="K5633" s="182" t="n">
        <v>12</v>
      </c>
      <c r="L5633" s="182" t="n">
        <v>12</v>
      </c>
      <c r="M5633" s="182" t="n">
        <v>0</v>
      </c>
      <c r="N5633" s="182" t="n">
        <v>0</v>
      </c>
      <c r="O5633" s="183" t="n">
        <v>0</v>
      </c>
      <c r="P5633" s="183" t="n">
        <v>0</v>
      </c>
      <c r="Q5633" s="184" t="n">
        <v>0</v>
      </c>
      <c r="R5633" s="184" t="n">
        <v>0</v>
      </c>
      <c r="S5633" s="183" t="n">
        <v>0</v>
      </c>
      <c r="T5633" s="183" t="n">
        <v>0</v>
      </c>
      <c r="U5633" s="182" t="n">
        <v>0</v>
      </c>
      <c r="V5633" s="182" t="n">
        <v>0</v>
      </c>
      <c r="W5633" s="182" t="n">
        <v>0</v>
      </c>
      <c r="X5633" s="182" t="n">
        <v>1</v>
      </c>
      <c r="Y5633" s="182" t="n">
        <v>0</v>
      </c>
      <c r="Z5633" s="182" t="n">
        <v>0</v>
      </c>
      <c r="AA5633" s="182" t="n">
        <v>0</v>
      </c>
      <c r="AB5633" s="182" t="n">
        <v>0</v>
      </c>
      <c r="AC5633" s="182" t="n">
        <v>0</v>
      </c>
      <c r="AD5633" s="182" t="n">
        <v>0</v>
      </c>
      <c r="AE5633" s="182" t="n">
        <v>0</v>
      </c>
      <c r="AF5633" s="182" t="n">
        <v>0</v>
      </c>
      <c r="AG5633" s="182" t="n">
        <v>0</v>
      </c>
      <c r="AH5633" s="182" t="n">
        <v>0</v>
      </c>
      <c r="AI5633" s="182" t="n">
        <v>0</v>
      </c>
      <c r="AJ5633" s="182" t="n">
        <v>0</v>
      </c>
      <c r="AK5633" s="182" t="n">
        <v>10.92</v>
      </c>
      <c r="AL5633" s="182" t="n">
        <v>0</v>
      </c>
      <c r="AM5633" s="182" t="n">
        <v>0.08</v>
      </c>
      <c r="AN5633" s="182" t="n">
        <v>0</v>
      </c>
    </row>
    <row r="5634">
      <c r="A5634" s="155" t="n">
        <v>46107</v>
      </c>
      <c r="B5634" s="156" t="inlineStr">
        <is>
          <t>NS</t>
        </is>
      </c>
      <c r="C5634" s="156" t="inlineStr">
        <is>
          <t>HT-420</t>
        </is>
      </c>
      <c r="D5634" s="156" t="inlineStr">
        <is>
          <t>SY430</t>
        </is>
      </c>
      <c r="E5634" s="156" t="inlineStr">
        <is>
          <t>DT Hauling</t>
        </is>
      </c>
      <c r="F5634" s="156" t="inlineStr"/>
      <c r="G5634" s="182" t="n">
        <v>0</v>
      </c>
      <c r="H5634" s="182" t="n">
        <v>0</v>
      </c>
      <c r="I5634" s="182" t="n">
        <v>0</v>
      </c>
      <c r="J5634" s="182" t="n">
        <v>0</v>
      </c>
      <c r="K5634" s="182" t="n">
        <v>12</v>
      </c>
      <c r="L5634" s="182" t="n">
        <v>12</v>
      </c>
      <c r="M5634" s="182" t="n">
        <v>0</v>
      </c>
      <c r="N5634" s="182" t="n">
        <v>0</v>
      </c>
      <c r="O5634" s="183" t="n">
        <v>0</v>
      </c>
      <c r="P5634" s="183" t="n">
        <v>0</v>
      </c>
      <c r="Q5634" s="184" t="n">
        <v>0</v>
      </c>
      <c r="R5634" s="184" t="n">
        <v>0</v>
      </c>
      <c r="S5634" s="183" t="n">
        <v>0</v>
      </c>
      <c r="T5634" s="183" t="n">
        <v>0</v>
      </c>
      <c r="U5634" s="182" t="n">
        <v>0</v>
      </c>
      <c r="V5634" s="182" t="n">
        <v>0</v>
      </c>
      <c r="W5634" s="182" t="n">
        <v>0</v>
      </c>
      <c r="X5634" s="182" t="n">
        <v>1</v>
      </c>
      <c r="Y5634" s="182" t="n">
        <v>0</v>
      </c>
      <c r="Z5634" s="182" t="n">
        <v>0</v>
      </c>
      <c r="AA5634" s="182" t="n">
        <v>0</v>
      </c>
      <c r="AB5634" s="182" t="n">
        <v>0</v>
      </c>
      <c r="AC5634" s="182" t="n">
        <v>0</v>
      </c>
      <c r="AD5634" s="182" t="n">
        <v>0</v>
      </c>
      <c r="AE5634" s="182" t="n">
        <v>0</v>
      </c>
      <c r="AF5634" s="182" t="n">
        <v>0</v>
      </c>
      <c r="AG5634" s="182" t="n">
        <v>0</v>
      </c>
      <c r="AH5634" s="182" t="n">
        <v>0</v>
      </c>
      <c r="AI5634" s="182" t="n">
        <v>0</v>
      </c>
      <c r="AJ5634" s="182" t="n">
        <v>0</v>
      </c>
      <c r="AK5634" s="182" t="n">
        <v>10.92</v>
      </c>
      <c r="AL5634" s="182" t="n">
        <v>0</v>
      </c>
      <c r="AM5634" s="182" t="n">
        <v>0.08</v>
      </c>
      <c r="AN5634" s="182" t="n">
        <v>0</v>
      </c>
    </row>
    <row r="5635">
      <c r="A5635" s="155" t="n">
        <v>46107</v>
      </c>
      <c r="B5635" s="156" t="inlineStr">
        <is>
          <t>NS</t>
        </is>
      </c>
      <c r="C5635" s="156" t="inlineStr">
        <is>
          <t>HT-403</t>
        </is>
      </c>
      <c r="D5635" s="156" t="inlineStr">
        <is>
          <t>SY430</t>
        </is>
      </c>
      <c r="E5635" s="156" t="inlineStr">
        <is>
          <t>DT Hauling</t>
        </is>
      </c>
      <c r="F5635" s="156" t="inlineStr"/>
      <c r="G5635" s="182" t="n">
        <v>0</v>
      </c>
      <c r="H5635" s="182" t="n">
        <v>0</v>
      </c>
      <c r="I5635" s="182" t="n">
        <v>0</v>
      </c>
      <c r="J5635" s="182" t="n">
        <v>0</v>
      </c>
      <c r="K5635" s="182" t="n">
        <v>12</v>
      </c>
      <c r="L5635" s="182" t="n">
        <v>12</v>
      </c>
      <c r="M5635" s="182" t="n">
        <v>0</v>
      </c>
      <c r="N5635" s="182" t="n">
        <v>0</v>
      </c>
      <c r="O5635" s="183" t="n">
        <v>0</v>
      </c>
      <c r="P5635" s="183" t="n">
        <v>0</v>
      </c>
      <c r="Q5635" s="184" t="n">
        <v>0</v>
      </c>
      <c r="R5635" s="184" t="n">
        <v>0</v>
      </c>
      <c r="S5635" s="183" t="n">
        <v>0</v>
      </c>
      <c r="T5635" s="183" t="n">
        <v>0</v>
      </c>
      <c r="U5635" s="182" t="n">
        <v>0</v>
      </c>
      <c r="V5635" s="182" t="n">
        <v>0</v>
      </c>
      <c r="W5635" s="182" t="n">
        <v>0</v>
      </c>
      <c r="X5635" s="182" t="n">
        <v>1</v>
      </c>
      <c r="Y5635" s="182" t="n">
        <v>0</v>
      </c>
      <c r="Z5635" s="182" t="n">
        <v>0</v>
      </c>
      <c r="AA5635" s="182" t="n">
        <v>0</v>
      </c>
      <c r="AB5635" s="182" t="n">
        <v>0</v>
      </c>
      <c r="AC5635" s="182" t="n">
        <v>0</v>
      </c>
      <c r="AD5635" s="182" t="n">
        <v>0</v>
      </c>
      <c r="AE5635" s="182" t="n">
        <v>0</v>
      </c>
      <c r="AF5635" s="182" t="n">
        <v>0</v>
      </c>
      <c r="AG5635" s="182" t="n">
        <v>0</v>
      </c>
      <c r="AH5635" s="182" t="n">
        <v>0</v>
      </c>
      <c r="AI5635" s="182" t="n">
        <v>0</v>
      </c>
      <c r="AJ5635" s="182" t="n">
        <v>0</v>
      </c>
      <c r="AK5635" s="182" t="n">
        <v>10.92</v>
      </c>
      <c r="AL5635" s="182" t="n">
        <v>0</v>
      </c>
      <c r="AM5635" s="182" t="n">
        <v>0.08</v>
      </c>
      <c r="AN5635" s="182" t="n">
        <v>0</v>
      </c>
    </row>
    <row r="5636">
      <c r="A5636" s="155" t="n">
        <v>46107</v>
      </c>
      <c r="B5636" s="156" t="inlineStr">
        <is>
          <t>NS</t>
        </is>
      </c>
      <c r="C5636" s="156" t="inlineStr">
        <is>
          <t>HT-408</t>
        </is>
      </c>
      <c r="D5636" s="156" t="inlineStr">
        <is>
          <t>SY430</t>
        </is>
      </c>
      <c r="E5636" s="156" t="inlineStr">
        <is>
          <t>DT Hauling</t>
        </is>
      </c>
      <c r="F5636" s="156" t="inlineStr"/>
      <c r="G5636" s="182" t="n">
        <v>0</v>
      </c>
      <c r="H5636" s="182" t="n">
        <v>0</v>
      </c>
      <c r="I5636" s="182" t="n">
        <v>0</v>
      </c>
      <c r="J5636" s="182" t="n">
        <v>0</v>
      </c>
      <c r="K5636" s="182" t="n">
        <v>12</v>
      </c>
      <c r="L5636" s="182" t="n">
        <v>12</v>
      </c>
      <c r="M5636" s="182" t="n">
        <v>0</v>
      </c>
      <c r="N5636" s="182" t="n">
        <v>0</v>
      </c>
      <c r="O5636" s="183" t="n">
        <v>0</v>
      </c>
      <c r="P5636" s="183" t="n">
        <v>0</v>
      </c>
      <c r="Q5636" s="184" t="n">
        <v>0</v>
      </c>
      <c r="R5636" s="184" t="n">
        <v>0</v>
      </c>
      <c r="S5636" s="183" t="n">
        <v>0</v>
      </c>
      <c r="T5636" s="183" t="n">
        <v>0</v>
      </c>
      <c r="U5636" s="182" t="n">
        <v>0</v>
      </c>
      <c r="V5636" s="182" t="n">
        <v>0</v>
      </c>
      <c r="W5636" s="182" t="n">
        <v>0</v>
      </c>
      <c r="X5636" s="182" t="n">
        <v>1</v>
      </c>
      <c r="Y5636" s="182" t="n">
        <v>0</v>
      </c>
      <c r="Z5636" s="182" t="n">
        <v>0</v>
      </c>
      <c r="AA5636" s="182" t="n">
        <v>0</v>
      </c>
      <c r="AB5636" s="182" t="n">
        <v>0</v>
      </c>
      <c r="AC5636" s="182" t="n">
        <v>0</v>
      </c>
      <c r="AD5636" s="182" t="n">
        <v>0</v>
      </c>
      <c r="AE5636" s="182" t="n">
        <v>0</v>
      </c>
      <c r="AF5636" s="182" t="n">
        <v>0</v>
      </c>
      <c r="AG5636" s="182" t="n">
        <v>0</v>
      </c>
      <c r="AH5636" s="182" t="n">
        <v>0</v>
      </c>
      <c r="AI5636" s="182" t="n">
        <v>0</v>
      </c>
      <c r="AJ5636" s="182" t="n">
        <v>0</v>
      </c>
      <c r="AK5636" s="182" t="n">
        <v>10.92</v>
      </c>
      <c r="AL5636" s="182" t="n">
        <v>0</v>
      </c>
      <c r="AM5636" s="182" t="n">
        <v>0.08</v>
      </c>
      <c r="AN5636" s="182" t="n">
        <v>0</v>
      </c>
    </row>
    <row r="5637">
      <c r="A5637" s="155" t="n">
        <v>46107</v>
      </c>
      <c r="B5637" s="156" t="inlineStr">
        <is>
          <t>NS</t>
        </is>
      </c>
      <c r="C5637" s="156" t="inlineStr">
        <is>
          <t>HT-412</t>
        </is>
      </c>
      <c r="D5637" s="156" t="inlineStr">
        <is>
          <t>SY430</t>
        </is>
      </c>
      <c r="E5637" s="156" t="inlineStr">
        <is>
          <t>DT Hauling</t>
        </is>
      </c>
      <c r="F5637" s="156" t="inlineStr"/>
      <c r="G5637" s="182" t="n">
        <v>0</v>
      </c>
      <c r="H5637" s="182" t="n">
        <v>0</v>
      </c>
      <c r="I5637" s="182" t="n">
        <v>0</v>
      </c>
      <c r="J5637" s="182" t="n">
        <v>0</v>
      </c>
      <c r="K5637" s="182" t="n">
        <v>12</v>
      </c>
      <c r="L5637" s="182" t="n">
        <v>12</v>
      </c>
      <c r="M5637" s="182" t="n">
        <v>0</v>
      </c>
      <c r="N5637" s="182" t="n">
        <v>0</v>
      </c>
      <c r="O5637" s="183" t="n">
        <v>0</v>
      </c>
      <c r="P5637" s="183" t="n">
        <v>0</v>
      </c>
      <c r="Q5637" s="184" t="n">
        <v>0</v>
      </c>
      <c r="R5637" s="184" t="n">
        <v>0</v>
      </c>
      <c r="S5637" s="183" t="n">
        <v>0</v>
      </c>
      <c r="T5637" s="183" t="n">
        <v>0</v>
      </c>
      <c r="U5637" s="182" t="n">
        <v>0</v>
      </c>
      <c r="V5637" s="182" t="n">
        <v>0</v>
      </c>
      <c r="W5637" s="182" t="n">
        <v>0</v>
      </c>
      <c r="X5637" s="182" t="n">
        <v>1</v>
      </c>
      <c r="Y5637" s="182" t="n">
        <v>0</v>
      </c>
      <c r="Z5637" s="182" t="n">
        <v>0</v>
      </c>
      <c r="AA5637" s="182" t="n">
        <v>0</v>
      </c>
      <c r="AB5637" s="182" t="n">
        <v>0</v>
      </c>
      <c r="AC5637" s="182" t="n">
        <v>0</v>
      </c>
      <c r="AD5637" s="182" t="n">
        <v>0</v>
      </c>
      <c r="AE5637" s="182" t="n">
        <v>0</v>
      </c>
      <c r="AF5637" s="182" t="n">
        <v>0</v>
      </c>
      <c r="AG5637" s="182" t="n">
        <v>0</v>
      </c>
      <c r="AH5637" s="182" t="n">
        <v>0</v>
      </c>
      <c r="AI5637" s="182" t="n">
        <v>0</v>
      </c>
      <c r="AJ5637" s="182" t="n">
        <v>0</v>
      </c>
      <c r="AK5637" s="182" t="n">
        <v>10.92</v>
      </c>
      <c r="AL5637" s="182" t="n">
        <v>0</v>
      </c>
      <c r="AM5637" s="182" t="n">
        <v>0.08</v>
      </c>
      <c r="AN5637" s="182" t="n">
        <v>0</v>
      </c>
    </row>
    <row r="5638">
      <c r="A5638" s="155" t="n">
        <v>46107</v>
      </c>
      <c r="B5638" s="156" t="inlineStr">
        <is>
          <t>NS</t>
        </is>
      </c>
      <c r="C5638" s="156" t="inlineStr">
        <is>
          <t>HT-413</t>
        </is>
      </c>
      <c r="D5638" s="156" t="inlineStr">
        <is>
          <t>SY430</t>
        </is>
      </c>
      <c r="E5638" s="156" t="inlineStr">
        <is>
          <t>DT Hauling</t>
        </is>
      </c>
      <c r="F5638" s="156" t="inlineStr"/>
      <c r="G5638" s="182" t="n">
        <v>0</v>
      </c>
      <c r="H5638" s="182" t="n">
        <v>0</v>
      </c>
      <c r="I5638" s="182" t="n">
        <v>12</v>
      </c>
      <c r="J5638" s="182" t="n">
        <v>12</v>
      </c>
      <c r="K5638" s="182" t="n">
        <v>0</v>
      </c>
      <c r="L5638" s="182" t="n">
        <v>12</v>
      </c>
      <c r="M5638" s="182" t="n">
        <v>0</v>
      </c>
      <c r="N5638" s="182" t="n">
        <v>0</v>
      </c>
      <c r="O5638" s="183" t="n">
        <v>0</v>
      </c>
      <c r="P5638" s="183" t="n">
        <v>0</v>
      </c>
      <c r="Q5638" s="184" t="n">
        <v>0</v>
      </c>
      <c r="R5638" s="184" t="n">
        <v>0</v>
      </c>
      <c r="S5638" s="183" t="n">
        <v>0</v>
      </c>
      <c r="T5638" s="183" t="n">
        <v>0</v>
      </c>
      <c r="U5638" s="182" t="n">
        <v>0</v>
      </c>
      <c r="V5638" s="182" t="n">
        <v>0</v>
      </c>
      <c r="W5638" s="182" t="n">
        <v>0</v>
      </c>
      <c r="X5638" s="182" t="n">
        <v>0</v>
      </c>
      <c r="Y5638" s="182" t="n">
        <v>0</v>
      </c>
      <c r="Z5638" s="182" t="n">
        <v>0</v>
      </c>
      <c r="AA5638" s="182" t="n">
        <v>0</v>
      </c>
      <c r="AB5638" s="182" t="n">
        <v>0</v>
      </c>
      <c r="AC5638" s="182" t="n">
        <v>0</v>
      </c>
      <c r="AD5638" s="182" t="n">
        <v>0</v>
      </c>
      <c r="AE5638" s="182" t="n">
        <v>0</v>
      </c>
      <c r="AF5638" s="182" t="n">
        <v>0</v>
      </c>
      <c r="AG5638" s="182" t="n">
        <v>0</v>
      </c>
      <c r="AH5638" s="182" t="n">
        <v>0</v>
      </c>
      <c r="AI5638" s="182" t="n">
        <v>0</v>
      </c>
      <c r="AJ5638" s="182" t="n">
        <v>0</v>
      </c>
      <c r="AK5638" s="182" t="n">
        <v>0</v>
      </c>
      <c r="AL5638" s="182" t="n">
        <v>0</v>
      </c>
      <c r="AM5638" s="182" t="n">
        <v>0</v>
      </c>
      <c r="AN5638" s="182" t="n">
        <v>0</v>
      </c>
    </row>
    <row r="5639">
      <c r="A5639" s="155" t="n">
        <v>46107</v>
      </c>
      <c r="B5639" s="156" t="inlineStr">
        <is>
          <t>NS</t>
        </is>
      </c>
      <c r="C5639" s="156" t="inlineStr">
        <is>
          <t>HT-407</t>
        </is>
      </c>
      <c r="D5639" s="156" t="inlineStr">
        <is>
          <t>SY430</t>
        </is>
      </c>
      <c r="E5639" s="156" t="inlineStr">
        <is>
          <t>DT Hauling</t>
        </is>
      </c>
      <c r="F5639" s="156" t="inlineStr"/>
      <c r="G5639" s="182" t="n">
        <v>0</v>
      </c>
      <c r="H5639" s="182" t="n">
        <v>0</v>
      </c>
      <c r="I5639" s="182" t="n">
        <v>0</v>
      </c>
      <c r="J5639" s="182" t="n">
        <v>0</v>
      </c>
      <c r="K5639" s="182" t="n">
        <v>12</v>
      </c>
      <c r="L5639" s="182" t="n">
        <v>12</v>
      </c>
      <c r="M5639" s="182" t="n">
        <v>0</v>
      </c>
      <c r="N5639" s="182" t="n">
        <v>0</v>
      </c>
      <c r="O5639" s="183" t="n">
        <v>0</v>
      </c>
      <c r="P5639" s="183" t="n">
        <v>0</v>
      </c>
      <c r="Q5639" s="184" t="n">
        <v>0</v>
      </c>
      <c r="R5639" s="184" t="n">
        <v>0</v>
      </c>
      <c r="S5639" s="183" t="n">
        <v>0</v>
      </c>
      <c r="T5639" s="183" t="n">
        <v>0</v>
      </c>
      <c r="U5639" s="182" t="n">
        <v>0</v>
      </c>
      <c r="V5639" s="182" t="n">
        <v>0</v>
      </c>
      <c r="W5639" s="182" t="n">
        <v>0</v>
      </c>
      <c r="X5639" s="182" t="n">
        <v>1</v>
      </c>
      <c r="Y5639" s="182" t="n">
        <v>0</v>
      </c>
      <c r="Z5639" s="182" t="n">
        <v>0</v>
      </c>
      <c r="AA5639" s="182" t="n">
        <v>0</v>
      </c>
      <c r="AB5639" s="182" t="n">
        <v>0</v>
      </c>
      <c r="AC5639" s="182" t="n">
        <v>0</v>
      </c>
      <c r="AD5639" s="182" t="n">
        <v>0</v>
      </c>
      <c r="AE5639" s="182" t="n">
        <v>0</v>
      </c>
      <c r="AF5639" s="182" t="n">
        <v>0</v>
      </c>
      <c r="AG5639" s="182" t="n">
        <v>0</v>
      </c>
      <c r="AH5639" s="182" t="n">
        <v>0</v>
      </c>
      <c r="AI5639" s="182" t="n">
        <v>0</v>
      </c>
      <c r="AJ5639" s="182" t="n">
        <v>0</v>
      </c>
      <c r="AK5639" s="182" t="n">
        <v>10.92</v>
      </c>
      <c r="AL5639" s="182" t="n">
        <v>0</v>
      </c>
      <c r="AM5639" s="182" t="n">
        <v>0.08</v>
      </c>
      <c r="AN5639" s="182" t="n">
        <v>0</v>
      </c>
    </row>
    <row r="5640">
      <c r="A5640" s="155" t="n">
        <v>46107</v>
      </c>
      <c r="B5640" s="156" t="inlineStr">
        <is>
          <t>NS</t>
        </is>
      </c>
      <c r="C5640" s="156" t="inlineStr">
        <is>
          <t>HT-414</t>
        </is>
      </c>
      <c r="D5640" s="156" t="inlineStr">
        <is>
          <t>SY430</t>
        </is>
      </c>
      <c r="E5640" s="156" t="inlineStr">
        <is>
          <t>DT Hauling</t>
        </is>
      </c>
      <c r="F5640" s="156" t="inlineStr"/>
      <c r="G5640" s="182" t="n">
        <v>0</v>
      </c>
      <c r="H5640" s="182" t="n">
        <v>0</v>
      </c>
      <c r="I5640" s="182" t="n">
        <v>0</v>
      </c>
      <c r="J5640" s="182" t="n">
        <v>0</v>
      </c>
      <c r="K5640" s="182" t="n">
        <v>12</v>
      </c>
      <c r="L5640" s="182" t="n">
        <v>12</v>
      </c>
      <c r="M5640" s="182" t="n">
        <v>0</v>
      </c>
      <c r="N5640" s="182" t="n">
        <v>0</v>
      </c>
      <c r="O5640" s="183" t="n">
        <v>0</v>
      </c>
      <c r="P5640" s="183" t="n">
        <v>0</v>
      </c>
      <c r="Q5640" s="184" t="n">
        <v>0</v>
      </c>
      <c r="R5640" s="184" t="n">
        <v>0</v>
      </c>
      <c r="S5640" s="183" t="n">
        <v>0</v>
      </c>
      <c r="T5640" s="183" t="n">
        <v>0</v>
      </c>
      <c r="U5640" s="182" t="n">
        <v>0</v>
      </c>
      <c r="V5640" s="182" t="n">
        <v>0</v>
      </c>
      <c r="W5640" s="182" t="n">
        <v>0</v>
      </c>
      <c r="X5640" s="182" t="n">
        <v>1</v>
      </c>
      <c r="Y5640" s="182" t="n">
        <v>0</v>
      </c>
      <c r="Z5640" s="182" t="n">
        <v>0</v>
      </c>
      <c r="AA5640" s="182" t="n">
        <v>0</v>
      </c>
      <c r="AB5640" s="182" t="n">
        <v>0</v>
      </c>
      <c r="AC5640" s="182" t="n">
        <v>0</v>
      </c>
      <c r="AD5640" s="182" t="n">
        <v>0</v>
      </c>
      <c r="AE5640" s="182" t="n">
        <v>0</v>
      </c>
      <c r="AF5640" s="182" t="n">
        <v>0</v>
      </c>
      <c r="AG5640" s="182" t="n">
        <v>0</v>
      </c>
      <c r="AH5640" s="182" t="n">
        <v>0</v>
      </c>
      <c r="AI5640" s="182" t="n">
        <v>0</v>
      </c>
      <c r="AJ5640" s="182" t="n">
        <v>0</v>
      </c>
      <c r="AK5640" s="182" t="n">
        <v>10.92</v>
      </c>
      <c r="AL5640" s="182" t="n">
        <v>0</v>
      </c>
      <c r="AM5640" s="182" t="n">
        <v>0.08</v>
      </c>
      <c r="AN5640" s="182" t="n">
        <v>0</v>
      </c>
    </row>
    <row r="5641">
      <c r="A5641" s="155" t="n">
        <v>46107</v>
      </c>
      <c r="B5641" s="156" t="inlineStr">
        <is>
          <t>NS</t>
        </is>
      </c>
      <c r="C5641" s="156" t="inlineStr">
        <is>
          <t>HT-411</t>
        </is>
      </c>
      <c r="D5641" s="156" t="inlineStr">
        <is>
          <t>SY430</t>
        </is>
      </c>
      <c r="E5641" s="156" t="inlineStr">
        <is>
          <t>DT Hauling</t>
        </is>
      </c>
      <c r="F5641" s="156" t="inlineStr"/>
      <c r="G5641" s="182" t="n">
        <v>0</v>
      </c>
      <c r="H5641" s="182" t="n">
        <v>0</v>
      </c>
      <c r="I5641" s="182" t="n">
        <v>0</v>
      </c>
      <c r="J5641" s="182" t="n">
        <v>0</v>
      </c>
      <c r="K5641" s="182" t="n">
        <v>12</v>
      </c>
      <c r="L5641" s="182" t="n">
        <v>12</v>
      </c>
      <c r="M5641" s="182" t="n">
        <v>0</v>
      </c>
      <c r="N5641" s="182" t="n">
        <v>0</v>
      </c>
      <c r="O5641" s="183" t="n">
        <v>0</v>
      </c>
      <c r="P5641" s="183" t="n">
        <v>0</v>
      </c>
      <c r="Q5641" s="184" t="n">
        <v>0</v>
      </c>
      <c r="R5641" s="184" t="n">
        <v>0</v>
      </c>
      <c r="S5641" s="183" t="n">
        <v>0</v>
      </c>
      <c r="T5641" s="183" t="n">
        <v>0</v>
      </c>
      <c r="U5641" s="182" t="n">
        <v>0</v>
      </c>
      <c r="V5641" s="182" t="n">
        <v>0</v>
      </c>
      <c r="W5641" s="182" t="n">
        <v>0</v>
      </c>
      <c r="X5641" s="182" t="n">
        <v>1</v>
      </c>
      <c r="Y5641" s="182" t="n">
        <v>0</v>
      </c>
      <c r="Z5641" s="182" t="n">
        <v>0</v>
      </c>
      <c r="AA5641" s="182" t="n">
        <v>0</v>
      </c>
      <c r="AB5641" s="182" t="n">
        <v>0</v>
      </c>
      <c r="AC5641" s="182" t="n">
        <v>0</v>
      </c>
      <c r="AD5641" s="182" t="n">
        <v>0</v>
      </c>
      <c r="AE5641" s="182" t="n">
        <v>0</v>
      </c>
      <c r="AF5641" s="182" t="n">
        <v>0</v>
      </c>
      <c r="AG5641" s="182" t="n">
        <v>0</v>
      </c>
      <c r="AH5641" s="182" t="n">
        <v>0</v>
      </c>
      <c r="AI5641" s="182" t="n">
        <v>0</v>
      </c>
      <c r="AJ5641" s="182" t="n">
        <v>0</v>
      </c>
      <c r="AK5641" s="182" t="n">
        <v>10.92</v>
      </c>
      <c r="AL5641" s="182" t="n">
        <v>0</v>
      </c>
      <c r="AM5641" s="182" t="n">
        <v>0.08</v>
      </c>
      <c r="AN5641" s="182" t="n">
        <v>0</v>
      </c>
    </row>
    <row r="5642">
      <c r="A5642" s="155" t="n">
        <v>46107</v>
      </c>
      <c r="B5642" s="156" t="inlineStr">
        <is>
          <t>NS</t>
        </is>
      </c>
      <c r="C5642" s="156" t="inlineStr">
        <is>
          <t>HT-409</t>
        </is>
      </c>
      <c r="D5642" s="156" t="inlineStr">
        <is>
          <t>SY430</t>
        </is>
      </c>
      <c r="E5642" s="156" t="inlineStr">
        <is>
          <t>DT Hauling</t>
        </is>
      </c>
      <c r="F5642" s="156" t="inlineStr"/>
      <c r="G5642" s="182" t="n">
        <v>0</v>
      </c>
      <c r="H5642" s="182" t="n">
        <v>0</v>
      </c>
      <c r="I5642" s="182" t="n">
        <v>12</v>
      </c>
      <c r="J5642" s="182" t="n">
        <v>12</v>
      </c>
      <c r="K5642" s="182" t="n">
        <v>0</v>
      </c>
      <c r="L5642" s="182" t="n">
        <v>12</v>
      </c>
      <c r="M5642" s="182" t="n">
        <v>0</v>
      </c>
      <c r="N5642" s="182" t="n">
        <v>0</v>
      </c>
      <c r="O5642" s="183" t="n">
        <v>0</v>
      </c>
      <c r="P5642" s="183" t="n">
        <v>0</v>
      </c>
      <c r="Q5642" s="184" t="n">
        <v>0</v>
      </c>
      <c r="R5642" s="184" t="n">
        <v>0</v>
      </c>
      <c r="S5642" s="183" t="n">
        <v>0</v>
      </c>
      <c r="T5642" s="183" t="n">
        <v>0</v>
      </c>
      <c r="U5642" s="182" t="n">
        <v>0</v>
      </c>
      <c r="V5642" s="182" t="n">
        <v>0</v>
      </c>
      <c r="W5642" s="182" t="n">
        <v>0</v>
      </c>
      <c r="X5642" s="182" t="n">
        <v>0</v>
      </c>
      <c r="Y5642" s="182" t="n">
        <v>0</v>
      </c>
      <c r="Z5642" s="182" t="n">
        <v>0</v>
      </c>
      <c r="AA5642" s="182" t="n">
        <v>0</v>
      </c>
      <c r="AB5642" s="182" t="n">
        <v>0</v>
      </c>
      <c r="AC5642" s="182" t="n">
        <v>0</v>
      </c>
      <c r="AD5642" s="182" t="n">
        <v>0</v>
      </c>
      <c r="AE5642" s="182" t="n">
        <v>0</v>
      </c>
      <c r="AF5642" s="182" t="n">
        <v>0</v>
      </c>
      <c r="AG5642" s="182" t="n">
        <v>0</v>
      </c>
      <c r="AH5642" s="182" t="n">
        <v>0</v>
      </c>
      <c r="AI5642" s="182" t="n">
        <v>0</v>
      </c>
      <c r="AJ5642" s="182" t="n">
        <v>0</v>
      </c>
      <c r="AK5642" s="182" t="n">
        <v>0</v>
      </c>
      <c r="AL5642" s="182" t="n">
        <v>0</v>
      </c>
      <c r="AM5642" s="182" t="n">
        <v>0</v>
      </c>
      <c r="AN5642" s="182" t="n">
        <v>0</v>
      </c>
    </row>
    <row r="5643">
      <c r="A5643" s="155" t="n">
        <v>46107</v>
      </c>
      <c r="B5643" s="156" t="inlineStr">
        <is>
          <t>NS</t>
        </is>
      </c>
      <c r="C5643" s="156" t="inlineStr">
        <is>
          <t>DH-103</t>
        </is>
      </c>
      <c r="D5643" s="156" t="inlineStr">
        <is>
          <t>HINO FM260</t>
        </is>
      </c>
      <c r="E5643" s="156" t="inlineStr">
        <is>
          <t>DT Hino</t>
        </is>
      </c>
      <c r="F5643" s="156" t="inlineStr"/>
      <c r="G5643" s="182" t="n">
        <v>0</v>
      </c>
      <c r="H5643" s="182" t="n">
        <v>0</v>
      </c>
      <c r="I5643" s="182" t="n">
        <v>0</v>
      </c>
      <c r="J5643" s="182" t="n">
        <v>0</v>
      </c>
      <c r="K5643" s="182" t="n">
        <v>12</v>
      </c>
      <c r="L5643" s="182" t="n">
        <v>12</v>
      </c>
      <c r="M5643" s="182" t="n">
        <v>0</v>
      </c>
      <c r="N5643" s="182" t="n">
        <v>0</v>
      </c>
      <c r="O5643" s="183" t="n">
        <v>0</v>
      </c>
      <c r="P5643" s="183" t="n">
        <v>0</v>
      </c>
      <c r="Q5643" s="184" t="n">
        <v>0</v>
      </c>
      <c r="R5643" s="184" t="n">
        <v>0</v>
      </c>
      <c r="S5643" s="183" t="n">
        <v>0</v>
      </c>
      <c r="T5643" s="183" t="n">
        <v>0</v>
      </c>
      <c r="U5643" s="182" t="n">
        <v>0</v>
      </c>
      <c r="V5643" s="182" t="n">
        <v>0</v>
      </c>
      <c r="W5643" s="182" t="n">
        <v>0</v>
      </c>
      <c r="X5643" s="182" t="n">
        <v>1</v>
      </c>
      <c r="Y5643" s="182" t="n">
        <v>0</v>
      </c>
      <c r="Z5643" s="182" t="n">
        <v>0</v>
      </c>
      <c r="AA5643" s="182" t="n">
        <v>0</v>
      </c>
      <c r="AB5643" s="182" t="n">
        <v>0</v>
      </c>
      <c r="AC5643" s="182" t="n">
        <v>0</v>
      </c>
      <c r="AD5643" s="182" t="n">
        <v>0</v>
      </c>
      <c r="AE5643" s="182" t="n">
        <v>0</v>
      </c>
      <c r="AF5643" s="182" t="n">
        <v>0</v>
      </c>
      <c r="AG5643" s="182" t="n">
        <v>0</v>
      </c>
      <c r="AH5643" s="182" t="n">
        <v>0</v>
      </c>
      <c r="AI5643" s="182" t="n">
        <v>0</v>
      </c>
      <c r="AJ5643" s="182" t="n">
        <v>0</v>
      </c>
      <c r="AK5643" s="182" t="n">
        <v>10.92</v>
      </c>
      <c r="AL5643" s="182" t="n">
        <v>0</v>
      </c>
      <c r="AM5643" s="182" t="n">
        <v>0.08</v>
      </c>
      <c r="AN5643" s="182" t="n">
        <v>0</v>
      </c>
    </row>
    <row r="5644">
      <c r="A5644" s="155" t="n">
        <v>46107</v>
      </c>
      <c r="B5644" s="156" t="inlineStr">
        <is>
          <t>NS</t>
        </is>
      </c>
      <c r="C5644" s="156" t="inlineStr">
        <is>
          <t>DH-102</t>
        </is>
      </c>
      <c r="D5644" s="156" t="inlineStr">
        <is>
          <t>HINO FM260</t>
        </is>
      </c>
      <c r="E5644" s="156" t="inlineStr">
        <is>
          <t>DT Hino</t>
        </is>
      </c>
      <c r="F5644" s="156" t="inlineStr"/>
      <c r="G5644" s="182" t="n">
        <v>0</v>
      </c>
      <c r="H5644" s="182" t="n">
        <v>0</v>
      </c>
      <c r="I5644" s="182" t="n">
        <v>0</v>
      </c>
      <c r="J5644" s="182" t="n">
        <v>0</v>
      </c>
      <c r="K5644" s="182" t="n">
        <v>12</v>
      </c>
      <c r="L5644" s="182" t="n">
        <v>12</v>
      </c>
      <c r="M5644" s="182" t="n">
        <v>0</v>
      </c>
      <c r="N5644" s="182" t="n">
        <v>0</v>
      </c>
      <c r="O5644" s="183" t="n">
        <v>0</v>
      </c>
      <c r="P5644" s="183" t="n">
        <v>0</v>
      </c>
      <c r="Q5644" s="184" t="n">
        <v>0</v>
      </c>
      <c r="R5644" s="184" t="n">
        <v>0</v>
      </c>
      <c r="S5644" s="183" t="n">
        <v>0</v>
      </c>
      <c r="T5644" s="183" t="n">
        <v>0</v>
      </c>
      <c r="U5644" s="182" t="n">
        <v>0</v>
      </c>
      <c r="V5644" s="182" t="n">
        <v>0</v>
      </c>
      <c r="W5644" s="182" t="n">
        <v>0</v>
      </c>
      <c r="X5644" s="182" t="n">
        <v>1</v>
      </c>
      <c r="Y5644" s="182" t="n">
        <v>0</v>
      </c>
      <c r="Z5644" s="182" t="n">
        <v>0</v>
      </c>
      <c r="AA5644" s="182" t="n">
        <v>0</v>
      </c>
      <c r="AB5644" s="182" t="n">
        <v>0</v>
      </c>
      <c r="AC5644" s="182" t="n">
        <v>0</v>
      </c>
      <c r="AD5644" s="182" t="n">
        <v>0</v>
      </c>
      <c r="AE5644" s="182" t="n">
        <v>0</v>
      </c>
      <c r="AF5644" s="182" t="n">
        <v>0</v>
      </c>
      <c r="AG5644" s="182" t="n">
        <v>0</v>
      </c>
      <c r="AH5644" s="182" t="n">
        <v>0</v>
      </c>
      <c r="AI5644" s="182" t="n">
        <v>0</v>
      </c>
      <c r="AJ5644" s="182" t="n">
        <v>0</v>
      </c>
      <c r="AK5644" s="182" t="n">
        <v>10.92</v>
      </c>
      <c r="AL5644" s="182" t="n">
        <v>0</v>
      </c>
      <c r="AM5644" s="182" t="n">
        <v>0.08</v>
      </c>
      <c r="AN5644" s="182" t="n">
        <v>0</v>
      </c>
    </row>
    <row r="5645">
      <c r="A5645" s="155" t="n">
        <v>46107</v>
      </c>
      <c r="B5645" s="156" t="inlineStr">
        <is>
          <t>NS</t>
        </is>
      </c>
      <c r="C5645" s="156" t="inlineStr">
        <is>
          <t>DH-101</t>
        </is>
      </c>
      <c r="D5645" s="156" t="inlineStr">
        <is>
          <t>HINO FM260</t>
        </is>
      </c>
      <c r="E5645" s="156" t="inlineStr">
        <is>
          <t>DT Hino</t>
        </is>
      </c>
      <c r="F5645" s="156" t="inlineStr"/>
      <c r="G5645" s="182" t="n">
        <v>0</v>
      </c>
      <c r="H5645" s="182" t="n">
        <v>0</v>
      </c>
      <c r="I5645" s="182" t="n">
        <v>0</v>
      </c>
      <c r="J5645" s="182" t="n">
        <v>0</v>
      </c>
      <c r="K5645" s="182" t="n">
        <v>12</v>
      </c>
      <c r="L5645" s="182" t="n">
        <v>12</v>
      </c>
      <c r="M5645" s="182" t="n">
        <v>0</v>
      </c>
      <c r="N5645" s="182" t="n">
        <v>0</v>
      </c>
      <c r="O5645" s="183" t="n">
        <v>0</v>
      </c>
      <c r="P5645" s="183" t="n">
        <v>0</v>
      </c>
      <c r="Q5645" s="184" t="n">
        <v>0</v>
      </c>
      <c r="R5645" s="184" t="n">
        <v>0</v>
      </c>
      <c r="S5645" s="183" t="n">
        <v>0</v>
      </c>
      <c r="T5645" s="183" t="n">
        <v>0</v>
      </c>
      <c r="U5645" s="182" t="n">
        <v>0</v>
      </c>
      <c r="V5645" s="182" t="n">
        <v>0</v>
      </c>
      <c r="W5645" s="182" t="n">
        <v>0</v>
      </c>
      <c r="X5645" s="182" t="n">
        <v>1</v>
      </c>
      <c r="Y5645" s="182" t="n">
        <v>0</v>
      </c>
      <c r="Z5645" s="182" t="n">
        <v>0</v>
      </c>
      <c r="AA5645" s="182" t="n">
        <v>0</v>
      </c>
      <c r="AB5645" s="182" t="n">
        <v>0</v>
      </c>
      <c r="AC5645" s="182" t="n">
        <v>0</v>
      </c>
      <c r="AD5645" s="182" t="n">
        <v>0</v>
      </c>
      <c r="AE5645" s="182" t="n">
        <v>0</v>
      </c>
      <c r="AF5645" s="182" t="n">
        <v>0</v>
      </c>
      <c r="AG5645" s="182" t="n">
        <v>0</v>
      </c>
      <c r="AH5645" s="182" t="n">
        <v>0</v>
      </c>
      <c r="AI5645" s="182" t="n">
        <v>0</v>
      </c>
      <c r="AJ5645" s="182" t="n">
        <v>0</v>
      </c>
      <c r="AK5645" s="182" t="n">
        <v>10.92</v>
      </c>
      <c r="AL5645" s="182" t="n">
        <v>0</v>
      </c>
      <c r="AM5645" s="182" t="n">
        <v>0.08</v>
      </c>
      <c r="AN5645" s="182" t="n">
        <v>0</v>
      </c>
    </row>
    <row r="5646">
      <c r="A5646" s="155" t="n">
        <v>46107</v>
      </c>
      <c r="B5646" s="156" t="inlineStr">
        <is>
          <t>NS</t>
        </is>
      </c>
      <c r="C5646" s="156" t="inlineStr">
        <is>
          <t>EX-1251</t>
        </is>
      </c>
      <c r="D5646" s="156" t="inlineStr">
        <is>
          <t>SY1250</t>
        </is>
      </c>
      <c r="E5646" s="156" t="inlineStr">
        <is>
          <t>Excavator</t>
        </is>
      </c>
      <c r="F5646" s="156" t="inlineStr">
        <is>
          <t>Loading OB</t>
        </is>
      </c>
      <c r="G5646" s="182" t="n">
        <v>6.19</v>
      </c>
      <c r="H5646" s="182" t="n">
        <v>0</v>
      </c>
      <c r="I5646" s="182" t="n">
        <v>0</v>
      </c>
      <c r="J5646" s="182" t="n">
        <v>0</v>
      </c>
      <c r="K5646" s="182" t="n">
        <v>5.81</v>
      </c>
      <c r="L5646" s="182" t="n">
        <v>12</v>
      </c>
      <c r="M5646" s="182" t="n">
        <v>6.19</v>
      </c>
      <c r="N5646" s="182" t="n">
        <v>0</v>
      </c>
      <c r="O5646" s="185">
        <f>SUMIFS(INPUT_RITASE!$F$5:$F$20000,INPUT_RITASE!$A$5:$A$20000,$A5646,INPUT_RITASE!$H$5:$H$20000,$B5646,INPUT_RITASE!$C$5:$C$20000,$C5646,INPUT_RITASE!$N$5:$N$20000,"OB")</f>
        <v/>
      </c>
      <c r="P5646" s="185">
        <f>SUMIFS(INPUT_RITASE!$F$5:$F$20000,INPUT_RITASE!$A$5:$A$20000,$A5646,INPUT_RITASE!$H$5:$H$20000,$B5646,INPUT_RITASE!$C$5:$C$20000,$C5646,INPUT_RITASE!$N$5:$N$20000,"Coal")</f>
        <v/>
      </c>
      <c r="Q5646" s="186">
        <f>SUMIFS(INPUT_RITASE!$L$5:$L$20000,INPUT_RITASE!$A$5:$A$20000,$A5646,INPUT_RITASE!$H$5:$H$20000,$B5646,INPUT_RITASE!$C$5:$C$20000,$C5646,INPUT_RITASE!$N$5:$N$20000,"OB")</f>
        <v/>
      </c>
      <c r="R5646" s="186">
        <f>SUMIFS(INPUT_RITASE!$L$5:$L$20000,INPUT_RITASE!$A$5:$A$20000,$A5646,INPUT_RITASE!$H$5:$H$20000,$B5646,INPUT_RITASE!$C$5:$C$20000,$C5646,INPUT_RITASE!$N$5:$N$20000,"Coal")</f>
        <v/>
      </c>
      <c r="S5646" s="183" t="n">
        <v>0</v>
      </c>
      <c r="T5646" s="183" t="n">
        <v>0</v>
      </c>
      <c r="U5646" s="182" t="n">
        <v>4.11</v>
      </c>
      <c r="V5646" s="182" t="n">
        <v>0.61</v>
      </c>
      <c r="W5646" s="182" t="n">
        <v>0</v>
      </c>
      <c r="X5646" s="182" t="n">
        <v>1.01</v>
      </c>
      <c r="Y5646" s="182" t="n">
        <v>0</v>
      </c>
      <c r="Z5646" s="182" t="n">
        <v>0</v>
      </c>
      <c r="AA5646" s="182" t="n">
        <v>0</v>
      </c>
      <c r="AB5646" s="182" t="n">
        <v>0</v>
      </c>
      <c r="AC5646" s="182" t="n">
        <v>0</v>
      </c>
      <c r="AD5646" s="182" t="n">
        <v>0</v>
      </c>
      <c r="AE5646" s="182" t="n">
        <v>0</v>
      </c>
      <c r="AF5646" s="182" t="n">
        <v>0</v>
      </c>
      <c r="AG5646" s="182" t="n">
        <v>0</v>
      </c>
      <c r="AH5646" s="182" t="n">
        <v>0</v>
      </c>
      <c r="AI5646" s="182" t="n">
        <v>0</v>
      </c>
      <c r="AJ5646" s="182" t="n">
        <v>0</v>
      </c>
      <c r="AK5646" s="182" t="n">
        <v>0</v>
      </c>
      <c r="AL5646" s="182" t="n">
        <v>0</v>
      </c>
      <c r="AM5646" s="182" t="n">
        <v>0.08</v>
      </c>
      <c r="AN5646" s="182" t="n">
        <v>0</v>
      </c>
    </row>
    <row r="5647">
      <c r="A5647" s="155" t="n">
        <v>46107</v>
      </c>
      <c r="B5647" s="156" t="inlineStr">
        <is>
          <t>NS</t>
        </is>
      </c>
      <c r="C5647" s="156" t="inlineStr">
        <is>
          <t>EX-1252</t>
        </is>
      </c>
      <c r="D5647" s="156" t="inlineStr">
        <is>
          <t>SY1250</t>
        </is>
      </c>
      <c r="E5647" s="156" t="inlineStr">
        <is>
          <t>Excavator</t>
        </is>
      </c>
      <c r="F5647" s="156" t="inlineStr"/>
      <c r="G5647" s="182" t="n">
        <v>0</v>
      </c>
      <c r="H5647" s="182" t="n">
        <v>0</v>
      </c>
      <c r="I5647" s="182" t="n">
        <v>12</v>
      </c>
      <c r="J5647" s="182" t="n">
        <v>12</v>
      </c>
      <c r="K5647" s="182" t="n">
        <v>0</v>
      </c>
      <c r="L5647" s="182" t="n">
        <v>12</v>
      </c>
      <c r="M5647" s="182" t="n">
        <v>0</v>
      </c>
      <c r="N5647" s="182" t="n">
        <v>0</v>
      </c>
      <c r="O5647" s="185">
        <f>SUMIFS(INPUT_RITASE!$F$5:$F$20000,INPUT_RITASE!$A$5:$A$20000,$A5647,INPUT_RITASE!$H$5:$H$20000,$B5647,INPUT_RITASE!$C$5:$C$20000,$C5647,INPUT_RITASE!$N$5:$N$20000,"OB")</f>
        <v/>
      </c>
      <c r="P5647" s="185">
        <f>SUMIFS(INPUT_RITASE!$F$5:$F$20000,INPUT_RITASE!$A$5:$A$20000,$A5647,INPUT_RITASE!$H$5:$H$20000,$B5647,INPUT_RITASE!$C$5:$C$20000,$C5647,INPUT_RITASE!$N$5:$N$20000,"Coal")</f>
        <v/>
      </c>
      <c r="Q5647" s="186">
        <f>SUMIFS(INPUT_RITASE!$L$5:$L$20000,INPUT_RITASE!$A$5:$A$20000,$A5647,INPUT_RITASE!$H$5:$H$20000,$B5647,INPUT_RITASE!$C$5:$C$20000,$C5647,INPUT_RITASE!$N$5:$N$20000,"OB")</f>
        <v/>
      </c>
      <c r="R5647" s="186">
        <f>SUMIFS(INPUT_RITASE!$L$5:$L$20000,INPUT_RITASE!$A$5:$A$20000,$A5647,INPUT_RITASE!$H$5:$H$20000,$B5647,INPUT_RITASE!$C$5:$C$20000,$C5647,INPUT_RITASE!$N$5:$N$20000,"Coal")</f>
        <v/>
      </c>
      <c r="S5647" s="183" t="n">
        <v>0</v>
      </c>
      <c r="T5647" s="183" t="n">
        <v>0</v>
      </c>
      <c r="U5647" s="182" t="n">
        <v>0</v>
      </c>
      <c r="V5647" s="182" t="n">
        <v>0</v>
      </c>
      <c r="W5647" s="182" t="n">
        <v>0</v>
      </c>
      <c r="X5647" s="182" t="n">
        <v>0</v>
      </c>
      <c r="Y5647" s="182" t="n">
        <v>0</v>
      </c>
      <c r="Z5647" s="182" t="n">
        <v>0</v>
      </c>
      <c r="AA5647" s="182" t="n">
        <v>0</v>
      </c>
      <c r="AB5647" s="182" t="n">
        <v>0</v>
      </c>
      <c r="AC5647" s="182" t="n">
        <v>0</v>
      </c>
      <c r="AD5647" s="182" t="n">
        <v>0</v>
      </c>
      <c r="AE5647" s="182" t="n">
        <v>0</v>
      </c>
      <c r="AF5647" s="182" t="n">
        <v>0</v>
      </c>
      <c r="AG5647" s="182" t="n">
        <v>0</v>
      </c>
      <c r="AH5647" s="182" t="n">
        <v>0</v>
      </c>
      <c r="AI5647" s="182" t="n">
        <v>0</v>
      </c>
      <c r="AJ5647" s="182" t="n">
        <v>0</v>
      </c>
      <c r="AK5647" s="182" t="n">
        <v>0</v>
      </c>
      <c r="AL5647" s="182" t="n">
        <v>0</v>
      </c>
      <c r="AM5647" s="182" t="n">
        <v>0</v>
      </c>
      <c r="AN5647" s="182" t="n">
        <v>0</v>
      </c>
    </row>
    <row r="5648">
      <c r="A5648" s="155" t="n">
        <v>46107</v>
      </c>
      <c r="B5648" s="156" t="inlineStr">
        <is>
          <t>NS</t>
        </is>
      </c>
      <c r="C5648" s="156" t="inlineStr">
        <is>
          <t>EX-2101</t>
        </is>
      </c>
      <c r="D5648" s="156" t="inlineStr">
        <is>
          <t>SY2000</t>
        </is>
      </c>
      <c r="E5648" s="156" t="inlineStr">
        <is>
          <t>Excavator</t>
        </is>
      </c>
      <c r="F5648" s="156" t="inlineStr">
        <is>
          <t>Loading OB</t>
        </is>
      </c>
      <c r="G5648" s="182" t="n">
        <v>6.04</v>
      </c>
      <c r="H5648" s="182" t="n">
        <v>0</v>
      </c>
      <c r="I5648" s="182" t="n">
        <v>0</v>
      </c>
      <c r="J5648" s="182" t="n">
        <v>0</v>
      </c>
      <c r="K5648" s="182" t="n">
        <v>5.96</v>
      </c>
      <c r="L5648" s="182" t="n">
        <v>12</v>
      </c>
      <c r="M5648" s="182" t="n">
        <v>6.04</v>
      </c>
      <c r="N5648" s="182" t="n">
        <v>0</v>
      </c>
      <c r="O5648" s="185">
        <f>SUMIFS(INPUT_RITASE!$F$5:$F$20000,INPUT_RITASE!$A$5:$A$20000,$A5648,INPUT_RITASE!$H$5:$H$20000,$B5648,INPUT_RITASE!$C$5:$C$20000,$C5648,INPUT_RITASE!$N$5:$N$20000,"OB")</f>
        <v/>
      </c>
      <c r="P5648" s="185">
        <f>SUMIFS(INPUT_RITASE!$F$5:$F$20000,INPUT_RITASE!$A$5:$A$20000,$A5648,INPUT_RITASE!$H$5:$H$20000,$B5648,INPUT_RITASE!$C$5:$C$20000,$C5648,INPUT_RITASE!$N$5:$N$20000,"Coal")</f>
        <v/>
      </c>
      <c r="Q5648" s="186">
        <f>SUMIFS(INPUT_RITASE!$L$5:$L$20000,INPUT_RITASE!$A$5:$A$20000,$A5648,INPUT_RITASE!$H$5:$H$20000,$B5648,INPUT_RITASE!$C$5:$C$20000,$C5648,INPUT_RITASE!$N$5:$N$20000,"OB")</f>
        <v/>
      </c>
      <c r="R5648" s="186">
        <f>SUMIFS(INPUT_RITASE!$L$5:$L$20000,INPUT_RITASE!$A$5:$A$20000,$A5648,INPUT_RITASE!$H$5:$H$20000,$B5648,INPUT_RITASE!$C$5:$C$20000,$C5648,INPUT_RITASE!$N$5:$N$20000,"Coal")</f>
        <v/>
      </c>
      <c r="S5648" s="183" t="n">
        <v>0</v>
      </c>
      <c r="T5648" s="183" t="n">
        <v>0</v>
      </c>
      <c r="U5648" s="182" t="n">
        <v>3.99</v>
      </c>
      <c r="V5648" s="182" t="n">
        <v>0.92</v>
      </c>
      <c r="W5648" s="182" t="n">
        <v>0</v>
      </c>
      <c r="X5648" s="182" t="n">
        <v>0.98</v>
      </c>
      <c r="Y5648" s="182" t="n">
        <v>0</v>
      </c>
      <c r="Z5648" s="182" t="n">
        <v>0</v>
      </c>
      <c r="AA5648" s="182" t="n">
        <v>0</v>
      </c>
      <c r="AB5648" s="182" t="n">
        <v>0</v>
      </c>
      <c r="AC5648" s="182" t="n">
        <v>0</v>
      </c>
      <c r="AD5648" s="182" t="n">
        <v>0</v>
      </c>
      <c r="AE5648" s="182" t="n">
        <v>0</v>
      </c>
      <c r="AF5648" s="182" t="n">
        <v>0</v>
      </c>
      <c r="AG5648" s="182" t="n">
        <v>0</v>
      </c>
      <c r="AH5648" s="182" t="n">
        <v>0</v>
      </c>
      <c r="AI5648" s="182" t="n">
        <v>0</v>
      </c>
      <c r="AJ5648" s="182" t="n">
        <v>0</v>
      </c>
      <c r="AK5648" s="182" t="n">
        <v>0</v>
      </c>
      <c r="AL5648" s="182" t="n">
        <v>0</v>
      </c>
      <c r="AM5648" s="182" t="n">
        <v>0.08</v>
      </c>
      <c r="AN5648" s="182" t="n">
        <v>0</v>
      </c>
    </row>
    <row r="5649">
      <c r="A5649" s="155" t="n">
        <v>46107</v>
      </c>
      <c r="B5649" s="156" t="inlineStr">
        <is>
          <t>NS</t>
        </is>
      </c>
      <c r="C5649" s="156" t="inlineStr">
        <is>
          <t>EX-222</t>
        </is>
      </c>
      <c r="D5649" s="156" t="inlineStr">
        <is>
          <t>PC 200-8MI</t>
        </is>
      </c>
      <c r="E5649" s="156" t="inlineStr">
        <is>
          <t>Excavator</t>
        </is>
      </c>
      <c r="F5649" s="156" t="inlineStr">
        <is>
          <t>Support Washing Plant</t>
        </is>
      </c>
      <c r="G5649" s="182" t="n">
        <v>11.84</v>
      </c>
      <c r="H5649" s="182" t="n">
        <v>0</v>
      </c>
      <c r="I5649" s="182" t="n">
        <v>0</v>
      </c>
      <c r="J5649" s="182" t="n">
        <v>0</v>
      </c>
      <c r="K5649" s="182" t="n">
        <v>0.16</v>
      </c>
      <c r="L5649" s="182" t="n">
        <v>12</v>
      </c>
      <c r="M5649" s="182" t="n">
        <v>0</v>
      </c>
      <c r="N5649" s="182" t="n">
        <v>0</v>
      </c>
      <c r="O5649" s="185">
        <f>SUMIFS(INPUT_RITASE!$F$5:$F$20000,INPUT_RITASE!$A$5:$A$20000,$A5649,INPUT_RITASE!$H$5:$H$20000,$B5649,INPUT_RITASE!$C$5:$C$20000,$C5649,INPUT_RITASE!$N$5:$N$20000,"OB")</f>
        <v/>
      </c>
      <c r="P5649" s="185">
        <f>SUMIFS(INPUT_RITASE!$F$5:$F$20000,INPUT_RITASE!$A$5:$A$20000,$A5649,INPUT_RITASE!$H$5:$H$20000,$B5649,INPUT_RITASE!$C$5:$C$20000,$C5649,INPUT_RITASE!$N$5:$N$20000,"Coal")</f>
        <v/>
      </c>
      <c r="Q5649" s="186">
        <f>SUMIFS(INPUT_RITASE!$L$5:$L$20000,INPUT_RITASE!$A$5:$A$20000,$A5649,INPUT_RITASE!$H$5:$H$20000,$B5649,INPUT_RITASE!$C$5:$C$20000,$C5649,INPUT_RITASE!$N$5:$N$20000,"OB")</f>
        <v/>
      </c>
      <c r="R5649" s="186">
        <f>SUMIFS(INPUT_RITASE!$L$5:$L$20000,INPUT_RITASE!$A$5:$A$20000,$A5649,INPUT_RITASE!$H$5:$H$20000,$B5649,INPUT_RITASE!$C$5:$C$20000,$C5649,INPUT_RITASE!$N$5:$N$20000,"Coal")</f>
        <v/>
      </c>
      <c r="S5649" s="183" t="n">
        <v>0</v>
      </c>
      <c r="T5649" s="183" t="n">
        <v>0</v>
      </c>
      <c r="U5649" s="182" t="n">
        <v>0</v>
      </c>
      <c r="V5649" s="182" t="n">
        <v>0</v>
      </c>
      <c r="W5649" s="182" t="n">
        <v>0</v>
      </c>
      <c r="X5649" s="182" t="n">
        <v>0</v>
      </c>
      <c r="Y5649" s="182" t="n">
        <v>0</v>
      </c>
      <c r="Z5649" s="182" t="n">
        <v>0</v>
      </c>
      <c r="AA5649" s="182" t="n">
        <v>0</v>
      </c>
      <c r="AB5649" s="182" t="n">
        <v>0</v>
      </c>
      <c r="AC5649" s="182" t="n">
        <v>0</v>
      </c>
      <c r="AD5649" s="182" t="n">
        <v>0</v>
      </c>
      <c r="AE5649" s="182" t="n">
        <v>0</v>
      </c>
      <c r="AF5649" s="182" t="n">
        <v>0</v>
      </c>
      <c r="AG5649" s="182" t="n">
        <v>0</v>
      </c>
      <c r="AH5649" s="182" t="n">
        <v>0</v>
      </c>
      <c r="AI5649" s="182" t="n">
        <v>0</v>
      </c>
      <c r="AJ5649" s="182" t="n">
        <v>0</v>
      </c>
      <c r="AK5649" s="182" t="n">
        <v>0</v>
      </c>
      <c r="AL5649" s="182" t="n">
        <v>0</v>
      </c>
      <c r="AM5649" s="182" t="n">
        <v>0</v>
      </c>
      <c r="AN5649" s="182" t="n">
        <v>0</v>
      </c>
    </row>
    <row r="5650">
      <c r="A5650" s="155" t="n">
        <v>46107</v>
      </c>
      <c r="B5650" s="156" t="inlineStr">
        <is>
          <t>NS</t>
        </is>
      </c>
      <c r="C5650" s="156" t="inlineStr">
        <is>
          <t>EX-225</t>
        </is>
      </c>
      <c r="D5650" s="156" t="inlineStr">
        <is>
          <t>PC 200-8</t>
        </is>
      </c>
      <c r="E5650" s="156" t="inlineStr">
        <is>
          <t>Excavator</t>
        </is>
      </c>
      <c r="F5650" s="156" t="inlineStr"/>
      <c r="G5650" s="182" t="n">
        <v>0</v>
      </c>
      <c r="H5650" s="182" t="n">
        <v>0</v>
      </c>
      <c r="I5650" s="182" t="n">
        <v>12</v>
      </c>
      <c r="J5650" s="182" t="n">
        <v>12</v>
      </c>
      <c r="K5650" s="182" t="n">
        <v>0</v>
      </c>
      <c r="L5650" s="182" t="n">
        <v>12</v>
      </c>
      <c r="M5650" s="182" t="n">
        <v>0</v>
      </c>
      <c r="N5650" s="182" t="n">
        <v>0</v>
      </c>
      <c r="O5650" s="185">
        <f>SUMIFS(INPUT_RITASE!$F$5:$F$20000,INPUT_RITASE!$A$5:$A$20000,$A5650,INPUT_RITASE!$H$5:$H$20000,$B5650,INPUT_RITASE!$C$5:$C$20000,$C5650,INPUT_RITASE!$N$5:$N$20000,"OB")</f>
        <v/>
      </c>
      <c r="P5650" s="185">
        <f>SUMIFS(INPUT_RITASE!$F$5:$F$20000,INPUT_RITASE!$A$5:$A$20000,$A5650,INPUT_RITASE!$H$5:$H$20000,$B5650,INPUT_RITASE!$C$5:$C$20000,$C5650,INPUT_RITASE!$N$5:$N$20000,"Coal")</f>
        <v/>
      </c>
      <c r="Q5650" s="186">
        <f>SUMIFS(INPUT_RITASE!$L$5:$L$20000,INPUT_RITASE!$A$5:$A$20000,$A5650,INPUT_RITASE!$H$5:$H$20000,$B5650,INPUT_RITASE!$C$5:$C$20000,$C5650,INPUT_RITASE!$N$5:$N$20000,"OB")</f>
        <v/>
      </c>
      <c r="R5650" s="186">
        <f>SUMIFS(INPUT_RITASE!$L$5:$L$20000,INPUT_RITASE!$A$5:$A$20000,$A5650,INPUT_RITASE!$H$5:$H$20000,$B5650,INPUT_RITASE!$C$5:$C$20000,$C5650,INPUT_RITASE!$N$5:$N$20000,"Coal")</f>
        <v/>
      </c>
      <c r="S5650" s="183" t="n">
        <v>0</v>
      </c>
      <c r="T5650" s="183" t="n">
        <v>0</v>
      </c>
      <c r="U5650" s="182" t="n">
        <v>0</v>
      </c>
      <c r="V5650" s="182" t="n">
        <v>0</v>
      </c>
      <c r="W5650" s="182" t="n">
        <v>0</v>
      </c>
      <c r="X5650" s="182" t="n">
        <v>0</v>
      </c>
      <c r="Y5650" s="182" t="n">
        <v>0</v>
      </c>
      <c r="Z5650" s="182" t="n">
        <v>0</v>
      </c>
      <c r="AA5650" s="182" t="n">
        <v>0</v>
      </c>
      <c r="AB5650" s="182" t="n">
        <v>0</v>
      </c>
      <c r="AC5650" s="182" t="n">
        <v>0</v>
      </c>
      <c r="AD5650" s="182" t="n">
        <v>0</v>
      </c>
      <c r="AE5650" s="182" t="n">
        <v>0</v>
      </c>
      <c r="AF5650" s="182" t="n">
        <v>0</v>
      </c>
      <c r="AG5650" s="182" t="n">
        <v>0</v>
      </c>
      <c r="AH5650" s="182" t="n">
        <v>0</v>
      </c>
      <c r="AI5650" s="182" t="n">
        <v>0</v>
      </c>
      <c r="AJ5650" s="182" t="n">
        <v>0</v>
      </c>
      <c r="AK5650" s="182" t="n">
        <v>0</v>
      </c>
      <c r="AL5650" s="182" t="n">
        <v>0</v>
      </c>
      <c r="AM5650" s="182" t="n">
        <v>0</v>
      </c>
      <c r="AN5650" s="182" t="n">
        <v>0</v>
      </c>
    </row>
    <row r="5651">
      <c r="A5651" s="155" t="n">
        <v>46107</v>
      </c>
      <c r="B5651" s="156" t="inlineStr">
        <is>
          <t>NS</t>
        </is>
      </c>
      <c r="C5651" s="156" t="inlineStr">
        <is>
          <t>EX-223</t>
        </is>
      </c>
      <c r="D5651" s="156" t="inlineStr">
        <is>
          <t>PC 200-8MI</t>
        </is>
      </c>
      <c r="E5651" s="156" t="inlineStr">
        <is>
          <t>Excavator</t>
        </is>
      </c>
      <c r="F5651" s="156" t="inlineStr">
        <is>
          <t>Support Washing Plant</t>
        </is>
      </c>
      <c r="G5651" s="182" t="n">
        <v>10.92</v>
      </c>
      <c r="H5651" s="182" t="n">
        <v>0</v>
      </c>
      <c r="I5651" s="182" t="n">
        <v>0</v>
      </c>
      <c r="J5651" s="182" t="n">
        <v>0</v>
      </c>
      <c r="K5651" s="182" t="n">
        <v>1.08</v>
      </c>
      <c r="L5651" s="182" t="n">
        <v>12</v>
      </c>
      <c r="M5651" s="182" t="n">
        <v>0</v>
      </c>
      <c r="N5651" s="182" t="n">
        <v>0</v>
      </c>
      <c r="O5651" s="185">
        <f>SUMIFS(INPUT_RITASE!$F$5:$F$20000,INPUT_RITASE!$A$5:$A$20000,$A5651,INPUT_RITASE!$H$5:$H$20000,$B5651,INPUT_RITASE!$C$5:$C$20000,$C5651,INPUT_RITASE!$N$5:$N$20000,"OB")</f>
        <v/>
      </c>
      <c r="P5651" s="185">
        <f>SUMIFS(INPUT_RITASE!$F$5:$F$20000,INPUT_RITASE!$A$5:$A$20000,$A5651,INPUT_RITASE!$H$5:$H$20000,$B5651,INPUT_RITASE!$C$5:$C$20000,$C5651,INPUT_RITASE!$N$5:$N$20000,"Coal")</f>
        <v/>
      </c>
      <c r="Q5651" s="186">
        <f>SUMIFS(INPUT_RITASE!$L$5:$L$20000,INPUT_RITASE!$A$5:$A$20000,$A5651,INPUT_RITASE!$H$5:$H$20000,$B5651,INPUT_RITASE!$C$5:$C$20000,$C5651,INPUT_RITASE!$N$5:$N$20000,"OB")</f>
        <v/>
      </c>
      <c r="R5651" s="186">
        <f>SUMIFS(INPUT_RITASE!$L$5:$L$20000,INPUT_RITASE!$A$5:$A$20000,$A5651,INPUT_RITASE!$H$5:$H$20000,$B5651,INPUT_RITASE!$C$5:$C$20000,$C5651,INPUT_RITASE!$N$5:$N$20000,"Coal")</f>
        <v/>
      </c>
      <c r="S5651" s="183" t="n">
        <v>0</v>
      </c>
      <c r="T5651" s="183" t="n">
        <v>0</v>
      </c>
      <c r="U5651" s="182" t="n">
        <v>0</v>
      </c>
      <c r="V5651" s="182" t="n">
        <v>0</v>
      </c>
      <c r="W5651" s="182" t="n">
        <v>0</v>
      </c>
      <c r="X5651" s="182" t="n">
        <v>0.98</v>
      </c>
      <c r="Y5651" s="182" t="n">
        <v>0</v>
      </c>
      <c r="Z5651" s="182" t="n">
        <v>0</v>
      </c>
      <c r="AA5651" s="182" t="n">
        <v>0</v>
      </c>
      <c r="AB5651" s="182" t="n">
        <v>0</v>
      </c>
      <c r="AC5651" s="182" t="n">
        <v>0</v>
      </c>
      <c r="AD5651" s="182" t="n">
        <v>0</v>
      </c>
      <c r="AE5651" s="182" t="n">
        <v>0</v>
      </c>
      <c r="AF5651" s="182" t="n">
        <v>0</v>
      </c>
      <c r="AG5651" s="182" t="n">
        <v>0</v>
      </c>
      <c r="AH5651" s="182" t="n">
        <v>0</v>
      </c>
      <c r="AI5651" s="182" t="n">
        <v>0</v>
      </c>
      <c r="AJ5651" s="182" t="n">
        <v>0</v>
      </c>
      <c r="AK5651" s="182" t="n">
        <v>0</v>
      </c>
      <c r="AL5651" s="182" t="n">
        <v>0</v>
      </c>
      <c r="AM5651" s="182" t="n">
        <v>0.1</v>
      </c>
      <c r="AN5651" s="182" t="n">
        <v>0</v>
      </c>
    </row>
    <row r="5652">
      <c r="A5652" s="155" t="n">
        <v>46107</v>
      </c>
      <c r="B5652" s="156" t="inlineStr">
        <is>
          <t>NS</t>
        </is>
      </c>
      <c r="C5652" s="156" t="inlineStr">
        <is>
          <t>EX-221</t>
        </is>
      </c>
      <c r="D5652" s="156" t="inlineStr">
        <is>
          <t>PC 200-8MI</t>
        </is>
      </c>
      <c r="E5652" s="156" t="inlineStr">
        <is>
          <t>Excavator</t>
        </is>
      </c>
      <c r="F5652" s="156" t="inlineStr"/>
      <c r="G5652" s="182" t="n">
        <v>0</v>
      </c>
      <c r="H5652" s="182" t="n">
        <v>0</v>
      </c>
      <c r="I5652" s="182" t="n">
        <v>0</v>
      </c>
      <c r="J5652" s="182" t="n">
        <v>0</v>
      </c>
      <c r="K5652" s="182" t="n">
        <v>12</v>
      </c>
      <c r="L5652" s="182" t="n">
        <v>12</v>
      </c>
      <c r="M5652" s="182" t="n">
        <v>0</v>
      </c>
      <c r="N5652" s="182" t="n">
        <v>0</v>
      </c>
      <c r="O5652" s="185">
        <f>SUMIFS(INPUT_RITASE!$F$5:$F$20000,INPUT_RITASE!$A$5:$A$20000,$A5652,INPUT_RITASE!$H$5:$H$20000,$B5652,INPUT_RITASE!$C$5:$C$20000,$C5652,INPUT_RITASE!$N$5:$N$20000,"OB")</f>
        <v/>
      </c>
      <c r="P5652" s="185">
        <f>SUMIFS(INPUT_RITASE!$F$5:$F$20000,INPUT_RITASE!$A$5:$A$20000,$A5652,INPUT_RITASE!$H$5:$H$20000,$B5652,INPUT_RITASE!$C$5:$C$20000,$C5652,INPUT_RITASE!$N$5:$N$20000,"Coal")</f>
        <v/>
      </c>
      <c r="Q5652" s="186">
        <f>SUMIFS(INPUT_RITASE!$L$5:$L$20000,INPUT_RITASE!$A$5:$A$20000,$A5652,INPUT_RITASE!$H$5:$H$20000,$B5652,INPUT_RITASE!$C$5:$C$20000,$C5652,INPUT_RITASE!$N$5:$N$20000,"OB")</f>
        <v/>
      </c>
      <c r="R5652" s="186">
        <f>SUMIFS(INPUT_RITASE!$L$5:$L$20000,INPUT_RITASE!$A$5:$A$20000,$A5652,INPUT_RITASE!$H$5:$H$20000,$B5652,INPUT_RITASE!$C$5:$C$20000,$C5652,INPUT_RITASE!$N$5:$N$20000,"Coal")</f>
        <v/>
      </c>
      <c r="S5652" s="183" t="n">
        <v>0</v>
      </c>
      <c r="T5652" s="183" t="n">
        <v>0</v>
      </c>
      <c r="U5652" s="182" t="n">
        <v>0</v>
      </c>
      <c r="V5652" s="182" t="n">
        <v>0</v>
      </c>
      <c r="W5652" s="182" t="n">
        <v>0</v>
      </c>
      <c r="X5652" s="182" t="n">
        <v>1</v>
      </c>
      <c r="Y5652" s="182" t="n">
        <v>0</v>
      </c>
      <c r="Z5652" s="182" t="n">
        <v>0</v>
      </c>
      <c r="AA5652" s="182" t="n">
        <v>0</v>
      </c>
      <c r="AB5652" s="182" t="n">
        <v>0</v>
      </c>
      <c r="AC5652" s="182" t="n">
        <v>0</v>
      </c>
      <c r="AD5652" s="182" t="n">
        <v>0</v>
      </c>
      <c r="AE5652" s="182" t="n">
        <v>0</v>
      </c>
      <c r="AF5652" s="182" t="n">
        <v>0</v>
      </c>
      <c r="AG5652" s="182" t="n">
        <v>0</v>
      </c>
      <c r="AH5652" s="182" t="n">
        <v>0</v>
      </c>
      <c r="AI5652" s="182" t="n">
        <v>0</v>
      </c>
      <c r="AJ5652" s="182" t="n">
        <v>0</v>
      </c>
      <c r="AK5652" s="182" t="n">
        <v>10.92</v>
      </c>
      <c r="AL5652" s="182" t="n">
        <v>0</v>
      </c>
      <c r="AM5652" s="182" t="n">
        <v>0.08</v>
      </c>
      <c r="AN5652" s="182" t="n">
        <v>0</v>
      </c>
    </row>
    <row r="5653">
      <c r="A5653" s="155" t="n">
        <v>46107</v>
      </c>
      <c r="B5653" s="156" t="inlineStr">
        <is>
          <t>NS</t>
        </is>
      </c>
      <c r="C5653" s="156" t="inlineStr">
        <is>
          <t>EX-331</t>
        </is>
      </c>
      <c r="D5653" s="156" t="inlineStr">
        <is>
          <t>PC 300-8MO</t>
        </is>
      </c>
      <c r="E5653" s="156" t="inlineStr">
        <is>
          <t>Excavator</t>
        </is>
      </c>
      <c r="F5653" s="156" t="inlineStr"/>
      <c r="G5653" s="182" t="n">
        <v>0</v>
      </c>
      <c r="H5653" s="182" t="n">
        <v>0</v>
      </c>
      <c r="I5653" s="182" t="n">
        <v>12</v>
      </c>
      <c r="J5653" s="182" t="n">
        <v>12</v>
      </c>
      <c r="K5653" s="182" t="n">
        <v>0</v>
      </c>
      <c r="L5653" s="182" t="n">
        <v>12</v>
      </c>
      <c r="M5653" s="182" t="n">
        <v>0</v>
      </c>
      <c r="N5653" s="182" t="n">
        <v>0</v>
      </c>
      <c r="O5653" s="185">
        <f>SUMIFS(INPUT_RITASE!$F$5:$F$20000,INPUT_RITASE!$A$5:$A$20000,$A5653,INPUT_RITASE!$H$5:$H$20000,$B5653,INPUT_RITASE!$C$5:$C$20000,$C5653,INPUT_RITASE!$N$5:$N$20000,"OB")</f>
        <v/>
      </c>
      <c r="P5653" s="185">
        <f>SUMIFS(INPUT_RITASE!$F$5:$F$20000,INPUT_RITASE!$A$5:$A$20000,$A5653,INPUT_RITASE!$H$5:$H$20000,$B5653,INPUT_RITASE!$C$5:$C$20000,$C5653,INPUT_RITASE!$N$5:$N$20000,"Coal")</f>
        <v/>
      </c>
      <c r="Q5653" s="186">
        <f>SUMIFS(INPUT_RITASE!$L$5:$L$20000,INPUT_RITASE!$A$5:$A$20000,$A5653,INPUT_RITASE!$H$5:$H$20000,$B5653,INPUT_RITASE!$C$5:$C$20000,$C5653,INPUT_RITASE!$N$5:$N$20000,"OB")</f>
        <v/>
      </c>
      <c r="R5653" s="186">
        <f>SUMIFS(INPUT_RITASE!$L$5:$L$20000,INPUT_RITASE!$A$5:$A$20000,$A5653,INPUT_RITASE!$H$5:$H$20000,$B5653,INPUT_RITASE!$C$5:$C$20000,$C5653,INPUT_RITASE!$N$5:$N$20000,"Coal")</f>
        <v/>
      </c>
      <c r="S5653" s="183" t="n">
        <v>0</v>
      </c>
      <c r="T5653" s="183" t="n">
        <v>0</v>
      </c>
      <c r="U5653" s="182" t="n">
        <v>0</v>
      </c>
      <c r="V5653" s="182" t="n">
        <v>0</v>
      </c>
      <c r="W5653" s="182" t="n">
        <v>0</v>
      </c>
      <c r="X5653" s="182" t="n">
        <v>0</v>
      </c>
      <c r="Y5653" s="182" t="n">
        <v>0</v>
      </c>
      <c r="Z5653" s="182" t="n">
        <v>0</v>
      </c>
      <c r="AA5653" s="182" t="n">
        <v>0</v>
      </c>
      <c r="AB5653" s="182" t="n">
        <v>0</v>
      </c>
      <c r="AC5653" s="182" t="n">
        <v>0</v>
      </c>
      <c r="AD5653" s="182" t="n">
        <v>0</v>
      </c>
      <c r="AE5653" s="182" t="n">
        <v>0</v>
      </c>
      <c r="AF5653" s="182" t="n">
        <v>0</v>
      </c>
      <c r="AG5653" s="182" t="n">
        <v>0</v>
      </c>
      <c r="AH5653" s="182" t="n">
        <v>0</v>
      </c>
      <c r="AI5653" s="182" t="n">
        <v>0</v>
      </c>
      <c r="AJ5653" s="182" t="n">
        <v>0</v>
      </c>
      <c r="AK5653" s="182" t="n">
        <v>0</v>
      </c>
      <c r="AL5653" s="182" t="n">
        <v>0</v>
      </c>
      <c r="AM5653" s="182" t="n">
        <v>0</v>
      </c>
      <c r="AN5653" s="182" t="n">
        <v>0</v>
      </c>
    </row>
    <row r="5654">
      <c r="A5654" s="155" t="n">
        <v>46107</v>
      </c>
      <c r="B5654" s="156" t="inlineStr">
        <is>
          <t>NS</t>
        </is>
      </c>
      <c r="C5654" s="156" t="inlineStr">
        <is>
          <t>EX-334</t>
        </is>
      </c>
      <c r="D5654" s="156" t="inlineStr">
        <is>
          <t>PC 300-8MO</t>
        </is>
      </c>
      <c r="E5654" s="156" t="inlineStr">
        <is>
          <t>Excavator</t>
        </is>
      </c>
      <c r="F5654" s="156" t="inlineStr">
        <is>
          <t>General Estapet Soil</t>
        </is>
      </c>
      <c r="G5654" s="182" t="n">
        <v>9.949999999999999</v>
      </c>
      <c r="H5654" s="182" t="n">
        <v>0</v>
      </c>
      <c r="I5654" s="182" t="n">
        <v>0</v>
      </c>
      <c r="J5654" s="182" t="n">
        <v>0</v>
      </c>
      <c r="K5654" s="182" t="n">
        <v>2.05</v>
      </c>
      <c r="L5654" s="182" t="n">
        <v>12</v>
      </c>
      <c r="M5654" s="182" t="n">
        <v>0</v>
      </c>
      <c r="N5654" s="182" t="n">
        <v>0</v>
      </c>
      <c r="O5654" s="185">
        <f>SUMIFS(INPUT_RITASE!$F$5:$F$20000,INPUT_RITASE!$A$5:$A$20000,$A5654,INPUT_RITASE!$H$5:$H$20000,$B5654,INPUT_RITASE!$C$5:$C$20000,$C5654,INPUT_RITASE!$N$5:$N$20000,"OB")</f>
        <v/>
      </c>
      <c r="P5654" s="185">
        <f>SUMIFS(INPUT_RITASE!$F$5:$F$20000,INPUT_RITASE!$A$5:$A$20000,$A5654,INPUT_RITASE!$H$5:$H$20000,$B5654,INPUT_RITASE!$C$5:$C$20000,$C5654,INPUT_RITASE!$N$5:$N$20000,"Coal")</f>
        <v/>
      </c>
      <c r="Q5654" s="186">
        <f>SUMIFS(INPUT_RITASE!$L$5:$L$20000,INPUT_RITASE!$A$5:$A$20000,$A5654,INPUT_RITASE!$H$5:$H$20000,$B5654,INPUT_RITASE!$C$5:$C$20000,$C5654,INPUT_RITASE!$N$5:$N$20000,"OB")</f>
        <v/>
      </c>
      <c r="R5654" s="186">
        <f>SUMIFS(INPUT_RITASE!$L$5:$L$20000,INPUT_RITASE!$A$5:$A$20000,$A5654,INPUT_RITASE!$H$5:$H$20000,$B5654,INPUT_RITASE!$C$5:$C$20000,$C5654,INPUT_RITASE!$N$5:$N$20000,"Coal")</f>
        <v/>
      </c>
      <c r="S5654" s="183" t="n">
        <v>0</v>
      </c>
      <c r="T5654" s="183" t="n">
        <v>0</v>
      </c>
      <c r="U5654" s="182" t="n">
        <v>1</v>
      </c>
      <c r="V5654" s="182" t="n">
        <v>0</v>
      </c>
      <c r="W5654" s="182" t="n">
        <v>0</v>
      </c>
      <c r="X5654" s="182" t="n">
        <v>0.98</v>
      </c>
      <c r="Y5654" s="182" t="n">
        <v>0</v>
      </c>
      <c r="Z5654" s="182" t="n">
        <v>0</v>
      </c>
      <c r="AA5654" s="182" t="n">
        <v>0</v>
      </c>
      <c r="AB5654" s="182" t="n">
        <v>0</v>
      </c>
      <c r="AC5654" s="182" t="n">
        <v>0</v>
      </c>
      <c r="AD5654" s="182" t="n">
        <v>0</v>
      </c>
      <c r="AE5654" s="182" t="n">
        <v>0</v>
      </c>
      <c r="AF5654" s="182" t="n">
        <v>0</v>
      </c>
      <c r="AG5654" s="182" t="n">
        <v>0</v>
      </c>
      <c r="AH5654" s="182" t="n">
        <v>0</v>
      </c>
      <c r="AI5654" s="182" t="n">
        <v>0</v>
      </c>
      <c r="AJ5654" s="182" t="n">
        <v>0</v>
      </c>
      <c r="AK5654" s="182" t="n">
        <v>0</v>
      </c>
      <c r="AL5654" s="182" t="n">
        <v>0</v>
      </c>
      <c r="AM5654" s="182" t="n">
        <v>0.08</v>
      </c>
      <c r="AN5654" s="182" t="n">
        <v>0</v>
      </c>
    </row>
    <row r="5655">
      <c r="A5655" s="155" t="n">
        <v>46107</v>
      </c>
      <c r="B5655" s="156" t="inlineStr">
        <is>
          <t>NS</t>
        </is>
      </c>
      <c r="C5655" s="156" t="inlineStr">
        <is>
          <t>EX-332</t>
        </is>
      </c>
      <c r="D5655" s="156" t="inlineStr">
        <is>
          <t>PC 300-8MO</t>
        </is>
      </c>
      <c r="E5655" s="156" t="inlineStr">
        <is>
          <t>Excavator</t>
        </is>
      </c>
      <c r="F5655" s="156" t="inlineStr"/>
      <c r="G5655" s="182" t="n">
        <v>0</v>
      </c>
      <c r="H5655" s="182" t="n">
        <v>0</v>
      </c>
      <c r="I5655" s="182" t="n">
        <v>12</v>
      </c>
      <c r="J5655" s="182" t="n">
        <v>12</v>
      </c>
      <c r="K5655" s="182" t="n">
        <v>0</v>
      </c>
      <c r="L5655" s="182" t="n">
        <v>12</v>
      </c>
      <c r="M5655" s="182" t="n">
        <v>0</v>
      </c>
      <c r="N5655" s="182" t="n">
        <v>0</v>
      </c>
      <c r="O5655" s="185">
        <f>SUMIFS(INPUT_RITASE!$F$5:$F$20000,INPUT_RITASE!$A$5:$A$20000,$A5655,INPUT_RITASE!$H$5:$H$20000,$B5655,INPUT_RITASE!$C$5:$C$20000,$C5655,INPUT_RITASE!$N$5:$N$20000,"OB")</f>
        <v/>
      </c>
      <c r="P5655" s="185">
        <f>SUMIFS(INPUT_RITASE!$F$5:$F$20000,INPUT_RITASE!$A$5:$A$20000,$A5655,INPUT_RITASE!$H$5:$H$20000,$B5655,INPUT_RITASE!$C$5:$C$20000,$C5655,INPUT_RITASE!$N$5:$N$20000,"Coal")</f>
        <v/>
      </c>
      <c r="Q5655" s="186">
        <f>SUMIFS(INPUT_RITASE!$L$5:$L$20000,INPUT_RITASE!$A$5:$A$20000,$A5655,INPUT_RITASE!$H$5:$H$20000,$B5655,INPUT_RITASE!$C$5:$C$20000,$C5655,INPUT_RITASE!$N$5:$N$20000,"OB")</f>
        <v/>
      </c>
      <c r="R5655" s="186">
        <f>SUMIFS(INPUT_RITASE!$L$5:$L$20000,INPUT_RITASE!$A$5:$A$20000,$A5655,INPUT_RITASE!$H$5:$H$20000,$B5655,INPUT_RITASE!$C$5:$C$20000,$C5655,INPUT_RITASE!$N$5:$N$20000,"Coal")</f>
        <v/>
      </c>
      <c r="S5655" s="183" t="n">
        <v>0</v>
      </c>
      <c r="T5655" s="183" t="n">
        <v>0</v>
      </c>
      <c r="U5655" s="182" t="n">
        <v>0</v>
      </c>
      <c r="V5655" s="182" t="n">
        <v>0</v>
      </c>
      <c r="W5655" s="182" t="n">
        <v>0</v>
      </c>
      <c r="X5655" s="182" t="n">
        <v>0</v>
      </c>
      <c r="Y5655" s="182" t="n">
        <v>0</v>
      </c>
      <c r="Z5655" s="182" t="n">
        <v>0</v>
      </c>
      <c r="AA5655" s="182" t="n">
        <v>0</v>
      </c>
      <c r="AB5655" s="182" t="n">
        <v>0</v>
      </c>
      <c r="AC5655" s="182" t="n">
        <v>0</v>
      </c>
      <c r="AD5655" s="182" t="n">
        <v>0</v>
      </c>
      <c r="AE5655" s="182" t="n">
        <v>0</v>
      </c>
      <c r="AF5655" s="182" t="n">
        <v>0</v>
      </c>
      <c r="AG5655" s="182" t="n">
        <v>0</v>
      </c>
      <c r="AH5655" s="182" t="n">
        <v>0</v>
      </c>
      <c r="AI5655" s="182" t="n">
        <v>0</v>
      </c>
      <c r="AJ5655" s="182" t="n">
        <v>0</v>
      </c>
      <c r="AK5655" s="182" t="n">
        <v>0</v>
      </c>
      <c r="AL5655" s="182" t="n">
        <v>0</v>
      </c>
      <c r="AM5655" s="182" t="n">
        <v>0</v>
      </c>
      <c r="AN5655" s="182" t="n">
        <v>0</v>
      </c>
    </row>
    <row r="5656">
      <c r="A5656" s="155" t="n">
        <v>46107</v>
      </c>
      <c r="B5656" s="156" t="inlineStr">
        <is>
          <t>NS</t>
        </is>
      </c>
      <c r="C5656" s="156" t="inlineStr">
        <is>
          <t>EX-333</t>
        </is>
      </c>
      <c r="D5656" s="156" t="inlineStr">
        <is>
          <t>PC 300-8MO</t>
        </is>
      </c>
      <c r="E5656" s="156" t="inlineStr">
        <is>
          <t>Excavator</t>
        </is>
      </c>
      <c r="F5656" s="156" t="inlineStr">
        <is>
          <t>Cleaning Coal</t>
        </is>
      </c>
      <c r="G5656" s="182" t="n">
        <v>10.47</v>
      </c>
      <c r="H5656" s="182" t="n">
        <v>0</v>
      </c>
      <c r="I5656" s="182" t="n">
        <v>0.25</v>
      </c>
      <c r="J5656" s="182" t="n">
        <v>0.25</v>
      </c>
      <c r="K5656" s="182" t="n">
        <v>1.28</v>
      </c>
      <c r="L5656" s="182" t="n">
        <v>12</v>
      </c>
      <c r="M5656" s="182" t="n">
        <v>0</v>
      </c>
      <c r="N5656" s="182" t="n">
        <v>0</v>
      </c>
      <c r="O5656" s="185">
        <f>SUMIFS(INPUT_RITASE!$F$5:$F$20000,INPUT_RITASE!$A$5:$A$20000,$A5656,INPUT_RITASE!$H$5:$H$20000,$B5656,INPUT_RITASE!$C$5:$C$20000,$C5656,INPUT_RITASE!$N$5:$N$20000,"OB")</f>
        <v/>
      </c>
      <c r="P5656" s="185">
        <f>SUMIFS(INPUT_RITASE!$F$5:$F$20000,INPUT_RITASE!$A$5:$A$20000,$A5656,INPUT_RITASE!$H$5:$H$20000,$B5656,INPUT_RITASE!$C$5:$C$20000,$C5656,INPUT_RITASE!$N$5:$N$20000,"Coal")</f>
        <v/>
      </c>
      <c r="Q5656" s="186">
        <f>SUMIFS(INPUT_RITASE!$L$5:$L$20000,INPUT_RITASE!$A$5:$A$20000,$A5656,INPUT_RITASE!$H$5:$H$20000,$B5656,INPUT_RITASE!$C$5:$C$20000,$C5656,INPUT_RITASE!$N$5:$N$20000,"OB")</f>
        <v/>
      </c>
      <c r="R5656" s="186">
        <f>SUMIFS(INPUT_RITASE!$L$5:$L$20000,INPUT_RITASE!$A$5:$A$20000,$A5656,INPUT_RITASE!$H$5:$H$20000,$B5656,INPUT_RITASE!$C$5:$C$20000,$C5656,INPUT_RITASE!$N$5:$N$20000,"Coal")</f>
        <v/>
      </c>
      <c r="S5656" s="183" t="n">
        <v>0</v>
      </c>
      <c r="T5656" s="183" t="n">
        <v>0</v>
      </c>
      <c r="U5656" s="182" t="n">
        <v>0.39</v>
      </c>
      <c r="V5656" s="182" t="n">
        <v>0</v>
      </c>
      <c r="W5656" s="182" t="n">
        <v>0</v>
      </c>
      <c r="X5656" s="182" t="n">
        <v>0.83</v>
      </c>
      <c r="Y5656" s="182" t="n">
        <v>0</v>
      </c>
      <c r="Z5656" s="182" t="n">
        <v>0</v>
      </c>
      <c r="AA5656" s="182" t="n">
        <v>0</v>
      </c>
      <c r="AB5656" s="182" t="n">
        <v>0</v>
      </c>
      <c r="AC5656" s="182" t="n">
        <v>0</v>
      </c>
      <c r="AD5656" s="182" t="n">
        <v>0</v>
      </c>
      <c r="AE5656" s="182" t="n">
        <v>0</v>
      </c>
      <c r="AF5656" s="182" t="n">
        <v>0</v>
      </c>
      <c r="AG5656" s="182" t="n">
        <v>0</v>
      </c>
      <c r="AH5656" s="182" t="n">
        <v>0</v>
      </c>
      <c r="AI5656" s="182" t="n">
        <v>0</v>
      </c>
      <c r="AJ5656" s="182" t="n">
        <v>0</v>
      </c>
      <c r="AK5656" s="182" t="n">
        <v>0</v>
      </c>
      <c r="AL5656" s="182" t="n">
        <v>0</v>
      </c>
      <c r="AM5656" s="182" t="n">
        <v>0.07000000000000001</v>
      </c>
      <c r="AN5656" s="182" t="n">
        <v>0</v>
      </c>
    </row>
    <row r="5657">
      <c r="A5657" s="155" t="n">
        <v>46107</v>
      </c>
      <c r="B5657" s="156" t="inlineStr">
        <is>
          <t>NS</t>
        </is>
      </c>
      <c r="C5657" s="156" t="inlineStr">
        <is>
          <t>EX-336</t>
        </is>
      </c>
      <c r="D5657" s="156" t="inlineStr">
        <is>
          <t>PC 300-8MO</t>
        </is>
      </c>
      <c r="E5657" s="156" t="inlineStr">
        <is>
          <t>Excavator</t>
        </is>
      </c>
      <c r="F5657" s="156" t="inlineStr">
        <is>
          <t>General Sloping HW</t>
        </is>
      </c>
      <c r="G5657" s="182" t="n">
        <v>8.960000000000001</v>
      </c>
      <c r="H5657" s="182" t="n">
        <v>0</v>
      </c>
      <c r="I5657" s="182" t="n">
        <v>0</v>
      </c>
      <c r="J5657" s="182" t="n">
        <v>0</v>
      </c>
      <c r="K5657" s="182" t="n">
        <v>3.04</v>
      </c>
      <c r="L5657" s="182" t="n">
        <v>12</v>
      </c>
      <c r="M5657" s="182" t="n">
        <v>0</v>
      </c>
      <c r="N5657" s="182" t="n">
        <v>0</v>
      </c>
      <c r="O5657" s="185">
        <f>SUMIFS(INPUT_RITASE!$F$5:$F$20000,INPUT_RITASE!$A$5:$A$20000,$A5657,INPUT_RITASE!$H$5:$H$20000,$B5657,INPUT_RITASE!$C$5:$C$20000,$C5657,INPUT_RITASE!$N$5:$N$20000,"OB")</f>
        <v/>
      </c>
      <c r="P5657" s="185">
        <f>SUMIFS(INPUT_RITASE!$F$5:$F$20000,INPUT_RITASE!$A$5:$A$20000,$A5657,INPUT_RITASE!$H$5:$H$20000,$B5657,INPUT_RITASE!$C$5:$C$20000,$C5657,INPUT_RITASE!$N$5:$N$20000,"Coal")</f>
        <v/>
      </c>
      <c r="Q5657" s="186">
        <f>SUMIFS(INPUT_RITASE!$L$5:$L$20000,INPUT_RITASE!$A$5:$A$20000,$A5657,INPUT_RITASE!$H$5:$H$20000,$B5657,INPUT_RITASE!$C$5:$C$20000,$C5657,INPUT_RITASE!$N$5:$N$20000,"OB")</f>
        <v/>
      </c>
      <c r="R5657" s="186">
        <f>SUMIFS(INPUT_RITASE!$L$5:$L$20000,INPUT_RITASE!$A$5:$A$20000,$A5657,INPUT_RITASE!$H$5:$H$20000,$B5657,INPUT_RITASE!$C$5:$C$20000,$C5657,INPUT_RITASE!$N$5:$N$20000,"Coal")</f>
        <v/>
      </c>
      <c r="S5657" s="183" t="n">
        <v>0</v>
      </c>
      <c r="T5657" s="183" t="n">
        <v>0</v>
      </c>
      <c r="U5657" s="182" t="n">
        <v>1.95</v>
      </c>
      <c r="V5657" s="182" t="n">
        <v>0</v>
      </c>
      <c r="W5657" s="182" t="n">
        <v>0</v>
      </c>
      <c r="X5657" s="182" t="n">
        <v>1.01</v>
      </c>
      <c r="Y5657" s="182" t="n">
        <v>0</v>
      </c>
      <c r="Z5657" s="182" t="n">
        <v>0</v>
      </c>
      <c r="AA5657" s="182" t="n">
        <v>0</v>
      </c>
      <c r="AB5657" s="182" t="n">
        <v>0</v>
      </c>
      <c r="AC5657" s="182" t="n">
        <v>0</v>
      </c>
      <c r="AD5657" s="182" t="n">
        <v>0</v>
      </c>
      <c r="AE5657" s="182" t="n">
        <v>0</v>
      </c>
      <c r="AF5657" s="182" t="n">
        <v>0</v>
      </c>
      <c r="AG5657" s="182" t="n">
        <v>0</v>
      </c>
      <c r="AH5657" s="182" t="n">
        <v>0</v>
      </c>
      <c r="AI5657" s="182" t="n">
        <v>0</v>
      </c>
      <c r="AJ5657" s="182" t="n">
        <v>0</v>
      </c>
      <c r="AK5657" s="182" t="n">
        <v>0</v>
      </c>
      <c r="AL5657" s="182" t="n">
        <v>0</v>
      </c>
      <c r="AM5657" s="182" t="n">
        <v>0.08</v>
      </c>
      <c r="AN5657" s="182" t="n">
        <v>0</v>
      </c>
    </row>
    <row r="5658">
      <c r="A5658" s="155" t="n">
        <v>46107</v>
      </c>
      <c r="B5658" s="156" t="inlineStr">
        <is>
          <t>NS</t>
        </is>
      </c>
      <c r="C5658" s="156" t="inlineStr">
        <is>
          <t>EX-335</t>
        </is>
      </c>
      <c r="D5658" s="156" t="inlineStr">
        <is>
          <t>PC 300-8MO</t>
        </is>
      </c>
      <c r="E5658" s="156" t="inlineStr">
        <is>
          <t>Excavator</t>
        </is>
      </c>
      <c r="F5658" s="156" t="inlineStr"/>
      <c r="G5658" s="182" t="n">
        <v>0</v>
      </c>
      <c r="H5658" s="182" t="n">
        <v>0</v>
      </c>
      <c r="I5658" s="182" t="n">
        <v>12</v>
      </c>
      <c r="J5658" s="182" t="n">
        <v>12</v>
      </c>
      <c r="K5658" s="182" t="n">
        <v>0</v>
      </c>
      <c r="L5658" s="182" t="n">
        <v>12</v>
      </c>
      <c r="M5658" s="182" t="n">
        <v>0</v>
      </c>
      <c r="N5658" s="182" t="n">
        <v>0</v>
      </c>
      <c r="O5658" s="185">
        <f>SUMIFS(INPUT_RITASE!$F$5:$F$20000,INPUT_RITASE!$A$5:$A$20000,$A5658,INPUT_RITASE!$H$5:$H$20000,$B5658,INPUT_RITASE!$C$5:$C$20000,$C5658,INPUT_RITASE!$N$5:$N$20000,"OB")</f>
        <v/>
      </c>
      <c r="P5658" s="185">
        <f>SUMIFS(INPUT_RITASE!$F$5:$F$20000,INPUT_RITASE!$A$5:$A$20000,$A5658,INPUT_RITASE!$H$5:$H$20000,$B5658,INPUT_RITASE!$C$5:$C$20000,$C5658,INPUT_RITASE!$N$5:$N$20000,"Coal")</f>
        <v/>
      </c>
      <c r="Q5658" s="186">
        <f>SUMIFS(INPUT_RITASE!$L$5:$L$20000,INPUT_RITASE!$A$5:$A$20000,$A5658,INPUT_RITASE!$H$5:$H$20000,$B5658,INPUT_RITASE!$C$5:$C$20000,$C5658,INPUT_RITASE!$N$5:$N$20000,"OB")</f>
        <v/>
      </c>
      <c r="R5658" s="186">
        <f>SUMIFS(INPUT_RITASE!$L$5:$L$20000,INPUT_RITASE!$A$5:$A$20000,$A5658,INPUT_RITASE!$H$5:$H$20000,$B5658,INPUT_RITASE!$C$5:$C$20000,$C5658,INPUT_RITASE!$N$5:$N$20000,"Coal")</f>
        <v/>
      </c>
      <c r="S5658" s="183" t="n">
        <v>0</v>
      </c>
      <c r="T5658" s="183" t="n">
        <v>0</v>
      </c>
      <c r="U5658" s="182" t="n">
        <v>0</v>
      </c>
      <c r="V5658" s="182" t="n">
        <v>0</v>
      </c>
      <c r="W5658" s="182" t="n">
        <v>0</v>
      </c>
      <c r="X5658" s="182" t="n">
        <v>0</v>
      </c>
      <c r="Y5658" s="182" t="n">
        <v>0</v>
      </c>
      <c r="Z5658" s="182" t="n">
        <v>0</v>
      </c>
      <c r="AA5658" s="182" t="n">
        <v>0</v>
      </c>
      <c r="AB5658" s="182" t="n">
        <v>0</v>
      </c>
      <c r="AC5658" s="182" t="n">
        <v>0</v>
      </c>
      <c r="AD5658" s="182" t="n">
        <v>0</v>
      </c>
      <c r="AE5658" s="182" t="n">
        <v>0</v>
      </c>
      <c r="AF5658" s="182" t="n">
        <v>0</v>
      </c>
      <c r="AG5658" s="182" t="n">
        <v>0</v>
      </c>
      <c r="AH5658" s="182" t="n">
        <v>0</v>
      </c>
      <c r="AI5658" s="182" t="n">
        <v>0</v>
      </c>
      <c r="AJ5658" s="182" t="n">
        <v>0</v>
      </c>
      <c r="AK5658" s="182" t="n">
        <v>0</v>
      </c>
      <c r="AL5658" s="182" t="n">
        <v>0</v>
      </c>
      <c r="AM5658" s="182" t="n">
        <v>0</v>
      </c>
      <c r="AN5658" s="182" t="n">
        <v>0</v>
      </c>
    </row>
    <row r="5659">
      <c r="A5659" s="155" t="n">
        <v>46107</v>
      </c>
      <c r="B5659" s="156" t="inlineStr">
        <is>
          <t>NS</t>
        </is>
      </c>
      <c r="C5659" s="156" t="inlineStr">
        <is>
          <t>EX-754</t>
        </is>
      </c>
      <c r="D5659" s="156" t="inlineStr">
        <is>
          <t>SY750H-PRO</t>
        </is>
      </c>
      <c r="E5659" s="156" t="inlineStr">
        <is>
          <t>Excavator</t>
        </is>
      </c>
      <c r="F5659" s="156" t="inlineStr"/>
      <c r="G5659" s="182" t="n">
        <v>0</v>
      </c>
      <c r="H5659" s="182" t="n">
        <v>0</v>
      </c>
      <c r="I5659" s="182" t="n">
        <v>12</v>
      </c>
      <c r="J5659" s="182" t="n">
        <v>12</v>
      </c>
      <c r="K5659" s="182" t="n">
        <v>0</v>
      </c>
      <c r="L5659" s="182" t="n">
        <v>12</v>
      </c>
      <c r="M5659" s="182" t="n">
        <v>0</v>
      </c>
      <c r="N5659" s="182" t="n">
        <v>0</v>
      </c>
      <c r="O5659" s="185">
        <f>SUMIFS(INPUT_RITASE!$F$5:$F$20000,INPUT_RITASE!$A$5:$A$20000,$A5659,INPUT_RITASE!$H$5:$H$20000,$B5659,INPUT_RITASE!$C$5:$C$20000,$C5659,INPUT_RITASE!$N$5:$N$20000,"OB")</f>
        <v/>
      </c>
      <c r="P5659" s="185">
        <f>SUMIFS(INPUT_RITASE!$F$5:$F$20000,INPUT_RITASE!$A$5:$A$20000,$A5659,INPUT_RITASE!$H$5:$H$20000,$B5659,INPUT_RITASE!$C$5:$C$20000,$C5659,INPUT_RITASE!$N$5:$N$20000,"Coal")</f>
        <v/>
      </c>
      <c r="Q5659" s="186">
        <f>SUMIFS(INPUT_RITASE!$L$5:$L$20000,INPUT_RITASE!$A$5:$A$20000,$A5659,INPUT_RITASE!$H$5:$H$20000,$B5659,INPUT_RITASE!$C$5:$C$20000,$C5659,INPUT_RITASE!$N$5:$N$20000,"OB")</f>
        <v/>
      </c>
      <c r="R5659" s="186">
        <f>SUMIFS(INPUT_RITASE!$L$5:$L$20000,INPUT_RITASE!$A$5:$A$20000,$A5659,INPUT_RITASE!$H$5:$H$20000,$B5659,INPUT_RITASE!$C$5:$C$20000,$C5659,INPUT_RITASE!$N$5:$N$20000,"Coal")</f>
        <v/>
      </c>
      <c r="S5659" s="183" t="n">
        <v>0</v>
      </c>
      <c r="T5659" s="183" t="n">
        <v>0</v>
      </c>
      <c r="U5659" s="182" t="n">
        <v>0</v>
      </c>
      <c r="V5659" s="182" t="n">
        <v>0</v>
      </c>
      <c r="W5659" s="182" t="n">
        <v>0</v>
      </c>
      <c r="X5659" s="182" t="n">
        <v>0</v>
      </c>
      <c r="Y5659" s="182" t="n">
        <v>0</v>
      </c>
      <c r="Z5659" s="182" t="n">
        <v>0</v>
      </c>
      <c r="AA5659" s="182" t="n">
        <v>0</v>
      </c>
      <c r="AB5659" s="182" t="n">
        <v>0</v>
      </c>
      <c r="AC5659" s="182" t="n">
        <v>0</v>
      </c>
      <c r="AD5659" s="182" t="n">
        <v>0</v>
      </c>
      <c r="AE5659" s="182" t="n">
        <v>0</v>
      </c>
      <c r="AF5659" s="182" t="n">
        <v>0</v>
      </c>
      <c r="AG5659" s="182" t="n">
        <v>0</v>
      </c>
      <c r="AH5659" s="182" t="n">
        <v>0</v>
      </c>
      <c r="AI5659" s="182" t="n">
        <v>0</v>
      </c>
      <c r="AJ5659" s="182" t="n">
        <v>0</v>
      </c>
      <c r="AK5659" s="182" t="n">
        <v>0</v>
      </c>
      <c r="AL5659" s="182" t="n">
        <v>0</v>
      </c>
      <c r="AM5659" s="182" t="n">
        <v>0</v>
      </c>
      <c r="AN5659" s="182" t="n">
        <v>0</v>
      </c>
    </row>
    <row r="5660">
      <c r="A5660" s="155" t="n">
        <v>46107</v>
      </c>
      <c r="B5660" s="156" t="inlineStr">
        <is>
          <t>NS</t>
        </is>
      </c>
      <c r="C5660" s="156" t="inlineStr">
        <is>
          <t>EX-755</t>
        </is>
      </c>
      <c r="D5660" s="156" t="inlineStr">
        <is>
          <t>SY750H-PRO</t>
        </is>
      </c>
      <c r="E5660" s="156" t="inlineStr">
        <is>
          <t>Excavator</t>
        </is>
      </c>
      <c r="F5660" s="156" t="inlineStr">
        <is>
          <t>Loading OB</t>
        </is>
      </c>
      <c r="G5660" s="182" t="n">
        <v>5.75</v>
      </c>
      <c r="H5660" s="182" t="n">
        <v>0</v>
      </c>
      <c r="I5660" s="182" t="n">
        <v>0</v>
      </c>
      <c r="J5660" s="182" t="n">
        <v>0</v>
      </c>
      <c r="K5660" s="182" t="n">
        <v>6.25</v>
      </c>
      <c r="L5660" s="182" t="n">
        <v>12</v>
      </c>
      <c r="M5660" s="182" t="n">
        <v>5.75</v>
      </c>
      <c r="N5660" s="182" t="n">
        <v>0</v>
      </c>
      <c r="O5660" s="185">
        <f>SUMIFS(INPUT_RITASE!$F$5:$F$20000,INPUT_RITASE!$A$5:$A$20000,$A5660,INPUT_RITASE!$H$5:$H$20000,$B5660,INPUT_RITASE!$C$5:$C$20000,$C5660,INPUT_RITASE!$N$5:$N$20000,"OB")</f>
        <v/>
      </c>
      <c r="P5660" s="185">
        <f>SUMIFS(INPUT_RITASE!$F$5:$F$20000,INPUT_RITASE!$A$5:$A$20000,$A5660,INPUT_RITASE!$H$5:$H$20000,$B5660,INPUT_RITASE!$C$5:$C$20000,$C5660,INPUT_RITASE!$N$5:$N$20000,"Coal")</f>
        <v/>
      </c>
      <c r="Q5660" s="186">
        <f>SUMIFS(INPUT_RITASE!$L$5:$L$20000,INPUT_RITASE!$A$5:$A$20000,$A5660,INPUT_RITASE!$H$5:$H$20000,$B5660,INPUT_RITASE!$C$5:$C$20000,$C5660,INPUT_RITASE!$N$5:$N$20000,"OB")</f>
        <v/>
      </c>
      <c r="R5660" s="186">
        <f>SUMIFS(INPUT_RITASE!$L$5:$L$20000,INPUT_RITASE!$A$5:$A$20000,$A5660,INPUT_RITASE!$H$5:$H$20000,$B5660,INPUT_RITASE!$C$5:$C$20000,$C5660,INPUT_RITASE!$N$5:$N$20000,"Coal")</f>
        <v/>
      </c>
      <c r="S5660" s="183" t="n">
        <v>0</v>
      </c>
      <c r="T5660" s="183" t="n">
        <v>0</v>
      </c>
      <c r="U5660" s="182" t="n">
        <v>4.17</v>
      </c>
      <c r="V5660" s="182" t="n">
        <v>0.97</v>
      </c>
      <c r="W5660" s="182" t="n">
        <v>0</v>
      </c>
      <c r="X5660" s="182" t="n">
        <v>1.02</v>
      </c>
      <c r="Y5660" s="182" t="n">
        <v>0</v>
      </c>
      <c r="Z5660" s="182" t="n">
        <v>0</v>
      </c>
      <c r="AA5660" s="182" t="n">
        <v>0</v>
      </c>
      <c r="AB5660" s="182" t="n">
        <v>0</v>
      </c>
      <c r="AC5660" s="182" t="n">
        <v>0</v>
      </c>
      <c r="AD5660" s="182" t="n">
        <v>0</v>
      </c>
      <c r="AE5660" s="182" t="n">
        <v>0</v>
      </c>
      <c r="AF5660" s="182" t="n">
        <v>0</v>
      </c>
      <c r="AG5660" s="182" t="n">
        <v>0</v>
      </c>
      <c r="AH5660" s="182" t="n">
        <v>0</v>
      </c>
      <c r="AI5660" s="182" t="n">
        <v>0</v>
      </c>
      <c r="AJ5660" s="182" t="n">
        <v>0</v>
      </c>
      <c r="AK5660" s="182" t="n">
        <v>0</v>
      </c>
      <c r="AL5660" s="182" t="n">
        <v>0</v>
      </c>
      <c r="AM5660" s="182" t="n">
        <v>0.08</v>
      </c>
      <c r="AN5660" s="182" t="n">
        <v>0</v>
      </c>
    </row>
    <row r="5661">
      <c r="A5661" s="155" t="n">
        <v>46107</v>
      </c>
      <c r="B5661" s="156" t="inlineStr">
        <is>
          <t>NS</t>
        </is>
      </c>
      <c r="C5661" s="156" t="inlineStr">
        <is>
          <t>EX-752</t>
        </is>
      </c>
      <c r="D5661" s="156" t="inlineStr">
        <is>
          <t>SY750H-PRO</t>
        </is>
      </c>
      <c r="E5661" s="156" t="inlineStr">
        <is>
          <t>Excavator</t>
        </is>
      </c>
      <c r="F5661" s="156" t="inlineStr"/>
      <c r="G5661" s="182" t="n">
        <v>0</v>
      </c>
      <c r="H5661" s="182" t="n">
        <v>0</v>
      </c>
      <c r="I5661" s="182" t="n">
        <v>12</v>
      </c>
      <c r="J5661" s="182" t="n">
        <v>12</v>
      </c>
      <c r="K5661" s="182" t="n">
        <v>0</v>
      </c>
      <c r="L5661" s="182" t="n">
        <v>12</v>
      </c>
      <c r="M5661" s="182" t="n">
        <v>0</v>
      </c>
      <c r="N5661" s="182" t="n">
        <v>0</v>
      </c>
      <c r="O5661" s="185">
        <f>SUMIFS(INPUT_RITASE!$F$5:$F$20000,INPUT_RITASE!$A$5:$A$20000,$A5661,INPUT_RITASE!$H$5:$H$20000,$B5661,INPUT_RITASE!$C$5:$C$20000,$C5661,INPUT_RITASE!$N$5:$N$20000,"OB")</f>
        <v/>
      </c>
      <c r="P5661" s="185">
        <f>SUMIFS(INPUT_RITASE!$F$5:$F$20000,INPUT_RITASE!$A$5:$A$20000,$A5661,INPUT_RITASE!$H$5:$H$20000,$B5661,INPUT_RITASE!$C$5:$C$20000,$C5661,INPUT_RITASE!$N$5:$N$20000,"Coal")</f>
        <v/>
      </c>
      <c r="Q5661" s="186">
        <f>SUMIFS(INPUT_RITASE!$L$5:$L$20000,INPUT_RITASE!$A$5:$A$20000,$A5661,INPUT_RITASE!$H$5:$H$20000,$B5661,INPUT_RITASE!$C$5:$C$20000,$C5661,INPUT_RITASE!$N$5:$N$20000,"OB")</f>
        <v/>
      </c>
      <c r="R5661" s="186">
        <f>SUMIFS(INPUT_RITASE!$L$5:$L$20000,INPUT_RITASE!$A$5:$A$20000,$A5661,INPUT_RITASE!$H$5:$H$20000,$B5661,INPUT_RITASE!$C$5:$C$20000,$C5661,INPUT_RITASE!$N$5:$N$20000,"Coal")</f>
        <v/>
      </c>
      <c r="S5661" s="183" t="n">
        <v>0</v>
      </c>
      <c r="T5661" s="183" t="n">
        <v>0</v>
      </c>
      <c r="U5661" s="182" t="n">
        <v>0</v>
      </c>
      <c r="V5661" s="182" t="n">
        <v>0</v>
      </c>
      <c r="W5661" s="182" t="n">
        <v>0</v>
      </c>
      <c r="X5661" s="182" t="n">
        <v>0</v>
      </c>
      <c r="Y5661" s="182" t="n">
        <v>0</v>
      </c>
      <c r="Z5661" s="182" t="n">
        <v>0</v>
      </c>
      <c r="AA5661" s="182" t="n">
        <v>0</v>
      </c>
      <c r="AB5661" s="182" t="n">
        <v>0</v>
      </c>
      <c r="AC5661" s="182" t="n">
        <v>0</v>
      </c>
      <c r="AD5661" s="182" t="n">
        <v>0</v>
      </c>
      <c r="AE5661" s="182" t="n">
        <v>0</v>
      </c>
      <c r="AF5661" s="182" t="n">
        <v>0</v>
      </c>
      <c r="AG5661" s="182" t="n">
        <v>0</v>
      </c>
      <c r="AH5661" s="182" t="n">
        <v>0</v>
      </c>
      <c r="AI5661" s="182" t="n">
        <v>0</v>
      </c>
      <c r="AJ5661" s="182" t="n">
        <v>0</v>
      </c>
      <c r="AK5661" s="182" t="n">
        <v>0</v>
      </c>
      <c r="AL5661" s="182" t="n">
        <v>0</v>
      </c>
      <c r="AM5661" s="182" t="n">
        <v>0</v>
      </c>
      <c r="AN5661" s="182" t="n">
        <v>0</v>
      </c>
    </row>
    <row r="5662">
      <c r="A5662" s="155" t="n">
        <v>46107</v>
      </c>
      <c r="B5662" s="156" t="inlineStr">
        <is>
          <t>NS</t>
        </is>
      </c>
      <c r="C5662" s="156" t="inlineStr">
        <is>
          <t>EX-751</t>
        </is>
      </c>
      <c r="D5662" s="156" t="inlineStr">
        <is>
          <t>SY750H-PRO</t>
        </is>
      </c>
      <c r="E5662" s="156" t="inlineStr">
        <is>
          <t>Excavator</t>
        </is>
      </c>
      <c r="F5662" s="156" t="inlineStr"/>
      <c r="G5662" s="182" t="n">
        <v>0</v>
      </c>
      <c r="H5662" s="182" t="n">
        <v>0</v>
      </c>
      <c r="I5662" s="182" t="n">
        <v>12</v>
      </c>
      <c r="J5662" s="182" t="n">
        <v>12</v>
      </c>
      <c r="K5662" s="182" t="n">
        <v>0</v>
      </c>
      <c r="L5662" s="182" t="n">
        <v>12</v>
      </c>
      <c r="M5662" s="182" t="n">
        <v>0</v>
      </c>
      <c r="N5662" s="182" t="n">
        <v>0</v>
      </c>
      <c r="O5662" s="185">
        <f>SUMIFS(INPUT_RITASE!$F$5:$F$20000,INPUT_RITASE!$A$5:$A$20000,$A5662,INPUT_RITASE!$H$5:$H$20000,$B5662,INPUT_RITASE!$C$5:$C$20000,$C5662,INPUT_RITASE!$N$5:$N$20000,"OB")</f>
        <v/>
      </c>
      <c r="P5662" s="185">
        <f>SUMIFS(INPUT_RITASE!$F$5:$F$20000,INPUT_RITASE!$A$5:$A$20000,$A5662,INPUT_RITASE!$H$5:$H$20000,$B5662,INPUT_RITASE!$C$5:$C$20000,$C5662,INPUT_RITASE!$N$5:$N$20000,"Coal")</f>
        <v/>
      </c>
      <c r="Q5662" s="186">
        <f>SUMIFS(INPUT_RITASE!$L$5:$L$20000,INPUT_RITASE!$A$5:$A$20000,$A5662,INPUT_RITASE!$H$5:$H$20000,$B5662,INPUT_RITASE!$C$5:$C$20000,$C5662,INPUT_RITASE!$N$5:$N$20000,"OB")</f>
        <v/>
      </c>
      <c r="R5662" s="186">
        <f>SUMIFS(INPUT_RITASE!$L$5:$L$20000,INPUT_RITASE!$A$5:$A$20000,$A5662,INPUT_RITASE!$H$5:$H$20000,$B5662,INPUT_RITASE!$C$5:$C$20000,$C5662,INPUT_RITASE!$N$5:$N$20000,"Coal")</f>
        <v/>
      </c>
      <c r="S5662" s="183" t="n">
        <v>0</v>
      </c>
      <c r="T5662" s="183" t="n">
        <v>0</v>
      </c>
      <c r="U5662" s="182" t="n">
        <v>0</v>
      </c>
      <c r="V5662" s="182" t="n">
        <v>0</v>
      </c>
      <c r="W5662" s="182" t="n">
        <v>0</v>
      </c>
      <c r="X5662" s="182" t="n">
        <v>0</v>
      </c>
      <c r="Y5662" s="182" t="n">
        <v>0</v>
      </c>
      <c r="Z5662" s="182" t="n">
        <v>0</v>
      </c>
      <c r="AA5662" s="182" t="n">
        <v>0</v>
      </c>
      <c r="AB5662" s="182" t="n">
        <v>0</v>
      </c>
      <c r="AC5662" s="182" t="n">
        <v>0</v>
      </c>
      <c r="AD5662" s="182" t="n">
        <v>0</v>
      </c>
      <c r="AE5662" s="182" t="n">
        <v>0</v>
      </c>
      <c r="AF5662" s="182" t="n">
        <v>0</v>
      </c>
      <c r="AG5662" s="182" t="n">
        <v>0</v>
      </c>
      <c r="AH5662" s="182" t="n">
        <v>0</v>
      </c>
      <c r="AI5662" s="182" t="n">
        <v>0</v>
      </c>
      <c r="AJ5662" s="182" t="n">
        <v>0</v>
      </c>
      <c r="AK5662" s="182" t="n">
        <v>0</v>
      </c>
      <c r="AL5662" s="182" t="n">
        <v>0</v>
      </c>
      <c r="AM5662" s="182" t="n">
        <v>0</v>
      </c>
      <c r="AN5662" s="182" t="n">
        <v>0</v>
      </c>
    </row>
    <row r="5663">
      <c r="A5663" s="155" t="n">
        <v>46107</v>
      </c>
      <c r="B5663" s="156" t="inlineStr">
        <is>
          <t>NS</t>
        </is>
      </c>
      <c r="C5663" s="156" t="inlineStr">
        <is>
          <t>EX-753</t>
        </is>
      </c>
      <c r="D5663" s="156" t="inlineStr">
        <is>
          <t>SY750H-PRO</t>
        </is>
      </c>
      <c r="E5663" s="156" t="inlineStr">
        <is>
          <t>Excavator</t>
        </is>
      </c>
      <c r="F5663" s="156" t="inlineStr"/>
      <c r="G5663" s="182" t="n">
        <v>0</v>
      </c>
      <c r="H5663" s="182" t="n">
        <v>0</v>
      </c>
      <c r="I5663" s="182" t="n">
        <v>0</v>
      </c>
      <c r="J5663" s="182" t="n">
        <v>0</v>
      </c>
      <c r="K5663" s="182" t="n">
        <v>12</v>
      </c>
      <c r="L5663" s="182" t="n">
        <v>12</v>
      </c>
      <c r="M5663" s="182" t="n">
        <v>0</v>
      </c>
      <c r="N5663" s="182" t="n">
        <v>0</v>
      </c>
      <c r="O5663" s="185">
        <f>SUMIFS(INPUT_RITASE!$F$5:$F$20000,INPUT_RITASE!$A$5:$A$20000,$A5663,INPUT_RITASE!$H$5:$H$20000,$B5663,INPUT_RITASE!$C$5:$C$20000,$C5663,INPUT_RITASE!$N$5:$N$20000,"OB")</f>
        <v/>
      </c>
      <c r="P5663" s="185">
        <f>SUMIFS(INPUT_RITASE!$F$5:$F$20000,INPUT_RITASE!$A$5:$A$20000,$A5663,INPUT_RITASE!$H$5:$H$20000,$B5663,INPUT_RITASE!$C$5:$C$20000,$C5663,INPUT_RITASE!$N$5:$N$20000,"Coal")</f>
        <v/>
      </c>
      <c r="Q5663" s="186">
        <f>SUMIFS(INPUT_RITASE!$L$5:$L$20000,INPUT_RITASE!$A$5:$A$20000,$A5663,INPUT_RITASE!$H$5:$H$20000,$B5663,INPUT_RITASE!$C$5:$C$20000,$C5663,INPUT_RITASE!$N$5:$N$20000,"OB")</f>
        <v/>
      </c>
      <c r="R5663" s="186">
        <f>SUMIFS(INPUT_RITASE!$L$5:$L$20000,INPUT_RITASE!$A$5:$A$20000,$A5663,INPUT_RITASE!$H$5:$H$20000,$B5663,INPUT_RITASE!$C$5:$C$20000,$C5663,INPUT_RITASE!$N$5:$N$20000,"Coal")</f>
        <v/>
      </c>
      <c r="S5663" s="183" t="n">
        <v>0</v>
      </c>
      <c r="T5663" s="183" t="n">
        <v>0</v>
      </c>
      <c r="U5663" s="182" t="n">
        <v>0</v>
      </c>
      <c r="V5663" s="182" t="n">
        <v>0</v>
      </c>
      <c r="W5663" s="182" t="n">
        <v>0</v>
      </c>
      <c r="X5663" s="182" t="n">
        <v>1</v>
      </c>
      <c r="Y5663" s="182" t="n">
        <v>0</v>
      </c>
      <c r="Z5663" s="182" t="n">
        <v>0</v>
      </c>
      <c r="AA5663" s="182" t="n">
        <v>0</v>
      </c>
      <c r="AB5663" s="182" t="n">
        <v>0</v>
      </c>
      <c r="AC5663" s="182" t="n">
        <v>0</v>
      </c>
      <c r="AD5663" s="182" t="n">
        <v>0</v>
      </c>
      <c r="AE5663" s="182" t="n">
        <v>0</v>
      </c>
      <c r="AF5663" s="182" t="n">
        <v>0</v>
      </c>
      <c r="AG5663" s="182" t="n">
        <v>0</v>
      </c>
      <c r="AH5663" s="182" t="n">
        <v>0</v>
      </c>
      <c r="AI5663" s="182" t="n">
        <v>0</v>
      </c>
      <c r="AJ5663" s="182" t="n">
        <v>0</v>
      </c>
      <c r="AK5663" s="182" t="n">
        <v>10.92</v>
      </c>
      <c r="AL5663" s="182" t="n">
        <v>0</v>
      </c>
      <c r="AM5663" s="182" t="n">
        <v>0.08</v>
      </c>
      <c r="AN5663" s="182" t="n">
        <v>0</v>
      </c>
    </row>
    <row r="5664">
      <c r="A5664" s="155" t="n">
        <v>46107</v>
      </c>
      <c r="B5664" s="156" t="inlineStr">
        <is>
          <t>NS</t>
        </is>
      </c>
      <c r="C5664" s="156" t="inlineStr">
        <is>
          <t>GD-012</t>
        </is>
      </c>
      <c r="D5664" s="156" t="inlineStr">
        <is>
          <t>STG 230C - 8S</t>
        </is>
      </c>
      <c r="E5664" s="156" t="inlineStr">
        <is>
          <t>Grader</t>
        </is>
      </c>
      <c r="F5664" s="156" t="inlineStr"/>
      <c r="G5664" s="182" t="n">
        <v>0</v>
      </c>
      <c r="H5664" s="182" t="n">
        <v>0</v>
      </c>
      <c r="I5664" s="182" t="n">
        <v>0</v>
      </c>
      <c r="J5664" s="182" t="n">
        <v>0</v>
      </c>
      <c r="K5664" s="182" t="n">
        <v>12</v>
      </c>
      <c r="L5664" s="182" t="n">
        <v>12</v>
      </c>
      <c r="M5664" s="182" t="n">
        <v>0</v>
      </c>
      <c r="N5664" s="182" t="n">
        <v>0</v>
      </c>
      <c r="O5664" s="183" t="n">
        <v>0</v>
      </c>
      <c r="P5664" s="183" t="n">
        <v>0</v>
      </c>
      <c r="Q5664" s="184" t="n">
        <v>0</v>
      </c>
      <c r="R5664" s="184" t="n">
        <v>0</v>
      </c>
      <c r="S5664" s="183" t="n">
        <v>0</v>
      </c>
      <c r="T5664" s="183" t="n">
        <v>0</v>
      </c>
      <c r="U5664" s="182" t="n">
        <v>0</v>
      </c>
      <c r="V5664" s="182" t="n">
        <v>0</v>
      </c>
      <c r="W5664" s="182" t="n">
        <v>0</v>
      </c>
      <c r="X5664" s="182" t="n">
        <v>1</v>
      </c>
      <c r="Y5664" s="182" t="n">
        <v>0</v>
      </c>
      <c r="Z5664" s="182" t="n">
        <v>0</v>
      </c>
      <c r="AA5664" s="182" t="n">
        <v>0</v>
      </c>
      <c r="AB5664" s="182" t="n">
        <v>0</v>
      </c>
      <c r="AC5664" s="182" t="n">
        <v>0</v>
      </c>
      <c r="AD5664" s="182" t="n">
        <v>0</v>
      </c>
      <c r="AE5664" s="182" t="n">
        <v>0</v>
      </c>
      <c r="AF5664" s="182" t="n">
        <v>0</v>
      </c>
      <c r="AG5664" s="182" t="n">
        <v>0</v>
      </c>
      <c r="AH5664" s="182" t="n">
        <v>0</v>
      </c>
      <c r="AI5664" s="182" t="n">
        <v>0</v>
      </c>
      <c r="AJ5664" s="182" t="n">
        <v>0</v>
      </c>
      <c r="AK5664" s="182" t="n">
        <v>10.92</v>
      </c>
      <c r="AL5664" s="182" t="n">
        <v>0</v>
      </c>
      <c r="AM5664" s="182" t="n">
        <v>0.08</v>
      </c>
      <c r="AN5664" s="182" t="n">
        <v>0</v>
      </c>
    </row>
    <row r="5665">
      <c r="A5665" s="155" t="n">
        <v>46107</v>
      </c>
      <c r="B5665" s="156" t="inlineStr">
        <is>
          <t>NS</t>
        </is>
      </c>
      <c r="C5665" s="156" t="inlineStr">
        <is>
          <t>GD-011</t>
        </is>
      </c>
      <c r="D5665" s="156" t="inlineStr">
        <is>
          <t>STG 230C - 8S</t>
        </is>
      </c>
      <c r="E5665" s="156" t="inlineStr">
        <is>
          <t>Grader</t>
        </is>
      </c>
      <c r="F5665" s="156" t="inlineStr"/>
      <c r="G5665" s="182" t="n">
        <v>0</v>
      </c>
      <c r="H5665" s="182" t="n">
        <v>0</v>
      </c>
      <c r="I5665" s="182" t="n">
        <v>12</v>
      </c>
      <c r="J5665" s="182" t="n">
        <v>12</v>
      </c>
      <c r="K5665" s="182" t="n">
        <v>0</v>
      </c>
      <c r="L5665" s="182" t="n">
        <v>12</v>
      </c>
      <c r="M5665" s="182" t="n">
        <v>0</v>
      </c>
      <c r="N5665" s="182" t="n">
        <v>0</v>
      </c>
      <c r="O5665" s="183" t="n">
        <v>0</v>
      </c>
      <c r="P5665" s="183" t="n">
        <v>0</v>
      </c>
      <c r="Q5665" s="184" t="n">
        <v>0</v>
      </c>
      <c r="R5665" s="184" t="n">
        <v>0</v>
      </c>
      <c r="S5665" s="183" t="n">
        <v>0</v>
      </c>
      <c r="T5665" s="183" t="n">
        <v>0</v>
      </c>
      <c r="U5665" s="182" t="n">
        <v>0</v>
      </c>
      <c r="V5665" s="182" t="n">
        <v>0</v>
      </c>
      <c r="W5665" s="182" t="n">
        <v>0</v>
      </c>
      <c r="X5665" s="182" t="n">
        <v>0</v>
      </c>
      <c r="Y5665" s="182" t="n">
        <v>0</v>
      </c>
      <c r="Z5665" s="182" t="n">
        <v>0</v>
      </c>
      <c r="AA5665" s="182" t="n">
        <v>0</v>
      </c>
      <c r="AB5665" s="182" t="n">
        <v>0</v>
      </c>
      <c r="AC5665" s="182" t="n">
        <v>0</v>
      </c>
      <c r="AD5665" s="182" t="n">
        <v>0</v>
      </c>
      <c r="AE5665" s="182" t="n">
        <v>0</v>
      </c>
      <c r="AF5665" s="182" t="n">
        <v>0</v>
      </c>
      <c r="AG5665" s="182" t="n">
        <v>0</v>
      </c>
      <c r="AH5665" s="182" t="n">
        <v>0</v>
      </c>
      <c r="AI5665" s="182" t="n">
        <v>0</v>
      </c>
      <c r="AJ5665" s="182" t="n">
        <v>0</v>
      </c>
      <c r="AK5665" s="182" t="n">
        <v>0</v>
      </c>
      <c r="AL5665" s="182" t="n">
        <v>0</v>
      </c>
      <c r="AM5665" s="182" t="n">
        <v>0</v>
      </c>
      <c r="AN5665" s="182" t="n">
        <v>0</v>
      </c>
    </row>
    <row r="5666">
      <c r="A5666" s="155" t="n">
        <v>46107</v>
      </c>
      <c r="B5666" s="156" t="inlineStr">
        <is>
          <t>NS</t>
        </is>
      </c>
      <c r="C5666" s="156" t="inlineStr">
        <is>
          <t>GD-013</t>
        </is>
      </c>
      <c r="D5666" s="156" t="inlineStr">
        <is>
          <t>STG 265C - 10</t>
        </is>
      </c>
      <c r="E5666" s="156" t="inlineStr">
        <is>
          <t>Grader</t>
        </is>
      </c>
      <c r="F5666" s="156" t="inlineStr">
        <is>
          <t>Road Maintenance</t>
        </is>
      </c>
      <c r="G5666" s="182" t="n">
        <v>7.44</v>
      </c>
      <c r="H5666" s="182" t="n">
        <v>0</v>
      </c>
      <c r="I5666" s="182" t="n">
        <v>0</v>
      </c>
      <c r="J5666" s="182" t="n">
        <v>0</v>
      </c>
      <c r="K5666" s="182" t="n">
        <v>4.56</v>
      </c>
      <c r="L5666" s="182" t="n">
        <v>12</v>
      </c>
      <c r="M5666" s="182" t="n">
        <v>0</v>
      </c>
      <c r="N5666" s="182" t="n">
        <v>0</v>
      </c>
      <c r="O5666" s="183" t="n">
        <v>0</v>
      </c>
      <c r="P5666" s="183" t="n">
        <v>0</v>
      </c>
      <c r="Q5666" s="184" t="n">
        <v>0</v>
      </c>
      <c r="R5666" s="184" t="n">
        <v>0</v>
      </c>
      <c r="S5666" s="183" t="n">
        <v>0</v>
      </c>
      <c r="T5666" s="183" t="n">
        <v>0</v>
      </c>
      <c r="U5666" s="182" t="n">
        <v>3.41</v>
      </c>
      <c r="V5666" s="182" t="n">
        <v>0</v>
      </c>
      <c r="W5666" s="182" t="n">
        <v>0</v>
      </c>
      <c r="X5666" s="182" t="n">
        <v>1.06</v>
      </c>
      <c r="Y5666" s="182" t="n">
        <v>0</v>
      </c>
      <c r="Z5666" s="182" t="n">
        <v>0</v>
      </c>
      <c r="AA5666" s="182" t="n">
        <v>0</v>
      </c>
      <c r="AB5666" s="182" t="n">
        <v>0</v>
      </c>
      <c r="AC5666" s="182" t="n">
        <v>0</v>
      </c>
      <c r="AD5666" s="182" t="n">
        <v>0</v>
      </c>
      <c r="AE5666" s="182" t="n">
        <v>0</v>
      </c>
      <c r="AF5666" s="182" t="n">
        <v>0</v>
      </c>
      <c r="AG5666" s="182" t="n">
        <v>0</v>
      </c>
      <c r="AH5666" s="182" t="n">
        <v>0</v>
      </c>
      <c r="AI5666" s="182" t="n">
        <v>0</v>
      </c>
      <c r="AJ5666" s="182" t="n">
        <v>0</v>
      </c>
      <c r="AK5666" s="182" t="n">
        <v>0</v>
      </c>
      <c r="AL5666" s="182" t="n">
        <v>0</v>
      </c>
      <c r="AM5666" s="182" t="n">
        <v>0.08</v>
      </c>
      <c r="AN5666" s="182" t="n">
        <v>0</v>
      </c>
    </row>
    <row r="5667">
      <c r="A5667" s="155" t="n">
        <v>46107</v>
      </c>
      <c r="B5667" s="156" t="inlineStr">
        <is>
          <t>NS</t>
        </is>
      </c>
      <c r="C5667" s="156" t="inlineStr">
        <is>
          <t>GD-014</t>
        </is>
      </c>
      <c r="D5667" s="156" t="inlineStr">
        <is>
          <t>STG 335C - 10</t>
        </is>
      </c>
      <c r="E5667" s="156" t="inlineStr">
        <is>
          <t>Grader</t>
        </is>
      </c>
      <c r="F5667" s="156" t="inlineStr">
        <is>
          <t>Road Maintenance</t>
        </is>
      </c>
      <c r="G5667" s="182" t="n">
        <v>7.27</v>
      </c>
      <c r="H5667" s="182" t="n">
        <v>0</v>
      </c>
      <c r="I5667" s="182" t="n">
        <v>0</v>
      </c>
      <c r="J5667" s="182" t="n">
        <v>0</v>
      </c>
      <c r="K5667" s="182" t="n">
        <v>4.73</v>
      </c>
      <c r="L5667" s="182" t="n">
        <v>12</v>
      </c>
      <c r="M5667" s="182" t="n">
        <v>0</v>
      </c>
      <c r="N5667" s="182" t="n">
        <v>0</v>
      </c>
      <c r="O5667" s="183" t="n">
        <v>0</v>
      </c>
      <c r="P5667" s="183" t="n">
        <v>0</v>
      </c>
      <c r="Q5667" s="184" t="n">
        <v>0</v>
      </c>
      <c r="R5667" s="184" t="n">
        <v>0</v>
      </c>
      <c r="S5667" s="183" t="n">
        <v>0</v>
      </c>
      <c r="T5667" s="183" t="n">
        <v>0</v>
      </c>
      <c r="U5667" s="182" t="n">
        <v>3.62</v>
      </c>
      <c r="V5667" s="182" t="n">
        <v>0</v>
      </c>
      <c r="W5667" s="182" t="n">
        <v>0</v>
      </c>
      <c r="X5667" s="182" t="n">
        <v>1.03</v>
      </c>
      <c r="Y5667" s="182" t="n">
        <v>0</v>
      </c>
      <c r="Z5667" s="182" t="n">
        <v>0</v>
      </c>
      <c r="AA5667" s="182" t="n">
        <v>0</v>
      </c>
      <c r="AB5667" s="182" t="n">
        <v>0</v>
      </c>
      <c r="AC5667" s="182" t="n">
        <v>0</v>
      </c>
      <c r="AD5667" s="182" t="n">
        <v>0</v>
      </c>
      <c r="AE5667" s="182" t="n">
        <v>0</v>
      </c>
      <c r="AF5667" s="182" t="n">
        <v>0</v>
      </c>
      <c r="AG5667" s="182" t="n">
        <v>0</v>
      </c>
      <c r="AH5667" s="182" t="n">
        <v>0</v>
      </c>
      <c r="AI5667" s="182" t="n">
        <v>0</v>
      </c>
      <c r="AJ5667" s="182" t="n">
        <v>0</v>
      </c>
      <c r="AK5667" s="182" t="n">
        <v>0</v>
      </c>
      <c r="AL5667" s="182" t="n">
        <v>0</v>
      </c>
      <c r="AM5667" s="182" t="n">
        <v>0.08</v>
      </c>
      <c r="AN5667" s="182" t="n">
        <v>0</v>
      </c>
    </row>
    <row r="5668">
      <c r="A5668" s="155" t="n">
        <v>46107</v>
      </c>
      <c r="B5668" s="156" t="inlineStr">
        <is>
          <t>NS</t>
        </is>
      </c>
      <c r="C5668" s="156" t="inlineStr">
        <is>
          <t>DT-809</t>
        </is>
      </c>
      <c r="D5668" s="156" t="inlineStr">
        <is>
          <t>SKT 80S</t>
        </is>
      </c>
      <c r="E5668" s="156" t="inlineStr">
        <is>
          <t>Hauler</t>
        </is>
      </c>
      <c r="F5668" s="156" t="inlineStr"/>
      <c r="G5668" s="182" t="n">
        <v>0</v>
      </c>
      <c r="H5668" s="182" t="n">
        <v>0</v>
      </c>
      <c r="I5668" s="182" t="n">
        <v>12</v>
      </c>
      <c r="J5668" s="182" t="n">
        <v>12</v>
      </c>
      <c r="K5668" s="182" t="n">
        <v>0</v>
      </c>
      <c r="L5668" s="182" t="n">
        <v>12</v>
      </c>
      <c r="M5668" s="182" t="n">
        <v>0</v>
      </c>
      <c r="N5668" s="182" t="n">
        <v>0</v>
      </c>
      <c r="O5668" s="183" t="n">
        <v>0</v>
      </c>
      <c r="P5668" s="183" t="n">
        <v>0</v>
      </c>
      <c r="Q5668" s="184" t="n">
        <v>0</v>
      </c>
      <c r="R5668" s="184" t="n">
        <v>0</v>
      </c>
      <c r="S5668" s="183" t="n">
        <v>0</v>
      </c>
      <c r="T5668" s="183" t="n">
        <v>0</v>
      </c>
      <c r="U5668" s="182" t="n">
        <v>0</v>
      </c>
      <c r="V5668" s="182" t="n">
        <v>0</v>
      </c>
      <c r="W5668" s="182" t="n">
        <v>0</v>
      </c>
      <c r="X5668" s="182" t="n">
        <v>0</v>
      </c>
      <c r="Y5668" s="182" t="n">
        <v>0</v>
      </c>
      <c r="Z5668" s="182" t="n">
        <v>0</v>
      </c>
      <c r="AA5668" s="182" t="n">
        <v>0</v>
      </c>
      <c r="AB5668" s="182" t="n">
        <v>0</v>
      </c>
      <c r="AC5668" s="182" t="n">
        <v>0</v>
      </c>
      <c r="AD5668" s="182" t="n">
        <v>0</v>
      </c>
      <c r="AE5668" s="182" t="n">
        <v>0</v>
      </c>
      <c r="AF5668" s="182" t="n">
        <v>0</v>
      </c>
      <c r="AG5668" s="182" t="n">
        <v>0</v>
      </c>
      <c r="AH5668" s="182" t="n">
        <v>0</v>
      </c>
      <c r="AI5668" s="182" t="n">
        <v>0</v>
      </c>
      <c r="AJ5668" s="182" t="n">
        <v>0</v>
      </c>
      <c r="AK5668" s="182" t="n">
        <v>0</v>
      </c>
      <c r="AL5668" s="182" t="n">
        <v>0</v>
      </c>
      <c r="AM5668" s="182" t="n">
        <v>0</v>
      </c>
      <c r="AN5668" s="182" t="n">
        <v>0</v>
      </c>
    </row>
    <row r="5669">
      <c r="A5669" s="155" t="n">
        <v>46107</v>
      </c>
      <c r="B5669" s="156" t="inlineStr">
        <is>
          <t>NS</t>
        </is>
      </c>
      <c r="C5669" s="156" t="inlineStr">
        <is>
          <t>DT-806</t>
        </is>
      </c>
      <c r="D5669" s="156" t="inlineStr">
        <is>
          <t>SKT 80S</t>
        </is>
      </c>
      <c r="E5669" s="156" t="inlineStr">
        <is>
          <t>Hauler</t>
        </is>
      </c>
      <c r="F5669" s="156" t="inlineStr"/>
      <c r="G5669" s="182" t="n">
        <v>0</v>
      </c>
      <c r="H5669" s="182" t="n">
        <v>0</v>
      </c>
      <c r="I5669" s="182" t="n">
        <v>12</v>
      </c>
      <c r="J5669" s="182" t="n">
        <v>12</v>
      </c>
      <c r="K5669" s="182" t="n">
        <v>0</v>
      </c>
      <c r="L5669" s="182" t="n">
        <v>12</v>
      </c>
      <c r="M5669" s="182" t="n">
        <v>0</v>
      </c>
      <c r="N5669" s="182" t="n">
        <v>0</v>
      </c>
      <c r="O5669" s="183" t="n">
        <v>0</v>
      </c>
      <c r="P5669" s="183" t="n">
        <v>0</v>
      </c>
      <c r="Q5669" s="184" t="n">
        <v>0</v>
      </c>
      <c r="R5669" s="184" t="n">
        <v>0</v>
      </c>
      <c r="S5669" s="183" t="n">
        <v>0</v>
      </c>
      <c r="T5669" s="183" t="n">
        <v>0</v>
      </c>
      <c r="U5669" s="182" t="n">
        <v>0</v>
      </c>
      <c r="V5669" s="182" t="n">
        <v>0</v>
      </c>
      <c r="W5669" s="182" t="n">
        <v>0</v>
      </c>
      <c r="X5669" s="182" t="n">
        <v>0</v>
      </c>
      <c r="Y5669" s="182" t="n">
        <v>0</v>
      </c>
      <c r="Z5669" s="182" t="n">
        <v>0</v>
      </c>
      <c r="AA5669" s="182" t="n">
        <v>0</v>
      </c>
      <c r="AB5669" s="182" t="n">
        <v>0</v>
      </c>
      <c r="AC5669" s="182" t="n">
        <v>0</v>
      </c>
      <c r="AD5669" s="182" t="n">
        <v>0</v>
      </c>
      <c r="AE5669" s="182" t="n">
        <v>0</v>
      </c>
      <c r="AF5669" s="182" t="n">
        <v>0</v>
      </c>
      <c r="AG5669" s="182" t="n">
        <v>0</v>
      </c>
      <c r="AH5669" s="182" t="n">
        <v>0</v>
      </c>
      <c r="AI5669" s="182" t="n">
        <v>0</v>
      </c>
      <c r="AJ5669" s="182" t="n">
        <v>0</v>
      </c>
      <c r="AK5669" s="182" t="n">
        <v>0</v>
      </c>
      <c r="AL5669" s="182" t="n">
        <v>0</v>
      </c>
      <c r="AM5669" s="182" t="n">
        <v>0</v>
      </c>
      <c r="AN5669" s="182" t="n">
        <v>0</v>
      </c>
    </row>
    <row r="5670">
      <c r="A5670" s="155" t="n">
        <v>46107</v>
      </c>
      <c r="B5670" s="156" t="inlineStr">
        <is>
          <t>NS</t>
        </is>
      </c>
      <c r="C5670" s="156" t="inlineStr">
        <is>
          <t>DT-805</t>
        </is>
      </c>
      <c r="D5670" s="156" t="inlineStr">
        <is>
          <t>SKT 80S</t>
        </is>
      </c>
      <c r="E5670" s="156" t="inlineStr">
        <is>
          <t>Hauler</t>
        </is>
      </c>
      <c r="F5670" s="156" t="inlineStr"/>
      <c r="G5670" s="182" t="n">
        <v>0</v>
      </c>
      <c r="H5670" s="182" t="n">
        <v>0</v>
      </c>
      <c r="I5670" s="182" t="n">
        <v>12</v>
      </c>
      <c r="J5670" s="182" t="n">
        <v>12</v>
      </c>
      <c r="K5670" s="182" t="n">
        <v>0</v>
      </c>
      <c r="L5670" s="182" t="n">
        <v>12</v>
      </c>
      <c r="M5670" s="182" t="n">
        <v>0</v>
      </c>
      <c r="N5670" s="182" t="n">
        <v>0</v>
      </c>
      <c r="O5670" s="183" t="n">
        <v>0</v>
      </c>
      <c r="P5670" s="183" t="n">
        <v>0</v>
      </c>
      <c r="Q5670" s="184" t="n">
        <v>0</v>
      </c>
      <c r="R5670" s="184" t="n">
        <v>0</v>
      </c>
      <c r="S5670" s="183" t="n">
        <v>0</v>
      </c>
      <c r="T5670" s="183" t="n">
        <v>0</v>
      </c>
      <c r="U5670" s="182" t="n">
        <v>0</v>
      </c>
      <c r="V5670" s="182" t="n">
        <v>0</v>
      </c>
      <c r="W5670" s="182" t="n">
        <v>0</v>
      </c>
      <c r="X5670" s="182" t="n">
        <v>0</v>
      </c>
      <c r="Y5670" s="182" t="n">
        <v>0</v>
      </c>
      <c r="Z5670" s="182" t="n">
        <v>0</v>
      </c>
      <c r="AA5670" s="182" t="n">
        <v>0</v>
      </c>
      <c r="AB5670" s="182" t="n">
        <v>0</v>
      </c>
      <c r="AC5670" s="182" t="n">
        <v>0</v>
      </c>
      <c r="AD5670" s="182" t="n">
        <v>0</v>
      </c>
      <c r="AE5670" s="182" t="n">
        <v>0</v>
      </c>
      <c r="AF5670" s="182" t="n">
        <v>0</v>
      </c>
      <c r="AG5670" s="182" t="n">
        <v>0</v>
      </c>
      <c r="AH5670" s="182" t="n">
        <v>0</v>
      </c>
      <c r="AI5670" s="182" t="n">
        <v>0</v>
      </c>
      <c r="AJ5670" s="182" t="n">
        <v>0</v>
      </c>
      <c r="AK5670" s="182" t="n">
        <v>0</v>
      </c>
      <c r="AL5670" s="182" t="n">
        <v>0</v>
      </c>
      <c r="AM5670" s="182" t="n">
        <v>0</v>
      </c>
      <c r="AN5670" s="182" t="n">
        <v>0</v>
      </c>
    </row>
    <row r="5671">
      <c r="A5671" s="155" t="n">
        <v>46107</v>
      </c>
      <c r="B5671" s="156" t="inlineStr">
        <is>
          <t>NS</t>
        </is>
      </c>
      <c r="C5671" s="156" t="inlineStr">
        <is>
          <t>DT-801</t>
        </is>
      </c>
      <c r="D5671" s="156" t="inlineStr">
        <is>
          <t>SKT 80S</t>
        </is>
      </c>
      <c r="E5671" s="156" t="inlineStr">
        <is>
          <t>Hauler</t>
        </is>
      </c>
      <c r="F5671" s="156" t="inlineStr"/>
      <c r="G5671" s="182" t="n">
        <v>0</v>
      </c>
      <c r="H5671" s="182" t="n">
        <v>0</v>
      </c>
      <c r="I5671" s="182" t="n">
        <v>12</v>
      </c>
      <c r="J5671" s="182" t="n">
        <v>12</v>
      </c>
      <c r="K5671" s="182" t="n">
        <v>0</v>
      </c>
      <c r="L5671" s="182" t="n">
        <v>12</v>
      </c>
      <c r="M5671" s="182" t="n">
        <v>0</v>
      </c>
      <c r="N5671" s="182" t="n">
        <v>0</v>
      </c>
      <c r="O5671" s="183" t="n">
        <v>0</v>
      </c>
      <c r="P5671" s="183" t="n">
        <v>0</v>
      </c>
      <c r="Q5671" s="184" t="n">
        <v>0</v>
      </c>
      <c r="R5671" s="184" t="n">
        <v>0</v>
      </c>
      <c r="S5671" s="183" t="n">
        <v>0</v>
      </c>
      <c r="T5671" s="183" t="n">
        <v>0</v>
      </c>
      <c r="U5671" s="182" t="n">
        <v>0</v>
      </c>
      <c r="V5671" s="182" t="n">
        <v>0</v>
      </c>
      <c r="W5671" s="182" t="n">
        <v>0</v>
      </c>
      <c r="X5671" s="182" t="n">
        <v>0</v>
      </c>
      <c r="Y5671" s="182" t="n">
        <v>0</v>
      </c>
      <c r="Z5671" s="182" t="n">
        <v>0</v>
      </c>
      <c r="AA5671" s="182" t="n">
        <v>0</v>
      </c>
      <c r="AB5671" s="182" t="n">
        <v>0</v>
      </c>
      <c r="AC5671" s="182" t="n">
        <v>0</v>
      </c>
      <c r="AD5671" s="182" t="n">
        <v>0</v>
      </c>
      <c r="AE5671" s="182" t="n">
        <v>0</v>
      </c>
      <c r="AF5671" s="182" t="n">
        <v>0</v>
      </c>
      <c r="AG5671" s="182" t="n">
        <v>0</v>
      </c>
      <c r="AH5671" s="182" t="n">
        <v>0</v>
      </c>
      <c r="AI5671" s="182" t="n">
        <v>0</v>
      </c>
      <c r="AJ5671" s="182" t="n">
        <v>0</v>
      </c>
      <c r="AK5671" s="182" t="n">
        <v>0</v>
      </c>
      <c r="AL5671" s="182" t="n">
        <v>0</v>
      </c>
      <c r="AM5671" s="182" t="n">
        <v>0</v>
      </c>
      <c r="AN5671" s="182" t="n">
        <v>0</v>
      </c>
    </row>
    <row r="5672">
      <c r="A5672" s="155" t="n">
        <v>46107</v>
      </c>
      <c r="B5672" s="156" t="inlineStr">
        <is>
          <t>NS</t>
        </is>
      </c>
      <c r="C5672" s="156" t="inlineStr">
        <is>
          <t>DT-808</t>
        </is>
      </c>
      <c r="D5672" s="156" t="inlineStr">
        <is>
          <t>SKT 80S</t>
        </is>
      </c>
      <c r="E5672" s="156" t="inlineStr">
        <is>
          <t>Hauler</t>
        </is>
      </c>
      <c r="F5672" s="156" t="inlineStr"/>
      <c r="G5672" s="182" t="n">
        <v>0</v>
      </c>
      <c r="H5672" s="182" t="n">
        <v>0</v>
      </c>
      <c r="I5672" s="182" t="n">
        <v>0</v>
      </c>
      <c r="J5672" s="182" t="n">
        <v>0</v>
      </c>
      <c r="K5672" s="182" t="n">
        <v>12</v>
      </c>
      <c r="L5672" s="182" t="n">
        <v>12</v>
      </c>
      <c r="M5672" s="182" t="n">
        <v>0</v>
      </c>
      <c r="N5672" s="182" t="n">
        <v>0</v>
      </c>
      <c r="O5672" s="183" t="n">
        <v>0</v>
      </c>
      <c r="P5672" s="183" t="n">
        <v>0</v>
      </c>
      <c r="Q5672" s="184" t="n">
        <v>0</v>
      </c>
      <c r="R5672" s="184" t="n">
        <v>0</v>
      </c>
      <c r="S5672" s="183" t="n">
        <v>0</v>
      </c>
      <c r="T5672" s="183" t="n">
        <v>0</v>
      </c>
      <c r="U5672" s="182" t="n">
        <v>0</v>
      </c>
      <c r="V5672" s="182" t="n">
        <v>0</v>
      </c>
      <c r="W5672" s="182" t="n">
        <v>0</v>
      </c>
      <c r="X5672" s="182" t="n">
        <v>1</v>
      </c>
      <c r="Y5672" s="182" t="n">
        <v>0</v>
      </c>
      <c r="Z5672" s="182" t="n">
        <v>0</v>
      </c>
      <c r="AA5672" s="182" t="n">
        <v>0</v>
      </c>
      <c r="AB5672" s="182" t="n">
        <v>0</v>
      </c>
      <c r="AC5672" s="182" t="n">
        <v>0</v>
      </c>
      <c r="AD5672" s="182" t="n">
        <v>0</v>
      </c>
      <c r="AE5672" s="182" t="n">
        <v>0</v>
      </c>
      <c r="AF5672" s="182" t="n">
        <v>0</v>
      </c>
      <c r="AG5672" s="182" t="n">
        <v>0</v>
      </c>
      <c r="AH5672" s="182" t="n">
        <v>0</v>
      </c>
      <c r="AI5672" s="182" t="n">
        <v>0</v>
      </c>
      <c r="AJ5672" s="182" t="n">
        <v>0</v>
      </c>
      <c r="AK5672" s="182" t="n">
        <v>10.92</v>
      </c>
      <c r="AL5672" s="182" t="n">
        <v>0</v>
      </c>
      <c r="AM5672" s="182" t="n">
        <v>0.08</v>
      </c>
      <c r="AN5672" s="182" t="n">
        <v>0</v>
      </c>
    </row>
    <row r="5673">
      <c r="A5673" s="155" t="n">
        <v>46107</v>
      </c>
      <c r="B5673" s="156" t="inlineStr">
        <is>
          <t>NS</t>
        </is>
      </c>
      <c r="C5673" s="156" t="inlineStr">
        <is>
          <t>DT-811</t>
        </is>
      </c>
      <c r="D5673" s="156" t="inlineStr">
        <is>
          <t>SKT 80S</t>
        </is>
      </c>
      <c r="E5673" s="156" t="inlineStr">
        <is>
          <t>Hauler</t>
        </is>
      </c>
      <c r="F5673" s="156" t="inlineStr"/>
      <c r="G5673" s="182" t="n">
        <v>0</v>
      </c>
      <c r="H5673" s="182" t="n">
        <v>0</v>
      </c>
      <c r="I5673" s="182" t="n">
        <v>12</v>
      </c>
      <c r="J5673" s="182" t="n">
        <v>12</v>
      </c>
      <c r="K5673" s="182" t="n">
        <v>0</v>
      </c>
      <c r="L5673" s="182" t="n">
        <v>12</v>
      </c>
      <c r="M5673" s="182" t="n">
        <v>0</v>
      </c>
      <c r="N5673" s="182" t="n">
        <v>0</v>
      </c>
      <c r="O5673" s="183" t="n">
        <v>0</v>
      </c>
      <c r="P5673" s="183" t="n">
        <v>0</v>
      </c>
      <c r="Q5673" s="184" t="n">
        <v>0</v>
      </c>
      <c r="R5673" s="184" t="n">
        <v>0</v>
      </c>
      <c r="S5673" s="183" t="n">
        <v>0</v>
      </c>
      <c r="T5673" s="183" t="n">
        <v>0</v>
      </c>
      <c r="U5673" s="182" t="n">
        <v>0</v>
      </c>
      <c r="V5673" s="182" t="n">
        <v>0</v>
      </c>
      <c r="W5673" s="182" t="n">
        <v>0</v>
      </c>
      <c r="X5673" s="182" t="n">
        <v>0</v>
      </c>
      <c r="Y5673" s="182" t="n">
        <v>0</v>
      </c>
      <c r="Z5673" s="182" t="n">
        <v>0</v>
      </c>
      <c r="AA5673" s="182" t="n">
        <v>0</v>
      </c>
      <c r="AB5673" s="182" t="n">
        <v>0</v>
      </c>
      <c r="AC5673" s="182" t="n">
        <v>0</v>
      </c>
      <c r="AD5673" s="182" t="n">
        <v>0</v>
      </c>
      <c r="AE5673" s="182" t="n">
        <v>0</v>
      </c>
      <c r="AF5673" s="182" t="n">
        <v>0</v>
      </c>
      <c r="AG5673" s="182" t="n">
        <v>0</v>
      </c>
      <c r="AH5673" s="182" t="n">
        <v>0</v>
      </c>
      <c r="AI5673" s="182" t="n">
        <v>0</v>
      </c>
      <c r="AJ5673" s="182" t="n">
        <v>0</v>
      </c>
      <c r="AK5673" s="182" t="n">
        <v>0</v>
      </c>
      <c r="AL5673" s="182" t="n">
        <v>0</v>
      </c>
      <c r="AM5673" s="182" t="n">
        <v>0</v>
      </c>
      <c r="AN5673" s="182" t="n">
        <v>0</v>
      </c>
    </row>
    <row r="5674">
      <c r="A5674" s="155" t="n">
        <v>46107</v>
      </c>
      <c r="B5674" s="156" t="inlineStr">
        <is>
          <t>NS</t>
        </is>
      </c>
      <c r="C5674" s="156" t="inlineStr">
        <is>
          <t>DT-802</t>
        </is>
      </c>
      <c r="D5674" s="156" t="inlineStr">
        <is>
          <t>SKT 80S</t>
        </is>
      </c>
      <c r="E5674" s="156" t="inlineStr">
        <is>
          <t>Hauler</t>
        </is>
      </c>
      <c r="F5674" s="156" t="inlineStr"/>
      <c r="G5674" s="182" t="n">
        <v>0</v>
      </c>
      <c r="H5674" s="182" t="n">
        <v>0</v>
      </c>
      <c r="I5674" s="182" t="n">
        <v>0</v>
      </c>
      <c r="J5674" s="182" t="n">
        <v>0</v>
      </c>
      <c r="K5674" s="182" t="n">
        <v>12</v>
      </c>
      <c r="L5674" s="182" t="n">
        <v>12</v>
      </c>
      <c r="M5674" s="182" t="n">
        <v>0</v>
      </c>
      <c r="N5674" s="182" t="n">
        <v>0</v>
      </c>
      <c r="O5674" s="183" t="n">
        <v>0</v>
      </c>
      <c r="P5674" s="183" t="n">
        <v>0</v>
      </c>
      <c r="Q5674" s="184" t="n">
        <v>0</v>
      </c>
      <c r="R5674" s="184" t="n">
        <v>0</v>
      </c>
      <c r="S5674" s="183" t="n">
        <v>0</v>
      </c>
      <c r="T5674" s="183" t="n">
        <v>0</v>
      </c>
      <c r="U5674" s="182" t="n">
        <v>0</v>
      </c>
      <c r="V5674" s="182" t="n">
        <v>0</v>
      </c>
      <c r="W5674" s="182" t="n">
        <v>0</v>
      </c>
      <c r="X5674" s="182" t="n">
        <v>1</v>
      </c>
      <c r="Y5674" s="182" t="n">
        <v>0</v>
      </c>
      <c r="Z5674" s="182" t="n">
        <v>0</v>
      </c>
      <c r="AA5674" s="182" t="n">
        <v>0</v>
      </c>
      <c r="AB5674" s="182" t="n">
        <v>0</v>
      </c>
      <c r="AC5674" s="182" t="n">
        <v>0</v>
      </c>
      <c r="AD5674" s="182" t="n">
        <v>0</v>
      </c>
      <c r="AE5674" s="182" t="n">
        <v>0</v>
      </c>
      <c r="AF5674" s="182" t="n">
        <v>0</v>
      </c>
      <c r="AG5674" s="182" t="n">
        <v>0</v>
      </c>
      <c r="AH5674" s="182" t="n">
        <v>0</v>
      </c>
      <c r="AI5674" s="182" t="n">
        <v>0</v>
      </c>
      <c r="AJ5674" s="182" t="n">
        <v>0</v>
      </c>
      <c r="AK5674" s="182" t="n">
        <v>10.92</v>
      </c>
      <c r="AL5674" s="182" t="n">
        <v>0</v>
      </c>
      <c r="AM5674" s="182" t="n">
        <v>0.08</v>
      </c>
      <c r="AN5674" s="182" t="n">
        <v>0</v>
      </c>
    </row>
    <row r="5675">
      <c r="A5675" s="155" t="n">
        <v>46107</v>
      </c>
      <c r="B5675" s="156" t="inlineStr">
        <is>
          <t>NS</t>
        </is>
      </c>
      <c r="C5675" s="156" t="inlineStr">
        <is>
          <t>DT-807</t>
        </is>
      </c>
      <c r="D5675" s="156" t="inlineStr">
        <is>
          <t>SKT 80S</t>
        </is>
      </c>
      <c r="E5675" s="156" t="inlineStr">
        <is>
          <t>Hauler</t>
        </is>
      </c>
      <c r="F5675" s="156" t="inlineStr"/>
      <c r="G5675" s="182" t="n">
        <v>0</v>
      </c>
      <c r="H5675" s="182" t="n">
        <v>0</v>
      </c>
      <c r="I5675" s="182" t="n">
        <v>12</v>
      </c>
      <c r="J5675" s="182" t="n">
        <v>12</v>
      </c>
      <c r="K5675" s="182" t="n">
        <v>0</v>
      </c>
      <c r="L5675" s="182" t="n">
        <v>12</v>
      </c>
      <c r="M5675" s="182" t="n">
        <v>0</v>
      </c>
      <c r="N5675" s="182" t="n">
        <v>0</v>
      </c>
      <c r="O5675" s="183" t="n">
        <v>0</v>
      </c>
      <c r="P5675" s="183" t="n">
        <v>0</v>
      </c>
      <c r="Q5675" s="184" t="n">
        <v>0</v>
      </c>
      <c r="R5675" s="184" t="n">
        <v>0</v>
      </c>
      <c r="S5675" s="183" t="n">
        <v>0</v>
      </c>
      <c r="T5675" s="183" t="n">
        <v>0</v>
      </c>
      <c r="U5675" s="182" t="n">
        <v>0</v>
      </c>
      <c r="V5675" s="182" t="n">
        <v>0</v>
      </c>
      <c r="W5675" s="182" t="n">
        <v>0</v>
      </c>
      <c r="X5675" s="182" t="n">
        <v>0</v>
      </c>
      <c r="Y5675" s="182" t="n">
        <v>0</v>
      </c>
      <c r="Z5675" s="182" t="n">
        <v>0</v>
      </c>
      <c r="AA5675" s="182" t="n">
        <v>0</v>
      </c>
      <c r="AB5675" s="182" t="n">
        <v>0</v>
      </c>
      <c r="AC5675" s="182" t="n">
        <v>0</v>
      </c>
      <c r="AD5675" s="182" t="n">
        <v>0</v>
      </c>
      <c r="AE5675" s="182" t="n">
        <v>0</v>
      </c>
      <c r="AF5675" s="182" t="n">
        <v>0</v>
      </c>
      <c r="AG5675" s="182" t="n">
        <v>0</v>
      </c>
      <c r="AH5675" s="182" t="n">
        <v>0</v>
      </c>
      <c r="AI5675" s="182" t="n">
        <v>0</v>
      </c>
      <c r="AJ5675" s="182" t="n">
        <v>0</v>
      </c>
      <c r="AK5675" s="182" t="n">
        <v>0</v>
      </c>
      <c r="AL5675" s="182" t="n">
        <v>0</v>
      </c>
      <c r="AM5675" s="182" t="n">
        <v>0</v>
      </c>
      <c r="AN5675" s="182" t="n">
        <v>0</v>
      </c>
    </row>
    <row r="5676">
      <c r="A5676" s="155" t="n">
        <v>46107</v>
      </c>
      <c r="B5676" s="156" t="inlineStr">
        <is>
          <t>NS</t>
        </is>
      </c>
      <c r="C5676" s="156" t="inlineStr">
        <is>
          <t>DT-812</t>
        </is>
      </c>
      <c r="D5676" s="156" t="inlineStr">
        <is>
          <t>SKT 80S</t>
        </is>
      </c>
      <c r="E5676" s="156" t="inlineStr">
        <is>
          <t>Hauler</t>
        </is>
      </c>
      <c r="F5676" s="156" t="inlineStr"/>
      <c r="G5676" s="182" t="n">
        <v>0</v>
      </c>
      <c r="H5676" s="182" t="n">
        <v>0</v>
      </c>
      <c r="I5676" s="182" t="n">
        <v>0</v>
      </c>
      <c r="J5676" s="182" t="n">
        <v>0</v>
      </c>
      <c r="K5676" s="182" t="n">
        <v>12</v>
      </c>
      <c r="L5676" s="182" t="n">
        <v>12</v>
      </c>
      <c r="M5676" s="182" t="n">
        <v>0</v>
      </c>
      <c r="N5676" s="182" t="n">
        <v>0</v>
      </c>
      <c r="O5676" s="183" t="n">
        <v>0</v>
      </c>
      <c r="P5676" s="183" t="n">
        <v>0</v>
      </c>
      <c r="Q5676" s="184" t="n">
        <v>0</v>
      </c>
      <c r="R5676" s="184" t="n">
        <v>0</v>
      </c>
      <c r="S5676" s="183" t="n">
        <v>0</v>
      </c>
      <c r="T5676" s="183" t="n">
        <v>0</v>
      </c>
      <c r="U5676" s="182" t="n">
        <v>0</v>
      </c>
      <c r="V5676" s="182" t="n">
        <v>0</v>
      </c>
      <c r="W5676" s="182" t="n">
        <v>0</v>
      </c>
      <c r="X5676" s="182" t="n">
        <v>1</v>
      </c>
      <c r="Y5676" s="182" t="n">
        <v>0</v>
      </c>
      <c r="Z5676" s="182" t="n">
        <v>0</v>
      </c>
      <c r="AA5676" s="182" t="n">
        <v>0</v>
      </c>
      <c r="AB5676" s="182" t="n">
        <v>0</v>
      </c>
      <c r="AC5676" s="182" t="n">
        <v>0</v>
      </c>
      <c r="AD5676" s="182" t="n">
        <v>0</v>
      </c>
      <c r="AE5676" s="182" t="n">
        <v>0</v>
      </c>
      <c r="AF5676" s="182" t="n">
        <v>0</v>
      </c>
      <c r="AG5676" s="182" t="n">
        <v>0</v>
      </c>
      <c r="AH5676" s="182" t="n">
        <v>0</v>
      </c>
      <c r="AI5676" s="182" t="n">
        <v>0</v>
      </c>
      <c r="AJ5676" s="182" t="n">
        <v>0</v>
      </c>
      <c r="AK5676" s="182" t="n">
        <v>10.92</v>
      </c>
      <c r="AL5676" s="182" t="n">
        <v>0</v>
      </c>
      <c r="AM5676" s="182" t="n">
        <v>0.08</v>
      </c>
      <c r="AN5676" s="182" t="n">
        <v>0</v>
      </c>
    </row>
    <row r="5677">
      <c r="A5677" s="155" t="n">
        <v>46107</v>
      </c>
      <c r="B5677" s="156" t="inlineStr">
        <is>
          <t>NS</t>
        </is>
      </c>
      <c r="C5677" s="156" t="inlineStr">
        <is>
          <t>DT-803</t>
        </is>
      </c>
      <c r="D5677" s="156" t="inlineStr">
        <is>
          <t>SKT 80S</t>
        </is>
      </c>
      <c r="E5677" s="156" t="inlineStr">
        <is>
          <t>Hauler</t>
        </is>
      </c>
      <c r="F5677" s="156" t="inlineStr"/>
      <c r="G5677" s="182" t="n">
        <v>0</v>
      </c>
      <c r="H5677" s="182" t="n">
        <v>0</v>
      </c>
      <c r="I5677" s="182" t="n">
        <v>0</v>
      </c>
      <c r="J5677" s="182" t="n">
        <v>0</v>
      </c>
      <c r="K5677" s="182" t="n">
        <v>12</v>
      </c>
      <c r="L5677" s="182" t="n">
        <v>12</v>
      </c>
      <c r="M5677" s="182" t="n">
        <v>0</v>
      </c>
      <c r="N5677" s="182" t="n">
        <v>0</v>
      </c>
      <c r="O5677" s="183" t="n">
        <v>0</v>
      </c>
      <c r="P5677" s="183" t="n">
        <v>0</v>
      </c>
      <c r="Q5677" s="184" t="n">
        <v>0</v>
      </c>
      <c r="R5677" s="184" t="n">
        <v>0</v>
      </c>
      <c r="S5677" s="183" t="n">
        <v>0</v>
      </c>
      <c r="T5677" s="183" t="n">
        <v>0</v>
      </c>
      <c r="U5677" s="182" t="n">
        <v>0</v>
      </c>
      <c r="V5677" s="182" t="n">
        <v>0</v>
      </c>
      <c r="W5677" s="182" t="n">
        <v>0</v>
      </c>
      <c r="X5677" s="182" t="n">
        <v>1</v>
      </c>
      <c r="Y5677" s="182" t="n">
        <v>0</v>
      </c>
      <c r="Z5677" s="182" t="n">
        <v>0</v>
      </c>
      <c r="AA5677" s="182" t="n">
        <v>0</v>
      </c>
      <c r="AB5677" s="182" t="n">
        <v>0</v>
      </c>
      <c r="AC5677" s="182" t="n">
        <v>0</v>
      </c>
      <c r="AD5677" s="182" t="n">
        <v>0</v>
      </c>
      <c r="AE5677" s="182" t="n">
        <v>0</v>
      </c>
      <c r="AF5677" s="182" t="n">
        <v>0</v>
      </c>
      <c r="AG5677" s="182" t="n">
        <v>0</v>
      </c>
      <c r="AH5677" s="182" t="n">
        <v>0</v>
      </c>
      <c r="AI5677" s="182" t="n">
        <v>0</v>
      </c>
      <c r="AJ5677" s="182" t="n">
        <v>0</v>
      </c>
      <c r="AK5677" s="182" t="n">
        <v>10.92</v>
      </c>
      <c r="AL5677" s="182" t="n">
        <v>0</v>
      </c>
      <c r="AM5677" s="182" t="n">
        <v>0.08</v>
      </c>
      <c r="AN5677" s="182" t="n">
        <v>0</v>
      </c>
    </row>
    <row r="5678">
      <c r="A5678" s="155" t="n">
        <v>46107</v>
      </c>
      <c r="B5678" s="156" t="inlineStr">
        <is>
          <t>NS</t>
        </is>
      </c>
      <c r="C5678" s="156" t="inlineStr">
        <is>
          <t>DT-810</t>
        </is>
      </c>
      <c r="D5678" s="156" t="inlineStr">
        <is>
          <t>SKT 80S</t>
        </is>
      </c>
      <c r="E5678" s="156" t="inlineStr">
        <is>
          <t>Hauler</t>
        </is>
      </c>
      <c r="F5678" s="156" t="inlineStr"/>
      <c r="G5678" s="182" t="n">
        <v>0</v>
      </c>
      <c r="H5678" s="182" t="n">
        <v>0</v>
      </c>
      <c r="I5678" s="182" t="n">
        <v>0</v>
      </c>
      <c r="J5678" s="182" t="n">
        <v>0</v>
      </c>
      <c r="K5678" s="182" t="n">
        <v>12</v>
      </c>
      <c r="L5678" s="182" t="n">
        <v>12</v>
      </c>
      <c r="M5678" s="182" t="n">
        <v>0</v>
      </c>
      <c r="N5678" s="182" t="n">
        <v>0</v>
      </c>
      <c r="O5678" s="183" t="n">
        <v>0</v>
      </c>
      <c r="P5678" s="183" t="n">
        <v>0</v>
      </c>
      <c r="Q5678" s="184" t="n">
        <v>0</v>
      </c>
      <c r="R5678" s="184" t="n">
        <v>0</v>
      </c>
      <c r="S5678" s="183" t="n">
        <v>0</v>
      </c>
      <c r="T5678" s="183" t="n">
        <v>0</v>
      </c>
      <c r="U5678" s="182" t="n">
        <v>0</v>
      </c>
      <c r="V5678" s="182" t="n">
        <v>0</v>
      </c>
      <c r="W5678" s="182" t="n">
        <v>0</v>
      </c>
      <c r="X5678" s="182" t="n">
        <v>1</v>
      </c>
      <c r="Y5678" s="182" t="n">
        <v>0</v>
      </c>
      <c r="Z5678" s="182" t="n">
        <v>0</v>
      </c>
      <c r="AA5678" s="182" t="n">
        <v>0</v>
      </c>
      <c r="AB5678" s="182" t="n">
        <v>0</v>
      </c>
      <c r="AC5678" s="182" t="n">
        <v>0</v>
      </c>
      <c r="AD5678" s="182" t="n">
        <v>0</v>
      </c>
      <c r="AE5678" s="182" t="n">
        <v>0</v>
      </c>
      <c r="AF5678" s="182" t="n">
        <v>0</v>
      </c>
      <c r="AG5678" s="182" t="n">
        <v>0</v>
      </c>
      <c r="AH5678" s="182" t="n">
        <v>0</v>
      </c>
      <c r="AI5678" s="182" t="n">
        <v>0</v>
      </c>
      <c r="AJ5678" s="182" t="n">
        <v>0</v>
      </c>
      <c r="AK5678" s="182" t="n">
        <v>10.92</v>
      </c>
      <c r="AL5678" s="182" t="n">
        <v>0</v>
      </c>
      <c r="AM5678" s="182" t="n">
        <v>0.08</v>
      </c>
      <c r="AN5678" s="182" t="n">
        <v>0</v>
      </c>
    </row>
    <row r="5679">
      <c r="A5679" s="155" t="n">
        <v>46107</v>
      </c>
      <c r="B5679" s="156" t="inlineStr">
        <is>
          <t>NS</t>
        </is>
      </c>
      <c r="C5679" s="156" t="inlineStr">
        <is>
          <t>DT-804</t>
        </is>
      </c>
      <c r="D5679" s="156" t="inlineStr">
        <is>
          <t>SKT 80S</t>
        </is>
      </c>
      <c r="E5679" s="156" t="inlineStr">
        <is>
          <t>Hauler</t>
        </is>
      </c>
      <c r="F5679" s="156" t="inlineStr"/>
      <c r="G5679" s="182" t="n">
        <v>0</v>
      </c>
      <c r="H5679" s="182" t="n">
        <v>0</v>
      </c>
      <c r="I5679" s="182" t="n">
        <v>0</v>
      </c>
      <c r="J5679" s="182" t="n">
        <v>0</v>
      </c>
      <c r="K5679" s="182" t="n">
        <v>12</v>
      </c>
      <c r="L5679" s="182" t="n">
        <v>12</v>
      </c>
      <c r="M5679" s="182" t="n">
        <v>0</v>
      </c>
      <c r="N5679" s="182" t="n">
        <v>0</v>
      </c>
      <c r="O5679" s="183" t="n">
        <v>0</v>
      </c>
      <c r="P5679" s="183" t="n">
        <v>0</v>
      </c>
      <c r="Q5679" s="184" t="n">
        <v>0</v>
      </c>
      <c r="R5679" s="184" t="n">
        <v>0</v>
      </c>
      <c r="S5679" s="183" t="n">
        <v>0</v>
      </c>
      <c r="T5679" s="183" t="n">
        <v>0</v>
      </c>
      <c r="U5679" s="182" t="n">
        <v>0</v>
      </c>
      <c r="V5679" s="182" t="n">
        <v>0</v>
      </c>
      <c r="W5679" s="182" t="n">
        <v>0</v>
      </c>
      <c r="X5679" s="182" t="n">
        <v>1</v>
      </c>
      <c r="Y5679" s="182" t="n">
        <v>0</v>
      </c>
      <c r="Z5679" s="182" t="n">
        <v>0</v>
      </c>
      <c r="AA5679" s="182" t="n">
        <v>0</v>
      </c>
      <c r="AB5679" s="182" t="n">
        <v>0</v>
      </c>
      <c r="AC5679" s="182" t="n">
        <v>0</v>
      </c>
      <c r="AD5679" s="182" t="n">
        <v>0</v>
      </c>
      <c r="AE5679" s="182" t="n">
        <v>0</v>
      </c>
      <c r="AF5679" s="182" t="n">
        <v>0</v>
      </c>
      <c r="AG5679" s="182" t="n">
        <v>0</v>
      </c>
      <c r="AH5679" s="182" t="n">
        <v>0</v>
      </c>
      <c r="AI5679" s="182" t="n">
        <v>0</v>
      </c>
      <c r="AJ5679" s="182" t="n">
        <v>0</v>
      </c>
      <c r="AK5679" s="182" t="n">
        <v>10.92</v>
      </c>
      <c r="AL5679" s="182" t="n">
        <v>0</v>
      </c>
      <c r="AM5679" s="182" t="n">
        <v>0.08</v>
      </c>
      <c r="AN5679" s="182" t="n">
        <v>0</v>
      </c>
    </row>
    <row r="5680">
      <c r="A5680" s="155" t="n">
        <v>46107</v>
      </c>
      <c r="B5680" s="156" t="inlineStr">
        <is>
          <t>NS</t>
        </is>
      </c>
      <c r="C5680" s="156" t="inlineStr">
        <is>
          <t>DT-505</t>
        </is>
      </c>
      <c r="D5680" s="156" t="inlineStr">
        <is>
          <t>SKT 105S</t>
        </is>
      </c>
      <c r="E5680" s="156" t="inlineStr">
        <is>
          <t>Hauler</t>
        </is>
      </c>
      <c r="F5680" s="156" t="inlineStr">
        <is>
          <t>Travel</t>
        </is>
      </c>
      <c r="G5680" s="182" t="n">
        <v>0.5</v>
      </c>
      <c r="H5680" s="182" t="n">
        <v>0</v>
      </c>
      <c r="I5680" s="182" t="n">
        <v>0.43</v>
      </c>
      <c r="J5680" s="182" t="n">
        <v>0.43</v>
      </c>
      <c r="K5680" s="182" t="n">
        <v>11.07</v>
      </c>
      <c r="L5680" s="182" t="n">
        <v>12</v>
      </c>
      <c r="M5680" s="182" t="n">
        <v>0</v>
      </c>
      <c r="N5680" s="182" t="n">
        <v>0</v>
      </c>
      <c r="O5680" s="183" t="n">
        <v>0</v>
      </c>
      <c r="P5680" s="183" t="n">
        <v>0</v>
      </c>
      <c r="Q5680" s="184" t="n">
        <v>0</v>
      </c>
      <c r="R5680" s="184" t="n">
        <v>0</v>
      </c>
      <c r="S5680" s="183" t="n">
        <v>0</v>
      </c>
      <c r="T5680" s="183" t="n">
        <v>0</v>
      </c>
      <c r="U5680" s="182" t="n">
        <v>4.08</v>
      </c>
      <c r="V5680" s="182" t="n">
        <v>0</v>
      </c>
      <c r="W5680" s="182" t="n">
        <v>0</v>
      </c>
      <c r="X5680" s="182" t="n">
        <v>1</v>
      </c>
      <c r="Y5680" s="182" t="n">
        <v>0</v>
      </c>
      <c r="Z5680" s="182" t="n">
        <v>0</v>
      </c>
      <c r="AA5680" s="182" t="n">
        <v>0</v>
      </c>
      <c r="AB5680" s="182" t="n">
        <v>0</v>
      </c>
      <c r="AC5680" s="182" t="n">
        <v>0</v>
      </c>
      <c r="AD5680" s="182" t="n">
        <v>0</v>
      </c>
      <c r="AE5680" s="182" t="n">
        <v>0</v>
      </c>
      <c r="AF5680" s="182" t="n">
        <v>0</v>
      </c>
      <c r="AG5680" s="182" t="n">
        <v>0</v>
      </c>
      <c r="AH5680" s="182" t="n">
        <v>0</v>
      </c>
      <c r="AI5680" s="182" t="n">
        <v>5.9</v>
      </c>
      <c r="AJ5680" s="182" t="n">
        <v>0</v>
      </c>
      <c r="AK5680" s="182" t="n">
        <v>0</v>
      </c>
      <c r="AL5680" s="182" t="n">
        <v>0</v>
      </c>
      <c r="AM5680" s="182" t="n">
        <v>0.08</v>
      </c>
      <c r="AN5680" s="182" t="n">
        <v>0</v>
      </c>
    </row>
    <row r="5681">
      <c r="A5681" s="155" t="n">
        <v>46107</v>
      </c>
      <c r="B5681" s="156" t="inlineStr">
        <is>
          <t>NS</t>
        </is>
      </c>
      <c r="C5681" s="156" t="inlineStr">
        <is>
          <t>DT-530</t>
        </is>
      </c>
      <c r="D5681" s="156" t="inlineStr">
        <is>
          <t>SKT 105S</t>
        </is>
      </c>
      <c r="E5681" s="156" t="inlineStr">
        <is>
          <t>Hauler</t>
        </is>
      </c>
      <c r="F5681" s="156" t="inlineStr"/>
      <c r="G5681" s="182" t="n">
        <v>0</v>
      </c>
      <c r="H5681" s="182" t="n">
        <v>0</v>
      </c>
      <c r="I5681" s="182" t="n">
        <v>12</v>
      </c>
      <c r="J5681" s="182" t="n">
        <v>12</v>
      </c>
      <c r="K5681" s="182" t="n">
        <v>0</v>
      </c>
      <c r="L5681" s="182" t="n">
        <v>12</v>
      </c>
      <c r="M5681" s="182" t="n">
        <v>0</v>
      </c>
      <c r="N5681" s="182" t="n">
        <v>0</v>
      </c>
      <c r="O5681" s="183" t="n">
        <v>0</v>
      </c>
      <c r="P5681" s="183" t="n">
        <v>0</v>
      </c>
      <c r="Q5681" s="184" t="n">
        <v>0</v>
      </c>
      <c r="R5681" s="184" t="n">
        <v>0</v>
      </c>
      <c r="S5681" s="183" t="n">
        <v>0</v>
      </c>
      <c r="T5681" s="183" t="n">
        <v>0</v>
      </c>
      <c r="U5681" s="182" t="n">
        <v>0</v>
      </c>
      <c r="V5681" s="182" t="n">
        <v>0</v>
      </c>
      <c r="W5681" s="182" t="n">
        <v>0</v>
      </c>
      <c r="X5681" s="182" t="n">
        <v>0</v>
      </c>
      <c r="Y5681" s="182" t="n">
        <v>0</v>
      </c>
      <c r="Z5681" s="182" t="n">
        <v>0</v>
      </c>
      <c r="AA5681" s="182" t="n">
        <v>0</v>
      </c>
      <c r="AB5681" s="182" t="n">
        <v>0</v>
      </c>
      <c r="AC5681" s="182" t="n">
        <v>0</v>
      </c>
      <c r="AD5681" s="182" t="n">
        <v>0</v>
      </c>
      <c r="AE5681" s="182" t="n">
        <v>0</v>
      </c>
      <c r="AF5681" s="182" t="n">
        <v>0</v>
      </c>
      <c r="AG5681" s="182" t="n">
        <v>0</v>
      </c>
      <c r="AH5681" s="182" t="n">
        <v>0</v>
      </c>
      <c r="AI5681" s="182" t="n">
        <v>0</v>
      </c>
      <c r="AJ5681" s="182" t="n">
        <v>0</v>
      </c>
      <c r="AK5681" s="182" t="n">
        <v>0</v>
      </c>
      <c r="AL5681" s="182" t="n">
        <v>0</v>
      </c>
      <c r="AM5681" s="182" t="n">
        <v>0</v>
      </c>
      <c r="AN5681" s="182" t="n">
        <v>0</v>
      </c>
    </row>
    <row r="5682">
      <c r="A5682" s="155" t="n">
        <v>46107</v>
      </c>
      <c r="B5682" s="156" t="inlineStr">
        <is>
          <t>NS</t>
        </is>
      </c>
      <c r="C5682" s="156" t="inlineStr">
        <is>
          <t>DT-525</t>
        </is>
      </c>
      <c r="D5682" s="156" t="inlineStr">
        <is>
          <t>SKT 105S</t>
        </is>
      </c>
      <c r="E5682" s="156" t="inlineStr">
        <is>
          <t>Hauler</t>
        </is>
      </c>
      <c r="F5682" s="156" t="inlineStr"/>
      <c r="G5682" s="182" t="n">
        <v>0</v>
      </c>
      <c r="H5682" s="182" t="n">
        <v>0</v>
      </c>
      <c r="I5682" s="182" t="n">
        <v>12</v>
      </c>
      <c r="J5682" s="182" t="n">
        <v>12</v>
      </c>
      <c r="K5682" s="182" t="n">
        <v>0</v>
      </c>
      <c r="L5682" s="182" t="n">
        <v>12</v>
      </c>
      <c r="M5682" s="182" t="n">
        <v>0</v>
      </c>
      <c r="N5682" s="182" t="n">
        <v>0</v>
      </c>
      <c r="O5682" s="183" t="n">
        <v>0</v>
      </c>
      <c r="P5682" s="183" t="n">
        <v>0</v>
      </c>
      <c r="Q5682" s="184" t="n">
        <v>0</v>
      </c>
      <c r="R5682" s="184" t="n">
        <v>0</v>
      </c>
      <c r="S5682" s="183" t="n">
        <v>0</v>
      </c>
      <c r="T5682" s="183" t="n">
        <v>0</v>
      </c>
      <c r="U5682" s="182" t="n">
        <v>0</v>
      </c>
      <c r="V5682" s="182" t="n">
        <v>0</v>
      </c>
      <c r="W5682" s="182" t="n">
        <v>0</v>
      </c>
      <c r="X5682" s="182" t="n">
        <v>0</v>
      </c>
      <c r="Y5682" s="182" t="n">
        <v>0</v>
      </c>
      <c r="Z5682" s="182" t="n">
        <v>0</v>
      </c>
      <c r="AA5682" s="182" t="n">
        <v>0</v>
      </c>
      <c r="AB5682" s="182" t="n">
        <v>0</v>
      </c>
      <c r="AC5682" s="182" t="n">
        <v>0</v>
      </c>
      <c r="AD5682" s="182" t="n">
        <v>0</v>
      </c>
      <c r="AE5682" s="182" t="n">
        <v>0</v>
      </c>
      <c r="AF5682" s="182" t="n">
        <v>0</v>
      </c>
      <c r="AG5682" s="182" t="n">
        <v>0</v>
      </c>
      <c r="AH5682" s="182" t="n">
        <v>0</v>
      </c>
      <c r="AI5682" s="182" t="n">
        <v>0</v>
      </c>
      <c r="AJ5682" s="182" t="n">
        <v>0</v>
      </c>
      <c r="AK5682" s="182" t="n">
        <v>0</v>
      </c>
      <c r="AL5682" s="182" t="n">
        <v>0</v>
      </c>
      <c r="AM5682" s="182" t="n">
        <v>0</v>
      </c>
      <c r="AN5682" s="182" t="n">
        <v>0</v>
      </c>
    </row>
    <row r="5683">
      <c r="A5683" s="155" t="n">
        <v>46107</v>
      </c>
      <c r="B5683" s="156" t="inlineStr">
        <is>
          <t>NS</t>
        </is>
      </c>
      <c r="C5683" s="156" t="inlineStr">
        <is>
          <t>DT-503</t>
        </is>
      </c>
      <c r="D5683" s="156" t="inlineStr">
        <is>
          <t>SKT 105S</t>
        </is>
      </c>
      <c r="E5683" s="156" t="inlineStr">
        <is>
          <t>Hauler</t>
        </is>
      </c>
      <c r="F5683" s="156" t="inlineStr">
        <is>
          <t>Hauling OB</t>
        </is>
      </c>
      <c r="G5683" s="182" t="n">
        <v>6.06</v>
      </c>
      <c r="H5683" s="182" t="n">
        <v>0</v>
      </c>
      <c r="I5683" s="182" t="n">
        <v>0</v>
      </c>
      <c r="J5683" s="182" t="n">
        <v>0</v>
      </c>
      <c r="K5683" s="182" t="n">
        <v>5.94</v>
      </c>
      <c r="L5683" s="182" t="n">
        <v>12</v>
      </c>
      <c r="M5683" s="182" t="n">
        <v>6.06</v>
      </c>
      <c r="N5683" s="182" t="n">
        <v>0</v>
      </c>
      <c r="O5683" s="183" t="n">
        <v>22</v>
      </c>
      <c r="P5683" s="183" t="n">
        <v>0</v>
      </c>
      <c r="Q5683" s="184" t="n">
        <v>448.8</v>
      </c>
      <c r="R5683" s="184" t="n">
        <v>0</v>
      </c>
      <c r="S5683" s="183" t="n">
        <v>0</v>
      </c>
      <c r="T5683" s="183" t="n">
        <v>0</v>
      </c>
      <c r="U5683" s="182" t="n">
        <v>4.11</v>
      </c>
      <c r="V5683" s="182" t="n">
        <v>0.75</v>
      </c>
      <c r="W5683" s="182" t="n">
        <v>0</v>
      </c>
      <c r="X5683" s="182" t="n">
        <v>1.01</v>
      </c>
      <c r="Y5683" s="182" t="n">
        <v>0</v>
      </c>
      <c r="Z5683" s="182" t="n">
        <v>0</v>
      </c>
      <c r="AA5683" s="182" t="n">
        <v>0</v>
      </c>
      <c r="AB5683" s="182" t="n">
        <v>0</v>
      </c>
      <c r="AC5683" s="182" t="n">
        <v>0</v>
      </c>
      <c r="AD5683" s="182" t="n">
        <v>0</v>
      </c>
      <c r="AE5683" s="182" t="n">
        <v>0</v>
      </c>
      <c r="AF5683" s="182" t="n">
        <v>0</v>
      </c>
      <c r="AG5683" s="182" t="n">
        <v>0</v>
      </c>
      <c r="AH5683" s="182" t="n">
        <v>0</v>
      </c>
      <c r="AI5683" s="182" t="n">
        <v>0</v>
      </c>
      <c r="AJ5683" s="182" t="n">
        <v>0</v>
      </c>
      <c r="AK5683" s="182" t="n">
        <v>0</v>
      </c>
      <c r="AL5683" s="182" t="n">
        <v>0</v>
      </c>
      <c r="AM5683" s="182" t="n">
        <v>0.08</v>
      </c>
      <c r="AN5683" s="182" t="n">
        <v>0</v>
      </c>
    </row>
    <row r="5684">
      <c r="A5684" s="155" t="n">
        <v>46107</v>
      </c>
      <c r="B5684" s="156" t="inlineStr">
        <is>
          <t>NS</t>
        </is>
      </c>
      <c r="C5684" s="156" t="inlineStr">
        <is>
          <t>DT-504</t>
        </is>
      </c>
      <c r="D5684" s="156" t="inlineStr">
        <is>
          <t>SKT 105S</t>
        </is>
      </c>
      <c r="E5684" s="156" t="inlineStr">
        <is>
          <t>Hauler</t>
        </is>
      </c>
      <c r="F5684" s="156" t="inlineStr">
        <is>
          <t>Hauling OB</t>
        </is>
      </c>
      <c r="G5684" s="182" t="n">
        <v>0.4</v>
      </c>
      <c r="H5684" s="182" t="n">
        <v>0</v>
      </c>
      <c r="I5684" s="182" t="n">
        <v>0</v>
      </c>
      <c r="J5684" s="182" t="n">
        <v>0</v>
      </c>
      <c r="K5684" s="182" t="n">
        <v>11.6</v>
      </c>
      <c r="L5684" s="182" t="n">
        <v>12</v>
      </c>
      <c r="M5684" s="182" t="n">
        <v>0.4</v>
      </c>
      <c r="N5684" s="182" t="n">
        <v>0</v>
      </c>
      <c r="O5684" s="183" t="n">
        <v>1</v>
      </c>
      <c r="P5684" s="183" t="n">
        <v>0</v>
      </c>
      <c r="Q5684" s="184" t="n">
        <v>20.4</v>
      </c>
      <c r="R5684" s="184" t="n">
        <v>0</v>
      </c>
      <c r="S5684" s="183" t="n">
        <v>0</v>
      </c>
      <c r="T5684" s="183" t="n">
        <v>0</v>
      </c>
      <c r="U5684" s="182" t="n">
        <v>4.08</v>
      </c>
      <c r="V5684" s="182" t="n">
        <v>0</v>
      </c>
      <c r="W5684" s="182" t="n">
        <v>0</v>
      </c>
      <c r="X5684" s="182" t="n">
        <v>1</v>
      </c>
      <c r="Y5684" s="182" t="n">
        <v>0</v>
      </c>
      <c r="Z5684" s="182" t="n">
        <v>0</v>
      </c>
      <c r="AA5684" s="182" t="n">
        <v>0</v>
      </c>
      <c r="AB5684" s="182" t="n">
        <v>0</v>
      </c>
      <c r="AC5684" s="182" t="n">
        <v>0</v>
      </c>
      <c r="AD5684" s="182" t="n">
        <v>0</v>
      </c>
      <c r="AE5684" s="182" t="n">
        <v>0</v>
      </c>
      <c r="AF5684" s="182" t="n">
        <v>0</v>
      </c>
      <c r="AG5684" s="182" t="n">
        <v>0</v>
      </c>
      <c r="AH5684" s="182" t="n">
        <v>0</v>
      </c>
      <c r="AI5684" s="182" t="n">
        <v>6.44</v>
      </c>
      <c r="AJ5684" s="182" t="n">
        <v>0</v>
      </c>
      <c r="AK5684" s="182" t="n">
        <v>0</v>
      </c>
      <c r="AL5684" s="182" t="n">
        <v>0</v>
      </c>
      <c r="AM5684" s="182" t="n">
        <v>0.08</v>
      </c>
      <c r="AN5684" s="182" t="n">
        <v>0</v>
      </c>
    </row>
    <row r="5685">
      <c r="A5685" s="155" t="n">
        <v>46107</v>
      </c>
      <c r="B5685" s="156" t="inlineStr">
        <is>
          <t>NS</t>
        </is>
      </c>
      <c r="C5685" s="156" t="inlineStr">
        <is>
          <t>DT-507</t>
        </is>
      </c>
      <c r="D5685" s="156" t="inlineStr">
        <is>
          <t>SKT 105S</t>
        </is>
      </c>
      <c r="E5685" s="156" t="inlineStr">
        <is>
          <t>Hauler</t>
        </is>
      </c>
      <c r="F5685" s="156" t="inlineStr"/>
      <c r="G5685" s="182" t="n">
        <v>0</v>
      </c>
      <c r="H5685" s="182" t="n">
        <v>0</v>
      </c>
      <c r="I5685" s="182" t="n">
        <v>0.17</v>
      </c>
      <c r="J5685" s="182" t="n">
        <v>0.17</v>
      </c>
      <c r="K5685" s="182" t="n">
        <v>11.83</v>
      </c>
      <c r="L5685" s="182" t="n">
        <v>12</v>
      </c>
      <c r="M5685" s="182" t="n">
        <v>0</v>
      </c>
      <c r="N5685" s="182" t="n">
        <v>0</v>
      </c>
      <c r="O5685" s="183" t="n">
        <v>0</v>
      </c>
      <c r="P5685" s="183" t="n">
        <v>0</v>
      </c>
      <c r="Q5685" s="184" t="n">
        <v>0</v>
      </c>
      <c r="R5685" s="184" t="n">
        <v>0</v>
      </c>
      <c r="S5685" s="183" t="n">
        <v>0</v>
      </c>
      <c r="T5685" s="183" t="n">
        <v>0</v>
      </c>
      <c r="U5685" s="182" t="n">
        <v>4.08</v>
      </c>
      <c r="V5685" s="182" t="n">
        <v>0</v>
      </c>
      <c r="W5685" s="182" t="n">
        <v>0</v>
      </c>
      <c r="X5685" s="182" t="n">
        <v>1</v>
      </c>
      <c r="Y5685" s="182" t="n">
        <v>0</v>
      </c>
      <c r="Z5685" s="182" t="n">
        <v>0</v>
      </c>
      <c r="AA5685" s="182" t="n">
        <v>0</v>
      </c>
      <c r="AB5685" s="182" t="n">
        <v>0</v>
      </c>
      <c r="AC5685" s="182" t="n">
        <v>0</v>
      </c>
      <c r="AD5685" s="182" t="n">
        <v>0</v>
      </c>
      <c r="AE5685" s="182" t="n">
        <v>0</v>
      </c>
      <c r="AF5685" s="182" t="n">
        <v>0</v>
      </c>
      <c r="AG5685" s="182" t="n">
        <v>0</v>
      </c>
      <c r="AH5685" s="182" t="n">
        <v>0</v>
      </c>
      <c r="AI5685" s="182" t="n">
        <v>6.67</v>
      </c>
      <c r="AJ5685" s="182" t="n">
        <v>0</v>
      </c>
      <c r="AK5685" s="182" t="n">
        <v>0</v>
      </c>
      <c r="AL5685" s="182" t="n">
        <v>0</v>
      </c>
      <c r="AM5685" s="182" t="n">
        <v>0.08</v>
      </c>
      <c r="AN5685" s="182" t="n">
        <v>0</v>
      </c>
    </row>
    <row r="5686">
      <c r="A5686" s="155" t="n">
        <v>46107</v>
      </c>
      <c r="B5686" s="156" t="inlineStr">
        <is>
          <t>NS</t>
        </is>
      </c>
      <c r="C5686" s="156" t="inlineStr">
        <is>
          <t>DT-501</t>
        </is>
      </c>
      <c r="D5686" s="156" t="inlineStr">
        <is>
          <t>SKT 105S</t>
        </is>
      </c>
      <c r="E5686" s="156" t="inlineStr">
        <is>
          <t>Hauler</t>
        </is>
      </c>
      <c r="F5686" s="156" t="inlineStr"/>
      <c r="G5686" s="182" t="n">
        <v>0</v>
      </c>
      <c r="H5686" s="182" t="n">
        <v>0</v>
      </c>
      <c r="I5686" s="182" t="n">
        <v>0</v>
      </c>
      <c r="J5686" s="182" t="n">
        <v>0</v>
      </c>
      <c r="K5686" s="182" t="n">
        <v>12</v>
      </c>
      <c r="L5686" s="182" t="n">
        <v>12</v>
      </c>
      <c r="M5686" s="182" t="n">
        <v>0</v>
      </c>
      <c r="N5686" s="182" t="n">
        <v>0</v>
      </c>
      <c r="O5686" s="183" t="n">
        <v>0</v>
      </c>
      <c r="P5686" s="183" t="n">
        <v>0</v>
      </c>
      <c r="Q5686" s="184" t="n">
        <v>0</v>
      </c>
      <c r="R5686" s="184" t="n">
        <v>0</v>
      </c>
      <c r="S5686" s="183" t="n">
        <v>0</v>
      </c>
      <c r="T5686" s="183" t="n">
        <v>0</v>
      </c>
      <c r="U5686" s="182" t="n">
        <v>0</v>
      </c>
      <c r="V5686" s="182" t="n">
        <v>0</v>
      </c>
      <c r="W5686" s="182" t="n">
        <v>0</v>
      </c>
      <c r="X5686" s="182" t="n">
        <v>1</v>
      </c>
      <c r="Y5686" s="182" t="n">
        <v>0</v>
      </c>
      <c r="Z5686" s="182" t="n">
        <v>0</v>
      </c>
      <c r="AA5686" s="182" t="n">
        <v>0</v>
      </c>
      <c r="AB5686" s="182" t="n">
        <v>0</v>
      </c>
      <c r="AC5686" s="182" t="n">
        <v>0</v>
      </c>
      <c r="AD5686" s="182" t="n">
        <v>0</v>
      </c>
      <c r="AE5686" s="182" t="n">
        <v>0</v>
      </c>
      <c r="AF5686" s="182" t="n">
        <v>0</v>
      </c>
      <c r="AG5686" s="182" t="n">
        <v>0</v>
      </c>
      <c r="AH5686" s="182" t="n">
        <v>0</v>
      </c>
      <c r="AI5686" s="182" t="n">
        <v>10.92</v>
      </c>
      <c r="AJ5686" s="182" t="n">
        <v>0</v>
      </c>
      <c r="AK5686" s="182" t="n">
        <v>0</v>
      </c>
      <c r="AL5686" s="182" t="n">
        <v>0</v>
      </c>
      <c r="AM5686" s="182" t="n">
        <v>0.08</v>
      </c>
      <c r="AN5686" s="182" t="n">
        <v>0</v>
      </c>
    </row>
    <row r="5687">
      <c r="A5687" s="155" t="n">
        <v>46107</v>
      </c>
      <c r="B5687" s="156" t="inlineStr">
        <is>
          <t>NS</t>
        </is>
      </c>
      <c r="C5687" s="156" t="inlineStr">
        <is>
          <t>DT-518</t>
        </is>
      </c>
      <c r="D5687" s="156" t="inlineStr">
        <is>
          <t>SKT 105S</t>
        </is>
      </c>
      <c r="E5687" s="156" t="inlineStr">
        <is>
          <t>Hauler</t>
        </is>
      </c>
      <c r="F5687" s="156" t="inlineStr">
        <is>
          <t>Hauling OB</t>
        </is>
      </c>
      <c r="G5687" s="182" t="n">
        <v>6.09</v>
      </c>
      <c r="H5687" s="182" t="n">
        <v>0</v>
      </c>
      <c r="I5687" s="182" t="n">
        <v>0</v>
      </c>
      <c r="J5687" s="182" t="n">
        <v>0</v>
      </c>
      <c r="K5687" s="182" t="n">
        <v>5.91</v>
      </c>
      <c r="L5687" s="182" t="n">
        <v>12</v>
      </c>
      <c r="M5687" s="182" t="n">
        <v>6.09</v>
      </c>
      <c r="N5687" s="182" t="n">
        <v>0</v>
      </c>
      <c r="O5687" s="183" t="n">
        <v>22</v>
      </c>
      <c r="P5687" s="183" t="n">
        <v>0</v>
      </c>
      <c r="Q5687" s="184" t="n">
        <v>448.8</v>
      </c>
      <c r="R5687" s="184" t="n">
        <v>0</v>
      </c>
      <c r="S5687" s="183" t="n">
        <v>0</v>
      </c>
      <c r="T5687" s="183" t="n">
        <v>0</v>
      </c>
      <c r="U5687" s="182" t="n">
        <v>4.02</v>
      </c>
      <c r="V5687" s="182" t="n">
        <v>0.83</v>
      </c>
      <c r="W5687" s="182" t="n">
        <v>0</v>
      </c>
      <c r="X5687" s="182" t="n">
        <v>0.98</v>
      </c>
      <c r="Y5687" s="182" t="n">
        <v>0</v>
      </c>
      <c r="Z5687" s="182" t="n">
        <v>0</v>
      </c>
      <c r="AA5687" s="182" t="n">
        <v>0</v>
      </c>
      <c r="AB5687" s="182" t="n">
        <v>0</v>
      </c>
      <c r="AC5687" s="182" t="n">
        <v>0</v>
      </c>
      <c r="AD5687" s="182" t="n">
        <v>0</v>
      </c>
      <c r="AE5687" s="182" t="n">
        <v>0</v>
      </c>
      <c r="AF5687" s="182" t="n">
        <v>0</v>
      </c>
      <c r="AG5687" s="182" t="n">
        <v>0</v>
      </c>
      <c r="AH5687" s="182" t="n">
        <v>0</v>
      </c>
      <c r="AI5687" s="182" t="n">
        <v>0</v>
      </c>
      <c r="AJ5687" s="182" t="n">
        <v>0</v>
      </c>
      <c r="AK5687" s="182" t="n">
        <v>0</v>
      </c>
      <c r="AL5687" s="182" t="n">
        <v>0</v>
      </c>
      <c r="AM5687" s="182" t="n">
        <v>0.08</v>
      </c>
      <c r="AN5687" s="182" t="n">
        <v>0</v>
      </c>
    </row>
    <row r="5688">
      <c r="A5688" s="155" t="n">
        <v>46107</v>
      </c>
      <c r="B5688" s="156" t="inlineStr">
        <is>
          <t>NS</t>
        </is>
      </c>
      <c r="C5688" s="156" t="inlineStr">
        <is>
          <t>DT-514</t>
        </is>
      </c>
      <c r="D5688" s="156" t="inlineStr">
        <is>
          <t>SKT 105S</t>
        </is>
      </c>
      <c r="E5688" s="156" t="inlineStr">
        <is>
          <t>Hauler</t>
        </is>
      </c>
      <c r="F5688" s="156" t="inlineStr"/>
      <c r="G5688" s="182" t="n">
        <v>0</v>
      </c>
      <c r="H5688" s="182" t="n">
        <v>0</v>
      </c>
      <c r="I5688" s="182" t="n">
        <v>12</v>
      </c>
      <c r="J5688" s="182" t="n">
        <v>12</v>
      </c>
      <c r="K5688" s="182" t="n">
        <v>0</v>
      </c>
      <c r="L5688" s="182" t="n">
        <v>12</v>
      </c>
      <c r="M5688" s="182" t="n">
        <v>0</v>
      </c>
      <c r="N5688" s="182" t="n">
        <v>0</v>
      </c>
      <c r="O5688" s="183" t="n">
        <v>0</v>
      </c>
      <c r="P5688" s="183" t="n">
        <v>0</v>
      </c>
      <c r="Q5688" s="184" t="n">
        <v>0</v>
      </c>
      <c r="R5688" s="184" t="n">
        <v>0</v>
      </c>
      <c r="S5688" s="183" t="n">
        <v>0</v>
      </c>
      <c r="T5688" s="183" t="n">
        <v>0</v>
      </c>
      <c r="U5688" s="182" t="n">
        <v>0</v>
      </c>
      <c r="V5688" s="182" t="n">
        <v>0</v>
      </c>
      <c r="W5688" s="182" t="n">
        <v>0</v>
      </c>
      <c r="X5688" s="182" t="n">
        <v>0</v>
      </c>
      <c r="Y5688" s="182" t="n">
        <v>0</v>
      </c>
      <c r="Z5688" s="182" t="n">
        <v>0</v>
      </c>
      <c r="AA5688" s="182" t="n">
        <v>0</v>
      </c>
      <c r="AB5688" s="182" t="n">
        <v>0</v>
      </c>
      <c r="AC5688" s="182" t="n">
        <v>0</v>
      </c>
      <c r="AD5688" s="182" t="n">
        <v>0</v>
      </c>
      <c r="AE5688" s="182" t="n">
        <v>0</v>
      </c>
      <c r="AF5688" s="182" t="n">
        <v>0</v>
      </c>
      <c r="AG5688" s="182" t="n">
        <v>0</v>
      </c>
      <c r="AH5688" s="182" t="n">
        <v>0</v>
      </c>
      <c r="AI5688" s="182" t="n">
        <v>0</v>
      </c>
      <c r="AJ5688" s="182" t="n">
        <v>0</v>
      </c>
      <c r="AK5688" s="182" t="n">
        <v>0</v>
      </c>
      <c r="AL5688" s="182" t="n">
        <v>0</v>
      </c>
      <c r="AM5688" s="182" t="n">
        <v>0</v>
      </c>
      <c r="AN5688" s="182" t="n">
        <v>0</v>
      </c>
    </row>
    <row r="5689">
      <c r="A5689" s="155" t="n">
        <v>46107</v>
      </c>
      <c r="B5689" s="156" t="inlineStr">
        <is>
          <t>NS</t>
        </is>
      </c>
      <c r="C5689" s="156" t="inlineStr">
        <is>
          <t>DT-523</t>
        </is>
      </c>
      <c r="D5689" s="156" t="inlineStr">
        <is>
          <t>SKT 105S</t>
        </is>
      </c>
      <c r="E5689" s="156" t="inlineStr">
        <is>
          <t>Hauler</t>
        </is>
      </c>
      <c r="F5689" s="156" t="inlineStr">
        <is>
          <t>Hauling OB</t>
        </is>
      </c>
      <c r="G5689" s="182" t="n">
        <v>6</v>
      </c>
      <c r="H5689" s="182" t="n">
        <v>0</v>
      </c>
      <c r="I5689" s="182" t="n">
        <v>0</v>
      </c>
      <c r="J5689" s="182" t="n">
        <v>0</v>
      </c>
      <c r="K5689" s="182" t="n">
        <v>6</v>
      </c>
      <c r="L5689" s="182" t="n">
        <v>12</v>
      </c>
      <c r="M5689" s="182" t="n">
        <v>6</v>
      </c>
      <c r="N5689" s="182" t="n">
        <v>0</v>
      </c>
      <c r="O5689" s="183" t="n">
        <v>20</v>
      </c>
      <c r="P5689" s="183" t="n">
        <v>0</v>
      </c>
      <c r="Q5689" s="184" t="n">
        <v>408</v>
      </c>
      <c r="R5689" s="184" t="n">
        <v>0</v>
      </c>
      <c r="S5689" s="183" t="n">
        <v>0</v>
      </c>
      <c r="T5689" s="183" t="n">
        <v>0</v>
      </c>
      <c r="U5689" s="182" t="n">
        <v>4.15</v>
      </c>
      <c r="V5689" s="182" t="n">
        <v>0.75</v>
      </c>
      <c r="W5689" s="182" t="n">
        <v>0</v>
      </c>
      <c r="X5689" s="182" t="n">
        <v>1.02</v>
      </c>
      <c r="Y5689" s="182" t="n">
        <v>0</v>
      </c>
      <c r="Z5689" s="182" t="n">
        <v>0</v>
      </c>
      <c r="AA5689" s="182" t="n">
        <v>0</v>
      </c>
      <c r="AB5689" s="182" t="n">
        <v>0</v>
      </c>
      <c r="AC5689" s="182" t="n">
        <v>0</v>
      </c>
      <c r="AD5689" s="182" t="n">
        <v>0</v>
      </c>
      <c r="AE5689" s="182" t="n">
        <v>0</v>
      </c>
      <c r="AF5689" s="182" t="n">
        <v>0</v>
      </c>
      <c r="AG5689" s="182" t="n">
        <v>0</v>
      </c>
      <c r="AH5689" s="182" t="n">
        <v>0</v>
      </c>
      <c r="AI5689" s="182" t="n">
        <v>0</v>
      </c>
      <c r="AJ5689" s="182" t="n">
        <v>0</v>
      </c>
      <c r="AK5689" s="182" t="n">
        <v>0</v>
      </c>
      <c r="AL5689" s="182" t="n">
        <v>0</v>
      </c>
      <c r="AM5689" s="182" t="n">
        <v>0.08</v>
      </c>
      <c r="AN5689" s="182" t="n">
        <v>0</v>
      </c>
    </row>
    <row r="5690">
      <c r="A5690" s="155" t="n">
        <v>46107</v>
      </c>
      <c r="B5690" s="156" t="inlineStr">
        <is>
          <t>NS</t>
        </is>
      </c>
      <c r="C5690" s="156" t="inlineStr">
        <is>
          <t>DT-519</t>
        </is>
      </c>
      <c r="D5690" s="156" t="inlineStr">
        <is>
          <t>SKT 105S</t>
        </is>
      </c>
      <c r="E5690" s="156" t="inlineStr">
        <is>
          <t>Hauler</t>
        </is>
      </c>
      <c r="F5690" s="156" t="inlineStr"/>
      <c r="G5690" s="182" t="n">
        <v>0</v>
      </c>
      <c r="H5690" s="182" t="n">
        <v>0</v>
      </c>
      <c r="I5690" s="182" t="n">
        <v>12</v>
      </c>
      <c r="J5690" s="182" t="n">
        <v>12</v>
      </c>
      <c r="K5690" s="182" t="n">
        <v>0</v>
      </c>
      <c r="L5690" s="182" t="n">
        <v>12</v>
      </c>
      <c r="M5690" s="182" t="n">
        <v>0</v>
      </c>
      <c r="N5690" s="182" t="n">
        <v>0</v>
      </c>
      <c r="O5690" s="183" t="n">
        <v>0</v>
      </c>
      <c r="P5690" s="183" t="n">
        <v>0</v>
      </c>
      <c r="Q5690" s="184" t="n">
        <v>0</v>
      </c>
      <c r="R5690" s="184" t="n">
        <v>0</v>
      </c>
      <c r="S5690" s="183" t="n">
        <v>0</v>
      </c>
      <c r="T5690" s="183" t="n">
        <v>0</v>
      </c>
      <c r="U5690" s="182" t="n">
        <v>0</v>
      </c>
      <c r="V5690" s="182" t="n">
        <v>0</v>
      </c>
      <c r="W5690" s="182" t="n">
        <v>0</v>
      </c>
      <c r="X5690" s="182" t="n">
        <v>0</v>
      </c>
      <c r="Y5690" s="182" t="n">
        <v>0</v>
      </c>
      <c r="Z5690" s="182" t="n">
        <v>0</v>
      </c>
      <c r="AA5690" s="182" t="n">
        <v>0</v>
      </c>
      <c r="AB5690" s="182" t="n">
        <v>0</v>
      </c>
      <c r="AC5690" s="182" t="n">
        <v>0</v>
      </c>
      <c r="AD5690" s="182" t="n">
        <v>0</v>
      </c>
      <c r="AE5690" s="182" t="n">
        <v>0</v>
      </c>
      <c r="AF5690" s="182" t="n">
        <v>0</v>
      </c>
      <c r="AG5690" s="182" t="n">
        <v>0</v>
      </c>
      <c r="AH5690" s="182" t="n">
        <v>0</v>
      </c>
      <c r="AI5690" s="182" t="n">
        <v>0</v>
      </c>
      <c r="AJ5690" s="182" t="n">
        <v>0</v>
      </c>
      <c r="AK5690" s="182" t="n">
        <v>0</v>
      </c>
      <c r="AL5690" s="182" t="n">
        <v>0</v>
      </c>
      <c r="AM5690" s="182" t="n">
        <v>0</v>
      </c>
      <c r="AN5690" s="182" t="n">
        <v>0</v>
      </c>
    </row>
    <row r="5691">
      <c r="A5691" s="155" t="n">
        <v>46107</v>
      </c>
      <c r="B5691" s="156" t="inlineStr">
        <is>
          <t>NS</t>
        </is>
      </c>
      <c r="C5691" s="156" t="inlineStr">
        <is>
          <t>DT-527</t>
        </is>
      </c>
      <c r="D5691" s="156" t="inlineStr">
        <is>
          <t>SKT 105S</t>
        </is>
      </c>
      <c r="E5691" s="156" t="inlineStr">
        <is>
          <t>Hauler</t>
        </is>
      </c>
      <c r="F5691" s="156" t="inlineStr">
        <is>
          <t>Hauling OB</t>
        </is>
      </c>
      <c r="G5691" s="182" t="n">
        <v>6.66</v>
      </c>
      <c r="H5691" s="182" t="n">
        <v>0</v>
      </c>
      <c r="I5691" s="182" t="n">
        <v>0</v>
      </c>
      <c r="J5691" s="182" t="n">
        <v>0</v>
      </c>
      <c r="K5691" s="182" t="n">
        <v>5.34</v>
      </c>
      <c r="L5691" s="182" t="n">
        <v>12</v>
      </c>
      <c r="M5691" s="182" t="n">
        <v>6.66</v>
      </c>
      <c r="N5691" s="182" t="n">
        <v>0</v>
      </c>
      <c r="O5691" s="183" t="n">
        <v>25</v>
      </c>
      <c r="P5691" s="183" t="n">
        <v>0</v>
      </c>
      <c r="Q5691" s="184" t="n">
        <v>510</v>
      </c>
      <c r="R5691" s="184" t="n">
        <v>0</v>
      </c>
      <c r="S5691" s="183" t="n">
        <v>0</v>
      </c>
      <c r="T5691" s="183" t="n">
        <v>0</v>
      </c>
      <c r="U5691" s="182" t="n">
        <v>3.76</v>
      </c>
      <c r="V5691" s="182" t="n">
        <v>0.59</v>
      </c>
      <c r="W5691" s="182" t="n">
        <v>0</v>
      </c>
      <c r="X5691" s="182" t="n">
        <v>0.92</v>
      </c>
      <c r="Y5691" s="182" t="n">
        <v>0</v>
      </c>
      <c r="Z5691" s="182" t="n">
        <v>0</v>
      </c>
      <c r="AA5691" s="182" t="n">
        <v>0</v>
      </c>
      <c r="AB5691" s="182" t="n">
        <v>0</v>
      </c>
      <c r="AC5691" s="182" t="n">
        <v>0</v>
      </c>
      <c r="AD5691" s="182" t="n">
        <v>0</v>
      </c>
      <c r="AE5691" s="182" t="n">
        <v>0</v>
      </c>
      <c r="AF5691" s="182" t="n">
        <v>0</v>
      </c>
      <c r="AG5691" s="182" t="n">
        <v>0</v>
      </c>
      <c r="AH5691" s="182" t="n">
        <v>0</v>
      </c>
      <c r="AI5691" s="182" t="n">
        <v>0</v>
      </c>
      <c r="AJ5691" s="182" t="n">
        <v>0</v>
      </c>
      <c r="AK5691" s="182" t="n">
        <v>0</v>
      </c>
      <c r="AL5691" s="182" t="n">
        <v>0</v>
      </c>
      <c r="AM5691" s="182" t="n">
        <v>0.07000000000000001</v>
      </c>
      <c r="AN5691" s="182" t="n">
        <v>0</v>
      </c>
    </row>
    <row r="5692">
      <c r="A5692" s="155" t="n">
        <v>46107</v>
      </c>
      <c r="B5692" s="156" t="inlineStr">
        <is>
          <t>NS</t>
        </is>
      </c>
      <c r="C5692" s="156" t="inlineStr">
        <is>
          <t>DT-513</t>
        </is>
      </c>
      <c r="D5692" s="156" t="inlineStr">
        <is>
          <t>SKT 105S</t>
        </is>
      </c>
      <c r="E5692" s="156" t="inlineStr">
        <is>
          <t>Hauler</t>
        </is>
      </c>
      <c r="F5692" s="156" t="inlineStr">
        <is>
          <t>Hauling OB</t>
        </is>
      </c>
      <c r="G5692" s="182" t="n">
        <v>6.48</v>
      </c>
      <c r="H5692" s="182" t="n">
        <v>0</v>
      </c>
      <c r="I5692" s="182" t="n">
        <v>0</v>
      </c>
      <c r="J5692" s="182" t="n">
        <v>0</v>
      </c>
      <c r="K5692" s="182" t="n">
        <v>5.52</v>
      </c>
      <c r="L5692" s="182" t="n">
        <v>12</v>
      </c>
      <c r="M5692" s="182" t="n">
        <v>6.48</v>
      </c>
      <c r="N5692" s="182" t="n">
        <v>0</v>
      </c>
      <c r="O5692" s="183" t="n">
        <v>25</v>
      </c>
      <c r="P5692" s="183" t="n">
        <v>0</v>
      </c>
      <c r="Q5692" s="184" t="n">
        <v>510</v>
      </c>
      <c r="R5692" s="184" t="n">
        <v>0</v>
      </c>
      <c r="S5692" s="183" t="n">
        <v>0</v>
      </c>
      <c r="T5692" s="183" t="n">
        <v>0</v>
      </c>
      <c r="U5692" s="182" t="n">
        <v>3.75</v>
      </c>
      <c r="V5692" s="182" t="n">
        <v>0.77</v>
      </c>
      <c r="W5692" s="182" t="n">
        <v>0</v>
      </c>
      <c r="X5692" s="182" t="n">
        <v>0.92</v>
      </c>
      <c r="Y5692" s="182" t="n">
        <v>0</v>
      </c>
      <c r="Z5692" s="182" t="n">
        <v>0</v>
      </c>
      <c r="AA5692" s="182" t="n">
        <v>0</v>
      </c>
      <c r="AB5692" s="182" t="n">
        <v>0</v>
      </c>
      <c r="AC5692" s="182" t="n">
        <v>0</v>
      </c>
      <c r="AD5692" s="182" t="n">
        <v>0</v>
      </c>
      <c r="AE5692" s="182" t="n">
        <v>0</v>
      </c>
      <c r="AF5692" s="182" t="n">
        <v>0</v>
      </c>
      <c r="AG5692" s="182" t="n">
        <v>0</v>
      </c>
      <c r="AH5692" s="182" t="n">
        <v>0</v>
      </c>
      <c r="AI5692" s="182" t="n">
        <v>0</v>
      </c>
      <c r="AJ5692" s="182" t="n">
        <v>0</v>
      </c>
      <c r="AK5692" s="182" t="n">
        <v>0</v>
      </c>
      <c r="AL5692" s="182" t="n">
        <v>0</v>
      </c>
      <c r="AM5692" s="182" t="n">
        <v>0.07000000000000001</v>
      </c>
      <c r="AN5692" s="182" t="n">
        <v>0</v>
      </c>
    </row>
    <row r="5693">
      <c r="A5693" s="155" t="n">
        <v>46107</v>
      </c>
      <c r="B5693" s="156" t="inlineStr">
        <is>
          <t>NS</t>
        </is>
      </c>
      <c r="C5693" s="156" t="inlineStr">
        <is>
          <t>DT-512</t>
        </is>
      </c>
      <c r="D5693" s="156" t="inlineStr">
        <is>
          <t>SKT 105S</t>
        </is>
      </c>
      <c r="E5693" s="156" t="inlineStr">
        <is>
          <t>Hauler</t>
        </is>
      </c>
      <c r="F5693" s="156" t="inlineStr"/>
      <c r="G5693" s="182" t="n">
        <v>0</v>
      </c>
      <c r="H5693" s="182" t="n">
        <v>0</v>
      </c>
      <c r="I5693" s="182" t="n">
        <v>0</v>
      </c>
      <c r="J5693" s="182" t="n">
        <v>0</v>
      </c>
      <c r="K5693" s="182" t="n">
        <v>12</v>
      </c>
      <c r="L5693" s="182" t="n">
        <v>12</v>
      </c>
      <c r="M5693" s="182" t="n">
        <v>0</v>
      </c>
      <c r="N5693" s="182" t="n">
        <v>0</v>
      </c>
      <c r="O5693" s="183" t="n">
        <v>0</v>
      </c>
      <c r="P5693" s="183" t="n">
        <v>0</v>
      </c>
      <c r="Q5693" s="184" t="n">
        <v>0</v>
      </c>
      <c r="R5693" s="184" t="n">
        <v>0</v>
      </c>
      <c r="S5693" s="183" t="n">
        <v>0</v>
      </c>
      <c r="T5693" s="183" t="n">
        <v>0</v>
      </c>
      <c r="U5693" s="182" t="n">
        <v>0</v>
      </c>
      <c r="V5693" s="182" t="n">
        <v>0</v>
      </c>
      <c r="W5693" s="182" t="n">
        <v>0</v>
      </c>
      <c r="X5693" s="182" t="n">
        <v>1</v>
      </c>
      <c r="Y5693" s="182" t="n">
        <v>0</v>
      </c>
      <c r="Z5693" s="182" t="n">
        <v>0</v>
      </c>
      <c r="AA5693" s="182" t="n">
        <v>0</v>
      </c>
      <c r="AB5693" s="182" t="n">
        <v>0</v>
      </c>
      <c r="AC5693" s="182" t="n">
        <v>0</v>
      </c>
      <c r="AD5693" s="182" t="n">
        <v>0</v>
      </c>
      <c r="AE5693" s="182" t="n">
        <v>0</v>
      </c>
      <c r="AF5693" s="182" t="n">
        <v>0</v>
      </c>
      <c r="AG5693" s="182" t="n">
        <v>0</v>
      </c>
      <c r="AH5693" s="182" t="n">
        <v>0</v>
      </c>
      <c r="AI5693" s="182" t="n">
        <v>10.92</v>
      </c>
      <c r="AJ5693" s="182" t="n">
        <v>0</v>
      </c>
      <c r="AK5693" s="182" t="n">
        <v>0</v>
      </c>
      <c r="AL5693" s="182" t="n">
        <v>0</v>
      </c>
      <c r="AM5693" s="182" t="n">
        <v>0.08</v>
      </c>
      <c r="AN5693" s="182" t="n">
        <v>0</v>
      </c>
    </row>
    <row r="5694">
      <c r="A5694" s="155" t="n">
        <v>46107</v>
      </c>
      <c r="B5694" s="156" t="inlineStr">
        <is>
          <t>NS</t>
        </is>
      </c>
      <c r="C5694" s="156" t="inlineStr">
        <is>
          <t>DT-522</t>
        </is>
      </c>
      <c r="D5694" s="156" t="inlineStr">
        <is>
          <t>SKT 105S</t>
        </is>
      </c>
      <c r="E5694" s="156" t="inlineStr">
        <is>
          <t>Hauler</t>
        </is>
      </c>
      <c r="F5694" s="156" t="inlineStr">
        <is>
          <t>Hauling OB</t>
        </is>
      </c>
      <c r="G5694" s="182" t="n">
        <v>5.95</v>
      </c>
      <c r="H5694" s="182" t="n">
        <v>0</v>
      </c>
      <c r="I5694" s="182" t="n">
        <v>0</v>
      </c>
      <c r="J5694" s="182" t="n">
        <v>0</v>
      </c>
      <c r="K5694" s="182" t="n">
        <v>6.05</v>
      </c>
      <c r="L5694" s="182" t="n">
        <v>12</v>
      </c>
      <c r="M5694" s="182" t="n">
        <v>5.95</v>
      </c>
      <c r="N5694" s="182" t="n">
        <v>0</v>
      </c>
      <c r="O5694" s="183" t="n">
        <v>21</v>
      </c>
      <c r="P5694" s="183" t="n">
        <v>0</v>
      </c>
      <c r="Q5694" s="184" t="n">
        <v>428.4</v>
      </c>
      <c r="R5694" s="184" t="n">
        <v>0</v>
      </c>
      <c r="S5694" s="183" t="n">
        <v>0</v>
      </c>
      <c r="T5694" s="183" t="n">
        <v>0</v>
      </c>
      <c r="U5694" s="182" t="n">
        <v>4.05</v>
      </c>
      <c r="V5694" s="182" t="n">
        <v>0.93</v>
      </c>
      <c r="W5694" s="182" t="n">
        <v>0</v>
      </c>
      <c r="X5694" s="182" t="n">
        <v>0.99</v>
      </c>
      <c r="Y5694" s="182" t="n">
        <v>0</v>
      </c>
      <c r="Z5694" s="182" t="n">
        <v>0</v>
      </c>
      <c r="AA5694" s="182" t="n">
        <v>0</v>
      </c>
      <c r="AB5694" s="182" t="n">
        <v>0</v>
      </c>
      <c r="AC5694" s="182" t="n">
        <v>0</v>
      </c>
      <c r="AD5694" s="182" t="n">
        <v>0</v>
      </c>
      <c r="AE5694" s="182" t="n">
        <v>0</v>
      </c>
      <c r="AF5694" s="182" t="n">
        <v>0</v>
      </c>
      <c r="AG5694" s="182" t="n">
        <v>0</v>
      </c>
      <c r="AH5694" s="182" t="n">
        <v>0</v>
      </c>
      <c r="AI5694" s="182" t="n">
        <v>0</v>
      </c>
      <c r="AJ5694" s="182" t="n">
        <v>0</v>
      </c>
      <c r="AK5694" s="182" t="n">
        <v>0</v>
      </c>
      <c r="AL5694" s="182" t="n">
        <v>0</v>
      </c>
      <c r="AM5694" s="182" t="n">
        <v>0.08</v>
      </c>
      <c r="AN5694" s="182" t="n">
        <v>0</v>
      </c>
    </row>
    <row r="5695">
      <c r="A5695" s="155" t="n">
        <v>46107</v>
      </c>
      <c r="B5695" s="156" t="inlineStr">
        <is>
          <t>NS</t>
        </is>
      </c>
      <c r="C5695" s="156" t="inlineStr">
        <is>
          <t>DT-517</t>
        </is>
      </c>
      <c r="D5695" s="156" t="inlineStr">
        <is>
          <t>SKT 105S</t>
        </is>
      </c>
      <c r="E5695" s="156" t="inlineStr">
        <is>
          <t>Hauler</t>
        </is>
      </c>
      <c r="F5695" s="156" t="inlineStr"/>
      <c r="G5695" s="182" t="n">
        <v>0</v>
      </c>
      <c r="H5695" s="182" t="n">
        <v>0</v>
      </c>
      <c r="I5695" s="182" t="n">
        <v>0</v>
      </c>
      <c r="J5695" s="182" t="n">
        <v>0</v>
      </c>
      <c r="K5695" s="182" t="n">
        <v>12</v>
      </c>
      <c r="L5695" s="182" t="n">
        <v>12</v>
      </c>
      <c r="M5695" s="182" t="n">
        <v>0</v>
      </c>
      <c r="N5695" s="182" t="n">
        <v>0</v>
      </c>
      <c r="O5695" s="183" t="n">
        <v>0</v>
      </c>
      <c r="P5695" s="183" t="n">
        <v>0</v>
      </c>
      <c r="Q5695" s="184" t="n">
        <v>0</v>
      </c>
      <c r="R5695" s="184" t="n">
        <v>0</v>
      </c>
      <c r="S5695" s="183" t="n">
        <v>0</v>
      </c>
      <c r="T5695" s="183" t="n">
        <v>0</v>
      </c>
      <c r="U5695" s="182" t="n">
        <v>0</v>
      </c>
      <c r="V5695" s="182" t="n">
        <v>0</v>
      </c>
      <c r="W5695" s="182" t="n">
        <v>0</v>
      </c>
      <c r="X5695" s="182" t="n">
        <v>1</v>
      </c>
      <c r="Y5695" s="182" t="n">
        <v>0</v>
      </c>
      <c r="Z5695" s="182" t="n">
        <v>0</v>
      </c>
      <c r="AA5695" s="182" t="n">
        <v>0</v>
      </c>
      <c r="AB5695" s="182" t="n">
        <v>0</v>
      </c>
      <c r="AC5695" s="182" t="n">
        <v>0</v>
      </c>
      <c r="AD5695" s="182" t="n">
        <v>0</v>
      </c>
      <c r="AE5695" s="182" t="n">
        <v>0</v>
      </c>
      <c r="AF5695" s="182" t="n">
        <v>0</v>
      </c>
      <c r="AG5695" s="182" t="n">
        <v>0</v>
      </c>
      <c r="AH5695" s="182" t="n">
        <v>0</v>
      </c>
      <c r="AI5695" s="182" t="n">
        <v>10.92</v>
      </c>
      <c r="AJ5695" s="182" t="n">
        <v>0</v>
      </c>
      <c r="AK5695" s="182" t="n">
        <v>0</v>
      </c>
      <c r="AL5695" s="182" t="n">
        <v>0</v>
      </c>
      <c r="AM5695" s="182" t="n">
        <v>0.08</v>
      </c>
      <c r="AN5695" s="182" t="n">
        <v>0</v>
      </c>
    </row>
    <row r="5696">
      <c r="A5696" s="155" t="n">
        <v>46107</v>
      </c>
      <c r="B5696" s="156" t="inlineStr">
        <is>
          <t>NS</t>
        </is>
      </c>
      <c r="C5696" s="156" t="inlineStr">
        <is>
          <t>DT-510</t>
        </is>
      </c>
      <c r="D5696" s="156" t="inlineStr">
        <is>
          <t>SKT 105S</t>
        </is>
      </c>
      <c r="E5696" s="156" t="inlineStr">
        <is>
          <t>Hauler</t>
        </is>
      </c>
      <c r="F5696" s="156" t="inlineStr"/>
      <c r="G5696" s="182" t="n">
        <v>0</v>
      </c>
      <c r="H5696" s="182" t="n">
        <v>12</v>
      </c>
      <c r="I5696" s="182" t="n">
        <v>0</v>
      </c>
      <c r="J5696" s="182" t="n">
        <v>12</v>
      </c>
      <c r="K5696" s="182" t="n">
        <v>0</v>
      </c>
      <c r="L5696" s="182" t="n">
        <v>12</v>
      </c>
      <c r="M5696" s="182" t="n">
        <v>0</v>
      </c>
      <c r="N5696" s="182" t="n">
        <v>0</v>
      </c>
      <c r="O5696" s="183" t="n">
        <v>0</v>
      </c>
      <c r="P5696" s="183" t="n">
        <v>0</v>
      </c>
      <c r="Q5696" s="184" t="n">
        <v>0</v>
      </c>
      <c r="R5696" s="184" t="n">
        <v>0</v>
      </c>
      <c r="S5696" s="183" t="n">
        <v>0</v>
      </c>
      <c r="T5696" s="183" t="n">
        <v>0</v>
      </c>
      <c r="U5696" s="182" t="n">
        <v>0</v>
      </c>
      <c r="V5696" s="182" t="n">
        <v>0</v>
      </c>
      <c r="W5696" s="182" t="n">
        <v>0</v>
      </c>
      <c r="X5696" s="182" t="n">
        <v>0</v>
      </c>
      <c r="Y5696" s="182" t="n">
        <v>0</v>
      </c>
      <c r="Z5696" s="182" t="n">
        <v>0</v>
      </c>
      <c r="AA5696" s="182" t="n">
        <v>0</v>
      </c>
      <c r="AB5696" s="182" t="n">
        <v>0</v>
      </c>
      <c r="AC5696" s="182" t="n">
        <v>0</v>
      </c>
      <c r="AD5696" s="182" t="n">
        <v>0</v>
      </c>
      <c r="AE5696" s="182" t="n">
        <v>0</v>
      </c>
      <c r="AF5696" s="182" t="n">
        <v>0</v>
      </c>
      <c r="AG5696" s="182" t="n">
        <v>0</v>
      </c>
      <c r="AH5696" s="182" t="n">
        <v>0</v>
      </c>
      <c r="AI5696" s="182" t="n">
        <v>0</v>
      </c>
      <c r="AJ5696" s="182" t="n">
        <v>0</v>
      </c>
      <c r="AK5696" s="182" t="n">
        <v>0</v>
      </c>
      <c r="AL5696" s="182" t="n">
        <v>0</v>
      </c>
      <c r="AM5696" s="182" t="n">
        <v>0</v>
      </c>
      <c r="AN5696" s="182" t="n">
        <v>0</v>
      </c>
    </row>
    <row r="5697">
      <c r="A5697" s="155" t="n">
        <v>46107</v>
      </c>
      <c r="B5697" s="156" t="inlineStr">
        <is>
          <t>NS</t>
        </is>
      </c>
      <c r="C5697" s="156" t="inlineStr">
        <is>
          <t>DT-521</t>
        </is>
      </c>
      <c r="D5697" s="156" t="inlineStr">
        <is>
          <t>SKT 105S</t>
        </is>
      </c>
      <c r="E5697" s="156" t="inlineStr">
        <is>
          <t>Hauler</t>
        </is>
      </c>
      <c r="F5697" s="156" t="inlineStr">
        <is>
          <t>Hauling OB</t>
        </is>
      </c>
      <c r="G5697" s="182" t="n">
        <v>5.93</v>
      </c>
      <c r="H5697" s="182" t="n">
        <v>0</v>
      </c>
      <c r="I5697" s="182" t="n">
        <v>0</v>
      </c>
      <c r="J5697" s="182" t="n">
        <v>0</v>
      </c>
      <c r="K5697" s="182" t="n">
        <v>6.07</v>
      </c>
      <c r="L5697" s="182" t="n">
        <v>12</v>
      </c>
      <c r="M5697" s="182" t="n">
        <v>5.93</v>
      </c>
      <c r="N5697" s="182" t="n">
        <v>0</v>
      </c>
      <c r="O5697" s="183" t="n">
        <v>22</v>
      </c>
      <c r="P5697" s="183" t="n">
        <v>0</v>
      </c>
      <c r="Q5697" s="184" t="n">
        <v>448.8</v>
      </c>
      <c r="R5697" s="184" t="n">
        <v>0</v>
      </c>
      <c r="S5697" s="183" t="n">
        <v>0</v>
      </c>
      <c r="T5697" s="183" t="n">
        <v>0</v>
      </c>
      <c r="U5697" s="182" t="n">
        <v>3.87</v>
      </c>
      <c r="V5697" s="182" t="n">
        <v>1.18</v>
      </c>
      <c r="W5697" s="182" t="n">
        <v>0</v>
      </c>
      <c r="X5697" s="182" t="n">
        <v>0.95</v>
      </c>
      <c r="Y5697" s="182" t="n">
        <v>0</v>
      </c>
      <c r="Z5697" s="182" t="n">
        <v>0</v>
      </c>
      <c r="AA5697" s="182" t="n">
        <v>0</v>
      </c>
      <c r="AB5697" s="182" t="n">
        <v>0</v>
      </c>
      <c r="AC5697" s="182" t="n">
        <v>0</v>
      </c>
      <c r="AD5697" s="182" t="n">
        <v>0</v>
      </c>
      <c r="AE5697" s="182" t="n">
        <v>0</v>
      </c>
      <c r="AF5697" s="182" t="n">
        <v>0</v>
      </c>
      <c r="AG5697" s="182" t="n">
        <v>0</v>
      </c>
      <c r="AH5697" s="182" t="n">
        <v>0</v>
      </c>
      <c r="AI5697" s="182" t="n">
        <v>0</v>
      </c>
      <c r="AJ5697" s="182" t="n">
        <v>0</v>
      </c>
      <c r="AK5697" s="182" t="n">
        <v>0</v>
      </c>
      <c r="AL5697" s="182" t="n">
        <v>0</v>
      </c>
      <c r="AM5697" s="182" t="n">
        <v>0.08</v>
      </c>
      <c r="AN5697" s="182" t="n">
        <v>0</v>
      </c>
    </row>
    <row r="5698">
      <c r="A5698" s="155" t="n">
        <v>46107</v>
      </c>
      <c r="B5698" s="156" t="inlineStr">
        <is>
          <t>NS</t>
        </is>
      </c>
      <c r="C5698" s="156" t="inlineStr">
        <is>
          <t>DT-516</t>
        </is>
      </c>
      <c r="D5698" s="156" t="inlineStr">
        <is>
          <t>SKT 105S</t>
        </is>
      </c>
      <c r="E5698" s="156" t="inlineStr">
        <is>
          <t>Hauler</t>
        </is>
      </c>
      <c r="F5698" s="156" t="inlineStr"/>
      <c r="G5698" s="182" t="n">
        <v>0</v>
      </c>
      <c r="H5698" s="182" t="n">
        <v>0</v>
      </c>
      <c r="I5698" s="182" t="n">
        <v>1.53</v>
      </c>
      <c r="J5698" s="182" t="n">
        <v>1.53</v>
      </c>
      <c r="K5698" s="182" t="n">
        <v>10.47</v>
      </c>
      <c r="L5698" s="182" t="n">
        <v>12</v>
      </c>
      <c r="M5698" s="182" t="n">
        <v>0</v>
      </c>
      <c r="N5698" s="182" t="n">
        <v>0</v>
      </c>
      <c r="O5698" s="183" t="n">
        <v>0</v>
      </c>
      <c r="P5698" s="183" t="n">
        <v>0</v>
      </c>
      <c r="Q5698" s="184" t="n">
        <v>0</v>
      </c>
      <c r="R5698" s="184" t="n">
        <v>0</v>
      </c>
      <c r="S5698" s="183" t="n">
        <v>0</v>
      </c>
      <c r="T5698" s="183" t="n">
        <v>0</v>
      </c>
      <c r="U5698" s="182" t="n">
        <v>4.08</v>
      </c>
      <c r="V5698" s="182" t="n">
        <v>0</v>
      </c>
      <c r="W5698" s="182" t="n">
        <v>0</v>
      </c>
      <c r="X5698" s="182" t="n">
        <v>1</v>
      </c>
      <c r="Y5698" s="182" t="n">
        <v>0</v>
      </c>
      <c r="Z5698" s="182" t="n">
        <v>0</v>
      </c>
      <c r="AA5698" s="182" t="n">
        <v>0</v>
      </c>
      <c r="AB5698" s="182" t="n">
        <v>0</v>
      </c>
      <c r="AC5698" s="182" t="n">
        <v>0</v>
      </c>
      <c r="AD5698" s="182" t="n">
        <v>0</v>
      </c>
      <c r="AE5698" s="182" t="n">
        <v>0</v>
      </c>
      <c r="AF5698" s="182" t="n">
        <v>0</v>
      </c>
      <c r="AG5698" s="182" t="n">
        <v>0</v>
      </c>
      <c r="AH5698" s="182" t="n">
        <v>0</v>
      </c>
      <c r="AI5698" s="182" t="n">
        <v>5.3</v>
      </c>
      <c r="AJ5698" s="182" t="n">
        <v>0</v>
      </c>
      <c r="AK5698" s="182" t="n">
        <v>0</v>
      </c>
      <c r="AL5698" s="182" t="n">
        <v>0</v>
      </c>
      <c r="AM5698" s="182" t="n">
        <v>0.08</v>
      </c>
      <c r="AN5698" s="182" t="n">
        <v>0</v>
      </c>
    </row>
    <row r="5699">
      <c r="A5699" s="155" t="n">
        <v>46107</v>
      </c>
      <c r="B5699" s="156" t="inlineStr">
        <is>
          <t>NS</t>
        </is>
      </c>
      <c r="C5699" s="156" t="inlineStr">
        <is>
          <t>DT-506</t>
        </is>
      </c>
      <c r="D5699" s="156" t="inlineStr">
        <is>
          <t>SKT 105S</t>
        </is>
      </c>
      <c r="E5699" s="156" t="inlineStr">
        <is>
          <t>Hauler</t>
        </is>
      </c>
      <c r="F5699" s="156" t="inlineStr">
        <is>
          <t>Hauling OB</t>
        </is>
      </c>
      <c r="G5699" s="182" t="n">
        <v>6.26</v>
      </c>
      <c r="H5699" s="182" t="n">
        <v>0</v>
      </c>
      <c r="I5699" s="182" t="n">
        <v>0</v>
      </c>
      <c r="J5699" s="182" t="n">
        <v>0</v>
      </c>
      <c r="K5699" s="182" t="n">
        <v>5.74</v>
      </c>
      <c r="L5699" s="182" t="n">
        <v>12</v>
      </c>
      <c r="M5699" s="182" t="n">
        <v>6.26</v>
      </c>
      <c r="N5699" s="182" t="n">
        <v>0</v>
      </c>
      <c r="O5699" s="183" t="n">
        <v>26</v>
      </c>
      <c r="P5699" s="183" t="n">
        <v>0</v>
      </c>
      <c r="Q5699" s="184" t="n">
        <v>530.4</v>
      </c>
      <c r="R5699" s="184" t="n">
        <v>0</v>
      </c>
      <c r="S5699" s="183" t="n">
        <v>0</v>
      </c>
      <c r="T5699" s="183" t="n">
        <v>0</v>
      </c>
      <c r="U5699" s="182" t="n">
        <v>3.97</v>
      </c>
      <c r="V5699" s="182" t="n">
        <v>0.72</v>
      </c>
      <c r="W5699" s="182" t="n">
        <v>0</v>
      </c>
      <c r="X5699" s="182" t="n">
        <v>0.97</v>
      </c>
      <c r="Y5699" s="182" t="n">
        <v>0</v>
      </c>
      <c r="Z5699" s="182" t="n">
        <v>0</v>
      </c>
      <c r="AA5699" s="182" t="n">
        <v>0</v>
      </c>
      <c r="AB5699" s="182" t="n">
        <v>0</v>
      </c>
      <c r="AC5699" s="182" t="n">
        <v>0</v>
      </c>
      <c r="AD5699" s="182" t="n">
        <v>0</v>
      </c>
      <c r="AE5699" s="182" t="n">
        <v>0</v>
      </c>
      <c r="AF5699" s="182" t="n">
        <v>0</v>
      </c>
      <c r="AG5699" s="182" t="n">
        <v>0</v>
      </c>
      <c r="AH5699" s="182" t="n">
        <v>0</v>
      </c>
      <c r="AI5699" s="182" t="n">
        <v>0</v>
      </c>
      <c r="AJ5699" s="182" t="n">
        <v>0</v>
      </c>
      <c r="AK5699" s="182" t="n">
        <v>0</v>
      </c>
      <c r="AL5699" s="182" t="n">
        <v>0</v>
      </c>
      <c r="AM5699" s="182" t="n">
        <v>0.08</v>
      </c>
      <c r="AN5699" s="182" t="n">
        <v>0</v>
      </c>
    </row>
    <row r="5700">
      <c r="A5700" s="155" t="n">
        <v>46107</v>
      </c>
      <c r="B5700" s="156" t="inlineStr">
        <is>
          <t>NS</t>
        </is>
      </c>
      <c r="C5700" s="156" t="inlineStr">
        <is>
          <t>DT-502</t>
        </is>
      </c>
      <c r="D5700" s="156" t="inlineStr">
        <is>
          <t>SKT 105S</t>
        </is>
      </c>
      <c r="E5700" s="156" t="inlineStr">
        <is>
          <t>Hauler</t>
        </is>
      </c>
      <c r="F5700" s="156" t="inlineStr"/>
      <c r="G5700" s="182" t="n">
        <v>0</v>
      </c>
      <c r="H5700" s="182" t="n">
        <v>0</v>
      </c>
      <c r="I5700" s="182" t="n">
        <v>0</v>
      </c>
      <c r="J5700" s="182" t="n">
        <v>0</v>
      </c>
      <c r="K5700" s="182" t="n">
        <v>12</v>
      </c>
      <c r="L5700" s="182" t="n">
        <v>12</v>
      </c>
      <c r="M5700" s="182" t="n">
        <v>0</v>
      </c>
      <c r="N5700" s="182" t="n">
        <v>0</v>
      </c>
      <c r="O5700" s="183" t="n">
        <v>0</v>
      </c>
      <c r="P5700" s="183" t="n">
        <v>0</v>
      </c>
      <c r="Q5700" s="184" t="n">
        <v>0</v>
      </c>
      <c r="R5700" s="184" t="n">
        <v>0</v>
      </c>
      <c r="S5700" s="183" t="n">
        <v>0</v>
      </c>
      <c r="T5700" s="183" t="n">
        <v>0</v>
      </c>
      <c r="U5700" s="182" t="n">
        <v>0</v>
      </c>
      <c r="V5700" s="182" t="n">
        <v>0</v>
      </c>
      <c r="W5700" s="182" t="n">
        <v>0</v>
      </c>
      <c r="X5700" s="182" t="n">
        <v>1</v>
      </c>
      <c r="Y5700" s="182" t="n">
        <v>0</v>
      </c>
      <c r="Z5700" s="182" t="n">
        <v>0</v>
      </c>
      <c r="AA5700" s="182" t="n">
        <v>0</v>
      </c>
      <c r="AB5700" s="182" t="n">
        <v>0</v>
      </c>
      <c r="AC5700" s="182" t="n">
        <v>0</v>
      </c>
      <c r="AD5700" s="182" t="n">
        <v>0</v>
      </c>
      <c r="AE5700" s="182" t="n">
        <v>0</v>
      </c>
      <c r="AF5700" s="182" t="n">
        <v>0</v>
      </c>
      <c r="AG5700" s="182" t="n">
        <v>0</v>
      </c>
      <c r="AH5700" s="182" t="n">
        <v>0</v>
      </c>
      <c r="AI5700" s="182" t="n">
        <v>10.92</v>
      </c>
      <c r="AJ5700" s="182" t="n">
        <v>0</v>
      </c>
      <c r="AK5700" s="182" t="n">
        <v>0</v>
      </c>
      <c r="AL5700" s="182" t="n">
        <v>0</v>
      </c>
      <c r="AM5700" s="182" t="n">
        <v>0.08</v>
      </c>
      <c r="AN5700" s="182" t="n">
        <v>0</v>
      </c>
    </row>
    <row r="5701">
      <c r="A5701" s="155" t="n">
        <v>46107</v>
      </c>
      <c r="B5701" s="156" t="inlineStr">
        <is>
          <t>NS</t>
        </is>
      </c>
      <c r="C5701" s="156" t="inlineStr">
        <is>
          <t>DT-528</t>
        </is>
      </c>
      <c r="D5701" s="156" t="inlineStr">
        <is>
          <t>SKT 105S</t>
        </is>
      </c>
      <c r="E5701" s="156" t="inlineStr">
        <is>
          <t>Hauler</t>
        </is>
      </c>
      <c r="F5701" s="156" t="inlineStr"/>
      <c r="G5701" s="182" t="n">
        <v>0</v>
      </c>
      <c r="H5701" s="182" t="n">
        <v>0</v>
      </c>
      <c r="I5701" s="182" t="n">
        <v>0</v>
      </c>
      <c r="J5701" s="182" t="n">
        <v>0</v>
      </c>
      <c r="K5701" s="182" t="n">
        <v>12</v>
      </c>
      <c r="L5701" s="182" t="n">
        <v>12</v>
      </c>
      <c r="M5701" s="182" t="n">
        <v>0</v>
      </c>
      <c r="N5701" s="182" t="n">
        <v>0</v>
      </c>
      <c r="O5701" s="183" t="n">
        <v>0</v>
      </c>
      <c r="P5701" s="183" t="n">
        <v>0</v>
      </c>
      <c r="Q5701" s="184" t="n">
        <v>0</v>
      </c>
      <c r="R5701" s="184" t="n">
        <v>0</v>
      </c>
      <c r="S5701" s="183" t="n">
        <v>0</v>
      </c>
      <c r="T5701" s="183" t="n">
        <v>0</v>
      </c>
      <c r="U5701" s="182" t="n">
        <v>0</v>
      </c>
      <c r="V5701" s="182" t="n">
        <v>0</v>
      </c>
      <c r="W5701" s="182" t="n">
        <v>0</v>
      </c>
      <c r="X5701" s="182" t="n">
        <v>1</v>
      </c>
      <c r="Y5701" s="182" t="n">
        <v>0</v>
      </c>
      <c r="Z5701" s="182" t="n">
        <v>0</v>
      </c>
      <c r="AA5701" s="182" t="n">
        <v>0</v>
      </c>
      <c r="AB5701" s="182" t="n">
        <v>0</v>
      </c>
      <c r="AC5701" s="182" t="n">
        <v>0</v>
      </c>
      <c r="AD5701" s="182" t="n">
        <v>0</v>
      </c>
      <c r="AE5701" s="182" t="n">
        <v>0</v>
      </c>
      <c r="AF5701" s="182" t="n">
        <v>0</v>
      </c>
      <c r="AG5701" s="182" t="n">
        <v>0</v>
      </c>
      <c r="AH5701" s="182" t="n">
        <v>0</v>
      </c>
      <c r="AI5701" s="182" t="n">
        <v>10.92</v>
      </c>
      <c r="AJ5701" s="182" t="n">
        <v>0</v>
      </c>
      <c r="AK5701" s="182" t="n">
        <v>0</v>
      </c>
      <c r="AL5701" s="182" t="n">
        <v>0</v>
      </c>
      <c r="AM5701" s="182" t="n">
        <v>0.08</v>
      </c>
      <c r="AN5701" s="182" t="n">
        <v>0</v>
      </c>
    </row>
    <row r="5702">
      <c r="A5702" s="155" t="n">
        <v>46107</v>
      </c>
      <c r="B5702" s="156" t="inlineStr">
        <is>
          <t>NS</t>
        </is>
      </c>
      <c r="C5702" s="156" t="inlineStr">
        <is>
          <t>DT-529</t>
        </is>
      </c>
      <c r="D5702" s="156" t="inlineStr">
        <is>
          <t>SKT 105S</t>
        </is>
      </c>
      <c r="E5702" s="156" t="inlineStr">
        <is>
          <t>Hauler</t>
        </is>
      </c>
      <c r="F5702" s="156" t="inlineStr"/>
      <c r="G5702" s="182" t="n">
        <v>0</v>
      </c>
      <c r="H5702" s="182" t="n">
        <v>0</v>
      </c>
      <c r="I5702" s="182" t="n">
        <v>0.5</v>
      </c>
      <c r="J5702" s="182" t="n">
        <v>0.5</v>
      </c>
      <c r="K5702" s="182" t="n">
        <v>11.5</v>
      </c>
      <c r="L5702" s="182" t="n">
        <v>12</v>
      </c>
      <c r="M5702" s="182" t="n">
        <v>0</v>
      </c>
      <c r="N5702" s="182" t="n">
        <v>0</v>
      </c>
      <c r="O5702" s="183" t="n">
        <v>0</v>
      </c>
      <c r="P5702" s="183" t="n">
        <v>0</v>
      </c>
      <c r="Q5702" s="184" t="n">
        <v>0</v>
      </c>
      <c r="R5702" s="184" t="n">
        <v>0</v>
      </c>
      <c r="S5702" s="183" t="n">
        <v>0</v>
      </c>
      <c r="T5702" s="183" t="n">
        <v>0</v>
      </c>
      <c r="U5702" s="182" t="n">
        <v>4.08</v>
      </c>
      <c r="V5702" s="182" t="n">
        <v>0</v>
      </c>
      <c r="W5702" s="182" t="n">
        <v>0</v>
      </c>
      <c r="X5702" s="182" t="n">
        <v>1</v>
      </c>
      <c r="Y5702" s="182" t="n">
        <v>0</v>
      </c>
      <c r="Z5702" s="182" t="n">
        <v>0</v>
      </c>
      <c r="AA5702" s="182" t="n">
        <v>0</v>
      </c>
      <c r="AB5702" s="182" t="n">
        <v>0</v>
      </c>
      <c r="AC5702" s="182" t="n">
        <v>0</v>
      </c>
      <c r="AD5702" s="182" t="n">
        <v>0</v>
      </c>
      <c r="AE5702" s="182" t="n">
        <v>0</v>
      </c>
      <c r="AF5702" s="182" t="n">
        <v>0</v>
      </c>
      <c r="AG5702" s="182" t="n">
        <v>0</v>
      </c>
      <c r="AH5702" s="182" t="n">
        <v>0</v>
      </c>
      <c r="AI5702" s="182" t="n">
        <v>6.34</v>
      </c>
      <c r="AJ5702" s="182" t="n">
        <v>0</v>
      </c>
      <c r="AK5702" s="182" t="n">
        <v>0</v>
      </c>
      <c r="AL5702" s="182" t="n">
        <v>0</v>
      </c>
      <c r="AM5702" s="182" t="n">
        <v>0.08</v>
      </c>
      <c r="AN5702" s="182" t="n">
        <v>0</v>
      </c>
    </row>
    <row r="5703">
      <c r="A5703" s="155" t="n">
        <v>46107</v>
      </c>
      <c r="B5703" s="156" t="inlineStr">
        <is>
          <t>NS</t>
        </is>
      </c>
      <c r="C5703" s="156" t="inlineStr">
        <is>
          <t>DT-520</t>
        </is>
      </c>
      <c r="D5703" s="156" t="inlineStr">
        <is>
          <t>SKT 105S</t>
        </is>
      </c>
      <c r="E5703" s="156" t="inlineStr">
        <is>
          <t>Hauler</t>
        </is>
      </c>
      <c r="F5703" s="156" t="inlineStr"/>
      <c r="G5703" s="182" t="n">
        <v>0</v>
      </c>
      <c r="H5703" s="182" t="n">
        <v>12</v>
      </c>
      <c r="I5703" s="182" t="n">
        <v>0</v>
      </c>
      <c r="J5703" s="182" t="n">
        <v>12</v>
      </c>
      <c r="K5703" s="182" t="n">
        <v>0</v>
      </c>
      <c r="L5703" s="182" t="n">
        <v>12</v>
      </c>
      <c r="M5703" s="182" t="n">
        <v>0</v>
      </c>
      <c r="N5703" s="182" t="n">
        <v>0</v>
      </c>
      <c r="O5703" s="183" t="n">
        <v>0</v>
      </c>
      <c r="P5703" s="183" t="n">
        <v>0</v>
      </c>
      <c r="Q5703" s="184" t="n">
        <v>0</v>
      </c>
      <c r="R5703" s="184" t="n">
        <v>0</v>
      </c>
      <c r="S5703" s="183" t="n">
        <v>0</v>
      </c>
      <c r="T5703" s="183" t="n">
        <v>0</v>
      </c>
      <c r="U5703" s="182" t="n">
        <v>0</v>
      </c>
      <c r="V5703" s="182" t="n">
        <v>0</v>
      </c>
      <c r="W5703" s="182" t="n">
        <v>0</v>
      </c>
      <c r="X5703" s="182" t="n">
        <v>0</v>
      </c>
      <c r="Y5703" s="182" t="n">
        <v>0</v>
      </c>
      <c r="Z5703" s="182" t="n">
        <v>0</v>
      </c>
      <c r="AA5703" s="182" t="n">
        <v>0</v>
      </c>
      <c r="AB5703" s="182" t="n">
        <v>0</v>
      </c>
      <c r="AC5703" s="182" t="n">
        <v>0</v>
      </c>
      <c r="AD5703" s="182" t="n">
        <v>0</v>
      </c>
      <c r="AE5703" s="182" t="n">
        <v>0</v>
      </c>
      <c r="AF5703" s="182" t="n">
        <v>0</v>
      </c>
      <c r="AG5703" s="182" t="n">
        <v>0</v>
      </c>
      <c r="AH5703" s="182" t="n">
        <v>0</v>
      </c>
      <c r="AI5703" s="182" t="n">
        <v>0</v>
      </c>
      <c r="AJ5703" s="182" t="n">
        <v>0</v>
      </c>
      <c r="AK5703" s="182" t="n">
        <v>0</v>
      </c>
      <c r="AL5703" s="182" t="n">
        <v>0</v>
      </c>
      <c r="AM5703" s="182" t="n">
        <v>0</v>
      </c>
      <c r="AN5703" s="182" t="n">
        <v>0</v>
      </c>
    </row>
    <row r="5704">
      <c r="A5704" s="155" t="n">
        <v>46107</v>
      </c>
      <c r="B5704" s="156" t="inlineStr">
        <is>
          <t>NS</t>
        </is>
      </c>
      <c r="C5704" s="156" t="inlineStr">
        <is>
          <t>DT-511</t>
        </is>
      </c>
      <c r="D5704" s="156" t="inlineStr">
        <is>
          <t>SKT 105S</t>
        </is>
      </c>
      <c r="E5704" s="156" t="inlineStr">
        <is>
          <t>Hauler</t>
        </is>
      </c>
      <c r="F5704" s="156" t="inlineStr"/>
      <c r="G5704" s="182" t="n">
        <v>0</v>
      </c>
      <c r="H5704" s="182" t="n">
        <v>0</v>
      </c>
      <c r="I5704" s="182" t="n">
        <v>12</v>
      </c>
      <c r="J5704" s="182" t="n">
        <v>12</v>
      </c>
      <c r="K5704" s="182" t="n">
        <v>0</v>
      </c>
      <c r="L5704" s="182" t="n">
        <v>12</v>
      </c>
      <c r="M5704" s="182" t="n">
        <v>0</v>
      </c>
      <c r="N5704" s="182" t="n">
        <v>0</v>
      </c>
      <c r="O5704" s="183" t="n">
        <v>0</v>
      </c>
      <c r="P5704" s="183" t="n">
        <v>0</v>
      </c>
      <c r="Q5704" s="184" t="n">
        <v>0</v>
      </c>
      <c r="R5704" s="184" t="n">
        <v>0</v>
      </c>
      <c r="S5704" s="183" t="n">
        <v>0</v>
      </c>
      <c r="T5704" s="183" t="n">
        <v>0</v>
      </c>
      <c r="U5704" s="182" t="n">
        <v>0</v>
      </c>
      <c r="V5704" s="182" t="n">
        <v>0</v>
      </c>
      <c r="W5704" s="182" t="n">
        <v>0</v>
      </c>
      <c r="X5704" s="182" t="n">
        <v>0</v>
      </c>
      <c r="Y5704" s="182" t="n">
        <v>0</v>
      </c>
      <c r="Z5704" s="182" t="n">
        <v>0</v>
      </c>
      <c r="AA5704" s="182" t="n">
        <v>0</v>
      </c>
      <c r="AB5704" s="182" t="n">
        <v>0</v>
      </c>
      <c r="AC5704" s="182" t="n">
        <v>0</v>
      </c>
      <c r="AD5704" s="182" t="n">
        <v>0</v>
      </c>
      <c r="AE5704" s="182" t="n">
        <v>0</v>
      </c>
      <c r="AF5704" s="182" t="n">
        <v>0</v>
      </c>
      <c r="AG5704" s="182" t="n">
        <v>0</v>
      </c>
      <c r="AH5704" s="182" t="n">
        <v>0</v>
      </c>
      <c r="AI5704" s="182" t="n">
        <v>0</v>
      </c>
      <c r="AJ5704" s="182" t="n">
        <v>0</v>
      </c>
      <c r="AK5704" s="182" t="n">
        <v>0</v>
      </c>
      <c r="AL5704" s="182" t="n">
        <v>0</v>
      </c>
      <c r="AM5704" s="182" t="n">
        <v>0</v>
      </c>
      <c r="AN5704" s="182" t="n">
        <v>0</v>
      </c>
    </row>
    <row r="5705">
      <c r="A5705" s="155" t="n">
        <v>46107</v>
      </c>
      <c r="B5705" s="156" t="inlineStr">
        <is>
          <t>NS</t>
        </is>
      </c>
      <c r="C5705" s="156" t="inlineStr">
        <is>
          <t>DT-509</t>
        </is>
      </c>
      <c r="D5705" s="156" t="inlineStr">
        <is>
          <t>SKT 105S</t>
        </is>
      </c>
      <c r="E5705" s="156" t="inlineStr">
        <is>
          <t>Hauler</t>
        </is>
      </c>
      <c r="F5705" s="156" t="inlineStr"/>
      <c r="G5705" s="182" t="n">
        <v>0</v>
      </c>
      <c r="H5705" s="182" t="n">
        <v>0</v>
      </c>
      <c r="I5705" s="182" t="n">
        <v>12</v>
      </c>
      <c r="J5705" s="182" t="n">
        <v>12</v>
      </c>
      <c r="K5705" s="182" t="n">
        <v>0</v>
      </c>
      <c r="L5705" s="182" t="n">
        <v>12</v>
      </c>
      <c r="M5705" s="182" t="n">
        <v>0</v>
      </c>
      <c r="N5705" s="182" t="n">
        <v>0</v>
      </c>
      <c r="O5705" s="183" t="n">
        <v>0</v>
      </c>
      <c r="P5705" s="183" t="n">
        <v>0</v>
      </c>
      <c r="Q5705" s="184" t="n">
        <v>0</v>
      </c>
      <c r="R5705" s="184" t="n">
        <v>0</v>
      </c>
      <c r="S5705" s="183" t="n">
        <v>0</v>
      </c>
      <c r="T5705" s="183" t="n">
        <v>0</v>
      </c>
      <c r="U5705" s="182" t="n">
        <v>0</v>
      </c>
      <c r="V5705" s="182" t="n">
        <v>0</v>
      </c>
      <c r="W5705" s="182" t="n">
        <v>0</v>
      </c>
      <c r="X5705" s="182" t="n">
        <v>0</v>
      </c>
      <c r="Y5705" s="182" t="n">
        <v>0</v>
      </c>
      <c r="Z5705" s="182" t="n">
        <v>0</v>
      </c>
      <c r="AA5705" s="182" t="n">
        <v>0</v>
      </c>
      <c r="AB5705" s="182" t="n">
        <v>0</v>
      </c>
      <c r="AC5705" s="182" t="n">
        <v>0</v>
      </c>
      <c r="AD5705" s="182" t="n">
        <v>0</v>
      </c>
      <c r="AE5705" s="182" t="n">
        <v>0</v>
      </c>
      <c r="AF5705" s="182" t="n">
        <v>0</v>
      </c>
      <c r="AG5705" s="182" t="n">
        <v>0</v>
      </c>
      <c r="AH5705" s="182" t="n">
        <v>0</v>
      </c>
      <c r="AI5705" s="182" t="n">
        <v>0</v>
      </c>
      <c r="AJ5705" s="182" t="n">
        <v>0</v>
      </c>
      <c r="AK5705" s="182" t="n">
        <v>0</v>
      </c>
      <c r="AL5705" s="182" t="n">
        <v>0</v>
      </c>
      <c r="AM5705" s="182" t="n">
        <v>0</v>
      </c>
      <c r="AN5705" s="182" t="n">
        <v>0</v>
      </c>
    </row>
    <row r="5706">
      <c r="A5706" s="155" t="n">
        <v>46107</v>
      </c>
      <c r="B5706" s="156" t="inlineStr">
        <is>
          <t>NS</t>
        </is>
      </c>
      <c r="C5706" s="156" t="inlineStr">
        <is>
          <t>DT-526</t>
        </is>
      </c>
      <c r="D5706" s="156" t="inlineStr">
        <is>
          <t>SKT 105S</t>
        </is>
      </c>
      <c r="E5706" s="156" t="inlineStr">
        <is>
          <t>Hauler</t>
        </is>
      </c>
      <c r="F5706" s="156" t="inlineStr"/>
      <c r="G5706" s="182" t="n">
        <v>0</v>
      </c>
      <c r="H5706" s="182" t="n">
        <v>0</v>
      </c>
      <c r="I5706" s="182" t="n">
        <v>12</v>
      </c>
      <c r="J5706" s="182" t="n">
        <v>12</v>
      </c>
      <c r="K5706" s="182" t="n">
        <v>0</v>
      </c>
      <c r="L5706" s="182" t="n">
        <v>12</v>
      </c>
      <c r="M5706" s="182" t="n">
        <v>0</v>
      </c>
      <c r="N5706" s="182" t="n">
        <v>0</v>
      </c>
      <c r="O5706" s="183" t="n">
        <v>0</v>
      </c>
      <c r="P5706" s="183" t="n">
        <v>0</v>
      </c>
      <c r="Q5706" s="184" t="n">
        <v>0</v>
      </c>
      <c r="R5706" s="184" t="n">
        <v>0</v>
      </c>
      <c r="S5706" s="183" t="n">
        <v>0</v>
      </c>
      <c r="T5706" s="183" t="n">
        <v>0</v>
      </c>
      <c r="U5706" s="182" t="n">
        <v>0</v>
      </c>
      <c r="V5706" s="182" t="n">
        <v>0</v>
      </c>
      <c r="W5706" s="182" t="n">
        <v>0</v>
      </c>
      <c r="X5706" s="182" t="n">
        <v>0</v>
      </c>
      <c r="Y5706" s="182" t="n">
        <v>0</v>
      </c>
      <c r="Z5706" s="182" t="n">
        <v>0</v>
      </c>
      <c r="AA5706" s="182" t="n">
        <v>0</v>
      </c>
      <c r="AB5706" s="182" t="n">
        <v>0</v>
      </c>
      <c r="AC5706" s="182" t="n">
        <v>0</v>
      </c>
      <c r="AD5706" s="182" t="n">
        <v>0</v>
      </c>
      <c r="AE5706" s="182" t="n">
        <v>0</v>
      </c>
      <c r="AF5706" s="182" t="n">
        <v>0</v>
      </c>
      <c r="AG5706" s="182" t="n">
        <v>0</v>
      </c>
      <c r="AH5706" s="182" t="n">
        <v>0</v>
      </c>
      <c r="AI5706" s="182" t="n">
        <v>0</v>
      </c>
      <c r="AJ5706" s="182" t="n">
        <v>0</v>
      </c>
      <c r="AK5706" s="182" t="n">
        <v>0</v>
      </c>
      <c r="AL5706" s="182" t="n">
        <v>0</v>
      </c>
      <c r="AM5706" s="182" t="n">
        <v>0</v>
      </c>
      <c r="AN5706" s="182" t="n">
        <v>0</v>
      </c>
    </row>
    <row r="5707">
      <c r="A5707" s="155" t="n">
        <v>46107</v>
      </c>
      <c r="B5707" s="156" t="inlineStr">
        <is>
          <t>NS</t>
        </is>
      </c>
      <c r="C5707" s="156" t="inlineStr">
        <is>
          <t>DT-508</t>
        </is>
      </c>
      <c r="D5707" s="156" t="inlineStr">
        <is>
          <t>SKT 105S</t>
        </is>
      </c>
      <c r="E5707" s="156" t="inlineStr">
        <is>
          <t>Hauler</t>
        </is>
      </c>
      <c r="F5707" s="156" t="inlineStr">
        <is>
          <t>Hauling OB</t>
        </is>
      </c>
      <c r="G5707" s="182" t="n">
        <v>5.81</v>
      </c>
      <c r="H5707" s="182" t="n">
        <v>0</v>
      </c>
      <c r="I5707" s="182" t="n">
        <v>0</v>
      </c>
      <c r="J5707" s="182" t="n">
        <v>0</v>
      </c>
      <c r="K5707" s="182" t="n">
        <v>6.19</v>
      </c>
      <c r="L5707" s="182" t="n">
        <v>12</v>
      </c>
      <c r="M5707" s="182" t="n">
        <v>5.81</v>
      </c>
      <c r="N5707" s="182" t="n">
        <v>0</v>
      </c>
      <c r="O5707" s="183" t="n">
        <v>18</v>
      </c>
      <c r="P5707" s="183" t="n">
        <v>0</v>
      </c>
      <c r="Q5707" s="184" t="n">
        <v>367.2</v>
      </c>
      <c r="R5707" s="184" t="n">
        <v>0</v>
      </c>
      <c r="S5707" s="183" t="n">
        <v>0</v>
      </c>
      <c r="T5707" s="183" t="n">
        <v>0</v>
      </c>
      <c r="U5707" s="182" t="n">
        <v>3.95</v>
      </c>
      <c r="V5707" s="182" t="n">
        <v>1.2</v>
      </c>
      <c r="W5707" s="182" t="n">
        <v>0</v>
      </c>
      <c r="X5707" s="182" t="n">
        <v>0.97</v>
      </c>
      <c r="Y5707" s="182" t="n">
        <v>0</v>
      </c>
      <c r="Z5707" s="182" t="n">
        <v>0</v>
      </c>
      <c r="AA5707" s="182" t="n">
        <v>0</v>
      </c>
      <c r="AB5707" s="182" t="n">
        <v>0</v>
      </c>
      <c r="AC5707" s="182" t="n">
        <v>0</v>
      </c>
      <c r="AD5707" s="182" t="n">
        <v>0</v>
      </c>
      <c r="AE5707" s="182" t="n">
        <v>0</v>
      </c>
      <c r="AF5707" s="182" t="n">
        <v>0</v>
      </c>
      <c r="AG5707" s="182" t="n">
        <v>0</v>
      </c>
      <c r="AH5707" s="182" t="n">
        <v>0</v>
      </c>
      <c r="AI5707" s="182" t="n">
        <v>0</v>
      </c>
      <c r="AJ5707" s="182" t="n">
        <v>0</v>
      </c>
      <c r="AK5707" s="182" t="n">
        <v>0</v>
      </c>
      <c r="AL5707" s="182" t="n">
        <v>0</v>
      </c>
      <c r="AM5707" s="182" t="n">
        <v>0.08</v>
      </c>
      <c r="AN5707" s="182" t="n">
        <v>0</v>
      </c>
    </row>
    <row r="5708">
      <c r="A5708" s="155" t="n">
        <v>46107</v>
      </c>
      <c r="B5708" s="156" t="inlineStr">
        <is>
          <t>NS</t>
        </is>
      </c>
      <c r="C5708" s="156" t="inlineStr">
        <is>
          <t>DT-515</t>
        </is>
      </c>
      <c r="D5708" s="156" t="inlineStr">
        <is>
          <t>SKT 105S</t>
        </is>
      </c>
      <c r="E5708" s="156" t="inlineStr">
        <is>
          <t>Hauler</t>
        </is>
      </c>
      <c r="F5708" s="156" t="inlineStr">
        <is>
          <t>Hauling OB</t>
        </is>
      </c>
      <c r="G5708" s="182" t="n">
        <v>5.78</v>
      </c>
      <c r="H5708" s="182" t="n">
        <v>0</v>
      </c>
      <c r="I5708" s="182" t="n">
        <v>0</v>
      </c>
      <c r="J5708" s="182" t="n">
        <v>0</v>
      </c>
      <c r="K5708" s="182" t="n">
        <v>6.22</v>
      </c>
      <c r="L5708" s="182" t="n">
        <v>12</v>
      </c>
      <c r="M5708" s="182" t="n">
        <v>5.78</v>
      </c>
      <c r="N5708" s="182" t="n">
        <v>0</v>
      </c>
      <c r="O5708" s="183" t="n">
        <v>21</v>
      </c>
      <c r="P5708" s="183" t="n">
        <v>0</v>
      </c>
      <c r="Q5708" s="184" t="n">
        <v>428.4</v>
      </c>
      <c r="R5708" s="184" t="n">
        <v>0</v>
      </c>
      <c r="S5708" s="183" t="n">
        <v>0</v>
      </c>
      <c r="T5708" s="183" t="n">
        <v>0</v>
      </c>
      <c r="U5708" s="182" t="n">
        <v>4.38</v>
      </c>
      <c r="V5708" s="182" t="n">
        <v>0.6899999999999999</v>
      </c>
      <c r="W5708" s="182" t="n">
        <v>0</v>
      </c>
      <c r="X5708" s="182" t="n">
        <v>1.07</v>
      </c>
      <c r="Y5708" s="182" t="n">
        <v>0</v>
      </c>
      <c r="Z5708" s="182" t="n">
        <v>0</v>
      </c>
      <c r="AA5708" s="182" t="n">
        <v>0</v>
      </c>
      <c r="AB5708" s="182" t="n">
        <v>0</v>
      </c>
      <c r="AC5708" s="182" t="n">
        <v>0</v>
      </c>
      <c r="AD5708" s="182" t="n">
        <v>0</v>
      </c>
      <c r="AE5708" s="182" t="n">
        <v>0</v>
      </c>
      <c r="AF5708" s="182" t="n">
        <v>0</v>
      </c>
      <c r="AG5708" s="182" t="n">
        <v>0</v>
      </c>
      <c r="AH5708" s="182" t="n">
        <v>0</v>
      </c>
      <c r="AI5708" s="182" t="n">
        <v>0</v>
      </c>
      <c r="AJ5708" s="182" t="n">
        <v>0</v>
      </c>
      <c r="AK5708" s="182" t="n">
        <v>0</v>
      </c>
      <c r="AL5708" s="182" t="n">
        <v>0</v>
      </c>
      <c r="AM5708" s="182" t="n">
        <v>0.09</v>
      </c>
      <c r="AN5708" s="182" t="n">
        <v>0</v>
      </c>
    </row>
    <row r="5709">
      <c r="A5709" s="155" t="n">
        <v>46107</v>
      </c>
      <c r="B5709" s="156" t="inlineStr">
        <is>
          <t>NS</t>
        </is>
      </c>
      <c r="C5709" s="156" t="inlineStr">
        <is>
          <t>DT-524</t>
        </is>
      </c>
      <c r="D5709" s="156" t="inlineStr">
        <is>
          <t>SKT 105S</t>
        </is>
      </c>
      <c r="E5709" s="156" t="inlineStr">
        <is>
          <t>Hauler</t>
        </is>
      </c>
      <c r="F5709" s="156" t="inlineStr">
        <is>
          <t>Travel</t>
        </is>
      </c>
      <c r="G5709" s="182" t="n">
        <v>0.3</v>
      </c>
      <c r="H5709" s="182" t="n">
        <v>0</v>
      </c>
      <c r="I5709" s="182" t="n">
        <v>0</v>
      </c>
      <c r="J5709" s="182" t="n">
        <v>0</v>
      </c>
      <c r="K5709" s="182" t="n">
        <v>11.7</v>
      </c>
      <c r="L5709" s="182" t="n">
        <v>12</v>
      </c>
      <c r="M5709" s="182" t="n">
        <v>0</v>
      </c>
      <c r="N5709" s="182" t="n">
        <v>0</v>
      </c>
      <c r="O5709" s="183" t="n">
        <v>0</v>
      </c>
      <c r="P5709" s="183" t="n">
        <v>0</v>
      </c>
      <c r="Q5709" s="184" t="n">
        <v>0</v>
      </c>
      <c r="R5709" s="184" t="n">
        <v>0</v>
      </c>
      <c r="S5709" s="183" t="n">
        <v>0</v>
      </c>
      <c r="T5709" s="183" t="n">
        <v>0</v>
      </c>
      <c r="U5709" s="182" t="n">
        <v>4.08</v>
      </c>
      <c r="V5709" s="182" t="n">
        <v>0</v>
      </c>
      <c r="W5709" s="182" t="n">
        <v>0</v>
      </c>
      <c r="X5709" s="182" t="n">
        <v>1</v>
      </c>
      <c r="Y5709" s="182" t="n">
        <v>0</v>
      </c>
      <c r="Z5709" s="182" t="n">
        <v>0</v>
      </c>
      <c r="AA5709" s="182" t="n">
        <v>0</v>
      </c>
      <c r="AB5709" s="182" t="n">
        <v>0</v>
      </c>
      <c r="AC5709" s="182" t="n">
        <v>0</v>
      </c>
      <c r="AD5709" s="182" t="n">
        <v>0</v>
      </c>
      <c r="AE5709" s="182" t="n">
        <v>0</v>
      </c>
      <c r="AF5709" s="182" t="n">
        <v>0</v>
      </c>
      <c r="AG5709" s="182" t="n">
        <v>0</v>
      </c>
      <c r="AH5709" s="182" t="n">
        <v>0</v>
      </c>
      <c r="AI5709" s="182" t="n">
        <v>6.54</v>
      </c>
      <c r="AJ5709" s="182" t="n">
        <v>0</v>
      </c>
      <c r="AK5709" s="182" t="n">
        <v>0</v>
      </c>
      <c r="AL5709" s="182" t="n">
        <v>0</v>
      </c>
      <c r="AM5709" s="182" t="n">
        <v>0.08</v>
      </c>
      <c r="AN5709" s="182" t="n">
        <v>0</v>
      </c>
    </row>
    <row r="5710">
      <c r="A5710" s="155" t="n">
        <v>46107</v>
      </c>
      <c r="B5710" s="156" t="inlineStr">
        <is>
          <t>NS</t>
        </is>
      </c>
      <c r="C5710" s="156" t="inlineStr">
        <is>
          <t>DT-341</t>
        </is>
      </c>
      <c r="D5710" s="156" t="inlineStr">
        <is>
          <t>SYZ324C-8W</t>
        </is>
      </c>
      <c r="E5710" s="156" t="inlineStr">
        <is>
          <t>Hauler</t>
        </is>
      </c>
      <c r="F5710" s="156" t="inlineStr"/>
      <c r="G5710" s="182" t="n">
        <v>0</v>
      </c>
      <c r="H5710" s="182" t="n">
        <v>0</v>
      </c>
      <c r="I5710" s="182" t="n">
        <v>0</v>
      </c>
      <c r="J5710" s="182" t="n">
        <v>0</v>
      </c>
      <c r="K5710" s="182" t="n">
        <v>12</v>
      </c>
      <c r="L5710" s="182" t="n">
        <v>12</v>
      </c>
      <c r="M5710" s="182" t="n">
        <v>0</v>
      </c>
      <c r="N5710" s="182" t="n">
        <v>0</v>
      </c>
      <c r="O5710" s="183" t="n">
        <v>0</v>
      </c>
      <c r="P5710" s="183" t="n">
        <v>0</v>
      </c>
      <c r="Q5710" s="184" t="n">
        <v>0</v>
      </c>
      <c r="R5710" s="184" t="n">
        <v>0</v>
      </c>
      <c r="S5710" s="183" t="n">
        <v>0</v>
      </c>
      <c r="T5710" s="183" t="n">
        <v>0</v>
      </c>
      <c r="U5710" s="182" t="n">
        <v>0</v>
      </c>
      <c r="V5710" s="182" t="n">
        <v>0</v>
      </c>
      <c r="W5710" s="182" t="n">
        <v>0</v>
      </c>
      <c r="X5710" s="182" t="n">
        <v>1</v>
      </c>
      <c r="Y5710" s="182" t="n">
        <v>0</v>
      </c>
      <c r="Z5710" s="182" t="n">
        <v>0</v>
      </c>
      <c r="AA5710" s="182" t="n">
        <v>0</v>
      </c>
      <c r="AB5710" s="182" t="n">
        <v>0</v>
      </c>
      <c r="AC5710" s="182" t="n">
        <v>0</v>
      </c>
      <c r="AD5710" s="182" t="n">
        <v>0</v>
      </c>
      <c r="AE5710" s="182" t="n">
        <v>0</v>
      </c>
      <c r="AF5710" s="182" t="n">
        <v>0</v>
      </c>
      <c r="AG5710" s="182" t="n">
        <v>0</v>
      </c>
      <c r="AH5710" s="182" t="n">
        <v>0</v>
      </c>
      <c r="AI5710" s="182" t="n">
        <v>0</v>
      </c>
      <c r="AJ5710" s="182" t="n">
        <v>0</v>
      </c>
      <c r="AK5710" s="182" t="n">
        <v>10.92</v>
      </c>
      <c r="AL5710" s="182" t="n">
        <v>0</v>
      </c>
      <c r="AM5710" s="182" t="n">
        <v>0.08</v>
      </c>
      <c r="AN5710" s="182" t="n">
        <v>0</v>
      </c>
    </row>
    <row r="5711">
      <c r="A5711" s="155" t="n">
        <v>46107</v>
      </c>
      <c r="B5711" s="156" t="inlineStr">
        <is>
          <t>NS</t>
        </is>
      </c>
      <c r="C5711" s="156" t="inlineStr">
        <is>
          <t>DT-342</t>
        </is>
      </c>
      <c r="D5711" s="156" t="inlineStr">
        <is>
          <t>SYZ324C-8W</t>
        </is>
      </c>
      <c r="E5711" s="156" t="inlineStr">
        <is>
          <t>Hauler</t>
        </is>
      </c>
      <c r="F5711" s="156" t="inlineStr"/>
      <c r="G5711" s="182" t="n">
        <v>0</v>
      </c>
      <c r="H5711" s="182" t="n">
        <v>0</v>
      </c>
      <c r="I5711" s="182" t="n">
        <v>0</v>
      </c>
      <c r="J5711" s="182" t="n">
        <v>0</v>
      </c>
      <c r="K5711" s="182" t="n">
        <v>12</v>
      </c>
      <c r="L5711" s="182" t="n">
        <v>12</v>
      </c>
      <c r="M5711" s="182" t="n">
        <v>0</v>
      </c>
      <c r="N5711" s="182" t="n">
        <v>0</v>
      </c>
      <c r="O5711" s="183" t="n">
        <v>0</v>
      </c>
      <c r="P5711" s="183" t="n">
        <v>0</v>
      </c>
      <c r="Q5711" s="184" t="n">
        <v>0</v>
      </c>
      <c r="R5711" s="184" t="n">
        <v>0</v>
      </c>
      <c r="S5711" s="183" t="n">
        <v>0</v>
      </c>
      <c r="T5711" s="183" t="n">
        <v>0</v>
      </c>
      <c r="U5711" s="182" t="n">
        <v>0</v>
      </c>
      <c r="V5711" s="182" t="n">
        <v>0</v>
      </c>
      <c r="W5711" s="182" t="n">
        <v>0</v>
      </c>
      <c r="X5711" s="182" t="n">
        <v>1</v>
      </c>
      <c r="Y5711" s="182" t="n">
        <v>0</v>
      </c>
      <c r="Z5711" s="182" t="n">
        <v>0</v>
      </c>
      <c r="AA5711" s="182" t="n">
        <v>0</v>
      </c>
      <c r="AB5711" s="182" t="n">
        <v>0</v>
      </c>
      <c r="AC5711" s="182" t="n">
        <v>0</v>
      </c>
      <c r="AD5711" s="182" t="n">
        <v>0</v>
      </c>
      <c r="AE5711" s="182" t="n">
        <v>0</v>
      </c>
      <c r="AF5711" s="182" t="n">
        <v>0</v>
      </c>
      <c r="AG5711" s="182" t="n">
        <v>0</v>
      </c>
      <c r="AH5711" s="182" t="n">
        <v>0</v>
      </c>
      <c r="AI5711" s="182" t="n">
        <v>0</v>
      </c>
      <c r="AJ5711" s="182" t="n">
        <v>0</v>
      </c>
      <c r="AK5711" s="182" t="n">
        <v>10.92</v>
      </c>
      <c r="AL5711" s="182" t="n">
        <v>0</v>
      </c>
      <c r="AM5711" s="182" t="n">
        <v>0.08</v>
      </c>
      <c r="AN5711" s="182" t="n">
        <v>0</v>
      </c>
    </row>
    <row r="5712">
      <c r="A5712" s="155" t="n">
        <v>46107</v>
      </c>
      <c r="B5712" s="156" t="inlineStr">
        <is>
          <t>NS</t>
        </is>
      </c>
      <c r="C5712" s="156" t="inlineStr">
        <is>
          <t>HD-903</t>
        </is>
      </c>
      <c r="D5712" s="156" t="inlineStr">
        <is>
          <t>SRT 95C</t>
        </is>
      </c>
      <c r="E5712" s="156" t="inlineStr">
        <is>
          <t>Hauler</t>
        </is>
      </c>
      <c r="F5712" s="156" t="inlineStr">
        <is>
          <t>Hauling OB</t>
        </is>
      </c>
      <c r="G5712" s="182" t="n">
        <v>6.1</v>
      </c>
      <c r="H5712" s="182" t="n">
        <v>0</v>
      </c>
      <c r="I5712" s="182" t="n">
        <v>0</v>
      </c>
      <c r="J5712" s="182" t="n">
        <v>0</v>
      </c>
      <c r="K5712" s="182" t="n">
        <v>5.9</v>
      </c>
      <c r="L5712" s="182" t="n">
        <v>12</v>
      </c>
      <c r="M5712" s="182" t="n">
        <v>6.1</v>
      </c>
      <c r="N5712" s="182" t="n">
        <v>0</v>
      </c>
      <c r="O5712" s="183" t="n">
        <v>28</v>
      </c>
      <c r="P5712" s="183" t="n">
        <v>0</v>
      </c>
      <c r="Q5712" s="184" t="n">
        <v>999.6</v>
      </c>
      <c r="R5712" s="184" t="n">
        <v>0</v>
      </c>
      <c r="S5712" s="183" t="n">
        <v>0</v>
      </c>
      <c r="T5712" s="183" t="n">
        <v>0</v>
      </c>
      <c r="U5712" s="182" t="n">
        <v>3.88</v>
      </c>
      <c r="V5712" s="182" t="n">
        <v>0.99</v>
      </c>
      <c r="W5712" s="182" t="n">
        <v>0</v>
      </c>
      <c r="X5712" s="182" t="n">
        <v>0.95</v>
      </c>
      <c r="Y5712" s="182" t="n">
        <v>0</v>
      </c>
      <c r="Z5712" s="182" t="n">
        <v>0</v>
      </c>
      <c r="AA5712" s="182" t="n">
        <v>0</v>
      </c>
      <c r="AB5712" s="182" t="n">
        <v>0</v>
      </c>
      <c r="AC5712" s="182" t="n">
        <v>0</v>
      </c>
      <c r="AD5712" s="182" t="n">
        <v>0</v>
      </c>
      <c r="AE5712" s="182" t="n">
        <v>0</v>
      </c>
      <c r="AF5712" s="182" t="n">
        <v>0</v>
      </c>
      <c r="AG5712" s="182" t="n">
        <v>0</v>
      </c>
      <c r="AH5712" s="182" t="n">
        <v>0</v>
      </c>
      <c r="AI5712" s="182" t="n">
        <v>0</v>
      </c>
      <c r="AJ5712" s="182" t="n">
        <v>0</v>
      </c>
      <c r="AK5712" s="182" t="n">
        <v>0</v>
      </c>
      <c r="AL5712" s="182" t="n">
        <v>0</v>
      </c>
      <c r="AM5712" s="182" t="n">
        <v>0.08</v>
      </c>
      <c r="AN5712" s="182" t="n">
        <v>0</v>
      </c>
    </row>
    <row r="5713">
      <c r="A5713" s="155" t="n">
        <v>46107</v>
      </c>
      <c r="B5713" s="156" t="inlineStr">
        <is>
          <t>NS</t>
        </is>
      </c>
      <c r="C5713" s="156" t="inlineStr">
        <is>
          <t>HD-905</t>
        </is>
      </c>
      <c r="D5713" s="156" t="inlineStr">
        <is>
          <t>SRT 95C</t>
        </is>
      </c>
      <c r="E5713" s="156" t="inlineStr">
        <is>
          <t>Hauler</t>
        </is>
      </c>
      <c r="F5713" s="156" t="inlineStr"/>
      <c r="G5713" s="182" t="n">
        <v>0</v>
      </c>
      <c r="H5713" s="182" t="n">
        <v>0</v>
      </c>
      <c r="I5713" s="182" t="n">
        <v>12</v>
      </c>
      <c r="J5713" s="182" t="n">
        <v>12</v>
      </c>
      <c r="K5713" s="182" t="n">
        <v>0</v>
      </c>
      <c r="L5713" s="182" t="n">
        <v>12</v>
      </c>
      <c r="M5713" s="182" t="n">
        <v>0</v>
      </c>
      <c r="N5713" s="182" t="n">
        <v>0</v>
      </c>
      <c r="O5713" s="183" t="n">
        <v>0</v>
      </c>
      <c r="P5713" s="183" t="n">
        <v>0</v>
      </c>
      <c r="Q5713" s="184" t="n">
        <v>0</v>
      </c>
      <c r="R5713" s="184" t="n">
        <v>0</v>
      </c>
      <c r="S5713" s="183" t="n">
        <v>0</v>
      </c>
      <c r="T5713" s="183" t="n">
        <v>0</v>
      </c>
      <c r="U5713" s="182" t="n">
        <v>0</v>
      </c>
      <c r="V5713" s="182" t="n">
        <v>0</v>
      </c>
      <c r="W5713" s="182" t="n">
        <v>0</v>
      </c>
      <c r="X5713" s="182" t="n">
        <v>0</v>
      </c>
      <c r="Y5713" s="182" t="n">
        <v>0</v>
      </c>
      <c r="Z5713" s="182" t="n">
        <v>0</v>
      </c>
      <c r="AA5713" s="182" t="n">
        <v>0</v>
      </c>
      <c r="AB5713" s="182" t="n">
        <v>0</v>
      </c>
      <c r="AC5713" s="182" t="n">
        <v>0</v>
      </c>
      <c r="AD5713" s="182" t="n">
        <v>0</v>
      </c>
      <c r="AE5713" s="182" t="n">
        <v>0</v>
      </c>
      <c r="AF5713" s="182" t="n">
        <v>0</v>
      </c>
      <c r="AG5713" s="182" t="n">
        <v>0</v>
      </c>
      <c r="AH5713" s="182" t="n">
        <v>0</v>
      </c>
      <c r="AI5713" s="182" t="n">
        <v>0</v>
      </c>
      <c r="AJ5713" s="182" t="n">
        <v>0</v>
      </c>
      <c r="AK5713" s="182" t="n">
        <v>0</v>
      </c>
      <c r="AL5713" s="182" t="n">
        <v>0</v>
      </c>
      <c r="AM5713" s="182" t="n">
        <v>0</v>
      </c>
      <c r="AN5713" s="182" t="n">
        <v>0</v>
      </c>
    </row>
    <row r="5714">
      <c r="A5714" s="155" t="n">
        <v>46107</v>
      </c>
      <c r="B5714" s="156" t="inlineStr">
        <is>
          <t>NS</t>
        </is>
      </c>
      <c r="C5714" s="156" t="inlineStr">
        <is>
          <t>HD-901</t>
        </is>
      </c>
      <c r="D5714" s="156" t="inlineStr">
        <is>
          <t>SRT 95C</t>
        </is>
      </c>
      <c r="E5714" s="156" t="inlineStr">
        <is>
          <t>Hauler</t>
        </is>
      </c>
      <c r="F5714" s="156" t="inlineStr">
        <is>
          <t>Hauling OB</t>
        </is>
      </c>
      <c r="G5714" s="182" t="n">
        <v>6.27</v>
      </c>
      <c r="H5714" s="182" t="n">
        <v>0</v>
      </c>
      <c r="I5714" s="182" t="n">
        <v>0</v>
      </c>
      <c r="J5714" s="182" t="n">
        <v>0</v>
      </c>
      <c r="K5714" s="182" t="n">
        <v>5.73</v>
      </c>
      <c r="L5714" s="182" t="n">
        <v>12</v>
      </c>
      <c r="M5714" s="182" t="n">
        <v>6.27</v>
      </c>
      <c r="N5714" s="182" t="n">
        <v>0</v>
      </c>
      <c r="O5714" s="183" t="n">
        <v>30</v>
      </c>
      <c r="P5714" s="183" t="n">
        <v>0</v>
      </c>
      <c r="Q5714" s="184" t="n">
        <v>1071</v>
      </c>
      <c r="R5714" s="184" t="n">
        <v>0</v>
      </c>
      <c r="S5714" s="183" t="n">
        <v>0</v>
      </c>
      <c r="T5714" s="183" t="n">
        <v>0</v>
      </c>
      <c r="U5714" s="182" t="n">
        <v>3.9</v>
      </c>
      <c r="V5714" s="182" t="n">
        <v>0.8</v>
      </c>
      <c r="W5714" s="182" t="n">
        <v>0</v>
      </c>
      <c r="X5714" s="182" t="n">
        <v>0.96</v>
      </c>
      <c r="Y5714" s="182" t="n">
        <v>0</v>
      </c>
      <c r="Z5714" s="182" t="n">
        <v>0</v>
      </c>
      <c r="AA5714" s="182" t="n">
        <v>0</v>
      </c>
      <c r="AB5714" s="182" t="n">
        <v>0</v>
      </c>
      <c r="AC5714" s="182" t="n">
        <v>0</v>
      </c>
      <c r="AD5714" s="182" t="n">
        <v>0</v>
      </c>
      <c r="AE5714" s="182" t="n">
        <v>0</v>
      </c>
      <c r="AF5714" s="182" t="n">
        <v>0</v>
      </c>
      <c r="AG5714" s="182" t="n">
        <v>0</v>
      </c>
      <c r="AH5714" s="182" t="n">
        <v>0</v>
      </c>
      <c r="AI5714" s="182" t="n">
        <v>0</v>
      </c>
      <c r="AJ5714" s="182" t="n">
        <v>0</v>
      </c>
      <c r="AK5714" s="182" t="n">
        <v>0</v>
      </c>
      <c r="AL5714" s="182" t="n">
        <v>0</v>
      </c>
      <c r="AM5714" s="182" t="n">
        <v>0.08</v>
      </c>
      <c r="AN5714" s="182" t="n">
        <v>0</v>
      </c>
    </row>
    <row r="5715">
      <c r="A5715" s="155" t="n">
        <v>46107</v>
      </c>
      <c r="B5715" s="156" t="inlineStr">
        <is>
          <t>NS</t>
        </is>
      </c>
      <c r="C5715" s="156" t="inlineStr">
        <is>
          <t>HD-904</t>
        </is>
      </c>
      <c r="D5715" s="156" t="inlineStr">
        <is>
          <t>SRT 95C</t>
        </is>
      </c>
      <c r="E5715" s="156" t="inlineStr">
        <is>
          <t>Hauler</t>
        </is>
      </c>
      <c r="F5715" s="156" t="inlineStr">
        <is>
          <t>Hauling OB</t>
        </is>
      </c>
      <c r="G5715" s="182" t="n">
        <v>5.78</v>
      </c>
      <c r="H5715" s="182" t="n">
        <v>0</v>
      </c>
      <c r="I5715" s="182" t="n">
        <v>0</v>
      </c>
      <c r="J5715" s="182" t="n">
        <v>0</v>
      </c>
      <c r="K5715" s="182" t="n">
        <v>6.22</v>
      </c>
      <c r="L5715" s="182" t="n">
        <v>12</v>
      </c>
      <c r="M5715" s="182" t="n">
        <v>5.78</v>
      </c>
      <c r="N5715" s="182" t="n">
        <v>0</v>
      </c>
      <c r="O5715" s="183" t="n">
        <v>27</v>
      </c>
      <c r="P5715" s="183" t="n">
        <v>0</v>
      </c>
      <c r="Q5715" s="184" t="n">
        <v>963.9</v>
      </c>
      <c r="R5715" s="184" t="n">
        <v>0</v>
      </c>
      <c r="S5715" s="183" t="n">
        <v>0</v>
      </c>
      <c r="T5715" s="183" t="n">
        <v>0</v>
      </c>
      <c r="U5715" s="182" t="n">
        <v>4.03</v>
      </c>
      <c r="V5715" s="182" t="n">
        <v>1.13</v>
      </c>
      <c r="W5715" s="182" t="n">
        <v>0</v>
      </c>
      <c r="X5715" s="182" t="n">
        <v>0.99</v>
      </c>
      <c r="Y5715" s="182" t="n">
        <v>0</v>
      </c>
      <c r="Z5715" s="182" t="n">
        <v>0</v>
      </c>
      <c r="AA5715" s="182" t="n">
        <v>0</v>
      </c>
      <c r="AB5715" s="182" t="n">
        <v>0</v>
      </c>
      <c r="AC5715" s="182" t="n">
        <v>0</v>
      </c>
      <c r="AD5715" s="182" t="n">
        <v>0</v>
      </c>
      <c r="AE5715" s="182" t="n">
        <v>0</v>
      </c>
      <c r="AF5715" s="182" t="n">
        <v>0</v>
      </c>
      <c r="AG5715" s="182" t="n">
        <v>0</v>
      </c>
      <c r="AH5715" s="182" t="n">
        <v>0</v>
      </c>
      <c r="AI5715" s="182" t="n">
        <v>0</v>
      </c>
      <c r="AJ5715" s="182" t="n">
        <v>0</v>
      </c>
      <c r="AK5715" s="182" t="n">
        <v>0</v>
      </c>
      <c r="AL5715" s="182" t="n">
        <v>0</v>
      </c>
      <c r="AM5715" s="182" t="n">
        <v>0.08</v>
      </c>
      <c r="AN5715" s="182" t="n">
        <v>0</v>
      </c>
    </row>
    <row r="5716">
      <c r="A5716" s="155" t="n">
        <v>46107</v>
      </c>
      <c r="B5716" s="156" t="inlineStr">
        <is>
          <t>NS</t>
        </is>
      </c>
      <c r="C5716" s="156" t="inlineStr">
        <is>
          <t>HD-902</t>
        </is>
      </c>
      <c r="D5716" s="156" t="inlineStr">
        <is>
          <t>SRT 95C</t>
        </is>
      </c>
      <c r="E5716" s="156" t="inlineStr">
        <is>
          <t>Hauler</t>
        </is>
      </c>
      <c r="F5716" s="156" t="inlineStr"/>
      <c r="G5716" s="182" t="n">
        <v>0</v>
      </c>
      <c r="H5716" s="182" t="n">
        <v>0</v>
      </c>
      <c r="I5716" s="182" t="n">
        <v>12</v>
      </c>
      <c r="J5716" s="182" t="n">
        <v>12</v>
      </c>
      <c r="K5716" s="182" t="n">
        <v>0</v>
      </c>
      <c r="L5716" s="182" t="n">
        <v>12</v>
      </c>
      <c r="M5716" s="182" t="n">
        <v>0</v>
      </c>
      <c r="N5716" s="182" t="n">
        <v>0</v>
      </c>
      <c r="O5716" s="183" t="n">
        <v>0</v>
      </c>
      <c r="P5716" s="183" t="n">
        <v>0</v>
      </c>
      <c r="Q5716" s="184" t="n">
        <v>0</v>
      </c>
      <c r="R5716" s="184" t="n">
        <v>0</v>
      </c>
      <c r="S5716" s="183" t="n">
        <v>0</v>
      </c>
      <c r="T5716" s="183" t="n">
        <v>0</v>
      </c>
      <c r="U5716" s="182" t="n">
        <v>0</v>
      </c>
      <c r="V5716" s="182" t="n">
        <v>0</v>
      </c>
      <c r="W5716" s="182" t="n">
        <v>0</v>
      </c>
      <c r="X5716" s="182" t="n">
        <v>0</v>
      </c>
      <c r="Y5716" s="182" t="n">
        <v>0</v>
      </c>
      <c r="Z5716" s="182" t="n">
        <v>0</v>
      </c>
      <c r="AA5716" s="182" t="n">
        <v>0</v>
      </c>
      <c r="AB5716" s="182" t="n">
        <v>0</v>
      </c>
      <c r="AC5716" s="182" t="n">
        <v>0</v>
      </c>
      <c r="AD5716" s="182" t="n">
        <v>0</v>
      </c>
      <c r="AE5716" s="182" t="n">
        <v>0</v>
      </c>
      <c r="AF5716" s="182" t="n">
        <v>0</v>
      </c>
      <c r="AG5716" s="182" t="n">
        <v>0</v>
      </c>
      <c r="AH5716" s="182" t="n">
        <v>0</v>
      </c>
      <c r="AI5716" s="182" t="n">
        <v>0</v>
      </c>
      <c r="AJ5716" s="182" t="n">
        <v>0</v>
      </c>
      <c r="AK5716" s="182" t="n">
        <v>0</v>
      </c>
      <c r="AL5716" s="182" t="n">
        <v>0</v>
      </c>
      <c r="AM5716" s="182" t="n">
        <v>0</v>
      </c>
      <c r="AN5716" s="182" t="n">
        <v>0</v>
      </c>
    </row>
    <row r="5717">
      <c r="A5717" s="155" t="n">
        <v>46107</v>
      </c>
      <c r="B5717" s="156" t="inlineStr">
        <is>
          <t>NS</t>
        </is>
      </c>
      <c r="C5717" s="156" t="inlineStr">
        <is>
          <t>WL-025</t>
        </is>
      </c>
      <c r="D5717" s="156" t="inlineStr">
        <is>
          <t>SANY - Loader</t>
        </is>
      </c>
      <c r="E5717" s="156" t="inlineStr">
        <is>
          <t>Loader</t>
        </is>
      </c>
      <c r="F5717" s="156" t="inlineStr"/>
      <c r="G5717" s="182" t="n">
        <v>0</v>
      </c>
      <c r="H5717" s="182" t="n">
        <v>0</v>
      </c>
      <c r="I5717" s="182" t="n">
        <v>0</v>
      </c>
      <c r="J5717" s="182" t="n">
        <v>0</v>
      </c>
      <c r="K5717" s="182" t="n">
        <v>12</v>
      </c>
      <c r="L5717" s="182" t="n">
        <v>12</v>
      </c>
      <c r="M5717" s="182" t="n">
        <v>0</v>
      </c>
      <c r="N5717" s="182" t="n">
        <v>0</v>
      </c>
      <c r="O5717" s="183" t="n">
        <v>0</v>
      </c>
      <c r="P5717" s="183" t="n">
        <v>0</v>
      </c>
      <c r="Q5717" s="184" t="n">
        <v>0</v>
      </c>
      <c r="R5717" s="184" t="n">
        <v>0</v>
      </c>
      <c r="S5717" s="183" t="n">
        <v>0</v>
      </c>
      <c r="T5717" s="183" t="n">
        <v>0</v>
      </c>
      <c r="U5717" s="182" t="n">
        <v>0</v>
      </c>
      <c r="V5717" s="182" t="n">
        <v>0</v>
      </c>
      <c r="W5717" s="182" t="n">
        <v>0</v>
      </c>
      <c r="X5717" s="182" t="n">
        <v>1</v>
      </c>
      <c r="Y5717" s="182" t="n">
        <v>0</v>
      </c>
      <c r="Z5717" s="182" t="n">
        <v>0</v>
      </c>
      <c r="AA5717" s="182" t="n">
        <v>0</v>
      </c>
      <c r="AB5717" s="182" t="n">
        <v>0</v>
      </c>
      <c r="AC5717" s="182" t="n">
        <v>0</v>
      </c>
      <c r="AD5717" s="182" t="n">
        <v>0</v>
      </c>
      <c r="AE5717" s="182" t="n">
        <v>0</v>
      </c>
      <c r="AF5717" s="182" t="n">
        <v>0</v>
      </c>
      <c r="AG5717" s="182" t="n">
        <v>0</v>
      </c>
      <c r="AH5717" s="182" t="n">
        <v>0</v>
      </c>
      <c r="AI5717" s="182" t="n">
        <v>0</v>
      </c>
      <c r="AJ5717" s="182" t="n">
        <v>0</v>
      </c>
      <c r="AK5717" s="182" t="n">
        <v>10.92</v>
      </c>
      <c r="AL5717" s="182" t="n">
        <v>0</v>
      </c>
      <c r="AM5717" s="182" t="n">
        <v>0.08</v>
      </c>
      <c r="AN5717" s="182" t="n">
        <v>0</v>
      </c>
    </row>
    <row r="5718">
      <c r="A5718" s="155" t="n">
        <v>46107</v>
      </c>
      <c r="B5718" s="156" t="inlineStr">
        <is>
          <t>NS</t>
        </is>
      </c>
      <c r="C5718" s="156" t="inlineStr">
        <is>
          <t>WL-023</t>
        </is>
      </c>
      <c r="D5718" s="156" t="inlineStr">
        <is>
          <t>SANY - Loader</t>
        </is>
      </c>
      <c r="E5718" s="156" t="inlineStr">
        <is>
          <t>Loader</t>
        </is>
      </c>
      <c r="F5718" s="156" t="inlineStr"/>
      <c r="G5718" s="182" t="n">
        <v>0</v>
      </c>
      <c r="H5718" s="182" t="n">
        <v>0</v>
      </c>
      <c r="I5718" s="182" t="n">
        <v>0</v>
      </c>
      <c r="J5718" s="182" t="n">
        <v>0</v>
      </c>
      <c r="K5718" s="182" t="n">
        <v>12</v>
      </c>
      <c r="L5718" s="182" t="n">
        <v>12</v>
      </c>
      <c r="M5718" s="182" t="n">
        <v>0</v>
      </c>
      <c r="N5718" s="182" t="n">
        <v>0</v>
      </c>
      <c r="O5718" s="183" t="n">
        <v>0</v>
      </c>
      <c r="P5718" s="183" t="n">
        <v>0</v>
      </c>
      <c r="Q5718" s="184" t="n">
        <v>0</v>
      </c>
      <c r="R5718" s="184" t="n">
        <v>0</v>
      </c>
      <c r="S5718" s="183" t="n">
        <v>0</v>
      </c>
      <c r="T5718" s="183" t="n">
        <v>0</v>
      </c>
      <c r="U5718" s="182" t="n">
        <v>0</v>
      </c>
      <c r="V5718" s="182" t="n">
        <v>0</v>
      </c>
      <c r="W5718" s="182" t="n">
        <v>0</v>
      </c>
      <c r="X5718" s="182" t="n">
        <v>1</v>
      </c>
      <c r="Y5718" s="182" t="n">
        <v>0</v>
      </c>
      <c r="Z5718" s="182" t="n">
        <v>0</v>
      </c>
      <c r="AA5718" s="182" t="n">
        <v>0</v>
      </c>
      <c r="AB5718" s="182" t="n">
        <v>0</v>
      </c>
      <c r="AC5718" s="182" t="n">
        <v>0</v>
      </c>
      <c r="AD5718" s="182" t="n">
        <v>0</v>
      </c>
      <c r="AE5718" s="182" t="n">
        <v>0</v>
      </c>
      <c r="AF5718" s="182" t="n">
        <v>0</v>
      </c>
      <c r="AG5718" s="182" t="n">
        <v>0</v>
      </c>
      <c r="AH5718" s="182" t="n">
        <v>0</v>
      </c>
      <c r="AI5718" s="182" t="n">
        <v>0</v>
      </c>
      <c r="AJ5718" s="182" t="n">
        <v>0</v>
      </c>
      <c r="AK5718" s="182" t="n">
        <v>10.92</v>
      </c>
      <c r="AL5718" s="182" t="n">
        <v>0</v>
      </c>
      <c r="AM5718" s="182" t="n">
        <v>0.08</v>
      </c>
      <c r="AN5718" s="182" t="n">
        <v>0</v>
      </c>
    </row>
    <row r="5719">
      <c r="A5719" s="155" t="n">
        <v>46107</v>
      </c>
      <c r="B5719" s="156" t="inlineStr">
        <is>
          <t>NS</t>
        </is>
      </c>
      <c r="C5719" s="156" t="inlineStr">
        <is>
          <t>WL-021</t>
        </is>
      </c>
      <c r="D5719" s="156" t="inlineStr">
        <is>
          <t>SANY - Loader</t>
        </is>
      </c>
      <c r="E5719" s="156" t="inlineStr">
        <is>
          <t>Loader</t>
        </is>
      </c>
      <c r="F5719" s="156" t="inlineStr"/>
      <c r="G5719" s="182" t="n">
        <v>0</v>
      </c>
      <c r="H5719" s="182" t="n">
        <v>0</v>
      </c>
      <c r="I5719" s="182" t="n">
        <v>12</v>
      </c>
      <c r="J5719" s="182" t="n">
        <v>12</v>
      </c>
      <c r="K5719" s="182" t="n">
        <v>0</v>
      </c>
      <c r="L5719" s="182" t="n">
        <v>12</v>
      </c>
      <c r="M5719" s="182" t="n">
        <v>0</v>
      </c>
      <c r="N5719" s="182" t="n">
        <v>0</v>
      </c>
      <c r="O5719" s="183" t="n">
        <v>0</v>
      </c>
      <c r="P5719" s="183" t="n">
        <v>0</v>
      </c>
      <c r="Q5719" s="184" t="n">
        <v>0</v>
      </c>
      <c r="R5719" s="184" t="n">
        <v>0</v>
      </c>
      <c r="S5719" s="183" t="n">
        <v>0</v>
      </c>
      <c r="T5719" s="183" t="n">
        <v>0</v>
      </c>
      <c r="U5719" s="182" t="n">
        <v>0</v>
      </c>
      <c r="V5719" s="182" t="n">
        <v>0</v>
      </c>
      <c r="W5719" s="182" t="n">
        <v>0</v>
      </c>
      <c r="X5719" s="182" t="n">
        <v>0</v>
      </c>
      <c r="Y5719" s="182" t="n">
        <v>0</v>
      </c>
      <c r="Z5719" s="182" t="n">
        <v>0</v>
      </c>
      <c r="AA5719" s="182" t="n">
        <v>0</v>
      </c>
      <c r="AB5719" s="182" t="n">
        <v>0</v>
      </c>
      <c r="AC5719" s="182" t="n">
        <v>0</v>
      </c>
      <c r="AD5719" s="182" t="n">
        <v>0</v>
      </c>
      <c r="AE5719" s="182" t="n">
        <v>0</v>
      </c>
      <c r="AF5719" s="182" t="n">
        <v>0</v>
      </c>
      <c r="AG5719" s="182" t="n">
        <v>0</v>
      </c>
      <c r="AH5719" s="182" t="n">
        <v>0</v>
      </c>
      <c r="AI5719" s="182" t="n">
        <v>0</v>
      </c>
      <c r="AJ5719" s="182" t="n">
        <v>0</v>
      </c>
      <c r="AK5719" s="182" t="n">
        <v>0</v>
      </c>
      <c r="AL5719" s="182" t="n">
        <v>0</v>
      </c>
      <c r="AM5719" s="182" t="n">
        <v>0</v>
      </c>
      <c r="AN5719" s="182" t="n">
        <v>0</v>
      </c>
    </row>
    <row r="5720">
      <c r="A5720" s="155" t="n">
        <v>46107</v>
      </c>
      <c r="B5720" s="156" t="inlineStr">
        <is>
          <t>NS</t>
        </is>
      </c>
      <c r="C5720" s="156" t="inlineStr">
        <is>
          <t>WL-022</t>
        </is>
      </c>
      <c r="D5720" s="156" t="inlineStr">
        <is>
          <t>SANY - Loader</t>
        </is>
      </c>
      <c r="E5720" s="156" t="inlineStr">
        <is>
          <t>Loader</t>
        </is>
      </c>
      <c r="F5720" s="156" t="inlineStr">
        <is>
          <t>Support Washing Plant</t>
        </is>
      </c>
      <c r="G5720" s="182" t="n">
        <v>11.11</v>
      </c>
      <c r="H5720" s="182" t="n">
        <v>0</v>
      </c>
      <c r="I5720" s="182" t="n">
        <v>0</v>
      </c>
      <c r="J5720" s="182" t="n">
        <v>0</v>
      </c>
      <c r="K5720" s="182" t="n">
        <v>0.89</v>
      </c>
      <c r="L5720" s="182" t="n">
        <v>12</v>
      </c>
      <c r="M5720" s="182" t="n">
        <v>0</v>
      </c>
      <c r="N5720" s="182" t="n">
        <v>0</v>
      </c>
      <c r="O5720" s="183" t="n">
        <v>0</v>
      </c>
      <c r="P5720" s="183" t="n">
        <v>0</v>
      </c>
      <c r="Q5720" s="184" t="n">
        <v>0</v>
      </c>
      <c r="R5720" s="184" t="n">
        <v>0</v>
      </c>
      <c r="S5720" s="183" t="n">
        <v>0</v>
      </c>
      <c r="T5720" s="183" t="n">
        <v>0</v>
      </c>
      <c r="U5720" s="182" t="n">
        <v>0</v>
      </c>
      <c r="V5720" s="182" t="n">
        <v>0</v>
      </c>
      <c r="W5720" s="182" t="n">
        <v>0</v>
      </c>
      <c r="X5720" s="182" t="n">
        <v>0.74</v>
      </c>
      <c r="Y5720" s="182" t="n">
        <v>0</v>
      </c>
      <c r="Z5720" s="182" t="n">
        <v>0</v>
      </c>
      <c r="AA5720" s="182" t="n">
        <v>0</v>
      </c>
      <c r="AB5720" s="182" t="n">
        <v>0</v>
      </c>
      <c r="AC5720" s="182" t="n">
        <v>0</v>
      </c>
      <c r="AD5720" s="182" t="n">
        <v>0</v>
      </c>
      <c r="AE5720" s="182" t="n">
        <v>0</v>
      </c>
      <c r="AF5720" s="182" t="n">
        <v>0</v>
      </c>
      <c r="AG5720" s="182" t="n">
        <v>0</v>
      </c>
      <c r="AH5720" s="182" t="n">
        <v>0.09</v>
      </c>
      <c r="AI5720" s="182" t="n">
        <v>0</v>
      </c>
      <c r="AJ5720" s="182" t="n">
        <v>0</v>
      </c>
      <c r="AK5720" s="182" t="n">
        <v>0</v>
      </c>
      <c r="AL5720" s="182" t="n">
        <v>0</v>
      </c>
      <c r="AM5720" s="182" t="n">
        <v>0.06</v>
      </c>
      <c r="AN5720" s="182" t="n">
        <v>0</v>
      </c>
    </row>
    <row r="5721">
      <c r="A5721" s="155" t="n">
        <v>46107</v>
      </c>
      <c r="B5721" s="156" t="inlineStr">
        <is>
          <t>NS</t>
        </is>
      </c>
      <c r="C5721" s="156" t="inlineStr">
        <is>
          <t>WL-024</t>
        </is>
      </c>
      <c r="D5721" s="156" t="inlineStr">
        <is>
          <t>SANY - Loader</t>
        </is>
      </c>
      <c r="E5721" s="156" t="inlineStr">
        <is>
          <t>Loader</t>
        </is>
      </c>
      <c r="F5721" s="156" t="inlineStr"/>
      <c r="G5721" s="182" t="n">
        <v>0</v>
      </c>
      <c r="H5721" s="182" t="n">
        <v>0</v>
      </c>
      <c r="I5721" s="182" t="n">
        <v>0</v>
      </c>
      <c r="J5721" s="182" t="n">
        <v>0</v>
      </c>
      <c r="K5721" s="182" t="n">
        <v>12</v>
      </c>
      <c r="L5721" s="182" t="n">
        <v>12</v>
      </c>
      <c r="M5721" s="182" t="n">
        <v>0</v>
      </c>
      <c r="N5721" s="182" t="n">
        <v>0</v>
      </c>
      <c r="O5721" s="183" t="n">
        <v>0</v>
      </c>
      <c r="P5721" s="183" t="n">
        <v>0</v>
      </c>
      <c r="Q5721" s="184" t="n">
        <v>0</v>
      </c>
      <c r="R5721" s="184" t="n">
        <v>0</v>
      </c>
      <c r="S5721" s="183" t="n">
        <v>0</v>
      </c>
      <c r="T5721" s="183" t="n">
        <v>0</v>
      </c>
      <c r="U5721" s="182" t="n">
        <v>0</v>
      </c>
      <c r="V5721" s="182" t="n">
        <v>0</v>
      </c>
      <c r="W5721" s="182" t="n">
        <v>0</v>
      </c>
      <c r="X5721" s="182" t="n">
        <v>1</v>
      </c>
      <c r="Y5721" s="182" t="n">
        <v>0</v>
      </c>
      <c r="Z5721" s="182" t="n">
        <v>0</v>
      </c>
      <c r="AA5721" s="182" t="n">
        <v>0</v>
      </c>
      <c r="AB5721" s="182" t="n">
        <v>0</v>
      </c>
      <c r="AC5721" s="182" t="n">
        <v>0</v>
      </c>
      <c r="AD5721" s="182" t="n">
        <v>0</v>
      </c>
      <c r="AE5721" s="182" t="n">
        <v>0</v>
      </c>
      <c r="AF5721" s="182" t="n">
        <v>0</v>
      </c>
      <c r="AG5721" s="182" t="n">
        <v>0</v>
      </c>
      <c r="AH5721" s="182" t="n">
        <v>0</v>
      </c>
      <c r="AI5721" s="182" t="n">
        <v>0</v>
      </c>
      <c r="AJ5721" s="182" t="n">
        <v>0</v>
      </c>
      <c r="AK5721" s="182" t="n">
        <v>10.92</v>
      </c>
      <c r="AL5721" s="182" t="n">
        <v>0</v>
      </c>
      <c r="AM5721" s="182" t="n">
        <v>0.08</v>
      </c>
      <c r="AN5721" s="182" t="n">
        <v>0</v>
      </c>
    </row>
    <row r="5722">
      <c r="A5722" s="155" t="n">
        <v>46108</v>
      </c>
      <c r="B5722" s="156" t="inlineStr">
        <is>
          <t>DS</t>
        </is>
      </c>
      <c r="C5722" s="156" t="inlineStr">
        <is>
          <t>DZ-034</t>
        </is>
      </c>
      <c r="D5722" s="156" t="inlineStr">
        <is>
          <t>D 68ESS-12EO</t>
        </is>
      </c>
      <c r="E5722" s="156" t="inlineStr">
        <is>
          <t>Bulldozer</t>
        </is>
      </c>
      <c r="F5722" s="156" t="inlineStr">
        <is>
          <t>Support Stock ROM</t>
        </is>
      </c>
      <c r="G5722" s="182" t="n">
        <v>5.8</v>
      </c>
      <c r="H5722" s="182" t="n">
        <v>6</v>
      </c>
      <c r="I5722" s="182" t="n">
        <v>0</v>
      </c>
      <c r="J5722" s="182" t="n">
        <v>6</v>
      </c>
      <c r="K5722" s="182" t="n">
        <v>0.2</v>
      </c>
      <c r="L5722" s="182" t="n">
        <v>12</v>
      </c>
      <c r="M5722" s="182" t="n">
        <v>0</v>
      </c>
      <c r="N5722" s="182" t="n">
        <v>0</v>
      </c>
      <c r="O5722" s="183" t="n">
        <v>0</v>
      </c>
      <c r="P5722" s="183" t="n">
        <v>0</v>
      </c>
      <c r="Q5722" s="184" t="n">
        <v>0</v>
      </c>
      <c r="R5722" s="184" t="n">
        <v>0</v>
      </c>
      <c r="S5722" s="183" t="n">
        <v>0</v>
      </c>
      <c r="T5722" s="183" t="n">
        <v>0</v>
      </c>
      <c r="U5722" s="182" t="n">
        <v>0</v>
      </c>
      <c r="V5722" s="182" t="n">
        <v>0</v>
      </c>
      <c r="W5722" s="182" t="n">
        <v>0</v>
      </c>
      <c r="X5722" s="182" t="n">
        <v>0</v>
      </c>
      <c r="Y5722" s="182" t="n">
        <v>0</v>
      </c>
      <c r="Z5722" s="182" t="n">
        <v>0</v>
      </c>
      <c r="AA5722" s="182" t="n">
        <v>0</v>
      </c>
      <c r="AB5722" s="182" t="n">
        <v>0</v>
      </c>
      <c r="AC5722" s="182" t="n">
        <v>0</v>
      </c>
      <c r="AD5722" s="182" t="n">
        <v>0</v>
      </c>
      <c r="AE5722" s="182" t="n">
        <v>0</v>
      </c>
      <c r="AF5722" s="182" t="n">
        <v>0</v>
      </c>
      <c r="AG5722" s="182" t="n">
        <v>0</v>
      </c>
      <c r="AH5722" s="182" t="n">
        <v>0</v>
      </c>
      <c r="AI5722" s="182" t="n">
        <v>0</v>
      </c>
      <c r="AJ5722" s="182" t="n">
        <v>0</v>
      </c>
      <c r="AK5722" s="182" t="n">
        <v>0.16</v>
      </c>
      <c r="AL5722" s="182" t="n">
        <v>0</v>
      </c>
      <c r="AM5722" s="182" t="n">
        <v>0.04</v>
      </c>
      <c r="AN5722" s="182" t="n">
        <v>0</v>
      </c>
    </row>
    <row r="5723">
      <c r="A5723" s="155" t="n">
        <v>46108</v>
      </c>
      <c r="B5723" s="156" t="inlineStr">
        <is>
          <t>DS</t>
        </is>
      </c>
      <c r="C5723" s="156" t="inlineStr">
        <is>
          <t>DZ-033</t>
        </is>
      </c>
      <c r="D5723" s="156" t="inlineStr">
        <is>
          <t>D 375A-6R</t>
        </is>
      </c>
      <c r="E5723" s="156" t="inlineStr">
        <is>
          <t>Bulldozer</t>
        </is>
      </c>
      <c r="F5723" s="156" t="inlineStr">
        <is>
          <t>Support Disposal</t>
        </is>
      </c>
      <c r="G5723" s="182" t="n">
        <v>8.859999999999999</v>
      </c>
      <c r="H5723" s="182" t="n">
        <v>0</v>
      </c>
      <c r="I5723" s="182" t="n">
        <v>2.92</v>
      </c>
      <c r="J5723" s="182" t="n">
        <v>2.92</v>
      </c>
      <c r="K5723" s="182" t="n">
        <v>0.22</v>
      </c>
      <c r="L5723" s="182" t="n">
        <v>12</v>
      </c>
      <c r="M5723" s="182" t="n">
        <v>0</v>
      </c>
      <c r="N5723" s="182" t="n">
        <v>0</v>
      </c>
      <c r="O5723" s="183" t="n">
        <v>0</v>
      </c>
      <c r="P5723" s="183" t="n">
        <v>0</v>
      </c>
      <c r="Q5723" s="184" t="n">
        <v>0</v>
      </c>
      <c r="R5723" s="184" t="n">
        <v>0</v>
      </c>
      <c r="S5723" s="183" t="n">
        <v>0</v>
      </c>
      <c r="T5723" s="183" t="n">
        <v>0</v>
      </c>
      <c r="U5723" s="182" t="n">
        <v>0</v>
      </c>
      <c r="V5723" s="182" t="n">
        <v>0</v>
      </c>
      <c r="W5723" s="182" t="n">
        <v>0</v>
      </c>
      <c r="X5723" s="182" t="n">
        <v>0</v>
      </c>
      <c r="Y5723" s="182" t="n">
        <v>0</v>
      </c>
      <c r="Z5723" s="182" t="n">
        <v>0</v>
      </c>
      <c r="AA5723" s="182" t="n">
        <v>0</v>
      </c>
      <c r="AB5723" s="182" t="n">
        <v>0</v>
      </c>
      <c r="AC5723" s="182" t="n">
        <v>0</v>
      </c>
      <c r="AD5723" s="182" t="n">
        <v>0</v>
      </c>
      <c r="AE5723" s="182" t="n">
        <v>0</v>
      </c>
      <c r="AF5723" s="182" t="n">
        <v>0</v>
      </c>
      <c r="AG5723" s="182" t="n">
        <v>0</v>
      </c>
      <c r="AH5723" s="182" t="n">
        <v>0</v>
      </c>
      <c r="AI5723" s="182" t="n">
        <v>0</v>
      </c>
      <c r="AJ5723" s="182" t="n">
        <v>0</v>
      </c>
      <c r="AK5723" s="182" t="n">
        <v>0</v>
      </c>
      <c r="AL5723" s="182" t="n">
        <v>0</v>
      </c>
      <c r="AM5723" s="182" t="n">
        <v>0.22</v>
      </c>
      <c r="AN5723" s="182" t="n">
        <v>0</v>
      </c>
    </row>
    <row r="5724">
      <c r="A5724" s="155" t="n">
        <v>46108</v>
      </c>
      <c r="B5724" s="156" t="inlineStr">
        <is>
          <t>DS</t>
        </is>
      </c>
      <c r="C5724" s="156" t="inlineStr">
        <is>
          <t>DZ-038</t>
        </is>
      </c>
      <c r="D5724" s="156" t="inlineStr">
        <is>
          <t>D 85 ESS-2</t>
        </is>
      </c>
      <c r="E5724" s="156" t="inlineStr">
        <is>
          <t>Bulldozer</t>
        </is>
      </c>
      <c r="F5724" s="156" t="inlineStr"/>
      <c r="G5724" s="182" t="n">
        <v>0</v>
      </c>
      <c r="H5724" s="182" t="n">
        <v>0</v>
      </c>
      <c r="I5724" s="182" t="n">
        <v>12</v>
      </c>
      <c r="J5724" s="182" t="n">
        <v>12</v>
      </c>
      <c r="K5724" s="182" t="n">
        <v>0</v>
      </c>
      <c r="L5724" s="182" t="n">
        <v>12</v>
      </c>
      <c r="M5724" s="182" t="n">
        <v>0</v>
      </c>
      <c r="N5724" s="182" t="n">
        <v>0</v>
      </c>
      <c r="O5724" s="183" t="n">
        <v>0</v>
      </c>
      <c r="P5724" s="183" t="n">
        <v>0</v>
      </c>
      <c r="Q5724" s="184" t="n">
        <v>0</v>
      </c>
      <c r="R5724" s="184" t="n">
        <v>0</v>
      </c>
      <c r="S5724" s="183" t="n">
        <v>0</v>
      </c>
      <c r="T5724" s="183" t="n">
        <v>0</v>
      </c>
      <c r="U5724" s="182" t="n">
        <v>0</v>
      </c>
      <c r="V5724" s="182" t="n">
        <v>0</v>
      </c>
      <c r="W5724" s="182" t="n">
        <v>0</v>
      </c>
      <c r="X5724" s="182" t="n">
        <v>0</v>
      </c>
      <c r="Y5724" s="182" t="n">
        <v>0</v>
      </c>
      <c r="Z5724" s="182" t="n">
        <v>0</v>
      </c>
      <c r="AA5724" s="182" t="n">
        <v>0</v>
      </c>
      <c r="AB5724" s="182" t="n">
        <v>0</v>
      </c>
      <c r="AC5724" s="182" t="n">
        <v>0</v>
      </c>
      <c r="AD5724" s="182" t="n">
        <v>0</v>
      </c>
      <c r="AE5724" s="182" t="n">
        <v>0</v>
      </c>
      <c r="AF5724" s="182" t="n">
        <v>0</v>
      </c>
      <c r="AG5724" s="182" t="n">
        <v>0</v>
      </c>
      <c r="AH5724" s="182" t="n">
        <v>0</v>
      </c>
      <c r="AI5724" s="182" t="n">
        <v>0</v>
      </c>
      <c r="AJ5724" s="182" t="n">
        <v>0</v>
      </c>
      <c r="AK5724" s="182" t="n">
        <v>0</v>
      </c>
      <c r="AL5724" s="182" t="n">
        <v>0</v>
      </c>
      <c r="AM5724" s="182" t="n">
        <v>0</v>
      </c>
      <c r="AN5724" s="182" t="n">
        <v>0</v>
      </c>
    </row>
    <row r="5725">
      <c r="A5725" s="155" t="n">
        <v>46108</v>
      </c>
      <c r="B5725" s="156" t="inlineStr">
        <is>
          <t>DS</t>
        </is>
      </c>
      <c r="C5725" s="156" t="inlineStr">
        <is>
          <t>DZ-039</t>
        </is>
      </c>
      <c r="D5725" s="156" t="inlineStr">
        <is>
          <t>D 85 ESS-2</t>
        </is>
      </c>
      <c r="E5725" s="156" t="inlineStr">
        <is>
          <t>Bulldozer</t>
        </is>
      </c>
      <c r="F5725" s="156" t="inlineStr"/>
      <c r="G5725" s="182" t="n">
        <v>0</v>
      </c>
      <c r="H5725" s="182" t="n">
        <v>0</v>
      </c>
      <c r="I5725" s="182" t="n">
        <v>12</v>
      </c>
      <c r="J5725" s="182" t="n">
        <v>12</v>
      </c>
      <c r="K5725" s="182" t="n">
        <v>0</v>
      </c>
      <c r="L5725" s="182" t="n">
        <v>12</v>
      </c>
      <c r="M5725" s="182" t="n">
        <v>0</v>
      </c>
      <c r="N5725" s="182" t="n">
        <v>0</v>
      </c>
      <c r="O5725" s="183" t="n">
        <v>0</v>
      </c>
      <c r="P5725" s="183" t="n">
        <v>0</v>
      </c>
      <c r="Q5725" s="184" t="n">
        <v>0</v>
      </c>
      <c r="R5725" s="184" t="n">
        <v>0</v>
      </c>
      <c r="S5725" s="183" t="n">
        <v>0</v>
      </c>
      <c r="T5725" s="183" t="n">
        <v>0</v>
      </c>
      <c r="U5725" s="182" t="n">
        <v>0</v>
      </c>
      <c r="V5725" s="182" t="n">
        <v>0</v>
      </c>
      <c r="W5725" s="182" t="n">
        <v>0</v>
      </c>
      <c r="X5725" s="182" t="n">
        <v>0</v>
      </c>
      <c r="Y5725" s="182" t="n">
        <v>0</v>
      </c>
      <c r="Z5725" s="182" t="n">
        <v>0</v>
      </c>
      <c r="AA5725" s="182" t="n">
        <v>0</v>
      </c>
      <c r="AB5725" s="182" t="n">
        <v>0</v>
      </c>
      <c r="AC5725" s="182" t="n">
        <v>0</v>
      </c>
      <c r="AD5725" s="182" t="n">
        <v>0</v>
      </c>
      <c r="AE5725" s="182" t="n">
        <v>0</v>
      </c>
      <c r="AF5725" s="182" t="n">
        <v>0</v>
      </c>
      <c r="AG5725" s="182" t="n">
        <v>0</v>
      </c>
      <c r="AH5725" s="182" t="n">
        <v>0</v>
      </c>
      <c r="AI5725" s="182" t="n">
        <v>0</v>
      </c>
      <c r="AJ5725" s="182" t="n">
        <v>0</v>
      </c>
      <c r="AK5725" s="182" t="n">
        <v>0</v>
      </c>
      <c r="AL5725" s="182" t="n">
        <v>0</v>
      </c>
      <c r="AM5725" s="182" t="n">
        <v>0</v>
      </c>
      <c r="AN5725" s="182" t="n">
        <v>0</v>
      </c>
    </row>
    <row r="5726">
      <c r="A5726" s="155" t="n">
        <v>46108</v>
      </c>
      <c r="B5726" s="156" t="inlineStr">
        <is>
          <t>DS</t>
        </is>
      </c>
      <c r="C5726" s="156" t="inlineStr">
        <is>
          <t>DZ-032</t>
        </is>
      </c>
      <c r="D5726" s="156" t="inlineStr">
        <is>
          <t>CAT</t>
        </is>
      </c>
      <c r="E5726" s="156" t="inlineStr">
        <is>
          <t>Bulldozer</t>
        </is>
      </c>
      <c r="F5726" s="156" t="inlineStr">
        <is>
          <t>Support Front Loading</t>
        </is>
      </c>
      <c r="G5726" s="182" t="n">
        <v>11.47</v>
      </c>
      <c r="H5726" s="182" t="n">
        <v>0</v>
      </c>
      <c r="I5726" s="182" t="n">
        <v>0.53</v>
      </c>
      <c r="J5726" s="182" t="n">
        <v>0.53</v>
      </c>
      <c r="K5726" s="182" t="n">
        <v>0</v>
      </c>
      <c r="L5726" s="182" t="n">
        <v>12</v>
      </c>
      <c r="M5726" s="182" t="n">
        <v>0</v>
      </c>
      <c r="N5726" s="182" t="n">
        <v>0</v>
      </c>
      <c r="O5726" s="183" t="n">
        <v>0</v>
      </c>
      <c r="P5726" s="183" t="n">
        <v>0</v>
      </c>
      <c r="Q5726" s="184" t="n">
        <v>0</v>
      </c>
      <c r="R5726" s="184" t="n">
        <v>0</v>
      </c>
      <c r="S5726" s="183" t="n">
        <v>0</v>
      </c>
      <c r="T5726" s="183" t="n">
        <v>0</v>
      </c>
      <c r="U5726" s="182" t="n">
        <v>0</v>
      </c>
      <c r="V5726" s="182" t="n">
        <v>0</v>
      </c>
      <c r="W5726" s="182" t="n">
        <v>0</v>
      </c>
      <c r="X5726" s="182" t="n">
        <v>0</v>
      </c>
      <c r="Y5726" s="182" t="n">
        <v>0</v>
      </c>
      <c r="Z5726" s="182" t="n">
        <v>0</v>
      </c>
      <c r="AA5726" s="182" t="n">
        <v>0</v>
      </c>
      <c r="AB5726" s="182" t="n">
        <v>0</v>
      </c>
      <c r="AC5726" s="182" t="n">
        <v>0</v>
      </c>
      <c r="AD5726" s="182" t="n">
        <v>0</v>
      </c>
      <c r="AE5726" s="182" t="n">
        <v>0</v>
      </c>
      <c r="AF5726" s="182" t="n">
        <v>0</v>
      </c>
      <c r="AG5726" s="182" t="n">
        <v>0</v>
      </c>
      <c r="AH5726" s="182" t="n">
        <v>0</v>
      </c>
      <c r="AI5726" s="182" t="n">
        <v>0</v>
      </c>
      <c r="AJ5726" s="182" t="n">
        <v>0</v>
      </c>
      <c r="AK5726" s="182" t="n">
        <v>0</v>
      </c>
      <c r="AL5726" s="182" t="n">
        <v>0</v>
      </c>
      <c r="AM5726" s="182" t="n">
        <v>0</v>
      </c>
      <c r="AN5726" s="182" t="n">
        <v>0</v>
      </c>
    </row>
    <row r="5727">
      <c r="A5727" s="155" t="n">
        <v>46108</v>
      </c>
      <c r="B5727" s="156" t="inlineStr">
        <is>
          <t>DS</t>
        </is>
      </c>
      <c r="C5727" s="156" t="inlineStr">
        <is>
          <t>DZ-031</t>
        </is>
      </c>
      <c r="D5727" s="156" t="inlineStr">
        <is>
          <t>CAT</t>
        </is>
      </c>
      <c r="E5727" s="156" t="inlineStr">
        <is>
          <t>Bulldozer</t>
        </is>
      </c>
      <c r="F5727" s="156" t="inlineStr"/>
      <c r="G5727" s="182" t="n">
        <v>0</v>
      </c>
      <c r="H5727" s="182" t="n">
        <v>0</v>
      </c>
      <c r="I5727" s="182" t="n">
        <v>12</v>
      </c>
      <c r="J5727" s="182" t="n">
        <v>12</v>
      </c>
      <c r="K5727" s="182" t="n">
        <v>0</v>
      </c>
      <c r="L5727" s="182" t="n">
        <v>12</v>
      </c>
      <c r="M5727" s="182" t="n">
        <v>0</v>
      </c>
      <c r="N5727" s="182" t="n">
        <v>0</v>
      </c>
      <c r="O5727" s="183" t="n">
        <v>0</v>
      </c>
      <c r="P5727" s="183" t="n">
        <v>0</v>
      </c>
      <c r="Q5727" s="184" t="n">
        <v>0</v>
      </c>
      <c r="R5727" s="184" t="n">
        <v>0</v>
      </c>
      <c r="S5727" s="183" t="n">
        <v>0</v>
      </c>
      <c r="T5727" s="183" t="n">
        <v>0</v>
      </c>
      <c r="U5727" s="182" t="n">
        <v>0</v>
      </c>
      <c r="V5727" s="182" t="n">
        <v>0</v>
      </c>
      <c r="W5727" s="182" t="n">
        <v>0</v>
      </c>
      <c r="X5727" s="182" t="n">
        <v>0</v>
      </c>
      <c r="Y5727" s="182" t="n">
        <v>0</v>
      </c>
      <c r="Z5727" s="182" t="n">
        <v>0</v>
      </c>
      <c r="AA5727" s="182" t="n">
        <v>0</v>
      </c>
      <c r="AB5727" s="182" t="n">
        <v>0</v>
      </c>
      <c r="AC5727" s="182" t="n">
        <v>0</v>
      </c>
      <c r="AD5727" s="182" t="n">
        <v>0</v>
      </c>
      <c r="AE5727" s="182" t="n">
        <v>0</v>
      </c>
      <c r="AF5727" s="182" t="n">
        <v>0</v>
      </c>
      <c r="AG5727" s="182" t="n">
        <v>0</v>
      </c>
      <c r="AH5727" s="182" t="n">
        <v>0</v>
      </c>
      <c r="AI5727" s="182" t="n">
        <v>0</v>
      </c>
      <c r="AJ5727" s="182" t="n">
        <v>0</v>
      </c>
      <c r="AK5727" s="182" t="n">
        <v>0</v>
      </c>
      <c r="AL5727" s="182" t="n">
        <v>0</v>
      </c>
      <c r="AM5727" s="182" t="n">
        <v>0</v>
      </c>
      <c r="AN5727" s="182" t="n">
        <v>0</v>
      </c>
    </row>
    <row r="5728">
      <c r="A5728" s="155" t="n">
        <v>46108</v>
      </c>
      <c r="B5728" s="156" t="inlineStr">
        <is>
          <t>DS</t>
        </is>
      </c>
      <c r="C5728" s="156" t="inlineStr">
        <is>
          <t>DZ-037</t>
        </is>
      </c>
      <c r="D5728" s="156" t="inlineStr">
        <is>
          <t>D 85 ESS-2</t>
        </is>
      </c>
      <c r="E5728" s="156" t="inlineStr">
        <is>
          <t>Bulldozer</t>
        </is>
      </c>
      <c r="F5728" s="156" t="inlineStr"/>
      <c r="G5728" s="182" t="n">
        <v>0</v>
      </c>
      <c r="H5728" s="182" t="n">
        <v>0</v>
      </c>
      <c r="I5728" s="182" t="n">
        <v>12</v>
      </c>
      <c r="J5728" s="182" t="n">
        <v>12</v>
      </c>
      <c r="K5728" s="182" t="n">
        <v>0</v>
      </c>
      <c r="L5728" s="182" t="n">
        <v>12</v>
      </c>
      <c r="M5728" s="182" t="n">
        <v>0</v>
      </c>
      <c r="N5728" s="182" t="n">
        <v>0</v>
      </c>
      <c r="O5728" s="183" t="n">
        <v>0</v>
      </c>
      <c r="P5728" s="183" t="n">
        <v>0</v>
      </c>
      <c r="Q5728" s="184" t="n">
        <v>0</v>
      </c>
      <c r="R5728" s="184" t="n">
        <v>0</v>
      </c>
      <c r="S5728" s="183" t="n">
        <v>0</v>
      </c>
      <c r="T5728" s="183" t="n">
        <v>0</v>
      </c>
      <c r="U5728" s="182" t="n">
        <v>0</v>
      </c>
      <c r="V5728" s="182" t="n">
        <v>0</v>
      </c>
      <c r="W5728" s="182" t="n">
        <v>0</v>
      </c>
      <c r="X5728" s="182" t="n">
        <v>0</v>
      </c>
      <c r="Y5728" s="182" t="n">
        <v>0</v>
      </c>
      <c r="Z5728" s="182" t="n">
        <v>0</v>
      </c>
      <c r="AA5728" s="182" t="n">
        <v>0</v>
      </c>
      <c r="AB5728" s="182" t="n">
        <v>0</v>
      </c>
      <c r="AC5728" s="182" t="n">
        <v>0</v>
      </c>
      <c r="AD5728" s="182" t="n">
        <v>0</v>
      </c>
      <c r="AE5728" s="182" t="n">
        <v>0</v>
      </c>
      <c r="AF5728" s="182" t="n">
        <v>0</v>
      </c>
      <c r="AG5728" s="182" t="n">
        <v>0</v>
      </c>
      <c r="AH5728" s="182" t="n">
        <v>0</v>
      </c>
      <c r="AI5728" s="182" t="n">
        <v>0</v>
      </c>
      <c r="AJ5728" s="182" t="n">
        <v>0</v>
      </c>
      <c r="AK5728" s="182" t="n">
        <v>0</v>
      </c>
      <c r="AL5728" s="182" t="n">
        <v>0</v>
      </c>
      <c r="AM5728" s="182" t="n">
        <v>0</v>
      </c>
      <c r="AN5728" s="182" t="n">
        <v>0</v>
      </c>
    </row>
    <row r="5729">
      <c r="A5729" s="155" t="n">
        <v>46108</v>
      </c>
      <c r="B5729" s="156" t="inlineStr">
        <is>
          <t>DS</t>
        </is>
      </c>
      <c r="C5729" s="156" t="inlineStr">
        <is>
          <t>DZ-036</t>
        </is>
      </c>
      <c r="D5729" s="156" t="inlineStr">
        <is>
          <t>D 85 ESS-2</t>
        </is>
      </c>
      <c r="E5729" s="156" t="inlineStr">
        <is>
          <t>Bulldozer</t>
        </is>
      </c>
      <c r="F5729" s="156" t="inlineStr">
        <is>
          <t>Support Jetty</t>
        </is>
      </c>
      <c r="G5729" s="182" t="n">
        <v>3.8</v>
      </c>
      <c r="H5729" s="182" t="n">
        <v>0</v>
      </c>
      <c r="I5729" s="182" t="n">
        <v>0</v>
      </c>
      <c r="J5729" s="182" t="n">
        <v>0</v>
      </c>
      <c r="K5729" s="182" t="n">
        <v>8.199999999999999</v>
      </c>
      <c r="L5729" s="182" t="n">
        <v>12</v>
      </c>
      <c r="M5729" s="182" t="n">
        <v>0</v>
      </c>
      <c r="N5729" s="182" t="n">
        <v>0</v>
      </c>
      <c r="O5729" s="183" t="n">
        <v>0</v>
      </c>
      <c r="P5729" s="183" t="n">
        <v>0</v>
      </c>
      <c r="Q5729" s="184" t="n">
        <v>0</v>
      </c>
      <c r="R5729" s="184" t="n">
        <v>0</v>
      </c>
      <c r="S5729" s="183" t="n">
        <v>0</v>
      </c>
      <c r="T5729" s="183" t="n">
        <v>0</v>
      </c>
      <c r="U5729" s="182" t="n">
        <v>0</v>
      </c>
      <c r="V5729" s="182" t="n">
        <v>0</v>
      </c>
      <c r="W5729" s="182" t="n">
        <v>0</v>
      </c>
      <c r="X5729" s="182" t="n">
        <v>1.02</v>
      </c>
      <c r="Y5729" s="182" t="n">
        <v>0</v>
      </c>
      <c r="Z5729" s="182" t="n">
        <v>0</v>
      </c>
      <c r="AA5729" s="182" t="n">
        <v>0</v>
      </c>
      <c r="AB5729" s="182" t="n">
        <v>0</v>
      </c>
      <c r="AC5729" s="182" t="n">
        <v>0</v>
      </c>
      <c r="AD5729" s="182" t="n">
        <v>0</v>
      </c>
      <c r="AE5729" s="182" t="n">
        <v>0</v>
      </c>
      <c r="AF5729" s="182" t="n">
        <v>0</v>
      </c>
      <c r="AG5729" s="182" t="n">
        <v>0</v>
      </c>
      <c r="AH5729" s="182" t="n">
        <v>0</v>
      </c>
      <c r="AI5729" s="182" t="n">
        <v>0</v>
      </c>
      <c r="AJ5729" s="182" t="n">
        <v>0</v>
      </c>
      <c r="AK5729" s="182" t="n">
        <v>7.09</v>
      </c>
      <c r="AL5729" s="182" t="n">
        <v>0</v>
      </c>
      <c r="AM5729" s="182" t="n">
        <v>0.08</v>
      </c>
      <c r="AN5729" s="182" t="n">
        <v>0</v>
      </c>
    </row>
    <row r="5730">
      <c r="A5730" s="155" t="n">
        <v>46108</v>
      </c>
      <c r="B5730" s="156" t="inlineStr">
        <is>
          <t>DS</t>
        </is>
      </c>
      <c r="C5730" s="156" t="inlineStr">
        <is>
          <t>DZ-035</t>
        </is>
      </c>
      <c r="D5730" s="156" t="inlineStr">
        <is>
          <t>D 85 ESS-2</t>
        </is>
      </c>
      <c r="E5730" s="156" t="inlineStr">
        <is>
          <t>Bulldozer</t>
        </is>
      </c>
      <c r="F5730" s="156" t="inlineStr"/>
      <c r="G5730" s="182" t="n">
        <v>0</v>
      </c>
      <c r="H5730" s="182" t="n">
        <v>0</v>
      </c>
      <c r="I5730" s="182" t="n">
        <v>12</v>
      </c>
      <c r="J5730" s="182" t="n">
        <v>12</v>
      </c>
      <c r="K5730" s="182" t="n">
        <v>0</v>
      </c>
      <c r="L5730" s="182" t="n">
        <v>12</v>
      </c>
      <c r="M5730" s="182" t="n">
        <v>0</v>
      </c>
      <c r="N5730" s="182" t="n">
        <v>0</v>
      </c>
      <c r="O5730" s="183" t="n">
        <v>0</v>
      </c>
      <c r="P5730" s="183" t="n">
        <v>0</v>
      </c>
      <c r="Q5730" s="184" t="n">
        <v>0</v>
      </c>
      <c r="R5730" s="184" t="n">
        <v>0</v>
      </c>
      <c r="S5730" s="183" t="n">
        <v>0</v>
      </c>
      <c r="T5730" s="183" t="n">
        <v>0</v>
      </c>
      <c r="U5730" s="182" t="n">
        <v>0</v>
      </c>
      <c r="V5730" s="182" t="n">
        <v>0</v>
      </c>
      <c r="W5730" s="182" t="n">
        <v>0</v>
      </c>
      <c r="X5730" s="182" t="n">
        <v>0</v>
      </c>
      <c r="Y5730" s="182" t="n">
        <v>0</v>
      </c>
      <c r="Z5730" s="182" t="n">
        <v>0</v>
      </c>
      <c r="AA5730" s="182" t="n">
        <v>0</v>
      </c>
      <c r="AB5730" s="182" t="n">
        <v>0</v>
      </c>
      <c r="AC5730" s="182" t="n">
        <v>0</v>
      </c>
      <c r="AD5730" s="182" t="n">
        <v>0</v>
      </c>
      <c r="AE5730" s="182" t="n">
        <v>0</v>
      </c>
      <c r="AF5730" s="182" t="n">
        <v>0</v>
      </c>
      <c r="AG5730" s="182" t="n">
        <v>0</v>
      </c>
      <c r="AH5730" s="182" t="n">
        <v>0</v>
      </c>
      <c r="AI5730" s="182" t="n">
        <v>0</v>
      </c>
      <c r="AJ5730" s="182" t="n">
        <v>0</v>
      </c>
      <c r="AK5730" s="182" t="n">
        <v>0</v>
      </c>
      <c r="AL5730" s="182" t="n">
        <v>0</v>
      </c>
      <c r="AM5730" s="182" t="n">
        <v>0</v>
      </c>
      <c r="AN5730" s="182" t="n">
        <v>0</v>
      </c>
    </row>
    <row r="5731">
      <c r="A5731" s="155" t="n">
        <v>46108</v>
      </c>
      <c r="B5731" s="156" t="inlineStr">
        <is>
          <t>DS</t>
        </is>
      </c>
      <c r="C5731" s="156" t="inlineStr">
        <is>
          <t>CP-042</t>
        </is>
      </c>
      <c r="D5731" s="156" t="inlineStr">
        <is>
          <t>SANY - Compactor</t>
        </is>
      </c>
      <c r="E5731" s="156" t="inlineStr">
        <is>
          <t>Compactor</t>
        </is>
      </c>
      <c r="F5731" s="156" t="inlineStr"/>
      <c r="G5731" s="182" t="n">
        <v>0</v>
      </c>
      <c r="H5731" s="182" t="n">
        <v>0</v>
      </c>
      <c r="I5731" s="182" t="n">
        <v>0</v>
      </c>
      <c r="J5731" s="182" t="n">
        <v>0</v>
      </c>
      <c r="K5731" s="182" t="n">
        <v>12</v>
      </c>
      <c r="L5731" s="182" t="n">
        <v>12</v>
      </c>
      <c r="M5731" s="182" t="n">
        <v>0</v>
      </c>
      <c r="N5731" s="182" t="n">
        <v>0</v>
      </c>
      <c r="O5731" s="183" t="n">
        <v>0</v>
      </c>
      <c r="P5731" s="183" t="n">
        <v>0</v>
      </c>
      <c r="Q5731" s="184" t="n">
        <v>0</v>
      </c>
      <c r="R5731" s="184" t="n">
        <v>0</v>
      </c>
      <c r="S5731" s="183" t="n">
        <v>0</v>
      </c>
      <c r="T5731" s="183" t="n">
        <v>0</v>
      </c>
      <c r="U5731" s="182" t="n">
        <v>0</v>
      </c>
      <c r="V5731" s="182" t="n">
        <v>0</v>
      </c>
      <c r="W5731" s="182" t="n">
        <v>0</v>
      </c>
      <c r="X5731" s="182" t="n">
        <v>1</v>
      </c>
      <c r="Y5731" s="182" t="n">
        <v>0</v>
      </c>
      <c r="Z5731" s="182" t="n">
        <v>0</v>
      </c>
      <c r="AA5731" s="182" t="n">
        <v>0</v>
      </c>
      <c r="AB5731" s="182" t="n">
        <v>0</v>
      </c>
      <c r="AC5731" s="182" t="n">
        <v>0</v>
      </c>
      <c r="AD5731" s="182" t="n">
        <v>0</v>
      </c>
      <c r="AE5731" s="182" t="n">
        <v>0</v>
      </c>
      <c r="AF5731" s="182" t="n">
        <v>0</v>
      </c>
      <c r="AG5731" s="182" t="n">
        <v>0</v>
      </c>
      <c r="AH5731" s="182" t="n">
        <v>0</v>
      </c>
      <c r="AI5731" s="182" t="n">
        <v>0</v>
      </c>
      <c r="AJ5731" s="182" t="n">
        <v>0</v>
      </c>
      <c r="AK5731" s="182" t="n">
        <v>10.92</v>
      </c>
      <c r="AL5731" s="182" t="n">
        <v>0</v>
      </c>
      <c r="AM5731" s="182" t="n">
        <v>0.08</v>
      </c>
      <c r="AN5731" s="182" t="n">
        <v>0</v>
      </c>
    </row>
    <row r="5732">
      <c r="A5732" s="155" t="n">
        <v>46108</v>
      </c>
      <c r="B5732" s="156" t="inlineStr">
        <is>
          <t>DS</t>
        </is>
      </c>
      <c r="C5732" s="156" t="inlineStr">
        <is>
          <t>CP-041</t>
        </is>
      </c>
      <c r="D5732" s="156" t="inlineStr">
        <is>
          <t>SANY - Compactor</t>
        </is>
      </c>
      <c r="E5732" s="156" t="inlineStr">
        <is>
          <t>Compactor</t>
        </is>
      </c>
      <c r="F5732" s="156" t="inlineStr">
        <is>
          <t>General Road</t>
        </is>
      </c>
      <c r="G5732" s="182" t="n">
        <v>2.52</v>
      </c>
      <c r="H5732" s="182" t="n">
        <v>0</v>
      </c>
      <c r="I5732" s="182" t="n">
        <v>9.32</v>
      </c>
      <c r="J5732" s="182" t="n">
        <v>9.32</v>
      </c>
      <c r="K5732" s="182" t="n">
        <v>0.16</v>
      </c>
      <c r="L5732" s="182" t="n">
        <v>12</v>
      </c>
      <c r="M5732" s="182" t="n">
        <v>0</v>
      </c>
      <c r="N5732" s="182" t="n">
        <v>0</v>
      </c>
      <c r="O5732" s="183" t="n">
        <v>0</v>
      </c>
      <c r="P5732" s="183" t="n">
        <v>0</v>
      </c>
      <c r="Q5732" s="184" t="n">
        <v>0</v>
      </c>
      <c r="R5732" s="184" t="n">
        <v>0</v>
      </c>
      <c r="S5732" s="183" t="n">
        <v>0</v>
      </c>
      <c r="T5732" s="183" t="n">
        <v>0</v>
      </c>
      <c r="U5732" s="182" t="n">
        <v>0</v>
      </c>
      <c r="V5732" s="182" t="n">
        <v>0</v>
      </c>
      <c r="W5732" s="182" t="n">
        <v>0</v>
      </c>
      <c r="X5732" s="182" t="n">
        <v>0</v>
      </c>
      <c r="Y5732" s="182" t="n">
        <v>0</v>
      </c>
      <c r="Z5732" s="182" t="n">
        <v>0</v>
      </c>
      <c r="AA5732" s="182" t="n">
        <v>0</v>
      </c>
      <c r="AB5732" s="182" t="n">
        <v>0</v>
      </c>
      <c r="AC5732" s="182" t="n">
        <v>0</v>
      </c>
      <c r="AD5732" s="182" t="n">
        <v>0</v>
      </c>
      <c r="AE5732" s="182" t="n">
        <v>0</v>
      </c>
      <c r="AF5732" s="182" t="n">
        <v>0</v>
      </c>
      <c r="AG5732" s="182" t="n">
        <v>0</v>
      </c>
      <c r="AH5732" s="182" t="n">
        <v>0</v>
      </c>
      <c r="AI5732" s="182" t="n">
        <v>0</v>
      </c>
      <c r="AJ5732" s="182" t="n">
        <v>0</v>
      </c>
      <c r="AK5732" s="182" t="n">
        <v>0.09</v>
      </c>
      <c r="AL5732" s="182" t="n">
        <v>0</v>
      </c>
      <c r="AM5732" s="182" t="n">
        <v>0.07000000000000001</v>
      </c>
      <c r="AN5732" s="182" t="n">
        <v>0</v>
      </c>
    </row>
    <row r="5733">
      <c r="A5733" s="155" t="n">
        <v>46108</v>
      </c>
      <c r="B5733" s="156" t="inlineStr">
        <is>
          <t>DS</t>
        </is>
      </c>
      <c r="C5733" s="156" t="inlineStr">
        <is>
          <t>HT-418</t>
        </is>
      </c>
      <c r="D5733" s="156" t="inlineStr">
        <is>
          <t>SY430</t>
        </is>
      </c>
      <c r="E5733" s="156" t="inlineStr">
        <is>
          <t>DT Hauling</t>
        </is>
      </c>
      <c r="F5733" s="156" t="inlineStr"/>
      <c r="G5733" s="182" t="n">
        <v>0</v>
      </c>
      <c r="H5733" s="182" t="n">
        <v>0</v>
      </c>
      <c r="I5733" s="182" t="n">
        <v>0</v>
      </c>
      <c r="J5733" s="182" t="n">
        <v>0</v>
      </c>
      <c r="K5733" s="182" t="n">
        <v>12</v>
      </c>
      <c r="L5733" s="182" t="n">
        <v>12</v>
      </c>
      <c r="M5733" s="182" t="n">
        <v>0</v>
      </c>
      <c r="N5733" s="182" t="n">
        <v>0</v>
      </c>
      <c r="O5733" s="183" t="n">
        <v>0</v>
      </c>
      <c r="P5733" s="183" t="n">
        <v>0</v>
      </c>
      <c r="Q5733" s="184" t="n">
        <v>0</v>
      </c>
      <c r="R5733" s="184" t="n">
        <v>0</v>
      </c>
      <c r="S5733" s="183" t="n">
        <v>0</v>
      </c>
      <c r="T5733" s="183" t="n">
        <v>0</v>
      </c>
      <c r="U5733" s="182" t="n">
        <v>0</v>
      </c>
      <c r="V5733" s="182" t="n">
        <v>0</v>
      </c>
      <c r="W5733" s="182" t="n">
        <v>0</v>
      </c>
      <c r="X5733" s="182" t="n">
        <v>1</v>
      </c>
      <c r="Y5733" s="182" t="n">
        <v>0</v>
      </c>
      <c r="Z5733" s="182" t="n">
        <v>0</v>
      </c>
      <c r="AA5733" s="182" t="n">
        <v>0</v>
      </c>
      <c r="AB5733" s="182" t="n">
        <v>0</v>
      </c>
      <c r="AC5733" s="182" t="n">
        <v>0</v>
      </c>
      <c r="AD5733" s="182" t="n">
        <v>0</v>
      </c>
      <c r="AE5733" s="182" t="n">
        <v>0</v>
      </c>
      <c r="AF5733" s="182" t="n">
        <v>0</v>
      </c>
      <c r="AG5733" s="182" t="n">
        <v>0</v>
      </c>
      <c r="AH5733" s="182" t="n">
        <v>0</v>
      </c>
      <c r="AI5733" s="182" t="n">
        <v>0</v>
      </c>
      <c r="AJ5733" s="182" t="n">
        <v>0</v>
      </c>
      <c r="AK5733" s="182" t="n">
        <v>10.92</v>
      </c>
      <c r="AL5733" s="182" t="n">
        <v>0</v>
      </c>
      <c r="AM5733" s="182" t="n">
        <v>0.08</v>
      </c>
      <c r="AN5733" s="182" t="n">
        <v>0</v>
      </c>
    </row>
    <row r="5734">
      <c r="A5734" s="155" t="n">
        <v>46108</v>
      </c>
      <c r="B5734" s="156" t="inlineStr">
        <is>
          <t>DS</t>
        </is>
      </c>
      <c r="C5734" s="156" t="inlineStr">
        <is>
          <t>HT-404</t>
        </is>
      </c>
      <c r="D5734" s="156" t="inlineStr">
        <is>
          <t>SY430</t>
        </is>
      </c>
      <c r="E5734" s="156" t="inlineStr">
        <is>
          <t>DT Hauling</t>
        </is>
      </c>
      <c r="F5734" s="156" t="inlineStr"/>
      <c r="G5734" s="182" t="n">
        <v>0</v>
      </c>
      <c r="H5734" s="182" t="n">
        <v>0</v>
      </c>
      <c r="I5734" s="182" t="n">
        <v>12</v>
      </c>
      <c r="J5734" s="182" t="n">
        <v>12</v>
      </c>
      <c r="K5734" s="182" t="n">
        <v>0</v>
      </c>
      <c r="L5734" s="182" t="n">
        <v>12</v>
      </c>
      <c r="M5734" s="182" t="n">
        <v>0</v>
      </c>
      <c r="N5734" s="182" t="n">
        <v>0</v>
      </c>
      <c r="O5734" s="183" t="n">
        <v>0</v>
      </c>
      <c r="P5734" s="183" t="n">
        <v>0</v>
      </c>
      <c r="Q5734" s="184" t="n">
        <v>0</v>
      </c>
      <c r="R5734" s="184" t="n">
        <v>0</v>
      </c>
      <c r="S5734" s="183" t="n">
        <v>0</v>
      </c>
      <c r="T5734" s="183" t="n">
        <v>0</v>
      </c>
      <c r="U5734" s="182" t="n">
        <v>0</v>
      </c>
      <c r="V5734" s="182" t="n">
        <v>0</v>
      </c>
      <c r="W5734" s="182" t="n">
        <v>0</v>
      </c>
      <c r="X5734" s="182" t="n">
        <v>0</v>
      </c>
      <c r="Y5734" s="182" t="n">
        <v>0</v>
      </c>
      <c r="Z5734" s="182" t="n">
        <v>0</v>
      </c>
      <c r="AA5734" s="182" t="n">
        <v>0</v>
      </c>
      <c r="AB5734" s="182" t="n">
        <v>0</v>
      </c>
      <c r="AC5734" s="182" t="n">
        <v>0</v>
      </c>
      <c r="AD5734" s="182" t="n">
        <v>0</v>
      </c>
      <c r="AE5734" s="182" t="n">
        <v>0</v>
      </c>
      <c r="AF5734" s="182" t="n">
        <v>0</v>
      </c>
      <c r="AG5734" s="182" t="n">
        <v>0</v>
      </c>
      <c r="AH5734" s="182" t="n">
        <v>0</v>
      </c>
      <c r="AI5734" s="182" t="n">
        <v>0</v>
      </c>
      <c r="AJ5734" s="182" t="n">
        <v>0</v>
      </c>
      <c r="AK5734" s="182" t="n">
        <v>0</v>
      </c>
      <c r="AL5734" s="182" t="n">
        <v>0</v>
      </c>
      <c r="AM5734" s="182" t="n">
        <v>0</v>
      </c>
      <c r="AN5734" s="182" t="n">
        <v>0</v>
      </c>
    </row>
    <row r="5735">
      <c r="A5735" s="155" t="n">
        <v>46108</v>
      </c>
      <c r="B5735" s="156" t="inlineStr">
        <is>
          <t>DS</t>
        </is>
      </c>
      <c r="C5735" s="156" t="inlineStr">
        <is>
          <t>HT-415</t>
        </is>
      </c>
      <c r="D5735" s="156" t="inlineStr">
        <is>
          <t>SY430</t>
        </is>
      </c>
      <c r="E5735" s="156" t="inlineStr">
        <is>
          <t>DT Hauling</t>
        </is>
      </c>
      <c r="F5735" s="156" t="inlineStr"/>
      <c r="G5735" s="182" t="n">
        <v>0</v>
      </c>
      <c r="H5735" s="182" t="n">
        <v>0</v>
      </c>
      <c r="I5735" s="182" t="n">
        <v>12</v>
      </c>
      <c r="J5735" s="182" t="n">
        <v>12</v>
      </c>
      <c r="K5735" s="182" t="n">
        <v>0</v>
      </c>
      <c r="L5735" s="182" t="n">
        <v>12</v>
      </c>
      <c r="M5735" s="182" t="n">
        <v>0</v>
      </c>
      <c r="N5735" s="182" t="n">
        <v>0</v>
      </c>
      <c r="O5735" s="183" t="n">
        <v>0</v>
      </c>
      <c r="P5735" s="183" t="n">
        <v>0</v>
      </c>
      <c r="Q5735" s="184" t="n">
        <v>0</v>
      </c>
      <c r="R5735" s="184" t="n">
        <v>0</v>
      </c>
      <c r="S5735" s="183" t="n">
        <v>0</v>
      </c>
      <c r="T5735" s="183" t="n">
        <v>0</v>
      </c>
      <c r="U5735" s="182" t="n">
        <v>0</v>
      </c>
      <c r="V5735" s="182" t="n">
        <v>0</v>
      </c>
      <c r="W5735" s="182" t="n">
        <v>0</v>
      </c>
      <c r="X5735" s="182" t="n">
        <v>0</v>
      </c>
      <c r="Y5735" s="182" t="n">
        <v>0</v>
      </c>
      <c r="Z5735" s="182" t="n">
        <v>0</v>
      </c>
      <c r="AA5735" s="182" t="n">
        <v>0</v>
      </c>
      <c r="AB5735" s="182" t="n">
        <v>0</v>
      </c>
      <c r="AC5735" s="182" t="n">
        <v>0</v>
      </c>
      <c r="AD5735" s="182" t="n">
        <v>0</v>
      </c>
      <c r="AE5735" s="182" t="n">
        <v>0</v>
      </c>
      <c r="AF5735" s="182" t="n">
        <v>0</v>
      </c>
      <c r="AG5735" s="182" t="n">
        <v>0</v>
      </c>
      <c r="AH5735" s="182" t="n">
        <v>0</v>
      </c>
      <c r="AI5735" s="182" t="n">
        <v>0</v>
      </c>
      <c r="AJ5735" s="182" t="n">
        <v>0</v>
      </c>
      <c r="AK5735" s="182" t="n">
        <v>0</v>
      </c>
      <c r="AL5735" s="182" t="n">
        <v>0</v>
      </c>
      <c r="AM5735" s="182" t="n">
        <v>0</v>
      </c>
      <c r="AN5735" s="182" t="n">
        <v>0</v>
      </c>
    </row>
    <row r="5736">
      <c r="A5736" s="155" t="n">
        <v>46108</v>
      </c>
      <c r="B5736" s="156" t="inlineStr">
        <is>
          <t>DS</t>
        </is>
      </c>
      <c r="C5736" s="156" t="inlineStr">
        <is>
          <t>HT-406</t>
        </is>
      </c>
      <c r="D5736" s="156" t="inlineStr">
        <is>
          <t>SY430</t>
        </is>
      </c>
      <c r="E5736" s="156" t="inlineStr">
        <is>
          <t>DT Hauling</t>
        </is>
      </c>
      <c r="F5736" s="156" t="inlineStr"/>
      <c r="G5736" s="182" t="n">
        <v>0</v>
      </c>
      <c r="H5736" s="182" t="n">
        <v>0</v>
      </c>
      <c r="I5736" s="182" t="n">
        <v>12</v>
      </c>
      <c r="J5736" s="182" t="n">
        <v>12</v>
      </c>
      <c r="K5736" s="182" t="n">
        <v>0</v>
      </c>
      <c r="L5736" s="182" t="n">
        <v>12</v>
      </c>
      <c r="M5736" s="182" t="n">
        <v>0</v>
      </c>
      <c r="N5736" s="182" t="n">
        <v>0</v>
      </c>
      <c r="O5736" s="183" t="n">
        <v>0</v>
      </c>
      <c r="P5736" s="183" t="n">
        <v>0</v>
      </c>
      <c r="Q5736" s="184" t="n">
        <v>0</v>
      </c>
      <c r="R5736" s="184" t="n">
        <v>0</v>
      </c>
      <c r="S5736" s="183" t="n">
        <v>0</v>
      </c>
      <c r="T5736" s="183" t="n">
        <v>0</v>
      </c>
      <c r="U5736" s="182" t="n">
        <v>0</v>
      </c>
      <c r="V5736" s="182" t="n">
        <v>0</v>
      </c>
      <c r="W5736" s="182" t="n">
        <v>0</v>
      </c>
      <c r="X5736" s="182" t="n">
        <v>0</v>
      </c>
      <c r="Y5736" s="182" t="n">
        <v>0</v>
      </c>
      <c r="Z5736" s="182" t="n">
        <v>0</v>
      </c>
      <c r="AA5736" s="182" t="n">
        <v>0</v>
      </c>
      <c r="AB5736" s="182" t="n">
        <v>0</v>
      </c>
      <c r="AC5736" s="182" t="n">
        <v>0</v>
      </c>
      <c r="AD5736" s="182" t="n">
        <v>0</v>
      </c>
      <c r="AE5736" s="182" t="n">
        <v>0</v>
      </c>
      <c r="AF5736" s="182" t="n">
        <v>0</v>
      </c>
      <c r="AG5736" s="182" t="n">
        <v>0</v>
      </c>
      <c r="AH5736" s="182" t="n">
        <v>0</v>
      </c>
      <c r="AI5736" s="182" t="n">
        <v>0</v>
      </c>
      <c r="AJ5736" s="182" t="n">
        <v>0</v>
      </c>
      <c r="AK5736" s="182" t="n">
        <v>0</v>
      </c>
      <c r="AL5736" s="182" t="n">
        <v>0</v>
      </c>
      <c r="AM5736" s="182" t="n">
        <v>0</v>
      </c>
      <c r="AN5736" s="182" t="n">
        <v>0</v>
      </c>
    </row>
    <row r="5737">
      <c r="A5737" s="155" t="n">
        <v>46108</v>
      </c>
      <c r="B5737" s="156" t="inlineStr">
        <is>
          <t>DS</t>
        </is>
      </c>
      <c r="C5737" s="156" t="inlineStr">
        <is>
          <t>HT-405</t>
        </is>
      </c>
      <c r="D5737" s="156" t="inlineStr">
        <is>
          <t>SY430</t>
        </is>
      </c>
      <c r="E5737" s="156" t="inlineStr">
        <is>
          <t>DT Hauling</t>
        </is>
      </c>
      <c r="F5737" s="156" t="inlineStr"/>
      <c r="G5737" s="182" t="n">
        <v>0</v>
      </c>
      <c r="H5737" s="182" t="n">
        <v>0</v>
      </c>
      <c r="I5737" s="182" t="n">
        <v>0</v>
      </c>
      <c r="J5737" s="182" t="n">
        <v>0</v>
      </c>
      <c r="K5737" s="182" t="n">
        <v>12</v>
      </c>
      <c r="L5737" s="182" t="n">
        <v>12</v>
      </c>
      <c r="M5737" s="182" t="n">
        <v>0</v>
      </c>
      <c r="N5737" s="182" t="n">
        <v>0</v>
      </c>
      <c r="O5737" s="183" t="n">
        <v>0</v>
      </c>
      <c r="P5737" s="183" t="n">
        <v>0</v>
      </c>
      <c r="Q5737" s="184" t="n">
        <v>0</v>
      </c>
      <c r="R5737" s="184" t="n">
        <v>0</v>
      </c>
      <c r="S5737" s="183" t="n">
        <v>0</v>
      </c>
      <c r="T5737" s="183" t="n">
        <v>0</v>
      </c>
      <c r="U5737" s="182" t="n">
        <v>0</v>
      </c>
      <c r="V5737" s="182" t="n">
        <v>0</v>
      </c>
      <c r="W5737" s="182" t="n">
        <v>0</v>
      </c>
      <c r="X5737" s="182" t="n">
        <v>1</v>
      </c>
      <c r="Y5737" s="182" t="n">
        <v>0</v>
      </c>
      <c r="Z5737" s="182" t="n">
        <v>0</v>
      </c>
      <c r="AA5737" s="182" t="n">
        <v>0</v>
      </c>
      <c r="AB5737" s="182" t="n">
        <v>0</v>
      </c>
      <c r="AC5737" s="182" t="n">
        <v>0</v>
      </c>
      <c r="AD5737" s="182" t="n">
        <v>0</v>
      </c>
      <c r="AE5737" s="182" t="n">
        <v>0</v>
      </c>
      <c r="AF5737" s="182" t="n">
        <v>0</v>
      </c>
      <c r="AG5737" s="182" t="n">
        <v>0</v>
      </c>
      <c r="AH5737" s="182" t="n">
        <v>0</v>
      </c>
      <c r="AI5737" s="182" t="n">
        <v>0</v>
      </c>
      <c r="AJ5737" s="182" t="n">
        <v>0</v>
      </c>
      <c r="AK5737" s="182" t="n">
        <v>10.92</v>
      </c>
      <c r="AL5737" s="182" t="n">
        <v>0</v>
      </c>
      <c r="AM5737" s="182" t="n">
        <v>0.08</v>
      </c>
      <c r="AN5737" s="182" t="n">
        <v>0</v>
      </c>
    </row>
    <row r="5738">
      <c r="A5738" s="155" t="n">
        <v>46108</v>
      </c>
      <c r="B5738" s="156" t="inlineStr">
        <is>
          <t>DS</t>
        </is>
      </c>
      <c r="C5738" s="156" t="inlineStr">
        <is>
          <t>HT-417</t>
        </is>
      </c>
      <c r="D5738" s="156" t="inlineStr">
        <is>
          <t>SY430</t>
        </is>
      </c>
      <c r="E5738" s="156" t="inlineStr">
        <is>
          <t>DT Hauling</t>
        </is>
      </c>
      <c r="F5738" s="156" t="inlineStr"/>
      <c r="G5738" s="182" t="n">
        <v>0</v>
      </c>
      <c r="H5738" s="182" t="n">
        <v>0</v>
      </c>
      <c r="I5738" s="182" t="n">
        <v>0</v>
      </c>
      <c r="J5738" s="182" t="n">
        <v>0</v>
      </c>
      <c r="K5738" s="182" t="n">
        <v>12</v>
      </c>
      <c r="L5738" s="182" t="n">
        <v>12</v>
      </c>
      <c r="M5738" s="182" t="n">
        <v>0</v>
      </c>
      <c r="N5738" s="182" t="n">
        <v>0</v>
      </c>
      <c r="O5738" s="183" t="n">
        <v>0</v>
      </c>
      <c r="P5738" s="183" t="n">
        <v>0</v>
      </c>
      <c r="Q5738" s="184" t="n">
        <v>0</v>
      </c>
      <c r="R5738" s="184" t="n">
        <v>0</v>
      </c>
      <c r="S5738" s="183" t="n">
        <v>0</v>
      </c>
      <c r="T5738" s="183" t="n">
        <v>0</v>
      </c>
      <c r="U5738" s="182" t="n">
        <v>0</v>
      </c>
      <c r="V5738" s="182" t="n">
        <v>0</v>
      </c>
      <c r="W5738" s="182" t="n">
        <v>0</v>
      </c>
      <c r="X5738" s="182" t="n">
        <v>1</v>
      </c>
      <c r="Y5738" s="182" t="n">
        <v>0</v>
      </c>
      <c r="Z5738" s="182" t="n">
        <v>0</v>
      </c>
      <c r="AA5738" s="182" t="n">
        <v>0</v>
      </c>
      <c r="AB5738" s="182" t="n">
        <v>0</v>
      </c>
      <c r="AC5738" s="182" t="n">
        <v>0</v>
      </c>
      <c r="AD5738" s="182" t="n">
        <v>0</v>
      </c>
      <c r="AE5738" s="182" t="n">
        <v>0</v>
      </c>
      <c r="AF5738" s="182" t="n">
        <v>0</v>
      </c>
      <c r="AG5738" s="182" t="n">
        <v>0</v>
      </c>
      <c r="AH5738" s="182" t="n">
        <v>0</v>
      </c>
      <c r="AI5738" s="182" t="n">
        <v>0</v>
      </c>
      <c r="AJ5738" s="182" t="n">
        <v>0</v>
      </c>
      <c r="AK5738" s="182" t="n">
        <v>10.92</v>
      </c>
      <c r="AL5738" s="182" t="n">
        <v>0</v>
      </c>
      <c r="AM5738" s="182" t="n">
        <v>0.08</v>
      </c>
      <c r="AN5738" s="182" t="n">
        <v>0</v>
      </c>
    </row>
    <row r="5739">
      <c r="A5739" s="155" t="n">
        <v>46108</v>
      </c>
      <c r="B5739" s="156" t="inlineStr">
        <is>
          <t>DS</t>
        </is>
      </c>
      <c r="C5739" s="156" t="inlineStr">
        <is>
          <t>HT-401</t>
        </is>
      </c>
      <c r="D5739" s="156" t="inlineStr">
        <is>
          <t>SY430</t>
        </is>
      </c>
      <c r="E5739" s="156" t="inlineStr">
        <is>
          <t>DT Hauling</t>
        </is>
      </c>
      <c r="F5739" s="156" t="inlineStr"/>
      <c r="G5739" s="182" t="n">
        <v>0</v>
      </c>
      <c r="H5739" s="182" t="n">
        <v>0</v>
      </c>
      <c r="I5739" s="182" t="n">
        <v>0</v>
      </c>
      <c r="J5739" s="182" t="n">
        <v>0</v>
      </c>
      <c r="K5739" s="182" t="n">
        <v>12</v>
      </c>
      <c r="L5739" s="182" t="n">
        <v>12</v>
      </c>
      <c r="M5739" s="182" t="n">
        <v>0</v>
      </c>
      <c r="N5739" s="182" t="n">
        <v>0</v>
      </c>
      <c r="O5739" s="183" t="n">
        <v>0</v>
      </c>
      <c r="P5739" s="183" t="n">
        <v>0</v>
      </c>
      <c r="Q5739" s="184" t="n">
        <v>0</v>
      </c>
      <c r="R5739" s="184" t="n">
        <v>0</v>
      </c>
      <c r="S5739" s="183" t="n">
        <v>0</v>
      </c>
      <c r="T5739" s="183" t="n">
        <v>0</v>
      </c>
      <c r="U5739" s="182" t="n">
        <v>0</v>
      </c>
      <c r="V5739" s="182" t="n">
        <v>0</v>
      </c>
      <c r="W5739" s="182" t="n">
        <v>0</v>
      </c>
      <c r="X5739" s="182" t="n">
        <v>1</v>
      </c>
      <c r="Y5739" s="182" t="n">
        <v>0</v>
      </c>
      <c r="Z5739" s="182" t="n">
        <v>0</v>
      </c>
      <c r="AA5739" s="182" t="n">
        <v>0</v>
      </c>
      <c r="AB5739" s="182" t="n">
        <v>0</v>
      </c>
      <c r="AC5739" s="182" t="n">
        <v>0</v>
      </c>
      <c r="AD5739" s="182" t="n">
        <v>0</v>
      </c>
      <c r="AE5739" s="182" t="n">
        <v>0</v>
      </c>
      <c r="AF5739" s="182" t="n">
        <v>0</v>
      </c>
      <c r="AG5739" s="182" t="n">
        <v>0</v>
      </c>
      <c r="AH5739" s="182" t="n">
        <v>0</v>
      </c>
      <c r="AI5739" s="182" t="n">
        <v>0</v>
      </c>
      <c r="AJ5739" s="182" t="n">
        <v>0</v>
      </c>
      <c r="AK5739" s="182" t="n">
        <v>10.92</v>
      </c>
      <c r="AL5739" s="182" t="n">
        <v>0</v>
      </c>
      <c r="AM5739" s="182" t="n">
        <v>0.08</v>
      </c>
      <c r="AN5739" s="182" t="n">
        <v>0</v>
      </c>
    </row>
    <row r="5740">
      <c r="A5740" s="155" t="n">
        <v>46108</v>
      </c>
      <c r="B5740" s="156" t="inlineStr">
        <is>
          <t>DS</t>
        </is>
      </c>
      <c r="C5740" s="156" t="inlineStr">
        <is>
          <t>HT-410</t>
        </is>
      </c>
      <c r="D5740" s="156" t="inlineStr">
        <is>
          <t>SY430</t>
        </is>
      </c>
      <c r="E5740" s="156" t="inlineStr">
        <is>
          <t>DT Hauling</t>
        </is>
      </c>
      <c r="F5740" s="156" t="inlineStr"/>
      <c r="G5740" s="182" t="n">
        <v>0</v>
      </c>
      <c r="H5740" s="182" t="n">
        <v>0</v>
      </c>
      <c r="I5740" s="182" t="n">
        <v>0</v>
      </c>
      <c r="J5740" s="182" t="n">
        <v>0</v>
      </c>
      <c r="K5740" s="182" t="n">
        <v>12</v>
      </c>
      <c r="L5740" s="182" t="n">
        <v>12</v>
      </c>
      <c r="M5740" s="182" t="n">
        <v>0</v>
      </c>
      <c r="N5740" s="182" t="n">
        <v>0</v>
      </c>
      <c r="O5740" s="183" t="n">
        <v>0</v>
      </c>
      <c r="P5740" s="183" t="n">
        <v>0</v>
      </c>
      <c r="Q5740" s="184" t="n">
        <v>0</v>
      </c>
      <c r="R5740" s="184" t="n">
        <v>0</v>
      </c>
      <c r="S5740" s="183" t="n">
        <v>0</v>
      </c>
      <c r="T5740" s="183" t="n">
        <v>0</v>
      </c>
      <c r="U5740" s="182" t="n">
        <v>0</v>
      </c>
      <c r="V5740" s="182" t="n">
        <v>0</v>
      </c>
      <c r="W5740" s="182" t="n">
        <v>0</v>
      </c>
      <c r="X5740" s="182" t="n">
        <v>1</v>
      </c>
      <c r="Y5740" s="182" t="n">
        <v>0</v>
      </c>
      <c r="Z5740" s="182" t="n">
        <v>0</v>
      </c>
      <c r="AA5740" s="182" t="n">
        <v>0</v>
      </c>
      <c r="AB5740" s="182" t="n">
        <v>0</v>
      </c>
      <c r="AC5740" s="182" t="n">
        <v>0</v>
      </c>
      <c r="AD5740" s="182" t="n">
        <v>0</v>
      </c>
      <c r="AE5740" s="182" t="n">
        <v>0</v>
      </c>
      <c r="AF5740" s="182" t="n">
        <v>0</v>
      </c>
      <c r="AG5740" s="182" t="n">
        <v>0</v>
      </c>
      <c r="AH5740" s="182" t="n">
        <v>0</v>
      </c>
      <c r="AI5740" s="182" t="n">
        <v>0</v>
      </c>
      <c r="AJ5740" s="182" t="n">
        <v>0</v>
      </c>
      <c r="AK5740" s="182" t="n">
        <v>10.92</v>
      </c>
      <c r="AL5740" s="182" t="n">
        <v>0</v>
      </c>
      <c r="AM5740" s="182" t="n">
        <v>0.08</v>
      </c>
      <c r="AN5740" s="182" t="n">
        <v>0</v>
      </c>
    </row>
    <row r="5741">
      <c r="A5741" s="155" t="n">
        <v>46108</v>
      </c>
      <c r="B5741" s="156" t="inlineStr">
        <is>
          <t>DS</t>
        </is>
      </c>
      <c r="C5741" s="156" t="inlineStr">
        <is>
          <t>HT-402</t>
        </is>
      </c>
      <c r="D5741" s="156" t="inlineStr">
        <is>
          <t>SY430</t>
        </is>
      </c>
      <c r="E5741" s="156" t="inlineStr">
        <is>
          <t>DT Hauling</t>
        </is>
      </c>
      <c r="F5741" s="156" t="inlineStr"/>
      <c r="G5741" s="182" t="n">
        <v>0</v>
      </c>
      <c r="H5741" s="182" t="n">
        <v>0</v>
      </c>
      <c r="I5741" s="182" t="n">
        <v>12</v>
      </c>
      <c r="J5741" s="182" t="n">
        <v>12</v>
      </c>
      <c r="K5741" s="182" t="n">
        <v>0</v>
      </c>
      <c r="L5741" s="182" t="n">
        <v>12</v>
      </c>
      <c r="M5741" s="182" t="n">
        <v>0</v>
      </c>
      <c r="N5741" s="182" t="n">
        <v>0</v>
      </c>
      <c r="O5741" s="183" t="n">
        <v>0</v>
      </c>
      <c r="P5741" s="183" t="n">
        <v>0</v>
      </c>
      <c r="Q5741" s="184" t="n">
        <v>0</v>
      </c>
      <c r="R5741" s="184" t="n">
        <v>0</v>
      </c>
      <c r="S5741" s="183" t="n">
        <v>0</v>
      </c>
      <c r="T5741" s="183" t="n">
        <v>0</v>
      </c>
      <c r="U5741" s="182" t="n">
        <v>0</v>
      </c>
      <c r="V5741" s="182" t="n">
        <v>0</v>
      </c>
      <c r="W5741" s="182" t="n">
        <v>0</v>
      </c>
      <c r="X5741" s="182" t="n">
        <v>0</v>
      </c>
      <c r="Y5741" s="182" t="n">
        <v>0</v>
      </c>
      <c r="Z5741" s="182" t="n">
        <v>0</v>
      </c>
      <c r="AA5741" s="182" t="n">
        <v>0</v>
      </c>
      <c r="AB5741" s="182" t="n">
        <v>0</v>
      </c>
      <c r="AC5741" s="182" t="n">
        <v>0</v>
      </c>
      <c r="AD5741" s="182" t="n">
        <v>0</v>
      </c>
      <c r="AE5741" s="182" t="n">
        <v>0</v>
      </c>
      <c r="AF5741" s="182" t="n">
        <v>0</v>
      </c>
      <c r="AG5741" s="182" t="n">
        <v>0</v>
      </c>
      <c r="AH5741" s="182" t="n">
        <v>0</v>
      </c>
      <c r="AI5741" s="182" t="n">
        <v>0</v>
      </c>
      <c r="AJ5741" s="182" t="n">
        <v>0</v>
      </c>
      <c r="AK5741" s="182" t="n">
        <v>0</v>
      </c>
      <c r="AL5741" s="182" t="n">
        <v>0</v>
      </c>
      <c r="AM5741" s="182" t="n">
        <v>0</v>
      </c>
      <c r="AN5741" s="182" t="n">
        <v>0</v>
      </c>
    </row>
    <row r="5742">
      <c r="A5742" s="155" t="n">
        <v>46108</v>
      </c>
      <c r="B5742" s="156" t="inlineStr">
        <is>
          <t>DS</t>
        </is>
      </c>
      <c r="C5742" s="156" t="inlineStr">
        <is>
          <t>HT-419</t>
        </is>
      </c>
      <c r="D5742" s="156" t="inlineStr">
        <is>
          <t>SY430</t>
        </is>
      </c>
      <c r="E5742" s="156" t="inlineStr">
        <is>
          <t>DT Hauling</t>
        </is>
      </c>
      <c r="F5742" s="156" t="inlineStr"/>
      <c r="G5742" s="182" t="n">
        <v>0</v>
      </c>
      <c r="H5742" s="182" t="n">
        <v>0</v>
      </c>
      <c r="I5742" s="182" t="n">
        <v>0</v>
      </c>
      <c r="J5742" s="182" t="n">
        <v>0</v>
      </c>
      <c r="K5742" s="182" t="n">
        <v>12</v>
      </c>
      <c r="L5742" s="182" t="n">
        <v>12</v>
      </c>
      <c r="M5742" s="182" t="n">
        <v>0</v>
      </c>
      <c r="N5742" s="182" t="n">
        <v>0</v>
      </c>
      <c r="O5742" s="183" t="n">
        <v>0</v>
      </c>
      <c r="P5742" s="183" t="n">
        <v>0</v>
      </c>
      <c r="Q5742" s="184" t="n">
        <v>0</v>
      </c>
      <c r="R5742" s="184" t="n">
        <v>0</v>
      </c>
      <c r="S5742" s="183" t="n">
        <v>0</v>
      </c>
      <c r="T5742" s="183" t="n">
        <v>0</v>
      </c>
      <c r="U5742" s="182" t="n">
        <v>0</v>
      </c>
      <c r="V5742" s="182" t="n">
        <v>0</v>
      </c>
      <c r="W5742" s="182" t="n">
        <v>0</v>
      </c>
      <c r="X5742" s="182" t="n">
        <v>1</v>
      </c>
      <c r="Y5742" s="182" t="n">
        <v>0</v>
      </c>
      <c r="Z5742" s="182" t="n">
        <v>0</v>
      </c>
      <c r="AA5742" s="182" t="n">
        <v>0</v>
      </c>
      <c r="AB5742" s="182" t="n">
        <v>0</v>
      </c>
      <c r="AC5742" s="182" t="n">
        <v>0</v>
      </c>
      <c r="AD5742" s="182" t="n">
        <v>0</v>
      </c>
      <c r="AE5742" s="182" t="n">
        <v>0</v>
      </c>
      <c r="AF5742" s="182" t="n">
        <v>0</v>
      </c>
      <c r="AG5742" s="182" t="n">
        <v>0</v>
      </c>
      <c r="AH5742" s="182" t="n">
        <v>0</v>
      </c>
      <c r="AI5742" s="182" t="n">
        <v>0</v>
      </c>
      <c r="AJ5742" s="182" t="n">
        <v>0</v>
      </c>
      <c r="AK5742" s="182" t="n">
        <v>10.92</v>
      </c>
      <c r="AL5742" s="182" t="n">
        <v>0</v>
      </c>
      <c r="AM5742" s="182" t="n">
        <v>0.08</v>
      </c>
      <c r="AN5742" s="182" t="n">
        <v>0</v>
      </c>
    </row>
    <row r="5743">
      <c r="A5743" s="155" t="n">
        <v>46108</v>
      </c>
      <c r="B5743" s="156" t="inlineStr">
        <is>
          <t>DS</t>
        </is>
      </c>
      <c r="C5743" s="156" t="inlineStr">
        <is>
          <t>HT-416</t>
        </is>
      </c>
      <c r="D5743" s="156" t="inlineStr">
        <is>
          <t>SY430</t>
        </is>
      </c>
      <c r="E5743" s="156" t="inlineStr">
        <is>
          <t>DT Hauling</t>
        </is>
      </c>
      <c r="F5743" s="156" t="inlineStr"/>
      <c r="G5743" s="182" t="n">
        <v>0</v>
      </c>
      <c r="H5743" s="182" t="n">
        <v>0</v>
      </c>
      <c r="I5743" s="182" t="n">
        <v>0</v>
      </c>
      <c r="J5743" s="182" t="n">
        <v>0</v>
      </c>
      <c r="K5743" s="182" t="n">
        <v>12</v>
      </c>
      <c r="L5743" s="182" t="n">
        <v>12</v>
      </c>
      <c r="M5743" s="182" t="n">
        <v>0</v>
      </c>
      <c r="N5743" s="182" t="n">
        <v>0</v>
      </c>
      <c r="O5743" s="183" t="n">
        <v>0</v>
      </c>
      <c r="P5743" s="183" t="n">
        <v>0</v>
      </c>
      <c r="Q5743" s="184" t="n">
        <v>0</v>
      </c>
      <c r="R5743" s="184" t="n">
        <v>0</v>
      </c>
      <c r="S5743" s="183" t="n">
        <v>0</v>
      </c>
      <c r="T5743" s="183" t="n">
        <v>0</v>
      </c>
      <c r="U5743" s="182" t="n">
        <v>0</v>
      </c>
      <c r="V5743" s="182" t="n">
        <v>0</v>
      </c>
      <c r="W5743" s="182" t="n">
        <v>0</v>
      </c>
      <c r="X5743" s="182" t="n">
        <v>1</v>
      </c>
      <c r="Y5743" s="182" t="n">
        <v>0</v>
      </c>
      <c r="Z5743" s="182" t="n">
        <v>0</v>
      </c>
      <c r="AA5743" s="182" t="n">
        <v>0</v>
      </c>
      <c r="AB5743" s="182" t="n">
        <v>0</v>
      </c>
      <c r="AC5743" s="182" t="n">
        <v>0</v>
      </c>
      <c r="AD5743" s="182" t="n">
        <v>0</v>
      </c>
      <c r="AE5743" s="182" t="n">
        <v>0</v>
      </c>
      <c r="AF5743" s="182" t="n">
        <v>0</v>
      </c>
      <c r="AG5743" s="182" t="n">
        <v>0</v>
      </c>
      <c r="AH5743" s="182" t="n">
        <v>0</v>
      </c>
      <c r="AI5743" s="182" t="n">
        <v>0</v>
      </c>
      <c r="AJ5743" s="182" t="n">
        <v>0</v>
      </c>
      <c r="AK5743" s="182" t="n">
        <v>10.92</v>
      </c>
      <c r="AL5743" s="182" t="n">
        <v>0</v>
      </c>
      <c r="AM5743" s="182" t="n">
        <v>0.08</v>
      </c>
      <c r="AN5743" s="182" t="n">
        <v>0</v>
      </c>
    </row>
    <row r="5744">
      <c r="A5744" s="155" t="n">
        <v>46108</v>
      </c>
      <c r="B5744" s="156" t="inlineStr">
        <is>
          <t>DS</t>
        </is>
      </c>
      <c r="C5744" s="156" t="inlineStr">
        <is>
          <t>HT-420</t>
        </is>
      </c>
      <c r="D5744" s="156" t="inlineStr">
        <is>
          <t>SY430</t>
        </is>
      </c>
      <c r="E5744" s="156" t="inlineStr">
        <is>
          <t>DT Hauling</t>
        </is>
      </c>
      <c r="F5744" s="156" t="inlineStr"/>
      <c r="G5744" s="182" t="n">
        <v>0</v>
      </c>
      <c r="H5744" s="182" t="n">
        <v>0</v>
      </c>
      <c r="I5744" s="182" t="n">
        <v>0</v>
      </c>
      <c r="J5744" s="182" t="n">
        <v>0</v>
      </c>
      <c r="K5744" s="182" t="n">
        <v>12</v>
      </c>
      <c r="L5744" s="182" t="n">
        <v>12</v>
      </c>
      <c r="M5744" s="182" t="n">
        <v>0</v>
      </c>
      <c r="N5744" s="182" t="n">
        <v>0</v>
      </c>
      <c r="O5744" s="183" t="n">
        <v>0</v>
      </c>
      <c r="P5744" s="183" t="n">
        <v>0</v>
      </c>
      <c r="Q5744" s="184" t="n">
        <v>0</v>
      </c>
      <c r="R5744" s="184" t="n">
        <v>0</v>
      </c>
      <c r="S5744" s="183" t="n">
        <v>0</v>
      </c>
      <c r="T5744" s="183" t="n">
        <v>0</v>
      </c>
      <c r="U5744" s="182" t="n">
        <v>0</v>
      </c>
      <c r="V5744" s="182" t="n">
        <v>0</v>
      </c>
      <c r="W5744" s="182" t="n">
        <v>0</v>
      </c>
      <c r="X5744" s="182" t="n">
        <v>1</v>
      </c>
      <c r="Y5744" s="182" t="n">
        <v>0</v>
      </c>
      <c r="Z5744" s="182" t="n">
        <v>0</v>
      </c>
      <c r="AA5744" s="182" t="n">
        <v>0</v>
      </c>
      <c r="AB5744" s="182" t="n">
        <v>0</v>
      </c>
      <c r="AC5744" s="182" t="n">
        <v>0</v>
      </c>
      <c r="AD5744" s="182" t="n">
        <v>0</v>
      </c>
      <c r="AE5744" s="182" t="n">
        <v>0</v>
      </c>
      <c r="AF5744" s="182" t="n">
        <v>0</v>
      </c>
      <c r="AG5744" s="182" t="n">
        <v>0</v>
      </c>
      <c r="AH5744" s="182" t="n">
        <v>0</v>
      </c>
      <c r="AI5744" s="182" t="n">
        <v>0</v>
      </c>
      <c r="AJ5744" s="182" t="n">
        <v>0</v>
      </c>
      <c r="AK5744" s="182" t="n">
        <v>10.92</v>
      </c>
      <c r="AL5744" s="182" t="n">
        <v>0</v>
      </c>
      <c r="AM5744" s="182" t="n">
        <v>0.08</v>
      </c>
      <c r="AN5744" s="182" t="n">
        <v>0</v>
      </c>
    </row>
    <row r="5745">
      <c r="A5745" s="155" t="n">
        <v>46108</v>
      </c>
      <c r="B5745" s="156" t="inlineStr">
        <is>
          <t>DS</t>
        </is>
      </c>
      <c r="C5745" s="156" t="inlineStr">
        <is>
          <t>HT-403</t>
        </is>
      </c>
      <c r="D5745" s="156" t="inlineStr">
        <is>
          <t>SY430</t>
        </is>
      </c>
      <c r="E5745" s="156" t="inlineStr">
        <is>
          <t>DT Hauling</t>
        </is>
      </c>
      <c r="F5745" s="156" t="inlineStr"/>
      <c r="G5745" s="182" t="n">
        <v>0</v>
      </c>
      <c r="H5745" s="182" t="n">
        <v>0</v>
      </c>
      <c r="I5745" s="182" t="n">
        <v>0</v>
      </c>
      <c r="J5745" s="182" t="n">
        <v>0</v>
      </c>
      <c r="K5745" s="182" t="n">
        <v>12</v>
      </c>
      <c r="L5745" s="182" t="n">
        <v>12</v>
      </c>
      <c r="M5745" s="182" t="n">
        <v>0</v>
      </c>
      <c r="N5745" s="182" t="n">
        <v>0</v>
      </c>
      <c r="O5745" s="183" t="n">
        <v>0</v>
      </c>
      <c r="P5745" s="183" t="n">
        <v>0</v>
      </c>
      <c r="Q5745" s="184" t="n">
        <v>0</v>
      </c>
      <c r="R5745" s="184" t="n">
        <v>0</v>
      </c>
      <c r="S5745" s="183" t="n">
        <v>0</v>
      </c>
      <c r="T5745" s="183" t="n">
        <v>0</v>
      </c>
      <c r="U5745" s="182" t="n">
        <v>0</v>
      </c>
      <c r="V5745" s="182" t="n">
        <v>0</v>
      </c>
      <c r="W5745" s="182" t="n">
        <v>0</v>
      </c>
      <c r="X5745" s="182" t="n">
        <v>1</v>
      </c>
      <c r="Y5745" s="182" t="n">
        <v>0</v>
      </c>
      <c r="Z5745" s="182" t="n">
        <v>0</v>
      </c>
      <c r="AA5745" s="182" t="n">
        <v>0</v>
      </c>
      <c r="AB5745" s="182" t="n">
        <v>0</v>
      </c>
      <c r="AC5745" s="182" t="n">
        <v>0</v>
      </c>
      <c r="AD5745" s="182" t="n">
        <v>0</v>
      </c>
      <c r="AE5745" s="182" t="n">
        <v>0</v>
      </c>
      <c r="AF5745" s="182" t="n">
        <v>0</v>
      </c>
      <c r="AG5745" s="182" t="n">
        <v>0</v>
      </c>
      <c r="AH5745" s="182" t="n">
        <v>0</v>
      </c>
      <c r="AI5745" s="182" t="n">
        <v>0</v>
      </c>
      <c r="AJ5745" s="182" t="n">
        <v>0</v>
      </c>
      <c r="AK5745" s="182" t="n">
        <v>10.92</v>
      </c>
      <c r="AL5745" s="182" t="n">
        <v>0</v>
      </c>
      <c r="AM5745" s="182" t="n">
        <v>0.08</v>
      </c>
      <c r="AN5745" s="182" t="n">
        <v>0</v>
      </c>
    </row>
    <row r="5746">
      <c r="A5746" s="155" t="n">
        <v>46108</v>
      </c>
      <c r="B5746" s="156" t="inlineStr">
        <is>
          <t>DS</t>
        </is>
      </c>
      <c r="C5746" s="156" t="inlineStr">
        <is>
          <t>HT-408</t>
        </is>
      </c>
      <c r="D5746" s="156" t="inlineStr">
        <is>
          <t>SY430</t>
        </is>
      </c>
      <c r="E5746" s="156" t="inlineStr">
        <is>
          <t>DT Hauling</t>
        </is>
      </c>
      <c r="F5746" s="156" t="inlineStr"/>
      <c r="G5746" s="182" t="n">
        <v>0</v>
      </c>
      <c r="H5746" s="182" t="n">
        <v>0</v>
      </c>
      <c r="I5746" s="182" t="n">
        <v>12</v>
      </c>
      <c r="J5746" s="182" t="n">
        <v>12</v>
      </c>
      <c r="K5746" s="182" t="n">
        <v>0</v>
      </c>
      <c r="L5746" s="182" t="n">
        <v>12</v>
      </c>
      <c r="M5746" s="182" t="n">
        <v>0</v>
      </c>
      <c r="N5746" s="182" t="n">
        <v>0</v>
      </c>
      <c r="O5746" s="183" t="n">
        <v>0</v>
      </c>
      <c r="P5746" s="183" t="n">
        <v>0</v>
      </c>
      <c r="Q5746" s="184" t="n">
        <v>0</v>
      </c>
      <c r="R5746" s="184" t="n">
        <v>0</v>
      </c>
      <c r="S5746" s="183" t="n">
        <v>0</v>
      </c>
      <c r="T5746" s="183" t="n">
        <v>0</v>
      </c>
      <c r="U5746" s="182" t="n">
        <v>0</v>
      </c>
      <c r="V5746" s="182" t="n">
        <v>0</v>
      </c>
      <c r="W5746" s="182" t="n">
        <v>0</v>
      </c>
      <c r="X5746" s="182" t="n">
        <v>0</v>
      </c>
      <c r="Y5746" s="182" t="n">
        <v>0</v>
      </c>
      <c r="Z5746" s="182" t="n">
        <v>0</v>
      </c>
      <c r="AA5746" s="182" t="n">
        <v>0</v>
      </c>
      <c r="AB5746" s="182" t="n">
        <v>0</v>
      </c>
      <c r="AC5746" s="182" t="n">
        <v>0</v>
      </c>
      <c r="AD5746" s="182" t="n">
        <v>0</v>
      </c>
      <c r="AE5746" s="182" t="n">
        <v>0</v>
      </c>
      <c r="AF5746" s="182" t="n">
        <v>0</v>
      </c>
      <c r="AG5746" s="182" t="n">
        <v>0</v>
      </c>
      <c r="AH5746" s="182" t="n">
        <v>0</v>
      </c>
      <c r="AI5746" s="182" t="n">
        <v>0</v>
      </c>
      <c r="AJ5746" s="182" t="n">
        <v>0</v>
      </c>
      <c r="AK5746" s="182" t="n">
        <v>0</v>
      </c>
      <c r="AL5746" s="182" t="n">
        <v>0</v>
      </c>
      <c r="AM5746" s="182" t="n">
        <v>0</v>
      </c>
      <c r="AN5746" s="182" t="n">
        <v>0</v>
      </c>
    </row>
    <row r="5747">
      <c r="A5747" s="155" t="n">
        <v>46108</v>
      </c>
      <c r="B5747" s="156" t="inlineStr">
        <is>
          <t>DS</t>
        </is>
      </c>
      <c r="C5747" s="156" t="inlineStr">
        <is>
          <t>HT-412</t>
        </is>
      </c>
      <c r="D5747" s="156" t="inlineStr">
        <is>
          <t>SY430</t>
        </is>
      </c>
      <c r="E5747" s="156" t="inlineStr">
        <is>
          <t>DT Hauling</t>
        </is>
      </c>
      <c r="F5747" s="156" t="inlineStr"/>
      <c r="G5747" s="182" t="n">
        <v>0</v>
      </c>
      <c r="H5747" s="182" t="n">
        <v>12</v>
      </c>
      <c r="I5747" s="182" t="n">
        <v>0</v>
      </c>
      <c r="J5747" s="182" t="n">
        <v>12</v>
      </c>
      <c r="K5747" s="182" t="n">
        <v>0</v>
      </c>
      <c r="L5747" s="182" t="n">
        <v>12</v>
      </c>
      <c r="M5747" s="182" t="n">
        <v>0</v>
      </c>
      <c r="N5747" s="182" t="n">
        <v>0</v>
      </c>
      <c r="O5747" s="183" t="n">
        <v>0</v>
      </c>
      <c r="P5747" s="183" t="n">
        <v>0</v>
      </c>
      <c r="Q5747" s="184" t="n">
        <v>0</v>
      </c>
      <c r="R5747" s="184" t="n">
        <v>0</v>
      </c>
      <c r="S5747" s="183" t="n">
        <v>0</v>
      </c>
      <c r="T5747" s="183" t="n">
        <v>0</v>
      </c>
      <c r="U5747" s="182" t="n">
        <v>0</v>
      </c>
      <c r="V5747" s="182" t="n">
        <v>0</v>
      </c>
      <c r="W5747" s="182" t="n">
        <v>0</v>
      </c>
      <c r="X5747" s="182" t="n">
        <v>0</v>
      </c>
      <c r="Y5747" s="182" t="n">
        <v>0</v>
      </c>
      <c r="Z5747" s="182" t="n">
        <v>0</v>
      </c>
      <c r="AA5747" s="182" t="n">
        <v>0</v>
      </c>
      <c r="AB5747" s="182" t="n">
        <v>0</v>
      </c>
      <c r="AC5747" s="182" t="n">
        <v>0</v>
      </c>
      <c r="AD5747" s="182" t="n">
        <v>0</v>
      </c>
      <c r="AE5747" s="182" t="n">
        <v>0</v>
      </c>
      <c r="AF5747" s="182" t="n">
        <v>0</v>
      </c>
      <c r="AG5747" s="182" t="n">
        <v>0</v>
      </c>
      <c r="AH5747" s="182" t="n">
        <v>0</v>
      </c>
      <c r="AI5747" s="182" t="n">
        <v>0</v>
      </c>
      <c r="AJ5747" s="182" t="n">
        <v>0</v>
      </c>
      <c r="AK5747" s="182" t="n">
        <v>0</v>
      </c>
      <c r="AL5747" s="182" t="n">
        <v>0</v>
      </c>
      <c r="AM5747" s="182" t="n">
        <v>0</v>
      </c>
      <c r="AN5747" s="182" t="n">
        <v>0</v>
      </c>
    </row>
    <row r="5748">
      <c r="A5748" s="155" t="n">
        <v>46108</v>
      </c>
      <c r="B5748" s="156" t="inlineStr">
        <is>
          <t>DS</t>
        </is>
      </c>
      <c r="C5748" s="156" t="inlineStr">
        <is>
          <t>HT-413</t>
        </is>
      </c>
      <c r="D5748" s="156" t="inlineStr">
        <is>
          <t>SY430</t>
        </is>
      </c>
      <c r="E5748" s="156" t="inlineStr">
        <is>
          <t>DT Hauling</t>
        </is>
      </c>
      <c r="F5748" s="156" t="inlineStr"/>
      <c r="G5748" s="182" t="n">
        <v>0</v>
      </c>
      <c r="H5748" s="182" t="n">
        <v>0</v>
      </c>
      <c r="I5748" s="182" t="n">
        <v>12</v>
      </c>
      <c r="J5748" s="182" t="n">
        <v>12</v>
      </c>
      <c r="K5748" s="182" t="n">
        <v>0</v>
      </c>
      <c r="L5748" s="182" t="n">
        <v>12</v>
      </c>
      <c r="M5748" s="182" t="n">
        <v>0</v>
      </c>
      <c r="N5748" s="182" t="n">
        <v>0</v>
      </c>
      <c r="O5748" s="183" t="n">
        <v>0</v>
      </c>
      <c r="P5748" s="183" t="n">
        <v>0</v>
      </c>
      <c r="Q5748" s="184" t="n">
        <v>0</v>
      </c>
      <c r="R5748" s="184" t="n">
        <v>0</v>
      </c>
      <c r="S5748" s="183" t="n">
        <v>0</v>
      </c>
      <c r="T5748" s="183" t="n">
        <v>0</v>
      </c>
      <c r="U5748" s="182" t="n">
        <v>0</v>
      </c>
      <c r="V5748" s="182" t="n">
        <v>0</v>
      </c>
      <c r="W5748" s="182" t="n">
        <v>0</v>
      </c>
      <c r="X5748" s="182" t="n">
        <v>0</v>
      </c>
      <c r="Y5748" s="182" t="n">
        <v>0</v>
      </c>
      <c r="Z5748" s="182" t="n">
        <v>0</v>
      </c>
      <c r="AA5748" s="182" t="n">
        <v>0</v>
      </c>
      <c r="AB5748" s="182" t="n">
        <v>0</v>
      </c>
      <c r="AC5748" s="182" t="n">
        <v>0</v>
      </c>
      <c r="AD5748" s="182" t="n">
        <v>0</v>
      </c>
      <c r="AE5748" s="182" t="n">
        <v>0</v>
      </c>
      <c r="AF5748" s="182" t="n">
        <v>0</v>
      </c>
      <c r="AG5748" s="182" t="n">
        <v>0</v>
      </c>
      <c r="AH5748" s="182" t="n">
        <v>0</v>
      </c>
      <c r="AI5748" s="182" t="n">
        <v>0</v>
      </c>
      <c r="AJ5748" s="182" t="n">
        <v>0</v>
      </c>
      <c r="AK5748" s="182" t="n">
        <v>0</v>
      </c>
      <c r="AL5748" s="182" t="n">
        <v>0</v>
      </c>
      <c r="AM5748" s="182" t="n">
        <v>0</v>
      </c>
      <c r="AN5748" s="182" t="n">
        <v>0</v>
      </c>
    </row>
    <row r="5749">
      <c r="A5749" s="155" t="n">
        <v>46108</v>
      </c>
      <c r="B5749" s="156" t="inlineStr">
        <is>
          <t>DS</t>
        </is>
      </c>
      <c r="C5749" s="156" t="inlineStr">
        <is>
          <t>HT-407</t>
        </is>
      </c>
      <c r="D5749" s="156" t="inlineStr">
        <is>
          <t>SY430</t>
        </is>
      </c>
      <c r="E5749" s="156" t="inlineStr">
        <is>
          <t>DT Hauling</t>
        </is>
      </c>
      <c r="F5749" s="156" t="inlineStr"/>
      <c r="G5749" s="182" t="n">
        <v>0</v>
      </c>
      <c r="H5749" s="182" t="n">
        <v>0</v>
      </c>
      <c r="I5749" s="182" t="n">
        <v>0</v>
      </c>
      <c r="J5749" s="182" t="n">
        <v>0</v>
      </c>
      <c r="K5749" s="182" t="n">
        <v>12</v>
      </c>
      <c r="L5749" s="182" t="n">
        <v>12</v>
      </c>
      <c r="M5749" s="182" t="n">
        <v>0</v>
      </c>
      <c r="N5749" s="182" t="n">
        <v>0</v>
      </c>
      <c r="O5749" s="183" t="n">
        <v>0</v>
      </c>
      <c r="P5749" s="183" t="n">
        <v>0</v>
      </c>
      <c r="Q5749" s="184" t="n">
        <v>0</v>
      </c>
      <c r="R5749" s="184" t="n">
        <v>0</v>
      </c>
      <c r="S5749" s="183" t="n">
        <v>0</v>
      </c>
      <c r="T5749" s="183" t="n">
        <v>0</v>
      </c>
      <c r="U5749" s="182" t="n">
        <v>0</v>
      </c>
      <c r="V5749" s="182" t="n">
        <v>0</v>
      </c>
      <c r="W5749" s="182" t="n">
        <v>0</v>
      </c>
      <c r="X5749" s="182" t="n">
        <v>1</v>
      </c>
      <c r="Y5749" s="182" t="n">
        <v>0</v>
      </c>
      <c r="Z5749" s="182" t="n">
        <v>0</v>
      </c>
      <c r="AA5749" s="182" t="n">
        <v>0</v>
      </c>
      <c r="AB5749" s="182" t="n">
        <v>0</v>
      </c>
      <c r="AC5749" s="182" t="n">
        <v>0</v>
      </c>
      <c r="AD5749" s="182" t="n">
        <v>0</v>
      </c>
      <c r="AE5749" s="182" t="n">
        <v>0</v>
      </c>
      <c r="AF5749" s="182" t="n">
        <v>0</v>
      </c>
      <c r="AG5749" s="182" t="n">
        <v>0</v>
      </c>
      <c r="AH5749" s="182" t="n">
        <v>0</v>
      </c>
      <c r="AI5749" s="182" t="n">
        <v>0</v>
      </c>
      <c r="AJ5749" s="182" t="n">
        <v>0</v>
      </c>
      <c r="AK5749" s="182" t="n">
        <v>10.92</v>
      </c>
      <c r="AL5749" s="182" t="n">
        <v>0</v>
      </c>
      <c r="AM5749" s="182" t="n">
        <v>0.08</v>
      </c>
      <c r="AN5749" s="182" t="n">
        <v>0</v>
      </c>
    </row>
    <row r="5750">
      <c r="A5750" s="155" t="n">
        <v>46108</v>
      </c>
      <c r="B5750" s="156" t="inlineStr">
        <is>
          <t>DS</t>
        </is>
      </c>
      <c r="C5750" s="156" t="inlineStr">
        <is>
          <t>HT-414</t>
        </is>
      </c>
      <c r="D5750" s="156" t="inlineStr">
        <is>
          <t>SY430</t>
        </is>
      </c>
      <c r="E5750" s="156" t="inlineStr">
        <is>
          <t>DT Hauling</t>
        </is>
      </c>
      <c r="F5750" s="156" t="inlineStr"/>
      <c r="G5750" s="182" t="n">
        <v>0</v>
      </c>
      <c r="H5750" s="182" t="n">
        <v>0</v>
      </c>
      <c r="I5750" s="182" t="n">
        <v>0</v>
      </c>
      <c r="J5750" s="182" t="n">
        <v>0</v>
      </c>
      <c r="K5750" s="182" t="n">
        <v>12</v>
      </c>
      <c r="L5750" s="182" t="n">
        <v>12</v>
      </c>
      <c r="M5750" s="182" t="n">
        <v>0</v>
      </c>
      <c r="N5750" s="182" t="n">
        <v>0</v>
      </c>
      <c r="O5750" s="183" t="n">
        <v>0</v>
      </c>
      <c r="P5750" s="183" t="n">
        <v>0</v>
      </c>
      <c r="Q5750" s="184" t="n">
        <v>0</v>
      </c>
      <c r="R5750" s="184" t="n">
        <v>0</v>
      </c>
      <c r="S5750" s="183" t="n">
        <v>0</v>
      </c>
      <c r="T5750" s="183" t="n">
        <v>0</v>
      </c>
      <c r="U5750" s="182" t="n">
        <v>0</v>
      </c>
      <c r="V5750" s="182" t="n">
        <v>0</v>
      </c>
      <c r="W5750" s="182" t="n">
        <v>0</v>
      </c>
      <c r="X5750" s="182" t="n">
        <v>1</v>
      </c>
      <c r="Y5750" s="182" t="n">
        <v>0</v>
      </c>
      <c r="Z5750" s="182" t="n">
        <v>0</v>
      </c>
      <c r="AA5750" s="182" t="n">
        <v>0</v>
      </c>
      <c r="AB5750" s="182" t="n">
        <v>0</v>
      </c>
      <c r="AC5750" s="182" t="n">
        <v>0</v>
      </c>
      <c r="AD5750" s="182" t="n">
        <v>0</v>
      </c>
      <c r="AE5750" s="182" t="n">
        <v>0</v>
      </c>
      <c r="AF5750" s="182" t="n">
        <v>0</v>
      </c>
      <c r="AG5750" s="182" t="n">
        <v>0</v>
      </c>
      <c r="AH5750" s="182" t="n">
        <v>0</v>
      </c>
      <c r="AI5750" s="182" t="n">
        <v>0</v>
      </c>
      <c r="AJ5750" s="182" t="n">
        <v>0</v>
      </c>
      <c r="AK5750" s="182" t="n">
        <v>10.92</v>
      </c>
      <c r="AL5750" s="182" t="n">
        <v>0</v>
      </c>
      <c r="AM5750" s="182" t="n">
        <v>0.08</v>
      </c>
      <c r="AN5750" s="182" t="n">
        <v>0</v>
      </c>
    </row>
    <row r="5751">
      <c r="A5751" s="155" t="n">
        <v>46108</v>
      </c>
      <c r="B5751" s="156" t="inlineStr">
        <is>
          <t>DS</t>
        </is>
      </c>
      <c r="C5751" s="156" t="inlineStr">
        <is>
          <t>HT-411</t>
        </is>
      </c>
      <c r="D5751" s="156" t="inlineStr">
        <is>
          <t>SY430</t>
        </is>
      </c>
      <c r="E5751" s="156" t="inlineStr">
        <is>
          <t>DT Hauling</t>
        </is>
      </c>
      <c r="F5751" s="156" t="inlineStr"/>
      <c r="G5751" s="182" t="n">
        <v>0</v>
      </c>
      <c r="H5751" s="182" t="n">
        <v>0</v>
      </c>
      <c r="I5751" s="182" t="n">
        <v>0</v>
      </c>
      <c r="J5751" s="182" t="n">
        <v>0</v>
      </c>
      <c r="K5751" s="182" t="n">
        <v>12</v>
      </c>
      <c r="L5751" s="182" t="n">
        <v>12</v>
      </c>
      <c r="M5751" s="182" t="n">
        <v>0</v>
      </c>
      <c r="N5751" s="182" t="n">
        <v>0</v>
      </c>
      <c r="O5751" s="183" t="n">
        <v>0</v>
      </c>
      <c r="P5751" s="183" t="n">
        <v>0</v>
      </c>
      <c r="Q5751" s="184" t="n">
        <v>0</v>
      </c>
      <c r="R5751" s="184" t="n">
        <v>0</v>
      </c>
      <c r="S5751" s="183" t="n">
        <v>0</v>
      </c>
      <c r="T5751" s="183" t="n">
        <v>0</v>
      </c>
      <c r="U5751" s="182" t="n">
        <v>0</v>
      </c>
      <c r="V5751" s="182" t="n">
        <v>0</v>
      </c>
      <c r="W5751" s="182" t="n">
        <v>0</v>
      </c>
      <c r="X5751" s="182" t="n">
        <v>1</v>
      </c>
      <c r="Y5751" s="182" t="n">
        <v>0</v>
      </c>
      <c r="Z5751" s="182" t="n">
        <v>0</v>
      </c>
      <c r="AA5751" s="182" t="n">
        <v>0</v>
      </c>
      <c r="AB5751" s="182" t="n">
        <v>0</v>
      </c>
      <c r="AC5751" s="182" t="n">
        <v>0</v>
      </c>
      <c r="AD5751" s="182" t="n">
        <v>0</v>
      </c>
      <c r="AE5751" s="182" t="n">
        <v>0</v>
      </c>
      <c r="AF5751" s="182" t="n">
        <v>0</v>
      </c>
      <c r="AG5751" s="182" t="n">
        <v>0</v>
      </c>
      <c r="AH5751" s="182" t="n">
        <v>0</v>
      </c>
      <c r="AI5751" s="182" t="n">
        <v>0</v>
      </c>
      <c r="AJ5751" s="182" t="n">
        <v>0</v>
      </c>
      <c r="AK5751" s="182" t="n">
        <v>10.92</v>
      </c>
      <c r="AL5751" s="182" t="n">
        <v>0</v>
      </c>
      <c r="AM5751" s="182" t="n">
        <v>0.08</v>
      </c>
      <c r="AN5751" s="182" t="n">
        <v>0</v>
      </c>
    </row>
    <row r="5752">
      <c r="A5752" s="155" t="n">
        <v>46108</v>
      </c>
      <c r="B5752" s="156" t="inlineStr">
        <is>
          <t>DS</t>
        </is>
      </c>
      <c r="C5752" s="156" t="inlineStr">
        <is>
          <t>HT-409</t>
        </is>
      </c>
      <c r="D5752" s="156" t="inlineStr">
        <is>
          <t>SY430</t>
        </is>
      </c>
      <c r="E5752" s="156" t="inlineStr">
        <is>
          <t>DT Hauling</t>
        </is>
      </c>
      <c r="F5752" s="156" t="inlineStr"/>
      <c r="G5752" s="182" t="n">
        <v>0</v>
      </c>
      <c r="H5752" s="182" t="n">
        <v>0</v>
      </c>
      <c r="I5752" s="182" t="n">
        <v>0</v>
      </c>
      <c r="J5752" s="182" t="n">
        <v>0</v>
      </c>
      <c r="K5752" s="182" t="n">
        <v>12</v>
      </c>
      <c r="L5752" s="182" t="n">
        <v>12</v>
      </c>
      <c r="M5752" s="182" t="n">
        <v>0</v>
      </c>
      <c r="N5752" s="182" t="n">
        <v>0</v>
      </c>
      <c r="O5752" s="183" t="n">
        <v>0</v>
      </c>
      <c r="P5752" s="183" t="n">
        <v>0</v>
      </c>
      <c r="Q5752" s="184" t="n">
        <v>0</v>
      </c>
      <c r="R5752" s="184" t="n">
        <v>0</v>
      </c>
      <c r="S5752" s="183" t="n">
        <v>0</v>
      </c>
      <c r="T5752" s="183" t="n">
        <v>0</v>
      </c>
      <c r="U5752" s="182" t="n">
        <v>0</v>
      </c>
      <c r="V5752" s="182" t="n">
        <v>0</v>
      </c>
      <c r="W5752" s="182" t="n">
        <v>0</v>
      </c>
      <c r="X5752" s="182" t="n">
        <v>1</v>
      </c>
      <c r="Y5752" s="182" t="n">
        <v>0</v>
      </c>
      <c r="Z5752" s="182" t="n">
        <v>0</v>
      </c>
      <c r="AA5752" s="182" t="n">
        <v>0</v>
      </c>
      <c r="AB5752" s="182" t="n">
        <v>0</v>
      </c>
      <c r="AC5752" s="182" t="n">
        <v>0</v>
      </c>
      <c r="AD5752" s="182" t="n">
        <v>0</v>
      </c>
      <c r="AE5752" s="182" t="n">
        <v>0</v>
      </c>
      <c r="AF5752" s="182" t="n">
        <v>0</v>
      </c>
      <c r="AG5752" s="182" t="n">
        <v>0</v>
      </c>
      <c r="AH5752" s="182" t="n">
        <v>0</v>
      </c>
      <c r="AI5752" s="182" t="n">
        <v>0</v>
      </c>
      <c r="AJ5752" s="182" t="n">
        <v>0</v>
      </c>
      <c r="AK5752" s="182" t="n">
        <v>10.92</v>
      </c>
      <c r="AL5752" s="182" t="n">
        <v>0</v>
      </c>
      <c r="AM5752" s="182" t="n">
        <v>0.08</v>
      </c>
      <c r="AN5752" s="182" t="n">
        <v>0</v>
      </c>
    </row>
    <row r="5753">
      <c r="A5753" s="155" t="n">
        <v>46108</v>
      </c>
      <c r="B5753" s="156" t="inlineStr">
        <is>
          <t>DS</t>
        </is>
      </c>
      <c r="C5753" s="156" t="inlineStr">
        <is>
          <t>DH-103</t>
        </is>
      </c>
      <c r="D5753" s="156" t="inlineStr">
        <is>
          <t>HINO FM260</t>
        </is>
      </c>
      <c r="E5753" s="156" t="inlineStr">
        <is>
          <t>DT Hino</t>
        </is>
      </c>
      <c r="F5753" s="156" t="inlineStr"/>
      <c r="G5753" s="182" t="n">
        <v>0</v>
      </c>
      <c r="H5753" s="182" t="n">
        <v>0</v>
      </c>
      <c r="I5753" s="182" t="n">
        <v>12</v>
      </c>
      <c r="J5753" s="182" t="n">
        <v>12</v>
      </c>
      <c r="K5753" s="182" t="n">
        <v>0</v>
      </c>
      <c r="L5753" s="182" t="n">
        <v>12</v>
      </c>
      <c r="M5753" s="182" t="n">
        <v>0</v>
      </c>
      <c r="N5753" s="182" t="n">
        <v>0</v>
      </c>
      <c r="O5753" s="183" t="n">
        <v>0</v>
      </c>
      <c r="P5753" s="183" t="n">
        <v>0</v>
      </c>
      <c r="Q5753" s="184" t="n">
        <v>0</v>
      </c>
      <c r="R5753" s="184" t="n">
        <v>0</v>
      </c>
      <c r="S5753" s="183" t="n">
        <v>0</v>
      </c>
      <c r="T5753" s="183" t="n">
        <v>0</v>
      </c>
      <c r="U5753" s="182" t="n">
        <v>0</v>
      </c>
      <c r="V5753" s="182" t="n">
        <v>0</v>
      </c>
      <c r="W5753" s="182" t="n">
        <v>0</v>
      </c>
      <c r="X5753" s="182" t="n">
        <v>0</v>
      </c>
      <c r="Y5753" s="182" t="n">
        <v>0</v>
      </c>
      <c r="Z5753" s="182" t="n">
        <v>0</v>
      </c>
      <c r="AA5753" s="182" t="n">
        <v>0</v>
      </c>
      <c r="AB5753" s="182" t="n">
        <v>0</v>
      </c>
      <c r="AC5753" s="182" t="n">
        <v>0</v>
      </c>
      <c r="AD5753" s="182" t="n">
        <v>0</v>
      </c>
      <c r="AE5753" s="182" t="n">
        <v>0</v>
      </c>
      <c r="AF5753" s="182" t="n">
        <v>0</v>
      </c>
      <c r="AG5753" s="182" t="n">
        <v>0</v>
      </c>
      <c r="AH5753" s="182" t="n">
        <v>0</v>
      </c>
      <c r="AI5753" s="182" t="n">
        <v>0</v>
      </c>
      <c r="AJ5753" s="182" t="n">
        <v>0</v>
      </c>
      <c r="AK5753" s="182" t="n">
        <v>0</v>
      </c>
      <c r="AL5753" s="182" t="n">
        <v>0</v>
      </c>
      <c r="AM5753" s="182" t="n">
        <v>0</v>
      </c>
      <c r="AN5753" s="182" t="n">
        <v>0</v>
      </c>
    </row>
    <row r="5754">
      <c r="A5754" s="155" t="n">
        <v>46108</v>
      </c>
      <c r="B5754" s="156" t="inlineStr">
        <is>
          <t>DS</t>
        </is>
      </c>
      <c r="C5754" s="156" t="inlineStr">
        <is>
          <t>DH-102</t>
        </is>
      </c>
      <c r="D5754" s="156" t="inlineStr">
        <is>
          <t>HINO FM260</t>
        </is>
      </c>
      <c r="E5754" s="156" t="inlineStr">
        <is>
          <t>DT Hino</t>
        </is>
      </c>
      <c r="F5754" s="156" t="inlineStr"/>
      <c r="G5754" s="182" t="n">
        <v>0</v>
      </c>
      <c r="H5754" s="182" t="n">
        <v>0</v>
      </c>
      <c r="I5754" s="182" t="n">
        <v>0</v>
      </c>
      <c r="J5754" s="182" t="n">
        <v>0</v>
      </c>
      <c r="K5754" s="182" t="n">
        <v>12</v>
      </c>
      <c r="L5754" s="182" t="n">
        <v>12</v>
      </c>
      <c r="M5754" s="182" t="n">
        <v>0</v>
      </c>
      <c r="N5754" s="182" t="n">
        <v>0</v>
      </c>
      <c r="O5754" s="183" t="n">
        <v>0</v>
      </c>
      <c r="P5754" s="183" t="n">
        <v>0</v>
      </c>
      <c r="Q5754" s="184" t="n">
        <v>0</v>
      </c>
      <c r="R5754" s="184" t="n">
        <v>0</v>
      </c>
      <c r="S5754" s="183" t="n">
        <v>0</v>
      </c>
      <c r="T5754" s="183" t="n">
        <v>0</v>
      </c>
      <c r="U5754" s="182" t="n">
        <v>0</v>
      </c>
      <c r="V5754" s="182" t="n">
        <v>0</v>
      </c>
      <c r="W5754" s="182" t="n">
        <v>0</v>
      </c>
      <c r="X5754" s="182" t="n">
        <v>1</v>
      </c>
      <c r="Y5754" s="182" t="n">
        <v>0</v>
      </c>
      <c r="Z5754" s="182" t="n">
        <v>0</v>
      </c>
      <c r="AA5754" s="182" t="n">
        <v>0</v>
      </c>
      <c r="AB5754" s="182" t="n">
        <v>0</v>
      </c>
      <c r="AC5754" s="182" t="n">
        <v>0</v>
      </c>
      <c r="AD5754" s="182" t="n">
        <v>0</v>
      </c>
      <c r="AE5754" s="182" t="n">
        <v>0</v>
      </c>
      <c r="AF5754" s="182" t="n">
        <v>0</v>
      </c>
      <c r="AG5754" s="182" t="n">
        <v>0</v>
      </c>
      <c r="AH5754" s="182" t="n">
        <v>0</v>
      </c>
      <c r="AI5754" s="182" t="n">
        <v>0</v>
      </c>
      <c r="AJ5754" s="182" t="n">
        <v>0</v>
      </c>
      <c r="AK5754" s="182" t="n">
        <v>10.92</v>
      </c>
      <c r="AL5754" s="182" t="n">
        <v>0</v>
      </c>
      <c r="AM5754" s="182" t="n">
        <v>0.08</v>
      </c>
      <c r="AN5754" s="182" t="n">
        <v>0</v>
      </c>
    </row>
    <row r="5755">
      <c r="A5755" s="155" t="n">
        <v>46108</v>
      </c>
      <c r="B5755" s="156" t="inlineStr">
        <is>
          <t>DS</t>
        </is>
      </c>
      <c r="C5755" s="156" t="inlineStr">
        <is>
          <t>DH-101</t>
        </is>
      </c>
      <c r="D5755" s="156" t="inlineStr">
        <is>
          <t>HINO FM260</t>
        </is>
      </c>
      <c r="E5755" s="156" t="inlineStr">
        <is>
          <t>DT Hino</t>
        </is>
      </c>
      <c r="F5755" s="156" t="inlineStr"/>
      <c r="G5755" s="182" t="n">
        <v>0</v>
      </c>
      <c r="H5755" s="182" t="n">
        <v>0</v>
      </c>
      <c r="I5755" s="182" t="n">
        <v>0</v>
      </c>
      <c r="J5755" s="182" t="n">
        <v>0</v>
      </c>
      <c r="K5755" s="182" t="n">
        <v>12</v>
      </c>
      <c r="L5755" s="182" t="n">
        <v>12</v>
      </c>
      <c r="M5755" s="182" t="n">
        <v>0</v>
      </c>
      <c r="N5755" s="182" t="n">
        <v>0</v>
      </c>
      <c r="O5755" s="183" t="n">
        <v>0</v>
      </c>
      <c r="P5755" s="183" t="n">
        <v>0</v>
      </c>
      <c r="Q5755" s="184" t="n">
        <v>0</v>
      </c>
      <c r="R5755" s="184" t="n">
        <v>0</v>
      </c>
      <c r="S5755" s="183" t="n">
        <v>0</v>
      </c>
      <c r="T5755" s="183" t="n">
        <v>0</v>
      </c>
      <c r="U5755" s="182" t="n">
        <v>0</v>
      </c>
      <c r="V5755" s="182" t="n">
        <v>0</v>
      </c>
      <c r="W5755" s="182" t="n">
        <v>0</v>
      </c>
      <c r="X5755" s="182" t="n">
        <v>1</v>
      </c>
      <c r="Y5755" s="182" t="n">
        <v>0</v>
      </c>
      <c r="Z5755" s="182" t="n">
        <v>0</v>
      </c>
      <c r="AA5755" s="182" t="n">
        <v>0</v>
      </c>
      <c r="AB5755" s="182" t="n">
        <v>0</v>
      </c>
      <c r="AC5755" s="182" t="n">
        <v>0</v>
      </c>
      <c r="AD5755" s="182" t="n">
        <v>0</v>
      </c>
      <c r="AE5755" s="182" t="n">
        <v>0</v>
      </c>
      <c r="AF5755" s="182" t="n">
        <v>0</v>
      </c>
      <c r="AG5755" s="182" t="n">
        <v>0</v>
      </c>
      <c r="AH5755" s="182" t="n">
        <v>0</v>
      </c>
      <c r="AI5755" s="182" t="n">
        <v>0</v>
      </c>
      <c r="AJ5755" s="182" t="n">
        <v>0</v>
      </c>
      <c r="AK5755" s="182" t="n">
        <v>10.92</v>
      </c>
      <c r="AL5755" s="182" t="n">
        <v>0</v>
      </c>
      <c r="AM5755" s="182" t="n">
        <v>0.08</v>
      </c>
      <c r="AN5755" s="182" t="n">
        <v>0</v>
      </c>
    </row>
    <row r="5756">
      <c r="A5756" s="155" t="n">
        <v>46108</v>
      </c>
      <c r="B5756" s="156" t="inlineStr">
        <is>
          <t>DS</t>
        </is>
      </c>
      <c r="C5756" s="156" t="inlineStr">
        <is>
          <t>EX-1251</t>
        </is>
      </c>
      <c r="D5756" s="156" t="inlineStr">
        <is>
          <t>SY1250</t>
        </is>
      </c>
      <c r="E5756" s="156" t="inlineStr">
        <is>
          <t>Excavator</t>
        </is>
      </c>
      <c r="F5756" s="156" t="inlineStr">
        <is>
          <t>Loading OB</t>
        </is>
      </c>
      <c r="G5756" s="182" t="n">
        <v>10.45</v>
      </c>
      <c r="H5756" s="182" t="n">
        <v>0</v>
      </c>
      <c r="I5756" s="182" t="n">
        <v>0</v>
      </c>
      <c r="J5756" s="182" t="n">
        <v>0</v>
      </c>
      <c r="K5756" s="182" t="n">
        <v>1.55</v>
      </c>
      <c r="L5756" s="182" t="n">
        <v>12</v>
      </c>
      <c r="M5756" s="182" t="n">
        <v>9.92</v>
      </c>
      <c r="N5756" s="182" t="n">
        <v>0</v>
      </c>
      <c r="O5756" s="185">
        <f>SUMIFS(INPUT_RITASE!$F$5:$F$20000,INPUT_RITASE!$A$5:$A$20000,$A5756,INPUT_RITASE!$H$5:$H$20000,$B5756,INPUT_RITASE!$C$5:$C$20000,$C5756,INPUT_RITASE!$N$5:$N$20000,"OB")</f>
        <v/>
      </c>
      <c r="P5756" s="185">
        <f>SUMIFS(INPUT_RITASE!$F$5:$F$20000,INPUT_RITASE!$A$5:$A$20000,$A5756,INPUT_RITASE!$H$5:$H$20000,$B5756,INPUT_RITASE!$C$5:$C$20000,$C5756,INPUT_RITASE!$N$5:$N$20000,"Coal")</f>
        <v/>
      </c>
      <c r="Q5756" s="186">
        <f>SUMIFS(INPUT_RITASE!$L$5:$L$20000,INPUT_RITASE!$A$5:$A$20000,$A5756,INPUT_RITASE!$H$5:$H$20000,$B5756,INPUT_RITASE!$C$5:$C$20000,$C5756,INPUT_RITASE!$N$5:$N$20000,"OB")</f>
        <v/>
      </c>
      <c r="R5756" s="186">
        <f>SUMIFS(INPUT_RITASE!$L$5:$L$20000,INPUT_RITASE!$A$5:$A$20000,$A5756,INPUT_RITASE!$H$5:$H$20000,$B5756,INPUT_RITASE!$C$5:$C$20000,$C5756,INPUT_RITASE!$N$5:$N$20000,"Coal")</f>
        <v/>
      </c>
      <c r="S5756" s="183" t="n">
        <v>0</v>
      </c>
      <c r="T5756" s="183" t="n">
        <v>0</v>
      </c>
      <c r="U5756" s="182" t="n">
        <v>0</v>
      </c>
      <c r="V5756" s="182" t="n">
        <v>0</v>
      </c>
      <c r="W5756" s="182" t="n">
        <v>0</v>
      </c>
      <c r="X5756" s="182" t="n">
        <v>0.98</v>
      </c>
      <c r="Y5756" s="182" t="n">
        <v>0</v>
      </c>
      <c r="Z5756" s="182" t="n">
        <v>0</v>
      </c>
      <c r="AA5756" s="182" t="n">
        <v>0</v>
      </c>
      <c r="AB5756" s="182" t="n">
        <v>0</v>
      </c>
      <c r="AC5756" s="182" t="n">
        <v>0</v>
      </c>
      <c r="AD5756" s="182" t="n">
        <v>0</v>
      </c>
      <c r="AE5756" s="182" t="n">
        <v>0</v>
      </c>
      <c r="AF5756" s="182" t="n">
        <v>0</v>
      </c>
      <c r="AG5756" s="182" t="n">
        <v>0</v>
      </c>
      <c r="AH5756" s="182" t="n">
        <v>0.49</v>
      </c>
      <c r="AI5756" s="182" t="n">
        <v>0</v>
      </c>
      <c r="AJ5756" s="182" t="n">
        <v>0</v>
      </c>
      <c r="AK5756" s="182" t="n">
        <v>0</v>
      </c>
      <c r="AL5756" s="182" t="n">
        <v>0</v>
      </c>
      <c r="AM5756" s="182" t="n">
        <v>0.08</v>
      </c>
      <c r="AN5756" s="182" t="n">
        <v>0</v>
      </c>
    </row>
    <row r="5757">
      <c r="A5757" s="155" t="n">
        <v>46108</v>
      </c>
      <c r="B5757" s="156" t="inlineStr">
        <is>
          <t>DS</t>
        </is>
      </c>
      <c r="C5757" s="156" t="inlineStr">
        <is>
          <t>EX-1252</t>
        </is>
      </c>
      <c r="D5757" s="156" t="inlineStr">
        <is>
          <t>SY1250</t>
        </is>
      </c>
      <c r="E5757" s="156" t="inlineStr">
        <is>
          <t>Excavator</t>
        </is>
      </c>
      <c r="F5757" s="156" t="inlineStr">
        <is>
          <t>Loading OB</t>
        </is>
      </c>
      <c r="G5757" s="182" t="n">
        <v>6.05</v>
      </c>
      <c r="H5757" s="182" t="n">
        <v>0</v>
      </c>
      <c r="I5757" s="182" t="n">
        <v>3.52</v>
      </c>
      <c r="J5757" s="182" t="n">
        <v>3.52</v>
      </c>
      <c r="K5757" s="182" t="n">
        <v>2.43</v>
      </c>
      <c r="L5757" s="182" t="n">
        <v>12</v>
      </c>
      <c r="M5757" s="182" t="n">
        <v>5.72</v>
      </c>
      <c r="N5757" s="182" t="n">
        <v>0</v>
      </c>
      <c r="O5757" s="185">
        <f>SUMIFS(INPUT_RITASE!$F$5:$F$20000,INPUT_RITASE!$A$5:$A$20000,$A5757,INPUT_RITASE!$H$5:$H$20000,$B5757,INPUT_RITASE!$C$5:$C$20000,$C5757,INPUT_RITASE!$N$5:$N$20000,"OB")</f>
        <v/>
      </c>
      <c r="P5757" s="185">
        <f>SUMIFS(INPUT_RITASE!$F$5:$F$20000,INPUT_RITASE!$A$5:$A$20000,$A5757,INPUT_RITASE!$H$5:$H$20000,$B5757,INPUT_RITASE!$C$5:$C$20000,$C5757,INPUT_RITASE!$N$5:$N$20000,"Coal")</f>
        <v/>
      </c>
      <c r="Q5757" s="186">
        <f>SUMIFS(INPUT_RITASE!$L$5:$L$20000,INPUT_RITASE!$A$5:$A$20000,$A5757,INPUT_RITASE!$H$5:$H$20000,$B5757,INPUT_RITASE!$C$5:$C$20000,$C5757,INPUT_RITASE!$N$5:$N$20000,"OB")</f>
        <v/>
      </c>
      <c r="R5757" s="186">
        <f>SUMIFS(INPUT_RITASE!$L$5:$L$20000,INPUT_RITASE!$A$5:$A$20000,$A5757,INPUT_RITASE!$H$5:$H$20000,$B5757,INPUT_RITASE!$C$5:$C$20000,$C5757,INPUT_RITASE!$N$5:$N$20000,"Coal")</f>
        <v/>
      </c>
      <c r="S5757" s="183" t="n">
        <v>0</v>
      </c>
      <c r="T5757" s="183" t="n">
        <v>0</v>
      </c>
      <c r="U5757" s="182" t="n">
        <v>0</v>
      </c>
      <c r="V5757" s="182" t="n">
        <v>0</v>
      </c>
      <c r="W5757" s="182" t="n">
        <v>0</v>
      </c>
      <c r="X5757" s="182" t="n">
        <v>0.9399999999999999</v>
      </c>
      <c r="Y5757" s="182" t="n">
        <v>0</v>
      </c>
      <c r="Z5757" s="182" t="n">
        <v>0</v>
      </c>
      <c r="AA5757" s="182" t="n">
        <v>0</v>
      </c>
      <c r="AB5757" s="182" t="n">
        <v>0</v>
      </c>
      <c r="AC5757" s="182" t="n">
        <v>0</v>
      </c>
      <c r="AD5757" s="182" t="n">
        <v>0.44</v>
      </c>
      <c r="AE5757" s="182" t="n">
        <v>0</v>
      </c>
      <c r="AF5757" s="182" t="n">
        <v>0</v>
      </c>
      <c r="AG5757" s="182" t="n">
        <v>0.59</v>
      </c>
      <c r="AH5757" s="182" t="n">
        <v>0.39</v>
      </c>
      <c r="AI5757" s="182" t="n">
        <v>0</v>
      </c>
      <c r="AJ5757" s="182" t="n">
        <v>0</v>
      </c>
      <c r="AK5757" s="182" t="n">
        <v>0</v>
      </c>
      <c r="AL5757" s="182" t="n">
        <v>0</v>
      </c>
      <c r="AM5757" s="182" t="n">
        <v>0.08</v>
      </c>
      <c r="AN5757" s="182" t="n">
        <v>0</v>
      </c>
    </row>
    <row r="5758">
      <c r="A5758" s="155" t="n">
        <v>46108</v>
      </c>
      <c r="B5758" s="156" t="inlineStr">
        <is>
          <t>DS</t>
        </is>
      </c>
      <c r="C5758" s="156" t="inlineStr">
        <is>
          <t>EX-2101</t>
        </is>
      </c>
      <c r="D5758" s="156" t="inlineStr">
        <is>
          <t>SY2000</t>
        </is>
      </c>
      <c r="E5758" s="156" t="inlineStr">
        <is>
          <t>Excavator</t>
        </is>
      </c>
      <c r="F5758" s="156" t="inlineStr"/>
      <c r="G5758" s="182" t="n">
        <v>0</v>
      </c>
      <c r="H5758" s="182" t="n">
        <v>0</v>
      </c>
      <c r="I5758" s="182" t="n">
        <v>12</v>
      </c>
      <c r="J5758" s="182" t="n">
        <v>12</v>
      </c>
      <c r="K5758" s="182" t="n">
        <v>0</v>
      </c>
      <c r="L5758" s="182" t="n">
        <v>12</v>
      </c>
      <c r="M5758" s="182" t="n">
        <v>0</v>
      </c>
      <c r="N5758" s="182" t="n">
        <v>0</v>
      </c>
      <c r="O5758" s="185">
        <f>SUMIFS(INPUT_RITASE!$F$5:$F$20000,INPUT_RITASE!$A$5:$A$20000,$A5758,INPUT_RITASE!$H$5:$H$20000,$B5758,INPUT_RITASE!$C$5:$C$20000,$C5758,INPUT_RITASE!$N$5:$N$20000,"OB")</f>
        <v/>
      </c>
      <c r="P5758" s="185">
        <f>SUMIFS(INPUT_RITASE!$F$5:$F$20000,INPUT_RITASE!$A$5:$A$20000,$A5758,INPUT_RITASE!$H$5:$H$20000,$B5758,INPUT_RITASE!$C$5:$C$20000,$C5758,INPUT_RITASE!$N$5:$N$20000,"Coal")</f>
        <v/>
      </c>
      <c r="Q5758" s="186">
        <f>SUMIFS(INPUT_RITASE!$L$5:$L$20000,INPUT_RITASE!$A$5:$A$20000,$A5758,INPUT_RITASE!$H$5:$H$20000,$B5758,INPUT_RITASE!$C$5:$C$20000,$C5758,INPUT_RITASE!$N$5:$N$20000,"OB")</f>
        <v/>
      </c>
      <c r="R5758" s="186">
        <f>SUMIFS(INPUT_RITASE!$L$5:$L$20000,INPUT_RITASE!$A$5:$A$20000,$A5758,INPUT_RITASE!$H$5:$H$20000,$B5758,INPUT_RITASE!$C$5:$C$20000,$C5758,INPUT_RITASE!$N$5:$N$20000,"Coal")</f>
        <v/>
      </c>
      <c r="S5758" s="183" t="n">
        <v>0</v>
      </c>
      <c r="T5758" s="183" t="n">
        <v>0</v>
      </c>
      <c r="U5758" s="182" t="n">
        <v>0</v>
      </c>
      <c r="V5758" s="182" t="n">
        <v>0</v>
      </c>
      <c r="W5758" s="182" t="n">
        <v>0</v>
      </c>
      <c r="X5758" s="182" t="n">
        <v>0</v>
      </c>
      <c r="Y5758" s="182" t="n">
        <v>0</v>
      </c>
      <c r="Z5758" s="182" t="n">
        <v>0</v>
      </c>
      <c r="AA5758" s="182" t="n">
        <v>0</v>
      </c>
      <c r="AB5758" s="182" t="n">
        <v>0</v>
      </c>
      <c r="AC5758" s="182" t="n">
        <v>0</v>
      </c>
      <c r="AD5758" s="182" t="n">
        <v>0</v>
      </c>
      <c r="AE5758" s="182" t="n">
        <v>0</v>
      </c>
      <c r="AF5758" s="182" t="n">
        <v>0</v>
      </c>
      <c r="AG5758" s="182" t="n">
        <v>0</v>
      </c>
      <c r="AH5758" s="182" t="n">
        <v>0</v>
      </c>
      <c r="AI5758" s="182" t="n">
        <v>0</v>
      </c>
      <c r="AJ5758" s="182" t="n">
        <v>0</v>
      </c>
      <c r="AK5758" s="182" t="n">
        <v>0</v>
      </c>
      <c r="AL5758" s="182" t="n">
        <v>0</v>
      </c>
      <c r="AM5758" s="182" t="n">
        <v>0</v>
      </c>
      <c r="AN5758" s="182" t="n">
        <v>0</v>
      </c>
    </row>
    <row r="5759">
      <c r="A5759" s="155" t="n">
        <v>46108</v>
      </c>
      <c r="B5759" s="156" t="inlineStr">
        <is>
          <t>DS</t>
        </is>
      </c>
      <c r="C5759" s="156" t="inlineStr">
        <is>
          <t>EX-222</t>
        </is>
      </c>
      <c r="D5759" s="156" t="inlineStr">
        <is>
          <t>PC 200-8MI</t>
        </is>
      </c>
      <c r="E5759" s="156" t="inlineStr">
        <is>
          <t>Excavator</t>
        </is>
      </c>
      <c r="F5759" s="156" t="inlineStr">
        <is>
          <t>Support Washing Plant</t>
        </is>
      </c>
      <c r="G5759" s="182" t="n">
        <v>10.66</v>
      </c>
      <c r="H5759" s="182" t="n">
        <v>0</v>
      </c>
      <c r="I5759" s="182" t="n">
        <v>0</v>
      </c>
      <c r="J5759" s="182" t="n">
        <v>0</v>
      </c>
      <c r="K5759" s="182" t="n">
        <v>1.34</v>
      </c>
      <c r="L5759" s="182" t="n">
        <v>12</v>
      </c>
      <c r="M5759" s="182" t="n">
        <v>0</v>
      </c>
      <c r="N5759" s="182" t="n">
        <v>0</v>
      </c>
      <c r="O5759" s="185">
        <f>SUMIFS(INPUT_RITASE!$F$5:$F$20000,INPUT_RITASE!$A$5:$A$20000,$A5759,INPUT_RITASE!$H$5:$H$20000,$B5759,INPUT_RITASE!$C$5:$C$20000,$C5759,INPUT_RITASE!$N$5:$N$20000,"OB")</f>
        <v/>
      </c>
      <c r="P5759" s="185">
        <f>SUMIFS(INPUT_RITASE!$F$5:$F$20000,INPUT_RITASE!$A$5:$A$20000,$A5759,INPUT_RITASE!$H$5:$H$20000,$B5759,INPUT_RITASE!$C$5:$C$20000,$C5759,INPUT_RITASE!$N$5:$N$20000,"Coal")</f>
        <v/>
      </c>
      <c r="Q5759" s="186">
        <f>SUMIFS(INPUT_RITASE!$L$5:$L$20000,INPUT_RITASE!$A$5:$A$20000,$A5759,INPUT_RITASE!$H$5:$H$20000,$B5759,INPUT_RITASE!$C$5:$C$20000,$C5759,INPUT_RITASE!$N$5:$N$20000,"OB")</f>
        <v/>
      </c>
      <c r="R5759" s="186">
        <f>SUMIFS(INPUT_RITASE!$L$5:$L$20000,INPUT_RITASE!$A$5:$A$20000,$A5759,INPUT_RITASE!$H$5:$H$20000,$B5759,INPUT_RITASE!$C$5:$C$20000,$C5759,INPUT_RITASE!$N$5:$N$20000,"Coal")</f>
        <v/>
      </c>
      <c r="S5759" s="183" t="n">
        <v>0</v>
      </c>
      <c r="T5759" s="183" t="n">
        <v>0</v>
      </c>
      <c r="U5759" s="182" t="n">
        <v>0</v>
      </c>
      <c r="V5759" s="182" t="n">
        <v>0</v>
      </c>
      <c r="W5759" s="182" t="n">
        <v>0</v>
      </c>
      <c r="X5759" s="182" t="n">
        <v>0.96</v>
      </c>
      <c r="Y5759" s="182" t="n">
        <v>0</v>
      </c>
      <c r="Z5759" s="182" t="n">
        <v>0</v>
      </c>
      <c r="AA5759" s="182" t="n">
        <v>0</v>
      </c>
      <c r="AB5759" s="182" t="n">
        <v>0</v>
      </c>
      <c r="AC5759" s="182" t="n">
        <v>0</v>
      </c>
      <c r="AD5759" s="182" t="n">
        <v>0</v>
      </c>
      <c r="AE5759" s="182" t="n">
        <v>0</v>
      </c>
      <c r="AF5759" s="182" t="n">
        <v>0</v>
      </c>
      <c r="AG5759" s="182" t="n">
        <v>0</v>
      </c>
      <c r="AH5759" s="182" t="n">
        <v>0</v>
      </c>
      <c r="AI5759" s="182" t="n">
        <v>0</v>
      </c>
      <c r="AJ5759" s="182" t="n">
        <v>0</v>
      </c>
      <c r="AK5759" s="182" t="n">
        <v>0.31</v>
      </c>
      <c r="AL5759" s="182" t="n">
        <v>0</v>
      </c>
      <c r="AM5759" s="182" t="n">
        <v>0.08</v>
      </c>
      <c r="AN5759" s="182" t="n">
        <v>0</v>
      </c>
    </row>
    <row r="5760">
      <c r="A5760" s="155" t="n">
        <v>46108</v>
      </c>
      <c r="B5760" s="156" t="inlineStr">
        <is>
          <t>DS</t>
        </is>
      </c>
      <c r="C5760" s="156" t="inlineStr">
        <is>
          <t>EX-225</t>
        </is>
      </c>
      <c r="D5760" s="156" t="inlineStr">
        <is>
          <t>PC 200-8</t>
        </is>
      </c>
      <c r="E5760" s="156" t="inlineStr">
        <is>
          <t>Excavator</t>
        </is>
      </c>
      <c r="F5760" s="156" t="inlineStr"/>
      <c r="G5760" s="182" t="n">
        <v>0</v>
      </c>
      <c r="H5760" s="182" t="n">
        <v>0</v>
      </c>
      <c r="I5760" s="182" t="n">
        <v>12</v>
      </c>
      <c r="J5760" s="182" t="n">
        <v>12</v>
      </c>
      <c r="K5760" s="182" t="n">
        <v>0</v>
      </c>
      <c r="L5760" s="182" t="n">
        <v>12</v>
      </c>
      <c r="M5760" s="182" t="n">
        <v>0</v>
      </c>
      <c r="N5760" s="182" t="n">
        <v>0</v>
      </c>
      <c r="O5760" s="185">
        <f>SUMIFS(INPUT_RITASE!$F$5:$F$20000,INPUT_RITASE!$A$5:$A$20000,$A5760,INPUT_RITASE!$H$5:$H$20000,$B5760,INPUT_RITASE!$C$5:$C$20000,$C5760,INPUT_RITASE!$N$5:$N$20000,"OB")</f>
        <v/>
      </c>
      <c r="P5760" s="185">
        <f>SUMIFS(INPUT_RITASE!$F$5:$F$20000,INPUT_RITASE!$A$5:$A$20000,$A5760,INPUT_RITASE!$H$5:$H$20000,$B5760,INPUT_RITASE!$C$5:$C$20000,$C5760,INPUT_RITASE!$N$5:$N$20000,"Coal")</f>
        <v/>
      </c>
      <c r="Q5760" s="186">
        <f>SUMIFS(INPUT_RITASE!$L$5:$L$20000,INPUT_RITASE!$A$5:$A$20000,$A5760,INPUT_RITASE!$H$5:$H$20000,$B5760,INPUT_RITASE!$C$5:$C$20000,$C5760,INPUT_RITASE!$N$5:$N$20000,"OB")</f>
        <v/>
      </c>
      <c r="R5760" s="186">
        <f>SUMIFS(INPUT_RITASE!$L$5:$L$20000,INPUT_RITASE!$A$5:$A$20000,$A5760,INPUT_RITASE!$H$5:$H$20000,$B5760,INPUT_RITASE!$C$5:$C$20000,$C5760,INPUT_RITASE!$N$5:$N$20000,"Coal")</f>
        <v/>
      </c>
      <c r="S5760" s="183" t="n">
        <v>0</v>
      </c>
      <c r="T5760" s="183" t="n">
        <v>0</v>
      </c>
      <c r="U5760" s="182" t="n">
        <v>0</v>
      </c>
      <c r="V5760" s="182" t="n">
        <v>0</v>
      </c>
      <c r="W5760" s="182" t="n">
        <v>0</v>
      </c>
      <c r="X5760" s="182" t="n">
        <v>0</v>
      </c>
      <c r="Y5760" s="182" t="n">
        <v>0</v>
      </c>
      <c r="Z5760" s="182" t="n">
        <v>0</v>
      </c>
      <c r="AA5760" s="182" t="n">
        <v>0</v>
      </c>
      <c r="AB5760" s="182" t="n">
        <v>0</v>
      </c>
      <c r="AC5760" s="182" t="n">
        <v>0</v>
      </c>
      <c r="AD5760" s="182" t="n">
        <v>0</v>
      </c>
      <c r="AE5760" s="182" t="n">
        <v>0</v>
      </c>
      <c r="AF5760" s="182" t="n">
        <v>0</v>
      </c>
      <c r="AG5760" s="182" t="n">
        <v>0</v>
      </c>
      <c r="AH5760" s="182" t="n">
        <v>0</v>
      </c>
      <c r="AI5760" s="182" t="n">
        <v>0</v>
      </c>
      <c r="AJ5760" s="182" t="n">
        <v>0</v>
      </c>
      <c r="AK5760" s="182" t="n">
        <v>0</v>
      </c>
      <c r="AL5760" s="182" t="n">
        <v>0</v>
      </c>
      <c r="AM5760" s="182" t="n">
        <v>0</v>
      </c>
      <c r="AN5760" s="182" t="n">
        <v>0</v>
      </c>
    </row>
    <row r="5761">
      <c r="A5761" s="155" t="n">
        <v>46108</v>
      </c>
      <c r="B5761" s="156" t="inlineStr">
        <is>
          <t>DS</t>
        </is>
      </c>
      <c r="C5761" s="156" t="inlineStr">
        <is>
          <t>EX-223</t>
        </is>
      </c>
      <c r="D5761" s="156" t="inlineStr">
        <is>
          <t>PC 200-8MI</t>
        </is>
      </c>
      <c r="E5761" s="156" t="inlineStr">
        <is>
          <t>Excavator</t>
        </is>
      </c>
      <c r="F5761" s="156" t="inlineStr">
        <is>
          <t>Support Washing Plant &amp; CPP</t>
        </is>
      </c>
      <c r="G5761" s="182" t="n">
        <v>10.27</v>
      </c>
      <c r="H5761" s="182" t="n">
        <v>0</v>
      </c>
      <c r="I5761" s="182" t="n">
        <v>0</v>
      </c>
      <c r="J5761" s="182" t="n">
        <v>0</v>
      </c>
      <c r="K5761" s="182" t="n">
        <v>1.73</v>
      </c>
      <c r="L5761" s="182" t="n">
        <v>12</v>
      </c>
      <c r="M5761" s="182" t="n">
        <v>0</v>
      </c>
      <c r="N5761" s="182" t="n">
        <v>0</v>
      </c>
      <c r="O5761" s="185">
        <f>SUMIFS(INPUT_RITASE!$F$5:$F$20000,INPUT_RITASE!$A$5:$A$20000,$A5761,INPUT_RITASE!$H$5:$H$20000,$B5761,INPUT_RITASE!$C$5:$C$20000,$C5761,INPUT_RITASE!$N$5:$N$20000,"OB")</f>
        <v/>
      </c>
      <c r="P5761" s="185">
        <f>SUMIFS(INPUT_RITASE!$F$5:$F$20000,INPUT_RITASE!$A$5:$A$20000,$A5761,INPUT_RITASE!$H$5:$H$20000,$B5761,INPUT_RITASE!$C$5:$C$20000,$C5761,INPUT_RITASE!$N$5:$N$20000,"Coal")</f>
        <v/>
      </c>
      <c r="Q5761" s="186">
        <f>SUMIFS(INPUT_RITASE!$L$5:$L$20000,INPUT_RITASE!$A$5:$A$20000,$A5761,INPUT_RITASE!$H$5:$H$20000,$B5761,INPUT_RITASE!$C$5:$C$20000,$C5761,INPUT_RITASE!$N$5:$N$20000,"OB")</f>
        <v/>
      </c>
      <c r="R5761" s="186">
        <f>SUMIFS(INPUT_RITASE!$L$5:$L$20000,INPUT_RITASE!$A$5:$A$20000,$A5761,INPUT_RITASE!$H$5:$H$20000,$B5761,INPUT_RITASE!$C$5:$C$20000,$C5761,INPUT_RITASE!$N$5:$N$20000,"Coal")</f>
        <v/>
      </c>
      <c r="S5761" s="183" t="n">
        <v>0</v>
      </c>
      <c r="T5761" s="183" t="n">
        <v>0</v>
      </c>
      <c r="U5761" s="182" t="n">
        <v>0</v>
      </c>
      <c r="V5761" s="182" t="n">
        <v>0</v>
      </c>
      <c r="W5761" s="182" t="n">
        <v>0</v>
      </c>
      <c r="X5761" s="182" t="n">
        <v>0.86</v>
      </c>
      <c r="Y5761" s="182" t="n">
        <v>0</v>
      </c>
      <c r="Z5761" s="182" t="n">
        <v>0</v>
      </c>
      <c r="AA5761" s="182" t="n">
        <v>0</v>
      </c>
      <c r="AB5761" s="182" t="n">
        <v>0</v>
      </c>
      <c r="AC5761" s="182" t="n">
        <v>0</v>
      </c>
      <c r="AD5761" s="182" t="n">
        <v>0</v>
      </c>
      <c r="AE5761" s="182" t="n">
        <v>0</v>
      </c>
      <c r="AF5761" s="182" t="n">
        <v>0</v>
      </c>
      <c r="AG5761" s="182" t="n">
        <v>0</v>
      </c>
      <c r="AH5761" s="182" t="n">
        <v>0</v>
      </c>
      <c r="AI5761" s="182" t="n">
        <v>0</v>
      </c>
      <c r="AJ5761" s="182" t="n">
        <v>0</v>
      </c>
      <c r="AK5761" s="182" t="n">
        <v>0.8</v>
      </c>
      <c r="AL5761" s="182" t="n">
        <v>0</v>
      </c>
      <c r="AM5761" s="182" t="n">
        <v>0.07000000000000001</v>
      </c>
      <c r="AN5761" s="182" t="n">
        <v>0</v>
      </c>
    </row>
    <row r="5762">
      <c r="A5762" s="155" t="n">
        <v>46108</v>
      </c>
      <c r="B5762" s="156" t="inlineStr">
        <is>
          <t>DS</t>
        </is>
      </c>
      <c r="C5762" s="156" t="inlineStr">
        <is>
          <t>EX-221</t>
        </is>
      </c>
      <c r="D5762" s="156" t="inlineStr">
        <is>
          <t>PC 200-8MI</t>
        </is>
      </c>
      <c r="E5762" s="156" t="inlineStr">
        <is>
          <t>Excavator</t>
        </is>
      </c>
      <c r="F5762" s="156" t="inlineStr">
        <is>
          <t>Support Jetty</t>
        </is>
      </c>
      <c r="G5762" s="182" t="n">
        <v>5.46</v>
      </c>
      <c r="H5762" s="182" t="n">
        <v>0</v>
      </c>
      <c r="I5762" s="182" t="n">
        <v>0</v>
      </c>
      <c r="J5762" s="182" t="n">
        <v>0</v>
      </c>
      <c r="K5762" s="182" t="n">
        <v>6.54</v>
      </c>
      <c r="L5762" s="182" t="n">
        <v>12</v>
      </c>
      <c r="M5762" s="182" t="n">
        <v>0</v>
      </c>
      <c r="N5762" s="182" t="n">
        <v>0</v>
      </c>
      <c r="O5762" s="185">
        <f>SUMIFS(INPUT_RITASE!$F$5:$F$20000,INPUT_RITASE!$A$5:$A$20000,$A5762,INPUT_RITASE!$H$5:$H$20000,$B5762,INPUT_RITASE!$C$5:$C$20000,$C5762,INPUT_RITASE!$N$5:$N$20000,"OB")</f>
        <v/>
      </c>
      <c r="P5762" s="185">
        <f>SUMIFS(INPUT_RITASE!$F$5:$F$20000,INPUT_RITASE!$A$5:$A$20000,$A5762,INPUT_RITASE!$H$5:$H$20000,$B5762,INPUT_RITASE!$C$5:$C$20000,$C5762,INPUT_RITASE!$N$5:$N$20000,"Coal")</f>
        <v/>
      </c>
      <c r="Q5762" s="186">
        <f>SUMIFS(INPUT_RITASE!$L$5:$L$20000,INPUT_RITASE!$A$5:$A$20000,$A5762,INPUT_RITASE!$H$5:$H$20000,$B5762,INPUT_RITASE!$C$5:$C$20000,$C5762,INPUT_RITASE!$N$5:$N$20000,"OB")</f>
        <v/>
      </c>
      <c r="R5762" s="186">
        <f>SUMIFS(INPUT_RITASE!$L$5:$L$20000,INPUT_RITASE!$A$5:$A$20000,$A5762,INPUT_RITASE!$H$5:$H$20000,$B5762,INPUT_RITASE!$C$5:$C$20000,$C5762,INPUT_RITASE!$N$5:$N$20000,"Coal")</f>
        <v/>
      </c>
      <c r="S5762" s="183" t="n">
        <v>0</v>
      </c>
      <c r="T5762" s="183" t="n">
        <v>0</v>
      </c>
      <c r="U5762" s="182" t="n">
        <v>0</v>
      </c>
      <c r="V5762" s="182" t="n">
        <v>0</v>
      </c>
      <c r="W5762" s="182" t="n">
        <v>0</v>
      </c>
      <c r="X5762" s="182" t="n">
        <v>1.05</v>
      </c>
      <c r="Y5762" s="182" t="n">
        <v>0</v>
      </c>
      <c r="Z5762" s="182" t="n">
        <v>0</v>
      </c>
      <c r="AA5762" s="182" t="n">
        <v>0</v>
      </c>
      <c r="AB5762" s="182" t="n">
        <v>0</v>
      </c>
      <c r="AC5762" s="182" t="n">
        <v>0</v>
      </c>
      <c r="AD5762" s="182" t="n">
        <v>0</v>
      </c>
      <c r="AE5762" s="182" t="n">
        <v>0</v>
      </c>
      <c r="AF5762" s="182" t="n">
        <v>0</v>
      </c>
      <c r="AG5762" s="182" t="n">
        <v>0</v>
      </c>
      <c r="AH5762" s="182" t="n">
        <v>0</v>
      </c>
      <c r="AI5762" s="182" t="n">
        <v>0</v>
      </c>
      <c r="AJ5762" s="182" t="n">
        <v>0</v>
      </c>
      <c r="AK5762" s="182" t="n">
        <v>5.4</v>
      </c>
      <c r="AL5762" s="182" t="n">
        <v>0</v>
      </c>
      <c r="AM5762" s="182" t="n">
        <v>0.08</v>
      </c>
      <c r="AN5762" s="182" t="n">
        <v>0</v>
      </c>
    </row>
    <row r="5763">
      <c r="A5763" s="155" t="n">
        <v>46108</v>
      </c>
      <c r="B5763" s="156" t="inlineStr">
        <is>
          <t>DS</t>
        </is>
      </c>
      <c r="C5763" s="156" t="inlineStr">
        <is>
          <t>EX-331</t>
        </is>
      </c>
      <c r="D5763" s="156" t="inlineStr">
        <is>
          <t>PC 300-8MO</t>
        </is>
      </c>
      <c r="E5763" s="156" t="inlineStr">
        <is>
          <t>Excavator</t>
        </is>
      </c>
      <c r="F5763" s="156" t="inlineStr"/>
      <c r="G5763" s="182" t="n">
        <v>0</v>
      </c>
      <c r="H5763" s="182" t="n">
        <v>0</v>
      </c>
      <c r="I5763" s="182" t="n">
        <v>12</v>
      </c>
      <c r="J5763" s="182" t="n">
        <v>12</v>
      </c>
      <c r="K5763" s="182" t="n">
        <v>0</v>
      </c>
      <c r="L5763" s="182" t="n">
        <v>12</v>
      </c>
      <c r="M5763" s="182" t="n">
        <v>0</v>
      </c>
      <c r="N5763" s="182" t="n">
        <v>0</v>
      </c>
      <c r="O5763" s="185">
        <f>SUMIFS(INPUT_RITASE!$F$5:$F$20000,INPUT_RITASE!$A$5:$A$20000,$A5763,INPUT_RITASE!$H$5:$H$20000,$B5763,INPUT_RITASE!$C$5:$C$20000,$C5763,INPUT_RITASE!$N$5:$N$20000,"OB")</f>
        <v/>
      </c>
      <c r="P5763" s="185">
        <f>SUMIFS(INPUT_RITASE!$F$5:$F$20000,INPUT_RITASE!$A$5:$A$20000,$A5763,INPUT_RITASE!$H$5:$H$20000,$B5763,INPUT_RITASE!$C$5:$C$20000,$C5763,INPUT_RITASE!$N$5:$N$20000,"Coal")</f>
        <v/>
      </c>
      <c r="Q5763" s="186">
        <f>SUMIFS(INPUT_RITASE!$L$5:$L$20000,INPUT_RITASE!$A$5:$A$20000,$A5763,INPUT_RITASE!$H$5:$H$20000,$B5763,INPUT_RITASE!$C$5:$C$20000,$C5763,INPUT_RITASE!$N$5:$N$20000,"OB")</f>
        <v/>
      </c>
      <c r="R5763" s="186">
        <f>SUMIFS(INPUT_RITASE!$L$5:$L$20000,INPUT_RITASE!$A$5:$A$20000,$A5763,INPUT_RITASE!$H$5:$H$20000,$B5763,INPUT_RITASE!$C$5:$C$20000,$C5763,INPUT_RITASE!$N$5:$N$20000,"Coal")</f>
        <v/>
      </c>
      <c r="S5763" s="183" t="n">
        <v>0</v>
      </c>
      <c r="T5763" s="183" t="n">
        <v>0</v>
      </c>
      <c r="U5763" s="182" t="n">
        <v>0</v>
      </c>
      <c r="V5763" s="182" t="n">
        <v>0</v>
      </c>
      <c r="W5763" s="182" t="n">
        <v>0</v>
      </c>
      <c r="X5763" s="182" t="n">
        <v>0</v>
      </c>
      <c r="Y5763" s="182" t="n">
        <v>0</v>
      </c>
      <c r="Z5763" s="182" t="n">
        <v>0</v>
      </c>
      <c r="AA5763" s="182" t="n">
        <v>0</v>
      </c>
      <c r="AB5763" s="182" t="n">
        <v>0</v>
      </c>
      <c r="AC5763" s="182" t="n">
        <v>0</v>
      </c>
      <c r="AD5763" s="182" t="n">
        <v>0</v>
      </c>
      <c r="AE5763" s="182" t="n">
        <v>0</v>
      </c>
      <c r="AF5763" s="182" t="n">
        <v>0</v>
      </c>
      <c r="AG5763" s="182" t="n">
        <v>0</v>
      </c>
      <c r="AH5763" s="182" t="n">
        <v>0</v>
      </c>
      <c r="AI5763" s="182" t="n">
        <v>0</v>
      </c>
      <c r="AJ5763" s="182" t="n">
        <v>0</v>
      </c>
      <c r="AK5763" s="182" t="n">
        <v>0</v>
      </c>
      <c r="AL5763" s="182" t="n">
        <v>0</v>
      </c>
      <c r="AM5763" s="182" t="n">
        <v>0</v>
      </c>
      <c r="AN5763" s="182" t="n">
        <v>0</v>
      </c>
    </row>
    <row r="5764">
      <c r="A5764" s="155" t="n">
        <v>46108</v>
      </c>
      <c r="B5764" s="156" t="inlineStr">
        <is>
          <t>DS</t>
        </is>
      </c>
      <c r="C5764" s="156" t="inlineStr">
        <is>
          <t>EX-334</t>
        </is>
      </c>
      <c r="D5764" s="156" t="inlineStr">
        <is>
          <t>PC 300-8MO</t>
        </is>
      </c>
      <c r="E5764" s="156" t="inlineStr">
        <is>
          <t>Excavator</t>
        </is>
      </c>
      <c r="F5764" s="156" t="inlineStr">
        <is>
          <t>Coal cleaning S60</t>
        </is>
      </c>
      <c r="G5764" s="182" t="n">
        <v>10.57</v>
      </c>
      <c r="H5764" s="182" t="n">
        <v>0</v>
      </c>
      <c r="I5764" s="182" t="n">
        <v>0</v>
      </c>
      <c r="J5764" s="182" t="n">
        <v>0</v>
      </c>
      <c r="K5764" s="182" t="n">
        <v>1.43</v>
      </c>
      <c r="L5764" s="182" t="n">
        <v>12</v>
      </c>
      <c r="M5764" s="182" t="n">
        <v>0</v>
      </c>
      <c r="N5764" s="182" t="n">
        <v>0</v>
      </c>
      <c r="O5764" s="185">
        <f>SUMIFS(INPUT_RITASE!$F$5:$F$20000,INPUT_RITASE!$A$5:$A$20000,$A5764,INPUT_RITASE!$H$5:$H$20000,$B5764,INPUT_RITASE!$C$5:$C$20000,$C5764,INPUT_RITASE!$N$5:$N$20000,"OB")</f>
        <v/>
      </c>
      <c r="P5764" s="185">
        <f>SUMIFS(INPUT_RITASE!$F$5:$F$20000,INPUT_RITASE!$A$5:$A$20000,$A5764,INPUT_RITASE!$H$5:$H$20000,$B5764,INPUT_RITASE!$C$5:$C$20000,$C5764,INPUT_RITASE!$N$5:$N$20000,"Coal")</f>
        <v/>
      </c>
      <c r="Q5764" s="186">
        <f>SUMIFS(INPUT_RITASE!$L$5:$L$20000,INPUT_RITASE!$A$5:$A$20000,$A5764,INPUT_RITASE!$H$5:$H$20000,$B5764,INPUT_RITASE!$C$5:$C$20000,$C5764,INPUT_RITASE!$N$5:$N$20000,"OB")</f>
        <v/>
      </c>
      <c r="R5764" s="186">
        <f>SUMIFS(INPUT_RITASE!$L$5:$L$20000,INPUT_RITASE!$A$5:$A$20000,$A5764,INPUT_RITASE!$H$5:$H$20000,$B5764,INPUT_RITASE!$C$5:$C$20000,$C5764,INPUT_RITASE!$N$5:$N$20000,"Coal")</f>
        <v/>
      </c>
      <c r="S5764" s="183" t="n">
        <v>0</v>
      </c>
      <c r="T5764" s="183" t="n">
        <v>0</v>
      </c>
      <c r="U5764" s="182" t="n">
        <v>0</v>
      </c>
      <c r="V5764" s="182" t="n">
        <v>0</v>
      </c>
      <c r="W5764" s="182" t="n">
        <v>0</v>
      </c>
      <c r="X5764" s="182" t="n">
        <v>0.89</v>
      </c>
      <c r="Y5764" s="182" t="n">
        <v>0</v>
      </c>
      <c r="Z5764" s="182" t="n">
        <v>0</v>
      </c>
      <c r="AA5764" s="182" t="n">
        <v>0</v>
      </c>
      <c r="AB5764" s="182" t="n">
        <v>0</v>
      </c>
      <c r="AC5764" s="182" t="n">
        <v>0</v>
      </c>
      <c r="AD5764" s="182" t="n">
        <v>0</v>
      </c>
      <c r="AE5764" s="182" t="n">
        <v>0</v>
      </c>
      <c r="AF5764" s="182" t="n">
        <v>0</v>
      </c>
      <c r="AG5764" s="182" t="n">
        <v>0</v>
      </c>
      <c r="AH5764" s="182" t="n">
        <v>0</v>
      </c>
      <c r="AI5764" s="182" t="n">
        <v>0</v>
      </c>
      <c r="AJ5764" s="182" t="n">
        <v>0</v>
      </c>
      <c r="AK5764" s="182" t="n">
        <v>0.46</v>
      </c>
      <c r="AL5764" s="182" t="n">
        <v>0</v>
      </c>
      <c r="AM5764" s="182" t="n">
        <v>0.07000000000000001</v>
      </c>
      <c r="AN5764" s="182" t="n">
        <v>0</v>
      </c>
    </row>
    <row r="5765">
      <c r="A5765" s="155" t="n">
        <v>46108</v>
      </c>
      <c r="B5765" s="156" t="inlineStr">
        <is>
          <t>DS</t>
        </is>
      </c>
      <c r="C5765" s="156" t="inlineStr">
        <is>
          <t>EX-332</t>
        </is>
      </c>
      <c r="D5765" s="156" t="inlineStr">
        <is>
          <t>PC 300-8MO</t>
        </is>
      </c>
      <c r="E5765" s="156" t="inlineStr">
        <is>
          <t>Excavator</t>
        </is>
      </c>
      <c r="F5765" s="156" t="inlineStr">
        <is>
          <t>Coal cleaning</t>
        </is>
      </c>
      <c r="G5765" s="182" t="n">
        <v>8.82</v>
      </c>
      <c r="H5765" s="182" t="n">
        <v>0</v>
      </c>
      <c r="I5765" s="182" t="n">
        <v>2.53</v>
      </c>
      <c r="J5765" s="182" t="n">
        <v>2.53</v>
      </c>
      <c r="K5765" s="182" t="n">
        <v>0.65</v>
      </c>
      <c r="L5765" s="182" t="n">
        <v>12</v>
      </c>
      <c r="M5765" s="182" t="n">
        <v>0</v>
      </c>
      <c r="N5765" s="182" t="n">
        <v>0</v>
      </c>
      <c r="O5765" s="185">
        <f>SUMIFS(INPUT_RITASE!$F$5:$F$20000,INPUT_RITASE!$A$5:$A$20000,$A5765,INPUT_RITASE!$H$5:$H$20000,$B5765,INPUT_RITASE!$C$5:$C$20000,$C5765,INPUT_RITASE!$N$5:$N$20000,"OB")</f>
        <v/>
      </c>
      <c r="P5765" s="185">
        <f>SUMIFS(INPUT_RITASE!$F$5:$F$20000,INPUT_RITASE!$A$5:$A$20000,$A5765,INPUT_RITASE!$H$5:$H$20000,$B5765,INPUT_RITASE!$C$5:$C$20000,$C5765,INPUT_RITASE!$N$5:$N$20000,"Coal")</f>
        <v/>
      </c>
      <c r="Q5765" s="186">
        <f>SUMIFS(INPUT_RITASE!$L$5:$L$20000,INPUT_RITASE!$A$5:$A$20000,$A5765,INPUT_RITASE!$H$5:$H$20000,$B5765,INPUT_RITASE!$C$5:$C$20000,$C5765,INPUT_RITASE!$N$5:$N$20000,"OB")</f>
        <v/>
      </c>
      <c r="R5765" s="186">
        <f>SUMIFS(INPUT_RITASE!$L$5:$L$20000,INPUT_RITASE!$A$5:$A$20000,$A5765,INPUT_RITASE!$H$5:$H$20000,$B5765,INPUT_RITASE!$C$5:$C$20000,$C5765,INPUT_RITASE!$N$5:$N$20000,"Coal")</f>
        <v/>
      </c>
      <c r="S5765" s="183" t="n">
        <v>0</v>
      </c>
      <c r="T5765" s="183" t="n">
        <v>0</v>
      </c>
      <c r="U5765" s="182" t="n">
        <v>0</v>
      </c>
      <c r="V5765" s="182" t="n">
        <v>0</v>
      </c>
      <c r="W5765" s="182" t="n">
        <v>0</v>
      </c>
      <c r="X5765" s="182" t="n">
        <v>0.53</v>
      </c>
      <c r="Y5765" s="182" t="n">
        <v>0</v>
      </c>
      <c r="Z5765" s="182" t="n">
        <v>0</v>
      </c>
      <c r="AA5765" s="182" t="n">
        <v>0</v>
      </c>
      <c r="AB5765" s="182" t="n">
        <v>0</v>
      </c>
      <c r="AC5765" s="182" t="n">
        <v>0</v>
      </c>
      <c r="AD5765" s="182" t="n">
        <v>0</v>
      </c>
      <c r="AE5765" s="182" t="n">
        <v>0</v>
      </c>
      <c r="AF5765" s="182" t="n">
        <v>0</v>
      </c>
      <c r="AG5765" s="182" t="n">
        <v>0</v>
      </c>
      <c r="AH5765" s="182" t="n">
        <v>0</v>
      </c>
      <c r="AI5765" s="182" t="n">
        <v>0</v>
      </c>
      <c r="AJ5765" s="182" t="n">
        <v>0</v>
      </c>
      <c r="AK5765" s="182" t="n">
        <v>0</v>
      </c>
      <c r="AL5765" s="182" t="n">
        <v>0</v>
      </c>
      <c r="AM5765" s="182" t="n">
        <v>0.11</v>
      </c>
      <c r="AN5765" s="182" t="n">
        <v>0</v>
      </c>
    </row>
    <row r="5766">
      <c r="A5766" s="155" t="n">
        <v>46108</v>
      </c>
      <c r="B5766" s="156" t="inlineStr">
        <is>
          <t>DS</t>
        </is>
      </c>
      <c r="C5766" s="156" t="inlineStr">
        <is>
          <t>EX-333</t>
        </is>
      </c>
      <c r="D5766" s="156" t="inlineStr">
        <is>
          <t>PC 300-8MO</t>
        </is>
      </c>
      <c r="E5766" s="156" t="inlineStr">
        <is>
          <t>Excavator</t>
        </is>
      </c>
      <c r="F5766" s="156" t="inlineStr">
        <is>
          <t>Coal cleaning</t>
        </is>
      </c>
      <c r="G5766" s="182" t="n">
        <v>2.71</v>
      </c>
      <c r="H5766" s="182" t="n">
        <v>0</v>
      </c>
      <c r="I5766" s="182" t="n">
        <v>0</v>
      </c>
      <c r="J5766" s="182" t="n">
        <v>0</v>
      </c>
      <c r="K5766" s="182" t="n">
        <v>9.289999999999999</v>
      </c>
      <c r="L5766" s="182" t="n">
        <v>12</v>
      </c>
      <c r="M5766" s="182" t="n">
        <v>0</v>
      </c>
      <c r="N5766" s="182" t="n">
        <v>0</v>
      </c>
      <c r="O5766" s="185">
        <f>SUMIFS(INPUT_RITASE!$F$5:$F$20000,INPUT_RITASE!$A$5:$A$20000,$A5766,INPUT_RITASE!$H$5:$H$20000,$B5766,INPUT_RITASE!$C$5:$C$20000,$C5766,INPUT_RITASE!$N$5:$N$20000,"OB")</f>
        <v/>
      </c>
      <c r="P5766" s="185">
        <f>SUMIFS(INPUT_RITASE!$F$5:$F$20000,INPUT_RITASE!$A$5:$A$20000,$A5766,INPUT_RITASE!$H$5:$H$20000,$B5766,INPUT_RITASE!$C$5:$C$20000,$C5766,INPUT_RITASE!$N$5:$N$20000,"Coal")</f>
        <v/>
      </c>
      <c r="Q5766" s="186">
        <f>SUMIFS(INPUT_RITASE!$L$5:$L$20000,INPUT_RITASE!$A$5:$A$20000,$A5766,INPUT_RITASE!$H$5:$H$20000,$B5766,INPUT_RITASE!$C$5:$C$20000,$C5766,INPUT_RITASE!$N$5:$N$20000,"OB")</f>
        <v/>
      </c>
      <c r="R5766" s="186">
        <f>SUMIFS(INPUT_RITASE!$L$5:$L$20000,INPUT_RITASE!$A$5:$A$20000,$A5766,INPUT_RITASE!$H$5:$H$20000,$B5766,INPUT_RITASE!$C$5:$C$20000,$C5766,INPUT_RITASE!$N$5:$N$20000,"Coal")</f>
        <v/>
      </c>
      <c r="S5766" s="183" t="n">
        <v>0</v>
      </c>
      <c r="T5766" s="183" t="n">
        <v>0</v>
      </c>
      <c r="U5766" s="182" t="n">
        <v>0</v>
      </c>
      <c r="V5766" s="182" t="n">
        <v>0</v>
      </c>
      <c r="W5766" s="182" t="n">
        <v>0</v>
      </c>
      <c r="X5766" s="182" t="n">
        <v>0.96</v>
      </c>
      <c r="Y5766" s="182" t="n">
        <v>0</v>
      </c>
      <c r="Z5766" s="182" t="n">
        <v>0</v>
      </c>
      <c r="AA5766" s="182" t="n">
        <v>0</v>
      </c>
      <c r="AB5766" s="182" t="n">
        <v>0</v>
      </c>
      <c r="AC5766" s="182" t="n">
        <v>0</v>
      </c>
      <c r="AD5766" s="182" t="n">
        <v>0</v>
      </c>
      <c r="AE5766" s="182" t="n">
        <v>0</v>
      </c>
      <c r="AF5766" s="182" t="n">
        <v>0</v>
      </c>
      <c r="AG5766" s="182" t="n">
        <v>0</v>
      </c>
      <c r="AH5766" s="182" t="n">
        <v>0</v>
      </c>
      <c r="AI5766" s="182" t="n">
        <v>0</v>
      </c>
      <c r="AJ5766" s="182" t="n">
        <v>0</v>
      </c>
      <c r="AK5766" s="182" t="n">
        <v>8.26</v>
      </c>
      <c r="AL5766" s="182" t="n">
        <v>0</v>
      </c>
      <c r="AM5766" s="182" t="n">
        <v>0.08</v>
      </c>
      <c r="AN5766" s="182" t="n">
        <v>0</v>
      </c>
    </row>
    <row r="5767">
      <c r="A5767" s="155" t="n">
        <v>46108</v>
      </c>
      <c r="B5767" s="156" t="inlineStr">
        <is>
          <t>DS</t>
        </is>
      </c>
      <c r="C5767" s="156" t="inlineStr">
        <is>
          <t>EX-336</t>
        </is>
      </c>
      <c r="D5767" s="156" t="inlineStr">
        <is>
          <t>PC 300-8MO</t>
        </is>
      </c>
      <c r="E5767" s="156" t="inlineStr">
        <is>
          <t>Excavator</t>
        </is>
      </c>
      <c r="F5767" s="156" t="inlineStr"/>
      <c r="G5767" s="182" t="n">
        <v>0</v>
      </c>
      <c r="H5767" s="182" t="n">
        <v>0</v>
      </c>
      <c r="I5767" s="182" t="n">
        <v>12</v>
      </c>
      <c r="J5767" s="182" t="n">
        <v>12</v>
      </c>
      <c r="K5767" s="182" t="n">
        <v>0</v>
      </c>
      <c r="L5767" s="182" t="n">
        <v>12</v>
      </c>
      <c r="M5767" s="182" t="n">
        <v>0</v>
      </c>
      <c r="N5767" s="182" t="n">
        <v>0</v>
      </c>
      <c r="O5767" s="185">
        <f>SUMIFS(INPUT_RITASE!$F$5:$F$20000,INPUT_RITASE!$A$5:$A$20000,$A5767,INPUT_RITASE!$H$5:$H$20000,$B5767,INPUT_RITASE!$C$5:$C$20000,$C5767,INPUT_RITASE!$N$5:$N$20000,"OB")</f>
        <v/>
      </c>
      <c r="P5767" s="185">
        <f>SUMIFS(INPUT_RITASE!$F$5:$F$20000,INPUT_RITASE!$A$5:$A$20000,$A5767,INPUT_RITASE!$H$5:$H$20000,$B5767,INPUT_RITASE!$C$5:$C$20000,$C5767,INPUT_RITASE!$N$5:$N$20000,"Coal")</f>
        <v/>
      </c>
      <c r="Q5767" s="186">
        <f>SUMIFS(INPUT_RITASE!$L$5:$L$20000,INPUT_RITASE!$A$5:$A$20000,$A5767,INPUT_RITASE!$H$5:$H$20000,$B5767,INPUT_RITASE!$C$5:$C$20000,$C5767,INPUT_RITASE!$N$5:$N$20000,"OB")</f>
        <v/>
      </c>
      <c r="R5767" s="186">
        <f>SUMIFS(INPUT_RITASE!$L$5:$L$20000,INPUT_RITASE!$A$5:$A$20000,$A5767,INPUT_RITASE!$H$5:$H$20000,$B5767,INPUT_RITASE!$C$5:$C$20000,$C5767,INPUT_RITASE!$N$5:$N$20000,"Coal")</f>
        <v/>
      </c>
      <c r="S5767" s="183" t="n">
        <v>0</v>
      </c>
      <c r="T5767" s="183" t="n">
        <v>0</v>
      </c>
      <c r="U5767" s="182" t="n">
        <v>0</v>
      </c>
      <c r="V5767" s="182" t="n">
        <v>0</v>
      </c>
      <c r="W5767" s="182" t="n">
        <v>0</v>
      </c>
      <c r="X5767" s="182" t="n">
        <v>0</v>
      </c>
      <c r="Y5767" s="182" t="n">
        <v>0</v>
      </c>
      <c r="Z5767" s="182" t="n">
        <v>0</v>
      </c>
      <c r="AA5767" s="182" t="n">
        <v>0</v>
      </c>
      <c r="AB5767" s="182" t="n">
        <v>0</v>
      </c>
      <c r="AC5767" s="182" t="n">
        <v>0</v>
      </c>
      <c r="AD5767" s="182" t="n">
        <v>0</v>
      </c>
      <c r="AE5767" s="182" t="n">
        <v>0</v>
      </c>
      <c r="AF5767" s="182" t="n">
        <v>0</v>
      </c>
      <c r="AG5767" s="182" t="n">
        <v>0</v>
      </c>
      <c r="AH5767" s="182" t="n">
        <v>0</v>
      </c>
      <c r="AI5767" s="182" t="n">
        <v>0</v>
      </c>
      <c r="AJ5767" s="182" t="n">
        <v>0</v>
      </c>
      <c r="AK5767" s="182" t="n">
        <v>0</v>
      </c>
      <c r="AL5767" s="182" t="n">
        <v>0</v>
      </c>
      <c r="AM5767" s="182" t="n">
        <v>0</v>
      </c>
      <c r="AN5767" s="182" t="n">
        <v>0</v>
      </c>
    </row>
    <row r="5768">
      <c r="A5768" s="155" t="n">
        <v>46108</v>
      </c>
      <c r="B5768" s="156" t="inlineStr">
        <is>
          <t>DS</t>
        </is>
      </c>
      <c r="C5768" s="156" t="inlineStr">
        <is>
          <t>EX-335</t>
        </is>
      </c>
      <c r="D5768" s="156" t="inlineStr">
        <is>
          <t>PC 300-8MO</t>
        </is>
      </c>
      <c r="E5768" s="156" t="inlineStr">
        <is>
          <t>Excavator</t>
        </is>
      </c>
      <c r="F5768" s="156" t="inlineStr"/>
      <c r="G5768" s="182" t="n">
        <v>0</v>
      </c>
      <c r="H5768" s="182" t="n">
        <v>0</v>
      </c>
      <c r="I5768" s="182" t="n">
        <v>12</v>
      </c>
      <c r="J5768" s="182" t="n">
        <v>12</v>
      </c>
      <c r="K5768" s="182" t="n">
        <v>0</v>
      </c>
      <c r="L5768" s="182" t="n">
        <v>12</v>
      </c>
      <c r="M5768" s="182" t="n">
        <v>0</v>
      </c>
      <c r="N5768" s="182" t="n">
        <v>0</v>
      </c>
      <c r="O5768" s="185">
        <f>SUMIFS(INPUT_RITASE!$F$5:$F$20000,INPUT_RITASE!$A$5:$A$20000,$A5768,INPUT_RITASE!$H$5:$H$20000,$B5768,INPUT_RITASE!$C$5:$C$20000,$C5768,INPUT_RITASE!$N$5:$N$20000,"OB")</f>
        <v/>
      </c>
      <c r="P5768" s="185">
        <f>SUMIFS(INPUT_RITASE!$F$5:$F$20000,INPUT_RITASE!$A$5:$A$20000,$A5768,INPUT_RITASE!$H$5:$H$20000,$B5768,INPUT_RITASE!$C$5:$C$20000,$C5768,INPUT_RITASE!$N$5:$N$20000,"Coal")</f>
        <v/>
      </c>
      <c r="Q5768" s="186">
        <f>SUMIFS(INPUT_RITASE!$L$5:$L$20000,INPUT_RITASE!$A$5:$A$20000,$A5768,INPUT_RITASE!$H$5:$H$20000,$B5768,INPUT_RITASE!$C$5:$C$20000,$C5768,INPUT_RITASE!$N$5:$N$20000,"OB")</f>
        <v/>
      </c>
      <c r="R5768" s="186">
        <f>SUMIFS(INPUT_RITASE!$L$5:$L$20000,INPUT_RITASE!$A$5:$A$20000,$A5768,INPUT_RITASE!$H$5:$H$20000,$B5768,INPUT_RITASE!$C$5:$C$20000,$C5768,INPUT_RITASE!$N$5:$N$20000,"Coal")</f>
        <v/>
      </c>
      <c r="S5768" s="183" t="n">
        <v>0</v>
      </c>
      <c r="T5768" s="183" t="n">
        <v>0</v>
      </c>
      <c r="U5768" s="182" t="n">
        <v>0</v>
      </c>
      <c r="V5768" s="182" t="n">
        <v>0</v>
      </c>
      <c r="W5768" s="182" t="n">
        <v>0</v>
      </c>
      <c r="X5768" s="182" t="n">
        <v>0</v>
      </c>
      <c r="Y5768" s="182" t="n">
        <v>0</v>
      </c>
      <c r="Z5768" s="182" t="n">
        <v>0</v>
      </c>
      <c r="AA5768" s="182" t="n">
        <v>0</v>
      </c>
      <c r="AB5768" s="182" t="n">
        <v>0</v>
      </c>
      <c r="AC5768" s="182" t="n">
        <v>0</v>
      </c>
      <c r="AD5768" s="182" t="n">
        <v>0</v>
      </c>
      <c r="AE5768" s="182" t="n">
        <v>0</v>
      </c>
      <c r="AF5768" s="182" t="n">
        <v>0</v>
      </c>
      <c r="AG5768" s="182" t="n">
        <v>0</v>
      </c>
      <c r="AH5768" s="182" t="n">
        <v>0</v>
      </c>
      <c r="AI5768" s="182" t="n">
        <v>0</v>
      </c>
      <c r="AJ5768" s="182" t="n">
        <v>0</v>
      </c>
      <c r="AK5768" s="182" t="n">
        <v>0</v>
      </c>
      <c r="AL5768" s="182" t="n">
        <v>0</v>
      </c>
      <c r="AM5768" s="182" t="n">
        <v>0</v>
      </c>
      <c r="AN5768" s="182" t="n">
        <v>0</v>
      </c>
    </row>
    <row r="5769">
      <c r="A5769" s="155" t="n">
        <v>46108</v>
      </c>
      <c r="B5769" s="156" t="inlineStr">
        <is>
          <t>DS</t>
        </is>
      </c>
      <c r="C5769" s="156" t="inlineStr">
        <is>
          <t>EX-754</t>
        </is>
      </c>
      <c r="D5769" s="156" t="inlineStr">
        <is>
          <t>SY750H-PRO</t>
        </is>
      </c>
      <c r="E5769" s="156" t="inlineStr">
        <is>
          <t>Excavator</t>
        </is>
      </c>
      <c r="F5769" s="156" t="inlineStr">
        <is>
          <t>Loading OB, Spoil &amp; Coal</t>
        </is>
      </c>
      <c r="G5769" s="182" t="n">
        <v>6.99</v>
      </c>
      <c r="H5769" s="182" t="n">
        <v>0</v>
      </c>
      <c r="I5769" s="182" t="n">
        <v>3.12</v>
      </c>
      <c r="J5769" s="182" t="n">
        <v>3.12</v>
      </c>
      <c r="K5769" s="182" t="n">
        <v>1.89</v>
      </c>
      <c r="L5769" s="182" t="n">
        <v>12</v>
      </c>
      <c r="M5769" s="182" t="n">
        <v>1.65</v>
      </c>
      <c r="N5769" s="182" t="n">
        <v>4.07</v>
      </c>
      <c r="O5769" s="185">
        <f>SUMIFS(INPUT_RITASE!$F$5:$F$20000,INPUT_RITASE!$A$5:$A$20000,$A5769,INPUT_RITASE!$H$5:$H$20000,$B5769,INPUT_RITASE!$C$5:$C$20000,$C5769,INPUT_RITASE!$N$5:$N$20000,"OB")</f>
        <v/>
      </c>
      <c r="P5769" s="185">
        <f>SUMIFS(INPUT_RITASE!$F$5:$F$20000,INPUT_RITASE!$A$5:$A$20000,$A5769,INPUT_RITASE!$H$5:$H$20000,$B5769,INPUT_RITASE!$C$5:$C$20000,$C5769,INPUT_RITASE!$N$5:$N$20000,"Coal")</f>
        <v/>
      </c>
      <c r="Q5769" s="186">
        <f>SUMIFS(INPUT_RITASE!$L$5:$L$20000,INPUT_RITASE!$A$5:$A$20000,$A5769,INPUT_RITASE!$H$5:$H$20000,$B5769,INPUT_RITASE!$C$5:$C$20000,$C5769,INPUT_RITASE!$N$5:$N$20000,"OB")</f>
        <v/>
      </c>
      <c r="R5769" s="186">
        <f>SUMIFS(INPUT_RITASE!$L$5:$L$20000,INPUT_RITASE!$A$5:$A$20000,$A5769,INPUT_RITASE!$H$5:$H$20000,$B5769,INPUT_RITASE!$C$5:$C$20000,$C5769,INPUT_RITASE!$N$5:$N$20000,"Coal")</f>
        <v/>
      </c>
      <c r="S5769" s="183" t="n">
        <v>0</v>
      </c>
      <c r="T5769" s="183" t="n">
        <v>0</v>
      </c>
      <c r="U5769" s="182" t="n">
        <v>0</v>
      </c>
      <c r="V5769" s="182" t="n">
        <v>0</v>
      </c>
      <c r="W5769" s="182" t="n">
        <v>0</v>
      </c>
      <c r="X5769" s="182" t="n">
        <v>1.2</v>
      </c>
      <c r="Y5769" s="182" t="n">
        <v>0</v>
      </c>
      <c r="Z5769" s="182" t="n">
        <v>0</v>
      </c>
      <c r="AA5769" s="182" t="n">
        <v>0</v>
      </c>
      <c r="AB5769" s="182" t="n">
        <v>0</v>
      </c>
      <c r="AC5769" s="182" t="n">
        <v>0</v>
      </c>
      <c r="AD5769" s="182" t="n">
        <v>0</v>
      </c>
      <c r="AE5769" s="182" t="n">
        <v>0</v>
      </c>
      <c r="AF5769" s="182" t="n">
        <v>0</v>
      </c>
      <c r="AG5769" s="182" t="n">
        <v>0</v>
      </c>
      <c r="AH5769" s="182" t="n">
        <v>0.6</v>
      </c>
      <c r="AI5769" s="182" t="n">
        <v>0</v>
      </c>
      <c r="AJ5769" s="182" t="n">
        <v>0</v>
      </c>
      <c r="AK5769" s="182" t="n">
        <v>0</v>
      </c>
      <c r="AL5769" s="182" t="n">
        <v>0</v>
      </c>
      <c r="AM5769" s="182" t="n">
        <v>0.1</v>
      </c>
      <c r="AN5769" s="182" t="n">
        <v>0</v>
      </c>
    </row>
    <row r="5770">
      <c r="A5770" s="155" t="n">
        <v>46108</v>
      </c>
      <c r="B5770" s="156" t="inlineStr">
        <is>
          <t>DS</t>
        </is>
      </c>
      <c r="C5770" s="156" t="inlineStr">
        <is>
          <t>EX-755</t>
        </is>
      </c>
      <c r="D5770" s="156" t="inlineStr">
        <is>
          <t>SY750H-PRO</t>
        </is>
      </c>
      <c r="E5770" s="156" t="inlineStr">
        <is>
          <t>Excavator</t>
        </is>
      </c>
      <c r="F5770" s="156" t="inlineStr">
        <is>
          <t>Loading OB</t>
        </is>
      </c>
      <c r="G5770" s="182" t="n">
        <v>10.29</v>
      </c>
      <c r="H5770" s="182" t="n">
        <v>0</v>
      </c>
      <c r="I5770" s="182" t="n">
        <v>0</v>
      </c>
      <c r="J5770" s="182" t="n">
        <v>0</v>
      </c>
      <c r="K5770" s="182" t="n">
        <v>1.71</v>
      </c>
      <c r="L5770" s="182" t="n">
        <v>12</v>
      </c>
      <c r="M5770" s="182" t="n">
        <v>9.69</v>
      </c>
      <c r="N5770" s="182" t="n">
        <v>0</v>
      </c>
      <c r="O5770" s="185">
        <f>SUMIFS(INPUT_RITASE!$F$5:$F$20000,INPUT_RITASE!$A$5:$A$20000,$A5770,INPUT_RITASE!$H$5:$H$20000,$B5770,INPUT_RITASE!$C$5:$C$20000,$C5770,INPUT_RITASE!$N$5:$N$20000,"OB")</f>
        <v/>
      </c>
      <c r="P5770" s="185">
        <f>SUMIFS(INPUT_RITASE!$F$5:$F$20000,INPUT_RITASE!$A$5:$A$20000,$A5770,INPUT_RITASE!$H$5:$H$20000,$B5770,INPUT_RITASE!$C$5:$C$20000,$C5770,INPUT_RITASE!$N$5:$N$20000,"Coal")</f>
        <v/>
      </c>
      <c r="Q5770" s="186">
        <f>SUMIFS(INPUT_RITASE!$L$5:$L$20000,INPUT_RITASE!$A$5:$A$20000,$A5770,INPUT_RITASE!$H$5:$H$20000,$B5770,INPUT_RITASE!$C$5:$C$20000,$C5770,INPUT_RITASE!$N$5:$N$20000,"OB")</f>
        <v/>
      </c>
      <c r="R5770" s="186">
        <f>SUMIFS(INPUT_RITASE!$L$5:$L$20000,INPUT_RITASE!$A$5:$A$20000,$A5770,INPUT_RITASE!$H$5:$H$20000,$B5770,INPUT_RITASE!$C$5:$C$20000,$C5770,INPUT_RITASE!$N$5:$N$20000,"Coal")</f>
        <v/>
      </c>
      <c r="S5770" s="183" t="n">
        <v>0</v>
      </c>
      <c r="T5770" s="183" t="n">
        <v>0</v>
      </c>
      <c r="U5770" s="182" t="n">
        <v>0</v>
      </c>
      <c r="V5770" s="182" t="n">
        <v>0</v>
      </c>
      <c r="W5770" s="182" t="n">
        <v>0</v>
      </c>
      <c r="X5770" s="182" t="n">
        <v>1.23</v>
      </c>
      <c r="Y5770" s="182" t="n">
        <v>0</v>
      </c>
      <c r="Z5770" s="182" t="n">
        <v>0</v>
      </c>
      <c r="AA5770" s="182" t="n">
        <v>0</v>
      </c>
      <c r="AB5770" s="182" t="n">
        <v>0</v>
      </c>
      <c r="AC5770" s="182" t="n">
        <v>0</v>
      </c>
      <c r="AD5770" s="182" t="n">
        <v>0</v>
      </c>
      <c r="AE5770" s="182" t="n">
        <v>0</v>
      </c>
      <c r="AF5770" s="182" t="n">
        <v>0</v>
      </c>
      <c r="AG5770" s="182" t="n">
        <v>0</v>
      </c>
      <c r="AH5770" s="182" t="n">
        <v>0.38</v>
      </c>
      <c r="AI5770" s="182" t="n">
        <v>0</v>
      </c>
      <c r="AJ5770" s="182" t="n">
        <v>0</v>
      </c>
      <c r="AK5770" s="182" t="n">
        <v>0</v>
      </c>
      <c r="AL5770" s="182" t="n">
        <v>0</v>
      </c>
      <c r="AM5770" s="182" t="n">
        <v>0.1</v>
      </c>
      <c r="AN5770" s="182" t="n">
        <v>0</v>
      </c>
    </row>
    <row r="5771">
      <c r="A5771" s="155" t="n">
        <v>46108</v>
      </c>
      <c r="B5771" s="156" t="inlineStr">
        <is>
          <t>DS</t>
        </is>
      </c>
      <c r="C5771" s="156" t="inlineStr">
        <is>
          <t>EX-752</t>
        </is>
      </c>
      <c r="D5771" s="156" t="inlineStr">
        <is>
          <t>SY750H-PRO</t>
        </is>
      </c>
      <c r="E5771" s="156" t="inlineStr">
        <is>
          <t>Excavator</t>
        </is>
      </c>
      <c r="F5771" s="156" t="inlineStr"/>
      <c r="G5771" s="182" t="n">
        <v>0</v>
      </c>
      <c r="H5771" s="182" t="n">
        <v>0</v>
      </c>
      <c r="I5771" s="182" t="n">
        <v>12</v>
      </c>
      <c r="J5771" s="182" t="n">
        <v>12</v>
      </c>
      <c r="K5771" s="182" t="n">
        <v>0</v>
      </c>
      <c r="L5771" s="182" t="n">
        <v>12</v>
      </c>
      <c r="M5771" s="182" t="n">
        <v>0</v>
      </c>
      <c r="N5771" s="182" t="n">
        <v>0</v>
      </c>
      <c r="O5771" s="185">
        <f>SUMIFS(INPUT_RITASE!$F$5:$F$20000,INPUT_RITASE!$A$5:$A$20000,$A5771,INPUT_RITASE!$H$5:$H$20000,$B5771,INPUT_RITASE!$C$5:$C$20000,$C5771,INPUT_RITASE!$N$5:$N$20000,"OB")</f>
        <v/>
      </c>
      <c r="P5771" s="185">
        <f>SUMIFS(INPUT_RITASE!$F$5:$F$20000,INPUT_RITASE!$A$5:$A$20000,$A5771,INPUT_RITASE!$H$5:$H$20000,$B5771,INPUT_RITASE!$C$5:$C$20000,$C5771,INPUT_RITASE!$N$5:$N$20000,"Coal")</f>
        <v/>
      </c>
      <c r="Q5771" s="186">
        <f>SUMIFS(INPUT_RITASE!$L$5:$L$20000,INPUT_RITASE!$A$5:$A$20000,$A5771,INPUT_RITASE!$H$5:$H$20000,$B5771,INPUT_RITASE!$C$5:$C$20000,$C5771,INPUT_RITASE!$N$5:$N$20000,"OB")</f>
        <v/>
      </c>
      <c r="R5771" s="186">
        <f>SUMIFS(INPUT_RITASE!$L$5:$L$20000,INPUT_RITASE!$A$5:$A$20000,$A5771,INPUT_RITASE!$H$5:$H$20000,$B5771,INPUT_RITASE!$C$5:$C$20000,$C5771,INPUT_RITASE!$N$5:$N$20000,"Coal")</f>
        <v/>
      </c>
      <c r="S5771" s="183" t="n">
        <v>0</v>
      </c>
      <c r="T5771" s="183" t="n">
        <v>0</v>
      </c>
      <c r="U5771" s="182" t="n">
        <v>0</v>
      </c>
      <c r="V5771" s="182" t="n">
        <v>0</v>
      </c>
      <c r="W5771" s="182" t="n">
        <v>0</v>
      </c>
      <c r="X5771" s="182" t="n">
        <v>0</v>
      </c>
      <c r="Y5771" s="182" t="n">
        <v>0</v>
      </c>
      <c r="Z5771" s="182" t="n">
        <v>0</v>
      </c>
      <c r="AA5771" s="182" t="n">
        <v>0</v>
      </c>
      <c r="AB5771" s="182" t="n">
        <v>0</v>
      </c>
      <c r="AC5771" s="182" t="n">
        <v>0</v>
      </c>
      <c r="AD5771" s="182" t="n">
        <v>0</v>
      </c>
      <c r="AE5771" s="182" t="n">
        <v>0</v>
      </c>
      <c r="AF5771" s="182" t="n">
        <v>0</v>
      </c>
      <c r="AG5771" s="182" t="n">
        <v>0</v>
      </c>
      <c r="AH5771" s="182" t="n">
        <v>0</v>
      </c>
      <c r="AI5771" s="182" t="n">
        <v>0</v>
      </c>
      <c r="AJ5771" s="182" t="n">
        <v>0</v>
      </c>
      <c r="AK5771" s="182" t="n">
        <v>0</v>
      </c>
      <c r="AL5771" s="182" t="n">
        <v>0</v>
      </c>
      <c r="AM5771" s="182" t="n">
        <v>0</v>
      </c>
      <c r="AN5771" s="182" t="n">
        <v>0</v>
      </c>
    </row>
    <row r="5772">
      <c r="A5772" s="155" t="n">
        <v>46108</v>
      </c>
      <c r="B5772" s="156" t="inlineStr">
        <is>
          <t>DS</t>
        </is>
      </c>
      <c r="C5772" s="156" t="inlineStr">
        <is>
          <t>EX-751</t>
        </is>
      </c>
      <c r="D5772" s="156" t="inlineStr">
        <is>
          <t>SY750H-PRO</t>
        </is>
      </c>
      <c r="E5772" s="156" t="inlineStr">
        <is>
          <t>Excavator</t>
        </is>
      </c>
      <c r="F5772" s="156" t="inlineStr"/>
      <c r="G5772" s="182" t="n">
        <v>0</v>
      </c>
      <c r="H5772" s="182" t="n">
        <v>0</v>
      </c>
      <c r="I5772" s="182" t="n">
        <v>12</v>
      </c>
      <c r="J5772" s="182" t="n">
        <v>12</v>
      </c>
      <c r="K5772" s="182" t="n">
        <v>0</v>
      </c>
      <c r="L5772" s="182" t="n">
        <v>12</v>
      </c>
      <c r="M5772" s="182" t="n">
        <v>0</v>
      </c>
      <c r="N5772" s="182" t="n">
        <v>0</v>
      </c>
      <c r="O5772" s="185">
        <f>SUMIFS(INPUT_RITASE!$F$5:$F$20000,INPUT_RITASE!$A$5:$A$20000,$A5772,INPUT_RITASE!$H$5:$H$20000,$B5772,INPUT_RITASE!$C$5:$C$20000,$C5772,INPUT_RITASE!$N$5:$N$20000,"OB")</f>
        <v/>
      </c>
      <c r="P5772" s="185">
        <f>SUMIFS(INPUT_RITASE!$F$5:$F$20000,INPUT_RITASE!$A$5:$A$20000,$A5772,INPUT_RITASE!$H$5:$H$20000,$B5772,INPUT_RITASE!$C$5:$C$20000,$C5772,INPUT_RITASE!$N$5:$N$20000,"Coal")</f>
        <v/>
      </c>
      <c r="Q5772" s="186">
        <f>SUMIFS(INPUT_RITASE!$L$5:$L$20000,INPUT_RITASE!$A$5:$A$20000,$A5772,INPUT_RITASE!$H$5:$H$20000,$B5772,INPUT_RITASE!$C$5:$C$20000,$C5772,INPUT_RITASE!$N$5:$N$20000,"OB")</f>
        <v/>
      </c>
      <c r="R5772" s="186">
        <f>SUMIFS(INPUT_RITASE!$L$5:$L$20000,INPUT_RITASE!$A$5:$A$20000,$A5772,INPUT_RITASE!$H$5:$H$20000,$B5772,INPUT_RITASE!$C$5:$C$20000,$C5772,INPUT_RITASE!$N$5:$N$20000,"Coal")</f>
        <v/>
      </c>
      <c r="S5772" s="183" t="n">
        <v>0</v>
      </c>
      <c r="T5772" s="183" t="n">
        <v>0</v>
      </c>
      <c r="U5772" s="182" t="n">
        <v>0</v>
      </c>
      <c r="V5772" s="182" t="n">
        <v>0</v>
      </c>
      <c r="W5772" s="182" t="n">
        <v>0</v>
      </c>
      <c r="X5772" s="182" t="n">
        <v>0</v>
      </c>
      <c r="Y5772" s="182" t="n">
        <v>0</v>
      </c>
      <c r="Z5772" s="182" t="n">
        <v>0</v>
      </c>
      <c r="AA5772" s="182" t="n">
        <v>0</v>
      </c>
      <c r="AB5772" s="182" t="n">
        <v>0</v>
      </c>
      <c r="AC5772" s="182" t="n">
        <v>0</v>
      </c>
      <c r="AD5772" s="182" t="n">
        <v>0</v>
      </c>
      <c r="AE5772" s="182" t="n">
        <v>0</v>
      </c>
      <c r="AF5772" s="182" t="n">
        <v>0</v>
      </c>
      <c r="AG5772" s="182" t="n">
        <v>0</v>
      </c>
      <c r="AH5772" s="182" t="n">
        <v>0</v>
      </c>
      <c r="AI5772" s="182" t="n">
        <v>0</v>
      </c>
      <c r="AJ5772" s="182" t="n">
        <v>0</v>
      </c>
      <c r="AK5772" s="182" t="n">
        <v>0</v>
      </c>
      <c r="AL5772" s="182" t="n">
        <v>0</v>
      </c>
      <c r="AM5772" s="182" t="n">
        <v>0</v>
      </c>
      <c r="AN5772" s="182" t="n">
        <v>0</v>
      </c>
    </row>
    <row r="5773">
      <c r="A5773" s="155" t="n">
        <v>46108</v>
      </c>
      <c r="B5773" s="156" t="inlineStr">
        <is>
          <t>DS</t>
        </is>
      </c>
      <c r="C5773" s="156" t="inlineStr">
        <is>
          <t>EX-753</t>
        </is>
      </c>
      <c r="D5773" s="156" t="inlineStr">
        <is>
          <t>SY750H-PRO</t>
        </is>
      </c>
      <c r="E5773" s="156" t="inlineStr">
        <is>
          <t>Excavator</t>
        </is>
      </c>
      <c r="F5773" s="156" t="inlineStr">
        <is>
          <t>Loading OB &amp; Coal</t>
        </is>
      </c>
      <c r="G5773" s="182" t="n">
        <v>10.24</v>
      </c>
      <c r="H5773" s="182" t="n">
        <v>0</v>
      </c>
      <c r="I5773" s="182" t="n">
        <v>0.8</v>
      </c>
      <c r="J5773" s="182" t="n">
        <v>0.8</v>
      </c>
      <c r="K5773" s="182" t="n">
        <v>0.96</v>
      </c>
      <c r="L5773" s="182" t="n">
        <v>12</v>
      </c>
      <c r="M5773" s="182" t="n">
        <v>9.57</v>
      </c>
      <c r="N5773" s="182" t="n">
        <v>0.17</v>
      </c>
      <c r="O5773" s="185">
        <f>SUMIFS(INPUT_RITASE!$F$5:$F$20000,INPUT_RITASE!$A$5:$A$20000,$A5773,INPUT_RITASE!$H$5:$H$20000,$B5773,INPUT_RITASE!$C$5:$C$20000,$C5773,INPUT_RITASE!$N$5:$N$20000,"OB")</f>
        <v/>
      </c>
      <c r="P5773" s="185">
        <f>SUMIFS(INPUT_RITASE!$F$5:$F$20000,INPUT_RITASE!$A$5:$A$20000,$A5773,INPUT_RITASE!$H$5:$H$20000,$B5773,INPUT_RITASE!$C$5:$C$20000,$C5773,INPUT_RITASE!$N$5:$N$20000,"Coal")</f>
        <v/>
      </c>
      <c r="Q5773" s="186">
        <f>SUMIFS(INPUT_RITASE!$L$5:$L$20000,INPUT_RITASE!$A$5:$A$20000,$A5773,INPUT_RITASE!$H$5:$H$20000,$B5773,INPUT_RITASE!$C$5:$C$20000,$C5773,INPUT_RITASE!$N$5:$N$20000,"OB")</f>
        <v/>
      </c>
      <c r="R5773" s="186">
        <f>SUMIFS(INPUT_RITASE!$L$5:$L$20000,INPUT_RITASE!$A$5:$A$20000,$A5773,INPUT_RITASE!$H$5:$H$20000,$B5773,INPUT_RITASE!$C$5:$C$20000,$C5773,INPUT_RITASE!$N$5:$N$20000,"Coal")</f>
        <v/>
      </c>
      <c r="S5773" s="183" t="n">
        <v>0</v>
      </c>
      <c r="T5773" s="183" t="n">
        <v>0</v>
      </c>
      <c r="U5773" s="182" t="n">
        <v>0</v>
      </c>
      <c r="V5773" s="182" t="n">
        <v>0</v>
      </c>
      <c r="W5773" s="182" t="n">
        <v>0</v>
      </c>
      <c r="X5773" s="182" t="n">
        <v>0.88</v>
      </c>
      <c r="Y5773" s="182" t="n">
        <v>0</v>
      </c>
      <c r="Z5773" s="182" t="n">
        <v>0</v>
      </c>
      <c r="AA5773" s="182" t="n">
        <v>0</v>
      </c>
      <c r="AB5773" s="182" t="n">
        <v>0</v>
      </c>
      <c r="AC5773" s="182" t="n">
        <v>0</v>
      </c>
      <c r="AD5773" s="182" t="n">
        <v>0</v>
      </c>
      <c r="AE5773" s="182" t="n">
        <v>0</v>
      </c>
      <c r="AF5773" s="182" t="n">
        <v>0</v>
      </c>
      <c r="AG5773" s="182" t="n">
        <v>0</v>
      </c>
      <c r="AH5773" s="182" t="n">
        <v>0</v>
      </c>
      <c r="AI5773" s="182" t="n">
        <v>0</v>
      </c>
      <c r="AJ5773" s="182" t="n">
        <v>0</v>
      </c>
      <c r="AK5773" s="182" t="n">
        <v>0</v>
      </c>
      <c r="AL5773" s="182" t="n">
        <v>0</v>
      </c>
      <c r="AM5773" s="182" t="n">
        <v>0.08</v>
      </c>
      <c r="AN5773" s="182" t="n">
        <v>0</v>
      </c>
    </row>
    <row r="5774">
      <c r="A5774" s="155" t="n">
        <v>46108</v>
      </c>
      <c r="B5774" s="156" t="inlineStr">
        <is>
          <t>DS</t>
        </is>
      </c>
      <c r="C5774" s="156" t="inlineStr">
        <is>
          <t>GD-012</t>
        </is>
      </c>
      <c r="D5774" s="156" t="inlineStr">
        <is>
          <t>STG 230C - 8S</t>
        </is>
      </c>
      <c r="E5774" s="156" t="inlineStr">
        <is>
          <t>Grader</t>
        </is>
      </c>
      <c r="F5774" s="156" t="inlineStr"/>
      <c r="G5774" s="182" t="n">
        <v>0</v>
      </c>
      <c r="H5774" s="182" t="n">
        <v>0</v>
      </c>
      <c r="I5774" s="182" t="n">
        <v>0</v>
      </c>
      <c r="J5774" s="182" t="n">
        <v>0</v>
      </c>
      <c r="K5774" s="182" t="n">
        <v>12</v>
      </c>
      <c r="L5774" s="182" t="n">
        <v>12</v>
      </c>
      <c r="M5774" s="182" t="n">
        <v>0</v>
      </c>
      <c r="N5774" s="182" t="n">
        <v>0</v>
      </c>
      <c r="O5774" s="183" t="n">
        <v>0</v>
      </c>
      <c r="P5774" s="183" t="n">
        <v>0</v>
      </c>
      <c r="Q5774" s="184" t="n">
        <v>0</v>
      </c>
      <c r="R5774" s="184" t="n">
        <v>0</v>
      </c>
      <c r="S5774" s="183" t="n">
        <v>0</v>
      </c>
      <c r="T5774" s="183" t="n">
        <v>0</v>
      </c>
      <c r="U5774" s="182" t="n">
        <v>0</v>
      </c>
      <c r="V5774" s="182" t="n">
        <v>0</v>
      </c>
      <c r="W5774" s="182" t="n">
        <v>0</v>
      </c>
      <c r="X5774" s="182" t="n">
        <v>1</v>
      </c>
      <c r="Y5774" s="182" t="n">
        <v>0</v>
      </c>
      <c r="Z5774" s="182" t="n">
        <v>0</v>
      </c>
      <c r="AA5774" s="182" t="n">
        <v>0</v>
      </c>
      <c r="AB5774" s="182" t="n">
        <v>0</v>
      </c>
      <c r="AC5774" s="182" t="n">
        <v>0</v>
      </c>
      <c r="AD5774" s="182" t="n">
        <v>0</v>
      </c>
      <c r="AE5774" s="182" t="n">
        <v>0</v>
      </c>
      <c r="AF5774" s="182" t="n">
        <v>0</v>
      </c>
      <c r="AG5774" s="182" t="n">
        <v>0</v>
      </c>
      <c r="AH5774" s="182" t="n">
        <v>0</v>
      </c>
      <c r="AI5774" s="182" t="n">
        <v>0</v>
      </c>
      <c r="AJ5774" s="182" t="n">
        <v>0</v>
      </c>
      <c r="AK5774" s="182" t="n">
        <v>10.92</v>
      </c>
      <c r="AL5774" s="182" t="n">
        <v>0</v>
      </c>
      <c r="AM5774" s="182" t="n">
        <v>0.08</v>
      </c>
      <c r="AN5774" s="182" t="n">
        <v>0</v>
      </c>
    </row>
    <row r="5775">
      <c r="A5775" s="155" t="n">
        <v>46108</v>
      </c>
      <c r="B5775" s="156" t="inlineStr">
        <is>
          <t>DS</t>
        </is>
      </c>
      <c r="C5775" s="156" t="inlineStr">
        <is>
          <t>GD-011</t>
        </is>
      </c>
      <c r="D5775" s="156" t="inlineStr">
        <is>
          <t>STG 230C - 8S</t>
        </is>
      </c>
      <c r="E5775" s="156" t="inlineStr">
        <is>
          <t>Grader</t>
        </is>
      </c>
      <c r="F5775" s="156" t="inlineStr"/>
      <c r="G5775" s="182" t="n">
        <v>0</v>
      </c>
      <c r="H5775" s="182" t="n">
        <v>0</v>
      </c>
      <c r="I5775" s="182" t="n">
        <v>12</v>
      </c>
      <c r="J5775" s="182" t="n">
        <v>12</v>
      </c>
      <c r="K5775" s="182" t="n">
        <v>0</v>
      </c>
      <c r="L5775" s="182" t="n">
        <v>12</v>
      </c>
      <c r="M5775" s="182" t="n">
        <v>0</v>
      </c>
      <c r="N5775" s="182" t="n">
        <v>0</v>
      </c>
      <c r="O5775" s="183" t="n">
        <v>0</v>
      </c>
      <c r="P5775" s="183" t="n">
        <v>0</v>
      </c>
      <c r="Q5775" s="184" t="n">
        <v>0</v>
      </c>
      <c r="R5775" s="184" t="n">
        <v>0</v>
      </c>
      <c r="S5775" s="183" t="n">
        <v>0</v>
      </c>
      <c r="T5775" s="183" t="n">
        <v>0</v>
      </c>
      <c r="U5775" s="182" t="n">
        <v>0</v>
      </c>
      <c r="V5775" s="182" t="n">
        <v>0</v>
      </c>
      <c r="W5775" s="182" t="n">
        <v>0</v>
      </c>
      <c r="X5775" s="182" t="n">
        <v>0</v>
      </c>
      <c r="Y5775" s="182" t="n">
        <v>0</v>
      </c>
      <c r="Z5775" s="182" t="n">
        <v>0</v>
      </c>
      <c r="AA5775" s="182" t="n">
        <v>0</v>
      </c>
      <c r="AB5775" s="182" t="n">
        <v>0</v>
      </c>
      <c r="AC5775" s="182" t="n">
        <v>0</v>
      </c>
      <c r="AD5775" s="182" t="n">
        <v>0</v>
      </c>
      <c r="AE5775" s="182" t="n">
        <v>0</v>
      </c>
      <c r="AF5775" s="182" t="n">
        <v>0</v>
      </c>
      <c r="AG5775" s="182" t="n">
        <v>0</v>
      </c>
      <c r="AH5775" s="182" t="n">
        <v>0</v>
      </c>
      <c r="AI5775" s="182" t="n">
        <v>0</v>
      </c>
      <c r="AJ5775" s="182" t="n">
        <v>0</v>
      </c>
      <c r="AK5775" s="182" t="n">
        <v>0</v>
      </c>
      <c r="AL5775" s="182" t="n">
        <v>0</v>
      </c>
      <c r="AM5775" s="182" t="n">
        <v>0</v>
      </c>
      <c r="AN5775" s="182" t="n">
        <v>0</v>
      </c>
    </row>
    <row r="5776">
      <c r="A5776" s="155" t="n">
        <v>46108</v>
      </c>
      <c r="B5776" s="156" t="inlineStr">
        <is>
          <t>DS</t>
        </is>
      </c>
      <c r="C5776" s="156" t="inlineStr">
        <is>
          <t>GD-013</t>
        </is>
      </c>
      <c r="D5776" s="156" t="inlineStr">
        <is>
          <t>STG 265C - 10</t>
        </is>
      </c>
      <c r="E5776" s="156" t="inlineStr">
        <is>
          <t>Grader</t>
        </is>
      </c>
      <c r="F5776" s="156" t="inlineStr">
        <is>
          <t>Road Maintenance</t>
        </is>
      </c>
      <c r="G5776" s="182" t="n">
        <v>3.63</v>
      </c>
      <c r="H5776" s="182" t="n">
        <v>0</v>
      </c>
      <c r="I5776" s="182" t="n">
        <v>1.5</v>
      </c>
      <c r="J5776" s="182" t="n">
        <v>1.5</v>
      </c>
      <c r="K5776" s="182" t="n">
        <v>6.87</v>
      </c>
      <c r="L5776" s="182" t="n">
        <v>12</v>
      </c>
      <c r="M5776" s="182" t="n">
        <v>0</v>
      </c>
      <c r="N5776" s="182" t="n">
        <v>0</v>
      </c>
      <c r="O5776" s="183" t="n">
        <v>0</v>
      </c>
      <c r="P5776" s="183" t="n">
        <v>0</v>
      </c>
      <c r="Q5776" s="184" t="n">
        <v>0</v>
      </c>
      <c r="R5776" s="184" t="n">
        <v>0</v>
      </c>
      <c r="S5776" s="183" t="n">
        <v>0</v>
      </c>
      <c r="T5776" s="183" t="n">
        <v>0</v>
      </c>
      <c r="U5776" s="182" t="n">
        <v>0</v>
      </c>
      <c r="V5776" s="182" t="n">
        <v>0</v>
      </c>
      <c r="W5776" s="182" t="n">
        <v>0</v>
      </c>
      <c r="X5776" s="182" t="n">
        <v>1</v>
      </c>
      <c r="Y5776" s="182" t="n">
        <v>0</v>
      </c>
      <c r="Z5776" s="182" t="n">
        <v>0</v>
      </c>
      <c r="AA5776" s="182" t="n">
        <v>0</v>
      </c>
      <c r="AB5776" s="182" t="n">
        <v>0</v>
      </c>
      <c r="AC5776" s="182" t="n">
        <v>0</v>
      </c>
      <c r="AD5776" s="182" t="n">
        <v>0</v>
      </c>
      <c r="AE5776" s="182" t="n">
        <v>0</v>
      </c>
      <c r="AF5776" s="182" t="n">
        <v>0</v>
      </c>
      <c r="AG5776" s="182" t="n">
        <v>0</v>
      </c>
      <c r="AH5776" s="182" t="n">
        <v>0</v>
      </c>
      <c r="AI5776" s="182" t="n">
        <v>0</v>
      </c>
      <c r="AJ5776" s="182" t="n">
        <v>0</v>
      </c>
      <c r="AK5776" s="182" t="n">
        <v>5.79</v>
      </c>
      <c r="AL5776" s="182" t="n">
        <v>0</v>
      </c>
      <c r="AM5776" s="182" t="n">
        <v>0.08</v>
      </c>
      <c r="AN5776" s="182" t="n">
        <v>0</v>
      </c>
    </row>
    <row r="5777">
      <c r="A5777" s="155" t="n">
        <v>46108</v>
      </c>
      <c r="B5777" s="156" t="inlineStr">
        <is>
          <t>DS</t>
        </is>
      </c>
      <c r="C5777" s="156" t="inlineStr">
        <is>
          <t>GD-014</t>
        </is>
      </c>
      <c r="D5777" s="156" t="inlineStr">
        <is>
          <t>STG 335C - 10</t>
        </is>
      </c>
      <c r="E5777" s="156" t="inlineStr">
        <is>
          <t>Grader</t>
        </is>
      </c>
      <c r="F5777" s="156" t="inlineStr">
        <is>
          <t>Road Maintenance</t>
        </is>
      </c>
      <c r="G5777" s="182" t="n">
        <v>6.34</v>
      </c>
      <c r="H5777" s="182" t="n">
        <v>0</v>
      </c>
      <c r="I5777" s="182" t="n">
        <v>0</v>
      </c>
      <c r="J5777" s="182" t="n">
        <v>0</v>
      </c>
      <c r="K5777" s="182" t="n">
        <v>5.66</v>
      </c>
      <c r="L5777" s="182" t="n">
        <v>12</v>
      </c>
      <c r="M5777" s="182" t="n">
        <v>0</v>
      </c>
      <c r="N5777" s="182" t="n">
        <v>0</v>
      </c>
      <c r="O5777" s="183" t="n">
        <v>0</v>
      </c>
      <c r="P5777" s="183" t="n">
        <v>0</v>
      </c>
      <c r="Q5777" s="184" t="n">
        <v>0</v>
      </c>
      <c r="R5777" s="184" t="n">
        <v>0</v>
      </c>
      <c r="S5777" s="183" t="n">
        <v>0</v>
      </c>
      <c r="T5777" s="183" t="n">
        <v>0</v>
      </c>
      <c r="U5777" s="182" t="n">
        <v>0</v>
      </c>
      <c r="V5777" s="182" t="n">
        <v>0</v>
      </c>
      <c r="W5777" s="182" t="n">
        <v>0</v>
      </c>
      <c r="X5777" s="182" t="n">
        <v>1.05</v>
      </c>
      <c r="Y5777" s="182" t="n">
        <v>0</v>
      </c>
      <c r="Z5777" s="182" t="n">
        <v>0</v>
      </c>
      <c r="AA5777" s="182" t="n">
        <v>0</v>
      </c>
      <c r="AB5777" s="182" t="n">
        <v>0</v>
      </c>
      <c r="AC5777" s="182" t="n">
        <v>0</v>
      </c>
      <c r="AD5777" s="182" t="n">
        <v>0</v>
      </c>
      <c r="AE5777" s="182" t="n">
        <v>0</v>
      </c>
      <c r="AF5777" s="182" t="n">
        <v>0</v>
      </c>
      <c r="AG5777" s="182" t="n">
        <v>0</v>
      </c>
      <c r="AH5777" s="182" t="n">
        <v>0</v>
      </c>
      <c r="AI5777" s="182" t="n">
        <v>0</v>
      </c>
      <c r="AJ5777" s="182" t="n">
        <v>0</v>
      </c>
      <c r="AK5777" s="182" t="n">
        <v>4.53</v>
      </c>
      <c r="AL5777" s="182" t="n">
        <v>0</v>
      </c>
      <c r="AM5777" s="182" t="n">
        <v>0.08</v>
      </c>
      <c r="AN5777" s="182" t="n">
        <v>0</v>
      </c>
    </row>
    <row r="5778">
      <c r="A5778" s="155" t="n">
        <v>46108</v>
      </c>
      <c r="B5778" s="156" t="inlineStr">
        <is>
          <t>DS</t>
        </is>
      </c>
      <c r="C5778" s="156" t="inlineStr">
        <is>
          <t>DT-809</t>
        </is>
      </c>
      <c r="D5778" s="156" t="inlineStr">
        <is>
          <t>SKT 80S</t>
        </is>
      </c>
      <c r="E5778" s="156" t="inlineStr">
        <is>
          <t>Hauler</t>
        </is>
      </c>
      <c r="F5778" s="156" t="inlineStr"/>
      <c r="G5778" s="182" t="n">
        <v>0</v>
      </c>
      <c r="H5778" s="182" t="n">
        <v>0</v>
      </c>
      <c r="I5778" s="182" t="n">
        <v>12</v>
      </c>
      <c r="J5778" s="182" t="n">
        <v>12</v>
      </c>
      <c r="K5778" s="182" t="n">
        <v>0</v>
      </c>
      <c r="L5778" s="182" t="n">
        <v>12</v>
      </c>
      <c r="M5778" s="182" t="n">
        <v>0</v>
      </c>
      <c r="N5778" s="182" t="n">
        <v>0</v>
      </c>
      <c r="O5778" s="183" t="n">
        <v>0</v>
      </c>
      <c r="P5778" s="183" t="n">
        <v>0</v>
      </c>
      <c r="Q5778" s="184" t="n">
        <v>0</v>
      </c>
      <c r="R5778" s="184" t="n">
        <v>0</v>
      </c>
      <c r="S5778" s="183" t="n">
        <v>0</v>
      </c>
      <c r="T5778" s="183" t="n">
        <v>0</v>
      </c>
      <c r="U5778" s="182" t="n">
        <v>0</v>
      </c>
      <c r="V5778" s="182" t="n">
        <v>0</v>
      </c>
      <c r="W5778" s="182" t="n">
        <v>0</v>
      </c>
      <c r="X5778" s="182" t="n">
        <v>0</v>
      </c>
      <c r="Y5778" s="182" t="n">
        <v>0</v>
      </c>
      <c r="Z5778" s="182" t="n">
        <v>0</v>
      </c>
      <c r="AA5778" s="182" t="n">
        <v>0</v>
      </c>
      <c r="AB5778" s="182" t="n">
        <v>0</v>
      </c>
      <c r="AC5778" s="182" t="n">
        <v>0</v>
      </c>
      <c r="AD5778" s="182" t="n">
        <v>0</v>
      </c>
      <c r="AE5778" s="182" t="n">
        <v>0</v>
      </c>
      <c r="AF5778" s="182" t="n">
        <v>0</v>
      </c>
      <c r="AG5778" s="182" t="n">
        <v>0</v>
      </c>
      <c r="AH5778" s="182" t="n">
        <v>0</v>
      </c>
      <c r="AI5778" s="182" t="n">
        <v>0</v>
      </c>
      <c r="AJ5778" s="182" t="n">
        <v>0</v>
      </c>
      <c r="AK5778" s="182" t="n">
        <v>0</v>
      </c>
      <c r="AL5778" s="182" t="n">
        <v>0</v>
      </c>
      <c r="AM5778" s="182" t="n">
        <v>0</v>
      </c>
      <c r="AN5778" s="182" t="n">
        <v>0</v>
      </c>
    </row>
    <row r="5779">
      <c r="A5779" s="155" t="n">
        <v>46108</v>
      </c>
      <c r="B5779" s="156" t="inlineStr">
        <is>
          <t>DS</t>
        </is>
      </c>
      <c r="C5779" s="156" t="inlineStr">
        <is>
          <t>DT-806</t>
        </is>
      </c>
      <c r="D5779" s="156" t="inlineStr">
        <is>
          <t>SKT 80S</t>
        </is>
      </c>
      <c r="E5779" s="156" t="inlineStr">
        <is>
          <t>Hauler</t>
        </is>
      </c>
      <c r="F5779" s="156" t="inlineStr"/>
      <c r="G5779" s="182" t="n">
        <v>0</v>
      </c>
      <c r="H5779" s="182" t="n">
        <v>0</v>
      </c>
      <c r="I5779" s="182" t="n">
        <v>12</v>
      </c>
      <c r="J5779" s="182" t="n">
        <v>12</v>
      </c>
      <c r="K5779" s="182" t="n">
        <v>0</v>
      </c>
      <c r="L5779" s="182" t="n">
        <v>12</v>
      </c>
      <c r="M5779" s="182" t="n">
        <v>0</v>
      </c>
      <c r="N5779" s="182" t="n">
        <v>0</v>
      </c>
      <c r="O5779" s="183" t="n">
        <v>0</v>
      </c>
      <c r="P5779" s="183" t="n">
        <v>0</v>
      </c>
      <c r="Q5779" s="184" t="n">
        <v>0</v>
      </c>
      <c r="R5779" s="184" t="n">
        <v>0</v>
      </c>
      <c r="S5779" s="183" t="n">
        <v>0</v>
      </c>
      <c r="T5779" s="183" t="n">
        <v>0</v>
      </c>
      <c r="U5779" s="182" t="n">
        <v>0</v>
      </c>
      <c r="V5779" s="182" t="n">
        <v>0</v>
      </c>
      <c r="W5779" s="182" t="n">
        <v>0</v>
      </c>
      <c r="X5779" s="182" t="n">
        <v>0</v>
      </c>
      <c r="Y5779" s="182" t="n">
        <v>0</v>
      </c>
      <c r="Z5779" s="182" t="n">
        <v>0</v>
      </c>
      <c r="AA5779" s="182" t="n">
        <v>0</v>
      </c>
      <c r="AB5779" s="182" t="n">
        <v>0</v>
      </c>
      <c r="AC5779" s="182" t="n">
        <v>0</v>
      </c>
      <c r="AD5779" s="182" t="n">
        <v>0</v>
      </c>
      <c r="AE5779" s="182" t="n">
        <v>0</v>
      </c>
      <c r="AF5779" s="182" t="n">
        <v>0</v>
      </c>
      <c r="AG5779" s="182" t="n">
        <v>0</v>
      </c>
      <c r="AH5779" s="182" t="n">
        <v>0</v>
      </c>
      <c r="AI5779" s="182" t="n">
        <v>0</v>
      </c>
      <c r="AJ5779" s="182" t="n">
        <v>0</v>
      </c>
      <c r="AK5779" s="182" t="n">
        <v>0</v>
      </c>
      <c r="AL5779" s="182" t="n">
        <v>0</v>
      </c>
      <c r="AM5779" s="182" t="n">
        <v>0</v>
      </c>
      <c r="AN5779" s="182" t="n">
        <v>0</v>
      </c>
    </row>
    <row r="5780">
      <c r="A5780" s="155" t="n">
        <v>46108</v>
      </c>
      <c r="B5780" s="156" t="inlineStr">
        <is>
          <t>DS</t>
        </is>
      </c>
      <c r="C5780" s="156" t="inlineStr">
        <is>
          <t>DT-805</t>
        </is>
      </c>
      <c r="D5780" s="156" t="inlineStr">
        <is>
          <t>SKT 80S</t>
        </is>
      </c>
      <c r="E5780" s="156" t="inlineStr">
        <is>
          <t>Hauler</t>
        </is>
      </c>
      <c r="F5780" s="156" t="inlineStr"/>
      <c r="G5780" s="182" t="n">
        <v>0</v>
      </c>
      <c r="H5780" s="182" t="n">
        <v>0</v>
      </c>
      <c r="I5780" s="182" t="n">
        <v>12</v>
      </c>
      <c r="J5780" s="182" t="n">
        <v>12</v>
      </c>
      <c r="K5780" s="182" t="n">
        <v>0</v>
      </c>
      <c r="L5780" s="182" t="n">
        <v>12</v>
      </c>
      <c r="M5780" s="182" t="n">
        <v>0</v>
      </c>
      <c r="N5780" s="182" t="n">
        <v>0</v>
      </c>
      <c r="O5780" s="183" t="n">
        <v>0</v>
      </c>
      <c r="P5780" s="183" t="n">
        <v>0</v>
      </c>
      <c r="Q5780" s="184" t="n">
        <v>0</v>
      </c>
      <c r="R5780" s="184" t="n">
        <v>0</v>
      </c>
      <c r="S5780" s="183" t="n">
        <v>0</v>
      </c>
      <c r="T5780" s="183" t="n">
        <v>0</v>
      </c>
      <c r="U5780" s="182" t="n">
        <v>0</v>
      </c>
      <c r="V5780" s="182" t="n">
        <v>0</v>
      </c>
      <c r="W5780" s="182" t="n">
        <v>0</v>
      </c>
      <c r="X5780" s="182" t="n">
        <v>0</v>
      </c>
      <c r="Y5780" s="182" t="n">
        <v>0</v>
      </c>
      <c r="Z5780" s="182" t="n">
        <v>0</v>
      </c>
      <c r="AA5780" s="182" t="n">
        <v>0</v>
      </c>
      <c r="AB5780" s="182" t="n">
        <v>0</v>
      </c>
      <c r="AC5780" s="182" t="n">
        <v>0</v>
      </c>
      <c r="AD5780" s="182" t="n">
        <v>0</v>
      </c>
      <c r="AE5780" s="182" t="n">
        <v>0</v>
      </c>
      <c r="AF5780" s="182" t="n">
        <v>0</v>
      </c>
      <c r="AG5780" s="182" t="n">
        <v>0</v>
      </c>
      <c r="AH5780" s="182" t="n">
        <v>0</v>
      </c>
      <c r="AI5780" s="182" t="n">
        <v>0</v>
      </c>
      <c r="AJ5780" s="182" t="n">
        <v>0</v>
      </c>
      <c r="AK5780" s="182" t="n">
        <v>0</v>
      </c>
      <c r="AL5780" s="182" t="n">
        <v>0</v>
      </c>
      <c r="AM5780" s="182" t="n">
        <v>0</v>
      </c>
      <c r="AN5780" s="182" t="n">
        <v>0</v>
      </c>
    </row>
    <row r="5781">
      <c r="A5781" s="155" t="n">
        <v>46108</v>
      </c>
      <c r="B5781" s="156" t="inlineStr">
        <is>
          <t>DS</t>
        </is>
      </c>
      <c r="C5781" s="156" t="inlineStr">
        <is>
          <t>DT-801</t>
        </is>
      </c>
      <c r="D5781" s="156" t="inlineStr">
        <is>
          <t>SKT 80S</t>
        </is>
      </c>
      <c r="E5781" s="156" t="inlineStr">
        <is>
          <t>Hauler</t>
        </is>
      </c>
      <c r="F5781" s="156" t="inlineStr"/>
      <c r="G5781" s="182" t="n">
        <v>0</v>
      </c>
      <c r="H5781" s="182" t="n">
        <v>0</v>
      </c>
      <c r="I5781" s="182" t="n">
        <v>12</v>
      </c>
      <c r="J5781" s="182" t="n">
        <v>12</v>
      </c>
      <c r="K5781" s="182" t="n">
        <v>0</v>
      </c>
      <c r="L5781" s="182" t="n">
        <v>12</v>
      </c>
      <c r="M5781" s="182" t="n">
        <v>0</v>
      </c>
      <c r="N5781" s="182" t="n">
        <v>0</v>
      </c>
      <c r="O5781" s="183" t="n">
        <v>0</v>
      </c>
      <c r="P5781" s="183" t="n">
        <v>0</v>
      </c>
      <c r="Q5781" s="184" t="n">
        <v>0</v>
      </c>
      <c r="R5781" s="184" t="n">
        <v>0</v>
      </c>
      <c r="S5781" s="183" t="n">
        <v>0</v>
      </c>
      <c r="T5781" s="183" t="n">
        <v>0</v>
      </c>
      <c r="U5781" s="182" t="n">
        <v>0</v>
      </c>
      <c r="V5781" s="182" t="n">
        <v>0</v>
      </c>
      <c r="W5781" s="182" t="n">
        <v>0</v>
      </c>
      <c r="X5781" s="182" t="n">
        <v>0</v>
      </c>
      <c r="Y5781" s="182" t="n">
        <v>0</v>
      </c>
      <c r="Z5781" s="182" t="n">
        <v>0</v>
      </c>
      <c r="AA5781" s="182" t="n">
        <v>0</v>
      </c>
      <c r="AB5781" s="182" t="n">
        <v>0</v>
      </c>
      <c r="AC5781" s="182" t="n">
        <v>0</v>
      </c>
      <c r="AD5781" s="182" t="n">
        <v>0</v>
      </c>
      <c r="AE5781" s="182" t="n">
        <v>0</v>
      </c>
      <c r="AF5781" s="182" t="n">
        <v>0</v>
      </c>
      <c r="AG5781" s="182" t="n">
        <v>0</v>
      </c>
      <c r="AH5781" s="182" t="n">
        <v>0</v>
      </c>
      <c r="AI5781" s="182" t="n">
        <v>0</v>
      </c>
      <c r="AJ5781" s="182" t="n">
        <v>0</v>
      </c>
      <c r="AK5781" s="182" t="n">
        <v>0</v>
      </c>
      <c r="AL5781" s="182" t="n">
        <v>0</v>
      </c>
      <c r="AM5781" s="182" t="n">
        <v>0</v>
      </c>
      <c r="AN5781" s="182" t="n">
        <v>0</v>
      </c>
    </row>
    <row r="5782">
      <c r="A5782" s="155" t="n">
        <v>46108</v>
      </c>
      <c r="B5782" s="156" t="inlineStr">
        <is>
          <t>DS</t>
        </is>
      </c>
      <c r="C5782" s="156" t="inlineStr">
        <is>
          <t>DT-808</t>
        </is>
      </c>
      <c r="D5782" s="156" t="inlineStr">
        <is>
          <t>SKT 80S</t>
        </is>
      </c>
      <c r="E5782" s="156" t="inlineStr">
        <is>
          <t>Hauler</t>
        </is>
      </c>
      <c r="F5782" s="156" t="inlineStr">
        <is>
          <t>Rehandling Lumpur WP</t>
        </is>
      </c>
      <c r="G5782" s="182" t="n">
        <v>4.65</v>
      </c>
      <c r="H5782" s="182" t="n">
        <v>0</v>
      </c>
      <c r="I5782" s="182" t="n">
        <v>0</v>
      </c>
      <c r="J5782" s="182" t="n">
        <v>0</v>
      </c>
      <c r="K5782" s="182" t="n">
        <v>7.35</v>
      </c>
      <c r="L5782" s="182" t="n">
        <v>12</v>
      </c>
      <c r="M5782" s="182" t="n">
        <v>0</v>
      </c>
      <c r="N5782" s="182" t="n">
        <v>0</v>
      </c>
      <c r="O5782" s="183" t="n">
        <v>0</v>
      </c>
      <c r="P5782" s="183" t="n">
        <v>0</v>
      </c>
      <c r="Q5782" s="184" t="n">
        <v>0</v>
      </c>
      <c r="R5782" s="184" t="n">
        <v>0</v>
      </c>
      <c r="S5782" s="183" t="n">
        <v>0</v>
      </c>
      <c r="T5782" s="183" t="n">
        <v>0</v>
      </c>
      <c r="U5782" s="182" t="n">
        <v>0</v>
      </c>
      <c r="V5782" s="182" t="n">
        <v>0</v>
      </c>
      <c r="W5782" s="182" t="n">
        <v>0</v>
      </c>
      <c r="X5782" s="182" t="n">
        <v>1.02</v>
      </c>
      <c r="Y5782" s="182" t="n">
        <v>0</v>
      </c>
      <c r="Z5782" s="182" t="n">
        <v>0</v>
      </c>
      <c r="AA5782" s="182" t="n">
        <v>0</v>
      </c>
      <c r="AB5782" s="182" t="n">
        <v>0</v>
      </c>
      <c r="AC5782" s="182" t="n">
        <v>0</v>
      </c>
      <c r="AD5782" s="182" t="n">
        <v>0</v>
      </c>
      <c r="AE5782" s="182" t="n">
        <v>0</v>
      </c>
      <c r="AF5782" s="182" t="n">
        <v>0</v>
      </c>
      <c r="AG5782" s="182" t="n">
        <v>0</v>
      </c>
      <c r="AH5782" s="182" t="n">
        <v>0</v>
      </c>
      <c r="AI5782" s="182" t="n">
        <v>0</v>
      </c>
      <c r="AJ5782" s="182" t="n">
        <v>0</v>
      </c>
      <c r="AK5782" s="182" t="n">
        <v>6.25</v>
      </c>
      <c r="AL5782" s="182" t="n">
        <v>0</v>
      </c>
      <c r="AM5782" s="182" t="n">
        <v>0.08</v>
      </c>
      <c r="AN5782" s="182" t="n">
        <v>0</v>
      </c>
    </row>
    <row r="5783">
      <c r="A5783" s="155" t="n">
        <v>46108</v>
      </c>
      <c r="B5783" s="156" t="inlineStr">
        <is>
          <t>DS</t>
        </is>
      </c>
      <c r="C5783" s="156" t="inlineStr">
        <is>
          <t>DT-811</t>
        </is>
      </c>
      <c r="D5783" s="156" t="inlineStr">
        <is>
          <t>SKT 80S</t>
        </is>
      </c>
      <c r="E5783" s="156" t="inlineStr">
        <is>
          <t>Hauler</t>
        </is>
      </c>
      <c r="F5783" s="156" t="inlineStr"/>
      <c r="G5783" s="182" t="n">
        <v>0</v>
      </c>
      <c r="H5783" s="182" t="n">
        <v>0</v>
      </c>
      <c r="I5783" s="182" t="n">
        <v>12</v>
      </c>
      <c r="J5783" s="182" t="n">
        <v>12</v>
      </c>
      <c r="K5783" s="182" t="n">
        <v>0</v>
      </c>
      <c r="L5783" s="182" t="n">
        <v>12</v>
      </c>
      <c r="M5783" s="182" t="n">
        <v>0</v>
      </c>
      <c r="N5783" s="182" t="n">
        <v>0</v>
      </c>
      <c r="O5783" s="183" t="n">
        <v>0</v>
      </c>
      <c r="P5783" s="183" t="n">
        <v>0</v>
      </c>
      <c r="Q5783" s="184" t="n">
        <v>0</v>
      </c>
      <c r="R5783" s="184" t="n">
        <v>0</v>
      </c>
      <c r="S5783" s="183" t="n">
        <v>0</v>
      </c>
      <c r="T5783" s="183" t="n">
        <v>0</v>
      </c>
      <c r="U5783" s="182" t="n">
        <v>0</v>
      </c>
      <c r="V5783" s="182" t="n">
        <v>0</v>
      </c>
      <c r="W5783" s="182" t="n">
        <v>0</v>
      </c>
      <c r="X5783" s="182" t="n">
        <v>0</v>
      </c>
      <c r="Y5783" s="182" t="n">
        <v>0</v>
      </c>
      <c r="Z5783" s="182" t="n">
        <v>0</v>
      </c>
      <c r="AA5783" s="182" t="n">
        <v>0</v>
      </c>
      <c r="AB5783" s="182" t="n">
        <v>0</v>
      </c>
      <c r="AC5783" s="182" t="n">
        <v>0</v>
      </c>
      <c r="AD5783" s="182" t="n">
        <v>0</v>
      </c>
      <c r="AE5783" s="182" t="n">
        <v>0</v>
      </c>
      <c r="AF5783" s="182" t="n">
        <v>0</v>
      </c>
      <c r="AG5783" s="182" t="n">
        <v>0</v>
      </c>
      <c r="AH5783" s="182" t="n">
        <v>0</v>
      </c>
      <c r="AI5783" s="182" t="n">
        <v>0</v>
      </c>
      <c r="AJ5783" s="182" t="n">
        <v>0</v>
      </c>
      <c r="AK5783" s="182" t="n">
        <v>0</v>
      </c>
      <c r="AL5783" s="182" t="n">
        <v>0</v>
      </c>
      <c r="AM5783" s="182" t="n">
        <v>0</v>
      </c>
      <c r="AN5783" s="182" t="n">
        <v>0</v>
      </c>
    </row>
    <row r="5784">
      <c r="A5784" s="155" t="n">
        <v>46108</v>
      </c>
      <c r="B5784" s="156" t="inlineStr">
        <is>
          <t>DS</t>
        </is>
      </c>
      <c r="C5784" s="156" t="inlineStr">
        <is>
          <t>DT-802</t>
        </is>
      </c>
      <c r="D5784" s="156" t="inlineStr">
        <is>
          <t>SKT 80S</t>
        </is>
      </c>
      <c r="E5784" s="156" t="inlineStr">
        <is>
          <t>Hauler</t>
        </is>
      </c>
      <c r="F5784" s="156" t="inlineStr"/>
      <c r="G5784" s="182" t="n">
        <v>0</v>
      </c>
      <c r="H5784" s="182" t="n">
        <v>0</v>
      </c>
      <c r="I5784" s="182" t="n">
        <v>0</v>
      </c>
      <c r="J5784" s="182" t="n">
        <v>0</v>
      </c>
      <c r="K5784" s="182" t="n">
        <v>12</v>
      </c>
      <c r="L5784" s="182" t="n">
        <v>12</v>
      </c>
      <c r="M5784" s="182" t="n">
        <v>0</v>
      </c>
      <c r="N5784" s="182" t="n">
        <v>0</v>
      </c>
      <c r="O5784" s="183" t="n">
        <v>0</v>
      </c>
      <c r="P5784" s="183" t="n">
        <v>0</v>
      </c>
      <c r="Q5784" s="184" t="n">
        <v>0</v>
      </c>
      <c r="R5784" s="184" t="n">
        <v>0</v>
      </c>
      <c r="S5784" s="183" t="n">
        <v>0</v>
      </c>
      <c r="T5784" s="183" t="n">
        <v>0</v>
      </c>
      <c r="U5784" s="182" t="n">
        <v>0</v>
      </c>
      <c r="V5784" s="182" t="n">
        <v>0</v>
      </c>
      <c r="W5784" s="182" t="n">
        <v>0</v>
      </c>
      <c r="X5784" s="182" t="n">
        <v>1</v>
      </c>
      <c r="Y5784" s="182" t="n">
        <v>0</v>
      </c>
      <c r="Z5784" s="182" t="n">
        <v>0</v>
      </c>
      <c r="AA5784" s="182" t="n">
        <v>0</v>
      </c>
      <c r="AB5784" s="182" t="n">
        <v>0</v>
      </c>
      <c r="AC5784" s="182" t="n">
        <v>0</v>
      </c>
      <c r="AD5784" s="182" t="n">
        <v>0</v>
      </c>
      <c r="AE5784" s="182" t="n">
        <v>0</v>
      </c>
      <c r="AF5784" s="182" t="n">
        <v>0</v>
      </c>
      <c r="AG5784" s="182" t="n">
        <v>0</v>
      </c>
      <c r="AH5784" s="182" t="n">
        <v>0</v>
      </c>
      <c r="AI5784" s="182" t="n">
        <v>0</v>
      </c>
      <c r="AJ5784" s="182" t="n">
        <v>0</v>
      </c>
      <c r="AK5784" s="182" t="n">
        <v>10.92</v>
      </c>
      <c r="AL5784" s="182" t="n">
        <v>0</v>
      </c>
      <c r="AM5784" s="182" t="n">
        <v>0.08</v>
      </c>
      <c r="AN5784" s="182" t="n">
        <v>0</v>
      </c>
    </row>
    <row r="5785">
      <c r="A5785" s="155" t="n">
        <v>46108</v>
      </c>
      <c r="B5785" s="156" t="inlineStr">
        <is>
          <t>DS</t>
        </is>
      </c>
      <c r="C5785" s="156" t="inlineStr">
        <is>
          <t>DT-807</t>
        </is>
      </c>
      <c r="D5785" s="156" t="inlineStr">
        <is>
          <t>SKT 80S</t>
        </is>
      </c>
      <c r="E5785" s="156" t="inlineStr">
        <is>
          <t>Hauler</t>
        </is>
      </c>
      <c r="F5785" s="156" t="inlineStr">
        <is>
          <t>Hauling Coal</t>
        </is>
      </c>
      <c r="G5785" s="182" t="n">
        <v>1.63</v>
      </c>
      <c r="H5785" s="182" t="n">
        <v>0</v>
      </c>
      <c r="I5785" s="182" t="n">
        <v>0</v>
      </c>
      <c r="J5785" s="182" t="n">
        <v>0</v>
      </c>
      <c r="K5785" s="182" t="n">
        <v>10.37</v>
      </c>
      <c r="L5785" s="182" t="n">
        <v>12</v>
      </c>
      <c r="M5785" s="182" t="n">
        <v>0</v>
      </c>
      <c r="N5785" s="182" t="n">
        <v>1.63</v>
      </c>
      <c r="O5785" s="183" t="n">
        <v>0</v>
      </c>
      <c r="P5785" s="183" t="n">
        <v>3</v>
      </c>
      <c r="Q5785" s="184" t="n">
        <v>0</v>
      </c>
      <c r="R5785" s="184" t="n">
        <v>45.9</v>
      </c>
      <c r="S5785" s="183" t="n">
        <v>0</v>
      </c>
      <c r="T5785" s="183" t="n">
        <v>0</v>
      </c>
      <c r="U5785" s="182" t="n">
        <v>0</v>
      </c>
      <c r="V5785" s="182" t="n">
        <v>0</v>
      </c>
      <c r="W5785" s="182" t="n">
        <v>0</v>
      </c>
      <c r="X5785" s="182" t="n">
        <v>0.98</v>
      </c>
      <c r="Y5785" s="182" t="n">
        <v>0</v>
      </c>
      <c r="Z5785" s="182" t="n">
        <v>0</v>
      </c>
      <c r="AA5785" s="182" t="n">
        <v>0</v>
      </c>
      <c r="AB5785" s="182" t="n">
        <v>0</v>
      </c>
      <c r="AC5785" s="182" t="n">
        <v>0</v>
      </c>
      <c r="AD5785" s="182" t="n">
        <v>0</v>
      </c>
      <c r="AE5785" s="182" t="n">
        <v>0</v>
      </c>
      <c r="AF5785" s="182" t="n">
        <v>0</v>
      </c>
      <c r="AG5785" s="182" t="n">
        <v>0</v>
      </c>
      <c r="AH5785" s="182" t="n">
        <v>0.49</v>
      </c>
      <c r="AI5785" s="182" t="n">
        <v>0</v>
      </c>
      <c r="AJ5785" s="182" t="n">
        <v>0</v>
      </c>
      <c r="AK5785" s="182" t="n">
        <v>8.82</v>
      </c>
      <c r="AL5785" s="182" t="n">
        <v>0</v>
      </c>
      <c r="AM5785" s="182" t="n">
        <v>0.08</v>
      </c>
      <c r="AN5785" s="182" t="n">
        <v>0</v>
      </c>
    </row>
    <row r="5786">
      <c r="A5786" s="155" t="n">
        <v>46108</v>
      </c>
      <c r="B5786" s="156" t="inlineStr">
        <is>
          <t>DS</t>
        </is>
      </c>
      <c r="C5786" s="156" t="inlineStr">
        <is>
          <t>DT-812</t>
        </is>
      </c>
      <c r="D5786" s="156" t="inlineStr">
        <is>
          <t>SKT 80S</t>
        </is>
      </c>
      <c r="E5786" s="156" t="inlineStr">
        <is>
          <t>Hauler</t>
        </is>
      </c>
      <c r="F5786" s="156" t="inlineStr"/>
      <c r="G5786" s="182" t="n">
        <v>0</v>
      </c>
      <c r="H5786" s="182" t="n">
        <v>0</v>
      </c>
      <c r="I5786" s="182" t="n">
        <v>0</v>
      </c>
      <c r="J5786" s="182" t="n">
        <v>0</v>
      </c>
      <c r="K5786" s="182" t="n">
        <v>12</v>
      </c>
      <c r="L5786" s="182" t="n">
        <v>12</v>
      </c>
      <c r="M5786" s="182" t="n">
        <v>0</v>
      </c>
      <c r="N5786" s="182" t="n">
        <v>0</v>
      </c>
      <c r="O5786" s="183" t="n">
        <v>0</v>
      </c>
      <c r="P5786" s="183" t="n">
        <v>0</v>
      </c>
      <c r="Q5786" s="184" t="n">
        <v>0</v>
      </c>
      <c r="R5786" s="184" t="n">
        <v>0</v>
      </c>
      <c r="S5786" s="183" t="n">
        <v>0</v>
      </c>
      <c r="T5786" s="183" t="n">
        <v>0</v>
      </c>
      <c r="U5786" s="182" t="n">
        <v>0</v>
      </c>
      <c r="V5786" s="182" t="n">
        <v>0</v>
      </c>
      <c r="W5786" s="182" t="n">
        <v>0</v>
      </c>
      <c r="X5786" s="182" t="n">
        <v>1</v>
      </c>
      <c r="Y5786" s="182" t="n">
        <v>0</v>
      </c>
      <c r="Z5786" s="182" t="n">
        <v>0</v>
      </c>
      <c r="AA5786" s="182" t="n">
        <v>0</v>
      </c>
      <c r="AB5786" s="182" t="n">
        <v>0</v>
      </c>
      <c r="AC5786" s="182" t="n">
        <v>0</v>
      </c>
      <c r="AD5786" s="182" t="n">
        <v>0</v>
      </c>
      <c r="AE5786" s="182" t="n">
        <v>0</v>
      </c>
      <c r="AF5786" s="182" t="n">
        <v>0</v>
      </c>
      <c r="AG5786" s="182" t="n">
        <v>0</v>
      </c>
      <c r="AH5786" s="182" t="n">
        <v>0</v>
      </c>
      <c r="AI5786" s="182" t="n">
        <v>0</v>
      </c>
      <c r="AJ5786" s="182" t="n">
        <v>0</v>
      </c>
      <c r="AK5786" s="182" t="n">
        <v>10.92</v>
      </c>
      <c r="AL5786" s="182" t="n">
        <v>0</v>
      </c>
      <c r="AM5786" s="182" t="n">
        <v>0.08</v>
      </c>
      <c r="AN5786" s="182" t="n">
        <v>0</v>
      </c>
    </row>
    <row r="5787">
      <c r="A5787" s="155" t="n">
        <v>46108</v>
      </c>
      <c r="B5787" s="156" t="inlineStr">
        <is>
          <t>DS</t>
        </is>
      </c>
      <c r="C5787" s="156" t="inlineStr">
        <is>
          <t>DT-803</t>
        </is>
      </c>
      <c r="D5787" s="156" t="inlineStr">
        <is>
          <t>SKT 80S</t>
        </is>
      </c>
      <c r="E5787" s="156" t="inlineStr">
        <is>
          <t>Hauler</t>
        </is>
      </c>
      <c r="F5787" s="156" t="inlineStr"/>
      <c r="G5787" s="182" t="n">
        <v>0</v>
      </c>
      <c r="H5787" s="182" t="n">
        <v>0</v>
      </c>
      <c r="I5787" s="182" t="n">
        <v>0</v>
      </c>
      <c r="J5787" s="182" t="n">
        <v>0</v>
      </c>
      <c r="K5787" s="182" t="n">
        <v>12</v>
      </c>
      <c r="L5787" s="182" t="n">
        <v>12</v>
      </c>
      <c r="M5787" s="182" t="n">
        <v>0</v>
      </c>
      <c r="N5787" s="182" t="n">
        <v>0</v>
      </c>
      <c r="O5787" s="183" t="n">
        <v>0</v>
      </c>
      <c r="P5787" s="183" t="n">
        <v>0</v>
      </c>
      <c r="Q5787" s="184" t="n">
        <v>0</v>
      </c>
      <c r="R5787" s="184" t="n">
        <v>0</v>
      </c>
      <c r="S5787" s="183" t="n">
        <v>0</v>
      </c>
      <c r="T5787" s="183" t="n">
        <v>0</v>
      </c>
      <c r="U5787" s="182" t="n">
        <v>0</v>
      </c>
      <c r="V5787" s="182" t="n">
        <v>0</v>
      </c>
      <c r="W5787" s="182" t="n">
        <v>0</v>
      </c>
      <c r="X5787" s="182" t="n">
        <v>1</v>
      </c>
      <c r="Y5787" s="182" t="n">
        <v>0</v>
      </c>
      <c r="Z5787" s="182" t="n">
        <v>0</v>
      </c>
      <c r="AA5787" s="182" t="n">
        <v>0</v>
      </c>
      <c r="AB5787" s="182" t="n">
        <v>0</v>
      </c>
      <c r="AC5787" s="182" t="n">
        <v>0</v>
      </c>
      <c r="AD5787" s="182" t="n">
        <v>0</v>
      </c>
      <c r="AE5787" s="182" t="n">
        <v>0</v>
      </c>
      <c r="AF5787" s="182" t="n">
        <v>0</v>
      </c>
      <c r="AG5787" s="182" t="n">
        <v>0</v>
      </c>
      <c r="AH5787" s="182" t="n">
        <v>0</v>
      </c>
      <c r="AI5787" s="182" t="n">
        <v>0</v>
      </c>
      <c r="AJ5787" s="182" t="n">
        <v>0</v>
      </c>
      <c r="AK5787" s="182" t="n">
        <v>10.92</v>
      </c>
      <c r="AL5787" s="182" t="n">
        <v>0</v>
      </c>
      <c r="AM5787" s="182" t="n">
        <v>0.08</v>
      </c>
      <c r="AN5787" s="182" t="n">
        <v>0</v>
      </c>
    </row>
    <row r="5788">
      <c r="A5788" s="155" t="n">
        <v>46108</v>
      </c>
      <c r="B5788" s="156" t="inlineStr">
        <is>
          <t>DS</t>
        </is>
      </c>
      <c r="C5788" s="156" t="inlineStr">
        <is>
          <t>DT-810</t>
        </is>
      </c>
      <c r="D5788" s="156" t="inlineStr">
        <is>
          <t>SKT 80S</t>
        </is>
      </c>
      <c r="E5788" s="156" t="inlineStr">
        <is>
          <t>Hauler</t>
        </is>
      </c>
      <c r="F5788" s="156" t="inlineStr"/>
      <c r="G5788" s="182" t="n">
        <v>0</v>
      </c>
      <c r="H5788" s="182" t="n">
        <v>0</v>
      </c>
      <c r="I5788" s="182" t="n">
        <v>0</v>
      </c>
      <c r="J5788" s="182" t="n">
        <v>0</v>
      </c>
      <c r="K5788" s="182" t="n">
        <v>12</v>
      </c>
      <c r="L5788" s="182" t="n">
        <v>12</v>
      </c>
      <c r="M5788" s="182" t="n">
        <v>0</v>
      </c>
      <c r="N5788" s="182" t="n">
        <v>0</v>
      </c>
      <c r="O5788" s="183" t="n">
        <v>0</v>
      </c>
      <c r="P5788" s="183" t="n">
        <v>0</v>
      </c>
      <c r="Q5788" s="184" t="n">
        <v>0</v>
      </c>
      <c r="R5788" s="184" t="n">
        <v>0</v>
      </c>
      <c r="S5788" s="183" t="n">
        <v>0</v>
      </c>
      <c r="T5788" s="183" t="n">
        <v>0</v>
      </c>
      <c r="U5788" s="182" t="n">
        <v>0</v>
      </c>
      <c r="V5788" s="182" t="n">
        <v>0</v>
      </c>
      <c r="W5788" s="182" t="n">
        <v>0</v>
      </c>
      <c r="X5788" s="182" t="n">
        <v>1</v>
      </c>
      <c r="Y5788" s="182" t="n">
        <v>0</v>
      </c>
      <c r="Z5788" s="182" t="n">
        <v>0</v>
      </c>
      <c r="AA5788" s="182" t="n">
        <v>0</v>
      </c>
      <c r="AB5788" s="182" t="n">
        <v>0</v>
      </c>
      <c r="AC5788" s="182" t="n">
        <v>0</v>
      </c>
      <c r="AD5788" s="182" t="n">
        <v>0</v>
      </c>
      <c r="AE5788" s="182" t="n">
        <v>0</v>
      </c>
      <c r="AF5788" s="182" t="n">
        <v>0</v>
      </c>
      <c r="AG5788" s="182" t="n">
        <v>0</v>
      </c>
      <c r="AH5788" s="182" t="n">
        <v>0</v>
      </c>
      <c r="AI5788" s="182" t="n">
        <v>0</v>
      </c>
      <c r="AJ5788" s="182" t="n">
        <v>0</v>
      </c>
      <c r="AK5788" s="182" t="n">
        <v>10.92</v>
      </c>
      <c r="AL5788" s="182" t="n">
        <v>0</v>
      </c>
      <c r="AM5788" s="182" t="n">
        <v>0.08</v>
      </c>
      <c r="AN5788" s="182" t="n">
        <v>0</v>
      </c>
    </row>
    <row r="5789">
      <c r="A5789" s="155" t="n">
        <v>46108</v>
      </c>
      <c r="B5789" s="156" t="inlineStr">
        <is>
          <t>DS</t>
        </is>
      </c>
      <c r="C5789" s="156" t="inlineStr">
        <is>
          <t>DT-804</t>
        </is>
      </c>
      <c r="D5789" s="156" t="inlineStr">
        <is>
          <t>SKT 80S</t>
        </is>
      </c>
      <c r="E5789" s="156" t="inlineStr">
        <is>
          <t>Hauler</t>
        </is>
      </c>
      <c r="F5789" s="156" t="inlineStr">
        <is>
          <t>Rehandling Lumpur WP</t>
        </is>
      </c>
      <c r="G5789" s="182" t="n">
        <v>4.19</v>
      </c>
      <c r="H5789" s="182" t="n">
        <v>0</v>
      </c>
      <c r="I5789" s="182" t="n">
        <v>0</v>
      </c>
      <c r="J5789" s="182" t="n">
        <v>0</v>
      </c>
      <c r="K5789" s="182" t="n">
        <v>7.81</v>
      </c>
      <c r="L5789" s="182" t="n">
        <v>12</v>
      </c>
      <c r="M5789" s="182" t="n">
        <v>0</v>
      </c>
      <c r="N5789" s="182" t="n">
        <v>0</v>
      </c>
      <c r="O5789" s="183" t="n">
        <v>0</v>
      </c>
      <c r="P5789" s="183" t="n">
        <v>0</v>
      </c>
      <c r="Q5789" s="184" t="n">
        <v>0</v>
      </c>
      <c r="R5789" s="184" t="n">
        <v>0</v>
      </c>
      <c r="S5789" s="183" t="n">
        <v>0</v>
      </c>
      <c r="T5789" s="183" t="n">
        <v>0</v>
      </c>
      <c r="U5789" s="182" t="n">
        <v>0</v>
      </c>
      <c r="V5789" s="182" t="n">
        <v>0</v>
      </c>
      <c r="W5789" s="182" t="n">
        <v>0</v>
      </c>
      <c r="X5789" s="182" t="n">
        <v>1</v>
      </c>
      <c r="Y5789" s="182" t="n">
        <v>0</v>
      </c>
      <c r="Z5789" s="182" t="n">
        <v>0</v>
      </c>
      <c r="AA5789" s="182" t="n">
        <v>0</v>
      </c>
      <c r="AB5789" s="182" t="n">
        <v>0</v>
      </c>
      <c r="AC5789" s="182" t="n">
        <v>0</v>
      </c>
      <c r="AD5789" s="182" t="n">
        <v>0</v>
      </c>
      <c r="AE5789" s="182" t="n">
        <v>0</v>
      </c>
      <c r="AF5789" s="182" t="n">
        <v>0</v>
      </c>
      <c r="AG5789" s="182" t="n">
        <v>0</v>
      </c>
      <c r="AH5789" s="182" t="n">
        <v>0</v>
      </c>
      <c r="AI5789" s="182" t="n">
        <v>0</v>
      </c>
      <c r="AJ5789" s="182" t="n">
        <v>0</v>
      </c>
      <c r="AK5789" s="182" t="n">
        <v>6.73</v>
      </c>
      <c r="AL5789" s="182" t="n">
        <v>0</v>
      </c>
      <c r="AM5789" s="182" t="n">
        <v>0.08</v>
      </c>
      <c r="AN5789" s="182" t="n">
        <v>0</v>
      </c>
    </row>
    <row r="5790">
      <c r="A5790" s="155" t="n">
        <v>46108</v>
      </c>
      <c r="B5790" s="156" t="inlineStr">
        <is>
          <t>DS</t>
        </is>
      </c>
      <c r="C5790" s="156" t="inlineStr">
        <is>
          <t>DT-505</t>
        </is>
      </c>
      <c r="D5790" s="156" t="inlineStr">
        <is>
          <t>SKT 105S</t>
        </is>
      </c>
      <c r="E5790" s="156" t="inlineStr">
        <is>
          <t>Hauler</t>
        </is>
      </c>
      <c r="F5790" s="156" t="inlineStr">
        <is>
          <t>Hauling OB</t>
        </is>
      </c>
      <c r="G5790" s="182" t="n">
        <v>4.67</v>
      </c>
      <c r="H5790" s="182" t="n">
        <v>0</v>
      </c>
      <c r="I5790" s="182" t="n">
        <v>4.33</v>
      </c>
      <c r="J5790" s="182" t="n">
        <v>4.33</v>
      </c>
      <c r="K5790" s="182" t="n">
        <v>3</v>
      </c>
      <c r="L5790" s="182" t="n">
        <v>12</v>
      </c>
      <c r="M5790" s="182" t="n">
        <v>4.67</v>
      </c>
      <c r="N5790" s="182" t="n">
        <v>0</v>
      </c>
      <c r="O5790" s="183" t="n">
        <v>16</v>
      </c>
      <c r="P5790" s="183" t="n">
        <v>0</v>
      </c>
      <c r="Q5790" s="184" t="n">
        <v>326.4</v>
      </c>
      <c r="R5790" s="184" t="n">
        <v>0</v>
      </c>
      <c r="S5790" s="183" t="n">
        <v>0</v>
      </c>
      <c r="T5790" s="183" t="n">
        <v>0</v>
      </c>
      <c r="U5790" s="182" t="n">
        <v>0</v>
      </c>
      <c r="V5790" s="182" t="n">
        <v>0</v>
      </c>
      <c r="W5790" s="182" t="n">
        <v>0</v>
      </c>
      <c r="X5790" s="182" t="n">
        <v>0</v>
      </c>
      <c r="Y5790" s="182" t="n">
        <v>0</v>
      </c>
      <c r="Z5790" s="182" t="n">
        <v>0.07000000000000001</v>
      </c>
      <c r="AA5790" s="182" t="n">
        <v>0</v>
      </c>
      <c r="AB5790" s="182" t="n">
        <v>0</v>
      </c>
      <c r="AC5790" s="182" t="n">
        <v>0</v>
      </c>
      <c r="AD5790" s="182" t="n">
        <v>0</v>
      </c>
      <c r="AE5790" s="182" t="n">
        <v>0</v>
      </c>
      <c r="AF5790" s="182" t="n">
        <v>0</v>
      </c>
      <c r="AG5790" s="182" t="n">
        <v>0</v>
      </c>
      <c r="AH5790" s="182" t="n">
        <v>0</v>
      </c>
      <c r="AI5790" s="182" t="n">
        <v>0</v>
      </c>
      <c r="AJ5790" s="182" t="n">
        <v>0</v>
      </c>
      <c r="AK5790" s="182" t="n">
        <v>2.84</v>
      </c>
      <c r="AL5790" s="182" t="n">
        <v>0</v>
      </c>
      <c r="AM5790" s="182" t="n">
        <v>0.08</v>
      </c>
      <c r="AN5790" s="182" t="n">
        <v>0</v>
      </c>
    </row>
    <row r="5791">
      <c r="A5791" s="155" t="n">
        <v>46108</v>
      </c>
      <c r="B5791" s="156" t="inlineStr">
        <is>
          <t>DS</t>
        </is>
      </c>
      <c r="C5791" s="156" t="inlineStr">
        <is>
          <t>DT-530</t>
        </is>
      </c>
      <c r="D5791" s="156" t="inlineStr">
        <is>
          <t>SKT 105S</t>
        </is>
      </c>
      <c r="E5791" s="156" t="inlineStr">
        <is>
          <t>Hauler</t>
        </is>
      </c>
      <c r="F5791" s="156" t="inlineStr"/>
      <c r="G5791" s="182" t="n">
        <v>0</v>
      </c>
      <c r="H5791" s="182" t="n">
        <v>0</v>
      </c>
      <c r="I5791" s="182" t="n">
        <v>12</v>
      </c>
      <c r="J5791" s="182" t="n">
        <v>12</v>
      </c>
      <c r="K5791" s="182" t="n">
        <v>0</v>
      </c>
      <c r="L5791" s="182" t="n">
        <v>12</v>
      </c>
      <c r="M5791" s="182" t="n">
        <v>0</v>
      </c>
      <c r="N5791" s="182" t="n">
        <v>0</v>
      </c>
      <c r="O5791" s="183" t="n">
        <v>0</v>
      </c>
      <c r="P5791" s="183" t="n">
        <v>0</v>
      </c>
      <c r="Q5791" s="184" t="n">
        <v>0</v>
      </c>
      <c r="R5791" s="184" t="n">
        <v>0</v>
      </c>
      <c r="S5791" s="183" t="n">
        <v>0</v>
      </c>
      <c r="T5791" s="183" t="n">
        <v>0</v>
      </c>
      <c r="U5791" s="182" t="n">
        <v>0</v>
      </c>
      <c r="V5791" s="182" t="n">
        <v>0</v>
      </c>
      <c r="W5791" s="182" t="n">
        <v>0</v>
      </c>
      <c r="X5791" s="182" t="n">
        <v>0</v>
      </c>
      <c r="Y5791" s="182" t="n">
        <v>0</v>
      </c>
      <c r="Z5791" s="182" t="n">
        <v>0</v>
      </c>
      <c r="AA5791" s="182" t="n">
        <v>0</v>
      </c>
      <c r="AB5791" s="182" t="n">
        <v>0</v>
      </c>
      <c r="AC5791" s="182" t="n">
        <v>0</v>
      </c>
      <c r="AD5791" s="182" t="n">
        <v>0</v>
      </c>
      <c r="AE5791" s="182" t="n">
        <v>0</v>
      </c>
      <c r="AF5791" s="182" t="n">
        <v>0</v>
      </c>
      <c r="AG5791" s="182" t="n">
        <v>0</v>
      </c>
      <c r="AH5791" s="182" t="n">
        <v>0</v>
      </c>
      <c r="AI5791" s="182" t="n">
        <v>0</v>
      </c>
      <c r="AJ5791" s="182" t="n">
        <v>0</v>
      </c>
      <c r="AK5791" s="182" t="n">
        <v>0</v>
      </c>
      <c r="AL5791" s="182" t="n">
        <v>0</v>
      </c>
      <c r="AM5791" s="182" t="n">
        <v>0</v>
      </c>
      <c r="AN5791" s="182" t="n">
        <v>0</v>
      </c>
    </row>
    <row r="5792">
      <c r="A5792" s="155" t="n">
        <v>46108</v>
      </c>
      <c r="B5792" s="156" t="inlineStr">
        <is>
          <t>DS</t>
        </is>
      </c>
      <c r="C5792" s="156" t="inlineStr">
        <is>
          <t>DT-525</t>
        </is>
      </c>
      <c r="D5792" s="156" t="inlineStr">
        <is>
          <t>SKT 105S</t>
        </is>
      </c>
      <c r="E5792" s="156" t="inlineStr">
        <is>
          <t>Hauler</t>
        </is>
      </c>
      <c r="F5792" s="156" t="inlineStr"/>
      <c r="G5792" s="182" t="n">
        <v>0</v>
      </c>
      <c r="H5792" s="182" t="n">
        <v>0</v>
      </c>
      <c r="I5792" s="182" t="n">
        <v>12</v>
      </c>
      <c r="J5792" s="182" t="n">
        <v>12</v>
      </c>
      <c r="K5792" s="182" t="n">
        <v>0</v>
      </c>
      <c r="L5792" s="182" t="n">
        <v>12</v>
      </c>
      <c r="M5792" s="182" t="n">
        <v>0</v>
      </c>
      <c r="N5792" s="182" t="n">
        <v>0</v>
      </c>
      <c r="O5792" s="183" t="n">
        <v>0</v>
      </c>
      <c r="P5792" s="183" t="n">
        <v>0</v>
      </c>
      <c r="Q5792" s="184" t="n">
        <v>0</v>
      </c>
      <c r="R5792" s="184" t="n">
        <v>0</v>
      </c>
      <c r="S5792" s="183" t="n">
        <v>0</v>
      </c>
      <c r="T5792" s="183" t="n">
        <v>0</v>
      </c>
      <c r="U5792" s="182" t="n">
        <v>0</v>
      </c>
      <c r="V5792" s="182" t="n">
        <v>0</v>
      </c>
      <c r="W5792" s="182" t="n">
        <v>0</v>
      </c>
      <c r="X5792" s="182" t="n">
        <v>0</v>
      </c>
      <c r="Y5792" s="182" t="n">
        <v>0</v>
      </c>
      <c r="Z5792" s="182" t="n">
        <v>0</v>
      </c>
      <c r="AA5792" s="182" t="n">
        <v>0</v>
      </c>
      <c r="AB5792" s="182" t="n">
        <v>0</v>
      </c>
      <c r="AC5792" s="182" t="n">
        <v>0</v>
      </c>
      <c r="AD5792" s="182" t="n">
        <v>0</v>
      </c>
      <c r="AE5792" s="182" t="n">
        <v>0</v>
      </c>
      <c r="AF5792" s="182" t="n">
        <v>0</v>
      </c>
      <c r="AG5792" s="182" t="n">
        <v>0</v>
      </c>
      <c r="AH5792" s="182" t="n">
        <v>0</v>
      </c>
      <c r="AI5792" s="182" t="n">
        <v>0</v>
      </c>
      <c r="AJ5792" s="182" t="n">
        <v>0</v>
      </c>
      <c r="AK5792" s="182" t="n">
        <v>0</v>
      </c>
      <c r="AL5792" s="182" t="n">
        <v>0</v>
      </c>
      <c r="AM5792" s="182" t="n">
        <v>0</v>
      </c>
      <c r="AN5792" s="182" t="n">
        <v>0</v>
      </c>
    </row>
    <row r="5793">
      <c r="A5793" s="155" t="n">
        <v>46108</v>
      </c>
      <c r="B5793" s="156" t="inlineStr">
        <is>
          <t>DS</t>
        </is>
      </c>
      <c r="C5793" s="156" t="inlineStr">
        <is>
          <t>DT-503</t>
        </is>
      </c>
      <c r="D5793" s="156" t="inlineStr">
        <is>
          <t>SKT 105S</t>
        </is>
      </c>
      <c r="E5793" s="156" t="inlineStr">
        <is>
          <t>Hauler</t>
        </is>
      </c>
      <c r="F5793" s="156" t="inlineStr">
        <is>
          <t>Hauling OB</t>
        </is>
      </c>
      <c r="G5793" s="182" t="n">
        <v>9.02</v>
      </c>
      <c r="H5793" s="182" t="n">
        <v>0</v>
      </c>
      <c r="I5793" s="182" t="n">
        <v>2.17</v>
      </c>
      <c r="J5793" s="182" t="n">
        <v>2.17</v>
      </c>
      <c r="K5793" s="182" t="n">
        <v>0.8100000000000001</v>
      </c>
      <c r="L5793" s="182" t="n">
        <v>12</v>
      </c>
      <c r="M5793" s="182" t="n">
        <v>8.789999999999999</v>
      </c>
      <c r="N5793" s="182" t="n">
        <v>0</v>
      </c>
      <c r="O5793" s="183" t="n">
        <v>27</v>
      </c>
      <c r="P5793" s="183" t="n">
        <v>0</v>
      </c>
      <c r="Q5793" s="184" t="n">
        <v>550.8</v>
      </c>
      <c r="R5793" s="184" t="n">
        <v>0</v>
      </c>
      <c r="S5793" s="183" t="n">
        <v>0</v>
      </c>
      <c r="T5793" s="183" t="n">
        <v>0</v>
      </c>
      <c r="U5793" s="182" t="n">
        <v>0</v>
      </c>
      <c r="V5793" s="182" t="n">
        <v>0</v>
      </c>
      <c r="W5793" s="182" t="n">
        <v>0</v>
      </c>
      <c r="X5793" s="182" t="n">
        <v>0</v>
      </c>
      <c r="Y5793" s="182" t="n">
        <v>0</v>
      </c>
      <c r="Z5793" s="182" t="n">
        <v>0</v>
      </c>
      <c r="AA5793" s="182" t="n">
        <v>0</v>
      </c>
      <c r="AB5793" s="182" t="n">
        <v>0</v>
      </c>
      <c r="AC5793" s="182" t="n">
        <v>0</v>
      </c>
      <c r="AD5793" s="182" t="n">
        <v>0</v>
      </c>
      <c r="AE5793" s="182" t="n">
        <v>0</v>
      </c>
      <c r="AF5793" s="182" t="n">
        <v>0</v>
      </c>
      <c r="AG5793" s="182" t="n">
        <v>0</v>
      </c>
      <c r="AH5793" s="182" t="n">
        <v>0</v>
      </c>
      <c r="AI5793" s="182" t="n">
        <v>0.73</v>
      </c>
      <c r="AJ5793" s="182" t="n">
        <v>0</v>
      </c>
      <c r="AK5793" s="182" t="n">
        <v>0</v>
      </c>
      <c r="AL5793" s="182" t="n">
        <v>0</v>
      </c>
      <c r="AM5793" s="182" t="n">
        <v>0.08</v>
      </c>
      <c r="AN5793" s="182" t="n">
        <v>0</v>
      </c>
    </row>
    <row r="5794">
      <c r="A5794" s="155" t="n">
        <v>46108</v>
      </c>
      <c r="B5794" s="156" t="inlineStr">
        <is>
          <t>DS</t>
        </is>
      </c>
      <c r="C5794" s="156" t="inlineStr">
        <is>
          <t>DT-504</t>
        </is>
      </c>
      <c r="D5794" s="156" t="inlineStr">
        <is>
          <t>SKT 105S</t>
        </is>
      </c>
      <c r="E5794" s="156" t="inlineStr">
        <is>
          <t>Hauler</t>
        </is>
      </c>
      <c r="F5794" s="156" t="inlineStr">
        <is>
          <t>Hauling OB</t>
        </is>
      </c>
      <c r="G5794" s="182" t="n">
        <v>7.54</v>
      </c>
      <c r="H5794" s="182" t="n">
        <v>0</v>
      </c>
      <c r="I5794" s="182" t="n">
        <v>0</v>
      </c>
      <c r="J5794" s="182" t="n">
        <v>0</v>
      </c>
      <c r="K5794" s="182" t="n">
        <v>4.46</v>
      </c>
      <c r="L5794" s="182" t="n">
        <v>12</v>
      </c>
      <c r="M5794" s="182" t="n">
        <v>7.54</v>
      </c>
      <c r="N5794" s="182" t="n">
        <v>0</v>
      </c>
      <c r="O5794" s="183" t="n">
        <v>27</v>
      </c>
      <c r="P5794" s="183" t="n">
        <v>0</v>
      </c>
      <c r="Q5794" s="184" t="n">
        <v>550.8</v>
      </c>
      <c r="R5794" s="184" t="n">
        <v>0</v>
      </c>
      <c r="S5794" s="183" t="n">
        <v>0</v>
      </c>
      <c r="T5794" s="183" t="n">
        <v>0</v>
      </c>
      <c r="U5794" s="182" t="n">
        <v>0</v>
      </c>
      <c r="V5794" s="182" t="n">
        <v>0</v>
      </c>
      <c r="W5794" s="182" t="n">
        <v>0</v>
      </c>
      <c r="X5794" s="182" t="n">
        <v>1.04</v>
      </c>
      <c r="Y5794" s="182" t="n">
        <v>0</v>
      </c>
      <c r="Z5794" s="182" t="n">
        <v>0.07000000000000001</v>
      </c>
      <c r="AA5794" s="182" t="n">
        <v>0</v>
      </c>
      <c r="AB5794" s="182" t="n">
        <v>0</v>
      </c>
      <c r="AC5794" s="182" t="n">
        <v>0</v>
      </c>
      <c r="AD5794" s="182" t="n">
        <v>0.29</v>
      </c>
      <c r="AE5794" s="182" t="n">
        <v>0</v>
      </c>
      <c r="AF5794" s="182" t="n">
        <v>0</v>
      </c>
      <c r="AG5794" s="182" t="n">
        <v>0</v>
      </c>
      <c r="AH5794" s="182" t="n">
        <v>0.9</v>
      </c>
      <c r="AI5794" s="182" t="n">
        <v>0</v>
      </c>
      <c r="AJ5794" s="182" t="n">
        <v>0</v>
      </c>
      <c r="AK5794" s="182" t="n">
        <v>2.07</v>
      </c>
      <c r="AL5794" s="182" t="n">
        <v>0</v>
      </c>
      <c r="AM5794" s="182" t="n">
        <v>0.08</v>
      </c>
      <c r="AN5794" s="182" t="n">
        <v>0</v>
      </c>
    </row>
    <row r="5795">
      <c r="A5795" s="155" t="n">
        <v>46108</v>
      </c>
      <c r="B5795" s="156" t="inlineStr">
        <is>
          <t>DS</t>
        </is>
      </c>
      <c r="C5795" s="156" t="inlineStr">
        <is>
          <t>DT-507</t>
        </is>
      </c>
      <c r="D5795" s="156" t="inlineStr">
        <is>
          <t>SKT 105S</t>
        </is>
      </c>
      <c r="E5795" s="156" t="inlineStr">
        <is>
          <t>Hauler</t>
        </is>
      </c>
      <c r="F5795" s="156" t="inlineStr"/>
      <c r="G5795" s="182" t="n">
        <v>0</v>
      </c>
      <c r="H5795" s="182" t="n">
        <v>0</v>
      </c>
      <c r="I5795" s="182" t="n">
        <v>12</v>
      </c>
      <c r="J5795" s="182" t="n">
        <v>12</v>
      </c>
      <c r="K5795" s="182" t="n">
        <v>0</v>
      </c>
      <c r="L5795" s="182" t="n">
        <v>12</v>
      </c>
      <c r="M5795" s="182" t="n">
        <v>0</v>
      </c>
      <c r="N5795" s="182" t="n">
        <v>0</v>
      </c>
      <c r="O5795" s="183" t="n">
        <v>0</v>
      </c>
      <c r="P5795" s="183" t="n">
        <v>0</v>
      </c>
      <c r="Q5795" s="184" t="n">
        <v>0</v>
      </c>
      <c r="R5795" s="184" t="n">
        <v>0</v>
      </c>
      <c r="S5795" s="183" t="n">
        <v>0</v>
      </c>
      <c r="T5795" s="183" t="n">
        <v>0</v>
      </c>
      <c r="U5795" s="182" t="n">
        <v>0</v>
      </c>
      <c r="V5795" s="182" t="n">
        <v>0</v>
      </c>
      <c r="W5795" s="182" t="n">
        <v>0</v>
      </c>
      <c r="X5795" s="182" t="n">
        <v>0</v>
      </c>
      <c r="Y5795" s="182" t="n">
        <v>0</v>
      </c>
      <c r="Z5795" s="182" t="n">
        <v>0</v>
      </c>
      <c r="AA5795" s="182" t="n">
        <v>0</v>
      </c>
      <c r="AB5795" s="182" t="n">
        <v>0</v>
      </c>
      <c r="AC5795" s="182" t="n">
        <v>0</v>
      </c>
      <c r="AD5795" s="182" t="n">
        <v>0</v>
      </c>
      <c r="AE5795" s="182" t="n">
        <v>0</v>
      </c>
      <c r="AF5795" s="182" t="n">
        <v>0</v>
      </c>
      <c r="AG5795" s="182" t="n">
        <v>0</v>
      </c>
      <c r="AH5795" s="182" t="n">
        <v>0</v>
      </c>
      <c r="AI5795" s="182" t="n">
        <v>0</v>
      </c>
      <c r="AJ5795" s="182" t="n">
        <v>0</v>
      </c>
      <c r="AK5795" s="182" t="n">
        <v>0</v>
      </c>
      <c r="AL5795" s="182" t="n">
        <v>0</v>
      </c>
      <c r="AM5795" s="182" t="n">
        <v>0</v>
      </c>
      <c r="AN5795" s="182" t="n">
        <v>0</v>
      </c>
    </row>
    <row r="5796">
      <c r="A5796" s="155" t="n">
        <v>46108</v>
      </c>
      <c r="B5796" s="156" t="inlineStr">
        <is>
          <t>DS</t>
        </is>
      </c>
      <c r="C5796" s="156" t="inlineStr">
        <is>
          <t>DT-501</t>
        </is>
      </c>
      <c r="D5796" s="156" t="inlineStr">
        <is>
          <t>SKT 105S</t>
        </is>
      </c>
      <c r="E5796" s="156" t="inlineStr">
        <is>
          <t>Hauler</t>
        </is>
      </c>
      <c r="F5796" s="156" t="inlineStr">
        <is>
          <t>Hauling OB</t>
        </is>
      </c>
      <c r="G5796" s="182" t="n">
        <v>2.8</v>
      </c>
      <c r="H5796" s="182" t="n">
        <v>0</v>
      </c>
      <c r="I5796" s="182" t="n">
        <v>5.5</v>
      </c>
      <c r="J5796" s="182" t="n">
        <v>5.5</v>
      </c>
      <c r="K5796" s="182" t="n">
        <v>3.7</v>
      </c>
      <c r="L5796" s="182" t="n">
        <v>12</v>
      </c>
      <c r="M5796" s="182" t="n">
        <v>2.8</v>
      </c>
      <c r="N5796" s="182" t="n">
        <v>0</v>
      </c>
      <c r="O5796" s="183" t="n">
        <v>1</v>
      </c>
      <c r="P5796" s="183" t="n">
        <v>0</v>
      </c>
      <c r="Q5796" s="184" t="n">
        <v>20.4</v>
      </c>
      <c r="R5796" s="184" t="n">
        <v>0</v>
      </c>
      <c r="S5796" s="183" t="n">
        <v>0</v>
      </c>
      <c r="T5796" s="183" t="n">
        <v>0</v>
      </c>
      <c r="U5796" s="182" t="n">
        <v>0</v>
      </c>
      <c r="V5796" s="182" t="n">
        <v>0</v>
      </c>
      <c r="W5796" s="182" t="n">
        <v>0</v>
      </c>
      <c r="X5796" s="182" t="n">
        <v>0</v>
      </c>
      <c r="Y5796" s="182" t="n">
        <v>0</v>
      </c>
      <c r="Z5796" s="182" t="n">
        <v>0.06</v>
      </c>
      <c r="AA5796" s="182" t="n">
        <v>0</v>
      </c>
      <c r="AB5796" s="182" t="n">
        <v>0</v>
      </c>
      <c r="AC5796" s="182" t="n">
        <v>0</v>
      </c>
      <c r="AD5796" s="182" t="n">
        <v>0</v>
      </c>
      <c r="AE5796" s="182" t="n">
        <v>0</v>
      </c>
      <c r="AF5796" s="182" t="n">
        <v>0</v>
      </c>
      <c r="AG5796" s="182" t="n">
        <v>0</v>
      </c>
      <c r="AH5796" s="182" t="n">
        <v>0</v>
      </c>
      <c r="AI5796" s="182" t="n">
        <v>0</v>
      </c>
      <c r="AJ5796" s="182" t="n">
        <v>0</v>
      </c>
      <c r="AK5796" s="182" t="n">
        <v>3.56</v>
      </c>
      <c r="AL5796" s="182" t="n">
        <v>0</v>
      </c>
      <c r="AM5796" s="182" t="n">
        <v>0.07000000000000001</v>
      </c>
      <c r="AN5796" s="182" t="n">
        <v>0</v>
      </c>
    </row>
    <row r="5797">
      <c r="A5797" s="155" t="n">
        <v>46108</v>
      </c>
      <c r="B5797" s="156" t="inlineStr">
        <is>
          <t>DS</t>
        </is>
      </c>
      <c r="C5797" s="156" t="inlineStr">
        <is>
          <t>DT-518</t>
        </is>
      </c>
      <c r="D5797" s="156" t="inlineStr">
        <is>
          <t>SKT 105S</t>
        </is>
      </c>
      <c r="E5797" s="156" t="inlineStr">
        <is>
          <t>Hauler</t>
        </is>
      </c>
      <c r="F5797" s="156" t="inlineStr">
        <is>
          <t>Hauling Coal &amp; OB</t>
        </is>
      </c>
      <c r="G5797" s="182" t="n">
        <v>10.67</v>
      </c>
      <c r="H5797" s="182" t="n">
        <v>0</v>
      </c>
      <c r="I5797" s="182" t="n">
        <v>1.08</v>
      </c>
      <c r="J5797" s="182" t="n">
        <v>1.08</v>
      </c>
      <c r="K5797" s="182" t="n">
        <v>0.25</v>
      </c>
      <c r="L5797" s="182" t="n">
        <v>12</v>
      </c>
      <c r="M5797" s="182" t="n">
        <v>10.33</v>
      </c>
      <c r="N5797" s="182" t="n">
        <v>0.34</v>
      </c>
      <c r="O5797" s="183" t="n">
        <v>32</v>
      </c>
      <c r="P5797" s="183" t="n">
        <v>1</v>
      </c>
      <c r="Q5797" s="184" t="n">
        <v>652.8</v>
      </c>
      <c r="R5797" s="184" t="n">
        <v>18.7</v>
      </c>
      <c r="S5797" s="183" t="n">
        <v>0</v>
      </c>
      <c r="T5797" s="183" t="n">
        <v>0</v>
      </c>
      <c r="U5797" s="182" t="n">
        <v>0</v>
      </c>
      <c r="V5797" s="182" t="n">
        <v>0</v>
      </c>
      <c r="W5797" s="182" t="n">
        <v>0</v>
      </c>
      <c r="X5797" s="182" t="n">
        <v>0</v>
      </c>
      <c r="Y5797" s="182" t="n">
        <v>0</v>
      </c>
      <c r="Z5797" s="182" t="n">
        <v>0.04</v>
      </c>
      <c r="AA5797" s="182" t="n">
        <v>0</v>
      </c>
      <c r="AB5797" s="182" t="n">
        <v>0</v>
      </c>
      <c r="AC5797" s="182" t="n">
        <v>0</v>
      </c>
      <c r="AD5797" s="182" t="n">
        <v>0</v>
      </c>
      <c r="AE5797" s="182" t="n">
        <v>0</v>
      </c>
      <c r="AF5797" s="182" t="n">
        <v>0</v>
      </c>
      <c r="AG5797" s="182" t="n">
        <v>0</v>
      </c>
      <c r="AH5797" s="182" t="n">
        <v>0.16</v>
      </c>
      <c r="AI5797" s="182" t="n">
        <v>0</v>
      </c>
      <c r="AJ5797" s="182" t="n">
        <v>0</v>
      </c>
      <c r="AK5797" s="182" t="n">
        <v>0</v>
      </c>
      <c r="AL5797" s="182" t="n">
        <v>0</v>
      </c>
      <c r="AM5797" s="182" t="n">
        <v>0.05</v>
      </c>
      <c r="AN5797" s="182" t="n">
        <v>0</v>
      </c>
    </row>
    <row r="5798">
      <c r="A5798" s="155" t="n">
        <v>46108</v>
      </c>
      <c r="B5798" s="156" t="inlineStr">
        <is>
          <t>DS</t>
        </is>
      </c>
      <c r="C5798" s="156" t="inlineStr">
        <is>
          <t>DT-514</t>
        </is>
      </c>
      <c r="D5798" s="156" t="inlineStr">
        <is>
          <t>SKT 105S</t>
        </is>
      </c>
      <c r="E5798" s="156" t="inlineStr">
        <is>
          <t>Hauler</t>
        </is>
      </c>
      <c r="F5798" s="156" t="inlineStr">
        <is>
          <t>Hauling Coal &amp; OB</t>
        </is>
      </c>
      <c r="G5798" s="182" t="n">
        <v>9.68</v>
      </c>
      <c r="H5798" s="182" t="n">
        <v>0</v>
      </c>
      <c r="I5798" s="182" t="n">
        <v>0</v>
      </c>
      <c r="J5798" s="182" t="n">
        <v>0</v>
      </c>
      <c r="K5798" s="182" t="n">
        <v>2.32</v>
      </c>
      <c r="L5798" s="182" t="n">
        <v>12</v>
      </c>
      <c r="M5798" s="182" t="n">
        <v>9.359999999999999</v>
      </c>
      <c r="N5798" s="182" t="n">
        <v>0.32</v>
      </c>
      <c r="O5798" s="183" t="n">
        <v>28</v>
      </c>
      <c r="P5798" s="183" t="n">
        <v>1</v>
      </c>
      <c r="Q5798" s="184" t="n">
        <v>571.2</v>
      </c>
      <c r="R5798" s="184" t="n">
        <v>18.7</v>
      </c>
      <c r="S5798" s="183" t="n">
        <v>0</v>
      </c>
      <c r="T5798" s="183" t="n">
        <v>0</v>
      </c>
      <c r="U5798" s="182" t="n">
        <v>0</v>
      </c>
      <c r="V5798" s="182" t="n">
        <v>0</v>
      </c>
      <c r="W5798" s="182" t="n">
        <v>0</v>
      </c>
      <c r="X5798" s="182" t="n">
        <v>1.1</v>
      </c>
      <c r="Y5798" s="182" t="n">
        <v>0</v>
      </c>
      <c r="Z5798" s="182" t="n">
        <v>0</v>
      </c>
      <c r="AA5798" s="182" t="n">
        <v>0</v>
      </c>
      <c r="AB5798" s="182" t="n">
        <v>0</v>
      </c>
      <c r="AC5798" s="182" t="n">
        <v>0</v>
      </c>
      <c r="AD5798" s="182" t="n">
        <v>0</v>
      </c>
      <c r="AE5798" s="182" t="n">
        <v>0</v>
      </c>
      <c r="AF5798" s="182" t="n">
        <v>0</v>
      </c>
      <c r="AG5798" s="182" t="n">
        <v>0.09</v>
      </c>
      <c r="AH5798" s="182" t="n">
        <v>1.03</v>
      </c>
      <c r="AI5798" s="182" t="n">
        <v>0</v>
      </c>
      <c r="AJ5798" s="182" t="n">
        <v>0</v>
      </c>
      <c r="AK5798" s="182" t="n">
        <v>0</v>
      </c>
      <c r="AL5798" s="182" t="n">
        <v>0</v>
      </c>
      <c r="AM5798" s="182" t="n">
        <v>0.09</v>
      </c>
      <c r="AN5798" s="182" t="n">
        <v>0</v>
      </c>
    </row>
    <row r="5799">
      <c r="A5799" s="155" t="n">
        <v>46108</v>
      </c>
      <c r="B5799" s="156" t="inlineStr">
        <is>
          <t>DS</t>
        </is>
      </c>
      <c r="C5799" s="156" t="inlineStr">
        <is>
          <t>DT-523</t>
        </is>
      </c>
      <c r="D5799" s="156" t="inlineStr">
        <is>
          <t>SKT 105S</t>
        </is>
      </c>
      <c r="E5799" s="156" t="inlineStr">
        <is>
          <t>Hauler</t>
        </is>
      </c>
      <c r="F5799" s="156" t="inlineStr">
        <is>
          <t>Hauling OB, Spoil &amp; Coal</t>
        </is>
      </c>
      <c r="G5799" s="182" t="n">
        <v>8.119999999999999</v>
      </c>
      <c r="H5799" s="182" t="n">
        <v>0</v>
      </c>
      <c r="I5799" s="182" t="n">
        <v>0</v>
      </c>
      <c r="J5799" s="182" t="n">
        <v>0</v>
      </c>
      <c r="K5799" s="182" t="n">
        <v>3.88</v>
      </c>
      <c r="L5799" s="182" t="n">
        <v>12</v>
      </c>
      <c r="M5799" s="182" t="n">
        <v>2.49</v>
      </c>
      <c r="N5799" s="182" t="n">
        <v>4.62</v>
      </c>
      <c r="O5799" s="183" t="n">
        <v>6</v>
      </c>
      <c r="P5799" s="183" t="n">
        <v>12</v>
      </c>
      <c r="Q5799" s="184" t="n">
        <v>122.4</v>
      </c>
      <c r="R5799" s="184" t="n">
        <v>224.4</v>
      </c>
      <c r="S5799" s="183" t="n">
        <v>0</v>
      </c>
      <c r="T5799" s="183" t="n">
        <v>0</v>
      </c>
      <c r="U5799" s="182" t="n">
        <v>0</v>
      </c>
      <c r="V5799" s="182" t="n">
        <v>0</v>
      </c>
      <c r="W5799" s="182" t="n">
        <v>0</v>
      </c>
      <c r="X5799" s="182" t="n">
        <v>0.88</v>
      </c>
      <c r="Y5799" s="182" t="n">
        <v>0</v>
      </c>
      <c r="Z5799" s="182" t="n">
        <v>0.06</v>
      </c>
      <c r="AA5799" s="182" t="n">
        <v>0</v>
      </c>
      <c r="AB5799" s="182" t="n">
        <v>0</v>
      </c>
      <c r="AC5799" s="182" t="n">
        <v>0</v>
      </c>
      <c r="AD5799" s="182" t="n">
        <v>0</v>
      </c>
      <c r="AE5799" s="182" t="n">
        <v>0</v>
      </c>
      <c r="AF5799" s="182" t="n">
        <v>0</v>
      </c>
      <c r="AG5799" s="182" t="n">
        <v>0</v>
      </c>
      <c r="AH5799" s="182" t="n">
        <v>0.33</v>
      </c>
      <c r="AI5799" s="182" t="n">
        <v>2.54</v>
      </c>
      <c r="AJ5799" s="182" t="n">
        <v>0</v>
      </c>
      <c r="AK5799" s="182" t="n">
        <v>0</v>
      </c>
      <c r="AL5799" s="182" t="n">
        <v>0</v>
      </c>
      <c r="AM5799" s="182" t="n">
        <v>0.07000000000000001</v>
      </c>
      <c r="AN5799" s="182" t="n">
        <v>0</v>
      </c>
    </row>
    <row r="5800">
      <c r="A5800" s="155" t="n">
        <v>46108</v>
      </c>
      <c r="B5800" s="156" t="inlineStr">
        <is>
          <t>DS</t>
        </is>
      </c>
      <c r="C5800" s="156" t="inlineStr">
        <is>
          <t>DT-519</t>
        </is>
      </c>
      <c r="D5800" s="156" t="inlineStr">
        <is>
          <t>SKT 105S</t>
        </is>
      </c>
      <c r="E5800" s="156" t="inlineStr">
        <is>
          <t>Hauler</t>
        </is>
      </c>
      <c r="F5800" s="156" t="inlineStr">
        <is>
          <t>Hauling OB</t>
        </is>
      </c>
      <c r="G5800" s="182" t="n">
        <v>5.32</v>
      </c>
      <c r="H5800" s="182" t="n">
        <v>0</v>
      </c>
      <c r="I5800" s="182" t="n">
        <v>6.35</v>
      </c>
      <c r="J5800" s="182" t="n">
        <v>6.35</v>
      </c>
      <c r="K5800" s="182" t="n">
        <v>0.33</v>
      </c>
      <c r="L5800" s="182" t="n">
        <v>12</v>
      </c>
      <c r="M5800" s="182" t="n">
        <v>3.19</v>
      </c>
      <c r="N5800" s="182" t="n">
        <v>0</v>
      </c>
      <c r="O5800" s="183" t="n">
        <v>10</v>
      </c>
      <c r="P5800" s="183" t="n">
        <v>0</v>
      </c>
      <c r="Q5800" s="184" t="n">
        <v>204</v>
      </c>
      <c r="R5800" s="184" t="n">
        <v>0</v>
      </c>
      <c r="S5800" s="183" t="n">
        <v>0</v>
      </c>
      <c r="T5800" s="183" t="n">
        <v>0</v>
      </c>
      <c r="U5800" s="182" t="n">
        <v>0</v>
      </c>
      <c r="V5800" s="182" t="n">
        <v>0</v>
      </c>
      <c r="W5800" s="182" t="n">
        <v>0</v>
      </c>
      <c r="X5800" s="182" t="n">
        <v>0</v>
      </c>
      <c r="Y5800" s="182" t="n">
        <v>0</v>
      </c>
      <c r="Z5800" s="182" t="n">
        <v>0.15</v>
      </c>
      <c r="AA5800" s="182" t="n">
        <v>0</v>
      </c>
      <c r="AB5800" s="182" t="n">
        <v>0</v>
      </c>
      <c r="AC5800" s="182" t="n">
        <v>0</v>
      </c>
      <c r="AD5800" s="182" t="n">
        <v>0</v>
      </c>
      <c r="AE5800" s="182" t="n">
        <v>0</v>
      </c>
      <c r="AF5800" s="182" t="n">
        <v>0</v>
      </c>
      <c r="AG5800" s="182" t="n">
        <v>0</v>
      </c>
      <c r="AH5800" s="182" t="n">
        <v>0</v>
      </c>
      <c r="AI5800" s="182" t="n">
        <v>0</v>
      </c>
      <c r="AJ5800" s="182" t="n">
        <v>0</v>
      </c>
      <c r="AK5800" s="182" t="n">
        <v>0</v>
      </c>
      <c r="AL5800" s="182" t="n">
        <v>0</v>
      </c>
      <c r="AM5800" s="182" t="n">
        <v>0.18</v>
      </c>
      <c r="AN5800" s="182" t="n">
        <v>0</v>
      </c>
    </row>
    <row r="5801">
      <c r="A5801" s="155" t="n">
        <v>46108</v>
      </c>
      <c r="B5801" s="156" t="inlineStr">
        <is>
          <t>DS</t>
        </is>
      </c>
      <c r="C5801" s="156" t="inlineStr">
        <is>
          <t>DT-527</t>
        </is>
      </c>
      <c r="D5801" s="156" t="inlineStr">
        <is>
          <t>SKT 105S</t>
        </is>
      </c>
      <c r="E5801" s="156" t="inlineStr">
        <is>
          <t>Hauler</t>
        </is>
      </c>
      <c r="F5801" s="156" t="inlineStr">
        <is>
          <t>Hauling OB, Spoil &amp; Coal</t>
        </is>
      </c>
      <c r="G5801" s="182" t="n">
        <v>7.41</v>
      </c>
      <c r="H5801" s="182" t="n">
        <v>0</v>
      </c>
      <c r="I5801" s="182" t="n">
        <v>0</v>
      </c>
      <c r="J5801" s="182" t="n">
        <v>0</v>
      </c>
      <c r="K5801" s="182" t="n">
        <v>4.59</v>
      </c>
      <c r="L5801" s="182" t="n">
        <v>12</v>
      </c>
      <c r="M5801" s="182" t="n">
        <v>2.2</v>
      </c>
      <c r="N5801" s="182" t="n">
        <v>4.28</v>
      </c>
      <c r="O5801" s="183" t="n">
        <v>7</v>
      </c>
      <c r="P5801" s="183" t="n">
        <v>15</v>
      </c>
      <c r="Q5801" s="184" t="n">
        <v>142.8</v>
      </c>
      <c r="R5801" s="184" t="n">
        <v>280.5</v>
      </c>
      <c r="S5801" s="183" t="n">
        <v>0</v>
      </c>
      <c r="T5801" s="183" t="n">
        <v>0</v>
      </c>
      <c r="U5801" s="182" t="n">
        <v>0</v>
      </c>
      <c r="V5801" s="182" t="n">
        <v>0</v>
      </c>
      <c r="W5801" s="182" t="n">
        <v>0</v>
      </c>
      <c r="X5801" s="182" t="n">
        <v>1.02</v>
      </c>
      <c r="Y5801" s="182" t="n">
        <v>0</v>
      </c>
      <c r="Z5801" s="182" t="n">
        <v>0.07000000000000001</v>
      </c>
      <c r="AA5801" s="182" t="n">
        <v>0</v>
      </c>
      <c r="AB5801" s="182" t="n">
        <v>0</v>
      </c>
      <c r="AC5801" s="182" t="n">
        <v>0</v>
      </c>
      <c r="AD5801" s="182" t="n">
        <v>0</v>
      </c>
      <c r="AE5801" s="182" t="n">
        <v>0</v>
      </c>
      <c r="AF5801" s="182" t="n">
        <v>0</v>
      </c>
      <c r="AG5801" s="182" t="n">
        <v>0</v>
      </c>
      <c r="AH5801" s="182" t="n">
        <v>0.48</v>
      </c>
      <c r="AI5801" s="182" t="n">
        <v>2.94</v>
      </c>
      <c r="AJ5801" s="182" t="n">
        <v>0</v>
      </c>
      <c r="AK5801" s="182" t="n">
        <v>0</v>
      </c>
      <c r="AL5801" s="182" t="n">
        <v>0</v>
      </c>
      <c r="AM5801" s="182" t="n">
        <v>0.08</v>
      </c>
      <c r="AN5801" s="182" t="n">
        <v>0</v>
      </c>
    </row>
    <row r="5802">
      <c r="A5802" s="155" t="n">
        <v>46108</v>
      </c>
      <c r="B5802" s="156" t="inlineStr">
        <is>
          <t>DS</t>
        </is>
      </c>
      <c r="C5802" s="156" t="inlineStr">
        <is>
          <t>DT-513</t>
        </is>
      </c>
      <c r="D5802" s="156" t="inlineStr">
        <is>
          <t>SKT 105S</t>
        </is>
      </c>
      <c r="E5802" s="156" t="inlineStr">
        <is>
          <t>Hauler</t>
        </is>
      </c>
      <c r="F5802" s="156" t="inlineStr"/>
      <c r="G5802" s="182" t="n">
        <v>0</v>
      </c>
      <c r="H5802" s="182" t="n">
        <v>0</v>
      </c>
      <c r="I5802" s="182" t="n">
        <v>12</v>
      </c>
      <c r="J5802" s="182" t="n">
        <v>12</v>
      </c>
      <c r="K5802" s="182" t="n">
        <v>0</v>
      </c>
      <c r="L5802" s="182" t="n">
        <v>12</v>
      </c>
      <c r="M5802" s="182" t="n">
        <v>0</v>
      </c>
      <c r="N5802" s="182" t="n">
        <v>0</v>
      </c>
      <c r="O5802" s="183" t="n">
        <v>0</v>
      </c>
      <c r="P5802" s="183" t="n">
        <v>0</v>
      </c>
      <c r="Q5802" s="184" t="n">
        <v>0</v>
      </c>
      <c r="R5802" s="184" t="n">
        <v>0</v>
      </c>
      <c r="S5802" s="183" t="n">
        <v>0</v>
      </c>
      <c r="T5802" s="183" t="n">
        <v>0</v>
      </c>
      <c r="U5802" s="182" t="n">
        <v>0</v>
      </c>
      <c r="V5802" s="182" t="n">
        <v>0</v>
      </c>
      <c r="W5802" s="182" t="n">
        <v>0</v>
      </c>
      <c r="X5802" s="182" t="n">
        <v>0</v>
      </c>
      <c r="Y5802" s="182" t="n">
        <v>0</v>
      </c>
      <c r="Z5802" s="182" t="n">
        <v>0</v>
      </c>
      <c r="AA5802" s="182" t="n">
        <v>0</v>
      </c>
      <c r="AB5802" s="182" t="n">
        <v>0</v>
      </c>
      <c r="AC5802" s="182" t="n">
        <v>0</v>
      </c>
      <c r="AD5802" s="182" t="n">
        <v>0</v>
      </c>
      <c r="AE5802" s="182" t="n">
        <v>0</v>
      </c>
      <c r="AF5802" s="182" t="n">
        <v>0</v>
      </c>
      <c r="AG5802" s="182" t="n">
        <v>0</v>
      </c>
      <c r="AH5802" s="182" t="n">
        <v>0</v>
      </c>
      <c r="AI5802" s="182" t="n">
        <v>0</v>
      </c>
      <c r="AJ5802" s="182" t="n">
        <v>0</v>
      </c>
      <c r="AK5802" s="182" t="n">
        <v>0</v>
      </c>
      <c r="AL5802" s="182" t="n">
        <v>0</v>
      </c>
      <c r="AM5802" s="182" t="n">
        <v>0</v>
      </c>
      <c r="AN5802" s="182" t="n">
        <v>0</v>
      </c>
    </row>
    <row r="5803">
      <c r="A5803" s="155" t="n">
        <v>46108</v>
      </c>
      <c r="B5803" s="156" t="inlineStr">
        <is>
          <t>DS</t>
        </is>
      </c>
      <c r="C5803" s="156" t="inlineStr">
        <is>
          <t>DT-512</t>
        </is>
      </c>
      <c r="D5803" s="156" t="inlineStr">
        <is>
          <t>SKT 105S</t>
        </is>
      </c>
      <c r="E5803" s="156" t="inlineStr">
        <is>
          <t>Hauler</t>
        </is>
      </c>
      <c r="F5803" s="156" t="inlineStr">
        <is>
          <t>Hauling OB, Spoil &amp; Coal</t>
        </is>
      </c>
      <c r="G5803" s="182" t="n">
        <v>7.32</v>
      </c>
      <c r="H5803" s="182" t="n">
        <v>0</v>
      </c>
      <c r="I5803" s="182" t="n">
        <v>0</v>
      </c>
      <c r="J5803" s="182" t="n">
        <v>0</v>
      </c>
      <c r="K5803" s="182" t="n">
        <v>4.68</v>
      </c>
      <c r="L5803" s="182" t="n">
        <v>12</v>
      </c>
      <c r="M5803" s="182" t="n">
        <v>2.18</v>
      </c>
      <c r="N5803" s="182" t="n">
        <v>4.22</v>
      </c>
      <c r="O5803" s="183" t="n">
        <v>5</v>
      </c>
      <c r="P5803" s="183" t="n">
        <v>11</v>
      </c>
      <c r="Q5803" s="184" t="n">
        <v>102</v>
      </c>
      <c r="R5803" s="184" t="n">
        <v>205.7</v>
      </c>
      <c r="S5803" s="183" t="n">
        <v>0</v>
      </c>
      <c r="T5803" s="183" t="n">
        <v>0</v>
      </c>
      <c r="U5803" s="182" t="n">
        <v>0</v>
      </c>
      <c r="V5803" s="182" t="n">
        <v>0</v>
      </c>
      <c r="W5803" s="182" t="n">
        <v>0</v>
      </c>
      <c r="X5803" s="182" t="n">
        <v>1.04</v>
      </c>
      <c r="Y5803" s="182" t="n">
        <v>0</v>
      </c>
      <c r="Z5803" s="182" t="n">
        <v>0.07000000000000001</v>
      </c>
      <c r="AA5803" s="182" t="n">
        <v>0</v>
      </c>
      <c r="AB5803" s="182" t="n">
        <v>0</v>
      </c>
      <c r="AC5803" s="182" t="n">
        <v>0</v>
      </c>
      <c r="AD5803" s="182" t="n">
        <v>0</v>
      </c>
      <c r="AE5803" s="182" t="n">
        <v>0</v>
      </c>
      <c r="AF5803" s="182" t="n">
        <v>0</v>
      </c>
      <c r="AG5803" s="182" t="n">
        <v>0</v>
      </c>
      <c r="AH5803" s="182" t="n">
        <v>0.49</v>
      </c>
      <c r="AI5803" s="182" t="n">
        <v>3</v>
      </c>
      <c r="AJ5803" s="182" t="n">
        <v>0</v>
      </c>
      <c r="AK5803" s="182" t="n">
        <v>0</v>
      </c>
      <c r="AL5803" s="182" t="n">
        <v>0</v>
      </c>
      <c r="AM5803" s="182" t="n">
        <v>0.08</v>
      </c>
      <c r="AN5803" s="182" t="n">
        <v>0</v>
      </c>
    </row>
    <row r="5804">
      <c r="A5804" s="155" t="n">
        <v>46108</v>
      </c>
      <c r="B5804" s="156" t="inlineStr">
        <is>
          <t>DS</t>
        </is>
      </c>
      <c r="C5804" s="156" t="inlineStr">
        <is>
          <t>DT-522</t>
        </is>
      </c>
      <c r="D5804" s="156" t="inlineStr">
        <is>
          <t>SKT 105S</t>
        </is>
      </c>
      <c r="E5804" s="156" t="inlineStr">
        <is>
          <t>Hauler</t>
        </is>
      </c>
      <c r="F5804" s="156" t="inlineStr">
        <is>
          <t>Hauling OB, Spoil &amp; Coal</t>
        </is>
      </c>
      <c r="G5804" s="182" t="n">
        <v>7.1</v>
      </c>
      <c r="H5804" s="182" t="n">
        <v>0</v>
      </c>
      <c r="I5804" s="182" t="n">
        <v>0</v>
      </c>
      <c r="J5804" s="182" t="n">
        <v>0</v>
      </c>
      <c r="K5804" s="182" t="n">
        <v>4.9</v>
      </c>
      <c r="L5804" s="182" t="n">
        <v>12</v>
      </c>
      <c r="M5804" s="182" t="n">
        <v>1.98</v>
      </c>
      <c r="N5804" s="182" t="n">
        <v>4.21</v>
      </c>
      <c r="O5804" s="183" t="n">
        <v>5</v>
      </c>
      <c r="P5804" s="183" t="n">
        <v>11</v>
      </c>
      <c r="Q5804" s="184" t="n">
        <v>102</v>
      </c>
      <c r="R5804" s="184" t="n">
        <v>205.7</v>
      </c>
      <c r="S5804" s="183" t="n">
        <v>0</v>
      </c>
      <c r="T5804" s="183" t="n">
        <v>0</v>
      </c>
      <c r="U5804" s="182" t="n">
        <v>0</v>
      </c>
      <c r="V5804" s="182" t="n">
        <v>0</v>
      </c>
      <c r="W5804" s="182" t="n">
        <v>0</v>
      </c>
      <c r="X5804" s="182" t="n">
        <v>1.04</v>
      </c>
      <c r="Y5804" s="182" t="n">
        <v>0</v>
      </c>
      <c r="Z5804" s="182" t="n">
        <v>0.07000000000000001</v>
      </c>
      <c r="AA5804" s="182" t="n">
        <v>0</v>
      </c>
      <c r="AB5804" s="182" t="n">
        <v>0</v>
      </c>
      <c r="AC5804" s="182" t="n">
        <v>0</v>
      </c>
      <c r="AD5804" s="182" t="n">
        <v>0</v>
      </c>
      <c r="AE5804" s="182" t="n">
        <v>0</v>
      </c>
      <c r="AF5804" s="182" t="n">
        <v>0</v>
      </c>
      <c r="AG5804" s="182" t="n">
        <v>0</v>
      </c>
      <c r="AH5804" s="182" t="n">
        <v>0.7</v>
      </c>
      <c r="AI5804" s="182" t="n">
        <v>3</v>
      </c>
      <c r="AJ5804" s="182" t="n">
        <v>0</v>
      </c>
      <c r="AK5804" s="182" t="n">
        <v>0</v>
      </c>
      <c r="AL5804" s="182" t="n">
        <v>0</v>
      </c>
      <c r="AM5804" s="182" t="n">
        <v>0.08</v>
      </c>
      <c r="AN5804" s="182" t="n">
        <v>0</v>
      </c>
    </row>
    <row r="5805">
      <c r="A5805" s="155" t="n">
        <v>46108</v>
      </c>
      <c r="B5805" s="156" t="inlineStr">
        <is>
          <t>DS</t>
        </is>
      </c>
      <c r="C5805" s="156" t="inlineStr">
        <is>
          <t>DT-517</t>
        </is>
      </c>
      <c r="D5805" s="156" t="inlineStr">
        <is>
          <t>SKT 105S</t>
        </is>
      </c>
      <c r="E5805" s="156" t="inlineStr">
        <is>
          <t>Hauler</t>
        </is>
      </c>
      <c r="F5805" s="156" t="inlineStr">
        <is>
          <t>Hauling OB</t>
        </is>
      </c>
      <c r="G5805" s="182" t="n">
        <v>10.46</v>
      </c>
      <c r="H5805" s="182" t="n">
        <v>0</v>
      </c>
      <c r="I5805" s="182" t="n">
        <v>0</v>
      </c>
      <c r="J5805" s="182" t="n">
        <v>0</v>
      </c>
      <c r="K5805" s="182" t="n">
        <v>1.54</v>
      </c>
      <c r="L5805" s="182" t="n">
        <v>12</v>
      </c>
      <c r="M5805" s="182" t="n">
        <v>10.46</v>
      </c>
      <c r="N5805" s="182" t="n">
        <v>0</v>
      </c>
      <c r="O5805" s="183" t="n">
        <v>26</v>
      </c>
      <c r="P5805" s="183" t="n">
        <v>0</v>
      </c>
      <c r="Q5805" s="184" t="n">
        <v>530.4</v>
      </c>
      <c r="R5805" s="184" t="n">
        <v>0</v>
      </c>
      <c r="S5805" s="183" t="n">
        <v>0</v>
      </c>
      <c r="T5805" s="183" t="n">
        <v>0</v>
      </c>
      <c r="U5805" s="182" t="n">
        <v>0</v>
      </c>
      <c r="V5805" s="182" t="n">
        <v>0</v>
      </c>
      <c r="W5805" s="182" t="n">
        <v>0</v>
      </c>
      <c r="X5805" s="182" t="n">
        <v>0.86</v>
      </c>
      <c r="Y5805" s="182" t="n">
        <v>0</v>
      </c>
      <c r="Z5805" s="182" t="n">
        <v>0.06</v>
      </c>
      <c r="AA5805" s="182" t="n">
        <v>0</v>
      </c>
      <c r="AB5805" s="182" t="n">
        <v>0</v>
      </c>
      <c r="AC5805" s="182" t="n">
        <v>0</v>
      </c>
      <c r="AD5805" s="182" t="n">
        <v>0</v>
      </c>
      <c r="AE5805" s="182" t="n">
        <v>0</v>
      </c>
      <c r="AF5805" s="182" t="n">
        <v>0</v>
      </c>
      <c r="AG5805" s="182" t="n">
        <v>0</v>
      </c>
      <c r="AH5805" s="182" t="n">
        <v>0.5600000000000001</v>
      </c>
      <c r="AI5805" s="182" t="n">
        <v>0</v>
      </c>
      <c r="AJ5805" s="182" t="n">
        <v>0</v>
      </c>
      <c r="AK5805" s="182" t="n">
        <v>0</v>
      </c>
      <c r="AL5805" s="182" t="n">
        <v>0</v>
      </c>
      <c r="AM5805" s="182" t="n">
        <v>0.07000000000000001</v>
      </c>
      <c r="AN5805" s="182" t="n">
        <v>0</v>
      </c>
    </row>
    <row r="5806">
      <c r="A5806" s="155" t="n">
        <v>46108</v>
      </c>
      <c r="B5806" s="156" t="inlineStr">
        <is>
          <t>DS</t>
        </is>
      </c>
      <c r="C5806" s="156" t="inlineStr">
        <is>
          <t>DT-510</t>
        </is>
      </c>
      <c r="D5806" s="156" t="inlineStr">
        <is>
          <t>SKT 105S</t>
        </is>
      </c>
      <c r="E5806" s="156" t="inlineStr">
        <is>
          <t>Hauler</t>
        </is>
      </c>
      <c r="F5806" s="156" t="inlineStr">
        <is>
          <t>Travel ke WS</t>
        </is>
      </c>
      <c r="G5806" s="182" t="n">
        <v>0.2</v>
      </c>
      <c r="H5806" s="182" t="n">
        <v>9</v>
      </c>
      <c r="I5806" s="182" t="n">
        <v>1</v>
      </c>
      <c r="J5806" s="182" t="n">
        <v>10</v>
      </c>
      <c r="K5806" s="182" t="n">
        <v>1.8</v>
      </c>
      <c r="L5806" s="182" t="n">
        <v>12</v>
      </c>
      <c r="M5806" s="182" t="n">
        <v>0</v>
      </c>
      <c r="N5806" s="182" t="n">
        <v>0</v>
      </c>
      <c r="O5806" s="183" t="n">
        <v>0</v>
      </c>
      <c r="P5806" s="183" t="n">
        <v>0</v>
      </c>
      <c r="Q5806" s="184" t="n">
        <v>0</v>
      </c>
      <c r="R5806" s="184" t="n">
        <v>0</v>
      </c>
      <c r="S5806" s="183" t="n">
        <v>0</v>
      </c>
      <c r="T5806" s="183" t="n">
        <v>0</v>
      </c>
      <c r="U5806" s="182" t="n">
        <v>0</v>
      </c>
      <c r="V5806" s="182" t="n">
        <v>0</v>
      </c>
      <c r="W5806" s="182" t="n">
        <v>0</v>
      </c>
      <c r="X5806" s="182" t="n">
        <v>0</v>
      </c>
      <c r="Y5806" s="182" t="n">
        <v>0</v>
      </c>
      <c r="Z5806" s="182" t="n">
        <v>0</v>
      </c>
      <c r="AA5806" s="182" t="n">
        <v>0</v>
      </c>
      <c r="AB5806" s="182" t="n">
        <v>0</v>
      </c>
      <c r="AC5806" s="182" t="n">
        <v>0</v>
      </c>
      <c r="AD5806" s="182" t="n">
        <v>0</v>
      </c>
      <c r="AE5806" s="182" t="n">
        <v>0</v>
      </c>
      <c r="AF5806" s="182" t="n">
        <v>0</v>
      </c>
      <c r="AG5806" s="182" t="n">
        <v>0</v>
      </c>
      <c r="AH5806" s="182" t="n">
        <v>0</v>
      </c>
      <c r="AI5806" s="182" t="n">
        <v>0</v>
      </c>
      <c r="AJ5806" s="182" t="n">
        <v>0</v>
      </c>
      <c r="AK5806" s="182" t="n">
        <v>1.72</v>
      </c>
      <c r="AL5806" s="182" t="n">
        <v>0</v>
      </c>
      <c r="AM5806" s="182" t="n">
        <v>0.08</v>
      </c>
      <c r="AN5806" s="182" t="n">
        <v>0</v>
      </c>
    </row>
    <row r="5807">
      <c r="A5807" s="155" t="n">
        <v>46108</v>
      </c>
      <c r="B5807" s="156" t="inlineStr">
        <is>
          <t>DS</t>
        </is>
      </c>
      <c r="C5807" s="156" t="inlineStr">
        <is>
          <t>DT-521</t>
        </is>
      </c>
      <c r="D5807" s="156" t="inlineStr">
        <is>
          <t>SKT 105S</t>
        </is>
      </c>
      <c r="E5807" s="156" t="inlineStr">
        <is>
          <t>Hauler</t>
        </is>
      </c>
      <c r="F5807" s="156" t="inlineStr">
        <is>
          <t>Hauling Coal &amp; OB</t>
        </is>
      </c>
      <c r="G5807" s="182" t="n">
        <v>3.93</v>
      </c>
      <c r="H5807" s="182" t="n">
        <v>0</v>
      </c>
      <c r="I5807" s="182" t="n">
        <v>0.75</v>
      </c>
      <c r="J5807" s="182" t="n">
        <v>0.75</v>
      </c>
      <c r="K5807" s="182" t="n">
        <v>7.32</v>
      </c>
      <c r="L5807" s="182" t="n">
        <v>12</v>
      </c>
      <c r="M5807" s="182" t="n">
        <v>3.62</v>
      </c>
      <c r="N5807" s="182" t="n">
        <v>0.31</v>
      </c>
      <c r="O5807" s="183" t="n">
        <v>24</v>
      </c>
      <c r="P5807" s="183" t="n">
        <v>1</v>
      </c>
      <c r="Q5807" s="184" t="n">
        <v>489.6</v>
      </c>
      <c r="R5807" s="184" t="n">
        <v>18.7</v>
      </c>
      <c r="S5807" s="183" t="n">
        <v>0</v>
      </c>
      <c r="T5807" s="183" t="n">
        <v>0</v>
      </c>
      <c r="U5807" s="182" t="n">
        <v>0</v>
      </c>
      <c r="V5807" s="182" t="n">
        <v>0</v>
      </c>
      <c r="W5807" s="182" t="n">
        <v>0</v>
      </c>
      <c r="X5807" s="182" t="n">
        <v>1.04</v>
      </c>
      <c r="Y5807" s="182" t="n">
        <v>0</v>
      </c>
      <c r="Z5807" s="182" t="n">
        <v>0.07000000000000001</v>
      </c>
      <c r="AA5807" s="182" t="n">
        <v>0</v>
      </c>
      <c r="AB5807" s="182" t="n">
        <v>0</v>
      </c>
      <c r="AC5807" s="182" t="n">
        <v>0</v>
      </c>
      <c r="AD5807" s="182" t="n">
        <v>0</v>
      </c>
      <c r="AE5807" s="182" t="n">
        <v>0</v>
      </c>
      <c r="AF5807" s="182" t="n">
        <v>0</v>
      </c>
      <c r="AG5807" s="182" t="n">
        <v>0</v>
      </c>
      <c r="AH5807" s="182" t="n">
        <v>0</v>
      </c>
      <c r="AI5807" s="182" t="n">
        <v>0</v>
      </c>
      <c r="AJ5807" s="182" t="n">
        <v>0</v>
      </c>
      <c r="AK5807" s="182" t="n">
        <v>6.13</v>
      </c>
      <c r="AL5807" s="182" t="n">
        <v>0</v>
      </c>
      <c r="AM5807" s="182" t="n">
        <v>0.08</v>
      </c>
      <c r="AN5807" s="182" t="n">
        <v>0</v>
      </c>
    </row>
    <row r="5808">
      <c r="A5808" s="155" t="n">
        <v>46108</v>
      </c>
      <c r="B5808" s="156" t="inlineStr">
        <is>
          <t>DS</t>
        </is>
      </c>
      <c r="C5808" s="156" t="inlineStr">
        <is>
          <t>DT-516</t>
        </is>
      </c>
      <c r="D5808" s="156" t="inlineStr">
        <is>
          <t>SKT 105S</t>
        </is>
      </c>
      <c r="E5808" s="156" t="inlineStr">
        <is>
          <t>Hauler</t>
        </is>
      </c>
      <c r="F5808" s="156" t="inlineStr">
        <is>
          <t>Hauling OB</t>
        </is>
      </c>
      <c r="G5808" s="182" t="n">
        <v>9.74</v>
      </c>
      <c r="H5808" s="182" t="n">
        <v>0</v>
      </c>
      <c r="I5808" s="182" t="n">
        <v>0</v>
      </c>
      <c r="J5808" s="182" t="n">
        <v>0</v>
      </c>
      <c r="K5808" s="182" t="n">
        <v>2.26</v>
      </c>
      <c r="L5808" s="182" t="n">
        <v>12</v>
      </c>
      <c r="M5808" s="182" t="n">
        <v>9.74</v>
      </c>
      <c r="N5808" s="182" t="n">
        <v>0</v>
      </c>
      <c r="O5808" s="183" t="n">
        <v>35</v>
      </c>
      <c r="P5808" s="183" t="n">
        <v>0</v>
      </c>
      <c r="Q5808" s="184" t="n">
        <v>714</v>
      </c>
      <c r="R5808" s="184" t="n">
        <v>0</v>
      </c>
      <c r="S5808" s="183" t="n">
        <v>0</v>
      </c>
      <c r="T5808" s="183" t="n">
        <v>0</v>
      </c>
      <c r="U5808" s="182" t="n">
        <v>0</v>
      </c>
      <c r="V5808" s="182" t="n">
        <v>0</v>
      </c>
      <c r="W5808" s="182" t="n">
        <v>0</v>
      </c>
      <c r="X5808" s="182" t="n">
        <v>1.33</v>
      </c>
      <c r="Y5808" s="182" t="n">
        <v>0</v>
      </c>
      <c r="Z5808" s="182" t="n">
        <v>0</v>
      </c>
      <c r="AA5808" s="182" t="n">
        <v>0</v>
      </c>
      <c r="AB5808" s="182" t="n">
        <v>0</v>
      </c>
      <c r="AC5808" s="182" t="n">
        <v>0</v>
      </c>
      <c r="AD5808" s="182" t="n">
        <v>0</v>
      </c>
      <c r="AE5808" s="182" t="n">
        <v>0</v>
      </c>
      <c r="AF5808" s="182" t="n">
        <v>0</v>
      </c>
      <c r="AG5808" s="182" t="n">
        <v>0</v>
      </c>
      <c r="AH5808" s="182" t="n">
        <v>0.82</v>
      </c>
      <c r="AI5808" s="182" t="n">
        <v>0</v>
      </c>
      <c r="AJ5808" s="182" t="n">
        <v>0</v>
      </c>
      <c r="AK5808" s="182" t="n">
        <v>0</v>
      </c>
      <c r="AL5808" s="182" t="n">
        <v>0</v>
      </c>
      <c r="AM5808" s="182" t="n">
        <v>0.11</v>
      </c>
      <c r="AN5808" s="182" t="n">
        <v>0</v>
      </c>
    </row>
    <row r="5809">
      <c r="A5809" s="155" t="n">
        <v>46108</v>
      </c>
      <c r="B5809" s="156" t="inlineStr">
        <is>
          <t>DS</t>
        </is>
      </c>
      <c r="C5809" s="156" t="inlineStr">
        <is>
          <t>DT-506</t>
        </is>
      </c>
      <c r="D5809" s="156" t="inlineStr">
        <is>
          <t>SKT 105S</t>
        </is>
      </c>
      <c r="E5809" s="156" t="inlineStr">
        <is>
          <t>Hauler</t>
        </is>
      </c>
      <c r="F5809" s="156" t="inlineStr">
        <is>
          <t>Hauling OB</t>
        </is>
      </c>
      <c r="G5809" s="182" t="n">
        <v>9.050000000000001</v>
      </c>
      <c r="H5809" s="182" t="n">
        <v>0</v>
      </c>
      <c r="I5809" s="182" t="n">
        <v>0</v>
      </c>
      <c r="J5809" s="182" t="n">
        <v>0</v>
      </c>
      <c r="K5809" s="182" t="n">
        <v>2.95</v>
      </c>
      <c r="L5809" s="182" t="n">
        <v>12</v>
      </c>
      <c r="M5809" s="182" t="n">
        <v>8.92</v>
      </c>
      <c r="N5809" s="182" t="n">
        <v>0</v>
      </c>
      <c r="O5809" s="183" t="n">
        <v>30</v>
      </c>
      <c r="P5809" s="183" t="n">
        <v>0</v>
      </c>
      <c r="Q5809" s="184" t="n">
        <v>612</v>
      </c>
      <c r="R5809" s="184" t="n">
        <v>0</v>
      </c>
      <c r="S5809" s="183" t="n">
        <v>0</v>
      </c>
      <c r="T5809" s="183" t="n">
        <v>0</v>
      </c>
      <c r="U5809" s="182" t="n">
        <v>0</v>
      </c>
      <c r="V5809" s="182" t="n">
        <v>0</v>
      </c>
      <c r="W5809" s="182" t="n">
        <v>0</v>
      </c>
      <c r="X5809" s="182" t="n">
        <v>0.95</v>
      </c>
      <c r="Y5809" s="182" t="n">
        <v>0</v>
      </c>
      <c r="Z5809" s="182" t="n">
        <v>0</v>
      </c>
      <c r="AA5809" s="182" t="n">
        <v>0</v>
      </c>
      <c r="AB5809" s="182" t="n">
        <v>0</v>
      </c>
      <c r="AC5809" s="182" t="n">
        <v>0</v>
      </c>
      <c r="AD5809" s="182" t="n">
        <v>0</v>
      </c>
      <c r="AE5809" s="182" t="n">
        <v>0</v>
      </c>
      <c r="AF5809" s="182" t="n">
        <v>0</v>
      </c>
      <c r="AG5809" s="182" t="n">
        <v>0.6899999999999999</v>
      </c>
      <c r="AH5809" s="182" t="n">
        <v>0.43</v>
      </c>
      <c r="AI5809" s="182" t="n">
        <v>0.79</v>
      </c>
      <c r="AJ5809" s="182" t="n">
        <v>0</v>
      </c>
      <c r="AK5809" s="182" t="n">
        <v>0</v>
      </c>
      <c r="AL5809" s="182" t="n">
        <v>0</v>
      </c>
      <c r="AM5809" s="182" t="n">
        <v>0.08</v>
      </c>
      <c r="AN5809" s="182" t="n">
        <v>0</v>
      </c>
    </row>
    <row r="5810">
      <c r="A5810" s="155" t="n">
        <v>46108</v>
      </c>
      <c r="B5810" s="156" t="inlineStr">
        <is>
          <t>DS</t>
        </is>
      </c>
      <c r="C5810" s="156" t="inlineStr">
        <is>
          <t>DT-502</t>
        </is>
      </c>
      <c r="D5810" s="156" t="inlineStr">
        <is>
          <t>SKT 105S</t>
        </is>
      </c>
      <c r="E5810" s="156" t="inlineStr">
        <is>
          <t>Hauler</t>
        </is>
      </c>
      <c r="F5810" s="156" t="inlineStr">
        <is>
          <t>Hauling OB</t>
        </is>
      </c>
      <c r="G5810" s="182" t="n">
        <v>10.22</v>
      </c>
      <c r="H5810" s="182" t="n">
        <v>0</v>
      </c>
      <c r="I5810" s="182" t="n">
        <v>0</v>
      </c>
      <c r="J5810" s="182" t="n">
        <v>0</v>
      </c>
      <c r="K5810" s="182" t="n">
        <v>1.78</v>
      </c>
      <c r="L5810" s="182" t="n">
        <v>12</v>
      </c>
      <c r="M5810" s="182" t="n">
        <v>10.22</v>
      </c>
      <c r="N5810" s="182" t="n">
        <v>0</v>
      </c>
      <c r="O5810" s="183" t="n">
        <v>41</v>
      </c>
      <c r="P5810" s="183" t="n">
        <v>0</v>
      </c>
      <c r="Q5810" s="184" t="n">
        <v>836.4</v>
      </c>
      <c r="R5810" s="184" t="n">
        <v>0</v>
      </c>
      <c r="S5810" s="183" t="n">
        <v>0</v>
      </c>
      <c r="T5810" s="183" t="n">
        <v>0</v>
      </c>
      <c r="U5810" s="182" t="n">
        <v>0</v>
      </c>
      <c r="V5810" s="182" t="n">
        <v>0</v>
      </c>
      <c r="W5810" s="182" t="n">
        <v>0</v>
      </c>
      <c r="X5810" s="182" t="n">
        <v>0.89</v>
      </c>
      <c r="Y5810" s="182" t="n">
        <v>0</v>
      </c>
      <c r="Z5810" s="182" t="n">
        <v>0.06</v>
      </c>
      <c r="AA5810" s="182" t="n">
        <v>0</v>
      </c>
      <c r="AB5810" s="182" t="n">
        <v>0</v>
      </c>
      <c r="AC5810" s="182" t="n">
        <v>0</v>
      </c>
      <c r="AD5810" s="182" t="n">
        <v>0.25</v>
      </c>
      <c r="AE5810" s="182" t="n">
        <v>0</v>
      </c>
      <c r="AF5810" s="182" t="n">
        <v>0</v>
      </c>
      <c r="AG5810" s="182" t="n">
        <v>0</v>
      </c>
      <c r="AH5810" s="182" t="n">
        <v>0.51</v>
      </c>
      <c r="AI5810" s="182" t="n">
        <v>0</v>
      </c>
      <c r="AJ5810" s="182" t="n">
        <v>0</v>
      </c>
      <c r="AK5810" s="182" t="n">
        <v>0</v>
      </c>
      <c r="AL5810" s="182" t="n">
        <v>0</v>
      </c>
      <c r="AM5810" s="182" t="n">
        <v>0.07000000000000001</v>
      </c>
      <c r="AN5810" s="182" t="n">
        <v>0</v>
      </c>
    </row>
    <row r="5811">
      <c r="A5811" s="155" t="n">
        <v>46108</v>
      </c>
      <c r="B5811" s="156" t="inlineStr">
        <is>
          <t>DS</t>
        </is>
      </c>
      <c r="C5811" s="156" t="inlineStr">
        <is>
          <t>DT-528</t>
        </is>
      </c>
      <c r="D5811" s="156" t="inlineStr">
        <is>
          <t>SKT 105S</t>
        </is>
      </c>
      <c r="E5811" s="156" t="inlineStr">
        <is>
          <t>Hauler</t>
        </is>
      </c>
      <c r="F5811" s="156" t="inlineStr">
        <is>
          <t>Hauling OB</t>
        </is>
      </c>
      <c r="G5811" s="182" t="n">
        <v>6.16</v>
      </c>
      <c r="H5811" s="182" t="n">
        <v>0</v>
      </c>
      <c r="I5811" s="182" t="n">
        <v>3.17</v>
      </c>
      <c r="J5811" s="182" t="n">
        <v>3.17</v>
      </c>
      <c r="K5811" s="182" t="n">
        <v>2.67</v>
      </c>
      <c r="L5811" s="182" t="n">
        <v>12</v>
      </c>
      <c r="M5811" s="182" t="n">
        <v>6.16</v>
      </c>
      <c r="N5811" s="182" t="n">
        <v>0</v>
      </c>
      <c r="O5811" s="183" t="n">
        <v>17</v>
      </c>
      <c r="P5811" s="183" t="n">
        <v>0</v>
      </c>
      <c r="Q5811" s="184" t="n">
        <v>346.8</v>
      </c>
      <c r="R5811" s="184" t="n">
        <v>0</v>
      </c>
      <c r="S5811" s="183" t="n">
        <v>0</v>
      </c>
      <c r="T5811" s="183" t="n">
        <v>0</v>
      </c>
      <c r="U5811" s="182" t="n">
        <v>0</v>
      </c>
      <c r="V5811" s="182" t="n">
        <v>0</v>
      </c>
      <c r="W5811" s="182" t="n">
        <v>0</v>
      </c>
      <c r="X5811" s="182" t="n">
        <v>0.47</v>
      </c>
      <c r="Y5811" s="182" t="n">
        <v>0</v>
      </c>
      <c r="Z5811" s="182" t="n">
        <v>0</v>
      </c>
      <c r="AA5811" s="182" t="n">
        <v>0</v>
      </c>
      <c r="AB5811" s="182" t="n">
        <v>0</v>
      </c>
      <c r="AC5811" s="182" t="n">
        <v>0</v>
      </c>
      <c r="AD5811" s="182" t="n">
        <v>0.26</v>
      </c>
      <c r="AE5811" s="182" t="n">
        <v>0</v>
      </c>
      <c r="AF5811" s="182" t="n">
        <v>0</v>
      </c>
      <c r="AG5811" s="182" t="n">
        <v>0.16</v>
      </c>
      <c r="AH5811" s="182" t="n">
        <v>0.55</v>
      </c>
      <c r="AI5811" s="182" t="n">
        <v>0</v>
      </c>
      <c r="AJ5811" s="182" t="n">
        <v>0</v>
      </c>
      <c r="AK5811" s="182" t="n">
        <v>1.15</v>
      </c>
      <c r="AL5811" s="182" t="n">
        <v>0</v>
      </c>
      <c r="AM5811" s="182" t="n">
        <v>0.08</v>
      </c>
      <c r="AN5811" s="182" t="n">
        <v>0</v>
      </c>
    </row>
    <row r="5812">
      <c r="A5812" s="155" t="n">
        <v>46108</v>
      </c>
      <c r="B5812" s="156" t="inlineStr">
        <is>
          <t>DS</t>
        </is>
      </c>
      <c r="C5812" s="156" t="inlineStr">
        <is>
          <t>DT-529</t>
        </is>
      </c>
      <c r="D5812" s="156" t="inlineStr">
        <is>
          <t>SKT 105S</t>
        </is>
      </c>
      <c r="E5812" s="156" t="inlineStr">
        <is>
          <t>Hauler</t>
        </is>
      </c>
      <c r="F5812" s="156" t="inlineStr">
        <is>
          <t>Hauling Coal &amp; OB</t>
        </is>
      </c>
      <c r="G5812" s="182" t="n">
        <v>9.289999999999999</v>
      </c>
      <c r="H5812" s="182" t="n">
        <v>0</v>
      </c>
      <c r="I5812" s="182" t="n">
        <v>0</v>
      </c>
      <c r="J5812" s="182" t="n">
        <v>0</v>
      </c>
      <c r="K5812" s="182" t="n">
        <v>2.71</v>
      </c>
      <c r="L5812" s="182" t="n">
        <v>12</v>
      </c>
      <c r="M5812" s="182" t="n">
        <v>8.859999999999999</v>
      </c>
      <c r="N5812" s="182" t="n">
        <v>0.32</v>
      </c>
      <c r="O5812" s="183" t="n">
        <v>31</v>
      </c>
      <c r="P5812" s="183" t="n">
        <v>1</v>
      </c>
      <c r="Q5812" s="184" t="n">
        <v>632.4</v>
      </c>
      <c r="R5812" s="184" t="n">
        <v>18.7</v>
      </c>
      <c r="S5812" s="183" t="n">
        <v>0</v>
      </c>
      <c r="T5812" s="183" t="n">
        <v>0</v>
      </c>
      <c r="U5812" s="182" t="n">
        <v>0</v>
      </c>
      <c r="V5812" s="182" t="n">
        <v>0</v>
      </c>
      <c r="W5812" s="182" t="n">
        <v>0</v>
      </c>
      <c r="X5812" s="182" t="n">
        <v>1.13</v>
      </c>
      <c r="Y5812" s="182" t="n">
        <v>0</v>
      </c>
      <c r="Z5812" s="182" t="n">
        <v>0</v>
      </c>
      <c r="AA5812" s="182" t="n">
        <v>0</v>
      </c>
      <c r="AB5812" s="182" t="n">
        <v>0</v>
      </c>
      <c r="AC5812" s="182" t="n">
        <v>0</v>
      </c>
      <c r="AD5812" s="182" t="n">
        <v>0</v>
      </c>
      <c r="AE5812" s="182" t="n">
        <v>0</v>
      </c>
      <c r="AF5812" s="182" t="n">
        <v>0</v>
      </c>
      <c r="AG5812" s="182" t="n">
        <v>0</v>
      </c>
      <c r="AH5812" s="182" t="n">
        <v>0.54</v>
      </c>
      <c r="AI5812" s="182" t="n">
        <v>0.9399999999999999</v>
      </c>
      <c r="AJ5812" s="182" t="n">
        <v>0</v>
      </c>
      <c r="AK5812" s="182" t="n">
        <v>0</v>
      </c>
      <c r="AL5812" s="182" t="n">
        <v>0</v>
      </c>
      <c r="AM5812" s="182" t="n">
        <v>0.09</v>
      </c>
      <c r="AN5812" s="182" t="n">
        <v>0</v>
      </c>
    </row>
    <row r="5813">
      <c r="A5813" s="155" t="n">
        <v>46108</v>
      </c>
      <c r="B5813" s="156" t="inlineStr">
        <is>
          <t>DS</t>
        </is>
      </c>
      <c r="C5813" s="156" t="inlineStr">
        <is>
          <t>DT-520</t>
        </is>
      </c>
      <c r="D5813" s="156" t="inlineStr">
        <is>
          <t>SKT 105S</t>
        </is>
      </c>
      <c r="E5813" s="156" t="inlineStr">
        <is>
          <t>Hauler</t>
        </is>
      </c>
      <c r="F5813" s="156" t="inlineStr">
        <is>
          <t>Hauling OB</t>
        </is>
      </c>
      <c r="G5813" s="182" t="n">
        <v>10.52</v>
      </c>
      <c r="H5813" s="182" t="n">
        <v>0</v>
      </c>
      <c r="I5813" s="182" t="n">
        <v>0</v>
      </c>
      <c r="J5813" s="182" t="n">
        <v>0</v>
      </c>
      <c r="K5813" s="182" t="n">
        <v>1.48</v>
      </c>
      <c r="L5813" s="182" t="n">
        <v>12</v>
      </c>
      <c r="M5813" s="182" t="n">
        <v>10.52</v>
      </c>
      <c r="N5813" s="182" t="n">
        <v>0</v>
      </c>
      <c r="O5813" s="183" t="n">
        <v>33</v>
      </c>
      <c r="P5813" s="183" t="n">
        <v>0</v>
      </c>
      <c r="Q5813" s="184" t="n">
        <v>673.2</v>
      </c>
      <c r="R5813" s="184" t="n">
        <v>0</v>
      </c>
      <c r="S5813" s="183" t="n">
        <v>0</v>
      </c>
      <c r="T5813" s="183" t="n">
        <v>0</v>
      </c>
      <c r="U5813" s="182" t="n">
        <v>0</v>
      </c>
      <c r="V5813" s="182" t="n">
        <v>0</v>
      </c>
      <c r="W5813" s="182" t="n">
        <v>0</v>
      </c>
      <c r="X5813" s="182" t="n">
        <v>0.82</v>
      </c>
      <c r="Y5813" s="182" t="n">
        <v>0</v>
      </c>
      <c r="Z5813" s="182" t="n">
        <v>0.06</v>
      </c>
      <c r="AA5813" s="182" t="n">
        <v>0</v>
      </c>
      <c r="AB5813" s="182" t="n">
        <v>0</v>
      </c>
      <c r="AC5813" s="182" t="n">
        <v>0</v>
      </c>
      <c r="AD5813" s="182" t="n">
        <v>0.23</v>
      </c>
      <c r="AE5813" s="182" t="n">
        <v>0</v>
      </c>
      <c r="AF5813" s="182" t="n">
        <v>0</v>
      </c>
      <c r="AG5813" s="182" t="n">
        <v>0</v>
      </c>
      <c r="AH5813" s="182" t="n">
        <v>0.3</v>
      </c>
      <c r="AI5813" s="182" t="n">
        <v>0</v>
      </c>
      <c r="AJ5813" s="182" t="n">
        <v>0</v>
      </c>
      <c r="AK5813" s="182" t="n">
        <v>0</v>
      </c>
      <c r="AL5813" s="182" t="n">
        <v>0</v>
      </c>
      <c r="AM5813" s="182" t="n">
        <v>0.07000000000000001</v>
      </c>
      <c r="AN5813" s="182" t="n">
        <v>0</v>
      </c>
    </row>
    <row r="5814">
      <c r="A5814" s="155" t="n">
        <v>46108</v>
      </c>
      <c r="B5814" s="156" t="inlineStr">
        <is>
          <t>DS</t>
        </is>
      </c>
      <c r="C5814" s="156" t="inlineStr">
        <is>
          <t>DT-511</t>
        </is>
      </c>
      <c r="D5814" s="156" t="inlineStr">
        <is>
          <t>SKT 105S</t>
        </is>
      </c>
      <c r="E5814" s="156" t="inlineStr">
        <is>
          <t>Hauler</t>
        </is>
      </c>
      <c r="F5814" s="156" t="inlineStr">
        <is>
          <t>Hauling OB</t>
        </is>
      </c>
      <c r="G5814" s="182" t="n">
        <v>4.63</v>
      </c>
      <c r="H5814" s="182" t="n">
        <v>0</v>
      </c>
      <c r="I5814" s="182" t="n">
        <v>1.83</v>
      </c>
      <c r="J5814" s="182" t="n">
        <v>1.83</v>
      </c>
      <c r="K5814" s="182" t="n">
        <v>5.54</v>
      </c>
      <c r="L5814" s="182" t="n">
        <v>12</v>
      </c>
      <c r="M5814" s="182" t="n">
        <v>4.63</v>
      </c>
      <c r="N5814" s="182" t="n">
        <v>0</v>
      </c>
      <c r="O5814" s="183" t="n">
        <v>19</v>
      </c>
      <c r="P5814" s="183" t="n">
        <v>0</v>
      </c>
      <c r="Q5814" s="184" t="n">
        <v>387.6</v>
      </c>
      <c r="R5814" s="184" t="n">
        <v>0</v>
      </c>
      <c r="S5814" s="183" t="n">
        <v>0</v>
      </c>
      <c r="T5814" s="183" t="n">
        <v>0</v>
      </c>
      <c r="U5814" s="182" t="n">
        <v>0</v>
      </c>
      <c r="V5814" s="182" t="n">
        <v>0</v>
      </c>
      <c r="W5814" s="182" t="n">
        <v>0</v>
      </c>
      <c r="X5814" s="182" t="n">
        <v>0.98</v>
      </c>
      <c r="Y5814" s="182" t="n">
        <v>0</v>
      </c>
      <c r="Z5814" s="182" t="n">
        <v>0</v>
      </c>
      <c r="AA5814" s="182" t="n">
        <v>0</v>
      </c>
      <c r="AB5814" s="182" t="n">
        <v>0</v>
      </c>
      <c r="AC5814" s="182" t="n">
        <v>0</v>
      </c>
      <c r="AD5814" s="182" t="n">
        <v>0</v>
      </c>
      <c r="AE5814" s="182" t="n">
        <v>0</v>
      </c>
      <c r="AF5814" s="182" t="n">
        <v>0</v>
      </c>
      <c r="AG5814" s="182" t="n">
        <v>0.62</v>
      </c>
      <c r="AH5814" s="182" t="n">
        <v>0.93</v>
      </c>
      <c r="AI5814" s="182" t="n">
        <v>0</v>
      </c>
      <c r="AJ5814" s="182" t="n">
        <v>0</v>
      </c>
      <c r="AK5814" s="182" t="n">
        <v>2.93</v>
      </c>
      <c r="AL5814" s="182" t="n">
        <v>0</v>
      </c>
      <c r="AM5814" s="182" t="n">
        <v>0.08</v>
      </c>
      <c r="AN5814" s="182" t="n">
        <v>0</v>
      </c>
    </row>
    <row r="5815">
      <c r="A5815" s="155" t="n">
        <v>46108</v>
      </c>
      <c r="B5815" s="156" t="inlineStr">
        <is>
          <t>DS</t>
        </is>
      </c>
      <c r="C5815" s="156" t="inlineStr">
        <is>
          <t>DT-509</t>
        </is>
      </c>
      <c r="D5815" s="156" t="inlineStr">
        <is>
          <t>SKT 105S</t>
        </is>
      </c>
      <c r="E5815" s="156" t="inlineStr">
        <is>
          <t>Hauler</t>
        </is>
      </c>
      <c r="F5815" s="156" t="inlineStr"/>
      <c r="G5815" s="182" t="n">
        <v>0</v>
      </c>
      <c r="H5815" s="182" t="n">
        <v>0</v>
      </c>
      <c r="I5815" s="182" t="n">
        <v>12</v>
      </c>
      <c r="J5815" s="182" t="n">
        <v>12</v>
      </c>
      <c r="K5815" s="182" t="n">
        <v>0</v>
      </c>
      <c r="L5815" s="182" t="n">
        <v>12</v>
      </c>
      <c r="M5815" s="182" t="n">
        <v>0</v>
      </c>
      <c r="N5815" s="182" t="n">
        <v>0</v>
      </c>
      <c r="O5815" s="183" t="n">
        <v>0</v>
      </c>
      <c r="P5815" s="183" t="n">
        <v>0</v>
      </c>
      <c r="Q5815" s="184" t="n">
        <v>0</v>
      </c>
      <c r="R5815" s="184" t="n">
        <v>0</v>
      </c>
      <c r="S5815" s="183" t="n">
        <v>0</v>
      </c>
      <c r="T5815" s="183" t="n">
        <v>0</v>
      </c>
      <c r="U5815" s="182" t="n">
        <v>0</v>
      </c>
      <c r="V5815" s="182" t="n">
        <v>0</v>
      </c>
      <c r="W5815" s="182" t="n">
        <v>0</v>
      </c>
      <c r="X5815" s="182" t="n">
        <v>0</v>
      </c>
      <c r="Y5815" s="182" t="n">
        <v>0</v>
      </c>
      <c r="Z5815" s="182" t="n">
        <v>0</v>
      </c>
      <c r="AA5815" s="182" t="n">
        <v>0</v>
      </c>
      <c r="AB5815" s="182" t="n">
        <v>0</v>
      </c>
      <c r="AC5815" s="182" t="n">
        <v>0</v>
      </c>
      <c r="AD5815" s="182" t="n">
        <v>0</v>
      </c>
      <c r="AE5815" s="182" t="n">
        <v>0</v>
      </c>
      <c r="AF5815" s="182" t="n">
        <v>0</v>
      </c>
      <c r="AG5815" s="182" t="n">
        <v>0</v>
      </c>
      <c r="AH5815" s="182" t="n">
        <v>0</v>
      </c>
      <c r="AI5815" s="182" t="n">
        <v>0</v>
      </c>
      <c r="AJ5815" s="182" t="n">
        <v>0</v>
      </c>
      <c r="AK5815" s="182" t="n">
        <v>0</v>
      </c>
      <c r="AL5815" s="182" t="n">
        <v>0</v>
      </c>
      <c r="AM5815" s="182" t="n">
        <v>0</v>
      </c>
      <c r="AN5815" s="182" t="n">
        <v>0</v>
      </c>
    </row>
    <row r="5816">
      <c r="A5816" s="155" t="n">
        <v>46108</v>
      </c>
      <c r="B5816" s="156" t="inlineStr">
        <is>
          <t>DS</t>
        </is>
      </c>
      <c r="C5816" s="156" t="inlineStr">
        <is>
          <t>DT-526</t>
        </is>
      </c>
      <c r="D5816" s="156" t="inlineStr">
        <is>
          <t>SKT 105S</t>
        </is>
      </c>
      <c r="E5816" s="156" t="inlineStr">
        <is>
          <t>Hauler</t>
        </is>
      </c>
      <c r="F5816" s="156" t="inlineStr">
        <is>
          <t>Hauling OB</t>
        </is>
      </c>
      <c r="G5816" s="182" t="n">
        <v>9.960000000000001</v>
      </c>
      <c r="H5816" s="182" t="n">
        <v>0</v>
      </c>
      <c r="I5816" s="182" t="n">
        <v>0</v>
      </c>
      <c r="J5816" s="182" t="n">
        <v>0</v>
      </c>
      <c r="K5816" s="182" t="n">
        <v>2.04</v>
      </c>
      <c r="L5816" s="182" t="n">
        <v>12</v>
      </c>
      <c r="M5816" s="182" t="n">
        <v>9.960000000000001</v>
      </c>
      <c r="N5816" s="182" t="n">
        <v>0</v>
      </c>
      <c r="O5816" s="183" t="n">
        <v>41</v>
      </c>
      <c r="P5816" s="183" t="n">
        <v>0</v>
      </c>
      <c r="Q5816" s="184" t="n">
        <v>836.4</v>
      </c>
      <c r="R5816" s="184" t="n">
        <v>0</v>
      </c>
      <c r="S5816" s="183" t="n">
        <v>0</v>
      </c>
      <c r="T5816" s="183" t="n">
        <v>0</v>
      </c>
      <c r="U5816" s="182" t="n">
        <v>0</v>
      </c>
      <c r="V5816" s="182" t="n">
        <v>0</v>
      </c>
      <c r="W5816" s="182" t="n">
        <v>0</v>
      </c>
      <c r="X5816" s="182" t="n">
        <v>1.02</v>
      </c>
      <c r="Y5816" s="182" t="n">
        <v>0</v>
      </c>
      <c r="Z5816" s="182" t="n">
        <v>0.07000000000000001</v>
      </c>
      <c r="AA5816" s="182" t="n">
        <v>0</v>
      </c>
      <c r="AB5816" s="182" t="n">
        <v>0</v>
      </c>
      <c r="AC5816" s="182" t="n">
        <v>0</v>
      </c>
      <c r="AD5816" s="182" t="n">
        <v>0.29</v>
      </c>
      <c r="AE5816" s="182" t="n">
        <v>0</v>
      </c>
      <c r="AF5816" s="182" t="n">
        <v>0</v>
      </c>
      <c r="AG5816" s="182" t="n">
        <v>0</v>
      </c>
      <c r="AH5816" s="182" t="n">
        <v>0.58</v>
      </c>
      <c r="AI5816" s="182" t="n">
        <v>0</v>
      </c>
      <c r="AJ5816" s="182" t="n">
        <v>0</v>
      </c>
      <c r="AK5816" s="182" t="n">
        <v>0</v>
      </c>
      <c r="AL5816" s="182" t="n">
        <v>0</v>
      </c>
      <c r="AM5816" s="182" t="n">
        <v>0.08</v>
      </c>
      <c r="AN5816" s="182" t="n">
        <v>0</v>
      </c>
    </row>
    <row r="5817">
      <c r="A5817" s="155" t="n">
        <v>46108</v>
      </c>
      <c r="B5817" s="156" t="inlineStr">
        <is>
          <t>DS</t>
        </is>
      </c>
      <c r="C5817" s="156" t="inlineStr">
        <is>
          <t>DT-508</t>
        </is>
      </c>
      <c r="D5817" s="156" t="inlineStr">
        <is>
          <t>SKT 105S</t>
        </is>
      </c>
      <c r="E5817" s="156" t="inlineStr">
        <is>
          <t>Hauler</t>
        </is>
      </c>
      <c r="F5817" s="156" t="inlineStr">
        <is>
          <t>Hauling OB</t>
        </is>
      </c>
      <c r="G5817" s="182" t="n">
        <v>5.34</v>
      </c>
      <c r="H5817" s="182" t="n">
        <v>0</v>
      </c>
      <c r="I5817" s="182" t="n">
        <v>0</v>
      </c>
      <c r="J5817" s="182" t="n">
        <v>0</v>
      </c>
      <c r="K5817" s="182" t="n">
        <v>6.66</v>
      </c>
      <c r="L5817" s="182" t="n">
        <v>12</v>
      </c>
      <c r="M5817" s="182" t="n">
        <v>5.34</v>
      </c>
      <c r="N5817" s="182" t="n">
        <v>0</v>
      </c>
      <c r="O5817" s="183" t="n">
        <v>17</v>
      </c>
      <c r="P5817" s="183" t="n">
        <v>0</v>
      </c>
      <c r="Q5817" s="184" t="n">
        <v>346.8</v>
      </c>
      <c r="R5817" s="184" t="n">
        <v>0</v>
      </c>
      <c r="S5817" s="183" t="n">
        <v>0</v>
      </c>
      <c r="T5817" s="183" t="n">
        <v>0</v>
      </c>
      <c r="U5817" s="182" t="n">
        <v>0</v>
      </c>
      <c r="V5817" s="182" t="n">
        <v>0</v>
      </c>
      <c r="W5817" s="182" t="n">
        <v>0</v>
      </c>
      <c r="X5817" s="182" t="n">
        <v>0.99</v>
      </c>
      <c r="Y5817" s="182" t="n">
        <v>0</v>
      </c>
      <c r="Z5817" s="182" t="n">
        <v>0.07000000000000001</v>
      </c>
      <c r="AA5817" s="182" t="n">
        <v>0</v>
      </c>
      <c r="AB5817" s="182" t="n">
        <v>0</v>
      </c>
      <c r="AC5817" s="182" t="n">
        <v>0</v>
      </c>
      <c r="AD5817" s="182" t="n">
        <v>0.47</v>
      </c>
      <c r="AE5817" s="182" t="n">
        <v>0</v>
      </c>
      <c r="AF5817" s="182" t="n">
        <v>0</v>
      </c>
      <c r="AG5817" s="182" t="n">
        <v>0.07000000000000001</v>
      </c>
      <c r="AH5817" s="182" t="n">
        <v>0.52</v>
      </c>
      <c r="AI5817" s="182" t="n">
        <v>3.5</v>
      </c>
      <c r="AJ5817" s="182" t="n">
        <v>0</v>
      </c>
      <c r="AK5817" s="182" t="n">
        <v>0.97</v>
      </c>
      <c r="AL5817" s="182" t="n">
        <v>0</v>
      </c>
      <c r="AM5817" s="182" t="n">
        <v>0.08</v>
      </c>
      <c r="AN5817" s="182" t="n">
        <v>0</v>
      </c>
    </row>
    <row r="5818">
      <c r="A5818" s="155" t="n">
        <v>46108</v>
      </c>
      <c r="B5818" s="156" t="inlineStr">
        <is>
          <t>DS</t>
        </is>
      </c>
      <c r="C5818" s="156" t="inlineStr">
        <is>
          <t>DT-515</t>
        </is>
      </c>
      <c r="D5818" s="156" t="inlineStr">
        <is>
          <t>SKT 105S</t>
        </is>
      </c>
      <c r="E5818" s="156" t="inlineStr">
        <is>
          <t>Hauler</t>
        </is>
      </c>
      <c r="F5818" s="156" t="inlineStr">
        <is>
          <t>Hauling OB</t>
        </is>
      </c>
      <c r="G5818" s="182" t="n">
        <v>9.619999999999999</v>
      </c>
      <c r="H5818" s="182" t="n">
        <v>0</v>
      </c>
      <c r="I5818" s="182" t="n">
        <v>1.07</v>
      </c>
      <c r="J5818" s="182" t="n">
        <v>1.07</v>
      </c>
      <c r="K5818" s="182" t="n">
        <v>1.31</v>
      </c>
      <c r="L5818" s="182" t="n">
        <v>12</v>
      </c>
      <c r="M5818" s="182" t="n">
        <v>9.619999999999999</v>
      </c>
      <c r="N5818" s="182" t="n">
        <v>0</v>
      </c>
      <c r="O5818" s="183" t="n">
        <v>30</v>
      </c>
      <c r="P5818" s="183" t="n">
        <v>0</v>
      </c>
      <c r="Q5818" s="184" t="n">
        <v>612</v>
      </c>
      <c r="R5818" s="184" t="n">
        <v>0</v>
      </c>
      <c r="S5818" s="183" t="n">
        <v>0</v>
      </c>
      <c r="T5818" s="183" t="n">
        <v>0</v>
      </c>
      <c r="U5818" s="182" t="n">
        <v>0</v>
      </c>
      <c r="V5818" s="182" t="n">
        <v>0</v>
      </c>
      <c r="W5818" s="182" t="n">
        <v>0</v>
      </c>
      <c r="X5818" s="182" t="n">
        <v>1.07</v>
      </c>
      <c r="Y5818" s="182" t="n">
        <v>0</v>
      </c>
      <c r="Z5818" s="182" t="n">
        <v>0.07000000000000001</v>
      </c>
      <c r="AA5818" s="182" t="n">
        <v>0</v>
      </c>
      <c r="AB5818" s="182" t="n">
        <v>0</v>
      </c>
      <c r="AC5818" s="182" t="n">
        <v>0</v>
      </c>
      <c r="AD5818" s="182" t="n">
        <v>0</v>
      </c>
      <c r="AE5818" s="182" t="n">
        <v>0</v>
      </c>
      <c r="AF5818" s="182" t="n">
        <v>0</v>
      </c>
      <c r="AG5818" s="182" t="n">
        <v>0</v>
      </c>
      <c r="AH5818" s="182" t="n">
        <v>0.09</v>
      </c>
      <c r="AI5818" s="182" t="n">
        <v>0</v>
      </c>
      <c r="AJ5818" s="182" t="n">
        <v>0</v>
      </c>
      <c r="AK5818" s="182" t="n">
        <v>0</v>
      </c>
      <c r="AL5818" s="182" t="n">
        <v>0</v>
      </c>
      <c r="AM5818" s="182" t="n">
        <v>0.09</v>
      </c>
      <c r="AN5818" s="182" t="n">
        <v>0</v>
      </c>
    </row>
    <row r="5819">
      <c r="A5819" s="155" t="n">
        <v>46108</v>
      </c>
      <c r="B5819" s="156" t="inlineStr">
        <is>
          <t>DS</t>
        </is>
      </c>
      <c r="C5819" s="156" t="inlineStr">
        <is>
          <t>DT-524</t>
        </is>
      </c>
      <c r="D5819" s="156" t="inlineStr">
        <is>
          <t>SKT 105S</t>
        </is>
      </c>
      <c r="E5819" s="156" t="inlineStr">
        <is>
          <t>Hauler</t>
        </is>
      </c>
      <c r="F5819" s="156" t="inlineStr"/>
      <c r="G5819" s="182" t="n">
        <v>0</v>
      </c>
      <c r="H5819" s="182" t="n">
        <v>0</v>
      </c>
      <c r="I5819" s="182" t="n">
        <v>12</v>
      </c>
      <c r="J5819" s="182" t="n">
        <v>12</v>
      </c>
      <c r="K5819" s="182" t="n">
        <v>0</v>
      </c>
      <c r="L5819" s="182" t="n">
        <v>12</v>
      </c>
      <c r="M5819" s="182" t="n">
        <v>0</v>
      </c>
      <c r="N5819" s="182" t="n">
        <v>0</v>
      </c>
      <c r="O5819" s="183" t="n">
        <v>0</v>
      </c>
      <c r="P5819" s="183" t="n">
        <v>0</v>
      </c>
      <c r="Q5819" s="184" t="n">
        <v>0</v>
      </c>
      <c r="R5819" s="184" t="n">
        <v>0</v>
      </c>
      <c r="S5819" s="183" t="n">
        <v>0</v>
      </c>
      <c r="T5819" s="183" t="n">
        <v>0</v>
      </c>
      <c r="U5819" s="182" t="n">
        <v>0</v>
      </c>
      <c r="V5819" s="182" t="n">
        <v>0</v>
      </c>
      <c r="W5819" s="182" t="n">
        <v>0</v>
      </c>
      <c r="X5819" s="182" t="n">
        <v>0</v>
      </c>
      <c r="Y5819" s="182" t="n">
        <v>0</v>
      </c>
      <c r="Z5819" s="182" t="n">
        <v>0</v>
      </c>
      <c r="AA5819" s="182" t="n">
        <v>0</v>
      </c>
      <c r="AB5819" s="182" t="n">
        <v>0</v>
      </c>
      <c r="AC5819" s="182" t="n">
        <v>0</v>
      </c>
      <c r="AD5819" s="182" t="n">
        <v>0</v>
      </c>
      <c r="AE5819" s="182" t="n">
        <v>0</v>
      </c>
      <c r="AF5819" s="182" t="n">
        <v>0</v>
      </c>
      <c r="AG5819" s="182" t="n">
        <v>0</v>
      </c>
      <c r="AH5819" s="182" t="n">
        <v>0</v>
      </c>
      <c r="AI5819" s="182" t="n">
        <v>0</v>
      </c>
      <c r="AJ5819" s="182" t="n">
        <v>0</v>
      </c>
      <c r="AK5819" s="182" t="n">
        <v>0</v>
      </c>
      <c r="AL5819" s="182" t="n">
        <v>0</v>
      </c>
      <c r="AM5819" s="182" t="n">
        <v>0</v>
      </c>
      <c r="AN5819" s="182" t="n">
        <v>0</v>
      </c>
    </row>
    <row r="5820">
      <c r="A5820" s="155" t="n">
        <v>46108</v>
      </c>
      <c r="B5820" s="156" t="inlineStr">
        <is>
          <t>DS</t>
        </is>
      </c>
      <c r="C5820" s="156" t="inlineStr">
        <is>
          <t>DT-341</t>
        </is>
      </c>
      <c r="D5820" s="156" t="inlineStr">
        <is>
          <t>SYZ324C-8W</t>
        </is>
      </c>
      <c r="E5820" s="156" t="inlineStr">
        <is>
          <t>Hauler</t>
        </is>
      </c>
      <c r="F5820" s="156" t="inlineStr">
        <is>
          <t>Rehandling Coal WP</t>
        </is>
      </c>
      <c r="G5820" s="182" t="n">
        <v>6.8</v>
      </c>
      <c r="H5820" s="182" t="n">
        <v>0</v>
      </c>
      <c r="I5820" s="182" t="n">
        <v>0</v>
      </c>
      <c r="J5820" s="182" t="n">
        <v>0</v>
      </c>
      <c r="K5820" s="182" t="n">
        <v>5.2</v>
      </c>
      <c r="L5820" s="182" t="n">
        <v>12</v>
      </c>
      <c r="M5820" s="182" t="n">
        <v>0</v>
      </c>
      <c r="N5820" s="182" t="n">
        <v>0</v>
      </c>
      <c r="O5820" s="183" t="n">
        <v>0</v>
      </c>
      <c r="P5820" s="183" t="n">
        <v>0</v>
      </c>
      <c r="Q5820" s="184" t="n">
        <v>0</v>
      </c>
      <c r="R5820" s="184" t="n">
        <v>0</v>
      </c>
      <c r="S5820" s="183" t="n">
        <v>0</v>
      </c>
      <c r="T5820" s="183" t="n">
        <v>0</v>
      </c>
      <c r="U5820" s="182" t="n">
        <v>0</v>
      </c>
      <c r="V5820" s="182" t="n">
        <v>0</v>
      </c>
      <c r="W5820" s="182" t="n">
        <v>0</v>
      </c>
      <c r="X5820" s="182" t="n">
        <v>0.96</v>
      </c>
      <c r="Y5820" s="182" t="n">
        <v>0</v>
      </c>
      <c r="Z5820" s="182" t="n">
        <v>0.07000000000000001</v>
      </c>
      <c r="AA5820" s="182" t="n">
        <v>0</v>
      </c>
      <c r="AB5820" s="182" t="n">
        <v>0</v>
      </c>
      <c r="AC5820" s="182" t="n">
        <v>0</v>
      </c>
      <c r="AD5820" s="182" t="n">
        <v>0</v>
      </c>
      <c r="AE5820" s="182" t="n">
        <v>0</v>
      </c>
      <c r="AF5820" s="182" t="n">
        <v>0</v>
      </c>
      <c r="AG5820" s="182" t="n">
        <v>0</v>
      </c>
      <c r="AH5820" s="182" t="n">
        <v>0</v>
      </c>
      <c r="AI5820" s="182" t="n">
        <v>0</v>
      </c>
      <c r="AJ5820" s="182" t="n">
        <v>0</v>
      </c>
      <c r="AK5820" s="182" t="n">
        <v>4.09</v>
      </c>
      <c r="AL5820" s="182" t="n">
        <v>0</v>
      </c>
      <c r="AM5820" s="182" t="n">
        <v>0.08</v>
      </c>
      <c r="AN5820" s="182" t="n">
        <v>0</v>
      </c>
    </row>
    <row r="5821">
      <c r="A5821" s="155" t="n">
        <v>46108</v>
      </c>
      <c r="B5821" s="156" t="inlineStr">
        <is>
          <t>DS</t>
        </is>
      </c>
      <c r="C5821" s="156" t="inlineStr">
        <is>
          <t>DT-342</t>
        </is>
      </c>
      <c r="D5821" s="156" t="inlineStr">
        <is>
          <t>SYZ324C-8W</t>
        </is>
      </c>
      <c r="E5821" s="156" t="inlineStr">
        <is>
          <t>Hauler</t>
        </is>
      </c>
      <c r="F5821" s="156" t="inlineStr">
        <is>
          <t>Rehandling Coal WP</t>
        </is>
      </c>
      <c r="G5821" s="182" t="n">
        <v>7.45</v>
      </c>
      <c r="H5821" s="182" t="n">
        <v>0</v>
      </c>
      <c r="I5821" s="182" t="n">
        <v>0</v>
      </c>
      <c r="J5821" s="182" t="n">
        <v>0</v>
      </c>
      <c r="K5821" s="182" t="n">
        <v>4.55</v>
      </c>
      <c r="L5821" s="182" t="n">
        <v>12</v>
      </c>
      <c r="M5821" s="182" t="n">
        <v>0</v>
      </c>
      <c r="N5821" s="182" t="n">
        <v>0</v>
      </c>
      <c r="O5821" s="183" t="n">
        <v>0</v>
      </c>
      <c r="P5821" s="183" t="n">
        <v>0</v>
      </c>
      <c r="Q5821" s="184" t="n">
        <v>0</v>
      </c>
      <c r="R5821" s="184" t="n">
        <v>0</v>
      </c>
      <c r="S5821" s="183" t="n">
        <v>0</v>
      </c>
      <c r="T5821" s="183" t="n">
        <v>0</v>
      </c>
      <c r="U5821" s="182" t="n">
        <v>0</v>
      </c>
      <c r="V5821" s="182" t="n">
        <v>0</v>
      </c>
      <c r="W5821" s="182" t="n">
        <v>0</v>
      </c>
      <c r="X5821" s="182" t="n">
        <v>0.99</v>
      </c>
      <c r="Y5821" s="182" t="n">
        <v>0</v>
      </c>
      <c r="Z5821" s="182" t="n">
        <v>0</v>
      </c>
      <c r="AA5821" s="182" t="n">
        <v>0</v>
      </c>
      <c r="AB5821" s="182" t="n">
        <v>0</v>
      </c>
      <c r="AC5821" s="182" t="n">
        <v>0</v>
      </c>
      <c r="AD5821" s="182" t="n">
        <v>0</v>
      </c>
      <c r="AE5821" s="182" t="n">
        <v>0</v>
      </c>
      <c r="AF5821" s="182" t="n">
        <v>0</v>
      </c>
      <c r="AG5821" s="182" t="n">
        <v>0</v>
      </c>
      <c r="AH5821" s="182" t="n">
        <v>0</v>
      </c>
      <c r="AI5821" s="182" t="n">
        <v>0</v>
      </c>
      <c r="AJ5821" s="182" t="n">
        <v>0</v>
      </c>
      <c r="AK5821" s="182" t="n">
        <v>3.48</v>
      </c>
      <c r="AL5821" s="182" t="n">
        <v>0</v>
      </c>
      <c r="AM5821" s="182" t="n">
        <v>0.08</v>
      </c>
      <c r="AN5821" s="182" t="n">
        <v>0</v>
      </c>
    </row>
    <row r="5822">
      <c r="A5822" s="155" t="n">
        <v>46108</v>
      </c>
      <c r="B5822" s="156" t="inlineStr">
        <is>
          <t>DS</t>
        </is>
      </c>
      <c r="C5822" s="156" t="inlineStr">
        <is>
          <t>HD-903</t>
        </is>
      </c>
      <c r="D5822" s="156" t="inlineStr">
        <is>
          <t>SRT 95C</t>
        </is>
      </c>
      <c r="E5822" s="156" t="inlineStr">
        <is>
          <t>Hauler</t>
        </is>
      </c>
      <c r="F5822" s="156" t="inlineStr"/>
      <c r="G5822" s="182" t="n">
        <v>0</v>
      </c>
      <c r="H5822" s="182" t="n">
        <v>0</v>
      </c>
      <c r="I5822" s="182" t="n">
        <v>12</v>
      </c>
      <c r="J5822" s="182" t="n">
        <v>12</v>
      </c>
      <c r="K5822" s="182" t="n">
        <v>0</v>
      </c>
      <c r="L5822" s="182" t="n">
        <v>12</v>
      </c>
      <c r="M5822" s="182" t="n">
        <v>0</v>
      </c>
      <c r="N5822" s="182" t="n">
        <v>0</v>
      </c>
      <c r="O5822" s="183" t="n">
        <v>0</v>
      </c>
      <c r="P5822" s="183" t="n">
        <v>0</v>
      </c>
      <c r="Q5822" s="184" t="n">
        <v>0</v>
      </c>
      <c r="R5822" s="184" t="n">
        <v>0</v>
      </c>
      <c r="S5822" s="183" t="n">
        <v>0</v>
      </c>
      <c r="T5822" s="183" t="n">
        <v>0</v>
      </c>
      <c r="U5822" s="182" t="n">
        <v>0</v>
      </c>
      <c r="V5822" s="182" t="n">
        <v>0</v>
      </c>
      <c r="W5822" s="182" t="n">
        <v>0</v>
      </c>
      <c r="X5822" s="182" t="n">
        <v>0</v>
      </c>
      <c r="Y5822" s="182" t="n">
        <v>0</v>
      </c>
      <c r="Z5822" s="182" t="n">
        <v>0</v>
      </c>
      <c r="AA5822" s="182" t="n">
        <v>0</v>
      </c>
      <c r="AB5822" s="182" t="n">
        <v>0</v>
      </c>
      <c r="AC5822" s="182" t="n">
        <v>0</v>
      </c>
      <c r="AD5822" s="182" t="n">
        <v>0</v>
      </c>
      <c r="AE5822" s="182" t="n">
        <v>0</v>
      </c>
      <c r="AF5822" s="182" t="n">
        <v>0</v>
      </c>
      <c r="AG5822" s="182" t="n">
        <v>0</v>
      </c>
      <c r="AH5822" s="182" t="n">
        <v>0</v>
      </c>
      <c r="AI5822" s="182" t="n">
        <v>0</v>
      </c>
      <c r="AJ5822" s="182" t="n">
        <v>0</v>
      </c>
      <c r="AK5822" s="182" t="n">
        <v>0</v>
      </c>
      <c r="AL5822" s="182" t="n">
        <v>0</v>
      </c>
      <c r="AM5822" s="182" t="n">
        <v>0</v>
      </c>
      <c r="AN5822" s="182" t="n">
        <v>0</v>
      </c>
    </row>
    <row r="5823">
      <c r="A5823" s="155" t="n">
        <v>46108</v>
      </c>
      <c r="B5823" s="156" t="inlineStr">
        <is>
          <t>DS</t>
        </is>
      </c>
      <c r="C5823" s="156" t="inlineStr">
        <is>
          <t>HD-905</t>
        </is>
      </c>
      <c r="D5823" s="156" t="inlineStr">
        <is>
          <t>SRT 95C</t>
        </is>
      </c>
      <c r="E5823" s="156" t="inlineStr">
        <is>
          <t>Hauler</t>
        </is>
      </c>
      <c r="F5823" s="156" t="inlineStr">
        <is>
          <t>Hauling OB</t>
        </is>
      </c>
      <c r="G5823" s="182" t="n">
        <v>5.74</v>
      </c>
      <c r="H5823" s="182" t="n">
        <v>0</v>
      </c>
      <c r="I5823" s="182" t="n">
        <v>3.75</v>
      </c>
      <c r="J5823" s="182" t="n">
        <v>3.75</v>
      </c>
      <c r="K5823" s="182" t="n">
        <v>2.51</v>
      </c>
      <c r="L5823" s="182" t="n">
        <v>12</v>
      </c>
      <c r="M5823" s="182" t="n">
        <v>5.74</v>
      </c>
      <c r="N5823" s="182" t="n">
        <v>0</v>
      </c>
      <c r="O5823" s="183" t="n">
        <v>22</v>
      </c>
      <c r="P5823" s="183" t="n">
        <v>0</v>
      </c>
      <c r="Q5823" s="184" t="n">
        <v>785.4</v>
      </c>
      <c r="R5823" s="184" t="n">
        <v>0</v>
      </c>
      <c r="S5823" s="183" t="n">
        <v>0</v>
      </c>
      <c r="T5823" s="183" t="n">
        <v>0</v>
      </c>
      <c r="U5823" s="182" t="n">
        <v>0</v>
      </c>
      <c r="V5823" s="182" t="n">
        <v>0</v>
      </c>
      <c r="W5823" s="182" t="n">
        <v>0</v>
      </c>
      <c r="X5823" s="182" t="n">
        <v>1.02</v>
      </c>
      <c r="Y5823" s="182" t="n">
        <v>0</v>
      </c>
      <c r="Z5823" s="182" t="n">
        <v>0</v>
      </c>
      <c r="AA5823" s="182" t="n">
        <v>0</v>
      </c>
      <c r="AB5823" s="182" t="n">
        <v>0</v>
      </c>
      <c r="AC5823" s="182" t="n">
        <v>0</v>
      </c>
      <c r="AD5823" s="182" t="n">
        <v>0.48</v>
      </c>
      <c r="AE5823" s="182" t="n">
        <v>0</v>
      </c>
      <c r="AF5823" s="182" t="n">
        <v>0</v>
      </c>
      <c r="AG5823" s="182" t="n">
        <v>0.6899999999999999</v>
      </c>
      <c r="AH5823" s="182" t="n">
        <v>0.24</v>
      </c>
      <c r="AI5823" s="182" t="n">
        <v>0</v>
      </c>
      <c r="AJ5823" s="182" t="n">
        <v>0</v>
      </c>
      <c r="AK5823" s="182" t="n">
        <v>0</v>
      </c>
      <c r="AL5823" s="182" t="n">
        <v>0</v>
      </c>
      <c r="AM5823" s="182" t="n">
        <v>0.08</v>
      </c>
      <c r="AN5823" s="182" t="n">
        <v>0</v>
      </c>
    </row>
    <row r="5824">
      <c r="A5824" s="155" t="n">
        <v>46108</v>
      </c>
      <c r="B5824" s="156" t="inlineStr">
        <is>
          <t>DS</t>
        </is>
      </c>
      <c r="C5824" s="156" t="inlineStr">
        <is>
          <t>HD-901</t>
        </is>
      </c>
      <c r="D5824" s="156" t="inlineStr">
        <is>
          <t>SRT 95C</t>
        </is>
      </c>
      <c r="E5824" s="156" t="inlineStr">
        <is>
          <t>Hauler</t>
        </is>
      </c>
      <c r="F5824" s="156" t="inlineStr">
        <is>
          <t>Hauling OB</t>
        </is>
      </c>
      <c r="G5824" s="182" t="n">
        <v>1.54</v>
      </c>
      <c r="H5824" s="182" t="n">
        <v>0</v>
      </c>
      <c r="I5824" s="182" t="n">
        <v>3.83</v>
      </c>
      <c r="J5824" s="182" t="n">
        <v>3.83</v>
      </c>
      <c r="K5824" s="182" t="n">
        <v>6.63</v>
      </c>
      <c r="L5824" s="182" t="n">
        <v>12</v>
      </c>
      <c r="M5824" s="182" t="n">
        <v>1.54</v>
      </c>
      <c r="N5824" s="182" t="n">
        <v>0</v>
      </c>
      <c r="O5824" s="183" t="n">
        <v>3</v>
      </c>
      <c r="P5824" s="183" t="n">
        <v>0</v>
      </c>
      <c r="Q5824" s="184" t="n">
        <v>107.1</v>
      </c>
      <c r="R5824" s="184" t="n">
        <v>0</v>
      </c>
      <c r="S5824" s="183" t="n">
        <v>0</v>
      </c>
      <c r="T5824" s="183" t="n">
        <v>0</v>
      </c>
      <c r="U5824" s="182" t="n">
        <v>0</v>
      </c>
      <c r="V5824" s="182" t="n">
        <v>0</v>
      </c>
      <c r="W5824" s="182" t="n">
        <v>0</v>
      </c>
      <c r="X5824" s="182" t="n">
        <v>0</v>
      </c>
      <c r="Y5824" s="182" t="n">
        <v>0</v>
      </c>
      <c r="Z5824" s="182" t="n">
        <v>0</v>
      </c>
      <c r="AA5824" s="182" t="n">
        <v>0</v>
      </c>
      <c r="AB5824" s="182" t="n">
        <v>0</v>
      </c>
      <c r="AC5824" s="182" t="n">
        <v>0</v>
      </c>
      <c r="AD5824" s="182" t="n">
        <v>0</v>
      </c>
      <c r="AE5824" s="182" t="n">
        <v>0</v>
      </c>
      <c r="AF5824" s="182" t="n">
        <v>0</v>
      </c>
      <c r="AG5824" s="182" t="n">
        <v>0</v>
      </c>
      <c r="AH5824" s="182" t="n">
        <v>0.22</v>
      </c>
      <c r="AI5824" s="182" t="n">
        <v>3.45</v>
      </c>
      <c r="AJ5824" s="182" t="n">
        <v>0</v>
      </c>
      <c r="AK5824" s="182" t="n">
        <v>2.89</v>
      </c>
      <c r="AL5824" s="182" t="n">
        <v>0</v>
      </c>
      <c r="AM5824" s="182" t="n">
        <v>0.08</v>
      </c>
      <c r="AN5824" s="182" t="n">
        <v>0</v>
      </c>
    </row>
    <row r="5825">
      <c r="A5825" s="155" t="n">
        <v>46108</v>
      </c>
      <c r="B5825" s="156" t="inlineStr">
        <is>
          <t>DS</t>
        </is>
      </c>
      <c r="C5825" s="156" t="inlineStr">
        <is>
          <t>HD-904</t>
        </is>
      </c>
      <c r="D5825" s="156" t="inlineStr">
        <is>
          <t>SRT 95C</t>
        </is>
      </c>
      <c r="E5825" s="156" t="inlineStr">
        <is>
          <t>Hauler</t>
        </is>
      </c>
      <c r="F5825" s="156" t="inlineStr">
        <is>
          <t>Hauling OB</t>
        </is>
      </c>
      <c r="G5825" s="182" t="n">
        <v>4.2</v>
      </c>
      <c r="H5825" s="182" t="n">
        <v>0</v>
      </c>
      <c r="I5825" s="182" t="n">
        <v>0</v>
      </c>
      <c r="J5825" s="182" t="n">
        <v>0</v>
      </c>
      <c r="K5825" s="182" t="n">
        <v>7.8</v>
      </c>
      <c r="L5825" s="182" t="n">
        <v>12</v>
      </c>
      <c r="M5825" s="182" t="n">
        <v>4.2</v>
      </c>
      <c r="N5825" s="182" t="n">
        <v>0</v>
      </c>
      <c r="O5825" s="183" t="n">
        <v>17</v>
      </c>
      <c r="P5825" s="183" t="n">
        <v>0</v>
      </c>
      <c r="Q5825" s="184" t="n">
        <v>606.9</v>
      </c>
      <c r="R5825" s="184" t="n">
        <v>0</v>
      </c>
      <c r="S5825" s="183" t="n">
        <v>0</v>
      </c>
      <c r="T5825" s="183" t="n">
        <v>0</v>
      </c>
      <c r="U5825" s="182" t="n">
        <v>0</v>
      </c>
      <c r="V5825" s="182" t="n">
        <v>0</v>
      </c>
      <c r="W5825" s="182" t="n">
        <v>0</v>
      </c>
      <c r="X5825" s="182" t="n">
        <v>0.97</v>
      </c>
      <c r="Y5825" s="182" t="n">
        <v>0</v>
      </c>
      <c r="Z5825" s="182" t="n">
        <v>0</v>
      </c>
      <c r="AA5825" s="182" t="n">
        <v>0</v>
      </c>
      <c r="AB5825" s="182" t="n">
        <v>0</v>
      </c>
      <c r="AC5825" s="182" t="n">
        <v>0</v>
      </c>
      <c r="AD5825" s="182" t="n">
        <v>0.46</v>
      </c>
      <c r="AE5825" s="182" t="n">
        <v>0</v>
      </c>
      <c r="AF5825" s="182" t="n">
        <v>0</v>
      </c>
      <c r="AG5825" s="182" t="n">
        <v>0</v>
      </c>
      <c r="AH5825" s="182" t="n">
        <v>0</v>
      </c>
      <c r="AI5825" s="182" t="n">
        <v>3.43</v>
      </c>
      <c r="AJ5825" s="182" t="n">
        <v>0</v>
      </c>
      <c r="AK5825" s="182" t="n">
        <v>2.86</v>
      </c>
      <c r="AL5825" s="182" t="n">
        <v>0</v>
      </c>
      <c r="AM5825" s="182" t="n">
        <v>0.08</v>
      </c>
      <c r="AN5825" s="182" t="n">
        <v>0</v>
      </c>
    </row>
    <row r="5826">
      <c r="A5826" s="155" t="n">
        <v>46108</v>
      </c>
      <c r="B5826" s="156" t="inlineStr">
        <is>
          <t>DS</t>
        </is>
      </c>
      <c r="C5826" s="156" t="inlineStr">
        <is>
          <t>HD-902</t>
        </is>
      </c>
      <c r="D5826" s="156" t="inlineStr">
        <is>
          <t>SRT 95C</t>
        </is>
      </c>
      <c r="E5826" s="156" t="inlineStr">
        <is>
          <t>Hauler</t>
        </is>
      </c>
      <c r="F5826" s="156" t="inlineStr">
        <is>
          <t>Hauling OB</t>
        </is>
      </c>
      <c r="G5826" s="182" t="n">
        <v>5.07</v>
      </c>
      <c r="H5826" s="182" t="n">
        <v>0</v>
      </c>
      <c r="I5826" s="182" t="n">
        <v>0</v>
      </c>
      <c r="J5826" s="182" t="n">
        <v>0</v>
      </c>
      <c r="K5826" s="182" t="n">
        <v>6.93</v>
      </c>
      <c r="L5826" s="182" t="n">
        <v>12</v>
      </c>
      <c r="M5826" s="182" t="n">
        <v>4.85</v>
      </c>
      <c r="N5826" s="182" t="n">
        <v>0</v>
      </c>
      <c r="O5826" s="183" t="n">
        <v>17</v>
      </c>
      <c r="P5826" s="183" t="n">
        <v>0</v>
      </c>
      <c r="Q5826" s="184" t="n">
        <v>606.9</v>
      </c>
      <c r="R5826" s="184" t="n">
        <v>0</v>
      </c>
      <c r="S5826" s="183" t="n">
        <v>0</v>
      </c>
      <c r="T5826" s="183" t="n">
        <v>0</v>
      </c>
      <c r="U5826" s="182" t="n">
        <v>0</v>
      </c>
      <c r="V5826" s="182" t="n">
        <v>0</v>
      </c>
      <c r="W5826" s="182" t="n">
        <v>0</v>
      </c>
      <c r="X5826" s="182" t="n">
        <v>1.03</v>
      </c>
      <c r="Y5826" s="182" t="n">
        <v>0</v>
      </c>
      <c r="Z5826" s="182" t="n">
        <v>0</v>
      </c>
      <c r="AA5826" s="182" t="n">
        <v>0</v>
      </c>
      <c r="AB5826" s="182" t="n">
        <v>0</v>
      </c>
      <c r="AC5826" s="182" t="n">
        <v>0</v>
      </c>
      <c r="AD5826" s="182" t="n">
        <v>0.49</v>
      </c>
      <c r="AE5826" s="182" t="n">
        <v>0</v>
      </c>
      <c r="AF5826" s="182" t="n">
        <v>0</v>
      </c>
      <c r="AG5826" s="182" t="n">
        <v>0</v>
      </c>
      <c r="AH5826" s="182" t="n">
        <v>0.41</v>
      </c>
      <c r="AI5826" s="182" t="n">
        <v>3.64</v>
      </c>
      <c r="AJ5826" s="182" t="n">
        <v>0</v>
      </c>
      <c r="AK5826" s="182" t="n">
        <v>1.27</v>
      </c>
      <c r="AL5826" s="182" t="n">
        <v>0</v>
      </c>
      <c r="AM5826" s="182" t="n">
        <v>0.08</v>
      </c>
      <c r="AN5826" s="182" t="n">
        <v>0</v>
      </c>
    </row>
    <row r="5827">
      <c r="A5827" s="155" t="n">
        <v>46108</v>
      </c>
      <c r="B5827" s="156" t="inlineStr">
        <is>
          <t>DS</t>
        </is>
      </c>
      <c r="C5827" s="156" t="inlineStr">
        <is>
          <t>WL-025</t>
        </is>
      </c>
      <c r="D5827" s="156" t="inlineStr">
        <is>
          <t>SANY - Loader</t>
        </is>
      </c>
      <c r="E5827" s="156" t="inlineStr">
        <is>
          <t>Loader</t>
        </is>
      </c>
      <c r="F5827" s="156" t="inlineStr"/>
      <c r="G5827" s="182" t="n">
        <v>0</v>
      </c>
      <c r="H5827" s="182" t="n">
        <v>0</v>
      </c>
      <c r="I5827" s="182" t="n">
        <v>0.5</v>
      </c>
      <c r="J5827" s="182" t="n">
        <v>0.5</v>
      </c>
      <c r="K5827" s="182" t="n">
        <v>11.5</v>
      </c>
      <c r="L5827" s="182" t="n">
        <v>12</v>
      </c>
      <c r="M5827" s="182" t="n">
        <v>0</v>
      </c>
      <c r="N5827" s="182" t="n">
        <v>0</v>
      </c>
      <c r="O5827" s="183" t="n">
        <v>0</v>
      </c>
      <c r="P5827" s="183" t="n">
        <v>0</v>
      </c>
      <c r="Q5827" s="184" t="n">
        <v>0</v>
      </c>
      <c r="R5827" s="184" t="n">
        <v>0</v>
      </c>
      <c r="S5827" s="183" t="n">
        <v>0</v>
      </c>
      <c r="T5827" s="183" t="n">
        <v>0</v>
      </c>
      <c r="U5827" s="182" t="n">
        <v>0</v>
      </c>
      <c r="V5827" s="182" t="n">
        <v>0</v>
      </c>
      <c r="W5827" s="182" t="n">
        <v>0</v>
      </c>
      <c r="X5827" s="182" t="n">
        <v>1</v>
      </c>
      <c r="Y5827" s="182" t="n">
        <v>0</v>
      </c>
      <c r="Z5827" s="182" t="n">
        <v>0</v>
      </c>
      <c r="AA5827" s="182" t="n">
        <v>0</v>
      </c>
      <c r="AB5827" s="182" t="n">
        <v>0</v>
      </c>
      <c r="AC5827" s="182" t="n">
        <v>0</v>
      </c>
      <c r="AD5827" s="182" t="n">
        <v>0</v>
      </c>
      <c r="AE5827" s="182" t="n">
        <v>0</v>
      </c>
      <c r="AF5827" s="182" t="n">
        <v>0</v>
      </c>
      <c r="AG5827" s="182" t="n">
        <v>0</v>
      </c>
      <c r="AH5827" s="182" t="n">
        <v>0</v>
      </c>
      <c r="AI5827" s="182" t="n">
        <v>0</v>
      </c>
      <c r="AJ5827" s="182" t="n">
        <v>0</v>
      </c>
      <c r="AK5827" s="182" t="n">
        <v>10.42</v>
      </c>
      <c r="AL5827" s="182" t="n">
        <v>0</v>
      </c>
      <c r="AM5827" s="182" t="n">
        <v>0.08</v>
      </c>
      <c r="AN5827" s="182" t="n">
        <v>0</v>
      </c>
    </row>
    <row r="5828">
      <c r="A5828" s="155" t="n">
        <v>46108</v>
      </c>
      <c r="B5828" s="156" t="inlineStr">
        <is>
          <t>DS</t>
        </is>
      </c>
      <c r="C5828" s="156" t="inlineStr">
        <is>
          <t>WL-023</t>
        </is>
      </c>
      <c r="D5828" s="156" t="inlineStr">
        <is>
          <t>SANY - Loader</t>
        </is>
      </c>
      <c r="E5828" s="156" t="inlineStr">
        <is>
          <t>Loader</t>
        </is>
      </c>
      <c r="F5828" s="156" t="inlineStr">
        <is>
          <t>Support Jetty</t>
        </is>
      </c>
      <c r="G5828" s="182" t="n">
        <v>2.99</v>
      </c>
      <c r="H5828" s="182" t="n">
        <v>0</v>
      </c>
      <c r="I5828" s="182" t="n">
        <v>0</v>
      </c>
      <c r="J5828" s="182" t="n">
        <v>0</v>
      </c>
      <c r="K5828" s="182" t="n">
        <v>9.01</v>
      </c>
      <c r="L5828" s="182" t="n">
        <v>12</v>
      </c>
      <c r="M5828" s="182" t="n">
        <v>0</v>
      </c>
      <c r="N5828" s="182" t="n">
        <v>0</v>
      </c>
      <c r="O5828" s="183" t="n">
        <v>0</v>
      </c>
      <c r="P5828" s="183" t="n">
        <v>0</v>
      </c>
      <c r="Q5828" s="184" t="n">
        <v>0</v>
      </c>
      <c r="R5828" s="184" t="n">
        <v>0</v>
      </c>
      <c r="S5828" s="183" t="n">
        <v>0</v>
      </c>
      <c r="T5828" s="183" t="n">
        <v>0</v>
      </c>
      <c r="U5828" s="182" t="n">
        <v>0</v>
      </c>
      <c r="V5828" s="182" t="n">
        <v>0</v>
      </c>
      <c r="W5828" s="182" t="n">
        <v>0</v>
      </c>
      <c r="X5828" s="182" t="n">
        <v>0.99</v>
      </c>
      <c r="Y5828" s="182" t="n">
        <v>0</v>
      </c>
      <c r="Z5828" s="182" t="n">
        <v>0</v>
      </c>
      <c r="AA5828" s="182" t="n">
        <v>0</v>
      </c>
      <c r="AB5828" s="182" t="n">
        <v>0</v>
      </c>
      <c r="AC5828" s="182" t="n">
        <v>0</v>
      </c>
      <c r="AD5828" s="182" t="n">
        <v>0</v>
      </c>
      <c r="AE5828" s="182" t="n">
        <v>0</v>
      </c>
      <c r="AF5828" s="182" t="n">
        <v>0</v>
      </c>
      <c r="AG5828" s="182" t="n">
        <v>0</v>
      </c>
      <c r="AH5828" s="182" t="n">
        <v>0</v>
      </c>
      <c r="AI5828" s="182" t="n">
        <v>0</v>
      </c>
      <c r="AJ5828" s="182" t="n">
        <v>0</v>
      </c>
      <c r="AK5828" s="182" t="n">
        <v>7.94</v>
      </c>
      <c r="AL5828" s="182" t="n">
        <v>0</v>
      </c>
      <c r="AM5828" s="182" t="n">
        <v>0.08</v>
      </c>
      <c r="AN5828" s="182" t="n">
        <v>0</v>
      </c>
    </row>
    <row r="5829">
      <c r="A5829" s="155" t="n">
        <v>46108</v>
      </c>
      <c r="B5829" s="156" t="inlineStr">
        <is>
          <t>DS</t>
        </is>
      </c>
      <c r="C5829" s="156" t="inlineStr">
        <is>
          <t>WL-021</t>
        </is>
      </c>
      <c r="D5829" s="156" t="inlineStr">
        <is>
          <t>SANY - Loader</t>
        </is>
      </c>
      <c r="E5829" s="156" t="inlineStr">
        <is>
          <t>Loader</t>
        </is>
      </c>
      <c r="F5829" s="156" t="inlineStr"/>
      <c r="G5829" s="182" t="n">
        <v>0</v>
      </c>
      <c r="H5829" s="182" t="n">
        <v>0</v>
      </c>
      <c r="I5829" s="182" t="n">
        <v>12</v>
      </c>
      <c r="J5829" s="182" t="n">
        <v>12</v>
      </c>
      <c r="K5829" s="182" t="n">
        <v>0</v>
      </c>
      <c r="L5829" s="182" t="n">
        <v>12</v>
      </c>
      <c r="M5829" s="182" t="n">
        <v>0</v>
      </c>
      <c r="N5829" s="182" t="n">
        <v>0</v>
      </c>
      <c r="O5829" s="183" t="n">
        <v>0</v>
      </c>
      <c r="P5829" s="183" t="n">
        <v>0</v>
      </c>
      <c r="Q5829" s="184" t="n">
        <v>0</v>
      </c>
      <c r="R5829" s="184" t="n">
        <v>0</v>
      </c>
      <c r="S5829" s="183" t="n">
        <v>0</v>
      </c>
      <c r="T5829" s="183" t="n">
        <v>0</v>
      </c>
      <c r="U5829" s="182" t="n">
        <v>0</v>
      </c>
      <c r="V5829" s="182" t="n">
        <v>0</v>
      </c>
      <c r="W5829" s="182" t="n">
        <v>0</v>
      </c>
      <c r="X5829" s="182" t="n">
        <v>0</v>
      </c>
      <c r="Y5829" s="182" t="n">
        <v>0</v>
      </c>
      <c r="Z5829" s="182" t="n">
        <v>0</v>
      </c>
      <c r="AA5829" s="182" t="n">
        <v>0</v>
      </c>
      <c r="AB5829" s="182" t="n">
        <v>0</v>
      </c>
      <c r="AC5829" s="182" t="n">
        <v>0</v>
      </c>
      <c r="AD5829" s="182" t="n">
        <v>0</v>
      </c>
      <c r="AE5829" s="182" t="n">
        <v>0</v>
      </c>
      <c r="AF5829" s="182" t="n">
        <v>0</v>
      </c>
      <c r="AG5829" s="182" t="n">
        <v>0</v>
      </c>
      <c r="AH5829" s="182" t="n">
        <v>0</v>
      </c>
      <c r="AI5829" s="182" t="n">
        <v>0</v>
      </c>
      <c r="AJ5829" s="182" t="n">
        <v>0</v>
      </c>
      <c r="AK5829" s="182" t="n">
        <v>0</v>
      </c>
      <c r="AL5829" s="182" t="n">
        <v>0</v>
      </c>
      <c r="AM5829" s="182" t="n">
        <v>0</v>
      </c>
      <c r="AN5829" s="182" t="n">
        <v>0</v>
      </c>
    </row>
    <row r="5830">
      <c r="A5830" s="155" t="n">
        <v>46108</v>
      </c>
      <c r="B5830" s="156" t="inlineStr">
        <is>
          <t>DS</t>
        </is>
      </c>
      <c r="C5830" s="156" t="inlineStr">
        <is>
          <t>WL-022</t>
        </is>
      </c>
      <c r="D5830" s="156" t="inlineStr">
        <is>
          <t>SANY - Loader</t>
        </is>
      </c>
      <c r="E5830" s="156" t="inlineStr">
        <is>
          <t>Loader</t>
        </is>
      </c>
      <c r="F5830" s="156" t="inlineStr">
        <is>
          <t>Support Rehandling Dirty WP</t>
        </is>
      </c>
      <c r="G5830" s="182" t="n">
        <v>10.04</v>
      </c>
      <c r="H5830" s="182" t="n">
        <v>0</v>
      </c>
      <c r="I5830" s="182" t="n">
        <v>0</v>
      </c>
      <c r="J5830" s="182" t="n">
        <v>0</v>
      </c>
      <c r="K5830" s="182" t="n">
        <v>1.96</v>
      </c>
      <c r="L5830" s="182" t="n">
        <v>12</v>
      </c>
      <c r="M5830" s="182" t="n">
        <v>0</v>
      </c>
      <c r="N5830" s="182" t="n">
        <v>0</v>
      </c>
      <c r="O5830" s="183" t="n">
        <v>0</v>
      </c>
      <c r="P5830" s="183" t="n">
        <v>0</v>
      </c>
      <c r="Q5830" s="184" t="n">
        <v>0</v>
      </c>
      <c r="R5830" s="184" t="n">
        <v>0</v>
      </c>
      <c r="S5830" s="183" t="n">
        <v>0</v>
      </c>
      <c r="T5830" s="183" t="n">
        <v>0</v>
      </c>
      <c r="U5830" s="182" t="n">
        <v>0</v>
      </c>
      <c r="V5830" s="182" t="n">
        <v>0</v>
      </c>
      <c r="W5830" s="182" t="n">
        <v>0</v>
      </c>
      <c r="X5830" s="182" t="n">
        <v>1.09</v>
      </c>
      <c r="Y5830" s="182" t="n">
        <v>0</v>
      </c>
      <c r="Z5830" s="182" t="n">
        <v>0</v>
      </c>
      <c r="AA5830" s="182" t="n">
        <v>0</v>
      </c>
      <c r="AB5830" s="182" t="n">
        <v>0</v>
      </c>
      <c r="AC5830" s="182" t="n">
        <v>0</v>
      </c>
      <c r="AD5830" s="182" t="n">
        <v>0</v>
      </c>
      <c r="AE5830" s="182" t="n">
        <v>0</v>
      </c>
      <c r="AF5830" s="182" t="n">
        <v>0</v>
      </c>
      <c r="AG5830" s="182" t="n">
        <v>0</v>
      </c>
      <c r="AH5830" s="182" t="n">
        <v>0</v>
      </c>
      <c r="AI5830" s="182" t="n">
        <v>0</v>
      </c>
      <c r="AJ5830" s="182" t="n">
        <v>0</v>
      </c>
      <c r="AK5830" s="182" t="n">
        <v>0.78</v>
      </c>
      <c r="AL5830" s="182" t="n">
        <v>0</v>
      </c>
      <c r="AM5830" s="182" t="n">
        <v>0.09</v>
      </c>
      <c r="AN5830" s="182" t="n">
        <v>0</v>
      </c>
    </row>
    <row r="5831">
      <c r="A5831" s="155" t="n">
        <v>46108</v>
      </c>
      <c r="B5831" s="156" t="inlineStr">
        <is>
          <t>DS</t>
        </is>
      </c>
      <c r="C5831" s="156" t="inlineStr">
        <is>
          <t>WL-024</t>
        </is>
      </c>
      <c r="D5831" s="156" t="inlineStr">
        <is>
          <t>SANY - Loader</t>
        </is>
      </c>
      <c r="E5831" s="156" t="inlineStr">
        <is>
          <t>Loader</t>
        </is>
      </c>
      <c r="F5831" s="156" t="inlineStr">
        <is>
          <t>Support Dorong Lumpur &amp; Rehandling WP</t>
        </is>
      </c>
      <c r="G5831" s="182" t="n">
        <v>10.44</v>
      </c>
      <c r="H5831" s="182" t="n">
        <v>0</v>
      </c>
      <c r="I5831" s="182" t="n">
        <v>0</v>
      </c>
      <c r="J5831" s="182" t="n">
        <v>0</v>
      </c>
      <c r="K5831" s="182" t="n">
        <v>1.56</v>
      </c>
      <c r="L5831" s="182" t="n">
        <v>12</v>
      </c>
      <c r="M5831" s="182" t="n">
        <v>0</v>
      </c>
      <c r="N5831" s="182" t="n">
        <v>0</v>
      </c>
      <c r="O5831" s="183" t="n">
        <v>0</v>
      </c>
      <c r="P5831" s="183" t="n">
        <v>0</v>
      </c>
      <c r="Q5831" s="184" t="n">
        <v>0</v>
      </c>
      <c r="R5831" s="184" t="n">
        <v>0</v>
      </c>
      <c r="S5831" s="183" t="n">
        <v>0</v>
      </c>
      <c r="T5831" s="183" t="n">
        <v>0</v>
      </c>
      <c r="U5831" s="182" t="n">
        <v>0</v>
      </c>
      <c r="V5831" s="182" t="n">
        <v>0</v>
      </c>
      <c r="W5831" s="182" t="n">
        <v>0</v>
      </c>
      <c r="X5831" s="182" t="n">
        <v>1.04</v>
      </c>
      <c r="Y5831" s="182" t="n">
        <v>0</v>
      </c>
      <c r="Z5831" s="182" t="n">
        <v>0</v>
      </c>
      <c r="AA5831" s="182" t="n">
        <v>0</v>
      </c>
      <c r="AB5831" s="182" t="n">
        <v>0</v>
      </c>
      <c r="AC5831" s="182" t="n">
        <v>0</v>
      </c>
      <c r="AD5831" s="182" t="n">
        <v>0</v>
      </c>
      <c r="AE5831" s="182" t="n">
        <v>0</v>
      </c>
      <c r="AF5831" s="182" t="n">
        <v>0</v>
      </c>
      <c r="AG5831" s="182" t="n">
        <v>0</v>
      </c>
      <c r="AH5831" s="182" t="n">
        <v>0</v>
      </c>
      <c r="AI5831" s="182" t="n">
        <v>0</v>
      </c>
      <c r="AJ5831" s="182" t="n">
        <v>0</v>
      </c>
      <c r="AK5831" s="182" t="n">
        <v>0.44</v>
      </c>
      <c r="AL5831" s="182" t="n">
        <v>0</v>
      </c>
      <c r="AM5831" s="182" t="n">
        <v>0.08</v>
      </c>
      <c r="AN5831" s="182" t="n">
        <v>0</v>
      </c>
    </row>
    <row r="5832">
      <c r="A5832" s="155" t="n">
        <v>46108</v>
      </c>
      <c r="B5832" s="156" t="inlineStr">
        <is>
          <t>NS</t>
        </is>
      </c>
      <c r="C5832" s="156" t="inlineStr">
        <is>
          <t>DZ-034</t>
        </is>
      </c>
      <c r="D5832" s="156" t="inlineStr">
        <is>
          <t>D 68ESS-12EO</t>
        </is>
      </c>
      <c r="E5832" s="156" t="inlineStr">
        <is>
          <t>Bulldozer</t>
        </is>
      </c>
      <c r="F5832" s="156" t="inlineStr">
        <is>
          <t>Support Stock ROM</t>
        </is>
      </c>
      <c r="G5832" s="182" t="n">
        <v>4.73</v>
      </c>
      <c r="H5832" s="182" t="n">
        <v>2.42</v>
      </c>
      <c r="I5832" s="182" t="n">
        <v>0</v>
      </c>
      <c r="J5832" s="182" t="n">
        <v>2.42</v>
      </c>
      <c r="K5832" s="182" t="n">
        <v>4.85</v>
      </c>
      <c r="L5832" s="182" t="n">
        <v>12</v>
      </c>
      <c r="M5832" s="182" t="n">
        <v>0</v>
      </c>
      <c r="N5832" s="182" t="n">
        <v>0</v>
      </c>
      <c r="O5832" s="183" t="n">
        <v>0</v>
      </c>
      <c r="P5832" s="183" t="n">
        <v>0</v>
      </c>
      <c r="Q5832" s="184" t="n">
        <v>0</v>
      </c>
      <c r="R5832" s="184" t="n">
        <v>0</v>
      </c>
      <c r="S5832" s="183" t="n">
        <v>0</v>
      </c>
      <c r="T5832" s="183" t="n">
        <v>0</v>
      </c>
      <c r="U5832" s="182" t="n">
        <v>0</v>
      </c>
      <c r="V5832" s="182" t="n">
        <v>0</v>
      </c>
      <c r="W5832" s="182" t="n">
        <v>0</v>
      </c>
      <c r="X5832" s="182" t="n">
        <v>1.06</v>
      </c>
      <c r="Y5832" s="182" t="n">
        <v>0</v>
      </c>
      <c r="Z5832" s="182" t="n">
        <v>0</v>
      </c>
      <c r="AA5832" s="182" t="n">
        <v>0</v>
      </c>
      <c r="AB5832" s="182" t="n">
        <v>0</v>
      </c>
      <c r="AC5832" s="182" t="n">
        <v>0</v>
      </c>
      <c r="AD5832" s="182" t="n">
        <v>0</v>
      </c>
      <c r="AE5832" s="182" t="n">
        <v>0</v>
      </c>
      <c r="AF5832" s="182" t="n">
        <v>0</v>
      </c>
      <c r="AG5832" s="182" t="n">
        <v>0</v>
      </c>
      <c r="AH5832" s="182" t="n">
        <v>0</v>
      </c>
      <c r="AI5832" s="182" t="n">
        <v>0</v>
      </c>
      <c r="AJ5832" s="182" t="n">
        <v>0</v>
      </c>
      <c r="AK5832" s="182" t="n">
        <v>3.71</v>
      </c>
      <c r="AL5832" s="182" t="n">
        <v>0</v>
      </c>
      <c r="AM5832" s="182" t="n">
        <v>0.08</v>
      </c>
      <c r="AN5832" s="182" t="n">
        <v>0</v>
      </c>
    </row>
    <row r="5833">
      <c r="A5833" s="155" t="n">
        <v>46108</v>
      </c>
      <c r="B5833" s="156" t="inlineStr">
        <is>
          <t>NS</t>
        </is>
      </c>
      <c r="C5833" s="156" t="inlineStr">
        <is>
          <t>DZ-033</t>
        </is>
      </c>
      <c r="D5833" s="156" t="inlineStr">
        <is>
          <t>D 375A-6R</t>
        </is>
      </c>
      <c r="E5833" s="156" t="inlineStr">
        <is>
          <t>Bulldozer</t>
        </is>
      </c>
      <c r="F5833" s="156" t="inlineStr"/>
      <c r="G5833" s="182" t="n">
        <v>0</v>
      </c>
      <c r="H5833" s="182" t="n">
        <v>0</v>
      </c>
      <c r="I5833" s="182" t="n">
        <v>12</v>
      </c>
      <c r="J5833" s="182" t="n">
        <v>12</v>
      </c>
      <c r="K5833" s="182" t="n">
        <v>0</v>
      </c>
      <c r="L5833" s="182" t="n">
        <v>12</v>
      </c>
      <c r="M5833" s="182" t="n">
        <v>0</v>
      </c>
      <c r="N5833" s="182" t="n">
        <v>0</v>
      </c>
      <c r="O5833" s="183" t="n">
        <v>0</v>
      </c>
      <c r="P5833" s="183" t="n">
        <v>0</v>
      </c>
      <c r="Q5833" s="184" t="n">
        <v>0</v>
      </c>
      <c r="R5833" s="184" t="n">
        <v>0</v>
      </c>
      <c r="S5833" s="183" t="n">
        <v>0</v>
      </c>
      <c r="T5833" s="183" t="n">
        <v>0</v>
      </c>
      <c r="U5833" s="182" t="n">
        <v>0</v>
      </c>
      <c r="V5833" s="182" t="n">
        <v>0</v>
      </c>
      <c r="W5833" s="182" t="n">
        <v>0</v>
      </c>
      <c r="X5833" s="182" t="n">
        <v>0</v>
      </c>
      <c r="Y5833" s="182" t="n">
        <v>0</v>
      </c>
      <c r="Z5833" s="182" t="n">
        <v>0</v>
      </c>
      <c r="AA5833" s="182" t="n">
        <v>0</v>
      </c>
      <c r="AB5833" s="182" t="n">
        <v>0</v>
      </c>
      <c r="AC5833" s="182" t="n">
        <v>0</v>
      </c>
      <c r="AD5833" s="182" t="n">
        <v>0</v>
      </c>
      <c r="AE5833" s="182" t="n">
        <v>0</v>
      </c>
      <c r="AF5833" s="182" t="n">
        <v>0</v>
      </c>
      <c r="AG5833" s="182" t="n">
        <v>0</v>
      </c>
      <c r="AH5833" s="182" t="n">
        <v>0</v>
      </c>
      <c r="AI5833" s="182" t="n">
        <v>0</v>
      </c>
      <c r="AJ5833" s="182" t="n">
        <v>0</v>
      </c>
      <c r="AK5833" s="182" t="n">
        <v>0</v>
      </c>
      <c r="AL5833" s="182" t="n">
        <v>0</v>
      </c>
      <c r="AM5833" s="182" t="n">
        <v>0</v>
      </c>
      <c r="AN5833" s="182" t="n">
        <v>0</v>
      </c>
    </row>
    <row r="5834">
      <c r="A5834" s="155" t="n">
        <v>46108</v>
      </c>
      <c r="B5834" s="156" t="inlineStr">
        <is>
          <t>NS</t>
        </is>
      </c>
      <c r="C5834" s="156" t="inlineStr">
        <is>
          <t>DZ-038</t>
        </is>
      </c>
      <c r="D5834" s="156" t="inlineStr">
        <is>
          <t>D 85 ESS-2</t>
        </is>
      </c>
      <c r="E5834" s="156" t="inlineStr">
        <is>
          <t>Bulldozer</t>
        </is>
      </c>
      <c r="F5834" s="156" t="inlineStr"/>
      <c r="G5834" s="182" t="n">
        <v>0</v>
      </c>
      <c r="H5834" s="182" t="n">
        <v>0</v>
      </c>
      <c r="I5834" s="182" t="n">
        <v>12</v>
      </c>
      <c r="J5834" s="182" t="n">
        <v>12</v>
      </c>
      <c r="K5834" s="182" t="n">
        <v>0</v>
      </c>
      <c r="L5834" s="182" t="n">
        <v>12</v>
      </c>
      <c r="M5834" s="182" t="n">
        <v>0</v>
      </c>
      <c r="N5834" s="182" t="n">
        <v>0</v>
      </c>
      <c r="O5834" s="183" t="n">
        <v>0</v>
      </c>
      <c r="P5834" s="183" t="n">
        <v>0</v>
      </c>
      <c r="Q5834" s="184" t="n">
        <v>0</v>
      </c>
      <c r="R5834" s="184" t="n">
        <v>0</v>
      </c>
      <c r="S5834" s="183" t="n">
        <v>0</v>
      </c>
      <c r="T5834" s="183" t="n">
        <v>0</v>
      </c>
      <c r="U5834" s="182" t="n">
        <v>0</v>
      </c>
      <c r="V5834" s="182" t="n">
        <v>0</v>
      </c>
      <c r="W5834" s="182" t="n">
        <v>0</v>
      </c>
      <c r="X5834" s="182" t="n">
        <v>0</v>
      </c>
      <c r="Y5834" s="182" t="n">
        <v>0</v>
      </c>
      <c r="Z5834" s="182" t="n">
        <v>0</v>
      </c>
      <c r="AA5834" s="182" t="n">
        <v>0</v>
      </c>
      <c r="AB5834" s="182" t="n">
        <v>0</v>
      </c>
      <c r="AC5834" s="182" t="n">
        <v>0</v>
      </c>
      <c r="AD5834" s="182" t="n">
        <v>0</v>
      </c>
      <c r="AE5834" s="182" t="n">
        <v>0</v>
      </c>
      <c r="AF5834" s="182" t="n">
        <v>0</v>
      </c>
      <c r="AG5834" s="182" t="n">
        <v>0</v>
      </c>
      <c r="AH5834" s="182" t="n">
        <v>0</v>
      </c>
      <c r="AI5834" s="182" t="n">
        <v>0</v>
      </c>
      <c r="AJ5834" s="182" t="n">
        <v>0</v>
      </c>
      <c r="AK5834" s="182" t="n">
        <v>0</v>
      </c>
      <c r="AL5834" s="182" t="n">
        <v>0</v>
      </c>
      <c r="AM5834" s="182" t="n">
        <v>0</v>
      </c>
      <c r="AN5834" s="182" t="n">
        <v>0</v>
      </c>
    </row>
    <row r="5835">
      <c r="A5835" s="155" t="n">
        <v>46108</v>
      </c>
      <c r="B5835" s="156" t="inlineStr">
        <is>
          <t>NS</t>
        </is>
      </c>
      <c r="C5835" s="156" t="inlineStr">
        <is>
          <t>DZ-039</t>
        </is>
      </c>
      <c r="D5835" s="156" t="inlineStr">
        <is>
          <t>D 85 ESS-2</t>
        </is>
      </c>
      <c r="E5835" s="156" t="inlineStr">
        <is>
          <t>Bulldozer</t>
        </is>
      </c>
      <c r="F5835" s="156" t="inlineStr">
        <is>
          <t>Support Front Loading</t>
        </is>
      </c>
      <c r="G5835" s="182" t="n">
        <v>0</v>
      </c>
      <c r="H5835" s="182" t="n">
        <v>0</v>
      </c>
      <c r="I5835" s="182" t="n">
        <v>11.25</v>
      </c>
      <c r="J5835" s="182" t="n">
        <v>11.25</v>
      </c>
      <c r="K5835" s="182" t="n">
        <v>0.75</v>
      </c>
      <c r="L5835" s="182" t="n">
        <v>12</v>
      </c>
      <c r="M5835" s="182" t="n">
        <v>0</v>
      </c>
      <c r="N5835" s="182" t="n">
        <v>0</v>
      </c>
      <c r="O5835" s="183" t="n">
        <v>0</v>
      </c>
      <c r="P5835" s="183" t="n">
        <v>0</v>
      </c>
      <c r="Q5835" s="184" t="n">
        <v>0</v>
      </c>
      <c r="R5835" s="184" t="n">
        <v>0</v>
      </c>
      <c r="S5835" s="183" t="n">
        <v>0</v>
      </c>
      <c r="T5835" s="183" t="n">
        <v>0</v>
      </c>
      <c r="U5835" s="182" t="n">
        <v>0</v>
      </c>
      <c r="V5835" s="182" t="n">
        <v>0</v>
      </c>
      <c r="W5835" s="182" t="n">
        <v>0</v>
      </c>
      <c r="X5835" s="182" t="n">
        <v>0</v>
      </c>
      <c r="Y5835" s="182" t="n">
        <v>0</v>
      </c>
      <c r="Z5835" s="182" t="n">
        <v>0</v>
      </c>
      <c r="AA5835" s="182" t="n">
        <v>0</v>
      </c>
      <c r="AB5835" s="182" t="n">
        <v>0</v>
      </c>
      <c r="AC5835" s="182" t="n">
        <v>0</v>
      </c>
      <c r="AD5835" s="182" t="n">
        <v>0</v>
      </c>
      <c r="AE5835" s="182" t="n">
        <v>0</v>
      </c>
      <c r="AF5835" s="182" t="n">
        <v>0</v>
      </c>
      <c r="AG5835" s="182" t="n">
        <v>0</v>
      </c>
      <c r="AH5835" s="182" t="n">
        <v>0</v>
      </c>
      <c r="AI5835" s="182" t="n">
        <v>0</v>
      </c>
      <c r="AJ5835" s="182" t="n">
        <v>0</v>
      </c>
      <c r="AK5835" s="182" t="n">
        <v>0.67</v>
      </c>
      <c r="AL5835" s="182" t="n">
        <v>0</v>
      </c>
      <c r="AM5835" s="182" t="n">
        <v>0.08</v>
      </c>
      <c r="AN5835" s="182" t="n">
        <v>0</v>
      </c>
    </row>
    <row r="5836">
      <c r="A5836" s="155" t="n">
        <v>46108</v>
      </c>
      <c r="B5836" s="156" t="inlineStr">
        <is>
          <t>NS</t>
        </is>
      </c>
      <c r="C5836" s="156" t="inlineStr">
        <is>
          <t>DZ-032</t>
        </is>
      </c>
      <c r="D5836" s="156" t="inlineStr">
        <is>
          <t>CAT</t>
        </is>
      </c>
      <c r="E5836" s="156" t="inlineStr">
        <is>
          <t>Bulldozer</t>
        </is>
      </c>
      <c r="F5836" s="156" t="inlineStr">
        <is>
          <t>Support Disposal</t>
        </is>
      </c>
      <c r="G5836" s="182" t="n">
        <v>10.89</v>
      </c>
      <c r="H5836" s="182" t="n">
        <v>0</v>
      </c>
      <c r="I5836" s="182" t="n">
        <v>0</v>
      </c>
      <c r="J5836" s="182" t="n">
        <v>0</v>
      </c>
      <c r="K5836" s="182" t="n">
        <v>1.11</v>
      </c>
      <c r="L5836" s="182" t="n">
        <v>12</v>
      </c>
      <c r="M5836" s="182" t="n">
        <v>0</v>
      </c>
      <c r="N5836" s="182" t="n">
        <v>0</v>
      </c>
      <c r="O5836" s="183" t="n">
        <v>0</v>
      </c>
      <c r="P5836" s="183" t="n">
        <v>0</v>
      </c>
      <c r="Q5836" s="184" t="n">
        <v>0</v>
      </c>
      <c r="R5836" s="184" t="n">
        <v>0</v>
      </c>
      <c r="S5836" s="183" t="n">
        <v>0</v>
      </c>
      <c r="T5836" s="183" t="n">
        <v>0</v>
      </c>
      <c r="U5836" s="182" t="n">
        <v>0</v>
      </c>
      <c r="V5836" s="182" t="n">
        <v>0</v>
      </c>
      <c r="W5836" s="182" t="n">
        <v>0</v>
      </c>
      <c r="X5836" s="182" t="n">
        <v>0.8</v>
      </c>
      <c r="Y5836" s="182" t="n">
        <v>0</v>
      </c>
      <c r="Z5836" s="182" t="n">
        <v>0</v>
      </c>
      <c r="AA5836" s="182" t="n">
        <v>0</v>
      </c>
      <c r="AB5836" s="182" t="n">
        <v>0</v>
      </c>
      <c r="AC5836" s="182" t="n">
        <v>0</v>
      </c>
      <c r="AD5836" s="182" t="n">
        <v>0</v>
      </c>
      <c r="AE5836" s="182" t="n">
        <v>0</v>
      </c>
      <c r="AF5836" s="182" t="n">
        <v>0</v>
      </c>
      <c r="AG5836" s="182" t="n">
        <v>0</v>
      </c>
      <c r="AH5836" s="182" t="n">
        <v>0</v>
      </c>
      <c r="AI5836" s="182" t="n">
        <v>0</v>
      </c>
      <c r="AJ5836" s="182" t="n">
        <v>0</v>
      </c>
      <c r="AK5836" s="182" t="n">
        <v>0.25</v>
      </c>
      <c r="AL5836" s="182" t="n">
        <v>0</v>
      </c>
      <c r="AM5836" s="182" t="n">
        <v>0.06</v>
      </c>
      <c r="AN5836" s="182" t="n">
        <v>0</v>
      </c>
    </row>
    <row r="5837">
      <c r="A5837" s="155" t="n">
        <v>46108</v>
      </c>
      <c r="B5837" s="156" t="inlineStr">
        <is>
          <t>NS</t>
        </is>
      </c>
      <c r="C5837" s="156" t="inlineStr">
        <is>
          <t>DZ-031</t>
        </is>
      </c>
      <c r="D5837" s="156" t="inlineStr">
        <is>
          <t>CAT</t>
        </is>
      </c>
      <c r="E5837" s="156" t="inlineStr">
        <is>
          <t>Bulldozer</t>
        </is>
      </c>
      <c r="F5837" s="156" t="inlineStr"/>
      <c r="G5837" s="182" t="n">
        <v>0</v>
      </c>
      <c r="H5837" s="182" t="n">
        <v>0</v>
      </c>
      <c r="I5837" s="182" t="n">
        <v>12</v>
      </c>
      <c r="J5837" s="182" t="n">
        <v>12</v>
      </c>
      <c r="K5837" s="182" t="n">
        <v>0</v>
      </c>
      <c r="L5837" s="182" t="n">
        <v>12</v>
      </c>
      <c r="M5837" s="182" t="n">
        <v>0</v>
      </c>
      <c r="N5837" s="182" t="n">
        <v>0</v>
      </c>
      <c r="O5837" s="183" t="n">
        <v>0</v>
      </c>
      <c r="P5837" s="183" t="n">
        <v>0</v>
      </c>
      <c r="Q5837" s="184" t="n">
        <v>0</v>
      </c>
      <c r="R5837" s="184" t="n">
        <v>0</v>
      </c>
      <c r="S5837" s="183" t="n">
        <v>0</v>
      </c>
      <c r="T5837" s="183" t="n">
        <v>0</v>
      </c>
      <c r="U5837" s="182" t="n">
        <v>0</v>
      </c>
      <c r="V5837" s="182" t="n">
        <v>0</v>
      </c>
      <c r="W5837" s="182" t="n">
        <v>0</v>
      </c>
      <c r="X5837" s="182" t="n">
        <v>0</v>
      </c>
      <c r="Y5837" s="182" t="n">
        <v>0</v>
      </c>
      <c r="Z5837" s="182" t="n">
        <v>0</v>
      </c>
      <c r="AA5837" s="182" t="n">
        <v>0</v>
      </c>
      <c r="AB5837" s="182" t="n">
        <v>0</v>
      </c>
      <c r="AC5837" s="182" t="n">
        <v>0</v>
      </c>
      <c r="AD5837" s="182" t="n">
        <v>0</v>
      </c>
      <c r="AE5837" s="182" t="n">
        <v>0</v>
      </c>
      <c r="AF5837" s="182" t="n">
        <v>0</v>
      </c>
      <c r="AG5837" s="182" t="n">
        <v>0</v>
      </c>
      <c r="AH5837" s="182" t="n">
        <v>0</v>
      </c>
      <c r="AI5837" s="182" t="n">
        <v>0</v>
      </c>
      <c r="AJ5837" s="182" t="n">
        <v>0</v>
      </c>
      <c r="AK5837" s="182" t="n">
        <v>0</v>
      </c>
      <c r="AL5837" s="182" t="n">
        <v>0</v>
      </c>
      <c r="AM5837" s="182" t="n">
        <v>0</v>
      </c>
      <c r="AN5837" s="182" t="n">
        <v>0</v>
      </c>
    </row>
    <row r="5838">
      <c r="A5838" s="155" t="n">
        <v>46108</v>
      </c>
      <c r="B5838" s="156" t="inlineStr">
        <is>
          <t>NS</t>
        </is>
      </c>
      <c r="C5838" s="156" t="inlineStr">
        <is>
          <t>DZ-037</t>
        </is>
      </c>
      <c r="D5838" s="156" t="inlineStr">
        <is>
          <t>D 85 ESS-2</t>
        </is>
      </c>
      <c r="E5838" s="156" t="inlineStr">
        <is>
          <t>Bulldozer</t>
        </is>
      </c>
      <c r="F5838" s="156" t="inlineStr">
        <is>
          <t>Timesheet Kosong</t>
        </is>
      </c>
      <c r="G5838" s="182" t="n">
        <v>4.68</v>
      </c>
      <c r="H5838" s="182" t="n">
        <v>0</v>
      </c>
      <c r="I5838" s="182" t="n">
        <v>6.9</v>
      </c>
      <c r="J5838" s="182" t="n">
        <v>6.9</v>
      </c>
      <c r="K5838" s="182" t="n">
        <v>0.42</v>
      </c>
      <c r="L5838" s="182" t="n">
        <v>12</v>
      </c>
      <c r="M5838" s="182" t="n">
        <v>0</v>
      </c>
      <c r="N5838" s="182" t="n">
        <v>0</v>
      </c>
      <c r="O5838" s="183" t="n">
        <v>0</v>
      </c>
      <c r="P5838" s="183" t="n">
        <v>0</v>
      </c>
      <c r="Q5838" s="184" t="n">
        <v>0</v>
      </c>
      <c r="R5838" s="184" t="n">
        <v>0</v>
      </c>
      <c r="S5838" s="183" t="n">
        <v>0</v>
      </c>
      <c r="T5838" s="183" t="n">
        <v>0</v>
      </c>
      <c r="U5838" s="182" t="n">
        <v>0</v>
      </c>
      <c r="V5838" s="182" t="n">
        <v>0</v>
      </c>
      <c r="W5838" s="182" t="n">
        <v>0</v>
      </c>
      <c r="X5838" s="182" t="n">
        <v>0</v>
      </c>
      <c r="Y5838" s="182" t="n">
        <v>0</v>
      </c>
      <c r="Z5838" s="182" t="n">
        <v>0</v>
      </c>
      <c r="AA5838" s="182" t="n">
        <v>0</v>
      </c>
      <c r="AB5838" s="182" t="n">
        <v>0</v>
      </c>
      <c r="AC5838" s="182" t="n">
        <v>0</v>
      </c>
      <c r="AD5838" s="182" t="n">
        <v>0</v>
      </c>
      <c r="AE5838" s="182" t="n">
        <v>0</v>
      </c>
      <c r="AF5838" s="182" t="n">
        <v>0</v>
      </c>
      <c r="AG5838" s="182" t="n">
        <v>0</v>
      </c>
      <c r="AH5838" s="182" t="n">
        <v>0</v>
      </c>
      <c r="AI5838" s="182" t="n">
        <v>0</v>
      </c>
      <c r="AJ5838" s="182" t="n">
        <v>0</v>
      </c>
      <c r="AK5838" s="182" t="n">
        <v>0</v>
      </c>
      <c r="AL5838" s="182" t="n">
        <v>0</v>
      </c>
      <c r="AM5838" s="182" t="n">
        <v>0</v>
      </c>
      <c r="AN5838" s="182" t="n">
        <v>0</v>
      </c>
    </row>
    <row r="5839">
      <c r="A5839" s="155" t="n">
        <v>46108</v>
      </c>
      <c r="B5839" s="156" t="inlineStr">
        <is>
          <t>NS</t>
        </is>
      </c>
      <c r="C5839" s="156" t="inlineStr">
        <is>
          <t>DZ-036</t>
        </is>
      </c>
      <c r="D5839" s="156" t="inlineStr">
        <is>
          <t>D 85 ESS-2</t>
        </is>
      </c>
      <c r="E5839" s="156" t="inlineStr">
        <is>
          <t>Bulldozer</t>
        </is>
      </c>
      <c r="F5839" s="156" t="inlineStr"/>
      <c r="G5839" s="182" t="n">
        <v>0</v>
      </c>
      <c r="H5839" s="182" t="n">
        <v>0</v>
      </c>
      <c r="I5839" s="182" t="n">
        <v>0</v>
      </c>
      <c r="J5839" s="182" t="n">
        <v>0</v>
      </c>
      <c r="K5839" s="182" t="n">
        <v>12</v>
      </c>
      <c r="L5839" s="182" t="n">
        <v>12</v>
      </c>
      <c r="M5839" s="182" t="n">
        <v>0</v>
      </c>
      <c r="N5839" s="182" t="n">
        <v>0</v>
      </c>
      <c r="O5839" s="183" t="n">
        <v>0</v>
      </c>
      <c r="P5839" s="183" t="n">
        <v>0</v>
      </c>
      <c r="Q5839" s="184" t="n">
        <v>0</v>
      </c>
      <c r="R5839" s="184" t="n">
        <v>0</v>
      </c>
      <c r="S5839" s="183" t="n">
        <v>0</v>
      </c>
      <c r="T5839" s="183" t="n">
        <v>0</v>
      </c>
      <c r="U5839" s="182" t="n">
        <v>0</v>
      </c>
      <c r="V5839" s="182" t="n">
        <v>0</v>
      </c>
      <c r="W5839" s="182" t="n">
        <v>0</v>
      </c>
      <c r="X5839" s="182" t="n">
        <v>1</v>
      </c>
      <c r="Y5839" s="182" t="n">
        <v>0</v>
      </c>
      <c r="Z5839" s="182" t="n">
        <v>0</v>
      </c>
      <c r="AA5839" s="182" t="n">
        <v>0</v>
      </c>
      <c r="AB5839" s="182" t="n">
        <v>0</v>
      </c>
      <c r="AC5839" s="182" t="n">
        <v>0</v>
      </c>
      <c r="AD5839" s="182" t="n">
        <v>0</v>
      </c>
      <c r="AE5839" s="182" t="n">
        <v>0</v>
      </c>
      <c r="AF5839" s="182" t="n">
        <v>0</v>
      </c>
      <c r="AG5839" s="182" t="n">
        <v>0</v>
      </c>
      <c r="AH5839" s="182" t="n">
        <v>0</v>
      </c>
      <c r="AI5839" s="182" t="n">
        <v>0</v>
      </c>
      <c r="AJ5839" s="182" t="n">
        <v>0</v>
      </c>
      <c r="AK5839" s="182" t="n">
        <v>10.92</v>
      </c>
      <c r="AL5839" s="182" t="n">
        <v>0</v>
      </c>
      <c r="AM5839" s="182" t="n">
        <v>0.08</v>
      </c>
      <c r="AN5839" s="182" t="n">
        <v>0</v>
      </c>
    </row>
    <row r="5840">
      <c r="A5840" s="155" t="n">
        <v>46108</v>
      </c>
      <c r="B5840" s="156" t="inlineStr">
        <is>
          <t>NS</t>
        </is>
      </c>
      <c r="C5840" s="156" t="inlineStr">
        <is>
          <t>DZ-035</t>
        </is>
      </c>
      <c r="D5840" s="156" t="inlineStr">
        <is>
          <t>D 85 ESS-2</t>
        </is>
      </c>
      <c r="E5840" s="156" t="inlineStr">
        <is>
          <t>Bulldozer</t>
        </is>
      </c>
      <c r="F5840" s="156" t="inlineStr"/>
      <c r="G5840" s="182" t="n">
        <v>0</v>
      </c>
      <c r="H5840" s="182" t="n">
        <v>0</v>
      </c>
      <c r="I5840" s="182" t="n">
        <v>12</v>
      </c>
      <c r="J5840" s="182" t="n">
        <v>12</v>
      </c>
      <c r="K5840" s="182" t="n">
        <v>0</v>
      </c>
      <c r="L5840" s="182" t="n">
        <v>12</v>
      </c>
      <c r="M5840" s="182" t="n">
        <v>0</v>
      </c>
      <c r="N5840" s="182" t="n">
        <v>0</v>
      </c>
      <c r="O5840" s="183" t="n">
        <v>0</v>
      </c>
      <c r="P5840" s="183" t="n">
        <v>0</v>
      </c>
      <c r="Q5840" s="184" t="n">
        <v>0</v>
      </c>
      <c r="R5840" s="184" t="n">
        <v>0</v>
      </c>
      <c r="S5840" s="183" t="n">
        <v>0</v>
      </c>
      <c r="T5840" s="183" t="n">
        <v>0</v>
      </c>
      <c r="U5840" s="182" t="n">
        <v>0</v>
      </c>
      <c r="V5840" s="182" t="n">
        <v>0</v>
      </c>
      <c r="W5840" s="182" t="n">
        <v>0</v>
      </c>
      <c r="X5840" s="182" t="n">
        <v>0</v>
      </c>
      <c r="Y5840" s="182" t="n">
        <v>0</v>
      </c>
      <c r="Z5840" s="182" t="n">
        <v>0</v>
      </c>
      <c r="AA5840" s="182" t="n">
        <v>0</v>
      </c>
      <c r="AB5840" s="182" t="n">
        <v>0</v>
      </c>
      <c r="AC5840" s="182" t="n">
        <v>0</v>
      </c>
      <c r="AD5840" s="182" t="n">
        <v>0</v>
      </c>
      <c r="AE5840" s="182" t="n">
        <v>0</v>
      </c>
      <c r="AF5840" s="182" t="n">
        <v>0</v>
      </c>
      <c r="AG5840" s="182" t="n">
        <v>0</v>
      </c>
      <c r="AH5840" s="182" t="n">
        <v>0</v>
      </c>
      <c r="AI5840" s="182" t="n">
        <v>0</v>
      </c>
      <c r="AJ5840" s="182" t="n">
        <v>0</v>
      </c>
      <c r="AK5840" s="182" t="n">
        <v>0</v>
      </c>
      <c r="AL5840" s="182" t="n">
        <v>0</v>
      </c>
      <c r="AM5840" s="182" t="n">
        <v>0</v>
      </c>
      <c r="AN5840" s="182" t="n">
        <v>0</v>
      </c>
    </row>
    <row r="5841">
      <c r="A5841" s="155" t="n">
        <v>46108</v>
      </c>
      <c r="B5841" s="156" t="inlineStr">
        <is>
          <t>NS</t>
        </is>
      </c>
      <c r="C5841" s="156" t="inlineStr">
        <is>
          <t>CP-042</t>
        </is>
      </c>
      <c r="D5841" s="156" t="inlineStr">
        <is>
          <t>SANY - Compactor</t>
        </is>
      </c>
      <c r="E5841" s="156" t="inlineStr">
        <is>
          <t>Compactor</t>
        </is>
      </c>
      <c r="F5841" s="156" t="inlineStr"/>
      <c r="G5841" s="182" t="n">
        <v>0</v>
      </c>
      <c r="H5841" s="182" t="n">
        <v>0</v>
      </c>
      <c r="I5841" s="182" t="n">
        <v>0</v>
      </c>
      <c r="J5841" s="182" t="n">
        <v>0</v>
      </c>
      <c r="K5841" s="182" t="n">
        <v>12</v>
      </c>
      <c r="L5841" s="182" t="n">
        <v>12</v>
      </c>
      <c r="M5841" s="182" t="n">
        <v>0</v>
      </c>
      <c r="N5841" s="182" t="n">
        <v>0</v>
      </c>
      <c r="O5841" s="183" t="n">
        <v>0</v>
      </c>
      <c r="P5841" s="183" t="n">
        <v>0</v>
      </c>
      <c r="Q5841" s="184" t="n">
        <v>0</v>
      </c>
      <c r="R5841" s="184" t="n">
        <v>0</v>
      </c>
      <c r="S5841" s="183" t="n">
        <v>0</v>
      </c>
      <c r="T5841" s="183" t="n">
        <v>0</v>
      </c>
      <c r="U5841" s="182" t="n">
        <v>0</v>
      </c>
      <c r="V5841" s="182" t="n">
        <v>0</v>
      </c>
      <c r="W5841" s="182" t="n">
        <v>0</v>
      </c>
      <c r="X5841" s="182" t="n">
        <v>1</v>
      </c>
      <c r="Y5841" s="182" t="n">
        <v>0</v>
      </c>
      <c r="Z5841" s="182" t="n">
        <v>0</v>
      </c>
      <c r="AA5841" s="182" t="n">
        <v>0</v>
      </c>
      <c r="AB5841" s="182" t="n">
        <v>0</v>
      </c>
      <c r="AC5841" s="182" t="n">
        <v>0</v>
      </c>
      <c r="AD5841" s="182" t="n">
        <v>0</v>
      </c>
      <c r="AE5841" s="182" t="n">
        <v>0</v>
      </c>
      <c r="AF5841" s="182" t="n">
        <v>0</v>
      </c>
      <c r="AG5841" s="182" t="n">
        <v>0</v>
      </c>
      <c r="AH5841" s="182" t="n">
        <v>0</v>
      </c>
      <c r="AI5841" s="182" t="n">
        <v>0</v>
      </c>
      <c r="AJ5841" s="182" t="n">
        <v>0</v>
      </c>
      <c r="AK5841" s="182" t="n">
        <v>10.92</v>
      </c>
      <c r="AL5841" s="182" t="n">
        <v>0</v>
      </c>
      <c r="AM5841" s="182" t="n">
        <v>0.08</v>
      </c>
      <c r="AN5841" s="182" t="n">
        <v>0</v>
      </c>
    </row>
    <row r="5842">
      <c r="A5842" s="155" t="n">
        <v>46108</v>
      </c>
      <c r="B5842" s="156" t="inlineStr">
        <is>
          <t>NS</t>
        </is>
      </c>
      <c r="C5842" s="156" t="inlineStr">
        <is>
          <t>CP-041</t>
        </is>
      </c>
      <c r="D5842" s="156" t="inlineStr">
        <is>
          <t>SANY - Compactor</t>
        </is>
      </c>
      <c r="E5842" s="156" t="inlineStr">
        <is>
          <t>Compactor</t>
        </is>
      </c>
      <c r="F5842" s="156" t="inlineStr"/>
      <c r="G5842" s="182" t="n">
        <v>0</v>
      </c>
      <c r="H5842" s="182" t="n">
        <v>0</v>
      </c>
      <c r="I5842" s="182" t="n">
        <v>12</v>
      </c>
      <c r="J5842" s="182" t="n">
        <v>12</v>
      </c>
      <c r="K5842" s="182" t="n">
        <v>0</v>
      </c>
      <c r="L5842" s="182" t="n">
        <v>12</v>
      </c>
      <c r="M5842" s="182" t="n">
        <v>0</v>
      </c>
      <c r="N5842" s="182" t="n">
        <v>0</v>
      </c>
      <c r="O5842" s="183" t="n">
        <v>0</v>
      </c>
      <c r="P5842" s="183" t="n">
        <v>0</v>
      </c>
      <c r="Q5842" s="184" t="n">
        <v>0</v>
      </c>
      <c r="R5842" s="184" t="n">
        <v>0</v>
      </c>
      <c r="S5842" s="183" t="n">
        <v>0</v>
      </c>
      <c r="T5842" s="183" t="n">
        <v>0</v>
      </c>
      <c r="U5842" s="182" t="n">
        <v>0</v>
      </c>
      <c r="V5842" s="182" t="n">
        <v>0</v>
      </c>
      <c r="W5842" s="182" t="n">
        <v>0</v>
      </c>
      <c r="X5842" s="182" t="n">
        <v>0</v>
      </c>
      <c r="Y5842" s="182" t="n">
        <v>0</v>
      </c>
      <c r="Z5842" s="182" t="n">
        <v>0</v>
      </c>
      <c r="AA5842" s="182" t="n">
        <v>0</v>
      </c>
      <c r="AB5842" s="182" t="n">
        <v>0</v>
      </c>
      <c r="AC5842" s="182" t="n">
        <v>0</v>
      </c>
      <c r="AD5842" s="182" t="n">
        <v>0</v>
      </c>
      <c r="AE5842" s="182" t="n">
        <v>0</v>
      </c>
      <c r="AF5842" s="182" t="n">
        <v>0</v>
      </c>
      <c r="AG5842" s="182" t="n">
        <v>0</v>
      </c>
      <c r="AH5842" s="182" t="n">
        <v>0</v>
      </c>
      <c r="AI5842" s="182" t="n">
        <v>0</v>
      </c>
      <c r="AJ5842" s="182" t="n">
        <v>0</v>
      </c>
      <c r="AK5842" s="182" t="n">
        <v>0</v>
      </c>
      <c r="AL5842" s="182" t="n">
        <v>0</v>
      </c>
      <c r="AM5842" s="182" t="n">
        <v>0</v>
      </c>
      <c r="AN5842" s="182" t="n">
        <v>0</v>
      </c>
    </row>
    <row r="5843">
      <c r="A5843" s="155" t="n">
        <v>46108</v>
      </c>
      <c r="B5843" s="156" t="inlineStr">
        <is>
          <t>NS</t>
        </is>
      </c>
      <c r="C5843" s="156" t="inlineStr">
        <is>
          <t>HT-418</t>
        </is>
      </c>
      <c r="D5843" s="156" t="inlineStr">
        <is>
          <t>SY430</t>
        </is>
      </c>
      <c r="E5843" s="156" t="inlineStr">
        <is>
          <t>DT Hauling</t>
        </is>
      </c>
      <c r="F5843" s="156" t="inlineStr"/>
      <c r="G5843" s="182" t="n">
        <v>0</v>
      </c>
      <c r="H5843" s="182" t="n">
        <v>0</v>
      </c>
      <c r="I5843" s="182" t="n">
        <v>0</v>
      </c>
      <c r="J5843" s="182" t="n">
        <v>0</v>
      </c>
      <c r="K5843" s="182" t="n">
        <v>12</v>
      </c>
      <c r="L5843" s="182" t="n">
        <v>12</v>
      </c>
      <c r="M5843" s="182" t="n">
        <v>0</v>
      </c>
      <c r="N5843" s="182" t="n">
        <v>0</v>
      </c>
      <c r="O5843" s="183" t="n">
        <v>0</v>
      </c>
      <c r="P5843" s="183" t="n">
        <v>0</v>
      </c>
      <c r="Q5843" s="184" t="n">
        <v>0</v>
      </c>
      <c r="R5843" s="184" t="n">
        <v>0</v>
      </c>
      <c r="S5843" s="183" t="n">
        <v>0</v>
      </c>
      <c r="T5843" s="183" t="n">
        <v>0</v>
      </c>
      <c r="U5843" s="182" t="n">
        <v>0</v>
      </c>
      <c r="V5843" s="182" t="n">
        <v>0</v>
      </c>
      <c r="W5843" s="182" t="n">
        <v>0</v>
      </c>
      <c r="X5843" s="182" t="n">
        <v>1</v>
      </c>
      <c r="Y5843" s="182" t="n">
        <v>0</v>
      </c>
      <c r="Z5843" s="182" t="n">
        <v>0</v>
      </c>
      <c r="AA5843" s="182" t="n">
        <v>0</v>
      </c>
      <c r="AB5843" s="182" t="n">
        <v>0</v>
      </c>
      <c r="AC5843" s="182" t="n">
        <v>0</v>
      </c>
      <c r="AD5843" s="182" t="n">
        <v>0</v>
      </c>
      <c r="AE5843" s="182" t="n">
        <v>0</v>
      </c>
      <c r="AF5843" s="182" t="n">
        <v>0</v>
      </c>
      <c r="AG5843" s="182" t="n">
        <v>0</v>
      </c>
      <c r="AH5843" s="182" t="n">
        <v>0</v>
      </c>
      <c r="AI5843" s="182" t="n">
        <v>0</v>
      </c>
      <c r="AJ5843" s="182" t="n">
        <v>0</v>
      </c>
      <c r="AK5843" s="182" t="n">
        <v>10.92</v>
      </c>
      <c r="AL5843" s="182" t="n">
        <v>0</v>
      </c>
      <c r="AM5843" s="182" t="n">
        <v>0.08</v>
      </c>
      <c r="AN5843" s="182" t="n">
        <v>0</v>
      </c>
    </row>
    <row r="5844">
      <c r="A5844" s="155" t="n">
        <v>46108</v>
      </c>
      <c r="B5844" s="156" t="inlineStr">
        <is>
          <t>NS</t>
        </is>
      </c>
      <c r="C5844" s="156" t="inlineStr">
        <is>
          <t>HT-404</t>
        </is>
      </c>
      <c r="D5844" s="156" t="inlineStr">
        <is>
          <t>SY430</t>
        </is>
      </c>
      <c r="E5844" s="156" t="inlineStr">
        <is>
          <t>DT Hauling</t>
        </is>
      </c>
      <c r="F5844" s="156" t="inlineStr"/>
      <c r="G5844" s="182" t="n">
        <v>0</v>
      </c>
      <c r="H5844" s="182" t="n">
        <v>0</v>
      </c>
      <c r="I5844" s="182" t="n">
        <v>12</v>
      </c>
      <c r="J5844" s="182" t="n">
        <v>12</v>
      </c>
      <c r="K5844" s="182" t="n">
        <v>0</v>
      </c>
      <c r="L5844" s="182" t="n">
        <v>12</v>
      </c>
      <c r="M5844" s="182" t="n">
        <v>0</v>
      </c>
      <c r="N5844" s="182" t="n">
        <v>0</v>
      </c>
      <c r="O5844" s="183" t="n">
        <v>0</v>
      </c>
      <c r="P5844" s="183" t="n">
        <v>0</v>
      </c>
      <c r="Q5844" s="184" t="n">
        <v>0</v>
      </c>
      <c r="R5844" s="184" t="n">
        <v>0</v>
      </c>
      <c r="S5844" s="183" t="n">
        <v>0</v>
      </c>
      <c r="T5844" s="183" t="n">
        <v>0</v>
      </c>
      <c r="U5844" s="182" t="n">
        <v>0</v>
      </c>
      <c r="V5844" s="182" t="n">
        <v>0</v>
      </c>
      <c r="W5844" s="182" t="n">
        <v>0</v>
      </c>
      <c r="X5844" s="182" t="n">
        <v>0</v>
      </c>
      <c r="Y5844" s="182" t="n">
        <v>0</v>
      </c>
      <c r="Z5844" s="182" t="n">
        <v>0</v>
      </c>
      <c r="AA5844" s="182" t="n">
        <v>0</v>
      </c>
      <c r="AB5844" s="182" t="n">
        <v>0</v>
      </c>
      <c r="AC5844" s="182" t="n">
        <v>0</v>
      </c>
      <c r="AD5844" s="182" t="n">
        <v>0</v>
      </c>
      <c r="AE5844" s="182" t="n">
        <v>0</v>
      </c>
      <c r="AF5844" s="182" t="n">
        <v>0</v>
      </c>
      <c r="AG5844" s="182" t="n">
        <v>0</v>
      </c>
      <c r="AH5844" s="182" t="n">
        <v>0</v>
      </c>
      <c r="AI5844" s="182" t="n">
        <v>0</v>
      </c>
      <c r="AJ5844" s="182" t="n">
        <v>0</v>
      </c>
      <c r="AK5844" s="182" t="n">
        <v>0</v>
      </c>
      <c r="AL5844" s="182" t="n">
        <v>0</v>
      </c>
      <c r="AM5844" s="182" t="n">
        <v>0</v>
      </c>
      <c r="AN5844" s="182" t="n">
        <v>0</v>
      </c>
    </row>
    <row r="5845">
      <c r="A5845" s="155" t="n">
        <v>46108</v>
      </c>
      <c r="B5845" s="156" t="inlineStr">
        <is>
          <t>NS</t>
        </is>
      </c>
      <c r="C5845" s="156" t="inlineStr">
        <is>
          <t>HT-415</t>
        </is>
      </c>
      <c r="D5845" s="156" t="inlineStr">
        <is>
          <t>SY430</t>
        </is>
      </c>
      <c r="E5845" s="156" t="inlineStr">
        <is>
          <t>DT Hauling</t>
        </is>
      </c>
      <c r="F5845" s="156" t="inlineStr"/>
      <c r="G5845" s="182" t="n">
        <v>0</v>
      </c>
      <c r="H5845" s="182" t="n">
        <v>0</v>
      </c>
      <c r="I5845" s="182" t="n">
        <v>12</v>
      </c>
      <c r="J5845" s="182" t="n">
        <v>12</v>
      </c>
      <c r="K5845" s="182" t="n">
        <v>0</v>
      </c>
      <c r="L5845" s="182" t="n">
        <v>12</v>
      </c>
      <c r="M5845" s="182" t="n">
        <v>0</v>
      </c>
      <c r="N5845" s="182" t="n">
        <v>0</v>
      </c>
      <c r="O5845" s="183" t="n">
        <v>0</v>
      </c>
      <c r="P5845" s="183" t="n">
        <v>0</v>
      </c>
      <c r="Q5845" s="184" t="n">
        <v>0</v>
      </c>
      <c r="R5845" s="184" t="n">
        <v>0</v>
      </c>
      <c r="S5845" s="183" t="n">
        <v>0</v>
      </c>
      <c r="T5845" s="183" t="n">
        <v>0</v>
      </c>
      <c r="U5845" s="182" t="n">
        <v>0</v>
      </c>
      <c r="V5845" s="182" t="n">
        <v>0</v>
      </c>
      <c r="W5845" s="182" t="n">
        <v>0</v>
      </c>
      <c r="X5845" s="182" t="n">
        <v>0</v>
      </c>
      <c r="Y5845" s="182" t="n">
        <v>0</v>
      </c>
      <c r="Z5845" s="182" t="n">
        <v>0</v>
      </c>
      <c r="AA5845" s="182" t="n">
        <v>0</v>
      </c>
      <c r="AB5845" s="182" t="n">
        <v>0</v>
      </c>
      <c r="AC5845" s="182" t="n">
        <v>0</v>
      </c>
      <c r="AD5845" s="182" t="n">
        <v>0</v>
      </c>
      <c r="AE5845" s="182" t="n">
        <v>0</v>
      </c>
      <c r="AF5845" s="182" t="n">
        <v>0</v>
      </c>
      <c r="AG5845" s="182" t="n">
        <v>0</v>
      </c>
      <c r="AH5845" s="182" t="n">
        <v>0</v>
      </c>
      <c r="AI5845" s="182" t="n">
        <v>0</v>
      </c>
      <c r="AJ5845" s="182" t="n">
        <v>0</v>
      </c>
      <c r="AK5845" s="182" t="n">
        <v>0</v>
      </c>
      <c r="AL5845" s="182" t="n">
        <v>0</v>
      </c>
      <c r="AM5845" s="182" t="n">
        <v>0</v>
      </c>
      <c r="AN5845" s="182" t="n">
        <v>0</v>
      </c>
    </row>
    <row r="5846">
      <c r="A5846" s="155" t="n">
        <v>46108</v>
      </c>
      <c r="B5846" s="156" t="inlineStr">
        <is>
          <t>NS</t>
        </is>
      </c>
      <c r="C5846" s="156" t="inlineStr">
        <is>
          <t>HT-406</t>
        </is>
      </c>
      <c r="D5846" s="156" t="inlineStr">
        <is>
          <t>SY430</t>
        </is>
      </c>
      <c r="E5846" s="156" t="inlineStr">
        <is>
          <t>DT Hauling</t>
        </is>
      </c>
      <c r="F5846" s="156" t="inlineStr"/>
      <c r="G5846" s="182" t="n">
        <v>0</v>
      </c>
      <c r="H5846" s="182" t="n">
        <v>0</v>
      </c>
      <c r="I5846" s="182" t="n">
        <v>12</v>
      </c>
      <c r="J5846" s="182" t="n">
        <v>12</v>
      </c>
      <c r="K5846" s="182" t="n">
        <v>0</v>
      </c>
      <c r="L5846" s="182" t="n">
        <v>12</v>
      </c>
      <c r="M5846" s="182" t="n">
        <v>0</v>
      </c>
      <c r="N5846" s="182" t="n">
        <v>0</v>
      </c>
      <c r="O5846" s="183" t="n">
        <v>0</v>
      </c>
      <c r="P5846" s="183" t="n">
        <v>0</v>
      </c>
      <c r="Q5846" s="184" t="n">
        <v>0</v>
      </c>
      <c r="R5846" s="184" t="n">
        <v>0</v>
      </c>
      <c r="S5846" s="183" t="n">
        <v>0</v>
      </c>
      <c r="T5846" s="183" t="n">
        <v>0</v>
      </c>
      <c r="U5846" s="182" t="n">
        <v>0</v>
      </c>
      <c r="V5846" s="182" t="n">
        <v>0</v>
      </c>
      <c r="W5846" s="182" t="n">
        <v>0</v>
      </c>
      <c r="X5846" s="182" t="n">
        <v>0</v>
      </c>
      <c r="Y5846" s="182" t="n">
        <v>0</v>
      </c>
      <c r="Z5846" s="182" t="n">
        <v>0</v>
      </c>
      <c r="AA5846" s="182" t="n">
        <v>0</v>
      </c>
      <c r="AB5846" s="182" t="n">
        <v>0</v>
      </c>
      <c r="AC5846" s="182" t="n">
        <v>0</v>
      </c>
      <c r="AD5846" s="182" t="n">
        <v>0</v>
      </c>
      <c r="AE5846" s="182" t="n">
        <v>0</v>
      </c>
      <c r="AF5846" s="182" t="n">
        <v>0</v>
      </c>
      <c r="AG5846" s="182" t="n">
        <v>0</v>
      </c>
      <c r="AH5846" s="182" t="n">
        <v>0</v>
      </c>
      <c r="AI5846" s="182" t="n">
        <v>0</v>
      </c>
      <c r="AJ5846" s="182" t="n">
        <v>0</v>
      </c>
      <c r="AK5846" s="182" t="n">
        <v>0</v>
      </c>
      <c r="AL5846" s="182" t="n">
        <v>0</v>
      </c>
      <c r="AM5846" s="182" t="n">
        <v>0</v>
      </c>
      <c r="AN5846" s="182" t="n">
        <v>0</v>
      </c>
    </row>
    <row r="5847">
      <c r="A5847" s="155" t="n">
        <v>46108</v>
      </c>
      <c r="B5847" s="156" t="inlineStr">
        <is>
          <t>NS</t>
        </is>
      </c>
      <c r="C5847" s="156" t="inlineStr">
        <is>
          <t>HT-405</t>
        </is>
      </c>
      <c r="D5847" s="156" t="inlineStr">
        <is>
          <t>SY430</t>
        </is>
      </c>
      <c r="E5847" s="156" t="inlineStr">
        <is>
          <t>DT Hauling</t>
        </is>
      </c>
      <c r="F5847" s="156" t="inlineStr"/>
      <c r="G5847" s="182" t="n">
        <v>0</v>
      </c>
      <c r="H5847" s="182" t="n">
        <v>0</v>
      </c>
      <c r="I5847" s="182" t="n">
        <v>0</v>
      </c>
      <c r="J5847" s="182" t="n">
        <v>0</v>
      </c>
      <c r="K5847" s="182" t="n">
        <v>12</v>
      </c>
      <c r="L5847" s="182" t="n">
        <v>12</v>
      </c>
      <c r="M5847" s="182" t="n">
        <v>0</v>
      </c>
      <c r="N5847" s="182" t="n">
        <v>0</v>
      </c>
      <c r="O5847" s="183" t="n">
        <v>0</v>
      </c>
      <c r="P5847" s="183" t="n">
        <v>0</v>
      </c>
      <c r="Q5847" s="184" t="n">
        <v>0</v>
      </c>
      <c r="R5847" s="184" t="n">
        <v>0</v>
      </c>
      <c r="S5847" s="183" t="n">
        <v>0</v>
      </c>
      <c r="T5847" s="183" t="n">
        <v>0</v>
      </c>
      <c r="U5847" s="182" t="n">
        <v>0</v>
      </c>
      <c r="V5847" s="182" t="n">
        <v>0</v>
      </c>
      <c r="W5847" s="182" t="n">
        <v>0</v>
      </c>
      <c r="X5847" s="182" t="n">
        <v>1</v>
      </c>
      <c r="Y5847" s="182" t="n">
        <v>0</v>
      </c>
      <c r="Z5847" s="182" t="n">
        <v>0</v>
      </c>
      <c r="AA5847" s="182" t="n">
        <v>0</v>
      </c>
      <c r="AB5847" s="182" t="n">
        <v>0</v>
      </c>
      <c r="AC5847" s="182" t="n">
        <v>0</v>
      </c>
      <c r="AD5847" s="182" t="n">
        <v>0</v>
      </c>
      <c r="AE5847" s="182" t="n">
        <v>0</v>
      </c>
      <c r="AF5847" s="182" t="n">
        <v>0</v>
      </c>
      <c r="AG5847" s="182" t="n">
        <v>0</v>
      </c>
      <c r="AH5847" s="182" t="n">
        <v>0</v>
      </c>
      <c r="AI5847" s="182" t="n">
        <v>0</v>
      </c>
      <c r="AJ5847" s="182" t="n">
        <v>0</v>
      </c>
      <c r="AK5847" s="182" t="n">
        <v>10.92</v>
      </c>
      <c r="AL5847" s="182" t="n">
        <v>0</v>
      </c>
      <c r="AM5847" s="182" t="n">
        <v>0.08</v>
      </c>
      <c r="AN5847" s="182" t="n">
        <v>0</v>
      </c>
    </row>
    <row r="5848">
      <c r="A5848" s="155" t="n">
        <v>46108</v>
      </c>
      <c r="B5848" s="156" t="inlineStr">
        <is>
          <t>NS</t>
        </is>
      </c>
      <c r="C5848" s="156" t="inlineStr">
        <is>
          <t>HT-417</t>
        </is>
      </c>
      <c r="D5848" s="156" t="inlineStr">
        <is>
          <t>SY430</t>
        </is>
      </c>
      <c r="E5848" s="156" t="inlineStr">
        <is>
          <t>DT Hauling</t>
        </is>
      </c>
      <c r="F5848" s="156" t="inlineStr"/>
      <c r="G5848" s="182" t="n">
        <v>0</v>
      </c>
      <c r="H5848" s="182" t="n">
        <v>0</v>
      </c>
      <c r="I5848" s="182" t="n">
        <v>0</v>
      </c>
      <c r="J5848" s="182" t="n">
        <v>0</v>
      </c>
      <c r="K5848" s="182" t="n">
        <v>12</v>
      </c>
      <c r="L5848" s="182" t="n">
        <v>12</v>
      </c>
      <c r="M5848" s="182" t="n">
        <v>0</v>
      </c>
      <c r="N5848" s="182" t="n">
        <v>0</v>
      </c>
      <c r="O5848" s="183" t="n">
        <v>0</v>
      </c>
      <c r="P5848" s="183" t="n">
        <v>0</v>
      </c>
      <c r="Q5848" s="184" t="n">
        <v>0</v>
      </c>
      <c r="R5848" s="184" t="n">
        <v>0</v>
      </c>
      <c r="S5848" s="183" t="n">
        <v>0</v>
      </c>
      <c r="T5848" s="183" t="n">
        <v>0</v>
      </c>
      <c r="U5848" s="182" t="n">
        <v>0</v>
      </c>
      <c r="V5848" s="182" t="n">
        <v>0</v>
      </c>
      <c r="W5848" s="182" t="n">
        <v>0</v>
      </c>
      <c r="X5848" s="182" t="n">
        <v>1</v>
      </c>
      <c r="Y5848" s="182" t="n">
        <v>0</v>
      </c>
      <c r="Z5848" s="182" t="n">
        <v>0</v>
      </c>
      <c r="AA5848" s="182" t="n">
        <v>0</v>
      </c>
      <c r="AB5848" s="182" t="n">
        <v>0</v>
      </c>
      <c r="AC5848" s="182" t="n">
        <v>0</v>
      </c>
      <c r="AD5848" s="182" t="n">
        <v>0</v>
      </c>
      <c r="AE5848" s="182" t="n">
        <v>0</v>
      </c>
      <c r="AF5848" s="182" t="n">
        <v>0</v>
      </c>
      <c r="AG5848" s="182" t="n">
        <v>0</v>
      </c>
      <c r="AH5848" s="182" t="n">
        <v>0</v>
      </c>
      <c r="AI5848" s="182" t="n">
        <v>0</v>
      </c>
      <c r="AJ5848" s="182" t="n">
        <v>0</v>
      </c>
      <c r="AK5848" s="182" t="n">
        <v>10.92</v>
      </c>
      <c r="AL5848" s="182" t="n">
        <v>0</v>
      </c>
      <c r="AM5848" s="182" t="n">
        <v>0.08</v>
      </c>
      <c r="AN5848" s="182" t="n">
        <v>0</v>
      </c>
    </row>
    <row r="5849">
      <c r="A5849" s="155" t="n">
        <v>46108</v>
      </c>
      <c r="B5849" s="156" t="inlineStr">
        <is>
          <t>NS</t>
        </is>
      </c>
      <c r="C5849" s="156" t="inlineStr">
        <is>
          <t>HT-401</t>
        </is>
      </c>
      <c r="D5849" s="156" t="inlineStr">
        <is>
          <t>SY430</t>
        </is>
      </c>
      <c r="E5849" s="156" t="inlineStr">
        <is>
          <t>DT Hauling</t>
        </is>
      </c>
      <c r="F5849" s="156" t="inlineStr"/>
      <c r="G5849" s="182" t="n">
        <v>0</v>
      </c>
      <c r="H5849" s="182" t="n">
        <v>0</v>
      </c>
      <c r="I5849" s="182" t="n">
        <v>0</v>
      </c>
      <c r="J5849" s="182" t="n">
        <v>0</v>
      </c>
      <c r="K5849" s="182" t="n">
        <v>12</v>
      </c>
      <c r="L5849" s="182" t="n">
        <v>12</v>
      </c>
      <c r="M5849" s="182" t="n">
        <v>0</v>
      </c>
      <c r="N5849" s="182" t="n">
        <v>0</v>
      </c>
      <c r="O5849" s="183" t="n">
        <v>0</v>
      </c>
      <c r="P5849" s="183" t="n">
        <v>0</v>
      </c>
      <c r="Q5849" s="184" t="n">
        <v>0</v>
      </c>
      <c r="R5849" s="184" t="n">
        <v>0</v>
      </c>
      <c r="S5849" s="183" t="n">
        <v>0</v>
      </c>
      <c r="T5849" s="183" t="n">
        <v>0</v>
      </c>
      <c r="U5849" s="182" t="n">
        <v>0</v>
      </c>
      <c r="V5849" s="182" t="n">
        <v>0</v>
      </c>
      <c r="W5849" s="182" t="n">
        <v>0</v>
      </c>
      <c r="X5849" s="182" t="n">
        <v>1</v>
      </c>
      <c r="Y5849" s="182" t="n">
        <v>0</v>
      </c>
      <c r="Z5849" s="182" t="n">
        <v>0</v>
      </c>
      <c r="AA5849" s="182" t="n">
        <v>0</v>
      </c>
      <c r="AB5849" s="182" t="n">
        <v>0</v>
      </c>
      <c r="AC5849" s="182" t="n">
        <v>0</v>
      </c>
      <c r="AD5849" s="182" t="n">
        <v>0</v>
      </c>
      <c r="AE5849" s="182" t="n">
        <v>0</v>
      </c>
      <c r="AF5849" s="182" t="n">
        <v>0</v>
      </c>
      <c r="AG5849" s="182" t="n">
        <v>0</v>
      </c>
      <c r="AH5849" s="182" t="n">
        <v>0</v>
      </c>
      <c r="AI5849" s="182" t="n">
        <v>0</v>
      </c>
      <c r="AJ5849" s="182" t="n">
        <v>0</v>
      </c>
      <c r="AK5849" s="182" t="n">
        <v>10.92</v>
      </c>
      <c r="AL5849" s="182" t="n">
        <v>0</v>
      </c>
      <c r="AM5849" s="182" t="n">
        <v>0.08</v>
      </c>
      <c r="AN5849" s="182" t="n">
        <v>0</v>
      </c>
    </row>
    <row r="5850">
      <c r="A5850" s="155" t="n">
        <v>46108</v>
      </c>
      <c r="B5850" s="156" t="inlineStr">
        <is>
          <t>NS</t>
        </is>
      </c>
      <c r="C5850" s="156" t="inlineStr">
        <is>
          <t>HT-410</t>
        </is>
      </c>
      <c r="D5850" s="156" t="inlineStr">
        <is>
          <t>SY430</t>
        </is>
      </c>
      <c r="E5850" s="156" t="inlineStr">
        <is>
          <t>DT Hauling</t>
        </is>
      </c>
      <c r="F5850" s="156" t="inlineStr"/>
      <c r="G5850" s="182" t="n">
        <v>0</v>
      </c>
      <c r="H5850" s="182" t="n">
        <v>0</v>
      </c>
      <c r="I5850" s="182" t="n">
        <v>0</v>
      </c>
      <c r="J5850" s="182" t="n">
        <v>0</v>
      </c>
      <c r="K5850" s="182" t="n">
        <v>12</v>
      </c>
      <c r="L5850" s="182" t="n">
        <v>12</v>
      </c>
      <c r="M5850" s="182" t="n">
        <v>0</v>
      </c>
      <c r="N5850" s="182" t="n">
        <v>0</v>
      </c>
      <c r="O5850" s="183" t="n">
        <v>0</v>
      </c>
      <c r="P5850" s="183" t="n">
        <v>0</v>
      </c>
      <c r="Q5850" s="184" t="n">
        <v>0</v>
      </c>
      <c r="R5850" s="184" t="n">
        <v>0</v>
      </c>
      <c r="S5850" s="183" t="n">
        <v>0</v>
      </c>
      <c r="T5850" s="183" t="n">
        <v>0</v>
      </c>
      <c r="U5850" s="182" t="n">
        <v>0</v>
      </c>
      <c r="V5850" s="182" t="n">
        <v>0</v>
      </c>
      <c r="W5850" s="182" t="n">
        <v>0</v>
      </c>
      <c r="X5850" s="182" t="n">
        <v>1</v>
      </c>
      <c r="Y5850" s="182" t="n">
        <v>0</v>
      </c>
      <c r="Z5850" s="182" t="n">
        <v>0</v>
      </c>
      <c r="AA5850" s="182" t="n">
        <v>0</v>
      </c>
      <c r="AB5850" s="182" t="n">
        <v>0</v>
      </c>
      <c r="AC5850" s="182" t="n">
        <v>0</v>
      </c>
      <c r="AD5850" s="182" t="n">
        <v>0</v>
      </c>
      <c r="AE5850" s="182" t="n">
        <v>0</v>
      </c>
      <c r="AF5850" s="182" t="n">
        <v>0</v>
      </c>
      <c r="AG5850" s="182" t="n">
        <v>0</v>
      </c>
      <c r="AH5850" s="182" t="n">
        <v>0</v>
      </c>
      <c r="AI5850" s="182" t="n">
        <v>0</v>
      </c>
      <c r="AJ5850" s="182" t="n">
        <v>0</v>
      </c>
      <c r="AK5850" s="182" t="n">
        <v>10.92</v>
      </c>
      <c r="AL5850" s="182" t="n">
        <v>0</v>
      </c>
      <c r="AM5850" s="182" t="n">
        <v>0.08</v>
      </c>
      <c r="AN5850" s="182" t="n">
        <v>0</v>
      </c>
    </row>
    <row r="5851">
      <c r="A5851" s="155" t="n">
        <v>46108</v>
      </c>
      <c r="B5851" s="156" t="inlineStr">
        <is>
          <t>NS</t>
        </is>
      </c>
      <c r="C5851" s="156" t="inlineStr">
        <is>
          <t>HT-402</t>
        </is>
      </c>
      <c r="D5851" s="156" t="inlineStr">
        <is>
          <t>SY430</t>
        </is>
      </c>
      <c r="E5851" s="156" t="inlineStr">
        <is>
          <t>DT Hauling</t>
        </is>
      </c>
      <c r="F5851" s="156" t="inlineStr"/>
      <c r="G5851" s="182" t="n">
        <v>0</v>
      </c>
      <c r="H5851" s="182" t="n">
        <v>0</v>
      </c>
      <c r="I5851" s="182" t="n">
        <v>12</v>
      </c>
      <c r="J5851" s="182" t="n">
        <v>12</v>
      </c>
      <c r="K5851" s="182" t="n">
        <v>0</v>
      </c>
      <c r="L5851" s="182" t="n">
        <v>12</v>
      </c>
      <c r="M5851" s="182" t="n">
        <v>0</v>
      </c>
      <c r="N5851" s="182" t="n">
        <v>0</v>
      </c>
      <c r="O5851" s="183" t="n">
        <v>0</v>
      </c>
      <c r="P5851" s="183" t="n">
        <v>0</v>
      </c>
      <c r="Q5851" s="184" t="n">
        <v>0</v>
      </c>
      <c r="R5851" s="184" t="n">
        <v>0</v>
      </c>
      <c r="S5851" s="183" t="n">
        <v>0</v>
      </c>
      <c r="T5851" s="183" t="n">
        <v>0</v>
      </c>
      <c r="U5851" s="182" t="n">
        <v>0</v>
      </c>
      <c r="V5851" s="182" t="n">
        <v>0</v>
      </c>
      <c r="W5851" s="182" t="n">
        <v>0</v>
      </c>
      <c r="X5851" s="182" t="n">
        <v>0</v>
      </c>
      <c r="Y5851" s="182" t="n">
        <v>0</v>
      </c>
      <c r="Z5851" s="182" t="n">
        <v>0</v>
      </c>
      <c r="AA5851" s="182" t="n">
        <v>0</v>
      </c>
      <c r="AB5851" s="182" t="n">
        <v>0</v>
      </c>
      <c r="AC5851" s="182" t="n">
        <v>0</v>
      </c>
      <c r="AD5851" s="182" t="n">
        <v>0</v>
      </c>
      <c r="AE5851" s="182" t="n">
        <v>0</v>
      </c>
      <c r="AF5851" s="182" t="n">
        <v>0</v>
      </c>
      <c r="AG5851" s="182" t="n">
        <v>0</v>
      </c>
      <c r="AH5851" s="182" t="n">
        <v>0</v>
      </c>
      <c r="AI5851" s="182" t="n">
        <v>0</v>
      </c>
      <c r="AJ5851" s="182" t="n">
        <v>0</v>
      </c>
      <c r="AK5851" s="182" t="n">
        <v>0</v>
      </c>
      <c r="AL5851" s="182" t="n">
        <v>0</v>
      </c>
      <c r="AM5851" s="182" t="n">
        <v>0</v>
      </c>
      <c r="AN5851" s="182" t="n">
        <v>0</v>
      </c>
    </row>
    <row r="5852">
      <c r="A5852" s="155" t="n">
        <v>46108</v>
      </c>
      <c r="B5852" s="156" t="inlineStr">
        <is>
          <t>NS</t>
        </is>
      </c>
      <c r="C5852" s="156" t="inlineStr">
        <is>
          <t>HT-419</t>
        </is>
      </c>
      <c r="D5852" s="156" t="inlineStr">
        <is>
          <t>SY430</t>
        </is>
      </c>
      <c r="E5852" s="156" t="inlineStr">
        <is>
          <t>DT Hauling</t>
        </is>
      </c>
      <c r="F5852" s="156" t="inlineStr"/>
      <c r="G5852" s="182" t="n">
        <v>0</v>
      </c>
      <c r="H5852" s="182" t="n">
        <v>0</v>
      </c>
      <c r="I5852" s="182" t="n">
        <v>0</v>
      </c>
      <c r="J5852" s="182" t="n">
        <v>0</v>
      </c>
      <c r="K5852" s="182" t="n">
        <v>12</v>
      </c>
      <c r="L5852" s="182" t="n">
        <v>12</v>
      </c>
      <c r="M5852" s="182" t="n">
        <v>0</v>
      </c>
      <c r="N5852" s="182" t="n">
        <v>0</v>
      </c>
      <c r="O5852" s="183" t="n">
        <v>0</v>
      </c>
      <c r="P5852" s="183" t="n">
        <v>0</v>
      </c>
      <c r="Q5852" s="184" t="n">
        <v>0</v>
      </c>
      <c r="R5852" s="184" t="n">
        <v>0</v>
      </c>
      <c r="S5852" s="183" t="n">
        <v>0</v>
      </c>
      <c r="T5852" s="183" t="n">
        <v>0</v>
      </c>
      <c r="U5852" s="182" t="n">
        <v>0</v>
      </c>
      <c r="V5852" s="182" t="n">
        <v>0</v>
      </c>
      <c r="W5852" s="182" t="n">
        <v>0</v>
      </c>
      <c r="X5852" s="182" t="n">
        <v>1</v>
      </c>
      <c r="Y5852" s="182" t="n">
        <v>0</v>
      </c>
      <c r="Z5852" s="182" t="n">
        <v>0</v>
      </c>
      <c r="AA5852" s="182" t="n">
        <v>0</v>
      </c>
      <c r="AB5852" s="182" t="n">
        <v>0</v>
      </c>
      <c r="AC5852" s="182" t="n">
        <v>0</v>
      </c>
      <c r="AD5852" s="182" t="n">
        <v>0</v>
      </c>
      <c r="AE5852" s="182" t="n">
        <v>0</v>
      </c>
      <c r="AF5852" s="182" t="n">
        <v>0</v>
      </c>
      <c r="AG5852" s="182" t="n">
        <v>0</v>
      </c>
      <c r="AH5852" s="182" t="n">
        <v>0</v>
      </c>
      <c r="AI5852" s="182" t="n">
        <v>0</v>
      </c>
      <c r="AJ5852" s="182" t="n">
        <v>0</v>
      </c>
      <c r="AK5852" s="182" t="n">
        <v>10.92</v>
      </c>
      <c r="AL5852" s="182" t="n">
        <v>0</v>
      </c>
      <c r="AM5852" s="182" t="n">
        <v>0.08</v>
      </c>
      <c r="AN5852" s="182" t="n">
        <v>0</v>
      </c>
    </row>
    <row r="5853">
      <c r="A5853" s="155" t="n">
        <v>46108</v>
      </c>
      <c r="B5853" s="156" t="inlineStr">
        <is>
          <t>NS</t>
        </is>
      </c>
      <c r="C5853" s="156" t="inlineStr">
        <is>
          <t>HT-416</t>
        </is>
      </c>
      <c r="D5853" s="156" t="inlineStr">
        <is>
          <t>SY430</t>
        </is>
      </c>
      <c r="E5853" s="156" t="inlineStr">
        <is>
          <t>DT Hauling</t>
        </is>
      </c>
      <c r="F5853" s="156" t="inlineStr"/>
      <c r="G5853" s="182" t="n">
        <v>0</v>
      </c>
      <c r="H5853" s="182" t="n">
        <v>0</v>
      </c>
      <c r="I5853" s="182" t="n">
        <v>0</v>
      </c>
      <c r="J5853" s="182" t="n">
        <v>0</v>
      </c>
      <c r="K5853" s="182" t="n">
        <v>12</v>
      </c>
      <c r="L5853" s="182" t="n">
        <v>12</v>
      </c>
      <c r="M5853" s="182" t="n">
        <v>0</v>
      </c>
      <c r="N5853" s="182" t="n">
        <v>0</v>
      </c>
      <c r="O5853" s="183" t="n">
        <v>0</v>
      </c>
      <c r="P5853" s="183" t="n">
        <v>0</v>
      </c>
      <c r="Q5853" s="184" t="n">
        <v>0</v>
      </c>
      <c r="R5853" s="184" t="n">
        <v>0</v>
      </c>
      <c r="S5853" s="183" t="n">
        <v>0</v>
      </c>
      <c r="T5853" s="183" t="n">
        <v>0</v>
      </c>
      <c r="U5853" s="182" t="n">
        <v>0</v>
      </c>
      <c r="V5853" s="182" t="n">
        <v>0</v>
      </c>
      <c r="W5853" s="182" t="n">
        <v>0</v>
      </c>
      <c r="X5853" s="182" t="n">
        <v>1</v>
      </c>
      <c r="Y5853" s="182" t="n">
        <v>0</v>
      </c>
      <c r="Z5853" s="182" t="n">
        <v>0</v>
      </c>
      <c r="AA5853" s="182" t="n">
        <v>0</v>
      </c>
      <c r="AB5853" s="182" t="n">
        <v>0</v>
      </c>
      <c r="AC5853" s="182" t="n">
        <v>0</v>
      </c>
      <c r="AD5853" s="182" t="n">
        <v>0</v>
      </c>
      <c r="AE5853" s="182" t="n">
        <v>0</v>
      </c>
      <c r="AF5853" s="182" t="n">
        <v>0</v>
      </c>
      <c r="AG5853" s="182" t="n">
        <v>0</v>
      </c>
      <c r="AH5853" s="182" t="n">
        <v>0</v>
      </c>
      <c r="AI5853" s="182" t="n">
        <v>0</v>
      </c>
      <c r="AJ5853" s="182" t="n">
        <v>0</v>
      </c>
      <c r="AK5853" s="182" t="n">
        <v>10.92</v>
      </c>
      <c r="AL5853" s="182" t="n">
        <v>0</v>
      </c>
      <c r="AM5853" s="182" t="n">
        <v>0.08</v>
      </c>
      <c r="AN5853" s="182" t="n">
        <v>0</v>
      </c>
    </row>
    <row r="5854">
      <c r="A5854" s="155" t="n">
        <v>46108</v>
      </c>
      <c r="B5854" s="156" t="inlineStr">
        <is>
          <t>NS</t>
        </is>
      </c>
      <c r="C5854" s="156" t="inlineStr">
        <is>
          <t>HT-420</t>
        </is>
      </c>
      <c r="D5854" s="156" t="inlineStr">
        <is>
          <t>SY430</t>
        </is>
      </c>
      <c r="E5854" s="156" t="inlineStr">
        <is>
          <t>DT Hauling</t>
        </is>
      </c>
      <c r="F5854" s="156" t="inlineStr"/>
      <c r="G5854" s="182" t="n">
        <v>0</v>
      </c>
      <c r="H5854" s="182" t="n">
        <v>0</v>
      </c>
      <c r="I5854" s="182" t="n">
        <v>0</v>
      </c>
      <c r="J5854" s="182" t="n">
        <v>0</v>
      </c>
      <c r="K5854" s="182" t="n">
        <v>12</v>
      </c>
      <c r="L5854" s="182" t="n">
        <v>12</v>
      </c>
      <c r="M5854" s="182" t="n">
        <v>0</v>
      </c>
      <c r="N5854" s="182" t="n">
        <v>0</v>
      </c>
      <c r="O5854" s="183" t="n">
        <v>0</v>
      </c>
      <c r="P5854" s="183" t="n">
        <v>0</v>
      </c>
      <c r="Q5854" s="184" t="n">
        <v>0</v>
      </c>
      <c r="R5854" s="184" t="n">
        <v>0</v>
      </c>
      <c r="S5854" s="183" t="n">
        <v>0</v>
      </c>
      <c r="T5854" s="183" t="n">
        <v>0</v>
      </c>
      <c r="U5854" s="182" t="n">
        <v>0</v>
      </c>
      <c r="V5854" s="182" t="n">
        <v>0</v>
      </c>
      <c r="W5854" s="182" t="n">
        <v>0</v>
      </c>
      <c r="X5854" s="182" t="n">
        <v>1</v>
      </c>
      <c r="Y5854" s="182" t="n">
        <v>0</v>
      </c>
      <c r="Z5854" s="182" t="n">
        <v>0</v>
      </c>
      <c r="AA5854" s="182" t="n">
        <v>0</v>
      </c>
      <c r="AB5854" s="182" t="n">
        <v>0</v>
      </c>
      <c r="AC5854" s="182" t="n">
        <v>0</v>
      </c>
      <c r="AD5854" s="182" t="n">
        <v>0</v>
      </c>
      <c r="AE5854" s="182" t="n">
        <v>0</v>
      </c>
      <c r="AF5854" s="182" t="n">
        <v>0</v>
      </c>
      <c r="AG5854" s="182" t="n">
        <v>0</v>
      </c>
      <c r="AH5854" s="182" t="n">
        <v>0</v>
      </c>
      <c r="AI5854" s="182" t="n">
        <v>0</v>
      </c>
      <c r="AJ5854" s="182" t="n">
        <v>0</v>
      </c>
      <c r="AK5854" s="182" t="n">
        <v>10.92</v>
      </c>
      <c r="AL5854" s="182" t="n">
        <v>0</v>
      </c>
      <c r="AM5854" s="182" t="n">
        <v>0.08</v>
      </c>
      <c r="AN5854" s="182" t="n">
        <v>0</v>
      </c>
    </row>
    <row r="5855">
      <c r="A5855" s="155" t="n">
        <v>46108</v>
      </c>
      <c r="B5855" s="156" t="inlineStr">
        <is>
          <t>NS</t>
        </is>
      </c>
      <c r="C5855" s="156" t="inlineStr">
        <is>
          <t>HT-403</t>
        </is>
      </c>
      <c r="D5855" s="156" t="inlineStr">
        <is>
          <t>SY430</t>
        </is>
      </c>
      <c r="E5855" s="156" t="inlineStr">
        <is>
          <t>DT Hauling</t>
        </is>
      </c>
      <c r="F5855" s="156" t="inlineStr"/>
      <c r="G5855" s="182" t="n">
        <v>0</v>
      </c>
      <c r="H5855" s="182" t="n">
        <v>0</v>
      </c>
      <c r="I5855" s="182" t="n">
        <v>0</v>
      </c>
      <c r="J5855" s="182" t="n">
        <v>0</v>
      </c>
      <c r="K5855" s="182" t="n">
        <v>12</v>
      </c>
      <c r="L5855" s="182" t="n">
        <v>12</v>
      </c>
      <c r="M5855" s="182" t="n">
        <v>0</v>
      </c>
      <c r="N5855" s="182" t="n">
        <v>0</v>
      </c>
      <c r="O5855" s="183" t="n">
        <v>0</v>
      </c>
      <c r="P5855" s="183" t="n">
        <v>0</v>
      </c>
      <c r="Q5855" s="184" t="n">
        <v>0</v>
      </c>
      <c r="R5855" s="184" t="n">
        <v>0</v>
      </c>
      <c r="S5855" s="183" t="n">
        <v>0</v>
      </c>
      <c r="T5855" s="183" t="n">
        <v>0</v>
      </c>
      <c r="U5855" s="182" t="n">
        <v>0</v>
      </c>
      <c r="V5855" s="182" t="n">
        <v>0</v>
      </c>
      <c r="W5855" s="182" t="n">
        <v>0</v>
      </c>
      <c r="X5855" s="182" t="n">
        <v>1</v>
      </c>
      <c r="Y5855" s="182" t="n">
        <v>0</v>
      </c>
      <c r="Z5855" s="182" t="n">
        <v>0</v>
      </c>
      <c r="AA5855" s="182" t="n">
        <v>0</v>
      </c>
      <c r="AB5855" s="182" t="n">
        <v>0</v>
      </c>
      <c r="AC5855" s="182" t="n">
        <v>0</v>
      </c>
      <c r="AD5855" s="182" t="n">
        <v>0</v>
      </c>
      <c r="AE5855" s="182" t="n">
        <v>0</v>
      </c>
      <c r="AF5855" s="182" t="n">
        <v>0</v>
      </c>
      <c r="AG5855" s="182" t="n">
        <v>0</v>
      </c>
      <c r="AH5855" s="182" t="n">
        <v>0</v>
      </c>
      <c r="AI5855" s="182" t="n">
        <v>0</v>
      </c>
      <c r="AJ5855" s="182" t="n">
        <v>0</v>
      </c>
      <c r="AK5855" s="182" t="n">
        <v>10.92</v>
      </c>
      <c r="AL5855" s="182" t="n">
        <v>0</v>
      </c>
      <c r="AM5855" s="182" t="n">
        <v>0.08</v>
      </c>
      <c r="AN5855" s="182" t="n">
        <v>0</v>
      </c>
    </row>
    <row r="5856">
      <c r="A5856" s="155" t="n">
        <v>46108</v>
      </c>
      <c r="B5856" s="156" t="inlineStr">
        <is>
          <t>NS</t>
        </is>
      </c>
      <c r="C5856" s="156" t="inlineStr">
        <is>
          <t>HT-408</t>
        </is>
      </c>
      <c r="D5856" s="156" t="inlineStr">
        <is>
          <t>SY430</t>
        </is>
      </c>
      <c r="E5856" s="156" t="inlineStr">
        <is>
          <t>DT Hauling</t>
        </is>
      </c>
      <c r="F5856" s="156" t="inlineStr"/>
      <c r="G5856" s="182" t="n">
        <v>0</v>
      </c>
      <c r="H5856" s="182" t="n">
        <v>0</v>
      </c>
      <c r="I5856" s="182" t="n">
        <v>12</v>
      </c>
      <c r="J5856" s="182" t="n">
        <v>12</v>
      </c>
      <c r="K5856" s="182" t="n">
        <v>0</v>
      </c>
      <c r="L5856" s="182" t="n">
        <v>12</v>
      </c>
      <c r="M5856" s="182" t="n">
        <v>0</v>
      </c>
      <c r="N5856" s="182" t="n">
        <v>0</v>
      </c>
      <c r="O5856" s="183" t="n">
        <v>0</v>
      </c>
      <c r="P5856" s="183" t="n">
        <v>0</v>
      </c>
      <c r="Q5856" s="184" t="n">
        <v>0</v>
      </c>
      <c r="R5856" s="184" t="n">
        <v>0</v>
      </c>
      <c r="S5856" s="183" t="n">
        <v>0</v>
      </c>
      <c r="T5856" s="183" t="n">
        <v>0</v>
      </c>
      <c r="U5856" s="182" t="n">
        <v>0</v>
      </c>
      <c r="V5856" s="182" t="n">
        <v>0</v>
      </c>
      <c r="W5856" s="182" t="n">
        <v>0</v>
      </c>
      <c r="X5856" s="182" t="n">
        <v>0</v>
      </c>
      <c r="Y5856" s="182" t="n">
        <v>0</v>
      </c>
      <c r="Z5856" s="182" t="n">
        <v>0</v>
      </c>
      <c r="AA5856" s="182" t="n">
        <v>0</v>
      </c>
      <c r="AB5856" s="182" t="n">
        <v>0</v>
      </c>
      <c r="AC5856" s="182" t="n">
        <v>0</v>
      </c>
      <c r="AD5856" s="182" t="n">
        <v>0</v>
      </c>
      <c r="AE5856" s="182" t="n">
        <v>0</v>
      </c>
      <c r="AF5856" s="182" t="n">
        <v>0</v>
      </c>
      <c r="AG5856" s="182" t="n">
        <v>0</v>
      </c>
      <c r="AH5856" s="182" t="n">
        <v>0</v>
      </c>
      <c r="AI5856" s="182" t="n">
        <v>0</v>
      </c>
      <c r="AJ5856" s="182" t="n">
        <v>0</v>
      </c>
      <c r="AK5856" s="182" t="n">
        <v>0</v>
      </c>
      <c r="AL5856" s="182" t="n">
        <v>0</v>
      </c>
      <c r="AM5856" s="182" t="n">
        <v>0</v>
      </c>
      <c r="AN5856" s="182" t="n">
        <v>0</v>
      </c>
    </row>
    <row r="5857">
      <c r="A5857" s="155" t="n">
        <v>46108</v>
      </c>
      <c r="B5857" s="156" t="inlineStr">
        <is>
          <t>NS</t>
        </is>
      </c>
      <c r="C5857" s="156" t="inlineStr">
        <is>
          <t>HT-412</t>
        </is>
      </c>
      <c r="D5857" s="156" t="inlineStr">
        <is>
          <t>SY430</t>
        </is>
      </c>
      <c r="E5857" s="156" t="inlineStr">
        <is>
          <t>DT Hauling</t>
        </is>
      </c>
      <c r="F5857" s="156" t="inlineStr"/>
      <c r="G5857" s="182" t="n">
        <v>0</v>
      </c>
      <c r="H5857" s="182" t="n">
        <v>12</v>
      </c>
      <c r="I5857" s="182" t="n">
        <v>0</v>
      </c>
      <c r="J5857" s="182" t="n">
        <v>12</v>
      </c>
      <c r="K5857" s="182" t="n">
        <v>0</v>
      </c>
      <c r="L5857" s="182" t="n">
        <v>12</v>
      </c>
      <c r="M5857" s="182" t="n">
        <v>0</v>
      </c>
      <c r="N5857" s="182" t="n">
        <v>0</v>
      </c>
      <c r="O5857" s="183" t="n">
        <v>0</v>
      </c>
      <c r="P5857" s="183" t="n">
        <v>0</v>
      </c>
      <c r="Q5857" s="184" t="n">
        <v>0</v>
      </c>
      <c r="R5857" s="184" t="n">
        <v>0</v>
      </c>
      <c r="S5857" s="183" t="n">
        <v>0</v>
      </c>
      <c r="T5857" s="183" t="n">
        <v>0</v>
      </c>
      <c r="U5857" s="182" t="n">
        <v>0</v>
      </c>
      <c r="V5857" s="182" t="n">
        <v>0</v>
      </c>
      <c r="W5857" s="182" t="n">
        <v>0</v>
      </c>
      <c r="X5857" s="182" t="n">
        <v>0</v>
      </c>
      <c r="Y5857" s="182" t="n">
        <v>0</v>
      </c>
      <c r="Z5857" s="182" t="n">
        <v>0</v>
      </c>
      <c r="AA5857" s="182" t="n">
        <v>0</v>
      </c>
      <c r="AB5857" s="182" t="n">
        <v>0</v>
      </c>
      <c r="AC5857" s="182" t="n">
        <v>0</v>
      </c>
      <c r="AD5857" s="182" t="n">
        <v>0</v>
      </c>
      <c r="AE5857" s="182" t="n">
        <v>0</v>
      </c>
      <c r="AF5857" s="182" t="n">
        <v>0</v>
      </c>
      <c r="AG5857" s="182" t="n">
        <v>0</v>
      </c>
      <c r="AH5857" s="182" t="n">
        <v>0</v>
      </c>
      <c r="AI5857" s="182" t="n">
        <v>0</v>
      </c>
      <c r="AJ5857" s="182" t="n">
        <v>0</v>
      </c>
      <c r="AK5857" s="182" t="n">
        <v>0</v>
      </c>
      <c r="AL5857" s="182" t="n">
        <v>0</v>
      </c>
      <c r="AM5857" s="182" t="n">
        <v>0</v>
      </c>
      <c r="AN5857" s="182" t="n">
        <v>0</v>
      </c>
    </row>
    <row r="5858">
      <c r="A5858" s="155" t="n">
        <v>46108</v>
      </c>
      <c r="B5858" s="156" t="inlineStr">
        <is>
          <t>NS</t>
        </is>
      </c>
      <c r="C5858" s="156" t="inlineStr">
        <is>
          <t>HT-413</t>
        </is>
      </c>
      <c r="D5858" s="156" t="inlineStr">
        <is>
          <t>SY430</t>
        </is>
      </c>
      <c r="E5858" s="156" t="inlineStr">
        <is>
          <t>DT Hauling</t>
        </is>
      </c>
      <c r="F5858" s="156" t="inlineStr"/>
      <c r="G5858" s="182" t="n">
        <v>0</v>
      </c>
      <c r="H5858" s="182" t="n">
        <v>0</v>
      </c>
      <c r="I5858" s="182" t="n">
        <v>12</v>
      </c>
      <c r="J5858" s="182" t="n">
        <v>12</v>
      </c>
      <c r="K5858" s="182" t="n">
        <v>0</v>
      </c>
      <c r="L5858" s="182" t="n">
        <v>12</v>
      </c>
      <c r="M5858" s="182" t="n">
        <v>0</v>
      </c>
      <c r="N5858" s="182" t="n">
        <v>0</v>
      </c>
      <c r="O5858" s="183" t="n">
        <v>0</v>
      </c>
      <c r="P5858" s="183" t="n">
        <v>0</v>
      </c>
      <c r="Q5858" s="184" t="n">
        <v>0</v>
      </c>
      <c r="R5858" s="184" t="n">
        <v>0</v>
      </c>
      <c r="S5858" s="183" t="n">
        <v>0</v>
      </c>
      <c r="T5858" s="183" t="n">
        <v>0</v>
      </c>
      <c r="U5858" s="182" t="n">
        <v>0</v>
      </c>
      <c r="V5858" s="182" t="n">
        <v>0</v>
      </c>
      <c r="W5858" s="182" t="n">
        <v>0</v>
      </c>
      <c r="X5858" s="182" t="n">
        <v>0</v>
      </c>
      <c r="Y5858" s="182" t="n">
        <v>0</v>
      </c>
      <c r="Z5858" s="182" t="n">
        <v>0</v>
      </c>
      <c r="AA5858" s="182" t="n">
        <v>0</v>
      </c>
      <c r="AB5858" s="182" t="n">
        <v>0</v>
      </c>
      <c r="AC5858" s="182" t="n">
        <v>0</v>
      </c>
      <c r="AD5858" s="182" t="n">
        <v>0</v>
      </c>
      <c r="AE5858" s="182" t="n">
        <v>0</v>
      </c>
      <c r="AF5858" s="182" t="n">
        <v>0</v>
      </c>
      <c r="AG5858" s="182" t="n">
        <v>0</v>
      </c>
      <c r="AH5858" s="182" t="n">
        <v>0</v>
      </c>
      <c r="AI5858" s="182" t="n">
        <v>0</v>
      </c>
      <c r="AJ5858" s="182" t="n">
        <v>0</v>
      </c>
      <c r="AK5858" s="182" t="n">
        <v>0</v>
      </c>
      <c r="AL5858" s="182" t="n">
        <v>0</v>
      </c>
      <c r="AM5858" s="182" t="n">
        <v>0</v>
      </c>
      <c r="AN5858" s="182" t="n">
        <v>0</v>
      </c>
    </row>
    <row r="5859">
      <c r="A5859" s="155" t="n">
        <v>46108</v>
      </c>
      <c r="B5859" s="156" t="inlineStr">
        <is>
          <t>NS</t>
        </is>
      </c>
      <c r="C5859" s="156" t="inlineStr">
        <is>
          <t>HT-407</t>
        </is>
      </c>
      <c r="D5859" s="156" t="inlineStr">
        <is>
          <t>SY430</t>
        </is>
      </c>
      <c r="E5859" s="156" t="inlineStr">
        <is>
          <t>DT Hauling</t>
        </is>
      </c>
      <c r="F5859" s="156" t="inlineStr"/>
      <c r="G5859" s="182" t="n">
        <v>0</v>
      </c>
      <c r="H5859" s="182" t="n">
        <v>0</v>
      </c>
      <c r="I5859" s="182" t="n">
        <v>0</v>
      </c>
      <c r="J5859" s="182" t="n">
        <v>0</v>
      </c>
      <c r="K5859" s="182" t="n">
        <v>12</v>
      </c>
      <c r="L5859" s="182" t="n">
        <v>12</v>
      </c>
      <c r="M5859" s="182" t="n">
        <v>0</v>
      </c>
      <c r="N5859" s="182" t="n">
        <v>0</v>
      </c>
      <c r="O5859" s="183" t="n">
        <v>0</v>
      </c>
      <c r="P5859" s="183" t="n">
        <v>0</v>
      </c>
      <c r="Q5859" s="184" t="n">
        <v>0</v>
      </c>
      <c r="R5859" s="184" t="n">
        <v>0</v>
      </c>
      <c r="S5859" s="183" t="n">
        <v>0</v>
      </c>
      <c r="T5859" s="183" t="n">
        <v>0</v>
      </c>
      <c r="U5859" s="182" t="n">
        <v>0</v>
      </c>
      <c r="V5859" s="182" t="n">
        <v>0</v>
      </c>
      <c r="W5859" s="182" t="n">
        <v>0</v>
      </c>
      <c r="X5859" s="182" t="n">
        <v>1</v>
      </c>
      <c r="Y5859" s="182" t="n">
        <v>0</v>
      </c>
      <c r="Z5859" s="182" t="n">
        <v>0</v>
      </c>
      <c r="AA5859" s="182" t="n">
        <v>0</v>
      </c>
      <c r="AB5859" s="182" t="n">
        <v>0</v>
      </c>
      <c r="AC5859" s="182" t="n">
        <v>0</v>
      </c>
      <c r="AD5859" s="182" t="n">
        <v>0</v>
      </c>
      <c r="AE5859" s="182" t="n">
        <v>0</v>
      </c>
      <c r="AF5859" s="182" t="n">
        <v>0</v>
      </c>
      <c r="AG5859" s="182" t="n">
        <v>0</v>
      </c>
      <c r="AH5859" s="182" t="n">
        <v>0</v>
      </c>
      <c r="AI5859" s="182" t="n">
        <v>0</v>
      </c>
      <c r="AJ5859" s="182" t="n">
        <v>0</v>
      </c>
      <c r="AK5859" s="182" t="n">
        <v>10.92</v>
      </c>
      <c r="AL5859" s="182" t="n">
        <v>0</v>
      </c>
      <c r="AM5859" s="182" t="n">
        <v>0.08</v>
      </c>
      <c r="AN5859" s="182" t="n">
        <v>0</v>
      </c>
    </row>
    <row r="5860">
      <c r="A5860" s="155" t="n">
        <v>46108</v>
      </c>
      <c r="B5860" s="156" t="inlineStr">
        <is>
          <t>NS</t>
        </is>
      </c>
      <c r="C5860" s="156" t="inlineStr">
        <is>
          <t>HT-414</t>
        </is>
      </c>
      <c r="D5860" s="156" t="inlineStr">
        <is>
          <t>SY430</t>
        </is>
      </c>
      <c r="E5860" s="156" t="inlineStr">
        <is>
          <t>DT Hauling</t>
        </is>
      </c>
      <c r="F5860" s="156" t="inlineStr"/>
      <c r="G5860" s="182" t="n">
        <v>0</v>
      </c>
      <c r="H5860" s="182" t="n">
        <v>0</v>
      </c>
      <c r="I5860" s="182" t="n">
        <v>0</v>
      </c>
      <c r="J5860" s="182" t="n">
        <v>0</v>
      </c>
      <c r="K5860" s="182" t="n">
        <v>12</v>
      </c>
      <c r="L5860" s="182" t="n">
        <v>12</v>
      </c>
      <c r="M5860" s="182" t="n">
        <v>0</v>
      </c>
      <c r="N5860" s="182" t="n">
        <v>0</v>
      </c>
      <c r="O5860" s="183" t="n">
        <v>0</v>
      </c>
      <c r="P5860" s="183" t="n">
        <v>0</v>
      </c>
      <c r="Q5860" s="184" t="n">
        <v>0</v>
      </c>
      <c r="R5860" s="184" t="n">
        <v>0</v>
      </c>
      <c r="S5860" s="183" t="n">
        <v>0</v>
      </c>
      <c r="T5860" s="183" t="n">
        <v>0</v>
      </c>
      <c r="U5860" s="182" t="n">
        <v>0</v>
      </c>
      <c r="V5860" s="182" t="n">
        <v>0</v>
      </c>
      <c r="W5860" s="182" t="n">
        <v>0</v>
      </c>
      <c r="X5860" s="182" t="n">
        <v>1</v>
      </c>
      <c r="Y5860" s="182" t="n">
        <v>0</v>
      </c>
      <c r="Z5860" s="182" t="n">
        <v>0</v>
      </c>
      <c r="AA5860" s="182" t="n">
        <v>0</v>
      </c>
      <c r="AB5860" s="182" t="n">
        <v>0</v>
      </c>
      <c r="AC5860" s="182" t="n">
        <v>0</v>
      </c>
      <c r="AD5860" s="182" t="n">
        <v>0</v>
      </c>
      <c r="AE5860" s="182" t="n">
        <v>0</v>
      </c>
      <c r="AF5860" s="182" t="n">
        <v>0</v>
      </c>
      <c r="AG5860" s="182" t="n">
        <v>0</v>
      </c>
      <c r="AH5860" s="182" t="n">
        <v>0</v>
      </c>
      <c r="AI5860" s="182" t="n">
        <v>0</v>
      </c>
      <c r="AJ5860" s="182" t="n">
        <v>0</v>
      </c>
      <c r="AK5860" s="182" t="n">
        <v>10.92</v>
      </c>
      <c r="AL5860" s="182" t="n">
        <v>0</v>
      </c>
      <c r="AM5860" s="182" t="n">
        <v>0.08</v>
      </c>
      <c r="AN5860" s="182" t="n">
        <v>0</v>
      </c>
    </row>
    <row r="5861">
      <c r="A5861" s="155" t="n">
        <v>46108</v>
      </c>
      <c r="B5861" s="156" t="inlineStr">
        <is>
          <t>NS</t>
        </is>
      </c>
      <c r="C5861" s="156" t="inlineStr">
        <is>
          <t>HT-411</t>
        </is>
      </c>
      <c r="D5861" s="156" t="inlineStr">
        <is>
          <t>SY430</t>
        </is>
      </c>
      <c r="E5861" s="156" t="inlineStr">
        <is>
          <t>DT Hauling</t>
        </is>
      </c>
      <c r="F5861" s="156" t="inlineStr"/>
      <c r="G5861" s="182" t="n">
        <v>0</v>
      </c>
      <c r="H5861" s="182" t="n">
        <v>0</v>
      </c>
      <c r="I5861" s="182" t="n">
        <v>0</v>
      </c>
      <c r="J5861" s="182" t="n">
        <v>0</v>
      </c>
      <c r="K5861" s="182" t="n">
        <v>12</v>
      </c>
      <c r="L5861" s="182" t="n">
        <v>12</v>
      </c>
      <c r="M5861" s="182" t="n">
        <v>0</v>
      </c>
      <c r="N5861" s="182" t="n">
        <v>0</v>
      </c>
      <c r="O5861" s="183" t="n">
        <v>0</v>
      </c>
      <c r="P5861" s="183" t="n">
        <v>0</v>
      </c>
      <c r="Q5861" s="184" t="n">
        <v>0</v>
      </c>
      <c r="R5861" s="184" t="n">
        <v>0</v>
      </c>
      <c r="S5861" s="183" t="n">
        <v>0</v>
      </c>
      <c r="T5861" s="183" t="n">
        <v>0</v>
      </c>
      <c r="U5861" s="182" t="n">
        <v>0</v>
      </c>
      <c r="V5861" s="182" t="n">
        <v>0</v>
      </c>
      <c r="W5861" s="182" t="n">
        <v>0</v>
      </c>
      <c r="X5861" s="182" t="n">
        <v>1</v>
      </c>
      <c r="Y5861" s="182" t="n">
        <v>0</v>
      </c>
      <c r="Z5861" s="182" t="n">
        <v>0</v>
      </c>
      <c r="AA5861" s="182" t="n">
        <v>0</v>
      </c>
      <c r="AB5861" s="182" t="n">
        <v>0</v>
      </c>
      <c r="AC5861" s="182" t="n">
        <v>0</v>
      </c>
      <c r="AD5861" s="182" t="n">
        <v>0</v>
      </c>
      <c r="AE5861" s="182" t="n">
        <v>0</v>
      </c>
      <c r="AF5861" s="182" t="n">
        <v>0</v>
      </c>
      <c r="AG5861" s="182" t="n">
        <v>0</v>
      </c>
      <c r="AH5861" s="182" t="n">
        <v>0</v>
      </c>
      <c r="AI5861" s="182" t="n">
        <v>0</v>
      </c>
      <c r="AJ5861" s="182" t="n">
        <v>0</v>
      </c>
      <c r="AK5861" s="182" t="n">
        <v>10.92</v>
      </c>
      <c r="AL5861" s="182" t="n">
        <v>0</v>
      </c>
      <c r="AM5861" s="182" t="n">
        <v>0.08</v>
      </c>
      <c r="AN5861" s="182" t="n">
        <v>0</v>
      </c>
    </row>
    <row r="5862">
      <c r="A5862" s="155" t="n">
        <v>46108</v>
      </c>
      <c r="B5862" s="156" t="inlineStr">
        <is>
          <t>NS</t>
        </is>
      </c>
      <c r="C5862" s="156" t="inlineStr">
        <is>
          <t>HT-409</t>
        </is>
      </c>
      <c r="D5862" s="156" t="inlineStr">
        <is>
          <t>SY430</t>
        </is>
      </c>
      <c r="E5862" s="156" t="inlineStr">
        <is>
          <t>DT Hauling</t>
        </is>
      </c>
      <c r="F5862" s="156" t="inlineStr"/>
      <c r="G5862" s="182" t="n">
        <v>0</v>
      </c>
      <c r="H5862" s="182" t="n">
        <v>0</v>
      </c>
      <c r="I5862" s="182" t="n">
        <v>0</v>
      </c>
      <c r="J5862" s="182" t="n">
        <v>0</v>
      </c>
      <c r="K5862" s="182" t="n">
        <v>12</v>
      </c>
      <c r="L5862" s="182" t="n">
        <v>12</v>
      </c>
      <c r="M5862" s="182" t="n">
        <v>0</v>
      </c>
      <c r="N5862" s="182" t="n">
        <v>0</v>
      </c>
      <c r="O5862" s="183" t="n">
        <v>0</v>
      </c>
      <c r="P5862" s="183" t="n">
        <v>0</v>
      </c>
      <c r="Q5862" s="184" t="n">
        <v>0</v>
      </c>
      <c r="R5862" s="184" t="n">
        <v>0</v>
      </c>
      <c r="S5862" s="183" t="n">
        <v>0</v>
      </c>
      <c r="T5862" s="183" t="n">
        <v>0</v>
      </c>
      <c r="U5862" s="182" t="n">
        <v>0</v>
      </c>
      <c r="V5862" s="182" t="n">
        <v>0</v>
      </c>
      <c r="W5862" s="182" t="n">
        <v>0</v>
      </c>
      <c r="X5862" s="182" t="n">
        <v>1</v>
      </c>
      <c r="Y5862" s="182" t="n">
        <v>0</v>
      </c>
      <c r="Z5862" s="182" t="n">
        <v>0</v>
      </c>
      <c r="AA5862" s="182" t="n">
        <v>0</v>
      </c>
      <c r="AB5862" s="182" t="n">
        <v>0</v>
      </c>
      <c r="AC5862" s="182" t="n">
        <v>0</v>
      </c>
      <c r="AD5862" s="182" t="n">
        <v>0</v>
      </c>
      <c r="AE5862" s="182" t="n">
        <v>0</v>
      </c>
      <c r="AF5862" s="182" t="n">
        <v>0</v>
      </c>
      <c r="AG5862" s="182" t="n">
        <v>0</v>
      </c>
      <c r="AH5862" s="182" t="n">
        <v>0</v>
      </c>
      <c r="AI5862" s="182" t="n">
        <v>0</v>
      </c>
      <c r="AJ5862" s="182" t="n">
        <v>0</v>
      </c>
      <c r="AK5862" s="182" t="n">
        <v>10.92</v>
      </c>
      <c r="AL5862" s="182" t="n">
        <v>0</v>
      </c>
      <c r="AM5862" s="182" t="n">
        <v>0.08</v>
      </c>
      <c r="AN5862" s="182" t="n">
        <v>0</v>
      </c>
    </row>
    <row r="5863">
      <c r="A5863" s="155" t="n">
        <v>46108</v>
      </c>
      <c r="B5863" s="156" t="inlineStr">
        <is>
          <t>NS</t>
        </is>
      </c>
      <c r="C5863" s="156" t="inlineStr">
        <is>
          <t>DH-103</t>
        </is>
      </c>
      <c r="D5863" s="156" t="inlineStr">
        <is>
          <t>HINO FM260</t>
        </is>
      </c>
      <c r="E5863" s="156" t="inlineStr">
        <is>
          <t>DT Hino</t>
        </is>
      </c>
      <c r="F5863" s="156" t="inlineStr"/>
      <c r="G5863" s="182" t="n">
        <v>0</v>
      </c>
      <c r="H5863" s="182" t="n">
        <v>0</v>
      </c>
      <c r="I5863" s="182" t="n">
        <v>12</v>
      </c>
      <c r="J5863" s="182" t="n">
        <v>12</v>
      </c>
      <c r="K5863" s="182" t="n">
        <v>0</v>
      </c>
      <c r="L5863" s="182" t="n">
        <v>12</v>
      </c>
      <c r="M5863" s="182" t="n">
        <v>0</v>
      </c>
      <c r="N5863" s="182" t="n">
        <v>0</v>
      </c>
      <c r="O5863" s="183" t="n">
        <v>0</v>
      </c>
      <c r="P5863" s="183" t="n">
        <v>0</v>
      </c>
      <c r="Q5863" s="184" t="n">
        <v>0</v>
      </c>
      <c r="R5863" s="184" t="n">
        <v>0</v>
      </c>
      <c r="S5863" s="183" t="n">
        <v>0</v>
      </c>
      <c r="T5863" s="183" t="n">
        <v>0</v>
      </c>
      <c r="U5863" s="182" t="n">
        <v>0</v>
      </c>
      <c r="V5863" s="182" t="n">
        <v>0</v>
      </c>
      <c r="W5863" s="182" t="n">
        <v>0</v>
      </c>
      <c r="X5863" s="182" t="n">
        <v>0</v>
      </c>
      <c r="Y5863" s="182" t="n">
        <v>0</v>
      </c>
      <c r="Z5863" s="182" t="n">
        <v>0</v>
      </c>
      <c r="AA5863" s="182" t="n">
        <v>0</v>
      </c>
      <c r="AB5863" s="182" t="n">
        <v>0</v>
      </c>
      <c r="AC5863" s="182" t="n">
        <v>0</v>
      </c>
      <c r="AD5863" s="182" t="n">
        <v>0</v>
      </c>
      <c r="AE5863" s="182" t="n">
        <v>0</v>
      </c>
      <c r="AF5863" s="182" t="n">
        <v>0</v>
      </c>
      <c r="AG5863" s="182" t="n">
        <v>0</v>
      </c>
      <c r="AH5863" s="182" t="n">
        <v>0</v>
      </c>
      <c r="AI5863" s="182" t="n">
        <v>0</v>
      </c>
      <c r="AJ5863" s="182" t="n">
        <v>0</v>
      </c>
      <c r="AK5863" s="182" t="n">
        <v>0</v>
      </c>
      <c r="AL5863" s="182" t="n">
        <v>0</v>
      </c>
      <c r="AM5863" s="182" t="n">
        <v>0</v>
      </c>
      <c r="AN5863" s="182" t="n">
        <v>0</v>
      </c>
    </row>
    <row r="5864">
      <c r="A5864" s="155" t="n">
        <v>46108</v>
      </c>
      <c r="B5864" s="156" t="inlineStr">
        <is>
          <t>NS</t>
        </is>
      </c>
      <c r="C5864" s="156" t="inlineStr">
        <is>
          <t>DH-102</t>
        </is>
      </c>
      <c r="D5864" s="156" t="inlineStr">
        <is>
          <t>HINO FM260</t>
        </is>
      </c>
      <c r="E5864" s="156" t="inlineStr">
        <is>
          <t>DT Hino</t>
        </is>
      </c>
      <c r="F5864" s="156" t="inlineStr"/>
      <c r="G5864" s="182" t="n">
        <v>0</v>
      </c>
      <c r="H5864" s="182" t="n">
        <v>0</v>
      </c>
      <c r="I5864" s="182" t="n">
        <v>0</v>
      </c>
      <c r="J5864" s="182" t="n">
        <v>0</v>
      </c>
      <c r="K5864" s="182" t="n">
        <v>12</v>
      </c>
      <c r="L5864" s="182" t="n">
        <v>12</v>
      </c>
      <c r="M5864" s="182" t="n">
        <v>0</v>
      </c>
      <c r="N5864" s="182" t="n">
        <v>0</v>
      </c>
      <c r="O5864" s="183" t="n">
        <v>0</v>
      </c>
      <c r="P5864" s="183" t="n">
        <v>0</v>
      </c>
      <c r="Q5864" s="184" t="n">
        <v>0</v>
      </c>
      <c r="R5864" s="184" t="n">
        <v>0</v>
      </c>
      <c r="S5864" s="183" t="n">
        <v>0</v>
      </c>
      <c r="T5864" s="183" t="n">
        <v>0</v>
      </c>
      <c r="U5864" s="182" t="n">
        <v>0</v>
      </c>
      <c r="V5864" s="182" t="n">
        <v>0</v>
      </c>
      <c r="W5864" s="182" t="n">
        <v>0</v>
      </c>
      <c r="X5864" s="182" t="n">
        <v>1</v>
      </c>
      <c r="Y5864" s="182" t="n">
        <v>0</v>
      </c>
      <c r="Z5864" s="182" t="n">
        <v>0</v>
      </c>
      <c r="AA5864" s="182" t="n">
        <v>0</v>
      </c>
      <c r="AB5864" s="182" t="n">
        <v>0</v>
      </c>
      <c r="AC5864" s="182" t="n">
        <v>0</v>
      </c>
      <c r="AD5864" s="182" t="n">
        <v>0</v>
      </c>
      <c r="AE5864" s="182" t="n">
        <v>0</v>
      </c>
      <c r="AF5864" s="182" t="n">
        <v>0</v>
      </c>
      <c r="AG5864" s="182" t="n">
        <v>0</v>
      </c>
      <c r="AH5864" s="182" t="n">
        <v>0</v>
      </c>
      <c r="AI5864" s="182" t="n">
        <v>0</v>
      </c>
      <c r="AJ5864" s="182" t="n">
        <v>0</v>
      </c>
      <c r="AK5864" s="182" t="n">
        <v>10.92</v>
      </c>
      <c r="AL5864" s="182" t="n">
        <v>0</v>
      </c>
      <c r="AM5864" s="182" t="n">
        <v>0.08</v>
      </c>
      <c r="AN5864" s="182" t="n">
        <v>0</v>
      </c>
    </row>
    <row r="5865">
      <c r="A5865" s="155" t="n">
        <v>46108</v>
      </c>
      <c r="B5865" s="156" t="inlineStr">
        <is>
          <t>NS</t>
        </is>
      </c>
      <c r="C5865" s="156" t="inlineStr">
        <is>
          <t>DH-101</t>
        </is>
      </c>
      <c r="D5865" s="156" t="inlineStr">
        <is>
          <t>HINO FM260</t>
        </is>
      </c>
      <c r="E5865" s="156" t="inlineStr">
        <is>
          <t>DT Hino</t>
        </is>
      </c>
      <c r="F5865" s="156" t="inlineStr"/>
      <c r="G5865" s="182" t="n">
        <v>0</v>
      </c>
      <c r="H5865" s="182" t="n">
        <v>0</v>
      </c>
      <c r="I5865" s="182" t="n">
        <v>0</v>
      </c>
      <c r="J5865" s="182" t="n">
        <v>0</v>
      </c>
      <c r="K5865" s="182" t="n">
        <v>12</v>
      </c>
      <c r="L5865" s="182" t="n">
        <v>12</v>
      </c>
      <c r="M5865" s="182" t="n">
        <v>0</v>
      </c>
      <c r="N5865" s="182" t="n">
        <v>0</v>
      </c>
      <c r="O5865" s="183" t="n">
        <v>0</v>
      </c>
      <c r="P5865" s="183" t="n">
        <v>0</v>
      </c>
      <c r="Q5865" s="184" t="n">
        <v>0</v>
      </c>
      <c r="R5865" s="184" t="n">
        <v>0</v>
      </c>
      <c r="S5865" s="183" t="n">
        <v>0</v>
      </c>
      <c r="T5865" s="183" t="n">
        <v>0</v>
      </c>
      <c r="U5865" s="182" t="n">
        <v>0</v>
      </c>
      <c r="V5865" s="182" t="n">
        <v>0</v>
      </c>
      <c r="W5865" s="182" t="n">
        <v>0</v>
      </c>
      <c r="X5865" s="182" t="n">
        <v>1</v>
      </c>
      <c r="Y5865" s="182" t="n">
        <v>0</v>
      </c>
      <c r="Z5865" s="182" t="n">
        <v>0</v>
      </c>
      <c r="AA5865" s="182" t="n">
        <v>0</v>
      </c>
      <c r="AB5865" s="182" t="n">
        <v>0</v>
      </c>
      <c r="AC5865" s="182" t="n">
        <v>0</v>
      </c>
      <c r="AD5865" s="182" t="n">
        <v>0</v>
      </c>
      <c r="AE5865" s="182" t="n">
        <v>0</v>
      </c>
      <c r="AF5865" s="182" t="n">
        <v>0</v>
      </c>
      <c r="AG5865" s="182" t="n">
        <v>0</v>
      </c>
      <c r="AH5865" s="182" t="n">
        <v>0</v>
      </c>
      <c r="AI5865" s="182" t="n">
        <v>0</v>
      </c>
      <c r="AJ5865" s="182" t="n">
        <v>0</v>
      </c>
      <c r="AK5865" s="182" t="n">
        <v>10.92</v>
      </c>
      <c r="AL5865" s="182" t="n">
        <v>0</v>
      </c>
      <c r="AM5865" s="182" t="n">
        <v>0.08</v>
      </c>
      <c r="AN5865" s="182" t="n">
        <v>0</v>
      </c>
    </row>
    <row r="5866">
      <c r="A5866" s="155" t="n">
        <v>46108</v>
      </c>
      <c r="B5866" s="156" t="inlineStr">
        <is>
          <t>NS</t>
        </is>
      </c>
      <c r="C5866" s="156" t="inlineStr">
        <is>
          <t>EX-1251</t>
        </is>
      </c>
      <c r="D5866" s="156" t="inlineStr">
        <is>
          <t>SY1250</t>
        </is>
      </c>
      <c r="E5866" s="156" t="inlineStr">
        <is>
          <t>Excavator</t>
        </is>
      </c>
      <c r="F5866" s="156" t="inlineStr">
        <is>
          <t>Loading OB</t>
        </is>
      </c>
      <c r="G5866" s="182" t="n">
        <v>7.54</v>
      </c>
      <c r="H5866" s="182" t="n">
        <v>0</v>
      </c>
      <c r="I5866" s="182" t="n">
        <v>0</v>
      </c>
      <c r="J5866" s="182" t="n">
        <v>0</v>
      </c>
      <c r="K5866" s="182" t="n">
        <v>4.46</v>
      </c>
      <c r="L5866" s="182" t="n">
        <v>12</v>
      </c>
      <c r="M5866" s="182" t="n">
        <v>7.04</v>
      </c>
      <c r="N5866" s="182" t="n">
        <v>0</v>
      </c>
      <c r="O5866" s="185">
        <f>SUMIFS(INPUT_RITASE!$F$5:$F$20000,INPUT_RITASE!$A$5:$A$20000,$A5866,INPUT_RITASE!$H$5:$H$20000,$B5866,INPUT_RITASE!$C$5:$C$20000,$C5866,INPUT_RITASE!$N$5:$N$20000,"OB")</f>
        <v/>
      </c>
      <c r="P5866" s="185">
        <f>SUMIFS(INPUT_RITASE!$F$5:$F$20000,INPUT_RITASE!$A$5:$A$20000,$A5866,INPUT_RITASE!$H$5:$H$20000,$B5866,INPUT_RITASE!$C$5:$C$20000,$C5866,INPUT_RITASE!$N$5:$N$20000,"Coal")</f>
        <v/>
      </c>
      <c r="Q5866" s="186">
        <f>SUMIFS(INPUT_RITASE!$L$5:$L$20000,INPUT_RITASE!$A$5:$A$20000,$A5866,INPUT_RITASE!$H$5:$H$20000,$B5866,INPUT_RITASE!$C$5:$C$20000,$C5866,INPUT_RITASE!$N$5:$N$20000,"OB")</f>
        <v/>
      </c>
      <c r="R5866" s="186">
        <f>SUMIFS(INPUT_RITASE!$L$5:$L$20000,INPUT_RITASE!$A$5:$A$20000,$A5866,INPUT_RITASE!$H$5:$H$20000,$B5866,INPUT_RITASE!$C$5:$C$20000,$C5866,INPUT_RITASE!$N$5:$N$20000,"Coal")</f>
        <v/>
      </c>
      <c r="S5866" s="183" t="n">
        <v>0</v>
      </c>
      <c r="T5866" s="183" t="n">
        <v>0</v>
      </c>
      <c r="U5866" s="182" t="n">
        <v>0</v>
      </c>
      <c r="V5866" s="182" t="n">
        <v>0</v>
      </c>
      <c r="W5866" s="182" t="n">
        <v>0</v>
      </c>
      <c r="X5866" s="182" t="n">
        <v>1</v>
      </c>
      <c r="Y5866" s="182" t="n">
        <v>0</v>
      </c>
      <c r="Z5866" s="182" t="n">
        <v>0</v>
      </c>
      <c r="AA5866" s="182" t="n">
        <v>0</v>
      </c>
      <c r="AB5866" s="182" t="n">
        <v>0</v>
      </c>
      <c r="AC5866" s="182" t="n">
        <v>0</v>
      </c>
      <c r="AD5866" s="182" t="n">
        <v>0</v>
      </c>
      <c r="AE5866" s="182" t="n">
        <v>0</v>
      </c>
      <c r="AF5866" s="182" t="n">
        <v>0</v>
      </c>
      <c r="AG5866" s="182" t="n">
        <v>0</v>
      </c>
      <c r="AH5866" s="182" t="n">
        <v>0.19</v>
      </c>
      <c r="AI5866" s="182" t="n">
        <v>0</v>
      </c>
      <c r="AJ5866" s="182" t="n">
        <v>0</v>
      </c>
      <c r="AK5866" s="182" t="n">
        <v>0</v>
      </c>
      <c r="AL5866" s="182" t="n">
        <v>3.19</v>
      </c>
      <c r="AM5866" s="182" t="n">
        <v>0.08</v>
      </c>
      <c r="AN5866" s="182" t="n">
        <v>0</v>
      </c>
    </row>
    <row r="5867">
      <c r="A5867" s="155" t="n">
        <v>46108</v>
      </c>
      <c r="B5867" s="156" t="inlineStr">
        <is>
          <t>NS</t>
        </is>
      </c>
      <c r="C5867" s="156" t="inlineStr">
        <is>
          <t>EX-1252</t>
        </is>
      </c>
      <c r="D5867" s="156" t="inlineStr">
        <is>
          <t>SY1250</t>
        </is>
      </c>
      <c r="E5867" s="156" t="inlineStr">
        <is>
          <t>Excavator</t>
        </is>
      </c>
      <c r="F5867" s="156" t="inlineStr">
        <is>
          <t>Loading OB</t>
        </is>
      </c>
      <c r="G5867" s="182" t="n">
        <v>1.38</v>
      </c>
      <c r="H5867" s="182" t="n">
        <v>0</v>
      </c>
      <c r="I5867" s="182" t="n">
        <v>0</v>
      </c>
      <c r="J5867" s="182" t="n">
        <v>0</v>
      </c>
      <c r="K5867" s="182" t="n">
        <v>10.62</v>
      </c>
      <c r="L5867" s="182" t="n">
        <v>12</v>
      </c>
      <c r="M5867" s="182" t="n">
        <v>1.38</v>
      </c>
      <c r="N5867" s="182" t="n">
        <v>0</v>
      </c>
      <c r="O5867" s="185">
        <f>SUMIFS(INPUT_RITASE!$F$5:$F$20000,INPUT_RITASE!$A$5:$A$20000,$A5867,INPUT_RITASE!$H$5:$H$20000,$B5867,INPUT_RITASE!$C$5:$C$20000,$C5867,INPUT_RITASE!$N$5:$N$20000,"OB")</f>
        <v/>
      </c>
      <c r="P5867" s="185">
        <f>SUMIFS(INPUT_RITASE!$F$5:$F$20000,INPUT_RITASE!$A$5:$A$20000,$A5867,INPUT_RITASE!$H$5:$H$20000,$B5867,INPUT_RITASE!$C$5:$C$20000,$C5867,INPUT_RITASE!$N$5:$N$20000,"Coal")</f>
        <v/>
      </c>
      <c r="Q5867" s="186">
        <f>SUMIFS(INPUT_RITASE!$L$5:$L$20000,INPUT_RITASE!$A$5:$A$20000,$A5867,INPUT_RITASE!$H$5:$H$20000,$B5867,INPUT_RITASE!$C$5:$C$20000,$C5867,INPUT_RITASE!$N$5:$N$20000,"OB")</f>
        <v/>
      </c>
      <c r="R5867" s="186">
        <f>SUMIFS(INPUT_RITASE!$L$5:$L$20000,INPUT_RITASE!$A$5:$A$20000,$A5867,INPUT_RITASE!$H$5:$H$20000,$B5867,INPUT_RITASE!$C$5:$C$20000,$C5867,INPUT_RITASE!$N$5:$N$20000,"Coal")</f>
        <v/>
      </c>
      <c r="S5867" s="183" t="n">
        <v>0</v>
      </c>
      <c r="T5867" s="183" t="n">
        <v>0</v>
      </c>
      <c r="U5867" s="182" t="n">
        <v>0</v>
      </c>
      <c r="V5867" s="182" t="n">
        <v>0</v>
      </c>
      <c r="W5867" s="182" t="n">
        <v>0</v>
      </c>
      <c r="X5867" s="182" t="n">
        <v>0.99</v>
      </c>
      <c r="Y5867" s="182" t="n">
        <v>0</v>
      </c>
      <c r="Z5867" s="182" t="n">
        <v>0</v>
      </c>
      <c r="AA5867" s="182" t="n">
        <v>0</v>
      </c>
      <c r="AB5867" s="182" t="n">
        <v>0</v>
      </c>
      <c r="AC5867" s="182" t="n">
        <v>0</v>
      </c>
      <c r="AD5867" s="182" t="n">
        <v>9.56</v>
      </c>
      <c r="AE5867" s="182" t="n">
        <v>0</v>
      </c>
      <c r="AF5867" s="182" t="n">
        <v>0</v>
      </c>
      <c r="AG5867" s="182" t="n">
        <v>0</v>
      </c>
      <c r="AH5867" s="182" t="n">
        <v>0</v>
      </c>
      <c r="AI5867" s="182" t="n">
        <v>0</v>
      </c>
      <c r="AJ5867" s="182" t="n">
        <v>0</v>
      </c>
      <c r="AK5867" s="182" t="n">
        <v>0</v>
      </c>
      <c r="AL5867" s="182" t="n">
        <v>0</v>
      </c>
      <c r="AM5867" s="182" t="n">
        <v>0.08</v>
      </c>
      <c r="AN5867" s="182" t="n">
        <v>0</v>
      </c>
    </row>
    <row r="5868">
      <c r="A5868" s="155" t="n">
        <v>46108</v>
      </c>
      <c r="B5868" s="156" t="inlineStr">
        <is>
          <t>NS</t>
        </is>
      </c>
      <c r="C5868" s="156" t="inlineStr">
        <is>
          <t>EX-2101</t>
        </is>
      </c>
      <c r="D5868" s="156" t="inlineStr">
        <is>
          <t>SY2000</t>
        </is>
      </c>
      <c r="E5868" s="156" t="inlineStr">
        <is>
          <t>Excavator</t>
        </is>
      </c>
      <c r="F5868" s="156" t="inlineStr"/>
      <c r="G5868" s="182" t="n">
        <v>0</v>
      </c>
      <c r="H5868" s="182" t="n">
        <v>0</v>
      </c>
      <c r="I5868" s="182" t="n">
        <v>12</v>
      </c>
      <c r="J5868" s="182" t="n">
        <v>12</v>
      </c>
      <c r="K5868" s="182" t="n">
        <v>0</v>
      </c>
      <c r="L5868" s="182" t="n">
        <v>12</v>
      </c>
      <c r="M5868" s="182" t="n">
        <v>0</v>
      </c>
      <c r="N5868" s="182" t="n">
        <v>0</v>
      </c>
      <c r="O5868" s="185">
        <f>SUMIFS(INPUT_RITASE!$F$5:$F$20000,INPUT_RITASE!$A$5:$A$20000,$A5868,INPUT_RITASE!$H$5:$H$20000,$B5868,INPUT_RITASE!$C$5:$C$20000,$C5868,INPUT_RITASE!$N$5:$N$20000,"OB")</f>
        <v/>
      </c>
      <c r="P5868" s="185">
        <f>SUMIFS(INPUT_RITASE!$F$5:$F$20000,INPUT_RITASE!$A$5:$A$20000,$A5868,INPUT_RITASE!$H$5:$H$20000,$B5868,INPUT_RITASE!$C$5:$C$20000,$C5868,INPUT_RITASE!$N$5:$N$20000,"Coal")</f>
        <v/>
      </c>
      <c r="Q5868" s="186">
        <f>SUMIFS(INPUT_RITASE!$L$5:$L$20000,INPUT_RITASE!$A$5:$A$20000,$A5868,INPUT_RITASE!$H$5:$H$20000,$B5868,INPUT_RITASE!$C$5:$C$20000,$C5868,INPUT_RITASE!$N$5:$N$20000,"OB")</f>
        <v/>
      </c>
      <c r="R5868" s="186">
        <f>SUMIFS(INPUT_RITASE!$L$5:$L$20000,INPUT_RITASE!$A$5:$A$20000,$A5868,INPUT_RITASE!$H$5:$H$20000,$B5868,INPUT_RITASE!$C$5:$C$20000,$C5868,INPUT_RITASE!$N$5:$N$20000,"Coal")</f>
        <v/>
      </c>
      <c r="S5868" s="183" t="n">
        <v>0</v>
      </c>
      <c r="T5868" s="183" t="n">
        <v>0</v>
      </c>
      <c r="U5868" s="182" t="n">
        <v>0</v>
      </c>
      <c r="V5868" s="182" t="n">
        <v>0</v>
      </c>
      <c r="W5868" s="182" t="n">
        <v>0</v>
      </c>
      <c r="X5868" s="182" t="n">
        <v>0</v>
      </c>
      <c r="Y5868" s="182" t="n">
        <v>0</v>
      </c>
      <c r="Z5868" s="182" t="n">
        <v>0</v>
      </c>
      <c r="AA5868" s="182" t="n">
        <v>0</v>
      </c>
      <c r="AB5868" s="182" t="n">
        <v>0</v>
      </c>
      <c r="AC5868" s="182" t="n">
        <v>0</v>
      </c>
      <c r="AD5868" s="182" t="n">
        <v>0</v>
      </c>
      <c r="AE5868" s="182" t="n">
        <v>0</v>
      </c>
      <c r="AF5868" s="182" t="n">
        <v>0</v>
      </c>
      <c r="AG5868" s="182" t="n">
        <v>0</v>
      </c>
      <c r="AH5868" s="182" t="n">
        <v>0</v>
      </c>
      <c r="AI5868" s="182" t="n">
        <v>0</v>
      </c>
      <c r="AJ5868" s="182" t="n">
        <v>0</v>
      </c>
      <c r="AK5868" s="182" t="n">
        <v>0</v>
      </c>
      <c r="AL5868" s="182" t="n">
        <v>0</v>
      </c>
      <c r="AM5868" s="182" t="n">
        <v>0</v>
      </c>
      <c r="AN5868" s="182" t="n">
        <v>0</v>
      </c>
    </row>
    <row r="5869">
      <c r="A5869" s="155" t="n">
        <v>46108</v>
      </c>
      <c r="B5869" s="156" t="inlineStr">
        <is>
          <t>NS</t>
        </is>
      </c>
      <c r="C5869" s="156" t="inlineStr">
        <is>
          <t>EX-222</t>
        </is>
      </c>
      <c r="D5869" s="156" t="inlineStr">
        <is>
          <t>PC 200-8MI</t>
        </is>
      </c>
      <c r="E5869" s="156" t="inlineStr">
        <is>
          <t>Excavator</t>
        </is>
      </c>
      <c r="F5869" s="156" t="inlineStr">
        <is>
          <t>Rehandling Lumpur WP</t>
        </is>
      </c>
      <c r="G5869" s="182" t="n">
        <v>9.449999999999999</v>
      </c>
      <c r="H5869" s="182" t="n">
        <v>0</v>
      </c>
      <c r="I5869" s="182" t="n">
        <v>0</v>
      </c>
      <c r="J5869" s="182" t="n">
        <v>0</v>
      </c>
      <c r="K5869" s="182" t="n">
        <v>2.55</v>
      </c>
      <c r="L5869" s="182" t="n">
        <v>12</v>
      </c>
      <c r="M5869" s="182" t="n">
        <v>0</v>
      </c>
      <c r="N5869" s="182" t="n">
        <v>0</v>
      </c>
      <c r="O5869" s="185">
        <f>SUMIFS(INPUT_RITASE!$F$5:$F$20000,INPUT_RITASE!$A$5:$A$20000,$A5869,INPUT_RITASE!$H$5:$H$20000,$B5869,INPUT_RITASE!$C$5:$C$20000,$C5869,INPUT_RITASE!$N$5:$N$20000,"OB")</f>
        <v/>
      </c>
      <c r="P5869" s="185">
        <f>SUMIFS(INPUT_RITASE!$F$5:$F$20000,INPUT_RITASE!$A$5:$A$20000,$A5869,INPUT_RITASE!$H$5:$H$20000,$B5869,INPUT_RITASE!$C$5:$C$20000,$C5869,INPUT_RITASE!$N$5:$N$20000,"Coal")</f>
        <v/>
      </c>
      <c r="Q5869" s="186">
        <f>SUMIFS(INPUT_RITASE!$L$5:$L$20000,INPUT_RITASE!$A$5:$A$20000,$A5869,INPUT_RITASE!$H$5:$H$20000,$B5869,INPUT_RITASE!$C$5:$C$20000,$C5869,INPUT_RITASE!$N$5:$N$20000,"OB")</f>
        <v/>
      </c>
      <c r="R5869" s="186">
        <f>SUMIFS(INPUT_RITASE!$L$5:$L$20000,INPUT_RITASE!$A$5:$A$20000,$A5869,INPUT_RITASE!$H$5:$H$20000,$B5869,INPUT_RITASE!$C$5:$C$20000,$C5869,INPUT_RITASE!$N$5:$N$20000,"Coal")</f>
        <v/>
      </c>
      <c r="S5869" s="183" t="n">
        <v>0</v>
      </c>
      <c r="T5869" s="183" t="n">
        <v>0</v>
      </c>
      <c r="U5869" s="182" t="n">
        <v>0</v>
      </c>
      <c r="V5869" s="182" t="n">
        <v>0</v>
      </c>
      <c r="W5869" s="182" t="n">
        <v>0</v>
      </c>
      <c r="X5869" s="182" t="n">
        <v>1.06</v>
      </c>
      <c r="Y5869" s="182" t="n">
        <v>0</v>
      </c>
      <c r="Z5869" s="182" t="n">
        <v>0</v>
      </c>
      <c r="AA5869" s="182" t="n">
        <v>0</v>
      </c>
      <c r="AB5869" s="182" t="n">
        <v>0</v>
      </c>
      <c r="AC5869" s="182" t="n">
        <v>0</v>
      </c>
      <c r="AD5869" s="182" t="n">
        <v>0</v>
      </c>
      <c r="AE5869" s="182" t="n">
        <v>0</v>
      </c>
      <c r="AF5869" s="182" t="n">
        <v>0</v>
      </c>
      <c r="AG5869" s="182" t="n">
        <v>0</v>
      </c>
      <c r="AH5869" s="182" t="n">
        <v>0</v>
      </c>
      <c r="AI5869" s="182" t="n">
        <v>0</v>
      </c>
      <c r="AJ5869" s="182" t="n">
        <v>0</v>
      </c>
      <c r="AK5869" s="182" t="n">
        <v>0</v>
      </c>
      <c r="AL5869" s="182" t="n">
        <v>1.4</v>
      </c>
      <c r="AM5869" s="182" t="n">
        <v>0.09</v>
      </c>
      <c r="AN5869" s="182" t="n">
        <v>0</v>
      </c>
    </row>
    <row r="5870">
      <c r="A5870" s="155" t="n">
        <v>46108</v>
      </c>
      <c r="B5870" s="156" t="inlineStr">
        <is>
          <t>NS</t>
        </is>
      </c>
      <c r="C5870" s="156" t="inlineStr">
        <is>
          <t>EX-225</t>
        </is>
      </c>
      <c r="D5870" s="156" t="inlineStr">
        <is>
          <t>PC 200-8</t>
        </is>
      </c>
      <c r="E5870" s="156" t="inlineStr">
        <is>
          <t>Excavator</t>
        </is>
      </c>
      <c r="F5870" s="156" t="inlineStr"/>
      <c r="G5870" s="182" t="n">
        <v>0</v>
      </c>
      <c r="H5870" s="182" t="n">
        <v>0</v>
      </c>
      <c r="I5870" s="182" t="n">
        <v>12</v>
      </c>
      <c r="J5870" s="182" t="n">
        <v>12</v>
      </c>
      <c r="K5870" s="182" t="n">
        <v>0</v>
      </c>
      <c r="L5870" s="182" t="n">
        <v>12</v>
      </c>
      <c r="M5870" s="182" t="n">
        <v>0</v>
      </c>
      <c r="N5870" s="182" t="n">
        <v>0</v>
      </c>
      <c r="O5870" s="185">
        <f>SUMIFS(INPUT_RITASE!$F$5:$F$20000,INPUT_RITASE!$A$5:$A$20000,$A5870,INPUT_RITASE!$H$5:$H$20000,$B5870,INPUT_RITASE!$C$5:$C$20000,$C5870,INPUT_RITASE!$N$5:$N$20000,"OB")</f>
        <v/>
      </c>
      <c r="P5870" s="185">
        <f>SUMIFS(INPUT_RITASE!$F$5:$F$20000,INPUT_RITASE!$A$5:$A$20000,$A5870,INPUT_RITASE!$H$5:$H$20000,$B5870,INPUT_RITASE!$C$5:$C$20000,$C5870,INPUT_RITASE!$N$5:$N$20000,"Coal")</f>
        <v/>
      </c>
      <c r="Q5870" s="186">
        <f>SUMIFS(INPUT_RITASE!$L$5:$L$20000,INPUT_RITASE!$A$5:$A$20000,$A5870,INPUT_RITASE!$H$5:$H$20000,$B5870,INPUT_RITASE!$C$5:$C$20000,$C5870,INPUT_RITASE!$N$5:$N$20000,"OB")</f>
        <v/>
      </c>
      <c r="R5870" s="186">
        <f>SUMIFS(INPUT_RITASE!$L$5:$L$20000,INPUT_RITASE!$A$5:$A$20000,$A5870,INPUT_RITASE!$H$5:$H$20000,$B5870,INPUT_RITASE!$C$5:$C$20000,$C5870,INPUT_RITASE!$N$5:$N$20000,"Coal")</f>
        <v/>
      </c>
      <c r="S5870" s="183" t="n">
        <v>0</v>
      </c>
      <c r="T5870" s="183" t="n">
        <v>0</v>
      </c>
      <c r="U5870" s="182" t="n">
        <v>0</v>
      </c>
      <c r="V5870" s="182" t="n">
        <v>0</v>
      </c>
      <c r="W5870" s="182" t="n">
        <v>0</v>
      </c>
      <c r="X5870" s="182" t="n">
        <v>0</v>
      </c>
      <c r="Y5870" s="182" t="n">
        <v>0</v>
      </c>
      <c r="Z5870" s="182" t="n">
        <v>0</v>
      </c>
      <c r="AA5870" s="182" t="n">
        <v>0</v>
      </c>
      <c r="AB5870" s="182" t="n">
        <v>0</v>
      </c>
      <c r="AC5870" s="182" t="n">
        <v>0</v>
      </c>
      <c r="AD5870" s="182" t="n">
        <v>0</v>
      </c>
      <c r="AE5870" s="182" t="n">
        <v>0</v>
      </c>
      <c r="AF5870" s="182" t="n">
        <v>0</v>
      </c>
      <c r="AG5870" s="182" t="n">
        <v>0</v>
      </c>
      <c r="AH5870" s="182" t="n">
        <v>0</v>
      </c>
      <c r="AI5870" s="182" t="n">
        <v>0</v>
      </c>
      <c r="AJ5870" s="182" t="n">
        <v>0</v>
      </c>
      <c r="AK5870" s="182" t="n">
        <v>0</v>
      </c>
      <c r="AL5870" s="182" t="n">
        <v>0</v>
      </c>
      <c r="AM5870" s="182" t="n">
        <v>0</v>
      </c>
      <c r="AN5870" s="182" t="n">
        <v>0</v>
      </c>
    </row>
    <row r="5871">
      <c r="A5871" s="155" t="n">
        <v>46108</v>
      </c>
      <c r="B5871" s="156" t="inlineStr">
        <is>
          <t>NS</t>
        </is>
      </c>
      <c r="C5871" s="156" t="inlineStr">
        <is>
          <t>EX-223</t>
        </is>
      </c>
      <c r="D5871" s="156" t="inlineStr">
        <is>
          <t>PC 200-8MI</t>
        </is>
      </c>
      <c r="E5871" s="156" t="inlineStr">
        <is>
          <t>Excavator</t>
        </is>
      </c>
      <c r="F5871" s="156" t="inlineStr">
        <is>
          <t>Support Washing Plant</t>
        </is>
      </c>
      <c r="G5871" s="182" t="n">
        <v>12</v>
      </c>
      <c r="H5871" s="182" t="n">
        <v>0</v>
      </c>
      <c r="I5871" s="182" t="n">
        <v>0</v>
      </c>
      <c r="J5871" s="182" t="n">
        <v>0</v>
      </c>
      <c r="K5871" s="182" t="n">
        <v>0</v>
      </c>
      <c r="L5871" s="182" t="n">
        <v>12</v>
      </c>
      <c r="M5871" s="182" t="n">
        <v>0</v>
      </c>
      <c r="N5871" s="182" t="n">
        <v>0</v>
      </c>
      <c r="O5871" s="185">
        <f>SUMIFS(INPUT_RITASE!$F$5:$F$20000,INPUT_RITASE!$A$5:$A$20000,$A5871,INPUT_RITASE!$H$5:$H$20000,$B5871,INPUT_RITASE!$C$5:$C$20000,$C5871,INPUT_RITASE!$N$5:$N$20000,"OB")</f>
        <v/>
      </c>
      <c r="P5871" s="185">
        <f>SUMIFS(INPUT_RITASE!$F$5:$F$20000,INPUT_RITASE!$A$5:$A$20000,$A5871,INPUT_RITASE!$H$5:$H$20000,$B5871,INPUT_RITASE!$C$5:$C$20000,$C5871,INPUT_RITASE!$N$5:$N$20000,"Coal")</f>
        <v/>
      </c>
      <c r="Q5871" s="186">
        <f>SUMIFS(INPUT_RITASE!$L$5:$L$20000,INPUT_RITASE!$A$5:$A$20000,$A5871,INPUT_RITASE!$H$5:$H$20000,$B5871,INPUT_RITASE!$C$5:$C$20000,$C5871,INPUT_RITASE!$N$5:$N$20000,"OB")</f>
        <v/>
      </c>
      <c r="R5871" s="186">
        <f>SUMIFS(INPUT_RITASE!$L$5:$L$20000,INPUT_RITASE!$A$5:$A$20000,$A5871,INPUT_RITASE!$H$5:$H$20000,$B5871,INPUT_RITASE!$C$5:$C$20000,$C5871,INPUT_RITASE!$N$5:$N$20000,"Coal")</f>
        <v/>
      </c>
      <c r="S5871" s="183" t="n">
        <v>0</v>
      </c>
      <c r="T5871" s="183" t="n">
        <v>0</v>
      </c>
      <c r="U5871" s="182" t="n">
        <v>0</v>
      </c>
      <c r="V5871" s="182" t="n">
        <v>0</v>
      </c>
      <c r="W5871" s="182" t="n">
        <v>0</v>
      </c>
      <c r="X5871" s="182" t="n">
        <v>0</v>
      </c>
      <c r="Y5871" s="182" t="n">
        <v>0</v>
      </c>
      <c r="Z5871" s="182" t="n">
        <v>0</v>
      </c>
      <c r="AA5871" s="182" t="n">
        <v>0</v>
      </c>
      <c r="AB5871" s="182" t="n">
        <v>0</v>
      </c>
      <c r="AC5871" s="182" t="n">
        <v>0</v>
      </c>
      <c r="AD5871" s="182" t="n">
        <v>0</v>
      </c>
      <c r="AE5871" s="182" t="n">
        <v>0</v>
      </c>
      <c r="AF5871" s="182" t="n">
        <v>0</v>
      </c>
      <c r="AG5871" s="182" t="n">
        <v>0</v>
      </c>
      <c r="AH5871" s="182" t="n">
        <v>0</v>
      </c>
      <c r="AI5871" s="182" t="n">
        <v>0</v>
      </c>
      <c r="AJ5871" s="182" t="n">
        <v>0</v>
      </c>
      <c r="AK5871" s="182" t="n">
        <v>0</v>
      </c>
      <c r="AL5871" s="182" t="n">
        <v>0</v>
      </c>
      <c r="AM5871" s="182" t="n">
        <v>0</v>
      </c>
      <c r="AN5871" s="182" t="n">
        <v>0</v>
      </c>
    </row>
    <row r="5872">
      <c r="A5872" s="155" t="n">
        <v>46108</v>
      </c>
      <c r="B5872" s="156" t="inlineStr">
        <is>
          <t>NS</t>
        </is>
      </c>
      <c r="C5872" s="156" t="inlineStr">
        <is>
          <t>EX-221</t>
        </is>
      </c>
      <c r="D5872" s="156" t="inlineStr">
        <is>
          <t>PC 200-8MI</t>
        </is>
      </c>
      <c r="E5872" s="156" t="inlineStr">
        <is>
          <t>Excavator</t>
        </is>
      </c>
      <c r="F5872" s="156" t="inlineStr">
        <is>
          <t>Support Jetty</t>
        </is>
      </c>
      <c r="G5872" s="182" t="n">
        <v>4.87</v>
      </c>
      <c r="H5872" s="182" t="n">
        <v>0</v>
      </c>
      <c r="I5872" s="182" t="n">
        <v>0</v>
      </c>
      <c r="J5872" s="182" t="n">
        <v>0</v>
      </c>
      <c r="K5872" s="182" t="n">
        <v>7.13</v>
      </c>
      <c r="L5872" s="182" t="n">
        <v>12</v>
      </c>
      <c r="M5872" s="182" t="n">
        <v>0</v>
      </c>
      <c r="N5872" s="182" t="n">
        <v>0</v>
      </c>
      <c r="O5872" s="185">
        <f>SUMIFS(INPUT_RITASE!$F$5:$F$20000,INPUT_RITASE!$A$5:$A$20000,$A5872,INPUT_RITASE!$H$5:$H$20000,$B5872,INPUT_RITASE!$C$5:$C$20000,$C5872,INPUT_RITASE!$N$5:$N$20000,"OB")</f>
        <v/>
      </c>
      <c r="P5872" s="185">
        <f>SUMIFS(INPUT_RITASE!$F$5:$F$20000,INPUT_RITASE!$A$5:$A$20000,$A5872,INPUT_RITASE!$H$5:$H$20000,$B5872,INPUT_RITASE!$C$5:$C$20000,$C5872,INPUT_RITASE!$N$5:$N$20000,"Coal")</f>
        <v/>
      </c>
      <c r="Q5872" s="186">
        <f>SUMIFS(INPUT_RITASE!$L$5:$L$20000,INPUT_RITASE!$A$5:$A$20000,$A5872,INPUT_RITASE!$H$5:$H$20000,$B5872,INPUT_RITASE!$C$5:$C$20000,$C5872,INPUT_RITASE!$N$5:$N$20000,"OB")</f>
        <v/>
      </c>
      <c r="R5872" s="186">
        <f>SUMIFS(INPUT_RITASE!$L$5:$L$20000,INPUT_RITASE!$A$5:$A$20000,$A5872,INPUT_RITASE!$H$5:$H$20000,$B5872,INPUT_RITASE!$C$5:$C$20000,$C5872,INPUT_RITASE!$N$5:$N$20000,"Coal")</f>
        <v/>
      </c>
      <c r="S5872" s="183" t="n">
        <v>0</v>
      </c>
      <c r="T5872" s="183" t="n">
        <v>0</v>
      </c>
      <c r="U5872" s="182" t="n">
        <v>0</v>
      </c>
      <c r="V5872" s="182" t="n">
        <v>0</v>
      </c>
      <c r="W5872" s="182" t="n">
        <v>0</v>
      </c>
      <c r="X5872" s="182" t="n">
        <v>1.02</v>
      </c>
      <c r="Y5872" s="182" t="n">
        <v>0</v>
      </c>
      <c r="Z5872" s="182" t="n">
        <v>0</v>
      </c>
      <c r="AA5872" s="182" t="n">
        <v>0</v>
      </c>
      <c r="AB5872" s="182" t="n">
        <v>0</v>
      </c>
      <c r="AC5872" s="182" t="n">
        <v>0</v>
      </c>
      <c r="AD5872" s="182" t="n">
        <v>0</v>
      </c>
      <c r="AE5872" s="182" t="n">
        <v>0</v>
      </c>
      <c r="AF5872" s="182" t="n">
        <v>0</v>
      </c>
      <c r="AG5872" s="182" t="n">
        <v>0</v>
      </c>
      <c r="AH5872" s="182" t="n">
        <v>0</v>
      </c>
      <c r="AI5872" s="182" t="n">
        <v>0</v>
      </c>
      <c r="AJ5872" s="182" t="n">
        <v>0</v>
      </c>
      <c r="AK5872" s="182" t="n">
        <v>6.03</v>
      </c>
      <c r="AL5872" s="182" t="n">
        <v>0</v>
      </c>
      <c r="AM5872" s="182" t="n">
        <v>0.08</v>
      </c>
      <c r="AN5872" s="182" t="n">
        <v>0</v>
      </c>
    </row>
    <row r="5873">
      <c r="A5873" s="155" t="n">
        <v>46108</v>
      </c>
      <c r="B5873" s="156" t="inlineStr">
        <is>
          <t>NS</t>
        </is>
      </c>
      <c r="C5873" s="156" t="inlineStr">
        <is>
          <t>EX-331</t>
        </is>
      </c>
      <c r="D5873" s="156" t="inlineStr">
        <is>
          <t>PC 300-8MO</t>
        </is>
      </c>
      <c r="E5873" s="156" t="inlineStr">
        <is>
          <t>Excavator</t>
        </is>
      </c>
      <c r="F5873" s="156" t="inlineStr"/>
      <c r="G5873" s="182" t="n">
        <v>0</v>
      </c>
      <c r="H5873" s="182" t="n">
        <v>0</v>
      </c>
      <c r="I5873" s="182" t="n">
        <v>12</v>
      </c>
      <c r="J5873" s="182" t="n">
        <v>12</v>
      </c>
      <c r="K5873" s="182" t="n">
        <v>0</v>
      </c>
      <c r="L5873" s="182" t="n">
        <v>12</v>
      </c>
      <c r="M5873" s="182" t="n">
        <v>0</v>
      </c>
      <c r="N5873" s="182" t="n">
        <v>0</v>
      </c>
      <c r="O5873" s="185">
        <f>SUMIFS(INPUT_RITASE!$F$5:$F$20000,INPUT_RITASE!$A$5:$A$20000,$A5873,INPUT_RITASE!$H$5:$H$20000,$B5873,INPUT_RITASE!$C$5:$C$20000,$C5873,INPUT_RITASE!$N$5:$N$20000,"OB")</f>
        <v/>
      </c>
      <c r="P5873" s="185">
        <f>SUMIFS(INPUT_RITASE!$F$5:$F$20000,INPUT_RITASE!$A$5:$A$20000,$A5873,INPUT_RITASE!$H$5:$H$20000,$B5873,INPUT_RITASE!$C$5:$C$20000,$C5873,INPUT_RITASE!$N$5:$N$20000,"Coal")</f>
        <v/>
      </c>
      <c r="Q5873" s="186">
        <f>SUMIFS(INPUT_RITASE!$L$5:$L$20000,INPUT_RITASE!$A$5:$A$20000,$A5873,INPUT_RITASE!$H$5:$H$20000,$B5873,INPUT_RITASE!$C$5:$C$20000,$C5873,INPUT_RITASE!$N$5:$N$20000,"OB")</f>
        <v/>
      </c>
      <c r="R5873" s="186">
        <f>SUMIFS(INPUT_RITASE!$L$5:$L$20000,INPUT_RITASE!$A$5:$A$20000,$A5873,INPUT_RITASE!$H$5:$H$20000,$B5873,INPUT_RITASE!$C$5:$C$20000,$C5873,INPUT_RITASE!$N$5:$N$20000,"Coal")</f>
        <v/>
      </c>
      <c r="S5873" s="183" t="n">
        <v>0</v>
      </c>
      <c r="T5873" s="183" t="n">
        <v>0</v>
      </c>
      <c r="U5873" s="182" t="n">
        <v>0</v>
      </c>
      <c r="V5873" s="182" t="n">
        <v>0</v>
      </c>
      <c r="W5873" s="182" t="n">
        <v>0</v>
      </c>
      <c r="X5873" s="182" t="n">
        <v>0</v>
      </c>
      <c r="Y5873" s="182" t="n">
        <v>0</v>
      </c>
      <c r="Z5873" s="182" t="n">
        <v>0</v>
      </c>
      <c r="AA5873" s="182" t="n">
        <v>0</v>
      </c>
      <c r="AB5873" s="182" t="n">
        <v>0</v>
      </c>
      <c r="AC5873" s="182" t="n">
        <v>0</v>
      </c>
      <c r="AD5873" s="182" t="n">
        <v>0</v>
      </c>
      <c r="AE5873" s="182" t="n">
        <v>0</v>
      </c>
      <c r="AF5873" s="182" t="n">
        <v>0</v>
      </c>
      <c r="AG5873" s="182" t="n">
        <v>0</v>
      </c>
      <c r="AH5873" s="182" t="n">
        <v>0</v>
      </c>
      <c r="AI5873" s="182" t="n">
        <v>0</v>
      </c>
      <c r="AJ5873" s="182" t="n">
        <v>0</v>
      </c>
      <c r="AK5873" s="182" t="n">
        <v>0</v>
      </c>
      <c r="AL5873" s="182" t="n">
        <v>0</v>
      </c>
      <c r="AM5873" s="182" t="n">
        <v>0</v>
      </c>
      <c r="AN5873" s="182" t="n">
        <v>0</v>
      </c>
    </row>
    <row r="5874">
      <c r="A5874" s="155" t="n">
        <v>46108</v>
      </c>
      <c r="B5874" s="156" t="inlineStr">
        <is>
          <t>NS</t>
        </is>
      </c>
      <c r="C5874" s="156" t="inlineStr">
        <is>
          <t>EX-334</t>
        </is>
      </c>
      <c r="D5874" s="156" t="inlineStr">
        <is>
          <t>PC 300-8MO</t>
        </is>
      </c>
      <c r="E5874" s="156" t="inlineStr">
        <is>
          <t>Excavator</t>
        </is>
      </c>
      <c r="F5874" s="156" t="inlineStr">
        <is>
          <t>Loading Coal S60CUCL</t>
        </is>
      </c>
      <c r="G5874" s="182" t="n">
        <v>11.68</v>
      </c>
      <c r="H5874" s="182" t="n">
        <v>0</v>
      </c>
      <c r="I5874" s="182" t="n">
        <v>0</v>
      </c>
      <c r="J5874" s="182" t="n">
        <v>0</v>
      </c>
      <c r="K5874" s="182" t="n">
        <v>0.32</v>
      </c>
      <c r="L5874" s="182" t="n">
        <v>12</v>
      </c>
      <c r="M5874" s="182" t="n">
        <v>0</v>
      </c>
      <c r="N5874" s="182" t="n">
        <v>0.9399999999999999</v>
      </c>
      <c r="O5874" s="185">
        <f>SUMIFS(INPUT_RITASE!$F$5:$F$20000,INPUT_RITASE!$A$5:$A$20000,$A5874,INPUT_RITASE!$H$5:$H$20000,$B5874,INPUT_RITASE!$C$5:$C$20000,$C5874,INPUT_RITASE!$N$5:$N$20000,"OB")</f>
        <v/>
      </c>
      <c r="P5874" s="185">
        <f>SUMIFS(INPUT_RITASE!$F$5:$F$20000,INPUT_RITASE!$A$5:$A$20000,$A5874,INPUT_RITASE!$H$5:$H$20000,$B5874,INPUT_RITASE!$C$5:$C$20000,$C5874,INPUT_RITASE!$N$5:$N$20000,"Coal")</f>
        <v/>
      </c>
      <c r="Q5874" s="186">
        <f>SUMIFS(INPUT_RITASE!$L$5:$L$20000,INPUT_RITASE!$A$5:$A$20000,$A5874,INPUT_RITASE!$H$5:$H$20000,$B5874,INPUT_RITASE!$C$5:$C$20000,$C5874,INPUT_RITASE!$N$5:$N$20000,"OB")</f>
        <v/>
      </c>
      <c r="R5874" s="186">
        <f>SUMIFS(INPUT_RITASE!$L$5:$L$20000,INPUT_RITASE!$A$5:$A$20000,$A5874,INPUT_RITASE!$H$5:$H$20000,$B5874,INPUT_RITASE!$C$5:$C$20000,$C5874,INPUT_RITASE!$N$5:$N$20000,"Coal")</f>
        <v/>
      </c>
      <c r="S5874" s="183" t="n">
        <v>0</v>
      </c>
      <c r="T5874" s="183" t="n">
        <v>0</v>
      </c>
      <c r="U5874" s="182" t="n">
        <v>0</v>
      </c>
      <c r="V5874" s="182" t="n">
        <v>0</v>
      </c>
      <c r="W5874" s="182" t="n">
        <v>0</v>
      </c>
      <c r="X5874" s="182" t="n">
        <v>0.26</v>
      </c>
      <c r="Y5874" s="182" t="n">
        <v>0</v>
      </c>
      <c r="Z5874" s="182" t="n">
        <v>0</v>
      </c>
      <c r="AA5874" s="182" t="n">
        <v>0</v>
      </c>
      <c r="AB5874" s="182" t="n">
        <v>0</v>
      </c>
      <c r="AC5874" s="182" t="n">
        <v>0</v>
      </c>
      <c r="AD5874" s="182" t="n">
        <v>0</v>
      </c>
      <c r="AE5874" s="182" t="n">
        <v>0</v>
      </c>
      <c r="AF5874" s="182" t="n">
        <v>0</v>
      </c>
      <c r="AG5874" s="182" t="n">
        <v>0</v>
      </c>
      <c r="AH5874" s="182" t="n">
        <v>0</v>
      </c>
      <c r="AI5874" s="182" t="n">
        <v>0</v>
      </c>
      <c r="AJ5874" s="182" t="n">
        <v>0</v>
      </c>
      <c r="AK5874" s="182" t="n">
        <v>0</v>
      </c>
      <c r="AL5874" s="182" t="n">
        <v>0</v>
      </c>
      <c r="AM5874" s="182" t="n">
        <v>0.06</v>
      </c>
      <c r="AN5874" s="182" t="n">
        <v>0</v>
      </c>
    </row>
    <row r="5875">
      <c r="A5875" s="155" t="n">
        <v>46108</v>
      </c>
      <c r="B5875" s="156" t="inlineStr">
        <is>
          <t>NS</t>
        </is>
      </c>
      <c r="C5875" s="156" t="inlineStr">
        <is>
          <t>EX-332</t>
        </is>
      </c>
      <c r="D5875" s="156" t="inlineStr">
        <is>
          <t>PC 300-8MO</t>
        </is>
      </c>
      <c r="E5875" s="156" t="inlineStr">
        <is>
          <t>Excavator</t>
        </is>
      </c>
      <c r="F5875" s="156" t="inlineStr">
        <is>
          <t>Loading Coal S45</t>
        </is>
      </c>
      <c r="G5875" s="182" t="n">
        <v>9.67</v>
      </c>
      <c r="H5875" s="182" t="n">
        <v>0</v>
      </c>
      <c r="I5875" s="182" t="n">
        <v>0</v>
      </c>
      <c r="J5875" s="182" t="n">
        <v>0</v>
      </c>
      <c r="K5875" s="182" t="n">
        <v>2.33</v>
      </c>
      <c r="L5875" s="182" t="n">
        <v>12</v>
      </c>
      <c r="M5875" s="182" t="n">
        <v>0</v>
      </c>
      <c r="N5875" s="182" t="n">
        <v>0.65</v>
      </c>
      <c r="O5875" s="185">
        <f>SUMIFS(INPUT_RITASE!$F$5:$F$20000,INPUT_RITASE!$A$5:$A$20000,$A5875,INPUT_RITASE!$H$5:$H$20000,$B5875,INPUT_RITASE!$C$5:$C$20000,$C5875,INPUT_RITASE!$N$5:$N$20000,"OB")</f>
        <v/>
      </c>
      <c r="P5875" s="185">
        <f>SUMIFS(INPUT_RITASE!$F$5:$F$20000,INPUT_RITASE!$A$5:$A$20000,$A5875,INPUT_RITASE!$H$5:$H$20000,$B5875,INPUT_RITASE!$C$5:$C$20000,$C5875,INPUT_RITASE!$N$5:$N$20000,"Coal")</f>
        <v/>
      </c>
      <c r="Q5875" s="186">
        <f>SUMIFS(INPUT_RITASE!$L$5:$L$20000,INPUT_RITASE!$A$5:$A$20000,$A5875,INPUT_RITASE!$H$5:$H$20000,$B5875,INPUT_RITASE!$C$5:$C$20000,$C5875,INPUT_RITASE!$N$5:$N$20000,"OB")</f>
        <v/>
      </c>
      <c r="R5875" s="186">
        <f>SUMIFS(INPUT_RITASE!$L$5:$L$20000,INPUT_RITASE!$A$5:$A$20000,$A5875,INPUT_RITASE!$H$5:$H$20000,$B5875,INPUT_RITASE!$C$5:$C$20000,$C5875,INPUT_RITASE!$N$5:$N$20000,"Coal")</f>
        <v/>
      </c>
      <c r="S5875" s="183" t="n">
        <v>0</v>
      </c>
      <c r="T5875" s="183" t="n">
        <v>0</v>
      </c>
      <c r="U5875" s="182" t="n">
        <v>0</v>
      </c>
      <c r="V5875" s="182" t="n">
        <v>0</v>
      </c>
      <c r="W5875" s="182" t="n">
        <v>0</v>
      </c>
      <c r="X5875" s="182" t="n">
        <v>1.17</v>
      </c>
      <c r="Y5875" s="182" t="n">
        <v>0</v>
      </c>
      <c r="Z5875" s="182" t="n">
        <v>0</v>
      </c>
      <c r="AA5875" s="182" t="n">
        <v>0</v>
      </c>
      <c r="AB5875" s="182" t="n">
        <v>0</v>
      </c>
      <c r="AC5875" s="182" t="n">
        <v>0</v>
      </c>
      <c r="AD5875" s="182" t="n">
        <v>0</v>
      </c>
      <c r="AE5875" s="182" t="n">
        <v>0</v>
      </c>
      <c r="AF5875" s="182" t="n">
        <v>0</v>
      </c>
      <c r="AG5875" s="182" t="n">
        <v>0</v>
      </c>
      <c r="AH5875" s="182" t="n">
        <v>0</v>
      </c>
      <c r="AI5875" s="182" t="n">
        <v>0</v>
      </c>
      <c r="AJ5875" s="182" t="n">
        <v>0</v>
      </c>
      <c r="AK5875" s="182" t="n">
        <v>0</v>
      </c>
      <c r="AL5875" s="182" t="n">
        <v>1.07</v>
      </c>
      <c r="AM5875" s="182" t="n">
        <v>0.09</v>
      </c>
      <c r="AN5875" s="182" t="n">
        <v>0</v>
      </c>
    </row>
    <row r="5876">
      <c r="A5876" s="155" t="n">
        <v>46108</v>
      </c>
      <c r="B5876" s="156" t="inlineStr">
        <is>
          <t>NS</t>
        </is>
      </c>
      <c r="C5876" s="156" t="inlineStr">
        <is>
          <t>EX-333</t>
        </is>
      </c>
      <c r="D5876" s="156" t="inlineStr">
        <is>
          <t>PC 300-8MO</t>
        </is>
      </c>
      <c r="E5876" s="156" t="inlineStr">
        <is>
          <t>Excavator</t>
        </is>
      </c>
      <c r="F5876" s="156" t="inlineStr">
        <is>
          <t>Timesheet Kosong</t>
        </is>
      </c>
      <c r="G5876" s="182" t="n">
        <v>1.5</v>
      </c>
      <c r="H5876" s="182" t="n">
        <v>0</v>
      </c>
      <c r="I5876" s="182" t="n">
        <v>10.5</v>
      </c>
      <c r="J5876" s="182" t="n">
        <v>10.5</v>
      </c>
      <c r="K5876" s="182" t="n">
        <v>0</v>
      </c>
      <c r="L5876" s="182" t="n">
        <v>12</v>
      </c>
      <c r="M5876" s="182" t="n">
        <v>0</v>
      </c>
      <c r="N5876" s="182" t="n">
        <v>0</v>
      </c>
      <c r="O5876" s="185">
        <f>SUMIFS(INPUT_RITASE!$F$5:$F$20000,INPUT_RITASE!$A$5:$A$20000,$A5876,INPUT_RITASE!$H$5:$H$20000,$B5876,INPUT_RITASE!$C$5:$C$20000,$C5876,INPUT_RITASE!$N$5:$N$20000,"OB")</f>
        <v/>
      </c>
      <c r="P5876" s="185">
        <f>SUMIFS(INPUT_RITASE!$F$5:$F$20000,INPUT_RITASE!$A$5:$A$20000,$A5876,INPUT_RITASE!$H$5:$H$20000,$B5876,INPUT_RITASE!$C$5:$C$20000,$C5876,INPUT_RITASE!$N$5:$N$20000,"Coal")</f>
        <v/>
      </c>
      <c r="Q5876" s="186">
        <f>SUMIFS(INPUT_RITASE!$L$5:$L$20000,INPUT_RITASE!$A$5:$A$20000,$A5876,INPUT_RITASE!$H$5:$H$20000,$B5876,INPUT_RITASE!$C$5:$C$20000,$C5876,INPUT_RITASE!$N$5:$N$20000,"OB")</f>
        <v/>
      </c>
      <c r="R5876" s="186">
        <f>SUMIFS(INPUT_RITASE!$L$5:$L$20000,INPUT_RITASE!$A$5:$A$20000,$A5876,INPUT_RITASE!$H$5:$H$20000,$B5876,INPUT_RITASE!$C$5:$C$20000,$C5876,INPUT_RITASE!$N$5:$N$20000,"Coal")</f>
        <v/>
      </c>
      <c r="S5876" s="183" t="n">
        <v>0</v>
      </c>
      <c r="T5876" s="183" t="n">
        <v>0</v>
      </c>
      <c r="U5876" s="182" t="n">
        <v>0</v>
      </c>
      <c r="V5876" s="182" t="n">
        <v>0</v>
      </c>
      <c r="W5876" s="182" t="n">
        <v>0</v>
      </c>
      <c r="X5876" s="182" t="n">
        <v>0</v>
      </c>
      <c r="Y5876" s="182" t="n">
        <v>0</v>
      </c>
      <c r="Z5876" s="182" t="n">
        <v>0</v>
      </c>
      <c r="AA5876" s="182" t="n">
        <v>0</v>
      </c>
      <c r="AB5876" s="182" t="n">
        <v>0</v>
      </c>
      <c r="AC5876" s="182" t="n">
        <v>0</v>
      </c>
      <c r="AD5876" s="182" t="n">
        <v>0</v>
      </c>
      <c r="AE5876" s="182" t="n">
        <v>0</v>
      </c>
      <c r="AF5876" s="182" t="n">
        <v>0</v>
      </c>
      <c r="AG5876" s="182" t="n">
        <v>0</v>
      </c>
      <c r="AH5876" s="182" t="n">
        <v>0</v>
      </c>
      <c r="AI5876" s="182" t="n">
        <v>0</v>
      </c>
      <c r="AJ5876" s="182" t="n">
        <v>0</v>
      </c>
      <c r="AK5876" s="182" t="n">
        <v>0</v>
      </c>
      <c r="AL5876" s="182" t="n">
        <v>1.42</v>
      </c>
      <c r="AM5876" s="182" t="n">
        <v>0.08</v>
      </c>
      <c r="AN5876" s="182" t="n">
        <v>-1.93</v>
      </c>
    </row>
    <row r="5877">
      <c r="A5877" s="155" t="n">
        <v>46108</v>
      </c>
      <c r="B5877" s="156" t="inlineStr">
        <is>
          <t>NS</t>
        </is>
      </c>
      <c r="C5877" s="156" t="inlineStr">
        <is>
          <t>EX-336</t>
        </is>
      </c>
      <c r="D5877" s="156" t="inlineStr">
        <is>
          <t>PC 300-8MO</t>
        </is>
      </c>
      <c r="E5877" s="156" t="inlineStr">
        <is>
          <t>Excavator</t>
        </is>
      </c>
      <c r="F5877" s="156" t="inlineStr"/>
      <c r="G5877" s="182" t="n">
        <v>0</v>
      </c>
      <c r="H5877" s="182" t="n">
        <v>0</v>
      </c>
      <c r="I5877" s="182" t="n">
        <v>12</v>
      </c>
      <c r="J5877" s="182" t="n">
        <v>12</v>
      </c>
      <c r="K5877" s="182" t="n">
        <v>0</v>
      </c>
      <c r="L5877" s="182" t="n">
        <v>12</v>
      </c>
      <c r="M5877" s="182" t="n">
        <v>0</v>
      </c>
      <c r="N5877" s="182" t="n">
        <v>0</v>
      </c>
      <c r="O5877" s="185">
        <f>SUMIFS(INPUT_RITASE!$F$5:$F$20000,INPUT_RITASE!$A$5:$A$20000,$A5877,INPUT_RITASE!$H$5:$H$20000,$B5877,INPUT_RITASE!$C$5:$C$20000,$C5877,INPUT_RITASE!$N$5:$N$20000,"OB")</f>
        <v/>
      </c>
      <c r="P5877" s="185">
        <f>SUMIFS(INPUT_RITASE!$F$5:$F$20000,INPUT_RITASE!$A$5:$A$20000,$A5877,INPUT_RITASE!$H$5:$H$20000,$B5877,INPUT_RITASE!$C$5:$C$20000,$C5877,INPUT_RITASE!$N$5:$N$20000,"Coal")</f>
        <v/>
      </c>
      <c r="Q5877" s="186">
        <f>SUMIFS(INPUT_RITASE!$L$5:$L$20000,INPUT_RITASE!$A$5:$A$20000,$A5877,INPUT_RITASE!$H$5:$H$20000,$B5877,INPUT_RITASE!$C$5:$C$20000,$C5877,INPUT_RITASE!$N$5:$N$20000,"OB")</f>
        <v/>
      </c>
      <c r="R5877" s="186">
        <f>SUMIFS(INPUT_RITASE!$L$5:$L$20000,INPUT_RITASE!$A$5:$A$20000,$A5877,INPUT_RITASE!$H$5:$H$20000,$B5877,INPUT_RITASE!$C$5:$C$20000,$C5877,INPUT_RITASE!$N$5:$N$20000,"Coal")</f>
        <v/>
      </c>
      <c r="S5877" s="183" t="n">
        <v>0</v>
      </c>
      <c r="T5877" s="183" t="n">
        <v>0</v>
      </c>
      <c r="U5877" s="182" t="n">
        <v>0</v>
      </c>
      <c r="V5877" s="182" t="n">
        <v>0</v>
      </c>
      <c r="W5877" s="182" t="n">
        <v>0</v>
      </c>
      <c r="X5877" s="182" t="n">
        <v>0</v>
      </c>
      <c r="Y5877" s="182" t="n">
        <v>0</v>
      </c>
      <c r="Z5877" s="182" t="n">
        <v>0</v>
      </c>
      <c r="AA5877" s="182" t="n">
        <v>0</v>
      </c>
      <c r="AB5877" s="182" t="n">
        <v>0</v>
      </c>
      <c r="AC5877" s="182" t="n">
        <v>0</v>
      </c>
      <c r="AD5877" s="182" t="n">
        <v>0</v>
      </c>
      <c r="AE5877" s="182" t="n">
        <v>0</v>
      </c>
      <c r="AF5877" s="182" t="n">
        <v>0</v>
      </c>
      <c r="AG5877" s="182" t="n">
        <v>0</v>
      </c>
      <c r="AH5877" s="182" t="n">
        <v>0</v>
      </c>
      <c r="AI5877" s="182" t="n">
        <v>0</v>
      </c>
      <c r="AJ5877" s="182" t="n">
        <v>0</v>
      </c>
      <c r="AK5877" s="182" t="n">
        <v>0</v>
      </c>
      <c r="AL5877" s="182" t="n">
        <v>0</v>
      </c>
      <c r="AM5877" s="182" t="n">
        <v>0</v>
      </c>
      <c r="AN5877" s="182" t="n">
        <v>0</v>
      </c>
    </row>
    <row r="5878">
      <c r="A5878" s="155" t="n">
        <v>46108</v>
      </c>
      <c r="B5878" s="156" t="inlineStr">
        <is>
          <t>NS</t>
        </is>
      </c>
      <c r="C5878" s="156" t="inlineStr">
        <is>
          <t>EX-335</t>
        </is>
      </c>
      <c r="D5878" s="156" t="inlineStr">
        <is>
          <t>PC 300-8MO</t>
        </is>
      </c>
      <c r="E5878" s="156" t="inlineStr">
        <is>
          <t>Excavator</t>
        </is>
      </c>
      <c r="F5878" s="156" t="inlineStr"/>
      <c r="G5878" s="182" t="n">
        <v>0</v>
      </c>
      <c r="H5878" s="182" t="n">
        <v>0</v>
      </c>
      <c r="I5878" s="182" t="n">
        <v>12</v>
      </c>
      <c r="J5878" s="182" t="n">
        <v>12</v>
      </c>
      <c r="K5878" s="182" t="n">
        <v>0</v>
      </c>
      <c r="L5878" s="182" t="n">
        <v>12</v>
      </c>
      <c r="M5878" s="182" t="n">
        <v>0</v>
      </c>
      <c r="N5878" s="182" t="n">
        <v>0</v>
      </c>
      <c r="O5878" s="185">
        <f>SUMIFS(INPUT_RITASE!$F$5:$F$20000,INPUT_RITASE!$A$5:$A$20000,$A5878,INPUT_RITASE!$H$5:$H$20000,$B5878,INPUT_RITASE!$C$5:$C$20000,$C5878,INPUT_RITASE!$N$5:$N$20000,"OB")</f>
        <v/>
      </c>
      <c r="P5878" s="185">
        <f>SUMIFS(INPUT_RITASE!$F$5:$F$20000,INPUT_RITASE!$A$5:$A$20000,$A5878,INPUT_RITASE!$H$5:$H$20000,$B5878,INPUT_RITASE!$C$5:$C$20000,$C5878,INPUT_RITASE!$N$5:$N$20000,"Coal")</f>
        <v/>
      </c>
      <c r="Q5878" s="186">
        <f>SUMIFS(INPUT_RITASE!$L$5:$L$20000,INPUT_RITASE!$A$5:$A$20000,$A5878,INPUT_RITASE!$H$5:$H$20000,$B5878,INPUT_RITASE!$C$5:$C$20000,$C5878,INPUT_RITASE!$N$5:$N$20000,"OB")</f>
        <v/>
      </c>
      <c r="R5878" s="186">
        <f>SUMIFS(INPUT_RITASE!$L$5:$L$20000,INPUT_RITASE!$A$5:$A$20000,$A5878,INPUT_RITASE!$H$5:$H$20000,$B5878,INPUT_RITASE!$C$5:$C$20000,$C5878,INPUT_RITASE!$N$5:$N$20000,"Coal")</f>
        <v/>
      </c>
      <c r="S5878" s="183" t="n">
        <v>0</v>
      </c>
      <c r="T5878" s="183" t="n">
        <v>0</v>
      </c>
      <c r="U5878" s="182" t="n">
        <v>0</v>
      </c>
      <c r="V5878" s="182" t="n">
        <v>0</v>
      </c>
      <c r="W5878" s="182" t="n">
        <v>0</v>
      </c>
      <c r="X5878" s="182" t="n">
        <v>0</v>
      </c>
      <c r="Y5878" s="182" t="n">
        <v>0</v>
      </c>
      <c r="Z5878" s="182" t="n">
        <v>0</v>
      </c>
      <c r="AA5878" s="182" t="n">
        <v>0</v>
      </c>
      <c r="AB5878" s="182" t="n">
        <v>0</v>
      </c>
      <c r="AC5878" s="182" t="n">
        <v>0</v>
      </c>
      <c r="AD5878" s="182" t="n">
        <v>0</v>
      </c>
      <c r="AE5878" s="182" t="n">
        <v>0</v>
      </c>
      <c r="AF5878" s="182" t="n">
        <v>0</v>
      </c>
      <c r="AG5878" s="182" t="n">
        <v>0</v>
      </c>
      <c r="AH5878" s="182" t="n">
        <v>0</v>
      </c>
      <c r="AI5878" s="182" t="n">
        <v>0</v>
      </c>
      <c r="AJ5878" s="182" t="n">
        <v>0</v>
      </c>
      <c r="AK5878" s="182" t="n">
        <v>0</v>
      </c>
      <c r="AL5878" s="182" t="n">
        <v>0</v>
      </c>
      <c r="AM5878" s="182" t="n">
        <v>0</v>
      </c>
      <c r="AN5878" s="182" t="n">
        <v>0</v>
      </c>
    </row>
    <row r="5879">
      <c r="A5879" s="155" t="n">
        <v>46108</v>
      </c>
      <c r="B5879" s="156" t="inlineStr">
        <is>
          <t>NS</t>
        </is>
      </c>
      <c r="C5879" s="156" t="inlineStr">
        <is>
          <t>EX-754</t>
        </is>
      </c>
      <c r="D5879" s="156" t="inlineStr">
        <is>
          <t>SY750H-PRO</t>
        </is>
      </c>
      <c r="E5879" s="156" t="inlineStr">
        <is>
          <t>Excavator</t>
        </is>
      </c>
      <c r="F5879" s="156" t="inlineStr">
        <is>
          <t>Loading Coal &amp; OB</t>
        </is>
      </c>
      <c r="G5879" s="182" t="n">
        <v>7.6</v>
      </c>
      <c r="H5879" s="182" t="n">
        <v>0</v>
      </c>
      <c r="I5879" s="182" t="n">
        <v>0</v>
      </c>
      <c r="J5879" s="182" t="n">
        <v>0</v>
      </c>
      <c r="K5879" s="182" t="n">
        <v>4.4</v>
      </c>
      <c r="L5879" s="182" t="n">
        <v>12</v>
      </c>
      <c r="M5879" s="182" t="n">
        <v>2.86</v>
      </c>
      <c r="N5879" s="182" t="n">
        <v>4.75</v>
      </c>
      <c r="O5879" s="185">
        <f>SUMIFS(INPUT_RITASE!$F$5:$F$20000,INPUT_RITASE!$A$5:$A$20000,$A5879,INPUT_RITASE!$H$5:$H$20000,$B5879,INPUT_RITASE!$C$5:$C$20000,$C5879,INPUT_RITASE!$N$5:$N$20000,"OB")</f>
        <v/>
      </c>
      <c r="P5879" s="185">
        <f>SUMIFS(INPUT_RITASE!$F$5:$F$20000,INPUT_RITASE!$A$5:$A$20000,$A5879,INPUT_RITASE!$H$5:$H$20000,$B5879,INPUT_RITASE!$C$5:$C$20000,$C5879,INPUT_RITASE!$N$5:$N$20000,"Coal")</f>
        <v/>
      </c>
      <c r="Q5879" s="186">
        <f>SUMIFS(INPUT_RITASE!$L$5:$L$20000,INPUT_RITASE!$A$5:$A$20000,$A5879,INPUT_RITASE!$H$5:$H$20000,$B5879,INPUT_RITASE!$C$5:$C$20000,$C5879,INPUT_RITASE!$N$5:$N$20000,"OB")</f>
        <v/>
      </c>
      <c r="R5879" s="186">
        <f>SUMIFS(INPUT_RITASE!$L$5:$L$20000,INPUT_RITASE!$A$5:$A$20000,$A5879,INPUT_RITASE!$H$5:$H$20000,$B5879,INPUT_RITASE!$C$5:$C$20000,$C5879,INPUT_RITASE!$N$5:$N$20000,"Coal")</f>
        <v/>
      </c>
      <c r="S5879" s="183" t="n">
        <v>0</v>
      </c>
      <c r="T5879" s="183" t="n">
        <v>0</v>
      </c>
      <c r="U5879" s="182" t="n">
        <v>0</v>
      </c>
      <c r="V5879" s="182" t="n">
        <v>0</v>
      </c>
      <c r="W5879" s="182" t="n">
        <v>0</v>
      </c>
      <c r="X5879" s="182" t="n">
        <v>0.96</v>
      </c>
      <c r="Y5879" s="182" t="n">
        <v>0</v>
      </c>
      <c r="Z5879" s="182" t="n">
        <v>0</v>
      </c>
      <c r="AA5879" s="182" t="n">
        <v>0</v>
      </c>
      <c r="AB5879" s="182" t="n">
        <v>0</v>
      </c>
      <c r="AC5879" s="182" t="n">
        <v>0</v>
      </c>
      <c r="AD5879" s="182" t="n">
        <v>0</v>
      </c>
      <c r="AE5879" s="182" t="n">
        <v>0</v>
      </c>
      <c r="AF5879" s="182" t="n">
        <v>0</v>
      </c>
      <c r="AG5879" s="182" t="n">
        <v>0</v>
      </c>
      <c r="AH5879" s="182" t="n">
        <v>0.27</v>
      </c>
      <c r="AI5879" s="182" t="n">
        <v>0</v>
      </c>
      <c r="AJ5879" s="182" t="n">
        <v>0</v>
      </c>
      <c r="AK5879" s="182" t="n">
        <v>0</v>
      </c>
      <c r="AL5879" s="182" t="n">
        <v>3.09</v>
      </c>
      <c r="AM5879" s="182" t="n">
        <v>0.08</v>
      </c>
      <c r="AN5879" s="182" t="n">
        <v>0</v>
      </c>
    </row>
    <row r="5880">
      <c r="A5880" s="155" t="n">
        <v>46108</v>
      </c>
      <c r="B5880" s="156" t="inlineStr">
        <is>
          <t>NS</t>
        </is>
      </c>
      <c r="C5880" s="156" t="inlineStr">
        <is>
          <t>EX-755</t>
        </is>
      </c>
      <c r="D5880" s="156" t="inlineStr">
        <is>
          <t>SY750H-PRO</t>
        </is>
      </c>
      <c r="E5880" s="156" t="inlineStr">
        <is>
          <t>Excavator</t>
        </is>
      </c>
      <c r="F5880" s="156" t="inlineStr">
        <is>
          <t>Loading OB</t>
        </is>
      </c>
      <c r="G5880" s="182" t="n">
        <v>5.57</v>
      </c>
      <c r="H5880" s="182" t="n">
        <v>0</v>
      </c>
      <c r="I5880" s="182" t="n">
        <v>0</v>
      </c>
      <c r="J5880" s="182" t="n">
        <v>0</v>
      </c>
      <c r="K5880" s="182" t="n">
        <v>6.43</v>
      </c>
      <c r="L5880" s="182" t="n">
        <v>12</v>
      </c>
      <c r="M5880" s="182" t="n">
        <v>5.22</v>
      </c>
      <c r="N5880" s="182" t="n">
        <v>0</v>
      </c>
      <c r="O5880" s="185">
        <f>SUMIFS(INPUT_RITASE!$F$5:$F$20000,INPUT_RITASE!$A$5:$A$20000,$A5880,INPUT_RITASE!$H$5:$H$20000,$B5880,INPUT_RITASE!$C$5:$C$20000,$C5880,INPUT_RITASE!$N$5:$N$20000,"OB")</f>
        <v/>
      </c>
      <c r="P5880" s="185">
        <f>SUMIFS(INPUT_RITASE!$F$5:$F$20000,INPUT_RITASE!$A$5:$A$20000,$A5880,INPUT_RITASE!$H$5:$H$20000,$B5880,INPUT_RITASE!$C$5:$C$20000,$C5880,INPUT_RITASE!$N$5:$N$20000,"Coal")</f>
        <v/>
      </c>
      <c r="Q5880" s="186">
        <f>SUMIFS(INPUT_RITASE!$L$5:$L$20000,INPUT_RITASE!$A$5:$A$20000,$A5880,INPUT_RITASE!$H$5:$H$20000,$B5880,INPUT_RITASE!$C$5:$C$20000,$C5880,INPUT_RITASE!$N$5:$N$20000,"OB")</f>
        <v/>
      </c>
      <c r="R5880" s="186">
        <f>SUMIFS(INPUT_RITASE!$L$5:$L$20000,INPUT_RITASE!$A$5:$A$20000,$A5880,INPUT_RITASE!$H$5:$H$20000,$B5880,INPUT_RITASE!$C$5:$C$20000,$C5880,INPUT_RITASE!$N$5:$N$20000,"Coal")</f>
        <v/>
      </c>
      <c r="S5880" s="183" t="n">
        <v>0</v>
      </c>
      <c r="T5880" s="183" t="n">
        <v>0</v>
      </c>
      <c r="U5880" s="182" t="n">
        <v>0</v>
      </c>
      <c r="V5880" s="182" t="n">
        <v>0</v>
      </c>
      <c r="W5880" s="182" t="n">
        <v>0</v>
      </c>
      <c r="X5880" s="182" t="n">
        <v>1.05</v>
      </c>
      <c r="Y5880" s="182" t="n">
        <v>0</v>
      </c>
      <c r="Z5880" s="182" t="n">
        <v>0.13</v>
      </c>
      <c r="AA5880" s="182" t="n">
        <v>0</v>
      </c>
      <c r="AB5880" s="182" t="n">
        <v>0</v>
      </c>
      <c r="AC5880" s="182" t="n">
        <v>0</v>
      </c>
      <c r="AD5880" s="182" t="n">
        <v>0</v>
      </c>
      <c r="AE5880" s="182" t="n">
        <v>0</v>
      </c>
      <c r="AF5880" s="182" t="n">
        <v>0</v>
      </c>
      <c r="AG5880" s="182" t="n">
        <v>0</v>
      </c>
      <c r="AH5880" s="182" t="n">
        <v>0</v>
      </c>
      <c r="AI5880" s="182" t="n">
        <v>0</v>
      </c>
      <c r="AJ5880" s="182" t="n">
        <v>0</v>
      </c>
      <c r="AK5880" s="182" t="n">
        <v>0</v>
      </c>
      <c r="AL5880" s="182" t="n">
        <v>5.17</v>
      </c>
      <c r="AM5880" s="182" t="n">
        <v>0.08</v>
      </c>
      <c r="AN5880" s="182" t="n">
        <v>0</v>
      </c>
    </row>
    <row r="5881">
      <c r="A5881" s="155" t="n">
        <v>46108</v>
      </c>
      <c r="B5881" s="156" t="inlineStr">
        <is>
          <t>NS</t>
        </is>
      </c>
      <c r="C5881" s="156" t="inlineStr">
        <is>
          <t>EX-752</t>
        </is>
      </c>
      <c r="D5881" s="156" t="inlineStr">
        <is>
          <t>SY750H-PRO</t>
        </is>
      </c>
      <c r="E5881" s="156" t="inlineStr">
        <is>
          <t>Excavator</t>
        </is>
      </c>
      <c r="F5881" s="156" t="inlineStr"/>
      <c r="G5881" s="182" t="n">
        <v>0</v>
      </c>
      <c r="H5881" s="182" t="n">
        <v>0</v>
      </c>
      <c r="I5881" s="182" t="n">
        <v>12</v>
      </c>
      <c r="J5881" s="182" t="n">
        <v>12</v>
      </c>
      <c r="K5881" s="182" t="n">
        <v>0</v>
      </c>
      <c r="L5881" s="182" t="n">
        <v>12</v>
      </c>
      <c r="M5881" s="182" t="n">
        <v>0</v>
      </c>
      <c r="N5881" s="182" t="n">
        <v>0</v>
      </c>
      <c r="O5881" s="185">
        <f>SUMIFS(INPUT_RITASE!$F$5:$F$20000,INPUT_RITASE!$A$5:$A$20000,$A5881,INPUT_RITASE!$H$5:$H$20000,$B5881,INPUT_RITASE!$C$5:$C$20000,$C5881,INPUT_RITASE!$N$5:$N$20000,"OB")</f>
        <v/>
      </c>
      <c r="P5881" s="185">
        <f>SUMIFS(INPUT_RITASE!$F$5:$F$20000,INPUT_RITASE!$A$5:$A$20000,$A5881,INPUT_RITASE!$H$5:$H$20000,$B5881,INPUT_RITASE!$C$5:$C$20000,$C5881,INPUT_RITASE!$N$5:$N$20000,"Coal")</f>
        <v/>
      </c>
      <c r="Q5881" s="186">
        <f>SUMIFS(INPUT_RITASE!$L$5:$L$20000,INPUT_RITASE!$A$5:$A$20000,$A5881,INPUT_RITASE!$H$5:$H$20000,$B5881,INPUT_RITASE!$C$5:$C$20000,$C5881,INPUT_RITASE!$N$5:$N$20000,"OB")</f>
        <v/>
      </c>
      <c r="R5881" s="186">
        <f>SUMIFS(INPUT_RITASE!$L$5:$L$20000,INPUT_RITASE!$A$5:$A$20000,$A5881,INPUT_RITASE!$H$5:$H$20000,$B5881,INPUT_RITASE!$C$5:$C$20000,$C5881,INPUT_RITASE!$N$5:$N$20000,"Coal")</f>
        <v/>
      </c>
      <c r="S5881" s="183" t="n">
        <v>0</v>
      </c>
      <c r="T5881" s="183" t="n">
        <v>0</v>
      </c>
      <c r="U5881" s="182" t="n">
        <v>0</v>
      </c>
      <c r="V5881" s="182" t="n">
        <v>0</v>
      </c>
      <c r="W5881" s="182" t="n">
        <v>0</v>
      </c>
      <c r="X5881" s="182" t="n">
        <v>0</v>
      </c>
      <c r="Y5881" s="182" t="n">
        <v>0</v>
      </c>
      <c r="Z5881" s="182" t="n">
        <v>0</v>
      </c>
      <c r="AA5881" s="182" t="n">
        <v>0</v>
      </c>
      <c r="AB5881" s="182" t="n">
        <v>0</v>
      </c>
      <c r="AC5881" s="182" t="n">
        <v>0</v>
      </c>
      <c r="AD5881" s="182" t="n">
        <v>0</v>
      </c>
      <c r="AE5881" s="182" t="n">
        <v>0</v>
      </c>
      <c r="AF5881" s="182" t="n">
        <v>0</v>
      </c>
      <c r="AG5881" s="182" t="n">
        <v>0</v>
      </c>
      <c r="AH5881" s="182" t="n">
        <v>0</v>
      </c>
      <c r="AI5881" s="182" t="n">
        <v>0</v>
      </c>
      <c r="AJ5881" s="182" t="n">
        <v>0</v>
      </c>
      <c r="AK5881" s="182" t="n">
        <v>0</v>
      </c>
      <c r="AL5881" s="182" t="n">
        <v>0</v>
      </c>
      <c r="AM5881" s="182" t="n">
        <v>0</v>
      </c>
      <c r="AN5881" s="182" t="n">
        <v>0</v>
      </c>
    </row>
    <row r="5882">
      <c r="A5882" s="155" t="n">
        <v>46108</v>
      </c>
      <c r="B5882" s="156" t="inlineStr">
        <is>
          <t>NS</t>
        </is>
      </c>
      <c r="C5882" s="156" t="inlineStr">
        <is>
          <t>EX-751</t>
        </is>
      </c>
      <c r="D5882" s="156" t="inlineStr">
        <is>
          <t>SY750H-PRO</t>
        </is>
      </c>
      <c r="E5882" s="156" t="inlineStr">
        <is>
          <t>Excavator</t>
        </is>
      </c>
      <c r="F5882" s="156" t="inlineStr"/>
      <c r="G5882" s="182" t="n">
        <v>0</v>
      </c>
      <c r="H5882" s="182" t="n">
        <v>0</v>
      </c>
      <c r="I5882" s="182" t="n">
        <v>12</v>
      </c>
      <c r="J5882" s="182" t="n">
        <v>12</v>
      </c>
      <c r="K5882" s="182" t="n">
        <v>0</v>
      </c>
      <c r="L5882" s="182" t="n">
        <v>12</v>
      </c>
      <c r="M5882" s="182" t="n">
        <v>0</v>
      </c>
      <c r="N5882" s="182" t="n">
        <v>0</v>
      </c>
      <c r="O5882" s="185">
        <f>SUMIFS(INPUT_RITASE!$F$5:$F$20000,INPUT_RITASE!$A$5:$A$20000,$A5882,INPUT_RITASE!$H$5:$H$20000,$B5882,INPUT_RITASE!$C$5:$C$20000,$C5882,INPUT_RITASE!$N$5:$N$20000,"OB")</f>
        <v/>
      </c>
      <c r="P5882" s="185">
        <f>SUMIFS(INPUT_RITASE!$F$5:$F$20000,INPUT_RITASE!$A$5:$A$20000,$A5882,INPUT_RITASE!$H$5:$H$20000,$B5882,INPUT_RITASE!$C$5:$C$20000,$C5882,INPUT_RITASE!$N$5:$N$20000,"Coal")</f>
        <v/>
      </c>
      <c r="Q5882" s="186">
        <f>SUMIFS(INPUT_RITASE!$L$5:$L$20000,INPUT_RITASE!$A$5:$A$20000,$A5882,INPUT_RITASE!$H$5:$H$20000,$B5882,INPUT_RITASE!$C$5:$C$20000,$C5882,INPUT_RITASE!$N$5:$N$20000,"OB")</f>
        <v/>
      </c>
      <c r="R5882" s="186">
        <f>SUMIFS(INPUT_RITASE!$L$5:$L$20000,INPUT_RITASE!$A$5:$A$20000,$A5882,INPUT_RITASE!$H$5:$H$20000,$B5882,INPUT_RITASE!$C$5:$C$20000,$C5882,INPUT_RITASE!$N$5:$N$20000,"Coal")</f>
        <v/>
      </c>
      <c r="S5882" s="183" t="n">
        <v>0</v>
      </c>
      <c r="T5882" s="183" t="n">
        <v>0</v>
      </c>
      <c r="U5882" s="182" t="n">
        <v>0</v>
      </c>
      <c r="V5882" s="182" t="n">
        <v>0</v>
      </c>
      <c r="W5882" s="182" t="n">
        <v>0</v>
      </c>
      <c r="X5882" s="182" t="n">
        <v>0</v>
      </c>
      <c r="Y5882" s="182" t="n">
        <v>0</v>
      </c>
      <c r="Z5882" s="182" t="n">
        <v>0</v>
      </c>
      <c r="AA5882" s="182" t="n">
        <v>0</v>
      </c>
      <c r="AB5882" s="182" t="n">
        <v>0</v>
      </c>
      <c r="AC5882" s="182" t="n">
        <v>0</v>
      </c>
      <c r="AD5882" s="182" t="n">
        <v>0</v>
      </c>
      <c r="AE5882" s="182" t="n">
        <v>0</v>
      </c>
      <c r="AF5882" s="182" t="n">
        <v>0</v>
      </c>
      <c r="AG5882" s="182" t="n">
        <v>0</v>
      </c>
      <c r="AH5882" s="182" t="n">
        <v>0</v>
      </c>
      <c r="AI5882" s="182" t="n">
        <v>0</v>
      </c>
      <c r="AJ5882" s="182" t="n">
        <v>0</v>
      </c>
      <c r="AK5882" s="182" t="n">
        <v>0</v>
      </c>
      <c r="AL5882" s="182" t="n">
        <v>0</v>
      </c>
      <c r="AM5882" s="182" t="n">
        <v>0</v>
      </c>
      <c r="AN5882" s="182" t="n">
        <v>0</v>
      </c>
    </row>
    <row r="5883">
      <c r="A5883" s="155" t="n">
        <v>46108</v>
      </c>
      <c r="B5883" s="156" t="inlineStr">
        <is>
          <t>NS</t>
        </is>
      </c>
      <c r="C5883" s="156" t="inlineStr">
        <is>
          <t>EX-753</t>
        </is>
      </c>
      <c r="D5883" s="156" t="inlineStr">
        <is>
          <t>SY750H-PRO</t>
        </is>
      </c>
      <c r="E5883" s="156" t="inlineStr">
        <is>
          <t>Excavator</t>
        </is>
      </c>
      <c r="F5883" s="156" t="inlineStr">
        <is>
          <t>Loading OB &amp; Coal</t>
        </is>
      </c>
      <c r="G5883" s="182" t="n">
        <v>8.27</v>
      </c>
      <c r="H5883" s="182" t="n">
        <v>0</v>
      </c>
      <c r="I5883" s="182" t="n">
        <v>0</v>
      </c>
      <c r="J5883" s="182" t="n">
        <v>0</v>
      </c>
      <c r="K5883" s="182" t="n">
        <v>3.73</v>
      </c>
      <c r="L5883" s="182" t="n">
        <v>12</v>
      </c>
      <c r="M5883" s="182" t="n">
        <v>2.51</v>
      </c>
      <c r="N5883" s="182" t="n">
        <v>5.57</v>
      </c>
      <c r="O5883" s="185">
        <f>SUMIFS(INPUT_RITASE!$F$5:$F$20000,INPUT_RITASE!$A$5:$A$20000,$A5883,INPUT_RITASE!$H$5:$H$20000,$B5883,INPUT_RITASE!$C$5:$C$20000,$C5883,INPUT_RITASE!$N$5:$N$20000,"OB")</f>
        <v/>
      </c>
      <c r="P5883" s="185">
        <f>SUMIFS(INPUT_RITASE!$F$5:$F$20000,INPUT_RITASE!$A$5:$A$20000,$A5883,INPUT_RITASE!$H$5:$H$20000,$B5883,INPUT_RITASE!$C$5:$C$20000,$C5883,INPUT_RITASE!$N$5:$N$20000,"Coal")</f>
        <v/>
      </c>
      <c r="Q5883" s="186">
        <f>SUMIFS(INPUT_RITASE!$L$5:$L$20000,INPUT_RITASE!$A$5:$A$20000,$A5883,INPUT_RITASE!$H$5:$H$20000,$B5883,INPUT_RITASE!$C$5:$C$20000,$C5883,INPUT_RITASE!$N$5:$N$20000,"OB")</f>
        <v/>
      </c>
      <c r="R5883" s="186">
        <f>SUMIFS(INPUT_RITASE!$L$5:$L$20000,INPUT_RITASE!$A$5:$A$20000,$A5883,INPUT_RITASE!$H$5:$H$20000,$B5883,INPUT_RITASE!$C$5:$C$20000,$C5883,INPUT_RITASE!$N$5:$N$20000,"Coal")</f>
        <v/>
      </c>
      <c r="S5883" s="183" t="n">
        <v>0</v>
      </c>
      <c r="T5883" s="183" t="n">
        <v>0</v>
      </c>
      <c r="U5883" s="182" t="n">
        <v>0</v>
      </c>
      <c r="V5883" s="182" t="n">
        <v>0</v>
      </c>
      <c r="W5883" s="182" t="n">
        <v>0</v>
      </c>
      <c r="X5883" s="182" t="n">
        <v>0.99</v>
      </c>
      <c r="Y5883" s="182" t="n">
        <v>0</v>
      </c>
      <c r="Z5883" s="182" t="n">
        <v>0</v>
      </c>
      <c r="AA5883" s="182" t="n">
        <v>0</v>
      </c>
      <c r="AB5883" s="182" t="n">
        <v>0</v>
      </c>
      <c r="AC5883" s="182" t="n">
        <v>0</v>
      </c>
      <c r="AD5883" s="182" t="n">
        <v>1.04</v>
      </c>
      <c r="AE5883" s="182" t="n">
        <v>0</v>
      </c>
      <c r="AF5883" s="182" t="n">
        <v>0</v>
      </c>
      <c r="AG5883" s="182" t="n">
        <v>0</v>
      </c>
      <c r="AH5883" s="182" t="n">
        <v>0.64</v>
      </c>
      <c r="AI5883" s="182" t="n">
        <v>0</v>
      </c>
      <c r="AJ5883" s="182" t="n">
        <v>0</v>
      </c>
      <c r="AK5883" s="182" t="n">
        <v>0</v>
      </c>
      <c r="AL5883" s="182" t="n">
        <v>0.99</v>
      </c>
      <c r="AM5883" s="182" t="n">
        <v>0.08</v>
      </c>
      <c r="AN5883" s="182" t="n">
        <v>0</v>
      </c>
    </row>
    <row r="5884">
      <c r="A5884" s="155" t="n">
        <v>46108</v>
      </c>
      <c r="B5884" s="156" t="inlineStr">
        <is>
          <t>NS</t>
        </is>
      </c>
      <c r="C5884" s="156" t="inlineStr">
        <is>
          <t>GD-012</t>
        </is>
      </c>
      <c r="D5884" s="156" t="inlineStr">
        <is>
          <t>STG 230C - 8S</t>
        </is>
      </c>
      <c r="E5884" s="156" t="inlineStr">
        <is>
          <t>Grader</t>
        </is>
      </c>
      <c r="F5884" s="156" t="inlineStr"/>
      <c r="G5884" s="182" t="n">
        <v>0</v>
      </c>
      <c r="H5884" s="182" t="n">
        <v>0</v>
      </c>
      <c r="I5884" s="182" t="n">
        <v>0</v>
      </c>
      <c r="J5884" s="182" t="n">
        <v>0</v>
      </c>
      <c r="K5884" s="182" t="n">
        <v>12</v>
      </c>
      <c r="L5884" s="182" t="n">
        <v>12</v>
      </c>
      <c r="M5884" s="182" t="n">
        <v>0</v>
      </c>
      <c r="N5884" s="182" t="n">
        <v>0</v>
      </c>
      <c r="O5884" s="183" t="n">
        <v>0</v>
      </c>
      <c r="P5884" s="183" t="n">
        <v>0</v>
      </c>
      <c r="Q5884" s="184" t="n">
        <v>0</v>
      </c>
      <c r="R5884" s="184" t="n">
        <v>0</v>
      </c>
      <c r="S5884" s="183" t="n">
        <v>0</v>
      </c>
      <c r="T5884" s="183" t="n">
        <v>0</v>
      </c>
      <c r="U5884" s="182" t="n">
        <v>0</v>
      </c>
      <c r="V5884" s="182" t="n">
        <v>0</v>
      </c>
      <c r="W5884" s="182" t="n">
        <v>0</v>
      </c>
      <c r="X5884" s="182" t="n">
        <v>1</v>
      </c>
      <c r="Y5884" s="182" t="n">
        <v>0</v>
      </c>
      <c r="Z5884" s="182" t="n">
        <v>0</v>
      </c>
      <c r="AA5884" s="182" t="n">
        <v>0</v>
      </c>
      <c r="AB5884" s="182" t="n">
        <v>0</v>
      </c>
      <c r="AC5884" s="182" t="n">
        <v>0</v>
      </c>
      <c r="AD5884" s="182" t="n">
        <v>0</v>
      </c>
      <c r="AE5884" s="182" t="n">
        <v>0</v>
      </c>
      <c r="AF5884" s="182" t="n">
        <v>0</v>
      </c>
      <c r="AG5884" s="182" t="n">
        <v>0</v>
      </c>
      <c r="AH5884" s="182" t="n">
        <v>0</v>
      </c>
      <c r="AI5884" s="182" t="n">
        <v>0</v>
      </c>
      <c r="AJ5884" s="182" t="n">
        <v>0</v>
      </c>
      <c r="AK5884" s="182" t="n">
        <v>10.92</v>
      </c>
      <c r="AL5884" s="182" t="n">
        <v>0</v>
      </c>
      <c r="AM5884" s="182" t="n">
        <v>0.08</v>
      </c>
      <c r="AN5884" s="182" t="n">
        <v>0</v>
      </c>
    </row>
    <row r="5885">
      <c r="A5885" s="155" t="n">
        <v>46108</v>
      </c>
      <c r="B5885" s="156" t="inlineStr">
        <is>
          <t>NS</t>
        </is>
      </c>
      <c r="C5885" s="156" t="inlineStr">
        <is>
          <t>GD-011</t>
        </is>
      </c>
      <c r="D5885" s="156" t="inlineStr">
        <is>
          <t>STG 230C - 8S</t>
        </is>
      </c>
      <c r="E5885" s="156" t="inlineStr">
        <is>
          <t>Grader</t>
        </is>
      </c>
      <c r="F5885" s="156" t="inlineStr"/>
      <c r="G5885" s="182" t="n">
        <v>0</v>
      </c>
      <c r="H5885" s="182" t="n">
        <v>0</v>
      </c>
      <c r="I5885" s="182" t="n">
        <v>12</v>
      </c>
      <c r="J5885" s="182" t="n">
        <v>12</v>
      </c>
      <c r="K5885" s="182" t="n">
        <v>0</v>
      </c>
      <c r="L5885" s="182" t="n">
        <v>12</v>
      </c>
      <c r="M5885" s="182" t="n">
        <v>0</v>
      </c>
      <c r="N5885" s="182" t="n">
        <v>0</v>
      </c>
      <c r="O5885" s="183" t="n">
        <v>0</v>
      </c>
      <c r="P5885" s="183" t="n">
        <v>0</v>
      </c>
      <c r="Q5885" s="184" t="n">
        <v>0</v>
      </c>
      <c r="R5885" s="184" t="n">
        <v>0</v>
      </c>
      <c r="S5885" s="183" t="n">
        <v>0</v>
      </c>
      <c r="T5885" s="183" t="n">
        <v>0</v>
      </c>
      <c r="U5885" s="182" t="n">
        <v>0</v>
      </c>
      <c r="V5885" s="182" t="n">
        <v>0</v>
      </c>
      <c r="W5885" s="182" t="n">
        <v>0</v>
      </c>
      <c r="X5885" s="182" t="n">
        <v>0</v>
      </c>
      <c r="Y5885" s="182" t="n">
        <v>0</v>
      </c>
      <c r="Z5885" s="182" t="n">
        <v>0</v>
      </c>
      <c r="AA5885" s="182" t="n">
        <v>0</v>
      </c>
      <c r="AB5885" s="182" t="n">
        <v>0</v>
      </c>
      <c r="AC5885" s="182" t="n">
        <v>0</v>
      </c>
      <c r="AD5885" s="182" t="n">
        <v>0</v>
      </c>
      <c r="AE5885" s="182" t="n">
        <v>0</v>
      </c>
      <c r="AF5885" s="182" t="n">
        <v>0</v>
      </c>
      <c r="AG5885" s="182" t="n">
        <v>0</v>
      </c>
      <c r="AH5885" s="182" t="n">
        <v>0</v>
      </c>
      <c r="AI5885" s="182" t="n">
        <v>0</v>
      </c>
      <c r="AJ5885" s="182" t="n">
        <v>0</v>
      </c>
      <c r="AK5885" s="182" t="n">
        <v>0</v>
      </c>
      <c r="AL5885" s="182" t="n">
        <v>0</v>
      </c>
      <c r="AM5885" s="182" t="n">
        <v>0</v>
      </c>
      <c r="AN5885" s="182" t="n">
        <v>0</v>
      </c>
    </row>
    <row r="5886">
      <c r="A5886" s="155" t="n">
        <v>46108</v>
      </c>
      <c r="B5886" s="156" t="inlineStr">
        <is>
          <t>NS</t>
        </is>
      </c>
      <c r="C5886" s="156" t="inlineStr">
        <is>
          <t>GD-013</t>
        </is>
      </c>
      <c r="D5886" s="156" t="inlineStr">
        <is>
          <t>STG 265C - 10</t>
        </is>
      </c>
      <c r="E5886" s="156" t="inlineStr">
        <is>
          <t>Grader</t>
        </is>
      </c>
      <c r="F5886" s="156" t="inlineStr"/>
      <c r="G5886" s="182" t="n">
        <v>0</v>
      </c>
      <c r="H5886" s="182" t="n">
        <v>0</v>
      </c>
      <c r="I5886" s="182" t="n">
        <v>0.83</v>
      </c>
      <c r="J5886" s="182" t="n">
        <v>0.83</v>
      </c>
      <c r="K5886" s="182" t="n">
        <v>11.17</v>
      </c>
      <c r="L5886" s="182" t="n">
        <v>12</v>
      </c>
      <c r="M5886" s="182" t="n">
        <v>0</v>
      </c>
      <c r="N5886" s="182" t="n">
        <v>0</v>
      </c>
      <c r="O5886" s="183" t="n">
        <v>0</v>
      </c>
      <c r="P5886" s="183" t="n">
        <v>0</v>
      </c>
      <c r="Q5886" s="184" t="n">
        <v>0</v>
      </c>
      <c r="R5886" s="184" t="n">
        <v>0</v>
      </c>
      <c r="S5886" s="183" t="n">
        <v>0</v>
      </c>
      <c r="T5886" s="183" t="n">
        <v>0</v>
      </c>
      <c r="U5886" s="182" t="n">
        <v>0</v>
      </c>
      <c r="V5886" s="182" t="n">
        <v>0</v>
      </c>
      <c r="W5886" s="182" t="n">
        <v>0</v>
      </c>
      <c r="X5886" s="182" t="n">
        <v>1</v>
      </c>
      <c r="Y5886" s="182" t="n">
        <v>0</v>
      </c>
      <c r="Z5886" s="182" t="n">
        <v>0</v>
      </c>
      <c r="AA5886" s="182" t="n">
        <v>0</v>
      </c>
      <c r="AB5886" s="182" t="n">
        <v>0</v>
      </c>
      <c r="AC5886" s="182" t="n">
        <v>0</v>
      </c>
      <c r="AD5886" s="182" t="n">
        <v>0</v>
      </c>
      <c r="AE5886" s="182" t="n">
        <v>0</v>
      </c>
      <c r="AF5886" s="182" t="n">
        <v>0</v>
      </c>
      <c r="AG5886" s="182" t="n">
        <v>0</v>
      </c>
      <c r="AH5886" s="182" t="n">
        <v>0</v>
      </c>
      <c r="AI5886" s="182" t="n">
        <v>0</v>
      </c>
      <c r="AJ5886" s="182" t="n">
        <v>0</v>
      </c>
      <c r="AK5886" s="182" t="n">
        <v>10.08</v>
      </c>
      <c r="AL5886" s="182" t="n">
        <v>0</v>
      </c>
      <c r="AM5886" s="182" t="n">
        <v>0.08</v>
      </c>
      <c r="AN5886" s="182" t="n">
        <v>0</v>
      </c>
    </row>
    <row r="5887">
      <c r="A5887" s="155" t="n">
        <v>46108</v>
      </c>
      <c r="B5887" s="156" t="inlineStr">
        <is>
          <t>NS</t>
        </is>
      </c>
      <c r="C5887" s="156" t="inlineStr">
        <is>
          <t>GD-014</t>
        </is>
      </c>
      <c r="D5887" s="156" t="inlineStr">
        <is>
          <t>STG 335C - 10</t>
        </is>
      </c>
      <c r="E5887" s="156" t="inlineStr">
        <is>
          <t>Grader</t>
        </is>
      </c>
      <c r="F5887" s="156" t="inlineStr">
        <is>
          <t>Road Maintenance</t>
        </is>
      </c>
      <c r="G5887" s="182" t="n">
        <v>10.13</v>
      </c>
      <c r="H5887" s="182" t="n">
        <v>0</v>
      </c>
      <c r="I5887" s="182" t="n">
        <v>0</v>
      </c>
      <c r="J5887" s="182" t="n">
        <v>0</v>
      </c>
      <c r="K5887" s="182" t="n">
        <v>1.87</v>
      </c>
      <c r="L5887" s="182" t="n">
        <v>12</v>
      </c>
      <c r="M5887" s="182" t="n">
        <v>0</v>
      </c>
      <c r="N5887" s="182" t="n">
        <v>0</v>
      </c>
      <c r="O5887" s="183" t="n">
        <v>0</v>
      </c>
      <c r="P5887" s="183" t="n">
        <v>0</v>
      </c>
      <c r="Q5887" s="184" t="n">
        <v>0</v>
      </c>
      <c r="R5887" s="184" t="n">
        <v>0</v>
      </c>
      <c r="S5887" s="183" t="n">
        <v>0</v>
      </c>
      <c r="T5887" s="183" t="n">
        <v>0</v>
      </c>
      <c r="U5887" s="182" t="n">
        <v>0</v>
      </c>
      <c r="V5887" s="182" t="n">
        <v>0</v>
      </c>
      <c r="W5887" s="182" t="n">
        <v>0</v>
      </c>
      <c r="X5887" s="182" t="n">
        <v>0.89</v>
      </c>
      <c r="Y5887" s="182" t="n">
        <v>0</v>
      </c>
      <c r="Z5887" s="182" t="n">
        <v>0</v>
      </c>
      <c r="AA5887" s="182" t="n">
        <v>0</v>
      </c>
      <c r="AB5887" s="182" t="n">
        <v>0</v>
      </c>
      <c r="AC5887" s="182" t="n">
        <v>0</v>
      </c>
      <c r="AD5887" s="182" t="n">
        <v>0</v>
      </c>
      <c r="AE5887" s="182" t="n">
        <v>0</v>
      </c>
      <c r="AF5887" s="182" t="n">
        <v>0</v>
      </c>
      <c r="AG5887" s="182" t="n">
        <v>0</v>
      </c>
      <c r="AH5887" s="182" t="n">
        <v>0</v>
      </c>
      <c r="AI5887" s="182" t="n">
        <v>0</v>
      </c>
      <c r="AJ5887" s="182" t="n">
        <v>0</v>
      </c>
      <c r="AK5887" s="182" t="n">
        <v>0.91</v>
      </c>
      <c r="AL5887" s="182" t="n">
        <v>0</v>
      </c>
      <c r="AM5887" s="182" t="n">
        <v>0.07000000000000001</v>
      </c>
      <c r="AN5887" s="182" t="n">
        <v>0</v>
      </c>
    </row>
    <row r="5888">
      <c r="A5888" s="155" t="n">
        <v>46108</v>
      </c>
      <c r="B5888" s="156" t="inlineStr">
        <is>
          <t>NS</t>
        </is>
      </c>
      <c r="C5888" s="156" t="inlineStr">
        <is>
          <t>DT-809</t>
        </is>
      </c>
      <c r="D5888" s="156" t="inlineStr">
        <is>
          <t>SKT 80S</t>
        </is>
      </c>
      <c r="E5888" s="156" t="inlineStr">
        <is>
          <t>Hauler</t>
        </is>
      </c>
      <c r="F5888" s="156" t="inlineStr"/>
      <c r="G5888" s="182" t="n">
        <v>0</v>
      </c>
      <c r="H5888" s="182" t="n">
        <v>0</v>
      </c>
      <c r="I5888" s="182" t="n">
        <v>12</v>
      </c>
      <c r="J5888" s="182" t="n">
        <v>12</v>
      </c>
      <c r="K5888" s="182" t="n">
        <v>0</v>
      </c>
      <c r="L5888" s="182" t="n">
        <v>12</v>
      </c>
      <c r="M5888" s="182" t="n">
        <v>0</v>
      </c>
      <c r="N5888" s="182" t="n">
        <v>0</v>
      </c>
      <c r="O5888" s="183" t="n">
        <v>0</v>
      </c>
      <c r="P5888" s="183" t="n">
        <v>0</v>
      </c>
      <c r="Q5888" s="184" t="n">
        <v>0</v>
      </c>
      <c r="R5888" s="184" t="n">
        <v>0</v>
      </c>
      <c r="S5888" s="183" t="n">
        <v>0</v>
      </c>
      <c r="T5888" s="183" t="n">
        <v>0</v>
      </c>
      <c r="U5888" s="182" t="n">
        <v>0</v>
      </c>
      <c r="V5888" s="182" t="n">
        <v>0</v>
      </c>
      <c r="W5888" s="182" t="n">
        <v>0</v>
      </c>
      <c r="X5888" s="182" t="n">
        <v>0</v>
      </c>
      <c r="Y5888" s="182" t="n">
        <v>0</v>
      </c>
      <c r="Z5888" s="182" t="n">
        <v>0</v>
      </c>
      <c r="AA5888" s="182" t="n">
        <v>0</v>
      </c>
      <c r="AB5888" s="182" t="n">
        <v>0</v>
      </c>
      <c r="AC5888" s="182" t="n">
        <v>0</v>
      </c>
      <c r="AD5888" s="182" t="n">
        <v>0</v>
      </c>
      <c r="AE5888" s="182" t="n">
        <v>0</v>
      </c>
      <c r="AF5888" s="182" t="n">
        <v>0</v>
      </c>
      <c r="AG5888" s="182" t="n">
        <v>0</v>
      </c>
      <c r="AH5888" s="182" t="n">
        <v>0</v>
      </c>
      <c r="AI5888" s="182" t="n">
        <v>0</v>
      </c>
      <c r="AJ5888" s="182" t="n">
        <v>0</v>
      </c>
      <c r="AK5888" s="182" t="n">
        <v>0</v>
      </c>
      <c r="AL5888" s="182" t="n">
        <v>0</v>
      </c>
      <c r="AM5888" s="182" t="n">
        <v>0</v>
      </c>
      <c r="AN5888" s="182" t="n">
        <v>0</v>
      </c>
    </row>
    <row r="5889">
      <c r="A5889" s="155" t="n">
        <v>46108</v>
      </c>
      <c r="B5889" s="156" t="inlineStr">
        <is>
          <t>NS</t>
        </is>
      </c>
      <c r="C5889" s="156" t="inlineStr">
        <is>
          <t>DT-806</t>
        </is>
      </c>
      <c r="D5889" s="156" t="inlineStr">
        <is>
          <t>SKT 80S</t>
        </is>
      </c>
      <c r="E5889" s="156" t="inlineStr">
        <is>
          <t>Hauler</t>
        </is>
      </c>
      <c r="F5889" s="156" t="inlineStr"/>
      <c r="G5889" s="182" t="n">
        <v>0</v>
      </c>
      <c r="H5889" s="182" t="n">
        <v>0</v>
      </c>
      <c r="I5889" s="182" t="n">
        <v>12</v>
      </c>
      <c r="J5889" s="182" t="n">
        <v>12</v>
      </c>
      <c r="K5889" s="182" t="n">
        <v>0</v>
      </c>
      <c r="L5889" s="182" t="n">
        <v>12</v>
      </c>
      <c r="M5889" s="182" t="n">
        <v>0</v>
      </c>
      <c r="N5889" s="182" t="n">
        <v>0</v>
      </c>
      <c r="O5889" s="183" t="n">
        <v>0</v>
      </c>
      <c r="P5889" s="183" t="n">
        <v>0</v>
      </c>
      <c r="Q5889" s="184" t="n">
        <v>0</v>
      </c>
      <c r="R5889" s="184" t="n">
        <v>0</v>
      </c>
      <c r="S5889" s="183" t="n">
        <v>0</v>
      </c>
      <c r="T5889" s="183" t="n">
        <v>0</v>
      </c>
      <c r="U5889" s="182" t="n">
        <v>0</v>
      </c>
      <c r="V5889" s="182" t="n">
        <v>0</v>
      </c>
      <c r="W5889" s="182" t="n">
        <v>0</v>
      </c>
      <c r="X5889" s="182" t="n">
        <v>0</v>
      </c>
      <c r="Y5889" s="182" t="n">
        <v>0</v>
      </c>
      <c r="Z5889" s="182" t="n">
        <v>0</v>
      </c>
      <c r="AA5889" s="182" t="n">
        <v>0</v>
      </c>
      <c r="AB5889" s="182" t="n">
        <v>0</v>
      </c>
      <c r="AC5889" s="182" t="n">
        <v>0</v>
      </c>
      <c r="AD5889" s="182" t="n">
        <v>0</v>
      </c>
      <c r="AE5889" s="182" t="n">
        <v>0</v>
      </c>
      <c r="AF5889" s="182" t="n">
        <v>0</v>
      </c>
      <c r="AG5889" s="182" t="n">
        <v>0</v>
      </c>
      <c r="AH5889" s="182" t="n">
        <v>0</v>
      </c>
      <c r="AI5889" s="182" t="n">
        <v>0</v>
      </c>
      <c r="AJ5889" s="182" t="n">
        <v>0</v>
      </c>
      <c r="AK5889" s="182" t="n">
        <v>0</v>
      </c>
      <c r="AL5889" s="182" t="n">
        <v>0</v>
      </c>
      <c r="AM5889" s="182" t="n">
        <v>0</v>
      </c>
      <c r="AN5889" s="182" t="n">
        <v>0</v>
      </c>
    </row>
    <row r="5890">
      <c r="A5890" s="155" t="n">
        <v>46108</v>
      </c>
      <c r="B5890" s="156" t="inlineStr">
        <is>
          <t>NS</t>
        </is>
      </c>
      <c r="C5890" s="156" t="inlineStr">
        <is>
          <t>DT-805</t>
        </is>
      </c>
      <c r="D5890" s="156" t="inlineStr">
        <is>
          <t>SKT 80S</t>
        </is>
      </c>
      <c r="E5890" s="156" t="inlineStr">
        <is>
          <t>Hauler</t>
        </is>
      </c>
      <c r="F5890" s="156" t="inlineStr"/>
      <c r="G5890" s="182" t="n">
        <v>0</v>
      </c>
      <c r="H5890" s="182" t="n">
        <v>0</v>
      </c>
      <c r="I5890" s="182" t="n">
        <v>12</v>
      </c>
      <c r="J5890" s="182" t="n">
        <v>12</v>
      </c>
      <c r="K5890" s="182" t="n">
        <v>0</v>
      </c>
      <c r="L5890" s="182" t="n">
        <v>12</v>
      </c>
      <c r="M5890" s="182" t="n">
        <v>0</v>
      </c>
      <c r="N5890" s="182" t="n">
        <v>0</v>
      </c>
      <c r="O5890" s="183" t="n">
        <v>0</v>
      </c>
      <c r="P5890" s="183" t="n">
        <v>0</v>
      </c>
      <c r="Q5890" s="184" t="n">
        <v>0</v>
      </c>
      <c r="R5890" s="184" t="n">
        <v>0</v>
      </c>
      <c r="S5890" s="183" t="n">
        <v>0</v>
      </c>
      <c r="T5890" s="183" t="n">
        <v>0</v>
      </c>
      <c r="U5890" s="182" t="n">
        <v>0</v>
      </c>
      <c r="V5890" s="182" t="n">
        <v>0</v>
      </c>
      <c r="W5890" s="182" t="n">
        <v>0</v>
      </c>
      <c r="X5890" s="182" t="n">
        <v>0</v>
      </c>
      <c r="Y5890" s="182" t="n">
        <v>0</v>
      </c>
      <c r="Z5890" s="182" t="n">
        <v>0</v>
      </c>
      <c r="AA5890" s="182" t="n">
        <v>0</v>
      </c>
      <c r="AB5890" s="182" t="n">
        <v>0</v>
      </c>
      <c r="AC5890" s="182" t="n">
        <v>0</v>
      </c>
      <c r="AD5890" s="182" t="n">
        <v>0</v>
      </c>
      <c r="AE5890" s="182" t="n">
        <v>0</v>
      </c>
      <c r="AF5890" s="182" t="n">
        <v>0</v>
      </c>
      <c r="AG5890" s="182" t="n">
        <v>0</v>
      </c>
      <c r="AH5890" s="182" t="n">
        <v>0</v>
      </c>
      <c r="AI5890" s="182" t="n">
        <v>0</v>
      </c>
      <c r="AJ5890" s="182" t="n">
        <v>0</v>
      </c>
      <c r="AK5890" s="182" t="n">
        <v>0</v>
      </c>
      <c r="AL5890" s="182" t="n">
        <v>0</v>
      </c>
      <c r="AM5890" s="182" t="n">
        <v>0</v>
      </c>
      <c r="AN5890" s="182" t="n">
        <v>0</v>
      </c>
    </row>
    <row r="5891">
      <c r="A5891" s="155" t="n">
        <v>46108</v>
      </c>
      <c r="B5891" s="156" t="inlineStr">
        <is>
          <t>NS</t>
        </is>
      </c>
      <c r="C5891" s="156" t="inlineStr">
        <is>
          <t>DT-801</t>
        </is>
      </c>
      <c r="D5891" s="156" t="inlineStr">
        <is>
          <t>SKT 80S</t>
        </is>
      </c>
      <c r="E5891" s="156" t="inlineStr">
        <is>
          <t>Hauler</t>
        </is>
      </c>
      <c r="F5891" s="156" t="inlineStr"/>
      <c r="G5891" s="182" t="n">
        <v>0</v>
      </c>
      <c r="H5891" s="182" t="n">
        <v>0</v>
      </c>
      <c r="I5891" s="182" t="n">
        <v>12</v>
      </c>
      <c r="J5891" s="182" t="n">
        <v>12</v>
      </c>
      <c r="K5891" s="182" t="n">
        <v>0</v>
      </c>
      <c r="L5891" s="182" t="n">
        <v>12</v>
      </c>
      <c r="M5891" s="182" t="n">
        <v>0</v>
      </c>
      <c r="N5891" s="182" t="n">
        <v>0</v>
      </c>
      <c r="O5891" s="183" t="n">
        <v>0</v>
      </c>
      <c r="P5891" s="183" t="n">
        <v>0</v>
      </c>
      <c r="Q5891" s="184" t="n">
        <v>0</v>
      </c>
      <c r="R5891" s="184" t="n">
        <v>0</v>
      </c>
      <c r="S5891" s="183" t="n">
        <v>0</v>
      </c>
      <c r="T5891" s="183" t="n">
        <v>0</v>
      </c>
      <c r="U5891" s="182" t="n">
        <v>0</v>
      </c>
      <c r="V5891" s="182" t="n">
        <v>0</v>
      </c>
      <c r="W5891" s="182" t="n">
        <v>0</v>
      </c>
      <c r="X5891" s="182" t="n">
        <v>0</v>
      </c>
      <c r="Y5891" s="182" t="n">
        <v>0</v>
      </c>
      <c r="Z5891" s="182" t="n">
        <v>0</v>
      </c>
      <c r="AA5891" s="182" t="n">
        <v>0</v>
      </c>
      <c r="AB5891" s="182" t="n">
        <v>0</v>
      </c>
      <c r="AC5891" s="182" t="n">
        <v>0</v>
      </c>
      <c r="AD5891" s="182" t="n">
        <v>0</v>
      </c>
      <c r="AE5891" s="182" t="n">
        <v>0</v>
      </c>
      <c r="AF5891" s="182" t="n">
        <v>0</v>
      </c>
      <c r="AG5891" s="182" t="n">
        <v>0</v>
      </c>
      <c r="AH5891" s="182" t="n">
        <v>0</v>
      </c>
      <c r="AI5891" s="182" t="n">
        <v>0</v>
      </c>
      <c r="AJ5891" s="182" t="n">
        <v>0</v>
      </c>
      <c r="AK5891" s="182" t="n">
        <v>0</v>
      </c>
      <c r="AL5891" s="182" t="n">
        <v>0</v>
      </c>
      <c r="AM5891" s="182" t="n">
        <v>0</v>
      </c>
      <c r="AN5891" s="182" t="n">
        <v>0</v>
      </c>
    </row>
    <row r="5892">
      <c r="A5892" s="155" t="n">
        <v>46108</v>
      </c>
      <c r="B5892" s="156" t="inlineStr">
        <is>
          <t>NS</t>
        </is>
      </c>
      <c r="C5892" s="156" t="inlineStr">
        <is>
          <t>DT-808</t>
        </is>
      </c>
      <c r="D5892" s="156" t="inlineStr">
        <is>
          <t>SKT 80S</t>
        </is>
      </c>
      <c r="E5892" s="156" t="inlineStr">
        <is>
          <t>Hauler</t>
        </is>
      </c>
      <c r="F5892" s="156" t="inlineStr">
        <is>
          <t>Rehandling Lumpur WP</t>
        </is>
      </c>
      <c r="G5892" s="182" t="n">
        <v>6.71</v>
      </c>
      <c r="H5892" s="182" t="n">
        <v>0</v>
      </c>
      <c r="I5892" s="182" t="n">
        <v>0</v>
      </c>
      <c r="J5892" s="182" t="n">
        <v>0</v>
      </c>
      <c r="K5892" s="182" t="n">
        <v>5.29</v>
      </c>
      <c r="L5892" s="182" t="n">
        <v>12</v>
      </c>
      <c r="M5892" s="182" t="n">
        <v>0</v>
      </c>
      <c r="N5892" s="182" t="n">
        <v>0</v>
      </c>
      <c r="O5892" s="183" t="n">
        <v>0</v>
      </c>
      <c r="P5892" s="183" t="n">
        <v>0</v>
      </c>
      <c r="Q5892" s="184" t="n">
        <v>0</v>
      </c>
      <c r="R5892" s="184" t="n">
        <v>0</v>
      </c>
      <c r="S5892" s="183" t="n">
        <v>0</v>
      </c>
      <c r="T5892" s="183" t="n">
        <v>0</v>
      </c>
      <c r="U5892" s="182" t="n">
        <v>0</v>
      </c>
      <c r="V5892" s="182" t="n">
        <v>0</v>
      </c>
      <c r="W5892" s="182" t="n">
        <v>0</v>
      </c>
      <c r="X5892" s="182" t="n">
        <v>0.91</v>
      </c>
      <c r="Y5892" s="182" t="n">
        <v>0</v>
      </c>
      <c r="Z5892" s="182" t="n">
        <v>0</v>
      </c>
      <c r="AA5892" s="182" t="n">
        <v>0</v>
      </c>
      <c r="AB5892" s="182" t="n">
        <v>0</v>
      </c>
      <c r="AC5892" s="182" t="n">
        <v>0</v>
      </c>
      <c r="AD5892" s="182" t="n">
        <v>0</v>
      </c>
      <c r="AE5892" s="182" t="n">
        <v>0</v>
      </c>
      <c r="AF5892" s="182" t="n">
        <v>0</v>
      </c>
      <c r="AG5892" s="182" t="n">
        <v>0</v>
      </c>
      <c r="AH5892" s="182" t="n">
        <v>0</v>
      </c>
      <c r="AI5892" s="182" t="n">
        <v>0</v>
      </c>
      <c r="AJ5892" s="182" t="n">
        <v>0</v>
      </c>
      <c r="AK5892" s="182" t="n">
        <v>1.57</v>
      </c>
      <c r="AL5892" s="182" t="n">
        <v>2.74</v>
      </c>
      <c r="AM5892" s="182" t="n">
        <v>0.07000000000000001</v>
      </c>
      <c r="AN5892" s="182" t="n">
        <v>0</v>
      </c>
    </row>
    <row r="5893">
      <c r="A5893" s="155" t="n">
        <v>46108</v>
      </c>
      <c r="B5893" s="156" t="inlineStr">
        <is>
          <t>NS</t>
        </is>
      </c>
      <c r="C5893" s="156" t="inlineStr">
        <is>
          <t>DT-811</t>
        </is>
      </c>
      <c r="D5893" s="156" t="inlineStr">
        <is>
          <t>SKT 80S</t>
        </is>
      </c>
      <c r="E5893" s="156" t="inlineStr">
        <is>
          <t>Hauler</t>
        </is>
      </c>
      <c r="F5893" s="156" t="inlineStr"/>
      <c r="G5893" s="182" t="n">
        <v>0</v>
      </c>
      <c r="H5893" s="182" t="n">
        <v>0</v>
      </c>
      <c r="I5893" s="182" t="n">
        <v>12</v>
      </c>
      <c r="J5893" s="182" t="n">
        <v>12</v>
      </c>
      <c r="K5893" s="182" t="n">
        <v>0</v>
      </c>
      <c r="L5893" s="182" t="n">
        <v>12</v>
      </c>
      <c r="M5893" s="182" t="n">
        <v>0</v>
      </c>
      <c r="N5893" s="182" t="n">
        <v>0</v>
      </c>
      <c r="O5893" s="183" t="n">
        <v>0</v>
      </c>
      <c r="P5893" s="183" t="n">
        <v>0</v>
      </c>
      <c r="Q5893" s="184" t="n">
        <v>0</v>
      </c>
      <c r="R5893" s="184" t="n">
        <v>0</v>
      </c>
      <c r="S5893" s="183" t="n">
        <v>0</v>
      </c>
      <c r="T5893" s="183" t="n">
        <v>0</v>
      </c>
      <c r="U5893" s="182" t="n">
        <v>0</v>
      </c>
      <c r="V5893" s="182" t="n">
        <v>0</v>
      </c>
      <c r="W5893" s="182" t="n">
        <v>0</v>
      </c>
      <c r="X5893" s="182" t="n">
        <v>0</v>
      </c>
      <c r="Y5893" s="182" t="n">
        <v>0</v>
      </c>
      <c r="Z5893" s="182" t="n">
        <v>0</v>
      </c>
      <c r="AA5893" s="182" t="n">
        <v>0</v>
      </c>
      <c r="AB5893" s="182" t="n">
        <v>0</v>
      </c>
      <c r="AC5893" s="182" t="n">
        <v>0</v>
      </c>
      <c r="AD5893" s="182" t="n">
        <v>0</v>
      </c>
      <c r="AE5893" s="182" t="n">
        <v>0</v>
      </c>
      <c r="AF5893" s="182" t="n">
        <v>0</v>
      </c>
      <c r="AG5893" s="182" t="n">
        <v>0</v>
      </c>
      <c r="AH5893" s="182" t="n">
        <v>0</v>
      </c>
      <c r="AI5893" s="182" t="n">
        <v>0</v>
      </c>
      <c r="AJ5893" s="182" t="n">
        <v>0</v>
      </c>
      <c r="AK5893" s="182" t="n">
        <v>0</v>
      </c>
      <c r="AL5893" s="182" t="n">
        <v>0</v>
      </c>
      <c r="AM5893" s="182" t="n">
        <v>0</v>
      </c>
      <c r="AN5893" s="182" t="n">
        <v>0</v>
      </c>
    </row>
    <row r="5894">
      <c r="A5894" s="155" t="n">
        <v>46108</v>
      </c>
      <c r="B5894" s="156" t="inlineStr">
        <is>
          <t>NS</t>
        </is>
      </c>
      <c r="C5894" s="156" t="inlineStr">
        <is>
          <t>DT-802</t>
        </is>
      </c>
      <c r="D5894" s="156" t="inlineStr">
        <is>
          <t>SKT 80S</t>
        </is>
      </c>
      <c r="E5894" s="156" t="inlineStr">
        <is>
          <t>Hauler</t>
        </is>
      </c>
      <c r="F5894" s="156" t="inlineStr"/>
      <c r="G5894" s="182" t="n">
        <v>0</v>
      </c>
      <c r="H5894" s="182" t="n">
        <v>0</v>
      </c>
      <c r="I5894" s="182" t="n">
        <v>0</v>
      </c>
      <c r="J5894" s="182" t="n">
        <v>0</v>
      </c>
      <c r="K5894" s="182" t="n">
        <v>12</v>
      </c>
      <c r="L5894" s="182" t="n">
        <v>12</v>
      </c>
      <c r="M5894" s="182" t="n">
        <v>0</v>
      </c>
      <c r="N5894" s="182" t="n">
        <v>0</v>
      </c>
      <c r="O5894" s="183" t="n">
        <v>0</v>
      </c>
      <c r="P5894" s="183" t="n">
        <v>0</v>
      </c>
      <c r="Q5894" s="184" t="n">
        <v>0</v>
      </c>
      <c r="R5894" s="184" t="n">
        <v>0</v>
      </c>
      <c r="S5894" s="183" t="n">
        <v>0</v>
      </c>
      <c r="T5894" s="183" t="n">
        <v>0</v>
      </c>
      <c r="U5894" s="182" t="n">
        <v>0</v>
      </c>
      <c r="V5894" s="182" t="n">
        <v>0</v>
      </c>
      <c r="W5894" s="182" t="n">
        <v>0</v>
      </c>
      <c r="X5894" s="182" t="n">
        <v>1</v>
      </c>
      <c r="Y5894" s="182" t="n">
        <v>0</v>
      </c>
      <c r="Z5894" s="182" t="n">
        <v>0</v>
      </c>
      <c r="AA5894" s="182" t="n">
        <v>0</v>
      </c>
      <c r="AB5894" s="182" t="n">
        <v>0</v>
      </c>
      <c r="AC5894" s="182" t="n">
        <v>0</v>
      </c>
      <c r="AD5894" s="182" t="n">
        <v>0</v>
      </c>
      <c r="AE5894" s="182" t="n">
        <v>0</v>
      </c>
      <c r="AF5894" s="182" t="n">
        <v>0</v>
      </c>
      <c r="AG5894" s="182" t="n">
        <v>0</v>
      </c>
      <c r="AH5894" s="182" t="n">
        <v>0</v>
      </c>
      <c r="AI5894" s="182" t="n">
        <v>0</v>
      </c>
      <c r="AJ5894" s="182" t="n">
        <v>0</v>
      </c>
      <c r="AK5894" s="182" t="n">
        <v>10.92</v>
      </c>
      <c r="AL5894" s="182" t="n">
        <v>0</v>
      </c>
      <c r="AM5894" s="182" t="n">
        <v>0.08</v>
      </c>
      <c r="AN5894" s="182" t="n">
        <v>0</v>
      </c>
    </row>
    <row r="5895">
      <c r="A5895" s="155" t="n">
        <v>46108</v>
      </c>
      <c r="B5895" s="156" t="inlineStr">
        <is>
          <t>NS</t>
        </is>
      </c>
      <c r="C5895" s="156" t="inlineStr">
        <is>
          <t>DT-807</t>
        </is>
      </c>
      <c r="D5895" s="156" t="inlineStr">
        <is>
          <t>SKT 80S</t>
        </is>
      </c>
      <c r="E5895" s="156" t="inlineStr">
        <is>
          <t>Hauler</t>
        </is>
      </c>
      <c r="F5895" s="156" t="inlineStr"/>
      <c r="G5895" s="182" t="n">
        <v>0</v>
      </c>
      <c r="H5895" s="182" t="n">
        <v>0</v>
      </c>
      <c r="I5895" s="182" t="n">
        <v>0.5</v>
      </c>
      <c r="J5895" s="182" t="n">
        <v>0.5</v>
      </c>
      <c r="K5895" s="182" t="n">
        <v>11.5</v>
      </c>
      <c r="L5895" s="182" t="n">
        <v>12</v>
      </c>
      <c r="M5895" s="182" t="n">
        <v>0</v>
      </c>
      <c r="N5895" s="182" t="n">
        <v>0</v>
      </c>
      <c r="O5895" s="183" t="n">
        <v>0</v>
      </c>
      <c r="P5895" s="183" t="n">
        <v>0</v>
      </c>
      <c r="Q5895" s="184" t="n">
        <v>0</v>
      </c>
      <c r="R5895" s="184" t="n">
        <v>0</v>
      </c>
      <c r="S5895" s="183" t="n">
        <v>0</v>
      </c>
      <c r="T5895" s="183" t="n">
        <v>0</v>
      </c>
      <c r="U5895" s="182" t="n">
        <v>0</v>
      </c>
      <c r="V5895" s="182" t="n">
        <v>0</v>
      </c>
      <c r="W5895" s="182" t="n">
        <v>0</v>
      </c>
      <c r="X5895" s="182" t="n">
        <v>1</v>
      </c>
      <c r="Y5895" s="182" t="n">
        <v>0</v>
      </c>
      <c r="Z5895" s="182" t="n">
        <v>0</v>
      </c>
      <c r="AA5895" s="182" t="n">
        <v>0</v>
      </c>
      <c r="AB5895" s="182" t="n">
        <v>0</v>
      </c>
      <c r="AC5895" s="182" t="n">
        <v>0</v>
      </c>
      <c r="AD5895" s="182" t="n">
        <v>0</v>
      </c>
      <c r="AE5895" s="182" t="n">
        <v>0</v>
      </c>
      <c r="AF5895" s="182" t="n">
        <v>0</v>
      </c>
      <c r="AG5895" s="182" t="n">
        <v>0</v>
      </c>
      <c r="AH5895" s="182" t="n">
        <v>0</v>
      </c>
      <c r="AI5895" s="182" t="n">
        <v>0</v>
      </c>
      <c r="AJ5895" s="182" t="n">
        <v>0</v>
      </c>
      <c r="AK5895" s="182" t="n">
        <v>10.42</v>
      </c>
      <c r="AL5895" s="182" t="n">
        <v>0</v>
      </c>
      <c r="AM5895" s="182" t="n">
        <v>0.08</v>
      </c>
      <c r="AN5895" s="182" t="n">
        <v>0</v>
      </c>
    </row>
    <row r="5896">
      <c r="A5896" s="155" t="n">
        <v>46108</v>
      </c>
      <c r="B5896" s="156" t="inlineStr">
        <is>
          <t>NS</t>
        </is>
      </c>
      <c r="C5896" s="156" t="inlineStr">
        <is>
          <t>DT-812</t>
        </is>
      </c>
      <c r="D5896" s="156" t="inlineStr">
        <is>
          <t>SKT 80S</t>
        </is>
      </c>
      <c r="E5896" s="156" t="inlineStr">
        <is>
          <t>Hauler</t>
        </is>
      </c>
      <c r="F5896" s="156" t="inlineStr"/>
      <c r="G5896" s="182" t="n">
        <v>0</v>
      </c>
      <c r="H5896" s="182" t="n">
        <v>0</v>
      </c>
      <c r="I5896" s="182" t="n">
        <v>0</v>
      </c>
      <c r="J5896" s="182" t="n">
        <v>0</v>
      </c>
      <c r="K5896" s="182" t="n">
        <v>12</v>
      </c>
      <c r="L5896" s="182" t="n">
        <v>12</v>
      </c>
      <c r="M5896" s="182" t="n">
        <v>0</v>
      </c>
      <c r="N5896" s="182" t="n">
        <v>0</v>
      </c>
      <c r="O5896" s="183" t="n">
        <v>0</v>
      </c>
      <c r="P5896" s="183" t="n">
        <v>0</v>
      </c>
      <c r="Q5896" s="184" t="n">
        <v>0</v>
      </c>
      <c r="R5896" s="184" t="n">
        <v>0</v>
      </c>
      <c r="S5896" s="183" t="n">
        <v>0</v>
      </c>
      <c r="T5896" s="183" t="n">
        <v>0</v>
      </c>
      <c r="U5896" s="182" t="n">
        <v>0</v>
      </c>
      <c r="V5896" s="182" t="n">
        <v>0</v>
      </c>
      <c r="W5896" s="182" t="n">
        <v>0</v>
      </c>
      <c r="X5896" s="182" t="n">
        <v>1</v>
      </c>
      <c r="Y5896" s="182" t="n">
        <v>0</v>
      </c>
      <c r="Z5896" s="182" t="n">
        <v>0</v>
      </c>
      <c r="AA5896" s="182" t="n">
        <v>0</v>
      </c>
      <c r="AB5896" s="182" t="n">
        <v>0</v>
      </c>
      <c r="AC5896" s="182" t="n">
        <v>0</v>
      </c>
      <c r="AD5896" s="182" t="n">
        <v>0</v>
      </c>
      <c r="AE5896" s="182" t="n">
        <v>0</v>
      </c>
      <c r="AF5896" s="182" t="n">
        <v>0</v>
      </c>
      <c r="AG5896" s="182" t="n">
        <v>0</v>
      </c>
      <c r="AH5896" s="182" t="n">
        <v>0</v>
      </c>
      <c r="AI5896" s="182" t="n">
        <v>0</v>
      </c>
      <c r="AJ5896" s="182" t="n">
        <v>0</v>
      </c>
      <c r="AK5896" s="182" t="n">
        <v>10.92</v>
      </c>
      <c r="AL5896" s="182" t="n">
        <v>0</v>
      </c>
      <c r="AM5896" s="182" t="n">
        <v>0.08</v>
      </c>
      <c r="AN5896" s="182" t="n">
        <v>0</v>
      </c>
    </row>
    <row r="5897">
      <c r="A5897" s="155" t="n">
        <v>46108</v>
      </c>
      <c r="B5897" s="156" t="inlineStr">
        <is>
          <t>NS</t>
        </is>
      </c>
      <c r="C5897" s="156" t="inlineStr">
        <is>
          <t>DT-803</t>
        </is>
      </c>
      <c r="D5897" s="156" t="inlineStr">
        <is>
          <t>SKT 80S</t>
        </is>
      </c>
      <c r="E5897" s="156" t="inlineStr">
        <is>
          <t>Hauler</t>
        </is>
      </c>
      <c r="F5897" s="156" t="inlineStr"/>
      <c r="G5897" s="182" t="n">
        <v>0</v>
      </c>
      <c r="H5897" s="182" t="n">
        <v>0</v>
      </c>
      <c r="I5897" s="182" t="n">
        <v>0</v>
      </c>
      <c r="J5897" s="182" t="n">
        <v>0</v>
      </c>
      <c r="K5897" s="182" t="n">
        <v>12</v>
      </c>
      <c r="L5897" s="182" t="n">
        <v>12</v>
      </c>
      <c r="M5897" s="182" t="n">
        <v>0</v>
      </c>
      <c r="N5897" s="182" t="n">
        <v>0</v>
      </c>
      <c r="O5897" s="183" t="n">
        <v>0</v>
      </c>
      <c r="P5897" s="183" t="n">
        <v>0</v>
      </c>
      <c r="Q5897" s="184" t="n">
        <v>0</v>
      </c>
      <c r="R5897" s="184" t="n">
        <v>0</v>
      </c>
      <c r="S5897" s="183" t="n">
        <v>0</v>
      </c>
      <c r="T5897" s="183" t="n">
        <v>0</v>
      </c>
      <c r="U5897" s="182" t="n">
        <v>0</v>
      </c>
      <c r="V5897" s="182" t="n">
        <v>0</v>
      </c>
      <c r="W5897" s="182" t="n">
        <v>0</v>
      </c>
      <c r="X5897" s="182" t="n">
        <v>1</v>
      </c>
      <c r="Y5897" s="182" t="n">
        <v>0</v>
      </c>
      <c r="Z5897" s="182" t="n">
        <v>0</v>
      </c>
      <c r="AA5897" s="182" t="n">
        <v>0</v>
      </c>
      <c r="AB5897" s="182" t="n">
        <v>0</v>
      </c>
      <c r="AC5897" s="182" t="n">
        <v>0</v>
      </c>
      <c r="AD5897" s="182" t="n">
        <v>0</v>
      </c>
      <c r="AE5897" s="182" t="n">
        <v>0</v>
      </c>
      <c r="AF5897" s="182" t="n">
        <v>0</v>
      </c>
      <c r="AG5897" s="182" t="n">
        <v>0</v>
      </c>
      <c r="AH5897" s="182" t="n">
        <v>0</v>
      </c>
      <c r="AI5897" s="182" t="n">
        <v>0</v>
      </c>
      <c r="AJ5897" s="182" t="n">
        <v>0</v>
      </c>
      <c r="AK5897" s="182" t="n">
        <v>10.92</v>
      </c>
      <c r="AL5897" s="182" t="n">
        <v>0</v>
      </c>
      <c r="AM5897" s="182" t="n">
        <v>0.08</v>
      </c>
      <c r="AN5897" s="182" t="n">
        <v>0</v>
      </c>
    </row>
    <row r="5898">
      <c r="A5898" s="155" t="n">
        <v>46108</v>
      </c>
      <c r="B5898" s="156" t="inlineStr">
        <is>
          <t>NS</t>
        </is>
      </c>
      <c r="C5898" s="156" t="inlineStr">
        <is>
          <t>DT-810</t>
        </is>
      </c>
      <c r="D5898" s="156" t="inlineStr">
        <is>
          <t>SKT 80S</t>
        </is>
      </c>
      <c r="E5898" s="156" t="inlineStr">
        <is>
          <t>Hauler</t>
        </is>
      </c>
      <c r="F5898" s="156" t="inlineStr"/>
      <c r="G5898" s="182" t="n">
        <v>0</v>
      </c>
      <c r="H5898" s="182" t="n">
        <v>0</v>
      </c>
      <c r="I5898" s="182" t="n">
        <v>0</v>
      </c>
      <c r="J5898" s="182" t="n">
        <v>0</v>
      </c>
      <c r="K5898" s="182" t="n">
        <v>12</v>
      </c>
      <c r="L5898" s="182" t="n">
        <v>12</v>
      </c>
      <c r="M5898" s="182" t="n">
        <v>0</v>
      </c>
      <c r="N5898" s="182" t="n">
        <v>0</v>
      </c>
      <c r="O5898" s="183" t="n">
        <v>0</v>
      </c>
      <c r="P5898" s="183" t="n">
        <v>0</v>
      </c>
      <c r="Q5898" s="184" t="n">
        <v>0</v>
      </c>
      <c r="R5898" s="184" t="n">
        <v>0</v>
      </c>
      <c r="S5898" s="183" t="n">
        <v>0</v>
      </c>
      <c r="T5898" s="183" t="n">
        <v>0</v>
      </c>
      <c r="U5898" s="182" t="n">
        <v>0</v>
      </c>
      <c r="V5898" s="182" t="n">
        <v>0</v>
      </c>
      <c r="W5898" s="182" t="n">
        <v>0</v>
      </c>
      <c r="X5898" s="182" t="n">
        <v>1</v>
      </c>
      <c r="Y5898" s="182" t="n">
        <v>0</v>
      </c>
      <c r="Z5898" s="182" t="n">
        <v>0</v>
      </c>
      <c r="AA5898" s="182" t="n">
        <v>0</v>
      </c>
      <c r="AB5898" s="182" t="n">
        <v>0</v>
      </c>
      <c r="AC5898" s="182" t="n">
        <v>0</v>
      </c>
      <c r="AD5898" s="182" t="n">
        <v>0</v>
      </c>
      <c r="AE5898" s="182" t="n">
        <v>0</v>
      </c>
      <c r="AF5898" s="182" t="n">
        <v>0</v>
      </c>
      <c r="AG5898" s="182" t="n">
        <v>0</v>
      </c>
      <c r="AH5898" s="182" t="n">
        <v>0</v>
      </c>
      <c r="AI5898" s="182" t="n">
        <v>0</v>
      </c>
      <c r="AJ5898" s="182" t="n">
        <v>0</v>
      </c>
      <c r="AK5898" s="182" t="n">
        <v>10.92</v>
      </c>
      <c r="AL5898" s="182" t="n">
        <v>0</v>
      </c>
      <c r="AM5898" s="182" t="n">
        <v>0.08</v>
      </c>
      <c r="AN5898" s="182" t="n">
        <v>0</v>
      </c>
    </row>
    <row r="5899">
      <c r="A5899" s="155" t="n">
        <v>46108</v>
      </c>
      <c r="B5899" s="156" t="inlineStr">
        <is>
          <t>NS</t>
        </is>
      </c>
      <c r="C5899" s="156" t="inlineStr">
        <is>
          <t>DT-804</t>
        </is>
      </c>
      <c r="D5899" s="156" t="inlineStr">
        <is>
          <t>SKT 80S</t>
        </is>
      </c>
      <c r="E5899" s="156" t="inlineStr">
        <is>
          <t>Hauler</t>
        </is>
      </c>
      <c r="F5899" s="156" t="inlineStr">
        <is>
          <t>Rehandling Lumpur WP</t>
        </is>
      </c>
      <c r="G5899" s="182" t="n">
        <v>5.96</v>
      </c>
      <c r="H5899" s="182" t="n">
        <v>0</v>
      </c>
      <c r="I5899" s="182" t="n">
        <v>0</v>
      </c>
      <c r="J5899" s="182" t="n">
        <v>0</v>
      </c>
      <c r="K5899" s="182" t="n">
        <v>6.04</v>
      </c>
      <c r="L5899" s="182" t="n">
        <v>12</v>
      </c>
      <c r="M5899" s="182" t="n">
        <v>0</v>
      </c>
      <c r="N5899" s="182" t="n">
        <v>0</v>
      </c>
      <c r="O5899" s="183" t="n">
        <v>0</v>
      </c>
      <c r="P5899" s="183" t="n">
        <v>0</v>
      </c>
      <c r="Q5899" s="184" t="n">
        <v>0</v>
      </c>
      <c r="R5899" s="184" t="n">
        <v>0</v>
      </c>
      <c r="S5899" s="183" t="n">
        <v>0</v>
      </c>
      <c r="T5899" s="183" t="n">
        <v>0</v>
      </c>
      <c r="U5899" s="182" t="n">
        <v>0</v>
      </c>
      <c r="V5899" s="182" t="n">
        <v>0</v>
      </c>
      <c r="W5899" s="182" t="n">
        <v>0</v>
      </c>
      <c r="X5899" s="182" t="n">
        <v>1.1</v>
      </c>
      <c r="Y5899" s="182" t="n">
        <v>0</v>
      </c>
      <c r="Z5899" s="182" t="n">
        <v>0</v>
      </c>
      <c r="AA5899" s="182" t="n">
        <v>0</v>
      </c>
      <c r="AB5899" s="182" t="n">
        <v>0</v>
      </c>
      <c r="AC5899" s="182" t="n">
        <v>0</v>
      </c>
      <c r="AD5899" s="182" t="n">
        <v>0</v>
      </c>
      <c r="AE5899" s="182" t="n">
        <v>0</v>
      </c>
      <c r="AF5899" s="182" t="n">
        <v>0</v>
      </c>
      <c r="AG5899" s="182" t="n">
        <v>0</v>
      </c>
      <c r="AH5899" s="182" t="n">
        <v>0</v>
      </c>
      <c r="AI5899" s="182" t="n">
        <v>0</v>
      </c>
      <c r="AJ5899" s="182" t="n">
        <v>0</v>
      </c>
      <c r="AK5899" s="182" t="n">
        <v>1.56</v>
      </c>
      <c r="AL5899" s="182" t="n">
        <v>3.29</v>
      </c>
      <c r="AM5899" s="182" t="n">
        <v>0.09</v>
      </c>
      <c r="AN5899" s="182" t="n">
        <v>0</v>
      </c>
    </row>
    <row r="5900">
      <c r="A5900" s="155" t="n">
        <v>46108</v>
      </c>
      <c r="B5900" s="156" t="inlineStr">
        <is>
          <t>NS</t>
        </is>
      </c>
      <c r="C5900" s="156" t="inlineStr">
        <is>
          <t>DT-505</t>
        </is>
      </c>
      <c r="D5900" s="156" t="inlineStr">
        <is>
          <t>SKT 105S</t>
        </is>
      </c>
      <c r="E5900" s="156" t="inlineStr">
        <is>
          <t>Hauler</t>
        </is>
      </c>
      <c r="F5900" s="156" t="inlineStr"/>
      <c r="G5900" s="182" t="n">
        <v>0</v>
      </c>
      <c r="H5900" s="182" t="n">
        <v>0</v>
      </c>
      <c r="I5900" s="182" t="n">
        <v>3.75</v>
      </c>
      <c r="J5900" s="182" t="n">
        <v>3.75</v>
      </c>
      <c r="K5900" s="182" t="n">
        <v>8.25</v>
      </c>
      <c r="L5900" s="182" t="n">
        <v>12</v>
      </c>
      <c r="M5900" s="182" t="n">
        <v>0</v>
      </c>
      <c r="N5900" s="182" t="n">
        <v>0</v>
      </c>
      <c r="O5900" s="183" t="n">
        <v>0</v>
      </c>
      <c r="P5900" s="183" t="n">
        <v>0</v>
      </c>
      <c r="Q5900" s="184" t="n">
        <v>0</v>
      </c>
      <c r="R5900" s="184" t="n">
        <v>0</v>
      </c>
      <c r="S5900" s="183" t="n">
        <v>0</v>
      </c>
      <c r="T5900" s="183" t="n">
        <v>0</v>
      </c>
      <c r="U5900" s="182" t="n">
        <v>0</v>
      </c>
      <c r="V5900" s="182" t="n">
        <v>0</v>
      </c>
      <c r="W5900" s="182" t="n">
        <v>0</v>
      </c>
      <c r="X5900" s="182" t="n">
        <v>1</v>
      </c>
      <c r="Y5900" s="182" t="n">
        <v>0</v>
      </c>
      <c r="Z5900" s="182" t="n">
        <v>0</v>
      </c>
      <c r="AA5900" s="182" t="n">
        <v>0</v>
      </c>
      <c r="AB5900" s="182" t="n">
        <v>0</v>
      </c>
      <c r="AC5900" s="182" t="n">
        <v>0</v>
      </c>
      <c r="AD5900" s="182" t="n">
        <v>0</v>
      </c>
      <c r="AE5900" s="182" t="n">
        <v>0</v>
      </c>
      <c r="AF5900" s="182" t="n">
        <v>0</v>
      </c>
      <c r="AG5900" s="182" t="n">
        <v>0</v>
      </c>
      <c r="AH5900" s="182" t="n">
        <v>0</v>
      </c>
      <c r="AI5900" s="182" t="n">
        <v>0</v>
      </c>
      <c r="AJ5900" s="182" t="n">
        <v>0</v>
      </c>
      <c r="AK5900" s="182" t="n">
        <v>0</v>
      </c>
      <c r="AL5900" s="182" t="n">
        <v>7.17</v>
      </c>
      <c r="AM5900" s="182" t="n">
        <v>0.08</v>
      </c>
      <c r="AN5900" s="182" t="n">
        <v>0</v>
      </c>
    </row>
    <row r="5901">
      <c r="A5901" s="155" t="n">
        <v>46108</v>
      </c>
      <c r="B5901" s="156" t="inlineStr">
        <is>
          <t>NS</t>
        </is>
      </c>
      <c r="C5901" s="156" t="inlineStr">
        <is>
          <t>DT-530</t>
        </is>
      </c>
      <c r="D5901" s="156" t="inlineStr">
        <is>
          <t>SKT 105S</t>
        </is>
      </c>
      <c r="E5901" s="156" t="inlineStr">
        <is>
          <t>Hauler</t>
        </is>
      </c>
      <c r="F5901" s="156" t="inlineStr"/>
      <c r="G5901" s="182" t="n">
        <v>0</v>
      </c>
      <c r="H5901" s="182" t="n">
        <v>0</v>
      </c>
      <c r="I5901" s="182" t="n">
        <v>12</v>
      </c>
      <c r="J5901" s="182" t="n">
        <v>12</v>
      </c>
      <c r="K5901" s="182" t="n">
        <v>0</v>
      </c>
      <c r="L5901" s="182" t="n">
        <v>12</v>
      </c>
      <c r="M5901" s="182" t="n">
        <v>0</v>
      </c>
      <c r="N5901" s="182" t="n">
        <v>0</v>
      </c>
      <c r="O5901" s="183" t="n">
        <v>0</v>
      </c>
      <c r="P5901" s="183" t="n">
        <v>0</v>
      </c>
      <c r="Q5901" s="184" t="n">
        <v>0</v>
      </c>
      <c r="R5901" s="184" t="n">
        <v>0</v>
      </c>
      <c r="S5901" s="183" t="n">
        <v>0</v>
      </c>
      <c r="T5901" s="183" t="n">
        <v>0</v>
      </c>
      <c r="U5901" s="182" t="n">
        <v>0</v>
      </c>
      <c r="V5901" s="182" t="n">
        <v>0</v>
      </c>
      <c r="W5901" s="182" t="n">
        <v>0</v>
      </c>
      <c r="X5901" s="182" t="n">
        <v>0</v>
      </c>
      <c r="Y5901" s="182" t="n">
        <v>0</v>
      </c>
      <c r="Z5901" s="182" t="n">
        <v>0</v>
      </c>
      <c r="AA5901" s="182" t="n">
        <v>0</v>
      </c>
      <c r="AB5901" s="182" t="n">
        <v>0</v>
      </c>
      <c r="AC5901" s="182" t="n">
        <v>0</v>
      </c>
      <c r="AD5901" s="182" t="n">
        <v>0</v>
      </c>
      <c r="AE5901" s="182" t="n">
        <v>0</v>
      </c>
      <c r="AF5901" s="182" t="n">
        <v>0</v>
      </c>
      <c r="AG5901" s="182" t="n">
        <v>0</v>
      </c>
      <c r="AH5901" s="182" t="n">
        <v>0</v>
      </c>
      <c r="AI5901" s="182" t="n">
        <v>0</v>
      </c>
      <c r="AJ5901" s="182" t="n">
        <v>0</v>
      </c>
      <c r="AK5901" s="182" t="n">
        <v>0</v>
      </c>
      <c r="AL5901" s="182" t="n">
        <v>0</v>
      </c>
      <c r="AM5901" s="182" t="n">
        <v>0</v>
      </c>
      <c r="AN5901" s="182" t="n">
        <v>0</v>
      </c>
    </row>
    <row r="5902">
      <c r="A5902" s="155" t="n">
        <v>46108</v>
      </c>
      <c r="B5902" s="156" t="inlineStr">
        <is>
          <t>NS</t>
        </is>
      </c>
      <c r="C5902" s="156" t="inlineStr">
        <is>
          <t>DT-525</t>
        </is>
      </c>
      <c r="D5902" s="156" t="inlineStr">
        <is>
          <t>SKT 105S</t>
        </is>
      </c>
      <c r="E5902" s="156" t="inlineStr">
        <is>
          <t>Hauler</t>
        </is>
      </c>
      <c r="F5902" s="156" t="inlineStr"/>
      <c r="G5902" s="182" t="n">
        <v>0</v>
      </c>
      <c r="H5902" s="182" t="n">
        <v>0</v>
      </c>
      <c r="I5902" s="182" t="n">
        <v>12</v>
      </c>
      <c r="J5902" s="182" t="n">
        <v>12</v>
      </c>
      <c r="K5902" s="182" t="n">
        <v>0</v>
      </c>
      <c r="L5902" s="182" t="n">
        <v>12</v>
      </c>
      <c r="M5902" s="182" t="n">
        <v>0</v>
      </c>
      <c r="N5902" s="182" t="n">
        <v>0</v>
      </c>
      <c r="O5902" s="183" t="n">
        <v>0</v>
      </c>
      <c r="P5902" s="183" t="n">
        <v>0</v>
      </c>
      <c r="Q5902" s="184" t="n">
        <v>0</v>
      </c>
      <c r="R5902" s="184" t="n">
        <v>0</v>
      </c>
      <c r="S5902" s="183" t="n">
        <v>0</v>
      </c>
      <c r="T5902" s="183" t="n">
        <v>0</v>
      </c>
      <c r="U5902" s="182" t="n">
        <v>0</v>
      </c>
      <c r="V5902" s="182" t="n">
        <v>0</v>
      </c>
      <c r="W5902" s="182" t="n">
        <v>0</v>
      </c>
      <c r="X5902" s="182" t="n">
        <v>0</v>
      </c>
      <c r="Y5902" s="182" t="n">
        <v>0</v>
      </c>
      <c r="Z5902" s="182" t="n">
        <v>0</v>
      </c>
      <c r="AA5902" s="182" t="n">
        <v>0</v>
      </c>
      <c r="AB5902" s="182" t="n">
        <v>0</v>
      </c>
      <c r="AC5902" s="182" t="n">
        <v>0</v>
      </c>
      <c r="AD5902" s="182" t="n">
        <v>0</v>
      </c>
      <c r="AE5902" s="182" t="n">
        <v>0</v>
      </c>
      <c r="AF5902" s="182" t="n">
        <v>0</v>
      </c>
      <c r="AG5902" s="182" t="n">
        <v>0</v>
      </c>
      <c r="AH5902" s="182" t="n">
        <v>0</v>
      </c>
      <c r="AI5902" s="182" t="n">
        <v>0</v>
      </c>
      <c r="AJ5902" s="182" t="n">
        <v>0</v>
      </c>
      <c r="AK5902" s="182" t="n">
        <v>0</v>
      </c>
      <c r="AL5902" s="182" t="n">
        <v>0</v>
      </c>
      <c r="AM5902" s="182" t="n">
        <v>0</v>
      </c>
      <c r="AN5902" s="182" t="n">
        <v>0</v>
      </c>
    </row>
    <row r="5903">
      <c r="A5903" s="155" t="n">
        <v>46108</v>
      </c>
      <c r="B5903" s="156" t="inlineStr">
        <is>
          <t>NS</t>
        </is>
      </c>
      <c r="C5903" s="156" t="inlineStr">
        <is>
          <t>DT-503</t>
        </is>
      </c>
      <c r="D5903" s="156" t="inlineStr">
        <is>
          <t>SKT 105S</t>
        </is>
      </c>
      <c r="E5903" s="156" t="inlineStr">
        <is>
          <t>Hauler</t>
        </is>
      </c>
      <c r="F5903" s="156" t="inlineStr">
        <is>
          <t>Hauling OB</t>
        </is>
      </c>
      <c r="G5903" s="182" t="n">
        <v>6.96</v>
      </c>
      <c r="H5903" s="182" t="n">
        <v>0</v>
      </c>
      <c r="I5903" s="182" t="n">
        <v>0.5</v>
      </c>
      <c r="J5903" s="182" t="n">
        <v>0.5</v>
      </c>
      <c r="K5903" s="182" t="n">
        <v>4.54</v>
      </c>
      <c r="L5903" s="182" t="n">
        <v>12</v>
      </c>
      <c r="M5903" s="182" t="n">
        <v>6.96</v>
      </c>
      <c r="N5903" s="182" t="n">
        <v>0</v>
      </c>
      <c r="O5903" s="183" t="n">
        <v>21</v>
      </c>
      <c r="P5903" s="183" t="n">
        <v>0</v>
      </c>
      <c r="Q5903" s="184" t="n">
        <v>428.4</v>
      </c>
      <c r="R5903" s="184" t="n">
        <v>0</v>
      </c>
      <c r="S5903" s="183" t="n">
        <v>0</v>
      </c>
      <c r="T5903" s="183" t="n">
        <v>0</v>
      </c>
      <c r="U5903" s="182" t="n">
        <v>0</v>
      </c>
      <c r="V5903" s="182" t="n">
        <v>0</v>
      </c>
      <c r="W5903" s="182" t="n">
        <v>0</v>
      </c>
      <c r="X5903" s="182" t="n">
        <v>1.06</v>
      </c>
      <c r="Y5903" s="182" t="n">
        <v>0</v>
      </c>
      <c r="Z5903" s="182" t="n">
        <v>0</v>
      </c>
      <c r="AA5903" s="182" t="n">
        <v>0</v>
      </c>
      <c r="AB5903" s="182" t="n">
        <v>0</v>
      </c>
      <c r="AC5903" s="182" t="n">
        <v>0</v>
      </c>
      <c r="AD5903" s="182" t="n">
        <v>0</v>
      </c>
      <c r="AE5903" s="182" t="n">
        <v>0</v>
      </c>
      <c r="AF5903" s="182" t="n">
        <v>0</v>
      </c>
      <c r="AG5903" s="182" t="n">
        <v>0</v>
      </c>
      <c r="AH5903" s="182" t="n">
        <v>0.02</v>
      </c>
      <c r="AI5903" s="182" t="n">
        <v>0</v>
      </c>
      <c r="AJ5903" s="182" t="n">
        <v>0</v>
      </c>
      <c r="AK5903" s="182" t="n">
        <v>0</v>
      </c>
      <c r="AL5903" s="182" t="n">
        <v>3.38</v>
      </c>
      <c r="AM5903" s="182" t="n">
        <v>0.08</v>
      </c>
      <c r="AN5903" s="182" t="n">
        <v>0</v>
      </c>
    </row>
    <row r="5904">
      <c r="A5904" s="155" t="n">
        <v>46108</v>
      </c>
      <c r="B5904" s="156" t="inlineStr">
        <is>
          <t>NS</t>
        </is>
      </c>
      <c r="C5904" s="156" t="inlineStr">
        <is>
          <t>DT-504</t>
        </is>
      </c>
      <c r="D5904" s="156" t="inlineStr">
        <is>
          <t>SKT 105S</t>
        </is>
      </c>
      <c r="E5904" s="156" t="inlineStr">
        <is>
          <t>Hauler</t>
        </is>
      </c>
      <c r="F5904" s="156" t="inlineStr">
        <is>
          <t>Hauling OB &amp; Coal</t>
        </is>
      </c>
      <c r="G5904" s="182" t="n">
        <v>6.96</v>
      </c>
      <c r="H5904" s="182" t="n">
        <v>0</v>
      </c>
      <c r="I5904" s="182" t="n">
        <v>0</v>
      </c>
      <c r="J5904" s="182" t="n">
        <v>0</v>
      </c>
      <c r="K5904" s="182" t="n">
        <v>5.04</v>
      </c>
      <c r="L5904" s="182" t="n">
        <v>12</v>
      </c>
      <c r="M5904" s="182" t="n">
        <v>6.64</v>
      </c>
      <c r="N5904" s="182" t="n">
        <v>0.32</v>
      </c>
      <c r="O5904" s="183" t="n">
        <v>23</v>
      </c>
      <c r="P5904" s="183" t="n">
        <v>1</v>
      </c>
      <c r="Q5904" s="184" t="n">
        <v>469.2</v>
      </c>
      <c r="R5904" s="184" t="n">
        <v>18.7</v>
      </c>
      <c r="S5904" s="183" t="n">
        <v>0</v>
      </c>
      <c r="T5904" s="183" t="n">
        <v>0</v>
      </c>
      <c r="U5904" s="182" t="n">
        <v>0</v>
      </c>
      <c r="V5904" s="182" t="n">
        <v>0</v>
      </c>
      <c r="W5904" s="182" t="n">
        <v>0</v>
      </c>
      <c r="X5904" s="182" t="n">
        <v>1.03</v>
      </c>
      <c r="Y5904" s="182" t="n">
        <v>0</v>
      </c>
      <c r="Z5904" s="182" t="n">
        <v>0.07000000000000001</v>
      </c>
      <c r="AA5904" s="182" t="n">
        <v>0</v>
      </c>
      <c r="AB5904" s="182" t="n">
        <v>0</v>
      </c>
      <c r="AC5904" s="182" t="n">
        <v>0</v>
      </c>
      <c r="AD5904" s="182" t="n">
        <v>0</v>
      </c>
      <c r="AE5904" s="182" t="n">
        <v>0</v>
      </c>
      <c r="AF5904" s="182" t="n">
        <v>0</v>
      </c>
      <c r="AG5904" s="182" t="n">
        <v>0</v>
      </c>
      <c r="AH5904" s="182" t="n">
        <v>0.57</v>
      </c>
      <c r="AI5904" s="182" t="n">
        <v>0</v>
      </c>
      <c r="AJ5904" s="182" t="n">
        <v>0</v>
      </c>
      <c r="AK5904" s="182" t="n">
        <v>0</v>
      </c>
      <c r="AL5904" s="182" t="n">
        <v>3.29</v>
      </c>
      <c r="AM5904" s="182" t="n">
        <v>0.08</v>
      </c>
      <c r="AN5904" s="182" t="n">
        <v>0</v>
      </c>
    </row>
    <row r="5905">
      <c r="A5905" s="155" t="n">
        <v>46108</v>
      </c>
      <c r="B5905" s="156" t="inlineStr">
        <is>
          <t>NS</t>
        </is>
      </c>
      <c r="C5905" s="156" t="inlineStr">
        <is>
          <t>DT-507</t>
        </is>
      </c>
      <c r="D5905" s="156" t="inlineStr">
        <is>
          <t>SKT 105S</t>
        </is>
      </c>
      <c r="E5905" s="156" t="inlineStr">
        <is>
          <t>Hauler</t>
        </is>
      </c>
      <c r="F5905" s="156" t="inlineStr"/>
      <c r="G5905" s="182" t="n">
        <v>0</v>
      </c>
      <c r="H5905" s="182" t="n">
        <v>0</v>
      </c>
      <c r="I5905" s="182" t="n">
        <v>12</v>
      </c>
      <c r="J5905" s="182" t="n">
        <v>12</v>
      </c>
      <c r="K5905" s="182" t="n">
        <v>0</v>
      </c>
      <c r="L5905" s="182" t="n">
        <v>12</v>
      </c>
      <c r="M5905" s="182" t="n">
        <v>0</v>
      </c>
      <c r="N5905" s="182" t="n">
        <v>0</v>
      </c>
      <c r="O5905" s="183" t="n">
        <v>0</v>
      </c>
      <c r="P5905" s="183" t="n">
        <v>0</v>
      </c>
      <c r="Q5905" s="184" t="n">
        <v>0</v>
      </c>
      <c r="R5905" s="184" t="n">
        <v>0</v>
      </c>
      <c r="S5905" s="183" t="n">
        <v>0</v>
      </c>
      <c r="T5905" s="183" t="n">
        <v>0</v>
      </c>
      <c r="U5905" s="182" t="n">
        <v>0</v>
      </c>
      <c r="V5905" s="182" t="n">
        <v>0</v>
      </c>
      <c r="W5905" s="182" t="n">
        <v>0</v>
      </c>
      <c r="X5905" s="182" t="n">
        <v>0</v>
      </c>
      <c r="Y5905" s="182" t="n">
        <v>0</v>
      </c>
      <c r="Z5905" s="182" t="n">
        <v>0</v>
      </c>
      <c r="AA5905" s="182" t="n">
        <v>0</v>
      </c>
      <c r="AB5905" s="182" t="n">
        <v>0</v>
      </c>
      <c r="AC5905" s="182" t="n">
        <v>0</v>
      </c>
      <c r="AD5905" s="182" t="n">
        <v>0</v>
      </c>
      <c r="AE5905" s="182" t="n">
        <v>0</v>
      </c>
      <c r="AF5905" s="182" t="n">
        <v>0</v>
      </c>
      <c r="AG5905" s="182" t="n">
        <v>0</v>
      </c>
      <c r="AH5905" s="182" t="n">
        <v>0</v>
      </c>
      <c r="AI5905" s="182" t="n">
        <v>0</v>
      </c>
      <c r="AJ5905" s="182" t="n">
        <v>0</v>
      </c>
      <c r="AK5905" s="182" t="n">
        <v>0</v>
      </c>
      <c r="AL5905" s="182" t="n">
        <v>0</v>
      </c>
      <c r="AM5905" s="182" t="n">
        <v>0</v>
      </c>
      <c r="AN5905" s="182" t="n">
        <v>0</v>
      </c>
    </row>
    <row r="5906">
      <c r="A5906" s="155" t="n">
        <v>46108</v>
      </c>
      <c r="B5906" s="156" t="inlineStr">
        <is>
          <t>NS</t>
        </is>
      </c>
      <c r="C5906" s="156" t="inlineStr">
        <is>
          <t>DT-501</t>
        </is>
      </c>
      <c r="D5906" s="156" t="inlineStr">
        <is>
          <t>SKT 105S</t>
        </is>
      </c>
      <c r="E5906" s="156" t="inlineStr">
        <is>
          <t>Hauler</t>
        </is>
      </c>
      <c r="F5906" s="156" t="inlineStr">
        <is>
          <t>Hauling OB</t>
        </is>
      </c>
      <c r="G5906" s="182" t="n">
        <v>5.43</v>
      </c>
      <c r="H5906" s="182" t="n">
        <v>0</v>
      </c>
      <c r="I5906" s="182" t="n">
        <v>0</v>
      </c>
      <c r="J5906" s="182" t="n">
        <v>0</v>
      </c>
      <c r="K5906" s="182" t="n">
        <v>6.57</v>
      </c>
      <c r="L5906" s="182" t="n">
        <v>12</v>
      </c>
      <c r="M5906" s="182" t="n">
        <v>5.43</v>
      </c>
      <c r="N5906" s="182" t="n">
        <v>0</v>
      </c>
      <c r="O5906" s="183" t="n">
        <v>20</v>
      </c>
      <c r="P5906" s="183" t="n">
        <v>0</v>
      </c>
      <c r="Q5906" s="184" t="n">
        <v>408</v>
      </c>
      <c r="R5906" s="184" t="n">
        <v>0</v>
      </c>
      <c r="S5906" s="183" t="n">
        <v>0</v>
      </c>
      <c r="T5906" s="183" t="n">
        <v>0</v>
      </c>
      <c r="U5906" s="182" t="n">
        <v>0</v>
      </c>
      <c r="V5906" s="182" t="n">
        <v>0</v>
      </c>
      <c r="W5906" s="182" t="n">
        <v>0</v>
      </c>
      <c r="X5906" s="182" t="n">
        <v>1.03</v>
      </c>
      <c r="Y5906" s="182" t="n">
        <v>0</v>
      </c>
      <c r="Z5906" s="182" t="n">
        <v>0.07000000000000001</v>
      </c>
      <c r="AA5906" s="182" t="n">
        <v>0</v>
      </c>
      <c r="AB5906" s="182" t="n">
        <v>0</v>
      </c>
      <c r="AC5906" s="182" t="n">
        <v>0</v>
      </c>
      <c r="AD5906" s="182" t="n">
        <v>0</v>
      </c>
      <c r="AE5906" s="182" t="n">
        <v>0</v>
      </c>
      <c r="AF5906" s="182" t="n">
        <v>0</v>
      </c>
      <c r="AG5906" s="182" t="n">
        <v>0</v>
      </c>
      <c r="AH5906" s="182" t="n">
        <v>0.26</v>
      </c>
      <c r="AI5906" s="182" t="n">
        <v>0</v>
      </c>
      <c r="AJ5906" s="182" t="n">
        <v>0</v>
      </c>
      <c r="AK5906" s="182" t="n">
        <v>0</v>
      </c>
      <c r="AL5906" s="182" t="n">
        <v>5.13</v>
      </c>
      <c r="AM5906" s="182" t="n">
        <v>0.08</v>
      </c>
      <c r="AN5906" s="182" t="n">
        <v>0</v>
      </c>
    </row>
    <row r="5907">
      <c r="A5907" s="155" t="n">
        <v>46108</v>
      </c>
      <c r="B5907" s="156" t="inlineStr">
        <is>
          <t>NS</t>
        </is>
      </c>
      <c r="C5907" s="156" t="inlineStr">
        <is>
          <t>DT-518</t>
        </is>
      </c>
      <c r="D5907" s="156" t="inlineStr">
        <is>
          <t>SKT 105S</t>
        </is>
      </c>
      <c r="E5907" s="156" t="inlineStr">
        <is>
          <t>Hauler</t>
        </is>
      </c>
      <c r="F5907" s="156" t="inlineStr">
        <is>
          <t>Hauling OB &amp; Coal</t>
        </is>
      </c>
      <c r="G5907" s="182" t="n">
        <v>7.2</v>
      </c>
      <c r="H5907" s="182" t="n">
        <v>0</v>
      </c>
      <c r="I5907" s="182" t="n">
        <v>0</v>
      </c>
      <c r="J5907" s="182" t="n">
        <v>0</v>
      </c>
      <c r="K5907" s="182" t="n">
        <v>4.8</v>
      </c>
      <c r="L5907" s="182" t="n">
        <v>12</v>
      </c>
      <c r="M5907" s="182" t="n">
        <v>3.08</v>
      </c>
      <c r="N5907" s="182" t="n">
        <v>4.11</v>
      </c>
      <c r="O5907" s="183" t="n">
        <v>5</v>
      </c>
      <c r="P5907" s="183" t="n">
        <v>10</v>
      </c>
      <c r="Q5907" s="184" t="n">
        <v>98.59999999999999</v>
      </c>
      <c r="R5907" s="184" t="n">
        <v>187</v>
      </c>
      <c r="S5907" s="183" t="n">
        <v>0</v>
      </c>
      <c r="T5907" s="183" t="n">
        <v>0</v>
      </c>
      <c r="U5907" s="182" t="n">
        <v>0</v>
      </c>
      <c r="V5907" s="182" t="n">
        <v>0</v>
      </c>
      <c r="W5907" s="182" t="n">
        <v>0</v>
      </c>
      <c r="X5907" s="182" t="n">
        <v>0.96</v>
      </c>
      <c r="Y5907" s="182" t="n">
        <v>0</v>
      </c>
      <c r="Z5907" s="182" t="n">
        <v>0.07000000000000001</v>
      </c>
      <c r="AA5907" s="182" t="n">
        <v>0</v>
      </c>
      <c r="AB5907" s="182" t="n">
        <v>0</v>
      </c>
      <c r="AC5907" s="182" t="n">
        <v>0</v>
      </c>
      <c r="AD5907" s="182" t="n">
        <v>1.01</v>
      </c>
      <c r="AE5907" s="182" t="n">
        <v>0</v>
      </c>
      <c r="AF5907" s="182" t="n">
        <v>0</v>
      </c>
      <c r="AG5907" s="182" t="n">
        <v>0.6</v>
      </c>
      <c r="AH5907" s="182" t="n">
        <v>0.64</v>
      </c>
      <c r="AI5907" s="182" t="n">
        <v>0</v>
      </c>
      <c r="AJ5907" s="182" t="n">
        <v>0</v>
      </c>
      <c r="AK5907" s="182" t="n">
        <v>0</v>
      </c>
      <c r="AL5907" s="182" t="n">
        <v>1.44</v>
      </c>
      <c r="AM5907" s="182" t="n">
        <v>0.08</v>
      </c>
      <c r="AN5907" s="182" t="n">
        <v>0</v>
      </c>
    </row>
    <row r="5908">
      <c r="A5908" s="155" t="n">
        <v>46108</v>
      </c>
      <c r="B5908" s="156" t="inlineStr">
        <is>
          <t>NS</t>
        </is>
      </c>
      <c r="C5908" s="156" t="inlineStr">
        <is>
          <t>DT-514</t>
        </is>
      </c>
      <c r="D5908" s="156" t="inlineStr">
        <is>
          <t>SKT 105S</t>
        </is>
      </c>
      <c r="E5908" s="156" t="inlineStr">
        <is>
          <t>Hauler</t>
        </is>
      </c>
      <c r="F5908" s="156" t="inlineStr"/>
      <c r="G5908" s="182" t="n">
        <v>0</v>
      </c>
      <c r="H5908" s="182" t="n">
        <v>0</v>
      </c>
      <c r="I5908" s="182" t="n">
        <v>2.5</v>
      </c>
      <c r="J5908" s="182" t="n">
        <v>2.5</v>
      </c>
      <c r="K5908" s="182" t="n">
        <v>9.5</v>
      </c>
      <c r="L5908" s="182" t="n">
        <v>12</v>
      </c>
      <c r="M5908" s="182" t="n">
        <v>0</v>
      </c>
      <c r="N5908" s="182" t="n">
        <v>0</v>
      </c>
      <c r="O5908" s="183" t="n">
        <v>0</v>
      </c>
      <c r="P5908" s="183" t="n">
        <v>0</v>
      </c>
      <c r="Q5908" s="184" t="n">
        <v>0</v>
      </c>
      <c r="R5908" s="184" t="n">
        <v>0</v>
      </c>
      <c r="S5908" s="183" t="n">
        <v>0</v>
      </c>
      <c r="T5908" s="183" t="n">
        <v>0</v>
      </c>
      <c r="U5908" s="182" t="n">
        <v>0</v>
      </c>
      <c r="V5908" s="182" t="n">
        <v>0</v>
      </c>
      <c r="W5908" s="182" t="n">
        <v>0</v>
      </c>
      <c r="X5908" s="182" t="n">
        <v>1</v>
      </c>
      <c r="Y5908" s="182" t="n">
        <v>0</v>
      </c>
      <c r="Z5908" s="182" t="n">
        <v>0</v>
      </c>
      <c r="AA5908" s="182" t="n">
        <v>0</v>
      </c>
      <c r="AB5908" s="182" t="n">
        <v>0</v>
      </c>
      <c r="AC5908" s="182" t="n">
        <v>0</v>
      </c>
      <c r="AD5908" s="182" t="n">
        <v>0</v>
      </c>
      <c r="AE5908" s="182" t="n">
        <v>0</v>
      </c>
      <c r="AF5908" s="182" t="n">
        <v>0</v>
      </c>
      <c r="AG5908" s="182" t="n">
        <v>0</v>
      </c>
      <c r="AH5908" s="182" t="n">
        <v>0</v>
      </c>
      <c r="AI5908" s="182" t="n">
        <v>0</v>
      </c>
      <c r="AJ5908" s="182" t="n">
        <v>0</v>
      </c>
      <c r="AK5908" s="182" t="n">
        <v>8.42</v>
      </c>
      <c r="AL5908" s="182" t="n">
        <v>0</v>
      </c>
      <c r="AM5908" s="182" t="n">
        <v>0.08</v>
      </c>
      <c r="AN5908" s="182" t="n">
        <v>0</v>
      </c>
    </row>
    <row r="5909">
      <c r="A5909" s="155" t="n">
        <v>46108</v>
      </c>
      <c r="B5909" s="156" t="inlineStr">
        <is>
          <t>NS</t>
        </is>
      </c>
      <c r="C5909" s="156" t="inlineStr">
        <is>
          <t>DT-523</t>
        </is>
      </c>
      <c r="D5909" s="156" t="inlineStr">
        <is>
          <t>SKT 105S</t>
        </is>
      </c>
      <c r="E5909" s="156" t="inlineStr">
        <is>
          <t>Hauler</t>
        </is>
      </c>
      <c r="F5909" s="156" t="inlineStr">
        <is>
          <t>Hauling OB &amp; Coal</t>
        </is>
      </c>
      <c r="G5909" s="182" t="n">
        <v>6.75</v>
      </c>
      <c r="H5909" s="182" t="n">
        <v>0</v>
      </c>
      <c r="I5909" s="182" t="n">
        <v>0</v>
      </c>
      <c r="J5909" s="182" t="n">
        <v>0</v>
      </c>
      <c r="K5909" s="182" t="n">
        <v>5.25</v>
      </c>
      <c r="L5909" s="182" t="n">
        <v>12</v>
      </c>
      <c r="M5909" s="182" t="n">
        <v>6.75</v>
      </c>
      <c r="N5909" s="182" t="n">
        <v>0</v>
      </c>
      <c r="O5909" s="183" t="n">
        <v>20</v>
      </c>
      <c r="P5909" s="183" t="n">
        <v>0</v>
      </c>
      <c r="Q5909" s="184" t="n">
        <v>408</v>
      </c>
      <c r="R5909" s="184" t="n">
        <v>0</v>
      </c>
      <c r="S5909" s="183" t="n">
        <v>0</v>
      </c>
      <c r="T5909" s="183" t="n">
        <v>0</v>
      </c>
      <c r="U5909" s="182" t="n">
        <v>0</v>
      </c>
      <c r="V5909" s="182" t="n">
        <v>0</v>
      </c>
      <c r="W5909" s="182" t="n">
        <v>0</v>
      </c>
      <c r="X5909" s="182" t="n">
        <v>1.03</v>
      </c>
      <c r="Y5909" s="182" t="n">
        <v>0</v>
      </c>
      <c r="Z5909" s="182" t="n">
        <v>0.07000000000000001</v>
      </c>
      <c r="AA5909" s="182" t="n">
        <v>0</v>
      </c>
      <c r="AB5909" s="182" t="n">
        <v>0</v>
      </c>
      <c r="AC5909" s="182" t="n">
        <v>0</v>
      </c>
      <c r="AD5909" s="182" t="n">
        <v>0</v>
      </c>
      <c r="AE5909" s="182" t="n">
        <v>0</v>
      </c>
      <c r="AF5909" s="182" t="n">
        <v>0</v>
      </c>
      <c r="AG5909" s="182" t="n">
        <v>0</v>
      </c>
      <c r="AH5909" s="182" t="n">
        <v>0.77</v>
      </c>
      <c r="AI5909" s="182" t="n">
        <v>0</v>
      </c>
      <c r="AJ5909" s="182" t="n">
        <v>0</v>
      </c>
      <c r="AK5909" s="182" t="n">
        <v>0</v>
      </c>
      <c r="AL5909" s="182" t="n">
        <v>3.29</v>
      </c>
      <c r="AM5909" s="182" t="n">
        <v>0.08</v>
      </c>
      <c r="AN5909" s="182" t="n">
        <v>0</v>
      </c>
    </row>
    <row r="5910">
      <c r="A5910" s="155" t="n">
        <v>46108</v>
      </c>
      <c r="B5910" s="156" t="inlineStr">
        <is>
          <t>NS</t>
        </is>
      </c>
      <c r="C5910" s="156" t="inlineStr">
        <is>
          <t>DT-519</t>
        </is>
      </c>
      <c r="D5910" s="156" t="inlineStr">
        <is>
          <t>SKT 105S</t>
        </is>
      </c>
      <c r="E5910" s="156" t="inlineStr">
        <is>
          <t>Hauler</t>
        </is>
      </c>
      <c r="F5910" s="156" t="inlineStr"/>
      <c r="G5910" s="182" t="n">
        <v>0</v>
      </c>
      <c r="H5910" s="182" t="n">
        <v>0</v>
      </c>
      <c r="I5910" s="182" t="n">
        <v>0.75</v>
      </c>
      <c r="J5910" s="182" t="n">
        <v>0.75</v>
      </c>
      <c r="K5910" s="182" t="n">
        <v>11.25</v>
      </c>
      <c r="L5910" s="182" t="n">
        <v>12</v>
      </c>
      <c r="M5910" s="182" t="n">
        <v>0</v>
      </c>
      <c r="N5910" s="182" t="n">
        <v>0</v>
      </c>
      <c r="O5910" s="183" t="n">
        <v>0</v>
      </c>
      <c r="P5910" s="183" t="n">
        <v>0</v>
      </c>
      <c r="Q5910" s="184" t="n">
        <v>0</v>
      </c>
      <c r="R5910" s="184" t="n">
        <v>0</v>
      </c>
      <c r="S5910" s="183" t="n">
        <v>0</v>
      </c>
      <c r="T5910" s="183" t="n">
        <v>0</v>
      </c>
      <c r="U5910" s="182" t="n">
        <v>0</v>
      </c>
      <c r="V5910" s="182" t="n">
        <v>0</v>
      </c>
      <c r="W5910" s="182" t="n">
        <v>0</v>
      </c>
      <c r="X5910" s="182" t="n">
        <v>1</v>
      </c>
      <c r="Y5910" s="182" t="n">
        <v>0</v>
      </c>
      <c r="Z5910" s="182" t="n">
        <v>0</v>
      </c>
      <c r="AA5910" s="182" t="n">
        <v>0</v>
      </c>
      <c r="AB5910" s="182" t="n">
        <v>0</v>
      </c>
      <c r="AC5910" s="182" t="n">
        <v>0</v>
      </c>
      <c r="AD5910" s="182" t="n">
        <v>0</v>
      </c>
      <c r="AE5910" s="182" t="n">
        <v>0</v>
      </c>
      <c r="AF5910" s="182" t="n">
        <v>0</v>
      </c>
      <c r="AG5910" s="182" t="n">
        <v>0</v>
      </c>
      <c r="AH5910" s="182" t="n">
        <v>0</v>
      </c>
      <c r="AI5910" s="182" t="n">
        <v>0</v>
      </c>
      <c r="AJ5910" s="182" t="n">
        <v>0</v>
      </c>
      <c r="AK5910" s="182" t="n">
        <v>10.17</v>
      </c>
      <c r="AL5910" s="182" t="n">
        <v>0</v>
      </c>
      <c r="AM5910" s="182" t="n">
        <v>0.08</v>
      </c>
      <c r="AN5910" s="182" t="n">
        <v>0</v>
      </c>
    </row>
    <row r="5911">
      <c r="A5911" s="155" t="n">
        <v>46108</v>
      </c>
      <c r="B5911" s="156" t="inlineStr">
        <is>
          <t>NS</t>
        </is>
      </c>
      <c r="C5911" s="156" t="inlineStr">
        <is>
          <t>DT-527</t>
        </is>
      </c>
      <c r="D5911" s="156" t="inlineStr">
        <is>
          <t>SKT 105S</t>
        </is>
      </c>
      <c r="E5911" s="156" t="inlineStr">
        <is>
          <t>Hauler</t>
        </is>
      </c>
      <c r="F5911" s="156" t="inlineStr">
        <is>
          <t>Hauling Coal &amp; OB</t>
        </is>
      </c>
      <c r="G5911" s="182" t="n">
        <v>5.39</v>
      </c>
      <c r="H5911" s="182" t="n">
        <v>0</v>
      </c>
      <c r="I5911" s="182" t="n">
        <v>0</v>
      </c>
      <c r="J5911" s="182" t="n">
        <v>0</v>
      </c>
      <c r="K5911" s="182" t="n">
        <v>6.61</v>
      </c>
      <c r="L5911" s="182" t="n">
        <v>12</v>
      </c>
      <c r="M5911" s="182" t="n">
        <v>5.08</v>
      </c>
      <c r="N5911" s="182" t="n">
        <v>0.31</v>
      </c>
      <c r="O5911" s="183" t="n">
        <v>16</v>
      </c>
      <c r="P5911" s="183" t="n">
        <v>1</v>
      </c>
      <c r="Q5911" s="184" t="n">
        <v>326.4</v>
      </c>
      <c r="R5911" s="184" t="n">
        <v>18.7</v>
      </c>
      <c r="S5911" s="183" t="n">
        <v>0</v>
      </c>
      <c r="T5911" s="183" t="n">
        <v>0</v>
      </c>
      <c r="U5911" s="182" t="n">
        <v>0</v>
      </c>
      <c r="V5911" s="182" t="n">
        <v>0</v>
      </c>
      <c r="W5911" s="182" t="n">
        <v>0</v>
      </c>
      <c r="X5911" s="182" t="n">
        <v>1.05</v>
      </c>
      <c r="Y5911" s="182" t="n">
        <v>0</v>
      </c>
      <c r="Z5911" s="182" t="n">
        <v>0.07000000000000001</v>
      </c>
      <c r="AA5911" s="182" t="n">
        <v>0</v>
      </c>
      <c r="AB5911" s="182" t="n">
        <v>0</v>
      </c>
      <c r="AC5911" s="182" t="n">
        <v>0</v>
      </c>
      <c r="AD5911" s="182" t="n">
        <v>0</v>
      </c>
      <c r="AE5911" s="182" t="n">
        <v>0</v>
      </c>
      <c r="AF5911" s="182" t="n">
        <v>0</v>
      </c>
      <c r="AG5911" s="182" t="n">
        <v>0</v>
      </c>
      <c r="AH5911" s="182" t="n">
        <v>0.39</v>
      </c>
      <c r="AI5911" s="182" t="n">
        <v>0</v>
      </c>
      <c r="AJ5911" s="182" t="n">
        <v>0</v>
      </c>
      <c r="AK5911" s="182" t="n">
        <v>1.87</v>
      </c>
      <c r="AL5911" s="182" t="n">
        <v>3.15</v>
      </c>
      <c r="AM5911" s="182" t="n">
        <v>0.08</v>
      </c>
      <c r="AN5911" s="182" t="n">
        <v>0</v>
      </c>
    </row>
    <row r="5912">
      <c r="A5912" s="155" t="n">
        <v>46108</v>
      </c>
      <c r="B5912" s="156" t="inlineStr">
        <is>
          <t>NS</t>
        </is>
      </c>
      <c r="C5912" s="156" t="inlineStr">
        <is>
          <t>DT-513</t>
        </is>
      </c>
      <c r="D5912" s="156" t="inlineStr">
        <is>
          <t>SKT 105S</t>
        </is>
      </c>
      <c r="E5912" s="156" t="inlineStr">
        <is>
          <t>Hauler</t>
        </is>
      </c>
      <c r="F5912" s="156" t="inlineStr"/>
      <c r="G5912" s="182" t="n">
        <v>0</v>
      </c>
      <c r="H5912" s="182" t="n">
        <v>0</v>
      </c>
      <c r="I5912" s="182" t="n">
        <v>12</v>
      </c>
      <c r="J5912" s="182" t="n">
        <v>12</v>
      </c>
      <c r="K5912" s="182" t="n">
        <v>0</v>
      </c>
      <c r="L5912" s="182" t="n">
        <v>12</v>
      </c>
      <c r="M5912" s="182" t="n">
        <v>0</v>
      </c>
      <c r="N5912" s="182" t="n">
        <v>0</v>
      </c>
      <c r="O5912" s="183" t="n">
        <v>0</v>
      </c>
      <c r="P5912" s="183" t="n">
        <v>0</v>
      </c>
      <c r="Q5912" s="184" t="n">
        <v>0</v>
      </c>
      <c r="R5912" s="184" t="n">
        <v>0</v>
      </c>
      <c r="S5912" s="183" t="n">
        <v>0</v>
      </c>
      <c r="T5912" s="183" t="n">
        <v>0</v>
      </c>
      <c r="U5912" s="182" t="n">
        <v>0</v>
      </c>
      <c r="V5912" s="182" t="n">
        <v>0</v>
      </c>
      <c r="W5912" s="182" t="n">
        <v>0</v>
      </c>
      <c r="X5912" s="182" t="n">
        <v>0</v>
      </c>
      <c r="Y5912" s="182" t="n">
        <v>0</v>
      </c>
      <c r="Z5912" s="182" t="n">
        <v>0</v>
      </c>
      <c r="AA5912" s="182" t="n">
        <v>0</v>
      </c>
      <c r="AB5912" s="182" t="n">
        <v>0</v>
      </c>
      <c r="AC5912" s="182" t="n">
        <v>0</v>
      </c>
      <c r="AD5912" s="182" t="n">
        <v>0</v>
      </c>
      <c r="AE5912" s="182" t="n">
        <v>0</v>
      </c>
      <c r="AF5912" s="182" t="n">
        <v>0</v>
      </c>
      <c r="AG5912" s="182" t="n">
        <v>0</v>
      </c>
      <c r="AH5912" s="182" t="n">
        <v>0</v>
      </c>
      <c r="AI5912" s="182" t="n">
        <v>0</v>
      </c>
      <c r="AJ5912" s="182" t="n">
        <v>0</v>
      </c>
      <c r="AK5912" s="182" t="n">
        <v>0</v>
      </c>
      <c r="AL5912" s="182" t="n">
        <v>0</v>
      </c>
      <c r="AM5912" s="182" t="n">
        <v>0</v>
      </c>
      <c r="AN5912" s="182" t="n">
        <v>0</v>
      </c>
    </row>
    <row r="5913">
      <c r="A5913" s="155" t="n">
        <v>46108</v>
      </c>
      <c r="B5913" s="156" t="inlineStr">
        <is>
          <t>NS</t>
        </is>
      </c>
      <c r="C5913" s="156" t="inlineStr">
        <is>
          <t>DT-512</t>
        </is>
      </c>
      <c r="D5913" s="156" t="inlineStr">
        <is>
          <t>SKT 105S</t>
        </is>
      </c>
      <c r="E5913" s="156" t="inlineStr">
        <is>
          <t>Hauler</t>
        </is>
      </c>
      <c r="F5913" s="156" t="inlineStr">
        <is>
          <t>Hauling OB</t>
        </is>
      </c>
      <c r="G5913" s="182" t="n">
        <v>2.32</v>
      </c>
      <c r="H5913" s="182" t="n">
        <v>0</v>
      </c>
      <c r="I5913" s="182" t="n">
        <v>0</v>
      </c>
      <c r="J5913" s="182" t="n">
        <v>0</v>
      </c>
      <c r="K5913" s="182" t="n">
        <v>9.68</v>
      </c>
      <c r="L5913" s="182" t="n">
        <v>12</v>
      </c>
      <c r="M5913" s="182" t="n">
        <v>2.32</v>
      </c>
      <c r="N5913" s="182" t="n">
        <v>0</v>
      </c>
      <c r="O5913" s="183" t="n">
        <v>7</v>
      </c>
      <c r="P5913" s="183" t="n">
        <v>0</v>
      </c>
      <c r="Q5913" s="184" t="n">
        <v>142.8</v>
      </c>
      <c r="R5913" s="184" t="n">
        <v>0</v>
      </c>
      <c r="S5913" s="183" t="n">
        <v>0</v>
      </c>
      <c r="T5913" s="183" t="n">
        <v>0</v>
      </c>
      <c r="U5913" s="182" t="n">
        <v>0</v>
      </c>
      <c r="V5913" s="182" t="n">
        <v>0</v>
      </c>
      <c r="W5913" s="182" t="n">
        <v>0</v>
      </c>
      <c r="X5913" s="182" t="n">
        <v>1.02</v>
      </c>
      <c r="Y5913" s="182" t="n">
        <v>0</v>
      </c>
      <c r="Z5913" s="182" t="n">
        <v>0</v>
      </c>
      <c r="AA5913" s="182" t="n">
        <v>0</v>
      </c>
      <c r="AB5913" s="182" t="n">
        <v>0</v>
      </c>
      <c r="AC5913" s="182" t="n">
        <v>0</v>
      </c>
      <c r="AD5913" s="182" t="n">
        <v>0</v>
      </c>
      <c r="AE5913" s="182" t="n">
        <v>8.58</v>
      </c>
      <c r="AF5913" s="182" t="n">
        <v>0</v>
      </c>
      <c r="AG5913" s="182" t="n">
        <v>0</v>
      </c>
      <c r="AH5913" s="182" t="n">
        <v>0</v>
      </c>
      <c r="AI5913" s="182" t="n">
        <v>0</v>
      </c>
      <c r="AJ5913" s="182" t="n">
        <v>0</v>
      </c>
      <c r="AK5913" s="182" t="n">
        <v>0</v>
      </c>
      <c r="AL5913" s="182" t="n">
        <v>0</v>
      </c>
      <c r="AM5913" s="182" t="n">
        <v>0.08</v>
      </c>
      <c r="AN5913" s="182" t="n">
        <v>0</v>
      </c>
    </row>
    <row r="5914">
      <c r="A5914" s="155" t="n">
        <v>46108</v>
      </c>
      <c r="B5914" s="156" t="inlineStr">
        <is>
          <t>NS</t>
        </is>
      </c>
      <c r="C5914" s="156" t="inlineStr">
        <is>
          <t>DT-522</t>
        </is>
      </c>
      <c r="D5914" s="156" t="inlineStr">
        <is>
          <t>SKT 105S</t>
        </is>
      </c>
      <c r="E5914" s="156" t="inlineStr">
        <is>
          <t>Hauler</t>
        </is>
      </c>
      <c r="F5914" s="156" t="inlineStr">
        <is>
          <t>Hauling OB</t>
        </is>
      </c>
      <c r="G5914" s="182" t="n">
        <v>6.37</v>
      </c>
      <c r="H5914" s="182" t="n">
        <v>0</v>
      </c>
      <c r="I5914" s="182" t="n">
        <v>0</v>
      </c>
      <c r="J5914" s="182" t="n">
        <v>0</v>
      </c>
      <c r="K5914" s="182" t="n">
        <v>5.63</v>
      </c>
      <c r="L5914" s="182" t="n">
        <v>12</v>
      </c>
      <c r="M5914" s="182" t="n">
        <v>6.37</v>
      </c>
      <c r="N5914" s="182" t="n">
        <v>0</v>
      </c>
      <c r="O5914" s="183" t="n">
        <v>21</v>
      </c>
      <c r="P5914" s="183" t="n">
        <v>0</v>
      </c>
      <c r="Q5914" s="184" t="n">
        <v>428.4</v>
      </c>
      <c r="R5914" s="184" t="n">
        <v>0</v>
      </c>
      <c r="S5914" s="183" t="n">
        <v>0</v>
      </c>
      <c r="T5914" s="183" t="n">
        <v>0</v>
      </c>
      <c r="U5914" s="182" t="n">
        <v>0</v>
      </c>
      <c r="V5914" s="182" t="n">
        <v>0</v>
      </c>
      <c r="W5914" s="182" t="n">
        <v>0</v>
      </c>
      <c r="X5914" s="182" t="n">
        <v>0.97</v>
      </c>
      <c r="Y5914" s="182" t="n">
        <v>0</v>
      </c>
      <c r="Z5914" s="182" t="n">
        <v>0.07000000000000001</v>
      </c>
      <c r="AA5914" s="182" t="n">
        <v>0</v>
      </c>
      <c r="AB5914" s="182" t="n">
        <v>0</v>
      </c>
      <c r="AC5914" s="182" t="n">
        <v>0</v>
      </c>
      <c r="AD5914" s="182" t="n">
        <v>0</v>
      </c>
      <c r="AE5914" s="182" t="n">
        <v>0</v>
      </c>
      <c r="AF5914" s="182" t="n">
        <v>0</v>
      </c>
      <c r="AG5914" s="182" t="n">
        <v>0</v>
      </c>
      <c r="AH5914" s="182" t="n">
        <v>0.19</v>
      </c>
      <c r="AI5914" s="182" t="n">
        <v>0</v>
      </c>
      <c r="AJ5914" s="182" t="n">
        <v>0</v>
      </c>
      <c r="AK5914" s="182" t="n">
        <v>0</v>
      </c>
      <c r="AL5914" s="182" t="n">
        <v>4.32</v>
      </c>
      <c r="AM5914" s="182" t="n">
        <v>0.08</v>
      </c>
      <c r="AN5914" s="182" t="n">
        <v>0</v>
      </c>
    </row>
    <row r="5915">
      <c r="A5915" s="155" t="n">
        <v>46108</v>
      </c>
      <c r="B5915" s="156" t="inlineStr">
        <is>
          <t>NS</t>
        </is>
      </c>
      <c r="C5915" s="156" t="inlineStr">
        <is>
          <t>DT-517</t>
        </is>
      </c>
      <c r="D5915" s="156" t="inlineStr">
        <is>
          <t>SKT 105S</t>
        </is>
      </c>
      <c r="E5915" s="156" t="inlineStr">
        <is>
          <t>Hauler</t>
        </is>
      </c>
      <c r="F5915" s="156" t="inlineStr">
        <is>
          <t>Hauling OB</t>
        </is>
      </c>
      <c r="G5915" s="182" t="n">
        <v>4.92</v>
      </c>
      <c r="H5915" s="182" t="n">
        <v>0</v>
      </c>
      <c r="I5915" s="182" t="n">
        <v>0.5</v>
      </c>
      <c r="J5915" s="182" t="n">
        <v>0.5</v>
      </c>
      <c r="K5915" s="182" t="n">
        <v>6.58</v>
      </c>
      <c r="L5915" s="182" t="n">
        <v>12</v>
      </c>
      <c r="M5915" s="182" t="n">
        <v>4.92</v>
      </c>
      <c r="N5915" s="182" t="n">
        <v>0</v>
      </c>
      <c r="O5915" s="183" t="n">
        <v>20</v>
      </c>
      <c r="P5915" s="183" t="n">
        <v>0</v>
      </c>
      <c r="Q5915" s="184" t="n">
        <v>408</v>
      </c>
      <c r="R5915" s="184" t="n">
        <v>0</v>
      </c>
      <c r="S5915" s="183" t="n">
        <v>0</v>
      </c>
      <c r="T5915" s="183" t="n">
        <v>0</v>
      </c>
      <c r="U5915" s="182" t="n">
        <v>0</v>
      </c>
      <c r="V5915" s="182" t="n">
        <v>0</v>
      </c>
      <c r="W5915" s="182" t="n">
        <v>0</v>
      </c>
      <c r="X5915" s="182" t="n">
        <v>1.1</v>
      </c>
      <c r="Y5915" s="182" t="n">
        <v>0</v>
      </c>
      <c r="Z5915" s="182" t="n">
        <v>0.08</v>
      </c>
      <c r="AA5915" s="182" t="n">
        <v>0</v>
      </c>
      <c r="AB5915" s="182" t="n">
        <v>0</v>
      </c>
      <c r="AC5915" s="182" t="n">
        <v>0</v>
      </c>
      <c r="AD5915" s="182" t="n">
        <v>0</v>
      </c>
      <c r="AE5915" s="182" t="n">
        <v>0</v>
      </c>
      <c r="AF5915" s="182" t="n">
        <v>0</v>
      </c>
      <c r="AG5915" s="182" t="n">
        <v>0</v>
      </c>
      <c r="AH5915" s="182" t="n">
        <v>0.19</v>
      </c>
      <c r="AI5915" s="182" t="n">
        <v>0</v>
      </c>
      <c r="AJ5915" s="182" t="n">
        <v>0</v>
      </c>
      <c r="AK5915" s="182" t="n">
        <v>0</v>
      </c>
      <c r="AL5915" s="182" t="n">
        <v>5.13</v>
      </c>
      <c r="AM5915" s="182" t="n">
        <v>0.09</v>
      </c>
      <c r="AN5915" s="182" t="n">
        <v>0</v>
      </c>
    </row>
    <row r="5916">
      <c r="A5916" s="155" t="n">
        <v>46108</v>
      </c>
      <c r="B5916" s="156" t="inlineStr">
        <is>
          <t>NS</t>
        </is>
      </c>
      <c r="C5916" s="156" t="inlineStr">
        <is>
          <t>DT-510</t>
        </is>
      </c>
      <c r="D5916" s="156" t="inlineStr">
        <is>
          <t>SKT 105S</t>
        </is>
      </c>
      <c r="E5916" s="156" t="inlineStr">
        <is>
          <t>Hauler</t>
        </is>
      </c>
      <c r="F5916" s="156" t="inlineStr"/>
      <c r="G5916" s="182" t="n">
        <v>0</v>
      </c>
      <c r="H5916" s="182" t="n">
        <v>12</v>
      </c>
      <c r="I5916" s="182" t="n">
        <v>0</v>
      </c>
      <c r="J5916" s="182" t="n">
        <v>12</v>
      </c>
      <c r="K5916" s="182" t="n">
        <v>0</v>
      </c>
      <c r="L5916" s="182" t="n">
        <v>12</v>
      </c>
      <c r="M5916" s="182" t="n">
        <v>0</v>
      </c>
      <c r="N5916" s="182" t="n">
        <v>0</v>
      </c>
      <c r="O5916" s="183" t="n">
        <v>0</v>
      </c>
      <c r="P5916" s="183" t="n">
        <v>0</v>
      </c>
      <c r="Q5916" s="184" t="n">
        <v>0</v>
      </c>
      <c r="R5916" s="184" t="n">
        <v>0</v>
      </c>
      <c r="S5916" s="183" t="n">
        <v>0</v>
      </c>
      <c r="T5916" s="183" t="n">
        <v>0</v>
      </c>
      <c r="U5916" s="182" t="n">
        <v>0</v>
      </c>
      <c r="V5916" s="182" t="n">
        <v>0</v>
      </c>
      <c r="W5916" s="182" t="n">
        <v>0</v>
      </c>
      <c r="X5916" s="182" t="n">
        <v>0</v>
      </c>
      <c r="Y5916" s="182" t="n">
        <v>0</v>
      </c>
      <c r="Z5916" s="182" t="n">
        <v>0</v>
      </c>
      <c r="AA5916" s="182" t="n">
        <v>0</v>
      </c>
      <c r="AB5916" s="182" t="n">
        <v>0</v>
      </c>
      <c r="AC5916" s="182" t="n">
        <v>0</v>
      </c>
      <c r="AD5916" s="182" t="n">
        <v>0</v>
      </c>
      <c r="AE5916" s="182" t="n">
        <v>0</v>
      </c>
      <c r="AF5916" s="182" t="n">
        <v>0</v>
      </c>
      <c r="AG5916" s="182" t="n">
        <v>0</v>
      </c>
      <c r="AH5916" s="182" t="n">
        <v>0</v>
      </c>
      <c r="AI5916" s="182" t="n">
        <v>0</v>
      </c>
      <c r="AJ5916" s="182" t="n">
        <v>0</v>
      </c>
      <c r="AK5916" s="182" t="n">
        <v>0</v>
      </c>
      <c r="AL5916" s="182" t="n">
        <v>0</v>
      </c>
      <c r="AM5916" s="182" t="n">
        <v>0</v>
      </c>
      <c r="AN5916" s="182" t="n">
        <v>0</v>
      </c>
    </row>
    <row r="5917">
      <c r="A5917" s="155" t="n">
        <v>46108</v>
      </c>
      <c r="B5917" s="156" t="inlineStr">
        <is>
          <t>NS</t>
        </is>
      </c>
      <c r="C5917" s="156" t="inlineStr">
        <is>
          <t>DT-521</t>
        </is>
      </c>
      <c r="D5917" s="156" t="inlineStr">
        <is>
          <t>SKT 105S</t>
        </is>
      </c>
      <c r="E5917" s="156" t="inlineStr">
        <is>
          <t>Hauler</t>
        </is>
      </c>
      <c r="F5917" s="156" t="inlineStr">
        <is>
          <t>Hauling Coal &amp; OB</t>
        </is>
      </c>
      <c r="G5917" s="182" t="n">
        <v>9.57</v>
      </c>
      <c r="H5917" s="182" t="n">
        <v>0</v>
      </c>
      <c r="I5917" s="182" t="n">
        <v>0</v>
      </c>
      <c r="J5917" s="182" t="n">
        <v>0</v>
      </c>
      <c r="K5917" s="182" t="n">
        <v>2.43</v>
      </c>
      <c r="L5917" s="182" t="n">
        <v>12</v>
      </c>
      <c r="M5917" s="182" t="n">
        <v>4.69</v>
      </c>
      <c r="N5917" s="182" t="n">
        <v>4.88</v>
      </c>
      <c r="O5917" s="183" t="n">
        <v>5</v>
      </c>
      <c r="P5917" s="183" t="n">
        <v>16</v>
      </c>
      <c r="Q5917" s="184" t="n">
        <v>102</v>
      </c>
      <c r="R5917" s="184" t="n">
        <v>299.2</v>
      </c>
      <c r="S5917" s="183" t="n">
        <v>0</v>
      </c>
      <c r="T5917" s="183" t="n">
        <v>0</v>
      </c>
      <c r="U5917" s="182" t="n">
        <v>0</v>
      </c>
      <c r="V5917" s="182" t="n">
        <v>0</v>
      </c>
      <c r="W5917" s="182" t="n">
        <v>0</v>
      </c>
      <c r="X5917" s="182" t="n">
        <v>1.1</v>
      </c>
      <c r="Y5917" s="182" t="n">
        <v>0</v>
      </c>
      <c r="Z5917" s="182" t="n">
        <v>0</v>
      </c>
      <c r="AA5917" s="182" t="n">
        <v>0</v>
      </c>
      <c r="AB5917" s="182" t="n">
        <v>0</v>
      </c>
      <c r="AC5917" s="182" t="n">
        <v>0</v>
      </c>
      <c r="AD5917" s="182" t="n">
        <v>0</v>
      </c>
      <c r="AE5917" s="182" t="n">
        <v>0</v>
      </c>
      <c r="AF5917" s="182" t="n">
        <v>0</v>
      </c>
      <c r="AG5917" s="182" t="n">
        <v>0</v>
      </c>
      <c r="AH5917" s="182" t="n">
        <v>0</v>
      </c>
      <c r="AI5917" s="182" t="n">
        <v>0</v>
      </c>
      <c r="AJ5917" s="182" t="n">
        <v>0</v>
      </c>
      <c r="AK5917" s="182" t="n">
        <v>0</v>
      </c>
      <c r="AL5917" s="182" t="n">
        <v>1.24</v>
      </c>
      <c r="AM5917" s="182" t="n">
        <v>0.09</v>
      </c>
      <c r="AN5917" s="182" t="n">
        <v>0</v>
      </c>
    </row>
    <row r="5918">
      <c r="A5918" s="155" t="n">
        <v>46108</v>
      </c>
      <c r="B5918" s="156" t="inlineStr">
        <is>
          <t>NS</t>
        </is>
      </c>
      <c r="C5918" s="156" t="inlineStr">
        <is>
          <t>DT-516</t>
        </is>
      </c>
      <c r="D5918" s="156" t="inlineStr">
        <is>
          <t>SKT 105S</t>
        </is>
      </c>
      <c r="E5918" s="156" t="inlineStr">
        <is>
          <t>Hauler</t>
        </is>
      </c>
      <c r="F5918" s="156" t="inlineStr">
        <is>
          <t>Hauling Coal S60CUL &amp; OB</t>
        </is>
      </c>
      <c r="G5918" s="182" t="n">
        <v>3.2</v>
      </c>
      <c r="H5918" s="182" t="n">
        <v>0</v>
      </c>
      <c r="I5918" s="182" t="n">
        <v>1.5</v>
      </c>
      <c r="J5918" s="182" t="n">
        <v>1.5</v>
      </c>
      <c r="K5918" s="182" t="n">
        <v>7.3</v>
      </c>
      <c r="L5918" s="182" t="n">
        <v>12</v>
      </c>
      <c r="M5918" s="182" t="n">
        <v>1.22</v>
      </c>
      <c r="N5918" s="182" t="n">
        <v>1.98</v>
      </c>
      <c r="O5918" s="183" t="n">
        <v>2</v>
      </c>
      <c r="P5918" s="183" t="n">
        <v>6</v>
      </c>
      <c r="Q5918" s="184" t="n">
        <v>40.8</v>
      </c>
      <c r="R5918" s="184" t="n">
        <v>112.2</v>
      </c>
      <c r="S5918" s="183" t="n">
        <v>0</v>
      </c>
      <c r="T5918" s="183" t="n">
        <v>0</v>
      </c>
      <c r="U5918" s="182" t="n">
        <v>0</v>
      </c>
      <c r="V5918" s="182" t="n">
        <v>0</v>
      </c>
      <c r="W5918" s="182" t="n">
        <v>0</v>
      </c>
      <c r="X5918" s="182" t="n">
        <v>0.9399999999999999</v>
      </c>
      <c r="Y5918" s="182" t="n">
        <v>0</v>
      </c>
      <c r="Z5918" s="182" t="n">
        <v>0</v>
      </c>
      <c r="AA5918" s="182" t="n">
        <v>0</v>
      </c>
      <c r="AB5918" s="182" t="n">
        <v>0</v>
      </c>
      <c r="AC5918" s="182" t="n">
        <v>0</v>
      </c>
      <c r="AD5918" s="182" t="n">
        <v>0</v>
      </c>
      <c r="AE5918" s="182" t="n">
        <v>0</v>
      </c>
      <c r="AF5918" s="182" t="n">
        <v>0</v>
      </c>
      <c r="AG5918" s="182" t="n">
        <v>0</v>
      </c>
      <c r="AH5918" s="182" t="n">
        <v>0.26</v>
      </c>
      <c r="AI5918" s="182" t="n">
        <v>0</v>
      </c>
      <c r="AJ5918" s="182" t="n">
        <v>0</v>
      </c>
      <c r="AK5918" s="182" t="n">
        <v>4.15</v>
      </c>
      <c r="AL5918" s="182" t="n">
        <v>1.87</v>
      </c>
      <c r="AM5918" s="182" t="n">
        <v>0.07000000000000001</v>
      </c>
      <c r="AN5918" s="182" t="n">
        <v>0</v>
      </c>
    </row>
    <row r="5919">
      <c r="A5919" s="155" t="n">
        <v>46108</v>
      </c>
      <c r="B5919" s="156" t="inlineStr">
        <is>
          <t>NS</t>
        </is>
      </c>
      <c r="C5919" s="156" t="inlineStr">
        <is>
          <t>DT-506</t>
        </is>
      </c>
      <c r="D5919" s="156" t="inlineStr">
        <is>
          <t>SKT 105S</t>
        </is>
      </c>
      <c r="E5919" s="156" t="inlineStr">
        <is>
          <t>Hauler</t>
        </is>
      </c>
      <c r="F5919" s="156" t="inlineStr">
        <is>
          <t>Hauling OB &amp; Coal</t>
        </is>
      </c>
      <c r="G5919" s="182" t="n">
        <v>6.84</v>
      </c>
      <c r="H5919" s="182" t="n">
        <v>0</v>
      </c>
      <c r="I5919" s="182" t="n">
        <v>0</v>
      </c>
      <c r="J5919" s="182" t="n">
        <v>0</v>
      </c>
      <c r="K5919" s="182" t="n">
        <v>5.16</v>
      </c>
      <c r="L5919" s="182" t="n">
        <v>12</v>
      </c>
      <c r="M5919" s="182" t="n">
        <v>2.61</v>
      </c>
      <c r="N5919" s="182" t="n">
        <v>4.23</v>
      </c>
      <c r="O5919" s="183" t="n">
        <v>7</v>
      </c>
      <c r="P5919" s="183" t="n">
        <v>12</v>
      </c>
      <c r="Q5919" s="184" t="n">
        <v>142.8</v>
      </c>
      <c r="R5919" s="184" t="n">
        <v>224.4</v>
      </c>
      <c r="S5919" s="183" t="n">
        <v>0</v>
      </c>
      <c r="T5919" s="183" t="n">
        <v>0</v>
      </c>
      <c r="U5919" s="182" t="n">
        <v>0</v>
      </c>
      <c r="V5919" s="182" t="n">
        <v>0</v>
      </c>
      <c r="W5919" s="182" t="n">
        <v>0</v>
      </c>
      <c r="X5919" s="182" t="n">
        <v>1.03</v>
      </c>
      <c r="Y5919" s="182" t="n">
        <v>0</v>
      </c>
      <c r="Z5919" s="182" t="n">
        <v>0.07000000000000001</v>
      </c>
      <c r="AA5919" s="182" t="n">
        <v>0</v>
      </c>
      <c r="AB5919" s="182" t="n">
        <v>0</v>
      </c>
      <c r="AC5919" s="182" t="n">
        <v>0</v>
      </c>
      <c r="AD5919" s="182" t="n">
        <v>1.08</v>
      </c>
      <c r="AE5919" s="182" t="n">
        <v>0</v>
      </c>
      <c r="AF5919" s="182" t="n">
        <v>0</v>
      </c>
      <c r="AG5919" s="182" t="n">
        <v>0.65</v>
      </c>
      <c r="AH5919" s="182" t="n">
        <v>0.6899999999999999</v>
      </c>
      <c r="AI5919" s="182" t="n">
        <v>0</v>
      </c>
      <c r="AJ5919" s="182" t="n">
        <v>0</v>
      </c>
      <c r="AK5919" s="182" t="n">
        <v>0</v>
      </c>
      <c r="AL5919" s="182" t="n">
        <v>1.55</v>
      </c>
      <c r="AM5919" s="182" t="n">
        <v>0.08</v>
      </c>
      <c r="AN5919" s="182" t="n">
        <v>0</v>
      </c>
    </row>
    <row r="5920">
      <c r="A5920" s="155" t="n">
        <v>46108</v>
      </c>
      <c r="B5920" s="156" t="inlineStr">
        <is>
          <t>NS</t>
        </is>
      </c>
      <c r="C5920" s="156" t="inlineStr">
        <is>
          <t>DT-502</t>
        </is>
      </c>
      <c r="D5920" s="156" t="inlineStr">
        <is>
          <t>SKT 105S</t>
        </is>
      </c>
      <c r="E5920" s="156" t="inlineStr">
        <is>
          <t>Hauler</t>
        </is>
      </c>
      <c r="F5920" s="156" t="inlineStr">
        <is>
          <t>Hauling OB &amp; Coal S45</t>
        </is>
      </c>
      <c r="G5920" s="182" t="n">
        <v>6.63</v>
      </c>
      <c r="H5920" s="182" t="n">
        <v>0</v>
      </c>
      <c r="I5920" s="182" t="n">
        <v>0.92</v>
      </c>
      <c r="J5920" s="182" t="n">
        <v>0.92</v>
      </c>
      <c r="K5920" s="182" t="n">
        <v>4.45</v>
      </c>
      <c r="L5920" s="182" t="n">
        <v>12</v>
      </c>
      <c r="M5920" s="182" t="n">
        <v>3.23</v>
      </c>
      <c r="N5920" s="182" t="n">
        <v>3.39</v>
      </c>
      <c r="O5920" s="183" t="n">
        <v>5</v>
      </c>
      <c r="P5920" s="183" t="n">
        <v>9</v>
      </c>
      <c r="Q5920" s="184" t="n">
        <v>102</v>
      </c>
      <c r="R5920" s="184" t="n">
        <v>168.3</v>
      </c>
      <c r="S5920" s="183" t="n">
        <v>0</v>
      </c>
      <c r="T5920" s="183" t="n">
        <v>0</v>
      </c>
      <c r="U5920" s="182" t="n">
        <v>0</v>
      </c>
      <c r="V5920" s="182" t="n">
        <v>0</v>
      </c>
      <c r="W5920" s="182" t="n">
        <v>0</v>
      </c>
      <c r="X5920" s="182" t="n">
        <v>0.97</v>
      </c>
      <c r="Y5920" s="182" t="n">
        <v>0</v>
      </c>
      <c r="Z5920" s="182" t="n">
        <v>0.07000000000000001</v>
      </c>
      <c r="AA5920" s="182" t="n">
        <v>0</v>
      </c>
      <c r="AB5920" s="182" t="n">
        <v>0</v>
      </c>
      <c r="AC5920" s="182" t="n">
        <v>0</v>
      </c>
      <c r="AD5920" s="182" t="n">
        <v>1.02</v>
      </c>
      <c r="AE5920" s="182" t="n">
        <v>0</v>
      </c>
      <c r="AF5920" s="182" t="n">
        <v>0</v>
      </c>
      <c r="AG5920" s="182" t="n">
        <v>0</v>
      </c>
      <c r="AH5920" s="182" t="n">
        <v>0.86</v>
      </c>
      <c r="AI5920" s="182" t="n">
        <v>0</v>
      </c>
      <c r="AJ5920" s="182" t="n">
        <v>0</v>
      </c>
      <c r="AK5920" s="182" t="n">
        <v>0</v>
      </c>
      <c r="AL5920" s="182" t="n">
        <v>1.46</v>
      </c>
      <c r="AM5920" s="182" t="n">
        <v>0.08</v>
      </c>
      <c r="AN5920" s="182" t="n">
        <v>0</v>
      </c>
    </row>
    <row r="5921">
      <c r="A5921" s="155" t="n">
        <v>46108</v>
      </c>
      <c r="B5921" s="156" t="inlineStr">
        <is>
          <t>NS</t>
        </is>
      </c>
      <c r="C5921" s="156" t="inlineStr">
        <is>
          <t>DT-528</t>
        </is>
      </c>
      <c r="D5921" s="156" t="inlineStr">
        <is>
          <t>SKT 105S</t>
        </is>
      </c>
      <c r="E5921" s="156" t="inlineStr">
        <is>
          <t>Hauler</t>
        </is>
      </c>
      <c r="F5921" s="156" t="inlineStr">
        <is>
          <t>Hauling OB &amp; Coal S45</t>
        </is>
      </c>
      <c r="G5921" s="182" t="n">
        <v>6.33</v>
      </c>
      <c r="H5921" s="182" t="n">
        <v>0</v>
      </c>
      <c r="I5921" s="182" t="n">
        <v>0.75</v>
      </c>
      <c r="J5921" s="182" t="n">
        <v>0.75</v>
      </c>
      <c r="K5921" s="182" t="n">
        <v>4.92</v>
      </c>
      <c r="L5921" s="182" t="n">
        <v>12</v>
      </c>
      <c r="M5921" s="182" t="n">
        <v>5.63</v>
      </c>
      <c r="N5921" s="182" t="n">
        <v>0.7</v>
      </c>
      <c r="O5921" s="183" t="n">
        <v>15</v>
      </c>
      <c r="P5921" s="183" t="n">
        <v>2</v>
      </c>
      <c r="Q5921" s="184" t="n">
        <v>306</v>
      </c>
      <c r="R5921" s="184" t="n">
        <v>37.4</v>
      </c>
      <c r="S5921" s="183" t="n">
        <v>0</v>
      </c>
      <c r="T5921" s="183" t="n">
        <v>0</v>
      </c>
      <c r="U5921" s="182" t="n">
        <v>0</v>
      </c>
      <c r="V5921" s="182" t="n">
        <v>0</v>
      </c>
      <c r="W5921" s="182" t="n">
        <v>0</v>
      </c>
      <c r="X5921" s="182" t="n">
        <v>0.96</v>
      </c>
      <c r="Y5921" s="182" t="n">
        <v>0</v>
      </c>
      <c r="Z5921" s="182" t="n">
        <v>0.07000000000000001</v>
      </c>
      <c r="AA5921" s="182" t="n">
        <v>0</v>
      </c>
      <c r="AB5921" s="182" t="n">
        <v>0</v>
      </c>
      <c r="AC5921" s="182" t="n">
        <v>0</v>
      </c>
      <c r="AD5921" s="182" t="n">
        <v>0</v>
      </c>
      <c r="AE5921" s="182" t="n">
        <v>0</v>
      </c>
      <c r="AF5921" s="182" t="n">
        <v>0</v>
      </c>
      <c r="AG5921" s="182" t="n">
        <v>0</v>
      </c>
      <c r="AH5921" s="182" t="n">
        <v>0.76</v>
      </c>
      <c r="AI5921" s="182" t="n">
        <v>0</v>
      </c>
      <c r="AJ5921" s="182" t="n">
        <v>0</v>
      </c>
      <c r="AK5921" s="182" t="n">
        <v>0</v>
      </c>
      <c r="AL5921" s="182" t="n">
        <v>3.06</v>
      </c>
      <c r="AM5921" s="182" t="n">
        <v>0.08</v>
      </c>
      <c r="AN5921" s="182" t="n">
        <v>0</v>
      </c>
    </row>
    <row r="5922">
      <c r="A5922" s="155" t="n">
        <v>46108</v>
      </c>
      <c r="B5922" s="156" t="inlineStr">
        <is>
          <t>NS</t>
        </is>
      </c>
      <c r="C5922" s="156" t="inlineStr">
        <is>
          <t>DT-529</t>
        </is>
      </c>
      <c r="D5922" s="156" t="inlineStr">
        <is>
          <t>SKT 105S</t>
        </is>
      </c>
      <c r="E5922" s="156" t="inlineStr">
        <is>
          <t>Hauler</t>
        </is>
      </c>
      <c r="F5922" s="156" t="inlineStr">
        <is>
          <t>Hauling Coal &amp; OB</t>
        </is>
      </c>
      <c r="G5922" s="182" t="n">
        <v>8.289999999999999</v>
      </c>
      <c r="H5922" s="182" t="n">
        <v>0</v>
      </c>
      <c r="I5922" s="182" t="n">
        <v>0</v>
      </c>
      <c r="J5922" s="182" t="n">
        <v>0</v>
      </c>
      <c r="K5922" s="182" t="n">
        <v>3.71</v>
      </c>
      <c r="L5922" s="182" t="n">
        <v>12</v>
      </c>
      <c r="M5922" s="182" t="n">
        <v>1.65</v>
      </c>
      <c r="N5922" s="182" t="n">
        <v>6.64</v>
      </c>
      <c r="O5922" s="183" t="n">
        <v>10</v>
      </c>
      <c r="P5922" s="183" t="n">
        <v>22</v>
      </c>
      <c r="Q5922" s="184" t="n">
        <v>204</v>
      </c>
      <c r="R5922" s="184" t="n">
        <v>411.4</v>
      </c>
      <c r="S5922" s="183" t="n">
        <v>0</v>
      </c>
      <c r="T5922" s="183" t="n">
        <v>0</v>
      </c>
      <c r="U5922" s="182" t="n">
        <v>0</v>
      </c>
      <c r="V5922" s="182" t="n">
        <v>0</v>
      </c>
      <c r="W5922" s="182" t="n">
        <v>0</v>
      </c>
      <c r="X5922" s="182" t="n">
        <v>0.9</v>
      </c>
      <c r="Y5922" s="182" t="n">
        <v>0</v>
      </c>
      <c r="Z5922" s="182" t="n">
        <v>0.06</v>
      </c>
      <c r="AA5922" s="182" t="n">
        <v>0</v>
      </c>
      <c r="AB5922" s="182" t="n">
        <v>0</v>
      </c>
      <c r="AC5922" s="182" t="n">
        <v>0</v>
      </c>
      <c r="AD5922" s="182" t="n">
        <v>0</v>
      </c>
      <c r="AE5922" s="182" t="n">
        <v>0</v>
      </c>
      <c r="AF5922" s="182" t="n">
        <v>0</v>
      </c>
      <c r="AG5922" s="182" t="n">
        <v>0</v>
      </c>
      <c r="AH5922" s="182" t="n">
        <v>0</v>
      </c>
      <c r="AI5922" s="182" t="n">
        <v>0</v>
      </c>
      <c r="AJ5922" s="182" t="n">
        <v>0</v>
      </c>
      <c r="AK5922" s="182" t="n">
        <v>0</v>
      </c>
      <c r="AL5922" s="182" t="n">
        <v>2.67</v>
      </c>
      <c r="AM5922" s="182" t="n">
        <v>0.07000000000000001</v>
      </c>
      <c r="AN5922" s="182" t="n">
        <v>0</v>
      </c>
    </row>
    <row r="5923">
      <c r="A5923" s="155" t="n">
        <v>46108</v>
      </c>
      <c r="B5923" s="156" t="inlineStr">
        <is>
          <t>NS</t>
        </is>
      </c>
      <c r="C5923" s="156" t="inlineStr">
        <is>
          <t>DT-520</t>
        </is>
      </c>
      <c r="D5923" s="156" t="inlineStr">
        <is>
          <t>SKT 105S</t>
        </is>
      </c>
      <c r="E5923" s="156" t="inlineStr">
        <is>
          <t>Hauler</t>
        </is>
      </c>
      <c r="F5923" s="156" t="inlineStr">
        <is>
          <t>Hauling OB</t>
        </is>
      </c>
      <c r="G5923" s="182" t="n">
        <v>6.43</v>
      </c>
      <c r="H5923" s="182" t="n">
        <v>0</v>
      </c>
      <c r="I5923" s="182" t="n">
        <v>0</v>
      </c>
      <c r="J5923" s="182" t="n">
        <v>0</v>
      </c>
      <c r="K5923" s="182" t="n">
        <v>5.57</v>
      </c>
      <c r="L5923" s="182" t="n">
        <v>12</v>
      </c>
      <c r="M5923" s="182" t="n">
        <v>6.43</v>
      </c>
      <c r="N5923" s="182" t="n">
        <v>0</v>
      </c>
      <c r="O5923" s="183" t="n">
        <v>19</v>
      </c>
      <c r="P5923" s="183" t="n">
        <v>0</v>
      </c>
      <c r="Q5923" s="184" t="n">
        <v>387.6</v>
      </c>
      <c r="R5923" s="184" t="n">
        <v>0</v>
      </c>
      <c r="S5923" s="183" t="n">
        <v>0</v>
      </c>
      <c r="T5923" s="183" t="n">
        <v>0</v>
      </c>
      <c r="U5923" s="182" t="n">
        <v>0</v>
      </c>
      <c r="V5923" s="182" t="n">
        <v>0</v>
      </c>
      <c r="W5923" s="182" t="n">
        <v>0</v>
      </c>
      <c r="X5923" s="182" t="n">
        <v>1.01</v>
      </c>
      <c r="Y5923" s="182" t="n">
        <v>0</v>
      </c>
      <c r="Z5923" s="182" t="n">
        <v>0.07000000000000001</v>
      </c>
      <c r="AA5923" s="182" t="n">
        <v>0</v>
      </c>
      <c r="AB5923" s="182" t="n">
        <v>0</v>
      </c>
      <c r="AC5923" s="182" t="n">
        <v>0</v>
      </c>
      <c r="AD5923" s="182" t="n">
        <v>0</v>
      </c>
      <c r="AE5923" s="182" t="n">
        <v>0</v>
      </c>
      <c r="AF5923" s="182" t="n">
        <v>0</v>
      </c>
      <c r="AG5923" s="182" t="n">
        <v>0.59</v>
      </c>
      <c r="AH5923" s="182" t="n">
        <v>0.58</v>
      </c>
      <c r="AI5923" s="182" t="n">
        <v>0</v>
      </c>
      <c r="AJ5923" s="182" t="n">
        <v>0</v>
      </c>
      <c r="AK5923" s="182" t="n">
        <v>0</v>
      </c>
      <c r="AL5923" s="182" t="n">
        <v>3.24</v>
      </c>
      <c r="AM5923" s="182" t="n">
        <v>0.08</v>
      </c>
      <c r="AN5923" s="182" t="n">
        <v>0</v>
      </c>
    </row>
    <row r="5924">
      <c r="A5924" s="155" t="n">
        <v>46108</v>
      </c>
      <c r="B5924" s="156" t="inlineStr">
        <is>
          <t>NS</t>
        </is>
      </c>
      <c r="C5924" s="156" t="inlineStr">
        <is>
          <t>DT-511</t>
        </is>
      </c>
      <c r="D5924" s="156" t="inlineStr">
        <is>
          <t>SKT 105S</t>
        </is>
      </c>
      <c r="E5924" s="156" t="inlineStr">
        <is>
          <t>Hauler</t>
        </is>
      </c>
      <c r="F5924" s="156" t="inlineStr">
        <is>
          <t>Hauling OB</t>
        </is>
      </c>
      <c r="G5924" s="182" t="n">
        <v>7.26</v>
      </c>
      <c r="H5924" s="182" t="n">
        <v>0</v>
      </c>
      <c r="I5924" s="182" t="n">
        <v>0</v>
      </c>
      <c r="J5924" s="182" t="n">
        <v>0</v>
      </c>
      <c r="K5924" s="182" t="n">
        <v>4.74</v>
      </c>
      <c r="L5924" s="182" t="n">
        <v>12</v>
      </c>
      <c r="M5924" s="182" t="n">
        <v>7.26</v>
      </c>
      <c r="N5924" s="182" t="n">
        <v>0</v>
      </c>
      <c r="O5924" s="183" t="n">
        <v>28</v>
      </c>
      <c r="P5924" s="183" t="n">
        <v>0</v>
      </c>
      <c r="Q5924" s="184" t="n">
        <v>571.2</v>
      </c>
      <c r="R5924" s="184" t="n">
        <v>0</v>
      </c>
      <c r="S5924" s="183" t="n">
        <v>0</v>
      </c>
      <c r="T5924" s="183" t="n">
        <v>0</v>
      </c>
      <c r="U5924" s="182" t="n">
        <v>0</v>
      </c>
      <c r="V5924" s="182" t="n">
        <v>0</v>
      </c>
      <c r="W5924" s="182" t="n">
        <v>0</v>
      </c>
      <c r="X5924" s="182" t="n">
        <v>1.05</v>
      </c>
      <c r="Y5924" s="182" t="n">
        <v>0</v>
      </c>
      <c r="Z5924" s="182" t="n">
        <v>0.07000000000000001</v>
      </c>
      <c r="AA5924" s="182" t="n">
        <v>0</v>
      </c>
      <c r="AB5924" s="182" t="n">
        <v>0</v>
      </c>
      <c r="AC5924" s="182" t="n">
        <v>0</v>
      </c>
      <c r="AD5924" s="182" t="n">
        <v>0</v>
      </c>
      <c r="AE5924" s="182" t="n">
        <v>0</v>
      </c>
      <c r="AF5924" s="182" t="n">
        <v>0</v>
      </c>
      <c r="AG5924" s="182" t="n">
        <v>0</v>
      </c>
      <c r="AH5924" s="182" t="n">
        <v>0.16</v>
      </c>
      <c r="AI5924" s="182" t="n">
        <v>0</v>
      </c>
      <c r="AJ5924" s="182" t="n">
        <v>0</v>
      </c>
      <c r="AK5924" s="182" t="n">
        <v>0</v>
      </c>
      <c r="AL5924" s="182" t="n">
        <v>3.37</v>
      </c>
      <c r="AM5924" s="182" t="n">
        <v>0.08</v>
      </c>
      <c r="AN5924" s="182" t="n">
        <v>0</v>
      </c>
    </row>
    <row r="5925">
      <c r="A5925" s="155" t="n">
        <v>46108</v>
      </c>
      <c r="B5925" s="156" t="inlineStr">
        <is>
          <t>NS</t>
        </is>
      </c>
      <c r="C5925" s="156" t="inlineStr">
        <is>
          <t>DT-509</t>
        </is>
      </c>
      <c r="D5925" s="156" t="inlineStr">
        <is>
          <t>SKT 105S</t>
        </is>
      </c>
      <c r="E5925" s="156" t="inlineStr">
        <is>
          <t>Hauler</t>
        </is>
      </c>
      <c r="F5925" s="156" t="inlineStr"/>
      <c r="G5925" s="182" t="n">
        <v>0</v>
      </c>
      <c r="H5925" s="182" t="n">
        <v>0</v>
      </c>
      <c r="I5925" s="182" t="n">
        <v>12</v>
      </c>
      <c r="J5925" s="182" t="n">
        <v>12</v>
      </c>
      <c r="K5925" s="182" t="n">
        <v>0</v>
      </c>
      <c r="L5925" s="182" t="n">
        <v>12</v>
      </c>
      <c r="M5925" s="182" t="n">
        <v>0</v>
      </c>
      <c r="N5925" s="182" t="n">
        <v>0</v>
      </c>
      <c r="O5925" s="183" t="n">
        <v>0</v>
      </c>
      <c r="P5925" s="183" t="n">
        <v>0</v>
      </c>
      <c r="Q5925" s="184" t="n">
        <v>0</v>
      </c>
      <c r="R5925" s="184" t="n">
        <v>0</v>
      </c>
      <c r="S5925" s="183" t="n">
        <v>0</v>
      </c>
      <c r="T5925" s="183" t="n">
        <v>0</v>
      </c>
      <c r="U5925" s="182" t="n">
        <v>0</v>
      </c>
      <c r="V5925" s="182" t="n">
        <v>0</v>
      </c>
      <c r="W5925" s="182" t="n">
        <v>0</v>
      </c>
      <c r="X5925" s="182" t="n">
        <v>0</v>
      </c>
      <c r="Y5925" s="182" t="n">
        <v>0</v>
      </c>
      <c r="Z5925" s="182" t="n">
        <v>0</v>
      </c>
      <c r="AA5925" s="182" t="n">
        <v>0</v>
      </c>
      <c r="AB5925" s="182" t="n">
        <v>0</v>
      </c>
      <c r="AC5925" s="182" t="n">
        <v>0</v>
      </c>
      <c r="AD5925" s="182" t="n">
        <v>0</v>
      </c>
      <c r="AE5925" s="182" t="n">
        <v>0</v>
      </c>
      <c r="AF5925" s="182" t="n">
        <v>0</v>
      </c>
      <c r="AG5925" s="182" t="n">
        <v>0</v>
      </c>
      <c r="AH5925" s="182" t="n">
        <v>0</v>
      </c>
      <c r="AI5925" s="182" t="n">
        <v>0</v>
      </c>
      <c r="AJ5925" s="182" t="n">
        <v>0</v>
      </c>
      <c r="AK5925" s="182" t="n">
        <v>0</v>
      </c>
      <c r="AL5925" s="182" t="n">
        <v>0</v>
      </c>
      <c r="AM5925" s="182" t="n">
        <v>0</v>
      </c>
      <c r="AN5925" s="182" t="n">
        <v>0</v>
      </c>
    </row>
    <row r="5926">
      <c r="A5926" s="155" t="n">
        <v>46108</v>
      </c>
      <c r="B5926" s="156" t="inlineStr">
        <is>
          <t>NS</t>
        </is>
      </c>
      <c r="C5926" s="156" t="inlineStr">
        <is>
          <t>DT-526</t>
        </is>
      </c>
      <c r="D5926" s="156" t="inlineStr">
        <is>
          <t>SKT 105S</t>
        </is>
      </c>
      <c r="E5926" s="156" t="inlineStr">
        <is>
          <t>Hauler</t>
        </is>
      </c>
      <c r="F5926" s="156" t="inlineStr">
        <is>
          <t>Hauling Coal &amp; OB</t>
        </is>
      </c>
      <c r="G5926" s="182" t="n">
        <v>6.86</v>
      </c>
      <c r="H5926" s="182" t="n">
        <v>0</v>
      </c>
      <c r="I5926" s="182" t="n">
        <v>0</v>
      </c>
      <c r="J5926" s="182" t="n">
        <v>0</v>
      </c>
      <c r="K5926" s="182" t="n">
        <v>5.14</v>
      </c>
      <c r="L5926" s="182" t="n">
        <v>12</v>
      </c>
      <c r="M5926" s="182" t="n">
        <v>1.74</v>
      </c>
      <c r="N5926" s="182" t="n">
        <v>5.12</v>
      </c>
      <c r="O5926" s="183" t="n">
        <v>6</v>
      </c>
      <c r="P5926" s="183" t="n">
        <v>15</v>
      </c>
      <c r="Q5926" s="184" t="n">
        <v>122.4</v>
      </c>
      <c r="R5926" s="184" t="n">
        <v>280.5</v>
      </c>
      <c r="S5926" s="183" t="n">
        <v>0</v>
      </c>
      <c r="T5926" s="183" t="n">
        <v>0</v>
      </c>
      <c r="U5926" s="182" t="n">
        <v>0</v>
      </c>
      <c r="V5926" s="182" t="n">
        <v>0</v>
      </c>
      <c r="W5926" s="182" t="n">
        <v>0</v>
      </c>
      <c r="X5926" s="182" t="n">
        <v>0.97</v>
      </c>
      <c r="Y5926" s="182" t="n">
        <v>0</v>
      </c>
      <c r="Z5926" s="182" t="n">
        <v>0.07000000000000001</v>
      </c>
      <c r="AA5926" s="182" t="n">
        <v>0</v>
      </c>
      <c r="AB5926" s="182" t="n">
        <v>0</v>
      </c>
      <c r="AC5926" s="182" t="n">
        <v>0</v>
      </c>
      <c r="AD5926" s="182" t="n">
        <v>0</v>
      </c>
      <c r="AE5926" s="182" t="n">
        <v>0</v>
      </c>
      <c r="AF5926" s="182" t="n">
        <v>0</v>
      </c>
      <c r="AG5926" s="182" t="n">
        <v>0.32</v>
      </c>
      <c r="AH5926" s="182" t="n">
        <v>0.5600000000000001</v>
      </c>
      <c r="AI5926" s="182" t="n">
        <v>0</v>
      </c>
      <c r="AJ5926" s="182" t="n">
        <v>0</v>
      </c>
      <c r="AK5926" s="182" t="n">
        <v>0</v>
      </c>
      <c r="AL5926" s="182" t="n">
        <v>3.13</v>
      </c>
      <c r="AM5926" s="182" t="n">
        <v>0.08</v>
      </c>
      <c r="AN5926" s="182" t="n">
        <v>0</v>
      </c>
    </row>
    <row r="5927">
      <c r="A5927" s="155" t="n">
        <v>46108</v>
      </c>
      <c r="B5927" s="156" t="inlineStr">
        <is>
          <t>NS</t>
        </is>
      </c>
      <c r="C5927" s="156" t="inlineStr">
        <is>
          <t>DT-508</t>
        </is>
      </c>
      <c r="D5927" s="156" t="inlineStr">
        <is>
          <t>SKT 105S</t>
        </is>
      </c>
      <c r="E5927" s="156" t="inlineStr">
        <is>
          <t>Hauler</t>
        </is>
      </c>
      <c r="F5927" s="156" t="inlineStr">
        <is>
          <t>Hauling OB &amp; Coal S60CUL</t>
        </is>
      </c>
      <c r="G5927" s="182" t="n">
        <v>7.29</v>
      </c>
      <c r="H5927" s="182" t="n">
        <v>0</v>
      </c>
      <c r="I5927" s="182" t="n">
        <v>0</v>
      </c>
      <c r="J5927" s="182" t="n">
        <v>0</v>
      </c>
      <c r="K5927" s="182" t="n">
        <v>4.71</v>
      </c>
      <c r="L5927" s="182" t="n">
        <v>12</v>
      </c>
      <c r="M5927" s="182" t="n">
        <v>3.82</v>
      </c>
      <c r="N5927" s="182" t="n">
        <v>3.47</v>
      </c>
      <c r="O5927" s="183" t="n">
        <v>10</v>
      </c>
      <c r="P5927" s="183" t="n">
        <v>11</v>
      </c>
      <c r="Q5927" s="184" t="n">
        <v>194.9</v>
      </c>
      <c r="R5927" s="184" t="n">
        <v>205.7</v>
      </c>
      <c r="S5927" s="183" t="n">
        <v>0</v>
      </c>
      <c r="T5927" s="183" t="n">
        <v>0</v>
      </c>
      <c r="U5927" s="182" t="n">
        <v>0</v>
      </c>
      <c r="V5927" s="182" t="n">
        <v>0</v>
      </c>
      <c r="W5927" s="182" t="n">
        <v>0</v>
      </c>
      <c r="X5927" s="182" t="n">
        <v>0.9399999999999999</v>
      </c>
      <c r="Y5927" s="182" t="n">
        <v>0</v>
      </c>
      <c r="Z5927" s="182" t="n">
        <v>0.07000000000000001</v>
      </c>
      <c r="AA5927" s="182" t="n">
        <v>0</v>
      </c>
      <c r="AB5927" s="182" t="n">
        <v>0</v>
      </c>
      <c r="AC5927" s="182" t="n">
        <v>0</v>
      </c>
      <c r="AD5927" s="182" t="n">
        <v>0.99</v>
      </c>
      <c r="AE5927" s="182" t="n">
        <v>0</v>
      </c>
      <c r="AF5927" s="182" t="n">
        <v>0</v>
      </c>
      <c r="AG5927" s="182" t="n">
        <v>0.42</v>
      </c>
      <c r="AH5927" s="182" t="n">
        <v>0.8</v>
      </c>
      <c r="AI5927" s="182" t="n">
        <v>0</v>
      </c>
      <c r="AJ5927" s="182" t="n">
        <v>0</v>
      </c>
      <c r="AK5927" s="182" t="n">
        <v>0</v>
      </c>
      <c r="AL5927" s="182" t="n">
        <v>1.41</v>
      </c>
      <c r="AM5927" s="182" t="n">
        <v>0.08</v>
      </c>
      <c r="AN5927" s="182" t="n">
        <v>0</v>
      </c>
    </row>
    <row r="5928">
      <c r="A5928" s="155" t="n">
        <v>46108</v>
      </c>
      <c r="B5928" s="156" t="inlineStr">
        <is>
          <t>NS</t>
        </is>
      </c>
      <c r="C5928" s="156" t="inlineStr">
        <is>
          <t>DT-515</t>
        </is>
      </c>
      <c r="D5928" s="156" t="inlineStr">
        <is>
          <t>SKT 105S</t>
        </is>
      </c>
      <c r="E5928" s="156" t="inlineStr">
        <is>
          <t>Hauler</t>
        </is>
      </c>
      <c r="F5928" s="156" t="inlineStr">
        <is>
          <t>Hauling Coal &amp; OB</t>
        </is>
      </c>
      <c r="G5928" s="182" t="n">
        <v>6.81</v>
      </c>
      <c r="H5928" s="182" t="n">
        <v>0</v>
      </c>
      <c r="I5928" s="182" t="n">
        <v>0</v>
      </c>
      <c r="J5928" s="182" t="n">
        <v>0</v>
      </c>
      <c r="K5928" s="182" t="n">
        <v>5.19</v>
      </c>
      <c r="L5928" s="182" t="n">
        <v>12</v>
      </c>
      <c r="M5928" s="182" t="n">
        <v>1.62</v>
      </c>
      <c r="N5928" s="182" t="n">
        <v>5.18</v>
      </c>
      <c r="O5928" s="183" t="n">
        <v>8</v>
      </c>
      <c r="P5928" s="183" t="n">
        <v>16</v>
      </c>
      <c r="Q5928" s="184" t="n">
        <v>163.2</v>
      </c>
      <c r="R5928" s="184" t="n">
        <v>299.2</v>
      </c>
      <c r="S5928" s="183" t="n">
        <v>0</v>
      </c>
      <c r="T5928" s="183" t="n">
        <v>0</v>
      </c>
      <c r="U5928" s="182" t="n">
        <v>0</v>
      </c>
      <c r="V5928" s="182" t="n">
        <v>0</v>
      </c>
      <c r="W5928" s="182" t="n">
        <v>0</v>
      </c>
      <c r="X5928" s="182" t="n">
        <v>1.04</v>
      </c>
      <c r="Y5928" s="182" t="n">
        <v>0</v>
      </c>
      <c r="Z5928" s="182" t="n">
        <v>0</v>
      </c>
      <c r="AA5928" s="182" t="n">
        <v>0</v>
      </c>
      <c r="AB5928" s="182" t="n">
        <v>0</v>
      </c>
      <c r="AC5928" s="182" t="n">
        <v>0</v>
      </c>
      <c r="AD5928" s="182" t="n">
        <v>0</v>
      </c>
      <c r="AE5928" s="182" t="n">
        <v>0</v>
      </c>
      <c r="AF5928" s="182" t="n">
        <v>0</v>
      </c>
      <c r="AG5928" s="182" t="n">
        <v>0</v>
      </c>
      <c r="AH5928" s="182" t="n">
        <v>0.71</v>
      </c>
      <c r="AI5928" s="182" t="n">
        <v>0</v>
      </c>
      <c r="AJ5928" s="182" t="n">
        <v>0</v>
      </c>
      <c r="AK5928" s="182" t="n">
        <v>0</v>
      </c>
      <c r="AL5928" s="182" t="n">
        <v>3.35</v>
      </c>
      <c r="AM5928" s="182" t="n">
        <v>0.08</v>
      </c>
      <c r="AN5928" s="182" t="n">
        <v>0</v>
      </c>
    </row>
    <row r="5929">
      <c r="A5929" s="155" t="n">
        <v>46108</v>
      </c>
      <c r="B5929" s="156" t="inlineStr">
        <is>
          <t>NS</t>
        </is>
      </c>
      <c r="C5929" s="156" t="inlineStr">
        <is>
          <t>DT-524</t>
        </is>
      </c>
      <c r="D5929" s="156" t="inlineStr">
        <is>
          <t>SKT 105S</t>
        </is>
      </c>
      <c r="E5929" s="156" t="inlineStr">
        <is>
          <t>Hauler</t>
        </is>
      </c>
      <c r="F5929" s="156" t="inlineStr"/>
      <c r="G5929" s="182" t="n">
        <v>0</v>
      </c>
      <c r="H5929" s="182" t="n">
        <v>0</v>
      </c>
      <c r="I5929" s="182" t="n">
        <v>12</v>
      </c>
      <c r="J5929" s="182" t="n">
        <v>12</v>
      </c>
      <c r="K5929" s="182" t="n">
        <v>0</v>
      </c>
      <c r="L5929" s="182" t="n">
        <v>12</v>
      </c>
      <c r="M5929" s="182" t="n">
        <v>0</v>
      </c>
      <c r="N5929" s="182" t="n">
        <v>0</v>
      </c>
      <c r="O5929" s="183" t="n">
        <v>0</v>
      </c>
      <c r="P5929" s="183" t="n">
        <v>0</v>
      </c>
      <c r="Q5929" s="184" t="n">
        <v>0</v>
      </c>
      <c r="R5929" s="184" t="n">
        <v>0</v>
      </c>
      <c r="S5929" s="183" t="n">
        <v>0</v>
      </c>
      <c r="T5929" s="183" t="n">
        <v>0</v>
      </c>
      <c r="U5929" s="182" t="n">
        <v>0</v>
      </c>
      <c r="V5929" s="182" t="n">
        <v>0</v>
      </c>
      <c r="W5929" s="182" t="n">
        <v>0</v>
      </c>
      <c r="X5929" s="182" t="n">
        <v>0</v>
      </c>
      <c r="Y5929" s="182" t="n">
        <v>0</v>
      </c>
      <c r="Z5929" s="182" t="n">
        <v>0</v>
      </c>
      <c r="AA5929" s="182" t="n">
        <v>0</v>
      </c>
      <c r="AB5929" s="182" t="n">
        <v>0</v>
      </c>
      <c r="AC5929" s="182" t="n">
        <v>0</v>
      </c>
      <c r="AD5929" s="182" t="n">
        <v>0</v>
      </c>
      <c r="AE5929" s="182" t="n">
        <v>0</v>
      </c>
      <c r="AF5929" s="182" t="n">
        <v>0</v>
      </c>
      <c r="AG5929" s="182" t="n">
        <v>0</v>
      </c>
      <c r="AH5929" s="182" t="n">
        <v>0</v>
      </c>
      <c r="AI5929" s="182" t="n">
        <v>0</v>
      </c>
      <c r="AJ5929" s="182" t="n">
        <v>0</v>
      </c>
      <c r="AK5929" s="182" t="n">
        <v>0</v>
      </c>
      <c r="AL5929" s="182" t="n">
        <v>0</v>
      </c>
      <c r="AM5929" s="182" t="n">
        <v>0</v>
      </c>
      <c r="AN5929" s="182" t="n">
        <v>0</v>
      </c>
    </row>
    <row r="5930">
      <c r="A5930" s="155" t="n">
        <v>46108</v>
      </c>
      <c r="B5930" s="156" t="inlineStr">
        <is>
          <t>NS</t>
        </is>
      </c>
      <c r="C5930" s="156" t="inlineStr">
        <is>
          <t>DT-341</t>
        </is>
      </c>
      <c r="D5930" s="156" t="inlineStr">
        <is>
          <t>SYZ324C-8W</t>
        </is>
      </c>
      <c r="E5930" s="156" t="inlineStr">
        <is>
          <t>Hauler</t>
        </is>
      </c>
      <c r="F5930" s="156" t="inlineStr">
        <is>
          <t>Rehandling Material di Washing Plant</t>
        </is>
      </c>
      <c r="G5930" s="182" t="n">
        <v>5.35</v>
      </c>
      <c r="H5930" s="182" t="n">
        <v>0</v>
      </c>
      <c r="I5930" s="182" t="n">
        <v>0</v>
      </c>
      <c r="J5930" s="182" t="n">
        <v>0</v>
      </c>
      <c r="K5930" s="182" t="n">
        <v>6.65</v>
      </c>
      <c r="L5930" s="182" t="n">
        <v>12</v>
      </c>
      <c r="M5930" s="182" t="n">
        <v>0</v>
      </c>
      <c r="N5930" s="182" t="n">
        <v>0</v>
      </c>
      <c r="O5930" s="183" t="n">
        <v>0</v>
      </c>
      <c r="P5930" s="183" t="n">
        <v>0</v>
      </c>
      <c r="Q5930" s="184" t="n">
        <v>0</v>
      </c>
      <c r="R5930" s="184" t="n">
        <v>0</v>
      </c>
      <c r="S5930" s="183" t="n">
        <v>0</v>
      </c>
      <c r="T5930" s="183" t="n">
        <v>0</v>
      </c>
      <c r="U5930" s="182" t="n">
        <v>0</v>
      </c>
      <c r="V5930" s="182" t="n">
        <v>0</v>
      </c>
      <c r="W5930" s="182" t="n">
        <v>0</v>
      </c>
      <c r="X5930" s="182" t="n">
        <v>1.09</v>
      </c>
      <c r="Y5930" s="182" t="n">
        <v>0</v>
      </c>
      <c r="Z5930" s="182" t="n">
        <v>0</v>
      </c>
      <c r="AA5930" s="182" t="n">
        <v>0</v>
      </c>
      <c r="AB5930" s="182" t="n">
        <v>0</v>
      </c>
      <c r="AC5930" s="182" t="n">
        <v>0</v>
      </c>
      <c r="AD5930" s="182" t="n">
        <v>0</v>
      </c>
      <c r="AE5930" s="182" t="n">
        <v>0</v>
      </c>
      <c r="AF5930" s="182" t="n">
        <v>0</v>
      </c>
      <c r="AG5930" s="182" t="n">
        <v>0</v>
      </c>
      <c r="AH5930" s="182" t="n">
        <v>0</v>
      </c>
      <c r="AI5930" s="182" t="n">
        <v>0</v>
      </c>
      <c r="AJ5930" s="182" t="n">
        <v>0</v>
      </c>
      <c r="AK5930" s="182" t="n">
        <v>2.2</v>
      </c>
      <c r="AL5930" s="182" t="n">
        <v>3.27</v>
      </c>
      <c r="AM5930" s="182" t="n">
        <v>0.09</v>
      </c>
      <c r="AN5930" s="182" t="n">
        <v>0</v>
      </c>
    </row>
    <row r="5931">
      <c r="A5931" s="155" t="n">
        <v>46108</v>
      </c>
      <c r="B5931" s="156" t="inlineStr">
        <is>
          <t>NS</t>
        </is>
      </c>
      <c r="C5931" s="156" t="inlineStr">
        <is>
          <t>DT-342</t>
        </is>
      </c>
      <c r="D5931" s="156" t="inlineStr">
        <is>
          <t>SYZ324C-8W</t>
        </is>
      </c>
      <c r="E5931" s="156" t="inlineStr">
        <is>
          <t>Hauler</t>
        </is>
      </c>
      <c r="F5931" s="156" t="inlineStr">
        <is>
          <t>Rehandling Material di Washing Plant</t>
        </is>
      </c>
      <c r="G5931" s="182" t="n">
        <v>3.96</v>
      </c>
      <c r="H5931" s="182" t="n">
        <v>0</v>
      </c>
      <c r="I5931" s="182" t="n">
        <v>0</v>
      </c>
      <c r="J5931" s="182" t="n">
        <v>0</v>
      </c>
      <c r="K5931" s="182" t="n">
        <v>8.039999999999999</v>
      </c>
      <c r="L5931" s="182" t="n">
        <v>12</v>
      </c>
      <c r="M5931" s="182" t="n">
        <v>0</v>
      </c>
      <c r="N5931" s="182" t="n">
        <v>0</v>
      </c>
      <c r="O5931" s="183" t="n">
        <v>0</v>
      </c>
      <c r="P5931" s="183" t="n">
        <v>0</v>
      </c>
      <c r="Q5931" s="184" t="n">
        <v>0</v>
      </c>
      <c r="R5931" s="184" t="n">
        <v>0</v>
      </c>
      <c r="S5931" s="183" t="n">
        <v>0</v>
      </c>
      <c r="T5931" s="183" t="n">
        <v>0</v>
      </c>
      <c r="U5931" s="182" t="n">
        <v>0</v>
      </c>
      <c r="V5931" s="182" t="n">
        <v>0</v>
      </c>
      <c r="W5931" s="182" t="n">
        <v>0</v>
      </c>
      <c r="X5931" s="182" t="n">
        <v>0.99</v>
      </c>
      <c r="Y5931" s="182" t="n">
        <v>0</v>
      </c>
      <c r="Z5931" s="182" t="n">
        <v>0.07000000000000001</v>
      </c>
      <c r="AA5931" s="182" t="n">
        <v>0</v>
      </c>
      <c r="AB5931" s="182" t="n">
        <v>0</v>
      </c>
      <c r="AC5931" s="182" t="n">
        <v>0</v>
      </c>
      <c r="AD5931" s="182" t="n">
        <v>0</v>
      </c>
      <c r="AE5931" s="182" t="n">
        <v>0</v>
      </c>
      <c r="AF5931" s="182" t="n">
        <v>0</v>
      </c>
      <c r="AG5931" s="182" t="n">
        <v>0</v>
      </c>
      <c r="AH5931" s="182" t="n">
        <v>0</v>
      </c>
      <c r="AI5931" s="182" t="n">
        <v>0</v>
      </c>
      <c r="AJ5931" s="182" t="n">
        <v>0</v>
      </c>
      <c r="AK5931" s="182" t="n">
        <v>3.92</v>
      </c>
      <c r="AL5931" s="182" t="n">
        <v>2.98</v>
      </c>
      <c r="AM5931" s="182" t="n">
        <v>0.08</v>
      </c>
      <c r="AN5931" s="182" t="n">
        <v>0</v>
      </c>
    </row>
    <row r="5932">
      <c r="A5932" s="155" t="n">
        <v>46108</v>
      </c>
      <c r="B5932" s="156" t="inlineStr">
        <is>
          <t>NS</t>
        </is>
      </c>
      <c r="C5932" s="156" t="inlineStr">
        <is>
          <t>HD-903</t>
        </is>
      </c>
      <c r="D5932" s="156" t="inlineStr">
        <is>
          <t>SRT 95C</t>
        </is>
      </c>
      <c r="E5932" s="156" t="inlineStr">
        <is>
          <t>Hauler</t>
        </is>
      </c>
      <c r="F5932" s="156" t="inlineStr"/>
      <c r="G5932" s="182" t="n">
        <v>0</v>
      </c>
      <c r="H5932" s="182" t="n">
        <v>0</v>
      </c>
      <c r="I5932" s="182" t="n">
        <v>12</v>
      </c>
      <c r="J5932" s="182" t="n">
        <v>12</v>
      </c>
      <c r="K5932" s="182" t="n">
        <v>0</v>
      </c>
      <c r="L5932" s="182" t="n">
        <v>12</v>
      </c>
      <c r="M5932" s="182" t="n">
        <v>0</v>
      </c>
      <c r="N5932" s="182" t="n">
        <v>0</v>
      </c>
      <c r="O5932" s="183" t="n">
        <v>0</v>
      </c>
      <c r="P5932" s="183" t="n">
        <v>0</v>
      </c>
      <c r="Q5932" s="184" t="n">
        <v>0</v>
      </c>
      <c r="R5932" s="184" t="n">
        <v>0</v>
      </c>
      <c r="S5932" s="183" t="n">
        <v>0</v>
      </c>
      <c r="T5932" s="183" t="n">
        <v>0</v>
      </c>
      <c r="U5932" s="182" t="n">
        <v>0</v>
      </c>
      <c r="V5932" s="182" t="n">
        <v>0</v>
      </c>
      <c r="W5932" s="182" t="n">
        <v>0</v>
      </c>
      <c r="X5932" s="182" t="n">
        <v>0</v>
      </c>
      <c r="Y5932" s="182" t="n">
        <v>0</v>
      </c>
      <c r="Z5932" s="182" t="n">
        <v>0</v>
      </c>
      <c r="AA5932" s="182" t="n">
        <v>0</v>
      </c>
      <c r="AB5932" s="182" t="n">
        <v>0</v>
      </c>
      <c r="AC5932" s="182" t="n">
        <v>0</v>
      </c>
      <c r="AD5932" s="182" t="n">
        <v>0</v>
      </c>
      <c r="AE5932" s="182" t="n">
        <v>0</v>
      </c>
      <c r="AF5932" s="182" t="n">
        <v>0</v>
      </c>
      <c r="AG5932" s="182" t="n">
        <v>0</v>
      </c>
      <c r="AH5932" s="182" t="n">
        <v>0</v>
      </c>
      <c r="AI5932" s="182" t="n">
        <v>0</v>
      </c>
      <c r="AJ5932" s="182" t="n">
        <v>0</v>
      </c>
      <c r="AK5932" s="182" t="n">
        <v>0</v>
      </c>
      <c r="AL5932" s="182" t="n">
        <v>0</v>
      </c>
      <c r="AM5932" s="182" t="n">
        <v>0</v>
      </c>
      <c r="AN5932" s="182" t="n">
        <v>0</v>
      </c>
    </row>
    <row r="5933">
      <c r="A5933" s="155" t="n">
        <v>46108</v>
      </c>
      <c r="B5933" s="156" t="inlineStr">
        <is>
          <t>NS</t>
        </is>
      </c>
      <c r="C5933" s="156" t="inlineStr">
        <is>
          <t>HD-905</t>
        </is>
      </c>
      <c r="D5933" s="156" t="inlineStr">
        <is>
          <t>SRT 95C</t>
        </is>
      </c>
      <c r="E5933" s="156" t="inlineStr">
        <is>
          <t>Hauler</t>
        </is>
      </c>
      <c r="F5933" s="156" t="inlineStr">
        <is>
          <t>Hauling OB</t>
        </is>
      </c>
      <c r="G5933" s="182" t="n">
        <v>0.83</v>
      </c>
      <c r="H5933" s="182" t="n">
        <v>0</v>
      </c>
      <c r="I5933" s="182" t="n">
        <v>0</v>
      </c>
      <c r="J5933" s="182" t="n">
        <v>0</v>
      </c>
      <c r="K5933" s="182" t="n">
        <v>11.17</v>
      </c>
      <c r="L5933" s="182" t="n">
        <v>12</v>
      </c>
      <c r="M5933" s="182" t="n">
        <v>0.83</v>
      </c>
      <c r="N5933" s="182" t="n">
        <v>0</v>
      </c>
      <c r="O5933" s="183" t="n">
        <v>4</v>
      </c>
      <c r="P5933" s="183" t="n">
        <v>0</v>
      </c>
      <c r="Q5933" s="184" t="n">
        <v>142.8</v>
      </c>
      <c r="R5933" s="184" t="n">
        <v>0</v>
      </c>
      <c r="S5933" s="183" t="n">
        <v>0</v>
      </c>
      <c r="T5933" s="183" t="n">
        <v>0</v>
      </c>
      <c r="U5933" s="182" t="n">
        <v>0</v>
      </c>
      <c r="V5933" s="182" t="n">
        <v>0</v>
      </c>
      <c r="W5933" s="182" t="n">
        <v>0</v>
      </c>
      <c r="X5933" s="182" t="n">
        <v>1.02</v>
      </c>
      <c r="Y5933" s="182" t="n">
        <v>0</v>
      </c>
      <c r="Z5933" s="182" t="n">
        <v>0</v>
      </c>
      <c r="AA5933" s="182" t="n">
        <v>0</v>
      </c>
      <c r="AB5933" s="182" t="n">
        <v>0</v>
      </c>
      <c r="AC5933" s="182" t="n">
        <v>0</v>
      </c>
      <c r="AD5933" s="182" t="n">
        <v>10.07</v>
      </c>
      <c r="AE5933" s="182" t="n">
        <v>0</v>
      </c>
      <c r="AF5933" s="182" t="n">
        <v>0</v>
      </c>
      <c r="AG5933" s="182" t="n">
        <v>0</v>
      </c>
      <c r="AH5933" s="182" t="n">
        <v>0</v>
      </c>
      <c r="AI5933" s="182" t="n">
        <v>0</v>
      </c>
      <c r="AJ5933" s="182" t="n">
        <v>0</v>
      </c>
      <c r="AK5933" s="182" t="n">
        <v>0</v>
      </c>
      <c r="AL5933" s="182" t="n">
        <v>0</v>
      </c>
      <c r="AM5933" s="182" t="n">
        <v>0.08</v>
      </c>
      <c r="AN5933" s="182" t="n">
        <v>0</v>
      </c>
    </row>
    <row r="5934">
      <c r="A5934" s="155" t="n">
        <v>46108</v>
      </c>
      <c r="B5934" s="156" t="inlineStr">
        <is>
          <t>NS</t>
        </is>
      </c>
      <c r="C5934" s="156" t="inlineStr">
        <is>
          <t>HD-901</t>
        </is>
      </c>
      <c r="D5934" s="156" t="inlineStr">
        <is>
          <t>SRT 95C</t>
        </is>
      </c>
      <c r="E5934" s="156" t="inlineStr">
        <is>
          <t>Hauler</t>
        </is>
      </c>
      <c r="F5934" s="156" t="inlineStr"/>
      <c r="G5934" s="182" t="n">
        <v>0</v>
      </c>
      <c r="H5934" s="182" t="n">
        <v>0</v>
      </c>
      <c r="I5934" s="182" t="n">
        <v>0</v>
      </c>
      <c r="J5934" s="182" t="n">
        <v>0</v>
      </c>
      <c r="K5934" s="182" t="n">
        <v>12</v>
      </c>
      <c r="L5934" s="182" t="n">
        <v>12</v>
      </c>
      <c r="M5934" s="182" t="n">
        <v>0</v>
      </c>
      <c r="N5934" s="182" t="n">
        <v>0</v>
      </c>
      <c r="O5934" s="183" t="n">
        <v>0</v>
      </c>
      <c r="P5934" s="183" t="n">
        <v>0</v>
      </c>
      <c r="Q5934" s="184" t="n">
        <v>0</v>
      </c>
      <c r="R5934" s="184" t="n">
        <v>0</v>
      </c>
      <c r="S5934" s="183" t="n">
        <v>0</v>
      </c>
      <c r="T5934" s="183" t="n">
        <v>0</v>
      </c>
      <c r="U5934" s="182" t="n">
        <v>0</v>
      </c>
      <c r="V5934" s="182" t="n">
        <v>0</v>
      </c>
      <c r="W5934" s="182" t="n">
        <v>0</v>
      </c>
      <c r="X5934" s="182" t="n">
        <v>1</v>
      </c>
      <c r="Y5934" s="182" t="n">
        <v>0</v>
      </c>
      <c r="Z5934" s="182" t="n">
        <v>0</v>
      </c>
      <c r="AA5934" s="182" t="n">
        <v>0</v>
      </c>
      <c r="AB5934" s="182" t="n">
        <v>0</v>
      </c>
      <c r="AC5934" s="182" t="n">
        <v>0</v>
      </c>
      <c r="AD5934" s="182" t="n">
        <v>0</v>
      </c>
      <c r="AE5934" s="182" t="n">
        <v>0</v>
      </c>
      <c r="AF5934" s="182" t="n">
        <v>0</v>
      </c>
      <c r="AG5934" s="182" t="n">
        <v>0</v>
      </c>
      <c r="AH5934" s="182" t="n">
        <v>0</v>
      </c>
      <c r="AI5934" s="182" t="n">
        <v>10.92</v>
      </c>
      <c r="AJ5934" s="182" t="n">
        <v>0</v>
      </c>
      <c r="AK5934" s="182" t="n">
        <v>0</v>
      </c>
      <c r="AL5934" s="182" t="n">
        <v>0</v>
      </c>
      <c r="AM5934" s="182" t="n">
        <v>0.08</v>
      </c>
      <c r="AN5934" s="182" t="n">
        <v>0</v>
      </c>
    </row>
    <row r="5935">
      <c r="A5935" s="155" t="n">
        <v>46108</v>
      </c>
      <c r="B5935" s="156" t="inlineStr">
        <is>
          <t>NS</t>
        </is>
      </c>
      <c r="C5935" s="156" t="inlineStr">
        <is>
          <t>HD-904</t>
        </is>
      </c>
      <c r="D5935" s="156" t="inlineStr">
        <is>
          <t>SRT 95C</t>
        </is>
      </c>
      <c r="E5935" s="156" t="inlineStr">
        <is>
          <t>Hauler</t>
        </is>
      </c>
      <c r="F5935" s="156" t="inlineStr">
        <is>
          <t>Hauling OB</t>
        </is>
      </c>
      <c r="G5935" s="182" t="n">
        <v>0.89</v>
      </c>
      <c r="H5935" s="182" t="n">
        <v>0</v>
      </c>
      <c r="I5935" s="182" t="n">
        <v>0</v>
      </c>
      <c r="J5935" s="182" t="n">
        <v>0</v>
      </c>
      <c r="K5935" s="182" t="n">
        <v>11.11</v>
      </c>
      <c r="L5935" s="182" t="n">
        <v>12</v>
      </c>
      <c r="M5935" s="182" t="n">
        <v>0.89</v>
      </c>
      <c r="N5935" s="182" t="n">
        <v>0</v>
      </c>
      <c r="O5935" s="183" t="n">
        <v>3</v>
      </c>
      <c r="P5935" s="183" t="n">
        <v>0</v>
      </c>
      <c r="Q5935" s="184" t="n">
        <v>107.1</v>
      </c>
      <c r="R5935" s="184" t="n">
        <v>0</v>
      </c>
      <c r="S5935" s="183" t="n">
        <v>0</v>
      </c>
      <c r="T5935" s="183" t="n">
        <v>0</v>
      </c>
      <c r="U5935" s="182" t="n">
        <v>0</v>
      </c>
      <c r="V5935" s="182" t="n">
        <v>0</v>
      </c>
      <c r="W5935" s="182" t="n">
        <v>0</v>
      </c>
      <c r="X5935" s="182" t="n">
        <v>1</v>
      </c>
      <c r="Y5935" s="182" t="n">
        <v>0</v>
      </c>
      <c r="Z5935" s="182" t="n">
        <v>0.07000000000000001</v>
      </c>
      <c r="AA5935" s="182" t="n">
        <v>0</v>
      </c>
      <c r="AB5935" s="182" t="n">
        <v>0</v>
      </c>
      <c r="AC5935" s="182" t="n">
        <v>0</v>
      </c>
      <c r="AD5935" s="182" t="n">
        <v>9.960000000000001</v>
      </c>
      <c r="AE5935" s="182" t="n">
        <v>0</v>
      </c>
      <c r="AF5935" s="182" t="n">
        <v>0</v>
      </c>
      <c r="AG5935" s="182" t="n">
        <v>0</v>
      </c>
      <c r="AH5935" s="182" t="n">
        <v>0</v>
      </c>
      <c r="AI5935" s="182" t="n">
        <v>0</v>
      </c>
      <c r="AJ5935" s="182" t="n">
        <v>0</v>
      </c>
      <c r="AK5935" s="182" t="n">
        <v>0</v>
      </c>
      <c r="AL5935" s="182" t="n">
        <v>0</v>
      </c>
      <c r="AM5935" s="182" t="n">
        <v>0.08</v>
      </c>
      <c r="AN5935" s="182" t="n">
        <v>0</v>
      </c>
    </row>
    <row r="5936">
      <c r="A5936" s="155" t="n">
        <v>46108</v>
      </c>
      <c r="B5936" s="156" t="inlineStr">
        <is>
          <t>NS</t>
        </is>
      </c>
      <c r="C5936" s="156" t="inlineStr">
        <is>
          <t>HD-902</t>
        </is>
      </c>
      <c r="D5936" s="156" t="inlineStr">
        <is>
          <t>SRT 95C</t>
        </is>
      </c>
      <c r="E5936" s="156" t="inlineStr">
        <is>
          <t>Hauler</t>
        </is>
      </c>
      <c r="F5936" s="156" t="inlineStr">
        <is>
          <t>Hauling OB</t>
        </is>
      </c>
      <c r="G5936" s="182" t="n">
        <v>1.11</v>
      </c>
      <c r="H5936" s="182" t="n">
        <v>0</v>
      </c>
      <c r="I5936" s="182" t="n">
        <v>0</v>
      </c>
      <c r="J5936" s="182" t="n">
        <v>0</v>
      </c>
      <c r="K5936" s="182" t="n">
        <v>10.89</v>
      </c>
      <c r="L5936" s="182" t="n">
        <v>12</v>
      </c>
      <c r="M5936" s="182" t="n">
        <v>1.11</v>
      </c>
      <c r="N5936" s="182" t="n">
        <v>0</v>
      </c>
      <c r="O5936" s="183" t="n">
        <v>4</v>
      </c>
      <c r="P5936" s="183" t="n">
        <v>0</v>
      </c>
      <c r="Q5936" s="184" t="n">
        <v>142.8</v>
      </c>
      <c r="R5936" s="184" t="n">
        <v>0</v>
      </c>
      <c r="S5936" s="183" t="n">
        <v>0</v>
      </c>
      <c r="T5936" s="183" t="n">
        <v>0</v>
      </c>
      <c r="U5936" s="182" t="n">
        <v>0</v>
      </c>
      <c r="V5936" s="182" t="n">
        <v>0</v>
      </c>
      <c r="W5936" s="182" t="n">
        <v>0</v>
      </c>
      <c r="X5936" s="182" t="n">
        <v>0.99</v>
      </c>
      <c r="Y5936" s="182" t="n">
        <v>0</v>
      </c>
      <c r="Z5936" s="182" t="n">
        <v>0.07000000000000001</v>
      </c>
      <c r="AA5936" s="182" t="n">
        <v>0</v>
      </c>
      <c r="AB5936" s="182" t="n">
        <v>0</v>
      </c>
      <c r="AC5936" s="182" t="n">
        <v>0</v>
      </c>
      <c r="AD5936" s="182" t="n">
        <v>9.75</v>
      </c>
      <c r="AE5936" s="182" t="n">
        <v>0</v>
      </c>
      <c r="AF5936" s="182" t="n">
        <v>0</v>
      </c>
      <c r="AG5936" s="182" t="n">
        <v>0</v>
      </c>
      <c r="AH5936" s="182" t="n">
        <v>0</v>
      </c>
      <c r="AI5936" s="182" t="n">
        <v>0</v>
      </c>
      <c r="AJ5936" s="182" t="n">
        <v>0</v>
      </c>
      <c r="AK5936" s="182" t="n">
        <v>0</v>
      </c>
      <c r="AL5936" s="182" t="n">
        <v>0</v>
      </c>
      <c r="AM5936" s="182" t="n">
        <v>0.08</v>
      </c>
      <c r="AN5936" s="182" t="n">
        <v>0</v>
      </c>
    </row>
    <row r="5937">
      <c r="A5937" s="155" t="n">
        <v>46108</v>
      </c>
      <c r="B5937" s="156" t="inlineStr">
        <is>
          <t>NS</t>
        </is>
      </c>
      <c r="C5937" s="156" t="inlineStr">
        <is>
          <t>WL-025</t>
        </is>
      </c>
      <c r="D5937" s="156" t="inlineStr">
        <is>
          <t>SANY - Loader</t>
        </is>
      </c>
      <c r="E5937" s="156" t="inlineStr">
        <is>
          <t>Loader</t>
        </is>
      </c>
      <c r="F5937" s="156" t="inlineStr">
        <is>
          <t>Support Jetty</t>
        </is>
      </c>
      <c r="G5937" s="182" t="n">
        <v>6.81</v>
      </c>
      <c r="H5937" s="182" t="n">
        <v>0</v>
      </c>
      <c r="I5937" s="182" t="n">
        <v>0</v>
      </c>
      <c r="J5937" s="182" t="n">
        <v>0</v>
      </c>
      <c r="K5937" s="182" t="n">
        <v>5.19</v>
      </c>
      <c r="L5937" s="182" t="n">
        <v>12</v>
      </c>
      <c r="M5937" s="182" t="n">
        <v>0</v>
      </c>
      <c r="N5937" s="182" t="n">
        <v>0</v>
      </c>
      <c r="O5937" s="183" t="n">
        <v>0</v>
      </c>
      <c r="P5937" s="183" t="n">
        <v>0</v>
      </c>
      <c r="Q5937" s="184" t="n">
        <v>0</v>
      </c>
      <c r="R5937" s="184" t="n">
        <v>0</v>
      </c>
      <c r="S5937" s="183" t="n">
        <v>0</v>
      </c>
      <c r="T5937" s="183" t="n">
        <v>0</v>
      </c>
      <c r="U5937" s="182" t="n">
        <v>0</v>
      </c>
      <c r="V5937" s="182" t="n">
        <v>0</v>
      </c>
      <c r="W5937" s="182" t="n">
        <v>0</v>
      </c>
      <c r="X5937" s="182" t="n">
        <v>0.9399999999999999</v>
      </c>
      <c r="Y5937" s="182" t="n">
        <v>0</v>
      </c>
      <c r="Z5937" s="182" t="n">
        <v>0</v>
      </c>
      <c r="AA5937" s="182" t="n">
        <v>0</v>
      </c>
      <c r="AB5937" s="182" t="n">
        <v>0</v>
      </c>
      <c r="AC5937" s="182" t="n">
        <v>0</v>
      </c>
      <c r="AD5937" s="182" t="n">
        <v>0</v>
      </c>
      <c r="AE5937" s="182" t="n">
        <v>0</v>
      </c>
      <c r="AF5937" s="182" t="n">
        <v>0</v>
      </c>
      <c r="AG5937" s="182" t="n">
        <v>0</v>
      </c>
      <c r="AH5937" s="182" t="n">
        <v>0</v>
      </c>
      <c r="AI5937" s="182" t="n">
        <v>0</v>
      </c>
      <c r="AJ5937" s="182" t="n">
        <v>0</v>
      </c>
      <c r="AK5937" s="182" t="n">
        <v>4.17</v>
      </c>
      <c r="AL5937" s="182" t="n">
        <v>0</v>
      </c>
      <c r="AM5937" s="182" t="n">
        <v>0.08</v>
      </c>
      <c r="AN5937" s="182" t="n">
        <v>0</v>
      </c>
    </row>
    <row r="5938">
      <c r="A5938" s="155" t="n">
        <v>46108</v>
      </c>
      <c r="B5938" s="156" t="inlineStr">
        <is>
          <t>NS</t>
        </is>
      </c>
      <c r="C5938" s="156" t="inlineStr">
        <is>
          <t>WL-023</t>
        </is>
      </c>
      <c r="D5938" s="156" t="inlineStr">
        <is>
          <t>SANY - Loader</t>
        </is>
      </c>
      <c r="E5938" s="156" t="inlineStr">
        <is>
          <t>Loader</t>
        </is>
      </c>
      <c r="F5938" s="156" t="inlineStr"/>
      <c r="G5938" s="182" t="n">
        <v>0</v>
      </c>
      <c r="H5938" s="182" t="n">
        <v>0</v>
      </c>
      <c r="I5938" s="182" t="n">
        <v>0</v>
      </c>
      <c r="J5938" s="182" t="n">
        <v>0</v>
      </c>
      <c r="K5938" s="182" t="n">
        <v>12</v>
      </c>
      <c r="L5938" s="182" t="n">
        <v>12</v>
      </c>
      <c r="M5938" s="182" t="n">
        <v>0</v>
      </c>
      <c r="N5938" s="182" t="n">
        <v>0</v>
      </c>
      <c r="O5938" s="183" t="n">
        <v>0</v>
      </c>
      <c r="P5938" s="183" t="n">
        <v>0</v>
      </c>
      <c r="Q5938" s="184" t="n">
        <v>0</v>
      </c>
      <c r="R5938" s="184" t="n">
        <v>0</v>
      </c>
      <c r="S5938" s="183" t="n">
        <v>0</v>
      </c>
      <c r="T5938" s="183" t="n">
        <v>0</v>
      </c>
      <c r="U5938" s="182" t="n">
        <v>0</v>
      </c>
      <c r="V5938" s="182" t="n">
        <v>0</v>
      </c>
      <c r="W5938" s="182" t="n">
        <v>0</v>
      </c>
      <c r="X5938" s="182" t="n">
        <v>1</v>
      </c>
      <c r="Y5938" s="182" t="n">
        <v>0</v>
      </c>
      <c r="Z5938" s="182" t="n">
        <v>0</v>
      </c>
      <c r="AA5938" s="182" t="n">
        <v>0</v>
      </c>
      <c r="AB5938" s="182" t="n">
        <v>0</v>
      </c>
      <c r="AC5938" s="182" t="n">
        <v>0</v>
      </c>
      <c r="AD5938" s="182" t="n">
        <v>0</v>
      </c>
      <c r="AE5938" s="182" t="n">
        <v>0</v>
      </c>
      <c r="AF5938" s="182" t="n">
        <v>0</v>
      </c>
      <c r="AG5938" s="182" t="n">
        <v>0</v>
      </c>
      <c r="AH5938" s="182" t="n">
        <v>0</v>
      </c>
      <c r="AI5938" s="182" t="n">
        <v>0</v>
      </c>
      <c r="AJ5938" s="182" t="n">
        <v>0</v>
      </c>
      <c r="AK5938" s="182" t="n">
        <v>10.92</v>
      </c>
      <c r="AL5938" s="182" t="n">
        <v>0</v>
      </c>
      <c r="AM5938" s="182" t="n">
        <v>0.08</v>
      </c>
      <c r="AN5938" s="182" t="n">
        <v>0</v>
      </c>
    </row>
    <row r="5939">
      <c r="A5939" s="155" t="n">
        <v>46108</v>
      </c>
      <c r="B5939" s="156" t="inlineStr">
        <is>
          <t>NS</t>
        </is>
      </c>
      <c r="C5939" s="156" t="inlineStr">
        <is>
          <t>WL-021</t>
        </is>
      </c>
      <c r="D5939" s="156" t="inlineStr">
        <is>
          <t>SANY - Loader</t>
        </is>
      </c>
      <c r="E5939" s="156" t="inlineStr">
        <is>
          <t>Loader</t>
        </is>
      </c>
      <c r="F5939" s="156" t="inlineStr"/>
      <c r="G5939" s="182" t="n">
        <v>0</v>
      </c>
      <c r="H5939" s="182" t="n">
        <v>0</v>
      </c>
      <c r="I5939" s="182" t="n">
        <v>12</v>
      </c>
      <c r="J5939" s="182" t="n">
        <v>12</v>
      </c>
      <c r="K5939" s="182" t="n">
        <v>0</v>
      </c>
      <c r="L5939" s="182" t="n">
        <v>12</v>
      </c>
      <c r="M5939" s="182" t="n">
        <v>0</v>
      </c>
      <c r="N5939" s="182" t="n">
        <v>0</v>
      </c>
      <c r="O5939" s="183" t="n">
        <v>0</v>
      </c>
      <c r="P5939" s="183" t="n">
        <v>0</v>
      </c>
      <c r="Q5939" s="184" t="n">
        <v>0</v>
      </c>
      <c r="R5939" s="184" t="n">
        <v>0</v>
      </c>
      <c r="S5939" s="183" t="n">
        <v>0</v>
      </c>
      <c r="T5939" s="183" t="n">
        <v>0</v>
      </c>
      <c r="U5939" s="182" t="n">
        <v>0</v>
      </c>
      <c r="V5939" s="182" t="n">
        <v>0</v>
      </c>
      <c r="W5939" s="182" t="n">
        <v>0</v>
      </c>
      <c r="X5939" s="182" t="n">
        <v>0</v>
      </c>
      <c r="Y5939" s="182" t="n">
        <v>0</v>
      </c>
      <c r="Z5939" s="182" t="n">
        <v>0</v>
      </c>
      <c r="AA5939" s="182" t="n">
        <v>0</v>
      </c>
      <c r="AB5939" s="182" t="n">
        <v>0</v>
      </c>
      <c r="AC5939" s="182" t="n">
        <v>0</v>
      </c>
      <c r="AD5939" s="182" t="n">
        <v>0</v>
      </c>
      <c r="AE5939" s="182" t="n">
        <v>0</v>
      </c>
      <c r="AF5939" s="182" t="n">
        <v>0</v>
      </c>
      <c r="AG5939" s="182" t="n">
        <v>0</v>
      </c>
      <c r="AH5939" s="182" t="n">
        <v>0</v>
      </c>
      <c r="AI5939" s="182" t="n">
        <v>0</v>
      </c>
      <c r="AJ5939" s="182" t="n">
        <v>0</v>
      </c>
      <c r="AK5939" s="182" t="n">
        <v>0</v>
      </c>
      <c r="AL5939" s="182" t="n">
        <v>0</v>
      </c>
      <c r="AM5939" s="182" t="n">
        <v>0</v>
      </c>
      <c r="AN5939" s="182" t="n">
        <v>0</v>
      </c>
    </row>
    <row r="5940">
      <c r="A5940" s="155" t="n">
        <v>46108</v>
      </c>
      <c r="B5940" s="156" t="inlineStr">
        <is>
          <t>NS</t>
        </is>
      </c>
      <c r="C5940" s="156" t="inlineStr">
        <is>
          <t>WL-022</t>
        </is>
      </c>
      <c r="D5940" s="156" t="inlineStr">
        <is>
          <t>SANY - Loader</t>
        </is>
      </c>
      <c r="E5940" s="156" t="inlineStr">
        <is>
          <t>Loader</t>
        </is>
      </c>
      <c r="F5940" s="156" t="inlineStr">
        <is>
          <t>Support Washing Plant</t>
        </is>
      </c>
      <c r="G5940" s="182" t="n">
        <v>11.89</v>
      </c>
      <c r="H5940" s="182" t="n">
        <v>0</v>
      </c>
      <c r="I5940" s="182" t="n">
        <v>0</v>
      </c>
      <c r="J5940" s="182" t="n">
        <v>0</v>
      </c>
      <c r="K5940" s="182" t="n">
        <v>0.11</v>
      </c>
      <c r="L5940" s="182" t="n">
        <v>12</v>
      </c>
      <c r="M5940" s="182" t="n">
        <v>0</v>
      </c>
      <c r="N5940" s="182" t="n">
        <v>0</v>
      </c>
      <c r="O5940" s="183" t="n">
        <v>0</v>
      </c>
      <c r="P5940" s="183" t="n">
        <v>0</v>
      </c>
      <c r="Q5940" s="184" t="n">
        <v>0</v>
      </c>
      <c r="R5940" s="184" t="n">
        <v>0</v>
      </c>
      <c r="S5940" s="183" t="n">
        <v>0</v>
      </c>
      <c r="T5940" s="183" t="n">
        <v>0</v>
      </c>
      <c r="U5940" s="182" t="n">
        <v>0</v>
      </c>
      <c r="V5940" s="182" t="n">
        <v>0</v>
      </c>
      <c r="W5940" s="182" t="n">
        <v>0</v>
      </c>
      <c r="X5940" s="182" t="n">
        <v>0.02</v>
      </c>
      <c r="Y5940" s="182" t="n">
        <v>0</v>
      </c>
      <c r="Z5940" s="182" t="n">
        <v>0</v>
      </c>
      <c r="AA5940" s="182" t="n">
        <v>0</v>
      </c>
      <c r="AB5940" s="182" t="n">
        <v>0</v>
      </c>
      <c r="AC5940" s="182" t="n">
        <v>0</v>
      </c>
      <c r="AD5940" s="182" t="n">
        <v>0</v>
      </c>
      <c r="AE5940" s="182" t="n">
        <v>0</v>
      </c>
      <c r="AF5940" s="182" t="n">
        <v>0</v>
      </c>
      <c r="AG5940" s="182" t="n">
        <v>0</v>
      </c>
      <c r="AH5940" s="182" t="n">
        <v>0</v>
      </c>
      <c r="AI5940" s="182" t="n">
        <v>0</v>
      </c>
      <c r="AJ5940" s="182" t="n">
        <v>0</v>
      </c>
      <c r="AK5940" s="182" t="n">
        <v>0</v>
      </c>
      <c r="AL5940" s="182" t="n">
        <v>0</v>
      </c>
      <c r="AM5940" s="182" t="n">
        <v>0.09</v>
      </c>
      <c r="AN5940" s="182" t="n">
        <v>0</v>
      </c>
    </row>
    <row r="5941">
      <c r="A5941" s="155" t="n">
        <v>46108</v>
      </c>
      <c r="B5941" s="156" t="inlineStr">
        <is>
          <t>NS</t>
        </is>
      </c>
      <c r="C5941" s="156" t="inlineStr">
        <is>
          <t>WL-024</t>
        </is>
      </c>
      <c r="D5941" s="156" t="inlineStr">
        <is>
          <t>SANY - Loader</t>
        </is>
      </c>
      <c r="E5941" s="156" t="inlineStr">
        <is>
          <t>Loader</t>
        </is>
      </c>
      <c r="F5941" s="156" t="inlineStr">
        <is>
          <t>Support Washing Plant</t>
        </is>
      </c>
      <c r="G5941" s="182" t="n">
        <v>12</v>
      </c>
      <c r="H5941" s="182" t="n">
        <v>0</v>
      </c>
      <c r="I5941" s="182" t="n">
        <v>0</v>
      </c>
      <c r="J5941" s="182" t="n">
        <v>0</v>
      </c>
      <c r="K5941" s="182" t="n">
        <v>0</v>
      </c>
      <c r="L5941" s="182" t="n">
        <v>12</v>
      </c>
      <c r="M5941" s="182" t="n">
        <v>0</v>
      </c>
      <c r="N5941" s="182" t="n">
        <v>0</v>
      </c>
      <c r="O5941" s="183" t="n">
        <v>0</v>
      </c>
      <c r="P5941" s="183" t="n">
        <v>0</v>
      </c>
      <c r="Q5941" s="184" t="n">
        <v>0</v>
      </c>
      <c r="R5941" s="184" t="n">
        <v>0</v>
      </c>
      <c r="S5941" s="183" t="n">
        <v>0</v>
      </c>
      <c r="T5941" s="183" t="n">
        <v>0</v>
      </c>
      <c r="U5941" s="182" t="n">
        <v>0</v>
      </c>
      <c r="V5941" s="182" t="n">
        <v>0</v>
      </c>
      <c r="W5941" s="182" t="n">
        <v>0</v>
      </c>
      <c r="X5941" s="182" t="n">
        <v>0</v>
      </c>
      <c r="Y5941" s="182" t="n">
        <v>0</v>
      </c>
      <c r="Z5941" s="182" t="n">
        <v>0</v>
      </c>
      <c r="AA5941" s="182" t="n">
        <v>0</v>
      </c>
      <c r="AB5941" s="182" t="n">
        <v>0</v>
      </c>
      <c r="AC5941" s="182" t="n">
        <v>0</v>
      </c>
      <c r="AD5941" s="182" t="n">
        <v>0</v>
      </c>
      <c r="AE5941" s="182" t="n">
        <v>0</v>
      </c>
      <c r="AF5941" s="182" t="n">
        <v>0</v>
      </c>
      <c r="AG5941" s="182" t="n">
        <v>0</v>
      </c>
      <c r="AH5941" s="182" t="n">
        <v>0</v>
      </c>
      <c r="AI5941" s="182" t="n">
        <v>0</v>
      </c>
      <c r="AJ5941" s="182" t="n">
        <v>0</v>
      </c>
      <c r="AK5941" s="182" t="n">
        <v>0</v>
      </c>
      <c r="AL5941" s="182" t="n">
        <v>0</v>
      </c>
      <c r="AM5941" s="182" t="n">
        <v>0</v>
      </c>
      <c r="AN5941" s="182" t="n">
        <v>0</v>
      </c>
    </row>
    <row r="5942">
      <c r="A5942" s="155" t="n">
        <v>46109</v>
      </c>
      <c r="B5942" s="156" t="inlineStr">
        <is>
          <t>DS</t>
        </is>
      </c>
      <c r="C5942" s="156" t="inlineStr">
        <is>
          <t>DZ-034</t>
        </is>
      </c>
      <c r="D5942" s="156" t="inlineStr">
        <is>
          <t>D 68ESS-12EO</t>
        </is>
      </c>
      <c r="E5942" s="156" t="inlineStr">
        <is>
          <t>Bulldozer</t>
        </is>
      </c>
      <c r="F5942" s="156" t="inlineStr"/>
      <c r="G5942" s="182" t="n">
        <v>0</v>
      </c>
      <c r="H5942" s="182" t="n">
        <v>0</v>
      </c>
      <c r="I5942" s="182" t="n">
        <v>12</v>
      </c>
      <c r="J5942" s="182" t="n">
        <v>12</v>
      </c>
      <c r="K5942" s="182" t="n">
        <v>0</v>
      </c>
      <c r="L5942" s="182" t="n">
        <v>12</v>
      </c>
      <c r="M5942" s="182" t="n">
        <v>0</v>
      </c>
      <c r="N5942" s="182" t="n">
        <v>0</v>
      </c>
      <c r="O5942" s="183" t="n">
        <v>0</v>
      </c>
      <c r="P5942" s="183" t="n">
        <v>0</v>
      </c>
      <c r="Q5942" s="184" t="n">
        <v>0</v>
      </c>
      <c r="R5942" s="184" t="n">
        <v>0</v>
      </c>
      <c r="S5942" s="183" t="n">
        <v>0</v>
      </c>
      <c r="T5942" s="183" t="n">
        <v>0</v>
      </c>
      <c r="U5942" s="182" t="n">
        <v>0</v>
      </c>
      <c r="V5942" s="182" t="n">
        <v>0</v>
      </c>
      <c r="W5942" s="182" t="n">
        <v>0</v>
      </c>
      <c r="X5942" s="182" t="n">
        <v>0</v>
      </c>
      <c r="Y5942" s="182" t="n">
        <v>0</v>
      </c>
      <c r="Z5942" s="182" t="n">
        <v>0</v>
      </c>
      <c r="AA5942" s="182" t="n">
        <v>0</v>
      </c>
      <c r="AB5942" s="182" t="n">
        <v>0</v>
      </c>
      <c r="AC5942" s="182" t="n">
        <v>0</v>
      </c>
      <c r="AD5942" s="182" t="n">
        <v>0</v>
      </c>
      <c r="AE5942" s="182" t="n">
        <v>0</v>
      </c>
      <c r="AF5942" s="182" t="n">
        <v>0</v>
      </c>
      <c r="AG5942" s="182" t="n">
        <v>0</v>
      </c>
      <c r="AH5942" s="182" t="n">
        <v>0</v>
      </c>
      <c r="AI5942" s="182" t="n">
        <v>0</v>
      </c>
      <c r="AJ5942" s="182" t="n">
        <v>0</v>
      </c>
      <c r="AK5942" s="182" t="n">
        <v>0</v>
      </c>
      <c r="AL5942" s="182" t="n">
        <v>0</v>
      </c>
      <c r="AM5942" s="182" t="n">
        <v>0</v>
      </c>
      <c r="AN5942" s="182" t="n">
        <v>0</v>
      </c>
    </row>
    <row r="5943">
      <c r="A5943" s="155" t="n">
        <v>46109</v>
      </c>
      <c r="B5943" s="156" t="inlineStr">
        <is>
          <t>DS</t>
        </is>
      </c>
      <c r="C5943" s="156" t="inlineStr">
        <is>
          <t>DZ-033</t>
        </is>
      </c>
      <c r="D5943" s="156" t="inlineStr">
        <is>
          <t>D 375A-6R</t>
        </is>
      </c>
      <c r="E5943" s="156" t="inlineStr">
        <is>
          <t>Bulldozer</t>
        </is>
      </c>
      <c r="F5943" s="156" t="inlineStr"/>
      <c r="G5943" s="182" t="n">
        <v>0</v>
      </c>
      <c r="H5943" s="182" t="n">
        <v>0</v>
      </c>
      <c r="I5943" s="182" t="n">
        <v>0</v>
      </c>
      <c r="J5943" s="182" t="n">
        <v>0</v>
      </c>
      <c r="K5943" s="182" t="n">
        <v>12</v>
      </c>
      <c r="L5943" s="182" t="n">
        <v>12</v>
      </c>
      <c r="M5943" s="182" t="n">
        <v>0</v>
      </c>
      <c r="N5943" s="182" t="n">
        <v>0</v>
      </c>
      <c r="O5943" s="183" t="n">
        <v>0</v>
      </c>
      <c r="P5943" s="183" t="n">
        <v>0</v>
      </c>
      <c r="Q5943" s="184" t="n">
        <v>0</v>
      </c>
      <c r="R5943" s="184" t="n">
        <v>0</v>
      </c>
      <c r="S5943" s="183" t="n">
        <v>0</v>
      </c>
      <c r="T5943" s="183" t="n">
        <v>0</v>
      </c>
      <c r="U5943" s="182" t="n">
        <v>0</v>
      </c>
      <c r="V5943" s="182" t="n">
        <v>0</v>
      </c>
      <c r="W5943" s="182" t="n">
        <v>0</v>
      </c>
      <c r="X5943" s="182" t="n">
        <v>1</v>
      </c>
      <c r="Y5943" s="182" t="n">
        <v>0</v>
      </c>
      <c r="Z5943" s="182" t="n">
        <v>0</v>
      </c>
      <c r="AA5943" s="182" t="n">
        <v>0</v>
      </c>
      <c r="AB5943" s="182" t="n">
        <v>1</v>
      </c>
      <c r="AC5943" s="182" t="n">
        <v>0</v>
      </c>
      <c r="AD5943" s="182" t="n">
        <v>0</v>
      </c>
      <c r="AE5943" s="182" t="n">
        <v>0</v>
      </c>
      <c r="AF5943" s="182" t="n">
        <v>0</v>
      </c>
      <c r="AG5943" s="182" t="n">
        <v>0</v>
      </c>
      <c r="AH5943" s="182" t="n">
        <v>0</v>
      </c>
      <c r="AI5943" s="182" t="n">
        <v>0</v>
      </c>
      <c r="AJ5943" s="182" t="n">
        <v>0</v>
      </c>
      <c r="AK5943" s="182" t="n">
        <v>9.92</v>
      </c>
      <c r="AL5943" s="182" t="n">
        <v>0</v>
      </c>
      <c r="AM5943" s="182" t="n">
        <v>0.08</v>
      </c>
      <c r="AN5943" s="182" t="n">
        <v>0</v>
      </c>
    </row>
    <row r="5944">
      <c r="A5944" s="155" t="n">
        <v>46109</v>
      </c>
      <c r="B5944" s="156" t="inlineStr">
        <is>
          <t>DS</t>
        </is>
      </c>
      <c r="C5944" s="156" t="inlineStr">
        <is>
          <t>DZ-038</t>
        </is>
      </c>
      <c r="D5944" s="156" t="inlineStr">
        <is>
          <t>D 85 ESS-2</t>
        </is>
      </c>
      <c r="E5944" s="156" t="inlineStr">
        <is>
          <t>Bulldozer</t>
        </is>
      </c>
      <c r="F5944" s="156" t="inlineStr">
        <is>
          <t>Timesheet Kosong</t>
        </is>
      </c>
      <c r="G5944" s="182" t="n">
        <v>3.13</v>
      </c>
      <c r="H5944" s="182" t="n">
        <v>0</v>
      </c>
      <c r="I5944" s="182" t="n">
        <v>7.78</v>
      </c>
      <c r="J5944" s="182" t="n">
        <v>7.78</v>
      </c>
      <c r="K5944" s="182" t="n">
        <v>1.09</v>
      </c>
      <c r="L5944" s="182" t="n">
        <v>12</v>
      </c>
      <c r="M5944" s="182" t="n">
        <v>0</v>
      </c>
      <c r="N5944" s="182" t="n">
        <v>0</v>
      </c>
      <c r="O5944" s="183" t="n">
        <v>0</v>
      </c>
      <c r="P5944" s="183" t="n">
        <v>0</v>
      </c>
      <c r="Q5944" s="184" t="n">
        <v>0</v>
      </c>
      <c r="R5944" s="184" t="n">
        <v>0</v>
      </c>
      <c r="S5944" s="183" t="n">
        <v>0</v>
      </c>
      <c r="T5944" s="183" t="n">
        <v>0</v>
      </c>
      <c r="U5944" s="182" t="n">
        <v>0.99</v>
      </c>
      <c r="V5944" s="182" t="n">
        <v>0</v>
      </c>
      <c r="W5944" s="182" t="n">
        <v>0</v>
      </c>
      <c r="X5944" s="182" t="n">
        <v>0</v>
      </c>
      <c r="Y5944" s="182" t="n">
        <v>0</v>
      </c>
      <c r="Z5944" s="182" t="n">
        <v>0</v>
      </c>
      <c r="AA5944" s="182" t="n">
        <v>0</v>
      </c>
      <c r="AB5944" s="182" t="n">
        <v>0</v>
      </c>
      <c r="AC5944" s="182" t="n">
        <v>0</v>
      </c>
      <c r="AD5944" s="182" t="n">
        <v>0</v>
      </c>
      <c r="AE5944" s="182" t="n">
        <v>0</v>
      </c>
      <c r="AF5944" s="182" t="n">
        <v>0</v>
      </c>
      <c r="AG5944" s="182" t="n">
        <v>0</v>
      </c>
      <c r="AH5944" s="182" t="n">
        <v>0</v>
      </c>
      <c r="AI5944" s="182" t="n">
        <v>0</v>
      </c>
      <c r="AJ5944" s="182" t="n">
        <v>0</v>
      </c>
      <c r="AK5944" s="182" t="n">
        <v>0</v>
      </c>
      <c r="AL5944" s="182" t="n">
        <v>0</v>
      </c>
      <c r="AM5944" s="182" t="n">
        <v>0.09</v>
      </c>
      <c r="AN5944" s="182" t="n">
        <v>0</v>
      </c>
    </row>
    <row r="5945">
      <c r="A5945" s="155" t="n">
        <v>46109</v>
      </c>
      <c r="B5945" s="156" t="inlineStr">
        <is>
          <t>DS</t>
        </is>
      </c>
      <c r="C5945" s="156" t="inlineStr">
        <is>
          <t>DZ-039</t>
        </is>
      </c>
      <c r="D5945" s="156" t="inlineStr">
        <is>
          <t>D 85 ESS-2</t>
        </is>
      </c>
      <c r="E5945" s="156" t="inlineStr">
        <is>
          <t>Bulldozer</t>
        </is>
      </c>
      <c r="F5945" s="156" t="inlineStr">
        <is>
          <t>Support Disposal</t>
        </is>
      </c>
      <c r="G5945" s="182" t="n">
        <v>8.94</v>
      </c>
      <c r="H5945" s="182" t="n">
        <v>0</v>
      </c>
      <c r="I5945" s="182" t="n">
        <v>2.92</v>
      </c>
      <c r="J5945" s="182" t="n">
        <v>2.92</v>
      </c>
      <c r="K5945" s="182" t="n">
        <v>0.14</v>
      </c>
      <c r="L5945" s="182" t="n">
        <v>12</v>
      </c>
      <c r="M5945" s="182" t="n">
        <v>0</v>
      </c>
      <c r="N5945" s="182" t="n">
        <v>0</v>
      </c>
      <c r="O5945" s="183" t="n">
        <v>0</v>
      </c>
      <c r="P5945" s="183" t="n">
        <v>0</v>
      </c>
      <c r="Q5945" s="184" t="n">
        <v>0</v>
      </c>
      <c r="R5945" s="184" t="n">
        <v>0</v>
      </c>
      <c r="S5945" s="183" t="n">
        <v>0</v>
      </c>
      <c r="T5945" s="183" t="n">
        <v>0</v>
      </c>
      <c r="U5945" s="182" t="n">
        <v>0</v>
      </c>
      <c r="V5945" s="182" t="n">
        <v>0</v>
      </c>
      <c r="W5945" s="182" t="n">
        <v>0</v>
      </c>
      <c r="X5945" s="182" t="n">
        <v>0</v>
      </c>
      <c r="Y5945" s="182" t="n">
        <v>0</v>
      </c>
      <c r="Z5945" s="182" t="n">
        <v>0</v>
      </c>
      <c r="AA5945" s="182" t="n">
        <v>0</v>
      </c>
      <c r="AB5945" s="182" t="n">
        <v>0</v>
      </c>
      <c r="AC5945" s="182" t="n">
        <v>0</v>
      </c>
      <c r="AD5945" s="182" t="n">
        <v>0</v>
      </c>
      <c r="AE5945" s="182" t="n">
        <v>0</v>
      </c>
      <c r="AF5945" s="182" t="n">
        <v>0</v>
      </c>
      <c r="AG5945" s="182" t="n">
        <v>0</v>
      </c>
      <c r="AH5945" s="182" t="n">
        <v>0</v>
      </c>
      <c r="AI5945" s="182" t="n">
        <v>0</v>
      </c>
      <c r="AJ5945" s="182" t="n">
        <v>0</v>
      </c>
      <c r="AK5945" s="182" t="n">
        <v>0</v>
      </c>
      <c r="AL5945" s="182" t="n">
        <v>0</v>
      </c>
      <c r="AM5945" s="182" t="n">
        <v>0.14</v>
      </c>
      <c r="AN5945" s="182" t="n">
        <v>0</v>
      </c>
    </row>
    <row r="5946">
      <c r="A5946" s="155" t="n">
        <v>46109</v>
      </c>
      <c r="B5946" s="156" t="inlineStr">
        <is>
          <t>DS</t>
        </is>
      </c>
      <c r="C5946" s="156" t="inlineStr">
        <is>
          <t>DZ-032</t>
        </is>
      </c>
      <c r="D5946" s="156" t="inlineStr">
        <is>
          <t>CAT</t>
        </is>
      </c>
      <c r="E5946" s="156" t="inlineStr">
        <is>
          <t>Bulldozer</t>
        </is>
      </c>
      <c r="F5946" s="156" t="inlineStr"/>
      <c r="G5946" s="182" t="n">
        <v>0</v>
      </c>
      <c r="H5946" s="182" t="n">
        <v>0</v>
      </c>
      <c r="I5946" s="182" t="n">
        <v>12</v>
      </c>
      <c r="J5946" s="182" t="n">
        <v>12</v>
      </c>
      <c r="K5946" s="182" t="n">
        <v>0</v>
      </c>
      <c r="L5946" s="182" t="n">
        <v>12</v>
      </c>
      <c r="M5946" s="182" t="n">
        <v>0</v>
      </c>
      <c r="N5946" s="182" t="n">
        <v>0</v>
      </c>
      <c r="O5946" s="183" t="n">
        <v>0</v>
      </c>
      <c r="P5946" s="183" t="n">
        <v>0</v>
      </c>
      <c r="Q5946" s="184" t="n">
        <v>0</v>
      </c>
      <c r="R5946" s="184" t="n">
        <v>0</v>
      </c>
      <c r="S5946" s="183" t="n">
        <v>0</v>
      </c>
      <c r="T5946" s="183" t="n">
        <v>0</v>
      </c>
      <c r="U5946" s="182" t="n">
        <v>0</v>
      </c>
      <c r="V5946" s="182" t="n">
        <v>0</v>
      </c>
      <c r="W5946" s="182" t="n">
        <v>0</v>
      </c>
      <c r="X5946" s="182" t="n">
        <v>0</v>
      </c>
      <c r="Y5946" s="182" t="n">
        <v>0</v>
      </c>
      <c r="Z5946" s="182" t="n">
        <v>0</v>
      </c>
      <c r="AA5946" s="182" t="n">
        <v>0</v>
      </c>
      <c r="AB5946" s="182" t="n">
        <v>0</v>
      </c>
      <c r="AC5946" s="182" t="n">
        <v>0</v>
      </c>
      <c r="AD5946" s="182" t="n">
        <v>0</v>
      </c>
      <c r="AE5946" s="182" t="n">
        <v>0</v>
      </c>
      <c r="AF5946" s="182" t="n">
        <v>0</v>
      </c>
      <c r="AG5946" s="182" t="n">
        <v>0</v>
      </c>
      <c r="AH5946" s="182" t="n">
        <v>0</v>
      </c>
      <c r="AI5946" s="182" t="n">
        <v>0</v>
      </c>
      <c r="AJ5946" s="182" t="n">
        <v>0</v>
      </c>
      <c r="AK5946" s="182" t="n">
        <v>0</v>
      </c>
      <c r="AL5946" s="182" t="n">
        <v>0</v>
      </c>
      <c r="AM5946" s="182" t="n">
        <v>0</v>
      </c>
      <c r="AN5946" s="182" t="n">
        <v>0</v>
      </c>
    </row>
    <row r="5947">
      <c r="A5947" s="155" t="n">
        <v>46109</v>
      </c>
      <c r="B5947" s="156" t="inlineStr">
        <is>
          <t>DS</t>
        </is>
      </c>
      <c r="C5947" s="156" t="inlineStr">
        <is>
          <t>DZ-031</t>
        </is>
      </c>
      <c r="D5947" s="156" t="inlineStr">
        <is>
          <t>CAT</t>
        </is>
      </c>
      <c r="E5947" s="156" t="inlineStr">
        <is>
          <t>Bulldozer</t>
        </is>
      </c>
      <c r="F5947" s="156" t="inlineStr">
        <is>
          <t>Support Front Loading</t>
        </is>
      </c>
      <c r="G5947" s="182" t="n">
        <v>7.3</v>
      </c>
      <c r="H5947" s="182" t="n">
        <v>0</v>
      </c>
      <c r="I5947" s="182" t="n">
        <v>0</v>
      </c>
      <c r="J5947" s="182" t="n">
        <v>0</v>
      </c>
      <c r="K5947" s="182" t="n">
        <v>4.7</v>
      </c>
      <c r="L5947" s="182" t="n">
        <v>12</v>
      </c>
      <c r="M5947" s="182" t="n">
        <v>0</v>
      </c>
      <c r="N5947" s="182" t="n">
        <v>0</v>
      </c>
      <c r="O5947" s="183" t="n">
        <v>0</v>
      </c>
      <c r="P5947" s="183" t="n">
        <v>0</v>
      </c>
      <c r="Q5947" s="184" t="n">
        <v>0</v>
      </c>
      <c r="R5947" s="184" t="n">
        <v>0</v>
      </c>
      <c r="S5947" s="183" t="n">
        <v>0</v>
      </c>
      <c r="T5947" s="183" t="n">
        <v>0</v>
      </c>
      <c r="U5947" s="182" t="n">
        <v>2.7</v>
      </c>
      <c r="V5947" s="182" t="n">
        <v>0</v>
      </c>
      <c r="W5947" s="182" t="n">
        <v>0</v>
      </c>
      <c r="X5947" s="182" t="n">
        <v>0.96</v>
      </c>
      <c r="Y5947" s="182" t="n">
        <v>0</v>
      </c>
      <c r="Z5947" s="182" t="n">
        <v>0</v>
      </c>
      <c r="AA5947" s="182" t="n">
        <v>0</v>
      </c>
      <c r="AB5947" s="182" t="n">
        <v>0.96</v>
      </c>
      <c r="AC5947" s="182" t="n">
        <v>0</v>
      </c>
      <c r="AD5947" s="182" t="n">
        <v>0</v>
      </c>
      <c r="AE5947" s="182" t="n">
        <v>0</v>
      </c>
      <c r="AF5947" s="182" t="n">
        <v>0</v>
      </c>
      <c r="AG5947" s="182" t="n">
        <v>0</v>
      </c>
      <c r="AH5947" s="182" t="n">
        <v>0</v>
      </c>
      <c r="AI5947" s="182" t="n">
        <v>0</v>
      </c>
      <c r="AJ5947" s="182" t="n">
        <v>0</v>
      </c>
      <c r="AK5947" s="182" t="n">
        <v>0</v>
      </c>
      <c r="AL5947" s="182" t="n">
        <v>0</v>
      </c>
      <c r="AM5947" s="182" t="n">
        <v>0.08</v>
      </c>
      <c r="AN5947" s="182" t="n">
        <v>0</v>
      </c>
    </row>
    <row r="5948">
      <c r="A5948" s="155" t="n">
        <v>46109</v>
      </c>
      <c r="B5948" s="156" t="inlineStr">
        <is>
          <t>DS</t>
        </is>
      </c>
      <c r="C5948" s="156" t="inlineStr">
        <is>
          <t>DZ-037</t>
        </is>
      </c>
      <c r="D5948" s="156" t="inlineStr">
        <is>
          <t>D 85 ESS-2</t>
        </is>
      </c>
      <c r="E5948" s="156" t="inlineStr">
        <is>
          <t>Bulldozer</t>
        </is>
      </c>
      <c r="F5948" s="156" t="inlineStr"/>
      <c r="G5948" s="182" t="n">
        <v>0</v>
      </c>
      <c r="H5948" s="182" t="n">
        <v>0</v>
      </c>
      <c r="I5948" s="182" t="n">
        <v>12</v>
      </c>
      <c r="J5948" s="182" t="n">
        <v>12</v>
      </c>
      <c r="K5948" s="182" t="n">
        <v>0</v>
      </c>
      <c r="L5948" s="182" t="n">
        <v>12</v>
      </c>
      <c r="M5948" s="182" t="n">
        <v>0</v>
      </c>
      <c r="N5948" s="182" t="n">
        <v>0</v>
      </c>
      <c r="O5948" s="183" t="n">
        <v>0</v>
      </c>
      <c r="P5948" s="183" t="n">
        <v>0</v>
      </c>
      <c r="Q5948" s="184" t="n">
        <v>0</v>
      </c>
      <c r="R5948" s="184" t="n">
        <v>0</v>
      </c>
      <c r="S5948" s="183" t="n">
        <v>0</v>
      </c>
      <c r="T5948" s="183" t="n">
        <v>0</v>
      </c>
      <c r="U5948" s="182" t="n">
        <v>0</v>
      </c>
      <c r="V5948" s="182" t="n">
        <v>0</v>
      </c>
      <c r="W5948" s="182" t="n">
        <v>0</v>
      </c>
      <c r="X5948" s="182" t="n">
        <v>0</v>
      </c>
      <c r="Y5948" s="182" t="n">
        <v>0</v>
      </c>
      <c r="Z5948" s="182" t="n">
        <v>0</v>
      </c>
      <c r="AA5948" s="182" t="n">
        <v>0</v>
      </c>
      <c r="AB5948" s="182" t="n">
        <v>0</v>
      </c>
      <c r="AC5948" s="182" t="n">
        <v>0</v>
      </c>
      <c r="AD5948" s="182" t="n">
        <v>0</v>
      </c>
      <c r="AE5948" s="182" t="n">
        <v>0</v>
      </c>
      <c r="AF5948" s="182" t="n">
        <v>0</v>
      </c>
      <c r="AG5948" s="182" t="n">
        <v>0</v>
      </c>
      <c r="AH5948" s="182" t="n">
        <v>0</v>
      </c>
      <c r="AI5948" s="182" t="n">
        <v>0</v>
      </c>
      <c r="AJ5948" s="182" t="n">
        <v>0</v>
      </c>
      <c r="AK5948" s="182" t="n">
        <v>0</v>
      </c>
      <c r="AL5948" s="182" t="n">
        <v>0</v>
      </c>
      <c r="AM5948" s="182" t="n">
        <v>0</v>
      </c>
      <c r="AN5948" s="182" t="n">
        <v>0</v>
      </c>
    </row>
    <row r="5949">
      <c r="A5949" s="155" t="n">
        <v>46109</v>
      </c>
      <c r="B5949" s="156" t="inlineStr">
        <is>
          <t>DS</t>
        </is>
      </c>
      <c r="C5949" s="156" t="inlineStr">
        <is>
          <t>DZ-036</t>
        </is>
      </c>
      <c r="D5949" s="156" t="inlineStr">
        <is>
          <t>D 85 ESS-2</t>
        </is>
      </c>
      <c r="E5949" s="156" t="inlineStr">
        <is>
          <t>Bulldozer</t>
        </is>
      </c>
      <c r="F5949" s="156" t="inlineStr"/>
      <c r="G5949" s="182" t="n">
        <v>0</v>
      </c>
      <c r="H5949" s="182" t="n">
        <v>0</v>
      </c>
      <c r="I5949" s="182" t="n">
        <v>0</v>
      </c>
      <c r="J5949" s="182" t="n">
        <v>0</v>
      </c>
      <c r="K5949" s="182" t="n">
        <v>12</v>
      </c>
      <c r="L5949" s="182" t="n">
        <v>12</v>
      </c>
      <c r="M5949" s="182" t="n">
        <v>0</v>
      </c>
      <c r="N5949" s="182" t="n">
        <v>0</v>
      </c>
      <c r="O5949" s="183" t="n">
        <v>0</v>
      </c>
      <c r="P5949" s="183" t="n">
        <v>0</v>
      </c>
      <c r="Q5949" s="184" t="n">
        <v>0</v>
      </c>
      <c r="R5949" s="184" t="n">
        <v>0</v>
      </c>
      <c r="S5949" s="183" t="n">
        <v>0</v>
      </c>
      <c r="T5949" s="183" t="n">
        <v>0</v>
      </c>
      <c r="U5949" s="182" t="n">
        <v>0</v>
      </c>
      <c r="V5949" s="182" t="n">
        <v>0</v>
      </c>
      <c r="W5949" s="182" t="n">
        <v>0</v>
      </c>
      <c r="X5949" s="182" t="n">
        <v>1</v>
      </c>
      <c r="Y5949" s="182" t="n">
        <v>0</v>
      </c>
      <c r="Z5949" s="182" t="n">
        <v>0</v>
      </c>
      <c r="AA5949" s="182" t="n">
        <v>0</v>
      </c>
      <c r="AB5949" s="182" t="n">
        <v>1</v>
      </c>
      <c r="AC5949" s="182" t="n">
        <v>0</v>
      </c>
      <c r="AD5949" s="182" t="n">
        <v>0</v>
      </c>
      <c r="AE5949" s="182" t="n">
        <v>0</v>
      </c>
      <c r="AF5949" s="182" t="n">
        <v>0</v>
      </c>
      <c r="AG5949" s="182" t="n">
        <v>0</v>
      </c>
      <c r="AH5949" s="182" t="n">
        <v>0</v>
      </c>
      <c r="AI5949" s="182" t="n">
        <v>0</v>
      </c>
      <c r="AJ5949" s="182" t="n">
        <v>0</v>
      </c>
      <c r="AK5949" s="182" t="n">
        <v>9.92</v>
      </c>
      <c r="AL5949" s="182" t="n">
        <v>0</v>
      </c>
      <c r="AM5949" s="182" t="n">
        <v>0.08</v>
      </c>
      <c r="AN5949" s="182" t="n">
        <v>0</v>
      </c>
    </row>
    <row r="5950">
      <c r="A5950" s="155" t="n">
        <v>46109</v>
      </c>
      <c r="B5950" s="156" t="inlineStr">
        <is>
          <t>DS</t>
        </is>
      </c>
      <c r="C5950" s="156" t="inlineStr">
        <is>
          <t>DZ-035</t>
        </is>
      </c>
      <c r="D5950" s="156" t="inlineStr">
        <is>
          <t>D 85 ESS-2</t>
        </is>
      </c>
      <c r="E5950" s="156" t="inlineStr">
        <is>
          <t>Bulldozer</t>
        </is>
      </c>
      <c r="F5950" s="156" t="inlineStr">
        <is>
          <t>Support Disposal</t>
        </is>
      </c>
      <c r="G5950" s="182" t="n">
        <v>4.39</v>
      </c>
      <c r="H5950" s="182" t="n">
        <v>0</v>
      </c>
      <c r="I5950" s="182" t="n">
        <v>7.52</v>
      </c>
      <c r="J5950" s="182" t="n">
        <v>7.52</v>
      </c>
      <c r="K5950" s="182" t="n">
        <v>0.09</v>
      </c>
      <c r="L5950" s="182" t="n">
        <v>12</v>
      </c>
      <c r="M5950" s="182" t="n">
        <v>0</v>
      </c>
      <c r="N5950" s="182" t="n">
        <v>0</v>
      </c>
      <c r="O5950" s="183" t="n">
        <v>0</v>
      </c>
      <c r="P5950" s="183" t="n">
        <v>0</v>
      </c>
      <c r="Q5950" s="184" t="n">
        <v>0</v>
      </c>
      <c r="R5950" s="184" t="n">
        <v>0</v>
      </c>
      <c r="S5950" s="183" t="n">
        <v>0</v>
      </c>
      <c r="T5950" s="183" t="n">
        <v>0</v>
      </c>
      <c r="U5950" s="182" t="n">
        <v>0</v>
      </c>
      <c r="V5950" s="182" t="n">
        <v>0</v>
      </c>
      <c r="W5950" s="182" t="n">
        <v>0</v>
      </c>
      <c r="X5950" s="182" t="n">
        <v>0</v>
      </c>
      <c r="Y5950" s="182" t="n">
        <v>0</v>
      </c>
      <c r="Z5950" s="182" t="n">
        <v>0</v>
      </c>
      <c r="AA5950" s="182" t="n">
        <v>0</v>
      </c>
      <c r="AB5950" s="182" t="n">
        <v>0.06</v>
      </c>
      <c r="AC5950" s="182" t="n">
        <v>0</v>
      </c>
      <c r="AD5950" s="182" t="n">
        <v>0</v>
      </c>
      <c r="AE5950" s="182" t="n">
        <v>0</v>
      </c>
      <c r="AF5950" s="182" t="n">
        <v>0</v>
      </c>
      <c r="AG5950" s="182" t="n">
        <v>0</v>
      </c>
      <c r="AH5950" s="182" t="n">
        <v>0</v>
      </c>
      <c r="AI5950" s="182" t="n">
        <v>0</v>
      </c>
      <c r="AJ5950" s="182" t="n">
        <v>0</v>
      </c>
      <c r="AK5950" s="182" t="n">
        <v>0</v>
      </c>
      <c r="AL5950" s="182" t="n">
        <v>0</v>
      </c>
      <c r="AM5950" s="182" t="n">
        <v>0.03</v>
      </c>
      <c r="AN5950" s="182" t="n">
        <v>0</v>
      </c>
    </row>
    <row r="5951">
      <c r="A5951" s="155" t="n">
        <v>46109</v>
      </c>
      <c r="B5951" s="156" t="inlineStr">
        <is>
          <t>DS</t>
        </is>
      </c>
      <c r="C5951" s="156" t="inlineStr">
        <is>
          <t>CP-042</t>
        </is>
      </c>
      <c r="D5951" s="156" t="inlineStr">
        <is>
          <t>SANY - Compactor</t>
        </is>
      </c>
      <c r="E5951" s="156" t="inlineStr">
        <is>
          <t>Compactor</t>
        </is>
      </c>
      <c r="F5951" s="156" t="inlineStr"/>
      <c r="G5951" s="182" t="n">
        <v>0</v>
      </c>
      <c r="H5951" s="182" t="n">
        <v>0</v>
      </c>
      <c r="I5951" s="182" t="n">
        <v>0</v>
      </c>
      <c r="J5951" s="182" t="n">
        <v>0</v>
      </c>
      <c r="K5951" s="182" t="n">
        <v>12</v>
      </c>
      <c r="L5951" s="182" t="n">
        <v>12</v>
      </c>
      <c r="M5951" s="182" t="n">
        <v>0</v>
      </c>
      <c r="N5951" s="182" t="n">
        <v>0</v>
      </c>
      <c r="O5951" s="183" t="n">
        <v>0</v>
      </c>
      <c r="P5951" s="183" t="n">
        <v>0</v>
      </c>
      <c r="Q5951" s="184" t="n">
        <v>0</v>
      </c>
      <c r="R5951" s="184" t="n">
        <v>0</v>
      </c>
      <c r="S5951" s="183" t="n">
        <v>0</v>
      </c>
      <c r="T5951" s="183" t="n">
        <v>0</v>
      </c>
      <c r="U5951" s="182" t="n">
        <v>0</v>
      </c>
      <c r="V5951" s="182" t="n">
        <v>0</v>
      </c>
      <c r="W5951" s="182" t="n">
        <v>0</v>
      </c>
      <c r="X5951" s="182" t="n">
        <v>1</v>
      </c>
      <c r="Y5951" s="182" t="n">
        <v>0</v>
      </c>
      <c r="Z5951" s="182" t="n">
        <v>0</v>
      </c>
      <c r="AA5951" s="182" t="n">
        <v>0</v>
      </c>
      <c r="AB5951" s="182" t="n">
        <v>1</v>
      </c>
      <c r="AC5951" s="182" t="n">
        <v>0</v>
      </c>
      <c r="AD5951" s="182" t="n">
        <v>0</v>
      </c>
      <c r="AE5951" s="182" t="n">
        <v>0</v>
      </c>
      <c r="AF5951" s="182" t="n">
        <v>0</v>
      </c>
      <c r="AG5951" s="182" t="n">
        <v>0</v>
      </c>
      <c r="AH5951" s="182" t="n">
        <v>0</v>
      </c>
      <c r="AI5951" s="182" t="n">
        <v>0</v>
      </c>
      <c r="AJ5951" s="182" t="n">
        <v>0</v>
      </c>
      <c r="AK5951" s="182" t="n">
        <v>9.92</v>
      </c>
      <c r="AL5951" s="182" t="n">
        <v>0</v>
      </c>
      <c r="AM5951" s="182" t="n">
        <v>0.08</v>
      </c>
      <c r="AN5951" s="182" t="n">
        <v>0</v>
      </c>
    </row>
    <row r="5952">
      <c r="A5952" s="155" t="n">
        <v>46109</v>
      </c>
      <c r="B5952" s="156" t="inlineStr">
        <is>
          <t>DS</t>
        </is>
      </c>
      <c r="C5952" s="156" t="inlineStr">
        <is>
          <t>CP-041</t>
        </is>
      </c>
      <c r="D5952" s="156" t="inlineStr">
        <is>
          <t>SANY - Compactor</t>
        </is>
      </c>
      <c r="E5952" s="156" t="inlineStr">
        <is>
          <t>Compactor</t>
        </is>
      </c>
      <c r="F5952" s="156" t="inlineStr"/>
      <c r="G5952" s="182" t="n">
        <v>0</v>
      </c>
      <c r="H5952" s="182" t="n">
        <v>0</v>
      </c>
      <c r="I5952" s="182" t="n">
        <v>0</v>
      </c>
      <c r="J5952" s="182" t="n">
        <v>0</v>
      </c>
      <c r="K5952" s="182" t="n">
        <v>12</v>
      </c>
      <c r="L5952" s="182" t="n">
        <v>12</v>
      </c>
      <c r="M5952" s="182" t="n">
        <v>0</v>
      </c>
      <c r="N5952" s="182" t="n">
        <v>0</v>
      </c>
      <c r="O5952" s="183" t="n">
        <v>0</v>
      </c>
      <c r="P5952" s="183" t="n">
        <v>0</v>
      </c>
      <c r="Q5952" s="184" t="n">
        <v>0</v>
      </c>
      <c r="R5952" s="184" t="n">
        <v>0</v>
      </c>
      <c r="S5952" s="183" t="n">
        <v>0</v>
      </c>
      <c r="T5952" s="183" t="n">
        <v>0</v>
      </c>
      <c r="U5952" s="182" t="n">
        <v>0</v>
      </c>
      <c r="V5952" s="182" t="n">
        <v>0</v>
      </c>
      <c r="W5952" s="182" t="n">
        <v>0</v>
      </c>
      <c r="X5952" s="182" t="n">
        <v>1</v>
      </c>
      <c r="Y5952" s="182" t="n">
        <v>0</v>
      </c>
      <c r="Z5952" s="182" t="n">
        <v>0</v>
      </c>
      <c r="AA5952" s="182" t="n">
        <v>0</v>
      </c>
      <c r="AB5952" s="182" t="n">
        <v>1</v>
      </c>
      <c r="AC5952" s="182" t="n">
        <v>0</v>
      </c>
      <c r="AD5952" s="182" t="n">
        <v>0</v>
      </c>
      <c r="AE5952" s="182" t="n">
        <v>0</v>
      </c>
      <c r="AF5952" s="182" t="n">
        <v>0</v>
      </c>
      <c r="AG5952" s="182" t="n">
        <v>0</v>
      </c>
      <c r="AH5952" s="182" t="n">
        <v>0</v>
      </c>
      <c r="AI5952" s="182" t="n">
        <v>0</v>
      </c>
      <c r="AJ5952" s="182" t="n">
        <v>0</v>
      </c>
      <c r="AK5952" s="182" t="n">
        <v>9.92</v>
      </c>
      <c r="AL5952" s="182" t="n">
        <v>0</v>
      </c>
      <c r="AM5952" s="182" t="n">
        <v>0.08</v>
      </c>
      <c r="AN5952" s="182" t="n">
        <v>0</v>
      </c>
    </row>
    <row r="5953">
      <c r="A5953" s="155" t="n">
        <v>46109</v>
      </c>
      <c r="B5953" s="156" t="inlineStr">
        <is>
          <t>DS</t>
        </is>
      </c>
      <c r="C5953" s="156" t="inlineStr">
        <is>
          <t>HT-418</t>
        </is>
      </c>
      <c r="D5953" s="156" t="inlineStr">
        <is>
          <t>SY430</t>
        </is>
      </c>
      <c r="E5953" s="156" t="inlineStr">
        <is>
          <t>DT Hauling</t>
        </is>
      </c>
      <c r="F5953" s="156" t="inlineStr">
        <is>
          <t>Hauling Coal ke Jetty</t>
        </is>
      </c>
      <c r="G5953" s="182" t="n">
        <v>3.74</v>
      </c>
      <c r="H5953" s="182" t="n">
        <v>0</v>
      </c>
      <c r="I5953" s="182" t="n">
        <v>0</v>
      </c>
      <c r="J5953" s="182" t="n">
        <v>0</v>
      </c>
      <c r="K5953" s="182" t="n">
        <v>8.26</v>
      </c>
      <c r="L5953" s="182" t="n">
        <v>12</v>
      </c>
      <c r="M5953" s="182" t="n">
        <v>0</v>
      </c>
      <c r="N5953" s="182" t="n">
        <v>0</v>
      </c>
      <c r="O5953" s="183" t="n">
        <v>0</v>
      </c>
      <c r="P5953" s="183" t="n">
        <v>0</v>
      </c>
      <c r="Q5953" s="184" t="n">
        <v>0</v>
      </c>
      <c r="R5953" s="184" t="n">
        <v>0</v>
      </c>
      <c r="S5953" s="183" t="n">
        <v>0</v>
      </c>
      <c r="T5953" s="183" t="n">
        <v>0</v>
      </c>
      <c r="U5953" s="182" t="n">
        <v>0</v>
      </c>
      <c r="V5953" s="182" t="n">
        <v>0</v>
      </c>
      <c r="W5953" s="182" t="n">
        <v>0</v>
      </c>
      <c r="X5953" s="182" t="n">
        <v>1.02</v>
      </c>
      <c r="Y5953" s="182" t="n">
        <v>0</v>
      </c>
      <c r="Z5953" s="182" t="n">
        <v>0</v>
      </c>
      <c r="AA5953" s="182" t="n">
        <v>0</v>
      </c>
      <c r="AB5953" s="182" t="n">
        <v>1.02</v>
      </c>
      <c r="AC5953" s="182" t="n">
        <v>0</v>
      </c>
      <c r="AD5953" s="182" t="n">
        <v>0</v>
      </c>
      <c r="AE5953" s="182" t="n">
        <v>0</v>
      </c>
      <c r="AF5953" s="182" t="n">
        <v>0</v>
      </c>
      <c r="AG5953" s="182" t="n">
        <v>0</v>
      </c>
      <c r="AH5953" s="182" t="n">
        <v>0</v>
      </c>
      <c r="AI5953" s="182" t="n">
        <v>0</v>
      </c>
      <c r="AJ5953" s="182" t="n">
        <v>0</v>
      </c>
      <c r="AK5953" s="182" t="n">
        <v>6.14</v>
      </c>
      <c r="AL5953" s="182" t="n">
        <v>0</v>
      </c>
      <c r="AM5953" s="182" t="n">
        <v>0.08</v>
      </c>
      <c r="AN5953" s="182" t="n">
        <v>0</v>
      </c>
    </row>
    <row r="5954">
      <c r="A5954" s="155" t="n">
        <v>46109</v>
      </c>
      <c r="B5954" s="156" t="inlineStr">
        <is>
          <t>DS</t>
        </is>
      </c>
      <c r="C5954" s="156" t="inlineStr">
        <is>
          <t>HT-404</t>
        </is>
      </c>
      <c r="D5954" s="156" t="inlineStr">
        <is>
          <t>SY430</t>
        </is>
      </c>
      <c r="E5954" s="156" t="inlineStr">
        <is>
          <t>DT Hauling</t>
        </is>
      </c>
      <c r="F5954" s="156" t="inlineStr"/>
      <c r="G5954" s="182" t="n">
        <v>0</v>
      </c>
      <c r="H5954" s="182" t="n">
        <v>12</v>
      </c>
      <c r="I5954" s="182" t="n">
        <v>0</v>
      </c>
      <c r="J5954" s="182" t="n">
        <v>12</v>
      </c>
      <c r="K5954" s="182" t="n">
        <v>0</v>
      </c>
      <c r="L5954" s="182" t="n">
        <v>12</v>
      </c>
      <c r="M5954" s="182" t="n">
        <v>0</v>
      </c>
      <c r="N5954" s="182" t="n">
        <v>0</v>
      </c>
      <c r="O5954" s="183" t="n">
        <v>0</v>
      </c>
      <c r="P5954" s="183" t="n">
        <v>0</v>
      </c>
      <c r="Q5954" s="184" t="n">
        <v>0</v>
      </c>
      <c r="R5954" s="184" t="n">
        <v>0</v>
      </c>
      <c r="S5954" s="183" t="n">
        <v>0</v>
      </c>
      <c r="T5954" s="183" t="n">
        <v>0</v>
      </c>
      <c r="U5954" s="182" t="n">
        <v>0</v>
      </c>
      <c r="V5954" s="182" t="n">
        <v>0</v>
      </c>
      <c r="W5954" s="182" t="n">
        <v>0</v>
      </c>
      <c r="X5954" s="182" t="n">
        <v>0</v>
      </c>
      <c r="Y5954" s="182" t="n">
        <v>0</v>
      </c>
      <c r="Z5954" s="182" t="n">
        <v>0</v>
      </c>
      <c r="AA5954" s="182" t="n">
        <v>0</v>
      </c>
      <c r="AB5954" s="182" t="n">
        <v>0</v>
      </c>
      <c r="AC5954" s="182" t="n">
        <v>0</v>
      </c>
      <c r="AD5954" s="182" t="n">
        <v>0</v>
      </c>
      <c r="AE5954" s="182" t="n">
        <v>0</v>
      </c>
      <c r="AF5954" s="182" t="n">
        <v>0</v>
      </c>
      <c r="AG5954" s="182" t="n">
        <v>0</v>
      </c>
      <c r="AH5954" s="182" t="n">
        <v>0</v>
      </c>
      <c r="AI5954" s="182" t="n">
        <v>0</v>
      </c>
      <c r="AJ5954" s="182" t="n">
        <v>0</v>
      </c>
      <c r="AK5954" s="182" t="n">
        <v>0</v>
      </c>
      <c r="AL5954" s="182" t="n">
        <v>0</v>
      </c>
      <c r="AM5954" s="182" t="n">
        <v>0</v>
      </c>
      <c r="AN5954" s="182" t="n">
        <v>0</v>
      </c>
    </row>
    <row r="5955">
      <c r="A5955" s="155" t="n">
        <v>46109</v>
      </c>
      <c r="B5955" s="156" t="inlineStr">
        <is>
          <t>DS</t>
        </is>
      </c>
      <c r="C5955" s="156" t="inlineStr">
        <is>
          <t>HT-415</t>
        </is>
      </c>
      <c r="D5955" s="156" t="inlineStr">
        <is>
          <t>SY430</t>
        </is>
      </c>
      <c r="E5955" s="156" t="inlineStr">
        <is>
          <t>DT Hauling</t>
        </is>
      </c>
      <c r="F5955" s="156" t="inlineStr"/>
      <c r="G5955" s="182" t="n">
        <v>0</v>
      </c>
      <c r="H5955" s="182" t="n">
        <v>0</v>
      </c>
      <c r="I5955" s="182" t="n">
        <v>12</v>
      </c>
      <c r="J5955" s="182" t="n">
        <v>12</v>
      </c>
      <c r="K5955" s="182" t="n">
        <v>0</v>
      </c>
      <c r="L5955" s="182" t="n">
        <v>12</v>
      </c>
      <c r="M5955" s="182" t="n">
        <v>0</v>
      </c>
      <c r="N5955" s="182" t="n">
        <v>0</v>
      </c>
      <c r="O5955" s="183" t="n">
        <v>0</v>
      </c>
      <c r="P5955" s="183" t="n">
        <v>0</v>
      </c>
      <c r="Q5955" s="184" t="n">
        <v>0</v>
      </c>
      <c r="R5955" s="184" t="n">
        <v>0</v>
      </c>
      <c r="S5955" s="183" t="n">
        <v>0</v>
      </c>
      <c r="T5955" s="183" t="n">
        <v>0</v>
      </c>
      <c r="U5955" s="182" t="n">
        <v>0</v>
      </c>
      <c r="V5955" s="182" t="n">
        <v>0</v>
      </c>
      <c r="W5955" s="182" t="n">
        <v>0</v>
      </c>
      <c r="X5955" s="182" t="n">
        <v>0</v>
      </c>
      <c r="Y5955" s="182" t="n">
        <v>0</v>
      </c>
      <c r="Z5955" s="182" t="n">
        <v>0</v>
      </c>
      <c r="AA5955" s="182" t="n">
        <v>0</v>
      </c>
      <c r="AB5955" s="182" t="n">
        <v>0</v>
      </c>
      <c r="AC5955" s="182" t="n">
        <v>0</v>
      </c>
      <c r="AD5955" s="182" t="n">
        <v>0</v>
      </c>
      <c r="AE5955" s="182" t="n">
        <v>0</v>
      </c>
      <c r="AF5955" s="182" t="n">
        <v>0</v>
      </c>
      <c r="AG5955" s="182" t="n">
        <v>0</v>
      </c>
      <c r="AH5955" s="182" t="n">
        <v>0</v>
      </c>
      <c r="AI5955" s="182" t="n">
        <v>0</v>
      </c>
      <c r="AJ5955" s="182" t="n">
        <v>0</v>
      </c>
      <c r="AK5955" s="182" t="n">
        <v>0</v>
      </c>
      <c r="AL5955" s="182" t="n">
        <v>0</v>
      </c>
      <c r="AM5955" s="182" t="n">
        <v>0</v>
      </c>
      <c r="AN5955" s="182" t="n">
        <v>0</v>
      </c>
    </row>
    <row r="5956">
      <c r="A5956" s="155" t="n">
        <v>46109</v>
      </c>
      <c r="B5956" s="156" t="inlineStr">
        <is>
          <t>DS</t>
        </is>
      </c>
      <c r="C5956" s="156" t="inlineStr">
        <is>
          <t>HT-406</t>
        </is>
      </c>
      <c r="D5956" s="156" t="inlineStr">
        <is>
          <t>SY430</t>
        </is>
      </c>
      <c r="E5956" s="156" t="inlineStr">
        <is>
          <t>DT Hauling</t>
        </is>
      </c>
      <c r="F5956" s="156" t="inlineStr"/>
      <c r="G5956" s="182" t="n">
        <v>0</v>
      </c>
      <c r="H5956" s="182" t="n">
        <v>0</v>
      </c>
      <c r="I5956" s="182" t="n">
        <v>12</v>
      </c>
      <c r="J5956" s="182" t="n">
        <v>12</v>
      </c>
      <c r="K5956" s="182" t="n">
        <v>0</v>
      </c>
      <c r="L5956" s="182" t="n">
        <v>12</v>
      </c>
      <c r="M5956" s="182" t="n">
        <v>0</v>
      </c>
      <c r="N5956" s="182" t="n">
        <v>0</v>
      </c>
      <c r="O5956" s="183" t="n">
        <v>0</v>
      </c>
      <c r="P5956" s="183" t="n">
        <v>0</v>
      </c>
      <c r="Q5956" s="184" t="n">
        <v>0</v>
      </c>
      <c r="R5956" s="184" t="n">
        <v>0</v>
      </c>
      <c r="S5956" s="183" t="n">
        <v>0</v>
      </c>
      <c r="T5956" s="183" t="n">
        <v>0</v>
      </c>
      <c r="U5956" s="182" t="n">
        <v>0</v>
      </c>
      <c r="V5956" s="182" t="n">
        <v>0</v>
      </c>
      <c r="W5956" s="182" t="n">
        <v>0</v>
      </c>
      <c r="X5956" s="182" t="n">
        <v>0</v>
      </c>
      <c r="Y5956" s="182" t="n">
        <v>0</v>
      </c>
      <c r="Z5956" s="182" t="n">
        <v>0</v>
      </c>
      <c r="AA5956" s="182" t="n">
        <v>0</v>
      </c>
      <c r="AB5956" s="182" t="n">
        <v>0</v>
      </c>
      <c r="AC5956" s="182" t="n">
        <v>0</v>
      </c>
      <c r="AD5956" s="182" t="n">
        <v>0</v>
      </c>
      <c r="AE5956" s="182" t="n">
        <v>0</v>
      </c>
      <c r="AF5956" s="182" t="n">
        <v>0</v>
      </c>
      <c r="AG5956" s="182" t="n">
        <v>0</v>
      </c>
      <c r="AH5956" s="182" t="n">
        <v>0</v>
      </c>
      <c r="AI5956" s="182" t="n">
        <v>0</v>
      </c>
      <c r="AJ5956" s="182" t="n">
        <v>0</v>
      </c>
      <c r="AK5956" s="182" t="n">
        <v>0</v>
      </c>
      <c r="AL5956" s="182" t="n">
        <v>0</v>
      </c>
      <c r="AM5956" s="182" t="n">
        <v>0</v>
      </c>
      <c r="AN5956" s="182" t="n">
        <v>0</v>
      </c>
    </row>
    <row r="5957">
      <c r="A5957" s="155" t="n">
        <v>46109</v>
      </c>
      <c r="B5957" s="156" t="inlineStr">
        <is>
          <t>DS</t>
        </is>
      </c>
      <c r="C5957" s="156" t="inlineStr">
        <is>
          <t>HT-405</t>
        </is>
      </c>
      <c r="D5957" s="156" t="inlineStr">
        <is>
          <t>SY430</t>
        </is>
      </c>
      <c r="E5957" s="156" t="inlineStr">
        <is>
          <t>DT Hauling</t>
        </is>
      </c>
      <c r="F5957" s="156" t="inlineStr"/>
      <c r="G5957" s="182" t="n">
        <v>0</v>
      </c>
      <c r="H5957" s="182" t="n">
        <v>0</v>
      </c>
      <c r="I5957" s="182" t="n">
        <v>9.67</v>
      </c>
      <c r="J5957" s="182" t="n">
        <v>9.67</v>
      </c>
      <c r="K5957" s="182" t="n">
        <v>2.33</v>
      </c>
      <c r="L5957" s="182" t="n">
        <v>12</v>
      </c>
      <c r="M5957" s="182" t="n">
        <v>0</v>
      </c>
      <c r="N5957" s="182" t="n">
        <v>0</v>
      </c>
      <c r="O5957" s="183" t="n">
        <v>0</v>
      </c>
      <c r="P5957" s="183" t="n">
        <v>0</v>
      </c>
      <c r="Q5957" s="184" t="n">
        <v>0</v>
      </c>
      <c r="R5957" s="184" t="n">
        <v>0</v>
      </c>
      <c r="S5957" s="183" t="n">
        <v>0</v>
      </c>
      <c r="T5957" s="183" t="n">
        <v>0</v>
      </c>
      <c r="U5957" s="182" t="n">
        <v>0</v>
      </c>
      <c r="V5957" s="182" t="n">
        <v>0</v>
      </c>
      <c r="W5957" s="182" t="n">
        <v>0</v>
      </c>
      <c r="X5957" s="182" t="n">
        <v>1</v>
      </c>
      <c r="Y5957" s="182" t="n">
        <v>0</v>
      </c>
      <c r="Z5957" s="182" t="n">
        <v>0</v>
      </c>
      <c r="AA5957" s="182" t="n">
        <v>0</v>
      </c>
      <c r="AB5957" s="182" t="n">
        <v>1</v>
      </c>
      <c r="AC5957" s="182" t="n">
        <v>0</v>
      </c>
      <c r="AD5957" s="182" t="n">
        <v>0</v>
      </c>
      <c r="AE5957" s="182" t="n">
        <v>0</v>
      </c>
      <c r="AF5957" s="182" t="n">
        <v>0</v>
      </c>
      <c r="AG5957" s="182" t="n">
        <v>0</v>
      </c>
      <c r="AH5957" s="182" t="n">
        <v>0</v>
      </c>
      <c r="AI5957" s="182" t="n">
        <v>0</v>
      </c>
      <c r="AJ5957" s="182" t="n">
        <v>0</v>
      </c>
      <c r="AK5957" s="182" t="n">
        <v>0.25</v>
      </c>
      <c r="AL5957" s="182" t="n">
        <v>0</v>
      </c>
      <c r="AM5957" s="182" t="n">
        <v>0.08</v>
      </c>
      <c r="AN5957" s="182" t="n">
        <v>0</v>
      </c>
    </row>
    <row r="5958">
      <c r="A5958" s="155" t="n">
        <v>46109</v>
      </c>
      <c r="B5958" s="156" t="inlineStr">
        <is>
          <t>DS</t>
        </is>
      </c>
      <c r="C5958" s="156" t="inlineStr">
        <is>
          <t>HT-417</t>
        </is>
      </c>
      <c r="D5958" s="156" t="inlineStr">
        <is>
          <t>SY430</t>
        </is>
      </c>
      <c r="E5958" s="156" t="inlineStr">
        <is>
          <t>DT Hauling</t>
        </is>
      </c>
      <c r="F5958" s="156" t="inlineStr">
        <is>
          <t>Hauling Coal ke Jetty</t>
        </is>
      </c>
      <c r="G5958" s="182" t="n">
        <v>1.94</v>
      </c>
      <c r="H5958" s="182" t="n">
        <v>0</v>
      </c>
      <c r="I5958" s="182" t="n">
        <v>0</v>
      </c>
      <c r="J5958" s="182" t="n">
        <v>0</v>
      </c>
      <c r="K5958" s="182" t="n">
        <v>10.06</v>
      </c>
      <c r="L5958" s="182" t="n">
        <v>12</v>
      </c>
      <c r="M5958" s="182" t="n">
        <v>0</v>
      </c>
      <c r="N5958" s="182" t="n">
        <v>0</v>
      </c>
      <c r="O5958" s="183" t="n">
        <v>0</v>
      </c>
      <c r="P5958" s="183" t="n">
        <v>0</v>
      </c>
      <c r="Q5958" s="184" t="n">
        <v>0</v>
      </c>
      <c r="R5958" s="184" t="n">
        <v>0</v>
      </c>
      <c r="S5958" s="183" t="n">
        <v>0</v>
      </c>
      <c r="T5958" s="183" t="n">
        <v>0</v>
      </c>
      <c r="U5958" s="182" t="n">
        <v>0</v>
      </c>
      <c r="V5958" s="182" t="n">
        <v>0</v>
      </c>
      <c r="W5958" s="182" t="n">
        <v>0</v>
      </c>
      <c r="X5958" s="182" t="n">
        <v>1.01</v>
      </c>
      <c r="Y5958" s="182" t="n">
        <v>0</v>
      </c>
      <c r="Z5958" s="182" t="n">
        <v>0</v>
      </c>
      <c r="AA5958" s="182" t="n">
        <v>0</v>
      </c>
      <c r="AB5958" s="182" t="n">
        <v>1.01</v>
      </c>
      <c r="AC5958" s="182" t="n">
        <v>0</v>
      </c>
      <c r="AD5958" s="182" t="n">
        <v>0</v>
      </c>
      <c r="AE5958" s="182" t="n">
        <v>0</v>
      </c>
      <c r="AF5958" s="182" t="n">
        <v>0</v>
      </c>
      <c r="AG5958" s="182" t="n">
        <v>0</v>
      </c>
      <c r="AH5958" s="182" t="n">
        <v>0</v>
      </c>
      <c r="AI5958" s="182" t="n">
        <v>0</v>
      </c>
      <c r="AJ5958" s="182" t="n">
        <v>0</v>
      </c>
      <c r="AK5958" s="182" t="n">
        <v>7.97</v>
      </c>
      <c r="AL5958" s="182" t="n">
        <v>0</v>
      </c>
      <c r="AM5958" s="182" t="n">
        <v>0.08</v>
      </c>
      <c r="AN5958" s="182" t="n">
        <v>0</v>
      </c>
    </row>
    <row r="5959">
      <c r="A5959" s="155" t="n">
        <v>46109</v>
      </c>
      <c r="B5959" s="156" t="inlineStr">
        <is>
          <t>DS</t>
        </is>
      </c>
      <c r="C5959" s="156" t="inlineStr">
        <is>
          <t>HT-401</t>
        </is>
      </c>
      <c r="D5959" s="156" t="inlineStr">
        <is>
          <t>SY430</t>
        </is>
      </c>
      <c r="E5959" s="156" t="inlineStr">
        <is>
          <t>DT Hauling</t>
        </is>
      </c>
      <c r="F5959" s="156" t="inlineStr"/>
      <c r="G5959" s="182" t="n">
        <v>0</v>
      </c>
      <c r="H5959" s="182" t="n">
        <v>0</v>
      </c>
      <c r="I5959" s="182" t="n">
        <v>0</v>
      </c>
      <c r="J5959" s="182" t="n">
        <v>0</v>
      </c>
      <c r="K5959" s="182" t="n">
        <v>12</v>
      </c>
      <c r="L5959" s="182" t="n">
        <v>12</v>
      </c>
      <c r="M5959" s="182" t="n">
        <v>0</v>
      </c>
      <c r="N5959" s="182" t="n">
        <v>0</v>
      </c>
      <c r="O5959" s="183" t="n">
        <v>0</v>
      </c>
      <c r="P5959" s="183" t="n">
        <v>0</v>
      </c>
      <c r="Q5959" s="184" t="n">
        <v>0</v>
      </c>
      <c r="R5959" s="184" t="n">
        <v>0</v>
      </c>
      <c r="S5959" s="183" t="n">
        <v>0</v>
      </c>
      <c r="T5959" s="183" t="n">
        <v>0</v>
      </c>
      <c r="U5959" s="182" t="n">
        <v>0</v>
      </c>
      <c r="V5959" s="182" t="n">
        <v>0</v>
      </c>
      <c r="W5959" s="182" t="n">
        <v>0</v>
      </c>
      <c r="X5959" s="182" t="n">
        <v>1</v>
      </c>
      <c r="Y5959" s="182" t="n">
        <v>0</v>
      </c>
      <c r="Z5959" s="182" t="n">
        <v>0</v>
      </c>
      <c r="AA5959" s="182" t="n">
        <v>0</v>
      </c>
      <c r="AB5959" s="182" t="n">
        <v>1</v>
      </c>
      <c r="AC5959" s="182" t="n">
        <v>0</v>
      </c>
      <c r="AD5959" s="182" t="n">
        <v>0</v>
      </c>
      <c r="AE5959" s="182" t="n">
        <v>0</v>
      </c>
      <c r="AF5959" s="182" t="n">
        <v>0</v>
      </c>
      <c r="AG5959" s="182" t="n">
        <v>0</v>
      </c>
      <c r="AH5959" s="182" t="n">
        <v>0</v>
      </c>
      <c r="AI5959" s="182" t="n">
        <v>0</v>
      </c>
      <c r="AJ5959" s="182" t="n">
        <v>0</v>
      </c>
      <c r="AK5959" s="182" t="n">
        <v>9.92</v>
      </c>
      <c r="AL5959" s="182" t="n">
        <v>0</v>
      </c>
      <c r="AM5959" s="182" t="n">
        <v>0.08</v>
      </c>
      <c r="AN5959" s="182" t="n">
        <v>0</v>
      </c>
    </row>
    <row r="5960">
      <c r="A5960" s="155" t="n">
        <v>46109</v>
      </c>
      <c r="B5960" s="156" t="inlineStr">
        <is>
          <t>DS</t>
        </is>
      </c>
      <c r="C5960" s="156" t="inlineStr">
        <is>
          <t>HT-410</t>
        </is>
      </c>
      <c r="D5960" s="156" t="inlineStr">
        <is>
          <t>SY430</t>
        </is>
      </c>
      <c r="E5960" s="156" t="inlineStr">
        <is>
          <t>DT Hauling</t>
        </is>
      </c>
      <c r="F5960" s="156" t="inlineStr"/>
      <c r="G5960" s="182" t="n">
        <v>0</v>
      </c>
      <c r="H5960" s="182" t="n">
        <v>0</v>
      </c>
      <c r="I5960" s="182" t="n">
        <v>0</v>
      </c>
      <c r="J5960" s="182" t="n">
        <v>0</v>
      </c>
      <c r="K5960" s="182" t="n">
        <v>12</v>
      </c>
      <c r="L5960" s="182" t="n">
        <v>12</v>
      </c>
      <c r="M5960" s="182" t="n">
        <v>0</v>
      </c>
      <c r="N5960" s="182" t="n">
        <v>0</v>
      </c>
      <c r="O5960" s="183" t="n">
        <v>0</v>
      </c>
      <c r="P5960" s="183" t="n">
        <v>0</v>
      </c>
      <c r="Q5960" s="184" t="n">
        <v>0</v>
      </c>
      <c r="R5960" s="184" t="n">
        <v>0</v>
      </c>
      <c r="S5960" s="183" t="n">
        <v>0</v>
      </c>
      <c r="T5960" s="183" t="n">
        <v>0</v>
      </c>
      <c r="U5960" s="182" t="n">
        <v>0</v>
      </c>
      <c r="V5960" s="182" t="n">
        <v>0</v>
      </c>
      <c r="W5960" s="182" t="n">
        <v>0</v>
      </c>
      <c r="X5960" s="182" t="n">
        <v>1</v>
      </c>
      <c r="Y5960" s="182" t="n">
        <v>0</v>
      </c>
      <c r="Z5960" s="182" t="n">
        <v>0</v>
      </c>
      <c r="AA5960" s="182" t="n">
        <v>0</v>
      </c>
      <c r="AB5960" s="182" t="n">
        <v>1</v>
      </c>
      <c r="AC5960" s="182" t="n">
        <v>0</v>
      </c>
      <c r="AD5960" s="182" t="n">
        <v>0</v>
      </c>
      <c r="AE5960" s="182" t="n">
        <v>0</v>
      </c>
      <c r="AF5960" s="182" t="n">
        <v>0</v>
      </c>
      <c r="AG5960" s="182" t="n">
        <v>0</v>
      </c>
      <c r="AH5960" s="182" t="n">
        <v>0</v>
      </c>
      <c r="AI5960" s="182" t="n">
        <v>0</v>
      </c>
      <c r="AJ5960" s="182" t="n">
        <v>0</v>
      </c>
      <c r="AK5960" s="182" t="n">
        <v>9.92</v>
      </c>
      <c r="AL5960" s="182" t="n">
        <v>0</v>
      </c>
      <c r="AM5960" s="182" t="n">
        <v>0.08</v>
      </c>
      <c r="AN5960" s="182" t="n">
        <v>0</v>
      </c>
    </row>
    <row r="5961">
      <c r="A5961" s="155" t="n">
        <v>46109</v>
      </c>
      <c r="B5961" s="156" t="inlineStr">
        <is>
          <t>DS</t>
        </is>
      </c>
      <c r="C5961" s="156" t="inlineStr">
        <is>
          <t>HT-402</t>
        </is>
      </c>
      <c r="D5961" s="156" t="inlineStr">
        <is>
          <t>SY430</t>
        </is>
      </c>
      <c r="E5961" s="156" t="inlineStr">
        <is>
          <t>DT Hauling</t>
        </is>
      </c>
      <c r="F5961" s="156" t="inlineStr"/>
      <c r="G5961" s="182" t="n">
        <v>0</v>
      </c>
      <c r="H5961" s="182" t="n">
        <v>0</v>
      </c>
      <c r="I5961" s="182" t="n">
        <v>12</v>
      </c>
      <c r="J5961" s="182" t="n">
        <v>12</v>
      </c>
      <c r="K5961" s="182" t="n">
        <v>0</v>
      </c>
      <c r="L5961" s="182" t="n">
        <v>12</v>
      </c>
      <c r="M5961" s="182" t="n">
        <v>0</v>
      </c>
      <c r="N5961" s="182" t="n">
        <v>0</v>
      </c>
      <c r="O5961" s="183" t="n">
        <v>0</v>
      </c>
      <c r="P5961" s="183" t="n">
        <v>0</v>
      </c>
      <c r="Q5961" s="184" t="n">
        <v>0</v>
      </c>
      <c r="R5961" s="184" t="n">
        <v>0</v>
      </c>
      <c r="S5961" s="183" t="n">
        <v>0</v>
      </c>
      <c r="T5961" s="183" t="n">
        <v>0</v>
      </c>
      <c r="U5961" s="182" t="n">
        <v>0</v>
      </c>
      <c r="V5961" s="182" t="n">
        <v>0</v>
      </c>
      <c r="W5961" s="182" t="n">
        <v>0</v>
      </c>
      <c r="X5961" s="182" t="n">
        <v>0</v>
      </c>
      <c r="Y5961" s="182" t="n">
        <v>0</v>
      </c>
      <c r="Z5961" s="182" t="n">
        <v>0</v>
      </c>
      <c r="AA5961" s="182" t="n">
        <v>0</v>
      </c>
      <c r="AB5961" s="182" t="n">
        <v>0</v>
      </c>
      <c r="AC5961" s="182" t="n">
        <v>0</v>
      </c>
      <c r="AD5961" s="182" t="n">
        <v>0</v>
      </c>
      <c r="AE5961" s="182" t="n">
        <v>0</v>
      </c>
      <c r="AF5961" s="182" t="n">
        <v>0</v>
      </c>
      <c r="AG5961" s="182" t="n">
        <v>0</v>
      </c>
      <c r="AH5961" s="182" t="n">
        <v>0</v>
      </c>
      <c r="AI5961" s="182" t="n">
        <v>0</v>
      </c>
      <c r="AJ5961" s="182" t="n">
        <v>0</v>
      </c>
      <c r="AK5961" s="182" t="n">
        <v>0</v>
      </c>
      <c r="AL5961" s="182" t="n">
        <v>0</v>
      </c>
      <c r="AM5961" s="182" t="n">
        <v>0</v>
      </c>
      <c r="AN5961" s="182" t="n">
        <v>0</v>
      </c>
    </row>
    <row r="5962">
      <c r="A5962" s="155" t="n">
        <v>46109</v>
      </c>
      <c r="B5962" s="156" t="inlineStr">
        <is>
          <t>DS</t>
        </is>
      </c>
      <c r="C5962" s="156" t="inlineStr">
        <is>
          <t>HT-419</t>
        </is>
      </c>
      <c r="D5962" s="156" t="inlineStr">
        <is>
          <t>SY430</t>
        </is>
      </c>
      <c r="E5962" s="156" t="inlineStr">
        <is>
          <t>DT Hauling</t>
        </is>
      </c>
      <c r="F5962" s="156" t="inlineStr"/>
      <c r="G5962" s="182" t="n">
        <v>0</v>
      </c>
      <c r="H5962" s="182" t="n">
        <v>0</v>
      </c>
      <c r="I5962" s="182" t="n">
        <v>0</v>
      </c>
      <c r="J5962" s="182" t="n">
        <v>0</v>
      </c>
      <c r="K5962" s="182" t="n">
        <v>12</v>
      </c>
      <c r="L5962" s="182" t="n">
        <v>12</v>
      </c>
      <c r="M5962" s="182" t="n">
        <v>0</v>
      </c>
      <c r="N5962" s="182" t="n">
        <v>0</v>
      </c>
      <c r="O5962" s="183" t="n">
        <v>0</v>
      </c>
      <c r="P5962" s="183" t="n">
        <v>0</v>
      </c>
      <c r="Q5962" s="184" t="n">
        <v>0</v>
      </c>
      <c r="R5962" s="184" t="n">
        <v>0</v>
      </c>
      <c r="S5962" s="183" t="n">
        <v>0</v>
      </c>
      <c r="T5962" s="183" t="n">
        <v>0</v>
      </c>
      <c r="U5962" s="182" t="n">
        <v>0</v>
      </c>
      <c r="V5962" s="182" t="n">
        <v>0</v>
      </c>
      <c r="W5962" s="182" t="n">
        <v>0</v>
      </c>
      <c r="X5962" s="182" t="n">
        <v>1</v>
      </c>
      <c r="Y5962" s="182" t="n">
        <v>0</v>
      </c>
      <c r="Z5962" s="182" t="n">
        <v>0</v>
      </c>
      <c r="AA5962" s="182" t="n">
        <v>0</v>
      </c>
      <c r="AB5962" s="182" t="n">
        <v>1</v>
      </c>
      <c r="AC5962" s="182" t="n">
        <v>0</v>
      </c>
      <c r="AD5962" s="182" t="n">
        <v>0</v>
      </c>
      <c r="AE5962" s="182" t="n">
        <v>0</v>
      </c>
      <c r="AF5962" s="182" t="n">
        <v>0</v>
      </c>
      <c r="AG5962" s="182" t="n">
        <v>0</v>
      </c>
      <c r="AH5962" s="182" t="n">
        <v>0</v>
      </c>
      <c r="AI5962" s="182" t="n">
        <v>0</v>
      </c>
      <c r="AJ5962" s="182" t="n">
        <v>0</v>
      </c>
      <c r="AK5962" s="182" t="n">
        <v>9.92</v>
      </c>
      <c r="AL5962" s="182" t="n">
        <v>0</v>
      </c>
      <c r="AM5962" s="182" t="n">
        <v>0.08</v>
      </c>
      <c r="AN5962" s="182" t="n">
        <v>0</v>
      </c>
    </row>
    <row r="5963">
      <c r="A5963" s="155" t="n">
        <v>46109</v>
      </c>
      <c r="B5963" s="156" t="inlineStr">
        <is>
          <t>DS</t>
        </is>
      </c>
      <c r="C5963" s="156" t="inlineStr">
        <is>
          <t>HT-416</t>
        </is>
      </c>
      <c r="D5963" s="156" t="inlineStr">
        <is>
          <t>SY430</t>
        </is>
      </c>
      <c r="E5963" s="156" t="inlineStr">
        <is>
          <t>DT Hauling</t>
        </is>
      </c>
      <c r="F5963" s="156" t="inlineStr">
        <is>
          <t>Hauling Coal ke Jetty</t>
        </is>
      </c>
      <c r="G5963" s="182" t="n">
        <v>3.02</v>
      </c>
      <c r="H5963" s="182" t="n">
        <v>0</v>
      </c>
      <c r="I5963" s="182" t="n">
        <v>0</v>
      </c>
      <c r="J5963" s="182" t="n">
        <v>0</v>
      </c>
      <c r="K5963" s="182" t="n">
        <v>8.98</v>
      </c>
      <c r="L5963" s="182" t="n">
        <v>12</v>
      </c>
      <c r="M5963" s="182" t="n">
        <v>0</v>
      </c>
      <c r="N5963" s="182" t="n">
        <v>0</v>
      </c>
      <c r="O5963" s="183" t="n">
        <v>0</v>
      </c>
      <c r="P5963" s="183" t="n">
        <v>0</v>
      </c>
      <c r="Q5963" s="184" t="n">
        <v>0</v>
      </c>
      <c r="R5963" s="184" t="n">
        <v>0</v>
      </c>
      <c r="S5963" s="183" t="n">
        <v>0</v>
      </c>
      <c r="T5963" s="183" t="n">
        <v>0</v>
      </c>
      <c r="U5963" s="182" t="n">
        <v>0</v>
      </c>
      <c r="V5963" s="182" t="n">
        <v>0</v>
      </c>
      <c r="W5963" s="182" t="n">
        <v>0</v>
      </c>
      <c r="X5963" s="182" t="n">
        <v>1.02</v>
      </c>
      <c r="Y5963" s="182" t="n">
        <v>0</v>
      </c>
      <c r="Z5963" s="182" t="n">
        <v>0</v>
      </c>
      <c r="AA5963" s="182" t="n">
        <v>0</v>
      </c>
      <c r="AB5963" s="182" t="n">
        <v>1.02</v>
      </c>
      <c r="AC5963" s="182" t="n">
        <v>0</v>
      </c>
      <c r="AD5963" s="182" t="n">
        <v>0</v>
      </c>
      <c r="AE5963" s="182" t="n">
        <v>0</v>
      </c>
      <c r="AF5963" s="182" t="n">
        <v>0</v>
      </c>
      <c r="AG5963" s="182" t="n">
        <v>0</v>
      </c>
      <c r="AH5963" s="182" t="n">
        <v>0</v>
      </c>
      <c r="AI5963" s="182" t="n">
        <v>0</v>
      </c>
      <c r="AJ5963" s="182" t="n">
        <v>0</v>
      </c>
      <c r="AK5963" s="182" t="n">
        <v>6.86</v>
      </c>
      <c r="AL5963" s="182" t="n">
        <v>0</v>
      </c>
      <c r="AM5963" s="182" t="n">
        <v>0.08</v>
      </c>
      <c r="AN5963" s="182" t="n">
        <v>0</v>
      </c>
    </row>
    <row r="5964">
      <c r="A5964" s="155" t="n">
        <v>46109</v>
      </c>
      <c r="B5964" s="156" t="inlineStr">
        <is>
          <t>DS</t>
        </is>
      </c>
      <c r="C5964" s="156" t="inlineStr">
        <is>
          <t>HT-420</t>
        </is>
      </c>
      <c r="D5964" s="156" t="inlineStr">
        <is>
          <t>SY430</t>
        </is>
      </c>
      <c r="E5964" s="156" t="inlineStr">
        <is>
          <t>DT Hauling</t>
        </is>
      </c>
      <c r="F5964" s="156" t="inlineStr">
        <is>
          <t>Hauling Coal ke Jetty</t>
        </is>
      </c>
      <c r="G5964" s="182" t="n">
        <v>2.48</v>
      </c>
      <c r="H5964" s="182" t="n">
        <v>0</v>
      </c>
      <c r="I5964" s="182" t="n">
        <v>9.52</v>
      </c>
      <c r="J5964" s="182" t="n">
        <v>9.52</v>
      </c>
      <c r="K5964" s="182" t="n">
        <v>0</v>
      </c>
      <c r="L5964" s="182" t="n">
        <v>12</v>
      </c>
      <c r="M5964" s="182" t="n">
        <v>0</v>
      </c>
      <c r="N5964" s="182" t="n">
        <v>0</v>
      </c>
      <c r="O5964" s="183" t="n">
        <v>0</v>
      </c>
      <c r="P5964" s="183" t="n">
        <v>0</v>
      </c>
      <c r="Q5964" s="184" t="n">
        <v>0</v>
      </c>
      <c r="R5964" s="184" t="n">
        <v>0</v>
      </c>
      <c r="S5964" s="183" t="n">
        <v>0</v>
      </c>
      <c r="T5964" s="183" t="n">
        <v>0</v>
      </c>
      <c r="U5964" s="182" t="n">
        <v>0</v>
      </c>
      <c r="V5964" s="182" t="n">
        <v>0</v>
      </c>
      <c r="W5964" s="182" t="n">
        <v>0</v>
      </c>
      <c r="X5964" s="182" t="n">
        <v>0</v>
      </c>
      <c r="Y5964" s="182" t="n">
        <v>0</v>
      </c>
      <c r="Z5964" s="182" t="n">
        <v>0</v>
      </c>
      <c r="AA5964" s="182" t="n">
        <v>0</v>
      </c>
      <c r="AB5964" s="182" t="n">
        <v>0</v>
      </c>
      <c r="AC5964" s="182" t="n">
        <v>0</v>
      </c>
      <c r="AD5964" s="182" t="n">
        <v>0</v>
      </c>
      <c r="AE5964" s="182" t="n">
        <v>0</v>
      </c>
      <c r="AF5964" s="182" t="n">
        <v>0</v>
      </c>
      <c r="AG5964" s="182" t="n">
        <v>0</v>
      </c>
      <c r="AH5964" s="182" t="n">
        <v>0</v>
      </c>
      <c r="AI5964" s="182" t="n">
        <v>0</v>
      </c>
      <c r="AJ5964" s="182" t="n">
        <v>0</v>
      </c>
      <c r="AK5964" s="182" t="n">
        <v>0</v>
      </c>
      <c r="AL5964" s="182" t="n">
        <v>0</v>
      </c>
      <c r="AM5964" s="182" t="n">
        <v>0</v>
      </c>
      <c r="AN5964" s="182" t="n">
        <v>0</v>
      </c>
    </row>
    <row r="5965">
      <c r="A5965" s="155" t="n">
        <v>46109</v>
      </c>
      <c r="B5965" s="156" t="inlineStr">
        <is>
          <t>DS</t>
        </is>
      </c>
      <c r="C5965" s="156" t="inlineStr">
        <is>
          <t>HT-403</t>
        </is>
      </c>
      <c r="D5965" s="156" t="inlineStr">
        <is>
          <t>SY430</t>
        </is>
      </c>
      <c r="E5965" s="156" t="inlineStr">
        <is>
          <t>DT Hauling</t>
        </is>
      </c>
      <c r="F5965" s="156" t="inlineStr">
        <is>
          <t>Hauling Coal ke Jetty</t>
        </is>
      </c>
      <c r="G5965" s="182" t="n">
        <v>3.66</v>
      </c>
      <c r="H5965" s="182" t="n">
        <v>0</v>
      </c>
      <c r="I5965" s="182" t="n">
        <v>0.15</v>
      </c>
      <c r="J5965" s="182" t="n">
        <v>0.15</v>
      </c>
      <c r="K5965" s="182" t="n">
        <v>8.19</v>
      </c>
      <c r="L5965" s="182" t="n">
        <v>12</v>
      </c>
      <c r="M5965" s="182" t="n">
        <v>0</v>
      </c>
      <c r="N5965" s="182" t="n">
        <v>0</v>
      </c>
      <c r="O5965" s="183" t="n">
        <v>0</v>
      </c>
      <c r="P5965" s="183" t="n">
        <v>0</v>
      </c>
      <c r="Q5965" s="184" t="n">
        <v>0</v>
      </c>
      <c r="R5965" s="184" t="n">
        <v>0</v>
      </c>
      <c r="S5965" s="183" t="n">
        <v>0</v>
      </c>
      <c r="T5965" s="183" t="n">
        <v>0</v>
      </c>
      <c r="U5965" s="182" t="n">
        <v>0</v>
      </c>
      <c r="V5965" s="182" t="n">
        <v>0</v>
      </c>
      <c r="W5965" s="182" t="n">
        <v>0</v>
      </c>
      <c r="X5965" s="182" t="n">
        <v>1</v>
      </c>
      <c r="Y5965" s="182" t="n">
        <v>0</v>
      </c>
      <c r="Z5965" s="182" t="n">
        <v>0</v>
      </c>
      <c r="AA5965" s="182" t="n">
        <v>0</v>
      </c>
      <c r="AB5965" s="182" t="n">
        <v>1</v>
      </c>
      <c r="AC5965" s="182" t="n">
        <v>0</v>
      </c>
      <c r="AD5965" s="182" t="n">
        <v>0</v>
      </c>
      <c r="AE5965" s="182" t="n">
        <v>0</v>
      </c>
      <c r="AF5965" s="182" t="n">
        <v>0</v>
      </c>
      <c r="AG5965" s="182" t="n">
        <v>0</v>
      </c>
      <c r="AH5965" s="182" t="n">
        <v>0</v>
      </c>
      <c r="AI5965" s="182" t="n">
        <v>0</v>
      </c>
      <c r="AJ5965" s="182" t="n">
        <v>0</v>
      </c>
      <c r="AK5965" s="182" t="n">
        <v>6.1</v>
      </c>
      <c r="AL5965" s="182" t="n">
        <v>0</v>
      </c>
      <c r="AM5965" s="182" t="n">
        <v>0.08</v>
      </c>
      <c r="AN5965" s="182" t="n">
        <v>0</v>
      </c>
    </row>
    <row r="5966">
      <c r="A5966" s="155" t="n">
        <v>46109</v>
      </c>
      <c r="B5966" s="156" t="inlineStr">
        <is>
          <t>DS</t>
        </is>
      </c>
      <c r="C5966" s="156" t="inlineStr">
        <is>
          <t>HT-408</t>
        </is>
      </c>
      <c r="D5966" s="156" t="inlineStr">
        <is>
          <t>SY430</t>
        </is>
      </c>
      <c r="E5966" s="156" t="inlineStr">
        <is>
          <t>DT Hauling</t>
        </is>
      </c>
      <c r="F5966" s="156" t="inlineStr">
        <is>
          <t>Hauling Coal ke Jetty</t>
        </is>
      </c>
      <c r="G5966" s="182" t="n">
        <v>3.36</v>
      </c>
      <c r="H5966" s="182" t="n">
        <v>0</v>
      </c>
      <c r="I5966" s="182" t="n">
        <v>0</v>
      </c>
      <c r="J5966" s="182" t="n">
        <v>0</v>
      </c>
      <c r="K5966" s="182" t="n">
        <v>8.640000000000001</v>
      </c>
      <c r="L5966" s="182" t="n">
        <v>12</v>
      </c>
      <c r="M5966" s="182" t="n">
        <v>0</v>
      </c>
      <c r="N5966" s="182" t="n">
        <v>0</v>
      </c>
      <c r="O5966" s="183" t="n">
        <v>0</v>
      </c>
      <c r="P5966" s="183" t="n">
        <v>0</v>
      </c>
      <c r="Q5966" s="184" t="n">
        <v>0</v>
      </c>
      <c r="R5966" s="184" t="n">
        <v>0</v>
      </c>
      <c r="S5966" s="183" t="n">
        <v>0</v>
      </c>
      <c r="T5966" s="183" t="n">
        <v>0</v>
      </c>
      <c r="U5966" s="182" t="n">
        <v>0</v>
      </c>
      <c r="V5966" s="182" t="n">
        <v>0</v>
      </c>
      <c r="W5966" s="182" t="n">
        <v>0</v>
      </c>
      <c r="X5966" s="182" t="n">
        <v>0.99</v>
      </c>
      <c r="Y5966" s="182" t="n">
        <v>0</v>
      </c>
      <c r="Z5966" s="182" t="n">
        <v>0</v>
      </c>
      <c r="AA5966" s="182" t="n">
        <v>0</v>
      </c>
      <c r="AB5966" s="182" t="n">
        <v>0.99</v>
      </c>
      <c r="AC5966" s="182" t="n">
        <v>0</v>
      </c>
      <c r="AD5966" s="182" t="n">
        <v>0</v>
      </c>
      <c r="AE5966" s="182" t="n">
        <v>0</v>
      </c>
      <c r="AF5966" s="182" t="n">
        <v>0</v>
      </c>
      <c r="AG5966" s="182" t="n">
        <v>0</v>
      </c>
      <c r="AH5966" s="182" t="n">
        <v>0</v>
      </c>
      <c r="AI5966" s="182" t="n">
        <v>0</v>
      </c>
      <c r="AJ5966" s="182" t="n">
        <v>0</v>
      </c>
      <c r="AK5966" s="182" t="n">
        <v>6.57</v>
      </c>
      <c r="AL5966" s="182" t="n">
        <v>0</v>
      </c>
      <c r="AM5966" s="182" t="n">
        <v>0.08</v>
      </c>
      <c r="AN5966" s="182" t="n">
        <v>0</v>
      </c>
    </row>
    <row r="5967">
      <c r="A5967" s="155" t="n">
        <v>46109</v>
      </c>
      <c r="B5967" s="156" t="inlineStr">
        <is>
          <t>DS</t>
        </is>
      </c>
      <c r="C5967" s="156" t="inlineStr">
        <is>
          <t>HT-412</t>
        </is>
      </c>
      <c r="D5967" s="156" t="inlineStr">
        <is>
          <t>SY430</t>
        </is>
      </c>
      <c r="E5967" s="156" t="inlineStr">
        <is>
          <t>DT Hauling</t>
        </is>
      </c>
      <c r="F5967" s="156" t="inlineStr">
        <is>
          <t>Hauling Coal ke Jetty</t>
        </is>
      </c>
      <c r="G5967" s="182" t="n">
        <v>2.75</v>
      </c>
      <c r="H5967" s="182" t="n">
        <v>0</v>
      </c>
      <c r="I5967" s="182" t="n">
        <v>0</v>
      </c>
      <c r="J5967" s="182" t="n">
        <v>0</v>
      </c>
      <c r="K5967" s="182" t="n">
        <v>9.25</v>
      </c>
      <c r="L5967" s="182" t="n">
        <v>12</v>
      </c>
      <c r="M5967" s="182" t="n">
        <v>0</v>
      </c>
      <c r="N5967" s="182" t="n">
        <v>0</v>
      </c>
      <c r="O5967" s="183" t="n">
        <v>0</v>
      </c>
      <c r="P5967" s="183" t="n">
        <v>0</v>
      </c>
      <c r="Q5967" s="184" t="n">
        <v>0</v>
      </c>
      <c r="R5967" s="184" t="n">
        <v>0</v>
      </c>
      <c r="S5967" s="183" t="n">
        <v>0</v>
      </c>
      <c r="T5967" s="183" t="n">
        <v>0</v>
      </c>
      <c r="U5967" s="182" t="n">
        <v>0</v>
      </c>
      <c r="V5967" s="182" t="n">
        <v>0</v>
      </c>
      <c r="W5967" s="182" t="n">
        <v>0</v>
      </c>
      <c r="X5967" s="182" t="n">
        <v>0.99</v>
      </c>
      <c r="Y5967" s="182" t="n">
        <v>0</v>
      </c>
      <c r="Z5967" s="182" t="n">
        <v>0</v>
      </c>
      <c r="AA5967" s="182" t="n">
        <v>0</v>
      </c>
      <c r="AB5967" s="182" t="n">
        <v>0.99</v>
      </c>
      <c r="AC5967" s="182" t="n">
        <v>0</v>
      </c>
      <c r="AD5967" s="182" t="n">
        <v>0</v>
      </c>
      <c r="AE5967" s="182" t="n">
        <v>0</v>
      </c>
      <c r="AF5967" s="182" t="n">
        <v>0</v>
      </c>
      <c r="AG5967" s="182" t="n">
        <v>0</v>
      </c>
      <c r="AH5967" s="182" t="n">
        <v>0</v>
      </c>
      <c r="AI5967" s="182" t="n">
        <v>0</v>
      </c>
      <c r="AJ5967" s="182" t="n">
        <v>0</v>
      </c>
      <c r="AK5967" s="182" t="n">
        <v>7.18</v>
      </c>
      <c r="AL5967" s="182" t="n">
        <v>0</v>
      </c>
      <c r="AM5967" s="182" t="n">
        <v>0.08</v>
      </c>
      <c r="AN5967" s="182" t="n">
        <v>0</v>
      </c>
    </row>
    <row r="5968">
      <c r="A5968" s="155" t="n">
        <v>46109</v>
      </c>
      <c r="B5968" s="156" t="inlineStr">
        <is>
          <t>DS</t>
        </is>
      </c>
      <c r="C5968" s="156" t="inlineStr">
        <is>
          <t>HT-413</t>
        </is>
      </c>
      <c r="D5968" s="156" t="inlineStr">
        <is>
          <t>SY430</t>
        </is>
      </c>
      <c r="E5968" s="156" t="inlineStr">
        <is>
          <t>DT Hauling</t>
        </is>
      </c>
      <c r="F5968" s="156" t="inlineStr"/>
      <c r="G5968" s="182" t="n">
        <v>0</v>
      </c>
      <c r="H5968" s="182" t="n">
        <v>0</v>
      </c>
      <c r="I5968" s="182" t="n">
        <v>12</v>
      </c>
      <c r="J5968" s="182" t="n">
        <v>12</v>
      </c>
      <c r="K5968" s="182" t="n">
        <v>0</v>
      </c>
      <c r="L5968" s="182" t="n">
        <v>12</v>
      </c>
      <c r="M5968" s="182" t="n">
        <v>0</v>
      </c>
      <c r="N5968" s="182" t="n">
        <v>0</v>
      </c>
      <c r="O5968" s="183" t="n">
        <v>0</v>
      </c>
      <c r="P5968" s="183" t="n">
        <v>0</v>
      </c>
      <c r="Q5968" s="184" t="n">
        <v>0</v>
      </c>
      <c r="R5968" s="184" t="n">
        <v>0</v>
      </c>
      <c r="S5968" s="183" t="n">
        <v>0</v>
      </c>
      <c r="T5968" s="183" t="n">
        <v>0</v>
      </c>
      <c r="U5968" s="182" t="n">
        <v>0</v>
      </c>
      <c r="V5968" s="182" t="n">
        <v>0</v>
      </c>
      <c r="W5968" s="182" t="n">
        <v>0</v>
      </c>
      <c r="X5968" s="182" t="n">
        <v>0</v>
      </c>
      <c r="Y5968" s="182" t="n">
        <v>0</v>
      </c>
      <c r="Z5968" s="182" t="n">
        <v>0</v>
      </c>
      <c r="AA5968" s="182" t="n">
        <v>0</v>
      </c>
      <c r="AB5968" s="182" t="n">
        <v>0</v>
      </c>
      <c r="AC5968" s="182" t="n">
        <v>0</v>
      </c>
      <c r="AD5968" s="182" t="n">
        <v>0</v>
      </c>
      <c r="AE5968" s="182" t="n">
        <v>0</v>
      </c>
      <c r="AF5968" s="182" t="n">
        <v>0</v>
      </c>
      <c r="AG5968" s="182" t="n">
        <v>0</v>
      </c>
      <c r="AH5968" s="182" t="n">
        <v>0</v>
      </c>
      <c r="AI5968" s="182" t="n">
        <v>0</v>
      </c>
      <c r="AJ5968" s="182" t="n">
        <v>0</v>
      </c>
      <c r="AK5968" s="182" t="n">
        <v>0</v>
      </c>
      <c r="AL5968" s="182" t="n">
        <v>0</v>
      </c>
      <c r="AM5968" s="182" t="n">
        <v>0</v>
      </c>
      <c r="AN5968" s="182" t="n">
        <v>0</v>
      </c>
    </row>
    <row r="5969">
      <c r="A5969" s="155" t="n">
        <v>46109</v>
      </c>
      <c r="B5969" s="156" t="inlineStr">
        <is>
          <t>DS</t>
        </is>
      </c>
      <c r="C5969" s="156" t="inlineStr">
        <is>
          <t>HT-407</t>
        </is>
      </c>
      <c r="D5969" s="156" t="inlineStr">
        <is>
          <t>SY430</t>
        </is>
      </c>
      <c r="E5969" s="156" t="inlineStr">
        <is>
          <t>DT Hauling</t>
        </is>
      </c>
      <c r="F5969" s="156" t="inlineStr">
        <is>
          <t>Hauling Coal ke Jetty</t>
        </is>
      </c>
      <c r="G5969" s="182" t="n">
        <v>2.95</v>
      </c>
      <c r="H5969" s="182" t="n">
        <v>0</v>
      </c>
      <c r="I5969" s="182" t="n">
        <v>0</v>
      </c>
      <c r="J5969" s="182" t="n">
        <v>0</v>
      </c>
      <c r="K5969" s="182" t="n">
        <v>9.050000000000001</v>
      </c>
      <c r="L5969" s="182" t="n">
        <v>12</v>
      </c>
      <c r="M5969" s="182" t="n">
        <v>0</v>
      </c>
      <c r="N5969" s="182" t="n">
        <v>0</v>
      </c>
      <c r="O5969" s="183" t="n">
        <v>0</v>
      </c>
      <c r="P5969" s="183" t="n">
        <v>0</v>
      </c>
      <c r="Q5969" s="184" t="n">
        <v>0</v>
      </c>
      <c r="R5969" s="184" t="n">
        <v>0</v>
      </c>
      <c r="S5969" s="183" t="n">
        <v>0</v>
      </c>
      <c r="T5969" s="183" t="n">
        <v>0</v>
      </c>
      <c r="U5969" s="182" t="n">
        <v>0</v>
      </c>
      <c r="V5969" s="182" t="n">
        <v>0</v>
      </c>
      <c r="W5969" s="182" t="n">
        <v>0</v>
      </c>
      <c r="X5969" s="182" t="n">
        <v>0.99</v>
      </c>
      <c r="Y5969" s="182" t="n">
        <v>0</v>
      </c>
      <c r="Z5969" s="182" t="n">
        <v>0</v>
      </c>
      <c r="AA5969" s="182" t="n">
        <v>0</v>
      </c>
      <c r="AB5969" s="182" t="n">
        <v>0.99</v>
      </c>
      <c r="AC5969" s="182" t="n">
        <v>0</v>
      </c>
      <c r="AD5969" s="182" t="n">
        <v>0</v>
      </c>
      <c r="AE5969" s="182" t="n">
        <v>0</v>
      </c>
      <c r="AF5969" s="182" t="n">
        <v>0</v>
      </c>
      <c r="AG5969" s="182" t="n">
        <v>0</v>
      </c>
      <c r="AH5969" s="182" t="n">
        <v>0</v>
      </c>
      <c r="AI5969" s="182" t="n">
        <v>0</v>
      </c>
      <c r="AJ5969" s="182" t="n">
        <v>0</v>
      </c>
      <c r="AK5969" s="182" t="n">
        <v>6.98</v>
      </c>
      <c r="AL5969" s="182" t="n">
        <v>0</v>
      </c>
      <c r="AM5969" s="182" t="n">
        <v>0.08</v>
      </c>
      <c r="AN5969" s="182" t="n">
        <v>0</v>
      </c>
    </row>
    <row r="5970">
      <c r="A5970" s="155" t="n">
        <v>46109</v>
      </c>
      <c r="B5970" s="156" t="inlineStr">
        <is>
          <t>DS</t>
        </is>
      </c>
      <c r="C5970" s="156" t="inlineStr">
        <is>
          <t>HT-414</t>
        </is>
      </c>
      <c r="D5970" s="156" t="inlineStr">
        <is>
          <t>SY430</t>
        </is>
      </c>
      <c r="E5970" s="156" t="inlineStr">
        <is>
          <t>DT Hauling</t>
        </is>
      </c>
      <c r="F5970" s="156" t="inlineStr">
        <is>
          <t>Hauling Coal ke Jetty</t>
        </is>
      </c>
      <c r="G5970" s="182" t="n">
        <v>2.35</v>
      </c>
      <c r="H5970" s="182" t="n">
        <v>0</v>
      </c>
      <c r="I5970" s="182" t="n">
        <v>0</v>
      </c>
      <c r="J5970" s="182" t="n">
        <v>0</v>
      </c>
      <c r="K5970" s="182" t="n">
        <v>9.65</v>
      </c>
      <c r="L5970" s="182" t="n">
        <v>12</v>
      </c>
      <c r="M5970" s="182" t="n">
        <v>0</v>
      </c>
      <c r="N5970" s="182" t="n">
        <v>0</v>
      </c>
      <c r="O5970" s="183" t="n">
        <v>0</v>
      </c>
      <c r="P5970" s="183" t="n">
        <v>0</v>
      </c>
      <c r="Q5970" s="184" t="n">
        <v>0</v>
      </c>
      <c r="R5970" s="184" t="n">
        <v>0</v>
      </c>
      <c r="S5970" s="183" t="n">
        <v>0</v>
      </c>
      <c r="T5970" s="183" t="n">
        <v>0</v>
      </c>
      <c r="U5970" s="182" t="n">
        <v>0</v>
      </c>
      <c r="V5970" s="182" t="n">
        <v>0</v>
      </c>
      <c r="W5970" s="182" t="n">
        <v>0</v>
      </c>
      <c r="X5970" s="182" t="n">
        <v>1.05</v>
      </c>
      <c r="Y5970" s="182" t="n">
        <v>0</v>
      </c>
      <c r="Z5970" s="182" t="n">
        <v>0</v>
      </c>
      <c r="AA5970" s="182" t="n">
        <v>0</v>
      </c>
      <c r="AB5970" s="182" t="n">
        <v>1.05</v>
      </c>
      <c r="AC5970" s="182" t="n">
        <v>0</v>
      </c>
      <c r="AD5970" s="182" t="n">
        <v>0</v>
      </c>
      <c r="AE5970" s="182" t="n">
        <v>0</v>
      </c>
      <c r="AF5970" s="182" t="n">
        <v>0</v>
      </c>
      <c r="AG5970" s="182" t="n">
        <v>0</v>
      </c>
      <c r="AH5970" s="182" t="n">
        <v>0</v>
      </c>
      <c r="AI5970" s="182" t="n">
        <v>0</v>
      </c>
      <c r="AJ5970" s="182" t="n">
        <v>0</v>
      </c>
      <c r="AK5970" s="182" t="n">
        <v>7.47</v>
      </c>
      <c r="AL5970" s="182" t="n">
        <v>0</v>
      </c>
      <c r="AM5970" s="182" t="n">
        <v>0.08</v>
      </c>
      <c r="AN5970" s="182" t="n">
        <v>0</v>
      </c>
    </row>
    <row r="5971">
      <c r="A5971" s="155" t="n">
        <v>46109</v>
      </c>
      <c r="B5971" s="156" t="inlineStr">
        <is>
          <t>DS</t>
        </is>
      </c>
      <c r="C5971" s="156" t="inlineStr">
        <is>
          <t>HT-411</t>
        </is>
      </c>
      <c r="D5971" s="156" t="inlineStr">
        <is>
          <t>SY430</t>
        </is>
      </c>
      <c r="E5971" s="156" t="inlineStr">
        <is>
          <t>DT Hauling</t>
        </is>
      </c>
      <c r="F5971" s="156" t="inlineStr">
        <is>
          <t>Hauling Coal ke Jetty</t>
        </is>
      </c>
      <c r="G5971" s="182" t="n">
        <v>3.28</v>
      </c>
      <c r="H5971" s="182" t="n">
        <v>0</v>
      </c>
      <c r="I5971" s="182" t="n">
        <v>7</v>
      </c>
      <c r="J5971" s="182" t="n">
        <v>7</v>
      </c>
      <c r="K5971" s="182" t="n">
        <v>1.72</v>
      </c>
      <c r="L5971" s="182" t="n">
        <v>12</v>
      </c>
      <c r="M5971" s="182" t="n">
        <v>0</v>
      </c>
      <c r="N5971" s="182" t="n">
        <v>0</v>
      </c>
      <c r="O5971" s="183" t="n">
        <v>0</v>
      </c>
      <c r="P5971" s="183" t="n">
        <v>0</v>
      </c>
      <c r="Q5971" s="184" t="n">
        <v>0</v>
      </c>
      <c r="R5971" s="184" t="n">
        <v>0</v>
      </c>
      <c r="S5971" s="183" t="n">
        <v>0</v>
      </c>
      <c r="T5971" s="183" t="n">
        <v>0</v>
      </c>
      <c r="U5971" s="182" t="n">
        <v>0</v>
      </c>
      <c r="V5971" s="182" t="n">
        <v>0</v>
      </c>
      <c r="W5971" s="182" t="n">
        <v>0</v>
      </c>
      <c r="X5971" s="182" t="n">
        <v>0.74</v>
      </c>
      <c r="Y5971" s="182" t="n">
        <v>0</v>
      </c>
      <c r="Z5971" s="182" t="n">
        <v>0</v>
      </c>
      <c r="AA5971" s="182" t="n">
        <v>0</v>
      </c>
      <c r="AB5971" s="182" t="n">
        <v>0.91</v>
      </c>
      <c r="AC5971" s="182" t="n">
        <v>0</v>
      </c>
      <c r="AD5971" s="182" t="n">
        <v>0</v>
      </c>
      <c r="AE5971" s="182" t="n">
        <v>0</v>
      </c>
      <c r="AF5971" s="182" t="n">
        <v>0</v>
      </c>
      <c r="AG5971" s="182" t="n">
        <v>0</v>
      </c>
      <c r="AH5971" s="182" t="n">
        <v>0</v>
      </c>
      <c r="AI5971" s="182" t="n">
        <v>0</v>
      </c>
      <c r="AJ5971" s="182" t="n">
        <v>0</v>
      </c>
      <c r="AK5971" s="182" t="n">
        <v>0</v>
      </c>
      <c r="AL5971" s="182" t="n">
        <v>0</v>
      </c>
      <c r="AM5971" s="182" t="n">
        <v>0.07000000000000001</v>
      </c>
      <c r="AN5971" s="182" t="n">
        <v>0</v>
      </c>
    </row>
    <row r="5972">
      <c r="A5972" s="155" t="n">
        <v>46109</v>
      </c>
      <c r="B5972" s="156" t="inlineStr">
        <is>
          <t>DS</t>
        </is>
      </c>
      <c r="C5972" s="156" t="inlineStr">
        <is>
          <t>HT-409</t>
        </is>
      </c>
      <c r="D5972" s="156" t="inlineStr">
        <is>
          <t>SY430</t>
        </is>
      </c>
      <c r="E5972" s="156" t="inlineStr">
        <is>
          <t>DT Hauling</t>
        </is>
      </c>
      <c r="F5972" s="156" t="inlineStr">
        <is>
          <t>Hauling Coal ke Jetty</t>
        </is>
      </c>
      <c r="G5972" s="182" t="n">
        <v>2.71</v>
      </c>
      <c r="H5972" s="182" t="n">
        <v>0</v>
      </c>
      <c r="I5972" s="182" t="n">
        <v>0</v>
      </c>
      <c r="J5972" s="182" t="n">
        <v>0</v>
      </c>
      <c r="K5972" s="182" t="n">
        <v>9.289999999999999</v>
      </c>
      <c r="L5972" s="182" t="n">
        <v>12</v>
      </c>
      <c r="M5972" s="182" t="n">
        <v>0</v>
      </c>
      <c r="N5972" s="182" t="n">
        <v>0</v>
      </c>
      <c r="O5972" s="183" t="n">
        <v>0</v>
      </c>
      <c r="P5972" s="183" t="n">
        <v>0</v>
      </c>
      <c r="Q5972" s="184" t="n">
        <v>0</v>
      </c>
      <c r="R5972" s="184" t="n">
        <v>0</v>
      </c>
      <c r="S5972" s="183" t="n">
        <v>0</v>
      </c>
      <c r="T5972" s="183" t="n">
        <v>0</v>
      </c>
      <c r="U5972" s="182" t="n">
        <v>0</v>
      </c>
      <c r="V5972" s="182" t="n">
        <v>0</v>
      </c>
      <c r="W5972" s="182" t="n">
        <v>0</v>
      </c>
      <c r="X5972" s="182" t="n">
        <v>0.98</v>
      </c>
      <c r="Y5972" s="182" t="n">
        <v>0</v>
      </c>
      <c r="Z5972" s="182" t="n">
        <v>0</v>
      </c>
      <c r="AA5972" s="182" t="n">
        <v>0</v>
      </c>
      <c r="AB5972" s="182" t="n">
        <v>0.98</v>
      </c>
      <c r="AC5972" s="182" t="n">
        <v>0</v>
      </c>
      <c r="AD5972" s="182" t="n">
        <v>0</v>
      </c>
      <c r="AE5972" s="182" t="n">
        <v>0</v>
      </c>
      <c r="AF5972" s="182" t="n">
        <v>0</v>
      </c>
      <c r="AG5972" s="182" t="n">
        <v>0</v>
      </c>
      <c r="AH5972" s="182" t="n">
        <v>0</v>
      </c>
      <c r="AI5972" s="182" t="n">
        <v>0</v>
      </c>
      <c r="AJ5972" s="182" t="n">
        <v>0</v>
      </c>
      <c r="AK5972" s="182" t="n">
        <v>7.26</v>
      </c>
      <c r="AL5972" s="182" t="n">
        <v>0</v>
      </c>
      <c r="AM5972" s="182" t="n">
        <v>0.08</v>
      </c>
      <c r="AN5972" s="182" t="n">
        <v>0</v>
      </c>
    </row>
    <row r="5973">
      <c r="A5973" s="155" t="n">
        <v>46109</v>
      </c>
      <c r="B5973" s="156" t="inlineStr">
        <is>
          <t>DS</t>
        </is>
      </c>
      <c r="C5973" s="156" t="inlineStr">
        <is>
          <t>DH-103</t>
        </is>
      </c>
      <c r="D5973" s="156" t="inlineStr">
        <is>
          <t>HINO FM260</t>
        </is>
      </c>
      <c r="E5973" s="156" t="inlineStr">
        <is>
          <t>DT Hino</t>
        </is>
      </c>
      <c r="F5973" s="156" t="inlineStr"/>
      <c r="G5973" s="182" t="n">
        <v>0</v>
      </c>
      <c r="H5973" s="182" t="n">
        <v>0</v>
      </c>
      <c r="I5973" s="182" t="n">
        <v>12</v>
      </c>
      <c r="J5973" s="182" t="n">
        <v>12</v>
      </c>
      <c r="K5973" s="182" t="n">
        <v>0</v>
      </c>
      <c r="L5973" s="182" t="n">
        <v>12</v>
      </c>
      <c r="M5973" s="182" t="n">
        <v>0</v>
      </c>
      <c r="N5973" s="182" t="n">
        <v>0</v>
      </c>
      <c r="O5973" s="183" t="n">
        <v>0</v>
      </c>
      <c r="P5973" s="183" t="n">
        <v>0</v>
      </c>
      <c r="Q5973" s="184" t="n">
        <v>0</v>
      </c>
      <c r="R5973" s="184" t="n">
        <v>0</v>
      </c>
      <c r="S5973" s="183" t="n">
        <v>0</v>
      </c>
      <c r="T5973" s="183" t="n">
        <v>0</v>
      </c>
      <c r="U5973" s="182" t="n">
        <v>0</v>
      </c>
      <c r="V5973" s="182" t="n">
        <v>0</v>
      </c>
      <c r="W5973" s="182" t="n">
        <v>0</v>
      </c>
      <c r="X5973" s="182" t="n">
        <v>0</v>
      </c>
      <c r="Y5973" s="182" t="n">
        <v>0</v>
      </c>
      <c r="Z5973" s="182" t="n">
        <v>0</v>
      </c>
      <c r="AA5973" s="182" t="n">
        <v>0</v>
      </c>
      <c r="AB5973" s="182" t="n">
        <v>0</v>
      </c>
      <c r="AC5973" s="182" t="n">
        <v>0</v>
      </c>
      <c r="AD5973" s="182" t="n">
        <v>0</v>
      </c>
      <c r="AE5973" s="182" t="n">
        <v>0</v>
      </c>
      <c r="AF5973" s="182" t="n">
        <v>0</v>
      </c>
      <c r="AG5973" s="182" t="n">
        <v>0</v>
      </c>
      <c r="AH5973" s="182" t="n">
        <v>0</v>
      </c>
      <c r="AI5973" s="182" t="n">
        <v>0</v>
      </c>
      <c r="AJ5973" s="182" t="n">
        <v>0</v>
      </c>
      <c r="AK5973" s="182" t="n">
        <v>0</v>
      </c>
      <c r="AL5973" s="182" t="n">
        <v>0</v>
      </c>
      <c r="AM5973" s="182" t="n">
        <v>0</v>
      </c>
      <c r="AN5973" s="182" t="n">
        <v>0</v>
      </c>
    </row>
    <row r="5974">
      <c r="A5974" s="155" t="n">
        <v>46109</v>
      </c>
      <c r="B5974" s="156" t="inlineStr">
        <is>
          <t>DS</t>
        </is>
      </c>
      <c r="C5974" s="156" t="inlineStr">
        <is>
          <t>DH-102</t>
        </is>
      </c>
      <c r="D5974" s="156" t="inlineStr">
        <is>
          <t>HINO FM260</t>
        </is>
      </c>
      <c r="E5974" s="156" t="inlineStr">
        <is>
          <t>DT Hino</t>
        </is>
      </c>
      <c r="F5974" s="156" t="inlineStr"/>
      <c r="G5974" s="182" t="n">
        <v>0</v>
      </c>
      <c r="H5974" s="182" t="n">
        <v>0</v>
      </c>
      <c r="I5974" s="182" t="n">
        <v>0</v>
      </c>
      <c r="J5974" s="182" t="n">
        <v>0</v>
      </c>
      <c r="K5974" s="182" t="n">
        <v>12</v>
      </c>
      <c r="L5974" s="182" t="n">
        <v>12</v>
      </c>
      <c r="M5974" s="182" t="n">
        <v>0</v>
      </c>
      <c r="N5974" s="182" t="n">
        <v>0</v>
      </c>
      <c r="O5974" s="183" t="n">
        <v>0</v>
      </c>
      <c r="P5974" s="183" t="n">
        <v>0</v>
      </c>
      <c r="Q5974" s="184" t="n">
        <v>0</v>
      </c>
      <c r="R5974" s="184" t="n">
        <v>0</v>
      </c>
      <c r="S5974" s="183" t="n">
        <v>0</v>
      </c>
      <c r="T5974" s="183" t="n">
        <v>0</v>
      </c>
      <c r="U5974" s="182" t="n">
        <v>0</v>
      </c>
      <c r="V5974" s="182" t="n">
        <v>0</v>
      </c>
      <c r="W5974" s="182" t="n">
        <v>0</v>
      </c>
      <c r="X5974" s="182" t="n">
        <v>1</v>
      </c>
      <c r="Y5974" s="182" t="n">
        <v>0</v>
      </c>
      <c r="Z5974" s="182" t="n">
        <v>0</v>
      </c>
      <c r="AA5974" s="182" t="n">
        <v>0</v>
      </c>
      <c r="AB5974" s="182" t="n">
        <v>1</v>
      </c>
      <c r="AC5974" s="182" t="n">
        <v>0</v>
      </c>
      <c r="AD5974" s="182" t="n">
        <v>0</v>
      </c>
      <c r="AE5974" s="182" t="n">
        <v>0</v>
      </c>
      <c r="AF5974" s="182" t="n">
        <v>0</v>
      </c>
      <c r="AG5974" s="182" t="n">
        <v>0</v>
      </c>
      <c r="AH5974" s="182" t="n">
        <v>0</v>
      </c>
      <c r="AI5974" s="182" t="n">
        <v>0</v>
      </c>
      <c r="AJ5974" s="182" t="n">
        <v>0</v>
      </c>
      <c r="AK5974" s="182" t="n">
        <v>9.92</v>
      </c>
      <c r="AL5974" s="182" t="n">
        <v>0</v>
      </c>
      <c r="AM5974" s="182" t="n">
        <v>0.08</v>
      </c>
      <c r="AN5974" s="182" t="n">
        <v>0</v>
      </c>
    </row>
    <row r="5975">
      <c r="A5975" s="155" t="n">
        <v>46109</v>
      </c>
      <c r="B5975" s="156" t="inlineStr">
        <is>
          <t>DS</t>
        </is>
      </c>
      <c r="C5975" s="156" t="inlineStr">
        <is>
          <t>DH-101</t>
        </is>
      </c>
      <c r="D5975" s="156" t="inlineStr">
        <is>
          <t>HINO FM260</t>
        </is>
      </c>
      <c r="E5975" s="156" t="inlineStr">
        <is>
          <t>DT Hino</t>
        </is>
      </c>
      <c r="F5975" s="156" t="inlineStr"/>
      <c r="G5975" s="182" t="n">
        <v>0</v>
      </c>
      <c r="H5975" s="182" t="n">
        <v>0</v>
      </c>
      <c r="I5975" s="182" t="n">
        <v>9.130000000000001</v>
      </c>
      <c r="J5975" s="182" t="n">
        <v>9.130000000000001</v>
      </c>
      <c r="K5975" s="182" t="n">
        <v>2.87</v>
      </c>
      <c r="L5975" s="182" t="n">
        <v>12</v>
      </c>
      <c r="M5975" s="182" t="n">
        <v>0</v>
      </c>
      <c r="N5975" s="182" t="n">
        <v>0</v>
      </c>
      <c r="O5975" s="183" t="n">
        <v>0</v>
      </c>
      <c r="P5975" s="183" t="n">
        <v>0</v>
      </c>
      <c r="Q5975" s="184" t="n">
        <v>0</v>
      </c>
      <c r="R5975" s="184" t="n">
        <v>0</v>
      </c>
      <c r="S5975" s="183" t="n">
        <v>0</v>
      </c>
      <c r="T5975" s="183" t="n">
        <v>0</v>
      </c>
      <c r="U5975" s="182" t="n">
        <v>0.78</v>
      </c>
      <c r="V5975" s="182" t="n">
        <v>0</v>
      </c>
      <c r="W5975" s="182" t="n">
        <v>0</v>
      </c>
      <c r="X5975" s="182" t="n">
        <v>1</v>
      </c>
      <c r="Y5975" s="182" t="n">
        <v>0</v>
      </c>
      <c r="Z5975" s="182" t="n">
        <v>0</v>
      </c>
      <c r="AA5975" s="182" t="n">
        <v>0</v>
      </c>
      <c r="AB5975" s="182" t="n">
        <v>1</v>
      </c>
      <c r="AC5975" s="182" t="n">
        <v>0</v>
      </c>
      <c r="AD5975" s="182" t="n">
        <v>0</v>
      </c>
      <c r="AE5975" s="182" t="n">
        <v>0</v>
      </c>
      <c r="AF5975" s="182" t="n">
        <v>0</v>
      </c>
      <c r="AG5975" s="182" t="n">
        <v>0</v>
      </c>
      <c r="AH5975" s="182" t="n">
        <v>0</v>
      </c>
      <c r="AI5975" s="182" t="n">
        <v>0</v>
      </c>
      <c r="AJ5975" s="182" t="n">
        <v>0</v>
      </c>
      <c r="AK5975" s="182" t="n">
        <v>0</v>
      </c>
      <c r="AL5975" s="182" t="n">
        <v>0</v>
      </c>
      <c r="AM5975" s="182" t="n">
        <v>0.08</v>
      </c>
      <c r="AN5975" s="182" t="n">
        <v>0</v>
      </c>
    </row>
    <row r="5976">
      <c r="A5976" s="155" t="n">
        <v>46109</v>
      </c>
      <c r="B5976" s="156" t="inlineStr">
        <is>
          <t>DS</t>
        </is>
      </c>
      <c r="C5976" s="156" t="inlineStr">
        <is>
          <t>EX-1251</t>
        </is>
      </c>
      <c r="D5976" s="156" t="inlineStr">
        <is>
          <t>SY1250</t>
        </is>
      </c>
      <c r="E5976" s="156" t="inlineStr">
        <is>
          <t>Excavator</t>
        </is>
      </c>
      <c r="F5976" s="156" t="inlineStr">
        <is>
          <t>Loading OB</t>
        </is>
      </c>
      <c r="G5976" s="182" t="n">
        <v>0.42</v>
      </c>
      <c r="H5976" s="182" t="n">
        <v>0</v>
      </c>
      <c r="I5976" s="182" t="n">
        <v>11.38</v>
      </c>
      <c r="J5976" s="182" t="n">
        <v>11.38</v>
      </c>
      <c r="K5976" s="182" t="n">
        <v>0.2</v>
      </c>
      <c r="L5976" s="182" t="n">
        <v>12</v>
      </c>
      <c r="M5976" s="182" t="n">
        <v>0.42</v>
      </c>
      <c r="N5976" s="182" t="n">
        <v>0</v>
      </c>
      <c r="O5976" s="185">
        <f>SUMIFS(INPUT_RITASE!$F$5:$F$20000,INPUT_RITASE!$A$5:$A$20000,$A5976,INPUT_RITASE!$H$5:$H$20000,$B5976,INPUT_RITASE!$C$5:$C$20000,$C5976,INPUT_RITASE!$N$5:$N$20000,"OB")</f>
        <v/>
      </c>
      <c r="P5976" s="185">
        <f>SUMIFS(INPUT_RITASE!$F$5:$F$20000,INPUT_RITASE!$A$5:$A$20000,$A5976,INPUT_RITASE!$H$5:$H$20000,$B5976,INPUT_RITASE!$C$5:$C$20000,$C5976,INPUT_RITASE!$N$5:$N$20000,"Coal")</f>
        <v/>
      </c>
      <c r="Q5976" s="186">
        <f>SUMIFS(INPUT_RITASE!$L$5:$L$20000,INPUT_RITASE!$A$5:$A$20000,$A5976,INPUT_RITASE!$H$5:$H$20000,$B5976,INPUT_RITASE!$C$5:$C$20000,$C5976,INPUT_RITASE!$N$5:$N$20000,"OB")</f>
        <v/>
      </c>
      <c r="R5976" s="186">
        <f>SUMIFS(INPUT_RITASE!$L$5:$L$20000,INPUT_RITASE!$A$5:$A$20000,$A5976,INPUT_RITASE!$H$5:$H$20000,$B5976,INPUT_RITASE!$C$5:$C$20000,$C5976,INPUT_RITASE!$N$5:$N$20000,"Coal")</f>
        <v/>
      </c>
      <c r="S5976" s="183" t="n">
        <v>0</v>
      </c>
      <c r="T5976" s="183" t="n">
        <v>0</v>
      </c>
      <c r="U5976" s="182" t="n">
        <v>0</v>
      </c>
      <c r="V5976" s="182" t="n">
        <v>0</v>
      </c>
      <c r="W5976" s="182" t="n">
        <v>0</v>
      </c>
      <c r="X5976" s="182" t="n">
        <v>0</v>
      </c>
      <c r="Y5976" s="182" t="n">
        <v>0</v>
      </c>
      <c r="Z5976" s="182" t="n">
        <v>0</v>
      </c>
      <c r="AA5976" s="182" t="n">
        <v>0</v>
      </c>
      <c r="AB5976" s="182" t="n">
        <v>0.11</v>
      </c>
      <c r="AC5976" s="182" t="n">
        <v>0</v>
      </c>
      <c r="AD5976" s="182" t="n">
        <v>0</v>
      </c>
      <c r="AE5976" s="182" t="n">
        <v>0</v>
      </c>
      <c r="AF5976" s="182" t="n">
        <v>0</v>
      </c>
      <c r="AG5976" s="182" t="n">
        <v>0</v>
      </c>
      <c r="AH5976" s="182" t="n">
        <v>0</v>
      </c>
      <c r="AI5976" s="182" t="n">
        <v>0</v>
      </c>
      <c r="AJ5976" s="182" t="n">
        <v>0</v>
      </c>
      <c r="AK5976" s="182" t="n">
        <v>0</v>
      </c>
      <c r="AL5976" s="182" t="n">
        <v>0</v>
      </c>
      <c r="AM5976" s="182" t="n">
        <v>0.08</v>
      </c>
      <c r="AN5976" s="182" t="n">
        <v>0</v>
      </c>
    </row>
    <row r="5977">
      <c r="A5977" s="155" t="n">
        <v>46109</v>
      </c>
      <c r="B5977" s="156" t="inlineStr">
        <is>
          <t>DS</t>
        </is>
      </c>
      <c r="C5977" s="156" t="inlineStr">
        <is>
          <t>EX-1252</t>
        </is>
      </c>
      <c r="D5977" s="156" t="inlineStr">
        <is>
          <t>SY1250</t>
        </is>
      </c>
      <c r="E5977" s="156" t="inlineStr">
        <is>
          <t>Excavator</t>
        </is>
      </c>
      <c r="F5977" s="156" t="inlineStr"/>
      <c r="G5977" s="182" t="n">
        <v>0</v>
      </c>
      <c r="H5977" s="182" t="n">
        <v>0</v>
      </c>
      <c r="I5977" s="182" t="n">
        <v>12</v>
      </c>
      <c r="J5977" s="182" t="n">
        <v>12</v>
      </c>
      <c r="K5977" s="182" t="n">
        <v>0</v>
      </c>
      <c r="L5977" s="182" t="n">
        <v>12</v>
      </c>
      <c r="M5977" s="182" t="n">
        <v>0</v>
      </c>
      <c r="N5977" s="182" t="n">
        <v>0</v>
      </c>
      <c r="O5977" s="185">
        <f>SUMIFS(INPUT_RITASE!$F$5:$F$20000,INPUT_RITASE!$A$5:$A$20000,$A5977,INPUT_RITASE!$H$5:$H$20000,$B5977,INPUT_RITASE!$C$5:$C$20000,$C5977,INPUT_RITASE!$N$5:$N$20000,"OB")</f>
        <v/>
      </c>
      <c r="P5977" s="185">
        <f>SUMIFS(INPUT_RITASE!$F$5:$F$20000,INPUT_RITASE!$A$5:$A$20000,$A5977,INPUT_RITASE!$H$5:$H$20000,$B5977,INPUT_RITASE!$C$5:$C$20000,$C5977,INPUT_RITASE!$N$5:$N$20000,"Coal")</f>
        <v/>
      </c>
      <c r="Q5977" s="186">
        <f>SUMIFS(INPUT_RITASE!$L$5:$L$20000,INPUT_RITASE!$A$5:$A$20000,$A5977,INPUT_RITASE!$H$5:$H$20000,$B5977,INPUT_RITASE!$C$5:$C$20000,$C5977,INPUT_RITASE!$N$5:$N$20000,"OB")</f>
        <v/>
      </c>
      <c r="R5977" s="186">
        <f>SUMIFS(INPUT_RITASE!$L$5:$L$20000,INPUT_RITASE!$A$5:$A$20000,$A5977,INPUT_RITASE!$H$5:$H$20000,$B5977,INPUT_RITASE!$C$5:$C$20000,$C5977,INPUT_RITASE!$N$5:$N$20000,"Coal")</f>
        <v/>
      </c>
      <c r="S5977" s="183" t="n">
        <v>0</v>
      </c>
      <c r="T5977" s="183" t="n">
        <v>0</v>
      </c>
      <c r="U5977" s="182" t="n">
        <v>0</v>
      </c>
      <c r="V5977" s="182" t="n">
        <v>0</v>
      </c>
      <c r="W5977" s="182" t="n">
        <v>0</v>
      </c>
      <c r="X5977" s="182" t="n">
        <v>0</v>
      </c>
      <c r="Y5977" s="182" t="n">
        <v>0</v>
      </c>
      <c r="Z5977" s="182" t="n">
        <v>0</v>
      </c>
      <c r="AA5977" s="182" t="n">
        <v>0</v>
      </c>
      <c r="AB5977" s="182" t="n">
        <v>0</v>
      </c>
      <c r="AC5977" s="182" t="n">
        <v>0</v>
      </c>
      <c r="AD5977" s="182" t="n">
        <v>0</v>
      </c>
      <c r="AE5977" s="182" t="n">
        <v>0</v>
      </c>
      <c r="AF5977" s="182" t="n">
        <v>0</v>
      </c>
      <c r="AG5977" s="182" t="n">
        <v>0</v>
      </c>
      <c r="AH5977" s="182" t="n">
        <v>0</v>
      </c>
      <c r="AI5977" s="182" t="n">
        <v>0</v>
      </c>
      <c r="AJ5977" s="182" t="n">
        <v>0</v>
      </c>
      <c r="AK5977" s="182" t="n">
        <v>0</v>
      </c>
      <c r="AL5977" s="182" t="n">
        <v>0</v>
      </c>
      <c r="AM5977" s="182" t="n">
        <v>0</v>
      </c>
      <c r="AN5977" s="182" t="n">
        <v>0</v>
      </c>
    </row>
    <row r="5978">
      <c r="A5978" s="155" t="n">
        <v>46109</v>
      </c>
      <c r="B5978" s="156" t="inlineStr">
        <is>
          <t>DS</t>
        </is>
      </c>
      <c r="C5978" s="156" t="inlineStr">
        <is>
          <t>EX-2101</t>
        </is>
      </c>
      <c r="D5978" s="156" t="inlineStr">
        <is>
          <t>SY2000</t>
        </is>
      </c>
      <c r="E5978" s="156" t="inlineStr">
        <is>
          <t>Excavator</t>
        </is>
      </c>
      <c r="F5978" s="156" t="inlineStr">
        <is>
          <t>Loading OB</t>
        </is>
      </c>
      <c r="G5978" s="182" t="n">
        <v>4.35</v>
      </c>
      <c r="H5978" s="182" t="n">
        <v>0</v>
      </c>
      <c r="I5978" s="182" t="n">
        <v>0.27</v>
      </c>
      <c r="J5978" s="182" t="n">
        <v>0.27</v>
      </c>
      <c r="K5978" s="182" t="n">
        <v>7.38</v>
      </c>
      <c r="L5978" s="182" t="n">
        <v>12</v>
      </c>
      <c r="M5978" s="182" t="n">
        <v>2.93</v>
      </c>
      <c r="N5978" s="182" t="n">
        <v>0</v>
      </c>
      <c r="O5978" s="185">
        <f>SUMIFS(INPUT_RITASE!$F$5:$F$20000,INPUT_RITASE!$A$5:$A$20000,$A5978,INPUT_RITASE!$H$5:$H$20000,$B5978,INPUT_RITASE!$C$5:$C$20000,$C5978,INPUT_RITASE!$N$5:$N$20000,"OB")</f>
        <v/>
      </c>
      <c r="P5978" s="185">
        <f>SUMIFS(INPUT_RITASE!$F$5:$F$20000,INPUT_RITASE!$A$5:$A$20000,$A5978,INPUT_RITASE!$H$5:$H$20000,$B5978,INPUT_RITASE!$C$5:$C$20000,$C5978,INPUT_RITASE!$N$5:$N$20000,"Coal")</f>
        <v/>
      </c>
      <c r="Q5978" s="186">
        <f>SUMIFS(INPUT_RITASE!$L$5:$L$20000,INPUT_RITASE!$A$5:$A$20000,$A5978,INPUT_RITASE!$H$5:$H$20000,$B5978,INPUT_RITASE!$C$5:$C$20000,$C5978,INPUT_RITASE!$N$5:$N$20000,"OB")</f>
        <v/>
      </c>
      <c r="R5978" s="186">
        <f>SUMIFS(INPUT_RITASE!$L$5:$L$20000,INPUT_RITASE!$A$5:$A$20000,$A5978,INPUT_RITASE!$H$5:$H$20000,$B5978,INPUT_RITASE!$C$5:$C$20000,$C5978,INPUT_RITASE!$N$5:$N$20000,"Coal")</f>
        <v/>
      </c>
      <c r="S5978" s="183" t="n">
        <v>0</v>
      </c>
      <c r="T5978" s="183" t="n">
        <v>0</v>
      </c>
      <c r="U5978" s="182" t="n">
        <v>4.25</v>
      </c>
      <c r="V5978" s="182" t="n">
        <v>1.06</v>
      </c>
      <c r="W5978" s="182" t="n">
        <v>0</v>
      </c>
      <c r="X5978" s="182" t="n">
        <v>0.99</v>
      </c>
      <c r="Y5978" s="182" t="n">
        <v>0</v>
      </c>
      <c r="Z5978" s="182" t="n">
        <v>0</v>
      </c>
      <c r="AA5978" s="182" t="n">
        <v>0</v>
      </c>
      <c r="AB5978" s="182" t="n">
        <v>0.99</v>
      </c>
      <c r="AC5978" s="182" t="n">
        <v>0</v>
      </c>
      <c r="AD5978" s="182" t="n">
        <v>0</v>
      </c>
      <c r="AE5978" s="182" t="n">
        <v>0</v>
      </c>
      <c r="AF5978" s="182" t="n">
        <v>0</v>
      </c>
      <c r="AG5978" s="182" t="n">
        <v>0</v>
      </c>
      <c r="AH5978" s="182" t="n">
        <v>0</v>
      </c>
      <c r="AI5978" s="182" t="n">
        <v>0</v>
      </c>
      <c r="AJ5978" s="182" t="n">
        <v>0</v>
      </c>
      <c r="AK5978" s="182" t="n">
        <v>0</v>
      </c>
      <c r="AL5978" s="182" t="n">
        <v>0</v>
      </c>
      <c r="AM5978" s="182" t="n">
        <v>0.08</v>
      </c>
      <c r="AN5978" s="182" t="n">
        <v>0</v>
      </c>
    </row>
    <row r="5979">
      <c r="A5979" s="155" t="n">
        <v>46109</v>
      </c>
      <c r="B5979" s="156" t="inlineStr">
        <is>
          <t>DS</t>
        </is>
      </c>
      <c r="C5979" s="156" t="inlineStr">
        <is>
          <t>EX-222</t>
        </is>
      </c>
      <c r="D5979" s="156" t="inlineStr">
        <is>
          <t>PC 200-8MI</t>
        </is>
      </c>
      <c r="E5979" s="156" t="inlineStr">
        <is>
          <t>Excavator</t>
        </is>
      </c>
      <c r="F5979" s="156" t="inlineStr">
        <is>
          <t>Support Washing Plant</t>
        </is>
      </c>
      <c r="G5979" s="182" t="n">
        <v>10.69</v>
      </c>
      <c r="H5979" s="182" t="n">
        <v>0</v>
      </c>
      <c r="I5979" s="182" t="n">
        <v>1.12</v>
      </c>
      <c r="J5979" s="182" t="n">
        <v>1.12</v>
      </c>
      <c r="K5979" s="182" t="n">
        <v>0.19</v>
      </c>
      <c r="L5979" s="182" t="n">
        <v>12</v>
      </c>
      <c r="M5979" s="182" t="n">
        <v>0</v>
      </c>
      <c r="N5979" s="182" t="n">
        <v>0</v>
      </c>
      <c r="O5979" s="185">
        <f>SUMIFS(INPUT_RITASE!$F$5:$F$20000,INPUT_RITASE!$A$5:$A$20000,$A5979,INPUT_RITASE!$H$5:$H$20000,$B5979,INPUT_RITASE!$C$5:$C$20000,$C5979,INPUT_RITASE!$N$5:$N$20000,"OB")</f>
        <v/>
      </c>
      <c r="P5979" s="185">
        <f>SUMIFS(INPUT_RITASE!$F$5:$F$20000,INPUT_RITASE!$A$5:$A$20000,$A5979,INPUT_RITASE!$H$5:$H$20000,$B5979,INPUT_RITASE!$C$5:$C$20000,$C5979,INPUT_RITASE!$N$5:$N$20000,"Coal")</f>
        <v/>
      </c>
      <c r="Q5979" s="186">
        <f>SUMIFS(INPUT_RITASE!$L$5:$L$20000,INPUT_RITASE!$A$5:$A$20000,$A5979,INPUT_RITASE!$H$5:$H$20000,$B5979,INPUT_RITASE!$C$5:$C$20000,$C5979,INPUT_RITASE!$N$5:$N$20000,"OB")</f>
        <v/>
      </c>
      <c r="R5979" s="186">
        <f>SUMIFS(INPUT_RITASE!$L$5:$L$20000,INPUT_RITASE!$A$5:$A$20000,$A5979,INPUT_RITASE!$H$5:$H$20000,$B5979,INPUT_RITASE!$C$5:$C$20000,$C5979,INPUT_RITASE!$N$5:$N$20000,"Coal")</f>
        <v/>
      </c>
      <c r="S5979" s="183" t="n">
        <v>0</v>
      </c>
      <c r="T5979" s="183" t="n">
        <v>0</v>
      </c>
      <c r="U5979" s="182" t="n">
        <v>0</v>
      </c>
      <c r="V5979" s="182" t="n">
        <v>0</v>
      </c>
      <c r="W5979" s="182" t="n">
        <v>0</v>
      </c>
      <c r="X5979" s="182" t="n">
        <v>0</v>
      </c>
      <c r="Y5979" s="182" t="n">
        <v>0</v>
      </c>
      <c r="Z5979" s="182" t="n">
        <v>0</v>
      </c>
      <c r="AA5979" s="182" t="n">
        <v>0</v>
      </c>
      <c r="AB5979" s="182" t="n">
        <v>0</v>
      </c>
      <c r="AC5979" s="182" t="n">
        <v>0</v>
      </c>
      <c r="AD5979" s="182" t="n">
        <v>0</v>
      </c>
      <c r="AE5979" s="182" t="n">
        <v>0</v>
      </c>
      <c r="AF5979" s="182" t="n">
        <v>0</v>
      </c>
      <c r="AG5979" s="182" t="n">
        <v>0</v>
      </c>
      <c r="AH5979" s="182" t="n">
        <v>0</v>
      </c>
      <c r="AI5979" s="182" t="n">
        <v>0</v>
      </c>
      <c r="AJ5979" s="182" t="n">
        <v>0</v>
      </c>
      <c r="AK5979" s="182" t="n">
        <v>0</v>
      </c>
      <c r="AL5979" s="182" t="n">
        <v>0</v>
      </c>
      <c r="AM5979" s="182" t="n">
        <v>0.19</v>
      </c>
      <c r="AN5979" s="182" t="n">
        <v>0</v>
      </c>
    </row>
    <row r="5980">
      <c r="A5980" s="155" t="n">
        <v>46109</v>
      </c>
      <c r="B5980" s="156" t="inlineStr">
        <is>
          <t>DS</t>
        </is>
      </c>
      <c r="C5980" s="156" t="inlineStr">
        <is>
          <t>EX-225</t>
        </is>
      </c>
      <c r="D5980" s="156" t="inlineStr">
        <is>
          <t>PC 200-8</t>
        </is>
      </c>
      <c r="E5980" s="156" t="inlineStr">
        <is>
          <t>Excavator</t>
        </is>
      </c>
      <c r="F5980" s="156" t="inlineStr"/>
      <c r="G5980" s="182" t="n">
        <v>0</v>
      </c>
      <c r="H5980" s="182" t="n">
        <v>0</v>
      </c>
      <c r="I5980" s="182" t="n">
        <v>12</v>
      </c>
      <c r="J5980" s="182" t="n">
        <v>12</v>
      </c>
      <c r="K5980" s="182" t="n">
        <v>0</v>
      </c>
      <c r="L5980" s="182" t="n">
        <v>12</v>
      </c>
      <c r="M5980" s="182" t="n">
        <v>0</v>
      </c>
      <c r="N5980" s="182" t="n">
        <v>0</v>
      </c>
      <c r="O5980" s="185">
        <f>SUMIFS(INPUT_RITASE!$F$5:$F$20000,INPUT_RITASE!$A$5:$A$20000,$A5980,INPUT_RITASE!$H$5:$H$20000,$B5980,INPUT_RITASE!$C$5:$C$20000,$C5980,INPUT_RITASE!$N$5:$N$20000,"OB")</f>
        <v/>
      </c>
      <c r="P5980" s="185">
        <f>SUMIFS(INPUT_RITASE!$F$5:$F$20000,INPUT_RITASE!$A$5:$A$20000,$A5980,INPUT_RITASE!$H$5:$H$20000,$B5980,INPUT_RITASE!$C$5:$C$20000,$C5980,INPUT_RITASE!$N$5:$N$20000,"Coal")</f>
        <v/>
      </c>
      <c r="Q5980" s="186">
        <f>SUMIFS(INPUT_RITASE!$L$5:$L$20000,INPUT_RITASE!$A$5:$A$20000,$A5980,INPUT_RITASE!$H$5:$H$20000,$B5980,INPUT_RITASE!$C$5:$C$20000,$C5980,INPUT_RITASE!$N$5:$N$20000,"OB")</f>
        <v/>
      </c>
      <c r="R5980" s="186">
        <f>SUMIFS(INPUT_RITASE!$L$5:$L$20000,INPUT_RITASE!$A$5:$A$20000,$A5980,INPUT_RITASE!$H$5:$H$20000,$B5980,INPUT_RITASE!$C$5:$C$20000,$C5980,INPUT_RITASE!$N$5:$N$20000,"Coal")</f>
        <v/>
      </c>
      <c r="S5980" s="183" t="n">
        <v>0</v>
      </c>
      <c r="T5980" s="183" t="n">
        <v>0</v>
      </c>
      <c r="U5980" s="182" t="n">
        <v>0</v>
      </c>
      <c r="V5980" s="182" t="n">
        <v>0</v>
      </c>
      <c r="W5980" s="182" t="n">
        <v>0</v>
      </c>
      <c r="X5980" s="182" t="n">
        <v>0</v>
      </c>
      <c r="Y5980" s="182" t="n">
        <v>0</v>
      </c>
      <c r="Z5980" s="182" t="n">
        <v>0</v>
      </c>
      <c r="AA5980" s="182" t="n">
        <v>0</v>
      </c>
      <c r="AB5980" s="182" t="n">
        <v>0</v>
      </c>
      <c r="AC5980" s="182" t="n">
        <v>0</v>
      </c>
      <c r="AD5980" s="182" t="n">
        <v>0</v>
      </c>
      <c r="AE5980" s="182" t="n">
        <v>0</v>
      </c>
      <c r="AF5980" s="182" t="n">
        <v>0</v>
      </c>
      <c r="AG5980" s="182" t="n">
        <v>0</v>
      </c>
      <c r="AH5980" s="182" t="n">
        <v>0</v>
      </c>
      <c r="AI5980" s="182" t="n">
        <v>0</v>
      </c>
      <c r="AJ5980" s="182" t="n">
        <v>0</v>
      </c>
      <c r="AK5980" s="182" t="n">
        <v>0</v>
      </c>
      <c r="AL5980" s="182" t="n">
        <v>0</v>
      </c>
      <c r="AM5980" s="182" t="n">
        <v>0</v>
      </c>
      <c r="AN5980" s="182" t="n">
        <v>0</v>
      </c>
    </row>
    <row r="5981">
      <c r="A5981" s="155" t="n">
        <v>46109</v>
      </c>
      <c r="B5981" s="156" t="inlineStr">
        <is>
          <t>DS</t>
        </is>
      </c>
      <c r="C5981" s="156" t="inlineStr">
        <is>
          <t>EX-223</t>
        </is>
      </c>
      <c r="D5981" s="156" t="inlineStr">
        <is>
          <t>PC 200-8MI</t>
        </is>
      </c>
      <c r="E5981" s="156" t="inlineStr">
        <is>
          <t>Excavator</t>
        </is>
      </c>
      <c r="F5981" s="156" t="inlineStr">
        <is>
          <t>General</t>
        </is>
      </c>
      <c r="G5981" s="182" t="n">
        <v>7.62</v>
      </c>
      <c r="H5981" s="182" t="n">
        <v>0</v>
      </c>
      <c r="I5981" s="182" t="n">
        <v>0</v>
      </c>
      <c r="J5981" s="182" t="n">
        <v>0</v>
      </c>
      <c r="K5981" s="182" t="n">
        <v>4.38</v>
      </c>
      <c r="L5981" s="182" t="n">
        <v>12</v>
      </c>
      <c r="M5981" s="182" t="n">
        <v>0</v>
      </c>
      <c r="N5981" s="182" t="n">
        <v>0</v>
      </c>
      <c r="O5981" s="185">
        <f>SUMIFS(INPUT_RITASE!$F$5:$F$20000,INPUT_RITASE!$A$5:$A$20000,$A5981,INPUT_RITASE!$H$5:$H$20000,$B5981,INPUT_RITASE!$C$5:$C$20000,$C5981,INPUT_RITASE!$N$5:$N$20000,"OB")</f>
        <v/>
      </c>
      <c r="P5981" s="185">
        <f>SUMIFS(INPUT_RITASE!$F$5:$F$20000,INPUT_RITASE!$A$5:$A$20000,$A5981,INPUT_RITASE!$H$5:$H$20000,$B5981,INPUT_RITASE!$C$5:$C$20000,$C5981,INPUT_RITASE!$N$5:$N$20000,"Coal")</f>
        <v/>
      </c>
      <c r="Q5981" s="186">
        <f>SUMIFS(INPUT_RITASE!$L$5:$L$20000,INPUT_RITASE!$A$5:$A$20000,$A5981,INPUT_RITASE!$H$5:$H$20000,$B5981,INPUT_RITASE!$C$5:$C$20000,$C5981,INPUT_RITASE!$N$5:$N$20000,"OB")</f>
        <v/>
      </c>
      <c r="R5981" s="186">
        <f>SUMIFS(INPUT_RITASE!$L$5:$L$20000,INPUT_RITASE!$A$5:$A$20000,$A5981,INPUT_RITASE!$H$5:$H$20000,$B5981,INPUT_RITASE!$C$5:$C$20000,$C5981,INPUT_RITASE!$N$5:$N$20000,"Coal")</f>
        <v/>
      </c>
      <c r="S5981" s="183" t="n">
        <v>0</v>
      </c>
      <c r="T5981" s="183" t="n">
        <v>0</v>
      </c>
      <c r="U5981" s="182" t="n">
        <v>2.1</v>
      </c>
      <c r="V5981" s="182" t="n">
        <v>0</v>
      </c>
      <c r="W5981" s="182" t="n">
        <v>0</v>
      </c>
      <c r="X5981" s="182" t="n">
        <v>1.09</v>
      </c>
      <c r="Y5981" s="182" t="n">
        <v>0</v>
      </c>
      <c r="Z5981" s="182" t="n">
        <v>0</v>
      </c>
      <c r="AA5981" s="182" t="n">
        <v>0</v>
      </c>
      <c r="AB5981" s="182" t="n">
        <v>1.09</v>
      </c>
      <c r="AC5981" s="182" t="n">
        <v>0</v>
      </c>
      <c r="AD5981" s="182" t="n">
        <v>0</v>
      </c>
      <c r="AE5981" s="182" t="n">
        <v>0</v>
      </c>
      <c r="AF5981" s="182" t="n">
        <v>0</v>
      </c>
      <c r="AG5981" s="182" t="n">
        <v>0</v>
      </c>
      <c r="AH5981" s="182" t="n">
        <v>0</v>
      </c>
      <c r="AI5981" s="182" t="n">
        <v>0</v>
      </c>
      <c r="AJ5981" s="182" t="n">
        <v>0</v>
      </c>
      <c r="AK5981" s="182" t="n">
        <v>0</v>
      </c>
      <c r="AL5981" s="182" t="n">
        <v>0</v>
      </c>
      <c r="AM5981" s="182" t="n">
        <v>0.09</v>
      </c>
      <c r="AN5981" s="182" t="n">
        <v>0</v>
      </c>
    </row>
    <row r="5982">
      <c r="A5982" s="155" t="n">
        <v>46109</v>
      </c>
      <c r="B5982" s="156" t="inlineStr">
        <is>
          <t>DS</t>
        </is>
      </c>
      <c r="C5982" s="156" t="inlineStr">
        <is>
          <t>EX-221</t>
        </is>
      </c>
      <c r="D5982" s="156" t="inlineStr">
        <is>
          <t>PC 200-8MI</t>
        </is>
      </c>
      <c r="E5982" s="156" t="inlineStr">
        <is>
          <t>Excavator</t>
        </is>
      </c>
      <c r="F5982" s="156" t="inlineStr"/>
      <c r="G5982" s="182" t="n">
        <v>0</v>
      </c>
      <c r="H5982" s="182" t="n">
        <v>0</v>
      </c>
      <c r="I5982" s="182" t="n">
        <v>0</v>
      </c>
      <c r="J5982" s="182" t="n">
        <v>0</v>
      </c>
      <c r="K5982" s="182" t="n">
        <v>12</v>
      </c>
      <c r="L5982" s="182" t="n">
        <v>12</v>
      </c>
      <c r="M5982" s="182" t="n">
        <v>0</v>
      </c>
      <c r="N5982" s="182" t="n">
        <v>0</v>
      </c>
      <c r="O5982" s="185">
        <f>SUMIFS(INPUT_RITASE!$F$5:$F$20000,INPUT_RITASE!$A$5:$A$20000,$A5982,INPUT_RITASE!$H$5:$H$20000,$B5982,INPUT_RITASE!$C$5:$C$20000,$C5982,INPUT_RITASE!$N$5:$N$20000,"OB")</f>
        <v/>
      </c>
      <c r="P5982" s="185">
        <f>SUMIFS(INPUT_RITASE!$F$5:$F$20000,INPUT_RITASE!$A$5:$A$20000,$A5982,INPUT_RITASE!$H$5:$H$20000,$B5982,INPUT_RITASE!$C$5:$C$20000,$C5982,INPUT_RITASE!$N$5:$N$20000,"Coal")</f>
        <v/>
      </c>
      <c r="Q5982" s="186">
        <f>SUMIFS(INPUT_RITASE!$L$5:$L$20000,INPUT_RITASE!$A$5:$A$20000,$A5982,INPUT_RITASE!$H$5:$H$20000,$B5982,INPUT_RITASE!$C$5:$C$20000,$C5982,INPUT_RITASE!$N$5:$N$20000,"OB")</f>
        <v/>
      </c>
      <c r="R5982" s="186">
        <f>SUMIFS(INPUT_RITASE!$L$5:$L$20000,INPUT_RITASE!$A$5:$A$20000,$A5982,INPUT_RITASE!$H$5:$H$20000,$B5982,INPUT_RITASE!$C$5:$C$20000,$C5982,INPUT_RITASE!$N$5:$N$20000,"Coal")</f>
        <v/>
      </c>
      <c r="S5982" s="183" t="n">
        <v>0</v>
      </c>
      <c r="T5982" s="183" t="n">
        <v>0</v>
      </c>
      <c r="U5982" s="182" t="n">
        <v>0</v>
      </c>
      <c r="V5982" s="182" t="n">
        <v>0</v>
      </c>
      <c r="W5982" s="182" t="n">
        <v>0</v>
      </c>
      <c r="X5982" s="182" t="n">
        <v>1</v>
      </c>
      <c r="Y5982" s="182" t="n">
        <v>0</v>
      </c>
      <c r="Z5982" s="182" t="n">
        <v>0</v>
      </c>
      <c r="AA5982" s="182" t="n">
        <v>0</v>
      </c>
      <c r="AB5982" s="182" t="n">
        <v>1</v>
      </c>
      <c r="AC5982" s="182" t="n">
        <v>0</v>
      </c>
      <c r="AD5982" s="182" t="n">
        <v>0</v>
      </c>
      <c r="AE5982" s="182" t="n">
        <v>0</v>
      </c>
      <c r="AF5982" s="182" t="n">
        <v>0</v>
      </c>
      <c r="AG5982" s="182" t="n">
        <v>0</v>
      </c>
      <c r="AH5982" s="182" t="n">
        <v>0</v>
      </c>
      <c r="AI5982" s="182" t="n">
        <v>0</v>
      </c>
      <c r="AJ5982" s="182" t="n">
        <v>0</v>
      </c>
      <c r="AK5982" s="182" t="n">
        <v>9.92</v>
      </c>
      <c r="AL5982" s="182" t="n">
        <v>0</v>
      </c>
      <c r="AM5982" s="182" t="n">
        <v>0.08</v>
      </c>
      <c r="AN5982" s="182" t="n">
        <v>0</v>
      </c>
    </row>
    <row r="5983">
      <c r="A5983" s="155" t="n">
        <v>46109</v>
      </c>
      <c r="B5983" s="156" t="inlineStr">
        <is>
          <t>DS</t>
        </is>
      </c>
      <c r="C5983" s="156" t="inlineStr">
        <is>
          <t>EX-331</t>
        </is>
      </c>
      <c r="D5983" s="156" t="inlineStr">
        <is>
          <t>PC 300-8MO</t>
        </is>
      </c>
      <c r="E5983" s="156" t="inlineStr">
        <is>
          <t>Excavator</t>
        </is>
      </c>
      <c r="F5983" s="156" t="inlineStr"/>
      <c r="G5983" s="182" t="n">
        <v>0</v>
      </c>
      <c r="H5983" s="182" t="n">
        <v>0</v>
      </c>
      <c r="I5983" s="182" t="n">
        <v>12</v>
      </c>
      <c r="J5983" s="182" t="n">
        <v>12</v>
      </c>
      <c r="K5983" s="182" t="n">
        <v>0</v>
      </c>
      <c r="L5983" s="182" t="n">
        <v>12</v>
      </c>
      <c r="M5983" s="182" t="n">
        <v>0</v>
      </c>
      <c r="N5983" s="182" t="n">
        <v>0</v>
      </c>
      <c r="O5983" s="185">
        <f>SUMIFS(INPUT_RITASE!$F$5:$F$20000,INPUT_RITASE!$A$5:$A$20000,$A5983,INPUT_RITASE!$H$5:$H$20000,$B5983,INPUT_RITASE!$C$5:$C$20000,$C5983,INPUT_RITASE!$N$5:$N$20000,"OB")</f>
        <v/>
      </c>
      <c r="P5983" s="185">
        <f>SUMIFS(INPUT_RITASE!$F$5:$F$20000,INPUT_RITASE!$A$5:$A$20000,$A5983,INPUT_RITASE!$H$5:$H$20000,$B5983,INPUT_RITASE!$C$5:$C$20000,$C5983,INPUT_RITASE!$N$5:$N$20000,"Coal")</f>
        <v/>
      </c>
      <c r="Q5983" s="186">
        <f>SUMIFS(INPUT_RITASE!$L$5:$L$20000,INPUT_RITASE!$A$5:$A$20000,$A5983,INPUT_RITASE!$H$5:$H$20000,$B5983,INPUT_RITASE!$C$5:$C$20000,$C5983,INPUT_RITASE!$N$5:$N$20000,"OB")</f>
        <v/>
      </c>
      <c r="R5983" s="186">
        <f>SUMIFS(INPUT_RITASE!$L$5:$L$20000,INPUT_RITASE!$A$5:$A$20000,$A5983,INPUT_RITASE!$H$5:$H$20000,$B5983,INPUT_RITASE!$C$5:$C$20000,$C5983,INPUT_RITASE!$N$5:$N$20000,"Coal")</f>
        <v/>
      </c>
      <c r="S5983" s="183" t="n">
        <v>0</v>
      </c>
      <c r="T5983" s="183" t="n">
        <v>0</v>
      </c>
      <c r="U5983" s="182" t="n">
        <v>0</v>
      </c>
      <c r="V5983" s="182" t="n">
        <v>0</v>
      </c>
      <c r="W5983" s="182" t="n">
        <v>0</v>
      </c>
      <c r="X5983" s="182" t="n">
        <v>0</v>
      </c>
      <c r="Y5983" s="182" t="n">
        <v>0</v>
      </c>
      <c r="Z5983" s="182" t="n">
        <v>0</v>
      </c>
      <c r="AA5983" s="182" t="n">
        <v>0</v>
      </c>
      <c r="AB5983" s="182" t="n">
        <v>0</v>
      </c>
      <c r="AC5983" s="182" t="n">
        <v>0</v>
      </c>
      <c r="AD5983" s="182" t="n">
        <v>0</v>
      </c>
      <c r="AE5983" s="182" t="n">
        <v>0</v>
      </c>
      <c r="AF5983" s="182" t="n">
        <v>0</v>
      </c>
      <c r="AG5983" s="182" t="n">
        <v>0</v>
      </c>
      <c r="AH5983" s="182" t="n">
        <v>0</v>
      </c>
      <c r="AI5983" s="182" t="n">
        <v>0</v>
      </c>
      <c r="AJ5983" s="182" t="n">
        <v>0</v>
      </c>
      <c r="AK5983" s="182" t="n">
        <v>0</v>
      </c>
      <c r="AL5983" s="182" t="n">
        <v>0</v>
      </c>
      <c r="AM5983" s="182" t="n">
        <v>0</v>
      </c>
      <c r="AN5983" s="182" t="n">
        <v>0</v>
      </c>
    </row>
    <row r="5984">
      <c r="A5984" s="155" t="n">
        <v>46109</v>
      </c>
      <c r="B5984" s="156" t="inlineStr">
        <is>
          <t>DS</t>
        </is>
      </c>
      <c r="C5984" s="156" t="inlineStr">
        <is>
          <t>EX-334</t>
        </is>
      </c>
      <c r="D5984" s="156" t="inlineStr">
        <is>
          <t>PC 300-8MO</t>
        </is>
      </c>
      <c r="E5984" s="156" t="inlineStr">
        <is>
          <t>Excavator</t>
        </is>
      </c>
      <c r="F5984" s="156" t="inlineStr">
        <is>
          <t>Support ROM</t>
        </is>
      </c>
      <c r="G5984" s="182" t="n">
        <v>10.41</v>
      </c>
      <c r="H5984" s="182" t="n">
        <v>0</v>
      </c>
      <c r="I5984" s="182" t="n">
        <v>0</v>
      </c>
      <c r="J5984" s="182" t="n">
        <v>0</v>
      </c>
      <c r="K5984" s="182" t="n">
        <v>1.59</v>
      </c>
      <c r="L5984" s="182" t="n">
        <v>12</v>
      </c>
      <c r="M5984" s="182" t="n">
        <v>0</v>
      </c>
      <c r="N5984" s="182" t="n">
        <v>0</v>
      </c>
      <c r="O5984" s="185">
        <f>SUMIFS(INPUT_RITASE!$F$5:$F$20000,INPUT_RITASE!$A$5:$A$20000,$A5984,INPUT_RITASE!$H$5:$H$20000,$B5984,INPUT_RITASE!$C$5:$C$20000,$C5984,INPUT_RITASE!$N$5:$N$20000,"OB")</f>
        <v/>
      </c>
      <c r="P5984" s="185">
        <f>SUMIFS(INPUT_RITASE!$F$5:$F$20000,INPUT_RITASE!$A$5:$A$20000,$A5984,INPUT_RITASE!$H$5:$H$20000,$B5984,INPUT_RITASE!$C$5:$C$20000,$C5984,INPUT_RITASE!$N$5:$N$20000,"Coal")</f>
        <v/>
      </c>
      <c r="Q5984" s="186">
        <f>SUMIFS(INPUT_RITASE!$L$5:$L$20000,INPUT_RITASE!$A$5:$A$20000,$A5984,INPUT_RITASE!$H$5:$H$20000,$B5984,INPUT_RITASE!$C$5:$C$20000,$C5984,INPUT_RITASE!$N$5:$N$20000,"OB")</f>
        <v/>
      </c>
      <c r="R5984" s="186">
        <f>SUMIFS(INPUT_RITASE!$L$5:$L$20000,INPUT_RITASE!$A$5:$A$20000,$A5984,INPUT_RITASE!$H$5:$H$20000,$B5984,INPUT_RITASE!$C$5:$C$20000,$C5984,INPUT_RITASE!$N$5:$N$20000,"Coal")</f>
        <v/>
      </c>
      <c r="S5984" s="183" t="n">
        <v>0</v>
      </c>
      <c r="T5984" s="183" t="n">
        <v>0</v>
      </c>
      <c r="U5984" s="182" t="n">
        <v>0</v>
      </c>
      <c r="V5984" s="182" t="n">
        <v>0</v>
      </c>
      <c r="W5984" s="182" t="n">
        <v>0</v>
      </c>
      <c r="X5984" s="182" t="n">
        <v>0.64</v>
      </c>
      <c r="Y5984" s="182" t="n">
        <v>0</v>
      </c>
      <c r="Z5984" s="182" t="n">
        <v>0</v>
      </c>
      <c r="AA5984" s="182" t="n">
        <v>0</v>
      </c>
      <c r="AB5984" s="182" t="n">
        <v>0.88</v>
      </c>
      <c r="AC5984" s="182" t="n">
        <v>0</v>
      </c>
      <c r="AD5984" s="182" t="n">
        <v>0</v>
      </c>
      <c r="AE5984" s="182" t="n">
        <v>0</v>
      </c>
      <c r="AF5984" s="182" t="n">
        <v>0</v>
      </c>
      <c r="AG5984" s="182" t="n">
        <v>0</v>
      </c>
      <c r="AH5984" s="182" t="n">
        <v>0</v>
      </c>
      <c r="AI5984" s="182" t="n">
        <v>0</v>
      </c>
      <c r="AJ5984" s="182" t="n">
        <v>0</v>
      </c>
      <c r="AK5984" s="182" t="n">
        <v>0</v>
      </c>
      <c r="AL5984" s="182" t="n">
        <v>0</v>
      </c>
      <c r="AM5984" s="182" t="n">
        <v>0.07000000000000001</v>
      </c>
      <c r="AN5984" s="182" t="n">
        <v>0</v>
      </c>
    </row>
    <row r="5985">
      <c r="A5985" s="155" t="n">
        <v>46109</v>
      </c>
      <c r="B5985" s="156" t="inlineStr">
        <is>
          <t>DS</t>
        </is>
      </c>
      <c r="C5985" s="156" t="inlineStr">
        <is>
          <t>EX-332</t>
        </is>
      </c>
      <c r="D5985" s="156" t="inlineStr">
        <is>
          <t>PC 300-8MO</t>
        </is>
      </c>
      <c r="E5985" s="156" t="inlineStr">
        <is>
          <t>Excavator</t>
        </is>
      </c>
      <c r="F5985" s="156" t="inlineStr"/>
      <c r="G5985" s="182" t="n">
        <v>0</v>
      </c>
      <c r="H5985" s="182" t="n">
        <v>0</v>
      </c>
      <c r="I5985" s="182" t="n">
        <v>12</v>
      </c>
      <c r="J5985" s="182" t="n">
        <v>12</v>
      </c>
      <c r="K5985" s="182" t="n">
        <v>0</v>
      </c>
      <c r="L5985" s="182" t="n">
        <v>12</v>
      </c>
      <c r="M5985" s="182" t="n">
        <v>0</v>
      </c>
      <c r="N5985" s="182" t="n">
        <v>0</v>
      </c>
      <c r="O5985" s="185">
        <f>SUMIFS(INPUT_RITASE!$F$5:$F$20000,INPUT_RITASE!$A$5:$A$20000,$A5985,INPUT_RITASE!$H$5:$H$20000,$B5985,INPUT_RITASE!$C$5:$C$20000,$C5985,INPUT_RITASE!$N$5:$N$20000,"OB")</f>
        <v/>
      </c>
      <c r="P5985" s="185">
        <f>SUMIFS(INPUT_RITASE!$F$5:$F$20000,INPUT_RITASE!$A$5:$A$20000,$A5985,INPUT_RITASE!$H$5:$H$20000,$B5985,INPUT_RITASE!$C$5:$C$20000,$C5985,INPUT_RITASE!$N$5:$N$20000,"Coal")</f>
        <v/>
      </c>
      <c r="Q5985" s="186">
        <f>SUMIFS(INPUT_RITASE!$L$5:$L$20000,INPUT_RITASE!$A$5:$A$20000,$A5985,INPUT_RITASE!$H$5:$H$20000,$B5985,INPUT_RITASE!$C$5:$C$20000,$C5985,INPUT_RITASE!$N$5:$N$20000,"OB")</f>
        <v/>
      </c>
      <c r="R5985" s="186">
        <f>SUMIFS(INPUT_RITASE!$L$5:$L$20000,INPUT_RITASE!$A$5:$A$20000,$A5985,INPUT_RITASE!$H$5:$H$20000,$B5985,INPUT_RITASE!$C$5:$C$20000,$C5985,INPUT_RITASE!$N$5:$N$20000,"Coal")</f>
        <v/>
      </c>
      <c r="S5985" s="183" t="n">
        <v>0</v>
      </c>
      <c r="T5985" s="183" t="n">
        <v>0</v>
      </c>
      <c r="U5985" s="182" t="n">
        <v>0</v>
      </c>
      <c r="V5985" s="182" t="n">
        <v>0</v>
      </c>
      <c r="W5985" s="182" t="n">
        <v>0</v>
      </c>
      <c r="X5985" s="182" t="n">
        <v>0</v>
      </c>
      <c r="Y5985" s="182" t="n">
        <v>0</v>
      </c>
      <c r="Z5985" s="182" t="n">
        <v>0</v>
      </c>
      <c r="AA5985" s="182" t="n">
        <v>0</v>
      </c>
      <c r="AB5985" s="182" t="n">
        <v>0</v>
      </c>
      <c r="AC5985" s="182" t="n">
        <v>0</v>
      </c>
      <c r="AD5985" s="182" t="n">
        <v>0</v>
      </c>
      <c r="AE5985" s="182" t="n">
        <v>0</v>
      </c>
      <c r="AF5985" s="182" t="n">
        <v>0</v>
      </c>
      <c r="AG5985" s="182" t="n">
        <v>0</v>
      </c>
      <c r="AH5985" s="182" t="n">
        <v>0</v>
      </c>
      <c r="AI5985" s="182" t="n">
        <v>0</v>
      </c>
      <c r="AJ5985" s="182" t="n">
        <v>0</v>
      </c>
      <c r="AK5985" s="182" t="n">
        <v>0</v>
      </c>
      <c r="AL5985" s="182" t="n">
        <v>0</v>
      </c>
      <c r="AM5985" s="182" t="n">
        <v>0</v>
      </c>
      <c r="AN5985" s="182" t="n">
        <v>0</v>
      </c>
    </row>
    <row r="5986">
      <c r="A5986" s="155" t="n">
        <v>46109</v>
      </c>
      <c r="B5986" s="156" t="inlineStr">
        <is>
          <t>DS</t>
        </is>
      </c>
      <c r="C5986" s="156" t="inlineStr">
        <is>
          <t>EX-333</t>
        </is>
      </c>
      <c r="D5986" s="156" t="inlineStr">
        <is>
          <t>PC 300-8MO</t>
        </is>
      </c>
      <c r="E5986" s="156" t="inlineStr">
        <is>
          <t>Excavator</t>
        </is>
      </c>
      <c r="F5986" s="156" t="inlineStr">
        <is>
          <t>Cleaning Coal</t>
        </is>
      </c>
      <c r="G5986" s="182" t="n">
        <v>10.08</v>
      </c>
      <c r="H5986" s="182" t="n">
        <v>0</v>
      </c>
      <c r="I5986" s="182" t="n">
        <v>0.17</v>
      </c>
      <c r="J5986" s="182" t="n">
        <v>0.17</v>
      </c>
      <c r="K5986" s="182" t="n">
        <v>1.75</v>
      </c>
      <c r="L5986" s="182" t="n">
        <v>12</v>
      </c>
      <c r="M5986" s="182" t="n">
        <v>0.4</v>
      </c>
      <c r="N5986" s="182" t="n">
        <v>0.99</v>
      </c>
      <c r="O5986" s="185">
        <f>SUMIFS(INPUT_RITASE!$F$5:$F$20000,INPUT_RITASE!$A$5:$A$20000,$A5986,INPUT_RITASE!$H$5:$H$20000,$B5986,INPUT_RITASE!$C$5:$C$20000,$C5986,INPUT_RITASE!$N$5:$N$20000,"OB")</f>
        <v/>
      </c>
      <c r="P5986" s="185">
        <f>SUMIFS(INPUT_RITASE!$F$5:$F$20000,INPUT_RITASE!$A$5:$A$20000,$A5986,INPUT_RITASE!$H$5:$H$20000,$B5986,INPUT_RITASE!$C$5:$C$20000,$C5986,INPUT_RITASE!$N$5:$N$20000,"Coal")</f>
        <v/>
      </c>
      <c r="Q5986" s="186">
        <f>SUMIFS(INPUT_RITASE!$L$5:$L$20000,INPUT_RITASE!$A$5:$A$20000,$A5986,INPUT_RITASE!$H$5:$H$20000,$B5986,INPUT_RITASE!$C$5:$C$20000,$C5986,INPUT_RITASE!$N$5:$N$20000,"OB")</f>
        <v/>
      </c>
      <c r="R5986" s="186">
        <f>SUMIFS(INPUT_RITASE!$L$5:$L$20000,INPUT_RITASE!$A$5:$A$20000,$A5986,INPUT_RITASE!$H$5:$H$20000,$B5986,INPUT_RITASE!$C$5:$C$20000,$C5986,INPUT_RITASE!$N$5:$N$20000,"Coal")</f>
        <v/>
      </c>
      <c r="S5986" s="183" t="n">
        <v>0</v>
      </c>
      <c r="T5986" s="183" t="n">
        <v>0</v>
      </c>
      <c r="U5986" s="182" t="n">
        <v>0</v>
      </c>
      <c r="V5986" s="182" t="n">
        <v>0</v>
      </c>
      <c r="W5986" s="182" t="n">
        <v>0</v>
      </c>
      <c r="X5986" s="182" t="n">
        <v>0.59</v>
      </c>
      <c r="Y5986" s="182" t="n">
        <v>0</v>
      </c>
      <c r="Z5986" s="182" t="n">
        <v>0</v>
      </c>
      <c r="AA5986" s="182" t="n">
        <v>0</v>
      </c>
      <c r="AB5986" s="182" t="n">
        <v>1.07</v>
      </c>
      <c r="AC5986" s="182" t="n">
        <v>0</v>
      </c>
      <c r="AD5986" s="182" t="n">
        <v>0</v>
      </c>
      <c r="AE5986" s="182" t="n">
        <v>0</v>
      </c>
      <c r="AF5986" s="182" t="n">
        <v>0</v>
      </c>
      <c r="AG5986" s="182" t="n">
        <v>0</v>
      </c>
      <c r="AH5986" s="182" t="n">
        <v>0</v>
      </c>
      <c r="AI5986" s="182" t="n">
        <v>0</v>
      </c>
      <c r="AJ5986" s="182" t="n">
        <v>0</v>
      </c>
      <c r="AK5986" s="182" t="n">
        <v>0</v>
      </c>
      <c r="AL5986" s="182" t="n">
        <v>0</v>
      </c>
      <c r="AM5986" s="182" t="n">
        <v>0.09</v>
      </c>
      <c r="AN5986" s="182" t="n">
        <v>0</v>
      </c>
    </row>
    <row r="5987">
      <c r="A5987" s="155" t="n">
        <v>46109</v>
      </c>
      <c r="B5987" s="156" t="inlineStr">
        <is>
          <t>DS</t>
        </is>
      </c>
      <c r="C5987" s="156" t="inlineStr">
        <is>
          <t>EX-336</t>
        </is>
      </c>
      <c r="D5987" s="156" t="inlineStr">
        <is>
          <t>PC 300-8MO</t>
        </is>
      </c>
      <c r="E5987" s="156" t="inlineStr">
        <is>
          <t>Excavator</t>
        </is>
      </c>
      <c r="F5987" s="156" t="inlineStr">
        <is>
          <t>General</t>
        </is>
      </c>
      <c r="G5987" s="182" t="n">
        <v>7.72</v>
      </c>
      <c r="H5987" s="182" t="n">
        <v>0</v>
      </c>
      <c r="I5987" s="182" t="n">
        <v>0.23</v>
      </c>
      <c r="J5987" s="182" t="n">
        <v>0.23</v>
      </c>
      <c r="K5987" s="182" t="n">
        <v>4.05</v>
      </c>
      <c r="L5987" s="182" t="n">
        <v>12</v>
      </c>
      <c r="M5987" s="182" t="n">
        <v>0</v>
      </c>
      <c r="N5987" s="182" t="n">
        <v>0</v>
      </c>
      <c r="O5987" s="185">
        <f>SUMIFS(INPUT_RITASE!$F$5:$F$20000,INPUT_RITASE!$A$5:$A$20000,$A5987,INPUT_RITASE!$H$5:$H$20000,$B5987,INPUT_RITASE!$C$5:$C$20000,$C5987,INPUT_RITASE!$N$5:$N$20000,"OB")</f>
        <v/>
      </c>
      <c r="P5987" s="185">
        <f>SUMIFS(INPUT_RITASE!$F$5:$F$20000,INPUT_RITASE!$A$5:$A$20000,$A5987,INPUT_RITASE!$H$5:$H$20000,$B5987,INPUT_RITASE!$C$5:$C$20000,$C5987,INPUT_RITASE!$N$5:$N$20000,"Coal")</f>
        <v/>
      </c>
      <c r="Q5987" s="186">
        <f>SUMIFS(INPUT_RITASE!$L$5:$L$20000,INPUT_RITASE!$A$5:$A$20000,$A5987,INPUT_RITASE!$H$5:$H$20000,$B5987,INPUT_RITASE!$C$5:$C$20000,$C5987,INPUT_RITASE!$N$5:$N$20000,"OB")</f>
        <v/>
      </c>
      <c r="R5987" s="186">
        <f>SUMIFS(INPUT_RITASE!$L$5:$L$20000,INPUT_RITASE!$A$5:$A$20000,$A5987,INPUT_RITASE!$H$5:$H$20000,$B5987,INPUT_RITASE!$C$5:$C$20000,$C5987,INPUT_RITASE!$N$5:$N$20000,"Coal")</f>
        <v/>
      </c>
      <c r="S5987" s="183" t="n">
        <v>0</v>
      </c>
      <c r="T5987" s="183" t="n">
        <v>0</v>
      </c>
      <c r="U5987" s="182" t="n">
        <v>1.8</v>
      </c>
      <c r="V5987" s="182" t="n">
        <v>0</v>
      </c>
      <c r="W5987" s="182" t="n">
        <v>0</v>
      </c>
      <c r="X5987" s="182" t="n">
        <v>1.07</v>
      </c>
      <c r="Y5987" s="182" t="n">
        <v>0</v>
      </c>
      <c r="Z5987" s="182" t="n">
        <v>0</v>
      </c>
      <c r="AA5987" s="182" t="n">
        <v>0</v>
      </c>
      <c r="AB5987" s="182" t="n">
        <v>1.07</v>
      </c>
      <c r="AC5987" s="182" t="n">
        <v>0</v>
      </c>
      <c r="AD5987" s="182" t="n">
        <v>0</v>
      </c>
      <c r="AE5987" s="182" t="n">
        <v>0</v>
      </c>
      <c r="AF5987" s="182" t="n">
        <v>0</v>
      </c>
      <c r="AG5987" s="182" t="n">
        <v>0</v>
      </c>
      <c r="AH5987" s="182" t="n">
        <v>0</v>
      </c>
      <c r="AI5987" s="182" t="n">
        <v>0</v>
      </c>
      <c r="AJ5987" s="182" t="n">
        <v>0</v>
      </c>
      <c r="AK5987" s="182" t="n">
        <v>0</v>
      </c>
      <c r="AL5987" s="182" t="n">
        <v>0</v>
      </c>
      <c r="AM5987" s="182" t="n">
        <v>0.09</v>
      </c>
      <c r="AN5987" s="182" t="n">
        <v>0</v>
      </c>
    </row>
    <row r="5988">
      <c r="A5988" s="155" t="n">
        <v>46109</v>
      </c>
      <c r="B5988" s="156" t="inlineStr">
        <is>
          <t>DS</t>
        </is>
      </c>
      <c r="C5988" s="156" t="inlineStr">
        <is>
          <t>EX-335</t>
        </is>
      </c>
      <c r="D5988" s="156" t="inlineStr">
        <is>
          <t>PC 300-8MO</t>
        </is>
      </c>
      <c r="E5988" s="156" t="inlineStr">
        <is>
          <t>Excavator</t>
        </is>
      </c>
      <c r="F5988" s="156" t="inlineStr">
        <is>
          <t>Cleaning Coal &amp; General</t>
        </is>
      </c>
      <c r="G5988" s="182" t="n">
        <v>8.06</v>
      </c>
      <c r="H5988" s="182" t="n">
        <v>0</v>
      </c>
      <c r="I5988" s="182" t="n">
        <v>0</v>
      </c>
      <c r="J5988" s="182" t="n">
        <v>0</v>
      </c>
      <c r="K5988" s="182" t="n">
        <v>3.94</v>
      </c>
      <c r="L5988" s="182" t="n">
        <v>12</v>
      </c>
      <c r="M5988" s="182" t="n">
        <v>0</v>
      </c>
      <c r="N5988" s="182" t="n">
        <v>0</v>
      </c>
      <c r="O5988" s="185">
        <f>SUMIFS(INPUT_RITASE!$F$5:$F$20000,INPUT_RITASE!$A$5:$A$20000,$A5988,INPUT_RITASE!$H$5:$H$20000,$B5988,INPUT_RITASE!$C$5:$C$20000,$C5988,INPUT_RITASE!$N$5:$N$20000,"OB")</f>
        <v/>
      </c>
      <c r="P5988" s="185">
        <f>SUMIFS(INPUT_RITASE!$F$5:$F$20000,INPUT_RITASE!$A$5:$A$20000,$A5988,INPUT_RITASE!$H$5:$H$20000,$B5988,INPUT_RITASE!$C$5:$C$20000,$C5988,INPUT_RITASE!$N$5:$N$20000,"Coal")</f>
        <v/>
      </c>
      <c r="Q5988" s="186">
        <f>SUMIFS(INPUT_RITASE!$L$5:$L$20000,INPUT_RITASE!$A$5:$A$20000,$A5988,INPUT_RITASE!$H$5:$H$20000,$B5988,INPUT_RITASE!$C$5:$C$20000,$C5988,INPUT_RITASE!$N$5:$N$20000,"OB")</f>
        <v/>
      </c>
      <c r="R5988" s="186">
        <f>SUMIFS(INPUT_RITASE!$L$5:$L$20000,INPUT_RITASE!$A$5:$A$20000,$A5988,INPUT_RITASE!$H$5:$H$20000,$B5988,INPUT_RITASE!$C$5:$C$20000,$C5988,INPUT_RITASE!$N$5:$N$20000,"Coal")</f>
        <v/>
      </c>
      <c r="S5988" s="183" t="n">
        <v>0</v>
      </c>
      <c r="T5988" s="183" t="n">
        <v>0</v>
      </c>
      <c r="U5988" s="182" t="n">
        <v>1.73</v>
      </c>
      <c r="V5988" s="182" t="n">
        <v>0</v>
      </c>
      <c r="W5988" s="182" t="n">
        <v>0</v>
      </c>
      <c r="X5988" s="182" t="n">
        <v>1.06</v>
      </c>
      <c r="Y5988" s="182" t="n">
        <v>0</v>
      </c>
      <c r="Z5988" s="182" t="n">
        <v>0</v>
      </c>
      <c r="AA5988" s="182" t="n">
        <v>0</v>
      </c>
      <c r="AB5988" s="182" t="n">
        <v>1.06</v>
      </c>
      <c r="AC5988" s="182" t="n">
        <v>0</v>
      </c>
      <c r="AD5988" s="182" t="n">
        <v>0</v>
      </c>
      <c r="AE5988" s="182" t="n">
        <v>0</v>
      </c>
      <c r="AF5988" s="182" t="n">
        <v>0</v>
      </c>
      <c r="AG5988" s="182" t="n">
        <v>0</v>
      </c>
      <c r="AH5988" s="182" t="n">
        <v>0</v>
      </c>
      <c r="AI5988" s="182" t="n">
        <v>0</v>
      </c>
      <c r="AJ5988" s="182" t="n">
        <v>0</v>
      </c>
      <c r="AK5988" s="182" t="n">
        <v>0</v>
      </c>
      <c r="AL5988" s="182" t="n">
        <v>0</v>
      </c>
      <c r="AM5988" s="182" t="n">
        <v>0.09</v>
      </c>
      <c r="AN5988" s="182" t="n">
        <v>0</v>
      </c>
    </row>
    <row r="5989">
      <c r="A5989" s="155" t="n">
        <v>46109</v>
      </c>
      <c r="B5989" s="156" t="inlineStr">
        <is>
          <t>DS</t>
        </is>
      </c>
      <c r="C5989" s="156" t="inlineStr">
        <is>
          <t>EX-754</t>
        </is>
      </c>
      <c r="D5989" s="156" t="inlineStr">
        <is>
          <t>SY750H-PRO</t>
        </is>
      </c>
      <c r="E5989" s="156" t="inlineStr">
        <is>
          <t>Excavator</t>
        </is>
      </c>
      <c r="F5989" s="156" t="inlineStr">
        <is>
          <t>Loading OB</t>
        </is>
      </c>
      <c r="G5989" s="182" t="n">
        <v>4.97</v>
      </c>
      <c r="H5989" s="182" t="n">
        <v>0</v>
      </c>
      <c r="I5989" s="182" t="n">
        <v>0</v>
      </c>
      <c r="J5989" s="182" t="n">
        <v>0</v>
      </c>
      <c r="K5989" s="182" t="n">
        <v>7.03</v>
      </c>
      <c r="L5989" s="182" t="n">
        <v>12</v>
      </c>
      <c r="M5989" s="182" t="n">
        <v>4.66</v>
      </c>
      <c r="N5989" s="182" t="n">
        <v>0</v>
      </c>
      <c r="O5989" s="185">
        <f>SUMIFS(INPUT_RITASE!$F$5:$F$20000,INPUT_RITASE!$A$5:$A$20000,$A5989,INPUT_RITASE!$H$5:$H$20000,$B5989,INPUT_RITASE!$C$5:$C$20000,$C5989,INPUT_RITASE!$N$5:$N$20000,"OB")</f>
        <v/>
      </c>
      <c r="P5989" s="185">
        <f>SUMIFS(INPUT_RITASE!$F$5:$F$20000,INPUT_RITASE!$A$5:$A$20000,$A5989,INPUT_RITASE!$H$5:$H$20000,$B5989,INPUT_RITASE!$C$5:$C$20000,$C5989,INPUT_RITASE!$N$5:$N$20000,"Coal")</f>
        <v/>
      </c>
      <c r="Q5989" s="186">
        <f>SUMIFS(INPUT_RITASE!$L$5:$L$20000,INPUT_RITASE!$A$5:$A$20000,$A5989,INPUT_RITASE!$H$5:$H$20000,$B5989,INPUT_RITASE!$C$5:$C$20000,$C5989,INPUT_RITASE!$N$5:$N$20000,"OB")</f>
        <v/>
      </c>
      <c r="R5989" s="186">
        <f>SUMIFS(INPUT_RITASE!$L$5:$L$20000,INPUT_RITASE!$A$5:$A$20000,$A5989,INPUT_RITASE!$H$5:$H$20000,$B5989,INPUT_RITASE!$C$5:$C$20000,$C5989,INPUT_RITASE!$N$5:$N$20000,"Coal")</f>
        <v/>
      </c>
      <c r="S5989" s="183" t="n">
        <v>0</v>
      </c>
      <c r="T5989" s="183" t="n">
        <v>0</v>
      </c>
      <c r="U5989" s="182" t="n">
        <v>4.47</v>
      </c>
      <c r="V5989" s="182" t="n">
        <v>0.39</v>
      </c>
      <c r="W5989" s="182" t="n">
        <v>0</v>
      </c>
      <c r="X5989" s="182" t="n">
        <v>1.04</v>
      </c>
      <c r="Y5989" s="182" t="n">
        <v>0</v>
      </c>
      <c r="Z5989" s="182" t="n">
        <v>0</v>
      </c>
      <c r="AA5989" s="182" t="n">
        <v>0</v>
      </c>
      <c r="AB5989" s="182" t="n">
        <v>1.04</v>
      </c>
      <c r="AC5989" s="182" t="n">
        <v>0</v>
      </c>
      <c r="AD5989" s="182" t="n">
        <v>0</v>
      </c>
      <c r="AE5989" s="182" t="n">
        <v>0</v>
      </c>
      <c r="AF5989" s="182" t="n">
        <v>0</v>
      </c>
      <c r="AG5989" s="182" t="n">
        <v>0</v>
      </c>
      <c r="AH5989" s="182" t="n">
        <v>0</v>
      </c>
      <c r="AI5989" s="182" t="n">
        <v>0</v>
      </c>
      <c r="AJ5989" s="182" t="n">
        <v>0</v>
      </c>
      <c r="AK5989" s="182" t="n">
        <v>0</v>
      </c>
      <c r="AL5989" s="182" t="n">
        <v>0</v>
      </c>
      <c r="AM5989" s="182" t="n">
        <v>0.08</v>
      </c>
      <c r="AN5989" s="182" t="n">
        <v>0</v>
      </c>
    </row>
    <row r="5990">
      <c r="A5990" s="155" t="n">
        <v>46109</v>
      </c>
      <c r="B5990" s="156" t="inlineStr">
        <is>
          <t>DS</t>
        </is>
      </c>
      <c r="C5990" s="156" t="inlineStr">
        <is>
          <t>EX-755</t>
        </is>
      </c>
      <c r="D5990" s="156" t="inlineStr">
        <is>
          <t>SY750H-PRO</t>
        </is>
      </c>
      <c r="E5990" s="156" t="inlineStr">
        <is>
          <t>Excavator</t>
        </is>
      </c>
      <c r="F5990" s="156" t="inlineStr">
        <is>
          <t>Loading OB &amp; Coal</t>
        </is>
      </c>
      <c r="G5990" s="182" t="n">
        <v>4.46</v>
      </c>
      <c r="H5990" s="182" t="n">
        <v>0</v>
      </c>
      <c r="I5990" s="182" t="n">
        <v>1.18</v>
      </c>
      <c r="J5990" s="182" t="n">
        <v>1.18</v>
      </c>
      <c r="K5990" s="182" t="n">
        <v>6.36</v>
      </c>
      <c r="L5990" s="182" t="n">
        <v>12</v>
      </c>
      <c r="M5990" s="182" t="n">
        <v>3.57</v>
      </c>
      <c r="N5990" s="182" t="n">
        <v>0.54</v>
      </c>
      <c r="O5990" s="185">
        <f>SUMIFS(INPUT_RITASE!$F$5:$F$20000,INPUT_RITASE!$A$5:$A$20000,$A5990,INPUT_RITASE!$H$5:$H$20000,$B5990,INPUT_RITASE!$C$5:$C$20000,$C5990,INPUT_RITASE!$N$5:$N$20000,"OB")</f>
        <v/>
      </c>
      <c r="P5990" s="185">
        <f>SUMIFS(INPUT_RITASE!$F$5:$F$20000,INPUT_RITASE!$A$5:$A$20000,$A5990,INPUT_RITASE!$H$5:$H$20000,$B5990,INPUT_RITASE!$C$5:$C$20000,$C5990,INPUT_RITASE!$N$5:$N$20000,"Coal")</f>
        <v/>
      </c>
      <c r="Q5990" s="186">
        <f>SUMIFS(INPUT_RITASE!$L$5:$L$20000,INPUT_RITASE!$A$5:$A$20000,$A5990,INPUT_RITASE!$H$5:$H$20000,$B5990,INPUT_RITASE!$C$5:$C$20000,$C5990,INPUT_RITASE!$N$5:$N$20000,"OB")</f>
        <v/>
      </c>
      <c r="R5990" s="186">
        <f>SUMIFS(INPUT_RITASE!$L$5:$L$20000,INPUT_RITASE!$A$5:$A$20000,$A5990,INPUT_RITASE!$H$5:$H$20000,$B5990,INPUT_RITASE!$C$5:$C$20000,$C5990,INPUT_RITASE!$N$5:$N$20000,"Coal")</f>
        <v/>
      </c>
      <c r="S5990" s="183" t="n">
        <v>0</v>
      </c>
      <c r="T5990" s="183" t="n">
        <v>0</v>
      </c>
      <c r="U5990" s="182" t="n">
        <v>4.09</v>
      </c>
      <c r="V5990" s="182" t="n">
        <v>0.28</v>
      </c>
      <c r="W5990" s="182" t="n">
        <v>0</v>
      </c>
      <c r="X5990" s="182" t="n">
        <v>0.95</v>
      </c>
      <c r="Y5990" s="182" t="n">
        <v>0</v>
      </c>
      <c r="Z5990" s="182" t="n">
        <v>0</v>
      </c>
      <c r="AA5990" s="182" t="n">
        <v>0</v>
      </c>
      <c r="AB5990" s="182" t="n">
        <v>0.95</v>
      </c>
      <c r="AC5990" s="182" t="n">
        <v>0</v>
      </c>
      <c r="AD5990" s="182" t="n">
        <v>0</v>
      </c>
      <c r="AE5990" s="182" t="n">
        <v>0</v>
      </c>
      <c r="AF5990" s="182" t="n">
        <v>0</v>
      </c>
      <c r="AG5990" s="182" t="n">
        <v>0</v>
      </c>
      <c r="AH5990" s="182" t="n">
        <v>0</v>
      </c>
      <c r="AI5990" s="182" t="n">
        <v>0</v>
      </c>
      <c r="AJ5990" s="182" t="n">
        <v>0</v>
      </c>
      <c r="AK5990" s="182" t="n">
        <v>0</v>
      </c>
      <c r="AL5990" s="182" t="n">
        <v>0</v>
      </c>
      <c r="AM5990" s="182" t="n">
        <v>0.08</v>
      </c>
      <c r="AN5990" s="182" t="n">
        <v>0</v>
      </c>
    </row>
    <row r="5991">
      <c r="A5991" s="155" t="n">
        <v>46109</v>
      </c>
      <c r="B5991" s="156" t="inlineStr">
        <is>
          <t>DS</t>
        </is>
      </c>
      <c r="C5991" s="156" t="inlineStr">
        <is>
          <t>EX-752</t>
        </is>
      </c>
      <c r="D5991" s="156" t="inlineStr">
        <is>
          <t>SY750H-PRO</t>
        </is>
      </c>
      <c r="E5991" s="156" t="inlineStr">
        <is>
          <t>Excavator</t>
        </is>
      </c>
      <c r="F5991" s="156" t="inlineStr"/>
      <c r="G5991" s="182" t="n">
        <v>0</v>
      </c>
      <c r="H5991" s="182" t="n">
        <v>0</v>
      </c>
      <c r="I5991" s="182" t="n">
        <v>12</v>
      </c>
      <c r="J5991" s="182" t="n">
        <v>12</v>
      </c>
      <c r="K5991" s="182" t="n">
        <v>0</v>
      </c>
      <c r="L5991" s="182" t="n">
        <v>12</v>
      </c>
      <c r="M5991" s="182" t="n">
        <v>0</v>
      </c>
      <c r="N5991" s="182" t="n">
        <v>0</v>
      </c>
      <c r="O5991" s="185">
        <f>SUMIFS(INPUT_RITASE!$F$5:$F$20000,INPUT_RITASE!$A$5:$A$20000,$A5991,INPUT_RITASE!$H$5:$H$20000,$B5991,INPUT_RITASE!$C$5:$C$20000,$C5991,INPUT_RITASE!$N$5:$N$20000,"OB")</f>
        <v/>
      </c>
      <c r="P5991" s="185">
        <f>SUMIFS(INPUT_RITASE!$F$5:$F$20000,INPUT_RITASE!$A$5:$A$20000,$A5991,INPUT_RITASE!$H$5:$H$20000,$B5991,INPUT_RITASE!$C$5:$C$20000,$C5991,INPUT_RITASE!$N$5:$N$20000,"Coal")</f>
        <v/>
      </c>
      <c r="Q5991" s="186">
        <f>SUMIFS(INPUT_RITASE!$L$5:$L$20000,INPUT_RITASE!$A$5:$A$20000,$A5991,INPUT_RITASE!$H$5:$H$20000,$B5991,INPUT_RITASE!$C$5:$C$20000,$C5991,INPUT_RITASE!$N$5:$N$20000,"OB")</f>
        <v/>
      </c>
      <c r="R5991" s="186">
        <f>SUMIFS(INPUT_RITASE!$L$5:$L$20000,INPUT_RITASE!$A$5:$A$20000,$A5991,INPUT_RITASE!$H$5:$H$20000,$B5991,INPUT_RITASE!$C$5:$C$20000,$C5991,INPUT_RITASE!$N$5:$N$20000,"Coal")</f>
        <v/>
      </c>
      <c r="S5991" s="183" t="n">
        <v>0</v>
      </c>
      <c r="T5991" s="183" t="n">
        <v>0</v>
      </c>
      <c r="U5991" s="182" t="n">
        <v>0</v>
      </c>
      <c r="V5991" s="182" t="n">
        <v>0</v>
      </c>
      <c r="W5991" s="182" t="n">
        <v>0</v>
      </c>
      <c r="X5991" s="182" t="n">
        <v>0</v>
      </c>
      <c r="Y5991" s="182" t="n">
        <v>0</v>
      </c>
      <c r="Z5991" s="182" t="n">
        <v>0</v>
      </c>
      <c r="AA5991" s="182" t="n">
        <v>0</v>
      </c>
      <c r="AB5991" s="182" t="n">
        <v>0</v>
      </c>
      <c r="AC5991" s="182" t="n">
        <v>0</v>
      </c>
      <c r="AD5991" s="182" t="n">
        <v>0</v>
      </c>
      <c r="AE5991" s="182" t="n">
        <v>0</v>
      </c>
      <c r="AF5991" s="182" t="n">
        <v>0</v>
      </c>
      <c r="AG5991" s="182" t="n">
        <v>0</v>
      </c>
      <c r="AH5991" s="182" t="n">
        <v>0</v>
      </c>
      <c r="AI5991" s="182" t="n">
        <v>0</v>
      </c>
      <c r="AJ5991" s="182" t="n">
        <v>0</v>
      </c>
      <c r="AK5991" s="182" t="n">
        <v>0</v>
      </c>
      <c r="AL5991" s="182" t="n">
        <v>0</v>
      </c>
      <c r="AM5991" s="182" t="n">
        <v>0</v>
      </c>
      <c r="AN5991" s="182" t="n">
        <v>0</v>
      </c>
    </row>
    <row r="5992">
      <c r="A5992" s="155" t="n">
        <v>46109</v>
      </c>
      <c r="B5992" s="156" t="inlineStr">
        <is>
          <t>DS</t>
        </is>
      </c>
      <c r="C5992" s="156" t="inlineStr">
        <is>
          <t>EX-751</t>
        </is>
      </c>
      <c r="D5992" s="156" t="inlineStr">
        <is>
          <t>SY750H-PRO</t>
        </is>
      </c>
      <c r="E5992" s="156" t="inlineStr">
        <is>
          <t>Excavator</t>
        </is>
      </c>
      <c r="F5992" s="156" t="inlineStr"/>
      <c r="G5992" s="182" t="n">
        <v>0</v>
      </c>
      <c r="H5992" s="182" t="n">
        <v>0</v>
      </c>
      <c r="I5992" s="182" t="n">
        <v>12</v>
      </c>
      <c r="J5992" s="182" t="n">
        <v>12</v>
      </c>
      <c r="K5992" s="182" t="n">
        <v>0</v>
      </c>
      <c r="L5992" s="182" t="n">
        <v>12</v>
      </c>
      <c r="M5992" s="182" t="n">
        <v>0</v>
      </c>
      <c r="N5992" s="182" t="n">
        <v>0</v>
      </c>
      <c r="O5992" s="185">
        <f>SUMIFS(INPUT_RITASE!$F$5:$F$20000,INPUT_RITASE!$A$5:$A$20000,$A5992,INPUT_RITASE!$H$5:$H$20000,$B5992,INPUT_RITASE!$C$5:$C$20000,$C5992,INPUT_RITASE!$N$5:$N$20000,"OB")</f>
        <v/>
      </c>
      <c r="P5992" s="185">
        <f>SUMIFS(INPUT_RITASE!$F$5:$F$20000,INPUT_RITASE!$A$5:$A$20000,$A5992,INPUT_RITASE!$H$5:$H$20000,$B5992,INPUT_RITASE!$C$5:$C$20000,$C5992,INPUT_RITASE!$N$5:$N$20000,"Coal")</f>
        <v/>
      </c>
      <c r="Q5992" s="186">
        <f>SUMIFS(INPUT_RITASE!$L$5:$L$20000,INPUT_RITASE!$A$5:$A$20000,$A5992,INPUT_RITASE!$H$5:$H$20000,$B5992,INPUT_RITASE!$C$5:$C$20000,$C5992,INPUT_RITASE!$N$5:$N$20000,"OB")</f>
        <v/>
      </c>
      <c r="R5992" s="186">
        <f>SUMIFS(INPUT_RITASE!$L$5:$L$20000,INPUT_RITASE!$A$5:$A$20000,$A5992,INPUT_RITASE!$H$5:$H$20000,$B5992,INPUT_RITASE!$C$5:$C$20000,$C5992,INPUT_RITASE!$N$5:$N$20000,"Coal")</f>
        <v/>
      </c>
      <c r="S5992" s="183" t="n">
        <v>0</v>
      </c>
      <c r="T5992" s="183" t="n">
        <v>0</v>
      </c>
      <c r="U5992" s="182" t="n">
        <v>0</v>
      </c>
      <c r="V5992" s="182" t="n">
        <v>0</v>
      </c>
      <c r="W5992" s="182" t="n">
        <v>0</v>
      </c>
      <c r="X5992" s="182" t="n">
        <v>0</v>
      </c>
      <c r="Y5992" s="182" t="n">
        <v>0</v>
      </c>
      <c r="Z5992" s="182" t="n">
        <v>0</v>
      </c>
      <c r="AA5992" s="182" t="n">
        <v>0</v>
      </c>
      <c r="AB5992" s="182" t="n">
        <v>0</v>
      </c>
      <c r="AC5992" s="182" t="n">
        <v>0</v>
      </c>
      <c r="AD5992" s="182" t="n">
        <v>0</v>
      </c>
      <c r="AE5992" s="182" t="n">
        <v>0</v>
      </c>
      <c r="AF5992" s="182" t="n">
        <v>0</v>
      </c>
      <c r="AG5992" s="182" t="n">
        <v>0</v>
      </c>
      <c r="AH5992" s="182" t="n">
        <v>0</v>
      </c>
      <c r="AI5992" s="182" t="n">
        <v>0</v>
      </c>
      <c r="AJ5992" s="182" t="n">
        <v>0</v>
      </c>
      <c r="AK5992" s="182" t="n">
        <v>0</v>
      </c>
      <c r="AL5992" s="182" t="n">
        <v>0</v>
      </c>
      <c r="AM5992" s="182" t="n">
        <v>0</v>
      </c>
      <c r="AN5992" s="182" t="n">
        <v>0</v>
      </c>
    </row>
    <row r="5993">
      <c r="A5993" s="155" t="n">
        <v>46109</v>
      </c>
      <c r="B5993" s="156" t="inlineStr">
        <is>
          <t>DS</t>
        </is>
      </c>
      <c r="C5993" s="156" t="inlineStr">
        <is>
          <t>EX-753</t>
        </is>
      </c>
      <c r="D5993" s="156" t="inlineStr">
        <is>
          <t>SY750H-PRO</t>
        </is>
      </c>
      <c r="E5993" s="156" t="inlineStr">
        <is>
          <t>Excavator</t>
        </is>
      </c>
      <c r="F5993" s="156" t="inlineStr">
        <is>
          <t>Loading OB</t>
        </is>
      </c>
      <c r="G5993" s="182" t="n">
        <v>4.96</v>
      </c>
      <c r="H5993" s="182" t="n">
        <v>0</v>
      </c>
      <c r="I5993" s="182" t="n">
        <v>1.78</v>
      </c>
      <c r="J5993" s="182" t="n">
        <v>1.78</v>
      </c>
      <c r="K5993" s="182" t="n">
        <v>5.26</v>
      </c>
      <c r="L5993" s="182" t="n">
        <v>12</v>
      </c>
      <c r="M5993" s="182" t="n">
        <v>4.62</v>
      </c>
      <c r="N5993" s="182" t="n">
        <v>0</v>
      </c>
      <c r="O5993" s="185">
        <f>SUMIFS(INPUT_RITASE!$F$5:$F$20000,INPUT_RITASE!$A$5:$A$20000,$A5993,INPUT_RITASE!$H$5:$H$20000,$B5993,INPUT_RITASE!$C$5:$C$20000,$C5993,INPUT_RITASE!$N$5:$N$20000,"OB")</f>
        <v/>
      </c>
      <c r="P5993" s="185">
        <f>SUMIFS(INPUT_RITASE!$F$5:$F$20000,INPUT_RITASE!$A$5:$A$20000,$A5993,INPUT_RITASE!$H$5:$H$20000,$B5993,INPUT_RITASE!$C$5:$C$20000,$C5993,INPUT_RITASE!$N$5:$N$20000,"Coal")</f>
        <v/>
      </c>
      <c r="Q5993" s="186">
        <f>SUMIFS(INPUT_RITASE!$L$5:$L$20000,INPUT_RITASE!$A$5:$A$20000,$A5993,INPUT_RITASE!$H$5:$H$20000,$B5993,INPUT_RITASE!$C$5:$C$20000,$C5993,INPUT_RITASE!$N$5:$N$20000,"OB")</f>
        <v/>
      </c>
      <c r="R5993" s="186">
        <f>SUMIFS(INPUT_RITASE!$L$5:$L$20000,INPUT_RITASE!$A$5:$A$20000,$A5993,INPUT_RITASE!$H$5:$H$20000,$B5993,INPUT_RITASE!$C$5:$C$20000,$C5993,INPUT_RITASE!$N$5:$N$20000,"Coal")</f>
        <v/>
      </c>
      <c r="S5993" s="183" t="n">
        <v>0</v>
      </c>
      <c r="T5993" s="183" t="n">
        <v>0</v>
      </c>
      <c r="U5993" s="182" t="n">
        <v>3.11</v>
      </c>
      <c r="V5993" s="182" t="n">
        <v>0</v>
      </c>
      <c r="W5993" s="182" t="n">
        <v>0</v>
      </c>
      <c r="X5993" s="182" t="n">
        <v>0.96</v>
      </c>
      <c r="Y5993" s="182" t="n">
        <v>0</v>
      </c>
      <c r="Z5993" s="182" t="n">
        <v>0.16</v>
      </c>
      <c r="AA5993" s="182" t="n">
        <v>0</v>
      </c>
      <c r="AB5993" s="182" t="n">
        <v>0.96</v>
      </c>
      <c r="AC5993" s="182" t="n">
        <v>0</v>
      </c>
      <c r="AD5993" s="182" t="n">
        <v>0</v>
      </c>
      <c r="AE5993" s="182" t="n">
        <v>0</v>
      </c>
      <c r="AF5993" s="182" t="n">
        <v>0</v>
      </c>
      <c r="AG5993" s="182" t="n">
        <v>0</v>
      </c>
      <c r="AH5993" s="182" t="n">
        <v>0</v>
      </c>
      <c r="AI5993" s="182" t="n">
        <v>0</v>
      </c>
      <c r="AJ5993" s="182" t="n">
        <v>0</v>
      </c>
      <c r="AK5993" s="182" t="n">
        <v>0</v>
      </c>
      <c r="AL5993" s="182" t="n">
        <v>0</v>
      </c>
      <c r="AM5993" s="182" t="n">
        <v>0.08</v>
      </c>
      <c r="AN5993" s="182" t="n">
        <v>0</v>
      </c>
    </row>
    <row r="5994">
      <c r="A5994" s="155" t="n">
        <v>46109</v>
      </c>
      <c r="B5994" s="156" t="inlineStr">
        <is>
          <t>DS</t>
        </is>
      </c>
      <c r="C5994" s="156" t="inlineStr">
        <is>
          <t>GD-012</t>
        </is>
      </c>
      <c r="D5994" s="156" t="inlineStr">
        <is>
          <t>STG 230C - 8S</t>
        </is>
      </c>
      <c r="E5994" s="156" t="inlineStr">
        <is>
          <t>Grader</t>
        </is>
      </c>
      <c r="F5994" s="156" t="inlineStr"/>
      <c r="G5994" s="182" t="n">
        <v>0</v>
      </c>
      <c r="H5994" s="182" t="n">
        <v>0</v>
      </c>
      <c r="I5994" s="182" t="n">
        <v>0</v>
      </c>
      <c r="J5994" s="182" t="n">
        <v>0</v>
      </c>
      <c r="K5994" s="182" t="n">
        <v>12</v>
      </c>
      <c r="L5994" s="182" t="n">
        <v>12</v>
      </c>
      <c r="M5994" s="182" t="n">
        <v>0</v>
      </c>
      <c r="N5994" s="182" t="n">
        <v>0</v>
      </c>
      <c r="O5994" s="183" t="n">
        <v>0</v>
      </c>
      <c r="P5994" s="183" t="n">
        <v>0</v>
      </c>
      <c r="Q5994" s="184" t="n">
        <v>0</v>
      </c>
      <c r="R5994" s="184" t="n">
        <v>0</v>
      </c>
      <c r="S5994" s="183" t="n">
        <v>0</v>
      </c>
      <c r="T5994" s="183" t="n">
        <v>0</v>
      </c>
      <c r="U5994" s="182" t="n">
        <v>0</v>
      </c>
      <c r="V5994" s="182" t="n">
        <v>0</v>
      </c>
      <c r="W5994" s="182" t="n">
        <v>0</v>
      </c>
      <c r="X5994" s="182" t="n">
        <v>1</v>
      </c>
      <c r="Y5994" s="182" t="n">
        <v>0</v>
      </c>
      <c r="Z5994" s="182" t="n">
        <v>0</v>
      </c>
      <c r="AA5994" s="182" t="n">
        <v>0</v>
      </c>
      <c r="AB5994" s="182" t="n">
        <v>1</v>
      </c>
      <c r="AC5994" s="182" t="n">
        <v>0</v>
      </c>
      <c r="AD5994" s="182" t="n">
        <v>0</v>
      </c>
      <c r="AE5994" s="182" t="n">
        <v>0</v>
      </c>
      <c r="AF5994" s="182" t="n">
        <v>0</v>
      </c>
      <c r="AG5994" s="182" t="n">
        <v>0</v>
      </c>
      <c r="AH5994" s="182" t="n">
        <v>0</v>
      </c>
      <c r="AI5994" s="182" t="n">
        <v>0</v>
      </c>
      <c r="AJ5994" s="182" t="n">
        <v>0</v>
      </c>
      <c r="AK5994" s="182" t="n">
        <v>9.92</v>
      </c>
      <c r="AL5994" s="182" t="n">
        <v>0</v>
      </c>
      <c r="AM5994" s="182" t="n">
        <v>0.08</v>
      </c>
      <c r="AN5994" s="182" t="n">
        <v>0</v>
      </c>
    </row>
    <row r="5995">
      <c r="A5995" s="155" t="n">
        <v>46109</v>
      </c>
      <c r="B5995" s="156" t="inlineStr">
        <is>
          <t>DS</t>
        </is>
      </c>
      <c r="C5995" s="156" t="inlineStr">
        <is>
          <t>GD-011</t>
        </is>
      </c>
      <c r="D5995" s="156" t="inlineStr">
        <is>
          <t>STG 230C - 8S</t>
        </is>
      </c>
      <c r="E5995" s="156" t="inlineStr">
        <is>
          <t>Grader</t>
        </is>
      </c>
      <c r="F5995" s="156" t="inlineStr"/>
      <c r="G5995" s="182" t="n">
        <v>0</v>
      </c>
      <c r="H5995" s="182" t="n">
        <v>0</v>
      </c>
      <c r="I5995" s="182" t="n">
        <v>12</v>
      </c>
      <c r="J5995" s="182" t="n">
        <v>12</v>
      </c>
      <c r="K5995" s="182" t="n">
        <v>0</v>
      </c>
      <c r="L5995" s="182" t="n">
        <v>12</v>
      </c>
      <c r="M5995" s="182" t="n">
        <v>0</v>
      </c>
      <c r="N5995" s="182" t="n">
        <v>0</v>
      </c>
      <c r="O5995" s="183" t="n">
        <v>0</v>
      </c>
      <c r="P5995" s="183" t="n">
        <v>0</v>
      </c>
      <c r="Q5995" s="184" t="n">
        <v>0</v>
      </c>
      <c r="R5995" s="184" t="n">
        <v>0</v>
      </c>
      <c r="S5995" s="183" t="n">
        <v>0</v>
      </c>
      <c r="T5995" s="183" t="n">
        <v>0</v>
      </c>
      <c r="U5995" s="182" t="n">
        <v>0</v>
      </c>
      <c r="V5995" s="182" t="n">
        <v>0</v>
      </c>
      <c r="W5995" s="182" t="n">
        <v>0</v>
      </c>
      <c r="X5995" s="182" t="n">
        <v>0</v>
      </c>
      <c r="Y5995" s="182" t="n">
        <v>0</v>
      </c>
      <c r="Z5995" s="182" t="n">
        <v>0</v>
      </c>
      <c r="AA5995" s="182" t="n">
        <v>0</v>
      </c>
      <c r="AB5995" s="182" t="n">
        <v>0</v>
      </c>
      <c r="AC5995" s="182" t="n">
        <v>0</v>
      </c>
      <c r="AD5995" s="182" t="n">
        <v>0</v>
      </c>
      <c r="AE5995" s="182" t="n">
        <v>0</v>
      </c>
      <c r="AF5995" s="182" t="n">
        <v>0</v>
      </c>
      <c r="AG5995" s="182" t="n">
        <v>0</v>
      </c>
      <c r="AH5995" s="182" t="n">
        <v>0</v>
      </c>
      <c r="AI5995" s="182" t="n">
        <v>0</v>
      </c>
      <c r="AJ5995" s="182" t="n">
        <v>0</v>
      </c>
      <c r="AK5995" s="182" t="n">
        <v>0</v>
      </c>
      <c r="AL5995" s="182" t="n">
        <v>0</v>
      </c>
      <c r="AM5995" s="182" t="n">
        <v>0</v>
      </c>
      <c r="AN5995" s="182" t="n">
        <v>0</v>
      </c>
    </row>
    <row r="5996">
      <c r="A5996" s="155" t="n">
        <v>46109</v>
      </c>
      <c r="B5996" s="156" t="inlineStr">
        <is>
          <t>DS</t>
        </is>
      </c>
      <c r="C5996" s="156" t="inlineStr">
        <is>
          <t>GD-013</t>
        </is>
      </c>
      <c r="D5996" s="156" t="inlineStr">
        <is>
          <t>STG 265C - 10</t>
        </is>
      </c>
      <c r="E5996" s="156" t="inlineStr">
        <is>
          <t>Grader</t>
        </is>
      </c>
      <c r="F5996" s="156" t="inlineStr">
        <is>
          <t>Road Maintenance</t>
        </is>
      </c>
      <c r="G5996" s="182" t="n">
        <v>4.49</v>
      </c>
      <c r="H5996" s="182" t="n">
        <v>0</v>
      </c>
      <c r="I5996" s="182" t="n">
        <v>2.12</v>
      </c>
      <c r="J5996" s="182" t="n">
        <v>2.12</v>
      </c>
      <c r="K5996" s="182" t="n">
        <v>5.39</v>
      </c>
      <c r="L5996" s="182" t="n">
        <v>12</v>
      </c>
      <c r="M5996" s="182" t="n">
        <v>0</v>
      </c>
      <c r="N5996" s="182" t="n">
        <v>0</v>
      </c>
      <c r="O5996" s="183" t="n">
        <v>0</v>
      </c>
      <c r="P5996" s="183" t="n">
        <v>0</v>
      </c>
      <c r="Q5996" s="184" t="n">
        <v>0</v>
      </c>
      <c r="R5996" s="184" t="n">
        <v>0</v>
      </c>
      <c r="S5996" s="183" t="n">
        <v>0</v>
      </c>
      <c r="T5996" s="183" t="n">
        <v>0</v>
      </c>
      <c r="U5996" s="182" t="n">
        <v>3.45</v>
      </c>
      <c r="V5996" s="182" t="n">
        <v>0</v>
      </c>
      <c r="W5996" s="182" t="n">
        <v>0</v>
      </c>
      <c r="X5996" s="182" t="n">
        <v>0.93</v>
      </c>
      <c r="Y5996" s="182" t="n">
        <v>0</v>
      </c>
      <c r="Z5996" s="182" t="n">
        <v>0</v>
      </c>
      <c r="AA5996" s="182" t="n">
        <v>0</v>
      </c>
      <c r="AB5996" s="182" t="n">
        <v>0.93</v>
      </c>
      <c r="AC5996" s="182" t="n">
        <v>0</v>
      </c>
      <c r="AD5996" s="182" t="n">
        <v>0</v>
      </c>
      <c r="AE5996" s="182" t="n">
        <v>0</v>
      </c>
      <c r="AF5996" s="182" t="n">
        <v>0</v>
      </c>
      <c r="AG5996" s="182" t="n">
        <v>0</v>
      </c>
      <c r="AH5996" s="182" t="n">
        <v>0</v>
      </c>
      <c r="AI5996" s="182" t="n">
        <v>0</v>
      </c>
      <c r="AJ5996" s="182" t="n">
        <v>0</v>
      </c>
      <c r="AK5996" s="182" t="n">
        <v>0</v>
      </c>
      <c r="AL5996" s="182" t="n">
        <v>0</v>
      </c>
      <c r="AM5996" s="182" t="n">
        <v>0.07000000000000001</v>
      </c>
      <c r="AN5996" s="182" t="n">
        <v>0</v>
      </c>
    </row>
    <row r="5997">
      <c r="A5997" s="155" t="n">
        <v>46109</v>
      </c>
      <c r="B5997" s="156" t="inlineStr">
        <is>
          <t>DS</t>
        </is>
      </c>
      <c r="C5997" s="156" t="inlineStr">
        <is>
          <t>GD-014</t>
        </is>
      </c>
      <c r="D5997" s="156" t="inlineStr">
        <is>
          <t>STG 335C - 10</t>
        </is>
      </c>
      <c r="E5997" s="156" t="inlineStr">
        <is>
          <t>Grader</t>
        </is>
      </c>
      <c r="F5997" s="156" t="inlineStr">
        <is>
          <t>Road Maintenance</t>
        </is>
      </c>
      <c r="G5997" s="182" t="n">
        <v>6.53</v>
      </c>
      <c r="H5997" s="182" t="n">
        <v>0</v>
      </c>
      <c r="I5997" s="182" t="n">
        <v>0</v>
      </c>
      <c r="J5997" s="182" t="n">
        <v>0</v>
      </c>
      <c r="K5997" s="182" t="n">
        <v>5.47</v>
      </c>
      <c r="L5997" s="182" t="n">
        <v>12</v>
      </c>
      <c r="M5997" s="182" t="n">
        <v>0</v>
      </c>
      <c r="N5997" s="182" t="n">
        <v>0</v>
      </c>
      <c r="O5997" s="183" t="n">
        <v>0</v>
      </c>
      <c r="P5997" s="183" t="n">
        <v>0</v>
      </c>
      <c r="Q5997" s="184" t="n">
        <v>0</v>
      </c>
      <c r="R5997" s="184" t="n">
        <v>0</v>
      </c>
      <c r="S5997" s="183" t="n">
        <v>0</v>
      </c>
      <c r="T5997" s="183" t="n">
        <v>0</v>
      </c>
      <c r="U5997" s="182" t="n">
        <v>3.51</v>
      </c>
      <c r="V5997" s="182" t="n">
        <v>0</v>
      </c>
      <c r="W5997" s="182" t="n">
        <v>0</v>
      </c>
      <c r="X5997" s="182" t="n">
        <v>0.9399999999999999</v>
      </c>
      <c r="Y5997" s="182" t="n">
        <v>0</v>
      </c>
      <c r="Z5997" s="182" t="n">
        <v>0</v>
      </c>
      <c r="AA5997" s="182" t="n">
        <v>0</v>
      </c>
      <c r="AB5997" s="182" t="n">
        <v>0.9399999999999999</v>
      </c>
      <c r="AC5997" s="182" t="n">
        <v>0</v>
      </c>
      <c r="AD5997" s="182" t="n">
        <v>0</v>
      </c>
      <c r="AE5997" s="182" t="n">
        <v>0</v>
      </c>
      <c r="AF5997" s="182" t="n">
        <v>0</v>
      </c>
      <c r="AG5997" s="182" t="n">
        <v>0</v>
      </c>
      <c r="AH5997" s="182" t="n">
        <v>0</v>
      </c>
      <c r="AI5997" s="182" t="n">
        <v>0</v>
      </c>
      <c r="AJ5997" s="182" t="n">
        <v>0</v>
      </c>
      <c r="AK5997" s="182" t="n">
        <v>0</v>
      </c>
      <c r="AL5997" s="182" t="n">
        <v>0</v>
      </c>
      <c r="AM5997" s="182" t="n">
        <v>0.08</v>
      </c>
      <c r="AN5997" s="182" t="n">
        <v>0</v>
      </c>
    </row>
    <row r="5998">
      <c r="A5998" s="155" t="n">
        <v>46109</v>
      </c>
      <c r="B5998" s="156" t="inlineStr">
        <is>
          <t>DS</t>
        </is>
      </c>
      <c r="C5998" s="156" t="inlineStr">
        <is>
          <t>DT-809</t>
        </is>
      </c>
      <c r="D5998" s="156" t="inlineStr">
        <is>
          <t>SKT 80S</t>
        </is>
      </c>
      <c r="E5998" s="156" t="inlineStr">
        <is>
          <t>Hauler</t>
        </is>
      </c>
      <c r="F5998" s="156" t="inlineStr"/>
      <c r="G5998" s="182" t="n">
        <v>0</v>
      </c>
      <c r="H5998" s="182" t="n">
        <v>0</v>
      </c>
      <c r="I5998" s="182" t="n">
        <v>0</v>
      </c>
      <c r="J5998" s="182" t="n">
        <v>0</v>
      </c>
      <c r="K5998" s="182" t="n">
        <v>12</v>
      </c>
      <c r="L5998" s="182" t="n">
        <v>12</v>
      </c>
      <c r="M5998" s="182" t="n">
        <v>0</v>
      </c>
      <c r="N5998" s="182" t="n">
        <v>0</v>
      </c>
      <c r="O5998" s="183" t="n">
        <v>0</v>
      </c>
      <c r="P5998" s="183" t="n">
        <v>0</v>
      </c>
      <c r="Q5998" s="184" t="n">
        <v>0</v>
      </c>
      <c r="R5998" s="184" t="n">
        <v>0</v>
      </c>
      <c r="S5998" s="183" t="n">
        <v>0</v>
      </c>
      <c r="T5998" s="183" t="n">
        <v>0</v>
      </c>
      <c r="U5998" s="182" t="n">
        <v>0</v>
      </c>
      <c r="V5998" s="182" t="n">
        <v>0</v>
      </c>
      <c r="W5998" s="182" t="n">
        <v>0</v>
      </c>
      <c r="X5998" s="182" t="n">
        <v>1</v>
      </c>
      <c r="Y5998" s="182" t="n">
        <v>0</v>
      </c>
      <c r="Z5998" s="182" t="n">
        <v>0</v>
      </c>
      <c r="AA5998" s="182" t="n">
        <v>0</v>
      </c>
      <c r="AB5998" s="182" t="n">
        <v>1</v>
      </c>
      <c r="AC5998" s="182" t="n">
        <v>0</v>
      </c>
      <c r="AD5998" s="182" t="n">
        <v>0</v>
      </c>
      <c r="AE5998" s="182" t="n">
        <v>0</v>
      </c>
      <c r="AF5998" s="182" t="n">
        <v>0</v>
      </c>
      <c r="AG5998" s="182" t="n">
        <v>0</v>
      </c>
      <c r="AH5998" s="182" t="n">
        <v>0</v>
      </c>
      <c r="AI5998" s="182" t="n">
        <v>0</v>
      </c>
      <c r="AJ5998" s="182" t="n">
        <v>0</v>
      </c>
      <c r="AK5998" s="182" t="n">
        <v>9.92</v>
      </c>
      <c r="AL5998" s="182" t="n">
        <v>0</v>
      </c>
      <c r="AM5998" s="182" t="n">
        <v>0.08</v>
      </c>
      <c r="AN5998" s="182" t="n">
        <v>0</v>
      </c>
    </row>
    <row r="5999">
      <c r="A5999" s="155" t="n">
        <v>46109</v>
      </c>
      <c r="B5999" s="156" t="inlineStr">
        <is>
          <t>DS</t>
        </is>
      </c>
      <c r="C5999" s="156" t="inlineStr">
        <is>
          <t>DT-806</t>
        </is>
      </c>
      <c r="D5999" s="156" t="inlineStr">
        <is>
          <t>SKT 80S</t>
        </is>
      </c>
      <c r="E5999" s="156" t="inlineStr">
        <is>
          <t>Hauler</t>
        </is>
      </c>
      <c r="F5999" s="156" t="inlineStr"/>
      <c r="G5999" s="182" t="n">
        <v>0</v>
      </c>
      <c r="H5999" s="182" t="n">
        <v>0</v>
      </c>
      <c r="I5999" s="182" t="n">
        <v>0</v>
      </c>
      <c r="J5999" s="182" t="n">
        <v>0</v>
      </c>
      <c r="K5999" s="182" t="n">
        <v>12</v>
      </c>
      <c r="L5999" s="182" t="n">
        <v>12</v>
      </c>
      <c r="M5999" s="182" t="n">
        <v>0</v>
      </c>
      <c r="N5999" s="182" t="n">
        <v>0</v>
      </c>
      <c r="O5999" s="183" t="n">
        <v>0</v>
      </c>
      <c r="P5999" s="183" t="n">
        <v>0</v>
      </c>
      <c r="Q5999" s="184" t="n">
        <v>0</v>
      </c>
      <c r="R5999" s="184" t="n">
        <v>0</v>
      </c>
      <c r="S5999" s="183" t="n">
        <v>0</v>
      </c>
      <c r="T5999" s="183" t="n">
        <v>0</v>
      </c>
      <c r="U5999" s="182" t="n">
        <v>0</v>
      </c>
      <c r="V5999" s="182" t="n">
        <v>0</v>
      </c>
      <c r="W5999" s="182" t="n">
        <v>0</v>
      </c>
      <c r="X5999" s="182" t="n">
        <v>1</v>
      </c>
      <c r="Y5999" s="182" t="n">
        <v>0</v>
      </c>
      <c r="Z5999" s="182" t="n">
        <v>0</v>
      </c>
      <c r="AA5999" s="182" t="n">
        <v>0</v>
      </c>
      <c r="AB5999" s="182" t="n">
        <v>1</v>
      </c>
      <c r="AC5999" s="182" t="n">
        <v>0</v>
      </c>
      <c r="AD5999" s="182" t="n">
        <v>0</v>
      </c>
      <c r="AE5999" s="182" t="n">
        <v>0</v>
      </c>
      <c r="AF5999" s="182" t="n">
        <v>0</v>
      </c>
      <c r="AG5999" s="182" t="n">
        <v>0</v>
      </c>
      <c r="AH5999" s="182" t="n">
        <v>0</v>
      </c>
      <c r="AI5999" s="182" t="n">
        <v>0</v>
      </c>
      <c r="AJ5999" s="182" t="n">
        <v>0</v>
      </c>
      <c r="AK5999" s="182" t="n">
        <v>9.92</v>
      </c>
      <c r="AL5999" s="182" t="n">
        <v>0</v>
      </c>
      <c r="AM5999" s="182" t="n">
        <v>0.08</v>
      </c>
      <c r="AN5999" s="182" t="n">
        <v>0</v>
      </c>
    </row>
    <row r="6000">
      <c r="A6000" s="155" t="n">
        <v>46109</v>
      </c>
      <c r="B6000" s="156" t="inlineStr">
        <is>
          <t>DS</t>
        </is>
      </c>
      <c r="C6000" s="156" t="inlineStr">
        <is>
          <t>DT-805</t>
        </is>
      </c>
      <c r="D6000" s="156" t="inlineStr">
        <is>
          <t>SKT 80S</t>
        </is>
      </c>
      <c r="E6000" s="156" t="inlineStr">
        <is>
          <t>Hauler</t>
        </is>
      </c>
      <c r="F6000" s="156" t="inlineStr"/>
      <c r="G6000" s="182" t="n">
        <v>0</v>
      </c>
      <c r="H6000" s="182" t="n">
        <v>0</v>
      </c>
      <c r="I6000" s="182" t="n">
        <v>0</v>
      </c>
      <c r="J6000" s="182" t="n">
        <v>0</v>
      </c>
      <c r="K6000" s="182" t="n">
        <v>12</v>
      </c>
      <c r="L6000" s="182" t="n">
        <v>12</v>
      </c>
      <c r="M6000" s="182" t="n">
        <v>0</v>
      </c>
      <c r="N6000" s="182" t="n">
        <v>0</v>
      </c>
      <c r="O6000" s="183" t="n">
        <v>0</v>
      </c>
      <c r="P6000" s="183" t="n">
        <v>0</v>
      </c>
      <c r="Q6000" s="184" t="n">
        <v>0</v>
      </c>
      <c r="R6000" s="184" t="n">
        <v>0</v>
      </c>
      <c r="S6000" s="183" t="n">
        <v>0</v>
      </c>
      <c r="T6000" s="183" t="n">
        <v>0</v>
      </c>
      <c r="U6000" s="182" t="n">
        <v>0</v>
      </c>
      <c r="V6000" s="182" t="n">
        <v>0</v>
      </c>
      <c r="W6000" s="182" t="n">
        <v>0</v>
      </c>
      <c r="X6000" s="182" t="n">
        <v>1</v>
      </c>
      <c r="Y6000" s="182" t="n">
        <v>0</v>
      </c>
      <c r="Z6000" s="182" t="n">
        <v>0</v>
      </c>
      <c r="AA6000" s="182" t="n">
        <v>0</v>
      </c>
      <c r="AB6000" s="182" t="n">
        <v>1</v>
      </c>
      <c r="AC6000" s="182" t="n">
        <v>0</v>
      </c>
      <c r="AD6000" s="182" t="n">
        <v>0</v>
      </c>
      <c r="AE6000" s="182" t="n">
        <v>0</v>
      </c>
      <c r="AF6000" s="182" t="n">
        <v>0</v>
      </c>
      <c r="AG6000" s="182" t="n">
        <v>0</v>
      </c>
      <c r="AH6000" s="182" t="n">
        <v>0</v>
      </c>
      <c r="AI6000" s="182" t="n">
        <v>0</v>
      </c>
      <c r="AJ6000" s="182" t="n">
        <v>0</v>
      </c>
      <c r="AK6000" s="182" t="n">
        <v>9.92</v>
      </c>
      <c r="AL6000" s="182" t="n">
        <v>0</v>
      </c>
      <c r="AM6000" s="182" t="n">
        <v>0.08</v>
      </c>
      <c r="AN6000" s="182" t="n">
        <v>0</v>
      </c>
    </row>
    <row r="6001">
      <c r="A6001" s="155" t="n">
        <v>46109</v>
      </c>
      <c r="B6001" s="156" t="inlineStr">
        <is>
          <t>DS</t>
        </is>
      </c>
      <c r="C6001" s="156" t="inlineStr">
        <is>
          <t>DT-801</t>
        </is>
      </c>
      <c r="D6001" s="156" t="inlineStr">
        <is>
          <t>SKT 80S</t>
        </is>
      </c>
      <c r="E6001" s="156" t="inlineStr">
        <is>
          <t>Hauler</t>
        </is>
      </c>
      <c r="F6001" s="156" t="inlineStr"/>
      <c r="G6001" s="182" t="n">
        <v>0</v>
      </c>
      <c r="H6001" s="182" t="n">
        <v>0</v>
      </c>
      <c r="I6001" s="182" t="n">
        <v>0</v>
      </c>
      <c r="J6001" s="182" t="n">
        <v>0</v>
      </c>
      <c r="K6001" s="182" t="n">
        <v>12</v>
      </c>
      <c r="L6001" s="182" t="n">
        <v>12</v>
      </c>
      <c r="M6001" s="182" t="n">
        <v>0</v>
      </c>
      <c r="N6001" s="182" t="n">
        <v>0</v>
      </c>
      <c r="O6001" s="183" t="n">
        <v>0</v>
      </c>
      <c r="P6001" s="183" t="n">
        <v>0</v>
      </c>
      <c r="Q6001" s="184" t="n">
        <v>0</v>
      </c>
      <c r="R6001" s="184" t="n">
        <v>0</v>
      </c>
      <c r="S6001" s="183" t="n">
        <v>0</v>
      </c>
      <c r="T6001" s="183" t="n">
        <v>0</v>
      </c>
      <c r="U6001" s="182" t="n">
        <v>0</v>
      </c>
      <c r="V6001" s="182" t="n">
        <v>0</v>
      </c>
      <c r="W6001" s="182" t="n">
        <v>0</v>
      </c>
      <c r="X6001" s="182" t="n">
        <v>1</v>
      </c>
      <c r="Y6001" s="182" t="n">
        <v>0</v>
      </c>
      <c r="Z6001" s="182" t="n">
        <v>0</v>
      </c>
      <c r="AA6001" s="182" t="n">
        <v>0</v>
      </c>
      <c r="AB6001" s="182" t="n">
        <v>1</v>
      </c>
      <c r="AC6001" s="182" t="n">
        <v>0</v>
      </c>
      <c r="AD6001" s="182" t="n">
        <v>0</v>
      </c>
      <c r="AE6001" s="182" t="n">
        <v>0</v>
      </c>
      <c r="AF6001" s="182" t="n">
        <v>0</v>
      </c>
      <c r="AG6001" s="182" t="n">
        <v>0</v>
      </c>
      <c r="AH6001" s="182" t="n">
        <v>0</v>
      </c>
      <c r="AI6001" s="182" t="n">
        <v>0</v>
      </c>
      <c r="AJ6001" s="182" t="n">
        <v>0</v>
      </c>
      <c r="AK6001" s="182" t="n">
        <v>9.92</v>
      </c>
      <c r="AL6001" s="182" t="n">
        <v>0</v>
      </c>
      <c r="AM6001" s="182" t="n">
        <v>0.08</v>
      </c>
      <c r="AN6001" s="182" t="n">
        <v>0</v>
      </c>
    </row>
    <row r="6002">
      <c r="A6002" s="155" t="n">
        <v>46109</v>
      </c>
      <c r="B6002" s="156" t="inlineStr">
        <is>
          <t>DS</t>
        </is>
      </c>
      <c r="C6002" s="156" t="inlineStr">
        <is>
          <t>DT-808</t>
        </is>
      </c>
      <c r="D6002" s="156" t="inlineStr">
        <is>
          <t>SKT 80S</t>
        </is>
      </c>
      <c r="E6002" s="156" t="inlineStr">
        <is>
          <t>Hauler</t>
        </is>
      </c>
      <c r="F6002" s="156" t="inlineStr"/>
      <c r="G6002" s="182" t="n">
        <v>0</v>
      </c>
      <c r="H6002" s="182" t="n">
        <v>0</v>
      </c>
      <c r="I6002" s="182" t="n">
        <v>0</v>
      </c>
      <c r="J6002" s="182" t="n">
        <v>0</v>
      </c>
      <c r="K6002" s="182" t="n">
        <v>12</v>
      </c>
      <c r="L6002" s="182" t="n">
        <v>12</v>
      </c>
      <c r="M6002" s="182" t="n">
        <v>0</v>
      </c>
      <c r="N6002" s="182" t="n">
        <v>0</v>
      </c>
      <c r="O6002" s="183" t="n">
        <v>0</v>
      </c>
      <c r="P6002" s="183" t="n">
        <v>0</v>
      </c>
      <c r="Q6002" s="184" t="n">
        <v>0</v>
      </c>
      <c r="R6002" s="184" t="n">
        <v>0</v>
      </c>
      <c r="S6002" s="183" t="n">
        <v>0</v>
      </c>
      <c r="T6002" s="183" t="n">
        <v>0</v>
      </c>
      <c r="U6002" s="182" t="n">
        <v>0</v>
      </c>
      <c r="V6002" s="182" t="n">
        <v>0</v>
      </c>
      <c r="W6002" s="182" t="n">
        <v>0</v>
      </c>
      <c r="X6002" s="182" t="n">
        <v>1</v>
      </c>
      <c r="Y6002" s="182" t="n">
        <v>0</v>
      </c>
      <c r="Z6002" s="182" t="n">
        <v>0</v>
      </c>
      <c r="AA6002" s="182" t="n">
        <v>0</v>
      </c>
      <c r="AB6002" s="182" t="n">
        <v>1</v>
      </c>
      <c r="AC6002" s="182" t="n">
        <v>0</v>
      </c>
      <c r="AD6002" s="182" t="n">
        <v>0</v>
      </c>
      <c r="AE6002" s="182" t="n">
        <v>0</v>
      </c>
      <c r="AF6002" s="182" t="n">
        <v>0</v>
      </c>
      <c r="AG6002" s="182" t="n">
        <v>0</v>
      </c>
      <c r="AH6002" s="182" t="n">
        <v>0</v>
      </c>
      <c r="AI6002" s="182" t="n">
        <v>0</v>
      </c>
      <c r="AJ6002" s="182" t="n">
        <v>0</v>
      </c>
      <c r="AK6002" s="182" t="n">
        <v>9.92</v>
      </c>
      <c r="AL6002" s="182" t="n">
        <v>0</v>
      </c>
      <c r="AM6002" s="182" t="n">
        <v>0.08</v>
      </c>
      <c r="AN6002" s="182" t="n">
        <v>0</v>
      </c>
    </row>
    <row r="6003">
      <c r="A6003" s="155" t="n">
        <v>46109</v>
      </c>
      <c r="B6003" s="156" t="inlineStr">
        <is>
          <t>DS</t>
        </is>
      </c>
      <c r="C6003" s="156" t="inlineStr">
        <is>
          <t>DT-811</t>
        </is>
      </c>
      <c r="D6003" s="156" t="inlineStr">
        <is>
          <t>SKT 80S</t>
        </is>
      </c>
      <c r="E6003" s="156" t="inlineStr">
        <is>
          <t>Hauler</t>
        </is>
      </c>
      <c r="F6003" s="156" t="inlineStr"/>
      <c r="G6003" s="182" t="n">
        <v>0</v>
      </c>
      <c r="H6003" s="182" t="n">
        <v>0</v>
      </c>
      <c r="I6003" s="182" t="n">
        <v>0</v>
      </c>
      <c r="J6003" s="182" t="n">
        <v>0</v>
      </c>
      <c r="K6003" s="182" t="n">
        <v>12</v>
      </c>
      <c r="L6003" s="182" t="n">
        <v>12</v>
      </c>
      <c r="M6003" s="182" t="n">
        <v>0</v>
      </c>
      <c r="N6003" s="182" t="n">
        <v>0</v>
      </c>
      <c r="O6003" s="183" t="n">
        <v>0</v>
      </c>
      <c r="P6003" s="183" t="n">
        <v>0</v>
      </c>
      <c r="Q6003" s="184" t="n">
        <v>0</v>
      </c>
      <c r="R6003" s="184" t="n">
        <v>0</v>
      </c>
      <c r="S6003" s="183" t="n">
        <v>0</v>
      </c>
      <c r="T6003" s="183" t="n">
        <v>0</v>
      </c>
      <c r="U6003" s="182" t="n">
        <v>0</v>
      </c>
      <c r="V6003" s="182" t="n">
        <v>0</v>
      </c>
      <c r="W6003" s="182" t="n">
        <v>0</v>
      </c>
      <c r="X6003" s="182" t="n">
        <v>1</v>
      </c>
      <c r="Y6003" s="182" t="n">
        <v>0</v>
      </c>
      <c r="Z6003" s="182" t="n">
        <v>0</v>
      </c>
      <c r="AA6003" s="182" t="n">
        <v>0</v>
      </c>
      <c r="AB6003" s="182" t="n">
        <v>1</v>
      </c>
      <c r="AC6003" s="182" t="n">
        <v>0</v>
      </c>
      <c r="AD6003" s="182" t="n">
        <v>0</v>
      </c>
      <c r="AE6003" s="182" t="n">
        <v>0</v>
      </c>
      <c r="AF6003" s="182" t="n">
        <v>0</v>
      </c>
      <c r="AG6003" s="182" t="n">
        <v>0</v>
      </c>
      <c r="AH6003" s="182" t="n">
        <v>0</v>
      </c>
      <c r="AI6003" s="182" t="n">
        <v>0</v>
      </c>
      <c r="AJ6003" s="182" t="n">
        <v>0</v>
      </c>
      <c r="AK6003" s="182" t="n">
        <v>9.92</v>
      </c>
      <c r="AL6003" s="182" t="n">
        <v>0</v>
      </c>
      <c r="AM6003" s="182" t="n">
        <v>0.08</v>
      </c>
      <c r="AN6003" s="182" t="n">
        <v>0</v>
      </c>
    </row>
    <row r="6004">
      <c r="A6004" s="155" t="n">
        <v>46109</v>
      </c>
      <c r="B6004" s="156" t="inlineStr">
        <is>
          <t>DS</t>
        </is>
      </c>
      <c r="C6004" s="156" t="inlineStr">
        <is>
          <t>DT-802</t>
        </is>
      </c>
      <c r="D6004" s="156" t="inlineStr">
        <is>
          <t>SKT 80S</t>
        </is>
      </c>
      <c r="E6004" s="156" t="inlineStr">
        <is>
          <t>Hauler</t>
        </is>
      </c>
      <c r="F6004" s="156" t="inlineStr"/>
      <c r="G6004" s="182" t="n">
        <v>0</v>
      </c>
      <c r="H6004" s="182" t="n">
        <v>0</v>
      </c>
      <c r="I6004" s="182" t="n">
        <v>0</v>
      </c>
      <c r="J6004" s="182" t="n">
        <v>0</v>
      </c>
      <c r="K6004" s="182" t="n">
        <v>12</v>
      </c>
      <c r="L6004" s="182" t="n">
        <v>12</v>
      </c>
      <c r="M6004" s="182" t="n">
        <v>0</v>
      </c>
      <c r="N6004" s="182" t="n">
        <v>0</v>
      </c>
      <c r="O6004" s="183" t="n">
        <v>0</v>
      </c>
      <c r="P6004" s="183" t="n">
        <v>0</v>
      </c>
      <c r="Q6004" s="184" t="n">
        <v>0</v>
      </c>
      <c r="R6004" s="184" t="n">
        <v>0</v>
      </c>
      <c r="S6004" s="183" t="n">
        <v>0</v>
      </c>
      <c r="T6004" s="183" t="n">
        <v>0</v>
      </c>
      <c r="U6004" s="182" t="n">
        <v>0</v>
      </c>
      <c r="V6004" s="182" t="n">
        <v>0</v>
      </c>
      <c r="W6004" s="182" t="n">
        <v>0</v>
      </c>
      <c r="X6004" s="182" t="n">
        <v>1</v>
      </c>
      <c r="Y6004" s="182" t="n">
        <v>0</v>
      </c>
      <c r="Z6004" s="182" t="n">
        <v>0</v>
      </c>
      <c r="AA6004" s="182" t="n">
        <v>0</v>
      </c>
      <c r="AB6004" s="182" t="n">
        <v>1</v>
      </c>
      <c r="AC6004" s="182" t="n">
        <v>0</v>
      </c>
      <c r="AD6004" s="182" t="n">
        <v>0</v>
      </c>
      <c r="AE6004" s="182" t="n">
        <v>0</v>
      </c>
      <c r="AF6004" s="182" t="n">
        <v>0</v>
      </c>
      <c r="AG6004" s="182" t="n">
        <v>0</v>
      </c>
      <c r="AH6004" s="182" t="n">
        <v>0</v>
      </c>
      <c r="AI6004" s="182" t="n">
        <v>0</v>
      </c>
      <c r="AJ6004" s="182" t="n">
        <v>0</v>
      </c>
      <c r="AK6004" s="182" t="n">
        <v>9.92</v>
      </c>
      <c r="AL6004" s="182" t="n">
        <v>0</v>
      </c>
      <c r="AM6004" s="182" t="n">
        <v>0.08</v>
      </c>
      <c r="AN6004" s="182" t="n">
        <v>0</v>
      </c>
    </row>
    <row r="6005">
      <c r="A6005" s="155" t="n">
        <v>46109</v>
      </c>
      <c r="B6005" s="156" t="inlineStr">
        <is>
          <t>DS</t>
        </is>
      </c>
      <c r="C6005" s="156" t="inlineStr">
        <is>
          <t>DT-807</t>
        </is>
      </c>
      <c r="D6005" s="156" t="inlineStr">
        <is>
          <t>SKT 80S</t>
        </is>
      </c>
      <c r="E6005" s="156" t="inlineStr">
        <is>
          <t>Hauler</t>
        </is>
      </c>
      <c r="F6005" s="156" t="inlineStr"/>
      <c r="G6005" s="182" t="n">
        <v>0</v>
      </c>
      <c r="H6005" s="182" t="n">
        <v>0</v>
      </c>
      <c r="I6005" s="182" t="n">
        <v>0</v>
      </c>
      <c r="J6005" s="182" t="n">
        <v>0</v>
      </c>
      <c r="K6005" s="182" t="n">
        <v>12</v>
      </c>
      <c r="L6005" s="182" t="n">
        <v>12</v>
      </c>
      <c r="M6005" s="182" t="n">
        <v>0</v>
      </c>
      <c r="N6005" s="182" t="n">
        <v>0</v>
      </c>
      <c r="O6005" s="183" t="n">
        <v>0</v>
      </c>
      <c r="P6005" s="183" t="n">
        <v>0</v>
      </c>
      <c r="Q6005" s="184" t="n">
        <v>0</v>
      </c>
      <c r="R6005" s="184" t="n">
        <v>0</v>
      </c>
      <c r="S6005" s="183" t="n">
        <v>0</v>
      </c>
      <c r="T6005" s="183" t="n">
        <v>0</v>
      </c>
      <c r="U6005" s="182" t="n">
        <v>0</v>
      </c>
      <c r="V6005" s="182" t="n">
        <v>0</v>
      </c>
      <c r="W6005" s="182" t="n">
        <v>0</v>
      </c>
      <c r="X6005" s="182" t="n">
        <v>1</v>
      </c>
      <c r="Y6005" s="182" t="n">
        <v>0</v>
      </c>
      <c r="Z6005" s="182" t="n">
        <v>0</v>
      </c>
      <c r="AA6005" s="182" t="n">
        <v>0</v>
      </c>
      <c r="AB6005" s="182" t="n">
        <v>1</v>
      </c>
      <c r="AC6005" s="182" t="n">
        <v>0</v>
      </c>
      <c r="AD6005" s="182" t="n">
        <v>0</v>
      </c>
      <c r="AE6005" s="182" t="n">
        <v>0</v>
      </c>
      <c r="AF6005" s="182" t="n">
        <v>0</v>
      </c>
      <c r="AG6005" s="182" t="n">
        <v>0</v>
      </c>
      <c r="AH6005" s="182" t="n">
        <v>0</v>
      </c>
      <c r="AI6005" s="182" t="n">
        <v>0</v>
      </c>
      <c r="AJ6005" s="182" t="n">
        <v>0</v>
      </c>
      <c r="AK6005" s="182" t="n">
        <v>9.92</v>
      </c>
      <c r="AL6005" s="182" t="n">
        <v>0</v>
      </c>
      <c r="AM6005" s="182" t="n">
        <v>0.08</v>
      </c>
      <c r="AN6005" s="182" t="n">
        <v>0</v>
      </c>
    </row>
    <row r="6006">
      <c r="A6006" s="155" t="n">
        <v>46109</v>
      </c>
      <c r="B6006" s="156" t="inlineStr">
        <is>
          <t>DS</t>
        </is>
      </c>
      <c r="C6006" s="156" t="inlineStr">
        <is>
          <t>DT-812</t>
        </is>
      </c>
      <c r="D6006" s="156" t="inlineStr">
        <is>
          <t>SKT 80S</t>
        </is>
      </c>
      <c r="E6006" s="156" t="inlineStr">
        <is>
          <t>Hauler</t>
        </is>
      </c>
      <c r="F6006" s="156" t="inlineStr">
        <is>
          <t>Hauling Coal</t>
        </is>
      </c>
      <c r="G6006" s="182" t="n">
        <v>2.29</v>
      </c>
      <c r="H6006" s="182" t="n">
        <v>0</v>
      </c>
      <c r="I6006" s="182" t="n">
        <v>0</v>
      </c>
      <c r="J6006" s="182" t="n">
        <v>0</v>
      </c>
      <c r="K6006" s="182" t="n">
        <v>9.710000000000001</v>
      </c>
      <c r="L6006" s="182" t="n">
        <v>12</v>
      </c>
      <c r="M6006" s="182" t="n">
        <v>0</v>
      </c>
      <c r="N6006" s="182" t="n">
        <v>2.29</v>
      </c>
      <c r="O6006" s="183" t="n">
        <v>0</v>
      </c>
      <c r="P6006" s="183" t="n">
        <v>4</v>
      </c>
      <c r="Q6006" s="184" t="n">
        <v>0</v>
      </c>
      <c r="R6006" s="184" t="n">
        <v>61.2</v>
      </c>
      <c r="S6006" s="183" t="n">
        <v>0</v>
      </c>
      <c r="T6006" s="183" t="n">
        <v>0</v>
      </c>
      <c r="U6006" s="182" t="n">
        <v>4.28</v>
      </c>
      <c r="V6006" s="182" t="n">
        <v>0.7</v>
      </c>
      <c r="W6006" s="182" t="n">
        <v>0</v>
      </c>
      <c r="X6006" s="182" t="n">
        <v>1</v>
      </c>
      <c r="Y6006" s="182" t="n">
        <v>0</v>
      </c>
      <c r="Z6006" s="182" t="n">
        <v>0</v>
      </c>
      <c r="AA6006" s="182" t="n">
        <v>0</v>
      </c>
      <c r="AB6006" s="182" t="n">
        <v>1</v>
      </c>
      <c r="AC6006" s="182" t="n">
        <v>0</v>
      </c>
      <c r="AD6006" s="182" t="n">
        <v>0</v>
      </c>
      <c r="AE6006" s="182" t="n">
        <v>0</v>
      </c>
      <c r="AF6006" s="182" t="n">
        <v>0</v>
      </c>
      <c r="AG6006" s="182" t="n">
        <v>0</v>
      </c>
      <c r="AH6006" s="182" t="n">
        <v>0</v>
      </c>
      <c r="AI6006" s="182" t="n">
        <v>0</v>
      </c>
      <c r="AJ6006" s="182" t="n">
        <v>0</v>
      </c>
      <c r="AK6006" s="182" t="n">
        <v>2.64</v>
      </c>
      <c r="AL6006" s="182" t="n">
        <v>0</v>
      </c>
      <c r="AM6006" s="182" t="n">
        <v>0.08</v>
      </c>
      <c r="AN6006" s="182" t="n">
        <v>0</v>
      </c>
    </row>
    <row r="6007">
      <c r="A6007" s="155" t="n">
        <v>46109</v>
      </c>
      <c r="B6007" s="156" t="inlineStr">
        <is>
          <t>DS</t>
        </is>
      </c>
      <c r="C6007" s="156" t="inlineStr">
        <is>
          <t>DT-803</t>
        </is>
      </c>
      <c r="D6007" s="156" t="inlineStr">
        <is>
          <t>SKT 80S</t>
        </is>
      </c>
      <c r="E6007" s="156" t="inlineStr">
        <is>
          <t>Hauler</t>
        </is>
      </c>
      <c r="F6007" s="156" t="inlineStr"/>
      <c r="G6007" s="182" t="n">
        <v>0</v>
      </c>
      <c r="H6007" s="182" t="n">
        <v>0</v>
      </c>
      <c r="I6007" s="182" t="n">
        <v>0</v>
      </c>
      <c r="J6007" s="182" t="n">
        <v>0</v>
      </c>
      <c r="K6007" s="182" t="n">
        <v>12</v>
      </c>
      <c r="L6007" s="182" t="n">
        <v>12</v>
      </c>
      <c r="M6007" s="182" t="n">
        <v>0</v>
      </c>
      <c r="N6007" s="182" t="n">
        <v>0</v>
      </c>
      <c r="O6007" s="183" t="n">
        <v>0</v>
      </c>
      <c r="P6007" s="183" t="n">
        <v>0</v>
      </c>
      <c r="Q6007" s="184" t="n">
        <v>0</v>
      </c>
      <c r="R6007" s="184" t="n">
        <v>0</v>
      </c>
      <c r="S6007" s="183" t="n">
        <v>0</v>
      </c>
      <c r="T6007" s="183" t="n">
        <v>0</v>
      </c>
      <c r="U6007" s="182" t="n">
        <v>0</v>
      </c>
      <c r="V6007" s="182" t="n">
        <v>0</v>
      </c>
      <c r="W6007" s="182" t="n">
        <v>0</v>
      </c>
      <c r="X6007" s="182" t="n">
        <v>1</v>
      </c>
      <c r="Y6007" s="182" t="n">
        <v>0</v>
      </c>
      <c r="Z6007" s="182" t="n">
        <v>0</v>
      </c>
      <c r="AA6007" s="182" t="n">
        <v>0</v>
      </c>
      <c r="AB6007" s="182" t="n">
        <v>1</v>
      </c>
      <c r="AC6007" s="182" t="n">
        <v>0</v>
      </c>
      <c r="AD6007" s="182" t="n">
        <v>0</v>
      </c>
      <c r="AE6007" s="182" t="n">
        <v>0</v>
      </c>
      <c r="AF6007" s="182" t="n">
        <v>0</v>
      </c>
      <c r="AG6007" s="182" t="n">
        <v>0</v>
      </c>
      <c r="AH6007" s="182" t="n">
        <v>0</v>
      </c>
      <c r="AI6007" s="182" t="n">
        <v>0</v>
      </c>
      <c r="AJ6007" s="182" t="n">
        <v>0</v>
      </c>
      <c r="AK6007" s="182" t="n">
        <v>9.92</v>
      </c>
      <c r="AL6007" s="182" t="n">
        <v>0</v>
      </c>
      <c r="AM6007" s="182" t="n">
        <v>0.08</v>
      </c>
      <c r="AN6007" s="182" t="n">
        <v>0</v>
      </c>
    </row>
    <row r="6008">
      <c r="A6008" s="155" t="n">
        <v>46109</v>
      </c>
      <c r="B6008" s="156" t="inlineStr">
        <is>
          <t>DS</t>
        </is>
      </c>
      <c r="C6008" s="156" t="inlineStr">
        <is>
          <t>DT-810</t>
        </is>
      </c>
      <c r="D6008" s="156" t="inlineStr">
        <is>
          <t>SKT 80S</t>
        </is>
      </c>
      <c r="E6008" s="156" t="inlineStr">
        <is>
          <t>Hauler</t>
        </is>
      </c>
      <c r="F6008" s="156" t="inlineStr">
        <is>
          <t>Hauling Coal</t>
        </is>
      </c>
      <c r="G6008" s="182" t="n">
        <v>2.88</v>
      </c>
      <c r="H6008" s="182" t="n">
        <v>0</v>
      </c>
      <c r="I6008" s="182" t="n">
        <v>0</v>
      </c>
      <c r="J6008" s="182" t="n">
        <v>0</v>
      </c>
      <c r="K6008" s="182" t="n">
        <v>9.119999999999999</v>
      </c>
      <c r="L6008" s="182" t="n">
        <v>12</v>
      </c>
      <c r="M6008" s="182" t="n">
        <v>0</v>
      </c>
      <c r="N6008" s="182" t="n">
        <v>2.88</v>
      </c>
      <c r="O6008" s="183" t="n">
        <v>0</v>
      </c>
      <c r="P6008" s="183" t="n">
        <v>4</v>
      </c>
      <c r="Q6008" s="184" t="n">
        <v>0</v>
      </c>
      <c r="R6008" s="184" t="n">
        <v>61.2</v>
      </c>
      <c r="S6008" s="183" t="n">
        <v>0</v>
      </c>
      <c r="T6008" s="183" t="n">
        <v>0</v>
      </c>
      <c r="U6008" s="182" t="n">
        <v>4.2</v>
      </c>
      <c r="V6008" s="182" t="n">
        <v>0.6899999999999999</v>
      </c>
      <c r="W6008" s="182" t="n">
        <v>0</v>
      </c>
      <c r="X6008" s="182" t="n">
        <v>0.98</v>
      </c>
      <c r="Y6008" s="182" t="n">
        <v>0</v>
      </c>
      <c r="Z6008" s="182" t="n">
        <v>0</v>
      </c>
      <c r="AA6008" s="182" t="n">
        <v>0</v>
      </c>
      <c r="AB6008" s="182" t="n">
        <v>0.98</v>
      </c>
      <c r="AC6008" s="182" t="n">
        <v>0</v>
      </c>
      <c r="AD6008" s="182" t="n">
        <v>0</v>
      </c>
      <c r="AE6008" s="182" t="n">
        <v>0</v>
      </c>
      <c r="AF6008" s="182" t="n">
        <v>0</v>
      </c>
      <c r="AG6008" s="182" t="n">
        <v>0</v>
      </c>
      <c r="AH6008" s="182" t="n">
        <v>0</v>
      </c>
      <c r="AI6008" s="182" t="n">
        <v>0</v>
      </c>
      <c r="AJ6008" s="182" t="n">
        <v>0</v>
      </c>
      <c r="AK6008" s="182" t="n">
        <v>2.2</v>
      </c>
      <c r="AL6008" s="182" t="n">
        <v>0</v>
      </c>
      <c r="AM6008" s="182" t="n">
        <v>0.08</v>
      </c>
      <c r="AN6008" s="182" t="n">
        <v>0</v>
      </c>
    </row>
    <row r="6009">
      <c r="A6009" s="155" t="n">
        <v>46109</v>
      </c>
      <c r="B6009" s="156" t="inlineStr">
        <is>
          <t>DS</t>
        </is>
      </c>
      <c r="C6009" s="156" t="inlineStr">
        <is>
          <t>DT-804</t>
        </is>
      </c>
      <c r="D6009" s="156" t="inlineStr">
        <is>
          <t>SKT 80S</t>
        </is>
      </c>
      <c r="E6009" s="156" t="inlineStr">
        <is>
          <t>Hauler</t>
        </is>
      </c>
      <c r="F6009" s="156" t="inlineStr"/>
      <c r="G6009" s="182" t="n">
        <v>0</v>
      </c>
      <c r="H6009" s="182" t="n">
        <v>0</v>
      </c>
      <c r="I6009" s="182" t="n">
        <v>0</v>
      </c>
      <c r="J6009" s="182" t="n">
        <v>0</v>
      </c>
      <c r="K6009" s="182" t="n">
        <v>12</v>
      </c>
      <c r="L6009" s="182" t="n">
        <v>12</v>
      </c>
      <c r="M6009" s="182" t="n">
        <v>0</v>
      </c>
      <c r="N6009" s="182" t="n">
        <v>0</v>
      </c>
      <c r="O6009" s="183" t="n">
        <v>0</v>
      </c>
      <c r="P6009" s="183" t="n">
        <v>0</v>
      </c>
      <c r="Q6009" s="184" t="n">
        <v>0</v>
      </c>
      <c r="R6009" s="184" t="n">
        <v>0</v>
      </c>
      <c r="S6009" s="183" t="n">
        <v>0</v>
      </c>
      <c r="T6009" s="183" t="n">
        <v>0</v>
      </c>
      <c r="U6009" s="182" t="n">
        <v>0</v>
      </c>
      <c r="V6009" s="182" t="n">
        <v>0</v>
      </c>
      <c r="W6009" s="182" t="n">
        <v>0</v>
      </c>
      <c r="X6009" s="182" t="n">
        <v>1</v>
      </c>
      <c r="Y6009" s="182" t="n">
        <v>0</v>
      </c>
      <c r="Z6009" s="182" t="n">
        <v>0</v>
      </c>
      <c r="AA6009" s="182" t="n">
        <v>0</v>
      </c>
      <c r="AB6009" s="182" t="n">
        <v>1</v>
      </c>
      <c r="AC6009" s="182" t="n">
        <v>0</v>
      </c>
      <c r="AD6009" s="182" t="n">
        <v>0</v>
      </c>
      <c r="AE6009" s="182" t="n">
        <v>0</v>
      </c>
      <c r="AF6009" s="182" t="n">
        <v>0</v>
      </c>
      <c r="AG6009" s="182" t="n">
        <v>0</v>
      </c>
      <c r="AH6009" s="182" t="n">
        <v>0</v>
      </c>
      <c r="AI6009" s="182" t="n">
        <v>0</v>
      </c>
      <c r="AJ6009" s="182" t="n">
        <v>0</v>
      </c>
      <c r="AK6009" s="182" t="n">
        <v>9.92</v>
      </c>
      <c r="AL6009" s="182" t="n">
        <v>0</v>
      </c>
      <c r="AM6009" s="182" t="n">
        <v>0.08</v>
      </c>
      <c r="AN6009" s="182" t="n">
        <v>0</v>
      </c>
    </row>
    <row r="6010">
      <c r="A6010" s="155" t="n">
        <v>46109</v>
      </c>
      <c r="B6010" s="156" t="inlineStr">
        <is>
          <t>DS</t>
        </is>
      </c>
      <c r="C6010" s="156" t="inlineStr">
        <is>
          <t>DT-505</t>
        </is>
      </c>
      <c r="D6010" s="156" t="inlineStr">
        <is>
          <t>SKT 105S</t>
        </is>
      </c>
      <c r="E6010" s="156" t="inlineStr">
        <is>
          <t>Hauler</t>
        </is>
      </c>
      <c r="F6010" s="156" t="inlineStr"/>
      <c r="G6010" s="182" t="n">
        <v>0</v>
      </c>
      <c r="H6010" s="182" t="n">
        <v>0</v>
      </c>
      <c r="I6010" s="182" t="n">
        <v>12</v>
      </c>
      <c r="J6010" s="182" t="n">
        <v>12</v>
      </c>
      <c r="K6010" s="182" t="n">
        <v>0</v>
      </c>
      <c r="L6010" s="182" t="n">
        <v>12</v>
      </c>
      <c r="M6010" s="182" t="n">
        <v>0</v>
      </c>
      <c r="N6010" s="182" t="n">
        <v>0</v>
      </c>
      <c r="O6010" s="183" t="n">
        <v>0</v>
      </c>
      <c r="P6010" s="183" t="n">
        <v>0</v>
      </c>
      <c r="Q6010" s="184" t="n">
        <v>0</v>
      </c>
      <c r="R6010" s="184" t="n">
        <v>0</v>
      </c>
      <c r="S6010" s="183" t="n">
        <v>0</v>
      </c>
      <c r="T6010" s="183" t="n">
        <v>0</v>
      </c>
      <c r="U6010" s="182" t="n">
        <v>0</v>
      </c>
      <c r="V6010" s="182" t="n">
        <v>0</v>
      </c>
      <c r="W6010" s="182" t="n">
        <v>0</v>
      </c>
      <c r="X6010" s="182" t="n">
        <v>0</v>
      </c>
      <c r="Y6010" s="182" t="n">
        <v>0</v>
      </c>
      <c r="Z6010" s="182" t="n">
        <v>0</v>
      </c>
      <c r="AA6010" s="182" t="n">
        <v>0</v>
      </c>
      <c r="AB6010" s="182" t="n">
        <v>0</v>
      </c>
      <c r="AC6010" s="182" t="n">
        <v>0</v>
      </c>
      <c r="AD6010" s="182" t="n">
        <v>0</v>
      </c>
      <c r="AE6010" s="182" t="n">
        <v>0</v>
      </c>
      <c r="AF6010" s="182" t="n">
        <v>0</v>
      </c>
      <c r="AG6010" s="182" t="n">
        <v>0</v>
      </c>
      <c r="AH6010" s="182" t="n">
        <v>0</v>
      </c>
      <c r="AI6010" s="182" t="n">
        <v>0</v>
      </c>
      <c r="AJ6010" s="182" t="n">
        <v>0</v>
      </c>
      <c r="AK6010" s="182" t="n">
        <v>0</v>
      </c>
      <c r="AL6010" s="182" t="n">
        <v>0</v>
      </c>
      <c r="AM6010" s="182" t="n">
        <v>0</v>
      </c>
      <c r="AN6010" s="182" t="n">
        <v>0</v>
      </c>
    </row>
    <row r="6011">
      <c r="A6011" s="155" t="n">
        <v>46109</v>
      </c>
      <c r="B6011" s="156" t="inlineStr">
        <is>
          <t>DS</t>
        </is>
      </c>
      <c r="C6011" s="156" t="inlineStr">
        <is>
          <t>DT-530</t>
        </is>
      </c>
      <c r="D6011" s="156" t="inlineStr">
        <is>
          <t>SKT 105S</t>
        </is>
      </c>
      <c r="E6011" s="156" t="inlineStr">
        <is>
          <t>Hauler</t>
        </is>
      </c>
      <c r="F6011" s="156" t="inlineStr"/>
      <c r="G6011" s="182" t="n">
        <v>0</v>
      </c>
      <c r="H6011" s="182" t="n">
        <v>0</v>
      </c>
      <c r="I6011" s="182" t="n">
        <v>12</v>
      </c>
      <c r="J6011" s="182" t="n">
        <v>12</v>
      </c>
      <c r="K6011" s="182" t="n">
        <v>0</v>
      </c>
      <c r="L6011" s="182" t="n">
        <v>12</v>
      </c>
      <c r="M6011" s="182" t="n">
        <v>0</v>
      </c>
      <c r="N6011" s="182" t="n">
        <v>0</v>
      </c>
      <c r="O6011" s="183" t="n">
        <v>0</v>
      </c>
      <c r="P6011" s="183" t="n">
        <v>0</v>
      </c>
      <c r="Q6011" s="184" t="n">
        <v>0</v>
      </c>
      <c r="R6011" s="184" t="n">
        <v>0</v>
      </c>
      <c r="S6011" s="183" t="n">
        <v>0</v>
      </c>
      <c r="T6011" s="183" t="n">
        <v>0</v>
      </c>
      <c r="U6011" s="182" t="n">
        <v>0</v>
      </c>
      <c r="V6011" s="182" t="n">
        <v>0</v>
      </c>
      <c r="W6011" s="182" t="n">
        <v>0</v>
      </c>
      <c r="X6011" s="182" t="n">
        <v>0</v>
      </c>
      <c r="Y6011" s="182" t="n">
        <v>0</v>
      </c>
      <c r="Z6011" s="182" t="n">
        <v>0</v>
      </c>
      <c r="AA6011" s="182" t="n">
        <v>0</v>
      </c>
      <c r="AB6011" s="182" t="n">
        <v>0</v>
      </c>
      <c r="AC6011" s="182" t="n">
        <v>0</v>
      </c>
      <c r="AD6011" s="182" t="n">
        <v>0</v>
      </c>
      <c r="AE6011" s="182" t="n">
        <v>0</v>
      </c>
      <c r="AF6011" s="182" t="n">
        <v>0</v>
      </c>
      <c r="AG6011" s="182" t="n">
        <v>0</v>
      </c>
      <c r="AH6011" s="182" t="n">
        <v>0</v>
      </c>
      <c r="AI6011" s="182" t="n">
        <v>0</v>
      </c>
      <c r="AJ6011" s="182" t="n">
        <v>0</v>
      </c>
      <c r="AK6011" s="182" t="n">
        <v>0</v>
      </c>
      <c r="AL6011" s="182" t="n">
        <v>0</v>
      </c>
      <c r="AM6011" s="182" t="n">
        <v>0</v>
      </c>
      <c r="AN6011" s="182" t="n">
        <v>0</v>
      </c>
    </row>
    <row r="6012">
      <c r="A6012" s="155" t="n">
        <v>46109</v>
      </c>
      <c r="B6012" s="156" t="inlineStr">
        <is>
          <t>DS</t>
        </is>
      </c>
      <c r="C6012" s="156" t="inlineStr">
        <is>
          <t>DT-525</t>
        </is>
      </c>
      <c r="D6012" s="156" t="inlineStr">
        <is>
          <t>SKT 105S</t>
        </is>
      </c>
      <c r="E6012" s="156" t="inlineStr">
        <is>
          <t>Hauler</t>
        </is>
      </c>
      <c r="F6012" s="156" t="inlineStr"/>
      <c r="G6012" s="182" t="n">
        <v>0</v>
      </c>
      <c r="H6012" s="182" t="n">
        <v>0</v>
      </c>
      <c r="I6012" s="182" t="n">
        <v>12</v>
      </c>
      <c r="J6012" s="182" t="n">
        <v>12</v>
      </c>
      <c r="K6012" s="182" t="n">
        <v>0</v>
      </c>
      <c r="L6012" s="182" t="n">
        <v>12</v>
      </c>
      <c r="M6012" s="182" t="n">
        <v>0</v>
      </c>
      <c r="N6012" s="182" t="n">
        <v>0</v>
      </c>
      <c r="O6012" s="183" t="n">
        <v>0</v>
      </c>
      <c r="P6012" s="183" t="n">
        <v>0</v>
      </c>
      <c r="Q6012" s="184" t="n">
        <v>0</v>
      </c>
      <c r="R6012" s="184" t="n">
        <v>0</v>
      </c>
      <c r="S6012" s="183" t="n">
        <v>0</v>
      </c>
      <c r="T6012" s="183" t="n">
        <v>0</v>
      </c>
      <c r="U6012" s="182" t="n">
        <v>0</v>
      </c>
      <c r="V6012" s="182" t="n">
        <v>0</v>
      </c>
      <c r="W6012" s="182" t="n">
        <v>0</v>
      </c>
      <c r="X6012" s="182" t="n">
        <v>0</v>
      </c>
      <c r="Y6012" s="182" t="n">
        <v>0</v>
      </c>
      <c r="Z6012" s="182" t="n">
        <v>0</v>
      </c>
      <c r="AA6012" s="182" t="n">
        <v>0</v>
      </c>
      <c r="AB6012" s="182" t="n">
        <v>0</v>
      </c>
      <c r="AC6012" s="182" t="n">
        <v>0</v>
      </c>
      <c r="AD6012" s="182" t="n">
        <v>0</v>
      </c>
      <c r="AE6012" s="182" t="n">
        <v>0</v>
      </c>
      <c r="AF6012" s="182" t="n">
        <v>0</v>
      </c>
      <c r="AG6012" s="182" t="n">
        <v>0</v>
      </c>
      <c r="AH6012" s="182" t="n">
        <v>0</v>
      </c>
      <c r="AI6012" s="182" t="n">
        <v>0</v>
      </c>
      <c r="AJ6012" s="182" t="n">
        <v>0</v>
      </c>
      <c r="AK6012" s="182" t="n">
        <v>0</v>
      </c>
      <c r="AL6012" s="182" t="n">
        <v>0</v>
      </c>
      <c r="AM6012" s="182" t="n">
        <v>0</v>
      </c>
      <c r="AN6012" s="182" t="n">
        <v>0</v>
      </c>
    </row>
    <row r="6013">
      <c r="A6013" s="155" t="n">
        <v>46109</v>
      </c>
      <c r="B6013" s="156" t="inlineStr">
        <is>
          <t>DS</t>
        </is>
      </c>
      <c r="C6013" s="156" t="inlineStr">
        <is>
          <t>DT-503</t>
        </is>
      </c>
      <c r="D6013" s="156" t="inlineStr">
        <is>
          <t>SKT 105S</t>
        </is>
      </c>
      <c r="E6013" s="156" t="inlineStr">
        <is>
          <t>Hauler</t>
        </is>
      </c>
      <c r="F6013" s="156" t="inlineStr">
        <is>
          <t>Hauling OB</t>
        </is>
      </c>
      <c r="G6013" s="182" t="n">
        <v>4.71</v>
      </c>
      <c r="H6013" s="182" t="n">
        <v>0</v>
      </c>
      <c r="I6013" s="182" t="n">
        <v>0</v>
      </c>
      <c r="J6013" s="182" t="n">
        <v>0</v>
      </c>
      <c r="K6013" s="182" t="n">
        <v>7.29</v>
      </c>
      <c r="L6013" s="182" t="n">
        <v>12</v>
      </c>
      <c r="M6013" s="182" t="n">
        <v>4.71</v>
      </c>
      <c r="N6013" s="182" t="n">
        <v>0</v>
      </c>
      <c r="O6013" s="183" t="n">
        <v>25</v>
      </c>
      <c r="P6013" s="183" t="n">
        <v>0</v>
      </c>
      <c r="Q6013" s="184" t="n">
        <v>510</v>
      </c>
      <c r="R6013" s="184" t="n">
        <v>0</v>
      </c>
      <c r="S6013" s="183" t="n">
        <v>0</v>
      </c>
      <c r="T6013" s="183" t="n">
        <v>0</v>
      </c>
      <c r="U6013" s="182" t="n">
        <v>4.22</v>
      </c>
      <c r="V6013" s="182" t="n">
        <v>0.6899999999999999</v>
      </c>
      <c r="W6013" s="182" t="n">
        <v>0</v>
      </c>
      <c r="X6013" s="182" t="n">
        <v>0.99</v>
      </c>
      <c r="Y6013" s="182" t="n">
        <v>0</v>
      </c>
      <c r="Z6013" s="182" t="n">
        <v>0</v>
      </c>
      <c r="AA6013" s="182" t="n">
        <v>0</v>
      </c>
      <c r="AB6013" s="182" t="n">
        <v>0.99</v>
      </c>
      <c r="AC6013" s="182" t="n">
        <v>0</v>
      </c>
      <c r="AD6013" s="182" t="n">
        <v>0</v>
      </c>
      <c r="AE6013" s="182" t="n">
        <v>0</v>
      </c>
      <c r="AF6013" s="182" t="n">
        <v>0</v>
      </c>
      <c r="AG6013" s="182" t="n">
        <v>0</v>
      </c>
      <c r="AH6013" s="182" t="n">
        <v>0.33</v>
      </c>
      <c r="AI6013" s="182" t="n">
        <v>0</v>
      </c>
      <c r="AJ6013" s="182" t="n">
        <v>0</v>
      </c>
      <c r="AK6013" s="182" t="n">
        <v>0</v>
      </c>
      <c r="AL6013" s="182" t="n">
        <v>0</v>
      </c>
      <c r="AM6013" s="182" t="n">
        <v>0.08</v>
      </c>
      <c r="AN6013" s="182" t="n">
        <v>0</v>
      </c>
    </row>
    <row r="6014">
      <c r="A6014" s="155" t="n">
        <v>46109</v>
      </c>
      <c r="B6014" s="156" t="inlineStr">
        <is>
          <t>DS</t>
        </is>
      </c>
      <c r="C6014" s="156" t="inlineStr">
        <is>
          <t>DT-504</t>
        </is>
      </c>
      <c r="D6014" s="156" t="inlineStr">
        <is>
          <t>SKT 105S</t>
        </is>
      </c>
      <c r="E6014" s="156" t="inlineStr">
        <is>
          <t>Hauler</t>
        </is>
      </c>
      <c r="F6014" s="156" t="inlineStr">
        <is>
          <t>Hauling OB</t>
        </is>
      </c>
      <c r="G6014" s="182" t="n">
        <v>0.5</v>
      </c>
      <c r="H6014" s="182" t="n">
        <v>0</v>
      </c>
      <c r="I6014" s="182" t="n">
        <v>2.5</v>
      </c>
      <c r="J6014" s="182" t="n">
        <v>2.5</v>
      </c>
      <c r="K6014" s="182" t="n">
        <v>9</v>
      </c>
      <c r="L6014" s="182" t="n">
        <v>12</v>
      </c>
      <c r="M6014" s="182" t="n">
        <v>0.5</v>
      </c>
      <c r="N6014" s="182" t="n">
        <v>0</v>
      </c>
      <c r="O6014" s="183" t="n">
        <v>2</v>
      </c>
      <c r="P6014" s="183" t="n">
        <v>0</v>
      </c>
      <c r="Q6014" s="184" t="n">
        <v>40.8</v>
      </c>
      <c r="R6014" s="184" t="n">
        <v>0</v>
      </c>
      <c r="S6014" s="183" t="n">
        <v>0</v>
      </c>
      <c r="T6014" s="183" t="n">
        <v>0</v>
      </c>
      <c r="U6014" s="182" t="n">
        <v>4.28</v>
      </c>
      <c r="V6014" s="182" t="n">
        <v>2</v>
      </c>
      <c r="W6014" s="182" t="n">
        <v>0</v>
      </c>
      <c r="X6014" s="182" t="n">
        <v>1</v>
      </c>
      <c r="Y6014" s="182" t="n">
        <v>0</v>
      </c>
      <c r="Z6014" s="182" t="n">
        <v>0</v>
      </c>
      <c r="AA6014" s="182" t="n">
        <v>0</v>
      </c>
      <c r="AB6014" s="182" t="n">
        <v>1</v>
      </c>
      <c r="AC6014" s="182" t="n">
        <v>0</v>
      </c>
      <c r="AD6014" s="182" t="n">
        <v>0</v>
      </c>
      <c r="AE6014" s="182" t="n">
        <v>0</v>
      </c>
      <c r="AF6014" s="182" t="n">
        <v>0</v>
      </c>
      <c r="AG6014" s="182" t="n">
        <v>0</v>
      </c>
      <c r="AH6014" s="182" t="n">
        <v>0.64</v>
      </c>
      <c r="AI6014" s="182" t="n">
        <v>0</v>
      </c>
      <c r="AJ6014" s="182" t="n">
        <v>0</v>
      </c>
      <c r="AK6014" s="182" t="n">
        <v>0</v>
      </c>
      <c r="AL6014" s="182" t="n">
        <v>0</v>
      </c>
      <c r="AM6014" s="182" t="n">
        <v>0.08</v>
      </c>
      <c r="AN6014" s="182" t="n">
        <v>0</v>
      </c>
    </row>
    <row r="6015">
      <c r="A6015" s="155" t="n">
        <v>46109</v>
      </c>
      <c r="B6015" s="156" t="inlineStr">
        <is>
          <t>DS</t>
        </is>
      </c>
      <c r="C6015" s="156" t="inlineStr">
        <is>
          <t>DT-507</t>
        </is>
      </c>
      <c r="D6015" s="156" t="inlineStr">
        <is>
          <t>SKT 105S</t>
        </is>
      </c>
      <c r="E6015" s="156" t="inlineStr">
        <is>
          <t>Hauler</t>
        </is>
      </c>
      <c r="F6015" s="156" t="inlineStr"/>
      <c r="G6015" s="182" t="n">
        <v>0</v>
      </c>
      <c r="H6015" s="182" t="n">
        <v>0</v>
      </c>
      <c r="I6015" s="182" t="n">
        <v>9.93</v>
      </c>
      <c r="J6015" s="182" t="n">
        <v>9.93</v>
      </c>
      <c r="K6015" s="182" t="n">
        <v>2.07</v>
      </c>
      <c r="L6015" s="182" t="n">
        <v>12</v>
      </c>
      <c r="M6015" s="182" t="n">
        <v>0</v>
      </c>
      <c r="N6015" s="182" t="n">
        <v>0</v>
      </c>
      <c r="O6015" s="183" t="n">
        <v>0</v>
      </c>
      <c r="P6015" s="183" t="n">
        <v>0</v>
      </c>
      <c r="Q6015" s="184" t="n">
        <v>0</v>
      </c>
      <c r="R6015" s="184" t="n">
        <v>0</v>
      </c>
      <c r="S6015" s="183" t="n">
        <v>0</v>
      </c>
      <c r="T6015" s="183" t="n">
        <v>0</v>
      </c>
      <c r="U6015" s="182" t="n">
        <v>0</v>
      </c>
      <c r="V6015" s="182" t="n">
        <v>0</v>
      </c>
      <c r="W6015" s="182" t="n">
        <v>0</v>
      </c>
      <c r="X6015" s="182" t="n">
        <v>0.98</v>
      </c>
      <c r="Y6015" s="182" t="n">
        <v>0</v>
      </c>
      <c r="Z6015" s="182" t="n">
        <v>0</v>
      </c>
      <c r="AA6015" s="182" t="n">
        <v>0</v>
      </c>
      <c r="AB6015" s="182" t="n">
        <v>1</v>
      </c>
      <c r="AC6015" s="182" t="n">
        <v>0</v>
      </c>
      <c r="AD6015" s="182" t="n">
        <v>0</v>
      </c>
      <c r="AE6015" s="182" t="n">
        <v>0</v>
      </c>
      <c r="AF6015" s="182" t="n">
        <v>0</v>
      </c>
      <c r="AG6015" s="182" t="n">
        <v>0</v>
      </c>
      <c r="AH6015" s="182" t="n">
        <v>0</v>
      </c>
      <c r="AI6015" s="182" t="n">
        <v>0</v>
      </c>
      <c r="AJ6015" s="182" t="n">
        <v>0</v>
      </c>
      <c r="AK6015" s="182" t="n">
        <v>0</v>
      </c>
      <c r="AL6015" s="182" t="n">
        <v>0</v>
      </c>
      <c r="AM6015" s="182" t="n">
        <v>0.08</v>
      </c>
      <c r="AN6015" s="182" t="n">
        <v>0</v>
      </c>
    </row>
    <row r="6016">
      <c r="A6016" s="155" t="n">
        <v>46109</v>
      </c>
      <c r="B6016" s="156" t="inlineStr">
        <is>
          <t>DS</t>
        </is>
      </c>
      <c r="C6016" s="156" t="inlineStr">
        <is>
          <t>DT-501</t>
        </is>
      </c>
      <c r="D6016" s="156" t="inlineStr">
        <is>
          <t>SKT 105S</t>
        </is>
      </c>
      <c r="E6016" s="156" t="inlineStr">
        <is>
          <t>Hauler</t>
        </is>
      </c>
      <c r="F6016" s="156" t="inlineStr">
        <is>
          <t>Hauling OB</t>
        </is>
      </c>
      <c r="G6016" s="182" t="n">
        <v>1.47</v>
      </c>
      <c r="H6016" s="182" t="n">
        <v>0</v>
      </c>
      <c r="I6016" s="182" t="n">
        <v>0</v>
      </c>
      <c r="J6016" s="182" t="n">
        <v>0</v>
      </c>
      <c r="K6016" s="182" t="n">
        <v>10.53</v>
      </c>
      <c r="L6016" s="182" t="n">
        <v>12</v>
      </c>
      <c r="M6016" s="182" t="n">
        <v>1.47</v>
      </c>
      <c r="N6016" s="182" t="n">
        <v>0</v>
      </c>
      <c r="O6016" s="183" t="n">
        <v>3</v>
      </c>
      <c r="P6016" s="183" t="n">
        <v>0</v>
      </c>
      <c r="Q6016" s="184" t="n">
        <v>61.2</v>
      </c>
      <c r="R6016" s="184" t="n">
        <v>0</v>
      </c>
      <c r="S6016" s="183" t="n">
        <v>0</v>
      </c>
      <c r="T6016" s="183" t="n">
        <v>0</v>
      </c>
      <c r="U6016" s="182" t="n">
        <v>4.29</v>
      </c>
      <c r="V6016" s="182" t="n">
        <v>3.01</v>
      </c>
      <c r="W6016" s="182" t="n">
        <v>0</v>
      </c>
      <c r="X6016" s="182" t="n">
        <v>1</v>
      </c>
      <c r="Y6016" s="182" t="n">
        <v>0</v>
      </c>
      <c r="Z6016" s="182" t="n">
        <v>0</v>
      </c>
      <c r="AA6016" s="182" t="n">
        <v>0</v>
      </c>
      <c r="AB6016" s="182" t="n">
        <v>1</v>
      </c>
      <c r="AC6016" s="182" t="n">
        <v>0</v>
      </c>
      <c r="AD6016" s="182" t="n">
        <v>0</v>
      </c>
      <c r="AE6016" s="182" t="n">
        <v>0</v>
      </c>
      <c r="AF6016" s="182" t="n">
        <v>0</v>
      </c>
      <c r="AG6016" s="182" t="n">
        <v>0.6</v>
      </c>
      <c r="AH6016" s="182" t="n">
        <v>0.54</v>
      </c>
      <c r="AI6016" s="182" t="n">
        <v>0</v>
      </c>
      <c r="AJ6016" s="182" t="n">
        <v>0</v>
      </c>
      <c r="AK6016" s="182" t="n">
        <v>0</v>
      </c>
      <c r="AL6016" s="182" t="n">
        <v>0</v>
      </c>
      <c r="AM6016" s="182" t="n">
        <v>0.08</v>
      </c>
      <c r="AN6016" s="182" t="n">
        <v>0</v>
      </c>
    </row>
    <row r="6017">
      <c r="A6017" s="155" t="n">
        <v>46109</v>
      </c>
      <c r="B6017" s="156" t="inlineStr">
        <is>
          <t>DS</t>
        </is>
      </c>
      <c r="C6017" s="156" t="inlineStr">
        <is>
          <t>DT-518</t>
        </is>
      </c>
      <c r="D6017" s="156" t="inlineStr">
        <is>
          <t>SKT 105S</t>
        </is>
      </c>
      <c r="E6017" s="156" t="inlineStr">
        <is>
          <t>Hauler</t>
        </is>
      </c>
      <c r="F6017" s="156" t="inlineStr"/>
      <c r="G6017" s="182" t="n">
        <v>0</v>
      </c>
      <c r="H6017" s="182" t="n">
        <v>0</v>
      </c>
      <c r="I6017" s="182" t="n">
        <v>12</v>
      </c>
      <c r="J6017" s="182" t="n">
        <v>12</v>
      </c>
      <c r="K6017" s="182" t="n">
        <v>0</v>
      </c>
      <c r="L6017" s="182" t="n">
        <v>12</v>
      </c>
      <c r="M6017" s="182" t="n">
        <v>0</v>
      </c>
      <c r="N6017" s="182" t="n">
        <v>0</v>
      </c>
      <c r="O6017" s="183" t="n">
        <v>0</v>
      </c>
      <c r="P6017" s="183" t="n">
        <v>0</v>
      </c>
      <c r="Q6017" s="184" t="n">
        <v>0</v>
      </c>
      <c r="R6017" s="184" t="n">
        <v>0</v>
      </c>
      <c r="S6017" s="183" t="n">
        <v>0</v>
      </c>
      <c r="T6017" s="183" t="n">
        <v>0</v>
      </c>
      <c r="U6017" s="182" t="n">
        <v>0</v>
      </c>
      <c r="V6017" s="182" t="n">
        <v>0</v>
      </c>
      <c r="W6017" s="182" t="n">
        <v>0</v>
      </c>
      <c r="X6017" s="182" t="n">
        <v>0</v>
      </c>
      <c r="Y6017" s="182" t="n">
        <v>0</v>
      </c>
      <c r="Z6017" s="182" t="n">
        <v>0</v>
      </c>
      <c r="AA6017" s="182" t="n">
        <v>0</v>
      </c>
      <c r="AB6017" s="182" t="n">
        <v>0</v>
      </c>
      <c r="AC6017" s="182" t="n">
        <v>0</v>
      </c>
      <c r="AD6017" s="182" t="n">
        <v>0</v>
      </c>
      <c r="AE6017" s="182" t="n">
        <v>0</v>
      </c>
      <c r="AF6017" s="182" t="n">
        <v>0</v>
      </c>
      <c r="AG6017" s="182" t="n">
        <v>0</v>
      </c>
      <c r="AH6017" s="182" t="n">
        <v>0</v>
      </c>
      <c r="AI6017" s="182" t="n">
        <v>0</v>
      </c>
      <c r="AJ6017" s="182" t="n">
        <v>0</v>
      </c>
      <c r="AK6017" s="182" t="n">
        <v>0</v>
      </c>
      <c r="AL6017" s="182" t="n">
        <v>0</v>
      </c>
      <c r="AM6017" s="182" t="n">
        <v>0</v>
      </c>
      <c r="AN6017" s="182" t="n">
        <v>0</v>
      </c>
    </row>
    <row r="6018">
      <c r="A6018" s="155" t="n">
        <v>46109</v>
      </c>
      <c r="B6018" s="156" t="inlineStr">
        <is>
          <t>DS</t>
        </is>
      </c>
      <c r="C6018" s="156" t="inlineStr">
        <is>
          <t>DT-514</t>
        </is>
      </c>
      <c r="D6018" s="156" t="inlineStr">
        <is>
          <t>SKT 105S</t>
        </is>
      </c>
      <c r="E6018" s="156" t="inlineStr">
        <is>
          <t>Hauler</t>
        </is>
      </c>
      <c r="F6018" s="156" t="inlineStr"/>
      <c r="G6018" s="182" t="n">
        <v>0</v>
      </c>
      <c r="H6018" s="182" t="n">
        <v>0</v>
      </c>
      <c r="I6018" s="182" t="n">
        <v>12</v>
      </c>
      <c r="J6018" s="182" t="n">
        <v>12</v>
      </c>
      <c r="K6018" s="182" t="n">
        <v>0</v>
      </c>
      <c r="L6018" s="182" t="n">
        <v>12</v>
      </c>
      <c r="M6018" s="182" t="n">
        <v>0</v>
      </c>
      <c r="N6018" s="182" t="n">
        <v>0</v>
      </c>
      <c r="O6018" s="183" t="n">
        <v>0</v>
      </c>
      <c r="P6018" s="183" t="n">
        <v>0</v>
      </c>
      <c r="Q6018" s="184" t="n">
        <v>0</v>
      </c>
      <c r="R6018" s="184" t="n">
        <v>0</v>
      </c>
      <c r="S6018" s="183" t="n">
        <v>0</v>
      </c>
      <c r="T6018" s="183" t="n">
        <v>0</v>
      </c>
      <c r="U6018" s="182" t="n">
        <v>0</v>
      </c>
      <c r="V6018" s="182" t="n">
        <v>0</v>
      </c>
      <c r="W6018" s="182" t="n">
        <v>0</v>
      </c>
      <c r="X6018" s="182" t="n">
        <v>0</v>
      </c>
      <c r="Y6018" s="182" t="n">
        <v>0</v>
      </c>
      <c r="Z6018" s="182" t="n">
        <v>0</v>
      </c>
      <c r="AA6018" s="182" t="n">
        <v>0</v>
      </c>
      <c r="AB6018" s="182" t="n">
        <v>0</v>
      </c>
      <c r="AC6018" s="182" t="n">
        <v>0</v>
      </c>
      <c r="AD6018" s="182" t="n">
        <v>0</v>
      </c>
      <c r="AE6018" s="182" t="n">
        <v>0</v>
      </c>
      <c r="AF6018" s="182" t="n">
        <v>0</v>
      </c>
      <c r="AG6018" s="182" t="n">
        <v>0</v>
      </c>
      <c r="AH6018" s="182" t="n">
        <v>0</v>
      </c>
      <c r="AI6018" s="182" t="n">
        <v>0</v>
      </c>
      <c r="AJ6018" s="182" t="n">
        <v>0</v>
      </c>
      <c r="AK6018" s="182" t="n">
        <v>0</v>
      </c>
      <c r="AL6018" s="182" t="n">
        <v>0</v>
      </c>
      <c r="AM6018" s="182" t="n">
        <v>0</v>
      </c>
      <c r="AN6018" s="182" t="n">
        <v>0</v>
      </c>
    </row>
    <row r="6019">
      <c r="A6019" s="155" t="n">
        <v>46109</v>
      </c>
      <c r="B6019" s="156" t="inlineStr">
        <is>
          <t>DS</t>
        </is>
      </c>
      <c r="C6019" s="156" t="inlineStr">
        <is>
          <t>DT-523</t>
        </is>
      </c>
      <c r="D6019" s="156" t="inlineStr">
        <is>
          <t>SKT 105S</t>
        </is>
      </c>
      <c r="E6019" s="156" t="inlineStr">
        <is>
          <t>Hauler</t>
        </is>
      </c>
      <c r="F6019" s="156" t="inlineStr">
        <is>
          <t>Hauling OB</t>
        </is>
      </c>
      <c r="G6019" s="182" t="n">
        <v>4.56</v>
      </c>
      <c r="H6019" s="182" t="n">
        <v>0</v>
      </c>
      <c r="I6019" s="182" t="n">
        <v>0</v>
      </c>
      <c r="J6019" s="182" t="n">
        <v>0</v>
      </c>
      <c r="K6019" s="182" t="n">
        <v>7.44</v>
      </c>
      <c r="L6019" s="182" t="n">
        <v>12</v>
      </c>
      <c r="M6019" s="182" t="n">
        <v>4.56</v>
      </c>
      <c r="N6019" s="182" t="n">
        <v>0</v>
      </c>
      <c r="O6019" s="183" t="n">
        <v>14</v>
      </c>
      <c r="P6019" s="183" t="n">
        <v>0</v>
      </c>
      <c r="Q6019" s="184" t="n">
        <v>285.6</v>
      </c>
      <c r="R6019" s="184" t="n">
        <v>0</v>
      </c>
      <c r="S6019" s="183" t="n">
        <v>0</v>
      </c>
      <c r="T6019" s="183" t="n">
        <v>0</v>
      </c>
      <c r="U6019" s="182" t="n">
        <v>4.19</v>
      </c>
      <c r="V6019" s="182" t="n">
        <v>0.88</v>
      </c>
      <c r="W6019" s="182" t="n">
        <v>0</v>
      </c>
      <c r="X6019" s="182" t="n">
        <v>0.98</v>
      </c>
      <c r="Y6019" s="182" t="n">
        <v>0</v>
      </c>
      <c r="Z6019" s="182" t="n">
        <v>0</v>
      </c>
      <c r="AA6019" s="182" t="n">
        <v>0</v>
      </c>
      <c r="AB6019" s="182" t="n">
        <v>0.98</v>
      </c>
      <c r="AC6019" s="182" t="n">
        <v>0</v>
      </c>
      <c r="AD6019" s="182" t="n">
        <v>0</v>
      </c>
      <c r="AE6019" s="182" t="n">
        <v>0</v>
      </c>
      <c r="AF6019" s="182" t="n">
        <v>0</v>
      </c>
      <c r="AG6019" s="182" t="n">
        <v>0</v>
      </c>
      <c r="AH6019" s="182" t="n">
        <v>0.33</v>
      </c>
      <c r="AI6019" s="182" t="n">
        <v>0</v>
      </c>
      <c r="AJ6019" s="182" t="n">
        <v>0</v>
      </c>
      <c r="AK6019" s="182" t="n">
        <v>0</v>
      </c>
      <c r="AL6019" s="182" t="n">
        <v>0</v>
      </c>
      <c r="AM6019" s="182" t="n">
        <v>0.08</v>
      </c>
      <c r="AN6019" s="182" t="n">
        <v>0</v>
      </c>
    </row>
    <row r="6020">
      <c r="A6020" s="155" t="n">
        <v>46109</v>
      </c>
      <c r="B6020" s="156" t="inlineStr">
        <is>
          <t>DS</t>
        </is>
      </c>
      <c r="C6020" s="156" t="inlineStr">
        <is>
          <t>DT-519</t>
        </is>
      </c>
      <c r="D6020" s="156" t="inlineStr">
        <is>
          <t>SKT 105S</t>
        </is>
      </c>
      <c r="E6020" s="156" t="inlineStr">
        <is>
          <t>Hauler</t>
        </is>
      </c>
      <c r="F6020" s="156" t="inlineStr"/>
      <c r="G6020" s="182" t="n">
        <v>0</v>
      </c>
      <c r="H6020" s="182" t="n">
        <v>0</v>
      </c>
      <c r="I6020" s="182" t="n">
        <v>0</v>
      </c>
      <c r="J6020" s="182" t="n">
        <v>0</v>
      </c>
      <c r="K6020" s="182" t="n">
        <v>12</v>
      </c>
      <c r="L6020" s="182" t="n">
        <v>12</v>
      </c>
      <c r="M6020" s="182" t="n">
        <v>0</v>
      </c>
      <c r="N6020" s="182" t="n">
        <v>0</v>
      </c>
      <c r="O6020" s="183" t="n">
        <v>0</v>
      </c>
      <c r="P6020" s="183" t="n">
        <v>0</v>
      </c>
      <c r="Q6020" s="184" t="n">
        <v>0</v>
      </c>
      <c r="R6020" s="184" t="n">
        <v>0</v>
      </c>
      <c r="S6020" s="183" t="n">
        <v>0</v>
      </c>
      <c r="T6020" s="183" t="n">
        <v>0</v>
      </c>
      <c r="U6020" s="182" t="n">
        <v>0</v>
      </c>
      <c r="V6020" s="182" t="n">
        <v>0</v>
      </c>
      <c r="W6020" s="182" t="n">
        <v>0</v>
      </c>
      <c r="X6020" s="182" t="n">
        <v>1</v>
      </c>
      <c r="Y6020" s="182" t="n">
        <v>0</v>
      </c>
      <c r="Z6020" s="182" t="n">
        <v>0</v>
      </c>
      <c r="AA6020" s="182" t="n">
        <v>0</v>
      </c>
      <c r="AB6020" s="182" t="n">
        <v>1</v>
      </c>
      <c r="AC6020" s="182" t="n">
        <v>0</v>
      </c>
      <c r="AD6020" s="182" t="n">
        <v>0</v>
      </c>
      <c r="AE6020" s="182" t="n">
        <v>0</v>
      </c>
      <c r="AF6020" s="182" t="n">
        <v>0</v>
      </c>
      <c r="AG6020" s="182" t="n">
        <v>0</v>
      </c>
      <c r="AH6020" s="182" t="n">
        <v>0</v>
      </c>
      <c r="AI6020" s="182" t="n">
        <v>9.92</v>
      </c>
      <c r="AJ6020" s="182" t="n">
        <v>0</v>
      </c>
      <c r="AK6020" s="182" t="n">
        <v>0</v>
      </c>
      <c r="AL6020" s="182" t="n">
        <v>0</v>
      </c>
      <c r="AM6020" s="182" t="n">
        <v>0.08</v>
      </c>
      <c r="AN6020" s="182" t="n">
        <v>0</v>
      </c>
    </row>
    <row r="6021">
      <c r="A6021" s="155" t="n">
        <v>46109</v>
      </c>
      <c r="B6021" s="156" t="inlineStr">
        <is>
          <t>DS</t>
        </is>
      </c>
      <c r="C6021" s="156" t="inlineStr">
        <is>
          <t>DT-527</t>
        </is>
      </c>
      <c r="D6021" s="156" t="inlineStr">
        <is>
          <t>SKT 105S</t>
        </is>
      </c>
      <c r="E6021" s="156" t="inlineStr">
        <is>
          <t>Hauler</t>
        </is>
      </c>
      <c r="F6021" s="156" t="inlineStr">
        <is>
          <t>Hauling OB &amp; Coal</t>
        </is>
      </c>
      <c r="G6021" s="182" t="n">
        <v>2.71</v>
      </c>
      <c r="H6021" s="182" t="n">
        <v>0</v>
      </c>
      <c r="I6021" s="182" t="n">
        <v>0</v>
      </c>
      <c r="J6021" s="182" t="n">
        <v>0</v>
      </c>
      <c r="K6021" s="182" t="n">
        <v>9.289999999999999</v>
      </c>
      <c r="L6021" s="182" t="n">
        <v>12</v>
      </c>
      <c r="M6021" s="182" t="n">
        <v>2.38</v>
      </c>
      <c r="N6021" s="182" t="n">
        <v>0.33</v>
      </c>
      <c r="O6021" s="183" t="n">
        <v>6</v>
      </c>
      <c r="P6021" s="183" t="n">
        <v>1</v>
      </c>
      <c r="Q6021" s="184" t="n">
        <v>122.4</v>
      </c>
      <c r="R6021" s="184" t="n">
        <v>18.7</v>
      </c>
      <c r="S6021" s="183" t="n">
        <v>0</v>
      </c>
      <c r="T6021" s="183" t="n">
        <v>0</v>
      </c>
      <c r="U6021" s="182" t="n">
        <v>4.28</v>
      </c>
      <c r="V6021" s="182" t="n">
        <v>2.94</v>
      </c>
      <c r="W6021" s="182" t="n">
        <v>0</v>
      </c>
      <c r="X6021" s="182" t="n">
        <v>1</v>
      </c>
      <c r="Y6021" s="182" t="n">
        <v>0</v>
      </c>
      <c r="Z6021" s="182" t="n">
        <v>0</v>
      </c>
      <c r="AA6021" s="182" t="n">
        <v>0</v>
      </c>
      <c r="AB6021" s="182" t="n">
        <v>1</v>
      </c>
      <c r="AC6021" s="182" t="n">
        <v>0</v>
      </c>
      <c r="AD6021" s="182" t="n">
        <v>0</v>
      </c>
      <c r="AE6021" s="182" t="n">
        <v>0</v>
      </c>
      <c r="AF6021" s="182" t="n">
        <v>0</v>
      </c>
      <c r="AG6021" s="182" t="n">
        <v>0</v>
      </c>
      <c r="AH6021" s="182" t="n">
        <v>0</v>
      </c>
      <c r="AI6021" s="182" t="n">
        <v>0</v>
      </c>
      <c r="AJ6021" s="182" t="n">
        <v>0</v>
      </c>
      <c r="AK6021" s="182" t="n">
        <v>0</v>
      </c>
      <c r="AL6021" s="182" t="n">
        <v>0</v>
      </c>
      <c r="AM6021" s="182" t="n">
        <v>0.08</v>
      </c>
      <c r="AN6021" s="182" t="n">
        <v>0</v>
      </c>
    </row>
    <row r="6022">
      <c r="A6022" s="155" t="n">
        <v>46109</v>
      </c>
      <c r="B6022" s="156" t="inlineStr">
        <is>
          <t>DS</t>
        </is>
      </c>
      <c r="C6022" s="156" t="inlineStr">
        <is>
          <t>DT-513</t>
        </is>
      </c>
      <c r="D6022" s="156" t="inlineStr">
        <is>
          <t>SKT 105S</t>
        </is>
      </c>
      <c r="E6022" s="156" t="inlineStr">
        <is>
          <t>Hauler</t>
        </is>
      </c>
      <c r="F6022" s="156" t="inlineStr">
        <is>
          <t>Hauling OB</t>
        </is>
      </c>
      <c r="G6022" s="182" t="n">
        <v>4.18</v>
      </c>
      <c r="H6022" s="182" t="n">
        <v>0</v>
      </c>
      <c r="I6022" s="182" t="n">
        <v>0</v>
      </c>
      <c r="J6022" s="182" t="n">
        <v>0</v>
      </c>
      <c r="K6022" s="182" t="n">
        <v>7.82</v>
      </c>
      <c r="L6022" s="182" t="n">
        <v>12</v>
      </c>
      <c r="M6022" s="182" t="n">
        <v>4.18</v>
      </c>
      <c r="N6022" s="182" t="n">
        <v>0</v>
      </c>
      <c r="O6022" s="183" t="n">
        <v>15</v>
      </c>
      <c r="P6022" s="183" t="n">
        <v>0</v>
      </c>
      <c r="Q6022" s="184" t="n">
        <v>306</v>
      </c>
      <c r="R6022" s="184" t="n">
        <v>0</v>
      </c>
      <c r="S6022" s="183" t="n">
        <v>0</v>
      </c>
      <c r="T6022" s="183" t="n">
        <v>0</v>
      </c>
      <c r="U6022" s="182" t="n">
        <v>4.4</v>
      </c>
      <c r="V6022" s="182" t="n">
        <v>0.91</v>
      </c>
      <c r="W6022" s="182" t="n">
        <v>0</v>
      </c>
      <c r="X6022" s="182" t="n">
        <v>1.03</v>
      </c>
      <c r="Y6022" s="182" t="n">
        <v>0</v>
      </c>
      <c r="Z6022" s="182" t="n">
        <v>0</v>
      </c>
      <c r="AA6022" s="182" t="n">
        <v>0</v>
      </c>
      <c r="AB6022" s="182" t="n">
        <v>1.03</v>
      </c>
      <c r="AC6022" s="182" t="n">
        <v>0</v>
      </c>
      <c r="AD6022" s="182" t="n">
        <v>0</v>
      </c>
      <c r="AE6022" s="182" t="n">
        <v>0</v>
      </c>
      <c r="AF6022" s="182" t="n">
        <v>0</v>
      </c>
      <c r="AG6022" s="182" t="n">
        <v>0</v>
      </c>
      <c r="AH6022" s="182" t="n">
        <v>0.36</v>
      </c>
      <c r="AI6022" s="182" t="n">
        <v>0</v>
      </c>
      <c r="AJ6022" s="182" t="n">
        <v>0</v>
      </c>
      <c r="AK6022" s="182" t="n">
        <v>0</v>
      </c>
      <c r="AL6022" s="182" t="n">
        <v>0</v>
      </c>
      <c r="AM6022" s="182" t="n">
        <v>0.08</v>
      </c>
      <c r="AN6022" s="182" t="n">
        <v>0</v>
      </c>
    </row>
    <row r="6023">
      <c r="A6023" s="155" t="n">
        <v>46109</v>
      </c>
      <c r="B6023" s="156" t="inlineStr">
        <is>
          <t>DS</t>
        </is>
      </c>
      <c r="C6023" s="156" t="inlineStr">
        <is>
          <t>DT-512</t>
        </is>
      </c>
      <c r="D6023" s="156" t="inlineStr">
        <is>
          <t>SKT 105S</t>
        </is>
      </c>
      <c r="E6023" s="156" t="inlineStr">
        <is>
          <t>Hauler</t>
        </is>
      </c>
      <c r="F6023" s="156" t="inlineStr">
        <is>
          <t>Hauling OB</t>
        </is>
      </c>
      <c r="G6023" s="182" t="n">
        <v>4.62</v>
      </c>
      <c r="H6023" s="182" t="n">
        <v>0</v>
      </c>
      <c r="I6023" s="182" t="n">
        <v>0</v>
      </c>
      <c r="J6023" s="182" t="n">
        <v>0</v>
      </c>
      <c r="K6023" s="182" t="n">
        <v>7.38</v>
      </c>
      <c r="L6023" s="182" t="n">
        <v>12</v>
      </c>
      <c r="M6023" s="182" t="n">
        <v>4.62</v>
      </c>
      <c r="N6023" s="182" t="n">
        <v>0</v>
      </c>
      <c r="O6023" s="183" t="n">
        <v>13</v>
      </c>
      <c r="P6023" s="183" t="n">
        <v>0</v>
      </c>
      <c r="Q6023" s="184" t="n">
        <v>265.2</v>
      </c>
      <c r="R6023" s="184" t="n">
        <v>0</v>
      </c>
      <c r="S6023" s="183" t="n">
        <v>0</v>
      </c>
      <c r="T6023" s="183" t="n">
        <v>0</v>
      </c>
      <c r="U6023" s="182" t="n">
        <v>4.33</v>
      </c>
      <c r="V6023" s="182" t="n">
        <v>0.8100000000000001</v>
      </c>
      <c r="W6023" s="182" t="n">
        <v>0</v>
      </c>
      <c r="X6023" s="182" t="n">
        <v>1.01</v>
      </c>
      <c r="Y6023" s="182" t="n">
        <v>0</v>
      </c>
      <c r="Z6023" s="182" t="n">
        <v>0</v>
      </c>
      <c r="AA6023" s="182" t="n">
        <v>0</v>
      </c>
      <c r="AB6023" s="182" t="n">
        <v>1.01</v>
      </c>
      <c r="AC6023" s="182" t="n">
        <v>0</v>
      </c>
      <c r="AD6023" s="182" t="n">
        <v>0</v>
      </c>
      <c r="AE6023" s="182" t="n">
        <v>0</v>
      </c>
      <c r="AF6023" s="182" t="n">
        <v>0</v>
      </c>
      <c r="AG6023" s="182" t="n">
        <v>0</v>
      </c>
      <c r="AH6023" s="182" t="n">
        <v>0.14</v>
      </c>
      <c r="AI6023" s="182" t="n">
        <v>0</v>
      </c>
      <c r="AJ6023" s="182" t="n">
        <v>0</v>
      </c>
      <c r="AK6023" s="182" t="n">
        <v>0</v>
      </c>
      <c r="AL6023" s="182" t="n">
        <v>0</v>
      </c>
      <c r="AM6023" s="182" t="n">
        <v>0.08</v>
      </c>
      <c r="AN6023" s="182" t="n">
        <v>0</v>
      </c>
    </row>
    <row r="6024">
      <c r="A6024" s="155" t="n">
        <v>46109</v>
      </c>
      <c r="B6024" s="156" t="inlineStr">
        <is>
          <t>DS</t>
        </is>
      </c>
      <c r="C6024" s="156" t="inlineStr">
        <is>
          <t>DT-522</t>
        </is>
      </c>
      <c r="D6024" s="156" t="inlineStr">
        <is>
          <t>SKT 105S</t>
        </is>
      </c>
      <c r="E6024" s="156" t="inlineStr">
        <is>
          <t>Hauler</t>
        </is>
      </c>
      <c r="F6024" s="156" t="inlineStr">
        <is>
          <t>Hauling OB &amp; Coal</t>
        </is>
      </c>
      <c r="G6024" s="182" t="n">
        <v>2.04</v>
      </c>
      <c r="H6024" s="182" t="n">
        <v>0</v>
      </c>
      <c r="I6024" s="182" t="n">
        <v>0</v>
      </c>
      <c r="J6024" s="182" t="n">
        <v>0</v>
      </c>
      <c r="K6024" s="182" t="n">
        <v>9.960000000000001</v>
      </c>
      <c r="L6024" s="182" t="n">
        <v>12</v>
      </c>
      <c r="M6024" s="182" t="n">
        <v>1.32</v>
      </c>
      <c r="N6024" s="182" t="n">
        <v>0.72</v>
      </c>
      <c r="O6024" s="183" t="n">
        <v>4</v>
      </c>
      <c r="P6024" s="183" t="n">
        <v>2</v>
      </c>
      <c r="Q6024" s="184" t="n">
        <v>81.59999999999999</v>
      </c>
      <c r="R6024" s="184" t="n">
        <v>37.4</v>
      </c>
      <c r="S6024" s="183" t="n">
        <v>0</v>
      </c>
      <c r="T6024" s="183" t="n">
        <v>0</v>
      </c>
      <c r="U6024" s="182" t="n">
        <v>4.22</v>
      </c>
      <c r="V6024" s="182" t="n">
        <v>2.71</v>
      </c>
      <c r="W6024" s="182" t="n">
        <v>0</v>
      </c>
      <c r="X6024" s="182" t="n">
        <v>0.99</v>
      </c>
      <c r="Y6024" s="182" t="n">
        <v>0</v>
      </c>
      <c r="Z6024" s="182" t="n">
        <v>0</v>
      </c>
      <c r="AA6024" s="182" t="n">
        <v>0</v>
      </c>
      <c r="AB6024" s="182" t="n">
        <v>0.99</v>
      </c>
      <c r="AC6024" s="182" t="n">
        <v>0</v>
      </c>
      <c r="AD6024" s="182" t="n">
        <v>0</v>
      </c>
      <c r="AE6024" s="182" t="n">
        <v>0</v>
      </c>
      <c r="AF6024" s="182" t="n">
        <v>0</v>
      </c>
      <c r="AG6024" s="182" t="n">
        <v>0.3</v>
      </c>
      <c r="AH6024" s="182" t="n">
        <v>0.68</v>
      </c>
      <c r="AI6024" s="182" t="n">
        <v>0</v>
      </c>
      <c r="AJ6024" s="182" t="n">
        <v>0</v>
      </c>
      <c r="AK6024" s="182" t="n">
        <v>0</v>
      </c>
      <c r="AL6024" s="182" t="n">
        <v>0</v>
      </c>
      <c r="AM6024" s="182" t="n">
        <v>0.08</v>
      </c>
      <c r="AN6024" s="182" t="n">
        <v>0</v>
      </c>
    </row>
    <row r="6025">
      <c r="A6025" s="155" t="n">
        <v>46109</v>
      </c>
      <c r="B6025" s="156" t="inlineStr">
        <is>
          <t>DS</t>
        </is>
      </c>
      <c r="C6025" s="156" t="inlineStr">
        <is>
          <t>DT-517</t>
        </is>
      </c>
      <c r="D6025" s="156" t="inlineStr">
        <is>
          <t>SKT 105S</t>
        </is>
      </c>
      <c r="E6025" s="156" t="inlineStr">
        <is>
          <t>Hauler</t>
        </is>
      </c>
      <c r="F6025" s="156" t="inlineStr">
        <is>
          <t>Hauling OB</t>
        </is>
      </c>
      <c r="G6025" s="182" t="n">
        <v>3.33</v>
      </c>
      <c r="H6025" s="182" t="n">
        <v>0</v>
      </c>
      <c r="I6025" s="182" t="n">
        <v>0</v>
      </c>
      <c r="J6025" s="182" t="n">
        <v>0</v>
      </c>
      <c r="K6025" s="182" t="n">
        <v>8.67</v>
      </c>
      <c r="L6025" s="182" t="n">
        <v>12</v>
      </c>
      <c r="M6025" s="182" t="n">
        <v>3.33</v>
      </c>
      <c r="N6025" s="182" t="n">
        <v>0</v>
      </c>
      <c r="O6025" s="183" t="n">
        <v>12</v>
      </c>
      <c r="P6025" s="183" t="n">
        <v>0</v>
      </c>
      <c r="Q6025" s="184" t="n">
        <v>244.8</v>
      </c>
      <c r="R6025" s="184" t="n">
        <v>0</v>
      </c>
      <c r="S6025" s="183" t="n">
        <v>0</v>
      </c>
      <c r="T6025" s="183" t="n">
        <v>0</v>
      </c>
      <c r="U6025" s="182" t="n">
        <v>4.42</v>
      </c>
      <c r="V6025" s="182" t="n">
        <v>1.34</v>
      </c>
      <c r="W6025" s="182" t="n">
        <v>0</v>
      </c>
      <c r="X6025" s="182" t="n">
        <v>1.03</v>
      </c>
      <c r="Y6025" s="182" t="n">
        <v>0</v>
      </c>
      <c r="Z6025" s="182" t="n">
        <v>0</v>
      </c>
      <c r="AA6025" s="182" t="n">
        <v>0</v>
      </c>
      <c r="AB6025" s="182" t="n">
        <v>1.03</v>
      </c>
      <c r="AC6025" s="182" t="n">
        <v>0</v>
      </c>
      <c r="AD6025" s="182" t="n">
        <v>0</v>
      </c>
      <c r="AE6025" s="182" t="n">
        <v>0</v>
      </c>
      <c r="AF6025" s="182" t="n">
        <v>0</v>
      </c>
      <c r="AG6025" s="182" t="n">
        <v>0</v>
      </c>
      <c r="AH6025" s="182" t="n">
        <v>0.76</v>
      </c>
      <c r="AI6025" s="182" t="n">
        <v>0</v>
      </c>
      <c r="AJ6025" s="182" t="n">
        <v>0</v>
      </c>
      <c r="AK6025" s="182" t="n">
        <v>0</v>
      </c>
      <c r="AL6025" s="182" t="n">
        <v>0</v>
      </c>
      <c r="AM6025" s="182" t="n">
        <v>0.08</v>
      </c>
      <c r="AN6025" s="182" t="n">
        <v>0</v>
      </c>
    </row>
    <row r="6026">
      <c r="A6026" s="155" t="n">
        <v>46109</v>
      </c>
      <c r="B6026" s="156" t="inlineStr">
        <is>
          <t>DS</t>
        </is>
      </c>
      <c r="C6026" s="156" t="inlineStr">
        <is>
          <t>DT-510</t>
        </is>
      </c>
      <c r="D6026" s="156" t="inlineStr">
        <is>
          <t>SKT 105S</t>
        </is>
      </c>
      <c r="E6026" s="156" t="inlineStr">
        <is>
          <t>Hauler</t>
        </is>
      </c>
      <c r="F6026" s="156" t="inlineStr">
        <is>
          <t>Hauling Coal</t>
        </is>
      </c>
      <c r="G6026" s="182" t="n">
        <v>0.95</v>
      </c>
      <c r="H6026" s="182" t="n">
        <v>0</v>
      </c>
      <c r="I6026" s="182" t="n">
        <v>0</v>
      </c>
      <c r="J6026" s="182" t="n">
        <v>0</v>
      </c>
      <c r="K6026" s="182" t="n">
        <v>11.05</v>
      </c>
      <c r="L6026" s="182" t="n">
        <v>12</v>
      </c>
      <c r="M6026" s="182" t="n">
        <v>0</v>
      </c>
      <c r="N6026" s="182" t="n">
        <v>0.95</v>
      </c>
      <c r="O6026" s="183" t="n">
        <v>0</v>
      </c>
      <c r="P6026" s="183" t="n">
        <v>1</v>
      </c>
      <c r="Q6026" s="184" t="n">
        <v>0</v>
      </c>
      <c r="R6026" s="184" t="n">
        <v>18.7</v>
      </c>
      <c r="S6026" s="183" t="n">
        <v>0</v>
      </c>
      <c r="T6026" s="183" t="n">
        <v>0</v>
      </c>
      <c r="U6026" s="182" t="n">
        <v>4.34</v>
      </c>
      <c r="V6026" s="182" t="n">
        <v>2.03</v>
      </c>
      <c r="W6026" s="182" t="n">
        <v>0</v>
      </c>
      <c r="X6026" s="182" t="n">
        <v>1.01</v>
      </c>
      <c r="Y6026" s="182" t="n">
        <v>0</v>
      </c>
      <c r="Z6026" s="182" t="n">
        <v>0</v>
      </c>
      <c r="AA6026" s="182" t="n">
        <v>0</v>
      </c>
      <c r="AB6026" s="182" t="n">
        <v>1.01</v>
      </c>
      <c r="AC6026" s="182" t="n">
        <v>0</v>
      </c>
      <c r="AD6026" s="182" t="n">
        <v>2.57</v>
      </c>
      <c r="AE6026" s="182" t="n">
        <v>0</v>
      </c>
      <c r="AF6026" s="182" t="n">
        <v>0</v>
      </c>
      <c r="AG6026" s="182" t="n">
        <v>0</v>
      </c>
      <c r="AH6026" s="182" t="n">
        <v>0</v>
      </c>
      <c r="AI6026" s="182" t="n">
        <v>0</v>
      </c>
      <c r="AJ6026" s="182" t="n">
        <v>0</v>
      </c>
      <c r="AK6026" s="182" t="n">
        <v>0</v>
      </c>
      <c r="AL6026" s="182" t="n">
        <v>0</v>
      </c>
      <c r="AM6026" s="182" t="n">
        <v>0.08</v>
      </c>
      <c r="AN6026" s="182" t="n">
        <v>0</v>
      </c>
    </row>
    <row r="6027">
      <c r="A6027" s="155" t="n">
        <v>46109</v>
      </c>
      <c r="B6027" s="156" t="inlineStr">
        <is>
          <t>DS</t>
        </is>
      </c>
      <c r="C6027" s="156" t="inlineStr">
        <is>
          <t>DT-521</t>
        </is>
      </c>
      <c r="D6027" s="156" t="inlineStr">
        <is>
          <t>SKT 105S</t>
        </is>
      </c>
      <c r="E6027" s="156" t="inlineStr">
        <is>
          <t>Hauler</t>
        </is>
      </c>
      <c r="F6027" s="156" t="inlineStr">
        <is>
          <t>Hauling OB</t>
        </is>
      </c>
      <c r="G6027" s="182" t="n">
        <v>2.58</v>
      </c>
      <c r="H6027" s="182" t="n">
        <v>0</v>
      </c>
      <c r="I6027" s="182" t="n">
        <v>8.869999999999999</v>
      </c>
      <c r="J6027" s="182" t="n">
        <v>8.869999999999999</v>
      </c>
      <c r="K6027" s="182" t="n">
        <v>0.55</v>
      </c>
      <c r="L6027" s="182" t="n">
        <v>12</v>
      </c>
      <c r="M6027" s="182" t="n">
        <v>2.58</v>
      </c>
      <c r="N6027" s="182" t="n">
        <v>0</v>
      </c>
      <c r="O6027" s="183" t="n">
        <v>5</v>
      </c>
      <c r="P6027" s="183" t="n">
        <v>0</v>
      </c>
      <c r="Q6027" s="184" t="n">
        <v>102</v>
      </c>
      <c r="R6027" s="184" t="n">
        <v>0</v>
      </c>
      <c r="S6027" s="183" t="n">
        <v>0</v>
      </c>
      <c r="T6027" s="183" t="n">
        <v>0</v>
      </c>
      <c r="U6027" s="182" t="n">
        <v>0</v>
      </c>
      <c r="V6027" s="182" t="n">
        <v>0</v>
      </c>
      <c r="W6027" s="182" t="n">
        <v>0</v>
      </c>
      <c r="X6027" s="182" t="n">
        <v>0</v>
      </c>
      <c r="Y6027" s="182" t="n">
        <v>0</v>
      </c>
      <c r="Z6027" s="182" t="n">
        <v>0</v>
      </c>
      <c r="AA6027" s="182" t="n">
        <v>0</v>
      </c>
      <c r="AB6027" s="182" t="n">
        <v>0.45</v>
      </c>
      <c r="AC6027" s="182" t="n">
        <v>0</v>
      </c>
      <c r="AD6027" s="182" t="n">
        <v>0</v>
      </c>
      <c r="AE6027" s="182" t="n">
        <v>0</v>
      </c>
      <c r="AF6027" s="182" t="n">
        <v>0</v>
      </c>
      <c r="AG6027" s="182" t="n">
        <v>0</v>
      </c>
      <c r="AH6027" s="182" t="n">
        <v>0</v>
      </c>
      <c r="AI6027" s="182" t="n">
        <v>0</v>
      </c>
      <c r="AJ6027" s="182" t="n">
        <v>0</v>
      </c>
      <c r="AK6027" s="182" t="n">
        <v>0</v>
      </c>
      <c r="AL6027" s="182" t="n">
        <v>0</v>
      </c>
      <c r="AM6027" s="182" t="n">
        <v>0.1</v>
      </c>
      <c r="AN6027" s="182" t="n">
        <v>0</v>
      </c>
    </row>
    <row r="6028">
      <c r="A6028" s="155" t="n">
        <v>46109</v>
      </c>
      <c r="B6028" s="156" t="inlineStr">
        <is>
          <t>DS</t>
        </is>
      </c>
      <c r="C6028" s="156" t="inlineStr">
        <is>
          <t>DT-516</t>
        </is>
      </c>
      <c r="D6028" s="156" t="inlineStr">
        <is>
          <t>SKT 105S</t>
        </is>
      </c>
      <c r="E6028" s="156" t="inlineStr">
        <is>
          <t>Hauler</t>
        </is>
      </c>
      <c r="F6028" s="156" t="inlineStr"/>
      <c r="G6028" s="182" t="n">
        <v>0</v>
      </c>
      <c r="H6028" s="182" t="n">
        <v>0</v>
      </c>
      <c r="I6028" s="182" t="n">
        <v>12</v>
      </c>
      <c r="J6028" s="182" t="n">
        <v>12</v>
      </c>
      <c r="K6028" s="182" t="n">
        <v>0</v>
      </c>
      <c r="L6028" s="182" t="n">
        <v>12</v>
      </c>
      <c r="M6028" s="182" t="n">
        <v>0</v>
      </c>
      <c r="N6028" s="182" t="n">
        <v>0</v>
      </c>
      <c r="O6028" s="183" t="n">
        <v>0</v>
      </c>
      <c r="P6028" s="183" t="n">
        <v>0</v>
      </c>
      <c r="Q6028" s="184" t="n">
        <v>0</v>
      </c>
      <c r="R6028" s="184" t="n">
        <v>0</v>
      </c>
      <c r="S6028" s="183" t="n">
        <v>0</v>
      </c>
      <c r="T6028" s="183" t="n">
        <v>0</v>
      </c>
      <c r="U6028" s="182" t="n">
        <v>0</v>
      </c>
      <c r="V6028" s="182" t="n">
        <v>0</v>
      </c>
      <c r="W6028" s="182" t="n">
        <v>0</v>
      </c>
      <c r="X6028" s="182" t="n">
        <v>0</v>
      </c>
      <c r="Y6028" s="182" t="n">
        <v>0</v>
      </c>
      <c r="Z6028" s="182" t="n">
        <v>0</v>
      </c>
      <c r="AA6028" s="182" t="n">
        <v>0</v>
      </c>
      <c r="AB6028" s="182" t="n">
        <v>0</v>
      </c>
      <c r="AC6028" s="182" t="n">
        <v>0</v>
      </c>
      <c r="AD6028" s="182" t="n">
        <v>0</v>
      </c>
      <c r="AE6028" s="182" t="n">
        <v>0</v>
      </c>
      <c r="AF6028" s="182" t="n">
        <v>0</v>
      </c>
      <c r="AG6028" s="182" t="n">
        <v>0</v>
      </c>
      <c r="AH6028" s="182" t="n">
        <v>0</v>
      </c>
      <c r="AI6028" s="182" t="n">
        <v>0</v>
      </c>
      <c r="AJ6028" s="182" t="n">
        <v>0</v>
      </c>
      <c r="AK6028" s="182" t="n">
        <v>0</v>
      </c>
      <c r="AL6028" s="182" t="n">
        <v>0</v>
      </c>
      <c r="AM6028" s="182" t="n">
        <v>0</v>
      </c>
      <c r="AN6028" s="182" t="n">
        <v>0</v>
      </c>
    </row>
    <row r="6029">
      <c r="A6029" s="155" t="n">
        <v>46109</v>
      </c>
      <c r="B6029" s="156" t="inlineStr">
        <is>
          <t>DS</t>
        </is>
      </c>
      <c r="C6029" s="156" t="inlineStr">
        <is>
          <t>DT-506</t>
        </is>
      </c>
      <c r="D6029" s="156" t="inlineStr">
        <is>
          <t>SKT 105S</t>
        </is>
      </c>
      <c r="E6029" s="156" t="inlineStr">
        <is>
          <t>Hauler</t>
        </is>
      </c>
      <c r="F6029" s="156" t="inlineStr">
        <is>
          <t>Hauling OB</t>
        </is>
      </c>
      <c r="G6029" s="182" t="n">
        <v>1.89</v>
      </c>
      <c r="H6029" s="182" t="n">
        <v>0</v>
      </c>
      <c r="I6029" s="182" t="n">
        <v>0</v>
      </c>
      <c r="J6029" s="182" t="n">
        <v>0</v>
      </c>
      <c r="K6029" s="182" t="n">
        <v>10.11</v>
      </c>
      <c r="L6029" s="182" t="n">
        <v>12</v>
      </c>
      <c r="M6029" s="182" t="n">
        <v>1.89</v>
      </c>
      <c r="N6029" s="182" t="n">
        <v>0</v>
      </c>
      <c r="O6029" s="183" t="n">
        <v>2</v>
      </c>
      <c r="P6029" s="183" t="n">
        <v>0</v>
      </c>
      <c r="Q6029" s="184" t="n">
        <v>40.8</v>
      </c>
      <c r="R6029" s="184" t="n">
        <v>0</v>
      </c>
      <c r="S6029" s="183" t="n">
        <v>0</v>
      </c>
      <c r="T6029" s="183" t="n">
        <v>0</v>
      </c>
      <c r="U6029" s="182" t="n">
        <v>4.2</v>
      </c>
      <c r="V6029" s="182" t="n">
        <v>2.94</v>
      </c>
      <c r="W6029" s="182" t="n">
        <v>0</v>
      </c>
      <c r="X6029" s="182" t="n">
        <v>0.98</v>
      </c>
      <c r="Y6029" s="182" t="n">
        <v>0</v>
      </c>
      <c r="Z6029" s="182" t="n">
        <v>0</v>
      </c>
      <c r="AA6029" s="182" t="n">
        <v>0</v>
      </c>
      <c r="AB6029" s="182" t="n">
        <v>0.98</v>
      </c>
      <c r="AC6029" s="182" t="n">
        <v>0</v>
      </c>
      <c r="AD6029" s="182" t="n">
        <v>0</v>
      </c>
      <c r="AE6029" s="182" t="n">
        <v>0</v>
      </c>
      <c r="AF6029" s="182" t="n">
        <v>0</v>
      </c>
      <c r="AG6029" s="182" t="n">
        <v>0.43</v>
      </c>
      <c r="AH6029" s="182" t="n">
        <v>0.49</v>
      </c>
      <c r="AI6029" s="182" t="n">
        <v>0</v>
      </c>
      <c r="AJ6029" s="182" t="n">
        <v>0</v>
      </c>
      <c r="AK6029" s="182" t="n">
        <v>0</v>
      </c>
      <c r="AL6029" s="182" t="n">
        <v>0</v>
      </c>
      <c r="AM6029" s="182" t="n">
        <v>0.08</v>
      </c>
      <c r="AN6029" s="182" t="n">
        <v>0</v>
      </c>
    </row>
    <row r="6030">
      <c r="A6030" s="155" t="n">
        <v>46109</v>
      </c>
      <c r="B6030" s="156" t="inlineStr">
        <is>
          <t>DS</t>
        </is>
      </c>
      <c r="C6030" s="156" t="inlineStr">
        <is>
          <t>DT-502</t>
        </is>
      </c>
      <c r="D6030" s="156" t="inlineStr">
        <is>
          <t>SKT 105S</t>
        </is>
      </c>
      <c r="E6030" s="156" t="inlineStr">
        <is>
          <t>Hauler</t>
        </is>
      </c>
      <c r="F6030" s="156" t="inlineStr">
        <is>
          <t>Hauling OB &amp; Coal</t>
        </is>
      </c>
      <c r="G6030" s="182" t="n">
        <v>4.38</v>
      </c>
      <c r="H6030" s="182" t="n">
        <v>0</v>
      </c>
      <c r="I6030" s="182" t="n">
        <v>0</v>
      </c>
      <c r="J6030" s="182" t="n">
        <v>0</v>
      </c>
      <c r="K6030" s="182" t="n">
        <v>7.62</v>
      </c>
      <c r="L6030" s="182" t="n">
        <v>12</v>
      </c>
      <c r="M6030" s="182" t="n">
        <v>3.75</v>
      </c>
      <c r="N6030" s="182" t="n">
        <v>0.62</v>
      </c>
      <c r="O6030" s="183" t="n">
        <v>18</v>
      </c>
      <c r="P6030" s="183" t="n">
        <v>2</v>
      </c>
      <c r="Q6030" s="184" t="n">
        <v>367.2</v>
      </c>
      <c r="R6030" s="184" t="n">
        <v>37.4</v>
      </c>
      <c r="S6030" s="183" t="n">
        <v>0</v>
      </c>
      <c r="T6030" s="183" t="n">
        <v>0</v>
      </c>
      <c r="U6030" s="182" t="n">
        <v>4.47</v>
      </c>
      <c r="V6030" s="182" t="n">
        <v>0.73</v>
      </c>
      <c r="W6030" s="182" t="n">
        <v>0</v>
      </c>
      <c r="X6030" s="182" t="n">
        <v>1.04</v>
      </c>
      <c r="Y6030" s="182" t="n">
        <v>0</v>
      </c>
      <c r="Z6030" s="182" t="n">
        <v>0</v>
      </c>
      <c r="AA6030" s="182" t="n">
        <v>0</v>
      </c>
      <c r="AB6030" s="182" t="n">
        <v>1.04</v>
      </c>
      <c r="AC6030" s="182" t="n">
        <v>0</v>
      </c>
      <c r="AD6030" s="182" t="n">
        <v>0</v>
      </c>
      <c r="AE6030" s="182" t="n">
        <v>0</v>
      </c>
      <c r="AF6030" s="182" t="n">
        <v>0</v>
      </c>
      <c r="AG6030" s="182" t="n">
        <v>0</v>
      </c>
      <c r="AH6030" s="182" t="n">
        <v>0.25</v>
      </c>
      <c r="AI6030" s="182" t="n">
        <v>0</v>
      </c>
      <c r="AJ6030" s="182" t="n">
        <v>0</v>
      </c>
      <c r="AK6030" s="182" t="n">
        <v>0</v>
      </c>
      <c r="AL6030" s="182" t="n">
        <v>0</v>
      </c>
      <c r="AM6030" s="182" t="n">
        <v>0.08</v>
      </c>
      <c r="AN6030" s="182" t="n">
        <v>0</v>
      </c>
    </row>
    <row r="6031">
      <c r="A6031" s="155" t="n">
        <v>46109</v>
      </c>
      <c r="B6031" s="156" t="inlineStr">
        <is>
          <t>DS</t>
        </is>
      </c>
      <c r="C6031" s="156" t="inlineStr">
        <is>
          <t>DT-528</t>
        </is>
      </c>
      <c r="D6031" s="156" t="inlineStr">
        <is>
          <t>SKT 105S</t>
        </is>
      </c>
      <c r="E6031" s="156" t="inlineStr">
        <is>
          <t>Hauler</t>
        </is>
      </c>
      <c r="F6031" s="156" t="inlineStr">
        <is>
          <t>Hauling OB &amp; Coal</t>
        </is>
      </c>
      <c r="G6031" s="182" t="n">
        <v>2.73</v>
      </c>
      <c r="H6031" s="182" t="n">
        <v>0</v>
      </c>
      <c r="I6031" s="182" t="n">
        <v>0</v>
      </c>
      <c r="J6031" s="182" t="n">
        <v>0</v>
      </c>
      <c r="K6031" s="182" t="n">
        <v>9.27</v>
      </c>
      <c r="L6031" s="182" t="n">
        <v>12</v>
      </c>
      <c r="M6031" s="182" t="n">
        <v>2.42</v>
      </c>
      <c r="N6031" s="182" t="n">
        <v>0.31</v>
      </c>
      <c r="O6031" s="183" t="n">
        <v>6</v>
      </c>
      <c r="P6031" s="183" t="n">
        <v>1</v>
      </c>
      <c r="Q6031" s="184" t="n">
        <v>122.4</v>
      </c>
      <c r="R6031" s="184" t="n">
        <v>18.7</v>
      </c>
      <c r="S6031" s="183" t="n">
        <v>0</v>
      </c>
      <c r="T6031" s="183" t="n">
        <v>0</v>
      </c>
      <c r="U6031" s="182" t="n">
        <v>4.36</v>
      </c>
      <c r="V6031" s="182" t="n">
        <v>2.79</v>
      </c>
      <c r="W6031" s="182" t="n">
        <v>0</v>
      </c>
      <c r="X6031" s="182" t="n">
        <v>1.02</v>
      </c>
      <c r="Y6031" s="182" t="n">
        <v>0</v>
      </c>
      <c r="Z6031" s="182" t="n">
        <v>0</v>
      </c>
      <c r="AA6031" s="182" t="n">
        <v>0</v>
      </c>
      <c r="AB6031" s="182" t="n">
        <v>1.02</v>
      </c>
      <c r="AC6031" s="182" t="n">
        <v>0</v>
      </c>
      <c r="AD6031" s="182" t="n">
        <v>0</v>
      </c>
      <c r="AE6031" s="182" t="n">
        <v>0</v>
      </c>
      <c r="AF6031" s="182" t="n">
        <v>0</v>
      </c>
      <c r="AG6031" s="182" t="n">
        <v>0</v>
      </c>
      <c r="AH6031" s="182" t="n">
        <v>0</v>
      </c>
      <c r="AI6031" s="182" t="n">
        <v>0</v>
      </c>
      <c r="AJ6031" s="182" t="n">
        <v>0</v>
      </c>
      <c r="AK6031" s="182" t="n">
        <v>0</v>
      </c>
      <c r="AL6031" s="182" t="n">
        <v>0</v>
      </c>
      <c r="AM6031" s="182" t="n">
        <v>0.08</v>
      </c>
      <c r="AN6031" s="182" t="n">
        <v>0</v>
      </c>
    </row>
    <row r="6032">
      <c r="A6032" s="155" t="n">
        <v>46109</v>
      </c>
      <c r="B6032" s="156" t="inlineStr">
        <is>
          <t>DS</t>
        </is>
      </c>
      <c r="C6032" s="156" t="inlineStr">
        <is>
          <t>DT-529</t>
        </is>
      </c>
      <c r="D6032" s="156" t="inlineStr">
        <is>
          <t>SKT 105S</t>
        </is>
      </c>
      <c r="E6032" s="156" t="inlineStr">
        <is>
          <t>Hauler</t>
        </is>
      </c>
      <c r="F6032" s="156" t="inlineStr">
        <is>
          <t>Hauling Coal</t>
        </is>
      </c>
      <c r="G6032" s="182" t="n">
        <v>2.18</v>
      </c>
      <c r="H6032" s="182" t="n">
        <v>0</v>
      </c>
      <c r="I6032" s="182" t="n">
        <v>0</v>
      </c>
      <c r="J6032" s="182" t="n">
        <v>0</v>
      </c>
      <c r="K6032" s="182" t="n">
        <v>9.82</v>
      </c>
      <c r="L6032" s="182" t="n">
        <v>12</v>
      </c>
      <c r="M6032" s="182" t="n">
        <v>0</v>
      </c>
      <c r="N6032" s="182" t="n">
        <v>2.18</v>
      </c>
      <c r="O6032" s="183" t="n">
        <v>0</v>
      </c>
      <c r="P6032" s="183" t="n">
        <v>3</v>
      </c>
      <c r="Q6032" s="184" t="n">
        <v>0</v>
      </c>
      <c r="R6032" s="184" t="n">
        <v>56.1</v>
      </c>
      <c r="S6032" s="183" t="n">
        <v>0</v>
      </c>
      <c r="T6032" s="183" t="n">
        <v>0</v>
      </c>
      <c r="U6032" s="182" t="n">
        <v>4.47</v>
      </c>
      <c r="V6032" s="182" t="n">
        <v>3.13</v>
      </c>
      <c r="W6032" s="182" t="n">
        <v>0</v>
      </c>
      <c r="X6032" s="182" t="n">
        <v>1.04</v>
      </c>
      <c r="Y6032" s="182" t="n">
        <v>0</v>
      </c>
      <c r="Z6032" s="182" t="n">
        <v>0</v>
      </c>
      <c r="AA6032" s="182" t="n">
        <v>0</v>
      </c>
      <c r="AB6032" s="182" t="n">
        <v>1.04</v>
      </c>
      <c r="AC6032" s="182" t="n">
        <v>0</v>
      </c>
      <c r="AD6032" s="182" t="n">
        <v>0</v>
      </c>
      <c r="AE6032" s="182" t="n">
        <v>0</v>
      </c>
      <c r="AF6032" s="182" t="n">
        <v>0</v>
      </c>
      <c r="AG6032" s="182" t="n">
        <v>0</v>
      </c>
      <c r="AH6032" s="182" t="n">
        <v>0.04</v>
      </c>
      <c r="AI6032" s="182" t="n">
        <v>0</v>
      </c>
      <c r="AJ6032" s="182" t="n">
        <v>0</v>
      </c>
      <c r="AK6032" s="182" t="n">
        <v>0</v>
      </c>
      <c r="AL6032" s="182" t="n">
        <v>0</v>
      </c>
      <c r="AM6032" s="182" t="n">
        <v>0.08</v>
      </c>
      <c r="AN6032" s="182" t="n">
        <v>0</v>
      </c>
    </row>
    <row r="6033">
      <c r="A6033" s="155" t="n">
        <v>46109</v>
      </c>
      <c r="B6033" s="156" t="inlineStr">
        <is>
          <t>DS</t>
        </is>
      </c>
      <c r="C6033" s="156" t="inlineStr">
        <is>
          <t>DT-520</t>
        </is>
      </c>
      <c r="D6033" s="156" t="inlineStr">
        <is>
          <t>SKT 105S</t>
        </is>
      </c>
      <c r="E6033" s="156" t="inlineStr">
        <is>
          <t>Hauler</t>
        </is>
      </c>
      <c r="F6033" s="156" t="inlineStr">
        <is>
          <t>Hauling OB</t>
        </is>
      </c>
      <c r="G6033" s="182" t="n">
        <v>1.08</v>
      </c>
      <c r="H6033" s="182" t="n">
        <v>0</v>
      </c>
      <c r="I6033" s="182" t="n">
        <v>0.23</v>
      </c>
      <c r="J6033" s="182" t="n">
        <v>0.23</v>
      </c>
      <c r="K6033" s="182" t="n">
        <v>10.69</v>
      </c>
      <c r="L6033" s="182" t="n">
        <v>12</v>
      </c>
      <c r="M6033" s="182" t="n">
        <v>1.08</v>
      </c>
      <c r="N6033" s="182" t="n">
        <v>0</v>
      </c>
      <c r="O6033" s="183" t="n">
        <v>2</v>
      </c>
      <c r="P6033" s="183" t="n">
        <v>0</v>
      </c>
      <c r="Q6033" s="184" t="n">
        <v>40.8</v>
      </c>
      <c r="R6033" s="184" t="n">
        <v>0</v>
      </c>
      <c r="S6033" s="183" t="n">
        <v>0</v>
      </c>
      <c r="T6033" s="183" t="n">
        <v>0</v>
      </c>
      <c r="U6033" s="182" t="n">
        <v>4.13</v>
      </c>
      <c r="V6033" s="182" t="n">
        <v>2.9</v>
      </c>
      <c r="W6033" s="182" t="n">
        <v>0</v>
      </c>
      <c r="X6033" s="182" t="n">
        <v>0.97</v>
      </c>
      <c r="Y6033" s="182" t="n">
        <v>0</v>
      </c>
      <c r="Z6033" s="182" t="n">
        <v>0</v>
      </c>
      <c r="AA6033" s="182" t="n">
        <v>0</v>
      </c>
      <c r="AB6033" s="182" t="n">
        <v>0.97</v>
      </c>
      <c r="AC6033" s="182" t="n">
        <v>0</v>
      </c>
      <c r="AD6033" s="182" t="n">
        <v>1.64</v>
      </c>
      <c r="AE6033" s="182" t="n">
        <v>0</v>
      </c>
      <c r="AF6033" s="182" t="n">
        <v>0</v>
      </c>
      <c r="AG6033" s="182" t="n">
        <v>0</v>
      </c>
      <c r="AH6033" s="182" t="n">
        <v>0</v>
      </c>
      <c r="AI6033" s="182" t="n">
        <v>0</v>
      </c>
      <c r="AJ6033" s="182" t="n">
        <v>0</v>
      </c>
      <c r="AK6033" s="182" t="n">
        <v>0</v>
      </c>
      <c r="AL6033" s="182" t="n">
        <v>0</v>
      </c>
      <c r="AM6033" s="182" t="n">
        <v>0.08</v>
      </c>
      <c r="AN6033" s="182" t="n">
        <v>0</v>
      </c>
    </row>
    <row r="6034">
      <c r="A6034" s="155" t="n">
        <v>46109</v>
      </c>
      <c r="B6034" s="156" t="inlineStr">
        <is>
          <t>DS</t>
        </is>
      </c>
      <c r="C6034" s="156" t="inlineStr">
        <is>
          <t>DT-511</t>
        </is>
      </c>
      <c r="D6034" s="156" t="inlineStr">
        <is>
          <t>SKT 105S</t>
        </is>
      </c>
      <c r="E6034" s="156" t="inlineStr">
        <is>
          <t>Hauler</t>
        </is>
      </c>
      <c r="F6034" s="156" t="inlineStr"/>
      <c r="G6034" s="182" t="n">
        <v>0</v>
      </c>
      <c r="H6034" s="182" t="n">
        <v>0</v>
      </c>
      <c r="I6034" s="182" t="n">
        <v>12</v>
      </c>
      <c r="J6034" s="182" t="n">
        <v>12</v>
      </c>
      <c r="K6034" s="182" t="n">
        <v>0</v>
      </c>
      <c r="L6034" s="182" t="n">
        <v>12</v>
      </c>
      <c r="M6034" s="182" t="n">
        <v>0</v>
      </c>
      <c r="N6034" s="182" t="n">
        <v>0</v>
      </c>
      <c r="O6034" s="183" t="n">
        <v>0</v>
      </c>
      <c r="P6034" s="183" t="n">
        <v>0</v>
      </c>
      <c r="Q6034" s="184" t="n">
        <v>0</v>
      </c>
      <c r="R6034" s="184" t="n">
        <v>0</v>
      </c>
      <c r="S6034" s="183" t="n">
        <v>0</v>
      </c>
      <c r="T6034" s="183" t="n">
        <v>0</v>
      </c>
      <c r="U6034" s="182" t="n">
        <v>0</v>
      </c>
      <c r="V6034" s="182" t="n">
        <v>0</v>
      </c>
      <c r="W6034" s="182" t="n">
        <v>0</v>
      </c>
      <c r="X6034" s="182" t="n">
        <v>0</v>
      </c>
      <c r="Y6034" s="182" t="n">
        <v>0</v>
      </c>
      <c r="Z6034" s="182" t="n">
        <v>0</v>
      </c>
      <c r="AA6034" s="182" t="n">
        <v>0</v>
      </c>
      <c r="AB6034" s="182" t="n">
        <v>0</v>
      </c>
      <c r="AC6034" s="182" t="n">
        <v>0</v>
      </c>
      <c r="AD6034" s="182" t="n">
        <v>0</v>
      </c>
      <c r="AE6034" s="182" t="n">
        <v>0</v>
      </c>
      <c r="AF6034" s="182" t="n">
        <v>0</v>
      </c>
      <c r="AG6034" s="182" t="n">
        <v>0</v>
      </c>
      <c r="AH6034" s="182" t="n">
        <v>0</v>
      </c>
      <c r="AI6034" s="182" t="n">
        <v>0</v>
      </c>
      <c r="AJ6034" s="182" t="n">
        <v>0</v>
      </c>
      <c r="AK6034" s="182" t="n">
        <v>0</v>
      </c>
      <c r="AL6034" s="182" t="n">
        <v>0</v>
      </c>
      <c r="AM6034" s="182" t="n">
        <v>0</v>
      </c>
      <c r="AN6034" s="182" t="n">
        <v>0</v>
      </c>
    </row>
    <row r="6035">
      <c r="A6035" s="155" t="n">
        <v>46109</v>
      </c>
      <c r="B6035" s="156" t="inlineStr">
        <is>
          <t>DS</t>
        </is>
      </c>
      <c r="C6035" s="156" t="inlineStr">
        <is>
          <t>DT-509</t>
        </is>
      </c>
      <c r="D6035" s="156" t="inlineStr">
        <is>
          <t>SKT 105S</t>
        </is>
      </c>
      <c r="E6035" s="156" t="inlineStr">
        <is>
          <t>Hauler</t>
        </is>
      </c>
      <c r="F6035" s="156" t="inlineStr"/>
      <c r="G6035" s="182" t="n">
        <v>0</v>
      </c>
      <c r="H6035" s="182" t="n">
        <v>0</v>
      </c>
      <c r="I6035" s="182" t="n">
        <v>12</v>
      </c>
      <c r="J6035" s="182" t="n">
        <v>12</v>
      </c>
      <c r="K6035" s="182" t="n">
        <v>0</v>
      </c>
      <c r="L6035" s="182" t="n">
        <v>12</v>
      </c>
      <c r="M6035" s="182" t="n">
        <v>0</v>
      </c>
      <c r="N6035" s="182" t="n">
        <v>0</v>
      </c>
      <c r="O6035" s="183" t="n">
        <v>0</v>
      </c>
      <c r="P6035" s="183" t="n">
        <v>0</v>
      </c>
      <c r="Q6035" s="184" t="n">
        <v>0</v>
      </c>
      <c r="R6035" s="184" t="n">
        <v>0</v>
      </c>
      <c r="S6035" s="183" t="n">
        <v>0</v>
      </c>
      <c r="T6035" s="183" t="n">
        <v>0</v>
      </c>
      <c r="U6035" s="182" t="n">
        <v>0</v>
      </c>
      <c r="V6035" s="182" t="n">
        <v>0</v>
      </c>
      <c r="W6035" s="182" t="n">
        <v>0</v>
      </c>
      <c r="X6035" s="182" t="n">
        <v>0</v>
      </c>
      <c r="Y6035" s="182" t="n">
        <v>0</v>
      </c>
      <c r="Z6035" s="182" t="n">
        <v>0</v>
      </c>
      <c r="AA6035" s="182" t="n">
        <v>0</v>
      </c>
      <c r="AB6035" s="182" t="n">
        <v>0</v>
      </c>
      <c r="AC6035" s="182" t="n">
        <v>0</v>
      </c>
      <c r="AD6035" s="182" t="n">
        <v>0</v>
      </c>
      <c r="AE6035" s="182" t="n">
        <v>0</v>
      </c>
      <c r="AF6035" s="182" t="n">
        <v>0</v>
      </c>
      <c r="AG6035" s="182" t="n">
        <v>0</v>
      </c>
      <c r="AH6035" s="182" t="n">
        <v>0</v>
      </c>
      <c r="AI6035" s="182" t="n">
        <v>0</v>
      </c>
      <c r="AJ6035" s="182" t="n">
        <v>0</v>
      </c>
      <c r="AK6035" s="182" t="n">
        <v>0</v>
      </c>
      <c r="AL6035" s="182" t="n">
        <v>0</v>
      </c>
      <c r="AM6035" s="182" t="n">
        <v>0</v>
      </c>
      <c r="AN6035" s="182" t="n">
        <v>0</v>
      </c>
    </row>
    <row r="6036">
      <c r="A6036" s="155" t="n">
        <v>46109</v>
      </c>
      <c r="B6036" s="156" t="inlineStr">
        <is>
          <t>DS</t>
        </is>
      </c>
      <c r="C6036" s="156" t="inlineStr">
        <is>
          <t>DT-526</t>
        </is>
      </c>
      <c r="D6036" s="156" t="inlineStr">
        <is>
          <t>SKT 105S</t>
        </is>
      </c>
      <c r="E6036" s="156" t="inlineStr">
        <is>
          <t>Hauler</t>
        </is>
      </c>
      <c r="F6036" s="156" t="inlineStr">
        <is>
          <t>Hauling OB</t>
        </is>
      </c>
      <c r="G6036" s="182" t="n">
        <v>3.69</v>
      </c>
      <c r="H6036" s="182" t="n">
        <v>0</v>
      </c>
      <c r="I6036" s="182" t="n">
        <v>0</v>
      </c>
      <c r="J6036" s="182" t="n">
        <v>0</v>
      </c>
      <c r="K6036" s="182" t="n">
        <v>8.31</v>
      </c>
      <c r="L6036" s="182" t="n">
        <v>12</v>
      </c>
      <c r="M6036" s="182" t="n">
        <v>3.69</v>
      </c>
      <c r="N6036" s="182" t="n">
        <v>0</v>
      </c>
      <c r="O6036" s="183" t="n">
        <v>18</v>
      </c>
      <c r="P6036" s="183" t="n">
        <v>0</v>
      </c>
      <c r="Q6036" s="184" t="n">
        <v>367.2</v>
      </c>
      <c r="R6036" s="184" t="n">
        <v>0</v>
      </c>
      <c r="S6036" s="183" t="n">
        <v>0</v>
      </c>
      <c r="T6036" s="183" t="n">
        <v>0</v>
      </c>
      <c r="U6036" s="182" t="n">
        <v>4.45</v>
      </c>
      <c r="V6036" s="182" t="n">
        <v>0.83</v>
      </c>
      <c r="W6036" s="182" t="n">
        <v>0</v>
      </c>
      <c r="X6036" s="182" t="n">
        <v>1.04</v>
      </c>
      <c r="Y6036" s="182" t="n">
        <v>0</v>
      </c>
      <c r="Z6036" s="182" t="n">
        <v>0</v>
      </c>
      <c r="AA6036" s="182" t="n">
        <v>0</v>
      </c>
      <c r="AB6036" s="182" t="n">
        <v>1.04</v>
      </c>
      <c r="AC6036" s="182" t="n">
        <v>0</v>
      </c>
      <c r="AD6036" s="182" t="n">
        <v>0</v>
      </c>
      <c r="AE6036" s="182" t="n">
        <v>0</v>
      </c>
      <c r="AF6036" s="182" t="n">
        <v>0</v>
      </c>
      <c r="AG6036" s="182" t="n">
        <v>0</v>
      </c>
      <c r="AH6036" s="182" t="n">
        <v>0.87</v>
      </c>
      <c r="AI6036" s="182" t="n">
        <v>0</v>
      </c>
      <c r="AJ6036" s="182" t="n">
        <v>0</v>
      </c>
      <c r="AK6036" s="182" t="n">
        <v>0</v>
      </c>
      <c r="AL6036" s="182" t="n">
        <v>0</v>
      </c>
      <c r="AM6036" s="182" t="n">
        <v>0.08</v>
      </c>
      <c r="AN6036" s="182" t="n">
        <v>0</v>
      </c>
    </row>
    <row r="6037">
      <c r="A6037" s="155" t="n">
        <v>46109</v>
      </c>
      <c r="B6037" s="156" t="inlineStr">
        <is>
          <t>DS</t>
        </is>
      </c>
      <c r="C6037" s="156" t="inlineStr">
        <is>
          <t>DT-508</t>
        </is>
      </c>
      <c r="D6037" s="156" t="inlineStr">
        <is>
          <t>SKT 105S</t>
        </is>
      </c>
      <c r="E6037" s="156" t="inlineStr">
        <is>
          <t>Hauler</t>
        </is>
      </c>
      <c r="F6037" s="156" t="inlineStr">
        <is>
          <t>Hauling OB</t>
        </is>
      </c>
      <c r="G6037" s="182" t="n">
        <v>4.24</v>
      </c>
      <c r="H6037" s="182" t="n">
        <v>0</v>
      </c>
      <c r="I6037" s="182" t="n">
        <v>0</v>
      </c>
      <c r="J6037" s="182" t="n">
        <v>0</v>
      </c>
      <c r="K6037" s="182" t="n">
        <v>7.76</v>
      </c>
      <c r="L6037" s="182" t="n">
        <v>12</v>
      </c>
      <c r="M6037" s="182" t="n">
        <v>4.24</v>
      </c>
      <c r="N6037" s="182" t="n">
        <v>0</v>
      </c>
      <c r="O6037" s="183" t="n">
        <v>16</v>
      </c>
      <c r="P6037" s="183" t="n">
        <v>0</v>
      </c>
      <c r="Q6037" s="184" t="n">
        <v>326.4</v>
      </c>
      <c r="R6037" s="184" t="n">
        <v>0</v>
      </c>
      <c r="S6037" s="183" t="n">
        <v>0</v>
      </c>
      <c r="T6037" s="183" t="n">
        <v>0</v>
      </c>
      <c r="U6037" s="182" t="n">
        <v>4.2</v>
      </c>
      <c r="V6037" s="182" t="n">
        <v>0.79</v>
      </c>
      <c r="W6037" s="182" t="n">
        <v>0</v>
      </c>
      <c r="X6037" s="182" t="n">
        <v>0.98</v>
      </c>
      <c r="Y6037" s="182" t="n">
        <v>0</v>
      </c>
      <c r="Z6037" s="182" t="n">
        <v>0</v>
      </c>
      <c r="AA6037" s="182" t="n">
        <v>0</v>
      </c>
      <c r="AB6037" s="182" t="n">
        <v>0.98</v>
      </c>
      <c r="AC6037" s="182" t="n">
        <v>0</v>
      </c>
      <c r="AD6037" s="182" t="n">
        <v>0</v>
      </c>
      <c r="AE6037" s="182" t="n">
        <v>0</v>
      </c>
      <c r="AF6037" s="182" t="n">
        <v>0</v>
      </c>
      <c r="AG6037" s="182" t="n">
        <v>0</v>
      </c>
      <c r="AH6037" s="182" t="n">
        <v>0.73</v>
      </c>
      <c r="AI6037" s="182" t="n">
        <v>0</v>
      </c>
      <c r="AJ6037" s="182" t="n">
        <v>0</v>
      </c>
      <c r="AK6037" s="182" t="n">
        <v>0</v>
      </c>
      <c r="AL6037" s="182" t="n">
        <v>0</v>
      </c>
      <c r="AM6037" s="182" t="n">
        <v>0.08</v>
      </c>
      <c r="AN6037" s="182" t="n">
        <v>0</v>
      </c>
    </row>
    <row r="6038">
      <c r="A6038" s="155" t="n">
        <v>46109</v>
      </c>
      <c r="B6038" s="156" t="inlineStr">
        <is>
          <t>DS</t>
        </is>
      </c>
      <c r="C6038" s="156" t="inlineStr">
        <is>
          <t>DT-515</t>
        </is>
      </c>
      <c r="D6038" s="156" t="inlineStr">
        <is>
          <t>SKT 105S</t>
        </is>
      </c>
      <c r="E6038" s="156" t="inlineStr">
        <is>
          <t>Hauler</t>
        </is>
      </c>
      <c r="F6038" s="156" t="inlineStr">
        <is>
          <t>Hauling OB</t>
        </is>
      </c>
      <c r="G6038" s="182" t="n">
        <v>4.36</v>
      </c>
      <c r="H6038" s="182" t="n">
        <v>0</v>
      </c>
      <c r="I6038" s="182" t="n">
        <v>0</v>
      </c>
      <c r="J6038" s="182" t="n">
        <v>0</v>
      </c>
      <c r="K6038" s="182" t="n">
        <v>7.64</v>
      </c>
      <c r="L6038" s="182" t="n">
        <v>12</v>
      </c>
      <c r="M6038" s="182" t="n">
        <v>4.36</v>
      </c>
      <c r="N6038" s="182" t="n">
        <v>0</v>
      </c>
      <c r="O6038" s="183" t="n">
        <v>17</v>
      </c>
      <c r="P6038" s="183" t="n">
        <v>0</v>
      </c>
      <c r="Q6038" s="184" t="n">
        <v>346.8</v>
      </c>
      <c r="R6038" s="184" t="n">
        <v>0</v>
      </c>
      <c r="S6038" s="183" t="n">
        <v>0</v>
      </c>
      <c r="T6038" s="183" t="n">
        <v>0</v>
      </c>
      <c r="U6038" s="182" t="n">
        <v>4.25</v>
      </c>
      <c r="V6038" s="182" t="n">
        <v>0.79</v>
      </c>
      <c r="W6038" s="182" t="n">
        <v>0</v>
      </c>
      <c r="X6038" s="182" t="n">
        <v>0.99</v>
      </c>
      <c r="Y6038" s="182" t="n">
        <v>0</v>
      </c>
      <c r="Z6038" s="182" t="n">
        <v>0</v>
      </c>
      <c r="AA6038" s="182" t="n">
        <v>0</v>
      </c>
      <c r="AB6038" s="182" t="n">
        <v>0.99</v>
      </c>
      <c r="AC6038" s="182" t="n">
        <v>0</v>
      </c>
      <c r="AD6038" s="182" t="n">
        <v>0</v>
      </c>
      <c r="AE6038" s="182" t="n">
        <v>0</v>
      </c>
      <c r="AF6038" s="182" t="n">
        <v>0</v>
      </c>
      <c r="AG6038" s="182" t="n">
        <v>0</v>
      </c>
      <c r="AH6038" s="182" t="n">
        <v>0.54</v>
      </c>
      <c r="AI6038" s="182" t="n">
        <v>0</v>
      </c>
      <c r="AJ6038" s="182" t="n">
        <v>0</v>
      </c>
      <c r="AK6038" s="182" t="n">
        <v>0</v>
      </c>
      <c r="AL6038" s="182" t="n">
        <v>0</v>
      </c>
      <c r="AM6038" s="182" t="n">
        <v>0.08</v>
      </c>
      <c r="AN6038" s="182" t="n">
        <v>0</v>
      </c>
    </row>
    <row r="6039">
      <c r="A6039" s="155" t="n">
        <v>46109</v>
      </c>
      <c r="B6039" s="156" t="inlineStr">
        <is>
          <t>DS</t>
        </is>
      </c>
      <c r="C6039" s="156" t="inlineStr">
        <is>
          <t>DT-524</t>
        </is>
      </c>
      <c r="D6039" s="156" t="inlineStr">
        <is>
          <t>SKT 105S</t>
        </is>
      </c>
      <c r="E6039" s="156" t="inlineStr">
        <is>
          <t>Hauler</t>
        </is>
      </c>
      <c r="F6039" s="156" t="inlineStr"/>
      <c r="G6039" s="182" t="n">
        <v>0</v>
      </c>
      <c r="H6039" s="182" t="n">
        <v>0</v>
      </c>
      <c r="I6039" s="182" t="n">
        <v>12</v>
      </c>
      <c r="J6039" s="182" t="n">
        <v>12</v>
      </c>
      <c r="K6039" s="182" t="n">
        <v>0</v>
      </c>
      <c r="L6039" s="182" t="n">
        <v>12</v>
      </c>
      <c r="M6039" s="182" t="n">
        <v>0</v>
      </c>
      <c r="N6039" s="182" t="n">
        <v>0</v>
      </c>
      <c r="O6039" s="183" t="n">
        <v>0</v>
      </c>
      <c r="P6039" s="183" t="n">
        <v>0</v>
      </c>
      <c r="Q6039" s="184" t="n">
        <v>0</v>
      </c>
      <c r="R6039" s="184" t="n">
        <v>0</v>
      </c>
      <c r="S6039" s="183" t="n">
        <v>0</v>
      </c>
      <c r="T6039" s="183" t="n">
        <v>0</v>
      </c>
      <c r="U6039" s="182" t="n">
        <v>0</v>
      </c>
      <c r="V6039" s="182" t="n">
        <v>0</v>
      </c>
      <c r="W6039" s="182" t="n">
        <v>0</v>
      </c>
      <c r="X6039" s="182" t="n">
        <v>0</v>
      </c>
      <c r="Y6039" s="182" t="n">
        <v>0</v>
      </c>
      <c r="Z6039" s="182" t="n">
        <v>0</v>
      </c>
      <c r="AA6039" s="182" t="n">
        <v>0</v>
      </c>
      <c r="AB6039" s="182" t="n">
        <v>0</v>
      </c>
      <c r="AC6039" s="182" t="n">
        <v>0</v>
      </c>
      <c r="AD6039" s="182" t="n">
        <v>0</v>
      </c>
      <c r="AE6039" s="182" t="n">
        <v>0</v>
      </c>
      <c r="AF6039" s="182" t="n">
        <v>0</v>
      </c>
      <c r="AG6039" s="182" t="n">
        <v>0</v>
      </c>
      <c r="AH6039" s="182" t="n">
        <v>0</v>
      </c>
      <c r="AI6039" s="182" t="n">
        <v>0</v>
      </c>
      <c r="AJ6039" s="182" t="n">
        <v>0</v>
      </c>
      <c r="AK6039" s="182" t="n">
        <v>0</v>
      </c>
      <c r="AL6039" s="182" t="n">
        <v>0</v>
      </c>
      <c r="AM6039" s="182" t="n">
        <v>0</v>
      </c>
      <c r="AN6039" s="182" t="n">
        <v>0</v>
      </c>
    </row>
    <row r="6040">
      <c r="A6040" s="155" t="n">
        <v>46109</v>
      </c>
      <c r="B6040" s="156" t="inlineStr">
        <is>
          <t>DS</t>
        </is>
      </c>
      <c r="C6040" s="156" t="inlineStr">
        <is>
          <t>DT-341</t>
        </is>
      </c>
      <c r="D6040" s="156" t="inlineStr">
        <is>
          <t>SYZ324C-8W</t>
        </is>
      </c>
      <c r="E6040" s="156" t="inlineStr">
        <is>
          <t>Hauler</t>
        </is>
      </c>
      <c r="F6040" s="156" t="inlineStr"/>
      <c r="G6040" s="182" t="n">
        <v>0</v>
      </c>
      <c r="H6040" s="182" t="n">
        <v>0</v>
      </c>
      <c r="I6040" s="182" t="n">
        <v>0</v>
      </c>
      <c r="J6040" s="182" t="n">
        <v>0</v>
      </c>
      <c r="K6040" s="182" t="n">
        <v>12</v>
      </c>
      <c r="L6040" s="182" t="n">
        <v>12</v>
      </c>
      <c r="M6040" s="182" t="n">
        <v>0</v>
      </c>
      <c r="N6040" s="182" t="n">
        <v>0</v>
      </c>
      <c r="O6040" s="183" t="n">
        <v>0</v>
      </c>
      <c r="P6040" s="183" t="n">
        <v>0</v>
      </c>
      <c r="Q6040" s="184" t="n">
        <v>0</v>
      </c>
      <c r="R6040" s="184" t="n">
        <v>0</v>
      </c>
      <c r="S6040" s="183" t="n">
        <v>0</v>
      </c>
      <c r="T6040" s="183" t="n">
        <v>0</v>
      </c>
      <c r="U6040" s="182" t="n">
        <v>0</v>
      </c>
      <c r="V6040" s="182" t="n">
        <v>0</v>
      </c>
      <c r="W6040" s="182" t="n">
        <v>0</v>
      </c>
      <c r="X6040" s="182" t="n">
        <v>1</v>
      </c>
      <c r="Y6040" s="182" t="n">
        <v>0</v>
      </c>
      <c r="Z6040" s="182" t="n">
        <v>0</v>
      </c>
      <c r="AA6040" s="182" t="n">
        <v>0</v>
      </c>
      <c r="AB6040" s="182" t="n">
        <v>1</v>
      </c>
      <c r="AC6040" s="182" t="n">
        <v>0</v>
      </c>
      <c r="AD6040" s="182" t="n">
        <v>0</v>
      </c>
      <c r="AE6040" s="182" t="n">
        <v>0</v>
      </c>
      <c r="AF6040" s="182" t="n">
        <v>0</v>
      </c>
      <c r="AG6040" s="182" t="n">
        <v>0</v>
      </c>
      <c r="AH6040" s="182" t="n">
        <v>0</v>
      </c>
      <c r="AI6040" s="182" t="n">
        <v>0</v>
      </c>
      <c r="AJ6040" s="182" t="n">
        <v>0</v>
      </c>
      <c r="AK6040" s="182" t="n">
        <v>9.92</v>
      </c>
      <c r="AL6040" s="182" t="n">
        <v>0</v>
      </c>
      <c r="AM6040" s="182" t="n">
        <v>0.08</v>
      </c>
      <c r="AN6040" s="182" t="n">
        <v>0</v>
      </c>
    </row>
    <row r="6041">
      <c r="A6041" s="155" t="n">
        <v>46109</v>
      </c>
      <c r="B6041" s="156" t="inlineStr">
        <is>
          <t>DS</t>
        </is>
      </c>
      <c r="C6041" s="156" t="inlineStr">
        <is>
          <t>DT-342</t>
        </is>
      </c>
      <c r="D6041" s="156" t="inlineStr">
        <is>
          <t>SYZ324C-8W</t>
        </is>
      </c>
      <c r="E6041" s="156" t="inlineStr">
        <is>
          <t>Hauler</t>
        </is>
      </c>
      <c r="F6041" s="156" t="inlineStr">
        <is>
          <t>Rehandling Material di Washing Plant</t>
        </is>
      </c>
      <c r="G6041" s="182" t="n">
        <v>7.88</v>
      </c>
      <c r="H6041" s="182" t="n">
        <v>0</v>
      </c>
      <c r="I6041" s="182" t="n">
        <v>0</v>
      </c>
      <c r="J6041" s="182" t="n">
        <v>0</v>
      </c>
      <c r="K6041" s="182" t="n">
        <v>4.12</v>
      </c>
      <c r="L6041" s="182" t="n">
        <v>12</v>
      </c>
      <c r="M6041" s="182" t="n">
        <v>0</v>
      </c>
      <c r="N6041" s="182" t="n">
        <v>0</v>
      </c>
      <c r="O6041" s="183" t="n">
        <v>0</v>
      </c>
      <c r="P6041" s="183" t="n">
        <v>0</v>
      </c>
      <c r="Q6041" s="184" t="n">
        <v>0</v>
      </c>
      <c r="R6041" s="184" t="n">
        <v>0</v>
      </c>
      <c r="S6041" s="183" t="n">
        <v>0</v>
      </c>
      <c r="T6041" s="183" t="n">
        <v>0</v>
      </c>
      <c r="U6041" s="182" t="n">
        <v>1.98</v>
      </c>
      <c r="V6041" s="182" t="n">
        <v>0</v>
      </c>
      <c r="W6041" s="182" t="n">
        <v>0</v>
      </c>
      <c r="X6041" s="182" t="n">
        <v>1.03</v>
      </c>
      <c r="Y6041" s="182" t="n">
        <v>0</v>
      </c>
      <c r="Z6041" s="182" t="n">
        <v>0</v>
      </c>
      <c r="AA6041" s="182" t="n">
        <v>0</v>
      </c>
      <c r="AB6041" s="182" t="n">
        <v>1.03</v>
      </c>
      <c r="AC6041" s="182" t="n">
        <v>0</v>
      </c>
      <c r="AD6041" s="182" t="n">
        <v>0</v>
      </c>
      <c r="AE6041" s="182" t="n">
        <v>0</v>
      </c>
      <c r="AF6041" s="182" t="n">
        <v>0</v>
      </c>
      <c r="AG6041" s="182" t="n">
        <v>0</v>
      </c>
      <c r="AH6041" s="182" t="n">
        <v>0</v>
      </c>
      <c r="AI6041" s="182" t="n">
        <v>0</v>
      </c>
      <c r="AJ6041" s="182" t="n">
        <v>0</v>
      </c>
      <c r="AK6041" s="182" t="n">
        <v>0</v>
      </c>
      <c r="AL6041" s="182" t="n">
        <v>0</v>
      </c>
      <c r="AM6041" s="182" t="n">
        <v>0.08</v>
      </c>
      <c r="AN6041" s="182" t="n">
        <v>0</v>
      </c>
    </row>
    <row r="6042">
      <c r="A6042" s="155" t="n">
        <v>46109</v>
      </c>
      <c r="B6042" s="156" t="inlineStr">
        <is>
          <t>DS</t>
        </is>
      </c>
      <c r="C6042" s="156" t="inlineStr">
        <is>
          <t>HD-903</t>
        </is>
      </c>
      <c r="D6042" s="156" t="inlineStr">
        <is>
          <t>SRT 95C</t>
        </is>
      </c>
      <c r="E6042" s="156" t="inlineStr">
        <is>
          <t>Hauler</t>
        </is>
      </c>
      <c r="F6042" s="156" t="inlineStr">
        <is>
          <t>Hauling OB</t>
        </is>
      </c>
      <c r="G6042" s="182" t="n">
        <v>2.55</v>
      </c>
      <c r="H6042" s="182" t="n">
        <v>0</v>
      </c>
      <c r="I6042" s="182" t="n">
        <v>0</v>
      </c>
      <c r="J6042" s="182" t="n">
        <v>0</v>
      </c>
      <c r="K6042" s="182" t="n">
        <v>9.449999999999999</v>
      </c>
      <c r="L6042" s="182" t="n">
        <v>12</v>
      </c>
      <c r="M6042" s="182" t="n">
        <v>2.55</v>
      </c>
      <c r="N6042" s="182" t="n">
        <v>0</v>
      </c>
      <c r="O6042" s="183" t="n">
        <v>13</v>
      </c>
      <c r="P6042" s="183" t="n">
        <v>0</v>
      </c>
      <c r="Q6042" s="184" t="n">
        <v>464.1</v>
      </c>
      <c r="R6042" s="184" t="n">
        <v>0</v>
      </c>
      <c r="S6042" s="183" t="n">
        <v>0</v>
      </c>
      <c r="T6042" s="183" t="n">
        <v>0</v>
      </c>
      <c r="U6042" s="182" t="n">
        <v>4.26</v>
      </c>
      <c r="V6042" s="182" t="n">
        <v>2.49</v>
      </c>
      <c r="W6042" s="182" t="n">
        <v>0</v>
      </c>
      <c r="X6042" s="182" t="n">
        <v>0.99</v>
      </c>
      <c r="Y6042" s="182" t="n">
        <v>0</v>
      </c>
      <c r="Z6042" s="182" t="n">
        <v>0</v>
      </c>
      <c r="AA6042" s="182" t="n">
        <v>0</v>
      </c>
      <c r="AB6042" s="182" t="n">
        <v>0.99</v>
      </c>
      <c r="AC6042" s="182" t="n">
        <v>0</v>
      </c>
      <c r="AD6042" s="182" t="n">
        <v>0</v>
      </c>
      <c r="AE6042" s="182" t="n">
        <v>0</v>
      </c>
      <c r="AF6042" s="182" t="n">
        <v>0</v>
      </c>
      <c r="AG6042" s="182" t="n">
        <v>0</v>
      </c>
      <c r="AH6042" s="182" t="n">
        <v>0.64</v>
      </c>
      <c r="AI6042" s="182" t="n">
        <v>0</v>
      </c>
      <c r="AJ6042" s="182" t="n">
        <v>0</v>
      </c>
      <c r="AK6042" s="182" t="n">
        <v>0</v>
      </c>
      <c r="AL6042" s="182" t="n">
        <v>0</v>
      </c>
      <c r="AM6042" s="182" t="n">
        <v>0.08</v>
      </c>
      <c r="AN6042" s="182" t="n">
        <v>0</v>
      </c>
    </row>
    <row r="6043">
      <c r="A6043" s="155" t="n">
        <v>46109</v>
      </c>
      <c r="B6043" s="156" t="inlineStr">
        <is>
          <t>DS</t>
        </is>
      </c>
      <c r="C6043" s="156" t="inlineStr">
        <is>
          <t>HD-905</t>
        </is>
      </c>
      <c r="D6043" s="156" t="inlineStr">
        <is>
          <t>SRT 95C</t>
        </is>
      </c>
      <c r="E6043" s="156" t="inlineStr">
        <is>
          <t>Hauler</t>
        </is>
      </c>
      <c r="F6043" s="156" t="inlineStr">
        <is>
          <t>Hauling OB</t>
        </is>
      </c>
      <c r="G6043" s="182" t="n">
        <v>1.98</v>
      </c>
      <c r="H6043" s="182" t="n">
        <v>0</v>
      </c>
      <c r="I6043" s="182" t="n">
        <v>9.08</v>
      </c>
      <c r="J6043" s="182" t="n">
        <v>9.08</v>
      </c>
      <c r="K6043" s="182" t="n">
        <v>0.9399999999999999</v>
      </c>
      <c r="L6043" s="182" t="n">
        <v>12</v>
      </c>
      <c r="M6043" s="182" t="n">
        <v>1.98</v>
      </c>
      <c r="N6043" s="182" t="n">
        <v>0</v>
      </c>
      <c r="O6043" s="183" t="n">
        <v>7</v>
      </c>
      <c r="P6043" s="183" t="n">
        <v>0</v>
      </c>
      <c r="Q6043" s="184" t="n">
        <v>249.9</v>
      </c>
      <c r="R6043" s="184" t="n">
        <v>0</v>
      </c>
      <c r="S6043" s="183" t="n">
        <v>0</v>
      </c>
      <c r="T6043" s="183" t="n">
        <v>0</v>
      </c>
      <c r="U6043" s="182" t="n">
        <v>0</v>
      </c>
      <c r="V6043" s="182" t="n">
        <v>0</v>
      </c>
      <c r="W6043" s="182" t="n">
        <v>0</v>
      </c>
      <c r="X6043" s="182" t="n">
        <v>0.03</v>
      </c>
      <c r="Y6043" s="182" t="n">
        <v>0</v>
      </c>
      <c r="Z6043" s="182" t="n">
        <v>0</v>
      </c>
      <c r="AA6043" s="182" t="n">
        <v>0</v>
      </c>
      <c r="AB6043" s="182" t="n">
        <v>0.84</v>
      </c>
      <c r="AC6043" s="182" t="n">
        <v>0</v>
      </c>
      <c r="AD6043" s="182" t="n">
        <v>0</v>
      </c>
      <c r="AE6043" s="182" t="n">
        <v>0</v>
      </c>
      <c r="AF6043" s="182" t="n">
        <v>0</v>
      </c>
      <c r="AG6043" s="182" t="n">
        <v>0</v>
      </c>
      <c r="AH6043" s="182" t="n">
        <v>0</v>
      </c>
      <c r="AI6043" s="182" t="n">
        <v>0</v>
      </c>
      <c r="AJ6043" s="182" t="n">
        <v>0</v>
      </c>
      <c r="AK6043" s="182" t="n">
        <v>0</v>
      </c>
      <c r="AL6043" s="182" t="n">
        <v>0</v>
      </c>
      <c r="AM6043" s="182" t="n">
        <v>0.07000000000000001</v>
      </c>
      <c r="AN6043" s="182" t="n">
        <v>0</v>
      </c>
    </row>
    <row r="6044">
      <c r="A6044" s="155" t="n">
        <v>46109</v>
      </c>
      <c r="B6044" s="156" t="inlineStr">
        <is>
          <t>DS</t>
        </is>
      </c>
      <c r="C6044" s="156" t="inlineStr">
        <is>
          <t>HD-901</t>
        </is>
      </c>
      <c r="D6044" s="156" t="inlineStr">
        <is>
          <t>SRT 95C</t>
        </is>
      </c>
      <c r="E6044" s="156" t="inlineStr">
        <is>
          <t>Hauler</t>
        </is>
      </c>
      <c r="F6044" s="156" t="inlineStr">
        <is>
          <t>Hauling OB</t>
        </is>
      </c>
      <c r="G6044" s="182" t="n">
        <v>1.76</v>
      </c>
      <c r="H6044" s="182" t="n">
        <v>0</v>
      </c>
      <c r="I6044" s="182" t="n">
        <v>0.85</v>
      </c>
      <c r="J6044" s="182" t="n">
        <v>0.85</v>
      </c>
      <c r="K6044" s="182" t="n">
        <v>9.390000000000001</v>
      </c>
      <c r="L6044" s="182" t="n">
        <v>12</v>
      </c>
      <c r="M6044" s="182" t="n">
        <v>1.76</v>
      </c>
      <c r="N6044" s="182" t="n">
        <v>0</v>
      </c>
      <c r="O6044" s="183" t="n">
        <v>6</v>
      </c>
      <c r="P6044" s="183" t="n">
        <v>0</v>
      </c>
      <c r="Q6044" s="184" t="n">
        <v>214.2</v>
      </c>
      <c r="R6044" s="184" t="n">
        <v>0</v>
      </c>
      <c r="S6044" s="183" t="n">
        <v>0</v>
      </c>
      <c r="T6044" s="183" t="n">
        <v>0</v>
      </c>
      <c r="U6044" s="182" t="n">
        <v>4.21</v>
      </c>
      <c r="V6044" s="182" t="n">
        <v>2.46</v>
      </c>
      <c r="W6044" s="182" t="n">
        <v>0</v>
      </c>
      <c r="X6044" s="182" t="n">
        <v>0.98</v>
      </c>
      <c r="Y6044" s="182" t="n">
        <v>0</v>
      </c>
      <c r="Z6044" s="182" t="n">
        <v>0</v>
      </c>
      <c r="AA6044" s="182" t="n">
        <v>0</v>
      </c>
      <c r="AB6044" s="182" t="n">
        <v>0.98</v>
      </c>
      <c r="AC6044" s="182" t="n">
        <v>0</v>
      </c>
      <c r="AD6044" s="182" t="n">
        <v>0</v>
      </c>
      <c r="AE6044" s="182" t="n">
        <v>0</v>
      </c>
      <c r="AF6044" s="182" t="n">
        <v>0</v>
      </c>
      <c r="AG6044" s="182" t="n">
        <v>0</v>
      </c>
      <c r="AH6044" s="182" t="n">
        <v>0.68</v>
      </c>
      <c r="AI6044" s="182" t="n">
        <v>0</v>
      </c>
      <c r="AJ6044" s="182" t="n">
        <v>0</v>
      </c>
      <c r="AK6044" s="182" t="n">
        <v>0</v>
      </c>
      <c r="AL6044" s="182" t="n">
        <v>0</v>
      </c>
      <c r="AM6044" s="182" t="n">
        <v>0.08</v>
      </c>
      <c r="AN6044" s="182" t="n">
        <v>0</v>
      </c>
    </row>
    <row r="6045">
      <c r="A6045" s="155" t="n">
        <v>46109</v>
      </c>
      <c r="B6045" s="156" t="inlineStr">
        <is>
          <t>DS</t>
        </is>
      </c>
      <c r="C6045" s="156" t="inlineStr">
        <is>
          <t>HD-904</t>
        </is>
      </c>
      <c r="D6045" s="156" t="inlineStr">
        <is>
          <t>SRT 95C</t>
        </is>
      </c>
      <c r="E6045" s="156" t="inlineStr">
        <is>
          <t>Hauler</t>
        </is>
      </c>
      <c r="F6045" s="156" t="inlineStr"/>
      <c r="G6045" s="182" t="n">
        <v>0</v>
      </c>
      <c r="H6045" s="182" t="n">
        <v>0</v>
      </c>
      <c r="I6045" s="182" t="n">
        <v>12</v>
      </c>
      <c r="J6045" s="182" t="n">
        <v>12</v>
      </c>
      <c r="K6045" s="182" t="n">
        <v>0</v>
      </c>
      <c r="L6045" s="182" t="n">
        <v>12</v>
      </c>
      <c r="M6045" s="182" t="n">
        <v>0</v>
      </c>
      <c r="N6045" s="182" t="n">
        <v>0</v>
      </c>
      <c r="O6045" s="183" t="n">
        <v>0</v>
      </c>
      <c r="P6045" s="183" t="n">
        <v>0</v>
      </c>
      <c r="Q6045" s="184" t="n">
        <v>0</v>
      </c>
      <c r="R6045" s="184" t="n">
        <v>0</v>
      </c>
      <c r="S6045" s="183" t="n">
        <v>0</v>
      </c>
      <c r="T6045" s="183" t="n">
        <v>0</v>
      </c>
      <c r="U6045" s="182" t="n">
        <v>0</v>
      </c>
      <c r="V6045" s="182" t="n">
        <v>0</v>
      </c>
      <c r="W6045" s="182" t="n">
        <v>0</v>
      </c>
      <c r="X6045" s="182" t="n">
        <v>0</v>
      </c>
      <c r="Y6045" s="182" t="n">
        <v>0</v>
      </c>
      <c r="Z6045" s="182" t="n">
        <v>0</v>
      </c>
      <c r="AA6045" s="182" t="n">
        <v>0</v>
      </c>
      <c r="AB6045" s="182" t="n">
        <v>0</v>
      </c>
      <c r="AC6045" s="182" t="n">
        <v>0</v>
      </c>
      <c r="AD6045" s="182" t="n">
        <v>0</v>
      </c>
      <c r="AE6045" s="182" t="n">
        <v>0</v>
      </c>
      <c r="AF6045" s="182" t="n">
        <v>0</v>
      </c>
      <c r="AG6045" s="182" t="n">
        <v>0</v>
      </c>
      <c r="AH6045" s="182" t="n">
        <v>0</v>
      </c>
      <c r="AI6045" s="182" t="n">
        <v>0</v>
      </c>
      <c r="AJ6045" s="182" t="n">
        <v>0</v>
      </c>
      <c r="AK6045" s="182" t="n">
        <v>0</v>
      </c>
      <c r="AL6045" s="182" t="n">
        <v>0</v>
      </c>
      <c r="AM6045" s="182" t="n">
        <v>0</v>
      </c>
      <c r="AN6045" s="182" t="n">
        <v>0</v>
      </c>
    </row>
    <row r="6046">
      <c r="A6046" s="155" t="n">
        <v>46109</v>
      </c>
      <c r="B6046" s="156" t="inlineStr">
        <is>
          <t>DS</t>
        </is>
      </c>
      <c r="C6046" s="156" t="inlineStr">
        <is>
          <t>HD-902</t>
        </is>
      </c>
      <c r="D6046" s="156" t="inlineStr">
        <is>
          <t>SRT 95C</t>
        </is>
      </c>
      <c r="E6046" s="156" t="inlineStr">
        <is>
          <t>Hauler</t>
        </is>
      </c>
      <c r="F6046" s="156" t="inlineStr">
        <is>
          <t>Hauling OB</t>
        </is>
      </c>
      <c r="G6046" s="182" t="n">
        <v>2.75</v>
      </c>
      <c r="H6046" s="182" t="n">
        <v>0</v>
      </c>
      <c r="I6046" s="182" t="n">
        <v>1.25</v>
      </c>
      <c r="J6046" s="182" t="n">
        <v>1.25</v>
      </c>
      <c r="K6046" s="182" t="n">
        <v>8</v>
      </c>
      <c r="L6046" s="182" t="n">
        <v>12</v>
      </c>
      <c r="M6046" s="182" t="n">
        <v>2.75</v>
      </c>
      <c r="N6046" s="182" t="n">
        <v>0</v>
      </c>
      <c r="O6046" s="183" t="n">
        <v>11</v>
      </c>
      <c r="P6046" s="183" t="n">
        <v>0</v>
      </c>
      <c r="Q6046" s="184" t="n">
        <v>392.7</v>
      </c>
      <c r="R6046" s="184" t="n">
        <v>0</v>
      </c>
      <c r="S6046" s="183" t="n">
        <v>0</v>
      </c>
      <c r="T6046" s="183" t="n">
        <v>0</v>
      </c>
      <c r="U6046" s="182" t="n">
        <v>4.42</v>
      </c>
      <c r="V6046" s="182" t="n">
        <v>1.43</v>
      </c>
      <c r="W6046" s="182" t="n">
        <v>0</v>
      </c>
      <c r="X6046" s="182" t="n">
        <v>1.03</v>
      </c>
      <c r="Y6046" s="182" t="n">
        <v>0</v>
      </c>
      <c r="Z6046" s="182" t="n">
        <v>0</v>
      </c>
      <c r="AA6046" s="182" t="n">
        <v>0</v>
      </c>
      <c r="AB6046" s="182" t="n">
        <v>1.03</v>
      </c>
      <c r="AC6046" s="182" t="n">
        <v>0</v>
      </c>
      <c r="AD6046" s="182" t="n">
        <v>0</v>
      </c>
      <c r="AE6046" s="182" t="n">
        <v>0</v>
      </c>
      <c r="AF6046" s="182" t="n">
        <v>0</v>
      </c>
      <c r="AG6046" s="182" t="n">
        <v>0</v>
      </c>
      <c r="AH6046" s="182" t="n">
        <v>0</v>
      </c>
      <c r="AI6046" s="182" t="n">
        <v>0</v>
      </c>
      <c r="AJ6046" s="182" t="n">
        <v>0</v>
      </c>
      <c r="AK6046" s="182" t="n">
        <v>0</v>
      </c>
      <c r="AL6046" s="182" t="n">
        <v>0</v>
      </c>
      <c r="AM6046" s="182" t="n">
        <v>0.08</v>
      </c>
      <c r="AN6046" s="182" t="n">
        <v>0</v>
      </c>
    </row>
    <row r="6047">
      <c r="A6047" s="155" t="n">
        <v>46109</v>
      </c>
      <c r="B6047" s="156" t="inlineStr">
        <is>
          <t>DS</t>
        </is>
      </c>
      <c r="C6047" s="156" t="inlineStr">
        <is>
          <t>WL-025</t>
        </is>
      </c>
      <c r="D6047" s="156" t="inlineStr">
        <is>
          <t>SANY - Loader</t>
        </is>
      </c>
      <c r="E6047" s="156" t="inlineStr">
        <is>
          <t>Loader</t>
        </is>
      </c>
      <c r="F6047" s="156" t="inlineStr"/>
      <c r="G6047" s="182" t="n">
        <v>0</v>
      </c>
      <c r="H6047" s="182" t="n">
        <v>0</v>
      </c>
      <c r="I6047" s="182" t="n">
        <v>0</v>
      </c>
      <c r="J6047" s="182" t="n">
        <v>0</v>
      </c>
      <c r="K6047" s="182" t="n">
        <v>12</v>
      </c>
      <c r="L6047" s="182" t="n">
        <v>12</v>
      </c>
      <c r="M6047" s="182" t="n">
        <v>0</v>
      </c>
      <c r="N6047" s="182" t="n">
        <v>0</v>
      </c>
      <c r="O6047" s="183" t="n">
        <v>0</v>
      </c>
      <c r="P6047" s="183" t="n">
        <v>0</v>
      </c>
      <c r="Q6047" s="184" t="n">
        <v>0</v>
      </c>
      <c r="R6047" s="184" t="n">
        <v>0</v>
      </c>
      <c r="S6047" s="183" t="n">
        <v>0</v>
      </c>
      <c r="T6047" s="183" t="n">
        <v>0</v>
      </c>
      <c r="U6047" s="182" t="n">
        <v>0</v>
      </c>
      <c r="V6047" s="182" t="n">
        <v>0</v>
      </c>
      <c r="W6047" s="182" t="n">
        <v>0</v>
      </c>
      <c r="X6047" s="182" t="n">
        <v>1</v>
      </c>
      <c r="Y6047" s="182" t="n">
        <v>0</v>
      </c>
      <c r="Z6047" s="182" t="n">
        <v>0</v>
      </c>
      <c r="AA6047" s="182" t="n">
        <v>0</v>
      </c>
      <c r="AB6047" s="182" t="n">
        <v>1</v>
      </c>
      <c r="AC6047" s="182" t="n">
        <v>0</v>
      </c>
      <c r="AD6047" s="182" t="n">
        <v>0</v>
      </c>
      <c r="AE6047" s="182" t="n">
        <v>0</v>
      </c>
      <c r="AF6047" s="182" t="n">
        <v>0</v>
      </c>
      <c r="AG6047" s="182" t="n">
        <v>0</v>
      </c>
      <c r="AH6047" s="182" t="n">
        <v>0</v>
      </c>
      <c r="AI6047" s="182" t="n">
        <v>0</v>
      </c>
      <c r="AJ6047" s="182" t="n">
        <v>0</v>
      </c>
      <c r="AK6047" s="182" t="n">
        <v>9.92</v>
      </c>
      <c r="AL6047" s="182" t="n">
        <v>0</v>
      </c>
      <c r="AM6047" s="182" t="n">
        <v>0.08</v>
      </c>
      <c r="AN6047" s="182" t="n">
        <v>0</v>
      </c>
    </row>
    <row r="6048">
      <c r="A6048" s="155" t="n">
        <v>46109</v>
      </c>
      <c r="B6048" s="156" t="inlineStr">
        <is>
          <t>DS</t>
        </is>
      </c>
      <c r="C6048" s="156" t="inlineStr">
        <is>
          <t>WL-023</t>
        </is>
      </c>
      <c r="D6048" s="156" t="inlineStr">
        <is>
          <t>SANY - Loader</t>
        </is>
      </c>
      <c r="E6048" s="156" t="inlineStr">
        <is>
          <t>Loader</t>
        </is>
      </c>
      <c r="F6048" s="156" t="inlineStr"/>
      <c r="G6048" s="182" t="n">
        <v>0</v>
      </c>
      <c r="H6048" s="182" t="n">
        <v>0</v>
      </c>
      <c r="I6048" s="182" t="n">
        <v>0</v>
      </c>
      <c r="J6048" s="182" t="n">
        <v>0</v>
      </c>
      <c r="K6048" s="182" t="n">
        <v>12</v>
      </c>
      <c r="L6048" s="182" t="n">
        <v>12</v>
      </c>
      <c r="M6048" s="182" t="n">
        <v>0</v>
      </c>
      <c r="N6048" s="182" t="n">
        <v>0</v>
      </c>
      <c r="O6048" s="183" t="n">
        <v>0</v>
      </c>
      <c r="P6048" s="183" t="n">
        <v>0</v>
      </c>
      <c r="Q6048" s="184" t="n">
        <v>0</v>
      </c>
      <c r="R6048" s="184" t="n">
        <v>0</v>
      </c>
      <c r="S6048" s="183" t="n">
        <v>0</v>
      </c>
      <c r="T6048" s="183" t="n">
        <v>0</v>
      </c>
      <c r="U6048" s="182" t="n">
        <v>0</v>
      </c>
      <c r="V6048" s="182" t="n">
        <v>0</v>
      </c>
      <c r="W6048" s="182" t="n">
        <v>0</v>
      </c>
      <c r="X6048" s="182" t="n">
        <v>1</v>
      </c>
      <c r="Y6048" s="182" t="n">
        <v>0</v>
      </c>
      <c r="Z6048" s="182" t="n">
        <v>0</v>
      </c>
      <c r="AA6048" s="182" t="n">
        <v>0</v>
      </c>
      <c r="AB6048" s="182" t="n">
        <v>1</v>
      </c>
      <c r="AC6048" s="182" t="n">
        <v>0</v>
      </c>
      <c r="AD6048" s="182" t="n">
        <v>0</v>
      </c>
      <c r="AE6048" s="182" t="n">
        <v>0</v>
      </c>
      <c r="AF6048" s="182" t="n">
        <v>0</v>
      </c>
      <c r="AG6048" s="182" t="n">
        <v>0</v>
      </c>
      <c r="AH6048" s="182" t="n">
        <v>0</v>
      </c>
      <c r="AI6048" s="182" t="n">
        <v>0</v>
      </c>
      <c r="AJ6048" s="182" t="n">
        <v>0</v>
      </c>
      <c r="AK6048" s="182" t="n">
        <v>9.92</v>
      </c>
      <c r="AL6048" s="182" t="n">
        <v>0</v>
      </c>
      <c r="AM6048" s="182" t="n">
        <v>0.08</v>
      </c>
      <c r="AN6048" s="182" t="n">
        <v>0</v>
      </c>
    </row>
    <row r="6049">
      <c r="A6049" s="155" t="n">
        <v>46109</v>
      </c>
      <c r="B6049" s="156" t="inlineStr">
        <is>
          <t>DS</t>
        </is>
      </c>
      <c r="C6049" s="156" t="inlineStr">
        <is>
          <t>WL-021</t>
        </is>
      </c>
      <c r="D6049" s="156" t="inlineStr">
        <is>
          <t>SANY - Loader</t>
        </is>
      </c>
      <c r="E6049" s="156" t="inlineStr">
        <is>
          <t>Loader</t>
        </is>
      </c>
      <c r="F6049" s="156" t="inlineStr"/>
      <c r="G6049" s="182" t="n">
        <v>0</v>
      </c>
      <c r="H6049" s="182" t="n">
        <v>0</v>
      </c>
      <c r="I6049" s="182" t="n">
        <v>12</v>
      </c>
      <c r="J6049" s="182" t="n">
        <v>12</v>
      </c>
      <c r="K6049" s="182" t="n">
        <v>0</v>
      </c>
      <c r="L6049" s="182" t="n">
        <v>12</v>
      </c>
      <c r="M6049" s="182" t="n">
        <v>0</v>
      </c>
      <c r="N6049" s="182" t="n">
        <v>0</v>
      </c>
      <c r="O6049" s="183" t="n">
        <v>0</v>
      </c>
      <c r="P6049" s="183" t="n">
        <v>0</v>
      </c>
      <c r="Q6049" s="184" t="n">
        <v>0</v>
      </c>
      <c r="R6049" s="184" t="n">
        <v>0</v>
      </c>
      <c r="S6049" s="183" t="n">
        <v>0</v>
      </c>
      <c r="T6049" s="183" t="n">
        <v>0</v>
      </c>
      <c r="U6049" s="182" t="n">
        <v>0</v>
      </c>
      <c r="V6049" s="182" t="n">
        <v>0</v>
      </c>
      <c r="W6049" s="182" t="n">
        <v>0</v>
      </c>
      <c r="X6049" s="182" t="n">
        <v>0</v>
      </c>
      <c r="Y6049" s="182" t="n">
        <v>0</v>
      </c>
      <c r="Z6049" s="182" t="n">
        <v>0</v>
      </c>
      <c r="AA6049" s="182" t="n">
        <v>0</v>
      </c>
      <c r="AB6049" s="182" t="n">
        <v>0</v>
      </c>
      <c r="AC6049" s="182" t="n">
        <v>0</v>
      </c>
      <c r="AD6049" s="182" t="n">
        <v>0</v>
      </c>
      <c r="AE6049" s="182" t="n">
        <v>0</v>
      </c>
      <c r="AF6049" s="182" t="n">
        <v>0</v>
      </c>
      <c r="AG6049" s="182" t="n">
        <v>0</v>
      </c>
      <c r="AH6049" s="182" t="n">
        <v>0</v>
      </c>
      <c r="AI6049" s="182" t="n">
        <v>0</v>
      </c>
      <c r="AJ6049" s="182" t="n">
        <v>0</v>
      </c>
      <c r="AK6049" s="182" t="n">
        <v>0</v>
      </c>
      <c r="AL6049" s="182" t="n">
        <v>0</v>
      </c>
      <c r="AM6049" s="182" t="n">
        <v>0</v>
      </c>
      <c r="AN6049" s="182" t="n">
        <v>0</v>
      </c>
    </row>
    <row r="6050">
      <c r="A6050" s="155" t="n">
        <v>46109</v>
      </c>
      <c r="B6050" s="156" t="inlineStr">
        <is>
          <t>DS</t>
        </is>
      </c>
      <c r="C6050" s="156" t="inlineStr">
        <is>
          <t>WL-022</t>
        </is>
      </c>
      <c r="D6050" s="156" t="inlineStr">
        <is>
          <t>SANY - Loader</t>
        </is>
      </c>
      <c r="E6050" s="156" t="inlineStr">
        <is>
          <t>Loader</t>
        </is>
      </c>
      <c r="F6050" s="156" t="inlineStr">
        <is>
          <t>Trimming Coal di Washing Plant</t>
        </is>
      </c>
      <c r="G6050" s="182" t="n">
        <v>6</v>
      </c>
      <c r="H6050" s="182" t="n">
        <v>0</v>
      </c>
      <c r="I6050" s="182" t="n">
        <v>0</v>
      </c>
      <c r="J6050" s="182" t="n">
        <v>0</v>
      </c>
      <c r="K6050" s="182" t="n">
        <v>6</v>
      </c>
      <c r="L6050" s="182" t="n">
        <v>12</v>
      </c>
      <c r="M6050" s="182" t="n">
        <v>0</v>
      </c>
      <c r="N6050" s="182" t="n">
        <v>0</v>
      </c>
      <c r="O6050" s="183" t="n">
        <v>0</v>
      </c>
      <c r="P6050" s="183" t="n">
        <v>0</v>
      </c>
      <c r="Q6050" s="184" t="n">
        <v>0</v>
      </c>
      <c r="R6050" s="184" t="n">
        <v>0</v>
      </c>
      <c r="S6050" s="183" t="n">
        <v>0</v>
      </c>
      <c r="T6050" s="183" t="n">
        <v>0</v>
      </c>
      <c r="U6050" s="182" t="n">
        <v>3.95</v>
      </c>
      <c r="V6050" s="182" t="n">
        <v>0</v>
      </c>
      <c r="W6050" s="182" t="n">
        <v>0</v>
      </c>
      <c r="X6050" s="182" t="n">
        <v>0.98</v>
      </c>
      <c r="Y6050" s="182" t="n">
        <v>0</v>
      </c>
      <c r="Z6050" s="182" t="n">
        <v>0</v>
      </c>
      <c r="AA6050" s="182" t="n">
        <v>0</v>
      </c>
      <c r="AB6050" s="182" t="n">
        <v>0.98</v>
      </c>
      <c r="AC6050" s="182" t="n">
        <v>0</v>
      </c>
      <c r="AD6050" s="182" t="n">
        <v>0</v>
      </c>
      <c r="AE6050" s="182" t="n">
        <v>0</v>
      </c>
      <c r="AF6050" s="182" t="n">
        <v>0</v>
      </c>
      <c r="AG6050" s="182" t="n">
        <v>0</v>
      </c>
      <c r="AH6050" s="182" t="n">
        <v>0</v>
      </c>
      <c r="AI6050" s="182" t="n">
        <v>0</v>
      </c>
      <c r="AJ6050" s="182" t="n">
        <v>0</v>
      </c>
      <c r="AK6050" s="182" t="n">
        <v>0</v>
      </c>
      <c r="AL6050" s="182" t="n">
        <v>0</v>
      </c>
      <c r="AM6050" s="182" t="n">
        <v>0.08</v>
      </c>
      <c r="AN6050" s="182" t="n">
        <v>0</v>
      </c>
    </row>
    <row r="6051">
      <c r="A6051" s="155" t="n">
        <v>46109</v>
      </c>
      <c r="B6051" s="156" t="inlineStr">
        <is>
          <t>DS</t>
        </is>
      </c>
      <c r="C6051" s="156" t="inlineStr">
        <is>
          <t>WL-024</t>
        </is>
      </c>
      <c r="D6051" s="156" t="inlineStr">
        <is>
          <t>SANY - Loader</t>
        </is>
      </c>
      <c r="E6051" s="156" t="inlineStr">
        <is>
          <t>Loader</t>
        </is>
      </c>
      <c r="F6051" s="156" t="inlineStr">
        <is>
          <t>Timesheet Kosong</t>
        </is>
      </c>
      <c r="G6051" s="182" t="n">
        <v>9.67</v>
      </c>
      <c r="H6051" s="182" t="n">
        <v>0</v>
      </c>
      <c r="I6051" s="182" t="n">
        <v>0</v>
      </c>
      <c r="J6051" s="182" t="n">
        <v>0</v>
      </c>
      <c r="K6051" s="182" t="n">
        <v>2.33</v>
      </c>
      <c r="L6051" s="182" t="n">
        <v>12</v>
      </c>
      <c r="M6051" s="182" t="n">
        <v>0</v>
      </c>
      <c r="N6051" s="182" t="n">
        <v>0</v>
      </c>
      <c r="O6051" s="183" t="n">
        <v>0</v>
      </c>
      <c r="P6051" s="183" t="n">
        <v>0</v>
      </c>
      <c r="Q6051" s="184" t="n">
        <v>0</v>
      </c>
      <c r="R6051" s="184" t="n">
        <v>0</v>
      </c>
      <c r="S6051" s="183" t="n">
        <v>0</v>
      </c>
      <c r="T6051" s="183" t="n">
        <v>0</v>
      </c>
      <c r="U6051" s="182" t="n">
        <v>0</v>
      </c>
      <c r="V6051" s="182" t="n">
        <v>0</v>
      </c>
      <c r="W6051" s="182" t="n">
        <v>0</v>
      </c>
      <c r="X6051" s="182" t="n">
        <v>1.01</v>
      </c>
      <c r="Y6051" s="182" t="n">
        <v>0</v>
      </c>
      <c r="Z6051" s="182" t="n">
        <v>0</v>
      </c>
      <c r="AA6051" s="182" t="n">
        <v>0</v>
      </c>
      <c r="AB6051" s="182" t="n">
        <v>1.01</v>
      </c>
      <c r="AC6051" s="182" t="n">
        <v>0</v>
      </c>
      <c r="AD6051" s="182" t="n">
        <v>0</v>
      </c>
      <c r="AE6051" s="182" t="n">
        <v>0</v>
      </c>
      <c r="AF6051" s="182" t="n">
        <v>0</v>
      </c>
      <c r="AG6051" s="182" t="n">
        <v>0</v>
      </c>
      <c r="AH6051" s="182" t="n">
        <v>0</v>
      </c>
      <c r="AI6051" s="182" t="n">
        <v>0</v>
      </c>
      <c r="AJ6051" s="182" t="n">
        <v>0</v>
      </c>
      <c r="AK6051" s="182" t="n">
        <v>0.22</v>
      </c>
      <c r="AL6051" s="182" t="n">
        <v>0</v>
      </c>
      <c r="AM6051" s="182" t="n">
        <v>0.08</v>
      </c>
      <c r="AN6051" s="182" t="n">
        <v>0</v>
      </c>
    </row>
    <row r="6052">
      <c r="A6052" s="155" t="n">
        <v>46109</v>
      </c>
      <c r="B6052" s="156" t="inlineStr">
        <is>
          <t>NS</t>
        </is>
      </c>
      <c r="C6052" s="156" t="inlineStr">
        <is>
          <t>DZ-034</t>
        </is>
      </c>
      <c r="D6052" s="156" t="inlineStr">
        <is>
          <t>D 68ESS-12EO</t>
        </is>
      </c>
      <c r="E6052" s="156" t="inlineStr">
        <is>
          <t>Bulldozer</t>
        </is>
      </c>
      <c r="F6052" s="156" t="inlineStr"/>
      <c r="G6052" s="182" t="n">
        <v>0</v>
      </c>
      <c r="H6052" s="182" t="n">
        <v>0</v>
      </c>
      <c r="I6052" s="182" t="n">
        <v>12</v>
      </c>
      <c r="J6052" s="182" t="n">
        <v>12</v>
      </c>
      <c r="K6052" s="182" t="n">
        <v>0</v>
      </c>
      <c r="L6052" s="182" t="n">
        <v>12</v>
      </c>
      <c r="M6052" s="182" t="n">
        <v>0</v>
      </c>
      <c r="N6052" s="182" t="n">
        <v>0</v>
      </c>
      <c r="O6052" s="183" t="n">
        <v>0</v>
      </c>
      <c r="P6052" s="183" t="n">
        <v>0</v>
      </c>
      <c r="Q6052" s="184" t="n">
        <v>0</v>
      </c>
      <c r="R6052" s="184" t="n">
        <v>0</v>
      </c>
      <c r="S6052" s="183" t="n">
        <v>0</v>
      </c>
      <c r="T6052" s="183" t="n">
        <v>0</v>
      </c>
      <c r="U6052" s="182" t="n">
        <v>0</v>
      </c>
      <c r="V6052" s="182" t="n">
        <v>0</v>
      </c>
      <c r="W6052" s="182" t="n">
        <v>0</v>
      </c>
      <c r="X6052" s="182" t="n">
        <v>0</v>
      </c>
      <c r="Y6052" s="182" t="n">
        <v>0</v>
      </c>
      <c r="Z6052" s="182" t="n">
        <v>0</v>
      </c>
      <c r="AA6052" s="182" t="n">
        <v>0</v>
      </c>
      <c r="AB6052" s="182" t="n">
        <v>0</v>
      </c>
      <c r="AC6052" s="182" t="n">
        <v>0</v>
      </c>
      <c r="AD6052" s="182" t="n">
        <v>0</v>
      </c>
      <c r="AE6052" s="182" t="n">
        <v>0</v>
      </c>
      <c r="AF6052" s="182" t="n">
        <v>0</v>
      </c>
      <c r="AG6052" s="182" t="n">
        <v>0</v>
      </c>
      <c r="AH6052" s="182" t="n">
        <v>0</v>
      </c>
      <c r="AI6052" s="182" t="n">
        <v>0</v>
      </c>
      <c r="AJ6052" s="182" t="n">
        <v>0</v>
      </c>
      <c r="AK6052" s="182" t="n">
        <v>0</v>
      </c>
      <c r="AL6052" s="182" t="n">
        <v>0</v>
      </c>
      <c r="AM6052" s="182" t="n">
        <v>0</v>
      </c>
      <c r="AN6052" s="182" t="n">
        <v>0</v>
      </c>
    </row>
    <row r="6053">
      <c r="A6053" s="155" t="n">
        <v>46109</v>
      </c>
      <c r="B6053" s="156" t="inlineStr">
        <is>
          <t>NS</t>
        </is>
      </c>
      <c r="C6053" s="156" t="inlineStr">
        <is>
          <t>DZ-033</t>
        </is>
      </c>
      <c r="D6053" s="156" t="inlineStr">
        <is>
          <t>D 375A-6R</t>
        </is>
      </c>
      <c r="E6053" s="156" t="inlineStr">
        <is>
          <t>Bulldozer</t>
        </is>
      </c>
      <c r="F6053" s="156" t="inlineStr"/>
      <c r="G6053" s="182" t="n">
        <v>0</v>
      </c>
      <c r="H6053" s="182" t="n">
        <v>0</v>
      </c>
      <c r="I6053" s="182" t="n">
        <v>9.92</v>
      </c>
      <c r="J6053" s="182" t="n">
        <v>9.92</v>
      </c>
      <c r="K6053" s="182" t="n">
        <v>2.08</v>
      </c>
      <c r="L6053" s="182" t="n">
        <v>12</v>
      </c>
      <c r="M6053" s="182" t="n">
        <v>0</v>
      </c>
      <c r="N6053" s="182" t="n">
        <v>0</v>
      </c>
      <c r="O6053" s="183" t="n">
        <v>0</v>
      </c>
      <c r="P6053" s="183" t="n">
        <v>0</v>
      </c>
      <c r="Q6053" s="184" t="n">
        <v>0</v>
      </c>
      <c r="R6053" s="184" t="n">
        <v>0</v>
      </c>
      <c r="S6053" s="183" t="n">
        <v>0</v>
      </c>
      <c r="T6053" s="183" t="n">
        <v>0</v>
      </c>
      <c r="U6053" s="182" t="n">
        <v>2</v>
      </c>
      <c r="V6053" s="182" t="n">
        <v>0</v>
      </c>
      <c r="W6053" s="182" t="n">
        <v>0</v>
      </c>
      <c r="X6053" s="182" t="n">
        <v>0</v>
      </c>
      <c r="Y6053" s="182" t="n">
        <v>0</v>
      </c>
      <c r="Z6053" s="182" t="n">
        <v>0</v>
      </c>
      <c r="AA6053" s="182" t="n">
        <v>0</v>
      </c>
      <c r="AB6053" s="182" t="n">
        <v>0</v>
      </c>
      <c r="AC6053" s="182" t="n">
        <v>0</v>
      </c>
      <c r="AD6053" s="182" t="n">
        <v>0</v>
      </c>
      <c r="AE6053" s="182" t="n">
        <v>0</v>
      </c>
      <c r="AF6053" s="182" t="n">
        <v>0</v>
      </c>
      <c r="AG6053" s="182" t="n">
        <v>0</v>
      </c>
      <c r="AH6053" s="182" t="n">
        <v>0</v>
      </c>
      <c r="AI6053" s="182" t="n">
        <v>0</v>
      </c>
      <c r="AJ6053" s="182" t="n">
        <v>0</v>
      </c>
      <c r="AK6053" s="182" t="n">
        <v>0</v>
      </c>
      <c r="AL6053" s="182" t="n">
        <v>0</v>
      </c>
      <c r="AM6053" s="182" t="n">
        <v>0.08</v>
      </c>
      <c r="AN6053" s="182" t="n">
        <v>0</v>
      </c>
    </row>
    <row r="6054">
      <c r="A6054" s="155" t="n">
        <v>46109</v>
      </c>
      <c r="B6054" s="156" t="inlineStr">
        <is>
          <t>NS</t>
        </is>
      </c>
      <c r="C6054" s="156" t="inlineStr">
        <is>
          <t>DZ-038</t>
        </is>
      </c>
      <c r="D6054" s="156" t="inlineStr">
        <is>
          <t>D 85 ESS-2</t>
        </is>
      </c>
      <c r="E6054" s="156" t="inlineStr">
        <is>
          <t>Bulldozer</t>
        </is>
      </c>
      <c r="F6054" s="156" t="inlineStr">
        <is>
          <t>Support Front Loading</t>
        </is>
      </c>
      <c r="G6054" s="182" t="n">
        <v>0.2</v>
      </c>
      <c r="H6054" s="182" t="n">
        <v>0</v>
      </c>
      <c r="I6054" s="182" t="n">
        <v>11.8</v>
      </c>
      <c r="J6054" s="182" t="n">
        <v>11.8</v>
      </c>
      <c r="K6054" s="182" t="n">
        <v>0</v>
      </c>
      <c r="L6054" s="182" t="n">
        <v>12</v>
      </c>
      <c r="M6054" s="182" t="n">
        <v>0</v>
      </c>
      <c r="N6054" s="182" t="n">
        <v>0</v>
      </c>
      <c r="O6054" s="183" t="n">
        <v>0</v>
      </c>
      <c r="P6054" s="183" t="n">
        <v>0</v>
      </c>
      <c r="Q6054" s="184" t="n">
        <v>0</v>
      </c>
      <c r="R6054" s="184" t="n">
        <v>0</v>
      </c>
      <c r="S6054" s="183" t="n">
        <v>0</v>
      </c>
      <c r="T6054" s="183" t="n">
        <v>0</v>
      </c>
      <c r="U6054" s="182" t="n">
        <v>0</v>
      </c>
      <c r="V6054" s="182" t="n">
        <v>0</v>
      </c>
      <c r="W6054" s="182" t="n">
        <v>0</v>
      </c>
      <c r="X6054" s="182" t="n">
        <v>0</v>
      </c>
      <c r="Y6054" s="182" t="n">
        <v>0</v>
      </c>
      <c r="Z6054" s="182" t="n">
        <v>0</v>
      </c>
      <c r="AA6054" s="182" t="n">
        <v>0</v>
      </c>
      <c r="AB6054" s="182" t="n">
        <v>0</v>
      </c>
      <c r="AC6054" s="182" t="n">
        <v>0</v>
      </c>
      <c r="AD6054" s="182" t="n">
        <v>0</v>
      </c>
      <c r="AE6054" s="182" t="n">
        <v>0</v>
      </c>
      <c r="AF6054" s="182" t="n">
        <v>0</v>
      </c>
      <c r="AG6054" s="182" t="n">
        <v>0</v>
      </c>
      <c r="AH6054" s="182" t="n">
        <v>0</v>
      </c>
      <c r="AI6054" s="182" t="n">
        <v>0</v>
      </c>
      <c r="AJ6054" s="182" t="n">
        <v>0</v>
      </c>
      <c r="AK6054" s="182" t="n">
        <v>0</v>
      </c>
      <c r="AL6054" s="182" t="n">
        <v>0</v>
      </c>
      <c r="AM6054" s="182" t="n">
        <v>0</v>
      </c>
      <c r="AN6054" s="182" t="n">
        <v>0</v>
      </c>
    </row>
    <row r="6055">
      <c r="A6055" s="155" t="n">
        <v>46109</v>
      </c>
      <c r="B6055" s="156" t="inlineStr">
        <is>
          <t>NS</t>
        </is>
      </c>
      <c r="C6055" s="156" t="inlineStr">
        <is>
          <t>DZ-039</t>
        </is>
      </c>
      <c r="D6055" s="156" t="inlineStr">
        <is>
          <t>D 85 ESS-2</t>
        </is>
      </c>
      <c r="E6055" s="156" t="inlineStr">
        <is>
          <t>Bulldozer</t>
        </is>
      </c>
      <c r="F6055" s="156" t="inlineStr">
        <is>
          <t>Support Disposal</t>
        </is>
      </c>
      <c r="G6055" s="182" t="n">
        <v>3.29</v>
      </c>
      <c r="H6055" s="182" t="n">
        <v>0</v>
      </c>
      <c r="I6055" s="182" t="n">
        <v>5.97</v>
      </c>
      <c r="J6055" s="182" t="n">
        <v>5.97</v>
      </c>
      <c r="K6055" s="182" t="n">
        <v>2.74</v>
      </c>
      <c r="L6055" s="182" t="n">
        <v>12</v>
      </c>
      <c r="M6055" s="182" t="n">
        <v>0</v>
      </c>
      <c r="N6055" s="182" t="n">
        <v>0</v>
      </c>
      <c r="O6055" s="183" t="n">
        <v>0</v>
      </c>
      <c r="P6055" s="183" t="n">
        <v>0</v>
      </c>
      <c r="Q6055" s="184" t="n">
        <v>0</v>
      </c>
      <c r="R6055" s="184" t="n">
        <v>0</v>
      </c>
      <c r="S6055" s="183" t="n">
        <v>0</v>
      </c>
      <c r="T6055" s="183" t="n">
        <v>0</v>
      </c>
      <c r="U6055" s="182" t="n">
        <v>1.76</v>
      </c>
      <c r="V6055" s="182" t="n">
        <v>0</v>
      </c>
      <c r="W6055" s="182" t="n">
        <v>0</v>
      </c>
      <c r="X6055" s="182" t="n">
        <v>0.9</v>
      </c>
      <c r="Y6055" s="182" t="n">
        <v>0</v>
      </c>
      <c r="Z6055" s="182" t="n">
        <v>0</v>
      </c>
      <c r="AA6055" s="182" t="n">
        <v>0</v>
      </c>
      <c r="AB6055" s="182" t="n">
        <v>0</v>
      </c>
      <c r="AC6055" s="182" t="n">
        <v>0</v>
      </c>
      <c r="AD6055" s="182" t="n">
        <v>0</v>
      </c>
      <c r="AE6055" s="182" t="n">
        <v>0</v>
      </c>
      <c r="AF6055" s="182" t="n">
        <v>0</v>
      </c>
      <c r="AG6055" s="182" t="n">
        <v>0</v>
      </c>
      <c r="AH6055" s="182" t="n">
        <v>0</v>
      </c>
      <c r="AI6055" s="182" t="n">
        <v>0</v>
      </c>
      <c r="AJ6055" s="182" t="n">
        <v>0</v>
      </c>
      <c r="AK6055" s="182" t="n">
        <v>0</v>
      </c>
      <c r="AL6055" s="182" t="n">
        <v>0</v>
      </c>
      <c r="AM6055" s="182" t="n">
        <v>0.07000000000000001</v>
      </c>
      <c r="AN6055" s="182" t="n">
        <v>0</v>
      </c>
    </row>
    <row r="6056">
      <c r="A6056" s="155" t="n">
        <v>46109</v>
      </c>
      <c r="B6056" s="156" t="inlineStr">
        <is>
          <t>NS</t>
        </is>
      </c>
      <c r="C6056" s="156" t="inlineStr">
        <is>
          <t>DZ-032</t>
        </is>
      </c>
      <c r="D6056" s="156" t="inlineStr">
        <is>
          <t>CAT</t>
        </is>
      </c>
      <c r="E6056" s="156" t="inlineStr">
        <is>
          <t>Bulldozer</t>
        </is>
      </c>
      <c r="F6056" s="156" t="inlineStr"/>
      <c r="G6056" s="182" t="n">
        <v>0</v>
      </c>
      <c r="H6056" s="182" t="n">
        <v>0</v>
      </c>
      <c r="I6056" s="182" t="n">
        <v>12</v>
      </c>
      <c r="J6056" s="182" t="n">
        <v>12</v>
      </c>
      <c r="K6056" s="182" t="n">
        <v>0</v>
      </c>
      <c r="L6056" s="182" t="n">
        <v>12</v>
      </c>
      <c r="M6056" s="182" t="n">
        <v>0</v>
      </c>
      <c r="N6056" s="182" t="n">
        <v>0</v>
      </c>
      <c r="O6056" s="183" t="n">
        <v>0</v>
      </c>
      <c r="P6056" s="183" t="n">
        <v>0</v>
      </c>
      <c r="Q6056" s="184" t="n">
        <v>0</v>
      </c>
      <c r="R6056" s="184" t="n">
        <v>0</v>
      </c>
      <c r="S6056" s="183" t="n">
        <v>0</v>
      </c>
      <c r="T6056" s="183" t="n">
        <v>0</v>
      </c>
      <c r="U6056" s="182" t="n">
        <v>0</v>
      </c>
      <c r="V6056" s="182" t="n">
        <v>0</v>
      </c>
      <c r="W6056" s="182" t="n">
        <v>0</v>
      </c>
      <c r="X6056" s="182" t="n">
        <v>0</v>
      </c>
      <c r="Y6056" s="182" t="n">
        <v>0</v>
      </c>
      <c r="Z6056" s="182" t="n">
        <v>0</v>
      </c>
      <c r="AA6056" s="182" t="n">
        <v>0</v>
      </c>
      <c r="AB6056" s="182" t="n">
        <v>0</v>
      </c>
      <c r="AC6056" s="182" t="n">
        <v>0</v>
      </c>
      <c r="AD6056" s="182" t="n">
        <v>0</v>
      </c>
      <c r="AE6056" s="182" t="n">
        <v>0</v>
      </c>
      <c r="AF6056" s="182" t="n">
        <v>0</v>
      </c>
      <c r="AG6056" s="182" t="n">
        <v>0</v>
      </c>
      <c r="AH6056" s="182" t="n">
        <v>0</v>
      </c>
      <c r="AI6056" s="182" t="n">
        <v>0</v>
      </c>
      <c r="AJ6056" s="182" t="n">
        <v>0</v>
      </c>
      <c r="AK6056" s="182" t="n">
        <v>0</v>
      </c>
      <c r="AL6056" s="182" t="n">
        <v>0</v>
      </c>
      <c r="AM6056" s="182" t="n">
        <v>0</v>
      </c>
      <c r="AN6056" s="182" t="n">
        <v>0</v>
      </c>
    </row>
    <row r="6057">
      <c r="A6057" s="155" t="n">
        <v>46109</v>
      </c>
      <c r="B6057" s="156" t="inlineStr">
        <is>
          <t>NS</t>
        </is>
      </c>
      <c r="C6057" s="156" t="inlineStr">
        <is>
          <t>DZ-031</t>
        </is>
      </c>
      <c r="D6057" s="156" t="inlineStr">
        <is>
          <t>CAT</t>
        </is>
      </c>
      <c r="E6057" s="156" t="inlineStr">
        <is>
          <t>Bulldozer</t>
        </is>
      </c>
      <c r="F6057" s="156" t="inlineStr">
        <is>
          <t>Support Front Loading</t>
        </is>
      </c>
      <c r="G6057" s="182" t="n">
        <v>9.31</v>
      </c>
      <c r="H6057" s="182" t="n">
        <v>0</v>
      </c>
      <c r="I6057" s="182" t="n">
        <v>0</v>
      </c>
      <c r="J6057" s="182" t="n">
        <v>0</v>
      </c>
      <c r="K6057" s="182" t="n">
        <v>2.69</v>
      </c>
      <c r="L6057" s="182" t="n">
        <v>12</v>
      </c>
      <c r="M6057" s="182" t="n">
        <v>0</v>
      </c>
      <c r="N6057" s="182" t="n">
        <v>0</v>
      </c>
      <c r="O6057" s="183" t="n">
        <v>0</v>
      </c>
      <c r="P6057" s="183" t="n">
        <v>0</v>
      </c>
      <c r="Q6057" s="184" t="n">
        <v>0</v>
      </c>
      <c r="R6057" s="184" t="n">
        <v>0</v>
      </c>
      <c r="S6057" s="183" t="n">
        <v>0</v>
      </c>
      <c r="T6057" s="183" t="n">
        <v>0</v>
      </c>
      <c r="U6057" s="182" t="n">
        <v>1.69</v>
      </c>
      <c r="V6057" s="182" t="n">
        <v>0</v>
      </c>
      <c r="W6057" s="182" t="n">
        <v>0</v>
      </c>
      <c r="X6057" s="182" t="n">
        <v>0.93</v>
      </c>
      <c r="Y6057" s="182" t="n">
        <v>0</v>
      </c>
      <c r="Z6057" s="182" t="n">
        <v>0</v>
      </c>
      <c r="AA6057" s="182" t="n">
        <v>0</v>
      </c>
      <c r="AB6057" s="182" t="n">
        <v>0</v>
      </c>
      <c r="AC6057" s="182" t="n">
        <v>0</v>
      </c>
      <c r="AD6057" s="182" t="n">
        <v>0</v>
      </c>
      <c r="AE6057" s="182" t="n">
        <v>0</v>
      </c>
      <c r="AF6057" s="182" t="n">
        <v>0</v>
      </c>
      <c r="AG6057" s="182" t="n">
        <v>0</v>
      </c>
      <c r="AH6057" s="182" t="n">
        <v>0</v>
      </c>
      <c r="AI6057" s="182" t="n">
        <v>0</v>
      </c>
      <c r="AJ6057" s="182" t="n">
        <v>0</v>
      </c>
      <c r="AK6057" s="182" t="n">
        <v>0</v>
      </c>
      <c r="AL6057" s="182" t="n">
        <v>0</v>
      </c>
      <c r="AM6057" s="182" t="n">
        <v>0.07000000000000001</v>
      </c>
      <c r="AN6057" s="182" t="n">
        <v>0</v>
      </c>
    </row>
    <row r="6058">
      <c r="A6058" s="155" t="n">
        <v>46109</v>
      </c>
      <c r="B6058" s="156" t="inlineStr">
        <is>
          <t>NS</t>
        </is>
      </c>
      <c r="C6058" s="156" t="inlineStr">
        <is>
          <t>DZ-037</t>
        </is>
      </c>
      <c r="D6058" s="156" t="inlineStr">
        <is>
          <t>D 85 ESS-2</t>
        </is>
      </c>
      <c r="E6058" s="156" t="inlineStr">
        <is>
          <t>Bulldozer</t>
        </is>
      </c>
      <c r="F6058" s="156" t="inlineStr"/>
      <c r="G6058" s="182" t="n">
        <v>0</v>
      </c>
      <c r="H6058" s="182" t="n">
        <v>0</v>
      </c>
      <c r="I6058" s="182" t="n">
        <v>12</v>
      </c>
      <c r="J6058" s="182" t="n">
        <v>12</v>
      </c>
      <c r="K6058" s="182" t="n">
        <v>0</v>
      </c>
      <c r="L6058" s="182" t="n">
        <v>12</v>
      </c>
      <c r="M6058" s="182" t="n">
        <v>0</v>
      </c>
      <c r="N6058" s="182" t="n">
        <v>0</v>
      </c>
      <c r="O6058" s="183" t="n">
        <v>0</v>
      </c>
      <c r="P6058" s="183" t="n">
        <v>0</v>
      </c>
      <c r="Q6058" s="184" t="n">
        <v>0</v>
      </c>
      <c r="R6058" s="184" t="n">
        <v>0</v>
      </c>
      <c r="S6058" s="183" t="n">
        <v>0</v>
      </c>
      <c r="T6058" s="183" t="n">
        <v>0</v>
      </c>
      <c r="U6058" s="182" t="n">
        <v>0</v>
      </c>
      <c r="V6058" s="182" t="n">
        <v>0</v>
      </c>
      <c r="W6058" s="182" t="n">
        <v>0</v>
      </c>
      <c r="X6058" s="182" t="n">
        <v>0</v>
      </c>
      <c r="Y6058" s="182" t="n">
        <v>0</v>
      </c>
      <c r="Z6058" s="182" t="n">
        <v>0</v>
      </c>
      <c r="AA6058" s="182" t="n">
        <v>0</v>
      </c>
      <c r="AB6058" s="182" t="n">
        <v>0</v>
      </c>
      <c r="AC6058" s="182" t="n">
        <v>0</v>
      </c>
      <c r="AD6058" s="182" t="n">
        <v>0</v>
      </c>
      <c r="AE6058" s="182" t="n">
        <v>0</v>
      </c>
      <c r="AF6058" s="182" t="n">
        <v>0</v>
      </c>
      <c r="AG6058" s="182" t="n">
        <v>0</v>
      </c>
      <c r="AH6058" s="182" t="n">
        <v>0</v>
      </c>
      <c r="AI6058" s="182" t="n">
        <v>0</v>
      </c>
      <c r="AJ6058" s="182" t="n">
        <v>0</v>
      </c>
      <c r="AK6058" s="182" t="n">
        <v>0</v>
      </c>
      <c r="AL6058" s="182" t="n">
        <v>0</v>
      </c>
      <c r="AM6058" s="182" t="n">
        <v>0</v>
      </c>
      <c r="AN6058" s="182" t="n">
        <v>0</v>
      </c>
    </row>
    <row r="6059">
      <c r="A6059" s="155" t="n">
        <v>46109</v>
      </c>
      <c r="B6059" s="156" t="inlineStr">
        <is>
          <t>NS</t>
        </is>
      </c>
      <c r="C6059" s="156" t="inlineStr">
        <is>
          <t>DZ-036</t>
        </is>
      </c>
      <c r="D6059" s="156" t="inlineStr">
        <is>
          <t>D 85 ESS-2</t>
        </is>
      </c>
      <c r="E6059" s="156" t="inlineStr">
        <is>
          <t>Bulldozer</t>
        </is>
      </c>
      <c r="F6059" s="156" t="inlineStr">
        <is>
          <t>Support Jetty</t>
        </is>
      </c>
      <c r="G6059" s="182" t="n">
        <v>2.62</v>
      </c>
      <c r="H6059" s="182" t="n">
        <v>0</v>
      </c>
      <c r="I6059" s="182" t="n">
        <v>0</v>
      </c>
      <c r="J6059" s="182" t="n">
        <v>0</v>
      </c>
      <c r="K6059" s="182" t="n">
        <v>9.380000000000001</v>
      </c>
      <c r="L6059" s="182" t="n">
        <v>12</v>
      </c>
      <c r="M6059" s="182" t="n">
        <v>0</v>
      </c>
      <c r="N6059" s="182" t="n">
        <v>0</v>
      </c>
      <c r="O6059" s="183" t="n">
        <v>0</v>
      </c>
      <c r="P6059" s="183" t="n">
        <v>0</v>
      </c>
      <c r="Q6059" s="184" t="n">
        <v>0</v>
      </c>
      <c r="R6059" s="184" t="n">
        <v>0</v>
      </c>
      <c r="S6059" s="183" t="n">
        <v>0</v>
      </c>
      <c r="T6059" s="183" t="n">
        <v>0</v>
      </c>
      <c r="U6059" s="182" t="n">
        <v>0</v>
      </c>
      <c r="V6059" s="182" t="n">
        <v>0</v>
      </c>
      <c r="W6059" s="182" t="n">
        <v>0</v>
      </c>
      <c r="X6059" s="182" t="n">
        <v>0.96</v>
      </c>
      <c r="Y6059" s="182" t="n">
        <v>0</v>
      </c>
      <c r="Z6059" s="182" t="n">
        <v>0</v>
      </c>
      <c r="AA6059" s="182" t="n">
        <v>0</v>
      </c>
      <c r="AB6059" s="182" t="n">
        <v>0</v>
      </c>
      <c r="AC6059" s="182" t="n">
        <v>0</v>
      </c>
      <c r="AD6059" s="182" t="n">
        <v>0</v>
      </c>
      <c r="AE6059" s="182" t="n">
        <v>0</v>
      </c>
      <c r="AF6059" s="182" t="n">
        <v>0</v>
      </c>
      <c r="AG6059" s="182" t="n">
        <v>0</v>
      </c>
      <c r="AH6059" s="182" t="n">
        <v>0</v>
      </c>
      <c r="AI6059" s="182" t="n">
        <v>0</v>
      </c>
      <c r="AJ6059" s="182" t="n">
        <v>0</v>
      </c>
      <c r="AK6059" s="182" t="n">
        <v>8.35</v>
      </c>
      <c r="AL6059" s="182" t="n">
        <v>0</v>
      </c>
      <c r="AM6059" s="182" t="n">
        <v>0.08</v>
      </c>
      <c r="AN6059" s="182" t="n">
        <v>0</v>
      </c>
    </row>
    <row r="6060">
      <c r="A6060" s="155" t="n">
        <v>46109</v>
      </c>
      <c r="B6060" s="156" t="inlineStr">
        <is>
          <t>NS</t>
        </is>
      </c>
      <c r="C6060" s="156" t="inlineStr">
        <is>
          <t>DZ-035</t>
        </is>
      </c>
      <c r="D6060" s="156" t="inlineStr">
        <is>
          <t>D 85 ESS-2</t>
        </is>
      </c>
      <c r="E6060" s="156" t="inlineStr">
        <is>
          <t>Bulldozer</t>
        </is>
      </c>
      <c r="F6060" s="156" t="inlineStr">
        <is>
          <t>Support Front Loading</t>
        </is>
      </c>
      <c r="G6060" s="182" t="n">
        <v>7.21</v>
      </c>
      <c r="H6060" s="182" t="n">
        <v>0</v>
      </c>
      <c r="I6060" s="182" t="n">
        <v>0</v>
      </c>
      <c r="J6060" s="182" t="n">
        <v>0</v>
      </c>
      <c r="K6060" s="182" t="n">
        <v>4.79</v>
      </c>
      <c r="L6060" s="182" t="n">
        <v>12</v>
      </c>
      <c r="M6060" s="182" t="n">
        <v>0</v>
      </c>
      <c r="N6060" s="182" t="n">
        <v>0</v>
      </c>
      <c r="O6060" s="183" t="n">
        <v>0</v>
      </c>
      <c r="P6060" s="183" t="n">
        <v>0</v>
      </c>
      <c r="Q6060" s="184" t="n">
        <v>0</v>
      </c>
      <c r="R6060" s="184" t="n">
        <v>0</v>
      </c>
      <c r="S6060" s="183" t="n">
        <v>0</v>
      </c>
      <c r="T6060" s="183" t="n">
        <v>0</v>
      </c>
      <c r="U6060" s="182" t="n">
        <v>3.61</v>
      </c>
      <c r="V6060" s="182" t="n">
        <v>0</v>
      </c>
      <c r="W6060" s="182" t="n">
        <v>0</v>
      </c>
      <c r="X6060" s="182" t="n">
        <v>1.09</v>
      </c>
      <c r="Y6060" s="182" t="n">
        <v>0</v>
      </c>
      <c r="Z6060" s="182" t="n">
        <v>0</v>
      </c>
      <c r="AA6060" s="182" t="n">
        <v>0</v>
      </c>
      <c r="AB6060" s="182" t="n">
        <v>0</v>
      </c>
      <c r="AC6060" s="182" t="n">
        <v>0</v>
      </c>
      <c r="AD6060" s="182" t="n">
        <v>0</v>
      </c>
      <c r="AE6060" s="182" t="n">
        <v>0</v>
      </c>
      <c r="AF6060" s="182" t="n">
        <v>0</v>
      </c>
      <c r="AG6060" s="182" t="n">
        <v>0</v>
      </c>
      <c r="AH6060" s="182" t="n">
        <v>0</v>
      </c>
      <c r="AI6060" s="182" t="n">
        <v>0</v>
      </c>
      <c r="AJ6060" s="182" t="n">
        <v>0</v>
      </c>
      <c r="AK6060" s="182" t="n">
        <v>0</v>
      </c>
      <c r="AL6060" s="182" t="n">
        <v>0</v>
      </c>
      <c r="AM6060" s="182" t="n">
        <v>0.09</v>
      </c>
      <c r="AN6060" s="182" t="n">
        <v>0</v>
      </c>
    </row>
    <row r="6061">
      <c r="A6061" s="155" t="n">
        <v>46109</v>
      </c>
      <c r="B6061" s="156" t="inlineStr">
        <is>
          <t>NS</t>
        </is>
      </c>
      <c r="C6061" s="156" t="inlineStr">
        <is>
          <t>CP-042</t>
        </is>
      </c>
      <c r="D6061" s="156" t="inlineStr">
        <is>
          <t>SANY - Compactor</t>
        </is>
      </c>
      <c r="E6061" s="156" t="inlineStr">
        <is>
          <t>Compactor</t>
        </is>
      </c>
      <c r="F6061" s="156" t="inlineStr"/>
      <c r="G6061" s="182" t="n">
        <v>0</v>
      </c>
      <c r="H6061" s="182" t="n">
        <v>0</v>
      </c>
      <c r="I6061" s="182" t="n">
        <v>0</v>
      </c>
      <c r="J6061" s="182" t="n">
        <v>0</v>
      </c>
      <c r="K6061" s="182" t="n">
        <v>12</v>
      </c>
      <c r="L6061" s="182" t="n">
        <v>12</v>
      </c>
      <c r="M6061" s="182" t="n">
        <v>0</v>
      </c>
      <c r="N6061" s="182" t="n">
        <v>0</v>
      </c>
      <c r="O6061" s="183" t="n">
        <v>0</v>
      </c>
      <c r="P6061" s="183" t="n">
        <v>0</v>
      </c>
      <c r="Q6061" s="184" t="n">
        <v>0</v>
      </c>
      <c r="R6061" s="184" t="n">
        <v>0</v>
      </c>
      <c r="S6061" s="183" t="n">
        <v>0</v>
      </c>
      <c r="T6061" s="183" t="n">
        <v>0</v>
      </c>
      <c r="U6061" s="182" t="n">
        <v>0</v>
      </c>
      <c r="V6061" s="182" t="n">
        <v>0</v>
      </c>
      <c r="W6061" s="182" t="n">
        <v>0</v>
      </c>
      <c r="X6061" s="182" t="n">
        <v>1</v>
      </c>
      <c r="Y6061" s="182" t="n">
        <v>0</v>
      </c>
      <c r="Z6061" s="182" t="n">
        <v>0</v>
      </c>
      <c r="AA6061" s="182" t="n">
        <v>0</v>
      </c>
      <c r="AB6061" s="182" t="n">
        <v>0</v>
      </c>
      <c r="AC6061" s="182" t="n">
        <v>0</v>
      </c>
      <c r="AD6061" s="182" t="n">
        <v>0</v>
      </c>
      <c r="AE6061" s="182" t="n">
        <v>0</v>
      </c>
      <c r="AF6061" s="182" t="n">
        <v>0</v>
      </c>
      <c r="AG6061" s="182" t="n">
        <v>0</v>
      </c>
      <c r="AH6061" s="182" t="n">
        <v>0</v>
      </c>
      <c r="AI6061" s="182" t="n">
        <v>0</v>
      </c>
      <c r="AJ6061" s="182" t="n">
        <v>0</v>
      </c>
      <c r="AK6061" s="182" t="n">
        <v>10.92</v>
      </c>
      <c r="AL6061" s="182" t="n">
        <v>0</v>
      </c>
      <c r="AM6061" s="182" t="n">
        <v>0.08</v>
      </c>
      <c r="AN6061" s="182" t="n">
        <v>0</v>
      </c>
    </row>
    <row r="6062">
      <c r="A6062" s="155" t="n">
        <v>46109</v>
      </c>
      <c r="B6062" s="156" t="inlineStr">
        <is>
          <t>NS</t>
        </is>
      </c>
      <c r="C6062" s="156" t="inlineStr">
        <is>
          <t>CP-041</t>
        </is>
      </c>
      <c r="D6062" s="156" t="inlineStr">
        <is>
          <t>SANY - Compactor</t>
        </is>
      </c>
      <c r="E6062" s="156" t="inlineStr">
        <is>
          <t>Compactor</t>
        </is>
      </c>
      <c r="F6062" s="156" t="inlineStr"/>
      <c r="G6062" s="182" t="n">
        <v>0</v>
      </c>
      <c r="H6062" s="182" t="n">
        <v>0</v>
      </c>
      <c r="I6062" s="182" t="n">
        <v>0</v>
      </c>
      <c r="J6062" s="182" t="n">
        <v>0</v>
      </c>
      <c r="K6062" s="182" t="n">
        <v>12</v>
      </c>
      <c r="L6062" s="182" t="n">
        <v>12</v>
      </c>
      <c r="M6062" s="182" t="n">
        <v>0</v>
      </c>
      <c r="N6062" s="182" t="n">
        <v>0</v>
      </c>
      <c r="O6062" s="183" t="n">
        <v>0</v>
      </c>
      <c r="P6062" s="183" t="n">
        <v>0</v>
      </c>
      <c r="Q6062" s="184" t="n">
        <v>0</v>
      </c>
      <c r="R6062" s="184" t="n">
        <v>0</v>
      </c>
      <c r="S6062" s="183" t="n">
        <v>0</v>
      </c>
      <c r="T6062" s="183" t="n">
        <v>0</v>
      </c>
      <c r="U6062" s="182" t="n">
        <v>0</v>
      </c>
      <c r="V6062" s="182" t="n">
        <v>0</v>
      </c>
      <c r="W6062" s="182" t="n">
        <v>0</v>
      </c>
      <c r="X6062" s="182" t="n">
        <v>1</v>
      </c>
      <c r="Y6062" s="182" t="n">
        <v>0</v>
      </c>
      <c r="Z6062" s="182" t="n">
        <v>0</v>
      </c>
      <c r="AA6062" s="182" t="n">
        <v>0</v>
      </c>
      <c r="AB6062" s="182" t="n">
        <v>0</v>
      </c>
      <c r="AC6062" s="182" t="n">
        <v>0</v>
      </c>
      <c r="AD6062" s="182" t="n">
        <v>0</v>
      </c>
      <c r="AE6062" s="182" t="n">
        <v>0</v>
      </c>
      <c r="AF6062" s="182" t="n">
        <v>0</v>
      </c>
      <c r="AG6062" s="182" t="n">
        <v>0</v>
      </c>
      <c r="AH6062" s="182" t="n">
        <v>0</v>
      </c>
      <c r="AI6062" s="182" t="n">
        <v>0</v>
      </c>
      <c r="AJ6062" s="182" t="n">
        <v>0</v>
      </c>
      <c r="AK6062" s="182" t="n">
        <v>10.92</v>
      </c>
      <c r="AL6062" s="182" t="n">
        <v>0</v>
      </c>
      <c r="AM6062" s="182" t="n">
        <v>0.08</v>
      </c>
      <c r="AN6062" s="182" t="n">
        <v>0</v>
      </c>
    </row>
    <row r="6063">
      <c r="A6063" s="155" t="n">
        <v>46109</v>
      </c>
      <c r="B6063" s="156" t="inlineStr">
        <is>
          <t>NS</t>
        </is>
      </c>
      <c r="C6063" s="156" t="inlineStr">
        <is>
          <t>HT-418</t>
        </is>
      </c>
      <c r="D6063" s="156" t="inlineStr">
        <is>
          <t>SY430</t>
        </is>
      </c>
      <c r="E6063" s="156" t="inlineStr">
        <is>
          <t>DT Hauling</t>
        </is>
      </c>
      <c r="F6063" s="156" t="inlineStr"/>
      <c r="G6063" s="182" t="n">
        <v>0</v>
      </c>
      <c r="H6063" s="182" t="n">
        <v>0</v>
      </c>
      <c r="I6063" s="182" t="n">
        <v>0</v>
      </c>
      <c r="J6063" s="182" t="n">
        <v>0</v>
      </c>
      <c r="K6063" s="182" t="n">
        <v>12</v>
      </c>
      <c r="L6063" s="182" t="n">
        <v>12</v>
      </c>
      <c r="M6063" s="182" t="n">
        <v>0</v>
      </c>
      <c r="N6063" s="182" t="n">
        <v>0</v>
      </c>
      <c r="O6063" s="183" t="n">
        <v>0</v>
      </c>
      <c r="P6063" s="183" t="n">
        <v>0</v>
      </c>
      <c r="Q6063" s="184" t="n">
        <v>0</v>
      </c>
      <c r="R6063" s="184" t="n">
        <v>0</v>
      </c>
      <c r="S6063" s="183" t="n">
        <v>0</v>
      </c>
      <c r="T6063" s="183" t="n">
        <v>0</v>
      </c>
      <c r="U6063" s="182" t="n">
        <v>0</v>
      </c>
      <c r="V6063" s="182" t="n">
        <v>0</v>
      </c>
      <c r="W6063" s="182" t="n">
        <v>0</v>
      </c>
      <c r="X6063" s="182" t="n">
        <v>1</v>
      </c>
      <c r="Y6063" s="182" t="n">
        <v>0</v>
      </c>
      <c r="Z6063" s="182" t="n">
        <v>0</v>
      </c>
      <c r="AA6063" s="182" t="n">
        <v>0</v>
      </c>
      <c r="AB6063" s="182" t="n">
        <v>0</v>
      </c>
      <c r="AC6063" s="182" t="n">
        <v>0</v>
      </c>
      <c r="AD6063" s="182" t="n">
        <v>0</v>
      </c>
      <c r="AE6063" s="182" t="n">
        <v>0</v>
      </c>
      <c r="AF6063" s="182" t="n">
        <v>0</v>
      </c>
      <c r="AG6063" s="182" t="n">
        <v>0</v>
      </c>
      <c r="AH6063" s="182" t="n">
        <v>0</v>
      </c>
      <c r="AI6063" s="182" t="n">
        <v>0</v>
      </c>
      <c r="AJ6063" s="182" t="n">
        <v>0</v>
      </c>
      <c r="AK6063" s="182" t="n">
        <v>10.92</v>
      </c>
      <c r="AL6063" s="182" t="n">
        <v>0</v>
      </c>
      <c r="AM6063" s="182" t="n">
        <v>0.08</v>
      </c>
      <c r="AN6063" s="182" t="n">
        <v>0</v>
      </c>
    </row>
    <row r="6064">
      <c r="A6064" s="155" t="n">
        <v>46109</v>
      </c>
      <c r="B6064" s="156" t="inlineStr">
        <is>
          <t>NS</t>
        </is>
      </c>
      <c r="C6064" s="156" t="inlineStr">
        <is>
          <t>HT-404</t>
        </is>
      </c>
      <c r="D6064" s="156" t="inlineStr">
        <is>
          <t>SY430</t>
        </is>
      </c>
      <c r="E6064" s="156" t="inlineStr">
        <is>
          <t>DT Hauling</t>
        </is>
      </c>
      <c r="F6064" s="156" t="inlineStr"/>
      <c r="G6064" s="182" t="n">
        <v>0</v>
      </c>
      <c r="H6064" s="182" t="n">
        <v>12</v>
      </c>
      <c r="I6064" s="182" t="n">
        <v>0</v>
      </c>
      <c r="J6064" s="182" t="n">
        <v>12</v>
      </c>
      <c r="K6064" s="182" t="n">
        <v>0</v>
      </c>
      <c r="L6064" s="182" t="n">
        <v>12</v>
      </c>
      <c r="M6064" s="182" t="n">
        <v>0</v>
      </c>
      <c r="N6064" s="182" t="n">
        <v>0</v>
      </c>
      <c r="O6064" s="183" t="n">
        <v>0</v>
      </c>
      <c r="P6064" s="183" t="n">
        <v>0</v>
      </c>
      <c r="Q6064" s="184" t="n">
        <v>0</v>
      </c>
      <c r="R6064" s="184" t="n">
        <v>0</v>
      </c>
      <c r="S6064" s="183" t="n">
        <v>0</v>
      </c>
      <c r="T6064" s="183" t="n">
        <v>0</v>
      </c>
      <c r="U6064" s="182" t="n">
        <v>0</v>
      </c>
      <c r="V6064" s="182" t="n">
        <v>0</v>
      </c>
      <c r="W6064" s="182" t="n">
        <v>0</v>
      </c>
      <c r="X6064" s="182" t="n">
        <v>0</v>
      </c>
      <c r="Y6064" s="182" t="n">
        <v>0</v>
      </c>
      <c r="Z6064" s="182" t="n">
        <v>0</v>
      </c>
      <c r="AA6064" s="182" t="n">
        <v>0</v>
      </c>
      <c r="AB6064" s="182" t="n">
        <v>0</v>
      </c>
      <c r="AC6064" s="182" t="n">
        <v>0</v>
      </c>
      <c r="AD6064" s="182" t="n">
        <v>0</v>
      </c>
      <c r="AE6064" s="182" t="n">
        <v>0</v>
      </c>
      <c r="AF6064" s="182" t="n">
        <v>0</v>
      </c>
      <c r="AG6064" s="182" t="n">
        <v>0</v>
      </c>
      <c r="AH6064" s="182" t="n">
        <v>0</v>
      </c>
      <c r="AI6064" s="182" t="n">
        <v>0</v>
      </c>
      <c r="AJ6064" s="182" t="n">
        <v>0</v>
      </c>
      <c r="AK6064" s="182" t="n">
        <v>0</v>
      </c>
      <c r="AL6064" s="182" t="n">
        <v>0</v>
      </c>
      <c r="AM6064" s="182" t="n">
        <v>0</v>
      </c>
      <c r="AN6064" s="182" t="n">
        <v>0</v>
      </c>
    </row>
    <row r="6065">
      <c r="A6065" s="155" t="n">
        <v>46109</v>
      </c>
      <c r="B6065" s="156" t="inlineStr">
        <is>
          <t>NS</t>
        </is>
      </c>
      <c r="C6065" s="156" t="inlineStr">
        <is>
          <t>HT-415</t>
        </is>
      </c>
      <c r="D6065" s="156" t="inlineStr">
        <is>
          <t>SY430</t>
        </is>
      </c>
      <c r="E6065" s="156" t="inlineStr">
        <is>
          <t>DT Hauling</t>
        </is>
      </c>
      <c r="F6065" s="156" t="inlineStr"/>
      <c r="G6065" s="182" t="n">
        <v>0</v>
      </c>
      <c r="H6065" s="182" t="n">
        <v>0</v>
      </c>
      <c r="I6065" s="182" t="n">
        <v>12</v>
      </c>
      <c r="J6065" s="182" t="n">
        <v>12</v>
      </c>
      <c r="K6065" s="182" t="n">
        <v>0</v>
      </c>
      <c r="L6065" s="182" t="n">
        <v>12</v>
      </c>
      <c r="M6065" s="182" t="n">
        <v>0</v>
      </c>
      <c r="N6065" s="182" t="n">
        <v>0</v>
      </c>
      <c r="O6065" s="183" t="n">
        <v>0</v>
      </c>
      <c r="P6065" s="183" t="n">
        <v>0</v>
      </c>
      <c r="Q6065" s="184" t="n">
        <v>0</v>
      </c>
      <c r="R6065" s="184" t="n">
        <v>0</v>
      </c>
      <c r="S6065" s="183" t="n">
        <v>0</v>
      </c>
      <c r="T6065" s="183" t="n">
        <v>0</v>
      </c>
      <c r="U6065" s="182" t="n">
        <v>0</v>
      </c>
      <c r="V6065" s="182" t="n">
        <v>0</v>
      </c>
      <c r="W6065" s="182" t="n">
        <v>0</v>
      </c>
      <c r="X6065" s="182" t="n">
        <v>0</v>
      </c>
      <c r="Y6065" s="182" t="n">
        <v>0</v>
      </c>
      <c r="Z6065" s="182" t="n">
        <v>0</v>
      </c>
      <c r="AA6065" s="182" t="n">
        <v>0</v>
      </c>
      <c r="AB6065" s="182" t="n">
        <v>0</v>
      </c>
      <c r="AC6065" s="182" t="n">
        <v>0</v>
      </c>
      <c r="AD6065" s="182" t="n">
        <v>0</v>
      </c>
      <c r="AE6065" s="182" t="n">
        <v>0</v>
      </c>
      <c r="AF6065" s="182" t="n">
        <v>0</v>
      </c>
      <c r="AG6065" s="182" t="n">
        <v>0</v>
      </c>
      <c r="AH6065" s="182" t="n">
        <v>0</v>
      </c>
      <c r="AI6065" s="182" t="n">
        <v>0</v>
      </c>
      <c r="AJ6065" s="182" t="n">
        <v>0</v>
      </c>
      <c r="AK6065" s="182" t="n">
        <v>0</v>
      </c>
      <c r="AL6065" s="182" t="n">
        <v>0</v>
      </c>
      <c r="AM6065" s="182" t="n">
        <v>0</v>
      </c>
      <c r="AN6065" s="182" t="n">
        <v>0</v>
      </c>
    </row>
    <row r="6066">
      <c r="A6066" s="155" t="n">
        <v>46109</v>
      </c>
      <c r="B6066" s="156" t="inlineStr">
        <is>
          <t>NS</t>
        </is>
      </c>
      <c r="C6066" s="156" t="inlineStr">
        <is>
          <t>HT-406</t>
        </is>
      </c>
      <c r="D6066" s="156" t="inlineStr">
        <is>
          <t>SY430</t>
        </is>
      </c>
      <c r="E6066" s="156" t="inlineStr">
        <is>
          <t>DT Hauling</t>
        </is>
      </c>
      <c r="F6066" s="156" t="inlineStr"/>
      <c r="G6066" s="182" t="n">
        <v>0</v>
      </c>
      <c r="H6066" s="182" t="n">
        <v>0</v>
      </c>
      <c r="I6066" s="182" t="n">
        <v>12</v>
      </c>
      <c r="J6066" s="182" t="n">
        <v>12</v>
      </c>
      <c r="K6066" s="182" t="n">
        <v>0</v>
      </c>
      <c r="L6066" s="182" t="n">
        <v>12</v>
      </c>
      <c r="M6066" s="182" t="n">
        <v>0</v>
      </c>
      <c r="N6066" s="182" t="n">
        <v>0</v>
      </c>
      <c r="O6066" s="183" t="n">
        <v>0</v>
      </c>
      <c r="P6066" s="183" t="n">
        <v>0</v>
      </c>
      <c r="Q6066" s="184" t="n">
        <v>0</v>
      </c>
      <c r="R6066" s="184" t="n">
        <v>0</v>
      </c>
      <c r="S6066" s="183" t="n">
        <v>0</v>
      </c>
      <c r="T6066" s="183" t="n">
        <v>0</v>
      </c>
      <c r="U6066" s="182" t="n">
        <v>0</v>
      </c>
      <c r="V6066" s="182" t="n">
        <v>0</v>
      </c>
      <c r="W6066" s="182" t="n">
        <v>0</v>
      </c>
      <c r="X6066" s="182" t="n">
        <v>0</v>
      </c>
      <c r="Y6066" s="182" t="n">
        <v>0</v>
      </c>
      <c r="Z6066" s="182" t="n">
        <v>0</v>
      </c>
      <c r="AA6066" s="182" t="n">
        <v>0</v>
      </c>
      <c r="AB6066" s="182" t="n">
        <v>0</v>
      </c>
      <c r="AC6066" s="182" t="n">
        <v>0</v>
      </c>
      <c r="AD6066" s="182" t="n">
        <v>0</v>
      </c>
      <c r="AE6066" s="182" t="n">
        <v>0</v>
      </c>
      <c r="AF6066" s="182" t="n">
        <v>0</v>
      </c>
      <c r="AG6066" s="182" t="n">
        <v>0</v>
      </c>
      <c r="AH6066" s="182" t="n">
        <v>0</v>
      </c>
      <c r="AI6066" s="182" t="n">
        <v>0</v>
      </c>
      <c r="AJ6066" s="182" t="n">
        <v>0</v>
      </c>
      <c r="AK6066" s="182" t="n">
        <v>0</v>
      </c>
      <c r="AL6066" s="182" t="n">
        <v>0</v>
      </c>
      <c r="AM6066" s="182" t="n">
        <v>0</v>
      </c>
      <c r="AN6066" s="182" t="n">
        <v>0</v>
      </c>
    </row>
    <row r="6067">
      <c r="A6067" s="155" t="n">
        <v>46109</v>
      </c>
      <c r="B6067" s="156" t="inlineStr">
        <is>
          <t>NS</t>
        </is>
      </c>
      <c r="C6067" s="156" t="inlineStr">
        <is>
          <t>HT-405</t>
        </is>
      </c>
      <c r="D6067" s="156" t="inlineStr">
        <is>
          <t>SY430</t>
        </is>
      </c>
      <c r="E6067" s="156" t="inlineStr">
        <is>
          <t>DT Hauling</t>
        </is>
      </c>
      <c r="F6067" s="156" t="inlineStr">
        <is>
          <t>Hauling Coal ke Jetty</t>
        </is>
      </c>
      <c r="G6067" s="182" t="n">
        <v>1.3</v>
      </c>
      <c r="H6067" s="182" t="n">
        <v>0</v>
      </c>
      <c r="I6067" s="182" t="n">
        <v>6.33</v>
      </c>
      <c r="J6067" s="182" t="n">
        <v>6.33</v>
      </c>
      <c r="K6067" s="182" t="n">
        <v>4.37</v>
      </c>
      <c r="L6067" s="182" t="n">
        <v>12</v>
      </c>
      <c r="M6067" s="182" t="n">
        <v>0</v>
      </c>
      <c r="N6067" s="182" t="n">
        <v>0</v>
      </c>
      <c r="O6067" s="183" t="n">
        <v>0</v>
      </c>
      <c r="P6067" s="183" t="n">
        <v>0</v>
      </c>
      <c r="Q6067" s="184" t="n">
        <v>0</v>
      </c>
      <c r="R6067" s="184" t="n">
        <v>0</v>
      </c>
      <c r="S6067" s="183" t="n">
        <v>0</v>
      </c>
      <c r="T6067" s="183" t="n">
        <v>0</v>
      </c>
      <c r="U6067" s="182" t="n">
        <v>0</v>
      </c>
      <c r="V6067" s="182" t="n">
        <v>0</v>
      </c>
      <c r="W6067" s="182" t="n">
        <v>0</v>
      </c>
      <c r="X6067" s="182" t="n">
        <v>1</v>
      </c>
      <c r="Y6067" s="182" t="n">
        <v>0</v>
      </c>
      <c r="Z6067" s="182" t="n">
        <v>0</v>
      </c>
      <c r="AA6067" s="182" t="n">
        <v>0</v>
      </c>
      <c r="AB6067" s="182" t="n">
        <v>0</v>
      </c>
      <c r="AC6067" s="182" t="n">
        <v>0</v>
      </c>
      <c r="AD6067" s="182" t="n">
        <v>0</v>
      </c>
      <c r="AE6067" s="182" t="n">
        <v>0</v>
      </c>
      <c r="AF6067" s="182" t="n">
        <v>0</v>
      </c>
      <c r="AG6067" s="182" t="n">
        <v>0</v>
      </c>
      <c r="AH6067" s="182" t="n">
        <v>0</v>
      </c>
      <c r="AI6067" s="182" t="n">
        <v>0</v>
      </c>
      <c r="AJ6067" s="182" t="n">
        <v>0</v>
      </c>
      <c r="AK6067" s="182" t="n">
        <v>3.28</v>
      </c>
      <c r="AL6067" s="182" t="n">
        <v>0</v>
      </c>
      <c r="AM6067" s="182" t="n">
        <v>0.08</v>
      </c>
      <c r="AN6067" s="182" t="n">
        <v>0</v>
      </c>
    </row>
    <row r="6068">
      <c r="A6068" s="155" t="n">
        <v>46109</v>
      </c>
      <c r="B6068" s="156" t="inlineStr">
        <is>
          <t>NS</t>
        </is>
      </c>
      <c r="C6068" s="156" t="inlineStr">
        <is>
          <t>HT-417</t>
        </is>
      </c>
      <c r="D6068" s="156" t="inlineStr">
        <is>
          <t>SY430</t>
        </is>
      </c>
      <c r="E6068" s="156" t="inlineStr">
        <is>
          <t>DT Hauling</t>
        </is>
      </c>
      <c r="F6068" s="156" t="inlineStr"/>
      <c r="G6068" s="182" t="n">
        <v>0</v>
      </c>
      <c r="H6068" s="182" t="n">
        <v>0</v>
      </c>
      <c r="I6068" s="182" t="n">
        <v>0</v>
      </c>
      <c r="J6068" s="182" t="n">
        <v>0</v>
      </c>
      <c r="K6068" s="182" t="n">
        <v>12</v>
      </c>
      <c r="L6068" s="182" t="n">
        <v>12</v>
      </c>
      <c r="M6068" s="182" t="n">
        <v>0</v>
      </c>
      <c r="N6068" s="182" t="n">
        <v>0</v>
      </c>
      <c r="O6068" s="183" t="n">
        <v>0</v>
      </c>
      <c r="P6068" s="183" t="n">
        <v>0</v>
      </c>
      <c r="Q6068" s="184" t="n">
        <v>0</v>
      </c>
      <c r="R6068" s="184" t="n">
        <v>0</v>
      </c>
      <c r="S6068" s="183" t="n">
        <v>0</v>
      </c>
      <c r="T6068" s="183" t="n">
        <v>0</v>
      </c>
      <c r="U6068" s="182" t="n">
        <v>0</v>
      </c>
      <c r="V6068" s="182" t="n">
        <v>0</v>
      </c>
      <c r="W6068" s="182" t="n">
        <v>0</v>
      </c>
      <c r="X6068" s="182" t="n">
        <v>1</v>
      </c>
      <c r="Y6068" s="182" t="n">
        <v>0</v>
      </c>
      <c r="Z6068" s="182" t="n">
        <v>0</v>
      </c>
      <c r="AA6068" s="182" t="n">
        <v>0</v>
      </c>
      <c r="AB6068" s="182" t="n">
        <v>0</v>
      </c>
      <c r="AC6068" s="182" t="n">
        <v>0</v>
      </c>
      <c r="AD6068" s="182" t="n">
        <v>0</v>
      </c>
      <c r="AE6068" s="182" t="n">
        <v>0</v>
      </c>
      <c r="AF6068" s="182" t="n">
        <v>0</v>
      </c>
      <c r="AG6068" s="182" t="n">
        <v>0</v>
      </c>
      <c r="AH6068" s="182" t="n">
        <v>0</v>
      </c>
      <c r="AI6068" s="182" t="n">
        <v>0</v>
      </c>
      <c r="AJ6068" s="182" t="n">
        <v>0</v>
      </c>
      <c r="AK6068" s="182" t="n">
        <v>10.92</v>
      </c>
      <c r="AL6068" s="182" t="n">
        <v>0</v>
      </c>
      <c r="AM6068" s="182" t="n">
        <v>0.08</v>
      </c>
      <c r="AN6068" s="182" t="n">
        <v>0</v>
      </c>
    </row>
    <row r="6069">
      <c r="A6069" s="155" t="n">
        <v>46109</v>
      </c>
      <c r="B6069" s="156" t="inlineStr">
        <is>
          <t>NS</t>
        </is>
      </c>
      <c r="C6069" s="156" t="inlineStr">
        <is>
          <t>HT-401</t>
        </is>
      </c>
      <c r="D6069" s="156" t="inlineStr">
        <is>
          <t>SY430</t>
        </is>
      </c>
      <c r="E6069" s="156" t="inlineStr">
        <is>
          <t>DT Hauling</t>
        </is>
      </c>
      <c r="F6069" s="156" t="inlineStr"/>
      <c r="G6069" s="182" t="n">
        <v>0</v>
      </c>
      <c r="H6069" s="182" t="n">
        <v>0</v>
      </c>
      <c r="I6069" s="182" t="n">
        <v>0</v>
      </c>
      <c r="J6069" s="182" t="n">
        <v>0</v>
      </c>
      <c r="K6069" s="182" t="n">
        <v>12</v>
      </c>
      <c r="L6069" s="182" t="n">
        <v>12</v>
      </c>
      <c r="M6069" s="182" t="n">
        <v>0</v>
      </c>
      <c r="N6069" s="182" t="n">
        <v>0</v>
      </c>
      <c r="O6069" s="183" t="n">
        <v>0</v>
      </c>
      <c r="P6069" s="183" t="n">
        <v>0</v>
      </c>
      <c r="Q6069" s="184" t="n">
        <v>0</v>
      </c>
      <c r="R6069" s="184" t="n">
        <v>0</v>
      </c>
      <c r="S6069" s="183" t="n">
        <v>0</v>
      </c>
      <c r="T6069" s="183" t="n">
        <v>0</v>
      </c>
      <c r="U6069" s="182" t="n">
        <v>0</v>
      </c>
      <c r="V6069" s="182" t="n">
        <v>0</v>
      </c>
      <c r="W6069" s="182" t="n">
        <v>0</v>
      </c>
      <c r="X6069" s="182" t="n">
        <v>1</v>
      </c>
      <c r="Y6069" s="182" t="n">
        <v>0</v>
      </c>
      <c r="Z6069" s="182" t="n">
        <v>0</v>
      </c>
      <c r="AA6069" s="182" t="n">
        <v>0</v>
      </c>
      <c r="AB6069" s="182" t="n">
        <v>0</v>
      </c>
      <c r="AC6069" s="182" t="n">
        <v>0</v>
      </c>
      <c r="AD6069" s="182" t="n">
        <v>0</v>
      </c>
      <c r="AE6069" s="182" t="n">
        <v>0</v>
      </c>
      <c r="AF6069" s="182" t="n">
        <v>0</v>
      </c>
      <c r="AG6069" s="182" t="n">
        <v>0</v>
      </c>
      <c r="AH6069" s="182" t="n">
        <v>0</v>
      </c>
      <c r="AI6069" s="182" t="n">
        <v>0</v>
      </c>
      <c r="AJ6069" s="182" t="n">
        <v>0</v>
      </c>
      <c r="AK6069" s="182" t="n">
        <v>10.92</v>
      </c>
      <c r="AL6069" s="182" t="n">
        <v>0</v>
      </c>
      <c r="AM6069" s="182" t="n">
        <v>0.08</v>
      </c>
      <c r="AN6069" s="182" t="n">
        <v>0</v>
      </c>
    </row>
    <row r="6070">
      <c r="A6070" s="155" t="n">
        <v>46109</v>
      </c>
      <c r="B6070" s="156" t="inlineStr">
        <is>
          <t>NS</t>
        </is>
      </c>
      <c r="C6070" s="156" t="inlineStr">
        <is>
          <t>HT-410</t>
        </is>
      </c>
      <c r="D6070" s="156" t="inlineStr">
        <is>
          <t>SY430</t>
        </is>
      </c>
      <c r="E6070" s="156" t="inlineStr">
        <is>
          <t>DT Hauling</t>
        </is>
      </c>
      <c r="F6070" s="156" t="inlineStr"/>
      <c r="G6070" s="182" t="n">
        <v>0</v>
      </c>
      <c r="H6070" s="182" t="n">
        <v>0</v>
      </c>
      <c r="I6070" s="182" t="n">
        <v>0</v>
      </c>
      <c r="J6070" s="182" t="n">
        <v>0</v>
      </c>
      <c r="K6070" s="182" t="n">
        <v>12</v>
      </c>
      <c r="L6070" s="182" t="n">
        <v>12</v>
      </c>
      <c r="M6070" s="182" t="n">
        <v>0</v>
      </c>
      <c r="N6070" s="182" t="n">
        <v>0</v>
      </c>
      <c r="O6070" s="183" t="n">
        <v>0</v>
      </c>
      <c r="P6070" s="183" t="n">
        <v>0</v>
      </c>
      <c r="Q6070" s="184" t="n">
        <v>0</v>
      </c>
      <c r="R6070" s="184" t="n">
        <v>0</v>
      </c>
      <c r="S6070" s="183" t="n">
        <v>0</v>
      </c>
      <c r="T6070" s="183" t="n">
        <v>0</v>
      </c>
      <c r="U6070" s="182" t="n">
        <v>0</v>
      </c>
      <c r="V6070" s="182" t="n">
        <v>0</v>
      </c>
      <c r="W6070" s="182" t="n">
        <v>0</v>
      </c>
      <c r="X6070" s="182" t="n">
        <v>1</v>
      </c>
      <c r="Y6070" s="182" t="n">
        <v>0</v>
      </c>
      <c r="Z6070" s="182" t="n">
        <v>0</v>
      </c>
      <c r="AA6070" s="182" t="n">
        <v>0</v>
      </c>
      <c r="AB6070" s="182" t="n">
        <v>0</v>
      </c>
      <c r="AC6070" s="182" t="n">
        <v>0</v>
      </c>
      <c r="AD6070" s="182" t="n">
        <v>0</v>
      </c>
      <c r="AE6070" s="182" t="n">
        <v>0</v>
      </c>
      <c r="AF6070" s="182" t="n">
        <v>0</v>
      </c>
      <c r="AG6070" s="182" t="n">
        <v>0</v>
      </c>
      <c r="AH6070" s="182" t="n">
        <v>0</v>
      </c>
      <c r="AI6070" s="182" t="n">
        <v>0</v>
      </c>
      <c r="AJ6070" s="182" t="n">
        <v>0</v>
      </c>
      <c r="AK6070" s="182" t="n">
        <v>10.92</v>
      </c>
      <c r="AL6070" s="182" t="n">
        <v>0</v>
      </c>
      <c r="AM6070" s="182" t="n">
        <v>0.08</v>
      </c>
      <c r="AN6070" s="182" t="n">
        <v>0</v>
      </c>
    </row>
    <row r="6071">
      <c r="A6071" s="155" t="n">
        <v>46109</v>
      </c>
      <c r="B6071" s="156" t="inlineStr">
        <is>
          <t>NS</t>
        </is>
      </c>
      <c r="C6071" s="156" t="inlineStr">
        <is>
          <t>HT-402</t>
        </is>
      </c>
      <c r="D6071" s="156" t="inlineStr">
        <is>
          <t>SY430</t>
        </is>
      </c>
      <c r="E6071" s="156" t="inlineStr">
        <is>
          <t>DT Hauling</t>
        </is>
      </c>
      <c r="F6071" s="156" t="inlineStr">
        <is>
          <t>Hauling Coal ke Jetty</t>
        </is>
      </c>
      <c r="G6071" s="182" t="n">
        <v>1.77</v>
      </c>
      <c r="H6071" s="182" t="n">
        <v>0</v>
      </c>
      <c r="I6071" s="182" t="n">
        <v>0</v>
      </c>
      <c r="J6071" s="182" t="n">
        <v>0</v>
      </c>
      <c r="K6071" s="182" t="n">
        <v>10.23</v>
      </c>
      <c r="L6071" s="182" t="n">
        <v>12</v>
      </c>
      <c r="M6071" s="182" t="n">
        <v>0</v>
      </c>
      <c r="N6071" s="182" t="n">
        <v>0</v>
      </c>
      <c r="O6071" s="183" t="n">
        <v>0</v>
      </c>
      <c r="P6071" s="183" t="n">
        <v>0</v>
      </c>
      <c r="Q6071" s="184" t="n">
        <v>0</v>
      </c>
      <c r="R6071" s="184" t="n">
        <v>0</v>
      </c>
      <c r="S6071" s="183" t="n">
        <v>0</v>
      </c>
      <c r="T6071" s="183" t="n">
        <v>0</v>
      </c>
      <c r="U6071" s="182" t="n">
        <v>0</v>
      </c>
      <c r="V6071" s="182" t="n">
        <v>0</v>
      </c>
      <c r="W6071" s="182" t="n">
        <v>0</v>
      </c>
      <c r="X6071" s="182" t="n">
        <v>0.98</v>
      </c>
      <c r="Y6071" s="182" t="n">
        <v>0</v>
      </c>
      <c r="Z6071" s="182" t="n">
        <v>0</v>
      </c>
      <c r="AA6071" s="182" t="n">
        <v>0</v>
      </c>
      <c r="AB6071" s="182" t="n">
        <v>0</v>
      </c>
      <c r="AC6071" s="182" t="n">
        <v>0</v>
      </c>
      <c r="AD6071" s="182" t="n">
        <v>0</v>
      </c>
      <c r="AE6071" s="182" t="n">
        <v>0</v>
      </c>
      <c r="AF6071" s="182" t="n">
        <v>0</v>
      </c>
      <c r="AG6071" s="182" t="n">
        <v>0</v>
      </c>
      <c r="AH6071" s="182" t="n">
        <v>0</v>
      </c>
      <c r="AI6071" s="182" t="n">
        <v>0</v>
      </c>
      <c r="AJ6071" s="182" t="n">
        <v>0</v>
      </c>
      <c r="AK6071" s="182" t="n">
        <v>9.17</v>
      </c>
      <c r="AL6071" s="182" t="n">
        <v>0</v>
      </c>
      <c r="AM6071" s="182" t="n">
        <v>0.08</v>
      </c>
      <c r="AN6071" s="182" t="n">
        <v>0</v>
      </c>
    </row>
    <row r="6072">
      <c r="A6072" s="155" t="n">
        <v>46109</v>
      </c>
      <c r="B6072" s="156" t="inlineStr">
        <is>
          <t>NS</t>
        </is>
      </c>
      <c r="C6072" s="156" t="inlineStr">
        <is>
          <t>HT-419</t>
        </is>
      </c>
      <c r="D6072" s="156" t="inlineStr">
        <is>
          <t>SY430</t>
        </is>
      </c>
      <c r="E6072" s="156" t="inlineStr">
        <is>
          <t>DT Hauling</t>
        </is>
      </c>
      <c r="F6072" s="156" t="inlineStr"/>
      <c r="G6072" s="182" t="n">
        <v>0</v>
      </c>
      <c r="H6072" s="182" t="n">
        <v>0</v>
      </c>
      <c r="I6072" s="182" t="n">
        <v>0</v>
      </c>
      <c r="J6072" s="182" t="n">
        <v>0</v>
      </c>
      <c r="K6072" s="182" t="n">
        <v>12</v>
      </c>
      <c r="L6072" s="182" t="n">
        <v>12</v>
      </c>
      <c r="M6072" s="182" t="n">
        <v>0</v>
      </c>
      <c r="N6072" s="182" t="n">
        <v>0</v>
      </c>
      <c r="O6072" s="183" t="n">
        <v>0</v>
      </c>
      <c r="P6072" s="183" t="n">
        <v>0</v>
      </c>
      <c r="Q6072" s="184" t="n">
        <v>0</v>
      </c>
      <c r="R6072" s="184" t="n">
        <v>0</v>
      </c>
      <c r="S6072" s="183" t="n">
        <v>0</v>
      </c>
      <c r="T6072" s="183" t="n">
        <v>0</v>
      </c>
      <c r="U6072" s="182" t="n">
        <v>0</v>
      </c>
      <c r="V6072" s="182" t="n">
        <v>0</v>
      </c>
      <c r="W6072" s="182" t="n">
        <v>0</v>
      </c>
      <c r="X6072" s="182" t="n">
        <v>1</v>
      </c>
      <c r="Y6072" s="182" t="n">
        <v>0</v>
      </c>
      <c r="Z6072" s="182" t="n">
        <v>0</v>
      </c>
      <c r="AA6072" s="182" t="n">
        <v>0</v>
      </c>
      <c r="AB6072" s="182" t="n">
        <v>0</v>
      </c>
      <c r="AC6072" s="182" t="n">
        <v>0</v>
      </c>
      <c r="AD6072" s="182" t="n">
        <v>0</v>
      </c>
      <c r="AE6072" s="182" t="n">
        <v>0</v>
      </c>
      <c r="AF6072" s="182" t="n">
        <v>0</v>
      </c>
      <c r="AG6072" s="182" t="n">
        <v>0</v>
      </c>
      <c r="AH6072" s="182" t="n">
        <v>0</v>
      </c>
      <c r="AI6072" s="182" t="n">
        <v>0</v>
      </c>
      <c r="AJ6072" s="182" t="n">
        <v>0</v>
      </c>
      <c r="AK6072" s="182" t="n">
        <v>10.92</v>
      </c>
      <c r="AL6072" s="182" t="n">
        <v>0</v>
      </c>
      <c r="AM6072" s="182" t="n">
        <v>0.08</v>
      </c>
      <c r="AN6072" s="182" t="n">
        <v>0</v>
      </c>
    </row>
    <row r="6073">
      <c r="A6073" s="155" t="n">
        <v>46109</v>
      </c>
      <c r="B6073" s="156" t="inlineStr">
        <is>
          <t>NS</t>
        </is>
      </c>
      <c r="C6073" s="156" t="inlineStr">
        <is>
          <t>HT-416</t>
        </is>
      </c>
      <c r="D6073" s="156" t="inlineStr">
        <is>
          <t>SY430</t>
        </is>
      </c>
      <c r="E6073" s="156" t="inlineStr">
        <is>
          <t>DT Hauling</t>
        </is>
      </c>
      <c r="F6073" s="156" t="inlineStr"/>
      <c r="G6073" s="182" t="n">
        <v>0</v>
      </c>
      <c r="H6073" s="182" t="n">
        <v>0</v>
      </c>
      <c r="I6073" s="182" t="n">
        <v>0</v>
      </c>
      <c r="J6073" s="182" t="n">
        <v>0</v>
      </c>
      <c r="K6073" s="182" t="n">
        <v>12</v>
      </c>
      <c r="L6073" s="182" t="n">
        <v>12</v>
      </c>
      <c r="M6073" s="182" t="n">
        <v>0</v>
      </c>
      <c r="N6073" s="182" t="n">
        <v>0</v>
      </c>
      <c r="O6073" s="183" t="n">
        <v>0</v>
      </c>
      <c r="P6073" s="183" t="n">
        <v>0</v>
      </c>
      <c r="Q6073" s="184" t="n">
        <v>0</v>
      </c>
      <c r="R6073" s="184" t="n">
        <v>0</v>
      </c>
      <c r="S6073" s="183" t="n">
        <v>0</v>
      </c>
      <c r="T6073" s="183" t="n">
        <v>0</v>
      </c>
      <c r="U6073" s="182" t="n">
        <v>0</v>
      </c>
      <c r="V6073" s="182" t="n">
        <v>0</v>
      </c>
      <c r="W6073" s="182" t="n">
        <v>0</v>
      </c>
      <c r="X6073" s="182" t="n">
        <v>1</v>
      </c>
      <c r="Y6073" s="182" t="n">
        <v>0</v>
      </c>
      <c r="Z6073" s="182" t="n">
        <v>0</v>
      </c>
      <c r="AA6073" s="182" t="n">
        <v>0</v>
      </c>
      <c r="AB6073" s="182" t="n">
        <v>0</v>
      </c>
      <c r="AC6073" s="182" t="n">
        <v>0</v>
      </c>
      <c r="AD6073" s="182" t="n">
        <v>0</v>
      </c>
      <c r="AE6073" s="182" t="n">
        <v>0</v>
      </c>
      <c r="AF6073" s="182" t="n">
        <v>0</v>
      </c>
      <c r="AG6073" s="182" t="n">
        <v>0</v>
      </c>
      <c r="AH6073" s="182" t="n">
        <v>0</v>
      </c>
      <c r="AI6073" s="182" t="n">
        <v>0</v>
      </c>
      <c r="AJ6073" s="182" t="n">
        <v>0</v>
      </c>
      <c r="AK6073" s="182" t="n">
        <v>10.92</v>
      </c>
      <c r="AL6073" s="182" t="n">
        <v>0</v>
      </c>
      <c r="AM6073" s="182" t="n">
        <v>0.08</v>
      </c>
      <c r="AN6073" s="182" t="n">
        <v>0</v>
      </c>
    </row>
    <row r="6074">
      <c r="A6074" s="155" t="n">
        <v>46109</v>
      </c>
      <c r="B6074" s="156" t="inlineStr">
        <is>
          <t>NS</t>
        </is>
      </c>
      <c r="C6074" s="156" t="inlineStr">
        <is>
          <t>HT-420</t>
        </is>
      </c>
      <c r="D6074" s="156" t="inlineStr">
        <is>
          <t>SY430</t>
        </is>
      </c>
      <c r="E6074" s="156" t="inlineStr">
        <is>
          <t>DT Hauling</t>
        </is>
      </c>
      <c r="F6074" s="156" t="inlineStr"/>
      <c r="G6074" s="182" t="n">
        <v>0</v>
      </c>
      <c r="H6074" s="182" t="n">
        <v>0</v>
      </c>
      <c r="I6074" s="182" t="n">
        <v>12</v>
      </c>
      <c r="J6074" s="182" t="n">
        <v>12</v>
      </c>
      <c r="K6074" s="182" t="n">
        <v>0</v>
      </c>
      <c r="L6074" s="182" t="n">
        <v>12</v>
      </c>
      <c r="M6074" s="182" t="n">
        <v>0</v>
      </c>
      <c r="N6074" s="182" t="n">
        <v>0</v>
      </c>
      <c r="O6074" s="183" t="n">
        <v>0</v>
      </c>
      <c r="P6074" s="183" t="n">
        <v>0</v>
      </c>
      <c r="Q6074" s="184" t="n">
        <v>0</v>
      </c>
      <c r="R6074" s="184" t="n">
        <v>0</v>
      </c>
      <c r="S6074" s="183" t="n">
        <v>0</v>
      </c>
      <c r="T6074" s="183" t="n">
        <v>0</v>
      </c>
      <c r="U6074" s="182" t="n">
        <v>0</v>
      </c>
      <c r="V6074" s="182" t="n">
        <v>0</v>
      </c>
      <c r="W6074" s="182" t="n">
        <v>0</v>
      </c>
      <c r="X6074" s="182" t="n">
        <v>0</v>
      </c>
      <c r="Y6074" s="182" t="n">
        <v>0</v>
      </c>
      <c r="Z6074" s="182" t="n">
        <v>0</v>
      </c>
      <c r="AA6074" s="182" t="n">
        <v>0</v>
      </c>
      <c r="AB6074" s="182" t="n">
        <v>0</v>
      </c>
      <c r="AC6074" s="182" t="n">
        <v>0</v>
      </c>
      <c r="AD6074" s="182" t="n">
        <v>0</v>
      </c>
      <c r="AE6074" s="182" t="n">
        <v>0</v>
      </c>
      <c r="AF6074" s="182" t="n">
        <v>0</v>
      </c>
      <c r="AG6074" s="182" t="n">
        <v>0</v>
      </c>
      <c r="AH6074" s="182" t="n">
        <v>0</v>
      </c>
      <c r="AI6074" s="182" t="n">
        <v>0</v>
      </c>
      <c r="AJ6074" s="182" t="n">
        <v>0</v>
      </c>
      <c r="AK6074" s="182" t="n">
        <v>0</v>
      </c>
      <c r="AL6074" s="182" t="n">
        <v>0</v>
      </c>
      <c r="AM6074" s="182" t="n">
        <v>0</v>
      </c>
      <c r="AN6074" s="182" t="n">
        <v>0</v>
      </c>
    </row>
    <row r="6075">
      <c r="A6075" s="155" t="n">
        <v>46109</v>
      </c>
      <c r="B6075" s="156" t="inlineStr">
        <is>
          <t>NS</t>
        </is>
      </c>
      <c r="C6075" s="156" t="inlineStr">
        <is>
          <t>HT-403</t>
        </is>
      </c>
      <c r="D6075" s="156" t="inlineStr">
        <is>
          <t>SY430</t>
        </is>
      </c>
      <c r="E6075" s="156" t="inlineStr">
        <is>
          <t>DT Hauling</t>
        </is>
      </c>
      <c r="F6075" s="156" t="inlineStr"/>
      <c r="G6075" s="182" t="n">
        <v>0</v>
      </c>
      <c r="H6075" s="182" t="n">
        <v>0</v>
      </c>
      <c r="I6075" s="182" t="n">
        <v>0</v>
      </c>
      <c r="J6075" s="182" t="n">
        <v>0</v>
      </c>
      <c r="K6075" s="182" t="n">
        <v>12</v>
      </c>
      <c r="L6075" s="182" t="n">
        <v>12</v>
      </c>
      <c r="M6075" s="182" t="n">
        <v>0</v>
      </c>
      <c r="N6075" s="182" t="n">
        <v>0</v>
      </c>
      <c r="O6075" s="183" t="n">
        <v>0</v>
      </c>
      <c r="P6075" s="183" t="n">
        <v>0</v>
      </c>
      <c r="Q6075" s="184" t="n">
        <v>0</v>
      </c>
      <c r="R6075" s="184" t="n">
        <v>0</v>
      </c>
      <c r="S6075" s="183" t="n">
        <v>0</v>
      </c>
      <c r="T6075" s="183" t="n">
        <v>0</v>
      </c>
      <c r="U6075" s="182" t="n">
        <v>0</v>
      </c>
      <c r="V6075" s="182" t="n">
        <v>0</v>
      </c>
      <c r="W6075" s="182" t="n">
        <v>0</v>
      </c>
      <c r="X6075" s="182" t="n">
        <v>1</v>
      </c>
      <c r="Y6075" s="182" t="n">
        <v>0</v>
      </c>
      <c r="Z6075" s="182" t="n">
        <v>0</v>
      </c>
      <c r="AA6075" s="182" t="n">
        <v>0</v>
      </c>
      <c r="AB6075" s="182" t="n">
        <v>0</v>
      </c>
      <c r="AC6075" s="182" t="n">
        <v>0</v>
      </c>
      <c r="AD6075" s="182" t="n">
        <v>0</v>
      </c>
      <c r="AE6075" s="182" t="n">
        <v>0</v>
      </c>
      <c r="AF6075" s="182" t="n">
        <v>0</v>
      </c>
      <c r="AG6075" s="182" t="n">
        <v>0</v>
      </c>
      <c r="AH6075" s="182" t="n">
        <v>0</v>
      </c>
      <c r="AI6075" s="182" t="n">
        <v>0</v>
      </c>
      <c r="AJ6075" s="182" t="n">
        <v>0</v>
      </c>
      <c r="AK6075" s="182" t="n">
        <v>10.92</v>
      </c>
      <c r="AL6075" s="182" t="n">
        <v>0</v>
      </c>
      <c r="AM6075" s="182" t="n">
        <v>0.08</v>
      </c>
      <c r="AN6075" s="182" t="n">
        <v>0</v>
      </c>
    </row>
    <row r="6076">
      <c r="A6076" s="155" t="n">
        <v>46109</v>
      </c>
      <c r="B6076" s="156" t="inlineStr">
        <is>
          <t>NS</t>
        </is>
      </c>
      <c r="C6076" s="156" t="inlineStr">
        <is>
          <t>HT-408</t>
        </is>
      </c>
      <c r="D6076" s="156" t="inlineStr">
        <is>
          <t>SY430</t>
        </is>
      </c>
      <c r="E6076" s="156" t="inlineStr">
        <is>
          <t>DT Hauling</t>
        </is>
      </c>
      <c r="F6076" s="156" t="inlineStr"/>
      <c r="G6076" s="182" t="n">
        <v>0</v>
      </c>
      <c r="H6076" s="182" t="n">
        <v>0</v>
      </c>
      <c r="I6076" s="182" t="n">
        <v>0</v>
      </c>
      <c r="J6076" s="182" t="n">
        <v>0</v>
      </c>
      <c r="K6076" s="182" t="n">
        <v>12</v>
      </c>
      <c r="L6076" s="182" t="n">
        <v>12</v>
      </c>
      <c r="M6076" s="182" t="n">
        <v>0</v>
      </c>
      <c r="N6076" s="182" t="n">
        <v>0</v>
      </c>
      <c r="O6076" s="183" t="n">
        <v>0</v>
      </c>
      <c r="P6076" s="183" t="n">
        <v>0</v>
      </c>
      <c r="Q6076" s="184" t="n">
        <v>0</v>
      </c>
      <c r="R6076" s="184" t="n">
        <v>0</v>
      </c>
      <c r="S6076" s="183" t="n">
        <v>0</v>
      </c>
      <c r="T6076" s="183" t="n">
        <v>0</v>
      </c>
      <c r="U6076" s="182" t="n">
        <v>0</v>
      </c>
      <c r="V6076" s="182" t="n">
        <v>0</v>
      </c>
      <c r="W6076" s="182" t="n">
        <v>0</v>
      </c>
      <c r="X6076" s="182" t="n">
        <v>1</v>
      </c>
      <c r="Y6076" s="182" t="n">
        <v>0</v>
      </c>
      <c r="Z6076" s="182" t="n">
        <v>0</v>
      </c>
      <c r="AA6076" s="182" t="n">
        <v>0</v>
      </c>
      <c r="AB6076" s="182" t="n">
        <v>0</v>
      </c>
      <c r="AC6076" s="182" t="n">
        <v>0</v>
      </c>
      <c r="AD6076" s="182" t="n">
        <v>0</v>
      </c>
      <c r="AE6076" s="182" t="n">
        <v>0</v>
      </c>
      <c r="AF6076" s="182" t="n">
        <v>0</v>
      </c>
      <c r="AG6076" s="182" t="n">
        <v>0</v>
      </c>
      <c r="AH6076" s="182" t="n">
        <v>0</v>
      </c>
      <c r="AI6076" s="182" t="n">
        <v>0</v>
      </c>
      <c r="AJ6076" s="182" t="n">
        <v>0</v>
      </c>
      <c r="AK6076" s="182" t="n">
        <v>10.92</v>
      </c>
      <c r="AL6076" s="182" t="n">
        <v>0</v>
      </c>
      <c r="AM6076" s="182" t="n">
        <v>0.08</v>
      </c>
      <c r="AN6076" s="182" t="n">
        <v>0</v>
      </c>
    </row>
    <row r="6077">
      <c r="A6077" s="155" t="n">
        <v>46109</v>
      </c>
      <c r="B6077" s="156" t="inlineStr">
        <is>
          <t>NS</t>
        </is>
      </c>
      <c r="C6077" s="156" t="inlineStr">
        <is>
          <t>HT-412</t>
        </is>
      </c>
      <c r="D6077" s="156" t="inlineStr">
        <is>
          <t>SY430</t>
        </is>
      </c>
      <c r="E6077" s="156" t="inlineStr">
        <is>
          <t>DT Hauling</t>
        </is>
      </c>
      <c r="F6077" s="156" t="inlineStr"/>
      <c r="G6077" s="182" t="n">
        <v>0</v>
      </c>
      <c r="H6077" s="182" t="n">
        <v>0</v>
      </c>
      <c r="I6077" s="182" t="n">
        <v>0</v>
      </c>
      <c r="J6077" s="182" t="n">
        <v>0</v>
      </c>
      <c r="K6077" s="182" t="n">
        <v>12</v>
      </c>
      <c r="L6077" s="182" t="n">
        <v>12</v>
      </c>
      <c r="M6077" s="182" t="n">
        <v>0</v>
      </c>
      <c r="N6077" s="182" t="n">
        <v>0</v>
      </c>
      <c r="O6077" s="183" t="n">
        <v>0</v>
      </c>
      <c r="P6077" s="183" t="n">
        <v>0</v>
      </c>
      <c r="Q6077" s="184" t="n">
        <v>0</v>
      </c>
      <c r="R6077" s="184" t="n">
        <v>0</v>
      </c>
      <c r="S6077" s="183" t="n">
        <v>0</v>
      </c>
      <c r="T6077" s="183" t="n">
        <v>0</v>
      </c>
      <c r="U6077" s="182" t="n">
        <v>0</v>
      </c>
      <c r="V6077" s="182" t="n">
        <v>0</v>
      </c>
      <c r="W6077" s="182" t="n">
        <v>0</v>
      </c>
      <c r="X6077" s="182" t="n">
        <v>1</v>
      </c>
      <c r="Y6077" s="182" t="n">
        <v>0</v>
      </c>
      <c r="Z6077" s="182" t="n">
        <v>0</v>
      </c>
      <c r="AA6077" s="182" t="n">
        <v>0</v>
      </c>
      <c r="AB6077" s="182" t="n">
        <v>0</v>
      </c>
      <c r="AC6077" s="182" t="n">
        <v>0</v>
      </c>
      <c r="AD6077" s="182" t="n">
        <v>0</v>
      </c>
      <c r="AE6077" s="182" t="n">
        <v>0</v>
      </c>
      <c r="AF6077" s="182" t="n">
        <v>0</v>
      </c>
      <c r="AG6077" s="182" t="n">
        <v>0</v>
      </c>
      <c r="AH6077" s="182" t="n">
        <v>0</v>
      </c>
      <c r="AI6077" s="182" t="n">
        <v>0</v>
      </c>
      <c r="AJ6077" s="182" t="n">
        <v>0</v>
      </c>
      <c r="AK6077" s="182" t="n">
        <v>10.92</v>
      </c>
      <c r="AL6077" s="182" t="n">
        <v>0</v>
      </c>
      <c r="AM6077" s="182" t="n">
        <v>0.08</v>
      </c>
      <c r="AN6077" s="182" t="n">
        <v>0</v>
      </c>
    </row>
    <row r="6078">
      <c r="A6078" s="155" t="n">
        <v>46109</v>
      </c>
      <c r="B6078" s="156" t="inlineStr">
        <is>
          <t>NS</t>
        </is>
      </c>
      <c r="C6078" s="156" t="inlineStr">
        <is>
          <t>HT-413</t>
        </is>
      </c>
      <c r="D6078" s="156" t="inlineStr">
        <is>
          <t>SY430</t>
        </is>
      </c>
      <c r="E6078" s="156" t="inlineStr">
        <is>
          <t>DT Hauling</t>
        </is>
      </c>
      <c r="F6078" s="156" t="inlineStr"/>
      <c r="G6078" s="182" t="n">
        <v>0</v>
      </c>
      <c r="H6078" s="182" t="n">
        <v>0</v>
      </c>
      <c r="I6078" s="182" t="n">
        <v>12</v>
      </c>
      <c r="J6078" s="182" t="n">
        <v>12</v>
      </c>
      <c r="K6078" s="182" t="n">
        <v>0</v>
      </c>
      <c r="L6078" s="182" t="n">
        <v>12</v>
      </c>
      <c r="M6078" s="182" t="n">
        <v>0</v>
      </c>
      <c r="N6078" s="182" t="n">
        <v>0</v>
      </c>
      <c r="O6078" s="183" t="n">
        <v>0</v>
      </c>
      <c r="P6078" s="183" t="n">
        <v>0</v>
      </c>
      <c r="Q6078" s="184" t="n">
        <v>0</v>
      </c>
      <c r="R6078" s="184" t="n">
        <v>0</v>
      </c>
      <c r="S6078" s="183" t="n">
        <v>0</v>
      </c>
      <c r="T6078" s="183" t="n">
        <v>0</v>
      </c>
      <c r="U6078" s="182" t="n">
        <v>0</v>
      </c>
      <c r="V6078" s="182" t="n">
        <v>0</v>
      </c>
      <c r="W6078" s="182" t="n">
        <v>0</v>
      </c>
      <c r="X6078" s="182" t="n">
        <v>0</v>
      </c>
      <c r="Y6078" s="182" t="n">
        <v>0</v>
      </c>
      <c r="Z6078" s="182" t="n">
        <v>0</v>
      </c>
      <c r="AA6078" s="182" t="n">
        <v>0</v>
      </c>
      <c r="AB6078" s="182" t="n">
        <v>0</v>
      </c>
      <c r="AC6078" s="182" t="n">
        <v>0</v>
      </c>
      <c r="AD6078" s="182" t="n">
        <v>0</v>
      </c>
      <c r="AE6078" s="182" t="n">
        <v>0</v>
      </c>
      <c r="AF6078" s="182" t="n">
        <v>0</v>
      </c>
      <c r="AG6078" s="182" t="n">
        <v>0</v>
      </c>
      <c r="AH6078" s="182" t="n">
        <v>0</v>
      </c>
      <c r="AI6078" s="182" t="n">
        <v>0</v>
      </c>
      <c r="AJ6078" s="182" t="n">
        <v>0</v>
      </c>
      <c r="AK6078" s="182" t="n">
        <v>0</v>
      </c>
      <c r="AL6078" s="182" t="n">
        <v>0</v>
      </c>
      <c r="AM6078" s="182" t="n">
        <v>0</v>
      </c>
      <c r="AN6078" s="182" t="n">
        <v>0</v>
      </c>
    </row>
    <row r="6079">
      <c r="A6079" s="155" t="n">
        <v>46109</v>
      </c>
      <c r="B6079" s="156" t="inlineStr">
        <is>
          <t>NS</t>
        </is>
      </c>
      <c r="C6079" s="156" t="inlineStr">
        <is>
          <t>HT-407</t>
        </is>
      </c>
      <c r="D6079" s="156" t="inlineStr">
        <is>
          <t>SY430</t>
        </is>
      </c>
      <c r="E6079" s="156" t="inlineStr">
        <is>
          <t>DT Hauling</t>
        </is>
      </c>
      <c r="F6079" s="156" t="inlineStr"/>
      <c r="G6079" s="182" t="n">
        <v>0</v>
      </c>
      <c r="H6079" s="182" t="n">
        <v>0</v>
      </c>
      <c r="I6079" s="182" t="n">
        <v>0</v>
      </c>
      <c r="J6079" s="182" t="n">
        <v>0</v>
      </c>
      <c r="K6079" s="182" t="n">
        <v>12</v>
      </c>
      <c r="L6079" s="182" t="n">
        <v>12</v>
      </c>
      <c r="M6079" s="182" t="n">
        <v>0</v>
      </c>
      <c r="N6079" s="182" t="n">
        <v>0</v>
      </c>
      <c r="O6079" s="183" t="n">
        <v>0</v>
      </c>
      <c r="P6079" s="183" t="n">
        <v>0</v>
      </c>
      <c r="Q6079" s="184" t="n">
        <v>0</v>
      </c>
      <c r="R6079" s="184" t="n">
        <v>0</v>
      </c>
      <c r="S6079" s="183" t="n">
        <v>0</v>
      </c>
      <c r="T6079" s="183" t="n">
        <v>0</v>
      </c>
      <c r="U6079" s="182" t="n">
        <v>0</v>
      </c>
      <c r="V6079" s="182" t="n">
        <v>0</v>
      </c>
      <c r="W6079" s="182" t="n">
        <v>0</v>
      </c>
      <c r="X6079" s="182" t="n">
        <v>1</v>
      </c>
      <c r="Y6079" s="182" t="n">
        <v>0</v>
      </c>
      <c r="Z6079" s="182" t="n">
        <v>0</v>
      </c>
      <c r="AA6079" s="182" t="n">
        <v>0</v>
      </c>
      <c r="AB6079" s="182" t="n">
        <v>0</v>
      </c>
      <c r="AC6079" s="182" t="n">
        <v>0</v>
      </c>
      <c r="AD6079" s="182" t="n">
        <v>0</v>
      </c>
      <c r="AE6079" s="182" t="n">
        <v>0</v>
      </c>
      <c r="AF6079" s="182" t="n">
        <v>0</v>
      </c>
      <c r="AG6079" s="182" t="n">
        <v>0</v>
      </c>
      <c r="AH6079" s="182" t="n">
        <v>0</v>
      </c>
      <c r="AI6079" s="182" t="n">
        <v>0</v>
      </c>
      <c r="AJ6079" s="182" t="n">
        <v>0</v>
      </c>
      <c r="AK6079" s="182" t="n">
        <v>10.92</v>
      </c>
      <c r="AL6079" s="182" t="n">
        <v>0</v>
      </c>
      <c r="AM6079" s="182" t="n">
        <v>0.08</v>
      </c>
      <c r="AN6079" s="182" t="n">
        <v>0</v>
      </c>
    </row>
    <row r="6080">
      <c r="A6080" s="155" t="n">
        <v>46109</v>
      </c>
      <c r="B6080" s="156" t="inlineStr">
        <is>
          <t>NS</t>
        </is>
      </c>
      <c r="C6080" s="156" t="inlineStr">
        <is>
          <t>HT-414</t>
        </is>
      </c>
      <c r="D6080" s="156" t="inlineStr">
        <is>
          <t>SY430</t>
        </is>
      </c>
      <c r="E6080" s="156" t="inlineStr">
        <is>
          <t>DT Hauling</t>
        </is>
      </c>
      <c r="F6080" s="156" t="inlineStr"/>
      <c r="G6080" s="182" t="n">
        <v>0</v>
      </c>
      <c r="H6080" s="182" t="n">
        <v>0</v>
      </c>
      <c r="I6080" s="182" t="n">
        <v>9.5</v>
      </c>
      <c r="J6080" s="182" t="n">
        <v>9.5</v>
      </c>
      <c r="K6080" s="182" t="n">
        <v>2.5</v>
      </c>
      <c r="L6080" s="182" t="n">
        <v>12</v>
      </c>
      <c r="M6080" s="182" t="n">
        <v>0</v>
      </c>
      <c r="N6080" s="182" t="n">
        <v>0</v>
      </c>
      <c r="O6080" s="183" t="n">
        <v>0</v>
      </c>
      <c r="P6080" s="183" t="n">
        <v>0</v>
      </c>
      <c r="Q6080" s="184" t="n">
        <v>0</v>
      </c>
      <c r="R6080" s="184" t="n">
        <v>0</v>
      </c>
      <c r="S6080" s="183" t="n">
        <v>0</v>
      </c>
      <c r="T6080" s="183" t="n">
        <v>0</v>
      </c>
      <c r="U6080" s="182" t="n">
        <v>0</v>
      </c>
      <c r="V6080" s="182" t="n">
        <v>0</v>
      </c>
      <c r="W6080" s="182" t="n">
        <v>0</v>
      </c>
      <c r="X6080" s="182" t="n">
        <v>1</v>
      </c>
      <c r="Y6080" s="182" t="n">
        <v>0</v>
      </c>
      <c r="Z6080" s="182" t="n">
        <v>0</v>
      </c>
      <c r="AA6080" s="182" t="n">
        <v>0</v>
      </c>
      <c r="AB6080" s="182" t="n">
        <v>0</v>
      </c>
      <c r="AC6080" s="182" t="n">
        <v>0</v>
      </c>
      <c r="AD6080" s="182" t="n">
        <v>0</v>
      </c>
      <c r="AE6080" s="182" t="n">
        <v>0</v>
      </c>
      <c r="AF6080" s="182" t="n">
        <v>0</v>
      </c>
      <c r="AG6080" s="182" t="n">
        <v>0</v>
      </c>
      <c r="AH6080" s="182" t="n">
        <v>0</v>
      </c>
      <c r="AI6080" s="182" t="n">
        <v>1.42</v>
      </c>
      <c r="AJ6080" s="182" t="n">
        <v>0</v>
      </c>
      <c r="AK6080" s="182" t="n">
        <v>0</v>
      </c>
      <c r="AL6080" s="182" t="n">
        <v>0</v>
      </c>
      <c r="AM6080" s="182" t="n">
        <v>0.08</v>
      </c>
      <c r="AN6080" s="182" t="n">
        <v>0</v>
      </c>
    </row>
    <row r="6081">
      <c r="A6081" s="155" t="n">
        <v>46109</v>
      </c>
      <c r="B6081" s="156" t="inlineStr">
        <is>
          <t>NS</t>
        </is>
      </c>
      <c r="C6081" s="156" t="inlineStr">
        <is>
          <t>HT-411</t>
        </is>
      </c>
      <c r="D6081" s="156" t="inlineStr">
        <is>
          <t>SY430</t>
        </is>
      </c>
      <c r="E6081" s="156" t="inlineStr">
        <is>
          <t>DT Hauling</t>
        </is>
      </c>
      <c r="F6081" s="156" t="inlineStr"/>
      <c r="G6081" s="182" t="n">
        <v>0</v>
      </c>
      <c r="H6081" s="182" t="n">
        <v>0</v>
      </c>
      <c r="I6081" s="182" t="n">
        <v>0</v>
      </c>
      <c r="J6081" s="182" t="n">
        <v>0</v>
      </c>
      <c r="K6081" s="182" t="n">
        <v>12</v>
      </c>
      <c r="L6081" s="182" t="n">
        <v>12</v>
      </c>
      <c r="M6081" s="182" t="n">
        <v>0</v>
      </c>
      <c r="N6081" s="182" t="n">
        <v>0</v>
      </c>
      <c r="O6081" s="183" t="n">
        <v>0</v>
      </c>
      <c r="P6081" s="183" t="n">
        <v>0</v>
      </c>
      <c r="Q6081" s="184" t="n">
        <v>0</v>
      </c>
      <c r="R6081" s="184" t="n">
        <v>0</v>
      </c>
      <c r="S6081" s="183" t="n">
        <v>0</v>
      </c>
      <c r="T6081" s="183" t="n">
        <v>0</v>
      </c>
      <c r="U6081" s="182" t="n">
        <v>0</v>
      </c>
      <c r="V6081" s="182" t="n">
        <v>0</v>
      </c>
      <c r="W6081" s="182" t="n">
        <v>0</v>
      </c>
      <c r="X6081" s="182" t="n">
        <v>1</v>
      </c>
      <c r="Y6081" s="182" t="n">
        <v>0</v>
      </c>
      <c r="Z6081" s="182" t="n">
        <v>0</v>
      </c>
      <c r="AA6081" s="182" t="n">
        <v>0</v>
      </c>
      <c r="AB6081" s="182" t="n">
        <v>0</v>
      </c>
      <c r="AC6081" s="182" t="n">
        <v>0</v>
      </c>
      <c r="AD6081" s="182" t="n">
        <v>0</v>
      </c>
      <c r="AE6081" s="182" t="n">
        <v>0</v>
      </c>
      <c r="AF6081" s="182" t="n">
        <v>0</v>
      </c>
      <c r="AG6081" s="182" t="n">
        <v>0</v>
      </c>
      <c r="AH6081" s="182" t="n">
        <v>0</v>
      </c>
      <c r="AI6081" s="182" t="n">
        <v>0</v>
      </c>
      <c r="AJ6081" s="182" t="n">
        <v>0</v>
      </c>
      <c r="AK6081" s="182" t="n">
        <v>10.92</v>
      </c>
      <c r="AL6081" s="182" t="n">
        <v>0</v>
      </c>
      <c r="AM6081" s="182" t="n">
        <v>0.08</v>
      </c>
      <c r="AN6081" s="182" t="n">
        <v>0</v>
      </c>
    </row>
    <row r="6082">
      <c r="A6082" s="155" t="n">
        <v>46109</v>
      </c>
      <c r="B6082" s="156" t="inlineStr">
        <is>
          <t>NS</t>
        </is>
      </c>
      <c r="C6082" s="156" t="inlineStr">
        <is>
          <t>HT-409</t>
        </is>
      </c>
      <c r="D6082" s="156" t="inlineStr">
        <is>
          <t>SY430</t>
        </is>
      </c>
      <c r="E6082" s="156" t="inlineStr">
        <is>
          <t>DT Hauling</t>
        </is>
      </c>
      <c r="F6082" s="156" t="inlineStr"/>
      <c r="G6082" s="182" t="n">
        <v>0</v>
      </c>
      <c r="H6082" s="182" t="n">
        <v>0</v>
      </c>
      <c r="I6082" s="182" t="n">
        <v>2.17</v>
      </c>
      <c r="J6082" s="182" t="n">
        <v>2.17</v>
      </c>
      <c r="K6082" s="182" t="n">
        <v>9.83</v>
      </c>
      <c r="L6082" s="182" t="n">
        <v>12</v>
      </c>
      <c r="M6082" s="182" t="n">
        <v>0</v>
      </c>
      <c r="N6082" s="182" t="n">
        <v>0</v>
      </c>
      <c r="O6082" s="183" t="n">
        <v>0</v>
      </c>
      <c r="P6082" s="183" t="n">
        <v>0</v>
      </c>
      <c r="Q6082" s="184" t="n">
        <v>0</v>
      </c>
      <c r="R6082" s="184" t="n">
        <v>0</v>
      </c>
      <c r="S6082" s="183" t="n">
        <v>0</v>
      </c>
      <c r="T6082" s="183" t="n">
        <v>0</v>
      </c>
      <c r="U6082" s="182" t="n">
        <v>0</v>
      </c>
      <c r="V6082" s="182" t="n">
        <v>0</v>
      </c>
      <c r="W6082" s="182" t="n">
        <v>0</v>
      </c>
      <c r="X6082" s="182" t="n">
        <v>1</v>
      </c>
      <c r="Y6082" s="182" t="n">
        <v>0</v>
      </c>
      <c r="Z6082" s="182" t="n">
        <v>0</v>
      </c>
      <c r="AA6082" s="182" t="n">
        <v>0</v>
      </c>
      <c r="AB6082" s="182" t="n">
        <v>0</v>
      </c>
      <c r="AC6082" s="182" t="n">
        <v>0</v>
      </c>
      <c r="AD6082" s="182" t="n">
        <v>0</v>
      </c>
      <c r="AE6082" s="182" t="n">
        <v>0</v>
      </c>
      <c r="AF6082" s="182" t="n">
        <v>0</v>
      </c>
      <c r="AG6082" s="182" t="n">
        <v>0</v>
      </c>
      <c r="AH6082" s="182" t="n">
        <v>0</v>
      </c>
      <c r="AI6082" s="182" t="n">
        <v>0</v>
      </c>
      <c r="AJ6082" s="182" t="n">
        <v>0</v>
      </c>
      <c r="AK6082" s="182" t="n">
        <v>8.75</v>
      </c>
      <c r="AL6082" s="182" t="n">
        <v>0</v>
      </c>
      <c r="AM6082" s="182" t="n">
        <v>0.08</v>
      </c>
      <c r="AN6082" s="182" t="n">
        <v>0</v>
      </c>
    </row>
    <row r="6083">
      <c r="A6083" s="155" t="n">
        <v>46109</v>
      </c>
      <c r="B6083" s="156" t="inlineStr">
        <is>
          <t>NS</t>
        </is>
      </c>
      <c r="C6083" s="156" t="inlineStr">
        <is>
          <t>DH-103</t>
        </is>
      </c>
      <c r="D6083" s="156" t="inlineStr">
        <is>
          <t>HINO FM260</t>
        </is>
      </c>
      <c r="E6083" s="156" t="inlineStr">
        <is>
          <t>DT Hino</t>
        </is>
      </c>
      <c r="F6083" s="156" t="inlineStr"/>
      <c r="G6083" s="182" t="n">
        <v>0</v>
      </c>
      <c r="H6083" s="182" t="n">
        <v>0</v>
      </c>
      <c r="I6083" s="182" t="n">
        <v>12</v>
      </c>
      <c r="J6083" s="182" t="n">
        <v>12</v>
      </c>
      <c r="K6083" s="182" t="n">
        <v>0</v>
      </c>
      <c r="L6083" s="182" t="n">
        <v>12</v>
      </c>
      <c r="M6083" s="182" t="n">
        <v>0</v>
      </c>
      <c r="N6083" s="182" t="n">
        <v>0</v>
      </c>
      <c r="O6083" s="183" t="n">
        <v>0</v>
      </c>
      <c r="P6083" s="183" t="n">
        <v>0</v>
      </c>
      <c r="Q6083" s="184" t="n">
        <v>0</v>
      </c>
      <c r="R6083" s="184" t="n">
        <v>0</v>
      </c>
      <c r="S6083" s="183" t="n">
        <v>0</v>
      </c>
      <c r="T6083" s="183" t="n">
        <v>0</v>
      </c>
      <c r="U6083" s="182" t="n">
        <v>0</v>
      </c>
      <c r="V6083" s="182" t="n">
        <v>0</v>
      </c>
      <c r="W6083" s="182" t="n">
        <v>0</v>
      </c>
      <c r="X6083" s="182" t="n">
        <v>0</v>
      </c>
      <c r="Y6083" s="182" t="n">
        <v>0</v>
      </c>
      <c r="Z6083" s="182" t="n">
        <v>0</v>
      </c>
      <c r="AA6083" s="182" t="n">
        <v>0</v>
      </c>
      <c r="AB6083" s="182" t="n">
        <v>0</v>
      </c>
      <c r="AC6083" s="182" t="n">
        <v>0</v>
      </c>
      <c r="AD6083" s="182" t="n">
        <v>0</v>
      </c>
      <c r="AE6083" s="182" t="n">
        <v>0</v>
      </c>
      <c r="AF6083" s="182" t="n">
        <v>0</v>
      </c>
      <c r="AG6083" s="182" t="n">
        <v>0</v>
      </c>
      <c r="AH6083" s="182" t="n">
        <v>0</v>
      </c>
      <c r="AI6083" s="182" t="n">
        <v>0</v>
      </c>
      <c r="AJ6083" s="182" t="n">
        <v>0</v>
      </c>
      <c r="AK6083" s="182" t="n">
        <v>0</v>
      </c>
      <c r="AL6083" s="182" t="n">
        <v>0</v>
      </c>
      <c r="AM6083" s="182" t="n">
        <v>0</v>
      </c>
      <c r="AN6083" s="182" t="n">
        <v>0</v>
      </c>
    </row>
    <row r="6084">
      <c r="A6084" s="155" t="n">
        <v>46109</v>
      </c>
      <c r="B6084" s="156" t="inlineStr">
        <is>
          <t>NS</t>
        </is>
      </c>
      <c r="C6084" s="156" t="inlineStr">
        <is>
          <t>DH-102</t>
        </is>
      </c>
      <c r="D6084" s="156" t="inlineStr">
        <is>
          <t>HINO FM260</t>
        </is>
      </c>
      <c r="E6084" s="156" t="inlineStr">
        <is>
          <t>DT Hino</t>
        </is>
      </c>
      <c r="F6084" s="156" t="inlineStr"/>
      <c r="G6084" s="182" t="n">
        <v>0</v>
      </c>
      <c r="H6084" s="182" t="n">
        <v>0</v>
      </c>
      <c r="I6084" s="182" t="n">
        <v>0</v>
      </c>
      <c r="J6084" s="182" t="n">
        <v>0</v>
      </c>
      <c r="K6084" s="182" t="n">
        <v>12</v>
      </c>
      <c r="L6084" s="182" t="n">
        <v>12</v>
      </c>
      <c r="M6084" s="182" t="n">
        <v>0</v>
      </c>
      <c r="N6084" s="182" t="n">
        <v>0</v>
      </c>
      <c r="O6084" s="183" t="n">
        <v>0</v>
      </c>
      <c r="P6084" s="183" t="n">
        <v>0</v>
      </c>
      <c r="Q6084" s="184" t="n">
        <v>0</v>
      </c>
      <c r="R6084" s="184" t="n">
        <v>0</v>
      </c>
      <c r="S6084" s="183" t="n">
        <v>0</v>
      </c>
      <c r="T6084" s="183" t="n">
        <v>0</v>
      </c>
      <c r="U6084" s="182" t="n">
        <v>3.92</v>
      </c>
      <c r="V6084" s="182" t="n">
        <v>0</v>
      </c>
      <c r="W6084" s="182" t="n">
        <v>0</v>
      </c>
      <c r="X6084" s="182" t="n">
        <v>1</v>
      </c>
      <c r="Y6084" s="182" t="n">
        <v>0</v>
      </c>
      <c r="Z6084" s="182" t="n">
        <v>0</v>
      </c>
      <c r="AA6084" s="182" t="n">
        <v>0</v>
      </c>
      <c r="AB6084" s="182" t="n">
        <v>0</v>
      </c>
      <c r="AC6084" s="182" t="n">
        <v>0</v>
      </c>
      <c r="AD6084" s="182" t="n">
        <v>0</v>
      </c>
      <c r="AE6084" s="182" t="n">
        <v>0</v>
      </c>
      <c r="AF6084" s="182" t="n">
        <v>0</v>
      </c>
      <c r="AG6084" s="182" t="n">
        <v>0</v>
      </c>
      <c r="AH6084" s="182" t="n">
        <v>0</v>
      </c>
      <c r="AI6084" s="182" t="n">
        <v>0</v>
      </c>
      <c r="AJ6084" s="182" t="n">
        <v>0</v>
      </c>
      <c r="AK6084" s="182" t="n">
        <v>7</v>
      </c>
      <c r="AL6084" s="182" t="n">
        <v>0</v>
      </c>
      <c r="AM6084" s="182" t="n">
        <v>0.08</v>
      </c>
      <c r="AN6084" s="182" t="n">
        <v>0</v>
      </c>
    </row>
    <row r="6085">
      <c r="A6085" s="155" t="n">
        <v>46109</v>
      </c>
      <c r="B6085" s="156" t="inlineStr">
        <is>
          <t>NS</t>
        </is>
      </c>
      <c r="C6085" s="156" t="inlineStr">
        <is>
          <t>DH-101</t>
        </is>
      </c>
      <c r="D6085" s="156" t="inlineStr">
        <is>
          <t>HINO FM260</t>
        </is>
      </c>
      <c r="E6085" s="156" t="inlineStr">
        <is>
          <t>DT Hino</t>
        </is>
      </c>
      <c r="F6085" s="156" t="inlineStr"/>
      <c r="G6085" s="182" t="n">
        <v>0</v>
      </c>
      <c r="H6085" s="182" t="n">
        <v>0</v>
      </c>
      <c r="I6085" s="182" t="n">
        <v>12</v>
      </c>
      <c r="J6085" s="182" t="n">
        <v>12</v>
      </c>
      <c r="K6085" s="182" t="n">
        <v>0</v>
      </c>
      <c r="L6085" s="182" t="n">
        <v>12</v>
      </c>
      <c r="M6085" s="182" t="n">
        <v>0</v>
      </c>
      <c r="N6085" s="182" t="n">
        <v>0</v>
      </c>
      <c r="O6085" s="183" t="n">
        <v>0</v>
      </c>
      <c r="P6085" s="183" t="n">
        <v>0</v>
      </c>
      <c r="Q6085" s="184" t="n">
        <v>0</v>
      </c>
      <c r="R6085" s="184" t="n">
        <v>0</v>
      </c>
      <c r="S6085" s="183" t="n">
        <v>0</v>
      </c>
      <c r="T6085" s="183" t="n">
        <v>0</v>
      </c>
      <c r="U6085" s="182" t="n">
        <v>0</v>
      </c>
      <c r="V6085" s="182" t="n">
        <v>0</v>
      </c>
      <c r="W6085" s="182" t="n">
        <v>0</v>
      </c>
      <c r="X6085" s="182" t="n">
        <v>0</v>
      </c>
      <c r="Y6085" s="182" t="n">
        <v>0</v>
      </c>
      <c r="Z6085" s="182" t="n">
        <v>0</v>
      </c>
      <c r="AA6085" s="182" t="n">
        <v>0</v>
      </c>
      <c r="AB6085" s="182" t="n">
        <v>0</v>
      </c>
      <c r="AC6085" s="182" t="n">
        <v>0</v>
      </c>
      <c r="AD6085" s="182" t="n">
        <v>0</v>
      </c>
      <c r="AE6085" s="182" t="n">
        <v>0</v>
      </c>
      <c r="AF6085" s="182" t="n">
        <v>0</v>
      </c>
      <c r="AG6085" s="182" t="n">
        <v>0</v>
      </c>
      <c r="AH6085" s="182" t="n">
        <v>0</v>
      </c>
      <c r="AI6085" s="182" t="n">
        <v>0</v>
      </c>
      <c r="AJ6085" s="182" t="n">
        <v>0</v>
      </c>
      <c r="AK6085" s="182" t="n">
        <v>0</v>
      </c>
      <c r="AL6085" s="182" t="n">
        <v>0</v>
      </c>
      <c r="AM6085" s="182" t="n">
        <v>0</v>
      </c>
      <c r="AN6085" s="182" t="n">
        <v>0</v>
      </c>
    </row>
    <row r="6086">
      <c r="A6086" s="155" t="n">
        <v>46109</v>
      </c>
      <c r="B6086" s="156" t="inlineStr">
        <is>
          <t>NS</t>
        </is>
      </c>
      <c r="C6086" s="156" t="inlineStr">
        <is>
          <t>EX-1251</t>
        </is>
      </c>
      <c r="D6086" s="156" t="inlineStr">
        <is>
          <t>SY1250</t>
        </is>
      </c>
      <c r="E6086" s="156" t="inlineStr">
        <is>
          <t>Excavator</t>
        </is>
      </c>
      <c r="F6086" s="156" t="inlineStr"/>
      <c r="G6086" s="182" t="n">
        <v>0</v>
      </c>
      <c r="H6086" s="182" t="n">
        <v>0</v>
      </c>
      <c r="I6086" s="182" t="n">
        <v>12</v>
      </c>
      <c r="J6086" s="182" t="n">
        <v>12</v>
      </c>
      <c r="K6086" s="182" t="n">
        <v>0</v>
      </c>
      <c r="L6086" s="182" t="n">
        <v>12</v>
      </c>
      <c r="M6086" s="182" t="n">
        <v>0</v>
      </c>
      <c r="N6086" s="182" t="n">
        <v>0</v>
      </c>
      <c r="O6086" s="185">
        <f>SUMIFS(INPUT_RITASE!$F$5:$F$20000,INPUT_RITASE!$A$5:$A$20000,$A6086,INPUT_RITASE!$H$5:$H$20000,$B6086,INPUT_RITASE!$C$5:$C$20000,$C6086,INPUT_RITASE!$N$5:$N$20000,"OB")</f>
        <v/>
      </c>
      <c r="P6086" s="185">
        <f>SUMIFS(INPUT_RITASE!$F$5:$F$20000,INPUT_RITASE!$A$5:$A$20000,$A6086,INPUT_RITASE!$H$5:$H$20000,$B6086,INPUT_RITASE!$C$5:$C$20000,$C6086,INPUT_RITASE!$N$5:$N$20000,"Coal")</f>
        <v/>
      </c>
      <c r="Q6086" s="186">
        <f>SUMIFS(INPUT_RITASE!$L$5:$L$20000,INPUT_RITASE!$A$5:$A$20000,$A6086,INPUT_RITASE!$H$5:$H$20000,$B6086,INPUT_RITASE!$C$5:$C$20000,$C6086,INPUT_RITASE!$N$5:$N$20000,"OB")</f>
        <v/>
      </c>
      <c r="R6086" s="186">
        <f>SUMIFS(INPUT_RITASE!$L$5:$L$20000,INPUT_RITASE!$A$5:$A$20000,$A6086,INPUT_RITASE!$H$5:$H$20000,$B6086,INPUT_RITASE!$C$5:$C$20000,$C6086,INPUT_RITASE!$N$5:$N$20000,"Coal")</f>
        <v/>
      </c>
      <c r="S6086" s="183" t="n">
        <v>0</v>
      </c>
      <c r="T6086" s="183" t="n">
        <v>0</v>
      </c>
      <c r="U6086" s="182" t="n">
        <v>0</v>
      </c>
      <c r="V6086" s="182" t="n">
        <v>0</v>
      </c>
      <c r="W6086" s="182" t="n">
        <v>0</v>
      </c>
      <c r="X6086" s="182" t="n">
        <v>0</v>
      </c>
      <c r="Y6086" s="182" t="n">
        <v>0</v>
      </c>
      <c r="Z6086" s="182" t="n">
        <v>0</v>
      </c>
      <c r="AA6086" s="182" t="n">
        <v>0</v>
      </c>
      <c r="AB6086" s="182" t="n">
        <v>0</v>
      </c>
      <c r="AC6086" s="182" t="n">
        <v>0</v>
      </c>
      <c r="AD6086" s="182" t="n">
        <v>0</v>
      </c>
      <c r="AE6086" s="182" t="n">
        <v>0</v>
      </c>
      <c r="AF6086" s="182" t="n">
        <v>0</v>
      </c>
      <c r="AG6086" s="182" t="n">
        <v>0</v>
      </c>
      <c r="AH6086" s="182" t="n">
        <v>0</v>
      </c>
      <c r="AI6086" s="182" t="n">
        <v>0</v>
      </c>
      <c r="AJ6086" s="182" t="n">
        <v>0</v>
      </c>
      <c r="AK6086" s="182" t="n">
        <v>0</v>
      </c>
      <c r="AL6086" s="182" t="n">
        <v>0</v>
      </c>
      <c r="AM6086" s="182" t="n">
        <v>0</v>
      </c>
      <c r="AN6086" s="182" t="n">
        <v>0</v>
      </c>
    </row>
    <row r="6087">
      <c r="A6087" s="155" t="n">
        <v>46109</v>
      </c>
      <c r="B6087" s="156" t="inlineStr">
        <is>
          <t>NS</t>
        </is>
      </c>
      <c r="C6087" s="156" t="inlineStr">
        <is>
          <t>EX-1252</t>
        </is>
      </c>
      <c r="D6087" s="156" t="inlineStr">
        <is>
          <t>SY1250</t>
        </is>
      </c>
      <c r="E6087" s="156" t="inlineStr">
        <is>
          <t>Excavator</t>
        </is>
      </c>
      <c r="F6087" s="156" t="inlineStr"/>
      <c r="G6087" s="182" t="n">
        <v>0</v>
      </c>
      <c r="H6087" s="182" t="n">
        <v>0</v>
      </c>
      <c r="I6087" s="182" t="n">
        <v>12</v>
      </c>
      <c r="J6087" s="182" t="n">
        <v>12</v>
      </c>
      <c r="K6087" s="182" t="n">
        <v>0</v>
      </c>
      <c r="L6087" s="182" t="n">
        <v>12</v>
      </c>
      <c r="M6087" s="182" t="n">
        <v>0</v>
      </c>
      <c r="N6087" s="182" t="n">
        <v>0</v>
      </c>
      <c r="O6087" s="185">
        <f>SUMIFS(INPUT_RITASE!$F$5:$F$20000,INPUT_RITASE!$A$5:$A$20000,$A6087,INPUT_RITASE!$H$5:$H$20000,$B6087,INPUT_RITASE!$C$5:$C$20000,$C6087,INPUT_RITASE!$N$5:$N$20000,"OB")</f>
        <v/>
      </c>
      <c r="P6087" s="185">
        <f>SUMIFS(INPUT_RITASE!$F$5:$F$20000,INPUT_RITASE!$A$5:$A$20000,$A6087,INPUT_RITASE!$H$5:$H$20000,$B6087,INPUT_RITASE!$C$5:$C$20000,$C6087,INPUT_RITASE!$N$5:$N$20000,"Coal")</f>
        <v/>
      </c>
      <c r="Q6087" s="186">
        <f>SUMIFS(INPUT_RITASE!$L$5:$L$20000,INPUT_RITASE!$A$5:$A$20000,$A6087,INPUT_RITASE!$H$5:$H$20000,$B6087,INPUT_RITASE!$C$5:$C$20000,$C6087,INPUT_RITASE!$N$5:$N$20000,"OB")</f>
        <v/>
      </c>
      <c r="R6087" s="186">
        <f>SUMIFS(INPUT_RITASE!$L$5:$L$20000,INPUT_RITASE!$A$5:$A$20000,$A6087,INPUT_RITASE!$H$5:$H$20000,$B6087,INPUT_RITASE!$C$5:$C$20000,$C6087,INPUT_RITASE!$N$5:$N$20000,"Coal")</f>
        <v/>
      </c>
      <c r="S6087" s="183" t="n">
        <v>0</v>
      </c>
      <c r="T6087" s="183" t="n">
        <v>0</v>
      </c>
      <c r="U6087" s="182" t="n">
        <v>0</v>
      </c>
      <c r="V6087" s="182" t="n">
        <v>0</v>
      </c>
      <c r="W6087" s="182" t="n">
        <v>0</v>
      </c>
      <c r="X6087" s="182" t="n">
        <v>0</v>
      </c>
      <c r="Y6087" s="182" t="n">
        <v>0</v>
      </c>
      <c r="Z6087" s="182" t="n">
        <v>0</v>
      </c>
      <c r="AA6087" s="182" t="n">
        <v>0</v>
      </c>
      <c r="AB6087" s="182" t="n">
        <v>0</v>
      </c>
      <c r="AC6087" s="182" t="n">
        <v>0</v>
      </c>
      <c r="AD6087" s="182" t="n">
        <v>0</v>
      </c>
      <c r="AE6087" s="182" t="n">
        <v>0</v>
      </c>
      <c r="AF6087" s="182" t="n">
        <v>0</v>
      </c>
      <c r="AG6087" s="182" t="n">
        <v>0</v>
      </c>
      <c r="AH6087" s="182" t="n">
        <v>0</v>
      </c>
      <c r="AI6087" s="182" t="n">
        <v>0</v>
      </c>
      <c r="AJ6087" s="182" t="n">
        <v>0</v>
      </c>
      <c r="AK6087" s="182" t="n">
        <v>0</v>
      </c>
      <c r="AL6087" s="182" t="n">
        <v>0</v>
      </c>
      <c r="AM6087" s="182" t="n">
        <v>0</v>
      </c>
      <c r="AN6087" s="182" t="n">
        <v>0</v>
      </c>
    </row>
    <row r="6088">
      <c r="A6088" s="155" t="n">
        <v>46109</v>
      </c>
      <c r="B6088" s="156" t="inlineStr">
        <is>
          <t>NS</t>
        </is>
      </c>
      <c r="C6088" s="156" t="inlineStr">
        <is>
          <t>EX-2101</t>
        </is>
      </c>
      <c r="D6088" s="156" t="inlineStr">
        <is>
          <t>SY2000</t>
        </is>
      </c>
      <c r="E6088" s="156" t="inlineStr">
        <is>
          <t>Excavator</t>
        </is>
      </c>
      <c r="F6088" s="156" t="inlineStr">
        <is>
          <t>Loading OB</t>
        </is>
      </c>
      <c r="G6088" s="182" t="n">
        <v>0.33</v>
      </c>
      <c r="H6088" s="182" t="n">
        <v>0</v>
      </c>
      <c r="I6088" s="182" t="n">
        <v>0</v>
      </c>
      <c r="J6088" s="182" t="n">
        <v>0</v>
      </c>
      <c r="K6088" s="182" t="n">
        <v>11.67</v>
      </c>
      <c r="L6088" s="182" t="n">
        <v>12</v>
      </c>
      <c r="M6088" s="182" t="n">
        <v>0.33</v>
      </c>
      <c r="N6088" s="182" t="n">
        <v>0</v>
      </c>
      <c r="O6088" s="185">
        <f>SUMIFS(INPUT_RITASE!$F$5:$F$20000,INPUT_RITASE!$A$5:$A$20000,$A6088,INPUT_RITASE!$H$5:$H$20000,$B6088,INPUT_RITASE!$C$5:$C$20000,$C6088,INPUT_RITASE!$N$5:$N$20000,"OB")</f>
        <v/>
      </c>
      <c r="P6088" s="185">
        <f>SUMIFS(INPUT_RITASE!$F$5:$F$20000,INPUT_RITASE!$A$5:$A$20000,$A6088,INPUT_RITASE!$H$5:$H$20000,$B6088,INPUT_RITASE!$C$5:$C$20000,$C6088,INPUT_RITASE!$N$5:$N$20000,"Coal")</f>
        <v/>
      </c>
      <c r="Q6088" s="186">
        <f>SUMIFS(INPUT_RITASE!$L$5:$L$20000,INPUT_RITASE!$A$5:$A$20000,$A6088,INPUT_RITASE!$H$5:$H$20000,$B6088,INPUT_RITASE!$C$5:$C$20000,$C6088,INPUT_RITASE!$N$5:$N$20000,"OB")</f>
        <v/>
      </c>
      <c r="R6088" s="186">
        <f>SUMIFS(INPUT_RITASE!$L$5:$L$20000,INPUT_RITASE!$A$5:$A$20000,$A6088,INPUT_RITASE!$H$5:$H$20000,$B6088,INPUT_RITASE!$C$5:$C$20000,$C6088,INPUT_RITASE!$N$5:$N$20000,"Coal")</f>
        <v/>
      </c>
      <c r="S6088" s="183" t="n">
        <v>0</v>
      </c>
      <c r="T6088" s="183" t="n">
        <v>0</v>
      </c>
      <c r="U6088" s="182" t="n">
        <v>3.92</v>
      </c>
      <c r="V6088" s="182" t="n">
        <v>0</v>
      </c>
      <c r="W6088" s="182" t="n">
        <v>0</v>
      </c>
      <c r="X6088" s="182" t="n">
        <v>1</v>
      </c>
      <c r="Y6088" s="182" t="n">
        <v>0</v>
      </c>
      <c r="Z6088" s="182" t="n">
        <v>0</v>
      </c>
      <c r="AA6088" s="182" t="n">
        <v>0</v>
      </c>
      <c r="AB6088" s="182" t="n">
        <v>0</v>
      </c>
      <c r="AC6088" s="182" t="n">
        <v>0</v>
      </c>
      <c r="AD6088" s="182" t="n">
        <v>6.67</v>
      </c>
      <c r="AE6088" s="182" t="n">
        <v>0</v>
      </c>
      <c r="AF6088" s="182" t="n">
        <v>0</v>
      </c>
      <c r="AG6088" s="182" t="n">
        <v>0</v>
      </c>
      <c r="AH6088" s="182" t="n">
        <v>0</v>
      </c>
      <c r="AI6088" s="182" t="n">
        <v>0</v>
      </c>
      <c r="AJ6088" s="182" t="n">
        <v>0</v>
      </c>
      <c r="AK6088" s="182" t="n">
        <v>0</v>
      </c>
      <c r="AL6088" s="182" t="n">
        <v>0</v>
      </c>
      <c r="AM6088" s="182" t="n">
        <v>0.08</v>
      </c>
      <c r="AN6088" s="182" t="n">
        <v>0</v>
      </c>
    </row>
    <row r="6089">
      <c r="A6089" s="155" t="n">
        <v>46109</v>
      </c>
      <c r="B6089" s="156" t="inlineStr">
        <is>
          <t>NS</t>
        </is>
      </c>
      <c r="C6089" s="156" t="inlineStr">
        <is>
          <t>EX-222</t>
        </is>
      </c>
      <c r="D6089" s="156" t="inlineStr">
        <is>
          <t>PC 200-8MI</t>
        </is>
      </c>
      <c r="E6089" s="156" t="inlineStr">
        <is>
          <t>Excavator</t>
        </is>
      </c>
      <c r="F6089" s="156" t="inlineStr">
        <is>
          <t>Support Washing Plant</t>
        </is>
      </c>
      <c r="G6089" s="182" t="n">
        <v>1.2</v>
      </c>
      <c r="H6089" s="182" t="n">
        <v>0</v>
      </c>
      <c r="I6089" s="182" t="n">
        <v>0</v>
      </c>
      <c r="J6089" s="182" t="n">
        <v>0</v>
      </c>
      <c r="K6089" s="182" t="n">
        <v>10.8</v>
      </c>
      <c r="L6089" s="182" t="n">
        <v>12</v>
      </c>
      <c r="M6089" s="182" t="n">
        <v>0</v>
      </c>
      <c r="N6089" s="182" t="n">
        <v>0</v>
      </c>
      <c r="O6089" s="185">
        <f>SUMIFS(INPUT_RITASE!$F$5:$F$20000,INPUT_RITASE!$A$5:$A$20000,$A6089,INPUT_RITASE!$H$5:$H$20000,$B6089,INPUT_RITASE!$C$5:$C$20000,$C6089,INPUT_RITASE!$N$5:$N$20000,"OB")</f>
        <v/>
      </c>
      <c r="P6089" s="185">
        <f>SUMIFS(INPUT_RITASE!$F$5:$F$20000,INPUT_RITASE!$A$5:$A$20000,$A6089,INPUT_RITASE!$H$5:$H$20000,$B6089,INPUT_RITASE!$C$5:$C$20000,$C6089,INPUT_RITASE!$N$5:$N$20000,"Coal")</f>
        <v/>
      </c>
      <c r="Q6089" s="186">
        <f>SUMIFS(INPUT_RITASE!$L$5:$L$20000,INPUT_RITASE!$A$5:$A$20000,$A6089,INPUT_RITASE!$H$5:$H$20000,$B6089,INPUT_RITASE!$C$5:$C$20000,$C6089,INPUT_RITASE!$N$5:$N$20000,"OB")</f>
        <v/>
      </c>
      <c r="R6089" s="186">
        <f>SUMIFS(INPUT_RITASE!$L$5:$L$20000,INPUT_RITASE!$A$5:$A$20000,$A6089,INPUT_RITASE!$H$5:$H$20000,$B6089,INPUT_RITASE!$C$5:$C$20000,$C6089,INPUT_RITASE!$N$5:$N$20000,"Coal")</f>
        <v/>
      </c>
      <c r="S6089" s="183" t="n">
        <v>0</v>
      </c>
      <c r="T6089" s="183" t="n">
        <v>0</v>
      </c>
      <c r="U6089" s="182" t="n">
        <v>3.96</v>
      </c>
      <c r="V6089" s="182" t="n">
        <v>0</v>
      </c>
      <c r="W6089" s="182" t="n">
        <v>0</v>
      </c>
      <c r="X6089" s="182" t="n">
        <v>1.01</v>
      </c>
      <c r="Y6089" s="182" t="n">
        <v>0</v>
      </c>
      <c r="Z6089" s="182" t="n">
        <v>0</v>
      </c>
      <c r="AA6089" s="182" t="n">
        <v>0</v>
      </c>
      <c r="AB6089" s="182" t="n">
        <v>0</v>
      </c>
      <c r="AC6089" s="182" t="n">
        <v>0</v>
      </c>
      <c r="AD6089" s="182" t="n">
        <v>0</v>
      </c>
      <c r="AE6089" s="182" t="n">
        <v>0</v>
      </c>
      <c r="AF6089" s="182" t="n">
        <v>0</v>
      </c>
      <c r="AG6089" s="182" t="n">
        <v>0</v>
      </c>
      <c r="AH6089" s="182" t="n">
        <v>0</v>
      </c>
      <c r="AI6089" s="182" t="n">
        <v>0</v>
      </c>
      <c r="AJ6089" s="182" t="n">
        <v>0</v>
      </c>
      <c r="AK6089" s="182" t="n">
        <v>5.75</v>
      </c>
      <c r="AL6089" s="182" t="n">
        <v>0</v>
      </c>
      <c r="AM6089" s="182" t="n">
        <v>0.08</v>
      </c>
      <c r="AN6089" s="182" t="n">
        <v>0</v>
      </c>
    </row>
    <row r="6090">
      <c r="A6090" s="155" t="n">
        <v>46109</v>
      </c>
      <c r="B6090" s="156" t="inlineStr">
        <is>
          <t>NS</t>
        </is>
      </c>
      <c r="C6090" s="156" t="inlineStr">
        <is>
          <t>EX-225</t>
        </is>
      </c>
      <c r="D6090" s="156" t="inlineStr">
        <is>
          <t>PC 200-8</t>
        </is>
      </c>
      <c r="E6090" s="156" t="inlineStr">
        <is>
          <t>Excavator</t>
        </is>
      </c>
      <c r="F6090" s="156" t="inlineStr"/>
      <c r="G6090" s="182" t="n">
        <v>0</v>
      </c>
      <c r="H6090" s="182" t="n">
        <v>0</v>
      </c>
      <c r="I6090" s="182" t="n">
        <v>12</v>
      </c>
      <c r="J6090" s="182" t="n">
        <v>12</v>
      </c>
      <c r="K6090" s="182" t="n">
        <v>0</v>
      </c>
      <c r="L6090" s="182" t="n">
        <v>12</v>
      </c>
      <c r="M6090" s="182" t="n">
        <v>0</v>
      </c>
      <c r="N6090" s="182" t="n">
        <v>0</v>
      </c>
      <c r="O6090" s="185">
        <f>SUMIFS(INPUT_RITASE!$F$5:$F$20000,INPUT_RITASE!$A$5:$A$20000,$A6090,INPUT_RITASE!$H$5:$H$20000,$B6090,INPUT_RITASE!$C$5:$C$20000,$C6090,INPUT_RITASE!$N$5:$N$20000,"OB")</f>
        <v/>
      </c>
      <c r="P6090" s="185">
        <f>SUMIFS(INPUT_RITASE!$F$5:$F$20000,INPUT_RITASE!$A$5:$A$20000,$A6090,INPUT_RITASE!$H$5:$H$20000,$B6090,INPUT_RITASE!$C$5:$C$20000,$C6090,INPUT_RITASE!$N$5:$N$20000,"Coal")</f>
        <v/>
      </c>
      <c r="Q6090" s="186">
        <f>SUMIFS(INPUT_RITASE!$L$5:$L$20000,INPUT_RITASE!$A$5:$A$20000,$A6090,INPUT_RITASE!$H$5:$H$20000,$B6090,INPUT_RITASE!$C$5:$C$20000,$C6090,INPUT_RITASE!$N$5:$N$20000,"OB")</f>
        <v/>
      </c>
      <c r="R6090" s="186">
        <f>SUMIFS(INPUT_RITASE!$L$5:$L$20000,INPUT_RITASE!$A$5:$A$20000,$A6090,INPUT_RITASE!$H$5:$H$20000,$B6090,INPUT_RITASE!$C$5:$C$20000,$C6090,INPUT_RITASE!$N$5:$N$20000,"Coal")</f>
        <v/>
      </c>
      <c r="S6090" s="183" t="n">
        <v>0</v>
      </c>
      <c r="T6090" s="183" t="n">
        <v>0</v>
      </c>
      <c r="U6090" s="182" t="n">
        <v>0</v>
      </c>
      <c r="V6090" s="182" t="n">
        <v>0</v>
      </c>
      <c r="W6090" s="182" t="n">
        <v>0</v>
      </c>
      <c r="X6090" s="182" t="n">
        <v>0</v>
      </c>
      <c r="Y6090" s="182" t="n">
        <v>0</v>
      </c>
      <c r="Z6090" s="182" t="n">
        <v>0</v>
      </c>
      <c r="AA6090" s="182" t="n">
        <v>0</v>
      </c>
      <c r="AB6090" s="182" t="n">
        <v>0</v>
      </c>
      <c r="AC6090" s="182" t="n">
        <v>0</v>
      </c>
      <c r="AD6090" s="182" t="n">
        <v>0</v>
      </c>
      <c r="AE6090" s="182" t="n">
        <v>0</v>
      </c>
      <c r="AF6090" s="182" t="n">
        <v>0</v>
      </c>
      <c r="AG6090" s="182" t="n">
        <v>0</v>
      </c>
      <c r="AH6090" s="182" t="n">
        <v>0</v>
      </c>
      <c r="AI6090" s="182" t="n">
        <v>0</v>
      </c>
      <c r="AJ6090" s="182" t="n">
        <v>0</v>
      </c>
      <c r="AK6090" s="182" t="n">
        <v>0</v>
      </c>
      <c r="AL6090" s="182" t="n">
        <v>0</v>
      </c>
      <c r="AM6090" s="182" t="n">
        <v>0</v>
      </c>
      <c r="AN6090" s="182" t="n">
        <v>0</v>
      </c>
    </row>
    <row r="6091">
      <c r="A6091" s="155" t="n">
        <v>46109</v>
      </c>
      <c r="B6091" s="156" t="inlineStr">
        <is>
          <t>NS</t>
        </is>
      </c>
      <c r="C6091" s="156" t="inlineStr">
        <is>
          <t>EX-223</t>
        </is>
      </c>
      <c r="D6091" s="156" t="inlineStr">
        <is>
          <t>PC 200-8MI</t>
        </is>
      </c>
      <c r="E6091" s="156" t="inlineStr">
        <is>
          <t>Excavator</t>
        </is>
      </c>
      <c r="F6091" s="156" t="inlineStr">
        <is>
          <t>Support ROM</t>
        </is>
      </c>
      <c r="G6091" s="182" t="n">
        <v>9.539999999999999</v>
      </c>
      <c r="H6091" s="182" t="n">
        <v>0</v>
      </c>
      <c r="I6091" s="182" t="n">
        <v>0</v>
      </c>
      <c r="J6091" s="182" t="n">
        <v>0</v>
      </c>
      <c r="K6091" s="182" t="n">
        <v>2.46</v>
      </c>
      <c r="L6091" s="182" t="n">
        <v>12</v>
      </c>
      <c r="M6091" s="182" t="n">
        <v>0</v>
      </c>
      <c r="N6091" s="182" t="n">
        <v>0</v>
      </c>
      <c r="O6091" s="185">
        <f>SUMIFS(INPUT_RITASE!$F$5:$F$20000,INPUT_RITASE!$A$5:$A$20000,$A6091,INPUT_RITASE!$H$5:$H$20000,$B6091,INPUT_RITASE!$C$5:$C$20000,$C6091,INPUT_RITASE!$N$5:$N$20000,"OB")</f>
        <v/>
      </c>
      <c r="P6091" s="185">
        <f>SUMIFS(INPUT_RITASE!$F$5:$F$20000,INPUT_RITASE!$A$5:$A$20000,$A6091,INPUT_RITASE!$H$5:$H$20000,$B6091,INPUT_RITASE!$C$5:$C$20000,$C6091,INPUT_RITASE!$N$5:$N$20000,"Coal")</f>
        <v/>
      </c>
      <c r="Q6091" s="186">
        <f>SUMIFS(INPUT_RITASE!$L$5:$L$20000,INPUT_RITASE!$A$5:$A$20000,$A6091,INPUT_RITASE!$H$5:$H$20000,$B6091,INPUT_RITASE!$C$5:$C$20000,$C6091,INPUT_RITASE!$N$5:$N$20000,"OB")</f>
        <v/>
      </c>
      <c r="R6091" s="186">
        <f>SUMIFS(INPUT_RITASE!$L$5:$L$20000,INPUT_RITASE!$A$5:$A$20000,$A6091,INPUT_RITASE!$H$5:$H$20000,$B6091,INPUT_RITASE!$C$5:$C$20000,$C6091,INPUT_RITASE!$N$5:$N$20000,"Coal")</f>
        <v/>
      </c>
      <c r="S6091" s="183" t="n">
        <v>0</v>
      </c>
      <c r="T6091" s="183" t="n">
        <v>0</v>
      </c>
      <c r="U6091" s="182" t="n">
        <v>1.51</v>
      </c>
      <c r="V6091" s="182" t="n">
        <v>0</v>
      </c>
      <c r="W6091" s="182" t="n">
        <v>0</v>
      </c>
      <c r="X6091" s="182" t="n">
        <v>0.88</v>
      </c>
      <c r="Y6091" s="182" t="n">
        <v>0</v>
      </c>
      <c r="Z6091" s="182" t="n">
        <v>0</v>
      </c>
      <c r="AA6091" s="182" t="n">
        <v>0</v>
      </c>
      <c r="AB6091" s="182" t="n">
        <v>0</v>
      </c>
      <c r="AC6091" s="182" t="n">
        <v>0</v>
      </c>
      <c r="AD6091" s="182" t="n">
        <v>0</v>
      </c>
      <c r="AE6091" s="182" t="n">
        <v>0</v>
      </c>
      <c r="AF6091" s="182" t="n">
        <v>0</v>
      </c>
      <c r="AG6091" s="182" t="n">
        <v>0</v>
      </c>
      <c r="AH6091" s="182" t="n">
        <v>0</v>
      </c>
      <c r="AI6091" s="182" t="n">
        <v>0</v>
      </c>
      <c r="AJ6091" s="182" t="n">
        <v>0</v>
      </c>
      <c r="AK6091" s="182" t="n">
        <v>0</v>
      </c>
      <c r="AL6091" s="182" t="n">
        <v>0</v>
      </c>
      <c r="AM6091" s="182" t="n">
        <v>0.07000000000000001</v>
      </c>
      <c r="AN6091" s="182" t="n">
        <v>0</v>
      </c>
    </row>
    <row r="6092">
      <c r="A6092" s="155" t="n">
        <v>46109</v>
      </c>
      <c r="B6092" s="156" t="inlineStr">
        <is>
          <t>NS</t>
        </is>
      </c>
      <c r="C6092" s="156" t="inlineStr">
        <is>
          <t>EX-221</t>
        </is>
      </c>
      <c r="D6092" s="156" t="inlineStr">
        <is>
          <t>PC 200-8MI</t>
        </is>
      </c>
      <c r="E6092" s="156" t="inlineStr">
        <is>
          <t>Excavator</t>
        </is>
      </c>
      <c r="F6092" s="156" t="inlineStr"/>
      <c r="G6092" s="182" t="n">
        <v>0</v>
      </c>
      <c r="H6092" s="182" t="n">
        <v>0</v>
      </c>
      <c r="I6092" s="182" t="n">
        <v>0</v>
      </c>
      <c r="J6092" s="182" t="n">
        <v>0</v>
      </c>
      <c r="K6092" s="182" t="n">
        <v>12</v>
      </c>
      <c r="L6092" s="182" t="n">
        <v>12</v>
      </c>
      <c r="M6092" s="182" t="n">
        <v>0</v>
      </c>
      <c r="N6092" s="182" t="n">
        <v>0</v>
      </c>
      <c r="O6092" s="185">
        <f>SUMIFS(INPUT_RITASE!$F$5:$F$20000,INPUT_RITASE!$A$5:$A$20000,$A6092,INPUT_RITASE!$H$5:$H$20000,$B6092,INPUT_RITASE!$C$5:$C$20000,$C6092,INPUT_RITASE!$N$5:$N$20000,"OB")</f>
        <v/>
      </c>
      <c r="P6092" s="185">
        <f>SUMIFS(INPUT_RITASE!$F$5:$F$20000,INPUT_RITASE!$A$5:$A$20000,$A6092,INPUT_RITASE!$H$5:$H$20000,$B6092,INPUT_RITASE!$C$5:$C$20000,$C6092,INPUT_RITASE!$N$5:$N$20000,"Coal")</f>
        <v/>
      </c>
      <c r="Q6092" s="186">
        <f>SUMIFS(INPUT_RITASE!$L$5:$L$20000,INPUT_RITASE!$A$5:$A$20000,$A6092,INPUT_RITASE!$H$5:$H$20000,$B6092,INPUT_RITASE!$C$5:$C$20000,$C6092,INPUT_RITASE!$N$5:$N$20000,"OB")</f>
        <v/>
      </c>
      <c r="R6092" s="186">
        <f>SUMIFS(INPUT_RITASE!$L$5:$L$20000,INPUT_RITASE!$A$5:$A$20000,$A6092,INPUT_RITASE!$H$5:$H$20000,$B6092,INPUT_RITASE!$C$5:$C$20000,$C6092,INPUT_RITASE!$N$5:$N$20000,"Coal")</f>
        <v/>
      </c>
      <c r="S6092" s="183" t="n">
        <v>0</v>
      </c>
      <c r="T6092" s="183" t="n">
        <v>0</v>
      </c>
      <c r="U6092" s="182" t="n">
        <v>0</v>
      </c>
      <c r="V6092" s="182" t="n">
        <v>0</v>
      </c>
      <c r="W6092" s="182" t="n">
        <v>0</v>
      </c>
      <c r="X6092" s="182" t="n">
        <v>1</v>
      </c>
      <c r="Y6092" s="182" t="n">
        <v>0</v>
      </c>
      <c r="Z6092" s="182" t="n">
        <v>0</v>
      </c>
      <c r="AA6092" s="182" t="n">
        <v>0</v>
      </c>
      <c r="AB6092" s="182" t="n">
        <v>0</v>
      </c>
      <c r="AC6092" s="182" t="n">
        <v>0</v>
      </c>
      <c r="AD6092" s="182" t="n">
        <v>0</v>
      </c>
      <c r="AE6092" s="182" t="n">
        <v>0</v>
      </c>
      <c r="AF6092" s="182" t="n">
        <v>0</v>
      </c>
      <c r="AG6092" s="182" t="n">
        <v>0</v>
      </c>
      <c r="AH6092" s="182" t="n">
        <v>0</v>
      </c>
      <c r="AI6092" s="182" t="n">
        <v>0</v>
      </c>
      <c r="AJ6092" s="182" t="n">
        <v>0</v>
      </c>
      <c r="AK6092" s="182" t="n">
        <v>10.92</v>
      </c>
      <c r="AL6092" s="182" t="n">
        <v>0</v>
      </c>
      <c r="AM6092" s="182" t="n">
        <v>0.08</v>
      </c>
      <c r="AN6092" s="182" t="n">
        <v>0</v>
      </c>
    </row>
    <row r="6093">
      <c r="A6093" s="155" t="n">
        <v>46109</v>
      </c>
      <c r="B6093" s="156" t="inlineStr">
        <is>
          <t>NS</t>
        </is>
      </c>
      <c r="C6093" s="156" t="inlineStr">
        <is>
          <t>EX-331</t>
        </is>
      </c>
      <c r="D6093" s="156" t="inlineStr">
        <is>
          <t>PC 300-8MO</t>
        </is>
      </c>
      <c r="E6093" s="156" t="inlineStr">
        <is>
          <t>Excavator</t>
        </is>
      </c>
      <c r="F6093" s="156" t="inlineStr"/>
      <c r="G6093" s="182" t="n">
        <v>0</v>
      </c>
      <c r="H6093" s="182" t="n">
        <v>0</v>
      </c>
      <c r="I6093" s="182" t="n">
        <v>12</v>
      </c>
      <c r="J6093" s="182" t="n">
        <v>12</v>
      </c>
      <c r="K6093" s="182" t="n">
        <v>0</v>
      </c>
      <c r="L6093" s="182" t="n">
        <v>12</v>
      </c>
      <c r="M6093" s="182" t="n">
        <v>0</v>
      </c>
      <c r="N6093" s="182" t="n">
        <v>0</v>
      </c>
      <c r="O6093" s="185">
        <f>SUMIFS(INPUT_RITASE!$F$5:$F$20000,INPUT_RITASE!$A$5:$A$20000,$A6093,INPUT_RITASE!$H$5:$H$20000,$B6093,INPUT_RITASE!$C$5:$C$20000,$C6093,INPUT_RITASE!$N$5:$N$20000,"OB")</f>
        <v/>
      </c>
      <c r="P6093" s="185">
        <f>SUMIFS(INPUT_RITASE!$F$5:$F$20000,INPUT_RITASE!$A$5:$A$20000,$A6093,INPUT_RITASE!$H$5:$H$20000,$B6093,INPUT_RITASE!$C$5:$C$20000,$C6093,INPUT_RITASE!$N$5:$N$20000,"Coal")</f>
        <v/>
      </c>
      <c r="Q6093" s="186">
        <f>SUMIFS(INPUT_RITASE!$L$5:$L$20000,INPUT_RITASE!$A$5:$A$20000,$A6093,INPUT_RITASE!$H$5:$H$20000,$B6093,INPUT_RITASE!$C$5:$C$20000,$C6093,INPUT_RITASE!$N$5:$N$20000,"OB")</f>
        <v/>
      </c>
      <c r="R6093" s="186">
        <f>SUMIFS(INPUT_RITASE!$L$5:$L$20000,INPUT_RITASE!$A$5:$A$20000,$A6093,INPUT_RITASE!$H$5:$H$20000,$B6093,INPUT_RITASE!$C$5:$C$20000,$C6093,INPUT_RITASE!$N$5:$N$20000,"Coal")</f>
        <v/>
      </c>
      <c r="S6093" s="183" t="n">
        <v>0</v>
      </c>
      <c r="T6093" s="183" t="n">
        <v>0</v>
      </c>
      <c r="U6093" s="182" t="n">
        <v>0</v>
      </c>
      <c r="V6093" s="182" t="n">
        <v>0</v>
      </c>
      <c r="W6093" s="182" t="n">
        <v>0</v>
      </c>
      <c r="X6093" s="182" t="n">
        <v>0</v>
      </c>
      <c r="Y6093" s="182" t="n">
        <v>0</v>
      </c>
      <c r="Z6093" s="182" t="n">
        <v>0</v>
      </c>
      <c r="AA6093" s="182" t="n">
        <v>0</v>
      </c>
      <c r="AB6093" s="182" t="n">
        <v>0</v>
      </c>
      <c r="AC6093" s="182" t="n">
        <v>0</v>
      </c>
      <c r="AD6093" s="182" t="n">
        <v>0</v>
      </c>
      <c r="AE6093" s="182" t="n">
        <v>0</v>
      </c>
      <c r="AF6093" s="182" t="n">
        <v>0</v>
      </c>
      <c r="AG6093" s="182" t="n">
        <v>0</v>
      </c>
      <c r="AH6093" s="182" t="n">
        <v>0</v>
      </c>
      <c r="AI6093" s="182" t="n">
        <v>0</v>
      </c>
      <c r="AJ6093" s="182" t="n">
        <v>0</v>
      </c>
      <c r="AK6093" s="182" t="n">
        <v>0</v>
      </c>
      <c r="AL6093" s="182" t="n">
        <v>0</v>
      </c>
      <c r="AM6093" s="182" t="n">
        <v>0</v>
      </c>
      <c r="AN6093" s="182" t="n">
        <v>0</v>
      </c>
    </row>
    <row r="6094">
      <c r="A6094" s="155" t="n">
        <v>46109</v>
      </c>
      <c r="B6094" s="156" t="inlineStr">
        <is>
          <t>NS</t>
        </is>
      </c>
      <c r="C6094" s="156" t="inlineStr">
        <is>
          <t>EX-334</t>
        </is>
      </c>
      <c r="D6094" s="156" t="inlineStr">
        <is>
          <t>PC 300-8MO</t>
        </is>
      </c>
      <c r="E6094" s="156" t="inlineStr">
        <is>
          <t>Excavator</t>
        </is>
      </c>
      <c r="F6094" s="156" t="inlineStr">
        <is>
          <t>Support ROM</t>
        </is>
      </c>
      <c r="G6094" s="182" t="n">
        <v>11.7</v>
      </c>
      <c r="H6094" s="182" t="n">
        <v>0</v>
      </c>
      <c r="I6094" s="182" t="n">
        <v>0</v>
      </c>
      <c r="J6094" s="182" t="n">
        <v>0</v>
      </c>
      <c r="K6094" s="182" t="n">
        <v>0.3</v>
      </c>
      <c r="L6094" s="182" t="n">
        <v>12</v>
      </c>
      <c r="M6094" s="182" t="n">
        <v>0</v>
      </c>
      <c r="N6094" s="182" t="n">
        <v>0</v>
      </c>
      <c r="O6094" s="185">
        <f>SUMIFS(INPUT_RITASE!$F$5:$F$20000,INPUT_RITASE!$A$5:$A$20000,$A6094,INPUT_RITASE!$H$5:$H$20000,$B6094,INPUT_RITASE!$C$5:$C$20000,$C6094,INPUT_RITASE!$N$5:$N$20000,"OB")</f>
        <v/>
      </c>
      <c r="P6094" s="185">
        <f>SUMIFS(INPUT_RITASE!$F$5:$F$20000,INPUT_RITASE!$A$5:$A$20000,$A6094,INPUT_RITASE!$H$5:$H$20000,$B6094,INPUT_RITASE!$C$5:$C$20000,$C6094,INPUT_RITASE!$N$5:$N$20000,"Coal")</f>
        <v/>
      </c>
      <c r="Q6094" s="186">
        <f>SUMIFS(INPUT_RITASE!$L$5:$L$20000,INPUT_RITASE!$A$5:$A$20000,$A6094,INPUT_RITASE!$H$5:$H$20000,$B6094,INPUT_RITASE!$C$5:$C$20000,$C6094,INPUT_RITASE!$N$5:$N$20000,"OB")</f>
        <v/>
      </c>
      <c r="R6094" s="186">
        <f>SUMIFS(INPUT_RITASE!$L$5:$L$20000,INPUT_RITASE!$A$5:$A$20000,$A6094,INPUT_RITASE!$H$5:$H$20000,$B6094,INPUT_RITASE!$C$5:$C$20000,$C6094,INPUT_RITASE!$N$5:$N$20000,"Coal")</f>
        <v/>
      </c>
      <c r="S6094" s="183" t="n">
        <v>0</v>
      </c>
      <c r="T6094" s="183" t="n">
        <v>0</v>
      </c>
      <c r="U6094" s="182" t="n">
        <v>0</v>
      </c>
      <c r="V6094" s="182" t="n">
        <v>0</v>
      </c>
      <c r="W6094" s="182" t="n">
        <v>0</v>
      </c>
      <c r="X6094" s="182" t="n">
        <v>0</v>
      </c>
      <c r="Y6094" s="182" t="n">
        <v>0</v>
      </c>
      <c r="Z6094" s="182" t="n">
        <v>0</v>
      </c>
      <c r="AA6094" s="182" t="n">
        <v>0</v>
      </c>
      <c r="AB6094" s="182" t="n">
        <v>0</v>
      </c>
      <c r="AC6094" s="182" t="n">
        <v>0</v>
      </c>
      <c r="AD6094" s="182" t="n">
        <v>0</v>
      </c>
      <c r="AE6094" s="182" t="n">
        <v>0</v>
      </c>
      <c r="AF6094" s="182" t="n">
        <v>0</v>
      </c>
      <c r="AG6094" s="182" t="n">
        <v>0</v>
      </c>
      <c r="AH6094" s="182" t="n">
        <v>0</v>
      </c>
      <c r="AI6094" s="182" t="n">
        <v>0</v>
      </c>
      <c r="AJ6094" s="182" t="n">
        <v>0</v>
      </c>
      <c r="AK6094" s="182" t="n">
        <v>0</v>
      </c>
      <c r="AL6094" s="182" t="n">
        <v>0</v>
      </c>
      <c r="AM6094" s="182" t="n">
        <v>0</v>
      </c>
      <c r="AN6094" s="182" t="n">
        <v>0</v>
      </c>
    </row>
    <row r="6095">
      <c r="A6095" s="155" t="n">
        <v>46109</v>
      </c>
      <c r="B6095" s="156" t="inlineStr">
        <is>
          <t>NS</t>
        </is>
      </c>
      <c r="C6095" s="156" t="inlineStr">
        <is>
          <t>EX-332</t>
        </is>
      </c>
      <c r="D6095" s="156" t="inlineStr">
        <is>
          <t>PC 300-8MO</t>
        </is>
      </c>
      <c r="E6095" s="156" t="inlineStr">
        <is>
          <t>Excavator</t>
        </is>
      </c>
      <c r="F6095" s="156" t="inlineStr"/>
      <c r="G6095" s="182" t="n">
        <v>0</v>
      </c>
      <c r="H6095" s="182" t="n">
        <v>0</v>
      </c>
      <c r="I6095" s="182" t="n">
        <v>12</v>
      </c>
      <c r="J6095" s="182" t="n">
        <v>12</v>
      </c>
      <c r="K6095" s="182" t="n">
        <v>0</v>
      </c>
      <c r="L6095" s="182" t="n">
        <v>12</v>
      </c>
      <c r="M6095" s="182" t="n">
        <v>0</v>
      </c>
      <c r="N6095" s="182" t="n">
        <v>0</v>
      </c>
      <c r="O6095" s="185">
        <f>SUMIFS(INPUT_RITASE!$F$5:$F$20000,INPUT_RITASE!$A$5:$A$20000,$A6095,INPUT_RITASE!$H$5:$H$20000,$B6095,INPUT_RITASE!$C$5:$C$20000,$C6095,INPUT_RITASE!$N$5:$N$20000,"OB")</f>
        <v/>
      </c>
      <c r="P6095" s="185">
        <f>SUMIFS(INPUT_RITASE!$F$5:$F$20000,INPUT_RITASE!$A$5:$A$20000,$A6095,INPUT_RITASE!$H$5:$H$20000,$B6095,INPUT_RITASE!$C$5:$C$20000,$C6095,INPUT_RITASE!$N$5:$N$20000,"Coal")</f>
        <v/>
      </c>
      <c r="Q6095" s="186">
        <f>SUMIFS(INPUT_RITASE!$L$5:$L$20000,INPUT_RITASE!$A$5:$A$20000,$A6095,INPUT_RITASE!$H$5:$H$20000,$B6095,INPUT_RITASE!$C$5:$C$20000,$C6095,INPUT_RITASE!$N$5:$N$20000,"OB")</f>
        <v/>
      </c>
      <c r="R6095" s="186">
        <f>SUMIFS(INPUT_RITASE!$L$5:$L$20000,INPUT_RITASE!$A$5:$A$20000,$A6095,INPUT_RITASE!$H$5:$H$20000,$B6095,INPUT_RITASE!$C$5:$C$20000,$C6095,INPUT_RITASE!$N$5:$N$20000,"Coal")</f>
        <v/>
      </c>
      <c r="S6095" s="183" t="n">
        <v>0</v>
      </c>
      <c r="T6095" s="183" t="n">
        <v>0</v>
      </c>
      <c r="U6095" s="182" t="n">
        <v>0</v>
      </c>
      <c r="V6095" s="182" t="n">
        <v>0</v>
      </c>
      <c r="W6095" s="182" t="n">
        <v>0</v>
      </c>
      <c r="X6095" s="182" t="n">
        <v>0</v>
      </c>
      <c r="Y6095" s="182" t="n">
        <v>0</v>
      </c>
      <c r="Z6095" s="182" t="n">
        <v>0</v>
      </c>
      <c r="AA6095" s="182" t="n">
        <v>0</v>
      </c>
      <c r="AB6095" s="182" t="n">
        <v>0</v>
      </c>
      <c r="AC6095" s="182" t="n">
        <v>0</v>
      </c>
      <c r="AD6095" s="182" t="n">
        <v>0</v>
      </c>
      <c r="AE6095" s="182" t="n">
        <v>0</v>
      </c>
      <c r="AF6095" s="182" t="n">
        <v>0</v>
      </c>
      <c r="AG6095" s="182" t="n">
        <v>0</v>
      </c>
      <c r="AH6095" s="182" t="n">
        <v>0</v>
      </c>
      <c r="AI6095" s="182" t="n">
        <v>0</v>
      </c>
      <c r="AJ6095" s="182" t="n">
        <v>0</v>
      </c>
      <c r="AK6095" s="182" t="n">
        <v>0</v>
      </c>
      <c r="AL6095" s="182" t="n">
        <v>0</v>
      </c>
      <c r="AM6095" s="182" t="n">
        <v>0</v>
      </c>
      <c r="AN6095" s="182" t="n">
        <v>0</v>
      </c>
    </row>
    <row r="6096">
      <c r="A6096" s="155" t="n">
        <v>46109</v>
      </c>
      <c r="B6096" s="156" t="inlineStr">
        <is>
          <t>NS</t>
        </is>
      </c>
      <c r="C6096" s="156" t="inlineStr">
        <is>
          <t>EX-333</t>
        </is>
      </c>
      <c r="D6096" s="156" t="inlineStr">
        <is>
          <t>PC 300-8MO</t>
        </is>
      </c>
      <c r="E6096" s="156" t="inlineStr">
        <is>
          <t>Excavator</t>
        </is>
      </c>
      <c r="F6096" s="156" t="inlineStr">
        <is>
          <t>Cleaning Coal</t>
        </is>
      </c>
      <c r="G6096" s="182" t="n">
        <v>8.1</v>
      </c>
      <c r="H6096" s="182" t="n">
        <v>0</v>
      </c>
      <c r="I6096" s="182" t="n">
        <v>0</v>
      </c>
      <c r="J6096" s="182" t="n">
        <v>0</v>
      </c>
      <c r="K6096" s="182" t="n">
        <v>3.9</v>
      </c>
      <c r="L6096" s="182" t="n">
        <v>12</v>
      </c>
      <c r="M6096" s="182" t="n">
        <v>0</v>
      </c>
      <c r="N6096" s="182" t="n">
        <v>0</v>
      </c>
      <c r="O6096" s="185">
        <f>SUMIFS(INPUT_RITASE!$F$5:$F$20000,INPUT_RITASE!$A$5:$A$20000,$A6096,INPUT_RITASE!$H$5:$H$20000,$B6096,INPUT_RITASE!$C$5:$C$20000,$C6096,INPUT_RITASE!$N$5:$N$20000,"OB")</f>
        <v/>
      </c>
      <c r="P6096" s="185">
        <f>SUMIFS(INPUT_RITASE!$F$5:$F$20000,INPUT_RITASE!$A$5:$A$20000,$A6096,INPUT_RITASE!$H$5:$H$20000,$B6096,INPUT_RITASE!$C$5:$C$20000,$C6096,INPUT_RITASE!$N$5:$N$20000,"Coal")</f>
        <v/>
      </c>
      <c r="Q6096" s="186">
        <f>SUMIFS(INPUT_RITASE!$L$5:$L$20000,INPUT_RITASE!$A$5:$A$20000,$A6096,INPUT_RITASE!$H$5:$H$20000,$B6096,INPUT_RITASE!$C$5:$C$20000,$C6096,INPUT_RITASE!$N$5:$N$20000,"OB")</f>
        <v/>
      </c>
      <c r="R6096" s="186">
        <f>SUMIFS(INPUT_RITASE!$L$5:$L$20000,INPUT_RITASE!$A$5:$A$20000,$A6096,INPUT_RITASE!$H$5:$H$20000,$B6096,INPUT_RITASE!$C$5:$C$20000,$C6096,INPUT_RITASE!$N$5:$N$20000,"Coal")</f>
        <v/>
      </c>
      <c r="S6096" s="183" t="n">
        <v>0</v>
      </c>
      <c r="T6096" s="183" t="n">
        <v>0</v>
      </c>
      <c r="U6096" s="182" t="n">
        <v>2.87</v>
      </c>
      <c r="V6096" s="182" t="n">
        <v>0</v>
      </c>
      <c r="W6096" s="182" t="n">
        <v>0</v>
      </c>
      <c r="X6096" s="182" t="n">
        <v>0.95</v>
      </c>
      <c r="Y6096" s="182" t="n">
        <v>0</v>
      </c>
      <c r="Z6096" s="182" t="n">
        <v>0</v>
      </c>
      <c r="AA6096" s="182" t="n">
        <v>0</v>
      </c>
      <c r="AB6096" s="182" t="n">
        <v>0</v>
      </c>
      <c r="AC6096" s="182" t="n">
        <v>0</v>
      </c>
      <c r="AD6096" s="182" t="n">
        <v>0</v>
      </c>
      <c r="AE6096" s="182" t="n">
        <v>0</v>
      </c>
      <c r="AF6096" s="182" t="n">
        <v>0</v>
      </c>
      <c r="AG6096" s="182" t="n">
        <v>0</v>
      </c>
      <c r="AH6096" s="182" t="n">
        <v>0</v>
      </c>
      <c r="AI6096" s="182" t="n">
        <v>0</v>
      </c>
      <c r="AJ6096" s="182" t="n">
        <v>0</v>
      </c>
      <c r="AK6096" s="182" t="n">
        <v>0</v>
      </c>
      <c r="AL6096" s="182" t="n">
        <v>0</v>
      </c>
      <c r="AM6096" s="182" t="n">
        <v>0.08</v>
      </c>
      <c r="AN6096" s="182" t="n">
        <v>0</v>
      </c>
    </row>
    <row r="6097">
      <c r="A6097" s="155" t="n">
        <v>46109</v>
      </c>
      <c r="B6097" s="156" t="inlineStr">
        <is>
          <t>NS</t>
        </is>
      </c>
      <c r="C6097" s="156" t="inlineStr">
        <is>
          <t>EX-336</t>
        </is>
      </c>
      <c r="D6097" s="156" t="inlineStr">
        <is>
          <t>PC 300-8MO</t>
        </is>
      </c>
      <c r="E6097" s="156" t="inlineStr">
        <is>
          <t>Excavator</t>
        </is>
      </c>
      <c r="F6097" s="156" t="inlineStr">
        <is>
          <t>Cleaning Coal</t>
        </is>
      </c>
      <c r="G6097" s="182" t="n">
        <v>7.7</v>
      </c>
      <c r="H6097" s="182" t="n">
        <v>0</v>
      </c>
      <c r="I6097" s="182" t="n">
        <v>0</v>
      </c>
      <c r="J6097" s="182" t="n">
        <v>0</v>
      </c>
      <c r="K6097" s="182" t="n">
        <v>4.3</v>
      </c>
      <c r="L6097" s="182" t="n">
        <v>12</v>
      </c>
      <c r="M6097" s="182" t="n">
        <v>0</v>
      </c>
      <c r="N6097" s="182" t="n">
        <v>0</v>
      </c>
      <c r="O6097" s="185">
        <f>SUMIFS(INPUT_RITASE!$F$5:$F$20000,INPUT_RITASE!$A$5:$A$20000,$A6097,INPUT_RITASE!$H$5:$H$20000,$B6097,INPUT_RITASE!$C$5:$C$20000,$C6097,INPUT_RITASE!$N$5:$N$20000,"OB")</f>
        <v/>
      </c>
      <c r="P6097" s="185">
        <f>SUMIFS(INPUT_RITASE!$F$5:$F$20000,INPUT_RITASE!$A$5:$A$20000,$A6097,INPUT_RITASE!$H$5:$H$20000,$B6097,INPUT_RITASE!$C$5:$C$20000,$C6097,INPUT_RITASE!$N$5:$N$20000,"Coal")</f>
        <v/>
      </c>
      <c r="Q6097" s="186">
        <f>SUMIFS(INPUT_RITASE!$L$5:$L$20000,INPUT_RITASE!$A$5:$A$20000,$A6097,INPUT_RITASE!$H$5:$H$20000,$B6097,INPUT_RITASE!$C$5:$C$20000,$C6097,INPUT_RITASE!$N$5:$N$20000,"OB")</f>
        <v/>
      </c>
      <c r="R6097" s="186">
        <f>SUMIFS(INPUT_RITASE!$L$5:$L$20000,INPUT_RITASE!$A$5:$A$20000,$A6097,INPUT_RITASE!$H$5:$H$20000,$B6097,INPUT_RITASE!$C$5:$C$20000,$C6097,INPUT_RITASE!$N$5:$N$20000,"Coal")</f>
        <v/>
      </c>
      <c r="S6097" s="183" t="n">
        <v>0</v>
      </c>
      <c r="T6097" s="183" t="n">
        <v>0</v>
      </c>
      <c r="U6097" s="182" t="n">
        <v>3.14</v>
      </c>
      <c r="V6097" s="182" t="n">
        <v>0</v>
      </c>
      <c r="W6097" s="182" t="n">
        <v>0</v>
      </c>
      <c r="X6097" s="182" t="n">
        <v>1.07</v>
      </c>
      <c r="Y6097" s="182" t="n">
        <v>0</v>
      </c>
      <c r="Z6097" s="182" t="n">
        <v>0</v>
      </c>
      <c r="AA6097" s="182" t="n">
        <v>0</v>
      </c>
      <c r="AB6097" s="182" t="n">
        <v>0</v>
      </c>
      <c r="AC6097" s="182" t="n">
        <v>0</v>
      </c>
      <c r="AD6097" s="182" t="n">
        <v>0</v>
      </c>
      <c r="AE6097" s="182" t="n">
        <v>0</v>
      </c>
      <c r="AF6097" s="182" t="n">
        <v>0</v>
      </c>
      <c r="AG6097" s="182" t="n">
        <v>0</v>
      </c>
      <c r="AH6097" s="182" t="n">
        <v>0</v>
      </c>
      <c r="AI6097" s="182" t="n">
        <v>0</v>
      </c>
      <c r="AJ6097" s="182" t="n">
        <v>0</v>
      </c>
      <c r="AK6097" s="182" t="n">
        <v>0</v>
      </c>
      <c r="AL6097" s="182" t="n">
        <v>0</v>
      </c>
      <c r="AM6097" s="182" t="n">
        <v>0.09</v>
      </c>
      <c r="AN6097" s="182" t="n">
        <v>0</v>
      </c>
    </row>
    <row r="6098">
      <c r="A6098" s="155" t="n">
        <v>46109</v>
      </c>
      <c r="B6098" s="156" t="inlineStr">
        <is>
          <t>NS</t>
        </is>
      </c>
      <c r="C6098" s="156" t="inlineStr">
        <is>
          <t>EX-335</t>
        </is>
      </c>
      <c r="D6098" s="156" t="inlineStr">
        <is>
          <t>PC 300-8MO</t>
        </is>
      </c>
      <c r="E6098" s="156" t="inlineStr">
        <is>
          <t>Excavator</t>
        </is>
      </c>
      <c r="F6098" s="156" t="inlineStr">
        <is>
          <t>Loading &amp; Cleaning Coal</t>
        </is>
      </c>
      <c r="G6098" s="182" t="n">
        <v>11.22</v>
      </c>
      <c r="H6098" s="182" t="n">
        <v>0</v>
      </c>
      <c r="I6098" s="182" t="n">
        <v>0.67</v>
      </c>
      <c r="J6098" s="182" t="n">
        <v>0.67</v>
      </c>
      <c r="K6098" s="182" t="n">
        <v>0.11</v>
      </c>
      <c r="L6098" s="182" t="n">
        <v>12</v>
      </c>
      <c r="M6098" s="182" t="n">
        <v>0</v>
      </c>
      <c r="N6098" s="182" t="n">
        <v>5.16</v>
      </c>
      <c r="O6098" s="185">
        <f>SUMIFS(INPUT_RITASE!$F$5:$F$20000,INPUT_RITASE!$A$5:$A$20000,$A6098,INPUT_RITASE!$H$5:$H$20000,$B6098,INPUT_RITASE!$C$5:$C$20000,$C6098,INPUT_RITASE!$N$5:$N$20000,"OB")</f>
        <v/>
      </c>
      <c r="P6098" s="185">
        <f>SUMIFS(INPUT_RITASE!$F$5:$F$20000,INPUT_RITASE!$A$5:$A$20000,$A6098,INPUT_RITASE!$H$5:$H$20000,$B6098,INPUT_RITASE!$C$5:$C$20000,$C6098,INPUT_RITASE!$N$5:$N$20000,"Coal")</f>
        <v/>
      </c>
      <c r="Q6098" s="186">
        <f>SUMIFS(INPUT_RITASE!$L$5:$L$20000,INPUT_RITASE!$A$5:$A$20000,$A6098,INPUT_RITASE!$H$5:$H$20000,$B6098,INPUT_RITASE!$C$5:$C$20000,$C6098,INPUT_RITASE!$N$5:$N$20000,"OB")</f>
        <v/>
      </c>
      <c r="R6098" s="186">
        <f>SUMIFS(INPUT_RITASE!$L$5:$L$20000,INPUT_RITASE!$A$5:$A$20000,$A6098,INPUT_RITASE!$H$5:$H$20000,$B6098,INPUT_RITASE!$C$5:$C$20000,$C6098,INPUT_RITASE!$N$5:$N$20000,"Coal")</f>
        <v/>
      </c>
      <c r="S6098" s="183" t="n">
        <v>0</v>
      </c>
      <c r="T6098" s="183" t="n">
        <v>0</v>
      </c>
      <c r="U6098" s="182" t="n">
        <v>0</v>
      </c>
      <c r="V6098" s="182" t="n">
        <v>0</v>
      </c>
      <c r="W6098" s="182" t="n">
        <v>0</v>
      </c>
      <c r="X6098" s="182" t="n">
        <v>0.07000000000000001</v>
      </c>
      <c r="Y6098" s="182" t="n">
        <v>0</v>
      </c>
      <c r="Z6098" s="182" t="n">
        <v>0</v>
      </c>
      <c r="AA6098" s="182" t="n">
        <v>0</v>
      </c>
      <c r="AB6098" s="182" t="n">
        <v>0</v>
      </c>
      <c r="AC6098" s="182" t="n">
        <v>0</v>
      </c>
      <c r="AD6098" s="182" t="n">
        <v>0</v>
      </c>
      <c r="AE6098" s="182" t="n">
        <v>0</v>
      </c>
      <c r="AF6098" s="182" t="n">
        <v>0</v>
      </c>
      <c r="AG6098" s="182" t="n">
        <v>0</v>
      </c>
      <c r="AH6098" s="182" t="n">
        <v>0</v>
      </c>
      <c r="AI6098" s="182" t="n">
        <v>0</v>
      </c>
      <c r="AJ6098" s="182" t="n">
        <v>0</v>
      </c>
      <c r="AK6098" s="182" t="n">
        <v>0</v>
      </c>
      <c r="AL6098" s="182" t="n">
        <v>0</v>
      </c>
      <c r="AM6098" s="182" t="n">
        <v>0.04</v>
      </c>
      <c r="AN6098" s="182" t="n">
        <v>0</v>
      </c>
    </row>
    <row r="6099">
      <c r="A6099" s="155" t="n">
        <v>46109</v>
      </c>
      <c r="B6099" s="156" t="inlineStr">
        <is>
          <t>NS</t>
        </is>
      </c>
      <c r="C6099" s="156" t="inlineStr">
        <is>
          <t>EX-754</t>
        </is>
      </c>
      <c r="D6099" s="156" t="inlineStr">
        <is>
          <t>SY750H-PRO</t>
        </is>
      </c>
      <c r="E6099" s="156" t="inlineStr">
        <is>
          <t>Excavator</t>
        </is>
      </c>
      <c r="F6099" s="156" t="inlineStr">
        <is>
          <t>Loading OB</t>
        </is>
      </c>
      <c r="G6099" s="182" t="n">
        <v>7.09</v>
      </c>
      <c r="H6099" s="182" t="n">
        <v>0</v>
      </c>
      <c r="I6099" s="182" t="n">
        <v>0</v>
      </c>
      <c r="J6099" s="182" t="n">
        <v>0</v>
      </c>
      <c r="K6099" s="182" t="n">
        <v>4.91</v>
      </c>
      <c r="L6099" s="182" t="n">
        <v>12</v>
      </c>
      <c r="M6099" s="182" t="n">
        <v>7.06</v>
      </c>
      <c r="N6099" s="182" t="n">
        <v>0</v>
      </c>
      <c r="O6099" s="185">
        <f>SUMIFS(INPUT_RITASE!$F$5:$F$20000,INPUT_RITASE!$A$5:$A$20000,$A6099,INPUT_RITASE!$H$5:$H$20000,$B6099,INPUT_RITASE!$C$5:$C$20000,$C6099,INPUT_RITASE!$N$5:$N$20000,"OB")</f>
        <v/>
      </c>
      <c r="P6099" s="185">
        <f>SUMIFS(INPUT_RITASE!$F$5:$F$20000,INPUT_RITASE!$A$5:$A$20000,$A6099,INPUT_RITASE!$H$5:$H$20000,$B6099,INPUT_RITASE!$C$5:$C$20000,$C6099,INPUT_RITASE!$N$5:$N$20000,"Coal")</f>
        <v/>
      </c>
      <c r="Q6099" s="186">
        <f>SUMIFS(INPUT_RITASE!$L$5:$L$20000,INPUT_RITASE!$A$5:$A$20000,$A6099,INPUT_RITASE!$H$5:$H$20000,$B6099,INPUT_RITASE!$C$5:$C$20000,$C6099,INPUT_RITASE!$N$5:$N$20000,"OB")</f>
        <v/>
      </c>
      <c r="R6099" s="186">
        <f>SUMIFS(INPUT_RITASE!$L$5:$L$20000,INPUT_RITASE!$A$5:$A$20000,$A6099,INPUT_RITASE!$H$5:$H$20000,$B6099,INPUT_RITASE!$C$5:$C$20000,$C6099,INPUT_RITASE!$N$5:$N$20000,"Coal")</f>
        <v/>
      </c>
      <c r="S6099" s="183" t="n">
        <v>0</v>
      </c>
      <c r="T6099" s="183" t="n">
        <v>0</v>
      </c>
      <c r="U6099" s="182" t="n">
        <v>3.65</v>
      </c>
      <c r="V6099" s="182" t="n">
        <v>1.01</v>
      </c>
      <c r="W6099" s="182" t="n">
        <v>0</v>
      </c>
      <c r="X6099" s="182" t="n">
        <v>0</v>
      </c>
      <c r="Y6099" s="182" t="n">
        <v>0</v>
      </c>
      <c r="Z6099" s="182" t="n">
        <v>0.17</v>
      </c>
      <c r="AA6099" s="182" t="n">
        <v>0</v>
      </c>
      <c r="AB6099" s="182" t="n">
        <v>0</v>
      </c>
      <c r="AC6099" s="182" t="n">
        <v>0</v>
      </c>
      <c r="AD6099" s="182" t="n">
        <v>0</v>
      </c>
      <c r="AE6099" s="182" t="n">
        <v>0</v>
      </c>
      <c r="AF6099" s="182" t="n">
        <v>0</v>
      </c>
      <c r="AG6099" s="182" t="n">
        <v>0</v>
      </c>
      <c r="AH6099" s="182" t="n">
        <v>0</v>
      </c>
      <c r="AI6099" s="182" t="n">
        <v>0</v>
      </c>
      <c r="AJ6099" s="182" t="n">
        <v>0</v>
      </c>
      <c r="AK6099" s="182" t="n">
        <v>0</v>
      </c>
      <c r="AL6099" s="182" t="n">
        <v>0</v>
      </c>
      <c r="AM6099" s="182" t="n">
        <v>0.08</v>
      </c>
      <c r="AN6099" s="182" t="n">
        <v>0</v>
      </c>
    </row>
    <row r="6100">
      <c r="A6100" s="155" t="n">
        <v>46109</v>
      </c>
      <c r="B6100" s="156" t="inlineStr">
        <is>
          <t>NS</t>
        </is>
      </c>
      <c r="C6100" s="156" t="inlineStr">
        <is>
          <t>EX-755</t>
        </is>
      </c>
      <c r="D6100" s="156" t="inlineStr">
        <is>
          <t>SY750H-PRO</t>
        </is>
      </c>
      <c r="E6100" s="156" t="inlineStr">
        <is>
          <t>Excavator</t>
        </is>
      </c>
      <c r="F6100" s="156" t="inlineStr">
        <is>
          <t>Loading OB</t>
        </is>
      </c>
      <c r="G6100" s="182" t="n">
        <v>5.03</v>
      </c>
      <c r="H6100" s="182" t="n">
        <v>0</v>
      </c>
      <c r="I6100" s="182" t="n">
        <v>0</v>
      </c>
      <c r="J6100" s="182" t="n">
        <v>0</v>
      </c>
      <c r="K6100" s="182" t="n">
        <v>6.97</v>
      </c>
      <c r="L6100" s="182" t="n">
        <v>12</v>
      </c>
      <c r="M6100" s="182" t="n">
        <v>4.91</v>
      </c>
      <c r="N6100" s="182" t="n">
        <v>0</v>
      </c>
      <c r="O6100" s="185">
        <f>SUMIFS(INPUT_RITASE!$F$5:$F$20000,INPUT_RITASE!$A$5:$A$20000,$A6100,INPUT_RITASE!$H$5:$H$20000,$B6100,INPUT_RITASE!$C$5:$C$20000,$C6100,INPUT_RITASE!$N$5:$N$20000,"OB")</f>
        <v/>
      </c>
      <c r="P6100" s="185">
        <f>SUMIFS(INPUT_RITASE!$F$5:$F$20000,INPUT_RITASE!$A$5:$A$20000,$A6100,INPUT_RITASE!$H$5:$H$20000,$B6100,INPUT_RITASE!$C$5:$C$20000,$C6100,INPUT_RITASE!$N$5:$N$20000,"Coal")</f>
        <v/>
      </c>
      <c r="Q6100" s="186">
        <f>SUMIFS(INPUT_RITASE!$L$5:$L$20000,INPUT_RITASE!$A$5:$A$20000,$A6100,INPUT_RITASE!$H$5:$H$20000,$B6100,INPUT_RITASE!$C$5:$C$20000,$C6100,INPUT_RITASE!$N$5:$N$20000,"OB")</f>
        <v/>
      </c>
      <c r="R6100" s="186">
        <f>SUMIFS(INPUT_RITASE!$L$5:$L$20000,INPUT_RITASE!$A$5:$A$20000,$A6100,INPUT_RITASE!$H$5:$H$20000,$B6100,INPUT_RITASE!$C$5:$C$20000,$C6100,INPUT_RITASE!$N$5:$N$20000,"Coal")</f>
        <v/>
      </c>
      <c r="S6100" s="183" t="n">
        <v>0</v>
      </c>
      <c r="T6100" s="183" t="n">
        <v>0</v>
      </c>
      <c r="U6100" s="182" t="n">
        <v>3.93</v>
      </c>
      <c r="V6100" s="182" t="n">
        <v>1.42</v>
      </c>
      <c r="W6100" s="182" t="n">
        <v>0</v>
      </c>
      <c r="X6100" s="182" t="n">
        <v>1</v>
      </c>
      <c r="Y6100" s="182" t="n">
        <v>0</v>
      </c>
      <c r="Z6100" s="182" t="n">
        <v>0</v>
      </c>
      <c r="AA6100" s="182" t="n">
        <v>0</v>
      </c>
      <c r="AB6100" s="182" t="n">
        <v>0</v>
      </c>
      <c r="AC6100" s="182" t="n">
        <v>0</v>
      </c>
      <c r="AD6100" s="182" t="n">
        <v>0.54</v>
      </c>
      <c r="AE6100" s="182" t="n">
        <v>0</v>
      </c>
      <c r="AF6100" s="182" t="n">
        <v>0</v>
      </c>
      <c r="AG6100" s="182" t="n">
        <v>0</v>
      </c>
      <c r="AH6100" s="182" t="n">
        <v>0</v>
      </c>
      <c r="AI6100" s="182" t="n">
        <v>0</v>
      </c>
      <c r="AJ6100" s="182" t="n">
        <v>0</v>
      </c>
      <c r="AK6100" s="182" t="n">
        <v>0</v>
      </c>
      <c r="AL6100" s="182" t="n">
        <v>0</v>
      </c>
      <c r="AM6100" s="182" t="n">
        <v>0.08</v>
      </c>
      <c r="AN6100" s="182" t="n">
        <v>0</v>
      </c>
    </row>
    <row r="6101">
      <c r="A6101" s="155" t="n">
        <v>46109</v>
      </c>
      <c r="B6101" s="156" t="inlineStr">
        <is>
          <t>NS</t>
        </is>
      </c>
      <c r="C6101" s="156" t="inlineStr">
        <is>
          <t>EX-752</t>
        </is>
      </c>
      <c r="D6101" s="156" t="inlineStr">
        <is>
          <t>SY750H-PRO</t>
        </is>
      </c>
      <c r="E6101" s="156" t="inlineStr">
        <is>
          <t>Excavator</t>
        </is>
      </c>
      <c r="F6101" s="156" t="inlineStr"/>
      <c r="G6101" s="182" t="n">
        <v>0</v>
      </c>
      <c r="H6101" s="182" t="n">
        <v>0</v>
      </c>
      <c r="I6101" s="182" t="n">
        <v>12</v>
      </c>
      <c r="J6101" s="182" t="n">
        <v>12</v>
      </c>
      <c r="K6101" s="182" t="n">
        <v>0</v>
      </c>
      <c r="L6101" s="182" t="n">
        <v>12</v>
      </c>
      <c r="M6101" s="182" t="n">
        <v>0</v>
      </c>
      <c r="N6101" s="182" t="n">
        <v>0</v>
      </c>
      <c r="O6101" s="185">
        <f>SUMIFS(INPUT_RITASE!$F$5:$F$20000,INPUT_RITASE!$A$5:$A$20000,$A6101,INPUT_RITASE!$H$5:$H$20000,$B6101,INPUT_RITASE!$C$5:$C$20000,$C6101,INPUT_RITASE!$N$5:$N$20000,"OB")</f>
        <v/>
      </c>
      <c r="P6101" s="185">
        <f>SUMIFS(INPUT_RITASE!$F$5:$F$20000,INPUT_RITASE!$A$5:$A$20000,$A6101,INPUT_RITASE!$H$5:$H$20000,$B6101,INPUT_RITASE!$C$5:$C$20000,$C6101,INPUT_RITASE!$N$5:$N$20000,"Coal")</f>
        <v/>
      </c>
      <c r="Q6101" s="186">
        <f>SUMIFS(INPUT_RITASE!$L$5:$L$20000,INPUT_RITASE!$A$5:$A$20000,$A6101,INPUT_RITASE!$H$5:$H$20000,$B6101,INPUT_RITASE!$C$5:$C$20000,$C6101,INPUT_RITASE!$N$5:$N$20000,"OB")</f>
        <v/>
      </c>
      <c r="R6101" s="186">
        <f>SUMIFS(INPUT_RITASE!$L$5:$L$20000,INPUT_RITASE!$A$5:$A$20000,$A6101,INPUT_RITASE!$H$5:$H$20000,$B6101,INPUT_RITASE!$C$5:$C$20000,$C6101,INPUT_RITASE!$N$5:$N$20000,"Coal")</f>
        <v/>
      </c>
      <c r="S6101" s="183" t="n">
        <v>0</v>
      </c>
      <c r="T6101" s="183" t="n">
        <v>0</v>
      </c>
      <c r="U6101" s="182" t="n">
        <v>0</v>
      </c>
      <c r="V6101" s="182" t="n">
        <v>0</v>
      </c>
      <c r="W6101" s="182" t="n">
        <v>0</v>
      </c>
      <c r="X6101" s="182" t="n">
        <v>0</v>
      </c>
      <c r="Y6101" s="182" t="n">
        <v>0</v>
      </c>
      <c r="Z6101" s="182" t="n">
        <v>0</v>
      </c>
      <c r="AA6101" s="182" t="n">
        <v>0</v>
      </c>
      <c r="AB6101" s="182" t="n">
        <v>0</v>
      </c>
      <c r="AC6101" s="182" t="n">
        <v>0</v>
      </c>
      <c r="AD6101" s="182" t="n">
        <v>0</v>
      </c>
      <c r="AE6101" s="182" t="n">
        <v>0</v>
      </c>
      <c r="AF6101" s="182" t="n">
        <v>0</v>
      </c>
      <c r="AG6101" s="182" t="n">
        <v>0</v>
      </c>
      <c r="AH6101" s="182" t="n">
        <v>0</v>
      </c>
      <c r="AI6101" s="182" t="n">
        <v>0</v>
      </c>
      <c r="AJ6101" s="182" t="n">
        <v>0</v>
      </c>
      <c r="AK6101" s="182" t="n">
        <v>0</v>
      </c>
      <c r="AL6101" s="182" t="n">
        <v>0</v>
      </c>
      <c r="AM6101" s="182" t="n">
        <v>0</v>
      </c>
      <c r="AN6101" s="182" t="n">
        <v>0</v>
      </c>
    </row>
    <row r="6102">
      <c r="A6102" s="155" t="n">
        <v>46109</v>
      </c>
      <c r="B6102" s="156" t="inlineStr">
        <is>
          <t>NS</t>
        </is>
      </c>
      <c r="C6102" s="156" t="inlineStr">
        <is>
          <t>EX-751</t>
        </is>
      </c>
      <c r="D6102" s="156" t="inlineStr">
        <is>
          <t>SY750H-PRO</t>
        </is>
      </c>
      <c r="E6102" s="156" t="inlineStr">
        <is>
          <t>Excavator</t>
        </is>
      </c>
      <c r="F6102" s="156" t="inlineStr"/>
      <c r="G6102" s="182" t="n">
        <v>0</v>
      </c>
      <c r="H6102" s="182" t="n">
        <v>0</v>
      </c>
      <c r="I6102" s="182" t="n">
        <v>12</v>
      </c>
      <c r="J6102" s="182" t="n">
        <v>12</v>
      </c>
      <c r="K6102" s="182" t="n">
        <v>0</v>
      </c>
      <c r="L6102" s="182" t="n">
        <v>12</v>
      </c>
      <c r="M6102" s="182" t="n">
        <v>0</v>
      </c>
      <c r="N6102" s="182" t="n">
        <v>0</v>
      </c>
      <c r="O6102" s="185">
        <f>SUMIFS(INPUT_RITASE!$F$5:$F$20000,INPUT_RITASE!$A$5:$A$20000,$A6102,INPUT_RITASE!$H$5:$H$20000,$B6102,INPUT_RITASE!$C$5:$C$20000,$C6102,INPUT_RITASE!$N$5:$N$20000,"OB")</f>
        <v/>
      </c>
      <c r="P6102" s="185">
        <f>SUMIFS(INPUT_RITASE!$F$5:$F$20000,INPUT_RITASE!$A$5:$A$20000,$A6102,INPUT_RITASE!$H$5:$H$20000,$B6102,INPUT_RITASE!$C$5:$C$20000,$C6102,INPUT_RITASE!$N$5:$N$20000,"Coal")</f>
        <v/>
      </c>
      <c r="Q6102" s="186">
        <f>SUMIFS(INPUT_RITASE!$L$5:$L$20000,INPUT_RITASE!$A$5:$A$20000,$A6102,INPUT_RITASE!$H$5:$H$20000,$B6102,INPUT_RITASE!$C$5:$C$20000,$C6102,INPUT_RITASE!$N$5:$N$20000,"OB")</f>
        <v/>
      </c>
      <c r="R6102" s="186">
        <f>SUMIFS(INPUT_RITASE!$L$5:$L$20000,INPUT_RITASE!$A$5:$A$20000,$A6102,INPUT_RITASE!$H$5:$H$20000,$B6102,INPUT_RITASE!$C$5:$C$20000,$C6102,INPUT_RITASE!$N$5:$N$20000,"Coal")</f>
        <v/>
      </c>
      <c r="S6102" s="183" t="n">
        <v>0</v>
      </c>
      <c r="T6102" s="183" t="n">
        <v>0</v>
      </c>
      <c r="U6102" s="182" t="n">
        <v>0</v>
      </c>
      <c r="V6102" s="182" t="n">
        <v>0</v>
      </c>
      <c r="W6102" s="182" t="n">
        <v>0</v>
      </c>
      <c r="X6102" s="182" t="n">
        <v>0</v>
      </c>
      <c r="Y6102" s="182" t="n">
        <v>0</v>
      </c>
      <c r="Z6102" s="182" t="n">
        <v>0</v>
      </c>
      <c r="AA6102" s="182" t="n">
        <v>0</v>
      </c>
      <c r="AB6102" s="182" t="n">
        <v>0</v>
      </c>
      <c r="AC6102" s="182" t="n">
        <v>0</v>
      </c>
      <c r="AD6102" s="182" t="n">
        <v>0</v>
      </c>
      <c r="AE6102" s="182" t="n">
        <v>0</v>
      </c>
      <c r="AF6102" s="182" t="n">
        <v>0</v>
      </c>
      <c r="AG6102" s="182" t="n">
        <v>0</v>
      </c>
      <c r="AH6102" s="182" t="n">
        <v>0</v>
      </c>
      <c r="AI6102" s="182" t="n">
        <v>0</v>
      </c>
      <c r="AJ6102" s="182" t="n">
        <v>0</v>
      </c>
      <c r="AK6102" s="182" t="n">
        <v>0</v>
      </c>
      <c r="AL6102" s="182" t="n">
        <v>0</v>
      </c>
      <c r="AM6102" s="182" t="n">
        <v>0</v>
      </c>
      <c r="AN6102" s="182" t="n">
        <v>0</v>
      </c>
    </row>
    <row r="6103">
      <c r="A6103" s="155" t="n">
        <v>46109</v>
      </c>
      <c r="B6103" s="156" t="inlineStr">
        <is>
          <t>NS</t>
        </is>
      </c>
      <c r="C6103" s="156" t="inlineStr">
        <is>
          <t>EX-753</t>
        </is>
      </c>
      <c r="D6103" s="156" t="inlineStr">
        <is>
          <t>SY750H-PRO</t>
        </is>
      </c>
      <c r="E6103" s="156" t="inlineStr">
        <is>
          <t>Excavator</t>
        </is>
      </c>
      <c r="F6103" s="156" t="inlineStr">
        <is>
          <t>Loading OB</t>
        </is>
      </c>
      <c r="G6103" s="182" t="n">
        <v>5.54</v>
      </c>
      <c r="H6103" s="182" t="n">
        <v>0</v>
      </c>
      <c r="I6103" s="182" t="n">
        <v>0.33</v>
      </c>
      <c r="J6103" s="182" t="n">
        <v>0.33</v>
      </c>
      <c r="K6103" s="182" t="n">
        <v>6.13</v>
      </c>
      <c r="L6103" s="182" t="n">
        <v>12</v>
      </c>
      <c r="M6103" s="182" t="n">
        <v>5.11</v>
      </c>
      <c r="N6103" s="182" t="n">
        <v>0</v>
      </c>
      <c r="O6103" s="185">
        <f>SUMIFS(INPUT_RITASE!$F$5:$F$20000,INPUT_RITASE!$A$5:$A$20000,$A6103,INPUT_RITASE!$H$5:$H$20000,$B6103,INPUT_RITASE!$C$5:$C$20000,$C6103,INPUT_RITASE!$N$5:$N$20000,"OB")</f>
        <v/>
      </c>
      <c r="P6103" s="185">
        <f>SUMIFS(INPUT_RITASE!$F$5:$F$20000,INPUT_RITASE!$A$5:$A$20000,$A6103,INPUT_RITASE!$H$5:$H$20000,$B6103,INPUT_RITASE!$C$5:$C$20000,$C6103,INPUT_RITASE!$N$5:$N$20000,"Coal")</f>
        <v/>
      </c>
      <c r="Q6103" s="186">
        <f>SUMIFS(INPUT_RITASE!$L$5:$L$20000,INPUT_RITASE!$A$5:$A$20000,$A6103,INPUT_RITASE!$H$5:$H$20000,$B6103,INPUT_RITASE!$C$5:$C$20000,$C6103,INPUT_RITASE!$N$5:$N$20000,"OB")</f>
        <v/>
      </c>
      <c r="R6103" s="186">
        <f>SUMIFS(INPUT_RITASE!$L$5:$L$20000,INPUT_RITASE!$A$5:$A$20000,$A6103,INPUT_RITASE!$H$5:$H$20000,$B6103,INPUT_RITASE!$C$5:$C$20000,$C6103,INPUT_RITASE!$N$5:$N$20000,"Coal")</f>
        <v/>
      </c>
      <c r="S6103" s="183" t="n">
        <v>0</v>
      </c>
      <c r="T6103" s="183" t="n">
        <v>0</v>
      </c>
      <c r="U6103" s="182" t="n">
        <v>4.11</v>
      </c>
      <c r="V6103" s="182" t="n">
        <v>0.88</v>
      </c>
      <c r="W6103" s="182" t="n">
        <v>0</v>
      </c>
      <c r="X6103" s="182" t="n">
        <v>1.05</v>
      </c>
      <c r="Y6103" s="182" t="n">
        <v>0</v>
      </c>
      <c r="Z6103" s="182" t="n">
        <v>0</v>
      </c>
      <c r="AA6103" s="182" t="n">
        <v>0</v>
      </c>
      <c r="AB6103" s="182" t="n">
        <v>0</v>
      </c>
      <c r="AC6103" s="182" t="n">
        <v>0</v>
      </c>
      <c r="AD6103" s="182" t="n">
        <v>0</v>
      </c>
      <c r="AE6103" s="182" t="n">
        <v>0</v>
      </c>
      <c r="AF6103" s="182" t="n">
        <v>0</v>
      </c>
      <c r="AG6103" s="182" t="n">
        <v>0</v>
      </c>
      <c r="AH6103" s="182" t="n">
        <v>0</v>
      </c>
      <c r="AI6103" s="182" t="n">
        <v>0</v>
      </c>
      <c r="AJ6103" s="182" t="n">
        <v>0</v>
      </c>
      <c r="AK6103" s="182" t="n">
        <v>0</v>
      </c>
      <c r="AL6103" s="182" t="n">
        <v>0</v>
      </c>
      <c r="AM6103" s="182" t="n">
        <v>0.08</v>
      </c>
      <c r="AN6103" s="182" t="n">
        <v>0</v>
      </c>
    </row>
    <row r="6104">
      <c r="A6104" s="155" t="n">
        <v>46109</v>
      </c>
      <c r="B6104" s="156" t="inlineStr">
        <is>
          <t>NS</t>
        </is>
      </c>
      <c r="C6104" s="156" t="inlineStr">
        <is>
          <t>GD-012</t>
        </is>
      </c>
      <c r="D6104" s="156" t="inlineStr">
        <is>
          <t>STG 230C - 8S</t>
        </is>
      </c>
      <c r="E6104" s="156" t="inlineStr">
        <is>
          <t>Grader</t>
        </is>
      </c>
      <c r="F6104" s="156" t="inlineStr"/>
      <c r="G6104" s="182" t="n">
        <v>0</v>
      </c>
      <c r="H6104" s="182" t="n">
        <v>0</v>
      </c>
      <c r="I6104" s="182" t="n">
        <v>0</v>
      </c>
      <c r="J6104" s="182" t="n">
        <v>0</v>
      </c>
      <c r="K6104" s="182" t="n">
        <v>12</v>
      </c>
      <c r="L6104" s="182" t="n">
        <v>12</v>
      </c>
      <c r="M6104" s="182" t="n">
        <v>0</v>
      </c>
      <c r="N6104" s="182" t="n">
        <v>0</v>
      </c>
      <c r="O6104" s="183" t="n">
        <v>0</v>
      </c>
      <c r="P6104" s="183" t="n">
        <v>0</v>
      </c>
      <c r="Q6104" s="184" t="n">
        <v>0</v>
      </c>
      <c r="R6104" s="184" t="n">
        <v>0</v>
      </c>
      <c r="S6104" s="183" t="n">
        <v>0</v>
      </c>
      <c r="T6104" s="183" t="n">
        <v>0</v>
      </c>
      <c r="U6104" s="182" t="n">
        <v>0</v>
      </c>
      <c r="V6104" s="182" t="n">
        <v>0</v>
      </c>
      <c r="W6104" s="182" t="n">
        <v>0</v>
      </c>
      <c r="X6104" s="182" t="n">
        <v>1</v>
      </c>
      <c r="Y6104" s="182" t="n">
        <v>0</v>
      </c>
      <c r="Z6104" s="182" t="n">
        <v>0</v>
      </c>
      <c r="AA6104" s="182" t="n">
        <v>0</v>
      </c>
      <c r="AB6104" s="182" t="n">
        <v>0</v>
      </c>
      <c r="AC6104" s="182" t="n">
        <v>0</v>
      </c>
      <c r="AD6104" s="182" t="n">
        <v>0</v>
      </c>
      <c r="AE6104" s="182" t="n">
        <v>0</v>
      </c>
      <c r="AF6104" s="182" t="n">
        <v>0</v>
      </c>
      <c r="AG6104" s="182" t="n">
        <v>0</v>
      </c>
      <c r="AH6104" s="182" t="n">
        <v>0</v>
      </c>
      <c r="AI6104" s="182" t="n">
        <v>0</v>
      </c>
      <c r="AJ6104" s="182" t="n">
        <v>0</v>
      </c>
      <c r="AK6104" s="182" t="n">
        <v>10.92</v>
      </c>
      <c r="AL6104" s="182" t="n">
        <v>0</v>
      </c>
      <c r="AM6104" s="182" t="n">
        <v>0.08</v>
      </c>
      <c r="AN6104" s="182" t="n">
        <v>0</v>
      </c>
    </row>
    <row r="6105">
      <c r="A6105" s="155" t="n">
        <v>46109</v>
      </c>
      <c r="B6105" s="156" t="inlineStr">
        <is>
          <t>NS</t>
        </is>
      </c>
      <c r="C6105" s="156" t="inlineStr">
        <is>
          <t>GD-011</t>
        </is>
      </c>
      <c r="D6105" s="156" t="inlineStr">
        <is>
          <t>STG 230C - 8S</t>
        </is>
      </c>
      <c r="E6105" s="156" t="inlineStr">
        <is>
          <t>Grader</t>
        </is>
      </c>
      <c r="F6105" s="156" t="inlineStr"/>
      <c r="G6105" s="182" t="n">
        <v>0</v>
      </c>
      <c r="H6105" s="182" t="n">
        <v>0</v>
      </c>
      <c r="I6105" s="182" t="n">
        <v>12</v>
      </c>
      <c r="J6105" s="182" t="n">
        <v>12</v>
      </c>
      <c r="K6105" s="182" t="n">
        <v>0</v>
      </c>
      <c r="L6105" s="182" t="n">
        <v>12</v>
      </c>
      <c r="M6105" s="182" t="n">
        <v>0</v>
      </c>
      <c r="N6105" s="182" t="n">
        <v>0</v>
      </c>
      <c r="O6105" s="183" t="n">
        <v>0</v>
      </c>
      <c r="P6105" s="183" t="n">
        <v>0</v>
      </c>
      <c r="Q6105" s="184" t="n">
        <v>0</v>
      </c>
      <c r="R6105" s="184" t="n">
        <v>0</v>
      </c>
      <c r="S6105" s="183" t="n">
        <v>0</v>
      </c>
      <c r="T6105" s="183" t="n">
        <v>0</v>
      </c>
      <c r="U6105" s="182" t="n">
        <v>0</v>
      </c>
      <c r="V6105" s="182" t="n">
        <v>0</v>
      </c>
      <c r="W6105" s="182" t="n">
        <v>0</v>
      </c>
      <c r="X6105" s="182" t="n">
        <v>0</v>
      </c>
      <c r="Y6105" s="182" t="n">
        <v>0</v>
      </c>
      <c r="Z6105" s="182" t="n">
        <v>0</v>
      </c>
      <c r="AA6105" s="182" t="n">
        <v>0</v>
      </c>
      <c r="AB6105" s="182" t="n">
        <v>0</v>
      </c>
      <c r="AC6105" s="182" t="n">
        <v>0</v>
      </c>
      <c r="AD6105" s="182" t="n">
        <v>0</v>
      </c>
      <c r="AE6105" s="182" t="n">
        <v>0</v>
      </c>
      <c r="AF6105" s="182" t="n">
        <v>0</v>
      </c>
      <c r="AG6105" s="182" t="n">
        <v>0</v>
      </c>
      <c r="AH6105" s="182" t="n">
        <v>0</v>
      </c>
      <c r="AI6105" s="182" t="n">
        <v>0</v>
      </c>
      <c r="AJ6105" s="182" t="n">
        <v>0</v>
      </c>
      <c r="AK6105" s="182" t="n">
        <v>0</v>
      </c>
      <c r="AL6105" s="182" t="n">
        <v>0</v>
      </c>
      <c r="AM6105" s="182" t="n">
        <v>0</v>
      </c>
      <c r="AN6105" s="182" t="n">
        <v>0</v>
      </c>
    </row>
    <row r="6106">
      <c r="A6106" s="155" t="n">
        <v>46109</v>
      </c>
      <c r="B6106" s="156" t="inlineStr">
        <is>
          <t>NS</t>
        </is>
      </c>
      <c r="C6106" s="156" t="inlineStr">
        <is>
          <t>GD-013</t>
        </is>
      </c>
      <c r="D6106" s="156" t="inlineStr">
        <is>
          <t>STG 265C - 10</t>
        </is>
      </c>
      <c r="E6106" s="156" t="inlineStr">
        <is>
          <t>Grader</t>
        </is>
      </c>
      <c r="F6106" s="156" t="inlineStr">
        <is>
          <t>Road Maintenance</t>
        </is>
      </c>
      <c r="G6106" s="182" t="n">
        <v>8.41</v>
      </c>
      <c r="H6106" s="182" t="n">
        <v>0</v>
      </c>
      <c r="I6106" s="182" t="n">
        <v>0</v>
      </c>
      <c r="J6106" s="182" t="n">
        <v>0</v>
      </c>
      <c r="K6106" s="182" t="n">
        <v>3.59</v>
      </c>
      <c r="L6106" s="182" t="n">
        <v>12</v>
      </c>
      <c r="M6106" s="182" t="n">
        <v>0</v>
      </c>
      <c r="N6106" s="182" t="n">
        <v>0</v>
      </c>
      <c r="O6106" s="183" t="n">
        <v>0</v>
      </c>
      <c r="P6106" s="183" t="n">
        <v>0</v>
      </c>
      <c r="Q6106" s="184" t="n">
        <v>0</v>
      </c>
      <c r="R6106" s="184" t="n">
        <v>0</v>
      </c>
      <c r="S6106" s="183" t="n">
        <v>0</v>
      </c>
      <c r="T6106" s="183" t="n">
        <v>0</v>
      </c>
      <c r="U6106" s="182" t="n">
        <v>2.45</v>
      </c>
      <c r="V6106" s="182" t="n">
        <v>0</v>
      </c>
      <c r="W6106" s="182" t="n">
        <v>0</v>
      </c>
      <c r="X6106" s="182" t="n">
        <v>1.06</v>
      </c>
      <c r="Y6106" s="182" t="n">
        <v>0</v>
      </c>
      <c r="Z6106" s="182" t="n">
        <v>0</v>
      </c>
      <c r="AA6106" s="182" t="n">
        <v>0</v>
      </c>
      <c r="AB6106" s="182" t="n">
        <v>0</v>
      </c>
      <c r="AC6106" s="182" t="n">
        <v>0</v>
      </c>
      <c r="AD6106" s="182" t="n">
        <v>0</v>
      </c>
      <c r="AE6106" s="182" t="n">
        <v>0</v>
      </c>
      <c r="AF6106" s="182" t="n">
        <v>0</v>
      </c>
      <c r="AG6106" s="182" t="n">
        <v>0</v>
      </c>
      <c r="AH6106" s="182" t="n">
        <v>0</v>
      </c>
      <c r="AI6106" s="182" t="n">
        <v>0</v>
      </c>
      <c r="AJ6106" s="182" t="n">
        <v>0</v>
      </c>
      <c r="AK6106" s="182" t="n">
        <v>0</v>
      </c>
      <c r="AL6106" s="182" t="n">
        <v>0</v>
      </c>
      <c r="AM6106" s="182" t="n">
        <v>0.08</v>
      </c>
      <c r="AN6106" s="182" t="n">
        <v>0</v>
      </c>
    </row>
    <row r="6107">
      <c r="A6107" s="155" t="n">
        <v>46109</v>
      </c>
      <c r="B6107" s="156" t="inlineStr">
        <is>
          <t>NS</t>
        </is>
      </c>
      <c r="C6107" s="156" t="inlineStr">
        <is>
          <t>GD-014</t>
        </is>
      </c>
      <c r="D6107" s="156" t="inlineStr">
        <is>
          <t>STG 335C - 10</t>
        </is>
      </c>
      <c r="E6107" s="156" t="inlineStr">
        <is>
          <t>Grader</t>
        </is>
      </c>
      <c r="F6107" s="156" t="inlineStr">
        <is>
          <t>Road Maintenance</t>
        </is>
      </c>
      <c r="G6107" s="182" t="n">
        <v>8.73</v>
      </c>
      <c r="H6107" s="182" t="n">
        <v>0</v>
      </c>
      <c r="I6107" s="182" t="n">
        <v>0</v>
      </c>
      <c r="J6107" s="182" t="n">
        <v>0</v>
      </c>
      <c r="K6107" s="182" t="n">
        <v>3.27</v>
      </c>
      <c r="L6107" s="182" t="n">
        <v>12</v>
      </c>
      <c r="M6107" s="182" t="n">
        <v>0</v>
      </c>
      <c r="N6107" s="182" t="n">
        <v>0</v>
      </c>
      <c r="O6107" s="183" t="n">
        <v>0</v>
      </c>
      <c r="P6107" s="183" t="n">
        <v>0</v>
      </c>
      <c r="Q6107" s="184" t="n">
        <v>0</v>
      </c>
      <c r="R6107" s="184" t="n">
        <v>0</v>
      </c>
      <c r="S6107" s="183" t="n">
        <v>0</v>
      </c>
      <c r="T6107" s="183" t="n">
        <v>0</v>
      </c>
      <c r="U6107" s="182" t="n">
        <v>2.26</v>
      </c>
      <c r="V6107" s="182" t="n">
        <v>0</v>
      </c>
      <c r="W6107" s="182" t="n">
        <v>0</v>
      </c>
      <c r="X6107" s="182" t="n">
        <v>0.93</v>
      </c>
      <c r="Y6107" s="182" t="n">
        <v>0</v>
      </c>
      <c r="Z6107" s="182" t="n">
        <v>0</v>
      </c>
      <c r="AA6107" s="182" t="n">
        <v>0</v>
      </c>
      <c r="AB6107" s="182" t="n">
        <v>0</v>
      </c>
      <c r="AC6107" s="182" t="n">
        <v>0</v>
      </c>
      <c r="AD6107" s="182" t="n">
        <v>0</v>
      </c>
      <c r="AE6107" s="182" t="n">
        <v>0</v>
      </c>
      <c r="AF6107" s="182" t="n">
        <v>0</v>
      </c>
      <c r="AG6107" s="182" t="n">
        <v>0</v>
      </c>
      <c r="AH6107" s="182" t="n">
        <v>0</v>
      </c>
      <c r="AI6107" s="182" t="n">
        <v>0</v>
      </c>
      <c r="AJ6107" s="182" t="n">
        <v>0</v>
      </c>
      <c r="AK6107" s="182" t="n">
        <v>0</v>
      </c>
      <c r="AL6107" s="182" t="n">
        <v>0</v>
      </c>
      <c r="AM6107" s="182" t="n">
        <v>0.07000000000000001</v>
      </c>
      <c r="AN6107" s="182" t="n">
        <v>0</v>
      </c>
    </row>
    <row r="6108">
      <c r="A6108" s="155" t="n">
        <v>46109</v>
      </c>
      <c r="B6108" s="156" t="inlineStr">
        <is>
          <t>NS</t>
        </is>
      </c>
      <c r="C6108" s="156" t="inlineStr">
        <is>
          <t>DT-809</t>
        </is>
      </c>
      <c r="D6108" s="156" t="inlineStr">
        <is>
          <t>SKT 80S</t>
        </is>
      </c>
      <c r="E6108" s="156" t="inlineStr">
        <is>
          <t>Hauler</t>
        </is>
      </c>
      <c r="F6108" s="156" t="inlineStr"/>
      <c r="G6108" s="182" t="n">
        <v>0</v>
      </c>
      <c r="H6108" s="182" t="n">
        <v>0</v>
      </c>
      <c r="I6108" s="182" t="n">
        <v>0</v>
      </c>
      <c r="J6108" s="182" t="n">
        <v>0</v>
      </c>
      <c r="K6108" s="182" t="n">
        <v>12</v>
      </c>
      <c r="L6108" s="182" t="n">
        <v>12</v>
      </c>
      <c r="M6108" s="182" t="n">
        <v>0</v>
      </c>
      <c r="N6108" s="182" t="n">
        <v>0</v>
      </c>
      <c r="O6108" s="183" t="n">
        <v>0</v>
      </c>
      <c r="P6108" s="183" t="n">
        <v>0</v>
      </c>
      <c r="Q6108" s="184" t="n">
        <v>0</v>
      </c>
      <c r="R6108" s="184" t="n">
        <v>0</v>
      </c>
      <c r="S6108" s="183" t="n">
        <v>0</v>
      </c>
      <c r="T6108" s="183" t="n">
        <v>0</v>
      </c>
      <c r="U6108" s="182" t="n">
        <v>3.92</v>
      </c>
      <c r="V6108" s="182" t="n">
        <v>0</v>
      </c>
      <c r="W6108" s="182" t="n">
        <v>0</v>
      </c>
      <c r="X6108" s="182" t="n">
        <v>1</v>
      </c>
      <c r="Y6108" s="182" t="n">
        <v>0</v>
      </c>
      <c r="Z6108" s="182" t="n">
        <v>0</v>
      </c>
      <c r="AA6108" s="182" t="n">
        <v>0</v>
      </c>
      <c r="AB6108" s="182" t="n">
        <v>0</v>
      </c>
      <c r="AC6108" s="182" t="n">
        <v>0</v>
      </c>
      <c r="AD6108" s="182" t="n">
        <v>0</v>
      </c>
      <c r="AE6108" s="182" t="n">
        <v>0</v>
      </c>
      <c r="AF6108" s="182" t="n">
        <v>0</v>
      </c>
      <c r="AG6108" s="182" t="n">
        <v>0</v>
      </c>
      <c r="AH6108" s="182" t="n">
        <v>0</v>
      </c>
      <c r="AI6108" s="182" t="n">
        <v>0</v>
      </c>
      <c r="AJ6108" s="182" t="n">
        <v>0</v>
      </c>
      <c r="AK6108" s="182" t="n">
        <v>7</v>
      </c>
      <c r="AL6108" s="182" t="n">
        <v>0</v>
      </c>
      <c r="AM6108" s="182" t="n">
        <v>0.08</v>
      </c>
      <c r="AN6108" s="182" t="n">
        <v>0</v>
      </c>
    </row>
    <row r="6109">
      <c r="A6109" s="155" t="n">
        <v>46109</v>
      </c>
      <c r="B6109" s="156" t="inlineStr">
        <is>
          <t>NS</t>
        </is>
      </c>
      <c r="C6109" s="156" t="inlineStr">
        <is>
          <t>DT-806</t>
        </is>
      </c>
      <c r="D6109" s="156" t="inlineStr">
        <is>
          <t>SKT 80S</t>
        </is>
      </c>
      <c r="E6109" s="156" t="inlineStr">
        <is>
          <t>Hauler</t>
        </is>
      </c>
      <c r="F6109" s="156" t="inlineStr"/>
      <c r="G6109" s="182" t="n">
        <v>0</v>
      </c>
      <c r="H6109" s="182" t="n">
        <v>0</v>
      </c>
      <c r="I6109" s="182" t="n">
        <v>0</v>
      </c>
      <c r="J6109" s="182" t="n">
        <v>0</v>
      </c>
      <c r="K6109" s="182" t="n">
        <v>12</v>
      </c>
      <c r="L6109" s="182" t="n">
        <v>12</v>
      </c>
      <c r="M6109" s="182" t="n">
        <v>0</v>
      </c>
      <c r="N6109" s="182" t="n">
        <v>0</v>
      </c>
      <c r="O6109" s="183" t="n">
        <v>0</v>
      </c>
      <c r="P6109" s="183" t="n">
        <v>0</v>
      </c>
      <c r="Q6109" s="184" t="n">
        <v>0</v>
      </c>
      <c r="R6109" s="184" t="n">
        <v>0</v>
      </c>
      <c r="S6109" s="183" t="n">
        <v>0</v>
      </c>
      <c r="T6109" s="183" t="n">
        <v>0</v>
      </c>
      <c r="U6109" s="182" t="n">
        <v>3.92</v>
      </c>
      <c r="V6109" s="182" t="n">
        <v>0</v>
      </c>
      <c r="W6109" s="182" t="n">
        <v>0</v>
      </c>
      <c r="X6109" s="182" t="n">
        <v>1</v>
      </c>
      <c r="Y6109" s="182" t="n">
        <v>0</v>
      </c>
      <c r="Z6109" s="182" t="n">
        <v>0</v>
      </c>
      <c r="AA6109" s="182" t="n">
        <v>0</v>
      </c>
      <c r="AB6109" s="182" t="n">
        <v>0</v>
      </c>
      <c r="AC6109" s="182" t="n">
        <v>0</v>
      </c>
      <c r="AD6109" s="182" t="n">
        <v>0</v>
      </c>
      <c r="AE6109" s="182" t="n">
        <v>0</v>
      </c>
      <c r="AF6109" s="182" t="n">
        <v>0</v>
      </c>
      <c r="AG6109" s="182" t="n">
        <v>0</v>
      </c>
      <c r="AH6109" s="182" t="n">
        <v>0</v>
      </c>
      <c r="AI6109" s="182" t="n">
        <v>0</v>
      </c>
      <c r="AJ6109" s="182" t="n">
        <v>0</v>
      </c>
      <c r="AK6109" s="182" t="n">
        <v>7</v>
      </c>
      <c r="AL6109" s="182" t="n">
        <v>0</v>
      </c>
      <c r="AM6109" s="182" t="n">
        <v>0.08</v>
      </c>
      <c r="AN6109" s="182" t="n">
        <v>0</v>
      </c>
    </row>
    <row r="6110">
      <c r="A6110" s="155" t="n">
        <v>46109</v>
      </c>
      <c r="B6110" s="156" t="inlineStr">
        <is>
          <t>NS</t>
        </is>
      </c>
      <c r="C6110" s="156" t="inlineStr">
        <is>
          <t>DT-805</t>
        </is>
      </c>
      <c r="D6110" s="156" t="inlineStr">
        <is>
          <t>SKT 80S</t>
        </is>
      </c>
      <c r="E6110" s="156" t="inlineStr">
        <is>
          <t>Hauler</t>
        </is>
      </c>
      <c r="F6110" s="156" t="inlineStr"/>
      <c r="G6110" s="182" t="n">
        <v>0</v>
      </c>
      <c r="H6110" s="182" t="n">
        <v>0</v>
      </c>
      <c r="I6110" s="182" t="n">
        <v>0</v>
      </c>
      <c r="J6110" s="182" t="n">
        <v>0</v>
      </c>
      <c r="K6110" s="182" t="n">
        <v>12</v>
      </c>
      <c r="L6110" s="182" t="n">
        <v>12</v>
      </c>
      <c r="M6110" s="182" t="n">
        <v>0</v>
      </c>
      <c r="N6110" s="182" t="n">
        <v>0</v>
      </c>
      <c r="O6110" s="183" t="n">
        <v>0</v>
      </c>
      <c r="P6110" s="183" t="n">
        <v>0</v>
      </c>
      <c r="Q6110" s="184" t="n">
        <v>0</v>
      </c>
      <c r="R6110" s="184" t="n">
        <v>0</v>
      </c>
      <c r="S6110" s="183" t="n">
        <v>0</v>
      </c>
      <c r="T6110" s="183" t="n">
        <v>0</v>
      </c>
      <c r="U6110" s="182" t="n">
        <v>3.92</v>
      </c>
      <c r="V6110" s="182" t="n">
        <v>0</v>
      </c>
      <c r="W6110" s="182" t="n">
        <v>0</v>
      </c>
      <c r="X6110" s="182" t="n">
        <v>1</v>
      </c>
      <c r="Y6110" s="182" t="n">
        <v>0</v>
      </c>
      <c r="Z6110" s="182" t="n">
        <v>0</v>
      </c>
      <c r="AA6110" s="182" t="n">
        <v>0</v>
      </c>
      <c r="AB6110" s="182" t="n">
        <v>0</v>
      </c>
      <c r="AC6110" s="182" t="n">
        <v>0</v>
      </c>
      <c r="AD6110" s="182" t="n">
        <v>0</v>
      </c>
      <c r="AE6110" s="182" t="n">
        <v>0</v>
      </c>
      <c r="AF6110" s="182" t="n">
        <v>0</v>
      </c>
      <c r="AG6110" s="182" t="n">
        <v>0</v>
      </c>
      <c r="AH6110" s="182" t="n">
        <v>0</v>
      </c>
      <c r="AI6110" s="182" t="n">
        <v>0</v>
      </c>
      <c r="AJ6110" s="182" t="n">
        <v>0</v>
      </c>
      <c r="AK6110" s="182" t="n">
        <v>7</v>
      </c>
      <c r="AL6110" s="182" t="n">
        <v>0</v>
      </c>
      <c r="AM6110" s="182" t="n">
        <v>0.08</v>
      </c>
      <c r="AN6110" s="182" t="n">
        <v>0</v>
      </c>
    </row>
    <row r="6111">
      <c r="A6111" s="155" t="n">
        <v>46109</v>
      </c>
      <c r="B6111" s="156" t="inlineStr">
        <is>
          <t>NS</t>
        </is>
      </c>
      <c r="C6111" s="156" t="inlineStr">
        <is>
          <t>DT-801</t>
        </is>
      </c>
      <c r="D6111" s="156" t="inlineStr">
        <is>
          <t>SKT 80S</t>
        </is>
      </c>
      <c r="E6111" s="156" t="inlineStr">
        <is>
          <t>Hauler</t>
        </is>
      </c>
      <c r="F6111" s="156" t="inlineStr"/>
      <c r="G6111" s="182" t="n">
        <v>0</v>
      </c>
      <c r="H6111" s="182" t="n">
        <v>0</v>
      </c>
      <c r="I6111" s="182" t="n">
        <v>0</v>
      </c>
      <c r="J6111" s="182" t="n">
        <v>0</v>
      </c>
      <c r="K6111" s="182" t="n">
        <v>12</v>
      </c>
      <c r="L6111" s="182" t="n">
        <v>12</v>
      </c>
      <c r="M6111" s="182" t="n">
        <v>0</v>
      </c>
      <c r="N6111" s="182" t="n">
        <v>0</v>
      </c>
      <c r="O6111" s="183" t="n">
        <v>0</v>
      </c>
      <c r="P6111" s="183" t="n">
        <v>0</v>
      </c>
      <c r="Q6111" s="184" t="n">
        <v>0</v>
      </c>
      <c r="R6111" s="184" t="n">
        <v>0</v>
      </c>
      <c r="S6111" s="183" t="n">
        <v>0</v>
      </c>
      <c r="T6111" s="183" t="n">
        <v>0</v>
      </c>
      <c r="U6111" s="182" t="n">
        <v>3.92</v>
      </c>
      <c r="V6111" s="182" t="n">
        <v>0</v>
      </c>
      <c r="W6111" s="182" t="n">
        <v>0</v>
      </c>
      <c r="X6111" s="182" t="n">
        <v>1</v>
      </c>
      <c r="Y6111" s="182" t="n">
        <v>0</v>
      </c>
      <c r="Z6111" s="182" t="n">
        <v>0</v>
      </c>
      <c r="AA6111" s="182" t="n">
        <v>0</v>
      </c>
      <c r="AB6111" s="182" t="n">
        <v>0</v>
      </c>
      <c r="AC6111" s="182" t="n">
        <v>0</v>
      </c>
      <c r="AD6111" s="182" t="n">
        <v>0</v>
      </c>
      <c r="AE6111" s="182" t="n">
        <v>0</v>
      </c>
      <c r="AF6111" s="182" t="n">
        <v>0</v>
      </c>
      <c r="AG6111" s="182" t="n">
        <v>0</v>
      </c>
      <c r="AH6111" s="182" t="n">
        <v>0</v>
      </c>
      <c r="AI6111" s="182" t="n">
        <v>0</v>
      </c>
      <c r="AJ6111" s="182" t="n">
        <v>0</v>
      </c>
      <c r="AK6111" s="182" t="n">
        <v>7</v>
      </c>
      <c r="AL6111" s="182" t="n">
        <v>0</v>
      </c>
      <c r="AM6111" s="182" t="n">
        <v>0.08</v>
      </c>
      <c r="AN6111" s="182" t="n">
        <v>0</v>
      </c>
    </row>
    <row r="6112">
      <c r="A6112" s="155" t="n">
        <v>46109</v>
      </c>
      <c r="B6112" s="156" t="inlineStr">
        <is>
          <t>NS</t>
        </is>
      </c>
      <c r="C6112" s="156" t="inlineStr">
        <is>
          <t>DT-808</t>
        </is>
      </c>
      <c r="D6112" s="156" t="inlineStr">
        <is>
          <t>SKT 80S</t>
        </is>
      </c>
      <c r="E6112" s="156" t="inlineStr">
        <is>
          <t>Hauler</t>
        </is>
      </c>
      <c r="F6112" s="156" t="inlineStr"/>
      <c r="G6112" s="182" t="n">
        <v>0</v>
      </c>
      <c r="H6112" s="182" t="n">
        <v>0</v>
      </c>
      <c r="I6112" s="182" t="n">
        <v>0</v>
      </c>
      <c r="J6112" s="182" t="n">
        <v>0</v>
      </c>
      <c r="K6112" s="182" t="n">
        <v>12</v>
      </c>
      <c r="L6112" s="182" t="n">
        <v>12</v>
      </c>
      <c r="M6112" s="182" t="n">
        <v>0</v>
      </c>
      <c r="N6112" s="182" t="n">
        <v>0</v>
      </c>
      <c r="O6112" s="183" t="n">
        <v>0</v>
      </c>
      <c r="P6112" s="183" t="n">
        <v>0</v>
      </c>
      <c r="Q6112" s="184" t="n">
        <v>0</v>
      </c>
      <c r="R6112" s="184" t="n">
        <v>0</v>
      </c>
      <c r="S6112" s="183" t="n">
        <v>0</v>
      </c>
      <c r="T6112" s="183" t="n">
        <v>0</v>
      </c>
      <c r="U6112" s="182" t="n">
        <v>3.92</v>
      </c>
      <c r="V6112" s="182" t="n">
        <v>0</v>
      </c>
      <c r="W6112" s="182" t="n">
        <v>0</v>
      </c>
      <c r="X6112" s="182" t="n">
        <v>1</v>
      </c>
      <c r="Y6112" s="182" t="n">
        <v>0</v>
      </c>
      <c r="Z6112" s="182" t="n">
        <v>0</v>
      </c>
      <c r="AA6112" s="182" t="n">
        <v>0</v>
      </c>
      <c r="AB6112" s="182" t="n">
        <v>0</v>
      </c>
      <c r="AC6112" s="182" t="n">
        <v>0</v>
      </c>
      <c r="AD6112" s="182" t="n">
        <v>0</v>
      </c>
      <c r="AE6112" s="182" t="n">
        <v>0</v>
      </c>
      <c r="AF6112" s="182" t="n">
        <v>0</v>
      </c>
      <c r="AG6112" s="182" t="n">
        <v>0</v>
      </c>
      <c r="AH6112" s="182" t="n">
        <v>0</v>
      </c>
      <c r="AI6112" s="182" t="n">
        <v>0</v>
      </c>
      <c r="AJ6112" s="182" t="n">
        <v>0</v>
      </c>
      <c r="AK6112" s="182" t="n">
        <v>7</v>
      </c>
      <c r="AL6112" s="182" t="n">
        <v>0</v>
      </c>
      <c r="AM6112" s="182" t="n">
        <v>0.08</v>
      </c>
      <c r="AN6112" s="182" t="n">
        <v>0</v>
      </c>
    </row>
    <row r="6113">
      <c r="A6113" s="155" t="n">
        <v>46109</v>
      </c>
      <c r="B6113" s="156" t="inlineStr">
        <is>
          <t>NS</t>
        </is>
      </c>
      <c r="C6113" s="156" t="inlineStr">
        <is>
          <t>DT-811</t>
        </is>
      </c>
      <c r="D6113" s="156" t="inlineStr">
        <is>
          <t>SKT 80S</t>
        </is>
      </c>
      <c r="E6113" s="156" t="inlineStr">
        <is>
          <t>Hauler</t>
        </is>
      </c>
      <c r="F6113" s="156" t="inlineStr"/>
      <c r="G6113" s="182" t="n">
        <v>0</v>
      </c>
      <c r="H6113" s="182" t="n">
        <v>0</v>
      </c>
      <c r="I6113" s="182" t="n">
        <v>0</v>
      </c>
      <c r="J6113" s="182" t="n">
        <v>0</v>
      </c>
      <c r="K6113" s="182" t="n">
        <v>12</v>
      </c>
      <c r="L6113" s="182" t="n">
        <v>12</v>
      </c>
      <c r="M6113" s="182" t="n">
        <v>0</v>
      </c>
      <c r="N6113" s="182" t="n">
        <v>0</v>
      </c>
      <c r="O6113" s="183" t="n">
        <v>0</v>
      </c>
      <c r="P6113" s="183" t="n">
        <v>0</v>
      </c>
      <c r="Q6113" s="184" t="n">
        <v>0</v>
      </c>
      <c r="R6113" s="184" t="n">
        <v>0</v>
      </c>
      <c r="S6113" s="183" t="n">
        <v>0</v>
      </c>
      <c r="T6113" s="183" t="n">
        <v>0</v>
      </c>
      <c r="U6113" s="182" t="n">
        <v>3.92</v>
      </c>
      <c r="V6113" s="182" t="n">
        <v>0</v>
      </c>
      <c r="W6113" s="182" t="n">
        <v>0</v>
      </c>
      <c r="X6113" s="182" t="n">
        <v>1</v>
      </c>
      <c r="Y6113" s="182" t="n">
        <v>0</v>
      </c>
      <c r="Z6113" s="182" t="n">
        <v>0</v>
      </c>
      <c r="AA6113" s="182" t="n">
        <v>0</v>
      </c>
      <c r="AB6113" s="182" t="n">
        <v>0</v>
      </c>
      <c r="AC6113" s="182" t="n">
        <v>0</v>
      </c>
      <c r="AD6113" s="182" t="n">
        <v>0</v>
      </c>
      <c r="AE6113" s="182" t="n">
        <v>0</v>
      </c>
      <c r="AF6113" s="182" t="n">
        <v>0</v>
      </c>
      <c r="AG6113" s="182" t="n">
        <v>0</v>
      </c>
      <c r="AH6113" s="182" t="n">
        <v>0</v>
      </c>
      <c r="AI6113" s="182" t="n">
        <v>0</v>
      </c>
      <c r="AJ6113" s="182" t="n">
        <v>0</v>
      </c>
      <c r="AK6113" s="182" t="n">
        <v>7</v>
      </c>
      <c r="AL6113" s="182" t="n">
        <v>0</v>
      </c>
      <c r="AM6113" s="182" t="n">
        <v>0.08</v>
      </c>
      <c r="AN6113" s="182" t="n">
        <v>0</v>
      </c>
    </row>
    <row r="6114">
      <c r="A6114" s="155" t="n">
        <v>46109</v>
      </c>
      <c r="B6114" s="156" t="inlineStr">
        <is>
          <t>NS</t>
        </is>
      </c>
      <c r="C6114" s="156" t="inlineStr">
        <is>
          <t>DT-802</t>
        </is>
      </c>
      <c r="D6114" s="156" t="inlineStr">
        <is>
          <t>SKT 80S</t>
        </is>
      </c>
      <c r="E6114" s="156" t="inlineStr">
        <is>
          <t>Hauler</t>
        </is>
      </c>
      <c r="F6114" s="156" t="inlineStr"/>
      <c r="G6114" s="182" t="n">
        <v>0</v>
      </c>
      <c r="H6114" s="182" t="n">
        <v>0</v>
      </c>
      <c r="I6114" s="182" t="n">
        <v>0</v>
      </c>
      <c r="J6114" s="182" t="n">
        <v>0</v>
      </c>
      <c r="K6114" s="182" t="n">
        <v>12</v>
      </c>
      <c r="L6114" s="182" t="n">
        <v>12</v>
      </c>
      <c r="M6114" s="182" t="n">
        <v>0</v>
      </c>
      <c r="N6114" s="182" t="n">
        <v>0</v>
      </c>
      <c r="O6114" s="183" t="n">
        <v>0</v>
      </c>
      <c r="P6114" s="183" t="n">
        <v>0</v>
      </c>
      <c r="Q6114" s="184" t="n">
        <v>0</v>
      </c>
      <c r="R6114" s="184" t="n">
        <v>0</v>
      </c>
      <c r="S6114" s="183" t="n">
        <v>0</v>
      </c>
      <c r="T6114" s="183" t="n">
        <v>0</v>
      </c>
      <c r="U6114" s="182" t="n">
        <v>3.92</v>
      </c>
      <c r="V6114" s="182" t="n">
        <v>0</v>
      </c>
      <c r="W6114" s="182" t="n">
        <v>0</v>
      </c>
      <c r="X6114" s="182" t="n">
        <v>1</v>
      </c>
      <c r="Y6114" s="182" t="n">
        <v>0</v>
      </c>
      <c r="Z6114" s="182" t="n">
        <v>0</v>
      </c>
      <c r="AA6114" s="182" t="n">
        <v>0</v>
      </c>
      <c r="AB6114" s="182" t="n">
        <v>0</v>
      </c>
      <c r="AC6114" s="182" t="n">
        <v>0</v>
      </c>
      <c r="AD6114" s="182" t="n">
        <v>0</v>
      </c>
      <c r="AE6114" s="182" t="n">
        <v>0</v>
      </c>
      <c r="AF6114" s="182" t="n">
        <v>0</v>
      </c>
      <c r="AG6114" s="182" t="n">
        <v>0</v>
      </c>
      <c r="AH6114" s="182" t="n">
        <v>0</v>
      </c>
      <c r="AI6114" s="182" t="n">
        <v>0</v>
      </c>
      <c r="AJ6114" s="182" t="n">
        <v>0</v>
      </c>
      <c r="AK6114" s="182" t="n">
        <v>7</v>
      </c>
      <c r="AL6114" s="182" t="n">
        <v>0</v>
      </c>
      <c r="AM6114" s="182" t="n">
        <v>0.08</v>
      </c>
      <c r="AN6114" s="182" t="n">
        <v>0</v>
      </c>
    </row>
    <row r="6115">
      <c r="A6115" s="155" t="n">
        <v>46109</v>
      </c>
      <c r="B6115" s="156" t="inlineStr">
        <is>
          <t>NS</t>
        </is>
      </c>
      <c r="C6115" s="156" t="inlineStr">
        <is>
          <t>DT-807</t>
        </is>
      </c>
      <c r="D6115" s="156" t="inlineStr">
        <is>
          <t>SKT 80S</t>
        </is>
      </c>
      <c r="E6115" s="156" t="inlineStr">
        <is>
          <t>Hauler</t>
        </is>
      </c>
      <c r="F6115" s="156" t="inlineStr"/>
      <c r="G6115" s="182" t="n">
        <v>0</v>
      </c>
      <c r="H6115" s="182" t="n">
        <v>0</v>
      </c>
      <c r="I6115" s="182" t="n">
        <v>0</v>
      </c>
      <c r="J6115" s="182" t="n">
        <v>0</v>
      </c>
      <c r="K6115" s="182" t="n">
        <v>12</v>
      </c>
      <c r="L6115" s="182" t="n">
        <v>12</v>
      </c>
      <c r="M6115" s="182" t="n">
        <v>0</v>
      </c>
      <c r="N6115" s="182" t="n">
        <v>0</v>
      </c>
      <c r="O6115" s="183" t="n">
        <v>0</v>
      </c>
      <c r="P6115" s="183" t="n">
        <v>0</v>
      </c>
      <c r="Q6115" s="184" t="n">
        <v>0</v>
      </c>
      <c r="R6115" s="184" t="n">
        <v>0</v>
      </c>
      <c r="S6115" s="183" t="n">
        <v>0</v>
      </c>
      <c r="T6115" s="183" t="n">
        <v>0</v>
      </c>
      <c r="U6115" s="182" t="n">
        <v>3.92</v>
      </c>
      <c r="V6115" s="182" t="n">
        <v>0</v>
      </c>
      <c r="W6115" s="182" t="n">
        <v>0</v>
      </c>
      <c r="X6115" s="182" t="n">
        <v>1</v>
      </c>
      <c r="Y6115" s="182" t="n">
        <v>0</v>
      </c>
      <c r="Z6115" s="182" t="n">
        <v>0</v>
      </c>
      <c r="AA6115" s="182" t="n">
        <v>0</v>
      </c>
      <c r="AB6115" s="182" t="n">
        <v>0</v>
      </c>
      <c r="AC6115" s="182" t="n">
        <v>0</v>
      </c>
      <c r="AD6115" s="182" t="n">
        <v>0</v>
      </c>
      <c r="AE6115" s="182" t="n">
        <v>0</v>
      </c>
      <c r="AF6115" s="182" t="n">
        <v>0</v>
      </c>
      <c r="AG6115" s="182" t="n">
        <v>0</v>
      </c>
      <c r="AH6115" s="182" t="n">
        <v>0</v>
      </c>
      <c r="AI6115" s="182" t="n">
        <v>0</v>
      </c>
      <c r="AJ6115" s="182" t="n">
        <v>0</v>
      </c>
      <c r="AK6115" s="182" t="n">
        <v>7</v>
      </c>
      <c r="AL6115" s="182" t="n">
        <v>0</v>
      </c>
      <c r="AM6115" s="182" t="n">
        <v>0.08</v>
      </c>
      <c r="AN6115" s="182" t="n">
        <v>0</v>
      </c>
    </row>
    <row r="6116">
      <c r="A6116" s="155" t="n">
        <v>46109</v>
      </c>
      <c r="B6116" s="156" t="inlineStr">
        <is>
          <t>NS</t>
        </is>
      </c>
      <c r="C6116" s="156" t="inlineStr">
        <is>
          <t>DT-812</t>
        </is>
      </c>
      <c r="D6116" s="156" t="inlineStr">
        <is>
          <t>SKT 80S</t>
        </is>
      </c>
      <c r="E6116" s="156" t="inlineStr">
        <is>
          <t>Hauler</t>
        </is>
      </c>
      <c r="F6116" s="156" t="inlineStr">
        <is>
          <t>Hauling Coal</t>
        </is>
      </c>
      <c r="G6116" s="182" t="n">
        <v>5.29</v>
      </c>
      <c r="H6116" s="182" t="n">
        <v>0</v>
      </c>
      <c r="I6116" s="182" t="n">
        <v>0</v>
      </c>
      <c r="J6116" s="182" t="n">
        <v>0</v>
      </c>
      <c r="K6116" s="182" t="n">
        <v>6.71</v>
      </c>
      <c r="L6116" s="182" t="n">
        <v>12</v>
      </c>
      <c r="M6116" s="182" t="n">
        <v>0</v>
      </c>
      <c r="N6116" s="182" t="n">
        <v>5.29</v>
      </c>
      <c r="O6116" s="183" t="n">
        <v>0</v>
      </c>
      <c r="P6116" s="183" t="n">
        <v>18</v>
      </c>
      <c r="Q6116" s="184" t="n">
        <v>0</v>
      </c>
      <c r="R6116" s="184" t="n">
        <v>275.4</v>
      </c>
      <c r="S6116" s="183" t="n">
        <v>0</v>
      </c>
      <c r="T6116" s="183" t="n">
        <v>0</v>
      </c>
      <c r="U6116" s="182" t="n">
        <v>3.99</v>
      </c>
      <c r="V6116" s="182" t="n">
        <v>1.63</v>
      </c>
      <c r="W6116" s="182" t="n">
        <v>0</v>
      </c>
      <c r="X6116" s="182" t="n">
        <v>1.02</v>
      </c>
      <c r="Y6116" s="182" t="n">
        <v>0</v>
      </c>
      <c r="Z6116" s="182" t="n">
        <v>0</v>
      </c>
      <c r="AA6116" s="182" t="n">
        <v>0</v>
      </c>
      <c r="AB6116" s="182" t="n">
        <v>0</v>
      </c>
      <c r="AC6116" s="182" t="n">
        <v>0</v>
      </c>
      <c r="AD6116" s="182" t="n">
        <v>0</v>
      </c>
      <c r="AE6116" s="182" t="n">
        <v>0</v>
      </c>
      <c r="AF6116" s="182" t="n">
        <v>0</v>
      </c>
      <c r="AG6116" s="182" t="n">
        <v>0</v>
      </c>
      <c r="AH6116" s="182" t="n">
        <v>0</v>
      </c>
      <c r="AI6116" s="182" t="n">
        <v>0</v>
      </c>
      <c r="AJ6116" s="182" t="n">
        <v>0</v>
      </c>
      <c r="AK6116" s="182" t="n">
        <v>0</v>
      </c>
      <c r="AL6116" s="182" t="n">
        <v>0</v>
      </c>
      <c r="AM6116" s="182" t="n">
        <v>0.08</v>
      </c>
      <c r="AN6116" s="182" t="n">
        <v>0</v>
      </c>
    </row>
    <row r="6117">
      <c r="A6117" s="155" t="n">
        <v>46109</v>
      </c>
      <c r="B6117" s="156" t="inlineStr">
        <is>
          <t>NS</t>
        </is>
      </c>
      <c r="C6117" s="156" t="inlineStr">
        <is>
          <t>DT-803</t>
        </is>
      </c>
      <c r="D6117" s="156" t="inlineStr">
        <is>
          <t>SKT 80S</t>
        </is>
      </c>
      <c r="E6117" s="156" t="inlineStr">
        <is>
          <t>Hauler</t>
        </is>
      </c>
      <c r="F6117" s="156" t="inlineStr"/>
      <c r="G6117" s="182" t="n">
        <v>0</v>
      </c>
      <c r="H6117" s="182" t="n">
        <v>0</v>
      </c>
      <c r="I6117" s="182" t="n">
        <v>0</v>
      </c>
      <c r="J6117" s="182" t="n">
        <v>0</v>
      </c>
      <c r="K6117" s="182" t="n">
        <v>12</v>
      </c>
      <c r="L6117" s="182" t="n">
        <v>12</v>
      </c>
      <c r="M6117" s="182" t="n">
        <v>0</v>
      </c>
      <c r="N6117" s="182" t="n">
        <v>0</v>
      </c>
      <c r="O6117" s="183" t="n">
        <v>0</v>
      </c>
      <c r="P6117" s="183" t="n">
        <v>0</v>
      </c>
      <c r="Q6117" s="184" t="n">
        <v>0</v>
      </c>
      <c r="R6117" s="184" t="n">
        <v>0</v>
      </c>
      <c r="S6117" s="183" t="n">
        <v>0</v>
      </c>
      <c r="T6117" s="183" t="n">
        <v>0</v>
      </c>
      <c r="U6117" s="182" t="n">
        <v>3.92</v>
      </c>
      <c r="V6117" s="182" t="n">
        <v>0</v>
      </c>
      <c r="W6117" s="182" t="n">
        <v>0</v>
      </c>
      <c r="X6117" s="182" t="n">
        <v>1</v>
      </c>
      <c r="Y6117" s="182" t="n">
        <v>0</v>
      </c>
      <c r="Z6117" s="182" t="n">
        <v>0</v>
      </c>
      <c r="AA6117" s="182" t="n">
        <v>0</v>
      </c>
      <c r="AB6117" s="182" t="n">
        <v>0</v>
      </c>
      <c r="AC6117" s="182" t="n">
        <v>0</v>
      </c>
      <c r="AD6117" s="182" t="n">
        <v>0</v>
      </c>
      <c r="AE6117" s="182" t="n">
        <v>0</v>
      </c>
      <c r="AF6117" s="182" t="n">
        <v>0</v>
      </c>
      <c r="AG6117" s="182" t="n">
        <v>0</v>
      </c>
      <c r="AH6117" s="182" t="n">
        <v>0</v>
      </c>
      <c r="AI6117" s="182" t="n">
        <v>0</v>
      </c>
      <c r="AJ6117" s="182" t="n">
        <v>0</v>
      </c>
      <c r="AK6117" s="182" t="n">
        <v>7</v>
      </c>
      <c r="AL6117" s="182" t="n">
        <v>0</v>
      </c>
      <c r="AM6117" s="182" t="n">
        <v>0.08</v>
      </c>
      <c r="AN6117" s="182" t="n">
        <v>0</v>
      </c>
    </row>
    <row r="6118">
      <c r="A6118" s="155" t="n">
        <v>46109</v>
      </c>
      <c r="B6118" s="156" t="inlineStr">
        <is>
          <t>NS</t>
        </is>
      </c>
      <c r="C6118" s="156" t="inlineStr">
        <is>
          <t>DT-810</t>
        </is>
      </c>
      <c r="D6118" s="156" t="inlineStr">
        <is>
          <t>SKT 80S</t>
        </is>
      </c>
      <c r="E6118" s="156" t="inlineStr">
        <is>
          <t>Hauler</t>
        </is>
      </c>
      <c r="F6118" s="156" t="inlineStr">
        <is>
          <t>Hauling Coal</t>
        </is>
      </c>
      <c r="G6118" s="182" t="n">
        <v>4.55</v>
      </c>
      <c r="H6118" s="182" t="n">
        <v>0</v>
      </c>
      <c r="I6118" s="182" t="n">
        <v>0</v>
      </c>
      <c r="J6118" s="182" t="n">
        <v>0</v>
      </c>
      <c r="K6118" s="182" t="n">
        <v>7.45</v>
      </c>
      <c r="L6118" s="182" t="n">
        <v>12</v>
      </c>
      <c r="M6118" s="182" t="n">
        <v>0</v>
      </c>
      <c r="N6118" s="182" t="n">
        <v>4.55</v>
      </c>
      <c r="O6118" s="183" t="n">
        <v>0</v>
      </c>
      <c r="P6118" s="183" t="n">
        <v>15</v>
      </c>
      <c r="Q6118" s="184" t="n">
        <v>0</v>
      </c>
      <c r="R6118" s="184" t="n">
        <v>229.5</v>
      </c>
      <c r="S6118" s="183" t="n">
        <v>0</v>
      </c>
      <c r="T6118" s="183" t="n">
        <v>0</v>
      </c>
      <c r="U6118" s="182" t="n">
        <v>4</v>
      </c>
      <c r="V6118" s="182" t="n">
        <v>2.35</v>
      </c>
      <c r="W6118" s="182" t="n">
        <v>0</v>
      </c>
      <c r="X6118" s="182" t="n">
        <v>1.02</v>
      </c>
      <c r="Y6118" s="182" t="n">
        <v>0</v>
      </c>
      <c r="Z6118" s="182" t="n">
        <v>0</v>
      </c>
      <c r="AA6118" s="182" t="n">
        <v>0</v>
      </c>
      <c r="AB6118" s="182" t="n">
        <v>0</v>
      </c>
      <c r="AC6118" s="182" t="n">
        <v>0</v>
      </c>
      <c r="AD6118" s="182" t="n">
        <v>0</v>
      </c>
      <c r="AE6118" s="182" t="n">
        <v>0</v>
      </c>
      <c r="AF6118" s="182" t="n">
        <v>0</v>
      </c>
      <c r="AG6118" s="182" t="n">
        <v>0</v>
      </c>
      <c r="AH6118" s="182" t="n">
        <v>0</v>
      </c>
      <c r="AI6118" s="182" t="n">
        <v>0</v>
      </c>
      <c r="AJ6118" s="182" t="n">
        <v>0</v>
      </c>
      <c r="AK6118" s="182" t="n">
        <v>0</v>
      </c>
      <c r="AL6118" s="182" t="n">
        <v>0</v>
      </c>
      <c r="AM6118" s="182" t="n">
        <v>0.08</v>
      </c>
      <c r="AN6118" s="182" t="n">
        <v>0</v>
      </c>
    </row>
    <row r="6119">
      <c r="A6119" s="155" t="n">
        <v>46109</v>
      </c>
      <c r="B6119" s="156" t="inlineStr">
        <is>
          <t>NS</t>
        </is>
      </c>
      <c r="C6119" s="156" t="inlineStr">
        <is>
          <t>DT-804</t>
        </is>
      </c>
      <c r="D6119" s="156" t="inlineStr">
        <is>
          <t>SKT 80S</t>
        </is>
      </c>
      <c r="E6119" s="156" t="inlineStr">
        <is>
          <t>Hauler</t>
        </is>
      </c>
      <c r="F6119" s="156" t="inlineStr"/>
      <c r="G6119" s="182" t="n">
        <v>0</v>
      </c>
      <c r="H6119" s="182" t="n">
        <v>0</v>
      </c>
      <c r="I6119" s="182" t="n">
        <v>0</v>
      </c>
      <c r="J6119" s="182" t="n">
        <v>0</v>
      </c>
      <c r="K6119" s="182" t="n">
        <v>12</v>
      </c>
      <c r="L6119" s="182" t="n">
        <v>12</v>
      </c>
      <c r="M6119" s="182" t="n">
        <v>0</v>
      </c>
      <c r="N6119" s="182" t="n">
        <v>0</v>
      </c>
      <c r="O6119" s="183" t="n">
        <v>0</v>
      </c>
      <c r="P6119" s="183" t="n">
        <v>0</v>
      </c>
      <c r="Q6119" s="184" t="n">
        <v>0</v>
      </c>
      <c r="R6119" s="184" t="n">
        <v>0</v>
      </c>
      <c r="S6119" s="183" t="n">
        <v>0</v>
      </c>
      <c r="T6119" s="183" t="n">
        <v>0</v>
      </c>
      <c r="U6119" s="182" t="n">
        <v>3.92</v>
      </c>
      <c r="V6119" s="182" t="n">
        <v>0</v>
      </c>
      <c r="W6119" s="182" t="n">
        <v>0</v>
      </c>
      <c r="X6119" s="182" t="n">
        <v>1</v>
      </c>
      <c r="Y6119" s="182" t="n">
        <v>0</v>
      </c>
      <c r="Z6119" s="182" t="n">
        <v>0</v>
      </c>
      <c r="AA6119" s="182" t="n">
        <v>0</v>
      </c>
      <c r="AB6119" s="182" t="n">
        <v>0</v>
      </c>
      <c r="AC6119" s="182" t="n">
        <v>0</v>
      </c>
      <c r="AD6119" s="182" t="n">
        <v>0</v>
      </c>
      <c r="AE6119" s="182" t="n">
        <v>0</v>
      </c>
      <c r="AF6119" s="182" t="n">
        <v>0</v>
      </c>
      <c r="AG6119" s="182" t="n">
        <v>0</v>
      </c>
      <c r="AH6119" s="182" t="n">
        <v>0</v>
      </c>
      <c r="AI6119" s="182" t="n">
        <v>0</v>
      </c>
      <c r="AJ6119" s="182" t="n">
        <v>0</v>
      </c>
      <c r="AK6119" s="182" t="n">
        <v>7</v>
      </c>
      <c r="AL6119" s="182" t="n">
        <v>0</v>
      </c>
      <c r="AM6119" s="182" t="n">
        <v>0.08</v>
      </c>
      <c r="AN6119" s="182" t="n">
        <v>0</v>
      </c>
    </row>
    <row r="6120">
      <c r="A6120" s="155" t="n">
        <v>46109</v>
      </c>
      <c r="B6120" s="156" t="inlineStr">
        <is>
          <t>NS</t>
        </is>
      </c>
      <c r="C6120" s="156" t="inlineStr">
        <is>
          <t>DT-505</t>
        </is>
      </c>
      <c r="D6120" s="156" t="inlineStr">
        <is>
          <t>SKT 105S</t>
        </is>
      </c>
      <c r="E6120" s="156" t="inlineStr">
        <is>
          <t>Hauler</t>
        </is>
      </c>
      <c r="F6120" s="156" t="inlineStr"/>
      <c r="G6120" s="182" t="n">
        <v>0</v>
      </c>
      <c r="H6120" s="182" t="n">
        <v>0</v>
      </c>
      <c r="I6120" s="182" t="n">
        <v>2.5</v>
      </c>
      <c r="J6120" s="182" t="n">
        <v>2.5</v>
      </c>
      <c r="K6120" s="182" t="n">
        <v>9.5</v>
      </c>
      <c r="L6120" s="182" t="n">
        <v>12</v>
      </c>
      <c r="M6120" s="182" t="n">
        <v>0</v>
      </c>
      <c r="N6120" s="182" t="n">
        <v>0</v>
      </c>
      <c r="O6120" s="183" t="n">
        <v>0</v>
      </c>
      <c r="P6120" s="183" t="n">
        <v>0</v>
      </c>
      <c r="Q6120" s="184" t="n">
        <v>0</v>
      </c>
      <c r="R6120" s="184" t="n">
        <v>0</v>
      </c>
      <c r="S6120" s="183" t="n">
        <v>0</v>
      </c>
      <c r="T6120" s="183" t="n">
        <v>0</v>
      </c>
      <c r="U6120" s="182" t="n">
        <v>3.92</v>
      </c>
      <c r="V6120" s="182" t="n">
        <v>0</v>
      </c>
      <c r="W6120" s="182" t="n">
        <v>0</v>
      </c>
      <c r="X6120" s="182" t="n">
        <v>1</v>
      </c>
      <c r="Y6120" s="182" t="n">
        <v>0</v>
      </c>
      <c r="Z6120" s="182" t="n">
        <v>0</v>
      </c>
      <c r="AA6120" s="182" t="n">
        <v>0</v>
      </c>
      <c r="AB6120" s="182" t="n">
        <v>0</v>
      </c>
      <c r="AC6120" s="182" t="n">
        <v>0</v>
      </c>
      <c r="AD6120" s="182" t="n">
        <v>4.5</v>
      </c>
      <c r="AE6120" s="182" t="n">
        <v>0</v>
      </c>
      <c r="AF6120" s="182" t="n">
        <v>0</v>
      </c>
      <c r="AG6120" s="182" t="n">
        <v>0</v>
      </c>
      <c r="AH6120" s="182" t="n">
        <v>0</v>
      </c>
      <c r="AI6120" s="182" t="n">
        <v>0</v>
      </c>
      <c r="AJ6120" s="182" t="n">
        <v>0</v>
      </c>
      <c r="AK6120" s="182" t="n">
        <v>0</v>
      </c>
      <c r="AL6120" s="182" t="n">
        <v>0</v>
      </c>
      <c r="AM6120" s="182" t="n">
        <v>0.08</v>
      </c>
      <c r="AN6120" s="182" t="n">
        <v>0</v>
      </c>
    </row>
    <row r="6121">
      <c r="A6121" s="155" t="n">
        <v>46109</v>
      </c>
      <c r="B6121" s="156" t="inlineStr">
        <is>
          <t>NS</t>
        </is>
      </c>
      <c r="C6121" s="156" t="inlineStr">
        <is>
          <t>DT-530</t>
        </is>
      </c>
      <c r="D6121" s="156" t="inlineStr">
        <is>
          <t>SKT 105S</t>
        </is>
      </c>
      <c r="E6121" s="156" t="inlineStr">
        <is>
          <t>Hauler</t>
        </is>
      </c>
      <c r="F6121" s="156" t="inlineStr"/>
      <c r="G6121" s="182" t="n">
        <v>0</v>
      </c>
      <c r="H6121" s="182" t="n">
        <v>0</v>
      </c>
      <c r="I6121" s="182" t="n">
        <v>12</v>
      </c>
      <c r="J6121" s="182" t="n">
        <v>12</v>
      </c>
      <c r="K6121" s="182" t="n">
        <v>0</v>
      </c>
      <c r="L6121" s="182" t="n">
        <v>12</v>
      </c>
      <c r="M6121" s="182" t="n">
        <v>0</v>
      </c>
      <c r="N6121" s="182" t="n">
        <v>0</v>
      </c>
      <c r="O6121" s="183" t="n">
        <v>0</v>
      </c>
      <c r="P6121" s="183" t="n">
        <v>0</v>
      </c>
      <c r="Q6121" s="184" t="n">
        <v>0</v>
      </c>
      <c r="R6121" s="184" t="n">
        <v>0</v>
      </c>
      <c r="S6121" s="183" t="n">
        <v>0</v>
      </c>
      <c r="T6121" s="183" t="n">
        <v>0</v>
      </c>
      <c r="U6121" s="182" t="n">
        <v>0</v>
      </c>
      <c r="V6121" s="182" t="n">
        <v>0</v>
      </c>
      <c r="W6121" s="182" t="n">
        <v>0</v>
      </c>
      <c r="X6121" s="182" t="n">
        <v>0</v>
      </c>
      <c r="Y6121" s="182" t="n">
        <v>0</v>
      </c>
      <c r="Z6121" s="182" t="n">
        <v>0</v>
      </c>
      <c r="AA6121" s="182" t="n">
        <v>0</v>
      </c>
      <c r="AB6121" s="182" t="n">
        <v>0</v>
      </c>
      <c r="AC6121" s="182" t="n">
        <v>0</v>
      </c>
      <c r="AD6121" s="182" t="n">
        <v>0</v>
      </c>
      <c r="AE6121" s="182" t="n">
        <v>0</v>
      </c>
      <c r="AF6121" s="182" t="n">
        <v>0</v>
      </c>
      <c r="AG6121" s="182" t="n">
        <v>0</v>
      </c>
      <c r="AH6121" s="182" t="n">
        <v>0</v>
      </c>
      <c r="AI6121" s="182" t="n">
        <v>0</v>
      </c>
      <c r="AJ6121" s="182" t="n">
        <v>0</v>
      </c>
      <c r="AK6121" s="182" t="n">
        <v>0</v>
      </c>
      <c r="AL6121" s="182" t="n">
        <v>0</v>
      </c>
      <c r="AM6121" s="182" t="n">
        <v>0</v>
      </c>
      <c r="AN6121" s="182" t="n">
        <v>0</v>
      </c>
    </row>
    <row r="6122">
      <c r="A6122" s="155" t="n">
        <v>46109</v>
      </c>
      <c r="B6122" s="156" t="inlineStr">
        <is>
          <t>NS</t>
        </is>
      </c>
      <c r="C6122" s="156" t="inlineStr">
        <is>
          <t>DT-525</t>
        </is>
      </c>
      <c r="D6122" s="156" t="inlineStr">
        <is>
          <t>SKT 105S</t>
        </is>
      </c>
      <c r="E6122" s="156" t="inlineStr">
        <is>
          <t>Hauler</t>
        </is>
      </c>
      <c r="F6122" s="156" t="inlineStr"/>
      <c r="G6122" s="182" t="n">
        <v>0</v>
      </c>
      <c r="H6122" s="182" t="n">
        <v>0</v>
      </c>
      <c r="I6122" s="182" t="n">
        <v>12</v>
      </c>
      <c r="J6122" s="182" t="n">
        <v>12</v>
      </c>
      <c r="K6122" s="182" t="n">
        <v>0</v>
      </c>
      <c r="L6122" s="182" t="n">
        <v>12</v>
      </c>
      <c r="M6122" s="182" t="n">
        <v>0</v>
      </c>
      <c r="N6122" s="182" t="n">
        <v>0</v>
      </c>
      <c r="O6122" s="183" t="n">
        <v>0</v>
      </c>
      <c r="P6122" s="183" t="n">
        <v>0</v>
      </c>
      <c r="Q6122" s="184" t="n">
        <v>0</v>
      </c>
      <c r="R6122" s="184" t="n">
        <v>0</v>
      </c>
      <c r="S6122" s="183" t="n">
        <v>0</v>
      </c>
      <c r="T6122" s="183" t="n">
        <v>0</v>
      </c>
      <c r="U6122" s="182" t="n">
        <v>0</v>
      </c>
      <c r="V6122" s="182" t="n">
        <v>0</v>
      </c>
      <c r="W6122" s="182" t="n">
        <v>0</v>
      </c>
      <c r="X6122" s="182" t="n">
        <v>0</v>
      </c>
      <c r="Y6122" s="182" t="n">
        <v>0</v>
      </c>
      <c r="Z6122" s="182" t="n">
        <v>0</v>
      </c>
      <c r="AA6122" s="182" t="n">
        <v>0</v>
      </c>
      <c r="AB6122" s="182" t="n">
        <v>0</v>
      </c>
      <c r="AC6122" s="182" t="n">
        <v>0</v>
      </c>
      <c r="AD6122" s="182" t="n">
        <v>0</v>
      </c>
      <c r="AE6122" s="182" t="n">
        <v>0</v>
      </c>
      <c r="AF6122" s="182" t="n">
        <v>0</v>
      </c>
      <c r="AG6122" s="182" t="n">
        <v>0</v>
      </c>
      <c r="AH6122" s="182" t="n">
        <v>0</v>
      </c>
      <c r="AI6122" s="182" t="n">
        <v>0</v>
      </c>
      <c r="AJ6122" s="182" t="n">
        <v>0</v>
      </c>
      <c r="AK6122" s="182" t="n">
        <v>0</v>
      </c>
      <c r="AL6122" s="182" t="n">
        <v>0</v>
      </c>
      <c r="AM6122" s="182" t="n">
        <v>0</v>
      </c>
      <c r="AN6122" s="182" t="n">
        <v>0</v>
      </c>
    </row>
    <row r="6123">
      <c r="A6123" s="155" t="n">
        <v>46109</v>
      </c>
      <c r="B6123" s="156" t="inlineStr">
        <is>
          <t>NS</t>
        </is>
      </c>
      <c r="C6123" s="156" t="inlineStr">
        <is>
          <t>DT-503</t>
        </is>
      </c>
      <c r="D6123" s="156" t="inlineStr">
        <is>
          <t>SKT 105S</t>
        </is>
      </c>
      <c r="E6123" s="156" t="inlineStr">
        <is>
          <t>Hauler</t>
        </is>
      </c>
      <c r="F6123" s="156" t="inlineStr">
        <is>
          <t>Hauling OB</t>
        </is>
      </c>
      <c r="G6123" s="182" t="n">
        <v>6.56</v>
      </c>
      <c r="H6123" s="182" t="n">
        <v>0</v>
      </c>
      <c r="I6123" s="182" t="n">
        <v>0</v>
      </c>
      <c r="J6123" s="182" t="n">
        <v>0</v>
      </c>
      <c r="K6123" s="182" t="n">
        <v>5.44</v>
      </c>
      <c r="L6123" s="182" t="n">
        <v>12</v>
      </c>
      <c r="M6123" s="182" t="n">
        <v>6.56</v>
      </c>
      <c r="N6123" s="182" t="n">
        <v>0</v>
      </c>
      <c r="O6123" s="183" t="n">
        <v>29</v>
      </c>
      <c r="P6123" s="183" t="n">
        <v>0</v>
      </c>
      <c r="Q6123" s="184" t="n">
        <v>591.6</v>
      </c>
      <c r="R6123" s="184" t="n">
        <v>0</v>
      </c>
      <c r="S6123" s="183" t="n">
        <v>0</v>
      </c>
      <c r="T6123" s="183" t="n">
        <v>0</v>
      </c>
      <c r="U6123" s="182" t="n">
        <v>3</v>
      </c>
      <c r="V6123" s="182" t="n">
        <v>1.43</v>
      </c>
      <c r="W6123" s="182" t="n">
        <v>0</v>
      </c>
      <c r="X6123" s="182" t="n">
        <v>0.9399999999999999</v>
      </c>
      <c r="Y6123" s="182" t="n">
        <v>0</v>
      </c>
      <c r="Z6123" s="182" t="n">
        <v>0</v>
      </c>
      <c r="AA6123" s="182" t="n">
        <v>0</v>
      </c>
      <c r="AB6123" s="182" t="n">
        <v>0</v>
      </c>
      <c r="AC6123" s="182" t="n">
        <v>0</v>
      </c>
      <c r="AD6123" s="182" t="n">
        <v>0</v>
      </c>
      <c r="AE6123" s="182" t="n">
        <v>0</v>
      </c>
      <c r="AF6123" s="182" t="n">
        <v>0</v>
      </c>
      <c r="AG6123" s="182" t="n">
        <v>0</v>
      </c>
      <c r="AH6123" s="182" t="n">
        <v>0</v>
      </c>
      <c r="AI6123" s="182" t="n">
        <v>0</v>
      </c>
      <c r="AJ6123" s="182" t="n">
        <v>0</v>
      </c>
      <c r="AK6123" s="182" t="n">
        <v>0</v>
      </c>
      <c r="AL6123" s="182" t="n">
        <v>0</v>
      </c>
      <c r="AM6123" s="182" t="n">
        <v>0.08</v>
      </c>
      <c r="AN6123" s="182" t="n">
        <v>0</v>
      </c>
    </row>
    <row r="6124">
      <c r="A6124" s="155" t="n">
        <v>46109</v>
      </c>
      <c r="B6124" s="156" t="inlineStr">
        <is>
          <t>NS</t>
        </is>
      </c>
      <c r="C6124" s="156" t="inlineStr">
        <is>
          <t>DT-504</t>
        </is>
      </c>
      <c r="D6124" s="156" t="inlineStr">
        <is>
          <t>SKT 105S</t>
        </is>
      </c>
      <c r="E6124" s="156" t="inlineStr">
        <is>
          <t>Hauler</t>
        </is>
      </c>
      <c r="F6124" s="156" t="inlineStr"/>
      <c r="G6124" s="182" t="n">
        <v>0</v>
      </c>
      <c r="H6124" s="182" t="n">
        <v>0</v>
      </c>
      <c r="I6124" s="182" t="n">
        <v>2.17</v>
      </c>
      <c r="J6124" s="182" t="n">
        <v>2.17</v>
      </c>
      <c r="K6124" s="182" t="n">
        <v>9.83</v>
      </c>
      <c r="L6124" s="182" t="n">
        <v>12</v>
      </c>
      <c r="M6124" s="182" t="n">
        <v>0</v>
      </c>
      <c r="N6124" s="182" t="n">
        <v>0</v>
      </c>
      <c r="O6124" s="183" t="n">
        <v>0</v>
      </c>
      <c r="P6124" s="183" t="n">
        <v>0</v>
      </c>
      <c r="Q6124" s="184" t="n">
        <v>0</v>
      </c>
      <c r="R6124" s="184" t="n">
        <v>0</v>
      </c>
      <c r="S6124" s="183" t="n">
        <v>0</v>
      </c>
      <c r="T6124" s="183" t="n">
        <v>0</v>
      </c>
      <c r="U6124" s="182" t="n">
        <v>3.92</v>
      </c>
      <c r="V6124" s="182" t="n">
        <v>0</v>
      </c>
      <c r="W6124" s="182" t="n">
        <v>0</v>
      </c>
      <c r="X6124" s="182" t="n">
        <v>1</v>
      </c>
      <c r="Y6124" s="182" t="n">
        <v>0</v>
      </c>
      <c r="Z6124" s="182" t="n">
        <v>0</v>
      </c>
      <c r="AA6124" s="182" t="n">
        <v>0</v>
      </c>
      <c r="AB6124" s="182" t="n">
        <v>0</v>
      </c>
      <c r="AC6124" s="182" t="n">
        <v>0</v>
      </c>
      <c r="AD6124" s="182" t="n">
        <v>4.83</v>
      </c>
      <c r="AE6124" s="182" t="n">
        <v>0</v>
      </c>
      <c r="AF6124" s="182" t="n">
        <v>0</v>
      </c>
      <c r="AG6124" s="182" t="n">
        <v>0</v>
      </c>
      <c r="AH6124" s="182" t="n">
        <v>0</v>
      </c>
      <c r="AI6124" s="182" t="n">
        <v>0</v>
      </c>
      <c r="AJ6124" s="182" t="n">
        <v>0</v>
      </c>
      <c r="AK6124" s="182" t="n">
        <v>0</v>
      </c>
      <c r="AL6124" s="182" t="n">
        <v>0</v>
      </c>
      <c r="AM6124" s="182" t="n">
        <v>0.08</v>
      </c>
      <c r="AN6124" s="182" t="n">
        <v>0</v>
      </c>
    </row>
    <row r="6125">
      <c r="A6125" s="155" t="n">
        <v>46109</v>
      </c>
      <c r="B6125" s="156" t="inlineStr">
        <is>
          <t>NS</t>
        </is>
      </c>
      <c r="C6125" s="156" t="inlineStr">
        <is>
          <t>DT-507</t>
        </is>
      </c>
      <c r="D6125" s="156" t="inlineStr">
        <is>
          <t>SKT 105S</t>
        </is>
      </c>
      <c r="E6125" s="156" t="inlineStr">
        <is>
          <t>Hauler</t>
        </is>
      </c>
      <c r="F6125" s="156" t="inlineStr"/>
      <c r="G6125" s="182" t="n">
        <v>0</v>
      </c>
      <c r="H6125" s="182" t="n">
        <v>0</v>
      </c>
      <c r="I6125" s="182" t="n">
        <v>12</v>
      </c>
      <c r="J6125" s="182" t="n">
        <v>12</v>
      </c>
      <c r="K6125" s="182" t="n">
        <v>0</v>
      </c>
      <c r="L6125" s="182" t="n">
        <v>12</v>
      </c>
      <c r="M6125" s="182" t="n">
        <v>0</v>
      </c>
      <c r="N6125" s="182" t="n">
        <v>0</v>
      </c>
      <c r="O6125" s="183" t="n">
        <v>0</v>
      </c>
      <c r="P6125" s="183" t="n">
        <v>0</v>
      </c>
      <c r="Q6125" s="184" t="n">
        <v>0</v>
      </c>
      <c r="R6125" s="184" t="n">
        <v>0</v>
      </c>
      <c r="S6125" s="183" t="n">
        <v>0</v>
      </c>
      <c r="T6125" s="183" t="n">
        <v>0</v>
      </c>
      <c r="U6125" s="182" t="n">
        <v>0</v>
      </c>
      <c r="V6125" s="182" t="n">
        <v>0</v>
      </c>
      <c r="W6125" s="182" t="n">
        <v>0</v>
      </c>
      <c r="X6125" s="182" t="n">
        <v>0</v>
      </c>
      <c r="Y6125" s="182" t="n">
        <v>0</v>
      </c>
      <c r="Z6125" s="182" t="n">
        <v>0</v>
      </c>
      <c r="AA6125" s="182" t="n">
        <v>0</v>
      </c>
      <c r="AB6125" s="182" t="n">
        <v>0</v>
      </c>
      <c r="AC6125" s="182" t="n">
        <v>0</v>
      </c>
      <c r="AD6125" s="182" t="n">
        <v>0</v>
      </c>
      <c r="AE6125" s="182" t="n">
        <v>0</v>
      </c>
      <c r="AF6125" s="182" t="n">
        <v>0</v>
      </c>
      <c r="AG6125" s="182" t="n">
        <v>0</v>
      </c>
      <c r="AH6125" s="182" t="n">
        <v>0</v>
      </c>
      <c r="AI6125" s="182" t="n">
        <v>0</v>
      </c>
      <c r="AJ6125" s="182" t="n">
        <v>0</v>
      </c>
      <c r="AK6125" s="182" t="n">
        <v>0</v>
      </c>
      <c r="AL6125" s="182" t="n">
        <v>0</v>
      </c>
      <c r="AM6125" s="182" t="n">
        <v>0</v>
      </c>
      <c r="AN6125" s="182" t="n">
        <v>0</v>
      </c>
    </row>
    <row r="6126">
      <c r="A6126" s="155" t="n">
        <v>46109</v>
      </c>
      <c r="B6126" s="156" t="inlineStr">
        <is>
          <t>NS</t>
        </is>
      </c>
      <c r="C6126" s="156" t="inlineStr">
        <is>
          <t>DT-501</t>
        </is>
      </c>
      <c r="D6126" s="156" t="inlineStr">
        <is>
          <t>SKT 105S</t>
        </is>
      </c>
      <c r="E6126" s="156" t="inlineStr">
        <is>
          <t>Hauler</t>
        </is>
      </c>
      <c r="F6126" s="156" t="inlineStr">
        <is>
          <t>Hauling OB</t>
        </is>
      </c>
      <c r="G6126" s="182" t="n">
        <v>6.39</v>
      </c>
      <c r="H6126" s="182" t="n">
        <v>0</v>
      </c>
      <c r="I6126" s="182" t="n">
        <v>0</v>
      </c>
      <c r="J6126" s="182" t="n">
        <v>0</v>
      </c>
      <c r="K6126" s="182" t="n">
        <v>5.61</v>
      </c>
      <c r="L6126" s="182" t="n">
        <v>12</v>
      </c>
      <c r="M6126" s="182" t="n">
        <v>6.39</v>
      </c>
      <c r="N6126" s="182" t="n">
        <v>0</v>
      </c>
      <c r="O6126" s="183" t="n">
        <v>24</v>
      </c>
      <c r="P6126" s="183" t="n">
        <v>0</v>
      </c>
      <c r="Q6126" s="184" t="n">
        <v>489.6</v>
      </c>
      <c r="R6126" s="184" t="n">
        <v>0</v>
      </c>
      <c r="S6126" s="183" t="n">
        <v>0</v>
      </c>
      <c r="T6126" s="183" t="n">
        <v>0</v>
      </c>
      <c r="U6126" s="182" t="n">
        <v>4</v>
      </c>
      <c r="V6126" s="182" t="n">
        <v>0.51</v>
      </c>
      <c r="W6126" s="182" t="n">
        <v>0</v>
      </c>
      <c r="X6126" s="182" t="n">
        <v>1.02</v>
      </c>
      <c r="Y6126" s="182" t="n">
        <v>0</v>
      </c>
      <c r="Z6126" s="182" t="n">
        <v>0</v>
      </c>
      <c r="AA6126" s="182" t="n">
        <v>0</v>
      </c>
      <c r="AB6126" s="182" t="n">
        <v>0</v>
      </c>
      <c r="AC6126" s="182" t="n">
        <v>0</v>
      </c>
      <c r="AD6126" s="182" t="n">
        <v>0</v>
      </c>
      <c r="AE6126" s="182" t="n">
        <v>0</v>
      </c>
      <c r="AF6126" s="182" t="n">
        <v>0</v>
      </c>
      <c r="AG6126" s="182" t="n">
        <v>0</v>
      </c>
      <c r="AH6126" s="182" t="n">
        <v>0</v>
      </c>
      <c r="AI6126" s="182" t="n">
        <v>0</v>
      </c>
      <c r="AJ6126" s="182" t="n">
        <v>0</v>
      </c>
      <c r="AK6126" s="182" t="n">
        <v>0</v>
      </c>
      <c r="AL6126" s="182" t="n">
        <v>0</v>
      </c>
      <c r="AM6126" s="182" t="n">
        <v>0.08</v>
      </c>
      <c r="AN6126" s="182" t="n">
        <v>0</v>
      </c>
    </row>
    <row r="6127">
      <c r="A6127" s="155" t="n">
        <v>46109</v>
      </c>
      <c r="B6127" s="156" t="inlineStr">
        <is>
          <t>NS</t>
        </is>
      </c>
      <c r="C6127" s="156" t="inlineStr">
        <is>
          <t>DT-518</t>
        </is>
      </c>
      <c r="D6127" s="156" t="inlineStr">
        <is>
          <t>SKT 105S</t>
        </is>
      </c>
      <c r="E6127" s="156" t="inlineStr">
        <is>
          <t>Hauler</t>
        </is>
      </c>
      <c r="F6127" s="156" t="inlineStr"/>
      <c r="G6127" s="182" t="n">
        <v>0</v>
      </c>
      <c r="H6127" s="182" t="n">
        <v>0</v>
      </c>
      <c r="I6127" s="182" t="n">
        <v>12</v>
      </c>
      <c r="J6127" s="182" t="n">
        <v>12</v>
      </c>
      <c r="K6127" s="182" t="n">
        <v>0</v>
      </c>
      <c r="L6127" s="182" t="n">
        <v>12</v>
      </c>
      <c r="M6127" s="182" t="n">
        <v>0</v>
      </c>
      <c r="N6127" s="182" t="n">
        <v>0</v>
      </c>
      <c r="O6127" s="183" t="n">
        <v>0</v>
      </c>
      <c r="P6127" s="183" t="n">
        <v>0</v>
      </c>
      <c r="Q6127" s="184" t="n">
        <v>0</v>
      </c>
      <c r="R6127" s="184" t="n">
        <v>0</v>
      </c>
      <c r="S6127" s="183" t="n">
        <v>0</v>
      </c>
      <c r="T6127" s="183" t="n">
        <v>0</v>
      </c>
      <c r="U6127" s="182" t="n">
        <v>0</v>
      </c>
      <c r="V6127" s="182" t="n">
        <v>0</v>
      </c>
      <c r="W6127" s="182" t="n">
        <v>0</v>
      </c>
      <c r="X6127" s="182" t="n">
        <v>0</v>
      </c>
      <c r="Y6127" s="182" t="n">
        <v>0</v>
      </c>
      <c r="Z6127" s="182" t="n">
        <v>0</v>
      </c>
      <c r="AA6127" s="182" t="n">
        <v>0</v>
      </c>
      <c r="AB6127" s="182" t="n">
        <v>0</v>
      </c>
      <c r="AC6127" s="182" t="n">
        <v>0</v>
      </c>
      <c r="AD6127" s="182" t="n">
        <v>0</v>
      </c>
      <c r="AE6127" s="182" t="n">
        <v>0</v>
      </c>
      <c r="AF6127" s="182" t="n">
        <v>0</v>
      </c>
      <c r="AG6127" s="182" t="n">
        <v>0</v>
      </c>
      <c r="AH6127" s="182" t="n">
        <v>0</v>
      </c>
      <c r="AI6127" s="182" t="n">
        <v>0</v>
      </c>
      <c r="AJ6127" s="182" t="n">
        <v>0</v>
      </c>
      <c r="AK6127" s="182" t="n">
        <v>0</v>
      </c>
      <c r="AL6127" s="182" t="n">
        <v>0</v>
      </c>
      <c r="AM6127" s="182" t="n">
        <v>0</v>
      </c>
      <c r="AN6127" s="182" t="n">
        <v>0</v>
      </c>
    </row>
    <row r="6128">
      <c r="A6128" s="155" t="n">
        <v>46109</v>
      </c>
      <c r="B6128" s="156" t="inlineStr">
        <is>
          <t>NS</t>
        </is>
      </c>
      <c r="C6128" s="156" t="inlineStr">
        <is>
          <t>DT-514</t>
        </is>
      </c>
      <c r="D6128" s="156" t="inlineStr">
        <is>
          <t>SKT 105S</t>
        </is>
      </c>
      <c r="E6128" s="156" t="inlineStr">
        <is>
          <t>Hauler</t>
        </is>
      </c>
      <c r="F6128" s="156" t="inlineStr"/>
      <c r="G6128" s="182" t="n">
        <v>0</v>
      </c>
      <c r="H6128" s="182" t="n">
        <v>0</v>
      </c>
      <c r="I6128" s="182" t="n">
        <v>12</v>
      </c>
      <c r="J6128" s="182" t="n">
        <v>12</v>
      </c>
      <c r="K6128" s="182" t="n">
        <v>0</v>
      </c>
      <c r="L6128" s="182" t="n">
        <v>12</v>
      </c>
      <c r="M6128" s="182" t="n">
        <v>0</v>
      </c>
      <c r="N6128" s="182" t="n">
        <v>0</v>
      </c>
      <c r="O6128" s="183" t="n">
        <v>0</v>
      </c>
      <c r="P6128" s="183" t="n">
        <v>0</v>
      </c>
      <c r="Q6128" s="184" t="n">
        <v>0</v>
      </c>
      <c r="R6128" s="184" t="n">
        <v>0</v>
      </c>
      <c r="S6128" s="183" t="n">
        <v>0</v>
      </c>
      <c r="T6128" s="183" t="n">
        <v>0</v>
      </c>
      <c r="U6128" s="182" t="n">
        <v>0</v>
      </c>
      <c r="V6128" s="182" t="n">
        <v>0</v>
      </c>
      <c r="W6128" s="182" t="n">
        <v>0</v>
      </c>
      <c r="X6128" s="182" t="n">
        <v>0</v>
      </c>
      <c r="Y6128" s="182" t="n">
        <v>0</v>
      </c>
      <c r="Z6128" s="182" t="n">
        <v>0</v>
      </c>
      <c r="AA6128" s="182" t="n">
        <v>0</v>
      </c>
      <c r="AB6128" s="182" t="n">
        <v>0</v>
      </c>
      <c r="AC6128" s="182" t="n">
        <v>0</v>
      </c>
      <c r="AD6128" s="182" t="n">
        <v>0</v>
      </c>
      <c r="AE6128" s="182" t="n">
        <v>0</v>
      </c>
      <c r="AF6128" s="182" t="n">
        <v>0</v>
      </c>
      <c r="AG6128" s="182" t="n">
        <v>0</v>
      </c>
      <c r="AH6128" s="182" t="n">
        <v>0</v>
      </c>
      <c r="AI6128" s="182" t="n">
        <v>0</v>
      </c>
      <c r="AJ6128" s="182" t="n">
        <v>0</v>
      </c>
      <c r="AK6128" s="182" t="n">
        <v>0</v>
      </c>
      <c r="AL6128" s="182" t="n">
        <v>0</v>
      </c>
      <c r="AM6128" s="182" t="n">
        <v>0</v>
      </c>
      <c r="AN6128" s="182" t="n">
        <v>0</v>
      </c>
    </row>
    <row r="6129">
      <c r="A6129" s="155" t="n">
        <v>46109</v>
      </c>
      <c r="B6129" s="156" t="inlineStr">
        <is>
          <t>NS</t>
        </is>
      </c>
      <c r="C6129" s="156" t="inlineStr">
        <is>
          <t>DT-523</t>
        </is>
      </c>
      <c r="D6129" s="156" t="inlineStr">
        <is>
          <t>SKT 105S</t>
        </is>
      </c>
      <c r="E6129" s="156" t="inlineStr">
        <is>
          <t>Hauler</t>
        </is>
      </c>
      <c r="F6129" s="156" t="inlineStr">
        <is>
          <t>Hauling OB</t>
        </is>
      </c>
      <c r="G6129" s="182" t="n">
        <v>6.22</v>
      </c>
      <c r="H6129" s="182" t="n">
        <v>0</v>
      </c>
      <c r="I6129" s="182" t="n">
        <v>0</v>
      </c>
      <c r="J6129" s="182" t="n">
        <v>0</v>
      </c>
      <c r="K6129" s="182" t="n">
        <v>5.78</v>
      </c>
      <c r="L6129" s="182" t="n">
        <v>12</v>
      </c>
      <c r="M6129" s="182" t="n">
        <v>6.22</v>
      </c>
      <c r="N6129" s="182" t="n">
        <v>0</v>
      </c>
      <c r="O6129" s="183" t="n">
        <v>22</v>
      </c>
      <c r="P6129" s="183" t="n">
        <v>0</v>
      </c>
      <c r="Q6129" s="184" t="n">
        <v>448.8</v>
      </c>
      <c r="R6129" s="184" t="n">
        <v>0</v>
      </c>
      <c r="S6129" s="183" t="n">
        <v>0</v>
      </c>
      <c r="T6129" s="183" t="n">
        <v>0</v>
      </c>
      <c r="U6129" s="182" t="n">
        <v>4.05</v>
      </c>
      <c r="V6129" s="182" t="n">
        <v>0.62</v>
      </c>
      <c r="W6129" s="182" t="n">
        <v>0</v>
      </c>
      <c r="X6129" s="182" t="n">
        <v>1.03</v>
      </c>
      <c r="Y6129" s="182" t="n">
        <v>0</v>
      </c>
      <c r="Z6129" s="182" t="n">
        <v>0</v>
      </c>
      <c r="AA6129" s="182" t="n">
        <v>0</v>
      </c>
      <c r="AB6129" s="182" t="n">
        <v>0</v>
      </c>
      <c r="AC6129" s="182" t="n">
        <v>0</v>
      </c>
      <c r="AD6129" s="182" t="n">
        <v>0</v>
      </c>
      <c r="AE6129" s="182" t="n">
        <v>0</v>
      </c>
      <c r="AF6129" s="182" t="n">
        <v>0</v>
      </c>
      <c r="AG6129" s="182" t="n">
        <v>0</v>
      </c>
      <c r="AH6129" s="182" t="n">
        <v>0</v>
      </c>
      <c r="AI6129" s="182" t="n">
        <v>0</v>
      </c>
      <c r="AJ6129" s="182" t="n">
        <v>0</v>
      </c>
      <c r="AK6129" s="182" t="n">
        <v>0</v>
      </c>
      <c r="AL6129" s="182" t="n">
        <v>0</v>
      </c>
      <c r="AM6129" s="182" t="n">
        <v>0.08</v>
      </c>
      <c r="AN6129" s="182" t="n">
        <v>0</v>
      </c>
    </row>
    <row r="6130">
      <c r="A6130" s="155" t="n">
        <v>46109</v>
      </c>
      <c r="B6130" s="156" t="inlineStr">
        <is>
          <t>NS</t>
        </is>
      </c>
      <c r="C6130" s="156" t="inlineStr">
        <is>
          <t>DT-519</t>
        </is>
      </c>
      <c r="D6130" s="156" t="inlineStr">
        <is>
          <t>SKT 105S</t>
        </is>
      </c>
      <c r="E6130" s="156" t="inlineStr">
        <is>
          <t>Hauler</t>
        </is>
      </c>
      <c r="F6130" s="156" t="inlineStr"/>
      <c r="G6130" s="182" t="n">
        <v>0</v>
      </c>
      <c r="H6130" s="182" t="n">
        <v>0</v>
      </c>
      <c r="I6130" s="182" t="n">
        <v>0</v>
      </c>
      <c r="J6130" s="182" t="n">
        <v>0</v>
      </c>
      <c r="K6130" s="182" t="n">
        <v>12</v>
      </c>
      <c r="L6130" s="182" t="n">
        <v>12</v>
      </c>
      <c r="M6130" s="182" t="n">
        <v>0</v>
      </c>
      <c r="N6130" s="182" t="n">
        <v>0</v>
      </c>
      <c r="O6130" s="183" t="n">
        <v>0</v>
      </c>
      <c r="P6130" s="183" t="n">
        <v>0</v>
      </c>
      <c r="Q6130" s="184" t="n">
        <v>0</v>
      </c>
      <c r="R6130" s="184" t="n">
        <v>0</v>
      </c>
      <c r="S6130" s="183" t="n">
        <v>0</v>
      </c>
      <c r="T6130" s="183" t="n">
        <v>0</v>
      </c>
      <c r="U6130" s="182" t="n">
        <v>3.92</v>
      </c>
      <c r="V6130" s="182" t="n">
        <v>0</v>
      </c>
      <c r="W6130" s="182" t="n">
        <v>0</v>
      </c>
      <c r="X6130" s="182" t="n">
        <v>1</v>
      </c>
      <c r="Y6130" s="182" t="n">
        <v>0</v>
      </c>
      <c r="Z6130" s="182" t="n">
        <v>0</v>
      </c>
      <c r="AA6130" s="182" t="n">
        <v>0</v>
      </c>
      <c r="AB6130" s="182" t="n">
        <v>0</v>
      </c>
      <c r="AC6130" s="182" t="n">
        <v>0</v>
      </c>
      <c r="AD6130" s="182" t="n">
        <v>0</v>
      </c>
      <c r="AE6130" s="182" t="n">
        <v>7</v>
      </c>
      <c r="AF6130" s="182" t="n">
        <v>0</v>
      </c>
      <c r="AG6130" s="182" t="n">
        <v>0</v>
      </c>
      <c r="AH6130" s="182" t="n">
        <v>0</v>
      </c>
      <c r="AI6130" s="182" t="n">
        <v>0</v>
      </c>
      <c r="AJ6130" s="182" t="n">
        <v>0</v>
      </c>
      <c r="AK6130" s="182" t="n">
        <v>0</v>
      </c>
      <c r="AL6130" s="182" t="n">
        <v>0</v>
      </c>
      <c r="AM6130" s="182" t="n">
        <v>0.08</v>
      </c>
      <c r="AN6130" s="182" t="n">
        <v>0</v>
      </c>
    </row>
    <row r="6131">
      <c r="A6131" s="155" t="n">
        <v>46109</v>
      </c>
      <c r="B6131" s="156" t="inlineStr">
        <is>
          <t>NS</t>
        </is>
      </c>
      <c r="C6131" s="156" t="inlineStr">
        <is>
          <t>DT-527</t>
        </is>
      </c>
      <c r="D6131" s="156" t="inlineStr">
        <is>
          <t>SKT 105S</t>
        </is>
      </c>
      <c r="E6131" s="156" t="inlineStr">
        <is>
          <t>Hauler</t>
        </is>
      </c>
      <c r="F6131" s="156" t="inlineStr">
        <is>
          <t>Hauling OB</t>
        </is>
      </c>
      <c r="G6131" s="182" t="n">
        <v>3.95</v>
      </c>
      <c r="H6131" s="182" t="n">
        <v>0</v>
      </c>
      <c r="I6131" s="182" t="n">
        <v>0</v>
      </c>
      <c r="J6131" s="182" t="n">
        <v>0</v>
      </c>
      <c r="K6131" s="182" t="n">
        <v>8.050000000000001</v>
      </c>
      <c r="L6131" s="182" t="n">
        <v>12</v>
      </c>
      <c r="M6131" s="182" t="n">
        <v>3.95</v>
      </c>
      <c r="N6131" s="182" t="n">
        <v>0</v>
      </c>
      <c r="O6131" s="183" t="n">
        <v>15</v>
      </c>
      <c r="P6131" s="183" t="n">
        <v>0</v>
      </c>
      <c r="Q6131" s="184" t="n">
        <v>306</v>
      </c>
      <c r="R6131" s="184" t="n">
        <v>0</v>
      </c>
      <c r="S6131" s="183" t="n">
        <v>0</v>
      </c>
      <c r="T6131" s="183" t="n">
        <v>0</v>
      </c>
      <c r="U6131" s="182" t="n">
        <v>3.99</v>
      </c>
      <c r="V6131" s="182" t="n">
        <v>1.45</v>
      </c>
      <c r="W6131" s="182" t="n">
        <v>0</v>
      </c>
      <c r="X6131" s="182" t="n">
        <v>1.02</v>
      </c>
      <c r="Y6131" s="182" t="n">
        <v>0</v>
      </c>
      <c r="Z6131" s="182" t="n">
        <v>0</v>
      </c>
      <c r="AA6131" s="182" t="n">
        <v>0</v>
      </c>
      <c r="AB6131" s="182" t="n">
        <v>0</v>
      </c>
      <c r="AC6131" s="182" t="n">
        <v>0</v>
      </c>
      <c r="AD6131" s="182" t="n">
        <v>1.51</v>
      </c>
      <c r="AE6131" s="182" t="n">
        <v>0</v>
      </c>
      <c r="AF6131" s="182" t="n">
        <v>0</v>
      </c>
      <c r="AG6131" s="182" t="n">
        <v>0</v>
      </c>
      <c r="AH6131" s="182" t="n">
        <v>0</v>
      </c>
      <c r="AI6131" s="182" t="n">
        <v>0</v>
      </c>
      <c r="AJ6131" s="182" t="n">
        <v>0</v>
      </c>
      <c r="AK6131" s="182" t="n">
        <v>0</v>
      </c>
      <c r="AL6131" s="182" t="n">
        <v>0</v>
      </c>
      <c r="AM6131" s="182" t="n">
        <v>0.08</v>
      </c>
      <c r="AN6131" s="182" t="n">
        <v>0</v>
      </c>
    </row>
    <row r="6132">
      <c r="A6132" s="155" t="n">
        <v>46109</v>
      </c>
      <c r="B6132" s="156" t="inlineStr">
        <is>
          <t>NS</t>
        </is>
      </c>
      <c r="C6132" s="156" t="inlineStr">
        <is>
          <t>DT-513</t>
        </is>
      </c>
      <c r="D6132" s="156" t="inlineStr">
        <is>
          <t>SKT 105S</t>
        </is>
      </c>
      <c r="E6132" s="156" t="inlineStr">
        <is>
          <t>Hauler</t>
        </is>
      </c>
      <c r="F6132" s="156" t="inlineStr"/>
      <c r="G6132" s="182" t="n">
        <v>0</v>
      </c>
      <c r="H6132" s="182" t="n">
        <v>0</v>
      </c>
      <c r="I6132" s="182" t="n">
        <v>0</v>
      </c>
      <c r="J6132" s="182" t="n">
        <v>0</v>
      </c>
      <c r="K6132" s="182" t="n">
        <v>12</v>
      </c>
      <c r="L6132" s="182" t="n">
        <v>12</v>
      </c>
      <c r="M6132" s="182" t="n">
        <v>0</v>
      </c>
      <c r="N6132" s="182" t="n">
        <v>0</v>
      </c>
      <c r="O6132" s="183" t="n">
        <v>0</v>
      </c>
      <c r="P6132" s="183" t="n">
        <v>0</v>
      </c>
      <c r="Q6132" s="184" t="n">
        <v>0</v>
      </c>
      <c r="R6132" s="184" t="n">
        <v>0</v>
      </c>
      <c r="S6132" s="183" t="n">
        <v>0</v>
      </c>
      <c r="T6132" s="183" t="n">
        <v>0</v>
      </c>
      <c r="U6132" s="182" t="n">
        <v>3.92</v>
      </c>
      <c r="V6132" s="182" t="n">
        <v>0</v>
      </c>
      <c r="W6132" s="182" t="n">
        <v>0</v>
      </c>
      <c r="X6132" s="182" t="n">
        <v>1</v>
      </c>
      <c r="Y6132" s="182" t="n">
        <v>0</v>
      </c>
      <c r="Z6132" s="182" t="n">
        <v>0</v>
      </c>
      <c r="AA6132" s="182" t="n">
        <v>0</v>
      </c>
      <c r="AB6132" s="182" t="n">
        <v>0</v>
      </c>
      <c r="AC6132" s="182" t="n">
        <v>0</v>
      </c>
      <c r="AD6132" s="182" t="n">
        <v>0</v>
      </c>
      <c r="AE6132" s="182" t="n">
        <v>7</v>
      </c>
      <c r="AF6132" s="182" t="n">
        <v>0</v>
      </c>
      <c r="AG6132" s="182" t="n">
        <v>0</v>
      </c>
      <c r="AH6132" s="182" t="n">
        <v>0</v>
      </c>
      <c r="AI6132" s="182" t="n">
        <v>0</v>
      </c>
      <c r="AJ6132" s="182" t="n">
        <v>0</v>
      </c>
      <c r="AK6132" s="182" t="n">
        <v>0</v>
      </c>
      <c r="AL6132" s="182" t="n">
        <v>0</v>
      </c>
      <c r="AM6132" s="182" t="n">
        <v>0.08</v>
      </c>
      <c r="AN6132" s="182" t="n">
        <v>0</v>
      </c>
    </row>
    <row r="6133">
      <c r="A6133" s="155" t="n">
        <v>46109</v>
      </c>
      <c r="B6133" s="156" t="inlineStr">
        <is>
          <t>NS</t>
        </is>
      </c>
      <c r="C6133" s="156" t="inlineStr">
        <is>
          <t>DT-512</t>
        </is>
      </c>
      <c r="D6133" s="156" t="inlineStr">
        <is>
          <t>SKT 105S</t>
        </is>
      </c>
      <c r="E6133" s="156" t="inlineStr">
        <is>
          <t>Hauler</t>
        </is>
      </c>
      <c r="F6133" s="156" t="inlineStr">
        <is>
          <t>Hauling Coal</t>
        </is>
      </c>
      <c r="G6133" s="182" t="n">
        <v>2.05</v>
      </c>
      <c r="H6133" s="182" t="n">
        <v>0</v>
      </c>
      <c r="I6133" s="182" t="n">
        <v>0</v>
      </c>
      <c r="J6133" s="182" t="n">
        <v>0</v>
      </c>
      <c r="K6133" s="182" t="n">
        <v>9.949999999999999</v>
      </c>
      <c r="L6133" s="182" t="n">
        <v>12</v>
      </c>
      <c r="M6133" s="182" t="n">
        <v>0</v>
      </c>
      <c r="N6133" s="182" t="n">
        <v>2.05</v>
      </c>
      <c r="O6133" s="183" t="n">
        <v>0</v>
      </c>
      <c r="P6133" s="183" t="n">
        <v>3</v>
      </c>
      <c r="Q6133" s="184" t="n">
        <v>0</v>
      </c>
      <c r="R6133" s="184" t="n">
        <v>56.1</v>
      </c>
      <c r="S6133" s="183" t="n">
        <v>0</v>
      </c>
      <c r="T6133" s="183" t="n">
        <v>0</v>
      </c>
      <c r="U6133" s="182" t="n">
        <v>3.9</v>
      </c>
      <c r="V6133" s="182" t="n">
        <v>1.41</v>
      </c>
      <c r="W6133" s="182" t="n">
        <v>0</v>
      </c>
      <c r="X6133" s="182" t="n">
        <v>0.99</v>
      </c>
      <c r="Y6133" s="182" t="n">
        <v>0</v>
      </c>
      <c r="Z6133" s="182" t="n">
        <v>0</v>
      </c>
      <c r="AA6133" s="182" t="n">
        <v>0</v>
      </c>
      <c r="AB6133" s="182" t="n">
        <v>0</v>
      </c>
      <c r="AC6133" s="182" t="n">
        <v>0</v>
      </c>
      <c r="AD6133" s="182" t="n">
        <v>3.56</v>
      </c>
      <c r="AE6133" s="182" t="n">
        <v>0</v>
      </c>
      <c r="AF6133" s="182" t="n">
        <v>0</v>
      </c>
      <c r="AG6133" s="182" t="n">
        <v>0</v>
      </c>
      <c r="AH6133" s="182" t="n">
        <v>0</v>
      </c>
      <c r="AI6133" s="182" t="n">
        <v>0</v>
      </c>
      <c r="AJ6133" s="182" t="n">
        <v>0</v>
      </c>
      <c r="AK6133" s="182" t="n">
        <v>0</v>
      </c>
      <c r="AL6133" s="182" t="n">
        <v>0</v>
      </c>
      <c r="AM6133" s="182" t="n">
        <v>0.08</v>
      </c>
      <c r="AN6133" s="182" t="n">
        <v>0</v>
      </c>
    </row>
    <row r="6134">
      <c r="A6134" s="155" t="n">
        <v>46109</v>
      </c>
      <c r="B6134" s="156" t="inlineStr">
        <is>
          <t>NS</t>
        </is>
      </c>
      <c r="C6134" s="156" t="inlineStr">
        <is>
          <t>DT-522</t>
        </is>
      </c>
      <c r="D6134" s="156" t="inlineStr">
        <is>
          <t>SKT 105S</t>
        </is>
      </c>
      <c r="E6134" s="156" t="inlineStr">
        <is>
          <t>Hauler</t>
        </is>
      </c>
      <c r="F6134" s="156" t="inlineStr">
        <is>
          <t>Hauling Coal</t>
        </is>
      </c>
      <c r="G6134" s="182" t="n">
        <v>4.41</v>
      </c>
      <c r="H6134" s="182" t="n">
        <v>0</v>
      </c>
      <c r="I6134" s="182" t="n">
        <v>0</v>
      </c>
      <c r="J6134" s="182" t="n">
        <v>0</v>
      </c>
      <c r="K6134" s="182" t="n">
        <v>7.59</v>
      </c>
      <c r="L6134" s="182" t="n">
        <v>12</v>
      </c>
      <c r="M6134" s="182" t="n">
        <v>0</v>
      </c>
      <c r="N6134" s="182" t="n">
        <v>4.41</v>
      </c>
      <c r="O6134" s="183" t="n">
        <v>0</v>
      </c>
      <c r="P6134" s="183" t="n">
        <v>14</v>
      </c>
      <c r="Q6134" s="184" t="n">
        <v>0</v>
      </c>
      <c r="R6134" s="184" t="n">
        <v>261.8</v>
      </c>
      <c r="S6134" s="183" t="n">
        <v>0</v>
      </c>
      <c r="T6134" s="183" t="n">
        <v>0</v>
      </c>
      <c r="U6134" s="182" t="n">
        <v>3.97</v>
      </c>
      <c r="V6134" s="182" t="n">
        <v>0</v>
      </c>
      <c r="W6134" s="182" t="n">
        <v>0</v>
      </c>
      <c r="X6134" s="182" t="n">
        <v>1.01</v>
      </c>
      <c r="Y6134" s="182" t="n">
        <v>0</v>
      </c>
      <c r="Z6134" s="182" t="n">
        <v>0</v>
      </c>
      <c r="AA6134" s="182" t="n">
        <v>0</v>
      </c>
      <c r="AB6134" s="182" t="n">
        <v>0</v>
      </c>
      <c r="AC6134" s="182" t="n">
        <v>0</v>
      </c>
      <c r="AD6134" s="182" t="n">
        <v>2.53</v>
      </c>
      <c r="AE6134" s="182" t="n">
        <v>0</v>
      </c>
      <c r="AF6134" s="182" t="n">
        <v>0</v>
      </c>
      <c r="AG6134" s="182" t="n">
        <v>0</v>
      </c>
      <c r="AH6134" s="182" t="n">
        <v>0</v>
      </c>
      <c r="AI6134" s="182" t="n">
        <v>0</v>
      </c>
      <c r="AJ6134" s="182" t="n">
        <v>0</v>
      </c>
      <c r="AK6134" s="182" t="n">
        <v>0</v>
      </c>
      <c r="AL6134" s="182" t="n">
        <v>0</v>
      </c>
      <c r="AM6134" s="182" t="n">
        <v>0.08</v>
      </c>
      <c r="AN6134" s="182" t="n">
        <v>0</v>
      </c>
    </row>
    <row r="6135">
      <c r="A6135" s="155" t="n">
        <v>46109</v>
      </c>
      <c r="B6135" s="156" t="inlineStr">
        <is>
          <t>NS</t>
        </is>
      </c>
      <c r="C6135" s="156" t="inlineStr">
        <is>
          <t>DT-517</t>
        </is>
      </c>
      <c r="D6135" s="156" t="inlineStr">
        <is>
          <t>SKT 105S</t>
        </is>
      </c>
      <c r="E6135" s="156" t="inlineStr">
        <is>
          <t>Hauler</t>
        </is>
      </c>
      <c r="F6135" s="156" t="inlineStr">
        <is>
          <t>Hauling OB</t>
        </is>
      </c>
      <c r="G6135" s="182" t="n">
        <v>4.27</v>
      </c>
      <c r="H6135" s="182" t="n">
        <v>0</v>
      </c>
      <c r="I6135" s="182" t="n">
        <v>0</v>
      </c>
      <c r="J6135" s="182" t="n">
        <v>0</v>
      </c>
      <c r="K6135" s="182" t="n">
        <v>7.73</v>
      </c>
      <c r="L6135" s="182" t="n">
        <v>12</v>
      </c>
      <c r="M6135" s="182" t="n">
        <v>4.27</v>
      </c>
      <c r="N6135" s="182" t="n">
        <v>0</v>
      </c>
      <c r="O6135" s="183" t="n">
        <v>12</v>
      </c>
      <c r="P6135" s="183" t="n">
        <v>0</v>
      </c>
      <c r="Q6135" s="184" t="n">
        <v>244.8</v>
      </c>
      <c r="R6135" s="184" t="n">
        <v>0</v>
      </c>
      <c r="S6135" s="183" t="n">
        <v>0</v>
      </c>
      <c r="T6135" s="183" t="n">
        <v>0</v>
      </c>
      <c r="U6135" s="182" t="n">
        <v>4.04</v>
      </c>
      <c r="V6135" s="182" t="n">
        <v>1.46</v>
      </c>
      <c r="W6135" s="182" t="n">
        <v>0</v>
      </c>
      <c r="X6135" s="182" t="n">
        <v>1.03</v>
      </c>
      <c r="Y6135" s="182" t="n">
        <v>0</v>
      </c>
      <c r="Z6135" s="182" t="n">
        <v>0</v>
      </c>
      <c r="AA6135" s="182" t="n">
        <v>0</v>
      </c>
      <c r="AB6135" s="182" t="n">
        <v>0</v>
      </c>
      <c r="AC6135" s="182" t="n">
        <v>0</v>
      </c>
      <c r="AD6135" s="182" t="n">
        <v>1.11</v>
      </c>
      <c r="AE6135" s="182" t="n">
        <v>0</v>
      </c>
      <c r="AF6135" s="182" t="n">
        <v>0</v>
      </c>
      <c r="AG6135" s="182" t="n">
        <v>0</v>
      </c>
      <c r="AH6135" s="182" t="n">
        <v>0</v>
      </c>
      <c r="AI6135" s="182" t="n">
        <v>0</v>
      </c>
      <c r="AJ6135" s="182" t="n">
        <v>0</v>
      </c>
      <c r="AK6135" s="182" t="n">
        <v>0</v>
      </c>
      <c r="AL6135" s="182" t="n">
        <v>0</v>
      </c>
      <c r="AM6135" s="182" t="n">
        <v>0.08</v>
      </c>
      <c r="AN6135" s="182" t="n">
        <v>0</v>
      </c>
    </row>
    <row r="6136">
      <c r="A6136" s="155" t="n">
        <v>46109</v>
      </c>
      <c r="B6136" s="156" t="inlineStr">
        <is>
          <t>NS</t>
        </is>
      </c>
      <c r="C6136" s="156" t="inlineStr">
        <is>
          <t>DT-510</t>
        </is>
      </c>
      <c r="D6136" s="156" t="inlineStr">
        <is>
          <t>SKT 105S</t>
        </is>
      </c>
      <c r="E6136" s="156" t="inlineStr">
        <is>
          <t>Hauler</t>
        </is>
      </c>
      <c r="F6136" s="156" t="inlineStr">
        <is>
          <t>Hauling OB</t>
        </is>
      </c>
      <c r="G6136" s="182" t="n">
        <v>5.63</v>
      </c>
      <c r="H6136" s="182" t="n">
        <v>0</v>
      </c>
      <c r="I6136" s="182" t="n">
        <v>0</v>
      </c>
      <c r="J6136" s="182" t="n">
        <v>0</v>
      </c>
      <c r="K6136" s="182" t="n">
        <v>6.37</v>
      </c>
      <c r="L6136" s="182" t="n">
        <v>12</v>
      </c>
      <c r="M6136" s="182" t="n">
        <v>5.63</v>
      </c>
      <c r="N6136" s="182" t="n">
        <v>0</v>
      </c>
      <c r="O6136" s="183" t="n">
        <v>18</v>
      </c>
      <c r="P6136" s="183" t="n">
        <v>0</v>
      </c>
      <c r="Q6136" s="184" t="n">
        <v>367.2</v>
      </c>
      <c r="R6136" s="184" t="n">
        <v>0</v>
      </c>
      <c r="S6136" s="183" t="n">
        <v>0</v>
      </c>
      <c r="T6136" s="183" t="n">
        <v>0</v>
      </c>
      <c r="U6136" s="182" t="n">
        <v>3.78</v>
      </c>
      <c r="V6136" s="182" t="n">
        <v>1.37</v>
      </c>
      <c r="W6136" s="182" t="n">
        <v>0</v>
      </c>
      <c r="X6136" s="182" t="n">
        <v>0.97</v>
      </c>
      <c r="Y6136" s="182" t="n">
        <v>0</v>
      </c>
      <c r="Z6136" s="182" t="n">
        <v>0</v>
      </c>
      <c r="AA6136" s="182" t="n">
        <v>0</v>
      </c>
      <c r="AB6136" s="182" t="n">
        <v>0</v>
      </c>
      <c r="AC6136" s="182" t="n">
        <v>0</v>
      </c>
      <c r="AD6136" s="182" t="n">
        <v>0</v>
      </c>
      <c r="AE6136" s="182" t="n">
        <v>0</v>
      </c>
      <c r="AF6136" s="182" t="n">
        <v>0</v>
      </c>
      <c r="AG6136" s="182" t="n">
        <v>0</v>
      </c>
      <c r="AH6136" s="182" t="n">
        <v>0.17</v>
      </c>
      <c r="AI6136" s="182" t="n">
        <v>0</v>
      </c>
      <c r="AJ6136" s="182" t="n">
        <v>0</v>
      </c>
      <c r="AK6136" s="182" t="n">
        <v>0</v>
      </c>
      <c r="AL6136" s="182" t="n">
        <v>0</v>
      </c>
      <c r="AM6136" s="182" t="n">
        <v>0.08</v>
      </c>
      <c r="AN6136" s="182" t="n">
        <v>0</v>
      </c>
    </row>
    <row r="6137">
      <c r="A6137" s="155" t="n">
        <v>46109</v>
      </c>
      <c r="B6137" s="156" t="inlineStr">
        <is>
          <t>NS</t>
        </is>
      </c>
      <c r="C6137" s="156" t="inlineStr">
        <is>
          <t>DT-521</t>
        </is>
      </c>
      <c r="D6137" s="156" t="inlineStr">
        <is>
          <t>SKT 105S</t>
        </is>
      </c>
      <c r="E6137" s="156" t="inlineStr">
        <is>
          <t>Hauler</t>
        </is>
      </c>
      <c r="F6137" s="156" t="inlineStr">
        <is>
          <t>Hauling OB</t>
        </is>
      </c>
      <c r="G6137" s="182" t="n">
        <v>4.1</v>
      </c>
      <c r="H6137" s="182" t="n">
        <v>0</v>
      </c>
      <c r="I6137" s="182" t="n">
        <v>0</v>
      </c>
      <c r="J6137" s="182" t="n">
        <v>0</v>
      </c>
      <c r="K6137" s="182" t="n">
        <v>7.9</v>
      </c>
      <c r="L6137" s="182" t="n">
        <v>12</v>
      </c>
      <c r="M6137" s="182" t="n">
        <v>4.1</v>
      </c>
      <c r="N6137" s="182" t="n">
        <v>0</v>
      </c>
      <c r="O6137" s="183" t="n">
        <v>13</v>
      </c>
      <c r="P6137" s="183" t="n">
        <v>0</v>
      </c>
      <c r="Q6137" s="184" t="n">
        <v>265.2</v>
      </c>
      <c r="R6137" s="184" t="n">
        <v>0</v>
      </c>
      <c r="S6137" s="183" t="n">
        <v>0</v>
      </c>
      <c r="T6137" s="183" t="n">
        <v>0</v>
      </c>
      <c r="U6137" s="182" t="n">
        <v>4.24</v>
      </c>
      <c r="V6137" s="182" t="n">
        <v>1.54</v>
      </c>
      <c r="W6137" s="182" t="n">
        <v>0</v>
      </c>
      <c r="X6137" s="182" t="n">
        <v>1.08</v>
      </c>
      <c r="Y6137" s="182" t="n">
        <v>0</v>
      </c>
      <c r="Z6137" s="182" t="n">
        <v>0</v>
      </c>
      <c r="AA6137" s="182" t="n">
        <v>0</v>
      </c>
      <c r="AB6137" s="182" t="n">
        <v>0</v>
      </c>
      <c r="AC6137" s="182" t="n">
        <v>0</v>
      </c>
      <c r="AD6137" s="182" t="n">
        <v>0</v>
      </c>
      <c r="AE6137" s="182" t="n">
        <v>0</v>
      </c>
      <c r="AF6137" s="182" t="n">
        <v>0</v>
      </c>
      <c r="AG6137" s="182" t="n">
        <v>0</v>
      </c>
      <c r="AH6137" s="182" t="n">
        <v>0.95</v>
      </c>
      <c r="AI6137" s="182" t="n">
        <v>0</v>
      </c>
      <c r="AJ6137" s="182" t="n">
        <v>0</v>
      </c>
      <c r="AK6137" s="182" t="n">
        <v>0</v>
      </c>
      <c r="AL6137" s="182" t="n">
        <v>0</v>
      </c>
      <c r="AM6137" s="182" t="n">
        <v>0.09</v>
      </c>
      <c r="AN6137" s="182" t="n">
        <v>0</v>
      </c>
    </row>
    <row r="6138">
      <c r="A6138" s="155" t="n">
        <v>46109</v>
      </c>
      <c r="B6138" s="156" t="inlineStr">
        <is>
          <t>NS</t>
        </is>
      </c>
      <c r="C6138" s="156" t="inlineStr">
        <is>
          <t>DT-516</t>
        </is>
      </c>
      <c r="D6138" s="156" t="inlineStr">
        <is>
          <t>SKT 105S</t>
        </is>
      </c>
      <c r="E6138" s="156" t="inlineStr">
        <is>
          <t>Hauler</t>
        </is>
      </c>
      <c r="F6138" s="156" t="inlineStr"/>
      <c r="G6138" s="182" t="n">
        <v>0</v>
      </c>
      <c r="H6138" s="182" t="n">
        <v>0</v>
      </c>
      <c r="I6138" s="182" t="n">
        <v>12</v>
      </c>
      <c r="J6138" s="182" t="n">
        <v>12</v>
      </c>
      <c r="K6138" s="182" t="n">
        <v>0</v>
      </c>
      <c r="L6138" s="182" t="n">
        <v>12</v>
      </c>
      <c r="M6138" s="182" t="n">
        <v>0</v>
      </c>
      <c r="N6138" s="182" t="n">
        <v>0</v>
      </c>
      <c r="O6138" s="183" t="n">
        <v>0</v>
      </c>
      <c r="P6138" s="183" t="n">
        <v>0</v>
      </c>
      <c r="Q6138" s="184" t="n">
        <v>0</v>
      </c>
      <c r="R6138" s="184" t="n">
        <v>0</v>
      </c>
      <c r="S6138" s="183" t="n">
        <v>0</v>
      </c>
      <c r="T6138" s="183" t="n">
        <v>0</v>
      </c>
      <c r="U6138" s="182" t="n">
        <v>0</v>
      </c>
      <c r="V6138" s="182" t="n">
        <v>0</v>
      </c>
      <c r="W6138" s="182" t="n">
        <v>0</v>
      </c>
      <c r="X6138" s="182" t="n">
        <v>0</v>
      </c>
      <c r="Y6138" s="182" t="n">
        <v>0</v>
      </c>
      <c r="Z6138" s="182" t="n">
        <v>0</v>
      </c>
      <c r="AA6138" s="182" t="n">
        <v>0</v>
      </c>
      <c r="AB6138" s="182" t="n">
        <v>0</v>
      </c>
      <c r="AC6138" s="182" t="n">
        <v>0</v>
      </c>
      <c r="AD6138" s="182" t="n">
        <v>0</v>
      </c>
      <c r="AE6138" s="182" t="n">
        <v>0</v>
      </c>
      <c r="AF6138" s="182" t="n">
        <v>0</v>
      </c>
      <c r="AG6138" s="182" t="n">
        <v>0</v>
      </c>
      <c r="AH6138" s="182" t="n">
        <v>0</v>
      </c>
      <c r="AI6138" s="182" t="n">
        <v>0</v>
      </c>
      <c r="AJ6138" s="182" t="n">
        <v>0</v>
      </c>
      <c r="AK6138" s="182" t="n">
        <v>0</v>
      </c>
      <c r="AL6138" s="182" t="n">
        <v>0</v>
      </c>
      <c r="AM6138" s="182" t="n">
        <v>0</v>
      </c>
      <c r="AN6138" s="182" t="n">
        <v>0</v>
      </c>
    </row>
    <row r="6139">
      <c r="A6139" s="155" t="n">
        <v>46109</v>
      </c>
      <c r="B6139" s="156" t="inlineStr">
        <is>
          <t>NS</t>
        </is>
      </c>
      <c r="C6139" s="156" t="inlineStr">
        <is>
          <t>DT-506</t>
        </is>
      </c>
      <c r="D6139" s="156" t="inlineStr">
        <is>
          <t>SKT 105S</t>
        </is>
      </c>
      <c r="E6139" s="156" t="inlineStr">
        <is>
          <t>Hauler</t>
        </is>
      </c>
      <c r="F6139" s="156" t="inlineStr">
        <is>
          <t>Hauling OB</t>
        </is>
      </c>
      <c r="G6139" s="182" t="n">
        <v>4.83</v>
      </c>
      <c r="H6139" s="182" t="n">
        <v>0</v>
      </c>
      <c r="I6139" s="182" t="n">
        <v>0</v>
      </c>
      <c r="J6139" s="182" t="n">
        <v>0</v>
      </c>
      <c r="K6139" s="182" t="n">
        <v>7.17</v>
      </c>
      <c r="L6139" s="182" t="n">
        <v>12</v>
      </c>
      <c r="M6139" s="182" t="n">
        <v>4.83</v>
      </c>
      <c r="N6139" s="182" t="n">
        <v>0</v>
      </c>
      <c r="O6139" s="183" t="n">
        <v>14</v>
      </c>
      <c r="P6139" s="183" t="n">
        <v>0</v>
      </c>
      <c r="Q6139" s="184" t="n">
        <v>285.6</v>
      </c>
      <c r="R6139" s="184" t="n">
        <v>0</v>
      </c>
      <c r="S6139" s="183" t="n">
        <v>0</v>
      </c>
      <c r="T6139" s="183" t="n">
        <v>0</v>
      </c>
      <c r="U6139" s="182" t="n">
        <v>3.85</v>
      </c>
      <c r="V6139" s="182" t="n">
        <v>1.39</v>
      </c>
      <c r="W6139" s="182" t="n">
        <v>0</v>
      </c>
      <c r="X6139" s="182" t="n">
        <v>0.98</v>
      </c>
      <c r="Y6139" s="182" t="n">
        <v>0</v>
      </c>
      <c r="Z6139" s="182" t="n">
        <v>0</v>
      </c>
      <c r="AA6139" s="182" t="n">
        <v>0</v>
      </c>
      <c r="AB6139" s="182" t="n">
        <v>0</v>
      </c>
      <c r="AC6139" s="182" t="n">
        <v>0</v>
      </c>
      <c r="AD6139" s="182" t="n">
        <v>0</v>
      </c>
      <c r="AE6139" s="182" t="n">
        <v>0</v>
      </c>
      <c r="AF6139" s="182" t="n">
        <v>0</v>
      </c>
      <c r="AG6139" s="182" t="n">
        <v>0</v>
      </c>
      <c r="AH6139" s="182" t="n">
        <v>0.86</v>
      </c>
      <c r="AI6139" s="182" t="n">
        <v>0</v>
      </c>
      <c r="AJ6139" s="182" t="n">
        <v>0</v>
      </c>
      <c r="AK6139" s="182" t="n">
        <v>0</v>
      </c>
      <c r="AL6139" s="182" t="n">
        <v>0</v>
      </c>
      <c r="AM6139" s="182" t="n">
        <v>0.08</v>
      </c>
      <c r="AN6139" s="182" t="n">
        <v>0</v>
      </c>
    </row>
    <row r="6140">
      <c r="A6140" s="155" t="n">
        <v>46109</v>
      </c>
      <c r="B6140" s="156" t="inlineStr">
        <is>
          <t>NS</t>
        </is>
      </c>
      <c r="C6140" s="156" t="inlineStr">
        <is>
          <t>DT-502</t>
        </is>
      </c>
      <c r="D6140" s="156" t="inlineStr">
        <is>
          <t>SKT 105S</t>
        </is>
      </c>
      <c r="E6140" s="156" t="inlineStr">
        <is>
          <t>Hauler</t>
        </is>
      </c>
      <c r="F6140" s="156" t="inlineStr">
        <is>
          <t>Hauling OB</t>
        </is>
      </c>
      <c r="G6140" s="182" t="n">
        <v>5.96</v>
      </c>
      <c r="H6140" s="182" t="n">
        <v>0</v>
      </c>
      <c r="I6140" s="182" t="n">
        <v>0</v>
      </c>
      <c r="J6140" s="182" t="n">
        <v>0</v>
      </c>
      <c r="K6140" s="182" t="n">
        <v>6.04</v>
      </c>
      <c r="L6140" s="182" t="n">
        <v>12</v>
      </c>
      <c r="M6140" s="182" t="n">
        <v>5.61</v>
      </c>
      <c r="N6140" s="182" t="n">
        <v>0</v>
      </c>
      <c r="O6140" s="183" t="n">
        <v>16</v>
      </c>
      <c r="P6140" s="183" t="n">
        <v>0</v>
      </c>
      <c r="Q6140" s="184" t="n">
        <v>326.4</v>
      </c>
      <c r="R6140" s="184" t="n">
        <v>0</v>
      </c>
      <c r="S6140" s="183" t="n">
        <v>0</v>
      </c>
      <c r="T6140" s="183" t="n">
        <v>0</v>
      </c>
      <c r="U6140" s="182" t="n">
        <v>3.7</v>
      </c>
      <c r="V6140" s="182" t="n">
        <v>1.32</v>
      </c>
      <c r="W6140" s="182" t="n">
        <v>0</v>
      </c>
      <c r="X6140" s="182" t="n">
        <v>0.9399999999999999</v>
      </c>
      <c r="Y6140" s="182" t="n">
        <v>0</v>
      </c>
      <c r="Z6140" s="182" t="n">
        <v>0</v>
      </c>
      <c r="AA6140" s="182" t="n">
        <v>0</v>
      </c>
      <c r="AB6140" s="182" t="n">
        <v>0</v>
      </c>
      <c r="AC6140" s="182" t="n">
        <v>0</v>
      </c>
      <c r="AD6140" s="182" t="n">
        <v>0</v>
      </c>
      <c r="AE6140" s="182" t="n">
        <v>0</v>
      </c>
      <c r="AF6140" s="182" t="n">
        <v>0</v>
      </c>
      <c r="AG6140" s="182" t="n">
        <v>0</v>
      </c>
      <c r="AH6140" s="182" t="n">
        <v>0</v>
      </c>
      <c r="AI6140" s="182" t="n">
        <v>0</v>
      </c>
      <c r="AJ6140" s="182" t="n">
        <v>0</v>
      </c>
      <c r="AK6140" s="182" t="n">
        <v>0</v>
      </c>
      <c r="AL6140" s="182" t="n">
        <v>0</v>
      </c>
      <c r="AM6140" s="182" t="n">
        <v>0.08</v>
      </c>
      <c r="AN6140" s="182" t="n">
        <v>0</v>
      </c>
    </row>
    <row r="6141">
      <c r="A6141" s="155" t="n">
        <v>46109</v>
      </c>
      <c r="B6141" s="156" t="inlineStr">
        <is>
          <t>NS</t>
        </is>
      </c>
      <c r="C6141" s="156" t="inlineStr">
        <is>
          <t>DT-528</t>
        </is>
      </c>
      <c r="D6141" s="156" t="inlineStr">
        <is>
          <t>SKT 105S</t>
        </is>
      </c>
      <c r="E6141" s="156" t="inlineStr">
        <is>
          <t>Hauler</t>
        </is>
      </c>
      <c r="F6141" s="156" t="inlineStr">
        <is>
          <t>Hauling OB</t>
        </is>
      </c>
      <c r="G6141" s="182" t="n">
        <v>5.68</v>
      </c>
      <c r="H6141" s="182" t="n">
        <v>0</v>
      </c>
      <c r="I6141" s="182" t="n">
        <v>0</v>
      </c>
      <c r="J6141" s="182" t="n">
        <v>0</v>
      </c>
      <c r="K6141" s="182" t="n">
        <v>6.32</v>
      </c>
      <c r="L6141" s="182" t="n">
        <v>12</v>
      </c>
      <c r="M6141" s="182" t="n">
        <v>5.51</v>
      </c>
      <c r="N6141" s="182" t="n">
        <v>0</v>
      </c>
      <c r="O6141" s="183" t="n">
        <v>23</v>
      </c>
      <c r="P6141" s="183" t="n">
        <v>0</v>
      </c>
      <c r="Q6141" s="184" t="n">
        <v>469.2</v>
      </c>
      <c r="R6141" s="184" t="n">
        <v>0</v>
      </c>
      <c r="S6141" s="183" t="n">
        <v>0</v>
      </c>
      <c r="T6141" s="183" t="n">
        <v>0</v>
      </c>
      <c r="U6141" s="182" t="n">
        <v>3.87</v>
      </c>
      <c r="V6141" s="182" t="n">
        <v>1.38</v>
      </c>
      <c r="W6141" s="182" t="n">
        <v>0</v>
      </c>
      <c r="X6141" s="182" t="n">
        <v>0.99</v>
      </c>
      <c r="Y6141" s="182" t="n">
        <v>0</v>
      </c>
      <c r="Z6141" s="182" t="n">
        <v>0</v>
      </c>
      <c r="AA6141" s="182" t="n">
        <v>0</v>
      </c>
      <c r="AB6141" s="182" t="n">
        <v>0</v>
      </c>
      <c r="AC6141" s="182" t="n">
        <v>0</v>
      </c>
      <c r="AD6141" s="182" t="n">
        <v>0</v>
      </c>
      <c r="AE6141" s="182" t="n">
        <v>0</v>
      </c>
      <c r="AF6141" s="182" t="n">
        <v>0</v>
      </c>
      <c r="AG6141" s="182" t="n">
        <v>0</v>
      </c>
      <c r="AH6141" s="182" t="n">
        <v>0</v>
      </c>
      <c r="AI6141" s="182" t="n">
        <v>0</v>
      </c>
      <c r="AJ6141" s="182" t="n">
        <v>0</v>
      </c>
      <c r="AK6141" s="182" t="n">
        <v>0</v>
      </c>
      <c r="AL6141" s="182" t="n">
        <v>0</v>
      </c>
      <c r="AM6141" s="182" t="n">
        <v>0.08</v>
      </c>
      <c r="AN6141" s="182" t="n">
        <v>0</v>
      </c>
    </row>
    <row r="6142">
      <c r="A6142" s="155" t="n">
        <v>46109</v>
      </c>
      <c r="B6142" s="156" t="inlineStr">
        <is>
          <t>NS</t>
        </is>
      </c>
      <c r="C6142" s="156" t="inlineStr">
        <is>
          <t>DT-529</t>
        </is>
      </c>
      <c r="D6142" s="156" t="inlineStr">
        <is>
          <t>SKT 105S</t>
        </is>
      </c>
      <c r="E6142" s="156" t="inlineStr">
        <is>
          <t>Hauler</t>
        </is>
      </c>
      <c r="F6142" s="156" t="inlineStr">
        <is>
          <t>Hauling OB</t>
        </is>
      </c>
      <c r="G6142" s="182" t="n">
        <v>4.55</v>
      </c>
      <c r="H6142" s="182" t="n">
        <v>0</v>
      </c>
      <c r="I6142" s="182" t="n">
        <v>0</v>
      </c>
      <c r="J6142" s="182" t="n">
        <v>0</v>
      </c>
      <c r="K6142" s="182" t="n">
        <v>7.45</v>
      </c>
      <c r="L6142" s="182" t="n">
        <v>12</v>
      </c>
      <c r="M6142" s="182" t="n">
        <v>4.55</v>
      </c>
      <c r="N6142" s="182" t="n">
        <v>0</v>
      </c>
      <c r="O6142" s="183" t="n">
        <v>18</v>
      </c>
      <c r="P6142" s="183" t="n">
        <v>0</v>
      </c>
      <c r="Q6142" s="184" t="n">
        <v>367.2</v>
      </c>
      <c r="R6142" s="184" t="n">
        <v>0</v>
      </c>
      <c r="S6142" s="183" t="n">
        <v>0</v>
      </c>
      <c r="T6142" s="183" t="n">
        <v>0</v>
      </c>
      <c r="U6142" s="182" t="n">
        <v>3.79</v>
      </c>
      <c r="V6142" s="182" t="n">
        <v>1.37</v>
      </c>
      <c r="W6142" s="182" t="n">
        <v>0</v>
      </c>
      <c r="X6142" s="182" t="n">
        <v>0.97</v>
      </c>
      <c r="Y6142" s="182" t="n">
        <v>0</v>
      </c>
      <c r="Z6142" s="182" t="n">
        <v>0</v>
      </c>
      <c r="AA6142" s="182" t="n">
        <v>0</v>
      </c>
      <c r="AB6142" s="182" t="n">
        <v>0</v>
      </c>
      <c r="AC6142" s="182" t="n">
        <v>0</v>
      </c>
      <c r="AD6142" s="182" t="n">
        <v>1.24</v>
      </c>
      <c r="AE6142" s="182" t="n">
        <v>0</v>
      </c>
      <c r="AF6142" s="182" t="n">
        <v>0</v>
      </c>
      <c r="AG6142" s="182" t="n">
        <v>0</v>
      </c>
      <c r="AH6142" s="182" t="n">
        <v>0</v>
      </c>
      <c r="AI6142" s="182" t="n">
        <v>0</v>
      </c>
      <c r="AJ6142" s="182" t="n">
        <v>0</v>
      </c>
      <c r="AK6142" s="182" t="n">
        <v>0</v>
      </c>
      <c r="AL6142" s="182" t="n">
        <v>0</v>
      </c>
      <c r="AM6142" s="182" t="n">
        <v>0.08</v>
      </c>
      <c r="AN6142" s="182" t="n">
        <v>0</v>
      </c>
    </row>
    <row r="6143">
      <c r="A6143" s="155" t="n">
        <v>46109</v>
      </c>
      <c r="B6143" s="156" t="inlineStr">
        <is>
          <t>NS</t>
        </is>
      </c>
      <c r="C6143" s="156" t="inlineStr">
        <is>
          <t>DT-520</t>
        </is>
      </c>
      <c r="D6143" s="156" t="inlineStr">
        <is>
          <t>SKT 105S</t>
        </is>
      </c>
      <c r="E6143" s="156" t="inlineStr">
        <is>
          <t>Hauler</t>
        </is>
      </c>
      <c r="F6143" s="156" t="inlineStr"/>
      <c r="G6143" s="182" t="n">
        <v>0</v>
      </c>
      <c r="H6143" s="182" t="n">
        <v>0</v>
      </c>
      <c r="I6143" s="182" t="n">
        <v>0</v>
      </c>
      <c r="J6143" s="182" t="n">
        <v>0</v>
      </c>
      <c r="K6143" s="182" t="n">
        <v>12</v>
      </c>
      <c r="L6143" s="182" t="n">
        <v>12</v>
      </c>
      <c r="M6143" s="182" t="n">
        <v>0</v>
      </c>
      <c r="N6143" s="182" t="n">
        <v>0</v>
      </c>
      <c r="O6143" s="183" t="n">
        <v>0</v>
      </c>
      <c r="P6143" s="183" t="n">
        <v>0</v>
      </c>
      <c r="Q6143" s="184" t="n">
        <v>0</v>
      </c>
      <c r="R6143" s="184" t="n">
        <v>0</v>
      </c>
      <c r="S6143" s="183" t="n">
        <v>0</v>
      </c>
      <c r="T6143" s="183" t="n">
        <v>0</v>
      </c>
      <c r="U6143" s="182" t="n">
        <v>3.92</v>
      </c>
      <c r="V6143" s="182" t="n">
        <v>0</v>
      </c>
      <c r="W6143" s="182" t="n">
        <v>0</v>
      </c>
      <c r="X6143" s="182" t="n">
        <v>1</v>
      </c>
      <c r="Y6143" s="182" t="n">
        <v>0</v>
      </c>
      <c r="Z6143" s="182" t="n">
        <v>0</v>
      </c>
      <c r="AA6143" s="182" t="n">
        <v>0</v>
      </c>
      <c r="AB6143" s="182" t="n">
        <v>0</v>
      </c>
      <c r="AC6143" s="182" t="n">
        <v>0</v>
      </c>
      <c r="AD6143" s="182" t="n">
        <v>0</v>
      </c>
      <c r="AE6143" s="182" t="n">
        <v>7</v>
      </c>
      <c r="AF6143" s="182" t="n">
        <v>0</v>
      </c>
      <c r="AG6143" s="182" t="n">
        <v>0</v>
      </c>
      <c r="AH6143" s="182" t="n">
        <v>0</v>
      </c>
      <c r="AI6143" s="182" t="n">
        <v>0</v>
      </c>
      <c r="AJ6143" s="182" t="n">
        <v>0</v>
      </c>
      <c r="AK6143" s="182" t="n">
        <v>0</v>
      </c>
      <c r="AL6143" s="182" t="n">
        <v>0</v>
      </c>
      <c r="AM6143" s="182" t="n">
        <v>0.08</v>
      </c>
      <c r="AN6143" s="182" t="n">
        <v>0</v>
      </c>
    </row>
    <row r="6144">
      <c r="A6144" s="155" t="n">
        <v>46109</v>
      </c>
      <c r="B6144" s="156" t="inlineStr">
        <is>
          <t>NS</t>
        </is>
      </c>
      <c r="C6144" s="156" t="inlineStr">
        <is>
          <t>DT-511</t>
        </is>
      </c>
      <c r="D6144" s="156" t="inlineStr">
        <is>
          <t>SKT 105S</t>
        </is>
      </c>
      <c r="E6144" s="156" t="inlineStr">
        <is>
          <t>Hauler</t>
        </is>
      </c>
      <c r="F6144" s="156" t="inlineStr"/>
      <c r="G6144" s="182" t="n">
        <v>0</v>
      </c>
      <c r="H6144" s="182" t="n">
        <v>0</v>
      </c>
      <c r="I6144" s="182" t="n">
        <v>12</v>
      </c>
      <c r="J6144" s="182" t="n">
        <v>12</v>
      </c>
      <c r="K6144" s="182" t="n">
        <v>0</v>
      </c>
      <c r="L6144" s="182" t="n">
        <v>12</v>
      </c>
      <c r="M6144" s="182" t="n">
        <v>0</v>
      </c>
      <c r="N6144" s="182" t="n">
        <v>0</v>
      </c>
      <c r="O6144" s="183" t="n">
        <v>0</v>
      </c>
      <c r="P6144" s="183" t="n">
        <v>0</v>
      </c>
      <c r="Q6144" s="184" t="n">
        <v>0</v>
      </c>
      <c r="R6144" s="184" t="n">
        <v>0</v>
      </c>
      <c r="S6144" s="183" t="n">
        <v>0</v>
      </c>
      <c r="T6144" s="183" t="n">
        <v>0</v>
      </c>
      <c r="U6144" s="182" t="n">
        <v>0</v>
      </c>
      <c r="V6144" s="182" t="n">
        <v>0</v>
      </c>
      <c r="W6144" s="182" t="n">
        <v>0</v>
      </c>
      <c r="X6144" s="182" t="n">
        <v>0</v>
      </c>
      <c r="Y6144" s="182" t="n">
        <v>0</v>
      </c>
      <c r="Z6144" s="182" t="n">
        <v>0</v>
      </c>
      <c r="AA6144" s="182" t="n">
        <v>0</v>
      </c>
      <c r="AB6144" s="182" t="n">
        <v>0</v>
      </c>
      <c r="AC6144" s="182" t="n">
        <v>0</v>
      </c>
      <c r="AD6144" s="182" t="n">
        <v>0</v>
      </c>
      <c r="AE6144" s="182" t="n">
        <v>0</v>
      </c>
      <c r="AF6144" s="182" t="n">
        <v>0</v>
      </c>
      <c r="AG6144" s="182" t="n">
        <v>0</v>
      </c>
      <c r="AH6144" s="182" t="n">
        <v>0</v>
      </c>
      <c r="AI6144" s="182" t="n">
        <v>0</v>
      </c>
      <c r="AJ6144" s="182" t="n">
        <v>0</v>
      </c>
      <c r="AK6144" s="182" t="n">
        <v>0</v>
      </c>
      <c r="AL6144" s="182" t="n">
        <v>0</v>
      </c>
      <c r="AM6144" s="182" t="n">
        <v>0</v>
      </c>
      <c r="AN6144" s="182" t="n">
        <v>0</v>
      </c>
    </row>
    <row r="6145">
      <c r="A6145" s="155" t="n">
        <v>46109</v>
      </c>
      <c r="B6145" s="156" t="inlineStr">
        <is>
          <t>NS</t>
        </is>
      </c>
      <c r="C6145" s="156" t="inlineStr">
        <is>
          <t>DT-509</t>
        </is>
      </c>
      <c r="D6145" s="156" t="inlineStr">
        <is>
          <t>SKT 105S</t>
        </is>
      </c>
      <c r="E6145" s="156" t="inlineStr">
        <is>
          <t>Hauler</t>
        </is>
      </c>
      <c r="F6145" s="156" t="inlineStr"/>
      <c r="G6145" s="182" t="n">
        <v>0</v>
      </c>
      <c r="H6145" s="182" t="n">
        <v>0</v>
      </c>
      <c r="I6145" s="182" t="n">
        <v>12</v>
      </c>
      <c r="J6145" s="182" t="n">
        <v>12</v>
      </c>
      <c r="K6145" s="182" t="n">
        <v>0</v>
      </c>
      <c r="L6145" s="182" t="n">
        <v>12</v>
      </c>
      <c r="M6145" s="182" t="n">
        <v>0</v>
      </c>
      <c r="N6145" s="182" t="n">
        <v>0</v>
      </c>
      <c r="O6145" s="183" t="n">
        <v>0</v>
      </c>
      <c r="P6145" s="183" t="n">
        <v>0</v>
      </c>
      <c r="Q6145" s="184" t="n">
        <v>0</v>
      </c>
      <c r="R6145" s="184" t="n">
        <v>0</v>
      </c>
      <c r="S6145" s="183" t="n">
        <v>0</v>
      </c>
      <c r="T6145" s="183" t="n">
        <v>0</v>
      </c>
      <c r="U6145" s="182" t="n">
        <v>0</v>
      </c>
      <c r="V6145" s="182" t="n">
        <v>0</v>
      </c>
      <c r="W6145" s="182" t="n">
        <v>0</v>
      </c>
      <c r="X6145" s="182" t="n">
        <v>0</v>
      </c>
      <c r="Y6145" s="182" t="n">
        <v>0</v>
      </c>
      <c r="Z6145" s="182" t="n">
        <v>0</v>
      </c>
      <c r="AA6145" s="182" t="n">
        <v>0</v>
      </c>
      <c r="AB6145" s="182" t="n">
        <v>0</v>
      </c>
      <c r="AC6145" s="182" t="n">
        <v>0</v>
      </c>
      <c r="AD6145" s="182" t="n">
        <v>0</v>
      </c>
      <c r="AE6145" s="182" t="n">
        <v>0</v>
      </c>
      <c r="AF6145" s="182" t="n">
        <v>0</v>
      </c>
      <c r="AG6145" s="182" t="n">
        <v>0</v>
      </c>
      <c r="AH6145" s="182" t="n">
        <v>0</v>
      </c>
      <c r="AI6145" s="182" t="n">
        <v>0</v>
      </c>
      <c r="AJ6145" s="182" t="n">
        <v>0</v>
      </c>
      <c r="AK6145" s="182" t="n">
        <v>0</v>
      </c>
      <c r="AL6145" s="182" t="n">
        <v>0</v>
      </c>
      <c r="AM6145" s="182" t="n">
        <v>0</v>
      </c>
      <c r="AN6145" s="182" t="n">
        <v>0</v>
      </c>
    </row>
    <row r="6146">
      <c r="A6146" s="155" t="n">
        <v>46109</v>
      </c>
      <c r="B6146" s="156" t="inlineStr">
        <is>
          <t>NS</t>
        </is>
      </c>
      <c r="C6146" s="156" t="inlineStr">
        <is>
          <t>DT-526</t>
        </is>
      </c>
      <c r="D6146" s="156" t="inlineStr">
        <is>
          <t>SKT 105S</t>
        </is>
      </c>
      <c r="E6146" s="156" t="inlineStr">
        <is>
          <t>Hauler</t>
        </is>
      </c>
      <c r="F6146" s="156" t="inlineStr">
        <is>
          <t>Hauling OB</t>
        </is>
      </c>
      <c r="G6146" s="182" t="n">
        <v>4.96</v>
      </c>
      <c r="H6146" s="182" t="n">
        <v>0</v>
      </c>
      <c r="I6146" s="182" t="n">
        <v>0</v>
      </c>
      <c r="J6146" s="182" t="n">
        <v>0</v>
      </c>
      <c r="K6146" s="182" t="n">
        <v>7.04</v>
      </c>
      <c r="L6146" s="182" t="n">
        <v>12</v>
      </c>
      <c r="M6146" s="182" t="n">
        <v>4.96</v>
      </c>
      <c r="N6146" s="182" t="n">
        <v>0</v>
      </c>
      <c r="O6146" s="183" t="n">
        <v>15</v>
      </c>
      <c r="P6146" s="183" t="n">
        <v>0</v>
      </c>
      <c r="Q6146" s="184" t="n">
        <v>306</v>
      </c>
      <c r="R6146" s="184" t="n">
        <v>0</v>
      </c>
      <c r="S6146" s="183" t="n">
        <v>0</v>
      </c>
      <c r="T6146" s="183" t="n">
        <v>0</v>
      </c>
      <c r="U6146" s="182" t="n">
        <v>3.78</v>
      </c>
      <c r="V6146" s="182" t="n">
        <v>1.37</v>
      </c>
      <c r="W6146" s="182" t="n">
        <v>0</v>
      </c>
      <c r="X6146" s="182" t="n">
        <v>0.96</v>
      </c>
      <c r="Y6146" s="182" t="n">
        <v>0</v>
      </c>
      <c r="Z6146" s="182" t="n">
        <v>0</v>
      </c>
      <c r="AA6146" s="182" t="n">
        <v>0</v>
      </c>
      <c r="AB6146" s="182" t="n">
        <v>0</v>
      </c>
      <c r="AC6146" s="182" t="n">
        <v>0</v>
      </c>
      <c r="AD6146" s="182" t="n">
        <v>0</v>
      </c>
      <c r="AE6146" s="182" t="n">
        <v>0</v>
      </c>
      <c r="AF6146" s="182" t="n">
        <v>0</v>
      </c>
      <c r="AG6146" s="182" t="n">
        <v>0</v>
      </c>
      <c r="AH6146" s="182" t="n">
        <v>0.85</v>
      </c>
      <c r="AI6146" s="182" t="n">
        <v>0</v>
      </c>
      <c r="AJ6146" s="182" t="n">
        <v>0</v>
      </c>
      <c r="AK6146" s="182" t="n">
        <v>0</v>
      </c>
      <c r="AL6146" s="182" t="n">
        <v>0</v>
      </c>
      <c r="AM6146" s="182" t="n">
        <v>0.08</v>
      </c>
      <c r="AN6146" s="182" t="n">
        <v>0</v>
      </c>
    </row>
    <row r="6147">
      <c r="A6147" s="155" t="n">
        <v>46109</v>
      </c>
      <c r="B6147" s="156" t="inlineStr">
        <is>
          <t>NS</t>
        </is>
      </c>
      <c r="C6147" s="156" t="inlineStr">
        <is>
          <t>DT-508</t>
        </is>
      </c>
      <c r="D6147" s="156" t="inlineStr">
        <is>
          <t>SKT 105S</t>
        </is>
      </c>
      <c r="E6147" s="156" t="inlineStr">
        <is>
          <t>Hauler</t>
        </is>
      </c>
      <c r="F6147" s="156" t="inlineStr">
        <is>
          <t>Hauling OB</t>
        </is>
      </c>
      <c r="G6147" s="182" t="n">
        <v>2.25</v>
      </c>
      <c r="H6147" s="182" t="n">
        <v>0</v>
      </c>
      <c r="I6147" s="182" t="n">
        <v>0</v>
      </c>
      <c r="J6147" s="182" t="n">
        <v>0</v>
      </c>
      <c r="K6147" s="182" t="n">
        <v>9.75</v>
      </c>
      <c r="L6147" s="182" t="n">
        <v>12</v>
      </c>
      <c r="M6147" s="182" t="n">
        <v>2.25</v>
      </c>
      <c r="N6147" s="182" t="n">
        <v>0</v>
      </c>
      <c r="O6147" s="183" t="n">
        <v>8</v>
      </c>
      <c r="P6147" s="183" t="n">
        <v>0</v>
      </c>
      <c r="Q6147" s="184" t="n">
        <v>163.2</v>
      </c>
      <c r="R6147" s="184" t="n">
        <v>0</v>
      </c>
      <c r="S6147" s="183" t="n">
        <v>0</v>
      </c>
      <c r="T6147" s="183" t="n">
        <v>0</v>
      </c>
      <c r="U6147" s="182" t="n">
        <v>4.02</v>
      </c>
      <c r="V6147" s="182" t="n">
        <v>1.46</v>
      </c>
      <c r="W6147" s="182" t="n">
        <v>0</v>
      </c>
      <c r="X6147" s="182" t="n">
        <v>1.03</v>
      </c>
      <c r="Y6147" s="182" t="n">
        <v>0</v>
      </c>
      <c r="Z6147" s="182" t="n">
        <v>0</v>
      </c>
      <c r="AA6147" s="182" t="n">
        <v>0</v>
      </c>
      <c r="AB6147" s="182" t="n">
        <v>0</v>
      </c>
      <c r="AC6147" s="182" t="n">
        <v>0</v>
      </c>
      <c r="AD6147" s="182" t="n">
        <v>3.16</v>
      </c>
      <c r="AE6147" s="182" t="n">
        <v>0</v>
      </c>
      <c r="AF6147" s="182" t="n">
        <v>0</v>
      </c>
      <c r="AG6147" s="182" t="n">
        <v>0</v>
      </c>
      <c r="AH6147" s="182" t="n">
        <v>0</v>
      </c>
      <c r="AI6147" s="182" t="n">
        <v>0</v>
      </c>
      <c r="AJ6147" s="182" t="n">
        <v>0</v>
      </c>
      <c r="AK6147" s="182" t="n">
        <v>0</v>
      </c>
      <c r="AL6147" s="182" t="n">
        <v>0</v>
      </c>
      <c r="AM6147" s="182" t="n">
        <v>0.08</v>
      </c>
      <c r="AN6147" s="182" t="n">
        <v>0</v>
      </c>
    </row>
    <row r="6148">
      <c r="A6148" s="155" t="n">
        <v>46109</v>
      </c>
      <c r="B6148" s="156" t="inlineStr">
        <is>
          <t>NS</t>
        </is>
      </c>
      <c r="C6148" s="156" t="inlineStr">
        <is>
          <t>DT-515</t>
        </is>
      </c>
      <c r="D6148" s="156" t="inlineStr">
        <is>
          <t>SKT 105S</t>
        </is>
      </c>
      <c r="E6148" s="156" t="inlineStr">
        <is>
          <t>Hauler</t>
        </is>
      </c>
      <c r="F6148" s="156" t="inlineStr">
        <is>
          <t>Hauling OB</t>
        </is>
      </c>
      <c r="G6148" s="182" t="n">
        <v>4.73</v>
      </c>
      <c r="H6148" s="182" t="n">
        <v>0</v>
      </c>
      <c r="I6148" s="182" t="n">
        <v>0</v>
      </c>
      <c r="J6148" s="182" t="n">
        <v>0</v>
      </c>
      <c r="K6148" s="182" t="n">
        <v>7.27</v>
      </c>
      <c r="L6148" s="182" t="n">
        <v>12</v>
      </c>
      <c r="M6148" s="182" t="n">
        <v>4.73</v>
      </c>
      <c r="N6148" s="182" t="n">
        <v>0</v>
      </c>
      <c r="O6148" s="183" t="n">
        <v>13</v>
      </c>
      <c r="P6148" s="183" t="n">
        <v>0</v>
      </c>
      <c r="Q6148" s="184" t="n">
        <v>265.2</v>
      </c>
      <c r="R6148" s="184" t="n">
        <v>0</v>
      </c>
      <c r="S6148" s="183" t="n">
        <v>0</v>
      </c>
      <c r="T6148" s="183" t="n">
        <v>0</v>
      </c>
      <c r="U6148" s="182" t="n">
        <v>4.07</v>
      </c>
      <c r="V6148" s="182" t="n">
        <v>1.47</v>
      </c>
      <c r="W6148" s="182" t="n">
        <v>0</v>
      </c>
      <c r="X6148" s="182" t="n">
        <v>1.04</v>
      </c>
      <c r="Y6148" s="182" t="n">
        <v>0</v>
      </c>
      <c r="Z6148" s="182" t="n">
        <v>0</v>
      </c>
      <c r="AA6148" s="182" t="n">
        <v>0</v>
      </c>
      <c r="AB6148" s="182" t="n">
        <v>0</v>
      </c>
      <c r="AC6148" s="182" t="n">
        <v>0</v>
      </c>
      <c r="AD6148" s="182" t="n">
        <v>0</v>
      </c>
      <c r="AE6148" s="182" t="n">
        <v>0</v>
      </c>
      <c r="AF6148" s="182" t="n">
        <v>0</v>
      </c>
      <c r="AG6148" s="182" t="n">
        <v>0</v>
      </c>
      <c r="AH6148" s="182" t="n">
        <v>0.6</v>
      </c>
      <c r="AI6148" s="182" t="n">
        <v>0</v>
      </c>
      <c r="AJ6148" s="182" t="n">
        <v>0</v>
      </c>
      <c r="AK6148" s="182" t="n">
        <v>0</v>
      </c>
      <c r="AL6148" s="182" t="n">
        <v>0</v>
      </c>
      <c r="AM6148" s="182" t="n">
        <v>0.08</v>
      </c>
      <c r="AN6148" s="182" t="n">
        <v>0</v>
      </c>
    </row>
    <row r="6149">
      <c r="A6149" s="155" t="n">
        <v>46109</v>
      </c>
      <c r="B6149" s="156" t="inlineStr">
        <is>
          <t>NS</t>
        </is>
      </c>
      <c r="C6149" s="156" t="inlineStr">
        <is>
          <t>DT-524</t>
        </is>
      </c>
      <c r="D6149" s="156" t="inlineStr">
        <is>
          <t>SKT 105S</t>
        </is>
      </c>
      <c r="E6149" s="156" t="inlineStr">
        <is>
          <t>Hauler</t>
        </is>
      </c>
      <c r="F6149" s="156" t="inlineStr"/>
      <c r="G6149" s="182" t="n">
        <v>0</v>
      </c>
      <c r="H6149" s="182" t="n">
        <v>0</v>
      </c>
      <c r="I6149" s="182" t="n">
        <v>12</v>
      </c>
      <c r="J6149" s="182" t="n">
        <v>12</v>
      </c>
      <c r="K6149" s="182" t="n">
        <v>0</v>
      </c>
      <c r="L6149" s="182" t="n">
        <v>12</v>
      </c>
      <c r="M6149" s="182" t="n">
        <v>0</v>
      </c>
      <c r="N6149" s="182" t="n">
        <v>0</v>
      </c>
      <c r="O6149" s="183" t="n">
        <v>0</v>
      </c>
      <c r="P6149" s="183" t="n">
        <v>0</v>
      </c>
      <c r="Q6149" s="184" t="n">
        <v>0</v>
      </c>
      <c r="R6149" s="184" t="n">
        <v>0</v>
      </c>
      <c r="S6149" s="183" t="n">
        <v>0</v>
      </c>
      <c r="T6149" s="183" t="n">
        <v>0</v>
      </c>
      <c r="U6149" s="182" t="n">
        <v>0</v>
      </c>
      <c r="V6149" s="182" t="n">
        <v>0</v>
      </c>
      <c r="W6149" s="182" t="n">
        <v>0</v>
      </c>
      <c r="X6149" s="182" t="n">
        <v>0</v>
      </c>
      <c r="Y6149" s="182" t="n">
        <v>0</v>
      </c>
      <c r="Z6149" s="182" t="n">
        <v>0</v>
      </c>
      <c r="AA6149" s="182" t="n">
        <v>0</v>
      </c>
      <c r="AB6149" s="182" t="n">
        <v>0</v>
      </c>
      <c r="AC6149" s="182" t="n">
        <v>0</v>
      </c>
      <c r="AD6149" s="182" t="n">
        <v>0</v>
      </c>
      <c r="AE6149" s="182" t="n">
        <v>0</v>
      </c>
      <c r="AF6149" s="182" t="n">
        <v>0</v>
      </c>
      <c r="AG6149" s="182" t="n">
        <v>0</v>
      </c>
      <c r="AH6149" s="182" t="n">
        <v>0</v>
      </c>
      <c r="AI6149" s="182" t="n">
        <v>0</v>
      </c>
      <c r="AJ6149" s="182" t="n">
        <v>0</v>
      </c>
      <c r="AK6149" s="182" t="n">
        <v>0</v>
      </c>
      <c r="AL6149" s="182" t="n">
        <v>0</v>
      </c>
      <c r="AM6149" s="182" t="n">
        <v>0</v>
      </c>
      <c r="AN6149" s="182" t="n">
        <v>0</v>
      </c>
    </row>
    <row r="6150">
      <c r="A6150" s="155" t="n">
        <v>46109</v>
      </c>
      <c r="B6150" s="156" t="inlineStr">
        <is>
          <t>NS</t>
        </is>
      </c>
      <c r="C6150" s="156" t="inlineStr">
        <is>
          <t>DT-341</t>
        </is>
      </c>
      <c r="D6150" s="156" t="inlineStr">
        <is>
          <t>SYZ324C-8W</t>
        </is>
      </c>
      <c r="E6150" s="156" t="inlineStr">
        <is>
          <t>Hauler</t>
        </is>
      </c>
      <c r="F6150" s="156" t="inlineStr">
        <is>
          <t>Timesheet Kosong</t>
        </is>
      </c>
      <c r="G6150" s="182" t="n">
        <v>3.95</v>
      </c>
      <c r="H6150" s="182" t="n">
        <v>0</v>
      </c>
      <c r="I6150" s="182" t="n">
        <v>0.17</v>
      </c>
      <c r="J6150" s="182" t="n">
        <v>0.17</v>
      </c>
      <c r="K6150" s="182" t="n">
        <v>7.88</v>
      </c>
      <c r="L6150" s="182" t="n">
        <v>12</v>
      </c>
      <c r="M6150" s="182" t="n">
        <v>0</v>
      </c>
      <c r="N6150" s="182" t="n">
        <v>0</v>
      </c>
      <c r="O6150" s="183" t="n">
        <v>0</v>
      </c>
      <c r="P6150" s="183" t="n">
        <v>0</v>
      </c>
      <c r="Q6150" s="184" t="n">
        <v>0</v>
      </c>
      <c r="R6150" s="184" t="n">
        <v>0</v>
      </c>
      <c r="S6150" s="183" t="n">
        <v>0</v>
      </c>
      <c r="T6150" s="183" t="n">
        <v>0</v>
      </c>
      <c r="U6150" s="182" t="n">
        <v>3.95</v>
      </c>
      <c r="V6150" s="182" t="n">
        <v>0</v>
      </c>
      <c r="W6150" s="182" t="n">
        <v>0</v>
      </c>
      <c r="X6150" s="182" t="n">
        <v>1.01</v>
      </c>
      <c r="Y6150" s="182" t="n">
        <v>0</v>
      </c>
      <c r="Z6150" s="182" t="n">
        <v>0</v>
      </c>
      <c r="AA6150" s="182" t="n">
        <v>0</v>
      </c>
      <c r="AB6150" s="182" t="n">
        <v>0</v>
      </c>
      <c r="AC6150" s="182" t="n">
        <v>0</v>
      </c>
      <c r="AD6150" s="182" t="n">
        <v>0</v>
      </c>
      <c r="AE6150" s="182" t="n">
        <v>0</v>
      </c>
      <c r="AF6150" s="182" t="n">
        <v>0</v>
      </c>
      <c r="AG6150" s="182" t="n">
        <v>0</v>
      </c>
      <c r="AH6150" s="182" t="n">
        <v>0</v>
      </c>
      <c r="AI6150" s="182" t="n">
        <v>0</v>
      </c>
      <c r="AJ6150" s="182" t="n">
        <v>0</v>
      </c>
      <c r="AK6150" s="182" t="n">
        <v>2.85</v>
      </c>
      <c r="AL6150" s="182" t="n">
        <v>0</v>
      </c>
      <c r="AM6150" s="182" t="n">
        <v>0.08</v>
      </c>
      <c r="AN6150" s="182" t="n">
        <v>0</v>
      </c>
    </row>
    <row r="6151">
      <c r="A6151" s="155" t="n">
        <v>46109</v>
      </c>
      <c r="B6151" s="156" t="inlineStr">
        <is>
          <t>NS</t>
        </is>
      </c>
      <c r="C6151" s="156" t="inlineStr">
        <is>
          <t>DT-342</t>
        </is>
      </c>
      <c r="D6151" s="156" t="inlineStr">
        <is>
          <t>SYZ324C-8W</t>
        </is>
      </c>
      <c r="E6151" s="156" t="inlineStr">
        <is>
          <t>Hauler</t>
        </is>
      </c>
      <c r="F6151" s="156" t="inlineStr"/>
      <c r="G6151" s="182" t="n">
        <v>0</v>
      </c>
      <c r="H6151" s="182" t="n">
        <v>0</v>
      </c>
      <c r="I6151" s="182" t="n">
        <v>0</v>
      </c>
      <c r="J6151" s="182" t="n">
        <v>0</v>
      </c>
      <c r="K6151" s="182" t="n">
        <v>12</v>
      </c>
      <c r="L6151" s="182" t="n">
        <v>12</v>
      </c>
      <c r="M6151" s="182" t="n">
        <v>0</v>
      </c>
      <c r="N6151" s="182" t="n">
        <v>0</v>
      </c>
      <c r="O6151" s="183" t="n">
        <v>0</v>
      </c>
      <c r="P6151" s="183" t="n">
        <v>0</v>
      </c>
      <c r="Q6151" s="184" t="n">
        <v>0</v>
      </c>
      <c r="R6151" s="184" t="n">
        <v>0</v>
      </c>
      <c r="S6151" s="183" t="n">
        <v>0</v>
      </c>
      <c r="T6151" s="183" t="n">
        <v>0</v>
      </c>
      <c r="U6151" s="182" t="n">
        <v>3.92</v>
      </c>
      <c r="V6151" s="182" t="n">
        <v>0</v>
      </c>
      <c r="W6151" s="182" t="n">
        <v>0</v>
      </c>
      <c r="X6151" s="182" t="n">
        <v>1</v>
      </c>
      <c r="Y6151" s="182" t="n">
        <v>0</v>
      </c>
      <c r="Z6151" s="182" t="n">
        <v>0</v>
      </c>
      <c r="AA6151" s="182" t="n">
        <v>0</v>
      </c>
      <c r="AB6151" s="182" t="n">
        <v>0</v>
      </c>
      <c r="AC6151" s="182" t="n">
        <v>0</v>
      </c>
      <c r="AD6151" s="182" t="n">
        <v>0</v>
      </c>
      <c r="AE6151" s="182" t="n">
        <v>0</v>
      </c>
      <c r="AF6151" s="182" t="n">
        <v>0</v>
      </c>
      <c r="AG6151" s="182" t="n">
        <v>0</v>
      </c>
      <c r="AH6151" s="182" t="n">
        <v>0</v>
      </c>
      <c r="AI6151" s="182" t="n">
        <v>0</v>
      </c>
      <c r="AJ6151" s="182" t="n">
        <v>0</v>
      </c>
      <c r="AK6151" s="182" t="n">
        <v>7</v>
      </c>
      <c r="AL6151" s="182" t="n">
        <v>0</v>
      </c>
      <c r="AM6151" s="182" t="n">
        <v>0.08</v>
      </c>
      <c r="AN6151" s="182" t="n">
        <v>0</v>
      </c>
    </row>
    <row r="6152">
      <c r="A6152" s="155" t="n">
        <v>46109</v>
      </c>
      <c r="B6152" s="156" t="inlineStr">
        <is>
          <t>NS</t>
        </is>
      </c>
      <c r="C6152" s="156" t="inlineStr">
        <is>
          <t>HD-903</t>
        </is>
      </c>
      <c r="D6152" s="156" t="inlineStr">
        <is>
          <t>SRT 95C</t>
        </is>
      </c>
      <c r="E6152" s="156" t="inlineStr">
        <is>
          <t>Hauler</t>
        </is>
      </c>
      <c r="F6152" s="156" t="inlineStr">
        <is>
          <t>Hauling OB</t>
        </is>
      </c>
      <c r="G6152" s="182" t="n">
        <v>0.55</v>
      </c>
      <c r="H6152" s="182" t="n">
        <v>0</v>
      </c>
      <c r="I6152" s="182" t="n">
        <v>0</v>
      </c>
      <c r="J6152" s="182" t="n">
        <v>0</v>
      </c>
      <c r="K6152" s="182" t="n">
        <v>11.45</v>
      </c>
      <c r="L6152" s="182" t="n">
        <v>12</v>
      </c>
      <c r="M6152" s="182" t="n">
        <v>0.55</v>
      </c>
      <c r="N6152" s="182" t="n">
        <v>0</v>
      </c>
      <c r="O6152" s="183" t="n">
        <v>2</v>
      </c>
      <c r="P6152" s="183" t="n">
        <v>0</v>
      </c>
      <c r="Q6152" s="184" t="n">
        <v>71.40000000000001</v>
      </c>
      <c r="R6152" s="184" t="n">
        <v>0</v>
      </c>
      <c r="S6152" s="183" t="n">
        <v>0</v>
      </c>
      <c r="T6152" s="183" t="n">
        <v>0</v>
      </c>
      <c r="U6152" s="182" t="n">
        <v>4.01</v>
      </c>
      <c r="V6152" s="182" t="n">
        <v>0</v>
      </c>
      <c r="W6152" s="182" t="n">
        <v>0</v>
      </c>
      <c r="X6152" s="182" t="n">
        <v>1.02</v>
      </c>
      <c r="Y6152" s="182" t="n">
        <v>0</v>
      </c>
      <c r="Z6152" s="182" t="n">
        <v>0</v>
      </c>
      <c r="AA6152" s="182" t="n">
        <v>0</v>
      </c>
      <c r="AB6152" s="182" t="n">
        <v>0</v>
      </c>
      <c r="AC6152" s="182" t="n">
        <v>0</v>
      </c>
      <c r="AD6152" s="182" t="n">
        <v>6.34</v>
      </c>
      <c r="AE6152" s="182" t="n">
        <v>0</v>
      </c>
      <c r="AF6152" s="182" t="n">
        <v>0</v>
      </c>
      <c r="AG6152" s="182" t="n">
        <v>0</v>
      </c>
      <c r="AH6152" s="182" t="n">
        <v>0</v>
      </c>
      <c r="AI6152" s="182" t="n">
        <v>0</v>
      </c>
      <c r="AJ6152" s="182" t="n">
        <v>0</v>
      </c>
      <c r="AK6152" s="182" t="n">
        <v>0</v>
      </c>
      <c r="AL6152" s="182" t="n">
        <v>0</v>
      </c>
      <c r="AM6152" s="182" t="n">
        <v>0.08</v>
      </c>
      <c r="AN6152" s="182" t="n">
        <v>0</v>
      </c>
    </row>
    <row r="6153">
      <c r="A6153" s="155" t="n">
        <v>46109</v>
      </c>
      <c r="B6153" s="156" t="inlineStr">
        <is>
          <t>NS</t>
        </is>
      </c>
      <c r="C6153" s="156" t="inlineStr">
        <is>
          <t>HD-905</t>
        </is>
      </c>
      <c r="D6153" s="156" t="inlineStr">
        <is>
          <t>SRT 95C</t>
        </is>
      </c>
      <c r="E6153" s="156" t="inlineStr">
        <is>
          <t>Hauler</t>
        </is>
      </c>
      <c r="F6153" s="156" t="inlineStr">
        <is>
          <t>Hauling OB</t>
        </is>
      </c>
      <c r="G6153" s="182" t="n">
        <v>0.5</v>
      </c>
      <c r="H6153" s="182" t="n">
        <v>0</v>
      </c>
      <c r="I6153" s="182" t="n">
        <v>0</v>
      </c>
      <c r="J6153" s="182" t="n">
        <v>0</v>
      </c>
      <c r="K6153" s="182" t="n">
        <v>11.5</v>
      </c>
      <c r="L6153" s="182" t="n">
        <v>12</v>
      </c>
      <c r="M6153" s="182" t="n">
        <v>0.5</v>
      </c>
      <c r="N6153" s="182" t="n">
        <v>0</v>
      </c>
      <c r="O6153" s="183" t="n">
        <v>1</v>
      </c>
      <c r="P6153" s="183" t="n">
        <v>0</v>
      </c>
      <c r="Q6153" s="184" t="n">
        <v>35.7</v>
      </c>
      <c r="R6153" s="184" t="n">
        <v>0</v>
      </c>
      <c r="S6153" s="183" t="n">
        <v>0</v>
      </c>
      <c r="T6153" s="183" t="n">
        <v>0</v>
      </c>
      <c r="U6153" s="182" t="n">
        <v>3.92</v>
      </c>
      <c r="V6153" s="182" t="n">
        <v>0</v>
      </c>
      <c r="W6153" s="182" t="n">
        <v>0</v>
      </c>
      <c r="X6153" s="182" t="n">
        <v>1</v>
      </c>
      <c r="Y6153" s="182" t="n">
        <v>0</v>
      </c>
      <c r="Z6153" s="182" t="n">
        <v>0</v>
      </c>
      <c r="AA6153" s="182" t="n">
        <v>0</v>
      </c>
      <c r="AB6153" s="182" t="n">
        <v>0</v>
      </c>
      <c r="AC6153" s="182" t="n">
        <v>0</v>
      </c>
      <c r="AD6153" s="182" t="n">
        <v>6.5</v>
      </c>
      <c r="AE6153" s="182" t="n">
        <v>0</v>
      </c>
      <c r="AF6153" s="182" t="n">
        <v>0</v>
      </c>
      <c r="AG6153" s="182" t="n">
        <v>0</v>
      </c>
      <c r="AH6153" s="182" t="n">
        <v>0</v>
      </c>
      <c r="AI6153" s="182" t="n">
        <v>0</v>
      </c>
      <c r="AJ6153" s="182" t="n">
        <v>0</v>
      </c>
      <c r="AK6153" s="182" t="n">
        <v>0</v>
      </c>
      <c r="AL6153" s="182" t="n">
        <v>0</v>
      </c>
      <c r="AM6153" s="182" t="n">
        <v>0.08</v>
      </c>
      <c r="AN6153" s="182" t="n">
        <v>0</v>
      </c>
    </row>
    <row r="6154">
      <c r="A6154" s="155" t="n">
        <v>46109</v>
      </c>
      <c r="B6154" s="156" t="inlineStr">
        <is>
          <t>NS</t>
        </is>
      </c>
      <c r="C6154" s="156" t="inlineStr">
        <is>
          <t>HD-901</t>
        </is>
      </c>
      <c r="D6154" s="156" t="inlineStr">
        <is>
          <t>SRT 95C</t>
        </is>
      </c>
      <c r="E6154" s="156" t="inlineStr">
        <is>
          <t>Hauler</t>
        </is>
      </c>
      <c r="F6154" s="156" t="inlineStr">
        <is>
          <t>Hauling OB</t>
        </is>
      </c>
      <c r="G6154" s="182" t="n">
        <v>1.05</v>
      </c>
      <c r="H6154" s="182" t="n">
        <v>0</v>
      </c>
      <c r="I6154" s="182" t="n">
        <v>0</v>
      </c>
      <c r="J6154" s="182" t="n">
        <v>0</v>
      </c>
      <c r="K6154" s="182" t="n">
        <v>10.95</v>
      </c>
      <c r="L6154" s="182" t="n">
        <v>12</v>
      </c>
      <c r="M6154" s="182" t="n">
        <v>1.05</v>
      </c>
      <c r="N6154" s="182" t="n">
        <v>0</v>
      </c>
      <c r="O6154" s="183" t="n">
        <v>1</v>
      </c>
      <c r="P6154" s="183" t="n">
        <v>0</v>
      </c>
      <c r="Q6154" s="184" t="n">
        <v>35.7</v>
      </c>
      <c r="R6154" s="184" t="n">
        <v>0</v>
      </c>
      <c r="S6154" s="183" t="n">
        <v>0</v>
      </c>
      <c r="T6154" s="183" t="n">
        <v>0</v>
      </c>
      <c r="U6154" s="182" t="n">
        <v>3.97</v>
      </c>
      <c r="V6154" s="182" t="n">
        <v>0</v>
      </c>
      <c r="W6154" s="182" t="n">
        <v>0</v>
      </c>
      <c r="X6154" s="182" t="n">
        <v>1.01</v>
      </c>
      <c r="Y6154" s="182" t="n">
        <v>0</v>
      </c>
      <c r="Z6154" s="182" t="n">
        <v>0</v>
      </c>
      <c r="AA6154" s="182" t="n">
        <v>0</v>
      </c>
      <c r="AB6154" s="182" t="n">
        <v>0</v>
      </c>
      <c r="AC6154" s="182" t="n">
        <v>0</v>
      </c>
      <c r="AD6154" s="182" t="n">
        <v>5.88</v>
      </c>
      <c r="AE6154" s="182" t="n">
        <v>0</v>
      </c>
      <c r="AF6154" s="182" t="n">
        <v>0</v>
      </c>
      <c r="AG6154" s="182" t="n">
        <v>0</v>
      </c>
      <c r="AH6154" s="182" t="n">
        <v>0</v>
      </c>
      <c r="AI6154" s="182" t="n">
        <v>0</v>
      </c>
      <c r="AJ6154" s="182" t="n">
        <v>0</v>
      </c>
      <c r="AK6154" s="182" t="n">
        <v>0</v>
      </c>
      <c r="AL6154" s="182" t="n">
        <v>0</v>
      </c>
      <c r="AM6154" s="182" t="n">
        <v>0.08</v>
      </c>
      <c r="AN6154" s="182" t="n">
        <v>0</v>
      </c>
    </row>
    <row r="6155">
      <c r="A6155" s="155" t="n">
        <v>46109</v>
      </c>
      <c r="B6155" s="156" t="inlineStr">
        <is>
          <t>NS</t>
        </is>
      </c>
      <c r="C6155" s="156" t="inlineStr">
        <is>
          <t>HD-904</t>
        </is>
      </c>
      <c r="D6155" s="156" t="inlineStr">
        <is>
          <t>SRT 95C</t>
        </is>
      </c>
      <c r="E6155" s="156" t="inlineStr">
        <is>
          <t>Hauler</t>
        </is>
      </c>
      <c r="F6155" s="156" t="inlineStr"/>
      <c r="G6155" s="182" t="n">
        <v>0</v>
      </c>
      <c r="H6155" s="182" t="n">
        <v>0</v>
      </c>
      <c r="I6155" s="182" t="n">
        <v>12</v>
      </c>
      <c r="J6155" s="182" t="n">
        <v>12</v>
      </c>
      <c r="K6155" s="182" t="n">
        <v>0</v>
      </c>
      <c r="L6155" s="182" t="n">
        <v>12</v>
      </c>
      <c r="M6155" s="182" t="n">
        <v>0</v>
      </c>
      <c r="N6155" s="182" t="n">
        <v>0</v>
      </c>
      <c r="O6155" s="183" t="n">
        <v>0</v>
      </c>
      <c r="P6155" s="183" t="n">
        <v>0</v>
      </c>
      <c r="Q6155" s="184" t="n">
        <v>0</v>
      </c>
      <c r="R6155" s="184" t="n">
        <v>0</v>
      </c>
      <c r="S6155" s="183" t="n">
        <v>0</v>
      </c>
      <c r="T6155" s="183" t="n">
        <v>0</v>
      </c>
      <c r="U6155" s="182" t="n">
        <v>0</v>
      </c>
      <c r="V6155" s="182" t="n">
        <v>0</v>
      </c>
      <c r="W6155" s="182" t="n">
        <v>0</v>
      </c>
      <c r="X6155" s="182" t="n">
        <v>0</v>
      </c>
      <c r="Y6155" s="182" t="n">
        <v>0</v>
      </c>
      <c r="Z6155" s="182" t="n">
        <v>0</v>
      </c>
      <c r="AA6155" s="182" t="n">
        <v>0</v>
      </c>
      <c r="AB6155" s="182" t="n">
        <v>0</v>
      </c>
      <c r="AC6155" s="182" t="n">
        <v>0</v>
      </c>
      <c r="AD6155" s="182" t="n">
        <v>0</v>
      </c>
      <c r="AE6155" s="182" t="n">
        <v>0</v>
      </c>
      <c r="AF6155" s="182" t="n">
        <v>0</v>
      </c>
      <c r="AG6155" s="182" t="n">
        <v>0</v>
      </c>
      <c r="AH6155" s="182" t="n">
        <v>0</v>
      </c>
      <c r="AI6155" s="182" t="n">
        <v>0</v>
      </c>
      <c r="AJ6155" s="182" t="n">
        <v>0</v>
      </c>
      <c r="AK6155" s="182" t="n">
        <v>0</v>
      </c>
      <c r="AL6155" s="182" t="n">
        <v>0</v>
      </c>
      <c r="AM6155" s="182" t="n">
        <v>0</v>
      </c>
      <c r="AN6155" s="182" t="n">
        <v>0</v>
      </c>
    </row>
    <row r="6156">
      <c r="A6156" s="155" t="n">
        <v>46109</v>
      </c>
      <c r="B6156" s="156" t="inlineStr">
        <is>
          <t>NS</t>
        </is>
      </c>
      <c r="C6156" s="156" t="inlineStr">
        <is>
          <t>HD-902</t>
        </is>
      </c>
      <c r="D6156" s="156" t="inlineStr">
        <is>
          <t>SRT 95C</t>
        </is>
      </c>
      <c r="E6156" s="156" t="inlineStr">
        <is>
          <t>Hauler</t>
        </is>
      </c>
      <c r="F6156" s="156" t="inlineStr">
        <is>
          <t>Hauling OB</t>
        </is>
      </c>
      <c r="G6156" s="182" t="n">
        <v>0.4</v>
      </c>
      <c r="H6156" s="182" t="n">
        <v>0</v>
      </c>
      <c r="I6156" s="182" t="n">
        <v>0</v>
      </c>
      <c r="J6156" s="182" t="n">
        <v>0</v>
      </c>
      <c r="K6156" s="182" t="n">
        <v>11.6</v>
      </c>
      <c r="L6156" s="182" t="n">
        <v>12</v>
      </c>
      <c r="M6156" s="182" t="n">
        <v>0.4</v>
      </c>
      <c r="N6156" s="182" t="n">
        <v>0</v>
      </c>
      <c r="O6156" s="183" t="n">
        <v>1</v>
      </c>
      <c r="P6156" s="183" t="n">
        <v>0</v>
      </c>
      <c r="Q6156" s="184" t="n">
        <v>35.7</v>
      </c>
      <c r="R6156" s="184" t="n">
        <v>0</v>
      </c>
      <c r="S6156" s="183" t="n">
        <v>0</v>
      </c>
      <c r="T6156" s="183" t="n">
        <v>0</v>
      </c>
      <c r="U6156" s="182" t="n">
        <v>3.92</v>
      </c>
      <c r="V6156" s="182" t="n">
        <v>0</v>
      </c>
      <c r="W6156" s="182" t="n">
        <v>0</v>
      </c>
      <c r="X6156" s="182" t="n">
        <v>1</v>
      </c>
      <c r="Y6156" s="182" t="n">
        <v>0</v>
      </c>
      <c r="Z6156" s="182" t="n">
        <v>0</v>
      </c>
      <c r="AA6156" s="182" t="n">
        <v>0</v>
      </c>
      <c r="AB6156" s="182" t="n">
        <v>0</v>
      </c>
      <c r="AC6156" s="182" t="n">
        <v>0</v>
      </c>
      <c r="AD6156" s="182" t="n">
        <v>6.6</v>
      </c>
      <c r="AE6156" s="182" t="n">
        <v>0</v>
      </c>
      <c r="AF6156" s="182" t="n">
        <v>0</v>
      </c>
      <c r="AG6156" s="182" t="n">
        <v>0</v>
      </c>
      <c r="AH6156" s="182" t="n">
        <v>0</v>
      </c>
      <c r="AI6156" s="182" t="n">
        <v>0</v>
      </c>
      <c r="AJ6156" s="182" t="n">
        <v>0</v>
      </c>
      <c r="AK6156" s="182" t="n">
        <v>0</v>
      </c>
      <c r="AL6156" s="182" t="n">
        <v>0</v>
      </c>
      <c r="AM6156" s="182" t="n">
        <v>0.08</v>
      </c>
      <c r="AN6156" s="182" t="n">
        <v>0</v>
      </c>
    </row>
    <row r="6157">
      <c r="A6157" s="155" t="n">
        <v>46109</v>
      </c>
      <c r="B6157" s="156" t="inlineStr">
        <is>
          <t>NS</t>
        </is>
      </c>
      <c r="C6157" s="156" t="inlineStr">
        <is>
          <t>WL-025</t>
        </is>
      </c>
      <c r="D6157" s="156" t="inlineStr">
        <is>
          <t>SANY - Loader</t>
        </is>
      </c>
      <c r="E6157" s="156" t="inlineStr">
        <is>
          <t>Loader</t>
        </is>
      </c>
      <c r="F6157" s="156" t="inlineStr"/>
      <c r="G6157" s="182" t="n">
        <v>0</v>
      </c>
      <c r="H6157" s="182" t="n">
        <v>0</v>
      </c>
      <c r="I6157" s="182" t="n">
        <v>0</v>
      </c>
      <c r="J6157" s="182" t="n">
        <v>0</v>
      </c>
      <c r="K6157" s="182" t="n">
        <v>12</v>
      </c>
      <c r="L6157" s="182" t="n">
        <v>12</v>
      </c>
      <c r="M6157" s="182" t="n">
        <v>0</v>
      </c>
      <c r="N6157" s="182" t="n">
        <v>0</v>
      </c>
      <c r="O6157" s="183" t="n">
        <v>0</v>
      </c>
      <c r="P6157" s="183" t="n">
        <v>0</v>
      </c>
      <c r="Q6157" s="184" t="n">
        <v>0</v>
      </c>
      <c r="R6157" s="184" t="n">
        <v>0</v>
      </c>
      <c r="S6157" s="183" t="n">
        <v>0</v>
      </c>
      <c r="T6157" s="183" t="n">
        <v>0</v>
      </c>
      <c r="U6157" s="182" t="n">
        <v>0</v>
      </c>
      <c r="V6157" s="182" t="n">
        <v>0</v>
      </c>
      <c r="W6157" s="182" t="n">
        <v>0</v>
      </c>
      <c r="X6157" s="182" t="n">
        <v>1</v>
      </c>
      <c r="Y6157" s="182" t="n">
        <v>0</v>
      </c>
      <c r="Z6157" s="182" t="n">
        <v>0</v>
      </c>
      <c r="AA6157" s="182" t="n">
        <v>0</v>
      </c>
      <c r="AB6157" s="182" t="n">
        <v>0</v>
      </c>
      <c r="AC6157" s="182" t="n">
        <v>0</v>
      </c>
      <c r="AD6157" s="182" t="n">
        <v>0</v>
      </c>
      <c r="AE6157" s="182" t="n">
        <v>0</v>
      </c>
      <c r="AF6157" s="182" t="n">
        <v>0</v>
      </c>
      <c r="AG6157" s="182" t="n">
        <v>0</v>
      </c>
      <c r="AH6157" s="182" t="n">
        <v>0</v>
      </c>
      <c r="AI6157" s="182" t="n">
        <v>0</v>
      </c>
      <c r="AJ6157" s="182" t="n">
        <v>0</v>
      </c>
      <c r="AK6157" s="182" t="n">
        <v>10.92</v>
      </c>
      <c r="AL6157" s="182" t="n">
        <v>0</v>
      </c>
      <c r="AM6157" s="182" t="n">
        <v>0.08</v>
      </c>
      <c r="AN6157" s="182" t="n">
        <v>0</v>
      </c>
    </row>
    <row r="6158">
      <c r="A6158" s="155" t="n">
        <v>46109</v>
      </c>
      <c r="B6158" s="156" t="inlineStr">
        <is>
          <t>NS</t>
        </is>
      </c>
      <c r="C6158" s="156" t="inlineStr">
        <is>
          <t>WL-023</t>
        </is>
      </c>
      <c r="D6158" s="156" t="inlineStr">
        <is>
          <t>SANY - Loader</t>
        </is>
      </c>
      <c r="E6158" s="156" t="inlineStr">
        <is>
          <t>Loader</t>
        </is>
      </c>
      <c r="F6158" s="156" t="inlineStr">
        <is>
          <t>Trimming Coal di Jetty</t>
        </is>
      </c>
      <c r="G6158" s="182" t="n">
        <v>6.61</v>
      </c>
      <c r="H6158" s="182" t="n">
        <v>0</v>
      </c>
      <c r="I6158" s="182" t="n">
        <v>0</v>
      </c>
      <c r="J6158" s="182" t="n">
        <v>0</v>
      </c>
      <c r="K6158" s="182" t="n">
        <v>5.39</v>
      </c>
      <c r="L6158" s="182" t="n">
        <v>12</v>
      </c>
      <c r="M6158" s="182" t="n">
        <v>0</v>
      </c>
      <c r="N6158" s="182" t="n">
        <v>0</v>
      </c>
      <c r="O6158" s="183" t="n">
        <v>0</v>
      </c>
      <c r="P6158" s="183" t="n">
        <v>0</v>
      </c>
      <c r="Q6158" s="184" t="n">
        <v>0</v>
      </c>
      <c r="R6158" s="184" t="n">
        <v>0</v>
      </c>
      <c r="S6158" s="183" t="n">
        <v>0</v>
      </c>
      <c r="T6158" s="183" t="n">
        <v>0</v>
      </c>
      <c r="U6158" s="182" t="n">
        <v>0</v>
      </c>
      <c r="V6158" s="182" t="n">
        <v>0</v>
      </c>
      <c r="W6158" s="182" t="n">
        <v>0</v>
      </c>
      <c r="X6158" s="182" t="n">
        <v>1</v>
      </c>
      <c r="Y6158" s="182" t="n">
        <v>0</v>
      </c>
      <c r="Z6158" s="182" t="n">
        <v>0</v>
      </c>
      <c r="AA6158" s="182" t="n">
        <v>0</v>
      </c>
      <c r="AB6158" s="182" t="n">
        <v>0</v>
      </c>
      <c r="AC6158" s="182" t="n">
        <v>0</v>
      </c>
      <c r="AD6158" s="182" t="n">
        <v>0</v>
      </c>
      <c r="AE6158" s="182" t="n">
        <v>0</v>
      </c>
      <c r="AF6158" s="182" t="n">
        <v>0</v>
      </c>
      <c r="AG6158" s="182" t="n">
        <v>0</v>
      </c>
      <c r="AH6158" s="182" t="n">
        <v>0</v>
      </c>
      <c r="AI6158" s="182" t="n">
        <v>0</v>
      </c>
      <c r="AJ6158" s="182" t="n">
        <v>0</v>
      </c>
      <c r="AK6158" s="182" t="n">
        <v>4.31</v>
      </c>
      <c r="AL6158" s="182" t="n">
        <v>0</v>
      </c>
      <c r="AM6158" s="182" t="n">
        <v>0.08</v>
      </c>
      <c r="AN6158" s="182" t="n">
        <v>0</v>
      </c>
    </row>
    <row r="6159">
      <c r="A6159" s="155" t="n">
        <v>46109</v>
      </c>
      <c r="B6159" s="156" t="inlineStr">
        <is>
          <t>NS</t>
        </is>
      </c>
      <c r="C6159" s="156" t="inlineStr">
        <is>
          <t>WL-021</t>
        </is>
      </c>
      <c r="D6159" s="156" t="inlineStr">
        <is>
          <t>SANY - Loader</t>
        </is>
      </c>
      <c r="E6159" s="156" t="inlineStr">
        <is>
          <t>Loader</t>
        </is>
      </c>
      <c r="F6159" s="156" t="inlineStr"/>
      <c r="G6159" s="182" t="n">
        <v>0</v>
      </c>
      <c r="H6159" s="182" t="n">
        <v>0</v>
      </c>
      <c r="I6159" s="182" t="n">
        <v>12</v>
      </c>
      <c r="J6159" s="182" t="n">
        <v>12</v>
      </c>
      <c r="K6159" s="182" t="n">
        <v>0</v>
      </c>
      <c r="L6159" s="182" t="n">
        <v>12</v>
      </c>
      <c r="M6159" s="182" t="n">
        <v>0</v>
      </c>
      <c r="N6159" s="182" t="n">
        <v>0</v>
      </c>
      <c r="O6159" s="183" t="n">
        <v>0</v>
      </c>
      <c r="P6159" s="183" t="n">
        <v>0</v>
      </c>
      <c r="Q6159" s="184" t="n">
        <v>0</v>
      </c>
      <c r="R6159" s="184" t="n">
        <v>0</v>
      </c>
      <c r="S6159" s="183" t="n">
        <v>0</v>
      </c>
      <c r="T6159" s="183" t="n">
        <v>0</v>
      </c>
      <c r="U6159" s="182" t="n">
        <v>0</v>
      </c>
      <c r="V6159" s="182" t="n">
        <v>0</v>
      </c>
      <c r="W6159" s="182" t="n">
        <v>0</v>
      </c>
      <c r="X6159" s="182" t="n">
        <v>0</v>
      </c>
      <c r="Y6159" s="182" t="n">
        <v>0</v>
      </c>
      <c r="Z6159" s="182" t="n">
        <v>0</v>
      </c>
      <c r="AA6159" s="182" t="n">
        <v>0</v>
      </c>
      <c r="AB6159" s="182" t="n">
        <v>0</v>
      </c>
      <c r="AC6159" s="182" t="n">
        <v>0</v>
      </c>
      <c r="AD6159" s="182" t="n">
        <v>0</v>
      </c>
      <c r="AE6159" s="182" t="n">
        <v>0</v>
      </c>
      <c r="AF6159" s="182" t="n">
        <v>0</v>
      </c>
      <c r="AG6159" s="182" t="n">
        <v>0</v>
      </c>
      <c r="AH6159" s="182" t="n">
        <v>0</v>
      </c>
      <c r="AI6159" s="182" t="n">
        <v>0</v>
      </c>
      <c r="AJ6159" s="182" t="n">
        <v>0</v>
      </c>
      <c r="AK6159" s="182" t="n">
        <v>0</v>
      </c>
      <c r="AL6159" s="182" t="n">
        <v>0</v>
      </c>
      <c r="AM6159" s="182" t="n">
        <v>0</v>
      </c>
      <c r="AN6159" s="182" t="n">
        <v>0</v>
      </c>
    </row>
    <row r="6160">
      <c r="A6160" s="155" t="n">
        <v>46109</v>
      </c>
      <c r="B6160" s="156" t="inlineStr">
        <is>
          <t>NS</t>
        </is>
      </c>
      <c r="C6160" s="156" t="inlineStr">
        <is>
          <t>WL-022</t>
        </is>
      </c>
      <c r="D6160" s="156" t="inlineStr">
        <is>
          <t>SANY - Loader</t>
        </is>
      </c>
      <c r="E6160" s="156" t="inlineStr">
        <is>
          <t>Loader</t>
        </is>
      </c>
      <c r="F6160" s="156" t="inlineStr">
        <is>
          <t>Trimming Coal di ROM</t>
        </is>
      </c>
      <c r="G6160" s="182" t="n">
        <v>10.32</v>
      </c>
      <c r="H6160" s="182" t="n">
        <v>0</v>
      </c>
      <c r="I6160" s="182" t="n">
        <v>0</v>
      </c>
      <c r="J6160" s="182" t="n">
        <v>0</v>
      </c>
      <c r="K6160" s="182" t="n">
        <v>1.68</v>
      </c>
      <c r="L6160" s="182" t="n">
        <v>12</v>
      </c>
      <c r="M6160" s="182" t="n">
        <v>0</v>
      </c>
      <c r="N6160" s="182" t="n">
        <v>0</v>
      </c>
      <c r="O6160" s="183" t="n">
        <v>0</v>
      </c>
      <c r="P6160" s="183" t="n">
        <v>0</v>
      </c>
      <c r="Q6160" s="184" t="n">
        <v>0</v>
      </c>
      <c r="R6160" s="184" t="n">
        <v>0</v>
      </c>
      <c r="S6160" s="183" t="n">
        <v>0</v>
      </c>
      <c r="T6160" s="183" t="n">
        <v>0</v>
      </c>
      <c r="U6160" s="182" t="n">
        <v>0.55</v>
      </c>
      <c r="V6160" s="182" t="n">
        <v>0</v>
      </c>
      <c r="W6160" s="182" t="n">
        <v>0</v>
      </c>
      <c r="X6160" s="182" t="n">
        <v>1.05</v>
      </c>
      <c r="Y6160" s="182" t="n">
        <v>0</v>
      </c>
      <c r="Z6160" s="182" t="n">
        <v>0</v>
      </c>
      <c r="AA6160" s="182" t="n">
        <v>0</v>
      </c>
      <c r="AB6160" s="182" t="n">
        <v>0</v>
      </c>
      <c r="AC6160" s="182" t="n">
        <v>0</v>
      </c>
      <c r="AD6160" s="182" t="n">
        <v>0</v>
      </c>
      <c r="AE6160" s="182" t="n">
        <v>0</v>
      </c>
      <c r="AF6160" s="182" t="n">
        <v>0</v>
      </c>
      <c r="AG6160" s="182" t="n">
        <v>0</v>
      </c>
      <c r="AH6160" s="182" t="n">
        <v>0</v>
      </c>
      <c r="AI6160" s="182" t="n">
        <v>0</v>
      </c>
      <c r="AJ6160" s="182" t="n">
        <v>0</v>
      </c>
      <c r="AK6160" s="182" t="n">
        <v>0</v>
      </c>
      <c r="AL6160" s="182" t="n">
        <v>0</v>
      </c>
      <c r="AM6160" s="182" t="n">
        <v>0.08</v>
      </c>
      <c r="AN6160" s="182" t="n">
        <v>0</v>
      </c>
    </row>
    <row r="6161">
      <c r="A6161" s="155" t="n">
        <v>46109</v>
      </c>
      <c r="B6161" s="156" t="inlineStr">
        <is>
          <t>NS</t>
        </is>
      </c>
      <c r="C6161" s="156" t="inlineStr">
        <is>
          <t>WL-024</t>
        </is>
      </c>
      <c r="D6161" s="156" t="inlineStr">
        <is>
          <t>SANY - Loader</t>
        </is>
      </c>
      <c r="E6161" s="156" t="inlineStr">
        <is>
          <t>Loader</t>
        </is>
      </c>
      <c r="F6161" s="156" t="inlineStr">
        <is>
          <t>Trimming Coal di Washing Plant</t>
        </is>
      </c>
      <c r="G6161" s="182" t="n">
        <v>10.76</v>
      </c>
      <c r="H6161" s="182" t="n">
        <v>0</v>
      </c>
      <c r="I6161" s="182" t="n">
        <v>0</v>
      </c>
      <c r="J6161" s="182" t="n">
        <v>0</v>
      </c>
      <c r="K6161" s="182" t="n">
        <v>1.24</v>
      </c>
      <c r="L6161" s="182" t="n">
        <v>12</v>
      </c>
      <c r="M6161" s="182" t="n">
        <v>0</v>
      </c>
      <c r="N6161" s="182" t="n">
        <v>0</v>
      </c>
      <c r="O6161" s="183" t="n">
        <v>0</v>
      </c>
      <c r="P6161" s="183" t="n">
        <v>0</v>
      </c>
      <c r="Q6161" s="184" t="n">
        <v>0</v>
      </c>
      <c r="R6161" s="184" t="n">
        <v>0</v>
      </c>
      <c r="S6161" s="183" t="n">
        <v>0</v>
      </c>
      <c r="T6161" s="183" t="n">
        <v>0</v>
      </c>
      <c r="U6161" s="182" t="n">
        <v>0.28</v>
      </c>
      <c r="V6161" s="182" t="n">
        <v>0</v>
      </c>
      <c r="W6161" s="182" t="n">
        <v>0</v>
      </c>
      <c r="X6161" s="182" t="n">
        <v>0.89</v>
      </c>
      <c r="Y6161" s="182" t="n">
        <v>0</v>
      </c>
      <c r="Z6161" s="182" t="n">
        <v>0</v>
      </c>
      <c r="AA6161" s="182" t="n">
        <v>0</v>
      </c>
      <c r="AB6161" s="182" t="n">
        <v>0</v>
      </c>
      <c r="AC6161" s="182" t="n">
        <v>0</v>
      </c>
      <c r="AD6161" s="182" t="n">
        <v>0</v>
      </c>
      <c r="AE6161" s="182" t="n">
        <v>0</v>
      </c>
      <c r="AF6161" s="182" t="n">
        <v>0</v>
      </c>
      <c r="AG6161" s="182" t="n">
        <v>0</v>
      </c>
      <c r="AH6161" s="182" t="n">
        <v>0</v>
      </c>
      <c r="AI6161" s="182" t="n">
        <v>0</v>
      </c>
      <c r="AJ6161" s="182" t="n">
        <v>0</v>
      </c>
      <c r="AK6161" s="182" t="n">
        <v>0</v>
      </c>
      <c r="AL6161" s="182" t="n">
        <v>0</v>
      </c>
      <c r="AM6161" s="182" t="n">
        <v>0.07000000000000001</v>
      </c>
      <c r="AN6161" s="182" t="n">
        <v>0</v>
      </c>
    </row>
    <row r="6162">
      <c r="A6162" s="155" t="n">
        <v>46110</v>
      </c>
      <c r="B6162" s="156" t="inlineStr">
        <is>
          <t>DS</t>
        </is>
      </c>
      <c r="C6162" s="156" t="inlineStr">
        <is>
          <t>DZ-034</t>
        </is>
      </c>
      <c r="D6162" s="156" t="inlineStr">
        <is>
          <t>D 68ESS-12EO</t>
        </is>
      </c>
      <c r="E6162" s="156" t="inlineStr">
        <is>
          <t>Bulldozer</t>
        </is>
      </c>
      <c r="F6162" s="156" t="inlineStr">
        <is>
          <t>Support ROM</t>
        </is>
      </c>
      <c r="G6162" s="182" t="n">
        <v>6.78</v>
      </c>
      <c r="H6162" s="182" t="n">
        <v>0</v>
      </c>
      <c r="I6162" s="182" t="n">
        <v>1.83</v>
      </c>
      <c r="J6162" s="182" t="n">
        <v>1.83</v>
      </c>
      <c r="K6162" s="182" t="n">
        <v>3.39</v>
      </c>
      <c r="L6162" s="182" t="n">
        <v>12</v>
      </c>
      <c r="M6162" s="182" t="n">
        <v>0</v>
      </c>
      <c r="N6162" s="182" t="n">
        <v>0</v>
      </c>
      <c r="O6162" s="183" t="n">
        <v>0</v>
      </c>
      <c r="P6162" s="183" t="n">
        <v>0</v>
      </c>
      <c r="Q6162" s="184" t="n">
        <v>0</v>
      </c>
      <c r="R6162" s="184" t="n">
        <v>0</v>
      </c>
      <c r="S6162" s="183" t="n">
        <v>0</v>
      </c>
      <c r="T6162" s="183" t="n">
        <v>0</v>
      </c>
      <c r="U6162" s="182" t="n">
        <v>0</v>
      </c>
      <c r="V6162" s="182" t="n">
        <v>0</v>
      </c>
      <c r="W6162" s="182" t="n">
        <v>0</v>
      </c>
      <c r="X6162" s="182" t="n">
        <v>0.98</v>
      </c>
      <c r="Y6162" s="182" t="n">
        <v>0</v>
      </c>
      <c r="Z6162" s="182" t="n">
        <v>0</v>
      </c>
      <c r="AA6162" s="182" t="n">
        <v>0</v>
      </c>
      <c r="AB6162" s="182" t="n">
        <v>0.98</v>
      </c>
      <c r="AC6162" s="182" t="n">
        <v>0</v>
      </c>
      <c r="AD6162" s="182" t="n">
        <v>0</v>
      </c>
      <c r="AE6162" s="182" t="n">
        <v>0</v>
      </c>
      <c r="AF6162" s="182" t="n">
        <v>0</v>
      </c>
      <c r="AG6162" s="182" t="n">
        <v>0</v>
      </c>
      <c r="AH6162" s="182" t="n">
        <v>0</v>
      </c>
      <c r="AI6162" s="182" t="n">
        <v>0</v>
      </c>
      <c r="AJ6162" s="182" t="n">
        <v>0</v>
      </c>
      <c r="AK6162" s="182" t="n">
        <v>1.35</v>
      </c>
      <c r="AL6162" s="182" t="n">
        <v>0</v>
      </c>
      <c r="AM6162" s="182" t="n">
        <v>0.08</v>
      </c>
      <c r="AN6162" s="182" t="n">
        <v>0</v>
      </c>
    </row>
    <row r="6163">
      <c r="A6163" s="155" t="n">
        <v>46110</v>
      </c>
      <c r="B6163" s="156" t="inlineStr">
        <is>
          <t>DS</t>
        </is>
      </c>
      <c r="C6163" s="156" t="inlineStr">
        <is>
          <t>DZ-033</t>
        </is>
      </c>
      <c r="D6163" s="156" t="inlineStr">
        <is>
          <t>D 375A-6R</t>
        </is>
      </c>
      <c r="E6163" s="156" t="inlineStr">
        <is>
          <t>Bulldozer</t>
        </is>
      </c>
      <c r="F6163" s="156" t="inlineStr">
        <is>
          <t>Support Disposal</t>
        </is>
      </c>
      <c r="G6163" s="182" t="n">
        <v>10.11</v>
      </c>
      <c r="H6163" s="182" t="n">
        <v>0</v>
      </c>
      <c r="I6163" s="182" t="n">
        <v>0.35</v>
      </c>
      <c r="J6163" s="182" t="n">
        <v>0.35</v>
      </c>
      <c r="K6163" s="182" t="n">
        <v>1.54</v>
      </c>
      <c r="L6163" s="182" t="n">
        <v>12</v>
      </c>
      <c r="M6163" s="182" t="n">
        <v>0</v>
      </c>
      <c r="N6163" s="182" t="n">
        <v>0</v>
      </c>
      <c r="O6163" s="183" t="n">
        <v>0</v>
      </c>
      <c r="P6163" s="183" t="n">
        <v>0</v>
      </c>
      <c r="Q6163" s="184" t="n">
        <v>0</v>
      </c>
      <c r="R6163" s="184" t="n">
        <v>0</v>
      </c>
      <c r="S6163" s="183" t="n">
        <v>0</v>
      </c>
      <c r="T6163" s="183" t="n">
        <v>0</v>
      </c>
      <c r="U6163" s="182" t="n">
        <v>0</v>
      </c>
      <c r="V6163" s="182" t="n">
        <v>0</v>
      </c>
      <c r="W6163" s="182" t="n">
        <v>0</v>
      </c>
      <c r="X6163" s="182" t="n">
        <v>0.93</v>
      </c>
      <c r="Y6163" s="182" t="n">
        <v>0</v>
      </c>
      <c r="Z6163" s="182" t="n">
        <v>0</v>
      </c>
      <c r="AA6163" s="182" t="n">
        <v>0</v>
      </c>
      <c r="AB6163" s="182" t="n">
        <v>0.53</v>
      </c>
      <c r="AC6163" s="182" t="n">
        <v>0</v>
      </c>
      <c r="AD6163" s="182" t="n">
        <v>0</v>
      </c>
      <c r="AE6163" s="182" t="n">
        <v>0</v>
      </c>
      <c r="AF6163" s="182" t="n">
        <v>0</v>
      </c>
      <c r="AG6163" s="182" t="n">
        <v>0</v>
      </c>
      <c r="AH6163" s="182" t="n">
        <v>0</v>
      </c>
      <c r="AI6163" s="182" t="n">
        <v>0</v>
      </c>
      <c r="AJ6163" s="182" t="n">
        <v>0</v>
      </c>
      <c r="AK6163" s="182" t="n">
        <v>0</v>
      </c>
      <c r="AL6163" s="182" t="n">
        <v>0</v>
      </c>
      <c r="AM6163" s="182" t="n">
        <v>0.07000000000000001</v>
      </c>
      <c r="AN6163" s="182" t="n">
        <v>0</v>
      </c>
    </row>
    <row r="6164">
      <c r="A6164" s="155" t="n">
        <v>46110</v>
      </c>
      <c r="B6164" s="156" t="inlineStr">
        <is>
          <t>DS</t>
        </is>
      </c>
      <c r="C6164" s="156" t="inlineStr">
        <is>
          <t>DZ-038</t>
        </is>
      </c>
      <c r="D6164" s="156" t="inlineStr">
        <is>
          <t>D 85 ESS-2</t>
        </is>
      </c>
      <c r="E6164" s="156" t="inlineStr">
        <is>
          <t>Bulldozer</t>
        </is>
      </c>
      <c r="F6164" s="156" t="inlineStr"/>
      <c r="G6164" s="182" t="n">
        <v>0</v>
      </c>
      <c r="H6164" s="182" t="n">
        <v>0</v>
      </c>
      <c r="I6164" s="182" t="n">
        <v>12</v>
      </c>
      <c r="J6164" s="182" t="n">
        <v>12</v>
      </c>
      <c r="K6164" s="182" t="n">
        <v>0</v>
      </c>
      <c r="L6164" s="182" t="n">
        <v>12</v>
      </c>
      <c r="M6164" s="182" t="n">
        <v>0</v>
      </c>
      <c r="N6164" s="182" t="n">
        <v>0</v>
      </c>
      <c r="O6164" s="183" t="n">
        <v>0</v>
      </c>
      <c r="P6164" s="183" t="n">
        <v>0</v>
      </c>
      <c r="Q6164" s="184" t="n">
        <v>0</v>
      </c>
      <c r="R6164" s="184" t="n">
        <v>0</v>
      </c>
      <c r="S6164" s="183" t="n">
        <v>0</v>
      </c>
      <c r="T6164" s="183" t="n">
        <v>0</v>
      </c>
      <c r="U6164" s="182" t="n">
        <v>0</v>
      </c>
      <c r="V6164" s="182" t="n">
        <v>0</v>
      </c>
      <c r="W6164" s="182" t="n">
        <v>0</v>
      </c>
      <c r="X6164" s="182" t="n">
        <v>0</v>
      </c>
      <c r="Y6164" s="182" t="n">
        <v>0</v>
      </c>
      <c r="Z6164" s="182" t="n">
        <v>0</v>
      </c>
      <c r="AA6164" s="182" t="n">
        <v>0</v>
      </c>
      <c r="AB6164" s="182" t="n">
        <v>0</v>
      </c>
      <c r="AC6164" s="182" t="n">
        <v>0</v>
      </c>
      <c r="AD6164" s="182" t="n">
        <v>0</v>
      </c>
      <c r="AE6164" s="182" t="n">
        <v>0</v>
      </c>
      <c r="AF6164" s="182" t="n">
        <v>0</v>
      </c>
      <c r="AG6164" s="182" t="n">
        <v>0</v>
      </c>
      <c r="AH6164" s="182" t="n">
        <v>0</v>
      </c>
      <c r="AI6164" s="182" t="n">
        <v>0</v>
      </c>
      <c r="AJ6164" s="182" t="n">
        <v>0</v>
      </c>
      <c r="AK6164" s="182" t="n">
        <v>0</v>
      </c>
      <c r="AL6164" s="182" t="n">
        <v>0</v>
      </c>
      <c r="AM6164" s="182" t="n">
        <v>0</v>
      </c>
      <c r="AN6164" s="182" t="n">
        <v>0</v>
      </c>
    </row>
    <row r="6165">
      <c r="A6165" s="155" t="n">
        <v>46110</v>
      </c>
      <c r="B6165" s="156" t="inlineStr">
        <is>
          <t>DS</t>
        </is>
      </c>
      <c r="C6165" s="156" t="inlineStr">
        <is>
          <t>DZ-039</t>
        </is>
      </c>
      <c r="D6165" s="156" t="inlineStr">
        <is>
          <t>D 85 ESS-2</t>
        </is>
      </c>
      <c r="E6165" s="156" t="inlineStr">
        <is>
          <t>Bulldozer</t>
        </is>
      </c>
      <c r="F6165" s="156" t="inlineStr">
        <is>
          <t>Support Disposal &amp; Front Loading</t>
        </is>
      </c>
      <c r="G6165" s="182" t="n">
        <v>11.04</v>
      </c>
      <c r="H6165" s="182" t="n">
        <v>0</v>
      </c>
      <c r="I6165" s="182" t="n">
        <v>0</v>
      </c>
      <c r="J6165" s="182" t="n">
        <v>0</v>
      </c>
      <c r="K6165" s="182" t="n">
        <v>0.96</v>
      </c>
      <c r="L6165" s="182" t="n">
        <v>12</v>
      </c>
      <c r="M6165" s="182" t="n">
        <v>0</v>
      </c>
      <c r="N6165" s="182" t="n">
        <v>0</v>
      </c>
      <c r="O6165" s="183" t="n">
        <v>0</v>
      </c>
      <c r="P6165" s="183" t="n">
        <v>0</v>
      </c>
      <c r="Q6165" s="184" t="n">
        <v>0</v>
      </c>
      <c r="R6165" s="184" t="n">
        <v>0</v>
      </c>
      <c r="S6165" s="183" t="n">
        <v>0</v>
      </c>
      <c r="T6165" s="183" t="n">
        <v>0</v>
      </c>
      <c r="U6165" s="182" t="n">
        <v>0</v>
      </c>
      <c r="V6165" s="182" t="n">
        <v>0</v>
      </c>
      <c r="W6165" s="182" t="n">
        <v>0</v>
      </c>
      <c r="X6165" s="182" t="n">
        <v>0.87</v>
      </c>
      <c r="Y6165" s="182" t="n">
        <v>0</v>
      </c>
      <c r="Z6165" s="182" t="n">
        <v>0</v>
      </c>
      <c r="AA6165" s="182" t="n">
        <v>0</v>
      </c>
      <c r="AB6165" s="182" t="n">
        <v>0.02</v>
      </c>
      <c r="AC6165" s="182" t="n">
        <v>0</v>
      </c>
      <c r="AD6165" s="182" t="n">
        <v>0</v>
      </c>
      <c r="AE6165" s="182" t="n">
        <v>0</v>
      </c>
      <c r="AF6165" s="182" t="n">
        <v>0</v>
      </c>
      <c r="AG6165" s="182" t="n">
        <v>0</v>
      </c>
      <c r="AH6165" s="182" t="n">
        <v>0</v>
      </c>
      <c r="AI6165" s="182" t="n">
        <v>0</v>
      </c>
      <c r="AJ6165" s="182" t="n">
        <v>0</v>
      </c>
      <c r="AK6165" s="182" t="n">
        <v>0</v>
      </c>
      <c r="AL6165" s="182" t="n">
        <v>0</v>
      </c>
      <c r="AM6165" s="182" t="n">
        <v>0.07000000000000001</v>
      </c>
      <c r="AN6165" s="182" t="n">
        <v>0</v>
      </c>
    </row>
    <row r="6166">
      <c r="A6166" s="155" t="n">
        <v>46110</v>
      </c>
      <c r="B6166" s="156" t="inlineStr">
        <is>
          <t>DS</t>
        </is>
      </c>
      <c r="C6166" s="156" t="inlineStr">
        <is>
          <t>DZ-032</t>
        </is>
      </c>
      <c r="D6166" s="156" t="inlineStr">
        <is>
          <t>CAT</t>
        </is>
      </c>
      <c r="E6166" s="156" t="inlineStr">
        <is>
          <t>Bulldozer</t>
        </is>
      </c>
      <c r="F6166" s="156" t="inlineStr">
        <is>
          <t>Support Front Loading</t>
        </is>
      </c>
      <c r="G6166" s="182" t="n">
        <v>11.4</v>
      </c>
      <c r="H6166" s="182" t="n">
        <v>0</v>
      </c>
      <c r="I6166" s="182" t="n">
        <v>0.6</v>
      </c>
      <c r="J6166" s="182" t="n">
        <v>0.6</v>
      </c>
      <c r="K6166" s="182" t="n">
        <v>0</v>
      </c>
      <c r="L6166" s="182" t="n">
        <v>12</v>
      </c>
      <c r="M6166" s="182" t="n">
        <v>0</v>
      </c>
      <c r="N6166" s="182" t="n">
        <v>0</v>
      </c>
      <c r="O6166" s="183" t="n">
        <v>0</v>
      </c>
      <c r="P6166" s="183" t="n">
        <v>0</v>
      </c>
      <c r="Q6166" s="184" t="n">
        <v>0</v>
      </c>
      <c r="R6166" s="184" t="n">
        <v>0</v>
      </c>
      <c r="S6166" s="183" t="n">
        <v>0</v>
      </c>
      <c r="T6166" s="183" t="n">
        <v>0</v>
      </c>
      <c r="U6166" s="182" t="n">
        <v>0</v>
      </c>
      <c r="V6166" s="182" t="n">
        <v>0</v>
      </c>
      <c r="W6166" s="182" t="n">
        <v>0</v>
      </c>
      <c r="X6166" s="182" t="n">
        <v>0</v>
      </c>
      <c r="Y6166" s="182" t="n">
        <v>0</v>
      </c>
      <c r="Z6166" s="182" t="n">
        <v>0</v>
      </c>
      <c r="AA6166" s="182" t="n">
        <v>0</v>
      </c>
      <c r="AB6166" s="182" t="n">
        <v>0</v>
      </c>
      <c r="AC6166" s="182" t="n">
        <v>0</v>
      </c>
      <c r="AD6166" s="182" t="n">
        <v>0</v>
      </c>
      <c r="AE6166" s="182" t="n">
        <v>0</v>
      </c>
      <c r="AF6166" s="182" t="n">
        <v>0</v>
      </c>
      <c r="AG6166" s="182" t="n">
        <v>0</v>
      </c>
      <c r="AH6166" s="182" t="n">
        <v>0</v>
      </c>
      <c r="AI6166" s="182" t="n">
        <v>0</v>
      </c>
      <c r="AJ6166" s="182" t="n">
        <v>0</v>
      </c>
      <c r="AK6166" s="182" t="n">
        <v>0</v>
      </c>
      <c r="AL6166" s="182" t="n">
        <v>0</v>
      </c>
      <c r="AM6166" s="182" t="n">
        <v>0</v>
      </c>
      <c r="AN6166" s="182" t="n">
        <v>0</v>
      </c>
    </row>
    <row r="6167">
      <c r="A6167" s="155" t="n">
        <v>46110</v>
      </c>
      <c r="B6167" s="156" t="inlineStr">
        <is>
          <t>DS</t>
        </is>
      </c>
      <c r="C6167" s="156" t="inlineStr">
        <is>
          <t>DZ-031</t>
        </is>
      </c>
      <c r="D6167" s="156" t="inlineStr">
        <is>
          <t>CAT</t>
        </is>
      </c>
      <c r="E6167" s="156" t="inlineStr">
        <is>
          <t>Bulldozer</t>
        </is>
      </c>
      <c r="F6167" s="156" t="inlineStr"/>
      <c r="G6167" s="182" t="n">
        <v>0</v>
      </c>
      <c r="H6167" s="182" t="n">
        <v>0</v>
      </c>
      <c r="I6167" s="182" t="n">
        <v>12</v>
      </c>
      <c r="J6167" s="182" t="n">
        <v>12</v>
      </c>
      <c r="K6167" s="182" t="n">
        <v>0</v>
      </c>
      <c r="L6167" s="182" t="n">
        <v>12</v>
      </c>
      <c r="M6167" s="182" t="n">
        <v>0</v>
      </c>
      <c r="N6167" s="182" t="n">
        <v>0</v>
      </c>
      <c r="O6167" s="183" t="n">
        <v>0</v>
      </c>
      <c r="P6167" s="183" t="n">
        <v>0</v>
      </c>
      <c r="Q6167" s="184" t="n">
        <v>0</v>
      </c>
      <c r="R6167" s="184" t="n">
        <v>0</v>
      </c>
      <c r="S6167" s="183" t="n">
        <v>0</v>
      </c>
      <c r="T6167" s="183" t="n">
        <v>0</v>
      </c>
      <c r="U6167" s="182" t="n">
        <v>0</v>
      </c>
      <c r="V6167" s="182" t="n">
        <v>0</v>
      </c>
      <c r="W6167" s="182" t="n">
        <v>0</v>
      </c>
      <c r="X6167" s="182" t="n">
        <v>0</v>
      </c>
      <c r="Y6167" s="182" t="n">
        <v>0</v>
      </c>
      <c r="Z6167" s="182" t="n">
        <v>0</v>
      </c>
      <c r="AA6167" s="182" t="n">
        <v>0</v>
      </c>
      <c r="AB6167" s="182" t="n">
        <v>0</v>
      </c>
      <c r="AC6167" s="182" t="n">
        <v>0</v>
      </c>
      <c r="AD6167" s="182" t="n">
        <v>0</v>
      </c>
      <c r="AE6167" s="182" t="n">
        <v>0</v>
      </c>
      <c r="AF6167" s="182" t="n">
        <v>0</v>
      </c>
      <c r="AG6167" s="182" t="n">
        <v>0</v>
      </c>
      <c r="AH6167" s="182" t="n">
        <v>0</v>
      </c>
      <c r="AI6167" s="182" t="n">
        <v>0</v>
      </c>
      <c r="AJ6167" s="182" t="n">
        <v>0</v>
      </c>
      <c r="AK6167" s="182" t="n">
        <v>0</v>
      </c>
      <c r="AL6167" s="182" t="n">
        <v>0</v>
      </c>
      <c r="AM6167" s="182" t="n">
        <v>0</v>
      </c>
      <c r="AN6167" s="182" t="n">
        <v>0</v>
      </c>
    </row>
    <row r="6168">
      <c r="A6168" s="155" t="n">
        <v>46110</v>
      </c>
      <c r="B6168" s="156" t="inlineStr">
        <is>
          <t>DS</t>
        </is>
      </c>
      <c r="C6168" s="156" t="inlineStr">
        <is>
          <t>DZ-037</t>
        </is>
      </c>
      <c r="D6168" s="156" t="inlineStr">
        <is>
          <t>D 85 ESS-2</t>
        </is>
      </c>
      <c r="E6168" s="156" t="inlineStr">
        <is>
          <t>Bulldozer</t>
        </is>
      </c>
      <c r="F6168" s="156" t="inlineStr">
        <is>
          <t>Support Disposal</t>
        </is>
      </c>
      <c r="G6168" s="182" t="n">
        <v>8.51</v>
      </c>
      <c r="H6168" s="182" t="n">
        <v>0</v>
      </c>
      <c r="I6168" s="182" t="n">
        <v>0.23</v>
      </c>
      <c r="J6168" s="182" t="n">
        <v>0.23</v>
      </c>
      <c r="K6168" s="182" t="n">
        <v>3.26</v>
      </c>
      <c r="L6168" s="182" t="n">
        <v>12</v>
      </c>
      <c r="M6168" s="182" t="n">
        <v>0</v>
      </c>
      <c r="N6168" s="182" t="n">
        <v>0</v>
      </c>
      <c r="O6168" s="183" t="n">
        <v>0</v>
      </c>
      <c r="P6168" s="183" t="n">
        <v>0</v>
      </c>
      <c r="Q6168" s="184" t="n">
        <v>0</v>
      </c>
      <c r="R6168" s="184" t="n">
        <v>0</v>
      </c>
      <c r="S6168" s="183" t="n">
        <v>0</v>
      </c>
      <c r="T6168" s="183" t="n">
        <v>0</v>
      </c>
      <c r="U6168" s="182" t="n">
        <v>0</v>
      </c>
      <c r="V6168" s="182" t="n">
        <v>0</v>
      </c>
      <c r="W6168" s="182" t="n">
        <v>0</v>
      </c>
      <c r="X6168" s="182" t="n">
        <v>0.9399999999999999</v>
      </c>
      <c r="Y6168" s="182" t="n">
        <v>0</v>
      </c>
      <c r="Z6168" s="182" t="n">
        <v>0</v>
      </c>
      <c r="AA6168" s="182" t="n">
        <v>0</v>
      </c>
      <c r="AB6168" s="182" t="n">
        <v>0.9399999999999999</v>
      </c>
      <c r="AC6168" s="182" t="n">
        <v>0</v>
      </c>
      <c r="AD6168" s="182" t="n">
        <v>0</v>
      </c>
      <c r="AE6168" s="182" t="n">
        <v>0</v>
      </c>
      <c r="AF6168" s="182" t="n">
        <v>0</v>
      </c>
      <c r="AG6168" s="182" t="n">
        <v>0</v>
      </c>
      <c r="AH6168" s="182" t="n">
        <v>0</v>
      </c>
      <c r="AI6168" s="182" t="n">
        <v>0</v>
      </c>
      <c r="AJ6168" s="182" t="n">
        <v>0</v>
      </c>
      <c r="AK6168" s="182" t="n">
        <v>1.3</v>
      </c>
      <c r="AL6168" s="182" t="n">
        <v>0</v>
      </c>
      <c r="AM6168" s="182" t="n">
        <v>0.08</v>
      </c>
      <c r="AN6168" s="182" t="n">
        <v>0</v>
      </c>
    </row>
    <row r="6169">
      <c r="A6169" s="155" t="n">
        <v>46110</v>
      </c>
      <c r="B6169" s="156" t="inlineStr">
        <is>
          <t>DS</t>
        </is>
      </c>
      <c r="C6169" s="156" t="inlineStr">
        <is>
          <t>DZ-036</t>
        </is>
      </c>
      <c r="D6169" s="156" t="inlineStr">
        <is>
          <t>D 85 ESS-2</t>
        </is>
      </c>
      <c r="E6169" s="156" t="inlineStr">
        <is>
          <t>Bulldozer</t>
        </is>
      </c>
      <c r="F6169" s="156" t="inlineStr"/>
      <c r="G6169" s="182" t="n">
        <v>0</v>
      </c>
      <c r="H6169" s="182" t="n">
        <v>0</v>
      </c>
      <c r="I6169" s="182" t="n">
        <v>0</v>
      </c>
      <c r="J6169" s="182" t="n">
        <v>0</v>
      </c>
      <c r="K6169" s="182" t="n">
        <v>12</v>
      </c>
      <c r="L6169" s="182" t="n">
        <v>12</v>
      </c>
      <c r="M6169" s="182" t="n">
        <v>0</v>
      </c>
      <c r="N6169" s="182" t="n">
        <v>0</v>
      </c>
      <c r="O6169" s="183" t="n">
        <v>0</v>
      </c>
      <c r="P6169" s="183" t="n">
        <v>0</v>
      </c>
      <c r="Q6169" s="184" t="n">
        <v>0</v>
      </c>
      <c r="R6169" s="184" t="n">
        <v>0</v>
      </c>
      <c r="S6169" s="183" t="n">
        <v>0</v>
      </c>
      <c r="T6169" s="183" t="n">
        <v>0</v>
      </c>
      <c r="U6169" s="182" t="n">
        <v>0</v>
      </c>
      <c r="V6169" s="182" t="n">
        <v>0</v>
      </c>
      <c r="W6169" s="182" t="n">
        <v>0</v>
      </c>
      <c r="X6169" s="182" t="n">
        <v>1</v>
      </c>
      <c r="Y6169" s="182" t="n">
        <v>0</v>
      </c>
      <c r="Z6169" s="182" t="n">
        <v>0</v>
      </c>
      <c r="AA6169" s="182" t="n">
        <v>0</v>
      </c>
      <c r="AB6169" s="182" t="n">
        <v>1</v>
      </c>
      <c r="AC6169" s="182" t="n">
        <v>0</v>
      </c>
      <c r="AD6169" s="182" t="n">
        <v>0</v>
      </c>
      <c r="AE6169" s="182" t="n">
        <v>0</v>
      </c>
      <c r="AF6169" s="182" t="n">
        <v>0</v>
      </c>
      <c r="AG6169" s="182" t="n">
        <v>0</v>
      </c>
      <c r="AH6169" s="182" t="n">
        <v>0</v>
      </c>
      <c r="AI6169" s="182" t="n">
        <v>0</v>
      </c>
      <c r="AJ6169" s="182" t="n">
        <v>0</v>
      </c>
      <c r="AK6169" s="182" t="n">
        <v>9.92</v>
      </c>
      <c r="AL6169" s="182" t="n">
        <v>0</v>
      </c>
      <c r="AM6169" s="182" t="n">
        <v>0.08</v>
      </c>
      <c r="AN6169" s="182" t="n">
        <v>0</v>
      </c>
    </row>
    <row r="6170">
      <c r="A6170" s="155" t="n">
        <v>46110</v>
      </c>
      <c r="B6170" s="156" t="inlineStr">
        <is>
          <t>DS</t>
        </is>
      </c>
      <c r="C6170" s="156" t="inlineStr">
        <is>
          <t>DZ-035</t>
        </is>
      </c>
      <c r="D6170" s="156" t="inlineStr">
        <is>
          <t>D 85 ESS-2</t>
        </is>
      </c>
      <c r="E6170" s="156" t="inlineStr">
        <is>
          <t>Bulldozer</t>
        </is>
      </c>
      <c r="F6170" s="156" t="inlineStr"/>
      <c r="G6170" s="182" t="n">
        <v>0</v>
      </c>
      <c r="H6170" s="182" t="n">
        <v>0</v>
      </c>
      <c r="I6170" s="182" t="n">
        <v>12</v>
      </c>
      <c r="J6170" s="182" t="n">
        <v>12</v>
      </c>
      <c r="K6170" s="182" t="n">
        <v>0</v>
      </c>
      <c r="L6170" s="182" t="n">
        <v>12</v>
      </c>
      <c r="M6170" s="182" t="n">
        <v>0</v>
      </c>
      <c r="N6170" s="182" t="n">
        <v>0</v>
      </c>
      <c r="O6170" s="183" t="n">
        <v>0</v>
      </c>
      <c r="P6170" s="183" t="n">
        <v>0</v>
      </c>
      <c r="Q6170" s="184" t="n">
        <v>0</v>
      </c>
      <c r="R6170" s="184" t="n">
        <v>0</v>
      </c>
      <c r="S6170" s="183" t="n">
        <v>0</v>
      </c>
      <c r="T6170" s="183" t="n">
        <v>0</v>
      </c>
      <c r="U6170" s="182" t="n">
        <v>0</v>
      </c>
      <c r="V6170" s="182" t="n">
        <v>0</v>
      </c>
      <c r="W6170" s="182" t="n">
        <v>0</v>
      </c>
      <c r="X6170" s="182" t="n">
        <v>0</v>
      </c>
      <c r="Y6170" s="182" t="n">
        <v>0</v>
      </c>
      <c r="Z6170" s="182" t="n">
        <v>0</v>
      </c>
      <c r="AA6170" s="182" t="n">
        <v>0</v>
      </c>
      <c r="AB6170" s="182" t="n">
        <v>0</v>
      </c>
      <c r="AC6170" s="182" t="n">
        <v>0</v>
      </c>
      <c r="AD6170" s="182" t="n">
        <v>0</v>
      </c>
      <c r="AE6170" s="182" t="n">
        <v>0</v>
      </c>
      <c r="AF6170" s="182" t="n">
        <v>0</v>
      </c>
      <c r="AG6170" s="182" t="n">
        <v>0</v>
      </c>
      <c r="AH6170" s="182" t="n">
        <v>0</v>
      </c>
      <c r="AI6170" s="182" t="n">
        <v>0</v>
      </c>
      <c r="AJ6170" s="182" t="n">
        <v>0</v>
      </c>
      <c r="AK6170" s="182" t="n">
        <v>0</v>
      </c>
      <c r="AL6170" s="182" t="n">
        <v>0</v>
      </c>
      <c r="AM6170" s="182" t="n">
        <v>0</v>
      </c>
      <c r="AN6170" s="182" t="n">
        <v>0</v>
      </c>
    </row>
    <row r="6171">
      <c r="A6171" s="155" t="n">
        <v>46110</v>
      </c>
      <c r="B6171" s="156" t="inlineStr">
        <is>
          <t>DS</t>
        </is>
      </c>
      <c r="C6171" s="156" t="inlineStr">
        <is>
          <t>CP-042</t>
        </is>
      </c>
      <c r="D6171" s="156" t="inlineStr">
        <is>
          <t>SANY - Compactor</t>
        </is>
      </c>
      <c r="E6171" s="156" t="inlineStr">
        <is>
          <t>Compactor</t>
        </is>
      </c>
      <c r="F6171" s="156" t="inlineStr"/>
      <c r="G6171" s="182" t="n">
        <v>0</v>
      </c>
      <c r="H6171" s="182" t="n">
        <v>0</v>
      </c>
      <c r="I6171" s="182" t="n">
        <v>0</v>
      </c>
      <c r="J6171" s="182" t="n">
        <v>0</v>
      </c>
      <c r="K6171" s="182" t="n">
        <v>12</v>
      </c>
      <c r="L6171" s="182" t="n">
        <v>12</v>
      </c>
      <c r="M6171" s="182" t="n">
        <v>0</v>
      </c>
      <c r="N6171" s="182" t="n">
        <v>0</v>
      </c>
      <c r="O6171" s="183" t="n">
        <v>0</v>
      </c>
      <c r="P6171" s="183" t="n">
        <v>0</v>
      </c>
      <c r="Q6171" s="184" t="n">
        <v>0</v>
      </c>
      <c r="R6171" s="184" t="n">
        <v>0</v>
      </c>
      <c r="S6171" s="183" t="n">
        <v>0</v>
      </c>
      <c r="T6171" s="183" t="n">
        <v>0</v>
      </c>
      <c r="U6171" s="182" t="n">
        <v>0</v>
      </c>
      <c r="V6171" s="182" t="n">
        <v>0</v>
      </c>
      <c r="W6171" s="182" t="n">
        <v>0</v>
      </c>
      <c r="X6171" s="182" t="n">
        <v>1</v>
      </c>
      <c r="Y6171" s="182" t="n">
        <v>0</v>
      </c>
      <c r="Z6171" s="182" t="n">
        <v>0</v>
      </c>
      <c r="AA6171" s="182" t="n">
        <v>0</v>
      </c>
      <c r="AB6171" s="182" t="n">
        <v>1</v>
      </c>
      <c r="AC6171" s="182" t="n">
        <v>0</v>
      </c>
      <c r="AD6171" s="182" t="n">
        <v>0</v>
      </c>
      <c r="AE6171" s="182" t="n">
        <v>0</v>
      </c>
      <c r="AF6171" s="182" t="n">
        <v>0</v>
      </c>
      <c r="AG6171" s="182" t="n">
        <v>0</v>
      </c>
      <c r="AH6171" s="182" t="n">
        <v>0</v>
      </c>
      <c r="AI6171" s="182" t="n">
        <v>0</v>
      </c>
      <c r="AJ6171" s="182" t="n">
        <v>0</v>
      </c>
      <c r="AK6171" s="182" t="n">
        <v>9.92</v>
      </c>
      <c r="AL6171" s="182" t="n">
        <v>0</v>
      </c>
      <c r="AM6171" s="182" t="n">
        <v>0.08</v>
      </c>
      <c r="AN6171" s="182" t="n">
        <v>0</v>
      </c>
    </row>
    <row r="6172">
      <c r="A6172" s="155" t="n">
        <v>46110</v>
      </c>
      <c r="B6172" s="156" t="inlineStr">
        <is>
          <t>DS</t>
        </is>
      </c>
      <c r="C6172" s="156" t="inlineStr">
        <is>
          <t>CP-041</t>
        </is>
      </c>
      <c r="D6172" s="156" t="inlineStr">
        <is>
          <t>SANY - Compactor</t>
        </is>
      </c>
      <c r="E6172" s="156" t="inlineStr">
        <is>
          <t>Compactor</t>
        </is>
      </c>
      <c r="F6172" s="156" t="inlineStr">
        <is>
          <t>Support Washing Plant</t>
        </is>
      </c>
      <c r="G6172" s="182" t="n">
        <v>9.449999999999999</v>
      </c>
      <c r="H6172" s="182" t="n">
        <v>0</v>
      </c>
      <c r="I6172" s="182" t="n">
        <v>0</v>
      </c>
      <c r="J6172" s="182" t="n">
        <v>0</v>
      </c>
      <c r="K6172" s="182" t="n">
        <v>2.55</v>
      </c>
      <c r="L6172" s="182" t="n">
        <v>12</v>
      </c>
      <c r="M6172" s="182" t="n">
        <v>0</v>
      </c>
      <c r="N6172" s="182" t="n">
        <v>0</v>
      </c>
      <c r="O6172" s="183" t="n">
        <v>0</v>
      </c>
      <c r="P6172" s="183" t="n">
        <v>0</v>
      </c>
      <c r="Q6172" s="184" t="n">
        <v>0</v>
      </c>
      <c r="R6172" s="184" t="n">
        <v>0</v>
      </c>
      <c r="S6172" s="183" t="n">
        <v>0</v>
      </c>
      <c r="T6172" s="183" t="n">
        <v>0</v>
      </c>
      <c r="U6172" s="182" t="n">
        <v>0</v>
      </c>
      <c r="V6172" s="182" t="n">
        <v>0</v>
      </c>
      <c r="W6172" s="182" t="n">
        <v>0</v>
      </c>
      <c r="X6172" s="182" t="n">
        <v>0.91</v>
      </c>
      <c r="Y6172" s="182" t="n">
        <v>0</v>
      </c>
      <c r="Z6172" s="182" t="n">
        <v>0</v>
      </c>
      <c r="AA6172" s="182" t="n">
        <v>0</v>
      </c>
      <c r="AB6172" s="182" t="n">
        <v>0.91</v>
      </c>
      <c r="AC6172" s="182" t="n">
        <v>0</v>
      </c>
      <c r="AD6172" s="182" t="n">
        <v>0</v>
      </c>
      <c r="AE6172" s="182" t="n">
        <v>0</v>
      </c>
      <c r="AF6172" s="182" t="n">
        <v>0</v>
      </c>
      <c r="AG6172" s="182" t="n">
        <v>0</v>
      </c>
      <c r="AH6172" s="182" t="n">
        <v>0.66</v>
      </c>
      <c r="AI6172" s="182" t="n">
        <v>0</v>
      </c>
      <c r="AJ6172" s="182" t="n">
        <v>0</v>
      </c>
      <c r="AK6172" s="182" t="n">
        <v>0</v>
      </c>
      <c r="AL6172" s="182" t="n">
        <v>0</v>
      </c>
      <c r="AM6172" s="182" t="n">
        <v>0.07000000000000001</v>
      </c>
      <c r="AN6172" s="182" t="n">
        <v>0</v>
      </c>
    </row>
    <row r="6173">
      <c r="A6173" s="155" t="n">
        <v>46110</v>
      </c>
      <c r="B6173" s="156" t="inlineStr">
        <is>
          <t>DS</t>
        </is>
      </c>
      <c r="C6173" s="156" t="inlineStr">
        <is>
          <t>HT-418</t>
        </is>
      </c>
      <c r="D6173" s="156" t="inlineStr">
        <is>
          <t>SY430</t>
        </is>
      </c>
      <c r="E6173" s="156" t="inlineStr">
        <is>
          <t>DT Hauling</t>
        </is>
      </c>
      <c r="F6173" s="156" t="inlineStr"/>
      <c r="G6173" s="182" t="n">
        <v>0</v>
      </c>
      <c r="H6173" s="182" t="n">
        <v>0</v>
      </c>
      <c r="I6173" s="182" t="n">
        <v>0</v>
      </c>
      <c r="J6173" s="182" t="n">
        <v>0</v>
      </c>
      <c r="K6173" s="182" t="n">
        <v>12</v>
      </c>
      <c r="L6173" s="182" t="n">
        <v>12</v>
      </c>
      <c r="M6173" s="182" t="n">
        <v>0</v>
      </c>
      <c r="N6173" s="182" t="n">
        <v>0</v>
      </c>
      <c r="O6173" s="183" t="n">
        <v>0</v>
      </c>
      <c r="P6173" s="183" t="n">
        <v>0</v>
      </c>
      <c r="Q6173" s="184" t="n">
        <v>0</v>
      </c>
      <c r="R6173" s="184" t="n">
        <v>0</v>
      </c>
      <c r="S6173" s="183" t="n">
        <v>0</v>
      </c>
      <c r="T6173" s="183" t="n">
        <v>0</v>
      </c>
      <c r="U6173" s="182" t="n">
        <v>0</v>
      </c>
      <c r="V6173" s="182" t="n">
        <v>0</v>
      </c>
      <c r="W6173" s="182" t="n">
        <v>0</v>
      </c>
      <c r="X6173" s="182" t="n">
        <v>1</v>
      </c>
      <c r="Y6173" s="182" t="n">
        <v>0</v>
      </c>
      <c r="Z6173" s="182" t="n">
        <v>0</v>
      </c>
      <c r="AA6173" s="182" t="n">
        <v>0</v>
      </c>
      <c r="AB6173" s="182" t="n">
        <v>1</v>
      </c>
      <c r="AC6173" s="182" t="n">
        <v>0</v>
      </c>
      <c r="AD6173" s="182" t="n">
        <v>0</v>
      </c>
      <c r="AE6173" s="182" t="n">
        <v>0</v>
      </c>
      <c r="AF6173" s="182" t="n">
        <v>0</v>
      </c>
      <c r="AG6173" s="182" t="n">
        <v>0</v>
      </c>
      <c r="AH6173" s="182" t="n">
        <v>0</v>
      </c>
      <c r="AI6173" s="182" t="n">
        <v>0</v>
      </c>
      <c r="AJ6173" s="182" t="n">
        <v>0</v>
      </c>
      <c r="AK6173" s="182" t="n">
        <v>9.92</v>
      </c>
      <c r="AL6173" s="182" t="n">
        <v>0</v>
      </c>
      <c r="AM6173" s="182" t="n">
        <v>0.08</v>
      </c>
      <c r="AN6173" s="182" t="n">
        <v>0</v>
      </c>
    </row>
    <row r="6174">
      <c r="A6174" s="155" t="n">
        <v>46110</v>
      </c>
      <c r="B6174" s="156" t="inlineStr">
        <is>
          <t>DS</t>
        </is>
      </c>
      <c r="C6174" s="156" t="inlineStr">
        <is>
          <t>HT-404</t>
        </is>
      </c>
      <c r="D6174" s="156" t="inlineStr">
        <is>
          <t>SY430</t>
        </is>
      </c>
      <c r="E6174" s="156" t="inlineStr">
        <is>
          <t>DT Hauling</t>
        </is>
      </c>
      <c r="F6174" s="156" t="inlineStr"/>
      <c r="G6174" s="182" t="n">
        <v>0</v>
      </c>
      <c r="H6174" s="182" t="n">
        <v>0</v>
      </c>
      <c r="I6174" s="182" t="n">
        <v>12</v>
      </c>
      <c r="J6174" s="182" t="n">
        <v>12</v>
      </c>
      <c r="K6174" s="182" t="n">
        <v>0</v>
      </c>
      <c r="L6174" s="182" t="n">
        <v>12</v>
      </c>
      <c r="M6174" s="182" t="n">
        <v>0</v>
      </c>
      <c r="N6174" s="182" t="n">
        <v>0</v>
      </c>
      <c r="O6174" s="183" t="n">
        <v>0</v>
      </c>
      <c r="P6174" s="183" t="n">
        <v>0</v>
      </c>
      <c r="Q6174" s="184" t="n">
        <v>0</v>
      </c>
      <c r="R6174" s="184" t="n">
        <v>0</v>
      </c>
      <c r="S6174" s="183" t="n">
        <v>0</v>
      </c>
      <c r="T6174" s="183" t="n">
        <v>0</v>
      </c>
      <c r="U6174" s="182" t="n">
        <v>0</v>
      </c>
      <c r="V6174" s="182" t="n">
        <v>0</v>
      </c>
      <c r="W6174" s="182" t="n">
        <v>0</v>
      </c>
      <c r="X6174" s="182" t="n">
        <v>0</v>
      </c>
      <c r="Y6174" s="182" t="n">
        <v>0</v>
      </c>
      <c r="Z6174" s="182" t="n">
        <v>0</v>
      </c>
      <c r="AA6174" s="182" t="n">
        <v>0</v>
      </c>
      <c r="AB6174" s="182" t="n">
        <v>0</v>
      </c>
      <c r="AC6174" s="182" t="n">
        <v>0</v>
      </c>
      <c r="AD6174" s="182" t="n">
        <v>0</v>
      </c>
      <c r="AE6174" s="182" t="n">
        <v>0</v>
      </c>
      <c r="AF6174" s="182" t="n">
        <v>0</v>
      </c>
      <c r="AG6174" s="182" t="n">
        <v>0</v>
      </c>
      <c r="AH6174" s="182" t="n">
        <v>0</v>
      </c>
      <c r="AI6174" s="182" t="n">
        <v>0</v>
      </c>
      <c r="AJ6174" s="182" t="n">
        <v>0</v>
      </c>
      <c r="AK6174" s="182" t="n">
        <v>0</v>
      </c>
      <c r="AL6174" s="182" t="n">
        <v>0</v>
      </c>
      <c r="AM6174" s="182" t="n">
        <v>0</v>
      </c>
      <c r="AN6174" s="182" t="n">
        <v>0</v>
      </c>
    </row>
    <row r="6175">
      <c r="A6175" s="155" t="n">
        <v>46110</v>
      </c>
      <c r="B6175" s="156" t="inlineStr">
        <is>
          <t>DS</t>
        </is>
      </c>
      <c r="C6175" s="156" t="inlineStr">
        <is>
          <t>HT-415</t>
        </is>
      </c>
      <c r="D6175" s="156" t="inlineStr">
        <is>
          <t>SY430</t>
        </is>
      </c>
      <c r="E6175" s="156" t="inlineStr">
        <is>
          <t>DT Hauling</t>
        </is>
      </c>
      <c r="F6175" s="156" t="inlineStr"/>
      <c r="G6175" s="182" t="n">
        <v>0</v>
      </c>
      <c r="H6175" s="182" t="n">
        <v>0</v>
      </c>
      <c r="I6175" s="182" t="n">
        <v>12</v>
      </c>
      <c r="J6175" s="182" t="n">
        <v>12</v>
      </c>
      <c r="K6175" s="182" t="n">
        <v>0</v>
      </c>
      <c r="L6175" s="182" t="n">
        <v>12</v>
      </c>
      <c r="M6175" s="182" t="n">
        <v>0</v>
      </c>
      <c r="N6175" s="182" t="n">
        <v>0</v>
      </c>
      <c r="O6175" s="183" t="n">
        <v>0</v>
      </c>
      <c r="P6175" s="183" t="n">
        <v>0</v>
      </c>
      <c r="Q6175" s="184" t="n">
        <v>0</v>
      </c>
      <c r="R6175" s="184" t="n">
        <v>0</v>
      </c>
      <c r="S6175" s="183" t="n">
        <v>0</v>
      </c>
      <c r="T6175" s="183" t="n">
        <v>0</v>
      </c>
      <c r="U6175" s="182" t="n">
        <v>0</v>
      </c>
      <c r="V6175" s="182" t="n">
        <v>0</v>
      </c>
      <c r="W6175" s="182" t="n">
        <v>0</v>
      </c>
      <c r="X6175" s="182" t="n">
        <v>0</v>
      </c>
      <c r="Y6175" s="182" t="n">
        <v>0</v>
      </c>
      <c r="Z6175" s="182" t="n">
        <v>0</v>
      </c>
      <c r="AA6175" s="182" t="n">
        <v>0</v>
      </c>
      <c r="AB6175" s="182" t="n">
        <v>0</v>
      </c>
      <c r="AC6175" s="182" t="n">
        <v>0</v>
      </c>
      <c r="AD6175" s="182" t="n">
        <v>0</v>
      </c>
      <c r="AE6175" s="182" t="n">
        <v>0</v>
      </c>
      <c r="AF6175" s="182" t="n">
        <v>0</v>
      </c>
      <c r="AG6175" s="182" t="n">
        <v>0</v>
      </c>
      <c r="AH6175" s="182" t="n">
        <v>0</v>
      </c>
      <c r="AI6175" s="182" t="n">
        <v>0</v>
      </c>
      <c r="AJ6175" s="182" t="n">
        <v>0</v>
      </c>
      <c r="AK6175" s="182" t="n">
        <v>0</v>
      </c>
      <c r="AL6175" s="182" t="n">
        <v>0</v>
      </c>
      <c r="AM6175" s="182" t="n">
        <v>0</v>
      </c>
      <c r="AN6175" s="182" t="n">
        <v>0</v>
      </c>
    </row>
    <row r="6176">
      <c r="A6176" s="155" t="n">
        <v>46110</v>
      </c>
      <c r="B6176" s="156" t="inlineStr">
        <is>
          <t>DS</t>
        </is>
      </c>
      <c r="C6176" s="156" t="inlineStr">
        <is>
          <t>HT-406</t>
        </is>
      </c>
      <c r="D6176" s="156" t="inlineStr">
        <is>
          <t>SY430</t>
        </is>
      </c>
      <c r="E6176" s="156" t="inlineStr">
        <is>
          <t>DT Hauling</t>
        </is>
      </c>
      <c r="F6176" s="156" t="inlineStr"/>
      <c r="G6176" s="182" t="n">
        <v>0</v>
      </c>
      <c r="H6176" s="182" t="n">
        <v>0</v>
      </c>
      <c r="I6176" s="182" t="n">
        <v>12</v>
      </c>
      <c r="J6176" s="182" t="n">
        <v>12</v>
      </c>
      <c r="K6176" s="182" t="n">
        <v>0</v>
      </c>
      <c r="L6176" s="182" t="n">
        <v>12</v>
      </c>
      <c r="M6176" s="182" t="n">
        <v>0</v>
      </c>
      <c r="N6176" s="182" t="n">
        <v>0</v>
      </c>
      <c r="O6176" s="183" t="n">
        <v>0</v>
      </c>
      <c r="P6176" s="183" t="n">
        <v>0</v>
      </c>
      <c r="Q6176" s="184" t="n">
        <v>0</v>
      </c>
      <c r="R6176" s="184" t="n">
        <v>0</v>
      </c>
      <c r="S6176" s="183" t="n">
        <v>0</v>
      </c>
      <c r="T6176" s="183" t="n">
        <v>0</v>
      </c>
      <c r="U6176" s="182" t="n">
        <v>0</v>
      </c>
      <c r="V6176" s="182" t="n">
        <v>0</v>
      </c>
      <c r="W6176" s="182" t="n">
        <v>0</v>
      </c>
      <c r="X6176" s="182" t="n">
        <v>0</v>
      </c>
      <c r="Y6176" s="182" t="n">
        <v>0</v>
      </c>
      <c r="Z6176" s="182" t="n">
        <v>0</v>
      </c>
      <c r="AA6176" s="182" t="n">
        <v>0</v>
      </c>
      <c r="AB6176" s="182" t="n">
        <v>0</v>
      </c>
      <c r="AC6176" s="182" t="n">
        <v>0</v>
      </c>
      <c r="AD6176" s="182" t="n">
        <v>0</v>
      </c>
      <c r="AE6176" s="182" t="n">
        <v>0</v>
      </c>
      <c r="AF6176" s="182" t="n">
        <v>0</v>
      </c>
      <c r="AG6176" s="182" t="n">
        <v>0</v>
      </c>
      <c r="AH6176" s="182" t="n">
        <v>0</v>
      </c>
      <c r="AI6176" s="182" t="n">
        <v>0</v>
      </c>
      <c r="AJ6176" s="182" t="n">
        <v>0</v>
      </c>
      <c r="AK6176" s="182" t="n">
        <v>0</v>
      </c>
      <c r="AL6176" s="182" t="n">
        <v>0</v>
      </c>
      <c r="AM6176" s="182" t="n">
        <v>0</v>
      </c>
      <c r="AN6176" s="182" t="n">
        <v>0</v>
      </c>
    </row>
    <row r="6177">
      <c r="A6177" s="155" t="n">
        <v>46110</v>
      </c>
      <c r="B6177" s="156" t="inlineStr">
        <is>
          <t>DS</t>
        </is>
      </c>
      <c r="C6177" s="156" t="inlineStr">
        <is>
          <t>HT-405</t>
        </is>
      </c>
      <c r="D6177" s="156" t="inlineStr">
        <is>
          <t>SY430</t>
        </is>
      </c>
      <c r="E6177" s="156" t="inlineStr">
        <is>
          <t>DT Hauling</t>
        </is>
      </c>
      <c r="F6177" s="156" t="inlineStr"/>
      <c r="G6177" s="182" t="n">
        <v>0</v>
      </c>
      <c r="H6177" s="182" t="n">
        <v>0</v>
      </c>
      <c r="I6177" s="182" t="n">
        <v>0</v>
      </c>
      <c r="J6177" s="182" t="n">
        <v>0</v>
      </c>
      <c r="K6177" s="182" t="n">
        <v>12</v>
      </c>
      <c r="L6177" s="182" t="n">
        <v>12</v>
      </c>
      <c r="M6177" s="182" t="n">
        <v>0</v>
      </c>
      <c r="N6177" s="182" t="n">
        <v>0</v>
      </c>
      <c r="O6177" s="183" t="n">
        <v>0</v>
      </c>
      <c r="P6177" s="183" t="n">
        <v>0</v>
      </c>
      <c r="Q6177" s="184" t="n">
        <v>0</v>
      </c>
      <c r="R6177" s="184" t="n">
        <v>0</v>
      </c>
      <c r="S6177" s="183" t="n">
        <v>0</v>
      </c>
      <c r="T6177" s="183" t="n">
        <v>0</v>
      </c>
      <c r="U6177" s="182" t="n">
        <v>0</v>
      </c>
      <c r="V6177" s="182" t="n">
        <v>0</v>
      </c>
      <c r="W6177" s="182" t="n">
        <v>0</v>
      </c>
      <c r="X6177" s="182" t="n">
        <v>1</v>
      </c>
      <c r="Y6177" s="182" t="n">
        <v>0</v>
      </c>
      <c r="Z6177" s="182" t="n">
        <v>0</v>
      </c>
      <c r="AA6177" s="182" t="n">
        <v>0</v>
      </c>
      <c r="AB6177" s="182" t="n">
        <v>1</v>
      </c>
      <c r="AC6177" s="182" t="n">
        <v>0</v>
      </c>
      <c r="AD6177" s="182" t="n">
        <v>0</v>
      </c>
      <c r="AE6177" s="182" t="n">
        <v>0</v>
      </c>
      <c r="AF6177" s="182" t="n">
        <v>0</v>
      </c>
      <c r="AG6177" s="182" t="n">
        <v>0</v>
      </c>
      <c r="AH6177" s="182" t="n">
        <v>0</v>
      </c>
      <c r="AI6177" s="182" t="n">
        <v>0</v>
      </c>
      <c r="AJ6177" s="182" t="n">
        <v>0</v>
      </c>
      <c r="AK6177" s="182" t="n">
        <v>9.92</v>
      </c>
      <c r="AL6177" s="182" t="n">
        <v>0</v>
      </c>
      <c r="AM6177" s="182" t="n">
        <v>0.08</v>
      </c>
      <c r="AN6177" s="182" t="n">
        <v>0</v>
      </c>
    </row>
    <row r="6178">
      <c r="A6178" s="155" t="n">
        <v>46110</v>
      </c>
      <c r="B6178" s="156" t="inlineStr">
        <is>
          <t>DS</t>
        </is>
      </c>
      <c r="C6178" s="156" t="inlineStr">
        <is>
          <t>HT-417</t>
        </is>
      </c>
      <c r="D6178" s="156" t="inlineStr">
        <is>
          <t>SY430</t>
        </is>
      </c>
      <c r="E6178" s="156" t="inlineStr">
        <is>
          <t>DT Hauling</t>
        </is>
      </c>
      <c r="F6178" s="156" t="inlineStr"/>
      <c r="G6178" s="182" t="n">
        <v>0</v>
      </c>
      <c r="H6178" s="182" t="n">
        <v>0</v>
      </c>
      <c r="I6178" s="182" t="n">
        <v>0</v>
      </c>
      <c r="J6178" s="182" t="n">
        <v>0</v>
      </c>
      <c r="K6178" s="182" t="n">
        <v>12</v>
      </c>
      <c r="L6178" s="182" t="n">
        <v>12</v>
      </c>
      <c r="M6178" s="182" t="n">
        <v>0</v>
      </c>
      <c r="N6178" s="182" t="n">
        <v>0</v>
      </c>
      <c r="O6178" s="183" t="n">
        <v>0</v>
      </c>
      <c r="P6178" s="183" t="n">
        <v>0</v>
      </c>
      <c r="Q6178" s="184" t="n">
        <v>0</v>
      </c>
      <c r="R6178" s="184" t="n">
        <v>0</v>
      </c>
      <c r="S6178" s="183" t="n">
        <v>0</v>
      </c>
      <c r="T6178" s="183" t="n">
        <v>0</v>
      </c>
      <c r="U6178" s="182" t="n">
        <v>0</v>
      </c>
      <c r="V6178" s="182" t="n">
        <v>0</v>
      </c>
      <c r="W6178" s="182" t="n">
        <v>0</v>
      </c>
      <c r="X6178" s="182" t="n">
        <v>1</v>
      </c>
      <c r="Y6178" s="182" t="n">
        <v>0</v>
      </c>
      <c r="Z6178" s="182" t="n">
        <v>0</v>
      </c>
      <c r="AA6178" s="182" t="n">
        <v>0</v>
      </c>
      <c r="AB6178" s="182" t="n">
        <v>1</v>
      </c>
      <c r="AC6178" s="182" t="n">
        <v>0</v>
      </c>
      <c r="AD6178" s="182" t="n">
        <v>0</v>
      </c>
      <c r="AE6178" s="182" t="n">
        <v>0</v>
      </c>
      <c r="AF6178" s="182" t="n">
        <v>0</v>
      </c>
      <c r="AG6178" s="182" t="n">
        <v>0</v>
      </c>
      <c r="AH6178" s="182" t="n">
        <v>0</v>
      </c>
      <c r="AI6178" s="182" t="n">
        <v>0</v>
      </c>
      <c r="AJ6178" s="182" t="n">
        <v>0</v>
      </c>
      <c r="AK6178" s="182" t="n">
        <v>9.92</v>
      </c>
      <c r="AL6178" s="182" t="n">
        <v>0</v>
      </c>
      <c r="AM6178" s="182" t="n">
        <v>0.08</v>
      </c>
      <c r="AN6178" s="182" t="n">
        <v>0</v>
      </c>
    </row>
    <row r="6179">
      <c r="A6179" s="155" t="n">
        <v>46110</v>
      </c>
      <c r="B6179" s="156" t="inlineStr">
        <is>
          <t>DS</t>
        </is>
      </c>
      <c r="C6179" s="156" t="inlineStr">
        <is>
          <t>HT-401</t>
        </is>
      </c>
      <c r="D6179" s="156" t="inlineStr">
        <is>
          <t>SY430</t>
        </is>
      </c>
      <c r="E6179" s="156" t="inlineStr">
        <is>
          <t>DT Hauling</t>
        </is>
      </c>
      <c r="F6179" s="156" t="inlineStr"/>
      <c r="G6179" s="182" t="n">
        <v>0</v>
      </c>
      <c r="H6179" s="182" t="n">
        <v>0</v>
      </c>
      <c r="I6179" s="182" t="n">
        <v>0</v>
      </c>
      <c r="J6179" s="182" t="n">
        <v>0</v>
      </c>
      <c r="K6179" s="182" t="n">
        <v>12</v>
      </c>
      <c r="L6179" s="182" t="n">
        <v>12</v>
      </c>
      <c r="M6179" s="182" t="n">
        <v>0</v>
      </c>
      <c r="N6179" s="182" t="n">
        <v>0</v>
      </c>
      <c r="O6179" s="183" t="n">
        <v>0</v>
      </c>
      <c r="P6179" s="183" t="n">
        <v>0</v>
      </c>
      <c r="Q6179" s="184" t="n">
        <v>0</v>
      </c>
      <c r="R6179" s="184" t="n">
        <v>0</v>
      </c>
      <c r="S6179" s="183" t="n">
        <v>0</v>
      </c>
      <c r="T6179" s="183" t="n">
        <v>0</v>
      </c>
      <c r="U6179" s="182" t="n">
        <v>0</v>
      </c>
      <c r="V6179" s="182" t="n">
        <v>0</v>
      </c>
      <c r="W6179" s="182" t="n">
        <v>0</v>
      </c>
      <c r="X6179" s="182" t="n">
        <v>1</v>
      </c>
      <c r="Y6179" s="182" t="n">
        <v>0</v>
      </c>
      <c r="Z6179" s="182" t="n">
        <v>0</v>
      </c>
      <c r="AA6179" s="182" t="n">
        <v>0</v>
      </c>
      <c r="AB6179" s="182" t="n">
        <v>1</v>
      </c>
      <c r="AC6179" s="182" t="n">
        <v>0</v>
      </c>
      <c r="AD6179" s="182" t="n">
        <v>0</v>
      </c>
      <c r="AE6179" s="182" t="n">
        <v>0</v>
      </c>
      <c r="AF6179" s="182" t="n">
        <v>0</v>
      </c>
      <c r="AG6179" s="182" t="n">
        <v>0</v>
      </c>
      <c r="AH6179" s="182" t="n">
        <v>0</v>
      </c>
      <c r="AI6179" s="182" t="n">
        <v>0</v>
      </c>
      <c r="AJ6179" s="182" t="n">
        <v>0</v>
      </c>
      <c r="AK6179" s="182" t="n">
        <v>9.92</v>
      </c>
      <c r="AL6179" s="182" t="n">
        <v>0</v>
      </c>
      <c r="AM6179" s="182" t="n">
        <v>0.08</v>
      </c>
      <c r="AN6179" s="182" t="n">
        <v>0</v>
      </c>
    </row>
    <row r="6180">
      <c r="A6180" s="155" t="n">
        <v>46110</v>
      </c>
      <c r="B6180" s="156" t="inlineStr">
        <is>
          <t>DS</t>
        </is>
      </c>
      <c r="C6180" s="156" t="inlineStr">
        <is>
          <t>HT-410</t>
        </is>
      </c>
      <c r="D6180" s="156" t="inlineStr">
        <is>
          <t>SY430</t>
        </is>
      </c>
      <c r="E6180" s="156" t="inlineStr">
        <is>
          <t>DT Hauling</t>
        </is>
      </c>
      <c r="F6180" s="156" t="inlineStr"/>
      <c r="G6180" s="182" t="n">
        <v>0</v>
      </c>
      <c r="H6180" s="182" t="n">
        <v>0</v>
      </c>
      <c r="I6180" s="182" t="n">
        <v>0</v>
      </c>
      <c r="J6180" s="182" t="n">
        <v>0</v>
      </c>
      <c r="K6180" s="182" t="n">
        <v>12</v>
      </c>
      <c r="L6180" s="182" t="n">
        <v>12</v>
      </c>
      <c r="M6180" s="182" t="n">
        <v>0</v>
      </c>
      <c r="N6180" s="182" t="n">
        <v>0</v>
      </c>
      <c r="O6180" s="183" t="n">
        <v>0</v>
      </c>
      <c r="P6180" s="183" t="n">
        <v>0</v>
      </c>
      <c r="Q6180" s="184" t="n">
        <v>0</v>
      </c>
      <c r="R6180" s="184" t="n">
        <v>0</v>
      </c>
      <c r="S6180" s="183" t="n">
        <v>0</v>
      </c>
      <c r="T6180" s="183" t="n">
        <v>0</v>
      </c>
      <c r="U6180" s="182" t="n">
        <v>0</v>
      </c>
      <c r="V6180" s="182" t="n">
        <v>0</v>
      </c>
      <c r="W6180" s="182" t="n">
        <v>0</v>
      </c>
      <c r="X6180" s="182" t="n">
        <v>1</v>
      </c>
      <c r="Y6180" s="182" t="n">
        <v>0</v>
      </c>
      <c r="Z6180" s="182" t="n">
        <v>0</v>
      </c>
      <c r="AA6180" s="182" t="n">
        <v>0</v>
      </c>
      <c r="AB6180" s="182" t="n">
        <v>1</v>
      </c>
      <c r="AC6180" s="182" t="n">
        <v>0</v>
      </c>
      <c r="AD6180" s="182" t="n">
        <v>0</v>
      </c>
      <c r="AE6180" s="182" t="n">
        <v>0</v>
      </c>
      <c r="AF6180" s="182" t="n">
        <v>0</v>
      </c>
      <c r="AG6180" s="182" t="n">
        <v>0</v>
      </c>
      <c r="AH6180" s="182" t="n">
        <v>0</v>
      </c>
      <c r="AI6180" s="182" t="n">
        <v>0</v>
      </c>
      <c r="AJ6180" s="182" t="n">
        <v>0</v>
      </c>
      <c r="AK6180" s="182" t="n">
        <v>9.92</v>
      </c>
      <c r="AL6180" s="182" t="n">
        <v>0</v>
      </c>
      <c r="AM6180" s="182" t="n">
        <v>0.08</v>
      </c>
      <c r="AN6180" s="182" t="n">
        <v>0</v>
      </c>
    </row>
    <row r="6181">
      <c r="A6181" s="155" t="n">
        <v>46110</v>
      </c>
      <c r="B6181" s="156" t="inlineStr">
        <is>
          <t>DS</t>
        </is>
      </c>
      <c r="C6181" s="156" t="inlineStr">
        <is>
          <t>HT-402</t>
        </is>
      </c>
      <c r="D6181" s="156" t="inlineStr">
        <is>
          <t>SY430</t>
        </is>
      </c>
      <c r="E6181" s="156" t="inlineStr">
        <is>
          <t>DT Hauling</t>
        </is>
      </c>
      <c r="F6181" s="156" t="inlineStr"/>
      <c r="G6181" s="182" t="n">
        <v>0</v>
      </c>
      <c r="H6181" s="182" t="n">
        <v>0</v>
      </c>
      <c r="I6181" s="182" t="n">
        <v>0</v>
      </c>
      <c r="J6181" s="182" t="n">
        <v>0</v>
      </c>
      <c r="K6181" s="182" t="n">
        <v>12</v>
      </c>
      <c r="L6181" s="182" t="n">
        <v>12</v>
      </c>
      <c r="M6181" s="182" t="n">
        <v>0</v>
      </c>
      <c r="N6181" s="182" t="n">
        <v>0</v>
      </c>
      <c r="O6181" s="183" t="n">
        <v>0</v>
      </c>
      <c r="P6181" s="183" t="n">
        <v>0</v>
      </c>
      <c r="Q6181" s="184" t="n">
        <v>0</v>
      </c>
      <c r="R6181" s="184" t="n">
        <v>0</v>
      </c>
      <c r="S6181" s="183" t="n">
        <v>0</v>
      </c>
      <c r="T6181" s="183" t="n">
        <v>0</v>
      </c>
      <c r="U6181" s="182" t="n">
        <v>0</v>
      </c>
      <c r="V6181" s="182" t="n">
        <v>0</v>
      </c>
      <c r="W6181" s="182" t="n">
        <v>0</v>
      </c>
      <c r="X6181" s="182" t="n">
        <v>1</v>
      </c>
      <c r="Y6181" s="182" t="n">
        <v>0</v>
      </c>
      <c r="Z6181" s="182" t="n">
        <v>0</v>
      </c>
      <c r="AA6181" s="182" t="n">
        <v>0</v>
      </c>
      <c r="AB6181" s="182" t="n">
        <v>1</v>
      </c>
      <c r="AC6181" s="182" t="n">
        <v>0</v>
      </c>
      <c r="AD6181" s="182" t="n">
        <v>0</v>
      </c>
      <c r="AE6181" s="182" t="n">
        <v>0</v>
      </c>
      <c r="AF6181" s="182" t="n">
        <v>0</v>
      </c>
      <c r="AG6181" s="182" t="n">
        <v>0</v>
      </c>
      <c r="AH6181" s="182" t="n">
        <v>0</v>
      </c>
      <c r="AI6181" s="182" t="n">
        <v>0</v>
      </c>
      <c r="AJ6181" s="182" t="n">
        <v>0</v>
      </c>
      <c r="AK6181" s="182" t="n">
        <v>9.92</v>
      </c>
      <c r="AL6181" s="182" t="n">
        <v>0</v>
      </c>
      <c r="AM6181" s="182" t="n">
        <v>0.08</v>
      </c>
      <c r="AN6181" s="182" t="n">
        <v>0</v>
      </c>
    </row>
    <row r="6182">
      <c r="A6182" s="155" t="n">
        <v>46110</v>
      </c>
      <c r="B6182" s="156" t="inlineStr">
        <is>
          <t>DS</t>
        </is>
      </c>
      <c r="C6182" s="156" t="inlineStr">
        <is>
          <t>HT-419</t>
        </is>
      </c>
      <c r="D6182" s="156" t="inlineStr">
        <is>
          <t>SY430</t>
        </is>
      </c>
      <c r="E6182" s="156" t="inlineStr">
        <is>
          <t>DT Hauling</t>
        </is>
      </c>
      <c r="F6182" s="156" t="inlineStr"/>
      <c r="G6182" s="182" t="n">
        <v>0</v>
      </c>
      <c r="H6182" s="182" t="n">
        <v>0</v>
      </c>
      <c r="I6182" s="182" t="n">
        <v>0</v>
      </c>
      <c r="J6182" s="182" t="n">
        <v>0</v>
      </c>
      <c r="K6182" s="182" t="n">
        <v>12</v>
      </c>
      <c r="L6182" s="182" t="n">
        <v>12</v>
      </c>
      <c r="M6182" s="182" t="n">
        <v>0</v>
      </c>
      <c r="N6182" s="182" t="n">
        <v>0</v>
      </c>
      <c r="O6182" s="183" t="n">
        <v>0</v>
      </c>
      <c r="P6182" s="183" t="n">
        <v>0</v>
      </c>
      <c r="Q6182" s="184" t="n">
        <v>0</v>
      </c>
      <c r="R6182" s="184" t="n">
        <v>0</v>
      </c>
      <c r="S6182" s="183" t="n">
        <v>0</v>
      </c>
      <c r="T6182" s="183" t="n">
        <v>0</v>
      </c>
      <c r="U6182" s="182" t="n">
        <v>0</v>
      </c>
      <c r="V6182" s="182" t="n">
        <v>0</v>
      </c>
      <c r="W6182" s="182" t="n">
        <v>0</v>
      </c>
      <c r="X6182" s="182" t="n">
        <v>1</v>
      </c>
      <c r="Y6182" s="182" t="n">
        <v>0</v>
      </c>
      <c r="Z6182" s="182" t="n">
        <v>0</v>
      </c>
      <c r="AA6182" s="182" t="n">
        <v>0</v>
      </c>
      <c r="AB6182" s="182" t="n">
        <v>1</v>
      </c>
      <c r="AC6182" s="182" t="n">
        <v>0</v>
      </c>
      <c r="AD6182" s="182" t="n">
        <v>0</v>
      </c>
      <c r="AE6182" s="182" t="n">
        <v>0</v>
      </c>
      <c r="AF6182" s="182" t="n">
        <v>0</v>
      </c>
      <c r="AG6182" s="182" t="n">
        <v>0</v>
      </c>
      <c r="AH6182" s="182" t="n">
        <v>0</v>
      </c>
      <c r="AI6182" s="182" t="n">
        <v>0</v>
      </c>
      <c r="AJ6182" s="182" t="n">
        <v>0</v>
      </c>
      <c r="AK6182" s="182" t="n">
        <v>9.92</v>
      </c>
      <c r="AL6182" s="182" t="n">
        <v>0</v>
      </c>
      <c r="AM6182" s="182" t="n">
        <v>0.08</v>
      </c>
      <c r="AN6182" s="182" t="n">
        <v>0</v>
      </c>
    </row>
    <row r="6183">
      <c r="A6183" s="155" t="n">
        <v>46110</v>
      </c>
      <c r="B6183" s="156" t="inlineStr">
        <is>
          <t>DS</t>
        </is>
      </c>
      <c r="C6183" s="156" t="inlineStr">
        <is>
          <t>HT-416</t>
        </is>
      </c>
      <c r="D6183" s="156" t="inlineStr">
        <is>
          <t>SY430</t>
        </is>
      </c>
      <c r="E6183" s="156" t="inlineStr">
        <is>
          <t>DT Hauling</t>
        </is>
      </c>
      <c r="F6183" s="156" t="inlineStr"/>
      <c r="G6183" s="182" t="n">
        <v>0</v>
      </c>
      <c r="H6183" s="182" t="n">
        <v>0</v>
      </c>
      <c r="I6183" s="182" t="n">
        <v>0</v>
      </c>
      <c r="J6183" s="182" t="n">
        <v>0</v>
      </c>
      <c r="K6183" s="182" t="n">
        <v>12</v>
      </c>
      <c r="L6183" s="182" t="n">
        <v>12</v>
      </c>
      <c r="M6183" s="182" t="n">
        <v>0</v>
      </c>
      <c r="N6183" s="182" t="n">
        <v>0</v>
      </c>
      <c r="O6183" s="183" t="n">
        <v>0</v>
      </c>
      <c r="P6183" s="183" t="n">
        <v>0</v>
      </c>
      <c r="Q6183" s="184" t="n">
        <v>0</v>
      </c>
      <c r="R6183" s="184" t="n">
        <v>0</v>
      </c>
      <c r="S6183" s="183" t="n">
        <v>0</v>
      </c>
      <c r="T6183" s="183" t="n">
        <v>0</v>
      </c>
      <c r="U6183" s="182" t="n">
        <v>0</v>
      </c>
      <c r="V6183" s="182" t="n">
        <v>0</v>
      </c>
      <c r="W6183" s="182" t="n">
        <v>0</v>
      </c>
      <c r="X6183" s="182" t="n">
        <v>1</v>
      </c>
      <c r="Y6183" s="182" t="n">
        <v>0</v>
      </c>
      <c r="Z6183" s="182" t="n">
        <v>0</v>
      </c>
      <c r="AA6183" s="182" t="n">
        <v>0</v>
      </c>
      <c r="AB6183" s="182" t="n">
        <v>1</v>
      </c>
      <c r="AC6183" s="182" t="n">
        <v>0</v>
      </c>
      <c r="AD6183" s="182" t="n">
        <v>0</v>
      </c>
      <c r="AE6183" s="182" t="n">
        <v>0</v>
      </c>
      <c r="AF6183" s="182" t="n">
        <v>0</v>
      </c>
      <c r="AG6183" s="182" t="n">
        <v>0</v>
      </c>
      <c r="AH6183" s="182" t="n">
        <v>0</v>
      </c>
      <c r="AI6183" s="182" t="n">
        <v>0</v>
      </c>
      <c r="AJ6183" s="182" t="n">
        <v>0</v>
      </c>
      <c r="AK6183" s="182" t="n">
        <v>9.92</v>
      </c>
      <c r="AL6183" s="182" t="n">
        <v>0</v>
      </c>
      <c r="AM6183" s="182" t="n">
        <v>0.08</v>
      </c>
      <c r="AN6183" s="182" t="n">
        <v>0</v>
      </c>
    </row>
    <row r="6184">
      <c r="A6184" s="155" t="n">
        <v>46110</v>
      </c>
      <c r="B6184" s="156" t="inlineStr">
        <is>
          <t>DS</t>
        </is>
      </c>
      <c r="C6184" s="156" t="inlineStr">
        <is>
          <t>HT-420</t>
        </is>
      </c>
      <c r="D6184" s="156" t="inlineStr">
        <is>
          <t>SY430</t>
        </is>
      </c>
      <c r="E6184" s="156" t="inlineStr">
        <is>
          <t>DT Hauling</t>
        </is>
      </c>
      <c r="F6184" s="156" t="inlineStr"/>
      <c r="G6184" s="182" t="n">
        <v>0</v>
      </c>
      <c r="H6184" s="182" t="n">
        <v>0</v>
      </c>
      <c r="I6184" s="182" t="n">
        <v>0</v>
      </c>
      <c r="J6184" s="182" t="n">
        <v>0</v>
      </c>
      <c r="K6184" s="182" t="n">
        <v>12</v>
      </c>
      <c r="L6184" s="182" t="n">
        <v>12</v>
      </c>
      <c r="M6184" s="182" t="n">
        <v>0</v>
      </c>
      <c r="N6184" s="182" t="n">
        <v>0</v>
      </c>
      <c r="O6184" s="183" t="n">
        <v>0</v>
      </c>
      <c r="P6184" s="183" t="n">
        <v>0</v>
      </c>
      <c r="Q6184" s="184" t="n">
        <v>0</v>
      </c>
      <c r="R6184" s="184" t="n">
        <v>0</v>
      </c>
      <c r="S6184" s="183" t="n">
        <v>0</v>
      </c>
      <c r="T6184" s="183" t="n">
        <v>0</v>
      </c>
      <c r="U6184" s="182" t="n">
        <v>0</v>
      </c>
      <c r="V6184" s="182" t="n">
        <v>0</v>
      </c>
      <c r="W6184" s="182" t="n">
        <v>0</v>
      </c>
      <c r="X6184" s="182" t="n">
        <v>1</v>
      </c>
      <c r="Y6184" s="182" t="n">
        <v>0</v>
      </c>
      <c r="Z6184" s="182" t="n">
        <v>0</v>
      </c>
      <c r="AA6184" s="182" t="n">
        <v>0</v>
      </c>
      <c r="AB6184" s="182" t="n">
        <v>1</v>
      </c>
      <c r="AC6184" s="182" t="n">
        <v>0</v>
      </c>
      <c r="AD6184" s="182" t="n">
        <v>0</v>
      </c>
      <c r="AE6184" s="182" t="n">
        <v>0</v>
      </c>
      <c r="AF6184" s="182" t="n">
        <v>0</v>
      </c>
      <c r="AG6184" s="182" t="n">
        <v>0</v>
      </c>
      <c r="AH6184" s="182" t="n">
        <v>0</v>
      </c>
      <c r="AI6184" s="182" t="n">
        <v>0</v>
      </c>
      <c r="AJ6184" s="182" t="n">
        <v>0</v>
      </c>
      <c r="AK6184" s="182" t="n">
        <v>9.92</v>
      </c>
      <c r="AL6184" s="182" t="n">
        <v>0</v>
      </c>
      <c r="AM6184" s="182" t="n">
        <v>0.08</v>
      </c>
      <c r="AN6184" s="182" t="n">
        <v>0</v>
      </c>
    </row>
    <row r="6185">
      <c r="A6185" s="155" t="n">
        <v>46110</v>
      </c>
      <c r="B6185" s="156" t="inlineStr">
        <is>
          <t>DS</t>
        </is>
      </c>
      <c r="C6185" s="156" t="inlineStr">
        <is>
          <t>HT-403</t>
        </is>
      </c>
      <c r="D6185" s="156" t="inlineStr">
        <is>
          <t>SY430</t>
        </is>
      </c>
      <c r="E6185" s="156" t="inlineStr">
        <is>
          <t>DT Hauling</t>
        </is>
      </c>
      <c r="F6185" s="156" t="inlineStr"/>
      <c r="G6185" s="182" t="n">
        <v>0</v>
      </c>
      <c r="H6185" s="182" t="n">
        <v>0</v>
      </c>
      <c r="I6185" s="182" t="n">
        <v>0</v>
      </c>
      <c r="J6185" s="182" t="n">
        <v>0</v>
      </c>
      <c r="K6185" s="182" t="n">
        <v>12</v>
      </c>
      <c r="L6185" s="182" t="n">
        <v>12</v>
      </c>
      <c r="M6185" s="182" t="n">
        <v>0</v>
      </c>
      <c r="N6185" s="182" t="n">
        <v>0</v>
      </c>
      <c r="O6185" s="183" t="n">
        <v>0</v>
      </c>
      <c r="P6185" s="183" t="n">
        <v>0</v>
      </c>
      <c r="Q6185" s="184" t="n">
        <v>0</v>
      </c>
      <c r="R6185" s="184" t="n">
        <v>0</v>
      </c>
      <c r="S6185" s="183" t="n">
        <v>0</v>
      </c>
      <c r="T6185" s="183" t="n">
        <v>0</v>
      </c>
      <c r="U6185" s="182" t="n">
        <v>0</v>
      </c>
      <c r="V6185" s="182" t="n">
        <v>0</v>
      </c>
      <c r="W6185" s="182" t="n">
        <v>0</v>
      </c>
      <c r="X6185" s="182" t="n">
        <v>1</v>
      </c>
      <c r="Y6185" s="182" t="n">
        <v>0</v>
      </c>
      <c r="Z6185" s="182" t="n">
        <v>0</v>
      </c>
      <c r="AA6185" s="182" t="n">
        <v>0</v>
      </c>
      <c r="AB6185" s="182" t="n">
        <v>1</v>
      </c>
      <c r="AC6185" s="182" t="n">
        <v>0</v>
      </c>
      <c r="AD6185" s="182" t="n">
        <v>0</v>
      </c>
      <c r="AE6185" s="182" t="n">
        <v>0</v>
      </c>
      <c r="AF6185" s="182" t="n">
        <v>0</v>
      </c>
      <c r="AG6185" s="182" t="n">
        <v>0</v>
      </c>
      <c r="AH6185" s="182" t="n">
        <v>0</v>
      </c>
      <c r="AI6185" s="182" t="n">
        <v>0</v>
      </c>
      <c r="AJ6185" s="182" t="n">
        <v>0</v>
      </c>
      <c r="AK6185" s="182" t="n">
        <v>9.92</v>
      </c>
      <c r="AL6185" s="182" t="n">
        <v>0</v>
      </c>
      <c r="AM6185" s="182" t="n">
        <v>0.08</v>
      </c>
      <c r="AN6185" s="182" t="n">
        <v>0</v>
      </c>
    </row>
    <row r="6186">
      <c r="A6186" s="155" t="n">
        <v>46110</v>
      </c>
      <c r="B6186" s="156" t="inlineStr">
        <is>
          <t>DS</t>
        </is>
      </c>
      <c r="C6186" s="156" t="inlineStr">
        <is>
          <t>HT-408</t>
        </is>
      </c>
      <c r="D6186" s="156" t="inlineStr">
        <is>
          <t>SY430</t>
        </is>
      </c>
      <c r="E6186" s="156" t="inlineStr">
        <is>
          <t>DT Hauling</t>
        </is>
      </c>
      <c r="F6186" s="156" t="inlineStr"/>
      <c r="G6186" s="182" t="n">
        <v>0</v>
      </c>
      <c r="H6186" s="182" t="n">
        <v>0</v>
      </c>
      <c r="I6186" s="182" t="n">
        <v>0</v>
      </c>
      <c r="J6186" s="182" t="n">
        <v>0</v>
      </c>
      <c r="K6186" s="182" t="n">
        <v>12</v>
      </c>
      <c r="L6186" s="182" t="n">
        <v>12</v>
      </c>
      <c r="M6186" s="182" t="n">
        <v>0</v>
      </c>
      <c r="N6186" s="182" t="n">
        <v>0</v>
      </c>
      <c r="O6186" s="183" t="n">
        <v>0</v>
      </c>
      <c r="P6186" s="183" t="n">
        <v>0</v>
      </c>
      <c r="Q6186" s="184" t="n">
        <v>0</v>
      </c>
      <c r="R6186" s="184" t="n">
        <v>0</v>
      </c>
      <c r="S6186" s="183" t="n">
        <v>0</v>
      </c>
      <c r="T6186" s="183" t="n">
        <v>0</v>
      </c>
      <c r="U6186" s="182" t="n">
        <v>0</v>
      </c>
      <c r="V6186" s="182" t="n">
        <v>0</v>
      </c>
      <c r="W6186" s="182" t="n">
        <v>0</v>
      </c>
      <c r="X6186" s="182" t="n">
        <v>1</v>
      </c>
      <c r="Y6186" s="182" t="n">
        <v>0</v>
      </c>
      <c r="Z6186" s="182" t="n">
        <v>0</v>
      </c>
      <c r="AA6186" s="182" t="n">
        <v>0</v>
      </c>
      <c r="AB6186" s="182" t="n">
        <v>1</v>
      </c>
      <c r="AC6186" s="182" t="n">
        <v>0</v>
      </c>
      <c r="AD6186" s="182" t="n">
        <v>0</v>
      </c>
      <c r="AE6186" s="182" t="n">
        <v>0</v>
      </c>
      <c r="AF6186" s="182" t="n">
        <v>0</v>
      </c>
      <c r="AG6186" s="182" t="n">
        <v>0</v>
      </c>
      <c r="AH6186" s="182" t="n">
        <v>0</v>
      </c>
      <c r="AI6186" s="182" t="n">
        <v>0</v>
      </c>
      <c r="AJ6186" s="182" t="n">
        <v>0</v>
      </c>
      <c r="AK6186" s="182" t="n">
        <v>9.92</v>
      </c>
      <c r="AL6186" s="182" t="n">
        <v>0</v>
      </c>
      <c r="AM6186" s="182" t="n">
        <v>0.08</v>
      </c>
      <c r="AN6186" s="182" t="n">
        <v>0</v>
      </c>
    </row>
    <row r="6187">
      <c r="A6187" s="155" t="n">
        <v>46110</v>
      </c>
      <c r="B6187" s="156" t="inlineStr">
        <is>
          <t>DS</t>
        </is>
      </c>
      <c r="C6187" s="156" t="inlineStr">
        <is>
          <t>HT-412</t>
        </is>
      </c>
      <c r="D6187" s="156" t="inlineStr">
        <is>
          <t>SY430</t>
        </is>
      </c>
      <c r="E6187" s="156" t="inlineStr">
        <is>
          <t>DT Hauling</t>
        </is>
      </c>
      <c r="F6187" s="156" t="inlineStr"/>
      <c r="G6187" s="182" t="n">
        <v>0</v>
      </c>
      <c r="H6187" s="182" t="n">
        <v>0</v>
      </c>
      <c r="I6187" s="182" t="n">
        <v>0</v>
      </c>
      <c r="J6187" s="182" t="n">
        <v>0</v>
      </c>
      <c r="K6187" s="182" t="n">
        <v>12</v>
      </c>
      <c r="L6187" s="182" t="n">
        <v>12</v>
      </c>
      <c r="M6187" s="182" t="n">
        <v>0</v>
      </c>
      <c r="N6187" s="182" t="n">
        <v>0</v>
      </c>
      <c r="O6187" s="183" t="n">
        <v>0</v>
      </c>
      <c r="P6187" s="183" t="n">
        <v>0</v>
      </c>
      <c r="Q6187" s="184" t="n">
        <v>0</v>
      </c>
      <c r="R6187" s="184" t="n">
        <v>0</v>
      </c>
      <c r="S6187" s="183" t="n">
        <v>0</v>
      </c>
      <c r="T6187" s="183" t="n">
        <v>0</v>
      </c>
      <c r="U6187" s="182" t="n">
        <v>0</v>
      </c>
      <c r="V6187" s="182" t="n">
        <v>0</v>
      </c>
      <c r="W6187" s="182" t="n">
        <v>0</v>
      </c>
      <c r="X6187" s="182" t="n">
        <v>1</v>
      </c>
      <c r="Y6187" s="182" t="n">
        <v>0</v>
      </c>
      <c r="Z6187" s="182" t="n">
        <v>0</v>
      </c>
      <c r="AA6187" s="182" t="n">
        <v>0</v>
      </c>
      <c r="AB6187" s="182" t="n">
        <v>1</v>
      </c>
      <c r="AC6187" s="182" t="n">
        <v>0</v>
      </c>
      <c r="AD6187" s="182" t="n">
        <v>0</v>
      </c>
      <c r="AE6187" s="182" t="n">
        <v>0</v>
      </c>
      <c r="AF6187" s="182" t="n">
        <v>0</v>
      </c>
      <c r="AG6187" s="182" t="n">
        <v>0</v>
      </c>
      <c r="AH6187" s="182" t="n">
        <v>0</v>
      </c>
      <c r="AI6187" s="182" t="n">
        <v>0</v>
      </c>
      <c r="AJ6187" s="182" t="n">
        <v>0</v>
      </c>
      <c r="AK6187" s="182" t="n">
        <v>9.92</v>
      </c>
      <c r="AL6187" s="182" t="n">
        <v>0</v>
      </c>
      <c r="AM6187" s="182" t="n">
        <v>0.08</v>
      </c>
      <c r="AN6187" s="182" t="n">
        <v>0</v>
      </c>
    </row>
    <row r="6188">
      <c r="A6188" s="155" t="n">
        <v>46110</v>
      </c>
      <c r="B6188" s="156" t="inlineStr">
        <is>
          <t>DS</t>
        </is>
      </c>
      <c r="C6188" s="156" t="inlineStr">
        <is>
          <t>HT-413</t>
        </is>
      </c>
      <c r="D6188" s="156" t="inlineStr">
        <is>
          <t>SY430</t>
        </is>
      </c>
      <c r="E6188" s="156" t="inlineStr">
        <is>
          <t>DT Hauling</t>
        </is>
      </c>
      <c r="F6188" s="156" t="inlineStr"/>
      <c r="G6188" s="182" t="n">
        <v>0</v>
      </c>
      <c r="H6188" s="182" t="n">
        <v>0</v>
      </c>
      <c r="I6188" s="182" t="n">
        <v>12</v>
      </c>
      <c r="J6188" s="182" t="n">
        <v>12</v>
      </c>
      <c r="K6188" s="182" t="n">
        <v>0</v>
      </c>
      <c r="L6188" s="182" t="n">
        <v>12</v>
      </c>
      <c r="M6188" s="182" t="n">
        <v>0</v>
      </c>
      <c r="N6188" s="182" t="n">
        <v>0</v>
      </c>
      <c r="O6188" s="183" t="n">
        <v>0</v>
      </c>
      <c r="P6188" s="183" t="n">
        <v>0</v>
      </c>
      <c r="Q6188" s="184" t="n">
        <v>0</v>
      </c>
      <c r="R6188" s="184" t="n">
        <v>0</v>
      </c>
      <c r="S6188" s="183" t="n">
        <v>0</v>
      </c>
      <c r="T6188" s="183" t="n">
        <v>0</v>
      </c>
      <c r="U6188" s="182" t="n">
        <v>0</v>
      </c>
      <c r="V6188" s="182" t="n">
        <v>0</v>
      </c>
      <c r="W6188" s="182" t="n">
        <v>0</v>
      </c>
      <c r="X6188" s="182" t="n">
        <v>0</v>
      </c>
      <c r="Y6188" s="182" t="n">
        <v>0</v>
      </c>
      <c r="Z6188" s="182" t="n">
        <v>0</v>
      </c>
      <c r="AA6188" s="182" t="n">
        <v>0</v>
      </c>
      <c r="AB6188" s="182" t="n">
        <v>0</v>
      </c>
      <c r="AC6188" s="182" t="n">
        <v>0</v>
      </c>
      <c r="AD6188" s="182" t="n">
        <v>0</v>
      </c>
      <c r="AE6188" s="182" t="n">
        <v>0</v>
      </c>
      <c r="AF6188" s="182" t="n">
        <v>0</v>
      </c>
      <c r="AG6188" s="182" t="n">
        <v>0</v>
      </c>
      <c r="AH6188" s="182" t="n">
        <v>0</v>
      </c>
      <c r="AI6188" s="182" t="n">
        <v>0</v>
      </c>
      <c r="AJ6188" s="182" t="n">
        <v>0</v>
      </c>
      <c r="AK6188" s="182" t="n">
        <v>0</v>
      </c>
      <c r="AL6188" s="182" t="n">
        <v>0</v>
      </c>
      <c r="AM6188" s="182" t="n">
        <v>0</v>
      </c>
      <c r="AN6188" s="182" t="n">
        <v>0</v>
      </c>
    </row>
    <row r="6189">
      <c r="A6189" s="155" t="n">
        <v>46110</v>
      </c>
      <c r="B6189" s="156" t="inlineStr">
        <is>
          <t>DS</t>
        </is>
      </c>
      <c r="C6189" s="156" t="inlineStr">
        <is>
          <t>HT-407</t>
        </is>
      </c>
      <c r="D6189" s="156" t="inlineStr">
        <is>
          <t>SY430</t>
        </is>
      </c>
      <c r="E6189" s="156" t="inlineStr">
        <is>
          <t>DT Hauling</t>
        </is>
      </c>
      <c r="F6189" s="156" t="inlineStr"/>
      <c r="G6189" s="182" t="n">
        <v>0</v>
      </c>
      <c r="H6189" s="182" t="n">
        <v>0</v>
      </c>
      <c r="I6189" s="182" t="n">
        <v>0</v>
      </c>
      <c r="J6189" s="182" t="n">
        <v>0</v>
      </c>
      <c r="K6189" s="182" t="n">
        <v>12</v>
      </c>
      <c r="L6189" s="182" t="n">
        <v>12</v>
      </c>
      <c r="M6189" s="182" t="n">
        <v>0</v>
      </c>
      <c r="N6189" s="182" t="n">
        <v>0</v>
      </c>
      <c r="O6189" s="183" t="n">
        <v>0</v>
      </c>
      <c r="P6189" s="183" t="n">
        <v>0</v>
      </c>
      <c r="Q6189" s="184" t="n">
        <v>0</v>
      </c>
      <c r="R6189" s="184" t="n">
        <v>0</v>
      </c>
      <c r="S6189" s="183" t="n">
        <v>0</v>
      </c>
      <c r="T6189" s="183" t="n">
        <v>0</v>
      </c>
      <c r="U6189" s="182" t="n">
        <v>0</v>
      </c>
      <c r="V6189" s="182" t="n">
        <v>0</v>
      </c>
      <c r="W6189" s="182" t="n">
        <v>0</v>
      </c>
      <c r="X6189" s="182" t="n">
        <v>1</v>
      </c>
      <c r="Y6189" s="182" t="n">
        <v>0</v>
      </c>
      <c r="Z6189" s="182" t="n">
        <v>0</v>
      </c>
      <c r="AA6189" s="182" t="n">
        <v>0</v>
      </c>
      <c r="AB6189" s="182" t="n">
        <v>1</v>
      </c>
      <c r="AC6189" s="182" t="n">
        <v>0</v>
      </c>
      <c r="AD6189" s="182" t="n">
        <v>0</v>
      </c>
      <c r="AE6189" s="182" t="n">
        <v>0</v>
      </c>
      <c r="AF6189" s="182" t="n">
        <v>0</v>
      </c>
      <c r="AG6189" s="182" t="n">
        <v>0</v>
      </c>
      <c r="AH6189" s="182" t="n">
        <v>0</v>
      </c>
      <c r="AI6189" s="182" t="n">
        <v>0</v>
      </c>
      <c r="AJ6189" s="182" t="n">
        <v>0</v>
      </c>
      <c r="AK6189" s="182" t="n">
        <v>9.92</v>
      </c>
      <c r="AL6189" s="182" t="n">
        <v>0</v>
      </c>
      <c r="AM6189" s="182" t="n">
        <v>0.08</v>
      </c>
      <c r="AN6189" s="182" t="n">
        <v>0</v>
      </c>
    </row>
    <row r="6190">
      <c r="A6190" s="155" t="n">
        <v>46110</v>
      </c>
      <c r="B6190" s="156" t="inlineStr">
        <is>
          <t>DS</t>
        </is>
      </c>
      <c r="C6190" s="156" t="inlineStr">
        <is>
          <t>HT-414</t>
        </is>
      </c>
      <c r="D6190" s="156" t="inlineStr">
        <is>
          <t>SY430</t>
        </is>
      </c>
      <c r="E6190" s="156" t="inlineStr">
        <is>
          <t>DT Hauling</t>
        </is>
      </c>
      <c r="F6190" s="156" t="inlineStr"/>
      <c r="G6190" s="182" t="n">
        <v>0</v>
      </c>
      <c r="H6190" s="182" t="n">
        <v>0</v>
      </c>
      <c r="I6190" s="182" t="n">
        <v>0</v>
      </c>
      <c r="J6190" s="182" t="n">
        <v>0</v>
      </c>
      <c r="K6190" s="182" t="n">
        <v>12</v>
      </c>
      <c r="L6190" s="182" t="n">
        <v>12</v>
      </c>
      <c r="M6190" s="182" t="n">
        <v>0</v>
      </c>
      <c r="N6190" s="182" t="n">
        <v>0</v>
      </c>
      <c r="O6190" s="183" t="n">
        <v>0</v>
      </c>
      <c r="P6190" s="183" t="n">
        <v>0</v>
      </c>
      <c r="Q6190" s="184" t="n">
        <v>0</v>
      </c>
      <c r="R6190" s="184" t="n">
        <v>0</v>
      </c>
      <c r="S6190" s="183" t="n">
        <v>0</v>
      </c>
      <c r="T6190" s="183" t="n">
        <v>0</v>
      </c>
      <c r="U6190" s="182" t="n">
        <v>0</v>
      </c>
      <c r="V6190" s="182" t="n">
        <v>0</v>
      </c>
      <c r="W6190" s="182" t="n">
        <v>0</v>
      </c>
      <c r="X6190" s="182" t="n">
        <v>1</v>
      </c>
      <c r="Y6190" s="182" t="n">
        <v>0</v>
      </c>
      <c r="Z6190" s="182" t="n">
        <v>0</v>
      </c>
      <c r="AA6190" s="182" t="n">
        <v>0</v>
      </c>
      <c r="AB6190" s="182" t="n">
        <v>1</v>
      </c>
      <c r="AC6190" s="182" t="n">
        <v>0</v>
      </c>
      <c r="AD6190" s="182" t="n">
        <v>0</v>
      </c>
      <c r="AE6190" s="182" t="n">
        <v>0</v>
      </c>
      <c r="AF6190" s="182" t="n">
        <v>0</v>
      </c>
      <c r="AG6190" s="182" t="n">
        <v>0</v>
      </c>
      <c r="AH6190" s="182" t="n">
        <v>0</v>
      </c>
      <c r="AI6190" s="182" t="n">
        <v>0</v>
      </c>
      <c r="AJ6190" s="182" t="n">
        <v>0</v>
      </c>
      <c r="AK6190" s="182" t="n">
        <v>9.92</v>
      </c>
      <c r="AL6190" s="182" t="n">
        <v>0</v>
      </c>
      <c r="AM6190" s="182" t="n">
        <v>0.08</v>
      </c>
      <c r="AN6190" s="182" t="n">
        <v>0</v>
      </c>
    </row>
    <row r="6191">
      <c r="A6191" s="155" t="n">
        <v>46110</v>
      </c>
      <c r="B6191" s="156" t="inlineStr">
        <is>
          <t>DS</t>
        </is>
      </c>
      <c r="C6191" s="156" t="inlineStr">
        <is>
          <t>HT-411</t>
        </is>
      </c>
      <c r="D6191" s="156" t="inlineStr">
        <is>
          <t>SY430</t>
        </is>
      </c>
      <c r="E6191" s="156" t="inlineStr">
        <is>
          <t>DT Hauling</t>
        </is>
      </c>
      <c r="F6191" s="156" t="inlineStr"/>
      <c r="G6191" s="182" t="n">
        <v>0</v>
      </c>
      <c r="H6191" s="182" t="n">
        <v>0</v>
      </c>
      <c r="I6191" s="182" t="n">
        <v>3.5</v>
      </c>
      <c r="J6191" s="182" t="n">
        <v>3.5</v>
      </c>
      <c r="K6191" s="182" t="n">
        <v>8.5</v>
      </c>
      <c r="L6191" s="182" t="n">
        <v>12</v>
      </c>
      <c r="M6191" s="182" t="n">
        <v>0</v>
      </c>
      <c r="N6191" s="182" t="n">
        <v>0</v>
      </c>
      <c r="O6191" s="183" t="n">
        <v>0</v>
      </c>
      <c r="P6191" s="183" t="n">
        <v>0</v>
      </c>
      <c r="Q6191" s="184" t="n">
        <v>0</v>
      </c>
      <c r="R6191" s="184" t="n">
        <v>0</v>
      </c>
      <c r="S6191" s="183" t="n">
        <v>0</v>
      </c>
      <c r="T6191" s="183" t="n">
        <v>0</v>
      </c>
      <c r="U6191" s="182" t="n">
        <v>0</v>
      </c>
      <c r="V6191" s="182" t="n">
        <v>0</v>
      </c>
      <c r="W6191" s="182" t="n">
        <v>0</v>
      </c>
      <c r="X6191" s="182" t="n">
        <v>1</v>
      </c>
      <c r="Y6191" s="182" t="n">
        <v>0</v>
      </c>
      <c r="Z6191" s="182" t="n">
        <v>0</v>
      </c>
      <c r="AA6191" s="182" t="n">
        <v>0</v>
      </c>
      <c r="AB6191" s="182" t="n">
        <v>1</v>
      </c>
      <c r="AC6191" s="182" t="n">
        <v>0</v>
      </c>
      <c r="AD6191" s="182" t="n">
        <v>0</v>
      </c>
      <c r="AE6191" s="182" t="n">
        <v>0</v>
      </c>
      <c r="AF6191" s="182" t="n">
        <v>0</v>
      </c>
      <c r="AG6191" s="182" t="n">
        <v>0</v>
      </c>
      <c r="AH6191" s="182" t="n">
        <v>0</v>
      </c>
      <c r="AI6191" s="182" t="n">
        <v>0</v>
      </c>
      <c r="AJ6191" s="182" t="n">
        <v>0</v>
      </c>
      <c r="AK6191" s="182" t="n">
        <v>6.42</v>
      </c>
      <c r="AL6191" s="182" t="n">
        <v>0</v>
      </c>
      <c r="AM6191" s="182" t="n">
        <v>0.08</v>
      </c>
      <c r="AN6191" s="182" t="n">
        <v>0</v>
      </c>
    </row>
    <row r="6192">
      <c r="A6192" s="155" t="n">
        <v>46110</v>
      </c>
      <c r="B6192" s="156" t="inlineStr">
        <is>
          <t>DS</t>
        </is>
      </c>
      <c r="C6192" s="156" t="inlineStr">
        <is>
          <t>HT-409</t>
        </is>
      </c>
      <c r="D6192" s="156" t="inlineStr">
        <is>
          <t>SY430</t>
        </is>
      </c>
      <c r="E6192" s="156" t="inlineStr">
        <is>
          <t>DT Hauling</t>
        </is>
      </c>
      <c r="F6192" s="156" t="inlineStr"/>
      <c r="G6192" s="182" t="n">
        <v>0</v>
      </c>
      <c r="H6192" s="182" t="n">
        <v>0</v>
      </c>
      <c r="I6192" s="182" t="n">
        <v>0</v>
      </c>
      <c r="J6192" s="182" t="n">
        <v>0</v>
      </c>
      <c r="K6192" s="182" t="n">
        <v>12</v>
      </c>
      <c r="L6192" s="182" t="n">
        <v>12</v>
      </c>
      <c r="M6192" s="182" t="n">
        <v>0</v>
      </c>
      <c r="N6192" s="182" t="n">
        <v>0</v>
      </c>
      <c r="O6192" s="183" t="n">
        <v>0</v>
      </c>
      <c r="P6192" s="183" t="n">
        <v>0</v>
      </c>
      <c r="Q6192" s="184" t="n">
        <v>0</v>
      </c>
      <c r="R6192" s="184" t="n">
        <v>0</v>
      </c>
      <c r="S6192" s="183" t="n">
        <v>0</v>
      </c>
      <c r="T6192" s="183" t="n">
        <v>0</v>
      </c>
      <c r="U6192" s="182" t="n">
        <v>0</v>
      </c>
      <c r="V6192" s="182" t="n">
        <v>0</v>
      </c>
      <c r="W6192" s="182" t="n">
        <v>0</v>
      </c>
      <c r="X6192" s="182" t="n">
        <v>1</v>
      </c>
      <c r="Y6192" s="182" t="n">
        <v>0</v>
      </c>
      <c r="Z6192" s="182" t="n">
        <v>0</v>
      </c>
      <c r="AA6192" s="182" t="n">
        <v>0</v>
      </c>
      <c r="AB6192" s="182" t="n">
        <v>1</v>
      </c>
      <c r="AC6192" s="182" t="n">
        <v>0</v>
      </c>
      <c r="AD6192" s="182" t="n">
        <v>0</v>
      </c>
      <c r="AE6192" s="182" t="n">
        <v>0</v>
      </c>
      <c r="AF6192" s="182" t="n">
        <v>0</v>
      </c>
      <c r="AG6192" s="182" t="n">
        <v>0</v>
      </c>
      <c r="AH6192" s="182" t="n">
        <v>0</v>
      </c>
      <c r="AI6192" s="182" t="n">
        <v>0</v>
      </c>
      <c r="AJ6192" s="182" t="n">
        <v>0</v>
      </c>
      <c r="AK6192" s="182" t="n">
        <v>9.92</v>
      </c>
      <c r="AL6192" s="182" t="n">
        <v>0</v>
      </c>
      <c r="AM6192" s="182" t="n">
        <v>0.08</v>
      </c>
      <c r="AN6192" s="182" t="n">
        <v>0</v>
      </c>
    </row>
    <row r="6193">
      <c r="A6193" s="155" t="n">
        <v>46110</v>
      </c>
      <c r="B6193" s="156" t="inlineStr">
        <is>
          <t>DS</t>
        </is>
      </c>
      <c r="C6193" s="156" t="inlineStr">
        <is>
          <t>DH-103</t>
        </is>
      </c>
      <c r="D6193" s="156" t="inlineStr">
        <is>
          <t>HINO FM260</t>
        </is>
      </c>
      <c r="E6193" s="156" t="inlineStr">
        <is>
          <t>DT Hino</t>
        </is>
      </c>
      <c r="F6193" s="156" t="inlineStr"/>
      <c r="G6193" s="182" t="n">
        <v>0</v>
      </c>
      <c r="H6193" s="182" t="n">
        <v>0</v>
      </c>
      <c r="I6193" s="182" t="n">
        <v>12</v>
      </c>
      <c r="J6193" s="182" t="n">
        <v>12</v>
      </c>
      <c r="K6193" s="182" t="n">
        <v>0</v>
      </c>
      <c r="L6193" s="182" t="n">
        <v>12</v>
      </c>
      <c r="M6193" s="182" t="n">
        <v>0</v>
      </c>
      <c r="N6193" s="182" t="n">
        <v>0</v>
      </c>
      <c r="O6193" s="183" t="n">
        <v>0</v>
      </c>
      <c r="P6193" s="183" t="n">
        <v>0</v>
      </c>
      <c r="Q6193" s="184" t="n">
        <v>0</v>
      </c>
      <c r="R6193" s="184" t="n">
        <v>0</v>
      </c>
      <c r="S6193" s="183" t="n">
        <v>0</v>
      </c>
      <c r="T6193" s="183" t="n">
        <v>0</v>
      </c>
      <c r="U6193" s="182" t="n">
        <v>0</v>
      </c>
      <c r="V6193" s="182" t="n">
        <v>0</v>
      </c>
      <c r="W6193" s="182" t="n">
        <v>0</v>
      </c>
      <c r="X6193" s="182" t="n">
        <v>0</v>
      </c>
      <c r="Y6193" s="182" t="n">
        <v>0</v>
      </c>
      <c r="Z6193" s="182" t="n">
        <v>0</v>
      </c>
      <c r="AA6193" s="182" t="n">
        <v>0</v>
      </c>
      <c r="AB6193" s="182" t="n">
        <v>0</v>
      </c>
      <c r="AC6193" s="182" t="n">
        <v>0</v>
      </c>
      <c r="AD6193" s="182" t="n">
        <v>0</v>
      </c>
      <c r="AE6193" s="182" t="n">
        <v>0</v>
      </c>
      <c r="AF6193" s="182" t="n">
        <v>0</v>
      </c>
      <c r="AG6193" s="182" t="n">
        <v>0</v>
      </c>
      <c r="AH6193" s="182" t="n">
        <v>0</v>
      </c>
      <c r="AI6193" s="182" t="n">
        <v>0</v>
      </c>
      <c r="AJ6193" s="182" t="n">
        <v>0</v>
      </c>
      <c r="AK6193" s="182" t="n">
        <v>0</v>
      </c>
      <c r="AL6193" s="182" t="n">
        <v>0</v>
      </c>
      <c r="AM6193" s="182" t="n">
        <v>0</v>
      </c>
      <c r="AN6193" s="182" t="n">
        <v>0</v>
      </c>
    </row>
    <row r="6194">
      <c r="A6194" s="155" t="n">
        <v>46110</v>
      </c>
      <c r="B6194" s="156" t="inlineStr">
        <is>
          <t>DS</t>
        </is>
      </c>
      <c r="C6194" s="156" t="inlineStr">
        <is>
          <t>DH-102</t>
        </is>
      </c>
      <c r="D6194" s="156" t="inlineStr">
        <is>
          <t>HINO FM260</t>
        </is>
      </c>
      <c r="E6194" s="156" t="inlineStr">
        <is>
          <t>DT Hino</t>
        </is>
      </c>
      <c r="F6194" s="156" t="inlineStr"/>
      <c r="G6194" s="182" t="n">
        <v>0</v>
      </c>
      <c r="H6194" s="182" t="n">
        <v>0</v>
      </c>
      <c r="I6194" s="182" t="n">
        <v>0</v>
      </c>
      <c r="J6194" s="182" t="n">
        <v>0</v>
      </c>
      <c r="K6194" s="182" t="n">
        <v>12</v>
      </c>
      <c r="L6194" s="182" t="n">
        <v>12</v>
      </c>
      <c r="M6194" s="182" t="n">
        <v>0</v>
      </c>
      <c r="N6194" s="182" t="n">
        <v>0</v>
      </c>
      <c r="O6194" s="183" t="n">
        <v>0</v>
      </c>
      <c r="P6194" s="183" t="n">
        <v>0</v>
      </c>
      <c r="Q6194" s="184" t="n">
        <v>0</v>
      </c>
      <c r="R6194" s="184" t="n">
        <v>0</v>
      </c>
      <c r="S6194" s="183" t="n">
        <v>0</v>
      </c>
      <c r="T6194" s="183" t="n">
        <v>0</v>
      </c>
      <c r="U6194" s="182" t="n">
        <v>0</v>
      </c>
      <c r="V6194" s="182" t="n">
        <v>0</v>
      </c>
      <c r="W6194" s="182" t="n">
        <v>0</v>
      </c>
      <c r="X6194" s="182" t="n">
        <v>1</v>
      </c>
      <c r="Y6194" s="182" t="n">
        <v>0</v>
      </c>
      <c r="Z6194" s="182" t="n">
        <v>0</v>
      </c>
      <c r="AA6194" s="182" t="n">
        <v>0</v>
      </c>
      <c r="AB6194" s="182" t="n">
        <v>1</v>
      </c>
      <c r="AC6194" s="182" t="n">
        <v>0</v>
      </c>
      <c r="AD6194" s="182" t="n">
        <v>0</v>
      </c>
      <c r="AE6194" s="182" t="n">
        <v>0</v>
      </c>
      <c r="AF6194" s="182" t="n">
        <v>0</v>
      </c>
      <c r="AG6194" s="182" t="n">
        <v>0</v>
      </c>
      <c r="AH6194" s="182" t="n">
        <v>0</v>
      </c>
      <c r="AI6194" s="182" t="n">
        <v>0</v>
      </c>
      <c r="AJ6194" s="182" t="n">
        <v>0</v>
      </c>
      <c r="AK6194" s="182" t="n">
        <v>9.92</v>
      </c>
      <c r="AL6194" s="182" t="n">
        <v>0</v>
      </c>
      <c r="AM6194" s="182" t="n">
        <v>0.08</v>
      </c>
      <c r="AN6194" s="182" t="n">
        <v>0</v>
      </c>
    </row>
    <row r="6195">
      <c r="A6195" s="155" t="n">
        <v>46110</v>
      </c>
      <c r="B6195" s="156" t="inlineStr">
        <is>
          <t>DS</t>
        </is>
      </c>
      <c r="C6195" s="156" t="inlineStr">
        <is>
          <t>DH-101</t>
        </is>
      </c>
      <c r="D6195" s="156" t="inlineStr">
        <is>
          <t>HINO FM260</t>
        </is>
      </c>
      <c r="E6195" s="156" t="inlineStr">
        <is>
          <t>DT Hino</t>
        </is>
      </c>
      <c r="F6195" s="156" t="inlineStr"/>
      <c r="G6195" s="182" t="n">
        <v>0</v>
      </c>
      <c r="H6195" s="182" t="n">
        <v>0</v>
      </c>
      <c r="I6195" s="182" t="n">
        <v>0</v>
      </c>
      <c r="J6195" s="182" t="n">
        <v>0</v>
      </c>
      <c r="K6195" s="182" t="n">
        <v>12</v>
      </c>
      <c r="L6195" s="182" t="n">
        <v>12</v>
      </c>
      <c r="M6195" s="182" t="n">
        <v>0</v>
      </c>
      <c r="N6195" s="182" t="n">
        <v>0</v>
      </c>
      <c r="O6195" s="183" t="n">
        <v>0</v>
      </c>
      <c r="P6195" s="183" t="n">
        <v>0</v>
      </c>
      <c r="Q6195" s="184" t="n">
        <v>0</v>
      </c>
      <c r="R6195" s="184" t="n">
        <v>0</v>
      </c>
      <c r="S6195" s="183" t="n">
        <v>0</v>
      </c>
      <c r="T6195" s="183" t="n">
        <v>0</v>
      </c>
      <c r="U6195" s="182" t="n">
        <v>0</v>
      </c>
      <c r="V6195" s="182" t="n">
        <v>0</v>
      </c>
      <c r="W6195" s="182" t="n">
        <v>0</v>
      </c>
      <c r="X6195" s="182" t="n">
        <v>1</v>
      </c>
      <c r="Y6195" s="182" t="n">
        <v>0</v>
      </c>
      <c r="Z6195" s="182" t="n">
        <v>0</v>
      </c>
      <c r="AA6195" s="182" t="n">
        <v>0</v>
      </c>
      <c r="AB6195" s="182" t="n">
        <v>1</v>
      </c>
      <c r="AC6195" s="182" t="n">
        <v>0</v>
      </c>
      <c r="AD6195" s="182" t="n">
        <v>0</v>
      </c>
      <c r="AE6195" s="182" t="n">
        <v>0</v>
      </c>
      <c r="AF6195" s="182" t="n">
        <v>0</v>
      </c>
      <c r="AG6195" s="182" t="n">
        <v>0</v>
      </c>
      <c r="AH6195" s="182" t="n">
        <v>0</v>
      </c>
      <c r="AI6195" s="182" t="n">
        <v>0</v>
      </c>
      <c r="AJ6195" s="182" t="n">
        <v>0</v>
      </c>
      <c r="AK6195" s="182" t="n">
        <v>9.92</v>
      </c>
      <c r="AL6195" s="182" t="n">
        <v>0</v>
      </c>
      <c r="AM6195" s="182" t="n">
        <v>0.08</v>
      </c>
      <c r="AN6195" s="182" t="n">
        <v>0</v>
      </c>
    </row>
    <row r="6196">
      <c r="A6196" s="155" t="n">
        <v>46110</v>
      </c>
      <c r="B6196" s="156" t="inlineStr">
        <is>
          <t>DS</t>
        </is>
      </c>
      <c r="C6196" s="156" t="inlineStr">
        <is>
          <t>EX-1251</t>
        </is>
      </c>
      <c r="D6196" s="156" t="inlineStr">
        <is>
          <t>SY1250</t>
        </is>
      </c>
      <c r="E6196" s="156" t="inlineStr">
        <is>
          <t>Excavator</t>
        </is>
      </c>
      <c r="F6196" s="156" t="inlineStr"/>
      <c r="G6196" s="182" t="n">
        <v>0</v>
      </c>
      <c r="H6196" s="182" t="n">
        <v>12</v>
      </c>
      <c r="I6196" s="182" t="n">
        <v>0</v>
      </c>
      <c r="J6196" s="182" t="n">
        <v>12</v>
      </c>
      <c r="K6196" s="182" t="n">
        <v>0</v>
      </c>
      <c r="L6196" s="182" t="n">
        <v>12</v>
      </c>
      <c r="M6196" s="182" t="n">
        <v>0</v>
      </c>
      <c r="N6196" s="182" t="n">
        <v>0</v>
      </c>
      <c r="O6196" s="185">
        <f>SUMIFS(INPUT_RITASE!$F$5:$F$20000,INPUT_RITASE!$A$5:$A$20000,$A6196,INPUT_RITASE!$H$5:$H$20000,$B6196,INPUT_RITASE!$C$5:$C$20000,$C6196,INPUT_RITASE!$N$5:$N$20000,"OB")</f>
        <v/>
      </c>
      <c r="P6196" s="185">
        <f>SUMIFS(INPUT_RITASE!$F$5:$F$20000,INPUT_RITASE!$A$5:$A$20000,$A6196,INPUT_RITASE!$H$5:$H$20000,$B6196,INPUT_RITASE!$C$5:$C$20000,$C6196,INPUT_RITASE!$N$5:$N$20000,"Coal")</f>
        <v/>
      </c>
      <c r="Q6196" s="186">
        <f>SUMIFS(INPUT_RITASE!$L$5:$L$20000,INPUT_RITASE!$A$5:$A$20000,$A6196,INPUT_RITASE!$H$5:$H$20000,$B6196,INPUT_RITASE!$C$5:$C$20000,$C6196,INPUT_RITASE!$N$5:$N$20000,"OB")</f>
        <v/>
      </c>
      <c r="R6196" s="186">
        <f>SUMIFS(INPUT_RITASE!$L$5:$L$20000,INPUT_RITASE!$A$5:$A$20000,$A6196,INPUT_RITASE!$H$5:$H$20000,$B6196,INPUT_RITASE!$C$5:$C$20000,$C6196,INPUT_RITASE!$N$5:$N$20000,"Coal")</f>
        <v/>
      </c>
      <c r="S6196" s="183" t="n">
        <v>0</v>
      </c>
      <c r="T6196" s="183" t="n">
        <v>0</v>
      </c>
      <c r="U6196" s="182" t="n">
        <v>0</v>
      </c>
      <c r="V6196" s="182" t="n">
        <v>0</v>
      </c>
      <c r="W6196" s="182" t="n">
        <v>0</v>
      </c>
      <c r="X6196" s="182" t="n">
        <v>0</v>
      </c>
      <c r="Y6196" s="182" t="n">
        <v>0</v>
      </c>
      <c r="Z6196" s="182" t="n">
        <v>0</v>
      </c>
      <c r="AA6196" s="182" t="n">
        <v>0</v>
      </c>
      <c r="AB6196" s="182" t="n">
        <v>0</v>
      </c>
      <c r="AC6196" s="182" t="n">
        <v>0</v>
      </c>
      <c r="AD6196" s="182" t="n">
        <v>0</v>
      </c>
      <c r="AE6196" s="182" t="n">
        <v>0</v>
      </c>
      <c r="AF6196" s="182" t="n">
        <v>0</v>
      </c>
      <c r="AG6196" s="182" t="n">
        <v>0</v>
      </c>
      <c r="AH6196" s="182" t="n">
        <v>0</v>
      </c>
      <c r="AI6196" s="182" t="n">
        <v>0</v>
      </c>
      <c r="AJ6196" s="182" t="n">
        <v>0</v>
      </c>
      <c r="AK6196" s="182" t="n">
        <v>0</v>
      </c>
      <c r="AL6196" s="182" t="n">
        <v>0</v>
      </c>
      <c r="AM6196" s="182" t="n">
        <v>0</v>
      </c>
      <c r="AN6196" s="182" t="n">
        <v>0</v>
      </c>
    </row>
    <row r="6197">
      <c r="A6197" s="155" t="n">
        <v>46110</v>
      </c>
      <c r="B6197" s="156" t="inlineStr">
        <is>
          <t>DS</t>
        </is>
      </c>
      <c r="C6197" s="156" t="inlineStr">
        <is>
          <t>EX-1252</t>
        </is>
      </c>
      <c r="D6197" s="156" t="inlineStr">
        <is>
          <t>SY1250</t>
        </is>
      </c>
      <c r="E6197" s="156" t="inlineStr">
        <is>
          <t>Excavator</t>
        </is>
      </c>
      <c r="F6197" s="156" t="inlineStr">
        <is>
          <t>Loading OB</t>
        </is>
      </c>
      <c r="G6197" s="182" t="n">
        <v>8.93</v>
      </c>
      <c r="H6197" s="182" t="n">
        <v>0</v>
      </c>
      <c r="I6197" s="182" t="n">
        <v>0.17</v>
      </c>
      <c r="J6197" s="182" t="n">
        <v>0.17</v>
      </c>
      <c r="K6197" s="182" t="n">
        <v>2.9</v>
      </c>
      <c r="L6197" s="182" t="n">
        <v>12</v>
      </c>
      <c r="M6197" s="182" t="n">
        <v>8.76</v>
      </c>
      <c r="N6197" s="182" t="n">
        <v>0</v>
      </c>
      <c r="O6197" s="185">
        <f>SUMIFS(INPUT_RITASE!$F$5:$F$20000,INPUT_RITASE!$A$5:$A$20000,$A6197,INPUT_RITASE!$H$5:$H$20000,$B6197,INPUT_RITASE!$C$5:$C$20000,$C6197,INPUT_RITASE!$N$5:$N$20000,"OB")</f>
        <v/>
      </c>
      <c r="P6197" s="185">
        <f>SUMIFS(INPUT_RITASE!$F$5:$F$20000,INPUT_RITASE!$A$5:$A$20000,$A6197,INPUT_RITASE!$H$5:$H$20000,$B6197,INPUT_RITASE!$C$5:$C$20000,$C6197,INPUT_RITASE!$N$5:$N$20000,"Coal")</f>
        <v/>
      </c>
      <c r="Q6197" s="186">
        <f>SUMIFS(INPUT_RITASE!$L$5:$L$20000,INPUT_RITASE!$A$5:$A$20000,$A6197,INPUT_RITASE!$H$5:$H$20000,$B6197,INPUT_RITASE!$C$5:$C$20000,$C6197,INPUT_RITASE!$N$5:$N$20000,"OB")</f>
        <v/>
      </c>
      <c r="R6197" s="186">
        <f>SUMIFS(INPUT_RITASE!$L$5:$L$20000,INPUT_RITASE!$A$5:$A$20000,$A6197,INPUT_RITASE!$H$5:$H$20000,$B6197,INPUT_RITASE!$C$5:$C$20000,$C6197,INPUT_RITASE!$N$5:$N$20000,"Coal")</f>
        <v/>
      </c>
      <c r="S6197" s="183" t="n">
        <v>0</v>
      </c>
      <c r="T6197" s="183" t="n">
        <v>0</v>
      </c>
      <c r="U6197" s="182" t="n">
        <v>0</v>
      </c>
      <c r="V6197" s="182" t="n">
        <v>0</v>
      </c>
      <c r="W6197" s="182" t="n">
        <v>0</v>
      </c>
      <c r="X6197" s="182" t="n">
        <v>1.16</v>
      </c>
      <c r="Y6197" s="182" t="n">
        <v>0</v>
      </c>
      <c r="Z6197" s="182" t="n">
        <v>0</v>
      </c>
      <c r="AA6197" s="182" t="n">
        <v>0</v>
      </c>
      <c r="AB6197" s="182" t="n">
        <v>1.16</v>
      </c>
      <c r="AC6197" s="182" t="n">
        <v>0</v>
      </c>
      <c r="AD6197" s="182" t="n">
        <v>0</v>
      </c>
      <c r="AE6197" s="182" t="n">
        <v>0</v>
      </c>
      <c r="AF6197" s="182" t="n">
        <v>0</v>
      </c>
      <c r="AG6197" s="182" t="n">
        <v>0</v>
      </c>
      <c r="AH6197" s="182" t="n">
        <v>0.5</v>
      </c>
      <c r="AI6197" s="182" t="n">
        <v>0</v>
      </c>
      <c r="AJ6197" s="182" t="n">
        <v>0</v>
      </c>
      <c r="AK6197" s="182" t="n">
        <v>0</v>
      </c>
      <c r="AL6197" s="182" t="n">
        <v>0</v>
      </c>
      <c r="AM6197" s="182" t="n">
        <v>0.09</v>
      </c>
      <c r="AN6197" s="182" t="n">
        <v>0</v>
      </c>
    </row>
    <row r="6198">
      <c r="A6198" s="155" t="n">
        <v>46110</v>
      </c>
      <c r="B6198" s="156" t="inlineStr">
        <is>
          <t>DS</t>
        </is>
      </c>
      <c r="C6198" s="156" t="inlineStr">
        <is>
          <t>EX-2101</t>
        </is>
      </c>
      <c r="D6198" s="156" t="inlineStr">
        <is>
          <t>SY2000</t>
        </is>
      </c>
      <c r="E6198" s="156" t="inlineStr">
        <is>
          <t>Excavator</t>
        </is>
      </c>
      <c r="F6198" s="156" t="inlineStr"/>
      <c r="G6198" s="182" t="n">
        <v>0</v>
      </c>
      <c r="H6198" s="182" t="n">
        <v>0</v>
      </c>
      <c r="I6198" s="182" t="n">
        <v>12</v>
      </c>
      <c r="J6198" s="182" t="n">
        <v>12</v>
      </c>
      <c r="K6198" s="182" t="n">
        <v>0</v>
      </c>
      <c r="L6198" s="182" t="n">
        <v>12</v>
      </c>
      <c r="M6198" s="182" t="n">
        <v>0</v>
      </c>
      <c r="N6198" s="182" t="n">
        <v>0</v>
      </c>
      <c r="O6198" s="185">
        <f>SUMIFS(INPUT_RITASE!$F$5:$F$20000,INPUT_RITASE!$A$5:$A$20000,$A6198,INPUT_RITASE!$H$5:$H$20000,$B6198,INPUT_RITASE!$C$5:$C$20000,$C6198,INPUT_RITASE!$N$5:$N$20000,"OB")</f>
        <v/>
      </c>
      <c r="P6198" s="185">
        <f>SUMIFS(INPUT_RITASE!$F$5:$F$20000,INPUT_RITASE!$A$5:$A$20000,$A6198,INPUT_RITASE!$H$5:$H$20000,$B6198,INPUT_RITASE!$C$5:$C$20000,$C6198,INPUT_RITASE!$N$5:$N$20000,"Coal")</f>
        <v/>
      </c>
      <c r="Q6198" s="186">
        <f>SUMIFS(INPUT_RITASE!$L$5:$L$20000,INPUT_RITASE!$A$5:$A$20000,$A6198,INPUT_RITASE!$H$5:$H$20000,$B6198,INPUT_RITASE!$C$5:$C$20000,$C6198,INPUT_RITASE!$N$5:$N$20000,"OB")</f>
        <v/>
      </c>
      <c r="R6198" s="186">
        <f>SUMIFS(INPUT_RITASE!$L$5:$L$20000,INPUT_RITASE!$A$5:$A$20000,$A6198,INPUT_RITASE!$H$5:$H$20000,$B6198,INPUT_RITASE!$C$5:$C$20000,$C6198,INPUT_RITASE!$N$5:$N$20000,"Coal")</f>
        <v/>
      </c>
      <c r="S6198" s="183" t="n">
        <v>0</v>
      </c>
      <c r="T6198" s="183" t="n">
        <v>0</v>
      </c>
      <c r="U6198" s="182" t="n">
        <v>0</v>
      </c>
      <c r="V6198" s="182" t="n">
        <v>0</v>
      </c>
      <c r="W6198" s="182" t="n">
        <v>0</v>
      </c>
      <c r="X6198" s="182" t="n">
        <v>0</v>
      </c>
      <c r="Y6198" s="182" t="n">
        <v>0</v>
      </c>
      <c r="Z6198" s="182" t="n">
        <v>0</v>
      </c>
      <c r="AA6198" s="182" t="n">
        <v>0</v>
      </c>
      <c r="AB6198" s="182" t="n">
        <v>0</v>
      </c>
      <c r="AC6198" s="182" t="n">
        <v>0</v>
      </c>
      <c r="AD6198" s="182" t="n">
        <v>0</v>
      </c>
      <c r="AE6198" s="182" t="n">
        <v>0</v>
      </c>
      <c r="AF6198" s="182" t="n">
        <v>0</v>
      </c>
      <c r="AG6198" s="182" t="n">
        <v>0</v>
      </c>
      <c r="AH6198" s="182" t="n">
        <v>0</v>
      </c>
      <c r="AI6198" s="182" t="n">
        <v>0</v>
      </c>
      <c r="AJ6198" s="182" t="n">
        <v>0</v>
      </c>
      <c r="AK6198" s="182" t="n">
        <v>0</v>
      </c>
      <c r="AL6198" s="182" t="n">
        <v>0</v>
      </c>
      <c r="AM6198" s="182" t="n">
        <v>0</v>
      </c>
      <c r="AN6198" s="182" t="n">
        <v>0</v>
      </c>
    </row>
    <row r="6199">
      <c r="A6199" s="155" t="n">
        <v>46110</v>
      </c>
      <c r="B6199" s="156" t="inlineStr">
        <is>
          <t>DS</t>
        </is>
      </c>
      <c r="C6199" s="156" t="inlineStr">
        <is>
          <t>EX-222</t>
        </is>
      </c>
      <c r="D6199" s="156" t="inlineStr">
        <is>
          <t>PC 200-8MI</t>
        </is>
      </c>
      <c r="E6199" s="156" t="inlineStr">
        <is>
          <t>Excavator</t>
        </is>
      </c>
      <c r="F6199" s="156" t="inlineStr">
        <is>
          <t>Support Washing Plant</t>
        </is>
      </c>
      <c r="G6199" s="182" t="n">
        <v>9.33</v>
      </c>
      <c r="H6199" s="182" t="n">
        <v>0</v>
      </c>
      <c r="I6199" s="182" t="n">
        <v>0</v>
      </c>
      <c r="J6199" s="182" t="n">
        <v>0</v>
      </c>
      <c r="K6199" s="182" t="n">
        <v>2.67</v>
      </c>
      <c r="L6199" s="182" t="n">
        <v>12</v>
      </c>
      <c r="M6199" s="182" t="n">
        <v>0</v>
      </c>
      <c r="N6199" s="182" t="n">
        <v>0</v>
      </c>
      <c r="O6199" s="185">
        <f>SUMIFS(INPUT_RITASE!$F$5:$F$20000,INPUT_RITASE!$A$5:$A$20000,$A6199,INPUT_RITASE!$H$5:$H$20000,$B6199,INPUT_RITASE!$C$5:$C$20000,$C6199,INPUT_RITASE!$N$5:$N$20000,"OB")</f>
        <v/>
      </c>
      <c r="P6199" s="185">
        <f>SUMIFS(INPUT_RITASE!$F$5:$F$20000,INPUT_RITASE!$A$5:$A$20000,$A6199,INPUT_RITASE!$H$5:$H$20000,$B6199,INPUT_RITASE!$C$5:$C$20000,$C6199,INPUT_RITASE!$N$5:$N$20000,"Coal")</f>
        <v/>
      </c>
      <c r="Q6199" s="186">
        <f>SUMIFS(INPUT_RITASE!$L$5:$L$20000,INPUT_RITASE!$A$5:$A$20000,$A6199,INPUT_RITASE!$H$5:$H$20000,$B6199,INPUT_RITASE!$C$5:$C$20000,$C6199,INPUT_RITASE!$N$5:$N$20000,"OB")</f>
        <v/>
      </c>
      <c r="R6199" s="186">
        <f>SUMIFS(INPUT_RITASE!$L$5:$L$20000,INPUT_RITASE!$A$5:$A$20000,$A6199,INPUT_RITASE!$H$5:$H$20000,$B6199,INPUT_RITASE!$C$5:$C$20000,$C6199,INPUT_RITASE!$N$5:$N$20000,"Coal")</f>
        <v/>
      </c>
      <c r="S6199" s="183" t="n">
        <v>0</v>
      </c>
      <c r="T6199" s="183" t="n">
        <v>0</v>
      </c>
      <c r="U6199" s="182" t="n">
        <v>0</v>
      </c>
      <c r="V6199" s="182" t="n">
        <v>0</v>
      </c>
      <c r="W6199" s="182" t="n">
        <v>0</v>
      </c>
      <c r="X6199" s="182" t="n">
        <v>1.07</v>
      </c>
      <c r="Y6199" s="182" t="n">
        <v>0</v>
      </c>
      <c r="Z6199" s="182" t="n">
        <v>0</v>
      </c>
      <c r="AA6199" s="182" t="n">
        <v>0</v>
      </c>
      <c r="AB6199" s="182" t="n">
        <v>1.07</v>
      </c>
      <c r="AC6199" s="182" t="n">
        <v>0</v>
      </c>
      <c r="AD6199" s="182" t="n">
        <v>0</v>
      </c>
      <c r="AE6199" s="182" t="n">
        <v>0</v>
      </c>
      <c r="AF6199" s="182" t="n">
        <v>0</v>
      </c>
      <c r="AG6199" s="182" t="n">
        <v>0</v>
      </c>
      <c r="AH6199" s="182" t="n">
        <v>0.45</v>
      </c>
      <c r="AI6199" s="182" t="n">
        <v>0</v>
      </c>
      <c r="AJ6199" s="182" t="n">
        <v>0</v>
      </c>
      <c r="AK6199" s="182" t="n">
        <v>0</v>
      </c>
      <c r="AL6199" s="182" t="n">
        <v>0</v>
      </c>
      <c r="AM6199" s="182" t="n">
        <v>0.09</v>
      </c>
      <c r="AN6199" s="182" t="n">
        <v>0</v>
      </c>
    </row>
    <row r="6200">
      <c r="A6200" s="155" t="n">
        <v>46110</v>
      </c>
      <c r="B6200" s="156" t="inlineStr">
        <is>
          <t>DS</t>
        </is>
      </c>
      <c r="C6200" s="156" t="inlineStr">
        <is>
          <t>EX-225</t>
        </is>
      </c>
      <c r="D6200" s="156" t="inlineStr">
        <is>
          <t>PC 200-8</t>
        </is>
      </c>
      <c r="E6200" s="156" t="inlineStr">
        <is>
          <t>Excavator</t>
        </is>
      </c>
      <c r="F6200" s="156" t="inlineStr"/>
      <c r="G6200" s="182" t="n">
        <v>0</v>
      </c>
      <c r="H6200" s="182" t="n">
        <v>0</v>
      </c>
      <c r="I6200" s="182" t="n">
        <v>12</v>
      </c>
      <c r="J6200" s="182" t="n">
        <v>12</v>
      </c>
      <c r="K6200" s="182" t="n">
        <v>0</v>
      </c>
      <c r="L6200" s="182" t="n">
        <v>12</v>
      </c>
      <c r="M6200" s="182" t="n">
        <v>0</v>
      </c>
      <c r="N6200" s="182" t="n">
        <v>0</v>
      </c>
      <c r="O6200" s="185">
        <f>SUMIFS(INPUT_RITASE!$F$5:$F$20000,INPUT_RITASE!$A$5:$A$20000,$A6200,INPUT_RITASE!$H$5:$H$20000,$B6200,INPUT_RITASE!$C$5:$C$20000,$C6200,INPUT_RITASE!$N$5:$N$20000,"OB")</f>
        <v/>
      </c>
      <c r="P6200" s="185">
        <f>SUMIFS(INPUT_RITASE!$F$5:$F$20000,INPUT_RITASE!$A$5:$A$20000,$A6200,INPUT_RITASE!$H$5:$H$20000,$B6200,INPUT_RITASE!$C$5:$C$20000,$C6200,INPUT_RITASE!$N$5:$N$20000,"Coal")</f>
        <v/>
      </c>
      <c r="Q6200" s="186">
        <f>SUMIFS(INPUT_RITASE!$L$5:$L$20000,INPUT_RITASE!$A$5:$A$20000,$A6200,INPUT_RITASE!$H$5:$H$20000,$B6200,INPUT_RITASE!$C$5:$C$20000,$C6200,INPUT_RITASE!$N$5:$N$20000,"OB")</f>
        <v/>
      </c>
      <c r="R6200" s="186">
        <f>SUMIFS(INPUT_RITASE!$L$5:$L$20000,INPUT_RITASE!$A$5:$A$20000,$A6200,INPUT_RITASE!$H$5:$H$20000,$B6200,INPUT_RITASE!$C$5:$C$20000,$C6200,INPUT_RITASE!$N$5:$N$20000,"Coal")</f>
        <v/>
      </c>
      <c r="S6200" s="183" t="n">
        <v>0</v>
      </c>
      <c r="T6200" s="183" t="n">
        <v>0</v>
      </c>
      <c r="U6200" s="182" t="n">
        <v>0</v>
      </c>
      <c r="V6200" s="182" t="n">
        <v>0</v>
      </c>
      <c r="W6200" s="182" t="n">
        <v>0</v>
      </c>
      <c r="X6200" s="182" t="n">
        <v>0</v>
      </c>
      <c r="Y6200" s="182" t="n">
        <v>0</v>
      </c>
      <c r="Z6200" s="182" t="n">
        <v>0</v>
      </c>
      <c r="AA6200" s="182" t="n">
        <v>0</v>
      </c>
      <c r="AB6200" s="182" t="n">
        <v>0</v>
      </c>
      <c r="AC6200" s="182" t="n">
        <v>0</v>
      </c>
      <c r="AD6200" s="182" t="n">
        <v>0</v>
      </c>
      <c r="AE6200" s="182" t="n">
        <v>0</v>
      </c>
      <c r="AF6200" s="182" t="n">
        <v>0</v>
      </c>
      <c r="AG6200" s="182" t="n">
        <v>0</v>
      </c>
      <c r="AH6200" s="182" t="n">
        <v>0</v>
      </c>
      <c r="AI6200" s="182" t="n">
        <v>0</v>
      </c>
      <c r="AJ6200" s="182" t="n">
        <v>0</v>
      </c>
      <c r="AK6200" s="182" t="n">
        <v>0</v>
      </c>
      <c r="AL6200" s="182" t="n">
        <v>0</v>
      </c>
      <c r="AM6200" s="182" t="n">
        <v>0</v>
      </c>
      <c r="AN6200" s="182" t="n">
        <v>0</v>
      </c>
    </row>
    <row r="6201">
      <c r="A6201" s="155" t="n">
        <v>46110</v>
      </c>
      <c r="B6201" s="156" t="inlineStr">
        <is>
          <t>DS</t>
        </is>
      </c>
      <c r="C6201" s="156" t="inlineStr">
        <is>
          <t>EX-223</t>
        </is>
      </c>
      <c r="D6201" s="156" t="inlineStr">
        <is>
          <t>PC 200-8MI</t>
        </is>
      </c>
      <c r="E6201" s="156" t="inlineStr">
        <is>
          <t>Excavator</t>
        </is>
      </c>
      <c r="F6201" s="156" t="inlineStr">
        <is>
          <t>Support Washing Plant</t>
        </is>
      </c>
      <c r="G6201" s="182" t="n">
        <v>9.869999999999999</v>
      </c>
      <c r="H6201" s="182" t="n">
        <v>0</v>
      </c>
      <c r="I6201" s="182" t="n">
        <v>0</v>
      </c>
      <c r="J6201" s="182" t="n">
        <v>0</v>
      </c>
      <c r="K6201" s="182" t="n">
        <v>2.13</v>
      </c>
      <c r="L6201" s="182" t="n">
        <v>12</v>
      </c>
      <c r="M6201" s="182" t="n">
        <v>0</v>
      </c>
      <c r="N6201" s="182" t="n">
        <v>0</v>
      </c>
      <c r="O6201" s="185">
        <f>SUMIFS(INPUT_RITASE!$F$5:$F$20000,INPUT_RITASE!$A$5:$A$20000,$A6201,INPUT_RITASE!$H$5:$H$20000,$B6201,INPUT_RITASE!$C$5:$C$20000,$C6201,INPUT_RITASE!$N$5:$N$20000,"OB")</f>
        <v/>
      </c>
      <c r="P6201" s="185">
        <f>SUMIFS(INPUT_RITASE!$F$5:$F$20000,INPUT_RITASE!$A$5:$A$20000,$A6201,INPUT_RITASE!$H$5:$H$20000,$B6201,INPUT_RITASE!$C$5:$C$20000,$C6201,INPUT_RITASE!$N$5:$N$20000,"Coal")</f>
        <v/>
      </c>
      <c r="Q6201" s="186">
        <f>SUMIFS(INPUT_RITASE!$L$5:$L$20000,INPUT_RITASE!$A$5:$A$20000,$A6201,INPUT_RITASE!$H$5:$H$20000,$B6201,INPUT_RITASE!$C$5:$C$20000,$C6201,INPUT_RITASE!$N$5:$N$20000,"OB")</f>
        <v/>
      </c>
      <c r="R6201" s="186">
        <f>SUMIFS(INPUT_RITASE!$L$5:$L$20000,INPUT_RITASE!$A$5:$A$20000,$A6201,INPUT_RITASE!$H$5:$H$20000,$B6201,INPUT_RITASE!$C$5:$C$20000,$C6201,INPUT_RITASE!$N$5:$N$20000,"Coal")</f>
        <v/>
      </c>
      <c r="S6201" s="183" t="n">
        <v>0</v>
      </c>
      <c r="T6201" s="183" t="n">
        <v>0</v>
      </c>
      <c r="U6201" s="182" t="n">
        <v>0</v>
      </c>
      <c r="V6201" s="182" t="n">
        <v>0</v>
      </c>
      <c r="W6201" s="182" t="n">
        <v>0</v>
      </c>
      <c r="X6201" s="182" t="n">
        <v>0.85</v>
      </c>
      <c r="Y6201" s="182" t="n">
        <v>0</v>
      </c>
      <c r="Z6201" s="182" t="n">
        <v>0</v>
      </c>
      <c r="AA6201" s="182" t="n">
        <v>0</v>
      </c>
      <c r="AB6201" s="182" t="n">
        <v>0.85</v>
      </c>
      <c r="AC6201" s="182" t="n">
        <v>0</v>
      </c>
      <c r="AD6201" s="182" t="n">
        <v>0</v>
      </c>
      <c r="AE6201" s="182" t="n">
        <v>0</v>
      </c>
      <c r="AF6201" s="182" t="n">
        <v>0</v>
      </c>
      <c r="AG6201" s="182" t="n">
        <v>0</v>
      </c>
      <c r="AH6201" s="182" t="n">
        <v>0.36</v>
      </c>
      <c r="AI6201" s="182" t="n">
        <v>0</v>
      </c>
      <c r="AJ6201" s="182" t="n">
        <v>0</v>
      </c>
      <c r="AK6201" s="182" t="n">
        <v>0</v>
      </c>
      <c r="AL6201" s="182" t="n">
        <v>0</v>
      </c>
      <c r="AM6201" s="182" t="n">
        <v>0.07000000000000001</v>
      </c>
      <c r="AN6201" s="182" t="n">
        <v>0</v>
      </c>
    </row>
    <row r="6202">
      <c r="A6202" s="155" t="n">
        <v>46110</v>
      </c>
      <c r="B6202" s="156" t="inlineStr">
        <is>
          <t>DS</t>
        </is>
      </c>
      <c r="C6202" s="156" t="inlineStr">
        <is>
          <t>EX-221</t>
        </is>
      </c>
      <c r="D6202" s="156" t="inlineStr">
        <is>
          <t>PC 200-8MI</t>
        </is>
      </c>
      <c r="E6202" s="156" t="inlineStr">
        <is>
          <t>Excavator</t>
        </is>
      </c>
      <c r="F6202" s="156" t="inlineStr"/>
      <c r="G6202" s="182" t="n">
        <v>0</v>
      </c>
      <c r="H6202" s="182" t="n">
        <v>0</v>
      </c>
      <c r="I6202" s="182" t="n">
        <v>0</v>
      </c>
      <c r="J6202" s="182" t="n">
        <v>0</v>
      </c>
      <c r="K6202" s="182" t="n">
        <v>12</v>
      </c>
      <c r="L6202" s="182" t="n">
        <v>12</v>
      </c>
      <c r="M6202" s="182" t="n">
        <v>0</v>
      </c>
      <c r="N6202" s="182" t="n">
        <v>0</v>
      </c>
      <c r="O6202" s="185">
        <f>SUMIFS(INPUT_RITASE!$F$5:$F$20000,INPUT_RITASE!$A$5:$A$20000,$A6202,INPUT_RITASE!$H$5:$H$20000,$B6202,INPUT_RITASE!$C$5:$C$20000,$C6202,INPUT_RITASE!$N$5:$N$20000,"OB")</f>
        <v/>
      </c>
      <c r="P6202" s="185">
        <f>SUMIFS(INPUT_RITASE!$F$5:$F$20000,INPUT_RITASE!$A$5:$A$20000,$A6202,INPUT_RITASE!$H$5:$H$20000,$B6202,INPUT_RITASE!$C$5:$C$20000,$C6202,INPUT_RITASE!$N$5:$N$20000,"Coal")</f>
        <v/>
      </c>
      <c r="Q6202" s="186">
        <f>SUMIFS(INPUT_RITASE!$L$5:$L$20000,INPUT_RITASE!$A$5:$A$20000,$A6202,INPUT_RITASE!$H$5:$H$20000,$B6202,INPUT_RITASE!$C$5:$C$20000,$C6202,INPUT_RITASE!$N$5:$N$20000,"OB")</f>
        <v/>
      </c>
      <c r="R6202" s="186">
        <f>SUMIFS(INPUT_RITASE!$L$5:$L$20000,INPUT_RITASE!$A$5:$A$20000,$A6202,INPUT_RITASE!$H$5:$H$20000,$B6202,INPUT_RITASE!$C$5:$C$20000,$C6202,INPUT_RITASE!$N$5:$N$20000,"Coal")</f>
        <v/>
      </c>
      <c r="S6202" s="183" t="n">
        <v>0</v>
      </c>
      <c r="T6202" s="183" t="n">
        <v>0</v>
      </c>
      <c r="U6202" s="182" t="n">
        <v>0</v>
      </c>
      <c r="V6202" s="182" t="n">
        <v>0</v>
      </c>
      <c r="W6202" s="182" t="n">
        <v>0</v>
      </c>
      <c r="X6202" s="182" t="n">
        <v>1</v>
      </c>
      <c r="Y6202" s="182" t="n">
        <v>0</v>
      </c>
      <c r="Z6202" s="182" t="n">
        <v>0</v>
      </c>
      <c r="AA6202" s="182" t="n">
        <v>0</v>
      </c>
      <c r="AB6202" s="182" t="n">
        <v>1</v>
      </c>
      <c r="AC6202" s="182" t="n">
        <v>0</v>
      </c>
      <c r="AD6202" s="182" t="n">
        <v>0</v>
      </c>
      <c r="AE6202" s="182" t="n">
        <v>0</v>
      </c>
      <c r="AF6202" s="182" t="n">
        <v>0</v>
      </c>
      <c r="AG6202" s="182" t="n">
        <v>0</v>
      </c>
      <c r="AH6202" s="182" t="n">
        <v>0</v>
      </c>
      <c r="AI6202" s="182" t="n">
        <v>0</v>
      </c>
      <c r="AJ6202" s="182" t="n">
        <v>0</v>
      </c>
      <c r="AK6202" s="182" t="n">
        <v>9.92</v>
      </c>
      <c r="AL6202" s="182" t="n">
        <v>0</v>
      </c>
      <c r="AM6202" s="182" t="n">
        <v>0.08</v>
      </c>
      <c r="AN6202" s="182" t="n">
        <v>0</v>
      </c>
    </row>
    <row r="6203">
      <c r="A6203" s="155" t="n">
        <v>46110</v>
      </c>
      <c r="B6203" s="156" t="inlineStr">
        <is>
          <t>DS</t>
        </is>
      </c>
      <c r="C6203" s="156" t="inlineStr">
        <is>
          <t>EX-331</t>
        </is>
      </c>
      <c r="D6203" s="156" t="inlineStr">
        <is>
          <t>PC 300-8MO</t>
        </is>
      </c>
      <c r="E6203" s="156" t="inlineStr">
        <is>
          <t>Excavator</t>
        </is>
      </c>
      <c r="F6203" s="156" t="inlineStr"/>
      <c r="G6203" s="182" t="n">
        <v>0</v>
      </c>
      <c r="H6203" s="182" t="n">
        <v>0</v>
      </c>
      <c r="I6203" s="182" t="n">
        <v>12</v>
      </c>
      <c r="J6203" s="182" t="n">
        <v>12</v>
      </c>
      <c r="K6203" s="182" t="n">
        <v>0</v>
      </c>
      <c r="L6203" s="182" t="n">
        <v>12</v>
      </c>
      <c r="M6203" s="182" t="n">
        <v>0</v>
      </c>
      <c r="N6203" s="182" t="n">
        <v>0</v>
      </c>
      <c r="O6203" s="185">
        <f>SUMIFS(INPUT_RITASE!$F$5:$F$20000,INPUT_RITASE!$A$5:$A$20000,$A6203,INPUT_RITASE!$H$5:$H$20000,$B6203,INPUT_RITASE!$C$5:$C$20000,$C6203,INPUT_RITASE!$N$5:$N$20000,"OB")</f>
        <v/>
      </c>
      <c r="P6203" s="185">
        <f>SUMIFS(INPUT_RITASE!$F$5:$F$20000,INPUT_RITASE!$A$5:$A$20000,$A6203,INPUT_RITASE!$H$5:$H$20000,$B6203,INPUT_RITASE!$C$5:$C$20000,$C6203,INPUT_RITASE!$N$5:$N$20000,"Coal")</f>
        <v/>
      </c>
      <c r="Q6203" s="186">
        <f>SUMIFS(INPUT_RITASE!$L$5:$L$20000,INPUT_RITASE!$A$5:$A$20000,$A6203,INPUT_RITASE!$H$5:$H$20000,$B6203,INPUT_RITASE!$C$5:$C$20000,$C6203,INPUT_RITASE!$N$5:$N$20000,"OB")</f>
        <v/>
      </c>
      <c r="R6203" s="186">
        <f>SUMIFS(INPUT_RITASE!$L$5:$L$20000,INPUT_RITASE!$A$5:$A$20000,$A6203,INPUT_RITASE!$H$5:$H$20000,$B6203,INPUT_RITASE!$C$5:$C$20000,$C6203,INPUT_RITASE!$N$5:$N$20000,"Coal")</f>
        <v/>
      </c>
      <c r="S6203" s="183" t="n">
        <v>0</v>
      </c>
      <c r="T6203" s="183" t="n">
        <v>0</v>
      </c>
      <c r="U6203" s="182" t="n">
        <v>0</v>
      </c>
      <c r="V6203" s="182" t="n">
        <v>0</v>
      </c>
      <c r="W6203" s="182" t="n">
        <v>0</v>
      </c>
      <c r="X6203" s="182" t="n">
        <v>0</v>
      </c>
      <c r="Y6203" s="182" t="n">
        <v>0</v>
      </c>
      <c r="Z6203" s="182" t="n">
        <v>0</v>
      </c>
      <c r="AA6203" s="182" t="n">
        <v>0</v>
      </c>
      <c r="AB6203" s="182" t="n">
        <v>0</v>
      </c>
      <c r="AC6203" s="182" t="n">
        <v>0</v>
      </c>
      <c r="AD6203" s="182" t="n">
        <v>0</v>
      </c>
      <c r="AE6203" s="182" t="n">
        <v>0</v>
      </c>
      <c r="AF6203" s="182" t="n">
        <v>0</v>
      </c>
      <c r="AG6203" s="182" t="n">
        <v>0</v>
      </c>
      <c r="AH6203" s="182" t="n">
        <v>0</v>
      </c>
      <c r="AI6203" s="182" t="n">
        <v>0</v>
      </c>
      <c r="AJ6203" s="182" t="n">
        <v>0</v>
      </c>
      <c r="AK6203" s="182" t="n">
        <v>0</v>
      </c>
      <c r="AL6203" s="182" t="n">
        <v>0</v>
      </c>
      <c r="AM6203" s="182" t="n">
        <v>0</v>
      </c>
      <c r="AN6203" s="182" t="n">
        <v>0</v>
      </c>
    </row>
    <row r="6204">
      <c r="A6204" s="155" t="n">
        <v>46110</v>
      </c>
      <c r="B6204" s="156" t="inlineStr">
        <is>
          <t>DS</t>
        </is>
      </c>
      <c r="C6204" s="156" t="inlineStr">
        <is>
          <t>EX-334</t>
        </is>
      </c>
      <c r="D6204" s="156" t="inlineStr">
        <is>
          <t>PC 300-8MO</t>
        </is>
      </c>
      <c r="E6204" s="156" t="inlineStr">
        <is>
          <t>Excavator</t>
        </is>
      </c>
      <c r="F6204" s="156" t="inlineStr">
        <is>
          <t>Loading &amp; Cleaning Coal</t>
        </is>
      </c>
      <c r="G6204" s="182" t="n">
        <v>9.56</v>
      </c>
      <c r="H6204" s="182" t="n">
        <v>0</v>
      </c>
      <c r="I6204" s="182" t="n">
        <v>0</v>
      </c>
      <c r="J6204" s="182" t="n">
        <v>0</v>
      </c>
      <c r="K6204" s="182" t="n">
        <v>2.44</v>
      </c>
      <c r="L6204" s="182" t="n">
        <v>12</v>
      </c>
      <c r="M6204" s="182" t="n">
        <v>0</v>
      </c>
      <c r="N6204" s="182" t="n">
        <v>0.19</v>
      </c>
      <c r="O6204" s="185">
        <f>SUMIFS(INPUT_RITASE!$F$5:$F$20000,INPUT_RITASE!$A$5:$A$20000,$A6204,INPUT_RITASE!$H$5:$H$20000,$B6204,INPUT_RITASE!$C$5:$C$20000,$C6204,INPUT_RITASE!$N$5:$N$20000,"OB")</f>
        <v/>
      </c>
      <c r="P6204" s="185">
        <f>SUMIFS(INPUT_RITASE!$F$5:$F$20000,INPUT_RITASE!$A$5:$A$20000,$A6204,INPUT_RITASE!$H$5:$H$20000,$B6204,INPUT_RITASE!$C$5:$C$20000,$C6204,INPUT_RITASE!$N$5:$N$20000,"Coal")</f>
        <v/>
      </c>
      <c r="Q6204" s="186">
        <f>SUMIFS(INPUT_RITASE!$L$5:$L$20000,INPUT_RITASE!$A$5:$A$20000,$A6204,INPUT_RITASE!$H$5:$H$20000,$B6204,INPUT_RITASE!$C$5:$C$20000,$C6204,INPUT_RITASE!$N$5:$N$20000,"OB")</f>
        <v/>
      </c>
      <c r="R6204" s="186">
        <f>SUMIFS(INPUT_RITASE!$L$5:$L$20000,INPUT_RITASE!$A$5:$A$20000,$A6204,INPUT_RITASE!$H$5:$H$20000,$B6204,INPUT_RITASE!$C$5:$C$20000,$C6204,INPUT_RITASE!$N$5:$N$20000,"Coal")</f>
        <v/>
      </c>
      <c r="S6204" s="183" t="n">
        <v>0</v>
      </c>
      <c r="T6204" s="183" t="n">
        <v>0</v>
      </c>
      <c r="U6204" s="182" t="n">
        <v>0</v>
      </c>
      <c r="V6204" s="182" t="n">
        <v>0</v>
      </c>
      <c r="W6204" s="182" t="n">
        <v>0</v>
      </c>
      <c r="X6204" s="182" t="n">
        <v>1.16</v>
      </c>
      <c r="Y6204" s="182" t="n">
        <v>0</v>
      </c>
      <c r="Z6204" s="182" t="n">
        <v>0</v>
      </c>
      <c r="AA6204" s="182" t="n">
        <v>0</v>
      </c>
      <c r="AB6204" s="182" t="n">
        <v>1.16</v>
      </c>
      <c r="AC6204" s="182" t="n">
        <v>0</v>
      </c>
      <c r="AD6204" s="182" t="n">
        <v>0</v>
      </c>
      <c r="AE6204" s="182" t="n">
        <v>0</v>
      </c>
      <c r="AF6204" s="182" t="n">
        <v>0</v>
      </c>
      <c r="AG6204" s="182" t="n">
        <v>0</v>
      </c>
      <c r="AH6204" s="182" t="n">
        <v>0.02</v>
      </c>
      <c r="AI6204" s="182" t="n">
        <v>0</v>
      </c>
      <c r="AJ6204" s="182" t="n">
        <v>0</v>
      </c>
      <c r="AK6204" s="182" t="n">
        <v>0</v>
      </c>
      <c r="AL6204" s="182" t="n">
        <v>0</v>
      </c>
      <c r="AM6204" s="182" t="n">
        <v>0.09</v>
      </c>
      <c r="AN6204" s="182" t="n">
        <v>0</v>
      </c>
    </row>
    <row r="6205">
      <c r="A6205" s="155" t="n">
        <v>46110</v>
      </c>
      <c r="B6205" s="156" t="inlineStr">
        <is>
          <t>DS</t>
        </is>
      </c>
      <c r="C6205" s="156" t="inlineStr">
        <is>
          <t>EX-332</t>
        </is>
      </c>
      <c r="D6205" s="156" t="inlineStr">
        <is>
          <t>PC 300-8MO</t>
        </is>
      </c>
      <c r="E6205" s="156" t="inlineStr">
        <is>
          <t>Excavator</t>
        </is>
      </c>
      <c r="F6205" s="156" t="inlineStr">
        <is>
          <t>Loading &amp; Cleaning Coal</t>
        </is>
      </c>
      <c r="G6205" s="182" t="n">
        <v>8.68</v>
      </c>
      <c r="H6205" s="182" t="n">
        <v>0</v>
      </c>
      <c r="I6205" s="182" t="n">
        <v>0</v>
      </c>
      <c r="J6205" s="182" t="n">
        <v>0</v>
      </c>
      <c r="K6205" s="182" t="n">
        <v>3.32</v>
      </c>
      <c r="L6205" s="182" t="n">
        <v>12</v>
      </c>
      <c r="M6205" s="182" t="n">
        <v>0</v>
      </c>
      <c r="N6205" s="182" t="n">
        <v>4.77</v>
      </c>
      <c r="O6205" s="185">
        <f>SUMIFS(INPUT_RITASE!$F$5:$F$20000,INPUT_RITASE!$A$5:$A$20000,$A6205,INPUT_RITASE!$H$5:$H$20000,$B6205,INPUT_RITASE!$C$5:$C$20000,$C6205,INPUT_RITASE!$N$5:$N$20000,"OB")</f>
        <v/>
      </c>
      <c r="P6205" s="185">
        <f>SUMIFS(INPUT_RITASE!$F$5:$F$20000,INPUT_RITASE!$A$5:$A$20000,$A6205,INPUT_RITASE!$H$5:$H$20000,$B6205,INPUT_RITASE!$C$5:$C$20000,$C6205,INPUT_RITASE!$N$5:$N$20000,"Coal")</f>
        <v/>
      </c>
      <c r="Q6205" s="186">
        <f>SUMIFS(INPUT_RITASE!$L$5:$L$20000,INPUT_RITASE!$A$5:$A$20000,$A6205,INPUT_RITASE!$H$5:$H$20000,$B6205,INPUT_RITASE!$C$5:$C$20000,$C6205,INPUT_RITASE!$N$5:$N$20000,"OB")</f>
        <v/>
      </c>
      <c r="R6205" s="186">
        <f>SUMIFS(INPUT_RITASE!$L$5:$L$20000,INPUT_RITASE!$A$5:$A$20000,$A6205,INPUT_RITASE!$H$5:$H$20000,$B6205,INPUT_RITASE!$C$5:$C$20000,$C6205,INPUT_RITASE!$N$5:$N$20000,"Coal")</f>
        <v/>
      </c>
      <c r="S6205" s="183" t="n">
        <v>0</v>
      </c>
      <c r="T6205" s="183" t="n">
        <v>0</v>
      </c>
      <c r="U6205" s="182" t="n">
        <v>0</v>
      </c>
      <c r="V6205" s="182" t="n">
        <v>0</v>
      </c>
      <c r="W6205" s="182" t="n">
        <v>0</v>
      </c>
      <c r="X6205" s="182" t="n">
        <v>1.14</v>
      </c>
      <c r="Y6205" s="182" t="n">
        <v>0</v>
      </c>
      <c r="Z6205" s="182" t="n">
        <v>0</v>
      </c>
      <c r="AA6205" s="182" t="n">
        <v>0</v>
      </c>
      <c r="AB6205" s="182" t="n">
        <v>1.14</v>
      </c>
      <c r="AC6205" s="182" t="n">
        <v>0</v>
      </c>
      <c r="AD6205" s="182" t="n">
        <v>0</v>
      </c>
      <c r="AE6205" s="182" t="n">
        <v>0</v>
      </c>
      <c r="AF6205" s="182" t="n">
        <v>0</v>
      </c>
      <c r="AG6205" s="182" t="n">
        <v>0</v>
      </c>
      <c r="AH6205" s="182" t="n">
        <v>0.9399999999999999</v>
      </c>
      <c r="AI6205" s="182" t="n">
        <v>0</v>
      </c>
      <c r="AJ6205" s="182" t="n">
        <v>0</v>
      </c>
      <c r="AK6205" s="182" t="n">
        <v>0</v>
      </c>
      <c r="AL6205" s="182" t="n">
        <v>0</v>
      </c>
      <c r="AM6205" s="182" t="n">
        <v>0.09</v>
      </c>
      <c r="AN6205" s="182" t="n">
        <v>0</v>
      </c>
    </row>
    <row r="6206">
      <c r="A6206" s="155" t="n">
        <v>46110</v>
      </c>
      <c r="B6206" s="156" t="inlineStr">
        <is>
          <t>DS</t>
        </is>
      </c>
      <c r="C6206" s="156" t="inlineStr">
        <is>
          <t>EX-333</t>
        </is>
      </c>
      <c r="D6206" s="156" t="inlineStr">
        <is>
          <t>PC 300-8MO</t>
        </is>
      </c>
      <c r="E6206" s="156" t="inlineStr">
        <is>
          <t>Excavator</t>
        </is>
      </c>
      <c r="F6206" s="156" t="inlineStr"/>
      <c r="G6206" s="182" t="n">
        <v>0</v>
      </c>
      <c r="H6206" s="182" t="n">
        <v>0</v>
      </c>
      <c r="I6206" s="182" t="n">
        <v>12</v>
      </c>
      <c r="J6206" s="182" t="n">
        <v>12</v>
      </c>
      <c r="K6206" s="182" t="n">
        <v>0</v>
      </c>
      <c r="L6206" s="182" t="n">
        <v>12</v>
      </c>
      <c r="M6206" s="182" t="n">
        <v>0</v>
      </c>
      <c r="N6206" s="182" t="n">
        <v>0</v>
      </c>
      <c r="O6206" s="185">
        <f>SUMIFS(INPUT_RITASE!$F$5:$F$20000,INPUT_RITASE!$A$5:$A$20000,$A6206,INPUT_RITASE!$H$5:$H$20000,$B6206,INPUT_RITASE!$C$5:$C$20000,$C6206,INPUT_RITASE!$N$5:$N$20000,"OB")</f>
        <v/>
      </c>
      <c r="P6206" s="185">
        <f>SUMIFS(INPUT_RITASE!$F$5:$F$20000,INPUT_RITASE!$A$5:$A$20000,$A6206,INPUT_RITASE!$H$5:$H$20000,$B6206,INPUT_RITASE!$C$5:$C$20000,$C6206,INPUT_RITASE!$N$5:$N$20000,"Coal")</f>
        <v/>
      </c>
      <c r="Q6206" s="186">
        <f>SUMIFS(INPUT_RITASE!$L$5:$L$20000,INPUT_RITASE!$A$5:$A$20000,$A6206,INPUT_RITASE!$H$5:$H$20000,$B6206,INPUT_RITASE!$C$5:$C$20000,$C6206,INPUT_RITASE!$N$5:$N$20000,"OB")</f>
        <v/>
      </c>
      <c r="R6206" s="186">
        <f>SUMIFS(INPUT_RITASE!$L$5:$L$20000,INPUT_RITASE!$A$5:$A$20000,$A6206,INPUT_RITASE!$H$5:$H$20000,$B6206,INPUT_RITASE!$C$5:$C$20000,$C6206,INPUT_RITASE!$N$5:$N$20000,"Coal")</f>
        <v/>
      </c>
      <c r="S6206" s="183" t="n">
        <v>0</v>
      </c>
      <c r="T6206" s="183" t="n">
        <v>0</v>
      </c>
      <c r="U6206" s="182" t="n">
        <v>0</v>
      </c>
      <c r="V6206" s="182" t="n">
        <v>0</v>
      </c>
      <c r="W6206" s="182" t="n">
        <v>0</v>
      </c>
      <c r="X6206" s="182" t="n">
        <v>0</v>
      </c>
      <c r="Y6206" s="182" t="n">
        <v>0</v>
      </c>
      <c r="Z6206" s="182" t="n">
        <v>0</v>
      </c>
      <c r="AA6206" s="182" t="n">
        <v>0</v>
      </c>
      <c r="AB6206" s="182" t="n">
        <v>0</v>
      </c>
      <c r="AC6206" s="182" t="n">
        <v>0</v>
      </c>
      <c r="AD6206" s="182" t="n">
        <v>0</v>
      </c>
      <c r="AE6206" s="182" t="n">
        <v>0</v>
      </c>
      <c r="AF6206" s="182" t="n">
        <v>0</v>
      </c>
      <c r="AG6206" s="182" t="n">
        <v>0</v>
      </c>
      <c r="AH6206" s="182" t="n">
        <v>0</v>
      </c>
      <c r="AI6206" s="182" t="n">
        <v>0</v>
      </c>
      <c r="AJ6206" s="182" t="n">
        <v>0</v>
      </c>
      <c r="AK6206" s="182" t="n">
        <v>0</v>
      </c>
      <c r="AL6206" s="182" t="n">
        <v>0</v>
      </c>
      <c r="AM6206" s="182" t="n">
        <v>0</v>
      </c>
      <c r="AN6206" s="182" t="n">
        <v>0</v>
      </c>
    </row>
    <row r="6207">
      <c r="A6207" s="155" t="n">
        <v>46110</v>
      </c>
      <c r="B6207" s="156" t="inlineStr">
        <is>
          <t>DS</t>
        </is>
      </c>
      <c r="C6207" s="156" t="inlineStr">
        <is>
          <t>EX-336</t>
        </is>
      </c>
      <c r="D6207" s="156" t="inlineStr">
        <is>
          <t>PC 300-8MO</t>
        </is>
      </c>
      <c r="E6207" s="156" t="inlineStr">
        <is>
          <t>Excavator</t>
        </is>
      </c>
      <c r="F6207" s="156" t="inlineStr">
        <is>
          <t>Support ROM</t>
        </is>
      </c>
      <c r="G6207" s="182" t="n">
        <v>7.63</v>
      </c>
      <c r="H6207" s="182" t="n">
        <v>0</v>
      </c>
      <c r="I6207" s="182" t="n">
        <v>1.82</v>
      </c>
      <c r="J6207" s="182" t="n">
        <v>1.82</v>
      </c>
      <c r="K6207" s="182" t="n">
        <v>2.55</v>
      </c>
      <c r="L6207" s="182" t="n">
        <v>12</v>
      </c>
      <c r="M6207" s="182" t="n">
        <v>0</v>
      </c>
      <c r="N6207" s="182" t="n">
        <v>0</v>
      </c>
      <c r="O6207" s="185">
        <f>SUMIFS(INPUT_RITASE!$F$5:$F$20000,INPUT_RITASE!$A$5:$A$20000,$A6207,INPUT_RITASE!$H$5:$H$20000,$B6207,INPUT_RITASE!$C$5:$C$20000,$C6207,INPUT_RITASE!$N$5:$N$20000,"OB")</f>
        <v/>
      </c>
      <c r="P6207" s="185">
        <f>SUMIFS(INPUT_RITASE!$F$5:$F$20000,INPUT_RITASE!$A$5:$A$20000,$A6207,INPUT_RITASE!$H$5:$H$20000,$B6207,INPUT_RITASE!$C$5:$C$20000,$C6207,INPUT_RITASE!$N$5:$N$20000,"Coal")</f>
        <v/>
      </c>
      <c r="Q6207" s="186">
        <f>SUMIFS(INPUT_RITASE!$L$5:$L$20000,INPUT_RITASE!$A$5:$A$20000,$A6207,INPUT_RITASE!$H$5:$H$20000,$B6207,INPUT_RITASE!$C$5:$C$20000,$C6207,INPUT_RITASE!$N$5:$N$20000,"OB")</f>
        <v/>
      </c>
      <c r="R6207" s="186">
        <f>SUMIFS(INPUT_RITASE!$L$5:$L$20000,INPUT_RITASE!$A$5:$A$20000,$A6207,INPUT_RITASE!$H$5:$H$20000,$B6207,INPUT_RITASE!$C$5:$C$20000,$C6207,INPUT_RITASE!$N$5:$N$20000,"Coal")</f>
        <v/>
      </c>
      <c r="S6207" s="183" t="n">
        <v>0</v>
      </c>
      <c r="T6207" s="183" t="n">
        <v>0</v>
      </c>
      <c r="U6207" s="182" t="n">
        <v>0</v>
      </c>
      <c r="V6207" s="182" t="n">
        <v>0</v>
      </c>
      <c r="W6207" s="182" t="n">
        <v>0</v>
      </c>
      <c r="X6207" s="182" t="n">
        <v>1.17</v>
      </c>
      <c r="Y6207" s="182" t="n">
        <v>0</v>
      </c>
      <c r="Z6207" s="182" t="n">
        <v>0</v>
      </c>
      <c r="AA6207" s="182" t="n">
        <v>0</v>
      </c>
      <c r="AB6207" s="182" t="n">
        <v>1.17</v>
      </c>
      <c r="AC6207" s="182" t="n">
        <v>0</v>
      </c>
      <c r="AD6207" s="182" t="n">
        <v>0</v>
      </c>
      <c r="AE6207" s="182" t="n">
        <v>0</v>
      </c>
      <c r="AF6207" s="182" t="n">
        <v>0</v>
      </c>
      <c r="AG6207" s="182" t="n">
        <v>0</v>
      </c>
      <c r="AH6207" s="182" t="n">
        <v>0.12</v>
      </c>
      <c r="AI6207" s="182" t="n">
        <v>0</v>
      </c>
      <c r="AJ6207" s="182" t="n">
        <v>0</v>
      </c>
      <c r="AK6207" s="182" t="n">
        <v>0</v>
      </c>
      <c r="AL6207" s="182" t="n">
        <v>0</v>
      </c>
      <c r="AM6207" s="182" t="n">
        <v>0.09</v>
      </c>
      <c r="AN6207" s="182" t="n">
        <v>0</v>
      </c>
    </row>
    <row r="6208">
      <c r="A6208" s="155" t="n">
        <v>46110</v>
      </c>
      <c r="B6208" s="156" t="inlineStr">
        <is>
          <t>DS</t>
        </is>
      </c>
      <c r="C6208" s="156" t="inlineStr">
        <is>
          <t>EX-335</t>
        </is>
      </c>
      <c r="D6208" s="156" t="inlineStr">
        <is>
          <t>PC 300-8MO</t>
        </is>
      </c>
      <c r="E6208" s="156" t="inlineStr">
        <is>
          <t>Excavator</t>
        </is>
      </c>
      <c r="F6208" s="156" t="inlineStr">
        <is>
          <t>Cleaning Coal</t>
        </is>
      </c>
      <c r="G6208" s="182" t="n">
        <v>8.779999999999999</v>
      </c>
      <c r="H6208" s="182" t="n">
        <v>0</v>
      </c>
      <c r="I6208" s="182" t="n">
        <v>1.07</v>
      </c>
      <c r="J6208" s="182" t="n">
        <v>1.07</v>
      </c>
      <c r="K6208" s="182" t="n">
        <v>2.15</v>
      </c>
      <c r="L6208" s="182" t="n">
        <v>12</v>
      </c>
      <c r="M6208" s="182" t="n">
        <v>0</v>
      </c>
      <c r="N6208" s="182" t="n">
        <v>0</v>
      </c>
      <c r="O6208" s="185">
        <f>SUMIFS(INPUT_RITASE!$F$5:$F$20000,INPUT_RITASE!$A$5:$A$20000,$A6208,INPUT_RITASE!$H$5:$H$20000,$B6208,INPUT_RITASE!$C$5:$C$20000,$C6208,INPUT_RITASE!$N$5:$N$20000,"OB")</f>
        <v/>
      </c>
      <c r="P6208" s="185">
        <f>SUMIFS(INPUT_RITASE!$F$5:$F$20000,INPUT_RITASE!$A$5:$A$20000,$A6208,INPUT_RITASE!$H$5:$H$20000,$B6208,INPUT_RITASE!$C$5:$C$20000,$C6208,INPUT_RITASE!$N$5:$N$20000,"Coal")</f>
        <v/>
      </c>
      <c r="Q6208" s="186">
        <f>SUMIFS(INPUT_RITASE!$L$5:$L$20000,INPUT_RITASE!$A$5:$A$20000,$A6208,INPUT_RITASE!$H$5:$H$20000,$B6208,INPUT_RITASE!$C$5:$C$20000,$C6208,INPUT_RITASE!$N$5:$N$20000,"OB")</f>
        <v/>
      </c>
      <c r="R6208" s="186">
        <f>SUMIFS(INPUT_RITASE!$L$5:$L$20000,INPUT_RITASE!$A$5:$A$20000,$A6208,INPUT_RITASE!$H$5:$H$20000,$B6208,INPUT_RITASE!$C$5:$C$20000,$C6208,INPUT_RITASE!$N$5:$N$20000,"Coal")</f>
        <v/>
      </c>
      <c r="S6208" s="183" t="n">
        <v>0</v>
      </c>
      <c r="T6208" s="183" t="n">
        <v>0</v>
      </c>
      <c r="U6208" s="182" t="n">
        <v>0</v>
      </c>
      <c r="V6208" s="182" t="n">
        <v>0</v>
      </c>
      <c r="W6208" s="182" t="n">
        <v>0</v>
      </c>
      <c r="X6208" s="182" t="n">
        <v>1.11</v>
      </c>
      <c r="Y6208" s="182" t="n">
        <v>0</v>
      </c>
      <c r="Z6208" s="182" t="n">
        <v>0</v>
      </c>
      <c r="AA6208" s="182" t="n">
        <v>0</v>
      </c>
      <c r="AB6208" s="182" t="n">
        <v>0.95</v>
      </c>
      <c r="AC6208" s="182" t="n">
        <v>0</v>
      </c>
      <c r="AD6208" s="182" t="n">
        <v>0</v>
      </c>
      <c r="AE6208" s="182" t="n">
        <v>0</v>
      </c>
      <c r="AF6208" s="182" t="n">
        <v>0</v>
      </c>
      <c r="AG6208" s="182" t="n">
        <v>0</v>
      </c>
      <c r="AH6208" s="182" t="n">
        <v>0</v>
      </c>
      <c r="AI6208" s="182" t="n">
        <v>0</v>
      </c>
      <c r="AJ6208" s="182" t="n">
        <v>0</v>
      </c>
      <c r="AK6208" s="182" t="n">
        <v>0</v>
      </c>
      <c r="AL6208" s="182" t="n">
        <v>0</v>
      </c>
      <c r="AM6208" s="182" t="n">
        <v>0.09</v>
      </c>
      <c r="AN6208" s="182" t="n">
        <v>0</v>
      </c>
    </row>
    <row r="6209">
      <c r="A6209" s="155" t="n">
        <v>46110</v>
      </c>
      <c r="B6209" s="156" t="inlineStr">
        <is>
          <t>DS</t>
        </is>
      </c>
      <c r="C6209" s="156" t="inlineStr">
        <is>
          <t>EX-754</t>
        </is>
      </c>
      <c r="D6209" s="156" t="inlineStr">
        <is>
          <t>SY750H-PRO</t>
        </is>
      </c>
      <c r="E6209" s="156" t="inlineStr">
        <is>
          <t>Excavator</t>
        </is>
      </c>
      <c r="F6209" s="156" t="inlineStr">
        <is>
          <t>Loading OB</t>
        </is>
      </c>
      <c r="G6209" s="182" t="n">
        <v>8.84</v>
      </c>
      <c r="H6209" s="182" t="n">
        <v>0</v>
      </c>
      <c r="I6209" s="182" t="n">
        <v>0.03</v>
      </c>
      <c r="J6209" s="182" t="n">
        <v>0.03</v>
      </c>
      <c r="K6209" s="182" t="n">
        <v>3.13</v>
      </c>
      <c r="L6209" s="182" t="n">
        <v>12</v>
      </c>
      <c r="M6209" s="182" t="n">
        <v>7.15</v>
      </c>
      <c r="N6209" s="182" t="n">
        <v>0</v>
      </c>
      <c r="O6209" s="185">
        <f>SUMIFS(INPUT_RITASE!$F$5:$F$20000,INPUT_RITASE!$A$5:$A$20000,$A6209,INPUT_RITASE!$H$5:$H$20000,$B6209,INPUT_RITASE!$C$5:$C$20000,$C6209,INPUT_RITASE!$N$5:$N$20000,"OB")</f>
        <v/>
      </c>
      <c r="P6209" s="185">
        <f>SUMIFS(INPUT_RITASE!$F$5:$F$20000,INPUT_RITASE!$A$5:$A$20000,$A6209,INPUT_RITASE!$H$5:$H$20000,$B6209,INPUT_RITASE!$C$5:$C$20000,$C6209,INPUT_RITASE!$N$5:$N$20000,"Coal")</f>
        <v/>
      </c>
      <c r="Q6209" s="186">
        <f>SUMIFS(INPUT_RITASE!$L$5:$L$20000,INPUT_RITASE!$A$5:$A$20000,$A6209,INPUT_RITASE!$H$5:$H$20000,$B6209,INPUT_RITASE!$C$5:$C$20000,$C6209,INPUT_RITASE!$N$5:$N$20000,"OB")</f>
        <v/>
      </c>
      <c r="R6209" s="186">
        <f>SUMIFS(INPUT_RITASE!$L$5:$L$20000,INPUT_RITASE!$A$5:$A$20000,$A6209,INPUT_RITASE!$H$5:$H$20000,$B6209,INPUT_RITASE!$C$5:$C$20000,$C6209,INPUT_RITASE!$N$5:$N$20000,"Coal")</f>
        <v/>
      </c>
      <c r="S6209" s="183" t="n">
        <v>0</v>
      </c>
      <c r="T6209" s="183" t="n">
        <v>0</v>
      </c>
      <c r="U6209" s="182" t="n">
        <v>0</v>
      </c>
      <c r="V6209" s="182" t="n">
        <v>0</v>
      </c>
      <c r="W6209" s="182" t="n">
        <v>0</v>
      </c>
      <c r="X6209" s="182" t="n">
        <v>1.11</v>
      </c>
      <c r="Y6209" s="182" t="n">
        <v>0</v>
      </c>
      <c r="Z6209" s="182" t="n">
        <v>0</v>
      </c>
      <c r="AA6209" s="182" t="n">
        <v>0</v>
      </c>
      <c r="AB6209" s="182" t="n">
        <v>1.11</v>
      </c>
      <c r="AC6209" s="182" t="n">
        <v>0</v>
      </c>
      <c r="AD6209" s="182" t="n">
        <v>0</v>
      </c>
      <c r="AE6209" s="182" t="n">
        <v>0</v>
      </c>
      <c r="AF6209" s="182" t="n">
        <v>0</v>
      </c>
      <c r="AG6209" s="182" t="n">
        <v>0</v>
      </c>
      <c r="AH6209" s="182" t="n">
        <v>0.8</v>
      </c>
      <c r="AI6209" s="182" t="n">
        <v>0</v>
      </c>
      <c r="AJ6209" s="182" t="n">
        <v>0</v>
      </c>
      <c r="AK6209" s="182" t="n">
        <v>0</v>
      </c>
      <c r="AL6209" s="182" t="n">
        <v>0</v>
      </c>
      <c r="AM6209" s="182" t="n">
        <v>0.09</v>
      </c>
      <c r="AN6209" s="182" t="n">
        <v>0</v>
      </c>
    </row>
    <row r="6210">
      <c r="A6210" s="155" t="n">
        <v>46110</v>
      </c>
      <c r="B6210" s="156" t="inlineStr">
        <is>
          <t>DS</t>
        </is>
      </c>
      <c r="C6210" s="156" t="inlineStr">
        <is>
          <t>EX-755</t>
        </is>
      </c>
      <c r="D6210" s="156" t="inlineStr">
        <is>
          <t>SY750H-PRO</t>
        </is>
      </c>
      <c r="E6210" s="156" t="inlineStr">
        <is>
          <t>Excavator</t>
        </is>
      </c>
      <c r="F6210" s="156" t="inlineStr">
        <is>
          <t>Loading OB, Coal &amp; Spoil</t>
        </is>
      </c>
      <c r="G6210" s="182" t="n">
        <v>9.81</v>
      </c>
      <c r="H6210" s="182" t="n">
        <v>0</v>
      </c>
      <c r="I6210" s="182" t="n">
        <v>0</v>
      </c>
      <c r="J6210" s="182" t="n">
        <v>0</v>
      </c>
      <c r="K6210" s="182" t="n">
        <v>2.19</v>
      </c>
      <c r="L6210" s="182" t="n">
        <v>12</v>
      </c>
      <c r="M6210" s="182" t="n">
        <v>2.82</v>
      </c>
      <c r="N6210" s="182" t="n">
        <v>4.21</v>
      </c>
      <c r="O6210" s="185">
        <f>SUMIFS(INPUT_RITASE!$F$5:$F$20000,INPUT_RITASE!$A$5:$A$20000,$A6210,INPUT_RITASE!$H$5:$H$20000,$B6210,INPUT_RITASE!$C$5:$C$20000,$C6210,INPUT_RITASE!$N$5:$N$20000,"OB")</f>
        <v/>
      </c>
      <c r="P6210" s="185">
        <f>SUMIFS(INPUT_RITASE!$F$5:$F$20000,INPUT_RITASE!$A$5:$A$20000,$A6210,INPUT_RITASE!$H$5:$H$20000,$B6210,INPUT_RITASE!$C$5:$C$20000,$C6210,INPUT_RITASE!$N$5:$N$20000,"Coal")</f>
        <v/>
      </c>
      <c r="Q6210" s="186">
        <f>SUMIFS(INPUT_RITASE!$L$5:$L$20000,INPUT_RITASE!$A$5:$A$20000,$A6210,INPUT_RITASE!$H$5:$H$20000,$B6210,INPUT_RITASE!$C$5:$C$20000,$C6210,INPUT_RITASE!$N$5:$N$20000,"OB")</f>
        <v/>
      </c>
      <c r="R6210" s="186">
        <f>SUMIFS(INPUT_RITASE!$L$5:$L$20000,INPUT_RITASE!$A$5:$A$20000,$A6210,INPUT_RITASE!$H$5:$H$20000,$B6210,INPUT_RITASE!$C$5:$C$20000,$C6210,INPUT_RITASE!$N$5:$N$20000,"Coal")</f>
        <v/>
      </c>
      <c r="S6210" s="183" t="n">
        <v>29</v>
      </c>
      <c r="T6210" s="183" t="n">
        <v>0</v>
      </c>
      <c r="U6210" s="182" t="n">
        <v>0</v>
      </c>
      <c r="V6210" s="182" t="n">
        <v>0</v>
      </c>
      <c r="W6210" s="182" t="n">
        <v>0</v>
      </c>
      <c r="X6210" s="182" t="n">
        <v>0.89</v>
      </c>
      <c r="Y6210" s="182" t="n">
        <v>0</v>
      </c>
      <c r="Z6210" s="182" t="n">
        <v>0.07000000000000001</v>
      </c>
      <c r="AA6210" s="182" t="n">
        <v>0</v>
      </c>
      <c r="AB6210" s="182" t="n">
        <v>0.89</v>
      </c>
      <c r="AC6210" s="182" t="n">
        <v>0</v>
      </c>
      <c r="AD6210" s="182" t="n">
        <v>0</v>
      </c>
      <c r="AE6210" s="182" t="n">
        <v>0</v>
      </c>
      <c r="AF6210" s="182" t="n">
        <v>0</v>
      </c>
      <c r="AG6210" s="182" t="n">
        <v>0</v>
      </c>
      <c r="AH6210" s="182" t="n">
        <v>0.25</v>
      </c>
      <c r="AI6210" s="182" t="n">
        <v>0</v>
      </c>
      <c r="AJ6210" s="182" t="n">
        <v>0</v>
      </c>
      <c r="AK6210" s="182" t="n">
        <v>0</v>
      </c>
      <c r="AL6210" s="182" t="n">
        <v>0</v>
      </c>
      <c r="AM6210" s="182" t="n">
        <v>0.07000000000000001</v>
      </c>
      <c r="AN6210" s="182" t="n">
        <v>0</v>
      </c>
    </row>
    <row r="6211">
      <c r="A6211" s="155" t="n">
        <v>46110</v>
      </c>
      <c r="B6211" s="156" t="inlineStr">
        <is>
          <t>DS</t>
        </is>
      </c>
      <c r="C6211" s="156" t="inlineStr">
        <is>
          <t>EX-752</t>
        </is>
      </c>
      <c r="D6211" s="156" t="inlineStr">
        <is>
          <t>SY750H-PRO</t>
        </is>
      </c>
      <c r="E6211" s="156" t="inlineStr">
        <is>
          <t>Excavator</t>
        </is>
      </c>
      <c r="F6211" s="156" t="inlineStr"/>
      <c r="G6211" s="182" t="n">
        <v>0</v>
      </c>
      <c r="H6211" s="182" t="n">
        <v>0</v>
      </c>
      <c r="I6211" s="182" t="n">
        <v>12</v>
      </c>
      <c r="J6211" s="182" t="n">
        <v>12</v>
      </c>
      <c r="K6211" s="182" t="n">
        <v>0</v>
      </c>
      <c r="L6211" s="182" t="n">
        <v>12</v>
      </c>
      <c r="M6211" s="182" t="n">
        <v>0</v>
      </c>
      <c r="N6211" s="182" t="n">
        <v>0</v>
      </c>
      <c r="O6211" s="185">
        <f>SUMIFS(INPUT_RITASE!$F$5:$F$20000,INPUT_RITASE!$A$5:$A$20000,$A6211,INPUT_RITASE!$H$5:$H$20000,$B6211,INPUT_RITASE!$C$5:$C$20000,$C6211,INPUT_RITASE!$N$5:$N$20000,"OB")</f>
        <v/>
      </c>
      <c r="P6211" s="185">
        <f>SUMIFS(INPUT_RITASE!$F$5:$F$20000,INPUT_RITASE!$A$5:$A$20000,$A6211,INPUT_RITASE!$H$5:$H$20000,$B6211,INPUT_RITASE!$C$5:$C$20000,$C6211,INPUT_RITASE!$N$5:$N$20000,"Coal")</f>
        <v/>
      </c>
      <c r="Q6211" s="186">
        <f>SUMIFS(INPUT_RITASE!$L$5:$L$20000,INPUT_RITASE!$A$5:$A$20000,$A6211,INPUT_RITASE!$H$5:$H$20000,$B6211,INPUT_RITASE!$C$5:$C$20000,$C6211,INPUT_RITASE!$N$5:$N$20000,"OB")</f>
        <v/>
      </c>
      <c r="R6211" s="186">
        <f>SUMIFS(INPUT_RITASE!$L$5:$L$20000,INPUT_RITASE!$A$5:$A$20000,$A6211,INPUT_RITASE!$H$5:$H$20000,$B6211,INPUT_RITASE!$C$5:$C$20000,$C6211,INPUT_RITASE!$N$5:$N$20000,"Coal")</f>
        <v/>
      </c>
      <c r="S6211" s="183" t="n">
        <v>0</v>
      </c>
      <c r="T6211" s="183" t="n">
        <v>0</v>
      </c>
      <c r="U6211" s="182" t="n">
        <v>0</v>
      </c>
      <c r="V6211" s="182" t="n">
        <v>0</v>
      </c>
      <c r="W6211" s="182" t="n">
        <v>0</v>
      </c>
      <c r="X6211" s="182" t="n">
        <v>0</v>
      </c>
      <c r="Y6211" s="182" t="n">
        <v>0</v>
      </c>
      <c r="Z6211" s="182" t="n">
        <v>0</v>
      </c>
      <c r="AA6211" s="182" t="n">
        <v>0</v>
      </c>
      <c r="AB6211" s="182" t="n">
        <v>0</v>
      </c>
      <c r="AC6211" s="182" t="n">
        <v>0</v>
      </c>
      <c r="AD6211" s="182" t="n">
        <v>0</v>
      </c>
      <c r="AE6211" s="182" t="n">
        <v>0</v>
      </c>
      <c r="AF6211" s="182" t="n">
        <v>0</v>
      </c>
      <c r="AG6211" s="182" t="n">
        <v>0</v>
      </c>
      <c r="AH6211" s="182" t="n">
        <v>0</v>
      </c>
      <c r="AI6211" s="182" t="n">
        <v>0</v>
      </c>
      <c r="AJ6211" s="182" t="n">
        <v>0</v>
      </c>
      <c r="AK6211" s="182" t="n">
        <v>0</v>
      </c>
      <c r="AL6211" s="182" t="n">
        <v>0</v>
      </c>
      <c r="AM6211" s="182" t="n">
        <v>0</v>
      </c>
      <c r="AN6211" s="182" t="n">
        <v>0</v>
      </c>
    </row>
    <row r="6212">
      <c r="A6212" s="155" t="n">
        <v>46110</v>
      </c>
      <c r="B6212" s="156" t="inlineStr">
        <is>
          <t>DS</t>
        </is>
      </c>
      <c r="C6212" s="156" t="inlineStr">
        <is>
          <t>EX-751</t>
        </is>
      </c>
      <c r="D6212" s="156" t="inlineStr">
        <is>
          <t>SY750H-PRO</t>
        </is>
      </c>
      <c r="E6212" s="156" t="inlineStr">
        <is>
          <t>Excavator</t>
        </is>
      </c>
      <c r="F6212" s="156" t="inlineStr"/>
      <c r="G6212" s="182" t="n">
        <v>0</v>
      </c>
      <c r="H6212" s="182" t="n">
        <v>0</v>
      </c>
      <c r="I6212" s="182" t="n">
        <v>12</v>
      </c>
      <c r="J6212" s="182" t="n">
        <v>12</v>
      </c>
      <c r="K6212" s="182" t="n">
        <v>0</v>
      </c>
      <c r="L6212" s="182" t="n">
        <v>12</v>
      </c>
      <c r="M6212" s="182" t="n">
        <v>0</v>
      </c>
      <c r="N6212" s="182" t="n">
        <v>0</v>
      </c>
      <c r="O6212" s="185">
        <f>SUMIFS(INPUT_RITASE!$F$5:$F$20000,INPUT_RITASE!$A$5:$A$20000,$A6212,INPUT_RITASE!$H$5:$H$20000,$B6212,INPUT_RITASE!$C$5:$C$20000,$C6212,INPUT_RITASE!$N$5:$N$20000,"OB")</f>
        <v/>
      </c>
      <c r="P6212" s="185">
        <f>SUMIFS(INPUT_RITASE!$F$5:$F$20000,INPUT_RITASE!$A$5:$A$20000,$A6212,INPUT_RITASE!$H$5:$H$20000,$B6212,INPUT_RITASE!$C$5:$C$20000,$C6212,INPUT_RITASE!$N$5:$N$20000,"Coal")</f>
        <v/>
      </c>
      <c r="Q6212" s="186">
        <f>SUMIFS(INPUT_RITASE!$L$5:$L$20000,INPUT_RITASE!$A$5:$A$20000,$A6212,INPUT_RITASE!$H$5:$H$20000,$B6212,INPUT_RITASE!$C$5:$C$20000,$C6212,INPUT_RITASE!$N$5:$N$20000,"OB")</f>
        <v/>
      </c>
      <c r="R6212" s="186">
        <f>SUMIFS(INPUT_RITASE!$L$5:$L$20000,INPUT_RITASE!$A$5:$A$20000,$A6212,INPUT_RITASE!$H$5:$H$20000,$B6212,INPUT_RITASE!$C$5:$C$20000,$C6212,INPUT_RITASE!$N$5:$N$20000,"Coal")</f>
        <v/>
      </c>
      <c r="S6212" s="183" t="n">
        <v>0</v>
      </c>
      <c r="T6212" s="183" t="n">
        <v>0</v>
      </c>
      <c r="U6212" s="182" t="n">
        <v>0</v>
      </c>
      <c r="V6212" s="182" t="n">
        <v>0</v>
      </c>
      <c r="W6212" s="182" t="n">
        <v>0</v>
      </c>
      <c r="X6212" s="182" t="n">
        <v>0</v>
      </c>
      <c r="Y6212" s="182" t="n">
        <v>0</v>
      </c>
      <c r="Z6212" s="182" t="n">
        <v>0</v>
      </c>
      <c r="AA6212" s="182" t="n">
        <v>0</v>
      </c>
      <c r="AB6212" s="182" t="n">
        <v>0</v>
      </c>
      <c r="AC6212" s="182" t="n">
        <v>0</v>
      </c>
      <c r="AD6212" s="182" t="n">
        <v>0</v>
      </c>
      <c r="AE6212" s="182" t="n">
        <v>0</v>
      </c>
      <c r="AF6212" s="182" t="n">
        <v>0</v>
      </c>
      <c r="AG6212" s="182" t="n">
        <v>0</v>
      </c>
      <c r="AH6212" s="182" t="n">
        <v>0</v>
      </c>
      <c r="AI6212" s="182" t="n">
        <v>0</v>
      </c>
      <c r="AJ6212" s="182" t="n">
        <v>0</v>
      </c>
      <c r="AK6212" s="182" t="n">
        <v>0</v>
      </c>
      <c r="AL6212" s="182" t="n">
        <v>0</v>
      </c>
      <c r="AM6212" s="182" t="n">
        <v>0</v>
      </c>
      <c r="AN6212" s="182" t="n">
        <v>0</v>
      </c>
    </row>
    <row r="6213">
      <c r="A6213" s="155" t="n">
        <v>46110</v>
      </c>
      <c r="B6213" s="156" t="inlineStr">
        <is>
          <t>DS</t>
        </is>
      </c>
      <c r="C6213" s="156" t="inlineStr">
        <is>
          <t>EX-753</t>
        </is>
      </c>
      <c r="D6213" s="156" t="inlineStr">
        <is>
          <t>SY750H-PRO</t>
        </is>
      </c>
      <c r="E6213" s="156" t="inlineStr">
        <is>
          <t>Excavator</t>
        </is>
      </c>
      <c r="F6213" s="156" t="inlineStr">
        <is>
          <t>Loading OB</t>
        </is>
      </c>
      <c r="G6213" s="182" t="n">
        <v>9.51</v>
      </c>
      <c r="H6213" s="182" t="n">
        <v>0</v>
      </c>
      <c r="I6213" s="182" t="n">
        <v>0</v>
      </c>
      <c r="J6213" s="182" t="n">
        <v>0</v>
      </c>
      <c r="K6213" s="182" t="n">
        <v>2.49</v>
      </c>
      <c r="L6213" s="182" t="n">
        <v>12</v>
      </c>
      <c r="M6213" s="182" t="n">
        <v>9.51</v>
      </c>
      <c r="N6213" s="182" t="n">
        <v>0</v>
      </c>
      <c r="O6213" s="185">
        <f>SUMIFS(INPUT_RITASE!$F$5:$F$20000,INPUT_RITASE!$A$5:$A$20000,$A6213,INPUT_RITASE!$H$5:$H$20000,$B6213,INPUT_RITASE!$C$5:$C$20000,$C6213,INPUT_RITASE!$N$5:$N$20000,"OB")</f>
        <v/>
      </c>
      <c r="P6213" s="185">
        <f>SUMIFS(INPUT_RITASE!$F$5:$F$20000,INPUT_RITASE!$A$5:$A$20000,$A6213,INPUT_RITASE!$H$5:$H$20000,$B6213,INPUT_RITASE!$C$5:$C$20000,$C6213,INPUT_RITASE!$N$5:$N$20000,"Coal")</f>
        <v/>
      </c>
      <c r="Q6213" s="186">
        <f>SUMIFS(INPUT_RITASE!$L$5:$L$20000,INPUT_RITASE!$A$5:$A$20000,$A6213,INPUT_RITASE!$H$5:$H$20000,$B6213,INPUT_RITASE!$C$5:$C$20000,$C6213,INPUT_RITASE!$N$5:$N$20000,"OB")</f>
        <v/>
      </c>
      <c r="R6213" s="186">
        <f>SUMIFS(INPUT_RITASE!$L$5:$L$20000,INPUT_RITASE!$A$5:$A$20000,$A6213,INPUT_RITASE!$H$5:$H$20000,$B6213,INPUT_RITASE!$C$5:$C$20000,$C6213,INPUT_RITASE!$N$5:$N$20000,"Coal")</f>
        <v/>
      </c>
      <c r="S6213" s="183" t="n">
        <v>0</v>
      </c>
      <c r="T6213" s="183" t="n">
        <v>0</v>
      </c>
      <c r="U6213" s="182" t="n">
        <v>0</v>
      </c>
      <c r="V6213" s="182" t="n">
        <v>0</v>
      </c>
      <c r="W6213" s="182" t="n">
        <v>0</v>
      </c>
      <c r="X6213" s="182" t="n">
        <v>0.9399999999999999</v>
      </c>
      <c r="Y6213" s="182" t="n">
        <v>0</v>
      </c>
      <c r="Z6213" s="182" t="n">
        <v>0</v>
      </c>
      <c r="AA6213" s="182" t="n">
        <v>0</v>
      </c>
      <c r="AB6213" s="182" t="n">
        <v>0.9399999999999999</v>
      </c>
      <c r="AC6213" s="182" t="n">
        <v>0</v>
      </c>
      <c r="AD6213" s="182" t="n">
        <v>0</v>
      </c>
      <c r="AE6213" s="182" t="n">
        <v>0</v>
      </c>
      <c r="AF6213" s="182" t="n">
        <v>0</v>
      </c>
      <c r="AG6213" s="182" t="n">
        <v>0</v>
      </c>
      <c r="AH6213" s="182" t="n">
        <v>0.54</v>
      </c>
      <c r="AI6213" s="182" t="n">
        <v>0</v>
      </c>
      <c r="AJ6213" s="182" t="n">
        <v>0</v>
      </c>
      <c r="AK6213" s="182" t="n">
        <v>0</v>
      </c>
      <c r="AL6213" s="182" t="n">
        <v>0</v>
      </c>
      <c r="AM6213" s="182" t="n">
        <v>0.07000000000000001</v>
      </c>
      <c r="AN6213" s="182" t="n">
        <v>0</v>
      </c>
    </row>
    <row r="6214">
      <c r="A6214" s="155" t="n">
        <v>46110</v>
      </c>
      <c r="B6214" s="156" t="inlineStr">
        <is>
          <t>DS</t>
        </is>
      </c>
      <c r="C6214" s="156" t="inlineStr">
        <is>
          <t>GD-012</t>
        </is>
      </c>
      <c r="D6214" s="156" t="inlineStr">
        <is>
          <t>STG 230C - 8S</t>
        </is>
      </c>
      <c r="E6214" s="156" t="inlineStr">
        <is>
          <t>Grader</t>
        </is>
      </c>
      <c r="F6214" s="156" t="inlineStr"/>
      <c r="G6214" s="182" t="n">
        <v>0</v>
      </c>
      <c r="H6214" s="182" t="n">
        <v>0</v>
      </c>
      <c r="I6214" s="182" t="n">
        <v>0</v>
      </c>
      <c r="J6214" s="182" t="n">
        <v>0</v>
      </c>
      <c r="K6214" s="182" t="n">
        <v>12</v>
      </c>
      <c r="L6214" s="182" t="n">
        <v>12</v>
      </c>
      <c r="M6214" s="182" t="n">
        <v>0</v>
      </c>
      <c r="N6214" s="182" t="n">
        <v>0</v>
      </c>
      <c r="O6214" s="183" t="n">
        <v>0</v>
      </c>
      <c r="P6214" s="183" t="n">
        <v>0</v>
      </c>
      <c r="Q6214" s="184" t="n">
        <v>0</v>
      </c>
      <c r="R6214" s="184" t="n">
        <v>0</v>
      </c>
      <c r="S6214" s="183" t="n">
        <v>0</v>
      </c>
      <c r="T6214" s="183" t="n">
        <v>0</v>
      </c>
      <c r="U6214" s="182" t="n">
        <v>0</v>
      </c>
      <c r="V6214" s="182" t="n">
        <v>0</v>
      </c>
      <c r="W6214" s="182" t="n">
        <v>0</v>
      </c>
      <c r="X6214" s="182" t="n">
        <v>1</v>
      </c>
      <c r="Y6214" s="182" t="n">
        <v>0</v>
      </c>
      <c r="Z6214" s="182" t="n">
        <v>0</v>
      </c>
      <c r="AA6214" s="182" t="n">
        <v>0</v>
      </c>
      <c r="AB6214" s="182" t="n">
        <v>1</v>
      </c>
      <c r="AC6214" s="182" t="n">
        <v>0</v>
      </c>
      <c r="AD6214" s="182" t="n">
        <v>0</v>
      </c>
      <c r="AE6214" s="182" t="n">
        <v>0</v>
      </c>
      <c r="AF6214" s="182" t="n">
        <v>0</v>
      </c>
      <c r="AG6214" s="182" t="n">
        <v>0</v>
      </c>
      <c r="AH6214" s="182" t="n">
        <v>0</v>
      </c>
      <c r="AI6214" s="182" t="n">
        <v>0</v>
      </c>
      <c r="AJ6214" s="182" t="n">
        <v>0</v>
      </c>
      <c r="AK6214" s="182" t="n">
        <v>9.92</v>
      </c>
      <c r="AL6214" s="182" t="n">
        <v>0</v>
      </c>
      <c r="AM6214" s="182" t="n">
        <v>0.08</v>
      </c>
      <c r="AN6214" s="182" t="n">
        <v>0</v>
      </c>
    </row>
    <row r="6215">
      <c r="A6215" s="155" t="n">
        <v>46110</v>
      </c>
      <c r="B6215" s="156" t="inlineStr">
        <is>
          <t>DS</t>
        </is>
      </c>
      <c r="C6215" s="156" t="inlineStr">
        <is>
          <t>GD-011</t>
        </is>
      </c>
      <c r="D6215" s="156" t="inlineStr">
        <is>
          <t>STG 230C - 8S</t>
        </is>
      </c>
      <c r="E6215" s="156" t="inlineStr">
        <is>
          <t>Grader</t>
        </is>
      </c>
      <c r="F6215" s="156" t="inlineStr"/>
      <c r="G6215" s="182" t="n">
        <v>0</v>
      </c>
      <c r="H6215" s="182" t="n">
        <v>0</v>
      </c>
      <c r="I6215" s="182" t="n">
        <v>12</v>
      </c>
      <c r="J6215" s="182" t="n">
        <v>12</v>
      </c>
      <c r="K6215" s="182" t="n">
        <v>0</v>
      </c>
      <c r="L6215" s="182" t="n">
        <v>12</v>
      </c>
      <c r="M6215" s="182" t="n">
        <v>0</v>
      </c>
      <c r="N6215" s="182" t="n">
        <v>0</v>
      </c>
      <c r="O6215" s="183" t="n">
        <v>0</v>
      </c>
      <c r="P6215" s="183" t="n">
        <v>0</v>
      </c>
      <c r="Q6215" s="184" t="n">
        <v>0</v>
      </c>
      <c r="R6215" s="184" t="n">
        <v>0</v>
      </c>
      <c r="S6215" s="183" t="n">
        <v>0</v>
      </c>
      <c r="T6215" s="183" t="n">
        <v>0</v>
      </c>
      <c r="U6215" s="182" t="n">
        <v>0</v>
      </c>
      <c r="V6215" s="182" t="n">
        <v>0</v>
      </c>
      <c r="W6215" s="182" t="n">
        <v>0</v>
      </c>
      <c r="X6215" s="182" t="n">
        <v>0</v>
      </c>
      <c r="Y6215" s="182" t="n">
        <v>0</v>
      </c>
      <c r="Z6215" s="182" t="n">
        <v>0</v>
      </c>
      <c r="AA6215" s="182" t="n">
        <v>0</v>
      </c>
      <c r="AB6215" s="182" t="n">
        <v>0</v>
      </c>
      <c r="AC6215" s="182" t="n">
        <v>0</v>
      </c>
      <c r="AD6215" s="182" t="n">
        <v>0</v>
      </c>
      <c r="AE6215" s="182" t="n">
        <v>0</v>
      </c>
      <c r="AF6215" s="182" t="n">
        <v>0</v>
      </c>
      <c r="AG6215" s="182" t="n">
        <v>0</v>
      </c>
      <c r="AH6215" s="182" t="n">
        <v>0</v>
      </c>
      <c r="AI6215" s="182" t="n">
        <v>0</v>
      </c>
      <c r="AJ6215" s="182" t="n">
        <v>0</v>
      </c>
      <c r="AK6215" s="182" t="n">
        <v>0</v>
      </c>
      <c r="AL6215" s="182" t="n">
        <v>0</v>
      </c>
      <c r="AM6215" s="182" t="n">
        <v>0</v>
      </c>
      <c r="AN6215" s="182" t="n">
        <v>0</v>
      </c>
    </row>
    <row r="6216">
      <c r="A6216" s="155" t="n">
        <v>46110</v>
      </c>
      <c r="B6216" s="156" t="inlineStr">
        <is>
          <t>DS</t>
        </is>
      </c>
      <c r="C6216" s="156" t="inlineStr">
        <is>
          <t>GD-013</t>
        </is>
      </c>
      <c r="D6216" s="156" t="inlineStr">
        <is>
          <t>STG 265C - 10</t>
        </is>
      </c>
      <c r="E6216" s="156" t="inlineStr">
        <is>
          <t>Grader</t>
        </is>
      </c>
      <c r="F6216" s="156" t="inlineStr">
        <is>
          <t>Road Maintenance</t>
        </is>
      </c>
      <c r="G6216" s="182" t="n">
        <v>10.02</v>
      </c>
      <c r="H6216" s="182" t="n">
        <v>0</v>
      </c>
      <c r="I6216" s="182" t="n">
        <v>1.67</v>
      </c>
      <c r="J6216" s="182" t="n">
        <v>1.67</v>
      </c>
      <c r="K6216" s="182" t="n">
        <v>0.31</v>
      </c>
      <c r="L6216" s="182" t="n">
        <v>12</v>
      </c>
      <c r="M6216" s="182" t="n">
        <v>0</v>
      </c>
      <c r="N6216" s="182" t="n">
        <v>0</v>
      </c>
      <c r="O6216" s="183" t="n">
        <v>0</v>
      </c>
      <c r="P6216" s="183" t="n">
        <v>0</v>
      </c>
      <c r="Q6216" s="184" t="n">
        <v>0</v>
      </c>
      <c r="R6216" s="184" t="n">
        <v>0</v>
      </c>
      <c r="S6216" s="183" t="n">
        <v>0</v>
      </c>
      <c r="T6216" s="183" t="n">
        <v>0</v>
      </c>
      <c r="U6216" s="182" t="n">
        <v>0</v>
      </c>
      <c r="V6216" s="182" t="n">
        <v>0</v>
      </c>
      <c r="W6216" s="182" t="n">
        <v>0</v>
      </c>
      <c r="X6216" s="182" t="n">
        <v>0</v>
      </c>
      <c r="Y6216" s="182" t="n">
        <v>0</v>
      </c>
      <c r="Z6216" s="182" t="n">
        <v>0</v>
      </c>
      <c r="AA6216" s="182" t="n">
        <v>0</v>
      </c>
      <c r="AB6216" s="182" t="n">
        <v>0</v>
      </c>
      <c r="AC6216" s="182" t="n">
        <v>0</v>
      </c>
      <c r="AD6216" s="182" t="n">
        <v>0</v>
      </c>
      <c r="AE6216" s="182" t="n">
        <v>0</v>
      </c>
      <c r="AF6216" s="182" t="n">
        <v>0</v>
      </c>
      <c r="AG6216" s="182" t="n">
        <v>0</v>
      </c>
      <c r="AH6216" s="182" t="n">
        <v>0</v>
      </c>
      <c r="AI6216" s="182" t="n">
        <v>0</v>
      </c>
      <c r="AJ6216" s="182" t="n">
        <v>0</v>
      </c>
      <c r="AK6216" s="182" t="n">
        <v>0</v>
      </c>
      <c r="AL6216" s="182" t="n">
        <v>0</v>
      </c>
      <c r="AM6216" s="182" t="n">
        <v>0.31</v>
      </c>
      <c r="AN6216" s="182" t="n">
        <v>0</v>
      </c>
    </row>
    <row r="6217">
      <c r="A6217" s="155" t="n">
        <v>46110</v>
      </c>
      <c r="B6217" s="156" t="inlineStr">
        <is>
          <t>DS</t>
        </is>
      </c>
      <c r="C6217" s="156" t="inlineStr">
        <is>
          <t>GD-014</t>
        </is>
      </c>
      <c r="D6217" s="156" t="inlineStr">
        <is>
          <t>STG 335C - 10</t>
        </is>
      </c>
      <c r="E6217" s="156" t="inlineStr">
        <is>
          <t>Grader</t>
        </is>
      </c>
      <c r="F6217" s="156" t="inlineStr">
        <is>
          <t>Road Maintenance</t>
        </is>
      </c>
      <c r="G6217" s="182" t="n">
        <v>3.8</v>
      </c>
      <c r="H6217" s="182" t="n">
        <v>3.5</v>
      </c>
      <c r="I6217" s="182" t="n">
        <v>0</v>
      </c>
      <c r="J6217" s="182" t="n">
        <v>3.5</v>
      </c>
      <c r="K6217" s="182" t="n">
        <v>4.7</v>
      </c>
      <c r="L6217" s="182" t="n">
        <v>12</v>
      </c>
      <c r="M6217" s="182" t="n">
        <v>0</v>
      </c>
      <c r="N6217" s="182" t="n">
        <v>0</v>
      </c>
      <c r="O6217" s="183" t="n">
        <v>0</v>
      </c>
      <c r="P6217" s="183" t="n">
        <v>0</v>
      </c>
      <c r="Q6217" s="184" t="n">
        <v>0</v>
      </c>
      <c r="R6217" s="184" t="n">
        <v>0</v>
      </c>
      <c r="S6217" s="183" t="n">
        <v>0</v>
      </c>
      <c r="T6217" s="183" t="n">
        <v>0</v>
      </c>
      <c r="U6217" s="182" t="n">
        <v>0</v>
      </c>
      <c r="V6217" s="182" t="n">
        <v>0</v>
      </c>
      <c r="W6217" s="182" t="n">
        <v>0</v>
      </c>
      <c r="X6217" s="182" t="n">
        <v>0.98</v>
      </c>
      <c r="Y6217" s="182" t="n">
        <v>0</v>
      </c>
      <c r="Z6217" s="182" t="n">
        <v>0</v>
      </c>
      <c r="AA6217" s="182" t="n">
        <v>0</v>
      </c>
      <c r="AB6217" s="182" t="n">
        <v>0.98</v>
      </c>
      <c r="AC6217" s="182" t="n">
        <v>0</v>
      </c>
      <c r="AD6217" s="182" t="n">
        <v>0</v>
      </c>
      <c r="AE6217" s="182" t="n">
        <v>0</v>
      </c>
      <c r="AF6217" s="182" t="n">
        <v>0</v>
      </c>
      <c r="AG6217" s="182" t="n">
        <v>0</v>
      </c>
      <c r="AH6217" s="182" t="n">
        <v>0</v>
      </c>
      <c r="AI6217" s="182" t="n">
        <v>0</v>
      </c>
      <c r="AJ6217" s="182" t="n">
        <v>0</v>
      </c>
      <c r="AK6217" s="182" t="n">
        <v>2.66</v>
      </c>
      <c r="AL6217" s="182" t="n">
        <v>0</v>
      </c>
      <c r="AM6217" s="182" t="n">
        <v>0.08</v>
      </c>
      <c r="AN6217" s="182" t="n">
        <v>0</v>
      </c>
    </row>
    <row r="6218">
      <c r="A6218" s="155" t="n">
        <v>46110</v>
      </c>
      <c r="B6218" s="156" t="inlineStr">
        <is>
          <t>DS</t>
        </is>
      </c>
      <c r="C6218" s="156" t="inlineStr">
        <is>
          <t>DT-809</t>
        </is>
      </c>
      <c r="D6218" s="156" t="inlineStr">
        <is>
          <t>SKT 80S</t>
        </is>
      </c>
      <c r="E6218" s="156" t="inlineStr">
        <is>
          <t>Hauler</t>
        </is>
      </c>
      <c r="F6218" s="156" t="inlineStr"/>
      <c r="G6218" s="182" t="n">
        <v>0</v>
      </c>
      <c r="H6218" s="182" t="n">
        <v>0</v>
      </c>
      <c r="I6218" s="182" t="n">
        <v>0</v>
      </c>
      <c r="J6218" s="182" t="n">
        <v>0</v>
      </c>
      <c r="K6218" s="182" t="n">
        <v>12</v>
      </c>
      <c r="L6218" s="182" t="n">
        <v>12</v>
      </c>
      <c r="M6218" s="182" t="n">
        <v>0</v>
      </c>
      <c r="N6218" s="182" t="n">
        <v>0</v>
      </c>
      <c r="O6218" s="183" t="n">
        <v>0</v>
      </c>
      <c r="P6218" s="183" t="n">
        <v>0</v>
      </c>
      <c r="Q6218" s="184" t="n">
        <v>0</v>
      </c>
      <c r="R6218" s="184" t="n">
        <v>0</v>
      </c>
      <c r="S6218" s="183" t="n">
        <v>0</v>
      </c>
      <c r="T6218" s="183" t="n">
        <v>0</v>
      </c>
      <c r="U6218" s="182" t="n">
        <v>0</v>
      </c>
      <c r="V6218" s="182" t="n">
        <v>0</v>
      </c>
      <c r="W6218" s="182" t="n">
        <v>0</v>
      </c>
      <c r="X6218" s="182" t="n">
        <v>1</v>
      </c>
      <c r="Y6218" s="182" t="n">
        <v>0</v>
      </c>
      <c r="Z6218" s="182" t="n">
        <v>0</v>
      </c>
      <c r="AA6218" s="182" t="n">
        <v>0</v>
      </c>
      <c r="AB6218" s="182" t="n">
        <v>1</v>
      </c>
      <c r="AC6218" s="182" t="n">
        <v>0</v>
      </c>
      <c r="AD6218" s="182" t="n">
        <v>0</v>
      </c>
      <c r="AE6218" s="182" t="n">
        <v>0</v>
      </c>
      <c r="AF6218" s="182" t="n">
        <v>0</v>
      </c>
      <c r="AG6218" s="182" t="n">
        <v>0</v>
      </c>
      <c r="AH6218" s="182" t="n">
        <v>0</v>
      </c>
      <c r="AI6218" s="182" t="n">
        <v>0</v>
      </c>
      <c r="AJ6218" s="182" t="n">
        <v>0</v>
      </c>
      <c r="AK6218" s="182" t="n">
        <v>9.92</v>
      </c>
      <c r="AL6218" s="182" t="n">
        <v>0</v>
      </c>
      <c r="AM6218" s="182" t="n">
        <v>0.08</v>
      </c>
      <c r="AN6218" s="182" t="n">
        <v>0</v>
      </c>
    </row>
    <row r="6219">
      <c r="A6219" s="155" t="n">
        <v>46110</v>
      </c>
      <c r="B6219" s="156" t="inlineStr">
        <is>
          <t>DS</t>
        </is>
      </c>
      <c r="C6219" s="156" t="inlineStr">
        <is>
          <t>DT-806</t>
        </is>
      </c>
      <c r="D6219" s="156" t="inlineStr">
        <is>
          <t>SKT 80S</t>
        </is>
      </c>
      <c r="E6219" s="156" t="inlineStr">
        <is>
          <t>Hauler</t>
        </is>
      </c>
      <c r="F6219" s="156" t="inlineStr"/>
      <c r="G6219" s="182" t="n">
        <v>0</v>
      </c>
      <c r="H6219" s="182" t="n">
        <v>0</v>
      </c>
      <c r="I6219" s="182" t="n">
        <v>0</v>
      </c>
      <c r="J6219" s="182" t="n">
        <v>0</v>
      </c>
      <c r="K6219" s="182" t="n">
        <v>12</v>
      </c>
      <c r="L6219" s="182" t="n">
        <v>12</v>
      </c>
      <c r="M6219" s="182" t="n">
        <v>0</v>
      </c>
      <c r="N6219" s="182" t="n">
        <v>0</v>
      </c>
      <c r="O6219" s="183" t="n">
        <v>0</v>
      </c>
      <c r="P6219" s="183" t="n">
        <v>0</v>
      </c>
      <c r="Q6219" s="184" t="n">
        <v>0</v>
      </c>
      <c r="R6219" s="184" t="n">
        <v>0</v>
      </c>
      <c r="S6219" s="183" t="n">
        <v>0</v>
      </c>
      <c r="T6219" s="183" t="n">
        <v>0</v>
      </c>
      <c r="U6219" s="182" t="n">
        <v>0</v>
      </c>
      <c r="V6219" s="182" t="n">
        <v>0</v>
      </c>
      <c r="W6219" s="182" t="n">
        <v>0</v>
      </c>
      <c r="X6219" s="182" t="n">
        <v>1</v>
      </c>
      <c r="Y6219" s="182" t="n">
        <v>0</v>
      </c>
      <c r="Z6219" s="182" t="n">
        <v>0</v>
      </c>
      <c r="AA6219" s="182" t="n">
        <v>0</v>
      </c>
      <c r="AB6219" s="182" t="n">
        <v>1</v>
      </c>
      <c r="AC6219" s="182" t="n">
        <v>0</v>
      </c>
      <c r="AD6219" s="182" t="n">
        <v>0</v>
      </c>
      <c r="AE6219" s="182" t="n">
        <v>0</v>
      </c>
      <c r="AF6219" s="182" t="n">
        <v>0</v>
      </c>
      <c r="AG6219" s="182" t="n">
        <v>0</v>
      </c>
      <c r="AH6219" s="182" t="n">
        <v>0</v>
      </c>
      <c r="AI6219" s="182" t="n">
        <v>0</v>
      </c>
      <c r="AJ6219" s="182" t="n">
        <v>0</v>
      </c>
      <c r="AK6219" s="182" t="n">
        <v>9.92</v>
      </c>
      <c r="AL6219" s="182" t="n">
        <v>0</v>
      </c>
      <c r="AM6219" s="182" t="n">
        <v>0.08</v>
      </c>
      <c r="AN6219" s="182" t="n">
        <v>0</v>
      </c>
    </row>
    <row r="6220">
      <c r="A6220" s="155" t="n">
        <v>46110</v>
      </c>
      <c r="B6220" s="156" t="inlineStr">
        <is>
          <t>DS</t>
        </is>
      </c>
      <c r="C6220" s="156" t="inlineStr">
        <is>
          <t>DT-805</t>
        </is>
      </c>
      <c r="D6220" s="156" t="inlineStr">
        <is>
          <t>SKT 80S</t>
        </is>
      </c>
      <c r="E6220" s="156" t="inlineStr">
        <is>
          <t>Hauler</t>
        </is>
      </c>
      <c r="F6220" s="156" t="inlineStr"/>
      <c r="G6220" s="182" t="n">
        <v>0</v>
      </c>
      <c r="H6220" s="182" t="n">
        <v>0</v>
      </c>
      <c r="I6220" s="182" t="n">
        <v>0</v>
      </c>
      <c r="J6220" s="182" t="n">
        <v>0</v>
      </c>
      <c r="K6220" s="182" t="n">
        <v>12</v>
      </c>
      <c r="L6220" s="182" t="n">
        <v>12</v>
      </c>
      <c r="M6220" s="182" t="n">
        <v>0</v>
      </c>
      <c r="N6220" s="182" t="n">
        <v>0</v>
      </c>
      <c r="O6220" s="183" t="n">
        <v>0</v>
      </c>
      <c r="P6220" s="183" t="n">
        <v>0</v>
      </c>
      <c r="Q6220" s="184" t="n">
        <v>0</v>
      </c>
      <c r="R6220" s="184" t="n">
        <v>0</v>
      </c>
      <c r="S6220" s="183" t="n">
        <v>0</v>
      </c>
      <c r="T6220" s="183" t="n">
        <v>0</v>
      </c>
      <c r="U6220" s="182" t="n">
        <v>0</v>
      </c>
      <c r="V6220" s="182" t="n">
        <v>0</v>
      </c>
      <c r="W6220" s="182" t="n">
        <v>0</v>
      </c>
      <c r="X6220" s="182" t="n">
        <v>1</v>
      </c>
      <c r="Y6220" s="182" t="n">
        <v>0</v>
      </c>
      <c r="Z6220" s="182" t="n">
        <v>0</v>
      </c>
      <c r="AA6220" s="182" t="n">
        <v>0</v>
      </c>
      <c r="AB6220" s="182" t="n">
        <v>1</v>
      </c>
      <c r="AC6220" s="182" t="n">
        <v>0</v>
      </c>
      <c r="AD6220" s="182" t="n">
        <v>0</v>
      </c>
      <c r="AE6220" s="182" t="n">
        <v>0</v>
      </c>
      <c r="AF6220" s="182" t="n">
        <v>0</v>
      </c>
      <c r="AG6220" s="182" t="n">
        <v>0</v>
      </c>
      <c r="AH6220" s="182" t="n">
        <v>0</v>
      </c>
      <c r="AI6220" s="182" t="n">
        <v>0</v>
      </c>
      <c r="AJ6220" s="182" t="n">
        <v>0</v>
      </c>
      <c r="AK6220" s="182" t="n">
        <v>9.92</v>
      </c>
      <c r="AL6220" s="182" t="n">
        <v>0</v>
      </c>
      <c r="AM6220" s="182" t="n">
        <v>0.08</v>
      </c>
      <c r="AN6220" s="182" t="n">
        <v>0</v>
      </c>
    </row>
    <row r="6221">
      <c r="A6221" s="155" t="n">
        <v>46110</v>
      </c>
      <c r="B6221" s="156" t="inlineStr">
        <is>
          <t>DS</t>
        </is>
      </c>
      <c r="C6221" s="156" t="inlineStr">
        <is>
          <t>DT-801</t>
        </is>
      </c>
      <c r="D6221" s="156" t="inlineStr">
        <is>
          <t>SKT 80S</t>
        </is>
      </c>
      <c r="E6221" s="156" t="inlineStr">
        <is>
          <t>Hauler</t>
        </is>
      </c>
      <c r="F6221" s="156" t="inlineStr"/>
      <c r="G6221" s="182" t="n">
        <v>0</v>
      </c>
      <c r="H6221" s="182" t="n">
        <v>0</v>
      </c>
      <c r="I6221" s="182" t="n">
        <v>0</v>
      </c>
      <c r="J6221" s="182" t="n">
        <v>0</v>
      </c>
      <c r="K6221" s="182" t="n">
        <v>12</v>
      </c>
      <c r="L6221" s="182" t="n">
        <v>12</v>
      </c>
      <c r="M6221" s="182" t="n">
        <v>0</v>
      </c>
      <c r="N6221" s="182" t="n">
        <v>0</v>
      </c>
      <c r="O6221" s="183" t="n">
        <v>0</v>
      </c>
      <c r="P6221" s="183" t="n">
        <v>0</v>
      </c>
      <c r="Q6221" s="184" t="n">
        <v>0</v>
      </c>
      <c r="R6221" s="184" t="n">
        <v>0</v>
      </c>
      <c r="S6221" s="183" t="n">
        <v>0</v>
      </c>
      <c r="T6221" s="183" t="n">
        <v>0</v>
      </c>
      <c r="U6221" s="182" t="n">
        <v>0</v>
      </c>
      <c r="V6221" s="182" t="n">
        <v>0</v>
      </c>
      <c r="W6221" s="182" t="n">
        <v>0</v>
      </c>
      <c r="X6221" s="182" t="n">
        <v>1</v>
      </c>
      <c r="Y6221" s="182" t="n">
        <v>0</v>
      </c>
      <c r="Z6221" s="182" t="n">
        <v>0</v>
      </c>
      <c r="AA6221" s="182" t="n">
        <v>0</v>
      </c>
      <c r="AB6221" s="182" t="n">
        <v>1</v>
      </c>
      <c r="AC6221" s="182" t="n">
        <v>0</v>
      </c>
      <c r="AD6221" s="182" t="n">
        <v>0</v>
      </c>
      <c r="AE6221" s="182" t="n">
        <v>0</v>
      </c>
      <c r="AF6221" s="182" t="n">
        <v>0</v>
      </c>
      <c r="AG6221" s="182" t="n">
        <v>0</v>
      </c>
      <c r="AH6221" s="182" t="n">
        <v>0</v>
      </c>
      <c r="AI6221" s="182" t="n">
        <v>0</v>
      </c>
      <c r="AJ6221" s="182" t="n">
        <v>0</v>
      </c>
      <c r="AK6221" s="182" t="n">
        <v>9.92</v>
      </c>
      <c r="AL6221" s="182" t="n">
        <v>0</v>
      </c>
      <c r="AM6221" s="182" t="n">
        <v>0.08</v>
      </c>
      <c r="AN6221" s="182" t="n">
        <v>0</v>
      </c>
    </row>
    <row r="6222">
      <c r="A6222" s="155" t="n">
        <v>46110</v>
      </c>
      <c r="B6222" s="156" t="inlineStr">
        <is>
          <t>DS</t>
        </is>
      </c>
      <c r="C6222" s="156" t="inlineStr">
        <is>
          <t>DT-808</t>
        </is>
      </c>
      <c r="D6222" s="156" t="inlineStr">
        <is>
          <t>SKT 80S</t>
        </is>
      </c>
      <c r="E6222" s="156" t="inlineStr">
        <is>
          <t>Hauler</t>
        </is>
      </c>
      <c r="F6222" s="156" t="inlineStr">
        <is>
          <t>Hauling Lumpur dari Washing Plant</t>
        </is>
      </c>
      <c r="G6222" s="182" t="n">
        <v>8.41</v>
      </c>
      <c r="H6222" s="182" t="n">
        <v>0</v>
      </c>
      <c r="I6222" s="182" t="n">
        <v>0</v>
      </c>
      <c r="J6222" s="182" t="n">
        <v>0</v>
      </c>
      <c r="K6222" s="182" t="n">
        <v>3.59</v>
      </c>
      <c r="L6222" s="182" t="n">
        <v>12</v>
      </c>
      <c r="M6222" s="182" t="n">
        <v>0</v>
      </c>
      <c r="N6222" s="182" t="n">
        <v>0</v>
      </c>
      <c r="O6222" s="183" t="n">
        <v>0</v>
      </c>
      <c r="P6222" s="183" t="n">
        <v>0</v>
      </c>
      <c r="Q6222" s="184" t="n">
        <v>0</v>
      </c>
      <c r="R6222" s="184" t="n">
        <v>0</v>
      </c>
      <c r="S6222" s="183" t="n">
        <v>0</v>
      </c>
      <c r="T6222" s="183" t="n">
        <v>0</v>
      </c>
      <c r="U6222" s="182" t="n">
        <v>0</v>
      </c>
      <c r="V6222" s="182" t="n">
        <v>0</v>
      </c>
      <c r="W6222" s="182" t="n">
        <v>0</v>
      </c>
      <c r="X6222" s="182" t="n">
        <v>1.09</v>
      </c>
      <c r="Y6222" s="182" t="n">
        <v>0</v>
      </c>
      <c r="Z6222" s="182" t="n">
        <v>0</v>
      </c>
      <c r="AA6222" s="182" t="n">
        <v>0</v>
      </c>
      <c r="AB6222" s="182" t="n">
        <v>1.09</v>
      </c>
      <c r="AC6222" s="182" t="n">
        <v>0</v>
      </c>
      <c r="AD6222" s="182" t="n">
        <v>0</v>
      </c>
      <c r="AE6222" s="182" t="n">
        <v>0</v>
      </c>
      <c r="AF6222" s="182" t="n">
        <v>0</v>
      </c>
      <c r="AG6222" s="182" t="n">
        <v>0.54</v>
      </c>
      <c r="AH6222" s="182" t="n">
        <v>0.78</v>
      </c>
      <c r="AI6222" s="182" t="n">
        <v>0</v>
      </c>
      <c r="AJ6222" s="182" t="n">
        <v>0</v>
      </c>
      <c r="AK6222" s="182" t="n">
        <v>0</v>
      </c>
      <c r="AL6222" s="182" t="n">
        <v>0</v>
      </c>
      <c r="AM6222" s="182" t="n">
        <v>0.09</v>
      </c>
      <c r="AN6222" s="182" t="n">
        <v>0</v>
      </c>
    </row>
    <row r="6223">
      <c r="A6223" s="155" t="n">
        <v>46110</v>
      </c>
      <c r="B6223" s="156" t="inlineStr">
        <is>
          <t>DS</t>
        </is>
      </c>
      <c r="C6223" s="156" t="inlineStr">
        <is>
          <t>DT-811</t>
        </is>
      </c>
      <c r="D6223" s="156" t="inlineStr">
        <is>
          <t>SKT 80S</t>
        </is>
      </c>
      <c r="E6223" s="156" t="inlineStr">
        <is>
          <t>Hauler</t>
        </is>
      </c>
      <c r="F6223" s="156" t="inlineStr"/>
      <c r="G6223" s="182" t="n">
        <v>0</v>
      </c>
      <c r="H6223" s="182" t="n">
        <v>0</v>
      </c>
      <c r="I6223" s="182" t="n">
        <v>0</v>
      </c>
      <c r="J6223" s="182" t="n">
        <v>0</v>
      </c>
      <c r="K6223" s="182" t="n">
        <v>12</v>
      </c>
      <c r="L6223" s="182" t="n">
        <v>12</v>
      </c>
      <c r="M6223" s="182" t="n">
        <v>0</v>
      </c>
      <c r="N6223" s="182" t="n">
        <v>0</v>
      </c>
      <c r="O6223" s="183" t="n">
        <v>0</v>
      </c>
      <c r="P6223" s="183" t="n">
        <v>0</v>
      </c>
      <c r="Q6223" s="184" t="n">
        <v>0</v>
      </c>
      <c r="R6223" s="184" t="n">
        <v>0</v>
      </c>
      <c r="S6223" s="183" t="n">
        <v>0</v>
      </c>
      <c r="T6223" s="183" t="n">
        <v>0</v>
      </c>
      <c r="U6223" s="182" t="n">
        <v>0</v>
      </c>
      <c r="V6223" s="182" t="n">
        <v>0</v>
      </c>
      <c r="W6223" s="182" t="n">
        <v>0</v>
      </c>
      <c r="X6223" s="182" t="n">
        <v>1</v>
      </c>
      <c r="Y6223" s="182" t="n">
        <v>0</v>
      </c>
      <c r="Z6223" s="182" t="n">
        <v>0</v>
      </c>
      <c r="AA6223" s="182" t="n">
        <v>0</v>
      </c>
      <c r="AB6223" s="182" t="n">
        <v>1</v>
      </c>
      <c r="AC6223" s="182" t="n">
        <v>0</v>
      </c>
      <c r="AD6223" s="182" t="n">
        <v>0</v>
      </c>
      <c r="AE6223" s="182" t="n">
        <v>0</v>
      </c>
      <c r="AF6223" s="182" t="n">
        <v>0</v>
      </c>
      <c r="AG6223" s="182" t="n">
        <v>0</v>
      </c>
      <c r="AH6223" s="182" t="n">
        <v>0</v>
      </c>
      <c r="AI6223" s="182" t="n">
        <v>0</v>
      </c>
      <c r="AJ6223" s="182" t="n">
        <v>0</v>
      </c>
      <c r="AK6223" s="182" t="n">
        <v>9.92</v>
      </c>
      <c r="AL6223" s="182" t="n">
        <v>0</v>
      </c>
      <c r="AM6223" s="182" t="n">
        <v>0.08</v>
      </c>
      <c r="AN6223" s="182" t="n">
        <v>0</v>
      </c>
    </row>
    <row r="6224">
      <c r="A6224" s="155" t="n">
        <v>46110</v>
      </c>
      <c r="B6224" s="156" t="inlineStr">
        <is>
          <t>DS</t>
        </is>
      </c>
      <c r="C6224" s="156" t="inlineStr">
        <is>
          <t>DT-802</t>
        </is>
      </c>
      <c r="D6224" s="156" t="inlineStr">
        <is>
          <t>SKT 80S</t>
        </is>
      </c>
      <c r="E6224" s="156" t="inlineStr">
        <is>
          <t>Hauler</t>
        </is>
      </c>
      <c r="F6224" s="156" t="inlineStr"/>
      <c r="G6224" s="182" t="n">
        <v>0</v>
      </c>
      <c r="H6224" s="182" t="n">
        <v>0</v>
      </c>
      <c r="I6224" s="182" t="n">
        <v>12</v>
      </c>
      <c r="J6224" s="182" t="n">
        <v>12</v>
      </c>
      <c r="K6224" s="182" t="n">
        <v>0</v>
      </c>
      <c r="L6224" s="182" t="n">
        <v>12</v>
      </c>
      <c r="M6224" s="182" t="n">
        <v>0</v>
      </c>
      <c r="N6224" s="182" t="n">
        <v>0</v>
      </c>
      <c r="O6224" s="183" t="n">
        <v>0</v>
      </c>
      <c r="P6224" s="183" t="n">
        <v>0</v>
      </c>
      <c r="Q6224" s="184" t="n">
        <v>0</v>
      </c>
      <c r="R6224" s="184" t="n">
        <v>0</v>
      </c>
      <c r="S6224" s="183" t="n">
        <v>0</v>
      </c>
      <c r="T6224" s="183" t="n">
        <v>0</v>
      </c>
      <c r="U6224" s="182" t="n">
        <v>0</v>
      </c>
      <c r="V6224" s="182" t="n">
        <v>0</v>
      </c>
      <c r="W6224" s="182" t="n">
        <v>0</v>
      </c>
      <c r="X6224" s="182" t="n">
        <v>0</v>
      </c>
      <c r="Y6224" s="182" t="n">
        <v>0</v>
      </c>
      <c r="Z6224" s="182" t="n">
        <v>0</v>
      </c>
      <c r="AA6224" s="182" t="n">
        <v>0</v>
      </c>
      <c r="AB6224" s="182" t="n">
        <v>0</v>
      </c>
      <c r="AC6224" s="182" t="n">
        <v>0</v>
      </c>
      <c r="AD6224" s="182" t="n">
        <v>0</v>
      </c>
      <c r="AE6224" s="182" t="n">
        <v>0</v>
      </c>
      <c r="AF6224" s="182" t="n">
        <v>0</v>
      </c>
      <c r="AG6224" s="182" t="n">
        <v>0</v>
      </c>
      <c r="AH6224" s="182" t="n">
        <v>0</v>
      </c>
      <c r="AI6224" s="182" t="n">
        <v>0</v>
      </c>
      <c r="AJ6224" s="182" t="n">
        <v>0</v>
      </c>
      <c r="AK6224" s="182" t="n">
        <v>0</v>
      </c>
      <c r="AL6224" s="182" t="n">
        <v>0</v>
      </c>
      <c r="AM6224" s="182" t="n">
        <v>0</v>
      </c>
      <c r="AN6224" s="182" t="n">
        <v>0</v>
      </c>
    </row>
    <row r="6225">
      <c r="A6225" s="155" t="n">
        <v>46110</v>
      </c>
      <c r="B6225" s="156" t="inlineStr">
        <is>
          <t>DS</t>
        </is>
      </c>
      <c r="C6225" s="156" t="inlineStr">
        <is>
          <t>DT-807</t>
        </is>
      </c>
      <c r="D6225" s="156" t="inlineStr">
        <is>
          <t>SKT 80S</t>
        </is>
      </c>
      <c r="E6225" s="156" t="inlineStr">
        <is>
          <t>Hauler</t>
        </is>
      </c>
      <c r="F6225" s="156" t="inlineStr"/>
      <c r="G6225" s="182" t="n">
        <v>0</v>
      </c>
      <c r="H6225" s="182" t="n">
        <v>0</v>
      </c>
      <c r="I6225" s="182" t="n">
        <v>12</v>
      </c>
      <c r="J6225" s="182" t="n">
        <v>12</v>
      </c>
      <c r="K6225" s="182" t="n">
        <v>0</v>
      </c>
      <c r="L6225" s="182" t="n">
        <v>12</v>
      </c>
      <c r="M6225" s="182" t="n">
        <v>0</v>
      </c>
      <c r="N6225" s="182" t="n">
        <v>0</v>
      </c>
      <c r="O6225" s="183" t="n">
        <v>0</v>
      </c>
      <c r="P6225" s="183" t="n">
        <v>0</v>
      </c>
      <c r="Q6225" s="184" t="n">
        <v>0</v>
      </c>
      <c r="R6225" s="184" t="n">
        <v>0</v>
      </c>
      <c r="S6225" s="183" t="n">
        <v>0</v>
      </c>
      <c r="T6225" s="183" t="n">
        <v>0</v>
      </c>
      <c r="U6225" s="182" t="n">
        <v>0</v>
      </c>
      <c r="V6225" s="182" t="n">
        <v>0</v>
      </c>
      <c r="W6225" s="182" t="n">
        <v>0</v>
      </c>
      <c r="X6225" s="182" t="n">
        <v>0</v>
      </c>
      <c r="Y6225" s="182" t="n">
        <v>0</v>
      </c>
      <c r="Z6225" s="182" t="n">
        <v>0</v>
      </c>
      <c r="AA6225" s="182" t="n">
        <v>0</v>
      </c>
      <c r="AB6225" s="182" t="n">
        <v>0</v>
      </c>
      <c r="AC6225" s="182" t="n">
        <v>0</v>
      </c>
      <c r="AD6225" s="182" t="n">
        <v>0</v>
      </c>
      <c r="AE6225" s="182" t="n">
        <v>0</v>
      </c>
      <c r="AF6225" s="182" t="n">
        <v>0</v>
      </c>
      <c r="AG6225" s="182" t="n">
        <v>0</v>
      </c>
      <c r="AH6225" s="182" t="n">
        <v>0</v>
      </c>
      <c r="AI6225" s="182" t="n">
        <v>0</v>
      </c>
      <c r="AJ6225" s="182" t="n">
        <v>0</v>
      </c>
      <c r="AK6225" s="182" t="n">
        <v>0</v>
      </c>
      <c r="AL6225" s="182" t="n">
        <v>0</v>
      </c>
      <c r="AM6225" s="182" t="n">
        <v>0</v>
      </c>
      <c r="AN6225" s="182" t="n">
        <v>0</v>
      </c>
    </row>
    <row r="6226">
      <c r="A6226" s="155" t="n">
        <v>46110</v>
      </c>
      <c r="B6226" s="156" t="inlineStr">
        <is>
          <t>DS</t>
        </is>
      </c>
      <c r="C6226" s="156" t="inlineStr">
        <is>
          <t>DT-812</t>
        </is>
      </c>
      <c r="D6226" s="156" t="inlineStr">
        <is>
          <t>SKT 80S</t>
        </is>
      </c>
      <c r="E6226" s="156" t="inlineStr">
        <is>
          <t>Hauler</t>
        </is>
      </c>
      <c r="F6226" s="156" t="inlineStr">
        <is>
          <t>Hauling Lumpur dari Washing Plant</t>
        </is>
      </c>
      <c r="G6226" s="182" t="n">
        <v>3.8</v>
      </c>
      <c r="H6226" s="182" t="n">
        <v>0</v>
      </c>
      <c r="I6226" s="182" t="n">
        <v>8.199999999999999</v>
      </c>
      <c r="J6226" s="182" t="n">
        <v>8.199999999999999</v>
      </c>
      <c r="K6226" s="182" t="n">
        <v>0</v>
      </c>
      <c r="L6226" s="182" t="n">
        <v>12</v>
      </c>
      <c r="M6226" s="182" t="n">
        <v>0</v>
      </c>
      <c r="N6226" s="182" t="n">
        <v>0</v>
      </c>
      <c r="O6226" s="183" t="n">
        <v>0</v>
      </c>
      <c r="P6226" s="183" t="n">
        <v>0</v>
      </c>
      <c r="Q6226" s="184" t="n">
        <v>0</v>
      </c>
      <c r="R6226" s="184" t="n">
        <v>0</v>
      </c>
      <c r="S6226" s="183" t="n">
        <v>0</v>
      </c>
      <c r="T6226" s="183" t="n">
        <v>0</v>
      </c>
      <c r="U6226" s="182" t="n">
        <v>0</v>
      </c>
      <c r="V6226" s="182" t="n">
        <v>0</v>
      </c>
      <c r="W6226" s="182" t="n">
        <v>0</v>
      </c>
      <c r="X6226" s="182" t="n">
        <v>0</v>
      </c>
      <c r="Y6226" s="182" t="n">
        <v>0</v>
      </c>
      <c r="Z6226" s="182" t="n">
        <v>0</v>
      </c>
      <c r="AA6226" s="182" t="n">
        <v>0</v>
      </c>
      <c r="AB6226" s="182" t="n">
        <v>0</v>
      </c>
      <c r="AC6226" s="182" t="n">
        <v>0</v>
      </c>
      <c r="AD6226" s="182" t="n">
        <v>0</v>
      </c>
      <c r="AE6226" s="182" t="n">
        <v>0</v>
      </c>
      <c r="AF6226" s="182" t="n">
        <v>0</v>
      </c>
      <c r="AG6226" s="182" t="n">
        <v>0</v>
      </c>
      <c r="AH6226" s="182" t="n">
        <v>0</v>
      </c>
      <c r="AI6226" s="182" t="n">
        <v>0</v>
      </c>
      <c r="AJ6226" s="182" t="n">
        <v>0</v>
      </c>
      <c r="AK6226" s="182" t="n">
        <v>0</v>
      </c>
      <c r="AL6226" s="182" t="n">
        <v>0</v>
      </c>
      <c r="AM6226" s="182" t="n">
        <v>0</v>
      </c>
      <c r="AN6226" s="182" t="n">
        <v>0</v>
      </c>
    </row>
    <row r="6227">
      <c r="A6227" s="155" t="n">
        <v>46110</v>
      </c>
      <c r="B6227" s="156" t="inlineStr">
        <is>
          <t>DS</t>
        </is>
      </c>
      <c r="C6227" s="156" t="inlineStr">
        <is>
          <t>DT-803</t>
        </is>
      </c>
      <c r="D6227" s="156" t="inlineStr">
        <is>
          <t>SKT 80S</t>
        </is>
      </c>
      <c r="E6227" s="156" t="inlineStr">
        <is>
          <t>Hauler</t>
        </is>
      </c>
      <c r="F6227" s="156" t="inlineStr"/>
      <c r="G6227" s="182" t="n">
        <v>0</v>
      </c>
      <c r="H6227" s="182" t="n">
        <v>0</v>
      </c>
      <c r="I6227" s="182" t="n">
        <v>12</v>
      </c>
      <c r="J6227" s="182" t="n">
        <v>12</v>
      </c>
      <c r="K6227" s="182" t="n">
        <v>0</v>
      </c>
      <c r="L6227" s="182" t="n">
        <v>12</v>
      </c>
      <c r="M6227" s="182" t="n">
        <v>0</v>
      </c>
      <c r="N6227" s="182" t="n">
        <v>0</v>
      </c>
      <c r="O6227" s="183" t="n">
        <v>0</v>
      </c>
      <c r="P6227" s="183" t="n">
        <v>0</v>
      </c>
      <c r="Q6227" s="184" t="n">
        <v>0</v>
      </c>
      <c r="R6227" s="184" t="n">
        <v>0</v>
      </c>
      <c r="S6227" s="183" t="n">
        <v>0</v>
      </c>
      <c r="T6227" s="183" t="n">
        <v>0</v>
      </c>
      <c r="U6227" s="182" t="n">
        <v>0</v>
      </c>
      <c r="V6227" s="182" t="n">
        <v>0</v>
      </c>
      <c r="W6227" s="182" t="n">
        <v>0</v>
      </c>
      <c r="X6227" s="182" t="n">
        <v>0</v>
      </c>
      <c r="Y6227" s="182" t="n">
        <v>0</v>
      </c>
      <c r="Z6227" s="182" t="n">
        <v>0</v>
      </c>
      <c r="AA6227" s="182" t="n">
        <v>0</v>
      </c>
      <c r="AB6227" s="182" t="n">
        <v>0</v>
      </c>
      <c r="AC6227" s="182" t="n">
        <v>0</v>
      </c>
      <c r="AD6227" s="182" t="n">
        <v>0</v>
      </c>
      <c r="AE6227" s="182" t="n">
        <v>0</v>
      </c>
      <c r="AF6227" s="182" t="n">
        <v>0</v>
      </c>
      <c r="AG6227" s="182" t="n">
        <v>0</v>
      </c>
      <c r="AH6227" s="182" t="n">
        <v>0</v>
      </c>
      <c r="AI6227" s="182" t="n">
        <v>0</v>
      </c>
      <c r="AJ6227" s="182" t="n">
        <v>0</v>
      </c>
      <c r="AK6227" s="182" t="n">
        <v>0</v>
      </c>
      <c r="AL6227" s="182" t="n">
        <v>0</v>
      </c>
      <c r="AM6227" s="182" t="n">
        <v>0</v>
      </c>
      <c r="AN6227" s="182" t="n">
        <v>0</v>
      </c>
    </row>
    <row r="6228">
      <c r="A6228" s="155" t="n">
        <v>46110</v>
      </c>
      <c r="B6228" s="156" t="inlineStr">
        <is>
          <t>DS</t>
        </is>
      </c>
      <c r="C6228" s="156" t="inlineStr">
        <is>
          <t>DT-810</t>
        </is>
      </c>
      <c r="D6228" s="156" t="inlineStr">
        <is>
          <t>SKT 80S</t>
        </is>
      </c>
      <c r="E6228" s="156" t="inlineStr">
        <is>
          <t>Hauler</t>
        </is>
      </c>
      <c r="F6228" s="156" t="inlineStr">
        <is>
          <t>Hauling Lumpur dari Washing Plant</t>
        </is>
      </c>
      <c r="G6228" s="182" t="n">
        <v>5.25</v>
      </c>
      <c r="H6228" s="182" t="n">
        <v>0</v>
      </c>
      <c r="I6228" s="182" t="n">
        <v>0</v>
      </c>
      <c r="J6228" s="182" t="n">
        <v>0</v>
      </c>
      <c r="K6228" s="182" t="n">
        <v>6.75</v>
      </c>
      <c r="L6228" s="182" t="n">
        <v>12</v>
      </c>
      <c r="M6228" s="182" t="n">
        <v>0</v>
      </c>
      <c r="N6228" s="182" t="n">
        <v>0</v>
      </c>
      <c r="O6228" s="183" t="n">
        <v>0</v>
      </c>
      <c r="P6228" s="183" t="n">
        <v>0</v>
      </c>
      <c r="Q6228" s="184" t="n">
        <v>0</v>
      </c>
      <c r="R6228" s="184" t="n">
        <v>0</v>
      </c>
      <c r="S6228" s="183" t="n">
        <v>0</v>
      </c>
      <c r="T6228" s="183" t="n">
        <v>0</v>
      </c>
      <c r="U6228" s="182" t="n">
        <v>0</v>
      </c>
      <c r="V6228" s="182" t="n">
        <v>0</v>
      </c>
      <c r="W6228" s="182" t="n">
        <v>0</v>
      </c>
      <c r="X6228" s="182" t="n">
        <v>1.04</v>
      </c>
      <c r="Y6228" s="182" t="n">
        <v>0</v>
      </c>
      <c r="Z6228" s="182" t="n">
        <v>0</v>
      </c>
      <c r="AA6228" s="182" t="n">
        <v>0</v>
      </c>
      <c r="AB6228" s="182" t="n">
        <v>1.04</v>
      </c>
      <c r="AC6228" s="182" t="n">
        <v>0</v>
      </c>
      <c r="AD6228" s="182" t="n">
        <v>0</v>
      </c>
      <c r="AE6228" s="182" t="n">
        <v>0</v>
      </c>
      <c r="AF6228" s="182" t="n">
        <v>0</v>
      </c>
      <c r="AG6228" s="182" t="n">
        <v>0</v>
      </c>
      <c r="AH6228" s="182" t="n">
        <v>0</v>
      </c>
      <c r="AI6228" s="182" t="n">
        <v>0</v>
      </c>
      <c r="AJ6228" s="182" t="n">
        <v>0</v>
      </c>
      <c r="AK6228" s="182" t="n">
        <v>4.59</v>
      </c>
      <c r="AL6228" s="182" t="n">
        <v>0</v>
      </c>
      <c r="AM6228" s="182" t="n">
        <v>0.08</v>
      </c>
      <c r="AN6228" s="182" t="n">
        <v>0</v>
      </c>
    </row>
    <row r="6229">
      <c r="A6229" s="155" t="n">
        <v>46110</v>
      </c>
      <c r="B6229" s="156" t="inlineStr">
        <is>
          <t>DS</t>
        </is>
      </c>
      <c r="C6229" s="156" t="inlineStr">
        <is>
          <t>DT-804</t>
        </is>
      </c>
      <c r="D6229" s="156" t="inlineStr">
        <is>
          <t>SKT 80S</t>
        </is>
      </c>
      <c r="E6229" s="156" t="inlineStr">
        <is>
          <t>Hauler</t>
        </is>
      </c>
      <c r="F6229" s="156" t="inlineStr">
        <is>
          <t>Hauling Lumpur dari Washing Plant</t>
        </is>
      </c>
      <c r="G6229" s="182" t="n">
        <v>7.02</v>
      </c>
      <c r="H6229" s="182" t="n">
        <v>0</v>
      </c>
      <c r="I6229" s="182" t="n">
        <v>1.92</v>
      </c>
      <c r="J6229" s="182" t="n">
        <v>1.92</v>
      </c>
      <c r="K6229" s="182" t="n">
        <v>3.06</v>
      </c>
      <c r="L6229" s="182" t="n">
        <v>12</v>
      </c>
      <c r="M6229" s="182" t="n">
        <v>0</v>
      </c>
      <c r="N6229" s="182" t="n">
        <v>0</v>
      </c>
      <c r="O6229" s="183" t="n">
        <v>0</v>
      </c>
      <c r="P6229" s="183" t="n">
        <v>0</v>
      </c>
      <c r="Q6229" s="184" t="n">
        <v>0</v>
      </c>
      <c r="R6229" s="184" t="n">
        <v>0</v>
      </c>
      <c r="S6229" s="183" t="n">
        <v>0</v>
      </c>
      <c r="T6229" s="183" t="n">
        <v>0</v>
      </c>
      <c r="U6229" s="182" t="n">
        <v>0</v>
      </c>
      <c r="V6229" s="182" t="n">
        <v>0</v>
      </c>
      <c r="W6229" s="182" t="n">
        <v>0</v>
      </c>
      <c r="X6229" s="182" t="n">
        <v>1.19</v>
      </c>
      <c r="Y6229" s="182" t="n">
        <v>0</v>
      </c>
      <c r="Z6229" s="182" t="n">
        <v>0</v>
      </c>
      <c r="AA6229" s="182" t="n">
        <v>0</v>
      </c>
      <c r="AB6229" s="182" t="n">
        <v>1.19</v>
      </c>
      <c r="AC6229" s="182" t="n">
        <v>0</v>
      </c>
      <c r="AD6229" s="182" t="n">
        <v>0</v>
      </c>
      <c r="AE6229" s="182" t="n">
        <v>0</v>
      </c>
      <c r="AF6229" s="182" t="n">
        <v>0</v>
      </c>
      <c r="AG6229" s="182" t="n">
        <v>0</v>
      </c>
      <c r="AH6229" s="182" t="n">
        <v>0.59</v>
      </c>
      <c r="AI6229" s="182" t="n">
        <v>0</v>
      </c>
      <c r="AJ6229" s="182" t="n">
        <v>0</v>
      </c>
      <c r="AK6229" s="182" t="n">
        <v>0</v>
      </c>
      <c r="AL6229" s="182" t="n">
        <v>0</v>
      </c>
      <c r="AM6229" s="182" t="n">
        <v>0.09</v>
      </c>
      <c r="AN6229" s="182" t="n">
        <v>0</v>
      </c>
    </row>
    <row r="6230">
      <c r="A6230" s="155" t="n">
        <v>46110</v>
      </c>
      <c r="B6230" s="156" t="inlineStr">
        <is>
          <t>DS</t>
        </is>
      </c>
      <c r="C6230" s="156" t="inlineStr">
        <is>
          <t>DT-505</t>
        </is>
      </c>
      <c r="D6230" s="156" t="inlineStr">
        <is>
          <t>SKT 105S</t>
        </is>
      </c>
      <c r="E6230" s="156" t="inlineStr">
        <is>
          <t>Hauler</t>
        </is>
      </c>
      <c r="F6230" s="156" t="inlineStr">
        <is>
          <t>Hauling Lumpur dari Washing Plant</t>
        </is>
      </c>
      <c r="G6230" s="182" t="n">
        <v>8.01</v>
      </c>
      <c r="H6230" s="182" t="n">
        <v>0</v>
      </c>
      <c r="I6230" s="182" t="n">
        <v>0</v>
      </c>
      <c r="J6230" s="182" t="n">
        <v>0</v>
      </c>
      <c r="K6230" s="182" t="n">
        <v>3.99</v>
      </c>
      <c r="L6230" s="182" t="n">
        <v>12</v>
      </c>
      <c r="M6230" s="182" t="n">
        <v>0</v>
      </c>
      <c r="N6230" s="182" t="n">
        <v>0</v>
      </c>
      <c r="O6230" s="183" t="n">
        <v>0</v>
      </c>
      <c r="P6230" s="183" t="n">
        <v>0</v>
      </c>
      <c r="Q6230" s="184" t="n">
        <v>0</v>
      </c>
      <c r="R6230" s="184" t="n">
        <v>0</v>
      </c>
      <c r="S6230" s="183" t="n">
        <v>0</v>
      </c>
      <c r="T6230" s="183" t="n">
        <v>0</v>
      </c>
      <c r="U6230" s="182" t="n">
        <v>0</v>
      </c>
      <c r="V6230" s="182" t="n">
        <v>0</v>
      </c>
      <c r="W6230" s="182" t="n">
        <v>0</v>
      </c>
      <c r="X6230" s="182" t="n">
        <v>0.95</v>
      </c>
      <c r="Y6230" s="182" t="n">
        <v>0</v>
      </c>
      <c r="Z6230" s="182" t="n">
        <v>0</v>
      </c>
      <c r="AA6230" s="182" t="n">
        <v>0</v>
      </c>
      <c r="AB6230" s="182" t="n">
        <v>0.95</v>
      </c>
      <c r="AC6230" s="182" t="n">
        <v>0</v>
      </c>
      <c r="AD6230" s="182" t="n">
        <v>0</v>
      </c>
      <c r="AE6230" s="182" t="n">
        <v>0</v>
      </c>
      <c r="AF6230" s="182" t="n">
        <v>0</v>
      </c>
      <c r="AG6230" s="182" t="n">
        <v>0</v>
      </c>
      <c r="AH6230" s="182" t="n">
        <v>0</v>
      </c>
      <c r="AI6230" s="182" t="n">
        <v>2.01</v>
      </c>
      <c r="AJ6230" s="182" t="n">
        <v>0</v>
      </c>
      <c r="AK6230" s="182" t="n">
        <v>0</v>
      </c>
      <c r="AL6230" s="182" t="n">
        <v>0</v>
      </c>
      <c r="AM6230" s="182" t="n">
        <v>0.08</v>
      </c>
      <c r="AN6230" s="182" t="n">
        <v>0</v>
      </c>
    </row>
    <row r="6231">
      <c r="A6231" s="155" t="n">
        <v>46110</v>
      </c>
      <c r="B6231" s="156" t="inlineStr">
        <is>
          <t>DS</t>
        </is>
      </c>
      <c r="C6231" s="156" t="inlineStr">
        <is>
          <t>DT-530</t>
        </is>
      </c>
      <c r="D6231" s="156" t="inlineStr">
        <is>
          <t>SKT 105S</t>
        </is>
      </c>
      <c r="E6231" s="156" t="inlineStr">
        <is>
          <t>Hauler</t>
        </is>
      </c>
      <c r="F6231" s="156" t="inlineStr"/>
      <c r="G6231" s="182" t="n">
        <v>0</v>
      </c>
      <c r="H6231" s="182" t="n">
        <v>0</v>
      </c>
      <c r="I6231" s="182" t="n">
        <v>12</v>
      </c>
      <c r="J6231" s="182" t="n">
        <v>12</v>
      </c>
      <c r="K6231" s="182" t="n">
        <v>0</v>
      </c>
      <c r="L6231" s="182" t="n">
        <v>12</v>
      </c>
      <c r="M6231" s="182" t="n">
        <v>0</v>
      </c>
      <c r="N6231" s="182" t="n">
        <v>0</v>
      </c>
      <c r="O6231" s="183" t="n">
        <v>0</v>
      </c>
      <c r="P6231" s="183" t="n">
        <v>0</v>
      </c>
      <c r="Q6231" s="184" t="n">
        <v>0</v>
      </c>
      <c r="R6231" s="184" t="n">
        <v>0</v>
      </c>
      <c r="S6231" s="183" t="n">
        <v>0</v>
      </c>
      <c r="T6231" s="183" t="n">
        <v>0</v>
      </c>
      <c r="U6231" s="182" t="n">
        <v>0</v>
      </c>
      <c r="V6231" s="182" t="n">
        <v>0</v>
      </c>
      <c r="W6231" s="182" t="n">
        <v>0</v>
      </c>
      <c r="X6231" s="182" t="n">
        <v>0</v>
      </c>
      <c r="Y6231" s="182" t="n">
        <v>0</v>
      </c>
      <c r="Z6231" s="182" t="n">
        <v>0</v>
      </c>
      <c r="AA6231" s="182" t="n">
        <v>0</v>
      </c>
      <c r="AB6231" s="182" t="n">
        <v>0</v>
      </c>
      <c r="AC6231" s="182" t="n">
        <v>0</v>
      </c>
      <c r="AD6231" s="182" t="n">
        <v>0</v>
      </c>
      <c r="AE6231" s="182" t="n">
        <v>0</v>
      </c>
      <c r="AF6231" s="182" t="n">
        <v>0</v>
      </c>
      <c r="AG6231" s="182" t="n">
        <v>0</v>
      </c>
      <c r="AH6231" s="182" t="n">
        <v>0</v>
      </c>
      <c r="AI6231" s="182" t="n">
        <v>0</v>
      </c>
      <c r="AJ6231" s="182" t="n">
        <v>0</v>
      </c>
      <c r="AK6231" s="182" t="n">
        <v>0</v>
      </c>
      <c r="AL6231" s="182" t="n">
        <v>0</v>
      </c>
      <c r="AM6231" s="182" t="n">
        <v>0</v>
      </c>
      <c r="AN6231" s="182" t="n">
        <v>0</v>
      </c>
    </row>
    <row r="6232">
      <c r="A6232" s="155" t="n">
        <v>46110</v>
      </c>
      <c r="B6232" s="156" t="inlineStr">
        <is>
          <t>DS</t>
        </is>
      </c>
      <c r="C6232" s="156" t="inlineStr">
        <is>
          <t>DT-525</t>
        </is>
      </c>
      <c r="D6232" s="156" t="inlineStr">
        <is>
          <t>SKT 105S</t>
        </is>
      </c>
      <c r="E6232" s="156" t="inlineStr">
        <is>
          <t>Hauler</t>
        </is>
      </c>
      <c r="F6232" s="156" t="inlineStr"/>
      <c r="G6232" s="182" t="n">
        <v>0</v>
      </c>
      <c r="H6232" s="182" t="n">
        <v>0</v>
      </c>
      <c r="I6232" s="182" t="n">
        <v>12</v>
      </c>
      <c r="J6232" s="182" t="n">
        <v>12</v>
      </c>
      <c r="K6232" s="182" t="n">
        <v>0</v>
      </c>
      <c r="L6232" s="182" t="n">
        <v>12</v>
      </c>
      <c r="M6232" s="182" t="n">
        <v>0</v>
      </c>
      <c r="N6232" s="182" t="n">
        <v>0</v>
      </c>
      <c r="O6232" s="183" t="n">
        <v>0</v>
      </c>
      <c r="P6232" s="183" t="n">
        <v>0</v>
      </c>
      <c r="Q6232" s="184" t="n">
        <v>0</v>
      </c>
      <c r="R6232" s="184" t="n">
        <v>0</v>
      </c>
      <c r="S6232" s="183" t="n">
        <v>0</v>
      </c>
      <c r="T6232" s="183" t="n">
        <v>0</v>
      </c>
      <c r="U6232" s="182" t="n">
        <v>0</v>
      </c>
      <c r="V6232" s="182" t="n">
        <v>0</v>
      </c>
      <c r="W6232" s="182" t="n">
        <v>0</v>
      </c>
      <c r="X6232" s="182" t="n">
        <v>0</v>
      </c>
      <c r="Y6232" s="182" t="n">
        <v>0</v>
      </c>
      <c r="Z6232" s="182" t="n">
        <v>0</v>
      </c>
      <c r="AA6232" s="182" t="n">
        <v>0</v>
      </c>
      <c r="AB6232" s="182" t="n">
        <v>0</v>
      </c>
      <c r="AC6232" s="182" t="n">
        <v>0</v>
      </c>
      <c r="AD6232" s="182" t="n">
        <v>0</v>
      </c>
      <c r="AE6232" s="182" t="n">
        <v>0</v>
      </c>
      <c r="AF6232" s="182" t="n">
        <v>0</v>
      </c>
      <c r="AG6232" s="182" t="n">
        <v>0</v>
      </c>
      <c r="AH6232" s="182" t="n">
        <v>0</v>
      </c>
      <c r="AI6232" s="182" t="n">
        <v>0</v>
      </c>
      <c r="AJ6232" s="182" t="n">
        <v>0</v>
      </c>
      <c r="AK6232" s="182" t="n">
        <v>0</v>
      </c>
      <c r="AL6232" s="182" t="n">
        <v>0</v>
      </c>
      <c r="AM6232" s="182" t="n">
        <v>0</v>
      </c>
      <c r="AN6232" s="182" t="n">
        <v>0</v>
      </c>
    </row>
    <row r="6233">
      <c r="A6233" s="155" t="n">
        <v>46110</v>
      </c>
      <c r="B6233" s="156" t="inlineStr">
        <is>
          <t>DS</t>
        </is>
      </c>
      <c r="C6233" s="156" t="inlineStr">
        <is>
          <t>DT-503</t>
        </is>
      </c>
      <c r="D6233" s="156" t="inlineStr">
        <is>
          <t>SKT 105S</t>
        </is>
      </c>
      <c r="E6233" s="156" t="inlineStr">
        <is>
          <t>Hauler</t>
        </is>
      </c>
      <c r="F6233" s="156" t="inlineStr">
        <is>
          <t>Hauling Lumpur dari Washing Plant</t>
        </is>
      </c>
      <c r="G6233" s="182" t="n">
        <v>7.58</v>
      </c>
      <c r="H6233" s="182" t="n">
        <v>0</v>
      </c>
      <c r="I6233" s="182" t="n">
        <v>0</v>
      </c>
      <c r="J6233" s="182" t="n">
        <v>0</v>
      </c>
      <c r="K6233" s="182" t="n">
        <v>4.42</v>
      </c>
      <c r="L6233" s="182" t="n">
        <v>12</v>
      </c>
      <c r="M6233" s="182" t="n">
        <v>0</v>
      </c>
      <c r="N6233" s="182" t="n">
        <v>0</v>
      </c>
      <c r="O6233" s="183" t="n">
        <v>0</v>
      </c>
      <c r="P6233" s="183" t="n">
        <v>0</v>
      </c>
      <c r="Q6233" s="184" t="n">
        <v>0</v>
      </c>
      <c r="R6233" s="184" t="n">
        <v>0</v>
      </c>
      <c r="S6233" s="183" t="n">
        <v>0</v>
      </c>
      <c r="T6233" s="183" t="n">
        <v>0</v>
      </c>
      <c r="U6233" s="182" t="n">
        <v>0</v>
      </c>
      <c r="V6233" s="182" t="n">
        <v>0</v>
      </c>
      <c r="W6233" s="182" t="n">
        <v>0</v>
      </c>
      <c r="X6233" s="182" t="n">
        <v>1</v>
      </c>
      <c r="Y6233" s="182" t="n">
        <v>0</v>
      </c>
      <c r="Z6233" s="182" t="n">
        <v>0</v>
      </c>
      <c r="AA6233" s="182" t="n">
        <v>0</v>
      </c>
      <c r="AB6233" s="182" t="n">
        <v>1</v>
      </c>
      <c r="AC6233" s="182" t="n">
        <v>0</v>
      </c>
      <c r="AD6233" s="182" t="n">
        <v>0</v>
      </c>
      <c r="AE6233" s="182" t="n">
        <v>0</v>
      </c>
      <c r="AF6233" s="182" t="n">
        <v>0</v>
      </c>
      <c r="AG6233" s="182" t="n">
        <v>0</v>
      </c>
      <c r="AH6233" s="182" t="n">
        <v>0</v>
      </c>
      <c r="AI6233" s="182" t="n">
        <v>2.33</v>
      </c>
      <c r="AJ6233" s="182" t="n">
        <v>0</v>
      </c>
      <c r="AK6233" s="182" t="n">
        <v>0</v>
      </c>
      <c r="AL6233" s="182" t="n">
        <v>0</v>
      </c>
      <c r="AM6233" s="182" t="n">
        <v>0.08</v>
      </c>
      <c r="AN6233" s="182" t="n">
        <v>0</v>
      </c>
    </row>
    <row r="6234">
      <c r="A6234" s="155" t="n">
        <v>46110</v>
      </c>
      <c r="B6234" s="156" t="inlineStr">
        <is>
          <t>DS</t>
        </is>
      </c>
      <c r="C6234" s="156" t="inlineStr">
        <is>
          <t>DT-504</t>
        </is>
      </c>
      <c r="D6234" s="156" t="inlineStr">
        <is>
          <t>SKT 105S</t>
        </is>
      </c>
      <c r="E6234" s="156" t="inlineStr">
        <is>
          <t>Hauler</t>
        </is>
      </c>
      <c r="F6234" s="156" t="inlineStr">
        <is>
          <t>Hauling OB</t>
        </is>
      </c>
      <c r="G6234" s="182" t="n">
        <v>2.9</v>
      </c>
      <c r="H6234" s="182" t="n">
        <v>5.5</v>
      </c>
      <c r="I6234" s="182" t="n">
        <v>0</v>
      </c>
      <c r="J6234" s="182" t="n">
        <v>5.5</v>
      </c>
      <c r="K6234" s="182" t="n">
        <v>3.6</v>
      </c>
      <c r="L6234" s="182" t="n">
        <v>12</v>
      </c>
      <c r="M6234" s="182" t="n">
        <v>2.9</v>
      </c>
      <c r="N6234" s="182" t="n">
        <v>0</v>
      </c>
      <c r="O6234" s="183" t="n">
        <v>3</v>
      </c>
      <c r="P6234" s="183" t="n">
        <v>0</v>
      </c>
      <c r="Q6234" s="184" t="n">
        <v>61.2</v>
      </c>
      <c r="R6234" s="184" t="n">
        <v>0</v>
      </c>
      <c r="S6234" s="183" t="n">
        <v>0</v>
      </c>
      <c r="T6234" s="183" t="n">
        <v>0</v>
      </c>
      <c r="U6234" s="182" t="n">
        <v>0</v>
      </c>
      <c r="V6234" s="182" t="n">
        <v>0</v>
      </c>
      <c r="W6234" s="182" t="n">
        <v>0</v>
      </c>
      <c r="X6234" s="182" t="n">
        <v>0.97</v>
      </c>
      <c r="Y6234" s="182" t="n">
        <v>0</v>
      </c>
      <c r="Z6234" s="182" t="n">
        <v>0</v>
      </c>
      <c r="AA6234" s="182" t="n">
        <v>0</v>
      </c>
      <c r="AB6234" s="182" t="n">
        <v>0.97</v>
      </c>
      <c r="AC6234" s="182" t="n">
        <v>0</v>
      </c>
      <c r="AD6234" s="182" t="n">
        <v>0</v>
      </c>
      <c r="AE6234" s="182" t="n">
        <v>0</v>
      </c>
      <c r="AF6234" s="182" t="n">
        <v>0</v>
      </c>
      <c r="AG6234" s="182" t="n">
        <v>0.78</v>
      </c>
      <c r="AH6234" s="182" t="n">
        <v>0.8</v>
      </c>
      <c r="AI6234" s="182" t="n">
        <v>0</v>
      </c>
      <c r="AJ6234" s="182" t="n">
        <v>0</v>
      </c>
      <c r="AK6234" s="182" t="n">
        <v>0</v>
      </c>
      <c r="AL6234" s="182" t="n">
        <v>0</v>
      </c>
      <c r="AM6234" s="182" t="n">
        <v>0.08</v>
      </c>
      <c r="AN6234" s="182" t="n">
        <v>0</v>
      </c>
    </row>
    <row r="6235">
      <c r="A6235" s="155" t="n">
        <v>46110</v>
      </c>
      <c r="B6235" s="156" t="inlineStr">
        <is>
          <t>DS</t>
        </is>
      </c>
      <c r="C6235" s="156" t="inlineStr">
        <is>
          <t>DT-507</t>
        </is>
      </c>
      <c r="D6235" s="156" t="inlineStr">
        <is>
          <t>SKT 105S</t>
        </is>
      </c>
      <c r="E6235" s="156" t="inlineStr">
        <is>
          <t>Hauler</t>
        </is>
      </c>
      <c r="F6235" s="156" t="inlineStr"/>
      <c r="G6235" s="182" t="n">
        <v>0</v>
      </c>
      <c r="H6235" s="182" t="n">
        <v>0</v>
      </c>
      <c r="I6235" s="182" t="n">
        <v>12</v>
      </c>
      <c r="J6235" s="182" t="n">
        <v>12</v>
      </c>
      <c r="K6235" s="182" t="n">
        <v>0</v>
      </c>
      <c r="L6235" s="182" t="n">
        <v>12</v>
      </c>
      <c r="M6235" s="182" t="n">
        <v>0</v>
      </c>
      <c r="N6235" s="182" t="n">
        <v>0</v>
      </c>
      <c r="O6235" s="183" t="n">
        <v>0</v>
      </c>
      <c r="P6235" s="183" t="n">
        <v>0</v>
      </c>
      <c r="Q6235" s="184" t="n">
        <v>0</v>
      </c>
      <c r="R6235" s="184" t="n">
        <v>0</v>
      </c>
      <c r="S6235" s="183" t="n">
        <v>0</v>
      </c>
      <c r="T6235" s="183" t="n">
        <v>0</v>
      </c>
      <c r="U6235" s="182" t="n">
        <v>0</v>
      </c>
      <c r="V6235" s="182" t="n">
        <v>0</v>
      </c>
      <c r="W6235" s="182" t="n">
        <v>0</v>
      </c>
      <c r="X6235" s="182" t="n">
        <v>0</v>
      </c>
      <c r="Y6235" s="182" t="n">
        <v>0</v>
      </c>
      <c r="Z6235" s="182" t="n">
        <v>0</v>
      </c>
      <c r="AA6235" s="182" t="n">
        <v>0</v>
      </c>
      <c r="AB6235" s="182" t="n">
        <v>0</v>
      </c>
      <c r="AC6235" s="182" t="n">
        <v>0</v>
      </c>
      <c r="AD6235" s="182" t="n">
        <v>0</v>
      </c>
      <c r="AE6235" s="182" t="n">
        <v>0</v>
      </c>
      <c r="AF6235" s="182" t="n">
        <v>0</v>
      </c>
      <c r="AG6235" s="182" t="n">
        <v>0</v>
      </c>
      <c r="AH6235" s="182" t="n">
        <v>0</v>
      </c>
      <c r="AI6235" s="182" t="n">
        <v>0</v>
      </c>
      <c r="AJ6235" s="182" t="n">
        <v>0</v>
      </c>
      <c r="AK6235" s="182" t="n">
        <v>0</v>
      </c>
      <c r="AL6235" s="182" t="n">
        <v>0</v>
      </c>
      <c r="AM6235" s="182" t="n">
        <v>0</v>
      </c>
      <c r="AN6235" s="182" t="n">
        <v>0</v>
      </c>
    </row>
    <row r="6236">
      <c r="A6236" s="155" t="n">
        <v>46110</v>
      </c>
      <c r="B6236" s="156" t="inlineStr">
        <is>
          <t>DS</t>
        </is>
      </c>
      <c r="C6236" s="156" t="inlineStr">
        <is>
          <t>DT-501</t>
        </is>
      </c>
      <c r="D6236" s="156" t="inlineStr">
        <is>
          <t>SKT 105S</t>
        </is>
      </c>
      <c r="E6236" s="156" t="inlineStr">
        <is>
          <t>Hauler</t>
        </is>
      </c>
      <c r="F6236" s="156" t="inlineStr">
        <is>
          <t>Hauling OB</t>
        </is>
      </c>
      <c r="G6236" s="182" t="n">
        <v>6.7</v>
      </c>
      <c r="H6236" s="182" t="n">
        <v>0</v>
      </c>
      <c r="I6236" s="182" t="n">
        <v>0</v>
      </c>
      <c r="J6236" s="182" t="n">
        <v>0</v>
      </c>
      <c r="K6236" s="182" t="n">
        <v>5.3</v>
      </c>
      <c r="L6236" s="182" t="n">
        <v>12</v>
      </c>
      <c r="M6236" s="182" t="n">
        <v>6.7</v>
      </c>
      <c r="N6236" s="182" t="n">
        <v>0</v>
      </c>
      <c r="O6236" s="183" t="n">
        <v>21</v>
      </c>
      <c r="P6236" s="183" t="n">
        <v>0</v>
      </c>
      <c r="Q6236" s="184" t="n">
        <v>428.4</v>
      </c>
      <c r="R6236" s="184" t="n">
        <v>0</v>
      </c>
      <c r="S6236" s="183" t="n">
        <v>0</v>
      </c>
      <c r="T6236" s="183" t="n">
        <v>0</v>
      </c>
      <c r="U6236" s="182" t="n">
        <v>0</v>
      </c>
      <c r="V6236" s="182" t="n">
        <v>0</v>
      </c>
      <c r="W6236" s="182" t="n">
        <v>0</v>
      </c>
      <c r="X6236" s="182" t="n">
        <v>1.08</v>
      </c>
      <c r="Y6236" s="182" t="n">
        <v>0</v>
      </c>
      <c r="Z6236" s="182" t="n">
        <v>0</v>
      </c>
      <c r="AA6236" s="182" t="n">
        <v>0</v>
      </c>
      <c r="AB6236" s="182" t="n">
        <v>1.08</v>
      </c>
      <c r="AC6236" s="182" t="n">
        <v>0</v>
      </c>
      <c r="AD6236" s="182" t="n">
        <v>0</v>
      </c>
      <c r="AE6236" s="182" t="n">
        <v>0</v>
      </c>
      <c r="AF6236" s="182" t="n">
        <v>0</v>
      </c>
      <c r="AG6236" s="182" t="n">
        <v>0</v>
      </c>
      <c r="AH6236" s="182" t="n">
        <v>0</v>
      </c>
      <c r="AI6236" s="182" t="n">
        <v>3.05</v>
      </c>
      <c r="AJ6236" s="182" t="n">
        <v>0</v>
      </c>
      <c r="AK6236" s="182" t="n">
        <v>0</v>
      </c>
      <c r="AL6236" s="182" t="n">
        <v>0</v>
      </c>
      <c r="AM6236" s="182" t="n">
        <v>0.09</v>
      </c>
      <c r="AN6236" s="182" t="n">
        <v>0</v>
      </c>
    </row>
    <row r="6237">
      <c r="A6237" s="155" t="n">
        <v>46110</v>
      </c>
      <c r="B6237" s="156" t="inlineStr">
        <is>
          <t>DS</t>
        </is>
      </c>
      <c r="C6237" s="156" t="inlineStr">
        <is>
          <t>DT-518</t>
        </is>
      </c>
      <c r="D6237" s="156" t="inlineStr">
        <is>
          <t>SKT 105S</t>
        </is>
      </c>
      <c r="E6237" s="156" t="inlineStr">
        <is>
          <t>Hauler</t>
        </is>
      </c>
      <c r="F6237" s="156" t="inlineStr">
        <is>
          <t>Hauling OB</t>
        </is>
      </c>
      <c r="G6237" s="182" t="n">
        <v>4.23</v>
      </c>
      <c r="H6237" s="182" t="n">
        <v>0</v>
      </c>
      <c r="I6237" s="182" t="n">
        <v>1</v>
      </c>
      <c r="J6237" s="182" t="n">
        <v>1</v>
      </c>
      <c r="K6237" s="182" t="n">
        <v>6.77</v>
      </c>
      <c r="L6237" s="182" t="n">
        <v>12</v>
      </c>
      <c r="M6237" s="182" t="n">
        <v>4.23</v>
      </c>
      <c r="N6237" s="182" t="n">
        <v>0</v>
      </c>
      <c r="O6237" s="183" t="n">
        <v>7</v>
      </c>
      <c r="P6237" s="183" t="n">
        <v>0</v>
      </c>
      <c r="Q6237" s="184" t="n">
        <v>142.8</v>
      </c>
      <c r="R6237" s="184" t="n">
        <v>0</v>
      </c>
      <c r="S6237" s="183" t="n">
        <v>0</v>
      </c>
      <c r="T6237" s="183" t="n">
        <v>0</v>
      </c>
      <c r="U6237" s="182" t="n">
        <v>0</v>
      </c>
      <c r="V6237" s="182" t="n">
        <v>0</v>
      </c>
      <c r="W6237" s="182" t="n">
        <v>0</v>
      </c>
      <c r="X6237" s="182" t="n">
        <v>1.03</v>
      </c>
      <c r="Y6237" s="182" t="n">
        <v>0</v>
      </c>
      <c r="Z6237" s="182" t="n">
        <v>0</v>
      </c>
      <c r="AA6237" s="182" t="n">
        <v>0</v>
      </c>
      <c r="AB6237" s="182" t="n">
        <v>1.03</v>
      </c>
      <c r="AC6237" s="182" t="n">
        <v>0</v>
      </c>
      <c r="AD6237" s="182" t="n">
        <v>0</v>
      </c>
      <c r="AE6237" s="182" t="n">
        <v>0</v>
      </c>
      <c r="AF6237" s="182" t="n">
        <v>0</v>
      </c>
      <c r="AG6237" s="182" t="n">
        <v>0</v>
      </c>
      <c r="AH6237" s="182" t="n">
        <v>0</v>
      </c>
      <c r="AI6237" s="182" t="n">
        <v>4.64</v>
      </c>
      <c r="AJ6237" s="182" t="n">
        <v>0</v>
      </c>
      <c r="AK6237" s="182" t="n">
        <v>0</v>
      </c>
      <c r="AL6237" s="182" t="n">
        <v>0</v>
      </c>
      <c r="AM6237" s="182" t="n">
        <v>0.08</v>
      </c>
      <c r="AN6237" s="182" t="n">
        <v>0</v>
      </c>
    </row>
    <row r="6238">
      <c r="A6238" s="155" t="n">
        <v>46110</v>
      </c>
      <c r="B6238" s="156" t="inlineStr">
        <is>
          <t>DS</t>
        </is>
      </c>
      <c r="C6238" s="156" t="inlineStr">
        <is>
          <t>DT-514</t>
        </is>
      </c>
      <c r="D6238" s="156" t="inlineStr">
        <is>
          <t>SKT 105S</t>
        </is>
      </c>
      <c r="E6238" s="156" t="inlineStr">
        <is>
          <t>Hauler</t>
        </is>
      </c>
      <c r="F6238" s="156" t="inlineStr">
        <is>
          <t>Hauling Coal</t>
        </is>
      </c>
      <c r="G6238" s="182" t="n">
        <v>4.9</v>
      </c>
      <c r="H6238" s="182" t="n">
        <v>0</v>
      </c>
      <c r="I6238" s="182" t="n">
        <v>0</v>
      </c>
      <c r="J6238" s="182" t="n">
        <v>0</v>
      </c>
      <c r="K6238" s="182" t="n">
        <v>7.1</v>
      </c>
      <c r="L6238" s="182" t="n">
        <v>12</v>
      </c>
      <c r="M6238" s="182" t="n">
        <v>0</v>
      </c>
      <c r="N6238" s="182" t="n">
        <v>4.9</v>
      </c>
      <c r="O6238" s="183" t="n">
        <v>0</v>
      </c>
      <c r="P6238" s="183" t="n">
        <v>11</v>
      </c>
      <c r="Q6238" s="184" t="n">
        <v>0</v>
      </c>
      <c r="R6238" s="184" t="n">
        <v>205.7</v>
      </c>
      <c r="S6238" s="183" t="n">
        <v>0</v>
      </c>
      <c r="T6238" s="183" t="n">
        <v>0</v>
      </c>
      <c r="U6238" s="182" t="n">
        <v>0</v>
      </c>
      <c r="V6238" s="182" t="n">
        <v>0</v>
      </c>
      <c r="W6238" s="182" t="n">
        <v>0</v>
      </c>
      <c r="X6238" s="182" t="n">
        <v>1.09</v>
      </c>
      <c r="Y6238" s="182" t="n">
        <v>0</v>
      </c>
      <c r="Z6238" s="182" t="n">
        <v>0</v>
      </c>
      <c r="AA6238" s="182" t="n">
        <v>0</v>
      </c>
      <c r="AB6238" s="182" t="n">
        <v>1.09</v>
      </c>
      <c r="AC6238" s="182" t="n">
        <v>0</v>
      </c>
      <c r="AD6238" s="182" t="n">
        <v>0</v>
      </c>
      <c r="AE6238" s="182" t="n">
        <v>0</v>
      </c>
      <c r="AF6238" s="182" t="n">
        <v>0</v>
      </c>
      <c r="AG6238" s="182" t="n">
        <v>0</v>
      </c>
      <c r="AH6238" s="182" t="n">
        <v>0</v>
      </c>
      <c r="AI6238" s="182" t="n">
        <v>4.83</v>
      </c>
      <c r="AJ6238" s="182" t="n">
        <v>0</v>
      </c>
      <c r="AK6238" s="182" t="n">
        <v>0</v>
      </c>
      <c r="AL6238" s="182" t="n">
        <v>0</v>
      </c>
      <c r="AM6238" s="182" t="n">
        <v>0.09</v>
      </c>
      <c r="AN6238" s="182" t="n">
        <v>0</v>
      </c>
    </row>
    <row r="6239">
      <c r="A6239" s="155" t="n">
        <v>46110</v>
      </c>
      <c r="B6239" s="156" t="inlineStr">
        <is>
          <t>DS</t>
        </is>
      </c>
      <c r="C6239" s="156" t="inlineStr">
        <is>
          <t>DT-523</t>
        </is>
      </c>
      <c r="D6239" s="156" t="inlineStr">
        <is>
          <t>SKT 105S</t>
        </is>
      </c>
      <c r="E6239" s="156" t="inlineStr">
        <is>
          <t>Hauler</t>
        </is>
      </c>
      <c r="F6239" s="156" t="inlineStr">
        <is>
          <t>Hauling OB &amp; Coal</t>
        </is>
      </c>
      <c r="G6239" s="182" t="n">
        <v>4.31</v>
      </c>
      <c r="H6239" s="182" t="n">
        <v>0</v>
      </c>
      <c r="I6239" s="182" t="n">
        <v>1</v>
      </c>
      <c r="J6239" s="182" t="n">
        <v>1</v>
      </c>
      <c r="K6239" s="182" t="n">
        <v>6.69</v>
      </c>
      <c r="L6239" s="182" t="n">
        <v>12</v>
      </c>
      <c r="M6239" s="182" t="n">
        <v>3.89</v>
      </c>
      <c r="N6239" s="182" t="n">
        <v>0.42</v>
      </c>
      <c r="O6239" s="183" t="n">
        <v>6</v>
      </c>
      <c r="P6239" s="183" t="n">
        <v>1</v>
      </c>
      <c r="Q6239" s="184" t="n">
        <v>122.4</v>
      </c>
      <c r="R6239" s="184" t="n">
        <v>18.7</v>
      </c>
      <c r="S6239" s="183" t="n">
        <v>0</v>
      </c>
      <c r="T6239" s="183" t="n">
        <v>0</v>
      </c>
      <c r="U6239" s="182" t="n">
        <v>0</v>
      </c>
      <c r="V6239" s="182" t="n">
        <v>0</v>
      </c>
      <c r="W6239" s="182" t="n">
        <v>0</v>
      </c>
      <c r="X6239" s="182" t="n">
        <v>1</v>
      </c>
      <c r="Y6239" s="182" t="n">
        <v>0</v>
      </c>
      <c r="Z6239" s="182" t="n">
        <v>0</v>
      </c>
      <c r="AA6239" s="182" t="n">
        <v>0</v>
      </c>
      <c r="AB6239" s="182" t="n">
        <v>1</v>
      </c>
      <c r="AC6239" s="182" t="n">
        <v>0</v>
      </c>
      <c r="AD6239" s="182" t="n">
        <v>0</v>
      </c>
      <c r="AE6239" s="182" t="n">
        <v>0</v>
      </c>
      <c r="AF6239" s="182" t="n">
        <v>0</v>
      </c>
      <c r="AG6239" s="182" t="n">
        <v>0</v>
      </c>
      <c r="AH6239" s="182" t="n">
        <v>0</v>
      </c>
      <c r="AI6239" s="182" t="n">
        <v>4.61</v>
      </c>
      <c r="AJ6239" s="182" t="n">
        <v>0</v>
      </c>
      <c r="AK6239" s="182" t="n">
        <v>0</v>
      </c>
      <c r="AL6239" s="182" t="n">
        <v>0</v>
      </c>
      <c r="AM6239" s="182" t="n">
        <v>0.08</v>
      </c>
      <c r="AN6239" s="182" t="n">
        <v>0</v>
      </c>
    </row>
    <row r="6240">
      <c r="A6240" s="155" t="n">
        <v>46110</v>
      </c>
      <c r="B6240" s="156" t="inlineStr">
        <is>
          <t>DS</t>
        </is>
      </c>
      <c r="C6240" s="156" t="inlineStr">
        <is>
          <t>DT-519</t>
        </is>
      </c>
      <c r="D6240" s="156" t="inlineStr">
        <is>
          <t>SKT 105S</t>
        </is>
      </c>
      <c r="E6240" s="156" t="inlineStr">
        <is>
          <t>Hauler</t>
        </is>
      </c>
      <c r="F6240" s="156" t="inlineStr">
        <is>
          <t>Hauling OB</t>
        </is>
      </c>
      <c r="G6240" s="182" t="n">
        <v>9.220000000000001</v>
      </c>
      <c r="H6240" s="182" t="n">
        <v>0</v>
      </c>
      <c r="I6240" s="182" t="n">
        <v>0</v>
      </c>
      <c r="J6240" s="182" t="n">
        <v>0</v>
      </c>
      <c r="K6240" s="182" t="n">
        <v>2.78</v>
      </c>
      <c r="L6240" s="182" t="n">
        <v>12</v>
      </c>
      <c r="M6240" s="182" t="n">
        <v>9.220000000000001</v>
      </c>
      <c r="N6240" s="182" t="n">
        <v>0</v>
      </c>
      <c r="O6240" s="183" t="n">
        <v>26</v>
      </c>
      <c r="P6240" s="183" t="n">
        <v>0</v>
      </c>
      <c r="Q6240" s="184" t="n">
        <v>530.4</v>
      </c>
      <c r="R6240" s="184" t="n">
        <v>0</v>
      </c>
      <c r="S6240" s="183" t="n">
        <v>0</v>
      </c>
      <c r="T6240" s="183" t="n">
        <v>0</v>
      </c>
      <c r="U6240" s="182" t="n">
        <v>0</v>
      </c>
      <c r="V6240" s="182" t="n">
        <v>0</v>
      </c>
      <c r="W6240" s="182" t="n">
        <v>0</v>
      </c>
      <c r="X6240" s="182" t="n">
        <v>0.99</v>
      </c>
      <c r="Y6240" s="182" t="n">
        <v>0</v>
      </c>
      <c r="Z6240" s="182" t="n">
        <v>0</v>
      </c>
      <c r="AA6240" s="182" t="n">
        <v>0</v>
      </c>
      <c r="AB6240" s="182" t="n">
        <v>0.99</v>
      </c>
      <c r="AC6240" s="182" t="n">
        <v>0</v>
      </c>
      <c r="AD6240" s="182" t="n">
        <v>0</v>
      </c>
      <c r="AE6240" s="182" t="n">
        <v>0</v>
      </c>
      <c r="AF6240" s="182" t="n">
        <v>0</v>
      </c>
      <c r="AG6240" s="182" t="n">
        <v>0</v>
      </c>
      <c r="AH6240" s="182" t="n">
        <v>0.71</v>
      </c>
      <c r="AI6240" s="182" t="n">
        <v>0</v>
      </c>
      <c r="AJ6240" s="182" t="n">
        <v>0</v>
      </c>
      <c r="AK6240" s="182" t="n">
        <v>0</v>
      </c>
      <c r="AL6240" s="182" t="n">
        <v>0</v>
      </c>
      <c r="AM6240" s="182" t="n">
        <v>0.08</v>
      </c>
      <c r="AN6240" s="182" t="n">
        <v>0</v>
      </c>
    </row>
    <row r="6241">
      <c r="A6241" s="155" t="n">
        <v>46110</v>
      </c>
      <c r="B6241" s="156" t="inlineStr">
        <is>
          <t>DS</t>
        </is>
      </c>
      <c r="C6241" s="156" t="inlineStr">
        <is>
          <t>DT-527</t>
        </is>
      </c>
      <c r="D6241" s="156" t="inlineStr">
        <is>
          <t>SKT 105S</t>
        </is>
      </c>
      <c r="E6241" s="156" t="inlineStr">
        <is>
          <t>Hauler</t>
        </is>
      </c>
      <c r="F6241" s="156" t="inlineStr"/>
      <c r="G6241" s="182" t="n">
        <v>0</v>
      </c>
      <c r="H6241" s="182" t="n">
        <v>12</v>
      </c>
      <c r="I6241" s="182" t="n">
        <v>0</v>
      </c>
      <c r="J6241" s="182" t="n">
        <v>12</v>
      </c>
      <c r="K6241" s="182" t="n">
        <v>0</v>
      </c>
      <c r="L6241" s="182" t="n">
        <v>12</v>
      </c>
      <c r="M6241" s="182" t="n">
        <v>0</v>
      </c>
      <c r="N6241" s="182" t="n">
        <v>0</v>
      </c>
      <c r="O6241" s="183" t="n">
        <v>0</v>
      </c>
      <c r="P6241" s="183" t="n">
        <v>0</v>
      </c>
      <c r="Q6241" s="184" t="n">
        <v>0</v>
      </c>
      <c r="R6241" s="184" t="n">
        <v>0</v>
      </c>
      <c r="S6241" s="183" t="n">
        <v>0</v>
      </c>
      <c r="T6241" s="183" t="n">
        <v>0</v>
      </c>
      <c r="U6241" s="182" t="n">
        <v>0</v>
      </c>
      <c r="V6241" s="182" t="n">
        <v>0</v>
      </c>
      <c r="W6241" s="182" t="n">
        <v>0</v>
      </c>
      <c r="X6241" s="182" t="n">
        <v>0</v>
      </c>
      <c r="Y6241" s="182" t="n">
        <v>0</v>
      </c>
      <c r="Z6241" s="182" t="n">
        <v>0</v>
      </c>
      <c r="AA6241" s="182" t="n">
        <v>0</v>
      </c>
      <c r="AB6241" s="182" t="n">
        <v>0</v>
      </c>
      <c r="AC6241" s="182" t="n">
        <v>0</v>
      </c>
      <c r="AD6241" s="182" t="n">
        <v>0</v>
      </c>
      <c r="AE6241" s="182" t="n">
        <v>0</v>
      </c>
      <c r="AF6241" s="182" t="n">
        <v>0</v>
      </c>
      <c r="AG6241" s="182" t="n">
        <v>0</v>
      </c>
      <c r="AH6241" s="182" t="n">
        <v>0</v>
      </c>
      <c r="AI6241" s="182" t="n">
        <v>0</v>
      </c>
      <c r="AJ6241" s="182" t="n">
        <v>0</v>
      </c>
      <c r="AK6241" s="182" t="n">
        <v>0</v>
      </c>
      <c r="AL6241" s="182" t="n">
        <v>0</v>
      </c>
      <c r="AM6241" s="182" t="n">
        <v>0</v>
      </c>
      <c r="AN6241" s="182" t="n">
        <v>0</v>
      </c>
    </row>
    <row r="6242">
      <c r="A6242" s="155" t="n">
        <v>46110</v>
      </c>
      <c r="B6242" s="156" t="inlineStr">
        <is>
          <t>DS</t>
        </is>
      </c>
      <c r="C6242" s="156" t="inlineStr">
        <is>
          <t>DT-513</t>
        </is>
      </c>
      <c r="D6242" s="156" t="inlineStr">
        <is>
          <t>SKT 105S</t>
        </is>
      </c>
      <c r="E6242" s="156" t="inlineStr">
        <is>
          <t>Hauler</t>
        </is>
      </c>
      <c r="F6242" s="156" t="inlineStr"/>
      <c r="G6242" s="182" t="n">
        <v>0</v>
      </c>
      <c r="H6242" s="182" t="n">
        <v>0</v>
      </c>
      <c r="I6242" s="182" t="n">
        <v>12</v>
      </c>
      <c r="J6242" s="182" t="n">
        <v>12</v>
      </c>
      <c r="K6242" s="182" t="n">
        <v>0</v>
      </c>
      <c r="L6242" s="182" t="n">
        <v>12</v>
      </c>
      <c r="M6242" s="182" t="n">
        <v>0</v>
      </c>
      <c r="N6242" s="182" t="n">
        <v>0</v>
      </c>
      <c r="O6242" s="183" t="n">
        <v>0</v>
      </c>
      <c r="P6242" s="183" t="n">
        <v>0</v>
      </c>
      <c r="Q6242" s="184" t="n">
        <v>0</v>
      </c>
      <c r="R6242" s="184" t="n">
        <v>0</v>
      </c>
      <c r="S6242" s="183" t="n">
        <v>0</v>
      </c>
      <c r="T6242" s="183" t="n">
        <v>0</v>
      </c>
      <c r="U6242" s="182" t="n">
        <v>0</v>
      </c>
      <c r="V6242" s="182" t="n">
        <v>0</v>
      </c>
      <c r="W6242" s="182" t="n">
        <v>0</v>
      </c>
      <c r="X6242" s="182" t="n">
        <v>0</v>
      </c>
      <c r="Y6242" s="182" t="n">
        <v>0</v>
      </c>
      <c r="Z6242" s="182" t="n">
        <v>0</v>
      </c>
      <c r="AA6242" s="182" t="n">
        <v>0</v>
      </c>
      <c r="AB6242" s="182" t="n">
        <v>0</v>
      </c>
      <c r="AC6242" s="182" t="n">
        <v>0</v>
      </c>
      <c r="AD6242" s="182" t="n">
        <v>0</v>
      </c>
      <c r="AE6242" s="182" t="n">
        <v>0</v>
      </c>
      <c r="AF6242" s="182" t="n">
        <v>0</v>
      </c>
      <c r="AG6242" s="182" t="n">
        <v>0</v>
      </c>
      <c r="AH6242" s="182" t="n">
        <v>0</v>
      </c>
      <c r="AI6242" s="182" t="n">
        <v>0</v>
      </c>
      <c r="AJ6242" s="182" t="n">
        <v>0</v>
      </c>
      <c r="AK6242" s="182" t="n">
        <v>0</v>
      </c>
      <c r="AL6242" s="182" t="n">
        <v>0</v>
      </c>
      <c r="AM6242" s="182" t="n">
        <v>0</v>
      </c>
      <c r="AN6242" s="182" t="n">
        <v>0</v>
      </c>
    </row>
    <row r="6243">
      <c r="A6243" s="155" t="n">
        <v>46110</v>
      </c>
      <c r="B6243" s="156" t="inlineStr">
        <is>
          <t>DS</t>
        </is>
      </c>
      <c r="C6243" s="156" t="inlineStr">
        <is>
          <t>DT-512</t>
        </is>
      </c>
      <c r="D6243" s="156" t="inlineStr">
        <is>
          <t>SKT 105S</t>
        </is>
      </c>
      <c r="E6243" s="156" t="inlineStr">
        <is>
          <t>Hauler</t>
        </is>
      </c>
      <c r="F6243" s="156" t="inlineStr">
        <is>
          <t>Hauling OB</t>
        </is>
      </c>
      <c r="G6243" s="182" t="n">
        <v>8.279999999999999</v>
      </c>
      <c r="H6243" s="182" t="n">
        <v>0</v>
      </c>
      <c r="I6243" s="182" t="n">
        <v>0</v>
      </c>
      <c r="J6243" s="182" t="n">
        <v>0</v>
      </c>
      <c r="K6243" s="182" t="n">
        <v>3.72</v>
      </c>
      <c r="L6243" s="182" t="n">
        <v>12</v>
      </c>
      <c r="M6243" s="182" t="n">
        <v>8.279999999999999</v>
      </c>
      <c r="N6243" s="182" t="n">
        <v>0</v>
      </c>
      <c r="O6243" s="183" t="n">
        <v>19</v>
      </c>
      <c r="P6243" s="183" t="n">
        <v>0</v>
      </c>
      <c r="Q6243" s="184" t="n">
        <v>387.6</v>
      </c>
      <c r="R6243" s="184" t="n">
        <v>0</v>
      </c>
      <c r="S6243" s="183" t="n">
        <v>0</v>
      </c>
      <c r="T6243" s="183" t="n">
        <v>0</v>
      </c>
      <c r="U6243" s="182" t="n">
        <v>0</v>
      </c>
      <c r="V6243" s="182" t="n">
        <v>0</v>
      </c>
      <c r="W6243" s="182" t="n">
        <v>0</v>
      </c>
      <c r="X6243" s="182" t="n">
        <v>1.03</v>
      </c>
      <c r="Y6243" s="182" t="n">
        <v>0</v>
      </c>
      <c r="Z6243" s="182" t="n">
        <v>0</v>
      </c>
      <c r="AA6243" s="182" t="n">
        <v>0</v>
      </c>
      <c r="AB6243" s="182" t="n">
        <v>1.03</v>
      </c>
      <c r="AC6243" s="182" t="n">
        <v>0</v>
      </c>
      <c r="AD6243" s="182" t="n">
        <v>0</v>
      </c>
      <c r="AE6243" s="182" t="n">
        <v>0</v>
      </c>
      <c r="AF6243" s="182" t="n">
        <v>0</v>
      </c>
      <c r="AG6243" s="182" t="n">
        <v>0.83</v>
      </c>
      <c r="AH6243" s="182" t="n">
        <v>0.74</v>
      </c>
      <c r="AI6243" s="182" t="n">
        <v>0</v>
      </c>
      <c r="AJ6243" s="182" t="n">
        <v>0</v>
      </c>
      <c r="AK6243" s="182" t="n">
        <v>0</v>
      </c>
      <c r="AL6243" s="182" t="n">
        <v>0</v>
      </c>
      <c r="AM6243" s="182" t="n">
        <v>0.08</v>
      </c>
      <c r="AN6243" s="182" t="n">
        <v>0</v>
      </c>
    </row>
    <row r="6244">
      <c r="A6244" s="155" t="n">
        <v>46110</v>
      </c>
      <c r="B6244" s="156" t="inlineStr">
        <is>
          <t>DS</t>
        </is>
      </c>
      <c r="C6244" s="156" t="inlineStr">
        <is>
          <t>DT-522</t>
        </is>
      </c>
      <c r="D6244" s="156" t="inlineStr">
        <is>
          <t>SKT 105S</t>
        </is>
      </c>
      <c r="E6244" s="156" t="inlineStr">
        <is>
          <t>Hauler</t>
        </is>
      </c>
      <c r="F6244" s="156" t="inlineStr">
        <is>
          <t>Hauling OB</t>
        </is>
      </c>
      <c r="G6244" s="182" t="n">
        <v>8.68</v>
      </c>
      <c r="H6244" s="182" t="n">
        <v>0</v>
      </c>
      <c r="I6244" s="182" t="n">
        <v>0</v>
      </c>
      <c r="J6244" s="182" t="n">
        <v>0</v>
      </c>
      <c r="K6244" s="182" t="n">
        <v>3.32</v>
      </c>
      <c r="L6244" s="182" t="n">
        <v>12</v>
      </c>
      <c r="M6244" s="182" t="n">
        <v>8.68</v>
      </c>
      <c r="N6244" s="182" t="n">
        <v>0</v>
      </c>
      <c r="O6244" s="183" t="n">
        <v>18</v>
      </c>
      <c r="P6244" s="183" t="n">
        <v>0</v>
      </c>
      <c r="Q6244" s="184" t="n">
        <v>367.2</v>
      </c>
      <c r="R6244" s="184" t="n">
        <v>0</v>
      </c>
      <c r="S6244" s="183" t="n">
        <v>0</v>
      </c>
      <c r="T6244" s="183" t="n">
        <v>0</v>
      </c>
      <c r="U6244" s="182" t="n">
        <v>0</v>
      </c>
      <c r="V6244" s="182" t="n">
        <v>0</v>
      </c>
      <c r="W6244" s="182" t="n">
        <v>0</v>
      </c>
      <c r="X6244" s="182" t="n">
        <v>0.98</v>
      </c>
      <c r="Y6244" s="182" t="n">
        <v>0</v>
      </c>
      <c r="Z6244" s="182" t="n">
        <v>0</v>
      </c>
      <c r="AA6244" s="182" t="n">
        <v>0</v>
      </c>
      <c r="AB6244" s="182" t="n">
        <v>0.98</v>
      </c>
      <c r="AC6244" s="182" t="n">
        <v>0</v>
      </c>
      <c r="AD6244" s="182" t="n">
        <v>0</v>
      </c>
      <c r="AE6244" s="182" t="n">
        <v>0</v>
      </c>
      <c r="AF6244" s="182" t="n">
        <v>0</v>
      </c>
      <c r="AG6244" s="182" t="n">
        <v>0.59</v>
      </c>
      <c r="AH6244" s="182" t="n">
        <v>0.7</v>
      </c>
      <c r="AI6244" s="182" t="n">
        <v>0</v>
      </c>
      <c r="AJ6244" s="182" t="n">
        <v>0</v>
      </c>
      <c r="AK6244" s="182" t="n">
        <v>0</v>
      </c>
      <c r="AL6244" s="182" t="n">
        <v>0</v>
      </c>
      <c r="AM6244" s="182" t="n">
        <v>0.08</v>
      </c>
      <c r="AN6244" s="182" t="n">
        <v>0</v>
      </c>
    </row>
    <row r="6245">
      <c r="A6245" s="155" t="n">
        <v>46110</v>
      </c>
      <c r="B6245" s="156" t="inlineStr">
        <is>
          <t>DS</t>
        </is>
      </c>
      <c r="C6245" s="156" t="inlineStr">
        <is>
          <t>DT-517</t>
        </is>
      </c>
      <c r="D6245" s="156" t="inlineStr">
        <is>
          <t>SKT 105S</t>
        </is>
      </c>
      <c r="E6245" s="156" t="inlineStr">
        <is>
          <t>Hauler</t>
        </is>
      </c>
      <c r="F6245" s="156" t="inlineStr">
        <is>
          <t>Hauling Lumpur dari Washing Plant &amp; Hauling OB</t>
        </is>
      </c>
      <c r="G6245" s="182" t="n">
        <v>9.01</v>
      </c>
      <c r="H6245" s="182" t="n">
        <v>0</v>
      </c>
      <c r="I6245" s="182" t="n">
        <v>0</v>
      </c>
      <c r="J6245" s="182" t="n">
        <v>0</v>
      </c>
      <c r="K6245" s="182" t="n">
        <v>2.99</v>
      </c>
      <c r="L6245" s="182" t="n">
        <v>12</v>
      </c>
      <c r="M6245" s="182" t="n">
        <v>6.54</v>
      </c>
      <c r="N6245" s="182" t="n">
        <v>0</v>
      </c>
      <c r="O6245" s="183" t="n">
        <v>17</v>
      </c>
      <c r="P6245" s="183" t="n">
        <v>0</v>
      </c>
      <c r="Q6245" s="184" t="n">
        <v>346.8</v>
      </c>
      <c r="R6245" s="184" t="n">
        <v>0</v>
      </c>
      <c r="S6245" s="183" t="n">
        <v>0</v>
      </c>
      <c r="T6245" s="183" t="n">
        <v>0</v>
      </c>
      <c r="U6245" s="182" t="n">
        <v>0</v>
      </c>
      <c r="V6245" s="182" t="n">
        <v>0</v>
      </c>
      <c r="W6245" s="182" t="n">
        <v>0</v>
      </c>
      <c r="X6245" s="182" t="n">
        <v>1.03</v>
      </c>
      <c r="Y6245" s="182" t="n">
        <v>0</v>
      </c>
      <c r="Z6245" s="182" t="n">
        <v>0</v>
      </c>
      <c r="AA6245" s="182" t="n">
        <v>0</v>
      </c>
      <c r="AB6245" s="182" t="n">
        <v>1.03</v>
      </c>
      <c r="AC6245" s="182" t="n">
        <v>0</v>
      </c>
      <c r="AD6245" s="182" t="n">
        <v>0</v>
      </c>
      <c r="AE6245" s="182" t="n">
        <v>0</v>
      </c>
      <c r="AF6245" s="182" t="n">
        <v>0</v>
      </c>
      <c r="AG6245" s="182" t="n">
        <v>0</v>
      </c>
      <c r="AH6245" s="182" t="n">
        <v>0.85</v>
      </c>
      <c r="AI6245" s="182" t="n">
        <v>0</v>
      </c>
      <c r="AJ6245" s="182" t="n">
        <v>0</v>
      </c>
      <c r="AK6245" s="182" t="n">
        <v>0</v>
      </c>
      <c r="AL6245" s="182" t="n">
        <v>0</v>
      </c>
      <c r="AM6245" s="182" t="n">
        <v>0.08</v>
      </c>
      <c r="AN6245" s="182" t="n">
        <v>0</v>
      </c>
    </row>
    <row r="6246">
      <c r="A6246" s="155" t="n">
        <v>46110</v>
      </c>
      <c r="B6246" s="156" t="inlineStr">
        <is>
          <t>DS</t>
        </is>
      </c>
      <c r="C6246" s="156" t="inlineStr">
        <is>
          <t>DT-510</t>
        </is>
      </c>
      <c r="D6246" s="156" t="inlineStr">
        <is>
          <t>SKT 105S</t>
        </is>
      </c>
      <c r="E6246" s="156" t="inlineStr">
        <is>
          <t>Hauler</t>
        </is>
      </c>
      <c r="F6246" s="156" t="inlineStr"/>
      <c r="G6246" s="182" t="n">
        <v>0</v>
      </c>
      <c r="H6246" s="182" t="n">
        <v>0</v>
      </c>
      <c r="I6246" s="182" t="n">
        <v>12</v>
      </c>
      <c r="J6246" s="182" t="n">
        <v>12</v>
      </c>
      <c r="K6246" s="182" t="n">
        <v>0</v>
      </c>
      <c r="L6246" s="182" t="n">
        <v>12</v>
      </c>
      <c r="M6246" s="182" t="n">
        <v>0</v>
      </c>
      <c r="N6246" s="182" t="n">
        <v>0</v>
      </c>
      <c r="O6246" s="183" t="n">
        <v>0</v>
      </c>
      <c r="P6246" s="183" t="n">
        <v>0</v>
      </c>
      <c r="Q6246" s="184" t="n">
        <v>0</v>
      </c>
      <c r="R6246" s="184" t="n">
        <v>0</v>
      </c>
      <c r="S6246" s="183" t="n">
        <v>0</v>
      </c>
      <c r="T6246" s="183" t="n">
        <v>0</v>
      </c>
      <c r="U6246" s="182" t="n">
        <v>0</v>
      </c>
      <c r="V6246" s="182" t="n">
        <v>0</v>
      </c>
      <c r="W6246" s="182" t="n">
        <v>0</v>
      </c>
      <c r="X6246" s="182" t="n">
        <v>0</v>
      </c>
      <c r="Y6246" s="182" t="n">
        <v>0</v>
      </c>
      <c r="Z6246" s="182" t="n">
        <v>0</v>
      </c>
      <c r="AA6246" s="182" t="n">
        <v>0</v>
      </c>
      <c r="AB6246" s="182" t="n">
        <v>0</v>
      </c>
      <c r="AC6246" s="182" t="n">
        <v>0</v>
      </c>
      <c r="AD6246" s="182" t="n">
        <v>0</v>
      </c>
      <c r="AE6246" s="182" t="n">
        <v>0</v>
      </c>
      <c r="AF6246" s="182" t="n">
        <v>0</v>
      </c>
      <c r="AG6246" s="182" t="n">
        <v>0</v>
      </c>
      <c r="AH6246" s="182" t="n">
        <v>0</v>
      </c>
      <c r="AI6246" s="182" t="n">
        <v>0</v>
      </c>
      <c r="AJ6246" s="182" t="n">
        <v>0</v>
      </c>
      <c r="AK6246" s="182" t="n">
        <v>0</v>
      </c>
      <c r="AL6246" s="182" t="n">
        <v>0</v>
      </c>
      <c r="AM6246" s="182" t="n">
        <v>0</v>
      </c>
      <c r="AN6246" s="182" t="n">
        <v>0</v>
      </c>
    </row>
    <row r="6247">
      <c r="A6247" s="155" t="n">
        <v>46110</v>
      </c>
      <c r="B6247" s="156" t="inlineStr">
        <is>
          <t>DS</t>
        </is>
      </c>
      <c r="C6247" s="156" t="inlineStr">
        <is>
          <t>DT-521</t>
        </is>
      </c>
      <c r="D6247" s="156" t="inlineStr">
        <is>
          <t>SKT 105S</t>
        </is>
      </c>
      <c r="E6247" s="156" t="inlineStr">
        <is>
          <t>Hauler</t>
        </is>
      </c>
      <c r="F6247" s="156" t="inlineStr"/>
      <c r="G6247" s="182" t="n">
        <v>0</v>
      </c>
      <c r="H6247" s="182" t="n">
        <v>0</v>
      </c>
      <c r="I6247" s="182" t="n">
        <v>12</v>
      </c>
      <c r="J6247" s="182" t="n">
        <v>12</v>
      </c>
      <c r="K6247" s="182" t="n">
        <v>0</v>
      </c>
      <c r="L6247" s="182" t="n">
        <v>12</v>
      </c>
      <c r="M6247" s="182" t="n">
        <v>0</v>
      </c>
      <c r="N6247" s="182" t="n">
        <v>0</v>
      </c>
      <c r="O6247" s="183" t="n">
        <v>0</v>
      </c>
      <c r="P6247" s="183" t="n">
        <v>0</v>
      </c>
      <c r="Q6247" s="184" t="n">
        <v>0</v>
      </c>
      <c r="R6247" s="184" t="n">
        <v>0</v>
      </c>
      <c r="S6247" s="183" t="n">
        <v>0</v>
      </c>
      <c r="T6247" s="183" t="n">
        <v>0</v>
      </c>
      <c r="U6247" s="182" t="n">
        <v>0</v>
      </c>
      <c r="V6247" s="182" t="n">
        <v>0</v>
      </c>
      <c r="W6247" s="182" t="n">
        <v>0</v>
      </c>
      <c r="X6247" s="182" t="n">
        <v>0</v>
      </c>
      <c r="Y6247" s="182" t="n">
        <v>0</v>
      </c>
      <c r="Z6247" s="182" t="n">
        <v>0</v>
      </c>
      <c r="AA6247" s="182" t="n">
        <v>0</v>
      </c>
      <c r="AB6247" s="182" t="n">
        <v>0</v>
      </c>
      <c r="AC6247" s="182" t="n">
        <v>0</v>
      </c>
      <c r="AD6247" s="182" t="n">
        <v>0</v>
      </c>
      <c r="AE6247" s="182" t="n">
        <v>0</v>
      </c>
      <c r="AF6247" s="182" t="n">
        <v>0</v>
      </c>
      <c r="AG6247" s="182" t="n">
        <v>0</v>
      </c>
      <c r="AH6247" s="182" t="n">
        <v>0</v>
      </c>
      <c r="AI6247" s="182" t="n">
        <v>0</v>
      </c>
      <c r="AJ6247" s="182" t="n">
        <v>0</v>
      </c>
      <c r="AK6247" s="182" t="n">
        <v>0</v>
      </c>
      <c r="AL6247" s="182" t="n">
        <v>0</v>
      </c>
      <c r="AM6247" s="182" t="n">
        <v>0</v>
      </c>
      <c r="AN6247" s="182" t="n">
        <v>0</v>
      </c>
    </row>
    <row r="6248">
      <c r="A6248" s="155" t="n">
        <v>46110</v>
      </c>
      <c r="B6248" s="156" t="inlineStr">
        <is>
          <t>DS</t>
        </is>
      </c>
      <c r="C6248" s="156" t="inlineStr">
        <is>
          <t>DT-516</t>
        </is>
      </c>
      <c r="D6248" s="156" t="inlineStr">
        <is>
          <t>SKT 105S</t>
        </is>
      </c>
      <c r="E6248" s="156" t="inlineStr">
        <is>
          <t>Hauler</t>
        </is>
      </c>
      <c r="F6248" s="156" t="inlineStr">
        <is>
          <t>Hauling OB , Spoil  &amp; Coal</t>
        </is>
      </c>
      <c r="G6248" s="182" t="n">
        <v>10.15</v>
      </c>
      <c r="H6248" s="182" t="n">
        <v>0</v>
      </c>
      <c r="I6248" s="182" t="n">
        <v>0</v>
      </c>
      <c r="J6248" s="182" t="n">
        <v>0</v>
      </c>
      <c r="K6248" s="182" t="n">
        <v>1.85</v>
      </c>
      <c r="L6248" s="182" t="n">
        <v>12</v>
      </c>
      <c r="M6248" s="182" t="n">
        <v>3.8</v>
      </c>
      <c r="N6248" s="182" t="n">
        <v>4.16</v>
      </c>
      <c r="O6248" s="183" t="n">
        <v>6</v>
      </c>
      <c r="P6248" s="183" t="n">
        <v>15</v>
      </c>
      <c r="Q6248" s="184" t="n">
        <v>122.4</v>
      </c>
      <c r="R6248" s="184" t="n">
        <v>280.5</v>
      </c>
      <c r="S6248" s="183" t="n">
        <v>8</v>
      </c>
      <c r="T6248" s="183" t="n">
        <v>0</v>
      </c>
      <c r="U6248" s="182" t="n">
        <v>0</v>
      </c>
      <c r="V6248" s="182" t="n">
        <v>0</v>
      </c>
      <c r="W6248" s="182" t="n">
        <v>0</v>
      </c>
      <c r="X6248" s="182" t="n">
        <v>0.93</v>
      </c>
      <c r="Y6248" s="182" t="n">
        <v>0</v>
      </c>
      <c r="Z6248" s="182" t="n">
        <v>0</v>
      </c>
      <c r="AA6248" s="182" t="n">
        <v>0</v>
      </c>
      <c r="AB6248" s="182" t="n">
        <v>0.85</v>
      </c>
      <c r="AC6248" s="182" t="n">
        <v>0</v>
      </c>
      <c r="AD6248" s="182" t="n">
        <v>0</v>
      </c>
      <c r="AE6248" s="182" t="n">
        <v>0</v>
      </c>
      <c r="AF6248" s="182" t="n">
        <v>0</v>
      </c>
      <c r="AG6248" s="182" t="n">
        <v>0</v>
      </c>
      <c r="AH6248" s="182" t="n">
        <v>0</v>
      </c>
      <c r="AI6248" s="182" t="n">
        <v>0</v>
      </c>
      <c r="AJ6248" s="182" t="n">
        <v>0</v>
      </c>
      <c r="AK6248" s="182" t="n">
        <v>0</v>
      </c>
      <c r="AL6248" s="182" t="n">
        <v>0</v>
      </c>
      <c r="AM6248" s="182" t="n">
        <v>0.07000000000000001</v>
      </c>
      <c r="AN6248" s="182" t="n">
        <v>0</v>
      </c>
    </row>
    <row r="6249">
      <c r="A6249" s="155" t="n">
        <v>46110</v>
      </c>
      <c r="B6249" s="156" t="inlineStr">
        <is>
          <t>DS</t>
        </is>
      </c>
      <c r="C6249" s="156" t="inlineStr">
        <is>
          <t>DT-506</t>
        </is>
      </c>
      <c r="D6249" s="156" t="inlineStr">
        <is>
          <t>SKT 105S</t>
        </is>
      </c>
      <c r="E6249" s="156" t="inlineStr">
        <is>
          <t>Hauler</t>
        </is>
      </c>
      <c r="F6249" s="156" t="inlineStr">
        <is>
          <t>Hauling OB , Spoil  &amp; Coal</t>
        </is>
      </c>
      <c r="G6249" s="182" t="n">
        <v>9.19</v>
      </c>
      <c r="H6249" s="182" t="n">
        <v>0</v>
      </c>
      <c r="I6249" s="182" t="n">
        <v>0</v>
      </c>
      <c r="J6249" s="182" t="n">
        <v>0</v>
      </c>
      <c r="K6249" s="182" t="n">
        <v>2.81</v>
      </c>
      <c r="L6249" s="182" t="n">
        <v>12</v>
      </c>
      <c r="M6249" s="182" t="n">
        <v>3.21</v>
      </c>
      <c r="N6249" s="182" t="n">
        <v>3.93</v>
      </c>
      <c r="O6249" s="183" t="n">
        <v>6</v>
      </c>
      <c r="P6249" s="183" t="n">
        <v>15</v>
      </c>
      <c r="Q6249" s="184" t="n">
        <v>122.4</v>
      </c>
      <c r="R6249" s="184" t="n">
        <v>280.5</v>
      </c>
      <c r="S6249" s="183" t="n">
        <v>8</v>
      </c>
      <c r="T6249" s="183" t="n">
        <v>0</v>
      </c>
      <c r="U6249" s="182" t="n">
        <v>0</v>
      </c>
      <c r="V6249" s="182" t="n">
        <v>0</v>
      </c>
      <c r="W6249" s="182" t="n">
        <v>0</v>
      </c>
      <c r="X6249" s="182" t="n">
        <v>1.17</v>
      </c>
      <c r="Y6249" s="182" t="n">
        <v>0</v>
      </c>
      <c r="Z6249" s="182" t="n">
        <v>0</v>
      </c>
      <c r="AA6249" s="182" t="n">
        <v>0</v>
      </c>
      <c r="AB6249" s="182" t="n">
        <v>1.17</v>
      </c>
      <c r="AC6249" s="182" t="n">
        <v>0</v>
      </c>
      <c r="AD6249" s="182" t="n">
        <v>0</v>
      </c>
      <c r="AE6249" s="182" t="n">
        <v>0</v>
      </c>
      <c r="AF6249" s="182" t="n">
        <v>0</v>
      </c>
      <c r="AG6249" s="182" t="n">
        <v>0</v>
      </c>
      <c r="AH6249" s="182" t="n">
        <v>0.37</v>
      </c>
      <c r="AI6249" s="182" t="n">
        <v>0</v>
      </c>
      <c r="AJ6249" s="182" t="n">
        <v>0</v>
      </c>
      <c r="AK6249" s="182" t="n">
        <v>0</v>
      </c>
      <c r="AL6249" s="182" t="n">
        <v>0</v>
      </c>
      <c r="AM6249" s="182" t="n">
        <v>0.09</v>
      </c>
      <c r="AN6249" s="182" t="n">
        <v>0</v>
      </c>
    </row>
    <row r="6250">
      <c r="A6250" s="155" t="n">
        <v>46110</v>
      </c>
      <c r="B6250" s="156" t="inlineStr">
        <is>
          <t>DS</t>
        </is>
      </c>
      <c r="C6250" s="156" t="inlineStr">
        <is>
          <t>DT-502</t>
        </is>
      </c>
      <c r="D6250" s="156" t="inlineStr">
        <is>
          <t>SKT 105S</t>
        </is>
      </c>
      <c r="E6250" s="156" t="inlineStr">
        <is>
          <t>Hauler</t>
        </is>
      </c>
      <c r="F6250" s="156" t="inlineStr">
        <is>
          <t>Hauling OB , Spoil  &amp; Coal</t>
        </is>
      </c>
      <c r="G6250" s="182" t="n">
        <v>8.81</v>
      </c>
      <c r="H6250" s="182" t="n">
        <v>0</v>
      </c>
      <c r="I6250" s="182" t="n">
        <v>0</v>
      </c>
      <c r="J6250" s="182" t="n">
        <v>0</v>
      </c>
      <c r="K6250" s="182" t="n">
        <v>3.19</v>
      </c>
      <c r="L6250" s="182" t="n">
        <v>12</v>
      </c>
      <c r="M6250" s="182" t="n">
        <v>2.41</v>
      </c>
      <c r="N6250" s="182" t="n">
        <v>4.19</v>
      </c>
      <c r="O6250" s="183" t="n">
        <v>6</v>
      </c>
      <c r="P6250" s="183" t="n">
        <v>15</v>
      </c>
      <c r="Q6250" s="184" t="n">
        <v>122.4</v>
      </c>
      <c r="R6250" s="184" t="n">
        <v>280.5</v>
      </c>
      <c r="S6250" s="183" t="n">
        <v>8</v>
      </c>
      <c r="T6250" s="183" t="n">
        <v>0</v>
      </c>
      <c r="U6250" s="182" t="n">
        <v>0</v>
      </c>
      <c r="V6250" s="182" t="n">
        <v>0</v>
      </c>
      <c r="W6250" s="182" t="n">
        <v>0</v>
      </c>
      <c r="X6250" s="182" t="n">
        <v>0.9399999999999999</v>
      </c>
      <c r="Y6250" s="182" t="n">
        <v>0</v>
      </c>
      <c r="Z6250" s="182" t="n">
        <v>0</v>
      </c>
      <c r="AA6250" s="182" t="n">
        <v>0</v>
      </c>
      <c r="AB6250" s="182" t="n">
        <v>0.9399999999999999</v>
      </c>
      <c r="AC6250" s="182" t="n">
        <v>0</v>
      </c>
      <c r="AD6250" s="182" t="n">
        <v>0</v>
      </c>
      <c r="AE6250" s="182" t="n">
        <v>0</v>
      </c>
      <c r="AF6250" s="182" t="n">
        <v>0</v>
      </c>
      <c r="AG6250" s="182" t="n">
        <v>0.5600000000000001</v>
      </c>
      <c r="AH6250" s="182" t="n">
        <v>0.67</v>
      </c>
      <c r="AI6250" s="182" t="n">
        <v>0</v>
      </c>
      <c r="AJ6250" s="182" t="n">
        <v>0</v>
      </c>
      <c r="AK6250" s="182" t="n">
        <v>0</v>
      </c>
      <c r="AL6250" s="182" t="n">
        <v>0</v>
      </c>
      <c r="AM6250" s="182" t="n">
        <v>0.08</v>
      </c>
      <c r="AN6250" s="182" t="n">
        <v>0</v>
      </c>
    </row>
    <row r="6251">
      <c r="A6251" s="155" t="n">
        <v>46110</v>
      </c>
      <c r="B6251" s="156" t="inlineStr">
        <is>
          <t>DS</t>
        </is>
      </c>
      <c r="C6251" s="156" t="inlineStr">
        <is>
          <t>DT-528</t>
        </is>
      </c>
      <c r="D6251" s="156" t="inlineStr">
        <is>
          <t>SKT 105S</t>
        </is>
      </c>
      <c r="E6251" s="156" t="inlineStr">
        <is>
          <t>Hauler</t>
        </is>
      </c>
      <c r="F6251" s="156" t="inlineStr">
        <is>
          <t>Hauling OB , Spoil  &amp; Coal</t>
        </is>
      </c>
      <c r="G6251" s="182" t="n">
        <v>9.83</v>
      </c>
      <c r="H6251" s="182" t="n">
        <v>0</v>
      </c>
      <c r="I6251" s="182" t="n">
        <v>0</v>
      </c>
      <c r="J6251" s="182" t="n">
        <v>0</v>
      </c>
      <c r="K6251" s="182" t="n">
        <v>2.17</v>
      </c>
      <c r="L6251" s="182" t="n">
        <v>12</v>
      </c>
      <c r="M6251" s="182" t="n">
        <v>3.49</v>
      </c>
      <c r="N6251" s="182" t="n">
        <v>4.15</v>
      </c>
      <c r="O6251" s="183" t="n">
        <v>9</v>
      </c>
      <c r="P6251" s="183" t="n">
        <v>17</v>
      </c>
      <c r="Q6251" s="184" t="n">
        <v>183.6</v>
      </c>
      <c r="R6251" s="184" t="n">
        <v>317.9</v>
      </c>
      <c r="S6251" s="183" t="n">
        <v>7</v>
      </c>
      <c r="T6251" s="183" t="n">
        <v>0</v>
      </c>
      <c r="U6251" s="182" t="n">
        <v>0</v>
      </c>
      <c r="V6251" s="182" t="n">
        <v>0</v>
      </c>
      <c r="W6251" s="182" t="n">
        <v>0</v>
      </c>
      <c r="X6251" s="182" t="n">
        <v>0.9399999999999999</v>
      </c>
      <c r="Y6251" s="182" t="n">
        <v>0</v>
      </c>
      <c r="Z6251" s="182" t="n">
        <v>0</v>
      </c>
      <c r="AA6251" s="182" t="n">
        <v>0</v>
      </c>
      <c r="AB6251" s="182" t="n">
        <v>0.9399999999999999</v>
      </c>
      <c r="AC6251" s="182" t="n">
        <v>0</v>
      </c>
      <c r="AD6251" s="182" t="n">
        <v>0</v>
      </c>
      <c r="AE6251" s="182" t="n">
        <v>0</v>
      </c>
      <c r="AF6251" s="182" t="n">
        <v>0</v>
      </c>
      <c r="AG6251" s="182" t="n">
        <v>0</v>
      </c>
      <c r="AH6251" s="182" t="n">
        <v>0.21</v>
      </c>
      <c r="AI6251" s="182" t="n">
        <v>0</v>
      </c>
      <c r="AJ6251" s="182" t="n">
        <v>0</v>
      </c>
      <c r="AK6251" s="182" t="n">
        <v>0</v>
      </c>
      <c r="AL6251" s="182" t="n">
        <v>0</v>
      </c>
      <c r="AM6251" s="182" t="n">
        <v>0.08</v>
      </c>
      <c r="AN6251" s="182" t="n">
        <v>0</v>
      </c>
    </row>
    <row r="6252">
      <c r="A6252" s="155" t="n">
        <v>46110</v>
      </c>
      <c r="B6252" s="156" t="inlineStr">
        <is>
          <t>DS</t>
        </is>
      </c>
      <c r="C6252" s="156" t="inlineStr">
        <is>
          <t>DT-529</t>
        </is>
      </c>
      <c r="D6252" s="156" t="inlineStr">
        <is>
          <t>SKT 105S</t>
        </is>
      </c>
      <c r="E6252" s="156" t="inlineStr">
        <is>
          <t>Hauler</t>
        </is>
      </c>
      <c r="F6252" s="156" t="inlineStr">
        <is>
          <t>Hauling OB &amp; Coal</t>
        </is>
      </c>
      <c r="G6252" s="182" t="n">
        <v>8.119999999999999</v>
      </c>
      <c r="H6252" s="182" t="n">
        <v>0</v>
      </c>
      <c r="I6252" s="182" t="n">
        <v>3.33</v>
      </c>
      <c r="J6252" s="182" t="n">
        <v>3.33</v>
      </c>
      <c r="K6252" s="182" t="n">
        <v>0.55</v>
      </c>
      <c r="L6252" s="182" t="n">
        <v>12</v>
      </c>
      <c r="M6252" s="182" t="n">
        <v>5.08</v>
      </c>
      <c r="N6252" s="182" t="n">
        <v>3.05</v>
      </c>
      <c r="O6252" s="183" t="n">
        <v>14</v>
      </c>
      <c r="P6252" s="183" t="n">
        <v>9</v>
      </c>
      <c r="Q6252" s="184" t="n">
        <v>285.6</v>
      </c>
      <c r="R6252" s="184" t="n">
        <v>168.3</v>
      </c>
      <c r="S6252" s="183" t="n">
        <v>0</v>
      </c>
      <c r="T6252" s="183" t="n">
        <v>0</v>
      </c>
      <c r="U6252" s="182" t="n">
        <v>0</v>
      </c>
      <c r="V6252" s="182" t="n">
        <v>0</v>
      </c>
      <c r="W6252" s="182" t="n">
        <v>0</v>
      </c>
      <c r="X6252" s="182" t="n">
        <v>0.48</v>
      </c>
      <c r="Y6252" s="182" t="n">
        <v>0</v>
      </c>
      <c r="Z6252" s="182" t="n">
        <v>0</v>
      </c>
      <c r="AA6252" s="182" t="n">
        <v>0</v>
      </c>
      <c r="AB6252" s="182" t="n">
        <v>0</v>
      </c>
      <c r="AC6252" s="182" t="n">
        <v>0</v>
      </c>
      <c r="AD6252" s="182" t="n">
        <v>0</v>
      </c>
      <c r="AE6252" s="182" t="n">
        <v>0</v>
      </c>
      <c r="AF6252" s="182" t="n">
        <v>0</v>
      </c>
      <c r="AG6252" s="182" t="n">
        <v>0</v>
      </c>
      <c r="AH6252" s="182" t="n">
        <v>0</v>
      </c>
      <c r="AI6252" s="182" t="n">
        <v>0</v>
      </c>
      <c r="AJ6252" s="182" t="n">
        <v>0</v>
      </c>
      <c r="AK6252" s="182" t="n">
        <v>0</v>
      </c>
      <c r="AL6252" s="182" t="n">
        <v>0</v>
      </c>
      <c r="AM6252" s="182" t="n">
        <v>0.07000000000000001</v>
      </c>
      <c r="AN6252" s="182" t="n">
        <v>0</v>
      </c>
    </row>
    <row r="6253">
      <c r="A6253" s="155" t="n">
        <v>46110</v>
      </c>
      <c r="B6253" s="156" t="inlineStr">
        <is>
          <t>DS</t>
        </is>
      </c>
      <c r="C6253" s="156" t="inlineStr">
        <is>
          <t>DT-520</t>
        </is>
      </c>
      <c r="D6253" s="156" t="inlineStr">
        <is>
          <t>SKT 105S</t>
        </is>
      </c>
      <c r="E6253" s="156" t="inlineStr">
        <is>
          <t>Hauler</t>
        </is>
      </c>
      <c r="F6253" s="156" t="inlineStr">
        <is>
          <t>Hauling OB</t>
        </is>
      </c>
      <c r="G6253" s="182" t="n">
        <v>9.550000000000001</v>
      </c>
      <c r="H6253" s="182" t="n">
        <v>0</v>
      </c>
      <c r="I6253" s="182" t="n">
        <v>0</v>
      </c>
      <c r="J6253" s="182" t="n">
        <v>0</v>
      </c>
      <c r="K6253" s="182" t="n">
        <v>2.45</v>
      </c>
      <c r="L6253" s="182" t="n">
        <v>12</v>
      </c>
      <c r="M6253" s="182" t="n">
        <v>9.550000000000001</v>
      </c>
      <c r="N6253" s="182" t="n">
        <v>0</v>
      </c>
      <c r="O6253" s="183" t="n">
        <v>28</v>
      </c>
      <c r="P6253" s="183" t="n">
        <v>0</v>
      </c>
      <c r="Q6253" s="184" t="n">
        <v>571.2</v>
      </c>
      <c r="R6253" s="184" t="n">
        <v>0</v>
      </c>
      <c r="S6253" s="183" t="n">
        <v>0</v>
      </c>
      <c r="T6253" s="183" t="n">
        <v>0</v>
      </c>
      <c r="U6253" s="182" t="n">
        <v>0</v>
      </c>
      <c r="V6253" s="182" t="n">
        <v>0</v>
      </c>
      <c r="W6253" s="182" t="n">
        <v>0</v>
      </c>
      <c r="X6253" s="182" t="n">
        <v>0.88</v>
      </c>
      <c r="Y6253" s="182" t="n">
        <v>0</v>
      </c>
      <c r="Z6253" s="182" t="n">
        <v>0</v>
      </c>
      <c r="AA6253" s="182" t="n">
        <v>0</v>
      </c>
      <c r="AB6253" s="182" t="n">
        <v>0.88</v>
      </c>
      <c r="AC6253" s="182" t="n">
        <v>0</v>
      </c>
      <c r="AD6253" s="182" t="n">
        <v>0</v>
      </c>
      <c r="AE6253" s="182" t="n">
        <v>0</v>
      </c>
      <c r="AF6253" s="182" t="n">
        <v>0</v>
      </c>
      <c r="AG6253" s="182" t="n">
        <v>0</v>
      </c>
      <c r="AH6253" s="182" t="n">
        <v>0.63</v>
      </c>
      <c r="AI6253" s="182" t="n">
        <v>0</v>
      </c>
      <c r="AJ6253" s="182" t="n">
        <v>0</v>
      </c>
      <c r="AK6253" s="182" t="n">
        <v>0</v>
      </c>
      <c r="AL6253" s="182" t="n">
        <v>0</v>
      </c>
      <c r="AM6253" s="182" t="n">
        <v>0.07000000000000001</v>
      </c>
      <c r="AN6253" s="182" t="n">
        <v>0</v>
      </c>
    </row>
    <row r="6254">
      <c r="A6254" s="155" t="n">
        <v>46110</v>
      </c>
      <c r="B6254" s="156" t="inlineStr">
        <is>
          <t>DS</t>
        </is>
      </c>
      <c r="C6254" s="156" t="inlineStr">
        <is>
          <t>DT-511</t>
        </is>
      </c>
      <c r="D6254" s="156" t="inlineStr">
        <is>
          <t>SKT 105S</t>
        </is>
      </c>
      <c r="E6254" s="156" t="inlineStr">
        <is>
          <t>Hauler</t>
        </is>
      </c>
      <c r="F6254" s="156" t="inlineStr">
        <is>
          <t>Hauling OB</t>
        </is>
      </c>
      <c r="G6254" s="182" t="n">
        <v>9.630000000000001</v>
      </c>
      <c r="H6254" s="182" t="n">
        <v>0</v>
      </c>
      <c r="I6254" s="182" t="n">
        <v>0</v>
      </c>
      <c r="J6254" s="182" t="n">
        <v>0</v>
      </c>
      <c r="K6254" s="182" t="n">
        <v>2.37</v>
      </c>
      <c r="L6254" s="182" t="n">
        <v>12</v>
      </c>
      <c r="M6254" s="182" t="n">
        <v>9.630000000000001</v>
      </c>
      <c r="N6254" s="182" t="n">
        <v>0</v>
      </c>
      <c r="O6254" s="183" t="n">
        <v>31</v>
      </c>
      <c r="P6254" s="183" t="n">
        <v>0</v>
      </c>
      <c r="Q6254" s="184" t="n">
        <v>632.4</v>
      </c>
      <c r="R6254" s="184" t="n">
        <v>0</v>
      </c>
      <c r="S6254" s="183" t="n">
        <v>0</v>
      </c>
      <c r="T6254" s="183" t="n">
        <v>0</v>
      </c>
      <c r="U6254" s="182" t="n">
        <v>0</v>
      </c>
      <c r="V6254" s="182" t="n">
        <v>0</v>
      </c>
      <c r="W6254" s="182" t="n">
        <v>0</v>
      </c>
      <c r="X6254" s="182" t="n">
        <v>0.91</v>
      </c>
      <c r="Y6254" s="182" t="n">
        <v>0</v>
      </c>
      <c r="Z6254" s="182" t="n">
        <v>0</v>
      </c>
      <c r="AA6254" s="182" t="n">
        <v>0</v>
      </c>
      <c r="AB6254" s="182" t="n">
        <v>0.91</v>
      </c>
      <c r="AC6254" s="182" t="n">
        <v>0</v>
      </c>
      <c r="AD6254" s="182" t="n">
        <v>0</v>
      </c>
      <c r="AE6254" s="182" t="n">
        <v>0</v>
      </c>
      <c r="AF6254" s="182" t="n">
        <v>0</v>
      </c>
      <c r="AG6254" s="182" t="n">
        <v>0</v>
      </c>
      <c r="AH6254" s="182" t="n">
        <v>0.47</v>
      </c>
      <c r="AI6254" s="182" t="n">
        <v>0</v>
      </c>
      <c r="AJ6254" s="182" t="n">
        <v>0</v>
      </c>
      <c r="AK6254" s="182" t="n">
        <v>0</v>
      </c>
      <c r="AL6254" s="182" t="n">
        <v>0</v>
      </c>
      <c r="AM6254" s="182" t="n">
        <v>0.07000000000000001</v>
      </c>
      <c r="AN6254" s="182" t="n">
        <v>0</v>
      </c>
    </row>
    <row r="6255">
      <c r="A6255" s="155" t="n">
        <v>46110</v>
      </c>
      <c r="B6255" s="156" t="inlineStr">
        <is>
          <t>DS</t>
        </is>
      </c>
      <c r="C6255" s="156" t="inlineStr">
        <is>
          <t>DT-509</t>
        </is>
      </c>
      <c r="D6255" s="156" t="inlineStr">
        <is>
          <t>SKT 105S</t>
        </is>
      </c>
      <c r="E6255" s="156" t="inlineStr">
        <is>
          <t>Hauler</t>
        </is>
      </c>
      <c r="F6255" s="156" t="inlineStr">
        <is>
          <t>Hauling OB</t>
        </is>
      </c>
      <c r="G6255" s="182" t="n">
        <v>0.8</v>
      </c>
      <c r="H6255" s="182" t="n">
        <v>0</v>
      </c>
      <c r="I6255" s="182" t="n">
        <v>11.2</v>
      </c>
      <c r="J6255" s="182" t="n">
        <v>11.2</v>
      </c>
      <c r="K6255" s="182" t="n">
        <v>0</v>
      </c>
      <c r="L6255" s="182" t="n">
        <v>12</v>
      </c>
      <c r="M6255" s="182" t="n">
        <v>0.8</v>
      </c>
      <c r="N6255" s="182" t="n">
        <v>0</v>
      </c>
      <c r="O6255" s="183" t="n">
        <v>2</v>
      </c>
      <c r="P6255" s="183" t="n">
        <v>0</v>
      </c>
      <c r="Q6255" s="184" t="n">
        <v>40.8</v>
      </c>
      <c r="R6255" s="184" t="n">
        <v>0</v>
      </c>
      <c r="S6255" s="183" t="n">
        <v>0</v>
      </c>
      <c r="T6255" s="183" t="n">
        <v>0</v>
      </c>
      <c r="U6255" s="182" t="n">
        <v>0</v>
      </c>
      <c r="V6255" s="182" t="n">
        <v>0</v>
      </c>
      <c r="W6255" s="182" t="n">
        <v>0</v>
      </c>
      <c r="X6255" s="182" t="n">
        <v>0</v>
      </c>
      <c r="Y6255" s="182" t="n">
        <v>0</v>
      </c>
      <c r="Z6255" s="182" t="n">
        <v>0</v>
      </c>
      <c r="AA6255" s="182" t="n">
        <v>0</v>
      </c>
      <c r="AB6255" s="182" t="n">
        <v>0</v>
      </c>
      <c r="AC6255" s="182" t="n">
        <v>0</v>
      </c>
      <c r="AD6255" s="182" t="n">
        <v>0</v>
      </c>
      <c r="AE6255" s="182" t="n">
        <v>0</v>
      </c>
      <c r="AF6255" s="182" t="n">
        <v>0</v>
      </c>
      <c r="AG6255" s="182" t="n">
        <v>0</v>
      </c>
      <c r="AH6255" s="182" t="n">
        <v>0</v>
      </c>
      <c r="AI6255" s="182" t="n">
        <v>0</v>
      </c>
      <c r="AJ6255" s="182" t="n">
        <v>0</v>
      </c>
      <c r="AK6255" s="182" t="n">
        <v>0</v>
      </c>
      <c r="AL6255" s="182" t="n">
        <v>0</v>
      </c>
      <c r="AM6255" s="182" t="n">
        <v>0</v>
      </c>
      <c r="AN6255" s="182" t="n">
        <v>0</v>
      </c>
    </row>
    <row r="6256">
      <c r="A6256" s="155" t="n">
        <v>46110</v>
      </c>
      <c r="B6256" s="156" t="inlineStr">
        <is>
          <t>DS</t>
        </is>
      </c>
      <c r="C6256" s="156" t="inlineStr">
        <is>
          <t>DT-526</t>
        </is>
      </c>
      <c r="D6256" s="156" t="inlineStr">
        <is>
          <t>SKT 105S</t>
        </is>
      </c>
      <c r="E6256" s="156" t="inlineStr">
        <is>
          <t>Hauler</t>
        </is>
      </c>
      <c r="F6256" s="156" t="inlineStr">
        <is>
          <t>Hauling OB</t>
        </is>
      </c>
      <c r="G6256" s="182" t="n">
        <v>7.23</v>
      </c>
      <c r="H6256" s="182" t="n">
        <v>0</v>
      </c>
      <c r="I6256" s="182" t="n">
        <v>3.17</v>
      </c>
      <c r="J6256" s="182" t="n">
        <v>3.17</v>
      </c>
      <c r="K6256" s="182" t="n">
        <v>1.6</v>
      </c>
      <c r="L6256" s="182" t="n">
        <v>12</v>
      </c>
      <c r="M6256" s="182" t="n">
        <v>7.23</v>
      </c>
      <c r="N6256" s="182" t="n">
        <v>0</v>
      </c>
      <c r="O6256" s="183" t="n">
        <v>25</v>
      </c>
      <c r="P6256" s="183" t="n">
        <v>0</v>
      </c>
      <c r="Q6256" s="184" t="n">
        <v>510</v>
      </c>
      <c r="R6256" s="184" t="n">
        <v>0</v>
      </c>
      <c r="S6256" s="183" t="n">
        <v>0</v>
      </c>
      <c r="T6256" s="183" t="n">
        <v>0</v>
      </c>
      <c r="U6256" s="182" t="n">
        <v>0</v>
      </c>
      <c r="V6256" s="182" t="n">
        <v>0</v>
      </c>
      <c r="W6256" s="182" t="n">
        <v>0</v>
      </c>
      <c r="X6256" s="182" t="n">
        <v>0.98</v>
      </c>
      <c r="Y6256" s="182" t="n">
        <v>0</v>
      </c>
      <c r="Z6256" s="182" t="n">
        <v>0</v>
      </c>
      <c r="AA6256" s="182" t="n">
        <v>0</v>
      </c>
      <c r="AB6256" s="182" t="n">
        <v>0.54</v>
      </c>
      <c r="AC6256" s="182" t="n">
        <v>0</v>
      </c>
      <c r="AD6256" s="182" t="n">
        <v>0</v>
      </c>
      <c r="AE6256" s="182" t="n">
        <v>0</v>
      </c>
      <c r="AF6256" s="182" t="n">
        <v>0</v>
      </c>
      <c r="AG6256" s="182" t="n">
        <v>0</v>
      </c>
      <c r="AH6256" s="182" t="n">
        <v>0</v>
      </c>
      <c r="AI6256" s="182" t="n">
        <v>0</v>
      </c>
      <c r="AJ6256" s="182" t="n">
        <v>0</v>
      </c>
      <c r="AK6256" s="182" t="n">
        <v>0</v>
      </c>
      <c r="AL6256" s="182" t="n">
        <v>0</v>
      </c>
      <c r="AM6256" s="182" t="n">
        <v>0.08</v>
      </c>
      <c r="AN6256" s="182" t="n">
        <v>0</v>
      </c>
    </row>
    <row r="6257">
      <c r="A6257" s="155" t="n">
        <v>46110</v>
      </c>
      <c r="B6257" s="156" t="inlineStr">
        <is>
          <t>DS</t>
        </is>
      </c>
      <c r="C6257" s="156" t="inlineStr">
        <is>
          <t>DT-508</t>
        </is>
      </c>
      <c r="D6257" s="156" t="inlineStr">
        <is>
          <t>SKT 105S</t>
        </is>
      </c>
      <c r="E6257" s="156" t="inlineStr">
        <is>
          <t>Hauler</t>
        </is>
      </c>
      <c r="F6257" s="156" t="inlineStr">
        <is>
          <t>Hauling OB</t>
        </is>
      </c>
      <c r="G6257" s="182" t="n">
        <v>9.289999999999999</v>
      </c>
      <c r="H6257" s="182" t="n">
        <v>0</v>
      </c>
      <c r="I6257" s="182" t="n">
        <v>0</v>
      </c>
      <c r="J6257" s="182" t="n">
        <v>0</v>
      </c>
      <c r="K6257" s="182" t="n">
        <v>2.71</v>
      </c>
      <c r="L6257" s="182" t="n">
        <v>12</v>
      </c>
      <c r="M6257" s="182" t="n">
        <v>9.289999999999999</v>
      </c>
      <c r="N6257" s="182" t="n">
        <v>0</v>
      </c>
      <c r="O6257" s="183" t="n">
        <v>32</v>
      </c>
      <c r="P6257" s="183" t="n">
        <v>0</v>
      </c>
      <c r="Q6257" s="184" t="n">
        <v>652.8</v>
      </c>
      <c r="R6257" s="184" t="n">
        <v>0</v>
      </c>
      <c r="S6257" s="183" t="n">
        <v>0</v>
      </c>
      <c r="T6257" s="183" t="n">
        <v>0</v>
      </c>
      <c r="U6257" s="182" t="n">
        <v>0</v>
      </c>
      <c r="V6257" s="182" t="n">
        <v>0</v>
      </c>
      <c r="W6257" s="182" t="n">
        <v>0</v>
      </c>
      <c r="X6257" s="182" t="n">
        <v>1.04</v>
      </c>
      <c r="Y6257" s="182" t="n">
        <v>0</v>
      </c>
      <c r="Z6257" s="182" t="n">
        <v>0</v>
      </c>
      <c r="AA6257" s="182" t="n">
        <v>0</v>
      </c>
      <c r="AB6257" s="182" t="n">
        <v>1.04</v>
      </c>
      <c r="AC6257" s="182" t="n">
        <v>0</v>
      </c>
      <c r="AD6257" s="182" t="n">
        <v>0</v>
      </c>
      <c r="AE6257" s="182" t="n">
        <v>0</v>
      </c>
      <c r="AF6257" s="182" t="n">
        <v>0</v>
      </c>
      <c r="AG6257" s="182" t="n">
        <v>0</v>
      </c>
      <c r="AH6257" s="182" t="n">
        <v>0.54</v>
      </c>
      <c r="AI6257" s="182" t="n">
        <v>0</v>
      </c>
      <c r="AJ6257" s="182" t="n">
        <v>0</v>
      </c>
      <c r="AK6257" s="182" t="n">
        <v>0</v>
      </c>
      <c r="AL6257" s="182" t="n">
        <v>0</v>
      </c>
      <c r="AM6257" s="182" t="n">
        <v>0.08</v>
      </c>
      <c r="AN6257" s="182" t="n">
        <v>0</v>
      </c>
    </row>
    <row r="6258">
      <c r="A6258" s="155" t="n">
        <v>46110</v>
      </c>
      <c r="B6258" s="156" t="inlineStr">
        <is>
          <t>DS</t>
        </is>
      </c>
      <c r="C6258" s="156" t="inlineStr">
        <is>
          <t>DT-515</t>
        </is>
      </c>
      <c r="D6258" s="156" t="inlineStr">
        <is>
          <t>SKT 105S</t>
        </is>
      </c>
      <c r="E6258" s="156" t="inlineStr">
        <is>
          <t>Hauler</t>
        </is>
      </c>
      <c r="F6258" s="156" t="inlineStr">
        <is>
          <t>Hauling Coal</t>
        </is>
      </c>
      <c r="G6258" s="182" t="n">
        <v>4.31</v>
      </c>
      <c r="H6258" s="182" t="n">
        <v>0</v>
      </c>
      <c r="I6258" s="182" t="n">
        <v>0.23</v>
      </c>
      <c r="J6258" s="182" t="n">
        <v>0.23</v>
      </c>
      <c r="K6258" s="182" t="n">
        <v>7.46</v>
      </c>
      <c r="L6258" s="182" t="n">
        <v>12</v>
      </c>
      <c r="M6258" s="182" t="n">
        <v>0</v>
      </c>
      <c r="N6258" s="182" t="n">
        <v>4.31</v>
      </c>
      <c r="O6258" s="183" t="n">
        <v>0</v>
      </c>
      <c r="P6258" s="183" t="n">
        <v>13</v>
      </c>
      <c r="Q6258" s="184" t="n">
        <v>0</v>
      </c>
      <c r="R6258" s="184" t="n">
        <v>243.1</v>
      </c>
      <c r="S6258" s="183" t="n">
        <v>0</v>
      </c>
      <c r="T6258" s="183" t="n">
        <v>0</v>
      </c>
      <c r="U6258" s="182" t="n">
        <v>0</v>
      </c>
      <c r="V6258" s="182" t="n">
        <v>0</v>
      </c>
      <c r="W6258" s="182" t="n">
        <v>0</v>
      </c>
      <c r="X6258" s="182" t="n">
        <v>0.97</v>
      </c>
      <c r="Y6258" s="182" t="n">
        <v>0</v>
      </c>
      <c r="Z6258" s="182" t="n">
        <v>0</v>
      </c>
      <c r="AA6258" s="182" t="n">
        <v>0</v>
      </c>
      <c r="AB6258" s="182" t="n">
        <v>0.97</v>
      </c>
      <c r="AC6258" s="182" t="n">
        <v>0</v>
      </c>
      <c r="AD6258" s="182" t="n">
        <v>0</v>
      </c>
      <c r="AE6258" s="182" t="n">
        <v>0</v>
      </c>
      <c r="AF6258" s="182" t="n">
        <v>0</v>
      </c>
      <c r="AG6258" s="182" t="n">
        <v>0</v>
      </c>
      <c r="AH6258" s="182" t="n">
        <v>0</v>
      </c>
      <c r="AI6258" s="182" t="n">
        <v>5.43</v>
      </c>
      <c r="AJ6258" s="182" t="n">
        <v>0</v>
      </c>
      <c r="AK6258" s="182" t="n">
        <v>0</v>
      </c>
      <c r="AL6258" s="182" t="n">
        <v>0</v>
      </c>
      <c r="AM6258" s="182" t="n">
        <v>0.08</v>
      </c>
      <c r="AN6258" s="182" t="n">
        <v>0</v>
      </c>
    </row>
    <row r="6259">
      <c r="A6259" s="155" t="n">
        <v>46110</v>
      </c>
      <c r="B6259" s="156" t="inlineStr">
        <is>
          <t>DS</t>
        </is>
      </c>
      <c r="C6259" s="156" t="inlineStr">
        <is>
          <t>DT-524</t>
        </is>
      </c>
      <c r="D6259" s="156" t="inlineStr">
        <is>
          <t>SKT 105S</t>
        </is>
      </c>
      <c r="E6259" s="156" t="inlineStr">
        <is>
          <t>Hauler</t>
        </is>
      </c>
      <c r="F6259" s="156" t="inlineStr">
        <is>
          <t>Hauling OB</t>
        </is>
      </c>
      <c r="G6259" s="182" t="n">
        <v>5.73</v>
      </c>
      <c r="H6259" s="182" t="n">
        <v>0</v>
      </c>
      <c r="I6259" s="182" t="n">
        <v>1.77</v>
      </c>
      <c r="J6259" s="182" t="n">
        <v>1.77</v>
      </c>
      <c r="K6259" s="182" t="n">
        <v>4.5</v>
      </c>
      <c r="L6259" s="182" t="n">
        <v>12</v>
      </c>
      <c r="M6259" s="182" t="n">
        <v>5.73</v>
      </c>
      <c r="N6259" s="182" t="n">
        <v>0</v>
      </c>
      <c r="O6259" s="183" t="n">
        <v>16</v>
      </c>
      <c r="P6259" s="183" t="n">
        <v>0</v>
      </c>
      <c r="Q6259" s="184" t="n">
        <v>326.4</v>
      </c>
      <c r="R6259" s="184" t="n">
        <v>0</v>
      </c>
      <c r="S6259" s="183" t="n">
        <v>0</v>
      </c>
      <c r="T6259" s="183" t="n">
        <v>0</v>
      </c>
      <c r="U6259" s="182" t="n">
        <v>0</v>
      </c>
      <c r="V6259" s="182" t="n">
        <v>0</v>
      </c>
      <c r="W6259" s="182" t="n">
        <v>0</v>
      </c>
      <c r="X6259" s="182" t="n">
        <v>0.93</v>
      </c>
      <c r="Y6259" s="182" t="n">
        <v>0</v>
      </c>
      <c r="Z6259" s="182" t="n">
        <v>0</v>
      </c>
      <c r="AA6259" s="182" t="n">
        <v>0</v>
      </c>
      <c r="AB6259" s="182" t="n">
        <v>0.93</v>
      </c>
      <c r="AC6259" s="182" t="n">
        <v>0</v>
      </c>
      <c r="AD6259" s="182" t="n">
        <v>0</v>
      </c>
      <c r="AE6259" s="182" t="n">
        <v>0</v>
      </c>
      <c r="AF6259" s="182" t="n">
        <v>0</v>
      </c>
      <c r="AG6259" s="182" t="n">
        <v>0</v>
      </c>
      <c r="AH6259" s="182" t="n">
        <v>0</v>
      </c>
      <c r="AI6259" s="182" t="n">
        <v>2.56</v>
      </c>
      <c r="AJ6259" s="182" t="n">
        <v>0</v>
      </c>
      <c r="AK6259" s="182" t="n">
        <v>0</v>
      </c>
      <c r="AL6259" s="182" t="n">
        <v>0</v>
      </c>
      <c r="AM6259" s="182" t="n">
        <v>0.07000000000000001</v>
      </c>
      <c r="AN6259" s="182" t="n">
        <v>0</v>
      </c>
    </row>
    <row r="6260">
      <c r="A6260" s="155" t="n">
        <v>46110</v>
      </c>
      <c r="B6260" s="156" t="inlineStr">
        <is>
          <t>DS</t>
        </is>
      </c>
      <c r="C6260" s="156" t="inlineStr">
        <is>
          <t>DT-341</t>
        </is>
      </c>
      <c r="D6260" s="156" t="inlineStr">
        <is>
          <t>SYZ324C-8W</t>
        </is>
      </c>
      <c r="E6260" s="156" t="inlineStr">
        <is>
          <t>Hauler</t>
        </is>
      </c>
      <c r="F6260" s="156" t="inlineStr">
        <is>
          <t>Rehandling Material di Washing Plant</t>
        </is>
      </c>
      <c r="G6260" s="182" t="n">
        <v>4.45</v>
      </c>
      <c r="H6260" s="182" t="n">
        <v>0</v>
      </c>
      <c r="I6260" s="182" t="n">
        <v>1</v>
      </c>
      <c r="J6260" s="182" t="n">
        <v>1</v>
      </c>
      <c r="K6260" s="182" t="n">
        <v>6.55</v>
      </c>
      <c r="L6260" s="182" t="n">
        <v>12</v>
      </c>
      <c r="M6260" s="182" t="n">
        <v>0</v>
      </c>
      <c r="N6260" s="182" t="n">
        <v>0</v>
      </c>
      <c r="O6260" s="183" t="n">
        <v>0</v>
      </c>
      <c r="P6260" s="183" t="n">
        <v>0</v>
      </c>
      <c r="Q6260" s="184" t="n">
        <v>0</v>
      </c>
      <c r="R6260" s="184" t="n">
        <v>0</v>
      </c>
      <c r="S6260" s="183" t="n">
        <v>0</v>
      </c>
      <c r="T6260" s="183" t="n">
        <v>0</v>
      </c>
      <c r="U6260" s="182" t="n">
        <v>0</v>
      </c>
      <c r="V6260" s="182" t="n">
        <v>0</v>
      </c>
      <c r="W6260" s="182" t="n">
        <v>0</v>
      </c>
      <c r="X6260" s="182" t="n">
        <v>0.96</v>
      </c>
      <c r="Y6260" s="182" t="n">
        <v>0</v>
      </c>
      <c r="Z6260" s="182" t="n">
        <v>0</v>
      </c>
      <c r="AA6260" s="182" t="n">
        <v>0</v>
      </c>
      <c r="AB6260" s="182" t="n">
        <v>0.96</v>
      </c>
      <c r="AC6260" s="182" t="n">
        <v>0</v>
      </c>
      <c r="AD6260" s="182" t="n">
        <v>0</v>
      </c>
      <c r="AE6260" s="182" t="n">
        <v>0</v>
      </c>
      <c r="AF6260" s="182" t="n">
        <v>0</v>
      </c>
      <c r="AG6260" s="182" t="n">
        <v>0</v>
      </c>
      <c r="AH6260" s="182" t="n">
        <v>0</v>
      </c>
      <c r="AI6260" s="182" t="n">
        <v>0</v>
      </c>
      <c r="AJ6260" s="182" t="n">
        <v>0</v>
      </c>
      <c r="AK6260" s="182" t="n">
        <v>4.55</v>
      </c>
      <c r="AL6260" s="182" t="n">
        <v>0</v>
      </c>
      <c r="AM6260" s="182" t="n">
        <v>0.08</v>
      </c>
      <c r="AN6260" s="182" t="n">
        <v>0</v>
      </c>
    </row>
    <row r="6261">
      <c r="A6261" s="155" t="n">
        <v>46110</v>
      </c>
      <c r="B6261" s="156" t="inlineStr">
        <is>
          <t>DS</t>
        </is>
      </c>
      <c r="C6261" s="156" t="inlineStr">
        <is>
          <t>DT-342</t>
        </is>
      </c>
      <c r="D6261" s="156" t="inlineStr">
        <is>
          <t>SYZ324C-8W</t>
        </is>
      </c>
      <c r="E6261" s="156" t="inlineStr">
        <is>
          <t>Hauler</t>
        </is>
      </c>
      <c r="F6261" s="156" t="inlineStr">
        <is>
          <t>Rehandling Material di Washing Plant</t>
        </is>
      </c>
      <c r="G6261" s="182" t="n">
        <v>5.58</v>
      </c>
      <c r="H6261" s="182" t="n">
        <v>0</v>
      </c>
      <c r="I6261" s="182" t="n">
        <v>0</v>
      </c>
      <c r="J6261" s="182" t="n">
        <v>0</v>
      </c>
      <c r="K6261" s="182" t="n">
        <v>6.42</v>
      </c>
      <c r="L6261" s="182" t="n">
        <v>12</v>
      </c>
      <c r="M6261" s="182" t="n">
        <v>0</v>
      </c>
      <c r="N6261" s="182" t="n">
        <v>0</v>
      </c>
      <c r="O6261" s="183" t="n">
        <v>0</v>
      </c>
      <c r="P6261" s="183" t="n">
        <v>0</v>
      </c>
      <c r="Q6261" s="184" t="n">
        <v>0</v>
      </c>
      <c r="R6261" s="184" t="n">
        <v>0</v>
      </c>
      <c r="S6261" s="183" t="n">
        <v>0</v>
      </c>
      <c r="T6261" s="183" t="n">
        <v>0</v>
      </c>
      <c r="U6261" s="182" t="n">
        <v>0</v>
      </c>
      <c r="V6261" s="182" t="n">
        <v>0</v>
      </c>
      <c r="W6261" s="182" t="n">
        <v>0</v>
      </c>
      <c r="X6261" s="182" t="n">
        <v>1.02</v>
      </c>
      <c r="Y6261" s="182" t="n">
        <v>0</v>
      </c>
      <c r="Z6261" s="182" t="n">
        <v>0</v>
      </c>
      <c r="AA6261" s="182" t="n">
        <v>0</v>
      </c>
      <c r="AB6261" s="182" t="n">
        <v>1.02</v>
      </c>
      <c r="AC6261" s="182" t="n">
        <v>0</v>
      </c>
      <c r="AD6261" s="182" t="n">
        <v>0</v>
      </c>
      <c r="AE6261" s="182" t="n">
        <v>0</v>
      </c>
      <c r="AF6261" s="182" t="n">
        <v>0</v>
      </c>
      <c r="AG6261" s="182" t="n">
        <v>0</v>
      </c>
      <c r="AH6261" s="182" t="n">
        <v>0</v>
      </c>
      <c r="AI6261" s="182" t="n">
        <v>0</v>
      </c>
      <c r="AJ6261" s="182" t="n">
        <v>0</v>
      </c>
      <c r="AK6261" s="182" t="n">
        <v>4.3</v>
      </c>
      <c r="AL6261" s="182" t="n">
        <v>0</v>
      </c>
      <c r="AM6261" s="182" t="n">
        <v>0.08</v>
      </c>
      <c r="AN6261" s="182" t="n">
        <v>0</v>
      </c>
    </row>
    <row r="6262">
      <c r="A6262" s="155" t="n">
        <v>46110</v>
      </c>
      <c r="B6262" s="156" t="inlineStr">
        <is>
          <t>DS</t>
        </is>
      </c>
      <c r="C6262" s="156" t="inlineStr">
        <is>
          <t>HD-903</t>
        </is>
      </c>
      <c r="D6262" s="156" t="inlineStr">
        <is>
          <t>SRT 95C</t>
        </is>
      </c>
      <c r="E6262" s="156" t="inlineStr">
        <is>
          <t>Hauler</t>
        </is>
      </c>
      <c r="F6262" s="156" t="inlineStr"/>
      <c r="G6262" s="182" t="n">
        <v>0</v>
      </c>
      <c r="H6262" s="182" t="n">
        <v>0</v>
      </c>
      <c r="I6262" s="182" t="n">
        <v>12</v>
      </c>
      <c r="J6262" s="182" t="n">
        <v>12</v>
      </c>
      <c r="K6262" s="182" t="n">
        <v>0</v>
      </c>
      <c r="L6262" s="182" t="n">
        <v>12</v>
      </c>
      <c r="M6262" s="182" t="n">
        <v>0</v>
      </c>
      <c r="N6262" s="182" t="n">
        <v>0</v>
      </c>
      <c r="O6262" s="183" t="n">
        <v>0</v>
      </c>
      <c r="P6262" s="183" t="n">
        <v>0</v>
      </c>
      <c r="Q6262" s="184" t="n">
        <v>0</v>
      </c>
      <c r="R6262" s="184" t="n">
        <v>0</v>
      </c>
      <c r="S6262" s="183" t="n">
        <v>0</v>
      </c>
      <c r="T6262" s="183" t="n">
        <v>0</v>
      </c>
      <c r="U6262" s="182" t="n">
        <v>0</v>
      </c>
      <c r="V6262" s="182" t="n">
        <v>0</v>
      </c>
      <c r="W6262" s="182" t="n">
        <v>0</v>
      </c>
      <c r="X6262" s="182" t="n">
        <v>0</v>
      </c>
      <c r="Y6262" s="182" t="n">
        <v>0</v>
      </c>
      <c r="Z6262" s="182" t="n">
        <v>0</v>
      </c>
      <c r="AA6262" s="182" t="n">
        <v>0</v>
      </c>
      <c r="AB6262" s="182" t="n">
        <v>0</v>
      </c>
      <c r="AC6262" s="182" t="n">
        <v>0</v>
      </c>
      <c r="AD6262" s="182" t="n">
        <v>0</v>
      </c>
      <c r="AE6262" s="182" t="n">
        <v>0</v>
      </c>
      <c r="AF6262" s="182" t="n">
        <v>0</v>
      </c>
      <c r="AG6262" s="182" t="n">
        <v>0</v>
      </c>
      <c r="AH6262" s="182" t="n">
        <v>0</v>
      </c>
      <c r="AI6262" s="182" t="n">
        <v>0</v>
      </c>
      <c r="AJ6262" s="182" t="n">
        <v>0</v>
      </c>
      <c r="AK6262" s="182" t="n">
        <v>0</v>
      </c>
      <c r="AL6262" s="182" t="n">
        <v>0</v>
      </c>
      <c r="AM6262" s="182" t="n">
        <v>0</v>
      </c>
      <c r="AN6262" s="182" t="n">
        <v>0</v>
      </c>
    </row>
    <row r="6263">
      <c r="A6263" s="155" t="n">
        <v>46110</v>
      </c>
      <c r="B6263" s="156" t="inlineStr">
        <is>
          <t>DS</t>
        </is>
      </c>
      <c r="C6263" s="156" t="inlineStr">
        <is>
          <t>HD-905</t>
        </is>
      </c>
      <c r="D6263" s="156" t="inlineStr">
        <is>
          <t>SRT 95C</t>
        </is>
      </c>
      <c r="E6263" s="156" t="inlineStr">
        <is>
          <t>Hauler</t>
        </is>
      </c>
      <c r="F6263" s="156" t="inlineStr">
        <is>
          <t>Hauling OB</t>
        </is>
      </c>
      <c r="G6263" s="182" t="n">
        <v>9.35</v>
      </c>
      <c r="H6263" s="182" t="n">
        <v>0</v>
      </c>
      <c r="I6263" s="182" t="n">
        <v>0</v>
      </c>
      <c r="J6263" s="182" t="n">
        <v>0</v>
      </c>
      <c r="K6263" s="182" t="n">
        <v>2.65</v>
      </c>
      <c r="L6263" s="182" t="n">
        <v>12</v>
      </c>
      <c r="M6263" s="182" t="n">
        <v>9.35</v>
      </c>
      <c r="N6263" s="182" t="n">
        <v>0</v>
      </c>
      <c r="O6263" s="183" t="n">
        <v>38</v>
      </c>
      <c r="P6263" s="183" t="n">
        <v>0</v>
      </c>
      <c r="Q6263" s="184" t="n">
        <v>1356.6</v>
      </c>
      <c r="R6263" s="184" t="n">
        <v>0</v>
      </c>
      <c r="S6263" s="183" t="n">
        <v>0</v>
      </c>
      <c r="T6263" s="183" t="n">
        <v>0</v>
      </c>
      <c r="U6263" s="182" t="n">
        <v>0</v>
      </c>
      <c r="V6263" s="182" t="n">
        <v>0</v>
      </c>
      <c r="W6263" s="182" t="n">
        <v>0</v>
      </c>
      <c r="X6263" s="182" t="n">
        <v>0.98</v>
      </c>
      <c r="Y6263" s="182" t="n">
        <v>0</v>
      </c>
      <c r="Z6263" s="182" t="n">
        <v>0</v>
      </c>
      <c r="AA6263" s="182" t="n">
        <v>0</v>
      </c>
      <c r="AB6263" s="182" t="n">
        <v>0.98</v>
      </c>
      <c r="AC6263" s="182" t="n">
        <v>0</v>
      </c>
      <c r="AD6263" s="182" t="n">
        <v>0</v>
      </c>
      <c r="AE6263" s="182" t="n">
        <v>0</v>
      </c>
      <c r="AF6263" s="182" t="n">
        <v>0</v>
      </c>
      <c r="AG6263" s="182" t="n">
        <v>0</v>
      </c>
      <c r="AH6263" s="182" t="n">
        <v>0.61</v>
      </c>
      <c r="AI6263" s="182" t="n">
        <v>0</v>
      </c>
      <c r="AJ6263" s="182" t="n">
        <v>0</v>
      </c>
      <c r="AK6263" s="182" t="n">
        <v>0</v>
      </c>
      <c r="AL6263" s="182" t="n">
        <v>0</v>
      </c>
      <c r="AM6263" s="182" t="n">
        <v>0.08</v>
      </c>
      <c r="AN6263" s="182" t="n">
        <v>0</v>
      </c>
    </row>
    <row r="6264">
      <c r="A6264" s="155" t="n">
        <v>46110</v>
      </c>
      <c r="B6264" s="156" t="inlineStr">
        <is>
          <t>DS</t>
        </is>
      </c>
      <c r="C6264" s="156" t="inlineStr">
        <is>
          <t>HD-901</t>
        </is>
      </c>
      <c r="D6264" s="156" t="inlineStr">
        <is>
          <t>SRT 95C</t>
        </is>
      </c>
      <c r="E6264" s="156" t="inlineStr">
        <is>
          <t>Hauler</t>
        </is>
      </c>
      <c r="F6264" s="156" t="inlineStr">
        <is>
          <t>Hauling OB</t>
        </is>
      </c>
      <c r="G6264" s="182" t="n">
        <v>9.77</v>
      </c>
      <c r="H6264" s="182" t="n">
        <v>0</v>
      </c>
      <c r="I6264" s="182" t="n">
        <v>0</v>
      </c>
      <c r="J6264" s="182" t="n">
        <v>0</v>
      </c>
      <c r="K6264" s="182" t="n">
        <v>2.23</v>
      </c>
      <c r="L6264" s="182" t="n">
        <v>12</v>
      </c>
      <c r="M6264" s="182" t="n">
        <v>9.77</v>
      </c>
      <c r="N6264" s="182" t="n">
        <v>0</v>
      </c>
      <c r="O6264" s="183" t="n">
        <v>35</v>
      </c>
      <c r="P6264" s="183" t="n">
        <v>0</v>
      </c>
      <c r="Q6264" s="184" t="n">
        <v>1249.5</v>
      </c>
      <c r="R6264" s="184" t="n">
        <v>0</v>
      </c>
      <c r="S6264" s="183" t="n">
        <v>0</v>
      </c>
      <c r="T6264" s="183" t="n">
        <v>0</v>
      </c>
      <c r="U6264" s="182" t="n">
        <v>0</v>
      </c>
      <c r="V6264" s="182" t="n">
        <v>0</v>
      </c>
      <c r="W6264" s="182" t="n">
        <v>0</v>
      </c>
      <c r="X6264" s="182" t="n">
        <v>0.89</v>
      </c>
      <c r="Y6264" s="182" t="n">
        <v>0</v>
      </c>
      <c r="Z6264" s="182" t="n">
        <v>0</v>
      </c>
      <c r="AA6264" s="182" t="n">
        <v>0</v>
      </c>
      <c r="AB6264" s="182" t="n">
        <v>0.89</v>
      </c>
      <c r="AC6264" s="182" t="n">
        <v>0</v>
      </c>
      <c r="AD6264" s="182" t="n">
        <v>0</v>
      </c>
      <c r="AE6264" s="182" t="n">
        <v>0</v>
      </c>
      <c r="AF6264" s="182" t="n">
        <v>0</v>
      </c>
      <c r="AG6264" s="182" t="n">
        <v>0</v>
      </c>
      <c r="AH6264" s="182" t="n">
        <v>0.37</v>
      </c>
      <c r="AI6264" s="182" t="n">
        <v>0</v>
      </c>
      <c r="AJ6264" s="182" t="n">
        <v>0</v>
      </c>
      <c r="AK6264" s="182" t="n">
        <v>0</v>
      </c>
      <c r="AL6264" s="182" t="n">
        <v>0</v>
      </c>
      <c r="AM6264" s="182" t="n">
        <v>0.07000000000000001</v>
      </c>
      <c r="AN6264" s="182" t="n">
        <v>0</v>
      </c>
    </row>
    <row r="6265">
      <c r="A6265" s="155" t="n">
        <v>46110</v>
      </c>
      <c r="B6265" s="156" t="inlineStr">
        <is>
          <t>DS</t>
        </is>
      </c>
      <c r="C6265" s="156" t="inlineStr">
        <is>
          <t>HD-904</t>
        </is>
      </c>
      <c r="D6265" s="156" t="inlineStr">
        <is>
          <t>SRT 95C</t>
        </is>
      </c>
      <c r="E6265" s="156" t="inlineStr">
        <is>
          <t>Hauler</t>
        </is>
      </c>
      <c r="F6265" s="156" t="inlineStr"/>
      <c r="G6265" s="182" t="n">
        <v>0</v>
      </c>
      <c r="H6265" s="182" t="n">
        <v>0</v>
      </c>
      <c r="I6265" s="182" t="n">
        <v>0</v>
      </c>
      <c r="J6265" s="182" t="n">
        <v>0</v>
      </c>
      <c r="K6265" s="182" t="n">
        <v>12</v>
      </c>
      <c r="L6265" s="182" t="n">
        <v>12</v>
      </c>
      <c r="M6265" s="182" t="n">
        <v>0</v>
      </c>
      <c r="N6265" s="182" t="n">
        <v>0</v>
      </c>
      <c r="O6265" s="183" t="n">
        <v>0</v>
      </c>
      <c r="P6265" s="183" t="n">
        <v>0</v>
      </c>
      <c r="Q6265" s="184" t="n">
        <v>0</v>
      </c>
      <c r="R6265" s="184" t="n">
        <v>0</v>
      </c>
      <c r="S6265" s="183" t="n">
        <v>0</v>
      </c>
      <c r="T6265" s="183" t="n">
        <v>0</v>
      </c>
      <c r="U6265" s="182" t="n">
        <v>0</v>
      </c>
      <c r="V6265" s="182" t="n">
        <v>0</v>
      </c>
      <c r="W6265" s="182" t="n">
        <v>0</v>
      </c>
      <c r="X6265" s="182" t="n">
        <v>1</v>
      </c>
      <c r="Y6265" s="182" t="n">
        <v>0</v>
      </c>
      <c r="Z6265" s="182" t="n">
        <v>0</v>
      </c>
      <c r="AA6265" s="182" t="n">
        <v>0</v>
      </c>
      <c r="AB6265" s="182" t="n">
        <v>1</v>
      </c>
      <c r="AC6265" s="182" t="n">
        <v>0</v>
      </c>
      <c r="AD6265" s="182" t="n">
        <v>0</v>
      </c>
      <c r="AE6265" s="182" t="n">
        <v>0</v>
      </c>
      <c r="AF6265" s="182" t="n">
        <v>0</v>
      </c>
      <c r="AG6265" s="182" t="n">
        <v>0</v>
      </c>
      <c r="AH6265" s="182" t="n">
        <v>0</v>
      </c>
      <c r="AI6265" s="182" t="n">
        <v>9.92</v>
      </c>
      <c r="AJ6265" s="182" t="n">
        <v>0</v>
      </c>
      <c r="AK6265" s="182" t="n">
        <v>0</v>
      </c>
      <c r="AL6265" s="182" t="n">
        <v>0</v>
      </c>
      <c r="AM6265" s="182" t="n">
        <v>0.08</v>
      </c>
      <c r="AN6265" s="182" t="n">
        <v>0</v>
      </c>
    </row>
    <row r="6266">
      <c r="A6266" s="155" t="n">
        <v>46110</v>
      </c>
      <c r="B6266" s="156" t="inlineStr">
        <is>
          <t>DS</t>
        </is>
      </c>
      <c r="C6266" s="156" t="inlineStr">
        <is>
          <t>HD-902</t>
        </is>
      </c>
      <c r="D6266" s="156" t="inlineStr">
        <is>
          <t>SRT 95C</t>
        </is>
      </c>
      <c r="E6266" s="156" t="inlineStr">
        <is>
          <t>Hauler</t>
        </is>
      </c>
      <c r="F6266" s="156" t="inlineStr">
        <is>
          <t>Hauling OB</t>
        </is>
      </c>
      <c r="G6266" s="182" t="n">
        <v>9.300000000000001</v>
      </c>
      <c r="H6266" s="182" t="n">
        <v>0</v>
      </c>
      <c r="I6266" s="182" t="n">
        <v>0</v>
      </c>
      <c r="J6266" s="182" t="n">
        <v>0</v>
      </c>
      <c r="K6266" s="182" t="n">
        <v>2.7</v>
      </c>
      <c r="L6266" s="182" t="n">
        <v>12</v>
      </c>
      <c r="M6266" s="182" t="n">
        <v>9.300000000000001</v>
      </c>
      <c r="N6266" s="182" t="n">
        <v>0</v>
      </c>
      <c r="O6266" s="183" t="n">
        <v>34</v>
      </c>
      <c r="P6266" s="183" t="n">
        <v>0</v>
      </c>
      <c r="Q6266" s="184" t="n">
        <v>1213.8</v>
      </c>
      <c r="R6266" s="184" t="n">
        <v>0</v>
      </c>
      <c r="S6266" s="183" t="n">
        <v>0</v>
      </c>
      <c r="T6266" s="183" t="n">
        <v>0</v>
      </c>
      <c r="U6266" s="182" t="n">
        <v>0</v>
      </c>
      <c r="V6266" s="182" t="n">
        <v>0</v>
      </c>
      <c r="W6266" s="182" t="n">
        <v>0</v>
      </c>
      <c r="X6266" s="182" t="n">
        <v>0.96</v>
      </c>
      <c r="Y6266" s="182" t="n">
        <v>0</v>
      </c>
      <c r="Z6266" s="182" t="n">
        <v>0</v>
      </c>
      <c r="AA6266" s="182" t="n">
        <v>0</v>
      </c>
      <c r="AB6266" s="182" t="n">
        <v>0.96</v>
      </c>
      <c r="AC6266" s="182" t="n">
        <v>0</v>
      </c>
      <c r="AD6266" s="182" t="n">
        <v>0</v>
      </c>
      <c r="AE6266" s="182" t="n">
        <v>0</v>
      </c>
      <c r="AF6266" s="182" t="n">
        <v>0</v>
      </c>
      <c r="AG6266" s="182" t="n">
        <v>0</v>
      </c>
      <c r="AH6266" s="182" t="n">
        <v>0.6899999999999999</v>
      </c>
      <c r="AI6266" s="182" t="n">
        <v>0</v>
      </c>
      <c r="AJ6266" s="182" t="n">
        <v>0</v>
      </c>
      <c r="AK6266" s="182" t="n">
        <v>0</v>
      </c>
      <c r="AL6266" s="182" t="n">
        <v>0</v>
      </c>
      <c r="AM6266" s="182" t="n">
        <v>0.08</v>
      </c>
      <c r="AN6266" s="182" t="n">
        <v>0</v>
      </c>
    </row>
    <row r="6267">
      <c r="A6267" s="155" t="n">
        <v>46110</v>
      </c>
      <c r="B6267" s="156" t="inlineStr">
        <is>
          <t>DS</t>
        </is>
      </c>
      <c r="C6267" s="156" t="inlineStr">
        <is>
          <t>WL-025</t>
        </is>
      </c>
      <c r="D6267" s="156" t="inlineStr">
        <is>
          <t>SANY - Loader</t>
        </is>
      </c>
      <c r="E6267" s="156" t="inlineStr">
        <is>
          <t>Loader</t>
        </is>
      </c>
      <c r="F6267" s="156" t="inlineStr"/>
      <c r="G6267" s="182" t="n">
        <v>0</v>
      </c>
      <c r="H6267" s="182" t="n">
        <v>0</v>
      </c>
      <c r="I6267" s="182" t="n">
        <v>0</v>
      </c>
      <c r="J6267" s="182" t="n">
        <v>0</v>
      </c>
      <c r="K6267" s="182" t="n">
        <v>12</v>
      </c>
      <c r="L6267" s="182" t="n">
        <v>12</v>
      </c>
      <c r="M6267" s="182" t="n">
        <v>0</v>
      </c>
      <c r="N6267" s="182" t="n">
        <v>0</v>
      </c>
      <c r="O6267" s="183" t="n">
        <v>0</v>
      </c>
      <c r="P6267" s="183" t="n">
        <v>0</v>
      </c>
      <c r="Q6267" s="184" t="n">
        <v>0</v>
      </c>
      <c r="R6267" s="184" t="n">
        <v>0</v>
      </c>
      <c r="S6267" s="183" t="n">
        <v>0</v>
      </c>
      <c r="T6267" s="183" t="n">
        <v>0</v>
      </c>
      <c r="U6267" s="182" t="n">
        <v>0</v>
      </c>
      <c r="V6267" s="182" t="n">
        <v>0</v>
      </c>
      <c r="W6267" s="182" t="n">
        <v>0</v>
      </c>
      <c r="X6267" s="182" t="n">
        <v>1</v>
      </c>
      <c r="Y6267" s="182" t="n">
        <v>0</v>
      </c>
      <c r="Z6267" s="182" t="n">
        <v>0</v>
      </c>
      <c r="AA6267" s="182" t="n">
        <v>0</v>
      </c>
      <c r="AB6267" s="182" t="n">
        <v>1</v>
      </c>
      <c r="AC6267" s="182" t="n">
        <v>0</v>
      </c>
      <c r="AD6267" s="182" t="n">
        <v>0</v>
      </c>
      <c r="AE6267" s="182" t="n">
        <v>0</v>
      </c>
      <c r="AF6267" s="182" t="n">
        <v>0</v>
      </c>
      <c r="AG6267" s="182" t="n">
        <v>0</v>
      </c>
      <c r="AH6267" s="182" t="n">
        <v>0</v>
      </c>
      <c r="AI6267" s="182" t="n">
        <v>0</v>
      </c>
      <c r="AJ6267" s="182" t="n">
        <v>0</v>
      </c>
      <c r="AK6267" s="182" t="n">
        <v>9.92</v>
      </c>
      <c r="AL6267" s="182" t="n">
        <v>0</v>
      </c>
      <c r="AM6267" s="182" t="n">
        <v>0.08</v>
      </c>
      <c r="AN6267" s="182" t="n">
        <v>0</v>
      </c>
    </row>
    <row r="6268">
      <c r="A6268" s="155" t="n">
        <v>46110</v>
      </c>
      <c r="B6268" s="156" t="inlineStr">
        <is>
          <t>DS</t>
        </is>
      </c>
      <c r="C6268" s="156" t="inlineStr">
        <is>
          <t>WL-023</t>
        </is>
      </c>
      <c r="D6268" s="156" t="inlineStr">
        <is>
          <t>SANY - Loader</t>
        </is>
      </c>
      <c r="E6268" s="156" t="inlineStr">
        <is>
          <t>Loader</t>
        </is>
      </c>
      <c r="F6268" s="156" t="inlineStr"/>
      <c r="G6268" s="182" t="n">
        <v>0</v>
      </c>
      <c r="H6268" s="182" t="n">
        <v>0</v>
      </c>
      <c r="I6268" s="182" t="n">
        <v>0</v>
      </c>
      <c r="J6268" s="182" t="n">
        <v>0</v>
      </c>
      <c r="K6268" s="182" t="n">
        <v>12</v>
      </c>
      <c r="L6268" s="182" t="n">
        <v>12</v>
      </c>
      <c r="M6268" s="182" t="n">
        <v>0</v>
      </c>
      <c r="N6268" s="182" t="n">
        <v>0</v>
      </c>
      <c r="O6268" s="183" t="n">
        <v>0</v>
      </c>
      <c r="P6268" s="183" t="n">
        <v>0</v>
      </c>
      <c r="Q6268" s="184" t="n">
        <v>0</v>
      </c>
      <c r="R6268" s="184" t="n">
        <v>0</v>
      </c>
      <c r="S6268" s="183" t="n">
        <v>0</v>
      </c>
      <c r="T6268" s="183" t="n">
        <v>0</v>
      </c>
      <c r="U6268" s="182" t="n">
        <v>0</v>
      </c>
      <c r="V6268" s="182" t="n">
        <v>0</v>
      </c>
      <c r="W6268" s="182" t="n">
        <v>0</v>
      </c>
      <c r="X6268" s="182" t="n">
        <v>1</v>
      </c>
      <c r="Y6268" s="182" t="n">
        <v>0</v>
      </c>
      <c r="Z6268" s="182" t="n">
        <v>0</v>
      </c>
      <c r="AA6268" s="182" t="n">
        <v>0</v>
      </c>
      <c r="AB6268" s="182" t="n">
        <v>1</v>
      </c>
      <c r="AC6268" s="182" t="n">
        <v>0</v>
      </c>
      <c r="AD6268" s="182" t="n">
        <v>0</v>
      </c>
      <c r="AE6268" s="182" t="n">
        <v>0</v>
      </c>
      <c r="AF6268" s="182" t="n">
        <v>0</v>
      </c>
      <c r="AG6268" s="182" t="n">
        <v>0</v>
      </c>
      <c r="AH6268" s="182" t="n">
        <v>0</v>
      </c>
      <c r="AI6268" s="182" t="n">
        <v>0</v>
      </c>
      <c r="AJ6268" s="182" t="n">
        <v>0</v>
      </c>
      <c r="AK6268" s="182" t="n">
        <v>9.92</v>
      </c>
      <c r="AL6268" s="182" t="n">
        <v>0</v>
      </c>
      <c r="AM6268" s="182" t="n">
        <v>0.08</v>
      </c>
      <c r="AN6268" s="182" t="n">
        <v>0</v>
      </c>
    </row>
    <row r="6269">
      <c r="A6269" s="155" t="n">
        <v>46110</v>
      </c>
      <c r="B6269" s="156" t="inlineStr">
        <is>
          <t>DS</t>
        </is>
      </c>
      <c r="C6269" s="156" t="inlineStr">
        <is>
          <t>WL-021</t>
        </is>
      </c>
      <c r="D6269" s="156" t="inlineStr">
        <is>
          <t>SANY - Loader</t>
        </is>
      </c>
      <c r="E6269" s="156" t="inlineStr">
        <is>
          <t>Loader</t>
        </is>
      </c>
      <c r="F6269" s="156" t="inlineStr"/>
      <c r="G6269" s="182" t="n">
        <v>0</v>
      </c>
      <c r="H6269" s="182" t="n">
        <v>0</v>
      </c>
      <c r="I6269" s="182" t="n">
        <v>12</v>
      </c>
      <c r="J6269" s="182" t="n">
        <v>12</v>
      </c>
      <c r="K6269" s="182" t="n">
        <v>0</v>
      </c>
      <c r="L6269" s="182" t="n">
        <v>12</v>
      </c>
      <c r="M6269" s="182" t="n">
        <v>0</v>
      </c>
      <c r="N6269" s="182" t="n">
        <v>0</v>
      </c>
      <c r="O6269" s="183" t="n">
        <v>0</v>
      </c>
      <c r="P6269" s="183" t="n">
        <v>0</v>
      </c>
      <c r="Q6269" s="184" t="n">
        <v>0</v>
      </c>
      <c r="R6269" s="184" t="n">
        <v>0</v>
      </c>
      <c r="S6269" s="183" t="n">
        <v>0</v>
      </c>
      <c r="T6269" s="183" t="n">
        <v>0</v>
      </c>
      <c r="U6269" s="182" t="n">
        <v>0</v>
      </c>
      <c r="V6269" s="182" t="n">
        <v>0</v>
      </c>
      <c r="W6269" s="182" t="n">
        <v>0</v>
      </c>
      <c r="X6269" s="182" t="n">
        <v>0</v>
      </c>
      <c r="Y6269" s="182" t="n">
        <v>0</v>
      </c>
      <c r="Z6269" s="182" t="n">
        <v>0</v>
      </c>
      <c r="AA6269" s="182" t="n">
        <v>0</v>
      </c>
      <c r="AB6269" s="182" t="n">
        <v>0</v>
      </c>
      <c r="AC6269" s="182" t="n">
        <v>0</v>
      </c>
      <c r="AD6269" s="182" t="n">
        <v>0</v>
      </c>
      <c r="AE6269" s="182" t="n">
        <v>0</v>
      </c>
      <c r="AF6269" s="182" t="n">
        <v>0</v>
      </c>
      <c r="AG6269" s="182" t="n">
        <v>0</v>
      </c>
      <c r="AH6269" s="182" t="n">
        <v>0</v>
      </c>
      <c r="AI6269" s="182" t="n">
        <v>0</v>
      </c>
      <c r="AJ6269" s="182" t="n">
        <v>0</v>
      </c>
      <c r="AK6269" s="182" t="n">
        <v>0</v>
      </c>
      <c r="AL6269" s="182" t="n">
        <v>0</v>
      </c>
      <c r="AM6269" s="182" t="n">
        <v>0</v>
      </c>
      <c r="AN6269" s="182" t="n">
        <v>0</v>
      </c>
    </row>
    <row r="6270">
      <c r="A6270" s="155" t="n">
        <v>46110</v>
      </c>
      <c r="B6270" s="156" t="inlineStr">
        <is>
          <t>DS</t>
        </is>
      </c>
      <c r="C6270" s="156" t="inlineStr">
        <is>
          <t>WL-022</t>
        </is>
      </c>
      <c r="D6270" s="156" t="inlineStr">
        <is>
          <t>SANY - Loader</t>
        </is>
      </c>
      <c r="E6270" s="156" t="inlineStr">
        <is>
          <t>Loader</t>
        </is>
      </c>
      <c r="F6270" s="156" t="inlineStr">
        <is>
          <t>Support ROM &amp; Washing Plant</t>
        </is>
      </c>
      <c r="G6270" s="182" t="n">
        <v>9.65</v>
      </c>
      <c r="H6270" s="182" t="n">
        <v>0</v>
      </c>
      <c r="I6270" s="182" t="n">
        <v>0</v>
      </c>
      <c r="J6270" s="182" t="n">
        <v>0</v>
      </c>
      <c r="K6270" s="182" t="n">
        <v>2.35</v>
      </c>
      <c r="L6270" s="182" t="n">
        <v>12</v>
      </c>
      <c r="M6270" s="182" t="n">
        <v>0</v>
      </c>
      <c r="N6270" s="182" t="n">
        <v>0</v>
      </c>
      <c r="O6270" s="183" t="n">
        <v>0</v>
      </c>
      <c r="P6270" s="183" t="n">
        <v>0</v>
      </c>
      <c r="Q6270" s="184" t="n">
        <v>0</v>
      </c>
      <c r="R6270" s="184" t="n">
        <v>0</v>
      </c>
      <c r="S6270" s="183" t="n">
        <v>0</v>
      </c>
      <c r="T6270" s="183" t="n">
        <v>0</v>
      </c>
      <c r="U6270" s="182" t="n">
        <v>0</v>
      </c>
      <c r="V6270" s="182" t="n">
        <v>0</v>
      </c>
      <c r="W6270" s="182" t="n">
        <v>0</v>
      </c>
      <c r="X6270" s="182" t="n">
        <v>0.9399999999999999</v>
      </c>
      <c r="Y6270" s="182" t="n">
        <v>0</v>
      </c>
      <c r="Z6270" s="182" t="n">
        <v>0</v>
      </c>
      <c r="AA6270" s="182" t="n">
        <v>0</v>
      </c>
      <c r="AB6270" s="182" t="n">
        <v>0.9399999999999999</v>
      </c>
      <c r="AC6270" s="182" t="n">
        <v>0</v>
      </c>
      <c r="AD6270" s="182" t="n">
        <v>0</v>
      </c>
      <c r="AE6270" s="182" t="n">
        <v>0</v>
      </c>
      <c r="AF6270" s="182" t="n">
        <v>0</v>
      </c>
      <c r="AG6270" s="182" t="n">
        <v>0</v>
      </c>
      <c r="AH6270" s="182" t="n">
        <v>0.39</v>
      </c>
      <c r="AI6270" s="182" t="n">
        <v>0</v>
      </c>
      <c r="AJ6270" s="182" t="n">
        <v>0</v>
      </c>
      <c r="AK6270" s="182" t="n">
        <v>0</v>
      </c>
      <c r="AL6270" s="182" t="n">
        <v>0</v>
      </c>
      <c r="AM6270" s="182" t="n">
        <v>0.08</v>
      </c>
      <c r="AN6270" s="182" t="n">
        <v>0</v>
      </c>
    </row>
    <row r="6271">
      <c r="A6271" s="155" t="n">
        <v>46110</v>
      </c>
      <c r="B6271" s="156" t="inlineStr">
        <is>
          <t>DS</t>
        </is>
      </c>
      <c r="C6271" s="156" t="inlineStr">
        <is>
          <t>WL-024</t>
        </is>
      </c>
      <c r="D6271" s="156" t="inlineStr">
        <is>
          <t>SANY - Loader</t>
        </is>
      </c>
      <c r="E6271" s="156" t="inlineStr">
        <is>
          <t>Loader</t>
        </is>
      </c>
      <c r="F6271" s="156" t="inlineStr">
        <is>
          <t>Support Washing Plant</t>
        </is>
      </c>
      <c r="G6271" s="182" t="n">
        <v>9.289999999999999</v>
      </c>
      <c r="H6271" s="182" t="n">
        <v>0</v>
      </c>
      <c r="I6271" s="182" t="n">
        <v>0</v>
      </c>
      <c r="J6271" s="182" t="n">
        <v>0</v>
      </c>
      <c r="K6271" s="182" t="n">
        <v>2.71</v>
      </c>
      <c r="L6271" s="182" t="n">
        <v>12</v>
      </c>
      <c r="M6271" s="182" t="n">
        <v>0</v>
      </c>
      <c r="N6271" s="182" t="n">
        <v>0</v>
      </c>
      <c r="O6271" s="183" t="n">
        <v>0</v>
      </c>
      <c r="P6271" s="183" t="n">
        <v>0</v>
      </c>
      <c r="Q6271" s="184" t="n">
        <v>0</v>
      </c>
      <c r="R6271" s="184" t="n">
        <v>0</v>
      </c>
      <c r="S6271" s="183" t="n">
        <v>0</v>
      </c>
      <c r="T6271" s="183" t="n">
        <v>0</v>
      </c>
      <c r="U6271" s="182" t="n">
        <v>0</v>
      </c>
      <c r="V6271" s="182" t="n">
        <v>0</v>
      </c>
      <c r="W6271" s="182" t="n">
        <v>0</v>
      </c>
      <c r="X6271" s="182" t="n">
        <v>1.13</v>
      </c>
      <c r="Y6271" s="182" t="n">
        <v>0</v>
      </c>
      <c r="Z6271" s="182" t="n">
        <v>0</v>
      </c>
      <c r="AA6271" s="182" t="n">
        <v>0</v>
      </c>
      <c r="AB6271" s="182" t="n">
        <v>1.13</v>
      </c>
      <c r="AC6271" s="182" t="n">
        <v>0</v>
      </c>
      <c r="AD6271" s="182" t="n">
        <v>0</v>
      </c>
      <c r="AE6271" s="182" t="n">
        <v>0</v>
      </c>
      <c r="AF6271" s="182" t="n">
        <v>0</v>
      </c>
      <c r="AG6271" s="182" t="n">
        <v>0</v>
      </c>
      <c r="AH6271" s="182" t="n">
        <v>0.36</v>
      </c>
      <c r="AI6271" s="182" t="n">
        <v>0</v>
      </c>
      <c r="AJ6271" s="182" t="n">
        <v>0</v>
      </c>
      <c r="AK6271" s="182" t="n">
        <v>0</v>
      </c>
      <c r="AL6271" s="182" t="n">
        <v>0</v>
      </c>
      <c r="AM6271" s="182" t="n">
        <v>0.09</v>
      </c>
      <c r="AN6271" s="182" t="n">
        <v>0</v>
      </c>
    </row>
    <row r="6272">
      <c r="A6272" s="155" t="n">
        <v>46110</v>
      </c>
      <c r="B6272" s="156" t="inlineStr">
        <is>
          <t>NS</t>
        </is>
      </c>
      <c r="C6272" s="156" t="inlineStr">
        <is>
          <t>DZ-034</t>
        </is>
      </c>
      <c r="D6272" s="156" t="inlineStr">
        <is>
          <t>D 68ESS-12EO</t>
        </is>
      </c>
      <c r="E6272" s="156" t="inlineStr">
        <is>
          <t>Bulldozer</t>
        </is>
      </c>
      <c r="F6272" s="156" t="inlineStr">
        <is>
          <t>Support ROM</t>
        </is>
      </c>
      <c r="G6272" s="182" t="n">
        <v>8.48</v>
      </c>
      <c r="H6272" s="182" t="n">
        <v>0</v>
      </c>
      <c r="I6272" s="182" t="n">
        <v>0</v>
      </c>
      <c r="J6272" s="182" t="n">
        <v>0</v>
      </c>
      <c r="K6272" s="182" t="n">
        <v>3.52</v>
      </c>
      <c r="L6272" s="182" t="n">
        <v>12</v>
      </c>
      <c r="M6272" s="182" t="n">
        <v>0</v>
      </c>
      <c r="N6272" s="182" t="n">
        <v>0</v>
      </c>
      <c r="O6272" s="183" t="n">
        <v>0</v>
      </c>
      <c r="P6272" s="183" t="n">
        <v>0</v>
      </c>
      <c r="Q6272" s="184" t="n">
        <v>0</v>
      </c>
      <c r="R6272" s="184" t="n">
        <v>0</v>
      </c>
      <c r="S6272" s="183" t="n">
        <v>0</v>
      </c>
      <c r="T6272" s="183" t="n">
        <v>0</v>
      </c>
      <c r="U6272" s="182" t="n">
        <v>0</v>
      </c>
      <c r="V6272" s="182" t="n">
        <v>0</v>
      </c>
      <c r="W6272" s="182" t="n">
        <v>0</v>
      </c>
      <c r="X6272" s="182" t="n">
        <v>1.01</v>
      </c>
      <c r="Y6272" s="182" t="n">
        <v>0</v>
      </c>
      <c r="Z6272" s="182" t="n">
        <v>0</v>
      </c>
      <c r="AA6272" s="182" t="n">
        <v>0</v>
      </c>
      <c r="AB6272" s="182" t="n">
        <v>0</v>
      </c>
      <c r="AC6272" s="182" t="n">
        <v>0</v>
      </c>
      <c r="AD6272" s="182" t="n">
        <v>0</v>
      </c>
      <c r="AE6272" s="182" t="n">
        <v>0</v>
      </c>
      <c r="AF6272" s="182" t="n">
        <v>0</v>
      </c>
      <c r="AG6272" s="182" t="n">
        <v>0</v>
      </c>
      <c r="AH6272" s="182" t="n">
        <v>0</v>
      </c>
      <c r="AI6272" s="182" t="n">
        <v>0</v>
      </c>
      <c r="AJ6272" s="182" t="n">
        <v>0</v>
      </c>
      <c r="AK6272" s="182" t="n">
        <v>2.43</v>
      </c>
      <c r="AL6272" s="182" t="n">
        <v>0</v>
      </c>
      <c r="AM6272" s="182" t="n">
        <v>0.08</v>
      </c>
      <c r="AN6272" s="182" t="n">
        <v>0</v>
      </c>
    </row>
    <row r="6273">
      <c r="A6273" s="155" t="n">
        <v>46110</v>
      </c>
      <c r="B6273" s="156" t="inlineStr">
        <is>
          <t>NS</t>
        </is>
      </c>
      <c r="C6273" s="156" t="inlineStr">
        <is>
          <t>DZ-033</t>
        </is>
      </c>
      <c r="D6273" s="156" t="inlineStr">
        <is>
          <t>D 375A-6R</t>
        </is>
      </c>
      <c r="E6273" s="156" t="inlineStr">
        <is>
          <t>Bulldozer</t>
        </is>
      </c>
      <c r="F6273" s="156" t="inlineStr">
        <is>
          <t>Support Disposal</t>
        </is>
      </c>
      <c r="G6273" s="182" t="n">
        <v>9.029999999999999</v>
      </c>
      <c r="H6273" s="182" t="n">
        <v>0</v>
      </c>
      <c r="I6273" s="182" t="n">
        <v>0.68</v>
      </c>
      <c r="J6273" s="182" t="n">
        <v>0.68</v>
      </c>
      <c r="K6273" s="182" t="n">
        <v>2.29</v>
      </c>
      <c r="L6273" s="182" t="n">
        <v>12</v>
      </c>
      <c r="M6273" s="182" t="n">
        <v>0</v>
      </c>
      <c r="N6273" s="182" t="n">
        <v>0</v>
      </c>
      <c r="O6273" s="183" t="n">
        <v>0</v>
      </c>
      <c r="P6273" s="183" t="n">
        <v>0</v>
      </c>
      <c r="Q6273" s="184" t="n">
        <v>0</v>
      </c>
      <c r="R6273" s="184" t="n">
        <v>0</v>
      </c>
      <c r="S6273" s="183" t="n">
        <v>0</v>
      </c>
      <c r="T6273" s="183" t="n">
        <v>0</v>
      </c>
      <c r="U6273" s="182" t="n">
        <v>0</v>
      </c>
      <c r="V6273" s="182" t="n">
        <v>0</v>
      </c>
      <c r="W6273" s="182" t="n">
        <v>0</v>
      </c>
      <c r="X6273" s="182" t="n">
        <v>0.99</v>
      </c>
      <c r="Y6273" s="182" t="n">
        <v>0</v>
      </c>
      <c r="Z6273" s="182" t="n">
        <v>0</v>
      </c>
      <c r="AA6273" s="182" t="n">
        <v>0</v>
      </c>
      <c r="AB6273" s="182" t="n">
        <v>0</v>
      </c>
      <c r="AC6273" s="182" t="n">
        <v>0</v>
      </c>
      <c r="AD6273" s="182" t="n">
        <v>0</v>
      </c>
      <c r="AE6273" s="182" t="n">
        <v>0</v>
      </c>
      <c r="AF6273" s="182" t="n">
        <v>0</v>
      </c>
      <c r="AG6273" s="182" t="n">
        <v>0.59</v>
      </c>
      <c r="AH6273" s="182" t="n">
        <v>0.62</v>
      </c>
      <c r="AI6273" s="182" t="n">
        <v>0</v>
      </c>
      <c r="AJ6273" s="182" t="n">
        <v>0</v>
      </c>
      <c r="AK6273" s="182" t="n">
        <v>0</v>
      </c>
      <c r="AL6273" s="182" t="n">
        <v>0</v>
      </c>
      <c r="AM6273" s="182" t="n">
        <v>0.08</v>
      </c>
      <c r="AN6273" s="182" t="n">
        <v>0</v>
      </c>
    </row>
    <row r="6274">
      <c r="A6274" s="155" t="n">
        <v>46110</v>
      </c>
      <c r="B6274" s="156" t="inlineStr">
        <is>
          <t>NS</t>
        </is>
      </c>
      <c r="C6274" s="156" t="inlineStr">
        <is>
          <t>DZ-038</t>
        </is>
      </c>
      <c r="D6274" s="156" t="inlineStr">
        <is>
          <t>D 85 ESS-2</t>
        </is>
      </c>
      <c r="E6274" s="156" t="inlineStr">
        <is>
          <t>Bulldozer</t>
        </is>
      </c>
      <c r="F6274" s="156" t="inlineStr"/>
      <c r="G6274" s="182" t="n">
        <v>0</v>
      </c>
      <c r="H6274" s="182" t="n">
        <v>0</v>
      </c>
      <c r="I6274" s="182" t="n">
        <v>12</v>
      </c>
      <c r="J6274" s="182" t="n">
        <v>12</v>
      </c>
      <c r="K6274" s="182" t="n">
        <v>0</v>
      </c>
      <c r="L6274" s="182" t="n">
        <v>12</v>
      </c>
      <c r="M6274" s="182" t="n">
        <v>0</v>
      </c>
      <c r="N6274" s="182" t="n">
        <v>0</v>
      </c>
      <c r="O6274" s="183" t="n">
        <v>0</v>
      </c>
      <c r="P6274" s="183" t="n">
        <v>0</v>
      </c>
      <c r="Q6274" s="184" t="n">
        <v>0</v>
      </c>
      <c r="R6274" s="184" t="n">
        <v>0</v>
      </c>
      <c r="S6274" s="183" t="n">
        <v>0</v>
      </c>
      <c r="T6274" s="183" t="n">
        <v>0</v>
      </c>
      <c r="U6274" s="182" t="n">
        <v>0</v>
      </c>
      <c r="V6274" s="182" t="n">
        <v>0</v>
      </c>
      <c r="W6274" s="182" t="n">
        <v>0</v>
      </c>
      <c r="X6274" s="182" t="n">
        <v>0</v>
      </c>
      <c r="Y6274" s="182" t="n">
        <v>0</v>
      </c>
      <c r="Z6274" s="182" t="n">
        <v>0</v>
      </c>
      <c r="AA6274" s="182" t="n">
        <v>0</v>
      </c>
      <c r="AB6274" s="182" t="n">
        <v>0</v>
      </c>
      <c r="AC6274" s="182" t="n">
        <v>0</v>
      </c>
      <c r="AD6274" s="182" t="n">
        <v>0</v>
      </c>
      <c r="AE6274" s="182" t="n">
        <v>0</v>
      </c>
      <c r="AF6274" s="182" t="n">
        <v>0</v>
      </c>
      <c r="AG6274" s="182" t="n">
        <v>0</v>
      </c>
      <c r="AH6274" s="182" t="n">
        <v>0</v>
      </c>
      <c r="AI6274" s="182" t="n">
        <v>0</v>
      </c>
      <c r="AJ6274" s="182" t="n">
        <v>0</v>
      </c>
      <c r="AK6274" s="182" t="n">
        <v>0</v>
      </c>
      <c r="AL6274" s="182" t="n">
        <v>0</v>
      </c>
      <c r="AM6274" s="182" t="n">
        <v>0</v>
      </c>
      <c r="AN6274" s="182" t="n">
        <v>0</v>
      </c>
    </row>
    <row r="6275">
      <c r="A6275" s="155" t="n">
        <v>46110</v>
      </c>
      <c r="B6275" s="156" t="inlineStr">
        <is>
          <t>NS</t>
        </is>
      </c>
      <c r="C6275" s="156" t="inlineStr">
        <is>
          <t>DZ-039</t>
        </is>
      </c>
      <c r="D6275" s="156" t="inlineStr">
        <is>
          <t>D 85 ESS-2</t>
        </is>
      </c>
      <c r="E6275" s="156" t="inlineStr">
        <is>
          <t>Bulldozer</t>
        </is>
      </c>
      <c r="F6275" s="156" t="inlineStr">
        <is>
          <t>Support Front Loading</t>
        </is>
      </c>
      <c r="G6275" s="182" t="n">
        <v>7.15</v>
      </c>
      <c r="H6275" s="182" t="n">
        <v>0</v>
      </c>
      <c r="I6275" s="182" t="n">
        <v>3.33</v>
      </c>
      <c r="J6275" s="182" t="n">
        <v>3.33</v>
      </c>
      <c r="K6275" s="182" t="n">
        <v>1.52</v>
      </c>
      <c r="L6275" s="182" t="n">
        <v>12</v>
      </c>
      <c r="M6275" s="182" t="n">
        <v>0</v>
      </c>
      <c r="N6275" s="182" t="n">
        <v>0</v>
      </c>
      <c r="O6275" s="183" t="n">
        <v>0</v>
      </c>
      <c r="P6275" s="183" t="n">
        <v>0</v>
      </c>
      <c r="Q6275" s="184" t="n">
        <v>0</v>
      </c>
      <c r="R6275" s="184" t="n">
        <v>0</v>
      </c>
      <c r="S6275" s="183" t="n">
        <v>0</v>
      </c>
      <c r="T6275" s="183" t="n">
        <v>0</v>
      </c>
      <c r="U6275" s="182" t="n">
        <v>0</v>
      </c>
      <c r="V6275" s="182" t="n">
        <v>0</v>
      </c>
      <c r="W6275" s="182" t="n">
        <v>0</v>
      </c>
      <c r="X6275" s="182" t="n">
        <v>0.91</v>
      </c>
      <c r="Y6275" s="182" t="n">
        <v>0</v>
      </c>
      <c r="Z6275" s="182" t="n">
        <v>0</v>
      </c>
      <c r="AA6275" s="182" t="n">
        <v>0</v>
      </c>
      <c r="AB6275" s="182" t="n">
        <v>0</v>
      </c>
      <c r="AC6275" s="182" t="n">
        <v>0</v>
      </c>
      <c r="AD6275" s="182" t="n">
        <v>0</v>
      </c>
      <c r="AE6275" s="182" t="n">
        <v>0</v>
      </c>
      <c r="AF6275" s="182" t="n">
        <v>0</v>
      </c>
      <c r="AG6275" s="182" t="n">
        <v>0</v>
      </c>
      <c r="AH6275" s="182" t="n">
        <v>0.53</v>
      </c>
      <c r="AI6275" s="182" t="n">
        <v>0</v>
      </c>
      <c r="AJ6275" s="182" t="n">
        <v>0</v>
      </c>
      <c r="AK6275" s="182" t="n">
        <v>0</v>
      </c>
      <c r="AL6275" s="182" t="n">
        <v>0</v>
      </c>
      <c r="AM6275" s="182" t="n">
        <v>0.07000000000000001</v>
      </c>
      <c r="AN6275" s="182" t="n">
        <v>0</v>
      </c>
    </row>
    <row r="6276">
      <c r="A6276" s="155" t="n">
        <v>46110</v>
      </c>
      <c r="B6276" s="156" t="inlineStr">
        <is>
          <t>NS</t>
        </is>
      </c>
      <c r="C6276" s="156" t="inlineStr">
        <is>
          <t>DZ-032</t>
        </is>
      </c>
      <c r="D6276" s="156" t="inlineStr">
        <is>
          <t>CAT</t>
        </is>
      </c>
      <c r="E6276" s="156" t="inlineStr">
        <is>
          <t>Bulldozer</t>
        </is>
      </c>
      <c r="F6276" s="156" t="inlineStr">
        <is>
          <t>Support Front Loading</t>
        </is>
      </c>
      <c r="G6276" s="182" t="n">
        <v>9.359999999999999</v>
      </c>
      <c r="H6276" s="182" t="n">
        <v>0</v>
      </c>
      <c r="I6276" s="182" t="n">
        <v>0.17</v>
      </c>
      <c r="J6276" s="182" t="n">
        <v>0.17</v>
      </c>
      <c r="K6276" s="182" t="n">
        <v>2.47</v>
      </c>
      <c r="L6276" s="182" t="n">
        <v>12</v>
      </c>
      <c r="M6276" s="182" t="n">
        <v>0</v>
      </c>
      <c r="N6276" s="182" t="n">
        <v>0</v>
      </c>
      <c r="O6276" s="183" t="n">
        <v>0</v>
      </c>
      <c r="P6276" s="183" t="n">
        <v>0</v>
      </c>
      <c r="Q6276" s="184" t="n">
        <v>0</v>
      </c>
      <c r="R6276" s="184" t="n">
        <v>0</v>
      </c>
      <c r="S6276" s="183" t="n">
        <v>0</v>
      </c>
      <c r="T6276" s="183" t="n">
        <v>0</v>
      </c>
      <c r="U6276" s="182" t="n">
        <v>0</v>
      </c>
      <c r="V6276" s="182" t="n">
        <v>0</v>
      </c>
      <c r="W6276" s="182" t="n">
        <v>0</v>
      </c>
      <c r="X6276" s="182" t="n">
        <v>0.9</v>
      </c>
      <c r="Y6276" s="182" t="n">
        <v>0</v>
      </c>
      <c r="Z6276" s="182" t="n">
        <v>0</v>
      </c>
      <c r="AA6276" s="182" t="n">
        <v>0</v>
      </c>
      <c r="AB6276" s="182" t="n">
        <v>0</v>
      </c>
      <c r="AC6276" s="182" t="n">
        <v>0</v>
      </c>
      <c r="AD6276" s="182" t="n">
        <v>0</v>
      </c>
      <c r="AE6276" s="182" t="n">
        <v>0</v>
      </c>
      <c r="AF6276" s="182" t="n">
        <v>0</v>
      </c>
      <c r="AG6276" s="182" t="n">
        <v>0.72</v>
      </c>
      <c r="AH6276" s="182" t="n">
        <v>0.77</v>
      </c>
      <c r="AI6276" s="182" t="n">
        <v>0</v>
      </c>
      <c r="AJ6276" s="182" t="n">
        <v>0</v>
      </c>
      <c r="AK6276" s="182" t="n">
        <v>0</v>
      </c>
      <c r="AL6276" s="182" t="n">
        <v>0</v>
      </c>
      <c r="AM6276" s="182" t="n">
        <v>0.07000000000000001</v>
      </c>
      <c r="AN6276" s="182" t="n">
        <v>0</v>
      </c>
    </row>
    <row r="6277">
      <c r="A6277" s="155" t="n">
        <v>46110</v>
      </c>
      <c r="B6277" s="156" t="inlineStr">
        <is>
          <t>NS</t>
        </is>
      </c>
      <c r="C6277" s="156" t="inlineStr">
        <is>
          <t>DZ-031</t>
        </is>
      </c>
      <c r="D6277" s="156" t="inlineStr">
        <is>
          <t>CAT</t>
        </is>
      </c>
      <c r="E6277" s="156" t="inlineStr">
        <is>
          <t>Bulldozer</t>
        </is>
      </c>
      <c r="F6277" s="156" t="inlineStr"/>
      <c r="G6277" s="182" t="n">
        <v>0</v>
      </c>
      <c r="H6277" s="182" t="n">
        <v>0</v>
      </c>
      <c r="I6277" s="182" t="n">
        <v>12</v>
      </c>
      <c r="J6277" s="182" t="n">
        <v>12</v>
      </c>
      <c r="K6277" s="182" t="n">
        <v>0</v>
      </c>
      <c r="L6277" s="182" t="n">
        <v>12</v>
      </c>
      <c r="M6277" s="182" t="n">
        <v>0</v>
      </c>
      <c r="N6277" s="182" t="n">
        <v>0</v>
      </c>
      <c r="O6277" s="183" t="n">
        <v>0</v>
      </c>
      <c r="P6277" s="183" t="n">
        <v>0</v>
      </c>
      <c r="Q6277" s="184" t="n">
        <v>0</v>
      </c>
      <c r="R6277" s="184" t="n">
        <v>0</v>
      </c>
      <c r="S6277" s="183" t="n">
        <v>0</v>
      </c>
      <c r="T6277" s="183" t="n">
        <v>0</v>
      </c>
      <c r="U6277" s="182" t="n">
        <v>0</v>
      </c>
      <c r="V6277" s="182" t="n">
        <v>0</v>
      </c>
      <c r="W6277" s="182" t="n">
        <v>0</v>
      </c>
      <c r="X6277" s="182" t="n">
        <v>0</v>
      </c>
      <c r="Y6277" s="182" t="n">
        <v>0</v>
      </c>
      <c r="Z6277" s="182" t="n">
        <v>0</v>
      </c>
      <c r="AA6277" s="182" t="n">
        <v>0</v>
      </c>
      <c r="AB6277" s="182" t="n">
        <v>0</v>
      </c>
      <c r="AC6277" s="182" t="n">
        <v>0</v>
      </c>
      <c r="AD6277" s="182" t="n">
        <v>0</v>
      </c>
      <c r="AE6277" s="182" t="n">
        <v>0</v>
      </c>
      <c r="AF6277" s="182" t="n">
        <v>0</v>
      </c>
      <c r="AG6277" s="182" t="n">
        <v>0</v>
      </c>
      <c r="AH6277" s="182" t="n">
        <v>0</v>
      </c>
      <c r="AI6277" s="182" t="n">
        <v>0</v>
      </c>
      <c r="AJ6277" s="182" t="n">
        <v>0</v>
      </c>
      <c r="AK6277" s="182" t="n">
        <v>0</v>
      </c>
      <c r="AL6277" s="182" t="n">
        <v>0</v>
      </c>
      <c r="AM6277" s="182" t="n">
        <v>0</v>
      </c>
      <c r="AN6277" s="182" t="n">
        <v>0</v>
      </c>
    </row>
    <row r="6278">
      <c r="A6278" s="155" t="n">
        <v>46110</v>
      </c>
      <c r="B6278" s="156" t="inlineStr">
        <is>
          <t>NS</t>
        </is>
      </c>
      <c r="C6278" s="156" t="inlineStr">
        <is>
          <t>DZ-037</t>
        </is>
      </c>
      <c r="D6278" s="156" t="inlineStr">
        <is>
          <t>D 85 ESS-2</t>
        </is>
      </c>
      <c r="E6278" s="156" t="inlineStr">
        <is>
          <t>Bulldozer</t>
        </is>
      </c>
      <c r="F6278" s="156" t="inlineStr">
        <is>
          <t>Support Disposal</t>
        </is>
      </c>
      <c r="G6278" s="182" t="n">
        <v>10.77</v>
      </c>
      <c r="H6278" s="182" t="n">
        <v>0</v>
      </c>
      <c r="I6278" s="182" t="n">
        <v>0.33</v>
      </c>
      <c r="J6278" s="182" t="n">
        <v>0.33</v>
      </c>
      <c r="K6278" s="182" t="n">
        <v>0.9</v>
      </c>
      <c r="L6278" s="182" t="n">
        <v>12</v>
      </c>
      <c r="M6278" s="182" t="n">
        <v>0</v>
      </c>
      <c r="N6278" s="182" t="n">
        <v>0</v>
      </c>
      <c r="O6278" s="183" t="n">
        <v>0</v>
      </c>
      <c r="P6278" s="183" t="n">
        <v>0</v>
      </c>
      <c r="Q6278" s="184" t="n">
        <v>0</v>
      </c>
      <c r="R6278" s="184" t="n">
        <v>0</v>
      </c>
      <c r="S6278" s="183" t="n">
        <v>0</v>
      </c>
      <c r="T6278" s="183" t="n">
        <v>0</v>
      </c>
      <c r="U6278" s="182" t="n">
        <v>0</v>
      </c>
      <c r="V6278" s="182" t="n">
        <v>0</v>
      </c>
      <c r="W6278" s="182" t="n">
        <v>0</v>
      </c>
      <c r="X6278" s="182" t="n">
        <v>0.79</v>
      </c>
      <c r="Y6278" s="182" t="n">
        <v>0</v>
      </c>
      <c r="Z6278" s="182" t="n">
        <v>0</v>
      </c>
      <c r="AA6278" s="182" t="n">
        <v>0</v>
      </c>
      <c r="AB6278" s="182" t="n">
        <v>0</v>
      </c>
      <c r="AC6278" s="182" t="n">
        <v>0</v>
      </c>
      <c r="AD6278" s="182" t="n">
        <v>0</v>
      </c>
      <c r="AE6278" s="182" t="n">
        <v>0</v>
      </c>
      <c r="AF6278" s="182" t="n">
        <v>0</v>
      </c>
      <c r="AG6278" s="182" t="n">
        <v>0</v>
      </c>
      <c r="AH6278" s="182" t="n">
        <v>0</v>
      </c>
      <c r="AI6278" s="182" t="n">
        <v>0</v>
      </c>
      <c r="AJ6278" s="182" t="n">
        <v>0</v>
      </c>
      <c r="AK6278" s="182" t="n">
        <v>0</v>
      </c>
      <c r="AL6278" s="182" t="n">
        <v>0</v>
      </c>
      <c r="AM6278" s="182" t="n">
        <v>0.09</v>
      </c>
      <c r="AN6278" s="182" t="n">
        <v>0</v>
      </c>
    </row>
    <row r="6279">
      <c r="A6279" s="155" t="n">
        <v>46110</v>
      </c>
      <c r="B6279" s="156" t="inlineStr">
        <is>
          <t>NS</t>
        </is>
      </c>
      <c r="C6279" s="156" t="inlineStr">
        <is>
          <t>DZ-036</t>
        </is>
      </c>
      <c r="D6279" s="156" t="inlineStr">
        <is>
          <t>D 85 ESS-2</t>
        </is>
      </c>
      <c r="E6279" s="156" t="inlineStr">
        <is>
          <t>Bulldozer</t>
        </is>
      </c>
      <c r="F6279" s="156" t="inlineStr"/>
      <c r="G6279" s="182" t="n">
        <v>0</v>
      </c>
      <c r="H6279" s="182" t="n">
        <v>0</v>
      </c>
      <c r="I6279" s="182" t="n">
        <v>0</v>
      </c>
      <c r="J6279" s="182" t="n">
        <v>0</v>
      </c>
      <c r="K6279" s="182" t="n">
        <v>12</v>
      </c>
      <c r="L6279" s="182" t="n">
        <v>12</v>
      </c>
      <c r="M6279" s="182" t="n">
        <v>0</v>
      </c>
      <c r="N6279" s="182" t="n">
        <v>0</v>
      </c>
      <c r="O6279" s="183" t="n">
        <v>0</v>
      </c>
      <c r="P6279" s="183" t="n">
        <v>0</v>
      </c>
      <c r="Q6279" s="184" t="n">
        <v>0</v>
      </c>
      <c r="R6279" s="184" t="n">
        <v>0</v>
      </c>
      <c r="S6279" s="183" t="n">
        <v>0</v>
      </c>
      <c r="T6279" s="183" t="n">
        <v>0</v>
      </c>
      <c r="U6279" s="182" t="n">
        <v>0</v>
      </c>
      <c r="V6279" s="182" t="n">
        <v>0</v>
      </c>
      <c r="W6279" s="182" t="n">
        <v>0</v>
      </c>
      <c r="X6279" s="182" t="n">
        <v>1</v>
      </c>
      <c r="Y6279" s="182" t="n">
        <v>0</v>
      </c>
      <c r="Z6279" s="182" t="n">
        <v>0</v>
      </c>
      <c r="AA6279" s="182" t="n">
        <v>0</v>
      </c>
      <c r="AB6279" s="182" t="n">
        <v>0</v>
      </c>
      <c r="AC6279" s="182" t="n">
        <v>0</v>
      </c>
      <c r="AD6279" s="182" t="n">
        <v>0</v>
      </c>
      <c r="AE6279" s="182" t="n">
        <v>0</v>
      </c>
      <c r="AF6279" s="182" t="n">
        <v>0</v>
      </c>
      <c r="AG6279" s="182" t="n">
        <v>0</v>
      </c>
      <c r="AH6279" s="182" t="n">
        <v>0</v>
      </c>
      <c r="AI6279" s="182" t="n">
        <v>0</v>
      </c>
      <c r="AJ6279" s="182" t="n">
        <v>0</v>
      </c>
      <c r="AK6279" s="182" t="n">
        <v>10.92</v>
      </c>
      <c r="AL6279" s="182" t="n">
        <v>0</v>
      </c>
      <c r="AM6279" s="182" t="n">
        <v>0.08</v>
      </c>
      <c r="AN6279" s="182" t="n">
        <v>0</v>
      </c>
    </row>
    <row r="6280">
      <c r="A6280" s="155" t="n">
        <v>46110</v>
      </c>
      <c r="B6280" s="156" t="inlineStr">
        <is>
          <t>NS</t>
        </is>
      </c>
      <c r="C6280" s="156" t="inlineStr">
        <is>
          <t>DZ-035</t>
        </is>
      </c>
      <c r="D6280" s="156" t="inlineStr">
        <is>
          <t>D 85 ESS-2</t>
        </is>
      </c>
      <c r="E6280" s="156" t="inlineStr">
        <is>
          <t>Bulldozer</t>
        </is>
      </c>
      <c r="F6280" s="156" t="inlineStr"/>
      <c r="G6280" s="182" t="n">
        <v>0</v>
      </c>
      <c r="H6280" s="182" t="n">
        <v>0</v>
      </c>
      <c r="I6280" s="182" t="n">
        <v>12</v>
      </c>
      <c r="J6280" s="182" t="n">
        <v>12</v>
      </c>
      <c r="K6280" s="182" t="n">
        <v>0</v>
      </c>
      <c r="L6280" s="182" t="n">
        <v>12</v>
      </c>
      <c r="M6280" s="182" t="n">
        <v>0</v>
      </c>
      <c r="N6280" s="182" t="n">
        <v>0</v>
      </c>
      <c r="O6280" s="183" t="n">
        <v>0</v>
      </c>
      <c r="P6280" s="183" t="n">
        <v>0</v>
      </c>
      <c r="Q6280" s="184" t="n">
        <v>0</v>
      </c>
      <c r="R6280" s="184" t="n">
        <v>0</v>
      </c>
      <c r="S6280" s="183" t="n">
        <v>0</v>
      </c>
      <c r="T6280" s="183" t="n">
        <v>0</v>
      </c>
      <c r="U6280" s="182" t="n">
        <v>0</v>
      </c>
      <c r="V6280" s="182" t="n">
        <v>0</v>
      </c>
      <c r="W6280" s="182" t="n">
        <v>0</v>
      </c>
      <c r="X6280" s="182" t="n">
        <v>0</v>
      </c>
      <c r="Y6280" s="182" t="n">
        <v>0</v>
      </c>
      <c r="Z6280" s="182" t="n">
        <v>0</v>
      </c>
      <c r="AA6280" s="182" t="n">
        <v>0</v>
      </c>
      <c r="AB6280" s="182" t="n">
        <v>0</v>
      </c>
      <c r="AC6280" s="182" t="n">
        <v>0</v>
      </c>
      <c r="AD6280" s="182" t="n">
        <v>0</v>
      </c>
      <c r="AE6280" s="182" t="n">
        <v>0</v>
      </c>
      <c r="AF6280" s="182" t="n">
        <v>0</v>
      </c>
      <c r="AG6280" s="182" t="n">
        <v>0</v>
      </c>
      <c r="AH6280" s="182" t="n">
        <v>0</v>
      </c>
      <c r="AI6280" s="182" t="n">
        <v>0</v>
      </c>
      <c r="AJ6280" s="182" t="n">
        <v>0</v>
      </c>
      <c r="AK6280" s="182" t="n">
        <v>0</v>
      </c>
      <c r="AL6280" s="182" t="n">
        <v>0</v>
      </c>
      <c r="AM6280" s="182" t="n">
        <v>0</v>
      </c>
      <c r="AN6280" s="182" t="n">
        <v>0</v>
      </c>
    </row>
    <row r="6281">
      <c r="A6281" s="155" t="n">
        <v>46110</v>
      </c>
      <c r="B6281" s="156" t="inlineStr">
        <is>
          <t>NS</t>
        </is>
      </c>
      <c r="C6281" s="156" t="inlineStr">
        <is>
          <t>CP-042</t>
        </is>
      </c>
      <c r="D6281" s="156" t="inlineStr">
        <is>
          <t>SANY - Compactor</t>
        </is>
      </c>
      <c r="E6281" s="156" t="inlineStr">
        <is>
          <t>Compactor</t>
        </is>
      </c>
      <c r="F6281" s="156" t="inlineStr"/>
      <c r="G6281" s="182" t="n">
        <v>0</v>
      </c>
      <c r="H6281" s="182" t="n">
        <v>0</v>
      </c>
      <c r="I6281" s="182" t="n">
        <v>0</v>
      </c>
      <c r="J6281" s="182" t="n">
        <v>0</v>
      </c>
      <c r="K6281" s="182" t="n">
        <v>12</v>
      </c>
      <c r="L6281" s="182" t="n">
        <v>12</v>
      </c>
      <c r="M6281" s="182" t="n">
        <v>0</v>
      </c>
      <c r="N6281" s="182" t="n">
        <v>0</v>
      </c>
      <c r="O6281" s="183" t="n">
        <v>0</v>
      </c>
      <c r="P6281" s="183" t="n">
        <v>0</v>
      </c>
      <c r="Q6281" s="184" t="n">
        <v>0</v>
      </c>
      <c r="R6281" s="184" t="n">
        <v>0</v>
      </c>
      <c r="S6281" s="183" t="n">
        <v>0</v>
      </c>
      <c r="T6281" s="183" t="n">
        <v>0</v>
      </c>
      <c r="U6281" s="182" t="n">
        <v>0</v>
      </c>
      <c r="V6281" s="182" t="n">
        <v>0</v>
      </c>
      <c r="W6281" s="182" t="n">
        <v>0</v>
      </c>
      <c r="X6281" s="182" t="n">
        <v>1</v>
      </c>
      <c r="Y6281" s="182" t="n">
        <v>0</v>
      </c>
      <c r="Z6281" s="182" t="n">
        <v>0</v>
      </c>
      <c r="AA6281" s="182" t="n">
        <v>0</v>
      </c>
      <c r="AB6281" s="182" t="n">
        <v>0</v>
      </c>
      <c r="AC6281" s="182" t="n">
        <v>0</v>
      </c>
      <c r="AD6281" s="182" t="n">
        <v>0</v>
      </c>
      <c r="AE6281" s="182" t="n">
        <v>0</v>
      </c>
      <c r="AF6281" s="182" t="n">
        <v>0</v>
      </c>
      <c r="AG6281" s="182" t="n">
        <v>0</v>
      </c>
      <c r="AH6281" s="182" t="n">
        <v>0</v>
      </c>
      <c r="AI6281" s="182" t="n">
        <v>0</v>
      </c>
      <c r="AJ6281" s="182" t="n">
        <v>0</v>
      </c>
      <c r="AK6281" s="182" t="n">
        <v>10.92</v>
      </c>
      <c r="AL6281" s="182" t="n">
        <v>0</v>
      </c>
      <c r="AM6281" s="182" t="n">
        <v>0.08</v>
      </c>
      <c r="AN6281" s="182" t="n">
        <v>0</v>
      </c>
    </row>
    <row r="6282">
      <c r="A6282" s="155" t="n">
        <v>46110</v>
      </c>
      <c r="B6282" s="156" t="inlineStr">
        <is>
          <t>NS</t>
        </is>
      </c>
      <c r="C6282" s="156" t="inlineStr">
        <is>
          <t>CP-041</t>
        </is>
      </c>
      <c r="D6282" s="156" t="inlineStr">
        <is>
          <t>SANY - Compactor</t>
        </is>
      </c>
      <c r="E6282" s="156" t="inlineStr">
        <is>
          <t>Compactor</t>
        </is>
      </c>
      <c r="F6282" s="156" t="inlineStr">
        <is>
          <t>Support ROM</t>
        </is>
      </c>
      <c r="G6282" s="182" t="n">
        <v>6.97</v>
      </c>
      <c r="H6282" s="182" t="n">
        <v>0</v>
      </c>
      <c r="I6282" s="182" t="n">
        <v>0</v>
      </c>
      <c r="J6282" s="182" t="n">
        <v>0</v>
      </c>
      <c r="K6282" s="182" t="n">
        <v>5.03</v>
      </c>
      <c r="L6282" s="182" t="n">
        <v>12</v>
      </c>
      <c r="M6282" s="182" t="n">
        <v>0</v>
      </c>
      <c r="N6282" s="182" t="n">
        <v>0</v>
      </c>
      <c r="O6282" s="183" t="n">
        <v>0</v>
      </c>
      <c r="P6282" s="183" t="n">
        <v>0</v>
      </c>
      <c r="Q6282" s="184" t="n">
        <v>0</v>
      </c>
      <c r="R6282" s="184" t="n">
        <v>0</v>
      </c>
      <c r="S6282" s="183" t="n">
        <v>0</v>
      </c>
      <c r="T6282" s="183" t="n">
        <v>0</v>
      </c>
      <c r="U6282" s="182" t="n">
        <v>0</v>
      </c>
      <c r="V6282" s="182" t="n">
        <v>0</v>
      </c>
      <c r="W6282" s="182" t="n">
        <v>0</v>
      </c>
      <c r="X6282" s="182" t="n">
        <v>1.01</v>
      </c>
      <c r="Y6282" s="182" t="n">
        <v>0</v>
      </c>
      <c r="Z6282" s="182" t="n">
        <v>0</v>
      </c>
      <c r="AA6282" s="182" t="n">
        <v>0</v>
      </c>
      <c r="AB6282" s="182" t="n">
        <v>0</v>
      </c>
      <c r="AC6282" s="182" t="n">
        <v>0</v>
      </c>
      <c r="AD6282" s="182" t="n">
        <v>0</v>
      </c>
      <c r="AE6282" s="182" t="n">
        <v>0</v>
      </c>
      <c r="AF6282" s="182" t="n">
        <v>0</v>
      </c>
      <c r="AG6282" s="182" t="n">
        <v>0</v>
      </c>
      <c r="AH6282" s="182" t="n">
        <v>0</v>
      </c>
      <c r="AI6282" s="182" t="n">
        <v>0</v>
      </c>
      <c r="AJ6282" s="182" t="n">
        <v>0</v>
      </c>
      <c r="AK6282" s="182" t="n">
        <v>3.94</v>
      </c>
      <c r="AL6282" s="182" t="n">
        <v>0</v>
      </c>
      <c r="AM6282" s="182" t="n">
        <v>0.08</v>
      </c>
      <c r="AN6282" s="182" t="n">
        <v>0</v>
      </c>
    </row>
    <row r="6283">
      <c r="A6283" s="155" t="n">
        <v>46110</v>
      </c>
      <c r="B6283" s="156" t="inlineStr">
        <is>
          <t>NS</t>
        </is>
      </c>
      <c r="C6283" s="156" t="inlineStr">
        <is>
          <t>HT-418</t>
        </is>
      </c>
      <c r="D6283" s="156" t="inlineStr">
        <is>
          <t>SY430</t>
        </is>
      </c>
      <c r="E6283" s="156" t="inlineStr">
        <is>
          <t>DT Hauling</t>
        </is>
      </c>
      <c r="F6283" s="156" t="inlineStr"/>
      <c r="G6283" s="182" t="n">
        <v>0</v>
      </c>
      <c r="H6283" s="182" t="n">
        <v>0</v>
      </c>
      <c r="I6283" s="182" t="n">
        <v>0</v>
      </c>
      <c r="J6283" s="182" t="n">
        <v>0</v>
      </c>
      <c r="K6283" s="182" t="n">
        <v>12</v>
      </c>
      <c r="L6283" s="182" t="n">
        <v>12</v>
      </c>
      <c r="M6283" s="182" t="n">
        <v>0</v>
      </c>
      <c r="N6283" s="182" t="n">
        <v>0</v>
      </c>
      <c r="O6283" s="183" t="n">
        <v>0</v>
      </c>
      <c r="P6283" s="183" t="n">
        <v>0</v>
      </c>
      <c r="Q6283" s="184" t="n">
        <v>0</v>
      </c>
      <c r="R6283" s="184" t="n">
        <v>0</v>
      </c>
      <c r="S6283" s="183" t="n">
        <v>0</v>
      </c>
      <c r="T6283" s="183" t="n">
        <v>0</v>
      </c>
      <c r="U6283" s="182" t="n">
        <v>0</v>
      </c>
      <c r="V6283" s="182" t="n">
        <v>0</v>
      </c>
      <c r="W6283" s="182" t="n">
        <v>0</v>
      </c>
      <c r="X6283" s="182" t="n">
        <v>1</v>
      </c>
      <c r="Y6283" s="182" t="n">
        <v>0</v>
      </c>
      <c r="Z6283" s="182" t="n">
        <v>0</v>
      </c>
      <c r="AA6283" s="182" t="n">
        <v>0</v>
      </c>
      <c r="AB6283" s="182" t="n">
        <v>0</v>
      </c>
      <c r="AC6283" s="182" t="n">
        <v>0</v>
      </c>
      <c r="AD6283" s="182" t="n">
        <v>0</v>
      </c>
      <c r="AE6283" s="182" t="n">
        <v>0</v>
      </c>
      <c r="AF6283" s="182" t="n">
        <v>0</v>
      </c>
      <c r="AG6283" s="182" t="n">
        <v>0</v>
      </c>
      <c r="AH6283" s="182" t="n">
        <v>0</v>
      </c>
      <c r="AI6283" s="182" t="n">
        <v>0</v>
      </c>
      <c r="AJ6283" s="182" t="n">
        <v>0</v>
      </c>
      <c r="AK6283" s="182" t="n">
        <v>10.92</v>
      </c>
      <c r="AL6283" s="182" t="n">
        <v>0</v>
      </c>
      <c r="AM6283" s="182" t="n">
        <v>0.08</v>
      </c>
      <c r="AN6283" s="182" t="n">
        <v>0</v>
      </c>
    </row>
    <row r="6284">
      <c r="A6284" s="155" t="n">
        <v>46110</v>
      </c>
      <c r="B6284" s="156" t="inlineStr">
        <is>
          <t>NS</t>
        </is>
      </c>
      <c r="C6284" s="156" t="inlineStr">
        <is>
          <t>HT-404</t>
        </is>
      </c>
      <c r="D6284" s="156" t="inlineStr">
        <is>
          <t>SY430</t>
        </is>
      </c>
      <c r="E6284" s="156" t="inlineStr">
        <is>
          <t>DT Hauling</t>
        </is>
      </c>
      <c r="F6284" s="156" t="inlineStr"/>
      <c r="G6284" s="182" t="n">
        <v>0</v>
      </c>
      <c r="H6284" s="182" t="n">
        <v>0</v>
      </c>
      <c r="I6284" s="182" t="n">
        <v>12</v>
      </c>
      <c r="J6284" s="182" t="n">
        <v>12</v>
      </c>
      <c r="K6284" s="182" t="n">
        <v>0</v>
      </c>
      <c r="L6284" s="182" t="n">
        <v>12</v>
      </c>
      <c r="M6284" s="182" t="n">
        <v>0</v>
      </c>
      <c r="N6284" s="182" t="n">
        <v>0</v>
      </c>
      <c r="O6284" s="183" t="n">
        <v>0</v>
      </c>
      <c r="P6284" s="183" t="n">
        <v>0</v>
      </c>
      <c r="Q6284" s="184" t="n">
        <v>0</v>
      </c>
      <c r="R6284" s="184" t="n">
        <v>0</v>
      </c>
      <c r="S6284" s="183" t="n">
        <v>0</v>
      </c>
      <c r="T6284" s="183" t="n">
        <v>0</v>
      </c>
      <c r="U6284" s="182" t="n">
        <v>0</v>
      </c>
      <c r="V6284" s="182" t="n">
        <v>0</v>
      </c>
      <c r="W6284" s="182" t="n">
        <v>0</v>
      </c>
      <c r="X6284" s="182" t="n">
        <v>0</v>
      </c>
      <c r="Y6284" s="182" t="n">
        <v>0</v>
      </c>
      <c r="Z6284" s="182" t="n">
        <v>0</v>
      </c>
      <c r="AA6284" s="182" t="n">
        <v>0</v>
      </c>
      <c r="AB6284" s="182" t="n">
        <v>0</v>
      </c>
      <c r="AC6284" s="182" t="n">
        <v>0</v>
      </c>
      <c r="AD6284" s="182" t="n">
        <v>0</v>
      </c>
      <c r="AE6284" s="182" t="n">
        <v>0</v>
      </c>
      <c r="AF6284" s="182" t="n">
        <v>0</v>
      </c>
      <c r="AG6284" s="182" t="n">
        <v>0</v>
      </c>
      <c r="AH6284" s="182" t="n">
        <v>0</v>
      </c>
      <c r="AI6284" s="182" t="n">
        <v>0</v>
      </c>
      <c r="AJ6284" s="182" t="n">
        <v>0</v>
      </c>
      <c r="AK6284" s="182" t="n">
        <v>0</v>
      </c>
      <c r="AL6284" s="182" t="n">
        <v>0</v>
      </c>
      <c r="AM6284" s="182" t="n">
        <v>0</v>
      </c>
      <c r="AN6284" s="182" t="n">
        <v>0</v>
      </c>
    </row>
    <row r="6285">
      <c r="A6285" s="155" t="n">
        <v>46110</v>
      </c>
      <c r="B6285" s="156" t="inlineStr">
        <is>
          <t>NS</t>
        </is>
      </c>
      <c r="C6285" s="156" t="inlineStr">
        <is>
          <t>HT-415</t>
        </is>
      </c>
      <c r="D6285" s="156" t="inlineStr">
        <is>
          <t>SY430</t>
        </is>
      </c>
      <c r="E6285" s="156" t="inlineStr">
        <is>
          <t>DT Hauling</t>
        </is>
      </c>
      <c r="F6285" s="156" t="inlineStr"/>
      <c r="G6285" s="182" t="n">
        <v>0</v>
      </c>
      <c r="H6285" s="182" t="n">
        <v>0</v>
      </c>
      <c r="I6285" s="182" t="n">
        <v>12</v>
      </c>
      <c r="J6285" s="182" t="n">
        <v>12</v>
      </c>
      <c r="K6285" s="182" t="n">
        <v>0</v>
      </c>
      <c r="L6285" s="182" t="n">
        <v>12</v>
      </c>
      <c r="M6285" s="182" t="n">
        <v>0</v>
      </c>
      <c r="N6285" s="182" t="n">
        <v>0</v>
      </c>
      <c r="O6285" s="183" t="n">
        <v>0</v>
      </c>
      <c r="P6285" s="183" t="n">
        <v>0</v>
      </c>
      <c r="Q6285" s="184" t="n">
        <v>0</v>
      </c>
      <c r="R6285" s="184" t="n">
        <v>0</v>
      </c>
      <c r="S6285" s="183" t="n">
        <v>0</v>
      </c>
      <c r="T6285" s="183" t="n">
        <v>0</v>
      </c>
      <c r="U6285" s="182" t="n">
        <v>0</v>
      </c>
      <c r="V6285" s="182" t="n">
        <v>0</v>
      </c>
      <c r="W6285" s="182" t="n">
        <v>0</v>
      </c>
      <c r="X6285" s="182" t="n">
        <v>0</v>
      </c>
      <c r="Y6285" s="182" t="n">
        <v>0</v>
      </c>
      <c r="Z6285" s="182" t="n">
        <v>0</v>
      </c>
      <c r="AA6285" s="182" t="n">
        <v>0</v>
      </c>
      <c r="AB6285" s="182" t="n">
        <v>0</v>
      </c>
      <c r="AC6285" s="182" t="n">
        <v>0</v>
      </c>
      <c r="AD6285" s="182" t="n">
        <v>0</v>
      </c>
      <c r="AE6285" s="182" t="n">
        <v>0</v>
      </c>
      <c r="AF6285" s="182" t="n">
        <v>0</v>
      </c>
      <c r="AG6285" s="182" t="n">
        <v>0</v>
      </c>
      <c r="AH6285" s="182" t="n">
        <v>0</v>
      </c>
      <c r="AI6285" s="182" t="n">
        <v>0</v>
      </c>
      <c r="AJ6285" s="182" t="n">
        <v>0</v>
      </c>
      <c r="AK6285" s="182" t="n">
        <v>0</v>
      </c>
      <c r="AL6285" s="182" t="n">
        <v>0</v>
      </c>
      <c r="AM6285" s="182" t="n">
        <v>0</v>
      </c>
      <c r="AN6285" s="182" t="n">
        <v>0</v>
      </c>
    </row>
    <row r="6286">
      <c r="A6286" s="155" t="n">
        <v>46110</v>
      </c>
      <c r="B6286" s="156" t="inlineStr">
        <is>
          <t>NS</t>
        </is>
      </c>
      <c r="C6286" s="156" t="inlineStr">
        <is>
          <t>HT-406</t>
        </is>
      </c>
      <c r="D6286" s="156" t="inlineStr">
        <is>
          <t>SY430</t>
        </is>
      </c>
      <c r="E6286" s="156" t="inlineStr">
        <is>
          <t>DT Hauling</t>
        </is>
      </c>
      <c r="F6286" s="156" t="inlineStr"/>
      <c r="G6286" s="182" t="n">
        <v>0</v>
      </c>
      <c r="H6286" s="182" t="n">
        <v>0</v>
      </c>
      <c r="I6286" s="182" t="n">
        <v>12</v>
      </c>
      <c r="J6286" s="182" t="n">
        <v>12</v>
      </c>
      <c r="K6286" s="182" t="n">
        <v>0</v>
      </c>
      <c r="L6286" s="182" t="n">
        <v>12</v>
      </c>
      <c r="M6286" s="182" t="n">
        <v>0</v>
      </c>
      <c r="N6286" s="182" t="n">
        <v>0</v>
      </c>
      <c r="O6286" s="183" t="n">
        <v>0</v>
      </c>
      <c r="P6286" s="183" t="n">
        <v>0</v>
      </c>
      <c r="Q6286" s="184" t="n">
        <v>0</v>
      </c>
      <c r="R6286" s="184" t="n">
        <v>0</v>
      </c>
      <c r="S6286" s="183" t="n">
        <v>0</v>
      </c>
      <c r="T6286" s="183" t="n">
        <v>0</v>
      </c>
      <c r="U6286" s="182" t="n">
        <v>0</v>
      </c>
      <c r="V6286" s="182" t="n">
        <v>0</v>
      </c>
      <c r="W6286" s="182" t="n">
        <v>0</v>
      </c>
      <c r="X6286" s="182" t="n">
        <v>0</v>
      </c>
      <c r="Y6286" s="182" t="n">
        <v>0</v>
      </c>
      <c r="Z6286" s="182" t="n">
        <v>0</v>
      </c>
      <c r="AA6286" s="182" t="n">
        <v>0</v>
      </c>
      <c r="AB6286" s="182" t="n">
        <v>0</v>
      </c>
      <c r="AC6286" s="182" t="n">
        <v>0</v>
      </c>
      <c r="AD6286" s="182" t="n">
        <v>0</v>
      </c>
      <c r="AE6286" s="182" t="n">
        <v>0</v>
      </c>
      <c r="AF6286" s="182" t="n">
        <v>0</v>
      </c>
      <c r="AG6286" s="182" t="n">
        <v>0</v>
      </c>
      <c r="AH6286" s="182" t="n">
        <v>0</v>
      </c>
      <c r="AI6286" s="182" t="n">
        <v>0</v>
      </c>
      <c r="AJ6286" s="182" t="n">
        <v>0</v>
      </c>
      <c r="AK6286" s="182" t="n">
        <v>0</v>
      </c>
      <c r="AL6286" s="182" t="n">
        <v>0</v>
      </c>
      <c r="AM6286" s="182" t="n">
        <v>0</v>
      </c>
      <c r="AN6286" s="182" t="n">
        <v>0</v>
      </c>
    </row>
    <row r="6287">
      <c r="A6287" s="155" t="n">
        <v>46110</v>
      </c>
      <c r="B6287" s="156" t="inlineStr">
        <is>
          <t>NS</t>
        </is>
      </c>
      <c r="C6287" s="156" t="inlineStr">
        <is>
          <t>HT-405</t>
        </is>
      </c>
      <c r="D6287" s="156" t="inlineStr">
        <is>
          <t>SY430</t>
        </is>
      </c>
      <c r="E6287" s="156" t="inlineStr">
        <is>
          <t>DT Hauling</t>
        </is>
      </c>
      <c r="F6287" s="156" t="inlineStr"/>
      <c r="G6287" s="182" t="n">
        <v>0</v>
      </c>
      <c r="H6287" s="182" t="n">
        <v>0</v>
      </c>
      <c r="I6287" s="182" t="n">
        <v>0</v>
      </c>
      <c r="J6287" s="182" t="n">
        <v>0</v>
      </c>
      <c r="K6287" s="182" t="n">
        <v>12</v>
      </c>
      <c r="L6287" s="182" t="n">
        <v>12</v>
      </c>
      <c r="M6287" s="182" t="n">
        <v>0</v>
      </c>
      <c r="N6287" s="182" t="n">
        <v>0</v>
      </c>
      <c r="O6287" s="183" t="n">
        <v>0</v>
      </c>
      <c r="P6287" s="183" t="n">
        <v>0</v>
      </c>
      <c r="Q6287" s="184" t="n">
        <v>0</v>
      </c>
      <c r="R6287" s="184" t="n">
        <v>0</v>
      </c>
      <c r="S6287" s="183" t="n">
        <v>0</v>
      </c>
      <c r="T6287" s="183" t="n">
        <v>0</v>
      </c>
      <c r="U6287" s="182" t="n">
        <v>0</v>
      </c>
      <c r="V6287" s="182" t="n">
        <v>0</v>
      </c>
      <c r="W6287" s="182" t="n">
        <v>0</v>
      </c>
      <c r="X6287" s="182" t="n">
        <v>1</v>
      </c>
      <c r="Y6287" s="182" t="n">
        <v>0</v>
      </c>
      <c r="Z6287" s="182" t="n">
        <v>0</v>
      </c>
      <c r="AA6287" s="182" t="n">
        <v>0</v>
      </c>
      <c r="AB6287" s="182" t="n">
        <v>0</v>
      </c>
      <c r="AC6287" s="182" t="n">
        <v>0</v>
      </c>
      <c r="AD6287" s="182" t="n">
        <v>0</v>
      </c>
      <c r="AE6287" s="182" t="n">
        <v>0</v>
      </c>
      <c r="AF6287" s="182" t="n">
        <v>0</v>
      </c>
      <c r="AG6287" s="182" t="n">
        <v>0</v>
      </c>
      <c r="AH6287" s="182" t="n">
        <v>0</v>
      </c>
      <c r="AI6287" s="182" t="n">
        <v>0</v>
      </c>
      <c r="AJ6287" s="182" t="n">
        <v>0</v>
      </c>
      <c r="AK6287" s="182" t="n">
        <v>10.92</v>
      </c>
      <c r="AL6287" s="182" t="n">
        <v>0</v>
      </c>
      <c r="AM6287" s="182" t="n">
        <v>0.08</v>
      </c>
      <c r="AN6287" s="182" t="n">
        <v>0</v>
      </c>
    </row>
    <row r="6288">
      <c r="A6288" s="155" t="n">
        <v>46110</v>
      </c>
      <c r="B6288" s="156" t="inlineStr">
        <is>
          <t>NS</t>
        </is>
      </c>
      <c r="C6288" s="156" t="inlineStr">
        <is>
          <t>HT-417</t>
        </is>
      </c>
      <c r="D6288" s="156" t="inlineStr">
        <is>
          <t>SY430</t>
        </is>
      </c>
      <c r="E6288" s="156" t="inlineStr">
        <is>
          <t>DT Hauling</t>
        </is>
      </c>
      <c r="F6288" s="156" t="inlineStr"/>
      <c r="G6288" s="182" t="n">
        <v>0</v>
      </c>
      <c r="H6288" s="182" t="n">
        <v>0</v>
      </c>
      <c r="I6288" s="182" t="n">
        <v>0</v>
      </c>
      <c r="J6288" s="182" t="n">
        <v>0</v>
      </c>
      <c r="K6288" s="182" t="n">
        <v>12</v>
      </c>
      <c r="L6288" s="182" t="n">
        <v>12</v>
      </c>
      <c r="M6288" s="182" t="n">
        <v>0</v>
      </c>
      <c r="N6288" s="182" t="n">
        <v>0</v>
      </c>
      <c r="O6288" s="183" t="n">
        <v>0</v>
      </c>
      <c r="P6288" s="183" t="n">
        <v>0</v>
      </c>
      <c r="Q6288" s="184" t="n">
        <v>0</v>
      </c>
      <c r="R6288" s="184" t="n">
        <v>0</v>
      </c>
      <c r="S6288" s="183" t="n">
        <v>0</v>
      </c>
      <c r="T6288" s="183" t="n">
        <v>0</v>
      </c>
      <c r="U6288" s="182" t="n">
        <v>0</v>
      </c>
      <c r="V6288" s="182" t="n">
        <v>0</v>
      </c>
      <c r="W6288" s="182" t="n">
        <v>0</v>
      </c>
      <c r="X6288" s="182" t="n">
        <v>1</v>
      </c>
      <c r="Y6288" s="182" t="n">
        <v>0</v>
      </c>
      <c r="Z6288" s="182" t="n">
        <v>0</v>
      </c>
      <c r="AA6288" s="182" t="n">
        <v>0</v>
      </c>
      <c r="AB6288" s="182" t="n">
        <v>0</v>
      </c>
      <c r="AC6288" s="182" t="n">
        <v>0</v>
      </c>
      <c r="AD6288" s="182" t="n">
        <v>0</v>
      </c>
      <c r="AE6288" s="182" t="n">
        <v>0</v>
      </c>
      <c r="AF6288" s="182" t="n">
        <v>0</v>
      </c>
      <c r="AG6288" s="182" t="n">
        <v>0</v>
      </c>
      <c r="AH6288" s="182" t="n">
        <v>0</v>
      </c>
      <c r="AI6288" s="182" t="n">
        <v>0</v>
      </c>
      <c r="AJ6288" s="182" t="n">
        <v>0</v>
      </c>
      <c r="AK6288" s="182" t="n">
        <v>10.92</v>
      </c>
      <c r="AL6288" s="182" t="n">
        <v>0</v>
      </c>
      <c r="AM6288" s="182" t="n">
        <v>0.08</v>
      </c>
      <c r="AN6288" s="182" t="n">
        <v>0</v>
      </c>
    </row>
    <row r="6289">
      <c r="A6289" s="155" t="n">
        <v>46110</v>
      </c>
      <c r="B6289" s="156" t="inlineStr">
        <is>
          <t>NS</t>
        </is>
      </c>
      <c r="C6289" s="156" t="inlineStr">
        <is>
          <t>HT-401</t>
        </is>
      </c>
      <c r="D6289" s="156" t="inlineStr">
        <is>
          <t>SY430</t>
        </is>
      </c>
      <c r="E6289" s="156" t="inlineStr">
        <is>
          <t>DT Hauling</t>
        </is>
      </c>
      <c r="F6289" s="156" t="inlineStr"/>
      <c r="G6289" s="182" t="n">
        <v>0</v>
      </c>
      <c r="H6289" s="182" t="n">
        <v>0</v>
      </c>
      <c r="I6289" s="182" t="n">
        <v>0</v>
      </c>
      <c r="J6289" s="182" t="n">
        <v>0</v>
      </c>
      <c r="K6289" s="182" t="n">
        <v>12</v>
      </c>
      <c r="L6289" s="182" t="n">
        <v>12</v>
      </c>
      <c r="M6289" s="182" t="n">
        <v>0</v>
      </c>
      <c r="N6289" s="182" t="n">
        <v>0</v>
      </c>
      <c r="O6289" s="183" t="n">
        <v>0</v>
      </c>
      <c r="P6289" s="183" t="n">
        <v>0</v>
      </c>
      <c r="Q6289" s="184" t="n">
        <v>0</v>
      </c>
      <c r="R6289" s="184" t="n">
        <v>0</v>
      </c>
      <c r="S6289" s="183" t="n">
        <v>0</v>
      </c>
      <c r="T6289" s="183" t="n">
        <v>0</v>
      </c>
      <c r="U6289" s="182" t="n">
        <v>0</v>
      </c>
      <c r="V6289" s="182" t="n">
        <v>0</v>
      </c>
      <c r="W6289" s="182" t="n">
        <v>0</v>
      </c>
      <c r="X6289" s="182" t="n">
        <v>1</v>
      </c>
      <c r="Y6289" s="182" t="n">
        <v>0</v>
      </c>
      <c r="Z6289" s="182" t="n">
        <v>0</v>
      </c>
      <c r="AA6289" s="182" t="n">
        <v>0</v>
      </c>
      <c r="AB6289" s="182" t="n">
        <v>0</v>
      </c>
      <c r="AC6289" s="182" t="n">
        <v>0</v>
      </c>
      <c r="AD6289" s="182" t="n">
        <v>0</v>
      </c>
      <c r="AE6289" s="182" t="n">
        <v>0</v>
      </c>
      <c r="AF6289" s="182" t="n">
        <v>0</v>
      </c>
      <c r="AG6289" s="182" t="n">
        <v>0</v>
      </c>
      <c r="AH6289" s="182" t="n">
        <v>0</v>
      </c>
      <c r="AI6289" s="182" t="n">
        <v>0</v>
      </c>
      <c r="AJ6289" s="182" t="n">
        <v>0</v>
      </c>
      <c r="AK6289" s="182" t="n">
        <v>10.92</v>
      </c>
      <c r="AL6289" s="182" t="n">
        <v>0</v>
      </c>
      <c r="AM6289" s="182" t="n">
        <v>0.08</v>
      </c>
      <c r="AN6289" s="182" t="n">
        <v>0</v>
      </c>
    </row>
    <row r="6290">
      <c r="A6290" s="155" t="n">
        <v>46110</v>
      </c>
      <c r="B6290" s="156" t="inlineStr">
        <is>
          <t>NS</t>
        </is>
      </c>
      <c r="C6290" s="156" t="inlineStr">
        <is>
          <t>HT-410</t>
        </is>
      </c>
      <c r="D6290" s="156" t="inlineStr">
        <is>
          <t>SY430</t>
        </is>
      </c>
      <c r="E6290" s="156" t="inlineStr">
        <is>
          <t>DT Hauling</t>
        </is>
      </c>
      <c r="F6290" s="156" t="inlineStr"/>
      <c r="G6290" s="182" t="n">
        <v>0</v>
      </c>
      <c r="H6290" s="182" t="n">
        <v>0</v>
      </c>
      <c r="I6290" s="182" t="n">
        <v>0</v>
      </c>
      <c r="J6290" s="182" t="n">
        <v>0</v>
      </c>
      <c r="K6290" s="182" t="n">
        <v>12</v>
      </c>
      <c r="L6290" s="182" t="n">
        <v>12</v>
      </c>
      <c r="M6290" s="182" t="n">
        <v>0</v>
      </c>
      <c r="N6290" s="182" t="n">
        <v>0</v>
      </c>
      <c r="O6290" s="183" t="n">
        <v>0</v>
      </c>
      <c r="P6290" s="183" t="n">
        <v>0</v>
      </c>
      <c r="Q6290" s="184" t="n">
        <v>0</v>
      </c>
      <c r="R6290" s="184" t="n">
        <v>0</v>
      </c>
      <c r="S6290" s="183" t="n">
        <v>0</v>
      </c>
      <c r="T6290" s="183" t="n">
        <v>0</v>
      </c>
      <c r="U6290" s="182" t="n">
        <v>0</v>
      </c>
      <c r="V6290" s="182" t="n">
        <v>0</v>
      </c>
      <c r="W6290" s="182" t="n">
        <v>0</v>
      </c>
      <c r="X6290" s="182" t="n">
        <v>1</v>
      </c>
      <c r="Y6290" s="182" t="n">
        <v>0</v>
      </c>
      <c r="Z6290" s="182" t="n">
        <v>0</v>
      </c>
      <c r="AA6290" s="182" t="n">
        <v>0</v>
      </c>
      <c r="AB6290" s="182" t="n">
        <v>0</v>
      </c>
      <c r="AC6290" s="182" t="n">
        <v>0</v>
      </c>
      <c r="AD6290" s="182" t="n">
        <v>0</v>
      </c>
      <c r="AE6290" s="182" t="n">
        <v>0</v>
      </c>
      <c r="AF6290" s="182" t="n">
        <v>0</v>
      </c>
      <c r="AG6290" s="182" t="n">
        <v>0</v>
      </c>
      <c r="AH6290" s="182" t="n">
        <v>0</v>
      </c>
      <c r="AI6290" s="182" t="n">
        <v>0</v>
      </c>
      <c r="AJ6290" s="182" t="n">
        <v>0</v>
      </c>
      <c r="AK6290" s="182" t="n">
        <v>10.92</v>
      </c>
      <c r="AL6290" s="182" t="n">
        <v>0</v>
      </c>
      <c r="AM6290" s="182" t="n">
        <v>0.08</v>
      </c>
      <c r="AN6290" s="182" t="n">
        <v>0</v>
      </c>
    </row>
    <row r="6291">
      <c r="A6291" s="155" t="n">
        <v>46110</v>
      </c>
      <c r="B6291" s="156" t="inlineStr">
        <is>
          <t>NS</t>
        </is>
      </c>
      <c r="C6291" s="156" t="inlineStr">
        <is>
          <t>HT-402</t>
        </is>
      </c>
      <c r="D6291" s="156" t="inlineStr">
        <is>
          <t>SY430</t>
        </is>
      </c>
      <c r="E6291" s="156" t="inlineStr">
        <is>
          <t>DT Hauling</t>
        </is>
      </c>
      <c r="F6291" s="156" t="inlineStr"/>
      <c r="G6291" s="182" t="n">
        <v>0</v>
      </c>
      <c r="H6291" s="182" t="n">
        <v>0</v>
      </c>
      <c r="I6291" s="182" t="n">
        <v>0</v>
      </c>
      <c r="J6291" s="182" t="n">
        <v>0</v>
      </c>
      <c r="K6291" s="182" t="n">
        <v>12</v>
      </c>
      <c r="L6291" s="182" t="n">
        <v>12</v>
      </c>
      <c r="M6291" s="182" t="n">
        <v>0</v>
      </c>
      <c r="N6291" s="182" t="n">
        <v>0</v>
      </c>
      <c r="O6291" s="183" t="n">
        <v>0</v>
      </c>
      <c r="P6291" s="183" t="n">
        <v>0</v>
      </c>
      <c r="Q6291" s="184" t="n">
        <v>0</v>
      </c>
      <c r="R6291" s="184" t="n">
        <v>0</v>
      </c>
      <c r="S6291" s="183" t="n">
        <v>0</v>
      </c>
      <c r="T6291" s="183" t="n">
        <v>0</v>
      </c>
      <c r="U6291" s="182" t="n">
        <v>0</v>
      </c>
      <c r="V6291" s="182" t="n">
        <v>0</v>
      </c>
      <c r="W6291" s="182" t="n">
        <v>0</v>
      </c>
      <c r="X6291" s="182" t="n">
        <v>1</v>
      </c>
      <c r="Y6291" s="182" t="n">
        <v>0</v>
      </c>
      <c r="Z6291" s="182" t="n">
        <v>0</v>
      </c>
      <c r="AA6291" s="182" t="n">
        <v>0</v>
      </c>
      <c r="AB6291" s="182" t="n">
        <v>0</v>
      </c>
      <c r="AC6291" s="182" t="n">
        <v>0</v>
      </c>
      <c r="AD6291" s="182" t="n">
        <v>0</v>
      </c>
      <c r="AE6291" s="182" t="n">
        <v>0</v>
      </c>
      <c r="AF6291" s="182" t="n">
        <v>0</v>
      </c>
      <c r="AG6291" s="182" t="n">
        <v>0</v>
      </c>
      <c r="AH6291" s="182" t="n">
        <v>0</v>
      </c>
      <c r="AI6291" s="182" t="n">
        <v>0</v>
      </c>
      <c r="AJ6291" s="182" t="n">
        <v>0</v>
      </c>
      <c r="AK6291" s="182" t="n">
        <v>10.92</v>
      </c>
      <c r="AL6291" s="182" t="n">
        <v>0</v>
      </c>
      <c r="AM6291" s="182" t="n">
        <v>0.08</v>
      </c>
      <c r="AN6291" s="182" t="n">
        <v>0</v>
      </c>
    </row>
    <row r="6292">
      <c r="A6292" s="155" t="n">
        <v>46110</v>
      </c>
      <c r="B6292" s="156" t="inlineStr">
        <is>
          <t>NS</t>
        </is>
      </c>
      <c r="C6292" s="156" t="inlineStr">
        <is>
          <t>HT-419</t>
        </is>
      </c>
      <c r="D6292" s="156" t="inlineStr">
        <is>
          <t>SY430</t>
        </is>
      </c>
      <c r="E6292" s="156" t="inlineStr">
        <is>
          <t>DT Hauling</t>
        </is>
      </c>
      <c r="F6292" s="156" t="inlineStr"/>
      <c r="G6292" s="182" t="n">
        <v>0</v>
      </c>
      <c r="H6292" s="182" t="n">
        <v>0</v>
      </c>
      <c r="I6292" s="182" t="n">
        <v>0</v>
      </c>
      <c r="J6292" s="182" t="n">
        <v>0</v>
      </c>
      <c r="K6292" s="182" t="n">
        <v>12</v>
      </c>
      <c r="L6292" s="182" t="n">
        <v>12</v>
      </c>
      <c r="M6292" s="182" t="n">
        <v>0</v>
      </c>
      <c r="N6292" s="182" t="n">
        <v>0</v>
      </c>
      <c r="O6292" s="183" t="n">
        <v>0</v>
      </c>
      <c r="P6292" s="183" t="n">
        <v>0</v>
      </c>
      <c r="Q6292" s="184" t="n">
        <v>0</v>
      </c>
      <c r="R6292" s="184" t="n">
        <v>0</v>
      </c>
      <c r="S6292" s="183" t="n">
        <v>0</v>
      </c>
      <c r="T6292" s="183" t="n">
        <v>0</v>
      </c>
      <c r="U6292" s="182" t="n">
        <v>0</v>
      </c>
      <c r="V6292" s="182" t="n">
        <v>0</v>
      </c>
      <c r="W6292" s="182" t="n">
        <v>0</v>
      </c>
      <c r="X6292" s="182" t="n">
        <v>1</v>
      </c>
      <c r="Y6292" s="182" t="n">
        <v>0</v>
      </c>
      <c r="Z6292" s="182" t="n">
        <v>0</v>
      </c>
      <c r="AA6292" s="182" t="n">
        <v>0</v>
      </c>
      <c r="AB6292" s="182" t="n">
        <v>0</v>
      </c>
      <c r="AC6292" s="182" t="n">
        <v>0</v>
      </c>
      <c r="AD6292" s="182" t="n">
        <v>0</v>
      </c>
      <c r="AE6292" s="182" t="n">
        <v>0</v>
      </c>
      <c r="AF6292" s="182" t="n">
        <v>0</v>
      </c>
      <c r="AG6292" s="182" t="n">
        <v>0</v>
      </c>
      <c r="AH6292" s="182" t="n">
        <v>0</v>
      </c>
      <c r="AI6292" s="182" t="n">
        <v>0</v>
      </c>
      <c r="AJ6292" s="182" t="n">
        <v>0</v>
      </c>
      <c r="AK6292" s="182" t="n">
        <v>10.92</v>
      </c>
      <c r="AL6292" s="182" t="n">
        <v>0</v>
      </c>
      <c r="AM6292" s="182" t="n">
        <v>0.08</v>
      </c>
      <c r="AN6292" s="182" t="n">
        <v>0</v>
      </c>
    </row>
    <row r="6293">
      <c r="A6293" s="155" t="n">
        <v>46110</v>
      </c>
      <c r="B6293" s="156" t="inlineStr">
        <is>
          <t>NS</t>
        </is>
      </c>
      <c r="C6293" s="156" t="inlineStr">
        <is>
          <t>HT-416</t>
        </is>
      </c>
      <c r="D6293" s="156" t="inlineStr">
        <is>
          <t>SY430</t>
        </is>
      </c>
      <c r="E6293" s="156" t="inlineStr">
        <is>
          <t>DT Hauling</t>
        </is>
      </c>
      <c r="F6293" s="156" t="inlineStr"/>
      <c r="G6293" s="182" t="n">
        <v>0</v>
      </c>
      <c r="H6293" s="182" t="n">
        <v>0</v>
      </c>
      <c r="I6293" s="182" t="n">
        <v>0</v>
      </c>
      <c r="J6293" s="182" t="n">
        <v>0</v>
      </c>
      <c r="K6293" s="182" t="n">
        <v>12</v>
      </c>
      <c r="L6293" s="182" t="n">
        <v>12</v>
      </c>
      <c r="M6293" s="182" t="n">
        <v>0</v>
      </c>
      <c r="N6293" s="182" t="n">
        <v>0</v>
      </c>
      <c r="O6293" s="183" t="n">
        <v>0</v>
      </c>
      <c r="P6293" s="183" t="n">
        <v>0</v>
      </c>
      <c r="Q6293" s="184" t="n">
        <v>0</v>
      </c>
      <c r="R6293" s="184" t="n">
        <v>0</v>
      </c>
      <c r="S6293" s="183" t="n">
        <v>0</v>
      </c>
      <c r="T6293" s="183" t="n">
        <v>0</v>
      </c>
      <c r="U6293" s="182" t="n">
        <v>0</v>
      </c>
      <c r="V6293" s="182" t="n">
        <v>0</v>
      </c>
      <c r="W6293" s="182" t="n">
        <v>0</v>
      </c>
      <c r="X6293" s="182" t="n">
        <v>1</v>
      </c>
      <c r="Y6293" s="182" t="n">
        <v>0</v>
      </c>
      <c r="Z6293" s="182" t="n">
        <v>0</v>
      </c>
      <c r="AA6293" s="182" t="n">
        <v>0</v>
      </c>
      <c r="AB6293" s="182" t="n">
        <v>0</v>
      </c>
      <c r="AC6293" s="182" t="n">
        <v>0</v>
      </c>
      <c r="AD6293" s="182" t="n">
        <v>0</v>
      </c>
      <c r="AE6293" s="182" t="n">
        <v>0</v>
      </c>
      <c r="AF6293" s="182" t="n">
        <v>0</v>
      </c>
      <c r="AG6293" s="182" t="n">
        <v>0</v>
      </c>
      <c r="AH6293" s="182" t="n">
        <v>0</v>
      </c>
      <c r="AI6293" s="182" t="n">
        <v>0</v>
      </c>
      <c r="AJ6293" s="182" t="n">
        <v>0</v>
      </c>
      <c r="AK6293" s="182" t="n">
        <v>10.92</v>
      </c>
      <c r="AL6293" s="182" t="n">
        <v>0</v>
      </c>
      <c r="AM6293" s="182" t="n">
        <v>0.08</v>
      </c>
      <c r="AN6293" s="182" t="n">
        <v>0</v>
      </c>
    </row>
    <row r="6294">
      <c r="A6294" s="155" t="n">
        <v>46110</v>
      </c>
      <c r="B6294" s="156" t="inlineStr">
        <is>
          <t>NS</t>
        </is>
      </c>
      <c r="C6294" s="156" t="inlineStr">
        <is>
          <t>HT-420</t>
        </is>
      </c>
      <c r="D6294" s="156" t="inlineStr">
        <is>
          <t>SY430</t>
        </is>
      </c>
      <c r="E6294" s="156" t="inlineStr">
        <is>
          <t>DT Hauling</t>
        </is>
      </c>
      <c r="F6294" s="156" t="inlineStr"/>
      <c r="G6294" s="182" t="n">
        <v>0</v>
      </c>
      <c r="H6294" s="182" t="n">
        <v>0</v>
      </c>
      <c r="I6294" s="182" t="n">
        <v>0</v>
      </c>
      <c r="J6294" s="182" t="n">
        <v>0</v>
      </c>
      <c r="K6294" s="182" t="n">
        <v>12</v>
      </c>
      <c r="L6294" s="182" t="n">
        <v>12</v>
      </c>
      <c r="M6294" s="182" t="n">
        <v>0</v>
      </c>
      <c r="N6294" s="182" t="n">
        <v>0</v>
      </c>
      <c r="O6294" s="183" t="n">
        <v>0</v>
      </c>
      <c r="P6294" s="183" t="n">
        <v>0</v>
      </c>
      <c r="Q6294" s="184" t="n">
        <v>0</v>
      </c>
      <c r="R6294" s="184" t="n">
        <v>0</v>
      </c>
      <c r="S6294" s="183" t="n">
        <v>0</v>
      </c>
      <c r="T6294" s="183" t="n">
        <v>0</v>
      </c>
      <c r="U6294" s="182" t="n">
        <v>0</v>
      </c>
      <c r="V6294" s="182" t="n">
        <v>0</v>
      </c>
      <c r="W6294" s="182" t="n">
        <v>0</v>
      </c>
      <c r="X6294" s="182" t="n">
        <v>1</v>
      </c>
      <c r="Y6294" s="182" t="n">
        <v>0</v>
      </c>
      <c r="Z6294" s="182" t="n">
        <v>0</v>
      </c>
      <c r="AA6294" s="182" t="n">
        <v>0</v>
      </c>
      <c r="AB6294" s="182" t="n">
        <v>0</v>
      </c>
      <c r="AC6294" s="182" t="n">
        <v>0</v>
      </c>
      <c r="AD6294" s="182" t="n">
        <v>0</v>
      </c>
      <c r="AE6294" s="182" t="n">
        <v>0</v>
      </c>
      <c r="AF6294" s="182" t="n">
        <v>0</v>
      </c>
      <c r="AG6294" s="182" t="n">
        <v>0</v>
      </c>
      <c r="AH6294" s="182" t="n">
        <v>0</v>
      </c>
      <c r="AI6294" s="182" t="n">
        <v>0</v>
      </c>
      <c r="AJ6294" s="182" t="n">
        <v>0</v>
      </c>
      <c r="AK6294" s="182" t="n">
        <v>10.92</v>
      </c>
      <c r="AL6294" s="182" t="n">
        <v>0</v>
      </c>
      <c r="AM6294" s="182" t="n">
        <v>0.08</v>
      </c>
      <c r="AN6294" s="182" t="n">
        <v>0</v>
      </c>
    </row>
    <row r="6295">
      <c r="A6295" s="155" t="n">
        <v>46110</v>
      </c>
      <c r="B6295" s="156" t="inlineStr">
        <is>
          <t>NS</t>
        </is>
      </c>
      <c r="C6295" s="156" t="inlineStr">
        <is>
          <t>HT-403</t>
        </is>
      </c>
      <c r="D6295" s="156" t="inlineStr">
        <is>
          <t>SY430</t>
        </is>
      </c>
      <c r="E6295" s="156" t="inlineStr">
        <is>
          <t>DT Hauling</t>
        </is>
      </c>
      <c r="F6295" s="156" t="inlineStr"/>
      <c r="G6295" s="182" t="n">
        <v>0</v>
      </c>
      <c r="H6295" s="182" t="n">
        <v>0</v>
      </c>
      <c r="I6295" s="182" t="n">
        <v>0</v>
      </c>
      <c r="J6295" s="182" t="n">
        <v>0</v>
      </c>
      <c r="K6295" s="182" t="n">
        <v>12</v>
      </c>
      <c r="L6295" s="182" t="n">
        <v>12</v>
      </c>
      <c r="M6295" s="182" t="n">
        <v>0</v>
      </c>
      <c r="N6295" s="182" t="n">
        <v>0</v>
      </c>
      <c r="O6295" s="183" t="n">
        <v>0</v>
      </c>
      <c r="P6295" s="183" t="n">
        <v>0</v>
      </c>
      <c r="Q6295" s="184" t="n">
        <v>0</v>
      </c>
      <c r="R6295" s="184" t="n">
        <v>0</v>
      </c>
      <c r="S6295" s="183" t="n">
        <v>0</v>
      </c>
      <c r="T6295" s="183" t="n">
        <v>0</v>
      </c>
      <c r="U6295" s="182" t="n">
        <v>0</v>
      </c>
      <c r="V6295" s="182" t="n">
        <v>0</v>
      </c>
      <c r="W6295" s="182" t="n">
        <v>0</v>
      </c>
      <c r="X6295" s="182" t="n">
        <v>1</v>
      </c>
      <c r="Y6295" s="182" t="n">
        <v>0</v>
      </c>
      <c r="Z6295" s="182" t="n">
        <v>0</v>
      </c>
      <c r="AA6295" s="182" t="n">
        <v>0</v>
      </c>
      <c r="AB6295" s="182" t="n">
        <v>0</v>
      </c>
      <c r="AC6295" s="182" t="n">
        <v>0</v>
      </c>
      <c r="AD6295" s="182" t="n">
        <v>0</v>
      </c>
      <c r="AE6295" s="182" t="n">
        <v>0</v>
      </c>
      <c r="AF6295" s="182" t="n">
        <v>0</v>
      </c>
      <c r="AG6295" s="182" t="n">
        <v>0</v>
      </c>
      <c r="AH6295" s="182" t="n">
        <v>0</v>
      </c>
      <c r="AI6295" s="182" t="n">
        <v>0</v>
      </c>
      <c r="AJ6295" s="182" t="n">
        <v>0</v>
      </c>
      <c r="AK6295" s="182" t="n">
        <v>10.92</v>
      </c>
      <c r="AL6295" s="182" t="n">
        <v>0</v>
      </c>
      <c r="AM6295" s="182" t="n">
        <v>0.08</v>
      </c>
      <c r="AN6295" s="182" t="n">
        <v>0</v>
      </c>
    </row>
    <row r="6296">
      <c r="A6296" s="155" t="n">
        <v>46110</v>
      </c>
      <c r="B6296" s="156" t="inlineStr">
        <is>
          <t>NS</t>
        </is>
      </c>
      <c r="C6296" s="156" t="inlineStr">
        <is>
          <t>HT-408</t>
        </is>
      </c>
      <c r="D6296" s="156" t="inlineStr">
        <is>
          <t>SY430</t>
        </is>
      </c>
      <c r="E6296" s="156" t="inlineStr">
        <is>
          <t>DT Hauling</t>
        </is>
      </c>
      <c r="F6296" s="156" t="inlineStr"/>
      <c r="G6296" s="182" t="n">
        <v>0</v>
      </c>
      <c r="H6296" s="182" t="n">
        <v>0</v>
      </c>
      <c r="I6296" s="182" t="n">
        <v>0</v>
      </c>
      <c r="J6296" s="182" t="n">
        <v>0</v>
      </c>
      <c r="K6296" s="182" t="n">
        <v>12</v>
      </c>
      <c r="L6296" s="182" t="n">
        <v>12</v>
      </c>
      <c r="M6296" s="182" t="n">
        <v>0</v>
      </c>
      <c r="N6296" s="182" t="n">
        <v>0</v>
      </c>
      <c r="O6296" s="183" t="n">
        <v>0</v>
      </c>
      <c r="P6296" s="183" t="n">
        <v>0</v>
      </c>
      <c r="Q6296" s="184" t="n">
        <v>0</v>
      </c>
      <c r="R6296" s="184" t="n">
        <v>0</v>
      </c>
      <c r="S6296" s="183" t="n">
        <v>0</v>
      </c>
      <c r="T6296" s="183" t="n">
        <v>0</v>
      </c>
      <c r="U6296" s="182" t="n">
        <v>0</v>
      </c>
      <c r="V6296" s="182" t="n">
        <v>0</v>
      </c>
      <c r="W6296" s="182" t="n">
        <v>0</v>
      </c>
      <c r="X6296" s="182" t="n">
        <v>1</v>
      </c>
      <c r="Y6296" s="182" t="n">
        <v>0</v>
      </c>
      <c r="Z6296" s="182" t="n">
        <v>0</v>
      </c>
      <c r="AA6296" s="182" t="n">
        <v>0</v>
      </c>
      <c r="AB6296" s="182" t="n">
        <v>0</v>
      </c>
      <c r="AC6296" s="182" t="n">
        <v>0</v>
      </c>
      <c r="AD6296" s="182" t="n">
        <v>0</v>
      </c>
      <c r="AE6296" s="182" t="n">
        <v>0</v>
      </c>
      <c r="AF6296" s="182" t="n">
        <v>0</v>
      </c>
      <c r="AG6296" s="182" t="n">
        <v>0</v>
      </c>
      <c r="AH6296" s="182" t="n">
        <v>0</v>
      </c>
      <c r="AI6296" s="182" t="n">
        <v>0</v>
      </c>
      <c r="AJ6296" s="182" t="n">
        <v>0</v>
      </c>
      <c r="AK6296" s="182" t="n">
        <v>10.92</v>
      </c>
      <c r="AL6296" s="182" t="n">
        <v>0</v>
      </c>
      <c r="AM6296" s="182" t="n">
        <v>0.08</v>
      </c>
      <c r="AN6296" s="182" t="n">
        <v>0</v>
      </c>
    </row>
    <row r="6297">
      <c r="A6297" s="155" t="n">
        <v>46110</v>
      </c>
      <c r="B6297" s="156" t="inlineStr">
        <is>
          <t>NS</t>
        </is>
      </c>
      <c r="C6297" s="156" t="inlineStr">
        <is>
          <t>HT-412</t>
        </is>
      </c>
      <c r="D6297" s="156" t="inlineStr">
        <is>
          <t>SY430</t>
        </is>
      </c>
      <c r="E6297" s="156" t="inlineStr">
        <is>
          <t>DT Hauling</t>
        </is>
      </c>
      <c r="F6297" s="156" t="inlineStr"/>
      <c r="G6297" s="182" t="n">
        <v>0</v>
      </c>
      <c r="H6297" s="182" t="n">
        <v>0</v>
      </c>
      <c r="I6297" s="182" t="n">
        <v>0</v>
      </c>
      <c r="J6297" s="182" t="n">
        <v>0</v>
      </c>
      <c r="K6297" s="182" t="n">
        <v>12</v>
      </c>
      <c r="L6297" s="182" t="n">
        <v>12</v>
      </c>
      <c r="M6297" s="182" t="n">
        <v>0</v>
      </c>
      <c r="N6297" s="182" t="n">
        <v>0</v>
      </c>
      <c r="O6297" s="183" t="n">
        <v>0</v>
      </c>
      <c r="P6297" s="183" t="n">
        <v>0</v>
      </c>
      <c r="Q6297" s="184" t="n">
        <v>0</v>
      </c>
      <c r="R6297" s="184" t="n">
        <v>0</v>
      </c>
      <c r="S6297" s="183" t="n">
        <v>0</v>
      </c>
      <c r="T6297" s="183" t="n">
        <v>0</v>
      </c>
      <c r="U6297" s="182" t="n">
        <v>0</v>
      </c>
      <c r="V6297" s="182" t="n">
        <v>0</v>
      </c>
      <c r="W6297" s="182" t="n">
        <v>0</v>
      </c>
      <c r="X6297" s="182" t="n">
        <v>1</v>
      </c>
      <c r="Y6297" s="182" t="n">
        <v>0</v>
      </c>
      <c r="Z6297" s="182" t="n">
        <v>0</v>
      </c>
      <c r="AA6297" s="182" t="n">
        <v>0</v>
      </c>
      <c r="AB6297" s="182" t="n">
        <v>0</v>
      </c>
      <c r="AC6297" s="182" t="n">
        <v>0</v>
      </c>
      <c r="AD6297" s="182" t="n">
        <v>0</v>
      </c>
      <c r="AE6297" s="182" t="n">
        <v>0</v>
      </c>
      <c r="AF6297" s="182" t="n">
        <v>0</v>
      </c>
      <c r="AG6297" s="182" t="n">
        <v>0</v>
      </c>
      <c r="AH6297" s="182" t="n">
        <v>0</v>
      </c>
      <c r="AI6297" s="182" t="n">
        <v>0</v>
      </c>
      <c r="AJ6297" s="182" t="n">
        <v>0</v>
      </c>
      <c r="AK6297" s="182" t="n">
        <v>10.92</v>
      </c>
      <c r="AL6297" s="182" t="n">
        <v>0</v>
      </c>
      <c r="AM6297" s="182" t="n">
        <v>0.08</v>
      </c>
      <c r="AN6297" s="182" t="n">
        <v>0</v>
      </c>
    </row>
    <row r="6298">
      <c r="A6298" s="155" t="n">
        <v>46110</v>
      </c>
      <c r="B6298" s="156" t="inlineStr">
        <is>
          <t>NS</t>
        </is>
      </c>
      <c r="C6298" s="156" t="inlineStr">
        <is>
          <t>HT-413</t>
        </is>
      </c>
      <c r="D6298" s="156" t="inlineStr">
        <is>
          <t>SY430</t>
        </is>
      </c>
      <c r="E6298" s="156" t="inlineStr">
        <is>
          <t>DT Hauling</t>
        </is>
      </c>
      <c r="F6298" s="156" t="inlineStr"/>
      <c r="G6298" s="182" t="n">
        <v>0</v>
      </c>
      <c r="H6298" s="182" t="n">
        <v>0</v>
      </c>
      <c r="I6298" s="182" t="n">
        <v>12</v>
      </c>
      <c r="J6298" s="182" t="n">
        <v>12</v>
      </c>
      <c r="K6298" s="182" t="n">
        <v>0</v>
      </c>
      <c r="L6298" s="182" t="n">
        <v>12</v>
      </c>
      <c r="M6298" s="182" t="n">
        <v>0</v>
      </c>
      <c r="N6298" s="182" t="n">
        <v>0</v>
      </c>
      <c r="O6298" s="183" t="n">
        <v>0</v>
      </c>
      <c r="P6298" s="183" t="n">
        <v>0</v>
      </c>
      <c r="Q6298" s="184" t="n">
        <v>0</v>
      </c>
      <c r="R6298" s="184" t="n">
        <v>0</v>
      </c>
      <c r="S6298" s="183" t="n">
        <v>0</v>
      </c>
      <c r="T6298" s="183" t="n">
        <v>0</v>
      </c>
      <c r="U6298" s="182" t="n">
        <v>0</v>
      </c>
      <c r="V6298" s="182" t="n">
        <v>0</v>
      </c>
      <c r="W6298" s="182" t="n">
        <v>0</v>
      </c>
      <c r="X6298" s="182" t="n">
        <v>0</v>
      </c>
      <c r="Y6298" s="182" t="n">
        <v>0</v>
      </c>
      <c r="Z6298" s="182" t="n">
        <v>0</v>
      </c>
      <c r="AA6298" s="182" t="n">
        <v>0</v>
      </c>
      <c r="AB6298" s="182" t="n">
        <v>0</v>
      </c>
      <c r="AC6298" s="182" t="n">
        <v>0</v>
      </c>
      <c r="AD6298" s="182" t="n">
        <v>0</v>
      </c>
      <c r="AE6298" s="182" t="n">
        <v>0</v>
      </c>
      <c r="AF6298" s="182" t="n">
        <v>0</v>
      </c>
      <c r="AG6298" s="182" t="n">
        <v>0</v>
      </c>
      <c r="AH6298" s="182" t="n">
        <v>0</v>
      </c>
      <c r="AI6298" s="182" t="n">
        <v>0</v>
      </c>
      <c r="AJ6298" s="182" t="n">
        <v>0</v>
      </c>
      <c r="AK6298" s="182" t="n">
        <v>0</v>
      </c>
      <c r="AL6298" s="182" t="n">
        <v>0</v>
      </c>
      <c r="AM6298" s="182" t="n">
        <v>0</v>
      </c>
      <c r="AN6298" s="182" t="n">
        <v>0</v>
      </c>
    </row>
    <row r="6299">
      <c r="A6299" s="155" t="n">
        <v>46110</v>
      </c>
      <c r="B6299" s="156" t="inlineStr">
        <is>
          <t>NS</t>
        </is>
      </c>
      <c r="C6299" s="156" t="inlineStr">
        <is>
          <t>HT-407</t>
        </is>
      </c>
      <c r="D6299" s="156" t="inlineStr">
        <is>
          <t>SY430</t>
        </is>
      </c>
      <c r="E6299" s="156" t="inlineStr">
        <is>
          <t>DT Hauling</t>
        </is>
      </c>
      <c r="F6299" s="156" t="inlineStr"/>
      <c r="G6299" s="182" t="n">
        <v>0</v>
      </c>
      <c r="H6299" s="182" t="n">
        <v>0</v>
      </c>
      <c r="I6299" s="182" t="n">
        <v>0</v>
      </c>
      <c r="J6299" s="182" t="n">
        <v>0</v>
      </c>
      <c r="K6299" s="182" t="n">
        <v>12</v>
      </c>
      <c r="L6299" s="182" t="n">
        <v>12</v>
      </c>
      <c r="M6299" s="182" t="n">
        <v>0</v>
      </c>
      <c r="N6299" s="182" t="n">
        <v>0</v>
      </c>
      <c r="O6299" s="183" t="n">
        <v>0</v>
      </c>
      <c r="P6299" s="183" t="n">
        <v>0</v>
      </c>
      <c r="Q6299" s="184" t="n">
        <v>0</v>
      </c>
      <c r="R6299" s="184" t="n">
        <v>0</v>
      </c>
      <c r="S6299" s="183" t="n">
        <v>0</v>
      </c>
      <c r="T6299" s="183" t="n">
        <v>0</v>
      </c>
      <c r="U6299" s="182" t="n">
        <v>0</v>
      </c>
      <c r="V6299" s="182" t="n">
        <v>0</v>
      </c>
      <c r="W6299" s="182" t="n">
        <v>0</v>
      </c>
      <c r="X6299" s="182" t="n">
        <v>1</v>
      </c>
      <c r="Y6299" s="182" t="n">
        <v>0</v>
      </c>
      <c r="Z6299" s="182" t="n">
        <v>0</v>
      </c>
      <c r="AA6299" s="182" t="n">
        <v>0</v>
      </c>
      <c r="AB6299" s="182" t="n">
        <v>0</v>
      </c>
      <c r="AC6299" s="182" t="n">
        <v>0</v>
      </c>
      <c r="AD6299" s="182" t="n">
        <v>0</v>
      </c>
      <c r="AE6299" s="182" t="n">
        <v>0</v>
      </c>
      <c r="AF6299" s="182" t="n">
        <v>0</v>
      </c>
      <c r="AG6299" s="182" t="n">
        <v>0</v>
      </c>
      <c r="AH6299" s="182" t="n">
        <v>0</v>
      </c>
      <c r="AI6299" s="182" t="n">
        <v>0</v>
      </c>
      <c r="AJ6299" s="182" t="n">
        <v>0</v>
      </c>
      <c r="AK6299" s="182" t="n">
        <v>10.92</v>
      </c>
      <c r="AL6299" s="182" t="n">
        <v>0</v>
      </c>
      <c r="AM6299" s="182" t="n">
        <v>0.08</v>
      </c>
      <c r="AN6299" s="182" t="n">
        <v>0</v>
      </c>
    </row>
    <row r="6300">
      <c r="A6300" s="155" t="n">
        <v>46110</v>
      </c>
      <c r="B6300" s="156" t="inlineStr">
        <is>
          <t>NS</t>
        </is>
      </c>
      <c r="C6300" s="156" t="inlineStr">
        <is>
          <t>HT-414</t>
        </is>
      </c>
      <c r="D6300" s="156" t="inlineStr">
        <is>
          <t>SY430</t>
        </is>
      </c>
      <c r="E6300" s="156" t="inlineStr">
        <is>
          <t>DT Hauling</t>
        </is>
      </c>
      <c r="F6300" s="156" t="inlineStr"/>
      <c r="G6300" s="182" t="n">
        <v>0</v>
      </c>
      <c r="H6300" s="182" t="n">
        <v>0</v>
      </c>
      <c r="I6300" s="182" t="n">
        <v>0</v>
      </c>
      <c r="J6300" s="182" t="n">
        <v>0</v>
      </c>
      <c r="K6300" s="182" t="n">
        <v>12</v>
      </c>
      <c r="L6300" s="182" t="n">
        <v>12</v>
      </c>
      <c r="M6300" s="182" t="n">
        <v>0</v>
      </c>
      <c r="N6300" s="182" t="n">
        <v>0</v>
      </c>
      <c r="O6300" s="183" t="n">
        <v>0</v>
      </c>
      <c r="P6300" s="183" t="n">
        <v>0</v>
      </c>
      <c r="Q6300" s="184" t="n">
        <v>0</v>
      </c>
      <c r="R6300" s="184" t="n">
        <v>0</v>
      </c>
      <c r="S6300" s="183" t="n">
        <v>0</v>
      </c>
      <c r="T6300" s="183" t="n">
        <v>0</v>
      </c>
      <c r="U6300" s="182" t="n">
        <v>0</v>
      </c>
      <c r="V6300" s="182" t="n">
        <v>0</v>
      </c>
      <c r="W6300" s="182" t="n">
        <v>0</v>
      </c>
      <c r="X6300" s="182" t="n">
        <v>1</v>
      </c>
      <c r="Y6300" s="182" t="n">
        <v>0</v>
      </c>
      <c r="Z6300" s="182" t="n">
        <v>0</v>
      </c>
      <c r="AA6300" s="182" t="n">
        <v>0</v>
      </c>
      <c r="AB6300" s="182" t="n">
        <v>0</v>
      </c>
      <c r="AC6300" s="182" t="n">
        <v>0</v>
      </c>
      <c r="AD6300" s="182" t="n">
        <v>0</v>
      </c>
      <c r="AE6300" s="182" t="n">
        <v>0</v>
      </c>
      <c r="AF6300" s="182" t="n">
        <v>0</v>
      </c>
      <c r="AG6300" s="182" t="n">
        <v>0</v>
      </c>
      <c r="AH6300" s="182" t="n">
        <v>0</v>
      </c>
      <c r="AI6300" s="182" t="n">
        <v>0</v>
      </c>
      <c r="AJ6300" s="182" t="n">
        <v>0</v>
      </c>
      <c r="AK6300" s="182" t="n">
        <v>10.92</v>
      </c>
      <c r="AL6300" s="182" t="n">
        <v>0</v>
      </c>
      <c r="AM6300" s="182" t="n">
        <v>0.08</v>
      </c>
      <c r="AN6300" s="182" t="n">
        <v>0</v>
      </c>
    </row>
    <row r="6301">
      <c r="A6301" s="155" t="n">
        <v>46110</v>
      </c>
      <c r="B6301" s="156" t="inlineStr">
        <is>
          <t>NS</t>
        </is>
      </c>
      <c r="C6301" s="156" t="inlineStr">
        <is>
          <t>HT-411</t>
        </is>
      </c>
      <c r="D6301" s="156" t="inlineStr">
        <is>
          <t>SY430</t>
        </is>
      </c>
      <c r="E6301" s="156" t="inlineStr">
        <is>
          <t>DT Hauling</t>
        </is>
      </c>
      <c r="F6301" s="156" t="inlineStr"/>
      <c r="G6301" s="182" t="n">
        <v>0</v>
      </c>
      <c r="H6301" s="182" t="n">
        <v>0</v>
      </c>
      <c r="I6301" s="182" t="n">
        <v>0</v>
      </c>
      <c r="J6301" s="182" t="n">
        <v>0</v>
      </c>
      <c r="K6301" s="182" t="n">
        <v>12</v>
      </c>
      <c r="L6301" s="182" t="n">
        <v>12</v>
      </c>
      <c r="M6301" s="182" t="n">
        <v>0</v>
      </c>
      <c r="N6301" s="182" t="n">
        <v>0</v>
      </c>
      <c r="O6301" s="183" t="n">
        <v>0</v>
      </c>
      <c r="P6301" s="183" t="n">
        <v>0</v>
      </c>
      <c r="Q6301" s="184" t="n">
        <v>0</v>
      </c>
      <c r="R6301" s="184" t="n">
        <v>0</v>
      </c>
      <c r="S6301" s="183" t="n">
        <v>0</v>
      </c>
      <c r="T6301" s="183" t="n">
        <v>0</v>
      </c>
      <c r="U6301" s="182" t="n">
        <v>0</v>
      </c>
      <c r="V6301" s="182" t="n">
        <v>0</v>
      </c>
      <c r="W6301" s="182" t="n">
        <v>0</v>
      </c>
      <c r="X6301" s="182" t="n">
        <v>1</v>
      </c>
      <c r="Y6301" s="182" t="n">
        <v>0</v>
      </c>
      <c r="Z6301" s="182" t="n">
        <v>0</v>
      </c>
      <c r="AA6301" s="182" t="n">
        <v>0</v>
      </c>
      <c r="AB6301" s="182" t="n">
        <v>0</v>
      </c>
      <c r="AC6301" s="182" t="n">
        <v>0</v>
      </c>
      <c r="AD6301" s="182" t="n">
        <v>0</v>
      </c>
      <c r="AE6301" s="182" t="n">
        <v>0</v>
      </c>
      <c r="AF6301" s="182" t="n">
        <v>0</v>
      </c>
      <c r="AG6301" s="182" t="n">
        <v>0</v>
      </c>
      <c r="AH6301" s="182" t="n">
        <v>0</v>
      </c>
      <c r="AI6301" s="182" t="n">
        <v>0</v>
      </c>
      <c r="AJ6301" s="182" t="n">
        <v>0</v>
      </c>
      <c r="AK6301" s="182" t="n">
        <v>10.92</v>
      </c>
      <c r="AL6301" s="182" t="n">
        <v>0</v>
      </c>
      <c r="AM6301" s="182" t="n">
        <v>0.08</v>
      </c>
      <c r="AN6301" s="182" t="n">
        <v>0</v>
      </c>
    </row>
    <row r="6302">
      <c r="A6302" s="155" t="n">
        <v>46110</v>
      </c>
      <c r="B6302" s="156" t="inlineStr">
        <is>
          <t>NS</t>
        </is>
      </c>
      <c r="C6302" s="156" t="inlineStr">
        <is>
          <t>HT-409</t>
        </is>
      </c>
      <c r="D6302" s="156" t="inlineStr">
        <is>
          <t>SY430</t>
        </is>
      </c>
      <c r="E6302" s="156" t="inlineStr">
        <is>
          <t>DT Hauling</t>
        </is>
      </c>
      <c r="F6302" s="156" t="inlineStr"/>
      <c r="G6302" s="182" t="n">
        <v>0</v>
      </c>
      <c r="H6302" s="182" t="n">
        <v>0</v>
      </c>
      <c r="I6302" s="182" t="n">
        <v>0</v>
      </c>
      <c r="J6302" s="182" t="n">
        <v>0</v>
      </c>
      <c r="K6302" s="182" t="n">
        <v>12</v>
      </c>
      <c r="L6302" s="182" t="n">
        <v>12</v>
      </c>
      <c r="M6302" s="182" t="n">
        <v>0</v>
      </c>
      <c r="N6302" s="182" t="n">
        <v>0</v>
      </c>
      <c r="O6302" s="183" t="n">
        <v>0</v>
      </c>
      <c r="P6302" s="183" t="n">
        <v>0</v>
      </c>
      <c r="Q6302" s="184" t="n">
        <v>0</v>
      </c>
      <c r="R6302" s="184" t="n">
        <v>0</v>
      </c>
      <c r="S6302" s="183" t="n">
        <v>0</v>
      </c>
      <c r="T6302" s="183" t="n">
        <v>0</v>
      </c>
      <c r="U6302" s="182" t="n">
        <v>0</v>
      </c>
      <c r="V6302" s="182" t="n">
        <v>0</v>
      </c>
      <c r="W6302" s="182" t="n">
        <v>0</v>
      </c>
      <c r="X6302" s="182" t="n">
        <v>1</v>
      </c>
      <c r="Y6302" s="182" t="n">
        <v>0</v>
      </c>
      <c r="Z6302" s="182" t="n">
        <v>0</v>
      </c>
      <c r="AA6302" s="182" t="n">
        <v>0</v>
      </c>
      <c r="AB6302" s="182" t="n">
        <v>0</v>
      </c>
      <c r="AC6302" s="182" t="n">
        <v>0</v>
      </c>
      <c r="AD6302" s="182" t="n">
        <v>0</v>
      </c>
      <c r="AE6302" s="182" t="n">
        <v>0</v>
      </c>
      <c r="AF6302" s="182" t="n">
        <v>0</v>
      </c>
      <c r="AG6302" s="182" t="n">
        <v>0</v>
      </c>
      <c r="AH6302" s="182" t="n">
        <v>0</v>
      </c>
      <c r="AI6302" s="182" t="n">
        <v>0</v>
      </c>
      <c r="AJ6302" s="182" t="n">
        <v>0</v>
      </c>
      <c r="AK6302" s="182" t="n">
        <v>10.92</v>
      </c>
      <c r="AL6302" s="182" t="n">
        <v>0</v>
      </c>
      <c r="AM6302" s="182" t="n">
        <v>0.08</v>
      </c>
      <c r="AN6302" s="182" t="n">
        <v>0</v>
      </c>
    </row>
    <row r="6303">
      <c r="A6303" s="155" t="n">
        <v>46110</v>
      </c>
      <c r="B6303" s="156" t="inlineStr">
        <is>
          <t>NS</t>
        </is>
      </c>
      <c r="C6303" s="156" t="inlineStr">
        <is>
          <t>DH-103</t>
        </is>
      </c>
      <c r="D6303" s="156" t="inlineStr">
        <is>
          <t>HINO FM260</t>
        </is>
      </c>
      <c r="E6303" s="156" t="inlineStr">
        <is>
          <t>DT Hino</t>
        </is>
      </c>
      <c r="F6303" s="156" t="inlineStr"/>
      <c r="G6303" s="182" t="n">
        <v>0</v>
      </c>
      <c r="H6303" s="182" t="n">
        <v>0</v>
      </c>
      <c r="I6303" s="182" t="n">
        <v>12</v>
      </c>
      <c r="J6303" s="182" t="n">
        <v>12</v>
      </c>
      <c r="K6303" s="182" t="n">
        <v>0</v>
      </c>
      <c r="L6303" s="182" t="n">
        <v>12</v>
      </c>
      <c r="M6303" s="182" t="n">
        <v>0</v>
      </c>
      <c r="N6303" s="182" t="n">
        <v>0</v>
      </c>
      <c r="O6303" s="183" t="n">
        <v>0</v>
      </c>
      <c r="P6303" s="183" t="n">
        <v>0</v>
      </c>
      <c r="Q6303" s="184" t="n">
        <v>0</v>
      </c>
      <c r="R6303" s="184" t="n">
        <v>0</v>
      </c>
      <c r="S6303" s="183" t="n">
        <v>0</v>
      </c>
      <c r="T6303" s="183" t="n">
        <v>0</v>
      </c>
      <c r="U6303" s="182" t="n">
        <v>0</v>
      </c>
      <c r="V6303" s="182" t="n">
        <v>0</v>
      </c>
      <c r="W6303" s="182" t="n">
        <v>0</v>
      </c>
      <c r="X6303" s="182" t="n">
        <v>0</v>
      </c>
      <c r="Y6303" s="182" t="n">
        <v>0</v>
      </c>
      <c r="Z6303" s="182" t="n">
        <v>0</v>
      </c>
      <c r="AA6303" s="182" t="n">
        <v>0</v>
      </c>
      <c r="AB6303" s="182" t="n">
        <v>0</v>
      </c>
      <c r="AC6303" s="182" t="n">
        <v>0</v>
      </c>
      <c r="AD6303" s="182" t="n">
        <v>0</v>
      </c>
      <c r="AE6303" s="182" t="n">
        <v>0</v>
      </c>
      <c r="AF6303" s="182" t="n">
        <v>0</v>
      </c>
      <c r="AG6303" s="182" t="n">
        <v>0</v>
      </c>
      <c r="AH6303" s="182" t="n">
        <v>0</v>
      </c>
      <c r="AI6303" s="182" t="n">
        <v>0</v>
      </c>
      <c r="AJ6303" s="182" t="n">
        <v>0</v>
      </c>
      <c r="AK6303" s="182" t="n">
        <v>0</v>
      </c>
      <c r="AL6303" s="182" t="n">
        <v>0</v>
      </c>
      <c r="AM6303" s="182" t="n">
        <v>0</v>
      </c>
      <c r="AN6303" s="182" t="n">
        <v>0</v>
      </c>
    </row>
    <row r="6304">
      <c r="A6304" s="155" t="n">
        <v>46110</v>
      </c>
      <c r="B6304" s="156" t="inlineStr">
        <is>
          <t>NS</t>
        </is>
      </c>
      <c r="C6304" s="156" t="inlineStr">
        <is>
          <t>DH-102</t>
        </is>
      </c>
      <c r="D6304" s="156" t="inlineStr">
        <is>
          <t>HINO FM260</t>
        </is>
      </c>
      <c r="E6304" s="156" t="inlineStr">
        <is>
          <t>DT Hino</t>
        </is>
      </c>
      <c r="F6304" s="156" t="inlineStr"/>
      <c r="G6304" s="182" t="n">
        <v>0</v>
      </c>
      <c r="H6304" s="182" t="n">
        <v>0</v>
      </c>
      <c r="I6304" s="182" t="n">
        <v>0</v>
      </c>
      <c r="J6304" s="182" t="n">
        <v>0</v>
      </c>
      <c r="K6304" s="182" t="n">
        <v>12</v>
      </c>
      <c r="L6304" s="182" t="n">
        <v>12</v>
      </c>
      <c r="M6304" s="182" t="n">
        <v>0</v>
      </c>
      <c r="N6304" s="182" t="n">
        <v>0</v>
      </c>
      <c r="O6304" s="183" t="n">
        <v>0</v>
      </c>
      <c r="P6304" s="183" t="n">
        <v>0</v>
      </c>
      <c r="Q6304" s="184" t="n">
        <v>0</v>
      </c>
      <c r="R6304" s="184" t="n">
        <v>0</v>
      </c>
      <c r="S6304" s="183" t="n">
        <v>0</v>
      </c>
      <c r="T6304" s="183" t="n">
        <v>0</v>
      </c>
      <c r="U6304" s="182" t="n">
        <v>0</v>
      </c>
      <c r="V6304" s="182" t="n">
        <v>0</v>
      </c>
      <c r="W6304" s="182" t="n">
        <v>0</v>
      </c>
      <c r="X6304" s="182" t="n">
        <v>1</v>
      </c>
      <c r="Y6304" s="182" t="n">
        <v>0</v>
      </c>
      <c r="Z6304" s="182" t="n">
        <v>0</v>
      </c>
      <c r="AA6304" s="182" t="n">
        <v>0</v>
      </c>
      <c r="AB6304" s="182" t="n">
        <v>0</v>
      </c>
      <c r="AC6304" s="182" t="n">
        <v>0</v>
      </c>
      <c r="AD6304" s="182" t="n">
        <v>0</v>
      </c>
      <c r="AE6304" s="182" t="n">
        <v>0</v>
      </c>
      <c r="AF6304" s="182" t="n">
        <v>0</v>
      </c>
      <c r="AG6304" s="182" t="n">
        <v>0</v>
      </c>
      <c r="AH6304" s="182" t="n">
        <v>0</v>
      </c>
      <c r="AI6304" s="182" t="n">
        <v>0</v>
      </c>
      <c r="AJ6304" s="182" t="n">
        <v>0</v>
      </c>
      <c r="AK6304" s="182" t="n">
        <v>10.92</v>
      </c>
      <c r="AL6304" s="182" t="n">
        <v>0</v>
      </c>
      <c r="AM6304" s="182" t="n">
        <v>0.08</v>
      </c>
      <c r="AN6304" s="182" t="n">
        <v>0</v>
      </c>
    </row>
    <row r="6305">
      <c r="A6305" s="155" t="n">
        <v>46110</v>
      </c>
      <c r="B6305" s="156" t="inlineStr">
        <is>
          <t>NS</t>
        </is>
      </c>
      <c r="C6305" s="156" t="inlineStr">
        <is>
          <t>DH-101</t>
        </is>
      </c>
      <c r="D6305" s="156" t="inlineStr">
        <is>
          <t>HINO FM260</t>
        </is>
      </c>
      <c r="E6305" s="156" t="inlineStr">
        <is>
          <t>DT Hino</t>
        </is>
      </c>
      <c r="F6305" s="156" t="inlineStr"/>
      <c r="G6305" s="182" t="n">
        <v>0</v>
      </c>
      <c r="H6305" s="182" t="n">
        <v>0</v>
      </c>
      <c r="I6305" s="182" t="n">
        <v>0</v>
      </c>
      <c r="J6305" s="182" t="n">
        <v>0</v>
      </c>
      <c r="K6305" s="182" t="n">
        <v>12</v>
      </c>
      <c r="L6305" s="182" t="n">
        <v>12</v>
      </c>
      <c r="M6305" s="182" t="n">
        <v>0</v>
      </c>
      <c r="N6305" s="182" t="n">
        <v>0</v>
      </c>
      <c r="O6305" s="183" t="n">
        <v>0</v>
      </c>
      <c r="P6305" s="183" t="n">
        <v>0</v>
      </c>
      <c r="Q6305" s="184" t="n">
        <v>0</v>
      </c>
      <c r="R6305" s="184" t="n">
        <v>0</v>
      </c>
      <c r="S6305" s="183" t="n">
        <v>0</v>
      </c>
      <c r="T6305" s="183" t="n">
        <v>0</v>
      </c>
      <c r="U6305" s="182" t="n">
        <v>0</v>
      </c>
      <c r="V6305" s="182" t="n">
        <v>0</v>
      </c>
      <c r="W6305" s="182" t="n">
        <v>0</v>
      </c>
      <c r="X6305" s="182" t="n">
        <v>1</v>
      </c>
      <c r="Y6305" s="182" t="n">
        <v>0</v>
      </c>
      <c r="Z6305" s="182" t="n">
        <v>0</v>
      </c>
      <c r="AA6305" s="182" t="n">
        <v>0</v>
      </c>
      <c r="AB6305" s="182" t="n">
        <v>0</v>
      </c>
      <c r="AC6305" s="182" t="n">
        <v>0</v>
      </c>
      <c r="AD6305" s="182" t="n">
        <v>0</v>
      </c>
      <c r="AE6305" s="182" t="n">
        <v>0</v>
      </c>
      <c r="AF6305" s="182" t="n">
        <v>0</v>
      </c>
      <c r="AG6305" s="182" t="n">
        <v>0</v>
      </c>
      <c r="AH6305" s="182" t="n">
        <v>0</v>
      </c>
      <c r="AI6305" s="182" t="n">
        <v>0</v>
      </c>
      <c r="AJ6305" s="182" t="n">
        <v>0</v>
      </c>
      <c r="AK6305" s="182" t="n">
        <v>10.92</v>
      </c>
      <c r="AL6305" s="182" t="n">
        <v>0</v>
      </c>
      <c r="AM6305" s="182" t="n">
        <v>0.08</v>
      </c>
      <c r="AN6305" s="182" t="n">
        <v>0</v>
      </c>
    </row>
    <row r="6306">
      <c r="A6306" s="155" t="n">
        <v>46110</v>
      </c>
      <c r="B6306" s="156" t="inlineStr">
        <is>
          <t>NS</t>
        </is>
      </c>
      <c r="C6306" s="156" t="inlineStr">
        <is>
          <t>EX-1251</t>
        </is>
      </c>
      <c r="D6306" s="156" t="inlineStr">
        <is>
          <t>SY1250</t>
        </is>
      </c>
      <c r="E6306" s="156" t="inlineStr">
        <is>
          <t>Excavator</t>
        </is>
      </c>
      <c r="F6306" s="156" t="inlineStr">
        <is>
          <t>Timesheet Kosong</t>
        </is>
      </c>
      <c r="G6306" s="182" t="n">
        <v>1.29</v>
      </c>
      <c r="H6306" s="182" t="n">
        <v>10.71</v>
      </c>
      <c r="I6306" s="182" t="n">
        <v>0</v>
      </c>
      <c r="J6306" s="182" t="n">
        <v>10.71</v>
      </c>
      <c r="K6306" s="182" t="n">
        <v>0</v>
      </c>
      <c r="L6306" s="182" t="n">
        <v>12</v>
      </c>
      <c r="M6306" s="182" t="n">
        <v>0</v>
      </c>
      <c r="N6306" s="182" t="n">
        <v>0</v>
      </c>
      <c r="O6306" s="185">
        <f>SUMIFS(INPUT_RITASE!$F$5:$F$20000,INPUT_RITASE!$A$5:$A$20000,$A6306,INPUT_RITASE!$H$5:$H$20000,$B6306,INPUT_RITASE!$C$5:$C$20000,$C6306,INPUT_RITASE!$N$5:$N$20000,"OB")</f>
        <v/>
      </c>
      <c r="P6306" s="185">
        <f>SUMIFS(INPUT_RITASE!$F$5:$F$20000,INPUT_RITASE!$A$5:$A$20000,$A6306,INPUT_RITASE!$H$5:$H$20000,$B6306,INPUT_RITASE!$C$5:$C$20000,$C6306,INPUT_RITASE!$N$5:$N$20000,"Coal")</f>
        <v/>
      </c>
      <c r="Q6306" s="186">
        <f>SUMIFS(INPUT_RITASE!$L$5:$L$20000,INPUT_RITASE!$A$5:$A$20000,$A6306,INPUT_RITASE!$H$5:$H$20000,$B6306,INPUT_RITASE!$C$5:$C$20000,$C6306,INPUT_RITASE!$N$5:$N$20000,"OB")</f>
        <v/>
      </c>
      <c r="R6306" s="186">
        <f>SUMIFS(INPUT_RITASE!$L$5:$L$20000,INPUT_RITASE!$A$5:$A$20000,$A6306,INPUT_RITASE!$H$5:$H$20000,$B6306,INPUT_RITASE!$C$5:$C$20000,$C6306,INPUT_RITASE!$N$5:$N$20000,"Coal")</f>
        <v/>
      </c>
      <c r="S6306" s="183" t="n">
        <v>0</v>
      </c>
      <c r="T6306" s="183" t="n">
        <v>0</v>
      </c>
      <c r="U6306" s="182" t="n">
        <v>0</v>
      </c>
      <c r="V6306" s="182" t="n">
        <v>0</v>
      </c>
      <c r="W6306" s="182" t="n">
        <v>0</v>
      </c>
      <c r="X6306" s="182" t="n">
        <v>0</v>
      </c>
      <c r="Y6306" s="182" t="n">
        <v>0</v>
      </c>
      <c r="Z6306" s="182" t="n">
        <v>0</v>
      </c>
      <c r="AA6306" s="182" t="n">
        <v>0</v>
      </c>
      <c r="AB6306" s="182" t="n">
        <v>0</v>
      </c>
      <c r="AC6306" s="182" t="n">
        <v>0</v>
      </c>
      <c r="AD6306" s="182" t="n">
        <v>0</v>
      </c>
      <c r="AE6306" s="182" t="n">
        <v>0</v>
      </c>
      <c r="AF6306" s="182" t="n">
        <v>0</v>
      </c>
      <c r="AG6306" s="182" t="n">
        <v>0</v>
      </c>
      <c r="AH6306" s="182" t="n">
        <v>0</v>
      </c>
      <c r="AI6306" s="182" t="n">
        <v>0</v>
      </c>
      <c r="AJ6306" s="182" t="n">
        <v>0</v>
      </c>
      <c r="AK6306" s="182" t="n">
        <v>0</v>
      </c>
      <c r="AL6306" s="182" t="n">
        <v>0</v>
      </c>
      <c r="AM6306" s="182" t="n">
        <v>0</v>
      </c>
      <c r="AN6306" s="182" t="n">
        <v>0</v>
      </c>
    </row>
    <row r="6307">
      <c r="A6307" s="155" t="n">
        <v>46110</v>
      </c>
      <c r="B6307" s="156" t="inlineStr">
        <is>
          <t>NS</t>
        </is>
      </c>
      <c r="C6307" s="156" t="inlineStr">
        <is>
          <t>EX-1252</t>
        </is>
      </c>
      <c r="D6307" s="156" t="inlineStr">
        <is>
          <t>SY1250</t>
        </is>
      </c>
      <c r="E6307" s="156" t="inlineStr">
        <is>
          <t>Excavator</t>
        </is>
      </c>
      <c r="F6307" s="156" t="inlineStr">
        <is>
          <t>Loading OB</t>
        </is>
      </c>
      <c r="G6307" s="182" t="n">
        <v>10.48</v>
      </c>
      <c r="H6307" s="182" t="n">
        <v>0</v>
      </c>
      <c r="I6307" s="182" t="n">
        <v>0</v>
      </c>
      <c r="J6307" s="182" t="n">
        <v>0</v>
      </c>
      <c r="K6307" s="182" t="n">
        <v>1.52</v>
      </c>
      <c r="L6307" s="182" t="n">
        <v>12</v>
      </c>
      <c r="M6307" s="182" t="n">
        <v>10.48</v>
      </c>
      <c r="N6307" s="182" t="n">
        <v>0</v>
      </c>
      <c r="O6307" s="185">
        <f>SUMIFS(INPUT_RITASE!$F$5:$F$20000,INPUT_RITASE!$A$5:$A$20000,$A6307,INPUT_RITASE!$H$5:$H$20000,$B6307,INPUT_RITASE!$C$5:$C$20000,$C6307,INPUT_RITASE!$N$5:$N$20000,"OB")</f>
        <v/>
      </c>
      <c r="P6307" s="185">
        <f>SUMIFS(INPUT_RITASE!$F$5:$F$20000,INPUT_RITASE!$A$5:$A$20000,$A6307,INPUT_RITASE!$H$5:$H$20000,$B6307,INPUT_RITASE!$C$5:$C$20000,$C6307,INPUT_RITASE!$N$5:$N$20000,"Coal")</f>
        <v/>
      </c>
      <c r="Q6307" s="186">
        <f>SUMIFS(INPUT_RITASE!$L$5:$L$20000,INPUT_RITASE!$A$5:$A$20000,$A6307,INPUT_RITASE!$H$5:$H$20000,$B6307,INPUT_RITASE!$C$5:$C$20000,$C6307,INPUT_RITASE!$N$5:$N$20000,"OB")</f>
        <v/>
      </c>
      <c r="R6307" s="186">
        <f>SUMIFS(INPUT_RITASE!$L$5:$L$20000,INPUT_RITASE!$A$5:$A$20000,$A6307,INPUT_RITASE!$H$5:$H$20000,$B6307,INPUT_RITASE!$C$5:$C$20000,$C6307,INPUT_RITASE!$N$5:$N$20000,"Coal")</f>
        <v/>
      </c>
      <c r="S6307" s="183" t="n">
        <v>0</v>
      </c>
      <c r="T6307" s="183" t="n">
        <v>0</v>
      </c>
      <c r="U6307" s="182" t="n">
        <v>0</v>
      </c>
      <c r="V6307" s="182" t="n">
        <v>0</v>
      </c>
      <c r="W6307" s="182" t="n">
        <v>0</v>
      </c>
      <c r="X6307" s="182" t="n">
        <v>0.96</v>
      </c>
      <c r="Y6307" s="182" t="n">
        <v>0</v>
      </c>
      <c r="Z6307" s="182" t="n">
        <v>0</v>
      </c>
      <c r="AA6307" s="182" t="n">
        <v>0</v>
      </c>
      <c r="AB6307" s="182" t="n">
        <v>0</v>
      </c>
      <c r="AC6307" s="182" t="n">
        <v>0</v>
      </c>
      <c r="AD6307" s="182" t="n">
        <v>0</v>
      </c>
      <c r="AE6307" s="182" t="n">
        <v>0</v>
      </c>
      <c r="AF6307" s="182" t="n">
        <v>0</v>
      </c>
      <c r="AG6307" s="182" t="n">
        <v>0</v>
      </c>
      <c r="AH6307" s="182" t="n">
        <v>0.49</v>
      </c>
      <c r="AI6307" s="182" t="n">
        <v>0</v>
      </c>
      <c r="AJ6307" s="182" t="n">
        <v>0</v>
      </c>
      <c r="AK6307" s="182" t="n">
        <v>0</v>
      </c>
      <c r="AL6307" s="182" t="n">
        <v>0</v>
      </c>
      <c r="AM6307" s="182" t="n">
        <v>0.08</v>
      </c>
      <c r="AN6307" s="182" t="n">
        <v>0</v>
      </c>
    </row>
    <row r="6308">
      <c r="A6308" s="155" t="n">
        <v>46110</v>
      </c>
      <c r="B6308" s="156" t="inlineStr">
        <is>
          <t>NS</t>
        </is>
      </c>
      <c r="C6308" s="156" t="inlineStr">
        <is>
          <t>EX-2101</t>
        </is>
      </c>
      <c r="D6308" s="156" t="inlineStr">
        <is>
          <t>SY2000</t>
        </is>
      </c>
      <c r="E6308" s="156" t="inlineStr">
        <is>
          <t>Excavator</t>
        </is>
      </c>
      <c r="F6308" s="156" t="inlineStr"/>
      <c r="G6308" s="182" t="n">
        <v>0</v>
      </c>
      <c r="H6308" s="182" t="n">
        <v>0</v>
      </c>
      <c r="I6308" s="182" t="n">
        <v>12</v>
      </c>
      <c r="J6308" s="182" t="n">
        <v>12</v>
      </c>
      <c r="K6308" s="182" t="n">
        <v>0</v>
      </c>
      <c r="L6308" s="182" t="n">
        <v>12</v>
      </c>
      <c r="M6308" s="182" t="n">
        <v>0</v>
      </c>
      <c r="N6308" s="182" t="n">
        <v>0</v>
      </c>
      <c r="O6308" s="185">
        <f>SUMIFS(INPUT_RITASE!$F$5:$F$20000,INPUT_RITASE!$A$5:$A$20000,$A6308,INPUT_RITASE!$H$5:$H$20000,$B6308,INPUT_RITASE!$C$5:$C$20000,$C6308,INPUT_RITASE!$N$5:$N$20000,"OB")</f>
        <v/>
      </c>
      <c r="P6308" s="185">
        <f>SUMIFS(INPUT_RITASE!$F$5:$F$20000,INPUT_RITASE!$A$5:$A$20000,$A6308,INPUT_RITASE!$H$5:$H$20000,$B6308,INPUT_RITASE!$C$5:$C$20000,$C6308,INPUT_RITASE!$N$5:$N$20000,"Coal")</f>
        <v/>
      </c>
      <c r="Q6308" s="186">
        <f>SUMIFS(INPUT_RITASE!$L$5:$L$20000,INPUT_RITASE!$A$5:$A$20000,$A6308,INPUT_RITASE!$H$5:$H$20000,$B6308,INPUT_RITASE!$C$5:$C$20000,$C6308,INPUT_RITASE!$N$5:$N$20000,"OB")</f>
        <v/>
      </c>
      <c r="R6308" s="186">
        <f>SUMIFS(INPUT_RITASE!$L$5:$L$20000,INPUT_RITASE!$A$5:$A$20000,$A6308,INPUT_RITASE!$H$5:$H$20000,$B6308,INPUT_RITASE!$C$5:$C$20000,$C6308,INPUT_RITASE!$N$5:$N$20000,"Coal")</f>
        <v/>
      </c>
      <c r="S6308" s="183" t="n">
        <v>0</v>
      </c>
      <c r="T6308" s="183" t="n">
        <v>0</v>
      </c>
      <c r="U6308" s="182" t="n">
        <v>0</v>
      </c>
      <c r="V6308" s="182" t="n">
        <v>0</v>
      </c>
      <c r="W6308" s="182" t="n">
        <v>0</v>
      </c>
      <c r="X6308" s="182" t="n">
        <v>0</v>
      </c>
      <c r="Y6308" s="182" t="n">
        <v>0</v>
      </c>
      <c r="Z6308" s="182" t="n">
        <v>0</v>
      </c>
      <c r="AA6308" s="182" t="n">
        <v>0</v>
      </c>
      <c r="AB6308" s="182" t="n">
        <v>0</v>
      </c>
      <c r="AC6308" s="182" t="n">
        <v>0</v>
      </c>
      <c r="AD6308" s="182" t="n">
        <v>0</v>
      </c>
      <c r="AE6308" s="182" t="n">
        <v>0</v>
      </c>
      <c r="AF6308" s="182" t="n">
        <v>0</v>
      </c>
      <c r="AG6308" s="182" t="n">
        <v>0</v>
      </c>
      <c r="AH6308" s="182" t="n">
        <v>0</v>
      </c>
      <c r="AI6308" s="182" t="n">
        <v>0</v>
      </c>
      <c r="AJ6308" s="182" t="n">
        <v>0</v>
      </c>
      <c r="AK6308" s="182" t="n">
        <v>0</v>
      </c>
      <c r="AL6308" s="182" t="n">
        <v>0</v>
      </c>
      <c r="AM6308" s="182" t="n">
        <v>0</v>
      </c>
      <c r="AN6308" s="182" t="n">
        <v>0</v>
      </c>
    </row>
    <row r="6309">
      <c r="A6309" s="155" t="n">
        <v>46110</v>
      </c>
      <c r="B6309" s="156" t="inlineStr">
        <is>
          <t>NS</t>
        </is>
      </c>
      <c r="C6309" s="156" t="inlineStr">
        <is>
          <t>EX-222</t>
        </is>
      </c>
      <c r="D6309" s="156" t="inlineStr">
        <is>
          <t>PC 200-8MI</t>
        </is>
      </c>
      <c r="E6309" s="156" t="inlineStr">
        <is>
          <t>Excavator</t>
        </is>
      </c>
      <c r="F6309" s="156" t="inlineStr">
        <is>
          <t>Support Washing Plant</t>
        </is>
      </c>
      <c r="G6309" s="182" t="n">
        <v>8.550000000000001</v>
      </c>
      <c r="H6309" s="182" t="n">
        <v>0</v>
      </c>
      <c r="I6309" s="182" t="n">
        <v>2</v>
      </c>
      <c r="J6309" s="182" t="n">
        <v>2</v>
      </c>
      <c r="K6309" s="182" t="n">
        <v>1.45</v>
      </c>
      <c r="L6309" s="182" t="n">
        <v>12</v>
      </c>
      <c r="M6309" s="182" t="n">
        <v>0</v>
      </c>
      <c r="N6309" s="182" t="n">
        <v>0</v>
      </c>
      <c r="O6309" s="185">
        <f>SUMIFS(INPUT_RITASE!$F$5:$F$20000,INPUT_RITASE!$A$5:$A$20000,$A6309,INPUT_RITASE!$H$5:$H$20000,$B6309,INPUT_RITASE!$C$5:$C$20000,$C6309,INPUT_RITASE!$N$5:$N$20000,"OB")</f>
        <v/>
      </c>
      <c r="P6309" s="185">
        <f>SUMIFS(INPUT_RITASE!$F$5:$F$20000,INPUT_RITASE!$A$5:$A$20000,$A6309,INPUT_RITASE!$H$5:$H$20000,$B6309,INPUT_RITASE!$C$5:$C$20000,$C6309,INPUT_RITASE!$N$5:$N$20000,"Coal")</f>
        <v/>
      </c>
      <c r="Q6309" s="186">
        <f>SUMIFS(INPUT_RITASE!$L$5:$L$20000,INPUT_RITASE!$A$5:$A$20000,$A6309,INPUT_RITASE!$H$5:$H$20000,$B6309,INPUT_RITASE!$C$5:$C$20000,$C6309,INPUT_RITASE!$N$5:$N$20000,"OB")</f>
        <v/>
      </c>
      <c r="R6309" s="186">
        <f>SUMIFS(INPUT_RITASE!$L$5:$L$20000,INPUT_RITASE!$A$5:$A$20000,$A6309,INPUT_RITASE!$H$5:$H$20000,$B6309,INPUT_RITASE!$C$5:$C$20000,$C6309,INPUT_RITASE!$N$5:$N$20000,"Coal")</f>
        <v/>
      </c>
      <c r="S6309" s="183" t="n">
        <v>0</v>
      </c>
      <c r="T6309" s="183" t="n">
        <v>0</v>
      </c>
      <c r="U6309" s="182" t="n">
        <v>0</v>
      </c>
      <c r="V6309" s="182" t="n">
        <v>0</v>
      </c>
      <c r="W6309" s="182" t="n">
        <v>0</v>
      </c>
      <c r="X6309" s="182" t="n">
        <v>1.32</v>
      </c>
      <c r="Y6309" s="182" t="n">
        <v>0</v>
      </c>
      <c r="Z6309" s="182" t="n">
        <v>0</v>
      </c>
      <c r="AA6309" s="182" t="n">
        <v>0</v>
      </c>
      <c r="AB6309" s="182" t="n">
        <v>0</v>
      </c>
      <c r="AC6309" s="182" t="n">
        <v>0</v>
      </c>
      <c r="AD6309" s="182" t="n">
        <v>0</v>
      </c>
      <c r="AE6309" s="182" t="n">
        <v>0</v>
      </c>
      <c r="AF6309" s="182" t="n">
        <v>0</v>
      </c>
      <c r="AG6309" s="182" t="n">
        <v>0</v>
      </c>
      <c r="AH6309" s="182" t="n">
        <v>0.03</v>
      </c>
      <c r="AI6309" s="182" t="n">
        <v>0</v>
      </c>
      <c r="AJ6309" s="182" t="n">
        <v>0</v>
      </c>
      <c r="AK6309" s="182" t="n">
        <v>0</v>
      </c>
      <c r="AL6309" s="182" t="n">
        <v>0</v>
      </c>
      <c r="AM6309" s="182" t="n">
        <v>0.11</v>
      </c>
      <c r="AN6309" s="182" t="n">
        <v>0</v>
      </c>
    </row>
    <row r="6310">
      <c r="A6310" s="155" t="n">
        <v>46110</v>
      </c>
      <c r="B6310" s="156" t="inlineStr">
        <is>
          <t>NS</t>
        </is>
      </c>
      <c r="C6310" s="156" t="inlineStr">
        <is>
          <t>EX-225</t>
        </is>
      </c>
      <c r="D6310" s="156" t="inlineStr">
        <is>
          <t>PC 200-8</t>
        </is>
      </c>
      <c r="E6310" s="156" t="inlineStr">
        <is>
          <t>Excavator</t>
        </is>
      </c>
      <c r="F6310" s="156" t="inlineStr"/>
      <c r="G6310" s="182" t="n">
        <v>0</v>
      </c>
      <c r="H6310" s="182" t="n">
        <v>0</v>
      </c>
      <c r="I6310" s="182" t="n">
        <v>12</v>
      </c>
      <c r="J6310" s="182" t="n">
        <v>12</v>
      </c>
      <c r="K6310" s="182" t="n">
        <v>0</v>
      </c>
      <c r="L6310" s="182" t="n">
        <v>12</v>
      </c>
      <c r="M6310" s="182" t="n">
        <v>0</v>
      </c>
      <c r="N6310" s="182" t="n">
        <v>0</v>
      </c>
      <c r="O6310" s="185">
        <f>SUMIFS(INPUT_RITASE!$F$5:$F$20000,INPUT_RITASE!$A$5:$A$20000,$A6310,INPUT_RITASE!$H$5:$H$20000,$B6310,INPUT_RITASE!$C$5:$C$20000,$C6310,INPUT_RITASE!$N$5:$N$20000,"OB")</f>
        <v/>
      </c>
      <c r="P6310" s="185">
        <f>SUMIFS(INPUT_RITASE!$F$5:$F$20000,INPUT_RITASE!$A$5:$A$20000,$A6310,INPUT_RITASE!$H$5:$H$20000,$B6310,INPUT_RITASE!$C$5:$C$20000,$C6310,INPUT_RITASE!$N$5:$N$20000,"Coal")</f>
        <v/>
      </c>
      <c r="Q6310" s="186">
        <f>SUMIFS(INPUT_RITASE!$L$5:$L$20000,INPUT_RITASE!$A$5:$A$20000,$A6310,INPUT_RITASE!$H$5:$H$20000,$B6310,INPUT_RITASE!$C$5:$C$20000,$C6310,INPUT_RITASE!$N$5:$N$20000,"OB")</f>
        <v/>
      </c>
      <c r="R6310" s="186">
        <f>SUMIFS(INPUT_RITASE!$L$5:$L$20000,INPUT_RITASE!$A$5:$A$20000,$A6310,INPUT_RITASE!$H$5:$H$20000,$B6310,INPUT_RITASE!$C$5:$C$20000,$C6310,INPUT_RITASE!$N$5:$N$20000,"Coal")</f>
        <v/>
      </c>
      <c r="S6310" s="183" t="n">
        <v>0</v>
      </c>
      <c r="T6310" s="183" t="n">
        <v>0</v>
      </c>
      <c r="U6310" s="182" t="n">
        <v>0</v>
      </c>
      <c r="V6310" s="182" t="n">
        <v>0</v>
      </c>
      <c r="W6310" s="182" t="n">
        <v>0</v>
      </c>
      <c r="X6310" s="182" t="n">
        <v>0</v>
      </c>
      <c r="Y6310" s="182" t="n">
        <v>0</v>
      </c>
      <c r="Z6310" s="182" t="n">
        <v>0</v>
      </c>
      <c r="AA6310" s="182" t="n">
        <v>0</v>
      </c>
      <c r="AB6310" s="182" t="n">
        <v>0</v>
      </c>
      <c r="AC6310" s="182" t="n">
        <v>0</v>
      </c>
      <c r="AD6310" s="182" t="n">
        <v>0</v>
      </c>
      <c r="AE6310" s="182" t="n">
        <v>0</v>
      </c>
      <c r="AF6310" s="182" t="n">
        <v>0</v>
      </c>
      <c r="AG6310" s="182" t="n">
        <v>0</v>
      </c>
      <c r="AH6310" s="182" t="n">
        <v>0</v>
      </c>
      <c r="AI6310" s="182" t="n">
        <v>0</v>
      </c>
      <c r="AJ6310" s="182" t="n">
        <v>0</v>
      </c>
      <c r="AK6310" s="182" t="n">
        <v>0</v>
      </c>
      <c r="AL6310" s="182" t="n">
        <v>0</v>
      </c>
      <c r="AM6310" s="182" t="n">
        <v>0</v>
      </c>
      <c r="AN6310" s="182" t="n">
        <v>0</v>
      </c>
    </row>
    <row r="6311">
      <c r="A6311" s="155" t="n">
        <v>46110</v>
      </c>
      <c r="B6311" s="156" t="inlineStr">
        <is>
          <t>NS</t>
        </is>
      </c>
      <c r="C6311" s="156" t="inlineStr">
        <is>
          <t>EX-223</t>
        </is>
      </c>
      <c r="D6311" s="156" t="inlineStr">
        <is>
          <t>PC 200-8MI</t>
        </is>
      </c>
      <c r="E6311" s="156" t="inlineStr">
        <is>
          <t>Excavator</t>
        </is>
      </c>
      <c r="F6311" s="156" t="inlineStr">
        <is>
          <t>Support Washing Plant</t>
        </is>
      </c>
      <c r="G6311" s="182" t="n">
        <v>10.9</v>
      </c>
      <c r="H6311" s="182" t="n">
        <v>0</v>
      </c>
      <c r="I6311" s="182" t="n">
        <v>0</v>
      </c>
      <c r="J6311" s="182" t="n">
        <v>0</v>
      </c>
      <c r="K6311" s="182" t="n">
        <v>1.1</v>
      </c>
      <c r="L6311" s="182" t="n">
        <v>12</v>
      </c>
      <c r="M6311" s="182" t="n">
        <v>0</v>
      </c>
      <c r="N6311" s="182" t="n">
        <v>0</v>
      </c>
      <c r="O6311" s="185">
        <f>SUMIFS(INPUT_RITASE!$F$5:$F$20000,INPUT_RITASE!$A$5:$A$20000,$A6311,INPUT_RITASE!$H$5:$H$20000,$B6311,INPUT_RITASE!$C$5:$C$20000,$C6311,INPUT_RITASE!$N$5:$N$20000,"OB")</f>
        <v/>
      </c>
      <c r="P6311" s="185">
        <f>SUMIFS(INPUT_RITASE!$F$5:$F$20000,INPUT_RITASE!$A$5:$A$20000,$A6311,INPUT_RITASE!$H$5:$H$20000,$B6311,INPUT_RITASE!$C$5:$C$20000,$C6311,INPUT_RITASE!$N$5:$N$20000,"Coal")</f>
        <v/>
      </c>
      <c r="Q6311" s="186">
        <f>SUMIFS(INPUT_RITASE!$L$5:$L$20000,INPUT_RITASE!$A$5:$A$20000,$A6311,INPUT_RITASE!$H$5:$H$20000,$B6311,INPUT_RITASE!$C$5:$C$20000,$C6311,INPUT_RITASE!$N$5:$N$20000,"OB")</f>
        <v/>
      </c>
      <c r="R6311" s="186">
        <f>SUMIFS(INPUT_RITASE!$L$5:$L$20000,INPUT_RITASE!$A$5:$A$20000,$A6311,INPUT_RITASE!$H$5:$H$20000,$B6311,INPUT_RITASE!$C$5:$C$20000,$C6311,INPUT_RITASE!$N$5:$N$20000,"Coal")</f>
        <v/>
      </c>
      <c r="S6311" s="183" t="n">
        <v>0</v>
      </c>
      <c r="T6311" s="183" t="n">
        <v>0</v>
      </c>
      <c r="U6311" s="182" t="n">
        <v>0</v>
      </c>
      <c r="V6311" s="182" t="n">
        <v>0</v>
      </c>
      <c r="W6311" s="182" t="n">
        <v>0</v>
      </c>
      <c r="X6311" s="182" t="n">
        <v>0.99</v>
      </c>
      <c r="Y6311" s="182" t="n">
        <v>0</v>
      </c>
      <c r="Z6311" s="182" t="n">
        <v>0</v>
      </c>
      <c r="AA6311" s="182" t="n">
        <v>0</v>
      </c>
      <c r="AB6311" s="182" t="n">
        <v>0</v>
      </c>
      <c r="AC6311" s="182" t="n">
        <v>0</v>
      </c>
      <c r="AD6311" s="182" t="n">
        <v>0</v>
      </c>
      <c r="AE6311" s="182" t="n">
        <v>0</v>
      </c>
      <c r="AF6311" s="182" t="n">
        <v>0</v>
      </c>
      <c r="AG6311" s="182" t="n">
        <v>0</v>
      </c>
      <c r="AH6311" s="182" t="n">
        <v>0</v>
      </c>
      <c r="AI6311" s="182" t="n">
        <v>0</v>
      </c>
      <c r="AJ6311" s="182" t="n">
        <v>0</v>
      </c>
      <c r="AK6311" s="182" t="n">
        <v>0</v>
      </c>
      <c r="AL6311" s="182" t="n">
        <v>0</v>
      </c>
      <c r="AM6311" s="182" t="n">
        <v>0.11</v>
      </c>
      <c r="AN6311" s="182" t="n">
        <v>0</v>
      </c>
    </row>
    <row r="6312">
      <c r="A6312" s="155" t="n">
        <v>46110</v>
      </c>
      <c r="B6312" s="156" t="inlineStr">
        <is>
          <t>NS</t>
        </is>
      </c>
      <c r="C6312" s="156" t="inlineStr">
        <is>
          <t>EX-221</t>
        </is>
      </c>
      <c r="D6312" s="156" t="inlineStr">
        <is>
          <t>PC 200-8MI</t>
        </is>
      </c>
      <c r="E6312" s="156" t="inlineStr">
        <is>
          <t>Excavator</t>
        </is>
      </c>
      <c r="F6312" s="156" t="inlineStr"/>
      <c r="G6312" s="182" t="n">
        <v>0</v>
      </c>
      <c r="H6312" s="182" t="n">
        <v>0</v>
      </c>
      <c r="I6312" s="182" t="n">
        <v>0</v>
      </c>
      <c r="J6312" s="182" t="n">
        <v>0</v>
      </c>
      <c r="K6312" s="182" t="n">
        <v>12</v>
      </c>
      <c r="L6312" s="182" t="n">
        <v>12</v>
      </c>
      <c r="M6312" s="182" t="n">
        <v>0</v>
      </c>
      <c r="N6312" s="182" t="n">
        <v>0</v>
      </c>
      <c r="O6312" s="185">
        <f>SUMIFS(INPUT_RITASE!$F$5:$F$20000,INPUT_RITASE!$A$5:$A$20000,$A6312,INPUT_RITASE!$H$5:$H$20000,$B6312,INPUT_RITASE!$C$5:$C$20000,$C6312,INPUT_RITASE!$N$5:$N$20000,"OB")</f>
        <v/>
      </c>
      <c r="P6312" s="185">
        <f>SUMIFS(INPUT_RITASE!$F$5:$F$20000,INPUT_RITASE!$A$5:$A$20000,$A6312,INPUT_RITASE!$H$5:$H$20000,$B6312,INPUT_RITASE!$C$5:$C$20000,$C6312,INPUT_RITASE!$N$5:$N$20000,"Coal")</f>
        <v/>
      </c>
      <c r="Q6312" s="186">
        <f>SUMIFS(INPUT_RITASE!$L$5:$L$20000,INPUT_RITASE!$A$5:$A$20000,$A6312,INPUT_RITASE!$H$5:$H$20000,$B6312,INPUT_RITASE!$C$5:$C$20000,$C6312,INPUT_RITASE!$N$5:$N$20000,"OB")</f>
        <v/>
      </c>
      <c r="R6312" s="186">
        <f>SUMIFS(INPUT_RITASE!$L$5:$L$20000,INPUT_RITASE!$A$5:$A$20000,$A6312,INPUT_RITASE!$H$5:$H$20000,$B6312,INPUT_RITASE!$C$5:$C$20000,$C6312,INPUT_RITASE!$N$5:$N$20000,"Coal")</f>
        <v/>
      </c>
      <c r="S6312" s="183" t="n">
        <v>0</v>
      </c>
      <c r="T6312" s="183" t="n">
        <v>0</v>
      </c>
      <c r="U6312" s="182" t="n">
        <v>0</v>
      </c>
      <c r="V6312" s="182" t="n">
        <v>0</v>
      </c>
      <c r="W6312" s="182" t="n">
        <v>0</v>
      </c>
      <c r="X6312" s="182" t="n">
        <v>1</v>
      </c>
      <c r="Y6312" s="182" t="n">
        <v>0</v>
      </c>
      <c r="Z6312" s="182" t="n">
        <v>0</v>
      </c>
      <c r="AA6312" s="182" t="n">
        <v>0</v>
      </c>
      <c r="AB6312" s="182" t="n">
        <v>0</v>
      </c>
      <c r="AC6312" s="182" t="n">
        <v>0</v>
      </c>
      <c r="AD6312" s="182" t="n">
        <v>0</v>
      </c>
      <c r="AE6312" s="182" t="n">
        <v>0</v>
      </c>
      <c r="AF6312" s="182" t="n">
        <v>0</v>
      </c>
      <c r="AG6312" s="182" t="n">
        <v>0</v>
      </c>
      <c r="AH6312" s="182" t="n">
        <v>0</v>
      </c>
      <c r="AI6312" s="182" t="n">
        <v>0</v>
      </c>
      <c r="AJ6312" s="182" t="n">
        <v>0</v>
      </c>
      <c r="AK6312" s="182" t="n">
        <v>10.92</v>
      </c>
      <c r="AL6312" s="182" t="n">
        <v>0</v>
      </c>
      <c r="AM6312" s="182" t="n">
        <v>0.08</v>
      </c>
      <c r="AN6312" s="182" t="n">
        <v>0</v>
      </c>
    </row>
    <row r="6313">
      <c r="A6313" s="155" t="n">
        <v>46110</v>
      </c>
      <c r="B6313" s="156" t="inlineStr">
        <is>
          <t>NS</t>
        </is>
      </c>
      <c r="C6313" s="156" t="inlineStr">
        <is>
          <t>EX-331</t>
        </is>
      </c>
      <c r="D6313" s="156" t="inlineStr">
        <is>
          <t>PC 300-8MO</t>
        </is>
      </c>
      <c r="E6313" s="156" t="inlineStr">
        <is>
          <t>Excavator</t>
        </is>
      </c>
      <c r="F6313" s="156" t="inlineStr"/>
      <c r="G6313" s="182" t="n">
        <v>0</v>
      </c>
      <c r="H6313" s="182" t="n">
        <v>0</v>
      </c>
      <c r="I6313" s="182" t="n">
        <v>12</v>
      </c>
      <c r="J6313" s="182" t="n">
        <v>12</v>
      </c>
      <c r="K6313" s="182" t="n">
        <v>0</v>
      </c>
      <c r="L6313" s="182" t="n">
        <v>12</v>
      </c>
      <c r="M6313" s="182" t="n">
        <v>0</v>
      </c>
      <c r="N6313" s="182" t="n">
        <v>0</v>
      </c>
      <c r="O6313" s="185">
        <f>SUMIFS(INPUT_RITASE!$F$5:$F$20000,INPUT_RITASE!$A$5:$A$20000,$A6313,INPUT_RITASE!$H$5:$H$20000,$B6313,INPUT_RITASE!$C$5:$C$20000,$C6313,INPUT_RITASE!$N$5:$N$20000,"OB")</f>
        <v/>
      </c>
      <c r="P6313" s="185">
        <f>SUMIFS(INPUT_RITASE!$F$5:$F$20000,INPUT_RITASE!$A$5:$A$20000,$A6313,INPUT_RITASE!$H$5:$H$20000,$B6313,INPUT_RITASE!$C$5:$C$20000,$C6313,INPUT_RITASE!$N$5:$N$20000,"Coal")</f>
        <v/>
      </c>
      <c r="Q6313" s="186">
        <f>SUMIFS(INPUT_RITASE!$L$5:$L$20000,INPUT_RITASE!$A$5:$A$20000,$A6313,INPUT_RITASE!$H$5:$H$20000,$B6313,INPUT_RITASE!$C$5:$C$20000,$C6313,INPUT_RITASE!$N$5:$N$20000,"OB")</f>
        <v/>
      </c>
      <c r="R6313" s="186">
        <f>SUMIFS(INPUT_RITASE!$L$5:$L$20000,INPUT_RITASE!$A$5:$A$20000,$A6313,INPUT_RITASE!$H$5:$H$20000,$B6313,INPUT_RITASE!$C$5:$C$20000,$C6313,INPUT_RITASE!$N$5:$N$20000,"Coal")</f>
        <v/>
      </c>
      <c r="S6313" s="183" t="n">
        <v>0</v>
      </c>
      <c r="T6313" s="183" t="n">
        <v>0</v>
      </c>
      <c r="U6313" s="182" t="n">
        <v>0</v>
      </c>
      <c r="V6313" s="182" t="n">
        <v>0</v>
      </c>
      <c r="W6313" s="182" t="n">
        <v>0</v>
      </c>
      <c r="X6313" s="182" t="n">
        <v>0</v>
      </c>
      <c r="Y6313" s="182" t="n">
        <v>0</v>
      </c>
      <c r="Z6313" s="182" t="n">
        <v>0</v>
      </c>
      <c r="AA6313" s="182" t="n">
        <v>0</v>
      </c>
      <c r="AB6313" s="182" t="n">
        <v>0</v>
      </c>
      <c r="AC6313" s="182" t="n">
        <v>0</v>
      </c>
      <c r="AD6313" s="182" t="n">
        <v>0</v>
      </c>
      <c r="AE6313" s="182" t="n">
        <v>0</v>
      </c>
      <c r="AF6313" s="182" t="n">
        <v>0</v>
      </c>
      <c r="AG6313" s="182" t="n">
        <v>0</v>
      </c>
      <c r="AH6313" s="182" t="n">
        <v>0</v>
      </c>
      <c r="AI6313" s="182" t="n">
        <v>0</v>
      </c>
      <c r="AJ6313" s="182" t="n">
        <v>0</v>
      </c>
      <c r="AK6313" s="182" t="n">
        <v>0</v>
      </c>
      <c r="AL6313" s="182" t="n">
        <v>0</v>
      </c>
      <c r="AM6313" s="182" t="n">
        <v>0</v>
      </c>
      <c r="AN6313" s="182" t="n">
        <v>0</v>
      </c>
    </row>
    <row r="6314">
      <c r="A6314" s="155" t="n">
        <v>46110</v>
      </c>
      <c r="B6314" s="156" t="inlineStr">
        <is>
          <t>NS</t>
        </is>
      </c>
      <c r="C6314" s="156" t="inlineStr">
        <is>
          <t>EX-334</t>
        </is>
      </c>
      <c r="D6314" s="156" t="inlineStr">
        <is>
          <t>PC 300-8MO</t>
        </is>
      </c>
      <c r="E6314" s="156" t="inlineStr">
        <is>
          <t>Excavator</t>
        </is>
      </c>
      <c r="F6314" s="156" t="inlineStr">
        <is>
          <t>Loading &amp; Cleaning Coal</t>
        </is>
      </c>
      <c r="G6314" s="182" t="n">
        <v>10.69</v>
      </c>
      <c r="H6314" s="182" t="n">
        <v>0</v>
      </c>
      <c r="I6314" s="182" t="n">
        <v>0</v>
      </c>
      <c r="J6314" s="182" t="n">
        <v>0</v>
      </c>
      <c r="K6314" s="182" t="n">
        <v>1.31</v>
      </c>
      <c r="L6314" s="182" t="n">
        <v>12</v>
      </c>
      <c r="M6314" s="182" t="n">
        <v>0</v>
      </c>
      <c r="N6314" s="182" t="n">
        <v>0.21</v>
      </c>
      <c r="O6314" s="185">
        <f>SUMIFS(INPUT_RITASE!$F$5:$F$20000,INPUT_RITASE!$A$5:$A$20000,$A6314,INPUT_RITASE!$H$5:$H$20000,$B6314,INPUT_RITASE!$C$5:$C$20000,$C6314,INPUT_RITASE!$N$5:$N$20000,"OB")</f>
        <v/>
      </c>
      <c r="P6314" s="185">
        <f>SUMIFS(INPUT_RITASE!$F$5:$F$20000,INPUT_RITASE!$A$5:$A$20000,$A6314,INPUT_RITASE!$H$5:$H$20000,$B6314,INPUT_RITASE!$C$5:$C$20000,$C6314,INPUT_RITASE!$N$5:$N$20000,"Coal")</f>
        <v/>
      </c>
      <c r="Q6314" s="186">
        <f>SUMIFS(INPUT_RITASE!$L$5:$L$20000,INPUT_RITASE!$A$5:$A$20000,$A6314,INPUT_RITASE!$H$5:$H$20000,$B6314,INPUT_RITASE!$C$5:$C$20000,$C6314,INPUT_RITASE!$N$5:$N$20000,"OB")</f>
        <v/>
      </c>
      <c r="R6314" s="186">
        <f>SUMIFS(INPUT_RITASE!$L$5:$L$20000,INPUT_RITASE!$A$5:$A$20000,$A6314,INPUT_RITASE!$H$5:$H$20000,$B6314,INPUT_RITASE!$C$5:$C$20000,$C6314,INPUT_RITASE!$N$5:$N$20000,"Coal")</f>
        <v/>
      </c>
      <c r="S6314" s="183" t="n">
        <v>0</v>
      </c>
      <c r="T6314" s="183" t="n">
        <v>0</v>
      </c>
      <c r="U6314" s="182" t="n">
        <v>0</v>
      </c>
      <c r="V6314" s="182" t="n">
        <v>0</v>
      </c>
      <c r="W6314" s="182" t="n">
        <v>0</v>
      </c>
      <c r="X6314" s="182" t="n">
        <v>0.82</v>
      </c>
      <c r="Y6314" s="182" t="n">
        <v>0</v>
      </c>
      <c r="Z6314" s="182" t="n">
        <v>0</v>
      </c>
      <c r="AA6314" s="182" t="n">
        <v>0</v>
      </c>
      <c r="AB6314" s="182" t="n">
        <v>0</v>
      </c>
      <c r="AC6314" s="182" t="n">
        <v>0</v>
      </c>
      <c r="AD6314" s="182" t="n">
        <v>0</v>
      </c>
      <c r="AE6314" s="182" t="n">
        <v>0</v>
      </c>
      <c r="AF6314" s="182" t="n">
        <v>0</v>
      </c>
      <c r="AG6314" s="182" t="n">
        <v>0</v>
      </c>
      <c r="AH6314" s="182" t="n">
        <v>0.43</v>
      </c>
      <c r="AI6314" s="182" t="n">
        <v>0</v>
      </c>
      <c r="AJ6314" s="182" t="n">
        <v>0</v>
      </c>
      <c r="AK6314" s="182" t="n">
        <v>0</v>
      </c>
      <c r="AL6314" s="182" t="n">
        <v>0</v>
      </c>
      <c r="AM6314" s="182" t="n">
        <v>0.07000000000000001</v>
      </c>
      <c r="AN6314" s="182" t="n">
        <v>0</v>
      </c>
    </row>
    <row r="6315">
      <c r="A6315" s="155" t="n">
        <v>46110</v>
      </c>
      <c r="B6315" s="156" t="inlineStr">
        <is>
          <t>NS</t>
        </is>
      </c>
      <c r="C6315" s="156" t="inlineStr">
        <is>
          <t>EX-332</t>
        </is>
      </c>
      <c r="D6315" s="156" t="inlineStr">
        <is>
          <t>PC 300-8MO</t>
        </is>
      </c>
      <c r="E6315" s="156" t="inlineStr">
        <is>
          <t>Excavator</t>
        </is>
      </c>
      <c r="F6315" s="156" t="inlineStr">
        <is>
          <t>Loading Coal, Loading Parting &amp; Cleaning Coal</t>
        </is>
      </c>
      <c r="G6315" s="182" t="n">
        <v>11.86</v>
      </c>
      <c r="H6315" s="182" t="n">
        <v>0</v>
      </c>
      <c r="I6315" s="182" t="n">
        <v>0</v>
      </c>
      <c r="J6315" s="182" t="n">
        <v>0</v>
      </c>
      <c r="K6315" s="182" t="n">
        <v>0.14</v>
      </c>
      <c r="L6315" s="182" t="n">
        <v>12</v>
      </c>
      <c r="M6315" s="182" t="n">
        <v>0.99</v>
      </c>
      <c r="N6315" s="182" t="n">
        <v>4.94</v>
      </c>
      <c r="O6315" s="185">
        <f>SUMIFS(INPUT_RITASE!$F$5:$F$20000,INPUT_RITASE!$A$5:$A$20000,$A6315,INPUT_RITASE!$H$5:$H$20000,$B6315,INPUT_RITASE!$C$5:$C$20000,$C6315,INPUT_RITASE!$N$5:$N$20000,"OB")</f>
        <v/>
      </c>
      <c r="P6315" s="185">
        <f>SUMIFS(INPUT_RITASE!$F$5:$F$20000,INPUT_RITASE!$A$5:$A$20000,$A6315,INPUT_RITASE!$H$5:$H$20000,$B6315,INPUT_RITASE!$C$5:$C$20000,$C6315,INPUT_RITASE!$N$5:$N$20000,"Coal")</f>
        <v/>
      </c>
      <c r="Q6315" s="186">
        <f>SUMIFS(INPUT_RITASE!$L$5:$L$20000,INPUT_RITASE!$A$5:$A$20000,$A6315,INPUT_RITASE!$H$5:$H$20000,$B6315,INPUT_RITASE!$C$5:$C$20000,$C6315,INPUT_RITASE!$N$5:$N$20000,"OB")</f>
        <v/>
      </c>
      <c r="R6315" s="186">
        <f>SUMIFS(INPUT_RITASE!$L$5:$L$20000,INPUT_RITASE!$A$5:$A$20000,$A6315,INPUT_RITASE!$H$5:$H$20000,$B6315,INPUT_RITASE!$C$5:$C$20000,$C6315,INPUT_RITASE!$N$5:$N$20000,"Coal")</f>
        <v/>
      </c>
      <c r="S6315" s="183" t="n">
        <v>0</v>
      </c>
      <c r="T6315" s="183" t="n">
        <v>0</v>
      </c>
      <c r="U6315" s="182" t="n">
        <v>0</v>
      </c>
      <c r="V6315" s="182" t="n">
        <v>0</v>
      </c>
      <c r="W6315" s="182" t="n">
        <v>0</v>
      </c>
      <c r="X6315" s="182" t="n">
        <v>0</v>
      </c>
      <c r="Y6315" s="182" t="n">
        <v>0</v>
      </c>
      <c r="Z6315" s="182" t="n">
        <v>0</v>
      </c>
      <c r="AA6315" s="182" t="n">
        <v>0</v>
      </c>
      <c r="AB6315" s="182" t="n">
        <v>0</v>
      </c>
      <c r="AC6315" s="182" t="n">
        <v>0</v>
      </c>
      <c r="AD6315" s="182" t="n">
        <v>0</v>
      </c>
      <c r="AE6315" s="182" t="n">
        <v>0</v>
      </c>
      <c r="AF6315" s="182" t="n">
        <v>0</v>
      </c>
      <c r="AG6315" s="182" t="n">
        <v>0</v>
      </c>
      <c r="AH6315" s="182" t="n">
        <v>0</v>
      </c>
      <c r="AI6315" s="182" t="n">
        <v>0</v>
      </c>
      <c r="AJ6315" s="182" t="n">
        <v>0</v>
      </c>
      <c r="AK6315" s="182" t="n">
        <v>0</v>
      </c>
      <c r="AL6315" s="182" t="n">
        <v>0</v>
      </c>
      <c r="AM6315" s="182" t="n">
        <v>0</v>
      </c>
      <c r="AN6315" s="182" t="n">
        <v>0</v>
      </c>
    </row>
    <row r="6316">
      <c r="A6316" s="155" t="n">
        <v>46110</v>
      </c>
      <c r="B6316" s="156" t="inlineStr">
        <is>
          <t>NS</t>
        </is>
      </c>
      <c r="C6316" s="156" t="inlineStr">
        <is>
          <t>EX-333</t>
        </is>
      </c>
      <c r="D6316" s="156" t="inlineStr">
        <is>
          <t>PC 300-8MO</t>
        </is>
      </c>
      <c r="E6316" s="156" t="inlineStr">
        <is>
          <t>Excavator</t>
        </is>
      </c>
      <c r="F6316" s="156" t="inlineStr"/>
      <c r="G6316" s="182" t="n">
        <v>0</v>
      </c>
      <c r="H6316" s="182" t="n">
        <v>0</v>
      </c>
      <c r="I6316" s="182" t="n">
        <v>12</v>
      </c>
      <c r="J6316" s="182" t="n">
        <v>12</v>
      </c>
      <c r="K6316" s="182" t="n">
        <v>0</v>
      </c>
      <c r="L6316" s="182" t="n">
        <v>12</v>
      </c>
      <c r="M6316" s="182" t="n">
        <v>0</v>
      </c>
      <c r="N6316" s="182" t="n">
        <v>0</v>
      </c>
      <c r="O6316" s="185">
        <f>SUMIFS(INPUT_RITASE!$F$5:$F$20000,INPUT_RITASE!$A$5:$A$20000,$A6316,INPUT_RITASE!$H$5:$H$20000,$B6316,INPUT_RITASE!$C$5:$C$20000,$C6316,INPUT_RITASE!$N$5:$N$20000,"OB")</f>
        <v/>
      </c>
      <c r="P6316" s="185">
        <f>SUMIFS(INPUT_RITASE!$F$5:$F$20000,INPUT_RITASE!$A$5:$A$20000,$A6316,INPUT_RITASE!$H$5:$H$20000,$B6316,INPUT_RITASE!$C$5:$C$20000,$C6316,INPUT_RITASE!$N$5:$N$20000,"Coal")</f>
        <v/>
      </c>
      <c r="Q6316" s="186">
        <f>SUMIFS(INPUT_RITASE!$L$5:$L$20000,INPUT_RITASE!$A$5:$A$20000,$A6316,INPUT_RITASE!$H$5:$H$20000,$B6316,INPUT_RITASE!$C$5:$C$20000,$C6316,INPUT_RITASE!$N$5:$N$20000,"OB")</f>
        <v/>
      </c>
      <c r="R6316" s="186">
        <f>SUMIFS(INPUT_RITASE!$L$5:$L$20000,INPUT_RITASE!$A$5:$A$20000,$A6316,INPUT_RITASE!$H$5:$H$20000,$B6316,INPUT_RITASE!$C$5:$C$20000,$C6316,INPUT_RITASE!$N$5:$N$20000,"Coal")</f>
        <v/>
      </c>
      <c r="S6316" s="183" t="n">
        <v>0</v>
      </c>
      <c r="T6316" s="183" t="n">
        <v>0</v>
      </c>
      <c r="U6316" s="182" t="n">
        <v>0</v>
      </c>
      <c r="V6316" s="182" t="n">
        <v>0</v>
      </c>
      <c r="W6316" s="182" t="n">
        <v>0</v>
      </c>
      <c r="X6316" s="182" t="n">
        <v>0</v>
      </c>
      <c r="Y6316" s="182" t="n">
        <v>0</v>
      </c>
      <c r="Z6316" s="182" t="n">
        <v>0</v>
      </c>
      <c r="AA6316" s="182" t="n">
        <v>0</v>
      </c>
      <c r="AB6316" s="182" t="n">
        <v>0</v>
      </c>
      <c r="AC6316" s="182" t="n">
        <v>0</v>
      </c>
      <c r="AD6316" s="182" t="n">
        <v>0</v>
      </c>
      <c r="AE6316" s="182" t="n">
        <v>0</v>
      </c>
      <c r="AF6316" s="182" t="n">
        <v>0</v>
      </c>
      <c r="AG6316" s="182" t="n">
        <v>0</v>
      </c>
      <c r="AH6316" s="182" t="n">
        <v>0</v>
      </c>
      <c r="AI6316" s="182" t="n">
        <v>0</v>
      </c>
      <c r="AJ6316" s="182" t="n">
        <v>0</v>
      </c>
      <c r="AK6316" s="182" t="n">
        <v>0</v>
      </c>
      <c r="AL6316" s="182" t="n">
        <v>0</v>
      </c>
      <c r="AM6316" s="182" t="n">
        <v>0</v>
      </c>
      <c r="AN6316" s="182" t="n">
        <v>0</v>
      </c>
    </row>
    <row r="6317">
      <c r="A6317" s="155" t="n">
        <v>46110</v>
      </c>
      <c r="B6317" s="156" t="inlineStr">
        <is>
          <t>NS</t>
        </is>
      </c>
      <c r="C6317" s="156" t="inlineStr">
        <is>
          <t>EX-336</t>
        </is>
      </c>
      <c r="D6317" s="156" t="inlineStr">
        <is>
          <t>PC 300-8MO</t>
        </is>
      </c>
      <c r="E6317" s="156" t="inlineStr">
        <is>
          <t>Excavator</t>
        </is>
      </c>
      <c r="F6317" s="156" t="inlineStr">
        <is>
          <t>Support ROM &amp; Washing Plant</t>
        </is>
      </c>
      <c r="G6317" s="182" t="n">
        <v>12</v>
      </c>
      <c r="H6317" s="182" t="n">
        <v>0</v>
      </c>
      <c r="I6317" s="182" t="n">
        <v>0</v>
      </c>
      <c r="J6317" s="182" t="n">
        <v>0</v>
      </c>
      <c r="K6317" s="182" t="n">
        <v>0</v>
      </c>
      <c r="L6317" s="182" t="n">
        <v>12</v>
      </c>
      <c r="M6317" s="182" t="n">
        <v>0</v>
      </c>
      <c r="N6317" s="182" t="n">
        <v>0</v>
      </c>
      <c r="O6317" s="185">
        <f>SUMIFS(INPUT_RITASE!$F$5:$F$20000,INPUT_RITASE!$A$5:$A$20000,$A6317,INPUT_RITASE!$H$5:$H$20000,$B6317,INPUT_RITASE!$C$5:$C$20000,$C6317,INPUT_RITASE!$N$5:$N$20000,"OB")</f>
        <v/>
      </c>
      <c r="P6317" s="185">
        <f>SUMIFS(INPUT_RITASE!$F$5:$F$20000,INPUT_RITASE!$A$5:$A$20000,$A6317,INPUT_RITASE!$H$5:$H$20000,$B6317,INPUT_RITASE!$C$5:$C$20000,$C6317,INPUT_RITASE!$N$5:$N$20000,"Coal")</f>
        <v/>
      </c>
      <c r="Q6317" s="186">
        <f>SUMIFS(INPUT_RITASE!$L$5:$L$20000,INPUT_RITASE!$A$5:$A$20000,$A6317,INPUT_RITASE!$H$5:$H$20000,$B6317,INPUT_RITASE!$C$5:$C$20000,$C6317,INPUT_RITASE!$N$5:$N$20000,"OB")</f>
        <v/>
      </c>
      <c r="R6317" s="186">
        <f>SUMIFS(INPUT_RITASE!$L$5:$L$20000,INPUT_RITASE!$A$5:$A$20000,$A6317,INPUT_RITASE!$H$5:$H$20000,$B6317,INPUT_RITASE!$C$5:$C$20000,$C6317,INPUT_RITASE!$N$5:$N$20000,"Coal")</f>
        <v/>
      </c>
      <c r="S6317" s="183" t="n">
        <v>0</v>
      </c>
      <c r="T6317" s="183" t="n">
        <v>0</v>
      </c>
      <c r="U6317" s="182" t="n">
        <v>0</v>
      </c>
      <c r="V6317" s="182" t="n">
        <v>0</v>
      </c>
      <c r="W6317" s="182" t="n">
        <v>0</v>
      </c>
      <c r="X6317" s="182" t="n">
        <v>0</v>
      </c>
      <c r="Y6317" s="182" t="n">
        <v>0</v>
      </c>
      <c r="Z6317" s="182" t="n">
        <v>0</v>
      </c>
      <c r="AA6317" s="182" t="n">
        <v>0</v>
      </c>
      <c r="AB6317" s="182" t="n">
        <v>0</v>
      </c>
      <c r="AC6317" s="182" t="n">
        <v>0</v>
      </c>
      <c r="AD6317" s="182" t="n">
        <v>0</v>
      </c>
      <c r="AE6317" s="182" t="n">
        <v>0</v>
      </c>
      <c r="AF6317" s="182" t="n">
        <v>0</v>
      </c>
      <c r="AG6317" s="182" t="n">
        <v>0</v>
      </c>
      <c r="AH6317" s="182" t="n">
        <v>0</v>
      </c>
      <c r="AI6317" s="182" t="n">
        <v>0</v>
      </c>
      <c r="AJ6317" s="182" t="n">
        <v>0</v>
      </c>
      <c r="AK6317" s="182" t="n">
        <v>0</v>
      </c>
      <c r="AL6317" s="182" t="n">
        <v>0</v>
      </c>
      <c r="AM6317" s="182" t="n">
        <v>0</v>
      </c>
      <c r="AN6317" s="182" t="n">
        <v>0</v>
      </c>
    </row>
    <row r="6318">
      <c r="A6318" s="155" t="n">
        <v>46110</v>
      </c>
      <c r="B6318" s="156" t="inlineStr">
        <is>
          <t>NS</t>
        </is>
      </c>
      <c r="C6318" s="156" t="inlineStr">
        <is>
          <t>EX-335</t>
        </is>
      </c>
      <c r="D6318" s="156" t="inlineStr">
        <is>
          <t>PC 300-8MO</t>
        </is>
      </c>
      <c r="E6318" s="156" t="inlineStr">
        <is>
          <t>Excavator</t>
        </is>
      </c>
      <c r="F6318" s="156" t="inlineStr">
        <is>
          <t>Loading &amp; Cleaning Coal</t>
        </is>
      </c>
      <c r="G6318" s="182" t="n">
        <v>10.18</v>
      </c>
      <c r="H6318" s="182" t="n">
        <v>0</v>
      </c>
      <c r="I6318" s="182" t="n">
        <v>0</v>
      </c>
      <c r="J6318" s="182" t="n">
        <v>0</v>
      </c>
      <c r="K6318" s="182" t="n">
        <v>1.82</v>
      </c>
      <c r="L6318" s="182" t="n">
        <v>12</v>
      </c>
      <c r="M6318" s="182" t="n">
        <v>0</v>
      </c>
      <c r="N6318" s="182" t="n">
        <v>2.99</v>
      </c>
      <c r="O6318" s="185">
        <f>SUMIFS(INPUT_RITASE!$F$5:$F$20000,INPUT_RITASE!$A$5:$A$20000,$A6318,INPUT_RITASE!$H$5:$H$20000,$B6318,INPUT_RITASE!$C$5:$C$20000,$C6318,INPUT_RITASE!$N$5:$N$20000,"OB")</f>
        <v/>
      </c>
      <c r="P6318" s="185">
        <f>SUMIFS(INPUT_RITASE!$F$5:$F$20000,INPUT_RITASE!$A$5:$A$20000,$A6318,INPUT_RITASE!$H$5:$H$20000,$B6318,INPUT_RITASE!$C$5:$C$20000,$C6318,INPUT_RITASE!$N$5:$N$20000,"Coal")</f>
        <v/>
      </c>
      <c r="Q6318" s="186">
        <f>SUMIFS(INPUT_RITASE!$L$5:$L$20000,INPUT_RITASE!$A$5:$A$20000,$A6318,INPUT_RITASE!$H$5:$H$20000,$B6318,INPUT_RITASE!$C$5:$C$20000,$C6318,INPUT_RITASE!$N$5:$N$20000,"OB")</f>
        <v/>
      </c>
      <c r="R6318" s="186">
        <f>SUMIFS(INPUT_RITASE!$L$5:$L$20000,INPUT_RITASE!$A$5:$A$20000,$A6318,INPUT_RITASE!$H$5:$H$20000,$B6318,INPUT_RITASE!$C$5:$C$20000,$C6318,INPUT_RITASE!$N$5:$N$20000,"Coal")</f>
        <v/>
      </c>
      <c r="S6318" s="183" t="n">
        <v>0</v>
      </c>
      <c r="T6318" s="183" t="n">
        <v>0</v>
      </c>
      <c r="U6318" s="182" t="n">
        <v>0</v>
      </c>
      <c r="V6318" s="182" t="n">
        <v>0</v>
      </c>
      <c r="W6318" s="182" t="n">
        <v>0</v>
      </c>
      <c r="X6318" s="182" t="n">
        <v>1.01</v>
      </c>
      <c r="Y6318" s="182" t="n">
        <v>0</v>
      </c>
      <c r="Z6318" s="182" t="n">
        <v>0</v>
      </c>
      <c r="AA6318" s="182" t="n">
        <v>0</v>
      </c>
      <c r="AB6318" s="182" t="n">
        <v>0</v>
      </c>
      <c r="AC6318" s="182" t="n">
        <v>0</v>
      </c>
      <c r="AD6318" s="182" t="n">
        <v>0</v>
      </c>
      <c r="AE6318" s="182" t="n">
        <v>0</v>
      </c>
      <c r="AF6318" s="182" t="n">
        <v>0</v>
      </c>
      <c r="AG6318" s="182" t="n">
        <v>0</v>
      </c>
      <c r="AH6318" s="182" t="n">
        <v>0.73</v>
      </c>
      <c r="AI6318" s="182" t="n">
        <v>0</v>
      </c>
      <c r="AJ6318" s="182" t="n">
        <v>0</v>
      </c>
      <c r="AK6318" s="182" t="n">
        <v>0</v>
      </c>
      <c r="AL6318" s="182" t="n">
        <v>0</v>
      </c>
      <c r="AM6318" s="182" t="n">
        <v>0.08</v>
      </c>
      <c r="AN6318" s="182" t="n">
        <v>0</v>
      </c>
    </row>
    <row r="6319">
      <c r="A6319" s="155" t="n">
        <v>46110</v>
      </c>
      <c r="B6319" s="156" t="inlineStr">
        <is>
          <t>NS</t>
        </is>
      </c>
      <c r="C6319" s="156" t="inlineStr">
        <is>
          <t>EX-754</t>
        </is>
      </c>
      <c r="D6319" s="156" t="inlineStr">
        <is>
          <t>SY750H-PRO</t>
        </is>
      </c>
      <c r="E6319" s="156" t="inlineStr">
        <is>
          <t>Excavator</t>
        </is>
      </c>
      <c r="F6319" s="156" t="inlineStr">
        <is>
          <t>Loading OB &amp; Coal</t>
        </is>
      </c>
      <c r="G6319" s="182" t="n">
        <v>10.71</v>
      </c>
      <c r="H6319" s="182" t="n">
        <v>0</v>
      </c>
      <c r="I6319" s="182" t="n">
        <v>0.42</v>
      </c>
      <c r="J6319" s="182" t="n">
        <v>0.42</v>
      </c>
      <c r="K6319" s="182" t="n">
        <v>0.87</v>
      </c>
      <c r="L6319" s="182" t="n">
        <v>12</v>
      </c>
      <c r="M6319" s="182" t="n">
        <v>6.33</v>
      </c>
      <c r="N6319" s="182" t="n">
        <v>4.12</v>
      </c>
      <c r="O6319" s="185">
        <f>SUMIFS(INPUT_RITASE!$F$5:$F$20000,INPUT_RITASE!$A$5:$A$20000,$A6319,INPUT_RITASE!$H$5:$H$20000,$B6319,INPUT_RITASE!$C$5:$C$20000,$C6319,INPUT_RITASE!$N$5:$N$20000,"OB")</f>
        <v/>
      </c>
      <c r="P6319" s="185">
        <f>SUMIFS(INPUT_RITASE!$F$5:$F$20000,INPUT_RITASE!$A$5:$A$20000,$A6319,INPUT_RITASE!$H$5:$H$20000,$B6319,INPUT_RITASE!$C$5:$C$20000,$C6319,INPUT_RITASE!$N$5:$N$20000,"Coal")</f>
        <v/>
      </c>
      <c r="Q6319" s="186">
        <f>SUMIFS(INPUT_RITASE!$L$5:$L$20000,INPUT_RITASE!$A$5:$A$20000,$A6319,INPUT_RITASE!$H$5:$H$20000,$B6319,INPUT_RITASE!$C$5:$C$20000,$C6319,INPUT_RITASE!$N$5:$N$20000,"OB")</f>
        <v/>
      </c>
      <c r="R6319" s="186">
        <f>SUMIFS(INPUT_RITASE!$L$5:$L$20000,INPUT_RITASE!$A$5:$A$20000,$A6319,INPUT_RITASE!$H$5:$H$20000,$B6319,INPUT_RITASE!$C$5:$C$20000,$C6319,INPUT_RITASE!$N$5:$N$20000,"Coal")</f>
        <v/>
      </c>
      <c r="S6319" s="183" t="n">
        <v>0</v>
      </c>
      <c r="T6319" s="183" t="n">
        <v>0</v>
      </c>
      <c r="U6319" s="182" t="n">
        <v>0</v>
      </c>
      <c r="V6319" s="182" t="n">
        <v>0</v>
      </c>
      <c r="W6319" s="182" t="n">
        <v>0</v>
      </c>
      <c r="X6319" s="182" t="n">
        <v>0.74</v>
      </c>
      <c r="Y6319" s="182" t="n">
        <v>0</v>
      </c>
      <c r="Z6319" s="182" t="n">
        <v>0</v>
      </c>
      <c r="AA6319" s="182" t="n">
        <v>0</v>
      </c>
      <c r="AB6319" s="182" t="n">
        <v>0</v>
      </c>
      <c r="AC6319" s="182" t="n">
        <v>0</v>
      </c>
      <c r="AD6319" s="182" t="n">
        <v>0</v>
      </c>
      <c r="AE6319" s="182" t="n">
        <v>0</v>
      </c>
      <c r="AF6319" s="182" t="n">
        <v>0</v>
      </c>
      <c r="AG6319" s="182" t="n">
        <v>0</v>
      </c>
      <c r="AH6319" s="182" t="n">
        <v>0.07000000000000001</v>
      </c>
      <c r="AI6319" s="182" t="n">
        <v>0</v>
      </c>
      <c r="AJ6319" s="182" t="n">
        <v>0</v>
      </c>
      <c r="AK6319" s="182" t="n">
        <v>0</v>
      </c>
      <c r="AL6319" s="182" t="n">
        <v>0</v>
      </c>
      <c r="AM6319" s="182" t="n">
        <v>0.06</v>
      </c>
      <c r="AN6319" s="182" t="n">
        <v>0</v>
      </c>
    </row>
    <row r="6320">
      <c r="A6320" s="155" t="n">
        <v>46110</v>
      </c>
      <c r="B6320" s="156" t="inlineStr">
        <is>
          <t>NS</t>
        </is>
      </c>
      <c r="C6320" s="156" t="inlineStr">
        <is>
          <t>EX-755</t>
        </is>
      </c>
      <c r="D6320" s="156" t="inlineStr">
        <is>
          <t>SY750H-PRO</t>
        </is>
      </c>
      <c r="E6320" s="156" t="inlineStr">
        <is>
          <t>Excavator</t>
        </is>
      </c>
      <c r="F6320" s="156" t="inlineStr">
        <is>
          <t>Loading Spoil &amp; Mud</t>
        </is>
      </c>
      <c r="G6320" s="182" t="n">
        <v>9.85</v>
      </c>
      <c r="H6320" s="182" t="n">
        <v>0</v>
      </c>
      <c r="I6320" s="182" t="n">
        <v>0</v>
      </c>
      <c r="J6320" s="182" t="n">
        <v>0</v>
      </c>
      <c r="K6320" s="182" t="n">
        <v>2.15</v>
      </c>
      <c r="L6320" s="182" t="n">
        <v>12</v>
      </c>
      <c r="M6320" s="182" t="n">
        <v>3.11</v>
      </c>
      <c r="N6320" s="182" t="n">
        <v>0</v>
      </c>
      <c r="O6320" s="185">
        <f>SUMIFS(INPUT_RITASE!$F$5:$F$20000,INPUT_RITASE!$A$5:$A$20000,$A6320,INPUT_RITASE!$H$5:$H$20000,$B6320,INPUT_RITASE!$C$5:$C$20000,$C6320,INPUT_RITASE!$N$5:$N$20000,"OB")</f>
        <v/>
      </c>
      <c r="P6320" s="185">
        <f>SUMIFS(INPUT_RITASE!$F$5:$F$20000,INPUT_RITASE!$A$5:$A$20000,$A6320,INPUT_RITASE!$H$5:$H$20000,$B6320,INPUT_RITASE!$C$5:$C$20000,$C6320,INPUT_RITASE!$N$5:$N$20000,"Coal")</f>
        <v/>
      </c>
      <c r="Q6320" s="186">
        <f>SUMIFS(INPUT_RITASE!$L$5:$L$20000,INPUT_RITASE!$A$5:$A$20000,$A6320,INPUT_RITASE!$H$5:$H$20000,$B6320,INPUT_RITASE!$C$5:$C$20000,$C6320,INPUT_RITASE!$N$5:$N$20000,"OB")</f>
        <v/>
      </c>
      <c r="R6320" s="186">
        <f>SUMIFS(INPUT_RITASE!$L$5:$L$20000,INPUT_RITASE!$A$5:$A$20000,$A6320,INPUT_RITASE!$H$5:$H$20000,$B6320,INPUT_RITASE!$C$5:$C$20000,$C6320,INPUT_RITASE!$N$5:$N$20000,"Coal")</f>
        <v/>
      </c>
      <c r="S6320" s="183" t="n">
        <v>98</v>
      </c>
      <c r="T6320" s="183" t="n">
        <v>0</v>
      </c>
      <c r="U6320" s="182" t="n">
        <v>0</v>
      </c>
      <c r="V6320" s="182" t="n">
        <v>0</v>
      </c>
      <c r="W6320" s="182" t="n">
        <v>0</v>
      </c>
      <c r="X6320" s="182" t="n">
        <v>1.27</v>
      </c>
      <c r="Y6320" s="182" t="n">
        <v>0</v>
      </c>
      <c r="Z6320" s="182" t="n">
        <v>0</v>
      </c>
      <c r="AA6320" s="182" t="n">
        <v>0</v>
      </c>
      <c r="AB6320" s="182" t="n">
        <v>0</v>
      </c>
      <c r="AC6320" s="182" t="n">
        <v>0</v>
      </c>
      <c r="AD6320" s="182" t="n">
        <v>0</v>
      </c>
      <c r="AE6320" s="182" t="n">
        <v>0</v>
      </c>
      <c r="AF6320" s="182" t="n">
        <v>0</v>
      </c>
      <c r="AG6320" s="182" t="n">
        <v>0</v>
      </c>
      <c r="AH6320" s="182" t="n">
        <v>0.78</v>
      </c>
      <c r="AI6320" s="182" t="n">
        <v>0</v>
      </c>
      <c r="AJ6320" s="182" t="n">
        <v>0</v>
      </c>
      <c r="AK6320" s="182" t="n">
        <v>0</v>
      </c>
      <c r="AL6320" s="182" t="n">
        <v>0</v>
      </c>
      <c r="AM6320" s="182" t="n">
        <v>0.1</v>
      </c>
      <c r="AN6320" s="182" t="n">
        <v>0</v>
      </c>
    </row>
    <row r="6321">
      <c r="A6321" s="155" t="n">
        <v>46110</v>
      </c>
      <c r="B6321" s="156" t="inlineStr">
        <is>
          <t>NS</t>
        </is>
      </c>
      <c r="C6321" s="156" t="inlineStr">
        <is>
          <t>EX-752</t>
        </is>
      </c>
      <c r="D6321" s="156" t="inlineStr">
        <is>
          <t>SY750H-PRO</t>
        </is>
      </c>
      <c r="E6321" s="156" t="inlineStr">
        <is>
          <t>Excavator</t>
        </is>
      </c>
      <c r="F6321" s="156" t="inlineStr"/>
      <c r="G6321" s="182" t="n">
        <v>0</v>
      </c>
      <c r="H6321" s="182" t="n">
        <v>0</v>
      </c>
      <c r="I6321" s="182" t="n">
        <v>12</v>
      </c>
      <c r="J6321" s="182" t="n">
        <v>12</v>
      </c>
      <c r="K6321" s="182" t="n">
        <v>0</v>
      </c>
      <c r="L6321" s="182" t="n">
        <v>12</v>
      </c>
      <c r="M6321" s="182" t="n">
        <v>0</v>
      </c>
      <c r="N6321" s="182" t="n">
        <v>0</v>
      </c>
      <c r="O6321" s="185">
        <f>SUMIFS(INPUT_RITASE!$F$5:$F$20000,INPUT_RITASE!$A$5:$A$20000,$A6321,INPUT_RITASE!$H$5:$H$20000,$B6321,INPUT_RITASE!$C$5:$C$20000,$C6321,INPUT_RITASE!$N$5:$N$20000,"OB")</f>
        <v/>
      </c>
      <c r="P6321" s="185">
        <f>SUMIFS(INPUT_RITASE!$F$5:$F$20000,INPUT_RITASE!$A$5:$A$20000,$A6321,INPUT_RITASE!$H$5:$H$20000,$B6321,INPUT_RITASE!$C$5:$C$20000,$C6321,INPUT_RITASE!$N$5:$N$20000,"Coal")</f>
        <v/>
      </c>
      <c r="Q6321" s="186">
        <f>SUMIFS(INPUT_RITASE!$L$5:$L$20000,INPUT_RITASE!$A$5:$A$20000,$A6321,INPUT_RITASE!$H$5:$H$20000,$B6321,INPUT_RITASE!$C$5:$C$20000,$C6321,INPUT_RITASE!$N$5:$N$20000,"OB")</f>
        <v/>
      </c>
      <c r="R6321" s="186">
        <f>SUMIFS(INPUT_RITASE!$L$5:$L$20000,INPUT_RITASE!$A$5:$A$20000,$A6321,INPUT_RITASE!$H$5:$H$20000,$B6321,INPUT_RITASE!$C$5:$C$20000,$C6321,INPUT_RITASE!$N$5:$N$20000,"Coal")</f>
        <v/>
      </c>
      <c r="S6321" s="183" t="n">
        <v>0</v>
      </c>
      <c r="T6321" s="183" t="n">
        <v>0</v>
      </c>
      <c r="U6321" s="182" t="n">
        <v>0</v>
      </c>
      <c r="V6321" s="182" t="n">
        <v>0</v>
      </c>
      <c r="W6321" s="182" t="n">
        <v>0</v>
      </c>
      <c r="X6321" s="182" t="n">
        <v>0</v>
      </c>
      <c r="Y6321" s="182" t="n">
        <v>0</v>
      </c>
      <c r="Z6321" s="182" t="n">
        <v>0</v>
      </c>
      <c r="AA6321" s="182" t="n">
        <v>0</v>
      </c>
      <c r="AB6321" s="182" t="n">
        <v>0</v>
      </c>
      <c r="AC6321" s="182" t="n">
        <v>0</v>
      </c>
      <c r="AD6321" s="182" t="n">
        <v>0</v>
      </c>
      <c r="AE6321" s="182" t="n">
        <v>0</v>
      </c>
      <c r="AF6321" s="182" t="n">
        <v>0</v>
      </c>
      <c r="AG6321" s="182" t="n">
        <v>0</v>
      </c>
      <c r="AH6321" s="182" t="n">
        <v>0</v>
      </c>
      <c r="AI6321" s="182" t="n">
        <v>0</v>
      </c>
      <c r="AJ6321" s="182" t="n">
        <v>0</v>
      </c>
      <c r="AK6321" s="182" t="n">
        <v>0</v>
      </c>
      <c r="AL6321" s="182" t="n">
        <v>0</v>
      </c>
      <c r="AM6321" s="182" t="n">
        <v>0</v>
      </c>
      <c r="AN6321" s="182" t="n">
        <v>0</v>
      </c>
    </row>
    <row r="6322">
      <c r="A6322" s="155" t="n">
        <v>46110</v>
      </c>
      <c r="B6322" s="156" t="inlineStr">
        <is>
          <t>NS</t>
        </is>
      </c>
      <c r="C6322" s="156" t="inlineStr">
        <is>
          <t>EX-751</t>
        </is>
      </c>
      <c r="D6322" s="156" t="inlineStr">
        <is>
          <t>SY750H-PRO</t>
        </is>
      </c>
      <c r="E6322" s="156" t="inlineStr">
        <is>
          <t>Excavator</t>
        </is>
      </c>
      <c r="F6322" s="156" t="inlineStr"/>
      <c r="G6322" s="182" t="n">
        <v>0</v>
      </c>
      <c r="H6322" s="182" t="n">
        <v>0</v>
      </c>
      <c r="I6322" s="182" t="n">
        <v>12</v>
      </c>
      <c r="J6322" s="182" t="n">
        <v>12</v>
      </c>
      <c r="K6322" s="182" t="n">
        <v>0</v>
      </c>
      <c r="L6322" s="182" t="n">
        <v>12</v>
      </c>
      <c r="M6322" s="182" t="n">
        <v>0</v>
      </c>
      <c r="N6322" s="182" t="n">
        <v>0</v>
      </c>
      <c r="O6322" s="185">
        <f>SUMIFS(INPUT_RITASE!$F$5:$F$20000,INPUT_RITASE!$A$5:$A$20000,$A6322,INPUT_RITASE!$H$5:$H$20000,$B6322,INPUT_RITASE!$C$5:$C$20000,$C6322,INPUT_RITASE!$N$5:$N$20000,"OB")</f>
        <v/>
      </c>
      <c r="P6322" s="185">
        <f>SUMIFS(INPUT_RITASE!$F$5:$F$20000,INPUT_RITASE!$A$5:$A$20000,$A6322,INPUT_RITASE!$H$5:$H$20000,$B6322,INPUT_RITASE!$C$5:$C$20000,$C6322,INPUT_RITASE!$N$5:$N$20000,"Coal")</f>
        <v/>
      </c>
      <c r="Q6322" s="186">
        <f>SUMIFS(INPUT_RITASE!$L$5:$L$20000,INPUT_RITASE!$A$5:$A$20000,$A6322,INPUT_RITASE!$H$5:$H$20000,$B6322,INPUT_RITASE!$C$5:$C$20000,$C6322,INPUT_RITASE!$N$5:$N$20000,"OB")</f>
        <v/>
      </c>
      <c r="R6322" s="186">
        <f>SUMIFS(INPUT_RITASE!$L$5:$L$20000,INPUT_RITASE!$A$5:$A$20000,$A6322,INPUT_RITASE!$H$5:$H$20000,$B6322,INPUT_RITASE!$C$5:$C$20000,$C6322,INPUT_RITASE!$N$5:$N$20000,"Coal")</f>
        <v/>
      </c>
      <c r="S6322" s="183" t="n">
        <v>0</v>
      </c>
      <c r="T6322" s="183" t="n">
        <v>0</v>
      </c>
      <c r="U6322" s="182" t="n">
        <v>0</v>
      </c>
      <c r="V6322" s="182" t="n">
        <v>0</v>
      </c>
      <c r="W6322" s="182" t="n">
        <v>0</v>
      </c>
      <c r="X6322" s="182" t="n">
        <v>0</v>
      </c>
      <c r="Y6322" s="182" t="n">
        <v>0</v>
      </c>
      <c r="Z6322" s="182" t="n">
        <v>0</v>
      </c>
      <c r="AA6322" s="182" t="n">
        <v>0</v>
      </c>
      <c r="AB6322" s="182" t="n">
        <v>0</v>
      </c>
      <c r="AC6322" s="182" t="n">
        <v>0</v>
      </c>
      <c r="AD6322" s="182" t="n">
        <v>0</v>
      </c>
      <c r="AE6322" s="182" t="n">
        <v>0</v>
      </c>
      <c r="AF6322" s="182" t="n">
        <v>0</v>
      </c>
      <c r="AG6322" s="182" t="n">
        <v>0</v>
      </c>
      <c r="AH6322" s="182" t="n">
        <v>0</v>
      </c>
      <c r="AI6322" s="182" t="n">
        <v>0</v>
      </c>
      <c r="AJ6322" s="182" t="n">
        <v>0</v>
      </c>
      <c r="AK6322" s="182" t="n">
        <v>0</v>
      </c>
      <c r="AL6322" s="182" t="n">
        <v>0</v>
      </c>
      <c r="AM6322" s="182" t="n">
        <v>0</v>
      </c>
      <c r="AN6322" s="182" t="n">
        <v>0</v>
      </c>
    </row>
    <row r="6323">
      <c r="A6323" s="155" t="n">
        <v>46110</v>
      </c>
      <c r="B6323" s="156" t="inlineStr">
        <is>
          <t>NS</t>
        </is>
      </c>
      <c r="C6323" s="156" t="inlineStr">
        <is>
          <t>EX-753</t>
        </is>
      </c>
      <c r="D6323" s="156" t="inlineStr">
        <is>
          <t>SY750H-PRO</t>
        </is>
      </c>
      <c r="E6323" s="156" t="inlineStr">
        <is>
          <t>Excavator</t>
        </is>
      </c>
      <c r="F6323" s="156" t="inlineStr">
        <is>
          <t>Loading OB</t>
        </is>
      </c>
      <c r="G6323" s="182" t="n">
        <v>10.95</v>
      </c>
      <c r="H6323" s="182" t="n">
        <v>0</v>
      </c>
      <c r="I6323" s="182" t="n">
        <v>0.25</v>
      </c>
      <c r="J6323" s="182" t="n">
        <v>0.25</v>
      </c>
      <c r="K6323" s="182" t="n">
        <v>0.8</v>
      </c>
      <c r="L6323" s="182" t="n">
        <v>12</v>
      </c>
      <c r="M6323" s="182" t="n">
        <v>10.63</v>
      </c>
      <c r="N6323" s="182" t="n">
        <v>0</v>
      </c>
      <c r="O6323" s="185">
        <f>SUMIFS(INPUT_RITASE!$F$5:$F$20000,INPUT_RITASE!$A$5:$A$20000,$A6323,INPUT_RITASE!$H$5:$H$20000,$B6323,INPUT_RITASE!$C$5:$C$20000,$C6323,INPUT_RITASE!$N$5:$N$20000,"OB")</f>
        <v/>
      </c>
      <c r="P6323" s="185">
        <f>SUMIFS(INPUT_RITASE!$F$5:$F$20000,INPUT_RITASE!$A$5:$A$20000,$A6323,INPUT_RITASE!$H$5:$H$20000,$B6323,INPUT_RITASE!$C$5:$C$20000,$C6323,INPUT_RITASE!$N$5:$N$20000,"Coal")</f>
        <v/>
      </c>
      <c r="Q6323" s="186">
        <f>SUMIFS(INPUT_RITASE!$L$5:$L$20000,INPUT_RITASE!$A$5:$A$20000,$A6323,INPUT_RITASE!$H$5:$H$20000,$B6323,INPUT_RITASE!$C$5:$C$20000,$C6323,INPUT_RITASE!$N$5:$N$20000,"OB")</f>
        <v/>
      </c>
      <c r="R6323" s="186">
        <f>SUMIFS(INPUT_RITASE!$L$5:$L$20000,INPUT_RITASE!$A$5:$A$20000,$A6323,INPUT_RITASE!$H$5:$H$20000,$B6323,INPUT_RITASE!$C$5:$C$20000,$C6323,INPUT_RITASE!$N$5:$N$20000,"Coal")</f>
        <v/>
      </c>
      <c r="S6323" s="183" t="n">
        <v>0</v>
      </c>
      <c r="T6323" s="183" t="n">
        <v>0</v>
      </c>
      <c r="U6323" s="182" t="n">
        <v>0</v>
      </c>
      <c r="V6323" s="182" t="n">
        <v>0</v>
      </c>
      <c r="W6323" s="182" t="n">
        <v>0</v>
      </c>
      <c r="X6323" s="182" t="n">
        <v>0.61</v>
      </c>
      <c r="Y6323" s="182" t="n">
        <v>0</v>
      </c>
      <c r="Z6323" s="182" t="n">
        <v>0</v>
      </c>
      <c r="AA6323" s="182" t="n">
        <v>0</v>
      </c>
      <c r="AB6323" s="182" t="n">
        <v>0</v>
      </c>
      <c r="AC6323" s="182" t="n">
        <v>0</v>
      </c>
      <c r="AD6323" s="182" t="n">
        <v>0</v>
      </c>
      <c r="AE6323" s="182" t="n">
        <v>0</v>
      </c>
      <c r="AF6323" s="182" t="n">
        <v>0</v>
      </c>
      <c r="AG6323" s="182" t="n">
        <v>0</v>
      </c>
      <c r="AH6323" s="182" t="n">
        <v>0.14</v>
      </c>
      <c r="AI6323" s="182" t="n">
        <v>0</v>
      </c>
      <c r="AJ6323" s="182" t="n">
        <v>0</v>
      </c>
      <c r="AK6323" s="182" t="n">
        <v>0</v>
      </c>
      <c r="AL6323" s="182" t="n">
        <v>0</v>
      </c>
      <c r="AM6323" s="182" t="n">
        <v>0.05</v>
      </c>
      <c r="AN6323" s="182" t="n">
        <v>0</v>
      </c>
    </row>
    <row r="6324">
      <c r="A6324" s="155" t="n">
        <v>46110</v>
      </c>
      <c r="B6324" s="156" t="inlineStr">
        <is>
          <t>NS</t>
        </is>
      </c>
      <c r="C6324" s="156" t="inlineStr">
        <is>
          <t>GD-012</t>
        </is>
      </c>
      <c r="D6324" s="156" t="inlineStr">
        <is>
          <t>STG 230C - 8S</t>
        </is>
      </c>
      <c r="E6324" s="156" t="inlineStr">
        <is>
          <t>Grader</t>
        </is>
      </c>
      <c r="F6324" s="156" t="inlineStr"/>
      <c r="G6324" s="182" t="n">
        <v>0</v>
      </c>
      <c r="H6324" s="182" t="n">
        <v>0</v>
      </c>
      <c r="I6324" s="182" t="n">
        <v>0</v>
      </c>
      <c r="J6324" s="182" t="n">
        <v>0</v>
      </c>
      <c r="K6324" s="182" t="n">
        <v>12</v>
      </c>
      <c r="L6324" s="182" t="n">
        <v>12</v>
      </c>
      <c r="M6324" s="182" t="n">
        <v>0</v>
      </c>
      <c r="N6324" s="182" t="n">
        <v>0</v>
      </c>
      <c r="O6324" s="183" t="n">
        <v>0</v>
      </c>
      <c r="P6324" s="183" t="n">
        <v>0</v>
      </c>
      <c r="Q6324" s="184" t="n">
        <v>0</v>
      </c>
      <c r="R6324" s="184" t="n">
        <v>0</v>
      </c>
      <c r="S6324" s="183" t="n">
        <v>0</v>
      </c>
      <c r="T6324" s="183" t="n">
        <v>0</v>
      </c>
      <c r="U6324" s="182" t="n">
        <v>0</v>
      </c>
      <c r="V6324" s="182" t="n">
        <v>0</v>
      </c>
      <c r="W6324" s="182" t="n">
        <v>0</v>
      </c>
      <c r="X6324" s="182" t="n">
        <v>1</v>
      </c>
      <c r="Y6324" s="182" t="n">
        <v>0</v>
      </c>
      <c r="Z6324" s="182" t="n">
        <v>0</v>
      </c>
      <c r="AA6324" s="182" t="n">
        <v>0</v>
      </c>
      <c r="AB6324" s="182" t="n">
        <v>0</v>
      </c>
      <c r="AC6324" s="182" t="n">
        <v>0</v>
      </c>
      <c r="AD6324" s="182" t="n">
        <v>0</v>
      </c>
      <c r="AE6324" s="182" t="n">
        <v>0</v>
      </c>
      <c r="AF6324" s="182" t="n">
        <v>0</v>
      </c>
      <c r="AG6324" s="182" t="n">
        <v>0</v>
      </c>
      <c r="AH6324" s="182" t="n">
        <v>0</v>
      </c>
      <c r="AI6324" s="182" t="n">
        <v>0</v>
      </c>
      <c r="AJ6324" s="182" t="n">
        <v>0</v>
      </c>
      <c r="AK6324" s="182" t="n">
        <v>10.92</v>
      </c>
      <c r="AL6324" s="182" t="n">
        <v>0</v>
      </c>
      <c r="AM6324" s="182" t="n">
        <v>0.08</v>
      </c>
      <c r="AN6324" s="182" t="n">
        <v>0</v>
      </c>
    </row>
    <row r="6325">
      <c r="A6325" s="155" t="n">
        <v>46110</v>
      </c>
      <c r="B6325" s="156" t="inlineStr">
        <is>
          <t>NS</t>
        </is>
      </c>
      <c r="C6325" s="156" t="inlineStr">
        <is>
          <t>GD-011</t>
        </is>
      </c>
      <c r="D6325" s="156" t="inlineStr">
        <is>
          <t>STG 230C - 8S</t>
        </is>
      </c>
      <c r="E6325" s="156" t="inlineStr">
        <is>
          <t>Grader</t>
        </is>
      </c>
      <c r="F6325" s="156" t="inlineStr"/>
      <c r="G6325" s="182" t="n">
        <v>0</v>
      </c>
      <c r="H6325" s="182" t="n">
        <v>0</v>
      </c>
      <c r="I6325" s="182" t="n">
        <v>0</v>
      </c>
      <c r="J6325" s="182" t="n">
        <v>0</v>
      </c>
      <c r="K6325" s="182" t="n">
        <v>12</v>
      </c>
      <c r="L6325" s="182" t="n">
        <v>12</v>
      </c>
      <c r="M6325" s="182" t="n">
        <v>0</v>
      </c>
      <c r="N6325" s="182" t="n">
        <v>0</v>
      </c>
      <c r="O6325" s="183" t="n">
        <v>0</v>
      </c>
      <c r="P6325" s="183" t="n">
        <v>0</v>
      </c>
      <c r="Q6325" s="184" t="n">
        <v>0</v>
      </c>
      <c r="R6325" s="184" t="n">
        <v>0</v>
      </c>
      <c r="S6325" s="183" t="n">
        <v>0</v>
      </c>
      <c r="T6325" s="183" t="n">
        <v>0</v>
      </c>
      <c r="U6325" s="182" t="n">
        <v>0</v>
      </c>
      <c r="V6325" s="182" t="n">
        <v>0</v>
      </c>
      <c r="W6325" s="182" t="n">
        <v>0</v>
      </c>
      <c r="X6325" s="182" t="n">
        <v>1</v>
      </c>
      <c r="Y6325" s="182" t="n">
        <v>0</v>
      </c>
      <c r="Z6325" s="182" t="n">
        <v>0</v>
      </c>
      <c r="AA6325" s="182" t="n">
        <v>0</v>
      </c>
      <c r="AB6325" s="182" t="n">
        <v>0</v>
      </c>
      <c r="AC6325" s="182" t="n">
        <v>0</v>
      </c>
      <c r="AD6325" s="182" t="n">
        <v>0</v>
      </c>
      <c r="AE6325" s="182" t="n">
        <v>0</v>
      </c>
      <c r="AF6325" s="182" t="n">
        <v>0</v>
      </c>
      <c r="AG6325" s="182" t="n">
        <v>0</v>
      </c>
      <c r="AH6325" s="182" t="n">
        <v>0</v>
      </c>
      <c r="AI6325" s="182" t="n">
        <v>0</v>
      </c>
      <c r="AJ6325" s="182" t="n">
        <v>0</v>
      </c>
      <c r="AK6325" s="182" t="n">
        <v>10.92</v>
      </c>
      <c r="AL6325" s="182" t="n">
        <v>0</v>
      </c>
      <c r="AM6325" s="182" t="n">
        <v>0.08</v>
      </c>
      <c r="AN6325" s="182" t="n">
        <v>0</v>
      </c>
    </row>
    <row r="6326">
      <c r="A6326" s="155" t="n">
        <v>46110</v>
      </c>
      <c r="B6326" s="156" t="inlineStr">
        <is>
          <t>NS</t>
        </is>
      </c>
      <c r="C6326" s="156" t="inlineStr">
        <is>
          <t>GD-013</t>
        </is>
      </c>
      <c r="D6326" s="156" t="inlineStr">
        <is>
          <t>STG 265C - 10</t>
        </is>
      </c>
      <c r="E6326" s="156" t="inlineStr">
        <is>
          <t>Grader</t>
        </is>
      </c>
      <c r="F6326" s="156" t="inlineStr"/>
      <c r="G6326" s="182" t="n">
        <v>0</v>
      </c>
      <c r="H6326" s="182" t="n">
        <v>0</v>
      </c>
      <c r="I6326" s="182" t="n">
        <v>0</v>
      </c>
      <c r="J6326" s="182" t="n">
        <v>0</v>
      </c>
      <c r="K6326" s="182" t="n">
        <v>12</v>
      </c>
      <c r="L6326" s="182" t="n">
        <v>12</v>
      </c>
      <c r="M6326" s="182" t="n">
        <v>0</v>
      </c>
      <c r="N6326" s="182" t="n">
        <v>0</v>
      </c>
      <c r="O6326" s="183" t="n">
        <v>0</v>
      </c>
      <c r="P6326" s="183" t="n">
        <v>0</v>
      </c>
      <c r="Q6326" s="184" t="n">
        <v>0</v>
      </c>
      <c r="R6326" s="184" t="n">
        <v>0</v>
      </c>
      <c r="S6326" s="183" t="n">
        <v>0</v>
      </c>
      <c r="T6326" s="183" t="n">
        <v>0</v>
      </c>
      <c r="U6326" s="182" t="n">
        <v>0</v>
      </c>
      <c r="V6326" s="182" t="n">
        <v>0</v>
      </c>
      <c r="W6326" s="182" t="n">
        <v>0</v>
      </c>
      <c r="X6326" s="182" t="n">
        <v>1</v>
      </c>
      <c r="Y6326" s="182" t="n">
        <v>0</v>
      </c>
      <c r="Z6326" s="182" t="n">
        <v>0</v>
      </c>
      <c r="AA6326" s="182" t="n">
        <v>0</v>
      </c>
      <c r="AB6326" s="182" t="n">
        <v>0</v>
      </c>
      <c r="AC6326" s="182" t="n">
        <v>0</v>
      </c>
      <c r="AD6326" s="182" t="n">
        <v>0</v>
      </c>
      <c r="AE6326" s="182" t="n">
        <v>0</v>
      </c>
      <c r="AF6326" s="182" t="n">
        <v>0</v>
      </c>
      <c r="AG6326" s="182" t="n">
        <v>0</v>
      </c>
      <c r="AH6326" s="182" t="n">
        <v>0</v>
      </c>
      <c r="AI6326" s="182" t="n">
        <v>0</v>
      </c>
      <c r="AJ6326" s="182" t="n">
        <v>0</v>
      </c>
      <c r="AK6326" s="182" t="n">
        <v>10.92</v>
      </c>
      <c r="AL6326" s="182" t="n">
        <v>0</v>
      </c>
      <c r="AM6326" s="182" t="n">
        <v>0.08</v>
      </c>
      <c r="AN6326" s="182" t="n">
        <v>0</v>
      </c>
    </row>
    <row r="6327">
      <c r="A6327" s="155" t="n">
        <v>46110</v>
      </c>
      <c r="B6327" s="156" t="inlineStr">
        <is>
          <t>NS</t>
        </is>
      </c>
      <c r="C6327" s="156" t="inlineStr">
        <is>
          <t>GD-014</t>
        </is>
      </c>
      <c r="D6327" s="156" t="inlineStr">
        <is>
          <t>STG 335C - 10</t>
        </is>
      </c>
      <c r="E6327" s="156" t="inlineStr">
        <is>
          <t>Grader</t>
        </is>
      </c>
      <c r="F6327" s="156" t="inlineStr">
        <is>
          <t>Road Maintenance</t>
        </is>
      </c>
      <c r="G6327" s="182" t="n">
        <v>9.93</v>
      </c>
      <c r="H6327" s="182" t="n">
        <v>0</v>
      </c>
      <c r="I6327" s="182" t="n">
        <v>0</v>
      </c>
      <c r="J6327" s="182" t="n">
        <v>0</v>
      </c>
      <c r="K6327" s="182" t="n">
        <v>2.07</v>
      </c>
      <c r="L6327" s="182" t="n">
        <v>12</v>
      </c>
      <c r="M6327" s="182" t="n">
        <v>0</v>
      </c>
      <c r="N6327" s="182" t="n">
        <v>0</v>
      </c>
      <c r="O6327" s="183" t="n">
        <v>0</v>
      </c>
      <c r="P6327" s="183" t="n">
        <v>0</v>
      </c>
      <c r="Q6327" s="184" t="n">
        <v>0</v>
      </c>
      <c r="R6327" s="184" t="n">
        <v>0</v>
      </c>
      <c r="S6327" s="183" t="n">
        <v>0</v>
      </c>
      <c r="T6327" s="183" t="n">
        <v>0</v>
      </c>
      <c r="U6327" s="182" t="n">
        <v>0</v>
      </c>
      <c r="V6327" s="182" t="n">
        <v>0</v>
      </c>
      <c r="W6327" s="182" t="n">
        <v>0</v>
      </c>
      <c r="X6327" s="182" t="n">
        <v>1.15</v>
      </c>
      <c r="Y6327" s="182" t="n">
        <v>0</v>
      </c>
      <c r="Z6327" s="182" t="n">
        <v>0</v>
      </c>
      <c r="AA6327" s="182" t="n">
        <v>0</v>
      </c>
      <c r="AB6327" s="182" t="n">
        <v>0</v>
      </c>
      <c r="AC6327" s="182" t="n">
        <v>0</v>
      </c>
      <c r="AD6327" s="182" t="n">
        <v>0</v>
      </c>
      <c r="AE6327" s="182" t="n">
        <v>0</v>
      </c>
      <c r="AF6327" s="182" t="n">
        <v>0</v>
      </c>
      <c r="AG6327" s="182" t="n">
        <v>0</v>
      </c>
      <c r="AH6327" s="182" t="n">
        <v>0.83</v>
      </c>
      <c r="AI6327" s="182" t="n">
        <v>0</v>
      </c>
      <c r="AJ6327" s="182" t="n">
        <v>0</v>
      </c>
      <c r="AK6327" s="182" t="n">
        <v>0</v>
      </c>
      <c r="AL6327" s="182" t="n">
        <v>0</v>
      </c>
      <c r="AM6327" s="182" t="n">
        <v>0.09</v>
      </c>
      <c r="AN6327" s="182" t="n">
        <v>0</v>
      </c>
    </row>
    <row r="6328">
      <c r="A6328" s="155" t="n">
        <v>46110</v>
      </c>
      <c r="B6328" s="156" t="inlineStr">
        <is>
          <t>NS</t>
        </is>
      </c>
      <c r="C6328" s="156" t="inlineStr">
        <is>
          <t>DT-809</t>
        </is>
      </c>
      <c r="D6328" s="156" t="inlineStr">
        <is>
          <t>SKT 80S</t>
        </is>
      </c>
      <c r="E6328" s="156" t="inlineStr">
        <is>
          <t>Hauler</t>
        </is>
      </c>
      <c r="F6328" s="156" t="inlineStr"/>
      <c r="G6328" s="182" t="n">
        <v>0</v>
      </c>
      <c r="H6328" s="182" t="n">
        <v>0</v>
      </c>
      <c r="I6328" s="182" t="n">
        <v>0</v>
      </c>
      <c r="J6328" s="182" t="n">
        <v>0</v>
      </c>
      <c r="K6328" s="182" t="n">
        <v>12</v>
      </c>
      <c r="L6328" s="182" t="n">
        <v>12</v>
      </c>
      <c r="M6328" s="182" t="n">
        <v>0</v>
      </c>
      <c r="N6328" s="182" t="n">
        <v>0</v>
      </c>
      <c r="O6328" s="183" t="n">
        <v>0</v>
      </c>
      <c r="P6328" s="183" t="n">
        <v>0</v>
      </c>
      <c r="Q6328" s="184" t="n">
        <v>0</v>
      </c>
      <c r="R6328" s="184" t="n">
        <v>0</v>
      </c>
      <c r="S6328" s="183" t="n">
        <v>0</v>
      </c>
      <c r="T6328" s="183" t="n">
        <v>0</v>
      </c>
      <c r="U6328" s="182" t="n">
        <v>0</v>
      </c>
      <c r="V6328" s="182" t="n">
        <v>0</v>
      </c>
      <c r="W6328" s="182" t="n">
        <v>0</v>
      </c>
      <c r="X6328" s="182" t="n">
        <v>1</v>
      </c>
      <c r="Y6328" s="182" t="n">
        <v>0</v>
      </c>
      <c r="Z6328" s="182" t="n">
        <v>0</v>
      </c>
      <c r="AA6328" s="182" t="n">
        <v>0</v>
      </c>
      <c r="AB6328" s="182" t="n">
        <v>0</v>
      </c>
      <c r="AC6328" s="182" t="n">
        <v>0</v>
      </c>
      <c r="AD6328" s="182" t="n">
        <v>0</v>
      </c>
      <c r="AE6328" s="182" t="n">
        <v>0</v>
      </c>
      <c r="AF6328" s="182" t="n">
        <v>0</v>
      </c>
      <c r="AG6328" s="182" t="n">
        <v>0</v>
      </c>
      <c r="AH6328" s="182" t="n">
        <v>0</v>
      </c>
      <c r="AI6328" s="182" t="n">
        <v>0</v>
      </c>
      <c r="AJ6328" s="182" t="n">
        <v>0</v>
      </c>
      <c r="AK6328" s="182" t="n">
        <v>10.92</v>
      </c>
      <c r="AL6328" s="182" t="n">
        <v>0</v>
      </c>
      <c r="AM6328" s="182" t="n">
        <v>0.08</v>
      </c>
      <c r="AN6328" s="182" t="n">
        <v>0</v>
      </c>
    </row>
    <row r="6329">
      <c r="A6329" s="155" t="n">
        <v>46110</v>
      </c>
      <c r="B6329" s="156" t="inlineStr">
        <is>
          <t>NS</t>
        </is>
      </c>
      <c r="C6329" s="156" t="inlineStr">
        <is>
          <t>DT-806</t>
        </is>
      </c>
      <c r="D6329" s="156" t="inlineStr">
        <is>
          <t>SKT 80S</t>
        </is>
      </c>
      <c r="E6329" s="156" t="inlineStr">
        <is>
          <t>Hauler</t>
        </is>
      </c>
      <c r="F6329" s="156" t="inlineStr"/>
      <c r="G6329" s="182" t="n">
        <v>0</v>
      </c>
      <c r="H6329" s="182" t="n">
        <v>0</v>
      </c>
      <c r="I6329" s="182" t="n">
        <v>0</v>
      </c>
      <c r="J6329" s="182" t="n">
        <v>0</v>
      </c>
      <c r="K6329" s="182" t="n">
        <v>12</v>
      </c>
      <c r="L6329" s="182" t="n">
        <v>12</v>
      </c>
      <c r="M6329" s="182" t="n">
        <v>0</v>
      </c>
      <c r="N6329" s="182" t="n">
        <v>0</v>
      </c>
      <c r="O6329" s="183" t="n">
        <v>0</v>
      </c>
      <c r="P6329" s="183" t="n">
        <v>0</v>
      </c>
      <c r="Q6329" s="184" t="n">
        <v>0</v>
      </c>
      <c r="R6329" s="184" t="n">
        <v>0</v>
      </c>
      <c r="S6329" s="183" t="n">
        <v>0</v>
      </c>
      <c r="T6329" s="183" t="n">
        <v>0</v>
      </c>
      <c r="U6329" s="182" t="n">
        <v>0</v>
      </c>
      <c r="V6329" s="182" t="n">
        <v>0</v>
      </c>
      <c r="W6329" s="182" t="n">
        <v>0</v>
      </c>
      <c r="X6329" s="182" t="n">
        <v>1</v>
      </c>
      <c r="Y6329" s="182" t="n">
        <v>0</v>
      </c>
      <c r="Z6329" s="182" t="n">
        <v>0</v>
      </c>
      <c r="AA6329" s="182" t="n">
        <v>0</v>
      </c>
      <c r="AB6329" s="182" t="n">
        <v>0</v>
      </c>
      <c r="AC6329" s="182" t="n">
        <v>0</v>
      </c>
      <c r="AD6329" s="182" t="n">
        <v>0</v>
      </c>
      <c r="AE6329" s="182" t="n">
        <v>0</v>
      </c>
      <c r="AF6329" s="182" t="n">
        <v>0</v>
      </c>
      <c r="AG6329" s="182" t="n">
        <v>0</v>
      </c>
      <c r="AH6329" s="182" t="n">
        <v>0</v>
      </c>
      <c r="AI6329" s="182" t="n">
        <v>0</v>
      </c>
      <c r="AJ6329" s="182" t="n">
        <v>0</v>
      </c>
      <c r="AK6329" s="182" t="n">
        <v>10.92</v>
      </c>
      <c r="AL6329" s="182" t="n">
        <v>0</v>
      </c>
      <c r="AM6329" s="182" t="n">
        <v>0.08</v>
      </c>
      <c r="AN6329" s="182" t="n">
        <v>0</v>
      </c>
    </row>
    <row r="6330">
      <c r="A6330" s="155" t="n">
        <v>46110</v>
      </c>
      <c r="B6330" s="156" t="inlineStr">
        <is>
          <t>NS</t>
        </is>
      </c>
      <c r="C6330" s="156" t="inlineStr">
        <is>
          <t>DT-805</t>
        </is>
      </c>
      <c r="D6330" s="156" t="inlineStr">
        <is>
          <t>SKT 80S</t>
        </is>
      </c>
      <c r="E6330" s="156" t="inlineStr">
        <is>
          <t>Hauler</t>
        </is>
      </c>
      <c r="F6330" s="156" t="inlineStr"/>
      <c r="G6330" s="182" t="n">
        <v>0</v>
      </c>
      <c r="H6330" s="182" t="n">
        <v>0</v>
      </c>
      <c r="I6330" s="182" t="n">
        <v>0</v>
      </c>
      <c r="J6330" s="182" t="n">
        <v>0</v>
      </c>
      <c r="K6330" s="182" t="n">
        <v>12</v>
      </c>
      <c r="L6330" s="182" t="n">
        <v>12</v>
      </c>
      <c r="M6330" s="182" t="n">
        <v>0</v>
      </c>
      <c r="N6330" s="182" t="n">
        <v>0</v>
      </c>
      <c r="O6330" s="183" t="n">
        <v>0</v>
      </c>
      <c r="P6330" s="183" t="n">
        <v>0</v>
      </c>
      <c r="Q6330" s="184" t="n">
        <v>0</v>
      </c>
      <c r="R6330" s="184" t="n">
        <v>0</v>
      </c>
      <c r="S6330" s="183" t="n">
        <v>0</v>
      </c>
      <c r="T6330" s="183" t="n">
        <v>0</v>
      </c>
      <c r="U6330" s="182" t="n">
        <v>0</v>
      </c>
      <c r="V6330" s="182" t="n">
        <v>0</v>
      </c>
      <c r="W6330" s="182" t="n">
        <v>0</v>
      </c>
      <c r="X6330" s="182" t="n">
        <v>1</v>
      </c>
      <c r="Y6330" s="182" t="n">
        <v>0</v>
      </c>
      <c r="Z6330" s="182" t="n">
        <v>0</v>
      </c>
      <c r="AA6330" s="182" t="n">
        <v>0</v>
      </c>
      <c r="AB6330" s="182" t="n">
        <v>0</v>
      </c>
      <c r="AC6330" s="182" t="n">
        <v>0</v>
      </c>
      <c r="AD6330" s="182" t="n">
        <v>0</v>
      </c>
      <c r="AE6330" s="182" t="n">
        <v>0</v>
      </c>
      <c r="AF6330" s="182" t="n">
        <v>0</v>
      </c>
      <c r="AG6330" s="182" t="n">
        <v>0</v>
      </c>
      <c r="AH6330" s="182" t="n">
        <v>0</v>
      </c>
      <c r="AI6330" s="182" t="n">
        <v>0</v>
      </c>
      <c r="AJ6330" s="182" t="n">
        <v>0</v>
      </c>
      <c r="AK6330" s="182" t="n">
        <v>10.92</v>
      </c>
      <c r="AL6330" s="182" t="n">
        <v>0</v>
      </c>
      <c r="AM6330" s="182" t="n">
        <v>0.08</v>
      </c>
      <c r="AN6330" s="182" t="n">
        <v>0</v>
      </c>
    </row>
    <row r="6331">
      <c r="A6331" s="155" t="n">
        <v>46110</v>
      </c>
      <c r="B6331" s="156" t="inlineStr">
        <is>
          <t>NS</t>
        </is>
      </c>
      <c r="C6331" s="156" t="inlineStr">
        <is>
          <t>DT-801</t>
        </is>
      </c>
      <c r="D6331" s="156" t="inlineStr">
        <is>
          <t>SKT 80S</t>
        </is>
      </c>
      <c r="E6331" s="156" t="inlineStr">
        <is>
          <t>Hauler</t>
        </is>
      </c>
      <c r="F6331" s="156" t="inlineStr"/>
      <c r="G6331" s="182" t="n">
        <v>0</v>
      </c>
      <c r="H6331" s="182" t="n">
        <v>0</v>
      </c>
      <c r="I6331" s="182" t="n">
        <v>0</v>
      </c>
      <c r="J6331" s="182" t="n">
        <v>0</v>
      </c>
      <c r="K6331" s="182" t="n">
        <v>12</v>
      </c>
      <c r="L6331" s="182" t="n">
        <v>12</v>
      </c>
      <c r="M6331" s="182" t="n">
        <v>0</v>
      </c>
      <c r="N6331" s="182" t="n">
        <v>0</v>
      </c>
      <c r="O6331" s="183" t="n">
        <v>0</v>
      </c>
      <c r="P6331" s="183" t="n">
        <v>0</v>
      </c>
      <c r="Q6331" s="184" t="n">
        <v>0</v>
      </c>
      <c r="R6331" s="184" t="n">
        <v>0</v>
      </c>
      <c r="S6331" s="183" t="n">
        <v>0</v>
      </c>
      <c r="T6331" s="183" t="n">
        <v>0</v>
      </c>
      <c r="U6331" s="182" t="n">
        <v>0</v>
      </c>
      <c r="V6331" s="182" t="n">
        <v>0</v>
      </c>
      <c r="W6331" s="182" t="n">
        <v>0</v>
      </c>
      <c r="X6331" s="182" t="n">
        <v>1</v>
      </c>
      <c r="Y6331" s="182" t="n">
        <v>0</v>
      </c>
      <c r="Z6331" s="182" t="n">
        <v>0</v>
      </c>
      <c r="AA6331" s="182" t="n">
        <v>0</v>
      </c>
      <c r="AB6331" s="182" t="n">
        <v>0</v>
      </c>
      <c r="AC6331" s="182" t="n">
        <v>0</v>
      </c>
      <c r="AD6331" s="182" t="n">
        <v>0</v>
      </c>
      <c r="AE6331" s="182" t="n">
        <v>0</v>
      </c>
      <c r="AF6331" s="182" t="n">
        <v>0</v>
      </c>
      <c r="AG6331" s="182" t="n">
        <v>0</v>
      </c>
      <c r="AH6331" s="182" t="n">
        <v>0</v>
      </c>
      <c r="AI6331" s="182" t="n">
        <v>0</v>
      </c>
      <c r="AJ6331" s="182" t="n">
        <v>0</v>
      </c>
      <c r="AK6331" s="182" t="n">
        <v>10.92</v>
      </c>
      <c r="AL6331" s="182" t="n">
        <v>0</v>
      </c>
      <c r="AM6331" s="182" t="n">
        <v>0.08</v>
      </c>
      <c r="AN6331" s="182" t="n">
        <v>0</v>
      </c>
    </row>
    <row r="6332">
      <c r="A6332" s="155" t="n">
        <v>46110</v>
      </c>
      <c r="B6332" s="156" t="inlineStr">
        <is>
          <t>NS</t>
        </is>
      </c>
      <c r="C6332" s="156" t="inlineStr">
        <is>
          <t>DT-808</t>
        </is>
      </c>
      <c r="D6332" s="156" t="inlineStr">
        <is>
          <t>SKT 80S</t>
        </is>
      </c>
      <c r="E6332" s="156" t="inlineStr">
        <is>
          <t>Hauler</t>
        </is>
      </c>
      <c r="F6332" s="156" t="inlineStr">
        <is>
          <t>Hauling Lumpur dari Washing Plant</t>
        </is>
      </c>
      <c r="G6332" s="182" t="n">
        <v>9.609999999999999</v>
      </c>
      <c r="H6332" s="182" t="n">
        <v>0</v>
      </c>
      <c r="I6332" s="182" t="n">
        <v>0</v>
      </c>
      <c r="J6332" s="182" t="n">
        <v>0</v>
      </c>
      <c r="K6332" s="182" t="n">
        <v>2.39</v>
      </c>
      <c r="L6332" s="182" t="n">
        <v>12</v>
      </c>
      <c r="M6332" s="182" t="n">
        <v>0</v>
      </c>
      <c r="N6332" s="182" t="n">
        <v>0</v>
      </c>
      <c r="O6332" s="183" t="n">
        <v>0</v>
      </c>
      <c r="P6332" s="183" t="n">
        <v>0</v>
      </c>
      <c r="Q6332" s="184" t="n">
        <v>0</v>
      </c>
      <c r="R6332" s="184" t="n">
        <v>0</v>
      </c>
      <c r="S6332" s="183" t="n">
        <v>0</v>
      </c>
      <c r="T6332" s="183" t="n">
        <v>0</v>
      </c>
      <c r="U6332" s="182" t="n">
        <v>0</v>
      </c>
      <c r="V6332" s="182" t="n">
        <v>0</v>
      </c>
      <c r="W6332" s="182" t="n">
        <v>0</v>
      </c>
      <c r="X6332" s="182" t="n">
        <v>1.04</v>
      </c>
      <c r="Y6332" s="182" t="n">
        <v>0</v>
      </c>
      <c r="Z6332" s="182" t="n">
        <v>0</v>
      </c>
      <c r="AA6332" s="182" t="n">
        <v>0</v>
      </c>
      <c r="AB6332" s="182" t="n">
        <v>0</v>
      </c>
      <c r="AC6332" s="182" t="n">
        <v>0</v>
      </c>
      <c r="AD6332" s="182" t="n">
        <v>0</v>
      </c>
      <c r="AE6332" s="182" t="n">
        <v>0</v>
      </c>
      <c r="AF6332" s="182" t="n">
        <v>0</v>
      </c>
      <c r="AG6332" s="182" t="n">
        <v>0</v>
      </c>
      <c r="AH6332" s="182" t="n">
        <v>0</v>
      </c>
      <c r="AI6332" s="182" t="n">
        <v>0</v>
      </c>
      <c r="AJ6332" s="182" t="n">
        <v>0</v>
      </c>
      <c r="AK6332" s="182" t="n">
        <v>1.27</v>
      </c>
      <c r="AL6332" s="182" t="n">
        <v>0</v>
      </c>
      <c r="AM6332" s="182" t="n">
        <v>0.08</v>
      </c>
      <c r="AN6332" s="182" t="n">
        <v>0</v>
      </c>
    </row>
    <row r="6333">
      <c r="A6333" s="155" t="n">
        <v>46110</v>
      </c>
      <c r="B6333" s="156" t="inlineStr">
        <is>
          <t>NS</t>
        </is>
      </c>
      <c r="C6333" s="156" t="inlineStr">
        <is>
          <t>DT-811</t>
        </is>
      </c>
      <c r="D6333" s="156" t="inlineStr">
        <is>
          <t>SKT 80S</t>
        </is>
      </c>
      <c r="E6333" s="156" t="inlineStr">
        <is>
          <t>Hauler</t>
        </is>
      </c>
      <c r="F6333" s="156" t="inlineStr"/>
      <c r="G6333" s="182" t="n">
        <v>0</v>
      </c>
      <c r="H6333" s="182" t="n">
        <v>0</v>
      </c>
      <c r="I6333" s="182" t="n">
        <v>0</v>
      </c>
      <c r="J6333" s="182" t="n">
        <v>0</v>
      </c>
      <c r="K6333" s="182" t="n">
        <v>12</v>
      </c>
      <c r="L6333" s="182" t="n">
        <v>12</v>
      </c>
      <c r="M6333" s="182" t="n">
        <v>0</v>
      </c>
      <c r="N6333" s="182" t="n">
        <v>0</v>
      </c>
      <c r="O6333" s="183" t="n">
        <v>0</v>
      </c>
      <c r="P6333" s="183" t="n">
        <v>0</v>
      </c>
      <c r="Q6333" s="184" t="n">
        <v>0</v>
      </c>
      <c r="R6333" s="184" t="n">
        <v>0</v>
      </c>
      <c r="S6333" s="183" t="n">
        <v>0</v>
      </c>
      <c r="T6333" s="183" t="n">
        <v>0</v>
      </c>
      <c r="U6333" s="182" t="n">
        <v>0</v>
      </c>
      <c r="V6333" s="182" t="n">
        <v>0</v>
      </c>
      <c r="W6333" s="182" t="n">
        <v>0</v>
      </c>
      <c r="X6333" s="182" t="n">
        <v>1</v>
      </c>
      <c r="Y6333" s="182" t="n">
        <v>0</v>
      </c>
      <c r="Z6333" s="182" t="n">
        <v>0</v>
      </c>
      <c r="AA6333" s="182" t="n">
        <v>0</v>
      </c>
      <c r="AB6333" s="182" t="n">
        <v>0</v>
      </c>
      <c r="AC6333" s="182" t="n">
        <v>0</v>
      </c>
      <c r="AD6333" s="182" t="n">
        <v>0</v>
      </c>
      <c r="AE6333" s="182" t="n">
        <v>0</v>
      </c>
      <c r="AF6333" s="182" t="n">
        <v>0</v>
      </c>
      <c r="AG6333" s="182" t="n">
        <v>0</v>
      </c>
      <c r="AH6333" s="182" t="n">
        <v>0</v>
      </c>
      <c r="AI6333" s="182" t="n">
        <v>0</v>
      </c>
      <c r="AJ6333" s="182" t="n">
        <v>0</v>
      </c>
      <c r="AK6333" s="182" t="n">
        <v>10.92</v>
      </c>
      <c r="AL6333" s="182" t="n">
        <v>0</v>
      </c>
      <c r="AM6333" s="182" t="n">
        <v>0.08</v>
      </c>
      <c r="AN6333" s="182" t="n">
        <v>0</v>
      </c>
    </row>
    <row r="6334">
      <c r="A6334" s="155" t="n">
        <v>46110</v>
      </c>
      <c r="B6334" s="156" t="inlineStr">
        <is>
          <t>NS</t>
        </is>
      </c>
      <c r="C6334" s="156" t="inlineStr">
        <is>
          <t>DT-802</t>
        </is>
      </c>
      <c r="D6334" s="156" t="inlineStr">
        <is>
          <t>SKT 80S</t>
        </is>
      </c>
      <c r="E6334" s="156" t="inlineStr">
        <is>
          <t>Hauler</t>
        </is>
      </c>
      <c r="F6334" s="156" t="inlineStr"/>
      <c r="G6334" s="182" t="n">
        <v>0</v>
      </c>
      <c r="H6334" s="182" t="n">
        <v>0</v>
      </c>
      <c r="I6334" s="182" t="n">
        <v>12</v>
      </c>
      <c r="J6334" s="182" t="n">
        <v>12</v>
      </c>
      <c r="K6334" s="182" t="n">
        <v>0</v>
      </c>
      <c r="L6334" s="182" t="n">
        <v>12</v>
      </c>
      <c r="M6334" s="182" t="n">
        <v>0</v>
      </c>
      <c r="N6334" s="182" t="n">
        <v>0</v>
      </c>
      <c r="O6334" s="183" t="n">
        <v>0</v>
      </c>
      <c r="P6334" s="183" t="n">
        <v>0</v>
      </c>
      <c r="Q6334" s="184" t="n">
        <v>0</v>
      </c>
      <c r="R6334" s="184" t="n">
        <v>0</v>
      </c>
      <c r="S6334" s="183" t="n">
        <v>0</v>
      </c>
      <c r="T6334" s="183" t="n">
        <v>0</v>
      </c>
      <c r="U6334" s="182" t="n">
        <v>0</v>
      </c>
      <c r="V6334" s="182" t="n">
        <v>0</v>
      </c>
      <c r="W6334" s="182" t="n">
        <v>0</v>
      </c>
      <c r="X6334" s="182" t="n">
        <v>0</v>
      </c>
      <c r="Y6334" s="182" t="n">
        <v>0</v>
      </c>
      <c r="Z6334" s="182" t="n">
        <v>0</v>
      </c>
      <c r="AA6334" s="182" t="n">
        <v>0</v>
      </c>
      <c r="AB6334" s="182" t="n">
        <v>0</v>
      </c>
      <c r="AC6334" s="182" t="n">
        <v>0</v>
      </c>
      <c r="AD6334" s="182" t="n">
        <v>0</v>
      </c>
      <c r="AE6334" s="182" t="n">
        <v>0</v>
      </c>
      <c r="AF6334" s="182" t="n">
        <v>0</v>
      </c>
      <c r="AG6334" s="182" t="n">
        <v>0</v>
      </c>
      <c r="AH6334" s="182" t="n">
        <v>0</v>
      </c>
      <c r="AI6334" s="182" t="n">
        <v>0</v>
      </c>
      <c r="AJ6334" s="182" t="n">
        <v>0</v>
      </c>
      <c r="AK6334" s="182" t="n">
        <v>0</v>
      </c>
      <c r="AL6334" s="182" t="n">
        <v>0</v>
      </c>
      <c r="AM6334" s="182" t="n">
        <v>0</v>
      </c>
      <c r="AN6334" s="182" t="n">
        <v>0</v>
      </c>
    </row>
    <row r="6335">
      <c r="A6335" s="155" t="n">
        <v>46110</v>
      </c>
      <c r="B6335" s="156" t="inlineStr">
        <is>
          <t>NS</t>
        </is>
      </c>
      <c r="C6335" s="156" t="inlineStr">
        <is>
          <t>DT-807</t>
        </is>
      </c>
      <c r="D6335" s="156" t="inlineStr">
        <is>
          <t>SKT 80S</t>
        </is>
      </c>
      <c r="E6335" s="156" t="inlineStr">
        <is>
          <t>Hauler</t>
        </is>
      </c>
      <c r="F6335" s="156" t="inlineStr"/>
      <c r="G6335" s="182" t="n">
        <v>0</v>
      </c>
      <c r="H6335" s="182" t="n">
        <v>0</v>
      </c>
      <c r="I6335" s="182" t="n">
        <v>12</v>
      </c>
      <c r="J6335" s="182" t="n">
        <v>12</v>
      </c>
      <c r="K6335" s="182" t="n">
        <v>0</v>
      </c>
      <c r="L6335" s="182" t="n">
        <v>12</v>
      </c>
      <c r="M6335" s="182" t="n">
        <v>0</v>
      </c>
      <c r="N6335" s="182" t="n">
        <v>0</v>
      </c>
      <c r="O6335" s="183" t="n">
        <v>0</v>
      </c>
      <c r="P6335" s="183" t="n">
        <v>0</v>
      </c>
      <c r="Q6335" s="184" t="n">
        <v>0</v>
      </c>
      <c r="R6335" s="184" t="n">
        <v>0</v>
      </c>
      <c r="S6335" s="183" t="n">
        <v>0</v>
      </c>
      <c r="T6335" s="183" t="n">
        <v>0</v>
      </c>
      <c r="U6335" s="182" t="n">
        <v>0</v>
      </c>
      <c r="V6335" s="182" t="n">
        <v>0</v>
      </c>
      <c r="W6335" s="182" t="n">
        <v>0</v>
      </c>
      <c r="X6335" s="182" t="n">
        <v>0</v>
      </c>
      <c r="Y6335" s="182" t="n">
        <v>0</v>
      </c>
      <c r="Z6335" s="182" t="n">
        <v>0</v>
      </c>
      <c r="AA6335" s="182" t="n">
        <v>0</v>
      </c>
      <c r="AB6335" s="182" t="n">
        <v>0</v>
      </c>
      <c r="AC6335" s="182" t="n">
        <v>0</v>
      </c>
      <c r="AD6335" s="182" t="n">
        <v>0</v>
      </c>
      <c r="AE6335" s="182" t="n">
        <v>0</v>
      </c>
      <c r="AF6335" s="182" t="n">
        <v>0</v>
      </c>
      <c r="AG6335" s="182" t="n">
        <v>0</v>
      </c>
      <c r="AH6335" s="182" t="n">
        <v>0</v>
      </c>
      <c r="AI6335" s="182" t="n">
        <v>0</v>
      </c>
      <c r="AJ6335" s="182" t="n">
        <v>0</v>
      </c>
      <c r="AK6335" s="182" t="n">
        <v>0</v>
      </c>
      <c r="AL6335" s="182" t="n">
        <v>0</v>
      </c>
      <c r="AM6335" s="182" t="n">
        <v>0</v>
      </c>
      <c r="AN6335" s="182" t="n">
        <v>0</v>
      </c>
    </row>
    <row r="6336">
      <c r="A6336" s="155" t="n">
        <v>46110</v>
      </c>
      <c r="B6336" s="156" t="inlineStr">
        <is>
          <t>NS</t>
        </is>
      </c>
      <c r="C6336" s="156" t="inlineStr">
        <is>
          <t>DT-812</t>
        </is>
      </c>
      <c r="D6336" s="156" t="inlineStr">
        <is>
          <t>SKT 80S</t>
        </is>
      </c>
      <c r="E6336" s="156" t="inlineStr">
        <is>
          <t>Hauler</t>
        </is>
      </c>
      <c r="F6336" s="156" t="inlineStr">
        <is>
          <t>Hauling Lumpur dari Washing Plant</t>
        </is>
      </c>
      <c r="G6336" s="182" t="n">
        <v>0.78</v>
      </c>
      <c r="H6336" s="182" t="n">
        <v>0</v>
      </c>
      <c r="I6336" s="182" t="n">
        <v>1.8</v>
      </c>
      <c r="J6336" s="182" t="n">
        <v>1.8</v>
      </c>
      <c r="K6336" s="182" t="n">
        <v>9.42</v>
      </c>
      <c r="L6336" s="182" t="n">
        <v>12</v>
      </c>
      <c r="M6336" s="182" t="n">
        <v>0</v>
      </c>
      <c r="N6336" s="182" t="n">
        <v>0</v>
      </c>
      <c r="O6336" s="183" t="n">
        <v>0</v>
      </c>
      <c r="P6336" s="183" t="n">
        <v>0</v>
      </c>
      <c r="Q6336" s="184" t="n">
        <v>0</v>
      </c>
      <c r="R6336" s="184" t="n">
        <v>0</v>
      </c>
      <c r="S6336" s="183" t="n">
        <v>0</v>
      </c>
      <c r="T6336" s="183" t="n">
        <v>0</v>
      </c>
      <c r="U6336" s="182" t="n">
        <v>0</v>
      </c>
      <c r="V6336" s="182" t="n">
        <v>0</v>
      </c>
      <c r="W6336" s="182" t="n">
        <v>0</v>
      </c>
      <c r="X6336" s="182" t="n">
        <v>0.99</v>
      </c>
      <c r="Y6336" s="182" t="n">
        <v>0</v>
      </c>
      <c r="Z6336" s="182" t="n">
        <v>0</v>
      </c>
      <c r="AA6336" s="182" t="n">
        <v>0</v>
      </c>
      <c r="AB6336" s="182" t="n">
        <v>0</v>
      </c>
      <c r="AC6336" s="182" t="n">
        <v>0</v>
      </c>
      <c r="AD6336" s="182" t="n">
        <v>0</v>
      </c>
      <c r="AE6336" s="182" t="n">
        <v>0</v>
      </c>
      <c r="AF6336" s="182" t="n">
        <v>0</v>
      </c>
      <c r="AG6336" s="182" t="n">
        <v>0</v>
      </c>
      <c r="AH6336" s="182" t="n">
        <v>0</v>
      </c>
      <c r="AI6336" s="182" t="n">
        <v>0</v>
      </c>
      <c r="AJ6336" s="182" t="n">
        <v>0</v>
      </c>
      <c r="AK6336" s="182" t="n">
        <v>8.35</v>
      </c>
      <c r="AL6336" s="182" t="n">
        <v>0</v>
      </c>
      <c r="AM6336" s="182" t="n">
        <v>0.08</v>
      </c>
      <c r="AN6336" s="182" t="n">
        <v>0</v>
      </c>
    </row>
    <row r="6337">
      <c r="A6337" s="155" t="n">
        <v>46110</v>
      </c>
      <c r="B6337" s="156" t="inlineStr">
        <is>
          <t>NS</t>
        </is>
      </c>
      <c r="C6337" s="156" t="inlineStr">
        <is>
          <t>DT-803</t>
        </is>
      </c>
      <c r="D6337" s="156" t="inlineStr">
        <is>
          <t>SKT 80S</t>
        </is>
      </c>
      <c r="E6337" s="156" t="inlineStr">
        <is>
          <t>Hauler</t>
        </is>
      </c>
      <c r="F6337" s="156" t="inlineStr"/>
      <c r="G6337" s="182" t="n">
        <v>0</v>
      </c>
      <c r="H6337" s="182" t="n">
        <v>0</v>
      </c>
      <c r="I6337" s="182" t="n">
        <v>12</v>
      </c>
      <c r="J6337" s="182" t="n">
        <v>12</v>
      </c>
      <c r="K6337" s="182" t="n">
        <v>0</v>
      </c>
      <c r="L6337" s="182" t="n">
        <v>12</v>
      </c>
      <c r="M6337" s="182" t="n">
        <v>0</v>
      </c>
      <c r="N6337" s="182" t="n">
        <v>0</v>
      </c>
      <c r="O6337" s="183" t="n">
        <v>0</v>
      </c>
      <c r="P6337" s="183" t="n">
        <v>0</v>
      </c>
      <c r="Q6337" s="184" t="n">
        <v>0</v>
      </c>
      <c r="R6337" s="184" t="n">
        <v>0</v>
      </c>
      <c r="S6337" s="183" t="n">
        <v>0</v>
      </c>
      <c r="T6337" s="183" t="n">
        <v>0</v>
      </c>
      <c r="U6337" s="182" t="n">
        <v>0</v>
      </c>
      <c r="V6337" s="182" t="n">
        <v>0</v>
      </c>
      <c r="W6337" s="182" t="n">
        <v>0</v>
      </c>
      <c r="X6337" s="182" t="n">
        <v>0</v>
      </c>
      <c r="Y6337" s="182" t="n">
        <v>0</v>
      </c>
      <c r="Z6337" s="182" t="n">
        <v>0</v>
      </c>
      <c r="AA6337" s="182" t="n">
        <v>0</v>
      </c>
      <c r="AB6337" s="182" t="n">
        <v>0</v>
      </c>
      <c r="AC6337" s="182" t="n">
        <v>0</v>
      </c>
      <c r="AD6337" s="182" t="n">
        <v>0</v>
      </c>
      <c r="AE6337" s="182" t="n">
        <v>0</v>
      </c>
      <c r="AF6337" s="182" t="n">
        <v>0</v>
      </c>
      <c r="AG6337" s="182" t="n">
        <v>0</v>
      </c>
      <c r="AH6337" s="182" t="n">
        <v>0</v>
      </c>
      <c r="AI6337" s="182" t="n">
        <v>0</v>
      </c>
      <c r="AJ6337" s="182" t="n">
        <v>0</v>
      </c>
      <c r="AK6337" s="182" t="n">
        <v>0</v>
      </c>
      <c r="AL6337" s="182" t="n">
        <v>0</v>
      </c>
      <c r="AM6337" s="182" t="n">
        <v>0</v>
      </c>
      <c r="AN6337" s="182" t="n">
        <v>0</v>
      </c>
    </row>
    <row r="6338">
      <c r="A6338" s="155" t="n">
        <v>46110</v>
      </c>
      <c r="B6338" s="156" t="inlineStr">
        <is>
          <t>NS</t>
        </is>
      </c>
      <c r="C6338" s="156" t="inlineStr">
        <is>
          <t>DT-810</t>
        </is>
      </c>
      <c r="D6338" s="156" t="inlineStr">
        <is>
          <t>SKT 80S</t>
        </is>
      </c>
      <c r="E6338" s="156" t="inlineStr">
        <is>
          <t>Hauler</t>
        </is>
      </c>
      <c r="F6338" s="156" t="inlineStr">
        <is>
          <t>Hauling Lumpur dari Washing Plant</t>
        </is>
      </c>
      <c r="G6338" s="182" t="n">
        <v>5.86</v>
      </c>
      <c r="H6338" s="182" t="n">
        <v>0</v>
      </c>
      <c r="I6338" s="182" t="n">
        <v>0.85</v>
      </c>
      <c r="J6338" s="182" t="n">
        <v>0.85</v>
      </c>
      <c r="K6338" s="182" t="n">
        <v>5.29</v>
      </c>
      <c r="L6338" s="182" t="n">
        <v>12</v>
      </c>
      <c r="M6338" s="182" t="n">
        <v>0</v>
      </c>
      <c r="N6338" s="182" t="n">
        <v>0</v>
      </c>
      <c r="O6338" s="183" t="n">
        <v>0</v>
      </c>
      <c r="P6338" s="183" t="n">
        <v>0</v>
      </c>
      <c r="Q6338" s="184" t="n">
        <v>0</v>
      </c>
      <c r="R6338" s="184" t="n">
        <v>0</v>
      </c>
      <c r="S6338" s="183" t="n">
        <v>0</v>
      </c>
      <c r="T6338" s="183" t="n">
        <v>0</v>
      </c>
      <c r="U6338" s="182" t="n">
        <v>0</v>
      </c>
      <c r="V6338" s="182" t="n">
        <v>0</v>
      </c>
      <c r="W6338" s="182" t="n">
        <v>0</v>
      </c>
      <c r="X6338" s="182" t="n">
        <v>0.97</v>
      </c>
      <c r="Y6338" s="182" t="n">
        <v>0</v>
      </c>
      <c r="Z6338" s="182" t="n">
        <v>0</v>
      </c>
      <c r="AA6338" s="182" t="n">
        <v>0</v>
      </c>
      <c r="AB6338" s="182" t="n">
        <v>0</v>
      </c>
      <c r="AC6338" s="182" t="n">
        <v>0</v>
      </c>
      <c r="AD6338" s="182" t="n">
        <v>0</v>
      </c>
      <c r="AE6338" s="182" t="n">
        <v>0</v>
      </c>
      <c r="AF6338" s="182" t="n">
        <v>0</v>
      </c>
      <c r="AG6338" s="182" t="n">
        <v>0</v>
      </c>
      <c r="AH6338" s="182" t="n">
        <v>0</v>
      </c>
      <c r="AI6338" s="182" t="n">
        <v>0</v>
      </c>
      <c r="AJ6338" s="182" t="n">
        <v>0</v>
      </c>
      <c r="AK6338" s="182" t="n">
        <v>4.24</v>
      </c>
      <c r="AL6338" s="182" t="n">
        <v>0</v>
      </c>
      <c r="AM6338" s="182" t="n">
        <v>0.08</v>
      </c>
      <c r="AN6338" s="182" t="n">
        <v>0</v>
      </c>
    </row>
    <row r="6339">
      <c r="A6339" s="155" t="n">
        <v>46110</v>
      </c>
      <c r="B6339" s="156" t="inlineStr">
        <is>
          <t>NS</t>
        </is>
      </c>
      <c r="C6339" s="156" t="inlineStr">
        <is>
          <t>DT-804</t>
        </is>
      </c>
      <c r="D6339" s="156" t="inlineStr">
        <is>
          <t>SKT 80S</t>
        </is>
      </c>
      <c r="E6339" s="156" t="inlineStr">
        <is>
          <t>Hauler</t>
        </is>
      </c>
      <c r="F6339" s="156" t="inlineStr">
        <is>
          <t>Hauling Lumpur dari Washing Plant</t>
        </is>
      </c>
      <c r="G6339" s="182" t="n">
        <v>7.48</v>
      </c>
      <c r="H6339" s="182" t="n">
        <v>0</v>
      </c>
      <c r="I6339" s="182" t="n">
        <v>0</v>
      </c>
      <c r="J6339" s="182" t="n">
        <v>0</v>
      </c>
      <c r="K6339" s="182" t="n">
        <v>4.52</v>
      </c>
      <c r="L6339" s="182" t="n">
        <v>12</v>
      </c>
      <c r="M6339" s="182" t="n">
        <v>0</v>
      </c>
      <c r="N6339" s="182" t="n">
        <v>0</v>
      </c>
      <c r="O6339" s="183" t="n">
        <v>0</v>
      </c>
      <c r="P6339" s="183" t="n">
        <v>0</v>
      </c>
      <c r="Q6339" s="184" t="n">
        <v>0</v>
      </c>
      <c r="R6339" s="184" t="n">
        <v>0</v>
      </c>
      <c r="S6339" s="183" t="n">
        <v>0</v>
      </c>
      <c r="T6339" s="183" t="n">
        <v>0</v>
      </c>
      <c r="U6339" s="182" t="n">
        <v>0</v>
      </c>
      <c r="V6339" s="182" t="n">
        <v>0</v>
      </c>
      <c r="W6339" s="182" t="n">
        <v>0</v>
      </c>
      <c r="X6339" s="182" t="n">
        <v>1.03</v>
      </c>
      <c r="Y6339" s="182" t="n">
        <v>0</v>
      </c>
      <c r="Z6339" s="182" t="n">
        <v>0</v>
      </c>
      <c r="AA6339" s="182" t="n">
        <v>0</v>
      </c>
      <c r="AB6339" s="182" t="n">
        <v>0</v>
      </c>
      <c r="AC6339" s="182" t="n">
        <v>0</v>
      </c>
      <c r="AD6339" s="182" t="n">
        <v>0</v>
      </c>
      <c r="AE6339" s="182" t="n">
        <v>0</v>
      </c>
      <c r="AF6339" s="182" t="n">
        <v>0</v>
      </c>
      <c r="AG6339" s="182" t="n">
        <v>0</v>
      </c>
      <c r="AH6339" s="182" t="n">
        <v>0</v>
      </c>
      <c r="AI6339" s="182" t="n">
        <v>0</v>
      </c>
      <c r="AJ6339" s="182" t="n">
        <v>0</v>
      </c>
      <c r="AK6339" s="182" t="n">
        <v>3.41</v>
      </c>
      <c r="AL6339" s="182" t="n">
        <v>0</v>
      </c>
      <c r="AM6339" s="182" t="n">
        <v>0.08</v>
      </c>
      <c r="AN6339" s="182" t="n">
        <v>0</v>
      </c>
    </row>
    <row r="6340">
      <c r="A6340" s="155" t="n">
        <v>46110</v>
      </c>
      <c r="B6340" s="156" t="inlineStr">
        <is>
          <t>NS</t>
        </is>
      </c>
      <c r="C6340" s="156" t="inlineStr">
        <is>
          <t>DT-505</t>
        </is>
      </c>
      <c r="D6340" s="156" t="inlineStr">
        <is>
          <t>SKT 105S</t>
        </is>
      </c>
      <c r="E6340" s="156" t="inlineStr">
        <is>
          <t>Hauler</t>
        </is>
      </c>
      <c r="F6340" s="156" t="inlineStr">
        <is>
          <t>Hauling OB</t>
        </is>
      </c>
      <c r="G6340" s="182" t="n">
        <v>10.03</v>
      </c>
      <c r="H6340" s="182" t="n">
        <v>0</v>
      </c>
      <c r="I6340" s="182" t="n">
        <v>0</v>
      </c>
      <c r="J6340" s="182" t="n">
        <v>0</v>
      </c>
      <c r="K6340" s="182" t="n">
        <v>1.97</v>
      </c>
      <c r="L6340" s="182" t="n">
        <v>12</v>
      </c>
      <c r="M6340" s="182" t="n">
        <v>10.03</v>
      </c>
      <c r="N6340" s="182" t="n">
        <v>0</v>
      </c>
      <c r="O6340" s="183" t="n">
        <v>45</v>
      </c>
      <c r="P6340" s="183" t="n">
        <v>0</v>
      </c>
      <c r="Q6340" s="184" t="n">
        <v>918</v>
      </c>
      <c r="R6340" s="184" t="n">
        <v>0</v>
      </c>
      <c r="S6340" s="183" t="n">
        <v>0</v>
      </c>
      <c r="T6340" s="183" t="n">
        <v>0</v>
      </c>
      <c r="U6340" s="182" t="n">
        <v>0</v>
      </c>
      <c r="V6340" s="182" t="n">
        <v>0</v>
      </c>
      <c r="W6340" s="182" t="n">
        <v>0</v>
      </c>
      <c r="X6340" s="182" t="n">
        <v>0.9399999999999999</v>
      </c>
      <c r="Y6340" s="182" t="n">
        <v>0</v>
      </c>
      <c r="Z6340" s="182" t="n">
        <v>0</v>
      </c>
      <c r="AA6340" s="182" t="n">
        <v>0</v>
      </c>
      <c r="AB6340" s="182" t="n">
        <v>0</v>
      </c>
      <c r="AC6340" s="182" t="n">
        <v>0</v>
      </c>
      <c r="AD6340" s="182" t="n">
        <v>0</v>
      </c>
      <c r="AE6340" s="182" t="n">
        <v>0</v>
      </c>
      <c r="AF6340" s="182" t="n">
        <v>0</v>
      </c>
      <c r="AG6340" s="182" t="n">
        <v>0.5600000000000001</v>
      </c>
      <c r="AH6340" s="182" t="n">
        <v>0.39</v>
      </c>
      <c r="AI6340" s="182" t="n">
        <v>0</v>
      </c>
      <c r="AJ6340" s="182" t="n">
        <v>0</v>
      </c>
      <c r="AK6340" s="182" t="n">
        <v>0</v>
      </c>
      <c r="AL6340" s="182" t="n">
        <v>0</v>
      </c>
      <c r="AM6340" s="182" t="n">
        <v>0.08</v>
      </c>
      <c r="AN6340" s="182" t="n">
        <v>0</v>
      </c>
    </row>
    <row r="6341">
      <c r="A6341" s="155" t="n">
        <v>46110</v>
      </c>
      <c r="B6341" s="156" t="inlineStr">
        <is>
          <t>NS</t>
        </is>
      </c>
      <c r="C6341" s="156" t="inlineStr">
        <is>
          <t>DT-530</t>
        </is>
      </c>
      <c r="D6341" s="156" t="inlineStr">
        <is>
          <t>SKT 105S</t>
        </is>
      </c>
      <c r="E6341" s="156" t="inlineStr">
        <is>
          <t>Hauler</t>
        </is>
      </c>
      <c r="F6341" s="156" t="inlineStr"/>
      <c r="G6341" s="182" t="n">
        <v>0</v>
      </c>
      <c r="H6341" s="182" t="n">
        <v>0</v>
      </c>
      <c r="I6341" s="182" t="n">
        <v>12</v>
      </c>
      <c r="J6341" s="182" t="n">
        <v>12</v>
      </c>
      <c r="K6341" s="182" t="n">
        <v>0</v>
      </c>
      <c r="L6341" s="182" t="n">
        <v>12</v>
      </c>
      <c r="M6341" s="182" t="n">
        <v>0</v>
      </c>
      <c r="N6341" s="182" t="n">
        <v>0</v>
      </c>
      <c r="O6341" s="183" t="n">
        <v>0</v>
      </c>
      <c r="P6341" s="183" t="n">
        <v>0</v>
      </c>
      <c r="Q6341" s="184" t="n">
        <v>0</v>
      </c>
      <c r="R6341" s="184" t="n">
        <v>0</v>
      </c>
      <c r="S6341" s="183" t="n">
        <v>0</v>
      </c>
      <c r="T6341" s="183" t="n">
        <v>0</v>
      </c>
      <c r="U6341" s="182" t="n">
        <v>0</v>
      </c>
      <c r="V6341" s="182" t="n">
        <v>0</v>
      </c>
      <c r="W6341" s="182" t="n">
        <v>0</v>
      </c>
      <c r="X6341" s="182" t="n">
        <v>0</v>
      </c>
      <c r="Y6341" s="182" t="n">
        <v>0</v>
      </c>
      <c r="Z6341" s="182" t="n">
        <v>0</v>
      </c>
      <c r="AA6341" s="182" t="n">
        <v>0</v>
      </c>
      <c r="AB6341" s="182" t="n">
        <v>0</v>
      </c>
      <c r="AC6341" s="182" t="n">
        <v>0</v>
      </c>
      <c r="AD6341" s="182" t="n">
        <v>0</v>
      </c>
      <c r="AE6341" s="182" t="n">
        <v>0</v>
      </c>
      <c r="AF6341" s="182" t="n">
        <v>0</v>
      </c>
      <c r="AG6341" s="182" t="n">
        <v>0</v>
      </c>
      <c r="AH6341" s="182" t="n">
        <v>0</v>
      </c>
      <c r="AI6341" s="182" t="n">
        <v>0</v>
      </c>
      <c r="AJ6341" s="182" t="n">
        <v>0</v>
      </c>
      <c r="AK6341" s="182" t="n">
        <v>0</v>
      </c>
      <c r="AL6341" s="182" t="n">
        <v>0</v>
      </c>
      <c r="AM6341" s="182" t="n">
        <v>0</v>
      </c>
      <c r="AN6341" s="182" t="n">
        <v>0</v>
      </c>
    </row>
    <row r="6342">
      <c r="A6342" s="155" t="n">
        <v>46110</v>
      </c>
      <c r="B6342" s="156" t="inlineStr">
        <is>
          <t>NS</t>
        </is>
      </c>
      <c r="C6342" s="156" t="inlineStr">
        <is>
          <t>DT-525</t>
        </is>
      </c>
      <c r="D6342" s="156" t="inlineStr">
        <is>
          <t>SKT 105S</t>
        </is>
      </c>
      <c r="E6342" s="156" t="inlineStr">
        <is>
          <t>Hauler</t>
        </is>
      </c>
      <c r="F6342" s="156" t="inlineStr"/>
      <c r="G6342" s="182" t="n">
        <v>0</v>
      </c>
      <c r="H6342" s="182" t="n">
        <v>0</v>
      </c>
      <c r="I6342" s="182" t="n">
        <v>12</v>
      </c>
      <c r="J6342" s="182" t="n">
        <v>12</v>
      </c>
      <c r="K6342" s="182" t="n">
        <v>0</v>
      </c>
      <c r="L6342" s="182" t="n">
        <v>12</v>
      </c>
      <c r="M6342" s="182" t="n">
        <v>0</v>
      </c>
      <c r="N6342" s="182" t="n">
        <v>0</v>
      </c>
      <c r="O6342" s="183" t="n">
        <v>0</v>
      </c>
      <c r="P6342" s="183" t="n">
        <v>0</v>
      </c>
      <c r="Q6342" s="184" t="n">
        <v>0</v>
      </c>
      <c r="R6342" s="184" t="n">
        <v>0</v>
      </c>
      <c r="S6342" s="183" t="n">
        <v>0</v>
      </c>
      <c r="T6342" s="183" t="n">
        <v>0</v>
      </c>
      <c r="U6342" s="182" t="n">
        <v>0</v>
      </c>
      <c r="V6342" s="182" t="n">
        <v>0</v>
      </c>
      <c r="W6342" s="182" t="n">
        <v>0</v>
      </c>
      <c r="X6342" s="182" t="n">
        <v>0</v>
      </c>
      <c r="Y6342" s="182" t="n">
        <v>0</v>
      </c>
      <c r="Z6342" s="182" t="n">
        <v>0</v>
      </c>
      <c r="AA6342" s="182" t="n">
        <v>0</v>
      </c>
      <c r="AB6342" s="182" t="n">
        <v>0</v>
      </c>
      <c r="AC6342" s="182" t="n">
        <v>0</v>
      </c>
      <c r="AD6342" s="182" t="n">
        <v>0</v>
      </c>
      <c r="AE6342" s="182" t="n">
        <v>0</v>
      </c>
      <c r="AF6342" s="182" t="n">
        <v>0</v>
      </c>
      <c r="AG6342" s="182" t="n">
        <v>0</v>
      </c>
      <c r="AH6342" s="182" t="n">
        <v>0</v>
      </c>
      <c r="AI6342" s="182" t="n">
        <v>0</v>
      </c>
      <c r="AJ6342" s="182" t="n">
        <v>0</v>
      </c>
      <c r="AK6342" s="182" t="n">
        <v>0</v>
      </c>
      <c r="AL6342" s="182" t="n">
        <v>0</v>
      </c>
      <c r="AM6342" s="182" t="n">
        <v>0</v>
      </c>
      <c r="AN6342" s="182" t="n">
        <v>0</v>
      </c>
    </row>
    <row r="6343">
      <c r="A6343" s="155" t="n">
        <v>46110</v>
      </c>
      <c r="B6343" s="156" t="inlineStr">
        <is>
          <t>NS</t>
        </is>
      </c>
      <c r="C6343" s="156" t="inlineStr">
        <is>
          <t>DT-503</t>
        </is>
      </c>
      <c r="D6343" s="156" t="inlineStr">
        <is>
          <t>SKT 105S</t>
        </is>
      </c>
      <c r="E6343" s="156" t="inlineStr">
        <is>
          <t>Hauler</t>
        </is>
      </c>
      <c r="F6343" s="156" t="inlineStr">
        <is>
          <t>Hauling OB</t>
        </is>
      </c>
      <c r="G6343" s="182" t="n">
        <v>10.56</v>
      </c>
      <c r="H6343" s="182" t="n">
        <v>0</v>
      </c>
      <c r="I6343" s="182" t="n">
        <v>0</v>
      </c>
      <c r="J6343" s="182" t="n">
        <v>0</v>
      </c>
      <c r="K6343" s="182" t="n">
        <v>1.44</v>
      </c>
      <c r="L6343" s="182" t="n">
        <v>12</v>
      </c>
      <c r="M6343" s="182" t="n">
        <v>10.56</v>
      </c>
      <c r="N6343" s="182" t="n">
        <v>0</v>
      </c>
      <c r="O6343" s="183" t="n">
        <v>37</v>
      </c>
      <c r="P6343" s="183" t="n">
        <v>0</v>
      </c>
      <c r="Q6343" s="184" t="n">
        <v>754.8</v>
      </c>
      <c r="R6343" s="184" t="n">
        <v>0</v>
      </c>
      <c r="S6343" s="183" t="n">
        <v>0</v>
      </c>
      <c r="T6343" s="183" t="n">
        <v>0</v>
      </c>
      <c r="U6343" s="182" t="n">
        <v>0</v>
      </c>
      <c r="V6343" s="182" t="n">
        <v>0</v>
      </c>
      <c r="W6343" s="182" t="n">
        <v>0</v>
      </c>
      <c r="X6343" s="182" t="n">
        <v>1.11</v>
      </c>
      <c r="Y6343" s="182" t="n">
        <v>0</v>
      </c>
      <c r="Z6343" s="182" t="n">
        <v>0</v>
      </c>
      <c r="AA6343" s="182" t="n">
        <v>0</v>
      </c>
      <c r="AB6343" s="182" t="n">
        <v>0</v>
      </c>
      <c r="AC6343" s="182" t="n">
        <v>0</v>
      </c>
      <c r="AD6343" s="182" t="n">
        <v>0</v>
      </c>
      <c r="AE6343" s="182" t="n">
        <v>0</v>
      </c>
      <c r="AF6343" s="182" t="n">
        <v>0</v>
      </c>
      <c r="AG6343" s="182" t="n">
        <v>0</v>
      </c>
      <c r="AH6343" s="182" t="n">
        <v>0.24</v>
      </c>
      <c r="AI6343" s="182" t="n">
        <v>0</v>
      </c>
      <c r="AJ6343" s="182" t="n">
        <v>0</v>
      </c>
      <c r="AK6343" s="182" t="n">
        <v>0</v>
      </c>
      <c r="AL6343" s="182" t="n">
        <v>0</v>
      </c>
      <c r="AM6343" s="182" t="n">
        <v>0.09</v>
      </c>
      <c r="AN6343" s="182" t="n">
        <v>0</v>
      </c>
    </row>
    <row r="6344">
      <c r="A6344" s="155" t="n">
        <v>46110</v>
      </c>
      <c r="B6344" s="156" t="inlineStr">
        <is>
          <t>NS</t>
        </is>
      </c>
      <c r="C6344" s="156" t="inlineStr">
        <is>
          <t>DT-504</t>
        </is>
      </c>
      <c r="D6344" s="156" t="inlineStr">
        <is>
          <t>SKT 105S</t>
        </is>
      </c>
      <c r="E6344" s="156" t="inlineStr">
        <is>
          <t>Hauler</t>
        </is>
      </c>
      <c r="F6344" s="156" t="inlineStr">
        <is>
          <t>Hauling OB &amp; Coal</t>
        </is>
      </c>
      <c r="G6344" s="182" t="n">
        <v>7.21</v>
      </c>
      <c r="H6344" s="182" t="n">
        <v>0</v>
      </c>
      <c r="I6344" s="182" t="n">
        <v>0</v>
      </c>
      <c r="J6344" s="182" t="n">
        <v>0</v>
      </c>
      <c r="K6344" s="182" t="n">
        <v>4.79</v>
      </c>
      <c r="L6344" s="182" t="n">
        <v>12</v>
      </c>
      <c r="M6344" s="182" t="n">
        <v>1.52</v>
      </c>
      <c r="N6344" s="182" t="n">
        <v>5.68</v>
      </c>
      <c r="O6344" s="183" t="n">
        <v>5</v>
      </c>
      <c r="P6344" s="183" t="n">
        <v>13</v>
      </c>
      <c r="Q6344" s="184" t="n">
        <v>102</v>
      </c>
      <c r="R6344" s="184" t="n">
        <v>243.1</v>
      </c>
      <c r="S6344" s="183" t="n">
        <v>0</v>
      </c>
      <c r="T6344" s="183" t="n">
        <v>0</v>
      </c>
      <c r="U6344" s="182" t="n">
        <v>0</v>
      </c>
      <c r="V6344" s="182" t="n">
        <v>0</v>
      </c>
      <c r="W6344" s="182" t="n">
        <v>0</v>
      </c>
      <c r="X6344" s="182" t="n">
        <v>0.98</v>
      </c>
      <c r="Y6344" s="182" t="n">
        <v>0</v>
      </c>
      <c r="Z6344" s="182" t="n">
        <v>0</v>
      </c>
      <c r="AA6344" s="182" t="n">
        <v>0</v>
      </c>
      <c r="AB6344" s="182" t="n">
        <v>0</v>
      </c>
      <c r="AC6344" s="182" t="n">
        <v>0</v>
      </c>
      <c r="AD6344" s="182" t="n">
        <v>0</v>
      </c>
      <c r="AE6344" s="182" t="n">
        <v>0</v>
      </c>
      <c r="AF6344" s="182" t="n">
        <v>0</v>
      </c>
      <c r="AG6344" s="182" t="n">
        <v>0</v>
      </c>
      <c r="AH6344" s="182" t="n">
        <v>0</v>
      </c>
      <c r="AI6344" s="182" t="n">
        <v>3.73</v>
      </c>
      <c r="AJ6344" s="182" t="n">
        <v>0</v>
      </c>
      <c r="AK6344" s="182" t="n">
        <v>0</v>
      </c>
      <c r="AL6344" s="182" t="n">
        <v>0</v>
      </c>
      <c r="AM6344" s="182" t="n">
        <v>0.08</v>
      </c>
      <c r="AN6344" s="182" t="n">
        <v>0</v>
      </c>
    </row>
    <row r="6345">
      <c r="A6345" s="155" t="n">
        <v>46110</v>
      </c>
      <c r="B6345" s="156" t="inlineStr">
        <is>
          <t>NS</t>
        </is>
      </c>
      <c r="C6345" s="156" t="inlineStr">
        <is>
          <t>DT-507</t>
        </is>
      </c>
      <c r="D6345" s="156" t="inlineStr">
        <is>
          <t>SKT 105S</t>
        </is>
      </c>
      <c r="E6345" s="156" t="inlineStr">
        <is>
          <t>Hauler</t>
        </is>
      </c>
      <c r="F6345" s="156" t="inlineStr">
        <is>
          <t>Hauling OB &amp; Coal</t>
        </is>
      </c>
      <c r="G6345" s="182" t="n">
        <v>6.25</v>
      </c>
      <c r="H6345" s="182" t="n">
        <v>0</v>
      </c>
      <c r="I6345" s="182" t="n">
        <v>1.8</v>
      </c>
      <c r="J6345" s="182" t="n">
        <v>1.8</v>
      </c>
      <c r="K6345" s="182" t="n">
        <v>3.95</v>
      </c>
      <c r="L6345" s="182" t="n">
        <v>12</v>
      </c>
      <c r="M6345" s="182" t="n">
        <v>0.2</v>
      </c>
      <c r="N6345" s="182" t="n">
        <v>6.05</v>
      </c>
      <c r="O6345" s="183" t="n">
        <v>4</v>
      </c>
      <c r="P6345" s="183" t="n">
        <v>11</v>
      </c>
      <c r="Q6345" s="184" t="n">
        <v>81.59999999999999</v>
      </c>
      <c r="R6345" s="184" t="n">
        <v>205.7</v>
      </c>
      <c r="S6345" s="183" t="n">
        <v>0</v>
      </c>
      <c r="T6345" s="183" t="n">
        <v>0</v>
      </c>
      <c r="U6345" s="182" t="n">
        <v>0</v>
      </c>
      <c r="V6345" s="182" t="n">
        <v>0</v>
      </c>
      <c r="W6345" s="182" t="n">
        <v>0</v>
      </c>
      <c r="X6345" s="182" t="n">
        <v>0.99</v>
      </c>
      <c r="Y6345" s="182" t="n">
        <v>0</v>
      </c>
      <c r="Z6345" s="182" t="n">
        <v>0</v>
      </c>
      <c r="AA6345" s="182" t="n">
        <v>0</v>
      </c>
      <c r="AB6345" s="182" t="n">
        <v>0</v>
      </c>
      <c r="AC6345" s="182" t="n">
        <v>0</v>
      </c>
      <c r="AD6345" s="182" t="n">
        <v>0</v>
      </c>
      <c r="AE6345" s="182" t="n">
        <v>0</v>
      </c>
      <c r="AF6345" s="182" t="n">
        <v>0</v>
      </c>
      <c r="AG6345" s="182" t="n">
        <v>0</v>
      </c>
      <c r="AH6345" s="182" t="n">
        <v>0</v>
      </c>
      <c r="AI6345" s="182" t="n">
        <v>2.88</v>
      </c>
      <c r="AJ6345" s="182" t="n">
        <v>0</v>
      </c>
      <c r="AK6345" s="182" t="n">
        <v>0</v>
      </c>
      <c r="AL6345" s="182" t="n">
        <v>0</v>
      </c>
      <c r="AM6345" s="182" t="n">
        <v>0.08</v>
      </c>
      <c r="AN6345" s="182" t="n">
        <v>0</v>
      </c>
    </row>
    <row r="6346">
      <c r="A6346" s="155" t="n">
        <v>46110</v>
      </c>
      <c r="B6346" s="156" t="inlineStr">
        <is>
          <t>NS</t>
        </is>
      </c>
      <c r="C6346" s="156" t="inlineStr">
        <is>
          <t>DT-501</t>
        </is>
      </c>
      <c r="D6346" s="156" t="inlineStr">
        <is>
          <t>SKT 105S</t>
        </is>
      </c>
      <c r="E6346" s="156" t="inlineStr">
        <is>
          <t>Hauler</t>
        </is>
      </c>
      <c r="F6346" s="156" t="inlineStr">
        <is>
          <t>Hauling OB</t>
        </is>
      </c>
      <c r="G6346" s="182" t="n">
        <v>9.99</v>
      </c>
      <c r="H6346" s="182" t="n">
        <v>0</v>
      </c>
      <c r="I6346" s="182" t="n">
        <v>0.17</v>
      </c>
      <c r="J6346" s="182" t="n">
        <v>0.17</v>
      </c>
      <c r="K6346" s="182" t="n">
        <v>1.84</v>
      </c>
      <c r="L6346" s="182" t="n">
        <v>12</v>
      </c>
      <c r="M6346" s="182" t="n">
        <v>9.99</v>
      </c>
      <c r="N6346" s="182" t="n">
        <v>0</v>
      </c>
      <c r="O6346" s="183" t="n">
        <v>43</v>
      </c>
      <c r="P6346" s="183" t="n">
        <v>0</v>
      </c>
      <c r="Q6346" s="184" t="n">
        <v>877.2</v>
      </c>
      <c r="R6346" s="184" t="n">
        <v>0</v>
      </c>
      <c r="S6346" s="183" t="n">
        <v>0</v>
      </c>
      <c r="T6346" s="183" t="n">
        <v>0</v>
      </c>
      <c r="U6346" s="182" t="n">
        <v>0</v>
      </c>
      <c r="V6346" s="182" t="n">
        <v>0</v>
      </c>
      <c r="W6346" s="182" t="n">
        <v>0</v>
      </c>
      <c r="X6346" s="182" t="n">
        <v>1.29</v>
      </c>
      <c r="Y6346" s="182" t="n">
        <v>0</v>
      </c>
      <c r="Z6346" s="182" t="n">
        <v>0</v>
      </c>
      <c r="AA6346" s="182" t="n">
        <v>0</v>
      </c>
      <c r="AB6346" s="182" t="n">
        <v>0</v>
      </c>
      <c r="AC6346" s="182" t="n">
        <v>0</v>
      </c>
      <c r="AD6346" s="182" t="n">
        <v>0</v>
      </c>
      <c r="AE6346" s="182" t="n">
        <v>0</v>
      </c>
      <c r="AF6346" s="182" t="n">
        <v>0</v>
      </c>
      <c r="AG6346" s="182" t="n">
        <v>0</v>
      </c>
      <c r="AH6346" s="182" t="n">
        <v>0.45</v>
      </c>
      <c r="AI6346" s="182" t="n">
        <v>0</v>
      </c>
      <c r="AJ6346" s="182" t="n">
        <v>0</v>
      </c>
      <c r="AK6346" s="182" t="n">
        <v>0</v>
      </c>
      <c r="AL6346" s="182" t="n">
        <v>0</v>
      </c>
      <c r="AM6346" s="182" t="n">
        <v>0.1</v>
      </c>
      <c r="AN6346" s="182" t="n">
        <v>0</v>
      </c>
    </row>
    <row r="6347">
      <c r="A6347" s="155" t="n">
        <v>46110</v>
      </c>
      <c r="B6347" s="156" t="inlineStr">
        <is>
          <t>NS</t>
        </is>
      </c>
      <c r="C6347" s="156" t="inlineStr">
        <is>
          <t>DT-518</t>
        </is>
      </c>
      <c r="D6347" s="156" t="inlineStr">
        <is>
          <t>SKT 105S</t>
        </is>
      </c>
      <c r="E6347" s="156" t="inlineStr">
        <is>
          <t>Hauler</t>
        </is>
      </c>
      <c r="F6347" s="156" t="inlineStr">
        <is>
          <t>Hauling Coal</t>
        </is>
      </c>
      <c r="G6347" s="182" t="n">
        <v>4.01</v>
      </c>
      <c r="H6347" s="182" t="n">
        <v>0</v>
      </c>
      <c r="I6347" s="182" t="n">
        <v>0.17</v>
      </c>
      <c r="J6347" s="182" t="n">
        <v>0.17</v>
      </c>
      <c r="K6347" s="182" t="n">
        <v>7.82</v>
      </c>
      <c r="L6347" s="182" t="n">
        <v>12</v>
      </c>
      <c r="M6347" s="182" t="n">
        <v>0</v>
      </c>
      <c r="N6347" s="182" t="n">
        <v>4.01</v>
      </c>
      <c r="O6347" s="183" t="n">
        <v>0</v>
      </c>
      <c r="P6347" s="183" t="n">
        <v>11</v>
      </c>
      <c r="Q6347" s="184" t="n">
        <v>0</v>
      </c>
      <c r="R6347" s="184" t="n">
        <v>205.7</v>
      </c>
      <c r="S6347" s="183" t="n">
        <v>0</v>
      </c>
      <c r="T6347" s="183" t="n">
        <v>0</v>
      </c>
      <c r="U6347" s="182" t="n">
        <v>0</v>
      </c>
      <c r="V6347" s="182" t="n">
        <v>0</v>
      </c>
      <c r="W6347" s="182" t="n">
        <v>0</v>
      </c>
      <c r="X6347" s="182" t="n">
        <v>0.95</v>
      </c>
      <c r="Y6347" s="182" t="n">
        <v>0</v>
      </c>
      <c r="Z6347" s="182" t="n">
        <v>0</v>
      </c>
      <c r="AA6347" s="182" t="n">
        <v>0</v>
      </c>
      <c r="AB6347" s="182" t="n">
        <v>0</v>
      </c>
      <c r="AC6347" s="182" t="n">
        <v>0</v>
      </c>
      <c r="AD6347" s="182" t="n">
        <v>0</v>
      </c>
      <c r="AE6347" s="182" t="n">
        <v>0</v>
      </c>
      <c r="AF6347" s="182" t="n">
        <v>0</v>
      </c>
      <c r="AG6347" s="182" t="n">
        <v>0</v>
      </c>
      <c r="AH6347" s="182" t="n">
        <v>0</v>
      </c>
      <c r="AI6347" s="182" t="n">
        <v>6.79</v>
      </c>
      <c r="AJ6347" s="182" t="n">
        <v>0</v>
      </c>
      <c r="AK6347" s="182" t="n">
        <v>0</v>
      </c>
      <c r="AL6347" s="182" t="n">
        <v>0</v>
      </c>
      <c r="AM6347" s="182" t="n">
        <v>0.08</v>
      </c>
      <c r="AN6347" s="182" t="n">
        <v>0</v>
      </c>
    </row>
    <row r="6348">
      <c r="A6348" s="155" t="n">
        <v>46110</v>
      </c>
      <c r="B6348" s="156" t="inlineStr">
        <is>
          <t>NS</t>
        </is>
      </c>
      <c r="C6348" s="156" t="inlineStr">
        <is>
          <t>DT-514</t>
        </is>
      </c>
      <c r="D6348" s="156" t="inlineStr">
        <is>
          <t>SKT 105S</t>
        </is>
      </c>
      <c r="E6348" s="156" t="inlineStr">
        <is>
          <t>Hauler</t>
        </is>
      </c>
      <c r="F6348" s="156" t="inlineStr">
        <is>
          <t>Hauling Spoil &amp; Mud</t>
        </is>
      </c>
      <c r="G6348" s="182" t="n">
        <v>10.02</v>
      </c>
      <c r="H6348" s="182" t="n">
        <v>0</v>
      </c>
      <c r="I6348" s="182" t="n">
        <v>0</v>
      </c>
      <c r="J6348" s="182" t="n">
        <v>0</v>
      </c>
      <c r="K6348" s="182" t="n">
        <v>1.98</v>
      </c>
      <c r="L6348" s="182" t="n">
        <v>12</v>
      </c>
      <c r="M6348" s="182" t="n">
        <v>10.02</v>
      </c>
      <c r="N6348" s="182" t="n">
        <v>0</v>
      </c>
      <c r="O6348" s="183" t="n">
        <v>9</v>
      </c>
      <c r="P6348" s="183" t="n">
        <v>0</v>
      </c>
      <c r="Q6348" s="184" t="n">
        <v>91.8</v>
      </c>
      <c r="R6348" s="184" t="n">
        <v>0</v>
      </c>
      <c r="S6348" s="183" t="n">
        <v>21</v>
      </c>
      <c r="T6348" s="183" t="n">
        <v>0</v>
      </c>
      <c r="U6348" s="182" t="n">
        <v>0</v>
      </c>
      <c r="V6348" s="182" t="n">
        <v>0</v>
      </c>
      <c r="W6348" s="182" t="n">
        <v>0</v>
      </c>
      <c r="X6348" s="182" t="n">
        <v>0.9399999999999999</v>
      </c>
      <c r="Y6348" s="182" t="n">
        <v>0</v>
      </c>
      <c r="Z6348" s="182" t="n">
        <v>0</v>
      </c>
      <c r="AA6348" s="182" t="n">
        <v>0</v>
      </c>
      <c r="AB6348" s="182" t="n">
        <v>0</v>
      </c>
      <c r="AC6348" s="182" t="n">
        <v>0</v>
      </c>
      <c r="AD6348" s="182" t="n">
        <v>0</v>
      </c>
      <c r="AE6348" s="182" t="n">
        <v>0</v>
      </c>
      <c r="AF6348" s="182" t="n">
        <v>0</v>
      </c>
      <c r="AG6348" s="182" t="n">
        <v>0.57</v>
      </c>
      <c r="AH6348" s="182" t="n">
        <v>0.4</v>
      </c>
      <c r="AI6348" s="182" t="n">
        <v>0</v>
      </c>
      <c r="AJ6348" s="182" t="n">
        <v>0</v>
      </c>
      <c r="AK6348" s="182" t="n">
        <v>0</v>
      </c>
      <c r="AL6348" s="182" t="n">
        <v>0</v>
      </c>
      <c r="AM6348" s="182" t="n">
        <v>0.08</v>
      </c>
      <c r="AN6348" s="182" t="n">
        <v>0</v>
      </c>
    </row>
    <row r="6349">
      <c r="A6349" s="155" t="n">
        <v>46110</v>
      </c>
      <c r="B6349" s="156" t="inlineStr">
        <is>
          <t>NS</t>
        </is>
      </c>
      <c r="C6349" s="156" t="inlineStr">
        <is>
          <t>DT-523</t>
        </is>
      </c>
      <c r="D6349" s="156" t="inlineStr">
        <is>
          <t>SKT 105S</t>
        </is>
      </c>
      <c r="E6349" s="156" t="inlineStr">
        <is>
          <t>Hauler</t>
        </is>
      </c>
      <c r="F6349" s="156" t="inlineStr"/>
      <c r="G6349" s="182" t="n">
        <v>0</v>
      </c>
      <c r="H6349" s="182" t="n">
        <v>0</v>
      </c>
      <c r="I6349" s="182" t="n">
        <v>12</v>
      </c>
      <c r="J6349" s="182" t="n">
        <v>12</v>
      </c>
      <c r="K6349" s="182" t="n">
        <v>0</v>
      </c>
      <c r="L6349" s="182" t="n">
        <v>12</v>
      </c>
      <c r="M6349" s="182" t="n">
        <v>0</v>
      </c>
      <c r="N6349" s="182" t="n">
        <v>0</v>
      </c>
      <c r="O6349" s="183" t="n">
        <v>0</v>
      </c>
      <c r="P6349" s="183" t="n">
        <v>0</v>
      </c>
      <c r="Q6349" s="184" t="n">
        <v>0</v>
      </c>
      <c r="R6349" s="184" t="n">
        <v>0</v>
      </c>
      <c r="S6349" s="183" t="n">
        <v>0</v>
      </c>
      <c r="T6349" s="183" t="n">
        <v>0</v>
      </c>
      <c r="U6349" s="182" t="n">
        <v>0</v>
      </c>
      <c r="V6349" s="182" t="n">
        <v>0</v>
      </c>
      <c r="W6349" s="182" t="n">
        <v>0</v>
      </c>
      <c r="X6349" s="182" t="n">
        <v>0</v>
      </c>
      <c r="Y6349" s="182" t="n">
        <v>0</v>
      </c>
      <c r="Z6349" s="182" t="n">
        <v>0</v>
      </c>
      <c r="AA6349" s="182" t="n">
        <v>0</v>
      </c>
      <c r="AB6349" s="182" t="n">
        <v>0</v>
      </c>
      <c r="AC6349" s="182" t="n">
        <v>0</v>
      </c>
      <c r="AD6349" s="182" t="n">
        <v>0</v>
      </c>
      <c r="AE6349" s="182" t="n">
        <v>0</v>
      </c>
      <c r="AF6349" s="182" t="n">
        <v>0</v>
      </c>
      <c r="AG6349" s="182" t="n">
        <v>0</v>
      </c>
      <c r="AH6349" s="182" t="n">
        <v>0</v>
      </c>
      <c r="AI6349" s="182" t="n">
        <v>0</v>
      </c>
      <c r="AJ6349" s="182" t="n">
        <v>0</v>
      </c>
      <c r="AK6349" s="182" t="n">
        <v>0</v>
      </c>
      <c r="AL6349" s="182" t="n">
        <v>0</v>
      </c>
      <c r="AM6349" s="182" t="n">
        <v>0</v>
      </c>
      <c r="AN6349" s="182" t="n">
        <v>0</v>
      </c>
    </row>
    <row r="6350">
      <c r="A6350" s="155" t="n">
        <v>46110</v>
      </c>
      <c r="B6350" s="156" t="inlineStr">
        <is>
          <t>NS</t>
        </is>
      </c>
      <c r="C6350" s="156" t="inlineStr">
        <is>
          <t>DT-519</t>
        </is>
      </c>
      <c r="D6350" s="156" t="inlineStr">
        <is>
          <t>SKT 105S</t>
        </is>
      </c>
      <c r="E6350" s="156" t="inlineStr">
        <is>
          <t>Hauler</t>
        </is>
      </c>
      <c r="F6350" s="156" t="inlineStr">
        <is>
          <t>Hauling Spoil &amp; Mud</t>
        </is>
      </c>
      <c r="G6350" s="182" t="n">
        <v>7.47</v>
      </c>
      <c r="H6350" s="182" t="n">
        <v>0</v>
      </c>
      <c r="I6350" s="182" t="n">
        <v>1.23</v>
      </c>
      <c r="J6350" s="182" t="n">
        <v>1.23</v>
      </c>
      <c r="K6350" s="182" t="n">
        <v>3.3</v>
      </c>
      <c r="L6350" s="182" t="n">
        <v>12</v>
      </c>
      <c r="M6350" s="182" t="n">
        <v>7.47</v>
      </c>
      <c r="N6350" s="182" t="n">
        <v>0</v>
      </c>
      <c r="O6350" s="183" t="n">
        <v>10</v>
      </c>
      <c r="P6350" s="183" t="n">
        <v>0</v>
      </c>
      <c r="Q6350" s="184" t="n">
        <v>102</v>
      </c>
      <c r="R6350" s="184" t="n">
        <v>0</v>
      </c>
      <c r="S6350" s="183" t="n">
        <v>15</v>
      </c>
      <c r="T6350" s="183" t="n">
        <v>0</v>
      </c>
      <c r="U6350" s="182" t="n">
        <v>0</v>
      </c>
      <c r="V6350" s="182" t="n">
        <v>0</v>
      </c>
      <c r="W6350" s="182" t="n">
        <v>0</v>
      </c>
      <c r="X6350" s="182" t="n">
        <v>1.07</v>
      </c>
      <c r="Y6350" s="182" t="n">
        <v>0</v>
      </c>
      <c r="Z6350" s="182" t="n">
        <v>0</v>
      </c>
      <c r="AA6350" s="182" t="n">
        <v>0</v>
      </c>
      <c r="AB6350" s="182" t="n">
        <v>0</v>
      </c>
      <c r="AC6350" s="182" t="n">
        <v>0</v>
      </c>
      <c r="AD6350" s="182" t="n">
        <v>0</v>
      </c>
      <c r="AE6350" s="182" t="n">
        <v>0</v>
      </c>
      <c r="AF6350" s="182" t="n">
        <v>0</v>
      </c>
      <c r="AG6350" s="182" t="n">
        <v>1.06</v>
      </c>
      <c r="AH6350" s="182" t="n">
        <v>1.06</v>
      </c>
      <c r="AI6350" s="182" t="n">
        <v>0</v>
      </c>
      <c r="AJ6350" s="182" t="n">
        <v>0</v>
      </c>
      <c r="AK6350" s="182" t="n">
        <v>0</v>
      </c>
      <c r="AL6350" s="182" t="n">
        <v>0</v>
      </c>
      <c r="AM6350" s="182" t="n">
        <v>0.09</v>
      </c>
      <c r="AN6350" s="182" t="n">
        <v>0</v>
      </c>
    </row>
    <row r="6351">
      <c r="A6351" s="155" t="n">
        <v>46110</v>
      </c>
      <c r="B6351" s="156" t="inlineStr">
        <is>
          <t>NS</t>
        </is>
      </c>
      <c r="C6351" s="156" t="inlineStr">
        <is>
          <t>DT-527</t>
        </is>
      </c>
      <c r="D6351" s="156" t="inlineStr">
        <is>
          <t>SKT 105S</t>
        </is>
      </c>
      <c r="E6351" s="156" t="inlineStr">
        <is>
          <t>Hauler</t>
        </is>
      </c>
      <c r="F6351" s="156" t="inlineStr"/>
      <c r="G6351" s="182" t="n">
        <v>0</v>
      </c>
      <c r="H6351" s="182" t="n">
        <v>12</v>
      </c>
      <c r="I6351" s="182" t="n">
        <v>0</v>
      </c>
      <c r="J6351" s="182" t="n">
        <v>12</v>
      </c>
      <c r="K6351" s="182" t="n">
        <v>0</v>
      </c>
      <c r="L6351" s="182" t="n">
        <v>12</v>
      </c>
      <c r="M6351" s="182" t="n">
        <v>0</v>
      </c>
      <c r="N6351" s="182" t="n">
        <v>0</v>
      </c>
      <c r="O6351" s="183" t="n">
        <v>0</v>
      </c>
      <c r="P6351" s="183" t="n">
        <v>0</v>
      </c>
      <c r="Q6351" s="184" t="n">
        <v>0</v>
      </c>
      <c r="R6351" s="184" t="n">
        <v>0</v>
      </c>
      <c r="S6351" s="183" t="n">
        <v>0</v>
      </c>
      <c r="T6351" s="183" t="n">
        <v>0</v>
      </c>
      <c r="U6351" s="182" t="n">
        <v>0</v>
      </c>
      <c r="V6351" s="182" t="n">
        <v>0</v>
      </c>
      <c r="W6351" s="182" t="n">
        <v>0</v>
      </c>
      <c r="X6351" s="182" t="n">
        <v>0</v>
      </c>
      <c r="Y6351" s="182" t="n">
        <v>0</v>
      </c>
      <c r="Z6351" s="182" t="n">
        <v>0</v>
      </c>
      <c r="AA6351" s="182" t="n">
        <v>0</v>
      </c>
      <c r="AB6351" s="182" t="n">
        <v>0</v>
      </c>
      <c r="AC6351" s="182" t="n">
        <v>0</v>
      </c>
      <c r="AD6351" s="182" t="n">
        <v>0</v>
      </c>
      <c r="AE6351" s="182" t="n">
        <v>0</v>
      </c>
      <c r="AF6351" s="182" t="n">
        <v>0</v>
      </c>
      <c r="AG6351" s="182" t="n">
        <v>0</v>
      </c>
      <c r="AH6351" s="182" t="n">
        <v>0</v>
      </c>
      <c r="AI6351" s="182" t="n">
        <v>0</v>
      </c>
      <c r="AJ6351" s="182" t="n">
        <v>0</v>
      </c>
      <c r="AK6351" s="182" t="n">
        <v>0</v>
      </c>
      <c r="AL6351" s="182" t="n">
        <v>0</v>
      </c>
      <c r="AM6351" s="182" t="n">
        <v>0</v>
      </c>
      <c r="AN6351" s="182" t="n">
        <v>0</v>
      </c>
    </row>
    <row r="6352">
      <c r="A6352" s="155" t="n">
        <v>46110</v>
      </c>
      <c r="B6352" s="156" t="inlineStr">
        <is>
          <t>NS</t>
        </is>
      </c>
      <c r="C6352" s="156" t="inlineStr">
        <is>
          <t>DT-513</t>
        </is>
      </c>
      <c r="D6352" s="156" t="inlineStr">
        <is>
          <t>SKT 105S</t>
        </is>
      </c>
      <c r="E6352" s="156" t="inlineStr">
        <is>
          <t>Hauler</t>
        </is>
      </c>
      <c r="F6352" s="156" t="inlineStr">
        <is>
          <t>Timesheet Kosong</t>
        </is>
      </c>
      <c r="G6352" s="182" t="n">
        <v>1.66</v>
      </c>
      <c r="H6352" s="182" t="n">
        <v>0</v>
      </c>
      <c r="I6352" s="182" t="n">
        <v>10.1</v>
      </c>
      <c r="J6352" s="182" t="n">
        <v>10.1</v>
      </c>
      <c r="K6352" s="182" t="n">
        <v>0.24</v>
      </c>
      <c r="L6352" s="182" t="n">
        <v>12</v>
      </c>
      <c r="M6352" s="182" t="n">
        <v>0</v>
      </c>
      <c r="N6352" s="182" t="n">
        <v>0</v>
      </c>
      <c r="O6352" s="183" t="n">
        <v>0</v>
      </c>
      <c r="P6352" s="183" t="n">
        <v>0</v>
      </c>
      <c r="Q6352" s="184" t="n">
        <v>0</v>
      </c>
      <c r="R6352" s="184" t="n">
        <v>0</v>
      </c>
      <c r="S6352" s="183" t="n">
        <v>0</v>
      </c>
      <c r="T6352" s="183" t="n">
        <v>0</v>
      </c>
      <c r="U6352" s="182" t="n">
        <v>0</v>
      </c>
      <c r="V6352" s="182" t="n">
        <v>0</v>
      </c>
      <c r="W6352" s="182" t="n">
        <v>0</v>
      </c>
      <c r="X6352" s="182" t="n">
        <v>0</v>
      </c>
      <c r="Y6352" s="182" t="n">
        <v>0</v>
      </c>
      <c r="Z6352" s="182" t="n">
        <v>0</v>
      </c>
      <c r="AA6352" s="182" t="n">
        <v>0</v>
      </c>
      <c r="AB6352" s="182" t="n">
        <v>0</v>
      </c>
      <c r="AC6352" s="182" t="n">
        <v>0</v>
      </c>
      <c r="AD6352" s="182" t="n">
        <v>0</v>
      </c>
      <c r="AE6352" s="182" t="n">
        <v>0</v>
      </c>
      <c r="AF6352" s="182" t="n">
        <v>0</v>
      </c>
      <c r="AG6352" s="182" t="n">
        <v>0</v>
      </c>
      <c r="AH6352" s="182" t="n">
        <v>0</v>
      </c>
      <c r="AI6352" s="182" t="n">
        <v>0</v>
      </c>
      <c r="AJ6352" s="182" t="n">
        <v>0</v>
      </c>
      <c r="AK6352" s="182" t="n">
        <v>0</v>
      </c>
      <c r="AL6352" s="182" t="n">
        <v>0</v>
      </c>
      <c r="AM6352" s="182" t="n">
        <v>0</v>
      </c>
      <c r="AN6352" s="182" t="n">
        <v>0</v>
      </c>
    </row>
    <row r="6353">
      <c r="A6353" s="155" t="n">
        <v>46110</v>
      </c>
      <c r="B6353" s="156" t="inlineStr">
        <is>
          <t>NS</t>
        </is>
      </c>
      <c r="C6353" s="156" t="inlineStr">
        <is>
          <t>DT-512</t>
        </is>
      </c>
      <c r="D6353" s="156" t="inlineStr">
        <is>
          <t>SKT 105S</t>
        </is>
      </c>
      <c r="E6353" s="156" t="inlineStr">
        <is>
          <t>Hauler</t>
        </is>
      </c>
      <c r="F6353" s="156" t="inlineStr">
        <is>
          <t>Hauling OB &amp; Coal</t>
        </is>
      </c>
      <c r="G6353" s="182" t="n">
        <v>7.23</v>
      </c>
      <c r="H6353" s="182" t="n">
        <v>0</v>
      </c>
      <c r="I6353" s="182" t="n">
        <v>0.33</v>
      </c>
      <c r="J6353" s="182" t="n">
        <v>0.33</v>
      </c>
      <c r="K6353" s="182" t="n">
        <v>4.44</v>
      </c>
      <c r="L6353" s="182" t="n">
        <v>12</v>
      </c>
      <c r="M6353" s="182" t="n">
        <v>4.34</v>
      </c>
      <c r="N6353" s="182" t="n">
        <v>2.89</v>
      </c>
      <c r="O6353" s="183" t="n">
        <v>17</v>
      </c>
      <c r="P6353" s="183" t="n">
        <v>7</v>
      </c>
      <c r="Q6353" s="184" t="n">
        <v>346.8</v>
      </c>
      <c r="R6353" s="184" t="n">
        <v>130.9</v>
      </c>
      <c r="S6353" s="183" t="n">
        <v>0</v>
      </c>
      <c r="T6353" s="183" t="n">
        <v>0</v>
      </c>
      <c r="U6353" s="182" t="n">
        <v>0</v>
      </c>
      <c r="V6353" s="182" t="n">
        <v>0</v>
      </c>
      <c r="W6353" s="182" t="n">
        <v>0</v>
      </c>
      <c r="X6353" s="182" t="n">
        <v>1.06</v>
      </c>
      <c r="Y6353" s="182" t="n">
        <v>0</v>
      </c>
      <c r="Z6353" s="182" t="n">
        <v>0</v>
      </c>
      <c r="AA6353" s="182" t="n">
        <v>0</v>
      </c>
      <c r="AB6353" s="182" t="n">
        <v>0</v>
      </c>
      <c r="AC6353" s="182" t="n">
        <v>0</v>
      </c>
      <c r="AD6353" s="182" t="n">
        <v>0</v>
      </c>
      <c r="AE6353" s="182" t="n">
        <v>0</v>
      </c>
      <c r="AF6353" s="182" t="n">
        <v>0</v>
      </c>
      <c r="AG6353" s="182" t="n">
        <v>0</v>
      </c>
      <c r="AH6353" s="182" t="n">
        <v>0</v>
      </c>
      <c r="AI6353" s="182" t="n">
        <v>3.28</v>
      </c>
      <c r="AJ6353" s="182" t="n">
        <v>0</v>
      </c>
      <c r="AK6353" s="182" t="n">
        <v>0</v>
      </c>
      <c r="AL6353" s="182" t="n">
        <v>0</v>
      </c>
      <c r="AM6353" s="182" t="n">
        <v>0.09</v>
      </c>
      <c r="AN6353" s="182" t="n">
        <v>0</v>
      </c>
    </row>
    <row r="6354">
      <c r="A6354" s="155" t="n">
        <v>46110</v>
      </c>
      <c r="B6354" s="156" t="inlineStr">
        <is>
          <t>NS</t>
        </is>
      </c>
      <c r="C6354" s="156" t="inlineStr">
        <is>
          <t>DT-522</t>
        </is>
      </c>
      <c r="D6354" s="156" t="inlineStr">
        <is>
          <t>SKT 105S</t>
        </is>
      </c>
      <c r="E6354" s="156" t="inlineStr">
        <is>
          <t>Hauler</t>
        </is>
      </c>
      <c r="F6354" s="156" t="inlineStr">
        <is>
          <t>Hauling OB</t>
        </is>
      </c>
      <c r="G6354" s="182" t="n">
        <v>10.34</v>
      </c>
      <c r="H6354" s="182" t="n">
        <v>0</v>
      </c>
      <c r="I6354" s="182" t="n">
        <v>0</v>
      </c>
      <c r="J6354" s="182" t="n">
        <v>0</v>
      </c>
      <c r="K6354" s="182" t="n">
        <v>1.66</v>
      </c>
      <c r="L6354" s="182" t="n">
        <v>12</v>
      </c>
      <c r="M6354" s="182" t="n">
        <v>10.34</v>
      </c>
      <c r="N6354" s="182" t="n">
        <v>0</v>
      </c>
      <c r="O6354" s="183" t="n">
        <v>42</v>
      </c>
      <c r="P6354" s="183" t="n">
        <v>0</v>
      </c>
      <c r="Q6354" s="184" t="n">
        <v>856.8</v>
      </c>
      <c r="R6354" s="184" t="n">
        <v>0</v>
      </c>
      <c r="S6354" s="183" t="n">
        <v>0</v>
      </c>
      <c r="T6354" s="183" t="n">
        <v>0</v>
      </c>
      <c r="U6354" s="182" t="n">
        <v>0</v>
      </c>
      <c r="V6354" s="182" t="n">
        <v>0</v>
      </c>
      <c r="W6354" s="182" t="n">
        <v>0</v>
      </c>
      <c r="X6354" s="182" t="n">
        <v>1.28</v>
      </c>
      <c r="Y6354" s="182" t="n">
        <v>0</v>
      </c>
      <c r="Z6354" s="182" t="n">
        <v>0</v>
      </c>
      <c r="AA6354" s="182" t="n">
        <v>0</v>
      </c>
      <c r="AB6354" s="182" t="n">
        <v>0</v>
      </c>
      <c r="AC6354" s="182" t="n">
        <v>0</v>
      </c>
      <c r="AD6354" s="182" t="n">
        <v>0</v>
      </c>
      <c r="AE6354" s="182" t="n">
        <v>0</v>
      </c>
      <c r="AF6354" s="182" t="n">
        <v>0</v>
      </c>
      <c r="AG6354" s="182" t="n">
        <v>0</v>
      </c>
      <c r="AH6354" s="182" t="n">
        <v>0.28</v>
      </c>
      <c r="AI6354" s="182" t="n">
        <v>0</v>
      </c>
      <c r="AJ6354" s="182" t="n">
        <v>0</v>
      </c>
      <c r="AK6354" s="182" t="n">
        <v>0</v>
      </c>
      <c r="AL6354" s="182" t="n">
        <v>0</v>
      </c>
      <c r="AM6354" s="182" t="n">
        <v>0.1</v>
      </c>
      <c r="AN6354" s="182" t="n">
        <v>0</v>
      </c>
    </row>
    <row r="6355">
      <c r="A6355" s="155" t="n">
        <v>46110</v>
      </c>
      <c r="B6355" s="156" t="inlineStr">
        <is>
          <t>NS</t>
        </is>
      </c>
      <c r="C6355" s="156" t="inlineStr">
        <is>
          <t>DT-517</t>
        </is>
      </c>
      <c r="D6355" s="156" t="inlineStr">
        <is>
          <t>SKT 105S</t>
        </is>
      </c>
      <c r="E6355" s="156" t="inlineStr">
        <is>
          <t>Hauler</t>
        </is>
      </c>
      <c r="F6355" s="156" t="inlineStr">
        <is>
          <t>Hauling OB</t>
        </is>
      </c>
      <c r="G6355" s="182" t="n">
        <v>10.52</v>
      </c>
      <c r="H6355" s="182" t="n">
        <v>0</v>
      </c>
      <c r="I6355" s="182" t="n">
        <v>0</v>
      </c>
      <c r="J6355" s="182" t="n">
        <v>0</v>
      </c>
      <c r="K6355" s="182" t="n">
        <v>1.48</v>
      </c>
      <c r="L6355" s="182" t="n">
        <v>12</v>
      </c>
      <c r="M6355" s="182" t="n">
        <v>10.52</v>
      </c>
      <c r="N6355" s="182" t="n">
        <v>0</v>
      </c>
      <c r="O6355" s="183" t="n">
        <v>49</v>
      </c>
      <c r="P6355" s="183" t="n">
        <v>0</v>
      </c>
      <c r="Q6355" s="184" t="n">
        <v>999.6</v>
      </c>
      <c r="R6355" s="184" t="n">
        <v>0</v>
      </c>
      <c r="S6355" s="183" t="n">
        <v>0</v>
      </c>
      <c r="T6355" s="183" t="n">
        <v>0</v>
      </c>
      <c r="U6355" s="182" t="n">
        <v>0</v>
      </c>
      <c r="V6355" s="182" t="n">
        <v>0</v>
      </c>
      <c r="W6355" s="182" t="n">
        <v>0</v>
      </c>
      <c r="X6355" s="182" t="n">
        <v>0.99</v>
      </c>
      <c r="Y6355" s="182" t="n">
        <v>0</v>
      </c>
      <c r="Z6355" s="182" t="n">
        <v>0</v>
      </c>
      <c r="AA6355" s="182" t="n">
        <v>0</v>
      </c>
      <c r="AB6355" s="182" t="n">
        <v>0</v>
      </c>
      <c r="AC6355" s="182" t="n">
        <v>0</v>
      </c>
      <c r="AD6355" s="182" t="n">
        <v>0</v>
      </c>
      <c r="AE6355" s="182" t="n">
        <v>0</v>
      </c>
      <c r="AF6355" s="182" t="n">
        <v>0</v>
      </c>
      <c r="AG6355" s="182" t="n">
        <v>0</v>
      </c>
      <c r="AH6355" s="182" t="n">
        <v>0.41</v>
      </c>
      <c r="AI6355" s="182" t="n">
        <v>0</v>
      </c>
      <c r="AJ6355" s="182" t="n">
        <v>0</v>
      </c>
      <c r="AK6355" s="182" t="n">
        <v>0</v>
      </c>
      <c r="AL6355" s="182" t="n">
        <v>0</v>
      </c>
      <c r="AM6355" s="182" t="n">
        <v>0.08</v>
      </c>
      <c r="AN6355" s="182" t="n">
        <v>0</v>
      </c>
    </row>
    <row r="6356">
      <c r="A6356" s="155" t="n">
        <v>46110</v>
      </c>
      <c r="B6356" s="156" t="inlineStr">
        <is>
          <t>NS</t>
        </is>
      </c>
      <c r="C6356" s="156" t="inlineStr">
        <is>
          <t>DT-510</t>
        </is>
      </c>
      <c r="D6356" s="156" t="inlineStr">
        <is>
          <t>SKT 105S</t>
        </is>
      </c>
      <c r="E6356" s="156" t="inlineStr">
        <is>
          <t>Hauler</t>
        </is>
      </c>
      <c r="F6356" s="156" t="inlineStr"/>
      <c r="G6356" s="182" t="n">
        <v>0</v>
      </c>
      <c r="H6356" s="182" t="n">
        <v>0</v>
      </c>
      <c r="I6356" s="182" t="n">
        <v>12</v>
      </c>
      <c r="J6356" s="182" t="n">
        <v>12</v>
      </c>
      <c r="K6356" s="182" t="n">
        <v>0</v>
      </c>
      <c r="L6356" s="182" t="n">
        <v>12</v>
      </c>
      <c r="M6356" s="182" t="n">
        <v>0</v>
      </c>
      <c r="N6356" s="182" t="n">
        <v>0</v>
      </c>
      <c r="O6356" s="183" t="n">
        <v>0</v>
      </c>
      <c r="P6356" s="183" t="n">
        <v>0</v>
      </c>
      <c r="Q6356" s="184" t="n">
        <v>0</v>
      </c>
      <c r="R6356" s="184" t="n">
        <v>0</v>
      </c>
      <c r="S6356" s="183" t="n">
        <v>0</v>
      </c>
      <c r="T6356" s="183" t="n">
        <v>0</v>
      </c>
      <c r="U6356" s="182" t="n">
        <v>0</v>
      </c>
      <c r="V6356" s="182" t="n">
        <v>0</v>
      </c>
      <c r="W6356" s="182" t="n">
        <v>0</v>
      </c>
      <c r="X6356" s="182" t="n">
        <v>0</v>
      </c>
      <c r="Y6356" s="182" t="n">
        <v>0</v>
      </c>
      <c r="Z6356" s="182" t="n">
        <v>0</v>
      </c>
      <c r="AA6356" s="182" t="n">
        <v>0</v>
      </c>
      <c r="AB6356" s="182" t="n">
        <v>0</v>
      </c>
      <c r="AC6356" s="182" t="n">
        <v>0</v>
      </c>
      <c r="AD6356" s="182" t="n">
        <v>0</v>
      </c>
      <c r="AE6356" s="182" t="n">
        <v>0</v>
      </c>
      <c r="AF6356" s="182" t="n">
        <v>0</v>
      </c>
      <c r="AG6356" s="182" t="n">
        <v>0</v>
      </c>
      <c r="AH6356" s="182" t="n">
        <v>0</v>
      </c>
      <c r="AI6356" s="182" t="n">
        <v>0</v>
      </c>
      <c r="AJ6356" s="182" t="n">
        <v>0</v>
      </c>
      <c r="AK6356" s="182" t="n">
        <v>0</v>
      </c>
      <c r="AL6356" s="182" t="n">
        <v>0</v>
      </c>
      <c r="AM6356" s="182" t="n">
        <v>0</v>
      </c>
      <c r="AN6356" s="182" t="n">
        <v>0</v>
      </c>
    </row>
    <row r="6357">
      <c r="A6357" s="155" t="n">
        <v>46110</v>
      </c>
      <c r="B6357" s="156" t="inlineStr">
        <is>
          <t>NS</t>
        </is>
      </c>
      <c r="C6357" s="156" t="inlineStr">
        <is>
          <t>DT-521</t>
        </is>
      </c>
      <c r="D6357" s="156" t="inlineStr">
        <is>
          <t>SKT 105S</t>
        </is>
      </c>
      <c r="E6357" s="156" t="inlineStr">
        <is>
          <t>Hauler</t>
        </is>
      </c>
      <c r="F6357" s="156" t="inlineStr"/>
      <c r="G6357" s="182" t="n">
        <v>0</v>
      </c>
      <c r="H6357" s="182" t="n">
        <v>0</v>
      </c>
      <c r="I6357" s="182" t="n">
        <v>12</v>
      </c>
      <c r="J6357" s="182" t="n">
        <v>12</v>
      </c>
      <c r="K6357" s="182" t="n">
        <v>0</v>
      </c>
      <c r="L6357" s="182" t="n">
        <v>12</v>
      </c>
      <c r="M6357" s="182" t="n">
        <v>0</v>
      </c>
      <c r="N6357" s="182" t="n">
        <v>0</v>
      </c>
      <c r="O6357" s="183" t="n">
        <v>0</v>
      </c>
      <c r="P6357" s="183" t="n">
        <v>0</v>
      </c>
      <c r="Q6357" s="184" t="n">
        <v>0</v>
      </c>
      <c r="R6357" s="184" t="n">
        <v>0</v>
      </c>
      <c r="S6357" s="183" t="n">
        <v>0</v>
      </c>
      <c r="T6357" s="183" t="n">
        <v>0</v>
      </c>
      <c r="U6357" s="182" t="n">
        <v>0</v>
      </c>
      <c r="V6357" s="182" t="n">
        <v>0</v>
      </c>
      <c r="W6357" s="182" t="n">
        <v>0</v>
      </c>
      <c r="X6357" s="182" t="n">
        <v>0</v>
      </c>
      <c r="Y6357" s="182" t="n">
        <v>0</v>
      </c>
      <c r="Z6357" s="182" t="n">
        <v>0</v>
      </c>
      <c r="AA6357" s="182" t="n">
        <v>0</v>
      </c>
      <c r="AB6357" s="182" t="n">
        <v>0</v>
      </c>
      <c r="AC6357" s="182" t="n">
        <v>0</v>
      </c>
      <c r="AD6357" s="182" t="n">
        <v>0</v>
      </c>
      <c r="AE6357" s="182" t="n">
        <v>0</v>
      </c>
      <c r="AF6357" s="182" t="n">
        <v>0</v>
      </c>
      <c r="AG6357" s="182" t="n">
        <v>0</v>
      </c>
      <c r="AH6357" s="182" t="n">
        <v>0</v>
      </c>
      <c r="AI6357" s="182" t="n">
        <v>0</v>
      </c>
      <c r="AJ6357" s="182" t="n">
        <v>0</v>
      </c>
      <c r="AK6357" s="182" t="n">
        <v>0</v>
      </c>
      <c r="AL6357" s="182" t="n">
        <v>0</v>
      </c>
      <c r="AM6357" s="182" t="n">
        <v>0</v>
      </c>
      <c r="AN6357" s="182" t="n">
        <v>0</v>
      </c>
    </row>
    <row r="6358">
      <c r="A6358" s="155" t="n">
        <v>46110</v>
      </c>
      <c r="B6358" s="156" t="inlineStr">
        <is>
          <t>NS</t>
        </is>
      </c>
      <c r="C6358" s="156" t="inlineStr">
        <is>
          <t>DT-516</t>
        </is>
      </c>
      <c r="D6358" s="156" t="inlineStr">
        <is>
          <t>SKT 105S</t>
        </is>
      </c>
      <c r="E6358" s="156" t="inlineStr">
        <is>
          <t>Hauler</t>
        </is>
      </c>
      <c r="F6358" s="156" t="inlineStr">
        <is>
          <t>Hauling OB</t>
        </is>
      </c>
      <c r="G6358" s="182" t="n">
        <v>10.76</v>
      </c>
      <c r="H6358" s="182" t="n">
        <v>0</v>
      </c>
      <c r="I6358" s="182" t="n">
        <v>0</v>
      </c>
      <c r="J6358" s="182" t="n">
        <v>0</v>
      </c>
      <c r="K6358" s="182" t="n">
        <v>1.24</v>
      </c>
      <c r="L6358" s="182" t="n">
        <v>12</v>
      </c>
      <c r="M6358" s="182" t="n">
        <v>10.59</v>
      </c>
      <c r="N6358" s="182" t="n">
        <v>0</v>
      </c>
      <c r="O6358" s="183" t="n">
        <v>38</v>
      </c>
      <c r="P6358" s="183" t="n">
        <v>0</v>
      </c>
      <c r="Q6358" s="184" t="n">
        <v>775.2</v>
      </c>
      <c r="R6358" s="184" t="n">
        <v>0</v>
      </c>
      <c r="S6358" s="183" t="n">
        <v>0</v>
      </c>
      <c r="T6358" s="183" t="n">
        <v>0</v>
      </c>
      <c r="U6358" s="182" t="n">
        <v>0</v>
      </c>
      <c r="V6358" s="182" t="n">
        <v>0</v>
      </c>
      <c r="W6358" s="182" t="n">
        <v>0</v>
      </c>
      <c r="X6358" s="182" t="n">
        <v>0.89</v>
      </c>
      <c r="Y6358" s="182" t="n">
        <v>0</v>
      </c>
      <c r="Z6358" s="182" t="n">
        <v>0</v>
      </c>
      <c r="AA6358" s="182" t="n">
        <v>0</v>
      </c>
      <c r="AB6358" s="182" t="n">
        <v>0</v>
      </c>
      <c r="AC6358" s="182" t="n">
        <v>0</v>
      </c>
      <c r="AD6358" s="182" t="n">
        <v>0</v>
      </c>
      <c r="AE6358" s="182" t="n">
        <v>0</v>
      </c>
      <c r="AF6358" s="182" t="n">
        <v>0</v>
      </c>
      <c r="AG6358" s="182" t="n">
        <v>0</v>
      </c>
      <c r="AH6358" s="182" t="n">
        <v>0.28</v>
      </c>
      <c r="AI6358" s="182" t="n">
        <v>0</v>
      </c>
      <c r="AJ6358" s="182" t="n">
        <v>0</v>
      </c>
      <c r="AK6358" s="182" t="n">
        <v>0</v>
      </c>
      <c r="AL6358" s="182" t="n">
        <v>0</v>
      </c>
      <c r="AM6358" s="182" t="n">
        <v>0.07000000000000001</v>
      </c>
      <c r="AN6358" s="182" t="n">
        <v>0</v>
      </c>
    </row>
    <row r="6359">
      <c r="A6359" s="155" t="n">
        <v>46110</v>
      </c>
      <c r="B6359" s="156" t="inlineStr">
        <is>
          <t>NS</t>
        </is>
      </c>
      <c r="C6359" s="156" t="inlineStr">
        <is>
          <t>DT-506</t>
        </is>
      </c>
      <c r="D6359" s="156" t="inlineStr">
        <is>
          <t>SKT 105S</t>
        </is>
      </c>
      <c r="E6359" s="156" t="inlineStr">
        <is>
          <t>Hauler</t>
        </is>
      </c>
      <c r="F6359" s="156" t="inlineStr">
        <is>
          <t>Hauling OB &amp; Coal</t>
        </is>
      </c>
      <c r="G6359" s="182" t="n">
        <v>5</v>
      </c>
      <c r="H6359" s="182" t="n">
        <v>0</v>
      </c>
      <c r="I6359" s="182" t="n">
        <v>4.17</v>
      </c>
      <c r="J6359" s="182" t="n">
        <v>4.17</v>
      </c>
      <c r="K6359" s="182" t="n">
        <v>2.83</v>
      </c>
      <c r="L6359" s="182" t="n">
        <v>12</v>
      </c>
      <c r="M6359" s="182" t="n">
        <v>1.02</v>
      </c>
      <c r="N6359" s="182" t="n">
        <v>3.98</v>
      </c>
      <c r="O6359" s="183" t="n">
        <v>4</v>
      </c>
      <c r="P6359" s="183" t="n">
        <v>16</v>
      </c>
      <c r="Q6359" s="184" t="n">
        <v>81.59999999999999</v>
      </c>
      <c r="R6359" s="184" t="n">
        <v>299.2</v>
      </c>
      <c r="S6359" s="183" t="n">
        <v>0</v>
      </c>
      <c r="T6359" s="183" t="n">
        <v>0</v>
      </c>
      <c r="U6359" s="182" t="n">
        <v>0</v>
      </c>
      <c r="V6359" s="182" t="n">
        <v>0</v>
      </c>
      <c r="W6359" s="182" t="n">
        <v>0</v>
      </c>
      <c r="X6359" s="182" t="n">
        <v>0.97</v>
      </c>
      <c r="Y6359" s="182" t="n">
        <v>0</v>
      </c>
      <c r="Z6359" s="182" t="n">
        <v>0</v>
      </c>
      <c r="AA6359" s="182" t="n">
        <v>0</v>
      </c>
      <c r="AB6359" s="182" t="n">
        <v>0</v>
      </c>
      <c r="AC6359" s="182" t="n">
        <v>0</v>
      </c>
      <c r="AD6359" s="182" t="n">
        <v>0</v>
      </c>
      <c r="AE6359" s="182" t="n">
        <v>0</v>
      </c>
      <c r="AF6359" s="182" t="n">
        <v>0</v>
      </c>
      <c r="AG6359" s="182" t="n">
        <v>0.91</v>
      </c>
      <c r="AH6359" s="182" t="n">
        <v>0.88</v>
      </c>
      <c r="AI6359" s="182" t="n">
        <v>0</v>
      </c>
      <c r="AJ6359" s="182" t="n">
        <v>0</v>
      </c>
      <c r="AK6359" s="182" t="n">
        <v>0</v>
      </c>
      <c r="AL6359" s="182" t="n">
        <v>0</v>
      </c>
      <c r="AM6359" s="182" t="n">
        <v>0.08</v>
      </c>
      <c r="AN6359" s="182" t="n">
        <v>0</v>
      </c>
    </row>
    <row r="6360">
      <c r="A6360" s="155" t="n">
        <v>46110</v>
      </c>
      <c r="B6360" s="156" t="inlineStr">
        <is>
          <t>NS</t>
        </is>
      </c>
      <c r="C6360" s="156" t="inlineStr">
        <is>
          <t>DT-502</t>
        </is>
      </c>
      <c r="D6360" s="156" t="inlineStr">
        <is>
          <t>SKT 105S</t>
        </is>
      </c>
      <c r="E6360" s="156" t="inlineStr">
        <is>
          <t>Hauler</t>
        </is>
      </c>
      <c r="F6360" s="156" t="inlineStr">
        <is>
          <t>Hauling OB &amp; Coal</t>
        </is>
      </c>
      <c r="G6360" s="182" t="n">
        <v>10.46</v>
      </c>
      <c r="H6360" s="182" t="n">
        <v>0</v>
      </c>
      <c r="I6360" s="182" t="n">
        <v>0</v>
      </c>
      <c r="J6360" s="182" t="n">
        <v>0</v>
      </c>
      <c r="K6360" s="182" t="n">
        <v>1.54</v>
      </c>
      <c r="L6360" s="182" t="n">
        <v>12</v>
      </c>
      <c r="M6360" s="182" t="n">
        <v>6.47</v>
      </c>
      <c r="N6360" s="182" t="n">
        <v>3.99</v>
      </c>
      <c r="O6360" s="183" t="n">
        <v>25</v>
      </c>
      <c r="P6360" s="183" t="n">
        <v>11</v>
      </c>
      <c r="Q6360" s="184" t="n">
        <v>510</v>
      </c>
      <c r="R6360" s="184" t="n">
        <v>205.7</v>
      </c>
      <c r="S6360" s="183" t="n">
        <v>0</v>
      </c>
      <c r="T6360" s="183" t="n">
        <v>0</v>
      </c>
      <c r="U6360" s="182" t="n">
        <v>0</v>
      </c>
      <c r="V6360" s="182" t="n">
        <v>0</v>
      </c>
      <c r="W6360" s="182" t="n">
        <v>0</v>
      </c>
      <c r="X6360" s="182" t="n">
        <v>1.02</v>
      </c>
      <c r="Y6360" s="182" t="n">
        <v>0</v>
      </c>
      <c r="Z6360" s="182" t="n">
        <v>0</v>
      </c>
      <c r="AA6360" s="182" t="n">
        <v>0</v>
      </c>
      <c r="AB6360" s="182" t="n">
        <v>0</v>
      </c>
      <c r="AC6360" s="182" t="n">
        <v>0</v>
      </c>
      <c r="AD6360" s="182" t="n">
        <v>0</v>
      </c>
      <c r="AE6360" s="182" t="n">
        <v>0</v>
      </c>
      <c r="AF6360" s="182" t="n">
        <v>0</v>
      </c>
      <c r="AG6360" s="182" t="n">
        <v>0</v>
      </c>
      <c r="AH6360" s="182" t="n">
        <v>0.44</v>
      </c>
      <c r="AI6360" s="182" t="n">
        <v>0</v>
      </c>
      <c r="AJ6360" s="182" t="n">
        <v>0</v>
      </c>
      <c r="AK6360" s="182" t="n">
        <v>0</v>
      </c>
      <c r="AL6360" s="182" t="n">
        <v>0</v>
      </c>
      <c r="AM6360" s="182" t="n">
        <v>0.08</v>
      </c>
      <c r="AN6360" s="182" t="n">
        <v>0</v>
      </c>
    </row>
    <row r="6361">
      <c r="A6361" s="155" t="n">
        <v>46110</v>
      </c>
      <c r="B6361" s="156" t="inlineStr">
        <is>
          <t>NS</t>
        </is>
      </c>
      <c r="C6361" s="156" t="inlineStr">
        <is>
          <t>DT-528</t>
        </is>
      </c>
      <c r="D6361" s="156" t="inlineStr">
        <is>
          <t>SKT 105S</t>
        </is>
      </c>
      <c r="E6361" s="156" t="inlineStr">
        <is>
          <t>Hauler</t>
        </is>
      </c>
      <c r="F6361" s="156" t="inlineStr">
        <is>
          <t>Hauling OB &amp; Coal</t>
        </is>
      </c>
      <c r="G6361" s="182" t="n">
        <v>10.74</v>
      </c>
      <c r="H6361" s="182" t="n">
        <v>0</v>
      </c>
      <c r="I6361" s="182" t="n">
        <v>0</v>
      </c>
      <c r="J6361" s="182" t="n">
        <v>0</v>
      </c>
      <c r="K6361" s="182" t="n">
        <v>1.26</v>
      </c>
      <c r="L6361" s="182" t="n">
        <v>12</v>
      </c>
      <c r="M6361" s="182" t="n">
        <v>6.57</v>
      </c>
      <c r="N6361" s="182" t="n">
        <v>4.17</v>
      </c>
      <c r="O6361" s="183" t="n">
        <v>25</v>
      </c>
      <c r="P6361" s="183" t="n">
        <v>11</v>
      </c>
      <c r="Q6361" s="184" t="n">
        <v>510</v>
      </c>
      <c r="R6361" s="184" t="n">
        <v>205.7</v>
      </c>
      <c r="S6361" s="183" t="n">
        <v>0</v>
      </c>
      <c r="T6361" s="183" t="n">
        <v>0</v>
      </c>
      <c r="U6361" s="182" t="n">
        <v>0</v>
      </c>
      <c r="V6361" s="182" t="n">
        <v>0</v>
      </c>
      <c r="W6361" s="182" t="n">
        <v>0</v>
      </c>
      <c r="X6361" s="182" t="n">
        <v>0.74</v>
      </c>
      <c r="Y6361" s="182" t="n">
        <v>0</v>
      </c>
      <c r="Z6361" s="182" t="n">
        <v>0</v>
      </c>
      <c r="AA6361" s="182" t="n">
        <v>0</v>
      </c>
      <c r="AB6361" s="182" t="n">
        <v>0</v>
      </c>
      <c r="AC6361" s="182" t="n">
        <v>0</v>
      </c>
      <c r="AD6361" s="182" t="n">
        <v>0</v>
      </c>
      <c r="AE6361" s="182" t="n">
        <v>0</v>
      </c>
      <c r="AF6361" s="182" t="n">
        <v>0</v>
      </c>
      <c r="AG6361" s="182" t="n">
        <v>0</v>
      </c>
      <c r="AH6361" s="182" t="n">
        <v>0.46</v>
      </c>
      <c r="AI6361" s="182" t="n">
        <v>0</v>
      </c>
      <c r="AJ6361" s="182" t="n">
        <v>0</v>
      </c>
      <c r="AK6361" s="182" t="n">
        <v>0</v>
      </c>
      <c r="AL6361" s="182" t="n">
        <v>0</v>
      </c>
      <c r="AM6361" s="182" t="n">
        <v>0.06</v>
      </c>
      <c r="AN6361" s="182" t="n">
        <v>0</v>
      </c>
    </row>
    <row r="6362">
      <c r="A6362" s="155" t="n">
        <v>46110</v>
      </c>
      <c r="B6362" s="156" t="inlineStr">
        <is>
          <t>NS</t>
        </is>
      </c>
      <c r="C6362" s="156" t="inlineStr">
        <is>
          <t>DT-529</t>
        </is>
      </c>
      <c r="D6362" s="156" t="inlineStr">
        <is>
          <t>SKT 105S</t>
        </is>
      </c>
      <c r="E6362" s="156" t="inlineStr">
        <is>
          <t>Hauler</t>
        </is>
      </c>
      <c r="F6362" s="156" t="inlineStr">
        <is>
          <t>Hauling OB</t>
        </is>
      </c>
      <c r="G6362" s="182" t="n">
        <v>10.08</v>
      </c>
      <c r="H6362" s="182" t="n">
        <v>0</v>
      </c>
      <c r="I6362" s="182" t="n">
        <v>0</v>
      </c>
      <c r="J6362" s="182" t="n">
        <v>0</v>
      </c>
      <c r="K6362" s="182" t="n">
        <v>1.92</v>
      </c>
      <c r="L6362" s="182" t="n">
        <v>12</v>
      </c>
      <c r="M6362" s="182" t="n">
        <v>10.08</v>
      </c>
      <c r="N6362" s="182" t="n">
        <v>0</v>
      </c>
      <c r="O6362" s="183" t="n">
        <v>51</v>
      </c>
      <c r="P6362" s="183" t="n">
        <v>0</v>
      </c>
      <c r="Q6362" s="184" t="n">
        <v>1040.4</v>
      </c>
      <c r="R6362" s="184" t="n">
        <v>0</v>
      </c>
      <c r="S6362" s="183" t="n">
        <v>0</v>
      </c>
      <c r="T6362" s="183" t="n">
        <v>0</v>
      </c>
      <c r="U6362" s="182" t="n">
        <v>0</v>
      </c>
      <c r="V6362" s="182" t="n">
        <v>0</v>
      </c>
      <c r="W6362" s="182" t="n">
        <v>0</v>
      </c>
      <c r="X6362" s="182" t="n">
        <v>0.91</v>
      </c>
      <c r="Y6362" s="182" t="n">
        <v>0</v>
      </c>
      <c r="Z6362" s="182" t="n">
        <v>0</v>
      </c>
      <c r="AA6362" s="182" t="n">
        <v>0</v>
      </c>
      <c r="AB6362" s="182" t="n">
        <v>0</v>
      </c>
      <c r="AC6362" s="182" t="n">
        <v>0</v>
      </c>
      <c r="AD6362" s="182" t="n">
        <v>0</v>
      </c>
      <c r="AE6362" s="182" t="n">
        <v>0</v>
      </c>
      <c r="AF6362" s="182" t="n">
        <v>0</v>
      </c>
      <c r="AG6362" s="182" t="n">
        <v>0.55</v>
      </c>
      <c r="AH6362" s="182" t="n">
        <v>0.38</v>
      </c>
      <c r="AI6362" s="182" t="n">
        <v>0</v>
      </c>
      <c r="AJ6362" s="182" t="n">
        <v>0</v>
      </c>
      <c r="AK6362" s="182" t="n">
        <v>0</v>
      </c>
      <c r="AL6362" s="182" t="n">
        <v>0</v>
      </c>
      <c r="AM6362" s="182" t="n">
        <v>0.07000000000000001</v>
      </c>
      <c r="AN6362" s="182" t="n">
        <v>0</v>
      </c>
    </row>
    <row r="6363">
      <c r="A6363" s="155" t="n">
        <v>46110</v>
      </c>
      <c r="B6363" s="156" t="inlineStr">
        <is>
          <t>NS</t>
        </is>
      </c>
      <c r="C6363" s="156" t="inlineStr">
        <is>
          <t>DT-520</t>
        </is>
      </c>
      <c r="D6363" s="156" t="inlineStr">
        <is>
          <t>SKT 105S</t>
        </is>
      </c>
      <c r="E6363" s="156" t="inlineStr">
        <is>
          <t>Hauler</t>
        </is>
      </c>
      <c r="F6363" s="156" t="inlineStr">
        <is>
          <t>Hauling Spoil, Mud &amp; Coal</t>
        </is>
      </c>
      <c r="G6363" s="182" t="n">
        <v>10.27</v>
      </c>
      <c r="H6363" s="182" t="n">
        <v>0</v>
      </c>
      <c r="I6363" s="182" t="n">
        <v>0</v>
      </c>
      <c r="J6363" s="182" t="n">
        <v>0</v>
      </c>
      <c r="K6363" s="182" t="n">
        <v>1.73</v>
      </c>
      <c r="L6363" s="182" t="n">
        <v>12</v>
      </c>
      <c r="M6363" s="182" t="n">
        <v>9.859999999999999</v>
      </c>
      <c r="N6363" s="182" t="n">
        <v>0.41</v>
      </c>
      <c r="O6363" s="183" t="n">
        <v>11</v>
      </c>
      <c r="P6363" s="183" t="n">
        <v>1</v>
      </c>
      <c r="Q6363" s="184" t="n">
        <v>112.2</v>
      </c>
      <c r="R6363" s="184" t="n">
        <v>18.7</v>
      </c>
      <c r="S6363" s="183" t="n">
        <v>22</v>
      </c>
      <c r="T6363" s="183" t="n">
        <v>0</v>
      </c>
      <c r="U6363" s="182" t="n">
        <v>0</v>
      </c>
      <c r="V6363" s="182" t="n">
        <v>0</v>
      </c>
      <c r="W6363" s="182" t="n">
        <v>0</v>
      </c>
      <c r="X6363" s="182" t="n">
        <v>1.15</v>
      </c>
      <c r="Y6363" s="182" t="n">
        <v>0</v>
      </c>
      <c r="Z6363" s="182" t="n">
        <v>0</v>
      </c>
      <c r="AA6363" s="182" t="n">
        <v>0</v>
      </c>
      <c r="AB6363" s="182" t="n">
        <v>0</v>
      </c>
      <c r="AC6363" s="182" t="n">
        <v>0</v>
      </c>
      <c r="AD6363" s="182" t="n">
        <v>0</v>
      </c>
      <c r="AE6363" s="182" t="n">
        <v>0</v>
      </c>
      <c r="AF6363" s="182" t="n">
        <v>0</v>
      </c>
      <c r="AG6363" s="182" t="n">
        <v>0</v>
      </c>
      <c r="AH6363" s="182" t="n">
        <v>0.48</v>
      </c>
      <c r="AI6363" s="182" t="n">
        <v>0</v>
      </c>
      <c r="AJ6363" s="182" t="n">
        <v>0</v>
      </c>
      <c r="AK6363" s="182" t="n">
        <v>0</v>
      </c>
      <c r="AL6363" s="182" t="n">
        <v>0</v>
      </c>
      <c r="AM6363" s="182" t="n">
        <v>0.09</v>
      </c>
      <c r="AN6363" s="182" t="n">
        <v>0</v>
      </c>
    </row>
    <row r="6364">
      <c r="A6364" s="155" t="n">
        <v>46110</v>
      </c>
      <c r="B6364" s="156" t="inlineStr">
        <is>
          <t>NS</t>
        </is>
      </c>
      <c r="C6364" s="156" t="inlineStr">
        <is>
          <t>DT-511</t>
        </is>
      </c>
      <c r="D6364" s="156" t="inlineStr">
        <is>
          <t>SKT 105S</t>
        </is>
      </c>
      <c r="E6364" s="156" t="inlineStr">
        <is>
          <t>Hauler</t>
        </is>
      </c>
      <c r="F6364" s="156" t="inlineStr">
        <is>
          <t>Hauling OB &amp; Coal</t>
        </is>
      </c>
      <c r="G6364" s="182" t="n">
        <v>9.869999999999999</v>
      </c>
      <c r="H6364" s="182" t="n">
        <v>0</v>
      </c>
      <c r="I6364" s="182" t="n">
        <v>0</v>
      </c>
      <c r="J6364" s="182" t="n">
        <v>0</v>
      </c>
      <c r="K6364" s="182" t="n">
        <v>2.13</v>
      </c>
      <c r="L6364" s="182" t="n">
        <v>12</v>
      </c>
      <c r="M6364" s="182" t="n">
        <v>5.76</v>
      </c>
      <c r="N6364" s="182" t="n">
        <v>4.11</v>
      </c>
      <c r="O6364" s="183" t="n">
        <v>20</v>
      </c>
      <c r="P6364" s="183" t="n">
        <v>9</v>
      </c>
      <c r="Q6364" s="184" t="n">
        <v>408</v>
      </c>
      <c r="R6364" s="184" t="n">
        <v>168.3</v>
      </c>
      <c r="S6364" s="183" t="n">
        <v>0</v>
      </c>
      <c r="T6364" s="183" t="n">
        <v>0</v>
      </c>
      <c r="U6364" s="182" t="n">
        <v>0</v>
      </c>
      <c r="V6364" s="182" t="n">
        <v>0</v>
      </c>
      <c r="W6364" s="182" t="n">
        <v>0</v>
      </c>
      <c r="X6364" s="182" t="n">
        <v>0.89</v>
      </c>
      <c r="Y6364" s="182" t="n">
        <v>0</v>
      </c>
      <c r="Z6364" s="182" t="n">
        <v>0</v>
      </c>
      <c r="AA6364" s="182" t="n">
        <v>0</v>
      </c>
      <c r="AB6364" s="182" t="n">
        <v>0</v>
      </c>
      <c r="AC6364" s="182" t="n">
        <v>0</v>
      </c>
      <c r="AD6364" s="182" t="n">
        <v>0</v>
      </c>
      <c r="AE6364" s="182" t="n">
        <v>0</v>
      </c>
      <c r="AF6364" s="182" t="n">
        <v>0</v>
      </c>
      <c r="AG6364" s="182" t="n">
        <v>0.53</v>
      </c>
      <c r="AH6364" s="182" t="n">
        <v>0.64</v>
      </c>
      <c r="AI6364" s="182" t="n">
        <v>0</v>
      </c>
      <c r="AJ6364" s="182" t="n">
        <v>0</v>
      </c>
      <c r="AK6364" s="182" t="n">
        <v>0</v>
      </c>
      <c r="AL6364" s="182" t="n">
        <v>0</v>
      </c>
      <c r="AM6364" s="182" t="n">
        <v>0.07000000000000001</v>
      </c>
      <c r="AN6364" s="182" t="n">
        <v>0</v>
      </c>
    </row>
    <row r="6365">
      <c r="A6365" s="155" t="n">
        <v>46110</v>
      </c>
      <c r="B6365" s="156" t="inlineStr">
        <is>
          <t>NS</t>
        </is>
      </c>
      <c r="C6365" s="156" t="inlineStr">
        <is>
          <t>DT-509</t>
        </is>
      </c>
      <c r="D6365" s="156" t="inlineStr">
        <is>
          <t>SKT 105S</t>
        </is>
      </c>
      <c r="E6365" s="156" t="inlineStr">
        <is>
          <t>Hauler</t>
        </is>
      </c>
      <c r="F6365" s="156" t="inlineStr"/>
      <c r="G6365" s="182" t="n">
        <v>0</v>
      </c>
      <c r="H6365" s="182" t="n">
        <v>0</v>
      </c>
      <c r="I6365" s="182" t="n">
        <v>12</v>
      </c>
      <c r="J6365" s="182" t="n">
        <v>12</v>
      </c>
      <c r="K6365" s="182" t="n">
        <v>0</v>
      </c>
      <c r="L6365" s="182" t="n">
        <v>12</v>
      </c>
      <c r="M6365" s="182" t="n">
        <v>0</v>
      </c>
      <c r="N6365" s="182" t="n">
        <v>0</v>
      </c>
      <c r="O6365" s="183" t="n">
        <v>0</v>
      </c>
      <c r="P6365" s="183" t="n">
        <v>0</v>
      </c>
      <c r="Q6365" s="184" t="n">
        <v>0</v>
      </c>
      <c r="R6365" s="184" t="n">
        <v>0</v>
      </c>
      <c r="S6365" s="183" t="n">
        <v>0</v>
      </c>
      <c r="T6365" s="183" t="n">
        <v>0</v>
      </c>
      <c r="U6365" s="182" t="n">
        <v>0</v>
      </c>
      <c r="V6365" s="182" t="n">
        <v>0</v>
      </c>
      <c r="W6365" s="182" t="n">
        <v>0</v>
      </c>
      <c r="X6365" s="182" t="n">
        <v>0</v>
      </c>
      <c r="Y6365" s="182" t="n">
        <v>0</v>
      </c>
      <c r="Z6365" s="182" t="n">
        <v>0</v>
      </c>
      <c r="AA6365" s="182" t="n">
        <v>0</v>
      </c>
      <c r="AB6365" s="182" t="n">
        <v>0</v>
      </c>
      <c r="AC6365" s="182" t="n">
        <v>0</v>
      </c>
      <c r="AD6365" s="182" t="n">
        <v>0</v>
      </c>
      <c r="AE6365" s="182" t="n">
        <v>0</v>
      </c>
      <c r="AF6365" s="182" t="n">
        <v>0</v>
      </c>
      <c r="AG6365" s="182" t="n">
        <v>0</v>
      </c>
      <c r="AH6365" s="182" t="n">
        <v>0</v>
      </c>
      <c r="AI6365" s="182" t="n">
        <v>0</v>
      </c>
      <c r="AJ6365" s="182" t="n">
        <v>0</v>
      </c>
      <c r="AK6365" s="182" t="n">
        <v>0</v>
      </c>
      <c r="AL6365" s="182" t="n">
        <v>0</v>
      </c>
      <c r="AM6365" s="182" t="n">
        <v>0</v>
      </c>
      <c r="AN6365" s="182" t="n">
        <v>0</v>
      </c>
    </row>
    <row r="6366">
      <c r="A6366" s="155" t="n">
        <v>46110</v>
      </c>
      <c r="B6366" s="156" t="inlineStr">
        <is>
          <t>NS</t>
        </is>
      </c>
      <c r="C6366" s="156" t="inlineStr">
        <is>
          <t>DT-526</t>
        </is>
      </c>
      <c r="D6366" s="156" t="inlineStr">
        <is>
          <t>SKT 105S</t>
        </is>
      </c>
      <c r="E6366" s="156" t="inlineStr">
        <is>
          <t>Hauler</t>
        </is>
      </c>
      <c r="F6366" s="156" t="inlineStr">
        <is>
          <t>Hauling Spoil &amp; Mud</t>
        </is>
      </c>
      <c r="G6366" s="182" t="n">
        <v>6.99</v>
      </c>
      <c r="H6366" s="182" t="n">
        <v>0</v>
      </c>
      <c r="I6366" s="182" t="n">
        <v>0.5</v>
      </c>
      <c r="J6366" s="182" t="n">
        <v>0.5</v>
      </c>
      <c r="K6366" s="182" t="n">
        <v>4.51</v>
      </c>
      <c r="L6366" s="182" t="n">
        <v>12</v>
      </c>
      <c r="M6366" s="182" t="n">
        <v>6.99</v>
      </c>
      <c r="N6366" s="182" t="n">
        <v>0</v>
      </c>
      <c r="O6366" s="183" t="n">
        <v>9</v>
      </c>
      <c r="P6366" s="183" t="n">
        <v>0</v>
      </c>
      <c r="Q6366" s="184" t="n">
        <v>91.8</v>
      </c>
      <c r="R6366" s="184" t="n">
        <v>0</v>
      </c>
      <c r="S6366" s="183" t="n">
        <v>11</v>
      </c>
      <c r="T6366" s="183" t="n">
        <v>0</v>
      </c>
      <c r="U6366" s="182" t="n">
        <v>0</v>
      </c>
      <c r="V6366" s="182" t="n">
        <v>0</v>
      </c>
      <c r="W6366" s="182" t="n">
        <v>0</v>
      </c>
      <c r="X6366" s="182" t="n">
        <v>0.92</v>
      </c>
      <c r="Y6366" s="182" t="n">
        <v>0</v>
      </c>
      <c r="Z6366" s="182" t="n">
        <v>0</v>
      </c>
      <c r="AA6366" s="182" t="n">
        <v>0</v>
      </c>
      <c r="AB6366" s="182" t="n">
        <v>0</v>
      </c>
      <c r="AC6366" s="182" t="n">
        <v>0</v>
      </c>
      <c r="AD6366" s="182" t="n">
        <v>0</v>
      </c>
      <c r="AE6366" s="182" t="n">
        <v>0</v>
      </c>
      <c r="AF6366" s="182" t="n">
        <v>0</v>
      </c>
      <c r="AG6366" s="182" t="n">
        <v>0</v>
      </c>
      <c r="AH6366" s="182" t="n">
        <v>0</v>
      </c>
      <c r="AI6366" s="182" t="n">
        <v>3.52</v>
      </c>
      <c r="AJ6366" s="182" t="n">
        <v>0</v>
      </c>
      <c r="AK6366" s="182" t="n">
        <v>0</v>
      </c>
      <c r="AL6366" s="182" t="n">
        <v>0</v>
      </c>
      <c r="AM6366" s="182" t="n">
        <v>0.07000000000000001</v>
      </c>
      <c r="AN6366" s="182" t="n">
        <v>0</v>
      </c>
    </row>
    <row r="6367">
      <c r="A6367" s="155" t="n">
        <v>46110</v>
      </c>
      <c r="B6367" s="156" t="inlineStr">
        <is>
          <t>NS</t>
        </is>
      </c>
      <c r="C6367" s="156" t="inlineStr">
        <is>
          <t>DT-508</t>
        </is>
      </c>
      <c r="D6367" s="156" t="inlineStr">
        <is>
          <t>SKT 105S</t>
        </is>
      </c>
      <c r="E6367" s="156" t="inlineStr">
        <is>
          <t>Hauler</t>
        </is>
      </c>
      <c r="F6367" s="156" t="inlineStr">
        <is>
          <t>Hauling Spoil &amp; Mud</t>
        </is>
      </c>
      <c r="G6367" s="182" t="n">
        <v>6.51</v>
      </c>
      <c r="H6367" s="182" t="n">
        <v>0</v>
      </c>
      <c r="I6367" s="182" t="n">
        <v>0</v>
      </c>
      <c r="J6367" s="182" t="n">
        <v>0</v>
      </c>
      <c r="K6367" s="182" t="n">
        <v>5.49</v>
      </c>
      <c r="L6367" s="182" t="n">
        <v>12</v>
      </c>
      <c r="M6367" s="182" t="n">
        <v>6.51</v>
      </c>
      <c r="N6367" s="182" t="n">
        <v>0</v>
      </c>
      <c r="O6367" s="183" t="n">
        <v>0</v>
      </c>
      <c r="P6367" s="183" t="n">
        <v>0</v>
      </c>
      <c r="Q6367" s="184" t="n">
        <v>0</v>
      </c>
      <c r="R6367" s="184" t="n">
        <v>0</v>
      </c>
      <c r="S6367" s="183" t="n">
        <v>22</v>
      </c>
      <c r="T6367" s="183" t="n">
        <v>0</v>
      </c>
      <c r="U6367" s="182" t="n">
        <v>0</v>
      </c>
      <c r="V6367" s="182" t="n">
        <v>0</v>
      </c>
      <c r="W6367" s="182" t="n">
        <v>0</v>
      </c>
      <c r="X6367" s="182" t="n">
        <v>1.02</v>
      </c>
      <c r="Y6367" s="182" t="n">
        <v>0</v>
      </c>
      <c r="Z6367" s="182" t="n">
        <v>0</v>
      </c>
      <c r="AA6367" s="182" t="n">
        <v>0</v>
      </c>
      <c r="AB6367" s="182" t="n">
        <v>0</v>
      </c>
      <c r="AC6367" s="182" t="n">
        <v>0</v>
      </c>
      <c r="AD6367" s="182" t="n">
        <v>0</v>
      </c>
      <c r="AE6367" s="182" t="n">
        <v>0</v>
      </c>
      <c r="AF6367" s="182" t="n">
        <v>0</v>
      </c>
      <c r="AG6367" s="182" t="n">
        <v>0</v>
      </c>
      <c r="AH6367" s="182" t="n">
        <v>0</v>
      </c>
      <c r="AI6367" s="182" t="n">
        <v>4.39</v>
      </c>
      <c r="AJ6367" s="182" t="n">
        <v>0</v>
      </c>
      <c r="AK6367" s="182" t="n">
        <v>0</v>
      </c>
      <c r="AL6367" s="182" t="n">
        <v>0</v>
      </c>
      <c r="AM6367" s="182" t="n">
        <v>0.08</v>
      </c>
      <c r="AN6367" s="182" t="n">
        <v>0</v>
      </c>
    </row>
    <row r="6368">
      <c r="A6368" s="155" t="n">
        <v>46110</v>
      </c>
      <c r="B6368" s="156" t="inlineStr">
        <is>
          <t>NS</t>
        </is>
      </c>
      <c r="C6368" s="156" t="inlineStr">
        <is>
          <t>DT-515</t>
        </is>
      </c>
      <c r="D6368" s="156" t="inlineStr">
        <is>
          <t>SKT 105S</t>
        </is>
      </c>
      <c r="E6368" s="156" t="inlineStr">
        <is>
          <t>Hauler</t>
        </is>
      </c>
      <c r="F6368" s="156" t="inlineStr">
        <is>
          <t>Hauling OB</t>
        </is>
      </c>
      <c r="G6368" s="182" t="n">
        <v>10.77</v>
      </c>
      <c r="H6368" s="182" t="n">
        <v>0</v>
      </c>
      <c r="I6368" s="182" t="n">
        <v>0</v>
      </c>
      <c r="J6368" s="182" t="n">
        <v>0</v>
      </c>
      <c r="K6368" s="182" t="n">
        <v>1.23</v>
      </c>
      <c r="L6368" s="182" t="n">
        <v>12</v>
      </c>
      <c r="M6368" s="182" t="n">
        <v>10.77</v>
      </c>
      <c r="N6368" s="182" t="n">
        <v>0</v>
      </c>
      <c r="O6368" s="183" t="n">
        <v>32</v>
      </c>
      <c r="P6368" s="183" t="n">
        <v>0</v>
      </c>
      <c r="Q6368" s="184" t="n">
        <v>652.8</v>
      </c>
      <c r="R6368" s="184" t="n">
        <v>0</v>
      </c>
      <c r="S6368" s="183" t="n">
        <v>0</v>
      </c>
      <c r="T6368" s="183" t="n">
        <v>0</v>
      </c>
      <c r="U6368" s="182" t="n">
        <v>0</v>
      </c>
      <c r="V6368" s="182" t="n">
        <v>0</v>
      </c>
      <c r="W6368" s="182" t="n">
        <v>0</v>
      </c>
      <c r="X6368" s="182" t="n">
        <v>0.88</v>
      </c>
      <c r="Y6368" s="182" t="n">
        <v>0</v>
      </c>
      <c r="Z6368" s="182" t="n">
        <v>0</v>
      </c>
      <c r="AA6368" s="182" t="n">
        <v>0</v>
      </c>
      <c r="AB6368" s="182" t="n">
        <v>0</v>
      </c>
      <c r="AC6368" s="182" t="n">
        <v>0</v>
      </c>
      <c r="AD6368" s="182" t="n">
        <v>0</v>
      </c>
      <c r="AE6368" s="182" t="n">
        <v>0</v>
      </c>
      <c r="AF6368" s="182" t="n">
        <v>0</v>
      </c>
      <c r="AG6368" s="182" t="n">
        <v>0</v>
      </c>
      <c r="AH6368" s="182" t="n">
        <v>0.28</v>
      </c>
      <c r="AI6368" s="182" t="n">
        <v>0</v>
      </c>
      <c r="AJ6368" s="182" t="n">
        <v>0</v>
      </c>
      <c r="AK6368" s="182" t="n">
        <v>0</v>
      </c>
      <c r="AL6368" s="182" t="n">
        <v>0</v>
      </c>
      <c r="AM6368" s="182" t="n">
        <v>0.07000000000000001</v>
      </c>
      <c r="AN6368" s="182" t="n">
        <v>0</v>
      </c>
    </row>
    <row r="6369">
      <c r="A6369" s="155" t="n">
        <v>46110</v>
      </c>
      <c r="B6369" s="156" t="inlineStr">
        <is>
          <t>NS</t>
        </is>
      </c>
      <c r="C6369" s="156" t="inlineStr">
        <is>
          <t>DT-524</t>
        </is>
      </c>
      <c r="D6369" s="156" t="inlineStr">
        <is>
          <t>SKT 105S</t>
        </is>
      </c>
      <c r="E6369" s="156" t="inlineStr">
        <is>
          <t>Hauler</t>
        </is>
      </c>
      <c r="F6369" s="156" t="inlineStr">
        <is>
          <t>Hauling OB</t>
        </is>
      </c>
      <c r="G6369" s="182" t="n">
        <v>10.27</v>
      </c>
      <c r="H6369" s="182" t="n">
        <v>0</v>
      </c>
      <c r="I6369" s="182" t="n">
        <v>0</v>
      </c>
      <c r="J6369" s="182" t="n">
        <v>0</v>
      </c>
      <c r="K6369" s="182" t="n">
        <v>1.73</v>
      </c>
      <c r="L6369" s="182" t="n">
        <v>12</v>
      </c>
      <c r="M6369" s="182" t="n">
        <v>10.27</v>
      </c>
      <c r="N6369" s="182" t="n">
        <v>0</v>
      </c>
      <c r="O6369" s="183" t="n">
        <v>27</v>
      </c>
      <c r="P6369" s="183" t="n">
        <v>0</v>
      </c>
      <c r="Q6369" s="184" t="n">
        <v>550.8</v>
      </c>
      <c r="R6369" s="184" t="n">
        <v>0</v>
      </c>
      <c r="S6369" s="183" t="n">
        <v>0</v>
      </c>
      <c r="T6369" s="183" t="n">
        <v>0</v>
      </c>
      <c r="U6369" s="182" t="n">
        <v>0</v>
      </c>
      <c r="V6369" s="182" t="n">
        <v>0</v>
      </c>
      <c r="W6369" s="182" t="n">
        <v>0</v>
      </c>
      <c r="X6369" s="182" t="n">
        <v>0.96</v>
      </c>
      <c r="Y6369" s="182" t="n">
        <v>0</v>
      </c>
      <c r="Z6369" s="182" t="n">
        <v>0</v>
      </c>
      <c r="AA6369" s="182" t="n">
        <v>0</v>
      </c>
      <c r="AB6369" s="182" t="n">
        <v>0</v>
      </c>
      <c r="AC6369" s="182" t="n">
        <v>0</v>
      </c>
      <c r="AD6369" s="182" t="n">
        <v>0</v>
      </c>
      <c r="AE6369" s="182" t="n">
        <v>0</v>
      </c>
      <c r="AF6369" s="182" t="n">
        <v>0</v>
      </c>
      <c r="AG6369" s="182" t="n">
        <v>0</v>
      </c>
      <c r="AH6369" s="182" t="n">
        <v>0.6899999999999999</v>
      </c>
      <c r="AI6369" s="182" t="n">
        <v>0</v>
      </c>
      <c r="AJ6369" s="182" t="n">
        <v>0</v>
      </c>
      <c r="AK6369" s="182" t="n">
        <v>0</v>
      </c>
      <c r="AL6369" s="182" t="n">
        <v>0</v>
      </c>
      <c r="AM6369" s="182" t="n">
        <v>0.08</v>
      </c>
      <c r="AN6369" s="182" t="n">
        <v>0</v>
      </c>
    </row>
    <row r="6370">
      <c r="A6370" s="155" t="n">
        <v>46110</v>
      </c>
      <c r="B6370" s="156" t="inlineStr">
        <is>
          <t>NS</t>
        </is>
      </c>
      <c r="C6370" s="156" t="inlineStr">
        <is>
          <t>DT-341</t>
        </is>
      </c>
      <c r="D6370" s="156" t="inlineStr">
        <is>
          <t>SYZ324C-8W</t>
        </is>
      </c>
      <c r="E6370" s="156" t="inlineStr">
        <is>
          <t>Hauler</t>
        </is>
      </c>
      <c r="F6370" s="156" t="inlineStr">
        <is>
          <t>Rehandling Material di Washing Plant</t>
        </is>
      </c>
      <c r="G6370" s="182" t="n">
        <v>5.46</v>
      </c>
      <c r="H6370" s="182" t="n">
        <v>0</v>
      </c>
      <c r="I6370" s="182" t="n">
        <v>0</v>
      </c>
      <c r="J6370" s="182" t="n">
        <v>0</v>
      </c>
      <c r="K6370" s="182" t="n">
        <v>6.54</v>
      </c>
      <c r="L6370" s="182" t="n">
        <v>12</v>
      </c>
      <c r="M6370" s="182" t="n">
        <v>0</v>
      </c>
      <c r="N6370" s="182" t="n">
        <v>0</v>
      </c>
      <c r="O6370" s="183" t="n">
        <v>0</v>
      </c>
      <c r="P6370" s="183" t="n">
        <v>0</v>
      </c>
      <c r="Q6370" s="184" t="n">
        <v>0</v>
      </c>
      <c r="R6370" s="184" t="n">
        <v>0</v>
      </c>
      <c r="S6370" s="183" t="n">
        <v>0</v>
      </c>
      <c r="T6370" s="183" t="n">
        <v>0</v>
      </c>
      <c r="U6370" s="182" t="n">
        <v>0</v>
      </c>
      <c r="V6370" s="182" t="n">
        <v>0</v>
      </c>
      <c r="W6370" s="182" t="n">
        <v>0</v>
      </c>
      <c r="X6370" s="182" t="n">
        <v>0.93</v>
      </c>
      <c r="Y6370" s="182" t="n">
        <v>0</v>
      </c>
      <c r="Z6370" s="182" t="n">
        <v>0</v>
      </c>
      <c r="AA6370" s="182" t="n">
        <v>0</v>
      </c>
      <c r="AB6370" s="182" t="n">
        <v>0</v>
      </c>
      <c r="AC6370" s="182" t="n">
        <v>0</v>
      </c>
      <c r="AD6370" s="182" t="n">
        <v>0</v>
      </c>
      <c r="AE6370" s="182" t="n">
        <v>0</v>
      </c>
      <c r="AF6370" s="182" t="n">
        <v>0</v>
      </c>
      <c r="AG6370" s="182" t="n">
        <v>0</v>
      </c>
      <c r="AH6370" s="182" t="n">
        <v>0</v>
      </c>
      <c r="AI6370" s="182" t="n">
        <v>5.53</v>
      </c>
      <c r="AJ6370" s="182" t="n">
        <v>0</v>
      </c>
      <c r="AK6370" s="182" t="n">
        <v>0</v>
      </c>
      <c r="AL6370" s="182" t="n">
        <v>0</v>
      </c>
      <c r="AM6370" s="182" t="n">
        <v>0.07000000000000001</v>
      </c>
      <c r="AN6370" s="182" t="n">
        <v>0</v>
      </c>
    </row>
    <row r="6371">
      <c r="A6371" s="155" t="n">
        <v>46110</v>
      </c>
      <c r="B6371" s="156" t="inlineStr">
        <is>
          <t>NS</t>
        </is>
      </c>
      <c r="C6371" s="156" t="inlineStr">
        <is>
          <t>DT-342</t>
        </is>
      </c>
      <c r="D6371" s="156" t="inlineStr">
        <is>
          <t>SYZ324C-8W</t>
        </is>
      </c>
      <c r="E6371" s="156" t="inlineStr">
        <is>
          <t>Hauler</t>
        </is>
      </c>
      <c r="F6371" s="156" t="inlineStr">
        <is>
          <t>Rehandling Material di Washing Plant</t>
        </is>
      </c>
      <c r="G6371" s="182" t="n">
        <v>5.67</v>
      </c>
      <c r="H6371" s="182" t="n">
        <v>0</v>
      </c>
      <c r="I6371" s="182" t="n">
        <v>0</v>
      </c>
      <c r="J6371" s="182" t="n">
        <v>0</v>
      </c>
      <c r="K6371" s="182" t="n">
        <v>6.33</v>
      </c>
      <c r="L6371" s="182" t="n">
        <v>12</v>
      </c>
      <c r="M6371" s="182" t="n">
        <v>0</v>
      </c>
      <c r="N6371" s="182" t="n">
        <v>0</v>
      </c>
      <c r="O6371" s="183" t="n">
        <v>0</v>
      </c>
      <c r="P6371" s="183" t="n">
        <v>0</v>
      </c>
      <c r="Q6371" s="184" t="n">
        <v>0</v>
      </c>
      <c r="R6371" s="184" t="n">
        <v>0</v>
      </c>
      <c r="S6371" s="183" t="n">
        <v>0</v>
      </c>
      <c r="T6371" s="183" t="n">
        <v>0</v>
      </c>
      <c r="U6371" s="182" t="n">
        <v>0</v>
      </c>
      <c r="V6371" s="182" t="n">
        <v>0</v>
      </c>
      <c r="W6371" s="182" t="n">
        <v>0</v>
      </c>
      <c r="X6371" s="182" t="n">
        <v>0.97</v>
      </c>
      <c r="Y6371" s="182" t="n">
        <v>0</v>
      </c>
      <c r="Z6371" s="182" t="n">
        <v>0</v>
      </c>
      <c r="AA6371" s="182" t="n">
        <v>0</v>
      </c>
      <c r="AB6371" s="182" t="n">
        <v>0</v>
      </c>
      <c r="AC6371" s="182" t="n">
        <v>0</v>
      </c>
      <c r="AD6371" s="182" t="n">
        <v>0</v>
      </c>
      <c r="AE6371" s="182" t="n">
        <v>0</v>
      </c>
      <c r="AF6371" s="182" t="n">
        <v>0</v>
      </c>
      <c r="AG6371" s="182" t="n">
        <v>0</v>
      </c>
      <c r="AH6371" s="182" t="n">
        <v>0</v>
      </c>
      <c r="AI6371" s="182" t="n">
        <v>0</v>
      </c>
      <c r="AJ6371" s="182" t="n">
        <v>0</v>
      </c>
      <c r="AK6371" s="182" t="n">
        <v>5.28</v>
      </c>
      <c r="AL6371" s="182" t="n">
        <v>0</v>
      </c>
      <c r="AM6371" s="182" t="n">
        <v>0.08</v>
      </c>
      <c r="AN6371" s="182" t="n">
        <v>0</v>
      </c>
    </row>
    <row r="6372">
      <c r="A6372" s="155" t="n">
        <v>46110</v>
      </c>
      <c r="B6372" s="156" t="inlineStr">
        <is>
          <t>NS</t>
        </is>
      </c>
      <c r="C6372" s="156" t="inlineStr">
        <is>
          <t>HD-903</t>
        </is>
      </c>
      <c r="D6372" s="156" t="inlineStr">
        <is>
          <t>SRT 95C</t>
        </is>
      </c>
      <c r="E6372" s="156" t="inlineStr">
        <is>
          <t>Hauler</t>
        </is>
      </c>
      <c r="F6372" s="156" t="inlineStr"/>
      <c r="G6372" s="182" t="n">
        <v>0</v>
      </c>
      <c r="H6372" s="182" t="n">
        <v>0</v>
      </c>
      <c r="I6372" s="182" t="n">
        <v>12</v>
      </c>
      <c r="J6372" s="182" t="n">
        <v>12</v>
      </c>
      <c r="K6372" s="182" t="n">
        <v>0</v>
      </c>
      <c r="L6372" s="182" t="n">
        <v>12</v>
      </c>
      <c r="M6372" s="182" t="n">
        <v>0</v>
      </c>
      <c r="N6372" s="182" t="n">
        <v>0</v>
      </c>
      <c r="O6372" s="183" t="n">
        <v>0</v>
      </c>
      <c r="P6372" s="183" t="n">
        <v>0</v>
      </c>
      <c r="Q6372" s="184" t="n">
        <v>0</v>
      </c>
      <c r="R6372" s="184" t="n">
        <v>0</v>
      </c>
      <c r="S6372" s="183" t="n">
        <v>0</v>
      </c>
      <c r="T6372" s="183" t="n">
        <v>0</v>
      </c>
      <c r="U6372" s="182" t="n">
        <v>0</v>
      </c>
      <c r="V6372" s="182" t="n">
        <v>0</v>
      </c>
      <c r="W6372" s="182" t="n">
        <v>0</v>
      </c>
      <c r="X6372" s="182" t="n">
        <v>0</v>
      </c>
      <c r="Y6372" s="182" t="n">
        <v>0</v>
      </c>
      <c r="Z6372" s="182" t="n">
        <v>0</v>
      </c>
      <c r="AA6372" s="182" t="n">
        <v>0</v>
      </c>
      <c r="AB6372" s="182" t="n">
        <v>0</v>
      </c>
      <c r="AC6372" s="182" t="n">
        <v>0</v>
      </c>
      <c r="AD6372" s="182" t="n">
        <v>0</v>
      </c>
      <c r="AE6372" s="182" t="n">
        <v>0</v>
      </c>
      <c r="AF6372" s="182" t="n">
        <v>0</v>
      </c>
      <c r="AG6372" s="182" t="n">
        <v>0</v>
      </c>
      <c r="AH6372" s="182" t="n">
        <v>0</v>
      </c>
      <c r="AI6372" s="182" t="n">
        <v>0</v>
      </c>
      <c r="AJ6372" s="182" t="n">
        <v>0</v>
      </c>
      <c r="AK6372" s="182" t="n">
        <v>0</v>
      </c>
      <c r="AL6372" s="182" t="n">
        <v>0</v>
      </c>
      <c r="AM6372" s="182" t="n">
        <v>0</v>
      </c>
      <c r="AN6372" s="182" t="n">
        <v>0</v>
      </c>
    </row>
    <row r="6373">
      <c r="A6373" s="155" t="n">
        <v>46110</v>
      </c>
      <c r="B6373" s="156" t="inlineStr">
        <is>
          <t>NS</t>
        </is>
      </c>
      <c r="C6373" s="156" t="inlineStr">
        <is>
          <t>HD-905</t>
        </is>
      </c>
      <c r="D6373" s="156" t="inlineStr">
        <is>
          <t>SRT 95C</t>
        </is>
      </c>
      <c r="E6373" s="156" t="inlineStr">
        <is>
          <t>Hauler</t>
        </is>
      </c>
      <c r="F6373" s="156" t="inlineStr"/>
      <c r="G6373" s="182" t="n">
        <v>0</v>
      </c>
      <c r="H6373" s="182" t="n">
        <v>0</v>
      </c>
      <c r="I6373" s="182" t="n">
        <v>0</v>
      </c>
      <c r="J6373" s="182" t="n">
        <v>0</v>
      </c>
      <c r="K6373" s="182" t="n">
        <v>12</v>
      </c>
      <c r="L6373" s="182" t="n">
        <v>12</v>
      </c>
      <c r="M6373" s="182" t="n">
        <v>0</v>
      </c>
      <c r="N6373" s="182" t="n">
        <v>0</v>
      </c>
      <c r="O6373" s="183" t="n">
        <v>0</v>
      </c>
      <c r="P6373" s="183" t="n">
        <v>0</v>
      </c>
      <c r="Q6373" s="184" t="n">
        <v>0</v>
      </c>
      <c r="R6373" s="184" t="n">
        <v>0</v>
      </c>
      <c r="S6373" s="183" t="n">
        <v>0</v>
      </c>
      <c r="T6373" s="183" t="n">
        <v>0</v>
      </c>
      <c r="U6373" s="182" t="n">
        <v>0</v>
      </c>
      <c r="V6373" s="182" t="n">
        <v>0</v>
      </c>
      <c r="W6373" s="182" t="n">
        <v>0</v>
      </c>
      <c r="X6373" s="182" t="n">
        <v>1</v>
      </c>
      <c r="Y6373" s="182" t="n">
        <v>0</v>
      </c>
      <c r="Z6373" s="182" t="n">
        <v>0</v>
      </c>
      <c r="AA6373" s="182" t="n">
        <v>0</v>
      </c>
      <c r="AB6373" s="182" t="n">
        <v>0</v>
      </c>
      <c r="AC6373" s="182" t="n">
        <v>0</v>
      </c>
      <c r="AD6373" s="182" t="n">
        <v>0</v>
      </c>
      <c r="AE6373" s="182" t="n">
        <v>0</v>
      </c>
      <c r="AF6373" s="182" t="n">
        <v>0</v>
      </c>
      <c r="AG6373" s="182" t="n">
        <v>0</v>
      </c>
      <c r="AH6373" s="182" t="n">
        <v>0</v>
      </c>
      <c r="AI6373" s="182" t="n">
        <v>10.92</v>
      </c>
      <c r="AJ6373" s="182" t="n">
        <v>0</v>
      </c>
      <c r="AK6373" s="182" t="n">
        <v>0</v>
      </c>
      <c r="AL6373" s="182" t="n">
        <v>0</v>
      </c>
      <c r="AM6373" s="182" t="n">
        <v>0.08</v>
      </c>
      <c r="AN6373" s="182" t="n">
        <v>0</v>
      </c>
    </row>
    <row r="6374">
      <c r="A6374" s="155" t="n">
        <v>46110</v>
      </c>
      <c r="B6374" s="156" t="inlineStr">
        <is>
          <t>NS</t>
        </is>
      </c>
      <c r="C6374" s="156" t="inlineStr">
        <is>
          <t>HD-901</t>
        </is>
      </c>
      <c r="D6374" s="156" t="inlineStr">
        <is>
          <t>SRT 95C</t>
        </is>
      </c>
      <c r="E6374" s="156" t="inlineStr">
        <is>
          <t>Hauler</t>
        </is>
      </c>
      <c r="F6374" s="156" t="inlineStr"/>
      <c r="G6374" s="182" t="n">
        <v>0</v>
      </c>
      <c r="H6374" s="182" t="n">
        <v>0</v>
      </c>
      <c r="I6374" s="182" t="n">
        <v>0</v>
      </c>
      <c r="J6374" s="182" t="n">
        <v>0</v>
      </c>
      <c r="K6374" s="182" t="n">
        <v>12</v>
      </c>
      <c r="L6374" s="182" t="n">
        <v>12</v>
      </c>
      <c r="M6374" s="182" t="n">
        <v>0</v>
      </c>
      <c r="N6374" s="182" t="n">
        <v>0</v>
      </c>
      <c r="O6374" s="183" t="n">
        <v>0</v>
      </c>
      <c r="P6374" s="183" t="n">
        <v>0</v>
      </c>
      <c r="Q6374" s="184" t="n">
        <v>0</v>
      </c>
      <c r="R6374" s="184" t="n">
        <v>0</v>
      </c>
      <c r="S6374" s="183" t="n">
        <v>0</v>
      </c>
      <c r="T6374" s="183" t="n">
        <v>0</v>
      </c>
      <c r="U6374" s="182" t="n">
        <v>0</v>
      </c>
      <c r="V6374" s="182" t="n">
        <v>0</v>
      </c>
      <c r="W6374" s="182" t="n">
        <v>0</v>
      </c>
      <c r="X6374" s="182" t="n">
        <v>1</v>
      </c>
      <c r="Y6374" s="182" t="n">
        <v>0</v>
      </c>
      <c r="Z6374" s="182" t="n">
        <v>0</v>
      </c>
      <c r="AA6374" s="182" t="n">
        <v>0</v>
      </c>
      <c r="AB6374" s="182" t="n">
        <v>0</v>
      </c>
      <c r="AC6374" s="182" t="n">
        <v>0</v>
      </c>
      <c r="AD6374" s="182" t="n">
        <v>0</v>
      </c>
      <c r="AE6374" s="182" t="n">
        <v>0</v>
      </c>
      <c r="AF6374" s="182" t="n">
        <v>0</v>
      </c>
      <c r="AG6374" s="182" t="n">
        <v>0</v>
      </c>
      <c r="AH6374" s="182" t="n">
        <v>0</v>
      </c>
      <c r="AI6374" s="182" t="n">
        <v>10.92</v>
      </c>
      <c r="AJ6374" s="182" t="n">
        <v>0</v>
      </c>
      <c r="AK6374" s="182" t="n">
        <v>0</v>
      </c>
      <c r="AL6374" s="182" t="n">
        <v>0</v>
      </c>
      <c r="AM6374" s="182" t="n">
        <v>0.08</v>
      </c>
      <c r="AN6374" s="182" t="n">
        <v>0</v>
      </c>
    </row>
    <row r="6375">
      <c r="A6375" s="155" t="n">
        <v>46110</v>
      </c>
      <c r="B6375" s="156" t="inlineStr">
        <is>
          <t>NS</t>
        </is>
      </c>
      <c r="C6375" s="156" t="inlineStr">
        <is>
          <t>HD-904</t>
        </is>
      </c>
      <c r="D6375" s="156" t="inlineStr">
        <is>
          <t>SRT 95C</t>
        </is>
      </c>
      <c r="E6375" s="156" t="inlineStr">
        <is>
          <t>Hauler</t>
        </is>
      </c>
      <c r="F6375" s="156" t="inlineStr"/>
      <c r="G6375" s="182" t="n">
        <v>0</v>
      </c>
      <c r="H6375" s="182" t="n">
        <v>0</v>
      </c>
      <c r="I6375" s="182" t="n">
        <v>0</v>
      </c>
      <c r="J6375" s="182" t="n">
        <v>0</v>
      </c>
      <c r="K6375" s="182" t="n">
        <v>12</v>
      </c>
      <c r="L6375" s="182" t="n">
        <v>12</v>
      </c>
      <c r="M6375" s="182" t="n">
        <v>0</v>
      </c>
      <c r="N6375" s="182" t="n">
        <v>0</v>
      </c>
      <c r="O6375" s="183" t="n">
        <v>0</v>
      </c>
      <c r="P6375" s="183" t="n">
        <v>0</v>
      </c>
      <c r="Q6375" s="184" t="n">
        <v>0</v>
      </c>
      <c r="R6375" s="184" t="n">
        <v>0</v>
      </c>
      <c r="S6375" s="183" t="n">
        <v>0</v>
      </c>
      <c r="T6375" s="183" t="n">
        <v>0</v>
      </c>
      <c r="U6375" s="182" t="n">
        <v>0</v>
      </c>
      <c r="V6375" s="182" t="n">
        <v>0</v>
      </c>
      <c r="W6375" s="182" t="n">
        <v>0</v>
      </c>
      <c r="X6375" s="182" t="n">
        <v>1</v>
      </c>
      <c r="Y6375" s="182" t="n">
        <v>0</v>
      </c>
      <c r="Z6375" s="182" t="n">
        <v>0</v>
      </c>
      <c r="AA6375" s="182" t="n">
        <v>0</v>
      </c>
      <c r="AB6375" s="182" t="n">
        <v>0</v>
      </c>
      <c r="AC6375" s="182" t="n">
        <v>0</v>
      </c>
      <c r="AD6375" s="182" t="n">
        <v>0</v>
      </c>
      <c r="AE6375" s="182" t="n">
        <v>0</v>
      </c>
      <c r="AF6375" s="182" t="n">
        <v>0</v>
      </c>
      <c r="AG6375" s="182" t="n">
        <v>0</v>
      </c>
      <c r="AH6375" s="182" t="n">
        <v>0</v>
      </c>
      <c r="AI6375" s="182" t="n">
        <v>10.92</v>
      </c>
      <c r="AJ6375" s="182" t="n">
        <v>0</v>
      </c>
      <c r="AK6375" s="182" t="n">
        <v>0</v>
      </c>
      <c r="AL6375" s="182" t="n">
        <v>0</v>
      </c>
      <c r="AM6375" s="182" t="n">
        <v>0.08</v>
      </c>
      <c r="AN6375" s="182" t="n">
        <v>0</v>
      </c>
    </row>
    <row r="6376">
      <c r="A6376" s="155" t="n">
        <v>46110</v>
      </c>
      <c r="B6376" s="156" t="inlineStr">
        <is>
          <t>NS</t>
        </is>
      </c>
      <c r="C6376" s="156" t="inlineStr">
        <is>
          <t>HD-902</t>
        </is>
      </c>
      <c r="D6376" s="156" t="inlineStr">
        <is>
          <t>SRT 95C</t>
        </is>
      </c>
      <c r="E6376" s="156" t="inlineStr">
        <is>
          <t>Hauler</t>
        </is>
      </c>
      <c r="F6376" s="156" t="inlineStr"/>
      <c r="G6376" s="182" t="n">
        <v>0</v>
      </c>
      <c r="H6376" s="182" t="n">
        <v>0</v>
      </c>
      <c r="I6376" s="182" t="n">
        <v>0</v>
      </c>
      <c r="J6376" s="182" t="n">
        <v>0</v>
      </c>
      <c r="K6376" s="182" t="n">
        <v>12</v>
      </c>
      <c r="L6376" s="182" t="n">
        <v>12</v>
      </c>
      <c r="M6376" s="182" t="n">
        <v>0</v>
      </c>
      <c r="N6376" s="182" t="n">
        <v>0</v>
      </c>
      <c r="O6376" s="183" t="n">
        <v>0</v>
      </c>
      <c r="P6376" s="183" t="n">
        <v>0</v>
      </c>
      <c r="Q6376" s="184" t="n">
        <v>0</v>
      </c>
      <c r="R6376" s="184" t="n">
        <v>0</v>
      </c>
      <c r="S6376" s="183" t="n">
        <v>0</v>
      </c>
      <c r="T6376" s="183" t="n">
        <v>0</v>
      </c>
      <c r="U6376" s="182" t="n">
        <v>0</v>
      </c>
      <c r="V6376" s="182" t="n">
        <v>0</v>
      </c>
      <c r="W6376" s="182" t="n">
        <v>0</v>
      </c>
      <c r="X6376" s="182" t="n">
        <v>1</v>
      </c>
      <c r="Y6376" s="182" t="n">
        <v>0</v>
      </c>
      <c r="Z6376" s="182" t="n">
        <v>0</v>
      </c>
      <c r="AA6376" s="182" t="n">
        <v>0</v>
      </c>
      <c r="AB6376" s="182" t="n">
        <v>0</v>
      </c>
      <c r="AC6376" s="182" t="n">
        <v>0</v>
      </c>
      <c r="AD6376" s="182" t="n">
        <v>0</v>
      </c>
      <c r="AE6376" s="182" t="n">
        <v>0</v>
      </c>
      <c r="AF6376" s="182" t="n">
        <v>0</v>
      </c>
      <c r="AG6376" s="182" t="n">
        <v>0</v>
      </c>
      <c r="AH6376" s="182" t="n">
        <v>0</v>
      </c>
      <c r="AI6376" s="182" t="n">
        <v>10.92</v>
      </c>
      <c r="AJ6376" s="182" t="n">
        <v>0</v>
      </c>
      <c r="AK6376" s="182" t="n">
        <v>0</v>
      </c>
      <c r="AL6376" s="182" t="n">
        <v>0</v>
      </c>
      <c r="AM6376" s="182" t="n">
        <v>0.08</v>
      </c>
      <c r="AN6376" s="182" t="n">
        <v>0</v>
      </c>
    </row>
    <row r="6377">
      <c r="A6377" s="155" t="n">
        <v>46110</v>
      </c>
      <c r="B6377" s="156" t="inlineStr">
        <is>
          <t>NS</t>
        </is>
      </c>
      <c r="C6377" s="156" t="inlineStr">
        <is>
          <t>WL-025</t>
        </is>
      </c>
      <c r="D6377" s="156" t="inlineStr">
        <is>
          <t>SANY - Loader</t>
        </is>
      </c>
      <c r="E6377" s="156" t="inlineStr">
        <is>
          <t>Loader</t>
        </is>
      </c>
      <c r="F6377" s="156" t="inlineStr"/>
      <c r="G6377" s="182" t="n">
        <v>0</v>
      </c>
      <c r="H6377" s="182" t="n">
        <v>0</v>
      </c>
      <c r="I6377" s="182" t="n">
        <v>0</v>
      </c>
      <c r="J6377" s="182" t="n">
        <v>0</v>
      </c>
      <c r="K6377" s="182" t="n">
        <v>12</v>
      </c>
      <c r="L6377" s="182" t="n">
        <v>12</v>
      </c>
      <c r="M6377" s="182" t="n">
        <v>0</v>
      </c>
      <c r="N6377" s="182" t="n">
        <v>0</v>
      </c>
      <c r="O6377" s="183" t="n">
        <v>0</v>
      </c>
      <c r="P6377" s="183" t="n">
        <v>0</v>
      </c>
      <c r="Q6377" s="184" t="n">
        <v>0</v>
      </c>
      <c r="R6377" s="184" t="n">
        <v>0</v>
      </c>
      <c r="S6377" s="183" t="n">
        <v>0</v>
      </c>
      <c r="T6377" s="183" t="n">
        <v>0</v>
      </c>
      <c r="U6377" s="182" t="n">
        <v>0</v>
      </c>
      <c r="V6377" s="182" t="n">
        <v>0</v>
      </c>
      <c r="W6377" s="182" t="n">
        <v>0</v>
      </c>
      <c r="X6377" s="182" t="n">
        <v>1</v>
      </c>
      <c r="Y6377" s="182" t="n">
        <v>0</v>
      </c>
      <c r="Z6377" s="182" t="n">
        <v>0</v>
      </c>
      <c r="AA6377" s="182" t="n">
        <v>0</v>
      </c>
      <c r="AB6377" s="182" t="n">
        <v>0</v>
      </c>
      <c r="AC6377" s="182" t="n">
        <v>0</v>
      </c>
      <c r="AD6377" s="182" t="n">
        <v>0</v>
      </c>
      <c r="AE6377" s="182" t="n">
        <v>0</v>
      </c>
      <c r="AF6377" s="182" t="n">
        <v>0</v>
      </c>
      <c r="AG6377" s="182" t="n">
        <v>0</v>
      </c>
      <c r="AH6377" s="182" t="n">
        <v>0</v>
      </c>
      <c r="AI6377" s="182" t="n">
        <v>0</v>
      </c>
      <c r="AJ6377" s="182" t="n">
        <v>0</v>
      </c>
      <c r="AK6377" s="182" t="n">
        <v>10.92</v>
      </c>
      <c r="AL6377" s="182" t="n">
        <v>0</v>
      </c>
      <c r="AM6377" s="182" t="n">
        <v>0.08</v>
      </c>
      <c r="AN6377" s="182" t="n">
        <v>0</v>
      </c>
    </row>
    <row r="6378">
      <c r="A6378" s="155" t="n">
        <v>46110</v>
      </c>
      <c r="B6378" s="156" t="inlineStr">
        <is>
          <t>NS</t>
        </is>
      </c>
      <c r="C6378" s="156" t="inlineStr">
        <is>
          <t>WL-023</t>
        </is>
      </c>
      <c r="D6378" s="156" t="inlineStr">
        <is>
          <t>SANY - Loader</t>
        </is>
      </c>
      <c r="E6378" s="156" t="inlineStr">
        <is>
          <t>Loader</t>
        </is>
      </c>
      <c r="F6378" s="156" t="inlineStr"/>
      <c r="G6378" s="182" t="n">
        <v>0</v>
      </c>
      <c r="H6378" s="182" t="n">
        <v>0</v>
      </c>
      <c r="I6378" s="182" t="n">
        <v>0</v>
      </c>
      <c r="J6378" s="182" t="n">
        <v>0</v>
      </c>
      <c r="K6378" s="182" t="n">
        <v>12</v>
      </c>
      <c r="L6378" s="182" t="n">
        <v>12</v>
      </c>
      <c r="M6378" s="182" t="n">
        <v>0</v>
      </c>
      <c r="N6378" s="182" t="n">
        <v>0</v>
      </c>
      <c r="O6378" s="183" t="n">
        <v>0</v>
      </c>
      <c r="P6378" s="183" t="n">
        <v>0</v>
      </c>
      <c r="Q6378" s="184" t="n">
        <v>0</v>
      </c>
      <c r="R6378" s="184" t="n">
        <v>0</v>
      </c>
      <c r="S6378" s="183" t="n">
        <v>0</v>
      </c>
      <c r="T6378" s="183" t="n">
        <v>0</v>
      </c>
      <c r="U6378" s="182" t="n">
        <v>0</v>
      </c>
      <c r="V6378" s="182" t="n">
        <v>0</v>
      </c>
      <c r="W6378" s="182" t="n">
        <v>0</v>
      </c>
      <c r="X6378" s="182" t="n">
        <v>1</v>
      </c>
      <c r="Y6378" s="182" t="n">
        <v>0</v>
      </c>
      <c r="Z6378" s="182" t="n">
        <v>0</v>
      </c>
      <c r="AA6378" s="182" t="n">
        <v>0</v>
      </c>
      <c r="AB6378" s="182" t="n">
        <v>0</v>
      </c>
      <c r="AC6378" s="182" t="n">
        <v>0</v>
      </c>
      <c r="AD6378" s="182" t="n">
        <v>0</v>
      </c>
      <c r="AE6378" s="182" t="n">
        <v>0</v>
      </c>
      <c r="AF6378" s="182" t="n">
        <v>0</v>
      </c>
      <c r="AG6378" s="182" t="n">
        <v>0</v>
      </c>
      <c r="AH6378" s="182" t="n">
        <v>0</v>
      </c>
      <c r="AI6378" s="182" t="n">
        <v>0</v>
      </c>
      <c r="AJ6378" s="182" t="n">
        <v>0</v>
      </c>
      <c r="AK6378" s="182" t="n">
        <v>10.92</v>
      </c>
      <c r="AL6378" s="182" t="n">
        <v>0</v>
      </c>
      <c r="AM6378" s="182" t="n">
        <v>0.08</v>
      </c>
      <c r="AN6378" s="182" t="n">
        <v>0</v>
      </c>
    </row>
    <row r="6379">
      <c r="A6379" s="155" t="n">
        <v>46110</v>
      </c>
      <c r="B6379" s="156" t="inlineStr">
        <is>
          <t>NS</t>
        </is>
      </c>
      <c r="C6379" s="156" t="inlineStr">
        <is>
          <t>WL-021</t>
        </is>
      </c>
      <c r="D6379" s="156" t="inlineStr">
        <is>
          <t>SANY - Loader</t>
        </is>
      </c>
      <c r="E6379" s="156" t="inlineStr">
        <is>
          <t>Loader</t>
        </is>
      </c>
      <c r="F6379" s="156" t="inlineStr"/>
      <c r="G6379" s="182" t="n">
        <v>0</v>
      </c>
      <c r="H6379" s="182" t="n">
        <v>0</v>
      </c>
      <c r="I6379" s="182" t="n">
        <v>12</v>
      </c>
      <c r="J6379" s="182" t="n">
        <v>12</v>
      </c>
      <c r="K6379" s="182" t="n">
        <v>0</v>
      </c>
      <c r="L6379" s="182" t="n">
        <v>12</v>
      </c>
      <c r="M6379" s="182" t="n">
        <v>0</v>
      </c>
      <c r="N6379" s="182" t="n">
        <v>0</v>
      </c>
      <c r="O6379" s="183" t="n">
        <v>0</v>
      </c>
      <c r="P6379" s="183" t="n">
        <v>0</v>
      </c>
      <c r="Q6379" s="184" t="n">
        <v>0</v>
      </c>
      <c r="R6379" s="184" t="n">
        <v>0</v>
      </c>
      <c r="S6379" s="183" t="n">
        <v>0</v>
      </c>
      <c r="T6379" s="183" t="n">
        <v>0</v>
      </c>
      <c r="U6379" s="182" t="n">
        <v>0</v>
      </c>
      <c r="V6379" s="182" t="n">
        <v>0</v>
      </c>
      <c r="W6379" s="182" t="n">
        <v>0</v>
      </c>
      <c r="X6379" s="182" t="n">
        <v>0</v>
      </c>
      <c r="Y6379" s="182" t="n">
        <v>0</v>
      </c>
      <c r="Z6379" s="182" t="n">
        <v>0</v>
      </c>
      <c r="AA6379" s="182" t="n">
        <v>0</v>
      </c>
      <c r="AB6379" s="182" t="n">
        <v>0</v>
      </c>
      <c r="AC6379" s="182" t="n">
        <v>0</v>
      </c>
      <c r="AD6379" s="182" t="n">
        <v>0</v>
      </c>
      <c r="AE6379" s="182" t="n">
        <v>0</v>
      </c>
      <c r="AF6379" s="182" t="n">
        <v>0</v>
      </c>
      <c r="AG6379" s="182" t="n">
        <v>0</v>
      </c>
      <c r="AH6379" s="182" t="n">
        <v>0</v>
      </c>
      <c r="AI6379" s="182" t="n">
        <v>0</v>
      </c>
      <c r="AJ6379" s="182" t="n">
        <v>0</v>
      </c>
      <c r="AK6379" s="182" t="n">
        <v>0</v>
      </c>
      <c r="AL6379" s="182" t="n">
        <v>0</v>
      </c>
      <c r="AM6379" s="182" t="n">
        <v>0</v>
      </c>
      <c r="AN6379" s="182" t="n">
        <v>0</v>
      </c>
    </row>
    <row r="6380">
      <c r="A6380" s="155" t="n">
        <v>46110</v>
      </c>
      <c r="B6380" s="156" t="inlineStr">
        <is>
          <t>NS</t>
        </is>
      </c>
      <c r="C6380" s="156" t="inlineStr">
        <is>
          <t>WL-022</t>
        </is>
      </c>
      <c r="D6380" s="156" t="inlineStr">
        <is>
          <t>SANY - Loader</t>
        </is>
      </c>
      <c r="E6380" s="156" t="inlineStr">
        <is>
          <t>Loader</t>
        </is>
      </c>
      <c r="F6380" s="156" t="inlineStr">
        <is>
          <t>Support Washing Plant</t>
        </is>
      </c>
      <c r="G6380" s="182" t="n">
        <v>11</v>
      </c>
      <c r="H6380" s="182" t="n">
        <v>0</v>
      </c>
      <c r="I6380" s="182" t="n">
        <v>0</v>
      </c>
      <c r="J6380" s="182" t="n">
        <v>0</v>
      </c>
      <c r="K6380" s="182" t="n">
        <v>1</v>
      </c>
      <c r="L6380" s="182" t="n">
        <v>12</v>
      </c>
      <c r="M6380" s="182" t="n">
        <v>0</v>
      </c>
      <c r="N6380" s="182" t="n">
        <v>0</v>
      </c>
      <c r="O6380" s="183" t="n">
        <v>0</v>
      </c>
      <c r="P6380" s="183" t="n">
        <v>0</v>
      </c>
      <c r="Q6380" s="184" t="n">
        <v>0</v>
      </c>
      <c r="R6380" s="184" t="n">
        <v>0</v>
      </c>
      <c r="S6380" s="183" t="n">
        <v>0</v>
      </c>
      <c r="T6380" s="183" t="n">
        <v>0</v>
      </c>
      <c r="U6380" s="182" t="n">
        <v>0</v>
      </c>
      <c r="V6380" s="182" t="n">
        <v>0</v>
      </c>
      <c r="W6380" s="182" t="n">
        <v>0</v>
      </c>
      <c r="X6380" s="182" t="n">
        <v>0.77</v>
      </c>
      <c r="Y6380" s="182" t="n">
        <v>0</v>
      </c>
      <c r="Z6380" s="182" t="n">
        <v>0</v>
      </c>
      <c r="AA6380" s="182" t="n">
        <v>0</v>
      </c>
      <c r="AB6380" s="182" t="n">
        <v>0</v>
      </c>
      <c r="AC6380" s="182" t="n">
        <v>0</v>
      </c>
      <c r="AD6380" s="182" t="n">
        <v>0</v>
      </c>
      <c r="AE6380" s="182" t="n">
        <v>0</v>
      </c>
      <c r="AF6380" s="182" t="n">
        <v>0</v>
      </c>
      <c r="AG6380" s="182" t="n">
        <v>0</v>
      </c>
      <c r="AH6380" s="182" t="n">
        <v>0.17</v>
      </c>
      <c r="AI6380" s="182" t="n">
        <v>0</v>
      </c>
      <c r="AJ6380" s="182" t="n">
        <v>0</v>
      </c>
      <c r="AK6380" s="182" t="n">
        <v>0</v>
      </c>
      <c r="AL6380" s="182" t="n">
        <v>0</v>
      </c>
      <c r="AM6380" s="182" t="n">
        <v>0.06</v>
      </c>
      <c r="AN6380" s="182" t="n">
        <v>0</v>
      </c>
    </row>
    <row r="6381">
      <c r="A6381" s="155" t="n">
        <v>46110</v>
      </c>
      <c r="B6381" s="156" t="inlineStr">
        <is>
          <t>NS</t>
        </is>
      </c>
      <c r="C6381" s="156" t="inlineStr">
        <is>
          <t>WL-024</t>
        </is>
      </c>
      <c r="D6381" s="156" t="inlineStr">
        <is>
          <t>SANY - Loader</t>
        </is>
      </c>
      <c r="E6381" s="156" t="inlineStr">
        <is>
          <t>Loader</t>
        </is>
      </c>
      <c r="F6381" s="156" t="inlineStr">
        <is>
          <t>Support Washing Plant</t>
        </is>
      </c>
      <c r="G6381" s="182" t="n">
        <v>11.54</v>
      </c>
      <c r="H6381" s="182" t="n">
        <v>0</v>
      </c>
      <c r="I6381" s="182" t="n">
        <v>0</v>
      </c>
      <c r="J6381" s="182" t="n">
        <v>0</v>
      </c>
      <c r="K6381" s="182" t="n">
        <v>0.46</v>
      </c>
      <c r="L6381" s="182" t="n">
        <v>12</v>
      </c>
      <c r="M6381" s="182" t="n">
        <v>0</v>
      </c>
      <c r="N6381" s="182" t="n">
        <v>0</v>
      </c>
      <c r="O6381" s="183" t="n">
        <v>0</v>
      </c>
      <c r="P6381" s="183" t="n">
        <v>0</v>
      </c>
      <c r="Q6381" s="184" t="n">
        <v>0</v>
      </c>
      <c r="R6381" s="184" t="n">
        <v>0</v>
      </c>
      <c r="S6381" s="183" t="n">
        <v>0</v>
      </c>
      <c r="T6381" s="183" t="n">
        <v>0</v>
      </c>
      <c r="U6381" s="182" t="n">
        <v>0</v>
      </c>
      <c r="V6381" s="182" t="n">
        <v>0</v>
      </c>
      <c r="W6381" s="182" t="n">
        <v>0</v>
      </c>
      <c r="X6381" s="182" t="n">
        <v>0.09</v>
      </c>
      <c r="Y6381" s="182" t="n">
        <v>0</v>
      </c>
      <c r="Z6381" s="182" t="n">
        <v>0</v>
      </c>
      <c r="AA6381" s="182" t="n">
        <v>0</v>
      </c>
      <c r="AB6381" s="182" t="n">
        <v>0</v>
      </c>
      <c r="AC6381" s="182" t="n">
        <v>0</v>
      </c>
      <c r="AD6381" s="182" t="n">
        <v>0</v>
      </c>
      <c r="AE6381" s="182" t="n">
        <v>0</v>
      </c>
      <c r="AF6381" s="182" t="n">
        <v>0</v>
      </c>
      <c r="AG6381" s="182" t="n">
        <v>0</v>
      </c>
      <c r="AH6381" s="182" t="n">
        <v>0</v>
      </c>
      <c r="AI6381" s="182" t="n">
        <v>0</v>
      </c>
      <c r="AJ6381" s="182" t="n">
        <v>0</v>
      </c>
      <c r="AK6381" s="182" t="n">
        <v>0</v>
      </c>
      <c r="AL6381" s="182" t="n">
        <v>0</v>
      </c>
      <c r="AM6381" s="182" t="n">
        <v>0.37</v>
      </c>
      <c r="AN6381" s="18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A6A6A6"/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6" customWidth="1" min="4" max="4"/>
    <col width="16" customWidth="1" min="5" max="5"/>
  </cols>
  <sheetData>
    <row r="1" ht="32" customHeight="1">
      <c r="A1" s="153" t="inlineStr">
        <is>
          <t>Tanggal</t>
        </is>
      </c>
      <c r="B1" s="153" t="inlineStr">
        <is>
          <t>Plan OB (BCM)</t>
        </is>
      </c>
      <c r="C1" s="153" t="inlineStr">
        <is>
          <t>Plan Coal (MT)</t>
        </is>
      </c>
      <c r="D1" s="153" t="inlineStr">
        <is>
          <t>Plan Fuel Mining (L)</t>
        </is>
      </c>
      <c r="E1" s="153" t="inlineStr">
        <is>
          <t>Plan Fuel All (L)</t>
        </is>
      </c>
    </row>
    <row r="2">
      <c r="A2" s="155" t="n">
        <v>46082</v>
      </c>
      <c r="B2" s="184" t="n">
        <v>19384.3</v>
      </c>
      <c r="C2" s="184" t="n">
        <v>1704.6</v>
      </c>
      <c r="D2" s="183" t="n">
        <v>19015.4</v>
      </c>
      <c r="E2" s="183" t="n">
        <v>24864.4</v>
      </c>
    </row>
    <row r="3">
      <c r="A3" s="155" t="n">
        <v>46083</v>
      </c>
      <c r="B3" s="184" t="n">
        <v>19563.6</v>
      </c>
      <c r="C3" s="184" t="n">
        <v>1736.4</v>
      </c>
      <c r="D3" s="183" t="n">
        <v>19772.8</v>
      </c>
      <c r="E3" s="183" t="n">
        <v>24634.8</v>
      </c>
    </row>
    <row r="4">
      <c r="A4" s="155" t="n">
        <v>46084</v>
      </c>
      <c r="B4" s="184" t="n">
        <v>18706.3</v>
      </c>
      <c r="C4" s="184" t="n">
        <v>1701</v>
      </c>
      <c r="D4" s="183" t="n">
        <v>19199.5</v>
      </c>
      <c r="E4" s="183" t="n">
        <v>24683.8</v>
      </c>
    </row>
    <row r="5">
      <c r="A5" s="155" t="n">
        <v>46085</v>
      </c>
      <c r="B5" s="184" t="n">
        <v>19558.2</v>
      </c>
      <c r="C5" s="184" t="n">
        <v>1768</v>
      </c>
      <c r="D5" s="183" t="n">
        <v>19766</v>
      </c>
      <c r="E5" s="183" t="n">
        <v>24693.7</v>
      </c>
    </row>
    <row r="6">
      <c r="A6" s="155" t="n">
        <v>46086</v>
      </c>
      <c r="B6" s="184" t="n">
        <v>19032.7</v>
      </c>
      <c r="C6" s="184" t="n">
        <v>1690.9</v>
      </c>
      <c r="D6" s="183" t="n">
        <v>18938.2</v>
      </c>
      <c r="E6" s="183" t="n">
        <v>24731.3</v>
      </c>
    </row>
    <row r="7">
      <c r="A7" s="155" t="n">
        <v>46087</v>
      </c>
      <c r="B7" s="184" t="n">
        <v>19762.5</v>
      </c>
      <c r="C7" s="184" t="n">
        <v>1719.4</v>
      </c>
      <c r="D7" s="183" t="n">
        <v>19361.8</v>
      </c>
      <c r="E7" s="183" t="n">
        <v>25308.7</v>
      </c>
    </row>
    <row r="8">
      <c r="A8" s="155" t="n">
        <v>46088</v>
      </c>
      <c r="B8" s="184" t="n">
        <v>18785.2</v>
      </c>
      <c r="C8" s="184" t="n">
        <v>1731.7</v>
      </c>
      <c r="D8" s="183" t="n">
        <v>18756.1</v>
      </c>
      <c r="E8" s="183" t="n">
        <v>24352.6</v>
      </c>
    </row>
    <row r="9">
      <c r="A9" s="155" t="n">
        <v>46089</v>
      </c>
      <c r="B9" s="184" t="n">
        <v>18907.8</v>
      </c>
      <c r="C9" s="184" t="n">
        <v>1686.1</v>
      </c>
      <c r="D9" s="183" t="n">
        <v>19003.2</v>
      </c>
      <c r="E9" s="183" t="n">
        <v>24214.2</v>
      </c>
    </row>
    <row r="10">
      <c r="A10" s="155" t="n">
        <v>46090</v>
      </c>
      <c r="B10" s="184" t="n">
        <v>19143.1</v>
      </c>
      <c r="C10" s="184" t="n">
        <v>1754.3</v>
      </c>
      <c r="D10" s="183" t="n">
        <v>19508.3</v>
      </c>
      <c r="E10" s="183" t="n">
        <v>24818.6</v>
      </c>
    </row>
    <row r="11">
      <c r="A11" s="155" t="n">
        <v>46091</v>
      </c>
      <c r="B11" s="184" t="n">
        <v>16670.5</v>
      </c>
      <c r="C11" s="184" t="n">
        <v>1255.4</v>
      </c>
      <c r="D11" s="183" t="n">
        <v>16440.9</v>
      </c>
      <c r="E11" s="183" t="n">
        <v>20892</v>
      </c>
    </row>
    <row r="12">
      <c r="A12" s="155" t="n">
        <v>46092</v>
      </c>
      <c r="B12" s="184" t="n">
        <v>19483.5</v>
      </c>
      <c r="C12" s="184" t="n">
        <v>1738.7</v>
      </c>
      <c r="D12" s="183" t="n">
        <v>19328.8</v>
      </c>
      <c r="E12" s="183" t="n">
        <v>25114.6</v>
      </c>
    </row>
    <row r="13">
      <c r="A13" s="155" t="n">
        <v>46093</v>
      </c>
      <c r="B13" s="184" t="n">
        <v>19721.1</v>
      </c>
      <c r="C13" s="184" t="n">
        <v>1684.9</v>
      </c>
      <c r="D13" s="183" t="n">
        <v>19844.5</v>
      </c>
      <c r="E13" s="183" t="n">
        <v>24885.3</v>
      </c>
    </row>
    <row r="14">
      <c r="A14" s="155" t="n">
        <v>46094</v>
      </c>
      <c r="B14" s="184" t="n">
        <v>18929.1</v>
      </c>
      <c r="C14" s="184" t="n">
        <v>1691.8</v>
      </c>
      <c r="D14" s="183" t="n">
        <v>19541.7</v>
      </c>
      <c r="E14" s="183" t="n">
        <v>25941.6</v>
      </c>
    </row>
    <row r="15">
      <c r="A15" s="155" t="n">
        <v>46095</v>
      </c>
      <c r="B15" s="184" t="n">
        <v>19642</v>
      </c>
      <c r="C15" s="184" t="n">
        <v>1762.1</v>
      </c>
      <c r="D15" s="183" t="n">
        <v>18913</v>
      </c>
      <c r="E15" s="183" t="n">
        <v>25072.6</v>
      </c>
    </row>
    <row r="16">
      <c r="A16" s="155" t="n">
        <v>46096</v>
      </c>
      <c r="B16" s="184" t="n">
        <v>19373.6</v>
      </c>
      <c r="C16" s="184" t="n">
        <v>1635</v>
      </c>
      <c r="D16" s="183" t="n">
        <v>19284.6</v>
      </c>
      <c r="E16" s="183" t="n">
        <v>25303.9</v>
      </c>
    </row>
    <row r="17">
      <c r="A17" s="155" t="n">
        <v>46097</v>
      </c>
      <c r="B17" s="184" t="n">
        <v>17801.7</v>
      </c>
      <c r="C17" s="184" t="n">
        <v>1507</v>
      </c>
      <c r="D17" s="183" t="n">
        <v>17853</v>
      </c>
      <c r="E17" s="183" t="n">
        <v>23189.6</v>
      </c>
    </row>
    <row r="18">
      <c r="A18" s="155" t="n">
        <v>46098</v>
      </c>
      <c r="B18" s="184" t="n">
        <v>19775.3</v>
      </c>
      <c r="C18" s="184" t="n">
        <v>1696.2</v>
      </c>
      <c r="D18" s="183" t="n">
        <v>19449.3</v>
      </c>
      <c r="E18" s="183" t="n">
        <v>24734.1</v>
      </c>
    </row>
    <row r="19">
      <c r="A19" s="155" t="n">
        <v>46099</v>
      </c>
      <c r="B19" s="184" t="n">
        <v>18876</v>
      </c>
      <c r="C19" s="184" t="n">
        <v>1670.6</v>
      </c>
      <c r="D19" s="183" t="n">
        <v>18863.8</v>
      </c>
      <c r="E19" s="183" t="n">
        <v>25370.6</v>
      </c>
    </row>
    <row r="20">
      <c r="A20" s="155" t="n">
        <v>46100</v>
      </c>
      <c r="B20" s="184" t="n">
        <v>19346</v>
      </c>
      <c r="C20" s="184" t="n">
        <v>1754.1</v>
      </c>
      <c r="D20" s="183" t="n">
        <v>19262.6</v>
      </c>
      <c r="E20" s="183" t="n">
        <v>26057</v>
      </c>
    </row>
    <row r="21">
      <c r="A21" s="155" t="n">
        <v>46101</v>
      </c>
      <c r="B21" s="184" t="n">
        <v>19379.4</v>
      </c>
      <c r="C21" s="184" t="n">
        <v>1767.3</v>
      </c>
      <c r="D21" s="183" t="n">
        <v>19372.6</v>
      </c>
      <c r="E21" s="183" t="n">
        <v>24430.8</v>
      </c>
    </row>
    <row r="22">
      <c r="A22" s="155" t="n">
        <v>46102</v>
      </c>
      <c r="B22" s="184" t="n">
        <v>19700.8</v>
      </c>
      <c r="C22" s="184" t="n">
        <v>1684.8</v>
      </c>
      <c r="D22" s="183" t="n">
        <v>18746.4</v>
      </c>
      <c r="E22" s="183" t="n">
        <v>25388.8</v>
      </c>
    </row>
    <row r="23">
      <c r="A23" s="155" t="n">
        <v>46103</v>
      </c>
      <c r="B23" s="184" t="n">
        <v>19698.6</v>
      </c>
      <c r="C23" s="184" t="n">
        <v>1724.2</v>
      </c>
      <c r="D23" s="183" t="n">
        <v>19861.3</v>
      </c>
      <c r="E23" s="183" t="n">
        <v>25455.2</v>
      </c>
    </row>
    <row r="24">
      <c r="A24" s="155" t="n">
        <v>46104</v>
      </c>
      <c r="B24" s="184" t="n">
        <v>19577.1</v>
      </c>
      <c r="C24" s="184" t="n">
        <v>1710.5</v>
      </c>
      <c r="D24" s="183" t="n">
        <v>19239.9</v>
      </c>
      <c r="E24" s="183" t="n">
        <v>27256.4</v>
      </c>
    </row>
    <row r="25">
      <c r="A25" s="155" t="n">
        <v>46105</v>
      </c>
      <c r="B25" s="184" t="n">
        <v>18456.4</v>
      </c>
      <c r="C25" s="184" t="n">
        <v>1673.1</v>
      </c>
      <c r="D25" s="183" t="n">
        <v>18841.9</v>
      </c>
      <c r="E25" s="183" t="n">
        <v>24825.5</v>
      </c>
    </row>
    <row r="26">
      <c r="A26" s="155" t="n">
        <v>46106</v>
      </c>
      <c r="B26" s="184" t="n">
        <v>19509.6</v>
      </c>
      <c r="C26" s="184" t="n">
        <v>1642.2</v>
      </c>
      <c r="D26" s="183" t="n">
        <v>19432.8</v>
      </c>
      <c r="E26" s="183" t="n">
        <v>25604</v>
      </c>
    </row>
    <row r="27">
      <c r="A27" s="155" t="n">
        <v>46107</v>
      </c>
      <c r="B27" s="184" t="n">
        <v>19408.6</v>
      </c>
      <c r="C27" s="184" t="n">
        <v>1709.7</v>
      </c>
      <c r="D27" s="183" t="n">
        <v>19458.6</v>
      </c>
      <c r="E27" s="183" t="n">
        <v>26128.1</v>
      </c>
    </row>
    <row r="28">
      <c r="A28" s="155" t="n">
        <v>46108</v>
      </c>
      <c r="B28" s="184" t="n">
        <v>19824.5</v>
      </c>
      <c r="C28" s="184" t="n">
        <v>1680.4</v>
      </c>
      <c r="D28" s="183" t="n">
        <v>19491.4</v>
      </c>
      <c r="E28" s="183" t="n">
        <v>25638.5</v>
      </c>
    </row>
    <row r="29">
      <c r="A29" s="155" t="n">
        <v>46109</v>
      </c>
      <c r="B29" s="184" t="n">
        <v>18240.6</v>
      </c>
      <c r="C29" s="184" t="n">
        <v>1502.4</v>
      </c>
      <c r="D29" s="183" t="n">
        <v>17298.5</v>
      </c>
      <c r="E29" s="183" t="n">
        <v>23617.9</v>
      </c>
    </row>
    <row r="30">
      <c r="A30" s="155" t="n">
        <v>46110</v>
      </c>
      <c r="B30" s="184" t="n">
        <v>17683.6</v>
      </c>
      <c r="C30" s="184" t="n">
        <v>1457</v>
      </c>
      <c r="D30" s="183" t="n">
        <v>17697.2</v>
      </c>
      <c r="E30" s="183" t="n">
        <v>22769</v>
      </c>
    </row>
    <row r="31">
      <c r="A31" s="155" t="n">
        <v>46111</v>
      </c>
      <c r="B31" s="184" t="n">
        <v>18789.5</v>
      </c>
      <c r="C31" s="184" t="n">
        <v>1691.7</v>
      </c>
      <c r="D31" s="183" t="n">
        <v>0</v>
      </c>
      <c r="E31" s="18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tabColor rgb="00A6A6A6"/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0" customWidth="1" min="3" max="3"/>
    <col width="11" customWidth="1" min="4" max="4"/>
    <col width="12" customWidth="1" min="5" max="5"/>
  </cols>
  <sheetData>
    <row r="1" ht="32" customHeight="1">
      <c r="A1" s="153" t="inlineStr">
        <is>
          <t>Tanggal</t>
        </is>
      </c>
      <c r="B1" s="153" t="inlineStr">
        <is>
          <t>Shift</t>
        </is>
      </c>
      <c r="C1" s="153" t="inlineStr">
        <is>
          <t>Jam Hujan</t>
        </is>
      </c>
      <c r="D1" s="153" t="inlineStr">
        <is>
          <t>Jam Slippery</t>
        </is>
      </c>
      <c r="E1" s="153" t="inlineStr">
        <is>
          <t>Curah Hujan (mm)</t>
        </is>
      </c>
    </row>
    <row r="2">
      <c r="A2" s="155" t="n">
        <v>46083</v>
      </c>
      <c r="B2" s="156" t="inlineStr">
        <is>
          <t>DS</t>
        </is>
      </c>
      <c r="C2" s="182" t="n">
        <v>0.88</v>
      </c>
      <c r="D2" s="182" t="n">
        <v>0</v>
      </c>
      <c r="E2" s="187" t="n">
        <v>0</v>
      </c>
    </row>
    <row r="3">
      <c r="A3" s="155" t="n">
        <v>46083</v>
      </c>
      <c r="B3" s="156" t="inlineStr">
        <is>
          <t>NS</t>
        </is>
      </c>
      <c r="C3" s="182" t="n">
        <v>2.88</v>
      </c>
      <c r="D3" s="182" t="n">
        <v>1.12</v>
      </c>
      <c r="E3" s="187" t="n">
        <v>0</v>
      </c>
    </row>
    <row r="4">
      <c r="A4" s="155" t="n">
        <v>46083</v>
      </c>
      <c r="B4" s="156" t="inlineStr">
        <is>
          <t>NS</t>
        </is>
      </c>
      <c r="C4" s="182" t="n">
        <v>0.5</v>
      </c>
      <c r="D4" s="182" t="n">
        <v>2.85</v>
      </c>
      <c r="E4" s="187" t="n">
        <v>14</v>
      </c>
    </row>
    <row r="5">
      <c r="A5" s="155" t="n">
        <v>46084</v>
      </c>
      <c r="B5" s="156" t="inlineStr">
        <is>
          <t>DS</t>
        </is>
      </c>
      <c r="C5" s="182" t="n">
        <v>3.03</v>
      </c>
      <c r="D5" s="182" t="n">
        <v>0</v>
      </c>
      <c r="E5" s="187" t="n">
        <v>0</v>
      </c>
    </row>
    <row r="6">
      <c r="A6" s="155" t="n">
        <v>46084</v>
      </c>
      <c r="B6" s="156" t="inlineStr">
        <is>
          <t>NS</t>
        </is>
      </c>
      <c r="C6" s="182" t="n">
        <v>4.5</v>
      </c>
      <c r="D6" s="182" t="n">
        <v>0.67</v>
      </c>
      <c r="E6" s="187" t="n">
        <v>0</v>
      </c>
    </row>
    <row r="7">
      <c r="A7" s="155" t="n">
        <v>46084</v>
      </c>
      <c r="B7" s="156" t="inlineStr">
        <is>
          <t>NS</t>
        </is>
      </c>
      <c r="C7" s="182" t="n">
        <v>6.83</v>
      </c>
      <c r="D7" s="182" t="n">
        <v>0</v>
      </c>
      <c r="E7" s="187" t="n">
        <v>10</v>
      </c>
    </row>
    <row r="8">
      <c r="A8" s="155" t="n">
        <v>46085</v>
      </c>
      <c r="B8" s="156" t="inlineStr">
        <is>
          <t>DS</t>
        </is>
      </c>
      <c r="C8" s="182" t="n">
        <v>1.42</v>
      </c>
      <c r="D8" s="182" t="n">
        <v>0</v>
      </c>
      <c r="E8" s="187" t="n">
        <v>10</v>
      </c>
    </row>
    <row r="9">
      <c r="A9" s="155" t="n">
        <v>46085</v>
      </c>
      <c r="B9" s="156" t="inlineStr">
        <is>
          <t>NS</t>
        </is>
      </c>
      <c r="C9" s="182" t="n">
        <v>7.42</v>
      </c>
      <c r="D9" s="182" t="n">
        <v>2</v>
      </c>
      <c r="E9" s="187" t="n">
        <v>0</v>
      </c>
    </row>
    <row r="10">
      <c r="A10" s="155" t="n">
        <v>46086</v>
      </c>
      <c r="B10" s="156" t="inlineStr">
        <is>
          <t>NS</t>
        </is>
      </c>
      <c r="C10" s="182" t="n">
        <v>4.25</v>
      </c>
      <c r="D10" s="182" t="n">
        <v>0</v>
      </c>
      <c r="E10" s="187" t="n">
        <v>24</v>
      </c>
    </row>
    <row r="11">
      <c r="A11" s="155" t="n">
        <v>46088</v>
      </c>
      <c r="B11" s="156" t="inlineStr">
        <is>
          <t>DS</t>
        </is>
      </c>
      <c r="C11" s="182" t="n">
        <v>1.3</v>
      </c>
      <c r="D11" s="182" t="n">
        <v>1</v>
      </c>
      <c r="E11" s="187" t="n">
        <v>0</v>
      </c>
    </row>
    <row r="12">
      <c r="A12" s="155" t="n">
        <v>46088</v>
      </c>
      <c r="B12" s="156" t="inlineStr">
        <is>
          <t>NS</t>
        </is>
      </c>
      <c r="C12" s="182" t="n">
        <v>0</v>
      </c>
      <c r="D12" s="182" t="n">
        <v>1.78</v>
      </c>
      <c r="E12" s="187" t="n">
        <v>0</v>
      </c>
    </row>
    <row r="13">
      <c r="A13" s="155" t="n">
        <v>46088</v>
      </c>
      <c r="B13" s="156" t="inlineStr">
        <is>
          <t>NS</t>
        </is>
      </c>
      <c r="C13" s="182" t="n">
        <v>7.05</v>
      </c>
      <c r="D13" s="182" t="n">
        <v>1.75</v>
      </c>
      <c r="E13" s="187" t="n">
        <v>11</v>
      </c>
    </row>
    <row r="14">
      <c r="A14" s="155" t="n">
        <v>46089</v>
      </c>
      <c r="B14" s="156" t="inlineStr">
        <is>
          <t>NS</t>
        </is>
      </c>
      <c r="C14" s="182" t="n">
        <v>0.33</v>
      </c>
      <c r="D14" s="182" t="n">
        <v>0</v>
      </c>
      <c r="E14" s="187" t="n">
        <v>1</v>
      </c>
    </row>
    <row r="15">
      <c r="A15" s="155" t="n">
        <v>46089</v>
      </c>
      <c r="B15" s="156" t="inlineStr">
        <is>
          <t>NS</t>
        </is>
      </c>
      <c r="C15" s="182" t="n">
        <v>0.38</v>
      </c>
      <c r="D15" s="182" t="n">
        <v>0.62</v>
      </c>
      <c r="E15" s="187" t="n">
        <v>0</v>
      </c>
    </row>
    <row r="16">
      <c r="A16" s="155" t="n">
        <v>46091</v>
      </c>
      <c r="B16" s="156" t="inlineStr">
        <is>
          <t>DS</t>
        </is>
      </c>
      <c r="C16" s="182" t="n">
        <v>0</v>
      </c>
      <c r="D16" s="182" t="n">
        <v>1.5</v>
      </c>
      <c r="E16" s="187" t="n">
        <v>4</v>
      </c>
    </row>
    <row r="17">
      <c r="A17" s="155" t="n">
        <v>46091</v>
      </c>
      <c r="B17" s="156" t="inlineStr">
        <is>
          <t>DS</t>
        </is>
      </c>
      <c r="C17" s="182" t="n">
        <v>2.57</v>
      </c>
      <c r="D17" s="182" t="n">
        <v>1.75</v>
      </c>
      <c r="E17" s="187" t="n">
        <v>0</v>
      </c>
    </row>
    <row r="18">
      <c r="A18" s="155" t="n">
        <v>46091</v>
      </c>
      <c r="B18" s="156" t="inlineStr">
        <is>
          <t>NS</t>
        </is>
      </c>
      <c r="C18" s="182" t="n">
        <v>0</v>
      </c>
      <c r="D18" s="182" t="n">
        <v>2.25</v>
      </c>
      <c r="E18" s="187" t="n">
        <v>0</v>
      </c>
    </row>
    <row r="19">
      <c r="A19" s="155" t="n">
        <v>46092</v>
      </c>
      <c r="B19" s="156" t="inlineStr">
        <is>
          <t>DS</t>
        </is>
      </c>
      <c r="C19" s="182" t="n">
        <v>2.92</v>
      </c>
      <c r="D19" s="182" t="n">
        <v>1.15</v>
      </c>
      <c r="E19" s="187" t="n">
        <v>0</v>
      </c>
    </row>
    <row r="20">
      <c r="A20" s="155" t="n">
        <v>46092</v>
      </c>
      <c r="B20" s="156" t="inlineStr">
        <is>
          <t>DS</t>
        </is>
      </c>
      <c r="C20" s="182" t="n">
        <v>0.62</v>
      </c>
      <c r="D20" s="182" t="n">
        <v>0.57</v>
      </c>
      <c r="E20" s="187" t="n">
        <v>0</v>
      </c>
    </row>
    <row r="21">
      <c r="A21" s="155" t="n">
        <v>46092</v>
      </c>
      <c r="B21" s="156" t="inlineStr">
        <is>
          <t>NS</t>
        </is>
      </c>
      <c r="C21" s="182" t="n">
        <v>4.17</v>
      </c>
      <c r="D21" s="182" t="n">
        <v>0</v>
      </c>
      <c r="E21" s="187" t="n">
        <v>17</v>
      </c>
    </row>
    <row r="22">
      <c r="A22" s="155" t="n">
        <v>46093</v>
      </c>
      <c r="B22" s="156" t="inlineStr">
        <is>
          <t>DS</t>
        </is>
      </c>
      <c r="C22" s="182" t="n">
        <v>0.5</v>
      </c>
      <c r="D22" s="182" t="n">
        <v>0.42</v>
      </c>
      <c r="E22" s="187" t="n">
        <v>2</v>
      </c>
    </row>
    <row r="23">
      <c r="A23" s="155" t="n">
        <v>46093</v>
      </c>
      <c r="B23" s="156" t="inlineStr">
        <is>
          <t>DS</t>
        </is>
      </c>
      <c r="C23" s="182" t="n">
        <v>1.33</v>
      </c>
      <c r="D23" s="182" t="n">
        <v>0.5</v>
      </c>
      <c r="E23" s="187" t="n">
        <v>0</v>
      </c>
    </row>
    <row r="24">
      <c r="A24" s="155" t="n">
        <v>46094</v>
      </c>
      <c r="B24" s="156" t="inlineStr">
        <is>
          <t>NS</t>
        </is>
      </c>
      <c r="C24" s="182" t="n">
        <v>7.35</v>
      </c>
      <c r="D24" s="182" t="n">
        <v>0</v>
      </c>
      <c r="E24" s="187" t="n">
        <v>51</v>
      </c>
    </row>
    <row r="25">
      <c r="A25" s="155" t="n">
        <v>46096</v>
      </c>
      <c r="B25" s="156" t="inlineStr">
        <is>
          <t>DS</t>
        </is>
      </c>
      <c r="C25" s="182" t="n">
        <v>1.43</v>
      </c>
      <c r="D25" s="182" t="n">
        <v>0.52</v>
      </c>
      <c r="E25" s="187" t="n">
        <v>0</v>
      </c>
    </row>
    <row r="26">
      <c r="A26" s="155" t="n">
        <v>46096</v>
      </c>
      <c r="B26" s="156" t="inlineStr">
        <is>
          <t>NS</t>
        </is>
      </c>
      <c r="C26" s="182" t="n">
        <v>4.5</v>
      </c>
      <c r="D26" s="182" t="n">
        <v>0</v>
      </c>
      <c r="E26" s="187" t="n">
        <v>71</v>
      </c>
    </row>
    <row r="27">
      <c r="A27" s="155" t="n">
        <v>46097</v>
      </c>
      <c r="B27" s="156" t="inlineStr">
        <is>
          <t>DS</t>
        </is>
      </c>
      <c r="C27" s="182" t="n">
        <v>1.17</v>
      </c>
      <c r="D27" s="182" t="n">
        <v>0.92</v>
      </c>
      <c r="E27" s="187" t="n">
        <v>0</v>
      </c>
    </row>
    <row r="28">
      <c r="A28" s="155" t="n">
        <v>46098</v>
      </c>
      <c r="B28" s="156" t="inlineStr">
        <is>
          <t>NS</t>
        </is>
      </c>
      <c r="C28" s="182" t="n">
        <v>2.83</v>
      </c>
      <c r="D28" s="182" t="n">
        <v>0.83</v>
      </c>
      <c r="E28" s="187" t="n">
        <v>1</v>
      </c>
    </row>
    <row r="29">
      <c r="A29" s="155" t="n">
        <v>46100</v>
      </c>
      <c r="B29" s="156" t="inlineStr">
        <is>
          <t>DS</t>
        </is>
      </c>
      <c r="C29" s="182" t="n">
        <v>5</v>
      </c>
      <c r="D29" s="182" t="n">
        <v>3</v>
      </c>
      <c r="E29" s="187" t="n">
        <v>5</v>
      </c>
    </row>
    <row r="30">
      <c r="A30" s="155" t="n">
        <v>46102</v>
      </c>
      <c r="B30" s="156" t="inlineStr">
        <is>
          <t>DS</t>
        </is>
      </c>
      <c r="C30" s="182" t="n">
        <v>1.08</v>
      </c>
      <c r="D30" s="182" t="n">
        <v>0.67</v>
      </c>
      <c r="E30" s="187" t="n">
        <v>9</v>
      </c>
    </row>
    <row r="31">
      <c r="A31" s="155" t="n">
        <v>46102</v>
      </c>
      <c r="B31" s="156" t="inlineStr">
        <is>
          <t>DS</t>
        </is>
      </c>
      <c r="C31" s="182" t="n">
        <v>0.87</v>
      </c>
      <c r="D31" s="182" t="n">
        <v>0.75</v>
      </c>
      <c r="E31" s="187" t="n">
        <v>0</v>
      </c>
    </row>
    <row r="32">
      <c r="A32" s="155" t="n">
        <v>46102</v>
      </c>
      <c r="B32" s="156" t="inlineStr">
        <is>
          <t>NS</t>
        </is>
      </c>
      <c r="C32" s="182" t="n">
        <v>1.5</v>
      </c>
      <c r="D32" s="182" t="n">
        <v>0.6</v>
      </c>
      <c r="E32" s="187" t="n">
        <v>0</v>
      </c>
    </row>
    <row r="33">
      <c r="A33" s="155" t="n">
        <v>46103</v>
      </c>
      <c r="B33" s="156" t="inlineStr">
        <is>
          <t>DS</t>
        </is>
      </c>
      <c r="C33" s="182" t="n">
        <v>2.67</v>
      </c>
      <c r="D33" s="182" t="n">
        <v>2.05</v>
      </c>
      <c r="E33" s="187" t="n">
        <v>1</v>
      </c>
    </row>
    <row r="34">
      <c r="A34" s="155" t="n">
        <v>46104</v>
      </c>
      <c r="B34" s="156" t="inlineStr">
        <is>
          <t>DS</t>
        </is>
      </c>
      <c r="C34" s="182" t="n">
        <v>0.57</v>
      </c>
      <c r="D34" s="182" t="n">
        <v>0</v>
      </c>
      <c r="E34" s="187" t="n">
        <v>21</v>
      </c>
    </row>
    <row r="35">
      <c r="A35" s="155" t="n">
        <v>46104</v>
      </c>
      <c r="B35" s="156" t="inlineStr">
        <is>
          <t>NS</t>
        </is>
      </c>
      <c r="C35" s="182" t="n">
        <v>4.57</v>
      </c>
      <c r="D35" s="182" t="n">
        <v>1</v>
      </c>
      <c r="E35" s="187" t="n">
        <v>0</v>
      </c>
    </row>
    <row r="36">
      <c r="A36" s="155" t="n">
        <v>46104</v>
      </c>
      <c r="B36" s="156" t="inlineStr">
        <is>
          <t>NS</t>
        </is>
      </c>
      <c r="C36" s="182" t="n">
        <v>2.78</v>
      </c>
      <c r="D36" s="182" t="n">
        <v>0</v>
      </c>
      <c r="E36" s="187" t="n">
        <v>0</v>
      </c>
    </row>
    <row r="37">
      <c r="A37" s="155" t="n">
        <v>46105</v>
      </c>
      <c r="B37" s="156" t="inlineStr">
        <is>
          <t>DS</t>
        </is>
      </c>
      <c r="C37" s="182" t="n">
        <v>0.17</v>
      </c>
      <c r="D37" s="182" t="n">
        <v>0</v>
      </c>
      <c r="E37" s="187" t="n">
        <v>0</v>
      </c>
    </row>
    <row r="38">
      <c r="A38" s="155" t="n">
        <v>46106</v>
      </c>
      <c r="B38" s="156" t="inlineStr">
        <is>
          <t>DS</t>
        </is>
      </c>
      <c r="C38" s="182" t="n">
        <v>0.17</v>
      </c>
      <c r="D38" s="182" t="n">
        <v>0</v>
      </c>
      <c r="E38" s="187" t="n">
        <v>1</v>
      </c>
    </row>
    <row r="39">
      <c r="A39" s="155" t="n">
        <v>46106</v>
      </c>
      <c r="B39" s="156" t="inlineStr">
        <is>
          <t>NS</t>
        </is>
      </c>
      <c r="C39" s="182" t="n">
        <v>1.5</v>
      </c>
      <c r="D39" s="182" t="n">
        <v>0</v>
      </c>
      <c r="E39" s="187" t="n">
        <v>0</v>
      </c>
    </row>
    <row r="40">
      <c r="A40" s="155" t="n">
        <v>46107</v>
      </c>
      <c r="B40" s="156" t="inlineStr">
        <is>
          <t>NS</t>
        </is>
      </c>
      <c r="C40" s="182" t="n">
        <v>4.08</v>
      </c>
      <c r="D40" s="182" t="n">
        <v>2</v>
      </c>
      <c r="E40" s="187" t="n">
        <v>3</v>
      </c>
    </row>
    <row r="41">
      <c r="A41" s="155" t="n">
        <v>46109</v>
      </c>
      <c r="B41" s="156" t="inlineStr">
        <is>
          <t>DS</t>
        </is>
      </c>
      <c r="C41" s="182" t="n">
        <v>4.28</v>
      </c>
      <c r="D41" s="182" t="n">
        <v>0.7</v>
      </c>
      <c r="E41" s="187" t="n">
        <v>30</v>
      </c>
    </row>
    <row r="42">
      <c r="A42" s="155" t="n">
        <v>46109</v>
      </c>
      <c r="B42" s="156" t="inlineStr">
        <is>
          <t>NS</t>
        </is>
      </c>
      <c r="C42" s="182" t="n">
        <v>3.92</v>
      </c>
      <c r="D42" s="182" t="n">
        <v>1.42</v>
      </c>
      <c r="E42" s="187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tabColor rgb="00A6A6A6"/>
    <outlinePr summaryBelow="1" summaryRight="1"/>
    <pageSetUpPr/>
  </sheetPr>
  <dimension ref="A1:F18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1" customWidth="1" min="4" max="4"/>
    <col width="26" customWidth="1" min="5" max="5"/>
    <col width="11" customWidth="1" min="6" max="6"/>
  </cols>
  <sheetData>
    <row r="1" ht="32" customHeight="1">
      <c r="A1" s="153" t="inlineStr">
        <is>
          <t>Tanggal</t>
        </is>
      </c>
      <c r="B1" s="153" t="inlineStr">
        <is>
          <t>Unit</t>
        </is>
      </c>
      <c r="C1" s="153" t="inlineStr">
        <is>
          <t>Kategori</t>
        </is>
      </c>
      <c r="D1" s="153" t="inlineStr">
        <is>
          <t>Kelompok</t>
        </is>
      </c>
      <c r="E1" s="153" t="inlineStr">
        <is>
          <t>Tipe</t>
        </is>
      </c>
      <c r="F1" s="153" t="inlineStr">
        <is>
          <t>Liter</t>
        </is>
      </c>
    </row>
    <row r="2">
      <c r="A2" s="155" t="n">
        <v>46104</v>
      </c>
      <c r="B2" s="156" t="inlineStr">
        <is>
          <t>EX-755</t>
        </is>
      </c>
      <c r="C2" s="156" t="inlineStr">
        <is>
          <t>Excavator</t>
        </is>
      </c>
      <c r="D2" s="156" t="inlineStr">
        <is>
          <t>Mining</t>
        </is>
      </c>
      <c r="E2" s="156" t="inlineStr">
        <is>
          <t>SY750H-PRO</t>
        </is>
      </c>
      <c r="F2" s="184" t="n">
        <v>469.1</v>
      </c>
    </row>
    <row r="3">
      <c r="A3" s="155" t="n">
        <v>46104</v>
      </c>
      <c r="B3" s="156" t="inlineStr">
        <is>
          <t>EX-752</t>
        </is>
      </c>
      <c r="C3" s="156" t="inlineStr">
        <is>
          <t>Excavator</t>
        </is>
      </c>
      <c r="D3" s="156" t="inlineStr">
        <is>
          <t>Mining</t>
        </is>
      </c>
      <c r="E3" s="156" t="inlineStr">
        <is>
          <t>SY750H-PRO</t>
        </is>
      </c>
      <c r="F3" s="184" t="n">
        <v>496.7</v>
      </c>
    </row>
    <row r="4">
      <c r="A4" s="155" t="n">
        <v>46104</v>
      </c>
      <c r="B4" s="156" t="inlineStr">
        <is>
          <t>EX-753</t>
        </is>
      </c>
      <c r="C4" s="156" t="inlineStr">
        <is>
          <t>Excavator</t>
        </is>
      </c>
      <c r="D4" s="156" t="inlineStr">
        <is>
          <t>Mining</t>
        </is>
      </c>
      <c r="E4" s="156" t="inlineStr">
        <is>
          <t>SY750H-PRO</t>
        </is>
      </c>
      <c r="F4" s="184" t="n">
        <v>560.5</v>
      </c>
    </row>
    <row r="5">
      <c r="A5" s="155" t="n">
        <v>46104</v>
      </c>
      <c r="B5" s="156" t="inlineStr">
        <is>
          <t>EX-334</t>
        </is>
      </c>
      <c r="C5" s="156" t="inlineStr">
        <is>
          <t>Excavator</t>
        </is>
      </c>
      <c r="D5" s="156" t="inlineStr">
        <is>
          <t>Mining</t>
        </is>
      </c>
      <c r="E5" s="156" t="inlineStr">
        <is>
          <t>PC 300-8MO</t>
        </is>
      </c>
      <c r="F5" s="184" t="n">
        <v>479.8</v>
      </c>
    </row>
    <row r="6">
      <c r="A6" s="155" t="n">
        <v>46104</v>
      </c>
      <c r="B6" s="156" t="inlineStr">
        <is>
          <t>EX-332</t>
        </is>
      </c>
      <c r="C6" s="156" t="inlineStr">
        <is>
          <t>Excavator</t>
        </is>
      </c>
      <c r="D6" s="156" t="inlineStr">
        <is>
          <t>Mining</t>
        </is>
      </c>
      <c r="E6" s="156" t="inlineStr">
        <is>
          <t>PC 300-8MO</t>
        </is>
      </c>
      <c r="F6" s="184" t="n">
        <v>442.6</v>
      </c>
    </row>
    <row r="7">
      <c r="A7" s="155" t="n">
        <v>46104</v>
      </c>
      <c r="B7" s="156" t="inlineStr">
        <is>
          <t>EX-222</t>
        </is>
      </c>
      <c r="C7" s="156" t="inlineStr">
        <is>
          <t>Excavator</t>
        </is>
      </c>
      <c r="D7" s="156" t="inlineStr">
        <is>
          <t>Mining</t>
        </is>
      </c>
      <c r="E7" s="156" t="inlineStr">
        <is>
          <t>PC 200-8MI</t>
        </is>
      </c>
      <c r="F7" s="184" t="n">
        <v>178.5</v>
      </c>
    </row>
    <row r="8">
      <c r="A8" s="155" t="n">
        <v>46104</v>
      </c>
      <c r="B8" s="156" t="inlineStr">
        <is>
          <t>EX-221</t>
        </is>
      </c>
      <c r="C8" s="156" t="inlineStr">
        <is>
          <t>Excavator</t>
        </is>
      </c>
      <c r="D8" s="156" t="inlineStr">
        <is>
          <t>Aux</t>
        </is>
      </c>
      <c r="E8" s="156" t="inlineStr">
        <is>
          <t>PC 200-8MI</t>
        </is>
      </c>
      <c r="F8" s="184" t="n">
        <v>157.2</v>
      </c>
    </row>
    <row r="9">
      <c r="A9" s="155" t="n">
        <v>46104</v>
      </c>
      <c r="B9" s="156" t="inlineStr">
        <is>
          <t>EX-1251</t>
        </is>
      </c>
      <c r="C9" s="156" t="inlineStr">
        <is>
          <t>Excavator</t>
        </is>
      </c>
      <c r="D9" s="156" t="inlineStr">
        <is>
          <t>Mining</t>
        </is>
      </c>
      <c r="E9" s="156" t="inlineStr">
        <is>
          <t>SY1250</t>
        </is>
      </c>
      <c r="F9" s="184" t="n">
        <v>1507.3</v>
      </c>
    </row>
    <row r="10">
      <c r="A10" s="155" t="n">
        <v>46104</v>
      </c>
      <c r="B10" s="156" t="inlineStr">
        <is>
          <t>EX-1252</t>
        </is>
      </c>
      <c r="C10" s="156" t="inlineStr">
        <is>
          <t>Excavator</t>
        </is>
      </c>
      <c r="D10" s="156" t="inlineStr">
        <is>
          <t>Mining</t>
        </is>
      </c>
      <c r="E10" s="156" t="inlineStr">
        <is>
          <t>SY1250</t>
        </is>
      </c>
      <c r="F10" s="184" t="n">
        <v>1772.8</v>
      </c>
    </row>
    <row r="11">
      <c r="A11" s="155" t="n">
        <v>46104</v>
      </c>
      <c r="B11" s="156" t="inlineStr">
        <is>
          <t>EX-2101</t>
        </is>
      </c>
      <c r="C11" s="156" t="inlineStr">
        <is>
          <t>Excavator</t>
        </is>
      </c>
      <c r="D11" s="156" t="inlineStr">
        <is>
          <t>Mining</t>
        </is>
      </c>
      <c r="E11" s="156" t="inlineStr">
        <is>
          <t>SY2000</t>
        </is>
      </c>
      <c r="F11" s="184" t="n">
        <v>2064.4</v>
      </c>
    </row>
    <row r="12">
      <c r="A12" s="155" t="n">
        <v>46104</v>
      </c>
      <c r="B12" s="156" t="inlineStr">
        <is>
          <t>EX-333</t>
        </is>
      </c>
      <c r="C12" s="156" t="inlineStr">
        <is>
          <t>Excavator</t>
        </is>
      </c>
      <c r="D12" s="156" t="inlineStr">
        <is>
          <t>Mining</t>
        </is>
      </c>
      <c r="E12" s="156" t="inlineStr">
        <is>
          <t>PC 300-8MO</t>
        </is>
      </c>
      <c r="F12" s="184" t="n">
        <v>429.6</v>
      </c>
    </row>
    <row r="13">
      <c r="A13" s="155" t="n">
        <v>46104</v>
      </c>
      <c r="B13" s="156" t="inlineStr">
        <is>
          <t>EX-336</t>
        </is>
      </c>
      <c r="C13" s="156" t="inlineStr">
        <is>
          <t>Excavator</t>
        </is>
      </c>
      <c r="D13" s="156" t="inlineStr">
        <is>
          <t>Mining</t>
        </is>
      </c>
      <c r="E13" s="156" t="inlineStr">
        <is>
          <t>PC 300-8MO</t>
        </is>
      </c>
      <c r="F13" s="184" t="n">
        <v>457.7</v>
      </c>
    </row>
    <row r="14">
      <c r="A14" s="155" t="n">
        <v>46104</v>
      </c>
      <c r="B14" s="156" t="inlineStr">
        <is>
          <t>AL-01</t>
        </is>
      </c>
      <c r="C14" s="156" t="inlineStr">
        <is>
          <t>Alat lain</t>
        </is>
      </c>
      <c r="D14" s="156" t="inlineStr">
        <is>
          <t>Mining</t>
        </is>
      </c>
      <c r="E14" s="156" t="inlineStr">
        <is>
          <t>Alat lain</t>
        </is>
      </c>
      <c r="F14" s="184" t="n">
        <v>173.8</v>
      </c>
    </row>
    <row r="15">
      <c r="A15" s="155" t="n">
        <v>46104</v>
      </c>
      <c r="B15" s="156" t="inlineStr">
        <is>
          <t>DT-808</t>
        </is>
      </c>
      <c r="C15" s="156" t="inlineStr">
        <is>
          <t>Hauler</t>
        </is>
      </c>
      <c r="D15" s="156" t="inlineStr">
        <is>
          <t>Mining</t>
        </is>
      </c>
      <c r="E15" s="156" t="inlineStr">
        <is>
          <t>SKT 80S</t>
        </is>
      </c>
      <c r="F15" s="184" t="n">
        <v>305.9</v>
      </c>
    </row>
    <row r="16">
      <c r="A16" s="155" t="n">
        <v>46104</v>
      </c>
      <c r="B16" s="156" t="inlineStr">
        <is>
          <t>DT-811</t>
        </is>
      </c>
      <c r="C16" s="156" t="inlineStr">
        <is>
          <t>Hauler</t>
        </is>
      </c>
      <c r="D16" s="156" t="inlineStr">
        <is>
          <t>Mining</t>
        </is>
      </c>
      <c r="E16" s="156" t="inlineStr">
        <is>
          <t>SKT 80S</t>
        </is>
      </c>
      <c r="F16" s="184" t="n">
        <v>289.5</v>
      </c>
    </row>
    <row r="17">
      <c r="A17" s="155" t="n">
        <v>46104</v>
      </c>
      <c r="B17" s="156" t="inlineStr">
        <is>
          <t>DT-812</t>
        </is>
      </c>
      <c r="C17" s="156" t="inlineStr">
        <is>
          <t>Hauler</t>
        </is>
      </c>
      <c r="D17" s="156" t="inlineStr">
        <is>
          <t>Mining</t>
        </is>
      </c>
      <c r="E17" s="156" t="inlineStr">
        <is>
          <t>SKT 80S</t>
        </is>
      </c>
      <c r="F17" s="184" t="n">
        <v>358.1</v>
      </c>
    </row>
    <row r="18">
      <c r="A18" s="155" t="n">
        <v>46104</v>
      </c>
      <c r="B18" s="156" t="inlineStr">
        <is>
          <t>DT-810</t>
        </is>
      </c>
      <c r="C18" s="156" t="inlineStr">
        <is>
          <t>Hauler</t>
        </is>
      </c>
      <c r="D18" s="156" t="inlineStr">
        <is>
          <t>Mining</t>
        </is>
      </c>
      <c r="E18" s="156" t="inlineStr">
        <is>
          <t>SKT 80S</t>
        </is>
      </c>
      <c r="F18" s="184" t="n">
        <v>274.5</v>
      </c>
    </row>
    <row r="19">
      <c r="A19" s="155" t="n">
        <v>46104</v>
      </c>
      <c r="B19" s="156" t="inlineStr">
        <is>
          <t>DT-804</t>
        </is>
      </c>
      <c r="C19" s="156" t="inlineStr">
        <is>
          <t>Hauler</t>
        </is>
      </c>
      <c r="D19" s="156" t="inlineStr">
        <is>
          <t>Mining</t>
        </is>
      </c>
      <c r="E19" s="156" t="inlineStr">
        <is>
          <t>SKT 80S</t>
        </is>
      </c>
      <c r="F19" s="184" t="n">
        <v>146.5</v>
      </c>
    </row>
    <row r="20">
      <c r="A20" s="155" t="n">
        <v>46104</v>
      </c>
      <c r="B20" s="156" t="inlineStr">
        <is>
          <t>DT-505</t>
        </is>
      </c>
      <c r="C20" s="156" t="inlineStr">
        <is>
          <t>Hauler</t>
        </is>
      </c>
      <c r="D20" s="156" t="inlineStr">
        <is>
          <t>Mining</t>
        </is>
      </c>
      <c r="E20" s="156" t="inlineStr">
        <is>
          <t>SKT 105S</t>
        </is>
      </c>
      <c r="F20" s="184" t="n">
        <v>646.3</v>
      </c>
    </row>
    <row r="21">
      <c r="A21" s="155" t="n">
        <v>46104</v>
      </c>
      <c r="B21" s="156" t="inlineStr">
        <is>
          <t>DT-503</t>
        </is>
      </c>
      <c r="C21" s="156" t="inlineStr">
        <is>
          <t>Hauler</t>
        </is>
      </c>
      <c r="D21" s="156" t="inlineStr">
        <is>
          <t>Mining</t>
        </is>
      </c>
      <c r="E21" s="156" t="inlineStr">
        <is>
          <t>SKT 105S</t>
        </is>
      </c>
      <c r="F21" s="184" t="n">
        <v>458.7</v>
      </c>
    </row>
    <row r="22">
      <c r="A22" s="155" t="n">
        <v>46104</v>
      </c>
      <c r="B22" s="156" t="inlineStr">
        <is>
          <t>DT-504</t>
        </is>
      </c>
      <c r="C22" s="156" t="inlineStr">
        <is>
          <t>Hauler</t>
        </is>
      </c>
      <c r="D22" s="156" t="inlineStr">
        <is>
          <t>Mining</t>
        </is>
      </c>
      <c r="E22" s="156" t="inlineStr">
        <is>
          <t>SKT 105S</t>
        </is>
      </c>
      <c r="F22" s="184" t="n">
        <v>625.2</v>
      </c>
    </row>
    <row r="23">
      <c r="A23" s="155" t="n">
        <v>46104</v>
      </c>
      <c r="B23" s="156" t="inlineStr">
        <is>
          <t>DT-507</t>
        </is>
      </c>
      <c r="C23" s="156" t="inlineStr">
        <is>
          <t>Hauler</t>
        </is>
      </c>
      <c r="D23" s="156" t="inlineStr">
        <is>
          <t>Mining</t>
        </is>
      </c>
      <c r="E23" s="156" t="inlineStr">
        <is>
          <t>SKT 105S</t>
        </is>
      </c>
      <c r="F23" s="184" t="n">
        <v>583.5</v>
      </c>
    </row>
    <row r="24">
      <c r="A24" s="155" t="n">
        <v>46104</v>
      </c>
      <c r="B24" s="156" t="inlineStr">
        <is>
          <t>DT-501</t>
        </is>
      </c>
      <c r="C24" s="156" t="inlineStr">
        <is>
          <t>Hauler</t>
        </is>
      </c>
      <c r="D24" s="156" t="inlineStr">
        <is>
          <t>Mining</t>
        </is>
      </c>
      <c r="E24" s="156" t="inlineStr">
        <is>
          <t>SKT 105S</t>
        </is>
      </c>
      <c r="F24" s="184" t="n">
        <v>191.1</v>
      </c>
    </row>
    <row r="25">
      <c r="A25" s="155" t="n">
        <v>46104</v>
      </c>
      <c r="B25" s="156" t="inlineStr">
        <is>
          <t>DT-523</t>
        </is>
      </c>
      <c r="C25" s="156" t="inlineStr">
        <is>
          <t>Hauler</t>
        </is>
      </c>
      <c r="D25" s="156" t="inlineStr">
        <is>
          <t>Mining</t>
        </is>
      </c>
      <c r="E25" s="156" t="inlineStr">
        <is>
          <t>SKT 105S</t>
        </is>
      </c>
      <c r="F25" s="184" t="n">
        <v>420.8</v>
      </c>
    </row>
    <row r="26">
      <c r="A26" s="155" t="n">
        <v>46104</v>
      </c>
      <c r="B26" s="156" t="inlineStr">
        <is>
          <t>DT-527</t>
        </is>
      </c>
      <c r="C26" s="156" t="inlineStr">
        <is>
          <t>Hauler</t>
        </is>
      </c>
      <c r="D26" s="156" t="inlineStr">
        <is>
          <t>Mining</t>
        </is>
      </c>
      <c r="E26" s="156" t="inlineStr">
        <is>
          <t>SKT 105S</t>
        </is>
      </c>
      <c r="F26" s="184" t="n">
        <v>188.1</v>
      </c>
    </row>
    <row r="27">
      <c r="A27" s="155" t="n">
        <v>46104</v>
      </c>
      <c r="B27" s="156" t="inlineStr">
        <is>
          <t>DT-513</t>
        </is>
      </c>
      <c r="C27" s="156" t="inlineStr">
        <is>
          <t>Hauler</t>
        </is>
      </c>
      <c r="D27" s="156" t="inlineStr">
        <is>
          <t>Mining</t>
        </is>
      </c>
      <c r="E27" s="156" t="inlineStr">
        <is>
          <t>SKT 105S</t>
        </is>
      </c>
      <c r="F27" s="184" t="n">
        <v>627.9</v>
      </c>
    </row>
    <row r="28">
      <c r="A28" s="155" t="n">
        <v>46104</v>
      </c>
      <c r="B28" s="156" t="inlineStr">
        <is>
          <t>DT-512</t>
        </is>
      </c>
      <c r="C28" s="156" t="inlineStr">
        <is>
          <t>Hauler</t>
        </is>
      </c>
      <c r="D28" s="156" t="inlineStr">
        <is>
          <t>Mining</t>
        </is>
      </c>
      <c r="E28" s="156" t="inlineStr">
        <is>
          <t>SKT 105S</t>
        </is>
      </c>
      <c r="F28" s="184" t="n">
        <v>605.2</v>
      </c>
    </row>
    <row r="29">
      <c r="A29" s="155" t="n">
        <v>46104</v>
      </c>
      <c r="B29" s="156" t="inlineStr">
        <is>
          <t>DT-522</t>
        </is>
      </c>
      <c r="C29" s="156" t="inlineStr">
        <is>
          <t>Hauler</t>
        </is>
      </c>
      <c r="D29" s="156" t="inlineStr">
        <is>
          <t>Mining</t>
        </is>
      </c>
      <c r="E29" s="156" t="inlineStr">
        <is>
          <t>SKT 105S</t>
        </is>
      </c>
      <c r="F29" s="184" t="n">
        <v>554.5</v>
      </c>
    </row>
    <row r="30">
      <c r="A30" s="155" t="n">
        <v>46104</v>
      </c>
      <c r="B30" s="156" t="inlineStr">
        <is>
          <t>DT-510</t>
        </is>
      </c>
      <c r="C30" s="156" t="inlineStr">
        <is>
          <t>Hauler</t>
        </is>
      </c>
      <c r="D30" s="156" t="inlineStr">
        <is>
          <t>Mining</t>
        </is>
      </c>
      <c r="E30" s="156" t="inlineStr">
        <is>
          <t>SKT 105S</t>
        </is>
      </c>
      <c r="F30" s="184" t="n">
        <v>274.6</v>
      </c>
    </row>
    <row r="31">
      <c r="A31" s="155" t="n">
        <v>46104</v>
      </c>
      <c r="B31" s="156" t="inlineStr">
        <is>
          <t>DT-521</t>
        </is>
      </c>
      <c r="C31" s="156" t="inlineStr">
        <is>
          <t>Hauler</t>
        </is>
      </c>
      <c r="D31" s="156" t="inlineStr">
        <is>
          <t>Mining</t>
        </is>
      </c>
      <c r="E31" s="156" t="inlineStr">
        <is>
          <t>SKT 105S</t>
        </is>
      </c>
      <c r="F31" s="184" t="n">
        <v>514.9</v>
      </c>
    </row>
    <row r="32">
      <c r="A32" s="155" t="n">
        <v>46104</v>
      </c>
      <c r="B32" s="156" t="inlineStr">
        <is>
          <t>DT-516</t>
        </is>
      </c>
      <c r="C32" s="156" t="inlineStr">
        <is>
          <t>Hauler</t>
        </is>
      </c>
      <c r="D32" s="156" t="inlineStr">
        <is>
          <t>Mining</t>
        </is>
      </c>
      <c r="E32" s="156" t="inlineStr">
        <is>
          <t>SKT 105S</t>
        </is>
      </c>
      <c r="F32" s="184" t="n">
        <v>574.9</v>
      </c>
    </row>
    <row r="33">
      <c r="A33" s="155" t="n">
        <v>46104</v>
      </c>
      <c r="B33" s="156" t="inlineStr">
        <is>
          <t>DT-506</t>
        </is>
      </c>
      <c r="C33" s="156" t="inlineStr">
        <is>
          <t>Hauler</t>
        </is>
      </c>
      <c r="D33" s="156" t="inlineStr">
        <is>
          <t>Mining</t>
        </is>
      </c>
      <c r="E33" s="156" t="inlineStr">
        <is>
          <t>SKT 105S</t>
        </is>
      </c>
      <c r="F33" s="184" t="n">
        <v>415.5</v>
      </c>
    </row>
    <row r="34">
      <c r="A34" s="155" t="n">
        <v>46104</v>
      </c>
      <c r="B34" s="156" t="inlineStr">
        <is>
          <t>DT-528</t>
        </is>
      </c>
      <c r="C34" s="156" t="inlineStr">
        <is>
          <t>Hauler</t>
        </is>
      </c>
      <c r="D34" s="156" t="inlineStr">
        <is>
          <t>Mining</t>
        </is>
      </c>
      <c r="E34" s="156" t="inlineStr">
        <is>
          <t>SKT 105S</t>
        </is>
      </c>
      <c r="F34" s="184" t="n">
        <v>505.5</v>
      </c>
    </row>
    <row r="35">
      <c r="A35" s="155" t="n">
        <v>46104</v>
      </c>
      <c r="B35" s="156" t="inlineStr">
        <is>
          <t>DT-529</t>
        </is>
      </c>
      <c r="C35" s="156" t="inlineStr">
        <is>
          <t>Hauler</t>
        </is>
      </c>
      <c r="D35" s="156" t="inlineStr">
        <is>
          <t>Mining</t>
        </is>
      </c>
      <c r="E35" s="156" t="inlineStr">
        <is>
          <t>SKT 105S</t>
        </is>
      </c>
      <c r="F35" s="184" t="n">
        <v>206</v>
      </c>
    </row>
    <row r="36">
      <c r="A36" s="155" t="n">
        <v>46104</v>
      </c>
      <c r="B36" s="156" t="inlineStr">
        <is>
          <t>DT-520</t>
        </is>
      </c>
      <c r="C36" s="156" t="inlineStr">
        <is>
          <t>Hauler</t>
        </is>
      </c>
      <c r="D36" s="156" t="inlineStr">
        <is>
          <t>Mining</t>
        </is>
      </c>
      <c r="E36" s="156" t="inlineStr">
        <is>
          <t>SKT 105S</t>
        </is>
      </c>
      <c r="F36" s="184" t="n">
        <v>629.7</v>
      </c>
    </row>
    <row r="37">
      <c r="A37" s="155" t="n">
        <v>46104</v>
      </c>
      <c r="B37" s="156" t="inlineStr">
        <is>
          <t>DT-508</t>
        </is>
      </c>
      <c r="C37" s="156" t="inlineStr">
        <is>
          <t>Hauler</t>
        </is>
      </c>
      <c r="D37" s="156" t="inlineStr">
        <is>
          <t>Mining</t>
        </is>
      </c>
      <c r="E37" s="156" t="inlineStr">
        <is>
          <t>SKT 105S</t>
        </is>
      </c>
      <c r="F37" s="184" t="n">
        <v>304.2</v>
      </c>
    </row>
    <row r="38">
      <c r="A38" s="155" t="n">
        <v>46104</v>
      </c>
      <c r="B38" s="156" t="inlineStr">
        <is>
          <t>DT-515</t>
        </is>
      </c>
      <c r="C38" s="156" t="inlineStr">
        <is>
          <t>Hauler</t>
        </is>
      </c>
      <c r="D38" s="156" t="inlineStr">
        <is>
          <t>Mining</t>
        </is>
      </c>
      <c r="E38" s="156" t="inlineStr">
        <is>
          <t>SKT 105S</t>
        </is>
      </c>
      <c r="F38" s="184" t="n">
        <v>466.2</v>
      </c>
    </row>
    <row r="39">
      <c r="A39" s="155" t="n">
        <v>46104</v>
      </c>
      <c r="B39" s="156" t="inlineStr">
        <is>
          <t>DT-524</t>
        </is>
      </c>
      <c r="C39" s="156" t="inlineStr">
        <is>
          <t>Hauler</t>
        </is>
      </c>
      <c r="D39" s="156" t="inlineStr">
        <is>
          <t>Mining</t>
        </is>
      </c>
      <c r="E39" s="156" t="inlineStr">
        <is>
          <t>SKT 105S</t>
        </is>
      </c>
      <c r="F39" s="184" t="n">
        <v>469.3</v>
      </c>
    </row>
    <row r="40">
      <c r="A40" s="155" t="n">
        <v>46104</v>
      </c>
      <c r="B40" s="156" t="inlineStr">
        <is>
          <t>HD-903</t>
        </is>
      </c>
      <c r="C40" s="156" t="inlineStr">
        <is>
          <t>Hauler</t>
        </is>
      </c>
      <c r="D40" s="156" t="inlineStr">
        <is>
          <t>Mining</t>
        </is>
      </c>
      <c r="E40" s="156" t="inlineStr">
        <is>
          <t>SRT 95C</t>
        </is>
      </c>
      <c r="F40" s="184" t="n">
        <v>1322.2</v>
      </c>
    </row>
    <row r="41">
      <c r="A41" s="155" t="n">
        <v>46104</v>
      </c>
      <c r="B41" s="156" t="inlineStr">
        <is>
          <t>HD-905</t>
        </is>
      </c>
      <c r="C41" s="156" t="inlineStr">
        <is>
          <t>Hauler</t>
        </is>
      </c>
      <c r="D41" s="156" t="inlineStr">
        <is>
          <t>Mining</t>
        </is>
      </c>
      <c r="E41" s="156" t="inlineStr">
        <is>
          <t>SRT 95C</t>
        </is>
      </c>
      <c r="F41" s="184" t="n">
        <v>563.3</v>
      </c>
    </row>
    <row r="42">
      <c r="A42" s="155" t="n">
        <v>46104</v>
      </c>
      <c r="B42" s="156" t="inlineStr">
        <is>
          <t>HD-901</t>
        </is>
      </c>
      <c r="C42" s="156" t="inlineStr">
        <is>
          <t>Hauler</t>
        </is>
      </c>
      <c r="D42" s="156" t="inlineStr">
        <is>
          <t>Mining</t>
        </is>
      </c>
      <c r="E42" s="156" t="inlineStr">
        <is>
          <t>SRT 95C</t>
        </is>
      </c>
      <c r="F42" s="184" t="n">
        <v>1372.8</v>
      </c>
    </row>
    <row r="43">
      <c r="A43" s="155" t="n">
        <v>46104</v>
      </c>
      <c r="B43" s="156" t="inlineStr">
        <is>
          <t>HD-904</t>
        </is>
      </c>
      <c r="C43" s="156" t="inlineStr">
        <is>
          <t>Hauler</t>
        </is>
      </c>
      <c r="D43" s="156" t="inlineStr">
        <is>
          <t>Mining</t>
        </is>
      </c>
      <c r="E43" s="156" t="inlineStr">
        <is>
          <t>SRT 95C</t>
        </is>
      </c>
      <c r="F43" s="184" t="n">
        <v>1143</v>
      </c>
    </row>
    <row r="44">
      <c r="A44" s="155" t="n">
        <v>46104</v>
      </c>
      <c r="B44" s="156" t="inlineStr">
        <is>
          <t>DZ-034</t>
        </is>
      </c>
      <c r="C44" s="156" t="inlineStr">
        <is>
          <t>Bulldozer</t>
        </is>
      </c>
      <c r="D44" s="156" t="inlineStr">
        <is>
          <t>Mining</t>
        </is>
      </c>
      <c r="E44" s="156" t="inlineStr">
        <is>
          <t>D 68ESS-12EO</t>
        </is>
      </c>
      <c r="F44" s="184" t="n">
        <v>233.9</v>
      </c>
    </row>
    <row r="45">
      <c r="A45" s="155" t="n">
        <v>46104</v>
      </c>
      <c r="B45" s="156" t="inlineStr">
        <is>
          <t>DZ-033</t>
        </is>
      </c>
      <c r="C45" s="156" t="inlineStr">
        <is>
          <t>Bulldozer</t>
        </is>
      </c>
      <c r="D45" s="156" t="inlineStr">
        <is>
          <t>Mining</t>
        </is>
      </c>
      <c r="E45" s="156" t="inlineStr">
        <is>
          <t>D 375A-6R</t>
        </is>
      </c>
      <c r="F45" s="184" t="n">
        <v>997.8</v>
      </c>
    </row>
    <row r="46">
      <c r="A46" s="155" t="n">
        <v>46104</v>
      </c>
      <c r="B46" s="156" t="inlineStr">
        <is>
          <t>DZ-038</t>
        </is>
      </c>
      <c r="C46" s="156" t="inlineStr">
        <is>
          <t>Bulldozer</t>
        </is>
      </c>
      <c r="D46" s="156" t="inlineStr">
        <is>
          <t>Mining</t>
        </is>
      </c>
      <c r="E46" s="156" t="inlineStr">
        <is>
          <t>D 85 ESS-2</t>
        </is>
      </c>
      <c r="F46" s="184" t="n">
        <v>262.4</v>
      </c>
    </row>
    <row r="47">
      <c r="A47" s="155" t="n">
        <v>46104</v>
      </c>
      <c r="B47" s="156" t="inlineStr">
        <is>
          <t>DZ-039</t>
        </is>
      </c>
      <c r="C47" s="156" t="inlineStr">
        <is>
          <t>Bulldozer</t>
        </is>
      </c>
      <c r="D47" s="156" t="inlineStr">
        <is>
          <t>Mining</t>
        </is>
      </c>
      <c r="E47" s="156" t="inlineStr">
        <is>
          <t>D 85 ESS-2</t>
        </is>
      </c>
      <c r="F47" s="184" t="n">
        <v>311.1</v>
      </c>
    </row>
    <row r="48">
      <c r="A48" s="155" t="n">
        <v>46104</v>
      </c>
      <c r="B48" s="156" t="inlineStr">
        <is>
          <t>DZ-036</t>
        </is>
      </c>
      <c r="C48" s="156" t="inlineStr">
        <is>
          <t>Bulldozer</t>
        </is>
      </c>
      <c r="D48" s="156" t="inlineStr">
        <is>
          <t>Aux</t>
        </is>
      </c>
      <c r="E48" s="156" t="inlineStr">
        <is>
          <t>D 85 ESS-2</t>
        </is>
      </c>
      <c r="F48" s="184" t="n">
        <v>42.8</v>
      </c>
    </row>
    <row r="49">
      <c r="A49" s="155" t="n">
        <v>46104</v>
      </c>
      <c r="B49" s="156" t="inlineStr">
        <is>
          <t>DZ-035</t>
        </is>
      </c>
      <c r="C49" s="156" t="inlineStr">
        <is>
          <t>Bulldozer</t>
        </is>
      </c>
      <c r="D49" s="156" t="inlineStr">
        <is>
          <t>Mining</t>
        </is>
      </c>
      <c r="E49" s="156" t="inlineStr">
        <is>
          <t>D 85 ESS-2</t>
        </is>
      </c>
      <c r="F49" s="184" t="n">
        <v>458.4</v>
      </c>
    </row>
    <row r="50">
      <c r="A50" s="155" t="n">
        <v>46104</v>
      </c>
      <c r="B50" s="156" t="inlineStr">
        <is>
          <t>DZ-032</t>
        </is>
      </c>
      <c r="C50" s="156" t="inlineStr">
        <is>
          <t>Bulldozer</t>
        </is>
      </c>
      <c r="D50" s="156" t="inlineStr">
        <is>
          <t>Mining</t>
        </is>
      </c>
      <c r="E50" s="156" t="inlineStr">
        <is>
          <t>CAT</t>
        </is>
      </c>
      <c r="F50" s="184" t="n">
        <v>509.9</v>
      </c>
    </row>
    <row r="51">
      <c r="A51" s="155" t="n">
        <v>46104</v>
      </c>
      <c r="B51" s="156" t="inlineStr">
        <is>
          <t>DZ-031</t>
        </is>
      </c>
      <c r="C51" s="156" t="inlineStr">
        <is>
          <t>Bulldozer</t>
        </is>
      </c>
      <c r="D51" s="156" t="inlineStr">
        <is>
          <t>Mining</t>
        </is>
      </c>
      <c r="E51" s="156" t="inlineStr">
        <is>
          <t>CAT</t>
        </is>
      </c>
      <c r="F51" s="184" t="n">
        <v>540.9</v>
      </c>
    </row>
    <row r="52">
      <c r="A52" s="155" t="n">
        <v>46104</v>
      </c>
      <c r="B52" s="156" t="inlineStr">
        <is>
          <t>GD-013</t>
        </is>
      </c>
      <c r="C52" s="156" t="inlineStr">
        <is>
          <t>Grader</t>
        </is>
      </c>
      <c r="D52" s="156" t="inlineStr">
        <is>
          <t>Mining</t>
        </is>
      </c>
      <c r="E52" s="156" t="inlineStr">
        <is>
          <t>STG 265C - 10</t>
        </is>
      </c>
      <c r="F52" s="184" t="n">
        <v>422.9</v>
      </c>
    </row>
    <row r="53">
      <c r="A53" s="155" t="n">
        <v>46104</v>
      </c>
      <c r="B53" s="156" t="inlineStr">
        <is>
          <t>GD-014</t>
        </is>
      </c>
      <c r="C53" s="156" t="inlineStr">
        <is>
          <t>Grader</t>
        </is>
      </c>
      <c r="D53" s="156" t="inlineStr">
        <is>
          <t>Mining</t>
        </is>
      </c>
      <c r="E53" s="156" t="inlineStr">
        <is>
          <t>STG 335C - 10</t>
        </is>
      </c>
      <c r="F53" s="184" t="n">
        <v>356.6</v>
      </c>
    </row>
    <row r="54">
      <c r="A54" s="155" t="n">
        <v>46104</v>
      </c>
      <c r="B54" s="156" t="inlineStr">
        <is>
          <t>CP-041</t>
        </is>
      </c>
      <c r="C54" s="156" t="inlineStr">
        <is>
          <t>Compactor</t>
        </is>
      </c>
      <c r="D54" s="156" t="inlineStr">
        <is>
          <t>Mining</t>
        </is>
      </c>
      <c r="E54" s="156" t="inlineStr">
        <is>
          <t>SANY - Compactor</t>
        </is>
      </c>
      <c r="F54" s="184" t="n">
        <v>168.9</v>
      </c>
    </row>
    <row r="55">
      <c r="A55" s="155" t="n">
        <v>46104</v>
      </c>
      <c r="B55" s="156" t="inlineStr">
        <is>
          <t>WL-025</t>
        </is>
      </c>
      <c r="C55" s="156" t="inlineStr">
        <is>
          <t>Loader</t>
        </is>
      </c>
      <c r="D55" s="156" t="inlineStr">
        <is>
          <t>Aux</t>
        </is>
      </c>
      <c r="E55" s="156" t="inlineStr">
        <is>
          <t>SANY - Loader</t>
        </is>
      </c>
      <c r="F55" s="184" t="n">
        <v>83.7</v>
      </c>
    </row>
    <row r="56">
      <c r="A56" s="155" t="n">
        <v>46104</v>
      </c>
      <c r="B56" s="156" t="inlineStr">
        <is>
          <t>WL-023</t>
        </is>
      </c>
      <c r="C56" s="156" t="inlineStr">
        <is>
          <t>Loader</t>
        </is>
      </c>
      <c r="D56" s="156" t="inlineStr">
        <is>
          <t>Aux</t>
        </is>
      </c>
      <c r="E56" s="156" t="inlineStr">
        <is>
          <t>SANY - Loader</t>
        </is>
      </c>
      <c r="F56" s="184" t="n">
        <v>9.800000000000001</v>
      </c>
    </row>
    <row r="57">
      <c r="A57" s="155" t="n">
        <v>46104</v>
      </c>
      <c r="B57" s="156" t="inlineStr">
        <is>
          <t>LV-03</t>
        </is>
      </c>
      <c r="C57" s="156" t="inlineStr">
        <is>
          <t>LV &amp; sarana</t>
        </is>
      </c>
      <c r="D57" s="156" t="inlineStr">
        <is>
          <t>Aux</t>
        </is>
      </c>
      <c r="E57" s="156" t="inlineStr">
        <is>
          <t>Light vehicle</t>
        </is>
      </c>
      <c r="F57" s="184" t="n">
        <v>40</v>
      </c>
    </row>
    <row r="58">
      <c r="A58" s="155" t="n">
        <v>46104</v>
      </c>
      <c r="B58" s="156" t="inlineStr">
        <is>
          <t>LV-06</t>
        </is>
      </c>
      <c r="C58" s="156" t="inlineStr">
        <is>
          <t>LV &amp; sarana</t>
        </is>
      </c>
      <c r="D58" s="156" t="inlineStr">
        <is>
          <t>Aux</t>
        </is>
      </c>
      <c r="E58" s="156" t="inlineStr">
        <is>
          <t>Light vehicle</t>
        </is>
      </c>
      <c r="F58" s="184" t="n">
        <v>30.3</v>
      </c>
    </row>
    <row r="59">
      <c r="A59" s="155" t="n">
        <v>46104</v>
      </c>
      <c r="B59" s="156" t="inlineStr">
        <is>
          <t>LV-07</t>
        </is>
      </c>
      <c r="C59" s="156" t="inlineStr">
        <is>
          <t>LV &amp; sarana</t>
        </is>
      </c>
      <c r="D59" s="156" t="inlineStr">
        <is>
          <t>Aux</t>
        </is>
      </c>
      <c r="E59" s="156" t="inlineStr">
        <is>
          <t>Light vehicle</t>
        </is>
      </c>
      <c r="F59" s="184" t="n">
        <v>46.5</v>
      </c>
    </row>
    <row r="60">
      <c r="A60" s="155" t="n">
        <v>46104</v>
      </c>
      <c r="B60" s="156" t="inlineStr">
        <is>
          <t>LV-10</t>
        </is>
      </c>
      <c r="C60" s="156" t="inlineStr">
        <is>
          <t>LV &amp; sarana</t>
        </is>
      </c>
      <c r="D60" s="156" t="inlineStr">
        <is>
          <t>Aux</t>
        </is>
      </c>
      <c r="E60" s="156" t="inlineStr">
        <is>
          <t>Light vehicle</t>
        </is>
      </c>
      <c r="F60" s="184" t="n">
        <v>54.5</v>
      </c>
    </row>
    <row r="61">
      <c r="A61" s="155" t="n">
        <v>46104</v>
      </c>
      <c r="B61" s="156" t="inlineStr">
        <is>
          <t>VD-01</t>
        </is>
      </c>
      <c r="C61" s="156" t="inlineStr">
        <is>
          <t>Vendor</t>
        </is>
      </c>
      <c r="D61" s="156" t="inlineStr">
        <is>
          <t>Vendor</t>
        </is>
      </c>
      <c r="E61" s="156" t="inlineStr">
        <is>
          <t>Alat vendor</t>
        </is>
      </c>
      <c r="F61" s="184" t="n">
        <v>55.7</v>
      </c>
    </row>
    <row r="62">
      <c r="A62" s="155" t="n">
        <v>46104</v>
      </c>
      <c r="B62" s="156" t="inlineStr">
        <is>
          <t>TS-02</t>
        </is>
      </c>
      <c r="C62" s="156" t="inlineStr">
        <is>
          <t>Truk support</t>
        </is>
      </c>
      <c r="D62" s="156" t="inlineStr">
        <is>
          <t>Mining</t>
        </is>
      </c>
      <c r="E62" s="156" t="inlineStr">
        <is>
          <t>Truk support</t>
        </is>
      </c>
      <c r="F62" s="184" t="n">
        <v>150.6</v>
      </c>
    </row>
    <row r="63">
      <c r="A63" s="155" t="n">
        <v>46104</v>
      </c>
      <c r="B63" s="156" t="inlineStr">
        <is>
          <t>TS-03</t>
        </is>
      </c>
      <c r="C63" s="156" t="inlineStr">
        <is>
          <t>Truk support</t>
        </is>
      </c>
      <c r="D63" s="156" t="inlineStr">
        <is>
          <t>Mining</t>
        </is>
      </c>
      <c r="E63" s="156" t="inlineStr">
        <is>
          <t>Truk support</t>
        </is>
      </c>
      <c r="F63" s="184" t="n">
        <v>100.7</v>
      </c>
    </row>
    <row r="64">
      <c r="A64" s="155" t="n">
        <v>46104</v>
      </c>
      <c r="B64" s="156" t="inlineStr">
        <is>
          <t>TS-06</t>
        </is>
      </c>
      <c r="C64" s="156" t="inlineStr">
        <is>
          <t>Truk support</t>
        </is>
      </c>
      <c r="D64" s="156" t="inlineStr">
        <is>
          <t>Mining</t>
        </is>
      </c>
      <c r="E64" s="156" t="inlineStr">
        <is>
          <t>Truk support</t>
        </is>
      </c>
      <c r="F64" s="184" t="n">
        <v>193.3</v>
      </c>
    </row>
    <row r="65">
      <c r="A65" s="155" t="n">
        <v>46104</v>
      </c>
      <c r="B65" s="156" t="inlineStr">
        <is>
          <t>TL-01</t>
        </is>
      </c>
      <c r="C65" s="156" t="inlineStr">
        <is>
          <t>Tower lamp</t>
        </is>
      </c>
      <c r="D65" s="156" t="inlineStr">
        <is>
          <t>Mining</t>
        </is>
      </c>
      <c r="E65" s="156" t="inlineStr">
        <is>
          <t>Tower lamp</t>
        </is>
      </c>
      <c r="F65" s="184" t="n">
        <v>59.8</v>
      </c>
    </row>
    <row r="66">
      <c r="A66" s="155" t="n">
        <v>46104</v>
      </c>
      <c r="B66" s="156" t="inlineStr">
        <is>
          <t>TL-02</t>
        </is>
      </c>
      <c r="C66" s="156" t="inlineStr">
        <is>
          <t>Tower lamp</t>
        </is>
      </c>
      <c r="D66" s="156" t="inlineStr">
        <is>
          <t>Mining</t>
        </is>
      </c>
      <c r="E66" s="156" t="inlineStr">
        <is>
          <t>Tower lamp</t>
        </is>
      </c>
      <c r="F66" s="184" t="n">
        <v>59.7</v>
      </c>
    </row>
    <row r="67">
      <c r="A67" s="155" t="n">
        <v>46104</v>
      </c>
      <c r="B67" s="156" t="inlineStr">
        <is>
          <t>TL-03</t>
        </is>
      </c>
      <c r="C67" s="156" t="inlineStr">
        <is>
          <t>Tower lamp</t>
        </is>
      </c>
      <c r="D67" s="156" t="inlineStr">
        <is>
          <t>Mining</t>
        </is>
      </c>
      <c r="E67" s="156" t="inlineStr">
        <is>
          <t>Tower lamp</t>
        </is>
      </c>
      <c r="F67" s="184" t="n">
        <v>7.5</v>
      </c>
    </row>
    <row r="68">
      <c r="A68" s="155" t="n">
        <v>46104</v>
      </c>
      <c r="B68" s="156" t="inlineStr">
        <is>
          <t>TL-04</t>
        </is>
      </c>
      <c r="C68" s="156" t="inlineStr">
        <is>
          <t>Tower lamp</t>
        </is>
      </c>
      <c r="D68" s="156" t="inlineStr">
        <is>
          <t>Mining</t>
        </is>
      </c>
      <c r="E68" s="156" t="inlineStr">
        <is>
          <t>Tower lamp</t>
        </is>
      </c>
      <c r="F68" s="184" t="n">
        <v>39.1</v>
      </c>
    </row>
    <row r="69">
      <c r="A69" s="155" t="n">
        <v>46104</v>
      </c>
      <c r="B69" s="156" t="inlineStr">
        <is>
          <t>AL-09</t>
        </is>
      </c>
      <c r="C69" s="156" t="inlineStr">
        <is>
          <t>Alat lain</t>
        </is>
      </c>
      <c r="D69" s="156" t="inlineStr">
        <is>
          <t>Mining</t>
        </is>
      </c>
      <c r="E69" s="156" t="inlineStr">
        <is>
          <t>Alat lain</t>
        </is>
      </c>
      <c r="F69" s="184" t="n">
        <v>20.1</v>
      </c>
    </row>
    <row r="70">
      <c r="A70" s="155" t="n">
        <v>46104</v>
      </c>
      <c r="B70" s="156" t="inlineStr">
        <is>
          <t>AL-10</t>
        </is>
      </c>
      <c r="C70" s="156" t="inlineStr">
        <is>
          <t>Alat lain</t>
        </is>
      </c>
      <c r="D70" s="156" t="inlineStr">
        <is>
          <t>Mining</t>
        </is>
      </c>
      <c r="E70" s="156" t="inlineStr">
        <is>
          <t>Alat lain</t>
        </is>
      </c>
      <c r="F70" s="184" t="n">
        <v>47.4</v>
      </c>
    </row>
    <row r="71">
      <c r="A71" s="155" t="n">
        <v>46104</v>
      </c>
      <c r="B71" s="156" t="inlineStr">
        <is>
          <t>GS-01</t>
        </is>
      </c>
      <c r="C71" s="156" t="inlineStr">
        <is>
          <t>Genset</t>
        </is>
      </c>
      <c r="D71" s="156" t="inlineStr">
        <is>
          <t>Aux</t>
        </is>
      </c>
      <c r="E71" s="156" t="inlineStr">
        <is>
          <t>Genset</t>
        </is>
      </c>
      <c r="F71" s="184" t="n">
        <v>220.7</v>
      </c>
    </row>
    <row r="72">
      <c r="A72" s="155" t="n">
        <v>46104</v>
      </c>
      <c r="B72" s="156" t="inlineStr">
        <is>
          <t>GS-02</t>
        </is>
      </c>
      <c r="C72" s="156" t="inlineStr">
        <is>
          <t>Genset</t>
        </is>
      </c>
      <c r="D72" s="156" t="inlineStr">
        <is>
          <t>Aux</t>
        </is>
      </c>
      <c r="E72" s="156" t="inlineStr">
        <is>
          <t>Genset</t>
        </is>
      </c>
      <c r="F72" s="184" t="n">
        <v>150</v>
      </c>
    </row>
    <row r="73">
      <c r="A73" s="155" t="n">
        <v>46104</v>
      </c>
      <c r="B73" s="156" t="inlineStr">
        <is>
          <t>GS-03</t>
        </is>
      </c>
      <c r="C73" s="156" t="inlineStr">
        <is>
          <t>Genset</t>
        </is>
      </c>
      <c r="D73" s="156" t="inlineStr">
        <is>
          <t>Aux</t>
        </is>
      </c>
      <c r="E73" s="156" t="inlineStr">
        <is>
          <t>Genset</t>
        </is>
      </c>
      <c r="F73" s="184" t="n">
        <v>124</v>
      </c>
    </row>
    <row r="74">
      <c r="A74" s="155" t="n">
        <v>46104</v>
      </c>
      <c r="B74" s="156" t="inlineStr">
        <is>
          <t>GS-04</t>
        </is>
      </c>
      <c r="C74" s="156" t="inlineStr">
        <is>
          <t>Genset</t>
        </is>
      </c>
      <c r="D74" s="156" t="inlineStr">
        <is>
          <t>Aux</t>
        </is>
      </c>
      <c r="E74" s="156" t="inlineStr">
        <is>
          <t>Genset</t>
        </is>
      </c>
      <c r="F74" s="184" t="n">
        <v>657.8</v>
      </c>
    </row>
    <row r="75">
      <c r="A75" s="155" t="n">
        <v>46104</v>
      </c>
      <c r="B75" s="156" t="inlineStr">
        <is>
          <t>GS-07</t>
        </is>
      </c>
      <c r="C75" s="156" t="inlineStr">
        <is>
          <t>Genset</t>
        </is>
      </c>
      <c r="D75" s="156" t="inlineStr">
        <is>
          <t>Aux</t>
        </is>
      </c>
      <c r="E75" s="156" t="inlineStr">
        <is>
          <t>Genset</t>
        </is>
      </c>
      <c r="F75" s="184" t="n">
        <v>20.8</v>
      </c>
    </row>
    <row r="76">
      <c r="A76" s="155" t="n">
        <v>46104</v>
      </c>
      <c r="B76" s="156" t="inlineStr">
        <is>
          <t>GS-09</t>
        </is>
      </c>
      <c r="C76" s="156" t="inlineStr">
        <is>
          <t>Genset</t>
        </is>
      </c>
      <c r="D76" s="156" t="inlineStr">
        <is>
          <t>Aux</t>
        </is>
      </c>
      <c r="E76" s="156" t="inlineStr">
        <is>
          <t>Genset</t>
        </is>
      </c>
      <c r="F76" s="184" t="n">
        <v>1432.6</v>
      </c>
    </row>
    <row r="77">
      <c r="A77" s="155" t="n">
        <v>46104</v>
      </c>
      <c r="B77" s="156" t="inlineStr">
        <is>
          <t>AL-11</t>
        </is>
      </c>
      <c r="C77" s="156" t="inlineStr">
        <is>
          <t>Alat lain</t>
        </is>
      </c>
      <c r="D77" s="156" t="inlineStr">
        <is>
          <t>Aux</t>
        </is>
      </c>
      <c r="E77" s="156" t="inlineStr">
        <is>
          <t>Alat lain</t>
        </is>
      </c>
      <c r="F77" s="184" t="n">
        <v>58.5</v>
      </c>
    </row>
    <row r="78">
      <c r="A78" s="155" t="n">
        <v>46104</v>
      </c>
      <c r="B78" s="156" t="inlineStr">
        <is>
          <t>WP-02</t>
        </is>
      </c>
      <c r="C78" s="156" t="inlineStr">
        <is>
          <t>Pompa air</t>
        </is>
      </c>
      <c r="D78" s="156" t="inlineStr">
        <is>
          <t>Aux</t>
        </is>
      </c>
      <c r="E78" s="156" t="inlineStr">
        <is>
          <t>Pompa air</t>
        </is>
      </c>
      <c r="F78" s="184" t="n">
        <v>46.3</v>
      </c>
    </row>
    <row r="79">
      <c r="A79" s="155" t="n">
        <v>46104</v>
      </c>
      <c r="B79" s="156" t="inlineStr">
        <is>
          <t>WP-05</t>
        </is>
      </c>
      <c r="C79" s="156" t="inlineStr">
        <is>
          <t>Pompa air</t>
        </is>
      </c>
      <c r="D79" s="156" t="inlineStr">
        <is>
          <t>Mining</t>
        </is>
      </c>
      <c r="E79" s="156" t="inlineStr">
        <is>
          <t>Pompa air</t>
        </is>
      </c>
      <c r="F79" s="184" t="n">
        <v>1330.3</v>
      </c>
    </row>
    <row r="80">
      <c r="A80" s="155" t="n">
        <v>46104</v>
      </c>
      <c r="B80" s="156" t="inlineStr">
        <is>
          <t>GS-10</t>
        </is>
      </c>
      <c r="C80" s="156" t="inlineStr">
        <is>
          <t>Genset</t>
        </is>
      </c>
      <c r="D80" s="156" t="inlineStr">
        <is>
          <t>Aux</t>
        </is>
      </c>
      <c r="E80" s="156" t="inlineStr">
        <is>
          <t>Genset</t>
        </is>
      </c>
      <c r="F80" s="184" t="n">
        <v>1773.5</v>
      </c>
    </row>
    <row r="81">
      <c r="A81" s="155" t="n">
        <v>46104</v>
      </c>
      <c r="B81" s="156" t="inlineStr">
        <is>
          <t>GS-11</t>
        </is>
      </c>
      <c r="C81" s="156" t="inlineStr">
        <is>
          <t>Genset</t>
        </is>
      </c>
      <c r="D81" s="156" t="inlineStr">
        <is>
          <t>Aux</t>
        </is>
      </c>
      <c r="E81" s="156" t="inlineStr">
        <is>
          <t>Genset</t>
        </is>
      </c>
      <c r="F81" s="184" t="n">
        <v>1613.9</v>
      </c>
    </row>
    <row r="82">
      <c r="A82" s="155" t="n">
        <v>46104</v>
      </c>
      <c r="B82" s="156" t="inlineStr">
        <is>
          <t>WL-022</t>
        </is>
      </c>
      <c r="C82" s="156" t="inlineStr">
        <is>
          <t>Loader</t>
        </is>
      </c>
      <c r="D82" s="156" t="inlineStr">
        <is>
          <t>Aux</t>
        </is>
      </c>
      <c r="E82" s="156" t="inlineStr">
        <is>
          <t>SANY - Loader</t>
        </is>
      </c>
      <c r="F82" s="184" t="n">
        <v>167.9</v>
      </c>
    </row>
    <row r="83">
      <c r="A83" s="155" t="n">
        <v>46104</v>
      </c>
      <c r="B83" s="156" t="inlineStr">
        <is>
          <t>WL-024</t>
        </is>
      </c>
      <c r="C83" s="156" t="inlineStr">
        <is>
          <t>Loader</t>
        </is>
      </c>
      <c r="D83" s="156" t="inlineStr">
        <is>
          <t>Aux</t>
        </is>
      </c>
      <c r="E83" s="156" t="inlineStr">
        <is>
          <t>SANY - Loader</t>
        </is>
      </c>
      <c r="F83" s="184" t="n">
        <v>199.7</v>
      </c>
    </row>
    <row r="84">
      <c r="A84" s="155" t="n">
        <v>46104</v>
      </c>
      <c r="B84" s="156" t="inlineStr">
        <is>
          <t>LV-14</t>
        </is>
      </c>
      <c r="C84" s="156" t="inlineStr">
        <is>
          <t>LV &amp; sarana</t>
        </is>
      </c>
      <c r="D84" s="156" t="inlineStr">
        <is>
          <t>Mining</t>
        </is>
      </c>
      <c r="E84" s="156" t="inlineStr">
        <is>
          <t>Light vehicle</t>
        </is>
      </c>
      <c r="F84" s="184" t="n">
        <v>40.6</v>
      </c>
    </row>
    <row r="85">
      <c r="A85" s="155" t="n">
        <v>46100</v>
      </c>
      <c r="B85" s="156" t="inlineStr">
        <is>
          <t>EX-755</t>
        </is>
      </c>
      <c r="C85" s="156" t="inlineStr">
        <is>
          <t>Excavator</t>
        </is>
      </c>
      <c r="D85" s="156" t="inlineStr">
        <is>
          <t>Mining</t>
        </is>
      </c>
      <c r="E85" s="156" t="inlineStr">
        <is>
          <t>SY750H-PRO</t>
        </is>
      </c>
      <c r="F85" s="184" t="n">
        <v>343.2</v>
      </c>
    </row>
    <row r="86">
      <c r="A86" s="155" t="n">
        <v>46100</v>
      </c>
      <c r="B86" s="156" t="inlineStr">
        <is>
          <t>EX-334</t>
        </is>
      </c>
      <c r="C86" s="156" t="inlineStr">
        <is>
          <t>Excavator</t>
        </is>
      </c>
      <c r="D86" s="156" t="inlineStr">
        <is>
          <t>Mining</t>
        </is>
      </c>
      <c r="E86" s="156" t="inlineStr">
        <is>
          <t>PC 300-8MO</t>
        </is>
      </c>
      <c r="F86" s="184" t="n">
        <v>379.2</v>
      </c>
    </row>
    <row r="87">
      <c r="A87" s="155" t="n">
        <v>46100</v>
      </c>
      <c r="B87" s="156" t="inlineStr">
        <is>
          <t>EX-332</t>
        </is>
      </c>
      <c r="C87" s="156" t="inlineStr">
        <is>
          <t>Excavator</t>
        </is>
      </c>
      <c r="D87" s="156" t="inlineStr">
        <is>
          <t>Mining</t>
        </is>
      </c>
      <c r="E87" s="156" t="inlineStr">
        <is>
          <t>PC 300-8MO</t>
        </is>
      </c>
      <c r="F87" s="184" t="n">
        <v>321.1</v>
      </c>
    </row>
    <row r="88">
      <c r="A88" s="155" t="n">
        <v>46100</v>
      </c>
      <c r="B88" s="156" t="inlineStr">
        <is>
          <t>EX-222</t>
        </is>
      </c>
      <c r="C88" s="156" t="inlineStr">
        <is>
          <t>Excavator</t>
        </is>
      </c>
      <c r="D88" s="156" t="inlineStr">
        <is>
          <t>Mining</t>
        </is>
      </c>
      <c r="E88" s="156" t="inlineStr">
        <is>
          <t>PC 200-8MI</t>
        </is>
      </c>
      <c r="F88" s="184" t="n">
        <v>255.1</v>
      </c>
    </row>
    <row r="89">
      <c r="A89" s="155" t="n">
        <v>46100</v>
      </c>
      <c r="B89" s="156" t="inlineStr">
        <is>
          <t>EX-223</t>
        </is>
      </c>
      <c r="C89" s="156" t="inlineStr">
        <is>
          <t>Excavator</t>
        </is>
      </c>
      <c r="D89" s="156" t="inlineStr">
        <is>
          <t>Aux</t>
        </is>
      </c>
      <c r="E89" s="156" t="inlineStr">
        <is>
          <t>PC 200-8MI</t>
        </is>
      </c>
      <c r="F89" s="184" t="n">
        <v>219.9</v>
      </c>
    </row>
    <row r="90">
      <c r="A90" s="155" t="n">
        <v>46100</v>
      </c>
      <c r="B90" s="156" t="inlineStr">
        <is>
          <t>EX-1251</t>
        </is>
      </c>
      <c r="C90" s="156" t="inlineStr">
        <is>
          <t>Excavator</t>
        </is>
      </c>
      <c r="D90" s="156" t="inlineStr">
        <is>
          <t>Mining</t>
        </is>
      </c>
      <c r="E90" s="156" t="inlineStr">
        <is>
          <t>SY1250</t>
        </is>
      </c>
      <c r="F90" s="184" t="n">
        <v>890.6</v>
      </c>
    </row>
    <row r="91">
      <c r="A91" s="155" t="n">
        <v>46100</v>
      </c>
      <c r="B91" s="156" t="inlineStr">
        <is>
          <t>EX-1252</t>
        </is>
      </c>
      <c r="C91" s="156" t="inlineStr">
        <is>
          <t>Excavator</t>
        </is>
      </c>
      <c r="D91" s="156" t="inlineStr">
        <is>
          <t>Mining</t>
        </is>
      </c>
      <c r="E91" s="156" t="inlineStr">
        <is>
          <t>SY1250</t>
        </is>
      </c>
      <c r="F91" s="184" t="n">
        <v>491.2</v>
      </c>
    </row>
    <row r="92">
      <c r="A92" s="155" t="n">
        <v>46100</v>
      </c>
      <c r="B92" s="156" t="inlineStr">
        <is>
          <t>EX-2101</t>
        </is>
      </c>
      <c r="C92" s="156" t="inlineStr">
        <is>
          <t>Excavator</t>
        </is>
      </c>
      <c r="D92" s="156" t="inlineStr">
        <is>
          <t>Mining</t>
        </is>
      </c>
      <c r="E92" s="156" t="inlineStr">
        <is>
          <t>SY2000</t>
        </is>
      </c>
      <c r="F92" s="184" t="n">
        <v>1290.2</v>
      </c>
    </row>
    <row r="93">
      <c r="A93" s="155" t="n">
        <v>46100</v>
      </c>
      <c r="B93" s="156" t="inlineStr">
        <is>
          <t>EX-333</t>
        </is>
      </c>
      <c r="C93" s="156" t="inlineStr">
        <is>
          <t>Excavator</t>
        </is>
      </c>
      <c r="D93" s="156" t="inlineStr">
        <is>
          <t>Mining</t>
        </is>
      </c>
      <c r="E93" s="156" t="inlineStr">
        <is>
          <t>PC 300-8MO</t>
        </is>
      </c>
      <c r="F93" s="184" t="n">
        <v>472.4</v>
      </c>
    </row>
    <row r="94">
      <c r="A94" s="155" t="n">
        <v>46100</v>
      </c>
      <c r="B94" s="156" t="inlineStr">
        <is>
          <t>EX-336</t>
        </is>
      </c>
      <c r="C94" s="156" t="inlineStr">
        <is>
          <t>Excavator</t>
        </is>
      </c>
      <c r="D94" s="156" t="inlineStr">
        <is>
          <t>Mining</t>
        </is>
      </c>
      <c r="E94" s="156" t="inlineStr">
        <is>
          <t>PC 300-8MO</t>
        </is>
      </c>
      <c r="F94" s="184" t="n">
        <v>289.6</v>
      </c>
    </row>
    <row r="95">
      <c r="A95" s="155" t="n">
        <v>46100</v>
      </c>
      <c r="B95" s="156" t="inlineStr">
        <is>
          <t>DT-804</t>
        </is>
      </c>
      <c r="C95" s="156" t="inlineStr">
        <is>
          <t>Hauler</t>
        </is>
      </c>
      <c r="D95" s="156" t="inlineStr">
        <is>
          <t>Mining</t>
        </is>
      </c>
      <c r="E95" s="156" t="inlineStr">
        <is>
          <t>SKT 80S</t>
        </is>
      </c>
      <c r="F95" s="184" t="n">
        <v>244.4</v>
      </c>
    </row>
    <row r="96">
      <c r="A96" s="155" t="n">
        <v>46100</v>
      </c>
      <c r="B96" s="156" t="inlineStr">
        <is>
          <t>DT-505</t>
        </is>
      </c>
      <c r="C96" s="156" t="inlineStr">
        <is>
          <t>Hauler</t>
        </is>
      </c>
      <c r="D96" s="156" t="inlineStr">
        <is>
          <t>Mining</t>
        </is>
      </c>
      <c r="E96" s="156" t="inlineStr">
        <is>
          <t>SKT 105S</t>
        </is>
      </c>
      <c r="F96" s="184" t="n">
        <v>199.4</v>
      </c>
    </row>
    <row r="97">
      <c r="A97" s="155" t="n">
        <v>46100</v>
      </c>
      <c r="B97" s="156" t="inlineStr">
        <is>
          <t>DT-503</t>
        </is>
      </c>
      <c r="C97" s="156" t="inlineStr">
        <is>
          <t>Hauler</t>
        </is>
      </c>
      <c r="D97" s="156" t="inlineStr">
        <is>
          <t>Mining</t>
        </is>
      </c>
      <c r="E97" s="156" t="inlineStr">
        <is>
          <t>SKT 105S</t>
        </is>
      </c>
      <c r="F97" s="184" t="n">
        <v>87</v>
      </c>
    </row>
    <row r="98">
      <c r="A98" s="155" t="n">
        <v>46100</v>
      </c>
      <c r="B98" s="156" t="inlineStr">
        <is>
          <t>DT-518</t>
        </is>
      </c>
      <c r="C98" s="156" t="inlineStr">
        <is>
          <t>Hauler</t>
        </is>
      </c>
      <c r="D98" s="156" t="inlineStr">
        <is>
          <t>Mining</t>
        </is>
      </c>
      <c r="E98" s="156" t="inlineStr">
        <is>
          <t>SKT 105S</t>
        </is>
      </c>
      <c r="F98" s="184" t="n">
        <v>261.5</v>
      </c>
    </row>
    <row r="99">
      <c r="A99" s="155" t="n">
        <v>46100</v>
      </c>
      <c r="B99" s="156" t="inlineStr">
        <is>
          <t>DT-523</t>
        </is>
      </c>
      <c r="C99" s="156" t="inlineStr">
        <is>
          <t>Hauler</t>
        </is>
      </c>
      <c r="D99" s="156" t="inlineStr">
        <is>
          <t>Mining</t>
        </is>
      </c>
      <c r="E99" s="156" t="inlineStr">
        <is>
          <t>SKT 105S</t>
        </is>
      </c>
      <c r="F99" s="184" t="n">
        <v>147.8</v>
      </c>
    </row>
    <row r="100">
      <c r="A100" s="155" t="n">
        <v>46100</v>
      </c>
      <c r="B100" s="156" t="inlineStr">
        <is>
          <t>DT-527</t>
        </is>
      </c>
      <c r="C100" s="156" t="inlineStr">
        <is>
          <t>Hauler</t>
        </is>
      </c>
      <c r="D100" s="156" t="inlineStr">
        <is>
          <t>Mining</t>
        </is>
      </c>
      <c r="E100" s="156" t="inlineStr">
        <is>
          <t>SKT 105S</t>
        </is>
      </c>
      <c r="F100" s="184" t="n">
        <v>40</v>
      </c>
    </row>
    <row r="101">
      <c r="A101" s="155" t="n">
        <v>46100</v>
      </c>
      <c r="B101" s="156" t="inlineStr">
        <is>
          <t>DT-513</t>
        </is>
      </c>
      <c r="C101" s="156" t="inlineStr">
        <is>
          <t>Hauler</t>
        </is>
      </c>
      <c r="D101" s="156" t="inlineStr">
        <is>
          <t>Mining</t>
        </is>
      </c>
      <c r="E101" s="156" t="inlineStr">
        <is>
          <t>SKT 105S</t>
        </is>
      </c>
      <c r="F101" s="184" t="n">
        <v>106.2</v>
      </c>
    </row>
    <row r="102">
      <c r="A102" s="155" t="n">
        <v>46100</v>
      </c>
      <c r="B102" s="156" t="inlineStr">
        <is>
          <t>DT-522</t>
        </is>
      </c>
      <c r="C102" s="156" t="inlineStr">
        <is>
          <t>Hauler</t>
        </is>
      </c>
      <c r="D102" s="156" t="inlineStr">
        <is>
          <t>Mining</t>
        </is>
      </c>
      <c r="E102" s="156" t="inlineStr">
        <is>
          <t>SKT 105S</t>
        </is>
      </c>
      <c r="F102" s="184" t="n">
        <v>81.40000000000001</v>
      </c>
    </row>
    <row r="103">
      <c r="A103" s="155" t="n">
        <v>46100</v>
      </c>
      <c r="B103" s="156" t="inlineStr">
        <is>
          <t>DT-517</t>
        </is>
      </c>
      <c r="C103" s="156" t="inlineStr">
        <is>
          <t>Hauler</t>
        </is>
      </c>
      <c r="D103" s="156" t="inlineStr">
        <is>
          <t>Mining</t>
        </is>
      </c>
      <c r="E103" s="156" t="inlineStr">
        <is>
          <t>SKT 105S</t>
        </is>
      </c>
      <c r="F103" s="184" t="n">
        <v>127.8</v>
      </c>
    </row>
    <row r="104">
      <c r="A104" s="155" t="n">
        <v>46100</v>
      </c>
      <c r="B104" s="156" t="inlineStr">
        <is>
          <t>DT-510</t>
        </is>
      </c>
      <c r="C104" s="156" t="inlineStr">
        <is>
          <t>Hauler</t>
        </is>
      </c>
      <c r="D104" s="156" t="inlineStr">
        <is>
          <t>Mining</t>
        </is>
      </c>
      <c r="E104" s="156" t="inlineStr">
        <is>
          <t>SKT 105S</t>
        </is>
      </c>
      <c r="F104" s="184" t="n">
        <v>118.1</v>
      </c>
    </row>
    <row r="105">
      <c r="A105" s="155" t="n">
        <v>46100</v>
      </c>
      <c r="B105" s="156" t="inlineStr">
        <is>
          <t>DT-516</t>
        </is>
      </c>
      <c r="C105" s="156" t="inlineStr">
        <is>
          <t>Hauler</t>
        </is>
      </c>
      <c r="D105" s="156" t="inlineStr">
        <is>
          <t>Mining</t>
        </is>
      </c>
      <c r="E105" s="156" t="inlineStr">
        <is>
          <t>SKT 105S</t>
        </is>
      </c>
      <c r="F105" s="184" t="n">
        <v>53.7</v>
      </c>
    </row>
    <row r="106">
      <c r="A106" s="155" t="n">
        <v>46100</v>
      </c>
      <c r="B106" s="156" t="inlineStr">
        <is>
          <t>DT-506</t>
        </is>
      </c>
      <c r="C106" s="156" t="inlineStr">
        <is>
          <t>Hauler</t>
        </is>
      </c>
      <c r="D106" s="156" t="inlineStr">
        <is>
          <t>Mining</t>
        </is>
      </c>
      <c r="E106" s="156" t="inlineStr">
        <is>
          <t>SKT 105S</t>
        </is>
      </c>
      <c r="F106" s="184" t="n">
        <v>74.09999999999999</v>
      </c>
    </row>
    <row r="107">
      <c r="A107" s="155" t="n">
        <v>46100</v>
      </c>
      <c r="B107" s="156" t="inlineStr">
        <is>
          <t>DT-529</t>
        </is>
      </c>
      <c r="C107" s="156" t="inlineStr">
        <is>
          <t>Hauler</t>
        </is>
      </c>
      <c r="D107" s="156" t="inlineStr">
        <is>
          <t>Mining</t>
        </is>
      </c>
      <c r="E107" s="156" t="inlineStr">
        <is>
          <t>SKT 105S</t>
        </is>
      </c>
      <c r="F107" s="184" t="n">
        <v>380</v>
      </c>
    </row>
    <row r="108">
      <c r="A108" s="155" t="n">
        <v>46100</v>
      </c>
      <c r="B108" s="156" t="inlineStr">
        <is>
          <t>DT-520</t>
        </is>
      </c>
      <c r="C108" s="156" t="inlineStr">
        <is>
          <t>Hauler</t>
        </is>
      </c>
      <c r="D108" s="156" t="inlineStr">
        <is>
          <t>Mining</t>
        </is>
      </c>
      <c r="E108" s="156" t="inlineStr">
        <is>
          <t>SKT 105S</t>
        </is>
      </c>
      <c r="F108" s="184" t="n">
        <v>195.5</v>
      </c>
    </row>
    <row r="109">
      <c r="A109" s="155" t="n">
        <v>46100</v>
      </c>
      <c r="B109" s="156" t="inlineStr">
        <is>
          <t>DT-508</t>
        </is>
      </c>
      <c r="C109" s="156" t="inlineStr">
        <is>
          <t>Hauler</t>
        </is>
      </c>
      <c r="D109" s="156" t="inlineStr">
        <is>
          <t>Mining</t>
        </is>
      </c>
      <c r="E109" s="156" t="inlineStr">
        <is>
          <t>SKT 105S</t>
        </is>
      </c>
      <c r="F109" s="184" t="n">
        <v>213.8</v>
      </c>
    </row>
    <row r="110">
      <c r="A110" s="155" t="n">
        <v>46100</v>
      </c>
      <c r="B110" s="156" t="inlineStr">
        <is>
          <t>DT-515</t>
        </is>
      </c>
      <c r="C110" s="156" t="inlineStr">
        <is>
          <t>Hauler</t>
        </is>
      </c>
      <c r="D110" s="156" t="inlineStr">
        <is>
          <t>Mining</t>
        </is>
      </c>
      <c r="E110" s="156" t="inlineStr">
        <is>
          <t>SKT 105S</t>
        </is>
      </c>
      <c r="F110" s="184" t="n">
        <v>81.2</v>
      </c>
    </row>
    <row r="111">
      <c r="A111" s="155" t="n">
        <v>46100</v>
      </c>
      <c r="B111" s="156" t="inlineStr">
        <is>
          <t>DT-524</t>
        </is>
      </c>
      <c r="C111" s="156" t="inlineStr">
        <is>
          <t>Hauler</t>
        </is>
      </c>
      <c r="D111" s="156" t="inlineStr">
        <is>
          <t>Mining</t>
        </is>
      </c>
      <c r="E111" s="156" t="inlineStr">
        <is>
          <t>SKT 105S</t>
        </is>
      </c>
      <c r="F111" s="184" t="n">
        <v>107.3</v>
      </c>
    </row>
    <row r="112">
      <c r="A112" s="155" t="n">
        <v>46100</v>
      </c>
      <c r="B112" s="156" t="inlineStr">
        <is>
          <t>HD-903</t>
        </is>
      </c>
      <c r="C112" s="156" t="inlineStr">
        <is>
          <t>Hauler</t>
        </is>
      </c>
      <c r="D112" s="156" t="inlineStr">
        <is>
          <t>Mining</t>
        </is>
      </c>
      <c r="E112" s="156" t="inlineStr">
        <is>
          <t>SRT 95C</t>
        </is>
      </c>
      <c r="F112" s="184" t="n">
        <v>534.6</v>
      </c>
    </row>
    <row r="113">
      <c r="A113" s="155" t="n">
        <v>46100</v>
      </c>
      <c r="B113" s="156" t="inlineStr">
        <is>
          <t>HD-901</t>
        </is>
      </c>
      <c r="C113" s="156" t="inlineStr">
        <is>
          <t>Hauler</t>
        </is>
      </c>
      <c r="D113" s="156" t="inlineStr">
        <is>
          <t>Mining</t>
        </is>
      </c>
      <c r="E113" s="156" t="inlineStr">
        <is>
          <t>SRT 95C</t>
        </is>
      </c>
      <c r="F113" s="184" t="n">
        <v>420.5</v>
      </c>
    </row>
    <row r="114">
      <c r="A114" s="155" t="n">
        <v>46100</v>
      </c>
      <c r="B114" s="156" t="inlineStr">
        <is>
          <t>HD-904</t>
        </is>
      </c>
      <c r="C114" s="156" t="inlineStr">
        <is>
          <t>Hauler</t>
        </is>
      </c>
      <c r="D114" s="156" t="inlineStr">
        <is>
          <t>Mining</t>
        </is>
      </c>
      <c r="E114" s="156" t="inlineStr">
        <is>
          <t>SRT 95C</t>
        </is>
      </c>
      <c r="F114" s="184" t="n">
        <v>401.7</v>
      </c>
    </row>
    <row r="115">
      <c r="A115" s="155" t="n">
        <v>46100</v>
      </c>
      <c r="B115" s="156" t="inlineStr">
        <is>
          <t>DZ-034</t>
        </is>
      </c>
      <c r="C115" s="156" t="inlineStr">
        <is>
          <t>Bulldozer</t>
        </is>
      </c>
      <c r="D115" s="156" t="inlineStr">
        <is>
          <t>Mining</t>
        </is>
      </c>
      <c r="E115" s="156" t="inlineStr">
        <is>
          <t>D 68ESS-12EO</t>
        </is>
      </c>
      <c r="F115" s="184" t="n">
        <v>133</v>
      </c>
    </row>
    <row r="116">
      <c r="A116" s="155" t="n">
        <v>46100</v>
      </c>
      <c r="B116" s="156" t="inlineStr">
        <is>
          <t>DZ-033</t>
        </is>
      </c>
      <c r="C116" s="156" t="inlineStr">
        <is>
          <t>Bulldozer</t>
        </is>
      </c>
      <c r="D116" s="156" t="inlineStr">
        <is>
          <t>Mining</t>
        </is>
      </c>
      <c r="E116" s="156" t="inlineStr">
        <is>
          <t>D 375A-6R</t>
        </is>
      </c>
      <c r="F116" s="184" t="n">
        <v>357.3</v>
      </c>
    </row>
    <row r="117">
      <c r="A117" s="155" t="n">
        <v>46100</v>
      </c>
      <c r="B117" s="156" t="inlineStr">
        <is>
          <t>DZ-038</t>
        </is>
      </c>
      <c r="C117" s="156" t="inlineStr">
        <is>
          <t>Bulldozer</t>
        </is>
      </c>
      <c r="D117" s="156" t="inlineStr">
        <is>
          <t>Mining</t>
        </is>
      </c>
      <c r="E117" s="156" t="inlineStr">
        <is>
          <t>D 85 ESS-2</t>
        </is>
      </c>
      <c r="F117" s="184" t="n">
        <v>76.90000000000001</v>
      </c>
    </row>
    <row r="118">
      <c r="A118" s="155" t="n">
        <v>46100</v>
      </c>
      <c r="B118" s="156" t="inlineStr">
        <is>
          <t>DZ-039</t>
        </is>
      </c>
      <c r="C118" s="156" t="inlineStr">
        <is>
          <t>Bulldozer</t>
        </is>
      </c>
      <c r="D118" s="156" t="inlineStr">
        <is>
          <t>Mining</t>
        </is>
      </c>
      <c r="E118" s="156" t="inlineStr">
        <is>
          <t>D 85 ESS-2</t>
        </is>
      </c>
      <c r="F118" s="184" t="n">
        <v>272.4</v>
      </c>
    </row>
    <row r="119">
      <c r="A119" s="155" t="n">
        <v>46100</v>
      </c>
      <c r="B119" s="156" t="inlineStr">
        <is>
          <t>DZ-032</t>
        </is>
      </c>
      <c r="C119" s="156" t="inlineStr">
        <is>
          <t>Bulldozer</t>
        </is>
      </c>
      <c r="D119" s="156" t="inlineStr">
        <is>
          <t>Mining</t>
        </is>
      </c>
      <c r="E119" s="156" t="inlineStr">
        <is>
          <t>CAT</t>
        </is>
      </c>
      <c r="F119" s="184" t="n">
        <v>310.1</v>
      </c>
    </row>
    <row r="120">
      <c r="A120" s="155" t="n">
        <v>46100</v>
      </c>
      <c r="B120" s="156" t="inlineStr">
        <is>
          <t>DZ-031</t>
        </is>
      </c>
      <c r="C120" s="156" t="inlineStr">
        <is>
          <t>Bulldozer</t>
        </is>
      </c>
      <c r="D120" s="156" t="inlineStr">
        <is>
          <t>Mining</t>
        </is>
      </c>
      <c r="E120" s="156" t="inlineStr">
        <is>
          <t>CAT</t>
        </is>
      </c>
      <c r="F120" s="184" t="n">
        <v>97.8</v>
      </c>
    </row>
    <row r="121">
      <c r="A121" s="155" t="n">
        <v>46100</v>
      </c>
      <c r="B121" s="156" t="inlineStr">
        <is>
          <t>GD-013</t>
        </is>
      </c>
      <c r="C121" s="156" t="inlineStr">
        <is>
          <t>Grader</t>
        </is>
      </c>
      <c r="D121" s="156" t="inlineStr">
        <is>
          <t>Mining</t>
        </is>
      </c>
      <c r="E121" s="156" t="inlineStr">
        <is>
          <t>STG 265C - 10</t>
        </is>
      </c>
      <c r="F121" s="184" t="n">
        <v>188.2</v>
      </c>
    </row>
    <row r="122">
      <c r="A122" s="155" t="n">
        <v>46100</v>
      </c>
      <c r="B122" s="156" t="inlineStr">
        <is>
          <t>GD-014</t>
        </is>
      </c>
      <c r="C122" s="156" t="inlineStr">
        <is>
          <t>Grader</t>
        </is>
      </c>
      <c r="D122" s="156" t="inlineStr">
        <is>
          <t>Mining</t>
        </is>
      </c>
      <c r="E122" s="156" t="inlineStr">
        <is>
          <t>STG 335C - 10</t>
        </is>
      </c>
      <c r="F122" s="184" t="n">
        <v>235.2</v>
      </c>
    </row>
    <row r="123">
      <c r="A123" s="155" t="n">
        <v>46100</v>
      </c>
      <c r="B123" s="156" t="inlineStr">
        <is>
          <t>LV-03</t>
        </is>
      </c>
      <c r="C123" s="156" t="inlineStr">
        <is>
          <t>LV &amp; sarana</t>
        </is>
      </c>
      <c r="D123" s="156" t="inlineStr">
        <is>
          <t>Aux</t>
        </is>
      </c>
      <c r="E123" s="156" t="inlineStr">
        <is>
          <t>Light vehicle</t>
        </is>
      </c>
      <c r="F123" s="184" t="n">
        <v>41.6</v>
      </c>
    </row>
    <row r="124">
      <c r="A124" s="155" t="n">
        <v>46100</v>
      </c>
      <c r="B124" s="156" t="inlineStr">
        <is>
          <t>LV-04</t>
        </is>
      </c>
      <c r="C124" s="156" t="inlineStr">
        <is>
          <t>LV &amp; sarana</t>
        </is>
      </c>
      <c r="D124" s="156" t="inlineStr">
        <is>
          <t>Aux</t>
        </is>
      </c>
      <c r="E124" s="156" t="inlineStr">
        <is>
          <t>Light vehicle</t>
        </is>
      </c>
      <c r="F124" s="184" t="n">
        <v>41.3</v>
      </c>
    </row>
    <row r="125">
      <c r="A125" s="155" t="n">
        <v>46100</v>
      </c>
      <c r="B125" s="156" t="inlineStr">
        <is>
          <t>LV-06</t>
        </is>
      </c>
      <c r="C125" s="156" t="inlineStr">
        <is>
          <t>LV &amp; sarana</t>
        </is>
      </c>
      <c r="D125" s="156" t="inlineStr">
        <is>
          <t>Aux</t>
        </is>
      </c>
      <c r="E125" s="156" t="inlineStr">
        <is>
          <t>Light vehicle</t>
        </is>
      </c>
      <c r="F125" s="184" t="n">
        <v>20.3</v>
      </c>
    </row>
    <row r="126">
      <c r="A126" s="155" t="n">
        <v>46100</v>
      </c>
      <c r="B126" s="156" t="inlineStr">
        <is>
          <t>LV-08</t>
        </is>
      </c>
      <c r="C126" s="156" t="inlineStr">
        <is>
          <t>LV &amp; sarana</t>
        </is>
      </c>
      <c r="D126" s="156" t="inlineStr">
        <is>
          <t>Aux</t>
        </is>
      </c>
      <c r="E126" s="156" t="inlineStr">
        <is>
          <t>Light vehicle</t>
        </is>
      </c>
      <c r="F126" s="184" t="n">
        <v>49</v>
      </c>
    </row>
    <row r="127">
      <c r="A127" s="155" t="n">
        <v>46100</v>
      </c>
      <c r="B127" s="156" t="inlineStr">
        <is>
          <t>VD-02</t>
        </is>
      </c>
      <c r="C127" s="156" t="inlineStr">
        <is>
          <t>Vendor</t>
        </is>
      </c>
      <c r="D127" s="156" t="inlineStr">
        <is>
          <t>Vendor</t>
        </is>
      </c>
      <c r="E127" s="156" t="inlineStr">
        <is>
          <t>Alat vendor</t>
        </is>
      </c>
      <c r="F127" s="184" t="n">
        <v>52.9</v>
      </c>
    </row>
    <row r="128">
      <c r="A128" s="155" t="n">
        <v>46100</v>
      </c>
      <c r="B128" s="156" t="inlineStr">
        <is>
          <t>TS-05</t>
        </is>
      </c>
      <c r="C128" s="156" t="inlineStr">
        <is>
          <t>Truk support</t>
        </is>
      </c>
      <c r="D128" s="156" t="inlineStr">
        <is>
          <t>Aux</t>
        </is>
      </c>
      <c r="E128" s="156" t="inlineStr">
        <is>
          <t>Truk support</t>
        </is>
      </c>
      <c r="F128" s="184" t="n">
        <v>58.7</v>
      </c>
    </row>
    <row r="129">
      <c r="A129" s="155" t="n">
        <v>46100</v>
      </c>
      <c r="B129" s="156" t="inlineStr">
        <is>
          <t>AL-05</t>
        </is>
      </c>
      <c r="C129" s="156" t="inlineStr">
        <is>
          <t>Alat lain</t>
        </is>
      </c>
      <c r="D129" s="156" t="inlineStr">
        <is>
          <t>Mining</t>
        </is>
      </c>
      <c r="E129" s="156" t="inlineStr">
        <is>
          <t>Alat lain</t>
        </is>
      </c>
      <c r="F129" s="184" t="n">
        <v>486.3</v>
      </c>
    </row>
    <row r="130">
      <c r="A130" s="155" t="n">
        <v>46100</v>
      </c>
      <c r="B130" s="156" t="inlineStr">
        <is>
          <t>AL-09</t>
        </is>
      </c>
      <c r="C130" s="156" t="inlineStr">
        <is>
          <t>Alat lain</t>
        </is>
      </c>
      <c r="D130" s="156" t="inlineStr">
        <is>
          <t>Mining</t>
        </is>
      </c>
      <c r="E130" s="156" t="inlineStr">
        <is>
          <t>Alat lain</t>
        </is>
      </c>
      <c r="F130" s="184" t="n">
        <v>24.3</v>
      </c>
    </row>
    <row r="131">
      <c r="A131" s="155" t="n">
        <v>46100</v>
      </c>
      <c r="B131" s="156" t="inlineStr">
        <is>
          <t>AL-10</t>
        </is>
      </c>
      <c r="C131" s="156" t="inlineStr">
        <is>
          <t>Alat lain</t>
        </is>
      </c>
      <c r="D131" s="156" t="inlineStr">
        <is>
          <t>Mining</t>
        </is>
      </c>
      <c r="E131" s="156" t="inlineStr">
        <is>
          <t>Alat lain</t>
        </is>
      </c>
      <c r="F131" s="184" t="n">
        <v>20.6</v>
      </c>
    </row>
    <row r="132">
      <c r="A132" s="155" t="n">
        <v>46100</v>
      </c>
      <c r="B132" s="156" t="inlineStr">
        <is>
          <t>GS-02</t>
        </is>
      </c>
      <c r="C132" s="156" t="inlineStr">
        <is>
          <t>Genset</t>
        </is>
      </c>
      <c r="D132" s="156" t="inlineStr">
        <is>
          <t>Aux</t>
        </is>
      </c>
      <c r="E132" s="156" t="inlineStr">
        <is>
          <t>Genset</t>
        </is>
      </c>
      <c r="F132" s="184" t="n">
        <v>134.2</v>
      </c>
    </row>
    <row r="133">
      <c r="A133" s="155" t="n">
        <v>46100</v>
      </c>
      <c r="B133" s="156" t="inlineStr">
        <is>
          <t>GS-03</t>
        </is>
      </c>
      <c r="C133" s="156" t="inlineStr">
        <is>
          <t>Genset</t>
        </is>
      </c>
      <c r="D133" s="156" t="inlineStr">
        <is>
          <t>Aux</t>
        </is>
      </c>
      <c r="E133" s="156" t="inlineStr">
        <is>
          <t>Genset</t>
        </is>
      </c>
      <c r="F133" s="184" t="n">
        <v>143.3</v>
      </c>
    </row>
    <row r="134">
      <c r="A134" s="155" t="n">
        <v>46100</v>
      </c>
      <c r="B134" s="156" t="inlineStr">
        <is>
          <t>GS-04</t>
        </is>
      </c>
      <c r="C134" s="156" t="inlineStr">
        <is>
          <t>Genset</t>
        </is>
      </c>
      <c r="D134" s="156" t="inlineStr">
        <is>
          <t>Aux</t>
        </is>
      </c>
      <c r="E134" s="156" t="inlineStr">
        <is>
          <t>Genset</t>
        </is>
      </c>
      <c r="F134" s="184" t="n">
        <v>781.7</v>
      </c>
    </row>
    <row r="135">
      <c r="A135" s="155" t="n">
        <v>46100</v>
      </c>
      <c r="B135" s="156" t="inlineStr">
        <is>
          <t>GS-07</t>
        </is>
      </c>
      <c r="C135" s="156" t="inlineStr">
        <is>
          <t>Genset</t>
        </is>
      </c>
      <c r="D135" s="156" t="inlineStr">
        <is>
          <t>Aux</t>
        </is>
      </c>
      <c r="E135" s="156" t="inlineStr">
        <is>
          <t>Genset</t>
        </is>
      </c>
      <c r="F135" s="184" t="n">
        <v>22.7</v>
      </c>
    </row>
    <row r="136">
      <c r="A136" s="155" t="n">
        <v>46100</v>
      </c>
      <c r="B136" s="156" t="inlineStr">
        <is>
          <t>WP-01</t>
        </is>
      </c>
      <c r="C136" s="156" t="inlineStr">
        <is>
          <t>Pompa air</t>
        </is>
      </c>
      <c r="D136" s="156" t="inlineStr">
        <is>
          <t>Aux</t>
        </is>
      </c>
      <c r="E136" s="156" t="inlineStr">
        <is>
          <t>Pompa air</t>
        </is>
      </c>
      <c r="F136" s="184" t="n">
        <v>8.6</v>
      </c>
    </row>
    <row r="137">
      <c r="A137" s="155" t="n">
        <v>46100</v>
      </c>
      <c r="B137" s="156" t="inlineStr">
        <is>
          <t>WL-022</t>
        </is>
      </c>
      <c r="C137" s="156" t="inlineStr">
        <is>
          <t>Loader</t>
        </is>
      </c>
      <c r="D137" s="156" t="inlineStr">
        <is>
          <t>Aux</t>
        </is>
      </c>
      <c r="E137" s="156" t="inlineStr">
        <is>
          <t>SANY - Loader</t>
        </is>
      </c>
      <c r="F137" s="184" t="n">
        <v>264.5</v>
      </c>
    </row>
    <row r="138">
      <c r="A138" s="155" t="n">
        <v>46100</v>
      </c>
      <c r="B138" s="156" t="inlineStr">
        <is>
          <t>WL-024</t>
        </is>
      </c>
      <c r="C138" s="156" t="inlineStr">
        <is>
          <t>Loader</t>
        </is>
      </c>
      <c r="D138" s="156" t="inlineStr">
        <is>
          <t>Aux</t>
        </is>
      </c>
      <c r="E138" s="156" t="inlineStr">
        <is>
          <t>SANY - Loader</t>
        </is>
      </c>
      <c r="F138" s="184" t="n">
        <v>232.5</v>
      </c>
    </row>
    <row r="139">
      <c r="A139" s="155" t="n">
        <v>46098</v>
      </c>
      <c r="B139" s="156" t="inlineStr">
        <is>
          <t>EX-755</t>
        </is>
      </c>
      <c r="C139" s="156" t="inlineStr">
        <is>
          <t>Excavator</t>
        </is>
      </c>
      <c r="D139" s="156" t="inlineStr">
        <is>
          <t>Mining</t>
        </is>
      </c>
      <c r="E139" s="156" t="inlineStr">
        <is>
          <t>SY750H-PRO</t>
        </is>
      </c>
      <c r="F139" s="184" t="n">
        <v>978.4</v>
      </c>
    </row>
    <row r="140">
      <c r="A140" s="155" t="n">
        <v>46098</v>
      </c>
      <c r="B140" s="156" t="inlineStr">
        <is>
          <t>EX-334</t>
        </is>
      </c>
      <c r="C140" s="156" t="inlineStr">
        <is>
          <t>Excavator</t>
        </is>
      </c>
      <c r="D140" s="156" t="inlineStr">
        <is>
          <t>Mining</t>
        </is>
      </c>
      <c r="E140" s="156" t="inlineStr">
        <is>
          <t>PC 300-8MO</t>
        </is>
      </c>
      <c r="F140" s="184" t="n">
        <v>477.5</v>
      </c>
    </row>
    <row r="141">
      <c r="A141" s="155" t="n">
        <v>46098</v>
      </c>
      <c r="B141" s="156" t="inlineStr">
        <is>
          <t>EX-332</t>
        </is>
      </c>
      <c r="C141" s="156" t="inlineStr">
        <is>
          <t>Excavator</t>
        </is>
      </c>
      <c r="D141" s="156" t="inlineStr">
        <is>
          <t>Mining</t>
        </is>
      </c>
      <c r="E141" s="156" t="inlineStr">
        <is>
          <t>PC 300-8MO</t>
        </is>
      </c>
      <c r="F141" s="184" t="n">
        <v>350.7</v>
      </c>
    </row>
    <row r="142">
      <c r="A142" s="155" t="n">
        <v>46098</v>
      </c>
      <c r="B142" s="156" t="inlineStr">
        <is>
          <t>EX-222</t>
        </is>
      </c>
      <c r="C142" s="156" t="inlineStr">
        <is>
          <t>Excavator</t>
        </is>
      </c>
      <c r="D142" s="156" t="inlineStr">
        <is>
          <t>Mining</t>
        </is>
      </c>
      <c r="E142" s="156" t="inlineStr">
        <is>
          <t>PC 200-8MI</t>
        </is>
      </c>
      <c r="F142" s="184" t="n">
        <v>290.1</v>
      </c>
    </row>
    <row r="143">
      <c r="A143" s="155" t="n">
        <v>46098</v>
      </c>
      <c r="B143" s="156" t="inlineStr">
        <is>
          <t>EX-223</t>
        </is>
      </c>
      <c r="C143" s="156" t="inlineStr">
        <is>
          <t>Excavator</t>
        </is>
      </c>
      <c r="D143" s="156" t="inlineStr">
        <is>
          <t>Aux</t>
        </is>
      </c>
      <c r="E143" s="156" t="inlineStr">
        <is>
          <t>PC 200-8MI</t>
        </is>
      </c>
      <c r="F143" s="184" t="n">
        <v>274.6</v>
      </c>
    </row>
    <row r="144">
      <c r="A144" s="155" t="n">
        <v>46098</v>
      </c>
      <c r="B144" s="156" t="inlineStr">
        <is>
          <t>EX-1251</t>
        </is>
      </c>
      <c r="C144" s="156" t="inlineStr">
        <is>
          <t>Excavator</t>
        </is>
      </c>
      <c r="D144" s="156" t="inlineStr">
        <is>
          <t>Mining</t>
        </is>
      </c>
      <c r="E144" s="156" t="inlineStr">
        <is>
          <t>SY1250</t>
        </is>
      </c>
      <c r="F144" s="184" t="n">
        <v>917.6</v>
      </c>
    </row>
    <row r="145">
      <c r="A145" s="155" t="n">
        <v>46098</v>
      </c>
      <c r="B145" s="156" t="inlineStr">
        <is>
          <t>EX-1252</t>
        </is>
      </c>
      <c r="C145" s="156" t="inlineStr">
        <is>
          <t>Excavator</t>
        </is>
      </c>
      <c r="D145" s="156" t="inlineStr">
        <is>
          <t>Mining</t>
        </is>
      </c>
      <c r="E145" s="156" t="inlineStr">
        <is>
          <t>SY1250</t>
        </is>
      </c>
      <c r="F145" s="184" t="n">
        <v>818.3</v>
      </c>
    </row>
    <row r="146">
      <c r="A146" s="155" t="n">
        <v>46098</v>
      </c>
      <c r="B146" s="156" t="inlineStr">
        <is>
          <t>EX-2101</t>
        </is>
      </c>
      <c r="C146" s="156" t="inlineStr">
        <is>
          <t>Excavator</t>
        </is>
      </c>
      <c r="D146" s="156" t="inlineStr">
        <is>
          <t>Mining</t>
        </is>
      </c>
      <c r="E146" s="156" t="inlineStr">
        <is>
          <t>SY2000</t>
        </is>
      </c>
      <c r="F146" s="184" t="n">
        <v>845.5</v>
      </c>
    </row>
    <row r="147">
      <c r="A147" s="155" t="n">
        <v>46098</v>
      </c>
      <c r="B147" s="156" t="inlineStr">
        <is>
          <t>EX-333</t>
        </is>
      </c>
      <c r="C147" s="156" t="inlineStr">
        <is>
          <t>Excavator</t>
        </is>
      </c>
      <c r="D147" s="156" t="inlineStr">
        <is>
          <t>Mining</t>
        </is>
      </c>
      <c r="E147" s="156" t="inlineStr">
        <is>
          <t>PC 300-8MO</t>
        </is>
      </c>
      <c r="F147" s="184" t="n">
        <v>407.5</v>
      </c>
    </row>
    <row r="148">
      <c r="A148" s="155" t="n">
        <v>46098</v>
      </c>
      <c r="B148" s="156" t="inlineStr">
        <is>
          <t>EX-336</t>
        </is>
      </c>
      <c r="C148" s="156" t="inlineStr">
        <is>
          <t>Excavator</t>
        </is>
      </c>
      <c r="D148" s="156" t="inlineStr">
        <is>
          <t>Mining</t>
        </is>
      </c>
      <c r="E148" s="156" t="inlineStr">
        <is>
          <t>PC 300-8MO</t>
        </is>
      </c>
      <c r="F148" s="184" t="n">
        <v>503.9</v>
      </c>
    </row>
    <row r="149">
      <c r="A149" s="155" t="n">
        <v>46098</v>
      </c>
      <c r="B149" s="156" t="inlineStr">
        <is>
          <t>DT-811</t>
        </is>
      </c>
      <c r="C149" s="156" t="inlineStr">
        <is>
          <t>Hauler</t>
        </is>
      </c>
      <c r="D149" s="156" t="inlineStr">
        <is>
          <t>Mining</t>
        </is>
      </c>
      <c r="E149" s="156" t="inlineStr">
        <is>
          <t>SKT 80S</t>
        </is>
      </c>
      <c r="F149" s="184" t="n">
        <v>176.2</v>
      </c>
    </row>
    <row r="150">
      <c r="A150" s="155" t="n">
        <v>46098</v>
      </c>
      <c r="B150" s="156" t="inlineStr">
        <is>
          <t>DT-812</t>
        </is>
      </c>
      <c r="C150" s="156" t="inlineStr">
        <is>
          <t>Hauler</t>
        </is>
      </c>
      <c r="D150" s="156" t="inlineStr">
        <is>
          <t>Mining</t>
        </is>
      </c>
      <c r="E150" s="156" t="inlineStr">
        <is>
          <t>SKT 80S</t>
        </is>
      </c>
      <c r="F150" s="184" t="n">
        <v>60</v>
      </c>
    </row>
    <row r="151">
      <c r="A151" s="155" t="n">
        <v>46098</v>
      </c>
      <c r="B151" s="156" t="inlineStr">
        <is>
          <t>DT-810</t>
        </is>
      </c>
      <c r="C151" s="156" t="inlineStr">
        <is>
          <t>Hauler</t>
        </is>
      </c>
      <c r="D151" s="156" t="inlineStr">
        <is>
          <t>Mining</t>
        </is>
      </c>
      <c r="E151" s="156" t="inlineStr">
        <is>
          <t>SKT 80S</t>
        </is>
      </c>
      <c r="F151" s="184" t="n">
        <v>196.8</v>
      </c>
    </row>
    <row r="152">
      <c r="A152" s="155" t="n">
        <v>46098</v>
      </c>
      <c r="B152" s="156" t="inlineStr">
        <is>
          <t>DT-505</t>
        </is>
      </c>
      <c r="C152" s="156" t="inlineStr">
        <is>
          <t>Hauler</t>
        </is>
      </c>
      <c r="D152" s="156" t="inlineStr">
        <is>
          <t>Mining</t>
        </is>
      </c>
      <c r="E152" s="156" t="inlineStr">
        <is>
          <t>SKT 105S</t>
        </is>
      </c>
      <c r="F152" s="184" t="n">
        <v>514.5</v>
      </c>
    </row>
    <row r="153">
      <c r="A153" s="155" t="n">
        <v>46098</v>
      </c>
      <c r="B153" s="156" t="inlineStr">
        <is>
          <t>DT-503</t>
        </is>
      </c>
      <c r="C153" s="156" t="inlineStr">
        <is>
          <t>Hauler</t>
        </is>
      </c>
      <c r="D153" s="156" t="inlineStr">
        <is>
          <t>Mining</t>
        </is>
      </c>
      <c r="E153" s="156" t="inlineStr">
        <is>
          <t>SKT 105S</t>
        </is>
      </c>
      <c r="F153" s="184" t="n">
        <v>443.3</v>
      </c>
    </row>
    <row r="154">
      <c r="A154" s="155" t="n">
        <v>46098</v>
      </c>
      <c r="B154" s="156" t="inlineStr">
        <is>
          <t>DT-504</t>
        </is>
      </c>
      <c r="C154" s="156" t="inlineStr">
        <is>
          <t>Hauler</t>
        </is>
      </c>
      <c r="D154" s="156" t="inlineStr">
        <is>
          <t>Mining</t>
        </is>
      </c>
      <c r="E154" s="156" t="inlineStr">
        <is>
          <t>SKT 105S</t>
        </is>
      </c>
      <c r="F154" s="184" t="n">
        <v>199.4</v>
      </c>
    </row>
    <row r="155">
      <c r="A155" s="155" t="n">
        <v>46098</v>
      </c>
      <c r="B155" s="156" t="inlineStr">
        <is>
          <t>DT-507</t>
        </is>
      </c>
      <c r="C155" s="156" t="inlineStr">
        <is>
          <t>Hauler</t>
        </is>
      </c>
      <c r="D155" s="156" t="inlineStr">
        <is>
          <t>Mining</t>
        </is>
      </c>
      <c r="E155" s="156" t="inlineStr">
        <is>
          <t>SKT 105S</t>
        </is>
      </c>
      <c r="F155" s="184" t="n">
        <v>520.6</v>
      </c>
    </row>
    <row r="156">
      <c r="A156" s="155" t="n">
        <v>46098</v>
      </c>
      <c r="B156" s="156" t="inlineStr">
        <is>
          <t>DT-501</t>
        </is>
      </c>
      <c r="C156" s="156" t="inlineStr">
        <is>
          <t>Hauler</t>
        </is>
      </c>
      <c r="D156" s="156" t="inlineStr">
        <is>
          <t>Mining</t>
        </is>
      </c>
      <c r="E156" s="156" t="inlineStr">
        <is>
          <t>SKT 105S</t>
        </is>
      </c>
      <c r="F156" s="184" t="n">
        <v>120.4</v>
      </c>
    </row>
    <row r="157">
      <c r="A157" s="155" t="n">
        <v>46098</v>
      </c>
      <c r="B157" s="156" t="inlineStr">
        <is>
          <t>DT-518</t>
        </is>
      </c>
      <c r="C157" s="156" t="inlineStr">
        <is>
          <t>Hauler</t>
        </is>
      </c>
      <c r="D157" s="156" t="inlineStr">
        <is>
          <t>Mining</t>
        </is>
      </c>
      <c r="E157" s="156" t="inlineStr">
        <is>
          <t>SKT 105S</t>
        </is>
      </c>
      <c r="F157" s="184" t="n">
        <v>240.6</v>
      </c>
    </row>
    <row r="158">
      <c r="A158" s="155" t="n">
        <v>46098</v>
      </c>
      <c r="B158" s="156" t="inlineStr">
        <is>
          <t>DT-523</t>
        </is>
      </c>
      <c r="C158" s="156" t="inlineStr">
        <is>
          <t>Hauler</t>
        </is>
      </c>
      <c r="D158" s="156" t="inlineStr">
        <is>
          <t>Mining</t>
        </is>
      </c>
      <c r="E158" s="156" t="inlineStr">
        <is>
          <t>SKT 105S</t>
        </is>
      </c>
      <c r="F158" s="184" t="n">
        <v>534</v>
      </c>
    </row>
    <row r="159">
      <c r="A159" s="155" t="n">
        <v>46098</v>
      </c>
      <c r="B159" s="156" t="inlineStr">
        <is>
          <t>DT-527</t>
        </is>
      </c>
      <c r="C159" s="156" t="inlineStr">
        <is>
          <t>Hauler</t>
        </is>
      </c>
      <c r="D159" s="156" t="inlineStr">
        <is>
          <t>Mining</t>
        </is>
      </c>
      <c r="E159" s="156" t="inlineStr">
        <is>
          <t>SKT 105S</t>
        </is>
      </c>
      <c r="F159" s="184" t="n">
        <v>315.3</v>
      </c>
    </row>
    <row r="160">
      <c r="A160" s="155" t="n">
        <v>46098</v>
      </c>
      <c r="B160" s="156" t="inlineStr">
        <is>
          <t>DT-513</t>
        </is>
      </c>
      <c r="C160" s="156" t="inlineStr">
        <is>
          <t>Hauler</t>
        </is>
      </c>
      <c r="D160" s="156" t="inlineStr">
        <is>
          <t>Mining</t>
        </is>
      </c>
      <c r="E160" s="156" t="inlineStr">
        <is>
          <t>SKT 105S</t>
        </is>
      </c>
      <c r="F160" s="184" t="n">
        <v>402</v>
      </c>
    </row>
    <row r="161">
      <c r="A161" s="155" t="n">
        <v>46098</v>
      </c>
      <c r="B161" s="156" t="inlineStr">
        <is>
          <t>DT-522</t>
        </is>
      </c>
      <c r="C161" s="156" t="inlineStr">
        <is>
          <t>Hauler</t>
        </is>
      </c>
      <c r="D161" s="156" t="inlineStr">
        <is>
          <t>Mining</t>
        </is>
      </c>
      <c r="E161" s="156" t="inlineStr">
        <is>
          <t>SKT 105S</t>
        </is>
      </c>
      <c r="F161" s="184" t="n">
        <v>345.9</v>
      </c>
    </row>
    <row r="162">
      <c r="A162" s="155" t="n">
        <v>46098</v>
      </c>
      <c r="B162" s="156" t="inlineStr">
        <is>
          <t>DT-517</t>
        </is>
      </c>
      <c r="C162" s="156" t="inlineStr">
        <is>
          <t>Hauler</t>
        </is>
      </c>
      <c r="D162" s="156" t="inlineStr">
        <is>
          <t>Mining</t>
        </is>
      </c>
      <c r="E162" s="156" t="inlineStr">
        <is>
          <t>SKT 105S</t>
        </is>
      </c>
      <c r="F162" s="184" t="n">
        <v>460.3</v>
      </c>
    </row>
    <row r="163">
      <c r="A163" s="155" t="n">
        <v>46098</v>
      </c>
      <c r="B163" s="156" t="inlineStr">
        <is>
          <t>DT-510</t>
        </is>
      </c>
      <c r="C163" s="156" t="inlineStr">
        <is>
          <t>Hauler</t>
        </is>
      </c>
      <c r="D163" s="156" t="inlineStr">
        <is>
          <t>Mining</t>
        </is>
      </c>
      <c r="E163" s="156" t="inlineStr">
        <is>
          <t>SKT 105S</t>
        </is>
      </c>
      <c r="F163" s="184" t="n">
        <v>274</v>
      </c>
    </row>
    <row r="164">
      <c r="A164" s="155" t="n">
        <v>46098</v>
      </c>
      <c r="B164" s="156" t="inlineStr">
        <is>
          <t>DT-521</t>
        </is>
      </c>
      <c r="C164" s="156" t="inlineStr">
        <is>
          <t>Hauler</t>
        </is>
      </c>
      <c r="D164" s="156" t="inlineStr">
        <is>
          <t>Mining</t>
        </is>
      </c>
      <c r="E164" s="156" t="inlineStr">
        <is>
          <t>SKT 105S</t>
        </is>
      </c>
      <c r="F164" s="184" t="n">
        <v>640.2</v>
      </c>
    </row>
    <row r="165">
      <c r="A165" s="155" t="n">
        <v>46098</v>
      </c>
      <c r="B165" s="156" t="inlineStr">
        <is>
          <t>DT-516</t>
        </is>
      </c>
      <c r="C165" s="156" t="inlineStr">
        <is>
          <t>Hauler</t>
        </is>
      </c>
      <c r="D165" s="156" t="inlineStr">
        <is>
          <t>Mining</t>
        </is>
      </c>
      <c r="E165" s="156" t="inlineStr">
        <is>
          <t>SKT 105S</t>
        </is>
      </c>
      <c r="F165" s="184" t="n">
        <v>396.3</v>
      </c>
    </row>
    <row r="166">
      <c r="A166" s="155" t="n">
        <v>46098</v>
      </c>
      <c r="B166" s="156" t="inlineStr">
        <is>
          <t>DT-506</t>
        </is>
      </c>
      <c r="C166" s="156" t="inlineStr">
        <is>
          <t>Hauler</t>
        </is>
      </c>
      <c r="D166" s="156" t="inlineStr">
        <is>
          <t>Mining</t>
        </is>
      </c>
      <c r="E166" s="156" t="inlineStr">
        <is>
          <t>SKT 105S</t>
        </is>
      </c>
      <c r="F166" s="184" t="n">
        <v>475.8</v>
      </c>
    </row>
    <row r="167">
      <c r="A167" s="155" t="n">
        <v>46098</v>
      </c>
      <c r="B167" s="156" t="inlineStr">
        <is>
          <t>DT-528</t>
        </is>
      </c>
      <c r="C167" s="156" t="inlineStr">
        <is>
          <t>Hauler</t>
        </is>
      </c>
      <c r="D167" s="156" t="inlineStr">
        <is>
          <t>Mining</t>
        </is>
      </c>
      <c r="E167" s="156" t="inlineStr">
        <is>
          <t>SKT 105S</t>
        </is>
      </c>
      <c r="F167" s="184" t="n">
        <v>192.4</v>
      </c>
    </row>
    <row r="168">
      <c r="A168" s="155" t="n">
        <v>46098</v>
      </c>
      <c r="B168" s="156" t="inlineStr">
        <is>
          <t>DT-529</t>
        </is>
      </c>
      <c r="C168" s="156" t="inlineStr">
        <is>
          <t>Hauler</t>
        </is>
      </c>
      <c r="D168" s="156" t="inlineStr">
        <is>
          <t>Mining</t>
        </is>
      </c>
      <c r="E168" s="156" t="inlineStr">
        <is>
          <t>SKT 105S</t>
        </is>
      </c>
      <c r="F168" s="184" t="n">
        <v>236</v>
      </c>
    </row>
    <row r="169">
      <c r="A169" s="155" t="n">
        <v>46098</v>
      </c>
      <c r="B169" s="156" t="inlineStr">
        <is>
          <t>DT-520</t>
        </is>
      </c>
      <c r="C169" s="156" t="inlineStr">
        <is>
          <t>Hauler</t>
        </is>
      </c>
      <c r="D169" s="156" t="inlineStr">
        <is>
          <t>Mining</t>
        </is>
      </c>
      <c r="E169" s="156" t="inlineStr">
        <is>
          <t>SKT 105S</t>
        </is>
      </c>
      <c r="F169" s="184" t="n">
        <v>521.6</v>
      </c>
    </row>
    <row r="170">
      <c r="A170" s="155" t="n">
        <v>46098</v>
      </c>
      <c r="B170" s="156" t="inlineStr">
        <is>
          <t>DT-508</t>
        </is>
      </c>
      <c r="C170" s="156" t="inlineStr">
        <is>
          <t>Hauler</t>
        </is>
      </c>
      <c r="D170" s="156" t="inlineStr">
        <is>
          <t>Mining</t>
        </is>
      </c>
      <c r="E170" s="156" t="inlineStr">
        <is>
          <t>SKT 105S</t>
        </is>
      </c>
      <c r="F170" s="184" t="n">
        <v>282.6</v>
      </c>
    </row>
    <row r="171">
      <c r="A171" s="155" t="n">
        <v>46098</v>
      </c>
      <c r="B171" s="156" t="inlineStr">
        <is>
          <t>DT-515</t>
        </is>
      </c>
      <c r="C171" s="156" t="inlineStr">
        <is>
          <t>Hauler</t>
        </is>
      </c>
      <c r="D171" s="156" t="inlineStr">
        <is>
          <t>Mining</t>
        </is>
      </c>
      <c r="E171" s="156" t="inlineStr">
        <is>
          <t>SKT 105S</t>
        </is>
      </c>
      <c r="F171" s="184" t="n">
        <v>290</v>
      </c>
    </row>
    <row r="172">
      <c r="A172" s="155" t="n">
        <v>46098</v>
      </c>
      <c r="B172" s="156" t="inlineStr">
        <is>
          <t>DT-524</t>
        </is>
      </c>
      <c r="C172" s="156" t="inlineStr">
        <is>
          <t>Hauler</t>
        </is>
      </c>
      <c r="D172" s="156" t="inlineStr">
        <is>
          <t>Mining</t>
        </is>
      </c>
      <c r="E172" s="156" t="inlineStr">
        <is>
          <t>SKT 105S</t>
        </is>
      </c>
      <c r="F172" s="184" t="n">
        <v>262.1</v>
      </c>
    </row>
    <row r="173">
      <c r="A173" s="155" t="n">
        <v>46098</v>
      </c>
      <c r="B173" s="156" t="inlineStr">
        <is>
          <t>HD-903</t>
        </is>
      </c>
      <c r="C173" s="156" t="inlineStr">
        <is>
          <t>Hauler</t>
        </is>
      </c>
      <c r="D173" s="156" t="inlineStr">
        <is>
          <t>Mining</t>
        </is>
      </c>
      <c r="E173" s="156" t="inlineStr">
        <is>
          <t>SRT 95C</t>
        </is>
      </c>
      <c r="F173" s="184" t="n">
        <v>635.6</v>
      </c>
    </row>
    <row r="174">
      <c r="A174" s="155" t="n">
        <v>46098</v>
      </c>
      <c r="B174" s="156" t="inlineStr">
        <is>
          <t>HD-901</t>
        </is>
      </c>
      <c r="C174" s="156" t="inlineStr">
        <is>
          <t>Hauler</t>
        </is>
      </c>
      <c r="D174" s="156" t="inlineStr">
        <is>
          <t>Mining</t>
        </is>
      </c>
      <c r="E174" s="156" t="inlineStr">
        <is>
          <t>SRT 95C</t>
        </is>
      </c>
      <c r="F174" s="184" t="n">
        <v>811.4</v>
      </c>
    </row>
    <row r="175">
      <c r="A175" s="155" t="n">
        <v>46098</v>
      </c>
      <c r="B175" s="156" t="inlineStr">
        <is>
          <t>HD-904</t>
        </is>
      </c>
      <c r="C175" s="156" t="inlineStr">
        <is>
          <t>Hauler</t>
        </is>
      </c>
      <c r="D175" s="156" t="inlineStr">
        <is>
          <t>Mining</t>
        </is>
      </c>
      <c r="E175" s="156" t="inlineStr">
        <is>
          <t>SRT 95C</t>
        </is>
      </c>
      <c r="F175" s="184" t="n">
        <v>765.1</v>
      </c>
    </row>
    <row r="176">
      <c r="A176" s="155" t="n">
        <v>46098</v>
      </c>
      <c r="B176" s="156" t="inlineStr">
        <is>
          <t>DH-101</t>
        </is>
      </c>
      <c r="C176" s="156" t="inlineStr">
        <is>
          <t>DT Hino</t>
        </is>
      </c>
      <c r="D176" s="156" t="inlineStr">
        <is>
          <t>Mining</t>
        </is>
      </c>
      <c r="E176" s="156" t="inlineStr">
        <is>
          <t>HINO FM260</t>
        </is>
      </c>
      <c r="F176" s="184" t="n">
        <v>93.40000000000001</v>
      </c>
    </row>
    <row r="177">
      <c r="A177" s="155" t="n">
        <v>46098</v>
      </c>
      <c r="B177" s="156" t="inlineStr">
        <is>
          <t>DZ-033</t>
        </is>
      </c>
      <c r="C177" s="156" t="inlineStr">
        <is>
          <t>Bulldozer</t>
        </is>
      </c>
      <c r="D177" s="156" t="inlineStr">
        <is>
          <t>Mining</t>
        </is>
      </c>
      <c r="E177" s="156" t="inlineStr">
        <is>
          <t>D 375A-6R</t>
        </is>
      </c>
      <c r="F177" s="184" t="n">
        <v>792.3</v>
      </c>
    </row>
    <row r="178">
      <c r="A178" s="155" t="n">
        <v>46098</v>
      </c>
      <c r="B178" s="156" t="inlineStr">
        <is>
          <t>DZ-038</t>
        </is>
      </c>
      <c r="C178" s="156" t="inlineStr">
        <is>
          <t>Bulldozer</t>
        </is>
      </c>
      <c r="D178" s="156" t="inlineStr">
        <is>
          <t>Mining</t>
        </is>
      </c>
      <c r="E178" s="156" t="inlineStr">
        <is>
          <t>D 85 ESS-2</t>
        </is>
      </c>
      <c r="F178" s="184" t="n">
        <v>255.2</v>
      </c>
    </row>
    <row r="179">
      <c r="A179" s="155" t="n">
        <v>46098</v>
      </c>
      <c r="B179" s="156" t="inlineStr">
        <is>
          <t>DZ-039</t>
        </is>
      </c>
      <c r="C179" s="156" t="inlineStr">
        <is>
          <t>Bulldozer</t>
        </is>
      </c>
      <c r="D179" s="156" t="inlineStr">
        <is>
          <t>Mining</t>
        </is>
      </c>
      <c r="E179" s="156" t="inlineStr">
        <is>
          <t>D 85 ESS-2</t>
        </is>
      </c>
      <c r="F179" s="184" t="n">
        <v>196.9</v>
      </c>
    </row>
    <row r="180">
      <c r="A180" s="155" t="n">
        <v>46098</v>
      </c>
      <c r="B180" s="156" t="inlineStr">
        <is>
          <t>DZ-035</t>
        </is>
      </c>
      <c r="C180" s="156" t="inlineStr">
        <is>
          <t>Bulldozer</t>
        </is>
      </c>
      <c r="D180" s="156" t="inlineStr">
        <is>
          <t>Mining</t>
        </is>
      </c>
      <c r="E180" s="156" t="inlineStr">
        <is>
          <t>D 85 ESS-2</t>
        </is>
      </c>
      <c r="F180" s="184" t="n">
        <v>170.1</v>
      </c>
    </row>
    <row r="181">
      <c r="A181" s="155" t="n">
        <v>46098</v>
      </c>
      <c r="B181" s="156" t="inlineStr">
        <is>
          <t>DZ-032</t>
        </is>
      </c>
      <c r="C181" s="156" t="inlineStr">
        <is>
          <t>Bulldozer</t>
        </is>
      </c>
      <c r="D181" s="156" t="inlineStr">
        <is>
          <t>Mining</t>
        </is>
      </c>
      <c r="E181" s="156" t="inlineStr">
        <is>
          <t>CAT</t>
        </is>
      </c>
      <c r="F181" s="184" t="n">
        <v>90.59999999999999</v>
      </c>
    </row>
    <row r="182">
      <c r="A182" s="155" t="n">
        <v>46098</v>
      </c>
      <c r="B182" s="156" t="inlineStr">
        <is>
          <t>DZ-031</t>
        </is>
      </c>
      <c r="C182" s="156" t="inlineStr">
        <is>
          <t>Bulldozer</t>
        </is>
      </c>
      <c r="D182" s="156" t="inlineStr">
        <is>
          <t>Mining</t>
        </is>
      </c>
      <c r="E182" s="156" t="inlineStr">
        <is>
          <t>CAT</t>
        </is>
      </c>
      <c r="F182" s="184" t="n">
        <v>278.3</v>
      </c>
    </row>
    <row r="183">
      <c r="A183" s="155" t="n">
        <v>46098</v>
      </c>
      <c r="B183" s="156" t="inlineStr">
        <is>
          <t>GD-013</t>
        </is>
      </c>
      <c r="C183" s="156" t="inlineStr">
        <is>
          <t>Grader</t>
        </is>
      </c>
      <c r="D183" s="156" t="inlineStr">
        <is>
          <t>Mining</t>
        </is>
      </c>
      <c r="E183" s="156" t="inlineStr">
        <is>
          <t>STG 265C - 10</t>
        </is>
      </c>
      <c r="F183" s="184" t="n">
        <v>368.6</v>
      </c>
    </row>
    <row r="184">
      <c r="A184" s="155" t="n">
        <v>46098</v>
      </c>
      <c r="B184" s="156" t="inlineStr">
        <is>
          <t>GD-014</t>
        </is>
      </c>
      <c r="C184" s="156" t="inlineStr">
        <is>
          <t>Grader</t>
        </is>
      </c>
      <c r="D184" s="156" t="inlineStr">
        <is>
          <t>Mining</t>
        </is>
      </c>
      <c r="E184" s="156" t="inlineStr">
        <is>
          <t>STG 335C - 10</t>
        </is>
      </c>
      <c r="F184" s="184" t="n">
        <v>453.9</v>
      </c>
    </row>
    <row r="185">
      <c r="A185" s="155" t="n">
        <v>46098</v>
      </c>
      <c r="B185" s="156" t="inlineStr">
        <is>
          <t>WL-023</t>
        </is>
      </c>
      <c r="C185" s="156" t="inlineStr">
        <is>
          <t>Loader</t>
        </is>
      </c>
      <c r="D185" s="156" t="inlineStr">
        <is>
          <t>Aux</t>
        </is>
      </c>
      <c r="E185" s="156" t="inlineStr">
        <is>
          <t>SANY - Loader</t>
        </is>
      </c>
      <c r="F185" s="184" t="n">
        <v>15.4</v>
      </c>
    </row>
    <row r="186">
      <c r="A186" s="155" t="n">
        <v>46098</v>
      </c>
      <c r="B186" s="156" t="inlineStr">
        <is>
          <t>LV-03</t>
        </is>
      </c>
      <c r="C186" s="156" t="inlineStr">
        <is>
          <t>LV &amp; sarana</t>
        </is>
      </c>
      <c r="D186" s="156" t="inlineStr">
        <is>
          <t>Aux</t>
        </is>
      </c>
      <c r="E186" s="156" t="inlineStr">
        <is>
          <t>Light vehicle</t>
        </is>
      </c>
      <c r="F186" s="184" t="n">
        <v>42.3</v>
      </c>
    </row>
    <row r="187">
      <c r="A187" s="155" t="n">
        <v>46098</v>
      </c>
      <c r="B187" s="156" t="inlineStr">
        <is>
          <t>LV-07</t>
        </is>
      </c>
      <c r="C187" s="156" t="inlineStr">
        <is>
          <t>LV &amp; sarana</t>
        </is>
      </c>
      <c r="D187" s="156" t="inlineStr">
        <is>
          <t>Aux</t>
        </is>
      </c>
      <c r="E187" s="156" t="inlineStr">
        <is>
          <t>Light vehicle</t>
        </is>
      </c>
      <c r="F187" s="184" t="n">
        <v>43</v>
      </c>
    </row>
    <row r="188">
      <c r="A188" s="155" t="n">
        <v>46098</v>
      </c>
      <c r="B188" s="156" t="inlineStr">
        <is>
          <t>LV-10</t>
        </is>
      </c>
      <c r="C188" s="156" t="inlineStr">
        <is>
          <t>LV &amp; sarana</t>
        </is>
      </c>
      <c r="D188" s="156" t="inlineStr">
        <is>
          <t>Aux</t>
        </is>
      </c>
      <c r="E188" s="156" t="inlineStr">
        <is>
          <t>Light vehicle</t>
        </is>
      </c>
      <c r="F188" s="184" t="n">
        <v>53.8</v>
      </c>
    </row>
    <row r="189">
      <c r="A189" s="155" t="n">
        <v>46098</v>
      </c>
      <c r="B189" s="156" t="inlineStr">
        <is>
          <t>LV-11</t>
        </is>
      </c>
      <c r="C189" s="156" t="inlineStr">
        <is>
          <t>LV &amp; sarana</t>
        </is>
      </c>
      <c r="D189" s="156" t="inlineStr">
        <is>
          <t>Aux</t>
        </is>
      </c>
      <c r="E189" s="156" t="inlineStr">
        <is>
          <t>Light vehicle</t>
        </is>
      </c>
      <c r="F189" s="184" t="n">
        <v>57.2</v>
      </c>
    </row>
    <row r="190">
      <c r="A190" s="155" t="n">
        <v>46098</v>
      </c>
      <c r="B190" s="156" t="inlineStr">
        <is>
          <t>LV-12</t>
        </is>
      </c>
      <c r="C190" s="156" t="inlineStr">
        <is>
          <t>LV &amp; sarana</t>
        </is>
      </c>
      <c r="D190" s="156" t="inlineStr">
        <is>
          <t>Aux</t>
        </is>
      </c>
      <c r="E190" s="156" t="inlineStr">
        <is>
          <t>Light vehicle</t>
        </is>
      </c>
      <c r="F190" s="184" t="n">
        <v>45</v>
      </c>
    </row>
    <row r="191">
      <c r="A191" s="155" t="n">
        <v>46098</v>
      </c>
      <c r="B191" s="156" t="inlineStr">
        <is>
          <t>TS-01</t>
        </is>
      </c>
      <c r="C191" s="156" t="inlineStr">
        <is>
          <t>Truk support</t>
        </is>
      </c>
      <c r="D191" s="156" t="inlineStr">
        <is>
          <t>Mining</t>
        </is>
      </c>
      <c r="E191" s="156" t="inlineStr">
        <is>
          <t>Truk support</t>
        </is>
      </c>
      <c r="F191" s="184" t="n">
        <v>195.3</v>
      </c>
    </row>
    <row r="192">
      <c r="A192" s="155" t="n">
        <v>46098</v>
      </c>
      <c r="B192" s="156" t="inlineStr">
        <is>
          <t>TS-03</t>
        </is>
      </c>
      <c r="C192" s="156" t="inlineStr">
        <is>
          <t>Truk support</t>
        </is>
      </c>
      <c r="D192" s="156" t="inlineStr">
        <is>
          <t>Mining</t>
        </is>
      </c>
      <c r="E192" s="156" t="inlineStr">
        <is>
          <t>Truk support</t>
        </is>
      </c>
      <c r="F192" s="184" t="n">
        <v>138.4</v>
      </c>
    </row>
    <row r="193">
      <c r="A193" s="155" t="n">
        <v>46098</v>
      </c>
      <c r="B193" s="156" t="inlineStr">
        <is>
          <t>TS-04</t>
        </is>
      </c>
      <c r="C193" s="156" t="inlineStr">
        <is>
          <t>Truk support</t>
        </is>
      </c>
      <c r="D193" s="156" t="inlineStr">
        <is>
          <t>Aux</t>
        </is>
      </c>
      <c r="E193" s="156" t="inlineStr">
        <is>
          <t>Truk support</t>
        </is>
      </c>
      <c r="F193" s="184" t="n">
        <v>35.5</v>
      </c>
    </row>
    <row r="194">
      <c r="A194" s="155" t="n">
        <v>46098</v>
      </c>
      <c r="B194" s="156" t="inlineStr">
        <is>
          <t>AL-08</t>
        </is>
      </c>
      <c r="C194" s="156" t="inlineStr">
        <is>
          <t>Alat lain</t>
        </is>
      </c>
      <c r="D194" s="156" t="inlineStr">
        <is>
          <t>Aux</t>
        </is>
      </c>
      <c r="E194" s="156" t="inlineStr">
        <is>
          <t>Alat lain</t>
        </is>
      </c>
      <c r="F194" s="184" t="n">
        <v>114.5</v>
      </c>
    </row>
    <row r="195">
      <c r="A195" s="155" t="n">
        <v>46098</v>
      </c>
      <c r="B195" s="156" t="inlineStr">
        <is>
          <t>AL-09</t>
        </is>
      </c>
      <c r="C195" s="156" t="inlineStr">
        <is>
          <t>Alat lain</t>
        </is>
      </c>
      <c r="D195" s="156" t="inlineStr">
        <is>
          <t>Mining</t>
        </is>
      </c>
      <c r="E195" s="156" t="inlineStr">
        <is>
          <t>Alat lain</t>
        </is>
      </c>
      <c r="F195" s="184" t="n">
        <v>18.9</v>
      </c>
    </row>
    <row r="196">
      <c r="A196" s="155" t="n">
        <v>46098</v>
      </c>
      <c r="B196" s="156" t="inlineStr">
        <is>
          <t>GS-01</t>
        </is>
      </c>
      <c r="C196" s="156" t="inlineStr">
        <is>
          <t>Genset</t>
        </is>
      </c>
      <c r="D196" s="156" t="inlineStr">
        <is>
          <t>Aux</t>
        </is>
      </c>
      <c r="E196" s="156" t="inlineStr">
        <is>
          <t>Genset</t>
        </is>
      </c>
      <c r="F196" s="184" t="n">
        <v>189.5</v>
      </c>
    </row>
    <row r="197">
      <c r="A197" s="155" t="n">
        <v>46098</v>
      </c>
      <c r="B197" s="156" t="inlineStr">
        <is>
          <t>GS-03</t>
        </is>
      </c>
      <c r="C197" s="156" t="inlineStr">
        <is>
          <t>Genset</t>
        </is>
      </c>
      <c r="D197" s="156" t="inlineStr">
        <is>
          <t>Aux</t>
        </is>
      </c>
      <c r="E197" s="156" t="inlineStr">
        <is>
          <t>Genset</t>
        </is>
      </c>
      <c r="F197" s="184" t="n">
        <v>119.6</v>
      </c>
    </row>
    <row r="198">
      <c r="A198" s="155" t="n">
        <v>46098</v>
      </c>
      <c r="B198" s="156" t="inlineStr">
        <is>
          <t>GS-04</t>
        </is>
      </c>
      <c r="C198" s="156" t="inlineStr">
        <is>
          <t>Genset</t>
        </is>
      </c>
      <c r="D198" s="156" t="inlineStr">
        <is>
          <t>Aux</t>
        </is>
      </c>
      <c r="E198" s="156" t="inlineStr">
        <is>
          <t>Genset</t>
        </is>
      </c>
      <c r="F198" s="184" t="n">
        <v>624.3</v>
      </c>
    </row>
    <row r="199">
      <c r="A199" s="155" t="n">
        <v>46098</v>
      </c>
      <c r="B199" s="156" t="inlineStr">
        <is>
          <t>GS-07</t>
        </is>
      </c>
      <c r="C199" s="156" t="inlineStr">
        <is>
          <t>Genset</t>
        </is>
      </c>
      <c r="D199" s="156" t="inlineStr">
        <is>
          <t>Aux</t>
        </is>
      </c>
      <c r="E199" s="156" t="inlineStr">
        <is>
          <t>Genset</t>
        </is>
      </c>
      <c r="F199" s="184" t="n">
        <v>24.6</v>
      </c>
    </row>
    <row r="200">
      <c r="A200" s="155" t="n">
        <v>46098</v>
      </c>
      <c r="B200" s="156" t="inlineStr">
        <is>
          <t>WP-05</t>
        </is>
      </c>
      <c r="C200" s="156" t="inlineStr">
        <is>
          <t>Pompa air</t>
        </is>
      </c>
      <c r="D200" s="156" t="inlineStr">
        <is>
          <t>Mining</t>
        </is>
      </c>
      <c r="E200" s="156" t="inlineStr">
        <is>
          <t>Pompa air</t>
        </is>
      </c>
      <c r="F200" s="184" t="n">
        <v>786.7</v>
      </c>
    </row>
    <row r="201">
      <c r="A201" s="155" t="n">
        <v>46098</v>
      </c>
      <c r="B201" s="156" t="inlineStr">
        <is>
          <t>DT-341</t>
        </is>
      </c>
      <c r="C201" s="156" t="inlineStr">
        <is>
          <t>Hauler</t>
        </is>
      </c>
      <c r="D201" s="156" t="inlineStr">
        <is>
          <t>Aux</t>
        </is>
      </c>
      <c r="E201" s="156" t="inlineStr">
        <is>
          <t>SYZ324C-8W</t>
        </is>
      </c>
      <c r="F201" s="184" t="n">
        <v>145.5</v>
      </c>
    </row>
    <row r="202">
      <c r="A202" s="155" t="n">
        <v>46098</v>
      </c>
      <c r="B202" s="156" t="inlineStr">
        <is>
          <t>DT-342</t>
        </is>
      </c>
      <c r="C202" s="156" t="inlineStr">
        <is>
          <t>Hauler</t>
        </is>
      </c>
      <c r="D202" s="156" t="inlineStr">
        <is>
          <t>Aux</t>
        </is>
      </c>
      <c r="E202" s="156" t="inlineStr">
        <is>
          <t>SYZ324C-8W</t>
        </is>
      </c>
      <c r="F202" s="184" t="n">
        <v>140.4</v>
      </c>
    </row>
    <row r="203">
      <c r="A203" s="155" t="n">
        <v>46098</v>
      </c>
      <c r="B203" s="156" t="inlineStr">
        <is>
          <t>WL-022</t>
        </is>
      </c>
      <c r="C203" s="156" t="inlineStr">
        <is>
          <t>Loader</t>
        </is>
      </c>
      <c r="D203" s="156" t="inlineStr">
        <is>
          <t>Aux</t>
        </is>
      </c>
      <c r="E203" s="156" t="inlineStr">
        <is>
          <t>SANY - Loader</t>
        </is>
      </c>
      <c r="F203" s="184" t="n">
        <v>260.8</v>
      </c>
    </row>
    <row r="204">
      <c r="A204" s="155" t="n">
        <v>46098</v>
      </c>
      <c r="B204" s="156" t="inlineStr">
        <is>
          <t>WL-024</t>
        </is>
      </c>
      <c r="C204" s="156" t="inlineStr">
        <is>
          <t>Loader</t>
        </is>
      </c>
      <c r="D204" s="156" t="inlineStr">
        <is>
          <t>Aux</t>
        </is>
      </c>
      <c r="E204" s="156" t="inlineStr">
        <is>
          <t>SANY - Loader</t>
        </is>
      </c>
      <c r="F204" s="184" t="n">
        <v>262.4</v>
      </c>
    </row>
    <row r="205">
      <c r="A205" s="155" t="n">
        <v>46107</v>
      </c>
      <c r="B205" s="156" t="inlineStr">
        <is>
          <t>EX-755</t>
        </is>
      </c>
      <c r="C205" s="156" t="inlineStr">
        <is>
          <t>Excavator</t>
        </is>
      </c>
      <c r="D205" s="156" t="inlineStr">
        <is>
          <t>Mining</t>
        </is>
      </c>
      <c r="E205" s="156" t="inlineStr">
        <is>
          <t>SY750H-PRO</t>
        </is>
      </c>
      <c r="F205" s="184" t="n">
        <v>1043.6</v>
      </c>
    </row>
    <row r="206">
      <c r="A206" s="155" t="n">
        <v>46107</v>
      </c>
      <c r="B206" s="156" t="inlineStr">
        <is>
          <t>EX-753</t>
        </is>
      </c>
      <c r="C206" s="156" t="inlineStr">
        <is>
          <t>Excavator</t>
        </is>
      </c>
      <c r="D206" s="156" t="inlineStr">
        <is>
          <t>Mining</t>
        </is>
      </c>
      <c r="E206" s="156" t="inlineStr">
        <is>
          <t>SY750H-PRO</t>
        </is>
      </c>
      <c r="F206" s="184" t="n">
        <v>317</v>
      </c>
    </row>
    <row r="207">
      <c r="A207" s="155" t="n">
        <v>46107</v>
      </c>
      <c r="B207" s="156" t="inlineStr">
        <is>
          <t>EX-334</t>
        </is>
      </c>
      <c r="C207" s="156" t="inlineStr">
        <is>
          <t>Excavator</t>
        </is>
      </c>
      <c r="D207" s="156" t="inlineStr">
        <is>
          <t>Mining</t>
        </is>
      </c>
      <c r="E207" s="156" t="inlineStr">
        <is>
          <t>PC 300-8MO</t>
        </is>
      </c>
      <c r="F207" s="184" t="n">
        <v>494.1</v>
      </c>
    </row>
    <row r="208">
      <c r="A208" s="155" t="n">
        <v>46107</v>
      </c>
      <c r="B208" s="156" t="inlineStr">
        <is>
          <t>EX-222</t>
        </is>
      </c>
      <c r="C208" s="156" t="inlineStr">
        <is>
          <t>Excavator</t>
        </is>
      </c>
      <c r="D208" s="156" t="inlineStr">
        <is>
          <t>Mining</t>
        </is>
      </c>
      <c r="E208" s="156" t="inlineStr">
        <is>
          <t>PC 200-8MI</t>
        </is>
      </c>
      <c r="F208" s="184" t="n">
        <v>233.5</v>
      </c>
    </row>
    <row r="209">
      <c r="A209" s="155" t="n">
        <v>46107</v>
      </c>
      <c r="B209" s="156" t="inlineStr">
        <is>
          <t>EX-223</t>
        </is>
      </c>
      <c r="C209" s="156" t="inlineStr">
        <is>
          <t>Excavator</t>
        </is>
      </c>
      <c r="D209" s="156" t="inlineStr">
        <is>
          <t>Aux</t>
        </is>
      </c>
      <c r="E209" s="156" t="inlineStr">
        <is>
          <t>PC 200-8MI</t>
        </is>
      </c>
      <c r="F209" s="184" t="n">
        <v>201.3</v>
      </c>
    </row>
    <row r="210">
      <c r="A210" s="155" t="n">
        <v>46107</v>
      </c>
      <c r="B210" s="156" t="inlineStr">
        <is>
          <t>EX-1251</t>
        </is>
      </c>
      <c r="C210" s="156" t="inlineStr">
        <is>
          <t>Excavator</t>
        </is>
      </c>
      <c r="D210" s="156" t="inlineStr">
        <is>
          <t>Mining</t>
        </is>
      </c>
      <c r="E210" s="156" t="inlineStr">
        <is>
          <t>SY1250</t>
        </is>
      </c>
      <c r="F210" s="184" t="n">
        <v>1988.8</v>
      </c>
    </row>
    <row r="211">
      <c r="A211" s="155" t="n">
        <v>46107</v>
      </c>
      <c r="B211" s="156" t="inlineStr">
        <is>
          <t>EX-1252</t>
        </is>
      </c>
      <c r="C211" s="156" t="inlineStr">
        <is>
          <t>Excavator</t>
        </is>
      </c>
      <c r="D211" s="156" t="inlineStr">
        <is>
          <t>Mining</t>
        </is>
      </c>
      <c r="E211" s="156" t="inlineStr">
        <is>
          <t>SY1250</t>
        </is>
      </c>
      <c r="F211" s="184" t="n">
        <v>1354</v>
      </c>
    </row>
    <row r="212">
      <c r="A212" s="155" t="n">
        <v>46107</v>
      </c>
      <c r="B212" s="156" t="inlineStr">
        <is>
          <t>EX-2101</t>
        </is>
      </c>
      <c r="C212" s="156" t="inlineStr">
        <is>
          <t>Excavator</t>
        </is>
      </c>
      <c r="D212" s="156" t="inlineStr">
        <is>
          <t>Mining</t>
        </is>
      </c>
      <c r="E212" s="156" t="inlineStr">
        <is>
          <t>SY2000</t>
        </is>
      </c>
      <c r="F212" s="184" t="n">
        <v>2217.6</v>
      </c>
    </row>
    <row r="213">
      <c r="A213" s="155" t="n">
        <v>46107</v>
      </c>
      <c r="B213" s="156" t="inlineStr">
        <is>
          <t>EX-333</t>
        </is>
      </c>
      <c r="C213" s="156" t="inlineStr">
        <is>
          <t>Excavator</t>
        </is>
      </c>
      <c r="D213" s="156" t="inlineStr">
        <is>
          <t>Mining</t>
        </is>
      </c>
      <c r="E213" s="156" t="inlineStr">
        <is>
          <t>PC 300-8MO</t>
        </is>
      </c>
      <c r="F213" s="184" t="n">
        <v>606.4</v>
      </c>
    </row>
    <row r="214">
      <c r="A214" s="155" t="n">
        <v>46107</v>
      </c>
      <c r="B214" s="156" t="inlineStr">
        <is>
          <t>EX-336</t>
        </is>
      </c>
      <c r="C214" s="156" t="inlineStr">
        <is>
          <t>Excavator</t>
        </is>
      </c>
      <c r="D214" s="156" t="inlineStr">
        <is>
          <t>Mining</t>
        </is>
      </c>
      <c r="E214" s="156" t="inlineStr">
        <is>
          <t>PC 300-8MO</t>
        </is>
      </c>
      <c r="F214" s="184" t="n">
        <v>635</v>
      </c>
    </row>
    <row r="215">
      <c r="A215" s="155" t="n">
        <v>46107</v>
      </c>
      <c r="B215" s="156" t="inlineStr">
        <is>
          <t>DT-808</t>
        </is>
      </c>
      <c r="C215" s="156" t="inlineStr">
        <is>
          <t>Hauler</t>
        </is>
      </c>
      <c r="D215" s="156" t="inlineStr">
        <is>
          <t>Mining</t>
        </is>
      </c>
      <c r="E215" s="156" t="inlineStr">
        <is>
          <t>SKT 80S</t>
        </is>
      </c>
      <c r="F215" s="184" t="n">
        <v>301.4</v>
      </c>
    </row>
    <row r="216">
      <c r="A216" s="155" t="n">
        <v>46107</v>
      </c>
      <c r="B216" s="156" t="inlineStr">
        <is>
          <t>DT-804</t>
        </is>
      </c>
      <c r="C216" s="156" t="inlineStr">
        <is>
          <t>Hauler</t>
        </is>
      </c>
      <c r="D216" s="156" t="inlineStr">
        <is>
          <t>Mining</t>
        </is>
      </c>
      <c r="E216" s="156" t="inlineStr">
        <is>
          <t>SKT 80S</t>
        </is>
      </c>
      <c r="F216" s="184" t="n">
        <v>208.5</v>
      </c>
    </row>
    <row r="217">
      <c r="A217" s="155" t="n">
        <v>46107</v>
      </c>
      <c r="B217" s="156" t="inlineStr">
        <is>
          <t>DT-505</t>
        </is>
      </c>
      <c r="C217" s="156" t="inlineStr">
        <is>
          <t>Hauler</t>
        </is>
      </c>
      <c r="D217" s="156" t="inlineStr">
        <is>
          <t>Mining</t>
        </is>
      </c>
      <c r="E217" s="156" t="inlineStr">
        <is>
          <t>SKT 105S</t>
        </is>
      </c>
      <c r="F217" s="184" t="n">
        <v>318.8</v>
      </c>
    </row>
    <row r="218">
      <c r="A218" s="155" t="n">
        <v>46107</v>
      </c>
      <c r="B218" s="156" t="inlineStr">
        <is>
          <t>DT-503</t>
        </is>
      </c>
      <c r="C218" s="156" t="inlineStr">
        <is>
          <t>Hauler</t>
        </is>
      </c>
      <c r="D218" s="156" t="inlineStr">
        <is>
          <t>Mining</t>
        </is>
      </c>
      <c r="E218" s="156" t="inlineStr">
        <is>
          <t>SKT 105S</t>
        </is>
      </c>
      <c r="F218" s="184" t="n">
        <v>425.6</v>
      </c>
    </row>
    <row r="219">
      <c r="A219" s="155" t="n">
        <v>46107</v>
      </c>
      <c r="B219" s="156" t="inlineStr">
        <is>
          <t>DT-504</t>
        </is>
      </c>
      <c r="C219" s="156" t="inlineStr">
        <is>
          <t>Hauler</t>
        </is>
      </c>
      <c r="D219" s="156" t="inlineStr">
        <is>
          <t>Mining</t>
        </is>
      </c>
      <c r="E219" s="156" t="inlineStr">
        <is>
          <t>SKT 105S</t>
        </is>
      </c>
      <c r="F219" s="184" t="n">
        <v>556.8</v>
      </c>
    </row>
    <row r="220">
      <c r="A220" s="155" t="n">
        <v>46107</v>
      </c>
      <c r="B220" s="156" t="inlineStr">
        <is>
          <t>DT-507</t>
        </is>
      </c>
      <c r="C220" s="156" t="inlineStr">
        <is>
          <t>Hauler</t>
        </is>
      </c>
      <c r="D220" s="156" t="inlineStr">
        <is>
          <t>Mining</t>
        </is>
      </c>
      <c r="E220" s="156" t="inlineStr">
        <is>
          <t>SKT 105S</t>
        </is>
      </c>
      <c r="F220" s="184" t="n">
        <v>342</v>
      </c>
    </row>
    <row r="221">
      <c r="A221" s="155" t="n">
        <v>46107</v>
      </c>
      <c r="B221" s="156" t="inlineStr">
        <is>
          <t>DT-501</t>
        </is>
      </c>
      <c r="C221" s="156" t="inlineStr">
        <is>
          <t>Hauler</t>
        </is>
      </c>
      <c r="D221" s="156" t="inlineStr">
        <is>
          <t>Mining</t>
        </is>
      </c>
      <c r="E221" s="156" t="inlineStr">
        <is>
          <t>SKT 105S</t>
        </is>
      </c>
      <c r="F221" s="184" t="n">
        <v>113.6</v>
      </c>
    </row>
    <row r="222">
      <c r="A222" s="155" t="n">
        <v>46107</v>
      </c>
      <c r="B222" s="156" t="inlineStr">
        <is>
          <t>DT-518</t>
        </is>
      </c>
      <c r="C222" s="156" t="inlineStr">
        <is>
          <t>Hauler</t>
        </is>
      </c>
      <c r="D222" s="156" t="inlineStr">
        <is>
          <t>Mining</t>
        </is>
      </c>
      <c r="E222" s="156" t="inlineStr">
        <is>
          <t>SKT 105S</t>
        </is>
      </c>
      <c r="F222" s="184" t="n">
        <v>320</v>
      </c>
    </row>
    <row r="223">
      <c r="A223" s="155" t="n">
        <v>46107</v>
      </c>
      <c r="B223" s="156" t="inlineStr">
        <is>
          <t>DT-523</t>
        </is>
      </c>
      <c r="C223" s="156" t="inlineStr">
        <is>
          <t>Hauler</t>
        </is>
      </c>
      <c r="D223" s="156" t="inlineStr">
        <is>
          <t>Mining</t>
        </is>
      </c>
      <c r="E223" s="156" t="inlineStr">
        <is>
          <t>SKT 105S</t>
        </is>
      </c>
      <c r="F223" s="184" t="n">
        <v>274</v>
      </c>
    </row>
    <row r="224">
      <c r="A224" s="155" t="n">
        <v>46107</v>
      </c>
      <c r="B224" s="156" t="inlineStr">
        <is>
          <t>DT-527</t>
        </is>
      </c>
      <c r="C224" s="156" t="inlineStr">
        <is>
          <t>Hauler</t>
        </is>
      </c>
      <c r="D224" s="156" t="inlineStr">
        <is>
          <t>Mining</t>
        </is>
      </c>
      <c r="E224" s="156" t="inlineStr">
        <is>
          <t>SKT 105S</t>
        </is>
      </c>
      <c r="F224" s="184" t="n">
        <v>532</v>
      </c>
    </row>
    <row r="225">
      <c r="A225" s="155" t="n">
        <v>46107</v>
      </c>
      <c r="B225" s="156" t="inlineStr">
        <is>
          <t>DT-513</t>
        </is>
      </c>
      <c r="C225" s="156" t="inlineStr">
        <is>
          <t>Hauler</t>
        </is>
      </c>
      <c r="D225" s="156" t="inlineStr">
        <is>
          <t>Mining</t>
        </is>
      </c>
      <c r="E225" s="156" t="inlineStr">
        <is>
          <t>SKT 105S</t>
        </is>
      </c>
      <c r="F225" s="184" t="n">
        <v>427.2</v>
      </c>
    </row>
    <row r="226">
      <c r="A226" s="155" t="n">
        <v>46107</v>
      </c>
      <c r="B226" s="156" t="inlineStr">
        <is>
          <t>DT-522</t>
        </is>
      </c>
      <c r="C226" s="156" t="inlineStr">
        <is>
          <t>Hauler</t>
        </is>
      </c>
      <c r="D226" s="156" t="inlineStr">
        <is>
          <t>Mining</t>
        </is>
      </c>
      <c r="E226" s="156" t="inlineStr">
        <is>
          <t>SKT 105S</t>
        </is>
      </c>
      <c r="F226" s="184" t="n">
        <v>459.7</v>
      </c>
    </row>
    <row r="227">
      <c r="A227" s="155" t="n">
        <v>46107</v>
      </c>
      <c r="B227" s="156" t="inlineStr">
        <is>
          <t>DT-510</t>
        </is>
      </c>
      <c r="C227" s="156" t="inlineStr">
        <is>
          <t>Hauler</t>
        </is>
      </c>
      <c r="D227" s="156" t="inlineStr">
        <is>
          <t>Mining</t>
        </is>
      </c>
      <c r="E227" s="156" t="inlineStr">
        <is>
          <t>SKT 105S</t>
        </is>
      </c>
      <c r="F227" s="184" t="n">
        <v>159.1</v>
      </c>
    </row>
    <row r="228">
      <c r="A228" s="155" t="n">
        <v>46107</v>
      </c>
      <c r="B228" s="156" t="inlineStr">
        <is>
          <t>DT-521</t>
        </is>
      </c>
      <c r="C228" s="156" t="inlineStr">
        <is>
          <t>Hauler</t>
        </is>
      </c>
      <c r="D228" s="156" t="inlineStr">
        <is>
          <t>Mining</t>
        </is>
      </c>
      <c r="E228" s="156" t="inlineStr">
        <is>
          <t>SKT 105S</t>
        </is>
      </c>
      <c r="F228" s="184" t="n">
        <v>365.4</v>
      </c>
    </row>
    <row r="229">
      <c r="A229" s="155" t="n">
        <v>46107</v>
      </c>
      <c r="B229" s="156" t="inlineStr">
        <is>
          <t>DT-516</t>
        </is>
      </c>
      <c r="C229" s="156" t="inlineStr">
        <is>
          <t>Hauler</t>
        </is>
      </c>
      <c r="D229" s="156" t="inlineStr">
        <is>
          <t>Mining</t>
        </is>
      </c>
      <c r="E229" s="156" t="inlineStr">
        <is>
          <t>SKT 105S</t>
        </is>
      </c>
      <c r="F229" s="184" t="n">
        <v>150.2</v>
      </c>
    </row>
    <row r="230">
      <c r="A230" s="155" t="n">
        <v>46107</v>
      </c>
      <c r="B230" s="156" t="inlineStr">
        <is>
          <t>DT-506</t>
        </is>
      </c>
      <c r="C230" s="156" t="inlineStr">
        <is>
          <t>Hauler</t>
        </is>
      </c>
      <c r="D230" s="156" t="inlineStr">
        <is>
          <t>Mining</t>
        </is>
      </c>
      <c r="E230" s="156" t="inlineStr">
        <is>
          <t>SKT 105S</t>
        </is>
      </c>
      <c r="F230" s="184" t="n">
        <v>646.5</v>
      </c>
    </row>
    <row r="231">
      <c r="A231" s="155" t="n">
        <v>46107</v>
      </c>
      <c r="B231" s="156" t="inlineStr">
        <is>
          <t>DT-528</t>
        </is>
      </c>
      <c r="C231" s="156" t="inlineStr">
        <is>
          <t>Hauler</t>
        </is>
      </c>
      <c r="D231" s="156" t="inlineStr">
        <is>
          <t>Mining</t>
        </is>
      </c>
      <c r="E231" s="156" t="inlineStr">
        <is>
          <t>SKT 105S</t>
        </is>
      </c>
      <c r="F231" s="184" t="n">
        <v>715.4</v>
      </c>
    </row>
    <row r="232">
      <c r="A232" s="155" t="n">
        <v>46107</v>
      </c>
      <c r="B232" s="156" t="inlineStr">
        <is>
          <t>DT-529</t>
        </is>
      </c>
      <c r="C232" s="156" t="inlineStr">
        <is>
          <t>Hauler</t>
        </is>
      </c>
      <c r="D232" s="156" t="inlineStr">
        <is>
          <t>Mining</t>
        </is>
      </c>
      <c r="E232" s="156" t="inlineStr">
        <is>
          <t>SKT 105S</t>
        </is>
      </c>
      <c r="F232" s="184" t="n">
        <v>405.9</v>
      </c>
    </row>
    <row r="233">
      <c r="A233" s="155" t="n">
        <v>46107</v>
      </c>
      <c r="B233" s="156" t="inlineStr">
        <is>
          <t>DT-508</t>
        </is>
      </c>
      <c r="C233" s="156" t="inlineStr">
        <is>
          <t>Hauler</t>
        </is>
      </c>
      <c r="D233" s="156" t="inlineStr">
        <is>
          <t>Mining</t>
        </is>
      </c>
      <c r="E233" s="156" t="inlineStr">
        <is>
          <t>SKT 105S</t>
        </is>
      </c>
      <c r="F233" s="184" t="n">
        <v>512.4</v>
      </c>
    </row>
    <row r="234">
      <c r="A234" s="155" t="n">
        <v>46107</v>
      </c>
      <c r="B234" s="156" t="inlineStr">
        <is>
          <t>DT-515</t>
        </is>
      </c>
      <c r="C234" s="156" t="inlineStr">
        <is>
          <t>Hauler</t>
        </is>
      </c>
      <c r="D234" s="156" t="inlineStr">
        <is>
          <t>Mining</t>
        </is>
      </c>
      <c r="E234" s="156" t="inlineStr">
        <is>
          <t>SKT 105S</t>
        </is>
      </c>
      <c r="F234" s="184" t="n">
        <v>490.3</v>
      </c>
    </row>
    <row r="235">
      <c r="A235" s="155" t="n">
        <v>46107</v>
      </c>
      <c r="B235" s="156" t="inlineStr">
        <is>
          <t>DT-524</t>
        </is>
      </c>
      <c r="C235" s="156" t="inlineStr">
        <is>
          <t>Hauler</t>
        </is>
      </c>
      <c r="D235" s="156" t="inlineStr">
        <is>
          <t>Mining</t>
        </is>
      </c>
      <c r="E235" s="156" t="inlineStr">
        <is>
          <t>SKT 105S</t>
        </is>
      </c>
      <c r="F235" s="184" t="n">
        <v>84.8</v>
      </c>
    </row>
    <row r="236">
      <c r="A236" s="155" t="n">
        <v>46107</v>
      </c>
      <c r="B236" s="156" t="inlineStr">
        <is>
          <t>HD-903</t>
        </is>
      </c>
      <c r="C236" s="156" t="inlineStr">
        <is>
          <t>Hauler</t>
        </is>
      </c>
      <c r="D236" s="156" t="inlineStr">
        <is>
          <t>Mining</t>
        </is>
      </c>
      <c r="E236" s="156" t="inlineStr">
        <is>
          <t>SRT 95C</t>
        </is>
      </c>
      <c r="F236" s="184" t="n">
        <v>1029.3</v>
      </c>
    </row>
    <row r="237">
      <c r="A237" s="155" t="n">
        <v>46107</v>
      </c>
      <c r="B237" s="156" t="inlineStr">
        <is>
          <t>HD-901</t>
        </is>
      </c>
      <c r="C237" s="156" t="inlineStr">
        <is>
          <t>Hauler</t>
        </is>
      </c>
      <c r="D237" s="156" t="inlineStr">
        <is>
          <t>Mining</t>
        </is>
      </c>
      <c r="E237" s="156" t="inlineStr">
        <is>
          <t>SRT 95C</t>
        </is>
      </c>
      <c r="F237" s="184" t="n">
        <v>1247.8</v>
      </c>
    </row>
    <row r="238">
      <c r="A238" s="155" t="n">
        <v>46107</v>
      </c>
      <c r="B238" s="156" t="inlineStr">
        <is>
          <t>HD-904</t>
        </is>
      </c>
      <c r="C238" s="156" t="inlineStr">
        <is>
          <t>Hauler</t>
        </is>
      </c>
      <c r="D238" s="156" t="inlineStr">
        <is>
          <t>Mining</t>
        </is>
      </c>
      <c r="E238" s="156" t="inlineStr">
        <is>
          <t>SRT 95C</t>
        </is>
      </c>
      <c r="F238" s="184" t="n">
        <v>1263.2</v>
      </c>
    </row>
    <row r="239">
      <c r="A239" s="155" t="n">
        <v>46107</v>
      </c>
      <c r="B239" s="156" t="inlineStr">
        <is>
          <t>DZ-033</t>
        </is>
      </c>
      <c r="C239" s="156" t="inlineStr">
        <is>
          <t>Bulldozer</t>
        </is>
      </c>
      <c r="D239" s="156" t="inlineStr">
        <is>
          <t>Mining</t>
        </is>
      </c>
      <c r="E239" s="156" t="inlineStr">
        <is>
          <t>D 375A-6R</t>
        </is>
      </c>
      <c r="F239" s="184" t="n">
        <v>1112.2</v>
      </c>
    </row>
    <row r="240">
      <c r="A240" s="155" t="n">
        <v>46107</v>
      </c>
      <c r="B240" s="156" t="inlineStr">
        <is>
          <t>DZ-038</t>
        </is>
      </c>
      <c r="C240" s="156" t="inlineStr">
        <is>
          <t>Bulldozer</t>
        </is>
      </c>
      <c r="D240" s="156" t="inlineStr">
        <is>
          <t>Mining</t>
        </is>
      </c>
      <c r="E240" s="156" t="inlineStr">
        <is>
          <t>D 85 ESS-2</t>
        </is>
      </c>
      <c r="F240" s="184" t="n">
        <v>440</v>
      </c>
    </row>
    <row r="241">
      <c r="A241" s="155" t="n">
        <v>46107</v>
      </c>
      <c r="B241" s="156" t="inlineStr">
        <is>
          <t>DZ-039</t>
        </is>
      </c>
      <c r="C241" s="156" t="inlineStr">
        <is>
          <t>Bulldozer</t>
        </is>
      </c>
      <c r="D241" s="156" t="inlineStr">
        <is>
          <t>Mining</t>
        </is>
      </c>
      <c r="E241" s="156" t="inlineStr">
        <is>
          <t>D 85 ESS-2</t>
        </is>
      </c>
      <c r="F241" s="184" t="n">
        <v>392.4</v>
      </c>
    </row>
    <row r="242">
      <c r="A242" s="155" t="n">
        <v>46107</v>
      </c>
      <c r="B242" s="156" t="inlineStr">
        <is>
          <t>DZ-035</t>
        </is>
      </c>
      <c r="C242" s="156" t="inlineStr">
        <is>
          <t>Bulldozer</t>
        </is>
      </c>
      <c r="D242" s="156" t="inlineStr">
        <is>
          <t>Mining</t>
        </is>
      </c>
      <c r="E242" s="156" t="inlineStr">
        <is>
          <t>D 85 ESS-2</t>
        </is>
      </c>
      <c r="F242" s="184" t="n">
        <v>152.2</v>
      </c>
    </row>
    <row r="243">
      <c r="A243" s="155" t="n">
        <v>46107</v>
      </c>
      <c r="B243" s="156" t="inlineStr">
        <is>
          <t>DZ-032</t>
        </is>
      </c>
      <c r="C243" s="156" t="inlineStr">
        <is>
          <t>Bulldozer</t>
        </is>
      </c>
      <c r="D243" s="156" t="inlineStr">
        <is>
          <t>Mining</t>
        </is>
      </c>
      <c r="E243" s="156" t="inlineStr">
        <is>
          <t>CAT</t>
        </is>
      </c>
      <c r="F243" s="184" t="n">
        <v>499.9</v>
      </c>
    </row>
    <row r="244">
      <c r="A244" s="155" t="n">
        <v>46107</v>
      </c>
      <c r="B244" s="156" t="inlineStr">
        <is>
          <t>DZ-031</t>
        </is>
      </c>
      <c r="C244" s="156" t="inlineStr">
        <is>
          <t>Bulldozer</t>
        </is>
      </c>
      <c r="D244" s="156" t="inlineStr">
        <is>
          <t>Mining</t>
        </is>
      </c>
      <c r="E244" s="156" t="inlineStr">
        <is>
          <t>CAT</t>
        </is>
      </c>
      <c r="F244" s="184" t="n">
        <v>80.8</v>
      </c>
    </row>
    <row r="245">
      <c r="A245" s="155" t="n">
        <v>46107</v>
      </c>
      <c r="B245" s="156" t="inlineStr">
        <is>
          <t>GD-013</t>
        </is>
      </c>
      <c r="C245" s="156" t="inlineStr">
        <is>
          <t>Grader</t>
        </is>
      </c>
      <c r="D245" s="156" t="inlineStr">
        <is>
          <t>Mining</t>
        </is>
      </c>
      <c r="E245" s="156" t="inlineStr">
        <is>
          <t>STG 265C - 10</t>
        </is>
      </c>
      <c r="F245" s="184" t="n">
        <v>269.2</v>
      </c>
    </row>
    <row r="246">
      <c r="A246" s="155" t="n">
        <v>46107</v>
      </c>
      <c r="B246" s="156" t="inlineStr">
        <is>
          <t>GD-014</t>
        </is>
      </c>
      <c r="C246" s="156" t="inlineStr">
        <is>
          <t>Grader</t>
        </is>
      </c>
      <c r="D246" s="156" t="inlineStr">
        <is>
          <t>Mining</t>
        </is>
      </c>
      <c r="E246" s="156" t="inlineStr">
        <is>
          <t>STG 335C - 10</t>
        </is>
      </c>
      <c r="F246" s="184" t="n">
        <v>307.7</v>
      </c>
    </row>
    <row r="247">
      <c r="A247" s="155" t="n">
        <v>46107</v>
      </c>
      <c r="B247" s="156" t="inlineStr">
        <is>
          <t>CP-041</t>
        </is>
      </c>
      <c r="C247" s="156" t="inlineStr">
        <is>
          <t>Compactor</t>
        </is>
      </c>
      <c r="D247" s="156" t="inlineStr">
        <is>
          <t>Mining</t>
        </is>
      </c>
      <c r="E247" s="156" t="inlineStr">
        <is>
          <t>SANY - Compactor</t>
        </is>
      </c>
      <c r="F247" s="184" t="n">
        <v>161.5</v>
      </c>
    </row>
    <row r="248">
      <c r="A248" s="155" t="n">
        <v>46107</v>
      </c>
      <c r="B248" s="156" t="inlineStr">
        <is>
          <t>LV-04</t>
        </is>
      </c>
      <c r="C248" s="156" t="inlineStr">
        <is>
          <t>LV &amp; sarana</t>
        </is>
      </c>
      <c r="D248" s="156" t="inlineStr">
        <is>
          <t>Aux</t>
        </is>
      </c>
      <c r="E248" s="156" t="inlineStr">
        <is>
          <t>Light vehicle</t>
        </is>
      </c>
      <c r="F248" s="184" t="n">
        <v>30.1</v>
      </c>
    </row>
    <row r="249">
      <c r="A249" s="155" t="n">
        <v>46107</v>
      </c>
      <c r="B249" s="156" t="inlineStr">
        <is>
          <t>LV-05</t>
        </is>
      </c>
      <c r="C249" s="156" t="inlineStr">
        <is>
          <t>LV &amp; sarana</t>
        </is>
      </c>
      <c r="D249" s="156" t="inlineStr">
        <is>
          <t>Aux</t>
        </is>
      </c>
      <c r="E249" s="156" t="inlineStr">
        <is>
          <t>Light vehicle</t>
        </is>
      </c>
      <c r="F249" s="184" t="n">
        <v>55.2</v>
      </c>
    </row>
    <row r="250">
      <c r="A250" s="155" t="n">
        <v>46107</v>
      </c>
      <c r="B250" s="156" t="inlineStr">
        <is>
          <t>LV-06</t>
        </is>
      </c>
      <c r="C250" s="156" t="inlineStr">
        <is>
          <t>LV &amp; sarana</t>
        </is>
      </c>
      <c r="D250" s="156" t="inlineStr">
        <is>
          <t>Aux</t>
        </is>
      </c>
      <c r="E250" s="156" t="inlineStr">
        <is>
          <t>Light vehicle</t>
        </is>
      </c>
      <c r="F250" s="184" t="n">
        <v>49.4</v>
      </c>
    </row>
    <row r="251">
      <c r="A251" s="155" t="n">
        <v>46107</v>
      </c>
      <c r="B251" s="156" t="inlineStr">
        <is>
          <t>LV-08</t>
        </is>
      </c>
      <c r="C251" s="156" t="inlineStr">
        <is>
          <t>LV &amp; sarana</t>
        </is>
      </c>
      <c r="D251" s="156" t="inlineStr">
        <is>
          <t>Aux</t>
        </is>
      </c>
      <c r="E251" s="156" t="inlineStr">
        <is>
          <t>Light vehicle</t>
        </is>
      </c>
      <c r="F251" s="184" t="n">
        <v>44.8</v>
      </c>
    </row>
    <row r="252">
      <c r="A252" s="155" t="n">
        <v>46107</v>
      </c>
      <c r="B252" s="156" t="inlineStr">
        <is>
          <t>LV-09</t>
        </is>
      </c>
      <c r="C252" s="156" t="inlineStr">
        <is>
          <t>LV &amp; sarana</t>
        </is>
      </c>
      <c r="D252" s="156" t="inlineStr">
        <is>
          <t>Aux</t>
        </is>
      </c>
      <c r="E252" s="156" t="inlineStr">
        <is>
          <t>Light vehicle</t>
        </is>
      </c>
      <c r="F252" s="184" t="n">
        <v>49.2</v>
      </c>
    </row>
    <row r="253">
      <c r="A253" s="155" t="n">
        <v>46107</v>
      </c>
      <c r="B253" s="156" t="inlineStr">
        <is>
          <t>AL-05</t>
        </is>
      </c>
      <c r="C253" s="156" t="inlineStr">
        <is>
          <t>Alat lain</t>
        </is>
      </c>
      <c r="D253" s="156" t="inlineStr">
        <is>
          <t>Mining</t>
        </is>
      </c>
      <c r="E253" s="156" t="inlineStr">
        <is>
          <t>Alat lain</t>
        </is>
      </c>
      <c r="F253" s="184" t="n">
        <v>634.2</v>
      </c>
    </row>
    <row r="254">
      <c r="A254" s="155" t="n">
        <v>46107</v>
      </c>
      <c r="B254" s="156" t="inlineStr">
        <is>
          <t>AL-09</t>
        </is>
      </c>
      <c r="C254" s="156" t="inlineStr">
        <is>
          <t>Alat lain</t>
        </is>
      </c>
      <c r="D254" s="156" t="inlineStr">
        <is>
          <t>Mining</t>
        </is>
      </c>
      <c r="E254" s="156" t="inlineStr">
        <is>
          <t>Alat lain</t>
        </is>
      </c>
      <c r="F254" s="184" t="n">
        <v>23.2</v>
      </c>
    </row>
    <row r="255">
      <c r="A255" s="155" t="n">
        <v>46107</v>
      </c>
      <c r="B255" s="156" t="inlineStr">
        <is>
          <t>AL-10</t>
        </is>
      </c>
      <c r="C255" s="156" t="inlineStr">
        <is>
          <t>Alat lain</t>
        </is>
      </c>
      <c r="D255" s="156" t="inlineStr">
        <is>
          <t>Mining</t>
        </is>
      </c>
      <c r="E255" s="156" t="inlineStr">
        <is>
          <t>Alat lain</t>
        </is>
      </c>
      <c r="F255" s="184" t="n">
        <v>43.7</v>
      </c>
    </row>
    <row r="256">
      <c r="A256" s="155" t="n">
        <v>46107</v>
      </c>
      <c r="B256" s="156" t="inlineStr">
        <is>
          <t>GS-02</t>
        </is>
      </c>
      <c r="C256" s="156" t="inlineStr">
        <is>
          <t>Genset</t>
        </is>
      </c>
      <c r="D256" s="156" t="inlineStr">
        <is>
          <t>Aux</t>
        </is>
      </c>
      <c r="E256" s="156" t="inlineStr">
        <is>
          <t>Genset</t>
        </is>
      </c>
      <c r="F256" s="184" t="n">
        <v>289.1</v>
      </c>
    </row>
    <row r="257">
      <c r="A257" s="155" t="n">
        <v>46107</v>
      </c>
      <c r="B257" s="156" t="inlineStr">
        <is>
          <t>GS-03</t>
        </is>
      </c>
      <c r="C257" s="156" t="inlineStr">
        <is>
          <t>Genset</t>
        </is>
      </c>
      <c r="D257" s="156" t="inlineStr">
        <is>
          <t>Aux</t>
        </is>
      </c>
      <c r="E257" s="156" t="inlineStr">
        <is>
          <t>Genset</t>
        </is>
      </c>
      <c r="F257" s="184" t="n">
        <v>117.2</v>
      </c>
    </row>
    <row r="258">
      <c r="A258" s="155" t="n">
        <v>46107</v>
      </c>
      <c r="B258" s="156" t="inlineStr">
        <is>
          <t>GS-04</t>
        </is>
      </c>
      <c r="C258" s="156" t="inlineStr">
        <is>
          <t>Genset</t>
        </is>
      </c>
      <c r="D258" s="156" t="inlineStr">
        <is>
          <t>Aux</t>
        </is>
      </c>
      <c r="E258" s="156" t="inlineStr">
        <is>
          <t>Genset</t>
        </is>
      </c>
      <c r="F258" s="184" t="n">
        <v>699.9</v>
      </c>
    </row>
    <row r="259">
      <c r="A259" s="155" t="n">
        <v>46107</v>
      </c>
      <c r="B259" s="156" t="inlineStr">
        <is>
          <t>GS-07</t>
        </is>
      </c>
      <c r="C259" s="156" t="inlineStr">
        <is>
          <t>Genset</t>
        </is>
      </c>
      <c r="D259" s="156" t="inlineStr">
        <is>
          <t>Aux</t>
        </is>
      </c>
      <c r="E259" s="156" t="inlineStr">
        <is>
          <t>Genset</t>
        </is>
      </c>
      <c r="F259" s="184" t="n">
        <v>33.9</v>
      </c>
    </row>
    <row r="260">
      <c r="A260" s="155" t="n">
        <v>46107</v>
      </c>
      <c r="B260" s="156" t="inlineStr">
        <is>
          <t>GS-09</t>
        </is>
      </c>
      <c r="C260" s="156" t="inlineStr">
        <is>
          <t>Genset</t>
        </is>
      </c>
      <c r="D260" s="156" t="inlineStr">
        <is>
          <t>Aux</t>
        </is>
      </c>
      <c r="E260" s="156" t="inlineStr">
        <is>
          <t>Genset</t>
        </is>
      </c>
      <c r="F260" s="184" t="n">
        <v>3096.5</v>
      </c>
    </row>
    <row r="261">
      <c r="A261" s="155" t="n">
        <v>46107</v>
      </c>
      <c r="B261" s="156" t="inlineStr">
        <is>
          <t>GS-10</t>
        </is>
      </c>
      <c r="C261" s="156" t="inlineStr">
        <is>
          <t>Genset</t>
        </is>
      </c>
      <c r="D261" s="156" t="inlineStr">
        <is>
          <t>Aux</t>
        </is>
      </c>
      <c r="E261" s="156" t="inlineStr">
        <is>
          <t>Genset</t>
        </is>
      </c>
      <c r="F261" s="184" t="n">
        <v>2715.6</v>
      </c>
    </row>
    <row r="262">
      <c r="A262" s="155" t="n">
        <v>46107</v>
      </c>
      <c r="B262" s="156" t="inlineStr">
        <is>
          <t>GS-11</t>
        </is>
      </c>
      <c r="C262" s="156" t="inlineStr">
        <is>
          <t>Genset</t>
        </is>
      </c>
      <c r="D262" s="156" t="inlineStr">
        <is>
          <t>Aux</t>
        </is>
      </c>
      <c r="E262" s="156" t="inlineStr">
        <is>
          <t>Genset</t>
        </is>
      </c>
      <c r="F262" s="184" t="n">
        <v>3158.8</v>
      </c>
    </row>
    <row r="263">
      <c r="A263" s="155" t="n">
        <v>46107</v>
      </c>
      <c r="B263" s="156" t="inlineStr">
        <is>
          <t>WL-022</t>
        </is>
      </c>
      <c r="C263" s="156" t="inlineStr">
        <is>
          <t>Loader</t>
        </is>
      </c>
      <c r="D263" s="156" t="inlineStr">
        <is>
          <t>Aux</t>
        </is>
      </c>
      <c r="E263" s="156" t="inlineStr">
        <is>
          <t>SANY - Loader</t>
        </is>
      </c>
      <c r="F263" s="184" t="n">
        <v>312.8</v>
      </c>
    </row>
    <row r="264">
      <c r="A264" s="155" t="n">
        <v>46107</v>
      </c>
      <c r="B264" s="156" t="inlineStr">
        <is>
          <t>WL-024</t>
        </is>
      </c>
      <c r="C264" s="156" t="inlineStr">
        <is>
          <t>Loader</t>
        </is>
      </c>
      <c r="D264" s="156" t="inlineStr">
        <is>
          <t>Aux</t>
        </is>
      </c>
      <c r="E264" s="156" t="inlineStr">
        <is>
          <t>SANY - Loader</t>
        </is>
      </c>
      <c r="F264" s="184" t="n">
        <v>215.5</v>
      </c>
    </row>
    <row r="265">
      <c r="A265" s="155" t="n">
        <v>46091</v>
      </c>
      <c r="B265" s="156" t="inlineStr">
        <is>
          <t>EX-755</t>
        </is>
      </c>
      <c r="C265" s="156" t="inlineStr">
        <is>
          <t>Excavator</t>
        </is>
      </c>
      <c r="D265" s="156" t="inlineStr">
        <is>
          <t>Mining</t>
        </is>
      </c>
      <c r="E265" s="156" t="inlineStr">
        <is>
          <t>SY750H-PRO</t>
        </is>
      </c>
      <c r="F265" s="184" t="n">
        <v>538</v>
      </c>
    </row>
    <row r="266">
      <c r="A266" s="155" t="n">
        <v>46091</v>
      </c>
      <c r="B266" s="156" t="inlineStr">
        <is>
          <t>EX-334</t>
        </is>
      </c>
      <c r="C266" s="156" t="inlineStr">
        <is>
          <t>Excavator</t>
        </is>
      </c>
      <c r="D266" s="156" t="inlineStr">
        <is>
          <t>Mining</t>
        </is>
      </c>
      <c r="E266" s="156" t="inlineStr">
        <is>
          <t>PC 300-8MO</t>
        </is>
      </c>
      <c r="F266" s="184" t="n">
        <v>363.9</v>
      </c>
    </row>
    <row r="267">
      <c r="A267" s="155" t="n">
        <v>46091</v>
      </c>
      <c r="B267" s="156" t="inlineStr">
        <is>
          <t>EX-222</t>
        </is>
      </c>
      <c r="C267" s="156" t="inlineStr">
        <is>
          <t>Excavator</t>
        </is>
      </c>
      <c r="D267" s="156" t="inlineStr">
        <is>
          <t>Mining</t>
        </is>
      </c>
      <c r="E267" s="156" t="inlineStr">
        <is>
          <t>PC 200-8MI</t>
        </is>
      </c>
      <c r="F267" s="184" t="n">
        <v>411.6</v>
      </c>
    </row>
    <row r="268">
      <c r="A268" s="155" t="n">
        <v>46091</v>
      </c>
      <c r="B268" s="156" t="inlineStr">
        <is>
          <t>EX-223</t>
        </is>
      </c>
      <c r="C268" s="156" t="inlineStr">
        <is>
          <t>Excavator</t>
        </is>
      </c>
      <c r="D268" s="156" t="inlineStr">
        <is>
          <t>Aux</t>
        </is>
      </c>
      <c r="E268" s="156" t="inlineStr">
        <is>
          <t>PC 200-8MI</t>
        </is>
      </c>
      <c r="F268" s="184" t="n">
        <v>296.4</v>
      </c>
    </row>
    <row r="269">
      <c r="A269" s="155" t="n">
        <v>46091</v>
      </c>
      <c r="B269" s="156" t="inlineStr">
        <is>
          <t>EX-221</t>
        </is>
      </c>
      <c r="C269" s="156" t="inlineStr">
        <is>
          <t>Excavator</t>
        </is>
      </c>
      <c r="D269" s="156" t="inlineStr">
        <is>
          <t>Aux</t>
        </is>
      </c>
      <c r="E269" s="156" t="inlineStr">
        <is>
          <t>PC 200-8MI</t>
        </is>
      </c>
      <c r="F269" s="184" t="n">
        <v>231.3</v>
      </c>
    </row>
    <row r="270">
      <c r="A270" s="155" t="n">
        <v>46091</v>
      </c>
      <c r="B270" s="156" t="inlineStr">
        <is>
          <t>EX-1251</t>
        </is>
      </c>
      <c r="C270" s="156" t="inlineStr">
        <is>
          <t>Excavator</t>
        </is>
      </c>
      <c r="D270" s="156" t="inlineStr">
        <is>
          <t>Mining</t>
        </is>
      </c>
      <c r="E270" s="156" t="inlineStr">
        <is>
          <t>SY1250</t>
        </is>
      </c>
      <c r="F270" s="184" t="n">
        <v>1273.1</v>
      </c>
    </row>
    <row r="271">
      <c r="A271" s="155" t="n">
        <v>46091</v>
      </c>
      <c r="B271" s="156" t="inlineStr">
        <is>
          <t>EX-2101</t>
        </is>
      </c>
      <c r="C271" s="156" t="inlineStr">
        <is>
          <t>Excavator</t>
        </is>
      </c>
      <c r="D271" s="156" t="inlineStr">
        <is>
          <t>Mining</t>
        </is>
      </c>
      <c r="E271" s="156" t="inlineStr">
        <is>
          <t>SY2000</t>
        </is>
      </c>
      <c r="F271" s="184" t="n">
        <v>777</v>
      </c>
    </row>
    <row r="272">
      <c r="A272" s="155" t="n">
        <v>46091</v>
      </c>
      <c r="B272" s="156" t="inlineStr">
        <is>
          <t>EX-333</t>
        </is>
      </c>
      <c r="C272" s="156" t="inlineStr">
        <is>
          <t>Excavator</t>
        </is>
      </c>
      <c r="D272" s="156" t="inlineStr">
        <is>
          <t>Mining</t>
        </is>
      </c>
      <c r="E272" s="156" t="inlineStr">
        <is>
          <t>PC 300-8MO</t>
        </is>
      </c>
      <c r="F272" s="184" t="n">
        <v>394.6</v>
      </c>
    </row>
    <row r="273">
      <c r="A273" s="155" t="n">
        <v>46091</v>
      </c>
      <c r="B273" s="156" t="inlineStr">
        <is>
          <t>EX-336</t>
        </is>
      </c>
      <c r="C273" s="156" t="inlineStr">
        <is>
          <t>Excavator</t>
        </is>
      </c>
      <c r="D273" s="156" t="inlineStr">
        <is>
          <t>Mining</t>
        </is>
      </c>
      <c r="E273" s="156" t="inlineStr">
        <is>
          <t>PC 300-8MO</t>
        </is>
      </c>
      <c r="F273" s="184" t="n">
        <v>412</v>
      </c>
    </row>
    <row r="274">
      <c r="A274" s="155" t="n">
        <v>46091</v>
      </c>
      <c r="B274" s="156" t="inlineStr">
        <is>
          <t>DT-811</t>
        </is>
      </c>
      <c r="C274" s="156" t="inlineStr">
        <is>
          <t>Hauler</t>
        </is>
      </c>
      <c r="D274" s="156" t="inlineStr">
        <is>
          <t>Mining</t>
        </is>
      </c>
      <c r="E274" s="156" t="inlineStr">
        <is>
          <t>SKT 80S</t>
        </is>
      </c>
      <c r="F274" s="184" t="n">
        <v>127.6</v>
      </c>
    </row>
    <row r="275">
      <c r="A275" s="155" t="n">
        <v>46091</v>
      </c>
      <c r="B275" s="156" t="inlineStr">
        <is>
          <t>DT-812</t>
        </is>
      </c>
      <c r="C275" s="156" t="inlineStr">
        <is>
          <t>Hauler</t>
        </is>
      </c>
      <c r="D275" s="156" t="inlineStr">
        <is>
          <t>Mining</t>
        </is>
      </c>
      <c r="E275" s="156" t="inlineStr">
        <is>
          <t>SKT 80S</t>
        </is>
      </c>
      <c r="F275" s="184" t="n">
        <v>145.1</v>
      </c>
    </row>
    <row r="276">
      <c r="A276" s="155" t="n">
        <v>46091</v>
      </c>
      <c r="B276" s="156" t="inlineStr">
        <is>
          <t>DT-810</t>
        </is>
      </c>
      <c r="C276" s="156" t="inlineStr">
        <is>
          <t>Hauler</t>
        </is>
      </c>
      <c r="D276" s="156" t="inlineStr">
        <is>
          <t>Mining</t>
        </is>
      </c>
      <c r="E276" s="156" t="inlineStr">
        <is>
          <t>SKT 80S</t>
        </is>
      </c>
      <c r="F276" s="184" t="n">
        <v>148.2</v>
      </c>
    </row>
    <row r="277">
      <c r="A277" s="155" t="n">
        <v>46091</v>
      </c>
      <c r="B277" s="156" t="inlineStr">
        <is>
          <t>DT-503</t>
        </is>
      </c>
      <c r="C277" s="156" t="inlineStr">
        <is>
          <t>Hauler</t>
        </is>
      </c>
      <c r="D277" s="156" t="inlineStr">
        <is>
          <t>Mining</t>
        </is>
      </c>
      <c r="E277" s="156" t="inlineStr">
        <is>
          <t>SKT 105S</t>
        </is>
      </c>
      <c r="F277" s="184" t="n">
        <v>185.9</v>
      </c>
    </row>
    <row r="278">
      <c r="A278" s="155" t="n">
        <v>46091</v>
      </c>
      <c r="B278" s="156" t="inlineStr">
        <is>
          <t>DT-504</t>
        </is>
      </c>
      <c r="C278" s="156" t="inlineStr">
        <is>
          <t>Hauler</t>
        </is>
      </c>
      <c r="D278" s="156" t="inlineStr">
        <is>
          <t>Mining</t>
        </is>
      </c>
      <c r="E278" s="156" t="inlineStr">
        <is>
          <t>SKT 105S</t>
        </is>
      </c>
      <c r="F278" s="184" t="n">
        <v>111.7</v>
      </c>
    </row>
    <row r="279">
      <c r="A279" s="155" t="n">
        <v>46091</v>
      </c>
      <c r="B279" s="156" t="inlineStr">
        <is>
          <t>DT-507</t>
        </is>
      </c>
      <c r="C279" s="156" t="inlineStr">
        <is>
          <t>Hauler</t>
        </is>
      </c>
      <c r="D279" s="156" t="inlineStr">
        <is>
          <t>Mining</t>
        </is>
      </c>
      <c r="E279" s="156" t="inlineStr">
        <is>
          <t>SKT 105S</t>
        </is>
      </c>
      <c r="F279" s="184" t="n">
        <v>119.6</v>
      </c>
    </row>
    <row r="280">
      <c r="A280" s="155" t="n">
        <v>46091</v>
      </c>
      <c r="B280" s="156" t="inlineStr">
        <is>
          <t>DT-501</t>
        </is>
      </c>
      <c r="C280" s="156" t="inlineStr">
        <is>
          <t>Hauler</t>
        </is>
      </c>
      <c r="D280" s="156" t="inlineStr">
        <is>
          <t>Mining</t>
        </is>
      </c>
      <c r="E280" s="156" t="inlineStr">
        <is>
          <t>SKT 105S</t>
        </is>
      </c>
      <c r="F280" s="184" t="n">
        <v>285.4</v>
      </c>
    </row>
    <row r="281">
      <c r="A281" s="155" t="n">
        <v>46091</v>
      </c>
      <c r="B281" s="156" t="inlineStr">
        <is>
          <t>DT-518</t>
        </is>
      </c>
      <c r="C281" s="156" t="inlineStr">
        <is>
          <t>Hauler</t>
        </is>
      </c>
      <c r="D281" s="156" t="inlineStr">
        <is>
          <t>Mining</t>
        </is>
      </c>
      <c r="E281" s="156" t="inlineStr">
        <is>
          <t>SKT 105S</t>
        </is>
      </c>
      <c r="F281" s="184" t="n">
        <v>195.2</v>
      </c>
    </row>
    <row r="282">
      <c r="A282" s="155" t="n">
        <v>46091</v>
      </c>
      <c r="B282" s="156" t="inlineStr">
        <is>
          <t>DT-523</t>
        </is>
      </c>
      <c r="C282" s="156" t="inlineStr">
        <is>
          <t>Hauler</t>
        </is>
      </c>
      <c r="D282" s="156" t="inlineStr">
        <is>
          <t>Mining</t>
        </is>
      </c>
      <c r="E282" s="156" t="inlineStr">
        <is>
          <t>SKT 105S</t>
        </is>
      </c>
      <c r="F282" s="184" t="n">
        <v>309.5</v>
      </c>
    </row>
    <row r="283">
      <c r="A283" s="155" t="n">
        <v>46091</v>
      </c>
      <c r="B283" s="156" t="inlineStr">
        <is>
          <t>DT-527</t>
        </is>
      </c>
      <c r="C283" s="156" t="inlineStr">
        <is>
          <t>Hauler</t>
        </is>
      </c>
      <c r="D283" s="156" t="inlineStr">
        <is>
          <t>Mining</t>
        </is>
      </c>
      <c r="E283" s="156" t="inlineStr">
        <is>
          <t>SKT 105S</t>
        </is>
      </c>
      <c r="F283" s="184" t="n">
        <v>210.7</v>
      </c>
    </row>
    <row r="284">
      <c r="A284" s="155" t="n">
        <v>46091</v>
      </c>
      <c r="B284" s="156" t="inlineStr">
        <is>
          <t>DT-513</t>
        </is>
      </c>
      <c r="C284" s="156" t="inlineStr">
        <is>
          <t>Hauler</t>
        </is>
      </c>
      <c r="D284" s="156" t="inlineStr">
        <is>
          <t>Mining</t>
        </is>
      </c>
      <c r="E284" s="156" t="inlineStr">
        <is>
          <t>SKT 105S</t>
        </is>
      </c>
      <c r="F284" s="184" t="n">
        <v>257.3</v>
      </c>
    </row>
    <row r="285">
      <c r="A285" s="155" t="n">
        <v>46091</v>
      </c>
      <c r="B285" s="156" t="inlineStr">
        <is>
          <t>DT-522</t>
        </is>
      </c>
      <c r="C285" s="156" t="inlineStr">
        <is>
          <t>Hauler</t>
        </is>
      </c>
      <c r="D285" s="156" t="inlineStr">
        <is>
          <t>Mining</t>
        </is>
      </c>
      <c r="E285" s="156" t="inlineStr">
        <is>
          <t>SKT 105S</t>
        </is>
      </c>
      <c r="F285" s="184" t="n">
        <v>275.4</v>
      </c>
    </row>
    <row r="286">
      <c r="A286" s="155" t="n">
        <v>46091</v>
      </c>
      <c r="B286" s="156" t="inlineStr">
        <is>
          <t>DT-517</t>
        </is>
      </c>
      <c r="C286" s="156" t="inlineStr">
        <is>
          <t>Hauler</t>
        </is>
      </c>
      <c r="D286" s="156" t="inlineStr">
        <is>
          <t>Mining</t>
        </is>
      </c>
      <c r="E286" s="156" t="inlineStr">
        <is>
          <t>SKT 105S</t>
        </is>
      </c>
      <c r="F286" s="184" t="n">
        <v>251.2</v>
      </c>
    </row>
    <row r="287">
      <c r="A287" s="155" t="n">
        <v>46091</v>
      </c>
      <c r="B287" s="156" t="inlineStr">
        <is>
          <t>DT-510</t>
        </is>
      </c>
      <c r="C287" s="156" t="inlineStr">
        <is>
          <t>Hauler</t>
        </is>
      </c>
      <c r="D287" s="156" t="inlineStr">
        <is>
          <t>Mining</t>
        </is>
      </c>
      <c r="E287" s="156" t="inlineStr">
        <is>
          <t>SKT 105S</t>
        </is>
      </c>
      <c r="F287" s="184" t="n">
        <v>180.4</v>
      </c>
    </row>
    <row r="288">
      <c r="A288" s="155" t="n">
        <v>46091</v>
      </c>
      <c r="B288" s="156" t="inlineStr">
        <is>
          <t>DT-521</t>
        </is>
      </c>
      <c r="C288" s="156" t="inlineStr">
        <is>
          <t>Hauler</t>
        </is>
      </c>
      <c r="D288" s="156" t="inlineStr">
        <is>
          <t>Mining</t>
        </is>
      </c>
      <c r="E288" s="156" t="inlineStr">
        <is>
          <t>SKT 105S</t>
        </is>
      </c>
      <c r="F288" s="184" t="n">
        <v>209.1</v>
      </c>
    </row>
    <row r="289">
      <c r="A289" s="155" t="n">
        <v>46091</v>
      </c>
      <c r="B289" s="156" t="inlineStr">
        <is>
          <t>DT-516</t>
        </is>
      </c>
      <c r="C289" s="156" t="inlineStr">
        <is>
          <t>Hauler</t>
        </is>
      </c>
      <c r="D289" s="156" t="inlineStr">
        <is>
          <t>Mining</t>
        </is>
      </c>
      <c r="E289" s="156" t="inlineStr">
        <is>
          <t>SKT 105S</t>
        </is>
      </c>
      <c r="F289" s="184" t="n">
        <v>296</v>
      </c>
    </row>
    <row r="290">
      <c r="A290" s="155" t="n">
        <v>46091</v>
      </c>
      <c r="B290" s="156" t="inlineStr">
        <is>
          <t>DT-506</t>
        </is>
      </c>
      <c r="C290" s="156" t="inlineStr">
        <is>
          <t>Hauler</t>
        </is>
      </c>
      <c r="D290" s="156" t="inlineStr">
        <is>
          <t>Mining</t>
        </is>
      </c>
      <c r="E290" s="156" t="inlineStr">
        <is>
          <t>SKT 105S</t>
        </is>
      </c>
      <c r="F290" s="184" t="n">
        <v>290.2</v>
      </c>
    </row>
    <row r="291">
      <c r="A291" s="155" t="n">
        <v>46091</v>
      </c>
      <c r="B291" s="156" t="inlineStr">
        <is>
          <t>DT-502</t>
        </is>
      </c>
      <c r="C291" s="156" t="inlineStr">
        <is>
          <t>Hauler</t>
        </is>
      </c>
      <c r="D291" s="156" t="inlineStr">
        <is>
          <t>Mining</t>
        </is>
      </c>
      <c r="E291" s="156" t="inlineStr">
        <is>
          <t>SKT 105S</t>
        </is>
      </c>
      <c r="F291" s="184" t="n">
        <v>442.5</v>
      </c>
    </row>
    <row r="292">
      <c r="A292" s="155" t="n">
        <v>46091</v>
      </c>
      <c r="B292" s="156" t="inlineStr">
        <is>
          <t>DT-528</t>
        </is>
      </c>
      <c r="C292" s="156" t="inlineStr">
        <is>
          <t>Hauler</t>
        </is>
      </c>
      <c r="D292" s="156" t="inlineStr">
        <is>
          <t>Mining</t>
        </is>
      </c>
      <c r="E292" s="156" t="inlineStr">
        <is>
          <t>SKT 105S</t>
        </is>
      </c>
      <c r="F292" s="184" t="n">
        <v>112.5</v>
      </c>
    </row>
    <row r="293">
      <c r="A293" s="155" t="n">
        <v>46091</v>
      </c>
      <c r="B293" s="156" t="inlineStr">
        <is>
          <t>DT-520</t>
        </is>
      </c>
      <c r="C293" s="156" t="inlineStr">
        <is>
          <t>Hauler</t>
        </is>
      </c>
      <c r="D293" s="156" t="inlineStr">
        <is>
          <t>Mining</t>
        </is>
      </c>
      <c r="E293" s="156" t="inlineStr">
        <is>
          <t>SKT 105S</t>
        </is>
      </c>
      <c r="F293" s="184" t="n">
        <v>144.7</v>
      </c>
    </row>
    <row r="294">
      <c r="A294" s="155" t="n">
        <v>46091</v>
      </c>
      <c r="B294" s="156" t="inlineStr">
        <is>
          <t>DT-508</t>
        </is>
      </c>
      <c r="C294" s="156" t="inlineStr">
        <is>
          <t>Hauler</t>
        </is>
      </c>
      <c r="D294" s="156" t="inlineStr">
        <is>
          <t>Mining</t>
        </is>
      </c>
      <c r="E294" s="156" t="inlineStr">
        <is>
          <t>SKT 105S</t>
        </is>
      </c>
      <c r="F294" s="184" t="n">
        <v>281.8</v>
      </c>
    </row>
    <row r="295">
      <c r="A295" s="155" t="n">
        <v>46091</v>
      </c>
      <c r="B295" s="156" t="inlineStr">
        <is>
          <t>DT-515</t>
        </is>
      </c>
      <c r="C295" s="156" t="inlineStr">
        <is>
          <t>Hauler</t>
        </is>
      </c>
      <c r="D295" s="156" t="inlineStr">
        <is>
          <t>Mining</t>
        </is>
      </c>
      <c r="E295" s="156" t="inlineStr">
        <is>
          <t>SKT 105S</t>
        </is>
      </c>
      <c r="F295" s="184" t="n">
        <v>276.7</v>
      </c>
    </row>
    <row r="296">
      <c r="A296" s="155" t="n">
        <v>46091</v>
      </c>
      <c r="B296" s="156" t="inlineStr">
        <is>
          <t>DT-524</t>
        </is>
      </c>
      <c r="C296" s="156" t="inlineStr">
        <is>
          <t>Hauler</t>
        </is>
      </c>
      <c r="D296" s="156" t="inlineStr">
        <is>
          <t>Mining</t>
        </is>
      </c>
      <c r="E296" s="156" t="inlineStr">
        <is>
          <t>SKT 105S</t>
        </is>
      </c>
      <c r="F296" s="184" t="n">
        <v>123.5</v>
      </c>
    </row>
    <row r="297">
      <c r="A297" s="155" t="n">
        <v>46091</v>
      </c>
      <c r="B297" s="156" t="inlineStr">
        <is>
          <t>HD-903</t>
        </is>
      </c>
      <c r="C297" s="156" t="inlineStr">
        <is>
          <t>Hauler</t>
        </is>
      </c>
      <c r="D297" s="156" t="inlineStr">
        <is>
          <t>Mining</t>
        </is>
      </c>
      <c r="E297" s="156" t="inlineStr">
        <is>
          <t>SRT 95C</t>
        </is>
      </c>
      <c r="F297" s="184" t="n">
        <v>618.3</v>
      </c>
    </row>
    <row r="298">
      <c r="A298" s="155" t="n">
        <v>46091</v>
      </c>
      <c r="B298" s="156" t="inlineStr">
        <is>
          <t>HD-901</t>
        </is>
      </c>
      <c r="C298" s="156" t="inlineStr">
        <is>
          <t>Hauler</t>
        </is>
      </c>
      <c r="D298" s="156" t="inlineStr">
        <is>
          <t>Mining</t>
        </is>
      </c>
      <c r="E298" s="156" t="inlineStr">
        <is>
          <t>SRT 95C</t>
        </is>
      </c>
      <c r="F298" s="184" t="n">
        <v>582.5</v>
      </c>
    </row>
    <row r="299">
      <c r="A299" s="155" t="n">
        <v>46091</v>
      </c>
      <c r="B299" s="156" t="inlineStr">
        <is>
          <t>HD-904</t>
        </is>
      </c>
      <c r="C299" s="156" t="inlineStr">
        <is>
          <t>Hauler</t>
        </is>
      </c>
      <c r="D299" s="156" t="inlineStr">
        <is>
          <t>Mining</t>
        </is>
      </c>
      <c r="E299" s="156" t="inlineStr">
        <is>
          <t>SRT 95C</t>
        </is>
      </c>
      <c r="F299" s="184" t="n">
        <v>637.7</v>
      </c>
    </row>
    <row r="300">
      <c r="A300" s="155" t="n">
        <v>46091</v>
      </c>
      <c r="B300" s="156" t="inlineStr">
        <is>
          <t>DZ-033</t>
        </is>
      </c>
      <c r="C300" s="156" t="inlineStr">
        <is>
          <t>Bulldozer</t>
        </is>
      </c>
      <c r="D300" s="156" t="inlineStr">
        <is>
          <t>Mining</t>
        </is>
      </c>
      <c r="E300" s="156" t="inlineStr">
        <is>
          <t>D 375A-6R</t>
        </is>
      </c>
      <c r="F300" s="184" t="n">
        <v>730.4</v>
      </c>
    </row>
    <row r="301">
      <c r="A301" s="155" t="n">
        <v>46091</v>
      </c>
      <c r="B301" s="156" t="inlineStr">
        <is>
          <t>DZ-038</t>
        </is>
      </c>
      <c r="C301" s="156" t="inlineStr">
        <is>
          <t>Bulldozer</t>
        </is>
      </c>
      <c r="D301" s="156" t="inlineStr">
        <is>
          <t>Mining</t>
        </is>
      </c>
      <c r="E301" s="156" t="inlineStr">
        <is>
          <t>D 85 ESS-2</t>
        </is>
      </c>
      <c r="F301" s="184" t="n">
        <v>274.7</v>
      </c>
    </row>
    <row r="302">
      <c r="A302" s="155" t="n">
        <v>46091</v>
      </c>
      <c r="B302" s="156" t="inlineStr">
        <is>
          <t>DZ-039</t>
        </is>
      </c>
      <c r="C302" s="156" t="inlineStr">
        <is>
          <t>Bulldozer</t>
        </is>
      </c>
      <c r="D302" s="156" t="inlineStr">
        <is>
          <t>Mining</t>
        </is>
      </c>
      <c r="E302" s="156" t="inlineStr">
        <is>
          <t>D 85 ESS-2</t>
        </is>
      </c>
      <c r="F302" s="184" t="n">
        <v>182.6</v>
      </c>
    </row>
    <row r="303">
      <c r="A303" s="155" t="n">
        <v>46091</v>
      </c>
      <c r="B303" s="156" t="inlineStr">
        <is>
          <t>DZ-036</t>
        </is>
      </c>
      <c r="C303" s="156" t="inlineStr">
        <is>
          <t>Bulldozer</t>
        </is>
      </c>
      <c r="D303" s="156" t="inlineStr">
        <is>
          <t>Aux</t>
        </is>
      </c>
      <c r="E303" s="156" t="inlineStr">
        <is>
          <t>D 85 ESS-2</t>
        </is>
      </c>
      <c r="F303" s="184" t="n">
        <v>66.8</v>
      </c>
    </row>
    <row r="304">
      <c r="A304" s="155" t="n">
        <v>46091</v>
      </c>
      <c r="B304" s="156" t="inlineStr">
        <is>
          <t>DZ-035</t>
        </is>
      </c>
      <c r="C304" s="156" t="inlineStr">
        <is>
          <t>Bulldozer</t>
        </is>
      </c>
      <c r="D304" s="156" t="inlineStr">
        <is>
          <t>Mining</t>
        </is>
      </c>
      <c r="E304" s="156" t="inlineStr">
        <is>
          <t>D 85 ESS-2</t>
        </is>
      </c>
      <c r="F304" s="184" t="n">
        <v>151.2</v>
      </c>
    </row>
    <row r="305">
      <c r="A305" s="155" t="n">
        <v>46091</v>
      </c>
      <c r="B305" s="156" t="inlineStr">
        <is>
          <t>DZ-032</t>
        </is>
      </c>
      <c r="C305" s="156" t="inlineStr">
        <is>
          <t>Bulldozer</t>
        </is>
      </c>
      <c r="D305" s="156" t="inlineStr">
        <is>
          <t>Mining</t>
        </is>
      </c>
      <c r="E305" s="156" t="inlineStr">
        <is>
          <t>CAT</t>
        </is>
      </c>
      <c r="F305" s="184" t="n">
        <v>324.7</v>
      </c>
    </row>
    <row r="306">
      <c r="A306" s="155" t="n">
        <v>46091</v>
      </c>
      <c r="B306" s="156" t="inlineStr">
        <is>
          <t>DZ-031</t>
        </is>
      </c>
      <c r="C306" s="156" t="inlineStr">
        <is>
          <t>Bulldozer</t>
        </is>
      </c>
      <c r="D306" s="156" t="inlineStr">
        <is>
          <t>Mining</t>
        </is>
      </c>
      <c r="E306" s="156" t="inlineStr">
        <is>
          <t>CAT</t>
        </is>
      </c>
      <c r="F306" s="184" t="n">
        <v>138.4</v>
      </c>
    </row>
    <row r="307">
      <c r="A307" s="155" t="n">
        <v>46091</v>
      </c>
      <c r="B307" s="156" t="inlineStr">
        <is>
          <t>GD-012</t>
        </is>
      </c>
      <c r="C307" s="156" t="inlineStr">
        <is>
          <t>Grader</t>
        </is>
      </c>
      <c r="D307" s="156" t="inlineStr">
        <is>
          <t>Mining</t>
        </is>
      </c>
      <c r="E307" s="156" t="inlineStr">
        <is>
          <t>STG 230C - 8S</t>
        </is>
      </c>
      <c r="F307" s="184" t="n">
        <v>85.40000000000001</v>
      </c>
    </row>
    <row r="308">
      <c r="A308" s="155" t="n">
        <v>46091</v>
      </c>
      <c r="B308" s="156" t="inlineStr">
        <is>
          <t>GD-013</t>
        </is>
      </c>
      <c r="C308" s="156" t="inlineStr">
        <is>
          <t>Grader</t>
        </is>
      </c>
      <c r="D308" s="156" t="inlineStr">
        <is>
          <t>Mining</t>
        </is>
      </c>
      <c r="E308" s="156" t="inlineStr">
        <is>
          <t>STG 265C - 10</t>
        </is>
      </c>
      <c r="F308" s="184" t="n">
        <v>169.9</v>
      </c>
    </row>
    <row r="309">
      <c r="A309" s="155" t="n">
        <v>46091</v>
      </c>
      <c r="B309" s="156" t="inlineStr">
        <is>
          <t>GD-014</t>
        </is>
      </c>
      <c r="C309" s="156" t="inlineStr">
        <is>
          <t>Grader</t>
        </is>
      </c>
      <c r="D309" s="156" t="inlineStr">
        <is>
          <t>Mining</t>
        </is>
      </c>
      <c r="E309" s="156" t="inlineStr">
        <is>
          <t>STG 335C - 10</t>
        </is>
      </c>
      <c r="F309" s="184" t="n">
        <v>247.7</v>
      </c>
    </row>
    <row r="310">
      <c r="A310" s="155" t="n">
        <v>46091</v>
      </c>
      <c r="B310" s="156" t="inlineStr">
        <is>
          <t>WL-023</t>
        </is>
      </c>
      <c r="C310" s="156" t="inlineStr">
        <is>
          <t>Loader</t>
        </is>
      </c>
      <c r="D310" s="156" t="inlineStr">
        <is>
          <t>Aux</t>
        </is>
      </c>
      <c r="E310" s="156" t="inlineStr">
        <is>
          <t>SANY - Loader</t>
        </is>
      </c>
      <c r="F310" s="184" t="n">
        <v>145.5</v>
      </c>
    </row>
    <row r="311">
      <c r="A311" s="155" t="n">
        <v>46091</v>
      </c>
      <c r="B311" s="156" t="inlineStr">
        <is>
          <t>LV-03</t>
        </is>
      </c>
      <c r="C311" s="156" t="inlineStr">
        <is>
          <t>LV &amp; sarana</t>
        </is>
      </c>
      <c r="D311" s="156" t="inlineStr">
        <is>
          <t>Aux</t>
        </is>
      </c>
      <c r="E311" s="156" t="inlineStr">
        <is>
          <t>Light vehicle</t>
        </is>
      </c>
      <c r="F311" s="184" t="n">
        <v>42</v>
      </c>
    </row>
    <row r="312">
      <c r="A312" s="155" t="n">
        <v>46091</v>
      </c>
      <c r="B312" s="156" t="inlineStr">
        <is>
          <t>LV-06</t>
        </is>
      </c>
      <c r="C312" s="156" t="inlineStr">
        <is>
          <t>LV &amp; sarana</t>
        </is>
      </c>
      <c r="D312" s="156" t="inlineStr">
        <is>
          <t>Aux</t>
        </is>
      </c>
      <c r="E312" s="156" t="inlineStr">
        <is>
          <t>Light vehicle</t>
        </is>
      </c>
      <c r="F312" s="184" t="n">
        <v>25.7</v>
      </c>
    </row>
    <row r="313">
      <c r="A313" s="155" t="n">
        <v>46091</v>
      </c>
      <c r="B313" s="156" t="inlineStr">
        <is>
          <t>LV-10</t>
        </is>
      </c>
      <c r="C313" s="156" t="inlineStr">
        <is>
          <t>LV &amp; sarana</t>
        </is>
      </c>
      <c r="D313" s="156" t="inlineStr">
        <is>
          <t>Aux</t>
        </is>
      </c>
      <c r="E313" s="156" t="inlineStr">
        <is>
          <t>Light vehicle</t>
        </is>
      </c>
      <c r="F313" s="184" t="n">
        <v>56.7</v>
      </c>
    </row>
    <row r="314">
      <c r="A314" s="155" t="n">
        <v>46091</v>
      </c>
      <c r="B314" s="156" t="inlineStr">
        <is>
          <t>LV-11</t>
        </is>
      </c>
      <c r="C314" s="156" t="inlineStr">
        <is>
          <t>LV &amp; sarana</t>
        </is>
      </c>
      <c r="D314" s="156" t="inlineStr">
        <is>
          <t>Aux</t>
        </is>
      </c>
      <c r="E314" s="156" t="inlineStr">
        <is>
          <t>Light vehicle</t>
        </is>
      </c>
      <c r="F314" s="184" t="n">
        <v>62.1</v>
      </c>
    </row>
    <row r="315">
      <c r="A315" s="155" t="n">
        <v>46091</v>
      </c>
      <c r="B315" s="156" t="inlineStr">
        <is>
          <t>LV-12</t>
        </is>
      </c>
      <c r="C315" s="156" t="inlineStr">
        <is>
          <t>LV &amp; sarana</t>
        </is>
      </c>
      <c r="D315" s="156" t="inlineStr">
        <is>
          <t>Aux</t>
        </is>
      </c>
      <c r="E315" s="156" t="inlineStr">
        <is>
          <t>Light vehicle</t>
        </is>
      </c>
      <c r="F315" s="184" t="n">
        <v>48.5</v>
      </c>
    </row>
    <row r="316">
      <c r="A316" s="155" t="n">
        <v>46091</v>
      </c>
      <c r="B316" s="156" t="inlineStr">
        <is>
          <t>VD-06</t>
        </is>
      </c>
      <c r="C316" s="156" t="inlineStr">
        <is>
          <t>Vendor</t>
        </is>
      </c>
      <c r="D316" s="156" t="inlineStr">
        <is>
          <t>Vendor</t>
        </is>
      </c>
      <c r="E316" s="156" t="inlineStr">
        <is>
          <t>Alat vendor</t>
        </is>
      </c>
      <c r="F316" s="184" t="n">
        <v>46.3</v>
      </c>
    </row>
    <row r="317">
      <c r="A317" s="155" t="n">
        <v>46091</v>
      </c>
      <c r="B317" s="156" t="inlineStr">
        <is>
          <t>TS-03</t>
        </is>
      </c>
      <c r="C317" s="156" t="inlineStr">
        <is>
          <t>Truk support</t>
        </is>
      </c>
      <c r="D317" s="156" t="inlineStr">
        <is>
          <t>Mining</t>
        </is>
      </c>
      <c r="E317" s="156" t="inlineStr">
        <is>
          <t>Truk support</t>
        </is>
      </c>
      <c r="F317" s="184" t="n">
        <v>116.4</v>
      </c>
    </row>
    <row r="318">
      <c r="A318" s="155" t="n">
        <v>46091</v>
      </c>
      <c r="B318" s="156" t="inlineStr">
        <is>
          <t>TS-05</t>
        </is>
      </c>
      <c r="C318" s="156" t="inlineStr">
        <is>
          <t>Truk support</t>
        </is>
      </c>
      <c r="D318" s="156" t="inlineStr">
        <is>
          <t>Aux</t>
        </is>
      </c>
      <c r="E318" s="156" t="inlineStr">
        <is>
          <t>Truk support</t>
        </is>
      </c>
      <c r="F318" s="184" t="n">
        <v>62.8</v>
      </c>
    </row>
    <row r="319">
      <c r="A319" s="155" t="n">
        <v>46091</v>
      </c>
      <c r="B319" s="156" t="inlineStr">
        <is>
          <t>AL-05</t>
        </is>
      </c>
      <c r="C319" s="156" t="inlineStr">
        <is>
          <t>Alat lain</t>
        </is>
      </c>
      <c r="D319" s="156" t="inlineStr">
        <is>
          <t>Mining</t>
        </is>
      </c>
      <c r="E319" s="156" t="inlineStr">
        <is>
          <t>Alat lain</t>
        </is>
      </c>
      <c r="F319" s="184" t="n">
        <v>395.8</v>
      </c>
    </row>
    <row r="320">
      <c r="A320" s="155" t="n">
        <v>46091</v>
      </c>
      <c r="B320" s="156" t="inlineStr">
        <is>
          <t>TL-01</t>
        </is>
      </c>
      <c r="C320" s="156" t="inlineStr">
        <is>
          <t>Tower lamp</t>
        </is>
      </c>
      <c r="D320" s="156" t="inlineStr">
        <is>
          <t>Mining</t>
        </is>
      </c>
      <c r="E320" s="156" t="inlineStr">
        <is>
          <t>Tower lamp</t>
        </is>
      </c>
      <c r="F320" s="184" t="n">
        <v>65</v>
      </c>
    </row>
    <row r="321">
      <c r="A321" s="155" t="n">
        <v>46091</v>
      </c>
      <c r="B321" s="156" t="inlineStr">
        <is>
          <t>TL-02</t>
        </is>
      </c>
      <c r="C321" s="156" t="inlineStr">
        <is>
          <t>Tower lamp</t>
        </is>
      </c>
      <c r="D321" s="156" t="inlineStr">
        <is>
          <t>Mining</t>
        </is>
      </c>
      <c r="E321" s="156" t="inlineStr">
        <is>
          <t>Tower lamp</t>
        </is>
      </c>
      <c r="F321" s="184" t="n">
        <v>42.9</v>
      </c>
    </row>
    <row r="322">
      <c r="A322" s="155" t="n">
        <v>46091</v>
      </c>
      <c r="B322" s="156" t="inlineStr">
        <is>
          <t>TL-04</t>
        </is>
      </c>
      <c r="C322" s="156" t="inlineStr">
        <is>
          <t>Tower lamp</t>
        </is>
      </c>
      <c r="D322" s="156" t="inlineStr">
        <is>
          <t>Mining</t>
        </is>
      </c>
      <c r="E322" s="156" t="inlineStr">
        <is>
          <t>Tower lamp</t>
        </is>
      </c>
      <c r="F322" s="184" t="n">
        <v>36.1</v>
      </c>
    </row>
    <row r="323">
      <c r="A323" s="155" t="n">
        <v>46091</v>
      </c>
      <c r="B323" s="156" t="inlineStr">
        <is>
          <t>AL-09</t>
        </is>
      </c>
      <c r="C323" s="156" t="inlineStr">
        <is>
          <t>Alat lain</t>
        </is>
      </c>
      <c r="D323" s="156" t="inlineStr">
        <is>
          <t>Mining</t>
        </is>
      </c>
      <c r="E323" s="156" t="inlineStr">
        <is>
          <t>Alat lain</t>
        </is>
      </c>
      <c r="F323" s="184" t="n">
        <v>23.8</v>
      </c>
    </row>
    <row r="324">
      <c r="A324" s="155" t="n">
        <v>46091</v>
      </c>
      <c r="B324" s="156" t="inlineStr">
        <is>
          <t>GS-01</t>
        </is>
      </c>
      <c r="C324" s="156" t="inlineStr">
        <is>
          <t>Genset</t>
        </is>
      </c>
      <c r="D324" s="156" t="inlineStr">
        <is>
          <t>Aux</t>
        </is>
      </c>
      <c r="E324" s="156" t="inlineStr">
        <is>
          <t>Genset</t>
        </is>
      </c>
      <c r="F324" s="184" t="n">
        <v>257</v>
      </c>
    </row>
    <row r="325">
      <c r="A325" s="155" t="n">
        <v>46091</v>
      </c>
      <c r="B325" s="156" t="inlineStr">
        <is>
          <t>GS-03</t>
        </is>
      </c>
      <c r="C325" s="156" t="inlineStr">
        <is>
          <t>Genset</t>
        </is>
      </c>
      <c r="D325" s="156" t="inlineStr">
        <is>
          <t>Aux</t>
        </is>
      </c>
      <c r="E325" s="156" t="inlineStr">
        <is>
          <t>Genset</t>
        </is>
      </c>
      <c r="F325" s="184" t="n">
        <v>124.9</v>
      </c>
    </row>
    <row r="326">
      <c r="A326" s="155" t="n">
        <v>46091</v>
      </c>
      <c r="B326" s="156" t="inlineStr">
        <is>
          <t>GS-04</t>
        </is>
      </c>
      <c r="C326" s="156" t="inlineStr">
        <is>
          <t>Genset</t>
        </is>
      </c>
      <c r="D326" s="156" t="inlineStr">
        <is>
          <t>Aux</t>
        </is>
      </c>
      <c r="E326" s="156" t="inlineStr">
        <is>
          <t>Genset</t>
        </is>
      </c>
      <c r="F326" s="184" t="n">
        <v>687.8</v>
      </c>
    </row>
    <row r="327">
      <c r="A327" s="155" t="n">
        <v>46091</v>
      </c>
      <c r="B327" s="156" t="inlineStr">
        <is>
          <t>WL-022</t>
        </is>
      </c>
      <c r="C327" s="156" t="inlineStr">
        <is>
          <t>Loader</t>
        </is>
      </c>
      <c r="D327" s="156" t="inlineStr">
        <is>
          <t>Aux</t>
        </is>
      </c>
      <c r="E327" s="156" t="inlineStr">
        <is>
          <t>SANY - Loader</t>
        </is>
      </c>
      <c r="F327" s="184" t="n">
        <v>251.1</v>
      </c>
    </row>
    <row r="328">
      <c r="A328" s="155" t="n">
        <v>46091</v>
      </c>
      <c r="B328" s="156" t="inlineStr">
        <is>
          <t>WL-024</t>
        </is>
      </c>
      <c r="C328" s="156" t="inlineStr">
        <is>
          <t>Loader</t>
        </is>
      </c>
      <c r="D328" s="156" t="inlineStr">
        <is>
          <t>Aux</t>
        </is>
      </c>
      <c r="E328" s="156" t="inlineStr">
        <is>
          <t>SANY - Loader</t>
        </is>
      </c>
      <c r="F328" s="184" t="n">
        <v>97.8</v>
      </c>
    </row>
    <row r="329">
      <c r="A329" s="155" t="n">
        <v>46106</v>
      </c>
      <c r="B329" s="156" t="inlineStr">
        <is>
          <t>EX-754</t>
        </is>
      </c>
      <c r="C329" s="156" t="inlineStr">
        <is>
          <t>Excavator</t>
        </is>
      </c>
      <c r="D329" s="156" t="inlineStr">
        <is>
          <t>Mining</t>
        </is>
      </c>
      <c r="E329" s="156" t="inlineStr">
        <is>
          <t>SY750H-PRO</t>
        </is>
      </c>
      <c r="F329" s="184" t="n">
        <v>498</v>
      </c>
    </row>
    <row r="330">
      <c r="A330" s="155" t="n">
        <v>46106</v>
      </c>
      <c r="B330" s="156" t="inlineStr">
        <is>
          <t>EX-755</t>
        </is>
      </c>
      <c r="C330" s="156" t="inlineStr">
        <is>
          <t>Excavator</t>
        </is>
      </c>
      <c r="D330" s="156" t="inlineStr">
        <is>
          <t>Mining</t>
        </is>
      </c>
      <c r="E330" s="156" t="inlineStr">
        <is>
          <t>SY750H-PRO</t>
        </is>
      </c>
      <c r="F330" s="184" t="n">
        <v>841</v>
      </c>
    </row>
    <row r="331">
      <c r="A331" s="155" t="n">
        <v>46106</v>
      </c>
      <c r="B331" s="156" t="inlineStr">
        <is>
          <t>EX-753</t>
        </is>
      </c>
      <c r="C331" s="156" t="inlineStr">
        <is>
          <t>Excavator</t>
        </is>
      </c>
      <c r="D331" s="156" t="inlineStr">
        <is>
          <t>Mining</t>
        </is>
      </c>
      <c r="E331" s="156" t="inlineStr">
        <is>
          <t>SY750H-PRO</t>
        </is>
      </c>
      <c r="F331" s="184" t="n">
        <v>480.7</v>
      </c>
    </row>
    <row r="332">
      <c r="A332" s="155" t="n">
        <v>46106</v>
      </c>
      <c r="B332" s="156" t="inlineStr">
        <is>
          <t>EX-334</t>
        </is>
      </c>
      <c r="C332" s="156" t="inlineStr">
        <is>
          <t>Excavator</t>
        </is>
      </c>
      <c r="D332" s="156" t="inlineStr">
        <is>
          <t>Mining</t>
        </is>
      </c>
      <c r="E332" s="156" t="inlineStr">
        <is>
          <t>PC 300-8MO</t>
        </is>
      </c>
      <c r="F332" s="184" t="n">
        <v>490.5</v>
      </c>
    </row>
    <row r="333">
      <c r="A333" s="155" t="n">
        <v>46106</v>
      </c>
      <c r="B333" s="156" t="inlineStr">
        <is>
          <t>EX-222</t>
        </is>
      </c>
      <c r="C333" s="156" t="inlineStr">
        <is>
          <t>Excavator</t>
        </is>
      </c>
      <c r="D333" s="156" t="inlineStr">
        <is>
          <t>Mining</t>
        </is>
      </c>
      <c r="E333" s="156" t="inlineStr">
        <is>
          <t>PC 200-8MI</t>
        </is>
      </c>
      <c r="F333" s="184" t="n">
        <v>180.2</v>
      </c>
    </row>
    <row r="334">
      <c r="A334" s="155" t="n">
        <v>46106</v>
      </c>
      <c r="B334" s="156" t="inlineStr">
        <is>
          <t>EX-223</t>
        </is>
      </c>
      <c r="C334" s="156" t="inlineStr">
        <is>
          <t>Excavator</t>
        </is>
      </c>
      <c r="D334" s="156" t="inlineStr">
        <is>
          <t>Aux</t>
        </is>
      </c>
      <c r="E334" s="156" t="inlineStr">
        <is>
          <t>PC 200-8MI</t>
        </is>
      </c>
      <c r="F334" s="184" t="n">
        <v>283.2</v>
      </c>
    </row>
    <row r="335">
      <c r="A335" s="155" t="n">
        <v>46106</v>
      </c>
      <c r="B335" s="156" t="inlineStr">
        <is>
          <t>EX-1251</t>
        </is>
      </c>
      <c r="C335" s="156" t="inlineStr">
        <is>
          <t>Excavator</t>
        </is>
      </c>
      <c r="D335" s="156" t="inlineStr">
        <is>
          <t>Mining</t>
        </is>
      </c>
      <c r="E335" s="156" t="inlineStr">
        <is>
          <t>SY1250</t>
        </is>
      </c>
      <c r="F335" s="184" t="n">
        <v>630.8</v>
      </c>
    </row>
    <row r="336">
      <c r="A336" s="155" t="n">
        <v>46106</v>
      </c>
      <c r="B336" s="156" t="inlineStr">
        <is>
          <t>EX-2101</t>
        </is>
      </c>
      <c r="C336" s="156" t="inlineStr">
        <is>
          <t>Excavator</t>
        </is>
      </c>
      <c r="D336" s="156" t="inlineStr">
        <is>
          <t>Mining</t>
        </is>
      </c>
      <c r="E336" s="156" t="inlineStr">
        <is>
          <t>SY2000</t>
        </is>
      </c>
      <c r="F336" s="184" t="n">
        <v>1887.9</v>
      </c>
    </row>
    <row r="337">
      <c r="A337" s="155" t="n">
        <v>46106</v>
      </c>
      <c r="B337" s="156" t="inlineStr">
        <is>
          <t>EX-333</t>
        </is>
      </c>
      <c r="C337" s="156" t="inlineStr">
        <is>
          <t>Excavator</t>
        </is>
      </c>
      <c r="D337" s="156" t="inlineStr">
        <is>
          <t>Mining</t>
        </is>
      </c>
      <c r="E337" s="156" t="inlineStr">
        <is>
          <t>PC 300-8MO</t>
        </is>
      </c>
      <c r="F337" s="184" t="n">
        <v>241</v>
      </c>
    </row>
    <row r="338">
      <c r="A338" s="155" t="n">
        <v>46106</v>
      </c>
      <c r="B338" s="156" t="inlineStr">
        <is>
          <t>EX-336</t>
        </is>
      </c>
      <c r="C338" s="156" t="inlineStr">
        <is>
          <t>Excavator</t>
        </is>
      </c>
      <c r="D338" s="156" t="inlineStr">
        <is>
          <t>Mining</t>
        </is>
      </c>
      <c r="E338" s="156" t="inlineStr">
        <is>
          <t>PC 300-8MO</t>
        </is>
      </c>
      <c r="F338" s="184" t="n">
        <v>463.1</v>
      </c>
    </row>
    <row r="339">
      <c r="A339" s="155" t="n">
        <v>46106</v>
      </c>
      <c r="B339" s="156" t="inlineStr">
        <is>
          <t>DT-811</t>
        </is>
      </c>
      <c r="C339" s="156" t="inlineStr">
        <is>
          <t>Hauler</t>
        </is>
      </c>
      <c r="D339" s="156" t="inlineStr">
        <is>
          <t>Mining</t>
        </is>
      </c>
      <c r="E339" s="156" t="inlineStr">
        <is>
          <t>SKT 80S</t>
        </is>
      </c>
      <c r="F339" s="184" t="n">
        <v>155.8</v>
      </c>
    </row>
    <row r="340">
      <c r="A340" s="155" t="n">
        <v>46106</v>
      </c>
      <c r="B340" s="156" t="inlineStr">
        <is>
          <t>DT-505</t>
        </is>
      </c>
      <c r="C340" s="156" t="inlineStr">
        <is>
          <t>Hauler</t>
        </is>
      </c>
      <c r="D340" s="156" t="inlineStr">
        <is>
          <t>Mining</t>
        </is>
      </c>
      <c r="E340" s="156" t="inlineStr">
        <is>
          <t>SKT 105S</t>
        </is>
      </c>
      <c r="F340" s="184" t="n">
        <v>176.3</v>
      </c>
    </row>
    <row r="341">
      <c r="A341" s="155" t="n">
        <v>46106</v>
      </c>
      <c r="B341" s="156" t="inlineStr">
        <is>
          <t>DT-504</t>
        </is>
      </c>
      <c r="C341" s="156" t="inlineStr">
        <is>
          <t>Hauler</t>
        </is>
      </c>
      <c r="D341" s="156" t="inlineStr">
        <is>
          <t>Mining</t>
        </is>
      </c>
      <c r="E341" s="156" t="inlineStr">
        <is>
          <t>SKT 105S</t>
        </is>
      </c>
      <c r="F341" s="184" t="n">
        <v>192.6</v>
      </c>
    </row>
    <row r="342">
      <c r="A342" s="155" t="n">
        <v>46106</v>
      </c>
      <c r="B342" s="156" t="inlineStr">
        <is>
          <t>DT-507</t>
        </is>
      </c>
      <c r="C342" s="156" t="inlineStr">
        <is>
          <t>Hauler</t>
        </is>
      </c>
      <c r="D342" s="156" t="inlineStr">
        <is>
          <t>Mining</t>
        </is>
      </c>
      <c r="E342" s="156" t="inlineStr">
        <is>
          <t>SKT 105S</t>
        </is>
      </c>
      <c r="F342" s="184" t="n">
        <v>290</v>
      </c>
    </row>
    <row r="343">
      <c r="A343" s="155" t="n">
        <v>46106</v>
      </c>
      <c r="B343" s="156" t="inlineStr">
        <is>
          <t>DT-518</t>
        </is>
      </c>
      <c r="C343" s="156" t="inlineStr">
        <is>
          <t>Hauler</t>
        </is>
      </c>
      <c r="D343" s="156" t="inlineStr">
        <is>
          <t>Mining</t>
        </is>
      </c>
      <c r="E343" s="156" t="inlineStr">
        <is>
          <t>SKT 105S</t>
        </is>
      </c>
      <c r="F343" s="184" t="n">
        <v>327.3</v>
      </c>
    </row>
    <row r="344">
      <c r="A344" s="155" t="n">
        <v>46106</v>
      </c>
      <c r="B344" s="156" t="inlineStr">
        <is>
          <t>DT-523</t>
        </is>
      </c>
      <c r="C344" s="156" t="inlineStr">
        <is>
          <t>Hauler</t>
        </is>
      </c>
      <c r="D344" s="156" t="inlineStr">
        <is>
          <t>Mining</t>
        </is>
      </c>
      <c r="E344" s="156" t="inlineStr">
        <is>
          <t>SKT 105S</t>
        </is>
      </c>
      <c r="F344" s="184" t="n">
        <v>227.4</v>
      </c>
    </row>
    <row r="345">
      <c r="A345" s="155" t="n">
        <v>46106</v>
      </c>
      <c r="B345" s="156" t="inlineStr">
        <is>
          <t>DT-527</t>
        </is>
      </c>
      <c r="C345" s="156" t="inlineStr">
        <is>
          <t>Hauler</t>
        </is>
      </c>
      <c r="D345" s="156" t="inlineStr">
        <is>
          <t>Mining</t>
        </is>
      </c>
      <c r="E345" s="156" t="inlineStr">
        <is>
          <t>SKT 105S</t>
        </is>
      </c>
      <c r="F345" s="184" t="n">
        <v>508.3</v>
      </c>
    </row>
    <row r="346">
      <c r="A346" s="155" t="n">
        <v>46106</v>
      </c>
      <c r="B346" s="156" t="inlineStr">
        <is>
          <t>DT-513</t>
        </is>
      </c>
      <c r="C346" s="156" t="inlineStr">
        <is>
          <t>Hauler</t>
        </is>
      </c>
      <c r="D346" s="156" t="inlineStr">
        <is>
          <t>Mining</t>
        </is>
      </c>
      <c r="E346" s="156" t="inlineStr">
        <is>
          <t>SKT 105S</t>
        </is>
      </c>
      <c r="F346" s="184" t="n">
        <v>306.2</v>
      </c>
    </row>
    <row r="347">
      <c r="A347" s="155" t="n">
        <v>46106</v>
      </c>
      <c r="B347" s="156" t="inlineStr">
        <is>
          <t>DT-522</t>
        </is>
      </c>
      <c r="C347" s="156" t="inlineStr">
        <is>
          <t>Hauler</t>
        </is>
      </c>
      <c r="D347" s="156" t="inlineStr">
        <is>
          <t>Mining</t>
        </is>
      </c>
      <c r="E347" s="156" t="inlineStr">
        <is>
          <t>SKT 105S</t>
        </is>
      </c>
      <c r="F347" s="184" t="n">
        <v>315.5</v>
      </c>
    </row>
    <row r="348">
      <c r="A348" s="155" t="n">
        <v>46106</v>
      </c>
      <c r="B348" s="156" t="inlineStr">
        <is>
          <t>DT-517</t>
        </is>
      </c>
      <c r="C348" s="156" t="inlineStr">
        <is>
          <t>Hauler</t>
        </is>
      </c>
      <c r="D348" s="156" t="inlineStr">
        <is>
          <t>Mining</t>
        </is>
      </c>
      <c r="E348" s="156" t="inlineStr">
        <is>
          <t>SKT 105S</t>
        </is>
      </c>
      <c r="F348" s="184" t="n">
        <v>158.5</v>
      </c>
    </row>
    <row r="349">
      <c r="A349" s="155" t="n">
        <v>46106</v>
      </c>
      <c r="B349" s="156" t="inlineStr">
        <is>
          <t>DT-516</t>
        </is>
      </c>
      <c r="C349" s="156" t="inlineStr">
        <is>
          <t>Hauler</t>
        </is>
      </c>
      <c r="D349" s="156" t="inlineStr">
        <is>
          <t>Mining</t>
        </is>
      </c>
      <c r="E349" s="156" t="inlineStr">
        <is>
          <t>SKT 105S</t>
        </is>
      </c>
      <c r="F349" s="184" t="n">
        <v>191.7</v>
      </c>
    </row>
    <row r="350">
      <c r="A350" s="155" t="n">
        <v>46106</v>
      </c>
      <c r="B350" s="156" t="inlineStr">
        <is>
          <t>DT-506</t>
        </is>
      </c>
      <c r="C350" s="156" t="inlineStr">
        <is>
          <t>Hauler</t>
        </is>
      </c>
      <c r="D350" s="156" t="inlineStr">
        <is>
          <t>Mining</t>
        </is>
      </c>
      <c r="E350" s="156" t="inlineStr">
        <is>
          <t>SKT 105S</t>
        </is>
      </c>
      <c r="F350" s="184" t="n">
        <v>269.8</v>
      </c>
    </row>
    <row r="351">
      <c r="A351" s="155" t="n">
        <v>46106</v>
      </c>
      <c r="B351" s="156" t="inlineStr">
        <is>
          <t>DT-528</t>
        </is>
      </c>
      <c r="C351" s="156" t="inlineStr">
        <is>
          <t>Hauler</t>
        </is>
      </c>
      <c r="D351" s="156" t="inlineStr">
        <is>
          <t>Mining</t>
        </is>
      </c>
      <c r="E351" s="156" t="inlineStr">
        <is>
          <t>SKT 105S</t>
        </is>
      </c>
      <c r="F351" s="184" t="n">
        <v>258.7</v>
      </c>
    </row>
    <row r="352">
      <c r="A352" s="155" t="n">
        <v>46106</v>
      </c>
      <c r="B352" s="156" t="inlineStr">
        <is>
          <t>DT-529</t>
        </is>
      </c>
      <c r="C352" s="156" t="inlineStr">
        <is>
          <t>Hauler</t>
        </is>
      </c>
      <c r="D352" s="156" t="inlineStr">
        <is>
          <t>Mining</t>
        </is>
      </c>
      <c r="E352" s="156" t="inlineStr">
        <is>
          <t>SKT 105S</t>
        </is>
      </c>
      <c r="F352" s="184" t="n">
        <v>306.2</v>
      </c>
    </row>
    <row r="353">
      <c r="A353" s="155" t="n">
        <v>46106</v>
      </c>
      <c r="B353" s="156" t="inlineStr">
        <is>
          <t>DT-508</t>
        </is>
      </c>
      <c r="C353" s="156" t="inlineStr">
        <is>
          <t>Hauler</t>
        </is>
      </c>
      <c r="D353" s="156" t="inlineStr">
        <is>
          <t>Mining</t>
        </is>
      </c>
      <c r="E353" s="156" t="inlineStr">
        <is>
          <t>SKT 105S</t>
        </is>
      </c>
      <c r="F353" s="184" t="n">
        <v>502.6</v>
      </c>
    </row>
    <row r="354">
      <c r="A354" s="155" t="n">
        <v>46106</v>
      </c>
      <c r="B354" s="156" t="inlineStr">
        <is>
          <t>DT-515</t>
        </is>
      </c>
      <c r="C354" s="156" t="inlineStr">
        <is>
          <t>Hauler</t>
        </is>
      </c>
      <c r="D354" s="156" t="inlineStr">
        <is>
          <t>Mining</t>
        </is>
      </c>
      <c r="E354" s="156" t="inlineStr">
        <is>
          <t>SKT 105S</t>
        </is>
      </c>
      <c r="F354" s="184" t="n">
        <v>156.2</v>
      </c>
    </row>
    <row r="355">
      <c r="A355" s="155" t="n">
        <v>46106</v>
      </c>
      <c r="B355" s="156" t="inlineStr">
        <is>
          <t>DT-524</t>
        </is>
      </c>
      <c r="C355" s="156" t="inlineStr">
        <is>
          <t>Hauler</t>
        </is>
      </c>
      <c r="D355" s="156" t="inlineStr">
        <is>
          <t>Mining</t>
        </is>
      </c>
      <c r="E355" s="156" t="inlineStr">
        <is>
          <t>SKT 105S</t>
        </is>
      </c>
      <c r="F355" s="184" t="n">
        <v>102.7</v>
      </c>
    </row>
    <row r="356">
      <c r="A356" s="155" t="n">
        <v>46106</v>
      </c>
      <c r="B356" s="156" t="inlineStr">
        <is>
          <t>HD-903</t>
        </is>
      </c>
      <c r="C356" s="156" t="inlineStr">
        <is>
          <t>Hauler</t>
        </is>
      </c>
      <c r="D356" s="156" t="inlineStr">
        <is>
          <t>Mining</t>
        </is>
      </c>
      <c r="E356" s="156" t="inlineStr">
        <is>
          <t>SRT 95C</t>
        </is>
      </c>
      <c r="F356" s="184" t="n">
        <v>573.9</v>
      </c>
    </row>
    <row r="357">
      <c r="A357" s="155" t="n">
        <v>46106</v>
      </c>
      <c r="B357" s="156" t="inlineStr">
        <is>
          <t>HD-901</t>
        </is>
      </c>
      <c r="C357" s="156" t="inlineStr">
        <is>
          <t>Hauler</t>
        </is>
      </c>
      <c r="D357" s="156" t="inlineStr">
        <is>
          <t>Mining</t>
        </is>
      </c>
      <c r="E357" s="156" t="inlineStr">
        <is>
          <t>SRT 95C</t>
        </is>
      </c>
      <c r="F357" s="184" t="n">
        <v>400.6</v>
      </c>
    </row>
    <row r="358">
      <c r="A358" s="155" t="n">
        <v>46106</v>
      </c>
      <c r="B358" s="156" t="inlineStr">
        <is>
          <t>HD-902</t>
        </is>
      </c>
      <c r="C358" s="156" t="inlineStr">
        <is>
          <t>Hauler</t>
        </is>
      </c>
      <c r="D358" s="156" t="inlineStr">
        <is>
          <t>Mining</t>
        </is>
      </c>
      <c r="E358" s="156" t="inlineStr">
        <is>
          <t>SRT 95C</t>
        </is>
      </c>
      <c r="F358" s="184" t="n">
        <v>615.6</v>
      </c>
    </row>
    <row r="359">
      <c r="A359" s="155" t="n">
        <v>46106</v>
      </c>
      <c r="B359" s="156" t="inlineStr">
        <is>
          <t>DZ-033</t>
        </is>
      </c>
      <c r="C359" s="156" t="inlineStr">
        <is>
          <t>Bulldozer</t>
        </is>
      </c>
      <c r="D359" s="156" t="inlineStr">
        <is>
          <t>Mining</t>
        </is>
      </c>
      <c r="E359" s="156" t="inlineStr">
        <is>
          <t>D 375A-6R</t>
        </is>
      </c>
      <c r="F359" s="184" t="n">
        <v>898.5</v>
      </c>
    </row>
    <row r="360">
      <c r="A360" s="155" t="n">
        <v>46106</v>
      </c>
      <c r="B360" s="156" t="inlineStr">
        <is>
          <t>DZ-039</t>
        </is>
      </c>
      <c r="C360" s="156" t="inlineStr">
        <is>
          <t>Bulldozer</t>
        </is>
      </c>
      <c r="D360" s="156" t="inlineStr">
        <is>
          <t>Mining</t>
        </is>
      </c>
      <c r="E360" s="156" t="inlineStr">
        <is>
          <t>D 85 ESS-2</t>
        </is>
      </c>
      <c r="F360" s="184" t="n">
        <v>71.90000000000001</v>
      </c>
    </row>
    <row r="361">
      <c r="A361" s="155" t="n">
        <v>46106</v>
      </c>
      <c r="B361" s="156" t="inlineStr">
        <is>
          <t>DZ-035</t>
        </is>
      </c>
      <c r="C361" s="156" t="inlineStr">
        <is>
          <t>Bulldozer</t>
        </is>
      </c>
      <c r="D361" s="156" t="inlineStr">
        <is>
          <t>Mining</t>
        </is>
      </c>
      <c r="E361" s="156" t="inlineStr">
        <is>
          <t>D 85 ESS-2</t>
        </is>
      </c>
      <c r="F361" s="184" t="n">
        <v>321.7</v>
      </c>
    </row>
    <row r="362">
      <c r="A362" s="155" t="n">
        <v>46106</v>
      </c>
      <c r="B362" s="156" t="inlineStr">
        <is>
          <t>DZ-032</t>
        </is>
      </c>
      <c r="C362" s="156" t="inlineStr">
        <is>
          <t>Bulldozer</t>
        </is>
      </c>
      <c r="D362" s="156" t="inlineStr">
        <is>
          <t>Mining</t>
        </is>
      </c>
      <c r="E362" s="156" t="inlineStr">
        <is>
          <t>CAT</t>
        </is>
      </c>
      <c r="F362" s="184" t="n">
        <v>450.6</v>
      </c>
    </row>
    <row r="363">
      <c r="A363" s="155" t="n">
        <v>46106</v>
      </c>
      <c r="B363" s="156" t="inlineStr">
        <is>
          <t>DZ-031</t>
        </is>
      </c>
      <c r="C363" s="156" t="inlineStr">
        <is>
          <t>Bulldozer</t>
        </is>
      </c>
      <c r="D363" s="156" t="inlineStr">
        <is>
          <t>Mining</t>
        </is>
      </c>
      <c r="E363" s="156" t="inlineStr">
        <is>
          <t>CAT</t>
        </is>
      </c>
      <c r="F363" s="184" t="n">
        <v>229.1</v>
      </c>
    </row>
    <row r="364">
      <c r="A364" s="155" t="n">
        <v>46106</v>
      </c>
      <c r="B364" s="156" t="inlineStr">
        <is>
          <t>GD-013</t>
        </is>
      </c>
      <c r="C364" s="156" t="inlineStr">
        <is>
          <t>Grader</t>
        </is>
      </c>
      <c r="D364" s="156" t="inlineStr">
        <is>
          <t>Mining</t>
        </is>
      </c>
      <c r="E364" s="156" t="inlineStr">
        <is>
          <t>STG 265C - 10</t>
        </is>
      </c>
      <c r="F364" s="184" t="n">
        <v>268.2</v>
      </c>
    </row>
    <row r="365">
      <c r="A365" s="155" t="n">
        <v>46106</v>
      </c>
      <c r="B365" s="156" t="inlineStr">
        <is>
          <t>GD-014</t>
        </is>
      </c>
      <c r="C365" s="156" t="inlineStr">
        <is>
          <t>Grader</t>
        </is>
      </c>
      <c r="D365" s="156" t="inlineStr">
        <is>
          <t>Mining</t>
        </is>
      </c>
      <c r="E365" s="156" t="inlineStr">
        <is>
          <t>STG 335C - 10</t>
        </is>
      </c>
      <c r="F365" s="184" t="n">
        <v>377.8</v>
      </c>
    </row>
    <row r="366">
      <c r="A366" s="155" t="n">
        <v>46106</v>
      </c>
      <c r="B366" s="156" t="inlineStr">
        <is>
          <t>CP-041</t>
        </is>
      </c>
      <c r="C366" s="156" t="inlineStr">
        <is>
          <t>Compactor</t>
        </is>
      </c>
      <c r="D366" s="156" t="inlineStr">
        <is>
          <t>Mining</t>
        </is>
      </c>
      <c r="E366" s="156" t="inlineStr">
        <is>
          <t>SANY - Compactor</t>
        </is>
      </c>
      <c r="F366" s="184" t="n">
        <v>171.3</v>
      </c>
    </row>
    <row r="367">
      <c r="A367" s="155" t="n">
        <v>46106</v>
      </c>
      <c r="B367" s="156" t="inlineStr">
        <is>
          <t>LV-03</t>
        </is>
      </c>
      <c r="C367" s="156" t="inlineStr">
        <is>
          <t>LV &amp; sarana</t>
        </is>
      </c>
      <c r="D367" s="156" t="inlineStr">
        <is>
          <t>Aux</t>
        </is>
      </c>
      <c r="E367" s="156" t="inlineStr">
        <is>
          <t>Light vehicle</t>
        </is>
      </c>
      <c r="F367" s="184" t="n">
        <v>45.1</v>
      </c>
    </row>
    <row r="368">
      <c r="A368" s="155" t="n">
        <v>46106</v>
      </c>
      <c r="B368" s="156" t="inlineStr">
        <is>
          <t>VD-01</t>
        </is>
      </c>
      <c r="C368" s="156" t="inlineStr">
        <is>
          <t>Vendor</t>
        </is>
      </c>
      <c r="D368" s="156" t="inlineStr">
        <is>
          <t>Vendor</t>
        </is>
      </c>
      <c r="E368" s="156" t="inlineStr">
        <is>
          <t>Alat vendor</t>
        </is>
      </c>
      <c r="F368" s="184" t="n">
        <v>45.5</v>
      </c>
    </row>
    <row r="369">
      <c r="A369" s="155" t="n">
        <v>46106</v>
      </c>
      <c r="B369" s="156" t="inlineStr">
        <is>
          <t>AL-04</t>
        </is>
      </c>
      <c r="C369" s="156" t="inlineStr">
        <is>
          <t>Alat lain</t>
        </is>
      </c>
      <c r="D369" s="156" t="inlineStr">
        <is>
          <t>Mining</t>
        </is>
      </c>
      <c r="E369" s="156" t="inlineStr">
        <is>
          <t>Alat lain</t>
        </is>
      </c>
      <c r="F369" s="184" t="n">
        <v>750.4</v>
      </c>
    </row>
    <row r="370">
      <c r="A370" s="155" t="n">
        <v>46106</v>
      </c>
      <c r="B370" s="156" t="inlineStr">
        <is>
          <t>TS-03</t>
        </is>
      </c>
      <c r="C370" s="156" t="inlineStr">
        <is>
          <t>Truk support</t>
        </is>
      </c>
      <c r="D370" s="156" t="inlineStr">
        <is>
          <t>Mining</t>
        </is>
      </c>
      <c r="E370" s="156" t="inlineStr">
        <is>
          <t>Truk support</t>
        </is>
      </c>
      <c r="F370" s="184" t="n">
        <v>23</v>
      </c>
    </row>
    <row r="371">
      <c r="A371" s="155" t="n">
        <v>46106</v>
      </c>
      <c r="B371" s="156" t="inlineStr">
        <is>
          <t>AL-05</t>
        </is>
      </c>
      <c r="C371" s="156" t="inlineStr">
        <is>
          <t>Alat lain</t>
        </is>
      </c>
      <c r="D371" s="156" t="inlineStr">
        <is>
          <t>Mining</t>
        </is>
      </c>
      <c r="E371" s="156" t="inlineStr">
        <is>
          <t>Alat lain</t>
        </is>
      </c>
      <c r="F371" s="184" t="n">
        <v>362.5</v>
      </c>
    </row>
    <row r="372">
      <c r="A372" s="155" t="n">
        <v>46106</v>
      </c>
      <c r="B372" s="156" t="inlineStr">
        <is>
          <t>AL-07</t>
        </is>
      </c>
      <c r="C372" s="156" t="inlineStr">
        <is>
          <t>Alat lain</t>
        </is>
      </c>
      <c r="D372" s="156" t="inlineStr">
        <is>
          <t>Aux</t>
        </is>
      </c>
      <c r="E372" s="156" t="inlineStr">
        <is>
          <t>Alat lain</t>
        </is>
      </c>
      <c r="F372" s="184" t="n">
        <v>81.2</v>
      </c>
    </row>
    <row r="373">
      <c r="A373" s="155" t="n">
        <v>46106</v>
      </c>
      <c r="B373" s="156" t="inlineStr">
        <is>
          <t>AL-09</t>
        </is>
      </c>
      <c r="C373" s="156" t="inlineStr">
        <is>
          <t>Alat lain</t>
        </is>
      </c>
      <c r="D373" s="156" t="inlineStr">
        <is>
          <t>Mining</t>
        </is>
      </c>
      <c r="E373" s="156" t="inlineStr">
        <is>
          <t>Alat lain</t>
        </is>
      </c>
      <c r="F373" s="184" t="n">
        <v>27.8</v>
      </c>
    </row>
    <row r="374">
      <c r="A374" s="155" t="n">
        <v>46106</v>
      </c>
      <c r="B374" s="156" t="inlineStr">
        <is>
          <t>AL-10</t>
        </is>
      </c>
      <c r="C374" s="156" t="inlineStr">
        <is>
          <t>Alat lain</t>
        </is>
      </c>
      <c r="D374" s="156" t="inlineStr">
        <is>
          <t>Mining</t>
        </is>
      </c>
      <c r="E374" s="156" t="inlineStr">
        <is>
          <t>Alat lain</t>
        </is>
      </c>
      <c r="F374" s="184" t="n">
        <v>46.2</v>
      </c>
    </row>
    <row r="375">
      <c r="A375" s="155" t="n">
        <v>46106</v>
      </c>
      <c r="B375" s="156" t="inlineStr">
        <is>
          <t>GS-02</t>
        </is>
      </c>
      <c r="C375" s="156" t="inlineStr">
        <is>
          <t>Genset</t>
        </is>
      </c>
      <c r="D375" s="156" t="inlineStr">
        <is>
          <t>Aux</t>
        </is>
      </c>
      <c r="E375" s="156" t="inlineStr">
        <is>
          <t>Genset</t>
        </is>
      </c>
      <c r="F375" s="184" t="n">
        <v>281</v>
      </c>
    </row>
    <row r="376">
      <c r="A376" s="155" t="n">
        <v>46106</v>
      </c>
      <c r="B376" s="156" t="inlineStr">
        <is>
          <t>GS-03</t>
        </is>
      </c>
      <c r="C376" s="156" t="inlineStr">
        <is>
          <t>Genset</t>
        </is>
      </c>
      <c r="D376" s="156" t="inlineStr">
        <is>
          <t>Aux</t>
        </is>
      </c>
      <c r="E376" s="156" t="inlineStr">
        <is>
          <t>Genset</t>
        </is>
      </c>
      <c r="F376" s="184" t="n">
        <v>131.7</v>
      </c>
    </row>
    <row r="377">
      <c r="A377" s="155" t="n">
        <v>46106</v>
      </c>
      <c r="B377" s="156" t="inlineStr">
        <is>
          <t>GS-04</t>
        </is>
      </c>
      <c r="C377" s="156" t="inlineStr">
        <is>
          <t>Genset</t>
        </is>
      </c>
      <c r="D377" s="156" t="inlineStr">
        <is>
          <t>Aux</t>
        </is>
      </c>
      <c r="E377" s="156" t="inlineStr">
        <is>
          <t>Genset</t>
        </is>
      </c>
      <c r="F377" s="184" t="n">
        <v>714.5</v>
      </c>
    </row>
    <row r="378">
      <c r="A378" s="155" t="n">
        <v>46106</v>
      </c>
      <c r="B378" s="156" t="inlineStr">
        <is>
          <t>GS-07</t>
        </is>
      </c>
      <c r="C378" s="156" t="inlineStr">
        <is>
          <t>Genset</t>
        </is>
      </c>
      <c r="D378" s="156" t="inlineStr">
        <is>
          <t>Aux</t>
        </is>
      </c>
      <c r="E378" s="156" t="inlineStr">
        <is>
          <t>Genset</t>
        </is>
      </c>
      <c r="F378" s="184" t="n">
        <v>45.6</v>
      </c>
    </row>
    <row r="379">
      <c r="A379" s="155" t="n">
        <v>46106</v>
      </c>
      <c r="B379" s="156" t="inlineStr">
        <is>
          <t>GS-09</t>
        </is>
      </c>
      <c r="C379" s="156" t="inlineStr">
        <is>
          <t>Genset</t>
        </is>
      </c>
      <c r="D379" s="156" t="inlineStr">
        <is>
          <t>Aux</t>
        </is>
      </c>
      <c r="E379" s="156" t="inlineStr">
        <is>
          <t>Genset</t>
        </is>
      </c>
      <c r="F379" s="184" t="n">
        <v>3962.7</v>
      </c>
    </row>
    <row r="380">
      <c r="A380" s="155" t="n">
        <v>46106</v>
      </c>
      <c r="B380" s="156" t="inlineStr">
        <is>
          <t>WP-03</t>
        </is>
      </c>
      <c r="C380" s="156" t="inlineStr">
        <is>
          <t>Pompa air</t>
        </is>
      </c>
      <c r="D380" s="156" t="inlineStr">
        <is>
          <t>Mining</t>
        </is>
      </c>
      <c r="E380" s="156" t="inlineStr">
        <is>
          <t>Pompa air</t>
        </is>
      </c>
      <c r="F380" s="184" t="n">
        <v>1657.8</v>
      </c>
    </row>
    <row r="381">
      <c r="A381" s="155" t="n">
        <v>46106</v>
      </c>
      <c r="B381" s="156" t="inlineStr">
        <is>
          <t>GS-10</t>
        </is>
      </c>
      <c r="C381" s="156" t="inlineStr">
        <is>
          <t>Genset</t>
        </is>
      </c>
      <c r="D381" s="156" t="inlineStr">
        <is>
          <t>Aux</t>
        </is>
      </c>
      <c r="E381" s="156" t="inlineStr">
        <is>
          <t>Genset</t>
        </is>
      </c>
      <c r="F381" s="184" t="n">
        <v>3712.9</v>
      </c>
    </row>
    <row r="382">
      <c r="A382" s="155" t="n">
        <v>46106</v>
      </c>
      <c r="B382" s="156" t="inlineStr">
        <is>
          <t>GS-11</t>
        </is>
      </c>
      <c r="C382" s="156" t="inlineStr">
        <is>
          <t>Genset</t>
        </is>
      </c>
      <c r="D382" s="156" t="inlineStr">
        <is>
          <t>Aux</t>
        </is>
      </c>
      <c r="E382" s="156" t="inlineStr">
        <is>
          <t>Genset</t>
        </is>
      </c>
      <c r="F382" s="184" t="n">
        <v>2055.8</v>
      </c>
    </row>
    <row r="383">
      <c r="A383" s="155" t="n">
        <v>46106</v>
      </c>
      <c r="B383" s="156" t="inlineStr">
        <is>
          <t>WL-022</t>
        </is>
      </c>
      <c r="C383" s="156" t="inlineStr">
        <is>
          <t>Loader</t>
        </is>
      </c>
      <c r="D383" s="156" t="inlineStr">
        <is>
          <t>Aux</t>
        </is>
      </c>
      <c r="E383" s="156" t="inlineStr">
        <is>
          <t>SANY - Loader</t>
        </is>
      </c>
      <c r="F383" s="184" t="n">
        <v>254.9</v>
      </c>
    </row>
    <row r="384">
      <c r="A384" s="155" t="n">
        <v>46106</v>
      </c>
      <c r="B384" s="156" t="inlineStr">
        <is>
          <t>WL-024</t>
        </is>
      </c>
      <c r="C384" s="156" t="inlineStr">
        <is>
          <t>Loader</t>
        </is>
      </c>
      <c r="D384" s="156" t="inlineStr">
        <is>
          <t>Aux</t>
        </is>
      </c>
      <c r="E384" s="156" t="inlineStr">
        <is>
          <t>SANY - Loader</t>
        </is>
      </c>
      <c r="F384" s="184" t="n">
        <v>279.3</v>
      </c>
    </row>
    <row r="385">
      <c r="A385" s="155" t="n">
        <v>46094</v>
      </c>
      <c r="B385" s="156" t="inlineStr">
        <is>
          <t>EX-754</t>
        </is>
      </c>
      <c r="C385" s="156" t="inlineStr">
        <is>
          <t>Excavator</t>
        </is>
      </c>
      <c r="D385" s="156" t="inlineStr">
        <is>
          <t>Mining</t>
        </is>
      </c>
      <c r="E385" s="156" t="inlineStr">
        <is>
          <t>SY750H-PRO</t>
        </is>
      </c>
      <c r="F385" s="184" t="n">
        <v>698</v>
      </c>
    </row>
    <row r="386">
      <c r="A386" s="155" t="n">
        <v>46094</v>
      </c>
      <c r="B386" s="156" t="inlineStr">
        <is>
          <t>EX-755</t>
        </is>
      </c>
      <c r="C386" s="156" t="inlineStr">
        <is>
          <t>Excavator</t>
        </is>
      </c>
      <c r="D386" s="156" t="inlineStr">
        <is>
          <t>Mining</t>
        </is>
      </c>
      <c r="E386" s="156" t="inlineStr">
        <is>
          <t>SY750H-PRO</t>
        </is>
      </c>
      <c r="F386" s="184" t="n">
        <v>1154.8</v>
      </c>
    </row>
    <row r="387">
      <c r="A387" s="155" t="n">
        <v>46094</v>
      </c>
      <c r="B387" s="156" t="inlineStr">
        <is>
          <t>EX-753</t>
        </is>
      </c>
      <c r="C387" s="156" t="inlineStr">
        <is>
          <t>Excavator</t>
        </is>
      </c>
      <c r="D387" s="156" t="inlineStr">
        <is>
          <t>Mining</t>
        </is>
      </c>
      <c r="E387" s="156" t="inlineStr">
        <is>
          <t>SY750H-PRO</t>
        </is>
      </c>
      <c r="F387" s="184" t="n">
        <v>782.3</v>
      </c>
    </row>
    <row r="388">
      <c r="A388" s="155" t="n">
        <v>46094</v>
      </c>
      <c r="B388" s="156" t="inlineStr">
        <is>
          <t>EX-334</t>
        </is>
      </c>
      <c r="C388" s="156" t="inlineStr">
        <is>
          <t>Excavator</t>
        </is>
      </c>
      <c r="D388" s="156" t="inlineStr">
        <is>
          <t>Mining</t>
        </is>
      </c>
      <c r="E388" s="156" t="inlineStr">
        <is>
          <t>PC 300-8MO</t>
        </is>
      </c>
      <c r="F388" s="184" t="n">
        <v>538.6</v>
      </c>
    </row>
    <row r="389">
      <c r="A389" s="155" t="n">
        <v>46094</v>
      </c>
      <c r="B389" s="156" t="inlineStr">
        <is>
          <t>EX-222</t>
        </is>
      </c>
      <c r="C389" s="156" t="inlineStr">
        <is>
          <t>Excavator</t>
        </is>
      </c>
      <c r="D389" s="156" t="inlineStr">
        <is>
          <t>Mining</t>
        </is>
      </c>
      <c r="E389" s="156" t="inlineStr">
        <is>
          <t>PC 200-8MI</t>
        </is>
      </c>
      <c r="F389" s="184" t="n">
        <v>286.2</v>
      </c>
    </row>
    <row r="390">
      <c r="A390" s="155" t="n">
        <v>46094</v>
      </c>
      <c r="B390" s="156" t="inlineStr">
        <is>
          <t>EX-223</t>
        </is>
      </c>
      <c r="C390" s="156" t="inlineStr">
        <is>
          <t>Excavator</t>
        </is>
      </c>
      <c r="D390" s="156" t="inlineStr">
        <is>
          <t>Aux</t>
        </is>
      </c>
      <c r="E390" s="156" t="inlineStr">
        <is>
          <t>PC 200-8MI</t>
        </is>
      </c>
      <c r="F390" s="184" t="n">
        <v>289.7</v>
      </c>
    </row>
    <row r="391">
      <c r="A391" s="155" t="n">
        <v>46094</v>
      </c>
      <c r="B391" s="156" t="inlineStr">
        <is>
          <t>EX-221</t>
        </is>
      </c>
      <c r="C391" s="156" t="inlineStr">
        <is>
          <t>Excavator</t>
        </is>
      </c>
      <c r="D391" s="156" t="inlineStr">
        <is>
          <t>Aux</t>
        </is>
      </c>
      <c r="E391" s="156" t="inlineStr">
        <is>
          <t>PC 200-8MI</t>
        </is>
      </c>
      <c r="F391" s="184" t="n">
        <v>140.9</v>
      </c>
    </row>
    <row r="392">
      <c r="A392" s="155" t="n">
        <v>46094</v>
      </c>
      <c r="B392" s="156" t="inlineStr">
        <is>
          <t>EX-2101</t>
        </is>
      </c>
      <c r="C392" s="156" t="inlineStr">
        <is>
          <t>Excavator</t>
        </is>
      </c>
      <c r="D392" s="156" t="inlineStr">
        <is>
          <t>Mining</t>
        </is>
      </c>
      <c r="E392" s="156" t="inlineStr">
        <is>
          <t>SY2000</t>
        </is>
      </c>
      <c r="F392" s="184" t="n">
        <v>1069.5</v>
      </c>
    </row>
    <row r="393">
      <c r="A393" s="155" t="n">
        <v>46094</v>
      </c>
      <c r="B393" s="156" t="inlineStr">
        <is>
          <t>EX-336</t>
        </is>
      </c>
      <c r="C393" s="156" t="inlineStr">
        <is>
          <t>Excavator</t>
        </is>
      </c>
      <c r="D393" s="156" t="inlineStr">
        <is>
          <t>Mining</t>
        </is>
      </c>
      <c r="E393" s="156" t="inlineStr">
        <is>
          <t>PC 300-8MO</t>
        </is>
      </c>
      <c r="F393" s="184" t="n">
        <v>605.2</v>
      </c>
    </row>
    <row r="394">
      <c r="A394" s="155" t="n">
        <v>46094</v>
      </c>
      <c r="B394" s="156" t="inlineStr">
        <is>
          <t>DT-808</t>
        </is>
      </c>
      <c r="C394" s="156" t="inlineStr">
        <is>
          <t>Hauler</t>
        </is>
      </c>
      <c r="D394" s="156" t="inlineStr">
        <is>
          <t>Mining</t>
        </is>
      </c>
      <c r="E394" s="156" t="inlineStr">
        <is>
          <t>SKT 80S</t>
        </is>
      </c>
      <c r="F394" s="184" t="n">
        <v>190</v>
      </c>
    </row>
    <row r="395">
      <c r="A395" s="155" t="n">
        <v>46094</v>
      </c>
      <c r="B395" s="156" t="inlineStr">
        <is>
          <t>DT-810</t>
        </is>
      </c>
      <c r="C395" s="156" t="inlineStr">
        <is>
          <t>Hauler</t>
        </is>
      </c>
      <c r="D395" s="156" t="inlineStr">
        <is>
          <t>Mining</t>
        </is>
      </c>
      <c r="E395" s="156" t="inlineStr">
        <is>
          <t>SKT 80S</t>
        </is>
      </c>
      <c r="F395" s="184" t="n">
        <v>187.3</v>
      </c>
    </row>
    <row r="396">
      <c r="A396" s="155" t="n">
        <v>46094</v>
      </c>
      <c r="B396" s="156" t="inlineStr">
        <is>
          <t>DT-804</t>
        </is>
      </c>
      <c r="C396" s="156" t="inlineStr">
        <is>
          <t>Hauler</t>
        </is>
      </c>
      <c r="D396" s="156" t="inlineStr">
        <is>
          <t>Mining</t>
        </is>
      </c>
      <c r="E396" s="156" t="inlineStr">
        <is>
          <t>SKT 80S</t>
        </is>
      </c>
      <c r="F396" s="184" t="n">
        <v>200</v>
      </c>
    </row>
    <row r="397">
      <c r="A397" s="155" t="n">
        <v>46094</v>
      </c>
      <c r="B397" s="156" t="inlineStr">
        <is>
          <t>DT-505</t>
        </is>
      </c>
      <c r="C397" s="156" t="inlineStr">
        <is>
          <t>Hauler</t>
        </is>
      </c>
      <c r="D397" s="156" t="inlineStr">
        <is>
          <t>Mining</t>
        </is>
      </c>
      <c r="E397" s="156" t="inlineStr">
        <is>
          <t>SKT 105S</t>
        </is>
      </c>
      <c r="F397" s="184" t="n">
        <v>218.8</v>
      </c>
    </row>
    <row r="398">
      <c r="A398" s="155" t="n">
        <v>46094</v>
      </c>
      <c r="B398" s="156" t="inlineStr">
        <is>
          <t>DT-503</t>
        </is>
      </c>
      <c r="C398" s="156" t="inlineStr">
        <is>
          <t>Hauler</t>
        </is>
      </c>
      <c r="D398" s="156" t="inlineStr">
        <is>
          <t>Mining</t>
        </is>
      </c>
      <c r="E398" s="156" t="inlineStr">
        <is>
          <t>SKT 105S</t>
        </is>
      </c>
      <c r="F398" s="184" t="n">
        <v>300.5</v>
      </c>
    </row>
    <row r="399">
      <c r="A399" s="155" t="n">
        <v>46094</v>
      </c>
      <c r="B399" s="156" t="inlineStr">
        <is>
          <t>DT-504</t>
        </is>
      </c>
      <c r="C399" s="156" t="inlineStr">
        <is>
          <t>Hauler</t>
        </is>
      </c>
      <c r="D399" s="156" t="inlineStr">
        <is>
          <t>Mining</t>
        </is>
      </c>
      <c r="E399" s="156" t="inlineStr">
        <is>
          <t>SKT 105S</t>
        </is>
      </c>
      <c r="F399" s="184" t="n">
        <v>314.7</v>
      </c>
    </row>
    <row r="400">
      <c r="A400" s="155" t="n">
        <v>46094</v>
      </c>
      <c r="B400" s="156" t="inlineStr">
        <is>
          <t>DT-507</t>
        </is>
      </c>
      <c r="C400" s="156" t="inlineStr">
        <is>
          <t>Hauler</t>
        </is>
      </c>
      <c r="D400" s="156" t="inlineStr">
        <is>
          <t>Mining</t>
        </is>
      </c>
      <c r="E400" s="156" t="inlineStr">
        <is>
          <t>SKT 105S</t>
        </is>
      </c>
      <c r="F400" s="184" t="n">
        <v>367.8</v>
      </c>
    </row>
    <row r="401">
      <c r="A401" s="155" t="n">
        <v>46094</v>
      </c>
      <c r="B401" s="156" t="inlineStr">
        <is>
          <t>DT-518</t>
        </is>
      </c>
      <c r="C401" s="156" t="inlineStr">
        <is>
          <t>Hauler</t>
        </is>
      </c>
      <c r="D401" s="156" t="inlineStr">
        <is>
          <t>Mining</t>
        </is>
      </c>
      <c r="E401" s="156" t="inlineStr">
        <is>
          <t>SKT 105S</t>
        </is>
      </c>
      <c r="F401" s="184" t="n">
        <v>235.4</v>
      </c>
    </row>
    <row r="402">
      <c r="A402" s="155" t="n">
        <v>46094</v>
      </c>
      <c r="B402" s="156" t="inlineStr">
        <is>
          <t>DT-523</t>
        </is>
      </c>
      <c r="C402" s="156" t="inlineStr">
        <is>
          <t>Hauler</t>
        </is>
      </c>
      <c r="D402" s="156" t="inlineStr">
        <is>
          <t>Mining</t>
        </is>
      </c>
      <c r="E402" s="156" t="inlineStr">
        <is>
          <t>SKT 105S</t>
        </is>
      </c>
      <c r="F402" s="184" t="n">
        <v>409.7</v>
      </c>
    </row>
    <row r="403">
      <c r="A403" s="155" t="n">
        <v>46094</v>
      </c>
      <c r="B403" s="156" t="inlineStr">
        <is>
          <t>DT-527</t>
        </is>
      </c>
      <c r="C403" s="156" t="inlineStr">
        <is>
          <t>Hauler</t>
        </is>
      </c>
      <c r="D403" s="156" t="inlineStr">
        <is>
          <t>Mining</t>
        </is>
      </c>
      <c r="E403" s="156" t="inlineStr">
        <is>
          <t>SKT 105S</t>
        </is>
      </c>
      <c r="F403" s="184" t="n">
        <v>437.2</v>
      </c>
    </row>
    <row r="404">
      <c r="A404" s="155" t="n">
        <v>46094</v>
      </c>
      <c r="B404" s="156" t="inlineStr">
        <is>
          <t>DT-512</t>
        </is>
      </c>
      <c r="C404" s="156" t="inlineStr">
        <is>
          <t>Hauler</t>
        </is>
      </c>
      <c r="D404" s="156" t="inlineStr">
        <is>
          <t>Mining</t>
        </is>
      </c>
      <c r="E404" s="156" t="inlineStr">
        <is>
          <t>SKT 105S</t>
        </is>
      </c>
      <c r="F404" s="184" t="n">
        <v>515.2</v>
      </c>
    </row>
    <row r="405">
      <c r="A405" s="155" t="n">
        <v>46094</v>
      </c>
      <c r="B405" s="156" t="inlineStr">
        <is>
          <t>DT-522</t>
        </is>
      </c>
      <c r="C405" s="156" t="inlineStr">
        <is>
          <t>Hauler</t>
        </is>
      </c>
      <c r="D405" s="156" t="inlineStr">
        <is>
          <t>Mining</t>
        </is>
      </c>
      <c r="E405" s="156" t="inlineStr">
        <is>
          <t>SKT 105S</t>
        </is>
      </c>
      <c r="F405" s="184" t="n">
        <v>507.3</v>
      </c>
    </row>
    <row r="406">
      <c r="A406" s="155" t="n">
        <v>46094</v>
      </c>
      <c r="B406" s="156" t="inlineStr">
        <is>
          <t>DT-517</t>
        </is>
      </c>
      <c r="C406" s="156" t="inlineStr">
        <is>
          <t>Hauler</t>
        </is>
      </c>
      <c r="D406" s="156" t="inlineStr">
        <is>
          <t>Mining</t>
        </is>
      </c>
      <c r="E406" s="156" t="inlineStr">
        <is>
          <t>SKT 105S</t>
        </is>
      </c>
      <c r="F406" s="184" t="n">
        <v>214.5</v>
      </c>
    </row>
    <row r="407">
      <c r="A407" s="155" t="n">
        <v>46094</v>
      </c>
      <c r="B407" s="156" t="inlineStr">
        <is>
          <t>DT-510</t>
        </is>
      </c>
      <c r="C407" s="156" t="inlineStr">
        <is>
          <t>Hauler</t>
        </is>
      </c>
      <c r="D407" s="156" t="inlineStr">
        <is>
          <t>Mining</t>
        </is>
      </c>
      <c r="E407" s="156" t="inlineStr">
        <is>
          <t>SKT 105S</t>
        </is>
      </c>
      <c r="F407" s="184" t="n">
        <v>281.5</v>
      </c>
    </row>
    <row r="408">
      <c r="A408" s="155" t="n">
        <v>46094</v>
      </c>
      <c r="B408" s="156" t="inlineStr">
        <is>
          <t>DT-521</t>
        </is>
      </c>
      <c r="C408" s="156" t="inlineStr">
        <is>
          <t>Hauler</t>
        </is>
      </c>
      <c r="D408" s="156" t="inlineStr">
        <is>
          <t>Mining</t>
        </is>
      </c>
      <c r="E408" s="156" t="inlineStr">
        <is>
          <t>SKT 105S</t>
        </is>
      </c>
      <c r="F408" s="184" t="n">
        <v>421.9</v>
      </c>
    </row>
    <row r="409">
      <c r="A409" s="155" t="n">
        <v>46094</v>
      </c>
      <c r="B409" s="156" t="inlineStr">
        <is>
          <t>DT-516</t>
        </is>
      </c>
      <c r="C409" s="156" t="inlineStr">
        <is>
          <t>Hauler</t>
        </is>
      </c>
      <c r="D409" s="156" t="inlineStr">
        <is>
          <t>Mining</t>
        </is>
      </c>
      <c r="E409" s="156" t="inlineStr">
        <is>
          <t>SKT 105S</t>
        </is>
      </c>
      <c r="F409" s="184" t="n">
        <v>139.6</v>
      </c>
    </row>
    <row r="410">
      <c r="A410" s="155" t="n">
        <v>46094</v>
      </c>
      <c r="B410" s="156" t="inlineStr">
        <is>
          <t>DT-506</t>
        </is>
      </c>
      <c r="C410" s="156" t="inlineStr">
        <is>
          <t>Hauler</t>
        </is>
      </c>
      <c r="D410" s="156" t="inlineStr">
        <is>
          <t>Mining</t>
        </is>
      </c>
      <c r="E410" s="156" t="inlineStr">
        <is>
          <t>SKT 105S</t>
        </is>
      </c>
      <c r="F410" s="184" t="n">
        <v>472.5</v>
      </c>
    </row>
    <row r="411">
      <c r="A411" s="155" t="n">
        <v>46094</v>
      </c>
      <c r="B411" s="156" t="inlineStr">
        <is>
          <t>DT-529</t>
        </is>
      </c>
      <c r="C411" s="156" t="inlineStr">
        <is>
          <t>Hauler</t>
        </is>
      </c>
      <c r="D411" s="156" t="inlineStr">
        <is>
          <t>Mining</t>
        </is>
      </c>
      <c r="E411" s="156" t="inlineStr">
        <is>
          <t>SKT 105S</t>
        </is>
      </c>
      <c r="F411" s="184" t="n">
        <v>394.3</v>
      </c>
    </row>
    <row r="412">
      <c r="A412" s="155" t="n">
        <v>46094</v>
      </c>
      <c r="B412" s="156" t="inlineStr">
        <is>
          <t>DT-520</t>
        </is>
      </c>
      <c r="C412" s="156" t="inlineStr">
        <is>
          <t>Hauler</t>
        </is>
      </c>
      <c r="D412" s="156" t="inlineStr">
        <is>
          <t>Mining</t>
        </is>
      </c>
      <c r="E412" s="156" t="inlineStr">
        <is>
          <t>SKT 105S</t>
        </is>
      </c>
      <c r="F412" s="184" t="n">
        <v>419.3</v>
      </c>
    </row>
    <row r="413">
      <c r="A413" s="155" t="n">
        <v>46094</v>
      </c>
      <c r="B413" s="156" t="inlineStr">
        <is>
          <t>DT-511</t>
        </is>
      </c>
      <c r="C413" s="156" t="inlineStr">
        <is>
          <t>Hauler</t>
        </is>
      </c>
      <c r="D413" s="156" t="inlineStr">
        <is>
          <t>Mining</t>
        </is>
      </c>
      <c r="E413" s="156" t="inlineStr">
        <is>
          <t>SKT 105S</t>
        </is>
      </c>
      <c r="F413" s="184" t="n">
        <v>222.6</v>
      </c>
    </row>
    <row r="414">
      <c r="A414" s="155" t="n">
        <v>46094</v>
      </c>
      <c r="B414" s="156" t="inlineStr">
        <is>
          <t>DT-508</t>
        </is>
      </c>
      <c r="C414" s="156" t="inlineStr">
        <is>
          <t>Hauler</t>
        </is>
      </c>
      <c r="D414" s="156" t="inlineStr">
        <is>
          <t>Mining</t>
        </is>
      </c>
      <c r="E414" s="156" t="inlineStr">
        <is>
          <t>SKT 105S</t>
        </is>
      </c>
      <c r="F414" s="184" t="n">
        <v>324.7</v>
      </c>
    </row>
    <row r="415">
      <c r="A415" s="155" t="n">
        <v>46094</v>
      </c>
      <c r="B415" s="156" t="inlineStr">
        <is>
          <t>DT-515</t>
        </is>
      </c>
      <c r="C415" s="156" t="inlineStr">
        <is>
          <t>Hauler</t>
        </is>
      </c>
      <c r="D415" s="156" t="inlineStr">
        <is>
          <t>Mining</t>
        </is>
      </c>
      <c r="E415" s="156" t="inlineStr">
        <is>
          <t>SKT 105S</t>
        </is>
      </c>
      <c r="F415" s="184" t="n">
        <v>380.2</v>
      </c>
    </row>
    <row r="416">
      <c r="A416" s="155" t="n">
        <v>46094</v>
      </c>
      <c r="B416" s="156" t="inlineStr">
        <is>
          <t>DT-524</t>
        </is>
      </c>
      <c r="C416" s="156" t="inlineStr">
        <is>
          <t>Hauler</t>
        </is>
      </c>
      <c r="D416" s="156" t="inlineStr">
        <is>
          <t>Mining</t>
        </is>
      </c>
      <c r="E416" s="156" t="inlineStr">
        <is>
          <t>SKT 105S</t>
        </is>
      </c>
      <c r="F416" s="184" t="n">
        <v>459.7</v>
      </c>
    </row>
    <row r="417">
      <c r="A417" s="155" t="n">
        <v>46094</v>
      </c>
      <c r="B417" s="156" t="inlineStr">
        <is>
          <t>HD-903</t>
        </is>
      </c>
      <c r="C417" s="156" t="inlineStr">
        <is>
          <t>Hauler</t>
        </is>
      </c>
      <c r="D417" s="156" t="inlineStr">
        <is>
          <t>Mining</t>
        </is>
      </c>
      <c r="E417" s="156" t="inlineStr">
        <is>
          <t>SRT 95C</t>
        </is>
      </c>
      <c r="F417" s="184" t="n">
        <v>1164.8</v>
      </c>
    </row>
    <row r="418">
      <c r="A418" s="155" t="n">
        <v>46094</v>
      </c>
      <c r="B418" s="156" t="inlineStr">
        <is>
          <t>HD-901</t>
        </is>
      </c>
      <c r="C418" s="156" t="inlineStr">
        <is>
          <t>Hauler</t>
        </is>
      </c>
      <c r="D418" s="156" t="inlineStr">
        <is>
          <t>Mining</t>
        </is>
      </c>
      <c r="E418" s="156" t="inlineStr">
        <is>
          <t>SRT 95C</t>
        </is>
      </c>
      <c r="F418" s="184" t="n">
        <v>1113.4</v>
      </c>
    </row>
    <row r="419">
      <c r="A419" s="155" t="n">
        <v>46094</v>
      </c>
      <c r="B419" s="156" t="inlineStr">
        <is>
          <t>HD-902</t>
        </is>
      </c>
      <c r="C419" s="156" t="inlineStr">
        <is>
          <t>Hauler</t>
        </is>
      </c>
      <c r="D419" s="156" t="inlineStr">
        <is>
          <t>Mining</t>
        </is>
      </c>
      <c r="E419" s="156" t="inlineStr">
        <is>
          <t>SRT 95C</t>
        </is>
      </c>
      <c r="F419" s="184" t="n">
        <v>1118.5</v>
      </c>
    </row>
    <row r="420">
      <c r="A420" s="155" t="n">
        <v>46094</v>
      </c>
      <c r="B420" s="156" t="inlineStr">
        <is>
          <t>DZ-033</t>
        </is>
      </c>
      <c r="C420" s="156" t="inlineStr">
        <is>
          <t>Bulldozer</t>
        </is>
      </c>
      <c r="D420" s="156" t="inlineStr">
        <is>
          <t>Mining</t>
        </is>
      </c>
      <c r="E420" s="156" t="inlineStr">
        <is>
          <t>D 375A-6R</t>
        </is>
      </c>
      <c r="F420" s="184" t="n">
        <v>1154</v>
      </c>
    </row>
    <row r="421">
      <c r="A421" s="155" t="n">
        <v>46094</v>
      </c>
      <c r="B421" s="156" t="inlineStr">
        <is>
          <t>DZ-035</t>
        </is>
      </c>
      <c r="C421" s="156" t="inlineStr">
        <is>
          <t>Bulldozer</t>
        </is>
      </c>
      <c r="D421" s="156" t="inlineStr">
        <is>
          <t>Mining</t>
        </is>
      </c>
      <c r="E421" s="156" t="inlineStr">
        <is>
          <t>D 85 ESS-2</t>
        </is>
      </c>
      <c r="F421" s="184" t="n">
        <v>290.9</v>
      </c>
    </row>
    <row r="422">
      <c r="A422" s="155" t="n">
        <v>46094</v>
      </c>
      <c r="B422" s="156" t="inlineStr">
        <is>
          <t>DZ-032</t>
        </is>
      </c>
      <c r="C422" s="156" t="inlineStr">
        <is>
          <t>Bulldozer</t>
        </is>
      </c>
      <c r="D422" s="156" t="inlineStr">
        <is>
          <t>Mining</t>
        </is>
      </c>
      <c r="E422" s="156" t="inlineStr">
        <is>
          <t>CAT</t>
        </is>
      </c>
      <c r="F422" s="184" t="n">
        <v>264.1</v>
      </c>
    </row>
    <row r="423">
      <c r="A423" s="155" t="n">
        <v>46094</v>
      </c>
      <c r="B423" s="156" t="inlineStr">
        <is>
          <t>DZ-031</t>
        </is>
      </c>
      <c r="C423" s="156" t="inlineStr">
        <is>
          <t>Bulldozer</t>
        </is>
      </c>
      <c r="D423" s="156" t="inlineStr">
        <is>
          <t>Mining</t>
        </is>
      </c>
      <c r="E423" s="156" t="inlineStr">
        <is>
          <t>CAT</t>
        </is>
      </c>
      <c r="F423" s="184" t="n">
        <v>64</v>
      </c>
    </row>
    <row r="424">
      <c r="A424" s="155" t="n">
        <v>46094</v>
      </c>
      <c r="B424" s="156" t="inlineStr">
        <is>
          <t>GD-013</t>
        </is>
      </c>
      <c r="C424" s="156" t="inlineStr">
        <is>
          <t>Grader</t>
        </is>
      </c>
      <c r="D424" s="156" t="inlineStr">
        <is>
          <t>Mining</t>
        </is>
      </c>
      <c r="E424" s="156" t="inlineStr">
        <is>
          <t>STG 265C - 10</t>
        </is>
      </c>
      <c r="F424" s="184" t="n">
        <v>416.4</v>
      </c>
    </row>
    <row r="425">
      <c r="A425" s="155" t="n">
        <v>46094</v>
      </c>
      <c r="B425" s="156" t="inlineStr">
        <is>
          <t>GD-014</t>
        </is>
      </c>
      <c r="C425" s="156" t="inlineStr">
        <is>
          <t>Grader</t>
        </is>
      </c>
      <c r="D425" s="156" t="inlineStr">
        <is>
          <t>Mining</t>
        </is>
      </c>
      <c r="E425" s="156" t="inlineStr">
        <is>
          <t>STG 335C - 10</t>
        </is>
      </c>
      <c r="F425" s="184" t="n">
        <v>240.3</v>
      </c>
    </row>
    <row r="426">
      <c r="A426" s="155" t="n">
        <v>46094</v>
      </c>
      <c r="B426" s="156" t="inlineStr">
        <is>
          <t>CP-041</t>
        </is>
      </c>
      <c r="C426" s="156" t="inlineStr">
        <is>
          <t>Compactor</t>
        </is>
      </c>
      <c r="D426" s="156" t="inlineStr">
        <is>
          <t>Mining</t>
        </is>
      </c>
      <c r="E426" s="156" t="inlineStr">
        <is>
          <t>SANY - Compactor</t>
        </is>
      </c>
      <c r="F426" s="184" t="n">
        <v>173.2</v>
      </c>
    </row>
    <row r="427">
      <c r="A427" s="155" t="n">
        <v>46094</v>
      </c>
      <c r="B427" s="156" t="inlineStr">
        <is>
          <t>WL-023</t>
        </is>
      </c>
      <c r="C427" s="156" t="inlineStr">
        <is>
          <t>Loader</t>
        </is>
      </c>
      <c r="D427" s="156" t="inlineStr">
        <is>
          <t>Aux</t>
        </is>
      </c>
      <c r="E427" s="156" t="inlineStr">
        <is>
          <t>SANY - Loader</t>
        </is>
      </c>
      <c r="F427" s="184" t="n">
        <v>90.5</v>
      </c>
    </row>
    <row r="428">
      <c r="A428" s="155" t="n">
        <v>46094</v>
      </c>
      <c r="B428" s="156" t="inlineStr">
        <is>
          <t>LV-04</t>
        </is>
      </c>
      <c r="C428" s="156" t="inlineStr">
        <is>
          <t>LV &amp; sarana</t>
        </is>
      </c>
      <c r="D428" s="156" t="inlineStr">
        <is>
          <t>Aux</t>
        </is>
      </c>
      <c r="E428" s="156" t="inlineStr">
        <is>
          <t>Light vehicle</t>
        </is>
      </c>
      <c r="F428" s="184" t="n">
        <v>36.6</v>
      </c>
    </row>
    <row r="429">
      <c r="A429" s="155" t="n">
        <v>46094</v>
      </c>
      <c r="B429" s="156" t="inlineStr">
        <is>
          <t>LV-06</t>
        </is>
      </c>
      <c r="C429" s="156" t="inlineStr">
        <is>
          <t>LV &amp; sarana</t>
        </is>
      </c>
      <c r="D429" s="156" t="inlineStr">
        <is>
          <t>Aux</t>
        </is>
      </c>
      <c r="E429" s="156" t="inlineStr">
        <is>
          <t>Light vehicle</t>
        </is>
      </c>
      <c r="F429" s="184" t="n">
        <v>45.5</v>
      </c>
    </row>
    <row r="430">
      <c r="A430" s="155" t="n">
        <v>46094</v>
      </c>
      <c r="B430" s="156" t="inlineStr">
        <is>
          <t>LV-07</t>
        </is>
      </c>
      <c r="C430" s="156" t="inlineStr">
        <is>
          <t>LV &amp; sarana</t>
        </is>
      </c>
      <c r="D430" s="156" t="inlineStr">
        <is>
          <t>Aux</t>
        </is>
      </c>
      <c r="E430" s="156" t="inlineStr">
        <is>
          <t>Light vehicle</t>
        </is>
      </c>
      <c r="F430" s="184" t="n">
        <v>52.4</v>
      </c>
    </row>
    <row r="431">
      <c r="A431" s="155" t="n">
        <v>46094</v>
      </c>
      <c r="B431" s="156" t="inlineStr">
        <is>
          <t>LV-10</t>
        </is>
      </c>
      <c r="C431" s="156" t="inlineStr">
        <is>
          <t>LV &amp; sarana</t>
        </is>
      </c>
      <c r="D431" s="156" t="inlineStr">
        <is>
          <t>Aux</t>
        </is>
      </c>
      <c r="E431" s="156" t="inlineStr">
        <is>
          <t>Light vehicle</t>
        </is>
      </c>
      <c r="F431" s="184" t="n">
        <v>55.4</v>
      </c>
    </row>
    <row r="432">
      <c r="A432" s="155" t="n">
        <v>46094</v>
      </c>
      <c r="B432" s="156" t="inlineStr">
        <is>
          <t>VD-03</t>
        </is>
      </c>
      <c r="C432" s="156" t="inlineStr">
        <is>
          <t>Vendor</t>
        </is>
      </c>
      <c r="D432" s="156" t="inlineStr">
        <is>
          <t>Vendor</t>
        </is>
      </c>
      <c r="E432" s="156" t="inlineStr">
        <is>
          <t>Alat vendor</t>
        </is>
      </c>
      <c r="F432" s="184" t="n">
        <v>46.8</v>
      </c>
    </row>
    <row r="433">
      <c r="A433" s="155" t="n">
        <v>46094</v>
      </c>
      <c r="B433" s="156" t="inlineStr">
        <is>
          <t>VD-04</t>
        </is>
      </c>
      <c r="C433" s="156" t="inlineStr">
        <is>
          <t>Vendor</t>
        </is>
      </c>
      <c r="D433" s="156" t="inlineStr">
        <is>
          <t>Vendor</t>
        </is>
      </c>
      <c r="E433" s="156" t="inlineStr">
        <is>
          <t>Alat vendor</t>
        </is>
      </c>
      <c r="F433" s="184" t="n">
        <v>47.5</v>
      </c>
    </row>
    <row r="434">
      <c r="A434" s="155" t="n">
        <v>46094</v>
      </c>
      <c r="B434" s="156" t="inlineStr">
        <is>
          <t>TS-02</t>
        </is>
      </c>
      <c r="C434" s="156" t="inlineStr">
        <is>
          <t>Truk support</t>
        </is>
      </c>
      <c r="D434" s="156" t="inlineStr">
        <is>
          <t>Mining</t>
        </is>
      </c>
      <c r="E434" s="156" t="inlineStr">
        <is>
          <t>Truk support</t>
        </is>
      </c>
      <c r="F434" s="184" t="n">
        <v>208</v>
      </c>
    </row>
    <row r="435">
      <c r="A435" s="155" t="n">
        <v>46094</v>
      </c>
      <c r="B435" s="156" t="inlineStr">
        <is>
          <t>TS-04</t>
        </is>
      </c>
      <c r="C435" s="156" t="inlineStr">
        <is>
          <t>Truk support</t>
        </is>
      </c>
      <c r="D435" s="156" t="inlineStr">
        <is>
          <t>Aux</t>
        </is>
      </c>
      <c r="E435" s="156" t="inlineStr">
        <is>
          <t>Truk support</t>
        </is>
      </c>
      <c r="F435" s="184" t="n">
        <v>47.1</v>
      </c>
    </row>
    <row r="436">
      <c r="A436" s="155" t="n">
        <v>46094</v>
      </c>
      <c r="B436" s="156" t="inlineStr">
        <is>
          <t>TL-05</t>
        </is>
      </c>
      <c r="C436" s="156" t="inlineStr">
        <is>
          <t>Tower lamp</t>
        </is>
      </c>
      <c r="D436" s="156" t="inlineStr">
        <is>
          <t>Mining</t>
        </is>
      </c>
      <c r="E436" s="156" t="inlineStr">
        <is>
          <t>Tower lamp</t>
        </is>
      </c>
      <c r="F436" s="184" t="n">
        <v>75.59999999999999</v>
      </c>
    </row>
    <row r="437">
      <c r="A437" s="155" t="n">
        <v>46094</v>
      </c>
      <c r="B437" s="156" t="inlineStr">
        <is>
          <t>AL-09</t>
        </is>
      </c>
      <c r="C437" s="156" t="inlineStr">
        <is>
          <t>Alat lain</t>
        </is>
      </c>
      <c r="D437" s="156" t="inlineStr">
        <is>
          <t>Mining</t>
        </is>
      </c>
      <c r="E437" s="156" t="inlineStr">
        <is>
          <t>Alat lain</t>
        </is>
      </c>
      <c r="F437" s="184" t="n">
        <v>22.8</v>
      </c>
    </row>
    <row r="438">
      <c r="A438" s="155" t="n">
        <v>46094</v>
      </c>
      <c r="B438" s="156" t="inlineStr">
        <is>
          <t>GS-01</t>
        </is>
      </c>
      <c r="C438" s="156" t="inlineStr">
        <is>
          <t>Genset</t>
        </is>
      </c>
      <c r="D438" s="156" t="inlineStr">
        <is>
          <t>Aux</t>
        </is>
      </c>
      <c r="E438" s="156" t="inlineStr">
        <is>
          <t>Genset</t>
        </is>
      </c>
      <c r="F438" s="184" t="n">
        <v>172.9</v>
      </c>
    </row>
    <row r="439">
      <c r="A439" s="155" t="n">
        <v>46094</v>
      </c>
      <c r="B439" s="156" t="inlineStr">
        <is>
          <t>GS-03</t>
        </is>
      </c>
      <c r="C439" s="156" t="inlineStr">
        <is>
          <t>Genset</t>
        </is>
      </c>
      <c r="D439" s="156" t="inlineStr">
        <is>
          <t>Aux</t>
        </is>
      </c>
      <c r="E439" s="156" t="inlineStr">
        <is>
          <t>Genset</t>
        </is>
      </c>
      <c r="F439" s="184" t="n">
        <v>139.7</v>
      </c>
    </row>
    <row r="440">
      <c r="A440" s="155" t="n">
        <v>46094</v>
      </c>
      <c r="B440" s="156" t="inlineStr">
        <is>
          <t>GS-04</t>
        </is>
      </c>
      <c r="C440" s="156" t="inlineStr">
        <is>
          <t>Genset</t>
        </is>
      </c>
      <c r="D440" s="156" t="inlineStr">
        <is>
          <t>Aux</t>
        </is>
      </c>
      <c r="E440" s="156" t="inlineStr">
        <is>
          <t>Genset</t>
        </is>
      </c>
      <c r="F440" s="184" t="n">
        <v>707.2</v>
      </c>
    </row>
    <row r="441">
      <c r="A441" s="155" t="n">
        <v>46094</v>
      </c>
      <c r="B441" s="156" t="inlineStr">
        <is>
          <t>GS-07</t>
        </is>
      </c>
      <c r="C441" s="156" t="inlineStr">
        <is>
          <t>Genset</t>
        </is>
      </c>
      <c r="D441" s="156" t="inlineStr">
        <is>
          <t>Aux</t>
        </is>
      </c>
      <c r="E441" s="156" t="inlineStr">
        <is>
          <t>Genset</t>
        </is>
      </c>
      <c r="F441" s="184" t="n">
        <v>37.4</v>
      </c>
    </row>
    <row r="442">
      <c r="A442" s="155" t="n">
        <v>46094</v>
      </c>
      <c r="B442" s="156" t="inlineStr">
        <is>
          <t>WP-04</t>
        </is>
      </c>
      <c r="C442" s="156" t="inlineStr">
        <is>
          <t>Pompa air</t>
        </is>
      </c>
      <c r="D442" s="156" t="inlineStr">
        <is>
          <t>Mining</t>
        </is>
      </c>
      <c r="E442" s="156" t="inlineStr">
        <is>
          <t>Pompa air</t>
        </is>
      </c>
      <c r="F442" s="184" t="n">
        <v>678.9</v>
      </c>
    </row>
    <row r="443">
      <c r="A443" s="155" t="n">
        <v>46094</v>
      </c>
      <c r="B443" s="156" t="inlineStr">
        <is>
          <t>DT-341</t>
        </is>
      </c>
      <c r="C443" s="156" t="inlineStr">
        <is>
          <t>Hauler</t>
        </is>
      </c>
      <c r="D443" s="156" t="inlineStr">
        <is>
          <t>Aux</t>
        </is>
      </c>
      <c r="E443" s="156" t="inlineStr">
        <is>
          <t>SYZ324C-8W</t>
        </is>
      </c>
      <c r="F443" s="184" t="n">
        <v>187.3</v>
      </c>
    </row>
    <row r="444">
      <c r="A444" s="155" t="n">
        <v>46094</v>
      </c>
      <c r="B444" s="156" t="inlineStr">
        <is>
          <t>DT-342</t>
        </is>
      </c>
      <c r="C444" s="156" t="inlineStr">
        <is>
          <t>Hauler</t>
        </is>
      </c>
      <c r="D444" s="156" t="inlineStr">
        <is>
          <t>Aux</t>
        </is>
      </c>
      <c r="E444" s="156" t="inlineStr">
        <is>
          <t>SYZ324C-8W</t>
        </is>
      </c>
      <c r="F444" s="184" t="n">
        <v>110.5</v>
      </c>
    </row>
    <row r="445">
      <c r="A445" s="155" t="n">
        <v>46094</v>
      </c>
      <c r="B445" s="156" t="inlineStr">
        <is>
          <t>WL-022</t>
        </is>
      </c>
      <c r="C445" s="156" t="inlineStr">
        <is>
          <t>Loader</t>
        </is>
      </c>
      <c r="D445" s="156" t="inlineStr">
        <is>
          <t>Aux</t>
        </is>
      </c>
      <c r="E445" s="156" t="inlineStr">
        <is>
          <t>SANY - Loader</t>
        </is>
      </c>
      <c r="F445" s="184" t="n">
        <v>294.3</v>
      </c>
    </row>
    <row r="446">
      <c r="A446" s="155" t="n">
        <v>46094</v>
      </c>
      <c r="B446" s="156" t="inlineStr">
        <is>
          <t>WL-024</t>
        </is>
      </c>
      <c r="C446" s="156" t="inlineStr">
        <is>
          <t>Loader</t>
        </is>
      </c>
      <c r="D446" s="156" t="inlineStr">
        <is>
          <t>Aux</t>
        </is>
      </c>
      <c r="E446" s="156" t="inlineStr">
        <is>
          <t>SANY - Loader</t>
        </is>
      </c>
      <c r="F446" s="184" t="n">
        <v>272.7</v>
      </c>
    </row>
    <row r="447">
      <c r="A447" s="155" t="n">
        <v>46085</v>
      </c>
      <c r="B447" s="156" t="inlineStr">
        <is>
          <t>EX-754</t>
        </is>
      </c>
      <c r="C447" s="156" t="inlineStr">
        <is>
          <t>Excavator</t>
        </is>
      </c>
      <c r="D447" s="156" t="inlineStr">
        <is>
          <t>Mining</t>
        </is>
      </c>
      <c r="E447" s="156" t="inlineStr">
        <is>
          <t>SY750H-PRO</t>
        </is>
      </c>
      <c r="F447" s="184" t="n">
        <v>237</v>
      </c>
    </row>
    <row r="448">
      <c r="A448" s="155" t="n">
        <v>46085</v>
      </c>
      <c r="B448" s="156" t="inlineStr">
        <is>
          <t>EX-755</t>
        </is>
      </c>
      <c r="C448" s="156" t="inlineStr">
        <is>
          <t>Excavator</t>
        </is>
      </c>
      <c r="D448" s="156" t="inlineStr">
        <is>
          <t>Mining</t>
        </is>
      </c>
      <c r="E448" s="156" t="inlineStr">
        <is>
          <t>SY750H-PRO</t>
        </is>
      </c>
      <c r="F448" s="184" t="n">
        <v>431</v>
      </c>
    </row>
    <row r="449">
      <c r="A449" s="155" t="n">
        <v>46085</v>
      </c>
      <c r="B449" s="156" t="inlineStr">
        <is>
          <t>EX-334</t>
        </is>
      </c>
      <c r="C449" s="156" t="inlineStr">
        <is>
          <t>Excavator</t>
        </is>
      </c>
      <c r="D449" s="156" t="inlineStr">
        <is>
          <t>Mining</t>
        </is>
      </c>
      <c r="E449" s="156" t="inlineStr">
        <is>
          <t>PC 300-8MO</t>
        </is>
      </c>
      <c r="F449" s="184" t="n">
        <v>365.4</v>
      </c>
    </row>
    <row r="450">
      <c r="A450" s="155" t="n">
        <v>46085</v>
      </c>
      <c r="B450" s="156" t="inlineStr">
        <is>
          <t>EX-222</t>
        </is>
      </c>
      <c r="C450" s="156" t="inlineStr">
        <is>
          <t>Excavator</t>
        </is>
      </c>
      <c r="D450" s="156" t="inlineStr">
        <is>
          <t>Mining</t>
        </is>
      </c>
      <c r="E450" s="156" t="inlineStr">
        <is>
          <t>PC 200-8MI</t>
        </is>
      </c>
      <c r="F450" s="184" t="n">
        <v>228.9</v>
      </c>
    </row>
    <row r="451">
      <c r="A451" s="155" t="n">
        <v>46085</v>
      </c>
      <c r="B451" s="156" t="inlineStr">
        <is>
          <t>EX-223</t>
        </is>
      </c>
      <c r="C451" s="156" t="inlineStr">
        <is>
          <t>Excavator</t>
        </is>
      </c>
      <c r="D451" s="156" t="inlineStr">
        <is>
          <t>Aux</t>
        </is>
      </c>
      <c r="E451" s="156" t="inlineStr">
        <is>
          <t>PC 200-8MI</t>
        </is>
      </c>
      <c r="F451" s="184" t="n">
        <v>328.1</v>
      </c>
    </row>
    <row r="452">
      <c r="A452" s="155" t="n">
        <v>46085</v>
      </c>
      <c r="B452" s="156" t="inlineStr">
        <is>
          <t>EX-2101</t>
        </is>
      </c>
      <c r="C452" s="156" t="inlineStr">
        <is>
          <t>Excavator</t>
        </is>
      </c>
      <c r="D452" s="156" t="inlineStr">
        <is>
          <t>Mining</t>
        </is>
      </c>
      <c r="E452" s="156" t="inlineStr">
        <is>
          <t>SY2000</t>
        </is>
      </c>
      <c r="F452" s="184" t="n">
        <v>1739.8</v>
      </c>
    </row>
    <row r="453">
      <c r="A453" s="155" t="n">
        <v>46085</v>
      </c>
      <c r="B453" s="156" t="inlineStr">
        <is>
          <t>EX-336</t>
        </is>
      </c>
      <c r="C453" s="156" t="inlineStr">
        <is>
          <t>Excavator</t>
        </is>
      </c>
      <c r="D453" s="156" t="inlineStr">
        <is>
          <t>Mining</t>
        </is>
      </c>
      <c r="E453" s="156" t="inlineStr">
        <is>
          <t>PC 300-8MO</t>
        </is>
      </c>
      <c r="F453" s="184" t="n">
        <v>256.5</v>
      </c>
    </row>
    <row r="454">
      <c r="A454" s="155" t="n">
        <v>46085</v>
      </c>
      <c r="B454" s="156" t="inlineStr">
        <is>
          <t>DT-811</t>
        </is>
      </c>
      <c r="C454" s="156" t="inlineStr">
        <is>
          <t>Hauler</t>
        </is>
      </c>
      <c r="D454" s="156" t="inlineStr">
        <is>
          <t>Mining</t>
        </is>
      </c>
      <c r="E454" s="156" t="inlineStr">
        <is>
          <t>SKT 80S</t>
        </is>
      </c>
      <c r="F454" s="184" t="n">
        <v>233.6</v>
      </c>
    </row>
    <row r="455">
      <c r="A455" s="155" t="n">
        <v>46085</v>
      </c>
      <c r="B455" s="156" t="inlineStr">
        <is>
          <t>DT-812</t>
        </is>
      </c>
      <c r="C455" s="156" t="inlineStr">
        <is>
          <t>Hauler</t>
        </is>
      </c>
      <c r="D455" s="156" t="inlineStr">
        <is>
          <t>Mining</t>
        </is>
      </c>
      <c r="E455" s="156" t="inlineStr">
        <is>
          <t>SKT 80S</t>
        </is>
      </c>
      <c r="F455" s="184" t="n">
        <v>264.2</v>
      </c>
    </row>
    <row r="456">
      <c r="A456" s="155" t="n">
        <v>46085</v>
      </c>
      <c r="B456" s="156" t="inlineStr">
        <is>
          <t>DT-810</t>
        </is>
      </c>
      <c r="C456" s="156" t="inlineStr">
        <is>
          <t>Hauler</t>
        </is>
      </c>
      <c r="D456" s="156" t="inlineStr">
        <is>
          <t>Mining</t>
        </is>
      </c>
      <c r="E456" s="156" t="inlineStr">
        <is>
          <t>SKT 80S</t>
        </is>
      </c>
      <c r="F456" s="184" t="n">
        <v>151.1</v>
      </c>
    </row>
    <row r="457">
      <c r="A457" s="155" t="n">
        <v>46085</v>
      </c>
      <c r="B457" s="156" t="inlineStr">
        <is>
          <t>DT-503</t>
        </is>
      </c>
      <c r="C457" s="156" t="inlineStr">
        <is>
          <t>Hauler</t>
        </is>
      </c>
      <c r="D457" s="156" t="inlineStr">
        <is>
          <t>Mining</t>
        </is>
      </c>
      <c r="E457" s="156" t="inlineStr">
        <is>
          <t>SKT 105S</t>
        </is>
      </c>
      <c r="F457" s="184" t="n">
        <v>55.5</v>
      </c>
    </row>
    <row r="458">
      <c r="A458" s="155" t="n">
        <v>46085</v>
      </c>
      <c r="B458" s="156" t="inlineStr">
        <is>
          <t>DT-504</t>
        </is>
      </c>
      <c r="C458" s="156" t="inlineStr">
        <is>
          <t>Hauler</t>
        </is>
      </c>
      <c r="D458" s="156" t="inlineStr">
        <is>
          <t>Mining</t>
        </is>
      </c>
      <c r="E458" s="156" t="inlineStr">
        <is>
          <t>SKT 105S</t>
        </is>
      </c>
      <c r="F458" s="184" t="n">
        <v>283.5</v>
      </c>
    </row>
    <row r="459">
      <c r="A459" s="155" t="n">
        <v>46085</v>
      </c>
      <c r="B459" s="156" t="inlineStr">
        <is>
          <t>DT-501</t>
        </is>
      </c>
      <c r="C459" s="156" t="inlineStr">
        <is>
          <t>Hauler</t>
        </is>
      </c>
      <c r="D459" s="156" t="inlineStr">
        <is>
          <t>Mining</t>
        </is>
      </c>
      <c r="E459" s="156" t="inlineStr">
        <is>
          <t>SKT 105S</t>
        </is>
      </c>
      <c r="F459" s="184" t="n">
        <v>107.1</v>
      </c>
    </row>
    <row r="460">
      <c r="A460" s="155" t="n">
        <v>46085</v>
      </c>
      <c r="B460" s="156" t="inlineStr">
        <is>
          <t>DT-523</t>
        </is>
      </c>
      <c r="C460" s="156" t="inlineStr">
        <is>
          <t>Hauler</t>
        </is>
      </c>
      <c r="D460" s="156" t="inlineStr">
        <is>
          <t>Mining</t>
        </is>
      </c>
      <c r="E460" s="156" t="inlineStr">
        <is>
          <t>SKT 105S</t>
        </is>
      </c>
      <c r="F460" s="184" t="n">
        <v>94.8</v>
      </c>
    </row>
    <row r="461">
      <c r="A461" s="155" t="n">
        <v>46085</v>
      </c>
      <c r="B461" s="156" t="inlineStr">
        <is>
          <t>DT-527</t>
        </is>
      </c>
      <c r="C461" s="156" t="inlineStr">
        <is>
          <t>Hauler</t>
        </is>
      </c>
      <c r="D461" s="156" t="inlineStr">
        <is>
          <t>Mining</t>
        </is>
      </c>
      <c r="E461" s="156" t="inlineStr">
        <is>
          <t>SKT 105S</t>
        </is>
      </c>
      <c r="F461" s="184" t="n">
        <v>71.59999999999999</v>
      </c>
    </row>
    <row r="462">
      <c r="A462" s="155" t="n">
        <v>46085</v>
      </c>
      <c r="B462" s="156" t="inlineStr">
        <is>
          <t>DT-512</t>
        </is>
      </c>
      <c r="C462" s="156" t="inlineStr">
        <is>
          <t>Hauler</t>
        </is>
      </c>
      <c r="D462" s="156" t="inlineStr">
        <is>
          <t>Mining</t>
        </is>
      </c>
      <c r="E462" s="156" t="inlineStr">
        <is>
          <t>SKT 105S</t>
        </is>
      </c>
      <c r="F462" s="184" t="n">
        <v>79.3</v>
      </c>
    </row>
    <row r="463">
      <c r="A463" s="155" t="n">
        <v>46085</v>
      </c>
      <c r="B463" s="156" t="inlineStr">
        <is>
          <t>DT-522</t>
        </is>
      </c>
      <c r="C463" s="156" t="inlineStr">
        <is>
          <t>Hauler</t>
        </is>
      </c>
      <c r="D463" s="156" t="inlineStr">
        <is>
          <t>Mining</t>
        </is>
      </c>
      <c r="E463" s="156" t="inlineStr">
        <is>
          <t>SKT 105S</t>
        </is>
      </c>
      <c r="F463" s="184" t="n">
        <v>49.6</v>
      </c>
    </row>
    <row r="464">
      <c r="A464" s="155" t="n">
        <v>46085</v>
      </c>
      <c r="B464" s="156" t="inlineStr">
        <is>
          <t>DT-510</t>
        </is>
      </c>
      <c r="C464" s="156" t="inlineStr">
        <is>
          <t>Hauler</t>
        </is>
      </c>
      <c r="D464" s="156" t="inlineStr">
        <is>
          <t>Mining</t>
        </is>
      </c>
      <c r="E464" s="156" t="inlineStr">
        <is>
          <t>SKT 105S</t>
        </is>
      </c>
      <c r="F464" s="184" t="n">
        <v>55</v>
      </c>
    </row>
    <row r="465">
      <c r="A465" s="155" t="n">
        <v>46085</v>
      </c>
      <c r="B465" s="156" t="inlineStr">
        <is>
          <t>DT-502</t>
        </is>
      </c>
      <c r="C465" s="156" t="inlineStr">
        <is>
          <t>Hauler</t>
        </is>
      </c>
      <c r="D465" s="156" t="inlineStr">
        <is>
          <t>Mining</t>
        </is>
      </c>
      <c r="E465" s="156" t="inlineStr">
        <is>
          <t>SKT 105S</t>
        </is>
      </c>
      <c r="F465" s="184" t="n">
        <v>76.5</v>
      </c>
    </row>
    <row r="466">
      <c r="A466" s="155" t="n">
        <v>46085</v>
      </c>
      <c r="B466" s="156" t="inlineStr">
        <is>
          <t>DT-520</t>
        </is>
      </c>
      <c r="C466" s="156" t="inlineStr">
        <is>
          <t>Hauler</t>
        </is>
      </c>
      <c r="D466" s="156" t="inlineStr">
        <is>
          <t>Mining</t>
        </is>
      </c>
      <c r="E466" s="156" t="inlineStr">
        <is>
          <t>SKT 105S</t>
        </is>
      </c>
      <c r="F466" s="184" t="n">
        <v>109.2</v>
      </c>
    </row>
    <row r="467">
      <c r="A467" s="155" t="n">
        <v>46085</v>
      </c>
      <c r="B467" s="156" t="inlineStr">
        <is>
          <t>DT-515</t>
        </is>
      </c>
      <c r="C467" s="156" t="inlineStr">
        <is>
          <t>Hauler</t>
        </is>
      </c>
      <c r="D467" s="156" t="inlineStr">
        <is>
          <t>Mining</t>
        </is>
      </c>
      <c r="E467" s="156" t="inlineStr">
        <is>
          <t>SKT 105S</t>
        </is>
      </c>
      <c r="F467" s="184" t="n">
        <v>88.7</v>
      </c>
    </row>
    <row r="468">
      <c r="A468" s="155" t="n">
        <v>46085</v>
      </c>
      <c r="B468" s="156" t="inlineStr">
        <is>
          <t>DT-524</t>
        </is>
      </c>
      <c r="C468" s="156" t="inlineStr">
        <is>
          <t>Hauler</t>
        </is>
      </c>
      <c r="D468" s="156" t="inlineStr">
        <is>
          <t>Mining</t>
        </is>
      </c>
      <c r="E468" s="156" t="inlineStr">
        <is>
          <t>SKT 105S</t>
        </is>
      </c>
      <c r="F468" s="184" t="n">
        <v>32.9</v>
      </c>
    </row>
    <row r="469">
      <c r="A469" s="155" t="n">
        <v>46085</v>
      </c>
      <c r="B469" s="156" t="inlineStr">
        <is>
          <t>HD-903</t>
        </is>
      </c>
      <c r="C469" s="156" t="inlineStr">
        <is>
          <t>Hauler</t>
        </is>
      </c>
      <c r="D469" s="156" t="inlineStr">
        <is>
          <t>Mining</t>
        </is>
      </c>
      <c r="E469" s="156" t="inlineStr">
        <is>
          <t>SRT 95C</t>
        </is>
      </c>
      <c r="F469" s="184" t="n">
        <v>127.2</v>
      </c>
    </row>
    <row r="470">
      <c r="A470" s="155" t="n">
        <v>46085</v>
      </c>
      <c r="B470" s="156" t="inlineStr">
        <is>
          <t>DH-102</t>
        </is>
      </c>
      <c r="C470" s="156" t="inlineStr">
        <is>
          <t>DT Hino</t>
        </is>
      </c>
      <c r="D470" s="156" t="inlineStr">
        <is>
          <t>Mining</t>
        </is>
      </c>
      <c r="E470" s="156" t="inlineStr">
        <is>
          <t>HINO FM260</t>
        </is>
      </c>
      <c r="F470" s="184" t="n">
        <v>138.2</v>
      </c>
    </row>
    <row r="471">
      <c r="A471" s="155" t="n">
        <v>46085</v>
      </c>
      <c r="B471" s="156" t="inlineStr">
        <is>
          <t>DZ-033</t>
        </is>
      </c>
      <c r="C471" s="156" t="inlineStr">
        <is>
          <t>Bulldozer</t>
        </is>
      </c>
      <c r="D471" s="156" t="inlineStr">
        <is>
          <t>Mining</t>
        </is>
      </c>
      <c r="E471" s="156" t="inlineStr">
        <is>
          <t>D 375A-6R</t>
        </is>
      </c>
      <c r="F471" s="184" t="n">
        <v>255.1</v>
      </c>
    </row>
    <row r="472">
      <c r="A472" s="155" t="n">
        <v>46085</v>
      </c>
      <c r="B472" s="156" t="inlineStr">
        <is>
          <t>DZ-031</t>
        </is>
      </c>
      <c r="C472" s="156" t="inlineStr">
        <is>
          <t>Bulldozer</t>
        </is>
      </c>
      <c r="D472" s="156" t="inlineStr">
        <is>
          <t>Mining</t>
        </is>
      </c>
      <c r="E472" s="156" t="inlineStr">
        <is>
          <t>CAT</t>
        </is>
      </c>
      <c r="F472" s="184" t="n">
        <v>473.8</v>
      </c>
    </row>
    <row r="473">
      <c r="A473" s="155" t="n">
        <v>46085</v>
      </c>
      <c r="B473" s="156" t="inlineStr">
        <is>
          <t>GD-013</t>
        </is>
      </c>
      <c r="C473" s="156" t="inlineStr">
        <is>
          <t>Grader</t>
        </is>
      </c>
      <c r="D473" s="156" t="inlineStr">
        <is>
          <t>Mining</t>
        </is>
      </c>
      <c r="E473" s="156" t="inlineStr">
        <is>
          <t>STG 265C - 10</t>
        </is>
      </c>
      <c r="F473" s="184" t="n">
        <v>247.5</v>
      </c>
    </row>
    <row r="474">
      <c r="A474" s="155" t="n">
        <v>46085</v>
      </c>
      <c r="B474" s="156" t="inlineStr">
        <is>
          <t>GD-014</t>
        </is>
      </c>
      <c r="C474" s="156" t="inlineStr">
        <is>
          <t>Grader</t>
        </is>
      </c>
      <c r="D474" s="156" t="inlineStr">
        <is>
          <t>Mining</t>
        </is>
      </c>
      <c r="E474" s="156" t="inlineStr">
        <is>
          <t>STG 335C - 10</t>
        </is>
      </c>
      <c r="F474" s="184" t="n">
        <v>295.3</v>
      </c>
    </row>
    <row r="475">
      <c r="A475" s="155" t="n">
        <v>46085</v>
      </c>
      <c r="B475" s="156" t="inlineStr">
        <is>
          <t>LV-03</t>
        </is>
      </c>
      <c r="C475" s="156" t="inlineStr">
        <is>
          <t>LV &amp; sarana</t>
        </is>
      </c>
      <c r="D475" s="156" t="inlineStr">
        <is>
          <t>Aux</t>
        </is>
      </c>
      <c r="E475" s="156" t="inlineStr">
        <is>
          <t>Light vehicle</t>
        </is>
      </c>
      <c r="F475" s="184" t="n">
        <v>38.1</v>
      </c>
    </row>
    <row r="476">
      <c r="A476" s="155" t="n">
        <v>46085</v>
      </c>
      <c r="B476" s="156" t="inlineStr">
        <is>
          <t>LV-04</t>
        </is>
      </c>
      <c r="C476" s="156" t="inlineStr">
        <is>
          <t>LV &amp; sarana</t>
        </is>
      </c>
      <c r="D476" s="156" t="inlineStr">
        <is>
          <t>Aux</t>
        </is>
      </c>
      <c r="E476" s="156" t="inlineStr">
        <is>
          <t>Light vehicle</t>
        </is>
      </c>
      <c r="F476" s="184" t="n">
        <v>52.2</v>
      </c>
    </row>
    <row r="477">
      <c r="A477" s="155" t="n">
        <v>46085</v>
      </c>
      <c r="B477" s="156" t="inlineStr">
        <is>
          <t>LV-06</t>
        </is>
      </c>
      <c r="C477" s="156" t="inlineStr">
        <is>
          <t>LV &amp; sarana</t>
        </is>
      </c>
      <c r="D477" s="156" t="inlineStr">
        <is>
          <t>Aux</t>
        </is>
      </c>
      <c r="E477" s="156" t="inlineStr">
        <is>
          <t>Light vehicle</t>
        </is>
      </c>
      <c r="F477" s="184" t="n">
        <v>23</v>
      </c>
    </row>
    <row r="478">
      <c r="A478" s="155" t="n">
        <v>46085</v>
      </c>
      <c r="B478" s="156" t="inlineStr">
        <is>
          <t>LV-09</t>
        </is>
      </c>
      <c r="C478" s="156" t="inlineStr">
        <is>
          <t>LV &amp; sarana</t>
        </is>
      </c>
      <c r="D478" s="156" t="inlineStr">
        <is>
          <t>Aux</t>
        </is>
      </c>
      <c r="E478" s="156" t="inlineStr">
        <is>
          <t>Light vehicle</t>
        </is>
      </c>
      <c r="F478" s="184" t="n">
        <v>50.8</v>
      </c>
    </row>
    <row r="479">
      <c r="A479" s="155" t="n">
        <v>46085</v>
      </c>
      <c r="B479" s="156" t="inlineStr">
        <is>
          <t>LV-10</t>
        </is>
      </c>
      <c r="C479" s="156" t="inlineStr">
        <is>
          <t>LV &amp; sarana</t>
        </is>
      </c>
      <c r="D479" s="156" t="inlineStr">
        <is>
          <t>Aux</t>
        </is>
      </c>
      <c r="E479" s="156" t="inlineStr">
        <is>
          <t>Light vehicle</t>
        </is>
      </c>
      <c r="F479" s="184" t="n">
        <v>55.1</v>
      </c>
    </row>
    <row r="480">
      <c r="A480" s="155" t="n">
        <v>46085</v>
      </c>
      <c r="B480" s="156" t="inlineStr">
        <is>
          <t>LV-11</t>
        </is>
      </c>
      <c r="C480" s="156" t="inlineStr">
        <is>
          <t>LV &amp; sarana</t>
        </is>
      </c>
      <c r="D480" s="156" t="inlineStr">
        <is>
          <t>Aux</t>
        </is>
      </c>
      <c r="E480" s="156" t="inlineStr">
        <is>
          <t>Light vehicle</t>
        </is>
      </c>
      <c r="F480" s="184" t="n">
        <v>54</v>
      </c>
    </row>
    <row r="481">
      <c r="A481" s="155" t="n">
        <v>46085</v>
      </c>
      <c r="B481" s="156" t="inlineStr">
        <is>
          <t>VD-05</t>
        </is>
      </c>
      <c r="C481" s="156" t="inlineStr">
        <is>
          <t>Vendor</t>
        </is>
      </c>
      <c r="D481" s="156" t="inlineStr">
        <is>
          <t>Vendor</t>
        </is>
      </c>
      <c r="E481" s="156" t="inlineStr">
        <is>
          <t>Alat vendor</t>
        </is>
      </c>
      <c r="F481" s="184" t="n">
        <v>47.9</v>
      </c>
    </row>
    <row r="482">
      <c r="A482" s="155" t="n">
        <v>46085</v>
      </c>
      <c r="B482" s="156" t="inlineStr">
        <is>
          <t>VD-06</t>
        </is>
      </c>
      <c r="C482" s="156" t="inlineStr">
        <is>
          <t>Vendor</t>
        </is>
      </c>
      <c r="D482" s="156" t="inlineStr">
        <is>
          <t>Vendor</t>
        </is>
      </c>
      <c r="E482" s="156" t="inlineStr">
        <is>
          <t>Alat vendor</t>
        </is>
      </c>
      <c r="F482" s="184" t="n">
        <v>30.2</v>
      </c>
    </row>
    <row r="483">
      <c r="A483" s="155" t="n">
        <v>46085</v>
      </c>
      <c r="B483" s="156" t="inlineStr">
        <is>
          <t>AL-04</t>
        </is>
      </c>
      <c r="C483" s="156" t="inlineStr">
        <is>
          <t>Alat lain</t>
        </is>
      </c>
      <c r="D483" s="156" t="inlineStr">
        <is>
          <t>Mining</t>
        </is>
      </c>
      <c r="E483" s="156" t="inlineStr">
        <is>
          <t>Alat lain</t>
        </is>
      </c>
      <c r="F483" s="184" t="n">
        <v>430.9</v>
      </c>
    </row>
    <row r="484">
      <c r="A484" s="155" t="n">
        <v>46085</v>
      </c>
      <c r="B484" s="156" t="inlineStr">
        <is>
          <t>TS-05</t>
        </is>
      </c>
      <c r="C484" s="156" t="inlineStr">
        <is>
          <t>Truk support</t>
        </is>
      </c>
      <c r="D484" s="156" t="inlineStr">
        <is>
          <t>Aux</t>
        </is>
      </c>
      <c r="E484" s="156" t="inlineStr">
        <is>
          <t>Truk support</t>
        </is>
      </c>
      <c r="F484" s="184" t="n">
        <v>66.5</v>
      </c>
    </row>
    <row r="485">
      <c r="A485" s="155" t="n">
        <v>46085</v>
      </c>
      <c r="B485" s="156" t="inlineStr">
        <is>
          <t>TS-06</t>
        </is>
      </c>
      <c r="C485" s="156" t="inlineStr">
        <is>
          <t>Truk support</t>
        </is>
      </c>
      <c r="D485" s="156" t="inlineStr">
        <is>
          <t>Mining</t>
        </is>
      </c>
      <c r="E485" s="156" t="inlineStr">
        <is>
          <t>Truk support</t>
        </is>
      </c>
      <c r="F485" s="184" t="n">
        <v>204</v>
      </c>
    </row>
    <row r="486">
      <c r="A486" s="155" t="n">
        <v>46085</v>
      </c>
      <c r="B486" s="156" t="inlineStr">
        <is>
          <t>TL-01</t>
        </is>
      </c>
      <c r="C486" s="156" t="inlineStr">
        <is>
          <t>Tower lamp</t>
        </is>
      </c>
      <c r="D486" s="156" t="inlineStr">
        <is>
          <t>Mining</t>
        </is>
      </c>
      <c r="E486" s="156" t="inlineStr">
        <is>
          <t>Tower lamp</t>
        </is>
      </c>
      <c r="F486" s="184" t="n">
        <v>37.7</v>
      </c>
    </row>
    <row r="487">
      <c r="A487" s="155" t="n">
        <v>46085</v>
      </c>
      <c r="B487" s="156" t="inlineStr">
        <is>
          <t>TL-03</t>
        </is>
      </c>
      <c r="C487" s="156" t="inlineStr">
        <is>
          <t>Tower lamp</t>
        </is>
      </c>
      <c r="D487" s="156" t="inlineStr">
        <is>
          <t>Mining</t>
        </is>
      </c>
      <c r="E487" s="156" t="inlineStr">
        <is>
          <t>Tower lamp</t>
        </is>
      </c>
      <c r="F487" s="184" t="n">
        <v>14.8</v>
      </c>
    </row>
    <row r="488">
      <c r="A488" s="155" t="n">
        <v>46085</v>
      </c>
      <c r="B488" s="156" t="inlineStr">
        <is>
          <t>TL-04</t>
        </is>
      </c>
      <c r="C488" s="156" t="inlineStr">
        <is>
          <t>Tower lamp</t>
        </is>
      </c>
      <c r="D488" s="156" t="inlineStr">
        <is>
          <t>Mining</t>
        </is>
      </c>
      <c r="E488" s="156" t="inlineStr">
        <is>
          <t>Tower lamp</t>
        </is>
      </c>
      <c r="F488" s="184" t="n">
        <v>22.7</v>
      </c>
    </row>
    <row r="489">
      <c r="A489" s="155" t="n">
        <v>46085</v>
      </c>
      <c r="B489" s="156" t="inlineStr">
        <is>
          <t>TL-05</t>
        </is>
      </c>
      <c r="C489" s="156" t="inlineStr">
        <is>
          <t>Tower lamp</t>
        </is>
      </c>
      <c r="D489" s="156" t="inlineStr">
        <is>
          <t>Mining</t>
        </is>
      </c>
      <c r="E489" s="156" t="inlineStr">
        <is>
          <t>Tower lamp</t>
        </is>
      </c>
      <c r="F489" s="184" t="n">
        <v>8.199999999999999</v>
      </c>
    </row>
    <row r="490">
      <c r="A490" s="155" t="n">
        <v>46085</v>
      </c>
      <c r="B490" s="156" t="inlineStr">
        <is>
          <t>AL-09</t>
        </is>
      </c>
      <c r="C490" s="156" t="inlineStr">
        <is>
          <t>Alat lain</t>
        </is>
      </c>
      <c r="D490" s="156" t="inlineStr">
        <is>
          <t>Mining</t>
        </is>
      </c>
      <c r="E490" s="156" t="inlineStr">
        <is>
          <t>Alat lain</t>
        </is>
      </c>
      <c r="F490" s="184" t="n">
        <v>24.9</v>
      </c>
    </row>
    <row r="491">
      <c r="A491" s="155" t="n">
        <v>46085</v>
      </c>
      <c r="B491" s="156" t="inlineStr">
        <is>
          <t>AL-10</t>
        </is>
      </c>
      <c r="C491" s="156" t="inlineStr">
        <is>
          <t>Alat lain</t>
        </is>
      </c>
      <c r="D491" s="156" t="inlineStr">
        <is>
          <t>Mining</t>
        </is>
      </c>
      <c r="E491" s="156" t="inlineStr">
        <is>
          <t>Alat lain</t>
        </is>
      </c>
      <c r="F491" s="184" t="n">
        <v>33.8</v>
      </c>
    </row>
    <row r="492">
      <c r="A492" s="155" t="n">
        <v>46085</v>
      </c>
      <c r="B492" s="156" t="inlineStr">
        <is>
          <t>GS-02</t>
        </is>
      </c>
      <c r="C492" s="156" t="inlineStr">
        <is>
          <t>Genset</t>
        </is>
      </c>
      <c r="D492" s="156" t="inlineStr">
        <is>
          <t>Aux</t>
        </is>
      </c>
      <c r="E492" s="156" t="inlineStr">
        <is>
          <t>Genset</t>
        </is>
      </c>
      <c r="F492" s="184" t="n">
        <v>285.2</v>
      </c>
    </row>
    <row r="493">
      <c r="A493" s="155" t="n">
        <v>46085</v>
      </c>
      <c r="B493" s="156" t="inlineStr">
        <is>
          <t>GS-03</t>
        </is>
      </c>
      <c r="C493" s="156" t="inlineStr">
        <is>
          <t>Genset</t>
        </is>
      </c>
      <c r="D493" s="156" t="inlineStr">
        <is>
          <t>Aux</t>
        </is>
      </c>
      <c r="E493" s="156" t="inlineStr">
        <is>
          <t>Genset</t>
        </is>
      </c>
      <c r="F493" s="184" t="n">
        <v>117.8</v>
      </c>
    </row>
    <row r="494">
      <c r="A494" s="155" t="n">
        <v>46085</v>
      </c>
      <c r="B494" s="156" t="inlineStr">
        <is>
          <t>GS-04</t>
        </is>
      </c>
      <c r="C494" s="156" t="inlineStr">
        <is>
          <t>Genset</t>
        </is>
      </c>
      <c r="D494" s="156" t="inlineStr">
        <is>
          <t>Aux</t>
        </is>
      </c>
      <c r="E494" s="156" t="inlineStr">
        <is>
          <t>Genset</t>
        </is>
      </c>
      <c r="F494" s="184" t="n">
        <v>672.6</v>
      </c>
    </row>
    <row r="495">
      <c r="A495" s="155" t="n">
        <v>46085</v>
      </c>
      <c r="B495" s="156" t="inlineStr">
        <is>
          <t>GS-09</t>
        </is>
      </c>
      <c r="C495" s="156" t="inlineStr">
        <is>
          <t>Genset</t>
        </is>
      </c>
      <c r="D495" s="156" t="inlineStr">
        <is>
          <t>Aux</t>
        </is>
      </c>
      <c r="E495" s="156" t="inlineStr">
        <is>
          <t>Genset</t>
        </is>
      </c>
      <c r="F495" s="184" t="n">
        <v>2235.5</v>
      </c>
    </row>
    <row r="496">
      <c r="A496" s="155" t="n">
        <v>46085</v>
      </c>
      <c r="B496" s="156" t="inlineStr">
        <is>
          <t>GS-10</t>
        </is>
      </c>
      <c r="C496" s="156" t="inlineStr">
        <is>
          <t>Genset</t>
        </is>
      </c>
      <c r="D496" s="156" t="inlineStr">
        <is>
          <t>Aux</t>
        </is>
      </c>
      <c r="E496" s="156" t="inlineStr">
        <is>
          <t>Genset</t>
        </is>
      </c>
      <c r="F496" s="184" t="n">
        <v>2473.8</v>
      </c>
    </row>
    <row r="497">
      <c r="A497" s="155" t="n">
        <v>46085</v>
      </c>
      <c r="B497" s="156" t="inlineStr">
        <is>
          <t>GS-11</t>
        </is>
      </c>
      <c r="C497" s="156" t="inlineStr">
        <is>
          <t>Genset</t>
        </is>
      </c>
      <c r="D497" s="156" t="inlineStr">
        <is>
          <t>Aux</t>
        </is>
      </c>
      <c r="E497" s="156" t="inlineStr">
        <is>
          <t>Genset</t>
        </is>
      </c>
      <c r="F497" s="184" t="n">
        <v>2187.7</v>
      </c>
    </row>
    <row r="498">
      <c r="A498" s="155" t="n">
        <v>46085</v>
      </c>
      <c r="B498" s="156" t="inlineStr">
        <is>
          <t>WL-022</t>
        </is>
      </c>
      <c r="C498" s="156" t="inlineStr">
        <is>
          <t>Loader</t>
        </is>
      </c>
      <c r="D498" s="156" t="inlineStr">
        <is>
          <t>Aux</t>
        </is>
      </c>
      <c r="E498" s="156" t="inlineStr">
        <is>
          <t>SANY - Loader</t>
        </is>
      </c>
      <c r="F498" s="184" t="n">
        <v>202.6</v>
      </c>
    </row>
    <row r="499">
      <c r="A499" s="155" t="n">
        <v>46085</v>
      </c>
      <c r="B499" s="156" t="inlineStr">
        <is>
          <t>WL-024</t>
        </is>
      </c>
      <c r="C499" s="156" t="inlineStr">
        <is>
          <t>Loader</t>
        </is>
      </c>
      <c r="D499" s="156" t="inlineStr">
        <is>
          <t>Aux</t>
        </is>
      </c>
      <c r="E499" s="156" t="inlineStr">
        <is>
          <t>SANY - Loader</t>
        </is>
      </c>
      <c r="F499" s="184" t="n">
        <v>235.7</v>
      </c>
    </row>
    <row r="500">
      <c r="A500" s="155" t="n">
        <v>46085</v>
      </c>
      <c r="B500" s="156" t="inlineStr">
        <is>
          <t>LV-13</t>
        </is>
      </c>
      <c r="C500" s="156" t="inlineStr">
        <is>
          <t>LV &amp; sarana</t>
        </is>
      </c>
      <c r="D500" s="156" t="inlineStr">
        <is>
          <t>Mining</t>
        </is>
      </c>
      <c r="E500" s="156" t="inlineStr">
        <is>
          <t>Light vehicle</t>
        </is>
      </c>
      <c r="F500" s="184" t="n">
        <v>52.1</v>
      </c>
    </row>
    <row r="501">
      <c r="A501" s="155" t="n">
        <v>46082</v>
      </c>
      <c r="B501" s="156" t="inlineStr">
        <is>
          <t>EX-754</t>
        </is>
      </c>
      <c r="C501" s="156" t="inlineStr">
        <is>
          <t>Excavator</t>
        </is>
      </c>
      <c r="D501" s="156" t="inlineStr">
        <is>
          <t>Mining</t>
        </is>
      </c>
      <c r="E501" s="156" t="inlineStr">
        <is>
          <t>SY750H-PRO</t>
        </is>
      </c>
      <c r="F501" s="184" t="n">
        <v>1148.1</v>
      </c>
    </row>
    <row r="502">
      <c r="A502" s="155" t="n">
        <v>46082</v>
      </c>
      <c r="B502" s="156" t="inlineStr">
        <is>
          <t>EX-755</t>
        </is>
      </c>
      <c r="C502" s="156" t="inlineStr">
        <is>
          <t>Excavator</t>
        </is>
      </c>
      <c r="D502" s="156" t="inlineStr">
        <is>
          <t>Mining</t>
        </is>
      </c>
      <c r="E502" s="156" t="inlineStr">
        <is>
          <t>SY750H-PRO</t>
        </is>
      </c>
      <c r="F502" s="184" t="n">
        <v>782.8</v>
      </c>
    </row>
    <row r="503">
      <c r="A503" s="155" t="n">
        <v>46082</v>
      </c>
      <c r="B503" s="156" t="inlineStr">
        <is>
          <t>EX-753</t>
        </is>
      </c>
      <c r="C503" s="156" t="inlineStr">
        <is>
          <t>Excavator</t>
        </is>
      </c>
      <c r="D503" s="156" t="inlineStr">
        <is>
          <t>Mining</t>
        </is>
      </c>
      <c r="E503" s="156" t="inlineStr">
        <is>
          <t>SY750H-PRO</t>
        </is>
      </c>
      <c r="F503" s="184" t="n">
        <v>875.8</v>
      </c>
    </row>
    <row r="504">
      <c r="A504" s="155" t="n">
        <v>46082</v>
      </c>
      <c r="B504" s="156" t="inlineStr">
        <is>
          <t>EX-334</t>
        </is>
      </c>
      <c r="C504" s="156" t="inlineStr">
        <is>
          <t>Excavator</t>
        </is>
      </c>
      <c r="D504" s="156" t="inlineStr">
        <is>
          <t>Mining</t>
        </is>
      </c>
      <c r="E504" s="156" t="inlineStr">
        <is>
          <t>PC 300-8MO</t>
        </is>
      </c>
      <c r="F504" s="184" t="n">
        <v>431.2</v>
      </c>
    </row>
    <row r="505">
      <c r="A505" s="155" t="n">
        <v>46082</v>
      </c>
      <c r="B505" s="156" t="inlineStr">
        <is>
          <t>EX-222</t>
        </is>
      </c>
      <c r="C505" s="156" t="inlineStr">
        <is>
          <t>Excavator</t>
        </is>
      </c>
      <c r="D505" s="156" t="inlineStr">
        <is>
          <t>Mining</t>
        </is>
      </c>
      <c r="E505" s="156" t="inlineStr">
        <is>
          <t>PC 200-8MI</t>
        </is>
      </c>
      <c r="F505" s="184" t="n">
        <v>198</v>
      </c>
    </row>
    <row r="506">
      <c r="A506" s="155" t="n">
        <v>46082</v>
      </c>
      <c r="B506" s="156" t="inlineStr">
        <is>
          <t>EX-223</t>
        </is>
      </c>
      <c r="C506" s="156" t="inlineStr">
        <is>
          <t>Excavator</t>
        </is>
      </c>
      <c r="D506" s="156" t="inlineStr">
        <is>
          <t>Aux</t>
        </is>
      </c>
      <c r="E506" s="156" t="inlineStr">
        <is>
          <t>PC 200-8MI</t>
        </is>
      </c>
      <c r="F506" s="184" t="n">
        <v>170.9</v>
      </c>
    </row>
    <row r="507">
      <c r="A507" s="155" t="n">
        <v>46082</v>
      </c>
      <c r="B507" s="156" t="inlineStr">
        <is>
          <t>EX-221</t>
        </is>
      </c>
      <c r="C507" s="156" t="inlineStr">
        <is>
          <t>Excavator</t>
        </is>
      </c>
      <c r="D507" s="156" t="inlineStr">
        <is>
          <t>Aux</t>
        </is>
      </c>
      <c r="E507" s="156" t="inlineStr">
        <is>
          <t>PC 200-8MI</t>
        </is>
      </c>
      <c r="F507" s="184" t="n">
        <v>158.8</v>
      </c>
    </row>
    <row r="508">
      <c r="A508" s="155" t="n">
        <v>46082</v>
      </c>
      <c r="B508" s="156" t="inlineStr">
        <is>
          <t>EX-335</t>
        </is>
      </c>
      <c r="C508" s="156" t="inlineStr">
        <is>
          <t>Excavator</t>
        </is>
      </c>
      <c r="D508" s="156" t="inlineStr">
        <is>
          <t>Mining</t>
        </is>
      </c>
      <c r="E508" s="156" t="inlineStr">
        <is>
          <t>PC 300-8MO</t>
        </is>
      </c>
      <c r="F508" s="184" t="n">
        <v>546.7</v>
      </c>
    </row>
    <row r="509">
      <c r="A509" s="155" t="n">
        <v>46082</v>
      </c>
      <c r="B509" s="156" t="inlineStr">
        <is>
          <t>EX-1251</t>
        </is>
      </c>
      <c r="C509" s="156" t="inlineStr">
        <is>
          <t>Excavator</t>
        </is>
      </c>
      <c r="D509" s="156" t="inlineStr">
        <is>
          <t>Mining</t>
        </is>
      </c>
      <c r="E509" s="156" t="inlineStr">
        <is>
          <t>SY1250</t>
        </is>
      </c>
      <c r="F509" s="184" t="n">
        <v>685</v>
      </c>
    </row>
    <row r="510">
      <c r="A510" s="155" t="n">
        <v>46082</v>
      </c>
      <c r="B510" s="156" t="inlineStr">
        <is>
          <t>EX-333</t>
        </is>
      </c>
      <c r="C510" s="156" t="inlineStr">
        <is>
          <t>Excavator</t>
        </is>
      </c>
      <c r="D510" s="156" t="inlineStr">
        <is>
          <t>Mining</t>
        </is>
      </c>
      <c r="E510" s="156" t="inlineStr">
        <is>
          <t>PC 300-8MO</t>
        </is>
      </c>
      <c r="F510" s="184" t="n">
        <v>520</v>
      </c>
    </row>
    <row r="511">
      <c r="A511" s="155" t="n">
        <v>46082</v>
      </c>
      <c r="B511" s="156" t="inlineStr">
        <is>
          <t>EX-336</t>
        </is>
      </c>
      <c r="C511" s="156" t="inlineStr">
        <is>
          <t>Excavator</t>
        </is>
      </c>
      <c r="D511" s="156" t="inlineStr">
        <is>
          <t>Mining</t>
        </is>
      </c>
      <c r="E511" s="156" t="inlineStr">
        <is>
          <t>PC 300-8MO</t>
        </is>
      </c>
      <c r="F511" s="184" t="n">
        <v>214.4</v>
      </c>
    </row>
    <row r="512">
      <c r="A512" s="155" t="n">
        <v>46082</v>
      </c>
      <c r="B512" s="156" t="inlineStr">
        <is>
          <t>DT-808</t>
        </is>
      </c>
      <c r="C512" s="156" t="inlineStr">
        <is>
          <t>Hauler</t>
        </is>
      </c>
      <c r="D512" s="156" t="inlineStr">
        <is>
          <t>Mining</t>
        </is>
      </c>
      <c r="E512" s="156" t="inlineStr">
        <is>
          <t>SKT 80S</t>
        </is>
      </c>
      <c r="F512" s="184" t="n">
        <v>300.9</v>
      </c>
    </row>
    <row r="513">
      <c r="A513" s="155" t="n">
        <v>46082</v>
      </c>
      <c r="B513" s="156" t="inlineStr">
        <is>
          <t>DT-503</t>
        </is>
      </c>
      <c r="C513" s="156" t="inlineStr">
        <is>
          <t>Hauler</t>
        </is>
      </c>
      <c r="D513" s="156" t="inlineStr">
        <is>
          <t>Mining</t>
        </is>
      </c>
      <c r="E513" s="156" t="inlineStr">
        <is>
          <t>SKT 105S</t>
        </is>
      </c>
      <c r="F513" s="184" t="n">
        <v>468.2</v>
      </c>
    </row>
    <row r="514">
      <c r="A514" s="155" t="n">
        <v>46082</v>
      </c>
      <c r="B514" s="156" t="inlineStr">
        <is>
          <t>DT-504</t>
        </is>
      </c>
      <c r="C514" s="156" t="inlineStr">
        <is>
          <t>Hauler</t>
        </is>
      </c>
      <c r="D514" s="156" t="inlineStr">
        <is>
          <t>Mining</t>
        </is>
      </c>
      <c r="E514" s="156" t="inlineStr">
        <is>
          <t>SKT 105S</t>
        </is>
      </c>
      <c r="F514" s="184" t="n">
        <v>313</v>
      </c>
    </row>
    <row r="515">
      <c r="A515" s="155" t="n">
        <v>46082</v>
      </c>
      <c r="B515" s="156" t="inlineStr">
        <is>
          <t>DT-507</t>
        </is>
      </c>
      <c r="C515" s="156" t="inlineStr">
        <is>
          <t>Hauler</t>
        </is>
      </c>
      <c r="D515" s="156" t="inlineStr">
        <is>
          <t>Mining</t>
        </is>
      </c>
      <c r="E515" s="156" t="inlineStr">
        <is>
          <t>SKT 105S</t>
        </is>
      </c>
      <c r="F515" s="184" t="n">
        <v>336.1</v>
      </c>
    </row>
    <row r="516">
      <c r="A516" s="155" t="n">
        <v>46082</v>
      </c>
      <c r="B516" s="156" t="inlineStr">
        <is>
          <t>DT-501</t>
        </is>
      </c>
      <c r="C516" s="156" t="inlineStr">
        <is>
          <t>Hauler</t>
        </is>
      </c>
      <c r="D516" s="156" t="inlineStr">
        <is>
          <t>Mining</t>
        </is>
      </c>
      <c r="E516" s="156" t="inlineStr">
        <is>
          <t>SKT 105S</t>
        </is>
      </c>
      <c r="F516" s="184" t="n">
        <v>122.1</v>
      </c>
    </row>
    <row r="517">
      <c r="A517" s="155" t="n">
        <v>46082</v>
      </c>
      <c r="B517" s="156" t="inlineStr">
        <is>
          <t>DT-518</t>
        </is>
      </c>
      <c r="C517" s="156" t="inlineStr">
        <is>
          <t>Hauler</t>
        </is>
      </c>
      <c r="D517" s="156" t="inlineStr">
        <is>
          <t>Mining</t>
        </is>
      </c>
      <c r="E517" s="156" t="inlineStr">
        <is>
          <t>SKT 105S</t>
        </is>
      </c>
      <c r="F517" s="184" t="n">
        <v>170.4</v>
      </c>
    </row>
    <row r="518">
      <c r="A518" s="155" t="n">
        <v>46082</v>
      </c>
      <c r="B518" s="156" t="inlineStr">
        <is>
          <t>DT-527</t>
        </is>
      </c>
      <c r="C518" s="156" t="inlineStr">
        <is>
          <t>Hauler</t>
        </is>
      </c>
      <c r="D518" s="156" t="inlineStr">
        <is>
          <t>Mining</t>
        </is>
      </c>
      <c r="E518" s="156" t="inlineStr">
        <is>
          <t>SKT 105S</t>
        </is>
      </c>
      <c r="F518" s="184" t="n">
        <v>207.5</v>
      </c>
    </row>
    <row r="519">
      <c r="A519" s="155" t="n">
        <v>46082</v>
      </c>
      <c r="B519" s="156" t="inlineStr">
        <is>
          <t>DT-513</t>
        </is>
      </c>
      <c r="C519" s="156" t="inlineStr">
        <is>
          <t>Hauler</t>
        </is>
      </c>
      <c r="D519" s="156" t="inlineStr">
        <is>
          <t>Mining</t>
        </is>
      </c>
      <c r="E519" s="156" t="inlineStr">
        <is>
          <t>SKT 105S</t>
        </is>
      </c>
      <c r="F519" s="184" t="n">
        <v>313.7</v>
      </c>
    </row>
    <row r="520">
      <c r="A520" s="155" t="n">
        <v>46082</v>
      </c>
      <c r="B520" s="156" t="inlineStr">
        <is>
          <t>DT-512</t>
        </is>
      </c>
      <c r="C520" s="156" t="inlineStr">
        <is>
          <t>Hauler</t>
        </is>
      </c>
      <c r="D520" s="156" t="inlineStr">
        <is>
          <t>Mining</t>
        </is>
      </c>
      <c r="E520" s="156" t="inlineStr">
        <is>
          <t>SKT 105S</t>
        </is>
      </c>
      <c r="F520" s="184" t="n">
        <v>475.8</v>
      </c>
    </row>
    <row r="521">
      <c r="A521" s="155" t="n">
        <v>46082</v>
      </c>
      <c r="B521" s="156" t="inlineStr">
        <is>
          <t>DT-522</t>
        </is>
      </c>
      <c r="C521" s="156" t="inlineStr">
        <is>
          <t>Hauler</t>
        </is>
      </c>
      <c r="D521" s="156" t="inlineStr">
        <is>
          <t>Mining</t>
        </is>
      </c>
      <c r="E521" s="156" t="inlineStr">
        <is>
          <t>SKT 105S</t>
        </is>
      </c>
      <c r="F521" s="184" t="n">
        <v>348.1</v>
      </c>
    </row>
    <row r="522">
      <c r="A522" s="155" t="n">
        <v>46082</v>
      </c>
      <c r="B522" s="156" t="inlineStr">
        <is>
          <t>DT-517</t>
        </is>
      </c>
      <c r="C522" s="156" t="inlineStr">
        <is>
          <t>Hauler</t>
        </is>
      </c>
      <c r="D522" s="156" t="inlineStr">
        <is>
          <t>Mining</t>
        </is>
      </c>
      <c r="E522" s="156" t="inlineStr">
        <is>
          <t>SKT 105S</t>
        </is>
      </c>
      <c r="F522" s="184" t="n">
        <v>272</v>
      </c>
    </row>
    <row r="523">
      <c r="A523" s="155" t="n">
        <v>46082</v>
      </c>
      <c r="B523" s="156" t="inlineStr">
        <is>
          <t>DT-510</t>
        </is>
      </c>
      <c r="C523" s="156" t="inlineStr">
        <is>
          <t>Hauler</t>
        </is>
      </c>
      <c r="D523" s="156" t="inlineStr">
        <is>
          <t>Mining</t>
        </is>
      </c>
      <c r="E523" s="156" t="inlineStr">
        <is>
          <t>SKT 105S</t>
        </is>
      </c>
      <c r="F523" s="184" t="n">
        <v>412.4</v>
      </c>
    </row>
    <row r="524">
      <c r="A524" s="155" t="n">
        <v>46082</v>
      </c>
      <c r="B524" s="156" t="inlineStr">
        <is>
          <t>DT-521</t>
        </is>
      </c>
      <c r="C524" s="156" t="inlineStr">
        <is>
          <t>Hauler</t>
        </is>
      </c>
      <c r="D524" s="156" t="inlineStr">
        <is>
          <t>Mining</t>
        </is>
      </c>
      <c r="E524" s="156" t="inlineStr">
        <is>
          <t>SKT 105S</t>
        </is>
      </c>
      <c r="F524" s="184" t="n">
        <v>161.2</v>
      </c>
    </row>
    <row r="525">
      <c r="A525" s="155" t="n">
        <v>46082</v>
      </c>
      <c r="B525" s="156" t="inlineStr">
        <is>
          <t>DT-516</t>
        </is>
      </c>
      <c r="C525" s="156" t="inlineStr">
        <is>
          <t>Hauler</t>
        </is>
      </c>
      <c r="D525" s="156" t="inlineStr">
        <is>
          <t>Mining</t>
        </is>
      </c>
      <c r="E525" s="156" t="inlineStr">
        <is>
          <t>SKT 105S</t>
        </is>
      </c>
      <c r="F525" s="184" t="n">
        <v>491.7</v>
      </c>
    </row>
    <row r="526">
      <c r="A526" s="155" t="n">
        <v>46082</v>
      </c>
      <c r="B526" s="156" t="inlineStr">
        <is>
          <t>DT-502</t>
        </is>
      </c>
      <c r="C526" s="156" t="inlineStr">
        <is>
          <t>Hauler</t>
        </is>
      </c>
      <c r="D526" s="156" t="inlineStr">
        <is>
          <t>Mining</t>
        </is>
      </c>
      <c r="E526" s="156" t="inlineStr">
        <is>
          <t>SKT 105S</t>
        </is>
      </c>
      <c r="F526" s="184" t="n">
        <v>354.2</v>
      </c>
    </row>
    <row r="527">
      <c r="A527" s="155" t="n">
        <v>46082</v>
      </c>
      <c r="B527" s="156" t="inlineStr">
        <is>
          <t>DT-528</t>
        </is>
      </c>
      <c r="C527" s="156" t="inlineStr">
        <is>
          <t>Hauler</t>
        </is>
      </c>
      <c r="D527" s="156" t="inlineStr">
        <is>
          <t>Mining</t>
        </is>
      </c>
      <c r="E527" s="156" t="inlineStr">
        <is>
          <t>SKT 105S</t>
        </is>
      </c>
      <c r="F527" s="184" t="n">
        <v>353.6</v>
      </c>
    </row>
    <row r="528">
      <c r="A528" s="155" t="n">
        <v>46082</v>
      </c>
      <c r="B528" s="156" t="inlineStr">
        <is>
          <t>DT-529</t>
        </is>
      </c>
      <c r="C528" s="156" t="inlineStr">
        <is>
          <t>Hauler</t>
        </is>
      </c>
      <c r="D528" s="156" t="inlineStr">
        <is>
          <t>Mining</t>
        </is>
      </c>
      <c r="E528" s="156" t="inlineStr">
        <is>
          <t>SKT 105S</t>
        </is>
      </c>
      <c r="F528" s="184" t="n">
        <v>329.4</v>
      </c>
    </row>
    <row r="529">
      <c r="A529" s="155" t="n">
        <v>46082</v>
      </c>
      <c r="B529" s="156" t="inlineStr">
        <is>
          <t>DT-520</t>
        </is>
      </c>
      <c r="C529" s="156" t="inlineStr">
        <is>
          <t>Hauler</t>
        </is>
      </c>
      <c r="D529" s="156" t="inlineStr">
        <is>
          <t>Mining</t>
        </is>
      </c>
      <c r="E529" s="156" t="inlineStr">
        <is>
          <t>SKT 105S</t>
        </is>
      </c>
      <c r="F529" s="184" t="n">
        <v>330.8</v>
      </c>
    </row>
    <row r="530">
      <c r="A530" s="155" t="n">
        <v>46082</v>
      </c>
      <c r="B530" s="156" t="inlineStr">
        <is>
          <t>DT-526</t>
        </is>
      </c>
      <c r="C530" s="156" t="inlineStr">
        <is>
          <t>Hauler</t>
        </is>
      </c>
      <c r="D530" s="156" t="inlineStr">
        <is>
          <t>Mining</t>
        </is>
      </c>
      <c r="E530" s="156" t="inlineStr">
        <is>
          <t>SKT 105S</t>
        </is>
      </c>
      <c r="F530" s="184" t="n">
        <v>369.7</v>
      </c>
    </row>
    <row r="531">
      <c r="A531" s="155" t="n">
        <v>46082</v>
      </c>
      <c r="B531" s="156" t="inlineStr">
        <is>
          <t>DT-508</t>
        </is>
      </c>
      <c r="C531" s="156" t="inlineStr">
        <is>
          <t>Hauler</t>
        </is>
      </c>
      <c r="D531" s="156" t="inlineStr">
        <is>
          <t>Mining</t>
        </is>
      </c>
      <c r="E531" s="156" t="inlineStr">
        <is>
          <t>SKT 105S</t>
        </is>
      </c>
      <c r="F531" s="184" t="n">
        <v>392</v>
      </c>
    </row>
    <row r="532">
      <c r="A532" s="155" t="n">
        <v>46082</v>
      </c>
      <c r="B532" s="156" t="inlineStr">
        <is>
          <t>DT-515</t>
        </is>
      </c>
      <c r="C532" s="156" t="inlineStr">
        <is>
          <t>Hauler</t>
        </is>
      </c>
      <c r="D532" s="156" t="inlineStr">
        <is>
          <t>Mining</t>
        </is>
      </c>
      <c r="E532" s="156" t="inlineStr">
        <is>
          <t>SKT 105S</t>
        </is>
      </c>
      <c r="F532" s="184" t="n">
        <v>425.3</v>
      </c>
    </row>
    <row r="533">
      <c r="A533" s="155" t="n">
        <v>46082</v>
      </c>
      <c r="B533" s="156" t="inlineStr">
        <is>
          <t>DZ-033</t>
        </is>
      </c>
      <c r="C533" s="156" t="inlineStr">
        <is>
          <t>Bulldozer</t>
        </is>
      </c>
      <c r="D533" s="156" t="inlineStr">
        <is>
          <t>Mining</t>
        </is>
      </c>
      <c r="E533" s="156" t="inlineStr">
        <is>
          <t>D 375A-6R</t>
        </is>
      </c>
      <c r="F533" s="184" t="n">
        <v>742.7</v>
      </c>
    </row>
    <row r="534">
      <c r="A534" s="155" t="n">
        <v>46082</v>
      </c>
      <c r="B534" s="156" t="inlineStr">
        <is>
          <t>DZ-039</t>
        </is>
      </c>
      <c r="C534" s="156" t="inlineStr">
        <is>
          <t>Bulldozer</t>
        </is>
      </c>
      <c r="D534" s="156" t="inlineStr">
        <is>
          <t>Mining</t>
        </is>
      </c>
      <c r="E534" s="156" t="inlineStr">
        <is>
          <t>D 85 ESS-2</t>
        </is>
      </c>
      <c r="F534" s="184" t="n">
        <v>608.3</v>
      </c>
    </row>
    <row r="535">
      <c r="A535" s="155" t="n">
        <v>46082</v>
      </c>
      <c r="B535" s="156" t="inlineStr">
        <is>
          <t>DZ-035</t>
        </is>
      </c>
      <c r="C535" s="156" t="inlineStr">
        <is>
          <t>Bulldozer</t>
        </is>
      </c>
      <c r="D535" s="156" t="inlineStr">
        <is>
          <t>Mining</t>
        </is>
      </c>
      <c r="E535" s="156" t="inlineStr">
        <is>
          <t>D 85 ESS-2</t>
        </is>
      </c>
      <c r="F535" s="184" t="n">
        <v>260.3</v>
      </c>
    </row>
    <row r="536">
      <c r="A536" s="155" t="n">
        <v>46082</v>
      </c>
      <c r="B536" s="156" t="inlineStr">
        <is>
          <t>DZ-031</t>
        </is>
      </c>
      <c r="C536" s="156" t="inlineStr">
        <is>
          <t>Bulldozer</t>
        </is>
      </c>
      <c r="D536" s="156" t="inlineStr">
        <is>
          <t>Mining</t>
        </is>
      </c>
      <c r="E536" s="156" t="inlineStr">
        <is>
          <t>CAT</t>
        </is>
      </c>
      <c r="F536" s="184" t="n">
        <v>498.6</v>
      </c>
    </row>
    <row r="537">
      <c r="A537" s="155" t="n">
        <v>46082</v>
      </c>
      <c r="B537" s="156" t="inlineStr">
        <is>
          <t>GD-013</t>
        </is>
      </c>
      <c r="C537" s="156" t="inlineStr">
        <is>
          <t>Grader</t>
        </is>
      </c>
      <c r="D537" s="156" t="inlineStr">
        <is>
          <t>Mining</t>
        </is>
      </c>
      <c r="E537" s="156" t="inlineStr">
        <is>
          <t>STG 265C - 10</t>
        </is>
      </c>
      <c r="F537" s="184" t="n">
        <v>285.7</v>
      </c>
    </row>
    <row r="538">
      <c r="A538" s="155" t="n">
        <v>46082</v>
      </c>
      <c r="B538" s="156" t="inlineStr">
        <is>
          <t>GD-014</t>
        </is>
      </c>
      <c r="C538" s="156" t="inlineStr">
        <is>
          <t>Grader</t>
        </is>
      </c>
      <c r="D538" s="156" t="inlineStr">
        <is>
          <t>Mining</t>
        </is>
      </c>
      <c r="E538" s="156" t="inlineStr">
        <is>
          <t>STG 335C - 10</t>
        </is>
      </c>
      <c r="F538" s="184" t="n">
        <v>305.8</v>
      </c>
    </row>
    <row r="539">
      <c r="A539" s="155" t="n">
        <v>46082</v>
      </c>
      <c r="B539" s="156" t="inlineStr">
        <is>
          <t>WL-023</t>
        </is>
      </c>
      <c r="C539" s="156" t="inlineStr">
        <is>
          <t>Loader</t>
        </is>
      </c>
      <c r="D539" s="156" t="inlineStr">
        <is>
          <t>Aux</t>
        </is>
      </c>
      <c r="E539" s="156" t="inlineStr">
        <is>
          <t>SANY - Loader</t>
        </is>
      </c>
      <c r="F539" s="184" t="n">
        <v>98.09999999999999</v>
      </c>
    </row>
    <row r="540">
      <c r="A540" s="155" t="n">
        <v>46082</v>
      </c>
      <c r="B540" s="156" t="inlineStr">
        <is>
          <t>LV-06</t>
        </is>
      </c>
      <c r="C540" s="156" t="inlineStr">
        <is>
          <t>LV &amp; sarana</t>
        </is>
      </c>
      <c r="D540" s="156" t="inlineStr">
        <is>
          <t>Aux</t>
        </is>
      </c>
      <c r="E540" s="156" t="inlineStr">
        <is>
          <t>Light vehicle</t>
        </is>
      </c>
      <c r="F540" s="184" t="n">
        <v>28.9</v>
      </c>
    </row>
    <row r="541">
      <c r="A541" s="155" t="n">
        <v>46082</v>
      </c>
      <c r="B541" s="156" t="inlineStr">
        <is>
          <t>TS-01</t>
        </is>
      </c>
      <c r="C541" s="156" t="inlineStr">
        <is>
          <t>Truk support</t>
        </is>
      </c>
      <c r="D541" s="156" t="inlineStr">
        <is>
          <t>Mining</t>
        </is>
      </c>
      <c r="E541" s="156" t="inlineStr">
        <is>
          <t>Truk support</t>
        </is>
      </c>
      <c r="F541" s="184" t="n">
        <v>141.3</v>
      </c>
    </row>
    <row r="542">
      <c r="A542" s="155" t="n">
        <v>46082</v>
      </c>
      <c r="B542" s="156" t="inlineStr">
        <is>
          <t>TS-03</t>
        </is>
      </c>
      <c r="C542" s="156" t="inlineStr">
        <is>
          <t>Truk support</t>
        </is>
      </c>
      <c r="D542" s="156" t="inlineStr">
        <is>
          <t>Mining</t>
        </is>
      </c>
      <c r="E542" s="156" t="inlineStr">
        <is>
          <t>Truk support</t>
        </is>
      </c>
      <c r="F542" s="184" t="n">
        <v>117.3</v>
      </c>
    </row>
    <row r="543">
      <c r="A543" s="155" t="n">
        <v>46082</v>
      </c>
      <c r="B543" s="156" t="inlineStr">
        <is>
          <t>AL-05</t>
        </is>
      </c>
      <c r="C543" s="156" t="inlineStr">
        <is>
          <t>Alat lain</t>
        </is>
      </c>
      <c r="D543" s="156" t="inlineStr">
        <is>
          <t>Mining</t>
        </is>
      </c>
      <c r="E543" s="156" t="inlineStr">
        <is>
          <t>Alat lain</t>
        </is>
      </c>
      <c r="F543" s="184" t="n">
        <v>1248.5</v>
      </c>
    </row>
    <row r="544">
      <c r="A544" s="155" t="n">
        <v>46082</v>
      </c>
      <c r="B544" s="156" t="inlineStr">
        <is>
          <t>AL-09</t>
        </is>
      </c>
      <c r="C544" s="156" t="inlineStr">
        <is>
          <t>Alat lain</t>
        </is>
      </c>
      <c r="D544" s="156" t="inlineStr">
        <is>
          <t>Mining</t>
        </is>
      </c>
      <c r="E544" s="156" t="inlineStr">
        <is>
          <t>Alat lain</t>
        </is>
      </c>
      <c r="F544" s="184" t="n">
        <v>19.2</v>
      </c>
    </row>
    <row r="545">
      <c r="A545" s="155" t="n">
        <v>46082</v>
      </c>
      <c r="B545" s="156" t="inlineStr">
        <is>
          <t>AL-10</t>
        </is>
      </c>
      <c r="C545" s="156" t="inlineStr">
        <is>
          <t>Alat lain</t>
        </is>
      </c>
      <c r="D545" s="156" t="inlineStr">
        <is>
          <t>Mining</t>
        </is>
      </c>
      <c r="E545" s="156" t="inlineStr">
        <is>
          <t>Alat lain</t>
        </is>
      </c>
      <c r="F545" s="184" t="n">
        <v>22.2</v>
      </c>
    </row>
    <row r="546">
      <c r="A546" s="155" t="n">
        <v>46082</v>
      </c>
      <c r="B546" s="156" t="inlineStr">
        <is>
          <t>GS-01</t>
        </is>
      </c>
      <c r="C546" s="156" t="inlineStr">
        <is>
          <t>Genset</t>
        </is>
      </c>
      <c r="D546" s="156" t="inlineStr">
        <is>
          <t>Aux</t>
        </is>
      </c>
      <c r="E546" s="156" t="inlineStr">
        <is>
          <t>Genset</t>
        </is>
      </c>
      <c r="F546" s="184" t="n">
        <v>164.5</v>
      </c>
    </row>
    <row r="547">
      <c r="A547" s="155" t="n">
        <v>46082</v>
      </c>
      <c r="B547" s="156" t="inlineStr">
        <is>
          <t>GS-03</t>
        </is>
      </c>
      <c r="C547" s="156" t="inlineStr">
        <is>
          <t>Genset</t>
        </is>
      </c>
      <c r="D547" s="156" t="inlineStr">
        <is>
          <t>Aux</t>
        </is>
      </c>
      <c r="E547" s="156" t="inlineStr">
        <is>
          <t>Genset</t>
        </is>
      </c>
      <c r="F547" s="184" t="n">
        <v>124.9</v>
      </c>
    </row>
    <row r="548">
      <c r="A548" s="155" t="n">
        <v>46082</v>
      </c>
      <c r="B548" s="156" t="inlineStr">
        <is>
          <t>GS-04</t>
        </is>
      </c>
      <c r="C548" s="156" t="inlineStr">
        <is>
          <t>Genset</t>
        </is>
      </c>
      <c r="D548" s="156" t="inlineStr">
        <is>
          <t>Aux</t>
        </is>
      </c>
      <c r="E548" s="156" t="inlineStr">
        <is>
          <t>Genset</t>
        </is>
      </c>
      <c r="F548" s="184" t="n">
        <v>637.2</v>
      </c>
    </row>
    <row r="549">
      <c r="A549" s="155" t="n">
        <v>46082</v>
      </c>
      <c r="B549" s="156" t="inlineStr">
        <is>
          <t>GS-07</t>
        </is>
      </c>
      <c r="C549" s="156" t="inlineStr">
        <is>
          <t>Genset</t>
        </is>
      </c>
      <c r="D549" s="156" t="inlineStr">
        <is>
          <t>Aux</t>
        </is>
      </c>
      <c r="E549" s="156" t="inlineStr">
        <is>
          <t>Genset</t>
        </is>
      </c>
      <c r="F549" s="184" t="n">
        <v>36.6</v>
      </c>
    </row>
    <row r="550">
      <c r="A550" s="155" t="n">
        <v>46082</v>
      </c>
      <c r="B550" s="156" t="inlineStr">
        <is>
          <t>WP-05</t>
        </is>
      </c>
      <c r="C550" s="156" t="inlineStr">
        <is>
          <t>Pompa air</t>
        </is>
      </c>
      <c r="D550" s="156" t="inlineStr">
        <is>
          <t>Mining</t>
        </is>
      </c>
      <c r="E550" s="156" t="inlineStr">
        <is>
          <t>Pompa air</t>
        </is>
      </c>
      <c r="F550" s="184" t="n">
        <v>1563.2</v>
      </c>
    </row>
    <row r="551">
      <c r="A551" s="155" t="n">
        <v>46082</v>
      </c>
      <c r="B551" s="156" t="inlineStr">
        <is>
          <t>WL-022</t>
        </is>
      </c>
      <c r="C551" s="156" t="inlineStr">
        <is>
          <t>Loader</t>
        </is>
      </c>
      <c r="D551" s="156" t="inlineStr">
        <is>
          <t>Aux</t>
        </is>
      </c>
      <c r="E551" s="156" t="inlineStr">
        <is>
          <t>SANY - Loader</t>
        </is>
      </c>
      <c r="F551" s="184" t="n">
        <v>170.6</v>
      </c>
    </row>
    <row r="552">
      <c r="A552" s="155" t="n">
        <v>46082</v>
      </c>
      <c r="B552" s="156" t="inlineStr">
        <is>
          <t>WL-024</t>
        </is>
      </c>
      <c r="C552" s="156" t="inlineStr">
        <is>
          <t>Loader</t>
        </is>
      </c>
      <c r="D552" s="156" t="inlineStr">
        <is>
          <t>Aux</t>
        </is>
      </c>
      <c r="E552" s="156" t="inlineStr">
        <is>
          <t>SANY - Loader</t>
        </is>
      </c>
      <c r="F552" s="184" t="n">
        <v>154.7</v>
      </c>
    </row>
    <row r="553">
      <c r="A553" s="155" t="n">
        <v>46082</v>
      </c>
      <c r="B553" s="156" t="inlineStr">
        <is>
          <t>LV-14</t>
        </is>
      </c>
      <c r="C553" s="156" t="inlineStr">
        <is>
          <t>LV &amp; sarana</t>
        </is>
      </c>
      <c r="D553" s="156" t="inlineStr">
        <is>
          <t>Mining</t>
        </is>
      </c>
      <c r="E553" s="156" t="inlineStr">
        <is>
          <t>Light vehicle</t>
        </is>
      </c>
      <c r="F553" s="184" t="n">
        <v>55.9</v>
      </c>
    </row>
    <row r="554">
      <c r="A554" s="155" t="n">
        <v>46093</v>
      </c>
      <c r="B554" s="156" t="inlineStr">
        <is>
          <t>EX-754</t>
        </is>
      </c>
      <c r="C554" s="156" t="inlineStr">
        <is>
          <t>Excavator</t>
        </is>
      </c>
      <c r="D554" s="156" t="inlineStr">
        <is>
          <t>Mining</t>
        </is>
      </c>
      <c r="E554" s="156" t="inlineStr">
        <is>
          <t>SY750H-PRO</t>
        </is>
      </c>
      <c r="F554" s="184" t="n">
        <v>886.6</v>
      </c>
    </row>
    <row r="555">
      <c r="A555" s="155" t="n">
        <v>46093</v>
      </c>
      <c r="B555" s="156" t="inlineStr">
        <is>
          <t>EX-755</t>
        </is>
      </c>
      <c r="C555" s="156" t="inlineStr">
        <is>
          <t>Excavator</t>
        </is>
      </c>
      <c r="D555" s="156" t="inlineStr">
        <is>
          <t>Mining</t>
        </is>
      </c>
      <c r="E555" s="156" t="inlineStr">
        <is>
          <t>SY750H-PRO</t>
        </is>
      </c>
      <c r="F555" s="184" t="n">
        <v>901.6</v>
      </c>
    </row>
    <row r="556">
      <c r="A556" s="155" t="n">
        <v>46093</v>
      </c>
      <c r="B556" s="156" t="inlineStr">
        <is>
          <t>EX-753</t>
        </is>
      </c>
      <c r="C556" s="156" t="inlineStr">
        <is>
          <t>Excavator</t>
        </is>
      </c>
      <c r="D556" s="156" t="inlineStr">
        <is>
          <t>Mining</t>
        </is>
      </c>
      <c r="E556" s="156" t="inlineStr">
        <is>
          <t>SY750H-PRO</t>
        </is>
      </c>
      <c r="F556" s="184" t="n">
        <v>748.7</v>
      </c>
    </row>
    <row r="557">
      <c r="A557" s="155" t="n">
        <v>46093</v>
      </c>
      <c r="B557" s="156" t="inlineStr">
        <is>
          <t>EX-334</t>
        </is>
      </c>
      <c r="C557" s="156" t="inlineStr">
        <is>
          <t>Excavator</t>
        </is>
      </c>
      <c r="D557" s="156" t="inlineStr">
        <is>
          <t>Mining</t>
        </is>
      </c>
      <c r="E557" s="156" t="inlineStr">
        <is>
          <t>PC 300-8MO</t>
        </is>
      </c>
      <c r="F557" s="184" t="n">
        <v>417.4</v>
      </c>
    </row>
    <row r="558">
      <c r="A558" s="155" t="n">
        <v>46093</v>
      </c>
      <c r="B558" s="156" t="inlineStr">
        <is>
          <t>EX-222</t>
        </is>
      </c>
      <c r="C558" s="156" t="inlineStr">
        <is>
          <t>Excavator</t>
        </is>
      </c>
      <c r="D558" s="156" t="inlineStr">
        <is>
          <t>Mining</t>
        </is>
      </c>
      <c r="E558" s="156" t="inlineStr">
        <is>
          <t>PC 200-8MI</t>
        </is>
      </c>
      <c r="F558" s="184" t="n">
        <v>239.5</v>
      </c>
    </row>
    <row r="559">
      <c r="A559" s="155" t="n">
        <v>46093</v>
      </c>
      <c r="B559" s="156" t="inlineStr">
        <is>
          <t>EX-223</t>
        </is>
      </c>
      <c r="C559" s="156" t="inlineStr">
        <is>
          <t>Excavator</t>
        </is>
      </c>
      <c r="D559" s="156" t="inlineStr">
        <is>
          <t>Aux</t>
        </is>
      </c>
      <c r="E559" s="156" t="inlineStr">
        <is>
          <t>PC 200-8MI</t>
        </is>
      </c>
      <c r="F559" s="184" t="n">
        <v>253.5</v>
      </c>
    </row>
    <row r="560">
      <c r="A560" s="155" t="n">
        <v>46093</v>
      </c>
      <c r="B560" s="156" t="inlineStr">
        <is>
          <t>EX-335</t>
        </is>
      </c>
      <c r="C560" s="156" t="inlineStr">
        <is>
          <t>Excavator</t>
        </is>
      </c>
      <c r="D560" s="156" t="inlineStr">
        <is>
          <t>Mining</t>
        </is>
      </c>
      <c r="E560" s="156" t="inlineStr">
        <is>
          <t>PC 300-8MO</t>
        </is>
      </c>
      <c r="F560" s="184" t="n">
        <v>568.9</v>
      </c>
    </row>
    <row r="561">
      <c r="A561" s="155" t="n">
        <v>46093</v>
      </c>
      <c r="B561" s="156" t="inlineStr">
        <is>
          <t>EX-1251</t>
        </is>
      </c>
      <c r="C561" s="156" t="inlineStr">
        <is>
          <t>Excavator</t>
        </is>
      </c>
      <c r="D561" s="156" t="inlineStr">
        <is>
          <t>Mining</t>
        </is>
      </c>
      <c r="E561" s="156" t="inlineStr">
        <is>
          <t>SY1250</t>
        </is>
      </c>
      <c r="F561" s="184" t="n">
        <v>1320.8</v>
      </c>
    </row>
    <row r="562">
      <c r="A562" s="155" t="n">
        <v>46093</v>
      </c>
      <c r="B562" s="156" t="inlineStr">
        <is>
          <t>EX-333</t>
        </is>
      </c>
      <c r="C562" s="156" t="inlineStr">
        <is>
          <t>Excavator</t>
        </is>
      </c>
      <c r="D562" s="156" t="inlineStr">
        <is>
          <t>Mining</t>
        </is>
      </c>
      <c r="E562" s="156" t="inlineStr">
        <is>
          <t>PC 300-8MO</t>
        </is>
      </c>
      <c r="F562" s="184" t="n">
        <v>370.1</v>
      </c>
    </row>
    <row r="563">
      <c r="A563" s="155" t="n">
        <v>46093</v>
      </c>
      <c r="B563" s="156" t="inlineStr">
        <is>
          <t>EX-336</t>
        </is>
      </c>
      <c r="C563" s="156" t="inlineStr">
        <is>
          <t>Excavator</t>
        </is>
      </c>
      <c r="D563" s="156" t="inlineStr">
        <is>
          <t>Mining</t>
        </is>
      </c>
      <c r="E563" s="156" t="inlineStr">
        <is>
          <t>PC 300-8MO</t>
        </is>
      </c>
      <c r="F563" s="184" t="n">
        <v>547.2</v>
      </c>
    </row>
    <row r="564">
      <c r="A564" s="155" t="n">
        <v>46093</v>
      </c>
      <c r="B564" s="156" t="inlineStr">
        <is>
          <t>DT-812</t>
        </is>
      </c>
      <c r="C564" s="156" t="inlineStr">
        <is>
          <t>Hauler</t>
        </is>
      </c>
      <c r="D564" s="156" t="inlineStr">
        <is>
          <t>Mining</t>
        </is>
      </c>
      <c r="E564" s="156" t="inlineStr">
        <is>
          <t>SKT 80S</t>
        </is>
      </c>
      <c r="F564" s="184" t="n">
        <v>300.7</v>
      </c>
    </row>
    <row r="565">
      <c r="A565" s="155" t="n">
        <v>46093</v>
      </c>
      <c r="B565" s="156" t="inlineStr">
        <is>
          <t>DT-810</t>
        </is>
      </c>
      <c r="C565" s="156" t="inlineStr">
        <is>
          <t>Hauler</t>
        </is>
      </c>
      <c r="D565" s="156" t="inlineStr">
        <is>
          <t>Mining</t>
        </is>
      </c>
      <c r="E565" s="156" t="inlineStr">
        <is>
          <t>SKT 80S</t>
        </is>
      </c>
      <c r="F565" s="184" t="n">
        <v>267.9</v>
      </c>
    </row>
    <row r="566">
      <c r="A566" s="155" t="n">
        <v>46093</v>
      </c>
      <c r="B566" s="156" t="inlineStr">
        <is>
          <t>DT-804</t>
        </is>
      </c>
      <c r="C566" s="156" t="inlineStr">
        <is>
          <t>Hauler</t>
        </is>
      </c>
      <c r="D566" s="156" t="inlineStr">
        <is>
          <t>Mining</t>
        </is>
      </c>
      <c r="E566" s="156" t="inlineStr">
        <is>
          <t>SKT 80S</t>
        </is>
      </c>
      <c r="F566" s="184" t="n">
        <v>325.1</v>
      </c>
    </row>
    <row r="567">
      <c r="A567" s="155" t="n">
        <v>46093</v>
      </c>
      <c r="B567" s="156" t="inlineStr">
        <is>
          <t>DT-503</t>
        </is>
      </c>
      <c r="C567" s="156" t="inlineStr">
        <is>
          <t>Hauler</t>
        </is>
      </c>
      <c r="D567" s="156" t="inlineStr">
        <is>
          <t>Mining</t>
        </is>
      </c>
      <c r="E567" s="156" t="inlineStr">
        <is>
          <t>SKT 105S</t>
        </is>
      </c>
      <c r="F567" s="184" t="n">
        <v>66.7</v>
      </c>
    </row>
    <row r="568">
      <c r="A568" s="155" t="n">
        <v>46093</v>
      </c>
      <c r="B568" s="156" t="inlineStr">
        <is>
          <t>DT-504</t>
        </is>
      </c>
      <c r="C568" s="156" t="inlineStr">
        <is>
          <t>Hauler</t>
        </is>
      </c>
      <c r="D568" s="156" t="inlineStr">
        <is>
          <t>Mining</t>
        </is>
      </c>
      <c r="E568" s="156" t="inlineStr">
        <is>
          <t>SKT 105S</t>
        </is>
      </c>
      <c r="F568" s="184" t="n">
        <v>438.1</v>
      </c>
    </row>
    <row r="569">
      <c r="A569" s="155" t="n">
        <v>46093</v>
      </c>
      <c r="B569" s="156" t="inlineStr">
        <is>
          <t>DT-507</t>
        </is>
      </c>
      <c r="C569" s="156" t="inlineStr">
        <is>
          <t>Hauler</t>
        </is>
      </c>
      <c r="D569" s="156" t="inlineStr">
        <is>
          <t>Mining</t>
        </is>
      </c>
      <c r="E569" s="156" t="inlineStr">
        <is>
          <t>SKT 105S</t>
        </is>
      </c>
      <c r="F569" s="184" t="n">
        <v>418.8</v>
      </c>
    </row>
    <row r="570">
      <c r="A570" s="155" t="n">
        <v>46093</v>
      </c>
      <c r="B570" s="156" t="inlineStr">
        <is>
          <t>DT-501</t>
        </is>
      </c>
      <c r="C570" s="156" t="inlineStr">
        <is>
          <t>Hauler</t>
        </is>
      </c>
      <c r="D570" s="156" t="inlineStr">
        <is>
          <t>Mining</t>
        </is>
      </c>
      <c r="E570" s="156" t="inlineStr">
        <is>
          <t>SKT 105S</t>
        </is>
      </c>
      <c r="F570" s="184" t="n">
        <v>316.9</v>
      </c>
    </row>
    <row r="571">
      <c r="A571" s="155" t="n">
        <v>46093</v>
      </c>
      <c r="B571" s="156" t="inlineStr">
        <is>
          <t>DT-518</t>
        </is>
      </c>
      <c r="C571" s="156" t="inlineStr">
        <is>
          <t>Hauler</t>
        </is>
      </c>
      <c r="D571" s="156" t="inlineStr">
        <is>
          <t>Mining</t>
        </is>
      </c>
      <c r="E571" s="156" t="inlineStr">
        <is>
          <t>SKT 105S</t>
        </is>
      </c>
      <c r="F571" s="184" t="n">
        <v>392.4</v>
      </c>
    </row>
    <row r="572">
      <c r="A572" s="155" t="n">
        <v>46093</v>
      </c>
      <c r="B572" s="156" t="inlineStr">
        <is>
          <t>DT-523</t>
        </is>
      </c>
      <c r="C572" s="156" t="inlineStr">
        <is>
          <t>Hauler</t>
        </is>
      </c>
      <c r="D572" s="156" t="inlineStr">
        <is>
          <t>Mining</t>
        </is>
      </c>
      <c r="E572" s="156" t="inlineStr">
        <is>
          <t>SKT 105S</t>
        </is>
      </c>
      <c r="F572" s="184" t="n">
        <v>136.4</v>
      </c>
    </row>
    <row r="573">
      <c r="A573" s="155" t="n">
        <v>46093</v>
      </c>
      <c r="B573" s="156" t="inlineStr">
        <is>
          <t>DT-513</t>
        </is>
      </c>
      <c r="C573" s="156" t="inlineStr">
        <is>
          <t>Hauler</t>
        </is>
      </c>
      <c r="D573" s="156" t="inlineStr">
        <is>
          <t>Mining</t>
        </is>
      </c>
      <c r="E573" s="156" t="inlineStr">
        <is>
          <t>SKT 105S</t>
        </is>
      </c>
      <c r="F573" s="184" t="n">
        <v>316.8</v>
      </c>
    </row>
    <row r="574">
      <c r="A574" s="155" t="n">
        <v>46093</v>
      </c>
      <c r="B574" s="156" t="inlineStr">
        <is>
          <t>DT-512</t>
        </is>
      </c>
      <c r="C574" s="156" t="inlineStr">
        <is>
          <t>Hauler</t>
        </is>
      </c>
      <c r="D574" s="156" t="inlineStr">
        <is>
          <t>Mining</t>
        </is>
      </c>
      <c r="E574" s="156" t="inlineStr">
        <is>
          <t>SKT 105S</t>
        </is>
      </c>
      <c r="F574" s="184" t="n">
        <v>354.9</v>
      </c>
    </row>
    <row r="575">
      <c r="A575" s="155" t="n">
        <v>46093</v>
      </c>
      <c r="B575" s="156" t="inlineStr">
        <is>
          <t>DT-522</t>
        </is>
      </c>
      <c r="C575" s="156" t="inlineStr">
        <is>
          <t>Hauler</t>
        </is>
      </c>
      <c r="D575" s="156" t="inlineStr">
        <is>
          <t>Mining</t>
        </is>
      </c>
      <c r="E575" s="156" t="inlineStr">
        <is>
          <t>SKT 105S</t>
        </is>
      </c>
      <c r="F575" s="184" t="n">
        <v>370</v>
      </c>
    </row>
    <row r="576">
      <c r="A576" s="155" t="n">
        <v>46093</v>
      </c>
      <c r="B576" s="156" t="inlineStr">
        <is>
          <t>DT-517</t>
        </is>
      </c>
      <c r="C576" s="156" t="inlineStr">
        <is>
          <t>Hauler</t>
        </is>
      </c>
      <c r="D576" s="156" t="inlineStr">
        <is>
          <t>Mining</t>
        </is>
      </c>
      <c r="E576" s="156" t="inlineStr">
        <is>
          <t>SKT 105S</t>
        </is>
      </c>
      <c r="F576" s="184" t="n">
        <v>385.5</v>
      </c>
    </row>
    <row r="577">
      <c r="A577" s="155" t="n">
        <v>46093</v>
      </c>
      <c r="B577" s="156" t="inlineStr">
        <is>
          <t>DT-510</t>
        </is>
      </c>
      <c r="C577" s="156" t="inlineStr">
        <is>
          <t>Hauler</t>
        </is>
      </c>
      <c r="D577" s="156" t="inlineStr">
        <is>
          <t>Mining</t>
        </is>
      </c>
      <c r="E577" s="156" t="inlineStr">
        <is>
          <t>SKT 105S</t>
        </is>
      </c>
      <c r="F577" s="184" t="n">
        <v>504.4</v>
      </c>
    </row>
    <row r="578">
      <c r="A578" s="155" t="n">
        <v>46093</v>
      </c>
      <c r="B578" s="156" t="inlineStr">
        <is>
          <t>DT-521</t>
        </is>
      </c>
      <c r="C578" s="156" t="inlineStr">
        <is>
          <t>Hauler</t>
        </is>
      </c>
      <c r="D578" s="156" t="inlineStr">
        <is>
          <t>Mining</t>
        </is>
      </c>
      <c r="E578" s="156" t="inlineStr">
        <is>
          <t>SKT 105S</t>
        </is>
      </c>
      <c r="F578" s="184" t="n">
        <v>633.6</v>
      </c>
    </row>
    <row r="579">
      <c r="A579" s="155" t="n">
        <v>46093</v>
      </c>
      <c r="B579" s="156" t="inlineStr">
        <is>
          <t>DT-516</t>
        </is>
      </c>
      <c r="C579" s="156" t="inlineStr">
        <is>
          <t>Hauler</t>
        </is>
      </c>
      <c r="D579" s="156" t="inlineStr">
        <is>
          <t>Mining</t>
        </is>
      </c>
      <c r="E579" s="156" t="inlineStr">
        <is>
          <t>SKT 105S</t>
        </is>
      </c>
      <c r="F579" s="184" t="n">
        <v>234.1</v>
      </c>
    </row>
    <row r="580">
      <c r="A580" s="155" t="n">
        <v>46093</v>
      </c>
      <c r="B580" s="156" t="inlineStr">
        <is>
          <t>DT-502</t>
        </is>
      </c>
      <c r="C580" s="156" t="inlineStr">
        <is>
          <t>Hauler</t>
        </is>
      </c>
      <c r="D580" s="156" t="inlineStr">
        <is>
          <t>Mining</t>
        </is>
      </c>
      <c r="E580" s="156" t="inlineStr">
        <is>
          <t>SKT 105S</t>
        </is>
      </c>
      <c r="F580" s="184" t="n">
        <v>500.5</v>
      </c>
    </row>
    <row r="581">
      <c r="A581" s="155" t="n">
        <v>46093</v>
      </c>
      <c r="B581" s="156" t="inlineStr">
        <is>
          <t>DT-528</t>
        </is>
      </c>
      <c r="C581" s="156" t="inlineStr">
        <is>
          <t>Hauler</t>
        </is>
      </c>
      <c r="D581" s="156" t="inlineStr">
        <is>
          <t>Mining</t>
        </is>
      </c>
      <c r="E581" s="156" t="inlineStr">
        <is>
          <t>SKT 105S</t>
        </is>
      </c>
      <c r="F581" s="184" t="n">
        <v>563.8</v>
      </c>
    </row>
    <row r="582">
      <c r="A582" s="155" t="n">
        <v>46093</v>
      </c>
      <c r="B582" s="156" t="inlineStr">
        <is>
          <t>DT-529</t>
        </is>
      </c>
      <c r="C582" s="156" t="inlineStr">
        <is>
          <t>Hauler</t>
        </is>
      </c>
      <c r="D582" s="156" t="inlineStr">
        <is>
          <t>Mining</t>
        </is>
      </c>
      <c r="E582" s="156" t="inlineStr">
        <is>
          <t>SKT 105S</t>
        </is>
      </c>
      <c r="F582" s="184" t="n">
        <v>426.8</v>
      </c>
    </row>
    <row r="583">
      <c r="A583" s="155" t="n">
        <v>46093</v>
      </c>
      <c r="B583" s="156" t="inlineStr">
        <is>
          <t>DT-520</t>
        </is>
      </c>
      <c r="C583" s="156" t="inlineStr">
        <is>
          <t>Hauler</t>
        </is>
      </c>
      <c r="D583" s="156" t="inlineStr">
        <is>
          <t>Mining</t>
        </is>
      </c>
      <c r="E583" s="156" t="inlineStr">
        <is>
          <t>SKT 105S</t>
        </is>
      </c>
      <c r="F583" s="184" t="n">
        <v>452</v>
      </c>
    </row>
    <row r="584">
      <c r="A584" s="155" t="n">
        <v>46093</v>
      </c>
      <c r="B584" s="156" t="inlineStr">
        <is>
          <t>DT-508</t>
        </is>
      </c>
      <c r="C584" s="156" t="inlineStr">
        <is>
          <t>Hauler</t>
        </is>
      </c>
      <c r="D584" s="156" t="inlineStr">
        <is>
          <t>Mining</t>
        </is>
      </c>
      <c r="E584" s="156" t="inlineStr">
        <is>
          <t>SKT 105S</t>
        </is>
      </c>
      <c r="F584" s="184" t="n">
        <v>390.1</v>
      </c>
    </row>
    <row r="585">
      <c r="A585" s="155" t="n">
        <v>46093</v>
      </c>
      <c r="B585" s="156" t="inlineStr">
        <is>
          <t>DT-515</t>
        </is>
      </c>
      <c r="C585" s="156" t="inlineStr">
        <is>
          <t>Hauler</t>
        </is>
      </c>
      <c r="D585" s="156" t="inlineStr">
        <is>
          <t>Mining</t>
        </is>
      </c>
      <c r="E585" s="156" t="inlineStr">
        <is>
          <t>SKT 105S</t>
        </is>
      </c>
      <c r="F585" s="184" t="n">
        <v>464.2</v>
      </c>
    </row>
    <row r="586">
      <c r="A586" s="155" t="n">
        <v>46093</v>
      </c>
      <c r="B586" s="156" t="inlineStr">
        <is>
          <t>HD-901</t>
        </is>
      </c>
      <c r="C586" s="156" t="inlineStr">
        <is>
          <t>Hauler</t>
        </is>
      </c>
      <c r="D586" s="156" t="inlineStr">
        <is>
          <t>Mining</t>
        </is>
      </c>
      <c r="E586" s="156" t="inlineStr">
        <is>
          <t>SRT 95C</t>
        </is>
      </c>
      <c r="F586" s="184" t="n">
        <v>325.2</v>
      </c>
    </row>
    <row r="587">
      <c r="A587" s="155" t="n">
        <v>46093</v>
      </c>
      <c r="B587" s="156" t="inlineStr">
        <is>
          <t>HT-418</t>
        </is>
      </c>
      <c r="C587" s="156" t="inlineStr">
        <is>
          <t>DT Hauling</t>
        </is>
      </c>
      <c r="D587" s="156" t="inlineStr">
        <is>
          <t>Aux</t>
        </is>
      </c>
      <c r="E587" s="156" t="inlineStr">
        <is>
          <t>SY430</t>
        </is>
      </c>
      <c r="F587" s="184" t="n">
        <v>254</v>
      </c>
    </row>
    <row r="588">
      <c r="A588" s="155" t="n">
        <v>46093</v>
      </c>
      <c r="B588" s="156" t="inlineStr">
        <is>
          <t>HT-404</t>
        </is>
      </c>
      <c r="C588" s="156" t="inlineStr">
        <is>
          <t>DT Hauling</t>
        </is>
      </c>
      <c r="D588" s="156" t="inlineStr">
        <is>
          <t>Aux</t>
        </is>
      </c>
      <c r="E588" s="156" t="inlineStr">
        <is>
          <t>SY430</t>
        </is>
      </c>
      <c r="F588" s="184" t="n">
        <v>295.8</v>
      </c>
    </row>
    <row r="589">
      <c r="A589" s="155" t="n">
        <v>46093</v>
      </c>
      <c r="B589" s="156" t="inlineStr">
        <is>
          <t>HT-402</t>
        </is>
      </c>
      <c r="C589" s="156" t="inlineStr">
        <is>
          <t>DT Hauling</t>
        </is>
      </c>
      <c r="D589" s="156" t="inlineStr">
        <is>
          <t>Aux</t>
        </is>
      </c>
      <c r="E589" s="156" t="inlineStr">
        <is>
          <t>SY430</t>
        </is>
      </c>
      <c r="F589" s="184" t="n">
        <v>370.8</v>
      </c>
    </row>
    <row r="590">
      <c r="A590" s="155" t="n">
        <v>46093</v>
      </c>
      <c r="B590" s="156" t="inlineStr">
        <is>
          <t>HT-416</t>
        </is>
      </c>
      <c r="C590" s="156" t="inlineStr">
        <is>
          <t>DT Hauling</t>
        </is>
      </c>
      <c r="D590" s="156" t="inlineStr">
        <is>
          <t>Aux</t>
        </is>
      </c>
      <c r="E590" s="156" t="inlineStr">
        <is>
          <t>SY430</t>
        </is>
      </c>
      <c r="F590" s="184" t="n">
        <v>272.7</v>
      </c>
    </row>
    <row r="591">
      <c r="A591" s="155" t="n">
        <v>46093</v>
      </c>
      <c r="B591" s="156" t="inlineStr">
        <is>
          <t>HT-420</t>
        </is>
      </c>
      <c r="C591" s="156" t="inlineStr">
        <is>
          <t>DT Hauling</t>
        </is>
      </c>
      <c r="D591" s="156" t="inlineStr">
        <is>
          <t>Aux</t>
        </is>
      </c>
      <c r="E591" s="156" t="inlineStr">
        <is>
          <t>SY430</t>
        </is>
      </c>
      <c r="F591" s="184" t="n">
        <v>395.5</v>
      </c>
    </row>
    <row r="592">
      <c r="A592" s="155" t="n">
        <v>46093</v>
      </c>
      <c r="B592" s="156" t="inlineStr">
        <is>
          <t>HT-403</t>
        </is>
      </c>
      <c r="C592" s="156" t="inlineStr">
        <is>
          <t>DT Hauling</t>
        </is>
      </c>
      <c r="D592" s="156" t="inlineStr">
        <is>
          <t>Aux</t>
        </is>
      </c>
      <c r="E592" s="156" t="inlineStr">
        <is>
          <t>SY430</t>
        </is>
      </c>
      <c r="F592" s="184" t="n">
        <v>369</v>
      </c>
    </row>
    <row r="593">
      <c r="A593" s="155" t="n">
        <v>46093</v>
      </c>
      <c r="B593" s="156" t="inlineStr">
        <is>
          <t>HT-412</t>
        </is>
      </c>
      <c r="C593" s="156" t="inlineStr">
        <is>
          <t>DT Hauling</t>
        </is>
      </c>
      <c r="D593" s="156" t="inlineStr">
        <is>
          <t>Aux</t>
        </is>
      </c>
      <c r="E593" s="156" t="inlineStr">
        <is>
          <t>SY430</t>
        </is>
      </c>
      <c r="F593" s="184" t="n">
        <v>367.8</v>
      </c>
    </row>
    <row r="594">
      <c r="A594" s="155" t="n">
        <v>46093</v>
      </c>
      <c r="B594" s="156" t="inlineStr">
        <is>
          <t>HT-407</t>
        </is>
      </c>
      <c r="C594" s="156" t="inlineStr">
        <is>
          <t>DT Hauling</t>
        </is>
      </c>
      <c r="D594" s="156" t="inlineStr">
        <is>
          <t>Aux</t>
        </is>
      </c>
      <c r="E594" s="156" t="inlineStr">
        <is>
          <t>SY430</t>
        </is>
      </c>
      <c r="F594" s="184" t="n">
        <v>391.5</v>
      </c>
    </row>
    <row r="595">
      <c r="A595" s="155" t="n">
        <v>46093</v>
      </c>
      <c r="B595" s="156" t="inlineStr">
        <is>
          <t>HT-414</t>
        </is>
      </c>
      <c r="C595" s="156" t="inlineStr">
        <is>
          <t>DT Hauling</t>
        </is>
      </c>
      <c r="D595" s="156" t="inlineStr">
        <is>
          <t>Aux</t>
        </is>
      </c>
      <c r="E595" s="156" t="inlineStr">
        <is>
          <t>SY430</t>
        </is>
      </c>
      <c r="F595" s="184" t="n">
        <v>299.7</v>
      </c>
    </row>
    <row r="596">
      <c r="A596" s="155" t="n">
        <v>46093</v>
      </c>
      <c r="B596" s="156" t="inlineStr">
        <is>
          <t>HT-411</t>
        </is>
      </c>
      <c r="C596" s="156" t="inlineStr">
        <is>
          <t>DT Hauling</t>
        </is>
      </c>
      <c r="D596" s="156" t="inlineStr">
        <is>
          <t>Aux</t>
        </is>
      </c>
      <c r="E596" s="156" t="inlineStr">
        <is>
          <t>SY430</t>
        </is>
      </c>
      <c r="F596" s="184" t="n">
        <v>323.1</v>
      </c>
    </row>
    <row r="597">
      <c r="A597" s="155" t="n">
        <v>46093</v>
      </c>
      <c r="B597" s="156" t="inlineStr">
        <is>
          <t>HT-409</t>
        </is>
      </c>
      <c r="C597" s="156" t="inlineStr">
        <is>
          <t>DT Hauling</t>
        </is>
      </c>
      <c r="D597" s="156" t="inlineStr">
        <is>
          <t>Aux</t>
        </is>
      </c>
      <c r="E597" s="156" t="inlineStr">
        <is>
          <t>SY430</t>
        </is>
      </c>
      <c r="F597" s="184" t="n">
        <v>244.7</v>
      </c>
    </row>
    <row r="598">
      <c r="A598" s="155" t="n">
        <v>46093</v>
      </c>
      <c r="B598" s="156" t="inlineStr">
        <is>
          <t>DZ-033</t>
        </is>
      </c>
      <c r="C598" s="156" t="inlineStr">
        <is>
          <t>Bulldozer</t>
        </is>
      </c>
      <c r="D598" s="156" t="inlineStr">
        <is>
          <t>Mining</t>
        </is>
      </c>
      <c r="E598" s="156" t="inlineStr">
        <is>
          <t>D 375A-6R</t>
        </is>
      </c>
      <c r="F598" s="184" t="n">
        <v>1168.7</v>
      </c>
    </row>
    <row r="599">
      <c r="A599" s="155" t="n">
        <v>46093</v>
      </c>
      <c r="B599" s="156" t="inlineStr">
        <is>
          <t>DZ-039</t>
        </is>
      </c>
      <c r="C599" s="156" t="inlineStr">
        <is>
          <t>Bulldozer</t>
        </is>
      </c>
      <c r="D599" s="156" t="inlineStr">
        <is>
          <t>Mining</t>
        </is>
      </c>
      <c r="E599" s="156" t="inlineStr">
        <is>
          <t>D 85 ESS-2</t>
        </is>
      </c>
      <c r="F599" s="184" t="n">
        <v>259.8</v>
      </c>
    </row>
    <row r="600">
      <c r="A600" s="155" t="n">
        <v>46093</v>
      </c>
      <c r="B600" s="156" t="inlineStr">
        <is>
          <t>DZ-035</t>
        </is>
      </c>
      <c r="C600" s="156" t="inlineStr">
        <is>
          <t>Bulldozer</t>
        </is>
      </c>
      <c r="D600" s="156" t="inlineStr">
        <is>
          <t>Mining</t>
        </is>
      </c>
      <c r="E600" s="156" t="inlineStr">
        <is>
          <t>D 85 ESS-2</t>
        </is>
      </c>
      <c r="F600" s="184" t="n">
        <v>349.9</v>
      </c>
    </row>
    <row r="601">
      <c r="A601" s="155" t="n">
        <v>46093</v>
      </c>
      <c r="B601" s="156" t="inlineStr">
        <is>
          <t>DZ-031</t>
        </is>
      </c>
      <c r="C601" s="156" t="inlineStr">
        <is>
          <t>Bulldozer</t>
        </is>
      </c>
      <c r="D601" s="156" t="inlineStr">
        <is>
          <t>Mining</t>
        </is>
      </c>
      <c r="E601" s="156" t="inlineStr">
        <is>
          <t>CAT</t>
        </is>
      </c>
      <c r="F601" s="184" t="n">
        <v>550.3</v>
      </c>
    </row>
    <row r="602">
      <c r="A602" s="155" t="n">
        <v>46093</v>
      </c>
      <c r="B602" s="156" t="inlineStr">
        <is>
          <t>GD-013</t>
        </is>
      </c>
      <c r="C602" s="156" t="inlineStr">
        <is>
          <t>Grader</t>
        </is>
      </c>
      <c r="D602" s="156" t="inlineStr">
        <is>
          <t>Mining</t>
        </is>
      </c>
      <c r="E602" s="156" t="inlineStr">
        <is>
          <t>STG 265C - 10</t>
        </is>
      </c>
      <c r="F602" s="184" t="n">
        <v>396.6</v>
      </c>
    </row>
    <row r="603">
      <c r="A603" s="155" t="n">
        <v>46093</v>
      </c>
      <c r="B603" s="156" t="inlineStr">
        <is>
          <t>GD-014</t>
        </is>
      </c>
      <c r="C603" s="156" t="inlineStr">
        <is>
          <t>Grader</t>
        </is>
      </c>
      <c r="D603" s="156" t="inlineStr">
        <is>
          <t>Mining</t>
        </is>
      </c>
      <c r="E603" s="156" t="inlineStr">
        <is>
          <t>STG 335C - 10</t>
        </is>
      </c>
      <c r="F603" s="184" t="n">
        <v>293</v>
      </c>
    </row>
    <row r="604">
      <c r="A604" s="155" t="n">
        <v>46093</v>
      </c>
      <c r="B604" s="156" t="inlineStr">
        <is>
          <t>WL-025</t>
        </is>
      </c>
      <c r="C604" s="156" t="inlineStr">
        <is>
          <t>Loader</t>
        </is>
      </c>
      <c r="D604" s="156" t="inlineStr">
        <is>
          <t>Aux</t>
        </is>
      </c>
      <c r="E604" s="156" t="inlineStr">
        <is>
          <t>SANY - Loader</t>
        </is>
      </c>
      <c r="F604" s="184" t="n">
        <v>8.699999999999999</v>
      </c>
    </row>
    <row r="605">
      <c r="A605" s="155" t="n">
        <v>46093</v>
      </c>
      <c r="B605" s="156" t="inlineStr">
        <is>
          <t>WL-023</t>
        </is>
      </c>
      <c r="C605" s="156" t="inlineStr">
        <is>
          <t>Loader</t>
        </is>
      </c>
      <c r="D605" s="156" t="inlineStr">
        <is>
          <t>Aux</t>
        </is>
      </c>
      <c r="E605" s="156" t="inlineStr">
        <is>
          <t>SANY - Loader</t>
        </is>
      </c>
      <c r="F605" s="184" t="n">
        <v>139.6</v>
      </c>
    </row>
    <row r="606">
      <c r="A606" s="155" t="n">
        <v>46093</v>
      </c>
      <c r="B606" s="156" t="inlineStr">
        <is>
          <t>LV-02</t>
        </is>
      </c>
      <c r="C606" s="156" t="inlineStr">
        <is>
          <t>LV &amp; sarana</t>
        </is>
      </c>
      <c r="D606" s="156" t="inlineStr">
        <is>
          <t>Aux</t>
        </is>
      </c>
      <c r="E606" s="156" t="inlineStr">
        <is>
          <t>Light vehicle</t>
        </is>
      </c>
      <c r="F606" s="184" t="n">
        <v>50.2</v>
      </c>
    </row>
    <row r="607">
      <c r="A607" s="155" t="n">
        <v>46093</v>
      </c>
      <c r="B607" s="156" t="inlineStr">
        <is>
          <t>LV-03</t>
        </is>
      </c>
      <c r="C607" s="156" t="inlineStr">
        <is>
          <t>LV &amp; sarana</t>
        </is>
      </c>
      <c r="D607" s="156" t="inlineStr">
        <is>
          <t>Aux</t>
        </is>
      </c>
      <c r="E607" s="156" t="inlineStr">
        <is>
          <t>Light vehicle</t>
        </is>
      </c>
      <c r="F607" s="184" t="n">
        <v>45.8</v>
      </c>
    </row>
    <row r="608">
      <c r="A608" s="155" t="n">
        <v>46093</v>
      </c>
      <c r="B608" s="156" t="inlineStr">
        <is>
          <t>LV-04</t>
        </is>
      </c>
      <c r="C608" s="156" t="inlineStr">
        <is>
          <t>LV &amp; sarana</t>
        </is>
      </c>
      <c r="D608" s="156" t="inlineStr">
        <is>
          <t>Aux</t>
        </is>
      </c>
      <c r="E608" s="156" t="inlineStr">
        <is>
          <t>Light vehicle</t>
        </is>
      </c>
      <c r="F608" s="184" t="n">
        <v>32.8</v>
      </c>
    </row>
    <row r="609">
      <c r="A609" s="155" t="n">
        <v>46093</v>
      </c>
      <c r="B609" s="156" t="inlineStr">
        <is>
          <t>LV-05</t>
        </is>
      </c>
      <c r="C609" s="156" t="inlineStr">
        <is>
          <t>LV &amp; sarana</t>
        </is>
      </c>
      <c r="D609" s="156" t="inlineStr">
        <is>
          <t>Aux</t>
        </is>
      </c>
      <c r="E609" s="156" t="inlineStr">
        <is>
          <t>Light vehicle</t>
        </is>
      </c>
      <c r="F609" s="184" t="n">
        <v>46.1</v>
      </c>
    </row>
    <row r="610">
      <c r="A610" s="155" t="n">
        <v>46093</v>
      </c>
      <c r="B610" s="156" t="inlineStr">
        <is>
          <t>LV-07</t>
        </is>
      </c>
      <c r="C610" s="156" t="inlineStr">
        <is>
          <t>LV &amp; sarana</t>
        </is>
      </c>
      <c r="D610" s="156" t="inlineStr">
        <is>
          <t>Aux</t>
        </is>
      </c>
      <c r="E610" s="156" t="inlineStr">
        <is>
          <t>Light vehicle</t>
        </is>
      </c>
      <c r="F610" s="184" t="n">
        <v>26.2</v>
      </c>
    </row>
    <row r="611">
      <c r="A611" s="155" t="n">
        <v>46093</v>
      </c>
      <c r="B611" s="156" t="inlineStr">
        <is>
          <t>LV-10</t>
        </is>
      </c>
      <c r="C611" s="156" t="inlineStr">
        <is>
          <t>LV &amp; sarana</t>
        </is>
      </c>
      <c r="D611" s="156" t="inlineStr">
        <is>
          <t>Aux</t>
        </is>
      </c>
      <c r="E611" s="156" t="inlineStr">
        <is>
          <t>Light vehicle</t>
        </is>
      </c>
      <c r="F611" s="184" t="n">
        <v>58.5</v>
      </c>
    </row>
    <row r="612">
      <c r="A612" s="155" t="n">
        <v>46093</v>
      </c>
      <c r="B612" s="156" t="inlineStr">
        <is>
          <t>VD-02</t>
        </is>
      </c>
      <c r="C612" s="156" t="inlineStr">
        <is>
          <t>Vendor</t>
        </is>
      </c>
      <c r="D612" s="156" t="inlineStr">
        <is>
          <t>Vendor</t>
        </is>
      </c>
      <c r="E612" s="156" t="inlineStr">
        <is>
          <t>Alat vendor</t>
        </is>
      </c>
      <c r="F612" s="184" t="n">
        <v>25.1</v>
      </c>
    </row>
    <row r="613">
      <c r="A613" s="155" t="n">
        <v>46093</v>
      </c>
      <c r="B613" s="156" t="inlineStr">
        <is>
          <t>AL-03</t>
        </is>
      </c>
      <c r="C613" s="156" t="inlineStr">
        <is>
          <t>Alat lain</t>
        </is>
      </c>
      <c r="D613" s="156" t="inlineStr">
        <is>
          <t>Mining</t>
        </is>
      </c>
      <c r="E613" s="156" t="inlineStr">
        <is>
          <t>Alat lain</t>
        </is>
      </c>
      <c r="F613" s="184" t="n">
        <v>82.7</v>
      </c>
    </row>
    <row r="614">
      <c r="A614" s="155" t="n">
        <v>46093</v>
      </c>
      <c r="B614" s="156" t="inlineStr">
        <is>
          <t>AL-04</t>
        </is>
      </c>
      <c r="C614" s="156" t="inlineStr">
        <is>
          <t>Alat lain</t>
        </is>
      </c>
      <c r="D614" s="156" t="inlineStr">
        <is>
          <t>Mining</t>
        </is>
      </c>
      <c r="E614" s="156" t="inlineStr">
        <is>
          <t>Alat lain</t>
        </is>
      </c>
      <c r="F614" s="184" t="n">
        <v>348.7</v>
      </c>
    </row>
    <row r="615">
      <c r="A615" s="155" t="n">
        <v>46093</v>
      </c>
      <c r="B615" s="156" t="inlineStr">
        <is>
          <t>TS-02</t>
        </is>
      </c>
      <c r="C615" s="156" t="inlineStr">
        <is>
          <t>Truk support</t>
        </is>
      </c>
      <c r="D615" s="156" t="inlineStr">
        <is>
          <t>Mining</t>
        </is>
      </c>
      <c r="E615" s="156" t="inlineStr">
        <is>
          <t>Truk support</t>
        </is>
      </c>
      <c r="F615" s="184" t="n">
        <v>147.8</v>
      </c>
    </row>
    <row r="616">
      <c r="A616" s="155" t="n">
        <v>46093</v>
      </c>
      <c r="B616" s="156" t="inlineStr">
        <is>
          <t>TS-04</t>
        </is>
      </c>
      <c r="C616" s="156" t="inlineStr">
        <is>
          <t>Truk support</t>
        </is>
      </c>
      <c r="D616" s="156" t="inlineStr">
        <is>
          <t>Aux</t>
        </is>
      </c>
      <c r="E616" s="156" t="inlineStr">
        <is>
          <t>Truk support</t>
        </is>
      </c>
      <c r="F616" s="184" t="n">
        <v>44.8</v>
      </c>
    </row>
    <row r="617">
      <c r="A617" s="155" t="n">
        <v>46093</v>
      </c>
      <c r="B617" s="156" t="inlineStr">
        <is>
          <t>TS-05</t>
        </is>
      </c>
      <c r="C617" s="156" t="inlineStr">
        <is>
          <t>Truk support</t>
        </is>
      </c>
      <c r="D617" s="156" t="inlineStr">
        <is>
          <t>Aux</t>
        </is>
      </c>
      <c r="E617" s="156" t="inlineStr">
        <is>
          <t>Truk support</t>
        </is>
      </c>
      <c r="F617" s="184" t="n">
        <v>43.1</v>
      </c>
    </row>
    <row r="618">
      <c r="A618" s="155" t="n">
        <v>46093</v>
      </c>
      <c r="B618" s="156" t="inlineStr">
        <is>
          <t>AL-08</t>
        </is>
      </c>
      <c r="C618" s="156" t="inlineStr">
        <is>
          <t>Alat lain</t>
        </is>
      </c>
      <c r="D618" s="156" t="inlineStr">
        <is>
          <t>Aux</t>
        </is>
      </c>
      <c r="E618" s="156" t="inlineStr">
        <is>
          <t>Alat lain</t>
        </is>
      </c>
      <c r="F618" s="184" t="n">
        <v>111.5</v>
      </c>
    </row>
    <row r="619">
      <c r="A619" s="155" t="n">
        <v>46093</v>
      </c>
      <c r="B619" s="156" t="inlineStr">
        <is>
          <t>AL-09</t>
        </is>
      </c>
      <c r="C619" s="156" t="inlineStr">
        <is>
          <t>Alat lain</t>
        </is>
      </c>
      <c r="D619" s="156" t="inlineStr">
        <is>
          <t>Mining</t>
        </is>
      </c>
      <c r="E619" s="156" t="inlineStr">
        <is>
          <t>Alat lain</t>
        </is>
      </c>
      <c r="F619" s="184" t="n">
        <v>22.9</v>
      </c>
    </row>
    <row r="620">
      <c r="A620" s="155" t="n">
        <v>46093</v>
      </c>
      <c r="B620" s="156" t="inlineStr">
        <is>
          <t>AL-10</t>
        </is>
      </c>
      <c r="C620" s="156" t="inlineStr">
        <is>
          <t>Alat lain</t>
        </is>
      </c>
      <c r="D620" s="156" t="inlineStr">
        <is>
          <t>Mining</t>
        </is>
      </c>
      <c r="E620" s="156" t="inlineStr">
        <is>
          <t>Alat lain</t>
        </is>
      </c>
      <c r="F620" s="184" t="n">
        <v>22.4</v>
      </c>
    </row>
    <row r="621">
      <c r="A621" s="155" t="n">
        <v>46093</v>
      </c>
      <c r="B621" s="156" t="inlineStr">
        <is>
          <t>GS-02</t>
        </is>
      </c>
      <c r="C621" s="156" t="inlineStr">
        <is>
          <t>Genset</t>
        </is>
      </c>
      <c r="D621" s="156" t="inlineStr">
        <is>
          <t>Aux</t>
        </is>
      </c>
      <c r="E621" s="156" t="inlineStr">
        <is>
          <t>Genset</t>
        </is>
      </c>
      <c r="F621" s="184" t="n">
        <v>259.9</v>
      </c>
    </row>
    <row r="622">
      <c r="A622" s="155" t="n">
        <v>46093</v>
      </c>
      <c r="B622" s="156" t="inlineStr">
        <is>
          <t>GS-03</t>
        </is>
      </c>
      <c r="C622" s="156" t="inlineStr">
        <is>
          <t>Genset</t>
        </is>
      </c>
      <c r="D622" s="156" t="inlineStr">
        <is>
          <t>Aux</t>
        </is>
      </c>
      <c r="E622" s="156" t="inlineStr">
        <is>
          <t>Genset</t>
        </is>
      </c>
      <c r="F622" s="184" t="n">
        <v>143.2</v>
      </c>
    </row>
    <row r="623">
      <c r="A623" s="155" t="n">
        <v>46093</v>
      </c>
      <c r="B623" s="156" t="inlineStr">
        <is>
          <t>GS-04</t>
        </is>
      </c>
      <c r="C623" s="156" t="inlineStr">
        <is>
          <t>Genset</t>
        </is>
      </c>
      <c r="D623" s="156" t="inlineStr">
        <is>
          <t>Aux</t>
        </is>
      </c>
      <c r="E623" s="156" t="inlineStr">
        <is>
          <t>Genset</t>
        </is>
      </c>
      <c r="F623" s="184" t="n">
        <v>721.2</v>
      </c>
    </row>
    <row r="624">
      <c r="A624" s="155" t="n">
        <v>46093</v>
      </c>
      <c r="B624" s="156" t="inlineStr">
        <is>
          <t>GS-07</t>
        </is>
      </c>
      <c r="C624" s="156" t="inlineStr">
        <is>
          <t>Genset</t>
        </is>
      </c>
      <c r="D624" s="156" t="inlineStr">
        <is>
          <t>Aux</t>
        </is>
      </c>
      <c r="E624" s="156" t="inlineStr">
        <is>
          <t>Genset</t>
        </is>
      </c>
      <c r="F624" s="184" t="n">
        <v>34.9</v>
      </c>
    </row>
    <row r="625">
      <c r="A625" s="155" t="n">
        <v>46093</v>
      </c>
      <c r="B625" s="156" t="inlineStr">
        <is>
          <t>WP-03</t>
        </is>
      </c>
      <c r="C625" s="156" t="inlineStr">
        <is>
          <t>Pompa air</t>
        </is>
      </c>
      <c r="D625" s="156" t="inlineStr">
        <is>
          <t>Mining</t>
        </is>
      </c>
      <c r="E625" s="156" t="inlineStr">
        <is>
          <t>Pompa air</t>
        </is>
      </c>
      <c r="F625" s="184" t="n">
        <v>699.8</v>
      </c>
    </row>
    <row r="626">
      <c r="A626" s="155" t="n">
        <v>46093</v>
      </c>
      <c r="B626" s="156" t="inlineStr">
        <is>
          <t>WL-022</t>
        </is>
      </c>
      <c r="C626" s="156" t="inlineStr">
        <is>
          <t>Loader</t>
        </is>
      </c>
      <c r="D626" s="156" t="inlineStr">
        <is>
          <t>Aux</t>
        </is>
      </c>
      <c r="E626" s="156" t="inlineStr">
        <is>
          <t>SANY - Loader</t>
        </is>
      </c>
      <c r="F626" s="184" t="n">
        <v>138.7</v>
      </c>
    </row>
    <row r="627">
      <c r="A627" s="155" t="n">
        <v>46093</v>
      </c>
      <c r="B627" s="156" t="inlineStr">
        <is>
          <t>WL-024</t>
        </is>
      </c>
      <c r="C627" s="156" t="inlineStr">
        <is>
          <t>Loader</t>
        </is>
      </c>
      <c r="D627" s="156" t="inlineStr">
        <is>
          <t>Aux</t>
        </is>
      </c>
      <c r="E627" s="156" t="inlineStr">
        <is>
          <t>SANY - Loader</t>
        </is>
      </c>
      <c r="F627" s="184" t="n">
        <v>240.4</v>
      </c>
    </row>
    <row r="628">
      <c r="A628" s="155" t="n">
        <v>46102</v>
      </c>
      <c r="B628" s="156" t="inlineStr">
        <is>
          <t>EX-754</t>
        </is>
      </c>
      <c r="C628" s="156" t="inlineStr">
        <is>
          <t>Excavator</t>
        </is>
      </c>
      <c r="D628" s="156" t="inlineStr">
        <is>
          <t>Mining</t>
        </is>
      </c>
      <c r="E628" s="156" t="inlineStr">
        <is>
          <t>SY750H-PRO</t>
        </is>
      </c>
      <c r="F628" s="184" t="n">
        <v>794.2</v>
      </c>
    </row>
    <row r="629">
      <c r="A629" s="155" t="n">
        <v>46102</v>
      </c>
      <c r="B629" s="156" t="inlineStr">
        <is>
          <t>EX-755</t>
        </is>
      </c>
      <c r="C629" s="156" t="inlineStr">
        <is>
          <t>Excavator</t>
        </is>
      </c>
      <c r="D629" s="156" t="inlineStr">
        <is>
          <t>Mining</t>
        </is>
      </c>
      <c r="E629" s="156" t="inlineStr">
        <is>
          <t>SY750H-PRO</t>
        </is>
      </c>
      <c r="F629" s="184" t="n">
        <v>949</v>
      </c>
    </row>
    <row r="630">
      <c r="A630" s="155" t="n">
        <v>46102</v>
      </c>
      <c r="B630" s="156" t="inlineStr">
        <is>
          <t>EX-753</t>
        </is>
      </c>
      <c r="C630" s="156" t="inlineStr">
        <is>
          <t>Excavator</t>
        </is>
      </c>
      <c r="D630" s="156" t="inlineStr">
        <is>
          <t>Mining</t>
        </is>
      </c>
      <c r="E630" s="156" t="inlineStr">
        <is>
          <t>SY750H-PRO</t>
        </is>
      </c>
      <c r="F630" s="184" t="n">
        <v>807.7</v>
      </c>
    </row>
    <row r="631">
      <c r="A631" s="155" t="n">
        <v>46102</v>
      </c>
      <c r="B631" s="156" t="inlineStr">
        <is>
          <t>EX-334</t>
        </is>
      </c>
      <c r="C631" s="156" t="inlineStr">
        <is>
          <t>Excavator</t>
        </is>
      </c>
      <c r="D631" s="156" t="inlineStr">
        <is>
          <t>Mining</t>
        </is>
      </c>
      <c r="E631" s="156" t="inlineStr">
        <is>
          <t>PC 300-8MO</t>
        </is>
      </c>
      <c r="F631" s="184" t="n">
        <v>504.6</v>
      </c>
    </row>
    <row r="632">
      <c r="A632" s="155" t="n">
        <v>46102</v>
      </c>
      <c r="B632" s="156" t="inlineStr">
        <is>
          <t>EX-222</t>
        </is>
      </c>
      <c r="C632" s="156" t="inlineStr">
        <is>
          <t>Excavator</t>
        </is>
      </c>
      <c r="D632" s="156" t="inlineStr">
        <is>
          <t>Mining</t>
        </is>
      </c>
      <c r="E632" s="156" t="inlineStr">
        <is>
          <t>PC 200-8MI</t>
        </is>
      </c>
      <c r="F632" s="184" t="n">
        <v>186.8</v>
      </c>
    </row>
    <row r="633">
      <c r="A633" s="155" t="n">
        <v>46102</v>
      </c>
      <c r="B633" s="156" t="inlineStr">
        <is>
          <t>EX-223</t>
        </is>
      </c>
      <c r="C633" s="156" t="inlineStr">
        <is>
          <t>Excavator</t>
        </is>
      </c>
      <c r="D633" s="156" t="inlineStr">
        <is>
          <t>Aux</t>
        </is>
      </c>
      <c r="E633" s="156" t="inlineStr">
        <is>
          <t>PC 200-8MI</t>
        </is>
      </c>
      <c r="F633" s="184" t="n">
        <v>222.9</v>
      </c>
    </row>
    <row r="634">
      <c r="A634" s="155" t="n">
        <v>46102</v>
      </c>
      <c r="B634" s="156" t="inlineStr">
        <is>
          <t>EX-221</t>
        </is>
      </c>
      <c r="C634" s="156" t="inlineStr">
        <is>
          <t>Excavator</t>
        </is>
      </c>
      <c r="D634" s="156" t="inlineStr">
        <is>
          <t>Aux</t>
        </is>
      </c>
      <c r="E634" s="156" t="inlineStr">
        <is>
          <t>PC 200-8MI</t>
        </is>
      </c>
      <c r="F634" s="184" t="n">
        <v>132.6</v>
      </c>
    </row>
    <row r="635">
      <c r="A635" s="155" t="n">
        <v>46102</v>
      </c>
      <c r="B635" s="156" t="inlineStr">
        <is>
          <t>EX-335</t>
        </is>
      </c>
      <c r="C635" s="156" t="inlineStr">
        <is>
          <t>Excavator</t>
        </is>
      </c>
      <c r="D635" s="156" t="inlineStr">
        <is>
          <t>Mining</t>
        </is>
      </c>
      <c r="E635" s="156" t="inlineStr">
        <is>
          <t>PC 300-8MO</t>
        </is>
      </c>
      <c r="F635" s="184" t="n">
        <v>382.6</v>
      </c>
    </row>
    <row r="636">
      <c r="A636" s="155" t="n">
        <v>46102</v>
      </c>
      <c r="B636" s="156" t="inlineStr">
        <is>
          <t>EX-1251</t>
        </is>
      </c>
      <c r="C636" s="156" t="inlineStr">
        <is>
          <t>Excavator</t>
        </is>
      </c>
      <c r="D636" s="156" t="inlineStr">
        <is>
          <t>Mining</t>
        </is>
      </c>
      <c r="E636" s="156" t="inlineStr">
        <is>
          <t>SY1250</t>
        </is>
      </c>
      <c r="F636" s="184" t="n">
        <v>877</v>
      </c>
    </row>
    <row r="637">
      <c r="A637" s="155" t="n">
        <v>46102</v>
      </c>
      <c r="B637" s="156" t="inlineStr">
        <is>
          <t>EX-333</t>
        </is>
      </c>
      <c r="C637" s="156" t="inlineStr">
        <is>
          <t>Excavator</t>
        </is>
      </c>
      <c r="D637" s="156" t="inlineStr">
        <is>
          <t>Mining</t>
        </is>
      </c>
      <c r="E637" s="156" t="inlineStr">
        <is>
          <t>PC 300-8MO</t>
        </is>
      </c>
      <c r="F637" s="184" t="n">
        <v>436.1</v>
      </c>
    </row>
    <row r="638">
      <c r="A638" s="155" t="n">
        <v>46102</v>
      </c>
      <c r="B638" s="156" t="inlineStr">
        <is>
          <t>EX-336</t>
        </is>
      </c>
      <c r="C638" s="156" t="inlineStr">
        <is>
          <t>Excavator</t>
        </is>
      </c>
      <c r="D638" s="156" t="inlineStr">
        <is>
          <t>Mining</t>
        </is>
      </c>
      <c r="E638" s="156" t="inlineStr">
        <is>
          <t>PC 300-8MO</t>
        </is>
      </c>
      <c r="F638" s="184" t="n">
        <v>570.5</v>
      </c>
    </row>
    <row r="639">
      <c r="A639" s="155" t="n">
        <v>46102</v>
      </c>
      <c r="B639" s="156" t="inlineStr">
        <is>
          <t>DT-812</t>
        </is>
      </c>
      <c r="C639" s="156" t="inlineStr">
        <is>
          <t>Hauler</t>
        </is>
      </c>
      <c r="D639" s="156" t="inlineStr">
        <is>
          <t>Mining</t>
        </is>
      </c>
      <c r="E639" s="156" t="inlineStr">
        <is>
          <t>SKT 80S</t>
        </is>
      </c>
      <c r="F639" s="184" t="n">
        <v>250.2</v>
      </c>
    </row>
    <row r="640">
      <c r="A640" s="155" t="n">
        <v>46102</v>
      </c>
      <c r="B640" s="156" t="inlineStr">
        <is>
          <t>DT-503</t>
        </is>
      </c>
      <c r="C640" s="156" t="inlineStr">
        <is>
          <t>Hauler</t>
        </is>
      </c>
      <c r="D640" s="156" t="inlineStr">
        <is>
          <t>Mining</t>
        </is>
      </c>
      <c r="E640" s="156" t="inlineStr">
        <is>
          <t>SKT 105S</t>
        </is>
      </c>
      <c r="F640" s="184" t="n">
        <v>385</v>
      </c>
    </row>
    <row r="641">
      <c r="A641" s="155" t="n">
        <v>46102</v>
      </c>
      <c r="B641" s="156" t="inlineStr">
        <is>
          <t>DT-504</t>
        </is>
      </c>
      <c r="C641" s="156" t="inlineStr">
        <is>
          <t>Hauler</t>
        </is>
      </c>
      <c r="D641" s="156" t="inlineStr">
        <is>
          <t>Mining</t>
        </is>
      </c>
      <c r="E641" s="156" t="inlineStr">
        <is>
          <t>SKT 105S</t>
        </is>
      </c>
      <c r="F641" s="184" t="n">
        <v>574</v>
      </c>
    </row>
    <row r="642">
      <c r="A642" s="155" t="n">
        <v>46102</v>
      </c>
      <c r="B642" s="156" t="inlineStr">
        <is>
          <t>DT-507</t>
        </is>
      </c>
      <c r="C642" s="156" t="inlineStr">
        <is>
          <t>Hauler</t>
        </is>
      </c>
      <c r="D642" s="156" t="inlineStr">
        <is>
          <t>Mining</t>
        </is>
      </c>
      <c r="E642" s="156" t="inlineStr">
        <is>
          <t>SKT 105S</t>
        </is>
      </c>
      <c r="F642" s="184" t="n">
        <v>340.5</v>
      </c>
    </row>
    <row r="643">
      <c r="A643" s="155" t="n">
        <v>46102</v>
      </c>
      <c r="B643" s="156" t="inlineStr">
        <is>
          <t>DT-501</t>
        </is>
      </c>
      <c r="C643" s="156" t="inlineStr">
        <is>
          <t>Hauler</t>
        </is>
      </c>
      <c r="D643" s="156" t="inlineStr">
        <is>
          <t>Mining</t>
        </is>
      </c>
      <c r="E643" s="156" t="inlineStr">
        <is>
          <t>SKT 105S</t>
        </is>
      </c>
      <c r="F643" s="184" t="n">
        <v>515.1</v>
      </c>
    </row>
    <row r="644">
      <c r="A644" s="155" t="n">
        <v>46102</v>
      </c>
      <c r="B644" s="156" t="inlineStr">
        <is>
          <t>DT-518</t>
        </is>
      </c>
      <c r="C644" s="156" t="inlineStr">
        <is>
          <t>Hauler</t>
        </is>
      </c>
      <c r="D644" s="156" t="inlineStr">
        <is>
          <t>Mining</t>
        </is>
      </c>
      <c r="E644" s="156" t="inlineStr">
        <is>
          <t>SKT 105S</t>
        </is>
      </c>
      <c r="F644" s="184" t="n">
        <v>426.2</v>
      </c>
    </row>
    <row r="645">
      <c r="A645" s="155" t="n">
        <v>46102</v>
      </c>
      <c r="B645" s="156" t="inlineStr">
        <is>
          <t>DT-523</t>
        </is>
      </c>
      <c r="C645" s="156" t="inlineStr">
        <is>
          <t>Hauler</t>
        </is>
      </c>
      <c r="D645" s="156" t="inlineStr">
        <is>
          <t>Mining</t>
        </is>
      </c>
      <c r="E645" s="156" t="inlineStr">
        <is>
          <t>SKT 105S</t>
        </is>
      </c>
      <c r="F645" s="184" t="n">
        <v>514.9</v>
      </c>
    </row>
    <row r="646">
      <c r="A646" s="155" t="n">
        <v>46102</v>
      </c>
      <c r="B646" s="156" t="inlineStr">
        <is>
          <t>DT-527</t>
        </is>
      </c>
      <c r="C646" s="156" t="inlineStr">
        <is>
          <t>Hauler</t>
        </is>
      </c>
      <c r="D646" s="156" t="inlineStr">
        <is>
          <t>Mining</t>
        </is>
      </c>
      <c r="E646" s="156" t="inlineStr">
        <is>
          <t>SKT 105S</t>
        </is>
      </c>
      <c r="F646" s="184" t="n">
        <v>255.3</v>
      </c>
    </row>
    <row r="647">
      <c r="A647" s="155" t="n">
        <v>46102</v>
      </c>
      <c r="B647" s="156" t="inlineStr">
        <is>
          <t>DT-513</t>
        </is>
      </c>
      <c r="C647" s="156" t="inlineStr">
        <is>
          <t>Hauler</t>
        </is>
      </c>
      <c r="D647" s="156" t="inlineStr">
        <is>
          <t>Mining</t>
        </is>
      </c>
      <c r="E647" s="156" t="inlineStr">
        <is>
          <t>SKT 105S</t>
        </is>
      </c>
      <c r="F647" s="184" t="n">
        <v>396.6</v>
      </c>
    </row>
    <row r="648">
      <c r="A648" s="155" t="n">
        <v>46102</v>
      </c>
      <c r="B648" s="156" t="inlineStr">
        <is>
          <t>DT-512</t>
        </is>
      </c>
      <c r="C648" s="156" t="inlineStr">
        <is>
          <t>Hauler</t>
        </is>
      </c>
      <c r="D648" s="156" t="inlineStr">
        <is>
          <t>Mining</t>
        </is>
      </c>
      <c r="E648" s="156" t="inlineStr">
        <is>
          <t>SKT 105S</t>
        </is>
      </c>
      <c r="F648" s="184" t="n">
        <v>406.3</v>
      </c>
    </row>
    <row r="649">
      <c r="A649" s="155" t="n">
        <v>46102</v>
      </c>
      <c r="B649" s="156" t="inlineStr">
        <is>
          <t>DT-522</t>
        </is>
      </c>
      <c r="C649" s="156" t="inlineStr">
        <is>
          <t>Hauler</t>
        </is>
      </c>
      <c r="D649" s="156" t="inlineStr">
        <is>
          <t>Mining</t>
        </is>
      </c>
      <c r="E649" s="156" t="inlineStr">
        <is>
          <t>SKT 105S</t>
        </is>
      </c>
      <c r="F649" s="184" t="n">
        <v>410.9</v>
      </c>
    </row>
    <row r="650">
      <c r="A650" s="155" t="n">
        <v>46102</v>
      </c>
      <c r="B650" s="156" t="inlineStr">
        <is>
          <t>DT-510</t>
        </is>
      </c>
      <c r="C650" s="156" t="inlineStr">
        <is>
          <t>Hauler</t>
        </is>
      </c>
      <c r="D650" s="156" t="inlineStr">
        <is>
          <t>Mining</t>
        </is>
      </c>
      <c r="E650" s="156" t="inlineStr">
        <is>
          <t>SKT 105S</t>
        </is>
      </c>
      <c r="F650" s="184" t="n">
        <v>393.7</v>
      </c>
    </row>
    <row r="651">
      <c r="A651" s="155" t="n">
        <v>46102</v>
      </c>
      <c r="B651" s="156" t="inlineStr">
        <is>
          <t>DT-521</t>
        </is>
      </c>
      <c r="C651" s="156" t="inlineStr">
        <is>
          <t>Hauler</t>
        </is>
      </c>
      <c r="D651" s="156" t="inlineStr">
        <is>
          <t>Mining</t>
        </is>
      </c>
      <c r="E651" s="156" t="inlineStr">
        <is>
          <t>SKT 105S</t>
        </is>
      </c>
      <c r="F651" s="184" t="n">
        <v>197.5</v>
      </c>
    </row>
    <row r="652">
      <c r="A652" s="155" t="n">
        <v>46102</v>
      </c>
      <c r="B652" s="156" t="inlineStr">
        <is>
          <t>DT-502</t>
        </is>
      </c>
      <c r="C652" s="156" t="inlineStr">
        <is>
          <t>Hauler</t>
        </is>
      </c>
      <c r="D652" s="156" t="inlineStr">
        <is>
          <t>Mining</t>
        </is>
      </c>
      <c r="E652" s="156" t="inlineStr">
        <is>
          <t>SKT 105S</t>
        </is>
      </c>
      <c r="F652" s="184" t="n">
        <v>395.5</v>
      </c>
    </row>
    <row r="653">
      <c r="A653" s="155" t="n">
        <v>46102</v>
      </c>
      <c r="B653" s="156" t="inlineStr">
        <is>
          <t>DT-528</t>
        </is>
      </c>
      <c r="C653" s="156" t="inlineStr">
        <is>
          <t>Hauler</t>
        </is>
      </c>
      <c r="D653" s="156" t="inlineStr">
        <is>
          <t>Mining</t>
        </is>
      </c>
      <c r="E653" s="156" t="inlineStr">
        <is>
          <t>SKT 105S</t>
        </is>
      </c>
      <c r="F653" s="184" t="n">
        <v>466.1</v>
      </c>
    </row>
    <row r="654">
      <c r="A654" s="155" t="n">
        <v>46102</v>
      </c>
      <c r="B654" s="156" t="inlineStr">
        <is>
          <t>DT-520</t>
        </is>
      </c>
      <c r="C654" s="156" t="inlineStr">
        <is>
          <t>Hauler</t>
        </is>
      </c>
      <c r="D654" s="156" t="inlineStr">
        <is>
          <t>Mining</t>
        </is>
      </c>
      <c r="E654" s="156" t="inlineStr">
        <is>
          <t>SKT 105S</t>
        </is>
      </c>
      <c r="F654" s="184" t="n">
        <v>552.9</v>
      </c>
    </row>
    <row r="655">
      <c r="A655" s="155" t="n">
        <v>46102</v>
      </c>
      <c r="B655" s="156" t="inlineStr">
        <is>
          <t>DT-526</t>
        </is>
      </c>
      <c r="C655" s="156" t="inlineStr">
        <is>
          <t>Hauler</t>
        </is>
      </c>
      <c r="D655" s="156" t="inlineStr">
        <is>
          <t>Mining</t>
        </is>
      </c>
      <c r="E655" s="156" t="inlineStr">
        <is>
          <t>SKT 105S</t>
        </is>
      </c>
      <c r="F655" s="184" t="n">
        <v>317</v>
      </c>
    </row>
    <row r="656">
      <c r="A656" s="155" t="n">
        <v>46102</v>
      </c>
      <c r="B656" s="156" t="inlineStr">
        <is>
          <t>DT-508</t>
        </is>
      </c>
      <c r="C656" s="156" t="inlineStr">
        <is>
          <t>Hauler</t>
        </is>
      </c>
      <c r="D656" s="156" t="inlineStr">
        <is>
          <t>Mining</t>
        </is>
      </c>
      <c r="E656" s="156" t="inlineStr">
        <is>
          <t>SKT 105S</t>
        </is>
      </c>
      <c r="F656" s="184" t="n">
        <v>574.4</v>
      </c>
    </row>
    <row r="657">
      <c r="A657" s="155" t="n">
        <v>46102</v>
      </c>
      <c r="B657" s="156" t="inlineStr">
        <is>
          <t>DT-515</t>
        </is>
      </c>
      <c r="C657" s="156" t="inlineStr">
        <is>
          <t>Hauler</t>
        </is>
      </c>
      <c r="D657" s="156" t="inlineStr">
        <is>
          <t>Mining</t>
        </is>
      </c>
      <c r="E657" s="156" t="inlineStr">
        <is>
          <t>SKT 105S</t>
        </is>
      </c>
      <c r="F657" s="184" t="n">
        <v>270.3</v>
      </c>
    </row>
    <row r="658">
      <c r="A658" s="155" t="n">
        <v>46102</v>
      </c>
      <c r="B658" s="156" t="inlineStr">
        <is>
          <t>HT-418</t>
        </is>
      </c>
      <c r="C658" s="156" t="inlineStr">
        <is>
          <t>DT Hauling</t>
        </is>
      </c>
      <c r="D658" s="156" t="inlineStr">
        <is>
          <t>Aux</t>
        </is>
      </c>
      <c r="E658" s="156" t="inlineStr">
        <is>
          <t>SY430</t>
        </is>
      </c>
      <c r="F658" s="184" t="n">
        <v>118.1</v>
      </c>
    </row>
    <row r="659">
      <c r="A659" s="155" t="n">
        <v>46102</v>
      </c>
      <c r="B659" s="156" t="inlineStr">
        <is>
          <t>HT-404</t>
        </is>
      </c>
      <c r="C659" s="156" t="inlineStr">
        <is>
          <t>DT Hauling</t>
        </is>
      </c>
      <c r="D659" s="156" t="inlineStr">
        <is>
          <t>Aux</t>
        </is>
      </c>
      <c r="E659" s="156" t="inlineStr">
        <is>
          <t>SY430</t>
        </is>
      </c>
      <c r="F659" s="184" t="n">
        <v>207.5</v>
      </c>
    </row>
    <row r="660">
      <c r="A660" s="155" t="n">
        <v>46102</v>
      </c>
      <c r="B660" s="156" t="inlineStr">
        <is>
          <t>HT-405</t>
        </is>
      </c>
      <c r="C660" s="156" t="inlineStr">
        <is>
          <t>DT Hauling</t>
        </is>
      </c>
      <c r="D660" s="156" t="inlineStr">
        <is>
          <t>Aux</t>
        </is>
      </c>
      <c r="E660" s="156" t="inlineStr">
        <is>
          <t>SY430</t>
        </is>
      </c>
      <c r="F660" s="184" t="n">
        <v>355.1</v>
      </c>
    </row>
    <row r="661">
      <c r="A661" s="155" t="n">
        <v>46102</v>
      </c>
      <c r="B661" s="156" t="inlineStr">
        <is>
          <t>HT-402</t>
        </is>
      </c>
      <c r="C661" s="156" t="inlineStr">
        <is>
          <t>DT Hauling</t>
        </is>
      </c>
      <c r="D661" s="156" t="inlineStr">
        <is>
          <t>Aux</t>
        </is>
      </c>
      <c r="E661" s="156" t="inlineStr">
        <is>
          <t>SY430</t>
        </is>
      </c>
      <c r="F661" s="184" t="n">
        <v>267.5</v>
      </c>
    </row>
    <row r="662">
      <c r="A662" s="155" t="n">
        <v>46102</v>
      </c>
      <c r="B662" s="156" t="inlineStr">
        <is>
          <t>HT-416</t>
        </is>
      </c>
      <c r="C662" s="156" t="inlineStr">
        <is>
          <t>DT Hauling</t>
        </is>
      </c>
      <c r="D662" s="156" t="inlineStr">
        <is>
          <t>Aux</t>
        </is>
      </c>
      <c r="E662" s="156" t="inlineStr">
        <is>
          <t>SY430</t>
        </is>
      </c>
      <c r="F662" s="184" t="n">
        <v>385.2</v>
      </c>
    </row>
    <row r="663">
      <c r="A663" s="155" t="n">
        <v>46102</v>
      </c>
      <c r="B663" s="156" t="inlineStr">
        <is>
          <t>HT-420</t>
        </is>
      </c>
      <c r="C663" s="156" t="inlineStr">
        <is>
          <t>DT Hauling</t>
        </is>
      </c>
      <c r="D663" s="156" t="inlineStr">
        <is>
          <t>Aux</t>
        </is>
      </c>
      <c r="E663" s="156" t="inlineStr">
        <is>
          <t>SY430</t>
        </is>
      </c>
      <c r="F663" s="184" t="n">
        <v>369.6</v>
      </c>
    </row>
    <row r="664">
      <c r="A664" s="155" t="n">
        <v>46102</v>
      </c>
      <c r="B664" s="156" t="inlineStr">
        <is>
          <t>HT-403</t>
        </is>
      </c>
      <c r="C664" s="156" t="inlineStr">
        <is>
          <t>DT Hauling</t>
        </is>
      </c>
      <c r="D664" s="156" t="inlineStr">
        <is>
          <t>Aux</t>
        </is>
      </c>
      <c r="E664" s="156" t="inlineStr">
        <is>
          <t>SY430</t>
        </is>
      </c>
      <c r="F664" s="184" t="n">
        <v>217.3</v>
      </c>
    </row>
    <row r="665">
      <c r="A665" s="155" t="n">
        <v>46102</v>
      </c>
      <c r="B665" s="156" t="inlineStr">
        <is>
          <t>HT-408</t>
        </is>
      </c>
      <c r="C665" s="156" t="inlineStr">
        <is>
          <t>DT Hauling</t>
        </is>
      </c>
      <c r="D665" s="156" t="inlineStr">
        <is>
          <t>Aux</t>
        </is>
      </c>
      <c r="E665" s="156" t="inlineStr">
        <is>
          <t>SY430</t>
        </is>
      </c>
      <c r="F665" s="184" t="n">
        <v>176.6</v>
      </c>
    </row>
    <row r="666">
      <c r="A666" s="155" t="n">
        <v>46102</v>
      </c>
      <c r="B666" s="156" t="inlineStr">
        <is>
          <t>HT-412</t>
        </is>
      </c>
      <c r="C666" s="156" t="inlineStr">
        <is>
          <t>DT Hauling</t>
        </is>
      </c>
      <c r="D666" s="156" t="inlineStr">
        <is>
          <t>Aux</t>
        </is>
      </c>
      <c r="E666" s="156" t="inlineStr">
        <is>
          <t>SY430</t>
        </is>
      </c>
      <c r="F666" s="184" t="n">
        <v>198.8</v>
      </c>
    </row>
    <row r="667">
      <c r="A667" s="155" t="n">
        <v>46102</v>
      </c>
      <c r="B667" s="156" t="inlineStr">
        <is>
          <t>HT-407</t>
        </is>
      </c>
      <c r="C667" s="156" t="inlineStr">
        <is>
          <t>DT Hauling</t>
        </is>
      </c>
      <c r="D667" s="156" t="inlineStr">
        <is>
          <t>Aux</t>
        </is>
      </c>
      <c r="E667" s="156" t="inlineStr">
        <is>
          <t>SY430</t>
        </is>
      </c>
      <c r="F667" s="184" t="n">
        <v>188.8</v>
      </c>
    </row>
    <row r="668">
      <c r="A668" s="155" t="n">
        <v>46102</v>
      </c>
      <c r="B668" s="156" t="inlineStr">
        <is>
          <t>HT-411</t>
        </is>
      </c>
      <c r="C668" s="156" t="inlineStr">
        <is>
          <t>DT Hauling</t>
        </is>
      </c>
      <c r="D668" s="156" t="inlineStr">
        <is>
          <t>Aux</t>
        </is>
      </c>
      <c r="E668" s="156" t="inlineStr">
        <is>
          <t>SY430</t>
        </is>
      </c>
      <c r="F668" s="184" t="n">
        <v>337</v>
      </c>
    </row>
    <row r="669">
      <c r="A669" s="155" t="n">
        <v>46102</v>
      </c>
      <c r="B669" s="156" t="inlineStr">
        <is>
          <t>HT-409</t>
        </is>
      </c>
      <c r="C669" s="156" t="inlineStr">
        <is>
          <t>DT Hauling</t>
        </is>
      </c>
      <c r="D669" s="156" t="inlineStr">
        <is>
          <t>Aux</t>
        </is>
      </c>
      <c r="E669" s="156" t="inlineStr">
        <is>
          <t>SY430</t>
        </is>
      </c>
      <c r="F669" s="184" t="n">
        <v>188.6</v>
      </c>
    </row>
    <row r="670">
      <c r="A670" s="155" t="n">
        <v>46102</v>
      </c>
      <c r="B670" s="156" t="inlineStr">
        <is>
          <t>DZ-033</t>
        </is>
      </c>
      <c r="C670" s="156" t="inlineStr">
        <is>
          <t>Bulldozer</t>
        </is>
      </c>
      <c r="D670" s="156" t="inlineStr">
        <is>
          <t>Mining</t>
        </is>
      </c>
      <c r="E670" s="156" t="inlineStr">
        <is>
          <t>D 375A-6R</t>
        </is>
      </c>
      <c r="F670" s="184" t="n">
        <v>1216.8</v>
      </c>
    </row>
    <row r="671">
      <c r="A671" s="155" t="n">
        <v>46102</v>
      </c>
      <c r="B671" s="156" t="inlineStr">
        <is>
          <t>DZ-039</t>
        </is>
      </c>
      <c r="C671" s="156" t="inlineStr">
        <is>
          <t>Bulldozer</t>
        </is>
      </c>
      <c r="D671" s="156" t="inlineStr">
        <is>
          <t>Mining</t>
        </is>
      </c>
      <c r="E671" s="156" t="inlineStr">
        <is>
          <t>D 85 ESS-2</t>
        </is>
      </c>
      <c r="F671" s="184" t="n">
        <v>260.3</v>
      </c>
    </row>
    <row r="672">
      <c r="A672" s="155" t="n">
        <v>46102</v>
      </c>
      <c r="B672" s="156" t="inlineStr">
        <is>
          <t>DZ-036</t>
        </is>
      </c>
      <c r="C672" s="156" t="inlineStr">
        <is>
          <t>Bulldozer</t>
        </is>
      </c>
      <c r="D672" s="156" t="inlineStr">
        <is>
          <t>Aux</t>
        </is>
      </c>
      <c r="E672" s="156" t="inlineStr">
        <is>
          <t>D 85 ESS-2</t>
        </is>
      </c>
      <c r="F672" s="184" t="n">
        <v>89.8</v>
      </c>
    </row>
    <row r="673">
      <c r="A673" s="155" t="n">
        <v>46102</v>
      </c>
      <c r="B673" s="156" t="inlineStr">
        <is>
          <t>DZ-035</t>
        </is>
      </c>
      <c r="C673" s="156" t="inlineStr">
        <is>
          <t>Bulldozer</t>
        </is>
      </c>
      <c r="D673" s="156" t="inlineStr">
        <is>
          <t>Mining</t>
        </is>
      </c>
      <c r="E673" s="156" t="inlineStr">
        <is>
          <t>D 85 ESS-2</t>
        </is>
      </c>
      <c r="F673" s="184" t="n">
        <v>519.2</v>
      </c>
    </row>
    <row r="674">
      <c r="A674" s="155" t="n">
        <v>46102</v>
      </c>
      <c r="B674" s="156" t="inlineStr">
        <is>
          <t>DZ-031</t>
        </is>
      </c>
      <c r="C674" s="156" t="inlineStr">
        <is>
          <t>Bulldozer</t>
        </is>
      </c>
      <c r="D674" s="156" t="inlineStr">
        <is>
          <t>Mining</t>
        </is>
      </c>
      <c r="E674" s="156" t="inlineStr">
        <is>
          <t>CAT</t>
        </is>
      </c>
      <c r="F674" s="184" t="n">
        <v>705.3</v>
      </c>
    </row>
    <row r="675">
      <c r="A675" s="155" t="n">
        <v>46102</v>
      </c>
      <c r="B675" s="156" t="inlineStr">
        <is>
          <t>GD-012</t>
        </is>
      </c>
      <c r="C675" s="156" t="inlineStr">
        <is>
          <t>Grader</t>
        </is>
      </c>
      <c r="D675" s="156" t="inlineStr">
        <is>
          <t>Mining</t>
        </is>
      </c>
      <c r="E675" s="156" t="inlineStr">
        <is>
          <t>STG 230C - 8S</t>
        </is>
      </c>
      <c r="F675" s="184" t="n">
        <v>131.3</v>
      </c>
    </row>
    <row r="676">
      <c r="A676" s="155" t="n">
        <v>46102</v>
      </c>
      <c r="B676" s="156" t="inlineStr">
        <is>
          <t>GD-013</t>
        </is>
      </c>
      <c r="C676" s="156" t="inlineStr">
        <is>
          <t>Grader</t>
        </is>
      </c>
      <c r="D676" s="156" t="inlineStr">
        <is>
          <t>Mining</t>
        </is>
      </c>
      <c r="E676" s="156" t="inlineStr">
        <is>
          <t>STG 265C - 10</t>
        </is>
      </c>
      <c r="F676" s="184" t="n">
        <v>425.1</v>
      </c>
    </row>
    <row r="677">
      <c r="A677" s="155" t="n">
        <v>46102</v>
      </c>
      <c r="B677" s="156" t="inlineStr">
        <is>
          <t>GD-014</t>
        </is>
      </c>
      <c r="C677" s="156" t="inlineStr">
        <is>
          <t>Grader</t>
        </is>
      </c>
      <c r="D677" s="156" t="inlineStr">
        <is>
          <t>Mining</t>
        </is>
      </c>
      <c r="E677" s="156" t="inlineStr">
        <is>
          <t>STG 335C - 10</t>
        </is>
      </c>
      <c r="F677" s="184" t="n">
        <v>362.7</v>
      </c>
    </row>
    <row r="678">
      <c r="A678" s="155" t="n">
        <v>46102</v>
      </c>
      <c r="B678" s="156" t="inlineStr">
        <is>
          <t>CP-042</t>
        </is>
      </c>
      <c r="C678" s="156" t="inlineStr">
        <is>
          <t>Compactor</t>
        </is>
      </c>
      <c r="D678" s="156" t="inlineStr">
        <is>
          <t>Aux</t>
        </is>
      </c>
      <c r="E678" s="156" t="inlineStr">
        <is>
          <t>SANY - Compactor</t>
        </is>
      </c>
      <c r="F678" s="184" t="n">
        <v>195.2</v>
      </c>
    </row>
    <row r="679">
      <c r="A679" s="155" t="n">
        <v>46102</v>
      </c>
      <c r="B679" s="156" t="inlineStr">
        <is>
          <t>WL-025</t>
        </is>
      </c>
      <c r="C679" s="156" t="inlineStr">
        <is>
          <t>Loader</t>
        </is>
      </c>
      <c r="D679" s="156" t="inlineStr">
        <is>
          <t>Aux</t>
        </is>
      </c>
      <c r="E679" s="156" t="inlineStr">
        <is>
          <t>SANY - Loader</t>
        </is>
      </c>
      <c r="F679" s="184" t="n">
        <v>152.6</v>
      </c>
    </row>
    <row r="680">
      <c r="A680" s="155" t="n">
        <v>46102</v>
      </c>
      <c r="B680" s="156" t="inlineStr">
        <is>
          <t>WL-023</t>
        </is>
      </c>
      <c r="C680" s="156" t="inlineStr">
        <is>
          <t>Loader</t>
        </is>
      </c>
      <c r="D680" s="156" t="inlineStr">
        <is>
          <t>Aux</t>
        </is>
      </c>
      <c r="E680" s="156" t="inlineStr">
        <is>
          <t>SANY - Loader</t>
        </is>
      </c>
      <c r="F680" s="184" t="n">
        <v>183.9</v>
      </c>
    </row>
    <row r="681">
      <c r="A681" s="155" t="n">
        <v>46102</v>
      </c>
      <c r="B681" s="156" t="inlineStr">
        <is>
          <t>LV-06</t>
        </is>
      </c>
      <c r="C681" s="156" t="inlineStr">
        <is>
          <t>LV &amp; sarana</t>
        </is>
      </c>
      <c r="D681" s="156" t="inlineStr">
        <is>
          <t>Aux</t>
        </is>
      </c>
      <c r="E681" s="156" t="inlineStr">
        <is>
          <t>Light vehicle</t>
        </is>
      </c>
      <c r="F681" s="184" t="n">
        <v>48.7</v>
      </c>
    </row>
    <row r="682">
      <c r="A682" s="155" t="n">
        <v>46102</v>
      </c>
      <c r="B682" s="156" t="inlineStr">
        <is>
          <t>LV-07</t>
        </is>
      </c>
      <c r="C682" s="156" t="inlineStr">
        <is>
          <t>LV &amp; sarana</t>
        </is>
      </c>
      <c r="D682" s="156" t="inlineStr">
        <is>
          <t>Aux</t>
        </is>
      </c>
      <c r="E682" s="156" t="inlineStr">
        <is>
          <t>Light vehicle</t>
        </is>
      </c>
      <c r="F682" s="184" t="n">
        <v>41.3</v>
      </c>
    </row>
    <row r="683">
      <c r="A683" s="155" t="n">
        <v>46102</v>
      </c>
      <c r="B683" s="156" t="inlineStr">
        <is>
          <t>LV-09</t>
        </is>
      </c>
      <c r="C683" s="156" t="inlineStr">
        <is>
          <t>LV &amp; sarana</t>
        </is>
      </c>
      <c r="D683" s="156" t="inlineStr">
        <is>
          <t>Aux</t>
        </is>
      </c>
      <c r="E683" s="156" t="inlineStr">
        <is>
          <t>Light vehicle</t>
        </is>
      </c>
      <c r="F683" s="184" t="n">
        <v>43.1</v>
      </c>
    </row>
    <row r="684">
      <c r="A684" s="155" t="n">
        <v>46102</v>
      </c>
      <c r="B684" s="156" t="inlineStr">
        <is>
          <t>LV-10</t>
        </is>
      </c>
      <c r="C684" s="156" t="inlineStr">
        <is>
          <t>LV &amp; sarana</t>
        </is>
      </c>
      <c r="D684" s="156" t="inlineStr">
        <is>
          <t>Aux</t>
        </is>
      </c>
      <c r="E684" s="156" t="inlineStr">
        <is>
          <t>Light vehicle</t>
        </is>
      </c>
      <c r="F684" s="184" t="n">
        <v>55.9</v>
      </c>
    </row>
    <row r="685">
      <c r="A685" s="155" t="n">
        <v>46102</v>
      </c>
      <c r="B685" s="156" t="inlineStr">
        <is>
          <t>LV-11</t>
        </is>
      </c>
      <c r="C685" s="156" t="inlineStr">
        <is>
          <t>LV &amp; sarana</t>
        </is>
      </c>
      <c r="D685" s="156" t="inlineStr">
        <is>
          <t>Aux</t>
        </is>
      </c>
      <c r="E685" s="156" t="inlineStr">
        <is>
          <t>Light vehicle</t>
        </is>
      </c>
      <c r="F685" s="184" t="n">
        <v>54.5</v>
      </c>
    </row>
    <row r="686">
      <c r="A686" s="155" t="n">
        <v>46102</v>
      </c>
      <c r="B686" s="156" t="inlineStr">
        <is>
          <t>LV-12</t>
        </is>
      </c>
      <c r="C686" s="156" t="inlineStr">
        <is>
          <t>LV &amp; sarana</t>
        </is>
      </c>
      <c r="D686" s="156" t="inlineStr">
        <is>
          <t>Aux</t>
        </is>
      </c>
      <c r="E686" s="156" t="inlineStr">
        <is>
          <t>Light vehicle</t>
        </is>
      </c>
      <c r="F686" s="184" t="n">
        <v>53.8</v>
      </c>
    </row>
    <row r="687">
      <c r="A687" s="155" t="n">
        <v>46102</v>
      </c>
      <c r="B687" s="156" t="inlineStr">
        <is>
          <t>VD-01</t>
        </is>
      </c>
      <c r="C687" s="156" t="inlineStr">
        <is>
          <t>Vendor</t>
        </is>
      </c>
      <c r="D687" s="156" t="inlineStr">
        <is>
          <t>Vendor</t>
        </is>
      </c>
      <c r="E687" s="156" t="inlineStr">
        <is>
          <t>Alat vendor</t>
        </is>
      </c>
      <c r="F687" s="184" t="n">
        <v>43.3</v>
      </c>
    </row>
    <row r="688">
      <c r="A688" s="155" t="n">
        <v>46102</v>
      </c>
      <c r="B688" s="156" t="inlineStr">
        <is>
          <t>AL-04</t>
        </is>
      </c>
      <c r="C688" s="156" t="inlineStr">
        <is>
          <t>Alat lain</t>
        </is>
      </c>
      <c r="D688" s="156" t="inlineStr">
        <is>
          <t>Mining</t>
        </is>
      </c>
      <c r="E688" s="156" t="inlineStr">
        <is>
          <t>Alat lain</t>
        </is>
      </c>
      <c r="F688" s="184" t="n">
        <v>606.2</v>
      </c>
    </row>
    <row r="689">
      <c r="A689" s="155" t="n">
        <v>46102</v>
      </c>
      <c r="B689" s="156" t="inlineStr">
        <is>
          <t>TS-01</t>
        </is>
      </c>
      <c r="C689" s="156" t="inlineStr">
        <is>
          <t>Truk support</t>
        </is>
      </c>
      <c r="D689" s="156" t="inlineStr">
        <is>
          <t>Mining</t>
        </is>
      </c>
      <c r="E689" s="156" t="inlineStr">
        <is>
          <t>Truk support</t>
        </is>
      </c>
      <c r="F689" s="184" t="n">
        <v>136.2</v>
      </c>
    </row>
    <row r="690">
      <c r="A690" s="155" t="n">
        <v>46102</v>
      </c>
      <c r="B690" s="156" t="inlineStr">
        <is>
          <t>AL-05</t>
        </is>
      </c>
      <c r="C690" s="156" t="inlineStr">
        <is>
          <t>Alat lain</t>
        </is>
      </c>
      <c r="D690" s="156" t="inlineStr">
        <is>
          <t>Mining</t>
        </is>
      </c>
      <c r="E690" s="156" t="inlineStr">
        <is>
          <t>Alat lain</t>
        </is>
      </c>
      <c r="F690" s="184" t="n">
        <v>585.7</v>
      </c>
    </row>
    <row r="691">
      <c r="A691" s="155" t="n">
        <v>46102</v>
      </c>
      <c r="B691" s="156" t="inlineStr">
        <is>
          <t>AL-09</t>
        </is>
      </c>
      <c r="C691" s="156" t="inlineStr">
        <is>
          <t>Alat lain</t>
        </is>
      </c>
      <c r="D691" s="156" t="inlineStr">
        <is>
          <t>Mining</t>
        </is>
      </c>
      <c r="E691" s="156" t="inlineStr">
        <is>
          <t>Alat lain</t>
        </is>
      </c>
      <c r="F691" s="184" t="n">
        <v>25.4</v>
      </c>
    </row>
    <row r="692">
      <c r="A692" s="155" t="n">
        <v>46102</v>
      </c>
      <c r="B692" s="156" t="inlineStr">
        <is>
          <t>AL-10</t>
        </is>
      </c>
      <c r="C692" s="156" t="inlineStr">
        <is>
          <t>Alat lain</t>
        </is>
      </c>
      <c r="D692" s="156" t="inlineStr">
        <is>
          <t>Mining</t>
        </is>
      </c>
      <c r="E692" s="156" t="inlineStr">
        <is>
          <t>Alat lain</t>
        </is>
      </c>
      <c r="F692" s="184" t="n">
        <v>21</v>
      </c>
    </row>
    <row r="693">
      <c r="A693" s="155" t="n">
        <v>46102</v>
      </c>
      <c r="B693" s="156" t="inlineStr">
        <is>
          <t>GS-01</t>
        </is>
      </c>
      <c r="C693" s="156" t="inlineStr">
        <is>
          <t>Genset</t>
        </is>
      </c>
      <c r="D693" s="156" t="inlineStr">
        <is>
          <t>Aux</t>
        </is>
      </c>
      <c r="E693" s="156" t="inlineStr">
        <is>
          <t>Genset</t>
        </is>
      </c>
      <c r="F693" s="184" t="n">
        <v>289.6</v>
      </c>
    </row>
    <row r="694">
      <c r="A694" s="155" t="n">
        <v>46102</v>
      </c>
      <c r="B694" s="156" t="inlineStr">
        <is>
          <t>GS-03</t>
        </is>
      </c>
      <c r="C694" s="156" t="inlineStr">
        <is>
          <t>Genset</t>
        </is>
      </c>
      <c r="D694" s="156" t="inlineStr">
        <is>
          <t>Aux</t>
        </is>
      </c>
      <c r="E694" s="156" t="inlineStr">
        <is>
          <t>Genset</t>
        </is>
      </c>
      <c r="F694" s="184" t="n">
        <v>135.9</v>
      </c>
    </row>
    <row r="695">
      <c r="A695" s="155" t="n">
        <v>46102</v>
      </c>
      <c r="B695" s="156" t="inlineStr">
        <is>
          <t>GS-04</t>
        </is>
      </c>
      <c r="C695" s="156" t="inlineStr">
        <is>
          <t>Genset</t>
        </is>
      </c>
      <c r="D695" s="156" t="inlineStr">
        <is>
          <t>Aux</t>
        </is>
      </c>
      <c r="E695" s="156" t="inlineStr">
        <is>
          <t>Genset</t>
        </is>
      </c>
      <c r="F695" s="184" t="n">
        <v>739.8</v>
      </c>
    </row>
    <row r="696">
      <c r="A696" s="155" t="n">
        <v>46102</v>
      </c>
      <c r="B696" s="156" t="inlineStr">
        <is>
          <t>GS-07</t>
        </is>
      </c>
      <c r="C696" s="156" t="inlineStr">
        <is>
          <t>Genset</t>
        </is>
      </c>
      <c r="D696" s="156" t="inlineStr">
        <is>
          <t>Aux</t>
        </is>
      </c>
      <c r="E696" s="156" t="inlineStr">
        <is>
          <t>Genset</t>
        </is>
      </c>
      <c r="F696" s="184" t="n">
        <v>5.9</v>
      </c>
    </row>
    <row r="697">
      <c r="A697" s="155" t="n">
        <v>46102</v>
      </c>
      <c r="B697" s="156" t="inlineStr">
        <is>
          <t>GS-08</t>
        </is>
      </c>
      <c r="C697" s="156" t="inlineStr">
        <is>
          <t>Genset</t>
        </is>
      </c>
      <c r="D697" s="156" t="inlineStr">
        <is>
          <t>Aux</t>
        </is>
      </c>
      <c r="E697" s="156" t="inlineStr">
        <is>
          <t>Genset</t>
        </is>
      </c>
      <c r="F697" s="184" t="n">
        <v>49.6</v>
      </c>
    </row>
    <row r="698">
      <c r="A698" s="155" t="n">
        <v>46102</v>
      </c>
      <c r="B698" s="156" t="inlineStr">
        <is>
          <t>WP-05</t>
        </is>
      </c>
      <c r="C698" s="156" t="inlineStr">
        <is>
          <t>Pompa air</t>
        </is>
      </c>
      <c r="D698" s="156" t="inlineStr">
        <is>
          <t>Mining</t>
        </is>
      </c>
      <c r="E698" s="156" t="inlineStr">
        <is>
          <t>Pompa air</t>
        </is>
      </c>
      <c r="F698" s="184" t="n">
        <v>1568.2</v>
      </c>
    </row>
    <row r="699">
      <c r="A699" s="155" t="n">
        <v>46102</v>
      </c>
      <c r="B699" s="156" t="inlineStr">
        <is>
          <t>DT-342</t>
        </is>
      </c>
      <c r="C699" s="156" t="inlineStr">
        <is>
          <t>Hauler</t>
        </is>
      </c>
      <c r="D699" s="156" t="inlineStr">
        <is>
          <t>Aux</t>
        </is>
      </c>
      <c r="E699" s="156" t="inlineStr">
        <is>
          <t>SYZ324C-8W</t>
        </is>
      </c>
      <c r="F699" s="184" t="n">
        <v>110.3</v>
      </c>
    </row>
    <row r="700">
      <c r="A700" s="155" t="n">
        <v>46102</v>
      </c>
      <c r="B700" s="156" t="inlineStr">
        <is>
          <t>WL-022</t>
        </is>
      </c>
      <c r="C700" s="156" t="inlineStr">
        <is>
          <t>Loader</t>
        </is>
      </c>
      <c r="D700" s="156" t="inlineStr">
        <is>
          <t>Aux</t>
        </is>
      </c>
      <c r="E700" s="156" t="inlineStr">
        <is>
          <t>SANY - Loader</t>
        </is>
      </c>
      <c r="F700" s="184" t="n">
        <v>264.3</v>
      </c>
    </row>
    <row r="701">
      <c r="A701" s="155" t="n">
        <v>46102</v>
      </c>
      <c r="B701" s="156" t="inlineStr">
        <is>
          <t>WL-024</t>
        </is>
      </c>
      <c r="C701" s="156" t="inlineStr">
        <is>
          <t>Loader</t>
        </is>
      </c>
      <c r="D701" s="156" t="inlineStr">
        <is>
          <t>Aux</t>
        </is>
      </c>
      <c r="E701" s="156" t="inlineStr">
        <is>
          <t>SANY - Loader</t>
        </is>
      </c>
      <c r="F701" s="184" t="n">
        <v>201.4</v>
      </c>
    </row>
    <row r="702">
      <c r="A702" s="155" t="n">
        <v>46109</v>
      </c>
      <c r="B702" s="156" t="inlineStr">
        <is>
          <t>EX-754</t>
        </is>
      </c>
      <c r="C702" s="156" t="inlineStr">
        <is>
          <t>Excavator</t>
        </is>
      </c>
      <c r="D702" s="156" t="inlineStr">
        <is>
          <t>Mining</t>
        </is>
      </c>
      <c r="E702" s="156" t="inlineStr">
        <is>
          <t>SY750H-PRO</t>
        </is>
      </c>
      <c r="F702" s="184" t="n">
        <v>477.7</v>
      </c>
    </row>
    <row r="703">
      <c r="A703" s="155" t="n">
        <v>46109</v>
      </c>
      <c r="B703" s="156" t="inlineStr">
        <is>
          <t>EX-755</t>
        </is>
      </c>
      <c r="C703" s="156" t="inlineStr">
        <is>
          <t>Excavator</t>
        </is>
      </c>
      <c r="D703" s="156" t="inlineStr">
        <is>
          <t>Mining</t>
        </is>
      </c>
      <c r="E703" s="156" t="inlineStr">
        <is>
          <t>SY750H-PRO</t>
        </is>
      </c>
      <c r="F703" s="184" t="n">
        <v>575.7</v>
      </c>
    </row>
    <row r="704">
      <c r="A704" s="155" t="n">
        <v>46109</v>
      </c>
      <c r="B704" s="156" t="inlineStr">
        <is>
          <t>EX-753</t>
        </is>
      </c>
      <c r="C704" s="156" t="inlineStr">
        <is>
          <t>Excavator</t>
        </is>
      </c>
      <c r="D704" s="156" t="inlineStr">
        <is>
          <t>Mining</t>
        </is>
      </c>
      <c r="E704" s="156" t="inlineStr">
        <is>
          <t>SY750H-PRO</t>
        </is>
      </c>
      <c r="F704" s="184" t="n">
        <v>757.7</v>
      </c>
    </row>
    <row r="705">
      <c r="A705" s="155" t="n">
        <v>46109</v>
      </c>
      <c r="B705" s="156" t="inlineStr">
        <is>
          <t>EX-334</t>
        </is>
      </c>
      <c r="C705" s="156" t="inlineStr">
        <is>
          <t>Excavator</t>
        </is>
      </c>
      <c r="D705" s="156" t="inlineStr">
        <is>
          <t>Mining</t>
        </is>
      </c>
      <c r="E705" s="156" t="inlineStr">
        <is>
          <t>PC 300-8MO</t>
        </is>
      </c>
      <c r="F705" s="184" t="n">
        <v>602.6</v>
      </c>
    </row>
    <row r="706">
      <c r="A706" s="155" t="n">
        <v>46109</v>
      </c>
      <c r="B706" s="156" t="inlineStr">
        <is>
          <t>EX-222</t>
        </is>
      </c>
      <c r="C706" s="156" t="inlineStr">
        <is>
          <t>Excavator</t>
        </is>
      </c>
      <c r="D706" s="156" t="inlineStr">
        <is>
          <t>Mining</t>
        </is>
      </c>
      <c r="E706" s="156" t="inlineStr">
        <is>
          <t>PC 200-8MI</t>
        </is>
      </c>
      <c r="F706" s="184" t="n">
        <v>245.7</v>
      </c>
    </row>
    <row r="707">
      <c r="A707" s="155" t="n">
        <v>46109</v>
      </c>
      <c r="B707" s="156" t="inlineStr">
        <is>
          <t>EX-223</t>
        </is>
      </c>
      <c r="C707" s="156" t="inlineStr">
        <is>
          <t>Excavator</t>
        </is>
      </c>
      <c r="D707" s="156" t="inlineStr">
        <is>
          <t>Aux</t>
        </is>
      </c>
      <c r="E707" s="156" t="inlineStr">
        <is>
          <t>PC 200-8MI</t>
        </is>
      </c>
      <c r="F707" s="184" t="n">
        <v>163</v>
      </c>
    </row>
    <row r="708">
      <c r="A708" s="155" t="n">
        <v>46109</v>
      </c>
      <c r="B708" s="156" t="inlineStr">
        <is>
          <t>EX-335</t>
        </is>
      </c>
      <c r="C708" s="156" t="inlineStr">
        <is>
          <t>Excavator</t>
        </is>
      </c>
      <c r="D708" s="156" t="inlineStr">
        <is>
          <t>Mining</t>
        </is>
      </c>
      <c r="E708" s="156" t="inlineStr">
        <is>
          <t>PC 300-8MO</t>
        </is>
      </c>
      <c r="F708" s="184" t="n">
        <v>490.3</v>
      </c>
    </row>
    <row r="709">
      <c r="A709" s="155" t="n">
        <v>46109</v>
      </c>
      <c r="B709" s="156" t="inlineStr">
        <is>
          <t>EX-333</t>
        </is>
      </c>
      <c r="C709" s="156" t="inlineStr">
        <is>
          <t>Excavator</t>
        </is>
      </c>
      <c r="D709" s="156" t="inlineStr">
        <is>
          <t>Mining</t>
        </is>
      </c>
      <c r="E709" s="156" t="inlineStr">
        <is>
          <t>PC 300-8MO</t>
        </is>
      </c>
      <c r="F709" s="184" t="n">
        <v>426</v>
      </c>
    </row>
    <row r="710">
      <c r="A710" s="155" t="n">
        <v>46109</v>
      </c>
      <c r="B710" s="156" t="inlineStr">
        <is>
          <t>EX-336</t>
        </is>
      </c>
      <c r="C710" s="156" t="inlineStr">
        <is>
          <t>Excavator</t>
        </is>
      </c>
      <c r="D710" s="156" t="inlineStr">
        <is>
          <t>Mining</t>
        </is>
      </c>
      <c r="E710" s="156" t="inlineStr">
        <is>
          <t>PC 300-8MO</t>
        </is>
      </c>
      <c r="F710" s="184" t="n">
        <v>440.7</v>
      </c>
    </row>
    <row r="711">
      <c r="A711" s="155" t="n">
        <v>46109</v>
      </c>
      <c r="B711" s="156" t="inlineStr">
        <is>
          <t>DT-810</t>
        </is>
      </c>
      <c r="C711" s="156" t="inlineStr">
        <is>
          <t>Hauler</t>
        </is>
      </c>
      <c r="D711" s="156" t="inlineStr">
        <is>
          <t>Mining</t>
        </is>
      </c>
      <c r="E711" s="156" t="inlineStr">
        <is>
          <t>SKT 80S</t>
        </is>
      </c>
      <c r="F711" s="184" t="n">
        <v>200.4</v>
      </c>
    </row>
    <row r="712">
      <c r="A712" s="155" t="n">
        <v>46109</v>
      </c>
      <c r="B712" s="156" t="inlineStr">
        <is>
          <t>DT-503</t>
        </is>
      </c>
      <c r="C712" s="156" t="inlineStr">
        <is>
          <t>Hauler</t>
        </is>
      </c>
      <c r="D712" s="156" t="inlineStr">
        <is>
          <t>Mining</t>
        </is>
      </c>
      <c r="E712" s="156" t="inlineStr">
        <is>
          <t>SKT 105S</t>
        </is>
      </c>
      <c r="F712" s="184" t="n">
        <v>441.7</v>
      </c>
    </row>
    <row r="713">
      <c r="A713" s="155" t="n">
        <v>46109</v>
      </c>
      <c r="B713" s="156" t="inlineStr">
        <is>
          <t>DT-504</t>
        </is>
      </c>
      <c r="C713" s="156" t="inlineStr">
        <is>
          <t>Hauler</t>
        </is>
      </c>
      <c r="D713" s="156" t="inlineStr">
        <is>
          <t>Mining</t>
        </is>
      </c>
      <c r="E713" s="156" t="inlineStr">
        <is>
          <t>SKT 105S</t>
        </is>
      </c>
      <c r="F713" s="184" t="n">
        <v>81.7</v>
      </c>
    </row>
    <row r="714">
      <c r="A714" s="155" t="n">
        <v>46109</v>
      </c>
      <c r="B714" s="156" t="inlineStr">
        <is>
          <t>DT-501</t>
        </is>
      </c>
      <c r="C714" s="156" t="inlineStr">
        <is>
          <t>Hauler</t>
        </is>
      </c>
      <c r="D714" s="156" t="inlineStr">
        <is>
          <t>Mining</t>
        </is>
      </c>
      <c r="E714" s="156" t="inlineStr">
        <is>
          <t>SKT 105S</t>
        </is>
      </c>
      <c r="F714" s="184" t="n">
        <v>146.9</v>
      </c>
    </row>
    <row r="715">
      <c r="A715" s="155" t="n">
        <v>46109</v>
      </c>
      <c r="B715" s="156" t="inlineStr">
        <is>
          <t>DT-523</t>
        </is>
      </c>
      <c r="C715" s="156" t="inlineStr">
        <is>
          <t>Hauler</t>
        </is>
      </c>
      <c r="D715" s="156" t="inlineStr">
        <is>
          <t>Mining</t>
        </is>
      </c>
      <c r="E715" s="156" t="inlineStr">
        <is>
          <t>SKT 105S</t>
        </is>
      </c>
      <c r="F715" s="184" t="n">
        <v>241.2</v>
      </c>
    </row>
    <row r="716">
      <c r="A716" s="155" t="n">
        <v>46109</v>
      </c>
      <c r="B716" s="156" t="inlineStr">
        <is>
          <t>DT-527</t>
        </is>
      </c>
      <c r="C716" s="156" t="inlineStr">
        <is>
          <t>Hauler</t>
        </is>
      </c>
      <c r="D716" s="156" t="inlineStr">
        <is>
          <t>Mining</t>
        </is>
      </c>
      <c r="E716" s="156" t="inlineStr">
        <is>
          <t>SKT 105S</t>
        </is>
      </c>
      <c r="F716" s="184" t="n">
        <v>231.3</v>
      </c>
    </row>
    <row r="717">
      <c r="A717" s="155" t="n">
        <v>46109</v>
      </c>
      <c r="B717" s="156" t="inlineStr">
        <is>
          <t>DT-513</t>
        </is>
      </c>
      <c r="C717" s="156" t="inlineStr">
        <is>
          <t>Hauler</t>
        </is>
      </c>
      <c r="D717" s="156" t="inlineStr">
        <is>
          <t>Mining</t>
        </is>
      </c>
      <c r="E717" s="156" t="inlineStr">
        <is>
          <t>SKT 105S</t>
        </is>
      </c>
      <c r="F717" s="184" t="n">
        <v>381.2</v>
      </c>
    </row>
    <row r="718">
      <c r="A718" s="155" t="n">
        <v>46109</v>
      </c>
      <c r="B718" s="156" t="inlineStr">
        <is>
          <t>DT-512</t>
        </is>
      </c>
      <c r="C718" s="156" t="inlineStr">
        <is>
          <t>Hauler</t>
        </is>
      </c>
      <c r="D718" s="156" t="inlineStr">
        <is>
          <t>Mining</t>
        </is>
      </c>
      <c r="E718" s="156" t="inlineStr">
        <is>
          <t>SKT 105S</t>
        </is>
      </c>
      <c r="F718" s="184" t="n">
        <v>403.4</v>
      </c>
    </row>
    <row r="719">
      <c r="A719" s="155" t="n">
        <v>46109</v>
      </c>
      <c r="B719" s="156" t="inlineStr">
        <is>
          <t>DT-522</t>
        </is>
      </c>
      <c r="C719" s="156" t="inlineStr">
        <is>
          <t>Hauler</t>
        </is>
      </c>
      <c r="D719" s="156" t="inlineStr">
        <is>
          <t>Mining</t>
        </is>
      </c>
      <c r="E719" s="156" t="inlineStr">
        <is>
          <t>SKT 105S</t>
        </is>
      </c>
      <c r="F719" s="184" t="n">
        <v>221.8</v>
      </c>
    </row>
    <row r="720">
      <c r="A720" s="155" t="n">
        <v>46109</v>
      </c>
      <c r="B720" s="156" t="inlineStr">
        <is>
          <t>DT-517</t>
        </is>
      </c>
      <c r="C720" s="156" t="inlineStr">
        <is>
          <t>Hauler</t>
        </is>
      </c>
      <c r="D720" s="156" t="inlineStr">
        <is>
          <t>Mining</t>
        </is>
      </c>
      <c r="E720" s="156" t="inlineStr">
        <is>
          <t>SKT 105S</t>
        </is>
      </c>
      <c r="F720" s="184" t="n">
        <v>561.7</v>
      </c>
    </row>
    <row r="721">
      <c r="A721" s="155" t="n">
        <v>46109</v>
      </c>
      <c r="B721" s="156" t="inlineStr">
        <is>
          <t>DT-510</t>
        </is>
      </c>
      <c r="C721" s="156" t="inlineStr">
        <is>
          <t>Hauler</t>
        </is>
      </c>
      <c r="D721" s="156" t="inlineStr">
        <is>
          <t>Mining</t>
        </is>
      </c>
      <c r="E721" s="156" t="inlineStr">
        <is>
          <t>SKT 105S</t>
        </is>
      </c>
      <c r="F721" s="184" t="n">
        <v>126</v>
      </c>
    </row>
    <row r="722">
      <c r="A722" s="155" t="n">
        <v>46109</v>
      </c>
      <c r="B722" s="156" t="inlineStr">
        <is>
          <t>DT-521</t>
        </is>
      </c>
      <c r="C722" s="156" t="inlineStr">
        <is>
          <t>Hauler</t>
        </is>
      </c>
      <c r="D722" s="156" t="inlineStr">
        <is>
          <t>Mining</t>
        </is>
      </c>
      <c r="E722" s="156" t="inlineStr">
        <is>
          <t>SKT 105S</t>
        </is>
      </c>
      <c r="F722" s="184" t="n">
        <v>322.2</v>
      </c>
    </row>
    <row r="723">
      <c r="A723" s="155" t="n">
        <v>46109</v>
      </c>
      <c r="B723" s="156" t="inlineStr">
        <is>
          <t>DT-506</t>
        </is>
      </c>
      <c r="C723" s="156" t="inlineStr">
        <is>
          <t>Hauler</t>
        </is>
      </c>
      <c r="D723" s="156" t="inlineStr">
        <is>
          <t>Mining</t>
        </is>
      </c>
      <c r="E723" s="156" t="inlineStr">
        <is>
          <t>SKT 105S</t>
        </is>
      </c>
      <c r="F723" s="184" t="n">
        <v>187.7</v>
      </c>
    </row>
    <row r="724">
      <c r="A724" s="155" t="n">
        <v>46109</v>
      </c>
      <c r="B724" s="156" t="inlineStr">
        <is>
          <t>DT-502</t>
        </is>
      </c>
      <c r="C724" s="156" t="inlineStr">
        <is>
          <t>Hauler</t>
        </is>
      </c>
      <c r="D724" s="156" t="inlineStr">
        <is>
          <t>Mining</t>
        </is>
      </c>
      <c r="E724" s="156" t="inlineStr">
        <is>
          <t>SKT 105S</t>
        </is>
      </c>
      <c r="F724" s="184" t="n">
        <v>440.3</v>
      </c>
    </row>
    <row r="725">
      <c r="A725" s="155" t="n">
        <v>46109</v>
      </c>
      <c r="B725" s="156" t="inlineStr">
        <is>
          <t>DT-528</t>
        </is>
      </c>
      <c r="C725" s="156" t="inlineStr">
        <is>
          <t>Hauler</t>
        </is>
      </c>
      <c r="D725" s="156" t="inlineStr">
        <is>
          <t>Mining</t>
        </is>
      </c>
      <c r="E725" s="156" t="inlineStr">
        <is>
          <t>SKT 105S</t>
        </is>
      </c>
      <c r="F725" s="184" t="n">
        <v>310.5</v>
      </c>
    </row>
    <row r="726">
      <c r="A726" s="155" t="n">
        <v>46109</v>
      </c>
      <c r="B726" s="156" t="inlineStr">
        <is>
          <t>DT-529</t>
        </is>
      </c>
      <c r="C726" s="156" t="inlineStr">
        <is>
          <t>Hauler</t>
        </is>
      </c>
      <c r="D726" s="156" t="inlineStr">
        <is>
          <t>Mining</t>
        </is>
      </c>
      <c r="E726" s="156" t="inlineStr">
        <is>
          <t>SKT 105S</t>
        </is>
      </c>
      <c r="F726" s="184" t="n">
        <v>235.6</v>
      </c>
    </row>
    <row r="727">
      <c r="A727" s="155" t="n">
        <v>46109</v>
      </c>
      <c r="B727" s="156" t="inlineStr">
        <is>
          <t>DT-520</t>
        </is>
      </c>
      <c r="C727" s="156" t="inlineStr">
        <is>
          <t>Hauler</t>
        </is>
      </c>
      <c r="D727" s="156" t="inlineStr">
        <is>
          <t>Mining</t>
        </is>
      </c>
      <c r="E727" s="156" t="inlineStr">
        <is>
          <t>SKT 105S</t>
        </is>
      </c>
      <c r="F727" s="184" t="n">
        <v>89.7</v>
      </c>
    </row>
    <row r="728">
      <c r="A728" s="155" t="n">
        <v>46109</v>
      </c>
      <c r="B728" s="156" t="inlineStr">
        <is>
          <t>DT-526</t>
        </is>
      </c>
      <c r="C728" s="156" t="inlineStr">
        <is>
          <t>Hauler</t>
        </is>
      </c>
      <c r="D728" s="156" t="inlineStr">
        <is>
          <t>Mining</t>
        </is>
      </c>
      <c r="E728" s="156" t="inlineStr">
        <is>
          <t>SKT 105S</t>
        </is>
      </c>
      <c r="F728" s="184" t="n">
        <v>371.8</v>
      </c>
    </row>
    <row r="729">
      <c r="A729" s="155" t="n">
        <v>46109</v>
      </c>
      <c r="B729" s="156" t="inlineStr">
        <is>
          <t>DT-508</t>
        </is>
      </c>
      <c r="C729" s="156" t="inlineStr">
        <is>
          <t>Hauler</t>
        </is>
      </c>
      <c r="D729" s="156" t="inlineStr">
        <is>
          <t>Mining</t>
        </is>
      </c>
      <c r="E729" s="156" t="inlineStr">
        <is>
          <t>SKT 105S</t>
        </is>
      </c>
      <c r="F729" s="184" t="n">
        <v>242.5</v>
      </c>
    </row>
    <row r="730">
      <c r="A730" s="155" t="n">
        <v>46109</v>
      </c>
      <c r="B730" s="156" t="inlineStr">
        <is>
          <t>DT-515</t>
        </is>
      </c>
      <c r="C730" s="156" t="inlineStr">
        <is>
          <t>Hauler</t>
        </is>
      </c>
      <c r="D730" s="156" t="inlineStr">
        <is>
          <t>Mining</t>
        </is>
      </c>
      <c r="E730" s="156" t="inlineStr">
        <is>
          <t>SKT 105S</t>
        </is>
      </c>
      <c r="F730" s="184" t="n">
        <v>408.3</v>
      </c>
    </row>
    <row r="731">
      <c r="A731" s="155" t="n">
        <v>46109</v>
      </c>
      <c r="B731" s="156" t="inlineStr">
        <is>
          <t>HD-903</t>
        </is>
      </c>
      <c r="C731" s="156" t="inlineStr">
        <is>
          <t>Hauler</t>
        </is>
      </c>
      <c r="D731" s="156" t="inlineStr">
        <is>
          <t>Mining</t>
        </is>
      </c>
      <c r="E731" s="156" t="inlineStr">
        <is>
          <t>SRT 95C</t>
        </is>
      </c>
      <c r="F731" s="184" t="n">
        <v>391.8</v>
      </c>
    </row>
    <row r="732">
      <c r="A732" s="155" t="n">
        <v>46109</v>
      </c>
      <c r="B732" s="156" t="inlineStr">
        <is>
          <t>HD-905</t>
        </is>
      </c>
      <c r="C732" s="156" t="inlineStr">
        <is>
          <t>Hauler</t>
        </is>
      </c>
      <c r="D732" s="156" t="inlineStr">
        <is>
          <t>Mining</t>
        </is>
      </c>
      <c r="E732" s="156" t="inlineStr">
        <is>
          <t>SRT 95C</t>
        </is>
      </c>
      <c r="F732" s="184" t="n">
        <v>181.4</v>
      </c>
    </row>
    <row r="733">
      <c r="A733" s="155" t="n">
        <v>46109</v>
      </c>
      <c r="B733" s="156" t="inlineStr">
        <is>
          <t>HD-902</t>
        </is>
      </c>
      <c r="C733" s="156" t="inlineStr">
        <is>
          <t>Hauler</t>
        </is>
      </c>
      <c r="D733" s="156" t="inlineStr">
        <is>
          <t>Mining</t>
        </is>
      </c>
      <c r="E733" s="156" t="inlineStr">
        <is>
          <t>SRT 95C</t>
        </is>
      </c>
      <c r="F733" s="184" t="n">
        <v>494.5</v>
      </c>
    </row>
    <row r="734">
      <c r="A734" s="155" t="n">
        <v>46109</v>
      </c>
      <c r="B734" s="156" t="inlineStr">
        <is>
          <t>HT-418</t>
        </is>
      </c>
      <c r="C734" s="156" t="inlineStr">
        <is>
          <t>DT Hauling</t>
        </is>
      </c>
      <c r="D734" s="156" t="inlineStr">
        <is>
          <t>Aux</t>
        </is>
      </c>
      <c r="E734" s="156" t="inlineStr">
        <is>
          <t>SY430</t>
        </is>
      </c>
      <c r="F734" s="184" t="n">
        <v>61.5</v>
      </c>
    </row>
    <row r="735">
      <c r="A735" s="155" t="n">
        <v>46109</v>
      </c>
      <c r="B735" s="156" t="inlineStr">
        <is>
          <t>HT-417</t>
        </is>
      </c>
      <c r="C735" s="156" t="inlineStr">
        <is>
          <t>DT Hauling</t>
        </is>
      </c>
      <c r="D735" s="156" t="inlineStr">
        <is>
          <t>Aux</t>
        </is>
      </c>
      <c r="E735" s="156" t="inlineStr">
        <is>
          <t>SY430</t>
        </is>
      </c>
      <c r="F735" s="184" t="n">
        <v>180.5</v>
      </c>
    </row>
    <row r="736">
      <c r="A736" s="155" t="n">
        <v>46109</v>
      </c>
      <c r="B736" s="156" t="inlineStr">
        <is>
          <t>HT-416</t>
        </is>
      </c>
      <c r="C736" s="156" t="inlineStr">
        <is>
          <t>DT Hauling</t>
        </is>
      </c>
      <c r="D736" s="156" t="inlineStr">
        <is>
          <t>Aux</t>
        </is>
      </c>
      <c r="E736" s="156" t="inlineStr">
        <is>
          <t>SY430</t>
        </is>
      </c>
      <c r="F736" s="184" t="n">
        <v>165.7</v>
      </c>
    </row>
    <row r="737">
      <c r="A737" s="155" t="n">
        <v>46109</v>
      </c>
      <c r="B737" s="156" t="inlineStr">
        <is>
          <t>HT-403</t>
        </is>
      </c>
      <c r="C737" s="156" t="inlineStr">
        <is>
          <t>DT Hauling</t>
        </is>
      </c>
      <c r="D737" s="156" t="inlineStr">
        <is>
          <t>Aux</t>
        </is>
      </c>
      <c r="E737" s="156" t="inlineStr">
        <is>
          <t>SY430</t>
        </is>
      </c>
      <c r="F737" s="184" t="n">
        <v>218.5</v>
      </c>
    </row>
    <row r="738">
      <c r="A738" s="155" t="n">
        <v>46109</v>
      </c>
      <c r="B738" s="156" t="inlineStr">
        <is>
          <t>HT-408</t>
        </is>
      </c>
      <c r="C738" s="156" t="inlineStr">
        <is>
          <t>DT Hauling</t>
        </is>
      </c>
      <c r="D738" s="156" t="inlineStr">
        <is>
          <t>Aux</t>
        </is>
      </c>
      <c r="E738" s="156" t="inlineStr">
        <is>
          <t>SY430</t>
        </is>
      </c>
      <c r="F738" s="184" t="n">
        <v>174.9</v>
      </c>
    </row>
    <row r="739">
      <c r="A739" s="155" t="n">
        <v>46109</v>
      </c>
      <c r="B739" s="156" t="inlineStr">
        <is>
          <t>HT-412</t>
        </is>
      </c>
      <c r="C739" s="156" t="inlineStr">
        <is>
          <t>DT Hauling</t>
        </is>
      </c>
      <c r="D739" s="156" t="inlineStr">
        <is>
          <t>Aux</t>
        </is>
      </c>
      <c r="E739" s="156" t="inlineStr">
        <is>
          <t>SY430</t>
        </is>
      </c>
      <c r="F739" s="184" t="n">
        <v>209.3</v>
      </c>
    </row>
    <row r="740">
      <c r="A740" s="155" t="n">
        <v>46109</v>
      </c>
      <c r="B740" s="156" t="inlineStr">
        <is>
          <t>HT-407</t>
        </is>
      </c>
      <c r="C740" s="156" t="inlineStr">
        <is>
          <t>DT Hauling</t>
        </is>
      </c>
      <c r="D740" s="156" t="inlineStr">
        <is>
          <t>Aux</t>
        </is>
      </c>
      <c r="E740" s="156" t="inlineStr">
        <is>
          <t>SY430</t>
        </is>
      </c>
      <c r="F740" s="184" t="n">
        <v>185.6</v>
      </c>
    </row>
    <row r="741">
      <c r="A741" s="155" t="n">
        <v>46109</v>
      </c>
      <c r="B741" s="156" t="inlineStr">
        <is>
          <t>HT-414</t>
        </is>
      </c>
      <c r="C741" s="156" t="inlineStr">
        <is>
          <t>DT Hauling</t>
        </is>
      </c>
      <c r="D741" s="156" t="inlineStr">
        <is>
          <t>Aux</t>
        </is>
      </c>
      <c r="E741" s="156" t="inlineStr">
        <is>
          <t>SY430</t>
        </is>
      </c>
      <c r="F741" s="184" t="n">
        <v>208.4</v>
      </c>
    </row>
    <row r="742">
      <c r="A742" s="155" t="n">
        <v>46109</v>
      </c>
      <c r="B742" s="156" t="inlineStr">
        <is>
          <t>HT-411</t>
        </is>
      </c>
      <c r="C742" s="156" t="inlineStr">
        <is>
          <t>DT Hauling</t>
        </is>
      </c>
      <c r="D742" s="156" t="inlineStr">
        <is>
          <t>Aux</t>
        </is>
      </c>
      <c r="E742" s="156" t="inlineStr">
        <is>
          <t>SY430</t>
        </is>
      </c>
      <c r="F742" s="184" t="n">
        <v>232</v>
      </c>
    </row>
    <row r="743">
      <c r="A743" s="155" t="n">
        <v>46109</v>
      </c>
      <c r="B743" s="156" t="inlineStr">
        <is>
          <t>DZ-038</t>
        </is>
      </c>
      <c r="C743" s="156" t="inlineStr">
        <is>
          <t>Bulldozer</t>
        </is>
      </c>
      <c r="D743" s="156" t="inlineStr">
        <is>
          <t>Mining</t>
        </is>
      </c>
      <c r="E743" s="156" t="inlineStr">
        <is>
          <t>D 85 ESS-2</t>
        </is>
      </c>
      <c r="F743" s="184" t="n">
        <v>103</v>
      </c>
    </row>
    <row r="744">
      <c r="A744" s="155" t="n">
        <v>46109</v>
      </c>
      <c r="B744" s="156" t="inlineStr">
        <is>
          <t>DZ-039</t>
        </is>
      </c>
      <c r="C744" s="156" t="inlineStr">
        <is>
          <t>Bulldozer</t>
        </is>
      </c>
      <c r="D744" s="156" t="inlineStr">
        <is>
          <t>Mining</t>
        </is>
      </c>
      <c r="E744" s="156" t="inlineStr">
        <is>
          <t>D 85 ESS-2</t>
        </is>
      </c>
      <c r="F744" s="184" t="n">
        <v>369</v>
      </c>
    </row>
    <row r="745">
      <c r="A745" s="155" t="n">
        <v>46109</v>
      </c>
      <c r="B745" s="156" t="inlineStr">
        <is>
          <t>DZ-035</t>
        </is>
      </c>
      <c r="C745" s="156" t="inlineStr">
        <is>
          <t>Bulldozer</t>
        </is>
      </c>
      <c r="D745" s="156" t="inlineStr">
        <is>
          <t>Mining</t>
        </is>
      </c>
      <c r="E745" s="156" t="inlineStr">
        <is>
          <t>D 85 ESS-2</t>
        </is>
      </c>
      <c r="F745" s="184" t="n">
        <v>230.1</v>
      </c>
    </row>
    <row r="746">
      <c r="A746" s="155" t="n">
        <v>46109</v>
      </c>
      <c r="B746" s="156" t="inlineStr">
        <is>
          <t>DZ-031</t>
        </is>
      </c>
      <c r="C746" s="156" t="inlineStr">
        <is>
          <t>Bulldozer</t>
        </is>
      </c>
      <c r="D746" s="156" t="inlineStr">
        <is>
          <t>Mining</t>
        </is>
      </c>
      <c r="E746" s="156" t="inlineStr">
        <is>
          <t>CAT</t>
        </is>
      </c>
      <c r="F746" s="184" t="n">
        <v>609.1</v>
      </c>
    </row>
    <row r="747">
      <c r="A747" s="155" t="n">
        <v>46109</v>
      </c>
      <c r="B747" s="156" t="inlineStr">
        <is>
          <t>GD-013</t>
        </is>
      </c>
      <c r="C747" s="156" t="inlineStr">
        <is>
          <t>Grader</t>
        </is>
      </c>
      <c r="D747" s="156" t="inlineStr">
        <is>
          <t>Mining</t>
        </is>
      </c>
      <c r="E747" s="156" t="inlineStr">
        <is>
          <t>STG 265C - 10</t>
        </is>
      </c>
      <c r="F747" s="184" t="n">
        <v>214</v>
      </c>
    </row>
    <row r="748">
      <c r="A748" s="155" t="n">
        <v>46109</v>
      </c>
      <c r="B748" s="156" t="inlineStr">
        <is>
          <t>GD-014</t>
        </is>
      </c>
      <c r="C748" s="156" t="inlineStr">
        <is>
          <t>Grader</t>
        </is>
      </c>
      <c r="D748" s="156" t="inlineStr">
        <is>
          <t>Mining</t>
        </is>
      </c>
      <c r="E748" s="156" t="inlineStr">
        <is>
          <t>STG 335C - 10</t>
        </is>
      </c>
      <c r="F748" s="184" t="n">
        <v>216.2</v>
      </c>
    </row>
    <row r="749">
      <c r="A749" s="155" t="n">
        <v>46109</v>
      </c>
      <c r="B749" s="156" t="inlineStr">
        <is>
          <t>LV-06</t>
        </is>
      </c>
      <c r="C749" s="156" t="inlineStr">
        <is>
          <t>LV &amp; sarana</t>
        </is>
      </c>
      <c r="D749" s="156" t="inlineStr">
        <is>
          <t>Aux</t>
        </is>
      </c>
      <c r="E749" s="156" t="inlineStr">
        <is>
          <t>Light vehicle</t>
        </is>
      </c>
      <c r="F749" s="184" t="n">
        <v>39.6</v>
      </c>
    </row>
    <row r="750">
      <c r="A750" s="155" t="n">
        <v>46109</v>
      </c>
      <c r="B750" s="156" t="inlineStr">
        <is>
          <t>LV-10</t>
        </is>
      </c>
      <c r="C750" s="156" t="inlineStr">
        <is>
          <t>LV &amp; sarana</t>
        </is>
      </c>
      <c r="D750" s="156" t="inlineStr">
        <is>
          <t>Aux</t>
        </is>
      </c>
      <c r="E750" s="156" t="inlineStr">
        <is>
          <t>Light vehicle</t>
        </is>
      </c>
      <c r="F750" s="184" t="n">
        <v>38.8</v>
      </c>
    </row>
    <row r="751">
      <c r="A751" s="155" t="n">
        <v>46109</v>
      </c>
      <c r="B751" s="156" t="inlineStr">
        <is>
          <t>TS-03</t>
        </is>
      </c>
      <c r="C751" s="156" t="inlineStr">
        <is>
          <t>Truk support</t>
        </is>
      </c>
      <c r="D751" s="156" t="inlineStr">
        <is>
          <t>Mining</t>
        </is>
      </c>
      <c r="E751" s="156" t="inlineStr">
        <is>
          <t>Truk support</t>
        </is>
      </c>
      <c r="F751" s="184" t="n">
        <v>191</v>
      </c>
    </row>
    <row r="752">
      <c r="A752" s="155" t="n">
        <v>46109</v>
      </c>
      <c r="B752" s="156" t="inlineStr">
        <is>
          <t>TS-04</t>
        </is>
      </c>
      <c r="C752" s="156" t="inlineStr">
        <is>
          <t>Truk support</t>
        </is>
      </c>
      <c r="D752" s="156" t="inlineStr">
        <is>
          <t>Aux</t>
        </is>
      </c>
      <c r="E752" s="156" t="inlineStr">
        <is>
          <t>Truk support</t>
        </is>
      </c>
      <c r="F752" s="184" t="n">
        <v>45.7</v>
      </c>
    </row>
    <row r="753">
      <c r="A753" s="155" t="n">
        <v>46109</v>
      </c>
      <c r="B753" s="156" t="inlineStr">
        <is>
          <t>AL-09</t>
        </is>
      </c>
      <c r="C753" s="156" t="inlineStr">
        <is>
          <t>Alat lain</t>
        </is>
      </c>
      <c r="D753" s="156" t="inlineStr">
        <is>
          <t>Mining</t>
        </is>
      </c>
      <c r="E753" s="156" t="inlineStr">
        <is>
          <t>Alat lain</t>
        </is>
      </c>
      <c r="F753" s="184" t="n">
        <v>28.4</v>
      </c>
    </row>
    <row r="754">
      <c r="A754" s="155" t="n">
        <v>46109</v>
      </c>
      <c r="B754" s="156" t="inlineStr">
        <is>
          <t>GS-02</t>
        </is>
      </c>
      <c r="C754" s="156" t="inlineStr">
        <is>
          <t>Genset</t>
        </is>
      </c>
      <c r="D754" s="156" t="inlineStr">
        <is>
          <t>Aux</t>
        </is>
      </c>
      <c r="E754" s="156" t="inlineStr">
        <is>
          <t>Genset</t>
        </is>
      </c>
      <c r="F754" s="184" t="n">
        <v>260.6</v>
      </c>
    </row>
    <row r="755">
      <c r="A755" s="155" t="n">
        <v>46109</v>
      </c>
      <c r="B755" s="156" t="inlineStr">
        <is>
          <t>GS-04</t>
        </is>
      </c>
      <c r="C755" s="156" t="inlineStr">
        <is>
          <t>Genset</t>
        </is>
      </c>
      <c r="D755" s="156" t="inlineStr">
        <is>
          <t>Aux</t>
        </is>
      </c>
      <c r="E755" s="156" t="inlineStr">
        <is>
          <t>Genset</t>
        </is>
      </c>
      <c r="F755" s="184" t="n">
        <v>759.5</v>
      </c>
    </row>
    <row r="756">
      <c r="A756" s="155" t="n">
        <v>46109</v>
      </c>
      <c r="B756" s="156" t="inlineStr">
        <is>
          <t>GS-05</t>
        </is>
      </c>
      <c r="C756" s="156" t="inlineStr">
        <is>
          <t>Genset</t>
        </is>
      </c>
      <c r="D756" s="156" t="inlineStr">
        <is>
          <t>Aux</t>
        </is>
      </c>
      <c r="E756" s="156" t="inlineStr">
        <is>
          <t>Genset</t>
        </is>
      </c>
      <c r="F756" s="184" t="n">
        <v>1302.7</v>
      </c>
    </row>
    <row r="757">
      <c r="A757" s="155" t="n">
        <v>46109</v>
      </c>
      <c r="B757" s="156" t="inlineStr">
        <is>
          <t>GS-07</t>
        </is>
      </c>
      <c r="C757" s="156" t="inlineStr">
        <is>
          <t>Genset</t>
        </is>
      </c>
      <c r="D757" s="156" t="inlineStr">
        <is>
          <t>Aux</t>
        </is>
      </c>
      <c r="E757" s="156" t="inlineStr">
        <is>
          <t>Genset</t>
        </is>
      </c>
      <c r="F757" s="184" t="n">
        <v>13.9</v>
      </c>
    </row>
    <row r="758">
      <c r="A758" s="155" t="n">
        <v>46109</v>
      </c>
      <c r="B758" s="156" t="inlineStr">
        <is>
          <t>GS-08</t>
        </is>
      </c>
      <c r="C758" s="156" t="inlineStr">
        <is>
          <t>Genset</t>
        </is>
      </c>
      <c r="D758" s="156" t="inlineStr">
        <is>
          <t>Aux</t>
        </is>
      </c>
      <c r="E758" s="156" t="inlineStr">
        <is>
          <t>Genset</t>
        </is>
      </c>
      <c r="F758" s="184" t="n">
        <v>49</v>
      </c>
    </row>
    <row r="759">
      <c r="A759" s="155" t="n">
        <v>46109</v>
      </c>
      <c r="B759" s="156" t="inlineStr">
        <is>
          <t>AL-11</t>
        </is>
      </c>
      <c r="C759" s="156" t="inlineStr">
        <is>
          <t>Alat lain</t>
        </is>
      </c>
      <c r="D759" s="156" t="inlineStr">
        <is>
          <t>Aux</t>
        </is>
      </c>
      <c r="E759" s="156" t="inlineStr">
        <is>
          <t>Alat lain</t>
        </is>
      </c>
      <c r="F759" s="184" t="n">
        <v>47.9</v>
      </c>
    </row>
    <row r="760">
      <c r="A760" s="155" t="n">
        <v>46109</v>
      </c>
      <c r="B760" s="156" t="inlineStr">
        <is>
          <t>WP-02</t>
        </is>
      </c>
      <c r="C760" s="156" t="inlineStr">
        <is>
          <t>Pompa air</t>
        </is>
      </c>
      <c r="D760" s="156" t="inlineStr">
        <is>
          <t>Aux</t>
        </is>
      </c>
      <c r="E760" s="156" t="inlineStr">
        <is>
          <t>Pompa air</t>
        </is>
      </c>
      <c r="F760" s="184" t="n">
        <v>61.1</v>
      </c>
    </row>
    <row r="761">
      <c r="A761" s="155" t="n">
        <v>46109</v>
      </c>
      <c r="B761" s="156" t="inlineStr">
        <is>
          <t>WP-03</t>
        </is>
      </c>
      <c r="C761" s="156" t="inlineStr">
        <is>
          <t>Pompa air</t>
        </is>
      </c>
      <c r="D761" s="156" t="inlineStr">
        <is>
          <t>Mining</t>
        </is>
      </c>
      <c r="E761" s="156" t="inlineStr">
        <is>
          <t>Pompa air</t>
        </is>
      </c>
      <c r="F761" s="184" t="n">
        <v>911.9</v>
      </c>
    </row>
    <row r="762">
      <c r="A762" s="155" t="n">
        <v>46109</v>
      </c>
      <c r="B762" s="156" t="inlineStr">
        <is>
          <t>WP-05</t>
        </is>
      </c>
      <c r="C762" s="156" t="inlineStr">
        <is>
          <t>Pompa air</t>
        </is>
      </c>
      <c r="D762" s="156" t="inlineStr">
        <is>
          <t>Mining</t>
        </is>
      </c>
      <c r="E762" s="156" t="inlineStr">
        <is>
          <t>Pompa air</t>
        </is>
      </c>
      <c r="F762" s="184" t="n">
        <v>792.8</v>
      </c>
    </row>
    <row r="763">
      <c r="A763" s="155" t="n">
        <v>46109</v>
      </c>
      <c r="B763" s="156" t="inlineStr">
        <is>
          <t>WL-022</t>
        </is>
      </c>
      <c r="C763" s="156" t="inlineStr">
        <is>
          <t>Loader</t>
        </is>
      </c>
      <c r="D763" s="156" t="inlineStr">
        <is>
          <t>Aux</t>
        </is>
      </c>
      <c r="E763" s="156" t="inlineStr">
        <is>
          <t>SANY - Loader</t>
        </is>
      </c>
      <c r="F763" s="184" t="n">
        <v>199.1</v>
      </c>
    </row>
    <row r="764">
      <c r="A764" s="155" t="n">
        <v>46109</v>
      </c>
      <c r="B764" s="156" t="inlineStr">
        <is>
          <t>WL-024</t>
        </is>
      </c>
      <c r="C764" s="156" t="inlineStr">
        <is>
          <t>Loader</t>
        </is>
      </c>
      <c r="D764" s="156" t="inlineStr">
        <is>
          <t>Aux</t>
        </is>
      </c>
      <c r="E764" s="156" t="inlineStr">
        <is>
          <t>SANY - Loader</t>
        </is>
      </c>
      <c r="F764" s="184" t="n">
        <v>307</v>
      </c>
    </row>
    <row r="765">
      <c r="A765" s="155" t="n">
        <v>46105</v>
      </c>
      <c r="B765" s="156" t="inlineStr">
        <is>
          <t>EX-754</t>
        </is>
      </c>
      <c r="C765" s="156" t="inlineStr">
        <is>
          <t>Excavator</t>
        </is>
      </c>
      <c r="D765" s="156" t="inlineStr">
        <is>
          <t>Mining</t>
        </is>
      </c>
      <c r="E765" s="156" t="inlineStr">
        <is>
          <t>SY750H-PRO</t>
        </is>
      </c>
      <c r="F765" s="184" t="n">
        <v>896.8</v>
      </c>
    </row>
    <row r="766">
      <c r="A766" s="155" t="n">
        <v>46105</v>
      </c>
      <c r="B766" s="156" t="inlineStr">
        <is>
          <t>EX-755</t>
        </is>
      </c>
      <c r="C766" s="156" t="inlineStr">
        <is>
          <t>Excavator</t>
        </is>
      </c>
      <c r="D766" s="156" t="inlineStr">
        <is>
          <t>Mining</t>
        </is>
      </c>
      <c r="E766" s="156" t="inlineStr">
        <is>
          <t>SY750H-PRO</t>
        </is>
      </c>
      <c r="F766" s="184" t="n">
        <v>703.4</v>
      </c>
    </row>
    <row r="767">
      <c r="A767" s="155" t="n">
        <v>46105</v>
      </c>
      <c r="B767" s="156" t="inlineStr">
        <is>
          <t>EX-753</t>
        </is>
      </c>
      <c r="C767" s="156" t="inlineStr">
        <is>
          <t>Excavator</t>
        </is>
      </c>
      <c r="D767" s="156" t="inlineStr">
        <is>
          <t>Mining</t>
        </is>
      </c>
      <c r="E767" s="156" t="inlineStr">
        <is>
          <t>SY750H-PRO</t>
        </is>
      </c>
      <c r="F767" s="184" t="n">
        <v>908.4</v>
      </c>
    </row>
    <row r="768">
      <c r="A768" s="155" t="n">
        <v>46105</v>
      </c>
      <c r="B768" s="156" t="inlineStr">
        <is>
          <t>EX-334</t>
        </is>
      </c>
      <c r="C768" s="156" t="inlineStr">
        <is>
          <t>Excavator</t>
        </is>
      </c>
      <c r="D768" s="156" t="inlineStr">
        <is>
          <t>Mining</t>
        </is>
      </c>
      <c r="E768" s="156" t="inlineStr">
        <is>
          <t>PC 300-8MO</t>
        </is>
      </c>
      <c r="F768" s="184" t="n">
        <v>503.1</v>
      </c>
    </row>
    <row r="769">
      <c r="A769" s="155" t="n">
        <v>46105</v>
      </c>
      <c r="B769" s="156" t="inlineStr">
        <is>
          <t>EX-222</t>
        </is>
      </c>
      <c r="C769" s="156" t="inlineStr">
        <is>
          <t>Excavator</t>
        </is>
      </c>
      <c r="D769" s="156" t="inlineStr">
        <is>
          <t>Mining</t>
        </is>
      </c>
      <c r="E769" s="156" t="inlineStr">
        <is>
          <t>PC 200-8MI</t>
        </is>
      </c>
      <c r="F769" s="184" t="n">
        <v>126.6</v>
      </c>
    </row>
    <row r="770">
      <c r="A770" s="155" t="n">
        <v>46105</v>
      </c>
      <c r="B770" s="156" t="inlineStr">
        <is>
          <t>EX-223</t>
        </is>
      </c>
      <c r="C770" s="156" t="inlineStr">
        <is>
          <t>Excavator</t>
        </is>
      </c>
      <c r="D770" s="156" t="inlineStr">
        <is>
          <t>Aux</t>
        </is>
      </c>
      <c r="E770" s="156" t="inlineStr">
        <is>
          <t>PC 200-8MI</t>
        </is>
      </c>
      <c r="F770" s="184" t="n">
        <v>250</v>
      </c>
    </row>
    <row r="771">
      <c r="A771" s="155" t="n">
        <v>46105</v>
      </c>
      <c r="B771" s="156" t="inlineStr">
        <is>
          <t>EX-221</t>
        </is>
      </c>
      <c r="C771" s="156" t="inlineStr">
        <is>
          <t>Excavator</t>
        </is>
      </c>
      <c r="D771" s="156" t="inlineStr">
        <is>
          <t>Aux</t>
        </is>
      </c>
      <c r="E771" s="156" t="inlineStr">
        <is>
          <t>PC 200-8MI</t>
        </is>
      </c>
      <c r="F771" s="184" t="n">
        <v>120.3</v>
      </c>
    </row>
    <row r="772">
      <c r="A772" s="155" t="n">
        <v>46105</v>
      </c>
      <c r="B772" s="156" t="inlineStr">
        <is>
          <t>EX-335</t>
        </is>
      </c>
      <c r="C772" s="156" t="inlineStr">
        <is>
          <t>Excavator</t>
        </is>
      </c>
      <c r="D772" s="156" t="inlineStr">
        <is>
          <t>Mining</t>
        </is>
      </c>
      <c r="E772" s="156" t="inlineStr">
        <is>
          <t>PC 300-8MO</t>
        </is>
      </c>
      <c r="F772" s="184" t="n">
        <v>524.3</v>
      </c>
    </row>
    <row r="773">
      <c r="A773" s="155" t="n">
        <v>46105</v>
      </c>
      <c r="B773" s="156" t="inlineStr">
        <is>
          <t>EX-2101</t>
        </is>
      </c>
      <c r="C773" s="156" t="inlineStr">
        <is>
          <t>Excavator</t>
        </is>
      </c>
      <c r="D773" s="156" t="inlineStr">
        <is>
          <t>Mining</t>
        </is>
      </c>
      <c r="E773" s="156" t="inlineStr">
        <is>
          <t>SY2000</t>
        </is>
      </c>
      <c r="F773" s="184" t="n">
        <v>2457.4</v>
      </c>
    </row>
    <row r="774">
      <c r="A774" s="155" t="n">
        <v>46105</v>
      </c>
      <c r="B774" s="156" t="inlineStr">
        <is>
          <t>EX-333</t>
        </is>
      </c>
      <c r="C774" s="156" t="inlineStr">
        <is>
          <t>Excavator</t>
        </is>
      </c>
      <c r="D774" s="156" t="inlineStr">
        <is>
          <t>Mining</t>
        </is>
      </c>
      <c r="E774" s="156" t="inlineStr">
        <is>
          <t>PC 300-8MO</t>
        </is>
      </c>
      <c r="F774" s="184" t="n">
        <v>424.2</v>
      </c>
    </row>
    <row r="775">
      <c r="A775" s="155" t="n">
        <v>46105</v>
      </c>
      <c r="B775" s="156" t="inlineStr">
        <is>
          <t>EX-336</t>
        </is>
      </c>
      <c r="C775" s="156" t="inlineStr">
        <is>
          <t>Excavator</t>
        </is>
      </c>
      <c r="D775" s="156" t="inlineStr">
        <is>
          <t>Mining</t>
        </is>
      </c>
      <c r="E775" s="156" t="inlineStr">
        <is>
          <t>PC 300-8MO</t>
        </is>
      </c>
      <c r="F775" s="184" t="n">
        <v>533.4</v>
      </c>
    </row>
    <row r="776">
      <c r="A776" s="155" t="n">
        <v>46105</v>
      </c>
      <c r="B776" s="156" t="inlineStr">
        <is>
          <t>DT-808</t>
        </is>
      </c>
      <c r="C776" s="156" t="inlineStr">
        <is>
          <t>Hauler</t>
        </is>
      </c>
      <c r="D776" s="156" t="inlineStr">
        <is>
          <t>Mining</t>
        </is>
      </c>
      <c r="E776" s="156" t="inlineStr">
        <is>
          <t>SKT 80S</t>
        </is>
      </c>
      <c r="F776" s="184" t="n">
        <v>164.6</v>
      </c>
    </row>
    <row r="777">
      <c r="A777" s="155" t="n">
        <v>46105</v>
      </c>
      <c r="B777" s="156" t="inlineStr">
        <is>
          <t>DT-804</t>
        </is>
      </c>
      <c r="C777" s="156" t="inlineStr">
        <is>
          <t>Hauler</t>
        </is>
      </c>
      <c r="D777" s="156" t="inlineStr">
        <is>
          <t>Mining</t>
        </is>
      </c>
      <c r="E777" s="156" t="inlineStr">
        <is>
          <t>SKT 80S</t>
        </is>
      </c>
      <c r="F777" s="184" t="n">
        <v>144.9</v>
      </c>
    </row>
    <row r="778">
      <c r="A778" s="155" t="n">
        <v>46105</v>
      </c>
      <c r="B778" s="156" t="inlineStr">
        <is>
          <t>DT-505</t>
        </is>
      </c>
      <c r="C778" s="156" t="inlineStr">
        <is>
          <t>Hauler</t>
        </is>
      </c>
      <c r="D778" s="156" t="inlineStr">
        <is>
          <t>Mining</t>
        </is>
      </c>
      <c r="E778" s="156" t="inlineStr">
        <is>
          <t>SKT 105S</t>
        </is>
      </c>
      <c r="F778" s="184" t="n">
        <v>269.2</v>
      </c>
    </row>
    <row r="779">
      <c r="A779" s="155" t="n">
        <v>46105</v>
      </c>
      <c r="B779" s="156" t="inlineStr">
        <is>
          <t>DT-503</t>
        </is>
      </c>
      <c r="C779" s="156" t="inlineStr">
        <is>
          <t>Hauler</t>
        </is>
      </c>
      <c r="D779" s="156" t="inlineStr">
        <is>
          <t>Mining</t>
        </is>
      </c>
      <c r="E779" s="156" t="inlineStr">
        <is>
          <t>SKT 105S</t>
        </is>
      </c>
      <c r="F779" s="184" t="n">
        <v>530.9</v>
      </c>
    </row>
    <row r="780">
      <c r="A780" s="155" t="n">
        <v>46105</v>
      </c>
      <c r="B780" s="156" t="inlineStr">
        <is>
          <t>DT-504</t>
        </is>
      </c>
      <c r="C780" s="156" t="inlineStr">
        <is>
          <t>Hauler</t>
        </is>
      </c>
      <c r="D780" s="156" t="inlineStr">
        <is>
          <t>Mining</t>
        </is>
      </c>
      <c r="E780" s="156" t="inlineStr">
        <is>
          <t>SKT 105S</t>
        </is>
      </c>
      <c r="F780" s="184" t="n">
        <v>89.59999999999999</v>
      </c>
    </row>
    <row r="781">
      <c r="A781" s="155" t="n">
        <v>46105</v>
      </c>
      <c r="B781" s="156" t="inlineStr">
        <is>
          <t>DT-501</t>
        </is>
      </c>
      <c r="C781" s="156" t="inlineStr">
        <is>
          <t>Hauler</t>
        </is>
      </c>
      <c r="D781" s="156" t="inlineStr">
        <is>
          <t>Mining</t>
        </is>
      </c>
      <c r="E781" s="156" t="inlineStr">
        <is>
          <t>SKT 105S</t>
        </is>
      </c>
      <c r="F781" s="184" t="n">
        <v>529.8</v>
      </c>
    </row>
    <row r="782">
      <c r="A782" s="155" t="n">
        <v>46105</v>
      </c>
      <c r="B782" s="156" t="inlineStr">
        <is>
          <t>DT-523</t>
        </is>
      </c>
      <c r="C782" s="156" t="inlineStr">
        <is>
          <t>Hauler</t>
        </is>
      </c>
      <c r="D782" s="156" t="inlineStr">
        <is>
          <t>Mining</t>
        </is>
      </c>
      <c r="E782" s="156" t="inlineStr">
        <is>
          <t>SKT 105S</t>
        </is>
      </c>
      <c r="F782" s="184" t="n">
        <v>397</v>
      </c>
    </row>
    <row r="783">
      <c r="A783" s="155" t="n">
        <v>46105</v>
      </c>
      <c r="B783" s="156" t="inlineStr">
        <is>
          <t>DT-527</t>
        </is>
      </c>
      <c r="C783" s="156" t="inlineStr">
        <is>
          <t>Hauler</t>
        </is>
      </c>
      <c r="D783" s="156" t="inlineStr">
        <is>
          <t>Mining</t>
        </is>
      </c>
      <c r="E783" s="156" t="inlineStr">
        <is>
          <t>SKT 105S</t>
        </is>
      </c>
      <c r="F783" s="184" t="n">
        <v>642.9</v>
      </c>
    </row>
    <row r="784">
      <c r="A784" s="155" t="n">
        <v>46105</v>
      </c>
      <c r="B784" s="156" t="inlineStr">
        <is>
          <t>DT-513</t>
        </is>
      </c>
      <c r="C784" s="156" t="inlineStr">
        <is>
          <t>Hauler</t>
        </is>
      </c>
      <c r="D784" s="156" t="inlineStr">
        <is>
          <t>Mining</t>
        </is>
      </c>
      <c r="E784" s="156" t="inlineStr">
        <is>
          <t>SKT 105S</t>
        </is>
      </c>
      <c r="F784" s="184" t="n">
        <v>223.9</v>
      </c>
    </row>
    <row r="785">
      <c r="A785" s="155" t="n">
        <v>46105</v>
      </c>
      <c r="B785" s="156" t="inlineStr">
        <is>
          <t>DT-512</t>
        </is>
      </c>
      <c r="C785" s="156" t="inlineStr">
        <is>
          <t>Hauler</t>
        </is>
      </c>
      <c r="D785" s="156" t="inlineStr">
        <is>
          <t>Mining</t>
        </is>
      </c>
      <c r="E785" s="156" t="inlineStr">
        <is>
          <t>SKT 105S</t>
        </is>
      </c>
      <c r="F785" s="184" t="n">
        <v>297.3</v>
      </c>
    </row>
    <row r="786">
      <c r="A786" s="155" t="n">
        <v>46105</v>
      </c>
      <c r="B786" s="156" t="inlineStr">
        <is>
          <t>DT-522</t>
        </is>
      </c>
      <c r="C786" s="156" t="inlineStr">
        <is>
          <t>Hauler</t>
        </is>
      </c>
      <c r="D786" s="156" t="inlineStr">
        <is>
          <t>Mining</t>
        </is>
      </c>
      <c r="E786" s="156" t="inlineStr">
        <is>
          <t>SKT 105S</t>
        </is>
      </c>
      <c r="F786" s="184" t="n">
        <v>257.7</v>
      </c>
    </row>
    <row r="787">
      <c r="A787" s="155" t="n">
        <v>46105</v>
      </c>
      <c r="B787" s="156" t="inlineStr">
        <is>
          <t>DT-517</t>
        </is>
      </c>
      <c r="C787" s="156" t="inlineStr">
        <is>
          <t>Hauler</t>
        </is>
      </c>
      <c r="D787" s="156" t="inlineStr">
        <is>
          <t>Mining</t>
        </is>
      </c>
      <c r="E787" s="156" t="inlineStr">
        <is>
          <t>SKT 105S</t>
        </is>
      </c>
      <c r="F787" s="184" t="n">
        <v>538.8</v>
      </c>
    </row>
    <row r="788">
      <c r="A788" s="155" t="n">
        <v>46105</v>
      </c>
      <c r="B788" s="156" t="inlineStr">
        <is>
          <t>DT-510</t>
        </is>
      </c>
      <c r="C788" s="156" t="inlineStr">
        <is>
          <t>Hauler</t>
        </is>
      </c>
      <c r="D788" s="156" t="inlineStr">
        <is>
          <t>Mining</t>
        </is>
      </c>
      <c r="E788" s="156" t="inlineStr">
        <is>
          <t>SKT 105S</t>
        </is>
      </c>
      <c r="F788" s="184" t="n">
        <v>346.7</v>
      </c>
    </row>
    <row r="789">
      <c r="A789" s="155" t="n">
        <v>46105</v>
      </c>
      <c r="B789" s="156" t="inlineStr">
        <is>
          <t>DT-521</t>
        </is>
      </c>
      <c r="C789" s="156" t="inlineStr">
        <is>
          <t>Hauler</t>
        </is>
      </c>
      <c r="D789" s="156" t="inlineStr">
        <is>
          <t>Mining</t>
        </is>
      </c>
      <c r="E789" s="156" t="inlineStr">
        <is>
          <t>SKT 105S</t>
        </is>
      </c>
      <c r="F789" s="184" t="n">
        <v>575.2</v>
      </c>
    </row>
    <row r="790">
      <c r="A790" s="155" t="n">
        <v>46105</v>
      </c>
      <c r="B790" s="156" t="inlineStr">
        <is>
          <t>DT-506</t>
        </is>
      </c>
      <c r="C790" s="156" t="inlineStr">
        <is>
          <t>Hauler</t>
        </is>
      </c>
      <c r="D790" s="156" t="inlineStr">
        <is>
          <t>Mining</t>
        </is>
      </c>
      <c r="E790" s="156" t="inlineStr">
        <is>
          <t>SKT 105S</t>
        </is>
      </c>
      <c r="F790" s="184" t="n">
        <v>534.2</v>
      </c>
    </row>
    <row r="791">
      <c r="A791" s="155" t="n">
        <v>46105</v>
      </c>
      <c r="B791" s="156" t="inlineStr">
        <is>
          <t>DT-502</t>
        </is>
      </c>
      <c r="C791" s="156" t="inlineStr">
        <is>
          <t>Hauler</t>
        </is>
      </c>
      <c r="D791" s="156" t="inlineStr">
        <is>
          <t>Mining</t>
        </is>
      </c>
      <c r="E791" s="156" t="inlineStr">
        <is>
          <t>SKT 105S</t>
        </is>
      </c>
      <c r="F791" s="184" t="n">
        <v>413.2</v>
      </c>
    </row>
    <row r="792">
      <c r="A792" s="155" t="n">
        <v>46105</v>
      </c>
      <c r="B792" s="156" t="inlineStr">
        <is>
          <t>DT-528</t>
        </is>
      </c>
      <c r="C792" s="156" t="inlineStr">
        <is>
          <t>Hauler</t>
        </is>
      </c>
      <c r="D792" s="156" t="inlineStr">
        <is>
          <t>Mining</t>
        </is>
      </c>
      <c r="E792" s="156" t="inlineStr">
        <is>
          <t>SKT 105S</t>
        </is>
      </c>
      <c r="F792" s="184" t="n">
        <v>327</v>
      </c>
    </row>
    <row r="793">
      <c r="A793" s="155" t="n">
        <v>46105</v>
      </c>
      <c r="B793" s="156" t="inlineStr">
        <is>
          <t>DT-529</t>
        </is>
      </c>
      <c r="C793" s="156" t="inlineStr">
        <is>
          <t>Hauler</t>
        </is>
      </c>
      <c r="D793" s="156" t="inlineStr">
        <is>
          <t>Mining</t>
        </is>
      </c>
      <c r="E793" s="156" t="inlineStr">
        <is>
          <t>SKT 105S</t>
        </is>
      </c>
      <c r="F793" s="184" t="n">
        <v>148.1</v>
      </c>
    </row>
    <row r="794">
      <c r="A794" s="155" t="n">
        <v>46105</v>
      </c>
      <c r="B794" s="156" t="inlineStr">
        <is>
          <t>DT-520</t>
        </is>
      </c>
      <c r="C794" s="156" t="inlineStr">
        <is>
          <t>Hauler</t>
        </is>
      </c>
      <c r="D794" s="156" t="inlineStr">
        <is>
          <t>Mining</t>
        </is>
      </c>
      <c r="E794" s="156" t="inlineStr">
        <is>
          <t>SKT 105S</t>
        </is>
      </c>
      <c r="F794" s="184" t="n">
        <v>217</v>
      </c>
    </row>
    <row r="795">
      <c r="A795" s="155" t="n">
        <v>46105</v>
      </c>
      <c r="B795" s="156" t="inlineStr">
        <is>
          <t>DT-508</t>
        </is>
      </c>
      <c r="C795" s="156" t="inlineStr">
        <is>
          <t>Hauler</t>
        </is>
      </c>
      <c r="D795" s="156" t="inlineStr">
        <is>
          <t>Mining</t>
        </is>
      </c>
      <c r="E795" s="156" t="inlineStr">
        <is>
          <t>SKT 105S</t>
        </is>
      </c>
      <c r="F795" s="184" t="n">
        <v>275.2</v>
      </c>
    </row>
    <row r="796">
      <c r="A796" s="155" t="n">
        <v>46105</v>
      </c>
      <c r="B796" s="156" t="inlineStr">
        <is>
          <t>DT-515</t>
        </is>
      </c>
      <c r="C796" s="156" t="inlineStr">
        <is>
          <t>Hauler</t>
        </is>
      </c>
      <c r="D796" s="156" t="inlineStr">
        <is>
          <t>Mining</t>
        </is>
      </c>
      <c r="E796" s="156" t="inlineStr">
        <is>
          <t>SKT 105S</t>
        </is>
      </c>
      <c r="F796" s="184" t="n">
        <v>303.6</v>
      </c>
    </row>
    <row r="797">
      <c r="A797" s="155" t="n">
        <v>46105</v>
      </c>
      <c r="B797" s="156" t="inlineStr">
        <is>
          <t>HD-903</t>
        </is>
      </c>
      <c r="C797" s="156" t="inlineStr">
        <is>
          <t>Hauler</t>
        </is>
      </c>
      <c r="D797" s="156" t="inlineStr">
        <is>
          <t>Mining</t>
        </is>
      </c>
      <c r="E797" s="156" t="inlineStr">
        <is>
          <t>SRT 95C</t>
        </is>
      </c>
      <c r="F797" s="184" t="n">
        <v>118.7</v>
      </c>
    </row>
    <row r="798">
      <c r="A798" s="155" t="n">
        <v>46105</v>
      </c>
      <c r="B798" s="156" t="inlineStr">
        <is>
          <t>HD-905</t>
        </is>
      </c>
      <c r="C798" s="156" t="inlineStr">
        <is>
          <t>Hauler</t>
        </is>
      </c>
      <c r="D798" s="156" t="inlineStr">
        <is>
          <t>Mining</t>
        </is>
      </c>
      <c r="E798" s="156" t="inlineStr">
        <is>
          <t>SRT 95C</t>
        </is>
      </c>
      <c r="F798" s="184" t="n">
        <v>525.9</v>
      </c>
    </row>
    <row r="799">
      <c r="A799" s="155" t="n">
        <v>46105</v>
      </c>
      <c r="B799" s="156" t="inlineStr">
        <is>
          <t>HD-901</t>
        </is>
      </c>
      <c r="C799" s="156" t="inlineStr">
        <is>
          <t>Hauler</t>
        </is>
      </c>
      <c r="D799" s="156" t="inlineStr">
        <is>
          <t>Mining</t>
        </is>
      </c>
      <c r="E799" s="156" t="inlineStr">
        <is>
          <t>SRT 95C</t>
        </is>
      </c>
      <c r="F799" s="184" t="n">
        <v>622.1</v>
      </c>
    </row>
    <row r="800">
      <c r="A800" s="155" t="n">
        <v>46105</v>
      </c>
      <c r="B800" s="156" t="inlineStr">
        <is>
          <t>HD-902</t>
        </is>
      </c>
      <c r="C800" s="156" t="inlineStr">
        <is>
          <t>Hauler</t>
        </is>
      </c>
      <c r="D800" s="156" t="inlineStr">
        <is>
          <t>Mining</t>
        </is>
      </c>
      <c r="E800" s="156" t="inlineStr">
        <is>
          <t>SRT 95C</t>
        </is>
      </c>
      <c r="F800" s="184" t="n">
        <v>613.9</v>
      </c>
    </row>
    <row r="801">
      <c r="A801" s="155" t="n">
        <v>46105</v>
      </c>
      <c r="B801" s="156" t="inlineStr">
        <is>
          <t>DH-101</t>
        </is>
      </c>
      <c r="C801" s="156" t="inlineStr">
        <is>
          <t>DT Hino</t>
        </is>
      </c>
      <c r="D801" s="156" t="inlineStr">
        <is>
          <t>Mining</t>
        </is>
      </c>
      <c r="E801" s="156" t="inlineStr">
        <is>
          <t>HINO FM260</t>
        </is>
      </c>
      <c r="F801" s="184" t="n">
        <v>89.8</v>
      </c>
    </row>
    <row r="802">
      <c r="A802" s="155" t="n">
        <v>46105</v>
      </c>
      <c r="B802" s="156" t="inlineStr">
        <is>
          <t>AL-02</t>
        </is>
      </c>
      <c r="C802" s="156" t="inlineStr">
        <is>
          <t>Alat lain</t>
        </is>
      </c>
      <c r="D802" s="156" t="inlineStr">
        <is>
          <t>Mining</t>
        </is>
      </c>
      <c r="E802" s="156" t="inlineStr">
        <is>
          <t>Alat lain</t>
        </is>
      </c>
      <c r="F802" s="184" t="n">
        <v>70.09999999999999</v>
      </c>
    </row>
    <row r="803">
      <c r="A803" s="155" t="n">
        <v>46105</v>
      </c>
      <c r="B803" s="156" t="inlineStr">
        <is>
          <t>HT-402</t>
        </is>
      </c>
      <c r="C803" s="156" t="inlineStr">
        <is>
          <t>DT Hauling</t>
        </is>
      </c>
      <c r="D803" s="156" t="inlineStr">
        <is>
          <t>Aux</t>
        </is>
      </c>
      <c r="E803" s="156" t="inlineStr">
        <is>
          <t>SY430</t>
        </is>
      </c>
      <c r="F803" s="184" t="n">
        <v>163.3</v>
      </c>
    </row>
    <row r="804">
      <c r="A804" s="155" t="n">
        <v>46105</v>
      </c>
      <c r="B804" s="156" t="inlineStr">
        <is>
          <t>HT-416</t>
        </is>
      </c>
      <c r="C804" s="156" t="inlineStr">
        <is>
          <t>DT Hauling</t>
        </is>
      </c>
      <c r="D804" s="156" t="inlineStr">
        <is>
          <t>Aux</t>
        </is>
      </c>
      <c r="E804" s="156" t="inlineStr">
        <is>
          <t>SY430</t>
        </is>
      </c>
      <c r="F804" s="184" t="n">
        <v>55.2</v>
      </c>
    </row>
    <row r="805">
      <c r="A805" s="155" t="n">
        <v>46105</v>
      </c>
      <c r="B805" s="156" t="inlineStr">
        <is>
          <t>HT-420</t>
        </is>
      </c>
      <c r="C805" s="156" t="inlineStr">
        <is>
          <t>DT Hauling</t>
        </is>
      </c>
      <c r="D805" s="156" t="inlineStr">
        <is>
          <t>Aux</t>
        </is>
      </c>
      <c r="E805" s="156" t="inlineStr">
        <is>
          <t>SY430</t>
        </is>
      </c>
      <c r="F805" s="184" t="n">
        <v>196.7</v>
      </c>
    </row>
    <row r="806">
      <c r="A806" s="155" t="n">
        <v>46105</v>
      </c>
      <c r="B806" s="156" t="inlineStr">
        <is>
          <t>DZ-033</t>
        </is>
      </c>
      <c r="C806" s="156" t="inlineStr">
        <is>
          <t>Bulldozer</t>
        </is>
      </c>
      <c r="D806" s="156" t="inlineStr">
        <is>
          <t>Mining</t>
        </is>
      </c>
      <c r="E806" s="156" t="inlineStr">
        <is>
          <t>D 375A-6R</t>
        </is>
      </c>
      <c r="F806" s="184" t="n">
        <v>783</v>
      </c>
    </row>
    <row r="807">
      <c r="A807" s="155" t="n">
        <v>46105</v>
      </c>
      <c r="B807" s="156" t="inlineStr">
        <is>
          <t>DZ-038</t>
        </is>
      </c>
      <c r="C807" s="156" t="inlineStr">
        <is>
          <t>Bulldozer</t>
        </is>
      </c>
      <c r="D807" s="156" t="inlineStr">
        <is>
          <t>Mining</t>
        </is>
      </c>
      <c r="E807" s="156" t="inlineStr">
        <is>
          <t>D 85 ESS-2</t>
        </is>
      </c>
      <c r="F807" s="184" t="n">
        <v>12.7</v>
      </c>
    </row>
    <row r="808">
      <c r="A808" s="155" t="n">
        <v>46105</v>
      </c>
      <c r="B808" s="156" t="inlineStr">
        <is>
          <t>DZ-039</t>
        </is>
      </c>
      <c r="C808" s="156" t="inlineStr">
        <is>
          <t>Bulldozer</t>
        </is>
      </c>
      <c r="D808" s="156" t="inlineStr">
        <is>
          <t>Mining</t>
        </is>
      </c>
      <c r="E808" s="156" t="inlineStr">
        <is>
          <t>D 85 ESS-2</t>
        </is>
      </c>
      <c r="F808" s="184" t="n">
        <v>352.4</v>
      </c>
    </row>
    <row r="809">
      <c r="A809" s="155" t="n">
        <v>46105</v>
      </c>
      <c r="B809" s="156" t="inlineStr">
        <is>
          <t>DZ-036</t>
        </is>
      </c>
      <c r="C809" s="156" t="inlineStr">
        <is>
          <t>Bulldozer</t>
        </is>
      </c>
      <c r="D809" s="156" t="inlineStr">
        <is>
          <t>Aux</t>
        </is>
      </c>
      <c r="E809" s="156" t="inlineStr">
        <is>
          <t>D 85 ESS-2</t>
        </is>
      </c>
      <c r="F809" s="184" t="n">
        <v>227.6</v>
      </c>
    </row>
    <row r="810">
      <c r="A810" s="155" t="n">
        <v>46105</v>
      </c>
      <c r="B810" s="156" t="inlineStr">
        <is>
          <t>DZ-035</t>
        </is>
      </c>
      <c r="C810" s="156" t="inlineStr">
        <is>
          <t>Bulldozer</t>
        </is>
      </c>
      <c r="D810" s="156" t="inlineStr">
        <is>
          <t>Mining</t>
        </is>
      </c>
      <c r="E810" s="156" t="inlineStr">
        <is>
          <t>D 85 ESS-2</t>
        </is>
      </c>
      <c r="F810" s="184" t="n">
        <v>333.6</v>
      </c>
    </row>
    <row r="811">
      <c r="A811" s="155" t="n">
        <v>46105</v>
      </c>
      <c r="B811" s="156" t="inlineStr">
        <is>
          <t>DZ-031</t>
        </is>
      </c>
      <c r="C811" s="156" t="inlineStr">
        <is>
          <t>Bulldozer</t>
        </is>
      </c>
      <c r="D811" s="156" t="inlineStr">
        <is>
          <t>Mining</t>
        </is>
      </c>
      <c r="E811" s="156" t="inlineStr">
        <is>
          <t>CAT</t>
        </is>
      </c>
      <c r="F811" s="184" t="n">
        <v>589.3</v>
      </c>
    </row>
    <row r="812">
      <c r="A812" s="155" t="n">
        <v>46105</v>
      </c>
      <c r="B812" s="156" t="inlineStr">
        <is>
          <t>GD-013</t>
        </is>
      </c>
      <c r="C812" s="156" t="inlineStr">
        <is>
          <t>Grader</t>
        </is>
      </c>
      <c r="D812" s="156" t="inlineStr">
        <is>
          <t>Mining</t>
        </is>
      </c>
      <c r="E812" s="156" t="inlineStr">
        <is>
          <t>STG 265C - 10</t>
        </is>
      </c>
      <c r="F812" s="184" t="n">
        <v>371.4</v>
      </c>
    </row>
    <row r="813">
      <c r="A813" s="155" t="n">
        <v>46105</v>
      </c>
      <c r="B813" s="156" t="inlineStr">
        <is>
          <t>GD-014</t>
        </is>
      </c>
      <c r="C813" s="156" t="inlineStr">
        <is>
          <t>Grader</t>
        </is>
      </c>
      <c r="D813" s="156" t="inlineStr">
        <is>
          <t>Mining</t>
        </is>
      </c>
      <c r="E813" s="156" t="inlineStr">
        <is>
          <t>STG 335C - 10</t>
        </is>
      </c>
      <c r="F813" s="184" t="n">
        <v>380.3</v>
      </c>
    </row>
    <row r="814">
      <c r="A814" s="155" t="n">
        <v>46105</v>
      </c>
      <c r="B814" s="156" t="inlineStr">
        <is>
          <t>CP-041</t>
        </is>
      </c>
      <c r="C814" s="156" t="inlineStr">
        <is>
          <t>Compactor</t>
        </is>
      </c>
      <c r="D814" s="156" t="inlineStr">
        <is>
          <t>Mining</t>
        </is>
      </c>
      <c r="E814" s="156" t="inlineStr">
        <is>
          <t>SANY - Compactor</t>
        </is>
      </c>
      <c r="F814" s="184" t="n">
        <v>190.4</v>
      </c>
    </row>
    <row r="815">
      <c r="A815" s="155" t="n">
        <v>46105</v>
      </c>
      <c r="B815" s="156" t="inlineStr">
        <is>
          <t>WL-025</t>
        </is>
      </c>
      <c r="C815" s="156" t="inlineStr">
        <is>
          <t>Loader</t>
        </is>
      </c>
      <c r="D815" s="156" t="inlineStr">
        <is>
          <t>Aux</t>
        </is>
      </c>
      <c r="E815" s="156" t="inlineStr">
        <is>
          <t>SANY - Loader</t>
        </is>
      </c>
      <c r="F815" s="184" t="n">
        <v>190.3</v>
      </c>
    </row>
    <row r="816">
      <c r="A816" s="155" t="n">
        <v>46105</v>
      </c>
      <c r="B816" s="156" t="inlineStr">
        <is>
          <t>WL-023</t>
        </is>
      </c>
      <c r="C816" s="156" t="inlineStr">
        <is>
          <t>Loader</t>
        </is>
      </c>
      <c r="D816" s="156" t="inlineStr">
        <is>
          <t>Aux</t>
        </is>
      </c>
      <c r="E816" s="156" t="inlineStr">
        <is>
          <t>SANY - Loader</t>
        </is>
      </c>
      <c r="F816" s="184" t="n">
        <v>338</v>
      </c>
    </row>
    <row r="817">
      <c r="A817" s="155" t="n">
        <v>46105</v>
      </c>
      <c r="B817" s="156" t="inlineStr">
        <is>
          <t>LV-03</t>
        </is>
      </c>
      <c r="C817" s="156" t="inlineStr">
        <is>
          <t>LV &amp; sarana</t>
        </is>
      </c>
      <c r="D817" s="156" t="inlineStr">
        <is>
          <t>Aux</t>
        </is>
      </c>
      <c r="E817" s="156" t="inlineStr">
        <is>
          <t>Light vehicle</t>
        </is>
      </c>
      <c r="F817" s="184" t="n">
        <v>45.7</v>
      </c>
    </row>
    <row r="818">
      <c r="A818" s="155" t="n">
        <v>46105</v>
      </c>
      <c r="B818" s="156" t="inlineStr">
        <is>
          <t>LV-04</t>
        </is>
      </c>
      <c r="C818" s="156" t="inlineStr">
        <is>
          <t>LV &amp; sarana</t>
        </is>
      </c>
      <c r="D818" s="156" t="inlineStr">
        <is>
          <t>Aux</t>
        </is>
      </c>
      <c r="E818" s="156" t="inlineStr">
        <is>
          <t>Light vehicle</t>
        </is>
      </c>
      <c r="F818" s="184" t="n">
        <v>62.2</v>
      </c>
    </row>
    <row r="819">
      <c r="A819" s="155" t="n">
        <v>46105</v>
      </c>
      <c r="B819" s="156" t="inlineStr">
        <is>
          <t>LV-06</t>
        </is>
      </c>
      <c r="C819" s="156" t="inlineStr">
        <is>
          <t>LV &amp; sarana</t>
        </is>
      </c>
      <c r="D819" s="156" t="inlineStr">
        <is>
          <t>Aux</t>
        </is>
      </c>
      <c r="E819" s="156" t="inlineStr">
        <is>
          <t>Light vehicle</t>
        </is>
      </c>
      <c r="F819" s="184" t="n">
        <v>23.7</v>
      </c>
    </row>
    <row r="820">
      <c r="A820" s="155" t="n">
        <v>46105</v>
      </c>
      <c r="B820" s="156" t="inlineStr">
        <is>
          <t>TS-04</t>
        </is>
      </c>
      <c r="C820" s="156" t="inlineStr">
        <is>
          <t>Truk support</t>
        </is>
      </c>
      <c r="D820" s="156" t="inlineStr">
        <is>
          <t>Aux</t>
        </is>
      </c>
      <c r="E820" s="156" t="inlineStr">
        <is>
          <t>Truk support</t>
        </is>
      </c>
      <c r="F820" s="184" t="n">
        <v>53.7</v>
      </c>
    </row>
    <row r="821">
      <c r="A821" s="155" t="n">
        <v>46105</v>
      </c>
      <c r="B821" s="156" t="inlineStr">
        <is>
          <t>AL-06</t>
        </is>
      </c>
      <c r="C821" s="156" t="inlineStr">
        <is>
          <t>Alat lain</t>
        </is>
      </c>
      <c r="D821" s="156" t="inlineStr">
        <is>
          <t>Aux</t>
        </is>
      </c>
      <c r="E821" s="156" t="inlineStr">
        <is>
          <t>Alat lain</t>
        </is>
      </c>
      <c r="F821" s="184" t="n">
        <v>19.8</v>
      </c>
    </row>
    <row r="822">
      <c r="A822" s="155" t="n">
        <v>46105</v>
      </c>
      <c r="B822" s="156" t="inlineStr">
        <is>
          <t>AL-09</t>
        </is>
      </c>
      <c r="C822" s="156" t="inlineStr">
        <is>
          <t>Alat lain</t>
        </is>
      </c>
      <c r="D822" s="156" t="inlineStr">
        <is>
          <t>Mining</t>
        </is>
      </c>
      <c r="E822" s="156" t="inlineStr">
        <is>
          <t>Alat lain</t>
        </is>
      </c>
      <c r="F822" s="184" t="n">
        <v>19.7</v>
      </c>
    </row>
    <row r="823">
      <c r="A823" s="155" t="n">
        <v>46105</v>
      </c>
      <c r="B823" s="156" t="inlineStr">
        <is>
          <t>AL-10</t>
        </is>
      </c>
      <c r="C823" s="156" t="inlineStr">
        <is>
          <t>Alat lain</t>
        </is>
      </c>
      <c r="D823" s="156" t="inlineStr">
        <is>
          <t>Mining</t>
        </is>
      </c>
      <c r="E823" s="156" t="inlineStr">
        <is>
          <t>Alat lain</t>
        </is>
      </c>
      <c r="F823" s="184" t="n">
        <v>43.6</v>
      </c>
    </row>
    <row r="824">
      <c r="A824" s="155" t="n">
        <v>46105</v>
      </c>
      <c r="B824" s="156" t="inlineStr">
        <is>
          <t>GS-01</t>
        </is>
      </c>
      <c r="C824" s="156" t="inlineStr">
        <is>
          <t>Genset</t>
        </is>
      </c>
      <c r="D824" s="156" t="inlineStr">
        <is>
          <t>Aux</t>
        </is>
      </c>
      <c r="E824" s="156" t="inlineStr">
        <is>
          <t>Genset</t>
        </is>
      </c>
      <c r="F824" s="184" t="n">
        <v>167.2</v>
      </c>
    </row>
    <row r="825">
      <c r="A825" s="155" t="n">
        <v>46105</v>
      </c>
      <c r="B825" s="156" t="inlineStr">
        <is>
          <t>GS-04</t>
        </is>
      </c>
      <c r="C825" s="156" t="inlineStr">
        <is>
          <t>Genset</t>
        </is>
      </c>
      <c r="D825" s="156" t="inlineStr">
        <is>
          <t>Aux</t>
        </is>
      </c>
      <c r="E825" s="156" t="inlineStr">
        <is>
          <t>Genset</t>
        </is>
      </c>
      <c r="F825" s="184" t="n">
        <v>543.8</v>
      </c>
    </row>
    <row r="826">
      <c r="A826" s="155" t="n">
        <v>46105</v>
      </c>
      <c r="B826" s="156" t="inlineStr">
        <is>
          <t>GS-06</t>
        </is>
      </c>
      <c r="C826" s="156" t="inlineStr">
        <is>
          <t>Genset</t>
        </is>
      </c>
      <c r="D826" s="156" t="inlineStr">
        <is>
          <t>Aux</t>
        </is>
      </c>
      <c r="E826" s="156" t="inlineStr">
        <is>
          <t>Genset</t>
        </is>
      </c>
      <c r="F826" s="184" t="n">
        <v>192.2</v>
      </c>
    </row>
    <row r="827">
      <c r="A827" s="155" t="n">
        <v>46105</v>
      </c>
      <c r="B827" s="156" t="inlineStr">
        <is>
          <t>GS-07</t>
        </is>
      </c>
      <c r="C827" s="156" t="inlineStr">
        <is>
          <t>Genset</t>
        </is>
      </c>
      <c r="D827" s="156" t="inlineStr">
        <is>
          <t>Aux</t>
        </is>
      </c>
      <c r="E827" s="156" t="inlineStr">
        <is>
          <t>Genset</t>
        </is>
      </c>
      <c r="F827" s="184" t="n">
        <v>19.4</v>
      </c>
    </row>
    <row r="828">
      <c r="A828" s="155" t="n">
        <v>46105</v>
      </c>
      <c r="B828" s="156" t="inlineStr">
        <is>
          <t>GS-08</t>
        </is>
      </c>
      <c r="C828" s="156" t="inlineStr">
        <is>
          <t>Genset</t>
        </is>
      </c>
      <c r="D828" s="156" t="inlineStr">
        <is>
          <t>Aux</t>
        </is>
      </c>
      <c r="E828" s="156" t="inlineStr">
        <is>
          <t>Genset</t>
        </is>
      </c>
      <c r="F828" s="184" t="n">
        <v>59.2</v>
      </c>
    </row>
    <row r="829">
      <c r="A829" s="155" t="n">
        <v>46105</v>
      </c>
      <c r="B829" s="156" t="inlineStr">
        <is>
          <t>WP-01</t>
        </is>
      </c>
      <c r="C829" s="156" t="inlineStr">
        <is>
          <t>Pompa air</t>
        </is>
      </c>
      <c r="D829" s="156" t="inlineStr">
        <is>
          <t>Aux</t>
        </is>
      </c>
      <c r="E829" s="156" t="inlineStr">
        <is>
          <t>Pompa air</t>
        </is>
      </c>
      <c r="F829" s="184" t="n">
        <v>9.9</v>
      </c>
    </row>
    <row r="830">
      <c r="A830" s="155" t="n">
        <v>46105</v>
      </c>
      <c r="B830" s="156" t="inlineStr">
        <is>
          <t>WP-03</t>
        </is>
      </c>
      <c r="C830" s="156" t="inlineStr">
        <is>
          <t>Pompa air</t>
        </is>
      </c>
      <c r="D830" s="156" t="inlineStr">
        <is>
          <t>Mining</t>
        </is>
      </c>
      <c r="E830" s="156" t="inlineStr">
        <is>
          <t>Pompa air</t>
        </is>
      </c>
      <c r="F830" s="184" t="n">
        <v>588.8</v>
      </c>
    </row>
    <row r="831">
      <c r="A831" s="155" t="n">
        <v>46105</v>
      </c>
      <c r="B831" s="156" t="inlineStr">
        <is>
          <t>DT-341</t>
        </is>
      </c>
      <c r="C831" s="156" t="inlineStr">
        <is>
          <t>Hauler</t>
        </is>
      </c>
      <c r="D831" s="156" t="inlineStr">
        <is>
          <t>Aux</t>
        </is>
      </c>
      <c r="E831" s="156" t="inlineStr">
        <is>
          <t>SYZ324C-8W</t>
        </is>
      </c>
      <c r="F831" s="184" t="n">
        <v>127.9</v>
      </c>
    </row>
    <row r="832">
      <c r="A832" s="155" t="n">
        <v>46105</v>
      </c>
      <c r="B832" s="156" t="inlineStr">
        <is>
          <t>WL-022</t>
        </is>
      </c>
      <c r="C832" s="156" t="inlineStr">
        <is>
          <t>Loader</t>
        </is>
      </c>
      <c r="D832" s="156" t="inlineStr">
        <is>
          <t>Aux</t>
        </is>
      </c>
      <c r="E832" s="156" t="inlineStr">
        <is>
          <t>SANY - Loader</t>
        </is>
      </c>
      <c r="F832" s="184" t="n">
        <v>242.8</v>
      </c>
    </row>
    <row r="833">
      <c r="A833" s="155" t="n">
        <v>46105</v>
      </c>
      <c r="B833" s="156" t="inlineStr">
        <is>
          <t>WL-024</t>
        </is>
      </c>
      <c r="C833" s="156" t="inlineStr">
        <is>
          <t>Loader</t>
        </is>
      </c>
      <c r="D833" s="156" t="inlineStr">
        <is>
          <t>Aux</t>
        </is>
      </c>
      <c r="E833" s="156" t="inlineStr">
        <is>
          <t>SANY - Loader</t>
        </is>
      </c>
      <c r="F833" s="184" t="n">
        <v>279.6</v>
      </c>
    </row>
    <row r="834">
      <c r="A834" s="155" t="n">
        <v>46099</v>
      </c>
      <c r="B834" s="156" t="inlineStr">
        <is>
          <t>EX-754</t>
        </is>
      </c>
      <c r="C834" s="156" t="inlineStr">
        <is>
          <t>Excavator</t>
        </is>
      </c>
      <c r="D834" s="156" t="inlineStr">
        <is>
          <t>Mining</t>
        </is>
      </c>
      <c r="E834" s="156" t="inlineStr">
        <is>
          <t>SY750H-PRO</t>
        </is>
      </c>
      <c r="F834" s="184" t="n">
        <v>1059.9</v>
      </c>
    </row>
    <row r="835">
      <c r="A835" s="155" t="n">
        <v>46099</v>
      </c>
      <c r="B835" s="156" t="inlineStr">
        <is>
          <t>EX-755</t>
        </is>
      </c>
      <c r="C835" s="156" t="inlineStr">
        <is>
          <t>Excavator</t>
        </is>
      </c>
      <c r="D835" s="156" t="inlineStr">
        <is>
          <t>Mining</t>
        </is>
      </c>
      <c r="E835" s="156" t="inlineStr">
        <is>
          <t>SY750H-PRO</t>
        </is>
      </c>
      <c r="F835" s="184" t="n">
        <v>1110.5</v>
      </c>
    </row>
    <row r="836">
      <c r="A836" s="155" t="n">
        <v>46099</v>
      </c>
      <c r="B836" s="156" t="inlineStr">
        <is>
          <t>EX-753</t>
        </is>
      </c>
      <c r="C836" s="156" t="inlineStr">
        <is>
          <t>Excavator</t>
        </is>
      </c>
      <c r="D836" s="156" t="inlineStr">
        <is>
          <t>Mining</t>
        </is>
      </c>
      <c r="E836" s="156" t="inlineStr">
        <is>
          <t>SY750H-PRO</t>
        </is>
      </c>
      <c r="F836" s="184" t="n">
        <v>919.2</v>
      </c>
    </row>
    <row r="837">
      <c r="A837" s="155" t="n">
        <v>46099</v>
      </c>
      <c r="B837" s="156" t="inlineStr">
        <is>
          <t>EX-334</t>
        </is>
      </c>
      <c r="C837" s="156" t="inlineStr">
        <is>
          <t>Excavator</t>
        </is>
      </c>
      <c r="D837" s="156" t="inlineStr">
        <is>
          <t>Mining</t>
        </is>
      </c>
      <c r="E837" s="156" t="inlineStr">
        <is>
          <t>PC 300-8MO</t>
        </is>
      </c>
      <c r="F837" s="184" t="n">
        <v>547.5</v>
      </c>
    </row>
    <row r="838">
      <c r="A838" s="155" t="n">
        <v>46099</v>
      </c>
      <c r="B838" s="156" t="inlineStr">
        <is>
          <t>EX-222</t>
        </is>
      </c>
      <c r="C838" s="156" t="inlineStr">
        <is>
          <t>Excavator</t>
        </is>
      </c>
      <c r="D838" s="156" t="inlineStr">
        <is>
          <t>Mining</t>
        </is>
      </c>
      <c r="E838" s="156" t="inlineStr">
        <is>
          <t>PC 200-8MI</t>
        </is>
      </c>
      <c r="F838" s="184" t="n">
        <v>193.2</v>
      </c>
    </row>
    <row r="839">
      <c r="A839" s="155" t="n">
        <v>46099</v>
      </c>
      <c r="B839" s="156" t="inlineStr">
        <is>
          <t>EX-223</t>
        </is>
      </c>
      <c r="C839" s="156" t="inlineStr">
        <is>
          <t>Excavator</t>
        </is>
      </c>
      <c r="D839" s="156" t="inlineStr">
        <is>
          <t>Aux</t>
        </is>
      </c>
      <c r="E839" s="156" t="inlineStr">
        <is>
          <t>PC 200-8MI</t>
        </is>
      </c>
      <c r="F839" s="184" t="n">
        <v>282.9</v>
      </c>
    </row>
    <row r="840">
      <c r="A840" s="155" t="n">
        <v>46099</v>
      </c>
      <c r="B840" s="156" t="inlineStr">
        <is>
          <t>EX-221</t>
        </is>
      </c>
      <c r="C840" s="156" t="inlineStr">
        <is>
          <t>Excavator</t>
        </is>
      </c>
      <c r="D840" s="156" t="inlineStr">
        <is>
          <t>Aux</t>
        </is>
      </c>
      <c r="E840" s="156" t="inlineStr">
        <is>
          <t>PC 200-8MI</t>
        </is>
      </c>
      <c r="F840" s="184" t="n">
        <v>158.2</v>
      </c>
    </row>
    <row r="841">
      <c r="A841" s="155" t="n">
        <v>46099</v>
      </c>
      <c r="B841" s="156" t="inlineStr">
        <is>
          <t>EX-335</t>
        </is>
      </c>
      <c r="C841" s="156" t="inlineStr">
        <is>
          <t>Excavator</t>
        </is>
      </c>
      <c r="D841" s="156" t="inlineStr">
        <is>
          <t>Mining</t>
        </is>
      </c>
      <c r="E841" s="156" t="inlineStr">
        <is>
          <t>PC 300-8MO</t>
        </is>
      </c>
      <c r="F841" s="184" t="n">
        <v>498.4</v>
      </c>
    </row>
    <row r="842">
      <c r="A842" s="155" t="n">
        <v>46099</v>
      </c>
      <c r="B842" s="156" t="inlineStr">
        <is>
          <t>EX-1251</t>
        </is>
      </c>
      <c r="C842" s="156" t="inlineStr">
        <is>
          <t>Excavator</t>
        </is>
      </c>
      <c r="D842" s="156" t="inlineStr">
        <is>
          <t>Mining</t>
        </is>
      </c>
      <c r="E842" s="156" t="inlineStr">
        <is>
          <t>SY1250</t>
        </is>
      </c>
      <c r="F842" s="184" t="n">
        <v>1241.3</v>
      </c>
    </row>
    <row r="843">
      <c r="A843" s="155" t="n">
        <v>46099</v>
      </c>
      <c r="B843" s="156" t="inlineStr">
        <is>
          <t>EX-333</t>
        </is>
      </c>
      <c r="C843" s="156" t="inlineStr">
        <is>
          <t>Excavator</t>
        </is>
      </c>
      <c r="D843" s="156" t="inlineStr">
        <is>
          <t>Mining</t>
        </is>
      </c>
      <c r="E843" s="156" t="inlineStr">
        <is>
          <t>PC 300-8MO</t>
        </is>
      </c>
      <c r="F843" s="184" t="n">
        <v>587.5</v>
      </c>
    </row>
    <row r="844">
      <c r="A844" s="155" t="n">
        <v>46099</v>
      </c>
      <c r="B844" s="156" t="inlineStr">
        <is>
          <t>EX-336</t>
        </is>
      </c>
      <c r="C844" s="156" t="inlineStr">
        <is>
          <t>Excavator</t>
        </is>
      </c>
      <c r="D844" s="156" t="inlineStr">
        <is>
          <t>Mining</t>
        </is>
      </c>
      <c r="E844" s="156" t="inlineStr">
        <is>
          <t>PC 300-8MO</t>
        </is>
      </c>
      <c r="F844" s="184" t="n">
        <v>515.4</v>
      </c>
    </row>
    <row r="845">
      <c r="A845" s="155" t="n">
        <v>46099</v>
      </c>
      <c r="B845" s="156" t="inlineStr">
        <is>
          <t>DT-812</t>
        </is>
      </c>
      <c r="C845" s="156" t="inlineStr">
        <is>
          <t>Hauler</t>
        </is>
      </c>
      <c r="D845" s="156" t="inlineStr">
        <is>
          <t>Mining</t>
        </is>
      </c>
      <c r="E845" s="156" t="inlineStr">
        <is>
          <t>SKT 80S</t>
        </is>
      </c>
      <c r="F845" s="184" t="n">
        <v>285.6</v>
      </c>
    </row>
    <row r="846">
      <c r="A846" s="155" t="n">
        <v>46099</v>
      </c>
      <c r="B846" s="156" t="inlineStr">
        <is>
          <t>DT-810</t>
        </is>
      </c>
      <c r="C846" s="156" t="inlineStr">
        <is>
          <t>Hauler</t>
        </is>
      </c>
      <c r="D846" s="156" t="inlineStr">
        <is>
          <t>Mining</t>
        </is>
      </c>
      <c r="E846" s="156" t="inlineStr">
        <is>
          <t>SKT 80S</t>
        </is>
      </c>
      <c r="F846" s="184" t="n">
        <v>300.4</v>
      </c>
    </row>
    <row r="847">
      <c r="A847" s="155" t="n">
        <v>46099</v>
      </c>
      <c r="B847" s="156" t="inlineStr">
        <is>
          <t>DT-505</t>
        </is>
      </c>
      <c r="C847" s="156" t="inlineStr">
        <is>
          <t>Hauler</t>
        </is>
      </c>
      <c r="D847" s="156" t="inlineStr">
        <is>
          <t>Mining</t>
        </is>
      </c>
      <c r="E847" s="156" t="inlineStr">
        <is>
          <t>SKT 105S</t>
        </is>
      </c>
      <c r="F847" s="184" t="n">
        <v>292</v>
      </c>
    </row>
    <row r="848">
      <c r="A848" s="155" t="n">
        <v>46099</v>
      </c>
      <c r="B848" s="156" t="inlineStr">
        <is>
          <t>DT-503</t>
        </is>
      </c>
      <c r="C848" s="156" t="inlineStr">
        <is>
          <t>Hauler</t>
        </is>
      </c>
      <c r="D848" s="156" t="inlineStr">
        <is>
          <t>Mining</t>
        </is>
      </c>
      <c r="E848" s="156" t="inlineStr">
        <is>
          <t>SKT 105S</t>
        </is>
      </c>
      <c r="F848" s="184" t="n">
        <v>702.4</v>
      </c>
    </row>
    <row r="849">
      <c r="A849" s="155" t="n">
        <v>46099</v>
      </c>
      <c r="B849" s="156" t="inlineStr">
        <is>
          <t>DT-504</t>
        </is>
      </c>
      <c r="C849" s="156" t="inlineStr">
        <is>
          <t>Hauler</t>
        </is>
      </c>
      <c r="D849" s="156" t="inlineStr">
        <is>
          <t>Mining</t>
        </is>
      </c>
      <c r="E849" s="156" t="inlineStr">
        <is>
          <t>SKT 105S</t>
        </is>
      </c>
      <c r="F849" s="184" t="n">
        <v>743.9</v>
      </c>
    </row>
    <row r="850">
      <c r="A850" s="155" t="n">
        <v>46099</v>
      </c>
      <c r="B850" s="156" t="inlineStr">
        <is>
          <t>DT-518</t>
        </is>
      </c>
      <c r="C850" s="156" t="inlineStr">
        <is>
          <t>Hauler</t>
        </is>
      </c>
      <c r="D850" s="156" t="inlineStr">
        <is>
          <t>Mining</t>
        </is>
      </c>
      <c r="E850" s="156" t="inlineStr">
        <is>
          <t>SKT 105S</t>
        </is>
      </c>
      <c r="F850" s="184" t="n">
        <v>153.3</v>
      </c>
    </row>
    <row r="851">
      <c r="A851" s="155" t="n">
        <v>46099</v>
      </c>
      <c r="B851" s="156" t="inlineStr">
        <is>
          <t>DT-523</t>
        </is>
      </c>
      <c r="C851" s="156" t="inlineStr">
        <is>
          <t>Hauler</t>
        </is>
      </c>
      <c r="D851" s="156" t="inlineStr">
        <is>
          <t>Mining</t>
        </is>
      </c>
      <c r="E851" s="156" t="inlineStr">
        <is>
          <t>SKT 105S</t>
        </is>
      </c>
      <c r="F851" s="184" t="n">
        <v>171.7</v>
      </c>
    </row>
    <row r="852">
      <c r="A852" s="155" t="n">
        <v>46099</v>
      </c>
      <c r="B852" s="156" t="inlineStr">
        <is>
          <t>DT-527</t>
        </is>
      </c>
      <c r="C852" s="156" t="inlineStr">
        <is>
          <t>Hauler</t>
        </is>
      </c>
      <c r="D852" s="156" t="inlineStr">
        <is>
          <t>Mining</t>
        </is>
      </c>
      <c r="E852" s="156" t="inlineStr">
        <is>
          <t>SKT 105S</t>
        </is>
      </c>
      <c r="F852" s="184" t="n">
        <v>282</v>
      </c>
    </row>
    <row r="853">
      <c r="A853" s="155" t="n">
        <v>46099</v>
      </c>
      <c r="B853" s="156" t="inlineStr">
        <is>
          <t>DT-513</t>
        </is>
      </c>
      <c r="C853" s="156" t="inlineStr">
        <is>
          <t>Hauler</t>
        </is>
      </c>
      <c r="D853" s="156" t="inlineStr">
        <is>
          <t>Mining</t>
        </is>
      </c>
      <c r="E853" s="156" t="inlineStr">
        <is>
          <t>SKT 105S</t>
        </is>
      </c>
      <c r="F853" s="184" t="n">
        <v>458.1</v>
      </c>
    </row>
    <row r="854">
      <c r="A854" s="155" t="n">
        <v>46099</v>
      </c>
      <c r="B854" s="156" t="inlineStr">
        <is>
          <t>DT-512</t>
        </is>
      </c>
      <c r="C854" s="156" t="inlineStr">
        <is>
          <t>Hauler</t>
        </is>
      </c>
      <c r="D854" s="156" t="inlineStr">
        <is>
          <t>Mining</t>
        </is>
      </c>
      <c r="E854" s="156" t="inlineStr">
        <is>
          <t>SKT 105S</t>
        </is>
      </c>
      <c r="F854" s="184" t="n">
        <v>519.2</v>
      </c>
    </row>
    <row r="855">
      <c r="A855" s="155" t="n">
        <v>46099</v>
      </c>
      <c r="B855" s="156" t="inlineStr">
        <is>
          <t>DT-522</t>
        </is>
      </c>
      <c r="C855" s="156" t="inlineStr">
        <is>
          <t>Hauler</t>
        </is>
      </c>
      <c r="D855" s="156" t="inlineStr">
        <is>
          <t>Mining</t>
        </is>
      </c>
      <c r="E855" s="156" t="inlineStr">
        <is>
          <t>SKT 105S</t>
        </is>
      </c>
      <c r="F855" s="184" t="n">
        <v>662.4</v>
      </c>
    </row>
    <row r="856">
      <c r="A856" s="155" t="n">
        <v>46099</v>
      </c>
      <c r="B856" s="156" t="inlineStr">
        <is>
          <t>DT-517</t>
        </is>
      </c>
      <c r="C856" s="156" t="inlineStr">
        <is>
          <t>Hauler</t>
        </is>
      </c>
      <c r="D856" s="156" t="inlineStr">
        <is>
          <t>Mining</t>
        </is>
      </c>
      <c r="E856" s="156" t="inlineStr">
        <is>
          <t>SKT 105S</t>
        </is>
      </c>
      <c r="F856" s="184" t="n">
        <v>539.2</v>
      </c>
    </row>
    <row r="857">
      <c r="A857" s="155" t="n">
        <v>46099</v>
      </c>
      <c r="B857" s="156" t="inlineStr">
        <is>
          <t>DT-510</t>
        </is>
      </c>
      <c r="C857" s="156" t="inlineStr">
        <is>
          <t>Hauler</t>
        </is>
      </c>
      <c r="D857" s="156" t="inlineStr">
        <is>
          <t>Mining</t>
        </is>
      </c>
      <c r="E857" s="156" t="inlineStr">
        <is>
          <t>SKT 105S</t>
        </is>
      </c>
      <c r="F857" s="184" t="n">
        <v>176.3</v>
      </c>
    </row>
    <row r="858">
      <c r="A858" s="155" t="n">
        <v>46099</v>
      </c>
      <c r="B858" s="156" t="inlineStr">
        <is>
          <t>DT-521</t>
        </is>
      </c>
      <c r="C858" s="156" t="inlineStr">
        <is>
          <t>Hauler</t>
        </is>
      </c>
      <c r="D858" s="156" t="inlineStr">
        <is>
          <t>Mining</t>
        </is>
      </c>
      <c r="E858" s="156" t="inlineStr">
        <is>
          <t>SKT 105S</t>
        </is>
      </c>
      <c r="F858" s="184" t="n">
        <v>316.9</v>
      </c>
    </row>
    <row r="859">
      <c r="A859" s="155" t="n">
        <v>46099</v>
      </c>
      <c r="B859" s="156" t="inlineStr">
        <is>
          <t>DT-506</t>
        </is>
      </c>
      <c r="C859" s="156" t="inlineStr">
        <is>
          <t>Hauler</t>
        </is>
      </c>
      <c r="D859" s="156" t="inlineStr">
        <is>
          <t>Mining</t>
        </is>
      </c>
      <c r="E859" s="156" t="inlineStr">
        <is>
          <t>SKT 105S</t>
        </is>
      </c>
      <c r="F859" s="184" t="n">
        <v>554.3</v>
      </c>
    </row>
    <row r="860">
      <c r="A860" s="155" t="n">
        <v>46099</v>
      </c>
      <c r="B860" s="156" t="inlineStr">
        <is>
          <t>DT-502</t>
        </is>
      </c>
      <c r="C860" s="156" t="inlineStr">
        <is>
          <t>Hauler</t>
        </is>
      </c>
      <c r="D860" s="156" t="inlineStr">
        <is>
          <t>Mining</t>
        </is>
      </c>
      <c r="E860" s="156" t="inlineStr">
        <is>
          <t>SKT 105S</t>
        </is>
      </c>
      <c r="F860" s="184" t="n">
        <v>198.6</v>
      </c>
    </row>
    <row r="861">
      <c r="A861" s="155" t="n">
        <v>46099</v>
      </c>
      <c r="B861" s="156" t="inlineStr">
        <is>
          <t>DT-528</t>
        </is>
      </c>
      <c r="C861" s="156" t="inlineStr">
        <is>
          <t>Hauler</t>
        </is>
      </c>
      <c r="D861" s="156" t="inlineStr">
        <is>
          <t>Mining</t>
        </is>
      </c>
      <c r="E861" s="156" t="inlineStr">
        <is>
          <t>SKT 105S</t>
        </is>
      </c>
      <c r="F861" s="184" t="n">
        <v>580.2</v>
      </c>
    </row>
    <row r="862">
      <c r="A862" s="155" t="n">
        <v>46099</v>
      </c>
      <c r="B862" s="156" t="inlineStr">
        <is>
          <t>DT-529</t>
        </is>
      </c>
      <c r="C862" s="156" t="inlineStr">
        <is>
          <t>Hauler</t>
        </is>
      </c>
      <c r="D862" s="156" t="inlineStr">
        <is>
          <t>Mining</t>
        </is>
      </c>
      <c r="E862" s="156" t="inlineStr">
        <is>
          <t>SKT 105S</t>
        </is>
      </c>
      <c r="F862" s="184" t="n">
        <v>542.5</v>
      </c>
    </row>
    <row r="863">
      <c r="A863" s="155" t="n">
        <v>46099</v>
      </c>
      <c r="B863" s="156" t="inlineStr">
        <is>
          <t>DT-520</t>
        </is>
      </c>
      <c r="C863" s="156" t="inlineStr">
        <is>
          <t>Hauler</t>
        </is>
      </c>
      <c r="D863" s="156" t="inlineStr">
        <is>
          <t>Mining</t>
        </is>
      </c>
      <c r="E863" s="156" t="inlineStr">
        <is>
          <t>SKT 105S</t>
        </is>
      </c>
      <c r="F863" s="184" t="n">
        <v>414.6</v>
      </c>
    </row>
    <row r="864">
      <c r="A864" s="155" t="n">
        <v>46099</v>
      </c>
      <c r="B864" s="156" t="inlineStr">
        <is>
          <t>DT-526</t>
        </is>
      </c>
      <c r="C864" s="156" t="inlineStr">
        <is>
          <t>Hauler</t>
        </is>
      </c>
      <c r="D864" s="156" t="inlineStr">
        <is>
          <t>Mining</t>
        </is>
      </c>
      <c r="E864" s="156" t="inlineStr">
        <is>
          <t>SKT 105S</t>
        </is>
      </c>
      <c r="F864" s="184" t="n">
        <v>665.5</v>
      </c>
    </row>
    <row r="865">
      <c r="A865" s="155" t="n">
        <v>46099</v>
      </c>
      <c r="B865" s="156" t="inlineStr">
        <is>
          <t>DT-508</t>
        </is>
      </c>
      <c r="C865" s="156" t="inlineStr">
        <is>
          <t>Hauler</t>
        </is>
      </c>
      <c r="D865" s="156" t="inlineStr">
        <is>
          <t>Mining</t>
        </is>
      </c>
      <c r="E865" s="156" t="inlineStr">
        <is>
          <t>SKT 105S</t>
        </is>
      </c>
      <c r="F865" s="184" t="n">
        <v>574.1</v>
      </c>
    </row>
    <row r="866">
      <c r="A866" s="155" t="n">
        <v>46099</v>
      </c>
      <c r="B866" s="156" t="inlineStr">
        <is>
          <t>DT-515</t>
        </is>
      </c>
      <c r="C866" s="156" t="inlineStr">
        <is>
          <t>Hauler</t>
        </is>
      </c>
      <c r="D866" s="156" t="inlineStr">
        <is>
          <t>Mining</t>
        </is>
      </c>
      <c r="E866" s="156" t="inlineStr">
        <is>
          <t>SKT 105S</t>
        </is>
      </c>
      <c r="F866" s="184" t="n">
        <v>516.7</v>
      </c>
    </row>
    <row r="867">
      <c r="A867" s="155" t="n">
        <v>46099</v>
      </c>
      <c r="B867" s="156" t="inlineStr">
        <is>
          <t>DT-524</t>
        </is>
      </c>
      <c r="C867" s="156" t="inlineStr">
        <is>
          <t>Hauler</t>
        </is>
      </c>
      <c r="D867" s="156" t="inlineStr">
        <is>
          <t>Mining</t>
        </is>
      </c>
      <c r="E867" s="156" t="inlineStr">
        <is>
          <t>SKT 105S</t>
        </is>
      </c>
      <c r="F867" s="184" t="n">
        <v>472.6</v>
      </c>
    </row>
    <row r="868">
      <c r="A868" s="155" t="n">
        <v>46099</v>
      </c>
      <c r="B868" s="156" t="inlineStr">
        <is>
          <t>DZ-033</t>
        </is>
      </c>
      <c r="C868" s="156" t="inlineStr">
        <is>
          <t>Bulldozer</t>
        </is>
      </c>
      <c r="D868" s="156" t="inlineStr">
        <is>
          <t>Mining</t>
        </is>
      </c>
      <c r="E868" s="156" t="inlineStr">
        <is>
          <t>D 375A-6R</t>
        </is>
      </c>
      <c r="F868" s="184" t="n">
        <v>409</v>
      </c>
    </row>
    <row r="869">
      <c r="A869" s="155" t="n">
        <v>46099</v>
      </c>
      <c r="B869" s="156" t="inlineStr">
        <is>
          <t>DZ-038</t>
        </is>
      </c>
      <c r="C869" s="156" t="inlineStr">
        <is>
          <t>Bulldozer</t>
        </is>
      </c>
      <c r="D869" s="156" t="inlineStr">
        <is>
          <t>Mining</t>
        </is>
      </c>
      <c r="E869" s="156" t="inlineStr">
        <is>
          <t>D 85 ESS-2</t>
        </is>
      </c>
      <c r="F869" s="184" t="n">
        <v>37</v>
      </c>
    </row>
    <row r="870">
      <c r="A870" s="155" t="n">
        <v>46099</v>
      </c>
      <c r="B870" s="156" t="inlineStr">
        <is>
          <t>DZ-039</t>
        </is>
      </c>
      <c r="C870" s="156" t="inlineStr">
        <is>
          <t>Bulldozer</t>
        </is>
      </c>
      <c r="D870" s="156" t="inlineStr">
        <is>
          <t>Mining</t>
        </is>
      </c>
      <c r="E870" s="156" t="inlineStr">
        <is>
          <t>D 85 ESS-2</t>
        </is>
      </c>
      <c r="F870" s="184" t="n">
        <v>513.1</v>
      </c>
    </row>
    <row r="871">
      <c r="A871" s="155" t="n">
        <v>46099</v>
      </c>
      <c r="B871" s="156" t="inlineStr">
        <is>
          <t>DZ-036</t>
        </is>
      </c>
      <c r="C871" s="156" t="inlineStr">
        <is>
          <t>Bulldozer</t>
        </is>
      </c>
      <c r="D871" s="156" t="inlineStr">
        <is>
          <t>Aux</t>
        </is>
      </c>
      <c r="E871" s="156" t="inlineStr">
        <is>
          <t>D 85 ESS-2</t>
        </is>
      </c>
      <c r="F871" s="184" t="n">
        <v>63.5</v>
      </c>
    </row>
    <row r="872">
      <c r="A872" s="155" t="n">
        <v>46099</v>
      </c>
      <c r="B872" s="156" t="inlineStr">
        <is>
          <t>DZ-035</t>
        </is>
      </c>
      <c r="C872" s="156" t="inlineStr">
        <is>
          <t>Bulldozer</t>
        </is>
      </c>
      <c r="D872" s="156" t="inlineStr">
        <is>
          <t>Mining</t>
        </is>
      </c>
      <c r="E872" s="156" t="inlineStr">
        <is>
          <t>D 85 ESS-2</t>
        </is>
      </c>
      <c r="F872" s="184" t="n">
        <v>478.5</v>
      </c>
    </row>
    <row r="873">
      <c r="A873" s="155" t="n">
        <v>46099</v>
      </c>
      <c r="B873" s="156" t="inlineStr">
        <is>
          <t>DZ-031</t>
        </is>
      </c>
      <c r="C873" s="156" t="inlineStr">
        <is>
          <t>Bulldozer</t>
        </is>
      </c>
      <c r="D873" s="156" t="inlineStr">
        <is>
          <t>Mining</t>
        </is>
      </c>
      <c r="E873" s="156" t="inlineStr">
        <is>
          <t>CAT</t>
        </is>
      </c>
      <c r="F873" s="184" t="n">
        <v>826.8</v>
      </c>
    </row>
    <row r="874">
      <c r="A874" s="155" t="n">
        <v>46099</v>
      </c>
      <c r="B874" s="156" t="inlineStr">
        <is>
          <t>GD-013</t>
        </is>
      </c>
      <c r="C874" s="156" t="inlineStr">
        <is>
          <t>Grader</t>
        </is>
      </c>
      <c r="D874" s="156" t="inlineStr">
        <is>
          <t>Mining</t>
        </is>
      </c>
      <c r="E874" s="156" t="inlineStr">
        <is>
          <t>STG 265C - 10</t>
        </is>
      </c>
      <c r="F874" s="184" t="n">
        <v>402.3</v>
      </c>
    </row>
    <row r="875">
      <c r="A875" s="155" t="n">
        <v>46099</v>
      </c>
      <c r="B875" s="156" t="inlineStr">
        <is>
          <t>GD-014</t>
        </is>
      </c>
      <c r="C875" s="156" t="inlineStr">
        <is>
          <t>Grader</t>
        </is>
      </c>
      <c r="D875" s="156" t="inlineStr">
        <is>
          <t>Mining</t>
        </is>
      </c>
      <c r="E875" s="156" t="inlineStr">
        <is>
          <t>STG 335C - 10</t>
        </is>
      </c>
      <c r="F875" s="184" t="n">
        <v>309.8</v>
      </c>
    </row>
    <row r="876">
      <c r="A876" s="155" t="n">
        <v>46099</v>
      </c>
      <c r="B876" s="156" t="inlineStr">
        <is>
          <t>CP-041</t>
        </is>
      </c>
      <c r="C876" s="156" t="inlineStr">
        <is>
          <t>Compactor</t>
        </is>
      </c>
      <c r="D876" s="156" t="inlineStr">
        <is>
          <t>Mining</t>
        </is>
      </c>
      <c r="E876" s="156" t="inlineStr">
        <is>
          <t>SANY - Compactor</t>
        </is>
      </c>
      <c r="F876" s="184" t="n">
        <v>201.4</v>
      </c>
    </row>
    <row r="877">
      <c r="A877" s="155" t="n">
        <v>46099</v>
      </c>
      <c r="B877" s="156" t="inlineStr">
        <is>
          <t>WL-023</t>
        </is>
      </c>
      <c r="C877" s="156" t="inlineStr">
        <is>
          <t>Loader</t>
        </is>
      </c>
      <c r="D877" s="156" t="inlineStr">
        <is>
          <t>Aux</t>
        </is>
      </c>
      <c r="E877" s="156" t="inlineStr">
        <is>
          <t>SANY - Loader</t>
        </is>
      </c>
      <c r="F877" s="184" t="n">
        <v>123.2</v>
      </c>
    </row>
    <row r="878">
      <c r="A878" s="155" t="n">
        <v>46099</v>
      </c>
      <c r="B878" s="156" t="inlineStr">
        <is>
          <t>LV-01</t>
        </is>
      </c>
      <c r="C878" s="156" t="inlineStr">
        <is>
          <t>LV &amp; sarana</t>
        </is>
      </c>
      <c r="D878" s="156" t="inlineStr">
        <is>
          <t>Aux</t>
        </is>
      </c>
      <c r="E878" s="156" t="inlineStr">
        <is>
          <t>Light vehicle</t>
        </is>
      </c>
      <c r="F878" s="184" t="n">
        <v>56.8</v>
      </c>
    </row>
    <row r="879">
      <c r="A879" s="155" t="n">
        <v>46099</v>
      </c>
      <c r="B879" s="156" t="inlineStr">
        <is>
          <t>LV-03</t>
        </is>
      </c>
      <c r="C879" s="156" t="inlineStr">
        <is>
          <t>LV &amp; sarana</t>
        </is>
      </c>
      <c r="D879" s="156" t="inlineStr">
        <is>
          <t>Aux</t>
        </is>
      </c>
      <c r="E879" s="156" t="inlineStr">
        <is>
          <t>Light vehicle</t>
        </is>
      </c>
      <c r="F879" s="184" t="n">
        <v>27</v>
      </c>
    </row>
    <row r="880">
      <c r="A880" s="155" t="n">
        <v>46099</v>
      </c>
      <c r="B880" s="156" t="inlineStr">
        <is>
          <t>LV-04</t>
        </is>
      </c>
      <c r="C880" s="156" t="inlineStr">
        <is>
          <t>LV &amp; sarana</t>
        </is>
      </c>
      <c r="D880" s="156" t="inlineStr">
        <is>
          <t>Aux</t>
        </is>
      </c>
      <c r="E880" s="156" t="inlineStr">
        <is>
          <t>Light vehicle</t>
        </is>
      </c>
      <c r="F880" s="184" t="n">
        <v>51.9</v>
      </c>
    </row>
    <row r="881">
      <c r="A881" s="155" t="n">
        <v>46099</v>
      </c>
      <c r="B881" s="156" t="inlineStr">
        <is>
          <t>LV-05</t>
        </is>
      </c>
      <c r="C881" s="156" t="inlineStr">
        <is>
          <t>LV &amp; sarana</t>
        </is>
      </c>
      <c r="D881" s="156" t="inlineStr">
        <is>
          <t>Aux</t>
        </is>
      </c>
      <c r="E881" s="156" t="inlineStr">
        <is>
          <t>Light vehicle</t>
        </is>
      </c>
      <c r="F881" s="184" t="n">
        <v>47.9</v>
      </c>
    </row>
    <row r="882">
      <c r="A882" s="155" t="n">
        <v>46099</v>
      </c>
      <c r="B882" s="156" t="inlineStr">
        <is>
          <t>LV-06</t>
        </is>
      </c>
      <c r="C882" s="156" t="inlineStr">
        <is>
          <t>LV &amp; sarana</t>
        </is>
      </c>
      <c r="D882" s="156" t="inlineStr">
        <is>
          <t>Aux</t>
        </is>
      </c>
      <c r="E882" s="156" t="inlineStr">
        <is>
          <t>Light vehicle</t>
        </is>
      </c>
      <c r="F882" s="184" t="n">
        <v>24.9</v>
      </c>
    </row>
    <row r="883">
      <c r="A883" s="155" t="n">
        <v>46099</v>
      </c>
      <c r="B883" s="156" t="inlineStr">
        <is>
          <t>LV-07</t>
        </is>
      </c>
      <c r="C883" s="156" t="inlineStr">
        <is>
          <t>LV &amp; sarana</t>
        </is>
      </c>
      <c r="D883" s="156" t="inlineStr">
        <is>
          <t>Aux</t>
        </is>
      </c>
      <c r="E883" s="156" t="inlineStr">
        <is>
          <t>Light vehicle</t>
        </is>
      </c>
      <c r="F883" s="184" t="n">
        <v>59.2</v>
      </c>
    </row>
    <row r="884">
      <c r="A884" s="155" t="n">
        <v>46099</v>
      </c>
      <c r="B884" s="156" t="inlineStr">
        <is>
          <t>LV-09</t>
        </is>
      </c>
      <c r="C884" s="156" t="inlineStr">
        <is>
          <t>LV &amp; sarana</t>
        </is>
      </c>
      <c r="D884" s="156" t="inlineStr">
        <is>
          <t>Aux</t>
        </is>
      </c>
      <c r="E884" s="156" t="inlineStr">
        <is>
          <t>Light vehicle</t>
        </is>
      </c>
      <c r="F884" s="184" t="n">
        <v>52.8</v>
      </c>
    </row>
    <row r="885">
      <c r="A885" s="155" t="n">
        <v>46099</v>
      </c>
      <c r="B885" s="156" t="inlineStr">
        <is>
          <t>VD-01</t>
        </is>
      </c>
      <c r="C885" s="156" t="inlineStr">
        <is>
          <t>Vendor</t>
        </is>
      </c>
      <c r="D885" s="156" t="inlineStr">
        <is>
          <t>Vendor</t>
        </is>
      </c>
      <c r="E885" s="156" t="inlineStr">
        <is>
          <t>Alat vendor</t>
        </is>
      </c>
      <c r="F885" s="184" t="n">
        <v>55.1</v>
      </c>
    </row>
    <row r="886">
      <c r="A886" s="155" t="n">
        <v>46099</v>
      </c>
      <c r="B886" s="156" t="inlineStr">
        <is>
          <t>VD-06</t>
        </is>
      </c>
      <c r="C886" s="156" t="inlineStr">
        <is>
          <t>Vendor</t>
        </is>
      </c>
      <c r="D886" s="156" t="inlineStr">
        <is>
          <t>Vendor</t>
        </is>
      </c>
      <c r="E886" s="156" t="inlineStr">
        <is>
          <t>Alat vendor</t>
        </is>
      </c>
      <c r="F886" s="184" t="n">
        <v>57</v>
      </c>
    </row>
    <row r="887">
      <c r="A887" s="155" t="n">
        <v>46099</v>
      </c>
      <c r="B887" s="156" t="inlineStr">
        <is>
          <t>TS-01</t>
        </is>
      </c>
      <c r="C887" s="156" t="inlineStr">
        <is>
          <t>Truk support</t>
        </is>
      </c>
      <c r="D887" s="156" t="inlineStr">
        <is>
          <t>Mining</t>
        </is>
      </c>
      <c r="E887" s="156" t="inlineStr">
        <is>
          <t>Truk support</t>
        </is>
      </c>
      <c r="F887" s="184" t="n">
        <v>137.6</v>
      </c>
    </row>
    <row r="888">
      <c r="A888" s="155" t="n">
        <v>46099</v>
      </c>
      <c r="B888" s="156" t="inlineStr">
        <is>
          <t>TS-03</t>
        </is>
      </c>
      <c r="C888" s="156" t="inlineStr">
        <is>
          <t>Truk support</t>
        </is>
      </c>
      <c r="D888" s="156" t="inlineStr">
        <is>
          <t>Mining</t>
        </is>
      </c>
      <c r="E888" s="156" t="inlineStr">
        <is>
          <t>Truk support</t>
        </is>
      </c>
      <c r="F888" s="184" t="n">
        <v>138</v>
      </c>
    </row>
    <row r="889">
      <c r="A889" s="155" t="n">
        <v>46099</v>
      </c>
      <c r="B889" s="156" t="inlineStr">
        <is>
          <t>AL-05</t>
        </is>
      </c>
      <c r="C889" s="156" t="inlineStr">
        <is>
          <t>Alat lain</t>
        </is>
      </c>
      <c r="D889" s="156" t="inlineStr">
        <is>
          <t>Mining</t>
        </is>
      </c>
      <c r="E889" s="156" t="inlineStr">
        <is>
          <t>Alat lain</t>
        </is>
      </c>
      <c r="F889" s="184" t="n">
        <v>482.9</v>
      </c>
    </row>
    <row r="890">
      <c r="A890" s="155" t="n">
        <v>46099</v>
      </c>
      <c r="B890" s="156" t="inlineStr">
        <is>
          <t>TL-02</t>
        </is>
      </c>
      <c r="C890" s="156" t="inlineStr">
        <is>
          <t>Tower lamp</t>
        </is>
      </c>
      <c r="D890" s="156" t="inlineStr">
        <is>
          <t>Mining</t>
        </is>
      </c>
      <c r="E890" s="156" t="inlineStr">
        <is>
          <t>Tower lamp</t>
        </is>
      </c>
      <c r="F890" s="184" t="n">
        <v>59.5</v>
      </c>
    </row>
    <row r="891">
      <c r="A891" s="155" t="n">
        <v>46099</v>
      </c>
      <c r="B891" s="156" t="inlineStr">
        <is>
          <t>TL-03</t>
        </is>
      </c>
      <c r="C891" s="156" t="inlineStr">
        <is>
          <t>Tower lamp</t>
        </is>
      </c>
      <c r="D891" s="156" t="inlineStr">
        <is>
          <t>Mining</t>
        </is>
      </c>
      <c r="E891" s="156" t="inlineStr">
        <is>
          <t>Tower lamp</t>
        </is>
      </c>
      <c r="F891" s="184" t="n">
        <v>62.3</v>
      </c>
    </row>
    <row r="892">
      <c r="A892" s="155" t="n">
        <v>46099</v>
      </c>
      <c r="B892" s="156" t="inlineStr">
        <is>
          <t>TL-04</t>
        </is>
      </c>
      <c r="C892" s="156" t="inlineStr">
        <is>
          <t>Tower lamp</t>
        </is>
      </c>
      <c r="D892" s="156" t="inlineStr">
        <is>
          <t>Mining</t>
        </is>
      </c>
      <c r="E892" s="156" t="inlineStr">
        <is>
          <t>Tower lamp</t>
        </is>
      </c>
      <c r="F892" s="184" t="n">
        <v>51.5</v>
      </c>
    </row>
    <row r="893">
      <c r="A893" s="155" t="n">
        <v>46099</v>
      </c>
      <c r="B893" s="156" t="inlineStr">
        <is>
          <t>TL-05</t>
        </is>
      </c>
      <c r="C893" s="156" t="inlineStr">
        <is>
          <t>Tower lamp</t>
        </is>
      </c>
      <c r="D893" s="156" t="inlineStr">
        <is>
          <t>Mining</t>
        </is>
      </c>
      <c r="E893" s="156" t="inlineStr">
        <is>
          <t>Tower lamp</t>
        </is>
      </c>
      <c r="F893" s="184" t="n">
        <v>61.2</v>
      </c>
    </row>
    <row r="894">
      <c r="A894" s="155" t="n">
        <v>46099</v>
      </c>
      <c r="B894" s="156" t="inlineStr">
        <is>
          <t>AL-09</t>
        </is>
      </c>
      <c r="C894" s="156" t="inlineStr">
        <is>
          <t>Alat lain</t>
        </is>
      </c>
      <c r="D894" s="156" t="inlineStr">
        <is>
          <t>Mining</t>
        </is>
      </c>
      <c r="E894" s="156" t="inlineStr">
        <is>
          <t>Alat lain</t>
        </is>
      </c>
      <c r="F894" s="184" t="n">
        <v>26.5</v>
      </c>
    </row>
    <row r="895">
      <c r="A895" s="155" t="n">
        <v>46099</v>
      </c>
      <c r="B895" s="156" t="inlineStr">
        <is>
          <t>GS-02</t>
        </is>
      </c>
      <c r="C895" s="156" t="inlineStr">
        <is>
          <t>Genset</t>
        </is>
      </c>
      <c r="D895" s="156" t="inlineStr">
        <is>
          <t>Aux</t>
        </is>
      </c>
      <c r="E895" s="156" t="inlineStr">
        <is>
          <t>Genset</t>
        </is>
      </c>
      <c r="F895" s="184" t="n">
        <v>99.7</v>
      </c>
    </row>
    <row r="896">
      <c r="A896" s="155" t="n">
        <v>46099</v>
      </c>
      <c r="B896" s="156" t="inlineStr">
        <is>
          <t>GS-03</t>
        </is>
      </c>
      <c r="C896" s="156" t="inlineStr">
        <is>
          <t>Genset</t>
        </is>
      </c>
      <c r="D896" s="156" t="inlineStr">
        <is>
          <t>Aux</t>
        </is>
      </c>
      <c r="E896" s="156" t="inlineStr">
        <is>
          <t>Genset</t>
        </is>
      </c>
      <c r="F896" s="184" t="n">
        <v>110.5</v>
      </c>
    </row>
    <row r="897">
      <c r="A897" s="155" t="n">
        <v>46099</v>
      </c>
      <c r="B897" s="156" t="inlineStr">
        <is>
          <t>GS-04</t>
        </is>
      </c>
      <c r="C897" s="156" t="inlineStr">
        <is>
          <t>Genset</t>
        </is>
      </c>
      <c r="D897" s="156" t="inlineStr">
        <is>
          <t>Aux</t>
        </is>
      </c>
      <c r="E897" s="156" t="inlineStr">
        <is>
          <t>Genset</t>
        </is>
      </c>
      <c r="F897" s="184" t="n">
        <v>741.1</v>
      </c>
    </row>
    <row r="898">
      <c r="A898" s="155" t="n">
        <v>46099</v>
      </c>
      <c r="B898" s="156" t="inlineStr">
        <is>
          <t>GS-07</t>
        </is>
      </c>
      <c r="C898" s="156" t="inlineStr">
        <is>
          <t>Genset</t>
        </is>
      </c>
      <c r="D898" s="156" t="inlineStr">
        <is>
          <t>Aux</t>
        </is>
      </c>
      <c r="E898" s="156" t="inlineStr">
        <is>
          <t>Genset</t>
        </is>
      </c>
      <c r="F898" s="184" t="n">
        <v>24.7</v>
      </c>
    </row>
    <row r="899">
      <c r="A899" s="155" t="n">
        <v>46099</v>
      </c>
      <c r="B899" s="156" t="inlineStr">
        <is>
          <t>GS-08</t>
        </is>
      </c>
      <c r="C899" s="156" t="inlineStr">
        <is>
          <t>Genset</t>
        </is>
      </c>
      <c r="D899" s="156" t="inlineStr">
        <is>
          <t>Aux</t>
        </is>
      </c>
      <c r="E899" s="156" t="inlineStr">
        <is>
          <t>Genset</t>
        </is>
      </c>
      <c r="F899" s="184" t="n">
        <v>61.6</v>
      </c>
    </row>
    <row r="900">
      <c r="A900" s="155" t="n">
        <v>46099</v>
      </c>
      <c r="B900" s="156" t="inlineStr">
        <is>
          <t>GS-09</t>
        </is>
      </c>
      <c r="C900" s="156" t="inlineStr">
        <is>
          <t>Genset</t>
        </is>
      </c>
      <c r="D900" s="156" t="inlineStr">
        <is>
          <t>Aux</t>
        </is>
      </c>
      <c r="E900" s="156" t="inlineStr">
        <is>
          <t>Genset</t>
        </is>
      </c>
      <c r="F900" s="184" t="n">
        <v>2319.1</v>
      </c>
    </row>
    <row r="901">
      <c r="A901" s="155" t="n">
        <v>46099</v>
      </c>
      <c r="B901" s="156" t="inlineStr">
        <is>
          <t>WP-05</t>
        </is>
      </c>
      <c r="C901" s="156" t="inlineStr">
        <is>
          <t>Pompa air</t>
        </is>
      </c>
      <c r="D901" s="156" t="inlineStr">
        <is>
          <t>Mining</t>
        </is>
      </c>
      <c r="E901" s="156" t="inlineStr">
        <is>
          <t>Pompa air</t>
        </is>
      </c>
      <c r="F901" s="184" t="n">
        <v>1370.8</v>
      </c>
    </row>
    <row r="902">
      <c r="A902" s="155" t="n">
        <v>46099</v>
      </c>
      <c r="B902" s="156" t="inlineStr">
        <is>
          <t>GS-10</t>
        </is>
      </c>
      <c r="C902" s="156" t="inlineStr">
        <is>
          <t>Genset</t>
        </is>
      </c>
      <c r="D902" s="156" t="inlineStr">
        <is>
          <t>Aux</t>
        </is>
      </c>
      <c r="E902" s="156" t="inlineStr">
        <is>
          <t>Genset</t>
        </is>
      </c>
      <c r="F902" s="184" t="n">
        <v>2178.4</v>
      </c>
    </row>
    <row r="903">
      <c r="A903" s="155" t="n">
        <v>46099</v>
      </c>
      <c r="B903" s="156" t="inlineStr">
        <is>
          <t>GS-11</t>
        </is>
      </c>
      <c r="C903" s="156" t="inlineStr">
        <is>
          <t>Genset</t>
        </is>
      </c>
      <c r="D903" s="156" t="inlineStr">
        <is>
          <t>Aux</t>
        </is>
      </c>
      <c r="E903" s="156" t="inlineStr">
        <is>
          <t>Genset</t>
        </is>
      </c>
      <c r="F903" s="184" t="n">
        <v>2182.5</v>
      </c>
    </row>
    <row r="904">
      <c r="A904" s="155" t="n">
        <v>46099</v>
      </c>
      <c r="B904" s="156" t="inlineStr">
        <is>
          <t>WL-022</t>
        </is>
      </c>
      <c r="C904" s="156" t="inlineStr">
        <is>
          <t>Loader</t>
        </is>
      </c>
      <c r="D904" s="156" t="inlineStr">
        <is>
          <t>Aux</t>
        </is>
      </c>
      <c r="E904" s="156" t="inlineStr">
        <is>
          <t>SANY - Loader</t>
        </is>
      </c>
      <c r="F904" s="184" t="n">
        <v>243</v>
      </c>
    </row>
    <row r="905">
      <c r="A905" s="155" t="n">
        <v>46099</v>
      </c>
      <c r="B905" s="156" t="inlineStr">
        <is>
          <t>WL-024</t>
        </is>
      </c>
      <c r="C905" s="156" t="inlineStr">
        <is>
          <t>Loader</t>
        </is>
      </c>
      <c r="D905" s="156" t="inlineStr">
        <is>
          <t>Aux</t>
        </is>
      </c>
      <c r="E905" s="156" t="inlineStr">
        <is>
          <t>SANY - Loader</t>
        </is>
      </c>
      <c r="F905" s="184" t="n">
        <v>151.8</v>
      </c>
    </row>
    <row r="906">
      <c r="A906" s="155" t="n">
        <v>46099</v>
      </c>
      <c r="B906" s="156" t="inlineStr">
        <is>
          <t>LV-13</t>
        </is>
      </c>
      <c r="C906" s="156" t="inlineStr">
        <is>
          <t>LV &amp; sarana</t>
        </is>
      </c>
      <c r="D906" s="156" t="inlineStr">
        <is>
          <t>Mining</t>
        </is>
      </c>
      <c r="E906" s="156" t="inlineStr">
        <is>
          <t>Light vehicle</t>
        </is>
      </c>
      <c r="F906" s="184" t="n">
        <v>41.6</v>
      </c>
    </row>
    <row r="907">
      <c r="A907" s="155" t="n">
        <v>46099</v>
      </c>
      <c r="B907" s="156" t="inlineStr">
        <is>
          <t>LV-14</t>
        </is>
      </c>
      <c r="C907" s="156" t="inlineStr">
        <is>
          <t>LV &amp; sarana</t>
        </is>
      </c>
      <c r="D907" s="156" t="inlineStr">
        <is>
          <t>Mining</t>
        </is>
      </c>
      <c r="E907" s="156" t="inlineStr">
        <is>
          <t>Light vehicle</t>
        </is>
      </c>
      <c r="F907" s="184" t="n">
        <v>64</v>
      </c>
    </row>
    <row r="908">
      <c r="A908" s="155" t="n">
        <v>46083</v>
      </c>
      <c r="B908" s="156" t="inlineStr">
        <is>
          <t>EX-754</t>
        </is>
      </c>
      <c r="C908" s="156" t="inlineStr">
        <is>
          <t>Excavator</t>
        </is>
      </c>
      <c r="D908" s="156" t="inlineStr">
        <is>
          <t>Mining</t>
        </is>
      </c>
      <c r="E908" s="156" t="inlineStr">
        <is>
          <t>SY750H-PRO</t>
        </is>
      </c>
      <c r="F908" s="184" t="n">
        <v>953</v>
      </c>
    </row>
    <row r="909">
      <c r="A909" s="155" t="n">
        <v>46083</v>
      </c>
      <c r="B909" s="156" t="inlineStr">
        <is>
          <t>EX-755</t>
        </is>
      </c>
      <c r="C909" s="156" t="inlineStr">
        <is>
          <t>Excavator</t>
        </is>
      </c>
      <c r="D909" s="156" t="inlineStr">
        <is>
          <t>Mining</t>
        </is>
      </c>
      <c r="E909" s="156" t="inlineStr">
        <is>
          <t>SY750H-PRO</t>
        </is>
      </c>
      <c r="F909" s="184" t="n">
        <v>1022.8</v>
      </c>
    </row>
    <row r="910">
      <c r="A910" s="155" t="n">
        <v>46083</v>
      </c>
      <c r="B910" s="156" t="inlineStr">
        <is>
          <t>EX-753</t>
        </is>
      </c>
      <c r="C910" s="156" t="inlineStr">
        <is>
          <t>Excavator</t>
        </is>
      </c>
      <c r="D910" s="156" t="inlineStr">
        <is>
          <t>Mining</t>
        </is>
      </c>
      <c r="E910" s="156" t="inlineStr">
        <is>
          <t>SY750H-PRO</t>
        </is>
      </c>
      <c r="F910" s="184" t="n">
        <v>1028.5</v>
      </c>
    </row>
    <row r="911">
      <c r="A911" s="155" t="n">
        <v>46083</v>
      </c>
      <c r="B911" s="156" t="inlineStr">
        <is>
          <t>EX-334</t>
        </is>
      </c>
      <c r="C911" s="156" t="inlineStr">
        <is>
          <t>Excavator</t>
        </is>
      </c>
      <c r="D911" s="156" t="inlineStr">
        <is>
          <t>Mining</t>
        </is>
      </c>
      <c r="E911" s="156" t="inlineStr">
        <is>
          <t>PC 300-8MO</t>
        </is>
      </c>
      <c r="F911" s="184" t="n">
        <v>579.6</v>
      </c>
    </row>
    <row r="912">
      <c r="A912" s="155" t="n">
        <v>46083</v>
      </c>
      <c r="B912" s="156" t="inlineStr">
        <is>
          <t>EX-222</t>
        </is>
      </c>
      <c r="C912" s="156" t="inlineStr">
        <is>
          <t>Excavator</t>
        </is>
      </c>
      <c r="D912" s="156" t="inlineStr">
        <is>
          <t>Mining</t>
        </is>
      </c>
      <c r="E912" s="156" t="inlineStr">
        <is>
          <t>PC 200-8MI</t>
        </is>
      </c>
      <c r="F912" s="184" t="n">
        <v>200.5</v>
      </c>
    </row>
    <row r="913">
      <c r="A913" s="155" t="n">
        <v>46083</v>
      </c>
      <c r="B913" s="156" t="inlineStr">
        <is>
          <t>EX-223</t>
        </is>
      </c>
      <c r="C913" s="156" t="inlineStr">
        <is>
          <t>Excavator</t>
        </is>
      </c>
      <c r="D913" s="156" t="inlineStr">
        <is>
          <t>Aux</t>
        </is>
      </c>
      <c r="E913" s="156" t="inlineStr">
        <is>
          <t>PC 200-8MI</t>
        </is>
      </c>
      <c r="F913" s="184" t="n">
        <v>138.2</v>
      </c>
    </row>
    <row r="914">
      <c r="A914" s="155" t="n">
        <v>46083</v>
      </c>
      <c r="B914" s="156" t="inlineStr">
        <is>
          <t>EX-335</t>
        </is>
      </c>
      <c r="C914" s="156" t="inlineStr">
        <is>
          <t>Excavator</t>
        </is>
      </c>
      <c r="D914" s="156" t="inlineStr">
        <is>
          <t>Mining</t>
        </is>
      </c>
      <c r="E914" s="156" t="inlineStr">
        <is>
          <t>PC 300-8MO</t>
        </is>
      </c>
      <c r="F914" s="184" t="n">
        <v>531.1</v>
      </c>
    </row>
    <row r="915">
      <c r="A915" s="155" t="n">
        <v>46083</v>
      </c>
      <c r="B915" s="156" t="inlineStr">
        <is>
          <t>EX-1251</t>
        </is>
      </c>
      <c r="C915" s="156" t="inlineStr">
        <is>
          <t>Excavator</t>
        </is>
      </c>
      <c r="D915" s="156" t="inlineStr">
        <is>
          <t>Mining</t>
        </is>
      </c>
      <c r="E915" s="156" t="inlineStr">
        <is>
          <t>SY1250</t>
        </is>
      </c>
      <c r="F915" s="184" t="n">
        <v>1373.6</v>
      </c>
    </row>
    <row r="916">
      <c r="A916" s="155" t="n">
        <v>46083</v>
      </c>
      <c r="B916" s="156" t="inlineStr">
        <is>
          <t>EX-2101</t>
        </is>
      </c>
      <c r="C916" s="156" t="inlineStr">
        <is>
          <t>Excavator</t>
        </is>
      </c>
      <c r="D916" s="156" t="inlineStr">
        <is>
          <t>Mining</t>
        </is>
      </c>
      <c r="E916" s="156" t="inlineStr">
        <is>
          <t>SY2000</t>
        </is>
      </c>
      <c r="F916" s="184" t="n">
        <v>1066.5</v>
      </c>
    </row>
    <row r="917">
      <c r="A917" s="155" t="n">
        <v>46083</v>
      </c>
      <c r="B917" s="156" t="inlineStr">
        <is>
          <t>EX-333</t>
        </is>
      </c>
      <c r="C917" s="156" t="inlineStr">
        <is>
          <t>Excavator</t>
        </is>
      </c>
      <c r="D917" s="156" t="inlineStr">
        <is>
          <t>Mining</t>
        </is>
      </c>
      <c r="E917" s="156" t="inlineStr">
        <is>
          <t>PC 300-8MO</t>
        </is>
      </c>
      <c r="F917" s="184" t="n">
        <v>410.8</v>
      </c>
    </row>
    <row r="918">
      <c r="A918" s="155" t="n">
        <v>46083</v>
      </c>
      <c r="B918" s="156" t="inlineStr">
        <is>
          <t>EX-336</t>
        </is>
      </c>
      <c r="C918" s="156" t="inlineStr">
        <is>
          <t>Excavator</t>
        </is>
      </c>
      <c r="D918" s="156" t="inlineStr">
        <is>
          <t>Mining</t>
        </is>
      </c>
      <c r="E918" s="156" t="inlineStr">
        <is>
          <t>PC 300-8MO</t>
        </is>
      </c>
      <c r="F918" s="184" t="n">
        <v>446.1</v>
      </c>
    </row>
    <row r="919">
      <c r="A919" s="155" t="n">
        <v>46083</v>
      </c>
      <c r="B919" s="156" t="inlineStr">
        <is>
          <t>DT-505</t>
        </is>
      </c>
      <c r="C919" s="156" t="inlineStr">
        <is>
          <t>Hauler</t>
        </is>
      </c>
      <c r="D919" s="156" t="inlineStr">
        <is>
          <t>Mining</t>
        </is>
      </c>
      <c r="E919" s="156" t="inlineStr">
        <is>
          <t>SKT 105S</t>
        </is>
      </c>
      <c r="F919" s="184" t="n">
        <v>576.4</v>
      </c>
    </row>
    <row r="920">
      <c r="A920" s="155" t="n">
        <v>46083</v>
      </c>
      <c r="B920" s="156" t="inlineStr">
        <is>
          <t>DT-503</t>
        </is>
      </c>
      <c r="C920" s="156" t="inlineStr">
        <is>
          <t>Hauler</t>
        </is>
      </c>
      <c r="D920" s="156" t="inlineStr">
        <is>
          <t>Mining</t>
        </is>
      </c>
      <c r="E920" s="156" t="inlineStr">
        <is>
          <t>SKT 105S</t>
        </is>
      </c>
      <c r="F920" s="184" t="n">
        <v>644.6</v>
      </c>
    </row>
    <row r="921">
      <c r="A921" s="155" t="n">
        <v>46083</v>
      </c>
      <c r="B921" s="156" t="inlineStr">
        <is>
          <t>DT-504</t>
        </is>
      </c>
      <c r="C921" s="156" t="inlineStr">
        <is>
          <t>Hauler</t>
        </is>
      </c>
      <c r="D921" s="156" t="inlineStr">
        <is>
          <t>Mining</t>
        </is>
      </c>
      <c r="E921" s="156" t="inlineStr">
        <is>
          <t>SKT 105S</t>
        </is>
      </c>
      <c r="F921" s="184" t="n">
        <v>685.7</v>
      </c>
    </row>
    <row r="922">
      <c r="A922" s="155" t="n">
        <v>46083</v>
      </c>
      <c r="B922" s="156" t="inlineStr">
        <is>
          <t>DT-501</t>
        </is>
      </c>
      <c r="C922" s="156" t="inlineStr">
        <is>
          <t>Hauler</t>
        </is>
      </c>
      <c r="D922" s="156" t="inlineStr">
        <is>
          <t>Mining</t>
        </is>
      </c>
      <c r="E922" s="156" t="inlineStr">
        <is>
          <t>SKT 105S</t>
        </is>
      </c>
      <c r="F922" s="184" t="n">
        <v>319.6</v>
      </c>
    </row>
    <row r="923">
      <c r="A923" s="155" t="n">
        <v>46083</v>
      </c>
      <c r="B923" s="156" t="inlineStr">
        <is>
          <t>DT-518</t>
        </is>
      </c>
      <c r="C923" s="156" t="inlineStr">
        <is>
          <t>Hauler</t>
        </is>
      </c>
      <c r="D923" s="156" t="inlineStr">
        <is>
          <t>Mining</t>
        </is>
      </c>
      <c r="E923" s="156" t="inlineStr">
        <is>
          <t>SKT 105S</t>
        </is>
      </c>
      <c r="F923" s="184" t="n">
        <v>232.7</v>
      </c>
    </row>
    <row r="924">
      <c r="A924" s="155" t="n">
        <v>46083</v>
      </c>
      <c r="B924" s="156" t="inlineStr">
        <is>
          <t>DT-523</t>
        </is>
      </c>
      <c r="C924" s="156" t="inlineStr">
        <is>
          <t>Hauler</t>
        </is>
      </c>
      <c r="D924" s="156" t="inlineStr">
        <is>
          <t>Mining</t>
        </is>
      </c>
      <c r="E924" s="156" t="inlineStr">
        <is>
          <t>SKT 105S</t>
        </is>
      </c>
      <c r="F924" s="184" t="n">
        <v>330</v>
      </c>
    </row>
    <row r="925">
      <c r="A925" s="155" t="n">
        <v>46083</v>
      </c>
      <c r="B925" s="156" t="inlineStr">
        <is>
          <t>DT-527</t>
        </is>
      </c>
      <c r="C925" s="156" t="inlineStr">
        <is>
          <t>Hauler</t>
        </is>
      </c>
      <c r="D925" s="156" t="inlineStr">
        <is>
          <t>Mining</t>
        </is>
      </c>
      <c r="E925" s="156" t="inlineStr">
        <is>
          <t>SKT 105S</t>
        </is>
      </c>
      <c r="F925" s="184" t="n">
        <v>551.1</v>
      </c>
    </row>
    <row r="926">
      <c r="A926" s="155" t="n">
        <v>46083</v>
      </c>
      <c r="B926" s="156" t="inlineStr">
        <is>
          <t>DT-513</t>
        </is>
      </c>
      <c r="C926" s="156" t="inlineStr">
        <is>
          <t>Hauler</t>
        </is>
      </c>
      <c r="D926" s="156" t="inlineStr">
        <is>
          <t>Mining</t>
        </is>
      </c>
      <c r="E926" s="156" t="inlineStr">
        <is>
          <t>SKT 105S</t>
        </is>
      </c>
      <c r="F926" s="184" t="n">
        <v>184.6</v>
      </c>
    </row>
    <row r="927">
      <c r="A927" s="155" t="n">
        <v>46083</v>
      </c>
      <c r="B927" s="156" t="inlineStr">
        <is>
          <t>DT-512</t>
        </is>
      </c>
      <c r="C927" s="156" t="inlineStr">
        <is>
          <t>Hauler</t>
        </is>
      </c>
      <c r="D927" s="156" t="inlineStr">
        <is>
          <t>Mining</t>
        </is>
      </c>
      <c r="E927" s="156" t="inlineStr">
        <is>
          <t>SKT 105S</t>
        </is>
      </c>
      <c r="F927" s="184" t="n">
        <v>300.7</v>
      </c>
    </row>
    <row r="928">
      <c r="A928" s="155" t="n">
        <v>46083</v>
      </c>
      <c r="B928" s="156" t="inlineStr">
        <is>
          <t>DT-522</t>
        </is>
      </c>
      <c r="C928" s="156" t="inlineStr">
        <is>
          <t>Hauler</t>
        </is>
      </c>
      <c r="D928" s="156" t="inlineStr">
        <is>
          <t>Mining</t>
        </is>
      </c>
      <c r="E928" s="156" t="inlineStr">
        <is>
          <t>SKT 105S</t>
        </is>
      </c>
      <c r="F928" s="184" t="n">
        <v>313.9</v>
      </c>
    </row>
    <row r="929">
      <c r="A929" s="155" t="n">
        <v>46083</v>
      </c>
      <c r="B929" s="156" t="inlineStr">
        <is>
          <t>DT-517</t>
        </is>
      </c>
      <c r="C929" s="156" t="inlineStr">
        <is>
          <t>Hauler</t>
        </is>
      </c>
      <c r="D929" s="156" t="inlineStr">
        <is>
          <t>Mining</t>
        </is>
      </c>
      <c r="E929" s="156" t="inlineStr">
        <is>
          <t>SKT 105S</t>
        </is>
      </c>
      <c r="F929" s="184" t="n">
        <v>116.8</v>
      </c>
    </row>
    <row r="930">
      <c r="A930" s="155" t="n">
        <v>46083</v>
      </c>
      <c r="B930" s="156" t="inlineStr">
        <is>
          <t>DT-521</t>
        </is>
      </c>
      <c r="C930" s="156" t="inlineStr">
        <is>
          <t>Hauler</t>
        </is>
      </c>
      <c r="D930" s="156" t="inlineStr">
        <is>
          <t>Mining</t>
        </is>
      </c>
      <c r="E930" s="156" t="inlineStr">
        <is>
          <t>SKT 105S</t>
        </is>
      </c>
      <c r="F930" s="184" t="n">
        <v>255.9</v>
      </c>
    </row>
    <row r="931">
      <c r="A931" s="155" t="n">
        <v>46083</v>
      </c>
      <c r="B931" s="156" t="inlineStr">
        <is>
          <t>DT-506</t>
        </is>
      </c>
      <c r="C931" s="156" t="inlineStr">
        <is>
          <t>Hauler</t>
        </is>
      </c>
      <c r="D931" s="156" t="inlineStr">
        <is>
          <t>Mining</t>
        </is>
      </c>
      <c r="E931" s="156" t="inlineStr">
        <is>
          <t>SKT 105S</t>
        </is>
      </c>
      <c r="F931" s="184" t="n">
        <v>244.9</v>
      </c>
    </row>
    <row r="932">
      <c r="A932" s="155" t="n">
        <v>46083</v>
      </c>
      <c r="B932" s="156" t="inlineStr">
        <is>
          <t>DT-502</t>
        </is>
      </c>
      <c r="C932" s="156" t="inlineStr">
        <is>
          <t>Hauler</t>
        </is>
      </c>
      <c r="D932" s="156" t="inlineStr">
        <is>
          <t>Mining</t>
        </is>
      </c>
      <c r="E932" s="156" t="inlineStr">
        <is>
          <t>SKT 105S</t>
        </is>
      </c>
      <c r="F932" s="184" t="n">
        <v>370.7</v>
      </c>
    </row>
    <row r="933">
      <c r="A933" s="155" t="n">
        <v>46083</v>
      </c>
      <c r="B933" s="156" t="inlineStr">
        <is>
          <t>DT-528</t>
        </is>
      </c>
      <c r="C933" s="156" t="inlineStr">
        <is>
          <t>Hauler</t>
        </is>
      </c>
      <c r="D933" s="156" t="inlineStr">
        <is>
          <t>Mining</t>
        </is>
      </c>
      <c r="E933" s="156" t="inlineStr">
        <is>
          <t>SKT 105S</t>
        </is>
      </c>
      <c r="F933" s="184" t="n">
        <v>657.5</v>
      </c>
    </row>
    <row r="934">
      <c r="A934" s="155" t="n">
        <v>46083</v>
      </c>
      <c r="B934" s="156" t="inlineStr">
        <is>
          <t>DT-529</t>
        </is>
      </c>
      <c r="C934" s="156" t="inlineStr">
        <is>
          <t>Hauler</t>
        </is>
      </c>
      <c r="D934" s="156" t="inlineStr">
        <is>
          <t>Mining</t>
        </is>
      </c>
      <c r="E934" s="156" t="inlineStr">
        <is>
          <t>SKT 105S</t>
        </is>
      </c>
      <c r="F934" s="184" t="n">
        <v>320.9</v>
      </c>
    </row>
    <row r="935">
      <c r="A935" s="155" t="n">
        <v>46083</v>
      </c>
      <c r="B935" s="156" t="inlineStr">
        <is>
          <t>DT-520</t>
        </is>
      </c>
      <c r="C935" s="156" t="inlineStr">
        <is>
          <t>Hauler</t>
        </is>
      </c>
      <c r="D935" s="156" t="inlineStr">
        <is>
          <t>Mining</t>
        </is>
      </c>
      <c r="E935" s="156" t="inlineStr">
        <is>
          <t>SKT 105S</t>
        </is>
      </c>
      <c r="F935" s="184" t="n">
        <v>223.6</v>
      </c>
    </row>
    <row r="936">
      <c r="A936" s="155" t="n">
        <v>46083</v>
      </c>
      <c r="B936" s="156" t="inlineStr">
        <is>
          <t>DT-526</t>
        </is>
      </c>
      <c r="C936" s="156" t="inlineStr">
        <is>
          <t>Hauler</t>
        </is>
      </c>
      <c r="D936" s="156" t="inlineStr">
        <is>
          <t>Mining</t>
        </is>
      </c>
      <c r="E936" s="156" t="inlineStr">
        <is>
          <t>SKT 105S</t>
        </is>
      </c>
      <c r="F936" s="184" t="n">
        <v>161.1</v>
      </c>
    </row>
    <row r="937">
      <c r="A937" s="155" t="n">
        <v>46083</v>
      </c>
      <c r="B937" s="156" t="inlineStr">
        <is>
          <t>DT-508</t>
        </is>
      </c>
      <c r="C937" s="156" t="inlineStr">
        <is>
          <t>Hauler</t>
        </is>
      </c>
      <c r="D937" s="156" t="inlineStr">
        <is>
          <t>Mining</t>
        </is>
      </c>
      <c r="E937" s="156" t="inlineStr">
        <is>
          <t>SKT 105S</t>
        </is>
      </c>
      <c r="F937" s="184" t="n">
        <v>627.4</v>
      </c>
    </row>
    <row r="938">
      <c r="A938" s="155" t="n">
        <v>46083</v>
      </c>
      <c r="B938" s="156" t="inlineStr">
        <is>
          <t>DT-515</t>
        </is>
      </c>
      <c r="C938" s="156" t="inlineStr">
        <is>
          <t>Hauler</t>
        </is>
      </c>
      <c r="D938" s="156" t="inlineStr">
        <is>
          <t>Mining</t>
        </is>
      </c>
      <c r="E938" s="156" t="inlineStr">
        <is>
          <t>SKT 105S</t>
        </is>
      </c>
      <c r="F938" s="184" t="n">
        <v>323.8</v>
      </c>
    </row>
    <row r="939">
      <c r="A939" s="155" t="n">
        <v>46083</v>
      </c>
      <c r="B939" s="156" t="inlineStr">
        <is>
          <t>HD-905</t>
        </is>
      </c>
      <c r="C939" s="156" t="inlineStr">
        <is>
          <t>Hauler</t>
        </is>
      </c>
      <c r="D939" s="156" t="inlineStr">
        <is>
          <t>Mining</t>
        </is>
      </c>
      <c r="E939" s="156" t="inlineStr">
        <is>
          <t>SRT 95C</t>
        </is>
      </c>
      <c r="F939" s="184" t="n">
        <v>537.8</v>
      </c>
    </row>
    <row r="940">
      <c r="A940" s="155" t="n">
        <v>46083</v>
      </c>
      <c r="B940" s="156" t="inlineStr">
        <is>
          <t>HD-901</t>
        </is>
      </c>
      <c r="C940" s="156" t="inlineStr">
        <is>
          <t>Hauler</t>
        </is>
      </c>
      <c r="D940" s="156" t="inlineStr">
        <is>
          <t>Mining</t>
        </is>
      </c>
      <c r="E940" s="156" t="inlineStr">
        <is>
          <t>SRT 95C</t>
        </is>
      </c>
      <c r="F940" s="184" t="n">
        <v>513.6</v>
      </c>
    </row>
    <row r="941">
      <c r="A941" s="155" t="n">
        <v>46083</v>
      </c>
      <c r="B941" s="156" t="inlineStr">
        <is>
          <t>HD-904</t>
        </is>
      </c>
      <c r="C941" s="156" t="inlineStr">
        <is>
          <t>Hauler</t>
        </is>
      </c>
      <c r="D941" s="156" t="inlineStr">
        <is>
          <t>Mining</t>
        </is>
      </c>
      <c r="E941" s="156" t="inlineStr">
        <is>
          <t>SRT 95C</t>
        </is>
      </c>
      <c r="F941" s="184" t="n">
        <v>551.4</v>
      </c>
    </row>
    <row r="942">
      <c r="A942" s="155" t="n">
        <v>46083</v>
      </c>
      <c r="B942" s="156" t="inlineStr">
        <is>
          <t>HD-902</t>
        </is>
      </c>
      <c r="C942" s="156" t="inlineStr">
        <is>
          <t>Hauler</t>
        </is>
      </c>
      <c r="D942" s="156" t="inlineStr">
        <is>
          <t>Mining</t>
        </is>
      </c>
      <c r="E942" s="156" t="inlineStr">
        <is>
          <t>SRT 95C</t>
        </is>
      </c>
      <c r="F942" s="184" t="n">
        <v>511.2</v>
      </c>
    </row>
    <row r="943">
      <c r="A943" s="155" t="n">
        <v>46083</v>
      </c>
      <c r="B943" s="156" t="inlineStr">
        <is>
          <t>DZ-038</t>
        </is>
      </c>
      <c r="C943" s="156" t="inlineStr">
        <is>
          <t>Bulldozer</t>
        </is>
      </c>
      <c r="D943" s="156" t="inlineStr">
        <is>
          <t>Mining</t>
        </is>
      </c>
      <c r="E943" s="156" t="inlineStr">
        <is>
          <t>D 85 ESS-2</t>
        </is>
      </c>
      <c r="F943" s="184" t="n">
        <v>360.3</v>
      </c>
    </row>
    <row r="944">
      <c r="A944" s="155" t="n">
        <v>46083</v>
      </c>
      <c r="B944" s="156" t="inlineStr">
        <is>
          <t>DZ-039</t>
        </is>
      </c>
      <c r="C944" s="156" t="inlineStr">
        <is>
          <t>Bulldozer</t>
        </is>
      </c>
      <c r="D944" s="156" t="inlineStr">
        <is>
          <t>Mining</t>
        </is>
      </c>
      <c r="E944" s="156" t="inlineStr">
        <is>
          <t>D 85 ESS-2</t>
        </is>
      </c>
      <c r="F944" s="184" t="n">
        <v>442.5</v>
      </c>
    </row>
    <row r="945">
      <c r="A945" s="155" t="n">
        <v>46083</v>
      </c>
      <c r="B945" s="156" t="inlineStr">
        <is>
          <t>DZ-036</t>
        </is>
      </c>
      <c r="C945" s="156" t="inlineStr">
        <is>
          <t>Bulldozer</t>
        </is>
      </c>
      <c r="D945" s="156" t="inlineStr">
        <is>
          <t>Aux</t>
        </is>
      </c>
      <c r="E945" s="156" t="inlineStr">
        <is>
          <t>D 85 ESS-2</t>
        </is>
      </c>
      <c r="F945" s="184" t="n">
        <v>79.90000000000001</v>
      </c>
    </row>
    <row r="946">
      <c r="A946" s="155" t="n">
        <v>46083</v>
      </c>
      <c r="B946" s="156" t="inlineStr">
        <is>
          <t>DZ-035</t>
        </is>
      </c>
      <c r="C946" s="156" t="inlineStr">
        <is>
          <t>Bulldozer</t>
        </is>
      </c>
      <c r="D946" s="156" t="inlineStr">
        <is>
          <t>Mining</t>
        </is>
      </c>
      <c r="E946" s="156" t="inlineStr">
        <is>
          <t>D 85 ESS-2</t>
        </is>
      </c>
      <c r="F946" s="184" t="n">
        <v>452.3</v>
      </c>
    </row>
    <row r="947">
      <c r="A947" s="155" t="n">
        <v>46083</v>
      </c>
      <c r="B947" s="156" t="inlineStr">
        <is>
          <t>DZ-031</t>
        </is>
      </c>
      <c r="C947" s="156" t="inlineStr">
        <is>
          <t>Bulldozer</t>
        </is>
      </c>
      <c r="D947" s="156" t="inlineStr">
        <is>
          <t>Mining</t>
        </is>
      </c>
      <c r="E947" s="156" t="inlineStr">
        <is>
          <t>CAT</t>
        </is>
      </c>
      <c r="F947" s="184" t="n">
        <v>688.6</v>
      </c>
    </row>
    <row r="948">
      <c r="A948" s="155" t="n">
        <v>46083</v>
      </c>
      <c r="B948" s="156" t="inlineStr">
        <is>
          <t>GD-013</t>
        </is>
      </c>
      <c r="C948" s="156" t="inlineStr">
        <is>
          <t>Grader</t>
        </is>
      </c>
      <c r="D948" s="156" t="inlineStr">
        <is>
          <t>Mining</t>
        </is>
      </c>
      <c r="E948" s="156" t="inlineStr">
        <is>
          <t>STG 265C - 10</t>
        </is>
      </c>
      <c r="F948" s="184" t="n">
        <v>433.9</v>
      </c>
    </row>
    <row r="949">
      <c r="A949" s="155" t="n">
        <v>46083</v>
      </c>
      <c r="B949" s="156" t="inlineStr">
        <is>
          <t>GD-014</t>
        </is>
      </c>
      <c r="C949" s="156" t="inlineStr">
        <is>
          <t>Grader</t>
        </is>
      </c>
      <c r="D949" s="156" t="inlineStr">
        <is>
          <t>Mining</t>
        </is>
      </c>
      <c r="E949" s="156" t="inlineStr">
        <is>
          <t>STG 335C - 10</t>
        </is>
      </c>
      <c r="F949" s="184" t="n">
        <v>377.7</v>
      </c>
    </row>
    <row r="950">
      <c r="A950" s="155" t="n">
        <v>46083</v>
      </c>
      <c r="B950" s="156" t="inlineStr">
        <is>
          <t>WL-025</t>
        </is>
      </c>
      <c r="C950" s="156" t="inlineStr">
        <is>
          <t>Loader</t>
        </is>
      </c>
      <c r="D950" s="156" t="inlineStr">
        <is>
          <t>Aux</t>
        </is>
      </c>
      <c r="E950" s="156" t="inlineStr">
        <is>
          <t>SANY - Loader</t>
        </is>
      </c>
      <c r="F950" s="184" t="n">
        <v>75.2</v>
      </c>
    </row>
    <row r="951">
      <c r="A951" s="155" t="n">
        <v>46083</v>
      </c>
      <c r="B951" s="156" t="inlineStr">
        <is>
          <t>WL-023</t>
        </is>
      </c>
      <c r="C951" s="156" t="inlineStr">
        <is>
          <t>Loader</t>
        </is>
      </c>
      <c r="D951" s="156" t="inlineStr">
        <is>
          <t>Aux</t>
        </is>
      </c>
      <c r="E951" s="156" t="inlineStr">
        <is>
          <t>SANY - Loader</t>
        </is>
      </c>
      <c r="F951" s="184" t="n">
        <v>181.5</v>
      </c>
    </row>
    <row r="952">
      <c r="A952" s="155" t="n">
        <v>46083</v>
      </c>
      <c r="B952" s="156" t="inlineStr">
        <is>
          <t>LV-03</t>
        </is>
      </c>
      <c r="C952" s="156" t="inlineStr">
        <is>
          <t>LV &amp; sarana</t>
        </is>
      </c>
      <c r="D952" s="156" t="inlineStr">
        <is>
          <t>Aux</t>
        </is>
      </c>
      <c r="E952" s="156" t="inlineStr">
        <is>
          <t>Light vehicle</t>
        </is>
      </c>
      <c r="F952" s="184" t="n">
        <v>32.8</v>
      </c>
    </row>
    <row r="953">
      <c r="A953" s="155" t="n">
        <v>46083</v>
      </c>
      <c r="B953" s="156" t="inlineStr">
        <is>
          <t>LV-06</t>
        </is>
      </c>
      <c r="C953" s="156" t="inlineStr">
        <is>
          <t>LV &amp; sarana</t>
        </is>
      </c>
      <c r="D953" s="156" t="inlineStr">
        <is>
          <t>Aux</t>
        </is>
      </c>
      <c r="E953" s="156" t="inlineStr">
        <is>
          <t>Light vehicle</t>
        </is>
      </c>
      <c r="F953" s="184" t="n">
        <v>21.1</v>
      </c>
    </row>
    <row r="954">
      <c r="A954" s="155" t="n">
        <v>46083</v>
      </c>
      <c r="B954" s="156" t="inlineStr">
        <is>
          <t>LV-10</t>
        </is>
      </c>
      <c r="C954" s="156" t="inlineStr">
        <is>
          <t>LV &amp; sarana</t>
        </is>
      </c>
      <c r="D954" s="156" t="inlineStr">
        <is>
          <t>Aux</t>
        </is>
      </c>
      <c r="E954" s="156" t="inlineStr">
        <is>
          <t>Light vehicle</t>
        </is>
      </c>
      <c r="F954" s="184" t="n">
        <v>58</v>
      </c>
    </row>
    <row r="955">
      <c r="A955" s="155" t="n">
        <v>46083</v>
      </c>
      <c r="B955" s="156" t="inlineStr">
        <is>
          <t>VD-03</t>
        </is>
      </c>
      <c r="C955" s="156" t="inlineStr">
        <is>
          <t>Vendor</t>
        </is>
      </c>
      <c r="D955" s="156" t="inlineStr">
        <is>
          <t>Vendor</t>
        </is>
      </c>
      <c r="E955" s="156" t="inlineStr">
        <is>
          <t>Alat vendor</t>
        </is>
      </c>
      <c r="F955" s="184" t="n">
        <v>51.2</v>
      </c>
    </row>
    <row r="956">
      <c r="A956" s="155" t="n">
        <v>46083</v>
      </c>
      <c r="B956" s="156" t="inlineStr">
        <is>
          <t>AL-04</t>
        </is>
      </c>
      <c r="C956" s="156" t="inlineStr">
        <is>
          <t>Alat lain</t>
        </is>
      </c>
      <c r="D956" s="156" t="inlineStr">
        <is>
          <t>Mining</t>
        </is>
      </c>
      <c r="E956" s="156" t="inlineStr">
        <is>
          <t>Alat lain</t>
        </is>
      </c>
      <c r="F956" s="184" t="n">
        <v>495.9</v>
      </c>
    </row>
    <row r="957">
      <c r="A957" s="155" t="n">
        <v>46083</v>
      </c>
      <c r="B957" s="156" t="inlineStr">
        <is>
          <t>TS-02</t>
        </is>
      </c>
      <c r="C957" s="156" t="inlineStr">
        <is>
          <t>Truk support</t>
        </is>
      </c>
      <c r="D957" s="156" t="inlineStr">
        <is>
          <t>Mining</t>
        </is>
      </c>
      <c r="E957" s="156" t="inlineStr">
        <is>
          <t>Truk support</t>
        </is>
      </c>
      <c r="F957" s="184" t="n">
        <v>140.4</v>
      </c>
    </row>
    <row r="958">
      <c r="A958" s="155" t="n">
        <v>46083</v>
      </c>
      <c r="B958" s="156" t="inlineStr">
        <is>
          <t>TS-04</t>
        </is>
      </c>
      <c r="C958" s="156" t="inlineStr">
        <is>
          <t>Truk support</t>
        </is>
      </c>
      <c r="D958" s="156" t="inlineStr">
        <is>
          <t>Aux</t>
        </is>
      </c>
      <c r="E958" s="156" t="inlineStr">
        <is>
          <t>Truk support</t>
        </is>
      </c>
      <c r="F958" s="184" t="n">
        <v>42.6</v>
      </c>
    </row>
    <row r="959">
      <c r="A959" s="155" t="n">
        <v>46083</v>
      </c>
      <c r="B959" s="156" t="inlineStr">
        <is>
          <t>AL-05</t>
        </is>
      </c>
      <c r="C959" s="156" t="inlineStr">
        <is>
          <t>Alat lain</t>
        </is>
      </c>
      <c r="D959" s="156" t="inlineStr">
        <is>
          <t>Mining</t>
        </is>
      </c>
      <c r="E959" s="156" t="inlineStr">
        <is>
          <t>Alat lain</t>
        </is>
      </c>
      <c r="F959" s="184" t="n">
        <v>1119.7</v>
      </c>
    </row>
    <row r="960">
      <c r="A960" s="155" t="n">
        <v>46083</v>
      </c>
      <c r="B960" s="156" t="inlineStr">
        <is>
          <t>AL-06</t>
        </is>
      </c>
      <c r="C960" s="156" t="inlineStr">
        <is>
          <t>Alat lain</t>
        </is>
      </c>
      <c r="D960" s="156" t="inlineStr">
        <is>
          <t>Aux</t>
        </is>
      </c>
      <c r="E960" s="156" t="inlineStr">
        <is>
          <t>Alat lain</t>
        </is>
      </c>
      <c r="F960" s="184" t="n">
        <v>26.4</v>
      </c>
    </row>
    <row r="961">
      <c r="A961" s="155" t="n">
        <v>46083</v>
      </c>
      <c r="B961" s="156" t="inlineStr">
        <is>
          <t>TS-06</t>
        </is>
      </c>
      <c r="C961" s="156" t="inlineStr">
        <is>
          <t>Truk support</t>
        </is>
      </c>
      <c r="D961" s="156" t="inlineStr">
        <is>
          <t>Mining</t>
        </is>
      </c>
      <c r="E961" s="156" t="inlineStr">
        <is>
          <t>Truk support</t>
        </is>
      </c>
      <c r="F961" s="184" t="n">
        <v>117.8</v>
      </c>
    </row>
    <row r="962">
      <c r="A962" s="155" t="n">
        <v>46083</v>
      </c>
      <c r="B962" s="156" t="inlineStr">
        <is>
          <t>AL-10</t>
        </is>
      </c>
      <c r="C962" s="156" t="inlineStr">
        <is>
          <t>Alat lain</t>
        </is>
      </c>
      <c r="D962" s="156" t="inlineStr">
        <is>
          <t>Mining</t>
        </is>
      </c>
      <c r="E962" s="156" t="inlineStr">
        <is>
          <t>Alat lain</t>
        </is>
      </c>
      <c r="F962" s="184" t="n">
        <v>48.6</v>
      </c>
    </row>
    <row r="963">
      <c r="A963" s="155" t="n">
        <v>46083</v>
      </c>
      <c r="B963" s="156" t="inlineStr">
        <is>
          <t>GS-01</t>
        </is>
      </c>
      <c r="C963" s="156" t="inlineStr">
        <is>
          <t>Genset</t>
        </is>
      </c>
      <c r="D963" s="156" t="inlineStr">
        <is>
          <t>Aux</t>
        </is>
      </c>
      <c r="E963" s="156" t="inlineStr">
        <is>
          <t>Genset</t>
        </is>
      </c>
      <c r="F963" s="184" t="n">
        <v>235</v>
      </c>
    </row>
    <row r="964">
      <c r="A964" s="155" t="n">
        <v>46083</v>
      </c>
      <c r="B964" s="156" t="inlineStr">
        <is>
          <t>GS-04</t>
        </is>
      </c>
      <c r="C964" s="156" t="inlineStr">
        <is>
          <t>Genset</t>
        </is>
      </c>
      <c r="D964" s="156" t="inlineStr">
        <is>
          <t>Aux</t>
        </is>
      </c>
      <c r="E964" s="156" t="inlineStr">
        <is>
          <t>Genset</t>
        </is>
      </c>
      <c r="F964" s="184" t="n">
        <v>724.7</v>
      </c>
    </row>
    <row r="965">
      <c r="A965" s="155" t="n">
        <v>46083</v>
      </c>
      <c r="B965" s="156" t="inlineStr">
        <is>
          <t>GS-07</t>
        </is>
      </c>
      <c r="C965" s="156" t="inlineStr">
        <is>
          <t>Genset</t>
        </is>
      </c>
      <c r="D965" s="156" t="inlineStr">
        <is>
          <t>Aux</t>
        </is>
      </c>
      <c r="E965" s="156" t="inlineStr">
        <is>
          <t>Genset</t>
        </is>
      </c>
      <c r="F965" s="184" t="n">
        <v>19.1</v>
      </c>
    </row>
    <row r="966">
      <c r="A966" s="155" t="n">
        <v>46083</v>
      </c>
      <c r="B966" s="156" t="inlineStr">
        <is>
          <t>GS-08</t>
        </is>
      </c>
      <c r="C966" s="156" t="inlineStr">
        <is>
          <t>Genset</t>
        </is>
      </c>
      <c r="D966" s="156" t="inlineStr">
        <is>
          <t>Aux</t>
        </is>
      </c>
      <c r="E966" s="156" t="inlineStr">
        <is>
          <t>Genset</t>
        </is>
      </c>
      <c r="F966" s="184" t="n">
        <v>57.3</v>
      </c>
    </row>
    <row r="967">
      <c r="A967" s="155" t="n">
        <v>46083</v>
      </c>
      <c r="B967" s="156" t="inlineStr">
        <is>
          <t>WP-03</t>
        </is>
      </c>
      <c r="C967" s="156" t="inlineStr">
        <is>
          <t>Pompa air</t>
        </is>
      </c>
      <c r="D967" s="156" t="inlineStr">
        <is>
          <t>Mining</t>
        </is>
      </c>
      <c r="E967" s="156" t="inlineStr">
        <is>
          <t>Pompa air</t>
        </is>
      </c>
      <c r="F967" s="184" t="n">
        <v>762.8</v>
      </c>
    </row>
    <row r="968">
      <c r="A968" s="155" t="n">
        <v>46083</v>
      </c>
      <c r="B968" s="156" t="inlineStr">
        <is>
          <t>DT-341</t>
        </is>
      </c>
      <c r="C968" s="156" t="inlineStr">
        <is>
          <t>Hauler</t>
        </is>
      </c>
      <c r="D968" s="156" t="inlineStr">
        <is>
          <t>Aux</t>
        </is>
      </c>
      <c r="E968" s="156" t="inlineStr">
        <is>
          <t>SYZ324C-8W</t>
        </is>
      </c>
      <c r="F968" s="184" t="n">
        <v>118.4</v>
      </c>
    </row>
    <row r="969">
      <c r="A969" s="155" t="n">
        <v>46083</v>
      </c>
      <c r="B969" s="156" t="inlineStr">
        <is>
          <t>DT-342</t>
        </is>
      </c>
      <c r="C969" s="156" t="inlineStr">
        <is>
          <t>Hauler</t>
        </is>
      </c>
      <c r="D969" s="156" t="inlineStr">
        <is>
          <t>Aux</t>
        </is>
      </c>
      <c r="E969" s="156" t="inlineStr">
        <is>
          <t>SYZ324C-8W</t>
        </is>
      </c>
      <c r="F969" s="184" t="n">
        <v>162.7</v>
      </c>
    </row>
    <row r="970">
      <c r="A970" s="155" t="n">
        <v>46083</v>
      </c>
      <c r="B970" s="156" t="inlineStr">
        <is>
          <t>WL-022</t>
        </is>
      </c>
      <c r="C970" s="156" t="inlineStr">
        <is>
          <t>Loader</t>
        </is>
      </c>
      <c r="D970" s="156" t="inlineStr">
        <is>
          <t>Aux</t>
        </is>
      </c>
      <c r="E970" s="156" t="inlineStr">
        <is>
          <t>SANY - Loader</t>
        </is>
      </c>
      <c r="F970" s="184" t="n">
        <v>264.9</v>
      </c>
    </row>
    <row r="971">
      <c r="A971" s="155" t="n">
        <v>46083</v>
      </c>
      <c r="B971" s="156" t="inlineStr">
        <is>
          <t>WL-024</t>
        </is>
      </c>
      <c r="C971" s="156" t="inlineStr">
        <is>
          <t>Loader</t>
        </is>
      </c>
      <c r="D971" s="156" t="inlineStr">
        <is>
          <t>Aux</t>
        </is>
      </c>
      <c r="E971" s="156" t="inlineStr">
        <is>
          <t>SANY - Loader</t>
        </is>
      </c>
      <c r="F971" s="184" t="n">
        <v>350</v>
      </c>
    </row>
    <row r="972">
      <c r="A972" s="155" t="n">
        <v>46088</v>
      </c>
      <c r="B972" s="156" t="inlineStr">
        <is>
          <t>EX-754</t>
        </is>
      </c>
      <c r="C972" s="156" t="inlineStr">
        <is>
          <t>Excavator</t>
        </is>
      </c>
      <c r="D972" s="156" t="inlineStr">
        <is>
          <t>Mining</t>
        </is>
      </c>
      <c r="E972" s="156" t="inlineStr">
        <is>
          <t>SY750H-PRO</t>
        </is>
      </c>
      <c r="F972" s="184" t="n">
        <v>157.6</v>
      </c>
    </row>
    <row r="973">
      <c r="A973" s="155" t="n">
        <v>46088</v>
      </c>
      <c r="B973" s="156" t="inlineStr">
        <is>
          <t>EX-755</t>
        </is>
      </c>
      <c r="C973" s="156" t="inlineStr">
        <is>
          <t>Excavator</t>
        </is>
      </c>
      <c r="D973" s="156" t="inlineStr">
        <is>
          <t>Mining</t>
        </is>
      </c>
      <c r="E973" s="156" t="inlineStr">
        <is>
          <t>SY750H-PRO</t>
        </is>
      </c>
      <c r="F973" s="184" t="n">
        <v>214</v>
      </c>
    </row>
    <row r="974">
      <c r="A974" s="155" t="n">
        <v>46088</v>
      </c>
      <c r="B974" s="156" t="inlineStr">
        <is>
          <t>EX-753</t>
        </is>
      </c>
      <c r="C974" s="156" t="inlineStr">
        <is>
          <t>Excavator</t>
        </is>
      </c>
      <c r="D974" s="156" t="inlineStr">
        <is>
          <t>Mining</t>
        </is>
      </c>
      <c r="E974" s="156" t="inlineStr">
        <is>
          <t>SY750H-PRO</t>
        </is>
      </c>
      <c r="F974" s="184" t="n">
        <v>197.3</v>
      </c>
    </row>
    <row r="975">
      <c r="A975" s="155" t="n">
        <v>46088</v>
      </c>
      <c r="B975" s="156" t="inlineStr">
        <is>
          <t>EX-334</t>
        </is>
      </c>
      <c r="C975" s="156" t="inlineStr">
        <is>
          <t>Excavator</t>
        </is>
      </c>
      <c r="D975" s="156" t="inlineStr">
        <is>
          <t>Mining</t>
        </is>
      </c>
      <c r="E975" s="156" t="inlineStr">
        <is>
          <t>PC 300-8MO</t>
        </is>
      </c>
      <c r="F975" s="184" t="n">
        <v>510.6</v>
      </c>
    </row>
    <row r="976">
      <c r="A976" s="155" t="n">
        <v>46088</v>
      </c>
      <c r="B976" s="156" t="inlineStr">
        <is>
          <t>EX-332</t>
        </is>
      </c>
      <c r="C976" s="156" t="inlineStr">
        <is>
          <t>Excavator</t>
        </is>
      </c>
      <c r="D976" s="156" t="inlineStr">
        <is>
          <t>Mining</t>
        </is>
      </c>
      <c r="E976" s="156" t="inlineStr">
        <is>
          <t>PC 300-8MO</t>
        </is>
      </c>
      <c r="F976" s="184" t="n">
        <v>322.6</v>
      </c>
    </row>
    <row r="977">
      <c r="A977" s="155" t="n">
        <v>46088</v>
      </c>
      <c r="B977" s="156" t="inlineStr">
        <is>
          <t>EX-222</t>
        </is>
      </c>
      <c r="C977" s="156" t="inlineStr">
        <is>
          <t>Excavator</t>
        </is>
      </c>
      <c r="D977" s="156" t="inlineStr">
        <is>
          <t>Mining</t>
        </is>
      </c>
      <c r="E977" s="156" t="inlineStr">
        <is>
          <t>PC 200-8MI</t>
        </is>
      </c>
      <c r="F977" s="184" t="n">
        <v>287.9</v>
      </c>
    </row>
    <row r="978">
      <c r="A978" s="155" t="n">
        <v>46088</v>
      </c>
      <c r="B978" s="156" t="inlineStr">
        <is>
          <t>EX-223</t>
        </is>
      </c>
      <c r="C978" s="156" t="inlineStr">
        <is>
          <t>Excavator</t>
        </is>
      </c>
      <c r="D978" s="156" t="inlineStr">
        <is>
          <t>Aux</t>
        </is>
      </c>
      <c r="E978" s="156" t="inlineStr">
        <is>
          <t>PC 200-8MI</t>
        </is>
      </c>
      <c r="F978" s="184" t="n">
        <v>256.4</v>
      </c>
    </row>
    <row r="979">
      <c r="A979" s="155" t="n">
        <v>46088</v>
      </c>
      <c r="B979" s="156" t="inlineStr">
        <is>
          <t>EX-221</t>
        </is>
      </c>
      <c r="C979" s="156" t="inlineStr">
        <is>
          <t>Excavator</t>
        </is>
      </c>
      <c r="D979" s="156" t="inlineStr">
        <is>
          <t>Aux</t>
        </is>
      </c>
      <c r="E979" s="156" t="inlineStr">
        <is>
          <t>PC 200-8MI</t>
        </is>
      </c>
      <c r="F979" s="184" t="n">
        <v>222.4</v>
      </c>
    </row>
    <row r="980">
      <c r="A980" s="155" t="n">
        <v>46088</v>
      </c>
      <c r="B980" s="156" t="inlineStr">
        <is>
          <t>EX-335</t>
        </is>
      </c>
      <c r="C980" s="156" t="inlineStr">
        <is>
          <t>Excavator</t>
        </is>
      </c>
      <c r="D980" s="156" t="inlineStr">
        <is>
          <t>Mining</t>
        </is>
      </c>
      <c r="E980" s="156" t="inlineStr">
        <is>
          <t>PC 300-8MO</t>
        </is>
      </c>
      <c r="F980" s="184" t="n">
        <v>508.1</v>
      </c>
    </row>
    <row r="981">
      <c r="A981" s="155" t="n">
        <v>46088</v>
      </c>
      <c r="B981" s="156" t="inlineStr">
        <is>
          <t>EX-1251</t>
        </is>
      </c>
      <c r="C981" s="156" t="inlineStr">
        <is>
          <t>Excavator</t>
        </is>
      </c>
      <c r="D981" s="156" t="inlineStr">
        <is>
          <t>Mining</t>
        </is>
      </c>
      <c r="E981" s="156" t="inlineStr">
        <is>
          <t>SY1250</t>
        </is>
      </c>
      <c r="F981" s="184" t="n">
        <v>856.2</v>
      </c>
    </row>
    <row r="982">
      <c r="A982" s="155" t="n">
        <v>46088</v>
      </c>
      <c r="B982" s="156" t="inlineStr">
        <is>
          <t>EX-2101</t>
        </is>
      </c>
      <c r="C982" s="156" t="inlineStr">
        <is>
          <t>Excavator</t>
        </is>
      </c>
      <c r="D982" s="156" t="inlineStr">
        <is>
          <t>Mining</t>
        </is>
      </c>
      <c r="E982" s="156" t="inlineStr">
        <is>
          <t>SY2000</t>
        </is>
      </c>
      <c r="F982" s="184" t="n">
        <v>846</v>
      </c>
    </row>
    <row r="983">
      <c r="A983" s="155" t="n">
        <v>46088</v>
      </c>
      <c r="B983" s="156" t="inlineStr">
        <is>
          <t>EX-333</t>
        </is>
      </c>
      <c r="C983" s="156" t="inlineStr">
        <is>
          <t>Excavator</t>
        </is>
      </c>
      <c r="D983" s="156" t="inlineStr">
        <is>
          <t>Mining</t>
        </is>
      </c>
      <c r="E983" s="156" t="inlineStr">
        <is>
          <t>PC 300-8MO</t>
        </is>
      </c>
      <c r="F983" s="184" t="n">
        <v>367.4</v>
      </c>
    </row>
    <row r="984">
      <c r="A984" s="155" t="n">
        <v>46088</v>
      </c>
      <c r="B984" s="156" t="inlineStr">
        <is>
          <t>EX-336</t>
        </is>
      </c>
      <c r="C984" s="156" t="inlineStr">
        <is>
          <t>Excavator</t>
        </is>
      </c>
      <c r="D984" s="156" t="inlineStr">
        <is>
          <t>Mining</t>
        </is>
      </c>
      <c r="E984" s="156" t="inlineStr">
        <is>
          <t>PC 300-8MO</t>
        </is>
      </c>
      <c r="F984" s="184" t="n">
        <v>393.3</v>
      </c>
    </row>
    <row r="985">
      <c r="A985" s="155" t="n">
        <v>46088</v>
      </c>
      <c r="B985" s="156" t="inlineStr">
        <is>
          <t>DT-812</t>
        </is>
      </c>
      <c r="C985" s="156" t="inlineStr">
        <is>
          <t>Hauler</t>
        </is>
      </c>
      <c r="D985" s="156" t="inlineStr">
        <is>
          <t>Mining</t>
        </is>
      </c>
      <c r="E985" s="156" t="inlineStr">
        <is>
          <t>SKT 80S</t>
        </is>
      </c>
      <c r="F985" s="184" t="n">
        <v>181.5</v>
      </c>
    </row>
    <row r="986">
      <c r="A986" s="155" t="n">
        <v>46088</v>
      </c>
      <c r="B986" s="156" t="inlineStr">
        <is>
          <t>DT-810</t>
        </is>
      </c>
      <c r="C986" s="156" t="inlineStr">
        <is>
          <t>Hauler</t>
        </is>
      </c>
      <c r="D986" s="156" t="inlineStr">
        <is>
          <t>Mining</t>
        </is>
      </c>
      <c r="E986" s="156" t="inlineStr">
        <is>
          <t>SKT 80S</t>
        </is>
      </c>
      <c r="F986" s="184" t="n">
        <v>175.5</v>
      </c>
    </row>
    <row r="987">
      <c r="A987" s="155" t="n">
        <v>46088</v>
      </c>
      <c r="B987" s="156" t="inlineStr">
        <is>
          <t>DT-804</t>
        </is>
      </c>
      <c r="C987" s="156" t="inlineStr">
        <is>
          <t>Hauler</t>
        </is>
      </c>
      <c r="D987" s="156" t="inlineStr">
        <is>
          <t>Mining</t>
        </is>
      </c>
      <c r="E987" s="156" t="inlineStr">
        <is>
          <t>SKT 80S</t>
        </is>
      </c>
      <c r="F987" s="184" t="n">
        <v>277</v>
      </c>
    </row>
    <row r="988">
      <c r="A988" s="155" t="n">
        <v>46088</v>
      </c>
      <c r="B988" s="156" t="inlineStr">
        <is>
          <t>DT-505</t>
        </is>
      </c>
      <c r="C988" s="156" t="inlineStr">
        <is>
          <t>Hauler</t>
        </is>
      </c>
      <c r="D988" s="156" t="inlineStr">
        <is>
          <t>Mining</t>
        </is>
      </c>
      <c r="E988" s="156" t="inlineStr">
        <is>
          <t>SKT 105S</t>
        </is>
      </c>
      <c r="F988" s="184" t="n">
        <v>362.6</v>
      </c>
    </row>
    <row r="989">
      <c r="A989" s="155" t="n">
        <v>46088</v>
      </c>
      <c r="B989" s="156" t="inlineStr">
        <is>
          <t>DT-503</t>
        </is>
      </c>
      <c r="C989" s="156" t="inlineStr">
        <is>
          <t>Hauler</t>
        </is>
      </c>
      <c r="D989" s="156" t="inlineStr">
        <is>
          <t>Mining</t>
        </is>
      </c>
      <c r="E989" s="156" t="inlineStr">
        <is>
          <t>SKT 105S</t>
        </is>
      </c>
      <c r="F989" s="184" t="n">
        <v>329.2</v>
      </c>
    </row>
    <row r="990">
      <c r="A990" s="155" t="n">
        <v>46088</v>
      </c>
      <c r="B990" s="156" t="inlineStr">
        <is>
          <t>DT-504</t>
        </is>
      </c>
      <c r="C990" s="156" t="inlineStr">
        <is>
          <t>Hauler</t>
        </is>
      </c>
      <c r="D990" s="156" t="inlineStr">
        <is>
          <t>Mining</t>
        </is>
      </c>
      <c r="E990" s="156" t="inlineStr">
        <is>
          <t>SKT 105S</t>
        </is>
      </c>
      <c r="F990" s="184" t="n">
        <v>139.2</v>
      </c>
    </row>
    <row r="991">
      <c r="A991" s="155" t="n">
        <v>46088</v>
      </c>
      <c r="B991" s="156" t="inlineStr">
        <is>
          <t>DT-501</t>
        </is>
      </c>
      <c r="C991" s="156" t="inlineStr">
        <is>
          <t>Hauler</t>
        </is>
      </c>
      <c r="D991" s="156" t="inlineStr">
        <is>
          <t>Mining</t>
        </is>
      </c>
      <c r="E991" s="156" t="inlineStr">
        <is>
          <t>SKT 105S</t>
        </is>
      </c>
      <c r="F991" s="184" t="n">
        <v>583.2</v>
      </c>
    </row>
    <row r="992">
      <c r="A992" s="155" t="n">
        <v>46088</v>
      </c>
      <c r="B992" s="156" t="inlineStr">
        <is>
          <t>DT-518</t>
        </is>
      </c>
      <c r="C992" s="156" t="inlineStr">
        <is>
          <t>Hauler</t>
        </is>
      </c>
      <c r="D992" s="156" t="inlineStr">
        <is>
          <t>Mining</t>
        </is>
      </c>
      <c r="E992" s="156" t="inlineStr">
        <is>
          <t>SKT 105S</t>
        </is>
      </c>
      <c r="F992" s="184" t="n">
        <v>496</v>
      </c>
    </row>
    <row r="993">
      <c r="A993" s="155" t="n">
        <v>46088</v>
      </c>
      <c r="B993" s="156" t="inlineStr">
        <is>
          <t>DT-523</t>
        </is>
      </c>
      <c r="C993" s="156" t="inlineStr">
        <is>
          <t>Hauler</t>
        </is>
      </c>
      <c r="D993" s="156" t="inlineStr">
        <is>
          <t>Mining</t>
        </is>
      </c>
      <c r="E993" s="156" t="inlineStr">
        <is>
          <t>SKT 105S</t>
        </is>
      </c>
      <c r="F993" s="184" t="n">
        <v>194.2</v>
      </c>
    </row>
    <row r="994">
      <c r="A994" s="155" t="n">
        <v>46088</v>
      </c>
      <c r="B994" s="156" t="inlineStr">
        <is>
          <t>DT-527</t>
        </is>
      </c>
      <c r="C994" s="156" t="inlineStr">
        <is>
          <t>Hauler</t>
        </is>
      </c>
      <c r="D994" s="156" t="inlineStr">
        <is>
          <t>Mining</t>
        </is>
      </c>
      <c r="E994" s="156" t="inlineStr">
        <is>
          <t>SKT 105S</t>
        </is>
      </c>
      <c r="F994" s="184" t="n">
        <v>452.7</v>
      </c>
    </row>
    <row r="995">
      <c r="A995" s="155" t="n">
        <v>46088</v>
      </c>
      <c r="B995" s="156" t="inlineStr">
        <is>
          <t>DT-513</t>
        </is>
      </c>
      <c r="C995" s="156" t="inlineStr">
        <is>
          <t>Hauler</t>
        </is>
      </c>
      <c r="D995" s="156" t="inlineStr">
        <is>
          <t>Mining</t>
        </is>
      </c>
      <c r="E995" s="156" t="inlineStr">
        <is>
          <t>SKT 105S</t>
        </is>
      </c>
      <c r="F995" s="184" t="n">
        <v>503.3</v>
      </c>
    </row>
    <row r="996">
      <c r="A996" s="155" t="n">
        <v>46088</v>
      </c>
      <c r="B996" s="156" t="inlineStr">
        <is>
          <t>DT-512</t>
        </is>
      </c>
      <c r="C996" s="156" t="inlineStr">
        <is>
          <t>Hauler</t>
        </is>
      </c>
      <c r="D996" s="156" t="inlineStr">
        <is>
          <t>Mining</t>
        </is>
      </c>
      <c r="E996" s="156" t="inlineStr">
        <is>
          <t>SKT 105S</t>
        </is>
      </c>
      <c r="F996" s="184" t="n">
        <v>164.4</v>
      </c>
    </row>
    <row r="997">
      <c r="A997" s="155" t="n">
        <v>46088</v>
      </c>
      <c r="B997" s="156" t="inlineStr">
        <is>
          <t>DT-510</t>
        </is>
      </c>
      <c r="C997" s="156" t="inlineStr">
        <is>
          <t>Hauler</t>
        </is>
      </c>
      <c r="D997" s="156" t="inlineStr">
        <is>
          <t>Mining</t>
        </is>
      </c>
      <c r="E997" s="156" t="inlineStr">
        <is>
          <t>SKT 105S</t>
        </is>
      </c>
      <c r="F997" s="184" t="n">
        <v>605.8</v>
      </c>
    </row>
    <row r="998">
      <c r="A998" s="155" t="n">
        <v>46088</v>
      </c>
      <c r="B998" s="156" t="inlineStr">
        <is>
          <t>DT-521</t>
        </is>
      </c>
      <c r="C998" s="156" t="inlineStr">
        <is>
          <t>Hauler</t>
        </is>
      </c>
      <c r="D998" s="156" t="inlineStr">
        <is>
          <t>Mining</t>
        </is>
      </c>
      <c r="E998" s="156" t="inlineStr">
        <is>
          <t>SKT 105S</t>
        </is>
      </c>
      <c r="F998" s="184" t="n">
        <v>247.3</v>
      </c>
    </row>
    <row r="999">
      <c r="A999" s="155" t="n">
        <v>46088</v>
      </c>
      <c r="B999" s="156" t="inlineStr">
        <is>
          <t>DT-516</t>
        </is>
      </c>
      <c r="C999" s="156" t="inlineStr">
        <is>
          <t>Hauler</t>
        </is>
      </c>
      <c r="D999" s="156" t="inlineStr">
        <is>
          <t>Mining</t>
        </is>
      </c>
      <c r="E999" s="156" t="inlineStr">
        <is>
          <t>SKT 105S</t>
        </is>
      </c>
      <c r="F999" s="184" t="n">
        <v>399</v>
      </c>
    </row>
    <row r="1000">
      <c r="A1000" s="155" t="n">
        <v>46088</v>
      </c>
      <c r="B1000" s="156" t="inlineStr">
        <is>
          <t>DT-506</t>
        </is>
      </c>
      <c r="C1000" s="156" t="inlineStr">
        <is>
          <t>Hauler</t>
        </is>
      </c>
      <c r="D1000" s="156" t="inlineStr">
        <is>
          <t>Mining</t>
        </is>
      </c>
      <c r="E1000" s="156" t="inlineStr">
        <is>
          <t>SKT 105S</t>
        </is>
      </c>
      <c r="F1000" s="184" t="n">
        <v>546</v>
      </c>
    </row>
    <row r="1001">
      <c r="A1001" s="155" t="n">
        <v>46088</v>
      </c>
      <c r="B1001" s="156" t="inlineStr">
        <is>
          <t>DT-528</t>
        </is>
      </c>
      <c r="C1001" s="156" t="inlineStr">
        <is>
          <t>Hauler</t>
        </is>
      </c>
      <c r="D1001" s="156" t="inlineStr">
        <is>
          <t>Mining</t>
        </is>
      </c>
      <c r="E1001" s="156" t="inlineStr">
        <is>
          <t>SKT 105S</t>
        </is>
      </c>
      <c r="F1001" s="184" t="n">
        <v>108.9</v>
      </c>
    </row>
    <row r="1002">
      <c r="A1002" s="155" t="n">
        <v>46088</v>
      </c>
      <c r="B1002" s="156" t="inlineStr">
        <is>
          <t>DT-529</t>
        </is>
      </c>
      <c r="C1002" s="156" t="inlineStr">
        <is>
          <t>Hauler</t>
        </is>
      </c>
      <c r="D1002" s="156" t="inlineStr">
        <is>
          <t>Mining</t>
        </is>
      </c>
      <c r="E1002" s="156" t="inlineStr">
        <is>
          <t>SKT 105S</t>
        </is>
      </c>
      <c r="F1002" s="184" t="n">
        <v>467.2</v>
      </c>
    </row>
    <row r="1003">
      <c r="A1003" s="155" t="n">
        <v>46088</v>
      </c>
      <c r="B1003" s="156" t="inlineStr">
        <is>
          <t>DT-520</t>
        </is>
      </c>
      <c r="C1003" s="156" t="inlineStr">
        <is>
          <t>Hauler</t>
        </is>
      </c>
      <c r="D1003" s="156" t="inlineStr">
        <is>
          <t>Mining</t>
        </is>
      </c>
      <c r="E1003" s="156" t="inlineStr">
        <is>
          <t>SKT 105S</t>
        </is>
      </c>
      <c r="F1003" s="184" t="n">
        <v>588.7</v>
      </c>
    </row>
    <row r="1004">
      <c r="A1004" s="155" t="n">
        <v>46088</v>
      </c>
      <c r="B1004" s="156" t="inlineStr">
        <is>
          <t>DT-526</t>
        </is>
      </c>
      <c r="C1004" s="156" t="inlineStr">
        <is>
          <t>Hauler</t>
        </is>
      </c>
      <c r="D1004" s="156" t="inlineStr">
        <is>
          <t>Mining</t>
        </is>
      </c>
      <c r="E1004" s="156" t="inlineStr">
        <is>
          <t>SKT 105S</t>
        </is>
      </c>
      <c r="F1004" s="184" t="n">
        <v>542.6</v>
      </c>
    </row>
    <row r="1005">
      <c r="A1005" s="155" t="n">
        <v>46088</v>
      </c>
      <c r="B1005" s="156" t="inlineStr">
        <is>
          <t>DT-508</t>
        </is>
      </c>
      <c r="C1005" s="156" t="inlineStr">
        <is>
          <t>Hauler</t>
        </is>
      </c>
      <c r="D1005" s="156" t="inlineStr">
        <is>
          <t>Mining</t>
        </is>
      </c>
      <c r="E1005" s="156" t="inlineStr">
        <is>
          <t>SKT 105S</t>
        </is>
      </c>
      <c r="F1005" s="184" t="n">
        <v>396.6</v>
      </c>
    </row>
    <row r="1006">
      <c r="A1006" s="155" t="n">
        <v>46088</v>
      </c>
      <c r="B1006" s="156" t="inlineStr">
        <is>
          <t>DT-515</t>
        </is>
      </c>
      <c r="C1006" s="156" t="inlineStr">
        <is>
          <t>Hauler</t>
        </is>
      </c>
      <c r="D1006" s="156" t="inlineStr">
        <is>
          <t>Mining</t>
        </is>
      </c>
      <c r="E1006" s="156" t="inlineStr">
        <is>
          <t>SKT 105S</t>
        </is>
      </c>
      <c r="F1006" s="184" t="n">
        <v>632.6</v>
      </c>
    </row>
    <row r="1007">
      <c r="A1007" s="155" t="n">
        <v>46088</v>
      </c>
      <c r="B1007" s="156" t="inlineStr">
        <is>
          <t>DT-524</t>
        </is>
      </c>
      <c r="C1007" s="156" t="inlineStr">
        <is>
          <t>Hauler</t>
        </is>
      </c>
      <c r="D1007" s="156" t="inlineStr">
        <is>
          <t>Mining</t>
        </is>
      </c>
      <c r="E1007" s="156" t="inlineStr">
        <is>
          <t>SKT 105S</t>
        </is>
      </c>
      <c r="F1007" s="184" t="n">
        <v>316.1</v>
      </c>
    </row>
    <row r="1008">
      <c r="A1008" s="155" t="n">
        <v>46088</v>
      </c>
      <c r="B1008" s="156" t="inlineStr">
        <is>
          <t>HD-905</t>
        </is>
      </c>
      <c r="C1008" s="156" t="inlineStr">
        <is>
          <t>Hauler</t>
        </is>
      </c>
      <c r="D1008" s="156" t="inlineStr">
        <is>
          <t>Mining</t>
        </is>
      </c>
      <c r="E1008" s="156" t="inlineStr">
        <is>
          <t>SRT 95C</t>
        </is>
      </c>
      <c r="F1008" s="184" t="n">
        <v>598.1</v>
      </c>
    </row>
    <row r="1009">
      <c r="A1009" s="155" t="n">
        <v>46088</v>
      </c>
      <c r="B1009" s="156" t="inlineStr">
        <is>
          <t>HD-901</t>
        </is>
      </c>
      <c r="C1009" s="156" t="inlineStr">
        <is>
          <t>Hauler</t>
        </is>
      </c>
      <c r="D1009" s="156" t="inlineStr">
        <is>
          <t>Mining</t>
        </is>
      </c>
      <c r="E1009" s="156" t="inlineStr">
        <is>
          <t>SRT 95C</t>
        </is>
      </c>
      <c r="F1009" s="184" t="n">
        <v>733</v>
      </c>
    </row>
    <row r="1010">
      <c r="A1010" s="155" t="n">
        <v>46088</v>
      </c>
      <c r="B1010" s="156" t="inlineStr">
        <is>
          <t>HD-904</t>
        </is>
      </c>
      <c r="C1010" s="156" t="inlineStr">
        <is>
          <t>Hauler</t>
        </is>
      </c>
      <c r="D1010" s="156" t="inlineStr">
        <is>
          <t>Mining</t>
        </is>
      </c>
      <c r="E1010" s="156" t="inlineStr">
        <is>
          <t>SRT 95C</t>
        </is>
      </c>
      <c r="F1010" s="184" t="n">
        <v>730.8</v>
      </c>
    </row>
    <row r="1011">
      <c r="A1011" s="155" t="n">
        <v>46088</v>
      </c>
      <c r="B1011" s="156" t="inlineStr">
        <is>
          <t>HD-902</t>
        </is>
      </c>
      <c r="C1011" s="156" t="inlineStr">
        <is>
          <t>Hauler</t>
        </is>
      </c>
      <c r="D1011" s="156" t="inlineStr">
        <is>
          <t>Mining</t>
        </is>
      </c>
      <c r="E1011" s="156" t="inlineStr">
        <is>
          <t>SRT 95C</t>
        </is>
      </c>
      <c r="F1011" s="184" t="n">
        <v>819.5</v>
      </c>
    </row>
    <row r="1012">
      <c r="A1012" s="155" t="n">
        <v>46088</v>
      </c>
      <c r="B1012" s="156" t="inlineStr">
        <is>
          <t>HT-404</t>
        </is>
      </c>
      <c r="C1012" s="156" t="inlineStr">
        <is>
          <t>DT Hauling</t>
        </is>
      </c>
      <c r="D1012" s="156" t="inlineStr">
        <is>
          <t>Aux</t>
        </is>
      </c>
      <c r="E1012" s="156" t="inlineStr">
        <is>
          <t>SY430</t>
        </is>
      </c>
      <c r="F1012" s="184" t="n">
        <v>191.3</v>
      </c>
    </row>
    <row r="1013">
      <c r="A1013" s="155" t="n">
        <v>46088</v>
      </c>
      <c r="B1013" s="156" t="inlineStr">
        <is>
          <t>HT-402</t>
        </is>
      </c>
      <c r="C1013" s="156" t="inlineStr">
        <is>
          <t>DT Hauling</t>
        </is>
      </c>
      <c r="D1013" s="156" t="inlineStr">
        <is>
          <t>Aux</t>
        </is>
      </c>
      <c r="E1013" s="156" t="inlineStr">
        <is>
          <t>SY430</t>
        </is>
      </c>
      <c r="F1013" s="184" t="n">
        <v>135.3</v>
      </c>
    </row>
    <row r="1014">
      <c r="A1014" s="155" t="n">
        <v>46088</v>
      </c>
      <c r="B1014" s="156" t="inlineStr">
        <is>
          <t>HT-416</t>
        </is>
      </c>
      <c r="C1014" s="156" t="inlineStr">
        <is>
          <t>DT Hauling</t>
        </is>
      </c>
      <c r="D1014" s="156" t="inlineStr">
        <is>
          <t>Aux</t>
        </is>
      </c>
      <c r="E1014" s="156" t="inlineStr">
        <is>
          <t>SY430</t>
        </is>
      </c>
      <c r="F1014" s="184" t="n">
        <v>139.2</v>
      </c>
    </row>
    <row r="1015">
      <c r="A1015" s="155" t="n">
        <v>46088</v>
      </c>
      <c r="B1015" s="156" t="inlineStr">
        <is>
          <t>HT-420</t>
        </is>
      </c>
      <c r="C1015" s="156" t="inlineStr">
        <is>
          <t>DT Hauling</t>
        </is>
      </c>
      <c r="D1015" s="156" t="inlineStr">
        <is>
          <t>Aux</t>
        </is>
      </c>
      <c r="E1015" s="156" t="inlineStr">
        <is>
          <t>SY430</t>
        </is>
      </c>
      <c r="F1015" s="184" t="n">
        <v>150.9</v>
      </c>
    </row>
    <row r="1016">
      <c r="A1016" s="155" t="n">
        <v>46088</v>
      </c>
      <c r="B1016" s="156" t="inlineStr">
        <is>
          <t>HT-412</t>
        </is>
      </c>
      <c r="C1016" s="156" t="inlineStr">
        <is>
          <t>DT Hauling</t>
        </is>
      </c>
      <c r="D1016" s="156" t="inlineStr">
        <is>
          <t>Aux</t>
        </is>
      </c>
      <c r="E1016" s="156" t="inlineStr">
        <is>
          <t>SY430</t>
        </is>
      </c>
      <c r="F1016" s="184" t="n">
        <v>215.2</v>
      </c>
    </row>
    <row r="1017">
      <c r="A1017" s="155" t="n">
        <v>46088</v>
      </c>
      <c r="B1017" s="156" t="inlineStr">
        <is>
          <t>HT-407</t>
        </is>
      </c>
      <c r="C1017" s="156" t="inlineStr">
        <is>
          <t>DT Hauling</t>
        </is>
      </c>
      <c r="D1017" s="156" t="inlineStr">
        <is>
          <t>Aux</t>
        </is>
      </c>
      <c r="E1017" s="156" t="inlineStr">
        <is>
          <t>SY430</t>
        </is>
      </c>
      <c r="F1017" s="184" t="n">
        <v>205.6</v>
      </c>
    </row>
    <row r="1018">
      <c r="A1018" s="155" t="n">
        <v>46088</v>
      </c>
      <c r="B1018" s="156" t="inlineStr">
        <is>
          <t>HT-414</t>
        </is>
      </c>
      <c r="C1018" s="156" t="inlineStr">
        <is>
          <t>DT Hauling</t>
        </is>
      </c>
      <c r="D1018" s="156" t="inlineStr">
        <is>
          <t>Aux</t>
        </is>
      </c>
      <c r="E1018" s="156" t="inlineStr">
        <is>
          <t>SY430</t>
        </is>
      </c>
      <c r="F1018" s="184" t="n">
        <v>220.6</v>
      </c>
    </row>
    <row r="1019">
      <c r="A1019" s="155" t="n">
        <v>46088</v>
      </c>
      <c r="B1019" s="156" t="inlineStr">
        <is>
          <t>HT-411</t>
        </is>
      </c>
      <c r="C1019" s="156" t="inlineStr">
        <is>
          <t>DT Hauling</t>
        </is>
      </c>
      <c r="D1019" s="156" t="inlineStr">
        <is>
          <t>Aux</t>
        </is>
      </c>
      <c r="E1019" s="156" t="inlineStr">
        <is>
          <t>SY430</t>
        </is>
      </c>
      <c r="F1019" s="184" t="n">
        <v>195.1</v>
      </c>
    </row>
    <row r="1020">
      <c r="A1020" s="155" t="n">
        <v>46088</v>
      </c>
      <c r="B1020" s="156" t="inlineStr">
        <is>
          <t>HT-409</t>
        </is>
      </c>
      <c r="C1020" s="156" t="inlineStr">
        <is>
          <t>DT Hauling</t>
        </is>
      </c>
      <c r="D1020" s="156" t="inlineStr">
        <is>
          <t>Aux</t>
        </is>
      </c>
      <c r="E1020" s="156" t="inlineStr">
        <is>
          <t>SY430</t>
        </is>
      </c>
      <c r="F1020" s="184" t="n">
        <v>158.8</v>
      </c>
    </row>
    <row r="1021">
      <c r="A1021" s="155" t="n">
        <v>46088</v>
      </c>
      <c r="B1021" s="156" t="inlineStr">
        <is>
          <t>DZ-033</t>
        </is>
      </c>
      <c r="C1021" s="156" t="inlineStr">
        <is>
          <t>Bulldozer</t>
        </is>
      </c>
      <c r="D1021" s="156" t="inlineStr">
        <is>
          <t>Mining</t>
        </is>
      </c>
      <c r="E1021" s="156" t="inlineStr">
        <is>
          <t>D 375A-6R</t>
        </is>
      </c>
      <c r="F1021" s="184" t="n">
        <v>156.6</v>
      </c>
    </row>
    <row r="1022">
      <c r="A1022" s="155" t="n">
        <v>46088</v>
      </c>
      <c r="B1022" s="156" t="inlineStr">
        <is>
          <t>DZ-036</t>
        </is>
      </c>
      <c r="C1022" s="156" t="inlineStr">
        <is>
          <t>Bulldozer</t>
        </is>
      </c>
      <c r="D1022" s="156" t="inlineStr">
        <is>
          <t>Aux</t>
        </is>
      </c>
      <c r="E1022" s="156" t="inlineStr">
        <is>
          <t>D 85 ESS-2</t>
        </is>
      </c>
      <c r="F1022" s="184" t="n">
        <v>15.5</v>
      </c>
    </row>
    <row r="1023">
      <c r="A1023" s="155" t="n">
        <v>46088</v>
      </c>
      <c r="B1023" s="156" t="inlineStr">
        <is>
          <t>DZ-035</t>
        </is>
      </c>
      <c r="C1023" s="156" t="inlineStr">
        <is>
          <t>Bulldozer</t>
        </is>
      </c>
      <c r="D1023" s="156" t="inlineStr">
        <is>
          <t>Mining</t>
        </is>
      </c>
      <c r="E1023" s="156" t="inlineStr">
        <is>
          <t>D 85 ESS-2</t>
        </is>
      </c>
      <c r="F1023" s="184" t="n">
        <v>264.4</v>
      </c>
    </row>
    <row r="1024">
      <c r="A1024" s="155" t="n">
        <v>46088</v>
      </c>
      <c r="B1024" s="156" t="inlineStr">
        <is>
          <t>DZ-031</t>
        </is>
      </c>
      <c r="C1024" s="156" t="inlineStr">
        <is>
          <t>Bulldozer</t>
        </is>
      </c>
      <c r="D1024" s="156" t="inlineStr">
        <is>
          <t>Mining</t>
        </is>
      </c>
      <c r="E1024" s="156" t="inlineStr">
        <is>
          <t>CAT</t>
        </is>
      </c>
      <c r="F1024" s="184" t="n">
        <v>607.5</v>
      </c>
    </row>
    <row r="1025">
      <c r="A1025" s="155" t="n">
        <v>46088</v>
      </c>
      <c r="B1025" s="156" t="inlineStr">
        <is>
          <t>GD-013</t>
        </is>
      </c>
      <c r="C1025" s="156" t="inlineStr">
        <is>
          <t>Grader</t>
        </is>
      </c>
      <c r="D1025" s="156" t="inlineStr">
        <is>
          <t>Mining</t>
        </is>
      </c>
      <c r="E1025" s="156" t="inlineStr">
        <is>
          <t>STG 265C - 10</t>
        </is>
      </c>
      <c r="F1025" s="184" t="n">
        <v>178.3</v>
      </c>
    </row>
    <row r="1026">
      <c r="A1026" s="155" t="n">
        <v>46088</v>
      </c>
      <c r="B1026" s="156" t="inlineStr">
        <is>
          <t>GD-014</t>
        </is>
      </c>
      <c r="C1026" s="156" t="inlineStr">
        <is>
          <t>Grader</t>
        </is>
      </c>
      <c r="D1026" s="156" t="inlineStr">
        <is>
          <t>Mining</t>
        </is>
      </c>
      <c r="E1026" s="156" t="inlineStr">
        <is>
          <t>STG 335C - 10</t>
        </is>
      </c>
      <c r="F1026" s="184" t="n">
        <v>334.1</v>
      </c>
    </row>
    <row r="1027">
      <c r="A1027" s="155" t="n">
        <v>46088</v>
      </c>
      <c r="B1027" s="156" t="inlineStr">
        <is>
          <t>WL-025</t>
        </is>
      </c>
      <c r="C1027" s="156" t="inlineStr">
        <is>
          <t>Loader</t>
        </is>
      </c>
      <c r="D1027" s="156" t="inlineStr">
        <is>
          <t>Aux</t>
        </is>
      </c>
      <c r="E1027" s="156" t="inlineStr">
        <is>
          <t>SANY - Loader</t>
        </is>
      </c>
      <c r="F1027" s="184" t="n">
        <v>58.7</v>
      </c>
    </row>
    <row r="1028">
      <c r="A1028" s="155" t="n">
        <v>46088</v>
      </c>
      <c r="B1028" s="156" t="inlineStr">
        <is>
          <t>WL-023</t>
        </is>
      </c>
      <c r="C1028" s="156" t="inlineStr">
        <is>
          <t>Loader</t>
        </is>
      </c>
      <c r="D1028" s="156" t="inlineStr">
        <is>
          <t>Aux</t>
        </is>
      </c>
      <c r="E1028" s="156" t="inlineStr">
        <is>
          <t>SANY - Loader</t>
        </is>
      </c>
      <c r="F1028" s="184" t="n">
        <v>12</v>
      </c>
    </row>
    <row r="1029">
      <c r="A1029" s="155" t="n">
        <v>46088</v>
      </c>
      <c r="B1029" s="156" t="inlineStr">
        <is>
          <t>LV-03</t>
        </is>
      </c>
      <c r="C1029" s="156" t="inlineStr">
        <is>
          <t>LV &amp; sarana</t>
        </is>
      </c>
      <c r="D1029" s="156" t="inlineStr">
        <is>
          <t>Aux</t>
        </is>
      </c>
      <c r="E1029" s="156" t="inlineStr">
        <is>
          <t>Light vehicle</t>
        </is>
      </c>
      <c r="F1029" s="184" t="n">
        <v>42.2</v>
      </c>
    </row>
    <row r="1030">
      <c r="A1030" s="155" t="n">
        <v>46088</v>
      </c>
      <c r="B1030" s="156" t="inlineStr">
        <is>
          <t>LV-04</t>
        </is>
      </c>
      <c r="C1030" s="156" t="inlineStr">
        <is>
          <t>LV &amp; sarana</t>
        </is>
      </c>
      <c r="D1030" s="156" t="inlineStr">
        <is>
          <t>Aux</t>
        </is>
      </c>
      <c r="E1030" s="156" t="inlineStr">
        <is>
          <t>Light vehicle</t>
        </is>
      </c>
      <c r="F1030" s="184" t="n">
        <v>51.8</v>
      </c>
    </row>
    <row r="1031">
      <c r="A1031" s="155" t="n">
        <v>46088</v>
      </c>
      <c r="B1031" s="156" t="inlineStr">
        <is>
          <t>LV-06</t>
        </is>
      </c>
      <c r="C1031" s="156" t="inlineStr">
        <is>
          <t>LV &amp; sarana</t>
        </is>
      </c>
      <c r="D1031" s="156" t="inlineStr">
        <is>
          <t>Aux</t>
        </is>
      </c>
      <c r="E1031" s="156" t="inlineStr">
        <is>
          <t>Light vehicle</t>
        </is>
      </c>
      <c r="F1031" s="184" t="n">
        <v>23.9</v>
      </c>
    </row>
    <row r="1032">
      <c r="A1032" s="155" t="n">
        <v>46088</v>
      </c>
      <c r="B1032" s="156" t="inlineStr">
        <is>
          <t>LV-10</t>
        </is>
      </c>
      <c r="C1032" s="156" t="inlineStr">
        <is>
          <t>LV &amp; sarana</t>
        </is>
      </c>
      <c r="D1032" s="156" t="inlineStr">
        <is>
          <t>Aux</t>
        </is>
      </c>
      <c r="E1032" s="156" t="inlineStr">
        <is>
          <t>Light vehicle</t>
        </is>
      </c>
      <c r="F1032" s="184" t="n">
        <v>41.7</v>
      </c>
    </row>
    <row r="1033">
      <c r="A1033" s="155" t="n">
        <v>46088</v>
      </c>
      <c r="B1033" s="156" t="inlineStr">
        <is>
          <t>LV-11</t>
        </is>
      </c>
      <c r="C1033" s="156" t="inlineStr">
        <is>
          <t>LV &amp; sarana</t>
        </is>
      </c>
      <c r="D1033" s="156" t="inlineStr">
        <is>
          <t>Aux</t>
        </is>
      </c>
      <c r="E1033" s="156" t="inlineStr">
        <is>
          <t>Light vehicle</t>
        </is>
      </c>
      <c r="F1033" s="184" t="n">
        <v>60.5</v>
      </c>
    </row>
    <row r="1034">
      <c r="A1034" s="155" t="n">
        <v>46088</v>
      </c>
      <c r="B1034" s="156" t="inlineStr">
        <is>
          <t>LV-12</t>
        </is>
      </c>
      <c r="C1034" s="156" t="inlineStr">
        <is>
          <t>LV &amp; sarana</t>
        </is>
      </c>
      <c r="D1034" s="156" t="inlineStr">
        <is>
          <t>Aux</t>
        </is>
      </c>
      <c r="E1034" s="156" t="inlineStr">
        <is>
          <t>Light vehicle</t>
        </is>
      </c>
      <c r="F1034" s="184" t="n">
        <v>50.9</v>
      </c>
    </row>
    <row r="1035">
      <c r="A1035" s="155" t="n">
        <v>46088</v>
      </c>
      <c r="B1035" s="156" t="inlineStr">
        <is>
          <t>AL-04</t>
        </is>
      </c>
      <c r="C1035" s="156" t="inlineStr">
        <is>
          <t>Alat lain</t>
        </is>
      </c>
      <c r="D1035" s="156" t="inlineStr">
        <is>
          <t>Mining</t>
        </is>
      </c>
      <c r="E1035" s="156" t="inlineStr">
        <is>
          <t>Alat lain</t>
        </is>
      </c>
      <c r="F1035" s="184" t="n">
        <v>462.9</v>
      </c>
    </row>
    <row r="1036">
      <c r="A1036" s="155" t="n">
        <v>46088</v>
      </c>
      <c r="B1036" s="156" t="inlineStr">
        <is>
          <t>TS-04</t>
        </is>
      </c>
      <c r="C1036" s="156" t="inlineStr">
        <is>
          <t>Truk support</t>
        </is>
      </c>
      <c r="D1036" s="156" t="inlineStr">
        <is>
          <t>Aux</t>
        </is>
      </c>
      <c r="E1036" s="156" t="inlineStr">
        <is>
          <t>Truk support</t>
        </is>
      </c>
      <c r="F1036" s="184" t="n">
        <v>41.7</v>
      </c>
    </row>
    <row r="1037">
      <c r="A1037" s="155" t="n">
        <v>46088</v>
      </c>
      <c r="B1037" s="156" t="inlineStr">
        <is>
          <t>AL-05</t>
        </is>
      </c>
      <c r="C1037" s="156" t="inlineStr">
        <is>
          <t>Alat lain</t>
        </is>
      </c>
      <c r="D1037" s="156" t="inlineStr">
        <is>
          <t>Mining</t>
        </is>
      </c>
      <c r="E1037" s="156" t="inlineStr">
        <is>
          <t>Alat lain</t>
        </is>
      </c>
      <c r="F1037" s="184" t="n">
        <v>459.2</v>
      </c>
    </row>
    <row r="1038">
      <c r="A1038" s="155" t="n">
        <v>46088</v>
      </c>
      <c r="B1038" s="156" t="inlineStr">
        <is>
          <t>AL-08</t>
        </is>
      </c>
      <c r="C1038" s="156" t="inlineStr">
        <is>
          <t>Alat lain</t>
        </is>
      </c>
      <c r="D1038" s="156" t="inlineStr">
        <is>
          <t>Aux</t>
        </is>
      </c>
      <c r="E1038" s="156" t="inlineStr">
        <is>
          <t>Alat lain</t>
        </is>
      </c>
      <c r="F1038" s="184" t="n">
        <v>145.8</v>
      </c>
    </row>
    <row r="1039">
      <c r="A1039" s="155" t="n">
        <v>46088</v>
      </c>
      <c r="B1039" s="156" t="inlineStr">
        <is>
          <t>AL-09</t>
        </is>
      </c>
      <c r="C1039" s="156" t="inlineStr">
        <is>
          <t>Alat lain</t>
        </is>
      </c>
      <c r="D1039" s="156" t="inlineStr">
        <is>
          <t>Mining</t>
        </is>
      </c>
      <c r="E1039" s="156" t="inlineStr">
        <is>
          <t>Alat lain</t>
        </is>
      </c>
      <c r="F1039" s="184" t="n">
        <v>22.2</v>
      </c>
    </row>
    <row r="1040">
      <c r="A1040" s="155" t="n">
        <v>46088</v>
      </c>
      <c r="B1040" s="156" t="inlineStr">
        <is>
          <t>GS-02</t>
        </is>
      </c>
      <c r="C1040" s="156" t="inlineStr">
        <is>
          <t>Genset</t>
        </is>
      </c>
      <c r="D1040" s="156" t="inlineStr">
        <is>
          <t>Aux</t>
        </is>
      </c>
      <c r="E1040" s="156" t="inlineStr">
        <is>
          <t>Genset</t>
        </is>
      </c>
      <c r="F1040" s="184" t="n">
        <v>235.4</v>
      </c>
    </row>
    <row r="1041">
      <c r="A1041" s="155" t="n">
        <v>46088</v>
      </c>
      <c r="B1041" s="156" t="inlineStr">
        <is>
          <t>GS-03</t>
        </is>
      </c>
      <c r="C1041" s="156" t="inlineStr">
        <is>
          <t>Genset</t>
        </is>
      </c>
      <c r="D1041" s="156" t="inlineStr">
        <is>
          <t>Aux</t>
        </is>
      </c>
      <c r="E1041" s="156" t="inlineStr">
        <is>
          <t>Genset</t>
        </is>
      </c>
      <c r="F1041" s="184" t="n">
        <v>177.6</v>
      </c>
    </row>
    <row r="1042">
      <c r="A1042" s="155" t="n">
        <v>46088</v>
      </c>
      <c r="B1042" s="156" t="inlineStr">
        <is>
          <t>GS-04</t>
        </is>
      </c>
      <c r="C1042" s="156" t="inlineStr">
        <is>
          <t>Genset</t>
        </is>
      </c>
      <c r="D1042" s="156" t="inlineStr">
        <is>
          <t>Aux</t>
        </is>
      </c>
      <c r="E1042" s="156" t="inlineStr">
        <is>
          <t>Genset</t>
        </is>
      </c>
      <c r="F1042" s="184" t="n">
        <v>711.7</v>
      </c>
    </row>
    <row r="1043">
      <c r="A1043" s="155" t="n">
        <v>46088</v>
      </c>
      <c r="B1043" s="156" t="inlineStr">
        <is>
          <t>GS-07</t>
        </is>
      </c>
      <c r="C1043" s="156" t="inlineStr">
        <is>
          <t>Genset</t>
        </is>
      </c>
      <c r="D1043" s="156" t="inlineStr">
        <is>
          <t>Aux</t>
        </is>
      </c>
      <c r="E1043" s="156" t="inlineStr">
        <is>
          <t>Genset</t>
        </is>
      </c>
      <c r="F1043" s="184" t="n">
        <v>15.4</v>
      </c>
    </row>
    <row r="1044">
      <c r="A1044" s="155" t="n">
        <v>46088</v>
      </c>
      <c r="B1044" s="156" t="inlineStr">
        <is>
          <t>GS-08</t>
        </is>
      </c>
      <c r="C1044" s="156" t="inlineStr">
        <is>
          <t>Genset</t>
        </is>
      </c>
      <c r="D1044" s="156" t="inlineStr">
        <is>
          <t>Aux</t>
        </is>
      </c>
      <c r="E1044" s="156" t="inlineStr">
        <is>
          <t>Genset</t>
        </is>
      </c>
      <c r="F1044" s="184" t="n">
        <v>64.3</v>
      </c>
    </row>
    <row r="1045">
      <c r="A1045" s="155" t="n">
        <v>46088</v>
      </c>
      <c r="B1045" s="156" t="inlineStr">
        <is>
          <t>WL-022</t>
        </is>
      </c>
      <c r="C1045" s="156" t="inlineStr">
        <is>
          <t>Loader</t>
        </is>
      </c>
      <c r="D1045" s="156" t="inlineStr">
        <is>
          <t>Aux</t>
        </is>
      </c>
      <c r="E1045" s="156" t="inlineStr">
        <is>
          <t>SANY - Loader</t>
        </is>
      </c>
      <c r="F1045" s="184" t="n">
        <v>131.5</v>
      </c>
    </row>
    <row r="1046">
      <c r="A1046" s="155" t="n">
        <v>46088</v>
      </c>
      <c r="B1046" s="156" t="inlineStr">
        <is>
          <t>WL-024</t>
        </is>
      </c>
      <c r="C1046" s="156" t="inlineStr">
        <is>
          <t>Loader</t>
        </is>
      </c>
      <c r="D1046" s="156" t="inlineStr">
        <is>
          <t>Aux</t>
        </is>
      </c>
      <c r="E1046" s="156" t="inlineStr">
        <is>
          <t>SANY - Loader</t>
        </is>
      </c>
      <c r="F1046" s="184" t="n">
        <v>313</v>
      </c>
    </row>
    <row r="1047">
      <c r="A1047" s="155" t="n">
        <v>46095</v>
      </c>
      <c r="B1047" s="156" t="inlineStr">
        <is>
          <t>EX-754</t>
        </is>
      </c>
      <c r="C1047" s="156" t="inlineStr">
        <is>
          <t>Excavator</t>
        </is>
      </c>
      <c r="D1047" s="156" t="inlineStr">
        <is>
          <t>Mining</t>
        </is>
      </c>
      <c r="E1047" s="156" t="inlineStr">
        <is>
          <t>SY750H-PRO</t>
        </is>
      </c>
      <c r="F1047" s="184" t="n">
        <v>582.4</v>
      </c>
    </row>
    <row r="1048">
      <c r="A1048" s="155" t="n">
        <v>46095</v>
      </c>
      <c r="B1048" s="156" t="inlineStr">
        <is>
          <t>EX-755</t>
        </is>
      </c>
      <c r="C1048" s="156" t="inlineStr">
        <is>
          <t>Excavator</t>
        </is>
      </c>
      <c r="D1048" s="156" t="inlineStr">
        <is>
          <t>Mining</t>
        </is>
      </c>
      <c r="E1048" s="156" t="inlineStr">
        <is>
          <t>SY750H-PRO</t>
        </is>
      </c>
      <c r="F1048" s="184" t="n">
        <v>1053.5</v>
      </c>
    </row>
    <row r="1049">
      <c r="A1049" s="155" t="n">
        <v>46095</v>
      </c>
      <c r="B1049" s="156" t="inlineStr">
        <is>
          <t>EX-753</t>
        </is>
      </c>
      <c r="C1049" s="156" t="inlineStr">
        <is>
          <t>Excavator</t>
        </is>
      </c>
      <c r="D1049" s="156" t="inlineStr">
        <is>
          <t>Mining</t>
        </is>
      </c>
      <c r="E1049" s="156" t="inlineStr">
        <is>
          <t>SY750H-PRO</t>
        </is>
      </c>
      <c r="F1049" s="184" t="n">
        <v>609.3</v>
      </c>
    </row>
    <row r="1050">
      <c r="A1050" s="155" t="n">
        <v>46095</v>
      </c>
      <c r="B1050" s="156" t="inlineStr">
        <is>
          <t>EX-334</t>
        </is>
      </c>
      <c r="C1050" s="156" t="inlineStr">
        <is>
          <t>Excavator</t>
        </is>
      </c>
      <c r="D1050" s="156" t="inlineStr">
        <is>
          <t>Mining</t>
        </is>
      </c>
      <c r="E1050" s="156" t="inlineStr">
        <is>
          <t>PC 300-8MO</t>
        </is>
      </c>
      <c r="F1050" s="184" t="n">
        <v>440.8</v>
      </c>
    </row>
    <row r="1051">
      <c r="A1051" s="155" t="n">
        <v>46095</v>
      </c>
      <c r="B1051" s="156" t="inlineStr">
        <is>
          <t>EX-222</t>
        </is>
      </c>
      <c r="C1051" s="156" t="inlineStr">
        <is>
          <t>Excavator</t>
        </is>
      </c>
      <c r="D1051" s="156" t="inlineStr">
        <is>
          <t>Mining</t>
        </is>
      </c>
      <c r="E1051" s="156" t="inlineStr">
        <is>
          <t>PC 200-8MI</t>
        </is>
      </c>
      <c r="F1051" s="184" t="n">
        <v>220.7</v>
      </c>
    </row>
    <row r="1052">
      <c r="A1052" s="155" t="n">
        <v>46095</v>
      </c>
      <c r="B1052" s="156" t="inlineStr">
        <is>
          <t>EX-223</t>
        </is>
      </c>
      <c r="C1052" s="156" t="inlineStr">
        <is>
          <t>Excavator</t>
        </is>
      </c>
      <c r="D1052" s="156" t="inlineStr">
        <is>
          <t>Aux</t>
        </is>
      </c>
      <c r="E1052" s="156" t="inlineStr">
        <is>
          <t>PC 200-8MI</t>
        </is>
      </c>
      <c r="F1052" s="184" t="n">
        <v>166.3</v>
      </c>
    </row>
    <row r="1053">
      <c r="A1053" s="155" t="n">
        <v>46095</v>
      </c>
      <c r="B1053" s="156" t="inlineStr">
        <is>
          <t>EX-221</t>
        </is>
      </c>
      <c r="C1053" s="156" t="inlineStr">
        <is>
          <t>Excavator</t>
        </is>
      </c>
      <c r="D1053" s="156" t="inlineStr">
        <is>
          <t>Aux</t>
        </is>
      </c>
      <c r="E1053" s="156" t="inlineStr">
        <is>
          <t>PC 200-8MI</t>
        </is>
      </c>
      <c r="F1053" s="184" t="n">
        <v>157</v>
      </c>
    </row>
    <row r="1054">
      <c r="A1054" s="155" t="n">
        <v>46095</v>
      </c>
      <c r="B1054" s="156" t="inlineStr">
        <is>
          <t>EX-335</t>
        </is>
      </c>
      <c r="C1054" s="156" t="inlineStr">
        <is>
          <t>Excavator</t>
        </is>
      </c>
      <c r="D1054" s="156" t="inlineStr">
        <is>
          <t>Mining</t>
        </is>
      </c>
      <c r="E1054" s="156" t="inlineStr">
        <is>
          <t>PC 300-8MO</t>
        </is>
      </c>
      <c r="F1054" s="184" t="n">
        <v>383.1</v>
      </c>
    </row>
    <row r="1055">
      <c r="A1055" s="155" t="n">
        <v>46095</v>
      </c>
      <c r="B1055" s="156" t="inlineStr">
        <is>
          <t>EX-1251</t>
        </is>
      </c>
      <c r="C1055" s="156" t="inlineStr">
        <is>
          <t>Excavator</t>
        </is>
      </c>
      <c r="D1055" s="156" t="inlineStr">
        <is>
          <t>Mining</t>
        </is>
      </c>
      <c r="E1055" s="156" t="inlineStr">
        <is>
          <t>SY1250</t>
        </is>
      </c>
      <c r="F1055" s="184" t="n">
        <v>671</v>
      </c>
    </row>
    <row r="1056">
      <c r="A1056" s="155" t="n">
        <v>46095</v>
      </c>
      <c r="B1056" s="156" t="inlineStr">
        <is>
          <t>EX-2101</t>
        </is>
      </c>
      <c r="C1056" s="156" t="inlineStr">
        <is>
          <t>Excavator</t>
        </is>
      </c>
      <c r="D1056" s="156" t="inlineStr">
        <is>
          <t>Mining</t>
        </is>
      </c>
      <c r="E1056" s="156" t="inlineStr">
        <is>
          <t>SY2000</t>
        </is>
      </c>
      <c r="F1056" s="184" t="n">
        <v>2275.1</v>
      </c>
    </row>
    <row r="1057">
      <c r="A1057" s="155" t="n">
        <v>46095</v>
      </c>
      <c r="B1057" s="156" t="inlineStr">
        <is>
          <t>EX-333</t>
        </is>
      </c>
      <c r="C1057" s="156" t="inlineStr">
        <is>
          <t>Excavator</t>
        </is>
      </c>
      <c r="D1057" s="156" t="inlineStr">
        <is>
          <t>Mining</t>
        </is>
      </c>
      <c r="E1057" s="156" t="inlineStr">
        <is>
          <t>PC 300-8MO</t>
        </is>
      </c>
      <c r="F1057" s="184" t="n">
        <v>440.2</v>
      </c>
    </row>
    <row r="1058">
      <c r="A1058" s="155" t="n">
        <v>46095</v>
      </c>
      <c r="B1058" s="156" t="inlineStr">
        <is>
          <t>EX-336</t>
        </is>
      </c>
      <c r="C1058" s="156" t="inlineStr">
        <is>
          <t>Excavator</t>
        </is>
      </c>
      <c r="D1058" s="156" t="inlineStr">
        <is>
          <t>Mining</t>
        </is>
      </c>
      <c r="E1058" s="156" t="inlineStr">
        <is>
          <t>PC 300-8MO</t>
        </is>
      </c>
      <c r="F1058" s="184" t="n">
        <v>444</v>
      </c>
    </row>
    <row r="1059">
      <c r="A1059" s="155" t="n">
        <v>46095</v>
      </c>
      <c r="B1059" s="156" t="inlineStr">
        <is>
          <t>DT-801</t>
        </is>
      </c>
      <c r="C1059" s="156" t="inlineStr">
        <is>
          <t>Hauler</t>
        </is>
      </c>
      <c r="D1059" s="156" t="inlineStr">
        <is>
          <t>Mining</t>
        </is>
      </c>
      <c r="E1059" s="156" t="inlineStr">
        <is>
          <t>SKT 80S</t>
        </is>
      </c>
      <c r="F1059" s="184" t="n">
        <v>20.4</v>
      </c>
    </row>
    <row r="1060">
      <c r="A1060" s="155" t="n">
        <v>46095</v>
      </c>
      <c r="B1060" s="156" t="inlineStr">
        <is>
          <t>DT-808</t>
        </is>
      </c>
      <c r="C1060" s="156" t="inlineStr">
        <is>
          <t>Hauler</t>
        </is>
      </c>
      <c r="D1060" s="156" t="inlineStr">
        <is>
          <t>Mining</t>
        </is>
      </c>
      <c r="E1060" s="156" t="inlineStr">
        <is>
          <t>SKT 80S</t>
        </is>
      </c>
      <c r="F1060" s="184" t="n">
        <v>314.5</v>
      </c>
    </row>
    <row r="1061">
      <c r="A1061" s="155" t="n">
        <v>46095</v>
      </c>
      <c r="B1061" s="156" t="inlineStr">
        <is>
          <t>DT-503</t>
        </is>
      </c>
      <c r="C1061" s="156" t="inlineStr">
        <is>
          <t>Hauler</t>
        </is>
      </c>
      <c r="D1061" s="156" t="inlineStr">
        <is>
          <t>Mining</t>
        </is>
      </c>
      <c r="E1061" s="156" t="inlineStr">
        <is>
          <t>SKT 105S</t>
        </is>
      </c>
      <c r="F1061" s="184" t="n">
        <v>341.9</v>
      </c>
    </row>
    <row r="1062">
      <c r="A1062" s="155" t="n">
        <v>46095</v>
      </c>
      <c r="B1062" s="156" t="inlineStr">
        <is>
          <t>DT-504</t>
        </is>
      </c>
      <c r="C1062" s="156" t="inlineStr">
        <is>
          <t>Hauler</t>
        </is>
      </c>
      <c r="D1062" s="156" t="inlineStr">
        <is>
          <t>Mining</t>
        </is>
      </c>
      <c r="E1062" s="156" t="inlineStr">
        <is>
          <t>SKT 105S</t>
        </is>
      </c>
      <c r="F1062" s="184" t="n">
        <v>222.9</v>
      </c>
    </row>
    <row r="1063">
      <c r="A1063" s="155" t="n">
        <v>46095</v>
      </c>
      <c r="B1063" s="156" t="inlineStr">
        <is>
          <t>DT-518</t>
        </is>
      </c>
      <c r="C1063" s="156" t="inlineStr">
        <is>
          <t>Hauler</t>
        </is>
      </c>
      <c r="D1063" s="156" t="inlineStr">
        <is>
          <t>Mining</t>
        </is>
      </c>
      <c r="E1063" s="156" t="inlineStr">
        <is>
          <t>SKT 105S</t>
        </is>
      </c>
      <c r="F1063" s="184" t="n">
        <v>143.7</v>
      </c>
    </row>
    <row r="1064">
      <c r="A1064" s="155" t="n">
        <v>46095</v>
      </c>
      <c r="B1064" s="156" t="inlineStr">
        <is>
          <t>DT-523</t>
        </is>
      </c>
      <c r="C1064" s="156" t="inlineStr">
        <is>
          <t>Hauler</t>
        </is>
      </c>
      <c r="D1064" s="156" t="inlineStr">
        <is>
          <t>Mining</t>
        </is>
      </c>
      <c r="E1064" s="156" t="inlineStr">
        <is>
          <t>SKT 105S</t>
        </is>
      </c>
      <c r="F1064" s="184" t="n">
        <v>68</v>
      </c>
    </row>
    <row r="1065">
      <c r="A1065" s="155" t="n">
        <v>46095</v>
      </c>
      <c r="B1065" s="156" t="inlineStr">
        <is>
          <t>DT-527</t>
        </is>
      </c>
      <c r="C1065" s="156" t="inlineStr">
        <is>
          <t>Hauler</t>
        </is>
      </c>
      <c r="D1065" s="156" t="inlineStr">
        <is>
          <t>Mining</t>
        </is>
      </c>
      <c r="E1065" s="156" t="inlineStr">
        <is>
          <t>SKT 105S</t>
        </is>
      </c>
      <c r="F1065" s="184" t="n">
        <v>211.2</v>
      </c>
    </row>
    <row r="1066">
      <c r="A1066" s="155" t="n">
        <v>46095</v>
      </c>
      <c r="B1066" s="156" t="inlineStr">
        <is>
          <t>DT-512</t>
        </is>
      </c>
      <c r="C1066" s="156" t="inlineStr">
        <is>
          <t>Hauler</t>
        </is>
      </c>
      <c r="D1066" s="156" t="inlineStr">
        <is>
          <t>Mining</t>
        </is>
      </c>
      <c r="E1066" s="156" t="inlineStr">
        <is>
          <t>SKT 105S</t>
        </is>
      </c>
      <c r="F1066" s="184" t="n">
        <v>292.8</v>
      </c>
    </row>
    <row r="1067">
      <c r="A1067" s="155" t="n">
        <v>46095</v>
      </c>
      <c r="B1067" s="156" t="inlineStr">
        <is>
          <t>DT-517</t>
        </is>
      </c>
      <c r="C1067" s="156" t="inlineStr">
        <is>
          <t>Hauler</t>
        </is>
      </c>
      <c r="D1067" s="156" t="inlineStr">
        <is>
          <t>Mining</t>
        </is>
      </c>
      <c r="E1067" s="156" t="inlineStr">
        <is>
          <t>SKT 105S</t>
        </is>
      </c>
      <c r="F1067" s="184" t="n">
        <v>469.4</v>
      </c>
    </row>
    <row r="1068">
      <c r="A1068" s="155" t="n">
        <v>46095</v>
      </c>
      <c r="B1068" s="156" t="inlineStr">
        <is>
          <t>DT-510</t>
        </is>
      </c>
      <c r="C1068" s="156" t="inlineStr">
        <is>
          <t>Hauler</t>
        </is>
      </c>
      <c r="D1068" s="156" t="inlineStr">
        <is>
          <t>Mining</t>
        </is>
      </c>
      <c r="E1068" s="156" t="inlineStr">
        <is>
          <t>SKT 105S</t>
        </is>
      </c>
      <c r="F1068" s="184" t="n">
        <v>307.4</v>
      </c>
    </row>
    <row r="1069">
      <c r="A1069" s="155" t="n">
        <v>46095</v>
      </c>
      <c r="B1069" s="156" t="inlineStr">
        <is>
          <t>DT-521</t>
        </is>
      </c>
      <c r="C1069" s="156" t="inlineStr">
        <is>
          <t>Hauler</t>
        </is>
      </c>
      <c r="D1069" s="156" t="inlineStr">
        <is>
          <t>Mining</t>
        </is>
      </c>
      <c r="E1069" s="156" t="inlineStr">
        <is>
          <t>SKT 105S</t>
        </is>
      </c>
      <c r="F1069" s="184" t="n">
        <v>325.9</v>
      </c>
    </row>
    <row r="1070">
      <c r="A1070" s="155" t="n">
        <v>46095</v>
      </c>
      <c r="B1070" s="156" t="inlineStr">
        <is>
          <t>DT-516</t>
        </is>
      </c>
      <c r="C1070" s="156" t="inlineStr">
        <is>
          <t>Hauler</t>
        </is>
      </c>
      <c r="D1070" s="156" t="inlineStr">
        <is>
          <t>Mining</t>
        </is>
      </c>
      <c r="E1070" s="156" t="inlineStr">
        <is>
          <t>SKT 105S</t>
        </is>
      </c>
      <c r="F1070" s="184" t="n">
        <v>337.4</v>
      </c>
    </row>
    <row r="1071">
      <c r="A1071" s="155" t="n">
        <v>46095</v>
      </c>
      <c r="B1071" s="156" t="inlineStr">
        <is>
          <t>DT-506</t>
        </is>
      </c>
      <c r="C1071" s="156" t="inlineStr">
        <is>
          <t>Hauler</t>
        </is>
      </c>
      <c r="D1071" s="156" t="inlineStr">
        <is>
          <t>Mining</t>
        </is>
      </c>
      <c r="E1071" s="156" t="inlineStr">
        <is>
          <t>SKT 105S</t>
        </is>
      </c>
      <c r="F1071" s="184" t="n">
        <v>149.3</v>
      </c>
    </row>
    <row r="1072">
      <c r="A1072" s="155" t="n">
        <v>46095</v>
      </c>
      <c r="B1072" s="156" t="inlineStr">
        <is>
          <t>DT-528</t>
        </is>
      </c>
      <c r="C1072" s="156" t="inlineStr">
        <is>
          <t>Hauler</t>
        </is>
      </c>
      <c r="D1072" s="156" t="inlineStr">
        <is>
          <t>Mining</t>
        </is>
      </c>
      <c r="E1072" s="156" t="inlineStr">
        <is>
          <t>SKT 105S</t>
        </is>
      </c>
      <c r="F1072" s="184" t="n">
        <v>337.7</v>
      </c>
    </row>
    <row r="1073">
      <c r="A1073" s="155" t="n">
        <v>46095</v>
      </c>
      <c r="B1073" s="156" t="inlineStr">
        <is>
          <t>DT-529</t>
        </is>
      </c>
      <c r="C1073" s="156" t="inlineStr">
        <is>
          <t>Hauler</t>
        </is>
      </c>
      <c r="D1073" s="156" t="inlineStr">
        <is>
          <t>Mining</t>
        </is>
      </c>
      <c r="E1073" s="156" t="inlineStr">
        <is>
          <t>SKT 105S</t>
        </is>
      </c>
      <c r="F1073" s="184" t="n">
        <v>230.6</v>
      </c>
    </row>
    <row r="1074">
      <c r="A1074" s="155" t="n">
        <v>46095</v>
      </c>
      <c r="B1074" s="156" t="inlineStr">
        <is>
          <t>DT-520</t>
        </is>
      </c>
      <c r="C1074" s="156" t="inlineStr">
        <is>
          <t>Hauler</t>
        </is>
      </c>
      <c r="D1074" s="156" t="inlineStr">
        <is>
          <t>Mining</t>
        </is>
      </c>
      <c r="E1074" s="156" t="inlineStr">
        <is>
          <t>SKT 105S</t>
        </is>
      </c>
      <c r="F1074" s="184" t="n">
        <v>209.6</v>
      </c>
    </row>
    <row r="1075">
      <c r="A1075" s="155" t="n">
        <v>46095</v>
      </c>
      <c r="B1075" s="156" t="inlineStr">
        <is>
          <t>DT-508</t>
        </is>
      </c>
      <c r="C1075" s="156" t="inlineStr">
        <is>
          <t>Hauler</t>
        </is>
      </c>
      <c r="D1075" s="156" t="inlineStr">
        <is>
          <t>Mining</t>
        </is>
      </c>
      <c r="E1075" s="156" t="inlineStr">
        <is>
          <t>SKT 105S</t>
        </is>
      </c>
      <c r="F1075" s="184" t="n">
        <v>108.3</v>
      </c>
    </row>
    <row r="1076">
      <c r="A1076" s="155" t="n">
        <v>46095</v>
      </c>
      <c r="B1076" s="156" t="inlineStr">
        <is>
          <t>DT-524</t>
        </is>
      </c>
      <c r="C1076" s="156" t="inlineStr">
        <is>
          <t>Hauler</t>
        </is>
      </c>
      <c r="D1076" s="156" t="inlineStr">
        <is>
          <t>Mining</t>
        </is>
      </c>
      <c r="E1076" s="156" t="inlineStr">
        <is>
          <t>SKT 105S</t>
        </is>
      </c>
      <c r="F1076" s="184" t="n">
        <v>382.7</v>
      </c>
    </row>
    <row r="1077">
      <c r="A1077" s="155" t="n">
        <v>46095</v>
      </c>
      <c r="B1077" s="156" t="inlineStr">
        <is>
          <t>HD-903</t>
        </is>
      </c>
      <c r="C1077" s="156" t="inlineStr">
        <is>
          <t>Hauler</t>
        </is>
      </c>
      <c r="D1077" s="156" t="inlineStr">
        <is>
          <t>Mining</t>
        </is>
      </c>
      <c r="E1077" s="156" t="inlineStr">
        <is>
          <t>SRT 95C</t>
        </is>
      </c>
      <c r="F1077" s="184" t="n">
        <v>340.2</v>
      </c>
    </row>
    <row r="1078">
      <c r="A1078" s="155" t="n">
        <v>46095</v>
      </c>
      <c r="B1078" s="156" t="inlineStr">
        <is>
          <t>HD-905</t>
        </is>
      </c>
      <c r="C1078" s="156" t="inlineStr">
        <is>
          <t>Hauler</t>
        </is>
      </c>
      <c r="D1078" s="156" t="inlineStr">
        <is>
          <t>Mining</t>
        </is>
      </c>
      <c r="E1078" s="156" t="inlineStr">
        <is>
          <t>SRT 95C</t>
        </is>
      </c>
      <c r="F1078" s="184" t="n">
        <v>684.9</v>
      </c>
    </row>
    <row r="1079">
      <c r="A1079" s="155" t="n">
        <v>46095</v>
      </c>
      <c r="B1079" s="156" t="inlineStr">
        <is>
          <t>HD-901</t>
        </is>
      </c>
      <c r="C1079" s="156" t="inlineStr">
        <is>
          <t>Hauler</t>
        </is>
      </c>
      <c r="D1079" s="156" t="inlineStr">
        <is>
          <t>Mining</t>
        </is>
      </c>
      <c r="E1079" s="156" t="inlineStr">
        <is>
          <t>SRT 95C</t>
        </is>
      </c>
      <c r="F1079" s="184" t="n">
        <v>752.5</v>
      </c>
    </row>
    <row r="1080">
      <c r="A1080" s="155" t="n">
        <v>46095</v>
      </c>
      <c r="B1080" s="156" t="inlineStr">
        <is>
          <t>HD-902</t>
        </is>
      </c>
      <c r="C1080" s="156" t="inlineStr">
        <is>
          <t>Hauler</t>
        </is>
      </c>
      <c r="D1080" s="156" t="inlineStr">
        <is>
          <t>Mining</t>
        </is>
      </c>
      <c r="E1080" s="156" t="inlineStr">
        <is>
          <t>SRT 95C</t>
        </is>
      </c>
      <c r="F1080" s="184" t="n">
        <v>744.5</v>
      </c>
    </row>
    <row r="1081">
      <c r="A1081" s="155" t="n">
        <v>46095</v>
      </c>
      <c r="B1081" s="156" t="inlineStr">
        <is>
          <t>DH-102</t>
        </is>
      </c>
      <c r="C1081" s="156" t="inlineStr">
        <is>
          <t>DT Hino</t>
        </is>
      </c>
      <c r="D1081" s="156" t="inlineStr">
        <is>
          <t>Mining</t>
        </is>
      </c>
      <c r="E1081" s="156" t="inlineStr">
        <is>
          <t>HINO FM260</t>
        </is>
      </c>
      <c r="F1081" s="184" t="n">
        <v>138</v>
      </c>
    </row>
    <row r="1082">
      <c r="A1082" s="155" t="n">
        <v>46095</v>
      </c>
      <c r="B1082" s="156" t="inlineStr">
        <is>
          <t>HT-413</t>
        </is>
      </c>
      <c r="C1082" s="156" t="inlineStr">
        <is>
          <t>DT Hauling</t>
        </is>
      </c>
      <c r="D1082" s="156" t="inlineStr">
        <is>
          <t>Aux</t>
        </is>
      </c>
      <c r="E1082" s="156" t="inlineStr">
        <is>
          <t>SY430</t>
        </is>
      </c>
      <c r="F1082" s="184" t="n">
        <v>232.5</v>
      </c>
    </row>
    <row r="1083">
      <c r="A1083" s="155" t="n">
        <v>46095</v>
      </c>
      <c r="B1083" s="156" t="inlineStr">
        <is>
          <t>DZ-034</t>
        </is>
      </c>
      <c r="C1083" s="156" t="inlineStr">
        <is>
          <t>Bulldozer</t>
        </is>
      </c>
      <c r="D1083" s="156" t="inlineStr">
        <is>
          <t>Mining</t>
        </is>
      </c>
      <c r="E1083" s="156" t="inlineStr">
        <is>
          <t>D 68ESS-12EO</t>
        </is>
      </c>
      <c r="F1083" s="184" t="n">
        <v>197</v>
      </c>
    </row>
    <row r="1084">
      <c r="A1084" s="155" t="n">
        <v>46095</v>
      </c>
      <c r="B1084" s="156" t="inlineStr">
        <is>
          <t>DZ-033</t>
        </is>
      </c>
      <c r="C1084" s="156" t="inlineStr">
        <is>
          <t>Bulldozer</t>
        </is>
      </c>
      <c r="D1084" s="156" t="inlineStr">
        <is>
          <t>Mining</t>
        </is>
      </c>
      <c r="E1084" s="156" t="inlineStr">
        <is>
          <t>D 375A-6R</t>
        </is>
      </c>
      <c r="F1084" s="184" t="n">
        <v>1343.8</v>
      </c>
    </row>
    <row r="1085">
      <c r="A1085" s="155" t="n">
        <v>46095</v>
      </c>
      <c r="B1085" s="156" t="inlineStr">
        <is>
          <t>DZ-038</t>
        </is>
      </c>
      <c r="C1085" s="156" t="inlineStr">
        <is>
          <t>Bulldozer</t>
        </is>
      </c>
      <c r="D1085" s="156" t="inlineStr">
        <is>
          <t>Mining</t>
        </is>
      </c>
      <c r="E1085" s="156" t="inlineStr">
        <is>
          <t>D 85 ESS-2</t>
        </is>
      </c>
      <c r="F1085" s="184" t="n">
        <v>204.8</v>
      </c>
    </row>
    <row r="1086">
      <c r="A1086" s="155" t="n">
        <v>46095</v>
      </c>
      <c r="B1086" s="156" t="inlineStr">
        <is>
          <t>DZ-036</t>
        </is>
      </c>
      <c r="C1086" s="156" t="inlineStr">
        <is>
          <t>Bulldozer</t>
        </is>
      </c>
      <c r="D1086" s="156" t="inlineStr">
        <is>
          <t>Aux</t>
        </is>
      </c>
      <c r="E1086" s="156" t="inlineStr">
        <is>
          <t>D 85 ESS-2</t>
        </is>
      </c>
      <c r="F1086" s="184" t="n">
        <v>36.1</v>
      </c>
    </row>
    <row r="1087">
      <c r="A1087" s="155" t="n">
        <v>46095</v>
      </c>
      <c r="B1087" s="156" t="inlineStr">
        <is>
          <t>DZ-035</t>
        </is>
      </c>
      <c r="C1087" s="156" t="inlineStr">
        <is>
          <t>Bulldozer</t>
        </is>
      </c>
      <c r="D1087" s="156" t="inlineStr">
        <is>
          <t>Mining</t>
        </is>
      </c>
      <c r="E1087" s="156" t="inlineStr">
        <is>
          <t>D 85 ESS-2</t>
        </is>
      </c>
      <c r="F1087" s="184" t="n">
        <v>397</v>
      </c>
    </row>
    <row r="1088">
      <c r="A1088" s="155" t="n">
        <v>46095</v>
      </c>
      <c r="B1088" s="156" t="inlineStr">
        <is>
          <t>DZ-031</t>
        </is>
      </c>
      <c r="C1088" s="156" t="inlineStr">
        <is>
          <t>Bulldozer</t>
        </is>
      </c>
      <c r="D1088" s="156" t="inlineStr">
        <is>
          <t>Mining</t>
        </is>
      </c>
      <c r="E1088" s="156" t="inlineStr">
        <is>
          <t>CAT</t>
        </is>
      </c>
      <c r="F1088" s="184" t="n">
        <v>521.7</v>
      </c>
    </row>
    <row r="1089">
      <c r="A1089" s="155" t="n">
        <v>46095</v>
      </c>
      <c r="B1089" s="156" t="inlineStr">
        <is>
          <t>GD-014</t>
        </is>
      </c>
      <c r="C1089" s="156" t="inlineStr">
        <is>
          <t>Grader</t>
        </is>
      </c>
      <c r="D1089" s="156" t="inlineStr">
        <is>
          <t>Mining</t>
        </is>
      </c>
      <c r="E1089" s="156" t="inlineStr">
        <is>
          <t>STG 335C - 10</t>
        </is>
      </c>
      <c r="F1089" s="184" t="n">
        <v>334.6</v>
      </c>
    </row>
    <row r="1090">
      <c r="A1090" s="155" t="n">
        <v>46095</v>
      </c>
      <c r="B1090" s="156" t="inlineStr">
        <is>
          <t>CP-041</t>
        </is>
      </c>
      <c r="C1090" s="156" t="inlineStr">
        <is>
          <t>Compactor</t>
        </is>
      </c>
      <c r="D1090" s="156" t="inlineStr">
        <is>
          <t>Mining</t>
        </is>
      </c>
      <c r="E1090" s="156" t="inlineStr">
        <is>
          <t>SANY - Compactor</t>
        </is>
      </c>
      <c r="F1090" s="184" t="n">
        <v>135.4</v>
      </c>
    </row>
    <row r="1091">
      <c r="A1091" s="155" t="n">
        <v>46095</v>
      </c>
      <c r="B1091" s="156" t="inlineStr">
        <is>
          <t>WL-023</t>
        </is>
      </c>
      <c r="C1091" s="156" t="inlineStr">
        <is>
          <t>Loader</t>
        </is>
      </c>
      <c r="D1091" s="156" t="inlineStr">
        <is>
          <t>Aux</t>
        </is>
      </c>
      <c r="E1091" s="156" t="inlineStr">
        <is>
          <t>SANY - Loader</t>
        </is>
      </c>
      <c r="F1091" s="184" t="n">
        <v>166.2</v>
      </c>
    </row>
    <row r="1092">
      <c r="A1092" s="155" t="n">
        <v>46095</v>
      </c>
      <c r="B1092" s="156" t="inlineStr">
        <is>
          <t>LV-06</t>
        </is>
      </c>
      <c r="C1092" s="156" t="inlineStr">
        <is>
          <t>LV &amp; sarana</t>
        </is>
      </c>
      <c r="D1092" s="156" t="inlineStr">
        <is>
          <t>Aux</t>
        </is>
      </c>
      <c r="E1092" s="156" t="inlineStr">
        <is>
          <t>Light vehicle</t>
        </is>
      </c>
      <c r="F1092" s="184" t="n">
        <v>25.9</v>
      </c>
    </row>
    <row r="1093">
      <c r="A1093" s="155" t="n">
        <v>46095</v>
      </c>
      <c r="B1093" s="156" t="inlineStr">
        <is>
          <t>VD-02</t>
        </is>
      </c>
      <c r="C1093" s="156" t="inlineStr">
        <is>
          <t>Vendor</t>
        </is>
      </c>
      <c r="D1093" s="156" t="inlineStr">
        <is>
          <t>Vendor</t>
        </is>
      </c>
      <c r="E1093" s="156" t="inlineStr">
        <is>
          <t>Alat vendor</t>
        </is>
      </c>
      <c r="F1093" s="184" t="n">
        <v>52.5</v>
      </c>
    </row>
    <row r="1094">
      <c r="A1094" s="155" t="n">
        <v>46095</v>
      </c>
      <c r="B1094" s="156" t="inlineStr">
        <is>
          <t>TS-01</t>
        </is>
      </c>
      <c r="C1094" s="156" t="inlineStr">
        <is>
          <t>Truk support</t>
        </is>
      </c>
      <c r="D1094" s="156" t="inlineStr">
        <is>
          <t>Mining</t>
        </is>
      </c>
      <c r="E1094" s="156" t="inlineStr">
        <is>
          <t>Truk support</t>
        </is>
      </c>
      <c r="F1094" s="184" t="n">
        <v>58.8</v>
      </c>
    </row>
    <row r="1095">
      <c r="A1095" s="155" t="n">
        <v>46095</v>
      </c>
      <c r="B1095" s="156" t="inlineStr">
        <is>
          <t>TS-02</t>
        </is>
      </c>
      <c r="C1095" s="156" t="inlineStr">
        <is>
          <t>Truk support</t>
        </is>
      </c>
      <c r="D1095" s="156" t="inlineStr">
        <is>
          <t>Mining</t>
        </is>
      </c>
      <c r="E1095" s="156" t="inlineStr">
        <is>
          <t>Truk support</t>
        </is>
      </c>
      <c r="F1095" s="184" t="n">
        <v>150.3</v>
      </c>
    </row>
    <row r="1096">
      <c r="A1096" s="155" t="n">
        <v>46095</v>
      </c>
      <c r="B1096" s="156" t="inlineStr">
        <is>
          <t>TS-03</t>
        </is>
      </c>
      <c r="C1096" s="156" t="inlineStr">
        <is>
          <t>Truk support</t>
        </is>
      </c>
      <c r="D1096" s="156" t="inlineStr">
        <is>
          <t>Mining</t>
        </is>
      </c>
      <c r="E1096" s="156" t="inlineStr">
        <is>
          <t>Truk support</t>
        </is>
      </c>
      <c r="F1096" s="184" t="n">
        <v>100.9</v>
      </c>
    </row>
    <row r="1097">
      <c r="A1097" s="155" t="n">
        <v>46095</v>
      </c>
      <c r="B1097" s="156" t="inlineStr">
        <is>
          <t>TS-05</t>
        </is>
      </c>
      <c r="C1097" s="156" t="inlineStr">
        <is>
          <t>Truk support</t>
        </is>
      </c>
      <c r="D1097" s="156" t="inlineStr">
        <is>
          <t>Aux</t>
        </is>
      </c>
      <c r="E1097" s="156" t="inlineStr">
        <is>
          <t>Truk support</t>
        </is>
      </c>
      <c r="F1097" s="184" t="n">
        <v>48.1</v>
      </c>
    </row>
    <row r="1098">
      <c r="A1098" s="155" t="n">
        <v>46095</v>
      </c>
      <c r="B1098" s="156" t="inlineStr">
        <is>
          <t>TL-01</t>
        </is>
      </c>
      <c r="C1098" s="156" t="inlineStr">
        <is>
          <t>Tower lamp</t>
        </is>
      </c>
      <c r="D1098" s="156" t="inlineStr">
        <is>
          <t>Mining</t>
        </is>
      </c>
      <c r="E1098" s="156" t="inlineStr">
        <is>
          <t>Tower lamp</t>
        </is>
      </c>
      <c r="F1098" s="184" t="n">
        <v>62.5</v>
      </c>
    </row>
    <row r="1099">
      <c r="A1099" s="155" t="n">
        <v>46095</v>
      </c>
      <c r="B1099" s="156" t="inlineStr">
        <is>
          <t>TL-02</t>
        </is>
      </c>
      <c r="C1099" s="156" t="inlineStr">
        <is>
          <t>Tower lamp</t>
        </is>
      </c>
      <c r="D1099" s="156" t="inlineStr">
        <is>
          <t>Mining</t>
        </is>
      </c>
      <c r="E1099" s="156" t="inlineStr">
        <is>
          <t>Tower lamp</t>
        </is>
      </c>
      <c r="F1099" s="184" t="n">
        <v>38.3</v>
      </c>
    </row>
    <row r="1100">
      <c r="A1100" s="155" t="n">
        <v>46095</v>
      </c>
      <c r="B1100" s="156" t="inlineStr">
        <is>
          <t>TL-04</t>
        </is>
      </c>
      <c r="C1100" s="156" t="inlineStr">
        <is>
          <t>Tower lamp</t>
        </is>
      </c>
      <c r="D1100" s="156" t="inlineStr">
        <is>
          <t>Mining</t>
        </is>
      </c>
      <c r="E1100" s="156" t="inlineStr">
        <is>
          <t>Tower lamp</t>
        </is>
      </c>
      <c r="F1100" s="184" t="n">
        <v>29.7</v>
      </c>
    </row>
    <row r="1101">
      <c r="A1101" s="155" t="n">
        <v>46095</v>
      </c>
      <c r="B1101" s="156" t="inlineStr">
        <is>
          <t>AL-09</t>
        </is>
      </c>
      <c r="C1101" s="156" t="inlineStr">
        <is>
          <t>Alat lain</t>
        </is>
      </c>
      <c r="D1101" s="156" t="inlineStr">
        <is>
          <t>Mining</t>
        </is>
      </c>
      <c r="E1101" s="156" t="inlineStr">
        <is>
          <t>Alat lain</t>
        </is>
      </c>
      <c r="F1101" s="184" t="n">
        <v>22.8</v>
      </c>
    </row>
    <row r="1102">
      <c r="A1102" s="155" t="n">
        <v>46095</v>
      </c>
      <c r="B1102" s="156" t="inlineStr">
        <is>
          <t>AL-10</t>
        </is>
      </c>
      <c r="C1102" s="156" t="inlineStr">
        <is>
          <t>Alat lain</t>
        </is>
      </c>
      <c r="D1102" s="156" t="inlineStr">
        <is>
          <t>Mining</t>
        </is>
      </c>
      <c r="E1102" s="156" t="inlineStr">
        <is>
          <t>Alat lain</t>
        </is>
      </c>
      <c r="F1102" s="184" t="n">
        <v>41.6</v>
      </c>
    </row>
    <row r="1103">
      <c r="A1103" s="155" t="n">
        <v>46095</v>
      </c>
      <c r="B1103" s="156" t="inlineStr">
        <is>
          <t>GS-01</t>
        </is>
      </c>
      <c r="C1103" s="156" t="inlineStr">
        <is>
          <t>Genset</t>
        </is>
      </c>
      <c r="D1103" s="156" t="inlineStr">
        <is>
          <t>Aux</t>
        </is>
      </c>
      <c r="E1103" s="156" t="inlineStr">
        <is>
          <t>Genset</t>
        </is>
      </c>
      <c r="F1103" s="184" t="n">
        <v>211</v>
      </c>
    </row>
    <row r="1104">
      <c r="A1104" s="155" t="n">
        <v>46095</v>
      </c>
      <c r="B1104" s="156" t="inlineStr">
        <is>
          <t>GS-04</t>
        </is>
      </c>
      <c r="C1104" s="156" t="inlineStr">
        <is>
          <t>Genset</t>
        </is>
      </c>
      <c r="D1104" s="156" t="inlineStr">
        <is>
          <t>Aux</t>
        </is>
      </c>
      <c r="E1104" s="156" t="inlineStr">
        <is>
          <t>Genset</t>
        </is>
      </c>
      <c r="F1104" s="184" t="n">
        <v>675.4</v>
      </c>
    </row>
    <row r="1105">
      <c r="A1105" s="155" t="n">
        <v>46095</v>
      </c>
      <c r="B1105" s="156" t="inlineStr">
        <is>
          <t>GS-07</t>
        </is>
      </c>
      <c r="C1105" s="156" t="inlineStr">
        <is>
          <t>Genset</t>
        </is>
      </c>
      <c r="D1105" s="156" t="inlineStr">
        <is>
          <t>Aux</t>
        </is>
      </c>
      <c r="E1105" s="156" t="inlineStr">
        <is>
          <t>Genset</t>
        </is>
      </c>
      <c r="F1105" s="184" t="n">
        <v>0.7</v>
      </c>
    </row>
    <row r="1106">
      <c r="A1106" s="155" t="n">
        <v>46095</v>
      </c>
      <c r="B1106" s="156" t="inlineStr">
        <is>
          <t>GS-08</t>
        </is>
      </c>
      <c r="C1106" s="156" t="inlineStr">
        <is>
          <t>Genset</t>
        </is>
      </c>
      <c r="D1106" s="156" t="inlineStr">
        <is>
          <t>Aux</t>
        </is>
      </c>
      <c r="E1106" s="156" t="inlineStr">
        <is>
          <t>Genset</t>
        </is>
      </c>
      <c r="F1106" s="184" t="n">
        <v>61.9</v>
      </c>
    </row>
    <row r="1107">
      <c r="A1107" s="155" t="n">
        <v>46095</v>
      </c>
      <c r="B1107" s="156" t="inlineStr">
        <is>
          <t>GS-10</t>
        </is>
      </c>
      <c r="C1107" s="156" t="inlineStr">
        <is>
          <t>Genset</t>
        </is>
      </c>
      <c r="D1107" s="156" t="inlineStr">
        <is>
          <t>Aux</t>
        </is>
      </c>
      <c r="E1107" s="156" t="inlineStr">
        <is>
          <t>Genset</t>
        </is>
      </c>
      <c r="F1107" s="184" t="n">
        <v>4394.3</v>
      </c>
    </row>
    <row r="1108">
      <c r="A1108" s="155" t="n">
        <v>46095</v>
      </c>
      <c r="B1108" s="156" t="inlineStr">
        <is>
          <t>GS-11</t>
        </is>
      </c>
      <c r="C1108" s="156" t="inlineStr">
        <is>
          <t>Genset</t>
        </is>
      </c>
      <c r="D1108" s="156" t="inlineStr">
        <is>
          <t>Aux</t>
        </is>
      </c>
      <c r="E1108" s="156" t="inlineStr">
        <is>
          <t>Genset</t>
        </is>
      </c>
      <c r="F1108" s="184" t="n">
        <v>4109.9</v>
      </c>
    </row>
    <row r="1109">
      <c r="A1109" s="155" t="n">
        <v>46095</v>
      </c>
      <c r="B1109" s="156" t="inlineStr">
        <is>
          <t>DT-341</t>
        </is>
      </c>
      <c r="C1109" s="156" t="inlineStr">
        <is>
          <t>Hauler</t>
        </is>
      </c>
      <c r="D1109" s="156" t="inlineStr">
        <is>
          <t>Aux</t>
        </is>
      </c>
      <c r="E1109" s="156" t="inlineStr">
        <is>
          <t>SYZ324C-8W</t>
        </is>
      </c>
      <c r="F1109" s="184" t="n">
        <v>91.2</v>
      </c>
    </row>
    <row r="1110">
      <c r="A1110" s="155" t="n">
        <v>46095</v>
      </c>
      <c r="B1110" s="156" t="inlineStr">
        <is>
          <t>WL-022</t>
        </is>
      </c>
      <c r="C1110" s="156" t="inlineStr">
        <is>
          <t>Loader</t>
        </is>
      </c>
      <c r="D1110" s="156" t="inlineStr">
        <is>
          <t>Aux</t>
        </is>
      </c>
      <c r="E1110" s="156" t="inlineStr">
        <is>
          <t>SANY - Loader</t>
        </is>
      </c>
      <c r="F1110" s="184" t="n">
        <v>287.5</v>
      </c>
    </row>
    <row r="1111">
      <c r="A1111" s="155" t="n">
        <v>46095</v>
      </c>
      <c r="B1111" s="156" t="inlineStr">
        <is>
          <t>WL-024</t>
        </is>
      </c>
      <c r="C1111" s="156" t="inlineStr">
        <is>
          <t>Loader</t>
        </is>
      </c>
      <c r="D1111" s="156" t="inlineStr">
        <is>
          <t>Aux</t>
        </is>
      </c>
      <c r="E1111" s="156" t="inlineStr">
        <is>
          <t>SANY - Loader</t>
        </is>
      </c>
      <c r="F1111" s="184" t="n">
        <v>319.4</v>
      </c>
    </row>
    <row r="1112">
      <c r="A1112" s="155" t="n">
        <v>46095</v>
      </c>
      <c r="B1112" s="156" t="inlineStr">
        <is>
          <t>AL-12</t>
        </is>
      </c>
      <c r="C1112" s="156" t="inlineStr">
        <is>
          <t>Alat lain</t>
        </is>
      </c>
      <c r="D1112" s="156" t="inlineStr">
        <is>
          <t>Aux</t>
        </is>
      </c>
      <c r="E1112" s="156" t="inlineStr">
        <is>
          <t>Alat lain</t>
        </is>
      </c>
      <c r="F1112" s="184" t="n">
        <v>2.3</v>
      </c>
    </row>
    <row r="1113">
      <c r="A1113" s="155" t="n">
        <v>46084</v>
      </c>
      <c r="B1113" s="156" t="inlineStr">
        <is>
          <t>EX-754</t>
        </is>
      </c>
      <c r="C1113" s="156" t="inlineStr">
        <is>
          <t>Excavator</t>
        </is>
      </c>
      <c r="D1113" s="156" t="inlineStr">
        <is>
          <t>Mining</t>
        </is>
      </c>
      <c r="E1113" s="156" t="inlineStr">
        <is>
          <t>SY750H-PRO</t>
        </is>
      </c>
      <c r="F1113" s="184" t="n">
        <v>529.9</v>
      </c>
    </row>
    <row r="1114">
      <c r="A1114" s="155" t="n">
        <v>46084</v>
      </c>
      <c r="B1114" s="156" t="inlineStr">
        <is>
          <t>EX-755</t>
        </is>
      </c>
      <c r="C1114" s="156" t="inlineStr">
        <is>
          <t>Excavator</t>
        </is>
      </c>
      <c r="D1114" s="156" t="inlineStr">
        <is>
          <t>Mining</t>
        </is>
      </c>
      <c r="E1114" s="156" t="inlineStr">
        <is>
          <t>SY750H-PRO</t>
        </is>
      </c>
      <c r="F1114" s="184" t="n">
        <v>495.7</v>
      </c>
    </row>
    <row r="1115">
      <c r="A1115" s="155" t="n">
        <v>46084</v>
      </c>
      <c r="B1115" s="156" t="inlineStr">
        <is>
          <t>EX-334</t>
        </is>
      </c>
      <c r="C1115" s="156" t="inlineStr">
        <is>
          <t>Excavator</t>
        </is>
      </c>
      <c r="D1115" s="156" t="inlineStr">
        <is>
          <t>Mining</t>
        </is>
      </c>
      <c r="E1115" s="156" t="inlineStr">
        <is>
          <t>PC 300-8MO</t>
        </is>
      </c>
      <c r="F1115" s="184" t="n">
        <v>468.4</v>
      </c>
    </row>
    <row r="1116">
      <c r="A1116" s="155" t="n">
        <v>46084</v>
      </c>
      <c r="B1116" s="156" t="inlineStr">
        <is>
          <t>EX-222</t>
        </is>
      </c>
      <c r="C1116" s="156" t="inlineStr">
        <is>
          <t>Excavator</t>
        </is>
      </c>
      <c r="D1116" s="156" t="inlineStr">
        <is>
          <t>Mining</t>
        </is>
      </c>
      <c r="E1116" s="156" t="inlineStr">
        <is>
          <t>PC 200-8MI</t>
        </is>
      </c>
      <c r="F1116" s="184" t="n">
        <v>331.9</v>
      </c>
    </row>
    <row r="1117">
      <c r="A1117" s="155" t="n">
        <v>46084</v>
      </c>
      <c r="B1117" s="156" t="inlineStr">
        <is>
          <t>EX-223</t>
        </is>
      </c>
      <c r="C1117" s="156" t="inlineStr">
        <is>
          <t>Excavator</t>
        </is>
      </c>
      <c r="D1117" s="156" t="inlineStr">
        <is>
          <t>Aux</t>
        </is>
      </c>
      <c r="E1117" s="156" t="inlineStr">
        <is>
          <t>PC 200-8MI</t>
        </is>
      </c>
      <c r="F1117" s="184" t="n">
        <v>147.6</v>
      </c>
    </row>
    <row r="1118">
      <c r="A1118" s="155" t="n">
        <v>46084</v>
      </c>
      <c r="B1118" s="156" t="inlineStr">
        <is>
          <t>EX-335</t>
        </is>
      </c>
      <c r="C1118" s="156" t="inlineStr">
        <is>
          <t>Excavator</t>
        </is>
      </c>
      <c r="D1118" s="156" t="inlineStr">
        <is>
          <t>Mining</t>
        </is>
      </c>
      <c r="E1118" s="156" t="inlineStr">
        <is>
          <t>PC 300-8MO</t>
        </is>
      </c>
      <c r="F1118" s="184" t="n">
        <v>681.1</v>
      </c>
    </row>
    <row r="1119">
      <c r="A1119" s="155" t="n">
        <v>46084</v>
      </c>
      <c r="B1119" s="156" t="inlineStr">
        <is>
          <t>EX-1251</t>
        </is>
      </c>
      <c r="C1119" s="156" t="inlineStr">
        <is>
          <t>Excavator</t>
        </is>
      </c>
      <c r="D1119" s="156" t="inlineStr">
        <is>
          <t>Mining</t>
        </is>
      </c>
      <c r="E1119" s="156" t="inlineStr">
        <is>
          <t>SY1250</t>
        </is>
      </c>
      <c r="F1119" s="184" t="n">
        <v>1494.7</v>
      </c>
    </row>
    <row r="1120">
      <c r="A1120" s="155" t="n">
        <v>46084</v>
      </c>
      <c r="B1120" s="156" t="inlineStr">
        <is>
          <t>EX-2101</t>
        </is>
      </c>
      <c r="C1120" s="156" t="inlineStr">
        <is>
          <t>Excavator</t>
        </is>
      </c>
      <c r="D1120" s="156" t="inlineStr">
        <is>
          <t>Mining</t>
        </is>
      </c>
      <c r="E1120" s="156" t="inlineStr">
        <is>
          <t>SY2000</t>
        </is>
      </c>
      <c r="F1120" s="184" t="n">
        <v>516.5</v>
      </c>
    </row>
    <row r="1121">
      <c r="A1121" s="155" t="n">
        <v>46084</v>
      </c>
      <c r="B1121" s="156" t="inlineStr">
        <is>
          <t>EX-333</t>
        </is>
      </c>
      <c r="C1121" s="156" t="inlineStr">
        <is>
          <t>Excavator</t>
        </is>
      </c>
      <c r="D1121" s="156" t="inlineStr">
        <is>
          <t>Mining</t>
        </is>
      </c>
      <c r="E1121" s="156" t="inlineStr">
        <is>
          <t>PC 300-8MO</t>
        </is>
      </c>
      <c r="F1121" s="184" t="n">
        <v>787.4</v>
      </c>
    </row>
    <row r="1122">
      <c r="A1122" s="155" t="n">
        <v>46084</v>
      </c>
      <c r="B1122" s="156" t="inlineStr">
        <is>
          <t>EX-336</t>
        </is>
      </c>
      <c r="C1122" s="156" t="inlineStr">
        <is>
          <t>Excavator</t>
        </is>
      </c>
      <c r="D1122" s="156" t="inlineStr">
        <is>
          <t>Mining</t>
        </is>
      </c>
      <c r="E1122" s="156" t="inlineStr">
        <is>
          <t>PC 300-8MO</t>
        </is>
      </c>
      <c r="F1122" s="184" t="n">
        <v>275</v>
      </c>
    </row>
    <row r="1123">
      <c r="A1123" s="155" t="n">
        <v>46084</v>
      </c>
      <c r="B1123" s="156" t="inlineStr">
        <is>
          <t>DT-812</t>
        </is>
      </c>
      <c r="C1123" s="156" t="inlineStr">
        <is>
          <t>Hauler</t>
        </is>
      </c>
      <c r="D1123" s="156" t="inlineStr">
        <is>
          <t>Mining</t>
        </is>
      </c>
      <c r="E1123" s="156" t="inlineStr">
        <is>
          <t>SKT 80S</t>
        </is>
      </c>
      <c r="F1123" s="184" t="n">
        <v>250.4</v>
      </c>
    </row>
    <row r="1124">
      <c r="A1124" s="155" t="n">
        <v>46084</v>
      </c>
      <c r="B1124" s="156" t="inlineStr">
        <is>
          <t>DT-810</t>
        </is>
      </c>
      <c r="C1124" s="156" t="inlineStr">
        <is>
          <t>Hauler</t>
        </is>
      </c>
      <c r="D1124" s="156" t="inlineStr">
        <is>
          <t>Mining</t>
        </is>
      </c>
      <c r="E1124" s="156" t="inlineStr">
        <is>
          <t>SKT 80S</t>
        </is>
      </c>
      <c r="F1124" s="184" t="n">
        <v>292.3</v>
      </c>
    </row>
    <row r="1125">
      <c r="A1125" s="155" t="n">
        <v>46084</v>
      </c>
      <c r="B1125" s="156" t="inlineStr">
        <is>
          <t>DT-804</t>
        </is>
      </c>
      <c r="C1125" s="156" t="inlineStr">
        <is>
          <t>Hauler</t>
        </is>
      </c>
      <c r="D1125" s="156" t="inlineStr">
        <is>
          <t>Mining</t>
        </is>
      </c>
      <c r="E1125" s="156" t="inlineStr">
        <is>
          <t>SKT 80S</t>
        </is>
      </c>
      <c r="F1125" s="184" t="n">
        <v>220.6</v>
      </c>
    </row>
    <row r="1126">
      <c r="A1126" s="155" t="n">
        <v>46084</v>
      </c>
      <c r="B1126" s="156" t="inlineStr">
        <is>
          <t>DT-505</t>
        </is>
      </c>
      <c r="C1126" s="156" t="inlineStr">
        <is>
          <t>Hauler</t>
        </is>
      </c>
      <c r="D1126" s="156" t="inlineStr">
        <is>
          <t>Mining</t>
        </is>
      </c>
      <c r="E1126" s="156" t="inlineStr">
        <is>
          <t>SKT 105S</t>
        </is>
      </c>
      <c r="F1126" s="184" t="n">
        <v>345.6</v>
      </c>
    </row>
    <row r="1127">
      <c r="A1127" s="155" t="n">
        <v>46084</v>
      </c>
      <c r="B1127" s="156" t="inlineStr">
        <is>
          <t>DT-503</t>
        </is>
      </c>
      <c r="C1127" s="156" t="inlineStr">
        <is>
          <t>Hauler</t>
        </is>
      </c>
      <c r="D1127" s="156" t="inlineStr">
        <is>
          <t>Mining</t>
        </is>
      </c>
      <c r="E1127" s="156" t="inlineStr">
        <is>
          <t>SKT 105S</t>
        </is>
      </c>
      <c r="F1127" s="184" t="n">
        <v>316.6</v>
      </c>
    </row>
    <row r="1128">
      <c r="A1128" s="155" t="n">
        <v>46084</v>
      </c>
      <c r="B1128" s="156" t="inlineStr">
        <is>
          <t>DT-504</t>
        </is>
      </c>
      <c r="C1128" s="156" t="inlineStr">
        <is>
          <t>Hauler</t>
        </is>
      </c>
      <c r="D1128" s="156" t="inlineStr">
        <is>
          <t>Mining</t>
        </is>
      </c>
      <c r="E1128" s="156" t="inlineStr">
        <is>
          <t>SKT 105S</t>
        </is>
      </c>
      <c r="F1128" s="184" t="n">
        <v>144.8</v>
      </c>
    </row>
    <row r="1129">
      <c r="A1129" s="155" t="n">
        <v>46084</v>
      </c>
      <c r="B1129" s="156" t="inlineStr">
        <is>
          <t>DT-518</t>
        </is>
      </c>
      <c r="C1129" s="156" t="inlineStr">
        <is>
          <t>Hauler</t>
        </is>
      </c>
      <c r="D1129" s="156" t="inlineStr">
        <is>
          <t>Mining</t>
        </is>
      </c>
      <c r="E1129" s="156" t="inlineStr">
        <is>
          <t>SKT 105S</t>
        </is>
      </c>
      <c r="F1129" s="184" t="n">
        <v>159.6</v>
      </c>
    </row>
    <row r="1130">
      <c r="A1130" s="155" t="n">
        <v>46084</v>
      </c>
      <c r="B1130" s="156" t="inlineStr">
        <is>
          <t>DT-523</t>
        </is>
      </c>
      <c r="C1130" s="156" t="inlineStr">
        <is>
          <t>Hauler</t>
        </is>
      </c>
      <c r="D1130" s="156" t="inlineStr">
        <is>
          <t>Mining</t>
        </is>
      </c>
      <c r="E1130" s="156" t="inlineStr">
        <is>
          <t>SKT 105S</t>
        </is>
      </c>
      <c r="F1130" s="184" t="n">
        <v>132.8</v>
      </c>
    </row>
    <row r="1131">
      <c r="A1131" s="155" t="n">
        <v>46084</v>
      </c>
      <c r="B1131" s="156" t="inlineStr">
        <is>
          <t>DT-527</t>
        </is>
      </c>
      <c r="C1131" s="156" t="inlineStr">
        <is>
          <t>Hauler</t>
        </is>
      </c>
      <c r="D1131" s="156" t="inlineStr">
        <is>
          <t>Mining</t>
        </is>
      </c>
      <c r="E1131" s="156" t="inlineStr">
        <is>
          <t>SKT 105S</t>
        </is>
      </c>
      <c r="F1131" s="184" t="n">
        <v>192.8</v>
      </c>
    </row>
    <row r="1132">
      <c r="A1132" s="155" t="n">
        <v>46084</v>
      </c>
      <c r="B1132" s="156" t="inlineStr">
        <is>
          <t>DT-512</t>
        </is>
      </c>
      <c r="C1132" s="156" t="inlineStr">
        <is>
          <t>Hauler</t>
        </is>
      </c>
      <c r="D1132" s="156" t="inlineStr">
        <is>
          <t>Mining</t>
        </is>
      </c>
      <c r="E1132" s="156" t="inlineStr">
        <is>
          <t>SKT 105S</t>
        </is>
      </c>
      <c r="F1132" s="184" t="n">
        <v>318.6</v>
      </c>
    </row>
    <row r="1133">
      <c r="A1133" s="155" t="n">
        <v>46084</v>
      </c>
      <c r="B1133" s="156" t="inlineStr">
        <is>
          <t>DT-510</t>
        </is>
      </c>
      <c r="C1133" s="156" t="inlineStr">
        <is>
          <t>Hauler</t>
        </is>
      </c>
      <c r="D1133" s="156" t="inlineStr">
        <is>
          <t>Mining</t>
        </is>
      </c>
      <c r="E1133" s="156" t="inlineStr">
        <is>
          <t>SKT 105S</t>
        </is>
      </c>
      <c r="F1133" s="184" t="n">
        <v>209.8</v>
      </c>
    </row>
    <row r="1134">
      <c r="A1134" s="155" t="n">
        <v>46084</v>
      </c>
      <c r="B1134" s="156" t="inlineStr">
        <is>
          <t>DT-521</t>
        </is>
      </c>
      <c r="C1134" s="156" t="inlineStr">
        <is>
          <t>Hauler</t>
        </is>
      </c>
      <c r="D1134" s="156" t="inlineStr">
        <is>
          <t>Mining</t>
        </is>
      </c>
      <c r="E1134" s="156" t="inlineStr">
        <is>
          <t>SKT 105S</t>
        </is>
      </c>
      <c r="F1134" s="184" t="n">
        <v>354.7</v>
      </c>
    </row>
    <row r="1135">
      <c r="A1135" s="155" t="n">
        <v>46084</v>
      </c>
      <c r="B1135" s="156" t="inlineStr">
        <is>
          <t>DT-516</t>
        </is>
      </c>
      <c r="C1135" s="156" t="inlineStr">
        <is>
          <t>Hauler</t>
        </is>
      </c>
      <c r="D1135" s="156" t="inlineStr">
        <is>
          <t>Mining</t>
        </is>
      </c>
      <c r="E1135" s="156" t="inlineStr">
        <is>
          <t>SKT 105S</t>
        </is>
      </c>
      <c r="F1135" s="184" t="n">
        <v>274.8</v>
      </c>
    </row>
    <row r="1136">
      <c r="A1136" s="155" t="n">
        <v>46084</v>
      </c>
      <c r="B1136" s="156" t="inlineStr">
        <is>
          <t>DT-506</t>
        </is>
      </c>
      <c r="C1136" s="156" t="inlineStr">
        <is>
          <t>Hauler</t>
        </is>
      </c>
      <c r="D1136" s="156" t="inlineStr">
        <is>
          <t>Mining</t>
        </is>
      </c>
      <c r="E1136" s="156" t="inlineStr">
        <is>
          <t>SKT 105S</t>
        </is>
      </c>
      <c r="F1136" s="184" t="n">
        <v>195.5</v>
      </c>
    </row>
    <row r="1137">
      <c r="A1137" s="155" t="n">
        <v>46084</v>
      </c>
      <c r="B1137" s="156" t="inlineStr">
        <is>
          <t>DT-529</t>
        </is>
      </c>
      <c r="C1137" s="156" t="inlineStr">
        <is>
          <t>Hauler</t>
        </is>
      </c>
      <c r="D1137" s="156" t="inlineStr">
        <is>
          <t>Mining</t>
        </is>
      </c>
      <c r="E1137" s="156" t="inlineStr">
        <is>
          <t>SKT 105S</t>
        </is>
      </c>
      <c r="F1137" s="184" t="n">
        <v>202.4</v>
      </c>
    </row>
    <row r="1138">
      <c r="A1138" s="155" t="n">
        <v>46084</v>
      </c>
      <c r="B1138" s="156" t="inlineStr">
        <is>
          <t>DT-520</t>
        </is>
      </c>
      <c r="C1138" s="156" t="inlineStr">
        <is>
          <t>Hauler</t>
        </is>
      </c>
      <c r="D1138" s="156" t="inlineStr">
        <is>
          <t>Mining</t>
        </is>
      </c>
      <c r="E1138" s="156" t="inlineStr">
        <is>
          <t>SKT 105S</t>
        </is>
      </c>
      <c r="F1138" s="184" t="n">
        <v>329.8</v>
      </c>
    </row>
    <row r="1139">
      <c r="A1139" s="155" t="n">
        <v>46084</v>
      </c>
      <c r="B1139" s="156" t="inlineStr">
        <is>
          <t>DT-526</t>
        </is>
      </c>
      <c r="C1139" s="156" t="inlineStr">
        <is>
          <t>Hauler</t>
        </is>
      </c>
      <c r="D1139" s="156" t="inlineStr">
        <is>
          <t>Mining</t>
        </is>
      </c>
      <c r="E1139" s="156" t="inlineStr">
        <is>
          <t>SKT 105S</t>
        </is>
      </c>
      <c r="F1139" s="184" t="n">
        <v>398.5</v>
      </c>
    </row>
    <row r="1140">
      <c r="A1140" s="155" t="n">
        <v>46084</v>
      </c>
      <c r="B1140" s="156" t="inlineStr">
        <is>
          <t>DT-508</t>
        </is>
      </c>
      <c r="C1140" s="156" t="inlineStr">
        <is>
          <t>Hauler</t>
        </is>
      </c>
      <c r="D1140" s="156" t="inlineStr">
        <is>
          <t>Mining</t>
        </is>
      </c>
      <c r="E1140" s="156" t="inlineStr">
        <is>
          <t>SKT 105S</t>
        </is>
      </c>
      <c r="F1140" s="184" t="n">
        <v>319.8</v>
      </c>
    </row>
    <row r="1141">
      <c r="A1141" s="155" t="n">
        <v>46084</v>
      </c>
      <c r="B1141" s="156" t="inlineStr">
        <is>
          <t>DT-524</t>
        </is>
      </c>
      <c r="C1141" s="156" t="inlineStr">
        <is>
          <t>Hauler</t>
        </is>
      </c>
      <c r="D1141" s="156" t="inlineStr">
        <is>
          <t>Mining</t>
        </is>
      </c>
      <c r="E1141" s="156" t="inlineStr">
        <is>
          <t>SKT 105S</t>
        </is>
      </c>
      <c r="F1141" s="184" t="n">
        <v>269.3</v>
      </c>
    </row>
    <row r="1142">
      <c r="A1142" s="155" t="n">
        <v>46084</v>
      </c>
      <c r="B1142" s="156" t="inlineStr">
        <is>
          <t>HD-903</t>
        </is>
      </c>
      <c r="C1142" s="156" t="inlineStr">
        <is>
          <t>Hauler</t>
        </is>
      </c>
      <c r="D1142" s="156" t="inlineStr">
        <is>
          <t>Mining</t>
        </is>
      </c>
      <c r="E1142" s="156" t="inlineStr">
        <is>
          <t>SRT 95C</t>
        </is>
      </c>
      <c r="F1142" s="184" t="n">
        <v>620.5</v>
      </c>
    </row>
    <row r="1143">
      <c r="A1143" s="155" t="n">
        <v>46084</v>
      </c>
      <c r="B1143" s="156" t="inlineStr">
        <is>
          <t>HD-905</t>
        </is>
      </c>
      <c r="C1143" s="156" t="inlineStr">
        <is>
          <t>Hauler</t>
        </is>
      </c>
      <c r="D1143" s="156" t="inlineStr">
        <is>
          <t>Mining</t>
        </is>
      </c>
      <c r="E1143" s="156" t="inlineStr">
        <is>
          <t>SRT 95C</t>
        </is>
      </c>
      <c r="F1143" s="184" t="n">
        <v>648.3</v>
      </c>
    </row>
    <row r="1144">
      <c r="A1144" s="155" t="n">
        <v>46084</v>
      </c>
      <c r="B1144" s="156" t="inlineStr">
        <is>
          <t>HD-904</t>
        </is>
      </c>
      <c r="C1144" s="156" t="inlineStr">
        <is>
          <t>Hauler</t>
        </is>
      </c>
      <c r="D1144" s="156" t="inlineStr">
        <is>
          <t>Mining</t>
        </is>
      </c>
      <c r="E1144" s="156" t="inlineStr">
        <is>
          <t>SRT 95C</t>
        </is>
      </c>
      <c r="F1144" s="184" t="n">
        <v>667.1</v>
      </c>
    </row>
    <row r="1145">
      <c r="A1145" s="155" t="n">
        <v>46084</v>
      </c>
      <c r="B1145" s="156" t="inlineStr">
        <is>
          <t>HD-902</t>
        </is>
      </c>
      <c r="C1145" s="156" t="inlineStr">
        <is>
          <t>Hauler</t>
        </is>
      </c>
      <c r="D1145" s="156" t="inlineStr">
        <is>
          <t>Mining</t>
        </is>
      </c>
      <c r="E1145" s="156" t="inlineStr">
        <is>
          <t>SRT 95C</t>
        </is>
      </c>
      <c r="F1145" s="184" t="n">
        <v>681.2</v>
      </c>
    </row>
    <row r="1146">
      <c r="A1146" s="155" t="n">
        <v>46084</v>
      </c>
      <c r="B1146" s="156" t="inlineStr">
        <is>
          <t>DZ-034</t>
        </is>
      </c>
      <c r="C1146" s="156" t="inlineStr">
        <is>
          <t>Bulldozer</t>
        </is>
      </c>
      <c r="D1146" s="156" t="inlineStr">
        <is>
          <t>Mining</t>
        </is>
      </c>
      <c r="E1146" s="156" t="inlineStr">
        <is>
          <t>D 68ESS-12EO</t>
        </is>
      </c>
      <c r="F1146" s="184" t="n">
        <v>239.5</v>
      </c>
    </row>
    <row r="1147">
      <c r="A1147" s="155" t="n">
        <v>46084</v>
      </c>
      <c r="B1147" s="156" t="inlineStr">
        <is>
          <t>DZ-033</t>
        </is>
      </c>
      <c r="C1147" s="156" t="inlineStr">
        <is>
          <t>Bulldozer</t>
        </is>
      </c>
      <c r="D1147" s="156" t="inlineStr">
        <is>
          <t>Mining</t>
        </is>
      </c>
      <c r="E1147" s="156" t="inlineStr">
        <is>
          <t>D 375A-6R</t>
        </is>
      </c>
      <c r="F1147" s="184" t="n">
        <v>634.3</v>
      </c>
    </row>
    <row r="1148">
      <c r="A1148" s="155" t="n">
        <v>46084</v>
      </c>
      <c r="B1148" s="156" t="inlineStr">
        <is>
          <t>DZ-035</t>
        </is>
      </c>
      <c r="C1148" s="156" t="inlineStr">
        <is>
          <t>Bulldozer</t>
        </is>
      </c>
      <c r="D1148" s="156" t="inlineStr">
        <is>
          <t>Mining</t>
        </is>
      </c>
      <c r="E1148" s="156" t="inlineStr">
        <is>
          <t>D 85 ESS-2</t>
        </is>
      </c>
      <c r="F1148" s="184" t="n">
        <v>166.1</v>
      </c>
    </row>
    <row r="1149">
      <c r="A1149" s="155" t="n">
        <v>46084</v>
      </c>
      <c r="B1149" s="156" t="inlineStr">
        <is>
          <t>DZ-031</t>
        </is>
      </c>
      <c r="C1149" s="156" t="inlineStr">
        <is>
          <t>Bulldozer</t>
        </is>
      </c>
      <c r="D1149" s="156" t="inlineStr">
        <is>
          <t>Mining</t>
        </is>
      </c>
      <c r="E1149" s="156" t="inlineStr">
        <is>
          <t>CAT</t>
        </is>
      </c>
      <c r="F1149" s="184" t="n">
        <v>356.5</v>
      </c>
    </row>
    <row r="1150">
      <c r="A1150" s="155" t="n">
        <v>46084</v>
      </c>
      <c r="B1150" s="156" t="inlineStr">
        <is>
          <t>GD-013</t>
        </is>
      </c>
      <c r="C1150" s="156" t="inlineStr">
        <is>
          <t>Grader</t>
        </is>
      </c>
      <c r="D1150" s="156" t="inlineStr">
        <is>
          <t>Mining</t>
        </is>
      </c>
      <c r="E1150" s="156" t="inlineStr">
        <is>
          <t>STG 265C - 10</t>
        </is>
      </c>
      <c r="F1150" s="184" t="n">
        <v>281.6</v>
      </c>
    </row>
    <row r="1151">
      <c r="A1151" s="155" t="n">
        <v>46084</v>
      </c>
      <c r="B1151" s="156" t="inlineStr">
        <is>
          <t>GD-014</t>
        </is>
      </c>
      <c r="C1151" s="156" t="inlineStr">
        <is>
          <t>Grader</t>
        </is>
      </c>
      <c r="D1151" s="156" t="inlineStr">
        <is>
          <t>Mining</t>
        </is>
      </c>
      <c r="E1151" s="156" t="inlineStr">
        <is>
          <t>STG 335C - 10</t>
        </is>
      </c>
      <c r="F1151" s="184" t="n">
        <v>226.2</v>
      </c>
    </row>
    <row r="1152">
      <c r="A1152" s="155" t="n">
        <v>46084</v>
      </c>
      <c r="B1152" s="156" t="inlineStr">
        <is>
          <t>CP-041</t>
        </is>
      </c>
      <c r="C1152" s="156" t="inlineStr">
        <is>
          <t>Compactor</t>
        </is>
      </c>
      <c r="D1152" s="156" t="inlineStr">
        <is>
          <t>Mining</t>
        </is>
      </c>
      <c r="E1152" s="156" t="inlineStr">
        <is>
          <t>SANY - Compactor</t>
        </is>
      </c>
      <c r="F1152" s="184" t="n">
        <v>173.7</v>
      </c>
    </row>
    <row r="1153">
      <c r="A1153" s="155" t="n">
        <v>46084</v>
      </c>
      <c r="B1153" s="156" t="inlineStr">
        <is>
          <t>LV-03</t>
        </is>
      </c>
      <c r="C1153" s="156" t="inlineStr">
        <is>
          <t>LV &amp; sarana</t>
        </is>
      </c>
      <c r="D1153" s="156" t="inlineStr">
        <is>
          <t>Aux</t>
        </is>
      </c>
      <c r="E1153" s="156" t="inlineStr">
        <is>
          <t>Light vehicle</t>
        </is>
      </c>
      <c r="F1153" s="184" t="n">
        <v>39.2</v>
      </c>
    </row>
    <row r="1154">
      <c r="A1154" s="155" t="n">
        <v>46084</v>
      </c>
      <c r="B1154" s="156" t="inlineStr">
        <is>
          <t>LV-04</t>
        </is>
      </c>
      <c r="C1154" s="156" t="inlineStr">
        <is>
          <t>LV &amp; sarana</t>
        </is>
      </c>
      <c r="D1154" s="156" t="inlineStr">
        <is>
          <t>Aux</t>
        </is>
      </c>
      <c r="E1154" s="156" t="inlineStr">
        <is>
          <t>Light vehicle</t>
        </is>
      </c>
      <c r="F1154" s="184" t="n">
        <v>47.5</v>
      </c>
    </row>
    <row r="1155">
      <c r="A1155" s="155" t="n">
        <v>46084</v>
      </c>
      <c r="B1155" s="156" t="inlineStr">
        <is>
          <t>LV-06</t>
        </is>
      </c>
      <c r="C1155" s="156" t="inlineStr">
        <is>
          <t>LV &amp; sarana</t>
        </is>
      </c>
      <c r="D1155" s="156" t="inlineStr">
        <is>
          <t>Aux</t>
        </is>
      </c>
      <c r="E1155" s="156" t="inlineStr">
        <is>
          <t>Light vehicle</t>
        </is>
      </c>
      <c r="F1155" s="184" t="n">
        <v>20.3</v>
      </c>
    </row>
    <row r="1156">
      <c r="A1156" s="155" t="n">
        <v>46084</v>
      </c>
      <c r="B1156" s="156" t="inlineStr">
        <is>
          <t>LV-09</t>
        </is>
      </c>
      <c r="C1156" s="156" t="inlineStr">
        <is>
          <t>LV &amp; sarana</t>
        </is>
      </c>
      <c r="D1156" s="156" t="inlineStr">
        <is>
          <t>Aux</t>
        </is>
      </c>
      <c r="E1156" s="156" t="inlineStr">
        <is>
          <t>Light vehicle</t>
        </is>
      </c>
      <c r="F1156" s="184" t="n">
        <v>46.1</v>
      </c>
    </row>
    <row r="1157">
      <c r="A1157" s="155" t="n">
        <v>46084</v>
      </c>
      <c r="B1157" s="156" t="inlineStr">
        <is>
          <t>LV-10</t>
        </is>
      </c>
      <c r="C1157" s="156" t="inlineStr">
        <is>
          <t>LV &amp; sarana</t>
        </is>
      </c>
      <c r="D1157" s="156" t="inlineStr">
        <is>
          <t>Aux</t>
        </is>
      </c>
      <c r="E1157" s="156" t="inlineStr">
        <is>
          <t>Light vehicle</t>
        </is>
      </c>
      <c r="F1157" s="184" t="n">
        <v>48.7</v>
      </c>
    </row>
    <row r="1158">
      <c r="A1158" s="155" t="n">
        <v>46084</v>
      </c>
      <c r="B1158" s="156" t="inlineStr">
        <is>
          <t>LV-11</t>
        </is>
      </c>
      <c r="C1158" s="156" t="inlineStr">
        <is>
          <t>LV &amp; sarana</t>
        </is>
      </c>
      <c r="D1158" s="156" t="inlineStr">
        <is>
          <t>Aux</t>
        </is>
      </c>
      <c r="E1158" s="156" t="inlineStr">
        <is>
          <t>Light vehicle</t>
        </is>
      </c>
      <c r="F1158" s="184" t="n">
        <v>49.9</v>
      </c>
    </row>
    <row r="1159">
      <c r="A1159" s="155" t="n">
        <v>46084</v>
      </c>
      <c r="B1159" s="156" t="inlineStr">
        <is>
          <t>AL-07</t>
        </is>
      </c>
      <c r="C1159" s="156" t="inlineStr">
        <is>
          <t>Alat lain</t>
        </is>
      </c>
      <c r="D1159" s="156" t="inlineStr">
        <is>
          <t>Aux</t>
        </is>
      </c>
      <c r="E1159" s="156" t="inlineStr">
        <is>
          <t>Alat lain</t>
        </is>
      </c>
      <c r="F1159" s="184" t="n">
        <v>45.2</v>
      </c>
    </row>
    <row r="1160">
      <c r="A1160" s="155" t="n">
        <v>46084</v>
      </c>
      <c r="B1160" s="156" t="inlineStr">
        <is>
          <t>AL-09</t>
        </is>
      </c>
      <c r="C1160" s="156" t="inlineStr">
        <is>
          <t>Alat lain</t>
        </is>
      </c>
      <c r="D1160" s="156" t="inlineStr">
        <is>
          <t>Mining</t>
        </is>
      </c>
      <c r="E1160" s="156" t="inlineStr">
        <is>
          <t>Alat lain</t>
        </is>
      </c>
      <c r="F1160" s="184" t="n">
        <v>23</v>
      </c>
    </row>
    <row r="1161">
      <c r="A1161" s="155" t="n">
        <v>46084</v>
      </c>
      <c r="B1161" s="156" t="inlineStr">
        <is>
          <t>GS-02</t>
        </is>
      </c>
      <c r="C1161" s="156" t="inlineStr">
        <is>
          <t>Genset</t>
        </is>
      </c>
      <c r="D1161" s="156" t="inlineStr">
        <is>
          <t>Aux</t>
        </is>
      </c>
      <c r="E1161" s="156" t="inlineStr">
        <is>
          <t>Genset</t>
        </is>
      </c>
      <c r="F1161" s="184" t="n">
        <v>133.9</v>
      </c>
    </row>
    <row r="1162">
      <c r="A1162" s="155" t="n">
        <v>46084</v>
      </c>
      <c r="B1162" s="156" t="inlineStr">
        <is>
          <t>GS-03</t>
        </is>
      </c>
      <c r="C1162" s="156" t="inlineStr">
        <is>
          <t>Genset</t>
        </is>
      </c>
      <c r="D1162" s="156" t="inlineStr">
        <is>
          <t>Aux</t>
        </is>
      </c>
      <c r="E1162" s="156" t="inlineStr">
        <is>
          <t>Genset</t>
        </is>
      </c>
      <c r="F1162" s="184" t="n">
        <v>156.4</v>
      </c>
    </row>
    <row r="1163">
      <c r="A1163" s="155" t="n">
        <v>46084</v>
      </c>
      <c r="B1163" s="156" t="inlineStr">
        <is>
          <t>GS-04</t>
        </is>
      </c>
      <c r="C1163" s="156" t="inlineStr">
        <is>
          <t>Genset</t>
        </is>
      </c>
      <c r="D1163" s="156" t="inlineStr">
        <is>
          <t>Aux</t>
        </is>
      </c>
      <c r="E1163" s="156" t="inlineStr">
        <is>
          <t>Genset</t>
        </is>
      </c>
      <c r="F1163" s="184" t="n">
        <v>706</v>
      </c>
    </row>
    <row r="1164">
      <c r="A1164" s="155" t="n">
        <v>46084</v>
      </c>
      <c r="B1164" s="156" t="inlineStr">
        <is>
          <t>GS-07</t>
        </is>
      </c>
      <c r="C1164" s="156" t="inlineStr">
        <is>
          <t>Genset</t>
        </is>
      </c>
      <c r="D1164" s="156" t="inlineStr">
        <is>
          <t>Aux</t>
        </is>
      </c>
      <c r="E1164" s="156" t="inlineStr">
        <is>
          <t>Genset</t>
        </is>
      </c>
      <c r="F1164" s="184" t="n">
        <v>22.2</v>
      </c>
    </row>
    <row r="1165">
      <c r="A1165" s="155" t="n">
        <v>46084</v>
      </c>
      <c r="B1165" s="156" t="inlineStr">
        <is>
          <t>GS-08</t>
        </is>
      </c>
      <c r="C1165" s="156" t="inlineStr">
        <is>
          <t>Genset</t>
        </is>
      </c>
      <c r="D1165" s="156" t="inlineStr">
        <is>
          <t>Aux</t>
        </is>
      </c>
      <c r="E1165" s="156" t="inlineStr">
        <is>
          <t>Genset</t>
        </is>
      </c>
      <c r="F1165" s="184" t="n">
        <v>65.7</v>
      </c>
    </row>
    <row r="1166">
      <c r="A1166" s="155" t="n">
        <v>46084</v>
      </c>
      <c r="B1166" s="156" t="inlineStr">
        <is>
          <t>WP-03</t>
        </is>
      </c>
      <c r="C1166" s="156" t="inlineStr">
        <is>
          <t>Pompa air</t>
        </is>
      </c>
      <c r="D1166" s="156" t="inlineStr">
        <is>
          <t>Mining</t>
        </is>
      </c>
      <c r="E1166" s="156" t="inlineStr">
        <is>
          <t>Pompa air</t>
        </is>
      </c>
      <c r="F1166" s="184" t="n">
        <v>785.1</v>
      </c>
    </row>
    <row r="1167">
      <c r="A1167" s="155" t="n">
        <v>46084</v>
      </c>
      <c r="B1167" s="156" t="inlineStr">
        <is>
          <t>DT-342</t>
        </is>
      </c>
      <c r="C1167" s="156" t="inlineStr">
        <is>
          <t>Hauler</t>
        </is>
      </c>
      <c r="D1167" s="156" t="inlineStr">
        <is>
          <t>Aux</t>
        </is>
      </c>
      <c r="E1167" s="156" t="inlineStr">
        <is>
          <t>SYZ324C-8W</t>
        </is>
      </c>
      <c r="F1167" s="184" t="n">
        <v>163.5</v>
      </c>
    </row>
    <row r="1168">
      <c r="A1168" s="155" t="n">
        <v>46084</v>
      </c>
      <c r="B1168" s="156" t="inlineStr">
        <is>
          <t>WL-022</t>
        </is>
      </c>
      <c r="C1168" s="156" t="inlineStr">
        <is>
          <t>Loader</t>
        </is>
      </c>
      <c r="D1168" s="156" t="inlineStr">
        <is>
          <t>Aux</t>
        </is>
      </c>
      <c r="E1168" s="156" t="inlineStr">
        <is>
          <t>SANY - Loader</t>
        </is>
      </c>
      <c r="F1168" s="184" t="n">
        <v>244.9</v>
      </c>
    </row>
    <row r="1169">
      <c r="A1169" s="155" t="n">
        <v>46084</v>
      </c>
      <c r="B1169" s="156" t="inlineStr">
        <is>
          <t>WL-024</t>
        </is>
      </c>
      <c r="C1169" s="156" t="inlineStr">
        <is>
          <t>Loader</t>
        </is>
      </c>
      <c r="D1169" s="156" t="inlineStr">
        <is>
          <t>Aux</t>
        </is>
      </c>
      <c r="E1169" s="156" t="inlineStr">
        <is>
          <t>SANY - Loader</t>
        </is>
      </c>
      <c r="F1169" s="184" t="n">
        <v>306.1</v>
      </c>
    </row>
    <row r="1170">
      <c r="A1170" s="155" t="n">
        <v>46097</v>
      </c>
      <c r="B1170" s="156" t="inlineStr">
        <is>
          <t>EX-754</t>
        </is>
      </c>
      <c r="C1170" s="156" t="inlineStr">
        <is>
          <t>Excavator</t>
        </is>
      </c>
      <c r="D1170" s="156" t="inlineStr">
        <is>
          <t>Mining</t>
        </is>
      </c>
      <c r="E1170" s="156" t="inlineStr">
        <is>
          <t>SY750H-PRO</t>
        </is>
      </c>
      <c r="F1170" s="184" t="n">
        <v>811.6</v>
      </c>
    </row>
    <row r="1171">
      <c r="A1171" s="155" t="n">
        <v>46097</v>
      </c>
      <c r="B1171" s="156" t="inlineStr">
        <is>
          <t>EX-755</t>
        </is>
      </c>
      <c r="C1171" s="156" t="inlineStr">
        <is>
          <t>Excavator</t>
        </is>
      </c>
      <c r="D1171" s="156" t="inlineStr">
        <is>
          <t>Mining</t>
        </is>
      </c>
      <c r="E1171" s="156" t="inlineStr">
        <is>
          <t>SY750H-PRO</t>
        </is>
      </c>
      <c r="F1171" s="184" t="n">
        <v>853.6</v>
      </c>
    </row>
    <row r="1172">
      <c r="A1172" s="155" t="n">
        <v>46097</v>
      </c>
      <c r="B1172" s="156" t="inlineStr">
        <is>
          <t>EX-753</t>
        </is>
      </c>
      <c r="C1172" s="156" t="inlineStr">
        <is>
          <t>Excavator</t>
        </is>
      </c>
      <c r="D1172" s="156" t="inlineStr">
        <is>
          <t>Mining</t>
        </is>
      </c>
      <c r="E1172" s="156" t="inlineStr">
        <is>
          <t>SY750H-PRO</t>
        </is>
      </c>
      <c r="F1172" s="184" t="n">
        <v>423</v>
      </c>
    </row>
    <row r="1173">
      <c r="A1173" s="155" t="n">
        <v>46097</v>
      </c>
      <c r="B1173" s="156" t="inlineStr">
        <is>
          <t>EX-334</t>
        </is>
      </c>
      <c r="C1173" s="156" t="inlineStr">
        <is>
          <t>Excavator</t>
        </is>
      </c>
      <c r="D1173" s="156" t="inlineStr">
        <is>
          <t>Mining</t>
        </is>
      </c>
      <c r="E1173" s="156" t="inlineStr">
        <is>
          <t>PC 300-8MO</t>
        </is>
      </c>
      <c r="F1173" s="184" t="n">
        <v>409.7</v>
      </c>
    </row>
    <row r="1174">
      <c r="A1174" s="155" t="n">
        <v>46097</v>
      </c>
      <c r="B1174" s="156" t="inlineStr">
        <is>
          <t>EX-222</t>
        </is>
      </c>
      <c r="C1174" s="156" t="inlineStr">
        <is>
          <t>Excavator</t>
        </is>
      </c>
      <c r="D1174" s="156" t="inlineStr">
        <is>
          <t>Mining</t>
        </is>
      </c>
      <c r="E1174" s="156" t="inlineStr">
        <is>
          <t>PC 200-8MI</t>
        </is>
      </c>
      <c r="F1174" s="184" t="n">
        <v>167.8</v>
      </c>
    </row>
    <row r="1175">
      <c r="A1175" s="155" t="n">
        <v>46097</v>
      </c>
      <c r="B1175" s="156" t="inlineStr">
        <is>
          <t>EX-223</t>
        </is>
      </c>
      <c r="C1175" s="156" t="inlineStr">
        <is>
          <t>Excavator</t>
        </is>
      </c>
      <c r="D1175" s="156" t="inlineStr">
        <is>
          <t>Aux</t>
        </is>
      </c>
      <c r="E1175" s="156" t="inlineStr">
        <is>
          <t>PC 200-8MI</t>
        </is>
      </c>
      <c r="F1175" s="184" t="n">
        <v>228.6</v>
      </c>
    </row>
    <row r="1176">
      <c r="A1176" s="155" t="n">
        <v>46097</v>
      </c>
      <c r="B1176" s="156" t="inlineStr">
        <is>
          <t>EX-221</t>
        </is>
      </c>
      <c r="C1176" s="156" t="inlineStr">
        <is>
          <t>Excavator</t>
        </is>
      </c>
      <c r="D1176" s="156" t="inlineStr">
        <is>
          <t>Aux</t>
        </is>
      </c>
      <c r="E1176" s="156" t="inlineStr">
        <is>
          <t>PC 200-8MI</t>
        </is>
      </c>
      <c r="F1176" s="184" t="n">
        <v>174.3</v>
      </c>
    </row>
    <row r="1177">
      <c r="A1177" s="155" t="n">
        <v>46097</v>
      </c>
      <c r="B1177" s="156" t="inlineStr">
        <is>
          <t>EX-335</t>
        </is>
      </c>
      <c r="C1177" s="156" t="inlineStr">
        <is>
          <t>Excavator</t>
        </is>
      </c>
      <c r="D1177" s="156" t="inlineStr">
        <is>
          <t>Mining</t>
        </is>
      </c>
      <c r="E1177" s="156" t="inlineStr">
        <is>
          <t>PC 300-8MO</t>
        </is>
      </c>
      <c r="F1177" s="184" t="n">
        <v>50.1</v>
      </c>
    </row>
    <row r="1178">
      <c r="A1178" s="155" t="n">
        <v>46097</v>
      </c>
      <c r="B1178" s="156" t="inlineStr">
        <is>
          <t>EX-1251</t>
        </is>
      </c>
      <c r="C1178" s="156" t="inlineStr">
        <is>
          <t>Excavator</t>
        </is>
      </c>
      <c r="D1178" s="156" t="inlineStr">
        <is>
          <t>Mining</t>
        </is>
      </c>
      <c r="E1178" s="156" t="inlineStr">
        <is>
          <t>SY1250</t>
        </is>
      </c>
      <c r="F1178" s="184" t="n">
        <v>426.4</v>
      </c>
    </row>
    <row r="1179">
      <c r="A1179" s="155" t="n">
        <v>46097</v>
      </c>
      <c r="B1179" s="156" t="inlineStr">
        <is>
          <t>EX-2101</t>
        </is>
      </c>
      <c r="C1179" s="156" t="inlineStr">
        <is>
          <t>Excavator</t>
        </is>
      </c>
      <c r="D1179" s="156" t="inlineStr">
        <is>
          <t>Mining</t>
        </is>
      </c>
      <c r="E1179" s="156" t="inlineStr">
        <is>
          <t>SY2000</t>
        </is>
      </c>
      <c r="F1179" s="184" t="n">
        <v>1655.3</v>
      </c>
    </row>
    <row r="1180">
      <c r="A1180" s="155" t="n">
        <v>46097</v>
      </c>
      <c r="B1180" s="156" t="inlineStr">
        <is>
          <t>EX-333</t>
        </is>
      </c>
      <c r="C1180" s="156" t="inlineStr">
        <is>
          <t>Excavator</t>
        </is>
      </c>
      <c r="D1180" s="156" t="inlineStr">
        <is>
          <t>Mining</t>
        </is>
      </c>
      <c r="E1180" s="156" t="inlineStr">
        <is>
          <t>PC 300-8MO</t>
        </is>
      </c>
      <c r="F1180" s="184" t="n">
        <v>324.2</v>
      </c>
    </row>
    <row r="1181">
      <c r="A1181" s="155" t="n">
        <v>46097</v>
      </c>
      <c r="B1181" s="156" t="inlineStr">
        <is>
          <t>DT-808</t>
        </is>
      </c>
      <c r="C1181" s="156" t="inlineStr">
        <is>
          <t>Hauler</t>
        </is>
      </c>
      <c r="D1181" s="156" t="inlineStr">
        <is>
          <t>Mining</t>
        </is>
      </c>
      <c r="E1181" s="156" t="inlineStr">
        <is>
          <t>SKT 80S</t>
        </is>
      </c>
      <c r="F1181" s="184" t="n">
        <v>293.5</v>
      </c>
    </row>
    <row r="1182">
      <c r="A1182" s="155" t="n">
        <v>46097</v>
      </c>
      <c r="B1182" s="156" t="inlineStr">
        <is>
          <t>DT-812</t>
        </is>
      </c>
      <c r="C1182" s="156" t="inlineStr">
        <is>
          <t>Hauler</t>
        </is>
      </c>
      <c r="D1182" s="156" t="inlineStr">
        <is>
          <t>Mining</t>
        </is>
      </c>
      <c r="E1182" s="156" t="inlineStr">
        <is>
          <t>SKT 80S</t>
        </is>
      </c>
      <c r="F1182" s="184" t="n">
        <v>180.6</v>
      </c>
    </row>
    <row r="1183">
      <c r="A1183" s="155" t="n">
        <v>46097</v>
      </c>
      <c r="B1183" s="156" t="inlineStr">
        <is>
          <t>DT-810</t>
        </is>
      </c>
      <c r="C1183" s="156" t="inlineStr">
        <is>
          <t>Hauler</t>
        </is>
      </c>
      <c r="D1183" s="156" t="inlineStr">
        <is>
          <t>Mining</t>
        </is>
      </c>
      <c r="E1183" s="156" t="inlineStr">
        <is>
          <t>SKT 80S</t>
        </is>
      </c>
      <c r="F1183" s="184" t="n">
        <v>179.2</v>
      </c>
    </row>
    <row r="1184">
      <c r="A1184" s="155" t="n">
        <v>46097</v>
      </c>
      <c r="B1184" s="156" t="inlineStr">
        <is>
          <t>DT-505</t>
        </is>
      </c>
      <c r="C1184" s="156" t="inlineStr">
        <is>
          <t>Hauler</t>
        </is>
      </c>
      <c r="D1184" s="156" t="inlineStr">
        <is>
          <t>Mining</t>
        </is>
      </c>
      <c r="E1184" s="156" t="inlineStr">
        <is>
          <t>SKT 105S</t>
        </is>
      </c>
      <c r="F1184" s="184" t="n">
        <v>357.5</v>
      </c>
    </row>
    <row r="1185">
      <c r="A1185" s="155" t="n">
        <v>46097</v>
      </c>
      <c r="B1185" s="156" t="inlineStr">
        <is>
          <t>DT-503</t>
        </is>
      </c>
      <c r="C1185" s="156" t="inlineStr">
        <is>
          <t>Hauler</t>
        </is>
      </c>
      <c r="D1185" s="156" t="inlineStr">
        <is>
          <t>Mining</t>
        </is>
      </c>
      <c r="E1185" s="156" t="inlineStr">
        <is>
          <t>SKT 105S</t>
        </is>
      </c>
      <c r="F1185" s="184" t="n">
        <v>545.6</v>
      </c>
    </row>
    <row r="1186">
      <c r="A1186" s="155" t="n">
        <v>46097</v>
      </c>
      <c r="B1186" s="156" t="inlineStr">
        <is>
          <t>DT-504</t>
        </is>
      </c>
      <c r="C1186" s="156" t="inlineStr">
        <is>
          <t>Hauler</t>
        </is>
      </c>
      <c r="D1186" s="156" t="inlineStr">
        <is>
          <t>Mining</t>
        </is>
      </c>
      <c r="E1186" s="156" t="inlineStr">
        <is>
          <t>SKT 105S</t>
        </is>
      </c>
      <c r="F1186" s="184" t="n">
        <v>257.2</v>
      </c>
    </row>
    <row r="1187">
      <c r="A1187" s="155" t="n">
        <v>46097</v>
      </c>
      <c r="B1187" s="156" t="inlineStr">
        <is>
          <t>DT-501</t>
        </is>
      </c>
      <c r="C1187" s="156" t="inlineStr">
        <is>
          <t>Hauler</t>
        </is>
      </c>
      <c r="D1187" s="156" t="inlineStr">
        <is>
          <t>Mining</t>
        </is>
      </c>
      <c r="E1187" s="156" t="inlineStr">
        <is>
          <t>SKT 105S</t>
        </is>
      </c>
      <c r="F1187" s="184" t="n">
        <v>270.5</v>
      </c>
    </row>
    <row r="1188">
      <c r="A1188" s="155" t="n">
        <v>46097</v>
      </c>
      <c r="B1188" s="156" t="inlineStr">
        <is>
          <t>DT-518</t>
        </is>
      </c>
      <c r="C1188" s="156" t="inlineStr">
        <is>
          <t>Hauler</t>
        </is>
      </c>
      <c r="D1188" s="156" t="inlineStr">
        <is>
          <t>Mining</t>
        </is>
      </c>
      <c r="E1188" s="156" t="inlineStr">
        <is>
          <t>SKT 105S</t>
        </is>
      </c>
      <c r="F1188" s="184" t="n">
        <v>480.9</v>
      </c>
    </row>
    <row r="1189">
      <c r="A1189" s="155" t="n">
        <v>46097</v>
      </c>
      <c r="B1189" s="156" t="inlineStr">
        <is>
          <t>DT-514</t>
        </is>
      </c>
      <c r="C1189" s="156" t="inlineStr">
        <is>
          <t>Hauler</t>
        </is>
      </c>
      <c r="D1189" s="156" t="inlineStr">
        <is>
          <t>Mining</t>
        </is>
      </c>
      <c r="E1189" s="156" t="inlineStr">
        <is>
          <t>SKT 105S</t>
        </is>
      </c>
      <c r="F1189" s="184" t="n">
        <v>213.4</v>
      </c>
    </row>
    <row r="1190">
      <c r="A1190" s="155" t="n">
        <v>46097</v>
      </c>
      <c r="B1190" s="156" t="inlineStr">
        <is>
          <t>DT-523</t>
        </is>
      </c>
      <c r="C1190" s="156" t="inlineStr">
        <is>
          <t>Hauler</t>
        </is>
      </c>
      <c r="D1190" s="156" t="inlineStr">
        <is>
          <t>Mining</t>
        </is>
      </c>
      <c r="E1190" s="156" t="inlineStr">
        <is>
          <t>SKT 105S</t>
        </is>
      </c>
      <c r="F1190" s="184" t="n">
        <v>412.6</v>
      </c>
    </row>
    <row r="1191">
      <c r="A1191" s="155" t="n">
        <v>46097</v>
      </c>
      <c r="B1191" s="156" t="inlineStr">
        <is>
          <t>DT-527</t>
        </is>
      </c>
      <c r="C1191" s="156" t="inlineStr">
        <is>
          <t>Hauler</t>
        </is>
      </c>
      <c r="D1191" s="156" t="inlineStr">
        <is>
          <t>Mining</t>
        </is>
      </c>
      <c r="E1191" s="156" t="inlineStr">
        <is>
          <t>SKT 105S</t>
        </is>
      </c>
      <c r="F1191" s="184" t="n">
        <v>459.6</v>
      </c>
    </row>
    <row r="1192">
      <c r="A1192" s="155" t="n">
        <v>46097</v>
      </c>
      <c r="B1192" s="156" t="inlineStr">
        <is>
          <t>DT-513</t>
        </is>
      </c>
      <c r="C1192" s="156" t="inlineStr">
        <is>
          <t>Hauler</t>
        </is>
      </c>
      <c r="D1192" s="156" t="inlineStr">
        <is>
          <t>Mining</t>
        </is>
      </c>
      <c r="E1192" s="156" t="inlineStr">
        <is>
          <t>SKT 105S</t>
        </is>
      </c>
      <c r="F1192" s="184" t="n">
        <v>196.6</v>
      </c>
    </row>
    <row r="1193">
      <c r="A1193" s="155" t="n">
        <v>46097</v>
      </c>
      <c r="B1193" s="156" t="inlineStr">
        <is>
          <t>DT-512</t>
        </is>
      </c>
      <c r="C1193" s="156" t="inlineStr">
        <is>
          <t>Hauler</t>
        </is>
      </c>
      <c r="D1193" s="156" t="inlineStr">
        <is>
          <t>Mining</t>
        </is>
      </c>
      <c r="E1193" s="156" t="inlineStr">
        <is>
          <t>SKT 105S</t>
        </is>
      </c>
      <c r="F1193" s="184" t="n">
        <v>530.1</v>
      </c>
    </row>
    <row r="1194">
      <c r="A1194" s="155" t="n">
        <v>46097</v>
      </c>
      <c r="B1194" s="156" t="inlineStr">
        <is>
          <t>DT-517</t>
        </is>
      </c>
      <c r="C1194" s="156" t="inlineStr">
        <is>
          <t>Hauler</t>
        </is>
      </c>
      <c r="D1194" s="156" t="inlineStr">
        <is>
          <t>Mining</t>
        </is>
      </c>
      <c r="E1194" s="156" t="inlineStr">
        <is>
          <t>SKT 105S</t>
        </is>
      </c>
      <c r="F1194" s="184" t="n">
        <v>283.8</v>
      </c>
    </row>
    <row r="1195">
      <c r="A1195" s="155" t="n">
        <v>46097</v>
      </c>
      <c r="B1195" s="156" t="inlineStr">
        <is>
          <t>DT-510</t>
        </is>
      </c>
      <c r="C1195" s="156" t="inlineStr">
        <is>
          <t>Hauler</t>
        </is>
      </c>
      <c r="D1195" s="156" t="inlineStr">
        <is>
          <t>Mining</t>
        </is>
      </c>
      <c r="E1195" s="156" t="inlineStr">
        <is>
          <t>SKT 105S</t>
        </is>
      </c>
      <c r="F1195" s="184" t="n">
        <v>437.2</v>
      </c>
    </row>
    <row r="1196">
      <c r="A1196" s="155" t="n">
        <v>46097</v>
      </c>
      <c r="B1196" s="156" t="inlineStr">
        <is>
          <t>DT-521</t>
        </is>
      </c>
      <c r="C1196" s="156" t="inlineStr">
        <is>
          <t>Hauler</t>
        </is>
      </c>
      <c r="D1196" s="156" t="inlineStr">
        <is>
          <t>Mining</t>
        </is>
      </c>
      <c r="E1196" s="156" t="inlineStr">
        <is>
          <t>SKT 105S</t>
        </is>
      </c>
      <c r="F1196" s="184" t="n">
        <v>462.3</v>
      </c>
    </row>
    <row r="1197">
      <c r="A1197" s="155" t="n">
        <v>46097</v>
      </c>
      <c r="B1197" s="156" t="inlineStr">
        <is>
          <t>DT-516</t>
        </is>
      </c>
      <c r="C1197" s="156" t="inlineStr">
        <is>
          <t>Hauler</t>
        </is>
      </c>
      <c r="D1197" s="156" t="inlineStr">
        <is>
          <t>Mining</t>
        </is>
      </c>
      <c r="E1197" s="156" t="inlineStr">
        <is>
          <t>SKT 105S</t>
        </is>
      </c>
      <c r="F1197" s="184" t="n">
        <v>458.8</v>
      </c>
    </row>
    <row r="1198">
      <c r="A1198" s="155" t="n">
        <v>46097</v>
      </c>
      <c r="B1198" s="156" t="inlineStr">
        <is>
          <t>DT-506</t>
        </is>
      </c>
      <c r="C1198" s="156" t="inlineStr">
        <is>
          <t>Hauler</t>
        </is>
      </c>
      <c r="D1198" s="156" t="inlineStr">
        <is>
          <t>Mining</t>
        </is>
      </c>
      <c r="E1198" s="156" t="inlineStr">
        <is>
          <t>SKT 105S</t>
        </is>
      </c>
      <c r="F1198" s="184" t="n">
        <v>279.3</v>
      </c>
    </row>
    <row r="1199">
      <c r="A1199" s="155" t="n">
        <v>46097</v>
      </c>
      <c r="B1199" s="156" t="inlineStr">
        <is>
          <t>DT-529</t>
        </is>
      </c>
      <c r="C1199" s="156" t="inlineStr">
        <is>
          <t>Hauler</t>
        </is>
      </c>
      <c r="D1199" s="156" t="inlineStr">
        <is>
          <t>Mining</t>
        </is>
      </c>
      <c r="E1199" s="156" t="inlineStr">
        <is>
          <t>SKT 105S</t>
        </is>
      </c>
      <c r="F1199" s="184" t="n">
        <v>444.9</v>
      </c>
    </row>
    <row r="1200">
      <c r="A1200" s="155" t="n">
        <v>46097</v>
      </c>
      <c r="B1200" s="156" t="inlineStr">
        <is>
          <t>DT-520</t>
        </is>
      </c>
      <c r="C1200" s="156" t="inlineStr">
        <is>
          <t>Hauler</t>
        </is>
      </c>
      <c r="D1200" s="156" t="inlineStr">
        <is>
          <t>Mining</t>
        </is>
      </c>
      <c r="E1200" s="156" t="inlineStr">
        <is>
          <t>SKT 105S</t>
        </is>
      </c>
      <c r="F1200" s="184" t="n">
        <v>465.5</v>
      </c>
    </row>
    <row r="1201">
      <c r="A1201" s="155" t="n">
        <v>46097</v>
      </c>
      <c r="B1201" s="156" t="inlineStr">
        <is>
          <t>DT-508</t>
        </is>
      </c>
      <c r="C1201" s="156" t="inlineStr">
        <is>
          <t>Hauler</t>
        </is>
      </c>
      <c r="D1201" s="156" t="inlineStr">
        <is>
          <t>Mining</t>
        </is>
      </c>
      <c r="E1201" s="156" t="inlineStr">
        <is>
          <t>SKT 105S</t>
        </is>
      </c>
      <c r="F1201" s="184" t="n">
        <v>500.2</v>
      </c>
    </row>
    <row r="1202">
      <c r="A1202" s="155" t="n">
        <v>46097</v>
      </c>
      <c r="B1202" s="156" t="inlineStr">
        <is>
          <t>DT-524</t>
        </is>
      </c>
      <c r="C1202" s="156" t="inlineStr">
        <is>
          <t>Hauler</t>
        </is>
      </c>
      <c r="D1202" s="156" t="inlineStr">
        <is>
          <t>Mining</t>
        </is>
      </c>
      <c r="E1202" s="156" t="inlineStr">
        <is>
          <t>SKT 105S</t>
        </is>
      </c>
      <c r="F1202" s="184" t="n">
        <v>316.1</v>
      </c>
    </row>
    <row r="1203">
      <c r="A1203" s="155" t="n">
        <v>46097</v>
      </c>
      <c r="B1203" s="156" t="inlineStr">
        <is>
          <t>HD-903</t>
        </is>
      </c>
      <c r="C1203" s="156" t="inlineStr">
        <is>
          <t>Hauler</t>
        </is>
      </c>
      <c r="D1203" s="156" t="inlineStr">
        <is>
          <t>Mining</t>
        </is>
      </c>
      <c r="E1203" s="156" t="inlineStr">
        <is>
          <t>SRT 95C</t>
        </is>
      </c>
      <c r="F1203" s="184" t="n">
        <v>424.6</v>
      </c>
    </row>
    <row r="1204">
      <c r="A1204" s="155" t="n">
        <v>46097</v>
      </c>
      <c r="B1204" s="156" t="inlineStr">
        <is>
          <t>HD-905</t>
        </is>
      </c>
      <c r="C1204" s="156" t="inlineStr">
        <is>
          <t>Hauler</t>
        </is>
      </c>
      <c r="D1204" s="156" t="inlineStr">
        <is>
          <t>Mining</t>
        </is>
      </c>
      <c r="E1204" s="156" t="inlineStr">
        <is>
          <t>SRT 95C</t>
        </is>
      </c>
      <c r="F1204" s="184" t="n">
        <v>459.4</v>
      </c>
    </row>
    <row r="1205">
      <c r="A1205" s="155" t="n">
        <v>46097</v>
      </c>
      <c r="B1205" s="156" t="inlineStr">
        <is>
          <t>HD-901</t>
        </is>
      </c>
      <c r="C1205" s="156" t="inlineStr">
        <is>
          <t>Hauler</t>
        </is>
      </c>
      <c r="D1205" s="156" t="inlineStr">
        <is>
          <t>Mining</t>
        </is>
      </c>
      <c r="E1205" s="156" t="inlineStr">
        <is>
          <t>SRT 95C</t>
        </is>
      </c>
      <c r="F1205" s="184" t="n">
        <v>1053.5</v>
      </c>
    </row>
    <row r="1206">
      <c r="A1206" s="155" t="n">
        <v>46097</v>
      </c>
      <c r="B1206" s="156" t="inlineStr">
        <is>
          <t>HD-904</t>
        </is>
      </c>
      <c r="C1206" s="156" t="inlineStr">
        <is>
          <t>Hauler</t>
        </is>
      </c>
      <c r="D1206" s="156" t="inlineStr">
        <is>
          <t>Mining</t>
        </is>
      </c>
      <c r="E1206" s="156" t="inlineStr">
        <is>
          <t>SRT 95C</t>
        </is>
      </c>
      <c r="F1206" s="184" t="n">
        <v>863.7</v>
      </c>
    </row>
    <row r="1207">
      <c r="A1207" s="155" t="n">
        <v>46097</v>
      </c>
      <c r="B1207" s="156" t="inlineStr">
        <is>
          <t>HD-902</t>
        </is>
      </c>
      <c r="C1207" s="156" t="inlineStr">
        <is>
          <t>Hauler</t>
        </is>
      </c>
      <c r="D1207" s="156" t="inlineStr">
        <is>
          <t>Mining</t>
        </is>
      </c>
      <c r="E1207" s="156" t="inlineStr">
        <is>
          <t>SRT 95C</t>
        </is>
      </c>
      <c r="F1207" s="184" t="n">
        <v>786.3</v>
      </c>
    </row>
    <row r="1208">
      <c r="A1208" s="155" t="n">
        <v>46097</v>
      </c>
      <c r="B1208" s="156" t="inlineStr">
        <is>
          <t>HT-405</t>
        </is>
      </c>
      <c r="C1208" s="156" t="inlineStr">
        <is>
          <t>DT Hauling</t>
        </is>
      </c>
      <c r="D1208" s="156" t="inlineStr">
        <is>
          <t>Aux</t>
        </is>
      </c>
      <c r="E1208" s="156" t="inlineStr">
        <is>
          <t>SY430</t>
        </is>
      </c>
      <c r="F1208" s="184" t="n">
        <v>89.2</v>
      </c>
    </row>
    <row r="1209">
      <c r="A1209" s="155" t="n">
        <v>46097</v>
      </c>
      <c r="B1209" s="156" t="inlineStr">
        <is>
          <t>HT-402</t>
        </is>
      </c>
      <c r="C1209" s="156" t="inlineStr">
        <is>
          <t>DT Hauling</t>
        </is>
      </c>
      <c r="D1209" s="156" t="inlineStr">
        <is>
          <t>Aux</t>
        </is>
      </c>
      <c r="E1209" s="156" t="inlineStr">
        <is>
          <t>SY430</t>
        </is>
      </c>
      <c r="F1209" s="184" t="n">
        <v>73.5</v>
      </c>
    </row>
    <row r="1210">
      <c r="A1210" s="155" t="n">
        <v>46097</v>
      </c>
      <c r="B1210" s="156" t="inlineStr">
        <is>
          <t>HT-416</t>
        </is>
      </c>
      <c r="C1210" s="156" t="inlineStr">
        <is>
          <t>DT Hauling</t>
        </is>
      </c>
      <c r="D1210" s="156" t="inlineStr">
        <is>
          <t>Aux</t>
        </is>
      </c>
      <c r="E1210" s="156" t="inlineStr">
        <is>
          <t>SY430</t>
        </is>
      </c>
      <c r="F1210" s="184" t="n">
        <v>182.9</v>
      </c>
    </row>
    <row r="1211">
      <c r="A1211" s="155" t="n">
        <v>46097</v>
      </c>
      <c r="B1211" s="156" t="inlineStr">
        <is>
          <t>HT-420</t>
        </is>
      </c>
      <c r="C1211" s="156" t="inlineStr">
        <is>
          <t>DT Hauling</t>
        </is>
      </c>
      <c r="D1211" s="156" t="inlineStr">
        <is>
          <t>Aux</t>
        </is>
      </c>
      <c r="E1211" s="156" t="inlineStr">
        <is>
          <t>SY430</t>
        </is>
      </c>
      <c r="F1211" s="184" t="n">
        <v>178.4</v>
      </c>
    </row>
    <row r="1212">
      <c r="A1212" s="155" t="n">
        <v>46097</v>
      </c>
      <c r="B1212" s="156" t="inlineStr">
        <is>
          <t>HT-412</t>
        </is>
      </c>
      <c r="C1212" s="156" t="inlineStr">
        <is>
          <t>DT Hauling</t>
        </is>
      </c>
      <c r="D1212" s="156" t="inlineStr">
        <is>
          <t>Aux</t>
        </is>
      </c>
      <c r="E1212" s="156" t="inlineStr">
        <is>
          <t>SY430</t>
        </is>
      </c>
      <c r="F1212" s="184" t="n">
        <v>126.3</v>
      </c>
    </row>
    <row r="1213">
      <c r="A1213" s="155" t="n">
        <v>46097</v>
      </c>
      <c r="B1213" s="156" t="inlineStr">
        <is>
          <t>HT-407</t>
        </is>
      </c>
      <c r="C1213" s="156" t="inlineStr">
        <is>
          <t>DT Hauling</t>
        </is>
      </c>
      <c r="D1213" s="156" t="inlineStr">
        <is>
          <t>Aux</t>
        </is>
      </c>
      <c r="E1213" s="156" t="inlineStr">
        <is>
          <t>SY430</t>
        </is>
      </c>
      <c r="F1213" s="184" t="n">
        <v>231.7</v>
      </c>
    </row>
    <row r="1214">
      <c r="A1214" s="155" t="n">
        <v>46097</v>
      </c>
      <c r="B1214" s="156" t="inlineStr">
        <is>
          <t>HT-414</t>
        </is>
      </c>
      <c r="C1214" s="156" t="inlineStr">
        <is>
          <t>DT Hauling</t>
        </is>
      </c>
      <c r="D1214" s="156" t="inlineStr">
        <is>
          <t>Aux</t>
        </is>
      </c>
      <c r="E1214" s="156" t="inlineStr">
        <is>
          <t>SY430</t>
        </is>
      </c>
      <c r="F1214" s="184" t="n">
        <v>118.7</v>
      </c>
    </row>
    <row r="1215">
      <c r="A1215" s="155" t="n">
        <v>46097</v>
      </c>
      <c r="B1215" s="156" t="inlineStr">
        <is>
          <t>DZ-034</t>
        </is>
      </c>
      <c r="C1215" s="156" t="inlineStr">
        <is>
          <t>Bulldozer</t>
        </is>
      </c>
      <c r="D1215" s="156" t="inlineStr">
        <is>
          <t>Mining</t>
        </is>
      </c>
      <c r="E1215" s="156" t="inlineStr">
        <is>
          <t>D 68ESS-12EO</t>
        </is>
      </c>
      <c r="F1215" s="184" t="n">
        <v>281.6</v>
      </c>
    </row>
    <row r="1216">
      <c r="A1216" s="155" t="n">
        <v>46097</v>
      </c>
      <c r="B1216" s="156" t="inlineStr">
        <is>
          <t>DZ-033</t>
        </is>
      </c>
      <c r="C1216" s="156" t="inlineStr">
        <is>
          <t>Bulldozer</t>
        </is>
      </c>
      <c r="D1216" s="156" t="inlineStr">
        <is>
          <t>Mining</t>
        </is>
      </c>
      <c r="E1216" s="156" t="inlineStr">
        <is>
          <t>D 375A-6R</t>
        </is>
      </c>
      <c r="F1216" s="184" t="n">
        <v>1329.5</v>
      </c>
    </row>
    <row r="1217">
      <c r="A1217" s="155" t="n">
        <v>46097</v>
      </c>
      <c r="B1217" s="156" t="inlineStr">
        <is>
          <t>DZ-039</t>
        </is>
      </c>
      <c r="C1217" s="156" t="inlineStr">
        <is>
          <t>Bulldozer</t>
        </is>
      </c>
      <c r="D1217" s="156" t="inlineStr">
        <is>
          <t>Mining</t>
        </is>
      </c>
      <c r="E1217" s="156" t="inlineStr">
        <is>
          <t>D 85 ESS-2</t>
        </is>
      </c>
      <c r="F1217" s="184" t="n">
        <v>201.6</v>
      </c>
    </row>
    <row r="1218">
      <c r="A1218" s="155" t="n">
        <v>46097</v>
      </c>
      <c r="B1218" s="156" t="inlineStr">
        <is>
          <t>DZ-035</t>
        </is>
      </c>
      <c r="C1218" s="156" t="inlineStr">
        <is>
          <t>Bulldozer</t>
        </is>
      </c>
      <c r="D1218" s="156" t="inlineStr">
        <is>
          <t>Mining</t>
        </is>
      </c>
      <c r="E1218" s="156" t="inlineStr">
        <is>
          <t>D 85 ESS-2</t>
        </is>
      </c>
      <c r="F1218" s="184" t="n">
        <v>507.5</v>
      </c>
    </row>
    <row r="1219">
      <c r="A1219" s="155" t="n">
        <v>46097</v>
      </c>
      <c r="B1219" s="156" t="inlineStr">
        <is>
          <t>DZ-031</t>
        </is>
      </c>
      <c r="C1219" s="156" t="inlineStr">
        <is>
          <t>Bulldozer</t>
        </is>
      </c>
      <c r="D1219" s="156" t="inlineStr">
        <is>
          <t>Mining</t>
        </is>
      </c>
      <c r="E1219" s="156" t="inlineStr">
        <is>
          <t>CAT</t>
        </is>
      </c>
      <c r="F1219" s="184" t="n">
        <v>453.1</v>
      </c>
    </row>
    <row r="1220">
      <c r="A1220" s="155" t="n">
        <v>46097</v>
      </c>
      <c r="B1220" s="156" t="inlineStr">
        <is>
          <t>GD-012</t>
        </is>
      </c>
      <c r="C1220" s="156" t="inlineStr">
        <is>
          <t>Grader</t>
        </is>
      </c>
      <c r="D1220" s="156" t="inlineStr">
        <is>
          <t>Mining</t>
        </is>
      </c>
      <c r="E1220" s="156" t="inlineStr">
        <is>
          <t>STG 230C - 8S</t>
        </is>
      </c>
      <c r="F1220" s="184" t="n">
        <v>97.59999999999999</v>
      </c>
    </row>
    <row r="1221">
      <c r="A1221" s="155" t="n">
        <v>46097</v>
      </c>
      <c r="B1221" s="156" t="inlineStr">
        <is>
          <t>GD-013</t>
        </is>
      </c>
      <c r="C1221" s="156" t="inlineStr">
        <is>
          <t>Grader</t>
        </is>
      </c>
      <c r="D1221" s="156" t="inlineStr">
        <is>
          <t>Mining</t>
        </is>
      </c>
      <c r="E1221" s="156" t="inlineStr">
        <is>
          <t>STG 265C - 10</t>
        </is>
      </c>
      <c r="F1221" s="184" t="n">
        <v>266.9</v>
      </c>
    </row>
    <row r="1222">
      <c r="A1222" s="155" t="n">
        <v>46097</v>
      </c>
      <c r="B1222" s="156" t="inlineStr">
        <is>
          <t>GD-014</t>
        </is>
      </c>
      <c r="C1222" s="156" t="inlineStr">
        <is>
          <t>Grader</t>
        </is>
      </c>
      <c r="D1222" s="156" t="inlineStr">
        <is>
          <t>Mining</t>
        </is>
      </c>
      <c r="E1222" s="156" t="inlineStr">
        <is>
          <t>STG 335C - 10</t>
        </is>
      </c>
      <c r="F1222" s="184" t="n">
        <v>392.1</v>
      </c>
    </row>
    <row r="1223">
      <c r="A1223" s="155" t="n">
        <v>46097</v>
      </c>
      <c r="B1223" s="156" t="inlineStr">
        <is>
          <t>CP-041</t>
        </is>
      </c>
      <c r="C1223" s="156" t="inlineStr">
        <is>
          <t>Compactor</t>
        </is>
      </c>
      <c r="D1223" s="156" t="inlineStr">
        <is>
          <t>Mining</t>
        </is>
      </c>
      <c r="E1223" s="156" t="inlineStr">
        <is>
          <t>SANY - Compactor</t>
        </is>
      </c>
      <c r="F1223" s="184" t="n">
        <v>168.1</v>
      </c>
    </row>
    <row r="1224">
      <c r="A1224" s="155" t="n">
        <v>46097</v>
      </c>
      <c r="B1224" s="156" t="inlineStr">
        <is>
          <t>WL-025</t>
        </is>
      </c>
      <c r="C1224" s="156" t="inlineStr">
        <is>
          <t>Loader</t>
        </is>
      </c>
      <c r="D1224" s="156" t="inlineStr">
        <is>
          <t>Aux</t>
        </is>
      </c>
      <c r="E1224" s="156" t="inlineStr">
        <is>
          <t>SANY - Loader</t>
        </is>
      </c>
      <c r="F1224" s="184" t="n">
        <v>84.09999999999999</v>
      </c>
    </row>
    <row r="1225">
      <c r="A1225" s="155" t="n">
        <v>46097</v>
      </c>
      <c r="B1225" s="156" t="inlineStr">
        <is>
          <t>WL-023</t>
        </is>
      </c>
      <c r="C1225" s="156" t="inlineStr">
        <is>
          <t>Loader</t>
        </is>
      </c>
      <c r="D1225" s="156" t="inlineStr">
        <is>
          <t>Aux</t>
        </is>
      </c>
      <c r="E1225" s="156" t="inlineStr">
        <is>
          <t>SANY - Loader</t>
        </is>
      </c>
      <c r="F1225" s="184" t="n">
        <v>121.9</v>
      </c>
    </row>
    <row r="1226">
      <c r="A1226" s="155" t="n">
        <v>46097</v>
      </c>
      <c r="B1226" s="156" t="inlineStr">
        <is>
          <t>LV-01</t>
        </is>
      </c>
      <c r="C1226" s="156" t="inlineStr">
        <is>
          <t>LV &amp; sarana</t>
        </is>
      </c>
      <c r="D1226" s="156" t="inlineStr">
        <is>
          <t>Aux</t>
        </is>
      </c>
      <c r="E1226" s="156" t="inlineStr">
        <is>
          <t>Light vehicle</t>
        </is>
      </c>
      <c r="F1226" s="184" t="n">
        <v>37.3</v>
      </c>
    </row>
    <row r="1227">
      <c r="A1227" s="155" t="n">
        <v>46097</v>
      </c>
      <c r="B1227" s="156" t="inlineStr">
        <is>
          <t>LV-03</t>
        </is>
      </c>
      <c r="C1227" s="156" t="inlineStr">
        <is>
          <t>LV &amp; sarana</t>
        </is>
      </c>
      <c r="D1227" s="156" t="inlineStr">
        <is>
          <t>Aux</t>
        </is>
      </c>
      <c r="E1227" s="156" t="inlineStr">
        <is>
          <t>Light vehicle</t>
        </is>
      </c>
      <c r="F1227" s="184" t="n">
        <v>32.7</v>
      </c>
    </row>
    <row r="1228">
      <c r="A1228" s="155" t="n">
        <v>46097</v>
      </c>
      <c r="B1228" s="156" t="inlineStr">
        <is>
          <t>LV-06</t>
        </is>
      </c>
      <c r="C1228" s="156" t="inlineStr">
        <is>
          <t>LV &amp; sarana</t>
        </is>
      </c>
      <c r="D1228" s="156" t="inlineStr">
        <is>
          <t>Aux</t>
        </is>
      </c>
      <c r="E1228" s="156" t="inlineStr">
        <is>
          <t>Light vehicle</t>
        </is>
      </c>
      <c r="F1228" s="184" t="n">
        <v>17.8</v>
      </c>
    </row>
    <row r="1229">
      <c r="A1229" s="155" t="n">
        <v>46097</v>
      </c>
      <c r="B1229" s="156" t="inlineStr">
        <is>
          <t>TS-03</t>
        </is>
      </c>
      <c r="C1229" s="156" t="inlineStr">
        <is>
          <t>Truk support</t>
        </is>
      </c>
      <c r="D1229" s="156" t="inlineStr">
        <is>
          <t>Mining</t>
        </is>
      </c>
      <c r="E1229" s="156" t="inlineStr">
        <is>
          <t>Truk support</t>
        </is>
      </c>
      <c r="F1229" s="184" t="n">
        <v>221.5</v>
      </c>
    </row>
    <row r="1230">
      <c r="A1230" s="155" t="n">
        <v>46097</v>
      </c>
      <c r="B1230" s="156" t="inlineStr">
        <is>
          <t>TS-05</t>
        </is>
      </c>
      <c r="C1230" s="156" t="inlineStr">
        <is>
          <t>Truk support</t>
        </is>
      </c>
      <c r="D1230" s="156" t="inlineStr">
        <is>
          <t>Aux</t>
        </is>
      </c>
      <c r="E1230" s="156" t="inlineStr">
        <is>
          <t>Truk support</t>
        </is>
      </c>
      <c r="F1230" s="184" t="n">
        <v>47.2</v>
      </c>
    </row>
    <row r="1231">
      <c r="A1231" s="155" t="n">
        <v>46097</v>
      </c>
      <c r="B1231" s="156" t="inlineStr">
        <is>
          <t>TS-06</t>
        </is>
      </c>
      <c r="C1231" s="156" t="inlineStr">
        <is>
          <t>Truk support</t>
        </is>
      </c>
      <c r="D1231" s="156" t="inlineStr">
        <is>
          <t>Mining</t>
        </is>
      </c>
      <c r="E1231" s="156" t="inlineStr">
        <is>
          <t>Truk support</t>
        </is>
      </c>
      <c r="F1231" s="184" t="n">
        <v>142.4</v>
      </c>
    </row>
    <row r="1232">
      <c r="A1232" s="155" t="n">
        <v>46097</v>
      </c>
      <c r="B1232" s="156" t="inlineStr">
        <is>
          <t>TL-05</t>
        </is>
      </c>
      <c r="C1232" s="156" t="inlineStr">
        <is>
          <t>Tower lamp</t>
        </is>
      </c>
      <c r="D1232" s="156" t="inlineStr">
        <is>
          <t>Mining</t>
        </is>
      </c>
      <c r="E1232" s="156" t="inlineStr">
        <is>
          <t>Tower lamp</t>
        </is>
      </c>
      <c r="F1232" s="184" t="n">
        <v>51.8</v>
      </c>
    </row>
    <row r="1233">
      <c r="A1233" s="155" t="n">
        <v>46097</v>
      </c>
      <c r="B1233" s="156" t="inlineStr">
        <is>
          <t>AL-09</t>
        </is>
      </c>
      <c r="C1233" s="156" t="inlineStr">
        <is>
          <t>Alat lain</t>
        </is>
      </c>
      <c r="D1233" s="156" t="inlineStr">
        <is>
          <t>Mining</t>
        </is>
      </c>
      <c r="E1233" s="156" t="inlineStr">
        <is>
          <t>Alat lain</t>
        </is>
      </c>
      <c r="F1233" s="184" t="n">
        <v>3.4</v>
      </c>
    </row>
    <row r="1234">
      <c r="A1234" s="155" t="n">
        <v>46097</v>
      </c>
      <c r="B1234" s="156" t="inlineStr">
        <is>
          <t>AL-10</t>
        </is>
      </c>
      <c r="C1234" s="156" t="inlineStr">
        <is>
          <t>Alat lain</t>
        </is>
      </c>
      <c r="D1234" s="156" t="inlineStr">
        <is>
          <t>Mining</t>
        </is>
      </c>
      <c r="E1234" s="156" t="inlineStr">
        <is>
          <t>Alat lain</t>
        </is>
      </c>
      <c r="F1234" s="184" t="n">
        <v>47.2</v>
      </c>
    </row>
    <row r="1235">
      <c r="A1235" s="155" t="n">
        <v>46097</v>
      </c>
      <c r="B1235" s="156" t="inlineStr">
        <is>
          <t>GS-01</t>
        </is>
      </c>
      <c r="C1235" s="156" t="inlineStr">
        <is>
          <t>Genset</t>
        </is>
      </c>
      <c r="D1235" s="156" t="inlineStr">
        <is>
          <t>Aux</t>
        </is>
      </c>
      <c r="E1235" s="156" t="inlineStr">
        <is>
          <t>Genset</t>
        </is>
      </c>
      <c r="F1235" s="184" t="n">
        <v>195.1</v>
      </c>
    </row>
    <row r="1236">
      <c r="A1236" s="155" t="n">
        <v>46097</v>
      </c>
      <c r="B1236" s="156" t="inlineStr">
        <is>
          <t>GS-04</t>
        </is>
      </c>
      <c r="C1236" s="156" t="inlineStr">
        <is>
          <t>Genset</t>
        </is>
      </c>
      <c r="D1236" s="156" t="inlineStr">
        <is>
          <t>Aux</t>
        </is>
      </c>
      <c r="E1236" s="156" t="inlineStr">
        <is>
          <t>Genset</t>
        </is>
      </c>
      <c r="F1236" s="184" t="n">
        <v>717.1</v>
      </c>
    </row>
    <row r="1237">
      <c r="A1237" s="155" t="n">
        <v>46097</v>
      </c>
      <c r="B1237" s="156" t="inlineStr">
        <is>
          <t>GS-08</t>
        </is>
      </c>
      <c r="C1237" s="156" t="inlineStr">
        <is>
          <t>Genset</t>
        </is>
      </c>
      <c r="D1237" s="156" t="inlineStr">
        <is>
          <t>Aux</t>
        </is>
      </c>
      <c r="E1237" s="156" t="inlineStr">
        <is>
          <t>Genset</t>
        </is>
      </c>
      <c r="F1237" s="184" t="n">
        <v>68.8</v>
      </c>
    </row>
    <row r="1238">
      <c r="A1238" s="155" t="n">
        <v>46097</v>
      </c>
      <c r="B1238" s="156" t="inlineStr">
        <is>
          <t>WP-01</t>
        </is>
      </c>
      <c r="C1238" s="156" t="inlineStr">
        <is>
          <t>Pompa air</t>
        </is>
      </c>
      <c r="D1238" s="156" t="inlineStr">
        <is>
          <t>Aux</t>
        </is>
      </c>
      <c r="E1238" s="156" t="inlineStr">
        <is>
          <t>Pompa air</t>
        </is>
      </c>
      <c r="F1238" s="184" t="n">
        <v>14.6</v>
      </c>
    </row>
    <row r="1239">
      <c r="A1239" s="155" t="n">
        <v>46097</v>
      </c>
      <c r="B1239" s="156" t="inlineStr">
        <is>
          <t>WP-05</t>
        </is>
      </c>
      <c r="C1239" s="156" t="inlineStr">
        <is>
          <t>Pompa air</t>
        </is>
      </c>
      <c r="D1239" s="156" t="inlineStr">
        <is>
          <t>Mining</t>
        </is>
      </c>
      <c r="E1239" s="156" t="inlineStr">
        <is>
          <t>Pompa air</t>
        </is>
      </c>
      <c r="F1239" s="184" t="n">
        <v>1309.8</v>
      </c>
    </row>
    <row r="1240">
      <c r="A1240" s="155" t="n">
        <v>46097</v>
      </c>
      <c r="B1240" s="156" t="inlineStr">
        <is>
          <t>DT-341</t>
        </is>
      </c>
      <c r="C1240" s="156" t="inlineStr">
        <is>
          <t>Hauler</t>
        </is>
      </c>
      <c r="D1240" s="156" t="inlineStr">
        <is>
          <t>Aux</t>
        </is>
      </c>
      <c r="E1240" s="156" t="inlineStr">
        <is>
          <t>SYZ324C-8W</t>
        </is>
      </c>
      <c r="F1240" s="184" t="n">
        <v>159.1</v>
      </c>
    </row>
    <row r="1241">
      <c r="A1241" s="155" t="n">
        <v>46097</v>
      </c>
      <c r="B1241" s="156" t="inlineStr">
        <is>
          <t>DT-342</t>
        </is>
      </c>
      <c r="C1241" s="156" t="inlineStr">
        <is>
          <t>Hauler</t>
        </is>
      </c>
      <c r="D1241" s="156" t="inlineStr">
        <is>
          <t>Aux</t>
        </is>
      </c>
      <c r="E1241" s="156" t="inlineStr">
        <is>
          <t>SYZ324C-8W</t>
        </is>
      </c>
      <c r="F1241" s="184" t="n">
        <v>106.6</v>
      </c>
    </row>
    <row r="1242">
      <c r="A1242" s="155" t="n">
        <v>46097</v>
      </c>
      <c r="B1242" s="156" t="inlineStr">
        <is>
          <t>WL-022</t>
        </is>
      </c>
      <c r="C1242" s="156" t="inlineStr">
        <is>
          <t>Loader</t>
        </is>
      </c>
      <c r="D1242" s="156" t="inlineStr">
        <is>
          <t>Aux</t>
        </is>
      </c>
      <c r="E1242" s="156" t="inlineStr">
        <is>
          <t>SANY - Loader</t>
        </is>
      </c>
      <c r="F1242" s="184" t="n">
        <v>258.7</v>
      </c>
    </row>
    <row r="1243">
      <c r="A1243" s="155" t="n">
        <v>46097</v>
      </c>
      <c r="B1243" s="156" t="inlineStr">
        <is>
          <t>WL-024</t>
        </is>
      </c>
      <c r="C1243" s="156" t="inlineStr">
        <is>
          <t>Loader</t>
        </is>
      </c>
      <c r="D1243" s="156" t="inlineStr">
        <is>
          <t>Aux</t>
        </is>
      </c>
      <c r="E1243" s="156" t="inlineStr">
        <is>
          <t>SANY - Loader</t>
        </is>
      </c>
      <c r="F1243" s="184" t="n">
        <v>245.6</v>
      </c>
    </row>
    <row r="1244">
      <c r="A1244" s="155" t="n">
        <v>46097</v>
      </c>
      <c r="B1244" s="156" t="inlineStr">
        <is>
          <t>LV-14</t>
        </is>
      </c>
      <c r="C1244" s="156" t="inlineStr">
        <is>
          <t>LV &amp; sarana</t>
        </is>
      </c>
      <c r="D1244" s="156" t="inlineStr">
        <is>
          <t>Mining</t>
        </is>
      </c>
      <c r="E1244" s="156" t="inlineStr">
        <is>
          <t>Light vehicle</t>
        </is>
      </c>
      <c r="F1244" s="184" t="n">
        <v>50.6</v>
      </c>
    </row>
    <row r="1245">
      <c r="A1245" s="155" t="n">
        <v>46096</v>
      </c>
      <c r="B1245" s="156" t="inlineStr">
        <is>
          <t>EX-754</t>
        </is>
      </c>
      <c r="C1245" s="156" t="inlineStr">
        <is>
          <t>Excavator</t>
        </is>
      </c>
      <c r="D1245" s="156" t="inlineStr">
        <is>
          <t>Mining</t>
        </is>
      </c>
      <c r="E1245" s="156" t="inlineStr">
        <is>
          <t>SY750H-PRO</t>
        </is>
      </c>
      <c r="F1245" s="184" t="n">
        <v>626.5</v>
      </c>
    </row>
    <row r="1246">
      <c r="A1246" s="155" t="n">
        <v>46096</v>
      </c>
      <c r="B1246" s="156" t="inlineStr">
        <is>
          <t>EX-755</t>
        </is>
      </c>
      <c r="C1246" s="156" t="inlineStr">
        <is>
          <t>Excavator</t>
        </is>
      </c>
      <c r="D1246" s="156" t="inlineStr">
        <is>
          <t>Mining</t>
        </is>
      </c>
      <c r="E1246" s="156" t="inlineStr">
        <is>
          <t>SY750H-PRO</t>
        </is>
      </c>
      <c r="F1246" s="184" t="n">
        <v>834.1</v>
      </c>
    </row>
    <row r="1247">
      <c r="A1247" s="155" t="n">
        <v>46096</v>
      </c>
      <c r="B1247" s="156" t="inlineStr">
        <is>
          <t>EX-753</t>
        </is>
      </c>
      <c r="C1247" s="156" t="inlineStr">
        <is>
          <t>Excavator</t>
        </is>
      </c>
      <c r="D1247" s="156" t="inlineStr">
        <is>
          <t>Mining</t>
        </is>
      </c>
      <c r="E1247" s="156" t="inlineStr">
        <is>
          <t>SY750H-PRO</t>
        </is>
      </c>
      <c r="F1247" s="184" t="n">
        <v>882.5</v>
      </c>
    </row>
    <row r="1248">
      <c r="A1248" s="155" t="n">
        <v>46096</v>
      </c>
      <c r="B1248" s="156" t="inlineStr">
        <is>
          <t>EX-334</t>
        </is>
      </c>
      <c r="C1248" s="156" t="inlineStr">
        <is>
          <t>Excavator</t>
        </is>
      </c>
      <c r="D1248" s="156" t="inlineStr">
        <is>
          <t>Mining</t>
        </is>
      </c>
      <c r="E1248" s="156" t="inlineStr">
        <is>
          <t>PC 300-8MO</t>
        </is>
      </c>
      <c r="F1248" s="184" t="n">
        <v>503.9</v>
      </c>
    </row>
    <row r="1249">
      <c r="A1249" s="155" t="n">
        <v>46096</v>
      </c>
      <c r="B1249" s="156" t="inlineStr">
        <is>
          <t>EX-222</t>
        </is>
      </c>
      <c r="C1249" s="156" t="inlineStr">
        <is>
          <t>Excavator</t>
        </is>
      </c>
      <c r="D1249" s="156" t="inlineStr">
        <is>
          <t>Mining</t>
        </is>
      </c>
      <c r="E1249" s="156" t="inlineStr">
        <is>
          <t>PC 200-8MI</t>
        </is>
      </c>
      <c r="F1249" s="184" t="n">
        <v>310.5</v>
      </c>
    </row>
    <row r="1250">
      <c r="A1250" s="155" t="n">
        <v>46096</v>
      </c>
      <c r="B1250" s="156" t="inlineStr">
        <is>
          <t>EX-223</t>
        </is>
      </c>
      <c r="C1250" s="156" t="inlineStr">
        <is>
          <t>Excavator</t>
        </is>
      </c>
      <c r="D1250" s="156" t="inlineStr">
        <is>
          <t>Aux</t>
        </is>
      </c>
      <c r="E1250" s="156" t="inlineStr">
        <is>
          <t>PC 200-8MI</t>
        </is>
      </c>
      <c r="F1250" s="184" t="n">
        <v>266.3</v>
      </c>
    </row>
    <row r="1251">
      <c r="A1251" s="155" t="n">
        <v>46096</v>
      </c>
      <c r="B1251" s="156" t="inlineStr">
        <is>
          <t>EX-1251</t>
        </is>
      </c>
      <c r="C1251" s="156" t="inlineStr">
        <is>
          <t>Excavator</t>
        </is>
      </c>
      <c r="D1251" s="156" t="inlineStr">
        <is>
          <t>Mining</t>
        </is>
      </c>
      <c r="E1251" s="156" t="inlineStr">
        <is>
          <t>SY1250</t>
        </is>
      </c>
      <c r="F1251" s="184" t="n">
        <v>1682.1</v>
      </c>
    </row>
    <row r="1252">
      <c r="A1252" s="155" t="n">
        <v>46096</v>
      </c>
      <c r="B1252" s="156" t="inlineStr">
        <is>
          <t>EX-1252</t>
        </is>
      </c>
      <c r="C1252" s="156" t="inlineStr">
        <is>
          <t>Excavator</t>
        </is>
      </c>
      <c r="D1252" s="156" t="inlineStr">
        <is>
          <t>Mining</t>
        </is>
      </c>
      <c r="E1252" s="156" t="inlineStr">
        <is>
          <t>SY1250</t>
        </is>
      </c>
      <c r="F1252" s="184" t="n">
        <v>978.6</v>
      </c>
    </row>
    <row r="1253">
      <c r="A1253" s="155" t="n">
        <v>46096</v>
      </c>
      <c r="B1253" s="156" t="inlineStr">
        <is>
          <t>EX-333</t>
        </is>
      </c>
      <c r="C1253" s="156" t="inlineStr">
        <is>
          <t>Excavator</t>
        </is>
      </c>
      <c r="D1253" s="156" t="inlineStr">
        <is>
          <t>Mining</t>
        </is>
      </c>
      <c r="E1253" s="156" t="inlineStr">
        <is>
          <t>PC 300-8MO</t>
        </is>
      </c>
      <c r="F1253" s="184" t="n">
        <v>471.1</v>
      </c>
    </row>
    <row r="1254">
      <c r="A1254" s="155" t="n">
        <v>46096</v>
      </c>
      <c r="B1254" s="156" t="inlineStr">
        <is>
          <t>DT-812</t>
        </is>
      </c>
      <c r="C1254" s="156" t="inlineStr">
        <is>
          <t>Hauler</t>
        </is>
      </c>
      <c r="D1254" s="156" t="inlineStr">
        <is>
          <t>Mining</t>
        </is>
      </c>
      <c r="E1254" s="156" t="inlineStr">
        <is>
          <t>SKT 80S</t>
        </is>
      </c>
      <c r="F1254" s="184" t="n">
        <v>91.7</v>
      </c>
    </row>
    <row r="1255">
      <c r="A1255" s="155" t="n">
        <v>46096</v>
      </c>
      <c r="B1255" s="156" t="inlineStr">
        <is>
          <t>DT-505</t>
        </is>
      </c>
      <c r="C1255" s="156" t="inlineStr">
        <is>
          <t>Hauler</t>
        </is>
      </c>
      <c r="D1255" s="156" t="inlineStr">
        <is>
          <t>Mining</t>
        </is>
      </c>
      <c r="E1255" s="156" t="inlineStr">
        <is>
          <t>SKT 105S</t>
        </is>
      </c>
      <c r="F1255" s="184" t="n">
        <v>285</v>
      </c>
    </row>
    <row r="1256">
      <c r="A1256" s="155" t="n">
        <v>46096</v>
      </c>
      <c r="B1256" s="156" t="inlineStr">
        <is>
          <t>DT-503</t>
        </is>
      </c>
      <c r="C1256" s="156" t="inlineStr">
        <is>
          <t>Hauler</t>
        </is>
      </c>
      <c r="D1256" s="156" t="inlineStr">
        <is>
          <t>Mining</t>
        </is>
      </c>
      <c r="E1256" s="156" t="inlineStr">
        <is>
          <t>SKT 105S</t>
        </is>
      </c>
      <c r="F1256" s="184" t="n">
        <v>398.4</v>
      </c>
    </row>
    <row r="1257">
      <c r="A1257" s="155" t="n">
        <v>46096</v>
      </c>
      <c r="B1257" s="156" t="inlineStr">
        <is>
          <t>DT-501</t>
        </is>
      </c>
      <c r="C1257" s="156" t="inlineStr">
        <is>
          <t>Hauler</t>
        </is>
      </c>
      <c r="D1257" s="156" t="inlineStr">
        <is>
          <t>Mining</t>
        </is>
      </c>
      <c r="E1257" s="156" t="inlineStr">
        <is>
          <t>SKT 105S</t>
        </is>
      </c>
      <c r="F1257" s="184" t="n">
        <v>573</v>
      </c>
    </row>
    <row r="1258">
      <c r="A1258" s="155" t="n">
        <v>46096</v>
      </c>
      <c r="B1258" s="156" t="inlineStr">
        <is>
          <t>DT-518</t>
        </is>
      </c>
      <c r="C1258" s="156" t="inlineStr">
        <is>
          <t>Hauler</t>
        </is>
      </c>
      <c r="D1258" s="156" t="inlineStr">
        <is>
          <t>Mining</t>
        </is>
      </c>
      <c r="E1258" s="156" t="inlineStr">
        <is>
          <t>SKT 105S</t>
        </is>
      </c>
      <c r="F1258" s="184" t="n">
        <v>347.6</v>
      </c>
    </row>
    <row r="1259">
      <c r="A1259" s="155" t="n">
        <v>46096</v>
      </c>
      <c r="B1259" s="156" t="inlineStr">
        <is>
          <t>DT-514</t>
        </is>
      </c>
      <c r="C1259" s="156" t="inlineStr">
        <is>
          <t>Hauler</t>
        </is>
      </c>
      <c r="D1259" s="156" t="inlineStr">
        <is>
          <t>Mining</t>
        </is>
      </c>
      <c r="E1259" s="156" t="inlineStr">
        <is>
          <t>SKT 105S</t>
        </is>
      </c>
      <c r="F1259" s="184" t="n">
        <v>252</v>
      </c>
    </row>
    <row r="1260">
      <c r="A1260" s="155" t="n">
        <v>46096</v>
      </c>
      <c r="B1260" s="156" t="inlineStr">
        <is>
          <t>DT-523</t>
        </is>
      </c>
      <c r="C1260" s="156" t="inlineStr">
        <is>
          <t>Hauler</t>
        </is>
      </c>
      <c r="D1260" s="156" t="inlineStr">
        <is>
          <t>Mining</t>
        </is>
      </c>
      <c r="E1260" s="156" t="inlineStr">
        <is>
          <t>SKT 105S</t>
        </is>
      </c>
      <c r="F1260" s="184" t="n">
        <v>332.6</v>
      </c>
    </row>
    <row r="1261">
      <c r="A1261" s="155" t="n">
        <v>46096</v>
      </c>
      <c r="B1261" s="156" t="inlineStr">
        <is>
          <t>DT-519</t>
        </is>
      </c>
      <c r="C1261" s="156" t="inlineStr">
        <is>
          <t>Hauler</t>
        </is>
      </c>
      <c r="D1261" s="156" t="inlineStr">
        <is>
          <t>Mining</t>
        </is>
      </c>
      <c r="E1261" s="156" t="inlineStr">
        <is>
          <t>SKT 105S</t>
        </is>
      </c>
      <c r="F1261" s="184" t="n">
        <v>154.8</v>
      </c>
    </row>
    <row r="1262">
      <c r="A1262" s="155" t="n">
        <v>46096</v>
      </c>
      <c r="B1262" s="156" t="inlineStr">
        <is>
          <t>DT-527</t>
        </is>
      </c>
      <c r="C1262" s="156" t="inlineStr">
        <is>
          <t>Hauler</t>
        </is>
      </c>
      <c r="D1262" s="156" t="inlineStr">
        <is>
          <t>Mining</t>
        </is>
      </c>
      <c r="E1262" s="156" t="inlineStr">
        <is>
          <t>SKT 105S</t>
        </is>
      </c>
      <c r="F1262" s="184" t="n">
        <v>456.3</v>
      </c>
    </row>
    <row r="1263">
      <c r="A1263" s="155" t="n">
        <v>46096</v>
      </c>
      <c r="B1263" s="156" t="inlineStr">
        <is>
          <t>DT-513</t>
        </is>
      </c>
      <c r="C1263" s="156" t="inlineStr">
        <is>
          <t>Hauler</t>
        </is>
      </c>
      <c r="D1263" s="156" t="inlineStr">
        <is>
          <t>Mining</t>
        </is>
      </c>
      <c r="E1263" s="156" t="inlineStr">
        <is>
          <t>SKT 105S</t>
        </is>
      </c>
      <c r="F1263" s="184" t="n">
        <v>321.8</v>
      </c>
    </row>
    <row r="1264">
      <c r="A1264" s="155" t="n">
        <v>46096</v>
      </c>
      <c r="B1264" s="156" t="inlineStr">
        <is>
          <t>DT-512</t>
        </is>
      </c>
      <c r="C1264" s="156" t="inlineStr">
        <is>
          <t>Hauler</t>
        </is>
      </c>
      <c r="D1264" s="156" t="inlineStr">
        <is>
          <t>Mining</t>
        </is>
      </c>
      <c r="E1264" s="156" t="inlineStr">
        <is>
          <t>SKT 105S</t>
        </is>
      </c>
      <c r="F1264" s="184" t="n">
        <v>481</v>
      </c>
    </row>
    <row r="1265">
      <c r="A1265" s="155" t="n">
        <v>46096</v>
      </c>
      <c r="B1265" s="156" t="inlineStr">
        <is>
          <t>DT-522</t>
        </is>
      </c>
      <c r="C1265" s="156" t="inlineStr">
        <is>
          <t>Hauler</t>
        </is>
      </c>
      <c r="D1265" s="156" t="inlineStr">
        <is>
          <t>Mining</t>
        </is>
      </c>
      <c r="E1265" s="156" t="inlineStr">
        <is>
          <t>SKT 105S</t>
        </is>
      </c>
      <c r="F1265" s="184" t="n">
        <v>356.7</v>
      </c>
    </row>
    <row r="1266">
      <c r="A1266" s="155" t="n">
        <v>46096</v>
      </c>
      <c r="B1266" s="156" t="inlineStr">
        <is>
          <t>DT-517</t>
        </is>
      </c>
      <c r="C1266" s="156" t="inlineStr">
        <is>
          <t>Hauler</t>
        </is>
      </c>
      <c r="D1266" s="156" t="inlineStr">
        <is>
          <t>Mining</t>
        </is>
      </c>
      <c r="E1266" s="156" t="inlineStr">
        <is>
          <t>SKT 105S</t>
        </is>
      </c>
      <c r="F1266" s="184" t="n">
        <v>448.2</v>
      </c>
    </row>
    <row r="1267">
      <c r="A1267" s="155" t="n">
        <v>46096</v>
      </c>
      <c r="B1267" s="156" t="inlineStr">
        <is>
          <t>DT-510</t>
        </is>
      </c>
      <c r="C1267" s="156" t="inlineStr">
        <is>
          <t>Hauler</t>
        </is>
      </c>
      <c r="D1267" s="156" t="inlineStr">
        <is>
          <t>Mining</t>
        </is>
      </c>
      <c r="E1267" s="156" t="inlineStr">
        <is>
          <t>SKT 105S</t>
        </is>
      </c>
      <c r="F1267" s="184" t="n">
        <v>465.2</v>
      </c>
    </row>
    <row r="1268">
      <c r="A1268" s="155" t="n">
        <v>46096</v>
      </c>
      <c r="B1268" s="156" t="inlineStr">
        <is>
          <t>DT-521</t>
        </is>
      </c>
      <c r="C1268" s="156" t="inlineStr">
        <is>
          <t>Hauler</t>
        </is>
      </c>
      <c r="D1268" s="156" t="inlineStr">
        <is>
          <t>Mining</t>
        </is>
      </c>
      <c r="E1268" s="156" t="inlineStr">
        <is>
          <t>SKT 105S</t>
        </is>
      </c>
      <c r="F1268" s="184" t="n">
        <v>417.9</v>
      </c>
    </row>
    <row r="1269">
      <c r="A1269" s="155" t="n">
        <v>46096</v>
      </c>
      <c r="B1269" s="156" t="inlineStr">
        <is>
          <t>DT-516</t>
        </is>
      </c>
      <c r="C1269" s="156" t="inlineStr">
        <is>
          <t>Hauler</t>
        </is>
      </c>
      <c r="D1269" s="156" t="inlineStr">
        <is>
          <t>Mining</t>
        </is>
      </c>
      <c r="E1269" s="156" t="inlineStr">
        <is>
          <t>SKT 105S</t>
        </is>
      </c>
      <c r="F1269" s="184" t="n">
        <v>468.7</v>
      </c>
    </row>
    <row r="1270">
      <c r="A1270" s="155" t="n">
        <v>46096</v>
      </c>
      <c r="B1270" s="156" t="inlineStr">
        <is>
          <t>DT-506</t>
        </is>
      </c>
      <c r="C1270" s="156" t="inlineStr">
        <is>
          <t>Hauler</t>
        </is>
      </c>
      <c r="D1270" s="156" t="inlineStr">
        <is>
          <t>Mining</t>
        </is>
      </c>
      <c r="E1270" s="156" t="inlineStr">
        <is>
          <t>SKT 105S</t>
        </is>
      </c>
      <c r="F1270" s="184" t="n">
        <v>393.1</v>
      </c>
    </row>
    <row r="1271">
      <c r="A1271" s="155" t="n">
        <v>46096</v>
      </c>
      <c r="B1271" s="156" t="inlineStr">
        <is>
          <t>DT-529</t>
        </is>
      </c>
      <c r="C1271" s="156" t="inlineStr">
        <is>
          <t>Hauler</t>
        </is>
      </c>
      <c r="D1271" s="156" t="inlineStr">
        <is>
          <t>Mining</t>
        </is>
      </c>
      <c r="E1271" s="156" t="inlineStr">
        <is>
          <t>SKT 105S</t>
        </is>
      </c>
      <c r="F1271" s="184" t="n">
        <v>265</v>
      </c>
    </row>
    <row r="1272">
      <c r="A1272" s="155" t="n">
        <v>46096</v>
      </c>
      <c r="B1272" s="156" t="inlineStr">
        <is>
          <t>DT-508</t>
        </is>
      </c>
      <c r="C1272" s="156" t="inlineStr">
        <is>
          <t>Hauler</t>
        </is>
      </c>
      <c r="D1272" s="156" t="inlineStr">
        <is>
          <t>Mining</t>
        </is>
      </c>
      <c r="E1272" s="156" t="inlineStr">
        <is>
          <t>SKT 105S</t>
        </is>
      </c>
      <c r="F1272" s="184" t="n">
        <v>301.6</v>
      </c>
    </row>
    <row r="1273">
      <c r="A1273" s="155" t="n">
        <v>46096</v>
      </c>
      <c r="B1273" s="156" t="inlineStr">
        <is>
          <t>DT-524</t>
        </is>
      </c>
      <c r="C1273" s="156" t="inlineStr">
        <is>
          <t>Hauler</t>
        </is>
      </c>
      <c r="D1273" s="156" t="inlineStr">
        <is>
          <t>Mining</t>
        </is>
      </c>
      <c r="E1273" s="156" t="inlineStr">
        <is>
          <t>SKT 105S</t>
        </is>
      </c>
      <c r="F1273" s="184" t="n">
        <v>438.8</v>
      </c>
    </row>
    <row r="1274">
      <c r="A1274" s="155" t="n">
        <v>46096</v>
      </c>
      <c r="B1274" s="156" t="inlineStr">
        <is>
          <t>HD-905</t>
        </is>
      </c>
      <c r="C1274" s="156" t="inlineStr">
        <is>
          <t>Hauler</t>
        </is>
      </c>
      <c r="D1274" s="156" t="inlineStr">
        <is>
          <t>Mining</t>
        </is>
      </c>
      <c r="E1274" s="156" t="inlineStr">
        <is>
          <t>SRT 95C</t>
        </is>
      </c>
      <c r="F1274" s="184" t="n">
        <v>532.2</v>
      </c>
    </row>
    <row r="1275">
      <c r="A1275" s="155" t="n">
        <v>46096</v>
      </c>
      <c r="B1275" s="156" t="inlineStr">
        <is>
          <t>HD-901</t>
        </is>
      </c>
      <c r="C1275" s="156" t="inlineStr">
        <is>
          <t>Hauler</t>
        </is>
      </c>
      <c r="D1275" s="156" t="inlineStr">
        <is>
          <t>Mining</t>
        </is>
      </c>
      <c r="E1275" s="156" t="inlineStr">
        <is>
          <t>SRT 95C</t>
        </is>
      </c>
      <c r="F1275" s="184" t="n">
        <v>627.7</v>
      </c>
    </row>
    <row r="1276">
      <c r="A1276" s="155" t="n">
        <v>46096</v>
      </c>
      <c r="B1276" s="156" t="inlineStr">
        <is>
          <t>HD-904</t>
        </is>
      </c>
      <c r="C1276" s="156" t="inlineStr">
        <is>
          <t>Hauler</t>
        </is>
      </c>
      <c r="D1276" s="156" t="inlineStr">
        <is>
          <t>Mining</t>
        </is>
      </c>
      <c r="E1276" s="156" t="inlineStr">
        <is>
          <t>SRT 95C</t>
        </is>
      </c>
      <c r="F1276" s="184" t="n">
        <v>699.1</v>
      </c>
    </row>
    <row r="1277">
      <c r="A1277" s="155" t="n">
        <v>46096</v>
      </c>
      <c r="B1277" s="156" t="inlineStr">
        <is>
          <t>HD-902</t>
        </is>
      </c>
      <c r="C1277" s="156" t="inlineStr">
        <is>
          <t>Hauler</t>
        </is>
      </c>
      <c r="D1277" s="156" t="inlineStr">
        <is>
          <t>Mining</t>
        </is>
      </c>
      <c r="E1277" s="156" t="inlineStr">
        <is>
          <t>SRT 95C</t>
        </is>
      </c>
      <c r="F1277" s="184" t="n">
        <v>623.2</v>
      </c>
    </row>
    <row r="1278">
      <c r="A1278" s="155" t="n">
        <v>46096</v>
      </c>
      <c r="B1278" s="156" t="inlineStr">
        <is>
          <t>DZ-034</t>
        </is>
      </c>
      <c r="C1278" s="156" t="inlineStr">
        <is>
          <t>Bulldozer</t>
        </is>
      </c>
      <c r="D1278" s="156" t="inlineStr">
        <is>
          <t>Mining</t>
        </is>
      </c>
      <c r="E1278" s="156" t="inlineStr">
        <is>
          <t>D 68ESS-12EO</t>
        </is>
      </c>
      <c r="F1278" s="184" t="n">
        <v>351.2</v>
      </c>
    </row>
    <row r="1279">
      <c r="A1279" s="155" t="n">
        <v>46096</v>
      </c>
      <c r="B1279" s="156" t="inlineStr">
        <is>
          <t>DZ-033</t>
        </is>
      </c>
      <c r="C1279" s="156" t="inlineStr">
        <is>
          <t>Bulldozer</t>
        </is>
      </c>
      <c r="D1279" s="156" t="inlineStr">
        <is>
          <t>Mining</t>
        </is>
      </c>
      <c r="E1279" s="156" t="inlineStr">
        <is>
          <t>D 375A-6R</t>
        </is>
      </c>
      <c r="F1279" s="184" t="n">
        <v>606.2</v>
      </c>
    </row>
    <row r="1280">
      <c r="A1280" s="155" t="n">
        <v>46096</v>
      </c>
      <c r="B1280" s="156" t="inlineStr">
        <is>
          <t>DZ-039</t>
        </is>
      </c>
      <c r="C1280" s="156" t="inlineStr">
        <is>
          <t>Bulldozer</t>
        </is>
      </c>
      <c r="D1280" s="156" t="inlineStr">
        <is>
          <t>Mining</t>
        </is>
      </c>
      <c r="E1280" s="156" t="inlineStr">
        <is>
          <t>D 85 ESS-2</t>
        </is>
      </c>
      <c r="F1280" s="184" t="n">
        <v>395.2</v>
      </c>
    </row>
    <row r="1281">
      <c r="A1281" s="155" t="n">
        <v>46096</v>
      </c>
      <c r="B1281" s="156" t="inlineStr">
        <is>
          <t>DZ-035</t>
        </is>
      </c>
      <c r="C1281" s="156" t="inlineStr">
        <is>
          <t>Bulldozer</t>
        </is>
      </c>
      <c r="D1281" s="156" t="inlineStr">
        <is>
          <t>Mining</t>
        </is>
      </c>
      <c r="E1281" s="156" t="inlineStr">
        <is>
          <t>D 85 ESS-2</t>
        </is>
      </c>
      <c r="F1281" s="184" t="n">
        <v>217.5</v>
      </c>
    </row>
    <row r="1282">
      <c r="A1282" s="155" t="n">
        <v>46096</v>
      </c>
      <c r="B1282" s="156" t="inlineStr">
        <is>
          <t>DZ-031</t>
        </is>
      </c>
      <c r="C1282" s="156" t="inlineStr">
        <is>
          <t>Bulldozer</t>
        </is>
      </c>
      <c r="D1282" s="156" t="inlineStr">
        <is>
          <t>Mining</t>
        </is>
      </c>
      <c r="E1282" s="156" t="inlineStr">
        <is>
          <t>CAT</t>
        </is>
      </c>
      <c r="F1282" s="184" t="n">
        <v>582.4</v>
      </c>
    </row>
    <row r="1283">
      <c r="A1283" s="155" t="n">
        <v>46096</v>
      </c>
      <c r="B1283" s="156" t="inlineStr">
        <is>
          <t>GD-013</t>
        </is>
      </c>
      <c r="C1283" s="156" t="inlineStr">
        <is>
          <t>Grader</t>
        </is>
      </c>
      <c r="D1283" s="156" t="inlineStr">
        <is>
          <t>Mining</t>
        </is>
      </c>
      <c r="E1283" s="156" t="inlineStr">
        <is>
          <t>STG 265C - 10</t>
        </is>
      </c>
      <c r="F1283" s="184" t="n">
        <v>242.8</v>
      </c>
    </row>
    <row r="1284">
      <c r="A1284" s="155" t="n">
        <v>46096</v>
      </c>
      <c r="B1284" s="156" t="inlineStr">
        <is>
          <t>GD-014</t>
        </is>
      </c>
      <c r="C1284" s="156" t="inlineStr">
        <is>
          <t>Grader</t>
        </is>
      </c>
      <c r="D1284" s="156" t="inlineStr">
        <is>
          <t>Mining</t>
        </is>
      </c>
      <c r="E1284" s="156" t="inlineStr">
        <is>
          <t>STG 335C - 10</t>
        </is>
      </c>
      <c r="F1284" s="184" t="n">
        <v>391.7</v>
      </c>
    </row>
    <row r="1285">
      <c r="A1285" s="155" t="n">
        <v>46096</v>
      </c>
      <c r="B1285" s="156" t="inlineStr">
        <is>
          <t>CP-041</t>
        </is>
      </c>
      <c r="C1285" s="156" t="inlineStr">
        <is>
          <t>Compactor</t>
        </is>
      </c>
      <c r="D1285" s="156" t="inlineStr">
        <is>
          <t>Mining</t>
        </is>
      </c>
      <c r="E1285" s="156" t="inlineStr">
        <is>
          <t>SANY - Compactor</t>
        </is>
      </c>
      <c r="F1285" s="184" t="n">
        <v>223.7</v>
      </c>
    </row>
    <row r="1286">
      <c r="A1286" s="155" t="n">
        <v>46096</v>
      </c>
      <c r="B1286" s="156" t="inlineStr">
        <is>
          <t>WL-023</t>
        </is>
      </c>
      <c r="C1286" s="156" t="inlineStr">
        <is>
          <t>Loader</t>
        </is>
      </c>
      <c r="D1286" s="156" t="inlineStr">
        <is>
          <t>Aux</t>
        </is>
      </c>
      <c r="E1286" s="156" t="inlineStr">
        <is>
          <t>SANY - Loader</t>
        </is>
      </c>
      <c r="F1286" s="184" t="n">
        <v>151.1</v>
      </c>
    </row>
    <row r="1287">
      <c r="A1287" s="155" t="n">
        <v>46096</v>
      </c>
      <c r="B1287" s="156" t="inlineStr">
        <is>
          <t>LV-04</t>
        </is>
      </c>
      <c r="C1287" s="156" t="inlineStr">
        <is>
          <t>LV &amp; sarana</t>
        </is>
      </c>
      <c r="D1287" s="156" t="inlineStr">
        <is>
          <t>Aux</t>
        </is>
      </c>
      <c r="E1287" s="156" t="inlineStr">
        <is>
          <t>Light vehicle</t>
        </is>
      </c>
      <c r="F1287" s="184" t="n">
        <v>52.3</v>
      </c>
    </row>
    <row r="1288">
      <c r="A1288" s="155" t="n">
        <v>46096</v>
      </c>
      <c r="B1288" s="156" t="inlineStr">
        <is>
          <t>LV-06</t>
        </is>
      </c>
      <c r="C1288" s="156" t="inlineStr">
        <is>
          <t>LV &amp; sarana</t>
        </is>
      </c>
      <c r="D1288" s="156" t="inlineStr">
        <is>
          <t>Aux</t>
        </is>
      </c>
      <c r="E1288" s="156" t="inlineStr">
        <is>
          <t>Light vehicle</t>
        </is>
      </c>
      <c r="F1288" s="184" t="n">
        <v>50.3</v>
      </c>
    </row>
    <row r="1289">
      <c r="A1289" s="155" t="n">
        <v>46096</v>
      </c>
      <c r="B1289" s="156" t="inlineStr">
        <is>
          <t>LV-12</t>
        </is>
      </c>
      <c r="C1289" s="156" t="inlineStr">
        <is>
          <t>LV &amp; sarana</t>
        </is>
      </c>
      <c r="D1289" s="156" t="inlineStr">
        <is>
          <t>Aux</t>
        </is>
      </c>
      <c r="E1289" s="156" t="inlineStr">
        <is>
          <t>Light vehicle</t>
        </is>
      </c>
      <c r="F1289" s="184" t="n">
        <v>52.4</v>
      </c>
    </row>
    <row r="1290">
      <c r="A1290" s="155" t="n">
        <v>46096</v>
      </c>
      <c r="B1290" s="156" t="inlineStr">
        <is>
          <t>VD-04</t>
        </is>
      </c>
      <c r="C1290" s="156" t="inlineStr">
        <is>
          <t>Vendor</t>
        </is>
      </c>
      <c r="D1290" s="156" t="inlineStr">
        <is>
          <t>Vendor</t>
        </is>
      </c>
      <c r="E1290" s="156" t="inlineStr">
        <is>
          <t>Alat vendor</t>
        </is>
      </c>
      <c r="F1290" s="184" t="n">
        <v>59</v>
      </c>
    </row>
    <row r="1291">
      <c r="A1291" s="155" t="n">
        <v>46096</v>
      </c>
      <c r="B1291" s="156" t="inlineStr">
        <is>
          <t>VD-05</t>
        </is>
      </c>
      <c r="C1291" s="156" t="inlineStr">
        <is>
          <t>Vendor</t>
        </is>
      </c>
      <c r="D1291" s="156" t="inlineStr">
        <is>
          <t>Vendor</t>
        </is>
      </c>
      <c r="E1291" s="156" t="inlineStr">
        <is>
          <t>Alat vendor</t>
        </is>
      </c>
      <c r="F1291" s="184" t="n">
        <v>50.2</v>
      </c>
    </row>
    <row r="1292">
      <c r="A1292" s="155" t="n">
        <v>46096</v>
      </c>
      <c r="B1292" s="156" t="inlineStr">
        <is>
          <t>VD-06</t>
        </is>
      </c>
      <c r="C1292" s="156" t="inlineStr">
        <is>
          <t>Vendor</t>
        </is>
      </c>
      <c r="D1292" s="156" t="inlineStr">
        <is>
          <t>Vendor</t>
        </is>
      </c>
      <c r="E1292" s="156" t="inlineStr">
        <is>
          <t>Alat vendor</t>
        </is>
      </c>
      <c r="F1292" s="184" t="n">
        <v>34.2</v>
      </c>
    </row>
    <row r="1293">
      <c r="A1293" s="155" t="n">
        <v>46096</v>
      </c>
      <c r="B1293" s="156" t="inlineStr">
        <is>
          <t>TS-04</t>
        </is>
      </c>
      <c r="C1293" s="156" t="inlineStr">
        <is>
          <t>Truk support</t>
        </is>
      </c>
      <c r="D1293" s="156" t="inlineStr">
        <is>
          <t>Aux</t>
        </is>
      </c>
      <c r="E1293" s="156" t="inlineStr">
        <is>
          <t>Truk support</t>
        </is>
      </c>
      <c r="F1293" s="184" t="n">
        <v>55.8</v>
      </c>
    </row>
    <row r="1294">
      <c r="A1294" s="155" t="n">
        <v>46096</v>
      </c>
      <c r="B1294" s="156" t="inlineStr">
        <is>
          <t>AL-07</t>
        </is>
      </c>
      <c r="C1294" s="156" t="inlineStr">
        <is>
          <t>Alat lain</t>
        </is>
      </c>
      <c r="D1294" s="156" t="inlineStr">
        <is>
          <t>Aux</t>
        </is>
      </c>
      <c r="E1294" s="156" t="inlineStr">
        <is>
          <t>Alat lain</t>
        </is>
      </c>
      <c r="F1294" s="184" t="n">
        <v>79.7</v>
      </c>
    </row>
    <row r="1295">
      <c r="A1295" s="155" t="n">
        <v>46096</v>
      </c>
      <c r="B1295" s="156" t="inlineStr">
        <is>
          <t>AL-09</t>
        </is>
      </c>
      <c r="C1295" s="156" t="inlineStr">
        <is>
          <t>Alat lain</t>
        </is>
      </c>
      <c r="D1295" s="156" t="inlineStr">
        <is>
          <t>Mining</t>
        </is>
      </c>
      <c r="E1295" s="156" t="inlineStr">
        <is>
          <t>Alat lain</t>
        </is>
      </c>
      <c r="F1295" s="184" t="n">
        <v>16.9</v>
      </c>
    </row>
    <row r="1296">
      <c r="A1296" s="155" t="n">
        <v>46096</v>
      </c>
      <c r="B1296" s="156" t="inlineStr">
        <is>
          <t>GS-02</t>
        </is>
      </c>
      <c r="C1296" s="156" t="inlineStr">
        <is>
          <t>Genset</t>
        </is>
      </c>
      <c r="D1296" s="156" t="inlineStr">
        <is>
          <t>Aux</t>
        </is>
      </c>
      <c r="E1296" s="156" t="inlineStr">
        <is>
          <t>Genset</t>
        </is>
      </c>
      <c r="F1296" s="184" t="n">
        <v>81.8</v>
      </c>
    </row>
    <row r="1297">
      <c r="A1297" s="155" t="n">
        <v>46096</v>
      </c>
      <c r="B1297" s="156" t="inlineStr">
        <is>
          <t>GS-03</t>
        </is>
      </c>
      <c r="C1297" s="156" t="inlineStr">
        <is>
          <t>Genset</t>
        </is>
      </c>
      <c r="D1297" s="156" t="inlineStr">
        <is>
          <t>Aux</t>
        </is>
      </c>
      <c r="E1297" s="156" t="inlineStr">
        <is>
          <t>Genset</t>
        </is>
      </c>
      <c r="F1297" s="184" t="n">
        <v>164.1</v>
      </c>
    </row>
    <row r="1298">
      <c r="A1298" s="155" t="n">
        <v>46096</v>
      </c>
      <c r="B1298" s="156" t="inlineStr">
        <is>
          <t>GS-04</t>
        </is>
      </c>
      <c r="C1298" s="156" t="inlineStr">
        <is>
          <t>Genset</t>
        </is>
      </c>
      <c r="D1298" s="156" t="inlineStr">
        <is>
          <t>Aux</t>
        </is>
      </c>
      <c r="E1298" s="156" t="inlineStr">
        <is>
          <t>Genset</t>
        </is>
      </c>
      <c r="F1298" s="184" t="n">
        <v>675.3</v>
      </c>
    </row>
    <row r="1299">
      <c r="A1299" s="155" t="n">
        <v>46096</v>
      </c>
      <c r="B1299" s="156" t="inlineStr">
        <is>
          <t>GS-08</t>
        </is>
      </c>
      <c r="C1299" s="156" t="inlineStr">
        <is>
          <t>Genset</t>
        </is>
      </c>
      <c r="D1299" s="156" t="inlineStr">
        <is>
          <t>Aux</t>
        </is>
      </c>
      <c r="E1299" s="156" t="inlineStr">
        <is>
          <t>Genset</t>
        </is>
      </c>
      <c r="F1299" s="184" t="n">
        <v>54.9</v>
      </c>
    </row>
    <row r="1300">
      <c r="A1300" s="155" t="n">
        <v>46096</v>
      </c>
      <c r="B1300" s="156" t="inlineStr">
        <is>
          <t>GS-10</t>
        </is>
      </c>
      <c r="C1300" s="156" t="inlineStr">
        <is>
          <t>Genset</t>
        </is>
      </c>
      <c r="D1300" s="156" t="inlineStr">
        <is>
          <t>Aux</t>
        </is>
      </c>
      <c r="E1300" s="156" t="inlineStr">
        <is>
          <t>Genset</t>
        </is>
      </c>
      <c r="F1300" s="184" t="n">
        <v>1976.7</v>
      </c>
    </row>
    <row r="1301">
      <c r="A1301" s="155" t="n">
        <v>46096</v>
      </c>
      <c r="B1301" s="156" t="inlineStr">
        <is>
          <t>GS-11</t>
        </is>
      </c>
      <c r="C1301" s="156" t="inlineStr">
        <is>
          <t>Genset</t>
        </is>
      </c>
      <c r="D1301" s="156" t="inlineStr">
        <is>
          <t>Aux</t>
        </is>
      </c>
      <c r="E1301" s="156" t="inlineStr">
        <is>
          <t>Genset</t>
        </is>
      </c>
      <c r="F1301" s="184" t="n">
        <v>2044.2</v>
      </c>
    </row>
    <row r="1302">
      <c r="A1302" s="155" t="n">
        <v>46096</v>
      </c>
      <c r="B1302" s="156" t="inlineStr">
        <is>
          <t>WL-022</t>
        </is>
      </c>
      <c r="C1302" s="156" t="inlineStr">
        <is>
          <t>Loader</t>
        </is>
      </c>
      <c r="D1302" s="156" t="inlineStr">
        <is>
          <t>Aux</t>
        </is>
      </c>
      <c r="E1302" s="156" t="inlineStr">
        <is>
          <t>SANY - Loader</t>
        </is>
      </c>
      <c r="F1302" s="184" t="n">
        <v>241.7</v>
      </c>
    </row>
    <row r="1303">
      <c r="A1303" s="155" t="n">
        <v>46096</v>
      </c>
      <c r="B1303" s="156" t="inlineStr">
        <is>
          <t>WL-024</t>
        </is>
      </c>
      <c r="C1303" s="156" t="inlineStr">
        <is>
          <t>Loader</t>
        </is>
      </c>
      <c r="D1303" s="156" t="inlineStr">
        <is>
          <t>Aux</t>
        </is>
      </c>
      <c r="E1303" s="156" t="inlineStr">
        <is>
          <t>SANY - Loader</t>
        </is>
      </c>
      <c r="F1303" s="184" t="n">
        <v>276.9</v>
      </c>
    </row>
    <row r="1304">
      <c r="A1304" s="155" t="n">
        <v>46103</v>
      </c>
      <c r="B1304" s="156" t="inlineStr">
        <is>
          <t>EX-754</t>
        </is>
      </c>
      <c r="C1304" s="156" t="inlineStr">
        <is>
          <t>Excavator</t>
        </is>
      </c>
      <c r="D1304" s="156" t="inlineStr">
        <is>
          <t>Mining</t>
        </is>
      </c>
      <c r="E1304" s="156" t="inlineStr">
        <is>
          <t>SY750H-PRO</t>
        </is>
      </c>
      <c r="F1304" s="184" t="n">
        <v>556.6</v>
      </c>
    </row>
    <row r="1305">
      <c r="A1305" s="155" t="n">
        <v>46103</v>
      </c>
      <c r="B1305" s="156" t="inlineStr">
        <is>
          <t>EX-755</t>
        </is>
      </c>
      <c r="C1305" s="156" t="inlineStr">
        <is>
          <t>Excavator</t>
        </is>
      </c>
      <c r="D1305" s="156" t="inlineStr">
        <is>
          <t>Mining</t>
        </is>
      </c>
      <c r="E1305" s="156" t="inlineStr">
        <is>
          <t>SY750H-PRO</t>
        </is>
      </c>
      <c r="F1305" s="184" t="n">
        <v>690.9</v>
      </c>
    </row>
    <row r="1306">
      <c r="A1306" s="155" t="n">
        <v>46103</v>
      </c>
      <c r="B1306" s="156" t="inlineStr">
        <is>
          <t>EX-753</t>
        </is>
      </c>
      <c r="C1306" s="156" t="inlineStr">
        <is>
          <t>Excavator</t>
        </is>
      </c>
      <c r="D1306" s="156" t="inlineStr">
        <is>
          <t>Mining</t>
        </is>
      </c>
      <c r="E1306" s="156" t="inlineStr">
        <is>
          <t>SY750H-PRO</t>
        </is>
      </c>
      <c r="F1306" s="184" t="n">
        <v>414.6</v>
      </c>
    </row>
    <row r="1307">
      <c r="A1307" s="155" t="n">
        <v>46103</v>
      </c>
      <c r="B1307" s="156" t="inlineStr">
        <is>
          <t>EX-334</t>
        </is>
      </c>
      <c r="C1307" s="156" t="inlineStr">
        <is>
          <t>Excavator</t>
        </is>
      </c>
      <c r="D1307" s="156" t="inlineStr">
        <is>
          <t>Mining</t>
        </is>
      </c>
      <c r="E1307" s="156" t="inlineStr">
        <is>
          <t>PC 300-8MO</t>
        </is>
      </c>
      <c r="F1307" s="184" t="n">
        <v>308.5</v>
      </c>
    </row>
    <row r="1308">
      <c r="A1308" s="155" t="n">
        <v>46103</v>
      </c>
      <c r="B1308" s="156" t="inlineStr">
        <is>
          <t>EX-222</t>
        </is>
      </c>
      <c r="C1308" s="156" t="inlineStr">
        <is>
          <t>Excavator</t>
        </is>
      </c>
      <c r="D1308" s="156" t="inlineStr">
        <is>
          <t>Mining</t>
        </is>
      </c>
      <c r="E1308" s="156" t="inlineStr">
        <is>
          <t>PC 200-8MI</t>
        </is>
      </c>
      <c r="F1308" s="184" t="n">
        <v>168</v>
      </c>
    </row>
    <row r="1309">
      <c r="A1309" s="155" t="n">
        <v>46103</v>
      </c>
      <c r="B1309" s="156" t="inlineStr">
        <is>
          <t>EX-223</t>
        </is>
      </c>
      <c r="C1309" s="156" t="inlineStr">
        <is>
          <t>Excavator</t>
        </is>
      </c>
      <c r="D1309" s="156" t="inlineStr">
        <is>
          <t>Aux</t>
        </is>
      </c>
      <c r="E1309" s="156" t="inlineStr">
        <is>
          <t>PC 200-8MI</t>
        </is>
      </c>
      <c r="F1309" s="184" t="n">
        <v>209.9</v>
      </c>
    </row>
    <row r="1310">
      <c r="A1310" s="155" t="n">
        <v>46103</v>
      </c>
      <c r="B1310" s="156" t="inlineStr">
        <is>
          <t>EX-221</t>
        </is>
      </c>
      <c r="C1310" s="156" t="inlineStr">
        <is>
          <t>Excavator</t>
        </is>
      </c>
      <c r="D1310" s="156" t="inlineStr">
        <is>
          <t>Aux</t>
        </is>
      </c>
      <c r="E1310" s="156" t="inlineStr">
        <is>
          <t>PC 200-8MI</t>
        </is>
      </c>
      <c r="F1310" s="184" t="n">
        <v>154.1</v>
      </c>
    </row>
    <row r="1311">
      <c r="A1311" s="155" t="n">
        <v>46103</v>
      </c>
      <c r="B1311" s="156" t="inlineStr">
        <is>
          <t>EX-1251</t>
        </is>
      </c>
      <c r="C1311" s="156" t="inlineStr">
        <is>
          <t>Excavator</t>
        </is>
      </c>
      <c r="D1311" s="156" t="inlineStr">
        <is>
          <t>Mining</t>
        </is>
      </c>
      <c r="E1311" s="156" t="inlineStr">
        <is>
          <t>SY1250</t>
        </is>
      </c>
      <c r="F1311" s="184" t="n">
        <v>1157.7</v>
      </c>
    </row>
    <row r="1312">
      <c r="A1312" s="155" t="n">
        <v>46103</v>
      </c>
      <c r="B1312" s="156" t="inlineStr">
        <is>
          <t>EX-333</t>
        </is>
      </c>
      <c r="C1312" s="156" t="inlineStr">
        <is>
          <t>Excavator</t>
        </is>
      </c>
      <c r="D1312" s="156" t="inlineStr">
        <is>
          <t>Mining</t>
        </is>
      </c>
      <c r="E1312" s="156" t="inlineStr">
        <is>
          <t>PC 300-8MO</t>
        </is>
      </c>
      <c r="F1312" s="184" t="n">
        <v>559.8</v>
      </c>
    </row>
    <row r="1313">
      <c r="A1313" s="155" t="n">
        <v>46103</v>
      </c>
      <c r="B1313" s="156" t="inlineStr">
        <is>
          <t>EX-336</t>
        </is>
      </c>
      <c r="C1313" s="156" t="inlineStr">
        <is>
          <t>Excavator</t>
        </is>
      </c>
      <c r="D1313" s="156" t="inlineStr">
        <is>
          <t>Mining</t>
        </is>
      </c>
      <c r="E1313" s="156" t="inlineStr">
        <is>
          <t>PC 300-8MO</t>
        </is>
      </c>
      <c r="F1313" s="184" t="n">
        <v>356.7</v>
      </c>
    </row>
    <row r="1314">
      <c r="A1314" s="155" t="n">
        <v>46103</v>
      </c>
      <c r="B1314" s="156" t="inlineStr">
        <is>
          <t>DT-812</t>
        </is>
      </c>
      <c r="C1314" s="156" t="inlineStr">
        <is>
          <t>Hauler</t>
        </is>
      </c>
      <c r="D1314" s="156" t="inlineStr">
        <is>
          <t>Mining</t>
        </is>
      </c>
      <c r="E1314" s="156" t="inlineStr">
        <is>
          <t>SKT 80S</t>
        </is>
      </c>
      <c r="F1314" s="184" t="n">
        <v>155.4</v>
      </c>
    </row>
    <row r="1315">
      <c r="A1315" s="155" t="n">
        <v>46103</v>
      </c>
      <c r="B1315" s="156" t="inlineStr">
        <is>
          <t>DT-810</t>
        </is>
      </c>
      <c r="C1315" s="156" t="inlineStr">
        <is>
          <t>Hauler</t>
        </is>
      </c>
      <c r="D1315" s="156" t="inlineStr">
        <is>
          <t>Mining</t>
        </is>
      </c>
      <c r="E1315" s="156" t="inlineStr">
        <is>
          <t>SKT 80S</t>
        </is>
      </c>
      <c r="F1315" s="184" t="n">
        <v>290.9</v>
      </c>
    </row>
    <row r="1316">
      <c r="A1316" s="155" t="n">
        <v>46103</v>
      </c>
      <c r="B1316" s="156" t="inlineStr">
        <is>
          <t>DT-804</t>
        </is>
      </c>
      <c r="C1316" s="156" t="inlineStr">
        <is>
          <t>Hauler</t>
        </is>
      </c>
      <c r="D1316" s="156" t="inlineStr">
        <is>
          <t>Mining</t>
        </is>
      </c>
      <c r="E1316" s="156" t="inlineStr">
        <is>
          <t>SKT 80S</t>
        </is>
      </c>
      <c r="F1316" s="184" t="n">
        <v>227.1</v>
      </c>
    </row>
    <row r="1317">
      <c r="A1317" s="155" t="n">
        <v>46103</v>
      </c>
      <c r="B1317" s="156" t="inlineStr">
        <is>
          <t>DT-505</t>
        </is>
      </c>
      <c r="C1317" s="156" t="inlineStr">
        <is>
          <t>Hauler</t>
        </is>
      </c>
      <c r="D1317" s="156" t="inlineStr">
        <is>
          <t>Mining</t>
        </is>
      </c>
      <c r="E1317" s="156" t="inlineStr">
        <is>
          <t>SKT 105S</t>
        </is>
      </c>
      <c r="F1317" s="184" t="n">
        <v>266.3</v>
      </c>
    </row>
    <row r="1318">
      <c r="A1318" s="155" t="n">
        <v>46103</v>
      </c>
      <c r="B1318" s="156" t="inlineStr">
        <is>
          <t>DT-503</t>
        </is>
      </c>
      <c r="C1318" s="156" t="inlineStr">
        <is>
          <t>Hauler</t>
        </is>
      </c>
      <c r="D1318" s="156" t="inlineStr">
        <is>
          <t>Mining</t>
        </is>
      </c>
      <c r="E1318" s="156" t="inlineStr">
        <is>
          <t>SKT 105S</t>
        </is>
      </c>
      <c r="F1318" s="184" t="n">
        <v>392.6</v>
      </c>
    </row>
    <row r="1319">
      <c r="A1319" s="155" t="n">
        <v>46103</v>
      </c>
      <c r="B1319" s="156" t="inlineStr">
        <is>
          <t>DT-504</t>
        </is>
      </c>
      <c r="C1319" s="156" t="inlineStr">
        <is>
          <t>Hauler</t>
        </is>
      </c>
      <c r="D1319" s="156" t="inlineStr">
        <is>
          <t>Mining</t>
        </is>
      </c>
      <c r="E1319" s="156" t="inlineStr">
        <is>
          <t>SKT 105S</t>
        </is>
      </c>
      <c r="F1319" s="184" t="n">
        <v>484.2</v>
      </c>
    </row>
    <row r="1320">
      <c r="A1320" s="155" t="n">
        <v>46103</v>
      </c>
      <c r="B1320" s="156" t="inlineStr">
        <is>
          <t>DT-501</t>
        </is>
      </c>
      <c r="C1320" s="156" t="inlineStr">
        <is>
          <t>Hauler</t>
        </is>
      </c>
      <c r="D1320" s="156" t="inlineStr">
        <is>
          <t>Mining</t>
        </is>
      </c>
      <c r="E1320" s="156" t="inlineStr">
        <is>
          <t>SKT 105S</t>
        </is>
      </c>
      <c r="F1320" s="184" t="n">
        <v>379.6</v>
      </c>
    </row>
    <row r="1321">
      <c r="A1321" s="155" t="n">
        <v>46103</v>
      </c>
      <c r="B1321" s="156" t="inlineStr">
        <is>
          <t>DT-518</t>
        </is>
      </c>
      <c r="C1321" s="156" t="inlineStr">
        <is>
          <t>Hauler</t>
        </is>
      </c>
      <c r="D1321" s="156" t="inlineStr">
        <is>
          <t>Mining</t>
        </is>
      </c>
      <c r="E1321" s="156" t="inlineStr">
        <is>
          <t>SKT 105S</t>
        </is>
      </c>
      <c r="F1321" s="184" t="n">
        <v>255.6</v>
      </c>
    </row>
    <row r="1322">
      <c r="A1322" s="155" t="n">
        <v>46103</v>
      </c>
      <c r="B1322" s="156" t="inlineStr">
        <is>
          <t>DT-523</t>
        </is>
      </c>
      <c r="C1322" s="156" t="inlineStr">
        <is>
          <t>Hauler</t>
        </is>
      </c>
      <c r="D1322" s="156" t="inlineStr">
        <is>
          <t>Mining</t>
        </is>
      </c>
      <c r="E1322" s="156" t="inlineStr">
        <is>
          <t>SKT 105S</t>
        </is>
      </c>
      <c r="F1322" s="184" t="n">
        <v>232.2</v>
      </c>
    </row>
    <row r="1323">
      <c r="A1323" s="155" t="n">
        <v>46103</v>
      </c>
      <c r="B1323" s="156" t="inlineStr">
        <is>
          <t>DT-527</t>
        </is>
      </c>
      <c r="C1323" s="156" t="inlineStr">
        <is>
          <t>Hauler</t>
        </is>
      </c>
      <c r="D1323" s="156" t="inlineStr">
        <is>
          <t>Mining</t>
        </is>
      </c>
      <c r="E1323" s="156" t="inlineStr">
        <is>
          <t>SKT 105S</t>
        </is>
      </c>
      <c r="F1323" s="184" t="n">
        <v>147</v>
      </c>
    </row>
    <row r="1324">
      <c r="A1324" s="155" t="n">
        <v>46103</v>
      </c>
      <c r="B1324" s="156" t="inlineStr">
        <is>
          <t>DT-513</t>
        </is>
      </c>
      <c r="C1324" s="156" t="inlineStr">
        <is>
          <t>Hauler</t>
        </is>
      </c>
      <c r="D1324" s="156" t="inlineStr">
        <is>
          <t>Mining</t>
        </is>
      </c>
      <c r="E1324" s="156" t="inlineStr">
        <is>
          <t>SKT 105S</t>
        </is>
      </c>
      <c r="F1324" s="184" t="n">
        <v>337.3</v>
      </c>
    </row>
    <row r="1325">
      <c r="A1325" s="155" t="n">
        <v>46103</v>
      </c>
      <c r="B1325" s="156" t="inlineStr">
        <is>
          <t>DT-512</t>
        </is>
      </c>
      <c r="C1325" s="156" t="inlineStr">
        <is>
          <t>Hauler</t>
        </is>
      </c>
      <c r="D1325" s="156" t="inlineStr">
        <is>
          <t>Mining</t>
        </is>
      </c>
      <c r="E1325" s="156" t="inlineStr">
        <is>
          <t>SKT 105S</t>
        </is>
      </c>
      <c r="F1325" s="184" t="n">
        <v>242</v>
      </c>
    </row>
    <row r="1326">
      <c r="A1326" s="155" t="n">
        <v>46103</v>
      </c>
      <c r="B1326" s="156" t="inlineStr">
        <is>
          <t>DT-522</t>
        </is>
      </c>
      <c r="C1326" s="156" t="inlineStr">
        <is>
          <t>Hauler</t>
        </is>
      </c>
      <c r="D1326" s="156" t="inlineStr">
        <is>
          <t>Mining</t>
        </is>
      </c>
      <c r="E1326" s="156" t="inlineStr">
        <is>
          <t>SKT 105S</t>
        </is>
      </c>
      <c r="F1326" s="184" t="n">
        <v>168.5</v>
      </c>
    </row>
    <row r="1327">
      <c r="A1327" s="155" t="n">
        <v>46103</v>
      </c>
      <c r="B1327" s="156" t="inlineStr">
        <is>
          <t>DT-517</t>
        </is>
      </c>
      <c r="C1327" s="156" t="inlineStr">
        <is>
          <t>Hauler</t>
        </is>
      </c>
      <c r="D1327" s="156" t="inlineStr">
        <is>
          <t>Mining</t>
        </is>
      </c>
      <c r="E1327" s="156" t="inlineStr">
        <is>
          <t>SKT 105S</t>
        </is>
      </c>
      <c r="F1327" s="184" t="n">
        <v>300.7</v>
      </c>
    </row>
    <row r="1328">
      <c r="A1328" s="155" t="n">
        <v>46103</v>
      </c>
      <c r="B1328" s="156" t="inlineStr">
        <is>
          <t>DT-510</t>
        </is>
      </c>
      <c r="C1328" s="156" t="inlineStr">
        <is>
          <t>Hauler</t>
        </is>
      </c>
      <c r="D1328" s="156" t="inlineStr">
        <is>
          <t>Mining</t>
        </is>
      </c>
      <c r="E1328" s="156" t="inlineStr">
        <is>
          <t>SKT 105S</t>
        </is>
      </c>
      <c r="F1328" s="184" t="n">
        <v>296.8</v>
      </c>
    </row>
    <row r="1329">
      <c r="A1329" s="155" t="n">
        <v>46103</v>
      </c>
      <c r="B1329" s="156" t="inlineStr">
        <is>
          <t>DT-521</t>
        </is>
      </c>
      <c r="C1329" s="156" t="inlineStr">
        <is>
          <t>Hauler</t>
        </is>
      </c>
      <c r="D1329" s="156" t="inlineStr">
        <is>
          <t>Mining</t>
        </is>
      </c>
      <c r="E1329" s="156" t="inlineStr">
        <is>
          <t>SKT 105S</t>
        </is>
      </c>
      <c r="F1329" s="184" t="n">
        <v>319.2</v>
      </c>
    </row>
    <row r="1330">
      <c r="A1330" s="155" t="n">
        <v>46103</v>
      </c>
      <c r="B1330" s="156" t="inlineStr">
        <is>
          <t>DT-516</t>
        </is>
      </c>
      <c r="C1330" s="156" t="inlineStr">
        <is>
          <t>Hauler</t>
        </is>
      </c>
      <c r="D1330" s="156" t="inlineStr">
        <is>
          <t>Mining</t>
        </is>
      </c>
      <c r="E1330" s="156" t="inlineStr">
        <is>
          <t>SKT 105S</t>
        </is>
      </c>
      <c r="F1330" s="184" t="n">
        <v>285.1</v>
      </c>
    </row>
    <row r="1331">
      <c r="A1331" s="155" t="n">
        <v>46103</v>
      </c>
      <c r="B1331" s="156" t="inlineStr">
        <is>
          <t>DT-506</t>
        </is>
      </c>
      <c r="C1331" s="156" t="inlineStr">
        <is>
          <t>Hauler</t>
        </is>
      </c>
      <c r="D1331" s="156" t="inlineStr">
        <is>
          <t>Mining</t>
        </is>
      </c>
      <c r="E1331" s="156" t="inlineStr">
        <is>
          <t>SKT 105S</t>
        </is>
      </c>
      <c r="F1331" s="184" t="n">
        <v>308.1</v>
      </c>
    </row>
    <row r="1332">
      <c r="A1332" s="155" t="n">
        <v>46103</v>
      </c>
      <c r="B1332" s="156" t="inlineStr">
        <is>
          <t>DT-528</t>
        </is>
      </c>
      <c r="C1332" s="156" t="inlineStr">
        <is>
          <t>Hauler</t>
        </is>
      </c>
      <c r="D1332" s="156" t="inlineStr">
        <is>
          <t>Mining</t>
        </is>
      </c>
      <c r="E1332" s="156" t="inlineStr">
        <is>
          <t>SKT 105S</t>
        </is>
      </c>
      <c r="F1332" s="184" t="n">
        <v>347.2</v>
      </c>
    </row>
    <row r="1333">
      <c r="A1333" s="155" t="n">
        <v>46103</v>
      </c>
      <c r="B1333" s="156" t="inlineStr">
        <is>
          <t>DT-529</t>
        </is>
      </c>
      <c r="C1333" s="156" t="inlineStr">
        <is>
          <t>Hauler</t>
        </is>
      </c>
      <c r="D1333" s="156" t="inlineStr">
        <is>
          <t>Mining</t>
        </is>
      </c>
      <c r="E1333" s="156" t="inlineStr">
        <is>
          <t>SKT 105S</t>
        </is>
      </c>
      <c r="F1333" s="184" t="n">
        <v>325.1</v>
      </c>
    </row>
    <row r="1334">
      <c r="A1334" s="155" t="n">
        <v>46103</v>
      </c>
      <c r="B1334" s="156" t="inlineStr">
        <is>
          <t>DT-520</t>
        </is>
      </c>
      <c r="C1334" s="156" t="inlineStr">
        <is>
          <t>Hauler</t>
        </is>
      </c>
      <c r="D1334" s="156" t="inlineStr">
        <is>
          <t>Mining</t>
        </is>
      </c>
      <c r="E1334" s="156" t="inlineStr">
        <is>
          <t>SKT 105S</t>
        </is>
      </c>
      <c r="F1334" s="184" t="n">
        <v>317</v>
      </c>
    </row>
    <row r="1335">
      <c r="A1335" s="155" t="n">
        <v>46103</v>
      </c>
      <c r="B1335" s="156" t="inlineStr">
        <is>
          <t>DT-526</t>
        </is>
      </c>
      <c r="C1335" s="156" t="inlineStr">
        <is>
          <t>Hauler</t>
        </is>
      </c>
      <c r="D1335" s="156" t="inlineStr">
        <is>
          <t>Mining</t>
        </is>
      </c>
      <c r="E1335" s="156" t="inlineStr">
        <is>
          <t>SKT 105S</t>
        </is>
      </c>
      <c r="F1335" s="184" t="n">
        <v>142</v>
      </c>
    </row>
    <row r="1336">
      <c r="A1336" s="155" t="n">
        <v>46103</v>
      </c>
      <c r="B1336" s="156" t="inlineStr">
        <is>
          <t>DT-508</t>
        </is>
      </c>
      <c r="C1336" s="156" t="inlineStr">
        <is>
          <t>Hauler</t>
        </is>
      </c>
      <c r="D1336" s="156" t="inlineStr">
        <is>
          <t>Mining</t>
        </is>
      </c>
      <c r="E1336" s="156" t="inlineStr">
        <is>
          <t>SKT 105S</t>
        </is>
      </c>
      <c r="F1336" s="184" t="n">
        <v>364.1</v>
      </c>
    </row>
    <row r="1337">
      <c r="A1337" s="155" t="n">
        <v>46103</v>
      </c>
      <c r="B1337" s="156" t="inlineStr">
        <is>
          <t>HD-901</t>
        </is>
      </c>
      <c r="C1337" s="156" t="inlineStr">
        <is>
          <t>Hauler</t>
        </is>
      </c>
      <c r="D1337" s="156" t="inlineStr">
        <is>
          <t>Mining</t>
        </is>
      </c>
      <c r="E1337" s="156" t="inlineStr">
        <is>
          <t>SRT 95C</t>
        </is>
      </c>
      <c r="F1337" s="184" t="n">
        <v>458</v>
      </c>
    </row>
    <row r="1338">
      <c r="A1338" s="155" t="n">
        <v>46103</v>
      </c>
      <c r="B1338" s="156" t="inlineStr">
        <is>
          <t>HD-904</t>
        </is>
      </c>
      <c r="C1338" s="156" t="inlineStr">
        <is>
          <t>Hauler</t>
        </is>
      </c>
      <c r="D1338" s="156" t="inlineStr">
        <is>
          <t>Mining</t>
        </is>
      </c>
      <c r="E1338" s="156" t="inlineStr">
        <is>
          <t>SRT 95C</t>
        </is>
      </c>
      <c r="F1338" s="184" t="n">
        <v>401.3</v>
      </c>
    </row>
    <row r="1339">
      <c r="A1339" s="155" t="n">
        <v>46103</v>
      </c>
      <c r="B1339" s="156" t="inlineStr">
        <is>
          <t>HD-902</t>
        </is>
      </c>
      <c r="C1339" s="156" t="inlineStr">
        <is>
          <t>Hauler</t>
        </is>
      </c>
      <c r="D1339" s="156" t="inlineStr">
        <is>
          <t>Mining</t>
        </is>
      </c>
      <c r="E1339" s="156" t="inlineStr">
        <is>
          <t>SRT 95C</t>
        </is>
      </c>
      <c r="F1339" s="184" t="n">
        <v>368.8</v>
      </c>
    </row>
    <row r="1340">
      <c r="A1340" s="155" t="n">
        <v>46103</v>
      </c>
      <c r="B1340" s="156" t="inlineStr">
        <is>
          <t>DZ-034</t>
        </is>
      </c>
      <c r="C1340" s="156" t="inlineStr">
        <is>
          <t>Bulldozer</t>
        </is>
      </c>
      <c r="D1340" s="156" t="inlineStr">
        <is>
          <t>Mining</t>
        </is>
      </c>
      <c r="E1340" s="156" t="inlineStr">
        <is>
          <t>D 68ESS-12EO</t>
        </is>
      </c>
      <c r="F1340" s="184" t="n">
        <v>274.7</v>
      </c>
    </row>
    <row r="1341">
      <c r="A1341" s="155" t="n">
        <v>46103</v>
      </c>
      <c r="B1341" s="156" t="inlineStr">
        <is>
          <t>DZ-033</t>
        </is>
      </c>
      <c r="C1341" s="156" t="inlineStr">
        <is>
          <t>Bulldozer</t>
        </is>
      </c>
      <c r="D1341" s="156" t="inlineStr">
        <is>
          <t>Mining</t>
        </is>
      </c>
      <c r="E1341" s="156" t="inlineStr">
        <is>
          <t>D 375A-6R</t>
        </is>
      </c>
      <c r="F1341" s="184" t="n">
        <v>832.6</v>
      </c>
    </row>
    <row r="1342">
      <c r="A1342" s="155" t="n">
        <v>46103</v>
      </c>
      <c r="B1342" s="156" t="inlineStr">
        <is>
          <t>DZ-039</t>
        </is>
      </c>
      <c r="C1342" s="156" t="inlineStr">
        <is>
          <t>Bulldozer</t>
        </is>
      </c>
      <c r="D1342" s="156" t="inlineStr">
        <is>
          <t>Mining</t>
        </is>
      </c>
      <c r="E1342" s="156" t="inlineStr">
        <is>
          <t>D 85 ESS-2</t>
        </is>
      </c>
      <c r="F1342" s="184" t="n">
        <v>384.8</v>
      </c>
    </row>
    <row r="1343">
      <c r="A1343" s="155" t="n">
        <v>46103</v>
      </c>
      <c r="B1343" s="156" t="inlineStr">
        <is>
          <t>DZ-035</t>
        </is>
      </c>
      <c r="C1343" s="156" t="inlineStr">
        <is>
          <t>Bulldozer</t>
        </is>
      </c>
      <c r="D1343" s="156" t="inlineStr">
        <is>
          <t>Mining</t>
        </is>
      </c>
      <c r="E1343" s="156" t="inlineStr">
        <is>
          <t>D 85 ESS-2</t>
        </is>
      </c>
      <c r="F1343" s="184" t="n">
        <v>435.6</v>
      </c>
    </row>
    <row r="1344">
      <c r="A1344" s="155" t="n">
        <v>46103</v>
      </c>
      <c r="B1344" s="156" t="inlineStr">
        <is>
          <t>DZ-031</t>
        </is>
      </c>
      <c r="C1344" s="156" t="inlineStr">
        <is>
          <t>Bulldozer</t>
        </is>
      </c>
      <c r="D1344" s="156" t="inlineStr">
        <is>
          <t>Mining</t>
        </is>
      </c>
      <c r="E1344" s="156" t="inlineStr">
        <is>
          <t>CAT</t>
        </is>
      </c>
      <c r="F1344" s="184" t="n">
        <v>521.7</v>
      </c>
    </row>
    <row r="1345">
      <c r="A1345" s="155" t="n">
        <v>46103</v>
      </c>
      <c r="B1345" s="156" t="inlineStr">
        <is>
          <t>GD-013</t>
        </is>
      </c>
      <c r="C1345" s="156" t="inlineStr">
        <is>
          <t>Grader</t>
        </is>
      </c>
      <c r="D1345" s="156" t="inlineStr">
        <is>
          <t>Mining</t>
        </is>
      </c>
      <c r="E1345" s="156" t="inlineStr">
        <is>
          <t>STG 265C - 10</t>
        </is>
      </c>
      <c r="F1345" s="184" t="n">
        <v>124.9</v>
      </c>
    </row>
    <row r="1346">
      <c r="A1346" s="155" t="n">
        <v>46103</v>
      </c>
      <c r="B1346" s="156" t="inlineStr">
        <is>
          <t>GD-014</t>
        </is>
      </c>
      <c r="C1346" s="156" t="inlineStr">
        <is>
          <t>Grader</t>
        </is>
      </c>
      <c r="D1346" s="156" t="inlineStr">
        <is>
          <t>Mining</t>
        </is>
      </c>
      <c r="E1346" s="156" t="inlineStr">
        <is>
          <t>STG 335C - 10</t>
        </is>
      </c>
      <c r="F1346" s="184" t="n">
        <v>393.2</v>
      </c>
    </row>
    <row r="1347">
      <c r="A1347" s="155" t="n">
        <v>46103</v>
      </c>
      <c r="B1347" s="156" t="inlineStr">
        <is>
          <t>LV-03</t>
        </is>
      </c>
      <c r="C1347" s="156" t="inlineStr">
        <is>
          <t>LV &amp; sarana</t>
        </is>
      </c>
      <c r="D1347" s="156" t="inlineStr">
        <is>
          <t>Aux</t>
        </is>
      </c>
      <c r="E1347" s="156" t="inlineStr">
        <is>
          <t>Light vehicle</t>
        </is>
      </c>
      <c r="F1347" s="184" t="n">
        <v>33.5</v>
      </c>
    </row>
    <row r="1348">
      <c r="A1348" s="155" t="n">
        <v>46103</v>
      </c>
      <c r="B1348" s="156" t="inlineStr">
        <is>
          <t>LV-06</t>
        </is>
      </c>
      <c r="C1348" s="156" t="inlineStr">
        <is>
          <t>LV &amp; sarana</t>
        </is>
      </c>
      <c r="D1348" s="156" t="inlineStr">
        <is>
          <t>Aux</t>
        </is>
      </c>
      <c r="E1348" s="156" t="inlineStr">
        <is>
          <t>Light vehicle</t>
        </is>
      </c>
      <c r="F1348" s="184" t="n">
        <v>25.2</v>
      </c>
    </row>
    <row r="1349">
      <c r="A1349" s="155" t="n">
        <v>46103</v>
      </c>
      <c r="B1349" s="156" t="inlineStr">
        <is>
          <t>LV-07</t>
        </is>
      </c>
      <c r="C1349" s="156" t="inlineStr">
        <is>
          <t>LV &amp; sarana</t>
        </is>
      </c>
      <c r="D1349" s="156" t="inlineStr">
        <is>
          <t>Aux</t>
        </is>
      </c>
      <c r="E1349" s="156" t="inlineStr">
        <is>
          <t>Light vehicle</t>
        </is>
      </c>
      <c r="F1349" s="184" t="n">
        <v>46.5</v>
      </c>
    </row>
    <row r="1350">
      <c r="A1350" s="155" t="n">
        <v>46103</v>
      </c>
      <c r="B1350" s="156" t="inlineStr">
        <is>
          <t>LV-10</t>
        </is>
      </c>
      <c r="C1350" s="156" t="inlineStr">
        <is>
          <t>LV &amp; sarana</t>
        </is>
      </c>
      <c r="D1350" s="156" t="inlineStr">
        <is>
          <t>Aux</t>
        </is>
      </c>
      <c r="E1350" s="156" t="inlineStr">
        <is>
          <t>Light vehicle</t>
        </is>
      </c>
      <c r="F1350" s="184" t="n">
        <v>58.9</v>
      </c>
    </row>
    <row r="1351">
      <c r="A1351" s="155" t="n">
        <v>46103</v>
      </c>
      <c r="B1351" s="156" t="inlineStr">
        <is>
          <t>LV-11</t>
        </is>
      </c>
      <c r="C1351" s="156" t="inlineStr">
        <is>
          <t>LV &amp; sarana</t>
        </is>
      </c>
      <c r="D1351" s="156" t="inlineStr">
        <is>
          <t>Aux</t>
        </is>
      </c>
      <c r="E1351" s="156" t="inlineStr">
        <is>
          <t>Light vehicle</t>
        </is>
      </c>
      <c r="F1351" s="184" t="n">
        <v>62.1</v>
      </c>
    </row>
    <row r="1352">
      <c r="A1352" s="155" t="n">
        <v>46103</v>
      </c>
      <c r="B1352" s="156" t="inlineStr">
        <is>
          <t>VD-01</t>
        </is>
      </c>
      <c r="C1352" s="156" t="inlineStr">
        <is>
          <t>Vendor</t>
        </is>
      </c>
      <c r="D1352" s="156" t="inlineStr">
        <is>
          <t>Vendor</t>
        </is>
      </c>
      <c r="E1352" s="156" t="inlineStr">
        <is>
          <t>Alat vendor</t>
        </is>
      </c>
      <c r="F1352" s="184" t="n">
        <v>48.4</v>
      </c>
    </row>
    <row r="1353">
      <c r="A1353" s="155" t="n">
        <v>46103</v>
      </c>
      <c r="B1353" s="156" t="inlineStr">
        <is>
          <t>VD-02</t>
        </is>
      </c>
      <c r="C1353" s="156" t="inlineStr">
        <is>
          <t>Vendor</t>
        </is>
      </c>
      <c r="D1353" s="156" t="inlineStr">
        <is>
          <t>Vendor</t>
        </is>
      </c>
      <c r="E1353" s="156" t="inlineStr">
        <is>
          <t>Alat vendor</t>
        </is>
      </c>
      <c r="F1353" s="184" t="n">
        <v>17.2</v>
      </c>
    </row>
    <row r="1354">
      <c r="A1354" s="155" t="n">
        <v>46103</v>
      </c>
      <c r="B1354" s="156" t="inlineStr">
        <is>
          <t>TS-01</t>
        </is>
      </c>
      <c r="C1354" s="156" t="inlineStr">
        <is>
          <t>Truk support</t>
        </is>
      </c>
      <c r="D1354" s="156" t="inlineStr">
        <is>
          <t>Mining</t>
        </is>
      </c>
      <c r="E1354" s="156" t="inlineStr">
        <is>
          <t>Truk support</t>
        </is>
      </c>
      <c r="F1354" s="184" t="n">
        <v>131</v>
      </c>
    </row>
    <row r="1355">
      <c r="A1355" s="155" t="n">
        <v>46103</v>
      </c>
      <c r="B1355" s="156" t="inlineStr">
        <is>
          <t>TS-02</t>
        </is>
      </c>
      <c r="C1355" s="156" t="inlineStr">
        <is>
          <t>Truk support</t>
        </is>
      </c>
      <c r="D1355" s="156" t="inlineStr">
        <is>
          <t>Mining</t>
        </is>
      </c>
      <c r="E1355" s="156" t="inlineStr">
        <is>
          <t>Truk support</t>
        </is>
      </c>
      <c r="F1355" s="184" t="n">
        <v>156.5</v>
      </c>
    </row>
    <row r="1356">
      <c r="A1356" s="155" t="n">
        <v>46103</v>
      </c>
      <c r="B1356" s="156" t="inlineStr">
        <is>
          <t>TS-05</t>
        </is>
      </c>
      <c r="C1356" s="156" t="inlineStr">
        <is>
          <t>Truk support</t>
        </is>
      </c>
      <c r="D1356" s="156" t="inlineStr">
        <is>
          <t>Aux</t>
        </is>
      </c>
      <c r="E1356" s="156" t="inlineStr">
        <is>
          <t>Truk support</t>
        </is>
      </c>
      <c r="F1356" s="184" t="n">
        <v>58.7</v>
      </c>
    </row>
    <row r="1357">
      <c r="A1357" s="155" t="n">
        <v>46103</v>
      </c>
      <c r="B1357" s="156" t="inlineStr">
        <is>
          <t>AL-08</t>
        </is>
      </c>
      <c r="C1357" s="156" t="inlineStr">
        <is>
          <t>Alat lain</t>
        </is>
      </c>
      <c r="D1357" s="156" t="inlineStr">
        <is>
          <t>Aux</t>
        </is>
      </c>
      <c r="E1357" s="156" t="inlineStr">
        <is>
          <t>Alat lain</t>
        </is>
      </c>
      <c r="F1357" s="184" t="n">
        <v>77.40000000000001</v>
      </c>
    </row>
    <row r="1358">
      <c r="A1358" s="155" t="n">
        <v>46103</v>
      </c>
      <c r="B1358" s="156" t="inlineStr">
        <is>
          <t>AL-09</t>
        </is>
      </c>
      <c r="C1358" s="156" t="inlineStr">
        <is>
          <t>Alat lain</t>
        </is>
      </c>
      <c r="D1358" s="156" t="inlineStr">
        <is>
          <t>Mining</t>
        </is>
      </c>
      <c r="E1358" s="156" t="inlineStr">
        <is>
          <t>Alat lain</t>
        </is>
      </c>
      <c r="F1358" s="184" t="n">
        <v>20.5</v>
      </c>
    </row>
    <row r="1359">
      <c r="A1359" s="155" t="n">
        <v>46103</v>
      </c>
      <c r="B1359" s="156" t="inlineStr">
        <is>
          <t>AL-10</t>
        </is>
      </c>
      <c r="C1359" s="156" t="inlineStr">
        <is>
          <t>Alat lain</t>
        </is>
      </c>
      <c r="D1359" s="156" t="inlineStr">
        <is>
          <t>Mining</t>
        </is>
      </c>
      <c r="E1359" s="156" t="inlineStr">
        <is>
          <t>Alat lain</t>
        </is>
      </c>
      <c r="F1359" s="184" t="n">
        <v>16.4</v>
      </c>
    </row>
    <row r="1360">
      <c r="A1360" s="155" t="n">
        <v>46103</v>
      </c>
      <c r="B1360" s="156" t="inlineStr">
        <is>
          <t>GS-01</t>
        </is>
      </c>
      <c r="C1360" s="156" t="inlineStr">
        <is>
          <t>Genset</t>
        </is>
      </c>
      <c r="D1360" s="156" t="inlineStr">
        <is>
          <t>Aux</t>
        </is>
      </c>
      <c r="E1360" s="156" t="inlineStr">
        <is>
          <t>Genset</t>
        </is>
      </c>
      <c r="F1360" s="184" t="n">
        <v>218.5</v>
      </c>
    </row>
    <row r="1361">
      <c r="A1361" s="155" t="n">
        <v>46103</v>
      </c>
      <c r="B1361" s="156" t="inlineStr">
        <is>
          <t>GS-04</t>
        </is>
      </c>
      <c r="C1361" s="156" t="inlineStr">
        <is>
          <t>Genset</t>
        </is>
      </c>
      <c r="D1361" s="156" t="inlineStr">
        <is>
          <t>Aux</t>
        </is>
      </c>
      <c r="E1361" s="156" t="inlineStr">
        <is>
          <t>Genset</t>
        </is>
      </c>
      <c r="F1361" s="184" t="n">
        <v>743.2</v>
      </c>
    </row>
    <row r="1362">
      <c r="A1362" s="155" t="n">
        <v>46103</v>
      </c>
      <c r="B1362" s="156" t="inlineStr">
        <is>
          <t>GS-06</t>
        </is>
      </c>
      <c r="C1362" s="156" t="inlineStr">
        <is>
          <t>Genset</t>
        </is>
      </c>
      <c r="D1362" s="156" t="inlineStr">
        <is>
          <t>Aux</t>
        </is>
      </c>
      <c r="E1362" s="156" t="inlineStr">
        <is>
          <t>Genset</t>
        </is>
      </c>
      <c r="F1362" s="184" t="n">
        <v>195.1</v>
      </c>
    </row>
    <row r="1363">
      <c r="A1363" s="155" t="n">
        <v>46103</v>
      </c>
      <c r="B1363" s="156" t="inlineStr">
        <is>
          <t>GS-07</t>
        </is>
      </c>
      <c r="C1363" s="156" t="inlineStr">
        <is>
          <t>Genset</t>
        </is>
      </c>
      <c r="D1363" s="156" t="inlineStr">
        <is>
          <t>Aux</t>
        </is>
      </c>
      <c r="E1363" s="156" t="inlineStr">
        <is>
          <t>Genset</t>
        </is>
      </c>
      <c r="F1363" s="184" t="n">
        <v>39.1</v>
      </c>
    </row>
    <row r="1364">
      <c r="A1364" s="155" t="n">
        <v>46103</v>
      </c>
      <c r="B1364" s="156" t="inlineStr">
        <is>
          <t>GS-08</t>
        </is>
      </c>
      <c r="C1364" s="156" t="inlineStr">
        <is>
          <t>Genset</t>
        </is>
      </c>
      <c r="D1364" s="156" t="inlineStr">
        <is>
          <t>Aux</t>
        </is>
      </c>
      <c r="E1364" s="156" t="inlineStr">
        <is>
          <t>Genset</t>
        </is>
      </c>
      <c r="F1364" s="184" t="n">
        <v>63.2</v>
      </c>
    </row>
    <row r="1365">
      <c r="A1365" s="155" t="n">
        <v>46103</v>
      </c>
      <c r="B1365" s="156" t="inlineStr">
        <is>
          <t>WP-03</t>
        </is>
      </c>
      <c r="C1365" s="156" t="inlineStr">
        <is>
          <t>Pompa air</t>
        </is>
      </c>
      <c r="D1365" s="156" t="inlineStr">
        <is>
          <t>Mining</t>
        </is>
      </c>
      <c r="E1365" s="156" t="inlineStr">
        <is>
          <t>Pompa air</t>
        </is>
      </c>
      <c r="F1365" s="184" t="n">
        <v>708.6</v>
      </c>
    </row>
    <row r="1366">
      <c r="A1366" s="155" t="n">
        <v>46103</v>
      </c>
      <c r="B1366" s="156" t="inlineStr">
        <is>
          <t>WP-05</t>
        </is>
      </c>
      <c r="C1366" s="156" t="inlineStr">
        <is>
          <t>Pompa air</t>
        </is>
      </c>
      <c r="D1366" s="156" t="inlineStr">
        <is>
          <t>Mining</t>
        </is>
      </c>
      <c r="E1366" s="156" t="inlineStr">
        <is>
          <t>Pompa air</t>
        </is>
      </c>
      <c r="F1366" s="184" t="n">
        <v>1289</v>
      </c>
    </row>
    <row r="1367">
      <c r="A1367" s="155" t="n">
        <v>46103</v>
      </c>
      <c r="B1367" s="156" t="inlineStr">
        <is>
          <t>DT-341</t>
        </is>
      </c>
      <c r="C1367" s="156" t="inlineStr">
        <is>
          <t>Hauler</t>
        </is>
      </c>
      <c r="D1367" s="156" t="inlineStr">
        <is>
          <t>Aux</t>
        </is>
      </c>
      <c r="E1367" s="156" t="inlineStr">
        <is>
          <t>SYZ324C-8W</t>
        </is>
      </c>
      <c r="F1367" s="184" t="n">
        <v>155.5</v>
      </c>
    </row>
    <row r="1368">
      <c r="A1368" s="155" t="n">
        <v>46103</v>
      </c>
      <c r="B1368" s="156" t="inlineStr">
        <is>
          <t>DT-342</t>
        </is>
      </c>
      <c r="C1368" s="156" t="inlineStr">
        <is>
          <t>Hauler</t>
        </is>
      </c>
      <c r="D1368" s="156" t="inlineStr">
        <is>
          <t>Aux</t>
        </is>
      </c>
      <c r="E1368" s="156" t="inlineStr">
        <is>
          <t>SYZ324C-8W</t>
        </is>
      </c>
      <c r="F1368" s="184" t="n">
        <v>131.5</v>
      </c>
    </row>
    <row r="1369">
      <c r="A1369" s="155" t="n">
        <v>46103</v>
      </c>
      <c r="B1369" s="156" t="inlineStr">
        <is>
          <t>WL-022</t>
        </is>
      </c>
      <c r="C1369" s="156" t="inlineStr">
        <is>
          <t>Loader</t>
        </is>
      </c>
      <c r="D1369" s="156" t="inlineStr">
        <is>
          <t>Aux</t>
        </is>
      </c>
      <c r="E1369" s="156" t="inlineStr">
        <is>
          <t>SANY - Loader</t>
        </is>
      </c>
      <c r="F1369" s="184" t="n">
        <v>271.3</v>
      </c>
    </row>
    <row r="1370">
      <c r="A1370" s="155" t="n">
        <v>46103</v>
      </c>
      <c r="B1370" s="156" t="inlineStr">
        <is>
          <t>WL-024</t>
        </is>
      </c>
      <c r="C1370" s="156" t="inlineStr">
        <is>
          <t>Loader</t>
        </is>
      </c>
      <c r="D1370" s="156" t="inlineStr">
        <is>
          <t>Aux</t>
        </is>
      </c>
      <c r="E1370" s="156" t="inlineStr">
        <is>
          <t>SANY - Loader</t>
        </is>
      </c>
      <c r="F1370" s="184" t="n">
        <v>229.5</v>
      </c>
    </row>
    <row r="1371">
      <c r="A1371" s="155" t="n">
        <v>46103</v>
      </c>
      <c r="B1371" s="156" t="inlineStr">
        <is>
          <t>LV-14</t>
        </is>
      </c>
      <c r="C1371" s="156" t="inlineStr">
        <is>
          <t>LV &amp; sarana</t>
        </is>
      </c>
      <c r="D1371" s="156" t="inlineStr">
        <is>
          <t>Mining</t>
        </is>
      </c>
      <c r="E1371" s="156" t="inlineStr">
        <is>
          <t>Light vehicle</t>
        </is>
      </c>
      <c r="F1371" s="184" t="n">
        <v>13.5</v>
      </c>
    </row>
    <row r="1372">
      <c r="A1372" s="155" t="n">
        <v>46090</v>
      </c>
      <c r="B1372" s="156" t="inlineStr">
        <is>
          <t>EX-754</t>
        </is>
      </c>
      <c r="C1372" s="156" t="inlineStr">
        <is>
          <t>Excavator</t>
        </is>
      </c>
      <c r="D1372" s="156" t="inlineStr">
        <is>
          <t>Mining</t>
        </is>
      </c>
      <c r="E1372" s="156" t="inlineStr">
        <is>
          <t>SY750H-PRO</t>
        </is>
      </c>
      <c r="F1372" s="184" t="n">
        <v>752.5</v>
      </c>
    </row>
    <row r="1373">
      <c r="A1373" s="155" t="n">
        <v>46090</v>
      </c>
      <c r="B1373" s="156" t="inlineStr">
        <is>
          <t>EX-755</t>
        </is>
      </c>
      <c r="C1373" s="156" t="inlineStr">
        <is>
          <t>Excavator</t>
        </is>
      </c>
      <c r="D1373" s="156" t="inlineStr">
        <is>
          <t>Mining</t>
        </is>
      </c>
      <c r="E1373" s="156" t="inlineStr">
        <is>
          <t>SY750H-PRO</t>
        </is>
      </c>
      <c r="F1373" s="184" t="n">
        <v>746.7</v>
      </c>
    </row>
    <row r="1374">
      <c r="A1374" s="155" t="n">
        <v>46090</v>
      </c>
      <c r="B1374" s="156" t="inlineStr">
        <is>
          <t>EX-753</t>
        </is>
      </c>
      <c r="C1374" s="156" t="inlineStr">
        <is>
          <t>Excavator</t>
        </is>
      </c>
      <c r="D1374" s="156" t="inlineStr">
        <is>
          <t>Mining</t>
        </is>
      </c>
      <c r="E1374" s="156" t="inlineStr">
        <is>
          <t>SY750H-PRO</t>
        </is>
      </c>
      <c r="F1374" s="184" t="n">
        <v>637.3</v>
      </c>
    </row>
    <row r="1375">
      <c r="A1375" s="155" t="n">
        <v>46090</v>
      </c>
      <c r="B1375" s="156" t="inlineStr">
        <is>
          <t>EX-334</t>
        </is>
      </c>
      <c r="C1375" s="156" t="inlineStr">
        <is>
          <t>Excavator</t>
        </is>
      </c>
      <c r="D1375" s="156" t="inlineStr">
        <is>
          <t>Mining</t>
        </is>
      </c>
      <c r="E1375" s="156" t="inlineStr">
        <is>
          <t>PC 300-8MO</t>
        </is>
      </c>
      <c r="F1375" s="184" t="n">
        <v>494.4</v>
      </c>
    </row>
    <row r="1376">
      <c r="A1376" s="155" t="n">
        <v>46090</v>
      </c>
      <c r="B1376" s="156" t="inlineStr">
        <is>
          <t>EX-332</t>
        </is>
      </c>
      <c r="C1376" s="156" t="inlineStr">
        <is>
          <t>Excavator</t>
        </is>
      </c>
      <c r="D1376" s="156" t="inlineStr">
        <is>
          <t>Mining</t>
        </is>
      </c>
      <c r="E1376" s="156" t="inlineStr">
        <is>
          <t>PC 300-8MO</t>
        </is>
      </c>
      <c r="F1376" s="184" t="n">
        <v>459.7</v>
      </c>
    </row>
    <row r="1377">
      <c r="A1377" s="155" t="n">
        <v>46090</v>
      </c>
      <c r="B1377" s="156" t="inlineStr">
        <is>
          <t>EX-222</t>
        </is>
      </c>
      <c r="C1377" s="156" t="inlineStr">
        <is>
          <t>Excavator</t>
        </is>
      </c>
      <c r="D1377" s="156" t="inlineStr">
        <is>
          <t>Mining</t>
        </is>
      </c>
      <c r="E1377" s="156" t="inlineStr">
        <is>
          <t>PC 200-8MI</t>
        </is>
      </c>
      <c r="F1377" s="184" t="n">
        <v>223.3</v>
      </c>
    </row>
    <row r="1378">
      <c r="A1378" s="155" t="n">
        <v>46090</v>
      </c>
      <c r="B1378" s="156" t="inlineStr">
        <is>
          <t>EX-223</t>
        </is>
      </c>
      <c r="C1378" s="156" t="inlineStr">
        <is>
          <t>Excavator</t>
        </is>
      </c>
      <c r="D1378" s="156" t="inlineStr">
        <is>
          <t>Aux</t>
        </is>
      </c>
      <c r="E1378" s="156" t="inlineStr">
        <is>
          <t>PC 200-8MI</t>
        </is>
      </c>
      <c r="F1378" s="184" t="n">
        <v>233.8</v>
      </c>
    </row>
    <row r="1379">
      <c r="A1379" s="155" t="n">
        <v>46090</v>
      </c>
      <c r="B1379" s="156" t="inlineStr">
        <is>
          <t>EX-221</t>
        </is>
      </c>
      <c r="C1379" s="156" t="inlineStr">
        <is>
          <t>Excavator</t>
        </is>
      </c>
      <c r="D1379" s="156" t="inlineStr">
        <is>
          <t>Aux</t>
        </is>
      </c>
      <c r="E1379" s="156" t="inlineStr">
        <is>
          <t>PC 200-8MI</t>
        </is>
      </c>
      <c r="F1379" s="184" t="n">
        <v>107.2</v>
      </c>
    </row>
    <row r="1380">
      <c r="A1380" s="155" t="n">
        <v>46090</v>
      </c>
      <c r="B1380" s="156" t="inlineStr">
        <is>
          <t>EX-1251</t>
        </is>
      </c>
      <c r="C1380" s="156" t="inlineStr">
        <is>
          <t>Excavator</t>
        </is>
      </c>
      <c r="D1380" s="156" t="inlineStr">
        <is>
          <t>Mining</t>
        </is>
      </c>
      <c r="E1380" s="156" t="inlineStr">
        <is>
          <t>SY1250</t>
        </is>
      </c>
      <c r="F1380" s="184" t="n">
        <v>1598.1</v>
      </c>
    </row>
    <row r="1381">
      <c r="A1381" s="155" t="n">
        <v>46090</v>
      </c>
      <c r="B1381" s="156" t="inlineStr">
        <is>
          <t>EX-333</t>
        </is>
      </c>
      <c r="C1381" s="156" t="inlineStr">
        <is>
          <t>Excavator</t>
        </is>
      </c>
      <c r="D1381" s="156" t="inlineStr">
        <is>
          <t>Mining</t>
        </is>
      </c>
      <c r="E1381" s="156" t="inlineStr">
        <is>
          <t>PC 300-8MO</t>
        </is>
      </c>
      <c r="F1381" s="184" t="n">
        <v>613.4</v>
      </c>
    </row>
    <row r="1382">
      <c r="A1382" s="155" t="n">
        <v>46090</v>
      </c>
      <c r="B1382" s="156" t="inlineStr">
        <is>
          <t>DT-808</t>
        </is>
      </c>
      <c r="C1382" s="156" t="inlineStr">
        <is>
          <t>Hauler</t>
        </is>
      </c>
      <c r="D1382" s="156" t="inlineStr">
        <is>
          <t>Mining</t>
        </is>
      </c>
      <c r="E1382" s="156" t="inlineStr">
        <is>
          <t>SKT 80S</t>
        </is>
      </c>
      <c r="F1382" s="184" t="n">
        <v>142.2</v>
      </c>
    </row>
    <row r="1383">
      <c r="A1383" s="155" t="n">
        <v>46090</v>
      </c>
      <c r="B1383" s="156" t="inlineStr">
        <is>
          <t>DT-807</t>
        </is>
      </c>
      <c r="C1383" s="156" t="inlineStr">
        <is>
          <t>Hauler</t>
        </is>
      </c>
      <c r="D1383" s="156" t="inlineStr">
        <is>
          <t>Mining</t>
        </is>
      </c>
      <c r="E1383" s="156" t="inlineStr">
        <is>
          <t>SKT 80S</t>
        </is>
      </c>
      <c r="F1383" s="184" t="n">
        <v>284.4</v>
      </c>
    </row>
    <row r="1384">
      <c r="A1384" s="155" t="n">
        <v>46090</v>
      </c>
      <c r="B1384" s="156" t="inlineStr">
        <is>
          <t>DT-505</t>
        </is>
      </c>
      <c r="C1384" s="156" t="inlineStr">
        <is>
          <t>Hauler</t>
        </is>
      </c>
      <c r="D1384" s="156" t="inlineStr">
        <is>
          <t>Mining</t>
        </is>
      </c>
      <c r="E1384" s="156" t="inlineStr">
        <is>
          <t>SKT 105S</t>
        </is>
      </c>
      <c r="F1384" s="184" t="n">
        <v>374.3</v>
      </c>
    </row>
    <row r="1385">
      <c r="A1385" s="155" t="n">
        <v>46090</v>
      </c>
      <c r="B1385" s="156" t="inlineStr">
        <is>
          <t>DT-503</t>
        </is>
      </c>
      <c r="C1385" s="156" t="inlineStr">
        <is>
          <t>Hauler</t>
        </is>
      </c>
      <c r="D1385" s="156" t="inlineStr">
        <is>
          <t>Mining</t>
        </is>
      </c>
      <c r="E1385" s="156" t="inlineStr">
        <is>
          <t>SKT 105S</t>
        </is>
      </c>
      <c r="F1385" s="184" t="n">
        <v>538.7</v>
      </c>
    </row>
    <row r="1386">
      <c r="A1386" s="155" t="n">
        <v>46090</v>
      </c>
      <c r="B1386" s="156" t="inlineStr">
        <is>
          <t>DT-504</t>
        </is>
      </c>
      <c r="C1386" s="156" t="inlineStr">
        <is>
          <t>Hauler</t>
        </is>
      </c>
      <c r="D1386" s="156" t="inlineStr">
        <is>
          <t>Mining</t>
        </is>
      </c>
      <c r="E1386" s="156" t="inlineStr">
        <is>
          <t>SKT 105S</t>
        </is>
      </c>
      <c r="F1386" s="184" t="n">
        <v>530.6</v>
      </c>
    </row>
    <row r="1387">
      <c r="A1387" s="155" t="n">
        <v>46090</v>
      </c>
      <c r="B1387" s="156" t="inlineStr">
        <is>
          <t>DT-501</t>
        </is>
      </c>
      <c r="C1387" s="156" t="inlineStr">
        <is>
          <t>Hauler</t>
        </is>
      </c>
      <c r="D1387" s="156" t="inlineStr">
        <is>
          <t>Mining</t>
        </is>
      </c>
      <c r="E1387" s="156" t="inlineStr">
        <is>
          <t>SKT 105S</t>
        </is>
      </c>
      <c r="F1387" s="184" t="n">
        <v>428</v>
      </c>
    </row>
    <row r="1388">
      <c r="A1388" s="155" t="n">
        <v>46090</v>
      </c>
      <c r="B1388" s="156" t="inlineStr">
        <is>
          <t>DT-514</t>
        </is>
      </c>
      <c r="C1388" s="156" t="inlineStr">
        <is>
          <t>Hauler</t>
        </is>
      </c>
      <c r="D1388" s="156" t="inlineStr">
        <is>
          <t>Mining</t>
        </is>
      </c>
      <c r="E1388" s="156" t="inlineStr">
        <is>
          <t>SKT 105S</t>
        </is>
      </c>
      <c r="F1388" s="184" t="n">
        <v>201.4</v>
      </c>
    </row>
    <row r="1389">
      <c r="A1389" s="155" t="n">
        <v>46090</v>
      </c>
      <c r="B1389" s="156" t="inlineStr">
        <is>
          <t>DT-523</t>
        </is>
      </c>
      <c r="C1389" s="156" t="inlineStr">
        <is>
          <t>Hauler</t>
        </is>
      </c>
      <c r="D1389" s="156" t="inlineStr">
        <is>
          <t>Mining</t>
        </is>
      </c>
      <c r="E1389" s="156" t="inlineStr">
        <is>
          <t>SKT 105S</t>
        </is>
      </c>
      <c r="F1389" s="184" t="n">
        <v>474.5</v>
      </c>
    </row>
    <row r="1390">
      <c r="A1390" s="155" t="n">
        <v>46090</v>
      </c>
      <c r="B1390" s="156" t="inlineStr">
        <is>
          <t>DT-527</t>
        </is>
      </c>
      <c r="C1390" s="156" t="inlineStr">
        <is>
          <t>Hauler</t>
        </is>
      </c>
      <c r="D1390" s="156" t="inlineStr">
        <is>
          <t>Mining</t>
        </is>
      </c>
      <c r="E1390" s="156" t="inlineStr">
        <is>
          <t>SKT 105S</t>
        </is>
      </c>
      <c r="F1390" s="184" t="n">
        <v>456.3</v>
      </c>
    </row>
    <row r="1391">
      <c r="A1391" s="155" t="n">
        <v>46090</v>
      </c>
      <c r="B1391" s="156" t="inlineStr">
        <is>
          <t>DT-513</t>
        </is>
      </c>
      <c r="C1391" s="156" t="inlineStr">
        <is>
          <t>Hauler</t>
        </is>
      </c>
      <c r="D1391" s="156" t="inlineStr">
        <is>
          <t>Mining</t>
        </is>
      </c>
      <c r="E1391" s="156" t="inlineStr">
        <is>
          <t>SKT 105S</t>
        </is>
      </c>
      <c r="F1391" s="184" t="n">
        <v>380.7</v>
      </c>
    </row>
    <row r="1392">
      <c r="A1392" s="155" t="n">
        <v>46090</v>
      </c>
      <c r="B1392" s="156" t="inlineStr">
        <is>
          <t>DT-512</t>
        </is>
      </c>
      <c r="C1392" s="156" t="inlineStr">
        <is>
          <t>Hauler</t>
        </is>
      </c>
      <c r="D1392" s="156" t="inlineStr">
        <is>
          <t>Mining</t>
        </is>
      </c>
      <c r="E1392" s="156" t="inlineStr">
        <is>
          <t>SKT 105S</t>
        </is>
      </c>
      <c r="F1392" s="184" t="n">
        <v>431.4</v>
      </c>
    </row>
    <row r="1393">
      <c r="A1393" s="155" t="n">
        <v>46090</v>
      </c>
      <c r="B1393" s="156" t="inlineStr">
        <is>
          <t>DT-522</t>
        </is>
      </c>
      <c r="C1393" s="156" t="inlineStr">
        <is>
          <t>Hauler</t>
        </is>
      </c>
      <c r="D1393" s="156" t="inlineStr">
        <is>
          <t>Mining</t>
        </is>
      </c>
      <c r="E1393" s="156" t="inlineStr">
        <is>
          <t>SKT 105S</t>
        </is>
      </c>
      <c r="F1393" s="184" t="n">
        <v>620.2</v>
      </c>
    </row>
    <row r="1394">
      <c r="A1394" s="155" t="n">
        <v>46090</v>
      </c>
      <c r="B1394" s="156" t="inlineStr">
        <is>
          <t>DT-517</t>
        </is>
      </c>
      <c r="C1394" s="156" t="inlineStr">
        <is>
          <t>Hauler</t>
        </is>
      </c>
      <c r="D1394" s="156" t="inlineStr">
        <is>
          <t>Mining</t>
        </is>
      </c>
      <c r="E1394" s="156" t="inlineStr">
        <is>
          <t>SKT 105S</t>
        </is>
      </c>
      <c r="F1394" s="184" t="n">
        <v>363.9</v>
      </c>
    </row>
    <row r="1395">
      <c r="A1395" s="155" t="n">
        <v>46090</v>
      </c>
      <c r="B1395" s="156" t="inlineStr">
        <is>
          <t>DT-510</t>
        </is>
      </c>
      <c r="C1395" s="156" t="inlineStr">
        <is>
          <t>Hauler</t>
        </is>
      </c>
      <c r="D1395" s="156" t="inlineStr">
        <is>
          <t>Mining</t>
        </is>
      </c>
      <c r="E1395" s="156" t="inlineStr">
        <is>
          <t>SKT 105S</t>
        </is>
      </c>
      <c r="F1395" s="184" t="n">
        <v>354.8</v>
      </c>
    </row>
    <row r="1396">
      <c r="A1396" s="155" t="n">
        <v>46090</v>
      </c>
      <c r="B1396" s="156" t="inlineStr">
        <is>
          <t>DT-521</t>
        </is>
      </c>
      <c r="C1396" s="156" t="inlineStr">
        <is>
          <t>Hauler</t>
        </is>
      </c>
      <c r="D1396" s="156" t="inlineStr">
        <is>
          <t>Mining</t>
        </is>
      </c>
      <c r="E1396" s="156" t="inlineStr">
        <is>
          <t>SKT 105S</t>
        </is>
      </c>
      <c r="F1396" s="184" t="n">
        <v>429.1</v>
      </c>
    </row>
    <row r="1397">
      <c r="A1397" s="155" t="n">
        <v>46090</v>
      </c>
      <c r="B1397" s="156" t="inlineStr">
        <is>
          <t>DT-516</t>
        </is>
      </c>
      <c r="C1397" s="156" t="inlineStr">
        <is>
          <t>Hauler</t>
        </is>
      </c>
      <c r="D1397" s="156" t="inlineStr">
        <is>
          <t>Mining</t>
        </is>
      </c>
      <c r="E1397" s="156" t="inlineStr">
        <is>
          <t>SKT 105S</t>
        </is>
      </c>
      <c r="F1397" s="184" t="n">
        <v>543.2</v>
      </c>
    </row>
    <row r="1398">
      <c r="A1398" s="155" t="n">
        <v>46090</v>
      </c>
      <c r="B1398" s="156" t="inlineStr">
        <is>
          <t>DT-506</t>
        </is>
      </c>
      <c r="C1398" s="156" t="inlineStr">
        <is>
          <t>Hauler</t>
        </is>
      </c>
      <c r="D1398" s="156" t="inlineStr">
        <is>
          <t>Mining</t>
        </is>
      </c>
      <c r="E1398" s="156" t="inlineStr">
        <is>
          <t>SKT 105S</t>
        </is>
      </c>
      <c r="F1398" s="184" t="n">
        <v>400.7</v>
      </c>
    </row>
    <row r="1399">
      <c r="A1399" s="155" t="n">
        <v>46090</v>
      </c>
      <c r="B1399" s="156" t="inlineStr">
        <is>
          <t>DT-502</t>
        </is>
      </c>
      <c r="C1399" s="156" t="inlineStr">
        <is>
          <t>Hauler</t>
        </is>
      </c>
      <c r="D1399" s="156" t="inlineStr">
        <is>
          <t>Mining</t>
        </is>
      </c>
      <c r="E1399" s="156" t="inlineStr">
        <is>
          <t>SKT 105S</t>
        </is>
      </c>
      <c r="F1399" s="184" t="n">
        <v>357</v>
      </c>
    </row>
    <row r="1400">
      <c r="A1400" s="155" t="n">
        <v>46090</v>
      </c>
      <c r="B1400" s="156" t="inlineStr">
        <is>
          <t>DT-528</t>
        </is>
      </c>
      <c r="C1400" s="156" t="inlineStr">
        <is>
          <t>Hauler</t>
        </is>
      </c>
      <c r="D1400" s="156" t="inlineStr">
        <is>
          <t>Mining</t>
        </is>
      </c>
      <c r="E1400" s="156" t="inlineStr">
        <is>
          <t>SKT 105S</t>
        </is>
      </c>
      <c r="F1400" s="184" t="n">
        <v>360.8</v>
      </c>
    </row>
    <row r="1401">
      <c r="A1401" s="155" t="n">
        <v>46090</v>
      </c>
      <c r="B1401" s="156" t="inlineStr">
        <is>
          <t>DT-529</t>
        </is>
      </c>
      <c r="C1401" s="156" t="inlineStr">
        <is>
          <t>Hauler</t>
        </is>
      </c>
      <c r="D1401" s="156" t="inlineStr">
        <is>
          <t>Mining</t>
        </is>
      </c>
      <c r="E1401" s="156" t="inlineStr">
        <is>
          <t>SKT 105S</t>
        </is>
      </c>
      <c r="F1401" s="184" t="n">
        <v>242.7</v>
      </c>
    </row>
    <row r="1402">
      <c r="A1402" s="155" t="n">
        <v>46090</v>
      </c>
      <c r="B1402" s="156" t="inlineStr">
        <is>
          <t>DT-520</t>
        </is>
      </c>
      <c r="C1402" s="156" t="inlineStr">
        <is>
          <t>Hauler</t>
        </is>
      </c>
      <c r="D1402" s="156" t="inlineStr">
        <is>
          <t>Mining</t>
        </is>
      </c>
      <c r="E1402" s="156" t="inlineStr">
        <is>
          <t>SKT 105S</t>
        </is>
      </c>
      <c r="F1402" s="184" t="n">
        <v>484.8</v>
      </c>
    </row>
    <row r="1403">
      <c r="A1403" s="155" t="n">
        <v>46090</v>
      </c>
      <c r="B1403" s="156" t="inlineStr">
        <is>
          <t>DT-511</t>
        </is>
      </c>
      <c r="C1403" s="156" t="inlineStr">
        <is>
          <t>Hauler</t>
        </is>
      </c>
      <c r="D1403" s="156" t="inlineStr">
        <is>
          <t>Mining</t>
        </is>
      </c>
      <c r="E1403" s="156" t="inlineStr">
        <is>
          <t>SKT 105S</t>
        </is>
      </c>
      <c r="F1403" s="184" t="n">
        <v>347.4</v>
      </c>
    </row>
    <row r="1404">
      <c r="A1404" s="155" t="n">
        <v>46090</v>
      </c>
      <c r="B1404" s="156" t="inlineStr">
        <is>
          <t>DT-526</t>
        </is>
      </c>
      <c r="C1404" s="156" t="inlineStr">
        <is>
          <t>Hauler</t>
        </is>
      </c>
      <c r="D1404" s="156" t="inlineStr">
        <is>
          <t>Mining</t>
        </is>
      </c>
      <c r="E1404" s="156" t="inlineStr">
        <is>
          <t>SKT 105S</t>
        </is>
      </c>
      <c r="F1404" s="184" t="n">
        <v>416.9</v>
      </c>
    </row>
    <row r="1405">
      <c r="A1405" s="155" t="n">
        <v>46090</v>
      </c>
      <c r="B1405" s="156" t="inlineStr">
        <is>
          <t>DT-508</t>
        </is>
      </c>
      <c r="C1405" s="156" t="inlineStr">
        <is>
          <t>Hauler</t>
        </is>
      </c>
      <c r="D1405" s="156" t="inlineStr">
        <is>
          <t>Mining</t>
        </is>
      </c>
      <c r="E1405" s="156" t="inlineStr">
        <is>
          <t>SKT 105S</t>
        </is>
      </c>
      <c r="F1405" s="184" t="n">
        <v>327.6</v>
      </c>
    </row>
    <row r="1406">
      <c r="A1406" s="155" t="n">
        <v>46090</v>
      </c>
      <c r="B1406" s="156" t="inlineStr">
        <is>
          <t>DZ-034</t>
        </is>
      </c>
      <c r="C1406" s="156" t="inlineStr">
        <is>
          <t>Bulldozer</t>
        </is>
      </c>
      <c r="D1406" s="156" t="inlineStr">
        <is>
          <t>Mining</t>
        </is>
      </c>
      <c r="E1406" s="156" t="inlineStr">
        <is>
          <t>D 68ESS-12EO</t>
        </is>
      </c>
      <c r="F1406" s="184" t="n">
        <v>270.6</v>
      </c>
    </row>
    <row r="1407">
      <c r="A1407" s="155" t="n">
        <v>46090</v>
      </c>
      <c r="B1407" s="156" t="inlineStr">
        <is>
          <t>DZ-033</t>
        </is>
      </c>
      <c r="C1407" s="156" t="inlineStr">
        <is>
          <t>Bulldozer</t>
        </is>
      </c>
      <c r="D1407" s="156" t="inlineStr">
        <is>
          <t>Mining</t>
        </is>
      </c>
      <c r="E1407" s="156" t="inlineStr">
        <is>
          <t>D 375A-6R</t>
        </is>
      </c>
      <c r="F1407" s="184" t="n">
        <v>897.7</v>
      </c>
    </row>
    <row r="1408">
      <c r="A1408" s="155" t="n">
        <v>46090</v>
      </c>
      <c r="B1408" s="156" t="inlineStr">
        <is>
          <t>DZ-036</t>
        </is>
      </c>
      <c r="C1408" s="156" t="inlineStr">
        <is>
          <t>Bulldozer</t>
        </is>
      </c>
      <c r="D1408" s="156" t="inlineStr">
        <is>
          <t>Aux</t>
        </is>
      </c>
      <c r="E1408" s="156" t="inlineStr">
        <is>
          <t>D 85 ESS-2</t>
        </is>
      </c>
      <c r="F1408" s="184" t="n">
        <v>205.7</v>
      </c>
    </row>
    <row r="1409">
      <c r="A1409" s="155" t="n">
        <v>46090</v>
      </c>
      <c r="B1409" s="156" t="inlineStr">
        <is>
          <t>DZ-032</t>
        </is>
      </c>
      <c r="C1409" s="156" t="inlineStr">
        <is>
          <t>Bulldozer</t>
        </is>
      </c>
      <c r="D1409" s="156" t="inlineStr">
        <is>
          <t>Mining</t>
        </is>
      </c>
      <c r="E1409" s="156" t="inlineStr">
        <is>
          <t>CAT</t>
        </is>
      </c>
      <c r="F1409" s="184" t="n">
        <v>210.3</v>
      </c>
    </row>
    <row r="1410">
      <c r="A1410" s="155" t="n">
        <v>46090</v>
      </c>
      <c r="B1410" s="156" t="inlineStr">
        <is>
          <t>DZ-031</t>
        </is>
      </c>
      <c r="C1410" s="156" t="inlineStr">
        <is>
          <t>Bulldozer</t>
        </is>
      </c>
      <c r="D1410" s="156" t="inlineStr">
        <is>
          <t>Mining</t>
        </is>
      </c>
      <c r="E1410" s="156" t="inlineStr">
        <is>
          <t>CAT</t>
        </is>
      </c>
      <c r="F1410" s="184" t="n">
        <v>216.4</v>
      </c>
    </row>
    <row r="1411">
      <c r="A1411" s="155" t="n">
        <v>46090</v>
      </c>
      <c r="B1411" s="156" t="inlineStr">
        <is>
          <t>GD-013</t>
        </is>
      </c>
      <c r="C1411" s="156" t="inlineStr">
        <is>
          <t>Grader</t>
        </is>
      </c>
      <c r="D1411" s="156" t="inlineStr">
        <is>
          <t>Mining</t>
        </is>
      </c>
      <c r="E1411" s="156" t="inlineStr">
        <is>
          <t>STG 265C - 10</t>
        </is>
      </c>
      <c r="F1411" s="184" t="n">
        <v>324.7</v>
      </c>
    </row>
    <row r="1412">
      <c r="A1412" s="155" t="n">
        <v>46090</v>
      </c>
      <c r="B1412" s="156" t="inlineStr">
        <is>
          <t>GD-014</t>
        </is>
      </c>
      <c r="C1412" s="156" t="inlineStr">
        <is>
          <t>Grader</t>
        </is>
      </c>
      <c r="D1412" s="156" t="inlineStr">
        <is>
          <t>Mining</t>
        </is>
      </c>
      <c r="E1412" s="156" t="inlineStr">
        <is>
          <t>STG 335C - 10</t>
        </is>
      </c>
      <c r="F1412" s="184" t="n">
        <v>294.3</v>
      </c>
    </row>
    <row r="1413">
      <c r="A1413" s="155" t="n">
        <v>46090</v>
      </c>
      <c r="B1413" s="156" t="inlineStr">
        <is>
          <t>CP-041</t>
        </is>
      </c>
      <c r="C1413" s="156" t="inlineStr">
        <is>
          <t>Compactor</t>
        </is>
      </c>
      <c r="D1413" s="156" t="inlineStr">
        <is>
          <t>Mining</t>
        </is>
      </c>
      <c r="E1413" s="156" t="inlineStr">
        <is>
          <t>SANY - Compactor</t>
        </is>
      </c>
      <c r="F1413" s="184" t="n">
        <v>131.1</v>
      </c>
    </row>
    <row r="1414">
      <c r="A1414" s="155" t="n">
        <v>46090</v>
      </c>
      <c r="B1414" s="156" t="inlineStr">
        <is>
          <t>WL-023</t>
        </is>
      </c>
      <c r="C1414" s="156" t="inlineStr">
        <is>
          <t>Loader</t>
        </is>
      </c>
      <c r="D1414" s="156" t="inlineStr">
        <is>
          <t>Aux</t>
        </is>
      </c>
      <c r="E1414" s="156" t="inlineStr">
        <is>
          <t>SANY - Loader</t>
        </is>
      </c>
      <c r="F1414" s="184" t="n">
        <v>184.9</v>
      </c>
    </row>
    <row r="1415">
      <c r="A1415" s="155" t="n">
        <v>46090</v>
      </c>
      <c r="B1415" s="156" t="inlineStr">
        <is>
          <t>LV-02</t>
        </is>
      </c>
      <c r="C1415" s="156" t="inlineStr">
        <is>
          <t>LV &amp; sarana</t>
        </is>
      </c>
      <c r="D1415" s="156" t="inlineStr">
        <is>
          <t>Aux</t>
        </is>
      </c>
      <c r="E1415" s="156" t="inlineStr">
        <is>
          <t>Light vehicle</t>
        </is>
      </c>
      <c r="F1415" s="184" t="n">
        <v>45.4</v>
      </c>
    </row>
    <row r="1416">
      <c r="A1416" s="155" t="n">
        <v>46090</v>
      </c>
      <c r="B1416" s="156" t="inlineStr">
        <is>
          <t>LV-03</t>
        </is>
      </c>
      <c r="C1416" s="156" t="inlineStr">
        <is>
          <t>LV &amp; sarana</t>
        </is>
      </c>
      <c r="D1416" s="156" t="inlineStr">
        <is>
          <t>Aux</t>
        </is>
      </c>
      <c r="E1416" s="156" t="inlineStr">
        <is>
          <t>Light vehicle</t>
        </is>
      </c>
      <c r="F1416" s="184" t="n">
        <v>27.8</v>
      </c>
    </row>
    <row r="1417">
      <c r="A1417" s="155" t="n">
        <v>46090</v>
      </c>
      <c r="B1417" s="156" t="inlineStr">
        <is>
          <t>LV-06</t>
        </is>
      </c>
      <c r="C1417" s="156" t="inlineStr">
        <is>
          <t>LV &amp; sarana</t>
        </is>
      </c>
      <c r="D1417" s="156" t="inlineStr">
        <is>
          <t>Aux</t>
        </is>
      </c>
      <c r="E1417" s="156" t="inlineStr">
        <is>
          <t>Light vehicle</t>
        </is>
      </c>
      <c r="F1417" s="184" t="n">
        <v>25.3</v>
      </c>
    </row>
    <row r="1418">
      <c r="A1418" s="155" t="n">
        <v>46090</v>
      </c>
      <c r="B1418" s="156" t="inlineStr">
        <is>
          <t>LV-10</t>
        </is>
      </c>
      <c r="C1418" s="156" t="inlineStr">
        <is>
          <t>LV &amp; sarana</t>
        </is>
      </c>
      <c r="D1418" s="156" t="inlineStr">
        <is>
          <t>Aux</t>
        </is>
      </c>
      <c r="E1418" s="156" t="inlineStr">
        <is>
          <t>Light vehicle</t>
        </is>
      </c>
      <c r="F1418" s="184" t="n">
        <v>47</v>
      </c>
    </row>
    <row r="1419">
      <c r="A1419" s="155" t="n">
        <v>46090</v>
      </c>
      <c r="B1419" s="156" t="inlineStr">
        <is>
          <t>AL-04</t>
        </is>
      </c>
      <c r="C1419" s="156" t="inlineStr">
        <is>
          <t>Alat lain</t>
        </is>
      </c>
      <c r="D1419" s="156" t="inlineStr">
        <is>
          <t>Mining</t>
        </is>
      </c>
      <c r="E1419" s="156" t="inlineStr">
        <is>
          <t>Alat lain</t>
        </is>
      </c>
      <c r="F1419" s="184" t="n">
        <v>502.3</v>
      </c>
    </row>
    <row r="1420">
      <c r="A1420" s="155" t="n">
        <v>46090</v>
      </c>
      <c r="B1420" s="156" t="inlineStr">
        <is>
          <t>TS-03</t>
        </is>
      </c>
      <c r="C1420" s="156" t="inlineStr">
        <is>
          <t>Truk support</t>
        </is>
      </c>
      <c r="D1420" s="156" t="inlineStr">
        <is>
          <t>Mining</t>
        </is>
      </c>
      <c r="E1420" s="156" t="inlineStr">
        <is>
          <t>Truk support</t>
        </is>
      </c>
      <c r="F1420" s="184" t="n">
        <v>184.9</v>
      </c>
    </row>
    <row r="1421">
      <c r="A1421" s="155" t="n">
        <v>46090</v>
      </c>
      <c r="B1421" s="156" t="inlineStr">
        <is>
          <t>TS-06</t>
        </is>
      </c>
      <c r="C1421" s="156" t="inlineStr">
        <is>
          <t>Truk support</t>
        </is>
      </c>
      <c r="D1421" s="156" t="inlineStr">
        <is>
          <t>Mining</t>
        </is>
      </c>
      <c r="E1421" s="156" t="inlineStr">
        <is>
          <t>Truk support</t>
        </is>
      </c>
      <c r="F1421" s="184" t="n">
        <v>123.3</v>
      </c>
    </row>
    <row r="1422">
      <c r="A1422" s="155" t="n">
        <v>46090</v>
      </c>
      <c r="B1422" s="156" t="inlineStr">
        <is>
          <t>AL-09</t>
        </is>
      </c>
      <c r="C1422" s="156" t="inlineStr">
        <is>
          <t>Alat lain</t>
        </is>
      </c>
      <c r="D1422" s="156" t="inlineStr">
        <is>
          <t>Mining</t>
        </is>
      </c>
      <c r="E1422" s="156" t="inlineStr">
        <is>
          <t>Alat lain</t>
        </is>
      </c>
      <c r="F1422" s="184" t="n">
        <v>22.5</v>
      </c>
    </row>
    <row r="1423">
      <c r="A1423" s="155" t="n">
        <v>46090</v>
      </c>
      <c r="B1423" s="156" t="inlineStr">
        <is>
          <t>AL-10</t>
        </is>
      </c>
      <c r="C1423" s="156" t="inlineStr">
        <is>
          <t>Alat lain</t>
        </is>
      </c>
      <c r="D1423" s="156" t="inlineStr">
        <is>
          <t>Mining</t>
        </is>
      </c>
      <c r="E1423" s="156" t="inlineStr">
        <is>
          <t>Alat lain</t>
        </is>
      </c>
      <c r="F1423" s="184" t="n">
        <v>51</v>
      </c>
    </row>
    <row r="1424">
      <c r="A1424" s="155" t="n">
        <v>46090</v>
      </c>
      <c r="B1424" s="156" t="inlineStr">
        <is>
          <t>GS-01</t>
        </is>
      </c>
      <c r="C1424" s="156" t="inlineStr">
        <is>
          <t>Genset</t>
        </is>
      </c>
      <c r="D1424" s="156" t="inlineStr">
        <is>
          <t>Aux</t>
        </is>
      </c>
      <c r="E1424" s="156" t="inlineStr">
        <is>
          <t>Genset</t>
        </is>
      </c>
      <c r="F1424" s="184" t="n">
        <v>115.7</v>
      </c>
    </row>
    <row r="1425">
      <c r="A1425" s="155" t="n">
        <v>46090</v>
      </c>
      <c r="B1425" s="156" t="inlineStr">
        <is>
          <t>GS-02</t>
        </is>
      </c>
      <c r="C1425" s="156" t="inlineStr">
        <is>
          <t>Genset</t>
        </is>
      </c>
      <c r="D1425" s="156" t="inlineStr">
        <is>
          <t>Aux</t>
        </is>
      </c>
      <c r="E1425" s="156" t="inlineStr">
        <is>
          <t>Genset</t>
        </is>
      </c>
      <c r="F1425" s="184" t="n">
        <v>107.3</v>
      </c>
    </row>
    <row r="1426">
      <c r="A1426" s="155" t="n">
        <v>46090</v>
      </c>
      <c r="B1426" s="156" t="inlineStr">
        <is>
          <t>GS-03</t>
        </is>
      </c>
      <c r="C1426" s="156" t="inlineStr">
        <is>
          <t>Genset</t>
        </is>
      </c>
      <c r="D1426" s="156" t="inlineStr">
        <is>
          <t>Aux</t>
        </is>
      </c>
      <c r="E1426" s="156" t="inlineStr">
        <is>
          <t>Genset</t>
        </is>
      </c>
      <c r="F1426" s="184" t="n">
        <v>151.8</v>
      </c>
    </row>
    <row r="1427">
      <c r="A1427" s="155" t="n">
        <v>46090</v>
      </c>
      <c r="B1427" s="156" t="inlineStr">
        <is>
          <t>GS-04</t>
        </is>
      </c>
      <c r="C1427" s="156" t="inlineStr">
        <is>
          <t>Genset</t>
        </is>
      </c>
      <c r="D1427" s="156" t="inlineStr">
        <is>
          <t>Aux</t>
        </is>
      </c>
      <c r="E1427" s="156" t="inlineStr">
        <is>
          <t>Genset</t>
        </is>
      </c>
      <c r="F1427" s="184" t="n">
        <v>639.1</v>
      </c>
    </row>
    <row r="1428">
      <c r="A1428" s="155" t="n">
        <v>46090</v>
      </c>
      <c r="B1428" s="156" t="inlineStr">
        <is>
          <t>GS-08</t>
        </is>
      </c>
      <c r="C1428" s="156" t="inlineStr">
        <is>
          <t>Genset</t>
        </is>
      </c>
      <c r="D1428" s="156" t="inlineStr">
        <is>
          <t>Aux</t>
        </is>
      </c>
      <c r="E1428" s="156" t="inlineStr">
        <is>
          <t>Genset</t>
        </is>
      </c>
      <c r="F1428" s="184" t="n">
        <v>56.5</v>
      </c>
    </row>
    <row r="1429">
      <c r="A1429" s="155" t="n">
        <v>46090</v>
      </c>
      <c r="B1429" s="156" t="inlineStr">
        <is>
          <t>AL-11</t>
        </is>
      </c>
      <c r="C1429" s="156" t="inlineStr">
        <is>
          <t>Alat lain</t>
        </is>
      </c>
      <c r="D1429" s="156" t="inlineStr">
        <is>
          <t>Aux</t>
        </is>
      </c>
      <c r="E1429" s="156" t="inlineStr">
        <is>
          <t>Alat lain</t>
        </is>
      </c>
      <c r="F1429" s="184" t="n">
        <v>51.7</v>
      </c>
    </row>
    <row r="1430">
      <c r="A1430" s="155" t="n">
        <v>46090</v>
      </c>
      <c r="B1430" s="156" t="inlineStr">
        <is>
          <t>WP-05</t>
        </is>
      </c>
      <c r="C1430" s="156" t="inlineStr">
        <is>
          <t>Pompa air</t>
        </is>
      </c>
      <c r="D1430" s="156" t="inlineStr">
        <is>
          <t>Mining</t>
        </is>
      </c>
      <c r="E1430" s="156" t="inlineStr">
        <is>
          <t>Pompa air</t>
        </is>
      </c>
      <c r="F1430" s="184" t="n">
        <v>422.2</v>
      </c>
    </row>
    <row r="1431">
      <c r="A1431" s="155" t="n">
        <v>46090</v>
      </c>
      <c r="B1431" s="156" t="inlineStr">
        <is>
          <t>GS-10</t>
        </is>
      </c>
      <c r="C1431" s="156" t="inlineStr">
        <is>
          <t>Genset</t>
        </is>
      </c>
      <c r="D1431" s="156" t="inlineStr">
        <is>
          <t>Aux</t>
        </is>
      </c>
      <c r="E1431" s="156" t="inlineStr">
        <is>
          <t>Genset</t>
        </is>
      </c>
      <c r="F1431" s="184" t="n">
        <v>3875.4</v>
      </c>
    </row>
    <row r="1432">
      <c r="A1432" s="155" t="n">
        <v>46090</v>
      </c>
      <c r="B1432" s="156" t="inlineStr">
        <is>
          <t>GS-11</t>
        </is>
      </c>
      <c r="C1432" s="156" t="inlineStr">
        <is>
          <t>Genset</t>
        </is>
      </c>
      <c r="D1432" s="156" t="inlineStr">
        <is>
          <t>Aux</t>
        </is>
      </c>
      <c r="E1432" s="156" t="inlineStr">
        <is>
          <t>Genset</t>
        </is>
      </c>
      <c r="F1432" s="184" t="n">
        <v>4491.7</v>
      </c>
    </row>
    <row r="1433">
      <c r="A1433" s="155" t="n">
        <v>46090</v>
      </c>
      <c r="B1433" s="156" t="inlineStr">
        <is>
          <t>WL-022</t>
        </is>
      </c>
      <c r="C1433" s="156" t="inlineStr">
        <is>
          <t>Loader</t>
        </is>
      </c>
      <c r="D1433" s="156" t="inlineStr">
        <is>
          <t>Aux</t>
        </is>
      </c>
      <c r="E1433" s="156" t="inlineStr">
        <is>
          <t>SANY - Loader</t>
        </is>
      </c>
      <c r="F1433" s="184" t="n">
        <v>271.5</v>
      </c>
    </row>
    <row r="1434">
      <c r="A1434" s="155" t="n">
        <v>46090</v>
      </c>
      <c r="B1434" s="156" t="inlineStr">
        <is>
          <t>WL-024</t>
        </is>
      </c>
      <c r="C1434" s="156" t="inlineStr">
        <is>
          <t>Loader</t>
        </is>
      </c>
      <c r="D1434" s="156" t="inlineStr">
        <is>
          <t>Aux</t>
        </is>
      </c>
      <c r="E1434" s="156" t="inlineStr">
        <is>
          <t>SANY - Loader</t>
        </is>
      </c>
      <c r="F1434" s="184" t="n">
        <v>246.3</v>
      </c>
    </row>
    <row r="1435">
      <c r="A1435" s="155" t="n">
        <v>46090</v>
      </c>
      <c r="B1435" s="156" t="inlineStr">
        <is>
          <t>AL-12</t>
        </is>
      </c>
      <c r="C1435" s="156" t="inlineStr">
        <is>
          <t>Alat lain</t>
        </is>
      </c>
      <c r="D1435" s="156" t="inlineStr">
        <is>
          <t>Aux</t>
        </is>
      </c>
      <c r="E1435" s="156" t="inlineStr">
        <is>
          <t>Alat lain</t>
        </is>
      </c>
      <c r="F1435" s="184" t="n">
        <v>22.5</v>
      </c>
    </row>
    <row r="1436">
      <c r="A1436" s="155" t="n">
        <v>46108</v>
      </c>
      <c r="B1436" s="156" t="inlineStr">
        <is>
          <t>EX-754</t>
        </is>
      </c>
      <c r="C1436" s="156" t="inlineStr">
        <is>
          <t>Excavator</t>
        </is>
      </c>
      <c r="D1436" s="156" t="inlineStr">
        <is>
          <t>Mining</t>
        </is>
      </c>
      <c r="E1436" s="156" t="inlineStr">
        <is>
          <t>SY750H-PRO</t>
        </is>
      </c>
      <c r="F1436" s="184" t="n">
        <v>545.6</v>
      </c>
    </row>
    <row r="1437">
      <c r="A1437" s="155" t="n">
        <v>46108</v>
      </c>
      <c r="B1437" s="156" t="inlineStr">
        <is>
          <t>EX-755</t>
        </is>
      </c>
      <c r="C1437" s="156" t="inlineStr">
        <is>
          <t>Excavator</t>
        </is>
      </c>
      <c r="D1437" s="156" t="inlineStr">
        <is>
          <t>Mining</t>
        </is>
      </c>
      <c r="E1437" s="156" t="inlineStr">
        <is>
          <t>SY750H-PRO</t>
        </is>
      </c>
      <c r="F1437" s="184" t="n">
        <v>1021.1</v>
      </c>
    </row>
    <row r="1438">
      <c r="A1438" s="155" t="n">
        <v>46108</v>
      </c>
      <c r="B1438" s="156" t="inlineStr">
        <is>
          <t>EX-753</t>
        </is>
      </c>
      <c r="C1438" s="156" t="inlineStr">
        <is>
          <t>Excavator</t>
        </is>
      </c>
      <c r="D1438" s="156" t="inlineStr">
        <is>
          <t>Mining</t>
        </is>
      </c>
      <c r="E1438" s="156" t="inlineStr">
        <is>
          <t>SY750H-PRO</t>
        </is>
      </c>
      <c r="F1438" s="184" t="n">
        <v>973.4</v>
      </c>
    </row>
    <row r="1439">
      <c r="A1439" s="155" t="n">
        <v>46108</v>
      </c>
      <c r="B1439" s="156" t="inlineStr">
        <is>
          <t>EX-334</t>
        </is>
      </c>
      <c r="C1439" s="156" t="inlineStr">
        <is>
          <t>Excavator</t>
        </is>
      </c>
      <c r="D1439" s="156" t="inlineStr">
        <is>
          <t>Mining</t>
        </is>
      </c>
      <c r="E1439" s="156" t="inlineStr">
        <is>
          <t>PC 300-8MO</t>
        </is>
      </c>
      <c r="F1439" s="184" t="n">
        <v>489.1</v>
      </c>
    </row>
    <row r="1440">
      <c r="A1440" s="155" t="n">
        <v>46108</v>
      </c>
      <c r="B1440" s="156" t="inlineStr">
        <is>
          <t>EX-332</t>
        </is>
      </c>
      <c r="C1440" s="156" t="inlineStr">
        <is>
          <t>Excavator</t>
        </is>
      </c>
      <c r="D1440" s="156" t="inlineStr">
        <is>
          <t>Mining</t>
        </is>
      </c>
      <c r="E1440" s="156" t="inlineStr">
        <is>
          <t>PC 300-8MO</t>
        </is>
      </c>
      <c r="F1440" s="184" t="n">
        <v>273.7</v>
      </c>
    </row>
    <row r="1441">
      <c r="A1441" s="155" t="n">
        <v>46108</v>
      </c>
      <c r="B1441" s="156" t="inlineStr">
        <is>
          <t>EX-222</t>
        </is>
      </c>
      <c r="C1441" s="156" t="inlineStr">
        <is>
          <t>Excavator</t>
        </is>
      </c>
      <c r="D1441" s="156" t="inlineStr">
        <is>
          <t>Mining</t>
        </is>
      </c>
      <c r="E1441" s="156" t="inlineStr">
        <is>
          <t>PC 200-8MI</t>
        </is>
      </c>
      <c r="F1441" s="184" t="n">
        <v>271.5</v>
      </c>
    </row>
    <row r="1442">
      <c r="A1442" s="155" t="n">
        <v>46108</v>
      </c>
      <c r="B1442" s="156" t="inlineStr">
        <is>
          <t>EX-223</t>
        </is>
      </c>
      <c r="C1442" s="156" t="inlineStr">
        <is>
          <t>Excavator</t>
        </is>
      </c>
      <c r="D1442" s="156" t="inlineStr">
        <is>
          <t>Aux</t>
        </is>
      </c>
      <c r="E1442" s="156" t="inlineStr">
        <is>
          <t>PC 200-8MI</t>
        </is>
      </c>
      <c r="F1442" s="184" t="n">
        <v>268.1</v>
      </c>
    </row>
    <row r="1443">
      <c r="A1443" s="155" t="n">
        <v>46108</v>
      </c>
      <c r="B1443" s="156" t="inlineStr">
        <is>
          <t>EX-221</t>
        </is>
      </c>
      <c r="C1443" s="156" t="inlineStr">
        <is>
          <t>Excavator</t>
        </is>
      </c>
      <c r="D1443" s="156" t="inlineStr">
        <is>
          <t>Aux</t>
        </is>
      </c>
      <c r="E1443" s="156" t="inlineStr">
        <is>
          <t>PC 200-8MI</t>
        </is>
      </c>
      <c r="F1443" s="184" t="n">
        <v>159.5</v>
      </c>
    </row>
    <row r="1444">
      <c r="A1444" s="155" t="n">
        <v>46108</v>
      </c>
      <c r="B1444" s="156" t="inlineStr">
        <is>
          <t>EX-1251</t>
        </is>
      </c>
      <c r="C1444" s="156" t="inlineStr">
        <is>
          <t>Excavator</t>
        </is>
      </c>
      <c r="D1444" s="156" t="inlineStr">
        <is>
          <t>Mining</t>
        </is>
      </c>
      <c r="E1444" s="156" t="inlineStr">
        <is>
          <t>SY1250</t>
        </is>
      </c>
      <c r="F1444" s="184" t="n">
        <v>1964.5</v>
      </c>
    </row>
    <row r="1445">
      <c r="A1445" s="155" t="n">
        <v>46108</v>
      </c>
      <c r="B1445" s="156" t="inlineStr">
        <is>
          <t>EX-1252</t>
        </is>
      </c>
      <c r="C1445" s="156" t="inlineStr">
        <is>
          <t>Excavator</t>
        </is>
      </c>
      <c r="D1445" s="156" t="inlineStr">
        <is>
          <t>Mining</t>
        </is>
      </c>
      <c r="E1445" s="156" t="inlineStr">
        <is>
          <t>SY1250</t>
        </is>
      </c>
      <c r="F1445" s="184" t="n">
        <v>832.7</v>
      </c>
    </row>
    <row r="1446">
      <c r="A1446" s="155" t="n">
        <v>46108</v>
      </c>
      <c r="B1446" s="156" t="inlineStr">
        <is>
          <t>EX-333</t>
        </is>
      </c>
      <c r="C1446" s="156" t="inlineStr">
        <is>
          <t>Excavator</t>
        </is>
      </c>
      <c r="D1446" s="156" t="inlineStr">
        <is>
          <t>Mining</t>
        </is>
      </c>
      <c r="E1446" s="156" t="inlineStr">
        <is>
          <t>PC 300-8MO</t>
        </is>
      </c>
      <c r="F1446" s="184" t="n">
        <v>211.7</v>
      </c>
    </row>
    <row r="1447">
      <c r="A1447" s="155" t="n">
        <v>46108</v>
      </c>
      <c r="B1447" s="156" t="inlineStr">
        <is>
          <t>DT-505</t>
        </is>
      </c>
      <c r="C1447" s="156" t="inlineStr">
        <is>
          <t>Hauler</t>
        </is>
      </c>
      <c r="D1447" s="156" t="inlineStr">
        <is>
          <t>Mining</t>
        </is>
      </c>
      <c r="E1447" s="156" t="inlineStr">
        <is>
          <t>SKT 105S</t>
        </is>
      </c>
      <c r="F1447" s="184" t="n">
        <v>330.2</v>
      </c>
    </row>
    <row r="1448">
      <c r="A1448" s="155" t="n">
        <v>46108</v>
      </c>
      <c r="B1448" s="156" t="inlineStr">
        <is>
          <t>DT-503</t>
        </is>
      </c>
      <c r="C1448" s="156" t="inlineStr">
        <is>
          <t>Hauler</t>
        </is>
      </c>
      <c r="D1448" s="156" t="inlineStr">
        <is>
          <t>Mining</t>
        </is>
      </c>
      <c r="E1448" s="156" t="inlineStr">
        <is>
          <t>SKT 105S</t>
        </is>
      </c>
      <c r="F1448" s="184" t="n">
        <v>648.7</v>
      </c>
    </row>
    <row r="1449">
      <c r="A1449" s="155" t="n">
        <v>46108</v>
      </c>
      <c r="B1449" s="156" t="inlineStr">
        <is>
          <t>DT-504</t>
        </is>
      </c>
      <c r="C1449" s="156" t="inlineStr">
        <is>
          <t>Hauler</t>
        </is>
      </c>
      <c r="D1449" s="156" t="inlineStr">
        <is>
          <t>Mining</t>
        </is>
      </c>
      <c r="E1449" s="156" t="inlineStr">
        <is>
          <t>SKT 105S</t>
        </is>
      </c>
      <c r="F1449" s="184" t="n">
        <v>567.3</v>
      </c>
    </row>
    <row r="1450">
      <c r="A1450" s="155" t="n">
        <v>46108</v>
      </c>
      <c r="B1450" s="156" t="inlineStr">
        <is>
          <t>DT-501</t>
        </is>
      </c>
      <c r="C1450" s="156" t="inlineStr">
        <is>
          <t>Hauler</t>
        </is>
      </c>
      <c r="D1450" s="156" t="inlineStr">
        <is>
          <t>Mining</t>
        </is>
      </c>
      <c r="E1450" s="156" t="inlineStr">
        <is>
          <t>SKT 105S</t>
        </is>
      </c>
      <c r="F1450" s="184" t="n">
        <v>229.3</v>
      </c>
    </row>
    <row r="1451">
      <c r="A1451" s="155" t="n">
        <v>46108</v>
      </c>
      <c r="B1451" s="156" t="inlineStr">
        <is>
          <t>DT-518</t>
        </is>
      </c>
      <c r="C1451" s="156" t="inlineStr">
        <is>
          <t>Hauler</t>
        </is>
      </c>
      <c r="D1451" s="156" t="inlineStr">
        <is>
          <t>Mining</t>
        </is>
      </c>
      <c r="E1451" s="156" t="inlineStr">
        <is>
          <t>SKT 105S</t>
        </is>
      </c>
      <c r="F1451" s="184" t="n">
        <v>524.7</v>
      </c>
    </row>
    <row r="1452">
      <c r="A1452" s="155" t="n">
        <v>46108</v>
      </c>
      <c r="B1452" s="156" t="inlineStr">
        <is>
          <t>DT-514</t>
        </is>
      </c>
      <c r="C1452" s="156" t="inlineStr">
        <is>
          <t>Hauler</t>
        </is>
      </c>
      <c r="D1452" s="156" t="inlineStr">
        <is>
          <t>Mining</t>
        </is>
      </c>
      <c r="E1452" s="156" t="inlineStr">
        <is>
          <t>SKT 105S</t>
        </is>
      </c>
      <c r="F1452" s="184" t="n">
        <v>167.1</v>
      </c>
    </row>
    <row r="1453">
      <c r="A1453" s="155" t="n">
        <v>46108</v>
      </c>
      <c r="B1453" s="156" t="inlineStr">
        <is>
          <t>DT-523</t>
        </is>
      </c>
      <c r="C1453" s="156" t="inlineStr">
        <is>
          <t>Hauler</t>
        </is>
      </c>
      <c r="D1453" s="156" t="inlineStr">
        <is>
          <t>Mining</t>
        </is>
      </c>
      <c r="E1453" s="156" t="inlineStr">
        <is>
          <t>SKT 105S</t>
        </is>
      </c>
      <c r="F1453" s="184" t="n">
        <v>441.8</v>
      </c>
    </row>
    <row r="1454">
      <c r="A1454" s="155" t="n">
        <v>46108</v>
      </c>
      <c r="B1454" s="156" t="inlineStr">
        <is>
          <t>DT-519</t>
        </is>
      </c>
      <c r="C1454" s="156" t="inlineStr">
        <is>
          <t>Hauler</t>
        </is>
      </c>
      <c r="D1454" s="156" t="inlineStr">
        <is>
          <t>Mining</t>
        </is>
      </c>
      <c r="E1454" s="156" t="inlineStr">
        <is>
          <t>SKT 105S</t>
        </is>
      </c>
      <c r="F1454" s="184" t="n">
        <v>289.6</v>
      </c>
    </row>
    <row r="1455">
      <c r="A1455" s="155" t="n">
        <v>46108</v>
      </c>
      <c r="B1455" s="156" t="inlineStr">
        <is>
          <t>DT-527</t>
        </is>
      </c>
      <c r="C1455" s="156" t="inlineStr">
        <is>
          <t>Hauler</t>
        </is>
      </c>
      <c r="D1455" s="156" t="inlineStr">
        <is>
          <t>Mining</t>
        </is>
      </c>
      <c r="E1455" s="156" t="inlineStr">
        <is>
          <t>SKT 105S</t>
        </is>
      </c>
      <c r="F1455" s="184" t="n">
        <v>367.6</v>
      </c>
    </row>
    <row r="1456">
      <c r="A1456" s="155" t="n">
        <v>46108</v>
      </c>
      <c r="B1456" s="156" t="inlineStr">
        <is>
          <t>DT-512</t>
        </is>
      </c>
      <c r="C1456" s="156" t="inlineStr">
        <is>
          <t>Hauler</t>
        </is>
      </c>
      <c r="D1456" s="156" t="inlineStr">
        <is>
          <t>Mining</t>
        </is>
      </c>
      <c r="E1456" s="156" t="inlineStr">
        <is>
          <t>SKT 105S</t>
        </is>
      </c>
      <c r="F1456" s="184" t="n">
        <v>329.9</v>
      </c>
    </row>
    <row r="1457">
      <c r="A1457" s="155" t="n">
        <v>46108</v>
      </c>
      <c r="B1457" s="156" t="inlineStr">
        <is>
          <t>DT-522</t>
        </is>
      </c>
      <c r="C1457" s="156" t="inlineStr">
        <is>
          <t>Hauler</t>
        </is>
      </c>
      <c r="D1457" s="156" t="inlineStr">
        <is>
          <t>Mining</t>
        </is>
      </c>
      <c r="E1457" s="156" t="inlineStr">
        <is>
          <t>SKT 105S</t>
        </is>
      </c>
      <c r="F1457" s="184" t="n">
        <v>299.5</v>
      </c>
    </row>
    <row r="1458">
      <c r="A1458" s="155" t="n">
        <v>46108</v>
      </c>
      <c r="B1458" s="156" t="inlineStr">
        <is>
          <t>DT-517</t>
        </is>
      </c>
      <c r="C1458" s="156" t="inlineStr">
        <is>
          <t>Hauler</t>
        </is>
      </c>
      <c r="D1458" s="156" t="inlineStr">
        <is>
          <t>Mining</t>
        </is>
      </c>
      <c r="E1458" s="156" t="inlineStr">
        <is>
          <t>SKT 105S</t>
        </is>
      </c>
      <c r="F1458" s="184" t="n">
        <v>659.3</v>
      </c>
    </row>
    <row r="1459">
      <c r="A1459" s="155" t="n">
        <v>46108</v>
      </c>
      <c r="B1459" s="156" t="inlineStr">
        <is>
          <t>DT-521</t>
        </is>
      </c>
      <c r="C1459" s="156" t="inlineStr">
        <is>
          <t>Hauler</t>
        </is>
      </c>
      <c r="D1459" s="156" t="inlineStr">
        <is>
          <t>Mining</t>
        </is>
      </c>
      <c r="E1459" s="156" t="inlineStr">
        <is>
          <t>SKT 105S</t>
        </is>
      </c>
      <c r="F1459" s="184" t="n">
        <v>562.6</v>
      </c>
    </row>
    <row r="1460">
      <c r="A1460" s="155" t="n">
        <v>46108</v>
      </c>
      <c r="B1460" s="156" t="inlineStr">
        <is>
          <t>DT-516</t>
        </is>
      </c>
      <c r="C1460" s="156" t="inlineStr">
        <is>
          <t>Hauler</t>
        </is>
      </c>
      <c r="D1460" s="156" t="inlineStr">
        <is>
          <t>Mining</t>
        </is>
      </c>
      <c r="E1460" s="156" t="inlineStr">
        <is>
          <t>SKT 105S</t>
        </is>
      </c>
      <c r="F1460" s="184" t="n">
        <v>443.9</v>
      </c>
    </row>
    <row r="1461">
      <c r="A1461" s="155" t="n">
        <v>46108</v>
      </c>
      <c r="B1461" s="156" t="inlineStr">
        <is>
          <t>DT-506</t>
        </is>
      </c>
      <c r="C1461" s="156" t="inlineStr">
        <is>
          <t>Hauler</t>
        </is>
      </c>
      <c r="D1461" s="156" t="inlineStr">
        <is>
          <t>Mining</t>
        </is>
      </c>
      <c r="E1461" s="156" t="inlineStr">
        <is>
          <t>SKT 105S</t>
        </is>
      </c>
      <c r="F1461" s="184" t="n">
        <v>491.4</v>
      </c>
    </row>
    <row r="1462">
      <c r="A1462" s="155" t="n">
        <v>46108</v>
      </c>
      <c r="B1462" s="156" t="inlineStr">
        <is>
          <t>DT-502</t>
        </is>
      </c>
      <c r="C1462" s="156" t="inlineStr">
        <is>
          <t>Hauler</t>
        </is>
      </c>
      <c r="D1462" s="156" t="inlineStr">
        <is>
          <t>Mining</t>
        </is>
      </c>
      <c r="E1462" s="156" t="inlineStr">
        <is>
          <t>SKT 105S</t>
        </is>
      </c>
      <c r="F1462" s="184" t="n">
        <v>541.7</v>
      </c>
    </row>
    <row r="1463">
      <c r="A1463" s="155" t="n">
        <v>46108</v>
      </c>
      <c r="B1463" s="156" t="inlineStr">
        <is>
          <t>DT-528</t>
        </is>
      </c>
      <c r="C1463" s="156" t="inlineStr">
        <is>
          <t>Hauler</t>
        </is>
      </c>
      <c r="D1463" s="156" t="inlineStr">
        <is>
          <t>Mining</t>
        </is>
      </c>
      <c r="E1463" s="156" t="inlineStr">
        <is>
          <t>SKT 105S</t>
        </is>
      </c>
      <c r="F1463" s="184" t="n">
        <v>559.9</v>
      </c>
    </row>
    <row r="1464">
      <c r="A1464" s="155" t="n">
        <v>46108</v>
      </c>
      <c r="B1464" s="156" t="inlineStr">
        <is>
          <t>DT-529</t>
        </is>
      </c>
      <c r="C1464" s="156" t="inlineStr">
        <is>
          <t>Hauler</t>
        </is>
      </c>
      <c r="D1464" s="156" t="inlineStr">
        <is>
          <t>Mining</t>
        </is>
      </c>
      <c r="E1464" s="156" t="inlineStr">
        <is>
          <t>SKT 105S</t>
        </is>
      </c>
      <c r="F1464" s="184" t="n">
        <v>492.7</v>
      </c>
    </row>
    <row r="1465">
      <c r="A1465" s="155" t="n">
        <v>46108</v>
      </c>
      <c r="B1465" s="156" t="inlineStr">
        <is>
          <t>DT-520</t>
        </is>
      </c>
      <c r="C1465" s="156" t="inlineStr">
        <is>
          <t>Hauler</t>
        </is>
      </c>
      <c r="D1465" s="156" t="inlineStr">
        <is>
          <t>Mining</t>
        </is>
      </c>
      <c r="E1465" s="156" t="inlineStr">
        <is>
          <t>SKT 105S</t>
        </is>
      </c>
      <c r="F1465" s="184" t="n">
        <v>595.7</v>
      </c>
    </row>
    <row r="1466">
      <c r="A1466" s="155" t="n">
        <v>46108</v>
      </c>
      <c r="B1466" s="156" t="inlineStr">
        <is>
          <t>DT-511</t>
        </is>
      </c>
      <c r="C1466" s="156" t="inlineStr">
        <is>
          <t>Hauler</t>
        </is>
      </c>
      <c r="D1466" s="156" t="inlineStr">
        <is>
          <t>Mining</t>
        </is>
      </c>
      <c r="E1466" s="156" t="inlineStr">
        <is>
          <t>SKT 105S</t>
        </is>
      </c>
      <c r="F1466" s="184" t="n">
        <v>366.7</v>
      </c>
    </row>
    <row r="1467">
      <c r="A1467" s="155" t="n">
        <v>46108</v>
      </c>
      <c r="B1467" s="156" t="inlineStr">
        <is>
          <t>DT-526</t>
        </is>
      </c>
      <c r="C1467" s="156" t="inlineStr">
        <is>
          <t>Hauler</t>
        </is>
      </c>
      <c r="D1467" s="156" t="inlineStr">
        <is>
          <t>Mining</t>
        </is>
      </c>
      <c r="E1467" s="156" t="inlineStr">
        <is>
          <t>SKT 105S</t>
        </is>
      </c>
      <c r="F1467" s="184" t="n">
        <v>476.6</v>
      </c>
    </row>
    <row r="1468">
      <c r="A1468" s="155" t="n">
        <v>46108</v>
      </c>
      <c r="B1468" s="156" t="inlineStr">
        <is>
          <t>DT-508</t>
        </is>
      </c>
      <c r="C1468" s="156" t="inlineStr">
        <is>
          <t>Hauler</t>
        </is>
      </c>
      <c r="D1468" s="156" t="inlineStr">
        <is>
          <t>Mining</t>
        </is>
      </c>
      <c r="E1468" s="156" t="inlineStr">
        <is>
          <t>SKT 105S</t>
        </is>
      </c>
      <c r="F1468" s="184" t="n">
        <v>526.9</v>
      </c>
    </row>
    <row r="1469">
      <c r="A1469" s="155" t="n">
        <v>46108</v>
      </c>
      <c r="B1469" s="156" t="inlineStr">
        <is>
          <t>DT-515</t>
        </is>
      </c>
      <c r="C1469" s="156" t="inlineStr">
        <is>
          <t>Hauler</t>
        </is>
      </c>
      <c r="D1469" s="156" t="inlineStr">
        <is>
          <t>Mining</t>
        </is>
      </c>
      <c r="E1469" s="156" t="inlineStr">
        <is>
          <t>SKT 105S</t>
        </is>
      </c>
      <c r="F1469" s="184" t="n">
        <v>594</v>
      </c>
    </row>
    <row r="1470">
      <c r="A1470" s="155" t="n">
        <v>46108</v>
      </c>
      <c r="B1470" s="156" t="inlineStr">
        <is>
          <t>HD-905</t>
        </is>
      </c>
      <c r="C1470" s="156" t="inlineStr">
        <is>
          <t>Hauler</t>
        </is>
      </c>
      <c r="D1470" s="156" t="inlineStr">
        <is>
          <t>Mining</t>
        </is>
      </c>
      <c r="E1470" s="156" t="inlineStr">
        <is>
          <t>SRT 95C</t>
        </is>
      </c>
      <c r="F1470" s="184" t="n">
        <v>460.2</v>
      </c>
    </row>
    <row r="1471">
      <c r="A1471" s="155" t="n">
        <v>46108</v>
      </c>
      <c r="B1471" s="156" t="inlineStr">
        <is>
          <t>HD-904</t>
        </is>
      </c>
      <c r="C1471" s="156" t="inlineStr">
        <is>
          <t>Hauler</t>
        </is>
      </c>
      <c r="D1471" s="156" t="inlineStr">
        <is>
          <t>Mining</t>
        </is>
      </c>
      <c r="E1471" s="156" t="inlineStr">
        <is>
          <t>SRT 95C</t>
        </is>
      </c>
      <c r="F1471" s="184" t="n">
        <v>266.3</v>
      </c>
    </row>
    <row r="1472">
      <c r="A1472" s="155" t="n">
        <v>46108</v>
      </c>
      <c r="B1472" s="156" t="inlineStr">
        <is>
          <t>HD-902</t>
        </is>
      </c>
      <c r="C1472" s="156" t="inlineStr">
        <is>
          <t>Hauler</t>
        </is>
      </c>
      <c r="D1472" s="156" t="inlineStr">
        <is>
          <t>Mining</t>
        </is>
      </c>
      <c r="E1472" s="156" t="inlineStr">
        <is>
          <t>SRT 95C</t>
        </is>
      </c>
      <c r="F1472" s="184" t="n">
        <v>362.9</v>
      </c>
    </row>
    <row r="1473">
      <c r="A1473" s="155" t="n">
        <v>46108</v>
      </c>
      <c r="B1473" s="156" t="inlineStr">
        <is>
          <t>DZ-034</t>
        </is>
      </c>
      <c r="C1473" s="156" t="inlineStr">
        <is>
          <t>Bulldozer</t>
        </is>
      </c>
      <c r="D1473" s="156" t="inlineStr">
        <is>
          <t>Mining</t>
        </is>
      </c>
      <c r="E1473" s="156" t="inlineStr">
        <is>
          <t>D 68ESS-12EO</t>
        </is>
      </c>
      <c r="F1473" s="184" t="n">
        <v>213.1</v>
      </c>
    </row>
    <row r="1474">
      <c r="A1474" s="155" t="n">
        <v>46108</v>
      </c>
      <c r="B1474" s="156" t="inlineStr">
        <is>
          <t>DZ-033</t>
        </is>
      </c>
      <c r="C1474" s="156" t="inlineStr">
        <is>
          <t>Bulldozer</t>
        </is>
      </c>
      <c r="D1474" s="156" t="inlineStr">
        <is>
          <t>Mining</t>
        </is>
      </c>
      <c r="E1474" s="156" t="inlineStr">
        <is>
          <t>D 375A-6R</t>
        </is>
      </c>
      <c r="F1474" s="184" t="n">
        <v>717.5</v>
      </c>
    </row>
    <row r="1475">
      <c r="A1475" s="155" t="n">
        <v>46108</v>
      </c>
      <c r="B1475" s="156" t="inlineStr">
        <is>
          <t>DZ-032</t>
        </is>
      </c>
      <c r="C1475" s="156" t="inlineStr">
        <is>
          <t>Bulldozer</t>
        </is>
      </c>
      <c r="D1475" s="156" t="inlineStr">
        <is>
          <t>Mining</t>
        </is>
      </c>
      <c r="E1475" s="156" t="inlineStr">
        <is>
          <t>CAT</t>
        </is>
      </c>
      <c r="F1475" s="184" t="n">
        <v>571.1</v>
      </c>
    </row>
    <row r="1476">
      <c r="A1476" s="155" t="n">
        <v>46108</v>
      </c>
      <c r="B1476" s="156" t="inlineStr">
        <is>
          <t>GD-014</t>
        </is>
      </c>
      <c r="C1476" s="156" t="inlineStr">
        <is>
          <t>Grader</t>
        </is>
      </c>
      <c r="D1476" s="156" t="inlineStr">
        <is>
          <t>Mining</t>
        </is>
      </c>
      <c r="E1476" s="156" t="inlineStr">
        <is>
          <t>STG 335C - 10</t>
        </is>
      </c>
      <c r="F1476" s="184" t="n">
        <v>387.7</v>
      </c>
    </row>
    <row r="1477">
      <c r="A1477" s="155" t="n">
        <v>46108</v>
      </c>
      <c r="B1477" s="156" t="inlineStr">
        <is>
          <t>CP-041</t>
        </is>
      </c>
      <c r="C1477" s="156" t="inlineStr">
        <is>
          <t>Compactor</t>
        </is>
      </c>
      <c r="D1477" s="156" t="inlineStr">
        <is>
          <t>Mining</t>
        </is>
      </c>
      <c r="E1477" s="156" t="inlineStr">
        <is>
          <t>SANY - Compactor</t>
        </is>
      </c>
      <c r="F1477" s="184" t="n">
        <v>138.1</v>
      </c>
    </row>
    <row r="1478">
      <c r="A1478" s="155" t="n">
        <v>46108</v>
      </c>
      <c r="B1478" s="156" t="inlineStr">
        <is>
          <t>WL-025</t>
        </is>
      </c>
      <c r="C1478" s="156" t="inlineStr">
        <is>
          <t>Loader</t>
        </is>
      </c>
      <c r="D1478" s="156" t="inlineStr">
        <is>
          <t>Aux</t>
        </is>
      </c>
      <c r="E1478" s="156" t="inlineStr">
        <is>
          <t>SANY - Loader</t>
        </is>
      </c>
      <c r="F1478" s="184" t="n">
        <v>171.1</v>
      </c>
    </row>
    <row r="1479">
      <c r="A1479" s="155" t="n">
        <v>46108</v>
      </c>
      <c r="B1479" s="156" t="inlineStr">
        <is>
          <t>WL-023</t>
        </is>
      </c>
      <c r="C1479" s="156" t="inlineStr">
        <is>
          <t>Loader</t>
        </is>
      </c>
      <c r="D1479" s="156" t="inlineStr">
        <is>
          <t>Aux</t>
        </is>
      </c>
      <c r="E1479" s="156" t="inlineStr">
        <is>
          <t>SANY - Loader</t>
        </is>
      </c>
      <c r="F1479" s="184" t="n">
        <v>153.6</v>
      </c>
    </row>
    <row r="1480">
      <c r="A1480" s="155" t="n">
        <v>46108</v>
      </c>
      <c r="B1480" s="156" t="inlineStr">
        <is>
          <t>LV-01</t>
        </is>
      </c>
      <c r="C1480" s="156" t="inlineStr">
        <is>
          <t>LV &amp; sarana</t>
        </is>
      </c>
      <c r="D1480" s="156" t="inlineStr">
        <is>
          <t>Aux</t>
        </is>
      </c>
      <c r="E1480" s="156" t="inlineStr">
        <is>
          <t>Light vehicle</t>
        </is>
      </c>
      <c r="F1480" s="184" t="n">
        <v>56.8</v>
      </c>
    </row>
    <row r="1481">
      <c r="A1481" s="155" t="n">
        <v>46108</v>
      </c>
      <c r="B1481" s="156" t="inlineStr">
        <is>
          <t>LV-03</t>
        </is>
      </c>
      <c r="C1481" s="156" t="inlineStr">
        <is>
          <t>LV &amp; sarana</t>
        </is>
      </c>
      <c r="D1481" s="156" t="inlineStr">
        <is>
          <t>Aux</t>
        </is>
      </c>
      <c r="E1481" s="156" t="inlineStr">
        <is>
          <t>Light vehicle</t>
        </is>
      </c>
      <c r="F1481" s="184" t="n">
        <v>19.1</v>
      </c>
    </row>
    <row r="1482">
      <c r="A1482" s="155" t="n">
        <v>46108</v>
      </c>
      <c r="B1482" s="156" t="inlineStr">
        <is>
          <t>LV-05</t>
        </is>
      </c>
      <c r="C1482" s="156" t="inlineStr">
        <is>
          <t>LV &amp; sarana</t>
        </is>
      </c>
      <c r="D1482" s="156" t="inlineStr">
        <is>
          <t>Aux</t>
        </is>
      </c>
      <c r="E1482" s="156" t="inlineStr">
        <is>
          <t>Light vehicle</t>
        </is>
      </c>
      <c r="F1482" s="184" t="n">
        <v>41.1</v>
      </c>
    </row>
    <row r="1483">
      <c r="A1483" s="155" t="n">
        <v>46108</v>
      </c>
      <c r="B1483" s="156" t="inlineStr">
        <is>
          <t>LV-06</t>
        </is>
      </c>
      <c r="C1483" s="156" t="inlineStr">
        <is>
          <t>LV &amp; sarana</t>
        </is>
      </c>
      <c r="D1483" s="156" t="inlineStr">
        <is>
          <t>Aux</t>
        </is>
      </c>
      <c r="E1483" s="156" t="inlineStr">
        <is>
          <t>Light vehicle</t>
        </is>
      </c>
      <c r="F1483" s="184" t="n">
        <v>33.5</v>
      </c>
    </row>
    <row r="1484">
      <c r="A1484" s="155" t="n">
        <v>46108</v>
      </c>
      <c r="B1484" s="156" t="inlineStr">
        <is>
          <t>LV-09</t>
        </is>
      </c>
      <c r="C1484" s="156" t="inlineStr">
        <is>
          <t>LV &amp; sarana</t>
        </is>
      </c>
      <c r="D1484" s="156" t="inlineStr">
        <is>
          <t>Aux</t>
        </is>
      </c>
      <c r="E1484" s="156" t="inlineStr">
        <is>
          <t>Light vehicle</t>
        </is>
      </c>
      <c r="F1484" s="184" t="n">
        <v>45.5</v>
      </c>
    </row>
    <row r="1485">
      <c r="A1485" s="155" t="n">
        <v>46108</v>
      </c>
      <c r="B1485" s="156" t="inlineStr">
        <is>
          <t>LV-10</t>
        </is>
      </c>
      <c r="C1485" s="156" t="inlineStr">
        <is>
          <t>LV &amp; sarana</t>
        </is>
      </c>
      <c r="D1485" s="156" t="inlineStr">
        <is>
          <t>Aux</t>
        </is>
      </c>
      <c r="E1485" s="156" t="inlineStr">
        <is>
          <t>Light vehicle</t>
        </is>
      </c>
      <c r="F1485" s="184" t="n">
        <v>50.2</v>
      </c>
    </row>
    <row r="1486">
      <c r="A1486" s="155" t="n">
        <v>46108</v>
      </c>
      <c r="B1486" s="156" t="inlineStr">
        <is>
          <t>LV-12</t>
        </is>
      </c>
      <c r="C1486" s="156" t="inlineStr">
        <is>
          <t>LV &amp; sarana</t>
        </is>
      </c>
      <c r="D1486" s="156" t="inlineStr">
        <is>
          <t>Aux</t>
        </is>
      </c>
      <c r="E1486" s="156" t="inlineStr">
        <is>
          <t>Light vehicle</t>
        </is>
      </c>
      <c r="F1486" s="184" t="n">
        <v>30.7</v>
      </c>
    </row>
    <row r="1487">
      <c r="A1487" s="155" t="n">
        <v>46108</v>
      </c>
      <c r="B1487" s="156" t="inlineStr">
        <is>
          <t>VD-03</t>
        </is>
      </c>
      <c r="C1487" s="156" t="inlineStr">
        <is>
          <t>Vendor</t>
        </is>
      </c>
      <c r="D1487" s="156" t="inlineStr">
        <is>
          <t>Vendor</t>
        </is>
      </c>
      <c r="E1487" s="156" t="inlineStr">
        <is>
          <t>Alat vendor</t>
        </is>
      </c>
      <c r="F1487" s="184" t="n">
        <v>44.4</v>
      </c>
    </row>
    <row r="1488">
      <c r="A1488" s="155" t="n">
        <v>46108</v>
      </c>
      <c r="B1488" s="156" t="inlineStr">
        <is>
          <t>TS-04</t>
        </is>
      </c>
      <c r="C1488" s="156" t="inlineStr">
        <is>
          <t>Truk support</t>
        </is>
      </c>
      <c r="D1488" s="156" t="inlineStr">
        <is>
          <t>Aux</t>
        </is>
      </c>
      <c r="E1488" s="156" t="inlineStr">
        <is>
          <t>Truk support</t>
        </is>
      </c>
      <c r="F1488" s="184" t="n">
        <v>49.7</v>
      </c>
    </row>
    <row r="1489">
      <c r="A1489" s="155" t="n">
        <v>46108</v>
      </c>
      <c r="B1489" s="156" t="inlineStr">
        <is>
          <t>TL-02</t>
        </is>
      </c>
      <c r="C1489" s="156" t="inlineStr">
        <is>
          <t>Tower lamp</t>
        </is>
      </c>
      <c r="D1489" s="156" t="inlineStr">
        <is>
          <t>Mining</t>
        </is>
      </c>
      <c r="E1489" s="156" t="inlineStr">
        <is>
          <t>Tower lamp</t>
        </is>
      </c>
      <c r="F1489" s="184" t="n">
        <v>69.3</v>
      </c>
    </row>
    <row r="1490">
      <c r="A1490" s="155" t="n">
        <v>46108</v>
      </c>
      <c r="B1490" s="156" t="inlineStr">
        <is>
          <t>TL-03</t>
        </is>
      </c>
      <c r="C1490" s="156" t="inlineStr">
        <is>
          <t>Tower lamp</t>
        </is>
      </c>
      <c r="D1490" s="156" t="inlineStr">
        <is>
          <t>Mining</t>
        </is>
      </c>
      <c r="E1490" s="156" t="inlineStr">
        <is>
          <t>Tower lamp</t>
        </is>
      </c>
      <c r="F1490" s="184" t="n">
        <v>82.90000000000001</v>
      </c>
    </row>
    <row r="1491">
      <c r="A1491" s="155" t="n">
        <v>46108</v>
      </c>
      <c r="B1491" s="156" t="inlineStr">
        <is>
          <t>TL-04</t>
        </is>
      </c>
      <c r="C1491" s="156" t="inlineStr">
        <is>
          <t>Tower lamp</t>
        </is>
      </c>
      <c r="D1491" s="156" t="inlineStr">
        <is>
          <t>Mining</t>
        </is>
      </c>
      <c r="E1491" s="156" t="inlineStr">
        <is>
          <t>Tower lamp</t>
        </is>
      </c>
      <c r="F1491" s="184" t="n">
        <v>46.4</v>
      </c>
    </row>
    <row r="1492">
      <c r="A1492" s="155" t="n">
        <v>46108</v>
      </c>
      <c r="B1492" s="156" t="inlineStr">
        <is>
          <t>TL-05</t>
        </is>
      </c>
      <c r="C1492" s="156" t="inlineStr">
        <is>
          <t>Tower lamp</t>
        </is>
      </c>
      <c r="D1492" s="156" t="inlineStr">
        <is>
          <t>Mining</t>
        </is>
      </c>
      <c r="E1492" s="156" t="inlineStr">
        <is>
          <t>Tower lamp</t>
        </is>
      </c>
      <c r="F1492" s="184" t="n">
        <v>36.1</v>
      </c>
    </row>
    <row r="1493">
      <c r="A1493" s="155" t="n">
        <v>46108</v>
      </c>
      <c r="B1493" s="156" t="inlineStr">
        <is>
          <t>AL-09</t>
        </is>
      </c>
      <c r="C1493" s="156" t="inlineStr">
        <is>
          <t>Alat lain</t>
        </is>
      </c>
      <c r="D1493" s="156" t="inlineStr">
        <is>
          <t>Mining</t>
        </is>
      </c>
      <c r="E1493" s="156" t="inlineStr">
        <is>
          <t>Alat lain</t>
        </is>
      </c>
      <c r="F1493" s="184" t="n">
        <v>20.3</v>
      </c>
    </row>
    <row r="1494">
      <c r="A1494" s="155" t="n">
        <v>46108</v>
      </c>
      <c r="B1494" s="156" t="inlineStr">
        <is>
          <t>GS-02</t>
        </is>
      </c>
      <c r="C1494" s="156" t="inlineStr">
        <is>
          <t>Genset</t>
        </is>
      </c>
      <c r="D1494" s="156" t="inlineStr">
        <is>
          <t>Aux</t>
        </is>
      </c>
      <c r="E1494" s="156" t="inlineStr">
        <is>
          <t>Genset</t>
        </is>
      </c>
      <c r="F1494" s="184" t="n">
        <v>100.4</v>
      </c>
    </row>
    <row r="1495">
      <c r="A1495" s="155" t="n">
        <v>46108</v>
      </c>
      <c r="B1495" s="156" t="inlineStr">
        <is>
          <t>GS-04</t>
        </is>
      </c>
      <c r="C1495" s="156" t="inlineStr">
        <is>
          <t>Genset</t>
        </is>
      </c>
      <c r="D1495" s="156" t="inlineStr">
        <is>
          <t>Aux</t>
        </is>
      </c>
      <c r="E1495" s="156" t="inlineStr">
        <is>
          <t>Genset</t>
        </is>
      </c>
      <c r="F1495" s="184" t="n">
        <v>641.4</v>
      </c>
    </row>
    <row r="1496">
      <c r="A1496" s="155" t="n">
        <v>46108</v>
      </c>
      <c r="B1496" s="156" t="inlineStr">
        <is>
          <t>GS-07</t>
        </is>
      </c>
      <c r="C1496" s="156" t="inlineStr">
        <is>
          <t>Genset</t>
        </is>
      </c>
      <c r="D1496" s="156" t="inlineStr">
        <is>
          <t>Aux</t>
        </is>
      </c>
      <c r="E1496" s="156" t="inlineStr">
        <is>
          <t>Genset</t>
        </is>
      </c>
      <c r="F1496" s="184" t="n">
        <v>41.9</v>
      </c>
    </row>
    <row r="1497">
      <c r="A1497" s="155" t="n">
        <v>46108</v>
      </c>
      <c r="B1497" s="156" t="inlineStr">
        <is>
          <t>GS-08</t>
        </is>
      </c>
      <c r="C1497" s="156" t="inlineStr">
        <is>
          <t>Genset</t>
        </is>
      </c>
      <c r="D1497" s="156" t="inlineStr">
        <is>
          <t>Aux</t>
        </is>
      </c>
      <c r="E1497" s="156" t="inlineStr">
        <is>
          <t>Genset</t>
        </is>
      </c>
      <c r="F1497" s="184" t="n">
        <v>62.3</v>
      </c>
    </row>
    <row r="1498">
      <c r="A1498" s="155" t="n">
        <v>46108</v>
      </c>
      <c r="B1498" s="156" t="inlineStr">
        <is>
          <t>DT-341</t>
        </is>
      </c>
      <c r="C1498" s="156" t="inlineStr">
        <is>
          <t>Hauler</t>
        </is>
      </c>
      <c r="D1498" s="156" t="inlineStr">
        <is>
          <t>Aux</t>
        </is>
      </c>
      <c r="E1498" s="156" t="inlineStr">
        <is>
          <t>SYZ324C-8W</t>
        </is>
      </c>
      <c r="F1498" s="184" t="n">
        <v>130</v>
      </c>
    </row>
    <row r="1499">
      <c r="A1499" s="155" t="n">
        <v>46108</v>
      </c>
      <c r="B1499" s="156" t="inlineStr">
        <is>
          <t>DT-342</t>
        </is>
      </c>
      <c r="C1499" s="156" t="inlineStr">
        <is>
          <t>Hauler</t>
        </is>
      </c>
      <c r="D1499" s="156" t="inlineStr">
        <is>
          <t>Aux</t>
        </is>
      </c>
      <c r="E1499" s="156" t="inlineStr">
        <is>
          <t>SYZ324C-8W</t>
        </is>
      </c>
      <c r="F1499" s="184" t="n">
        <v>206.2</v>
      </c>
    </row>
    <row r="1500">
      <c r="A1500" s="155" t="n">
        <v>46108</v>
      </c>
      <c r="B1500" s="156" t="inlineStr">
        <is>
          <t>WL-022</t>
        </is>
      </c>
      <c r="C1500" s="156" t="inlineStr">
        <is>
          <t>Loader</t>
        </is>
      </c>
      <c r="D1500" s="156" t="inlineStr">
        <is>
          <t>Aux</t>
        </is>
      </c>
      <c r="E1500" s="156" t="inlineStr">
        <is>
          <t>SANY - Loader</t>
        </is>
      </c>
      <c r="F1500" s="184" t="n">
        <v>182.2</v>
      </c>
    </row>
    <row r="1501">
      <c r="A1501" s="155" t="n">
        <v>46108</v>
      </c>
      <c r="B1501" s="156" t="inlineStr">
        <is>
          <t>WL-024</t>
        </is>
      </c>
      <c r="C1501" s="156" t="inlineStr">
        <is>
          <t>Loader</t>
        </is>
      </c>
      <c r="D1501" s="156" t="inlineStr">
        <is>
          <t>Aux</t>
        </is>
      </c>
      <c r="E1501" s="156" t="inlineStr">
        <is>
          <t>SANY - Loader</t>
        </is>
      </c>
      <c r="F1501" s="184" t="n">
        <v>252.6</v>
      </c>
    </row>
    <row r="1502">
      <c r="A1502" s="155" t="n">
        <v>46101</v>
      </c>
      <c r="B1502" s="156" t="inlineStr">
        <is>
          <t>EX-754</t>
        </is>
      </c>
      <c r="C1502" s="156" t="inlineStr">
        <is>
          <t>Excavator</t>
        </is>
      </c>
      <c r="D1502" s="156" t="inlineStr">
        <is>
          <t>Mining</t>
        </is>
      </c>
      <c r="E1502" s="156" t="inlineStr">
        <is>
          <t>SY750H-PRO</t>
        </is>
      </c>
      <c r="F1502" s="184" t="n">
        <v>387.1</v>
      </c>
    </row>
    <row r="1503">
      <c r="A1503" s="155" t="n">
        <v>46101</v>
      </c>
      <c r="B1503" s="156" t="inlineStr">
        <is>
          <t>EX-755</t>
        </is>
      </c>
      <c r="C1503" s="156" t="inlineStr">
        <is>
          <t>Excavator</t>
        </is>
      </c>
      <c r="D1503" s="156" t="inlineStr">
        <is>
          <t>Mining</t>
        </is>
      </c>
      <c r="E1503" s="156" t="inlineStr">
        <is>
          <t>SY750H-PRO</t>
        </is>
      </c>
      <c r="F1503" s="184" t="n">
        <v>706.6</v>
      </c>
    </row>
    <row r="1504">
      <c r="A1504" s="155" t="n">
        <v>46101</v>
      </c>
      <c r="B1504" s="156" t="inlineStr">
        <is>
          <t>EX-753</t>
        </is>
      </c>
      <c r="C1504" s="156" t="inlineStr">
        <is>
          <t>Excavator</t>
        </is>
      </c>
      <c r="D1504" s="156" t="inlineStr">
        <is>
          <t>Mining</t>
        </is>
      </c>
      <c r="E1504" s="156" t="inlineStr">
        <is>
          <t>SY750H-PRO</t>
        </is>
      </c>
      <c r="F1504" s="184" t="n">
        <v>797.1</v>
      </c>
    </row>
    <row r="1505">
      <c r="A1505" s="155" t="n">
        <v>46101</v>
      </c>
      <c r="B1505" s="156" t="inlineStr">
        <is>
          <t>EX-334</t>
        </is>
      </c>
      <c r="C1505" s="156" t="inlineStr">
        <is>
          <t>Excavator</t>
        </is>
      </c>
      <c r="D1505" s="156" t="inlineStr">
        <is>
          <t>Mining</t>
        </is>
      </c>
      <c r="E1505" s="156" t="inlineStr">
        <is>
          <t>PC 300-8MO</t>
        </is>
      </c>
      <c r="F1505" s="184" t="n">
        <v>537.4</v>
      </c>
    </row>
    <row r="1506">
      <c r="A1506" s="155" t="n">
        <v>46101</v>
      </c>
      <c r="B1506" s="156" t="inlineStr">
        <is>
          <t>EX-332</t>
        </is>
      </c>
      <c r="C1506" s="156" t="inlineStr">
        <is>
          <t>Excavator</t>
        </is>
      </c>
      <c r="D1506" s="156" t="inlineStr">
        <is>
          <t>Mining</t>
        </is>
      </c>
      <c r="E1506" s="156" t="inlineStr">
        <is>
          <t>PC 300-8MO</t>
        </is>
      </c>
      <c r="F1506" s="184" t="n">
        <v>529.4</v>
      </c>
    </row>
    <row r="1507">
      <c r="A1507" s="155" t="n">
        <v>46101</v>
      </c>
      <c r="B1507" s="156" t="inlineStr">
        <is>
          <t>EX-222</t>
        </is>
      </c>
      <c r="C1507" s="156" t="inlineStr">
        <is>
          <t>Excavator</t>
        </is>
      </c>
      <c r="D1507" s="156" t="inlineStr">
        <is>
          <t>Mining</t>
        </is>
      </c>
      <c r="E1507" s="156" t="inlineStr">
        <is>
          <t>PC 200-8MI</t>
        </is>
      </c>
      <c r="F1507" s="184" t="n">
        <v>266.8</v>
      </c>
    </row>
    <row r="1508">
      <c r="A1508" s="155" t="n">
        <v>46101</v>
      </c>
      <c r="B1508" s="156" t="inlineStr">
        <is>
          <t>EX-223</t>
        </is>
      </c>
      <c r="C1508" s="156" t="inlineStr">
        <is>
          <t>Excavator</t>
        </is>
      </c>
      <c r="D1508" s="156" t="inlineStr">
        <is>
          <t>Aux</t>
        </is>
      </c>
      <c r="E1508" s="156" t="inlineStr">
        <is>
          <t>PC 200-8MI</t>
        </is>
      </c>
      <c r="F1508" s="184" t="n">
        <v>261.8</v>
      </c>
    </row>
    <row r="1509">
      <c r="A1509" s="155" t="n">
        <v>46101</v>
      </c>
      <c r="B1509" s="156" t="inlineStr">
        <is>
          <t>EX-221</t>
        </is>
      </c>
      <c r="C1509" s="156" t="inlineStr">
        <is>
          <t>Excavator</t>
        </is>
      </c>
      <c r="D1509" s="156" t="inlineStr">
        <is>
          <t>Aux</t>
        </is>
      </c>
      <c r="E1509" s="156" t="inlineStr">
        <is>
          <t>PC 200-8MI</t>
        </is>
      </c>
      <c r="F1509" s="184" t="n">
        <v>156.9</v>
      </c>
    </row>
    <row r="1510">
      <c r="A1510" s="155" t="n">
        <v>46101</v>
      </c>
      <c r="B1510" s="156" t="inlineStr">
        <is>
          <t>EX-1251</t>
        </is>
      </c>
      <c r="C1510" s="156" t="inlineStr">
        <is>
          <t>Excavator</t>
        </is>
      </c>
      <c r="D1510" s="156" t="inlineStr">
        <is>
          <t>Mining</t>
        </is>
      </c>
      <c r="E1510" s="156" t="inlineStr">
        <is>
          <t>SY1250</t>
        </is>
      </c>
      <c r="F1510" s="184" t="n">
        <v>1671.6</v>
      </c>
    </row>
    <row r="1511">
      <c r="A1511" s="155" t="n">
        <v>46101</v>
      </c>
      <c r="B1511" s="156" t="inlineStr">
        <is>
          <t>EX-1252</t>
        </is>
      </c>
      <c r="C1511" s="156" t="inlineStr">
        <is>
          <t>Excavator</t>
        </is>
      </c>
      <c r="D1511" s="156" t="inlineStr">
        <is>
          <t>Mining</t>
        </is>
      </c>
      <c r="E1511" s="156" t="inlineStr">
        <is>
          <t>SY1250</t>
        </is>
      </c>
      <c r="F1511" s="184" t="n">
        <v>632.1</v>
      </c>
    </row>
    <row r="1512">
      <c r="A1512" s="155" t="n">
        <v>46101</v>
      </c>
      <c r="B1512" s="156" t="inlineStr">
        <is>
          <t>EX-333</t>
        </is>
      </c>
      <c r="C1512" s="156" t="inlineStr">
        <is>
          <t>Excavator</t>
        </is>
      </c>
      <c r="D1512" s="156" t="inlineStr">
        <is>
          <t>Mining</t>
        </is>
      </c>
      <c r="E1512" s="156" t="inlineStr">
        <is>
          <t>PC 300-8MO</t>
        </is>
      </c>
      <c r="F1512" s="184" t="n">
        <v>107</v>
      </c>
    </row>
    <row r="1513">
      <c r="A1513" s="155" t="n">
        <v>46101</v>
      </c>
      <c r="B1513" s="156" t="inlineStr">
        <is>
          <t>EX-336</t>
        </is>
      </c>
      <c r="C1513" s="156" t="inlineStr">
        <is>
          <t>Excavator</t>
        </is>
      </c>
      <c r="D1513" s="156" t="inlineStr">
        <is>
          <t>Mining</t>
        </is>
      </c>
      <c r="E1513" s="156" t="inlineStr">
        <is>
          <t>PC 300-8MO</t>
        </is>
      </c>
      <c r="F1513" s="184" t="n">
        <v>279.8</v>
      </c>
    </row>
    <row r="1514">
      <c r="A1514" s="155" t="n">
        <v>46101</v>
      </c>
      <c r="B1514" s="156" t="inlineStr">
        <is>
          <t>DT-808</t>
        </is>
      </c>
      <c r="C1514" s="156" t="inlineStr">
        <is>
          <t>Hauler</t>
        </is>
      </c>
      <c r="D1514" s="156" t="inlineStr">
        <is>
          <t>Mining</t>
        </is>
      </c>
      <c r="E1514" s="156" t="inlineStr">
        <is>
          <t>SKT 80S</t>
        </is>
      </c>
      <c r="F1514" s="184" t="n">
        <v>171.6</v>
      </c>
    </row>
    <row r="1515">
      <c r="A1515" s="155" t="n">
        <v>46101</v>
      </c>
      <c r="B1515" s="156" t="inlineStr">
        <is>
          <t>DT-807</t>
        </is>
      </c>
      <c r="C1515" s="156" t="inlineStr">
        <is>
          <t>Hauler</t>
        </is>
      </c>
      <c r="D1515" s="156" t="inlineStr">
        <is>
          <t>Mining</t>
        </is>
      </c>
      <c r="E1515" s="156" t="inlineStr">
        <is>
          <t>SKT 80S</t>
        </is>
      </c>
      <c r="F1515" s="184" t="n">
        <v>118.5</v>
      </c>
    </row>
    <row r="1516">
      <c r="A1516" s="155" t="n">
        <v>46101</v>
      </c>
      <c r="B1516" s="156" t="inlineStr">
        <is>
          <t>DT-812</t>
        </is>
      </c>
      <c r="C1516" s="156" t="inlineStr">
        <is>
          <t>Hauler</t>
        </is>
      </c>
      <c r="D1516" s="156" t="inlineStr">
        <is>
          <t>Mining</t>
        </is>
      </c>
      <c r="E1516" s="156" t="inlineStr">
        <is>
          <t>SKT 80S</t>
        </is>
      </c>
      <c r="F1516" s="184" t="n">
        <v>251.1</v>
      </c>
    </row>
    <row r="1517">
      <c r="A1517" s="155" t="n">
        <v>46101</v>
      </c>
      <c r="B1517" s="156" t="inlineStr">
        <is>
          <t>DT-810</t>
        </is>
      </c>
      <c r="C1517" s="156" t="inlineStr">
        <is>
          <t>Hauler</t>
        </is>
      </c>
      <c r="D1517" s="156" t="inlineStr">
        <is>
          <t>Mining</t>
        </is>
      </c>
      <c r="E1517" s="156" t="inlineStr">
        <is>
          <t>SKT 80S</t>
        </is>
      </c>
      <c r="F1517" s="184" t="n">
        <v>195</v>
      </c>
    </row>
    <row r="1518">
      <c r="A1518" s="155" t="n">
        <v>46101</v>
      </c>
      <c r="B1518" s="156" t="inlineStr">
        <is>
          <t>DT-804</t>
        </is>
      </c>
      <c r="C1518" s="156" t="inlineStr">
        <is>
          <t>Hauler</t>
        </is>
      </c>
      <c r="D1518" s="156" t="inlineStr">
        <is>
          <t>Mining</t>
        </is>
      </c>
      <c r="E1518" s="156" t="inlineStr">
        <is>
          <t>SKT 80S</t>
        </is>
      </c>
      <c r="F1518" s="184" t="n">
        <v>291.6</v>
      </c>
    </row>
    <row r="1519">
      <c r="A1519" s="155" t="n">
        <v>46101</v>
      </c>
      <c r="B1519" s="156" t="inlineStr">
        <is>
          <t>DT-505</t>
        </is>
      </c>
      <c r="C1519" s="156" t="inlineStr">
        <is>
          <t>Hauler</t>
        </is>
      </c>
      <c r="D1519" s="156" t="inlineStr">
        <is>
          <t>Mining</t>
        </is>
      </c>
      <c r="E1519" s="156" t="inlineStr">
        <is>
          <t>SKT 105S</t>
        </is>
      </c>
      <c r="F1519" s="184" t="n">
        <v>234.3</v>
      </c>
    </row>
    <row r="1520">
      <c r="A1520" s="155" t="n">
        <v>46101</v>
      </c>
      <c r="B1520" s="156" t="inlineStr">
        <is>
          <t>DT-503</t>
        </is>
      </c>
      <c r="C1520" s="156" t="inlineStr">
        <is>
          <t>Hauler</t>
        </is>
      </c>
      <c r="D1520" s="156" t="inlineStr">
        <is>
          <t>Mining</t>
        </is>
      </c>
      <c r="E1520" s="156" t="inlineStr">
        <is>
          <t>SKT 105S</t>
        </is>
      </c>
      <c r="F1520" s="184" t="n">
        <v>386.4</v>
      </c>
    </row>
    <row r="1521">
      <c r="A1521" s="155" t="n">
        <v>46101</v>
      </c>
      <c r="B1521" s="156" t="inlineStr">
        <is>
          <t>DT-504</t>
        </is>
      </c>
      <c r="C1521" s="156" t="inlineStr">
        <is>
          <t>Hauler</t>
        </is>
      </c>
      <c r="D1521" s="156" t="inlineStr">
        <is>
          <t>Mining</t>
        </is>
      </c>
      <c r="E1521" s="156" t="inlineStr">
        <is>
          <t>SKT 105S</t>
        </is>
      </c>
      <c r="F1521" s="184" t="n">
        <v>445.3</v>
      </c>
    </row>
    <row r="1522">
      <c r="A1522" s="155" t="n">
        <v>46101</v>
      </c>
      <c r="B1522" s="156" t="inlineStr">
        <is>
          <t>DT-501</t>
        </is>
      </c>
      <c r="C1522" s="156" t="inlineStr">
        <is>
          <t>Hauler</t>
        </is>
      </c>
      <c r="D1522" s="156" t="inlineStr">
        <is>
          <t>Mining</t>
        </is>
      </c>
      <c r="E1522" s="156" t="inlineStr">
        <is>
          <t>SKT 105S</t>
        </is>
      </c>
      <c r="F1522" s="184" t="n">
        <v>383.8</v>
      </c>
    </row>
    <row r="1523">
      <c r="A1523" s="155" t="n">
        <v>46101</v>
      </c>
      <c r="B1523" s="156" t="inlineStr">
        <is>
          <t>DT-518</t>
        </is>
      </c>
      <c r="C1523" s="156" t="inlineStr">
        <is>
          <t>Hauler</t>
        </is>
      </c>
      <c r="D1523" s="156" t="inlineStr">
        <is>
          <t>Mining</t>
        </is>
      </c>
      <c r="E1523" s="156" t="inlineStr">
        <is>
          <t>SKT 105S</t>
        </is>
      </c>
      <c r="F1523" s="184" t="n">
        <v>385.3</v>
      </c>
    </row>
    <row r="1524">
      <c r="A1524" s="155" t="n">
        <v>46101</v>
      </c>
      <c r="B1524" s="156" t="inlineStr">
        <is>
          <t>DT-514</t>
        </is>
      </c>
      <c r="C1524" s="156" t="inlineStr">
        <is>
          <t>Hauler</t>
        </is>
      </c>
      <c r="D1524" s="156" t="inlineStr">
        <is>
          <t>Mining</t>
        </is>
      </c>
      <c r="E1524" s="156" t="inlineStr">
        <is>
          <t>SKT 105S</t>
        </is>
      </c>
      <c r="F1524" s="184" t="n">
        <v>558.2</v>
      </c>
    </row>
    <row r="1525">
      <c r="A1525" s="155" t="n">
        <v>46101</v>
      </c>
      <c r="B1525" s="156" t="inlineStr">
        <is>
          <t>DT-523</t>
        </is>
      </c>
      <c r="C1525" s="156" t="inlineStr">
        <is>
          <t>Hauler</t>
        </is>
      </c>
      <c r="D1525" s="156" t="inlineStr">
        <is>
          <t>Mining</t>
        </is>
      </c>
      <c r="E1525" s="156" t="inlineStr">
        <is>
          <t>SKT 105S</t>
        </is>
      </c>
      <c r="F1525" s="184" t="n">
        <v>455.9</v>
      </c>
    </row>
    <row r="1526">
      <c r="A1526" s="155" t="n">
        <v>46101</v>
      </c>
      <c r="B1526" s="156" t="inlineStr">
        <is>
          <t>DT-519</t>
        </is>
      </c>
      <c r="C1526" s="156" t="inlineStr">
        <is>
          <t>Hauler</t>
        </is>
      </c>
      <c r="D1526" s="156" t="inlineStr">
        <is>
          <t>Mining</t>
        </is>
      </c>
      <c r="E1526" s="156" t="inlineStr">
        <is>
          <t>SKT 105S</t>
        </is>
      </c>
      <c r="F1526" s="184" t="n">
        <v>250.6</v>
      </c>
    </row>
    <row r="1527">
      <c r="A1527" s="155" t="n">
        <v>46101</v>
      </c>
      <c r="B1527" s="156" t="inlineStr">
        <is>
          <t>DT-527</t>
        </is>
      </c>
      <c r="C1527" s="156" t="inlineStr">
        <is>
          <t>Hauler</t>
        </is>
      </c>
      <c r="D1527" s="156" t="inlineStr">
        <is>
          <t>Mining</t>
        </is>
      </c>
      <c r="E1527" s="156" t="inlineStr">
        <is>
          <t>SKT 105S</t>
        </is>
      </c>
      <c r="F1527" s="184" t="n">
        <v>424.6</v>
      </c>
    </row>
    <row r="1528">
      <c r="A1528" s="155" t="n">
        <v>46101</v>
      </c>
      <c r="B1528" s="156" t="inlineStr">
        <is>
          <t>DT-512</t>
        </is>
      </c>
      <c r="C1528" s="156" t="inlineStr">
        <is>
          <t>Hauler</t>
        </is>
      </c>
      <c r="D1528" s="156" t="inlineStr">
        <is>
          <t>Mining</t>
        </is>
      </c>
      <c r="E1528" s="156" t="inlineStr">
        <is>
          <t>SKT 105S</t>
        </is>
      </c>
      <c r="F1528" s="184" t="n">
        <v>271.7</v>
      </c>
    </row>
    <row r="1529">
      <c r="A1529" s="155" t="n">
        <v>46101</v>
      </c>
      <c r="B1529" s="156" t="inlineStr">
        <is>
          <t>DT-522</t>
        </is>
      </c>
      <c r="C1529" s="156" t="inlineStr">
        <is>
          <t>Hauler</t>
        </is>
      </c>
      <c r="D1529" s="156" t="inlineStr">
        <is>
          <t>Mining</t>
        </is>
      </c>
      <c r="E1529" s="156" t="inlineStr">
        <is>
          <t>SKT 105S</t>
        </is>
      </c>
      <c r="F1529" s="184" t="n">
        <v>369.2</v>
      </c>
    </row>
    <row r="1530">
      <c r="A1530" s="155" t="n">
        <v>46101</v>
      </c>
      <c r="B1530" s="156" t="inlineStr">
        <is>
          <t>DT-517</t>
        </is>
      </c>
      <c r="C1530" s="156" t="inlineStr">
        <is>
          <t>Hauler</t>
        </is>
      </c>
      <c r="D1530" s="156" t="inlineStr">
        <is>
          <t>Mining</t>
        </is>
      </c>
      <c r="E1530" s="156" t="inlineStr">
        <is>
          <t>SKT 105S</t>
        </is>
      </c>
      <c r="F1530" s="184" t="n">
        <v>450.7</v>
      </c>
    </row>
    <row r="1531">
      <c r="A1531" s="155" t="n">
        <v>46101</v>
      </c>
      <c r="B1531" s="156" t="inlineStr">
        <is>
          <t>DT-521</t>
        </is>
      </c>
      <c r="C1531" s="156" t="inlineStr">
        <is>
          <t>Hauler</t>
        </is>
      </c>
      <c r="D1531" s="156" t="inlineStr">
        <is>
          <t>Mining</t>
        </is>
      </c>
      <c r="E1531" s="156" t="inlineStr">
        <is>
          <t>SKT 105S</t>
        </is>
      </c>
      <c r="F1531" s="184" t="n">
        <v>358</v>
      </c>
    </row>
    <row r="1532">
      <c r="A1532" s="155" t="n">
        <v>46101</v>
      </c>
      <c r="B1532" s="156" t="inlineStr">
        <is>
          <t>DT-516</t>
        </is>
      </c>
      <c r="C1532" s="156" t="inlineStr">
        <is>
          <t>Hauler</t>
        </is>
      </c>
      <c r="D1532" s="156" t="inlineStr">
        <is>
          <t>Mining</t>
        </is>
      </c>
      <c r="E1532" s="156" t="inlineStr">
        <is>
          <t>SKT 105S</t>
        </is>
      </c>
      <c r="F1532" s="184" t="n">
        <v>378.4</v>
      </c>
    </row>
    <row r="1533">
      <c r="A1533" s="155" t="n">
        <v>46101</v>
      </c>
      <c r="B1533" s="156" t="inlineStr">
        <is>
          <t>DT-506</t>
        </is>
      </c>
      <c r="C1533" s="156" t="inlineStr">
        <is>
          <t>Hauler</t>
        </is>
      </c>
      <c r="D1533" s="156" t="inlineStr">
        <is>
          <t>Mining</t>
        </is>
      </c>
      <c r="E1533" s="156" t="inlineStr">
        <is>
          <t>SKT 105S</t>
        </is>
      </c>
      <c r="F1533" s="184" t="n">
        <v>373.3</v>
      </c>
    </row>
    <row r="1534">
      <c r="A1534" s="155" t="n">
        <v>46101</v>
      </c>
      <c r="B1534" s="156" t="inlineStr">
        <is>
          <t>DT-502</t>
        </is>
      </c>
      <c r="C1534" s="156" t="inlineStr">
        <is>
          <t>Hauler</t>
        </is>
      </c>
      <c r="D1534" s="156" t="inlineStr">
        <is>
          <t>Mining</t>
        </is>
      </c>
      <c r="E1534" s="156" t="inlineStr">
        <is>
          <t>SKT 105S</t>
        </is>
      </c>
      <c r="F1534" s="184" t="n">
        <v>344.5</v>
      </c>
    </row>
    <row r="1535">
      <c r="A1535" s="155" t="n">
        <v>46101</v>
      </c>
      <c r="B1535" s="156" t="inlineStr">
        <is>
          <t>DT-528</t>
        </is>
      </c>
      <c r="C1535" s="156" t="inlineStr">
        <is>
          <t>Hauler</t>
        </is>
      </c>
      <c r="D1535" s="156" t="inlineStr">
        <is>
          <t>Mining</t>
        </is>
      </c>
      <c r="E1535" s="156" t="inlineStr">
        <is>
          <t>SKT 105S</t>
        </is>
      </c>
      <c r="F1535" s="184" t="n">
        <v>330.9</v>
      </c>
    </row>
    <row r="1536">
      <c r="A1536" s="155" t="n">
        <v>46101</v>
      </c>
      <c r="B1536" s="156" t="inlineStr">
        <is>
          <t>DT-529</t>
        </is>
      </c>
      <c r="C1536" s="156" t="inlineStr">
        <is>
          <t>Hauler</t>
        </is>
      </c>
      <c r="D1536" s="156" t="inlineStr">
        <is>
          <t>Mining</t>
        </is>
      </c>
      <c r="E1536" s="156" t="inlineStr">
        <is>
          <t>SKT 105S</t>
        </is>
      </c>
      <c r="F1536" s="184" t="n">
        <v>393.4</v>
      </c>
    </row>
    <row r="1537">
      <c r="A1537" s="155" t="n">
        <v>46101</v>
      </c>
      <c r="B1537" s="156" t="inlineStr">
        <is>
          <t>DT-520</t>
        </is>
      </c>
      <c r="C1537" s="156" t="inlineStr">
        <is>
          <t>Hauler</t>
        </is>
      </c>
      <c r="D1537" s="156" t="inlineStr">
        <is>
          <t>Mining</t>
        </is>
      </c>
      <c r="E1537" s="156" t="inlineStr">
        <is>
          <t>SKT 105S</t>
        </is>
      </c>
      <c r="F1537" s="184" t="n">
        <v>245.5</v>
      </c>
    </row>
    <row r="1538">
      <c r="A1538" s="155" t="n">
        <v>46101</v>
      </c>
      <c r="B1538" s="156" t="inlineStr">
        <is>
          <t>DT-511</t>
        </is>
      </c>
      <c r="C1538" s="156" t="inlineStr">
        <is>
          <t>Hauler</t>
        </is>
      </c>
      <c r="D1538" s="156" t="inlineStr">
        <is>
          <t>Mining</t>
        </is>
      </c>
      <c r="E1538" s="156" t="inlineStr">
        <is>
          <t>SKT 105S</t>
        </is>
      </c>
      <c r="F1538" s="184" t="n">
        <v>553.3</v>
      </c>
    </row>
    <row r="1539">
      <c r="A1539" s="155" t="n">
        <v>46101</v>
      </c>
      <c r="B1539" s="156" t="inlineStr">
        <is>
          <t>DT-526</t>
        </is>
      </c>
      <c r="C1539" s="156" t="inlineStr">
        <is>
          <t>Hauler</t>
        </is>
      </c>
      <c r="D1539" s="156" t="inlineStr">
        <is>
          <t>Mining</t>
        </is>
      </c>
      <c r="E1539" s="156" t="inlineStr">
        <is>
          <t>SKT 105S</t>
        </is>
      </c>
      <c r="F1539" s="184" t="n">
        <v>320.3</v>
      </c>
    </row>
    <row r="1540">
      <c r="A1540" s="155" t="n">
        <v>46101</v>
      </c>
      <c r="B1540" s="156" t="inlineStr">
        <is>
          <t>DT-508</t>
        </is>
      </c>
      <c r="C1540" s="156" t="inlineStr">
        <is>
          <t>Hauler</t>
        </is>
      </c>
      <c r="D1540" s="156" t="inlineStr">
        <is>
          <t>Mining</t>
        </is>
      </c>
      <c r="E1540" s="156" t="inlineStr">
        <is>
          <t>SKT 105S</t>
        </is>
      </c>
      <c r="F1540" s="184" t="n">
        <v>440.5</v>
      </c>
    </row>
    <row r="1541">
      <c r="A1541" s="155" t="n">
        <v>46101</v>
      </c>
      <c r="B1541" s="156" t="inlineStr">
        <is>
          <t>DT-515</t>
        </is>
      </c>
      <c r="C1541" s="156" t="inlineStr">
        <is>
          <t>Hauler</t>
        </is>
      </c>
      <c r="D1541" s="156" t="inlineStr">
        <is>
          <t>Mining</t>
        </is>
      </c>
      <c r="E1541" s="156" t="inlineStr">
        <is>
          <t>SKT 105S</t>
        </is>
      </c>
      <c r="F1541" s="184" t="n">
        <v>361.3</v>
      </c>
    </row>
    <row r="1542">
      <c r="A1542" s="155" t="n">
        <v>46101</v>
      </c>
      <c r="B1542" s="156" t="inlineStr">
        <is>
          <t>DZ-034</t>
        </is>
      </c>
      <c r="C1542" s="156" t="inlineStr">
        <is>
          <t>Bulldozer</t>
        </is>
      </c>
      <c r="D1542" s="156" t="inlineStr">
        <is>
          <t>Mining</t>
        </is>
      </c>
      <c r="E1542" s="156" t="inlineStr">
        <is>
          <t>D 68ESS-12EO</t>
        </is>
      </c>
      <c r="F1542" s="184" t="n">
        <v>204.3</v>
      </c>
    </row>
    <row r="1543">
      <c r="A1543" s="155" t="n">
        <v>46101</v>
      </c>
      <c r="B1543" s="156" t="inlineStr">
        <is>
          <t>DZ-037</t>
        </is>
      </c>
      <c r="C1543" s="156" t="inlineStr">
        <is>
          <t>Bulldozer</t>
        </is>
      </c>
      <c r="D1543" s="156" t="inlineStr">
        <is>
          <t>Mining</t>
        </is>
      </c>
      <c r="E1543" s="156" t="inlineStr">
        <is>
          <t>D 85 ESS-2</t>
        </is>
      </c>
      <c r="F1543" s="184" t="n">
        <v>203.1</v>
      </c>
    </row>
    <row r="1544">
      <c r="A1544" s="155" t="n">
        <v>46101</v>
      </c>
      <c r="B1544" s="156" t="inlineStr">
        <is>
          <t>DZ-032</t>
        </is>
      </c>
      <c r="C1544" s="156" t="inlineStr">
        <is>
          <t>Bulldozer</t>
        </is>
      </c>
      <c r="D1544" s="156" t="inlineStr">
        <is>
          <t>Mining</t>
        </is>
      </c>
      <c r="E1544" s="156" t="inlineStr">
        <is>
          <t>CAT</t>
        </is>
      </c>
      <c r="F1544" s="184" t="n">
        <v>739.8</v>
      </c>
    </row>
    <row r="1545">
      <c r="A1545" s="155" t="n">
        <v>46101</v>
      </c>
      <c r="B1545" s="156" t="inlineStr">
        <is>
          <t>GD-013</t>
        </is>
      </c>
      <c r="C1545" s="156" t="inlineStr">
        <is>
          <t>Grader</t>
        </is>
      </c>
      <c r="D1545" s="156" t="inlineStr">
        <is>
          <t>Mining</t>
        </is>
      </c>
      <c r="E1545" s="156" t="inlineStr">
        <is>
          <t>STG 265C - 10</t>
        </is>
      </c>
      <c r="F1545" s="184" t="n">
        <v>219.4</v>
      </c>
    </row>
    <row r="1546">
      <c r="A1546" s="155" t="n">
        <v>46101</v>
      </c>
      <c r="B1546" s="156" t="inlineStr">
        <is>
          <t>GD-014</t>
        </is>
      </c>
      <c r="C1546" s="156" t="inlineStr">
        <is>
          <t>Grader</t>
        </is>
      </c>
      <c r="D1546" s="156" t="inlineStr">
        <is>
          <t>Mining</t>
        </is>
      </c>
      <c r="E1546" s="156" t="inlineStr">
        <is>
          <t>STG 335C - 10</t>
        </is>
      </c>
      <c r="F1546" s="184" t="n">
        <v>357.4</v>
      </c>
    </row>
    <row r="1547">
      <c r="A1547" s="155" t="n">
        <v>46101</v>
      </c>
      <c r="B1547" s="156" t="inlineStr">
        <is>
          <t>WL-025</t>
        </is>
      </c>
      <c r="C1547" s="156" t="inlineStr">
        <is>
          <t>Loader</t>
        </is>
      </c>
      <c r="D1547" s="156" t="inlineStr">
        <is>
          <t>Aux</t>
        </is>
      </c>
      <c r="E1547" s="156" t="inlineStr">
        <is>
          <t>SANY - Loader</t>
        </is>
      </c>
      <c r="F1547" s="184" t="n">
        <v>41</v>
      </c>
    </row>
    <row r="1548">
      <c r="A1548" s="155" t="n">
        <v>46101</v>
      </c>
      <c r="B1548" s="156" t="inlineStr">
        <is>
          <t>WL-023</t>
        </is>
      </c>
      <c r="C1548" s="156" t="inlineStr">
        <is>
          <t>Loader</t>
        </is>
      </c>
      <c r="D1548" s="156" t="inlineStr">
        <is>
          <t>Aux</t>
        </is>
      </c>
      <c r="E1548" s="156" t="inlineStr">
        <is>
          <t>SANY - Loader</t>
        </is>
      </c>
      <c r="F1548" s="184" t="n">
        <v>102.4</v>
      </c>
    </row>
    <row r="1549">
      <c r="A1549" s="155" t="n">
        <v>46101</v>
      </c>
      <c r="B1549" s="156" t="inlineStr">
        <is>
          <t>LV-01</t>
        </is>
      </c>
      <c r="C1549" s="156" t="inlineStr">
        <is>
          <t>LV &amp; sarana</t>
        </is>
      </c>
      <c r="D1549" s="156" t="inlineStr">
        <is>
          <t>Aux</t>
        </is>
      </c>
      <c r="E1549" s="156" t="inlineStr">
        <is>
          <t>Light vehicle</t>
        </is>
      </c>
      <c r="F1549" s="184" t="n">
        <v>29.9</v>
      </c>
    </row>
    <row r="1550">
      <c r="A1550" s="155" t="n">
        <v>46101</v>
      </c>
      <c r="B1550" s="156" t="inlineStr">
        <is>
          <t>LV-03</t>
        </is>
      </c>
      <c r="C1550" s="156" t="inlineStr">
        <is>
          <t>LV &amp; sarana</t>
        </is>
      </c>
      <c r="D1550" s="156" t="inlineStr">
        <is>
          <t>Aux</t>
        </is>
      </c>
      <c r="E1550" s="156" t="inlineStr">
        <is>
          <t>Light vehicle</t>
        </is>
      </c>
      <c r="F1550" s="184" t="n">
        <v>45.6</v>
      </c>
    </row>
    <row r="1551">
      <c r="A1551" s="155" t="n">
        <v>46101</v>
      </c>
      <c r="B1551" s="156" t="inlineStr">
        <is>
          <t>LV-04</t>
        </is>
      </c>
      <c r="C1551" s="156" t="inlineStr">
        <is>
          <t>LV &amp; sarana</t>
        </is>
      </c>
      <c r="D1551" s="156" t="inlineStr">
        <is>
          <t>Aux</t>
        </is>
      </c>
      <c r="E1551" s="156" t="inlineStr">
        <is>
          <t>Light vehicle</t>
        </is>
      </c>
      <c r="F1551" s="184" t="n">
        <v>39.9</v>
      </c>
    </row>
    <row r="1552">
      <c r="A1552" s="155" t="n">
        <v>46101</v>
      </c>
      <c r="B1552" s="156" t="inlineStr">
        <is>
          <t>LV-06</t>
        </is>
      </c>
      <c r="C1552" s="156" t="inlineStr">
        <is>
          <t>LV &amp; sarana</t>
        </is>
      </c>
      <c r="D1552" s="156" t="inlineStr">
        <is>
          <t>Aux</t>
        </is>
      </c>
      <c r="E1552" s="156" t="inlineStr">
        <is>
          <t>Light vehicle</t>
        </is>
      </c>
      <c r="F1552" s="184" t="n">
        <v>22.4</v>
      </c>
    </row>
    <row r="1553">
      <c r="A1553" s="155" t="n">
        <v>46101</v>
      </c>
      <c r="B1553" s="156" t="inlineStr">
        <is>
          <t>LV-11</t>
        </is>
      </c>
      <c r="C1553" s="156" t="inlineStr">
        <is>
          <t>LV &amp; sarana</t>
        </is>
      </c>
      <c r="D1553" s="156" t="inlineStr">
        <is>
          <t>Aux</t>
        </is>
      </c>
      <c r="E1553" s="156" t="inlineStr">
        <is>
          <t>Light vehicle</t>
        </is>
      </c>
      <c r="F1553" s="184" t="n">
        <v>62.3</v>
      </c>
    </row>
    <row r="1554">
      <c r="A1554" s="155" t="n">
        <v>46101</v>
      </c>
      <c r="B1554" s="156" t="inlineStr">
        <is>
          <t>VD-01</t>
        </is>
      </c>
      <c r="C1554" s="156" t="inlineStr">
        <is>
          <t>Vendor</t>
        </is>
      </c>
      <c r="D1554" s="156" t="inlineStr">
        <is>
          <t>Vendor</t>
        </is>
      </c>
      <c r="E1554" s="156" t="inlineStr">
        <is>
          <t>Alat vendor</t>
        </is>
      </c>
      <c r="F1554" s="184" t="n">
        <v>37</v>
      </c>
    </row>
    <row r="1555">
      <c r="A1555" s="155" t="n">
        <v>46101</v>
      </c>
      <c r="B1555" s="156" t="inlineStr">
        <is>
          <t>TS-01</t>
        </is>
      </c>
      <c r="C1555" s="156" t="inlineStr">
        <is>
          <t>Truk support</t>
        </is>
      </c>
      <c r="D1555" s="156" t="inlineStr">
        <is>
          <t>Mining</t>
        </is>
      </c>
      <c r="E1555" s="156" t="inlineStr">
        <is>
          <t>Truk support</t>
        </is>
      </c>
      <c r="F1555" s="184" t="n">
        <v>123.7</v>
      </c>
    </row>
    <row r="1556">
      <c r="A1556" s="155" t="n">
        <v>46101</v>
      </c>
      <c r="B1556" s="156" t="inlineStr">
        <is>
          <t>TS-05</t>
        </is>
      </c>
      <c r="C1556" s="156" t="inlineStr">
        <is>
          <t>Truk support</t>
        </is>
      </c>
      <c r="D1556" s="156" t="inlineStr">
        <is>
          <t>Aux</t>
        </is>
      </c>
      <c r="E1556" s="156" t="inlineStr">
        <is>
          <t>Truk support</t>
        </is>
      </c>
      <c r="F1556" s="184" t="n">
        <v>64.3</v>
      </c>
    </row>
    <row r="1557">
      <c r="A1557" s="155" t="n">
        <v>46101</v>
      </c>
      <c r="B1557" s="156" t="inlineStr">
        <is>
          <t>AL-10</t>
        </is>
      </c>
      <c r="C1557" s="156" t="inlineStr">
        <is>
          <t>Alat lain</t>
        </is>
      </c>
      <c r="D1557" s="156" t="inlineStr">
        <is>
          <t>Mining</t>
        </is>
      </c>
      <c r="E1557" s="156" t="inlineStr">
        <is>
          <t>Alat lain</t>
        </is>
      </c>
      <c r="F1557" s="184" t="n">
        <v>47.1</v>
      </c>
    </row>
    <row r="1558">
      <c r="A1558" s="155" t="n">
        <v>46101</v>
      </c>
      <c r="B1558" s="156" t="inlineStr">
        <is>
          <t>GS-01</t>
        </is>
      </c>
      <c r="C1558" s="156" t="inlineStr">
        <is>
          <t>Genset</t>
        </is>
      </c>
      <c r="D1558" s="156" t="inlineStr">
        <is>
          <t>Aux</t>
        </is>
      </c>
      <c r="E1558" s="156" t="inlineStr">
        <is>
          <t>Genset</t>
        </is>
      </c>
      <c r="F1558" s="184" t="n">
        <v>196.9</v>
      </c>
    </row>
    <row r="1559">
      <c r="A1559" s="155" t="n">
        <v>46101</v>
      </c>
      <c r="B1559" s="156" t="inlineStr">
        <is>
          <t>GS-02</t>
        </is>
      </c>
      <c r="C1559" s="156" t="inlineStr">
        <is>
          <t>Genset</t>
        </is>
      </c>
      <c r="D1559" s="156" t="inlineStr">
        <is>
          <t>Aux</t>
        </is>
      </c>
      <c r="E1559" s="156" t="inlineStr">
        <is>
          <t>Genset</t>
        </is>
      </c>
      <c r="F1559" s="184" t="n">
        <v>116.8</v>
      </c>
    </row>
    <row r="1560">
      <c r="A1560" s="155" t="n">
        <v>46101</v>
      </c>
      <c r="B1560" s="156" t="inlineStr">
        <is>
          <t>GS-03</t>
        </is>
      </c>
      <c r="C1560" s="156" t="inlineStr">
        <is>
          <t>Genset</t>
        </is>
      </c>
      <c r="D1560" s="156" t="inlineStr">
        <is>
          <t>Aux</t>
        </is>
      </c>
      <c r="E1560" s="156" t="inlineStr">
        <is>
          <t>Genset</t>
        </is>
      </c>
      <c r="F1560" s="184" t="n">
        <v>165.8</v>
      </c>
    </row>
    <row r="1561">
      <c r="A1561" s="155" t="n">
        <v>46101</v>
      </c>
      <c r="B1561" s="156" t="inlineStr">
        <is>
          <t>GS-04</t>
        </is>
      </c>
      <c r="C1561" s="156" t="inlineStr">
        <is>
          <t>Genset</t>
        </is>
      </c>
      <c r="D1561" s="156" t="inlineStr">
        <is>
          <t>Aux</t>
        </is>
      </c>
      <c r="E1561" s="156" t="inlineStr">
        <is>
          <t>Genset</t>
        </is>
      </c>
      <c r="F1561" s="184" t="n">
        <v>659.2</v>
      </c>
    </row>
    <row r="1562">
      <c r="A1562" s="155" t="n">
        <v>46101</v>
      </c>
      <c r="B1562" s="156" t="inlineStr">
        <is>
          <t>GS-08</t>
        </is>
      </c>
      <c r="C1562" s="156" t="inlineStr">
        <is>
          <t>Genset</t>
        </is>
      </c>
      <c r="D1562" s="156" t="inlineStr">
        <is>
          <t>Aux</t>
        </is>
      </c>
      <c r="E1562" s="156" t="inlineStr">
        <is>
          <t>Genset</t>
        </is>
      </c>
      <c r="F1562" s="184" t="n">
        <v>63.6</v>
      </c>
    </row>
    <row r="1563">
      <c r="A1563" s="155" t="n">
        <v>46101</v>
      </c>
      <c r="B1563" s="156" t="inlineStr">
        <is>
          <t>WP-03</t>
        </is>
      </c>
      <c r="C1563" s="156" t="inlineStr">
        <is>
          <t>Pompa air</t>
        </is>
      </c>
      <c r="D1563" s="156" t="inlineStr">
        <is>
          <t>Mining</t>
        </is>
      </c>
      <c r="E1563" s="156" t="inlineStr">
        <is>
          <t>Pompa air</t>
        </is>
      </c>
      <c r="F1563" s="184" t="n">
        <v>775.5</v>
      </c>
    </row>
    <row r="1564">
      <c r="A1564" s="155" t="n">
        <v>46101</v>
      </c>
      <c r="B1564" s="156" t="inlineStr">
        <is>
          <t>WP-05</t>
        </is>
      </c>
      <c r="C1564" s="156" t="inlineStr">
        <is>
          <t>Pompa air</t>
        </is>
      </c>
      <c r="D1564" s="156" t="inlineStr">
        <is>
          <t>Mining</t>
        </is>
      </c>
      <c r="E1564" s="156" t="inlineStr">
        <is>
          <t>Pompa air</t>
        </is>
      </c>
      <c r="F1564" s="184" t="n">
        <v>1205.7</v>
      </c>
    </row>
    <row r="1565">
      <c r="A1565" s="155" t="n">
        <v>46101</v>
      </c>
      <c r="B1565" s="156" t="inlineStr">
        <is>
          <t>DT-341</t>
        </is>
      </c>
      <c r="C1565" s="156" t="inlineStr">
        <is>
          <t>Hauler</t>
        </is>
      </c>
      <c r="D1565" s="156" t="inlineStr">
        <is>
          <t>Aux</t>
        </is>
      </c>
      <c r="E1565" s="156" t="inlineStr">
        <is>
          <t>SYZ324C-8W</t>
        </is>
      </c>
      <c r="F1565" s="184" t="n">
        <v>96</v>
      </c>
    </row>
    <row r="1566">
      <c r="A1566" s="155" t="n">
        <v>46101</v>
      </c>
      <c r="B1566" s="156" t="inlineStr">
        <is>
          <t>WL-022</t>
        </is>
      </c>
      <c r="C1566" s="156" t="inlineStr">
        <is>
          <t>Loader</t>
        </is>
      </c>
      <c r="D1566" s="156" t="inlineStr">
        <is>
          <t>Aux</t>
        </is>
      </c>
      <c r="E1566" s="156" t="inlineStr">
        <is>
          <t>SANY - Loader</t>
        </is>
      </c>
      <c r="F1566" s="184" t="n">
        <v>251.9</v>
      </c>
    </row>
    <row r="1567">
      <c r="A1567" s="155" t="n">
        <v>46101</v>
      </c>
      <c r="B1567" s="156" t="inlineStr">
        <is>
          <t>WL-024</t>
        </is>
      </c>
      <c r="C1567" s="156" t="inlineStr">
        <is>
          <t>Loader</t>
        </is>
      </c>
      <c r="D1567" s="156" t="inlineStr">
        <is>
          <t>Aux</t>
        </is>
      </c>
      <c r="E1567" s="156" t="inlineStr">
        <is>
          <t>SANY - Loader</t>
        </is>
      </c>
      <c r="F1567" s="184" t="n">
        <v>307.4</v>
      </c>
    </row>
    <row r="1568">
      <c r="A1568" s="155" t="n">
        <v>46087</v>
      </c>
      <c r="B1568" s="156" t="inlineStr">
        <is>
          <t>EX-754</t>
        </is>
      </c>
      <c r="C1568" s="156" t="inlineStr">
        <is>
          <t>Excavator</t>
        </is>
      </c>
      <c r="D1568" s="156" t="inlineStr">
        <is>
          <t>Mining</t>
        </is>
      </c>
      <c r="E1568" s="156" t="inlineStr">
        <is>
          <t>SY750H-PRO</t>
        </is>
      </c>
      <c r="F1568" s="184" t="n">
        <v>760</v>
      </c>
    </row>
    <row r="1569">
      <c r="A1569" s="155" t="n">
        <v>46087</v>
      </c>
      <c r="B1569" s="156" t="inlineStr">
        <is>
          <t>EX-755</t>
        </is>
      </c>
      <c r="C1569" s="156" t="inlineStr">
        <is>
          <t>Excavator</t>
        </is>
      </c>
      <c r="D1569" s="156" t="inlineStr">
        <is>
          <t>Mining</t>
        </is>
      </c>
      <c r="E1569" s="156" t="inlineStr">
        <is>
          <t>SY750H-PRO</t>
        </is>
      </c>
      <c r="F1569" s="184" t="n">
        <v>986.2</v>
      </c>
    </row>
    <row r="1570">
      <c r="A1570" s="155" t="n">
        <v>46087</v>
      </c>
      <c r="B1570" s="156" t="inlineStr">
        <is>
          <t>EX-753</t>
        </is>
      </c>
      <c r="C1570" s="156" t="inlineStr">
        <is>
          <t>Excavator</t>
        </is>
      </c>
      <c r="D1570" s="156" t="inlineStr">
        <is>
          <t>Mining</t>
        </is>
      </c>
      <c r="E1570" s="156" t="inlineStr">
        <is>
          <t>SY750H-PRO</t>
        </is>
      </c>
      <c r="F1570" s="184" t="n">
        <v>859.5</v>
      </c>
    </row>
    <row r="1571">
      <c r="A1571" s="155" t="n">
        <v>46087</v>
      </c>
      <c r="B1571" s="156" t="inlineStr">
        <is>
          <t>EX-334</t>
        </is>
      </c>
      <c r="C1571" s="156" t="inlineStr">
        <is>
          <t>Excavator</t>
        </is>
      </c>
      <c r="D1571" s="156" t="inlineStr">
        <is>
          <t>Mining</t>
        </is>
      </c>
      <c r="E1571" s="156" t="inlineStr">
        <is>
          <t>PC 300-8MO</t>
        </is>
      </c>
      <c r="F1571" s="184" t="n">
        <v>515.6</v>
      </c>
    </row>
    <row r="1572">
      <c r="A1572" s="155" t="n">
        <v>46087</v>
      </c>
      <c r="B1572" s="156" t="inlineStr">
        <is>
          <t>EX-332</t>
        </is>
      </c>
      <c r="C1572" s="156" t="inlineStr">
        <is>
          <t>Excavator</t>
        </is>
      </c>
      <c r="D1572" s="156" t="inlineStr">
        <is>
          <t>Mining</t>
        </is>
      </c>
      <c r="E1572" s="156" t="inlineStr">
        <is>
          <t>PC 300-8MO</t>
        </is>
      </c>
      <c r="F1572" s="184" t="n">
        <v>426.7</v>
      </c>
    </row>
    <row r="1573">
      <c r="A1573" s="155" t="n">
        <v>46087</v>
      </c>
      <c r="B1573" s="156" t="inlineStr">
        <is>
          <t>EX-222</t>
        </is>
      </c>
      <c r="C1573" s="156" t="inlineStr">
        <is>
          <t>Excavator</t>
        </is>
      </c>
      <c r="D1573" s="156" t="inlineStr">
        <is>
          <t>Mining</t>
        </is>
      </c>
      <c r="E1573" s="156" t="inlineStr">
        <is>
          <t>PC 200-8MI</t>
        </is>
      </c>
      <c r="F1573" s="184" t="n">
        <v>281.8</v>
      </c>
    </row>
    <row r="1574">
      <c r="A1574" s="155" t="n">
        <v>46087</v>
      </c>
      <c r="B1574" s="156" t="inlineStr">
        <is>
          <t>EX-223</t>
        </is>
      </c>
      <c r="C1574" s="156" t="inlineStr">
        <is>
          <t>Excavator</t>
        </is>
      </c>
      <c r="D1574" s="156" t="inlineStr">
        <is>
          <t>Aux</t>
        </is>
      </c>
      <c r="E1574" s="156" t="inlineStr">
        <is>
          <t>PC 200-8MI</t>
        </is>
      </c>
      <c r="F1574" s="184" t="n">
        <v>240.6</v>
      </c>
    </row>
    <row r="1575">
      <c r="A1575" s="155" t="n">
        <v>46087</v>
      </c>
      <c r="B1575" s="156" t="inlineStr">
        <is>
          <t>EX-221</t>
        </is>
      </c>
      <c r="C1575" s="156" t="inlineStr">
        <is>
          <t>Excavator</t>
        </is>
      </c>
      <c r="D1575" s="156" t="inlineStr">
        <is>
          <t>Aux</t>
        </is>
      </c>
      <c r="E1575" s="156" t="inlineStr">
        <is>
          <t>PC 200-8MI</t>
        </is>
      </c>
      <c r="F1575" s="184" t="n">
        <v>114.8</v>
      </c>
    </row>
    <row r="1576">
      <c r="A1576" s="155" t="n">
        <v>46087</v>
      </c>
      <c r="B1576" s="156" t="inlineStr">
        <is>
          <t>EX-335</t>
        </is>
      </c>
      <c r="C1576" s="156" t="inlineStr">
        <is>
          <t>Excavator</t>
        </is>
      </c>
      <c r="D1576" s="156" t="inlineStr">
        <is>
          <t>Mining</t>
        </is>
      </c>
      <c r="E1576" s="156" t="inlineStr">
        <is>
          <t>PC 300-8MO</t>
        </is>
      </c>
      <c r="F1576" s="184" t="n">
        <v>238.5</v>
      </c>
    </row>
    <row r="1577">
      <c r="A1577" s="155" t="n">
        <v>46087</v>
      </c>
      <c r="B1577" s="156" t="inlineStr">
        <is>
          <t>EX-1252</t>
        </is>
      </c>
      <c r="C1577" s="156" t="inlineStr">
        <is>
          <t>Excavator</t>
        </is>
      </c>
      <c r="D1577" s="156" t="inlineStr">
        <is>
          <t>Mining</t>
        </is>
      </c>
      <c r="E1577" s="156" t="inlineStr">
        <is>
          <t>SY1250</t>
        </is>
      </c>
      <c r="F1577" s="184" t="n">
        <v>1433</v>
      </c>
    </row>
    <row r="1578">
      <c r="A1578" s="155" t="n">
        <v>46087</v>
      </c>
      <c r="B1578" s="156" t="inlineStr">
        <is>
          <t>EX-333</t>
        </is>
      </c>
      <c r="C1578" s="156" t="inlineStr">
        <is>
          <t>Excavator</t>
        </is>
      </c>
      <c r="D1578" s="156" t="inlineStr">
        <is>
          <t>Mining</t>
        </is>
      </c>
      <c r="E1578" s="156" t="inlineStr">
        <is>
          <t>PC 300-8MO</t>
        </is>
      </c>
      <c r="F1578" s="184" t="n">
        <v>418.2</v>
      </c>
    </row>
    <row r="1579">
      <c r="A1579" s="155" t="n">
        <v>46087</v>
      </c>
      <c r="B1579" s="156" t="inlineStr">
        <is>
          <t>EX-336</t>
        </is>
      </c>
      <c r="C1579" s="156" t="inlineStr">
        <is>
          <t>Excavator</t>
        </is>
      </c>
      <c r="D1579" s="156" t="inlineStr">
        <is>
          <t>Mining</t>
        </is>
      </c>
      <c r="E1579" s="156" t="inlineStr">
        <is>
          <t>PC 300-8MO</t>
        </is>
      </c>
      <c r="F1579" s="184" t="n">
        <v>389.4</v>
      </c>
    </row>
    <row r="1580">
      <c r="A1580" s="155" t="n">
        <v>46087</v>
      </c>
      <c r="B1580" s="156" t="inlineStr">
        <is>
          <t>DT-808</t>
        </is>
      </c>
      <c r="C1580" s="156" t="inlineStr">
        <is>
          <t>Hauler</t>
        </is>
      </c>
      <c r="D1580" s="156" t="inlineStr">
        <is>
          <t>Mining</t>
        </is>
      </c>
      <c r="E1580" s="156" t="inlineStr">
        <is>
          <t>SKT 80S</t>
        </is>
      </c>
      <c r="F1580" s="184" t="n">
        <v>278.6</v>
      </c>
    </row>
    <row r="1581">
      <c r="A1581" s="155" t="n">
        <v>46087</v>
      </c>
      <c r="B1581" s="156" t="inlineStr">
        <is>
          <t>DT-812</t>
        </is>
      </c>
      <c r="C1581" s="156" t="inlineStr">
        <is>
          <t>Hauler</t>
        </is>
      </c>
      <c r="D1581" s="156" t="inlineStr">
        <is>
          <t>Mining</t>
        </is>
      </c>
      <c r="E1581" s="156" t="inlineStr">
        <is>
          <t>SKT 80S</t>
        </is>
      </c>
      <c r="F1581" s="184" t="n">
        <v>137.3</v>
      </c>
    </row>
    <row r="1582">
      <c r="A1582" s="155" t="n">
        <v>46087</v>
      </c>
      <c r="B1582" s="156" t="inlineStr">
        <is>
          <t>DT-804</t>
        </is>
      </c>
      <c r="C1582" s="156" t="inlineStr">
        <is>
          <t>Hauler</t>
        </is>
      </c>
      <c r="D1582" s="156" t="inlineStr">
        <is>
          <t>Mining</t>
        </is>
      </c>
      <c r="E1582" s="156" t="inlineStr">
        <is>
          <t>SKT 80S</t>
        </is>
      </c>
      <c r="F1582" s="184" t="n">
        <v>270.3</v>
      </c>
    </row>
    <row r="1583">
      <c r="A1583" s="155" t="n">
        <v>46087</v>
      </c>
      <c r="B1583" s="156" t="inlineStr">
        <is>
          <t>DT-505</t>
        </is>
      </c>
      <c r="C1583" s="156" t="inlineStr">
        <is>
          <t>Hauler</t>
        </is>
      </c>
      <c r="D1583" s="156" t="inlineStr">
        <is>
          <t>Mining</t>
        </is>
      </c>
      <c r="E1583" s="156" t="inlineStr">
        <is>
          <t>SKT 105S</t>
        </is>
      </c>
      <c r="F1583" s="184" t="n">
        <v>459.2</v>
      </c>
    </row>
    <row r="1584">
      <c r="A1584" s="155" t="n">
        <v>46087</v>
      </c>
      <c r="B1584" s="156" t="inlineStr">
        <is>
          <t>DT-503</t>
        </is>
      </c>
      <c r="C1584" s="156" t="inlineStr">
        <is>
          <t>Hauler</t>
        </is>
      </c>
      <c r="D1584" s="156" t="inlineStr">
        <is>
          <t>Mining</t>
        </is>
      </c>
      <c r="E1584" s="156" t="inlineStr">
        <is>
          <t>SKT 105S</t>
        </is>
      </c>
      <c r="F1584" s="184" t="n">
        <v>218.6</v>
      </c>
    </row>
    <row r="1585">
      <c r="A1585" s="155" t="n">
        <v>46087</v>
      </c>
      <c r="B1585" s="156" t="inlineStr">
        <is>
          <t>DT-504</t>
        </is>
      </c>
      <c r="C1585" s="156" t="inlineStr">
        <is>
          <t>Hauler</t>
        </is>
      </c>
      <c r="D1585" s="156" t="inlineStr">
        <is>
          <t>Mining</t>
        </is>
      </c>
      <c r="E1585" s="156" t="inlineStr">
        <is>
          <t>SKT 105S</t>
        </is>
      </c>
      <c r="F1585" s="184" t="n">
        <v>585.8</v>
      </c>
    </row>
    <row r="1586">
      <c r="A1586" s="155" t="n">
        <v>46087</v>
      </c>
      <c r="B1586" s="156" t="inlineStr">
        <is>
          <t>DT-501</t>
        </is>
      </c>
      <c r="C1586" s="156" t="inlineStr">
        <is>
          <t>Hauler</t>
        </is>
      </c>
      <c r="D1586" s="156" t="inlineStr">
        <is>
          <t>Mining</t>
        </is>
      </c>
      <c r="E1586" s="156" t="inlineStr">
        <is>
          <t>SKT 105S</t>
        </is>
      </c>
      <c r="F1586" s="184" t="n">
        <v>461.3</v>
      </c>
    </row>
    <row r="1587">
      <c r="A1587" s="155" t="n">
        <v>46087</v>
      </c>
      <c r="B1587" s="156" t="inlineStr">
        <is>
          <t>DT-518</t>
        </is>
      </c>
      <c r="C1587" s="156" t="inlineStr">
        <is>
          <t>Hauler</t>
        </is>
      </c>
      <c r="D1587" s="156" t="inlineStr">
        <is>
          <t>Mining</t>
        </is>
      </c>
      <c r="E1587" s="156" t="inlineStr">
        <is>
          <t>SKT 105S</t>
        </is>
      </c>
      <c r="F1587" s="184" t="n">
        <v>551.7</v>
      </c>
    </row>
    <row r="1588">
      <c r="A1588" s="155" t="n">
        <v>46087</v>
      </c>
      <c r="B1588" s="156" t="inlineStr">
        <is>
          <t>DT-514</t>
        </is>
      </c>
      <c r="C1588" s="156" t="inlineStr">
        <is>
          <t>Hauler</t>
        </is>
      </c>
      <c r="D1588" s="156" t="inlineStr">
        <is>
          <t>Mining</t>
        </is>
      </c>
      <c r="E1588" s="156" t="inlineStr">
        <is>
          <t>SKT 105S</t>
        </is>
      </c>
      <c r="F1588" s="184" t="n">
        <v>332.4</v>
      </c>
    </row>
    <row r="1589">
      <c r="A1589" s="155" t="n">
        <v>46087</v>
      </c>
      <c r="B1589" s="156" t="inlineStr">
        <is>
          <t>DT-523</t>
        </is>
      </c>
      <c r="C1589" s="156" t="inlineStr">
        <is>
          <t>Hauler</t>
        </is>
      </c>
      <c r="D1589" s="156" t="inlineStr">
        <is>
          <t>Mining</t>
        </is>
      </c>
      <c r="E1589" s="156" t="inlineStr">
        <is>
          <t>SKT 105S</t>
        </is>
      </c>
      <c r="F1589" s="184" t="n">
        <v>640.3</v>
      </c>
    </row>
    <row r="1590">
      <c r="A1590" s="155" t="n">
        <v>46087</v>
      </c>
      <c r="B1590" s="156" t="inlineStr">
        <is>
          <t>DT-519</t>
        </is>
      </c>
      <c r="C1590" s="156" t="inlineStr">
        <is>
          <t>Hauler</t>
        </is>
      </c>
      <c r="D1590" s="156" t="inlineStr">
        <is>
          <t>Mining</t>
        </is>
      </c>
      <c r="E1590" s="156" t="inlineStr">
        <is>
          <t>SKT 105S</t>
        </is>
      </c>
      <c r="F1590" s="184" t="n">
        <v>329.4</v>
      </c>
    </row>
    <row r="1591">
      <c r="A1591" s="155" t="n">
        <v>46087</v>
      </c>
      <c r="B1591" s="156" t="inlineStr">
        <is>
          <t>DT-527</t>
        </is>
      </c>
      <c r="C1591" s="156" t="inlineStr">
        <is>
          <t>Hauler</t>
        </is>
      </c>
      <c r="D1591" s="156" t="inlineStr">
        <is>
          <t>Mining</t>
        </is>
      </c>
      <c r="E1591" s="156" t="inlineStr">
        <is>
          <t>SKT 105S</t>
        </is>
      </c>
      <c r="F1591" s="184" t="n">
        <v>373.1</v>
      </c>
    </row>
    <row r="1592">
      <c r="A1592" s="155" t="n">
        <v>46087</v>
      </c>
      <c r="B1592" s="156" t="inlineStr">
        <is>
          <t>DT-512</t>
        </is>
      </c>
      <c r="C1592" s="156" t="inlineStr">
        <is>
          <t>Hauler</t>
        </is>
      </c>
      <c r="D1592" s="156" t="inlineStr">
        <is>
          <t>Mining</t>
        </is>
      </c>
      <c r="E1592" s="156" t="inlineStr">
        <is>
          <t>SKT 105S</t>
        </is>
      </c>
      <c r="F1592" s="184" t="n">
        <v>427.8</v>
      </c>
    </row>
    <row r="1593">
      <c r="A1593" s="155" t="n">
        <v>46087</v>
      </c>
      <c r="B1593" s="156" t="inlineStr">
        <is>
          <t>DT-522</t>
        </is>
      </c>
      <c r="C1593" s="156" t="inlineStr">
        <is>
          <t>Hauler</t>
        </is>
      </c>
      <c r="D1593" s="156" t="inlineStr">
        <is>
          <t>Mining</t>
        </is>
      </c>
      <c r="E1593" s="156" t="inlineStr">
        <is>
          <t>SKT 105S</t>
        </is>
      </c>
      <c r="F1593" s="184" t="n">
        <v>229</v>
      </c>
    </row>
    <row r="1594">
      <c r="A1594" s="155" t="n">
        <v>46087</v>
      </c>
      <c r="B1594" s="156" t="inlineStr">
        <is>
          <t>DT-517</t>
        </is>
      </c>
      <c r="C1594" s="156" t="inlineStr">
        <is>
          <t>Hauler</t>
        </is>
      </c>
      <c r="D1594" s="156" t="inlineStr">
        <is>
          <t>Mining</t>
        </is>
      </c>
      <c r="E1594" s="156" t="inlineStr">
        <is>
          <t>SKT 105S</t>
        </is>
      </c>
      <c r="F1594" s="184" t="n">
        <v>507.7</v>
      </c>
    </row>
    <row r="1595">
      <c r="A1595" s="155" t="n">
        <v>46087</v>
      </c>
      <c r="B1595" s="156" t="inlineStr">
        <is>
          <t>DT-521</t>
        </is>
      </c>
      <c r="C1595" s="156" t="inlineStr">
        <is>
          <t>Hauler</t>
        </is>
      </c>
      <c r="D1595" s="156" t="inlineStr">
        <is>
          <t>Mining</t>
        </is>
      </c>
      <c r="E1595" s="156" t="inlineStr">
        <is>
          <t>SKT 105S</t>
        </is>
      </c>
      <c r="F1595" s="184" t="n">
        <v>477.6</v>
      </c>
    </row>
    <row r="1596">
      <c r="A1596" s="155" t="n">
        <v>46087</v>
      </c>
      <c r="B1596" s="156" t="inlineStr">
        <is>
          <t>DT-516</t>
        </is>
      </c>
      <c r="C1596" s="156" t="inlineStr">
        <is>
          <t>Hauler</t>
        </is>
      </c>
      <c r="D1596" s="156" t="inlineStr">
        <is>
          <t>Mining</t>
        </is>
      </c>
      <c r="E1596" s="156" t="inlineStr">
        <is>
          <t>SKT 105S</t>
        </is>
      </c>
      <c r="F1596" s="184" t="n">
        <v>497.6</v>
      </c>
    </row>
    <row r="1597">
      <c r="A1597" s="155" t="n">
        <v>46087</v>
      </c>
      <c r="B1597" s="156" t="inlineStr">
        <is>
          <t>DT-506</t>
        </is>
      </c>
      <c r="C1597" s="156" t="inlineStr">
        <is>
          <t>Hauler</t>
        </is>
      </c>
      <c r="D1597" s="156" t="inlineStr">
        <is>
          <t>Mining</t>
        </is>
      </c>
      <c r="E1597" s="156" t="inlineStr">
        <is>
          <t>SKT 105S</t>
        </is>
      </c>
      <c r="F1597" s="184" t="n">
        <v>251.4</v>
      </c>
    </row>
    <row r="1598">
      <c r="A1598" s="155" t="n">
        <v>46087</v>
      </c>
      <c r="B1598" s="156" t="inlineStr">
        <is>
          <t>DT-502</t>
        </is>
      </c>
      <c r="C1598" s="156" t="inlineStr">
        <is>
          <t>Hauler</t>
        </is>
      </c>
      <c r="D1598" s="156" t="inlineStr">
        <is>
          <t>Mining</t>
        </is>
      </c>
      <c r="E1598" s="156" t="inlineStr">
        <is>
          <t>SKT 105S</t>
        </is>
      </c>
      <c r="F1598" s="184" t="n">
        <v>475</v>
      </c>
    </row>
    <row r="1599">
      <c r="A1599" s="155" t="n">
        <v>46087</v>
      </c>
      <c r="B1599" s="156" t="inlineStr">
        <is>
          <t>DT-528</t>
        </is>
      </c>
      <c r="C1599" s="156" t="inlineStr">
        <is>
          <t>Hauler</t>
        </is>
      </c>
      <c r="D1599" s="156" t="inlineStr">
        <is>
          <t>Mining</t>
        </is>
      </c>
      <c r="E1599" s="156" t="inlineStr">
        <is>
          <t>SKT 105S</t>
        </is>
      </c>
      <c r="F1599" s="184" t="n">
        <v>412.7</v>
      </c>
    </row>
    <row r="1600">
      <c r="A1600" s="155" t="n">
        <v>46087</v>
      </c>
      <c r="B1600" s="156" t="inlineStr">
        <is>
          <t>DT-529</t>
        </is>
      </c>
      <c r="C1600" s="156" t="inlineStr">
        <is>
          <t>Hauler</t>
        </is>
      </c>
      <c r="D1600" s="156" t="inlineStr">
        <is>
          <t>Mining</t>
        </is>
      </c>
      <c r="E1600" s="156" t="inlineStr">
        <is>
          <t>SKT 105S</t>
        </is>
      </c>
      <c r="F1600" s="184" t="n">
        <v>487</v>
      </c>
    </row>
    <row r="1601">
      <c r="A1601" s="155" t="n">
        <v>46087</v>
      </c>
      <c r="B1601" s="156" t="inlineStr">
        <is>
          <t>DT-520</t>
        </is>
      </c>
      <c r="C1601" s="156" t="inlineStr">
        <is>
          <t>Hauler</t>
        </is>
      </c>
      <c r="D1601" s="156" t="inlineStr">
        <is>
          <t>Mining</t>
        </is>
      </c>
      <c r="E1601" s="156" t="inlineStr">
        <is>
          <t>SKT 105S</t>
        </is>
      </c>
      <c r="F1601" s="184" t="n">
        <v>481.8</v>
      </c>
    </row>
    <row r="1602">
      <c r="A1602" s="155" t="n">
        <v>46087</v>
      </c>
      <c r="B1602" s="156" t="inlineStr">
        <is>
          <t>DT-511</t>
        </is>
      </c>
      <c r="C1602" s="156" t="inlineStr">
        <is>
          <t>Hauler</t>
        </is>
      </c>
      <c r="D1602" s="156" t="inlineStr">
        <is>
          <t>Mining</t>
        </is>
      </c>
      <c r="E1602" s="156" t="inlineStr">
        <is>
          <t>SKT 105S</t>
        </is>
      </c>
      <c r="F1602" s="184" t="n">
        <v>488.4</v>
      </c>
    </row>
    <row r="1603">
      <c r="A1603" s="155" t="n">
        <v>46087</v>
      </c>
      <c r="B1603" s="156" t="inlineStr">
        <is>
          <t>DT-526</t>
        </is>
      </c>
      <c r="C1603" s="156" t="inlineStr">
        <is>
          <t>Hauler</t>
        </is>
      </c>
      <c r="D1603" s="156" t="inlineStr">
        <is>
          <t>Mining</t>
        </is>
      </c>
      <c r="E1603" s="156" t="inlineStr">
        <is>
          <t>SKT 105S</t>
        </is>
      </c>
      <c r="F1603" s="184" t="n">
        <v>319.8</v>
      </c>
    </row>
    <row r="1604">
      <c r="A1604" s="155" t="n">
        <v>46087</v>
      </c>
      <c r="B1604" s="156" t="inlineStr">
        <is>
          <t>DT-508</t>
        </is>
      </c>
      <c r="C1604" s="156" t="inlineStr">
        <is>
          <t>Hauler</t>
        </is>
      </c>
      <c r="D1604" s="156" t="inlineStr">
        <is>
          <t>Mining</t>
        </is>
      </c>
      <c r="E1604" s="156" t="inlineStr">
        <is>
          <t>SKT 105S</t>
        </is>
      </c>
      <c r="F1604" s="184" t="n">
        <v>604.1</v>
      </c>
    </row>
    <row r="1605">
      <c r="A1605" s="155" t="n">
        <v>46087</v>
      </c>
      <c r="B1605" s="156" t="inlineStr">
        <is>
          <t>DT-515</t>
        </is>
      </c>
      <c r="C1605" s="156" t="inlineStr">
        <is>
          <t>Hauler</t>
        </is>
      </c>
      <c r="D1605" s="156" t="inlineStr">
        <is>
          <t>Mining</t>
        </is>
      </c>
      <c r="E1605" s="156" t="inlineStr">
        <is>
          <t>SKT 105S</t>
        </is>
      </c>
      <c r="F1605" s="184" t="n">
        <v>568.3</v>
      </c>
    </row>
    <row r="1606">
      <c r="A1606" s="155" t="n">
        <v>46087</v>
      </c>
      <c r="B1606" s="156" t="inlineStr">
        <is>
          <t>HD-905</t>
        </is>
      </c>
      <c r="C1606" s="156" t="inlineStr">
        <is>
          <t>Hauler</t>
        </is>
      </c>
      <c r="D1606" s="156" t="inlineStr">
        <is>
          <t>Mining</t>
        </is>
      </c>
      <c r="E1606" s="156" t="inlineStr">
        <is>
          <t>SRT 95C</t>
        </is>
      </c>
      <c r="F1606" s="184" t="n">
        <v>723.9</v>
      </c>
    </row>
    <row r="1607">
      <c r="A1607" s="155" t="n">
        <v>46087</v>
      </c>
      <c r="B1607" s="156" t="inlineStr">
        <is>
          <t>HD-902</t>
        </is>
      </c>
      <c r="C1607" s="156" t="inlineStr">
        <is>
          <t>Hauler</t>
        </is>
      </c>
      <c r="D1607" s="156" t="inlineStr">
        <is>
          <t>Mining</t>
        </is>
      </c>
      <c r="E1607" s="156" t="inlineStr">
        <is>
          <t>SRT 95C</t>
        </is>
      </c>
      <c r="F1607" s="184" t="n">
        <v>812.8</v>
      </c>
    </row>
    <row r="1608">
      <c r="A1608" s="155" t="n">
        <v>46087</v>
      </c>
      <c r="B1608" s="156" t="inlineStr">
        <is>
          <t>DZ-034</t>
        </is>
      </c>
      <c r="C1608" s="156" t="inlineStr">
        <is>
          <t>Bulldozer</t>
        </is>
      </c>
      <c r="D1608" s="156" t="inlineStr">
        <is>
          <t>Mining</t>
        </is>
      </c>
      <c r="E1608" s="156" t="inlineStr">
        <is>
          <t>D 68ESS-12EO</t>
        </is>
      </c>
      <c r="F1608" s="184" t="n">
        <v>307.8</v>
      </c>
    </row>
    <row r="1609">
      <c r="A1609" s="155" t="n">
        <v>46087</v>
      </c>
      <c r="B1609" s="156" t="inlineStr">
        <is>
          <t>DZ-033</t>
        </is>
      </c>
      <c r="C1609" s="156" t="inlineStr">
        <is>
          <t>Bulldozer</t>
        </is>
      </c>
      <c r="D1609" s="156" t="inlineStr">
        <is>
          <t>Mining</t>
        </is>
      </c>
      <c r="E1609" s="156" t="inlineStr">
        <is>
          <t>D 375A-6R</t>
        </is>
      </c>
      <c r="F1609" s="184" t="n">
        <v>914</v>
      </c>
    </row>
    <row r="1610">
      <c r="A1610" s="155" t="n">
        <v>46087</v>
      </c>
      <c r="B1610" s="156" t="inlineStr">
        <is>
          <t>DZ-039</t>
        </is>
      </c>
      <c r="C1610" s="156" t="inlineStr">
        <is>
          <t>Bulldozer</t>
        </is>
      </c>
      <c r="D1610" s="156" t="inlineStr">
        <is>
          <t>Mining</t>
        </is>
      </c>
      <c r="E1610" s="156" t="inlineStr">
        <is>
          <t>D 85 ESS-2</t>
        </is>
      </c>
      <c r="F1610" s="184" t="n">
        <v>233.4</v>
      </c>
    </row>
    <row r="1611">
      <c r="A1611" s="155" t="n">
        <v>46087</v>
      </c>
      <c r="B1611" s="156" t="inlineStr">
        <is>
          <t>DZ-037</t>
        </is>
      </c>
      <c r="C1611" s="156" t="inlineStr">
        <is>
          <t>Bulldozer</t>
        </is>
      </c>
      <c r="D1611" s="156" t="inlineStr">
        <is>
          <t>Mining</t>
        </is>
      </c>
      <c r="E1611" s="156" t="inlineStr">
        <is>
          <t>D 85 ESS-2</t>
        </is>
      </c>
      <c r="F1611" s="184" t="n">
        <v>564.8</v>
      </c>
    </row>
    <row r="1612">
      <c r="A1612" s="155" t="n">
        <v>46087</v>
      </c>
      <c r="B1612" s="156" t="inlineStr">
        <is>
          <t>DZ-036</t>
        </is>
      </c>
      <c r="C1612" s="156" t="inlineStr">
        <is>
          <t>Bulldozer</t>
        </is>
      </c>
      <c r="D1612" s="156" t="inlineStr">
        <is>
          <t>Aux</t>
        </is>
      </c>
      <c r="E1612" s="156" t="inlineStr">
        <is>
          <t>D 85 ESS-2</t>
        </is>
      </c>
      <c r="F1612" s="184" t="n">
        <v>189.1</v>
      </c>
    </row>
    <row r="1613">
      <c r="A1613" s="155" t="n">
        <v>46087</v>
      </c>
      <c r="B1613" s="156" t="inlineStr">
        <is>
          <t>DZ-032</t>
        </is>
      </c>
      <c r="C1613" s="156" t="inlineStr">
        <is>
          <t>Bulldozer</t>
        </is>
      </c>
      <c r="D1613" s="156" t="inlineStr">
        <is>
          <t>Mining</t>
        </is>
      </c>
      <c r="E1613" s="156" t="inlineStr">
        <is>
          <t>CAT</t>
        </is>
      </c>
      <c r="F1613" s="184" t="n">
        <v>749.2</v>
      </c>
    </row>
    <row r="1614">
      <c r="A1614" s="155" t="n">
        <v>46087</v>
      </c>
      <c r="B1614" s="156" t="inlineStr">
        <is>
          <t>GD-013</t>
        </is>
      </c>
      <c r="C1614" s="156" t="inlineStr">
        <is>
          <t>Grader</t>
        </is>
      </c>
      <c r="D1614" s="156" t="inlineStr">
        <is>
          <t>Mining</t>
        </is>
      </c>
      <c r="E1614" s="156" t="inlineStr">
        <is>
          <t>STG 265C - 10</t>
        </is>
      </c>
      <c r="F1614" s="184" t="n">
        <v>222.6</v>
      </c>
    </row>
    <row r="1615">
      <c r="A1615" s="155" t="n">
        <v>46087</v>
      </c>
      <c r="B1615" s="156" t="inlineStr">
        <is>
          <t>GD-014</t>
        </is>
      </c>
      <c r="C1615" s="156" t="inlineStr">
        <is>
          <t>Grader</t>
        </is>
      </c>
      <c r="D1615" s="156" t="inlineStr">
        <is>
          <t>Mining</t>
        </is>
      </c>
      <c r="E1615" s="156" t="inlineStr">
        <is>
          <t>STG 335C - 10</t>
        </is>
      </c>
      <c r="F1615" s="184" t="n">
        <v>441.4</v>
      </c>
    </row>
    <row r="1616">
      <c r="A1616" s="155" t="n">
        <v>46087</v>
      </c>
      <c r="B1616" s="156" t="inlineStr">
        <is>
          <t>CP-041</t>
        </is>
      </c>
      <c r="C1616" s="156" t="inlineStr">
        <is>
          <t>Compactor</t>
        </is>
      </c>
      <c r="D1616" s="156" t="inlineStr">
        <is>
          <t>Mining</t>
        </is>
      </c>
      <c r="E1616" s="156" t="inlineStr">
        <is>
          <t>SANY - Compactor</t>
        </is>
      </c>
      <c r="F1616" s="184" t="n">
        <v>314.6</v>
      </c>
    </row>
    <row r="1617">
      <c r="A1617" s="155" t="n">
        <v>46087</v>
      </c>
      <c r="B1617" s="156" t="inlineStr">
        <is>
          <t>WL-025</t>
        </is>
      </c>
      <c r="C1617" s="156" t="inlineStr">
        <is>
          <t>Loader</t>
        </is>
      </c>
      <c r="D1617" s="156" t="inlineStr">
        <is>
          <t>Aux</t>
        </is>
      </c>
      <c r="E1617" s="156" t="inlineStr">
        <is>
          <t>SANY - Loader</t>
        </is>
      </c>
      <c r="F1617" s="184" t="n">
        <v>155.6</v>
      </c>
    </row>
    <row r="1618">
      <c r="A1618" s="155" t="n">
        <v>46087</v>
      </c>
      <c r="B1618" s="156" t="inlineStr">
        <is>
          <t>WL-023</t>
        </is>
      </c>
      <c r="C1618" s="156" t="inlineStr">
        <is>
          <t>Loader</t>
        </is>
      </c>
      <c r="D1618" s="156" t="inlineStr">
        <is>
          <t>Aux</t>
        </is>
      </c>
      <c r="E1618" s="156" t="inlineStr">
        <is>
          <t>SANY - Loader</t>
        </is>
      </c>
      <c r="F1618" s="184" t="n">
        <v>83.7</v>
      </c>
    </row>
    <row r="1619">
      <c r="A1619" s="155" t="n">
        <v>46087</v>
      </c>
      <c r="B1619" s="156" t="inlineStr">
        <is>
          <t>LV-06</t>
        </is>
      </c>
      <c r="C1619" s="156" t="inlineStr">
        <is>
          <t>LV &amp; sarana</t>
        </is>
      </c>
      <c r="D1619" s="156" t="inlineStr">
        <is>
          <t>Aux</t>
        </is>
      </c>
      <c r="E1619" s="156" t="inlineStr">
        <is>
          <t>Light vehicle</t>
        </is>
      </c>
      <c r="F1619" s="184" t="n">
        <v>23.5</v>
      </c>
    </row>
    <row r="1620">
      <c r="A1620" s="155" t="n">
        <v>46087</v>
      </c>
      <c r="B1620" s="156" t="inlineStr">
        <is>
          <t>LV-07</t>
        </is>
      </c>
      <c r="C1620" s="156" t="inlineStr">
        <is>
          <t>LV &amp; sarana</t>
        </is>
      </c>
      <c r="D1620" s="156" t="inlineStr">
        <is>
          <t>Aux</t>
        </is>
      </c>
      <c r="E1620" s="156" t="inlineStr">
        <is>
          <t>Light vehicle</t>
        </is>
      </c>
      <c r="F1620" s="184" t="n">
        <v>51.5</v>
      </c>
    </row>
    <row r="1621">
      <c r="A1621" s="155" t="n">
        <v>46087</v>
      </c>
      <c r="B1621" s="156" t="inlineStr">
        <is>
          <t>LV-10</t>
        </is>
      </c>
      <c r="C1621" s="156" t="inlineStr">
        <is>
          <t>LV &amp; sarana</t>
        </is>
      </c>
      <c r="D1621" s="156" t="inlineStr">
        <is>
          <t>Aux</t>
        </is>
      </c>
      <c r="E1621" s="156" t="inlineStr">
        <is>
          <t>Light vehicle</t>
        </is>
      </c>
      <c r="F1621" s="184" t="n">
        <v>56.7</v>
      </c>
    </row>
    <row r="1622">
      <c r="A1622" s="155" t="n">
        <v>46087</v>
      </c>
      <c r="B1622" s="156" t="inlineStr">
        <is>
          <t>VD-02</t>
        </is>
      </c>
      <c r="C1622" s="156" t="inlineStr">
        <is>
          <t>Vendor</t>
        </is>
      </c>
      <c r="D1622" s="156" t="inlineStr">
        <is>
          <t>Vendor</t>
        </is>
      </c>
      <c r="E1622" s="156" t="inlineStr">
        <is>
          <t>Alat vendor</t>
        </is>
      </c>
      <c r="F1622" s="184" t="n">
        <v>58.3</v>
      </c>
    </row>
    <row r="1623">
      <c r="A1623" s="155" t="n">
        <v>46087</v>
      </c>
      <c r="B1623" s="156" t="inlineStr">
        <is>
          <t>TS-03</t>
        </is>
      </c>
      <c r="C1623" s="156" t="inlineStr">
        <is>
          <t>Truk support</t>
        </is>
      </c>
      <c r="D1623" s="156" t="inlineStr">
        <is>
          <t>Mining</t>
        </is>
      </c>
      <c r="E1623" s="156" t="inlineStr">
        <is>
          <t>Truk support</t>
        </is>
      </c>
      <c r="F1623" s="184" t="n">
        <v>208.9</v>
      </c>
    </row>
    <row r="1624">
      <c r="A1624" s="155" t="n">
        <v>46087</v>
      </c>
      <c r="B1624" s="156" t="inlineStr">
        <is>
          <t>TS-04</t>
        </is>
      </c>
      <c r="C1624" s="156" t="inlineStr">
        <is>
          <t>Truk support</t>
        </is>
      </c>
      <c r="D1624" s="156" t="inlineStr">
        <is>
          <t>Aux</t>
        </is>
      </c>
      <c r="E1624" s="156" t="inlineStr">
        <is>
          <t>Truk support</t>
        </is>
      </c>
      <c r="F1624" s="184" t="n">
        <v>31</v>
      </c>
    </row>
    <row r="1625">
      <c r="A1625" s="155" t="n">
        <v>46087</v>
      </c>
      <c r="B1625" s="156" t="inlineStr">
        <is>
          <t>AL-09</t>
        </is>
      </c>
      <c r="C1625" s="156" t="inlineStr">
        <is>
          <t>Alat lain</t>
        </is>
      </c>
      <c r="D1625" s="156" t="inlineStr">
        <is>
          <t>Mining</t>
        </is>
      </c>
      <c r="E1625" s="156" t="inlineStr">
        <is>
          <t>Alat lain</t>
        </is>
      </c>
      <c r="F1625" s="184" t="n">
        <v>44.4</v>
      </c>
    </row>
    <row r="1626">
      <c r="A1626" s="155" t="n">
        <v>46087</v>
      </c>
      <c r="B1626" s="156" t="inlineStr">
        <is>
          <t>GS-04</t>
        </is>
      </c>
      <c r="C1626" s="156" t="inlineStr">
        <is>
          <t>Genset</t>
        </is>
      </c>
      <c r="D1626" s="156" t="inlineStr">
        <is>
          <t>Aux</t>
        </is>
      </c>
      <c r="E1626" s="156" t="inlineStr">
        <is>
          <t>Genset</t>
        </is>
      </c>
      <c r="F1626" s="184" t="n">
        <v>673.6</v>
      </c>
    </row>
    <row r="1627">
      <c r="A1627" s="155" t="n">
        <v>46087</v>
      </c>
      <c r="B1627" s="156" t="inlineStr">
        <is>
          <t>GS-07</t>
        </is>
      </c>
      <c r="C1627" s="156" t="inlineStr">
        <is>
          <t>Genset</t>
        </is>
      </c>
      <c r="D1627" s="156" t="inlineStr">
        <is>
          <t>Aux</t>
        </is>
      </c>
      <c r="E1627" s="156" t="inlineStr">
        <is>
          <t>Genset</t>
        </is>
      </c>
      <c r="F1627" s="184" t="n">
        <v>42.2</v>
      </c>
    </row>
    <row r="1628">
      <c r="A1628" s="155" t="n">
        <v>46087</v>
      </c>
      <c r="B1628" s="156" t="inlineStr">
        <is>
          <t>GS-08</t>
        </is>
      </c>
      <c r="C1628" s="156" t="inlineStr">
        <is>
          <t>Genset</t>
        </is>
      </c>
      <c r="D1628" s="156" t="inlineStr">
        <is>
          <t>Aux</t>
        </is>
      </c>
      <c r="E1628" s="156" t="inlineStr">
        <is>
          <t>Genset</t>
        </is>
      </c>
      <c r="F1628" s="184" t="n">
        <v>58.6</v>
      </c>
    </row>
    <row r="1629">
      <c r="A1629" s="155" t="n">
        <v>46087</v>
      </c>
      <c r="B1629" s="156" t="inlineStr">
        <is>
          <t>WP-02</t>
        </is>
      </c>
      <c r="C1629" s="156" t="inlineStr">
        <is>
          <t>Pompa air</t>
        </is>
      </c>
      <c r="D1629" s="156" t="inlineStr">
        <is>
          <t>Aux</t>
        </is>
      </c>
      <c r="E1629" s="156" t="inlineStr">
        <is>
          <t>Pompa air</t>
        </is>
      </c>
      <c r="F1629" s="184" t="n">
        <v>40.2</v>
      </c>
    </row>
    <row r="1630">
      <c r="A1630" s="155" t="n">
        <v>46087</v>
      </c>
      <c r="B1630" s="156" t="inlineStr">
        <is>
          <t>WP-05</t>
        </is>
      </c>
      <c r="C1630" s="156" t="inlineStr">
        <is>
          <t>Pompa air</t>
        </is>
      </c>
      <c r="D1630" s="156" t="inlineStr">
        <is>
          <t>Mining</t>
        </is>
      </c>
      <c r="E1630" s="156" t="inlineStr">
        <is>
          <t>Pompa air</t>
        </is>
      </c>
      <c r="F1630" s="184" t="n">
        <v>1048.8</v>
      </c>
    </row>
    <row r="1631">
      <c r="A1631" s="155" t="n">
        <v>46087</v>
      </c>
      <c r="B1631" s="156" t="inlineStr">
        <is>
          <t>WL-022</t>
        </is>
      </c>
      <c r="C1631" s="156" t="inlineStr">
        <is>
          <t>Loader</t>
        </is>
      </c>
      <c r="D1631" s="156" t="inlineStr">
        <is>
          <t>Aux</t>
        </is>
      </c>
      <c r="E1631" s="156" t="inlineStr">
        <is>
          <t>SANY - Loader</t>
        </is>
      </c>
      <c r="F1631" s="184" t="n">
        <v>226</v>
      </c>
    </row>
    <row r="1632">
      <c r="A1632" s="155" t="n">
        <v>46087</v>
      </c>
      <c r="B1632" s="156" t="inlineStr">
        <is>
          <t>WL-024</t>
        </is>
      </c>
      <c r="C1632" s="156" t="inlineStr">
        <is>
          <t>Loader</t>
        </is>
      </c>
      <c r="D1632" s="156" t="inlineStr">
        <is>
          <t>Aux</t>
        </is>
      </c>
      <c r="E1632" s="156" t="inlineStr">
        <is>
          <t>SANY - Loader</t>
        </is>
      </c>
      <c r="F1632" s="184" t="n">
        <v>197.9</v>
      </c>
    </row>
    <row r="1633">
      <c r="A1633" s="155" t="n">
        <v>46087</v>
      </c>
      <c r="B1633" s="156" t="inlineStr">
        <is>
          <t>LV-13</t>
        </is>
      </c>
      <c r="C1633" s="156" t="inlineStr">
        <is>
          <t>LV &amp; sarana</t>
        </is>
      </c>
      <c r="D1633" s="156" t="inlineStr">
        <is>
          <t>Mining</t>
        </is>
      </c>
      <c r="E1633" s="156" t="inlineStr">
        <is>
          <t>Light vehicle</t>
        </is>
      </c>
      <c r="F1633" s="184" t="n">
        <v>46.3</v>
      </c>
    </row>
    <row r="1634">
      <c r="A1634" s="155" t="n">
        <v>46110</v>
      </c>
      <c r="B1634" s="156" t="inlineStr">
        <is>
          <t>EX-754</t>
        </is>
      </c>
      <c r="C1634" s="156" t="inlineStr">
        <is>
          <t>Excavator</t>
        </is>
      </c>
      <c r="D1634" s="156" t="inlineStr">
        <is>
          <t>Mining</t>
        </is>
      </c>
      <c r="E1634" s="156" t="inlineStr">
        <is>
          <t>SY750H-PRO</t>
        </is>
      </c>
      <c r="F1634" s="184" t="n">
        <v>1011.7</v>
      </c>
    </row>
    <row r="1635">
      <c r="A1635" s="155" t="n">
        <v>46110</v>
      </c>
      <c r="B1635" s="156" t="inlineStr">
        <is>
          <t>EX-755</t>
        </is>
      </c>
      <c r="C1635" s="156" t="inlineStr">
        <is>
          <t>Excavator</t>
        </is>
      </c>
      <c r="D1635" s="156" t="inlineStr">
        <is>
          <t>Mining</t>
        </is>
      </c>
      <c r="E1635" s="156" t="inlineStr">
        <is>
          <t>SY750H-PRO</t>
        </is>
      </c>
      <c r="F1635" s="184" t="n">
        <v>1014.2</v>
      </c>
    </row>
    <row r="1636">
      <c r="A1636" s="155" t="n">
        <v>46110</v>
      </c>
      <c r="B1636" s="156" t="inlineStr">
        <is>
          <t>EX-753</t>
        </is>
      </c>
      <c r="C1636" s="156" t="inlineStr">
        <is>
          <t>Excavator</t>
        </is>
      </c>
      <c r="D1636" s="156" t="inlineStr">
        <is>
          <t>Mining</t>
        </is>
      </c>
      <c r="E1636" s="156" t="inlineStr">
        <is>
          <t>SY750H-PRO</t>
        </is>
      </c>
      <c r="F1636" s="184" t="n">
        <v>836.3</v>
      </c>
    </row>
    <row r="1637">
      <c r="A1637" s="155" t="n">
        <v>46110</v>
      </c>
      <c r="B1637" s="156" t="inlineStr">
        <is>
          <t>EX-334</t>
        </is>
      </c>
      <c r="C1637" s="156" t="inlineStr">
        <is>
          <t>Excavator</t>
        </is>
      </c>
      <c r="D1637" s="156" t="inlineStr">
        <is>
          <t>Mining</t>
        </is>
      </c>
      <c r="E1637" s="156" t="inlineStr">
        <is>
          <t>PC 300-8MO</t>
        </is>
      </c>
      <c r="F1637" s="184" t="n">
        <v>357.5</v>
      </c>
    </row>
    <row r="1638">
      <c r="A1638" s="155" t="n">
        <v>46110</v>
      </c>
      <c r="B1638" s="156" t="inlineStr">
        <is>
          <t>EX-332</t>
        </is>
      </c>
      <c r="C1638" s="156" t="inlineStr">
        <is>
          <t>Excavator</t>
        </is>
      </c>
      <c r="D1638" s="156" t="inlineStr">
        <is>
          <t>Mining</t>
        </is>
      </c>
      <c r="E1638" s="156" t="inlineStr">
        <is>
          <t>PC 300-8MO</t>
        </is>
      </c>
      <c r="F1638" s="184" t="n">
        <v>459.4</v>
      </c>
    </row>
    <row r="1639">
      <c r="A1639" s="155" t="n">
        <v>46110</v>
      </c>
      <c r="B1639" s="156" t="inlineStr">
        <is>
          <t>EX-222</t>
        </is>
      </c>
      <c r="C1639" s="156" t="inlineStr">
        <is>
          <t>Excavator</t>
        </is>
      </c>
      <c r="D1639" s="156" t="inlineStr">
        <is>
          <t>Mining</t>
        </is>
      </c>
      <c r="E1639" s="156" t="inlineStr">
        <is>
          <t>PC 200-8MI</t>
        </is>
      </c>
      <c r="F1639" s="184" t="n">
        <v>208.8</v>
      </c>
    </row>
    <row r="1640">
      <c r="A1640" s="155" t="n">
        <v>46110</v>
      </c>
      <c r="B1640" s="156" t="inlineStr">
        <is>
          <t>EX-223</t>
        </is>
      </c>
      <c r="C1640" s="156" t="inlineStr">
        <is>
          <t>Excavator</t>
        </is>
      </c>
      <c r="D1640" s="156" t="inlineStr">
        <is>
          <t>Aux</t>
        </is>
      </c>
      <c r="E1640" s="156" t="inlineStr">
        <is>
          <t>PC 200-8MI</t>
        </is>
      </c>
      <c r="F1640" s="184" t="n">
        <v>263.6</v>
      </c>
    </row>
    <row r="1641">
      <c r="A1641" s="155" t="n">
        <v>46110</v>
      </c>
      <c r="B1641" s="156" t="inlineStr">
        <is>
          <t>EX-335</t>
        </is>
      </c>
      <c r="C1641" s="156" t="inlineStr">
        <is>
          <t>Excavator</t>
        </is>
      </c>
      <c r="D1641" s="156" t="inlineStr">
        <is>
          <t>Mining</t>
        </is>
      </c>
      <c r="E1641" s="156" t="inlineStr">
        <is>
          <t>PC 300-8MO</t>
        </is>
      </c>
      <c r="F1641" s="184" t="n">
        <v>456.9</v>
      </c>
    </row>
    <row r="1642">
      <c r="A1642" s="155" t="n">
        <v>46110</v>
      </c>
      <c r="B1642" s="156" t="inlineStr">
        <is>
          <t>EX-1252</t>
        </is>
      </c>
      <c r="C1642" s="156" t="inlineStr">
        <is>
          <t>Excavator</t>
        </is>
      </c>
      <c r="D1642" s="156" t="inlineStr">
        <is>
          <t>Mining</t>
        </is>
      </c>
      <c r="E1642" s="156" t="inlineStr">
        <is>
          <t>SY1250</t>
        </is>
      </c>
      <c r="F1642" s="184" t="n">
        <v>2096.9</v>
      </c>
    </row>
    <row r="1643">
      <c r="A1643" s="155" t="n">
        <v>46110</v>
      </c>
      <c r="B1643" s="156" t="inlineStr">
        <is>
          <t>EX-336</t>
        </is>
      </c>
      <c r="C1643" s="156" t="inlineStr">
        <is>
          <t>Excavator</t>
        </is>
      </c>
      <c r="D1643" s="156" t="inlineStr">
        <is>
          <t>Mining</t>
        </is>
      </c>
      <c r="E1643" s="156" t="inlineStr">
        <is>
          <t>PC 300-8MO</t>
        </is>
      </c>
      <c r="F1643" s="184" t="n">
        <v>366.7</v>
      </c>
    </row>
    <row r="1644">
      <c r="A1644" s="155" t="n">
        <v>46110</v>
      </c>
      <c r="B1644" s="156" t="inlineStr">
        <is>
          <t>DT-808</t>
        </is>
      </c>
      <c r="C1644" s="156" t="inlineStr">
        <is>
          <t>Hauler</t>
        </is>
      </c>
      <c r="D1644" s="156" t="inlineStr">
        <is>
          <t>Mining</t>
        </is>
      </c>
      <c r="E1644" s="156" t="inlineStr">
        <is>
          <t>SKT 80S</t>
        </is>
      </c>
      <c r="F1644" s="184" t="n">
        <v>235.6</v>
      </c>
    </row>
    <row r="1645">
      <c r="A1645" s="155" t="n">
        <v>46110</v>
      </c>
      <c r="B1645" s="156" t="inlineStr">
        <is>
          <t>DT-810</t>
        </is>
      </c>
      <c r="C1645" s="156" t="inlineStr">
        <is>
          <t>Hauler</t>
        </is>
      </c>
      <c r="D1645" s="156" t="inlineStr">
        <is>
          <t>Mining</t>
        </is>
      </c>
      <c r="E1645" s="156" t="inlineStr">
        <is>
          <t>SKT 80S</t>
        </is>
      </c>
      <c r="F1645" s="184" t="n">
        <v>288.9</v>
      </c>
    </row>
    <row r="1646">
      <c r="A1646" s="155" t="n">
        <v>46110</v>
      </c>
      <c r="B1646" s="156" t="inlineStr">
        <is>
          <t>DT-505</t>
        </is>
      </c>
      <c r="C1646" s="156" t="inlineStr">
        <is>
          <t>Hauler</t>
        </is>
      </c>
      <c r="D1646" s="156" t="inlineStr">
        <is>
          <t>Mining</t>
        </is>
      </c>
      <c r="E1646" s="156" t="inlineStr">
        <is>
          <t>SKT 105S</t>
        </is>
      </c>
      <c r="F1646" s="184" t="n">
        <v>470.4</v>
      </c>
    </row>
    <row r="1647">
      <c r="A1647" s="155" t="n">
        <v>46110</v>
      </c>
      <c r="B1647" s="156" t="inlineStr">
        <is>
          <t>DT-503</t>
        </is>
      </c>
      <c r="C1647" s="156" t="inlineStr">
        <is>
          <t>Hauler</t>
        </is>
      </c>
      <c r="D1647" s="156" t="inlineStr">
        <is>
          <t>Mining</t>
        </is>
      </c>
      <c r="E1647" s="156" t="inlineStr">
        <is>
          <t>SKT 105S</t>
        </is>
      </c>
      <c r="F1647" s="184" t="n">
        <v>231</v>
      </c>
    </row>
    <row r="1648">
      <c r="A1648" s="155" t="n">
        <v>46110</v>
      </c>
      <c r="B1648" s="156" t="inlineStr">
        <is>
          <t>DT-504</t>
        </is>
      </c>
      <c r="C1648" s="156" t="inlineStr">
        <is>
          <t>Hauler</t>
        </is>
      </c>
      <c r="D1648" s="156" t="inlineStr">
        <is>
          <t>Mining</t>
        </is>
      </c>
      <c r="E1648" s="156" t="inlineStr">
        <is>
          <t>SKT 105S</t>
        </is>
      </c>
      <c r="F1648" s="184" t="n">
        <v>286.8</v>
      </c>
    </row>
    <row r="1649">
      <c r="A1649" s="155" t="n">
        <v>46110</v>
      </c>
      <c r="B1649" s="156" t="inlineStr">
        <is>
          <t>DT-501</t>
        </is>
      </c>
      <c r="C1649" s="156" t="inlineStr">
        <is>
          <t>Hauler</t>
        </is>
      </c>
      <c r="D1649" s="156" t="inlineStr">
        <is>
          <t>Mining</t>
        </is>
      </c>
      <c r="E1649" s="156" t="inlineStr">
        <is>
          <t>SKT 105S</t>
        </is>
      </c>
      <c r="F1649" s="184" t="n">
        <v>287.5</v>
      </c>
    </row>
    <row r="1650">
      <c r="A1650" s="155" t="n">
        <v>46110</v>
      </c>
      <c r="B1650" s="156" t="inlineStr">
        <is>
          <t>DT-518</t>
        </is>
      </c>
      <c r="C1650" s="156" t="inlineStr">
        <is>
          <t>Hauler</t>
        </is>
      </c>
      <c r="D1650" s="156" t="inlineStr">
        <is>
          <t>Mining</t>
        </is>
      </c>
      <c r="E1650" s="156" t="inlineStr">
        <is>
          <t>SKT 105S</t>
        </is>
      </c>
      <c r="F1650" s="184" t="n">
        <v>381.8</v>
      </c>
    </row>
    <row r="1651">
      <c r="A1651" s="155" t="n">
        <v>46110</v>
      </c>
      <c r="B1651" s="156" t="inlineStr">
        <is>
          <t>DT-514</t>
        </is>
      </c>
      <c r="C1651" s="156" t="inlineStr">
        <is>
          <t>Hauler</t>
        </is>
      </c>
      <c r="D1651" s="156" t="inlineStr">
        <is>
          <t>Mining</t>
        </is>
      </c>
      <c r="E1651" s="156" t="inlineStr">
        <is>
          <t>SKT 105S</t>
        </is>
      </c>
      <c r="F1651" s="184" t="n">
        <v>346.2</v>
      </c>
    </row>
    <row r="1652">
      <c r="A1652" s="155" t="n">
        <v>46110</v>
      </c>
      <c r="B1652" s="156" t="inlineStr">
        <is>
          <t>DT-523</t>
        </is>
      </c>
      <c r="C1652" s="156" t="inlineStr">
        <is>
          <t>Hauler</t>
        </is>
      </c>
      <c r="D1652" s="156" t="inlineStr">
        <is>
          <t>Mining</t>
        </is>
      </c>
      <c r="E1652" s="156" t="inlineStr">
        <is>
          <t>SKT 105S</t>
        </is>
      </c>
      <c r="F1652" s="184" t="n">
        <v>268.4</v>
      </c>
    </row>
    <row r="1653">
      <c r="A1653" s="155" t="n">
        <v>46110</v>
      </c>
      <c r="B1653" s="156" t="inlineStr">
        <is>
          <t>DT-519</t>
        </is>
      </c>
      <c r="C1653" s="156" t="inlineStr">
        <is>
          <t>Hauler</t>
        </is>
      </c>
      <c r="D1653" s="156" t="inlineStr">
        <is>
          <t>Mining</t>
        </is>
      </c>
      <c r="E1653" s="156" t="inlineStr">
        <is>
          <t>SKT 105S</t>
        </is>
      </c>
      <c r="F1653" s="184" t="n">
        <v>520.2</v>
      </c>
    </row>
    <row r="1654">
      <c r="A1654" s="155" t="n">
        <v>46110</v>
      </c>
      <c r="B1654" s="156" t="inlineStr">
        <is>
          <t>DT-512</t>
        </is>
      </c>
      <c r="C1654" s="156" t="inlineStr">
        <is>
          <t>Hauler</t>
        </is>
      </c>
      <c r="D1654" s="156" t="inlineStr">
        <is>
          <t>Mining</t>
        </is>
      </c>
      <c r="E1654" s="156" t="inlineStr">
        <is>
          <t>SKT 105S</t>
        </is>
      </c>
      <c r="F1654" s="184" t="n">
        <v>568.5</v>
      </c>
    </row>
    <row r="1655">
      <c r="A1655" s="155" t="n">
        <v>46110</v>
      </c>
      <c r="B1655" s="156" t="inlineStr">
        <is>
          <t>DT-522</t>
        </is>
      </c>
      <c r="C1655" s="156" t="inlineStr">
        <is>
          <t>Hauler</t>
        </is>
      </c>
      <c r="D1655" s="156" t="inlineStr">
        <is>
          <t>Mining</t>
        </is>
      </c>
      <c r="E1655" s="156" t="inlineStr">
        <is>
          <t>SKT 105S</t>
        </is>
      </c>
      <c r="F1655" s="184" t="n">
        <v>283</v>
      </c>
    </row>
    <row r="1656">
      <c r="A1656" s="155" t="n">
        <v>46110</v>
      </c>
      <c r="B1656" s="156" t="inlineStr">
        <is>
          <t>DT-517</t>
        </is>
      </c>
      <c r="C1656" s="156" t="inlineStr">
        <is>
          <t>Hauler</t>
        </is>
      </c>
      <c r="D1656" s="156" t="inlineStr">
        <is>
          <t>Mining</t>
        </is>
      </c>
      <c r="E1656" s="156" t="inlineStr">
        <is>
          <t>SKT 105S</t>
        </is>
      </c>
      <c r="F1656" s="184" t="n">
        <v>567</v>
      </c>
    </row>
    <row r="1657">
      <c r="A1657" s="155" t="n">
        <v>46110</v>
      </c>
      <c r="B1657" s="156" t="inlineStr">
        <is>
          <t>DT-516</t>
        </is>
      </c>
      <c r="C1657" s="156" t="inlineStr">
        <is>
          <t>Hauler</t>
        </is>
      </c>
      <c r="D1657" s="156" t="inlineStr">
        <is>
          <t>Mining</t>
        </is>
      </c>
      <c r="E1657" s="156" t="inlineStr">
        <is>
          <t>SKT 105S</t>
        </is>
      </c>
      <c r="F1657" s="184" t="n">
        <v>337.4</v>
      </c>
    </row>
    <row r="1658">
      <c r="A1658" s="155" t="n">
        <v>46110</v>
      </c>
      <c r="B1658" s="156" t="inlineStr">
        <is>
          <t>DT-506</t>
        </is>
      </c>
      <c r="C1658" s="156" t="inlineStr">
        <is>
          <t>Hauler</t>
        </is>
      </c>
      <c r="D1658" s="156" t="inlineStr">
        <is>
          <t>Mining</t>
        </is>
      </c>
      <c r="E1658" s="156" t="inlineStr">
        <is>
          <t>SKT 105S</t>
        </is>
      </c>
      <c r="F1658" s="184" t="n">
        <v>374.5</v>
      </c>
    </row>
    <row r="1659">
      <c r="A1659" s="155" t="n">
        <v>46110</v>
      </c>
      <c r="B1659" s="156" t="inlineStr">
        <is>
          <t>DT-502</t>
        </is>
      </c>
      <c r="C1659" s="156" t="inlineStr">
        <is>
          <t>Hauler</t>
        </is>
      </c>
      <c r="D1659" s="156" t="inlineStr">
        <is>
          <t>Mining</t>
        </is>
      </c>
      <c r="E1659" s="156" t="inlineStr">
        <is>
          <t>SKT 105S</t>
        </is>
      </c>
      <c r="F1659" s="184" t="n">
        <v>551</v>
      </c>
    </row>
    <row r="1660">
      <c r="A1660" s="155" t="n">
        <v>46110</v>
      </c>
      <c r="B1660" s="156" t="inlineStr">
        <is>
          <t>DT-528</t>
        </is>
      </c>
      <c r="C1660" s="156" t="inlineStr">
        <is>
          <t>Hauler</t>
        </is>
      </c>
      <c r="D1660" s="156" t="inlineStr">
        <is>
          <t>Mining</t>
        </is>
      </c>
      <c r="E1660" s="156" t="inlineStr">
        <is>
          <t>SKT 105S</t>
        </is>
      </c>
      <c r="F1660" s="184" t="n">
        <v>462</v>
      </c>
    </row>
    <row r="1661">
      <c r="A1661" s="155" t="n">
        <v>46110</v>
      </c>
      <c r="B1661" s="156" t="inlineStr">
        <is>
          <t>DT-529</t>
        </is>
      </c>
      <c r="C1661" s="156" t="inlineStr">
        <is>
          <t>Hauler</t>
        </is>
      </c>
      <c r="D1661" s="156" t="inlineStr">
        <is>
          <t>Mining</t>
        </is>
      </c>
      <c r="E1661" s="156" t="inlineStr">
        <is>
          <t>SKT 105S</t>
        </is>
      </c>
      <c r="F1661" s="184" t="n">
        <v>515.1</v>
      </c>
    </row>
    <row r="1662">
      <c r="A1662" s="155" t="n">
        <v>46110</v>
      </c>
      <c r="B1662" s="156" t="inlineStr">
        <is>
          <t>DT-520</t>
        </is>
      </c>
      <c r="C1662" s="156" t="inlineStr">
        <is>
          <t>Hauler</t>
        </is>
      </c>
      <c r="D1662" s="156" t="inlineStr">
        <is>
          <t>Mining</t>
        </is>
      </c>
      <c r="E1662" s="156" t="inlineStr">
        <is>
          <t>SKT 105S</t>
        </is>
      </c>
      <c r="F1662" s="184" t="n">
        <v>611.6</v>
      </c>
    </row>
    <row r="1663">
      <c r="A1663" s="155" t="n">
        <v>46110</v>
      </c>
      <c r="B1663" s="156" t="inlineStr">
        <is>
          <t>DT-511</t>
        </is>
      </c>
      <c r="C1663" s="156" t="inlineStr">
        <is>
          <t>Hauler</t>
        </is>
      </c>
      <c r="D1663" s="156" t="inlineStr">
        <is>
          <t>Mining</t>
        </is>
      </c>
      <c r="E1663" s="156" t="inlineStr">
        <is>
          <t>SKT 105S</t>
        </is>
      </c>
      <c r="F1663" s="184" t="n">
        <v>524.2</v>
      </c>
    </row>
    <row r="1664">
      <c r="A1664" s="155" t="n">
        <v>46110</v>
      </c>
      <c r="B1664" s="156" t="inlineStr">
        <is>
          <t>DT-526</t>
        </is>
      </c>
      <c r="C1664" s="156" t="inlineStr">
        <is>
          <t>Hauler</t>
        </is>
      </c>
      <c r="D1664" s="156" t="inlineStr">
        <is>
          <t>Mining</t>
        </is>
      </c>
      <c r="E1664" s="156" t="inlineStr">
        <is>
          <t>SKT 105S</t>
        </is>
      </c>
      <c r="F1664" s="184" t="n">
        <v>534.5</v>
      </c>
    </row>
    <row r="1665">
      <c r="A1665" s="155" t="n">
        <v>46110</v>
      </c>
      <c r="B1665" s="156" t="inlineStr">
        <is>
          <t>DT-508</t>
        </is>
      </c>
      <c r="C1665" s="156" t="inlineStr">
        <is>
          <t>Hauler</t>
        </is>
      </c>
      <c r="D1665" s="156" t="inlineStr">
        <is>
          <t>Mining</t>
        </is>
      </c>
      <c r="E1665" s="156" t="inlineStr">
        <is>
          <t>SKT 105S</t>
        </is>
      </c>
      <c r="F1665" s="184" t="n">
        <v>592</v>
      </c>
    </row>
    <row r="1666">
      <c r="A1666" s="155" t="n">
        <v>46110</v>
      </c>
      <c r="B1666" s="156" t="inlineStr">
        <is>
          <t>DT-515</t>
        </is>
      </c>
      <c r="C1666" s="156" t="inlineStr">
        <is>
          <t>Hauler</t>
        </is>
      </c>
      <c r="D1666" s="156" t="inlineStr">
        <is>
          <t>Mining</t>
        </is>
      </c>
      <c r="E1666" s="156" t="inlineStr">
        <is>
          <t>SKT 105S</t>
        </is>
      </c>
      <c r="F1666" s="184" t="n">
        <v>370.2</v>
      </c>
    </row>
    <row r="1667">
      <c r="A1667" s="155" t="n">
        <v>46110</v>
      </c>
      <c r="B1667" s="156" t="inlineStr">
        <is>
          <t>DT-524</t>
        </is>
      </c>
      <c r="C1667" s="156" t="inlineStr">
        <is>
          <t>Hauler</t>
        </is>
      </c>
      <c r="D1667" s="156" t="inlineStr">
        <is>
          <t>Mining</t>
        </is>
      </c>
      <c r="E1667" s="156" t="inlineStr">
        <is>
          <t>SKT 105S</t>
        </is>
      </c>
      <c r="F1667" s="184" t="n">
        <v>285.1</v>
      </c>
    </row>
    <row r="1668">
      <c r="A1668" s="155" t="n">
        <v>46110</v>
      </c>
      <c r="B1668" s="156" t="inlineStr">
        <is>
          <t>HD-905</t>
        </is>
      </c>
      <c r="C1668" s="156" t="inlineStr">
        <is>
          <t>Hauler</t>
        </is>
      </c>
      <c r="D1668" s="156" t="inlineStr">
        <is>
          <t>Mining</t>
        </is>
      </c>
      <c r="E1668" s="156" t="inlineStr">
        <is>
          <t>SRT 95C</t>
        </is>
      </c>
      <c r="F1668" s="184" t="n">
        <v>869.4</v>
      </c>
    </row>
    <row r="1669">
      <c r="A1669" s="155" t="n">
        <v>46110</v>
      </c>
      <c r="B1669" s="156" t="inlineStr">
        <is>
          <t>HD-901</t>
        </is>
      </c>
      <c r="C1669" s="156" t="inlineStr">
        <is>
          <t>Hauler</t>
        </is>
      </c>
      <c r="D1669" s="156" t="inlineStr">
        <is>
          <t>Mining</t>
        </is>
      </c>
      <c r="E1669" s="156" t="inlineStr">
        <is>
          <t>SRT 95C</t>
        </is>
      </c>
      <c r="F1669" s="184" t="n">
        <v>832.8</v>
      </c>
    </row>
    <row r="1670">
      <c r="A1670" s="155" t="n">
        <v>46110</v>
      </c>
      <c r="B1670" s="156" t="inlineStr">
        <is>
          <t>HD-902</t>
        </is>
      </c>
      <c r="C1670" s="156" t="inlineStr">
        <is>
          <t>Hauler</t>
        </is>
      </c>
      <c r="D1670" s="156" t="inlineStr">
        <is>
          <t>Mining</t>
        </is>
      </c>
      <c r="E1670" s="156" t="inlineStr">
        <is>
          <t>SRT 95C</t>
        </is>
      </c>
      <c r="F1670" s="184" t="n">
        <v>682.4</v>
      </c>
    </row>
    <row r="1671">
      <c r="A1671" s="155" t="n">
        <v>46110</v>
      </c>
      <c r="B1671" s="156" t="inlineStr">
        <is>
          <t>DZ-034</t>
        </is>
      </c>
      <c r="C1671" s="156" t="inlineStr">
        <is>
          <t>Bulldozer</t>
        </is>
      </c>
      <c r="D1671" s="156" t="inlineStr">
        <is>
          <t>Mining</t>
        </is>
      </c>
      <c r="E1671" s="156" t="inlineStr">
        <is>
          <t>D 68ESS-12EO</t>
        </is>
      </c>
      <c r="F1671" s="184" t="n">
        <v>239.7</v>
      </c>
    </row>
    <row r="1672">
      <c r="A1672" s="155" t="n">
        <v>46110</v>
      </c>
      <c r="B1672" s="156" t="inlineStr">
        <is>
          <t>DZ-033</t>
        </is>
      </c>
      <c r="C1672" s="156" t="inlineStr">
        <is>
          <t>Bulldozer</t>
        </is>
      </c>
      <c r="D1672" s="156" t="inlineStr">
        <is>
          <t>Mining</t>
        </is>
      </c>
      <c r="E1672" s="156" t="inlineStr">
        <is>
          <t>D 375A-6R</t>
        </is>
      </c>
      <c r="F1672" s="184" t="n">
        <v>1094.5</v>
      </c>
    </row>
    <row r="1673">
      <c r="A1673" s="155" t="n">
        <v>46110</v>
      </c>
      <c r="B1673" s="156" t="inlineStr">
        <is>
          <t>DZ-039</t>
        </is>
      </c>
      <c r="C1673" s="156" t="inlineStr">
        <is>
          <t>Bulldozer</t>
        </is>
      </c>
      <c r="D1673" s="156" t="inlineStr">
        <is>
          <t>Mining</t>
        </is>
      </c>
      <c r="E1673" s="156" t="inlineStr">
        <is>
          <t>D 85 ESS-2</t>
        </is>
      </c>
      <c r="F1673" s="184" t="n">
        <v>490.9</v>
      </c>
    </row>
    <row r="1674">
      <c r="A1674" s="155" t="n">
        <v>46110</v>
      </c>
      <c r="B1674" s="156" t="inlineStr">
        <is>
          <t>DZ-037</t>
        </is>
      </c>
      <c r="C1674" s="156" t="inlineStr">
        <is>
          <t>Bulldozer</t>
        </is>
      </c>
      <c r="D1674" s="156" t="inlineStr">
        <is>
          <t>Mining</t>
        </is>
      </c>
      <c r="E1674" s="156" t="inlineStr">
        <is>
          <t>D 85 ESS-2</t>
        </is>
      </c>
      <c r="F1674" s="184" t="n">
        <v>242.7</v>
      </c>
    </row>
    <row r="1675">
      <c r="A1675" s="155" t="n">
        <v>46110</v>
      </c>
      <c r="B1675" s="156" t="inlineStr">
        <is>
          <t>DZ-036</t>
        </is>
      </c>
      <c r="C1675" s="156" t="inlineStr">
        <is>
          <t>Bulldozer</t>
        </is>
      </c>
      <c r="D1675" s="156" t="inlineStr">
        <is>
          <t>Aux</t>
        </is>
      </c>
      <c r="E1675" s="156" t="inlineStr">
        <is>
          <t>D 85 ESS-2</t>
        </is>
      </c>
      <c r="F1675" s="184" t="n">
        <v>215.4</v>
      </c>
    </row>
    <row r="1676">
      <c r="A1676" s="155" t="n">
        <v>46110</v>
      </c>
      <c r="B1676" s="156" t="inlineStr">
        <is>
          <t>DZ-032</t>
        </is>
      </c>
      <c r="C1676" s="156" t="inlineStr">
        <is>
          <t>Bulldozer</t>
        </is>
      </c>
      <c r="D1676" s="156" t="inlineStr">
        <is>
          <t>Mining</t>
        </is>
      </c>
      <c r="E1676" s="156" t="inlineStr">
        <is>
          <t>CAT</t>
        </is>
      </c>
      <c r="F1676" s="184" t="n">
        <v>567.9</v>
      </c>
    </row>
    <row r="1677">
      <c r="A1677" s="155" t="n">
        <v>46110</v>
      </c>
      <c r="B1677" s="156" t="inlineStr">
        <is>
          <t>GD-013</t>
        </is>
      </c>
      <c r="C1677" s="156" t="inlineStr">
        <is>
          <t>Grader</t>
        </is>
      </c>
      <c r="D1677" s="156" t="inlineStr">
        <is>
          <t>Mining</t>
        </is>
      </c>
      <c r="E1677" s="156" t="inlineStr">
        <is>
          <t>STG 265C - 10</t>
        </is>
      </c>
      <c r="F1677" s="184" t="n">
        <v>244.7</v>
      </c>
    </row>
    <row r="1678">
      <c r="A1678" s="155" t="n">
        <v>46110</v>
      </c>
      <c r="B1678" s="156" t="inlineStr">
        <is>
          <t>GD-014</t>
        </is>
      </c>
      <c r="C1678" s="156" t="inlineStr">
        <is>
          <t>Grader</t>
        </is>
      </c>
      <c r="D1678" s="156" t="inlineStr">
        <is>
          <t>Mining</t>
        </is>
      </c>
      <c r="E1678" s="156" t="inlineStr">
        <is>
          <t>STG 335C - 10</t>
        </is>
      </c>
      <c r="F1678" s="184" t="n">
        <v>290</v>
      </c>
    </row>
    <row r="1679">
      <c r="A1679" s="155" t="n">
        <v>46110</v>
      </c>
      <c r="B1679" s="156" t="inlineStr">
        <is>
          <t>CP-041</t>
        </is>
      </c>
      <c r="C1679" s="156" t="inlineStr">
        <is>
          <t>Compactor</t>
        </is>
      </c>
      <c r="D1679" s="156" t="inlineStr">
        <is>
          <t>Mining</t>
        </is>
      </c>
      <c r="E1679" s="156" t="inlineStr">
        <is>
          <t>SANY - Compactor</t>
        </is>
      </c>
      <c r="F1679" s="184" t="n">
        <v>170.6</v>
      </c>
    </row>
    <row r="1680">
      <c r="A1680" s="155" t="n">
        <v>46110</v>
      </c>
      <c r="B1680" s="156" t="inlineStr">
        <is>
          <t>LV-03</t>
        </is>
      </c>
      <c r="C1680" s="156" t="inlineStr">
        <is>
          <t>LV &amp; sarana</t>
        </is>
      </c>
      <c r="D1680" s="156" t="inlineStr">
        <is>
          <t>Aux</t>
        </is>
      </c>
      <c r="E1680" s="156" t="inlineStr">
        <is>
          <t>Light vehicle</t>
        </is>
      </c>
      <c r="F1680" s="184" t="n">
        <v>36.6</v>
      </c>
    </row>
    <row r="1681">
      <c r="A1681" s="155" t="n">
        <v>46110</v>
      </c>
      <c r="B1681" s="156" t="inlineStr">
        <is>
          <t>LV-06</t>
        </is>
      </c>
      <c r="C1681" s="156" t="inlineStr">
        <is>
          <t>LV &amp; sarana</t>
        </is>
      </c>
      <c r="D1681" s="156" t="inlineStr">
        <is>
          <t>Aux</t>
        </is>
      </c>
      <c r="E1681" s="156" t="inlineStr">
        <is>
          <t>Light vehicle</t>
        </is>
      </c>
      <c r="F1681" s="184" t="n">
        <v>22.5</v>
      </c>
    </row>
    <row r="1682">
      <c r="A1682" s="155" t="n">
        <v>46110</v>
      </c>
      <c r="B1682" s="156" t="inlineStr">
        <is>
          <t>LV-10</t>
        </is>
      </c>
      <c r="C1682" s="156" t="inlineStr">
        <is>
          <t>LV &amp; sarana</t>
        </is>
      </c>
      <c r="D1682" s="156" t="inlineStr">
        <is>
          <t>Aux</t>
        </is>
      </c>
      <c r="E1682" s="156" t="inlineStr">
        <is>
          <t>Light vehicle</t>
        </is>
      </c>
      <c r="F1682" s="184" t="n">
        <v>55</v>
      </c>
    </row>
    <row r="1683">
      <c r="A1683" s="155" t="n">
        <v>46110</v>
      </c>
      <c r="B1683" s="156" t="inlineStr">
        <is>
          <t>LV-11</t>
        </is>
      </c>
      <c r="C1683" s="156" t="inlineStr">
        <is>
          <t>LV &amp; sarana</t>
        </is>
      </c>
      <c r="D1683" s="156" t="inlineStr">
        <is>
          <t>Aux</t>
        </is>
      </c>
      <c r="E1683" s="156" t="inlineStr">
        <is>
          <t>Light vehicle</t>
        </is>
      </c>
      <c r="F1683" s="184" t="n">
        <v>59.7</v>
      </c>
    </row>
    <row r="1684">
      <c r="A1684" s="155" t="n">
        <v>46110</v>
      </c>
      <c r="B1684" s="156" t="inlineStr">
        <is>
          <t>TS-02</t>
        </is>
      </c>
      <c r="C1684" s="156" t="inlineStr">
        <is>
          <t>Truk support</t>
        </is>
      </c>
      <c r="D1684" s="156" t="inlineStr">
        <is>
          <t>Mining</t>
        </is>
      </c>
      <c r="E1684" s="156" t="inlineStr">
        <is>
          <t>Truk support</t>
        </is>
      </c>
      <c r="F1684" s="184" t="n">
        <v>172.2</v>
      </c>
    </row>
    <row r="1685">
      <c r="A1685" s="155" t="n">
        <v>46110</v>
      </c>
      <c r="B1685" s="156" t="inlineStr">
        <is>
          <t>TS-03</t>
        </is>
      </c>
      <c r="C1685" s="156" t="inlineStr">
        <is>
          <t>Truk support</t>
        </is>
      </c>
      <c r="D1685" s="156" t="inlineStr">
        <is>
          <t>Mining</t>
        </is>
      </c>
      <c r="E1685" s="156" t="inlineStr">
        <is>
          <t>Truk support</t>
        </is>
      </c>
      <c r="F1685" s="184" t="n">
        <v>137.4</v>
      </c>
    </row>
    <row r="1686">
      <c r="A1686" s="155" t="n">
        <v>46110</v>
      </c>
      <c r="B1686" s="156" t="inlineStr">
        <is>
          <t>TS-04</t>
        </is>
      </c>
      <c r="C1686" s="156" t="inlineStr">
        <is>
          <t>Truk support</t>
        </is>
      </c>
      <c r="D1686" s="156" t="inlineStr">
        <is>
          <t>Aux</t>
        </is>
      </c>
      <c r="E1686" s="156" t="inlineStr">
        <is>
          <t>Truk support</t>
        </is>
      </c>
      <c r="F1686" s="184" t="n">
        <v>47.8</v>
      </c>
    </row>
    <row r="1687">
      <c r="A1687" s="155" t="n">
        <v>46110</v>
      </c>
      <c r="B1687" s="156" t="inlineStr">
        <is>
          <t>AL-08</t>
        </is>
      </c>
      <c r="C1687" s="156" t="inlineStr">
        <is>
          <t>Alat lain</t>
        </is>
      </c>
      <c r="D1687" s="156" t="inlineStr">
        <is>
          <t>Aux</t>
        </is>
      </c>
      <c r="E1687" s="156" t="inlineStr">
        <is>
          <t>Alat lain</t>
        </is>
      </c>
      <c r="F1687" s="184" t="n">
        <v>115.6</v>
      </c>
    </row>
    <row r="1688">
      <c r="A1688" s="155" t="n">
        <v>46110</v>
      </c>
      <c r="B1688" s="156" t="inlineStr">
        <is>
          <t>AL-09</t>
        </is>
      </c>
      <c r="C1688" s="156" t="inlineStr">
        <is>
          <t>Alat lain</t>
        </is>
      </c>
      <c r="D1688" s="156" t="inlineStr">
        <is>
          <t>Mining</t>
        </is>
      </c>
      <c r="E1688" s="156" t="inlineStr">
        <is>
          <t>Alat lain</t>
        </is>
      </c>
      <c r="F1688" s="184" t="n">
        <v>21.8</v>
      </c>
    </row>
    <row r="1689">
      <c r="A1689" s="155" t="n">
        <v>46110</v>
      </c>
      <c r="B1689" s="156" t="inlineStr">
        <is>
          <t>AL-10</t>
        </is>
      </c>
      <c r="C1689" s="156" t="inlineStr">
        <is>
          <t>Alat lain</t>
        </is>
      </c>
      <c r="D1689" s="156" t="inlineStr">
        <is>
          <t>Mining</t>
        </is>
      </c>
      <c r="E1689" s="156" t="inlineStr">
        <is>
          <t>Alat lain</t>
        </is>
      </c>
      <c r="F1689" s="184" t="n">
        <v>39.4</v>
      </c>
    </row>
    <row r="1690">
      <c r="A1690" s="155" t="n">
        <v>46110</v>
      </c>
      <c r="B1690" s="156" t="inlineStr">
        <is>
          <t>GS-02</t>
        </is>
      </c>
      <c r="C1690" s="156" t="inlineStr">
        <is>
          <t>Genset</t>
        </is>
      </c>
      <c r="D1690" s="156" t="inlineStr">
        <is>
          <t>Aux</t>
        </is>
      </c>
      <c r="E1690" s="156" t="inlineStr">
        <is>
          <t>Genset</t>
        </is>
      </c>
      <c r="F1690" s="184" t="n">
        <v>134.3</v>
      </c>
    </row>
    <row r="1691">
      <c r="A1691" s="155" t="n">
        <v>46110</v>
      </c>
      <c r="B1691" s="156" t="inlineStr">
        <is>
          <t>GS-03</t>
        </is>
      </c>
      <c r="C1691" s="156" t="inlineStr">
        <is>
          <t>Genset</t>
        </is>
      </c>
      <c r="D1691" s="156" t="inlineStr">
        <is>
          <t>Aux</t>
        </is>
      </c>
      <c r="E1691" s="156" t="inlineStr">
        <is>
          <t>Genset</t>
        </is>
      </c>
      <c r="F1691" s="184" t="n">
        <v>142.2</v>
      </c>
    </row>
    <row r="1692">
      <c r="A1692" s="155" t="n">
        <v>46110</v>
      </c>
      <c r="B1692" s="156" t="inlineStr">
        <is>
          <t>GS-04</t>
        </is>
      </c>
      <c r="C1692" s="156" t="inlineStr">
        <is>
          <t>Genset</t>
        </is>
      </c>
      <c r="D1692" s="156" t="inlineStr">
        <is>
          <t>Aux</t>
        </is>
      </c>
      <c r="E1692" s="156" t="inlineStr">
        <is>
          <t>Genset</t>
        </is>
      </c>
      <c r="F1692" s="184" t="n">
        <v>706</v>
      </c>
    </row>
    <row r="1693">
      <c r="A1693" s="155" t="n">
        <v>46110</v>
      </c>
      <c r="B1693" s="156" t="inlineStr">
        <is>
          <t>GS-07</t>
        </is>
      </c>
      <c r="C1693" s="156" t="inlineStr">
        <is>
          <t>Genset</t>
        </is>
      </c>
      <c r="D1693" s="156" t="inlineStr">
        <is>
          <t>Aux</t>
        </is>
      </c>
      <c r="E1693" s="156" t="inlineStr">
        <is>
          <t>Genset</t>
        </is>
      </c>
      <c r="F1693" s="184" t="n">
        <v>29.9</v>
      </c>
    </row>
    <row r="1694">
      <c r="A1694" s="155" t="n">
        <v>46110</v>
      </c>
      <c r="B1694" s="156" t="inlineStr">
        <is>
          <t>GS-08</t>
        </is>
      </c>
      <c r="C1694" s="156" t="inlineStr">
        <is>
          <t>Genset</t>
        </is>
      </c>
      <c r="D1694" s="156" t="inlineStr">
        <is>
          <t>Aux</t>
        </is>
      </c>
      <c r="E1694" s="156" t="inlineStr">
        <is>
          <t>Genset</t>
        </is>
      </c>
      <c r="F1694" s="184" t="n">
        <v>57.8</v>
      </c>
    </row>
    <row r="1695">
      <c r="A1695" s="155" t="n">
        <v>46110</v>
      </c>
      <c r="B1695" s="156" t="inlineStr">
        <is>
          <t>GS-09</t>
        </is>
      </c>
      <c r="C1695" s="156" t="inlineStr">
        <is>
          <t>Genset</t>
        </is>
      </c>
      <c r="D1695" s="156" t="inlineStr">
        <is>
          <t>Aux</t>
        </is>
      </c>
      <c r="E1695" s="156" t="inlineStr">
        <is>
          <t>Genset</t>
        </is>
      </c>
      <c r="F1695" s="184" t="n">
        <v>2650</v>
      </c>
    </row>
    <row r="1696">
      <c r="A1696" s="155" t="n">
        <v>46110</v>
      </c>
      <c r="B1696" s="156" t="inlineStr">
        <is>
          <t>AL-11</t>
        </is>
      </c>
      <c r="C1696" s="156" t="inlineStr">
        <is>
          <t>Alat lain</t>
        </is>
      </c>
      <c r="D1696" s="156" t="inlineStr">
        <is>
          <t>Aux</t>
        </is>
      </c>
      <c r="E1696" s="156" t="inlineStr">
        <is>
          <t>Alat lain</t>
        </is>
      </c>
      <c r="F1696" s="184" t="n">
        <v>42.3</v>
      </c>
    </row>
    <row r="1697">
      <c r="A1697" s="155" t="n">
        <v>46110</v>
      </c>
      <c r="B1697" s="156" t="inlineStr">
        <is>
          <t>GS-10</t>
        </is>
      </c>
      <c r="C1697" s="156" t="inlineStr">
        <is>
          <t>Genset</t>
        </is>
      </c>
      <c r="D1697" s="156" t="inlineStr">
        <is>
          <t>Aux</t>
        </is>
      </c>
      <c r="E1697" s="156" t="inlineStr">
        <is>
          <t>Genset</t>
        </is>
      </c>
      <c r="F1697" s="184" t="n">
        <v>2745.4</v>
      </c>
    </row>
    <row r="1698">
      <c r="A1698" s="155" t="n">
        <v>46110</v>
      </c>
      <c r="B1698" s="156" t="inlineStr">
        <is>
          <t>GS-11</t>
        </is>
      </c>
      <c r="C1698" s="156" t="inlineStr">
        <is>
          <t>Genset</t>
        </is>
      </c>
      <c r="D1698" s="156" t="inlineStr">
        <is>
          <t>Aux</t>
        </is>
      </c>
      <c r="E1698" s="156" t="inlineStr">
        <is>
          <t>Genset</t>
        </is>
      </c>
      <c r="F1698" s="184" t="n">
        <v>3002.2</v>
      </c>
    </row>
    <row r="1699">
      <c r="A1699" s="155" t="n">
        <v>46110</v>
      </c>
      <c r="B1699" s="156" t="inlineStr">
        <is>
          <t>DT-341</t>
        </is>
      </c>
      <c r="C1699" s="156" t="inlineStr">
        <is>
          <t>Hauler</t>
        </is>
      </c>
      <c r="D1699" s="156" t="inlineStr">
        <is>
          <t>Aux</t>
        </is>
      </c>
      <c r="E1699" s="156" t="inlineStr">
        <is>
          <t>SYZ324C-8W</t>
        </is>
      </c>
      <c r="F1699" s="184" t="n">
        <v>106.2</v>
      </c>
    </row>
    <row r="1700">
      <c r="A1700" s="155" t="n">
        <v>46110</v>
      </c>
      <c r="B1700" s="156" t="inlineStr">
        <is>
          <t>WL-022</t>
        </is>
      </c>
      <c r="C1700" s="156" t="inlineStr">
        <is>
          <t>Loader</t>
        </is>
      </c>
      <c r="D1700" s="156" t="inlineStr">
        <is>
          <t>Aux</t>
        </is>
      </c>
      <c r="E1700" s="156" t="inlineStr">
        <is>
          <t>SANY - Loader</t>
        </is>
      </c>
      <c r="F1700" s="184" t="n">
        <v>294</v>
      </c>
    </row>
    <row r="1701">
      <c r="A1701" s="155" t="n">
        <v>46110</v>
      </c>
      <c r="B1701" s="156" t="inlineStr">
        <is>
          <t>WL-024</t>
        </is>
      </c>
      <c r="C1701" s="156" t="inlineStr">
        <is>
          <t>Loader</t>
        </is>
      </c>
      <c r="D1701" s="156" t="inlineStr">
        <is>
          <t>Aux</t>
        </is>
      </c>
      <c r="E1701" s="156" t="inlineStr">
        <is>
          <t>SANY - Loader</t>
        </is>
      </c>
      <c r="F1701" s="184" t="n">
        <v>273.2</v>
      </c>
    </row>
    <row r="1702">
      <c r="A1702" s="155" t="n">
        <v>46110</v>
      </c>
      <c r="B1702" s="156" t="inlineStr">
        <is>
          <t>AL-12</t>
        </is>
      </c>
      <c r="C1702" s="156" t="inlineStr">
        <is>
          <t>Alat lain</t>
        </is>
      </c>
      <c r="D1702" s="156" t="inlineStr">
        <is>
          <t>Aux</t>
        </is>
      </c>
      <c r="E1702" s="156" t="inlineStr">
        <is>
          <t>Alat lain</t>
        </is>
      </c>
      <c r="F1702" s="184" t="n">
        <v>94.90000000000001</v>
      </c>
    </row>
    <row r="1703">
      <c r="A1703" s="155" t="n">
        <v>46089</v>
      </c>
      <c r="B1703" s="156" t="inlineStr">
        <is>
          <t>EX-754</t>
        </is>
      </c>
      <c r="C1703" s="156" t="inlineStr">
        <is>
          <t>Excavator</t>
        </is>
      </c>
      <c r="D1703" s="156" t="inlineStr">
        <is>
          <t>Mining</t>
        </is>
      </c>
      <c r="E1703" s="156" t="inlineStr">
        <is>
          <t>SY750H-PRO</t>
        </is>
      </c>
      <c r="F1703" s="184" t="n">
        <v>920.9</v>
      </c>
    </row>
    <row r="1704">
      <c r="A1704" s="155" t="n">
        <v>46089</v>
      </c>
      <c r="B1704" s="156" t="inlineStr">
        <is>
          <t>EX-755</t>
        </is>
      </c>
      <c r="C1704" s="156" t="inlineStr">
        <is>
          <t>Excavator</t>
        </is>
      </c>
      <c r="D1704" s="156" t="inlineStr">
        <is>
          <t>Mining</t>
        </is>
      </c>
      <c r="E1704" s="156" t="inlineStr">
        <is>
          <t>SY750H-PRO</t>
        </is>
      </c>
      <c r="F1704" s="184" t="n">
        <v>1016.5</v>
      </c>
    </row>
    <row r="1705">
      <c r="A1705" s="155" t="n">
        <v>46089</v>
      </c>
      <c r="B1705" s="156" t="inlineStr">
        <is>
          <t>EX-753</t>
        </is>
      </c>
      <c r="C1705" s="156" t="inlineStr">
        <is>
          <t>Excavator</t>
        </is>
      </c>
      <c r="D1705" s="156" t="inlineStr">
        <is>
          <t>Mining</t>
        </is>
      </c>
      <c r="E1705" s="156" t="inlineStr">
        <is>
          <t>SY750H-PRO</t>
        </is>
      </c>
      <c r="F1705" s="184" t="n">
        <v>999.7</v>
      </c>
    </row>
    <row r="1706">
      <c r="A1706" s="155" t="n">
        <v>46089</v>
      </c>
      <c r="B1706" s="156" t="inlineStr">
        <is>
          <t>EX-334</t>
        </is>
      </c>
      <c r="C1706" s="156" t="inlineStr">
        <is>
          <t>Excavator</t>
        </is>
      </c>
      <c r="D1706" s="156" t="inlineStr">
        <is>
          <t>Mining</t>
        </is>
      </c>
      <c r="E1706" s="156" t="inlineStr">
        <is>
          <t>PC 300-8MO</t>
        </is>
      </c>
      <c r="F1706" s="184" t="n">
        <v>538</v>
      </c>
    </row>
    <row r="1707">
      <c r="A1707" s="155" t="n">
        <v>46089</v>
      </c>
      <c r="B1707" s="156" t="inlineStr">
        <is>
          <t>EX-332</t>
        </is>
      </c>
      <c r="C1707" s="156" t="inlineStr">
        <is>
          <t>Excavator</t>
        </is>
      </c>
      <c r="D1707" s="156" t="inlineStr">
        <is>
          <t>Mining</t>
        </is>
      </c>
      <c r="E1707" s="156" t="inlineStr">
        <is>
          <t>PC 300-8MO</t>
        </is>
      </c>
      <c r="F1707" s="184" t="n">
        <v>506.1</v>
      </c>
    </row>
    <row r="1708">
      <c r="A1708" s="155" t="n">
        <v>46089</v>
      </c>
      <c r="B1708" s="156" t="inlineStr">
        <is>
          <t>EX-222</t>
        </is>
      </c>
      <c r="C1708" s="156" t="inlineStr">
        <is>
          <t>Excavator</t>
        </is>
      </c>
      <c r="D1708" s="156" t="inlineStr">
        <is>
          <t>Mining</t>
        </is>
      </c>
      <c r="E1708" s="156" t="inlineStr">
        <is>
          <t>PC 200-8MI</t>
        </is>
      </c>
      <c r="F1708" s="184" t="n">
        <v>280.7</v>
      </c>
    </row>
    <row r="1709">
      <c r="A1709" s="155" t="n">
        <v>46089</v>
      </c>
      <c r="B1709" s="156" t="inlineStr">
        <is>
          <t>EX-223</t>
        </is>
      </c>
      <c r="C1709" s="156" t="inlineStr">
        <is>
          <t>Excavator</t>
        </is>
      </c>
      <c r="D1709" s="156" t="inlineStr">
        <is>
          <t>Aux</t>
        </is>
      </c>
      <c r="E1709" s="156" t="inlineStr">
        <is>
          <t>PC 200-8MI</t>
        </is>
      </c>
      <c r="F1709" s="184" t="n">
        <v>256</v>
      </c>
    </row>
    <row r="1710">
      <c r="A1710" s="155" t="n">
        <v>46089</v>
      </c>
      <c r="B1710" s="156" t="inlineStr">
        <is>
          <t>EX-335</t>
        </is>
      </c>
      <c r="C1710" s="156" t="inlineStr">
        <is>
          <t>Excavator</t>
        </is>
      </c>
      <c r="D1710" s="156" t="inlineStr">
        <is>
          <t>Mining</t>
        </is>
      </c>
      <c r="E1710" s="156" t="inlineStr">
        <is>
          <t>PC 300-8MO</t>
        </is>
      </c>
      <c r="F1710" s="184" t="n">
        <v>510.3</v>
      </c>
    </row>
    <row r="1711">
      <c r="A1711" s="155" t="n">
        <v>46089</v>
      </c>
      <c r="B1711" s="156" t="inlineStr">
        <is>
          <t>EX-1251</t>
        </is>
      </c>
      <c r="C1711" s="156" t="inlineStr">
        <is>
          <t>Excavator</t>
        </is>
      </c>
      <c r="D1711" s="156" t="inlineStr">
        <is>
          <t>Mining</t>
        </is>
      </c>
      <c r="E1711" s="156" t="inlineStr">
        <is>
          <t>SY1250</t>
        </is>
      </c>
      <c r="F1711" s="184" t="n">
        <v>1029.5</v>
      </c>
    </row>
    <row r="1712">
      <c r="A1712" s="155" t="n">
        <v>46089</v>
      </c>
      <c r="B1712" s="156" t="inlineStr">
        <is>
          <t>EX-1252</t>
        </is>
      </c>
      <c r="C1712" s="156" t="inlineStr">
        <is>
          <t>Excavator</t>
        </is>
      </c>
      <c r="D1712" s="156" t="inlineStr">
        <is>
          <t>Mining</t>
        </is>
      </c>
      <c r="E1712" s="156" t="inlineStr">
        <is>
          <t>SY1250</t>
        </is>
      </c>
      <c r="F1712" s="184" t="n">
        <v>2280.1</v>
      </c>
    </row>
    <row r="1713">
      <c r="A1713" s="155" t="n">
        <v>46089</v>
      </c>
      <c r="B1713" s="156" t="inlineStr">
        <is>
          <t>EX-336</t>
        </is>
      </c>
      <c r="C1713" s="156" t="inlineStr">
        <is>
          <t>Excavator</t>
        </is>
      </c>
      <c r="D1713" s="156" t="inlineStr">
        <is>
          <t>Mining</t>
        </is>
      </c>
      <c r="E1713" s="156" t="inlineStr">
        <is>
          <t>PC 300-8MO</t>
        </is>
      </c>
      <c r="F1713" s="184" t="n">
        <v>624.9</v>
      </c>
    </row>
    <row r="1714">
      <c r="A1714" s="155" t="n">
        <v>46089</v>
      </c>
      <c r="B1714" s="156" t="inlineStr">
        <is>
          <t>DT-804</t>
        </is>
      </c>
      <c r="C1714" s="156" t="inlineStr">
        <is>
          <t>Hauler</t>
        </is>
      </c>
      <c r="D1714" s="156" t="inlineStr">
        <is>
          <t>Mining</t>
        </is>
      </c>
      <c r="E1714" s="156" t="inlineStr">
        <is>
          <t>SKT 80S</t>
        </is>
      </c>
      <c r="F1714" s="184" t="n">
        <v>452.8</v>
      </c>
    </row>
    <row r="1715">
      <c r="A1715" s="155" t="n">
        <v>46089</v>
      </c>
      <c r="B1715" s="156" t="inlineStr">
        <is>
          <t>DT-505</t>
        </is>
      </c>
      <c r="C1715" s="156" t="inlineStr">
        <is>
          <t>Hauler</t>
        </is>
      </c>
      <c r="D1715" s="156" t="inlineStr">
        <is>
          <t>Mining</t>
        </is>
      </c>
      <c r="E1715" s="156" t="inlineStr">
        <is>
          <t>SKT 105S</t>
        </is>
      </c>
      <c r="F1715" s="184" t="n">
        <v>582.4</v>
      </c>
    </row>
    <row r="1716">
      <c r="A1716" s="155" t="n">
        <v>46089</v>
      </c>
      <c r="B1716" s="156" t="inlineStr">
        <is>
          <t>DT-503</t>
        </is>
      </c>
      <c r="C1716" s="156" t="inlineStr">
        <is>
          <t>Hauler</t>
        </is>
      </c>
      <c r="D1716" s="156" t="inlineStr">
        <is>
          <t>Mining</t>
        </is>
      </c>
      <c r="E1716" s="156" t="inlineStr">
        <is>
          <t>SKT 105S</t>
        </is>
      </c>
      <c r="F1716" s="184" t="n">
        <v>711.8</v>
      </c>
    </row>
    <row r="1717">
      <c r="A1717" s="155" t="n">
        <v>46089</v>
      </c>
      <c r="B1717" s="156" t="inlineStr">
        <is>
          <t>DT-504</t>
        </is>
      </c>
      <c r="C1717" s="156" t="inlineStr">
        <is>
          <t>Hauler</t>
        </is>
      </c>
      <c r="D1717" s="156" t="inlineStr">
        <is>
          <t>Mining</t>
        </is>
      </c>
      <c r="E1717" s="156" t="inlineStr">
        <is>
          <t>SKT 105S</t>
        </is>
      </c>
      <c r="F1717" s="184" t="n">
        <v>649.4</v>
      </c>
    </row>
    <row r="1718">
      <c r="A1718" s="155" t="n">
        <v>46089</v>
      </c>
      <c r="B1718" s="156" t="inlineStr">
        <is>
          <t>DT-507</t>
        </is>
      </c>
      <c r="C1718" s="156" t="inlineStr">
        <is>
          <t>Hauler</t>
        </is>
      </c>
      <c r="D1718" s="156" t="inlineStr">
        <is>
          <t>Mining</t>
        </is>
      </c>
      <c r="E1718" s="156" t="inlineStr">
        <is>
          <t>SKT 105S</t>
        </is>
      </c>
      <c r="F1718" s="184" t="n">
        <v>480.8</v>
      </c>
    </row>
    <row r="1719">
      <c r="A1719" s="155" t="n">
        <v>46089</v>
      </c>
      <c r="B1719" s="156" t="inlineStr">
        <is>
          <t>DT-501</t>
        </is>
      </c>
      <c r="C1719" s="156" t="inlineStr">
        <is>
          <t>Hauler</t>
        </is>
      </c>
      <c r="D1719" s="156" t="inlineStr">
        <is>
          <t>Mining</t>
        </is>
      </c>
      <c r="E1719" s="156" t="inlineStr">
        <is>
          <t>SKT 105S</t>
        </is>
      </c>
      <c r="F1719" s="184" t="n">
        <v>297.2</v>
      </c>
    </row>
    <row r="1720">
      <c r="A1720" s="155" t="n">
        <v>46089</v>
      </c>
      <c r="B1720" s="156" t="inlineStr">
        <is>
          <t>DT-518</t>
        </is>
      </c>
      <c r="C1720" s="156" t="inlineStr">
        <is>
          <t>Hauler</t>
        </is>
      </c>
      <c r="D1720" s="156" t="inlineStr">
        <is>
          <t>Mining</t>
        </is>
      </c>
      <c r="E1720" s="156" t="inlineStr">
        <is>
          <t>SKT 105S</t>
        </is>
      </c>
      <c r="F1720" s="184" t="n">
        <v>406.4</v>
      </c>
    </row>
    <row r="1721">
      <c r="A1721" s="155" t="n">
        <v>46089</v>
      </c>
      <c r="B1721" s="156" t="inlineStr">
        <is>
          <t>DT-514</t>
        </is>
      </c>
      <c r="C1721" s="156" t="inlineStr">
        <is>
          <t>Hauler</t>
        </is>
      </c>
      <c r="D1721" s="156" t="inlineStr">
        <is>
          <t>Mining</t>
        </is>
      </c>
      <c r="E1721" s="156" t="inlineStr">
        <is>
          <t>SKT 105S</t>
        </is>
      </c>
      <c r="F1721" s="184" t="n">
        <v>620.6</v>
      </c>
    </row>
    <row r="1722">
      <c r="A1722" s="155" t="n">
        <v>46089</v>
      </c>
      <c r="B1722" s="156" t="inlineStr">
        <is>
          <t>DT-523</t>
        </is>
      </c>
      <c r="C1722" s="156" t="inlineStr">
        <is>
          <t>Hauler</t>
        </is>
      </c>
      <c r="D1722" s="156" t="inlineStr">
        <is>
          <t>Mining</t>
        </is>
      </c>
      <c r="E1722" s="156" t="inlineStr">
        <is>
          <t>SKT 105S</t>
        </is>
      </c>
      <c r="F1722" s="184" t="n">
        <v>241.7</v>
      </c>
    </row>
    <row r="1723">
      <c r="A1723" s="155" t="n">
        <v>46089</v>
      </c>
      <c r="B1723" s="156" t="inlineStr">
        <is>
          <t>DT-512</t>
        </is>
      </c>
      <c r="C1723" s="156" t="inlineStr">
        <is>
          <t>Hauler</t>
        </is>
      </c>
      <c r="D1723" s="156" t="inlineStr">
        <is>
          <t>Mining</t>
        </is>
      </c>
      <c r="E1723" s="156" t="inlineStr">
        <is>
          <t>SKT 105S</t>
        </is>
      </c>
      <c r="F1723" s="184" t="n">
        <v>508.5</v>
      </c>
    </row>
    <row r="1724">
      <c r="A1724" s="155" t="n">
        <v>46089</v>
      </c>
      <c r="B1724" s="156" t="inlineStr">
        <is>
          <t>DT-522</t>
        </is>
      </c>
      <c r="C1724" s="156" t="inlineStr">
        <is>
          <t>Hauler</t>
        </is>
      </c>
      <c r="D1724" s="156" t="inlineStr">
        <is>
          <t>Mining</t>
        </is>
      </c>
      <c r="E1724" s="156" t="inlineStr">
        <is>
          <t>SKT 105S</t>
        </is>
      </c>
      <c r="F1724" s="184" t="n">
        <v>592.2</v>
      </c>
    </row>
    <row r="1725">
      <c r="A1725" s="155" t="n">
        <v>46089</v>
      </c>
      <c r="B1725" s="156" t="inlineStr">
        <is>
          <t>DT-517</t>
        </is>
      </c>
      <c r="C1725" s="156" t="inlineStr">
        <is>
          <t>Hauler</t>
        </is>
      </c>
      <c r="D1725" s="156" t="inlineStr">
        <is>
          <t>Mining</t>
        </is>
      </c>
      <c r="E1725" s="156" t="inlineStr">
        <is>
          <t>SKT 105S</t>
        </is>
      </c>
      <c r="F1725" s="184" t="n">
        <v>645.4</v>
      </c>
    </row>
    <row r="1726">
      <c r="A1726" s="155" t="n">
        <v>46089</v>
      </c>
      <c r="B1726" s="156" t="inlineStr">
        <is>
          <t>DT-521</t>
        </is>
      </c>
      <c r="C1726" s="156" t="inlineStr">
        <is>
          <t>Hauler</t>
        </is>
      </c>
      <c r="D1726" s="156" t="inlineStr">
        <is>
          <t>Mining</t>
        </is>
      </c>
      <c r="E1726" s="156" t="inlineStr">
        <is>
          <t>SKT 105S</t>
        </is>
      </c>
      <c r="F1726" s="184" t="n">
        <v>283.6</v>
      </c>
    </row>
    <row r="1727">
      <c r="A1727" s="155" t="n">
        <v>46089</v>
      </c>
      <c r="B1727" s="156" t="inlineStr">
        <is>
          <t>DT-516</t>
        </is>
      </c>
      <c r="C1727" s="156" t="inlineStr">
        <is>
          <t>Hauler</t>
        </is>
      </c>
      <c r="D1727" s="156" t="inlineStr">
        <is>
          <t>Mining</t>
        </is>
      </c>
      <c r="E1727" s="156" t="inlineStr">
        <is>
          <t>SKT 105S</t>
        </is>
      </c>
      <c r="F1727" s="184" t="n">
        <v>576.4</v>
      </c>
    </row>
    <row r="1728">
      <c r="A1728" s="155" t="n">
        <v>46089</v>
      </c>
      <c r="B1728" s="156" t="inlineStr">
        <is>
          <t>DT-506</t>
        </is>
      </c>
      <c r="C1728" s="156" t="inlineStr">
        <is>
          <t>Hauler</t>
        </is>
      </c>
      <c r="D1728" s="156" t="inlineStr">
        <is>
          <t>Mining</t>
        </is>
      </c>
      <c r="E1728" s="156" t="inlineStr">
        <is>
          <t>SKT 105S</t>
        </is>
      </c>
      <c r="F1728" s="184" t="n">
        <v>174.2</v>
      </c>
    </row>
    <row r="1729">
      <c r="A1729" s="155" t="n">
        <v>46089</v>
      </c>
      <c r="B1729" s="156" t="inlineStr">
        <is>
          <t>DT-502</t>
        </is>
      </c>
      <c r="C1729" s="156" t="inlineStr">
        <is>
          <t>Hauler</t>
        </is>
      </c>
      <c r="D1729" s="156" t="inlineStr">
        <is>
          <t>Mining</t>
        </is>
      </c>
      <c r="E1729" s="156" t="inlineStr">
        <is>
          <t>SKT 105S</t>
        </is>
      </c>
      <c r="F1729" s="184" t="n">
        <v>623.6</v>
      </c>
    </row>
    <row r="1730">
      <c r="A1730" s="155" t="n">
        <v>46089</v>
      </c>
      <c r="B1730" s="156" t="inlineStr">
        <is>
          <t>DT-528</t>
        </is>
      </c>
      <c r="C1730" s="156" t="inlineStr">
        <is>
          <t>Hauler</t>
        </is>
      </c>
      <c r="D1730" s="156" t="inlineStr">
        <is>
          <t>Mining</t>
        </is>
      </c>
      <c r="E1730" s="156" t="inlineStr">
        <is>
          <t>SKT 105S</t>
        </is>
      </c>
      <c r="F1730" s="184" t="n">
        <v>539.3</v>
      </c>
    </row>
    <row r="1731">
      <c r="A1731" s="155" t="n">
        <v>46089</v>
      </c>
      <c r="B1731" s="156" t="inlineStr">
        <is>
          <t>DT-529</t>
        </is>
      </c>
      <c r="C1731" s="156" t="inlineStr">
        <is>
          <t>Hauler</t>
        </is>
      </c>
      <c r="D1731" s="156" t="inlineStr">
        <is>
          <t>Mining</t>
        </is>
      </c>
      <c r="E1731" s="156" t="inlineStr">
        <is>
          <t>SKT 105S</t>
        </is>
      </c>
      <c r="F1731" s="184" t="n">
        <v>272</v>
      </c>
    </row>
    <row r="1732">
      <c r="A1732" s="155" t="n">
        <v>46089</v>
      </c>
      <c r="B1732" s="156" t="inlineStr">
        <is>
          <t>DT-520</t>
        </is>
      </c>
      <c r="C1732" s="156" t="inlineStr">
        <is>
          <t>Hauler</t>
        </is>
      </c>
      <c r="D1732" s="156" t="inlineStr">
        <is>
          <t>Mining</t>
        </is>
      </c>
      <c r="E1732" s="156" t="inlineStr">
        <is>
          <t>SKT 105S</t>
        </is>
      </c>
      <c r="F1732" s="184" t="n">
        <v>643.6</v>
      </c>
    </row>
    <row r="1733">
      <c r="A1733" s="155" t="n">
        <v>46089</v>
      </c>
      <c r="B1733" s="156" t="inlineStr">
        <is>
          <t>DT-511</t>
        </is>
      </c>
      <c r="C1733" s="156" t="inlineStr">
        <is>
          <t>Hauler</t>
        </is>
      </c>
      <c r="D1733" s="156" t="inlineStr">
        <is>
          <t>Mining</t>
        </is>
      </c>
      <c r="E1733" s="156" t="inlineStr">
        <is>
          <t>SKT 105S</t>
        </is>
      </c>
      <c r="F1733" s="184" t="n">
        <v>685.9</v>
      </c>
    </row>
    <row r="1734">
      <c r="A1734" s="155" t="n">
        <v>46089</v>
      </c>
      <c r="B1734" s="156" t="inlineStr">
        <is>
          <t>DT-509</t>
        </is>
      </c>
      <c r="C1734" s="156" t="inlineStr">
        <is>
          <t>Hauler</t>
        </is>
      </c>
      <c r="D1734" s="156" t="inlineStr">
        <is>
          <t>Mining</t>
        </is>
      </c>
      <c r="E1734" s="156" t="inlineStr">
        <is>
          <t>SKT 105S</t>
        </is>
      </c>
      <c r="F1734" s="184" t="n">
        <v>348.9</v>
      </c>
    </row>
    <row r="1735">
      <c r="A1735" s="155" t="n">
        <v>46089</v>
      </c>
      <c r="B1735" s="156" t="inlineStr">
        <is>
          <t>DT-508</t>
        </is>
      </c>
      <c r="C1735" s="156" t="inlineStr">
        <is>
          <t>Hauler</t>
        </is>
      </c>
      <c r="D1735" s="156" t="inlineStr">
        <is>
          <t>Mining</t>
        </is>
      </c>
      <c r="E1735" s="156" t="inlineStr">
        <is>
          <t>SKT 105S</t>
        </is>
      </c>
      <c r="F1735" s="184" t="n">
        <v>646.5</v>
      </c>
    </row>
    <row r="1736">
      <c r="A1736" s="155" t="n">
        <v>46089</v>
      </c>
      <c r="B1736" s="156" t="inlineStr">
        <is>
          <t>DT-515</t>
        </is>
      </c>
      <c r="C1736" s="156" t="inlineStr">
        <is>
          <t>Hauler</t>
        </is>
      </c>
      <c r="D1736" s="156" t="inlineStr">
        <is>
          <t>Mining</t>
        </is>
      </c>
      <c r="E1736" s="156" t="inlineStr">
        <is>
          <t>SKT 105S</t>
        </is>
      </c>
      <c r="F1736" s="184" t="n">
        <v>638.9</v>
      </c>
    </row>
    <row r="1737">
      <c r="A1737" s="155" t="n">
        <v>46089</v>
      </c>
      <c r="B1737" s="156" t="inlineStr">
        <is>
          <t>DT-524</t>
        </is>
      </c>
      <c r="C1737" s="156" t="inlineStr">
        <is>
          <t>Hauler</t>
        </is>
      </c>
      <c r="D1737" s="156" t="inlineStr">
        <is>
          <t>Mining</t>
        </is>
      </c>
      <c r="E1737" s="156" t="inlineStr">
        <is>
          <t>SKT 105S</t>
        </is>
      </c>
      <c r="F1737" s="184" t="n">
        <v>657.2</v>
      </c>
    </row>
    <row r="1738">
      <c r="A1738" s="155" t="n">
        <v>46089</v>
      </c>
      <c r="B1738" s="156" t="inlineStr">
        <is>
          <t>HD-905</t>
        </is>
      </c>
      <c r="C1738" s="156" t="inlineStr">
        <is>
          <t>Hauler</t>
        </is>
      </c>
      <c r="D1738" s="156" t="inlineStr">
        <is>
          <t>Mining</t>
        </is>
      </c>
      <c r="E1738" s="156" t="inlineStr">
        <is>
          <t>SRT 95C</t>
        </is>
      </c>
      <c r="F1738" s="184" t="n">
        <v>471.5</v>
      </c>
    </row>
    <row r="1739">
      <c r="A1739" s="155" t="n">
        <v>46089</v>
      </c>
      <c r="B1739" s="156" t="inlineStr">
        <is>
          <t>HD-901</t>
        </is>
      </c>
      <c r="C1739" s="156" t="inlineStr">
        <is>
          <t>Hauler</t>
        </is>
      </c>
      <c r="D1739" s="156" t="inlineStr">
        <is>
          <t>Mining</t>
        </is>
      </c>
      <c r="E1739" s="156" t="inlineStr">
        <is>
          <t>SRT 95C</t>
        </is>
      </c>
      <c r="F1739" s="184" t="n">
        <v>782</v>
      </c>
    </row>
    <row r="1740">
      <c r="A1740" s="155" t="n">
        <v>46089</v>
      </c>
      <c r="B1740" s="156" t="inlineStr">
        <is>
          <t>HD-904</t>
        </is>
      </c>
      <c r="C1740" s="156" t="inlineStr">
        <is>
          <t>Hauler</t>
        </is>
      </c>
      <c r="D1740" s="156" t="inlineStr">
        <is>
          <t>Mining</t>
        </is>
      </c>
      <c r="E1740" s="156" t="inlineStr">
        <is>
          <t>SRT 95C</t>
        </is>
      </c>
      <c r="F1740" s="184" t="n">
        <v>693.2</v>
      </c>
    </row>
    <row r="1741">
      <c r="A1741" s="155" t="n">
        <v>46089</v>
      </c>
      <c r="B1741" s="156" t="inlineStr">
        <is>
          <t>DZ-034</t>
        </is>
      </c>
      <c r="C1741" s="156" t="inlineStr">
        <is>
          <t>Bulldozer</t>
        </is>
      </c>
      <c r="D1741" s="156" t="inlineStr">
        <is>
          <t>Mining</t>
        </is>
      </c>
      <c r="E1741" s="156" t="inlineStr">
        <is>
          <t>D 68ESS-12EO</t>
        </is>
      </c>
      <c r="F1741" s="184" t="n">
        <v>294.9</v>
      </c>
    </row>
    <row r="1742">
      <c r="A1742" s="155" t="n">
        <v>46089</v>
      </c>
      <c r="B1742" s="156" t="inlineStr">
        <is>
          <t>DZ-033</t>
        </is>
      </c>
      <c r="C1742" s="156" t="inlineStr">
        <is>
          <t>Bulldozer</t>
        </is>
      </c>
      <c r="D1742" s="156" t="inlineStr">
        <is>
          <t>Mining</t>
        </is>
      </c>
      <c r="E1742" s="156" t="inlineStr">
        <is>
          <t>D 375A-6R</t>
        </is>
      </c>
      <c r="F1742" s="184" t="n">
        <v>1322.1</v>
      </c>
    </row>
    <row r="1743">
      <c r="A1743" s="155" t="n">
        <v>46089</v>
      </c>
      <c r="B1743" s="156" t="inlineStr">
        <is>
          <t>DZ-039</t>
        </is>
      </c>
      <c r="C1743" s="156" t="inlineStr">
        <is>
          <t>Bulldozer</t>
        </is>
      </c>
      <c r="D1743" s="156" t="inlineStr">
        <is>
          <t>Mining</t>
        </is>
      </c>
      <c r="E1743" s="156" t="inlineStr">
        <is>
          <t>D 85 ESS-2</t>
        </is>
      </c>
      <c r="F1743" s="184" t="n">
        <v>343.8</v>
      </c>
    </row>
    <row r="1744">
      <c r="A1744" s="155" t="n">
        <v>46089</v>
      </c>
      <c r="B1744" s="156" t="inlineStr">
        <is>
          <t>DZ-037</t>
        </is>
      </c>
      <c r="C1744" s="156" t="inlineStr">
        <is>
          <t>Bulldozer</t>
        </is>
      </c>
      <c r="D1744" s="156" t="inlineStr">
        <is>
          <t>Mining</t>
        </is>
      </c>
      <c r="E1744" s="156" t="inlineStr">
        <is>
          <t>D 85 ESS-2</t>
        </is>
      </c>
      <c r="F1744" s="184" t="n">
        <v>465.6</v>
      </c>
    </row>
    <row r="1745">
      <c r="A1745" s="155" t="n">
        <v>46089</v>
      </c>
      <c r="B1745" s="156" t="inlineStr">
        <is>
          <t>DZ-032</t>
        </is>
      </c>
      <c r="C1745" s="156" t="inlineStr">
        <is>
          <t>Bulldozer</t>
        </is>
      </c>
      <c r="D1745" s="156" t="inlineStr">
        <is>
          <t>Mining</t>
        </is>
      </c>
      <c r="E1745" s="156" t="inlineStr">
        <is>
          <t>CAT</t>
        </is>
      </c>
      <c r="F1745" s="184" t="n">
        <v>512.6</v>
      </c>
    </row>
    <row r="1746">
      <c r="A1746" s="155" t="n">
        <v>46089</v>
      </c>
      <c r="B1746" s="156" t="inlineStr">
        <is>
          <t>GD-014</t>
        </is>
      </c>
      <c r="C1746" s="156" t="inlineStr">
        <is>
          <t>Grader</t>
        </is>
      </c>
      <c r="D1746" s="156" t="inlineStr">
        <is>
          <t>Mining</t>
        </is>
      </c>
      <c r="E1746" s="156" t="inlineStr">
        <is>
          <t>STG 335C - 10</t>
        </is>
      </c>
      <c r="F1746" s="184" t="n">
        <v>515.4</v>
      </c>
    </row>
    <row r="1747">
      <c r="A1747" s="155" t="n">
        <v>46089</v>
      </c>
      <c r="B1747" s="156" t="inlineStr">
        <is>
          <t>CP-041</t>
        </is>
      </c>
      <c r="C1747" s="156" t="inlineStr">
        <is>
          <t>Compactor</t>
        </is>
      </c>
      <c r="D1747" s="156" t="inlineStr">
        <is>
          <t>Mining</t>
        </is>
      </c>
      <c r="E1747" s="156" t="inlineStr">
        <is>
          <t>SANY - Compactor</t>
        </is>
      </c>
      <c r="F1747" s="184" t="n">
        <v>321.9</v>
      </c>
    </row>
    <row r="1748">
      <c r="A1748" s="155" t="n">
        <v>46089</v>
      </c>
      <c r="B1748" s="156" t="inlineStr">
        <is>
          <t>LV-01</t>
        </is>
      </c>
      <c r="C1748" s="156" t="inlineStr">
        <is>
          <t>LV &amp; sarana</t>
        </is>
      </c>
      <c r="D1748" s="156" t="inlineStr">
        <is>
          <t>Aux</t>
        </is>
      </c>
      <c r="E1748" s="156" t="inlineStr">
        <is>
          <t>Light vehicle</t>
        </is>
      </c>
      <c r="F1748" s="184" t="n">
        <v>31.5</v>
      </c>
    </row>
    <row r="1749">
      <c r="A1749" s="155" t="n">
        <v>46089</v>
      </c>
      <c r="B1749" s="156" t="inlineStr">
        <is>
          <t>LV-04</t>
        </is>
      </c>
      <c r="C1749" s="156" t="inlineStr">
        <is>
          <t>LV &amp; sarana</t>
        </is>
      </c>
      <c r="D1749" s="156" t="inlineStr">
        <is>
          <t>Aux</t>
        </is>
      </c>
      <c r="E1749" s="156" t="inlineStr">
        <is>
          <t>Light vehicle</t>
        </is>
      </c>
      <c r="F1749" s="184" t="n">
        <v>59</v>
      </c>
    </row>
    <row r="1750">
      <c r="A1750" s="155" t="n">
        <v>46089</v>
      </c>
      <c r="B1750" s="156" t="inlineStr">
        <is>
          <t>LV-06</t>
        </is>
      </c>
      <c r="C1750" s="156" t="inlineStr">
        <is>
          <t>LV &amp; sarana</t>
        </is>
      </c>
      <c r="D1750" s="156" t="inlineStr">
        <is>
          <t>Aux</t>
        </is>
      </c>
      <c r="E1750" s="156" t="inlineStr">
        <is>
          <t>Light vehicle</t>
        </is>
      </c>
      <c r="F1750" s="184" t="n">
        <v>28.3</v>
      </c>
    </row>
    <row r="1751">
      <c r="A1751" s="155" t="n">
        <v>46089</v>
      </c>
      <c r="B1751" s="156" t="inlineStr">
        <is>
          <t>LV-09</t>
        </is>
      </c>
      <c r="C1751" s="156" t="inlineStr">
        <is>
          <t>LV &amp; sarana</t>
        </is>
      </c>
      <c r="D1751" s="156" t="inlineStr">
        <is>
          <t>Aux</t>
        </is>
      </c>
      <c r="E1751" s="156" t="inlineStr">
        <is>
          <t>Light vehicle</t>
        </is>
      </c>
      <c r="F1751" s="184" t="n">
        <v>43.1</v>
      </c>
    </row>
    <row r="1752">
      <c r="A1752" s="155" t="n">
        <v>46089</v>
      </c>
      <c r="B1752" s="156" t="inlineStr">
        <is>
          <t>LV-12</t>
        </is>
      </c>
      <c r="C1752" s="156" t="inlineStr">
        <is>
          <t>LV &amp; sarana</t>
        </is>
      </c>
      <c r="D1752" s="156" t="inlineStr">
        <is>
          <t>Aux</t>
        </is>
      </c>
      <c r="E1752" s="156" t="inlineStr">
        <is>
          <t>Light vehicle</t>
        </is>
      </c>
      <c r="F1752" s="184" t="n">
        <v>48.7</v>
      </c>
    </row>
    <row r="1753">
      <c r="A1753" s="155" t="n">
        <v>46089</v>
      </c>
      <c r="B1753" s="156" t="inlineStr">
        <is>
          <t>TS-03</t>
        </is>
      </c>
      <c r="C1753" s="156" t="inlineStr">
        <is>
          <t>Truk support</t>
        </is>
      </c>
      <c r="D1753" s="156" t="inlineStr">
        <is>
          <t>Mining</t>
        </is>
      </c>
      <c r="E1753" s="156" t="inlineStr">
        <is>
          <t>Truk support</t>
        </is>
      </c>
      <c r="F1753" s="184" t="n">
        <v>100.7</v>
      </c>
    </row>
    <row r="1754">
      <c r="A1754" s="155" t="n">
        <v>46089</v>
      </c>
      <c r="B1754" s="156" t="inlineStr">
        <is>
          <t>TS-05</t>
        </is>
      </c>
      <c r="C1754" s="156" t="inlineStr">
        <is>
          <t>Truk support</t>
        </is>
      </c>
      <c r="D1754" s="156" t="inlineStr">
        <is>
          <t>Aux</t>
        </is>
      </c>
      <c r="E1754" s="156" t="inlineStr">
        <is>
          <t>Truk support</t>
        </is>
      </c>
      <c r="F1754" s="184" t="n">
        <v>64.7</v>
      </c>
    </row>
    <row r="1755">
      <c r="A1755" s="155" t="n">
        <v>46089</v>
      </c>
      <c r="B1755" s="156" t="inlineStr">
        <is>
          <t>TL-04</t>
        </is>
      </c>
      <c r="C1755" s="156" t="inlineStr">
        <is>
          <t>Tower lamp</t>
        </is>
      </c>
      <c r="D1755" s="156" t="inlineStr">
        <is>
          <t>Mining</t>
        </is>
      </c>
      <c r="E1755" s="156" t="inlineStr">
        <is>
          <t>Tower lamp</t>
        </is>
      </c>
      <c r="F1755" s="184" t="n">
        <v>21.2</v>
      </c>
    </row>
    <row r="1756">
      <c r="A1756" s="155" t="n">
        <v>46089</v>
      </c>
      <c r="B1756" s="156" t="inlineStr">
        <is>
          <t>TL-05</t>
        </is>
      </c>
      <c r="C1756" s="156" t="inlineStr">
        <is>
          <t>Tower lamp</t>
        </is>
      </c>
      <c r="D1756" s="156" t="inlineStr">
        <is>
          <t>Mining</t>
        </is>
      </c>
      <c r="E1756" s="156" t="inlineStr">
        <is>
          <t>Tower lamp</t>
        </is>
      </c>
      <c r="F1756" s="184" t="n">
        <v>37.5</v>
      </c>
    </row>
    <row r="1757">
      <c r="A1757" s="155" t="n">
        <v>46089</v>
      </c>
      <c r="B1757" s="156" t="inlineStr">
        <is>
          <t>AL-09</t>
        </is>
      </c>
      <c r="C1757" s="156" t="inlineStr">
        <is>
          <t>Alat lain</t>
        </is>
      </c>
      <c r="D1757" s="156" t="inlineStr">
        <is>
          <t>Mining</t>
        </is>
      </c>
      <c r="E1757" s="156" t="inlineStr">
        <is>
          <t>Alat lain</t>
        </is>
      </c>
      <c r="F1757" s="184" t="n">
        <v>21.7</v>
      </c>
    </row>
    <row r="1758">
      <c r="A1758" s="155" t="n">
        <v>46089</v>
      </c>
      <c r="B1758" s="156" t="inlineStr">
        <is>
          <t>GS-01</t>
        </is>
      </c>
      <c r="C1758" s="156" t="inlineStr">
        <is>
          <t>Genset</t>
        </is>
      </c>
      <c r="D1758" s="156" t="inlineStr">
        <is>
          <t>Aux</t>
        </is>
      </c>
      <c r="E1758" s="156" t="inlineStr">
        <is>
          <t>Genset</t>
        </is>
      </c>
      <c r="F1758" s="184" t="n">
        <v>266</v>
      </c>
    </row>
    <row r="1759">
      <c r="A1759" s="155" t="n">
        <v>46089</v>
      </c>
      <c r="B1759" s="156" t="inlineStr">
        <is>
          <t>GS-04</t>
        </is>
      </c>
      <c r="C1759" s="156" t="inlineStr">
        <is>
          <t>Genset</t>
        </is>
      </c>
      <c r="D1759" s="156" t="inlineStr">
        <is>
          <t>Aux</t>
        </is>
      </c>
      <c r="E1759" s="156" t="inlineStr">
        <is>
          <t>Genset</t>
        </is>
      </c>
      <c r="F1759" s="184" t="n">
        <v>769.8</v>
      </c>
    </row>
    <row r="1760">
      <c r="A1760" s="155" t="n">
        <v>46089</v>
      </c>
      <c r="B1760" s="156" t="inlineStr">
        <is>
          <t>GS-07</t>
        </is>
      </c>
      <c r="C1760" s="156" t="inlineStr">
        <is>
          <t>Genset</t>
        </is>
      </c>
      <c r="D1760" s="156" t="inlineStr">
        <is>
          <t>Aux</t>
        </is>
      </c>
      <c r="E1760" s="156" t="inlineStr">
        <is>
          <t>Genset</t>
        </is>
      </c>
      <c r="F1760" s="184" t="n">
        <v>25.1</v>
      </c>
    </row>
    <row r="1761">
      <c r="A1761" s="155" t="n">
        <v>46089</v>
      </c>
      <c r="B1761" s="156" t="inlineStr">
        <is>
          <t>GS-08</t>
        </is>
      </c>
      <c r="C1761" s="156" t="inlineStr">
        <is>
          <t>Genset</t>
        </is>
      </c>
      <c r="D1761" s="156" t="inlineStr">
        <is>
          <t>Aux</t>
        </is>
      </c>
      <c r="E1761" s="156" t="inlineStr">
        <is>
          <t>Genset</t>
        </is>
      </c>
      <c r="F1761" s="184" t="n">
        <v>80.09999999999999</v>
      </c>
    </row>
    <row r="1762">
      <c r="A1762" s="155" t="n">
        <v>46089</v>
      </c>
      <c r="B1762" s="156" t="inlineStr">
        <is>
          <t>WP-03</t>
        </is>
      </c>
      <c r="C1762" s="156" t="inlineStr">
        <is>
          <t>Pompa air</t>
        </is>
      </c>
      <c r="D1762" s="156" t="inlineStr">
        <is>
          <t>Mining</t>
        </is>
      </c>
      <c r="E1762" s="156" t="inlineStr">
        <is>
          <t>Pompa air</t>
        </is>
      </c>
      <c r="F1762" s="184" t="n">
        <v>764</v>
      </c>
    </row>
    <row r="1763">
      <c r="A1763" s="155" t="n">
        <v>46089</v>
      </c>
      <c r="B1763" s="156" t="inlineStr">
        <is>
          <t>WP-05</t>
        </is>
      </c>
      <c r="C1763" s="156" t="inlineStr">
        <is>
          <t>Pompa air</t>
        </is>
      </c>
      <c r="D1763" s="156" t="inlineStr">
        <is>
          <t>Mining</t>
        </is>
      </c>
      <c r="E1763" s="156" t="inlineStr">
        <is>
          <t>Pompa air</t>
        </is>
      </c>
      <c r="F1763" s="184" t="n">
        <v>698.7</v>
      </c>
    </row>
    <row r="1764">
      <c r="A1764" s="155" t="n">
        <v>46089</v>
      </c>
      <c r="B1764" s="156" t="inlineStr">
        <is>
          <t>DT-342</t>
        </is>
      </c>
      <c r="C1764" s="156" t="inlineStr">
        <is>
          <t>Hauler</t>
        </is>
      </c>
      <c r="D1764" s="156" t="inlineStr">
        <is>
          <t>Aux</t>
        </is>
      </c>
      <c r="E1764" s="156" t="inlineStr">
        <is>
          <t>SYZ324C-8W</t>
        </is>
      </c>
      <c r="F1764" s="184" t="n">
        <v>157.5</v>
      </c>
    </row>
    <row r="1765">
      <c r="A1765" s="155" t="n">
        <v>46089</v>
      </c>
      <c r="B1765" s="156" t="inlineStr">
        <is>
          <t>WL-022</t>
        </is>
      </c>
      <c r="C1765" s="156" t="inlineStr">
        <is>
          <t>Loader</t>
        </is>
      </c>
      <c r="D1765" s="156" t="inlineStr">
        <is>
          <t>Aux</t>
        </is>
      </c>
      <c r="E1765" s="156" t="inlineStr">
        <is>
          <t>SANY - Loader</t>
        </is>
      </c>
      <c r="F1765" s="184" t="n">
        <v>241.9</v>
      </c>
    </row>
    <row r="1766">
      <c r="A1766" s="155" t="n">
        <v>46089</v>
      </c>
      <c r="B1766" s="156" t="inlineStr">
        <is>
          <t>WL-024</t>
        </is>
      </c>
      <c r="C1766" s="156" t="inlineStr">
        <is>
          <t>Loader</t>
        </is>
      </c>
      <c r="D1766" s="156" t="inlineStr">
        <is>
          <t>Aux</t>
        </is>
      </c>
      <c r="E1766" s="156" t="inlineStr">
        <is>
          <t>SANY - Loader</t>
        </is>
      </c>
      <c r="F1766" s="184" t="n">
        <v>354.9</v>
      </c>
    </row>
    <row r="1767">
      <c r="A1767" s="155" t="n">
        <v>46086</v>
      </c>
      <c r="B1767" s="156" t="inlineStr">
        <is>
          <t>EX-754</t>
        </is>
      </c>
      <c r="C1767" s="156" t="inlineStr">
        <is>
          <t>Excavator</t>
        </is>
      </c>
      <c r="D1767" s="156" t="inlineStr">
        <is>
          <t>Mining</t>
        </is>
      </c>
      <c r="E1767" s="156" t="inlineStr">
        <is>
          <t>SY750H-PRO</t>
        </is>
      </c>
      <c r="F1767" s="184" t="n">
        <v>721.9</v>
      </c>
    </row>
    <row r="1768">
      <c r="A1768" s="155" t="n">
        <v>46086</v>
      </c>
      <c r="B1768" s="156" t="inlineStr">
        <is>
          <t>EX-755</t>
        </is>
      </c>
      <c r="C1768" s="156" t="inlineStr">
        <is>
          <t>Excavator</t>
        </is>
      </c>
      <c r="D1768" s="156" t="inlineStr">
        <is>
          <t>Mining</t>
        </is>
      </c>
      <c r="E1768" s="156" t="inlineStr">
        <is>
          <t>SY750H-PRO</t>
        </is>
      </c>
      <c r="F1768" s="184" t="n">
        <v>939.8</v>
      </c>
    </row>
    <row r="1769">
      <c r="A1769" s="155" t="n">
        <v>46086</v>
      </c>
      <c r="B1769" s="156" t="inlineStr">
        <is>
          <t>EX-753</t>
        </is>
      </c>
      <c r="C1769" s="156" t="inlineStr">
        <is>
          <t>Excavator</t>
        </is>
      </c>
      <c r="D1769" s="156" t="inlineStr">
        <is>
          <t>Mining</t>
        </is>
      </c>
      <c r="E1769" s="156" t="inlineStr">
        <is>
          <t>SY750H-PRO</t>
        </is>
      </c>
      <c r="F1769" s="184" t="n">
        <v>835.1</v>
      </c>
    </row>
    <row r="1770">
      <c r="A1770" s="155" t="n">
        <v>46086</v>
      </c>
      <c r="B1770" s="156" t="inlineStr">
        <is>
          <t>EX-334</t>
        </is>
      </c>
      <c r="C1770" s="156" t="inlineStr">
        <is>
          <t>Excavator</t>
        </is>
      </c>
      <c r="D1770" s="156" t="inlineStr">
        <is>
          <t>Mining</t>
        </is>
      </c>
      <c r="E1770" s="156" t="inlineStr">
        <is>
          <t>PC 300-8MO</t>
        </is>
      </c>
      <c r="F1770" s="184" t="n">
        <v>602.3</v>
      </c>
    </row>
    <row r="1771">
      <c r="A1771" s="155" t="n">
        <v>46086</v>
      </c>
      <c r="B1771" s="156" t="inlineStr">
        <is>
          <t>EX-332</t>
        </is>
      </c>
      <c r="C1771" s="156" t="inlineStr">
        <is>
          <t>Excavator</t>
        </is>
      </c>
      <c r="D1771" s="156" t="inlineStr">
        <is>
          <t>Mining</t>
        </is>
      </c>
      <c r="E1771" s="156" t="inlineStr">
        <is>
          <t>PC 300-8MO</t>
        </is>
      </c>
      <c r="F1771" s="184" t="n">
        <v>450.5</v>
      </c>
    </row>
    <row r="1772">
      <c r="A1772" s="155" t="n">
        <v>46086</v>
      </c>
      <c r="B1772" s="156" t="inlineStr">
        <is>
          <t>EX-222</t>
        </is>
      </c>
      <c r="C1772" s="156" t="inlineStr">
        <is>
          <t>Excavator</t>
        </is>
      </c>
      <c r="D1772" s="156" t="inlineStr">
        <is>
          <t>Mining</t>
        </is>
      </c>
      <c r="E1772" s="156" t="inlineStr">
        <is>
          <t>PC 200-8MI</t>
        </is>
      </c>
      <c r="F1772" s="184" t="n">
        <v>197.3</v>
      </c>
    </row>
    <row r="1773">
      <c r="A1773" s="155" t="n">
        <v>46086</v>
      </c>
      <c r="B1773" s="156" t="inlineStr">
        <is>
          <t>EX-335</t>
        </is>
      </c>
      <c r="C1773" s="156" t="inlineStr">
        <is>
          <t>Excavator</t>
        </is>
      </c>
      <c r="D1773" s="156" t="inlineStr">
        <is>
          <t>Mining</t>
        </is>
      </c>
      <c r="E1773" s="156" t="inlineStr">
        <is>
          <t>PC 300-8MO</t>
        </is>
      </c>
      <c r="F1773" s="184" t="n">
        <v>525</v>
      </c>
    </row>
    <row r="1774">
      <c r="A1774" s="155" t="n">
        <v>46086</v>
      </c>
      <c r="B1774" s="156" t="inlineStr">
        <is>
          <t>EX-1251</t>
        </is>
      </c>
      <c r="C1774" s="156" t="inlineStr">
        <is>
          <t>Excavator</t>
        </is>
      </c>
      <c r="D1774" s="156" t="inlineStr">
        <is>
          <t>Mining</t>
        </is>
      </c>
      <c r="E1774" s="156" t="inlineStr">
        <is>
          <t>SY1250</t>
        </is>
      </c>
      <c r="F1774" s="184" t="n">
        <v>1780.7</v>
      </c>
    </row>
    <row r="1775">
      <c r="A1775" s="155" t="n">
        <v>46086</v>
      </c>
      <c r="B1775" s="156" t="inlineStr">
        <is>
          <t>EX-1252</t>
        </is>
      </c>
      <c r="C1775" s="156" t="inlineStr">
        <is>
          <t>Excavator</t>
        </is>
      </c>
      <c r="D1775" s="156" t="inlineStr">
        <is>
          <t>Mining</t>
        </is>
      </c>
      <c r="E1775" s="156" t="inlineStr">
        <is>
          <t>SY1250</t>
        </is>
      </c>
      <c r="F1775" s="184" t="n">
        <v>1575.1</v>
      </c>
    </row>
    <row r="1776">
      <c r="A1776" s="155" t="n">
        <v>46086</v>
      </c>
      <c r="B1776" s="156" t="inlineStr">
        <is>
          <t>EX-336</t>
        </is>
      </c>
      <c r="C1776" s="156" t="inlineStr">
        <is>
          <t>Excavator</t>
        </is>
      </c>
      <c r="D1776" s="156" t="inlineStr">
        <is>
          <t>Mining</t>
        </is>
      </c>
      <c r="E1776" s="156" t="inlineStr">
        <is>
          <t>PC 300-8MO</t>
        </is>
      </c>
      <c r="F1776" s="184" t="n">
        <v>408.9</v>
      </c>
    </row>
    <row r="1777">
      <c r="A1777" s="155" t="n">
        <v>46086</v>
      </c>
      <c r="B1777" s="156" t="inlineStr">
        <is>
          <t>DT-808</t>
        </is>
      </c>
      <c r="C1777" s="156" t="inlineStr">
        <is>
          <t>Hauler</t>
        </is>
      </c>
      <c r="D1777" s="156" t="inlineStr">
        <is>
          <t>Mining</t>
        </is>
      </c>
      <c r="E1777" s="156" t="inlineStr">
        <is>
          <t>SKT 80S</t>
        </is>
      </c>
      <c r="F1777" s="184" t="n">
        <v>272</v>
      </c>
    </row>
    <row r="1778">
      <c r="A1778" s="155" t="n">
        <v>46086</v>
      </c>
      <c r="B1778" s="156" t="inlineStr">
        <is>
          <t>DT-812</t>
        </is>
      </c>
      <c r="C1778" s="156" t="inlineStr">
        <is>
          <t>Hauler</t>
        </is>
      </c>
      <c r="D1778" s="156" t="inlineStr">
        <is>
          <t>Mining</t>
        </is>
      </c>
      <c r="E1778" s="156" t="inlineStr">
        <is>
          <t>SKT 80S</t>
        </is>
      </c>
      <c r="F1778" s="184" t="n">
        <v>243.9</v>
      </c>
    </row>
    <row r="1779">
      <c r="A1779" s="155" t="n">
        <v>46086</v>
      </c>
      <c r="B1779" s="156" t="inlineStr">
        <is>
          <t>DT-810</t>
        </is>
      </c>
      <c r="C1779" s="156" t="inlineStr">
        <is>
          <t>Hauler</t>
        </is>
      </c>
      <c r="D1779" s="156" t="inlineStr">
        <is>
          <t>Mining</t>
        </is>
      </c>
      <c r="E1779" s="156" t="inlineStr">
        <is>
          <t>SKT 80S</t>
        </is>
      </c>
      <c r="F1779" s="184" t="n">
        <v>381.1</v>
      </c>
    </row>
    <row r="1780">
      <c r="A1780" s="155" t="n">
        <v>46086</v>
      </c>
      <c r="B1780" s="156" t="inlineStr">
        <is>
          <t>DT-505</t>
        </is>
      </c>
      <c r="C1780" s="156" t="inlineStr">
        <is>
          <t>Hauler</t>
        </is>
      </c>
      <c r="D1780" s="156" t="inlineStr">
        <is>
          <t>Mining</t>
        </is>
      </c>
      <c r="E1780" s="156" t="inlineStr">
        <is>
          <t>SKT 105S</t>
        </is>
      </c>
      <c r="F1780" s="184" t="n">
        <v>439.4</v>
      </c>
    </row>
    <row r="1781">
      <c r="A1781" s="155" t="n">
        <v>46086</v>
      </c>
      <c r="B1781" s="156" t="inlineStr">
        <is>
          <t>DT-504</t>
        </is>
      </c>
      <c r="C1781" s="156" t="inlineStr">
        <is>
          <t>Hauler</t>
        </is>
      </c>
      <c r="D1781" s="156" t="inlineStr">
        <is>
          <t>Mining</t>
        </is>
      </c>
      <c r="E1781" s="156" t="inlineStr">
        <is>
          <t>SKT 105S</t>
        </is>
      </c>
      <c r="F1781" s="184" t="n">
        <v>466.7</v>
      </c>
    </row>
    <row r="1782">
      <c r="A1782" s="155" t="n">
        <v>46086</v>
      </c>
      <c r="B1782" s="156" t="inlineStr">
        <is>
          <t>DT-507</t>
        </is>
      </c>
      <c r="C1782" s="156" t="inlineStr">
        <is>
          <t>Hauler</t>
        </is>
      </c>
      <c r="D1782" s="156" t="inlineStr">
        <is>
          <t>Mining</t>
        </is>
      </c>
      <c r="E1782" s="156" t="inlineStr">
        <is>
          <t>SKT 105S</t>
        </is>
      </c>
      <c r="F1782" s="184" t="n">
        <v>445.9</v>
      </c>
    </row>
    <row r="1783">
      <c r="A1783" s="155" t="n">
        <v>46086</v>
      </c>
      <c r="B1783" s="156" t="inlineStr">
        <is>
          <t>DT-518</t>
        </is>
      </c>
      <c r="C1783" s="156" t="inlineStr">
        <is>
          <t>Hauler</t>
        </is>
      </c>
      <c r="D1783" s="156" t="inlineStr">
        <is>
          <t>Mining</t>
        </is>
      </c>
      <c r="E1783" s="156" t="inlineStr">
        <is>
          <t>SKT 105S</t>
        </is>
      </c>
      <c r="F1783" s="184" t="n">
        <v>542.9</v>
      </c>
    </row>
    <row r="1784">
      <c r="A1784" s="155" t="n">
        <v>46086</v>
      </c>
      <c r="B1784" s="156" t="inlineStr">
        <is>
          <t>DT-514</t>
        </is>
      </c>
      <c r="C1784" s="156" t="inlineStr">
        <is>
          <t>Hauler</t>
        </is>
      </c>
      <c r="D1784" s="156" t="inlineStr">
        <is>
          <t>Mining</t>
        </is>
      </c>
      <c r="E1784" s="156" t="inlineStr">
        <is>
          <t>SKT 105S</t>
        </is>
      </c>
      <c r="F1784" s="184" t="n">
        <v>614.9</v>
      </c>
    </row>
    <row r="1785">
      <c r="A1785" s="155" t="n">
        <v>46086</v>
      </c>
      <c r="B1785" s="156" t="inlineStr">
        <is>
          <t>DT-523</t>
        </is>
      </c>
      <c r="C1785" s="156" t="inlineStr">
        <is>
          <t>Hauler</t>
        </is>
      </c>
      <c r="D1785" s="156" t="inlineStr">
        <is>
          <t>Mining</t>
        </is>
      </c>
      <c r="E1785" s="156" t="inlineStr">
        <is>
          <t>SKT 105S</t>
        </is>
      </c>
      <c r="F1785" s="184" t="n">
        <v>475</v>
      </c>
    </row>
    <row r="1786">
      <c r="A1786" s="155" t="n">
        <v>46086</v>
      </c>
      <c r="B1786" s="156" t="inlineStr">
        <is>
          <t>DT-527</t>
        </is>
      </c>
      <c r="C1786" s="156" t="inlineStr">
        <is>
          <t>Hauler</t>
        </is>
      </c>
      <c r="D1786" s="156" t="inlineStr">
        <is>
          <t>Mining</t>
        </is>
      </c>
      <c r="E1786" s="156" t="inlineStr">
        <is>
          <t>SKT 105S</t>
        </is>
      </c>
      <c r="F1786" s="184" t="n">
        <v>652.9</v>
      </c>
    </row>
    <row r="1787">
      <c r="A1787" s="155" t="n">
        <v>46086</v>
      </c>
      <c r="B1787" s="156" t="inlineStr">
        <is>
          <t>DT-513</t>
        </is>
      </c>
      <c r="C1787" s="156" t="inlineStr">
        <is>
          <t>Hauler</t>
        </is>
      </c>
      <c r="D1787" s="156" t="inlineStr">
        <is>
          <t>Mining</t>
        </is>
      </c>
      <c r="E1787" s="156" t="inlineStr">
        <is>
          <t>SKT 105S</t>
        </is>
      </c>
      <c r="F1787" s="184" t="n">
        <v>327.4</v>
      </c>
    </row>
    <row r="1788">
      <c r="A1788" s="155" t="n">
        <v>46086</v>
      </c>
      <c r="B1788" s="156" t="inlineStr">
        <is>
          <t>DT-512</t>
        </is>
      </c>
      <c r="C1788" s="156" t="inlineStr">
        <is>
          <t>Hauler</t>
        </is>
      </c>
      <c r="D1788" s="156" t="inlineStr">
        <is>
          <t>Mining</t>
        </is>
      </c>
      <c r="E1788" s="156" t="inlineStr">
        <is>
          <t>SKT 105S</t>
        </is>
      </c>
      <c r="F1788" s="184" t="n">
        <v>330.9</v>
      </c>
    </row>
    <row r="1789">
      <c r="A1789" s="155" t="n">
        <v>46086</v>
      </c>
      <c r="B1789" s="156" t="inlineStr">
        <is>
          <t>DT-522</t>
        </is>
      </c>
      <c r="C1789" s="156" t="inlineStr">
        <is>
          <t>Hauler</t>
        </is>
      </c>
      <c r="D1789" s="156" t="inlineStr">
        <is>
          <t>Mining</t>
        </is>
      </c>
      <c r="E1789" s="156" t="inlineStr">
        <is>
          <t>SKT 105S</t>
        </is>
      </c>
      <c r="F1789" s="184" t="n">
        <v>404.4</v>
      </c>
    </row>
    <row r="1790">
      <c r="A1790" s="155" t="n">
        <v>46086</v>
      </c>
      <c r="B1790" s="156" t="inlineStr">
        <is>
          <t>DT-517</t>
        </is>
      </c>
      <c r="C1790" s="156" t="inlineStr">
        <is>
          <t>Hauler</t>
        </is>
      </c>
      <c r="D1790" s="156" t="inlineStr">
        <is>
          <t>Mining</t>
        </is>
      </c>
      <c r="E1790" s="156" t="inlineStr">
        <is>
          <t>SKT 105S</t>
        </is>
      </c>
      <c r="F1790" s="184" t="n">
        <v>461.4</v>
      </c>
    </row>
    <row r="1791">
      <c r="A1791" s="155" t="n">
        <v>46086</v>
      </c>
      <c r="B1791" s="156" t="inlineStr">
        <is>
          <t>DT-521</t>
        </is>
      </c>
      <c r="C1791" s="156" t="inlineStr">
        <is>
          <t>Hauler</t>
        </is>
      </c>
      <c r="D1791" s="156" t="inlineStr">
        <is>
          <t>Mining</t>
        </is>
      </c>
      <c r="E1791" s="156" t="inlineStr">
        <is>
          <t>SKT 105S</t>
        </is>
      </c>
      <c r="F1791" s="184" t="n">
        <v>430</v>
      </c>
    </row>
    <row r="1792">
      <c r="A1792" s="155" t="n">
        <v>46086</v>
      </c>
      <c r="B1792" s="156" t="inlineStr">
        <is>
          <t>DT-516</t>
        </is>
      </c>
      <c r="C1792" s="156" t="inlineStr">
        <is>
          <t>Hauler</t>
        </is>
      </c>
      <c r="D1792" s="156" t="inlineStr">
        <is>
          <t>Mining</t>
        </is>
      </c>
      <c r="E1792" s="156" t="inlineStr">
        <is>
          <t>SKT 105S</t>
        </is>
      </c>
      <c r="F1792" s="184" t="n">
        <v>444.5</v>
      </c>
    </row>
    <row r="1793">
      <c r="A1793" s="155" t="n">
        <v>46086</v>
      </c>
      <c r="B1793" s="156" t="inlineStr">
        <is>
          <t>DT-506</t>
        </is>
      </c>
      <c r="C1793" s="156" t="inlineStr">
        <is>
          <t>Hauler</t>
        </is>
      </c>
      <c r="D1793" s="156" t="inlineStr">
        <is>
          <t>Mining</t>
        </is>
      </c>
      <c r="E1793" s="156" t="inlineStr">
        <is>
          <t>SKT 105S</t>
        </is>
      </c>
      <c r="F1793" s="184" t="n">
        <v>330.1</v>
      </c>
    </row>
    <row r="1794">
      <c r="A1794" s="155" t="n">
        <v>46086</v>
      </c>
      <c r="B1794" s="156" t="inlineStr">
        <is>
          <t>DT-502</t>
        </is>
      </c>
      <c r="C1794" s="156" t="inlineStr">
        <is>
          <t>Hauler</t>
        </is>
      </c>
      <c r="D1794" s="156" t="inlineStr">
        <is>
          <t>Mining</t>
        </is>
      </c>
      <c r="E1794" s="156" t="inlineStr">
        <is>
          <t>SKT 105S</t>
        </is>
      </c>
      <c r="F1794" s="184" t="n">
        <v>596.3</v>
      </c>
    </row>
    <row r="1795">
      <c r="A1795" s="155" t="n">
        <v>46086</v>
      </c>
      <c r="B1795" s="156" t="inlineStr">
        <is>
          <t>DT-528</t>
        </is>
      </c>
      <c r="C1795" s="156" t="inlineStr">
        <is>
          <t>Hauler</t>
        </is>
      </c>
      <c r="D1795" s="156" t="inlineStr">
        <is>
          <t>Mining</t>
        </is>
      </c>
      <c r="E1795" s="156" t="inlineStr">
        <is>
          <t>SKT 105S</t>
        </is>
      </c>
      <c r="F1795" s="184" t="n">
        <v>608.4</v>
      </c>
    </row>
    <row r="1796">
      <c r="A1796" s="155" t="n">
        <v>46086</v>
      </c>
      <c r="B1796" s="156" t="inlineStr">
        <is>
          <t>DT-520</t>
        </is>
      </c>
      <c r="C1796" s="156" t="inlineStr">
        <is>
          <t>Hauler</t>
        </is>
      </c>
      <c r="D1796" s="156" t="inlineStr">
        <is>
          <t>Mining</t>
        </is>
      </c>
      <c r="E1796" s="156" t="inlineStr">
        <is>
          <t>SKT 105S</t>
        </is>
      </c>
      <c r="F1796" s="184" t="n">
        <v>311.4</v>
      </c>
    </row>
    <row r="1797">
      <c r="A1797" s="155" t="n">
        <v>46086</v>
      </c>
      <c r="B1797" s="156" t="inlineStr">
        <is>
          <t>DT-511</t>
        </is>
      </c>
      <c r="C1797" s="156" t="inlineStr">
        <is>
          <t>Hauler</t>
        </is>
      </c>
      <c r="D1797" s="156" t="inlineStr">
        <is>
          <t>Mining</t>
        </is>
      </c>
      <c r="E1797" s="156" t="inlineStr">
        <is>
          <t>SKT 105S</t>
        </is>
      </c>
      <c r="F1797" s="184" t="n">
        <v>589.2</v>
      </c>
    </row>
    <row r="1798">
      <c r="A1798" s="155" t="n">
        <v>46086</v>
      </c>
      <c r="B1798" s="156" t="inlineStr">
        <is>
          <t>DT-509</t>
        </is>
      </c>
      <c r="C1798" s="156" t="inlineStr">
        <is>
          <t>Hauler</t>
        </is>
      </c>
      <c r="D1798" s="156" t="inlineStr">
        <is>
          <t>Mining</t>
        </is>
      </c>
      <c r="E1798" s="156" t="inlineStr">
        <is>
          <t>SKT 105S</t>
        </is>
      </c>
      <c r="F1798" s="184" t="n">
        <v>557.4</v>
      </c>
    </row>
    <row r="1799">
      <c r="A1799" s="155" t="n">
        <v>46086</v>
      </c>
      <c r="B1799" s="156" t="inlineStr">
        <is>
          <t>DT-526</t>
        </is>
      </c>
      <c r="C1799" s="156" t="inlineStr">
        <is>
          <t>Hauler</t>
        </is>
      </c>
      <c r="D1799" s="156" t="inlineStr">
        <is>
          <t>Mining</t>
        </is>
      </c>
      <c r="E1799" s="156" t="inlineStr">
        <is>
          <t>SKT 105S</t>
        </is>
      </c>
      <c r="F1799" s="184" t="n">
        <v>503.1</v>
      </c>
    </row>
    <row r="1800">
      <c r="A1800" s="155" t="n">
        <v>46086</v>
      </c>
      <c r="B1800" s="156" t="inlineStr">
        <is>
          <t>DT-508</t>
        </is>
      </c>
      <c r="C1800" s="156" t="inlineStr">
        <is>
          <t>Hauler</t>
        </is>
      </c>
      <c r="D1800" s="156" t="inlineStr">
        <is>
          <t>Mining</t>
        </is>
      </c>
      <c r="E1800" s="156" t="inlineStr">
        <is>
          <t>SKT 105S</t>
        </is>
      </c>
      <c r="F1800" s="184" t="n">
        <v>250.3</v>
      </c>
    </row>
    <row r="1801">
      <c r="A1801" s="155" t="n">
        <v>46086</v>
      </c>
      <c r="B1801" s="156" t="inlineStr">
        <is>
          <t>DT-515</t>
        </is>
      </c>
      <c r="C1801" s="156" t="inlineStr">
        <is>
          <t>Hauler</t>
        </is>
      </c>
      <c r="D1801" s="156" t="inlineStr">
        <is>
          <t>Mining</t>
        </is>
      </c>
      <c r="E1801" s="156" t="inlineStr">
        <is>
          <t>SKT 105S</t>
        </is>
      </c>
      <c r="F1801" s="184" t="n">
        <v>394.3</v>
      </c>
    </row>
    <row r="1802">
      <c r="A1802" s="155" t="n">
        <v>46086</v>
      </c>
      <c r="B1802" s="156" t="inlineStr">
        <is>
          <t>HD-905</t>
        </is>
      </c>
      <c r="C1802" s="156" t="inlineStr">
        <is>
          <t>Hauler</t>
        </is>
      </c>
      <c r="D1802" s="156" t="inlineStr">
        <is>
          <t>Mining</t>
        </is>
      </c>
      <c r="E1802" s="156" t="inlineStr">
        <is>
          <t>SRT 95C</t>
        </is>
      </c>
      <c r="F1802" s="184" t="n">
        <v>498</v>
      </c>
    </row>
    <row r="1803">
      <c r="A1803" s="155" t="n">
        <v>46086</v>
      </c>
      <c r="B1803" s="156" t="inlineStr">
        <is>
          <t>HD-901</t>
        </is>
      </c>
      <c r="C1803" s="156" t="inlineStr">
        <is>
          <t>Hauler</t>
        </is>
      </c>
      <c r="D1803" s="156" t="inlineStr">
        <is>
          <t>Mining</t>
        </is>
      </c>
      <c r="E1803" s="156" t="inlineStr">
        <is>
          <t>SRT 95C</t>
        </is>
      </c>
      <c r="F1803" s="184" t="n">
        <v>977.5</v>
      </c>
    </row>
    <row r="1804">
      <c r="A1804" s="155" t="n">
        <v>46086</v>
      </c>
      <c r="B1804" s="156" t="inlineStr">
        <is>
          <t>HD-904</t>
        </is>
      </c>
      <c r="C1804" s="156" t="inlineStr">
        <is>
          <t>Hauler</t>
        </is>
      </c>
      <c r="D1804" s="156" t="inlineStr">
        <is>
          <t>Mining</t>
        </is>
      </c>
      <c r="E1804" s="156" t="inlineStr">
        <is>
          <t>SRT 95C</t>
        </is>
      </c>
      <c r="F1804" s="184" t="n">
        <v>757.8</v>
      </c>
    </row>
    <row r="1805">
      <c r="A1805" s="155" t="n">
        <v>46086</v>
      </c>
      <c r="B1805" s="156" t="inlineStr">
        <is>
          <t>HD-902</t>
        </is>
      </c>
      <c r="C1805" s="156" t="inlineStr">
        <is>
          <t>Hauler</t>
        </is>
      </c>
      <c r="D1805" s="156" t="inlineStr">
        <is>
          <t>Mining</t>
        </is>
      </c>
      <c r="E1805" s="156" t="inlineStr">
        <is>
          <t>SRT 95C</t>
        </is>
      </c>
      <c r="F1805" s="184" t="n">
        <v>107.4</v>
      </c>
    </row>
    <row r="1806">
      <c r="A1806" s="155" t="n">
        <v>46086</v>
      </c>
      <c r="B1806" s="156" t="inlineStr">
        <is>
          <t>DZ-034</t>
        </is>
      </c>
      <c r="C1806" s="156" t="inlineStr">
        <is>
          <t>Bulldozer</t>
        </is>
      </c>
      <c r="D1806" s="156" t="inlineStr">
        <is>
          <t>Mining</t>
        </is>
      </c>
      <c r="E1806" s="156" t="inlineStr">
        <is>
          <t>D 68ESS-12EO</t>
        </is>
      </c>
      <c r="F1806" s="184" t="n">
        <v>282.6</v>
      </c>
    </row>
    <row r="1807">
      <c r="A1807" s="155" t="n">
        <v>46086</v>
      </c>
      <c r="B1807" s="156" t="inlineStr">
        <is>
          <t>DZ-033</t>
        </is>
      </c>
      <c r="C1807" s="156" t="inlineStr">
        <is>
          <t>Bulldozer</t>
        </is>
      </c>
      <c r="D1807" s="156" t="inlineStr">
        <is>
          <t>Mining</t>
        </is>
      </c>
      <c r="E1807" s="156" t="inlineStr">
        <is>
          <t>D 375A-6R</t>
        </is>
      </c>
      <c r="F1807" s="184" t="n">
        <v>617.7</v>
      </c>
    </row>
    <row r="1808">
      <c r="A1808" s="155" t="n">
        <v>46086</v>
      </c>
      <c r="B1808" s="156" t="inlineStr">
        <is>
          <t>DZ-039</t>
        </is>
      </c>
      <c r="C1808" s="156" t="inlineStr">
        <is>
          <t>Bulldozer</t>
        </is>
      </c>
      <c r="D1808" s="156" t="inlineStr">
        <is>
          <t>Mining</t>
        </is>
      </c>
      <c r="E1808" s="156" t="inlineStr">
        <is>
          <t>D 85 ESS-2</t>
        </is>
      </c>
      <c r="F1808" s="184" t="n">
        <v>336.6</v>
      </c>
    </row>
    <row r="1809">
      <c r="A1809" s="155" t="n">
        <v>46086</v>
      </c>
      <c r="B1809" s="156" t="inlineStr">
        <is>
          <t>DZ-037</t>
        </is>
      </c>
      <c r="C1809" s="156" t="inlineStr">
        <is>
          <t>Bulldozer</t>
        </is>
      </c>
      <c r="D1809" s="156" t="inlineStr">
        <is>
          <t>Mining</t>
        </is>
      </c>
      <c r="E1809" s="156" t="inlineStr">
        <is>
          <t>D 85 ESS-2</t>
        </is>
      </c>
      <c r="F1809" s="184" t="n">
        <v>470.8</v>
      </c>
    </row>
    <row r="1810">
      <c r="A1810" s="155" t="n">
        <v>46086</v>
      </c>
      <c r="B1810" s="156" t="inlineStr">
        <is>
          <t>DZ-032</t>
        </is>
      </c>
      <c r="C1810" s="156" t="inlineStr">
        <is>
          <t>Bulldozer</t>
        </is>
      </c>
      <c r="D1810" s="156" t="inlineStr">
        <is>
          <t>Mining</t>
        </is>
      </c>
      <c r="E1810" s="156" t="inlineStr">
        <is>
          <t>CAT</t>
        </is>
      </c>
      <c r="F1810" s="184" t="n">
        <v>622.9</v>
      </c>
    </row>
    <row r="1811">
      <c r="A1811" s="155" t="n">
        <v>46086</v>
      </c>
      <c r="B1811" s="156" t="inlineStr">
        <is>
          <t>GD-013</t>
        </is>
      </c>
      <c r="C1811" s="156" t="inlineStr">
        <is>
          <t>Grader</t>
        </is>
      </c>
      <c r="D1811" s="156" t="inlineStr">
        <is>
          <t>Mining</t>
        </is>
      </c>
      <c r="E1811" s="156" t="inlineStr">
        <is>
          <t>STG 265C - 10</t>
        </is>
      </c>
      <c r="F1811" s="184" t="n">
        <v>291.6</v>
      </c>
    </row>
    <row r="1812">
      <c r="A1812" s="155" t="n">
        <v>46086</v>
      </c>
      <c r="B1812" s="156" t="inlineStr">
        <is>
          <t>GD-014</t>
        </is>
      </c>
      <c r="C1812" s="156" t="inlineStr">
        <is>
          <t>Grader</t>
        </is>
      </c>
      <c r="D1812" s="156" t="inlineStr">
        <is>
          <t>Mining</t>
        </is>
      </c>
      <c r="E1812" s="156" t="inlineStr">
        <is>
          <t>STG 335C - 10</t>
        </is>
      </c>
      <c r="F1812" s="184" t="n">
        <v>213.1</v>
      </c>
    </row>
    <row r="1813">
      <c r="A1813" s="155" t="n">
        <v>46086</v>
      </c>
      <c r="B1813" s="156" t="inlineStr">
        <is>
          <t>CP-041</t>
        </is>
      </c>
      <c r="C1813" s="156" t="inlineStr">
        <is>
          <t>Compactor</t>
        </is>
      </c>
      <c r="D1813" s="156" t="inlineStr">
        <is>
          <t>Mining</t>
        </is>
      </c>
      <c r="E1813" s="156" t="inlineStr">
        <is>
          <t>SANY - Compactor</t>
        </is>
      </c>
      <c r="F1813" s="184" t="n">
        <v>152.3</v>
      </c>
    </row>
    <row r="1814">
      <c r="A1814" s="155" t="n">
        <v>46086</v>
      </c>
      <c r="B1814" s="156" t="inlineStr">
        <is>
          <t>LV-01</t>
        </is>
      </c>
      <c r="C1814" s="156" t="inlineStr">
        <is>
          <t>LV &amp; sarana</t>
        </is>
      </c>
      <c r="D1814" s="156" t="inlineStr">
        <is>
          <t>Aux</t>
        </is>
      </c>
      <c r="E1814" s="156" t="inlineStr">
        <is>
          <t>Light vehicle</t>
        </is>
      </c>
      <c r="F1814" s="184" t="n">
        <v>23.5</v>
      </c>
    </row>
    <row r="1815">
      <c r="A1815" s="155" t="n">
        <v>46086</v>
      </c>
      <c r="B1815" s="156" t="inlineStr">
        <is>
          <t>LV-02</t>
        </is>
      </c>
      <c r="C1815" s="156" t="inlineStr">
        <is>
          <t>LV &amp; sarana</t>
        </is>
      </c>
      <c r="D1815" s="156" t="inlineStr">
        <is>
          <t>Aux</t>
        </is>
      </c>
      <c r="E1815" s="156" t="inlineStr">
        <is>
          <t>Light vehicle</t>
        </is>
      </c>
      <c r="F1815" s="184" t="n">
        <v>44.9</v>
      </c>
    </row>
    <row r="1816">
      <c r="A1816" s="155" t="n">
        <v>46086</v>
      </c>
      <c r="B1816" s="156" t="inlineStr">
        <is>
          <t>LV-03</t>
        </is>
      </c>
      <c r="C1816" s="156" t="inlineStr">
        <is>
          <t>LV &amp; sarana</t>
        </is>
      </c>
      <c r="D1816" s="156" t="inlineStr">
        <is>
          <t>Aux</t>
        </is>
      </c>
      <c r="E1816" s="156" t="inlineStr">
        <is>
          <t>Light vehicle</t>
        </is>
      </c>
      <c r="F1816" s="184" t="n">
        <v>38.6</v>
      </c>
    </row>
    <row r="1817">
      <c r="A1817" s="155" t="n">
        <v>46086</v>
      </c>
      <c r="B1817" s="156" t="inlineStr">
        <is>
          <t>LV-07</t>
        </is>
      </c>
      <c r="C1817" s="156" t="inlineStr">
        <is>
          <t>LV &amp; sarana</t>
        </is>
      </c>
      <c r="D1817" s="156" t="inlineStr">
        <is>
          <t>Aux</t>
        </is>
      </c>
      <c r="E1817" s="156" t="inlineStr">
        <is>
          <t>Light vehicle</t>
        </is>
      </c>
      <c r="F1817" s="184" t="n">
        <v>52.4</v>
      </c>
    </row>
    <row r="1818">
      <c r="A1818" s="155" t="n">
        <v>46086</v>
      </c>
      <c r="B1818" s="156" t="inlineStr">
        <is>
          <t>LV-10</t>
        </is>
      </c>
      <c r="C1818" s="156" t="inlineStr">
        <is>
          <t>LV &amp; sarana</t>
        </is>
      </c>
      <c r="D1818" s="156" t="inlineStr">
        <is>
          <t>Aux</t>
        </is>
      </c>
      <c r="E1818" s="156" t="inlineStr">
        <is>
          <t>Light vehicle</t>
        </is>
      </c>
      <c r="F1818" s="184" t="n">
        <v>48</v>
      </c>
    </row>
    <row r="1819">
      <c r="A1819" s="155" t="n">
        <v>46086</v>
      </c>
      <c r="B1819" s="156" t="inlineStr">
        <is>
          <t>TS-03</t>
        </is>
      </c>
      <c r="C1819" s="156" t="inlineStr">
        <is>
          <t>Truk support</t>
        </is>
      </c>
      <c r="D1819" s="156" t="inlineStr">
        <is>
          <t>Mining</t>
        </is>
      </c>
      <c r="E1819" s="156" t="inlineStr">
        <is>
          <t>Truk support</t>
        </is>
      </c>
      <c r="F1819" s="184" t="n">
        <v>111.4</v>
      </c>
    </row>
    <row r="1820">
      <c r="A1820" s="155" t="n">
        <v>46086</v>
      </c>
      <c r="B1820" s="156" t="inlineStr">
        <is>
          <t>TS-06</t>
        </is>
      </c>
      <c r="C1820" s="156" t="inlineStr">
        <is>
          <t>Truk support</t>
        </is>
      </c>
      <c r="D1820" s="156" t="inlineStr">
        <is>
          <t>Mining</t>
        </is>
      </c>
      <c r="E1820" s="156" t="inlineStr">
        <is>
          <t>Truk support</t>
        </is>
      </c>
      <c r="F1820" s="184" t="n">
        <v>156.5</v>
      </c>
    </row>
    <row r="1821">
      <c r="A1821" s="155" t="n">
        <v>46086</v>
      </c>
      <c r="B1821" s="156" t="inlineStr">
        <is>
          <t>AL-09</t>
        </is>
      </c>
      <c r="C1821" s="156" t="inlineStr">
        <is>
          <t>Alat lain</t>
        </is>
      </c>
      <c r="D1821" s="156" t="inlineStr">
        <is>
          <t>Mining</t>
        </is>
      </c>
      <c r="E1821" s="156" t="inlineStr">
        <is>
          <t>Alat lain</t>
        </is>
      </c>
      <c r="F1821" s="184" t="n">
        <v>30.8</v>
      </c>
    </row>
    <row r="1822">
      <c r="A1822" s="155" t="n">
        <v>46086</v>
      </c>
      <c r="B1822" s="156" t="inlineStr">
        <is>
          <t>AL-10</t>
        </is>
      </c>
      <c r="C1822" s="156" t="inlineStr">
        <is>
          <t>Alat lain</t>
        </is>
      </c>
      <c r="D1822" s="156" t="inlineStr">
        <is>
          <t>Mining</t>
        </is>
      </c>
      <c r="E1822" s="156" t="inlineStr">
        <is>
          <t>Alat lain</t>
        </is>
      </c>
      <c r="F1822" s="184" t="n">
        <v>50.8</v>
      </c>
    </row>
    <row r="1823">
      <c r="A1823" s="155" t="n">
        <v>46086</v>
      </c>
      <c r="B1823" s="156" t="inlineStr">
        <is>
          <t>GS-02</t>
        </is>
      </c>
      <c r="C1823" s="156" t="inlineStr">
        <is>
          <t>Genset</t>
        </is>
      </c>
      <c r="D1823" s="156" t="inlineStr">
        <is>
          <t>Aux</t>
        </is>
      </c>
      <c r="E1823" s="156" t="inlineStr">
        <is>
          <t>Genset</t>
        </is>
      </c>
      <c r="F1823" s="184" t="n">
        <v>194.1</v>
      </c>
    </row>
    <row r="1824">
      <c r="A1824" s="155" t="n">
        <v>46086</v>
      </c>
      <c r="B1824" s="156" t="inlineStr">
        <is>
          <t>GS-03</t>
        </is>
      </c>
      <c r="C1824" s="156" t="inlineStr">
        <is>
          <t>Genset</t>
        </is>
      </c>
      <c r="D1824" s="156" t="inlineStr">
        <is>
          <t>Aux</t>
        </is>
      </c>
      <c r="E1824" s="156" t="inlineStr">
        <is>
          <t>Genset</t>
        </is>
      </c>
      <c r="F1824" s="184" t="n">
        <v>77.7</v>
      </c>
    </row>
    <row r="1825">
      <c r="A1825" s="155" t="n">
        <v>46086</v>
      </c>
      <c r="B1825" s="156" t="inlineStr">
        <is>
          <t>GS-04</t>
        </is>
      </c>
      <c r="C1825" s="156" t="inlineStr">
        <is>
          <t>Genset</t>
        </is>
      </c>
      <c r="D1825" s="156" t="inlineStr">
        <is>
          <t>Aux</t>
        </is>
      </c>
      <c r="E1825" s="156" t="inlineStr">
        <is>
          <t>Genset</t>
        </is>
      </c>
      <c r="F1825" s="184" t="n">
        <v>1092.4</v>
      </c>
    </row>
    <row r="1826">
      <c r="A1826" s="155" t="n">
        <v>46086</v>
      </c>
      <c r="B1826" s="156" t="inlineStr">
        <is>
          <t>GS-07</t>
        </is>
      </c>
      <c r="C1826" s="156" t="inlineStr">
        <is>
          <t>Genset</t>
        </is>
      </c>
      <c r="D1826" s="156" t="inlineStr">
        <is>
          <t>Aux</t>
        </is>
      </c>
      <c r="E1826" s="156" t="inlineStr">
        <is>
          <t>Genset</t>
        </is>
      </c>
      <c r="F1826" s="184" t="n">
        <v>21.1</v>
      </c>
    </row>
    <row r="1827">
      <c r="A1827" s="155" t="n">
        <v>46086</v>
      </c>
      <c r="B1827" s="156" t="inlineStr">
        <is>
          <t>GS-08</t>
        </is>
      </c>
      <c r="C1827" s="156" t="inlineStr">
        <is>
          <t>Genset</t>
        </is>
      </c>
      <c r="D1827" s="156" t="inlineStr">
        <is>
          <t>Aux</t>
        </is>
      </c>
      <c r="E1827" s="156" t="inlineStr">
        <is>
          <t>Genset</t>
        </is>
      </c>
      <c r="F1827" s="184" t="n">
        <v>56.8</v>
      </c>
    </row>
    <row r="1828">
      <c r="A1828" s="155" t="n">
        <v>46086</v>
      </c>
      <c r="B1828" s="156" t="inlineStr">
        <is>
          <t>WP-04</t>
        </is>
      </c>
      <c r="C1828" s="156" t="inlineStr">
        <is>
          <t>Pompa air</t>
        </is>
      </c>
      <c r="D1828" s="156" t="inlineStr">
        <is>
          <t>Mining</t>
        </is>
      </c>
      <c r="E1828" s="156" t="inlineStr">
        <is>
          <t>Pompa air</t>
        </is>
      </c>
      <c r="F1828" s="184" t="n">
        <v>710.7</v>
      </c>
    </row>
    <row r="1829">
      <c r="A1829" s="155" t="n">
        <v>46086</v>
      </c>
      <c r="B1829" s="156" t="inlineStr">
        <is>
          <t>DT-341</t>
        </is>
      </c>
      <c r="C1829" s="156" t="inlineStr">
        <is>
          <t>Hauler</t>
        </is>
      </c>
      <c r="D1829" s="156" t="inlineStr">
        <is>
          <t>Aux</t>
        </is>
      </c>
      <c r="E1829" s="156" t="inlineStr">
        <is>
          <t>SYZ324C-8W</t>
        </is>
      </c>
      <c r="F1829" s="184" t="n">
        <v>106</v>
      </c>
    </row>
    <row r="1830">
      <c r="A1830" s="155" t="n">
        <v>46086</v>
      </c>
      <c r="B1830" s="156" t="inlineStr">
        <is>
          <t>WL-022</t>
        </is>
      </c>
      <c r="C1830" s="156" t="inlineStr">
        <is>
          <t>Loader</t>
        </is>
      </c>
      <c r="D1830" s="156" t="inlineStr">
        <is>
          <t>Aux</t>
        </is>
      </c>
      <c r="E1830" s="156" t="inlineStr">
        <is>
          <t>SANY - Loader</t>
        </is>
      </c>
      <c r="F1830" s="184" t="n">
        <v>216.3</v>
      </c>
    </row>
    <row r="1831">
      <c r="A1831" s="155" t="n">
        <v>46086</v>
      </c>
      <c r="B1831" s="156" t="inlineStr">
        <is>
          <t>WL-024</t>
        </is>
      </c>
      <c r="C1831" s="156" t="inlineStr">
        <is>
          <t>Loader</t>
        </is>
      </c>
      <c r="D1831" s="156" t="inlineStr">
        <is>
          <t>Aux</t>
        </is>
      </c>
      <c r="E1831" s="156" t="inlineStr">
        <is>
          <t>SANY - Loader</t>
        </is>
      </c>
      <c r="F1831" s="184" t="n">
        <v>270.2</v>
      </c>
    </row>
    <row r="1832">
      <c r="A1832" s="155" t="n">
        <v>46092</v>
      </c>
      <c r="B1832" s="156" t="inlineStr">
        <is>
          <t>EX-754</t>
        </is>
      </c>
      <c r="C1832" s="156" t="inlineStr">
        <is>
          <t>Excavator</t>
        </is>
      </c>
      <c r="D1832" s="156" t="inlineStr">
        <is>
          <t>Mining</t>
        </is>
      </c>
      <c r="E1832" s="156" t="inlineStr">
        <is>
          <t>SY750H-PRO</t>
        </is>
      </c>
      <c r="F1832" s="184" t="n">
        <v>633.3</v>
      </c>
    </row>
    <row r="1833">
      <c r="A1833" s="155" t="n">
        <v>46092</v>
      </c>
      <c r="B1833" s="156" t="inlineStr">
        <is>
          <t>EX-755</t>
        </is>
      </c>
      <c r="C1833" s="156" t="inlineStr">
        <is>
          <t>Excavator</t>
        </is>
      </c>
      <c r="D1833" s="156" t="inlineStr">
        <is>
          <t>Mining</t>
        </is>
      </c>
      <c r="E1833" s="156" t="inlineStr">
        <is>
          <t>SY750H-PRO</t>
        </is>
      </c>
      <c r="F1833" s="184" t="n">
        <v>443.8</v>
      </c>
    </row>
    <row r="1834">
      <c r="A1834" s="155" t="n">
        <v>46092</v>
      </c>
      <c r="B1834" s="156" t="inlineStr">
        <is>
          <t>EX-753</t>
        </is>
      </c>
      <c r="C1834" s="156" t="inlineStr">
        <is>
          <t>Excavator</t>
        </is>
      </c>
      <c r="D1834" s="156" t="inlineStr">
        <is>
          <t>Mining</t>
        </is>
      </c>
      <c r="E1834" s="156" t="inlineStr">
        <is>
          <t>SY750H-PRO</t>
        </is>
      </c>
      <c r="F1834" s="184" t="n">
        <v>306.4</v>
      </c>
    </row>
    <row r="1835">
      <c r="A1835" s="155" t="n">
        <v>46092</v>
      </c>
      <c r="B1835" s="156" t="inlineStr">
        <is>
          <t>EX-334</t>
        </is>
      </c>
      <c r="C1835" s="156" t="inlineStr">
        <is>
          <t>Excavator</t>
        </is>
      </c>
      <c r="D1835" s="156" t="inlineStr">
        <is>
          <t>Mining</t>
        </is>
      </c>
      <c r="E1835" s="156" t="inlineStr">
        <is>
          <t>PC 300-8MO</t>
        </is>
      </c>
      <c r="F1835" s="184" t="n">
        <v>564.9</v>
      </c>
    </row>
    <row r="1836">
      <c r="A1836" s="155" t="n">
        <v>46092</v>
      </c>
      <c r="B1836" s="156" t="inlineStr">
        <is>
          <t>EX-332</t>
        </is>
      </c>
      <c r="C1836" s="156" t="inlineStr">
        <is>
          <t>Excavator</t>
        </is>
      </c>
      <c r="D1836" s="156" t="inlineStr">
        <is>
          <t>Mining</t>
        </is>
      </c>
      <c r="E1836" s="156" t="inlineStr">
        <is>
          <t>PC 300-8MO</t>
        </is>
      </c>
      <c r="F1836" s="184" t="n">
        <v>248.2</v>
      </c>
    </row>
    <row r="1837">
      <c r="A1837" s="155" t="n">
        <v>46092</v>
      </c>
      <c r="B1837" s="156" t="inlineStr">
        <is>
          <t>EX-222</t>
        </is>
      </c>
      <c r="C1837" s="156" t="inlineStr">
        <is>
          <t>Excavator</t>
        </is>
      </c>
      <c r="D1837" s="156" t="inlineStr">
        <is>
          <t>Mining</t>
        </is>
      </c>
      <c r="E1837" s="156" t="inlineStr">
        <is>
          <t>PC 200-8MI</t>
        </is>
      </c>
      <c r="F1837" s="184" t="n">
        <v>266</v>
      </c>
    </row>
    <row r="1838">
      <c r="A1838" s="155" t="n">
        <v>46092</v>
      </c>
      <c r="B1838" s="156" t="inlineStr">
        <is>
          <t>EX-223</t>
        </is>
      </c>
      <c r="C1838" s="156" t="inlineStr">
        <is>
          <t>Excavator</t>
        </is>
      </c>
      <c r="D1838" s="156" t="inlineStr">
        <is>
          <t>Aux</t>
        </is>
      </c>
      <c r="E1838" s="156" t="inlineStr">
        <is>
          <t>PC 200-8MI</t>
        </is>
      </c>
      <c r="F1838" s="184" t="n">
        <v>281.5</v>
      </c>
    </row>
    <row r="1839">
      <c r="A1839" s="155" t="n">
        <v>46092</v>
      </c>
      <c r="B1839" s="156" t="inlineStr">
        <is>
          <t>EX-335</t>
        </is>
      </c>
      <c r="C1839" s="156" t="inlineStr">
        <is>
          <t>Excavator</t>
        </is>
      </c>
      <c r="D1839" s="156" t="inlineStr">
        <is>
          <t>Mining</t>
        </is>
      </c>
      <c r="E1839" s="156" t="inlineStr">
        <is>
          <t>PC 300-8MO</t>
        </is>
      </c>
      <c r="F1839" s="184" t="n">
        <v>560.7</v>
      </c>
    </row>
    <row r="1840">
      <c r="A1840" s="155" t="n">
        <v>46092</v>
      </c>
      <c r="B1840" s="156" t="inlineStr">
        <is>
          <t>EX-1251</t>
        </is>
      </c>
      <c r="C1840" s="156" t="inlineStr">
        <is>
          <t>Excavator</t>
        </is>
      </c>
      <c r="D1840" s="156" t="inlineStr">
        <is>
          <t>Mining</t>
        </is>
      </c>
      <c r="E1840" s="156" t="inlineStr">
        <is>
          <t>SY1250</t>
        </is>
      </c>
      <c r="F1840" s="184" t="n">
        <v>1001.1</v>
      </c>
    </row>
    <row r="1841">
      <c r="A1841" s="155" t="n">
        <v>46092</v>
      </c>
      <c r="B1841" s="156" t="inlineStr">
        <is>
          <t>EX-1252</t>
        </is>
      </c>
      <c r="C1841" s="156" t="inlineStr">
        <is>
          <t>Excavator</t>
        </is>
      </c>
      <c r="D1841" s="156" t="inlineStr">
        <is>
          <t>Mining</t>
        </is>
      </c>
      <c r="E1841" s="156" t="inlineStr">
        <is>
          <t>SY1250</t>
        </is>
      </c>
      <c r="F1841" s="184" t="n">
        <v>1268.7</v>
      </c>
    </row>
    <row r="1842">
      <c r="A1842" s="155" t="n">
        <v>46092</v>
      </c>
      <c r="B1842" s="156" t="inlineStr">
        <is>
          <t>DT-505</t>
        </is>
      </c>
      <c r="C1842" s="156" t="inlineStr">
        <is>
          <t>Hauler</t>
        </is>
      </c>
      <c r="D1842" s="156" t="inlineStr">
        <is>
          <t>Mining</t>
        </is>
      </c>
      <c r="E1842" s="156" t="inlineStr">
        <is>
          <t>SKT 105S</t>
        </is>
      </c>
      <c r="F1842" s="184" t="n">
        <v>193.3</v>
      </c>
    </row>
    <row r="1843">
      <c r="A1843" s="155" t="n">
        <v>46092</v>
      </c>
      <c r="B1843" s="156" t="inlineStr">
        <is>
          <t>DT-504</t>
        </is>
      </c>
      <c r="C1843" s="156" t="inlineStr">
        <is>
          <t>Hauler</t>
        </is>
      </c>
      <c r="D1843" s="156" t="inlineStr">
        <is>
          <t>Mining</t>
        </is>
      </c>
      <c r="E1843" s="156" t="inlineStr">
        <is>
          <t>SKT 105S</t>
        </is>
      </c>
      <c r="F1843" s="184" t="n">
        <v>258.7</v>
      </c>
    </row>
    <row r="1844">
      <c r="A1844" s="155" t="n">
        <v>46092</v>
      </c>
      <c r="B1844" s="156" t="inlineStr">
        <is>
          <t>DT-507</t>
        </is>
      </c>
      <c r="C1844" s="156" t="inlineStr">
        <is>
          <t>Hauler</t>
        </is>
      </c>
      <c r="D1844" s="156" t="inlineStr">
        <is>
          <t>Mining</t>
        </is>
      </c>
      <c r="E1844" s="156" t="inlineStr">
        <is>
          <t>SKT 105S</t>
        </is>
      </c>
      <c r="F1844" s="184" t="n">
        <v>289</v>
      </c>
    </row>
    <row r="1845">
      <c r="A1845" s="155" t="n">
        <v>46092</v>
      </c>
      <c r="B1845" s="156" t="inlineStr">
        <is>
          <t>DT-518</t>
        </is>
      </c>
      <c r="C1845" s="156" t="inlineStr">
        <is>
          <t>Hauler</t>
        </is>
      </c>
      <c r="D1845" s="156" t="inlineStr">
        <is>
          <t>Mining</t>
        </is>
      </c>
      <c r="E1845" s="156" t="inlineStr">
        <is>
          <t>SKT 105S</t>
        </is>
      </c>
      <c r="F1845" s="184" t="n">
        <v>232.2</v>
      </c>
    </row>
    <row r="1846">
      <c r="A1846" s="155" t="n">
        <v>46092</v>
      </c>
      <c r="B1846" s="156" t="inlineStr">
        <is>
          <t>DT-514</t>
        </is>
      </c>
      <c r="C1846" s="156" t="inlineStr">
        <is>
          <t>Hauler</t>
        </is>
      </c>
      <c r="D1846" s="156" t="inlineStr">
        <is>
          <t>Mining</t>
        </is>
      </c>
      <c r="E1846" s="156" t="inlineStr">
        <is>
          <t>SKT 105S</t>
        </is>
      </c>
      <c r="F1846" s="184" t="n">
        <v>442.4</v>
      </c>
    </row>
    <row r="1847">
      <c r="A1847" s="155" t="n">
        <v>46092</v>
      </c>
      <c r="B1847" s="156" t="inlineStr">
        <is>
          <t>DT-523</t>
        </is>
      </c>
      <c r="C1847" s="156" t="inlineStr">
        <is>
          <t>Hauler</t>
        </is>
      </c>
      <c r="D1847" s="156" t="inlineStr">
        <is>
          <t>Mining</t>
        </is>
      </c>
      <c r="E1847" s="156" t="inlineStr">
        <is>
          <t>SKT 105S</t>
        </is>
      </c>
      <c r="F1847" s="184" t="n">
        <v>306.6</v>
      </c>
    </row>
    <row r="1848">
      <c r="A1848" s="155" t="n">
        <v>46092</v>
      </c>
      <c r="B1848" s="156" t="inlineStr">
        <is>
          <t>DT-527</t>
        </is>
      </c>
      <c r="C1848" s="156" t="inlineStr">
        <is>
          <t>Hauler</t>
        </is>
      </c>
      <c r="D1848" s="156" t="inlineStr">
        <is>
          <t>Mining</t>
        </is>
      </c>
      <c r="E1848" s="156" t="inlineStr">
        <is>
          <t>SKT 105S</t>
        </is>
      </c>
      <c r="F1848" s="184" t="n">
        <v>422.6</v>
      </c>
    </row>
    <row r="1849">
      <c r="A1849" s="155" t="n">
        <v>46092</v>
      </c>
      <c r="B1849" s="156" t="inlineStr">
        <is>
          <t>DT-512</t>
        </is>
      </c>
      <c r="C1849" s="156" t="inlineStr">
        <is>
          <t>Hauler</t>
        </is>
      </c>
      <c r="D1849" s="156" t="inlineStr">
        <is>
          <t>Mining</t>
        </is>
      </c>
      <c r="E1849" s="156" t="inlineStr">
        <is>
          <t>SKT 105S</t>
        </is>
      </c>
      <c r="F1849" s="184" t="n">
        <v>207.4</v>
      </c>
    </row>
    <row r="1850">
      <c r="A1850" s="155" t="n">
        <v>46092</v>
      </c>
      <c r="B1850" s="156" t="inlineStr">
        <is>
          <t>DT-522</t>
        </is>
      </c>
      <c r="C1850" s="156" t="inlineStr">
        <is>
          <t>Hauler</t>
        </is>
      </c>
      <c r="D1850" s="156" t="inlineStr">
        <is>
          <t>Mining</t>
        </is>
      </c>
      <c r="E1850" s="156" t="inlineStr">
        <is>
          <t>SKT 105S</t>
        </is>
      </c>
      <c r="F1850" s="184" t="n">
        <v>329.6</v>
      </c>
    </row>
    <row r="1851">
      <c r="A1851" s="155" t="n">
        <v>46092</v>
      </c>
      <c r="B1851" s="156" t="inlineStr">
        <is>
          <t>DT-517</t>
        </is>
      </c>
      <c r="C1851" s="156" t="inlineStr">
        <is>
          <t>Hauler</t>
        </is>
      </c>
      <c r="D1851" s="156" t="inlineStr">
        <is>
          <t>Mining</t>
        </is>
      </c>
      <c r="E1851" s="156" t="inlineStr">
        <is>
          <t>SKT 105S</t>
        </is>
      </c>
      <c r="F1851" s="184" t="n">
        <v>305</v>
      </c>
    </row>
    <row r="1852">
      <c r="A1852" s="155" t="n">
        <v>46092</v>
      </c>
      <c r="B1852" s="156" t="inlineStr">
        <is>
          <t>DT-521</t>
        </is>
      </c>
      <c r="C1852" s="156" t="inlineStr">
        <is>
          <t>Hauler</t>
        </is>
      </c>
      <c r="D1852" s="156" t="inlineStr">
        <is>
          <t>Mining</t>
        </is>
      </c>
      <c r="E1852" s="156" t="inlineStr">
        <is>
          <t>SKT 105S</t>
        </is>
      </c>
      <c r="F1852" s="184" t="n">
        <v>351.2</v>
      </c>
    </row>
    <row r="1853">
      <c r="A1853" s="155" t="n">
        <v>46092</v>
      </c>
      <c r="B1853" s="156" t="inlineStr">
        <is>
          <t>DT-516</t>
        </is>
      </c>
      <c r="C1853" s="156" t="inlineStr">
        <is>
          <t>Hauler</t>
        </is>
      </c>
      <c r="D1853" s="156" t="inlineStr">
        <is>
          <t>Mining</t>
        </is>
      </c>
      <c r="E1853" s="156" t="inlineStr">
        <is>
          <t>SKT 105S</t>
        </is>
      </c>
      <c r="F1853" s="184" t="n">
        <v>333.8</v>
      </c>
    </row>
    <row r="1854">
      <c r="A1854" s="155" t="n">
        <v>46092</v>
      </c>
      <c r="B1854" s="156" t="inlineStr">
        <is>
          <t>DT-506</t>
        </is>
      </c>
      <c r="C1854" s="156" t="inlineStr">
        <is>
          <t>Hauler</t>
        </is>
      </c>
      <c r="D1854" s="156" t="inlineStr">
        <is>
          <t>Mining</t>
        </is>
      </c>
      <c r="E1854" s="156" t="inlineStr">
        <is>
          <t>SKT 105S</t>
        </is>
      </c>
      <c r="F1854" s="184" t="n">
        <v>345.3</v>
      </c>
    </row>
    <row r="1855">
      <c r="A1855" s="155" t="n">
        <v>46092</v>
      </c>
      <c r="B1855" s="156" t="inlineStr">
        <is>
          <t>DT-502</t>
        </is>
      </c>
      <c r="C1855" s="156" t="inlineStr">
        <is>
          <t>Hauler</t>
        </is>
      </c>
      <c r="D1855" s="156" t="inlineStr">
        <is>
          <t>Mining</t>
        </is>
      </c>
      <c r="E1855" s="156" t="inlineStr">
        <is>
          <t>SKT 105S</t>
        </is>
      </c>
      <c r="F1855" s="184" t="n">
        <v>351.4</v>
      </c>
    </row>
    <row r="1856">
      <c r="A1856" s="155" t="n">
        <v>46092</v>
      </c>
      <c r="B1856" s="156" t="inlineStr">
        <is>
          <t>DT-528</t>
        </is>
      </c>
      <c r="C1856" s="156" t="inlineStr">
        <is>
          <t>Hauler</t>
        </is>
      </c>
      <c r="D1856" s="156" t="inlineStr">
        <is>
          <t>Mining</t>
        </is>
      </c>
      <c r="E1856" s="156" t="inlineStr">
        <is>
          <t>SKT 105S</t>
        </is>
      </c>
      <c r="F1856" s="184" t="n">
        <v>356.5</v>
      </c>
    </row>
    <row r="1857">
      <c r="A1857" s="155" t="n">
        <v>46092</v>
      </c>
      <c r="B1857" s="156" t="inlineStr">
        <is>
          <t>DT-520</t>
        </is>
      </c>
      <c r="C1857" s="156" t="inlineStr">
        <is>
          <t>Hauler</t>
        </is>
      </c>
      <c r="D1857" s="156" t="inlineStr">
        <is>
          <t>Mining</t>
        </is>
      </c>
      <c r="E1857" s="156" t="inlineStr">
        <is>
          <t>SKT 105S</t>
        </is>
      </c>
      <c r="F1857" s="184" t="n">
        <v>354.8</v>
      </c>
    </row>
    <row r="1858">
      <c r="A1858" s="155" t="n">
        <v>46092</v>
      </c>
      <c r="B1858" s="156" t="inlineStr">
        <is>
          <t>DT-511</t>
        </is>
      </c>
      <c r="C1858" s="156" t="inlineStr">
        <is>
          <t>Hauler</t>
        </is>
      </c>
      <c r="D1858" s="156" t="inlineStr">
        <is>
          <t>Mining</t>
        </is>
      </c>
      <c r="E1858" s="156" t="inlineStr">
        <is>
          <t>SKT 105S</t>
        </is>
      </c>
      <c r="F1858" s="184" t="n">
        <v>263.4</v>
      </c>
    </row>
    <row r="1859">
      <c r="A1859" s="155" t="n">
        <v>46092</v>
      </c>
      <c r="B1859" s="156" t="inlineStr">
        <is>
          <t>DT-509</t>
        </is>
      </c>
      <c r="C1859" s="156" t="inlineStr">
        <is>
          <t>Hauler</t>
        </is>
      </c>
      <c r="D1859" s="156" t="inlineStr">
        <is>
          <t>Mining</t>
        </is>
      </c>
      <c r="E1859" s="156" t="inlineStr">
        <is>
          <t>SKT 105S</t>
        </is>
      </c>
      <c r="F1859" s="184" t="n">
        <v>248.1</v>
      </c>
    </row>
    <row r="1860">
      <c r="A1860" s="155" t="n">
        <v>46092</v>
      </c>
      <c r="B1860" s="156" t="inlineStr">
        <is>
          <t>DT-526</t>
        </is>
      </c>
      <c r="C1860" s="156" t="inlineStr">
        <is>
          <t>Hauler</t>
        </is>
      </c>
      <c r="D1860" s="156" t="inlineStr">
        <is>
          <t>Mining</t>
        </is>
      </c>
      <c r="E1860" s="156" t="inlineStr">
        <is>
          <t>SKT 105S</t>
        </is>
      </c>
      <c r="F1860" s="184" t="n">
        <v>184.4</v>
      </c>
    </row>
    <row r="1861">
      <c r="A1861" s="155" t="n">
        <v>46092</v>
      </c>
      <c r="B1861" s="156" t="inlineStr">
        <is>
          <t>DT-515</t>
        </is>
      </c>
      <c r="C1861" s="156" t="inlineStr">
        <is>
          <t>Hauler</t>
        </is>
      </c>
      <c r="D1861" s="156" t="inlineStr">
        <is>
          <t>Mining</t>
        </is>
      </c>
      <c r="E1861" s="156" t="inlineStr">
        <is>
          <t>SKT 105S</t>
        </is>
      </c>
      <c r="F1861" s="184" t="n">
        <v>409.2</v>
      </c>
    </row>
    <row r="1862">
      <c r="A1862" s="155" t="n">
        <v>46092</v>
      </c>
      <c r="B1862" s="156" t="inlineStr">
        <is>
          <t>DT-524</t>
        </is>
      </c>
      <c r="C1862" s="156" t="inlineStr">
        <is>
          <t>Hauler</t>
        </is>
      </c>
      <c r="D1862" s="156" t="inlineStr">
        <is>
          <t>Mining</t>
        </is>
      </c>
      <c r="E1862" s="156" t="inlineStr">
        <is>
          <t>SKT 105S</t>
        </is>
      </c>
      <c r="F1862" s="184" t="n">
        <v>279.4</v>
      </c>
    </row>
    <row r="1863">
      <c r="A1863" s="155" t="n">
        <v>46092</v>
      </c>
      <c r="B1863" s="156" t="inlineStr">
        <is>
          <t>HD-905</t>
        </is>
      </c>
      <c r="C1863" s="156" t="inlineStr">
        <is>
          <t>Hauler</t>
        </is>
      </c>
      <c r="D1863" s="156" t="inlineStr">
        <is>
          <t>Mining</t>
        </is>
      </c>
      <c r="E1863" s="156" t="inlineStr">
        <is>
          <t>SRT 95C</t>
        </is>
      </c>
      <c r="F1863" s="184" t="n">
        <v>866.7</v>
      </c>
    </row>
    <row r="1864">
      <c r="A1864" s="155" t="n">
        <v>46092</v>
      </c>
      <c r="B1864" s="156" t="inlineStr">
        <is>
          <t>HD-901</t>
        </is>
      </c>
      <c r="C1864" s="156" t="inlineStr">
        <is>
          <t>Hauler</t>
        </is>
      </c>
      <c r="D1864" s="156" t="inlineStr">
        <is>
          <t>Mining</t>
        </is>
      </c>
      <c r="E1864" s="156" t="inlineStr">
        <is>
          <t>SRT 95C</t>
        </is>
      </c>
      <c r="F1864" s="184" t="n">
        <v>538.1</v>
      </c>
    </row>
    <row r="1865">
      <c r="A1865" s="155" t="n">
        <v>46092</v>
      </c>
      <c r="B1865" s="156" t="inlineStr">
        <is>
          <t>HD-904</t>
        </is>
      </c>
      <c r="C1865" s="156" t="inlineStr">
        <is>
          <t>Hauler</t>
        </is>
      </c>
      <c r="D1865" s="156" t="inlineStr">
        <is>
          <t>Mining</t>
        </is>
      </c>
      <c r="E1865" s="156" t="inlineStr">
        <is>
          <t>SRT 95C</t>
        </is>
      </c>
      <c r="F1865" s="184" t="n">
        <v>736.6</v>
      </c>
    </row>
    <row r="1866">
      <c r="A1866" s="155" t="n">
        <v>46092</v>
      </c>
      <c r="B1866" s="156" t="inlineStr">
        <is>
          <t>HD-902</t>
        </is>
      </c>
      <c r="C1866" s="156" t="inlineStr">
        <is>
          <t>Hauler</t>
        </is>
      </c>
      <c r="D1866" s="156" t="inlineStr">
        <is>
          <t>Mining</t>
        </is>
      </c>
      <c r="E1866" s="156" t="inlineStr">
        <is>
          <t>SRT 95C</t>
        </is>
      </c>
      <c r="F1866" s="184" t="n">
        <v>296.5</v>
      </c>
    </row>
    <row r="1867">
      <c r="A1867" s="155" t="n">
        <v>46092</v>
      </c>
      <c r="B1867" s="156" t="inlineStr">
        <is>
          <t>DZ-034</t>
        </is>
      </c>
      <c r="C1867" s="156" t="inlineStr">
        <is>
          <t>Bulldozer</t>
        </is>
      </c>
      <c r="D1867" s="156" t="inlineStr">
        <is>
          <t>Mining</t>
        </is>
      </c>
      <c r="E1867" s="156" t="inlineStr">
        <is>
          <t>D 68ESS-12EO</t>
        </is>
      </c>
      <c r="F1867" s="184" t="n">
        <v>208.9</v>
      </c>
    </row>
    <row r="1868">
      <c r="A1868" s="155" t="n">
        <v>46092</v>
      </c>
      <c r="B1868" s="156" t="inlineStr">
        <is>
          <t>DZ-033</t>
        </is>
      </c>
      <c r="C1868" s="156" t="inlineStr">
        <is>
          <t>Bulldozer</t>
        </is>
      </c>
      <c r="D1868" s="156" t="inlineStr">
        <is>
          <t>Mining</t>
        </is>
      </c>
      <c r="E1868" s="156" t="inlineStr">
        <is>
          <t>D 375A-6R</t>
        </is>
      </c>
      <c r="F1868" s="184" t="n">
        <v>950.4</v>
      </c>
    </row>
    <row r="1869">
      <c r="A1869" s="155" t="n">
        <v>46092</v>
      </c>
      <c r="B1869" s="156" t="inlineStr">
        <is>
          <t>DZ-039</t>
        </is>
      </c>
      <c r="C1869" s="156" t="inlineStr">
        <is>
          <t>Bulldozer</t>
        </is>
      </c>
      <c r="D1869" s="156" t="inlineStr">
        <is>
          <t>Mining</t>
        </is>
      </c>
      <c r="E1869" s="156" t="inlineStr">
        <is>
          <t>D 85 ESS-2</t>
        </is>
      </c>
      <c r="F1869" s="184" t="n">
        <v>312.9</v>
      </c>
    </row>
    <row r="1870">
      <c r="A1870" s="155" t="n">
        <v>46092</v>
      </c>
      <c r="B1870" s="156" t="inlineStr">
        <is>
          <t>DZ-037</t>
        </is>
      </c>
      <c r="C1870" s="156" t="inlineStr">
        <is>
          <t>Bulldozer</t>
        </is>
      </c>
      <c r="D1870" s="156" t="inlineStr">
        <is>
          <t>Mining</t>
        </is>
      </c>
      <c r="E1870" s="156" t="inlineStr">
        <is>
          <t>D 85 ESS-2</t>
        </is>
      </c>
      <c r="F1870" s="184" t="n">
        <v>379.4</v>
      </c>
    </row>
    <row r="1871">
      <c r="A1871" s="155" t="n">
        <v>46092</v>
      </c>
      <c r="B1871" s="156" t="inlineStr">
        <is>
          <t>DZ-032</t>
        </is>
      </c>
      <c r="C1871" s="156" t="inlineStr">
        <is>
          <t>Bulldozer</t>
        </is>
      </c>
      <c r="D1871" s="156" t="inlineStr">
        <is>
          <t>Mining</t>
        </is>
      </c>
      <c r="E1871" s="156" t="inlineStr">
        <is>
          <t>CAT</t>
        </is>
      </c>
      <c r="F1871" s="184" t="n">
        <v>454.9</v>
      </c>
    </row>
    <row r="1872">
      <c r="A1872" s="155" t="n">
        <v>46092</v>
      </c>
      <c r="B1872" s="156" t="inlineStr">
        <is>
          <t>GD-013</t>
        </is>
      </c>
      <c r="C1872" s="156" t="inlineStr">
        <is>
          <t>Grader</t>
        </is>
      </c>
      <c r="D1872" s="156" t="inlineStr">
        <is>
          <t>Mining</t>
        </is>
      </c>
      <c r="E1872" s="156" t="inlineStr">
        <is>
          <t>STG 265C - 10</t>
        </is>
      </c>
      <c r="F1872" s="184" t="n">
        <v>461.5</v>
      </c>
    </row>
    <row r="1873">
      <c r="A1873" s="155" t="n">
        <v>46092</v>
      </c>
      <c r="B1873" s="156" t="inlineStr">
        <is>
          <t>GD-014</t>
        </is>
      </c>
      <c r="C1873" s="156" t="inlineStr">
        <is>
          <t>Grader</t>
        </is>
      </c>
      <c r="D1873" s="156" t="inlineStr">
        <is>
          <t>Mining</t>
        </is>
      </c>
      <c r="E1873" s="156" t="inlineStr">
        <is>
          <t>STG 335C - 10</t>
        </is>
      </c>
      <c r="F1873" s="184" t="n">
        <v>394.7</v>
      </c>
    </row>
    <row r="1874">
      <c r="A1874" s="155" t="n">
        <v>46092</v>
      </c>
      <c r="B1874" s="156" t="inlineStr">
        <is>
          <t>LV-04</t>
        </is>
      </c>
      <c r="C1874" s="156" t="inlineStr">
        <is>
          <t>LV &amp; sarana</t>
        </is>
      </c>
      <c r="D1874" s="156" t="inlineStr">
        <is>
          <t>Aux</t>
        </is>
      </c>
      <c r="E1874" s="156" t="inlineStr">
        <is>
          <t>Light vehicle</t>
        </is>
      </c>
      <c r="F1874" s="184" t="n">
        <v>49.8</v>
      </c>
    </row>
    <row r="1875">
      <c r="A1875" s="155" t="n">
        <v>46092</v>
      </c>
      <c r="B1875" s="156" t="inlineStr">
        <is>
          <t>LV-05</t>
        </is>
      </c>
      <c r="C1875" s="156" t="inlineStr">
        <is>
          <t>LV &amp; sarana</t>
        </is>
      </c>
      <c r="D1875" s="156" t="inlineStr">
        <is>
          <t>Aux</t>
        </is>
      </c>
      <c r="E1875" s="156" t="inlineStr">
        <is>
          <t>Light vehicle</t>
        </is>
      </c>
      <c r="F1875" s="184" t="n">
        <v>47.9</v>
      </c>
    </row>
    <row r="1876">
      <c r="A1876" s="155" t="n">
        <v>46092</v>
      </c>
      <c r="B1876" s="156" t="inlineStr">
        <is>
          <t>LV-11</t>
        </is>
      </c>
      <c r="C1876" s="156" t="inlineStr">
        <is>
          <t>LV &amp; sarana</t>
        </is>
      </c>
      <c r="D1876" s="156" t="inlineStr">
        <is>
          <t>Aux</t>
        </is>
      </c>
      <c r="E1876" s="156" t="inlineStr">
        <is>
          <t>Light vehicle</t>
        </is>
      </c>
      <c r="F1876" s="184" t="n">
        <v>66</v>
      </c>
    </row>
    <row r="1877">
      <c r="A1877" s="155" t="n">
        <v>46092</v>
      </c>
      <c r="B1877" s="156" t="inlineStr">
        <is>
          <t>TS-02</t>
        </is>
      </c>
      <c r="C1877" s="156" t="inlineStr">
        <is>
          <t>Truk support</t>
        </is>
      </c>
      <c r="D1877" s="156" t="inlineStr">
        <is>
          <t>Mining</t>
        </is>
      </c>
      <c r="E1877" s="156" t="inlineStr">
        <is>
          <t>Truk support</t>
        </is>
      </c>
      <c r="F1877" s="184" t="n">
        <v>214.4</v>
      </c>
    </row>
    <row r="1878">
      <c r="A1878" s="155" t="n">
        <v>46092</v>
      </c>
      <c r="B1878" s="156" t="inlineStr">
        <is>
          <t>TS-04</t>
        </is>
      </c>
      <c r="C1878" s="156" t="inlineStr">
        <is>
          <t>Truk support</t>
        </is>
      </c>
      <c r="D1878" s="156" t="inlineStr">
        <is>
          <t>Aux</t>
        </is>
      </c>
      <c r="E1878" s="156" t="inlineStr">
        <is>
          <t>Truk support</t>
        </is>
      </c>
      <c r="F1878" s="184" t="n">
        <v>50.7</v>
      </c>
    </row>
    <row r="1879">
      <c r="A1879" s="155" t="n">
        <v>46092</v>
      </c>
      <c r="B1879" s="156" t="inlineStr">
        <is>
          <t>TS-05</t>
        </is>
      </c>
      <c r="C1879" s="156" t="inlineStr">
        <is>
          <t>Truk support</t>
        </is>
      </c>
      <c r="D1879" s="156" t="inlineStr">
        <is>
          <t>Aux</t>
        </is>
      </c>
      <c r="E1879" s="156" t="inlineStr">
        <is>
          <t>Truk support</t>
        </is>
      </c>
      <c r="F1879" s="184" t="n">
        <v>54.4</v>
      </c>
    </row>
    <row r="1880">
      <c r="A1880" s="155" t="n">
        <v>46092</v>
      </c>
      <c r="B1880" s="156" t="inlineStr">
        <is>
          <t>AL-07</t>
        </is>
      </c>
      <c r="C1880" s="156" t="inlineStr">
        <is>
          <t>Alat lain</t>
        </is>
      </c>
      <c r="D1880" s="156" t="inlineStr">
        <is>
          <t>Aux</t>
        </is>
      </c>
      <c r="E1880" s="156" t="inlineStr">
        <is>
          <t>Alat lain</t>
        </is>
      </c>
      <c r="F1880" s="184" t="n">
        <v>85.09999999999999</v>
      </c>
    </row>
    <row r="1881">
      <c r="A1881" s="155" t="n">
        <v>46092</v>
      </c>
      <c r="B1881" s="156" t="inlineStr">
        <is>
          <t>TL-01</t>
        </is>
      </c>
      <c r="C1881" s="156" t="inlineStr">
        <is>
          <t>Tower lamp</t>
        </is>
      </c>
      <c r="D1881" s="156" t="inlineStr">
        <is>
          <t>Mining</t>
        </is>
      </c>
      <c r="E1881" s="156" t="inlineStr">
        <is>
          <t>Tower lamp</t>
        </is>
      </c>
      <c r="F1881" s="184" t="n">
        <v>55.5</v>
      </c>
    </row>
    <row r="1882">
      <c r="A1882" s="155" t="n">
        <v>46092</v>
      </c>
      <c r="B1882" s="156" t="inlineStr">
        <is>
          <t>AL-09</t>
        </is>
      </c>
      <c r="C1882" s="156" t="inlineStr">
        <is>
          <t>Alat lain</t>
        </is>
      </c>
      <c r="D1882" s="156" t="inlineStr">
        <is>
          <t>Mining</t>
        </is>
      </c>
      <c r="E1882" s="156" t="inlineStr">
        <is>
          <t>Alat lain</t>
        </is>
      </c>
      <c r="F1882" s="184" t="n">
        <v>22.8</v>
      </c>
    </row>
    <row r="1883">
      <c r="A1883" s="155" t="n">
        <v>46092</v>
      </c>
      <c r="B1883" s="156" t="inlineStr">
        <is>
          <t>GS-01</t>
        </is>
      </c>
      <c r="C1883" s="156" t="inlineStr">
        <is>
          <t>Genset</t>
        </is>
      </c>
      <c r="D1883" s="156" t="inlineStr">
        <is>
          <t>Aux</t>
        </is>
      </c>
      <c r="E1883" s="156" t="inlineStr">
        <is>
          <t>Genset</t>
        </is>
      </c>
      <c r="F1883" s="184" t="n">
        <v>233</v>
      </c>
    </row>
    <row r="1884">
      <c r="A1884" s="155" t="n">
        <v>46092</v>
      </c>
      <c r="B1884" s="156" t="inlineStr">
        <is>
          <t>GS-04</t>
        </is>
      </c>
      <c r="C1884" s="156" t="inlineStr">
        <is>
          <t>Genset</t>
        </is>
      </c>
      <c r="D1884" s="156" t="inlineStr">
        <is>
          <t>Aux</t>
        </is>
      </c>
      <c r="E1884" s="156" t="inlineStr">
        <is>
          <t>Genset</t>
        </is>
      </c>
      <c r="F1884" s="184" t="n">
        <v>357.9</v>
      </c>
    </row>
    <row r="1885">
      <c r="A1885" s="155" t="n">
        <v>46092</v>
      </c>
      <c r="B1885" s="156" t="inlineStr">
        <is>
          <t>GS-07</t>
        </is>
      </c>
      <c r="C1885" s="156" t="inlineStr">
        <is>
          <t>Genset</t>
        </is>
      </c>
      <c r="D1885" s="156" t="inlineStr">
        <is>
          <t>Aux</t>
        </is>
      </c>
      <c r="E1885" s="156" t="inlineStr">
        <is>
          <t>Genset</t>
        </is>
      </c>
      <c r="F1885" s="184" t="n">
        <v>14.5</v>
      </c>
    </row>
    <row r="1886">
      <c r="A1886" s="155" t="n">
        <v>46092</v>
      </c>
      <c r="B1886" s="156" t="inlineStr">
        <is>
          <t>GS-08</t>
        </is>
      </c>
      <c r="C1886" s="156" t="inlineStr">
        <is>
          <t>Genset</t>
        </is>
      </c>
      <c r="D1886" s="156" t="inlineStr">
        <is>
          <t>Aux</t>
        </is>
      </c>
      <c r="E1886" s="156" t="inlineStr">
        <is>
          <t>Genset</t>
        </is>
      </c>
      <c r="F1886" s="184" t="n">
        <v>65.7</v>
      </c>
    </row>
    <row r="1887">
      <c r="A1887" s="155" t="n">
        <v>46092</v>
      </c>
      <c r="B1887" s="156" t="inlineStr">
        <is>
          <t>WP-01</t>
        </is>
      </c>
      <c r="C1887" s="156" t="inlineStr">
        <is>
          <t>Pompa air</t>
        </is>
      </c>
      <c r="D1887" s="156" t="inlineStr">
        <is>
          <t>Aux</t>
        </is>
      </c>
      <c r="E1887" s="156" t="inlineStr">
        <is>
          <t>Pompa air</t>
        </is>
      </c>
      <c r="F1887" s="184" t="n">
        <v>8.300000000000001</v>
      </c>
    </row>
    <row r="1888">
      <c r="A1888" s="155" t="n">
        <v>46092</v>
      </c>
      <c r="B1888" s="156" t="inlineStr">
        <is>
          <t>WL-022</t>
        </is>
      </c>
      <c r="C1888" s="156" t="inlineStr">
        <is>
          <t>Loader</t>
        </is>
      </c>
      <c r="D1888" s="156" t="inlineStr">
        <is>
          <t>Aux</t>
        </is>
      </c>
      <c r="E1888" s="156" t="inlineStr">
        <is>
          <t>SANY - Loader</t>
        </is>
      </c>
      <c r="F1888" s="184" t="n">
        <v>216.1</v>
      </c>
    </row>
    <row r="1889">
      <c r="A1889" s="155" t="n">
        <v>46092</v>
      </c>
      <c r="B1889" s="156" t="inlineStr">
        <is>
          <t>WL-024</t>
        </is>
      </c>
      <c r="C1889" s="156" t="inlineStr">
        <is>
          <t>Loader</t>
        </is>
      </c>
      <c r="D1889" s="156" t="inlineStr">
        <is>
          <t>Aux</t>
        </is>
      </c>
      <c r="E1889" s="156" t="inlineStr">
        <is>
          <t>SANY - Loader</t>
        </is>
      </c>
      <c r="F1889" s="184" t="n">
        <v>334.1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tabColor rgb="00D9D9D9"/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1" customWidth="1" min="3" max="3"/>
    <col width="8" customWidth="1" min="4" max="4"/>
    <col width="8" customWidth="1" min="5" max="5"/>
    <col width="8" customWidth="1" min="6" max="6"/>
    <col width="9" customWidth="1" min="7" max="7"/>
    <col width="8" customWidth="1" min="8" max="8"/>
    <col width="10" customWidth="1" min="9" max="9"/>
    <col width="2" customWidth="1" min="10" max="10"/>
    <col width="11" customWidth="1" min="11" max="11"/>
    <col width="10" customWidth="1" min="12" max="12"/>
    <col width="11" customWidth="1" min="13" max="13"/>
    <col width="10" customWidth="1" min="14" max="14"/>
  </cols>
  <sheetData>
    <row r="1">
      <c r="A1" s="188" t="inlineStr">
        <is>
          <t>Master unit, daftar dropdown &amp; helper Top 10 (jangan diubah)</t>
        </is>
      </c>
    </row>
    <row r="2">
      <c r="A2" s="176" t="inlineStr">
        <is>
          <t>Unit</t>
        </is>
      </c>
      <c r="B2" s="176" t="inlineStr">
        <is>
          <t>Tipe</t>
        </is>
      </c>
      <c r="C2" s="176" t="inlineStr">
        <is>
          <t>Class</t>
        </is>
      </c>
      <c r="D2" s="176" t="inlineStr">
        <is>
          <t>HM</t>
        </is>
      </c>
      <c r="E2" s="176" t="inlineStr">
        <is>
          <t>BD</t>
        </is>
      </c>
      <c r="F2" s="176" t="inlineStr">
        <is>
          <t>Idle</t>
        </is>
      </c>
      <c r="G2" s="176" t="inlineStr">
        <is>
          <t>Total</t>
        </is>
      </c>
      <c r="H2" s="176" t="inlineStr">
        <is>
          <t>PA</t>
        </is>
      </c>
      <c r="I2" s="176" t="inlineStr">
        <is>
          <t>Sort BD</t>
        </is>
      </c>
      <c r="K2" s="176" t="inlineStr">
        <is>
          <t>Class</t>
        </is>
      </c>
      <c r="L2" s="176" t="inlineStr">
        <is>
          <t>Unit</t>
        </is>
      </c>
      <c r="M2" s="176" t="inlineStr">
        <is>
          <t>Tanggal</t>
        </is>
      </c>
      <c r="N2" s="176" t="inlineStr">
        <is>
          <t>Digger</t>
        </is>
      </c>
    </row>
    <row r="3">
      <c r="A3" s="156" t="inlineStr">
        <is>
          <t>EX-225</t>
        </is>
      </c>
      <c r="B3" s="156" t="inlineStr">
        <is>
          <t>PC 200-8</t>
        </is>
      </c>
      <c r="C3" s="156" t="inlineStr">
        <is>
          <t>Excavator</t>
        </is>
      </c>
      <c r="D3" s="187">
        <f>SUMIFS(DATA_TS!$G$2:$G$20001,DATA_TS!$C$2:$C$20001,$A3,DATA_TS!$A$2:$A$20001,"&gt;="&amp;Kalkulasi!$B$20,DATA_TS!$A$2:$A$20001,"&lt;="&amp;Kalkulasi!$B$21,DATA_TS!$B$2:$B$20001,Kalkulasi!$B$22)*(OR(Availability!$O$6="Semua",C3=Availability!$O$6)*OR(Availability!$R$6="Semua",A3=Availability!$R$6))</f>
        <v/>
      </c>
      <c r="E3" s="187">
        <f>SUMIFS(DATA_TS!$J$2:$J$20001,DATA_TS!$C$2:$C$20001,$A3,DATA_TS!$A$2:$A$20001,"&gt;="&amp;Kalkulasi!$B$20,DATA_TS!$A$2:$A$20001,"&lt;="&amp;Kalkulasi!$B$21,DATA_TS!$B$2:$B$20001,Kalkulasi!$B$22)*(OR(Availability!$O$6="Semua",C3=Availability!$O$6)*OR(Availability!$R$6="Semua",A3=Availability!$R$6))</f>
        <v/>
      </c>
      <c r="F3" s="187">
        <f>SUMIFS(DATA_TS!$K$2:$K$20001,DATA_TS!$C$2:$C$20001,$A3,DATA_TS!$A$2:$A$20001,"&gt;="&amp;Kalkulasi!$B$20,DATA_TS!$A$2:$A$20001,"&lt;="&amp;Kalkulasi!$B$21,DATA_TS!$B$2:$B$20001,Kalkulasi!$B$22)*(OR(Availability!$O$6="Semua",C3=Availability!$O$6)*OR(Availability!$R$6="Semua",A3=Availability!$R$6))</f>
        <v/>
      </c>
      <c r="G3" s="187">
        <f>D3+E3+F3</f>
        <v/>
      </c>
      <c r="H3" s="189">
        <f>IF(G3=0,0,(D3+F3)/G3)</f>
        <v/>
      </c>
      <c r="I3" s="156">
        <f>E3+ROW()/1000000</f>
        <v/>
      </c>
      <c r="J3" s="156" t="n"/>
      <c r="K3" s="156" t="inlineStr">
        <is>
          <t>Semua</t>
        </is>
      </c>
      <c r="L3" s="156" t="inlineStr">
        <is>
          <t>Semua</t>
        </is>
      </c>
      <c r="M3" s="155">
        <f>MIN(DATA_TS!$A$2:$A$20001)</f>
        <v/>
      </c>
      <c r="N3" s="156" t="inlineStr">
        <is>
          <t>Semua</t>
        </is>
      </c>
    </row>
    <row r="4">
      <c r="A4" s="156" t="inlineStr">
        <is>
          <t>EX-221</t>
        </is>
      </c>
      <c r="B4" s="156" t="inlineStr">
        <is>
          <t>PC 200-8MI</t>
        </is>
      </c>
      <c r="C4" s="156" t="inlineStr">
        <is>
          <t>Excavator</t>
        </is>
      </c>
      <c r="D4" s="187">
        <f>SUMIFS(DATA_TS!$G$2:$G$20001,DATA_TS!$C$2:$C$20001,$A4,DATA_TS!$A$2:$A$20001,"&gt;="&amp;Kalkulasi!$B$20,DATA_TS!$A$2:$A$20001,"&lt;="&amp;Kalkulasi!$B$21,DATA_TS!$B$2:$B$20001,Kalkulasi!$B$22)*(OR(Availability!$O$6="Semua",C4=Availability!$O$6)*OR(Availability!$R$6="Semua",A4=Availability!$R$6))</f>
        <v/>
      </c>
      <c r="E4" s="187">
        <f>SUMIFS(DATA_TS!$J$2:$J$20001,DATA_TS!$C$2:$C$20001,$A4,DATA_TS!$A$2:$A$20001,"&gt;="&amp;Kalkulasi!$B$20,DATA_TS!$A$2:$A$20001,"&lt;="&amp;Kalkulasi!$B$21,DATA_TS!$B$2:$B$20001,Kalkulasi!$B$22)*(OR(Availability!$O$6="Semua",C4=Availability!$O$6)*OR(Availability!$R$6="Semua",A4=Availability!$R$6))</f>
        <v/>
      </c>
      <c r="F4" s="187">
        <f>SUMIFS(DATA_TS!$K$2:$K$20001,DATA_TS!$C$2:$C$20001,$A4,DATA_TS!$A$2:$A$20001,"&gt;="&amp;Kalkulasi!$B$20,DATA_TS!$A$2:$A$20001,"&lt;="&amp;Kalkulasi!$B$21,DATA_TS!$B$2:$B$20001,Kalkulasi!$B$22)*(OR(Availability!$O$6="Semua",C4=Availability!$O$6)*OR(Availability!$R$6="Semua",A4=Availability!$R$6))</f>
        <v/>
      </c>
      <c r="G4" s="187">
        <f>D4+E4+F4</f>
        <v/>
      </c>
      <c r="H4" s="189">
        <f>IF(G4=0,0,(D4+F4)/G4)</f>
        <v/>
      </c>
      <c r="I4" s="156">
        <f>E4+ROW()/1000000</f>
        <v/>
      </c>
      <c r="J4" s="156" t="n"/>
      <c r="K4" s="156" t="inlineStr">
        <is>
          <t>Excavator</t>
        </is>
      </c>
      <c r="L4" s="156" t="inlineStr">
        <is>
          <t>EX-225</t>
        </is>
      </c>
      <c r="M4" s="155">
        <f>IF(M3="","",IF(M3+1&gt;MAX(DATA_TS!$A$2:$A$20001),"",M3+1))</f>
        <v/>
      </c>
      <c r="N4" s="156" t="inlineStr">
        <is>
          <t>EX-1251</t>
        </is>
      </c>
    </row>
    <row r="5">
      <c r="A5" s="156" t="inlineStr">
        <is>
          <t>EX-222</t>
        </is>
      </c>
      <c r="B5" s="156" t="inlineStr">
        <is>
          <t>PC 200-8MI</t>
        </is>
      </c>
      <c r="C5" s="156" t="inlineStr">
        <is>
          <t>Excavator</t>
        </is>
      </c>
      <c r="D5" s="187">
        <f>SUMIFS(DATA_TS!$G$2:$G$20001,DATA_TS!$C$2:$C$20001,$A5,DATA_TS!$A$2:$A$20001,"&gt;="&amp;Kalkulasi!$B$20,DATA_TS!$A$2:$A$20001,"&lt;="&amp;Kalkulasi!$B$21,DATA_TS!$B$2:$B$20001,Kalkulasi!$B$22)*(OR(Availability!$O$6="Semua",C5=Availability!$O$6)*OR(Availability!$R$6="Semua",A5=Availability!$R$6))</f>
        <v/>
      </c>
      <c r="E5" s="187">
        <f>SUMIFS(DATA_TS!$J$2:$J$20001,DATA_TS!$C$2:$C$20001,$A5,DATA_TS!$A$2:$A$20001,"&gt;="&amp;Kalkulasi!$B$20,DATA_TS!$A$2:$A$20001,"&lt;="&amp;Kalkulasi!$B$21,DATA_TS!$B$2:$B$20001,Kalkulasi!$B$22)*(OR(Availability!$O$6="Semua",C5=Availability!$O$6)*OR(Availability!$R$6="Semua",A5=Availability!$R$6))</f>
        <v/>
      </c>
      <c r="F5" s="187">
        <f>SUMIFS(DATA_TS!$K$2:$K$20001,DATA_TS!$C$2:$C$20001,$A5,DATA_TS!$A$2:$A$20001,"&gt;="&amp;Kalkulasi!$B$20,DATA_TS!$A$2:$A$20001,"&lt;="&amp;Kalkulasi!$B$21,DATA_TS!$B$2:$B$20001,Kalkulasi!$B$22)*(OR(Availability!$O$6="Semua",C5=Availability!$O$6)*OR(Availability!$R$6="Semua",A5=Availability!$R$6))</f>
        <v/>
      </c>
      <c r="G5" s="187">
        <f>D5+E5+F5</f>
        <v/>
      </c>
      <c r="H5" s="189">
        <f>IF(G5=0,0,(D5+F5)/G5)</f>
        <v/>
      </c>
      <c r="I5" s="156">
        <f>E5+ROW()/1000000</f>
        <v/>
      </c>
      <c r="J5" s="156" t="n"/>
      <c r="K5" s="156" t="inlineStr">
        <is>
          <t>Hauler</t>
        </is>
      </c>
      <c r="L5" s="156" t="inlineStr">
        <is>
          <t>EX-221</t>
        </is>
      </c>
      <c r="M5" s="155">
        <f>IF(M4="","",IF(M4+1&gt;MAX(DATA_TS!$A$2:$A$20001),"",M4+1))</f>
        <v/>
      </c>
      <c r="N5" s="156" t="inlineStr">
        <is>
          <t>EX-755</t>
        </is>
      </c>
    </row>
    <row r="6">
      <c r="A6" s="156" t="inlineStr">
        <is>
          <t>EX-223</t>
        </is>
      </c>
      <c r="B6" s="156" t="inlineStr">
        <is>
          <t>PC 200-8MI</t>
        </is>
      </c>
      <c r="C6" s="156" t="inlineStr">
        <is>
          <t>Excavator</t>
        </is>
      </c>
      <c r="D6" s="187">
        <f>SUMIFS(DATA_TS!$G$2:$G$20001,DATA_TS!$C$2:$C$20001,$A6,DATA_TS!$A$2:$A$20001,"&gt;="&amp;Kalkulasi!$B$20,DATA_TS!$A$2:$A$20001,"&lt;="&amp;Kalkulasi!$B$21,DATA_TS!$B$2:$B$20001,Kalkulasi!$B$22)*(OR(Availability!$O$6="Semua",C6=Availability!$O$6)*OR(Availability!$R$6="Semua",A6=Availability!$R$6))</f>
        <v/>
      </c>
      <c r="E6" s="187">
        <f>SUMIFS(DATA_TS!$J$2:$J$20001,DATA_TS!$C$2:$C$20001,$A6,DATA_TS!$A$2:$A$20001,"&gt;="&amp;Kalkulasi!$B$20,DATA_TS!$A$2:$A$20001,"&lt;="&amp;Kalkulasi!$B$21,DATA_TS!$B$2:$B$20001,Kalkulasi!$B$22)*(OR(Availability!$O$6="Semua",C6=Availability!$O$6)*OR(Availability!$R$6="Semua",A6=Availability!$R$6))</f>
        <v/>
      </c>
      <c r="F6" s="187">
        <f>SUMIFS(DATA_TS!$K$2:$K$20001,DATA_TS!$C$2:$C$20001,$A6,DATA_TS!$A$2:$A$20001,"&gt;="&amp;Kalkulasi!$B$20,DATA_TS!$A$2:$A$20001,"&lt;="&amp;Kalkulasi!$B$21,DATA_TS!$B$2:$B$20001,Kalkulasi!$B$22)*(OR(Availability!$O$6="Semua",C6=Availability!$O$6)*OR(Availability!$R$6="Semua",A6=Availability!$R$6))</f>
        <v/>
      </c>
      <c r="G6" s="187">
        <f>D6+E6+F6</f>
        <v/>
      </c>
      <c r="H6" s="189">
        <f>IF(G6=0,0,(D6+F6)/G6)</f>
        <v/>
      </c>
      <c r="I6" s="156">
        <f>E6+ROW()/1000000</f>
        <v/>
      </c>
      <c r="J6" s="156" t="n"/>
      <c r="K6" s="156" t="inlineStr">
        <is>
          <t>DT Hauling</t>
        </is>
      </c>
      <c r="L6" s="156" t="inlineStr">
        <is>
          <t>EX-222</t>
        </is>
      </c>
      <c r="M6" s="155">
        <f>IF(M5="","",IF(M5+1&gt;MAX(DATA_TS!$A$2:$A$20001),"",M5+1))</f>
        <v/>
      </c>
      <c r="N6" s="156" t="inlineStr">
        <is>
          <t>EX-2101</t>
        </is>
      </c>
    </row>
    <row r="7">
      <c r="A7" s="156" t="inlineStr">
        <is>
          <t>EX-331</t>
        </is>
      </c>
      <c r="B7" s="156" t="inlineStr">
        <is>
          <t>PC 300-8MO</t>
        </is>
      </c>
      <c r="C7" s="156" t="inlineStr">
        <is>
          <t>Excavator</t>
        </is>
      </c>
      <c r="D7" s="187">
        <f>SUMIFS(DATA_TS!$G$2:$G$20001,DATA_TS!$C$2:$C$20001,$A7,DATA_TS!$A$2:$A$20001,"&gt;="&amp;Kalkulasi!$B$20,DATA_TS!$A$2:$A$20001,"&lt;="&amp;Kalkulasi!$B$21,DATA_TS!$B$2:$B$20001,Kalkulasi!$B$22)*(OR(Availability!$O$6="Semua",C7=Availability!$O$6)*OR(Availability!$R$6="Semua",A7=Availability!$R$6))</f>
        <v/>
      </c>
      <c r="E7" s="187">
        <f>SUMIFS(DATA_TS!$J$2:$J$20001,DATA_TS!$C$2:$C$20001,$A7,DATA_TS!$A$2:$A$20001,"&gt;="&amp;Kalkulasi!$B$20,DATA_TS!$A$2:$A$20001,"&lt;="&amp;Kalkulasi!$B$21,DATA_TS!$B$2:$B$20001,Kalkulasi!$B$22)*(OR(Availability!$O$6="Semua",C7=Availability!$O$6)*OR(Availability!$R$6="Semua",A7=Availability!$R$6))</f>
        <v/>
      </c>
      <c r="F7" s="187">
        <f>SUMIFS(DATA_TS!$K$2:$K$20001,DATA_TS!$C$2:$C$20001,$A7,DATA_TS!$A$2:$A$20001,"&gt;="&amp;Kalkulasi!$B$20,DATA_TS!$A$2:$A$20001,"&lt;="&amp;Kalkulasi!$B$21,DATA_TS!$B$2:$B$20001,Kalkulasi!$B$22)*(OR(Availability!$O$6="Semua",C7=Availability!$O$6)*OR(Availability!$R$6="Semua",A7=Availability!$R$6))</f>
        <v/>
      </c>
      <c r="G7" s="187">
        <f>D7+E7+F7</f>
        <v/>
      </c>
      <c r="H7" s="189">
        <f>IF(G7=0,0,(D7+F7)/G7)</f>
        <v/>
      </c>
      <c r="I7" s="156">
        <f>E7+ROW()/1000000</f>
        <v/>
      </c>
      <c r="J7" s="156" t="n"/>
      <c r="K7" s="156" t="inlineStr">
        <is>
          <t>DT Hino</t>
        </is>
      </c>
      <c r="L7" s="156" t="inlineStr">
        <is>
          <t>EX-223</t>
        </is>
      </c>
      <c r="M7" s="155">
        <f>IF(M6="","",IF(M6+1&gt;MAX(DATA_TS!$A$2:$A$20001),"",M6+1))</f>
        <v/>
      </c>
      <c r="N7" s="156" t="inlineStr">
        <is>
          <t>EX-754</t>
        </is>
      </c>
    </row>
    <row r="8">
      <c r="A8" s="156" t="inlineStr">
        <is>
          <t>EX-332</t>
        </is>
      </c>
      <c r="B8" s="156" t="inlineStr">
        <is>
          <t>PC 300-8MO</t>
        </is>
      </c>
      <c r="C8" s="156" t="inlineStr">
        <is>
          <t>Excavator</t>
        </is>
      </c>
      <c r="D8" s="187">
        <f>SUMIFS(DATA_TS!$G$2:$G$20001,DATA_TS!$C$2:$C$20001,$A8,DATA_TS!$A$2:$A$20001,"&gt;="&amp;Kalkulasi!$B$20,DATA_TS!$A$2:$A$20001,"&lt;="&amp;Kalkulasi!$B$21,DATA_TS!$B$2:$B$20001,Kalkulasi!$B$22)*(OR(Availability!$O$6="Semua",C8=Availability!$O$6)*OR(Availability!$R$6="Semua",A8=Availability!$R$6))</f>
        <v/>
      </c>
      <c r="E8" s="187">
        <f>SUMIFS(DATA_TS!$J$2:$J$20001,DATA_TS!$C$2:$C$20001,$A8,DATA_TS!$A$2:$A$20001,"&gt;="&amp;Kalkulasi!$B$20,DATA_TS!$A$2:$A$20001,"&lt;="&amp;Kalkulasi!$B$21,DATA_TS!$B$2:$B$20001,Kalkulasi!$B$22)*(OR(Availability!$O$6="Semua",C8=Availability!$O$6)*OR(Availability!$R$6="Semua",A8=Availability!$R$6))</f>
        <v/>
      </c>
      <c r="F8" s="187">
        <f>SUMIFS(DATA_TS!$K$2:$K$20001,DATA_TS!$C$2:$C$20001,$A8,DATA_TS!$A$2:$A$20001,"&gt;="&amp;Kalkulasi!$B$20,DATA_TS!$A$2:$A$20001,"&lt;="&amp;Kalkulasi!$B$21,DATA_TS!$B$2:$B$20001,Kalkulasi!$B$22)*(OR(Availability!$O$6="Semua",C8=Availability!$O$6)*OR(Availability!$R$6="Semua",A8=Availability!$R$6))</f>
        <v/>
      </c>
      <c r="G8" s="187">
        <f>D8+E8+F8</f>
        <v/>
      </c>
      <c r="H8" s="189">
        <f>IF(G8=0,0,(D8+F8)/G8)</f>
        <v/>
      </c>
      <c r="I8" s="156">
        <f>E8+ROW()/1000000</f>
        <v/>
      </c>
      <c r="J8" s="156" t="n"/>
      <c r="K8" s="156" t="inlineStr">
        <is>
          <t>Bulldozer</t>
        </is>
      </c>
      <c r="L8" s="156" t="inlineStr">
        <is>
          <t>EX-331</t>
        </is>
      </c>
      <c r="M8" s="155">
        <f>IF(M7="","",IF(M7+1&gt;MAX(DATA_TS!$A$2:$A$20001),"",M7+1))</f>
        <v/>
      </c>
      <c r="N8" s="156" t="inlineStr">
        <is>
          <t>EX-753</t>
        </is>
      </c>
    </row>
    <row r="9">
      <c r="A9" s="156" t="inlineStr">
        <is>
          <t>EX-333</t>
        </is>
      </c>
      <c r="B9" s="156" t="inlineStr">
        <is>
          <t>PC 300-8MO</t>
        </is>
      </c>
      <c r="C9" s="156" t="inlineStr">
        <is>
          <t>Excavator</t>
        </is>
      </c>
      <c r="D9" s="187">
        <f>SUMIFS(DATA_TS!$G$2:$G$20001,DATA_TS!$C$2:$C$20001,$A9,DATA_TS!$A$2:$A$20001,"&gt;="&amp;Kalkulasi!$B$20,DATA_TS!$A$2:$A$20001,"&lt;="&amp;Kalkulasi!$B$21,DATA_TS!$B$2:$B$20001,Kalkulasi!$B$22)*(OR(Availability!$O$6="Semua",C9=Availability!$O$6)*OR(Availability!$R$6="Semua",A9=Availability!$R$6))</f>
        <v/>
      </c>
      <c r="E9" s="187">
        <f>SUMIFS(DATA_TS!$J$2:$J$20001,DATA_TS!$C$2:$C$20001,$A9,DATA_TS!$A$2:$A$20001,"&gt;="&amp;Kalkulasi!$B$20,DATA_TS!$A$2:$A$20001,"&lt;="&amp;Kalkulasi!$B$21,DATA_TS!$B$2:$B$20001,Kalkulasi!$B$22)*(OR(Availability!$O$6="Semua",C9=Availability!$O$6)*OR(Availability!$R$6="Semua",A9=Availability!$R$6))</f>
        <v/>
      </c>
      <c r="F9" s="187">
        <f>SUMIFS(DATA_TS!$K$2:$K$20001,DATA_TS!$C$2:$C$20001,$A9,DATA_TS!$A$2:$A$20001,"&gt;="&amp;Kalkulasi!$B$20,DATA_TS!$A$2:$A$20001,"&lt;="&amp;Kalkulasi!$B$21,DATA_TS!$B$2:$B$20001,Kalkulasi!$B$22)*(OR(Availability!$O$6="Semua",C9=Availability!$O$6)*OR(Availability!$R$6="Semua",A9=Availability!$R$6))</f>
        <v/>
      </c>
      <c r="G9" s="187">
        <f>D9+E9+F9</f>
        <v/>
      </c>
      <c r="H9" s="189">
        <f>IF(G9=0,0,(D9+F9)/G9)</f>
        <v/>
      </c>
      <c r="I9" s="156">
        <f>E9+ROW()/1000000</f>
        <v/>
      </c>
      <c r="J9" s="156" t="n"/>
      <c r="K9" s="156" t="inlineStr">
        <is>
          <t>Grader</t>
        </is>
      </c>
      <c r="L9" s="156" t="inlineStr">
        <is>
          <t>EX-332</t>
        </is>
      </c>
      <c r="M9" s="155">
        <f>IF(M8="","",IF(M8+1&gt;MAX(DATA_TS!$A$2:$A$20001),"",M8+1))</f>
        <v/>
      </c>
      <c r="N9" s="156" t="inlineStr">
        <is>
          <t>EX-1252</t>
        </is>
      </c>
    </row>
    <row r="10">
      <c r="A10" s="156" t="inlineStr">
        <is>
          <t>EX-334</t>
        </is>
      </c>
      <c r="B10" s="156" t="inlineStr">
        <is>
          <t>PC 300-8MO</t>
        </is>
      </c>
      <c r="C10" s="156" t="inlineStr">
        <is>
          <t>Excavator</t>
        </is>
      </c>
      <c r="D10" s="187">
        <f>SUMIFS(DATA_TS!$G$2:$G$20001,DATA_TS!$C$2:$C$20001,$A10,DATA_TS!$A$2:$A$20001,"&gt;="&amp;Kalkulasi!$B$20,DATA_TS!$A$2:$A$20001,"&lt;="&amp;Kalkulasi!$B$21,DATA_TS!$B$2:$B$20001,Kalkulasi!$B$22)*(OR(Availability!$O$6="Semua",C10=Availability!$O$6)*OR(Availability!$R$6="Semua",A10=Availability!$R$6))</f>
        <v/>
      </c>
      <c r="E10" s="187">
        <f>SUMIFS(DATA_TS!$J$2:$J$20001,DATA_TS!$C$2:$C$20001,$A10,DATA_TS!$A$2:$A$20001,"&gt;="&amp;Kalkulasi!$B$20,DATA_TS!$A$2:$A$20001,"&lt;="&amp;Kalkulasi!$B$21,DATA_TS!$B$2:$B$20001,Kalkulasi!$B$22)*(OR(Availability!$O$6="Semua",C10=Availability!$O$6)*OR(Availability!$R$6="Semua",A10=Availability!$R$6))</f>
        <v/>
      </c>
      <c r="F10" s="187">
        <f>SUMIFS(DATA_TS!$K$2:$K$20001,DATA_TS!$C$2:$C$20001,$A10,DATA_TS!$A$2:$A$20001,"&gt;="&amp;Kalkulasi!$B$20,DATA_TS!$A$2:$A$20001,"&lt;="&amp;Kalkulasi!$B$21,DATA_TS!$B$2:$B$20001,Kalkulasi!$B$22)*(OR(Availability!$O$6="Semua",C10=Availability!$O$6)*OR(Availability!$R$6="Semua",A10=Availability!$R$6))</f>
        <v/>
      </c>
      <c r="G10" s="187">
        <f>D10+E10+F10</f>
        <v/>
      </c>
      <c r="H10" s="189">
        <f>IF(G10=0,0,(D10+F10)/G10)</f>
        <v/>
      </c>
      <c r="I10" s="156">
        <f>E10+ROW()/1000000</f>
        <v/>
      </c>
      <c r="J10" s="156" t="n"/>
      <c r="K10" s="156" t="inlineStr">
        <is>
          <t>Loader</t>
        </is>
      </c>
      <c r="L10" s="156" t="inlineStr">
        <is>
          <t>EX-333</t>
        </is>
      </c>
      <c r="M10" s="155">
        <f>IF(M9="","",IF(M9+1&gt;MAX(DATA_TS!$A$2:$A$20001),"",M9+1))</f>
        <v/>
      </c>
      <c r="N10" s="156" t="inlineStr">
        <is>
          <t>EX-334</t>
        </is>
      </c>
    </row>
    <row r="11">
      <c r="A11" s="156" t="inlineStr">
        <is>
          <t>EX-335</t>
        </is>
      </c>
      <c r="B11" s="156" t="inlineStr">
        <is>
          <t>PC 300-8MO</t>
        </is>
      </c>
      <c r="C11" s="156" t="inlineStr">
        <is>
          <t>Excavator</t>
        </is>
      </c>
      <c r="D11" s="187">
        <f>SUMIFS(DATA_TS!$G$2:$G$20001,DATA_TS!$C$2:$C$20001,$A11,DATA_TS!$A$2:$A$20001,"&gt;="&amp;Kalkulasi!$B$20,DATA_TS!$A$2:$A$20001,"&lt;="&amp;Kalkulasi!$B$21,DATA_TS!$B$2:$B$20001,Kalkulasi!$B$22)*(OR(Availability!$O$6="Semua",C11=Availability!$O$6)*OR(Availability!$R$6="Semua",A11=Availability!$R$6))</f>
        <v/>
      </c>
      <c r="E11" s="187">
        <f>SUMIFS(DATA_TS!$J$2:$J$20001,DATA_TS!$C$2:$C$20001,$A11,DATA_TS!$A$2:$A$20001,"&gt;="&amp;Kalkulasi!$B$20,DATA_TS!$A$2:$A$20001,"&lt;="&amp;Kalkulasi!$B$21,DATA_TS!$B$2:$B$20001,Kalkulasi!$B$22)*(OR(Availability!$O$6="Semua",C11=Availability!$O$6)*OR(Availability!$R$6="Semua",A11=Availability!$R$6))</f>
        <v/>
      </c>
      <c r="F11" s="187">
        <f>SUMIFS(DATA_TS!$K$2:$K$20001,DATA_TS!$C$2:$C$20001,$A11,DATA_TS!$A$2:$A$20001,"&gt;="&amp;Kalkulasi!$B$20,DATA_TS!$A$2:$A$20001,"&lt;="&amp;Kalkulasi!$B$21,DATA_TS!$B$2:$B$20001,Kalkulasi!$B$22)*(OR(Availability!$O$6="Semua",C11=Availability!$O$6)*OR(Availability!$R$6="Semua",A11=Availability!$R$6))</f>
        <v/>
      </c>
      <c r="G11" s="187">
        <f>D11+E11+F11</f>
        <v/>
      </c>
      <c r="H11" s="189">
        <f>IF(G11=0,0,(D11+F11)/G11)</f>
        <v/>
      </c>
      <c r="I11" s="156">
        <f>E11+ROW()/1000000</f>
        <v/>
      </c>
      <c r="J11" s="156" t="n"/>
      <c r="K11" s="156" t="inlineStr">
        <is>
          <t>Compactor</t>
        </is>
      </c>
      <c r="L11" s="156" t="inlineStr">
        <is>
          <t>EX-334</t>
        </is>
      </c>
      <c r="M11" s="155">
        <f>IF(M10="","",IF(M10+1&gt;MAX(DATA_TS!$A$2:$A$20001),"",M10+1))</f>
        <v/>
      </c>
      <c r="N11" s="156" t="inlineStr">
        <is>
          <t>EX-336</t>
        </is>
      </c>
    </row>
    <row r="12">
      <c r="A12" s="156" t="inlineStr">
        <is>
          <t>EX-336</t>
        </is>
      </c>
      <c r="B12" s="156" t="inlineStr">
        <is>
          <t>PC 300-8MO</t>
        </is>
      </c>
      <c r="C12" s="156" t="inlineStr">
        <is>
          <t>Excavator</t>
        </is>
      </c>
      <c r="D12" s="187">
        <f>SUMIFS(DATA_TS!$G$2:$G$20001,DATA_TS!$C$2:$C$20001,$A12,DATA_TS!$A$2:$A$20001,"&gt;="&amp;Kalkulasi!$B$20,DATA_TS!$A$2:$A$20001,"&lt;="&amp;Kalkulasi!$B$21,DATA_TS!$B$2:$B$20001,Kalkulasi!$B$22)*(OR(Availability!$O$6="Semua",C12=Availability!$O$6)*OR(Availability!$R$6="Semua",A12=Availability!$R$6))</f>
        <v/>
      </c>
      <c r="E12" s="187">
        <f>SUMIFS(DATA_TS!$J$2:$J$20001,DATA_TS!$C$2:$C$20001,$A12,DATA_TS!$A$2:$A$20001,"&gt;="&amp;Kalkulasi!$B$20,DATA_TS!$A$2:$A$20001,"&lt;="&amp;Kalkulasi!$B$21,DATA_TS!$B$2:$B$20001,Kalkulasi!$B$22)*(OR(Availability!$O$6="Semua",C12=Availability!$O$6)*OR(Availability!$R$6="Semua",A12=Availability!$R$6))</f>
        <v/>
      </c>
      <c r="F12" s="187">
        <f>SUMIFS(DATA_TS!$K$2:$K$20001,DATA_TS!$C$2:$C$20001,$A12,DATA_TS!$A$2:$A$20001,"&gt;="&amp;Kalkulasi!$B$20,DATA_TS!$A$2:$A$20001,"&lt;="&amp;Kalkulasi!$B$21,DATA_TS!$B$2:$B$20001,Kalkulasi!$B$22)*(OR(Availability!$O$6="Semua",C12=Availability!$O$6)*OR(Availability!$R$6="Semua",A12=Availability!$R$6))</f>
        <v/>
      </c>
      <c r="G12" s="187">
        <f>D12+E12+F12</f>
        <v/>
      </c>
      <c r="H12" s="189">
        <f>IF(G12=0,0,(D12+F12)/G12)</f>
        <v/>
      </c>
      <c r="I12" s="156">
        <f>E12+ROW()/1000000</f>
        <v/>
      </c>
      <c r="J12" s="156" t="n"/>
      <c r="K12" s="156" t="n"/>
      <c r="L12" s="156" t="inlineStr">
        <is>
          <t>EX-335</t>
        </is>
      </c>
      <c r="M12" s="155">
        <f>IF(M11="","",IF(M11+1&gt;MAX(DATA_TS!$A$2:$A$20001),"",M11+1))</f>
        <v/>
      </c>
      <c r="N12" s="156" t="inlineStr">
        <is>
          <t>EX-333</t>
        </is>
      </c>
    </row>
    <row r="13">
      <c r="A13" s="156" t="inlineStr">
        <is>
          <t>EX-1251</t>
        </is>
      </c>
      <c r="B13" s="156" t="inlineStr">
        <is>
          <t>SY1250</t>
        </is>
      </c>
      <c r="C13" s="156" t="inlineStr">
        <is>
          <t>Excavator</t>
        </is>
      </c>
      <c r="D13" s="187">
        <f>SUMIFS(DATA_TS!$G$2:$G$20001,DATA_TS!$C$2:$C$20001,$A13,DATA_TS!$A$2:$A$20001,"&gt;="&amp;Kalkulasi!$B$20,DATA_TS!$A$2:$A$20001,"&lt;="&amp;Kalkulasi!$B$21,DATA_TS!$B$2:$B$20001,Kalkulasi!$B$22)*(OR(Availability!$O$6="Semua",C13=Availability!$O$6)*OR(Availability!$R$6="Semua",A13=Availability!$R$6))</f>
        <v/>
      </c>
      <c r="E13" s="187">
        <f>SUMIFS(DATA_TS!$J$2:$J$20001,DATA_TS!$C$2:$C$20001,$A13,DATA_TS!$A$2:$A$20001,"&gt;="&amp;Kalkulasi!$B$20,DATA_TS!$A$2:$A$20001,"&lt;="&amp;Kalkulasi!$B$21,DATA_TS!$B$2:$B$20001,Kalkulasi!$B$22)*(OR(Availability!$O$6="Semua",C13=Availability!$O$6)*OR(Availability!$R$6="Semua",A13=Availability!$R$6))</f>
        <v/>
      </c>
      <c r="F13" s="187">
        <f>SUMIFS(DATA_TS!$K$2:$K$20001,DATA_TS!$C$2:$C$20001,$A13,DATA_TS!$A$2:$A$20001,"&gt;="&amp;Kalkulasi!$B$20,DATA_TS!$A$2:$A$20001,"&lt;="&amp;Kalkulasi!$B$21,DATA_TS!$B$2:$B$20001,Kalkulasi!$B$22)*(OR(Availability!$O$6="Semua",C13=Availability!$O$6)*OR(Availability!$R$6="Semua",A13=Availability!$R$6))</f>
        <v/>
      </c>
      <c r="G13" s="187">
        <f>D13+E13+F13</f>
        <v/>
      </c>
      <c r="H13" s="189">
        <f>IF(G13=0,0,(D13+F13)/G13)</f>
        <v/>
      </c>
      <c r="I13" s="156">
        <f>E13+ROW()/1000000</f>
        <v/>
      </c>
      <c r="J13" s="156" t="n"/>
      <c r="K13" s="156" t="n"/>
      <c r="L13" s="156" t="inlineStr">
        <is>
          <t>EX-336</t>
        </is>
      </c>
      <c r="M13" s="155">
        <f>IF(M12="","",IF(M12+1&gt;MAX(DATA_TS!$A$2:$A$20001),"",M12+1))</f>
        <v/>
      </c>
      <c r="N13" s="156" t="inlineStr">
        <is>
          <t>EX-335</t>
        </is>
      </c>
    </row>
    <row r="14">
      <c r="A14" s="156" t="inlineStr">
        <is>
          <t>EX-1252</t>
        </is>
      </c>
      <c r="B14" s="156" t="inlineStr">
        <is>
          <t>SY1250</t>
        </is>
      </c>
      <c r="C14" s="156" t="inlineStr">
        <is>
          <t>Excavator</t>
        </is>
      </c>
      <c r="D14" s="187">
        <f>SUMIFS(DATA_TS!$G$2:$G$20001,DATA_TS!$C$2:$C$20001,$A14,DATA_TS!$A$2:$A$20001,"&gt;="&amp;Kalkulasi!$B$20,DATA_TS!$A$2:$A$20001,"&lt;="&amp;Kalkulasi!$B$21,DATA_TS!$B$2:$B$20001,Kalkulasi!$B$22)*(OR(Availability!$O$6="Semua",C14=Availability!$O$6)*OR(Availability!$R$6="Semua",A14=Availability!$R$6))</f>
        <v/>
      </c>
      <c r="E14" s="187">
        <f>SUMIFS(DATA_TS!$J$2:$J$20001,DATA_TS!$C$2:$C$20001,$A14,DATA_TS!$A$2:$A$20001,"&gt;="&amp;Kalkulasi!$B$20,DATA_TS!$A$2:$A$20001,"&lt;="&amp;Kalkulasi!$B$21,DATA_TS!$B$2:$B$20001,Kalkulasi!$B$22)*(OR(Availability!$O$6="Semua",C14=Availability!$O$6)*OR(Availability!$R$6="Semua",A14=Availability!$R$6))</f>
        <v/>
      </c>
      <c r="F14" s="187">
        <f>SUMIFS(DATA_TS!$K$2:$K$20001,DATA_TS!$C$2:$C$20001,$A14,DATA_TS!$A$2:$A$20001,"&gt;="&amp;Kalkulasi!$B$20,DATA_TS!$A$2:$A$20001,"&lt;="&amp;Kalkulasi!$B$21,DATA_TS!$B$2:$B$20001,Kalkulasi!$B$22)*(OR(Availability!$O$6="Semua",C14=Availability!$O$6)*OR(Availability!$R$6="Semua",A14=Availability!$R$6))</f>
        <v/>
      </c>
      <c r="G14" s="187">
        <f>D14+E14+F14</f>
        <v/>
      </c>
      <c r="H14" s="189">
        <f>IF(G14=0,0,(D14+F14)/G14)</f>
        <v/>
      </c>
      <c r="I14" s="156">
        <f>E14+ROW()/1000000</f>
        <v/>
      </c>
      <c r="J14" s="156" t="n"/>
      <c r="K14" s="156" t="n"/>
      <c r="L14" s="156" t="inlineStr">
        <is>
          <t>EX-1251</t>
        </is>
      </c>
      <c r="M14" s="155">
        <f>IF(M13="","",IF(M13+1&gt;MAX(DATA_TS!$A$2:$A$20001),"",M13+1))</f>
        <v/>
      </c>
      <c r="N14" s="156" t="inlineStr">
        <is>
          <t>EX-332</t>
        </is>
      </c>
    </row>
    <row r="15">
      <c r="A15" s="156" t="inlineStr">
        <is>
          <t>EX-2101</t>
        </is>
      </c>
      <c r="B15" s="156" t="inlineStr">
        <is>
          <t>SY2000</t>
        </is>
      </c>
      <c r="C15" s="156" t="inlineStr">
        <is>
          <t>Excavator</t>
        </is>
      </c>
      <c r="D15" s="187">
        <f>SUMIFS(DATA_TS!$G$2:$G$20001,DATA_TS!$C$2:$C$20001,$A15,DATA_TS!$A$2:$A$20001,"&gt;="&amp;Kalkulasi!$B$20,DATA_TS!$A$2:$A$20001,"&lt;="&amp;Kalkulasi!$B$21,DATA_TS!$B$2:$B$20001,Kalkulasi!$B$22)*(OR(Availability!$O$6="Semua",C15=Availability!$O$6)*OR(Availability!$R$6="Semua",A15=Availability!$R$6))</f>
        <v/>
      </c>
      <c r="E15" s="187">
        <f>SUMIFS(DATA_TS!$J$2:$J$20001,DATA_TS!$C$2:$C$20001,$A15,DATA_TS!$A$2:$A$20001,"&gt;="&amp;Kalkulasi!$B$20,DATA_TS!$A$2:$A$20001,"&lt;="&amp;Kalkulasi!$B$21,DATA_TS!$B$2:$B$20001,Kalkulasi!$B$22)*(OR(Availability!$O$6="Semua",C15=Availability!$O$6)*OR(Availability!$R$6="Semua",A15=Availability!$R$6))</f>
        <v/>
      </c>
      <c r="F15" s="187">
        <f>SUMIFS(DATA_TS!$K$2:$K$20001,DATA_TS!$C$2:$C$20001,$A15,DATA_TS!$A$2:$A$20001,"&gt;="&amp;Kalkulasi!$B$20,DATA_TS!$A$2:$A$20001,"&lt;="&amp;Kalkulasi!$B$21,DATA_TS!$B$2:$B$20001,Kalkulasi!$B$22)*(OR(Availability!$O$6="Semua",C15=Availability!$O$6)*OR(Availability!$R$6="Semua",A15=Availability!$R$6))</f>
        <v/>
      </c>
      <c r="G15" s="187">
        <f>D15+E15+F15</f>
        <v/>
      </c>
      <c r="H15" s="189">
        <f>IF(G15=0,0,(D15+F15)/G15)</f>
        <v/>
      </c>
      <c r="I15" s="156">
        <f>E15+ROW()/1000000</f>
        <v/>
      </c>
      <c r="J15" s="156" t="n"/>
      <c r="K15" s="156" t="n"/>
      <c r="L15" s="156" t="inlineStr">
        <is>
          <t>EX-1252</t>
        </is>
      </c>
      <c r="M15" s="155">
        <f>IF(M14="","",IF(M14+1&gt;MAX(DATA_TS!$A$2:$A$20001),"",M14+1))</f>
        <v/>
      </c>
      <c r="N15" s="156" t="inlineStr">
        <is>
          <t>EX-222</t>
        </is>
      </c>
    </row>
    <row r="16">
      <c r="A16" s="156" t="inlineStr">
        <is>
          <t>EX-751</t>
        </is>
      </c>
      <c r="B16" s="156" t="inlineStr">
        <is>
          <t>SY750H-PRO</t>
        </is>
      </c>
      <c r="C16" s="156" t="inlineStr">
        <is>
          <t>Excavator</t>
        </is>
      </c>
      <c r="D16" s="187">
        <f>SUMIFS(DATA_TS!$G$2:$G$20001,DATA_TS!$C$2:$C$20001,$A16,DATA_TS!$A$2:$A$20001,"&gt;="&amp;Kalkulasi!$B$20,DATA_TS!$A$2:$A$20001,"&lt;="&amp;Kalkulasi!$B$21,DATA_TS!$B$2:$B$20001,Kalkulasi!$B$22)*(OR(Availability!$O$6="Semua",C16=Availability!$O$6)*OR(Availability!$R$6="Semua",A16=Availability!$R$6))</f>
        <v/>
      </c>
      <c r="E16" s="187">
        <f>SUMIFS(DATA_TS!$J$2:$J$20001,DATA_TS!$C$2:$C$20001,$A16,DATA_TS!$A$2:$A$20001,"&gt;="&amp;Kalkulasi!$B$20,DATA_TS!$A$2:$A$20001,"&lt;="&amp;Kalkulasi!$B$21,DATA_TS!$B$2:$B$20001,Kalkulasi!$B$22)*(OR(Availability!$O$6="Semua",C16=Availability!$O$6)*OR(Availability!$R$6="Semua",A16=Availability!$R$6))</f>
        <v/>
      </c>
      <c r="F16" s="187">
        <f>SUMIFS(DATA_TS!$K$2:$K$20001,DATA_TS!$C$2:$C$20001,$A16,DATA_TS!$A$2:$A$20001,"&gt;="&amp;Kalkulasi!$B$20,DATA_TS!$A$2:$A$20001,"&lt;="&amp;Kalkulasi!$B$21,DATA_TS!$B$2:$B$20001,Kalkulasi!$B$22)*(OR(Availability!$O$6="Semua",C16=Availability!$O$6)*OR(Availability!$R$6="Semua",A16=Availability!$R$6))</f>
        <v/>
      </c>
      <c r="G16" s="187">
        <f>D16+E16+F16</f>
        <v/>
      </c>
      <c r="H16" s="189">
        <f>IF(G16=0,0,(D16+F16)/G16)</f>
        <v/>
      </c>
      <c r="I16" s="156">
        <f>E16+ROW()/1000000</f>
        <v/>
      </c>
      <c r="J16" s="156" t="n"/>
      <c r="K16" s="156" t="n"/>
      <c r="L16" s="156" t="inlineStr">
        <is>
          <t>EX-2101</t>
        </is>
      </c>
      <c r="M16" s="155">
        <f>IF(M15="","",IF(M15+1&gt;MAX(DATA_TS!$A$2:$A$20001),"",M15+1))</f>
        <v/>
      </c>
      <c r="N16" s="156" t="inlineStr">
        <is>
          <t>EX-223</t>
        </is>
      </c>
    </row>
    <row r="17">
      <c r="A17" s="156" t="inlineStr">
        <is>
          <t>EX-752</t>
        </is>
      </c>
      <c r="B17" s="156" t="inlineStr">
        <is>
          <t>SY750H-PRO</t>
        </is>
      </c>
      <c r="C17" s="156" t="inlineStr">
        <is>
          <t>Excavator</t>
        </is>
      </c>
      <c r="D17" s="187">
        <f>SUMIFS(DATA_TS!$G$2:$G$20001,DATA_TS!$C$2:$C$20001,$A17,DATA_TS!$A$2:$A$20001,"&gt;="&amp;Kalkulasi!$B$20,DATA_TS!$A$2:$A$20001,"&lt;="&amp;Kalkulasi!$B$21,DATA_TS!$B$2:$B$20001,Kalkulasi!$B$22)*(OR(Availability!$O$6="Semua",C17=Availability!$O$6)*OR(Availability!$R$6="Semua",A17=Availability!$R$6))</f>
        <v/>
      </c>
      <c r="E17" s="187">
        <f>SUMIFS(DATA_TS!$J$2:$J$20001,DATA_TS!$C$2:$C$20001,$A17,DATA_TS!$A$2:$A$20001,"&gt;="&amp;Kalkulasi!$B$20,DATA_TS!$A$2:$A$20001,"&lt;="&amp;Kalkulasi!$B$21,DATA_TS!$B$2:$B$20001,Kalkulasi!$B$22)*(OR(Availability!$O$6="Semua",C17=Availability!$O$6)*OR(Availability!$R$6="Semua",A17=Availability!$R$6))</f>
        <v/>
      </c>
      <c r="F17" s="187">
        <f>SUMIFS(DATA_TS!$K$2:$K$20001,DATA_TS!$C$2:$C$20001,$A17,DATA_TS!$A$2:$A$20001,"&gt;="&amp;Kalkulasi!$B$20,DATA_TS!$A$2:$A$20001,"&lt;="&amp;Kalkulasi!$B$21,DATA_TS!$B$2:$B$20001,Kalkulasi!$B$22)*(OR(Availability!$O$6="Semua",C17=Availability!$O$6)*OR(Availability!$R$6="Semua",A17=Availability!$R$6))</f>
        <v/>
      </c>
      <c r="G17" s="187">
        <f>D17+E17+F17</f>
        <v/>
      </c>
      <c r="H17" s="189">
        <f>IF(G17=0,0,(D17+F17)/G17)</f>
        <v/>
      </c>
      <c r="I17" s="156">
        <f>E17+ROW()/1000000</f>
        <v/>
      </c>
      <c r="J17" s="156" t="n"/>
      <c r="K17" s="156" t="n"/>
      <c r="L17" s="156" t="inlineStr">
        <is>
          <t>EX-751</t>
        </is>
      </c>
      <c r="M17" s="155">
        <f>IF(M16="","",IF(M16+1&gt;MAX(DATA_TS!$A$2:$A$20001),"",M16+1))</f>
        <v/>
      </c>
      <c r="N17" s="156" t="inlineStr">
        <is>
          <t>EX-221</t>
        </is>
      </c>
    </row>
    <row r="18">
      <c r="A18" s="156" t="inlineStr">
        <is>
          <t>EX-753</t>
        </is>
      </c>
      <c r="B18" s="156" t="inlineStr">
        <is>
          <t>SY750H-PRO</t>
        </is>
      </c>
      <c r="C18" s="156" t="inlineStr">
        <is>
          <t>Excavator</t>
        </is>
      </c>
      <c r="D18" s="187">
        <f>SUMIFS(DATA_TS!$G$2:$G$20001,DATA_TS!$C$2:$C$20001,$A18,DATA_TS!$A$2:$A$20001,"&gt;="&amp;Kalkulasi!$B$20,DATA_TS!$A$2:$A$20001,"&lt;="&amp;Kalkulasi!$B$21,DATA_TS!$B$2:$B$20001,Kalkulasi!$B$22)*(OR(Availability!$O$6="Semua",C18=Availability!$O$6)*OR(Availability!$R$6="Semua",A18=Availability!$R$6))</f>
        <v/>
      </c>
      <c r="E18" s="187">
        <f>SUMIFS(DATA_TS!$J$2:$J$20001,DATA_TS!$C$2:$C$20001,$A18,DATA_TS!$A$2:$A$20001,"&gt;="&amp;Kalkulasi!$B$20,DATA_TS!$A$2:$A$20001,"&lt;="&amp;Kalkulasi!$B$21,DATA_TS!$B$2:$B$20001,Kalkulasi!$B$22)*(OR(Availability!$O$6="Semua",C18=Availability!$O$6)*OR(Availability!$R$6="Semua",A18=Availability!$R$6))</f>
        <v/>
      </c>
      <c r="F18" s="187">
        <f>SUMIFS(DATA_TS!$K$2:$K$20001,DATA_TS!$C$2:$C$20001,$A18,DATA_TS!$A$2:$A$20001,"&gt;="&amp;Kalkulasi!$B$20,DATA_TS!$A$2:$A$20001,"&lt;="&amp;Kalkulasi!$B$21,DATA_TS!$B$2:$B$20001,Kalkulasi!$B$22)*(OR(Availability!$O$6="Semua",C18=Availability!$O$6)*OR(Availability!$R$6="Semua",A18=Availability!$R$6))</f>
        <v/>
      </c>
      <c r="G18" s="187">
        <f>D18+E18+F18</f>
        <v/>
      </c>
      <c r="H18" s="189">
        <f>IF(G18=0,0,(D18+F18)/G18)</f>
        <v/>
      </c>
      <c r="I18" s="156">
        <f>E18+ROW()/1000000</f>
        <v/>
      </c>
      <c r="J18" s="156" t="n"/>
      <c r="K18" s="156" t="n"/>
      <c r="L18" s="156" t="inlineStr">
        <is>
          <t>EX-752</t>
        </is>
      </c>
      <c r="M18" s="155">
        <f>IF(M17="","",IF(M17+1&gt;MAX(DATA_TS!$A$2:$A$20001),"",M17+1))</f>
        <v/>
      </c>
      <c r="N18" s="156" t="inlineStr">
        <is>
          <t>EX-225</t>
        </is>
      </c>
    </row>
    <row r="19">
      <c r="A19" s="156" t="inlineStr">
        <is>
          <t>EX-754</t>
        </is>
      </c>
      <c r="B19" s="156" t="inlineStr">
        <is>
          <t>SY750H-PRO</t>
        </is>
      </c>
      <c r="C19" s="156" t="inlineStr">
        <is>
          <t>Excavator</t>
        </is>
      </c>
      <c r="D19" s="187">
        <f>SUMIFS(DATA_TS!$G$2:$G$20001,DATA_TS!$C$2:$C$20001,$A19,DATA_TS!$A$2:$A$20001,"&gt;="&amp;Kalkulasi!$B$20,DATA_TS!$A$2:$A$20001,"&lt;="&amp;Kalkulasi!$B$21,DATA_TS!$B$2:$B$20001,Kalkulasi!$B$22)*(OR(Availability!$O$6="Semua",C19=Availability!$O$6)*OR(Availability!$R$6="Semua",A19=Availability!$R$6))</f>
        <v/>
      </c>
      <c r="E19" s="187">
        <f>SUMIFS(DATA_TS!$J$2:$J$20001,DATA_TS!$C$2:$C$20001,$A19,DATA_TS!$A$2:$A$20001,"&gt;="&amp;Kalkulasi!$B$20,DATA_TS!$A$2:$A$20001,"&lt;="&amp;Kalkulasi!$B$21,DATA_TS!$B$2:$B$20001,Kalkulasi!$B$22)*(OR(Availability!$O$6="Semua",C19=Availability!$O$6)*OR(Availability!$R$6="Semua",A19=Availability!$R$6))</f>
        <v/>
      </c>
      <c r="F19" s="187">
        <f>SUMIFS(DATA_TS!$K$2:$K$20001,DATA_TS!$C$2:$C$20001,$A19,DATA_TS!$A$2:$A$20001,"&gt;="&amp;Kalkulasi!$B$20,DATA_TS!$A$2:$A$20001,"&lt;="&amp;Kalkulasi!$B$21,DATA_TS!$B$2:$B$20001,Kalkulasi!$B$22)*(OR(Availability!$O$6="Semua",C19=Availability!$O$6)*OR(Availability!$R$6="Semua",A19=Availability!$R$6))</f>
        <v/>
      </c>
      <c r="G19" s="187">
        <f>D19+E19+F19</f>
        <v/>
      </c>
      <c r="H19" s="189">
        <f>IF(G19=0,0,(D19+F19)/G19)</f>
        <v/>
      </c>
      <c r="I19" s="156">
        <f>E19+ROW()/1000000</f>
        <v/>
      </c>
      <c r="J19" s="156" t="n"/>
      <c r="K19" s="156" t="n"/>
      <c r="L19" s="156" t="inlineStr">
        <is>
          <t>EX-753</t>
        </is>
      </c>
      <c r="M19" s="155">
        <f>IF(M18="","",IF(M18+1&gt;MAX(DATA_TS!$A$2:$A$20001),"",M18+1))</f>
        <v/>
      </c>
      <c r="N19" s="156" t="inlineStr">
        <is>
          <t>EX-331</t>
        </is>
      </c>
    </row>
    <row r="20">
      <c r="A20" s="156" t="inlineStr">
        <is>
          <t>EX-755</t>
        </is>
      </c>
      <c r="B20" s="156" t="inlineStr">
        <is>
          <t>SY750H-PRO</t>
        </is>
      </c>
      <c r="C20" s="156" t="inlineStr">
        <is>
          <t>Excavator</t>
        </is>
      </c>
      <c r="D20" s="187">
        <f>SUMIFS(DATA_TS!$G$2:$G$20001,DATA_TS!$C$2:$C$20001,$A20,DATA_TS!$A$2:$A$20001,"&gt;="&amp;Kalkulasi!$B$20,DATA_TS!$A$2:$A$20001,"&lt;="&amp;Kalkulasi!$B$21,DATA_TS!$B$2:$B$20001,Kalkulasi!$B$22)*(OR(Availability!$O$6="Semua",C20=Availability!$O$6)*OR(Availability!$R$6="Semua",A20=Availability!$R$6))</f>
        <v/>
      </c>
      <c r="E20" s="187">
        <f>SUMIFS(DATA_TS!$J$2:$J$20001,DATA_TS!$C$2:$C$20001,$A20,DATA_TS!$A$2:$A$20001,"&gt;="&amp;Kalkulasi!$B$20,DATA_TS!$A$2:$A$20001,"&lt;="&amp;Kalkulasi!$B$21,DATA_TS!$B$2:$B$20001,Kalkulasi!$B$22)*(OR(Availability!$O$6="Semua",C20=Availability!$O$6)*OR(Availability!$R$6="Semua",A20=Availability!$R$6))</f>
        <v/>
      </c>
      <c r="F20" s="187">
        <f>SUMIFS(DATA_TS!$K$2:$K$20001,DATA_TS!$C$2:$C$20001,$A20,DATA_TS!$A$2:$A$20001,"&gt;="&amp;Kalkulasi!$B$20,DATA_TS!$A$2:$A$20001,"&lt;="&amp;Kalkulasi!$B$21,DATA_TS!$B$2:$B$20001,Kalkulasi!$B$22)*(OR(Availability!$O$6="Semua",C20=Availability!$O$6)*OR(Availability!$R$6="Semua",A20=Availability!$R$6))</f>
        <v/>
      </c>
      <c r="G20" s="187">
        <f>D20+E20+F20</f>
        <v/>
      </c>
      <c r="H20" s="189">
        <f>IF(G20=0,0,(D20+F20)/G20)</f>
        <v/>
      </c>
      <c r="I20" s="156">
        <f>E20+ROW()/1000000</f>
        <v/>
      </c>
      <c r="J20" s="156" t="n"/>
      <c r="K20" s="156" t="n"/>
      <c r="L20" s="156" t="inlineStr">
        <is>
          <t>EX-754</t>
        </is>
      </c>
      <c r="M20" s="155">
        <f>IF(M19="","",IF(M19+1&gt;MAX(DATA_TS!$A$2:$A$20001),"",M19+1))</f>
        <v/>
      </c>
      <c r="N20" s="156" t="inlineStr">
        <is>
          <t>EX-751</t>
        </is>
      </c>
    </row>
    <row r="21">
      <c r="A21" s="156" t="inlineStr">
        <is>
          <t>DT-501</t>
        </is>
      </c>
      <c r="B21" s="156" t="inlineStr">
        <is>
          <t>SKT 105S</t>
        </is>
      </c>
      <c r="C21" s="156" t="inlineStr">
        <is>
          <t>Hauler</t>
        </is>
      </c>
      <c r="D21" s="187">
        <f>SUMIFS(DATA_TS!$G$2:$G$20001,DATA_TS!$C$2:$C$20001,$A21,DATA_TS!$A$2:$A$20001,"&gt;="&amp;Kalkulasi!$B$20,DATA_TS!$A$2:$A$20001,"&lt;="&amp;Kalkulasi!$B$21,DATA_TS!$B$2:$B$20001,Kalkulasi!$B$22)*(OR(Availability!$O$6="Semua",C21=Availability!$O$6)*OR(Availability!$R$6="Semua",A21=Availability!$R$6))</f>
        <v/>
      </c>
      <c r="E21" s="187">
        <f>SUMIFS(DATA_TS!$J$2:$J$20001,DATA_TS!$C$2:$C$20001,$A21,DATA_TS!$A$2:$A$20001,"&gt;="&amp;Kalkulasi!$B$20,DATA_TS!$A$2:$A$20001,"&lt;="&amp;Kalkulasi!$B$21,DATA_TS!$B$2:$B$20001,Kalkulasi!$B$22)*(OR(Availability!$O$6="Semua",C21=Availability!$O$6)*OR(Availability!$R$6="Semua",A21=Availability!$R$6))</f>
        <v/>
      </c>
      <c r="F21" s="187">
        <f>SUMIFS(DATA_TS!$K$2:$K$20001,DATA_TS!$C$2:$C$20001,$A21,DATA_TS!$A$2:$A$20001,"&gt;="&amp;Kalkulasi!$B$20,DATA_TS!$A$2:$A$20001,"&lt;="&amp;Kalkulasi!$B$21,DATA_TS!$B$2:$B$20001,Kalkulasi!$B$22)*(OR(Availability!$O$6="Semua",C21=Availability!$O$6)*OR(Availability!$R$6="Semua",A21=Availability!$R$6))</f>
        <v/>
      </c>
      <c r="G21" s="187">
        <f>D21+E21+F21</f>
        <v/>
      </c>
      <c r="H21" s="189">
        <f>IF(G21=0,0,(D21+F21)/G21)</f>
        <v/>
      </c>
      <c r="I21" s="156">
        <f>E21+ROW()/1000000</f>
        <v/>
      </c>
      <c r="J21" s="156" t="n"/>
      <c r="K21" s="156" t="n"/>
      <c r="L21" s="156" t="inlineStr">
        <is>
          <t>EX-755</t>
        </is>
      </c>
      <c r="M21" s="155">
        <f>IF(M20="","",IF(M20+1&gt;MAX(DATA_TS!$A$2:$A$20001),"",M20+1))</f>
        <v/>
      </c>
      <c r="N21" s="156" t="inlineStr">
        <is>
          <t>EX-752</t>
        </is>
      </c>
    </row>
    <row r="22">
      <c r="A22" s="156" t="inlineStr">
        <is>
          <t>DT-502</t>
        </is>
      </c>
      <c r="B22" s="156" t="inlineStr">
        <is>
          <t>SKT 105S</t>
        </is>
      </c>
      <c r="C22" s="156" t="inlineStr">
        <is>
          <t>Hauler</t>
        </is>
      </c>
      <c r="D22" s="187">
        <f>SUMIFS(DATA_TS!$G$2:$G$20001,DATA_TS!$C$2:$C$20001,$A22,DATA_TS!$A$2:$A$20001,"&gt;="&amp;Kalkulasi!$B$20,DATA_TS!$A$2:$A$20001,"&lt;="&amp;Kalkulasi!$B$21,DATA_TS!$B$2:$B$20001,Kalkulasi!$B$22)*(OR(Availability!$O$6="Semua",C22=Availability!$O$6)*OR(Availability!$R$6="Semua",A22=Availability!$R$6))</f>
        <v/>
      </c>
      <c r="E22" s="187">
        <f>SUMIFS(DATA_TS!$J$2:$J$20001,DATA_TS!$C$2:$C$20001,$A22,DATA_TS!$A$2:$A$20001,"&gt;="&amp;Kalkulasi!$B$20,DATA_TS!$A$2:$A$20001,"&lt;="&amp;Kalkulasi!$B$21,DATA_TS!$B$2:$B$20001,Kalkulasi!$B$22)*(OR(Availability!$O$6="Semua",C22=Availability!$O$6)*OR(Availability!$R$6="Semua",A22=Availability!$R$6))</f>
        <v/>
      </c>
      <c r="F22" s="187">
        <f>SUMIFS(DATA_TS!$K$2:$K$20001,DATA_TS!$C$2:$C$20001,$A22,DATA_TS!$A$2:$A$20001,"&gt;="&amp;Kalkulasi!$B$20,DATA_TS!$A$2:$A$20001,"&lt;="&amp;Kalkulasi!$B$21,DATA_TS!$B$2:$B$20001,Kalkulasi!$B$22)*(OR(Availability!$O$6="Semua",C22=Availability!$O$6)*OR(Availability!$R$6="Semua",A22=Availability!$R$6))</f>
        <v/>
      </c>
      <c r="G22" s="187">
        <f>D22+E22+F22</f>
        <v/>
      </c>
      <c r="H22" s="189">
        <f>IF(G22=0,0,(D22+F22)/G22)</f>
        <v/>
      </c>
      <c r="I22" s="156">
        <f>E22+ROW()/1000000</f>
        <v/>
      </c>
      <c r="J22" s="156" t="n"/>
      <c r="K22" s="156" t="n"/>
      <c r="L22" s="156" t="inlineStr">
        <is>
          <t>DT-501</t>
        </is>
      </c>
      <c r="M22" s="155">
        <f>IF(M21="","",IF(M21+1&gt;MAX(DATA_TS!$A$2:$A$20001),"",M21+1))</f>
        <v/>
      </c>
      <c r="N22" s="156" t="n"/>
    </row>
    <row r="23">
      <c r="A23" s="156" t="inlineStr">
        <is>
          <t>DT-503</t>
        </is>
      </c>
      <c r="B23" s="156" t="inlineStr">
        <is>
          <t>SKT 105S</t>
        </is>
      </c>
      <c r="C23" s="156" t="inlineStr">
        <is>
          <t>Hauler</t>
        </is>
      </c>
      <c r="D23" s="187">
        <f>SUMIFS(DATA_TS!$G$2:$G$20001,DATA_TS!$C$2:$C$20001,$A23,DATA_TS!$A$2:$A$20001,"&gt;="&amp;Kalkulasi!$B$20,DATA_TS!$A$2:$A$20001,"&lt;="&amp;Kalkulasi!$B$21,DATA_TS!$B$2:$B$20001,Kalkulasi!$B$22)*(OR(Availability!$O$6="Semua",C23=Availability!$O$6)*OR(Availability!$R$6="Semua",A23=Availability!$R$6))</f>
        <v/>
      </c>
      <c r="E23" s="187">
        <f>SUMIFS(DATA_TS!$J$2:$J$20001,DATA_TS!$C$2:$C$20001,$A23,DATA_TS!$A$2:$A$20001,"&gt;="&amp;Kalkulasi!$B$20,DATA_TS!$A$2:$A$20001,"&lt;="&amp;Kalkulasi!$B$21,DATA_TS!$B$2:$B$20001,Kalkulasi!$B$22)*(OR(Availability!$O$6="Semua",C23=Availability!$O$6)*OR(Availability!$R$6="Semua",A23=Availability!$R$6))</f>
        <v/>
      </c>
      <c r="F23" s="187">
        <f>SUMIFS(DATA_TS!$K$2:$K$20001,DATA_TS!$C$2:$C$20001,$A23,DATA_TS!$A$2:$A$20001,"&gt;="&amp;Kalkulasi!$B$20,DATA_TS!$A$2:$A$20001,"&lt;="&amp;Kalkulasi!$B$21,DATA_TS!$B$2:$B$20001,Kalkulasi!$B$22)*(OR(Availability!$O$6="Semua",C23=Availability!$O$6)*OR(Availability!$R$6="Semua",A23=Availability!$R$6))</f>
        <v/>
      </c>
      <c r="G23" s="187">
        <f>D23+E23+F23</f>
        <v/>
      </c>
      <c r="H23" s="189">
        <f>IF(G23=0,0,(D23+F23)/G23)</f>
        <v/>
      </c>
      <c r="I23" s="156">
        <f>E23+ROW()/1000000</f>
        <v/>
      </c>
      <c r="J23" s="156" t="n"/>
      <c r="K23" s="156" t="n"/>
      <c r="L23" s="156" t="inlineStr">
        <is>
          <t>DT-502</t>
        </is>
      </c>
      <c r="M23" s="155">
        <f>IF(M22="","",IF(M22+1&gt;MAX(DATA_TS!$A$2:$A$20001),"",M22+1))</f>
        <v/>
      </c>
      <c r="N23" s="156" t="n"/>
    </row>
    <row r="24">
      <c r="A24" s="156" t="inlineStr">
        <is>
          <t>DT-504</t>
        </is>
      </c>
      <c r="B24" s="156" t="inlineStr">
        <is>
          <t>SKT 105S</t>
        </is>
      </c>
      <c r="C24" s="156" t="inlineStr">
        <is>
          <t>Hauler</t>
        </is>
      </c>
      <c r="D24" s="187">
        <f>SUMIFS(DATA_TS!$G$2:$G$20001,DATA_TS!$C$2:$C$20001,$A24,DATA_TS!$A$2:$A$20001,"&gt;="&amp;Kalkulasi!$B$20,DATA_TS!$A$2:$A$20001,"&lt;="&amp;Kalkulasi!$B$21,DATA_TS!$B$2:$B$20001,Kalkulasi!$B$22)*(OR(Availability!$O$6="Semua",C24=Availability!$O$6)*OR(Availability!$R$6="Semua",A24=Availability!$R$6))</f>
        <v/>
      </c>
      <c r="E24" s="187">
        <f>SUMIFS(DATA_TS!$J$2:$J$20001,DATA_TS!$C$2:$C$20001,$A24,DATA_TS!$A$2:$A$20001,"&gt;="&amp;Kalkulasi!$B$20,DATA_TS!$A$2:$A$20001,"&lt;="&amp;Kalkulasi!$B$21,DATA_TS!$B$2:$B$20001,Kalkulasi!$B$22)*(OR(Availability!$O$6="Semua",C24=Availability!$O$6)*OR(Availability!$R$6="Semua",A24=Availability!$R$6))</f>
        <v/>
      </c>
      <c r="F24" s="187">
        <f>SUMIFS(DATA_TS!$K$2:$K$20001,DATA_TS!$C$2:$C$20001,$A24,DATA_TS!$A$2:$A$20001,"&gt;="&amp;Kalkulasi!$B$20,DATA_TS!$A$2:$A$20001,"&lt;="&amp;Kalkulasi!$B$21,DATA_TS!$B$2:$B$20001,Kalkulasi!$B$22)*(OR(Availability!$O$6="Semua",C24=Availability!$O$6)*OR(Availability!$R$6="Semua",A24=Availability!$R$6))</f>
        <v/>
      </c>
      <c r="G24" s="187">
        <f>D24+E24+F24</f>
        <v/>
      </c>
      <c r="H24" s="189">
        <f>IF(G24=0,0,(D24+F24)/G24)</f>
        <v/>
      </c>
      <c r="I24" s="156">
        <f>E24+ROW()/1000000</f>
        <v/>
      </c>
      <c r="J24" s="156" t="n"/>
      <c r="K24" s="156" t="n"/>
      <c r="L24" s="156" t="inlineStr">
        <is>
          <t>DT-503</t>
        </is>
      </c>
      <c r="M24" s="155">
        <f>IF(M23="","",IF(M23+1&gt;MAX(DATA_TS!$A$2:$A$20001),"",M23+1))</f>
        <v/>
      </c>
      <c r="N24" s="156" t="n"/>
    </row>
    <row r="25">
      <c r="A25" s="156" t="inlineStr">
        <is>
          <t>DT-505</t>
        </is>
      </c>
      <c r="B25" s="156" t="inlineStr">
        <is>
          <t>SKT 105S</t>
        </is>
      </c>
      <c r="C25" s="156" t="inlineStr">
        <is>
          <t>Hauler</t>
        </is>
      </c>
      <c r="D25" s="187">
        <f>SUMIFS(DATA_TS!$G$2:$G$20001,DATA_TS!$C$2:$C$20001,$A25,DATA_TS!$A$2:$A$20001,"&gt;="&amp;Kalkulasi!$B$20,DATA_TS!$A$2:$A$20001,"&lt;="&amp;Kalkulasi!$B$21,DATA_TS!$B$2:$B$20001,Kalkulasi!$B$22)*(OR(Availability!$O$6="Semua",C25=Availability!$O$6)*OR(Availability!$R$6="Semua",A25=Availability!$R$6))</f>
        <v/>
      </c>
      <c r="E25" s="187">
        <f>SUMIFS(DATA_TS!$J$2:$J$20001,DATA_TS!$C$2:$C$20001,$A25,DATA_TS!$A$2:$A$20001,"&gt;="&amp;Kalkulasi!$B$20,DATA_TS!$A$2:$A$20001,"&lt;="&amp;Kalkulasi!$B$21,DATA_TS!$B$2:$B$20001,Kalkulasi!$B$22)*(OR(Availability!$O$6="Semua",C25=Availability!$O$6)*OR(Availability!$R$6="Semua",A25=Availability!$R$6))</f>
        <v/>
      </c>
      <c r="F25" s="187">
        <f>SUMIFS(DATA_TS!$K$2:$K$20001,DATA_TS!$C$2:$C$20001,$A25,DATA_TS!$A$2:$A$20001,"&gt;="&amp;Kalkulasi!$B$20,DATA_TS!$A$2:$A$20001,"&lt;="&amp;Kalkulasi!$B$21,DATA_TS!$B$2:$B$20001,Kalkulasi!$B$22)*(OR(Availability!$O$6="Semua",C25=Availability!$O$6)*OR(Availability!$R$6="Semua",A25=Availability!$R$6))</f>
        <v/>
      </c>
      <c r="G25" s="187">
        <f>D25+E25+F25</f>
        <v/>
      </c>
      <c r="H25" s="189">
        <f>IF(G25=0,0,(D25+F25)/G25)</f>
        <v/>
      </c>
      <c r="I25" s="156">
        <f>E25+ROW()/1000000</f>
        <v/>
      </c>
      <c r="J25" s="156" t="n"/>
      <c r="K25" s="156" t="n"/>
      <c r="L25" s="156" t="inlineStr">
        <is>
          <t>DT-504</t>
        </is>
      </c>
      <c r="M25" s="155">
        <f>IF(M24="","",IF(M24+1&gt;MAX(DATA_TS!$A$2:$A$20001),"",M24+1))</f>
        <v/>
      </c>
      <c r="N25" s="156" t="n"/>
    </row>
    <row r="26">
      <c r="A26" s="156" t="inlineStr">
        <is>
          <t>DT-506</t>
        </is>
      </c>
      <c r="B26" s="156" t="inlineStr">
        <is>
          <t>SKT 105S</t>
        </is>
      </c>
      <c r="C26" s="156" t="inlineStr">
        <is>
          <t>Hauler</t>
        </is>
      </c>
      <c r="D26" s="187">
        <f>SUMIFS(DATA_TS!$G$2:$G$20001,DATA_TS!$C$2:$C$20001,$A26,DATA_TS!$A$2:$A$20001,"&gt;="&amp;Kalkulasi!$B$20,DATA_TS!$A$2:$A$20001,"&lt;="&amp;Kalkulasi!$B$21,DATA_TS!$B$2:$B$20001,Kalkulasi!$B$22)*(OR(Availability!$O$6="Semua",C26=Availability!$O$6)*OR(Availability!$R$6="Semua",A26=Availability!$R$6))</f>
        <v/>
      </c>
      <c r="E26" s="187">
        <f>SUMIFS(DATA_TS!$J$2:$J$20001,DATA_TS!$C$2:$C$20001,$A26,DATA_TS!$A$2:$A$20001,"&gt;="&amp;Kalkulasi!$B$20,DATA_TS!$A$2:$A$20001,"&lt;="&amp;Kalkulasi!$B$21,DATA_TS!$B$2:$B$20001,Kalkulasi!$B$22)*(OR(Availability!$O$6="Semua",C26=Availability!$O$6)*OR(Availability!$R$6="Semua",A26=Availability!$R$6))</f>
        <v/>
      </c>
      <c r="F26" s="187">
        <f>SUMIFS(DATA_TS!$K$2:$K$20001,DATA_TS!$C$2:$C$20001,$A26,DATA_TS!$A$2:$A$20001,"&gt;="&amp;Kalkulasi!$B$20,DATA_TS!$A$2:$A$20001,"&lt;="&amp;Kalkulasi!$B$21,DATA_TS!$B$2:$B$20001,Kalkulasi!$B$22)*(OR(Availability!$O$6="Semua",C26=Availability!$O$6)*OR(Availability!$R$6="Semua",A26=Availability!$R$6))</f>
        <v/>
      </c>
      <c r="G26" s="187">
        <f>D26+E26+F26</f>
        <v/>
      </c>
      <c r="H26" s="189">
        <f>IF(G26=0,0,(D26+F26)/G26)</f>
        <v/>
      </c>
      <c r="I26" s="156">
        <f>E26+ROW()/1000000</f>
        <v/>
      </c>
      <c r="J26" s="156" t="n"/>
      <c r="K26" s="156" t="n"/>
      <c r="L26" s="156" t="inlineStr">
        <is>
          <t>DT-505</t>
        </is>
      </c>
      <c r="M26" s="155">
        <f>IF(M25="","",IF(M25+1&gt;MAX(DATA_TS!$A$2:$A$20001),"",M25+1))</f>
        <v/>
      </c>
      <c r="N26" s="156" t="n"/>
    </row>
    <row r="27">
      <c r="A27" s="156" t="inlineStr">
        <is>
          <t>DT-507</t>
        </is>
      </c>
      <c r="B27" s="156" t="inlineStr">
        <is>
          <t>SKT 105S</t>
        </is>
      </c>
      <c r="C27" s="156" t="inlineStr">
        <is>
          <t>Hauler</t>
        </is>
      </c>
      <c r="D27" s="187">
        <f>SUMIFS(DATA_TS!$G$2:$G$20001,DATA_TS!$C$2:$C$20001,$A27,DATA_TS!$A$2:$A$20001,"&gt;="&amp;Kalkulasi!$B$20,DATA_TS!$A$2:$A$20001,"&lt;="&amp;Kalkulasi!$B$21,DATA_TS!$B$2:$B$20001,Kalkulasi!$B$22)*(OR(Availability!$O$6="Semua",C27=Availability!$O$6)*OR(Availability!$R$6="Semua",A27=Availability!$R$6))</f>
        <v/>
      </c>
      <c r="E27" s="187">
        <f>SUMIFS(DATA_TS!$J$2:$J$20001,DATA_TS!$C$2:$C$20001,$A27,DATA_TS!$A$2:$A$20001,"&gt;="&amp;Kalkulasi!$B$20,DATA_TS!$A$2:$A$20001,"&lt;="&amp;Kalkulasi!$B$21,DATA_TS!$B$2:$B$20001,Kalkulasi!$B$22)*(OR(Availability!$O$6="Semua",C27=Availability!$O$6)*OR(Availability!$R$6="Semua",A27=Availability!$R$6))</f>
        <v/>
      </c>
      <c r="F27" s="187">
        <f>SUMIFS(DATA_TS!$K$2:$K$20001,DATA_TS!$C$2:$C$20001,$A27,DATA_TS!$A$2:$A$20001,"&gt;="&amp;Kalkulasi!$B$20,DATA_TS!$A$2:$A$20001,"&lt;="&amp;Kalkulasi!$B$21,DATA_TS!$B$2:$B$20001,Kalkulasi!$B$22)*(OR(Availability!$O$6="Semua",C27=Availability!$O$6)*OR(Availability!$R$6="Semua",A27=Availability!$R$6))</f>
        <v/>
      </c>
      <c r="G27" s="187">
        <f>D27+E27+F27</f>
        <v/>
      </c>
      <c r="H27" s="189">
        <f>IF(G27=0,0,(D27+F27)/G27)</f>
        <v/>
      </c>
      <c r="I27" s="156">
        <f>E27+ROW()/1000000</f>
        <v/>
      </c>
      <c r="J27" s="156" t="n"/>
      <c r="K27" s="156" t="n"/>
      <c r="L27" s="156" t="inlineStr">
        <is>
          <t>DT-506</t>
        </is>
      </c>
      <c r="M27" s="155">
        <f>IF(M26="","",IF(M26+1&gt;MAX(DATA_TS!$A$2:$A$20001),"",M26+1))</f>
        <v/>
      </c>
      <c r="N27" s="156" t="n"/>
    </row>
    <row r="28">
      <c r="A28" s="156" t="inlineStr">
        <is>
          <t>DT-508</t>
        </is>
      </c>
      <c r="B28" s="156" t="inlineStr">
        <is>
          <t>SKT 105S</t>
        </is>
      </c>
      <c r="C28" s="156" t="inlineStr">
        <is>
          <t>Hauler</t>
        </is>
      </c>
      <c r="D28" s="187">
        <f>SUMIFS(DATA_TS!$G$2:$G$20001,DATA_TS!$C$2:$C$20001,$A28,DATA_TS!$A$2:$A$20001,"&gt;="&amp;Kalkulasi!$B$20,DATA_TS!$A$2:$A$20001,"&lt;="&amp;Kalkulasi!$B$21,DATA_TS!$B$2:$B$20001,Kalkulasi!$B$22)*(OR(Availability!$O$6="Semua",C28=Availability!$O$6)*OR(Availability!$R$6="Semua",A28=Availability!$R$6))</f>
        <v/>
      </c>
      <c r="E28" s="187">
        <f>SUMIFS(DATA_TS!$J$2:$J$20001,DATA_TS!$C$2:$C$20001,$A28,DATA_TS!$A$2:$A$20001,"&gt;="&amp;Kalkulasi!$B$20,DATA_TS!$A$2:$A$20001,"&lt;="&amp;Kalkulasi!$B$21,DATA_TS!$B$2:$B$20001,Kalkulasi!$B$22)*(OR(Availability!$O$6="Semua",C28=Availability!$O$6)*OR(Availability!$R$6="Semua",A28=Availability!$R$6))</f>
        <v/>
      </c>
      <c r="F28" s="187">
        <f>SUMIFS(DATA_TS!$K$2:$K$20001,DATA_TS!$C$2:$C$20001,$A28,DATA_TS!$A$2:$A$20001,"&gt;="&amp;Kalkulasi!$B$20,DATA_TS!$A$2:$A$20001,"&lt;="&amp;Kalkulasi!$B$21,DATA_TS!$B$2:$B$20001,Kalkulasi!$B$22)*(OR(Availability!$O$6="Semua",C28=Availability!$O$6)*OR(Availability!$R$6="Semua",A28=Availability!$R$6))</f>
        <v/>
      </c>
      <c r="G28" s="187">
        <f>D28+E28+F28</f>
        <v/>
      </c>
      <c r="H28" s="189">
        <f>IF(G28=0,0,(D28+F28)/G28)</f>
        <v/>
      </c>
      <c r="I28" s="156">
        <f>E28+ROW()/1000000</f>
        <v/>
      </c>
      <c r="J28" s="156" t="n"/>
      <c r="K28" s="156" t="n"/>
      <c r="L28" s="156" t="inlineStr">
        <is>
          <t>DT-507</t>
        </is>
      </c>
      <c r="M28" s="155">
        <f>IF(M27="","",IF(M27+1&gt;MAX(DATA_TS!$A$2:$A$20001),"",M27+1))</f>
        <v/>
      </c>
      <c r="N28" s="156" t="n"/>
    </row>
    <row r="29">
      <c r="A29" s="156" t="inlineStr">
        <is>
          <t>DT-509</t>
        </is>
      </c>
      <c r="B29" s="156" t="inlineStr">
        <is>
          <t>SKT 105S</t>
        </is>
      </c>
      <c r="C29" s="156" t="inlineStr">
        <is>
          <t>Hauler</t>
        </is>
      </c>
      <c r="D29" s="187">
        <f>SUMIFS(DATA_TS!$G$2:$G$20001,DATA_TS!$C$2:$C$20001,$A29,DATA_TS!$A$2:$A$20001,"&gt;="&amp;Kalkulasi!$B$20,DATA_TS!$A$2:$A$20001,"&lt;="&amp;Kalkulasi!$B$21,DATA_TS!$B$2:$B$20001,Kalkulasi!$B$22)*(OR(Availability!$O$6="Semua",C29=Availability!$O$6)*OR(Availability!$R$6="Semua",A29=Availability!$R$6))</f>
        <v/>
      </c>
      <c r="E29" s="187">
        <f>SUMIFS(DATA_TS!$J$2:$J$20001,DATA_TS!$C$2:$C$20001,$A29,DATA_TS!$A$2:$A$20001,"&gt;="&amp;Kalkulasi!$B$20,DATA_TS!$A$2:$A$20001,"&lt;="&amp;Kalkulasi!$B$21,DATA_TS!$B$2:$B$20001,Kalkulasi!$B$22)*(OR(Availability!$O$6="Semua",C29=Availability!$O$6)*OR(Availability!$R$6="Semua",A29=Availability!$R$6))</f>
        <v/>
      </c>
      <c r="F29" s="187">
        <f>SUMIFS(DATA_TS!$K$2:$K$20001,DATA_TS!$C$2:$C$20001,$A29,DATA_TS!$A$2:$A$20001,"&gt;="&amp;Kalkulasi!$B$20,DATA_TS!$A$2:$A$20001,"&lt;="&amp;Kalkulasi!$B$21,DATA_TS!$B$2:$B$20001,Kalkulasi!$B$22)*(OR(Availability!$O$6="Semua",C29=Availability!$O$6)*OR(Availability!$R$6="Semua",A29=Availability!$R$6))</f>
        <v/>
      </c>
      <c r="G29" s="187">
        <f>D29+E29+F29</f>
        <v/>
      </c>
      <c r="H29" s="189">
        <f>IF(G29=0,0,(D29+F29)/G29)</f>
        <v/>
      </c>
      <c r="I29" s="156">
        <f>E29+ROW()/1000000</f>
        <v/>
      </c>
      <c r="J29" s="156" t="n"/>
      <c r="K29" s="156" t="n"/>
      <c r="L29" s="156" t="inlineStr">
        <is>
          <t>DT-508</t>
        </is>
      </c>
      <c r="M29" s="155">
        <f>IF(M28="","",IF(M28+1&gt;MAX(DATA_TS!$A$2:$A$20001),"",M28+1))</f>
        <v/>
      </c>
      <c r="N29" s="156" t="n"/>
    </row>
    <row r="30">
      <c r="A30" s="156" t="inlineStr">
        <is>
          <t>DT-510</t>
        </is>
      </c>
      <c r="B30" s="156" t="inlineStr">
        <is>
          <t>SKT 105S</t>
        </is>
      </c>
      <c r="C30" s="156" t="inlineStr">
        <is>
          <t>Hauler</t>
        </is>
      </c>
      <c r="D30" s="187">
        <f>SUMIFS(DATA_TS!$G$2:$G$20001,DATA_TS!$C$2:$C$20001,$A30,DATA_TS!$A$2:$A$20001,"&gt;="&amp;Kalkulasi!$B$20,DATA_TS!$A$2:$A$20001,"&lt;="&amp;Kalkulasi!$B$21,DATA_TS!$B$2:$B$20001,Kalkulasi!$B$22)*(OR(Availability!$O$6="Semua",C30=Availability!$O$6)*OR(Availability!$R$6="Semua",A30=Availability!$R$6))</f>
        <v/>
      </c>
      <c r="E30" s="187">
        <f>SUMIFS(DATA_TS!$J$2:$J$20001,DATA_TS!$C$2:$C$20001,$A30,DATA_TS!$A$2:$A$20001,"&gt;="&amp;Kalkulasi!$B$20,DATA_TS!$A$2:$A$20001,"&lt;="&amp;Kalkulasi!$B$21,DATA_TS!$B$2:$B$20001,Kalkulasi!$B$22)*(OR(Availability!$O$6="Semua",C30=Availability!$O$6)*OR(Availability!$R$6="Semua",A30=Availability!$R$6))</f>
        <v/>
      </c>
      <c r="F30" s="187">
        <f>SUMIFS(DATA_TS!$K$2:$K$20001,DATA_TS!$C$2:$C$20001,$A30,DATA_TS!$A$2:$A$20001,"&gt;="&amp;Kalkulasi!$B$20,DATA_TS!$A$2:$A$20001,"&lt;="&amp;Kalkulasi!$B$21,DATA_TS!$B$2:$B$20001,Kalkulasi!$B$22)*(OR(Availability!$O$6="Semua",C30=Availability!$O$6)*OR(Availability!$R$6="Semua",A30=Availability!$R$6))</f>
        <v/>
      </c>
      <c r="G30" s="187">
        <f>D30+E30+F30</f>
        <v/>
      </c>
      <c r="H30" s="189">
        <f>IF(G30=0,0,(D30+F30)/G30)</f>
        <v/>
      </c>
      <c r="I30" s="156">
        <f>E30+ROW()/1000000</f>
        <v/>
      </c>
      <c r="J30" s="156" t="n"/>
      <c r="K30" s="156" t="n"/>
      <c r="L30" s="156" t="inlineStr">
        <is>
          <t>DT-509</t>
        </is>
      </c>
      <c r="M30" s="155">
        <f>IF(M29="","",IF(M29+1&gt;MAX(DATA_TS!$A$2:$A$20001),"",M29+1))</f>
        <v/>
      </c>
      <c r="N30" s="156" t="n"/>
    </row>
    <row r="31">
      <c r="A31" s="156" t="inlineStr">
        <is>
          <t>DT-511</t>
        </is>
      </c>
      <c r="B31" s="156" t="inlineStr">
        <is>
          <t>SKT 105S</t>
        </is>
      </c>
      <c r="C31" s="156" t="inlineStr">
        <is>
          <t>Hauler</t>
        </is>
      </c>
      <c r="D31" s="187">
        <f>SUMIFS(DATA_TS!$G$2:$G$20001,DATA_TS!$C$2:$C$20001,$A31,DATA_TS!$A$2:$A$20001,"&gt;="&amp;Kalkulasi!$B$20,DATA_TS!$A$2:$A$20001,"&lt;="&amp;Kalkulasi!$B$21,DATA_TS!$B$2:$B$20001,Kalkulasi!$B$22)*(OR(Availability!$O$6="Semua",C31=Availability!$O$6)*OR(Availability!$R$6="Semua",A31=Availability!$R$6))</f>
        <v/>
      </c>
      <c r="E31" s="187">
        <f>SUMIFS(DATA_TS!$J$2:$J$20001,DATA_TS!$C$2:$C$20001,$A31,DATA_TS!$A$2:$A$20001,"&gt;="&amp;Kalkulasi!$B$20,DATA_TS!$A$2:$A$20001,"&lt;="&amp;Kalkulasi!$B$21,DATA_TS!$B$2:$B$20001,Kalkulasi!$B$22)*(OR(Availability!$O$6="Semua",C31=Availability!$O$6)*OR(Availability!$R$6="Semua",A31=Availability!$R$6))</f>
        <v/>
      </c>
      <c r="F31" s="187">
        <f>SUMIFS(DATA_TS!$K$2:$K$20001,DATA_TS!$C$2:$C$20001,$A31,DATA_TS!$A$2:$A$20001,"&gt;="&amp;Kalkulasi!$B$20,DATA_TS!$A$2:$A$20001,"&lt;="&amp;Kalkulasi!$B$21,DATA_TS!$B$2:$B$20001,Kalkulasi!$B$22)*(OR(Availability!$O$6="Semua",C31=Availability!$O$6)*OR(Availability!$R$6="Semua",A31=Availability!$R$6))</f>
        <v/>
      </c>
      <c r="G31" s="187">
        <f>D31+E31+F31</f>
        <v/>
      </c>
      <c r="H31" s="189">
        <f>IF(G31=0,0,(D31+F31)/G31)</f>
        <v/>
      </c>
      <c r="I31" s="156">
        <f>E31+ROW()/1000000</f>
        <v/>
      </c>
      <c r="J31" s="156" t="n"/>
      <c r="K31" s="156" t="n"/>
      <c r="L31" s="156" t="inlineStr">
        <is>
          <t>DT-510</t>
        </is>
      </c>
      <c r="M31" s="155">
        <f>IF(M30="","",IF(M30+1&gt;MAX(DATA_TS!$A$2:$A$20001),"",M30+1))</f>
        <v/>
      </c>
      <c r="N31" s="156" t="n"/>
    </row>
    <row r="32">
      <c r="A32" s="156" t="inlineStr">
        <is>
          <t>DT-512</t>
        </is>
      </c>
      <c r="B32" s="156" t="inlineStr">
        <is>
          <t>SKT 105S</t>
        </is>
      </c>
      <c r="C32" s="156" t="inlineStr">
        <is>
          <t>Hauler</t>
        </is>
      </c>
      <c r="D32" s="187">
        <f>SUMIFS(DATA_TS!$G$2:$G$20001,DATA_TS!$C$2:$C$20001,$A32,DATA_TS!$A$2:$A$20001,"&gt;="&amp;Kalkulasi!$B$20,DATA_TS!$A$2:$A$20001,"&lt;="&amp;Kalkulasi!$B$21,DATA_TS!$B$2:$B$20001,Kalkulasi!$B$22)*(OR(Availability!$O$6="Semua",C32=Availability!$O$6)*OR(Availability!$R$6="Semua",A32=Availability!$R$6))</f>
        <v/>
      </c>
      <c r="E32" s="187">
        <f>SUMIFS(DATA_TS!$J$2:$J$20001,DATA_TS!$C$2:$C$20001,$A32,DATA_TS!$A$2:$A$20001,"&gt;="&amp;Kalkulasi!$B$20,DATA_TS!$A$2:$A$20001,"&lt;="&amp;Kalkulasi!$B$21,DATA_TS!$B$2:$B$20001,Kalkulasi!$B$22)*(OR(Availability!$O$6="Semua",C32=Availability!$O$6)*OR(Availability!$R$6="Semua",A32=Availability!$R$6))</f>
        <v/>
      </c>
      <c r="F32" s="187">
        <f>SUMIFS(DATA_TS!$K$2:$K$20001,DATA_TS!$C$2:$C$20001,$A32,DATA_TS!$A$2:$A$20001,"&gt;="&amp;Kalkulasi!$B$20,DATA_TS!$A$2:$A$20001,"&lt;="&amp;Kalkulasi!$B$21,DATA_TS!$B$2:$B$20001,Kalkulasi!$B$22)*(OR(Availability!$O$6="Semua",C32=Availability!$O$6)*OR(Availability!$R$6="Semua",A32=Availability!$R$6))</f>
        <v/>
      </c>
      <c r="G32" s="187">
        <f>D32+E32+F32</f>
        <v/>
      </c>
      <c r="H32" s="189">
        <f>IF(G32=0,0,(D32+F32)/G32)</f>
        <v/>
      </c>
      <c r="I32" s="156">
        <f>E32+ROW()/1000000</f>
        <v/>
      </c>
      <c r="J32" s="156" t="n"/>
      <c r="K32" s="156" t="n"/>
      <c r="L32" s="156" t="inlineStr">
        <is>
          <t>DT-511</t>
        </is>
      </c>
      <c r="M32" s="155">
        <f>IF(M31="","",IF(M31+1&gt;MAX(DATA_TS!$A$2:$A$20001),"",M31+1))</f>
        <v/>
      </c>
      <c r="N32" s="156" t="n"/>
    </row>
    <row r="33">
      <c r="A33" s="156" t="inlineStr">
        <is>
          <t>DT-513</t>
        </is>
      </c>
      <c r="B33" s="156" t="inlineStr">
        <is>
          <t>SKT 105S</t>
        </is>
      </c>
      <c r="C33" s="156" t="inlineStr">
        <is>
          <t>Hauler</t>
        </is>
      </c>
      <c r="D33" s="187">
        <f>SUMIFS(DATA_TS!$G$2:$G$20001,DATA_TS!$C$2:$C$20001,$A33,DATA_TS!$A$2:$A$20001,"&gt;="&amp;Kalkulasi!$B$20,DATA_TS!$A$2:$A$20001,"&lt;="&amp;Kalkulasi!$B$21,DATA_TS!$B$2:$B$20001,Kalkulasi!$B$22)*(OR(Availability!$O$6="Semua",C33=Availability!$O$6)*OR(Availability!$R$6="Semua",A33=Availability!$R$6))</f>
        <v/>
      </c>
      <c r="E33" s="187">
        <f>SUMIFS(DATA_TS!$J$2:$J$20001,DATA_TS!$C$2:$C$20001,$A33,DATA_TS!$A$2:$A$20001,"&gt;="&amp;Kalkulasi!$B$20,DATA_TS!$A$2:$A$20001,"&lt;="&amp;Kalkulasi!$B$21,DATA_TS!$B$2:$B$20001,Kalkulasi!$B$22)*(OR(Availability!$O$6="Semua",C33=Availability!$O$6)*OR(Availability!$R$6="Semua",A33=Availability!$R$6))</f>
        <v/>
      </c>
      <c r="F33" s="187">
        <f>SUMIFS(DATA_TS!$K$2:$K$20001,DATA_TS!$C$2:$C$20001,$A33,DATA_TS!$A$2:$A$20001,"&gt;="&amp;Kalkulasi!$B$20,DATA_TS!$A$2:$A$20001,"&lt;="&amp;Kalkulasi!$B$21,DATA_TS!$B$2:$B$20001,Kalkulasi!$B$22)*(OR(Availability!$O$6="Semua",C33=Availability!$O$6)*OR(Availability!$R$6="Semua",A33=Availability!$R$6))</f>
        <v/>
      </c>
      <c r="G33" s="187">
        <f>D33+E33+F33</f>
        <v/>
      </c>
      <c r="H33" s="189">
        <f>IF(G33=0,0,(D33+F33)/G33)</f>
        <v/>
      </c>
      <c r="I33" s="156">
        <f>E33+ROW()/1000000</f>
        <v/>
      </c>
      <c r="J33" s="156" t="n"/>
      <c r="K33" s="156" t="n"/>
      <c r="L33" s="156" t="inlineStr">
        <is>
          <t>DT-512</t>
        </is>
      </c>
      <c r="M33" s="155">
        <f>IF(M32="","",IF(M32+1&gt;MAX(DATA_TS!$A$2:$A$20001),"",M32+1))</f>
        <v/>
      </c>
      <c r="N33" s="156" t="n"/>
    </row>
    <row r="34">
      <c r="A34" s="156" t="inlineStr">
        <is>
          <t>DT-514</t>
        </is>
      </c>
      <c r="B34" s="156" t="inlineStr">
        <is>
          <t>SKT 105S</t>
        </is>
      </c>
      <c r="C34" s="156" t="inlineStr">
        <is>
          <t>Hauler</t>
        </is>
      </c>
      <c r="D34" s="187">
        <f>SUMIFS(DATA_TS!$G$2:$G$20001,DATA_TS!$C$2:$C$20001,$A34,DATA_TS!$A$2:$A$20001,"&gt;="&amp;Kalkulasi!$B$20,DATA_TS!$A$2:$A$20001,"&lt;="&amp;Kalkulasi!$B$21,DATA_TS!$B$2:$B$20001,Kalkulasi!$B$22)*(OR(Availability!$O$6="Semua",C34=Availability!$O$6)*OR(Availability!$R$6="Semua",A34=Availability!$R$6))</f>
        <v/>
      </c>
      <c r="E34" s="187">
        <f>SUMIFS(DATA_TS!$J$2:$J$20001,DATA_TS!$C$2:$C$20001,$A34,DATA_TS!$A$2:$A$20001,"&gt;="&amp;Kalkulasi!$B$20,DATA_TS!$A$2:$A$20001,"&lt;="&amp;Kalkulasi!$B$21,DATA_TS!$B$2:$B$20001,Kalkulasi!$B$22)*(OR(Availability!$O$6="Semua",C34=Availability!$O$6)*OR(Availability!$R$6="Semua",A34=Availability!$R$6))</f>
        <v/>
      </c>
      <c r="F34" s="187">
        <f>SUMIFS(DATA_TS!$K$2:$K$20001,DATA_TS!$C$2:$C$20001,$A34,DATA_TS!$A$2:$A$20001,"&gt;="&amp;Kalkulasi!$B$20,DATA_TS!$A$2:$A$20001,"&lt;="&amp;Kalkulasi!$B$21,DATA_TS!$B$2:$B$20001,Kalkulasi!$B$22)*(OR(Availability!$O$6="Semua",C34=Availability!$O$6)*OR(Availability!$R$6="Semua",A34=Availability!$R$6))</f>
        <v/>
      </c>
      <c r="G34" s="187">
        <f>D34+E34+F34</f>
        <v/>
      </c>
      <c r="H34" s="189">
        <f>IF(G34=0,0,(D34+F34)/G34)</f>
        <v/>
      </c>
      <c r="I34" s="156">
        <f>E34+ROW()/1000000</f>
        <v/>
      </c>
      <c r="J34" s="156" t="n"/>
      <c r="K34" s="156" t="n"/>
      <c r="L34" s="156" t="inlineStr">
        <is>
          <t>DT-513</t>
        </is>
      </c>
      <c r="M34" s="155">
        <f>IF(M33="","",IF(M33+1&gt;MAX(DATA_TS!$A$2:$A$20001),"",M33+1))</f>
        <v/>
      </c>
      <c r="N34" s="156" t="n"/>
    </row>
    <row r="35">
      <c r="A35" s="156" t="inlineStr">
        <is>
          <t>DT-515</t>
        </is>
      </c>
      <c r="B35" s="156" t="inlineStr">
        <is>
          <t>SKT 105S</t>
        </is>
      </c>
      <c r="C35" s="156" t="inlineStr">
        <is>
          <t>Hauler</t>
        </is>
      </c>
      <c r="D35" s="187">
        <f>SUMIFS(DATA_TS!$G$2:$G$20001,DATA_TS!$C$2:$C$20001,$A35,DATA_TS!$A$2:$A$20001,"&gt;="&amp;Kalkulasi!$B$20,DATA_TS!$A$2:$A$20001,"&lt;="&amp;Kalkulasi!$B$21,DATA_TS!$B$2:$B$20001,Kalkulasi!$B$22)*(OR(Availability!$O$6="Semua",C35=Availability!$O$6)*OR(Availability!$R$6="Semua",A35=Availability!$R$6))</f>
        <v/>
      </c>
      <c r="E35" s="187">
        <f>SUMIFS(DATA_TS!$J$2:$J$20001,DATA_TS!$C$2:$C$20001,$A35,DATA_TS!$A$2:$A$20001,"&gt;="&amp;Kalkulasi!$B$20,DATA_TS!$A$2:$A$20001,"&lt;="&amp;Kalkulasi!$B$21,DATA_TS!$B$2:$B$20001,Kalkulasi!$B$22)*(OR(Availability!$O$6="Semua",C35=Availability!$O$6)*OR(Availability!$R$6="Semua",A35=Availability!$R$6))</f>
        <v/>
      </c>
      <c r="F35" s="187">
        <f>SUMIFS(DATA_TS!$K$2:$K$20001,DATA_TS!$C$2:$C$20001,$A35,DATA_TS!$A$2:$A$20001,"&gt;="&amp;Kalkulasi!$B$20,DATA_TS!$A$2:$A$20001,"&lt;="&amp;Kalkulasi!$B$21,DATA_TS!$B$2:$B$20001,Kalkulasi!$B$22)*(OR(Availability!$O$6="Semua",C35=Availability!$O$6)*OR(Availability!$R$6="Semua",A35=Availability!$R$6))</f>
        <v/>
      </c>
      <c r="G35" s="187">
        <f>D35+E35+F35</f>
        <v/>
      </c>
      <c r="H35" s="189">
        <f>IF(G35=0,0,(D35+F35)/G35)</f>
        <v/>
      </c>
      <c r="I35" s="156">
        <f>E35+ROW()/1000000</f>
        <v/>
      </c>
      <c r="J35" s="156" t="n"/>
      <c r="K35" s="156" t="n"/>
      <c r="L35" s="156" t="inlineStr">
        <is>
          <t>DT-514</t>
        </is>
      </c>
      <c r="M35" s="155">
        <f>IF(M34="","",IF(M34+1&gt;MAX(DATA_TS!$A$2:$A$20001),"",M34+1))</f>
        <v/>
      </c>
      <c r="N35" s="156" t="n"/>
    </row>
    <row r="36">
      <c r="A36" s="156" t="inlineStr">
        <is>
          <t>DT-516</t>
        </is>
      </c>
      <c r="B36" s="156" t="inlineStr">
        <is>
          <t>SKT 105S</t>
        </is>
      </c>
      <c r="C36" s="156" t="inlineStr">
        <is>
          <t>Hauler</t>
        </is>
      </c>
      <c r="D36" s="187">
        <f>SUMIFS(DATA_TS!$G$2:$G$20001,DATA_TS!$C$2:$C$20001,$A36,DATA_TS!$A$2:$A$20001,"&gt;="&amp;Kalkulasi!$B$20,DATA_TS!$A$2:$A$20001,"&lt;="&amp;Kalkulasi!$B$21,DATA_TS!$B$2:$B$20001,Kalkulasi!$B$22)*(OR(Availability!$O$6="Semua",C36=Availability!$O$6)*OR(Availability!$R$6="Semua",A36=Availability!$R$6))</f>
        <v/>
      </c>
      <c r="E36" s="187">
        <f>SUMIFS(DATA_TS!$J$2:$J$20001,DATA_TS!$C$2:$C$20001,$A36,DATA_TS!$A$2:$A$20001,"&gt;="&amp;Kalkulasi!$B$20,DATA_TS!$A$2:$A$20001,"&lt;="&amp;Kalkulasi!$B$21,DATA_TS!$B$2:$B$20001,Kalkulasi!$B$22)*(OR(Availability!$O$6="Semua",C36=Availability!$O$6)*OR(Availability!$R$6="Semua",A36=Availability!$R$6))</f>
        <v/>
      </c>
      <c r="F36" s="187">
        <f>SUMIFS(DATA_TS!$K$2:$K$20001,DATA_TS!$C$2:$C$20001,$A36,DATA_TS!$A$2:$A$20001,"&gt;="&amp;Kalkulasi!$B$20,DATA_TS!$A$2:$A$20001,"&lt;="&amp;Kalkulasi!$B$21,DATA_TS!$B$2:$B$20001,Kalkulasi!$B$22)*(OR(Availability!$O$6="Semua",C36=Availability!$O$6)*OR(Availability!$R$6="Semua",A36=Availability!$R$6))</f>
        <v/>
      </c>
      <c r="G36" s="187">
        <f>D36+E36+F36</f>
        <v/>
      </c>
      <c r="H36" s="189">
        <f>IF(G36=0,0,(D36+F36)/G36)</f>
        <v/>
      </c>
      <c r="I36" s="156">
        <f>E36+ROW()/1000000</f>
        <v/>
      </c>
      <c r="J36" s="156" t="n"/>
      <c r="K36" s="156" t="n"/>
      <c r="L36" s="156" t="inlineStr">
        <is>
          <t>DT-515</t>
        </is>
      </c>
      <c r="M36" s="155">
        <f>IF(M35="","",IF(M35+1&gt;MAX(DATA_TS!$A$2:$A$20001),"",M35+1))</f>
        <v/>
      </c>
      <c r="N36" s="156" t="n"/>
    </row>
    <row r="37">
      <c r="A37" s="156" t="inlineStr">
        <is>
          <t>DT-517</t>
        </is>
      </c>
      <c r="B37" s="156" t="inlineStr">
        <is>
          <t>SKT 105S</t>
        </is>
      </c>
      <c r="C37" s="156" t="inlineStr">
        <is>
          <t>Hauler</t>
        </is>
      </c>
      <c r="D37" s="187">
        <f>SUMIFS(DATA_TS!$G$2:$G$20001,DATA_TS!$C$2:$C$20001,$A37,DATA_TS!$A$2:$A$20001,"&gt;="&amp;Kalkulasi!$B$20,DATA_TS!$A$2:$A$20001,"&lt;="&amp;Kalkulasi!$B$21,DATA_TS!$B$2:$B$20001,Kalkulasi!$B$22)*(OR(Availability!$O$6="Semua",C37=Availability!$O$6)*OR(Availability!$R$6="Semua",A37=Availability!$R$6))</f>
        <v/>
      </c>
      <c r="E37" s="187">
        <f>SUMIFS(DATA_TS!$J$2:$J$20001,DATA_TS!$C$2:$C$20001,$A37,DATA_TS!$A$2:$A$20001,"&gt;="&amp;Kalkulasi!$B$20,DATA_TS!$A$2:$A$20001,"&lt;="&amp;Kalkulasi!$B$21,DATA_TS!$B$2:$B$20001,Kalkulasi!$B$22)*(OR(Availability!$O$6="Semua",C37=Availability!$O$6)*OR(Availability!$R$6="Semua",A37=Availability!$R$6))</f>
        <v/>
      </c>
      <c r="F37" s="187">
        <f>SUMIFS(DATA_TS!$K$2:$K$20001,DATA_TS!$C$2:$C$20001,$A37,DATA_TS!$A$2:$A$20001,"&gt;="&amp;Kalkulasi!$B$20,DATA_TS!$A$2:$A$20001,"&lt;="&amp;Kalkulasi!$B$21,DATA_TS!$B$2:$B$20001,Kalkulasi!$B$22)*(OR(Availability!$O$6="Semua",C37=Availability!$O$6)*OR(Availability!$R$6="Semua",A37=Availability!$R$6))</f>
        <v/>
      </c>
      <c r="G37" s="187">
        <f>D37+E37+F37</f>
        <v/>
      </c>
      <c r="H37" s="189">
        <f>IF(G37=0,0,(D37+F37)/G37)</f>
        <v/>
      </c>
      <c r="I37" s="156">
        <f>E37+ROW()/1000000</f>
        <v/>
      </c>
      <c r="J37" s="156" t="n"/>
      <c r="K37" s="156" t="n"/>
      <c r="L37" s="156" t="inlineStr">
        <is>
          <t>DT-516</t>
        </is>
      </c>
      <c r="M37" s="155">
        <f>IF(M36="","",IF(M36+1&gt;MAX(DATA_TS!$A$2:$A$20001),"",M36+1))</f>
        <v/>
      </c>
      <c r="N37" s="156" t="n"/>
    </row>
    <row r="38">
      <c r="A38" s="156" t="inlineStr">
        <is>
          <t>DT-518</t>
        </is>
      </c>
      <c r="B38" s="156" t="inlineStr">
        <is>
          <t>SKT 105S</t>
        </is>
      </c>
      <c r="C38" s="156" t="inlineStr">
        <is>
          <t>Hauler</t>
        </is>
      </c>
      <c r="D38" s="187">
        <f>SUMIFS(DATA_TS!$G$2:$G$20001,DATA_TS!$C$2:$C$20001,$A38,DATA_TS!$A$2:$A$20001,"&gt;="&amp;Kalkulasi!$B$20,DATA_TS!$A$2:$A$20001,"&lt;="&amp;Kalkulasi!$B$21,DATA_TS!$B$2:$B$20001,Kalkulasi!$B$22)*(OR(Availability!$O$6="Semua",C38=Availability!$O$6)*OR(Availability!$R$6="Semua",A38=Availability!$R$6))</f>
        <v/>
      </c>
      <c r="E38" s="187">
        <f>SUMIFS(DATA_TS!$J$2:$J$20001,DATA_TS!$C$2:$C$20001,$A38,DATA_TS!$A$2:$A$20001,"&gt;="&amp;Kalkulasi!$B$20,DATA_TS!$A$2:$A$20001,"&lt;="&amp;Kalkulasi!$B$21,DATA_TS!$B$2:$B$20001,Kalkulasi!$B$22)*(OR(Availability!$O$6="Semua",C38=Availability!$O$6)*OR(Availability!$R$6="Semua",A38=Availability!$R$6))</f>
        <v/>
      </c>
      <c r="F38" s="187">
        <f>SUMIFS(DATA_TS!$K$2:$K$20001,DATA_TS!$C$2:$C$20001,$A38,DATA_TS!$A$2:$A$20001,"&gt;="&amp;Kalkulasi!$B$20,DATA_TS!$A$2:$A$20001,"&lt;="&amp;Kalkulasi!$B$21,DATA_TS!$B$2:$B$20001,Kalkulasi!$B$22)*(OR(Availability!$O$6="Semua",C38=Availability!$O$6)*OR(Availability!$R$6="Semua",A38=Availability!$R$6))</f>
        <v/>
      </c>
      <c r="G38" s="187">
        <f>D38+E38+F38</f>
        <v/>
      </c>
      <c r="H38" s="189">
        <f>IF(G38=0,0,(D38+F38)/G38)</f>
        <v/>
      </c>
      <c r="I38" s="156">
        <f>E38+ROW()/1000000</f>
        <v/>
      </c>
      <c r="J38" s="156" t="n"/>
      <c r="K38" s="156" t="n"/>
      <c r="L38" s="156" t="inlineStr">
        <is>
          <t>DT-517</t>
        </is>
      </c>
      <c r="M38" s="155">
        <f>IF(M37="","",IF(M37+1&gt;MAX(DATA_TS!$A$2:$A$20001),"",M37+1))</f>
        <v/>
      </c>
      <c r="N38" s="156" t="n"/>
    </row>
    <row r="39">
      <c r="A39" s="156" t="inlineStr">
        <is>
          <t>DT-519</t>
        </is>
      </c>
      <c r="B39" s="156" t="inlineStr">
        <is>
          <t>SKT 105S</t>
        </is>
      </c>
      <c r="C39" s="156" t="inlineStr">
        <is>
          <t>Hauler</t>
        </is>
      </c>
      <c r="D39" s="187">
        <f>SUMIFS(DATA_TS!$G$2:$G$20001,DATA_TS!$C$2:$C$20001,$A39,DATA_TS!$A$2:$A$20001,"&gt;="&amp;Kalkulasi!$B$20,DATA_TS!$A$2:$A$20001,"&lt;="&amp;Kalkulasi!$B$21,DATA_TS!$B$2:$B$20001,Kalkulasi!$B$22)*(OR(Availability!$O$6="Semua",C39=Availability!$O$6)*OR(Availability!$R$6="Semua",A39=Availability!$R$6))</f>
        <v/>
      </c>
      <c r="E39" s="187">
        <f>SUMIFS(DATA_TS!$J$2:$J$20001,DATA_TS!$C$2:$C$20001,$A39,DATA_TS!$A$2:$A$20001,"&gt;="&amp;Kalkulasi!$B$20,DATA_TS!$A$2:$A$20001,"&lt;="&amp;Kalkulasi!$B$21,DATA_TS!$B$2:$B$20001,Kalkulasi!$B$22)*(OR(Availability!$O$6="Semua",C39=Availability!$O$6)*OR(Availability!$R$6="Semua",A39=Availability!$R$6))</f>
        <v/>
      </c>
      <c r="F39" s="187">
        <f>SUMIFS(DATA_TS!$K$2:$K$20001,DATA_TS!$C$2:$C$20001,$A39,DATA_TS!$A$2:$A$20001,"&gt;="&amp;Kalkulasi!$B$20,DATA_TS!$A$2:$A$20001,"&lt;="&amp;Kalkulasi!$B$21,DATA_TS!$B$2:$B$20001,Kalkulasi!$B$22)*(OR(Availability!$O$6="Semua",C39=Availability!$O$6)*OR(Availability!$R$6="Semua",A39=Availability!$R$6))</f>
        <v/>
      </c>
      <c r="G39" s="187">
        <f>D39+E39+F39</f>
        <v/>
      </c>
      <c r="H39" s="189">
        <f>IF(G39=0,0,(D39+F39)/G39)</f>
        <v/>
      </c>
      <c r="I39" s="156">
        <f>E39+ROW()/1000000</f>
        <v/>
      </c>
      <c r="J39" s="156" t="n"/>
      <c r="K39" s="156" t="n"/>
      <c r="L39" s="156" t="inlineStr">
        <is>
          <t>DT-518</t>
        </is>
      </c>
      <c r="M39" s="155">
        <f>IF(M38="","",IF(M38+1&gt;MAX(DATA_TS!$A$2:$A$20001),"",M38+1))</f>
        <v/>
      </c>
      <c r="N39" s="156" t="n"/>
    </row>
    <row r="40">
      <c r="A40" s="156" t="inlineStr">
        <is>
          <t>DT-520</t>
        </is>
      </c>
      <c r="B40" s="156" t="inlineStr">
        <is>
          <t>SKT 105S</t>
        </is>
      </c>
      <c r="C40" s="156" t="inlineStr">
        <is>
          <t>Hauler</t>
        </is>
      </c>
      <c r="D40" s="187">
        <f>SUMIFS(DATA_TS!$G$2:$G$20001,DATA_TS!$C$2:$C$20001,$A40,DATA_TS!$A$2:$A$20001,"&gt;="&amp;Kalkulasi!$B$20,DATA_TS!$A$2:$A$20001,"&lt;="&amp;Kalkulasi!$B$21,DATA_TS!$B$2:$B$20001,Kalkulasi!$B$22)*(OR(Availability!$O$6="Semua",C40=Availability!$O$6)*OR(Availability!$R$6="Semua",A40=Availability!$R$6))</f>
        <v/>
      </c>
      <c r="E40" s="187">
        <f>SUMIFS(DATA_TS!$J$2:$J$20001,DATA_TS!$C$2:$C$20001,$A40,DATA_TS!$A$2:$A$20001,"&gt;="&amp;Kalkulasi!$B$20,DATA_TS!$A$2:$A$20001,"&lt;="&amp;Kalkulasi!$B$21,DATA_TS!$B$2:$B$20001,Kalkulasi!$B$22)*(OR(Availability!$O$6="Semua",C40=Availability!$O$6)*OR(Availability!$R$6="Semua",A40=Availability!$R$6))</f>
        <v/>
      </c>
      <c r="F40" s="187">
        <f>SUMIFS(DATA_TS!$K$2:$K$20001,DATA_TS!$C$2:$C$20001,$A40,DATA_TS!$A$2:$A$20001,"&gt;="&amp;Kalkulasi!$B$20,DATA_TS!$A$2:$A$20001,"&lt;="&amp;Kalkulasi!$B$21,DATA_TS!$B$2:$B$20001,Kalkulasi!$B$22)*(OR(Availability!$O$6="Semua",C40=Availability!$O$6)*OR(Availability!$R$6="Semua",A40=Availability!$R$6))</f>
        <v/>
      </c>
      <c r="G40" s="187">
        <f>D40+E40+F40</f>
        <v/>
      </c>
      <c r="H40" s="189">
        <f>IF(G40=0,0,(D40+F40)/G40)</f>
        <v/>
      </c>
      <c r="I40" s="156">
        <f>E40+ROW()/1000000</f>
        <v/>
      </c>
      <c r="J40" s="156" t="n"/>
      <c r="K40" s="156" t="n"/>
      <c r="L40" s="156" t="inlineStr">
        <is>
          <t>DT-519</t>
        </is>
      </c>
      <c r="M40" s="155">
        <f>IF(M39="","",IF(M39+1&gt;MAX(DATA_TS!$A$2:$A$20001),"",M39+1))</f>
        <v/>
      </c>
      <c r="N40" s="156" t="n"/>
    </row>
    <row r="41">
      <c r="A41" s="156" t="inlineStr">
        <is>
          <t>DT-521</t>
        </is>
      </c>
      <c r="B41" s="156" t="inlineStr">
        <is>
          <t>SKT 105S</t>
        </is>
      </c>
      <c r="C41" s="156" t="inlineStr">
        <is>
          <t>Hauler</t>
        </is>
      </c>
      <c r="D41" s="187">
        <f>SUMIFS(DATA_TS!$G$2:$G$20001,DATA_TS!$C$2:$C$20001,$A41,DATA_TS!$A$2:$A$20001,"&gt;="&amp;Kalkulasi!$B$20,DATA_TS!$A$2:$A$20001,"&lt;="&amp;Kalkulasi!$B$21,DATA_TS!$B$2:$B$20001,Kalkulasi!$B$22)*(OR(Availability!$O$6="Semua",C41=Availability!$O$6)*OR(Availability!$R$6="Semua",A41=Availability!$R$6))</f>
        <v/>
      </c>
      <c r="E41" s="187">
        <f>SUMIFS(DATA_TS!$J$2:$J$20001,DATA_TS!$C$2:$C$20001,$A41,DATA_TS!$A$2:$A$20001,"&gt;="&amp;Kalkulasi!$B$20,DATA_TS!$A$2:$A$20001,"&lt;="&amp;Kalkulasi!$B$21,DATA_TS!$B$2:$B$20001,Kalkulasi!$B$22)*(OR(Availability!$O$6="Semua",C41=Availability!$O$6)*OR(Availability!$R$6="Semua",A41=Availability!$R$6))</f>
        <v/>
      </c>
      <c r="F41" s="187">
        <f>SUMIFS(DATA_TS!$K$2:$K$20001,DATA_TS!$C$2:$C$20001,$A41,DATA_TS!$A$2:$A$20001,"&gt;="&amp;Kalkulasi!$B$20,DATA_TS!$A$2:$A$20001,"&lt;="&amp;Kalkulasi!$B$21,DATA_TS!$B$2:$B$20001,Kalkulasi!$B$22)*(OR(Availability!$O$6="Semua",C41=Availability!$O$6)*OR(Availability!$R$6="Semua",A41=Availability!$R$6))</f>
        <v/>
      </c>
      <c r="G41" s="187">
        <f>D41+E41+F41</f>
        <v/>
      </c>
      <c r="H41" s="189">
        <f>IF(G41=0,0,(D41+F41)/G41)</f>
        <v/>
      </c>
      <c r="I41" s="156">
        <f>E41+ROW()/1000000</f>
        <v/>
      </c>
      <c r="J41" s="156" t="n"/>
      <c r="K41" s="156" t="n"/>
      <c r="L41" s="156" t="inlineStr">
        <is>
          <t>DT-520</t>
        </is>
      </c>
      <c r="M41" s="155">
        <f>IF(M40="","",IF(M40+1&gt;MAX(DATA_TS!$A$2:$A$20001),"",M40+1))</f>
        <v/>
      </c>
      <c r="N41" s="156" t="n"/>
    </row>
    <row r="42">
      <c r="A42" s="156" t="inlineStr">
        <is>
          <t>DT-522</t>
        </is>
      </c>
      <c r="B42" s="156" t="inlineStr">
        <is>
          <t>SKT 105S</t>
        </is>
      </c>
      <c r="C42" s="156" t="inlineStr">
        <is>
          <t>Hauler</t>
        </is>
      </c>
      <c r="D42" s="187">
        <f>SUMIFS(DATA_TS!$G$2:$G$20001,DATA_TS!$C$2:$C$20001,$A42,DATA_TS!$A$2:$A$20001,"&gt;="&amp;Kalkulasi!$B$20,DATA_TS!$A$2:$A$20001,"&lt;="&amp;Kalkulasi!$B$21,DATA_TS!$B$2:$B$20001,Kalkulasi!$B$22)*(OR(Availability!$O$6="Semua",C42=Availability!$O$6)*OR(Availability!$R$6="Semua",A42=Availability!$R$6))</f>
        <v/>
      </c>
      <c r="E42" s="187">
        <f>SUMIFS(DATA_TS!$J$2:$J$20001,DATA_TS!$C$2:$C$20001,$A42,DATA_TS!$A$2:$A$20001,"&gt;="&amp;Kalkulasi!$B$20,DATA_TS!$A$2:$A$20001,"&lt;="&amp;Kalkulasi!$B$21,DATA_TS!$B$2:$B$20001,Kalkulasi!$B$22)*(OR(Availability!$O$6="Semua",C42=Availability!$O$6)*OR(Availability!$R$6="Semua",A42=Availability!$R$6))</f>
        <v/>
      </c>
      <c r="F42" s="187">
        <f>SUMIFS(DATA_TS!$K$2:$K$20001,DATA_TS!$C$2:$C$20001,$A42,DATA_TS!$A$2:$A$20001,"&gt;="&amp;Kalkulasi!$B$20,DATA_TS!$A$2:$A$20001,"&lt;="&amp;Kalkulasi!$B$21,DATA_TS!$B$2:$B$20001,Kalkulasi!$B$22)*(OR(Availability!$O$6="Semua",C42=Availability!$O$6)*OR(Availability!$R$6="Semua",A42=Availability!$R$6))</f>
        <v/>
      </c>
      <c r="G42" s="187">
        <f>D42+E42+F42</f>
        <v/>
      </c>
      <c r="H42" s="189">
        <f>IF(G42=0,0,(D42+F42)/G42)</f>
        <v/>
      </c>
      <c r="I42" s="156">
        <f>E42+ROW()/1000000</f>
        <v/>
      </c>
      <c r="J42" s="156" t="n"/>
      <c r="K42" s="156" t="n"/>
      <c r="L42" s="156" t="inlineStr">
        <is>
          <t>DT-521</t>
        </is>
      </c>
      <c r="M42" s="155">
        <f>IF(M41="","",IF(M41+1&gt;MAX(DATA_TS!$A$2:$A$20001),"",M41+1))</f>
        <v/>
      </c>
      <c r="N42" s="156" t="n"/>
    </row>
    <row r="43">
      <c r="A43" s="156" t="inlineStr">
        <is>
          <t>DT-523</t>
        </is>
      </c>
      <c r="B43" s="156" t="inlineStr">
        <is>
          <t>SKT 105S</t>
        </is>
      </c>
      <c r="C43" s="156" t="inlineStr">
        <is>
          <t>Hauler</t>
        </is>
      </c>
      <c r="D43" s="187">
        <f>SUMIFS(DATA_TS!$G$2:$G$20001,DATA_TS!$C$2:$C$20001,$A43,DATA_TS!$A$2:$A$20001,"&gt;="&amp;Kalkulasi!$B$20,DATA_TS!$A$2:$A$20001,"&lt;="&amp;Kalkulasi!$B$21,DATA_TS!$B$2:$B$20001,Kalkulasi!$B$22)*(OR(Availability!$O$6="Semua",C43=Availability!$O$6)*OR(Availability!$R$6="Semua",A43=Availability!$R$6))</f>
        <v/>
      </c>
      <c r="E43" s="187">
        <f>SUMIFS(DATA_TS!$J$2:$J$20001,DATA_TS!$C$2:$C$20001,$A43,DATA_TS!$A$2:$A$20001,"&gt;="&amp;Kalkulasi!$B$20,DATA_TS!$A$2:$A$20001,"&lt;="&amp;Kalkulasi!$B$21,DATA_TS!$B$2:$B$20001,Kalkulasi!$B$22)*(OR(Availability!$O$6="Semua",C43=Availability!$O$6)*OR(Availability!$R$6="Semua",A43=Availability!$R$6))</f>
        <v/>
      </c>
      <c r="F43" s="187">
        <f>SUMIFS(DATA_TS!$K$2:$K$20001,DATA_TS!$C$2:$C$20001,$A43,DATA_TS!$A$2:$A$20001,"&gt;="&amp;Kalkulasi!$B$20,DATA_TS!$A$2:$A$20001,"&lt;="&amp;Kalkulasi!$B$21,DATA_TS!$B$2:$B$20001,Kalkulasi!$B$22)*(OR(Availability!$O$6="Semua",C43=Availability!$O$6)*OR(Availability!$R$6="Semua",A43=Availability!$R$6))</f>
        <v/>
      </c>
      <c r="G43" s="187">
        <f>D43+E43+F43</f>
        <v/>
      </c>
      <c r="H43" s="189">
        <f>IF(G43=0,0,(D43+F43)/G43)</f>
        <v/>
      </c>
      <c r="I43" s="156">
        <f>E43+ROW()/1000000</f>
        <v/>
      </c>
      <c r="J43" s="156" t="n"/>
      <c r="K43" s="156" t="n"/>
      <c r="L43" s="156" t="inlineStr">
        <is>
          <t>DT-522</t>
        </is>
      </c>
      <c r="M43" s="155">
        <f>IF(M42="","",IF(M42+1&gt;MAX(DATA_TS!$A$2:$A$20001),"",M42+1))</f>
        <v/>
      </c>
      <c r="N43" s="156" t="n"/>
    </row>
    <row r="44">
      <c r="A44" s="156" t="inlineStr">
        <is>
          <t>DT-524</t>
        </is>
      </c>
      <c r="B44" s="156" t="inlineStr">
        <is>
          <t>SKT 105S</t>
        </is>
      </c>
      <c r="C44" s="156" t="inlineStr">
        <is>
          <t>Hauler</t>
        </is>
      </c>
      <c r="D44" s="187">
        <f>SUMIFS(DATA_TS!$G$2:$G$20001,DATA_TS!$C$2:$C$20001,$A44,DATA_TS!$A$2:$A$20001,"&gt;="&amp;Kalkulasi!$B$20,DATA_TS!$A$2:$A$20001,"&lt;="&amp;Kalkulasi!$B$21,DATA_TS!$B$2:$B$20001,Kalkulasi!$B$22)*(OR(Availability!$O$6="Semua",C44=Availability!$O$6)*OR(Availability!$R$6="Semua",A44=Availability!$R$6))</f>
        <v/>
      </c>
      <c r="E44" s="187">
        <f>SUMIFS(DATA_TS!$J$2:$J$20001,DATA_TS!$C$2:$C$20001,$A44,DATA_TS!$A$2:$A$20001,"&gt;="&amp;Kalkulasi!$B$20,DATA_TS!$A$2:$A$20001,"&lt;="&amp;Kalkulasi!$B$21,DATA_TS!$B$2:$B$20001,Kalkulasi!$B$22)*(OR(Availability!$O$6="Semua",C44=Availability!$O$6)*OR(Availability!$R$6="Semua",A44=Availability!$R$6))</f>
        <v/>
      </c>
      <c r="F44" s="187">
        <f>SUMIFS(DATA_TS!$K$2:$K$20001,DATA_TS!$C$2:$C$20001,$A44,DATA_TS!$A$2:$A$20001,"&gt;="&amp;Kalkulasi!$B$20,DATA_TS!$A$2:$A$20001,"&lt;="&amp;Kalkulasi!$B$21,DATA_TS!$B$2:$B$20001,Kalkulasi!$B$22)*(OR(Availability!$O$6="Semua",C44=Availability!$O$6)*OR(Availability!$R$6="Semua",A44=Availability!$R$6))</f>
        <v/>
      </c>
      <c r="G44" s="187">
        <f>D44+E44+F44</f>
        <v/>
      </c>
      <c r="H44" s="189">
        <f>IF(G44=0,0,(D44+F44)/G44)</f>
        <v/>
      </c>
      <c r="I44" s="156">
        <f>E44+ROW()/1000000</f>
        <v/>
      </c>
      <c r="J44" s="156" t="n"/>
      <c r="K44" s="156" t="n"/>
      <c r="L44" s="156" t="inlineStr">
        <is>
          <t>DT-523</t>
        </is>
      </c>
      <c r="M44" s="155">
        <f>IF(M43="","",IF(M43+1&gt;MAX(DATA_TS!$A$2:$A$20001),"",M43+1))</f>
        <v/>
      </c>
      <c r="N44" s="156" t="n"/>
    </row>
    <row r="45">
      <c r="A45" s="156" t="inlineStr">
        <is>
          <t>DT-525</t>
        </is>
      </c>
      <c r="B45" s="156" t="inlineStr">
        <is>
          <t>SKT 105S</t>
        </is>
      </c>
      <c r="C45" s="156" t="inlineStr">
        <is>
          <t>Hauler</t>
        </is>
      </c>
      <c r="D45" s="187">
        <f>SUMIFS(DATA_TS!$G$2:$G$20001,DATA_TS!$C$2:$C$20001,$A45,DATA_TS!$A$2:$A$20001,"&gt;="&amp;Kalkulasi!$B$20,DATA_TS!$A$2:$A$20001,"&lt;="&amp;Kalkulasi!$B$21,DATA_TS!$B$2:$B$20001,Kalkulasi!$B$22)*(OR(Availability!$O$6="Semua",C45=Availability!$O$6)*OR(Availability!$R$6="Semua",A45=Availability!$R$6))</f>
        <v/>
      </c>
      <c r="E45" s="187">
        <f>SUMIFS(DATA_TS!$J$2:$J$20001,DATA_TS!$C$2:$C$20001,$A45,DATA_TS!$A$2:$A$20001,"&gt;="&amp;Kalkulasi!$B$20,DATA_TS!$A$2:$A$20001,"&lt;="&amp;Kalkulasi!$B$21,DATA_TS!$B$2:$B$20001,Kalkulasi!$B$22)*(OR(Availability!$O$6="Semua",C45=Availability!$O$6)*OR(Availability!$R$6="Semua",A45=Availability!$R$6))</f>
        <v/>
      </c>
      <c r="F45" s="187">
        <f>SUMIFS(DATA_TS!$K$2:$K$20001,DATA_TS!$C$2:$C$20001,$A45,DATA_TS!$A$2:$A$20001,"&gt;="&amp;Kalkulasi!$B$20,DATA_TS!$A$2:$A$20001,"&lt;="&amp;Kalkulasi!$B$21,DATA_TS!$B$2:$B$20001,Kalkulasi!$B$22)*(OR(Availability!$O$6="Semua",C45=Availability!$O$6)*OR(Availability!$R$6="Semua",A45=Availability!$R$6))</f>
        <v/>
      </c>
      <c r="G45" s="187">
        <f>D45+E45+F45</f>
        <v/>
      </c>
      <c r="H45" s="189">
        <f>IF(G45=0,0,(D45+F45)/G45)</f>
        <v/>
      </c>
      <c r="I45" s="156">
        <f>E45+ROW()/1000000</f>
        <v/>
      </c>
      <c r="J45" s="156" t="n"/>
      <c r="K45" s="156" t="n"/>
      <c r="L45" s="156" t="inlineStr">
        <is>
          <t>DT-524</t>
        </is>
      </c>
      <c r="M45" s="155">
        <f>IF(M44="","",IF(M44+1&gt;MAX(DATA_TS!$A$2:$A$20001),"",M44+1))</f>
        <v/>
      </c>
      <c r="N45" s="156" t="n"/>
    </row>
    <row r="46">
      <c r="A46" s="156" t="inlineStr">
        <is>
          <t>DT-526</t>
        </is>
      </c>
      <c r="B46" s="156" t="inlineStr">
        <is>
          <t>SKT 105S</t>
        </is>
      </c>
      <c r="C46" s="156" t="inlineStr">
        <is>
          <t>Hauler</t>
        </is>
      </c>
      <c r="D46" s="187">
        <f>SUMIFS(DATA_TS!$G$2:$G$20001,DATA_TS!$C$2:$C$20001,$A46,DATA_TS!$A$2:$A$20001,"&gt;="&amp;Kalkulasi!$B$20,DATA_TS!$A$2:$A$20001,"&lt;="&amp;Kalkulasi!$B$21,DATA_TS!$B$2:$B$20001,Kalkulasi!$B$22)*(OR(Availability!$O$6="Semua",C46=Availability!$O$6)*OR(Availability!$R$6="Semua",A46=Availability!$R$6))</f>
        <v/>
      </c>
      <c r="E46" s="187">
        <f>SUMIFS(DATA_TS!$J$2:$J$20001,DATA_TS!$C$2:$C$20001,$A46,DATA_TS!$A$2:$A$20001,"&gt;="&amp;Kalkulasi!$B$20,DATA_TS!$A$2:$A$20001,"&lt;="&amp;Kalkulasi!$B$21,DATA_TS!$B$2:$B$20001,Kalkulasi!$B$22)*(OR(Availability!$O$6="Semua",C46=Availability!$O$6)*OR(Availability!$R$6="Semua",A46=Availability!$R$6))</f>
        <v/>
      </c>
      <c r="F46" s="187">
        <f>SUMIFS(DATA_TS!$K$2:$K$20001,DATA_TS!$C$2:$C$20001,$A46,DATA_TS!$A$2:$A$20001,"&gt;="&amp;Kalkulasi!$B$20,DATA_TS!$A$2:$A$20001,"&lt;="&amp;Kalkulasi!$B$21,DATA_TS!$B$2:$B$20001,Kalkulasi!$B$22)*(OR(Availability!$O$6="Semua",C46=Availability!$O$6)*OR(Availability!$R$6="Semua",A46=Availability!$R$6))</f>
        <v/>
      </c>
      <c r="G46" s="187">
        <f>D46+E46+F46</f>
        <v/>
      </c>
      <c r="H46" s="189">
        <f>IF(G46=0,0,(D46+F46)/G46)</f>
        <v/>
      </c>
      <c r="I46" s="156">
        <f>E46+ROW()/1000000</f>
        <v/>
      </c>
      <c r="J46" s="156" t="n"/>
      <c r="K46" s="156" t="n"/>
      <c r="L46" s="156" t="inlineStr">
        <is>
          <t>DT-525</t>
        </is>
      </c>
      <c r="M46" s="155">
        <f>IF(M45="","",IF(M45+1&gt;MAX(DATA_TS!$A$2:$A$20001),"",M45+1))</f>
        <v/>
      </c>
      <c r="N46" s="156" t="n"/>
    </row>
    <row r="47">
      <c r="A47" s="156" t="inlineStr">
        <is>
          <t>DT-527</t>
        </is>
      </c>
      <c r="B47" s="156" t="inlineStr">
        <is>
          <t>SKT 105S</t>
        </is>
      </c>
      <c r="C47" s="156" t="inlineStr">
        <is>
          <t>Hauler</t>
        </is>
      </c>
      <c r="D47" s="187">
        <f>SUMIFS(DATA_TS!$G$2:$G$20001,DATA_TS!$C$2:$C$20001,$A47,DATA_TS!$A$2:$A$20001,"&gt;="&amp;Kalkulasi!$B$20,DATA_TS!$A$2:$A$20001,"&lt;="&amp;Kalkulasi!$B$21,DATA_TS!$B$2:$B$20001,Kalkulasi!$B$22)*(OR(Availability!$O$6="Semua",C47=Availability!$O$6)*OR(Availability!$R$6="Semua",A47=Availability!$R$6))</f>
        <v/>
      </c>
      <c r="E47" s="187">
        <f>SUMIFS(DATA_TS!$J$2:$J$20001,DATA_TS!$C$2:$C$20001,$A47,DATA_TS!$A$2:$A$20001,"&gt;="&amp;Kalkulasi!$B$20,DATA_TS!$A$2:$A$20001,"&lt;="&amp;Kalkulasi!$B$21,DATA_TS!$B$2:$B$20001,Kalkulasi!$B$22)*(OR(Availability!$O$6="Semua",C47=Availability!$O$6)*OR(Availability!$R$6="Semua",A47=Availability!$R$6))</f>
        <v/>
      </c>
      <c r="F47" s="187">
        <f>SUMIFS(DATA_TS!$K$2:$K$20001,DATA_TS!$C$2:$C$20001,$A47,DATA_TS!$A$2:$A$20001,"&gt;="&amp;Kalkulasi!$B$20,DATA_TS!$A$2:$A$20001,"&lt;="&amp;Kalkulasi!$B$21,DATA_TS!$B$2:$B$20001,Kalkulasi!$B$22)*(OR(Availability!$O$6="Semua",C47=Availability!$O$6)*OR(Availability!$R$6="Semua",A47=Availability!$R$6))</f>
        <v/>
      </c>
      <c r="G47" s="187">
        <f>D47+E47+F47</f>
        <v/>
      </c>
      <c r="H47" s="189">
        <f>IF(G47=0,0,(D47+F47)/G47)</f>
        <v/>
      </c>
      <c r="I47" s="156">
        <f>E47+ROW()/1000000</f>
        <v/>
      </c>
      <c r="J47" s="156" t="n"/>
      <c r="K47" s="156" t="n"/>
      <c r="L47" s="156" t="inlineStr">
        <is>
          <t>DT-526</t>
        </is>
      </c>
      <c r="M47" s="155">
        <f>IF(M46="","",IF(M46+1&gt;MAX(DATA_TS!$A$2:$A$20001),"",M46+1))</f>
        <v/>
      </c>
      <c r="N47" s="156" t="n"/>
    </row>
    <row r="48">
      <c r="A48" s="156" t="inlineStr">
        <is>
          <t>DT-528</t>
        </is>
      </c>
      <c r="B48" s="156" t="inlineStr">
        <is>
          <t>SKT 105S</t>
        </is>
      </c>
      <c r="C48" s="156" t="inlineStr">
        <is>
          <t>Hauler</t>
        </is>
      </c>
      <c r="D48" s="187">
        <f>SUMIFS(DATA_TS!$G$2:$G$20001,DATA_TS!$C$2:$C$20001,$A48,DATA_TS!$A$2:$A$20001,"&gt;="&amp;Kalkulasi!$B$20,DATA_TS!$A$2:$A$20001,"&lt;="&amp;Kalkulasi!$B$21,DATA_TS!$B$2:$B$20001,Kalkulasi!$B$22)*(OR(Availability!$O$6="Semua",C48=Availability!$O$6)*OR(Availability!$R$6="Semua",A48=Availability!$R$6))</f>
        <v/>
      </c>
      <c r="E48" s="187">
        <f>SUMIFS(DATA_TS!$J$2:$J$20001,DATA_TS!$C$2:$C$20001,$A48,DATA_TS!$A$2:$A$20001,"&gt;="&amp;Kalkulasi!$B$20,DATA_TS!$A$2:$A$20001,"&lt;="&amp;Kalkulasi!$B$21,DATA_TS!$B$2:$B$20001,Kalkulasi!$B$22)*(OR(Availability!$O$6="Semua",C48=Availability!$O$6)*OR(Availability!$R$6="Semua",A48=Availability!$R$6))</f>
        <v/>
      </c>
      <c r="F48" s="187">
        <f>SUMIFS(DATA_TS!$K$2:$K$20001,DATA_TS!$C$2:$C$20001,$A48,DATA_TS!$A$2:$A$20001,"&gt;="&amp;Kalkulasi!$B$20,DATA_TS!$A$2:$A$20001,"&lt;="&amp;Kalkulasi!$B$21,DATA_TS!$B$2:$B$20001,Kalkulasi!$B$22)*(OR(Availability!$O$6="Semua",C48=Availability!$O$6)*OR(Availability!$R$6="Semua",A48=Availability!$R$6))</f>
        <v/>
      </c>
      <c r="G48" s="187">
        <f>D48+E48+F48</f>
        <v/>
      </c>
      <c r="H48" s="189">
        <f>IF(G48=0,0,(D48+F48)/G48)</f>
        <v/>
      </c>
      <c r="I48" s="156">
        <f>E48+ROW()/1000000</f>
        <v/>
      </c>
      <c r="J48" s="156" t="n"/>
      <c r="K48" s="156" t="n"/>
      <c r="L48" s="156" t="inlineStr">
        <is>
          <t>DT-527</t>
        </is>
      </c>
      <c r="M48" s="155">
        <f>IF(M47="","",IF(M47+1&gt;MAX(DATA_TS!$A$2:$A$20001),"",M47+1))</f>
        <v/>
      </c>
      <c r="N48" s="156" t="n"/>
    </row>
    <row r="49">
      <c r="A49" s="156" t="inlineStr">
        <is>
          <t>DT-529</t>
        </is>
      </c>
      <c r="B49" s="156" t="inlineStr">
        <is>
          <t>SKT 105S</t>
        </is>
      </c>
      <c r="C49" s="156" t="inlineStr">
        <is>
          <t>Hauler</t>
        </is>
      </c>
      <c r="D49" s="187">
        <f>SUMIFS(DATA_TS!$G$2:$G$20001,DATA_TS!$C$2:$C$20001,$A49,DATA_TS!$A$2:$A$20001,"&gt;="&amp;Kalkulasi!$B$20,DATA_TS!$A$2:$A$20001,"&lt;="&amp;Kalkulasi!$B$21,DATA_TS!$B$2:$B$20001,Kalkulasi!$B$22)*(OR(Availability!$O$6="Semua",C49=Availability!$O$6)*OR(Availability!$R$6="Semua",A49=Availability!$R$6))</f>
        <v/>
      </c>
      <c r="E49" s="187">
        <f>SUMIFS(DATA_TS!$J$2:$J$20001,DATA_TS!$C$2:$C$20001,$A49,DATA_TS!$A$2:$A$20001,"&gt;="&amp;Kalkulasi!$B$20,DATA_TS!$A$2:$A$20001,"&lt;="&amp;Kalkulasi!$B$21,DATA_TS!$B$2:$B$20001,Kalkulasi!$B$22)*(OR(Availability!$O$6="Semua",C49=Availability!$O$6)*OR(Availability!$R$6="Semua",A49=Availability!$R$6))</f>
        <v/>
      </c>
      <c r="F49" s="187">
        <f>SUMIFS(DATA_TS!$K$2:$K$20001,DATA_TS!$C$2:$C$20001,$A49,DATA_TS!$A$2:$A$20001,"&gt;="&amp;Kalkulasi!$B$20,DATA_TS!$A$2:$A$20001,"&lt;="&amp;Kalkulasi!$B$21,DATA_TS!$B$2:$B$20001,Kalkulasi!$B$22)*(OR(Availability!$O$6="Semua",C49=Availability!$O$6)*OR(Availability!$R$6="Semua",A49=Availability!$R$6))</f>
        <v/>
      </c>
      <c r="G49" s="187">
        <f>D49+E49+F49</f>
        <v/>
      </c>
      <c r="H49" s="189">
        <f>IF(G49=0,0,(D49+F49)/G49)</f>
        <v/>
      </c>
      <c r="I49" s="156">
        <f>E49+ROW()/1000000</f>
        <v/>
      </c>
      <c r="J49" s="156" t="n"/>
      <c r="K49" s="156" t="n"/>
      <c r="L49" s="156" t="inlineStr">
        <is>
          <t>DT-528</t>
        </is>
      </c>
      <c r="M49" s="155">
        <f>IF(M48="","",IF(M48+1&gt;MAX(DATA_TS!$A$2:$A$20001),"",M48+1))</f>
        <v/>
      </c>
      <c r="N49" s="156" t="n"/>
    </row>
    <row r="50">
      <c r="A50" s="156" t="inlineStr">
        <is>
          <t>DT-530</t>
        </is>
      </c>
      <c r="B50" s="156" t="inlineStr">
        <is>
          <t>SKT 105S</t>
        </is>
      </c>
      <c r="C50" s="156" t="inlineStr">
        <is>
          <t>Hauler</t>
        </is>
      </c>
      <c r="D50" s="187">
        <f>SUMIFS(DATA_TS!$G$2:$G$20001,DATA_TS!$C$2:$C$20001,$A50,DATA_TS!$A$2:$A$20001,"&gt;="&amp;Kalkulasi!$B$20,DATA_TS!$A$2:$A$20001,"&lt;="&amp;Kalkulasi!$B$21,DATA_TS!$B$2:$B$20001,Kalkulasi!$B$22)*(OR(Availability!$O$6="Semua",C50=Availability!$O$6)*OR(Availability!$R$6="Semua",A50=Availability!$R$6))</f>
        <v/>
      </c>
      <c r="E50" s="187">
        <f>SUMIFS(DATA_TS!$J$2:$J$20001,DATA_TS!$C$2:$C$20001,$A50,DATA_TS!$A$2:$A$20001,"&gt;="&amp;Kalkulasi!$B$20,DATA_TS!$A$2:$A$20001,"&lt;="&amp;Kalkulasi!$B$21,DATA_TS!$B$2:$B$20001,Kalkulasi!$B$22)*(OR(Availability!$O$6="Semua",C50=Availability!$O$6)*OR(Availability!$R$6="Semua",A50=Availability!$R$6))</f>
        <v/>
      </c>
      <c r="F50" s="187">
        <f>SUMIFS(DATA_TS!$K$2:$K$20001,DATA_TS!$C$2:$C$20001,$A50,DATA_TS!$A$2:$A$20001,"&gt;="&amp;Kalkulasi!$B$20,DATA_TS!$A$2:$A$20001,"&lt;="&amp;Kalkulasi!$B$21,DATA_TS!$B$2:$B$20001,Kalkulasi!$B$22)*(OR(Availability!$O$6="Semua",C50=Availability!$O$6)*OR(Availability!$R$6="Semua",A50=Availability!$R$6))</f>
        <v/>
      </c>
      <c r="G50" s="187">
        <f>D50+E50+F50</f>
        <v/>
      </c>
      <c r="H50" s="189">
        <f>IF(G50=0,0,(D50+F50)/G50)</f>
        <v/>
      </c>
      <c r="I50" s="156">
        <f>E50+ROW()/1000000</f>
        <v/>
      </c>
      <c r="J50" s="156" t="n"/>
      <c r="K50" s="156" t="n"/>
      <c r="L50" s="156" t="inlineStr">
        <is>
          <t>DT-529</t>
        </is>
      </c>
      <c r="M50" s="155">
        <f>IF(M49="","",IF(M49+1&gt;MAX(DATA_TS!$A$2:$A$20001),"",M49+1))</f>
        <v/>
      </c>
      <c r="N50" s="156" t="n"/>
    </row>
    <row r="51">
      <c r="A51" s="156" t="inlineStr">
        <is>
          <t>DT-801</t>
        </is>
      </c>
      <c r="B51" s="156" t="inlineStr">
        <is>
          <t>SKT 80S</t>
        </is>
      </c>
      <c r="C51" s="156" t="inlineStr">
        <is>
          <t>Hauler</t>
        </is>
      </c>
      <c r="D51" s="187">
        <f>SUMIFS(DATA_TS!$G$2:$G$20001,DATA_TS!$C$2:$C$20001,$A51,DATA_TS!$A$2:$A$20001,"&gt;="&amp;Kalkulasi!$B$20,DATA_TS!$A$2:$A$20001,"&lt;="&amp;Kalkulasi!$B$21,DATA_TS!$B$2:$B$20001,Kalkulasi!$B$22)*(OR(Availability!$O$6="Semua",C51=Availability!$O$6)*OR(Availability!$R$6="Semua",A51=Availability!$R$6))</f>
        <v/>
      </c>
      <c r="E51" s="187">
        <f>SUMIFS(DATA_TS!$J$2:$J$20001,DATA_TS!$C$2:$C$20001,$A51,DATA_TS!$A$2:$A$20001,"&gt;="&amp;Kalkulasi!$B$20,DATA_TS!$A$2:$A$20001,"&lt;="&amp;Kalkulasi!$B$21,DATA_TS!$B$2:$B$20001,Kalkulasi!$B$22)*(OR(Availability!$O$6="Semua",C51=Availability!$O$6)*OR(Availability!$R$6="Semua",A51=Availability!$R$6))</f>
        <v/>
      </c>
      <c r="F51" s="187">
        <f>SUMIFS(DATA_TS!$K$2:$K$20001,DATA_TS!$C$2:$C$20001,$A51,DATA_TS!$A$2:$A$20001,"&gt;="&amp;Kalkulasi!$B$20,DATA_TS!$A$2:$A$20001,"&lt;="&amp;Kalkulasi!$B$21,DATA_TS!$B$2:$B$20001,Kalkulasi!$B$22)*(OR(Availability!$O$6="Semua",C51=Availability!$O$6)*OR(Availability!$R$6="Semua",A51=Availability!$R$6))</f>
        <v/>
      </c>
      <c r="G51" s="187">
        <f>D51+E51+F51</f>
        <v/>
      </c>
      <c r="H51" s="189">
        <f>IF(G51=0,0,(D51+F51)/G51)</f>
        <v/>
      </c>
      <c r="I51" s="156">
        <f>E51+ROW()/1000000</f>
        <v/>
      </c>
      <c r="J51" s="156" t="n"/>
      <c r="K51" s="156" t="n"/>
      <c r="L51" s="156" t="inlineStr">
        <is>
          <t>DT-530</t>
        </is>
      </c>
      <c r="M51" s="155">
        <f>IF(M50="","",IF(M50+1&gt;MAX(DATA_TS!$A$2:$A$20001),"",M50+1))</f>
        <v/>
      </c>
      <c r="N51" s="156" t="n"/>
    </row>
    <row r="52">
      <c r="A52" s="156" t="inlineStr">
        <is>
          <t>DT-802</t>
        </is>
      </c>
      <c r="B52" s="156" t="inlineStr">
        <is>
          <t>SKT 80S</t>
        </is>
      </c>
      <c r="C52" s="156" t="inlineStr">
        <is>
          <t>Hauler</t>
        </is>
      </c>
      <c r="D52" s="187">
        <f>SUMIFS(DATA_TS!$G$2:$G$20001,DATA_TS!$C$2:$C$20001,$A52,DATA_TS!$A$2:$A$20001,"&gt;="&amp;Kalkulasi!$B$20,DATA_TS!$A$2:$A$20001,"&lt;="&amp;Kalkulasi!$B$21,DATA_TS!$B$2:$B$20001,Kalkulasi!$B$22)*(OR(Availability!$O$6="Semua",C52=Availability!$O$6)*OR(Availability!$R$6="Semua",A52=Availability!$R$6))</f>
        <v/>
      </c>
      <c r="E52" s="187">
        <f>SUMIFS(DATA_TS!$J$2:$J$20001,DATA_TS!$C$2:$C$20001,$A52,DATA_TS!$A$2:$A$20001,"&gt;="&amp;Kalkulasi!$B$20,DATA_TS!$A$2:$A$20001,"&lt;="&amp;Kalkulasi!$B$21,DATA_TS!$B$2:$B$20001,Kalkulasi!$B$22)*(OR(Availability!$O$6="Semua",C52=Availability!$O$6)*OR(Availability!$R$6="Semua",A52=Availability!$R$6))</f>
        <v/>
      </c>
      <c r="F52" s="187">
        <f>SUMIFS(DATA_TS!$K$2:$K$20001,DATA_TS!$C$2:$C$20001,$A52,DATA_TS!$A$2:$A$20001,"&gt;="&amp;Kalkulasi!$B$20,DATA_TS!$A$2:$A$20001,"&lt;="&amp;Kalkulasi!$B$21,DATA_TS!$B$2:$B$20001,Kalkulasi!$B$22)*(OR(Availability!$O$6="Semua",C52=Availability!$O$6)*OR(Availability!$R$6="Semua",A52=Availability!$R$6))</f>
        <v/>
      </c>
      <c r="G52" s="187">
        <f>D52+E52+F52</f>
        <v/>
      </c>
      <c r="H52" s="189">
        <f>IF(G52=0,0,(D52+F52)/G52)</f>
        <v/>
      </c>
      <c r="I52" s="156">
        <f>E52+ROW()/1000000</f>
        <v/>
      </c>
      <c r="J52" s="156" t="n"/>
      <c r="K52" s="156" t="n"/>
      <c r="L52" s="156" t="inlineStr">
        <is>
          <t>DT-801</t>
        </is>
      </c>
      <c r="M52" s="155">
        <f>IF(M51="","",IF(M51+1&gt;MAX(DATA_TS!$A$2:$A$20001),"",M51+1))</f>
        <v/>
      </c>
      <c r="N52" s="156" t="n"/>
    </row>
    <row r="53">
      <c r="A53" s="156" t="inlineStr">
        <is>
          <t>DT-803</t>
        </is>
      </c>
      <c r="B53" s="156" t="inlineStr">
        <is>
          <t>SKT 80S</t>
        </is>
      </c>
      <c r="C53" s="156" t="inlineStr">
        <is>
          <t>Hauler</t>
        </is>
      </c>
      <c r="D53" s="187">
        <f>SUMIFS(DATA_TS!$G$2:$G$20001,DATA_TS!$C$2:$C$20001,$A53,DATA_TS!$A$2:$A$20001,"&gt;="&amp;Kalkulasi!$B$20,DATA_TS!$A$2:$A$20001,"&lt;="&amp;Kalkulasi!$B$21,DATA_TS!$B$2:$B$20001,Kalkulasi!$B$22)*(OR(Availability!$O$6="Semua",C53=Availability!$O$6)*OR(Availability!$R$6="Semua",A53=Availability!$R$6))</f>
        <v/>
      </c>
      <c r="E53" s="187">
        <f>SUMIFS(DATA_TS!$J$2:$J$20001,DATA_TS!$C$2:$C$20001,$A53,DATA_TS!$A$2:$A$20001,"&gt;="&amp;Kalkulasi!$B$20,DATA_TS!$A$2:$A$20001,"&lt;="&amp;Kalkulasi!$B$21,DATA_TS!$B$2:$B$20001,Kalkulasi!$B$22)*(OR(Availability!$O$6="Semua",C53=Availability!$O$6)*OR(Availability!$R$6="Semua",A53=Availability!$R$6))</f>
        <v/>
      </c>
      <c r="F53" s="187">
        <f>SUMIFS(DATA_TS!$K$2:$K$20001,DATA_TS!$C$2:$C$20001,$A53,DATA_TS!$A$2:$A$20001,"&gt;="&amp;Kalkulasi!$B$20,DATA_TS!$A$2:$A$20001,"&lt;="&amp;Kalkulasi!$B$21,DATA_TS!$B$2:$B$20001,Kalkulasi!$B$22)*(OR(Availability!$O$6="Semua",C53=Availability!$O$6)*OR(Availability!$R$6="Semua",A53=Availability!$R$6))</f>
        <v/>
      </c>
      <c r="G53" s="187">
        <f>D53+E53+F53</f>
        <v/>
      </c>
      <c r="H53" s="189">
        <f>IF(G53=0,0,(D53+F53)/G53)</f>
        <v/>
      </c>
      <c r="I53" s="156">
        <f>E53+ROW()/1000000</f>
        <v/>
      </c>
      <c r="J53" s="156" t="n"/>
      <c r="K53" s="156" t="n"/>
      <c r="L53" s="156" t="inlineStr">
        <is>
          <t>DT-802</t>
        </is>
      </c>
      <c r="M53" s="155">
        <f>IF(M52="","",IF(M52+1&gt;MAX(DATA_TS!$A$2:$A$20001),"",M52+1))</f>
        <v/>
      </c>
      <c r="N53" s="156" t="n"/>
    </row>
    <row r="54">
      <c r="A54" s="156" t="inlineStr">
        <is>
          <t>DT-804</t>
        </is>
      </c>
      <c r="B54" s="156" t="inlineStr">
        <is>
          <t>SKT 80S</t>
        </is>
      </c>
      <c r="C54" s="156" t="inlineStr">
        <is>
          <t>Hauler</t>
        </is>
      </c>
      <c r="D54" s="187">
        <f>SUMIFS(DATA_TS!$G$2:$G$20001,DATA_TS!$C$2:$C$20001,$A54,DATA_TS!$A$2:$A$20001,"&gt;="&amp;Kalkulasi!$B$20,DATA_TS!$A$2:$A$20001,"&lt;="&amp;Kalkulasi!$B$21,DATA_TS!$B$2:$B$20001,Kalkulasi!$B$22)*(OR(Availability!$O$6="Semua",C54=Availability!$O$6)*OR(Availability!$R$6="Semua",A54=Availability!$R$6))</f>
        <v/>
      </c>
      <c r="E54" s="187">
        <f>SUMIFS(DATA_TS!$J$2:$J$20001,DATA_TS!$C$2:$C$20001,$A54,DATA_TS!$A$2:$A$20001,"&gt;="&amp;Kalkulasi!$B$20,DATA_TS!$A$2:$A$20001,"&lt;="&amp;Kalkulasi!$B$21,DATA_TS!$B$2:$B$20001,Kalkulasi!$B$22)*(OR(Availability!$O$6="Semua",C54=Availability!$O$6)*OR(Availability!$R$6="Semua",A54=Availability!$R$6))</f>
        <v/>
      </c>
      <c r="F54" s="187">
        <f>SUMIFS(DATA_TS!$K$2:$K$20001,DATA_TS!$C$2:$C$20001,$A54,DATA_TS!$A$2:$A$20001,"&gt;="&amp;Kalkulasi!$B$20,DATA_TS!$A$2:$A$20001,"&lt;="&amp;Kalkulasi!$B$21,DATA_TS!$B$2:$B$20001,Kalkulasi!$B$22)*(OR(Availability!$O$6="Semua",C54=Availability!$O$6)*OR(Availability!$R$6="Semua",A54=Availability!$R$6))</f>
        <v/>
      </c>
      <c r="G54" s="187">
        <f>D54+E54+F54</f>
        <v/>
      </c>
      <c r="H54" s="189">
        <f>IF(G54=0,0,(D54+F54)/G54)</f>
        <v/>
      </c>
      <c r="I54" s="156">
        <f>E54+ROW()/1000000</f>
        <v/>
      </c>
      <c r="J54" s="156" t="n"/>
      <c r="K54" s="156" t="n"/>
      <c r="L54" s="156" t="inlineStr">
        <is>
          <t>DT-803</t>
        </is>
      </c>
      <c r="M54" s="155">
        <f>IF(M53="","",IF(M53+1&gt;MAX(DATA_TS!$A$2:$A$20001),"",M53+1))</f>
        <v/>
      </c>
      <c r="N54" s="156" t="n"/>
    </row>
    <row r="55">
      <c r="A55" s="156" t="inlineStr">
        <is>
          <t>DT-805</t>
        </is>
      </c>
      <c r="B55" s="156" t="inlineStr">
        <is>
          <t>SKT 80S</t>
        </is>
      </c>
      <c r="C55" s="156" t="inlineStr">
        <is>
          <t>Hauler</t>
        </is>
      </c>
      <c r="D55" s="187">
        <f>SUMIFS(DATA_TS!$G$2:$G$20001,DATA_TS!$C$2:$C$20001,$A55,DATA_TS!$A$2:$A$20001,"&gt;="&amp;Kalkulasi!$B$20,DATA_TS!$A$2:$A$20001,"&lt;="&amp;Kalkulasi!$B$21,DATA_TS!$B$2:$B$20001,Kalkulasi!$B$22)*(OR(Availability!$O$6="Semua",C55=Availability!$O$6)*OR(Availability!$R$6="Semua",A55=Availability!$R$6))</f>
        <v/>
      </c>
      <c r="E55" s="187">
        <f>SUMIFS(DATA_TS!$J$2:$J$20001,DATA_TS!$C$2:$C$20001,$A55,DATA_TS!$A$2:$A$20001,"&gt;="&amp;Kalkulasi!$B$20,DATA_TS!$A$2:$A$20001,"&lt;="&amp;Kalkulasi!$B$21,DATA_TS!$B$2:$B$20001,Kalkulasi!$B$22)*(OR(Availability!$O$6="Semua",C55=Availability!$O$6)*OR(Availability!$R$6="Semua",A55=Availability!$R$6))</f>
        <v/>
      </c>
      <c r="F55" s="187">
        <f>SUMIFS(DATA_TS!$K$2:$K$20001,DATA_TS!$C$2:$C$20001,$A55,DATA_TS!$A$2:$A$20001,"&gt;="&amp;Kalkulasi!$B$20,DATA_TS!$A$2:$A$20001,"&lt;="&amp;Kalkulasi!$B$21,DATA_TS!$B$2:$B$20001,Kalkulasi!$B$22)*(OR(Availability!$O$6="Semua",C55=Availability!$O$6)*OR(Availability!$R$6="Semua",A55=Availability!$R$6))</f>
        <v/>
      </c>
      <c r="G55" s="187">
        <f>D55+E55+F55</f>
        <v/>
      </c>
      <c r="H55" s="189">
        <f>IF(G55=0,0,(D55+F55)/G55)</f>
        <v/>
      </c>
      <c r="I55" s="156">
        <f>E55+ROW()/1000000</f>
        <v/>
      </c>
      <c r="J55" s="156" t="n"/>
      <c r="K55" s="156" t="n"/>
      <c r="L55" s="156" t="inlineStr">
        <is>
          <t>DT-804</t>
        </is>
      </c>
      <c r="M55" s="155">
        <f>IF(M54="","",IF(M54+1&gt;MAX(DATA_TS!$A$2:$A$20001),"",M54+1))</f>
        <v/>
      </c>
      <c r="N55" s="156" t="n"/>
    </row>
    <row r="56">
      <c r="A56" s="156" t="inlineStr">
        <is>
          <t>DT-806</t>
        </is>
      </c>
      <c r="B56" s="156" t="inlineStr">
        <is>
          <t>SKT 80S</t>
        </is>
      </c>
      <c r="C56" s="156" t="inlineStr">
        <is>
          <t>Hauler</t>
        </is>
      </c>
      <c r="D56" s="187">
        <f>SUMIFS(DATA_TS!$G$2:$G$20001,DATA_TS!$C$2:$C$20001,$A56,DATA_TS!$A$2:$A$20001,"&gt;="&amp;Kalkulasi!$B$20,DATA_TS!$A$2:$A$20001,"&lt;="&amp;Kalkulasi!$B$21,DATA_TS!$B$2:$B$20001,Kalkulasi!$B$22)*(OR(Availability!$O$6="Semua",C56=Availability!$O$6)*OR(Availability!$R$6="Semua",A56=Availability!$R$6))</f>
        <v/>
      </c>
      <c r="E56" s="187">
        <f>SUMIFS(DATA_TS!$J$2:$J$20001,DATA_TS!$C$2:$C$20001,$A56,DATA_TS!$A$2:$A$20001,"&gt;="&amp;Kalkulasi!$B$20,DATA_TS!$A$2:$A$20001,"&lt;="&amp;Kalkulasi!$B$21,DATA_TS!$B$2:$B$20001,Kalkulasi!$B$22)*(OR(Availability!$O$6="Semua",C56=Availability!$O$6)*OR(Availability!$R$6="Semua",A56=Availability!$R$6))</f>
        <v/>
      </c>
      <c r="F56" s="187">
        <f>SUMIFS(DATA_TS!$K$2:$K$20001,DATA_TS!$C$2:$C$20001,$A56,DATA_TS!$A$2:$A$20001,"&gt;="&amp;Kalkulasi!$B$20,DATA_TS!$A$2:$A$20001,"&lt;="&amp;Kalkulasi!$B$21,DATA_TS!$B$2:$B$20001,Kalkulasi!$B$22)*(OR(Availability!$O$6="Semua",C56=Availability!$O$6)*OR(Availability!$R$6="Semua",A56=Availability!$R$6))</f>
        <v/>
      </c>
      <c r="G56" s="187">
        <f>D56+E56+F56</f>
        <v/>
      </c>
      <c r="H56" s="189">
        <f>IF(G56=0,0,(D56+F56)/G56)</f>
        <v/>
      </c>
      <c r="I56" s="156">
        <f>E56+ROW()/1000000</f>
        <v/>
      </c>
      <c r="J56" s="156" t="n"/>
      <c r="K56" s="156" t="n"/>
      <c r="L56" s="156" t="inlineStr">
        <is>
          <t>DT-805</t>
        </is>
      </c>
      <c r="M56" s="155">
        <f>IF(M55="","",IF(M55+1&gt;MAX(DATA_TS!$A$2:$A$20001),"",M55+1))</f>
        <v/>
      </c>
      <c r="N56" s="156" t="n"/>
    </row>
    <row r="57">
      <c r="A57" s="156" t="inlineStr">
        <is>
          <t>DT-807</t>
        </is>
      </c>
      <c r="B57" s="156" t="inlineStr">
        <is>
          <t>SKT 80S</t>
        </is>
      </c>
      <c r="C57" s="156" t="inlineStr">
        <is>
          <t>Hauler</t>
        </is>
      </c>
      <c r="D57" s="187">
        <f>SUMIFS(DATA_TS!$G$2:$G$20001,DATA_TS!$C$2:$C$20001,$A57,DATA_TS!$A$2:$A$20001,"&gt;="&amp;Kalkulasi!$B$20,DATA_TS!$A$2:$A$20001,"&lt;="&amp;Kalkulasi!$B$21,DATA_TS!$B$2:$B$20001,Kalkulasi!$B$22)*(OR(Availability!$O$6="Semua",C57=Availability!$O$6)*OR(Availability!$R$6="Semua",A57=Availability!$R$6))</f>
        <v/>
      </c>
      <c r="E57" s="187">
        <f>SUMIFS(DATA_TS!$J$2:$J$20001,DATA_TS!$C$2:$C$20001,$A57,DATA_TS!$A$2:$A$20001,"&gt;="&amp;Kalkulasi!$B$20,DATA_TS!$A$2:$A$20001,"&lt;="&amp;Kalkulasi!$B$21,DATA_TS!$B$2:$B$20001,Kalkulasi!$B$22)*(OR(Availability!$O$6="Semua",C57=Availability!$O$6)*OR(Availability!$R$6="Semua",A57=Availability!$R$6))</f>
        <v/>
      </c>
      <c r="F57" s="187">
        <f>SUMIFS(DATA_TS!$K$2:$K$20001,DATA_TS!$C$2:$C$20001,$A57,DATA_TS!$A$2:$A$20001,"&gt;="&amp;Kalkulasi!$B$20,DATA_TS!$A$2:$A$20001,"&lt;="&amp;Kalkulasi!$B$21,DATA_TS!$B$2:$B$20001,Kalkulasi!$B$22)*(OR(Availability!$O$6="Semua",C57=Availability!$O$6)*OR(Availability!$R$6="Semua",A57=Availability!$R$6))</f>
        <v/>
      </c>
      <c r="G57" s="187">
        <f>D57+E57+F57</f>
        <v/>
      </c>
      <c r="H57" s="189">
        <f>IF(G57=0,0,(D57+F57)/G57)</f>
        <v/>
      </c>
      <c r="I57" s="156">
        <f>E57+ROW()/1000000</f>
        <v/>
      </c>
      <c r="J57" s="156" t="n"/>
      <c r="K57" s="156" t="n"/>
      <c r="L57" s="156" t="inlineStr">
        <is>
          <t>DT-806</t>
        </is>
      </c>
      <c r="M57" s="155">
        <f>IF(M56="","",IF(M56+1&gt;MAX(DATA_TS!$A$2:$A$20001),"",M56+1))</f>
        <v/>
      </c>
      <c r="N57" s="156" t="n"/>
    </row>
    <row r="58">
      <c r="A58" s="156" t="inlineStr">
        <is>
          <t>DT-808</t>
        </is>
      </c>
      <c r="B58" s="156" t="inlineStr">
        <is>
          <t>SKT 80S</t>
        </is>
      </c>
      <c r="C58" s="156" t="inlineStr">
        <is>
          <t>Hauler</t>
        </is>
      </c>
      <c r="D58" s="187">
        <f>SUMIFS(DATA_TS!$G$2:$G$20001,DATA_TS!$C$2:$C$20001,$A58,DATA_TS!$A$2:$A$20001,"&gt;="&amp;Kalkulasi!$B$20,DATA_TS!$A$2:$A$20001,"&lt;="&amp;Kalkulasi!$B$21,DATA_TS!$B$2:$B$20001,Kalkulasi!$B$22)*(OR(Availability!$O$6="Semua",C58=Availability!$O$6)*OR(Availability!$R$6="Semua",A58=Availability!$R$6))</f>
        <v/>
      </c>
      <c r="E58" s="187">
        <f>SUMIFS(DATA_TS!$J$2:$J$20001,DATA_TS!$C$2:$C$20001,$A58,DATA_TS!$A$2:$A$20001,"&gt;="&amp;Kalkulasi!$B$20,DATA_TS!$A$2:$A$20001,"&lt;="&amp;Kalkulasi!$B$21,DATA_TS!$B$2:$B$20001,Kalkulasi!$B$22)*(OR(Availability!$O$6="Semua",C58=Availability!$O$6)*OR(Availability!$R$6="Semua",A58=Availability!$R$6))</f>
        <v/>
      </c>
      <c r="F58" s="187">
        <f>SUMIFS(DATA_TS!$K$2:$K$20001,DATA_TS!$C$2:$C$20001,$A58,DATA_TS!$A$2:$A$20001,"&gt;="&amp;Kalkulasi!$B$20,DATA_TS!$A$2:$A$20001,"&lt;="&amp;Kalkulasi!$B$21,DATA_TS!$B$2:$B$20001,Kalkulasi!$B$22)*(OR(Availability!$O$6="Semua",C58=Availability!$O$6)*OR(Availability!$R$6="Semua",A58=Availability!$R$6))</f>
        <v/>
      </c>
      <c r="G58" s="187">
        <f>D58+E58+F58</f>
        <v/>
      </c>
      <c r="H58" s="189">
        <f>IF(G58=0,0,(D58+F58)/G58)</f>
        <v/>
      </c>
      <c r="I58" s="156">
        <f>E58+ROW()/1000000</f>
        <v/>
      </c>
      <c r="J58" s="156" t="n"/>
      <c r="K58" s="156" t="n"/>
      <c r="L58" s="156" t="inlineStr">
        <is>
          <t>DT-807</t>
        </is>
      </c>
      <c r="M58" s="155">
        <f>IF(M57="","",IF(M57+1&gt;MAX(DATA_TS!$A$2:$A$20001),"",M57+1))</f>
        <v/>
      </c>
      <c r="N58" s="156" t="n"/>
    </row>
    <row r="59">
      <c r="A59" s="156" t="inlineStr">
        <is>
          <t>DT-809</t>
        </is>
      </c>
      <c r="B59" s="156" t="inlineStr">
        <is>
          <t>SKT 80S</t>
        </is>
      </c>
      <c r="C59" s="156" t="inlineStr">
        <is>
          <t>Hauler</t>
        </is>
      </c>
      <c r="D59" s="187">
        <f>SUMIFS(DATA_TS!$G$2:$G$20001,DATA_TS!$C$2:$C$20001,$A59,DATA_TS!$A$2:$A$20001,"&gt;="&amp;Kalkulasi!$B$20,DATA_TS!$A$2:$A$20001,"&lt;="&amp;Kalkulasi!$B$21,DATA_TS!$B$2:$B$20001,Kalkulasi!$B$22)*(OR(Availability!$O$6="Semua",C59=Availability!$O$6)*OR(Availability!$R$6="Semua",A59=Availability!$R$6))</f>
        <v/>
      </c>
      <c r="E59" s="187">
        <f>SUMIFS(DATA_TS!$J$2:$J$20001,DATA_TS!$C$2:$C$20001,$A59,DATA_TS!$A$2:$A$20001,"&gt;="&amp;Kalkulasi!$B$20,DATA_TS!$A$2:$A$20001,"&lt;="&amp;Kalkulasi!$B$21,DATA_TS!$B$2:$B$20001,Kalkulasi!$B$22)*(OR(Availability!$O$6="Semua",C59=Availability!$O$6)*OR(Availability!$R$6="Semua",A59=Availability!$R$6))</f>
        <v/>
      </c>
      <c r="F59" s="187">
        <f>SUMIFS(DATA_TS!$K$2:$K$20001,DATA_TS!$C$2:$C$20001,$A59,DATA_TS!$A$2:$A$20001,"&gt;="&amp;Kalkulasi!$B$20,DATA_TS!$A$2:$A$20001,"&lt;="&amp;Kalkulasi!$B$21,DATA_TS!$B$2:$B$20001,Kalkulasi!$B$22)*(OR(Availability!$O$6="Semua",C59=Availability!$O$6)*OR(Availability!$R$6="Semua",A59=Availability!$R$6))</f>
        <v/>
      </c>
      <c r="G59" s="187">
        <f>D59+E59+F59</f>
        <v/>
      </c>
      <c r="H59" s="189">
        <f>IF(G59=0,0,(D59+F59)/G59)</f>
        <v/>
      </c>
      <c r="I59" s="156">
        <f>E59+ROW()/1000000</f>
        <v/>
      </c>
      <c r="J59" s="156" t="n"/>
      <c r="K59" s="156" t="n"/>
      <c r="L59" s="156" t="inlineStr">
        <is>
          <t>DT-808</t>
        </is>
      </c>
      <c r="M59" s="155">
        <f>IF(M58="","",IF(M58+1&gt;MAX(DATA_TS!$A$2:$A$20001),"",M58+1))</f>
        <v/>
      </c>
      <c r="N59" s="156" t="n"/>
    </row>
    <row r="60">
      <c r="A60" s="156" t="inlineStr">
        <is>
          <t>DT-810</t>
        </is>
      </c>
      <c r="B60" s="156" t="inlineStr">
        <is>
          <t>SKT 80S</t>
        </is>
      </c>
      <c r="C60" s="156" t="inlineStr">
        <is>
          <t>Hauler</t>
        </is>
      </c>
      <c r="D60" s="187">
        <f>SUMIFS(DATA_TS!$G$2:$G$20001,DATA_TS!$C$2:$C$20001,$A60,DATA_TS!$A$2:$A$20001,"&gt;="&amp;Kalkulasi!$B$20,DATA_TS!$A$2:$A$20001,"&lt;="&amp;Kalkulasi!$B$21,DATA_TS!$B$2:$B$20001,Kalkulasi!$B$22)*(OR(Availability!$O$6="Semua",C60=Availability!$O$6)*OR(Availability!$R$6="Semua",A60=Availability!$R$6))</f>
        <v/>
      </c>
      <c r="E60" s="187">
        <f>SUMIFS(DATA_TS!$J$2:$J$20001,DATA_TS!$C$2:$C$20001,$A60,DATA_TS!$A$2:$A$20001,"&gt;="&amp;Kalkulasi!$B$20,DATA_TS!$A$2:$A$20001,"&lt;="&amp;Kalkulasi!$B$21,DATA_TS!$B$2:$B$20001,Kalkulasi!$B$22)*(OR(Availability!$O$6="Semua",C60=Availability!$O$6)*OR(Availability!$R$6="Semua",A60=Availability!$R$6))</f>
        <v/>
      </c>
      <c r="F60" s="187">
        <f>SUMIFS(DATA_TS!$K$2:$K$20001,DATA_TS!$C$2:$C$20001,$A60,DATA_TS!$A$2:$A$20001,"&gt;="&amp;Kalkulasi!$B$20,DATA_TS!$A$2:$A$20001,"&lt;="&amp;Kalkulasi!$B$21,DATA_TS!$B$2:$B$20001,Kalkulasi!$B$22)*(OR(Availability!$O$6="Semua",C60=Availability!$O$6)*OR(Availability!$R$6="Semua",A60=Availability!$R$6))</f>
        <v/>
      </c>
      <c r="G60" s="187">
        <f>D60+E60+F60</f>
        <v/>
      </c>
      <c r="H60" s="189">
        <f>IF(G60=0,0,(D60+F60)/G60)</f>
        <v/>
      </c>
      <c r="I60" s="156">
        <f>E60+ROW()/1000000</f>
        <v/>
      </c>
      <c r="J60" s="156" t="n"/>
      <c r="K60" s="156" t="n"/>
      <c r="L60" s="156" t="inlineStr">
        <is>
          <t>DT-809</t>
        </is>
      </c>
      <c r="M60" s="155">
        <f>IF(M59="","",IF(M59+1&gt;MAX(DATA_TS!$A$2:$A$20001),"",M59+1))</f>
        <v/>
      </c>
      <c r="N60" s="156" t="n"/>
    </row>
    <row r="61">
      <c r="A61" s="156" t="inlineStr">
        <is>
          <t>DT-811</t>
        </is>
      </c>
      <c r="B61" s="156" t="inlineStr">
        <is>
          <t>SKT 80S</t>
        </is>
      </c>
      <c r="C61" s="156" t="inlineStr">
        <is>
          <t>Hauler</t>
        </is>
      </c>
      <c r="D61" s="187">
        <f>SUMIFS(DATA_TS!$G$2:$G$20001,DATA_TS!$C$2:$C$20001,$A61,DATA_TS!$A$2:$A$20001,"&gt;="&amp;Kalkulasi!$B$20,DATA_TS!$A$2:$A$20001,"&lt;="&amp;Kalkulasi!$B$21,DATA_TS!$B$2:$B$20001,Kalkulasi!$B$22)*(OR(Availability!$O$6="Semua",C61=Availability!$O$6)*OR(Availability!$R$6="Semua",A61=Availability!$R$6))</f>
        <v/>
      </c>
      <c r="E61" s="187">
        <f>SUMIFS(DATA_TS!$J$2:$J$20001,DATA_TS!$C$2:$C$20001,$A61,DATA_TS!$A$2:$A$20001,"&gt;="&amp;Kalkulasi!$B$20,DATA_TS!$A$2:$A$20001,"&lt;="&amp;Kalkulasi!$B$21,DATA_TS!$B$2:$B$20001,Kalkulasi!$B$22)*(OR(Availability!$O$6="Semua",C61=Availability!$O$6)*OR(Availability!$R$6="Semua",A61=Availability!$R$6))</f>
        <v/>
      </c>
      <c r="F61" s="187">
        <f>SUMIFS(DATA_TS!$K$2:$K$20001,DATA_TS!$C$2:$C$20001,$A61,DATA_TS!$A$2:$A$20001,"&gt;="&amp;Kalkulasi!$B$20,DATA_TS!$A$2:$A$20001,"&lt;="&amp;Kalkulasi!$B$21,DATA_TS!$B$2:$B$20001,Kalkulasi!$B$22)*(OR(Availability!$O$6="Semua",C61=Availability!$O$6)*OR(Availability!$R$6="Semua",A61=Availability!$R$6))</f>
        <v/>
      </c>
      <c r="G61" s="187">
        <f>D61+E61+F61</f>
        <v/>
      </c>
      <c r="H61" s="189">
        <f>IF(G61=0,0,(D61+F61)/G61)</f>
        <v/>
      </c>
      <c r="I61" s="156">
        <f>E61+ROW()/1000000</f>
        <v/>
      </c>
      <c r="J61" s="156" t="n"/>
      <c r="K61" s="156" t="n"/>
      <c r="L61" s="156" t="inlineStr">
        <is>
          <t>DT-810</t>
        </is>
      </c>
      <c r="M61" s="155">
        <f>IF(M60="","",IF(M60+1&gt;MAX(DATA_TS!$A$2:$A$20001),"",M60+1))</f>
        <v/>
      </c>
      <c r="N61" s="156" t="n"/>
    </row>
    <row r="62">
      <c r="A62" s="156" t="inlineStr">
        <is>
          <t>DT-812</t>
        </is>
      </c>
      <c r="B62" s="156" t="inlineStr">
        <is>
          <t>SKT 80S</t>
        </is>
      </c>
      <c r="C62" s="156" t="inlineStr">
        <is>
          <t>Hauler</t>
        </is>
      </c>
      <c r="D62" s="187">
        <f>SUMIFS(DATA_TS!$G$2:$G$20001,DATA_TS!$C$2:$C$20001,$A62,DATA_TS!$A$2:$A$20001,"&gt;="&amp;Kalkulasi!$B$20,DATA_TS!$A$2:$A$20001,"&lt;="&amp;Kalkulasi!$B$21,DATA_TS!$B$2:$B$20001,Kalkulasi!$B$22)*(OR(Availability!$O$6="Semua",C62=Availability!$O$6)*OR(Availability!$R$6="Semua",A62=Availability!$R$6))</f>
        <v/>
      </c>
      <c r="E62" s="187">
        <f>SUMIFS(DATA_TS!$J$2:$J$20001,DATA_TS!$C$2:$C$20001,$A62,DATA_TS!$A$2:$A$20001,"&gt;="&amp;Kalkulasi!$B$20,DATA_TS!$A$2:$A$20001,"&lt;="&amp;Kalkulasi!$B$21,DATA_TS!$B$2:$B$20001,Kalkulasi!$B$22)*(OR(Availability!$O$6="Semua",C62=Availability!$O$6)*OR(Availability!$R$6="Semua",A62=Availability!$R$6))</f>
        <v/>
      </c>
      <c r="F62" s="187">
        <f>SUMIFS(DATA_TS!$K$2:$K$20001,DATA_TS!$C$2:$C$20001,$A62,DATA_TS!$A$2:$A$20001,"&gt;="&amp;Kalkulasi!$B$20,DATA_TS!$A$2:$A$20001,"&lt;="&amp;Kalkulasi!$B$21,DATA_TS!$B$2:$B$20001,Kalkulasi!$B$22)*(OR(Availability!$O$6="Semua",C62=Availability!$O$6)*OR(Availability!$R$6="Semua",A62=Availability!$R$6))</f>
        <v/>
      </c>
      <c r="G62" s="187">
        <f>D62+E62+F62</f>
        <v/>
      </c>
      <c r="H62" s="189">
        <f>IF(G62=0,0,(D62+F62)/G62)</f>
        <v/>
      </c>
      <c r="I62" s="156">
        <f>E62+ROW()/1000000</f>
        <v/>
      </c>
      <c r="J62" s="156" t="n"/>
      <c r="K62" s="156" t="n"/>
      <c r="L62" s="156" t="inlineStr">
        <is>
          <t>DT-811</t>
        </is>
      </c>
      <c r="M62" s="155">
        <f>IF(M61="","",IF(M61+1&gt;MAX(DATA_TS!$A$2:$A$20001),"",M61+1))</f>
        <v/>
      </c>
      <c r="N62" s="156" t="n"/>
    </row>
    <row r="63">
      <c r="A63" s="156" t="inlineStr">
        <is>
          <t>HD-901</t>
        </is>
      </c>
      <c r="B63" s="156" t="inlineStr">
        <is>
          <t>SRT 95C</t>
        </is>
      </c>
      <c r="C63" s="156" t="inlineStr">
        <is>
          <t>Hauler</t>
        </is>
      </c>
      <c r="D63" s="187">
        <f>SUMIFS(DATA_TS!$G$2:$G$20001,DATA_TS!$C$2:$C$20001,$A63,DATA_TS!$A$2:$A$20001,"&gt;="&amp;Kalkulasi!$B$20,DATA_TS!$A$2:$A$20001,"&lt;="&amp;Kalkulasi!$B$21,DATA_TS!$B$2:$B$20001,Kalkulasi!$B$22)*(OR(Availability!$O$6="Semua",C63=Availability!$O$6)*OR(Availability!$R$6="Semua",A63=Availability!$R$6))</f>
        <v/>
      </c>
      <c r="E63" s="187">
        <f>SUMIFS(DATA_TS!$J$2:$J$20001,DATA_TS!$C$2:$C$20001,$A63,DATA_TS!$A$2:$A$20001,"&gt;="&amp;Kalkulasi!$B$20,DATA_TS!$A$2:$A$20001,"&lt;="&amp;Kalkulasi!$B$21,DATA_TS!$B$2:$B$20001,Kalkulasi!$B$22)*(OR(Availability!$O$6="Semua",C63=Availability!$O$6)*OR(Availability!$R$6="Semua",A63=Availability!$R$6))</f>
        <v/>
      </c>
      <c r="F63" s="187">
        <f>SUMIFS(DATA_TS!$K$2:$K$20001,DATA_TS!$C$2:$C$20001,$A63,DATA_TS!$A$2:$A$20001,"&gt;="&amp;Kalkulasi!$B$20,DATA_TS!$A$2:$A$20001,"&lt;="&amp;Kalkulasi!$B$21,DATA_TS!$B$2:$B$20001,Kalkulasi!$B$22)*(OR(Availability!$O$6="Semua",C63=Availability!$O$6)*OR(Availability!$R$6="Semua",A63=Availability!$R$6))</f>
        <v/>
      </c>
      <c r="G63" s="187">
        <f>D63+E63+F63</f>
        <v/>
      </c>
      <c r="H63" s="189">
        <f>IF(G63=0,0,(D63+F63)/G63)</f>
        <v/>
      </c>
      <c r="I63" s="156">
        <f>E63+ROW()/1000000</f>
        <v/>
      </c>
      <c r="J63" s="156" t="n"/>
      <c r="K63" s="156" t="n"/>
      <c r="L63" s="156" t="inlineStr">
        <is>
          <t>DT-812</t>
        </is>
      </c>
      <c r="M63" s="155">
        <f>IF(M62="","",IF(M62+1&gt;MAX(DATA_TS!$A$2:$A$20001),"",M62+1))</f>
        <v/>
      </c>
      <c r="N63" s="156" t="n"/>
    </row>
    <row r="64">
      <c r="A64" s="156" t="inlineStr">
        <is>
          <t>HD-902</t>
        </is>
      </c>
      <c r="B64" s="156" t="inlineStr">
        <is>
          <t>SRT 95C</t>
        </is>
      </c>
      <c r="C64" s="156" t="inlineStr">
        <is>
          <t>Hauler</t>
        </is>
      </c>
      <c r="D64" s="187">
        <f>SUMIFS(DATA_TS!$G$2:$G$20001,DATA_TS!$C$2:$C$20001,$A64,DATA_TS!$A$2:$A$20001,"&gt;="&amp;Kalkulasi!$B$20,DATA_TS!$A$2:$A$20001,"&lt;="&amp;Kalkulasi!$B$21,DATA_TS!$B$2:$B$20001,Kalkulasi!$B$22)*(OR(Availability!$O$6="Semua",C64=Availability!$O$6)*OR(Availability!$R$6="Semua",A64=Availability!$R$6))</f>
        <v/>
      </c>
      <c r="E64" s="187">
        <f>SUMIFS(DATA_TS!$J$2:$J$20001,DATA_TS!$C$2:$C$20001,$A64,DATA_TS!$A$2:$A$20001,"&gt;="&amp;Kalkulasi!$B$20,DATA_TS!$A$2:$A$20001,"&lt;="&amp;Kalkulasi!$B$21,DATA_TS!$B$2:$B$20001,Kalkulasi!$B$22)*(OR(Availability!$O$6="Semua",C64=Availability!$O$6)*OR(Availability!$R$6="Semua",A64=Availability!$R$6))</f>
        <v/>
      </c>
      <c r="F64" s="187">
        <f>SUMIFS(DATA_TS!$K$2:$K$20001,DATA_TS!$C$2:$C$20001,$A64,DATA_TS!$A$2:$A$20001,"&gt;="&amp;Kalkulasi!$B$20,DATA_TS!$A$2:$A$20001,"&lt;="&amp;Kalkulasi!$B$21,DATA_TS!$B$2:$B$20001,Kalkulasi!$B$22)*(OR(Availability!$O$6="Semua",C64=Availability!$O$6)*OR(Availability!$R$6="Semua",A64=Availability!$R$6))</f>
        <v/>
      </c>
      <c r="G64" s="187">
        <f>D64+E64+F64</f>
        <v/>
      </c>
      <c r="H64" s="189">
        <f>IF(G64=0,0,(D64+F64)/G64)</f>
        <v/>
      </c>
      <c r="I64" s="156">
        <f>E64+ROW()/1000000</f>
        <v/>
      </c>
      <c r="J64" s="156" t="n"/>
      <c r="K64" s="156" t="n"/>
      <c r="L64" s="156" t="inlineStr">
        <is>
          <t>HD-901</t>
        </is>
      </c>
      <c r="M64" s="155">
        <f>IF(M63="","",IF(M63+1&gt;MAX(DATA_TS!$A$2:$A$20001),"",M63+1))</f>
        <v/>
      </c>
      <c r="N64" s="156" t="n"/>
    </row>
    <row r="65">
      <c r="A65" s="156" t="inlineStr">
        <is>
          <t>HD-903</t>
        </is>
      </c>
      <c r="B65" s="156" t="inlineStr">
        <is>
          <t>SRT 95C</t>
        </is>
      </c>
      <c r="C65" s="156" t="inlineStr">
        <is>
          <t>Hauler</t>
        </is>
      </c>
      <c r="D65" s="187">
        <f>SUMIFS(DATA_TS!$G$2:$G$20001,DATA_TS!$C$2:$C$20001,$A65,DATA_TS!$A$2:$A$20001,"&gt;="&amp;Kalkulasi!$B$20,DATA_TS!$A$2:$A$20001,"&lt;="&amp;Kalkulasi!$B$21,DATA_TS!$B$2:$B$20001,Kalkulasi!$B$22)*(OR(Availability!$O$6="Semua",C65=Availability!$O$6)*OR(Availability!$R$6="Semua",A65=Availability!$R$6))</f>
        <v/>
      </c>
      <c r="E65" s="187">
        <f>SUMIFS(DATA_TS!$J$2:$J$20001,DATA_TS!$C$2:$C$20001,$A65,DATA_TS!$A$2:$A$20001,"&gt;="&amp;Kalkulasi!$B$20,DATA_TS!$A$2:$A$20001,"&lt;="&amp;Kalkulasi!$B$21,DATA_TS!$B$2:$B$20001,Kalkulasi!$B$22)*(OR(Availability!$O$6="Semua",C65=Availability!$O$6)*OR(Availability!$R$6="Semua",A65=Availability!$R$6))</f>
        <v/>
      </c>
      <c r="F65" s="187">
        <f>SUMIFS(DATA_TS!$K$2:$K$20001,DATA_TS!$C$2:$C$20001,$A65,DATA_TS!$A$2:$A$20001,"&gt;="&amp;Kalkulasi!$B$20,DATA_TS!$A$2:$A$20001,"&lt;="&amp;Kalkulasi!$B$21,DATA_TS!$B$2:$B$20001,Kalkulasi!$B$22)*(OR(Availability!$O$6="Semua",C65=Availability!$O$6)*OR(Availability!$R$6="Semua",A65=Availability!$R$6))</f>
        <v/>
      </c>
      <c r="G65" s="187">
        <f>D65+E65+F65</f>
        <v/>
      </c>
      <c r="H65" s="189">
        <f>IF(G65=0,0,(D65+F65)/G65)</f>
        <v/>
      </c>
      <c r="I65" s="156">
        <f>E65+ROW()/1000000</f>
        <v/>
      </c>
      <c r="J65" s="156" t="n"/>
      <c r="K65" s="156" t="n"/>
      <c r="L65" s="156" t="inlineStr">
        <is>
          <t>HD-902</t>
        </is>
      </c>
      <c r="M65" s="155">
        <f>IF(M64="","",IF(M64+1&gt;MAX(DATA_TS!$A$2:$A$20001),"",M64+1))</f>
        <v/>
      </c>
      <c r="N65" s="156" t="n"/>
    </row>
    <row r="66">
      <c r="A66" s="156" t="inlineStr">
        <is>
          <t>HD-904</t>
        </is>
      </c>
      <c r="B66" s="156" t="inlineStr">
        <is>
          <t>SRT 95C</t>
        </is>
      </c>
      <c r="C66" s="156" t="inlineStr">
        <is>
          <t>Hauler</t>
        </is>
      </c>
      <c r="D66" s="187">
        <f>SUMIFS(DATA_TS!$G$2:$G$20001,DATA_TS!$C$2:$C$20001,$A66,DATA_TS!$A$2:$A$20001,"&gt;="&amp;Kalkulasi!$B$20,DATA_TS!$A$2:$A$20001,"&lt;="&amp;Kalkulasi!$B$21,DATA_TS!$B$2:$B$20001,Kalkulasi!$B$22)*(OR(Availability!$O$6="Semua",C66=Availability!$O$6)*OR(Availability!$R$6="Semua",A66=Availability!$R$6))</f>
        <v/>
      </c>
      <c r="E66" s="187">
        <f>SUMIFS(DATA_TS!$J$2:$J$20001,DATA_TS!$C$2:$C$20001,$A66,DATA_TS!$A$2:$A$20001,"&gt;="&amp;Kalkulasi!$B$20,DATA_TS!$A$2:$A$20001,"&lt;="&amp;Kalkulasi!$B$21,DATA_TS!$B$2:$B$20001,Kalkulasi!$B$22)*(OR(Availability!$O$6="Semua",C66=Availability!$O$6)*OR(Availability!$R$6="Semua",A66=Availability!$R$6))</f>
        <v/>
      </c>
      <c r="F66" s="187">
        <f>SUMIFS(DATA_TS!$K$2:$K$20001,DATA_TS!$C$2:$C$20001,$A66,DATA_TS!$A$2:$A$20001,"&gt;="&amp;Kalkulasi!$B$20,DATA_TS!$A$2:$A$20001,"&lt;="&amp;Kalkulasi!$B$21,DATA_TS!$B$2:$B$20001,Kalkulasi!$B$22)*(OR(Availability!$O$6="Semua",C66=Availability!$O$6)*OR(Availability!$R$6="Semua",A66=Availability!$R$6))</f>
        <v/>
      </c>
      <c r="G66" s="187">
        <f>D66+E66+F66</f>
        <v/>
      </c>
      <c r="H66" s="189">
        <f>IF(G66=0,0,(D66+F66)/G66)</f>
        <v/>
      </c>
      <c r="I66" s="156">
        <f>E66+ROW()/1000000</f>
        <v/>
      </c>
      <c r="J66" s="156" t="n"/>
      <c r="K66" s="156" t="n"/>
      <c r="L66" s="156" t="inlineStr">
        <is>
          <t>HD-903</t>
        </is>
      </c>
      <c r="M66" s="155">
        <f>IF(M65="","",IF(M65+1&gt;MAX(DATA_TS!$A$2:$A$20001),"",M65+1))</f>
        <v/>
      </c>
      <c r="N66" s="156" t="n"/>
    </row>
    <row r="67">
      <c r="A67" s="156" t="inlineStr">
        <is>
          <t>HD-905</t>
        </is>
      </c>
      <c r="B67" s="156" t="inlineStr">
        <is>
          <t>SRT 95C</t>
        </is>
      </c>
      <c r="C67" s="156" t="inlineStr">
        <is>
          <t>Hauler</t>
        </is>
      </c>
      <c r="D67" s="187">
        <f>SUMIFS(DATA_TS!$G$2:$G$20001,DATA_TS!$C$2:$C$20001,$A67,DATA_TS!$A$2:$A$20001,"&gt;="&amp;Kalkulasi!$B$20,DATA_TS!$A$2:$A$20001,"&lt;="&amp;Kalkulasi!$B$21,DATA_TS!$B$2:$B$20001,Kalkulasi!$B$22)*(OR(Availability!$O$6="Semua",C67=Availability!$O$6)*OR(Availability!$R$6="Semua",A67=Availability!$R$6))</f>
        <v/>
      </c>
      <c r="E67" s="187">
        <f>SUMIFS(DATA_TS!$J$2:$J$20001,DATA_TS!$C$2:$C$20001,$A67,DATA_TS!$A$2:$A$20001,"&gt;="&amp;Kalkulasi!$B$20,DATA_TS!$A$2:$A$20001,"&lt;="&amp;Kalkulasi!$B$21,DATA_TS!$B$2:$B$20001,Kalkulasi!$B$22)*(OR(Availability!$O$6="Semua",C67=Availability!$O$6)*OR(Availability!$R$6="Semua",A67=Availability!$R$6))</f>
        <v/>
      </c>
      <c r="F67" s="187">
        <f>SUMIFS(DATA_TS!$K$2:$K$20001,DATA_TS!$C$2:$C$20001,$A67,DATA_TS!$A$2:$A$20001,"&gt;="&amp;Kalkulasi!$B$20,DATA_TS!$A$2:$A$20001,"&lt;="&amp;Kalkulasi!$B$21,DATA_TS!$B$2:$B$20001,Kalkulasi!$B$22)*(OR(Availability!$O$6="Semua",C67=Availability!$O$6)*OR(Availability!$R$6="Semua",A67=Availability!$R$6))</f>
        <v/>
      </c>
      <c r="G67" s="187">
        <f>D67+E67+F67</f>
        <v/>
      </c>
      <c r="H67" s="189">
        <f>IF(G67=0,0,(D67+F67)/G67)</f>
        <v/>
      </c>
      <c r="I67" s="156">
        <f>E67+ROW()/1000000</f>
        <v/>
      </c>
      <c r="J67" s="156" t="n"/>
      <c r="K67" s="156" t="n"/>
      <c r="L67" s="156" t="inlineStr">
        <is>
          <t>HD-904</t>
        </is>
      </c>
      <c r="M67" s="155">
        <f>IF(M66="","",IF(M66+1&gt;MAX(DATA_TS!$A$2:$A$20001),"",M66+1))</f>
        <v/>
      </c>
      <c r="N67" s="156" t="n"/>
    </row>
    <row r="68">
      <c r="A68" s="156" t="inlineStr">
        <is>
          <t>DT-341</t>
        </is>
      </c>
      <c r="B68" s="156" t="inlineStr">
        <is>
          <t>SYZ324C-8W</t>
        </is>
      </c>
      <c r="C68" s="156" t="inlineStr">
        <is>
          <t>Hauler</t>
        </is>
      </c>
      <c r="D68" s="187">
        <f>SUMIFS(DATA_TS!$G$2:$G$20001,DATA_TS!$C$2:$C$20001,$A68,DATA_TS!$A$2:$A$20001,"&gt;="&amp;Kalkulasi!$B$20,DATA_TS!$A$2:$A$20001,"&lt;="&amp;Kalkulasi!$B$21,DATA_TS!$B$2:$B$20001,Kalkulasi!$B$22)*(OR(Availability!$O$6="Semua",C68=Availability!$O$6)*OR(Availability!$R$6="Semua",A68=Availability!$R$6))</f>
        <v/>
      </c>
      <c r="E68" s="187">
        <f>SUMIFS(DATA_TS!$J$2:$J$20001,DATA_TS!$C$2:$C$20001,$A68,DATA_TS!$A$2:$A$20001,"&gt;="&amp;Kalkulasi!$B$20,DATA_TS!$A$2:$A$20001,"&lt;="&amp;Kalkulasi!$B$21,DATA_TS!$B$2:$B$20001,Kalkulasi!$B$22)*(OR(Availability!$O$6="Semua",C68=Availability!$O$6)*OR(Availability!$R$6="Semua",A68=Availability!$R$6))</f>
        <v/>
      </c>
      <c r="F68" s="187">
        <f>SUMIFS(DATA_TS!$K$2:$K$20001,DATA_TS!$C$2:$C$20001,$A68,DATA_TS!$A$2:$A$20001,"&gt;="&amp;Kalkulasi!$B$20,DATA_TS!$A$2:$A$20001,"&lt;="&amp;Kalkulasi!$B$21,DATA_TS!$B$2:$B$20001,Kalkulasi!$B$22)*(OR(Availability!$O$6="Semua",C68=Availability!$O$6)*OR(Availability!$R$6="Semua",A68=Availability!$R$6))</f>
        <v/>
      </c>
      <c r="G68" s="187">
        <f>D68+E68+F68</f>
        <v/>
      </c>
      <c r="H68" s="189">
        <f>IF(G68=0,0,(D68+F68)/G68)</f>
        <v/>
      </c>
      <c r="I68" s="156">
        <f>E68+ROW()/1000000</f>
        <v/>
      </c>
      <c r="J68" s="156" t="n"/>
      <c r="K68" s="156" t="n"/>
      <c r="L68" s="156" t="inlineStr">
        <is>
          <t>HD-905</t>
        </is>
      </c>
      <c r="M68" s="155">
        <f>IF(M67="","",IF(M67+1&gt;MAX(DATA_TS!$A$2:$A$20001),"",M67+1))</f>
        <v/>
      </c>
      <c r="N68" s="156" t="n"/>
    </row>
    <row r="69">
      <c r="A69" s="156" t="inlineStr">
        <is>
          <t>DT-342</t>
        </is>
      </c>
      <c r="B69" s="156" t="inlineStr">
        <is>
          <t>SYZ324C-8W</t>
        </is>
      </c>
      <c r="C69" s="156" t="inlineStr">
        <is>
          <t>Hauler</t>
        </is>
      </c>
      <c r="D69" s="187">
        <f>SUMIFS(DATA_TS!$G$2:$G$20001,DATA_TS!$C$2:$C$20001,$A69,DATA_TS!$A$2:$A$20001,"&gt;="&amp;Kalkulasi!$B$20,DATA_TS!$A$2:$A$20001,"&lt;="&amp;Kalkulasi!$B$21,DATA_TS!$B$2:$B$20001,Kalkulasi!$B$22)*(OR(Availability!$O$6="Semua",C69=Availability!$O$6)*OR(Availability!$R$6="Semua",A69=Availability!$R$6))</f>
        <v/>
      </c>
      <c r="E69" s="187">
        <f>SUMIFS(DATA_TS!$J$2:$J$20001,DATA_TS!$C$2:$C$20001,$A69,DATA_TS!$A$2:$A$20001,"&gt;="&amp;Kalkulasi!$B$20,DATA_TS!$A$2:$A$20001,"&lt;="&amp;Kalkulasi!$B$21,DATA_TS!$B$2:$B$20001,Kalkulasi!$B$22)*(OR(Availability!$O$6="Semua",C69=Availability!$O$6)*OR(Availability!$R$6="Semua",A69=Availability!$R$6))</f>
        <v/>
      </c>
      <c r="F69" s="187">
        <f>SUMIFS(DATA_TS!$K$2:$K$20001,DATA_TS!$C$2:$C$20001,$A69,DATA_TS!$A$2:$A$20001,"&gt;="&amp;Kalkulasi!$B$20,DATA_TS!$A$2:$A$20001,"&lt;="&amp;Kalkulasi!$B$21,DATA_TS!$B$2:$B$20001,Kalkulasi!$B$22)*(OR(Availability!$O$6="Semua",C69=Availability!$O$6)*OR(Availability!$R$6="Semua",A69=Availability!$R$6))</f>
        <v/>
      </c>
      <c r="G69" s="187">
        <f>D69+E69+F69</f>
        <v/>
      </c>
      <c r="H69" s="189">
        <f>IF(G69=0,0,(D69+F69)/G69)</f>
        <v/>
      </c>
      <c r="I69" s="156">
        <f>E69+ROW()/1000000</f>
        <v/>
      </c>
      <c r="J69" s="156" t="n"/>
      <c r="K69" s="156" t="n"/>
      <c r="L69" s="156" t="inlineStr">
        <is>
          <t>DT-341</t>
        </is>
      </c>
      <c r="M69" s="155">
        <f>IF(M68="","",IF(M68+1&gt;MAX(DATA_TS!$A$2:$A$20001),"",M68+1))</f>
        <v/>
      </c>
      <c r="N69" s="156" t="n"/>
    </row>
    <row r="70">
      <c r="A70" s="156" t="inlineStr">
        <is>
          <t>HT-401</t>
        </is>
      </c>
      <c r="B70" s="156" t="inlineStr">
        <is>
          <t>SY430</t>
        </is>
      </c>
      <c r="C70" s="156" t="inlineStr">
        <is>
          <t>DT Hauling</t>
        </is>
      </c>
      <c r="D70" s="187">
        <f>SUMIFS(DATA_TS!$G$2:$G$20001,DATA_TS!$C$2:$C$20001,$A70,DATA_TS!$A$2:$A$20001,"&gt;="&amp;Kalkulasi!$B$20,DATA_TS!$A$2:$A$20001,"&lt;="&amp;Kalkulasi!$B$21,DATA_TS!$B$2:$B$20001,Kalkulasi!$B$22)*(OR(Availability!$O$6="Semua",C70=Availability!$O$6)*OR(Availability!$R$6="Semua",A70=Availability!$R$6))</f>
        <v/>
      </c>
      <c r="E70" s="187">
        <f>SUMIFS(DATA_TS!$J$2:$J$20001,DATA_TS!$C$2:$C$20001,$A70,DATA_TS!$A$2:$A$20001,"&gt;="&amp;Kalkulasi!$B$20,DATA_TS!$A$2:$A$20001,"&lt;="&amp;Kalkulasi!$B$21,DATA_TS!$B$2:$B$20001,Kalkulasi!$B$22)*(OR(Availability!$O$6="Semua",C70=Availability!$O$6)*OR(Availability!$R$6="Semua",A70=Availability!$R$6))</f>
        <v/>
      </c>
      <c r="F70" s="187">
        <f>SUMIFS(DATA_TS!$K$2:$K$20001,DATA_TS!$C$2:$C$20001,$A70,DATA_TS!$A$2:$A$20001,"&gt;="&amp;Kalkulasi!$B$20,DATA_TS!$A$2:$A$20001,"&lt;="&amp;Kalkulasi!$B$21,DATA_TS!$B$2:$B$20001,Kalkulasi!$B$22)*(OR(Availability!$O$6="Semua",C70=Availability!$O$6)*OR(Availability!$R$6="Semua",A70=Availability!$R$6))</f>
        <v/>
      </c>
      <c r="G70" s="187">
        <f>D70+E70+F70</f>
        <v/>
      </c>
      <c r="H70" s="189">
        <f>IF(G70=0,0,(D70+F70)/G70)</f>
        <v/>
      </c>
      <c r="I70" s="156">
        <f>E70+ROW()/1000000</f>
        <v/>
      </c>
      <c r="J70" s="156" t="n"/>
      <c r="K70" s="156" t="n"/>
      <c r="L70" s="156" t="inlineStr">
        <is>
          <t>DT-342</t>
        </is>
      </c>
      <c r="M70" s="155">
        <f>IF(M69="","",IF(M69+1&gt;MAX(DATA_TS!$A$2:$A$20001),"",M69+1))</f>
        <v/>
      </c>
      <c r="N70" s="156" t="n"/>
    </row>
    <row r="71">
      <c r="A71" s="156" t="inlineStr">
        <is>
          <t>HT-402</t>
        </is>
      </c>
      <c r="B71" s="156" t="inlineStr">
        <is>
          <t>SY430</t>
        </is>
      </c>
      <c r="C71" s="156" t="inlineStr">
        <is>
          <t>DT Hauling</t>
        </is>
      </c>
      <c r="D71" s="187">
        <f>SUMIFS(DATA_TS!$G$2:$G$20001,DATA_TS!$C$2:$C$20001,$A71,DATA_TS!$A$2:$A$20001,"&gt;="&amp;Kalkulasi!$B$20,DATA_TS!$A$2:$A$20001,"&lt;="&amp;Kalkulasi!$B$21,DATA_TS!$B$2:$B$20001,Kalkulasi!$B$22)*(OR(Availability!$O$6="Semua",C71=Availability!$O$6)*OR(Availability!$R$6="Semua",A71=Availability!$R$6))</f>
        <v/>
      </c>
      <c r="E71" s="187">
        <f>SUMIFS(DATA_TS!$J$2:$J$20001,DATA_TS!$C$2:$C$20001,$A71,DATA_TS!$A$2:$A$20001,"&gt;="&amp;Kalkulasi!$B$20,DATA_TS!$A$2:$A$20001,"&lt;="&amp;Kalkulasi!$B$21,DATA_TS!$B$2:$B$20001,Kalkulasi!$B$22)*(OR(Availability!$O$6="Semua",C71=Availability!$O$6)*OR(Availability!$R$6="Semua",A71=Availability!$R$6))</f>
        <v/>
      </c>
      <c r="F71" s="187">
        <f>SUMIFS(DATA_TS!$K$2:$K$20001,DATA_TS!$C$2:$C$20001,$A71,DATA_TS!$A$2:$A$20001,"&gt;="&amp;Kalkulasi!$B$20,DATA_TS!$A$2:$A$20001,"&lt;="&amp;Kalkulasi!$B$21,DATA_TS!$B$2:$B$20001,Kalkulasi!$B$22)*(OR(Availability!$O$6="Semua",C71=Availability!$O$6)*OR(Availability!$R$6="Semua",A71=Availability!$R$6))</f>
        <v/>
      </c>
      <c r="G71" s="187">
        <f>D71+E71+F71</f>
        <v/>
      </c>
      <c r="H71" s="189">
        <f>IF(G71=0,0,(D71+F71)/G71)</f>
        <v/>
      </c>
      <c r="I71" s="156">
        <f>E71+ROW()/1000000</f>
        <v/>
      </c>
      <c r="J71" s="156" t="n"/>
      <c r="K71" s="156" t="n"/>
      <c r="L71" s="156" t="inlineStr">
        <is>
          <t>HT-401</t>
        </is>
      </c>
      <c r="M71" s="155">
        <f>IF(M70="","",IF(M70+1&gt;MAX(DATA_TS!$A$2:$A$20001),"",M70+1))</f>
        <v/>
      </c>
      <c r="N71" s="156" t="n"/>
    </row>
    <row r="72">
      <c r="A72" s="156" t="inlineStr">
        <is>
          <t>HT-403</t>
        </is>
      </c>
      <c r="B72" s="156" t="inlineStr">
        <is>
          <t>SY430</t>
        </is>
      </c>
      <c r="C72" s="156" t="inlineStr">
        <is>
          <t>DT Hauling</t>
        </is>
      </c>
      <c r="D72" s="187">
        <f>SUMIFS(DATA_TS!$G$2:$G$20001,DATA_TS!$C$2:$C$20001,$A72,DATA_TS!$A$2:$A$20001,"&gt;="&amp;Kalkulasi!$B$20,DATA_TS!$A$2:$A$20001,"&lt;="&amp;Kalkulasi!$B$21,DATA_TS!$B$2:$B$20001,Kalkulasi!$B$22)*(OR(Availability!$O$6="Semua",C72=Availability!$O$6)*OR(Availability!$R$6="Semua",A72=Availability!$R$6))</f>
        <v/>
      </c>
      <c r="E72" s="187">
        <f>SUMIFS(DATA_TS!$J$2:$J$20001,DATA_TS!$C$2:$C$20001,$A72,DATA_TS!$A$2:$A$20001,"&gt;="&amp;Kalkulasi!$B$20,DATA_TS!$A$2:$A$20001,"&lt;="&amp;Kalkulasi!$B$21,DATA_TS!$B$2:$B$20001,Kalkulasi!$B$22)*(OR(Availability!$O$6="Semua",C72=Availability!$O$6)*OR(Availability!$R$6="Semua",A72=Availability!$R$6))</f>
        <v/>
      </c>
      <c r="F72" s="187">
        <f>SUMIFS(DATA_TS!$K$2:$K$20001,DATA_TS!$C$2:$C$20001,$A72,DATA_TS!$A$2:$A$20001,"&gt;="&amp;Kalkulasi!$B$20,DATA_TS!$A$2:$A$20001,"&lt;="&amp;Kalkulasi!$B$21,DATA_TS!$B$2:$B$20001,Kalkulasi!$B$22)*(OR(Availability!$O$6="Semua",C72=Availability!$O$6)*OR(Availability!$R$6="Semua",A72=Availability!$R$6))</f>
        <v/>
      </c>
      <c r="G72" s="187">
        <f>D72+E72+F72</f>
        <v/>
      </c>
      <c r="H72" s="189">
        <f>IF(G72=0,0,(D72+F72)/G72)</f>
        <v/>
      </c>
      <c r="I72" s="156">
        <f>E72+ROW()/1000000</f>
        <v/>
      </c>
      <c r="J72" s="156" t="n"/>
      <c r="K72" s="156" t="n"/>
      <c r="L72" s="156" t="inlineStr">
        <is>
          <t>HT-402</t>
        </is>
      </c>
      <c r="M72" s="155">
        <f>IF(M71="","",IF(M71+1&gt;MAX(DATA_TS!$A$2:$A$20001),"",M71+1))</f>
        <v/>
      </c>
      <c r="N72" s="156" t="n"/>
    </row>
    <row r="73">
      <c r="A73" s="156" t="inlineStr">
        <is>
          <t>HT-404</t>
        </is>
      </c>
      <c r="B73" s="156" t="inlineStr">
        <is>
          <t>SY430</t>
        </is>
      </c>
      <c r="C73" s="156" t="inlineStr">
        <is>
          <t>DT Hauling</t>
        </is>
      </c>
      <c r="D73" s="187">
        <f>SUMIFS(DATA_TS!$G$2:$G$20001,DATA_TS!$C$2:$C$20001,$A73,DATA_TS!$A$2:$A$20001,"&gt;="&amp;Kalkulasi!$B$20,DATA_TS!$A$2:$A$20001,"&lt;="&amp;Kalkulasi!$B$21,DATA_TS!$B$2:$B$20001,Kalkulasi!$B$22)*(OR(Availability!$O$6="Semua",C73=Availability!$O$6)*OR(Availability!$R$6="Semua",A73=Availability!$R$6))</f>
        <v/>
      </c>
      <c r="E73" s="187">
        <f>SUMIFS(DATA_TS!$J$2:$J$20001,DATA_TS!$C$2:$C$20001,$A73,DATA_TS!$A$2:$A$20001,"&gt;="&amp;Kalkulasi!$B$20,DATA_TS!$A$2:$A$20001,"&lt;="&amp;Kalkulasi!$B$21,DATA_TS!$B$2:$B$20001,Kalkulasi!$B$22)*(OR(Availability!$O$6="Semua",C73=Availability!$O$6)*OR(Availability!$R$6="Semua",A73=Availability!$R$6))</f>
        <v/>
      </c>
      <c r="F73" s="187">
        <f>SUMIFS(DATA_TS!$K$2:$K$20001,DATA_TS!$C$2:$C$20001,$A73,DATA_TS!$A$2:$A$20001,"&gt;="&amp;Kalkulasi!$B$20,DATA_TS!$A$2:$A$20001,"&lt;="&amp;Kalkulasi!$B$21,DATA_TS!$B$2:$B$20001,Kalkulasi!$B$22)*(OR(Availability!$O$6="Semua",C73=Availability!$O$6)*OR(Availability!$R$6="Semua",A73=Availability!$R$6))</f>
        <v/>
      </c>
      <c r="G73" s="187">
        <f>D73+E73+F73</f>
        <v/>
      </c>
      <c r="H73" s="189">
        <f>IF(G73=0,0,(D73+F73)/G73)</f>
        <v/>
      </c>
      <c r="I73" s="156">
        <f>E73+ROW()/1000000</f>
        <v/>
      </c>
      <c r="J73" s="156" t="n"/>
      <c r="K73" s="156" t="n"/>
      <c r="L73" s="156" t="inlineStr">
        <is>
          <t>HT-403</t>
        </is>
      </c>
      <c r="M73" s="155">
        <f>IF(M72="","",IF(M72+1&gt;MAX(DATA_TS!$A$2:$A$20001),"",M72+1))</f>
        <v/>
      </c>
      <c r="N73" s="156" t="n"/>
    </row>
    <row r="74">
      <c r="A74" s="156" t="inlineStr">
        <is>
          <t>HT-405</t>
        </is>
      </c>
      <c r="B74" s="156" t="inlineStr">
        <is>
          <t>SY430</t>
        </is>
      </c>
      <c r="C74" s="156" t="inlineStr">
        <is>
          <t>DT Hauling</t>
        </is>
      </c>
      <c r="D74" s="187">
        <f>SUMIFS(DATA_TS!$G$2:$G$20001,DATA_TS!$C$2:$C$20001,$A74,DATA_TS!$A$2:$A$20001,"&gt;="&amp;Kalkulasi!$B$20,DATA_TS!$A$2:$A$20001,"&lt;="&amp;Kalkulasi!$B$21,DATA_TS!$B$2:$B$20001,Kalkulasi!$B$22)*(OR(Availability!$O$6="Semua",C74=Availability!$O$6)*OR(Availability!$R$6="Semua",A74=Availability!$R$6))</f>
        <v/>
      </c>
      <c r="E74" s="187">
        <f>SUMIFS(DATA_TS!$J$2:$J$20001,DATA_TS!$C$2:$C$20001,$A74,DATA_TS!$A$2:$A$20001,"&gt;="&amp;Kalkulasi!$B$20,DATA_TS!$A$2:$A$20001,"&lt;="&amp;Kalkulasi!$B$21,DATA_TS!$B$2:$B$20001,Kalkulasi!$B$22)*(OR(Availability!$O$6="Semua",C74=Availability!$O$6)*OR(Availability!$R$6="Semua",A74=Availability!$R$6))</f>
        <v/>
      </c>
      <c r="F74" s="187">
        <f>SUMIFS(DATA_TS!$K$2:$K$20001,DATA_TS!$C$2:$C$20001,$A74,DATA_TS!$A$2:$A$20001,"&gt;="&amp;Kalkulasi!$B$20,DATA_TS!$A$2:$A$20001,"&lt;="&amp;Kalkulasi!$B$21,DATA_TS!$B$2:$B$20001,Kalkulasi!$B$22)*(OR(Availability!$O$6="Semua",C74=Availability!$O$6)*OR(Availability!$R$6="Semua",A74=Availability!$R$6))</f>
        <v/>
      </c>
      <c r="G74" s="187">
        <f>D74+E74+F74</f>
        <v/>
      </c>
      <c r="H74" s="189">
        <f>IF(G74=0,0,(D74+F74)/G74)</f>
        <v/>
      </c>
      <c r="I74" s="156">
        <f>E74+ROW()/1000000</f>
        <v/>
      </c>
      <c r="J74" s="156" t="n"/>
      <c r="K74" s="156" t="n"/>
      <c r="L74" s="156" t="inlineStr">
        <is>
          <t>HT-404</t>
        </is>
      </c>
      <c r="M74" s="155">
        <f>IF(M73="","",IF(M73+1&gt;MAX(DATA_TS!$A$2:$A$20001),"",M73+1))</f>
        <v/>
      </c>
      <c r="N74" s="156" t="n"/>
    </row>
    <row r="75">
      <c r="A75" s="156" t="inlineStr">
        <is>
          <t>HT-406</t>
        </is>
      </c>
      <c r="B75" s="156" t="inlineStr">
        <is>
          <t>SY430</t>
        </is>
      </c>
      <c r="C75" s="156" t="inlineStr">
        <is>
          <t>DT Hauling</t>
        </is>
      </c>
      <c r="D75" s="187">
        <f>SUMIFS(DATA_TS!$G$2:$G$20001,DATA_TS!$C$2:$C$20001,$A75,DATA_TS!$A$2:$A$20001,"&gt;="&amp;Kalkulasi!$B$20,DATA_TS!$A$2:$A$20001,"&lt;="&amp;Kalkulasi!$B$21,DATA_TS!$B$2:$B$20001,Kalkulasi!$B$22)*(OR(Availability!$O$6="Semua",C75=Availability!$O$6)*OR(Availability!$R$6="Semua",A75=Availability!$R$6))</f>
        <v/>
      </c>
      <c r="E75" s="187">
        <f>SUMIFS(DATA_TS!$J$2:$J$20001,DATA_TS!$C$2:$C$20001,$A75,DATA_TS!$A$2:$A$20001,"&gt;="&amp;Kalkulasi!$B$20,DATA_TS!$A$2:$A$20001,"&lt;="&amp;Kalkulasi!$B$21,DATA_TS!$B$2:$B$20001,Kalkulasi!$B$22)*(OR(Availability!$O$6="Semua",C75=Availability!$O$6)*OR(Availability!$R$6="Semua",A75=Availability!$R$6))</f>
        <v/>
      </c>
      <c r="F75" s="187">
        <f>SUMIFS(DATA_TS!$K$2:$K$20001,DATA_TS!$C$2:$C$20001,$A75,DATA_TS!$A$2:$A$20001,"&gt;="&amp;Kalkulasi!$B$20,DATA_TS!$A$2:$A$20001,"&lt;="&amp;Kalkulasi!$B$21,DATA_TS!$B$2:$B$20001,Kalkulasi!$B$22)*(OR(Availability!$O$6="Semua",C75=Availability!$O$6)*OR(Availability!$R$6="Semua",A75=Availability!$R$6))</f>
        <v/>
      </c>
      <c r="G75" s="187">
        <f>D75+E75+F75</f>
        <v/>
      </c>
      <c r="H75" s="189">
        <f>IF(G75=0,0,(D75+F75)/G75)</f>
        <v/>
      </c>
      <c r="I75" s="156">
        <f>E75+ROW()/1000000</f>
        <v/>
      </c>
      <c r="J75" s="156" t="n"/>
      <c r="K75" s="156" t="n"/>
      <c r="L75" s="156" t="inlineStr">
        <is>
          <t>HT-405</t>
        </is>
      </c>
      <c r="M75" s="155">
        <f>IF(M74="","",IF(M74+1&gt;MAX(DATA_TS!$A$2:$A$20001),"",M74+1))</f>
        <v/>
      </c>
      <c r="N75" s="156" t="n"/>
    </row>
    <row r="76">
      <c r="A76" s="156" t="inlineStr">
        <is>
          <t>HT-407</t>
        </is>
      </c>
      <c r="B76" s="156" t="inlineStr">
        <is>
          <t>SY430</t>
        </is>
      </c>
      <c r="C76" s="156" t="inlineStr">
        <is>
          <t>DT Hauling</t>
        </is>
      </c>
      <c r="D76" s="187">
        <f>SUMIFS(DATA_TS!$G$2:$G$20001,DATA_TS!$C$2:$C$20001,$A76,DATA_TS!$A$2:$A$20001,"&gt;="&amp;Kalkulasi!$B$20,DATA_TS!$A$2:$A$20001,"&lt;="&amp;Kalkulasi!$B$21,DATA_TS!$B$2:$B$20001,Kalkulasi!$B$22)*(OR(Availability!$O$6="Semua",C76=Availability!$O$6)*OR(Availability!$R$6="Semua",A76=Availability!$R$6))</f>
        <v/>
      </c>
      <c r="E76" s="187">
        <f>SUMIFS(DATA_TS!$J$2:$J$20001,DATA_TS!$C$2:$C$20001,$A76,DATA_TS!$A$2:$A$20001,"&gt;="&amp;Kalkulasi!$B$20,DATA_TS!$A$2:$A$20001,"&lt;="&amp;Kalkulasi!$B$21,DATA_TS!$B$2:$B$20001,Kalkulasi!$B$22)*(OR(Availability!$O$6="Semua",C76=Availability!$O$6)*OR(Availability!$R$6="Semua",A76=Availability!$R$6))</f>
        <v/>
      </c>
      <c r="F76" s="187">
        <f>SUMIFS(DATA_TS!$K$2:$K$20001,DATA_TS!$C$2:$C$20001,$A76,DATA_TS!$A$2:$A$20001,"&gt;="&amp;Kalkulasi!$B$20,DATA_TS!$A$2:$A$20001,"&lt;="&amp;Kalkulasi!$B$21,DATA_TS!$B$2:$B$20001,Kalkulasi!$B$22)*(OR(Availability!$O$6="Semua",C76=Availability!$O$6)*OR(Availability!$R$6="Semua",A76=Availability!$R$6))</f>
        <v/>
      </c>
      <c r="G76" s="187">
        <f>D76+E76+F76</f>
        <v/>
      </c>
      <c r="H76" s="189">
        <f>IF(G76=0,0,(D76+F76)/G76)</f>
        <v/>
      </c>
      <c r="I76" s="156">
        <f>E76+ROW()/1000000</f>
        <v/>
      </c>
      <c r="J76" s="156" t="n"/>
      <c r="K76" s="156" t="n"/>
      <c r="L76" s="156" t="inlineStr">
        <is>
          <t>HT-406</t>
        </is>
      </c>
      <c r="M76" s="155">
        <f>IF(M75="","",IF(M75+1&gt;MAX(DATA_TS!$A$2:$A$20001),"",M75+1))</f>
        <v/>
      </c>
      <c r="N76" s="156" t="n"/>
    </row>
    <row r="77">
      <c r="A77" s="156" t="inlineStr">
        <is>
          <t>HT-408</t>
        </is>
      </c>
      <c r="B77" s="156" t="inlineStr">
        <is>
          <t>SY430</t>
        </is>
      </c>
      <c r="C77" s="156" t="inlineStr">
        <is>
          <t>DT Hauling</t>
        </is>
      </c>
      <c r="D77" s="187">
        <f>SUMIFS(DATA_TS!$G$2:$G$20001,DATA_TS!$C$2:$C$20001,$A77,DATA_TS!$A$2:$A$20001,"&gt;="&amp;Kalkulasi!$B$20,DATA_TS!$A$2:$A$20001,"&lt;="&amp;Kalkulasi!$B$21,DATA_TS!$B$2:$B$20001,Kalkulasi!$B$22)*(OR(Availability!$O$6="Semua",C77=Availability!$O$6)*OR(Availability!$R$6="Semua",A77=Availability!$R$6))</f>
        <v/>
      </c>
      <c r="E77" s="187">
        <f>SUMIFS(DATA_TS!$J$2:$J$20001,DATA_TS!$C$2:$C$20001,$A77,DATA_TS!$A$2:$A$20001,"&gt;="&amp;Kalkulasi!$B$20,DATA_TS!$A$2:$A$20001,"&lt;="&amp;Kalkulasi!$B$21,DATA_TS!$B$2:$B$20001,Kalkulasi!$B$22)*(OR(Availability!$O$6="Semua",C77=Availability!$O$6)*OR(Availability!$R$6="Semua",A77=Availability!$R$6))</f>
        <v/>
      </c>
      <c r="F77" s="187">
        <f>SUMIFS(DATA_TS!$K$2:$K$20001,DATA_TS!$C$2:$C$20001,$A77,DATA_TS!$A$2:$A$20001,"&gt;="&amp;Kalkulasi!$B$20,DATA_TS!$A$2:$A$20001,"&lt;="&amp;Kalkulasi!$B$21,DATA_TS!$B$2:$B$20001,Kalkulasi!$B$22)*(OR(Availability!$O$6="Semua",C77=Availability!$O$6)*OR(Availability!$R$6="Semua",A77=Availability!$R$6))</f>
        <v/>
      </c>
      <c r="G77" s="187">
        <f>D77+E77+F77</f>
        <v/>
      </c>
      <c r="H77" s="189">
        <f>IF(G77=0,0,(D77+F77)/G77)</f>
        <v/>
      </c>
      <c r="I77" s="156">
        <f>E77+ROW()/1000000</f>
        <v/>
      </c>
      <c r="J77" s="156" t="n"/>
      <c r="K77" s="156" t="n"/>
      <c r="L77" s="156" t="inlineStr">
        <is>
          <t>HT-407</t>
        </is>
      </c>
      <c r="M77" s="155">
        <f>IF(M76="","",IF(M76+1&gt;MAX(DATA_TS!$A$2:$A$20001),"",M76+1))</f>
        <v/>
      </c>
      <c r="N77" s="156" t="n"/>
    </row>
    <row r="78">
      <c r="A78" s="156" t="inlineStr">
        <is>
          <t>HT-409</t>
        </is>
      </c>
      <c r="B78" s="156" t="inlineStr">
        <is>
          <t>SY430</t>
        </is>
      </c>
      <c r="C78" s="156" t="inlineStr">
        <is>
          <t>DT Hauling</t>
        </is>
      </c>
      <c r="D78" s="187">
        <f>SUMIFS(DATA_TS!$G$2:$G$20001,DATA_TS!$C$2:$C$20001,$A78,DATA_TS!$A$2:$A$20001,"&gt;="&amp;Kalkulasi!$B$20,DATA_TS!$A$2:$A$20001,"&lt;="&amp;Kalkulasi!$B$21,DATA_TS!$B$2:$B$20001,Kalkulasi!$B$22)*(OR(Availability!$O$6="Semua",C78=Availability!$O$6)*OR(Availability!$R$6="Semua",A78=Availability!$R$6))</f>
        <v/>
      </c>
      <c r="E78" s="187">
        <f>SUMIFS(DATA_TS!$J$2:$J$20001,DATA_TS!$C$2:$C$20001,$A78,DATA_TS!$A$2:$A$20001,"&gt;="&amp;Kalkulasi!$B$20,DATA_TS!$A$2:$A$20001,"&lt;="&amp;Kalkulasi!$B$21,DATA_TS!$B$2:$B$20001,Kalkulasi!$B$22)*(OR(Availability!$O$6="Semua",C78=Availability!$O$6)*OR(Availability!$R$6="Semua",A78=Availability!$R$6))</f>
        <v/>
      </c>
      <c r="F78" s="187">
        <f>SUMIFS(DATA_TS!$K$2:$K$20001,DATA_TS!$C$2:$C$20001,$A78,DATA_TS!$A$2:$A$20001,"&gt;="&amp;Kalkulasi!$B$20,DATA_TS!$A$2:$A$20001,"&lt;="&amp;Kalkulasi!$B$21,DATA_TS!$B$2:$B$20001,Kalkulasi!$B$22)*(OR(Availability!$O$6="Semua",C78=Availability!$O$6)*OR(Availability!$R$6="Semua",A78=Availability!$R$6))</f>
        <v/>
      </c>
      <c r="G78" s="187">
        <f>D78+E78+F78</f>
        <v/>
      </c>
      <c r="H78" s="189">
        <f>IF(G78=0,0,(D78+F78)/G78)</f>
        <v/>
      </c>
      <c r="I78" s="156">
        <f>E78+ROW()/1000000</f>
        <v/>
      </c>
      <c r="J78" s="156" t="n"/>
      <c r="K78" s="156" t="n"/>
      <c r="L78" s="156" t="inlineStr">
        <is>
          <t>HT-408</t>
        </is>
      </c>
      <c r="M78" s="155">
        <f>IF(M77="","",IF(M77+1&gt;MAX(DATA_TS!$A$2:$A$20001),"",M77+1))</f>
        <v/>
      </c>
      <c r="N78" s="156" t="n"/>
    </row>
    <row r="79">
      <c r="A79" s="156" t="inlineStr">
        <is>
          <t>HT-410</t>
        </is>
      </c>
      <c r="B79" s="156" t="inlineStr">
        <is>
          <t>SY430</t>
        </is>
      </c>
      <c r="C79" s="156" t="inlineStr">
        <is>
          <t>DT Hauling</t>
        </is>
      </c>
      <c r="D79" s="187">
        <f>SUMIFS(DATA_TS!$G$2:$G$20001,DATA_TS!$C$2:$C$20001,$A79,DATA_TS!$A$2:$A$20001,"&gt;="&amp;Kalkulasi!$B$20,DATA_TS!$A$2:$A$20001,"&lt;="&amp;Kalkulasi!$B$21,DATA_TS!$B$2:$B$20001,Kalkulasi!$B$22)*(OR(Availability!$O$6="Semua",C79=Availability!$O$6)*OR(Availability!$R$6="Semua",A79=Availability!$R$6))</f>
        <v/>
      </c>
      <c r="E79" s="187">
        <f>SUMIFS(DATA_TS!$J$2:$J$20001,DATA_TS!$C$2:$C$20001,$A79,DATA_TS!$A$2:$A$20001,"&gt;="&amp;Kalkulasi!$B$20,DATA_TS!$A$2:$A$20001,"&lt;="&amp;Kalkulasi!$B$21,DATA_TS!$B$2:$B$20001,Kalkulasi!$B$22)*(OR(Availability!$O$6="Semua",C79=Availability!$O$6)*OR(Availability!$R$6="Semua",A79=Availability!$R$6))</f>
        <v/>
      </c>
      <c r="F79" s="187">
        <f>SUMIFS(DATA_TS!$K$2:$K$20001,DATA_TS!$C$2:$C$20001,$A79,DATA_TS!$A$2:$A$20001,"&gt;="&amp;Kalkulasi!$B$20,DATA_TS!$A$2:$A$20001,"&lt;="&amp;Kalkulasi!$B$21,DATA_TS!$B$2:$B$20001,Kalkulasi!$B$22)*(OR(Availability!$O$6="Semua",C79=Availability!$O$6)*OR(Availability!$R$6="Semua",A79=Availability!$R$6))</f>
        <v/>
      </c>
      <c r="G79" s="187">
        <f>D79+E79+F79</f>
        <v/>
      </c>
      <c r="H79" s="189">
        <f>IF(G79=0,0,(D79+F79)/G79)</f>
        <v/>
      </c>
      <c r="I79" s="156">
        <f>E79+ROW()/1000000</f>
        <v/>
      </c>
      <c r="J79" s="156" t="n"/>
      <c r="K79" s="156" t="n"/>
      <c r="L79" s="156" t="inlineStr">
        <is>
          <t>HT-409</t>
        </is>
      </c>
      <c r="M79" s="155">
        <f>IF(M78="","",IF(M78+1&gt;MAX(DATA_TS!$A$2:$A$20001),"",M78+1))</f>
        <v/>
      </c>
      <c r="N79" s="156" t="n"/>
    </row>
    <row r="80">
      <c r="A80" s="156" t="inlineStr">
        <is>
          <t>HT-411</t>
        </is>
      </c>
      <c r="B80" s="156" t="inlineStr">
        <is>
          <t>SY430</t>
        </is>
      </c>
      <c r="C80" s="156" t="inlineStr">
        <is>
          <t>DT Hauling</t>
        </is>
      </c>
      <c r="D80" s="187">
        <f>SUMIFS(DATA_TS!$G$2:$G$20001,DATA_TS!$C$2:$C$20001,$A80,DATA_TS!$A$2:$A$20001,"&gt;="&amp;Kalkulasi!$B$20,DATA_TS!$A$2:$A$20001,"&lt;="&amp;Kalkulasi!$B$21,DATA_TS!$B$2:$B$20001,Kalkulasi!$B$22)*(OR(Availability!$O$6="Semua",C80=Availability!$O$6)*OR(Availability!$R$6="Semua",A80=Availability!$R$6))</f>
        <v/>
      </c>
      <c r="E80" s="187">
        <f>SUMIFS(DATA_TS!$J$2:$J$20001,DATA_TS!$C$2:$C$20001,$A80,DATA_TS!$A$2:$A$20001,"&gt;="&amp;Kalkulasi!$B$20,DATA_TS!$A$2:$A$20001,"&lt;="&amp;Kalkulasi!$B$21,DATA_TS!$B$2:$B$20001,Kalkulasi!$B$22)*(OR(Availability!$O$6="Semua",C80=Availability!$O$6)*OR(Availability!$R$6="Semua",A80=Availability!$R$6))</f>
        <v/>
      </c>
      <c r="F80" s="187">
        <f>SUMIFS(DATA_TS!$K$2:$K$20001,DATA_TS!$C$2:$C$20001,$A80,DATA_TS!$A$2:$A$20001,"&gt;="&amp;Kalkulasi!$B$20,DATA_TS!$A$2:$A$20001,"&lt;="&amp;Kalkulasi!$B$21,DATA_TS!$B$2:$B$20001,Kalkulasi!$B$22)*(OR(Availability!$O$6="Semua",C80=Availability!$O$6)*OR(Availability!$R$6="Semua",A80=Availability!$R$6))</f>
        <v/>
      </c>
      <c r="G80" s="187">
        <f>D80+E80+F80</f>
        <v/>
      </c>
      <c r="H80" s="189">
        <f>IF(G80=0,0,(D80+F80)/G80)</f>
        <v/>
      </c>
      <c r="I80" s="156">
        <f>E80+ROW()/1000000</f>
        <v/>
      </c>
      <c r="J80" s="156" t="n"/>
      <c r="K80" s="156" t="n"/>
      <c r="L80" s="156" t="inlineStr">
        <is>
          <t>HT-410</t>
        </is>
      </c>
      <c r="M80" s="155">
        <f>IF(M79="","",IF(M79+1&gt;MAX(DATA_TS!$A$2:$A$20001),"",M79+1))</f>
        <v/>
      </c>
      <c r="N80" s="156" t="n"/>
    </row>
    <row r="81">
      <c r="A81" s="156" t="inlineStr">
        <is>
          <t>HT-412</t>
        </is>
      </c>
      <c r="B81" s="156" t="inlineStr">
        <is>
          <t>SY430</t>
        </is>
      </c>
      <c r="C81" s="156" t="inlineStr">
        <is>
          <t>DT Hauling</t>
        </is>
      </c>
      <c r="D81" s="187">
        <f>SUMIFS(DATA_TS!$G$2:$G$20001,DATA_TS!$C$2:$C$20001,$A81,DATA_TS!$A$2:$A$20001,"&gt;="&amp;Kalkulasi!$B$20,DATA_TS!$A$2:$A$20001,"&lt;="&amp;Kalkulasi!$B$21,DATA_TS!$B$2:$B$20001,Kalkulasi!$B$22)*(OR(Availability!$O$6="Semua",C81=Availability!$O$6)*OR(Availability!$R$6="Semua",A81=Availability!$R$6))</f>
        <v/>
      </c>
      <c r="E81" s="187">
        <f>SUMIFS(DATA_TS!$J$2:$J$20001,DATA_TS!$C$2:$C$20001,$A81,DATA_TS!$A$2:$A$20001,"&gt;="&amp;Kalkulasi!$B$20,DATA_TS!$A$2:$A$20001,"&lt;="&amp;Kalkulasi!$B$21,DATA_TS!$B$2:$B$20001,Kalkulasi!$B$22)*(OR(Availability!$O$6="Semua",C81=Availability!$O$6)*OR(Availability!$R$6="Semua",A81=Availability!$R$6))</f>
        <v/>
      </c>
      <c r="F81" s="187">
        <f>SUMIFS(DATA_TS!$K$2:$K$20001,DATA_TS!$C$2:$C$20001,$A81,DATA_TS!$A$2:$A$20001,"&gt;="&amp;Kalkulasi!$B$20,DATA_TS!$A$2:$A$20001,"&lt;="&amp;Kalkulasi!$B$21,DATA_TS!$B$2:$B$20001,Kalkulasi!$B$22)*(OR(Availability!$O$6="Semua",C81=Availability!$O$6)*OR(Availability!$R$6="Semua",A81=Availability!$R$6))</f>
        <v/>
      </c>
      <c r="G81" s="187">
        <f>D81+E81+F81</f>
        <v/>
      </c>
      <c r="H81" s="189">
        <f>IF(G81=0,0,(D81+F81)/G81)</f>
        <v/>
      </c>
      <c r="I81" s="156">
        <f>E81+ROW()/1000000</f>
        <v/>
      </c>
      <c r="J81" s="156" t="n"/>
      <c r="K81" s="156" t="n"/>
      <c r="L81" s="156" t="inlineStr">
        <is>
          <t>HT-411</t>
        </is>
      </c>
      <c r="M81" s="155">
        <f>IF(M80="","",IF(M80+1&gt;MAX(DATA_TS!$A$2:$A$20001),"",M80+1))</f>
        <v/>
      </c>
      <c r="N81" s="156" t="n"/>
    </row>
    <row r="82">
      <c r="A82" s="156" t="inlineStr">
        <is>
          <t>HT-413</t>
        </is>
      </c>
      <c r="B82" s="156" t="inlineStr">
        <is>
          <t>SY430</t>
        </is>
      </c>
      <c r="C82" s="156" t="inlineStr">
        <is>
          <t>DT Hauling</t>
        </is>
      </c>
      <c r="D82" s="187">
        <f>SUMIFS(DATA_TS!$G$2:$G$20001,DATA_TS!$C$2:$C$20001,$A82,DATA_TS!$A$2:$A$20001,"&gt;="&amp;Kalkulasi!$B$20,DATA_TS!$A$2:$A$20001,"&lt;="&amp;Kalkulasi!$B$21,DATA_TS!$B$2:$B$20001,Kalkulasi!$B$22)*(OR(Availability!$O$6="Semua",C82=Availability!$O$6)*OR(Availability!$R$6="Semua",A82=Availability!$R$6))</f>
        <v/>
      </c>
      <c r="E82" s="187">
        <f>SUMIFS(DATA_TS!$J$2:$J$20001,DATA_TS!$C$2:$C$20001,$A82,DATA_TS!$A$2:$A$20001,"&gt;="&amp;Kalkulasi!$B$20,DATA_TS!$A$2:$A$20001,"&lt;="&amp;Kalkulasi!$B$21,DATA_TS!$B$2:$B$20001,Kalkulasi!$B$22)*(OR(Availability!$O$6="Semua",C82=Availability!$O$6)*OR(Availability!$R$6="Semua",A82=Availability!$R$6))</f>
        <v/>
      </c>
      <c r="F82" s="187">
        <f>SUMIFS(DATA_TS!$K$2:$K$20001,DATA_TS!$C$2:$C$20001,$A82,DATA_TS!$A$2:$A$20001,"&gt;="&amp;Kalkulasi!$B$20,DATA_TS!$A$2:$A$20001,"&lt;="&amp;Kalkulasi!$B$21,DATA_TS!$B$2:$B$20001,Kalkulasi!$B$22)*(OR(Availability!$O$6="Semua",C82=Availability!$O$6)*OR(Availability!$R$6="Semua",A82=Availability!$R$6))</f>
        <v/>
      </c>
      <c r="G82" s="187">
        <f>D82+E82+F82</f>
        <v/>
      </c>
      <c r="H82" s="189">
        <f>IF(G82=0,0,(D82+F82)/G82)</f>
        <v/>
      </c>
      <c r="I82" s="156">
        <f>E82+ROW()/1000000</f>
        <v/>
      </c>
      <c r="J82" s="156" t="n"/>
      <c r="K82" s="156" t="n"/>
      <c r="L82" s="156" t="inlineStr">
        <is>
          <t>HT-412</t>
        </is>
      </c>
      <c r="M82" s="155">
        <f>IF(M81="","",IF(M81+1&gt;MAX(DATA_TS!$A$2:$A$20001),"",M81+1))</f>
        <v/>
      </c>
      <c r="N82" s="156" t="n"/>
    </row>
    <row r="83">
      <c r="A83" s="156" t="inlineStr">
        <is>
          <t>HT-414</t>
        </is>
      </c>
      <c r="B83" s="156" t="inlineStr">
        <is>
          <t>SY430</t>
        </is>
      </c>
      <c r="C83" s="156" t="inlineStr">
        <is>
          <t>DT Hauling</t>
        </is>
      </c>
      <c r="D83" s="187">
        <f>SUMIFS(DATA_TS!$G$2:$G$20001,DATA_TS!$C$2:$C$20001,$A83,DATA_TS!$A$2:$A$20001,"&gt;="&amp;Kalkulasi!$B$20,DATA_TS!$A$2:$A$20001,"&lt;="&amp;Kalkulasi!$B$21,DATA_TS!$B$2:$B$20001,Kalkulasi!$B$22)*(OR(Availability!$O$6="Semua",C83=Availability!$O$6)*OR(Availability!$R$6="Semua",A83=Availability!$R$6))</f>
        <v/>
      </c>
      <c r="E83" s="187">
        <f>SUMIFS(DATA_TS!$J$2:$J$20001,DATA_TS!$C$2:$C$20001,$A83,DATA_TS!$A$2:$A$20001,"&gt;="&amp;Kalkulasi!$B$20,DATA_TS!$A$2:$A$20001,"&lt;="&amp;Kalkulasi!$B$21,DATA_TS!$B$2:$B$20001,Kalkulasi!$B$22)*(OR(Availability!$O$6="Semua",C83=Availability!$O$6)*OR(Availability!$R$6="Semua",A83=Availability!$R$6))</f>
        <v/>
      </c>
      <c r="F83" s="187">
        <f>SUMIFS(DATA_TS!$K$2:$K$20001,DATA_TS!$C$2:$C$20001,$A83,DATA_TS!$A$2:$A$20001,"&gt;="&amp;Kalkulasi!$B$20,DATA_TS!$A$2:$A$20001,"&lt;="&amp;Kalkulasi!$B$21,DATA_TS!$B$2:$B$20001,Kalkulasi!$B$22)*(OR(Availability!$O$6="Semua",C83=Availability!$O$6)*OR(Availability!$R$6="Semua",A83=Availability!$R$6))</f>
        <v/>
      </c>
      <c r="G83" s="187">
        <f>D83+E83+F83</f>
        <v/>
      </c>
      <c r="H83" s="189">
        <f>IF(G83=0,0,(D83+F83)/G83)</f>
        <v/>
      </c>
      <c r="I83" s="156">
        <f>E83+ROW()/1000000</f>
        <v/>
      </c>
      <c r="J83" s="156" t="n"/>
      <c r="K83" s="156" t="n"/>
      <c r="L83" s="156" t="inlineStr">
        <is>
          <t>HT-413</t>
        </is>
      </c>
      <c r="M83" s="155">
        <f>IF(M82="","",IF(M82+1&gt;MAX(DATA_TS!$A$2:$A$20001),"",M82+1))</f>
        <v/>
      </c>
      <c r="N83" s="156" t="n"/>
    </row>
    <row r="84">
      <c r="A84" s="156" t="inlineStr">
        <is>
          <t>HT-415</t>
        </is>
      </c>
      <c r="B84" s="156" t="inlineStr">
        <is>
          <t>SY430</t>
        </is>
      </c>
      <c r="C84" s="156" t="inlineStr">
        <is>
          <t>DT Hauling</t>
        </is>
      </c>
      <c r="D84" s="187">
        <f>SUMIFS(DATA_TS!$G$2:$G$20001,DATA_TS!$C$2:$C$20001,$A84,DATA_TS!$A$2:$A$20001,"&gt;="&amp;Kalkulasi!$B$20,DATA_TS!$A$2:$A$20001,"&lt;="&amp;Kalkulasi!$B$21,DATA_TS!$B$2:$B$20001,Kalkulasi!$B$22)*(OR(Availability!$O$6="Semua",C84=Availability!$O$6)*OR(Availability!$R$6="Semua",A84=Availability!$R$6))</f>
        <v/>
      </c>
      <c r="E84" s="187">
        <f>SUMIFS(DATA_TS!$J$2:$J$20001,DATA_TS!$C$2:$C$20001,$A84,DATA_TS!$A$2:$A$20001,"&gt;="&amp;Kalkulasi!$B$20,DATA_TS!$A$2:$A$20001,"&lt;="&amp;Kalkulasi!$B$21,DATA_TS!$B$2:$B$20001,Kalkulasi!$B$22)*(OR(Availability!$O$6="Semua",C84=Availability!$O$6)*OR(Availability!$R$6="Semua",A84=Availability!$R$6))</f>
        <v/>
      </c>
      <c r="F84" s="187">
        <f>SUMIFS(DATA_TS!$K$2:$K$20001,DATA_TS!$C$2:$C$20001,$A84,DATA_TS!$A$2:$A$20001,"&gt;="&amp;Kalkulasi!$B$20,DATA_TS!$A$2:$A$20001,"&lt;="&amp;Kalkulasi!$B$21,DATA_TS!$B$2:$B$20001,Kalkulasi!$B$22)*(OR(Availability!$O$6="Semua",C84=Availability!$O$6)*OR(Availability!$R$6="Semua",A84=Availability!$R$6))</f>
        <v/>
      </c>
      <c r="G84" s="187">
        <f>D84+E84+F84</f>
        <v/>
      </c>
      <c r="H84" s="189">
        <f>IF(G84=0,0,(D84+F84)/G84)</f>
        <v/>
      </c>
      <c r="I84" s="156">
        <f>E84+ROW()/1000000</f>
        <v/>
      </c>
      <c r="J84" s="156" t="n"/>
      <c r="K84" s="156" t="n"/>
      <c r="L84" s="156" t="inlineStr">
        <is>
          <t>HT-414</t>
        </is>
      </c>
      <c r="M84" s="155">
        <f>IF(M83="","",IF(M83+1&gt;MAX(DATA_TS!$A$2:$A$20001),"",M83+1))</f>
        <v/>
      </c>
      <c r="N84" s="156" t="n"/>
    </row>
    <row r="85">
      <c r="A85" s="156" t="inlineStr">
        <is>
          <t>HT-416</t>
        </is>
      </c>
      <c r="B85" s="156" t="inlineStr">
        <is>
          <t>SY430</t>
        </is>
      </c>
      <c r="C85" s="156" t="inlineStr">
        <is>
          <t>DT Hauling</t>
        </is>
      </c>
      <c r="D85" s="187">
        <f>SUMIFS(DATA_TS!$G$2:$G$20001,DATA_TS!$C$2:$C$20001,$A85,DATA_TS!$A$2:$A$20001,"&gt;="&amp;Kalkulasi!$B$20,DATA_TS!$A$2:$A$20001,"&lt;="&amp;Kalkulasi!$B$21,DATA_TS!$B$2:$B$20001,Kalkulasi!$B$22)*(OR(Availability!$O$6="Semua",C85=Availability!$O$6)*OR(Availability!$R$6="Semua",A85=Availability!$R$6))</f>
        <v/>
      </c>
      <c r="E85" s="187">
        <f>SUMIFS(DATA_TS!$J$2:$J$20001,DATA_TS!$C$2:$C$20001,$A85,DATA_TS!$A$2:$A$20001,"&gt;="&amp;Kalkulasi!$B$20,DATA_TS!$A$2:$A$20001,"&lt;="&amp;Kalkulasi!$B$21,DATA_TS!$B$2:$B$20001,Kalkulasi!$B$22)*(OR(Availability!$O$6="Semua",C85=Availability!$O$6)*OR(Availability!$R$6="Semua",A85=Availability!$R$6))</f>
        <v/>
      </c>
      <c r="F85" s="187">
        <f>SUMIFS(DATA_TS!$K$2:$K$20001,DATA_TS!$C$2:$C$20001,$A85,DATA_TS!$A$2:$A$20001,"&gt;="&amp;Kalkulasi!$B$20,DATA_TS!$A$2:$A$20001,"&lt;="&amp;Kalkulasi!$B$21,DATA_TS!$B$2:$B$20001,Kalkulasi!$B$22)*(OR(Availability!$O$6="Semua",C85=Availability!$O$6)*OR(Availability!$R$6="Semua",A85=Availability!$R$6))</f>
        <v/>
      </c>
      <c r="G85" s="187">
        <f>D85+E85+F85</f>
        <v/>
      </c>
      <c r="H85" s="189">
        <f>IF(G85=0,0,(D85+F85)/G85)</f>
        <v/>
      </c>
      <c r="I85" s="156">
        <f>E85+ROW()/1000000</f>
        <v/>
      </c>
      <c r="J85" s="156" t="n"/>
      <c r="K85" s="156" t="n"/>
      <c r="L85" s="156" t="inlineStr">
        <is>
          <t>HT-415</t>
        </is>
      </c>
      <c r="M85" s="155">
        <f>IF(M84="","",IF(M84+1&gt;MAX(DATA_TS!$A$2:$A$20001),"",M84+1))</f>
        <v/>
      </c>
      <c r="N85" s="156" t="n"/>
    </row>
    <row r="86">
      <c r="A86" s="156" t="inlineStr">
        <is>
          <t>HT-417</t>
        </is>
      </c>
      <c r="B86" s="156" t="inlineStr">
        <is>
          <t>SY430</t>
        </is>
      </c>
      <c r="C86" s="156" t="inlineStr">
        <is>
          <t>DT Hauling</t>
        </is>
      </c>
      <c r="D86" s="187">
        <f>SUMIFS(DATA_TS!$G$2:$G$20001,DATA_TS!$C$2:$C$20001,$A86,DATA_TS!$A$2:$A$20001,"&gt;="&amp;Kalkulasi!$B$20,DATA_TS!$A$2:$A$20001,"&lt;="&amp;Kalkulasi!$B$21,DATA_TS!$B$2:$B$20001,Kalkulasi!$B$22)*(OR(Availability!$O$6="Semua",C86=Availability!$O$6)*OR(Availability!$R$6="Semua",A86=Availability!$R$6))</f>
        <v/>
      </c>
      <c r="E86" s="187">
        <f>SUMIFS(DATA_TS!$J$2:$J$20001,DATA_TS!$C$2:$C$20001,$A86,DATA_TS!$A$2:$A$20001,"&gt;="&amp;Kalkulasi!$B$20,DATA_TS!$A$2:$A$20001,"&lt;="&amp;Kalkulasi!$B$21,DATA_TS!$B$2:$B$20001,Kalkulasi!$B$22)*(OR(Availability!$O$6="Semua",C86=Availability!$O$6)*OR(Availability!$R$6="Semua",A86=Availability!$R$6))</f>
        <v/>
      </c>
      <c r="F86" s="187">
        <f>SUMIFS(DATA_TS!$K$2:$K$20001,DATA_TS!$C$2:$C$20001,$A86,DATA_TS!$A$2:$A$20001,"&gt;="&amp;Kalkulasi!$B$20,DATA_TS!$A$2:$A$20001,"&lt;="&amp;Kalkulasi!$B$21,DATA_TS!$B$2:$B$20001,Kalkulasi!$B$22)*(OR(Availability!$O$6="Semua",C86=Availability!$O$6)*OR(Availability!$R$6="Semua",A86=Availability!$R$6))</f>
        <v/>
      </c>
      <c r="G86" s="187">
        <f>D86+E86+F86</f>
        <v/>
      </c>
      <c r="H86" s="189">
        <f>IF(G86=0,0,(D86+F86)/G86)</f>
        <v/>
      </c>
      <c r="I86" s="156">
        <f>E86+ROW()/1000000</f>
        <v/>
      </c>
      <c r="J86" s="156" t="n"/>
      <c r="K86" s="156" t="n"/>
      <c r="L86" s="156" t="inlineStr">
        <is>
          <t>HT-416</t>
        </is>
      </c>
      <c r="M86" s="155">
        <f>IF(M85="","",IF(M85+1&gt;MAX(DATA_TS!$A$2:$A$20001),"",M85+1))</f>
        <v/>
      </c>
      <c r="N86" s="156" t="n"/>
    </row>
    <row r="87">
      <c r="A87" s="156" t="inlineStr">
        <is>
          <t>HT-418</t>
        </is>
      </c>
      <c r="B87" s="156" t="inlineStr">
        <is>
          <t>SY430</t>
        </is>
      </c>
      <c r="C87" s="156" t="inlineStr">
        <is>
          <t>DT Hauling</t>
        </is>
      </c>
      <c r="D87" s="187">
        <f>SUMIFS(DATA_TS!$G$2:$G$20001,DATA_TS!$C$2:$C$20001,$A87,DATA_TS!$A$2:$A$20001,"&gt;="&amp;Kalkulasi!$B$20,DATA_TS!$A$2:$A$20001,"&lt;="&amp;Kalkulasi!$B$21,DATA_TS!$B$2:$B$20001,Kalkulasi!$B$22)*(OR(Availability!$O$6="Semua",C87=Availability!$O$6)*OR(Availability!$R$6="Semua",A87=Availability!$R$6))</f>
        <v/>
      </c>
      <c r="E87" s="187">
        <f>SUMIFS(DATA_TS!$J$2:$J$20001,DATA_TS!$C$2:$C$20001,$A87,DATA_TS!$A$2:$A$20001,"&gt;="&amp;Kalkulasi!$B$20,DATA_TS!$A$2:$A$20001,"&lt;="&amp;Kalkulasi!$B$21,DATA_TS!$B$2:$B$20001,Kalkulasi!$B$22)*(OR(Availability!$O$6="Semua",C87=Availability!$O$6)*OR(Availability!$R$6="Semua",A87=Availability!$R$6))</f>
        <v/>
      </c>
      <c r="F87" s="187">
        <f>SUMIFS(DATA_TS!$K$2:$K$20001,DATA_TS!$C$2:$C$20001,$A87,DATA_TS!$A$2:$A$20001,"&gt;="&amp;Kalkulasi!$B$20,DATA_TS!$A$2:$A$20001,"&lt;="&amp;Kalkulasi!$B$21,DATA_TS!$B$2:$B$20001,Kalkulasi!$B$22)*(OR(Availability!$O$6="Semua",C87=Availability!$O$6)*OR(Availability!$R$6="Semua",A87=Availability!$R$6))</f>
        <v/>
      </c>
      <c r="G87" s="187">
        <f>D87+E87+F87</f>
        <v/>
      </c>
      <c r="H87" s="189">
        <f>IF(G87=0,0,(D87+F87)/G87)</f>
        <v/>
      </c>
      <c r="I87" s="156">
        <f>E87+ROW()/1000000</f>
        <v/>
      </c>
      <c r="J87" s="156" t="n"/>
      <c r="K87" s="156" t="n"/>
      <c r="L87" s="156" t="inlineStr">
        <is>
          <t>HT-417</t>
        </is>
      </c>
      <c r="M87" s="155">
        <f>IF(M86="","",IF(M86+1&gt;MAX(DATA_TS!$A$2:$A$20001),"",M86+1))</f>
        <v/>
      </c>
      <c r="N87" s="156" t="n"/>
    </row>
    <row r="88">
      <c r="A88" s="156" t="inlineStr">
        <is>
          <t>HT-419</t>
        </is>
      </c>
      <c r="B88" s="156" t="inlineStr">
        <is>
          <t>SY430</t>
        </is>
      </c>
      <c r="C88" s="156" t="inlineStr">
        <is>
          <t>DT Hauling</t>
        </is>
      </c>
      <c r="D88" s="187">
        <f>SUMIFS(DATA_TS!$G$2:$G$20001,DATA_TS!$C$2:$C$20001,$A88,DATA_TS!$A$2:$A$20001,"&gt;="&amp;Kalkulasi!$B$20,DATA_TS!$A$2:$A$20001,"&lt;="&amp;Kalkulasi!$B$21,DATA_TS!$B$2:$B$20001,Kalkulasi!$B$22)*(OR(Availability!$O$6="Semua",C88=Availability!$O$6)*OR(Availability!$R$6="Semua",A88=Availability!$R$6))</f>
        <v/>
      </c>
      <c r="E88" s="187">
        <f>SUMIFS(DATA_TS!$J$2:$J$20001,DATA_TS!$C$2:$C$20001,$A88,DATA_TS!$A$2:$A$20001,"&gt;="&amp;Kalkulasi!$B$20,DATA_TS!$A$2:$A$20001,"&lt;="&amp;Kalkulasi!$B$21,DATA_TS!$B$2:$B$20001,Kalkulasi!$B$22)*(OR(Availability!$O$6="Semua",C88=Availability!$O$6)*OR(Availability!$R$6="Semua",A88=Availability!$R$6))</f>
        <v/>
      </c>
      <c r="F88" s="187">
        <f>SUMIFS(DATA_TS!$K$2:$K$20001,DATA_TS!$C$2:$C$20001,$A88,DATA_TS!$A$2:$A$20001,"&gt;="&amp;Kalkulasi!$B$20,DATA_TS!$A$2:$A$20001,"&lt;="&amp;Kalkulasi!$B$21,DATA_TS!$B$2:$B$20001,Kalkulasi!$B$22)*(OR(Availability!$O$6="Semua",C88=Availability!$O$6)*OR(Availability!$R$6="Semua",A88=Availability!$R$6))</f>
        <v/>
      </c>
      <c r="G88" s="187">
        <f>D88+E88+F88</f>
        <v/>
      </c>
      <c r="H88" s="189">
        <f>IF(G88=0,0,(D88+F88)/G88)</f>
        <v/>
      </c>
      <c r="I88" s="156">
        <f>E88+ROW()/1000000</f>
        <v/>
      </c>
      <c r="J88" s="156" t="n"/>
      <c r="K88" s="156" t="n"/>
      <c r="L88" s="156" t="inlineStr">
        <is>
          <t>HT-418</t>
        </is>
      </c>
      <c r="M88" s="155">
        <f>IF(M87="","",IF(M87+1&gt;MAX(DATA_TS!$A$2:$A$20001),"",M87+1))</f>
        <v/>
      </c>
      <c r="N88" s="156" t="n"/>
    </row>
    <row r="89">
      <c r="A89" s="156" t="inlineStr">
        <is>
          <t>HT-420</t>
        </is>
      </c>
      <c r="B89" s="156" t="inlineStr">
        <is>
          <t>SY430</t>
        </is>
      </c>
      <c r="C89" s="156" t="inlineStr">
        <is>
          <t>DT Hauling</t>
        </is>
      </c>
      <c r="D89" s="187">
        <f>SUMIFS(DATA_TS!$G$2:$G$20001,DATA_TS!$C$2:$C$20001,$A89,DATA_TS!$A$2:$A$20001,"&gt;="&amp;Kalkulasi!$B$20,DATA_TS!$A$2:$A$20001,"&lt;="&amp;Kalkulasi!$B$21,DATA_TS!$B$2:$B$20001,Kalkulasi!$B$22)*(OR(Availability!$O$6="Semua",C89=Availability!$O$6)*OR(Availability!$R$6="Semua",A89=Availability!$R$6))</f>
        <v/>
      </c>
      <c r="E89" s="187">
        <f>SUMIFS(DATA_TS!$J$2:$J$20001,DATA_TS!$C$2:$C$20001,$A89,DATA_TS!$A$2:$A$20001,"&gt;="&amp;Kalkulasi!$B$20,DATA_TS!$A$2:$A$20001,"&lt;="&amp;Kalkulasi!$B$21,DATA_TS!$B$2:$B$20001,Kalkulasi!$B$22)*(OR(Availability!$O$6="Semua",C89=Availability!$O$6)*OR(Availability!$R$6="Semua",A89=Availability!$R$6))</f>
        <v/>
      </c>
      <c r="F89" s="187">
        <f>SUMIFS(DATA_TS!$K$2:$K$20001,DATA_TS!$C$2:$C$20001,$A89,DATA_TS!$A$2:$A$20001,"&gt;="&amp;Kalkulasi!$B$20,DATA_TS!$A$2:$A$20001,"&lt;="&amp;Kalkulasi!$B$21,DATA_TS!$B$2:$B$20001,Kalkulasi!$B$22)*(OR(Availability!$O$6="Semua",C89=Availability!$O$6)*OR(Availability!$R$6="Semua",A89=Availability!$R$6))</f>
        <v/>
      </c>
      <c r="G89" s="187">
        <f>D89+E89+F89</f>
        <v/>
      </c>
      <c r="H89" s="189">
        <f>IF(G89=0,0,(D89+F89)/G89)</f>
        <v/>
      </c>
      <c r="I89" s="156">
        <f>E89+ROW()/1000000</f>
        <v/>
      </c>
      <c r="J89" s="156" t="n"/>
      <c r="K89" s="156" t="n"/>
      <c r="L89" s="156" t="inlineStr">
        <is>
          <t>HT-419</t>
        </is>
      </c>
      <c r="M89" s="155">
        <f>IF(M88="","",IF(M88+1&gt;MAX(DATA_TS!$A$2:$A$20001),"",M88+1))</f>
        <v/>
      </c>
      <c r="N89" s="156" t="n"/>
    </row>
    <row r="90">
      <c r="A90" s="156" t="inlineStr">
        <is>
          <t>DH-101</t>
        </is>
      </c>
      <c r="B90" s="156" t="inlineStr">
        <is>
          <t>HINO FM260</t>
        </is>
      </c>
      <c r="C90" s="156" t="inlineStr">
        <is>
          <t>DT Hino</t>
        </is>
      </c>
      <c r="D90" s="187">
        <f>SUMIFS(DATA_TS!$G$2:$G$20001,DATA_TS!$C$2:$C$20001,$A90,DATA_TS!$A$2:$A$20001,"&gt;="&amp;Kalkulasi!$B$20,DATA_TS!$A$2:$A$20001,"&lt;="&amp;Kalkulasi!$B$21,DATA_TS!$B$2:$B$20001,Kalkulasi!$B$22)*(OR(Availability!$O$6="Semua",C90=Availability!$O$6)*OR(Availability!$R$6="Semua",A90=Availability!$R$6))</f>
        <v/>
      </c>
      <c r="E90" s="187">
        <f>SUMIFS(DATA_TS!$J$2:$J$20001,DATA_TS!$C$2:$C$20001,$A90,DATA_TS!$A$2:$A$20001,"&gt;="&amp;Kalkulasi!$B$20,DATA_TS!$A$2:$A$20001,"&lt;="&amp;Kalkulasi!$B$21,DATA_TS!$B$2:$B$20001,Kalkulasi!$B$22)*(OR(Availability!$O$6="Semua",C90=Availability!$O$6)*OR(Availability!$R$6="Semua",A90=Availability!$R$6))</f>
        <v/>
      </c>
      <c r="F90" s="187">
        <f>SUMIFS(DATA_TS!$K$2:$K$20001,DATA_TS!$C$2:$C$20001,$A90,DATA_TS!$A$2:$A$20001,"&gt;="&amp;Kalkulasi!$B$20,DATA_TS!$A$2:$A$20001,"&lt;="&amp;Kalkulasi!$B$21,DATA_TS!$B$2:$B$20001,Kalkulasi!$B$22)*(OR(Availability!$O$6="Semua",C90=Availability!$O$6)*OR(Availability!$R$6="Semua",A90=Availability!$R$6))</f>
        <v/>
      </c>
      <c r="G90" s="187">
        <f>D90+E90+F90</f>
        <v/>
      </c>
      <c r="H90" s="189">
        <f>IF(G90=0,0,(D90+F90)/G90)</f>
        <v/>
      </c>
      <c r="I90" s="156">
        <f>E90+ROW()/1000000</f>
        <v/>
      </c>
      <c r="J90" s="156" t="n"/>
      <c r="K90" s="156" t="n"/>
      <c r="L90" s="156" t="inlineStr">
        <is>
          <t>HT-420</t>
        </is>
      </c>
      <c r="M90" s="155">
        <f>IF(M89="","",IF(M89+1&gt;MAX(DATA_TS!$A$2:$A$20001),"",M89+1))</f>
        <v/>
      </c>
      <c r="N90" s="156" t="n"/>
    </row>
    <row r="91">
      <c r="A91" s="156" t="inlineStr">
        <is>
          <t>DH-102</t>
        </is>
      </c>
      <c r="B91" s="156" t="inlineStr">
        <is>
          <t>HINO FM260</t>
        </is>
      </c>
      <c r="C91" s="156" t="inlineStr">
        <is>
          <t>DT Hino</t>
        </is>
      </c>
      <c r="D91" s="187">
        <f>SUMIFS(DATA_TS!$G$2:$G$20001,DATA_TS!$C$2:$C$20001,$A91,DATA_TS!$A$2:$A$20001,"&gt;="&amp;Kalkulasi!$B$20,DATA_TS!$A$2:$A$20001,"&lt;="&amp;Kalkulasi!$B$21,DATA_TS!$B$2:$B$20001,Kalkulasi!$B$22)*(OR(Availability!$O$6="Semua",C91=Availability!$O$6)*OR(Availability!$R$6="Semua",A91=Availability!$R$6))</f>
        <v/>
      </c>
      <c r="E91" s="187">
        <f>SUMIFS(DATA_TS!$J$2:$J$20001,DATA_TS!$C$2:$C$20001,$A91,DATA_TS!$A$2:$A$20001,"&gt;="&amp;Kalkulasi!$B$20,DATA_TS!$A$2:$A$20001,"&lt;="&amp;Kalkulasi!$B$21,DATA_TS!$B$2:$B$20001,Kalkulasi!$B$22)*(OR(Availability!$O$6="Semua",C91=Availability!$O$6)*OR(Availability!$R$6="Semua",A91=Availability!$R$6))</f>
        <v/>
      </c>
      <c r="F91" s="187">
        <f>SUMIFS(DATA_TS!$K$2:$K$20001,DATA_TS!$C$2:$C$20001,$A91,DATA_TS!$A$2:$A$20001,"&gt;="&amp;Kalkulasi!$B$20,DATA_TS!$A$2:$A$20001,"&lt;="&amp;Kalkulasi!$B$21,DATA_TS!$B$2:$B$20001,Kalkulasi!$B$22)*(OR(Availability!$O$6="Semua",C91=Availability!$O$6)*OR(Availability!$R$6="Semua",A91=Availability!$R$6))</f>
        <v/>
      </c>
      <c r="G91" s="187">
        <f>D91+E91+F91</f>
        <v/>
      </c>
      <c r="H91" s="189">
        <f>IF(G91=0,0,(D91+F91)/G91)</f>
        <v/>
      </c>
      <c r="I91" s="156">
        <f>E91+ROW()/1000000</f>
        <v/>
      </c>
      <c r="J91" s="156" t="n"/>
      <c r="K91" s="156" t="n"/>
      <c r="L91" s="156" t="inlineStr">
        <is>
          <t>DH-101</t>
        </is>
      </c>
      <c r="M91" s="155">
        <f>IF(M90="","",IF(M90+1&gt;MAX(DATA_TS!$A$2:$A$20001),"",M90+1))</f>
        <v/>
      </c>
      <c r="N91" s="156" t="n"/>
    </row>
    <row r="92">
      <c r="A92" s="156" t="inlineStr">
        <is>
          <t>DH-103</t>
        </is>
      </c>
      <c r="B92" s="156" t="inlineStr">
        <is>
          <t>HINO FM260</t>
        </is>
      </c>
      <c r="C92" s="156" t="inlineStr">
        <is>
          <t>DT Hino</t>
        </is>
      </c>
      <c r="D92" s="187">
        <f>SUMIFS(DATA_TS!$G$2:$G$20001,DATA_TS!$C$2:$C$20001,$A92,DATA_TS!$A$2:$A$20001,"&gt;="&amp;Kalkulasi!$B$20,DATA_TS!$A$2:$A$20001,"&lt;="&amp;Kalkulasi!$B$21,DATA_TS!$B$2:$B$20001,Kalkulasi!$B$22)*(OR(Availability!$O$6="Semua",C92=Availability!$O$6)*OR(Availability!$R$6="Semua",A92=Availability!$R$6))</f>
        <v/>
      </c>
      <c r="E92" s="187">
        <f>SUMIFS(DATA_TS!$J$2:$J$20001,DATA_TS!$C$2:$C$20001,$A92,DATA_TS!$A$2:$A$20001,"&gt;="&amp;Kalkulasi!$B$20,DATA_TS!$A$2:$A$20001,"&lt;="&amp;Kalkulasi!$B$21,DATA_TS!$B$2:$B$20001,Kalkulasi!$B$22)*(OR(Availability!$O$6="Semua",C92=Availability!$O$6)*OR(Availability!$R$6="Semua",A92=Availability!$R$6))</f>
        <v/>
      </c>
      <c r="F92" s="187">
        <f>SUMIFS(DATA_TS!$K$2:$K$20001,DATA_TS!$C$2:$C$20001,$A92,DATA_TS!$A$2:$A$20001,"&gt;="&amp;Kalkulasi!$B$20,DATA_TS!$A$2:$A$20001,"&lt;="&amp;Kalkulasi!$B$21,DATA_TS!$B$2:$B$20001,Kalkulasi!$B$22)*(OR(Availability!$O$6="Semua",C92=Availability!$O$6)*OR(Availability!$R$6="Semua",A92=Availability!$R$6))</f>
        <v/>
      </c>
      <c r="G92" s="187">
        <f>D92+E92+F92</f>
        <v/>
      </c>
      <c r="H92" s="189">
        <f>IF(G92=0,0,(D92+F92)/G92)</f>
        <v/>
      </c>
      <c r="I92" s="156">
        <f>E92+ROW()/1000000</f>
        <v/>
      </c>
      <c r="J92" s="156" t="n"/>
      <c r="K92" s="156" t="n"/>
      <c r="L92" s="156" t="inlineStr">
        <is>
          <t>DH-102</t>
        </is>
      </c>
      <c r="M92" s="155">
        <f>IF(M91="","",IF(M91+1&gt;MAX(DATA_TS!$A$2:$A$20001),"",M91+1))</f>
        <v/>
      </c>
      <c r="N92" s="156" t="n"/>
    </row>
    <row r="93">
      <c r="A93" s="156" t="inlineStr">
        <is>
          <t>DZ-031</t>
        </is>
      </c>
      <c r="B93" s="156" t="inlineStr">
        <is>
          <t>CAT</t>
        </is>
      </c>
      <c r="C93" s="156" t="inlineStr">
        <is>
          <t>Bulldozer</t>
        </is>
      </c>
      <c r="D93" s="187">
        <f>SUMIFS(DATA_TS!$G$2:$G$20001,DATA_TS!$C$2:$C$20001,$A93,DATA_TS!$A$2:$A$20001,"&gt;="&amp;Kalkulasi!$B$20,DATA_TS!$A$2:$A$20001,"&lt;="&amp;Kalkulasi!$B$21,DATA_TS!$B$2:$B$20001,Kalkulasi!$B$22)*(OR(Availability!$O$6="Semua",C93=Availability!$O$6)*OR(Availability!$R$6="Semua",A93=Availability!$R$6))</f>
        <v/>
      </c>
      <c r="E93" s="187">
        <f>SUMIFS(DATA_TS!$J$2:$J$20001,DATA_TS!$C$2:$C$20001,$A93,DATA_TS!$A$2:$A$20001,"&gt;="&amp;Kalkulasi!$B$20,DATA_TS!$A$2:$A$20001,"&lt;="&amp;Kalkulasi!$B$21,DATA_TS!$B$2:$B$20001,Kalkulasi!$B$22)*(OR(Availability!$O$6="Semua",C93=Availability!$O$6)*OR(Availability!$R$6="Semua",A93=Availability!$R$6))</f>
        <v/>
      </c>
      <c r="F93" s="187">
        <f>SUMIFS(DATA_TS!$K$2:$K$20001,DATA_TS!$C$2:$C$20001,$A93,DATA_TS!$A$2:$A$20001,"&gt;="&amp;Kalkulasi!$B$20,DATA_TS!$A$2:$A$20001,"&lt;="&amp;Kalkulasi!$B$21,DATA_TS!$B$2:$B$20001,Kalkulasi!$B$22)*(OR(Availability!$O$6="Semua",C93=Availability!$O$6)*OR(Availability!$R$6="Semua",A93=Availability!$R$6))</f>
        <v/>
      </c>
      <c r="G93" s="187">
        <f>D93+E93+F93</f>
        <v/>
      </c>
      <c r="H93" s="189">
        <f>IF(G93=0,0,(D93+F93)/G93)</f>
        <v/>
      </c>
      <c r="I93" s="156">
        <f>E93+ROW()/1000000</f>
        <v/>
      </c>
      <c r="J93" s="156" t="n"/>
      <c r="K93" s="156" t="n"/>
      <c r="L93" s="156" t="inlineStr">
        <is>
          <t>DH-103</t>
        </is>
      </c>
      <c r="M93" s="155">
        <f>IF(M92="","",IF(M92+1&gt;MAX(DATA_TS!$A$2:$A$20001),"",M92+1))</f>
        <v/>
      </c>
      <c r="N93" s="156" t="n"/>
    </row>
    <row r="94">
      <c r="A94" s="156" t="inlineStr">
        <is>
          <t>DZ-032</t>
        </is>
      </c>
      <c r="B94" s="156" t="inlineStr">
        <is>
          <t>CAT</t>
        </is>
      </c>
      <c r="C94" s="156" t="inlineStr">
        <is>
          <t>Bulldozer</t>
        </is>
      </c>
      <c r="D94" s="187">
        <f>SUMIFS(DATA_TS!$G$2:$G$20001,DATA_TS!$C$2:$C$20001,$A94,DATA_TS!$A$2:$A$20001,"&gt;="&amp;Kalkulasi!$B$20,DATA_TS!$A$2:$A$20001,"&lt;="&amp;Kalkulasi!$B$21,DATA_TS!$B$2:$B$20001,Kalkulasi!$B$22)*(OR(Availability!$O$6="Semua",C94=Availability!$O$6)*OR(Availability!$R$6="Semua",A94=Availability!$R$6))</f>
        <v/>
      </c>
      <c r="E94" s="187">
        <f>SUMIFS(DATA_TS!$J$2:$J$20001,DATA_TS!$C$2:$C$20001,$A94,DATA_TS!$A$2:$A$20001,"&gt;="&amp;Kalkulasi!$B$20,DATA_TS!$A$2:$A$20001,"&lt;="&amp;Kalkulasi!$B$21,DATA_TS!$B$2:$B$20001,Kalkulasi!$B$22)*(OR(Availability!$O$6="Semua",C94=Availability!$O$6)*OR(Availability!$R$6="Semua",A94=Availability!$R$6))</f>
        <v/>
      </c>
      <c r="F94" s="187">
        <f>SUMIFS(DATA_TS!$K$2:$K$20001,DATA_TS!$C$2:$C$20001,$A94,DATA_TS!$A$2:$A$20001,"&gt;="&amp;Kalkulasi!$B$20,DATA_TS!$A$2:$A$20001,"&lt;="&amp;Kalkulasi!$B$21,DATA_TS!$B$2:$B$20001,Kalkulasi!$B$22)*(OR(Availability!$O$6="Semua",C94=Availability!$O$6)*OR(Availability!$R$6="Semua",A94=Availability!$R$6))</f>
        <v/>
      </c>
      <c r="G94" s="187">
        <f>D94+E94+F94</f>
        <v/>
      </c>
      <c r="H94" s="189">
        <f>IF(G94=0,0,(D94+F94)/G94)</f>
        <v/>
      </c>
      <c r="I94" s="156">
        <f>E94+ROW()/1000000</f>
        <v/>
      </c>
      <c r="J94" s="156" t="n"/>
      <c r="K94" s="156" t="n"/>
      <c r="L94" s="156" t="inlineStr">
        <is>
          <t>DZ-031</t>
        </is>
      </c>
      <c r="M94" s="155">
        <f>IF(M93="","",IF(M93+1&gt;MAX(DATA_TS!$A$2:$A$20001),"",M93+1))</f>
        <v/>
      </c>
      <c r="N94" s="156" t="n"/>
    </row>
    <row r="95">
      <c r="A95" s="156" t="inlineStr">
        <is>
          <t>DZ-033</t>
        </is>
      </c>
      <c r="B95" s="156" t="inlineStr">
        <is>
          <t>D 375A-6R</t>
        </is>
      </c>
      <c r="C95" s="156" t="inlineStr">
        <is>
          <t>Bulldozer</t>
        </is>
      </c>
      <c r="D95" s="187">
        <f>SUMIFS(DATA_TS!$G$2:$G$20001,DATA_TS!$C$2:$C$20001,$A95,DATA_TS!$A$2:$A$20001,"&gt;="&amp;Kalkulasi!$B$20,DATA_TS!$A$2:$A$20001,"&lt;="&amp;Kalkulasi!$B$21,DATA_TS!$B$2:$B$20001,Kalkulasi!$B$22)*(OR(Availability!$O$6="Semua",C95=Availability!$O$6)*OR(Availability!$R$6="Semua",A95=Availability!$R$6))</f>
        <v/>
      </c>
      <c r="E95" s="187">
        <f>SUMIFS(DATA_TS!$J$2:$J$20001,DATA_TS!$C$2:$C$20001,$A95,DATA_TS!$A$2:$A$20001,"&gt;="&amp;Kalkulasi!$B$20,DATA_TS!$A$2:$A$20001,"&lt;="&amp;Kalkulasi!$B$21,DATA_TS!$B$2:$B$20001,Kalkulasi!$B$22)*(OR(Availability!$O$6="Semua",C95=Availability!$O$6)*OR(Availability!$R$6="Semua",A95=Availability!$R$6))</f>
        <v/>
      </c>
      <c r="F95" s="187">
        <f>SUMIFS(DATA_TS!$K$2:$K$20001,DATA_TS!$C$2:$C$20001,$A95,DATA_TS!$A$2:$A$20001,"&gt;="&amp;Kalkulasi!$B$20,DATA_TS!$A$2:$A$20001,"&lt;="&amp;Kalkulasi!$B$21,DATA_TS!$B$2:$B$20001,Kalkulasi!$B$22)*(OR(Availability!$O$6="Semua",C95=Availability!$O$6)*OR(Availability!$R$6="Semua",A95=Availability!$R$6))</f>
        <v/>
      </c>
      <c r="G95" s="187">
        <f>D95+E95+F95</f>
        <v/>
      </c>
      <c r="H95" s="189">
        <f>IF(G95=0,0,(D95+F95)/G95)</f>
        <v/>
      </c>
      <c r="I95" s="156">
        <f>E95+ROW()/1000000</f>
        <v/>
      </c>
      <c r="J95" s="156" t="n"/>
      <c r="K95" s="156" t="n"/>
      <c r="L95" s="156" t="inlineStr">
        <is>
          <t>DZ-032</t>
        </is>
      </c>
      <c r="M95" s="156" t="n"/>
      <c r="N95" s="156" t="n"/>
    </row>
    <row r="96">
      <c r="A96" s="156" t="inlineStr">
        <is>
          <t>DZ-034</t>
        </is>
      </c>
      <c r="B96" s="156" t="inlineStr">
        <is>
          <t>D 68ESS-12EO</t>
        </is>
      </c>
      <c r="C96" s="156" t="inlineStr">
        <is>
          <t>Bulldozer</t>
        </is>
      </c>
      <c r="D96" s="187">
        <f>SUMIFS(DATA_TS!$G$2:$G$20001,DATA_TS!$C$2:$C$20001,$A96,DATA_TS!$A$2:$A$20001,"&gt;="&amp;Kalkulasi!$B$20,DATA_TS!$A$2:$A$20001,"&lt;="&amp;Kalkulasi!$B$21,DATA_TS!$B$2:$B$20001,Kalkulasi!$B$22)*(OR(Availability!$O$6="Semua",C96=Availability!$O$6)*OR(Availability!$R$6="Semua",A96=Availability!$R$6))</f>
        <v/>
      </c>
      <c r="E96" s="187">
        <f>SUMIFS(DATA_TS!$J$2:$J$20001,DATA_TS!$C$2:$C$20001,$A96,DATA_TS!$A$2:$A$20001,"&gt;="&amp;Kalkulasi!$B$20,DATA_TS!$A$2:$A$20001,"&lt;="&amp;Kalkulasi!$B$21,DATA_TS!$B$2:$B$20001,Kalkulasi!$B$22)*(OR(Availability!$O$6="Semua",C96=Availability!$O$6)*OR(Availability!$R$6="Semua",A96=Availability!$R$6))</f>
        <v/>
      </c>
      <c r="F96" s="187">
        <f>SUMIFS(DATA_TS!$K$2:$K$20001,DATA_TS!$C$2:$C$20001,$A96,DATA_TS!$A$2:$A$20001,"&gt;="&amp;Kalkulasi!$B$20,DATA_TS!$A$2:$A$20001,"&lt;="&amp;Kalkulasi!$B$21,DATA_TS!$B$2:$B$20001,Kalkulasi!$B$22)*(OR(Availability!$O$6="Semua",C96=Availability!$O$6)*OR(Availability!$R$6="Semua",A96=Availability!$R$6))</f>
        <v/>
      </c>
      <c r="G96" s="187">
        <f>D96+E96+F96</f>
        <v/>
      </c>
      <c r="H96" s="189">
        <f>IF(G96=0,0,(D96+F96)/G96)</f>
        <v/>
      </c>
      <c r="I96" s="156">
        <f>E96+ROW()/1000000</f>
        <v/>
      </c>
      <c r="J96" s="156" t="n"/>
      <c r="K96" s="156" t="n"/>
      <c r="L96" s="156" t="inlineStr">
        <is>
          <t>DZ-033</t>
        </is>
      </c>
      <c r="M96" s="156" t="n"/>
      <c r="N96" s="156" t="n"/>
    </row>
    <row r="97">
      <c r="A97" s="156" t="inlineStr">
        <is>
          <t>DZ-035</t>
        </is>
      </c>
      <c r="B97" s="156" t="inlineStr">
        <is>
          <t>D 85 ESS-2</t>
        </is>
      </c>
      <c r="C97" s="156" t="inlineStr">
        <is>
          <t>Bulldozer</t>
        </is>
      </c>
      <c r="D97" s="187">
        <f>SUMIFS(DATA_TS!$G$2:$G$20001,DATA_TS!$C$2:$C$20001,$A97,DATA_TS!$A$2:$A$20001,"&gt;="&amp;Kalkulasi!$B$20,DATA_TS!$A$2:$A$20001,"&lt;="&amp;Kalkulasi!$B$21,DATA_TS!$B$2:$B$20001,Kalkulasi!$B$22)*(OR(Availability!$O$6="Semua",C97=Availability!$O$6)*OR(Availability!$R$6="Semua",A97=Availability!$R$6))</f>
        <v/>
      </c>
      <c r="E97" s="187">
        <f>SUMIFS(DATA_TS!$J$2:$J$20001,DATA_TS!$C$2:$C$20001,$A97,DATA_TS!$A$2:$A$20001,"&gt;="&amp;Kalkulasi!$B$20,DATA_TS!$A$2:$A$20001,"&lt;="&amp;Kalkulasi!$B$21,DATA_TS!$B$2:$B$20001,Kalkulasi!$B$22)*(OR(Availability!$O$6="Semua",C97=Availability!$O$6)*OR(Availability!$R$6="Semua",A97=Availability!$R$6))</f>
        <v/>
      </c>
      <c r="F97" s="187">
        <f>SUMIFS(DATA_TS!$K$2:$K$20001,DATA_TS!$C$2:$C$20001,$A97,DATA_TS!$A$2:$A$20001,"&gt;="&amp;Kalkulasi!$B$20,DATA_TS!$A$2:$A$20001,"&lt;="&amp;Kalkulasi!$B$21,DATA_TS!$B$2:$B$20001,Kalkulasi!$B$22)*(OR(Availability!$O$6="Semua",C97=Availability!$O$6)*OR(Availability!$R$6="Semua",A97=Availability!$R$6))</f>
        <v/>
      </c>
      <c r="G97" s="187">
        <f>D97+E97+F97</f>
        <v/>
      </c>
      <c r="H97" s="189">
        <f>IF(G97=0,0,(D97+F97)/G97)</f>
        <v/>
      </c>
      <c r="I97" s="156">
        <f>E97+ROW()/1000000</f>
        <v/>
      </c>
      <c r="J97" s="156" t="n"/>
      <c r="K97" s="156" t="n"/>
      <c r="L97" s="156" t="inlineStr">
        <is>
          <t>DZ-034</t>
        </is>
      </c>
      <c r="M97" s="156" t="n"/>
      <c r="N97" s="156" t="n"/>
    </row>
    <row r="98">
      <c r="A98" s="156" t="inlineStr">
        <is>
          <t>DZ-036</t>
        </is>
      </c>
      <c r="B98" s="156" t="inlineStr">
        <is>
          <t>D 85 ESS-2</t>
        </is>
      </c>
      <c r="C98" s="156" t="inlineStr">
        <is>
          <t>Bulldozer</t>
        </is>
      </c>
      <c r="D98" s="187">
        <f>SUMIFS(DATA_TS!$G$2:$G$20001,DATA_TS!$C$2:$C$20001,$A98,DATA_TS!$A$2:$A$20001,"&gt;="&amp;Kalkulasi!$B$20,DATA_TS!$A$2:$A$20001,"&lt;="&amp;Kalkulasi!$B$21,DATA_TS!$B$2:$B$20001,Kalkulasi!$B$22)*(OR(Availability!$O$6="Semua",C98=Availability!$O$6)*OR(Availability!$R$6="Semua",A98=Availability!$R$6))</f>
        <v/>
      </c>
      <c r="E98" s="187">
        <f>SUMIFS(DATA_TS!$J$2:$J$20001,DATA_TS!$C$2:$C$20001,$A98,DATA_TS!$A$2:$A$20001,"&gt;="&amp;Kalkulasi!$B$20,DATA_TS!$A$2:$A$20001,"&lt;="&amp;Kalkulasi!$B$21,DATA_TS!$B$2:$B$20001,Kalkulasi!$B$22)*(OR(Availability!$O$6="Semua",C98=Availability!$O$6)*OR(Availability!$R$6="Semua",A98=Availability!$R$6))</f>
        <v/>
      </c>
      <c r="F98" s="187">
        <f>SUMIFS(DATA_TS!$K$2:$K$20001,DATA_TS!$C$2:$C$20001,$A98,DATA_TS!$A$2:$A$20001,"&gt;="&amp;Kalkulasi!$B$20,DATA_TS!$A$2:$A$20001,"&lt;="&amp;Kalkulasi!$B$21,DATA_TS!$B$2:$B$20001,Kalkulasi!$B$22)*(OR(Availability!$O$6="Semua",C98=Availability!$O$6)*OR(Availability!$R$6="Semua",A98=Availability!$R$6))</f>
        <v/>
      </c>
      <c r="G98" s="187">
        <f>D98+E98+F98</f>
        <v/>
      </c>
      <c r="H98" s="189">
        <f>IF(G98=0,0,(D98+F98)/G98)</f>
        <v/>
      </c>
      <c r="I98" s="156">
        <f>E98+ROW()/1000000</f>
        <v/>
      </c>
      <c r="J98" s="156" t="n"/>
      <c r="K98" s="156" t="n"/>
      <c r="L98" s="156" t="inlineStr">
        <is>
          <t>DZ-035</t>
        </is>
      </c>
      <c r="M98" s="156" t="n"/>
      <c r="N98" s="156" t="n"/>
    </row>
    <row r="99">
      <c r="A99" s="156" t="inlineStr">
        <is>
          <t>DZ-037</t>
        </is>
      </c>
      <c r="B99" s="156" t="inlineStr">
        <is>
          <t>D 85 ESS-2</t>
        </is>
      </c>
      <c r="C99" s="156" t="inlineStr">
        <is>
          <t>Bulldozer</t>
        </is>
      </c>
      <c r="D99" s="187">
        <f>SUMIFS(DATA_TS!$G$2:$G$20001,DATA_TS!$C$2:$C$20001,$A99,DATA_TS!$A$2:$A$20001,"&gt;="&amp;Kalkulasi!$B$20,DATA_TS!$A$2:$A$20001,"&lt;="&amp;Kalkulasi!$B$21,DATA_TS!$B$2:$B$20001,Kalkulasi!$B$22)*(OR(Availability!$O$6="Semua",C99=Availability!$O$6)*OR(Availability!$R$6="Semua",A99=Availability!$R$6))</f>
        <v/>
      </c>
      <c r="E99" s="187">
        <f>SUMIFS(DATA_TS!$J$2:$J$20001,DATA_TS!$C$2:$C$20001,$A99,DATA_TS!$A$2:$A$20001,"&gt;="&amp;Kalkulasi!$B$20,DATA_TS!$A$2:$A$20001,"&lt;="&amp;Kalkulasi!$B$21,DATA_TS!$B$2:$B$20001,Kalkulasi!$B$22)*(OR(Availability!$O$6="Semua",C99=Availability!$O$6)*OR(Availability!$R$6="Semua",A99=Availability!$R$6))</f>
        <v/>
      </c>
      <c r="F99" s="187">
        <f>SUMIFS(DATA_TS!$K$2:$K$20001,DATA_TS!$C$2:$C$20001,$A99,DATA_TS!$A$2:$A$20001,"&gt;="&amp;Kalkulasi!$B$20,DATA_TS!$A$2:$A$20001,"&lt;="&amp;Kalkulasi!$B$21,DATA_TS!$B$2:$B$20001,Kalkulasi!$B$22)*(OR(Availability!$O$6="Semua",C99=Availability!$O$6)*OR(Availability!$R$6="Semua",A99=Availability!$R$6))</f>
        <v/>
      </c>
      <c r="G99" s="187">
        <f>D99+E99+F99</f>
        <v/>
      </c>
      <c r="H99" s="189">
        <f>IF(G99=0,0,(D99+F99)/G99)</f>
        <v/>
      </c>
      <c r="I99" s="156">
        <f>E99+ROW()/1000000</f>
        <v/>
      </c>
      <c r="J99" s="156" t="n"/>
      <c r="K99" s="156" t="n"/>
      <c r="L99" s="156" t="inlineStr">
        <is>
          <t>DZ-036</t>
        </is>
      </c>
      <c r="M99" s="156" t="n"/>
      <c r="N99" s="156" t="n"/>
    </row>
    <row r="100">
      <c r="A100" s="156" t="inlineStr">
        <is>
          <t>DZ-038</t>
        </is>
      </c>
      <c r="B100" s="156" t="inlineStr">
        <is>
          <t>D 85 ESS-2</t>
        </is>
      </c>
      <c r="C100" s="156" t="inlineStr">
        <is>
          <t>Bulldozer</t>
        </is>
      </c>
      <c r="D100" s="187">
        <f>SUMIFS(DATA_TS!$G$2:$G$20001,DATA_TS!$C$2:$C$20001,$A100,DATA_TS!$A$2:$A$20001,"&gt;="&amp;Kalkulasi!$B$20,DATA_TS!$A$2:$A$20001,"&lt;="&amp;Kalkulasi!$B$21,DATA_TS!$B$2:$B$20001,Kalkulasi!$B$22)*(OR(Availability!$O$6="Semua",C100=Availability!$O$6)*OR(Availability!$R$6="Semua",A100=Availability!$R$6))</f>
        <v/>
      </c>
      <c r="E100" s="187">
        <f>SUMIFS(DATA_TS!$J$2:$J$20001,DATA_TS!$C$2:$C$20001,$A100,DATA_TS!$A$2:$A$20001,"&gt;="&amp;Kalkulasi!$B$20,DATA_TS!$A$2:$A$20001,"&lt;="&amp;Kalkulasi!$B$21,DATA_TS!$B$2:$B$20001,Kalkulasi!$B$22)*(OR(Availability!$O$6="Semua",C100=Availability!$O$6)*OR(Availability!$R$6="Semua",A100=Availability!$R$6))</f>
        <v/>
      </c>
      <c r="F100" s="187">
        <f>SUMIFS(DATA_TS!$K$2:$K$20001,DATA_TS!$C$2:$C$20001,$A100,DATA_TS!$A$2:$A$20001,"&gt;="&amp;Kalkulasi!$B$20,DATA_TS!$A$2:$A$20001,"&lt;="&amp;Kalkulasi!$B$21,DATA_TS!$B$2:$B$20001,Kalkulasi!$B$22)*(OR(Availability!$O$6="Semua",C100=Availability!$O$6)*OR(Availability!$R$6="Semua",A100=Availability!$R$6))</f>
        <v/>
      </c>
      <c r="G100" s="187">
        <f>D100+E100+F100</f>
        <v/>
      </c>
      <c r="H100" s="189">
        <f>IF(G100=0,0,(D100+F100)/G100)</f>
        <v/>
      </c>
      <c r="I100" s="156">
        <f>E100+ROW()/1000000</f>
        <v/>
      </c>
      <c r="J100" s="156" t="n"/>
      <c r="K100" s="156" t="n"/>
      <c r="L100" s="156" t="inlineStr">
        <is>
          <t>DZ-037</t>
        </is>
      </c>
      <c r="M100" s="156" t="n"/>
      <c r="N100" s="156" t="n"/>
    </row>
    <row r="101">
      <c r="A101" s="156" t="inlineStr">
        <is>
          <t>DZ-039</t>
        </is>
      </c>
      <c r="B101" s="156" t="inlineStr">
        <is>
          <t>D 85 ESS-2</t>
        </is>
      </c>
      <c r="C101" s="156" t="inlineStr">
        <is>
          <t>Bulldozer</t>
        </is>
      </c>
      <c r="D101" s="187">
        <f>SUMIFS(DATA_TS!$G$2:$G$20001,DATA_TS!$C$2:$C$20001,$A101,DATA_TS!$A$2:$A$20001,"&gt;="&amp;Kalkulasi!$B$20,DATA_TS!$A$2:$A$20001,"&lt;="&amp;Kalkulasi!$B$21,DATA_TS!$B$2:$B$20001,Kalkulasi!$B$22)*(OR(Availability!$O$6="Semua",C101=Availability!$O$6)*OR(Availability!$R$6="Semua",A101=Availability!$R$6))</f>
        <v/>
      </c>
      <c r="E101" s="187">
        <f>SUMIFS(DATA_TS!$J$2:$J$20001,DATA_TS!$C$2:$C$20001,$A101,DATA_TS!$A$2:$A$20001,"&gt;="&amp;Kalkulasi!$B$20,DATA_TS!$A$2:$A$20001,"&lt;="&amp;Kalkulasi!$B$21,DATA_TS!$B$2:$B$20001,Kalkulasi!$B$22)*(OR(Availability!$O$6="Semua",C101=Availability!$O$6)*OR(Availability!$R$6="Semua",A101=Availability!$R$6))</f>
        <v/>
      </c>
      <c r="F101" s="187">
        <f>SUMIFS(DATA_TS!$K$2:$K$20001,DATA_TS!$C$2:$C$20001,$A101,DATA_TS!$A$2:$A$20001,"&gt;="&amp;Kalkulasi!$B$20,DATA_TS!$A$2:$A$20001,"&lt;="&amp;Kalkulasi!$B$21,DATA_TS!$B$2:$B$20001,Kalkulasi!$B$22)*(OR(Availability!$O$6="Semua",C101=Availability!$O$6)*OR(Availability!$R$6="Semua",A101=Availability!$R$6))</f>
        <v/>
      </c>
      <c r="G101" s="187">
        <f>D101+E101+F101</f>
        <v/>
      </c>
      <c r="H101" s="189">
        <f>IF(G101=0,0,(D101+F101)/G101)</f>
        <v/>
      </c>
      <c r="I101" s="156">
        <f>E101+ROW()/1000000</f>
        <v/>
      </c>
      <c r="J101" s="156" t="n"/>
      <c r="K101" s="156" t="n"/>
      <c r="L101" s="156" t="inlineStr">
        <is>
          <t>DZ-038</t>
        </is>
      </c>
      <c r="M101" s="156" t="n"/>
      <c r="N101" s="156" t="n"/>
    </row>
    <row r="102">
      <c r="A102" s="156" t="inlineStr">
        <is>
          <t>GD-011</t>
        </is>
      </c>
      <c r="B102" s="156" t="inlineStr">
        <is>
          <t>STG 230C - 8S</t>
        </is>
      </c>
      <c r="C102" s="156" t="inlineStr">
        <is>
          <t>Grader</t>
        </is>
      </c>
      <c r="D102" s="187">
        <f>SUMIFS(DATA_TS!$G$2:$G$20001,DATA_TS!$C$2:$C$20001,$A102,DATA_TS!$A$2:$A$20001,"&gt;="&amp;Kalkulasi!$B$20,DATA_TS!$A$2:$A$20001,"&lt;="&amp;Kalkulasi!$B$21,DATA_TS!$B$2:$B$20001,Kalkulasi!$B$22)*(OR(Availability!$O$6="Semua",C102=Availability!$O$6)*OR(Availability!$R$6="Semua",A102=Availability!$R$6))</f>
        <v/>
      </c>
      <c r="E102" s="187">
        <f>SUMIFS(DATA_TS!$J$2:$J$20001,DATA_TS!$C$2:$C$20001,$A102,DATA_TS!$A$2:$A$20001,"&gt;="&amp;Kalkulasi!$B$20,DATA_TS!$A$2:$A$20001,"&lt;="&amp;Kalkulasi!$B$21,DATA_TS!$B$2:$B$20001,Kalkulasi!$B$22)*(OR(Availability!$O$6="Semua",C102=Availability!$O$6)*OR(Availability!$R$6="Semua",A102=Availability!$R$6))</f>
        <v/>
      </c>
      <c r="F102" s="187">
        <f>SUMIFS(DATA_TS!$K$2:$K$20001,DATA_TS!$C$2:$C$20001,$A102,DATA_TS!$A$2:$A$20001,"&gt;="&amp;Kalkulasi!$B$20,DATA_TS!$A$2:$A$20001,"&lt;="&amp;Kalkulasi!$B$21,DATA_TS!$B$2:$B$20001,Kalkulasi!$B$22)*(OR(Availability!$O$6="Semua",C102=Availability!$O$6)*OR(Availability!$R$6="Semua",A102=Availability!$R$6))</f>
        <v/>
      </c>
      <c r="G102" s="187">
        <f>D102+E102+F102</f>
        <v/>
      </c>
      <c r="H102" s="189">
        <f>IF(G102=0,0,(D102+F102)/G102)</f>
        <v/>
      </c>
      <c r="I102" s="156">
        <f>E102+ROW()/1000000</f>
        <v/>
      </c>
      <c r="J102" s="156" t="n"/>
      <c r="K102" s="156" t="n"/>
      <c r="L102" s="156" t="inlineStr">
        <is>
          <t>DZ-039</t>
        </is>
      </c>
      <c r="M102" s="156" t="n"/>
      <c r="N102" s="156" t="n"/>
    </row>
    <row r="103">
      <c r="A103" s="156" t="inlineStr">
        <is>
          <t>GD-012</t>
        </is>
      </c>
      <c r="B103" s="156" t="inlineStr">
        <is>
          <t>STG 230C - 8S</t>
        </is>
      </c>
      <c r="C103" s="156" t="inlineStr">
        <is>
          <t>Grader</t>
        </is>
      </c>
      <c r="D103" s="187">
        <f>SUMIFS(DATA_TS!$G$2:$G$20001,DATA_TS!$C$2:$C$20001,$A103,DATA_TS!$A$2:$A$20001,"&gt;="&amp;Kalkulasi!$B$20,DATA_TS!$A$2:$A$20001,"&lt;="&amp;Kalkulasi!$B$21,DATA_TS!$B$2:$B$20001,Kalkulasi!$B$22)*(OR(Availability!$O$6="Semua",C103=Availability!$O$6)*OR(Availability!$R$6="Semua",A103=Availability!$R$6))</f>
        <v/>
      </c>
      <c r="E103" s="187">
        <f>SUMIFS(DATA_TS!$J$2:$J$20001,DATA_TS!$C$2:$C$20001,$A103,DATA_TS!$A$2:$A$20001,"&gt;="&amp;Kalkulasi!$B$20,DATA_TS!$A$2:$A$20001,"&lt;="&amp;Kalkulasi!$B$21,DATA_TS!$B$2:$B$20001,Kalkulasi!$B$22)*(OR(Availability!$O$6="Semua",C103=Availability!$O$6)*OR(Availability!$R$6="Semua",A103=Availability!$R$6))</f>
        <v/>
      </c>
      <c r="F103" s="187">
        <f>SUMIFS(DATA_TS!$K$2:$K$20001,DATA_TS!$C$2:$C$20001,$A103,DATA_TS!$A$2:$A$20001,"&gt;="&amp;Kalkulasi!$B$20,DATA_TS!$A$2:$A$20001,"&lt;="&amp;Kalkulasi!$B$21,DATA_TS!$B$2:$B$20001,Kalkulasi!$B$22)*(OR(Availability!$O$6="Semua",C103=Availability!$O$6)*OR(Availability!$R$6="Semua",A103=Availability!$R$6))</f>
        <v/>
      </c>
      <c r="G103" s="187">
        <f>D103+E103+F103</f>
        <v/>
      </c>
      <c r="H103" s="189">
        <f>IF(G103=0,0,(D103+F103)/G103)</f>
        <v/>
      </c>
      <c r="I103" s="156">
        <f>E103+ROW()/1000000</f>
        <v/>
      </c>
      <c r="J103" s="156" t="n"/>
      <c r="K103" s="156" t="n"/>
      <c r="L103" s="156" t="inlineStr">
        <is>
          <t>GD-011</t>
        </is>
      </c>
      <c r="M103" s="156" t="n"/>
      <c r="N103" s="156" t="n"/>
    </row>
    <row r="104">
      <c r="A104" s="156" t="inlineStr">
        <is>
          <t>GD-013</t>
        </is>
      </c>
      <c r="B104" s="156" t="inlineStr">
        <is>
          <t>STG 265C - 10</t>
        </is>
      </c>
      <c r="C104" s="156" t="inlineStr">
        <is>
          <t>Grader</t>
        </is>
      </c>
      <c r="D104" s="187">
        <f>SUMIFS(DATA_TS!$G$2:$G$20001,DATA_TS!$C$2:$C$20001,$A104,DATA_TS!$A$2:$A$20001,"&gt;="&amp;Kalkulasi!$B$20,DATA_TS!$A$2:$A$20001,"&lt;="&amp;Kalkulasi!$B$21,DATA_TS!$B$2:$B$20001,Kalkulasi!$B$22)*(OR(Availability!$O$6="Semua",C104=Availability!$O$6)*OR(Availability!$R$6="Semua",A104=Availability!$R$6))</f>
        <v/>
      </c>
      <c r="E104" s="187">
        <f>SUMIFS(DATA_TS!$J$2:$J$20001,DATA_TS!$C$2:$C$20001,$A104,DATA_TS!$A$2:$A$20001,"&gt;="&amp;Kalkulasi!$B$20,DATA_TS!$A$2:$A$20001,"&lt;="&amp;Kalkulasi!$B$21,DATA_TS!$B$2:$B$20001,Kalkulasi!$B$22)*(OR(Availability!$O$6="Semua",C104=Availability!$O$6)*OR(Availability!$R$6="Semua",A104=Availability!$R$6))</f>
        <v/>
      </c>
      <c r="F104" s="187">
        <f>SUMIFS(DATA_TS!$K$2:$K$20001,DATA_TS!$C$2:$C$20001,$A104,DATA_TS!$A$2:$A$20001,"&gt;="&amp;Kalkulasi!$B$20,DATA_TS!$A$2:$A$20001,"&lt;="&amp;Kalkulasi!$B$21,DATA_TS!$B$2:$B$20001,Kalkulasi!$B$22)*(OR(Availability!$O$6="Semua",C104=Availability!$O$6)*OR(Availability!$R$6="Semua",A104=Availability!$R$6))</f>
        <v/>
      </c>
      <c r="G104" s="187">
        <f>D104+E104+F104</f>
        <v/>
      </c>
      <c r="H104" s="189">
        <f>IF(G104=0,0,(D104+F104)/G104)</f>
        <v/>
      </c>
      <c r="I104" s="156">
        <f>E104+ROW()/1000000</f>
        <v/>
      </c>
      <c r="J104" s="156" t="n"/>
      <c r="K104" s="156" t="n"/>
      <c r="L104" s="156" t="inlineStr">
        <is>
          <t>GD-012</t>
        </is>
      </c>
      <c r="M104" s="156" t="n"/>
      <c r="N104" s="156" t="n"/>
    </row>
    <row r="105">
      <c r="A105" s="156" t="inlineStr">
        <is>
          <t>GD-014</t>
        </is>
      </c>
      <c r="B105" s="156" t="inlineStr">
        <is>
          <t>STG 335C - 10</t>
        </is>
      </c>
      <c r="C105" s="156" t="inlineStr">
        <is>
          <t>Grader</t>
        </is>
      </c>
      <c r="D105" s="187">
        <f>SUMIFS(DATA_TS!$G$2:$G$20001,DATA_TS!$C$2:$C$20001,$A105,DATA_TS!$A$2:$A$20001,"&gt;="&amp;Kalkulasi!$B$20,DATA_TS!$A$2:$A$20001,"&lt;="&amp;Kalkulasi!$B$21,DATA_TS!$B$2:$B$20001,Kalkulasi!$B$22)*(OR(Availability!$O$6="Semua",C105=Availability!$O$6)*OR(Availability!$R$6="Semua",A105=Availability!$R$6))</f>
        <v/>
      </c>
      <c r="E105" s="187">
        <f>SUMIFS(DATA_TS!$J$2:$J$20001,DATA_TS!$C$2:$C$20001,$A105,DATA_TS!$A$2:$A$20001,"&gt;="&amp;Kalkulasi!$B$20,DATA_TS!$A$2:$A$20001,"&lt;="&amp;Kalkulasi!$B$21,DATA_TS!$B$2:$B$20001,Kalkulasi!$B$22)*(OR(Availability!$O$6="Semua",C105=Availability!$O$6)*OR(Availability!$R$6="Semua",A105=Availability!$R$6))</f>
        <v/>
      </c>
      <c r="F105" s="187">
        <f>SUMIFS(DATA_TS!$K$2:$K$20001,DATA_TS!$C$2:$C$20001,$A105,DATA_TS!$A$2:$A$20001,"&gt;="&amp;Kalkulasi!$B$20,DATA_TS!$A$2:$A$20001,"&lt;="&amp;Kalkulasi!$B$21,DATA_TS!$B$2:$B$20001,Kalkulasi!$B$22)*(OR(Availability!$O$6="Semua",C105=Availability!$O$6)*OR(Availability!$R$6="Semua",A105=Availability!$R$6))</f>
        <v/>
      </c>
      <c r="G105" s="187">
        <f>D105+E105+F105</f>
        <v/>
      </c>
      <c r="H105" s="189">
        <f>IF(G105=0,0,(D105+F105)/G105)</f>
        <v/>
      </c>
      <c r="I105" s="156">
        <f>E105+ROW()/1000000</f>
        <v/>
      </c>
      <c r="J105" s="156" t="n"/>
      <c r="K105" s="156" t="n"/>
      <c r="L105" s="156" t="inlineStr">
        <is>
          <t>GD-013</t>
        </is>
      </c>
      <c r="M105" s="156" t="n"/>
      <c r="N105" s="156" t="n"/>
    </row>
    <row r="106">
      <c r="A106" s="156" t="inlineStr">
        <is>
          <t>WL-021</t>
        </is>
      </c>
      <c r="B106" s="156" t="inlineStr">
        <is>
          <t>SANY - Loader</t>
        </is>
      </c>
      <c r="C106" s="156" t="inlineStr">
        <is>
          <t>Loader</t>
        </is>
      </c>
      <c r="D106" s="187">
        <f>SUMIFS(DATA_TS!$G$2:$G$20001,DATA_TS!$C$2:$C$20001,$A106,DATA_TS!$A$2:$A$20001,"&gt;="&amp;Kalkulasi!$B$20,DATA_TS!$A$2:$A$20001,"&lt;="&amp;Kalkulasi!$B$21,DATA_TS!$B$2:$B$20001,Kalkulasi!$B$22)*(OR(Availability!$O$6="Semua",C106=Availability!$O$6)*OR(Availability!$R$6="Semua",A106=Availability!$R$6))</f>
        <v/>
      </c>
      <c r="E106" s="187">
        <f>SUMIFS(DATA_TS!$J$2:$J$20001,DATA_TS!$C$2:$C$20001,$A106,DATA_TS!$A$2:$A$20001,"&gt;="&amp;Kalkulasi!$B$20,DATA_TS!$A$2:$A$20001,"&lt;="&amp;Kalkulasi!$B$21,DATA_TS!$B$2:$B$20001,Kalkulasi!$B$22)*(OR(Availability!$O$6="Semua",C106=Availability!$O$6)*OR(Availability!$R$6="Semua",A106=Availability!$R$6))</f>
        <v/>
      </c>
      <c r="F106" s="187">
        <f>SUMIFS(DATA_TS!$K$2:$K$20001,DATA_TS!$C$2:$C$20001,$A106,DATA_TS!$A$2:$A$20001,"&gt;="&amp;Kalkulasi!$B$20,DATA_TS!$A$2:$A$20001,"&lt;="&amp;Kalkulasi!$B$21,DATA_TS!$B$2:$B$20001,Kalkulasi!$B$22)*(OR(Availability!$O$6="Semua",C106=Availability!$O$6)*OR(Availability!$R$6="Semua",A106=Availability!$R$6))</f>
        <v/>
      </c>
      <c r="G106" s="187">
        <f>D106+E106+F106</f>
        <v/>
      </c>
      <c r="H106" s="189">
        <f>IF(G106=0,0,(D106+F106)/G106)</f>
        <v/>
      </c>
      <c r="I106" s="156">
        <f>E106+ROW()/1000000</f>
        <v/>
      </c>
      <c r="J106" s="156" t="n"/>
      <c r="K106" s="156" t="n"/>
      <c r="L106" s="156" t="inlineStr">
        <is>
          <t>GD-014</t>
        </is>
      </c>
      <c r="M106" s="156" t="n"/>
      <c r="N106" s="156" t="n"/>
    </row>
    <row r="107">
      <c r="A107" s="156" t="inlineStr">
        <is>
          <t>WL-022</t>
        </is>
      </c>
      <c r="B107" s="156" t="inlineStr">
        <is>
          <t>SANY - Loader</t>
        </is>
      </c>
      <c r="C107" s="156" t="inlineStr">
        <is>
          <t>Loader</t>
        </is>
      </c>
      <c r="D107" s="187">
        <f>SUMIFS(DATA_TS!$G$2:$G$20001,DATA_TS!$C$2:$C$20001,$A107,DATA_TS!$A$2:$A$20001,"&gt;="&amp;Kalkulasi!$B$20,DATA_TS!$A$2:$A$20001,"&lt;="&amp;Kalkulasi!$B$21,DATA_TS!$B$2:$B$20001,Kalkulasi!$B$22)*(OR(Availability!$O$6="Semua",C107=Availability!$O$6)*OR(Availability!$R$6="Semua",A107=Availability!$R$6))</f>
        <v/>
      </c>
      <c r="E107" s="187">
        <f>SUMIFS(DATA_TS!$J$2:$J$20001,DATA_TS!$C$2:$C$20001,$A107,DATA_TS!$A$2:$A$20001,"&gt;="&amp;Kalkulasi!$B$20,DATA_TS!$A$2:$A$20001,"&lt;="&amp;Kalkulasi!$B$21,DATA_TS!$B$2:$B$20001,Kalkulasi!$B$22)*(OR(Availability!$O$6="Semua",C107=Availability!$O$6)*OR(Availability!$R$6="Semua",A107=Availability!$R$6))</f>
        <v/>
      </c>
      <c r="F107" s="187">
        <f>SUMIFS(DATA_TS!$K$2:$K$20001,DATA_TS!$C$2:$C$20001,$A107,DATA_TS!$A$2:$A$20001,"&gt;="&amp;Kalkulasi!$B$20,DATA_TS!$A$2:$A$20001,"&lt;="&amp;Kalkulasi!$B$21,DATA_TS!$B$2:$B$20001,Kalkulasi!$B$22)*(OR(Availability!$O$6="Semua",C107=Availability!$O$6)*OR(Availability!$R$6="Semua",A107=Availability!$R$6))</f>
        <v/>
      </c>
      <c r="G107" s="187">
        <f>D107+E107+F107</f>
        <v/>
      </c>
      <c r="H107" s="189">
        <f>IF(G107=0,0,(D107+F107)/G107)</f>
        <v/>
      </c>
      <c r="I107" s="156">
        <f>E107+ROW()/1000000</f>
        <v/>
      </c>
      <c r="J107" s="156" t="n"/>
      <c r="K107" s="156" t="n"/>
      <c r="L107" s="156" t="inlineStr">
        <is>
          <t>WL-021</t>
        </is>
      </c>
      <c r="M107" s="156" t="n"/>
      <c r="N107" s="156" t="n"/>
    </row>
    <row r="108">
      <c r="A108" s="156" t="inlineStr">
        <is>
          <t>WL-023</t>
        </is>
      </c>
      <c r="B108" s="156" t="inlineStr">
        <is>
          <t>SANY - Loader</t>
        </is>
      </c>
      <c r="C108" s="156" t="inlineStr">
        <is>
          <t>Loader</t>
        </is>
      </c>
      <c r="D108" s="187">
        <f>SUMIFS(DATA_TS!$G$2:$G$20001,DATA_TS!$C$2:$C$20001,$A108,DATA_TS!$A$2:$A$20001,"&gt;="&amp;Kalkulasi!$B$20,DATA_TS!$A$2:$A$20001,"&lt;="&amp;Kalkulasi!$B$21,DATA_TS!$B$2:$B$20001,Kalkulasi!$B$22)*(OR(Availability!$O$6="Semua",C108=Availability!$O$6)*OR(Availability!$R$6="Semua",A108=Availability!$R$6))</f>
        <v/>
      </c>
      <c r="E108" s="187">
        <f>SUMIFS(DATA_TS!$J$2:$J$20001,DATA_TS!$C$2:$C$20001,$A108,DATA_TS!$A$2:$A$20001,"&gt;="&amp;Kalkulasi!$B$20,DATA_TS!$A$2:$A$20001,"&lt;="&amp;Kalkulasi!$B$21,DATA_TS!$B$2:$B$20001,Kalkulasi!$B$22)*(OR(Availability!$O$6="Semua",C108=Availability!$O$6)*OR(Availability!$R$6="Semua",A108=Availability!$R$6))</f>
        <v/>
      </c>
      <c r="F108" s="187">
        <f>SUMIFS(DATA_TS!$K$2:$K$20001,DATA_TS!$C$2:$C$20001,$A108,DATA_TS!$A$2:$A$20001,"&gt;="&amp;Kalkulasi!$B$20,DATA_TS!$A$2:$A$20001,"&lt;="&amp;Kalkulasi!$B$21,DATA_TS!$B$2:$B$20001,Kalkulasi!$B$22)*(OR(Availability!$O$6="Semua",C108=Availability!$O$6)*OR(Availability!$R$6="Semua",A108=Availability!$R$6))</f>
        <v/>
      </c>
      <c r="G108" s="187">
        <f>D108+E108+F108</f>
        <v/>
      </c>
      <c r="H108" s="189">
        <f>IF(G108=0,0,(D108+F108)/G108)</f>
        <v/>
      </c>
      <c r="I108" s="156">
        <f>E108+ROW()/1000000</f>
        <v/>
      </c>
      <c r="J108" s="156" t="n"/>
      <c r="K108" s="156" t="n"/>
      <c r="L108" s="156" t="inlineStr">
        <is>
          <t>WL-022</t>
        </is>
      </c>
      <c r="M108" s="156" t="n"/>
      <c r="N108" s="156" t="n"/>
    </row>
    <row r="109">
      <c r="A109" s="156" t="inlineStr">
        <is>
          <t>WL-024</t>
        </is>
      </c>
      <c r="B109" s="156" t="inlineStr">
        <is>
          <t>SANY - Loader</t>
        </is>
      </c>
      <c r="C109" s="156" t="inlineStr">
        <is>
          <t>Loader</t>
        </is>
      </c>
      <c r="D109" s="187">
        <f>SUMIFS(DATA_TS!$G$2:$G$20001,DATA_TS!$C$2:$C$20001,$A109,DATA_TS!$A$2:$A$20001,"&gt;="&amp;Kalkulasi!$B$20,DATA_TS!$A$2:$A$20001,"&lt;="&amp;Kalkulasi!$B$21,DATA_TS!$B$2:$B$20001,Kalkulasi!$B$22)*(OR(Availability!$O$6="Semua",C109=Availability!$O$6)*OR(Availability!$R$6="Semua",A109=Availability!$R$6))</f>
        <v/>
      </c>
      <c r="E109" s="187">
        <f>SUMIFS(DATA_TS!$J$2:$J$20001,DATA_TS!$C$2:$C$20001,$A109,DATA_TS!$A$2:$A$20001,"&gt;="&amp;Kalkulasi!$B$20,DATA_TS!$A$2:$A$20001,"&lt;="&amp;Kalkulasi!$B$21,DATA_TS!$B$2:$B$20001,Kalkulasi!$B$22)*(OR(Availability!$O$6="Semua",C109=Availability!$O$6)*OR(Availability!$R$6="Semua",A109=Availability!$R$6))</f>
        <v/>
      </c>
      <c r="F109" s="187">
        <f>SUMIFS(DATA_TS!$K$2:$K$20001,DATA_TS!$C$2:$C$20001,$A109,DATA_TS!$A$2:$A$20001,"&gt;="&amp;Kalkulasi!$B$20,DATA_TS!$A$2:$A$20001,"&lt;="&amp;Kalkulasi!$B$21,DATA_TS!$B$2:$B$20001,Kalkulasi!$B$22)*(OR(Availability!$O$6="Semua",C109=Availability!$O$6)*OR(Availability!$R$6="Semua",A109=Availability!$R$6))</f>
        <v/>
      </c>
      <c r="G109" s="187">
        <f>D109+E109+F109</f>
        <v/>
      </c>
      <c r="H109" s="189">
        <f>IF(G109=0,0,(D109+F109)/G109)</f>
        <v/>
      </c>
      <c r="I109" s="156">
        <f>E109+ROW()/1000000</f>
        <v/>
      </c>
      <c r="J109" s="156" t="n"/>
      <c r="K109" s="156" t="n"/>
      <c r="L109" s="156" t="inlineStr">
        <is>
          <t>WL-023</t>
        </is>
      </c>
      <c r="M109" s="156" t="n"/>
      <c r="N109" s="156" t="n"/>
    </row>
    <row r="110">
      <c r="A110" s="156" t="inlineStr">
        <is>
          <t>WL-025</t>
        </is>
      </c>
      <c r="B110" s="156" t="inlineStr">
        <is>
          <t>SANY - Loader</t>
        </is>
      </c>
      <c r="C110" s="156" t="inlineStr">
        <is>
          <t>Loader</t>
        </is>
      </c>
      <c r="D110" s="187">
        <f>SUMIFS(DATA_TS!$G$2:$G$20001,DATA_TS!$C$2:$C$20001,$A110,DATA_TS!$A$2:$A$20001,"&gt;="&amp;Kalkulasi!$B$20,DATA_TS!$A$2:$A$20001,"&lt;="&amp;Kalkulasi!$B$21,DATA_TS!$B$2:$B$20001,Kalkulasi!$B$22)*(OR(Availability!$O$6="Semua",C110=Availability!$O$6)*OR(Availability!$R$6="Semua",A110=Availability!$R$6))</f>
        <v/>
      </c>
      <c r="E110" s="187">
        <f>SUMIFS(DATA_TS!$J$2:$J$20001,DATA_TS!$C$2:$C$20001,$A110,DATA_TS!$A$2:$A$20001,"&gt;="&amp;Kalkulasi!$B$20,DATA_TS!$A$2:$A$20001,"&lt;="&amp;Kalkulasi!$B$21,DATA_TS!$B$2:$B$20001,Kalkulasi!$B$22)*(OR(Availability!$O$6="Semua",C110=Availability!$O$6)*OR(Availability!$R$6="Semua",A110=Availability!$R$6))</f>
        <v/>
      </c>
      <c r="F110" s="187">
        <f>SUMIFS(DATA_TS!$K$2:$K$20001,DATA_TS!$C$2:$C$20001,$A110,DATA_TS!$A$2:$A$20001,"&gt;="&amp;Kalkulasi!$B$20,DATA_TS!$A$2:$A$20001,"&lt;="&amp;Kalkulasi!$B$21,DATA_TS!$B$2:$B$20001,Kalkulasi!$B$22)*(OR(Availability!$O$6="Semua",C110=Availability!$O$6)*OR(Availability!$R$6="Semua",A110=Availability!$R$6))</f>
        <v/>
      </c>
      <c r="G110" s="187">
        <f>D110+E110+F110</f>
        <v/>
      </c>
      <c r="H110" s="189">
        <f>IF(G110=0,0,(D110+F110)/G110)</f>
        <v/>
      </c>
      <c r="I110" s="156">
        <f>E110+ROW()/1000000</f>
        <v/>
      </c>
      <c r="J110" s="156" t="n"/>
      <c r="K110" s="156" t="n"/>
      <c r="L110" s="156" t="inlineStr">
        <is>
          <t>WL-024</t>
        </is>
      </c>
      <c r="M110" s="156" t="n"/>
      <c r="N110" s="156" t="n"/>
    </row>
    <row r="111">
      <c r="A111" s="156" t="inlineStr">
        <is>
          <t>CP-041</t>
        </is>
      </c>
      <c r="B111" s="156" t="inlineStr">
        <is>
          <t>SANY - Compactor</t>
        </is>
      </c>
      <c r="C111" s="156" t="inlineStr">
        <is>
          <t>Compactor</t>
        </is>
      </c>
      <c r="D111" s="187">
        <f>SUMIFS(DATA_TS!$G$2:$G$20001,DATA_TS!$C$2:$C$20001,$A111,DATA_TS!$A$2:$A$20001,"&gt;="&amp;Kalkulasi!$B$20,DATA_TS!$A$2:$A$20001,"&lt;="&amp;Kalkulasi!$B$21,DATA_TS!$B$2:$B$20001,Kalkulasi!$B$22)*(OR(Availability!$O$6="Semua",C111=Availability!$O$6)*OR(Availability!$R$6="Semua",A111=Availability!$R$6))</f>
        <v/>
      </c>
      <c r="E111" s="187">
        <f>SUMIFS(DATA_TS!$J$2:$J$20001,DATA_TS!$C$2:$C$20001,$A111,DATA_TS!$A$2:$A$20001,"&gt;="&amp;Kalkulasi!$B$20,DATA_TS!$A$2:$A$20001,"&lt;="&amp;Kalkulasi!$B$21,DATA_TS!$B$2:$B$20001,Kalkulasi!$B$22)*(OR(Availability!$O$6="Semua",C111=Availability!$O$6)*OR(Availability!$R$6="Semua",A111=Availability!$R$6))</f>
        <v/>
      </c>
      <c r="F111" s="187">
        <f>SUMIFS(DATA_TS!$K$2:$K$20001,DATA_TS!$C$2:$C$20001,$A111,DATA_TS!$A$2:$A$20001,"&gt;="&amp;Kalkulasi!$B$20,DATA_TS!$A$2:$A$20001,"&lt;="&amp;Kalkulasi!$B$21,DATA_TS!$B$2:$B$20001,Kalkulasi!$B$22)*(OR(Availability!$O$6="Semua",C111=Availability!$O$6)*OR(Availability!$R$6="Semua",A111=Availability!$R$6))</f>
        <v/>
      </c>
      <c r="G111" s="187">
        <f>D111+E111+F111</f>
        <v/>
      </c>
      <c r="H111" s="189">
        <f>IF(G111=0,0,(D111+F111)/G111)</f>
        <v/>
      </c>
      <c r="I111" s="156">
        <f>E111+ROW()/1000000</f>
        <v/>
      </c>
      <c r="J111" s="156" t="n"/>
      <c r="K111" s="156" t="n"/>
      <c r="L111" s="156" t="inlineStr">
        <is>
          <t>WL-025</t>
        </is>
      </c>
      <c r="M111" s="156" t="n"/>
      <c r="N111" s="156" t="n"/>
    </row>
    <row r="112">
      <c r="A112" s="156" t="inlineStr">
        <is>
          <t>CP-042</t>
        </is>
      </c>
      <c r="B112" s="156" t="inlineStr">
        <is>
          <t>SANY - Compactor</t>
        </is>
      </c>
      <c r="C112" s="156" t="inlineStr">
        <is>
          <t>Compactor</t>
        </is>
      </c>
      <c r="D112" s="187">
        <f>SUMIFS(DATA_TS!$G$2:$G$20001,DATA_TS!$C$2:$C$20001,$A112,DATA_TS!$A$2:$A$20001,"&gt;="&amp;Kalkulasi!$B$20,DATA_TS!$A$2:$A$20001,"&lt;="&amp;Kalkulasi!$B$21,DATA_TS!$B$2:$B$20001,Kalkulasi!$B$22)*(OR(Availability!$O$6="Semua",C112=Availability!$O$6)*OR(Availability!$R$6="Semua",A112=Availability!$R$6))</f>
        <v/>
      </c>
      <c r="E112" s="187">
        <f>SUMIFS(DATA_TS!$J$2:$J$20001,DATA_TS!$C$2:$C$20001,$A112,DATA_TS!$A$2:$A$20001,"&gt;="&amp;Kalkulasi!$B$20,DATA_TS!$A$2:$A$20001,"&lt;="&amp;Kalkulasi!$B$21,DATA_TS!$B$2:$B$20001,Kalkulasi!$B$22)*(OR(Availability!$O$6="Semua",C112=Availability!$O$6)*OR(Availability!$R$6="Semua",A112=Availability!$R$6))</f>
        <v/>
      </c>
      <c r="F112" s="187">
        <f>SUMIFS(DATA_TS!$K$2:$K$20001,DATA_TS!$C$2:$C$20001,$A112,DATA_TS!$A$2:$A$20001,"&gt;="&amp;Kalkulasi!$B$20,DATA_TS!$A$2:$A$20001,"&lt;="&amp;Kalkulasi!$B$21,DATA_TS!$B$2:$B$20001,Kalkulasi!$B$22)*(OR(Availability!$O$6="Semua",C112=Availability!$O$6)*OR(Availability!$R$6="Semua",A112=Availability!$R$6))</f>
        <v/>
      </c>
      <c r="G112" s="187">
        <f>D112+E112+F112</f>
        <v/>
      </c>
      <c r="H112" s="189">
        <f>IF(G112=0,0,(D112+F112)/G112)</f>
        <v/>
      </c>
      <c r="I112" s="156">
        <f>E112+ROW()/1000000</f>
        <v/>
      </c>
      <c r="J112" s="156" t="n"/>
      <c r="K112" s="156" t="n"/>
      <c r="L112" s="156" t="inlineStr">
        <is>
          <t>CP-041</t>
        </is>
      </c>
      <c r="M112" s="156" t="n"/>
      <c r="N112" s="156" t="n"/>
    </row>
    <row r="113">
      <c r="L113" t="inlineStr">
        <is>
          <t>CP-042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D9D9D9"/>
    <outlinePr summaryBelow="1" summaryRight="1"/>
    <pageSetUpPr/>
  </sheetPr>
  <dimension ref="A1:BN111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9" customWidth="1" min="3" max="3"/>
    <col width="9" customWidth="1" min="4" max="4"/>
    <col width="14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</cols>
  <sheetData>
    <row r="1">
      <c r="A1" s="150" t="inlineStr">
        <is>
          <t>KALKULASI — sheet bantu semua board (jangan diubah)</t>
        </is>
      </c>
      <c r="D1" s="151" t="inlineStr">
        <is>
          <t>Catatan: #N/A di kolom tren sengaja (NA()) agar garis grafik berhenti di akhir periode, bukan turun ke 0.</t>
        </is>
      </c>
    </row>
    <row r="2">
      <c r="A2" s="156" t="n"/>
      <c r="B2" s="156" t="n"/>
      <c r="C2" s="156" t="n"/>
      <c r="D2" s="156" t="n"/>
      <c r="E2" s="156" t="n"/>
      <c r="F2" s="156" t="n"/>
      <c r="G2" s="156" t="n"/>
      <c r="H2" s="156" t="n"/>
      <c r="I2" s="156" t="n"/>
      <c r="J2" s="156" t="n"/>
    </row>
    <row r="3">
      <c r="A3" s="156" t="n"/>
      <c r="B3" s="156" t="n"/>
      <c r="C3" s="156" t="n"/>
      <c r="D3" s="156" t="n"/>
      <c r="E3" s="156" t="n"/>
      <c r="F3" s="156" t="n"/>
      <c r="G3" s="156" t="n"/>
      <c r="H3" s="156" t="n"/>
      <c r="I3" s="156" t="n"/>
      <c r="J3" s="156" t="n"/>
    </row>
    <row r="4">
      <c r="A4" s="171" t="inlineStr">
        <is>
          <t>Filter — Produksi</t>
        </is>
      </c>
      <c r="B4" s="156" t="n"/>
      <c r="C4" s="156" t="n"/>
      <c r="D4" s="156" t="n"/>
      <c r="E4" s="156" t="n"/>
      <c r="F4" s="156" t="n"/>
      <c r="G4" s="156" t="n"/>
      <c r="H4" s="156" t="n"/>
      <c r="I4" s="156" t="n"/>
      <c r="J4" s="156" t="n"/>
    </row>
    <row r="5">
      <c r="A5" s="156" t="inlineStr">
        <is>
          <t>Tanggal mulai</t>
        </is>
      </c>
      <c r="B5" s="155">
        <f>Produksi!$F$6</f>
        <v/>
      </c>
      <c r="C5" s="156" t="n"/>
      <c r="D5" s="156" t="n"/>
      <c r="E5" s="156" t="n"/>
      <c r="F5" s="156" t="n"/>
      <c r="G5" s="156" t="n"/>
      <c r="H5" s="156" t="n"/>
      <c r="I5" s="156" t="n"/>
      <c r="J5" s="156" t="n"/>
    </row>
    <row r="6">
      <c r="A6" s="156" t="inlineStr">
        <is>
          <t>Tanggal akhir</t>
        </is>
      </c>
      <c r="B6" s="155">
        <f>Produksi!$I$6</f>
        <v/>
      </c>
      <c r="C6" s="156" t="n"/>
      <c r="D6" s="156" t="n"/>
      <c r="E6" s="156" t="n"/>
      <c r="F6" s="156" t="n"/>
      <c r="G6" s="156" t="n"/>
      <c r="H6" s="156" t="n"/>
      <c r="I6" s="156" t="n"/>
      <c r="J6" s="156" t="n"/>
    </row>
    <row r="7">
      <c r="A7" s="156" t="inlineStr">
        <is>
          <t>Kriteria shift</t>
        </is>
      </c>
      <c r="B7" s="156">
        <f>IF(Produksi!$L$6="Semua","*",Produksi!$L$6)</f>
        <v/>
      </c>
      <c r="C7" s="156" t="n"/>
      <c r="D7" s="156" t="n"/>
      <c r="E7" s="156" t="n"/>
      <c r="F7" s="156" t="n"/>
      <c r="G7" s="156" t="n"/>
      <c r="H7" s="156" t="n"/>
      <c r="I7" s="156" t="n"/>
      <c r="J7" s="156" t="n"/>
    </row>
    <row r="8">
      <c r="A8" s="156" t="inlineStr">
        <is>
          <t>Faktor plan</t>
        </is>
      </c>
      <c r="B8" s="187">
        <f>IF(Produksi!$L$6="Semua",1,0.5)</f>
        <v/>
      </c>
      <c r="C8" s="156" t="n"/>
      <c r="D8" s="156" t="n"/>
      <c r="E8" s="156" t="n"/>
      <c r="F8" s="156" t="n"/>
      <c r="G8" s="156" t="n"/>
      <c r="H8" s="156" t="n"/>
      <c r="I8" s="156" t="n"/>
      <c r="J8" s="156" t="n"/>
    </row>
    <row r="9">
      <c r="A9" s="156" t="inlineStr">
        <is>
          <t>Jumlah hari</t>
        </is>
      </c>
      <c r="B9" s="190">
        <f>MAX(0,Kalkulasi!$B$6-Kalkulasi!$B$5+1)</f>
        <v/>
      </c>
      <c r="C9" s="156" t="n"/>
      <c r="D9" s="156" t="n"/>
      <c r="E9" s="156" t="n"/>
      <c r="F9" s="156" t="n"/>
      <c r="G9" s="156" t="n"/>
      <c r="H9" s="156" t="n"/>
      <c r="I9" s="156" t="n"/>
      <c r="J9" s="156" t="n"/>
    </row>
    <row r="10">
      <c r="A10" s="156" t="n"/>
      <c r="B10" s="156" t="n"/>
      <c r="C10" s="156" t="n"/>
      <c r="D10" s="156" t="n"/>
      <c r="E10" s="156" t="n"/>
      <c r="F10" s="156" t="n"/>
      <c r="G10" s="156" t="n"/>
      <c r="H10" s="156" t="n"/>
      <c r="I10" s="156" t="n"/>
      <c r="J10" s="156" t="n"/>
    </row>
    <row r="11">
      <c r="A11" s="171" t="inlineStr">
        <is>
          <t>Filter — Digger</t>
        </is>
      </c>
      <c r="B11" s="156" t="n"/>
      <c r="C11" s="156" t="n"/>
      <c r="D11" s="156" t="n"/>
      <c r="E11" s="156" t="n"/>
      <c r="F11" s="156" t="n"/>
      <c r="G11" s="156" t="n"/>
      <c r="H11" s="156" t="n"/>
      <c r="I11" s="156" t="n"/>
      <c r="J11" s="156" t="n"/>
    </row>
    <row r="12">
      <c r="A12" s="156" t="inlineStr">
        <is>
          <t>Tanggal mulai</t>
        </is>
      </c>
      <c r="B12" s="155">
        <f>Digger!$F$6</f>
        <v/>
      </c>
      <c r="C12" s="156" t="n"/>
      <c r="D12" s="156" t="n"/>
      <c r="E12" s="156" t="n"/>
      <c r="F12" s="156" t="n"/>
      <c r="G12" s="156" t="n"/>
      <c r="H12" s="156" t="n"/>
      <c r="I12" s="156" t="n"/>
      <c r="J12" s="156" t="n"/>
    </row>
    <row r="13">
      <c r="A13" s="156" t="inlineStr">
        <is>
          <t>Tanggal akhir</t>
        </is>
      </c>
      <c r="B13" s="155">
        <f>Digger!$I$6</f>
        <v/>
      </c>
      <c r="C13" s="156" t="n"/>
      <c r="D13" s="156" t="n"/>
      <c r="E13" s="156" t="n"/>
      <c r="F13" s="156" t="n"/>
      <c r="G13" s="156" t="n"/>
      <c r="H13" s="156" t="n"/>
      <c r="I13" s="156" t="n"/>
      <c r="J13" s="156" t="n"/>
    </row>
    <row r="14">
      <c r="A14" s="156" t="inlineStr">
        <is>
          <t>Kriteria shift</t>
        </is>
      </c>
      <c r="B14" s="156">
        <f>IF(Digger!$L$6="Semua","*",Digger!$L$6)</f>
        <v/>
      </c>
      <c r="C14" s="156" t="n"/>
      <c r="D14" s="156" t="n"/>
      <c r="E14" s="156" t="n"/>
      <c r="F14" s="156" t="n"/>
      <c r="G14" s="156" t="n"/>
      <c r="H14" s="156" t="n"/>
      <c r="I14" s="156" t="n"/>
      <c r="J14" s="156" t="n"/>
    </row>
    <row r="15">
      <c r="A15" s="156" t="inlineStr">
        <is>
          <t>Faktor plan</t>
        </is>
      </c>
      <c r="B15" s="187">
        <f>IF(Digger!$L$6="Semua",1,0.5)</f>
        <v/>
      </c>
      <c r="C15" s="156" t="n"/>
      <c r="D15" s="156" t="n"/>
      <c r="E15" s="156" t="n"/>
      <c r="F15" s="156" t="n"/>
      <c r="G15" s="156" t="n"/>
      <c r="H15" s="156" t="n"/>
      <c r="I15" s="156" t="n"/>
      <c r="J15" s="156" t="n"/>
    </row>
    <row r="16">
      <c r="A16" s="156" t="inlineStr">
        <is>
          <t>Jumlah hari</t>
        </is>
      </c>
      <c r="B16" s="190">
        <f>MAX(0,Kalkulasi!$B$13-Kalkulasi!$B$12+1)</f>
        <v/>
      </c>
      <c r="C16" s="156" t="n"/>
      <c r="D16" s="156" t="n"/>
      <c r="E16" s="156" t="n"/>
      <c r="F16" s="156" t="n"/>
      <c r="G16" s="156" t="n"/>
      <c r="H16" s="156" t="n"/>
      <c r="I16" s="156" t="n"/>
      <c r="J16" s="156" t="n"/>
    </row>
    <row r="17">
      <c r="A17" s="156" t="inlineStr">
        <is>
          <t>Kriteria x1</t>
        </is>
      </c>
      <c r="B17" s="156">
        <f>IF(Digger!$O$6="Semua","*",Digger!$O$6)</f>
        <v/>
      </c>
      <c r="C17" s="156" t="n"/>
      <c r="D17" s="156" t="n"/>
      <c r="E17" s="156" t="n"/>
      <c r="F17" s="156" t="n"/>
      <c r="G17" s="156" t="n"/>
      <c r="H17" s="156" t="n"/>
      <c r="I17" s="156" t="n"/>
      <c r="J17" s="156" t="n"/>
    </row>
    <row r="18">
      <c r="A18" s="156" t="n"/>
      <c r="B18" s="156" t="n"/>
      <c r="C18" s="156" t="n"/>
      <c r="D18" s="156" t="n"/>
      <c r="E18" s="156" t="n"/>
      <c r="F18" s="156" t="n"/>
      <c r="G18" s="156" t="n"/>
      <c r="H18" s="156" t="n"/>
      <c r="I18" s="156" t="n"/>
      <c r="J18" s="156" t="n"/>
    </row>
    <row r="19">
      <c r="A19" s="171" t="inlineStr">
        <is>
          <t>Filter — Availability</t>
        </is>
      </c>
      <c r="B19" s="156" t="n"/>
      <c r="C19" s="156" t="n"/>
      <c r="D19" s="156" t="n"/>
      <c r="E19" s="156" t="n"/>
      <c r="F19" s="156" t="n"/>
      <c r="G19" s="156" t="n"/>
      <c r="H19" s="156" t="n"/>
      <c r="I19" s="156" t="n"/>
      <c r="J19" s="156" t="n"/>
    </row>
    <row r="20">
      <c r="A20" s="156" t="inlineStr">
        <is>
          <t>Tanggal mulai</t>
        </is>
      </c>
      <c r="B20" s="155">
        <f>Availability!$F$6</f>
        <v/>
      </c>
      <c r="C20" s="156" t="n"/>
      <c r="D20" s="156" t="n"/>
      <c r="E20" s="156" t="n"/>
      <c r="F20" s="156" t="n"/>
      <c r="G20" s="156" t="n"/>
      <c r="H20" s="156" t="n"/>
      <c r="I20" s="156" t="n"/>
      <c r="J20" s="156" t="n"/>
    </row>
    <row r="21">
      <c r="A21" s="156" t="inlineStr">
        <is>
          <t>Tanggal akhir</t>
        </is>
      </c>
      <c r="B21" s="155">
        <f>Availability!$I$6</f>
        <v/>
      </c>
      <c r="C21" s="156" t="n"/>
      <c r="D21" s="156" t="n"/>
      <c r="E21" s="156" t="n"/>
      <c r="F21" s="156" t="n"/>
      <c r="G21" s="156" t="n"/>
      <c r="H21" s="156" t="n"/>
      <c r="I21" s="156" t="n"/>
      <c r="J21" s="156" t="n"/>
    </row>
    <row r="22">
      <c r="A22" s="156" t="inlineStr">
        <is>
          <t>Kriteria shift</t>
        </is>
      </c>
      <c r="B22" s="156">
        <f>IF(Availability!$L$6="Semua","*",Availability!$L$6)</f>
        <v/>
      </c>
      <c r="C22" s="156" t="n"/>
      <c r="D22" s="156" t="n"/>
      <c r="E22" s="156" t="n"/>
      <c r="F22" s="156" t="n"/>
      <c r="G22" s="156" t="n"/>
      <c r="H22" s="156" t="n"/>
      <c r="I22" s="156" t="n"/>
      <c r="J22" s="156" t="n"/>
    </row>
    <row r="23">
      <c r="A23" s="156" t="inlineStr">
        <is>
          <t>Faktor plan</t>
        </is>
      </c>
      <c r="B23" s="187">
        <f>IF(Availability!$L$6="Semua",1,0.5)</f>
        <v/>
      </c>
      <c r="C23" s="156" t="n"/>
      <c r="D23" s="156" t="n"/>
      <c r="E23" s="156" t="n"/>
      <c r="F23" s="156" t="n"/>
      <c r="G23" s="156" t="n"/>
      <c r="H23" s="156" t="n"/>
      <c r="I23" s="156" t="n"/>
      <c r="J23" s="156" t="n"/>
    </row>
    <row r="24">
      <c r="A24" s="156" t="inlineStr">
        <is>
          <t>Jumlah hari</t>
        </is>
      </c>
      <c r="B24" s="190">
        <f>MAX(0,Kalkulasi!$B$21-Kalkulasi!$B$20+1)</f>
        <v/>
      </c>
      <c r="C24" s="156" t="n"/>
      <c r="D24" s="156" t="n"/>
      <c r="E24" s="156" t="n"/>
      <c r="F24" s="156" t="n"/>
      <c r="G24" s="156" t="n"/>
      <c r="H24" s="156" t="n"/>
      <c r="I24" s="156" t="n"/>
      <c r="J24" s="156" t="n"/>
    </row>
    <row r="25">
      <c r="A25" s="156" t="inlineStr">
        <is>
          <t>Kriteria x1</t>
        </is>
      </c>
      <c r="B25" s="156">
        <f>IF(Availability!$O$6="Semua","*",Availability!$O$6)</f>
        <v/>
      </c>
      <c r="C25" s="156" t="n"/>
      <c r="D25" s="156" t="n"/>
      <c r="E25" s="156" t="n"/>
      <c r="F25" s="156" t="n"/>
      <c r="G25" s="156" t="n"/>
      <c r="H25" s="156" t="n"/>
      <c r="I25" s="156" t="n"/>
      <c r="J25" s="156" t="n"/>
    </row>
    <row r="26">
      <c r="A26" s="156" t="inlineStr">
        <is>
          <t>Kriteria x2</t>
        </is>
      </c>
      <c r="B26" s="156">
        <f>IF(Availability!$R$6="Semua","*",Availability!$R$6)</f>
        <v/>
      </c>
      <c r="C26" s="156" t="n"/>
      <c r="D26" s="156" t="n"/>
      <c r="E26" s="156" t="n"/>
      <c r="F26" s="156" t="n"/>
      <c r="G26" s="156" t="n"/>
      <c r="H26" s="156" t="n"/>
      <c r="I26" s="156" t="n"/>
      <c r="J26" s="156" t="n"/>
    </row>
    <row r="27">
      <c r="A27" s="156" t="n"/>
      <c r="B27" s="156" t="n"/>
      <c r="C27" s="156" t="n"/>
      <c r="D27" s="156" t="n"/>
      <c r="E27" s="156" t="n"/>
      <c r="F27" s="156" t="n"/>
      <c r="G27" s="156" t="n"/>
      <c r="H27" s="156" t="n"/>
      <c r="I27" s="156" t="n"/>
      <c r="J27" s="156" t="n"/>
    </row>
    <row r="28">
      <c r="A28" s="171" t="inlineStr">
        <is>
          <t>Filter — Delay &amp; Hujan</t>
        </is>
      </c>
      <c r="B28" s="156" t="n"/>
      <c r="C28" s="156" t="n"/>
      <c r="D28" s="156" t="n"/>
      <c r="E28" s="156" t="n"/>
      <c r="F28" s="156" t="n"/>
      <c r="G28" s="156" t="n"/>
      <c r="H28" s="156" t="n"/>
      <c r="I28" s="156" t="n"/>
      <c r="J28" s="156" t="n"/>
    </row>
    <row r="29">
      <c r="A29" s="156" t="inlineStr">
        <is>
          <t>Tanggal mulai</t>
        </is>
      </c>
      <c r="B29" s="155">
        <f>'Delay &amp; Hujan'!$F$6</f>
        <v/>
      </c>
      <c r="C29" s="156" t="n"/>
      <c r="D29" s="156" t="n"/>
      <c r="E29" s="156" t="n"/>
      <c r="F29" s="156" t="n"/>
      <c r="G29" s="156" t="n"/>
      <c r="H29" s="156" t="n"/>
      <c r="I29" s="156" t="n"/>
      <c r="J29" s="156" t="n"/>
    </row>
    <row r="30">
      <c r="A30" s="156" t="inlineStr">
        <is>
          <t>Tanggal akhir</t>
        </is>
      </c>
      <c r="B30" s="155">
        <f>'Delay &amp; Hujan'!$I$6</f>
        <v/>
      </c>
      <c r="C30" s="156" t="n"/>
      <c r="D30" s="156" t="n"/>
      <c r="E30" s="156" t="n"/>
      <c r="F30" s="156" t="n"/>
      <c r="G30" s="156" t="n"/>
      <c r="H30" s="156" t="n"/>
      <c r="I30" s="156" t="n"/>
      <c r="J30" s="156" t="n"/>
    </row>
    <row r="31">
      <c r="A31" s="156" t="inlineStr">
        <is>
          <t>Kriteria shift</t>
        </is>
      </c>
      <c r="B31" s="156">
        <f>IF('Delay &amp; Hujan'!$L$6="Semua","*",'Delay &amp; Hujan'!$L$6)</f>
        <v/>
      </c>
      <c r="C31" s="156" t="n"/>
      <c r="D31" s="156" t="n"/>
      <c r="E31" s="156" t="n"/>
      <c r="F31" s="156" t="n"/>
      <c r="G31" s="156" t="n"/>
      <c r="H31" s="156" t="n"/>
      <c r="I31" s="156" t="n"/>
      <c r="J31" s="156" t="n"/>
    </row>
    <row r="32">
      <c r="A32" s="156" t="inlineStr">
        <is>
          <t>Faktor plan</t>
        </is>
      </c>
      <c r="B32" s="187">
        <f>IF('Delay &amp; Hujan'!$L$6="Semua",1,0.5)</f>
        <v/>
      </c>
      <c r="C32" s="156" t="n"/>
      <c r="D32" s="156" t="n"/>
      <c r="E32" s="156" t="n"/>
      <c r="F32" s="156" t="n"/>
      <c r="G32" s="156" t="n"/>
      <c r="H32" s="156" t="n"/>
      <c r="I32" s="156" t="n"/>
      <c r="J32" s="156" t="n"/>
    </row>
    <row r="33">
      <c r="A33" s="156" t="inlineStr">
        <is>
          <t>Jumlah hari</t>
        </is>
      </c>
      <c r="B33" s="190">
        <f>MAX(0,Kalkulasi!$B$30-Kalkulasi!$B$29+1)</f>
        <v/>
      </c>
      <c r="C33" s="156" t="n"/>
      <c r="D33" s="156" t="n"/>
      <c r="E33" s="156" t="n"/>
      <c r="F33" s="156" t="n"/>
      <c r="G33" s="156" t="n"/>
      <c r="H33" s="156" t="n"/>
      <c r="I33" s="156" t="n"/>
      <c r="J33" s="156" t="n"/>
    </row>
    <row r="34">
      <c r="A34" s="156" t="inlineStr">
        <is>
          <t>Kriteria x1</t>
        </is>
      </c>
      <c r="B34" s="156">
        <f>IF('Delay &amp; Hujan'!$O$6="Semua","*",'Delay &amp; Hujan'!$O$6)</f>
        <v/>
      </c>
      <c r="C34" s="156" t="n"/>
      <c r="D34" s="156" t="n"/>
      <c r="E34" s="156" t="n"/>
      <c r="F34" s="156" t="n"/>
      <c r="G34" s="156" t="n"/>
      <c r="H34" s="156" t="n"/>
      <c r="I34" s="156" t="n"/>
      <c r="J34" s="156" t="n"/>
    </row>
    <row r="35">
      <c r="A35" s="156" t="n"/>
      <c r="B35" s="156" t="n"/>
      <c r="C35" s="156" t="n"/>
      <c r="D35" s="156" t="n"/>
      <c r="E35" s="156" t="n"/>
      <c r="F35" s="156" t="n"/>
      <c r="G35" s="156" t="n"/>
      <c r="H35" s="156" t="n"/>
      <c r="I35" s="156" t="n"/>
      <c r="J35" s="156" t="n"/>
    </row>
    <row r="36">
      <c r="A36" s="171" t="inlineStr">
        <is>
          <t>KPI Produksi</t>
        </is>
      </c>
      <c r="B36" s="156" t="n"/>
      <c r="C36" s="156" t="n"/>
      <c r="D36" s="156" t="n"/>
      <c r="E36" s="156" t="n"/>
      <c r="F36" s="156" t="n"/>
      <c r="G36" s="156" t="n"/>
      <c r="H36" s="156" t="n"/>
      <c r="I36" s="156" t="n"/>
      <c r="J36" s="156" t="n"/>
    </row>
    <row r="37">
      <c r="A37" s="156" t="inlineStr">
        <is>
          <t>OB plan</t>
        </is>
      </c>
      <c r="B37" s="183">
        <f>SUMIFS(DATA_PLAN!$B$2:$B$20001,DATA_PLAN!$A$2:$A$20001,"&gt;="&amp;Kalkulasi!$B$5,DATA_PLAN!$A$2:$A$20001,"&lt;="&amp;Kalkulasi!$B$6)*Kalkulasi!$B$8</f>
        <v/>
      </c>
      <c r="C37" s="156" t="n"/>
      <c r="D37" s="156" t="n"/>
      <c r="E37" s="156" t="n"/>
      <c r="F37" s="156" t="n"/>
      <c r="G37" s="156" t="n"/>
      <c r="H37" s="156" t="n"/>
      <c r="I37" s="156" t="n"/>
      <c r="J37" s="156" t="n"/>
    </row>
    <row r="38">
      <c r="A38" s="156" t="inlineStr">
        <is>
          <t>OB actual</t>
        </is>
      </c>
      <c r="B38" s="183">
        <f>SUMIFS(DATA_TS!$Q$2:$Q$20001,DATA_TS!$A$2:$A$20001,"&gt;="&amp;Kalkulasi!$B$5,DATA_TS!$A$2:$A$20001,"&lt;="&amp;Kalkulasi!$B$6,DATA_TS!$B$2:$B$20001,Kalkulasi!$B$7,DATA_TS!$E$2:$E$20001,"Hauler")</f>
        <v/>
      </c>
      <c r="C38" s="156" t="n"/>
      <c r="D38" s="156" t="n"/>
      <c r="E38" s="156" t="n"/>
      <c r="F38" s="156" t="n"/>
      <c r="G38" s="156" t="n"/>
      <c r="H38" s="156" t="n"/>
      <c r="I38" s="156" t="n"/>
      <c r="J38" s="156" t="n"/>
    </row>
    <row r="39">
      <c r="A39" s="156" t="inlineStr">
        <is>
          <t>OB ach</t>
        </is>
      </c>
      <c r="B39" s="191">
        <f>IF(Kalkulasi!$B$37=0,0,Kalkulasi!$B$38/Kalkulasi!$B$37)</f>
        <v/>
      </c>
      <c r="C39" s="156" t="n"/>
      <c r="D39" s="156" t="n"/>
      <c r="E39" s="156" t="n"/>
      <c r="F39" s="156" t="n"/>
      <c r="G39" s="156" t="n"/>
      <c r="H39" s="156" t="n"/>
      <c r="I39" s="156" t="n"/>
      <c r="J39" s="156" t="n"/>
    </row>
    <row r="40">
      <c r="A40" s="156" t="inlineStr">
        <is>
          <t>Coal plan</t>
        </is>
      </c>
      <c r="B40" s="183">
        <f>SUMIFS(DATA_PLAN!$C$2:$C$20001,DATA_PLAN!$A$2:$A$20001,"&gt;="&amp;Kalkulasi!$B$5,DATA_PLAN!$A$2:$A$20001,"&lt;="&amp;Kalkulasi!$B$6)*Kalkulasi!$B$8</f>
        <v/>
      </c>
      <c r="C40" s="156" t="n"/>
      <c r="D40" s="156" t="n"/>
      <c r="E40" s="156" t="n"/>
      <c r="F40" s="156" t="n"/>
      <c r="G40" s="156" t="n"/>
      <c r="H40" s="156" t="n"/>
      <c r="I40" s="156" t="n"/>
      <c r="J40" s="156" t="n"/>
    </row>
    <row r="41">
      <c r="A41" s="156" t="inlineStr">
        <is>
          <t>Coal actual</t>
        </is>
      </c>
      <c r="B41" s="183">
        <f>SUMIFS(DATA_TS!$R$2:$R$20001,DATA_TS!$A$2:$A$20001,"&gt;="&amp;Kalkulasi!$B$5,DATA_TS!$A$2:$A$20001,"&lt;="&amp;Kalkulasi!$B$6,DATA_TS!$B$2:$B$20001,Kalkulasi!$B$7,DATA_TS!$E$2:$E$20001,"Hauler")</f>
        <v/>
      </c>
      <c r="C41" s="156" t="n"/>
      <c r="D41" s="156" t="n"/>
      <c r="E41" s="156" t="n"/>
      <c r="F41" s="156" t="n"/>
      <c r="G41" s="156" t="n"/>
      <c r="H41" s="156" t="n"/>
      <c r="I41" s="156" t="n"/>
      <c r="J41" s="156" t="n"/>
    </row>
    <row r="42">
      <c r="A42" s="156" t="inlineStr">
        <is>
          <t>Coal ach</t>
        </is>
      </c>
      <c r="B42" s="191">
        <f>IF(Kalkulasi!$B$40=0,0,Kalkulasi!$B$41/Kalkulasi!$B$40)</f>
        <v/>
      </c>
      <c r="C42" s="156" t="n"/>
      <c r="D42" s="156" t="n"/>
      <c r="E42" s="156" t="n"/>
      <c r="F42" s="156" t="n"/>
      <c r="G42" s="156" t="n"/>
      <c r="H42" s="156" t="n"/>
      <c r="I42" s="156" t="n"/>
      <c r="J42" s="156" t="n"/>
    </row>
    <row r="43">
      <c r="A43" s="156" t="inlineStr">
        <is>
          <t>SR</t>
        </is>
      </c>
      <c r="B43" s="182">
        <f>IF(Kalkulasi!$B$41=0,0,Kalkulasi!$B$38/Kalkulasi!$B$41)</f>
        <v/>
      </c>
      <c r="C43" s="156" t="n"/>
      <c r="D43" s="156" t="n"/>
      <c r="E43" s="156" t="n"/>
      <c r="F43" s="156" t="n"/>
      <c r="G43" s="156" t="n"/>
      <c r="H43" s="156" t="n"/>
      <c r="I43" s="156" t="n"/>
      <c r="J43" s="156" t="n"/>
    </row>
    <row r="44">
      <c r="A44" s="156" t="inlineStr">
        <is>
          <t>SR plan</t>
        </is>
      </c>
      <c r="B44" s="182">
        <f>IF(Kalkulasi!$B$40=0,0,Kalkulasi!$B$37/Kalkulasi!$B$40)</f>
        <v/>
      </c>
      <c r="C44" s="156" t="n"/>
      <c r="D44" s="156" t="n"/>
      <c r="E44" s="156" t="n"/>
      <c r="F44" s="156" t="n"/>
      <c r="G44" s="156" t="n"/>
      <c r="H44" s="156" t="n"/>
      <c r="I44" s="156" t="n"/>
      <c r="J44" s="156" t="n"/>
    </row>
    <row r="45">
      <c r="A45" s="156" t="inlineStr">
        <is>
          <t>Ritase OB</t>
        </is>
      </c>
      <c r="B45" s="183">
        <f>SUMIFS(DATA_TS!$O$2:$O$20001,DATA_TS!$A$2:$A$20001,"&gt;="&amp;Kalkulasi!$B$5,DATA_TS!$A$2:$A$20001,"&lt;="&amp;Kalkulasi!$B$6,DATA_TS!$B$2:$B$20001,Kalkulasi!$B$7,DATA_TS!$E$2:$E$20001,"Hauler")</f>
        <v/>
      </c>
      <c r="C45" s="156" t="n"/>
      <c r="D45" s="156" t="n"/>
      <c r="E45" s="156" t="n"/>
      <c r="F45" s="156" t="n"/>
      <c r="G45" s="156" t="n"/>
      <c r="H45" s="156" t="n"/>
      <c r="I45" s="156" t="n"/>
      <c r="J45" s="156" t="n"/>
    </row>
    <row r="46">
      <c r="A46" s="156" t="inlineStr">
        <is>
          <t>Ritase coal</t>
        </is>
      </c>
      <c r="B46" s="183">
        <f>SUMIFS(DATA_TS!$P$2:$P$20001,DATA_TS!$A$2:$A$20001,"&gt;="&amp;Kalkulasi!$B$5,DATA_TS!$A$2:$A$20001,"&lt;="&amp;Kalkulasi!$B$6,DATA_TS!$B$2:$B$20001,Kalkulasi!$B$7,DATA_TS!$E$2:$E$20001,"Hauler")</f>
        <v/>
      </c>
      <c r="C46" s="156" t="n"/>
      <c r="D46" s="156" t="n"/>
      <c r="E46" s="156" t="n"/>
      <c r="F46" s="156" t="n"/>
      <c r="G46" s="156" t="n"/>
      <c r="H46" s="156" t="n"/>
      <c r="I46" s="156" t="n"/>
      <c r="J46" s="156" t="n"/>
    </row>
    <row r="47">
      <c r="A47" s="156" t="inlineStr">
        <is>
          <t>OB day shift</t>
        </is>
      </c>
      <c r="B47" s="183">
        <f>SUMIFS(DATA_TS!$Q$2:$Q$20001,DATA_TS!$A$2:$A$20001,"&gt;="&amp;Kalkulasi!$B$5,DATA_TS!$A$2:$A$20001,"&lt;="&amp;Kalkulasi!$B$6,DATA_TS!$B$2:$B$20001,"DS",DATA_TS!$E$2:$E$20001,"Hauler")*(Produksi!$L$6&lt;&gt;"NS")</f>
        <v/>
      </c>
      <c r="C47" s="156" t="n"/>
      <c r="D47" s="156" t="n"/>
      <c r="E47" s="156" t="n"/>
      <c r="F47" s="156" t="n"/>
      <c r="G47" s="156" t="n"/>
      <c r="H47" s="156" t="n"/>
      <c r="I47" s="156" t="n"/>
      <c r="J47" s="156" t="n"/>
    </row>
    <row r="48">
      <c r="A48" s="156" t="n"/>
      <c r="B48" s="156" t="n"/>
      <c r="C48" s="156" t="n"/>
      <c r="D48" s="156" t="n"/>
      <c r="E48" s="156" t="n"/>
      <c r="F48" s="156" t="n"/>
      <c r="G48" s="156" t="n"/>
      <c r="H48" s="156" t="n"/>
      <c r="I48" s="156" t="n"/>
      <c r="J48" s="156" t="n"/>
    </row>
    <row r="49">
      <c r="A49" s="171" t="inlineStr">
        <is>
          <t>KPI Digger</t>
        </is>
      </c>
      <c r="B49" s="156" t="n"/>
      <c r="C49" s="156" t="n"/>
      <c r="D49" s="156" t="n"/>
      <c r="E49" s="156" t="n"/>
      <c r="F49" s="156" t="n"/>
      <c r="G49" s="156" t="n"/>
      <c r="H49" s="156" t="n"/>
      <c r="I49" s="156" t="n"/>
      <c r="J49" s="156" t="n"/>
    </row>
    <row r="50">
      <c r="A50" s="156" t="inlineStr">
        <is>
          <t>OB digger</t>
        </is>
      </c>
      <c r="B50" s="183">
        <f>SUMIFS(DATA_TS!$Q$2:$Q$20001,DATA_TS!$A$2:$A$20001,"&gt;="&amp;Kalkulasi!$B$12,DATA_TS!$A$2:$A$20001,"&lt;="&amp;Kalkulasi!$B$13,DATA_TS!$B$2:$B$20001,Kalkulasi!$B$14,DATA_TS!$E$2:$E$20001,"Excavator")</f>
        <v/>
      </c>
      <c r="C50" s="156" t="n"/>
      <c r="D50" s="156" t="n"/>
      <c r="E50" s="156" t="n"/>
      <c r="F50" s="156" t="n"/>
      <c r="G50" s="156" t="n"/>
      <c r="H50" s="156" t="n"/>
      <c r="I50" s="156" t="n"/>
      <c r="J50" s="156" t="n"/>
    </row>
    <row r="51">
      <c r="A51" s="156" t="inlineStr">
        <is>
          <t>EWH OB</t>
        </is>
      </c>
      <c r="B51" s="183">
        <f>SUMIFS(DATA_TS!$M$2:$M$20001,DATA_TS!$A$2:$A$20001,"&gt;="&amp;Kalkulasi!$B$12,DATA_TS!$A$2:$A$20001,"&lt;="&amp;Kalkulasi!$B$13,DATA_TS!$B$2:$B$20001,Kalkulasi!$B$14,DATA_TS!$E$2:$E$20001,"Excavator")</f>
        <v/>
      </c>
      <c r="C51" s="156" t="n"/>
      <c r="D51" s="156" t="n"/>
      <c r="E51" s="156" t="n"/>
      <c r="F51" s="156" t="n"/>
      <c r="G51" s="156" t="n"/>
      <c r="H51" s="156" t="n"/>
      <c r="I51" s="156" t="n"/>
      <c r="J51" s="156" t="n"/>
    </row>
    <row r="52">
      <c r="A52" s="156" t="inlineStr">
        <is>
          <t>Coal digger</t>
        </is>
      </c>
      <c r="B52" s="183">
        <f>SUMIFS(DATA_TS!$R$2:$R$20001,DATA_TS!$A$2:$A$20001,"&gt;="&amp;Kalkulasi!$B$12,DATA_TS!$A$2:$A$20001,"&lt;="&amp;Kalkulasi!$B$13,DATA_TS!$B$2:$B$20001,Kalkulasi!$B$14,DATA_TS!$E$2:$E$20001,"Excavator")</f>
        <v/>
      </c>
      <c r="C52" s="156" t="n"/>
      <c r="D52" s="156" t="n"/>
      <c r="E52" s="156" t="n"/>
      <c r="F52" s="156" t="n"/>
      <c r="G52" s="156" t="n"/>
      <c r="H52" s="156" t="n"/>
      <c r="I52" s="156" t="n"/>
      <c r="J52" s="156" t="n"/>
    </row>
    <row r="53">
      <c r="A53" s="156" t="inlineStr">
        <is>
          <t>EWH coal</t>
        </is>
      </c>
      <c r="B53" s="183">
        <f>SUMIFS(DATA_TS!$N$2:$N$20001,DATA_TS!$A$2:$A$20001,"&gt;="&amp;Kalkulasi!$B$12,DATA_TS!$A$2:$A$20001,"&lt;="&amp;Kalkulasi!$B$13,DATA_TS!$B$2:$B$20001,Kalkulasi!$B$14,DATA_TS!$E$2:$E$20001,"Excavator")</f>
        <v/>
      </c>
      <c r="C53" s="156" t="n"/>
      <c r="D53" s="156" t="n"/>
      <c r="E53" s="156" t="n"/>
      <c r="F53" s="156" t="n"/>
      <c r="G53" s="156" t="n"/>
      <c r="H53" s="156" t="n"/>
      <c r="I53" s="156" t="n"/>
      <c r="J53" s="156" t="n"/>
    </row>
    <row r="54">
      <c r="A54" s="156" t="inlineStr">
        <is>
          <t>PTY OB fleet</t>
        </is>
      </c>
      <c r="B54" s="183">
        <f>IF(Kalkulasi!$B$51=0,0,Kalkulasi!$B$50/Kalkulasi!$B$51)</f>
        <v/>
      </c>
      <c r="C54" s="156" t="n"/>
      <c r="D54" s="156" t="n"/>
      <c r="E54" s="156" t="n"/>
      <c r="F54" s="156" t="n"/>
      <c r="G54" s="156" t="n"/>
      <c r="H54" s="156" t="n"/>
      <c r="I54" s="156" t="n"/>
      <c r="J54" s="156" t="n"/>
    </row>
    <row r="55">
      <c r="A55" s="156" t="inlineStr">
        <is>
          <t>PTY coal</t>
        </is>
      </c>
      <c r="B55" s="183">
        <f>IF(Kalkulasi!$B$53=0,0,Kalkulasi!$B$52/Kalkulasi!$B$53)</f>
        <v/>
      </c>
      <c r="C55" s="156" t="n"/>
      <c r="D55" s="156" t="n"/>
      <c r="E55" s="156" t="n"/>
      <c r="F55" s="156" t="n"/>
      <c r="G55" s="156" t="n"/>
      <c r="H55" s="156" t="n"/>
      <c r="I55" s="156" t="n"/>
      <c r="J55" s="156" t="n"/>
    </row>
    <row r="56">
      <c r="A56" s="156" t="inlineStr">
        <is>
          <t>HM excavator</t>
        </is>
      </c>
      <c r="B56" s="183">
        <f>SUMIFS(DATA_TS!$G$2:$G$20001,DATA_TS!$A$2:$A$20001,"&gt;="&amp;Kalkulasi!$B$12,DATA_TS!$A$2:$A$20001,"&lt;="&amp;Kalkulasi!$B$13,DATA_TS!$B$2:$B$20001,Kalkulasi!$B$14,DATA_TS!$E$2:$E$20001,"Excavator")</f>
        <v/>
      </c>
      <c r="C56" s="156" t="n"/>
      <c r="D56" s="156" t="n"/>
      <c r="E56" s="156" t="n"/>
      <c r="F56" s="156" t="n"/>
      <c r="G56" s="156" t="n"/>
      <c r="H56" s="156" t="n"/>
      <c r="I56" s="156" t="n"/>
      <c r="J56" s="156" t="n"/>
    </row>
    <row r="57">
      <c r="A57" s="156" t="n"/>
      <c r="B57" s="156" t="n"/>
      <c r="C57" s="156" t="n"/>
      <c r="D57" s="156" t="n"/>
      <c r="E57" s="156" t="n"/>
      <c r="F57" s="156" t="n"/>
      <c r="G57" s="156" t="n"/>
      <c r="H57" s="156" t="n"/>
      <c r="I57" s="156" t="n"/>
      <c r="J57" s="156" t="n"/>
    </row>
    <row r="58">
      <c r="A58" s="171" t="inlineStr">
        <is>
          <t>KPI Availability</t>
        </is>
      </c>
      <c r="B58" s="156" t="n"/>
      <c r="C58" s="156" t="n"/>
      <c r="D58" s="156" t="n"/>
      <c r="E58" s="156" t="n"/>
      <c r="F58" s="156" t="n"/>
      <c r="G58" s="156" t="n"/>
      <c r="H58" s="156" t="n"/>
      <c r="I58" s="156" t="n"/>
      <c r="J58" s="156" t="n"/>
    </row>
    <row r="59">
      <c r="A59" s="156" t="inlineStr">
        <is>
          <t>HM</t>
        </is>
      </c>
      <c r="B59" s="183">
        <f>SUMIFS(DATA_TS!$G$2:$G$20001,DATA_TS!$A$2:$A$20001,"&gt;="&amp;Kalkulasi!$B$20,DATA_TS!$A$2:$A$20001,"&lt;="&amp;Kalkulasi!$B$21,DATA_TS!$B$2:$B$20001,Kalkulasi!$B$22,DATA_TS!$E$2:$E$20001,Kalkulasi!$B$25,DATA_TS!$C$2:$C$20001,Kalkulasi!$B$26)</f>
        <v/>
      </c>
      <c r="C59" s="156" t="n"/>
      <c r="D59" s="156" t="n"/>
      <c r="E59" s="156" t="n"/>
      <c r="F59" s="156" t="n"/>
      <c r="G59" s="156" t="n"/>
      <c r="H59" s="156" t="n"/>
      <c r="I59" s="156" t="n"/>
      <c r="J59" s="156" t="n"/>
    </row>
    <row r="60">
      <c r="A60" s="156" t="inlineStr">
        <is>
          <t>BD</t>
        </is>
      </c>
      <c r="B60" s="183">
        <f>SUMIFS(DATA_TS!$J$2:$J$20001,DATA_TS!$A$2:$A$20001,"&gt;="&amp;Kalkulasi!$B$20,DATA_TS!$A$2:$A$20001,"&lt;="&amp;Kalkulasi!$B$21,DATA_TS!$B$2:$B$20001,Kalkulasi!$B$22,DATA_TS!$E$2:$E$20001,Kalkulasi!$B$25,DATA_TS!$C$2:$C$20001,Kalkulasi!$B$26)</f>
        <v/>
      </c>
      <c r="C60" s="156" t="n"/>
      <c r="D60" s="156" t="n"/>
      <c r="E60" s="156" t="n"/>
      <c r="F60" s="156" t="n"/>
      <c r="G60" s="156" t="n"/>
      <c r="H60" s="156" t="n"/>
      <c r="I60" s="156" t="n"/>
      <c r="J60" s="156" t="n"/>
    </row>
    <row r="61">
      <c r="A61" s="156" t="inlineStr">
        <is>
          <t>BD tak terjadwal</t>
        </is>
      </c>
      <c r="B61" s="183">
        <f>SUMIFS(DATA_TS!$I$2:$I$20001,DATA_TS!$A$2:$A$20001,"&gt;="&amp;Kalkulasi!$B$20,DATA_TS!$A$2:$A$20001,"&lt;="&amp;Kalkulasi!$B$21,DATA_TS!$B$2:$B$20001,Kalkulasi!$B$22,DATA_TS!$E$2:$E$20001,Kalkulasi!$B$25,DATA_TS!$C$2:$C$20001,Kalkulasi!$B$26)</f>
        <v/>
      </c>
      <c r="C61" s="156" t="n"/>
      <c r="D61" s="156" t="n"/>
      <c r="E61" s="156" t="n"/>
      <c r="F61" s="156" t="n"/>
      <c r="G61" s="156" t="n"/>
      <c r="H61" s="156" t="n"/>
      <c r="I61" s="156" t="n"/>
      <c r="J61" s="156" t="n"/>
    </row>
    <row r="62">
      <c r="A62" s="156" t="inlineStr">
        <is>
          <t>Idle</t>
        </is>
      </c>
      <c r="B62" s="183">
        <f>SUMIFS(DATA_TS!$K$2:$K$20001,DATA_TS!$A$2:$A$20001,"&gt;="&amp;Kalkulasi!$B$20,DATA_TS!$A$2:$A$20001,"&lt;="&amp;Kalkulasi!$B$21,DATA_TS!$B$2:$B$20001,Kalkulasi!$B$22,DATA_TS!$E$2:$E$20001,Kalkulasi!$B$25,DATA_TS!$C$2:$C$20001,Kalkulasi!$B$26)</f>
        <v/>
      </c>
      <c r="C62" s="156" t="n"/>
      <c r="D62" s="156" t="n"/>
      <c r="E62" s="156" t="n"/>
      <c r="F62" s="156" t="n"/>
      <c r="G62" s="156" t="n"/>
      <c r="H62" s="156" t="n"/>
      <c r="I62" s="156" t="n"/>
      <c r="J62" s="156" t="n"/>
    </row>
    <row r="63">
      <c r="A63" s="156" t="inlineStr">
        <is>
          <t>PA</t>
        </is>
      </c>
      <c r="B63" s="191">
        <f>IF(Kalkulasi!$B$59+Kalkulasi!$B$60+Kalkulasi!$B$62=0,0,(Kalkulasi!$B$59+Kalkulasi!$B$62)/(Kalkulasi!$B$59+Kalkulasi!$B$60+Kalkulasi!$B$62))</f>
        <v/>
      </c>
      <c r="C63" s="156" t="n"/>
      <c r="D63" s="156" t="n"/>
      <c r="E63" s="156" t="n"/>
      <c r="F63" s="156" t="n"/>
      <c r="G63" s="156" t="n"/>
      <c r="H63" s="156" t="n"/>
      <c r="I63" s="156" t="n"/>
      <c r="J63" s="156" t="n"/>
    </row>
    <row r="64">
      <c r="A64" s="156" t="inlineStr">
        <is>
          <t>UA</t>
        </is>
      </c>
      <c r="B64" s="191">
        <f>IF(Kalkulasi!$B$59+Kalkulasi!$B$62=0,0,Kalkulasi!$B$59/(Kalkulasi!$B$59+Kalkulasi!$B$62))</f>
        <v/>
      </c>
      <c r="C64" s="156" t="n"/>
      <c r="D64" s="156" t="n"/>
      <c r="E64" s="156" t="n"/>
      <c r="F64" s="156" t="n"/>
      <c r="G64" s="156" t="n"/>
      <c r="H64" s="156" t="n"/>
      <c r="I64" s="156" t="n"/>
      <c r="J64" s="156" t="n"/>
    </row>
    <row r="65">
      <c r="A65" s="156" t="inlineStr">
        <is>
          <t>MA</t>
        </is>
      </c>
      <c r="B65" s="191">
        <f>IF(Kalkulasi!$B$59+Kalkulasi!$B$60=0,0,Kalkulasi!$B$59/(Kalkulasi!$B$59+Kalkulasi!$B$60))</f>
        <v/>
      </c>
      <c r="C65" s="156" t="n"/>
      <c r="D65" s="156" t="n"/>
      <c r="E65" s="156" t="n"/>
      <c r="F65" s="156" t="n"/>
      <c r="G65" s="156" t="n"/>
      <c r="H65" s="156" t="n"/>
      <c r="I65" s="156" t="n"/>
      <c r="J65" s="156" t="n"/>
    </row>
    <row r="66">
      <c r="A66" s="156" t="inlineStr">
        <is>
          <t>EU</t>
        </is>
      </c>
      <c r="B66" s="191">
        <f>IF(Kalkulasi!$B$59+Kalkulasi!$B$60+Kalkulasi!$B$62=0,0,Kalkulasi!$B$59/(Kalkulasi!$B$59+Kalkulasi!$B$60+Kalkulasi!$B$62))</f>
        <v/>
      </c>
      <c r="C66" s="156" t="n"/>
      <c r="D66" s="156" t="n"/>
      <c r="E66" s="156" t="n"/>
      <c r="F66" s="156" t="n"/>
      <c r="G66" s="156" t="n"/>
      <c r="H66" s="156" t="n"/>
      <c r="I66" s="156" t="n"/>
      <c r="J66" s="156" t="n"/>
    </row>
    <row r="67">
      <c r="A67" s="156" t="inlineStr">
        <is>
          <t>Unit tercatat</t>
        </is>
      </c>
      <c r="B67" s="190">
        <f>COUNTIF(LIST!$G$3:$G$112,"&gt;0")</f>
        <v/>
      </c>
      <c r="C67" s="156" t="n"/>
      <c r="D67" s="156" t="n"/>
      <c r="E67" s="156" t="n"/>
      <c r="F67" s="156" t="n"/>
      <c r="G67" s="156" t="n"/>
      <c r="H67" s="156" t="n"/>
      <c r="I67" s="156" t="n"/>
      <c r="J67" s="156" t="n"/>
    </row>
    <row r="68">
      <c r="A68" s="156" t="inlineStr">
        <is>
          <t>Porsi BD tak terjadwal</t>
        </is>
      </c>
      <c r="B68" s="189">
        <f>IF(Kalkulasi!$B$60=0,0,Kalkulasi!$B$61/Kalkulasi!$B$60)</f>
        <v/>
      </c>
      <c r="C68" s="156" t="n"/>
      <c r="D68" s="156" t="n"/>
      <c r="E68" s="156" t="n"/>
      <c r="F68" s="156" t="n"/>
      <c r="G68" s="156" t="n"/>
      <c r="H68" s="156" t="n"/>
      <c r="I68" s="156" t="n"/>
      <c r="J68" s="156" t="n"/>
    </row>
    <row r="69">
      <c r="A69" s="156" t="inlineStr">
        <is>
          <t>BD terjadwal</t>
        </is>
      </c>
      <c r="B69" s="183">
        <f>Kalkulasi!$B$60-Kalkulasi!$B$61</f>
        <v/>
      </c>
      <c r="C69" s="156" t="n"/>
      <c r="D69" s="156" t="n"/>
      <c r="E69" s="156" t="n"/>
      <c r="F69" s="156" t="n"/>
      <c r="G69" s="156" t="n"/>
      <c r="H69" s="156" t="n"/>
      <c r="I69" s="156" t="n"/>
      <c r="J69" s="156" t="n"/>
    </row>
    <row r="70">
      <c r="A70" s="156" t="n"/>
      <c r="B70" s="156" t="n"/>
      <c r="C70" s="156" t="n"/>
      <c r="D70" s="156" t="n"/>
      <c r="E70" s="156" t="n"/>
      <c r="F70" s="156" t="n"/>
      <c r="G70" s="156" t="n"/>
      <c r="H70" s="156" t="n"/>
      <c r="I70" s="156" t="n"/>
      <c r="J70" s="156" t="n"/>
    </row>
    <row r="71">
      <c r="A71" s="171" t="inlineStr">
        <is>
          <t>KPI Delay &amp; Hujan</t>
        </is>
      </c>
      <c r="B71" s="156" t="n"/>
      <c r="C71" s="156" t="n"/>
      <c r="D71" s="156" t="n"/>
      <c r="E71" s="156" t="n"/>
      <c r="F71" s="156" t="n"/>
      <c r="G71" s="156" t="n"/>
      <c r="H71" s="156" t="n"/>
      <c r="I71" s="156" t="n"/>
      <c r="J71" s="156" t="n"/>
    </row>
    <row r="72">
      <c r="A72" s="156" t="inlineStr">
        <is>
          <t>Idle</t>
        </is>
      </c>
      <c r="B72" s="183">
        <f>SUMIFS(DATA_TS!$K$2:$K$20001,DATA_TS!$A$2:$A$20001,"&gt;="&amp;Kalkulasi!$B$29,DATA_TS!$A$2:$A$20001,"&lt;="&amp;Kalkulasi!$B$30,DATA_TS!$B$2:$B$20001,Kalkulasi!$B$31,DATA_TS!$E$2:$E$20001,Kalkulasi!$B$34)</f>
        <v/>
      </c>
      <c r="C72" s="156" t="n"/>
      <c r="D72" s="156" t="n"/>
      <c r="E72" s="156" t="n"/>
      <c r="F72" s="156" t="n"/>
      <c r="G72" s="156" t="n"/>
      <c r="H72" s="156" t="n"/>
      <c r="I72" s="156" t="n"/>
      <c r="J72" s="156" t="n"/>
    </row>
    <row r="73">
      <c r="A73" s="156" t="inlineStr">
        <is>
          <t>Idle cuaca</t>
        </is>
      </c>
      <c r="B73" s="183">
        <f>SUMIFS(DATA_TS!$U$2:$U$20001,DATA_TS!$A$2:$A$20001,"&gt;="&amp;Kalkulasi!$B$29,DATA_TS!$A$2:$A$20001,"&lt;="&amp;Kalkulasi!$B$30,DATA_TS!$B$2:$B$20001,Kalkulasi!$B$31,DATA_TS!$E$2:$E$20001,Kalkulasi!$B$34)+SUMIFS(DATA_TS!$V$2:$V$20001,DATA_TS!$A$2:$A$20001,"&gt;="&amp;Kalkulasi!$B$29,DATA_TS!$A$2:$A$20001,"&lt;="&amp;Kalkulasi!$B$30,DATA_TS!$B$2:$B$20001,Kalkulasi!$B$31,DATA_TS!$E$2:$E$20001,Kalkulasi!$B$34)</f>
        <v/>
      </c>
      <c r="C73" s="156" t="n"/>
      <c r="D73" s="156" t="n"/>
      <c r="E73" s="156" t="n"/>
      <c r="F73" s="156" t="n"/>
      <c r="G73" s="156" t="n"/>
      <c r="H73" s="156" t="n"/>
      <c r="I73" s="156" t="n"/>
      <c r="J73" s="156" t="n"/>
    </row>
    <row r="74">
      <c r="A74" s="156" t="inlineStr">
        <is>
          <t>Porsi cuaca</t>
        </is>
      </c>
      <c r="B74" s="189">
        <f>IF(Kalkulasi!$B$72=0,0,Kalkulasi!$B$73/Kalkulasi!$B$72)</f>
        <v/>
      </c>
      <c r="C74" s="156" t="n"/>
      <c r="D74" s="156" t="n"/>
      <c r="E74" s="156" t="n"/>
      <c r="F74" s="156" t="n"/>
      <c r="G74" s="156" t="n"/>
      <c r="H74" s="156" t="n"/>
      <c r="I74" s="156" t="n"/>
      <c r="J74" s="156" t="n"/>
    </row>
    <row r="75">
      <c r="A75" s="156" t="inlineStr">
        <is>
          <t>Jam hujan</t>
        </is>
      </c>
      <c r="B75" s="187">
        <f>SUMIFS(DATA_HUJAN!$C$2:$C$20001,DATA_HUJAN!$A$2:$A$20001,"&gt;="&amp;Kalkulasi!$B$29,DATA_HUJAN!$A$2:$A$20001,"&lt;="&amp;Kalkulasi!$B$30,DATA_HUJAN!$B$2:$B$20001,Kalkulasi!$B$31)</f>
        <v/>
      </c>
      <c r="C75" s="156" t="n"/>
      <c r="D75" s="156" t="n"/>
      <c r="E75" s="156" t="n"/>
      <c r="F75" s="156" t="n"/>
      <c r="G75" s="156" t="n"/>
      <c r="H75" s="156" t="n"/>
      <c r="I75" s="156" t="n"/>
      <c r="J75" s="156" t="n"/>
    </row>
    <row r="76">
      <c r="A76" s="156" t="inlineStr">
        <is>
          <t>Jam slippery</t>
        </is>
      </c>
      <c r="B76" s="187">
        <f>SUMIFS(DATA_HUJAN!$D$2:$D$20001,DATA_HUJAN!$A$2:$A$20001,"&gt;="&amp;Kalkulasi!$B$29,DATA_HUJAN!$A$2:$A$20001,"&lt;="&amp;Kalkulasi!$B$30,DATA_HUJAN!$B$2:$B$20001,Kalkulasi!$B$31)</f>
        <v/>
      </c>
      <c r="C76" s="156" t="n"/>
      <c r="D76" s="156" t="n"/>
      <c r="E76" s="156" t="n"/>
      <c r="F76" s="156" t="n"/>
      <c r="G76" s="156" t="n"/>
      <c r="H76" s="156" t="n"/>
      <c r="I76" s="156" t="n"/>
      <c r="J76" s="156" t="n"/>
    </row>
    <row r="77">
      <c r="A77" s="156" t="inlineStr">
        <is>
          <t>Curah hujan</t>
        </is>
      </c>
      <c r="B77" s="183">
        <f>SUMIFS(DATA_HUJAN!$E$2:$E$20001,DATA_HUJAN!$A$2:$A$20001,"&gt;="&amp;Kalkulasi!$B$29,DATA_HUJAN!$A$2:$A$20001,"&lt;="&amp;Kalkulasi!$B$30,DATA_HUJAN!$B$2:$B$20001,Kalkulasi!$B$31)</f>
        <v/>
      </c>
      <c r="C77" s="156" t="n"/>
      <c r="D77" s="156" t="n"/>
      <c r="E77" s="156" t="n"/>
      <c r="F77" s="156" t="n"/>
      <c r="G77" s="156" t="n"/>
      <c r="H77" s="156" t="n"/>
      <c r="I77" s="156" t="n"/>
      <c r="J77" s="156" t="n"/>
    </row>
    <row r="78">
      <c r="A78" s="156" t="n"/>
      <c r="B78" s="156" t="n"/>
      <c r="C78" s="156" t="n"/>
      <c r="D78" s="156" t="n"/>
      <c r="E78" s="156" t="n"/>
      <c r="F78" s="156" t="n"/>
      <c r="G78" s="156" t="n"/>
      <c r="H78" s="156" t="n"/>
      <c r="I78" s="156" t="n"/>
      <c r="J78" s="156" t="n"/>
    </row>
    <row r="79">
      <c r="A79" s="171" t="inlineStr">
        <is>
          <t>Harian — Produksi</t>
        </is>
      </c>
      <c r="B79" s="156" t="n"/>
      <c r="C79" s="156" t="n"/>
      <c r="D79" s="156" t="n"/>
      <c r="E79" s="156" t="n"/>
      <c r="F79" s="156" t="n"/>
      <c r="G79" s="156" t="n"/>
      <c r="H79" s="156" t="n"/>
      <c r="I79" s="156" t="n"/>
      <c r="J79" s="156" t="n"/>
    </row>
    <row r="80">
      <c r="A80" s="176" t="inlineStr">
        <is>
          <t>No</t>
        </is>
      </c>
      <c r="B80" s="176" t="inlineStr">
        <is>
          <t>Tanggal</t>
        </is>
      </c>
      <c r="C80" s="176" t="inlineStr">
        <is>
          <t>Label</t>
        </is>
      </c>
      <c r="D80" s="176" t="inlineStr">
        <is>
          <t>OB plan</t>
        </is>
      </c>
      <c r="E80" s="176" t="inlineStr">
        <is>
          <t>OB actual</t>
        </is>
      </c>
      <c r="F80" s="176" t="inlineStr">
        <is>
          <t>Coal plan</t>
        </is>
      </c>
      <c r="G80" s="176" t="inlineStr">
        <is>
          <t>Coal actual</t>
        </is>
      </c>
      <c r="H80" s="176" t="inlineStr">
        <is>
          <t>Ach kumulatif %</t>
        </is>
      </c>
      <c r="I80" s="176" t="inlineStr">
        <is>
          <t>OB ≥ plan</t>
        </is>
      </c>
      <c r="J80" s="156" t="n"/>
    </row>
    <row r="81">
      <c r="A81" s="156" t="n">
        <v>1</v>
      </c>
      <c r="B81" s="155">
        <f>IF(Kalkulasi!$B$5+A81-1&lt;=Kalkulasi!$B$6,Kalkulasi!$B$5+A81-1,"")</f>
        <v/>
      </c>
      <c r="C81" s="156">
        <f>IF(B81="","",TEXT(B81,"d"))</f>
        <v/>
      </c>
      <c r="D81" s="183">
        <f>IF($B81="","",SUMIFS(DATA_PLAN!$B$2:$B$20001,DATA_PLAN!$A$2:$A$20001,$B81)*Kalkulasi!$B$8)</f>
        <v/>
      </c>
      <c r="E81" s="183">
        <f>IF($B81="","",SUMIFS(DATA_TS!$Q$2:$Q$20001,DATA_TS!$A$2:$A$20001,$B81,DATA_TS!$B$2:$B$20001,Kalkulasi!$B$7,DATA_TS!$E$2:$E$20001,"Hauler"))</f>
        <v/>
      </c>
      <c r="F81" s="183">
        <f>IF($B81="","",SUMIFS(DATA_PLAN!$C$2:$C$20001,DATA_PLAN!$A$2:$A$20001,$B81)*Kalkulasi!$B$8)</f>
        <v/>
      </c>
      <c r="G81" s="183">
        <f>IF($B81="","",SUMIFS(DATA_TS!$R$2:$R$20001,DATA_TS!$A$2:$A$20001,$B81,DATA_TS!$B$2:$B$20001,Kalkulasi!$B$7,DATA_TS!$E$2:$E$20001,"Hauler"))</f>
        <v/>
      </c>
      <c r="H81" s="190">
        <f>IF($B81="",NA(),IF(SUM($D$81:D81)=0,0,SUM($E$81:E81)/SUM($D$81:D81)*100))</f>
        <v/>
      </c>
      <c r="I81" s="190">
        <f>IF($B81="","",IF(D81=0,0,IF(E81&gt;=D81,1,0)))</f>
        <v/>
      </c>
      <c r="J81" s="156" t="n"/>
    </row>
    <row r="82">
      <c r="A82" s="156" t="n">
        <v>2</v>
      </c>
      <c r="B82" s="155">
        <f>IF(Kalkulasi!$B$5+A82-1&lt;=Kalkulasi!$B$6,Kalkulasi!$B$5+A82-1,"")</f>
        <v/>
      </c>
      <c r="C82" s="156">
        <f>IF(B82="","",TEXT(B82,"d"))</f>
        <v/>
      </c>
      <c r="D82" s="183">
        <f>IF($B82="","",SUMIFS(DATA_PLAN!$B$2:$B$20001,DATA_PLAN!$A$2:$A$20001,$B82)*Kalkulasi!$B$8)</f>
        <v/>
      </c>
      <c r="E82" s="183">
        <f>IF($B82="","",SUMIFS(DATA_TS!$Q$2:$Q$20001,DATA_TS!$A$2:$A$20001,$B82,DATA_TS!$B$2:$B$20001,Kalkulasi!$B$7,DATA_TS!$E$2:$E$20001,"Hauler"))</f>
        <v/>
      </c>
      <c r="F82" s="183">
        <f>IF($B82="","",SUMIFS(DATA_PLAN!$C$2:$C$20001,DATA_PLAN!$A$2:$A$20001,$B82)*Kalkulasi!$B$8)</f>
        <v/>
      </c>
      <c r="G82" s="183">
        <f>IF($B82="","",SUMIFS(DATA_TS!$R$2:$R$20001,DATA_TS!$A$2:$A$20001,$B82,DATA_TS!$B$2:$B$20001,Kalkulasi!$B$7,DATA_TS!$E$2:$E$20001,"Hauler"))</f>
        <v/>
      </c>
      <c r="H82" s="190">
        <f>IF($B82="",NA(),IF(SUM($D$81:D82)=0,0,SUM($E$81:E82)/SUM($D$81:D82)*100))</f>
        <v/>
      </c>
      <c r="I82" s="190">
        <f>IF($B82="","",IF(D82=0,0,IF(E82&gt;=D82,1,0)))</f>
        <v/>
      </c>
      <c r="J82" s="156" t="n"/>
    </row>
    <row r="83">
      <c r="A83" s="156" t="n">
        <v>3</v>
      </c>
      <c r="B83" s="155">
        <f>IF(Kalkulasi!$B$5+A83-1&lt;=Kalkulasi!$B$6,Kalkulasi!$B$5+A83-1,"")</f>
        <v/>
      </c>
      <c r="C83" s="156">
        <f>IF(B83="","",TEXT(B83,"d"))</f>
        <v/>
      </c>
      <c r="D83" s="183">
        <f>IF($B83="","",SUMIFS(DATA_PLAN!$B$2:$B$20001,DATA_PLAN!$A$2:$A$20001,$B83)*Kalkulasi!$B$8)</f>
        <v/>
      </c>
      <c r="E83" s="183">
        <f>IF($B83="","",SUMIFS(DATA_TS!$Q$2:$Q$20001,DATA_TS!$A$2:$A$20001,$B83,DATA_TS!$B$2:$B$20001,Kalkulasi!$B$7,DATA_TS!$E$2:$E$20001,"Hauler"))</f>
        <v/>
      </c>
      <c r="F83" s="183">
        <f>IF($B83="","",SUMIFS(DATA_PLAN!$C$2:$C$20001,DATA_PLAN!$A$2:$A$20001,$B83)*Kalkulasi!$B$8)</f>
        <v/>
      </c>
      <c r="G83" s="183">
        <f>IF($B83="","",SUMIFS(DATA_TS!$R$2:$R$20001,DATA_TS!$A$2:$A$20001,$B83,DATA_TS!$B$2:$B$20001,Kalkulasi!$B$7,DATA_TS!$E$2:$E$20001,"Hauler"))</f>
        <v/>
      </c>
      <c r="H83" s="190">
        <f>IF($B83="",NA(),IF(SUM($D$81:D83)=0,0,SUM($E$81:E83)/SUM($D$81:D83)*100))</f>
        <v/>
      </c>
      <c r="I83" s="190">
        <f>IF($B83="","",IF(D83=0,0,IF(E83&gt;=D83,1,0)))</f>
        <v/>
      </c>
      <c r="J83" s="156" t="n"/>
    </row>
    <row r="84">
      <c r="A84" s="156" t="n">
        <v>4</v>
      </c>
      <c r="B84" s="155">
        <f>IF(Kalkulasi!$B$5+A84-1&lt;=Kalkulasi!$B$6,Kalkulasi!$B$5+A84-1,"")</f>
        <v/>
      </c>
      <c r="C84" s="156">
        <f>IF(B84="","",TEXT(B84,"d"))</f>
        <v/>
      </c>
      <c r="D84" s="183">
        <f>IF($B84="","",SUMIFS(DATA_PLAN!$B$2:$B$20001,DATA_PLAN!$A$2:$A$20001,$B84)*Kalkulasi!$B$8)</f>
        <v/>
      </c>
      <c r="E84" s="183">
        <f>IF($B84="","",SUMIFS(DATA_TS!$Q$2:$Q$20001,DATA_TS!$A$2:$A$20001,$B84,DATA_TS!$B$2:$B$20001,Kalkulasi!$B$7,DATA_TS!$E$2:$E$20001,"Hauler"))</f>
        <v/>
      </c>
      <c r="F84" s="183">
        <f>IF($B84="","",SUMIFS(DATA_PLAN!$C$2:$C$20001,DATA_PLAN!$A$2:$A$20001,$B84)*Kalkulasi!$B$8)</f>
        <v/>
      </c>
      <c r="G84" s="183">
        <f>IF($B84="","",SUMIFS(DATA_TS!$R$2:$R$20001,DATA_TS!$A$2:$A$20001,$B84,DATA_TS!$B$2:$B$20001,Kalkulasi!$B$7,DATA_TS!$E$2:$E$20001,"Hauler"))</f>
        <v/>
      </c>
      <c r="H84" s="190">
        <f>IF($B84="",NA(),IF(SUM($D$81:D84)=0,0,SUM($E$81:E84)/SUM($D$81:D84)*100))</f>
        <v/>
      </c>
      <c r="I84" s="190">
        <f>IF($B84="","",IF(D84=0,0,IF(E84&gt;=D84,1,0)))</f>
        <v/>
      </c>
      <c r="J84" s="156" t="n"/>
    </row>
    <row r="85">
      <c r="A85" s="156" t="n">
        <v>5</v>
      </c>
      <c r="B85" s="155">
        <f>IF(Kalkulasi!$B$5+A85-1&lt;=Kalkulasi!$B$6,Kalkulasi!$B$5+A85-1,"")</f>
        <v/>
      </c>
      <c r="C85" s="156">
        <f>IF(B85="","",TEXT(B85,"d"))</f>
        <v/>
      </c>
      <c r="D85" s="183">
        <f>IF($B85="","",SUMIFS(DATA_PLAN!$B$2:$B$20001,DATA_PLAN!$A$2:$A$20001,$B85)*Kalkulasi!$B$8)</f>
        <v/>
      </c>
      <c r="E85" s="183">
        <f>IF($B85="","",SUMIFS(DATA_TS!$Q$2:$Q$20001,DATA_TS!$A$2:$A$20001,$B85,DATA_TS!$B$2:$B$20001,Kalkulasi!$B$7,DATA_TS!$E$2:$E$20001,"Hauler"))</f>
        <v/>
      </c>
      <c r="F85" s="183">
        <f>IF($B85="","",SUMIFS(DATA_PLAN!$C$2:$C$20001,DATA_PLAN!$A$2:$A$20001,$B85)*Kalkulasi!$B$8)</f>
        <v/>
      </c>
      <c r="G85" s="183">
        <f>IF($B85="","",SUMIFS(DATA_TS!$R$2:$R$20001,DATA_TS!$A$2:$A$20001,$B85,DATA_TS!$B$2:$B$20001,Kalkulasi!$B$7,DATA_TS!$E$2:$E$20001,"Hauler"))</f>
        <v/>
      </c>
      <c r="H85" s="190">
        <f>IF($B85="",NA(),IF(SUM($D$81:D85)=0,0,SUM($E$81:E85)/SUM($D$81:D85)*100))</f>
        <v/>
      </c>
      <c r="I85" s="190">
        <f>IF($B85="","",IF(D85=0,0,IF(E85&gt;=D85,1,0)))</f>
        <v/>
      </c>
      <c r="J85" s="156" t="n"/>
    </row>
    <row r="86">
      <c r="A86" s="156" t="n">
        <v>6</v>
      </c>
      <c r="B86" s="155">
        <f>IF(Kalkulasi!$B$5+A86-1&lt;=Kalkulasi!$B$6,Kalkulasi!$B$5+A86-1,"")</f>
        <v/>
      </c>
      <c r="C86" s="156">
        <f>IF(B86="","",TEXT(B86,"d"))</f>
        <v/>
      </c>
      <c r="D86" s="183">
        <f>IF($B86="","",SUMIFS(DATA_PLAN!$B$2:$B$20001,DATA_PLAN!$A$2:$A$20001,$B86)*Kalkulasi!$B$8)</f>
        <v/>
      </c>
      <c r="E86" s="183">
        <f>IF($B86="","",SUMIFS(DATA_TS!$Q$2:$Q$20001,DATA_TS!$A$2:$A$20001,$B86,DATA_TS!$B$2:$B$20001,Kalkulasi!$B$7,DATA_TS!$E$2:$E$20001,"Hauler"))</f>
        <v/>
      </c>
      <c r="F86" s="183">
        <f>IF($B86="","",SUMIFS(DATA_PLAN!$C$2:$C$20001,DATA_PLAN!$A$2:$A$20001,$B86)*Kalkulasi!$B$8)</f>
        <v/>
      </c>
      <c r="G86" s="183">
        <f>IF($B86="","",SUMIFS(DATA_TS!$R$2:$R$20001,DATA_TS!$A$2:$A$20001,$B86,DATA_TS!$B$2:$B$20001,Kalkulasi!$B$7,DATA_TS!$E$2:$E$20001,"Hauler"))</f>
        <v/>
      </c>
      <c r="H86" s="190">
        <f>IF($B86="",NA(),IF(SUM($D$81:D86)=0,0,SUM($E$81:E86)/SUM($D$81:D86)*100))</f>
        <v/>
      </c>
      <c r="I86" s="190">
        <f>IF($B86="","",IF(D86=0,0,IF(E86&gt;=D86,1,0)))</f>
        <v/>
      </c>
      <c r="J86" s="156" t="n"/>
    </row>
    <row r="87">
      <c r="A87" s="156" t="n">
        <v>7</v>
      </c>
      <c r="B87" s="155">
        <f>IF(Kalkulasi!$B$5+A87-1&lt;=Kalkulasi!$B$6,Kalkulasi!$B$5+A87-1,"")</f>
        <v/>
      </c>
      <c r="C87" s="156">
        <f>IF(B87="","",TEXT(B87,"d"))</f>
        <v/>
      </c>
      <c r="D87" s="183">
        <f>IF($B87="","",SUMIFS(DATA_PLAN!$B$2:$B$20001,DATA_PLAN!$A$2:$A$20001,$B87)*Kalkulasi!$B$8)</f>
        <v/>
      </c>
      <c r="E87" s="183">
        <f>IF($B87="","",SUMIFS(DATA_TS!$Q$2:$Q$20001,DATA_TS!$A$2:$A$20001,$B87,DATA_TS!$B$2:$B$20001,Kalkulasi!$B$7,DATA_TS!$E$2:$E$20001,"Hauler"))</f>
        <v/>
      </c>
      <c r="F87" s="183">
        <f>IF($B87="","",SUMIFS(DATA_PLAN!$C$2:$C$20001,DATA_PLAN!$A$2:$A$20001,$B87)*Kalkulasi!$B$8)</f>
        <v/>
      </c>
      <c r="G87" s="183">
        <f>IF($B87="","",SUMIFS(DATA_TS!$R$2:$R$20001,DATA_TS!$A$2:$A$20001,$B87,DATA_TS!$B$2:$B$20001,Kalkulasi!$B$7,DATA_TS!$E$2:$E$20001,"Hauler"))</f>
        <v/>
      </c>
      <c r="H87" s="190">
        <f>IF($B87="",NA(),IF(SUM($D$81:D87)=0,0,SUM($E$81:E87)/SUM($D$81:D87)*100))</f>
        <v/>
      </c>
      <c r="I87" s="190">
        <f>IF($B87="","",IF(D87=0,0,IF(E87&gt;=D87,1,0)))</f>
        <v/>
      </c>
      <c r="J87" s="156" t="n"/>
    </row>
    <row r="88">
      <c r="A88" s="156" t="n">
        <v>8</v>
      </c>
      <c r="B88" s="155">
        <f>IF(Kalkulasi!$B$5+A88-1&lt;=Kalkulasi!$B$6,Kalkulasi!$B$5+A88-1,"")</f>
        <v/>
      </c>
      <c r="C88" s="156">
        <f>IF(B88="","",TEXT(B88,"d"))</f>
        <v/>
      </c>
      <c r="D88" s="183">
        <f>IF($B88="","",SUMIFS(DATA_PLAN!$B$2:$B$20001,DATA_PLAN!$A$2:$A$20001,$B88)*Kalkulasi!$B$8)</f>
        <v/>
      </c>
      <c r="E88" s="183">
        <f>IF($B88="","",SUMIFS(DATA_TS!$Q$2:$Q$20001,DATA_TS!$A$2:$A$20001,$B88,DATA_TS!$B$2:$B$20001,Kalkulasi!$B$7,DATA_TS!$E$2:$E$20001,"Hauler"))</f>
        <v/>
      </c>
      <c r="F88" s="183">
        <f>IF($B88="","",SUMIFS(DATA_PLAN!$C$2:$C$20001,DATA_PLAN!$A$2:$A$20001,$B88)*Kalkulasi!$B$8)</f>
        <v/>
      </c>
      <c r="G88" s="183">
        <f>IF($B88="","",SUMIFS(DATA_TS!$R$2:$R$20001,DATA_TS!$A$2:$A$20001,$B88,DATA_TS!$B$2:$B$20001,Kalkulasi!$B$7,DATA_TS!$E$2:$E$20001,"Hauler"))</f>
        <v/>
      </c>
      <c r="H88" s="190">
        <f>IF($B88="",NA(),IF(SUM($D$81:D88)=0,0,SUM($E$81:E88)/SUM($D$81:D88)*100))</f>
        <v/>
      </c>
      <c r="I88" s="190">
        <f>IF($B88="","",IF(D88=0,0,IF(E88&gt;=D88,1,0)))</f>
        <v/>
      </c>
      <c r="J88" s="156" t="n"/>
    </row>
    <row r="89">
      <c r="A89" s="156" t="n">
        <v>9</v>
      </c>
      <c r="B89" s="155">
        <f>IF(Kalkulasi!$B$5+A89-1&lt;=Kalkulasi!$B$6,Kalkulasi!$B$5+A89-1,"")</f>
        <v/>
      </c>
      <c r="C89" s="156">
        <f>IF(B89="","",TEXT(B89,"d"))</f>
        <v/>
      </c>
      <c r="D89" s="183">
        <f>IF($B89="","",SUMIFS(DATA_PLAN!$B$2:$B$20001,DATA_PLAN!$A$2:$A$20001,$B89)*Kalkulasi!$B$8)</f>
        <v/>
      </c>
      <c r="E89" s="183">
        <f>IF($B89="","",SUMIFS(DATA_TS!$Q$2:$Q$20001,DATA_TS!$A$2:$A$20001,$B89,DATA_TS!$B$2:$B$20001,Kalkulasi!$B$7,DATA_TS!$E$2:$E$20001,"Hauler"))</f>
        <v/>
      </c>
      <c r="F89" s="183">
        <f>IF($B89="","",SUMIFS(DATA_PLAN!$C$2:$C$20001,DATA_PLAN!$A$2:$A$20001,$B89)*Kalkulasi!$B$8)</f>
        <v/>
      </c>
      <c r="G89" s="183">
        <f>IF($B89="","",SUMIFS(DATA_TS!$R$2:$R$20001,DATA_TS!$A$2:$A$20001,$B89,DATA_TS!$B$2:$B$20001,Kalkulasi!$B$7,DATA_TS!$E$2:$E$20001,"Hauler"))</f>
        <v/>
      </c>
      <c r="H89" s="190">
        <f>IF($B89="",NA(),IF(SUM($D$81:D89)=0,0,SUM($E$81:E89)/SUM($D$81:D89)*100))</f>
        <v/>
      </c>
      <c r="I89" s="190">
        <f>IF($B89="","",IF(D89=0,0,IF(E89&gt;=D89,1,0)))</f>
        <v/>
      </c>
      <c r="J89" s="156" t="n"/>
    </row>
    <row r="90">
      <c r="A90" s="156" t="n">
        <v>10</v>
      </c>
      <c r="B90" s="155">
        <f>IF(Kalkulasi!$B$5+A90-1&lt;=Kalkulasi!$B$6,Kalkulasi!$B$5+A90-1,"")</f>
        <v/>
      </c>
      <c r="C90" s="156">
        <f>IF(B90="","",TEXT(B90,"d"))</f>
        <v/>
      </c>
      <c r="D90" s="183">
        <f>IF($B90="","",SUMIFS(DATA_PLAN!$B$2:$B$20001,DATA_PLAN!$A$2:$A$20001,$B90)*Kalkulasi!$B$8)</f>
        <v/>
      </c>
      <c r="E90" s="183">
        <f>IF($B90="","",SUMIFS(DATA_TS!$Q$2:$Q$20001,DATA_TS!$A$2:$A$20001,$B90,DATA_TS!$B$2:$B$20001,Kalkulasi!$B$7,DATA_TS!$E$2:$E$20001,"Hauler"))</f>
        <v/>
      </c>
      <c r="F90" s="183">
        <f>IF($B90="","",SUMIFS(DATA_PLAN!$C$2:$C$20001,DATA_PLAN!$A$2:$A$20001,$B90)*Kalkulasi!$B$8)</f>
        <v/>
      </c>
      <c r="G90" s="183">
        <f>IF($B90="","",SUMIFS(DATA_TS!$R$2:$R$20001,DATA_TS!$A$2:$A$20001,$B90,DATA_TS!$B$2:$B$20001,Kalkulasi!$B$7,DATA_TS!$E$2:$E$20001,"Hauler"))</f>
        <v/>
      </c>
      <c r="H90" s="190">
        <f>IF($B90="",NA(),IF(SUM($D$81:D90)=0,0,SUM($E$81:E90)/SUM($D$81:D90)*100))</f>
        <v/>
      </c>
      <c r="I90" s="190">
        <f>IF($B90="","",IF(D90=0,0,IF(E90&gt;=D90,1,0)))</f>
        <v/>
      </c>
      <c r="J90" s="156" t="n"/>
    </row>
    <row r="91">
      <c r="A91" s="156" t="n">
        <v>11</v>
      </c>
      <c r="B91" s="155">
        <f>IF(Kalkulasi!$B$5+A91-1&lt;=Kalkulasi!$B$6,Kalkulasi!$B$5+A91-1,"")</f>
        <v/>
      </c>
      <c r="C91" s="156">
        <f>IF(B91="","",TEXT(B91,"d"))</f>
        <v/>
      </c>
      <c r="D91" s="183">
        <f>IF($B91="","",SUMIFS(DATA_PLAN!$B$2:$B$20001,DATA_PLAN!$A$2:$A$20001,$B91)*Kalkulasi!$B$8)</f>
        <v/>
      </c>
      <c r="E91" s="183">
        <f>IF($B91="","",SUMIFS(DATA_TS!$Q$2:$Q$20001,DATA_TS!$A$2:$A$20001,$B91,DATA_TS!$B$2:$B$20001,Kalkulasi!$B$7,DATA_TS!$E$2:$E$20001,"Hauler"))</f>
        <v/>
      </c>
      <c r="F91" s="183">
        <f>IF($B91="","",SUMIFS(DATA_PLAN!$C$2:$C$20001,DATA_PLAN!$A$2:$A$20001,$B91)*Kalkulasi!$B$8)</f>
        <v/>
      </c>
      <c r="G91" s="183">
        <f>IF($B91="","",SUMIFS(DATA_TS!$R$2:$R$20001,DATA_TS!$A$2:$A$20001,$B91,DATA_TS!$B$2:$B$20001,Kalkulasi!$B$7,DATA_TS!$E$2:$E$20001,"Hauler"))</f>
        <v/>
      </c>
      <c r="H91" s="190">
        <f>IF($B91="",NA(),IF(SUM($D$81:D91)=0,0,SUM($E$81:E91)/SUM($D$81:D91)*100))</f>
        <v/>
      </c>
      <c r="I91" s="190">
        <f>IF($B91="","",IF(D91=0,0,IF(E91&gt;=D91,1,0)))</f>
        <v/>
      </c>
      <c r="J91" s="156" t="n"/>
    </row>
    <row r="92">
      <c r="A92" s="156" t="n">
        <v>12</v>
      </c>
      <c r="B92" s="155">
        <f>IF(Kalkulasi!$B$5+A92-1&lt;=Kalkulasi!$B$6,Kalkulasi!$B$5+A92-1,"")</f>
        <v/>
      </c>
      <c r="C92" s="156">
        <f>IF(B92="","",TEXT(B92,"d"))</f>
        <v/>
      </c>
      <c r="D92" s="183">
        <f>IF($B92="","",SUMIFS(DATA_PLAN!$B$2:$B$20001,DATA_PLAN!$A$2:$A$20001,$B92)*Kalkulasi!$B$8)</f>
        <v/>
      </c>
      <c r="E92" s="183">
        <f>IF($B92="","",SUMIFS(DATA_TS!$Q$2:$Q$20001,DATA_TS!$A$2:$A$20001,$B92,DATA_TS!$B$2:$B$20001,Kalkulasi!$B$7,DATA_TS!$E$2:$E$20001,"Hauler"))</f>
        <v/>
      </c>
      <c r="F92" s="183">
        <f>IF($B92="","",SUMIFS(DATA_PLAN!$C$2:$C$20001,DATA_PLAN!$A$2:$A$20001,$B92)*Kalkulasi!$B$8)</f>
        <v/>
      </c>
      <c r="G92" s="183">
        <f>IF($B92="","",SUMIFS(DATA_TS!$R$2:$R$20001,DATA_TS!$A$2:$A$20001,$B92,DATA_TS!$B$2:$B$20001,Kalkulasi!$B$7,DATA_TS!$E$2:$E$20001,"Hauler"))</f>
        <v/>
      </c>
      <c r="H92" s="190">
        <f>IF($B92="",NA(),IF(SUM($D$81:D92)=0,0,SUM($E$81:E92)/SUM($D$81:D92)*100))</f>
        <v/>
      </c>
      <c r="I92" s="190">
        <f>IF($B92="","",IF(D92=0,0,IF(E92&gt;=D92,1,0)))</f>
        <v/>
      </c>
      <c r="J92" s="156" t="n"/>
    </row>
    <row r="93">
      <c r="A93" s="156" t="n">
        <v>13</v>
      </c>
      <c r="B93" s="155">
        <f>IF(Kalkulasi!$B$5+A93-1&lt;=Kalkulasi!$B$6,Kalkulasi!$B$5+A93-1,"")</f>
        <v/>
      </c>
      <c r="C93" s="156">
        <f>IF(B93="","",TEXT(B93,"d"))</f>
        <v/>
      </c>
      <c r="D93" s="183">
        <f>IF($B93="","",SUMIFS(DATA_PLAN!$B$2:$B$20001,DATA_PLAN!$A$2:$A$20001,$B93)*Kalkulasi!$B$8)</f>
        <v/>
      </c>
      <c r="E93" s="183">
        <f>IF($B93="","",SUMIFS(DATA_TS!$Q$2:$Q$20001,DATA_TS!$A$2:$A$20001,$B93,DATA_TS!$B$2:$B$20001,Kalkulasi!$B$7,DATA_TS!$E$2:$E$20001,"Hauler"))</f>
        <v/>
      </c>
      <c r="F93" s="183">
        <f>IF($B93="","",SUMIFS(DATA_PLAN!$C$2:$C$20001,DATA_PLAN!$A$2:$A$20001,$B93)*Kalkulasi!$B$8)</f>
        <v/>
      </c>
      <c r="G93" s="183">
        <f>IF($B93="","",SUMIFS(DATA_TS!$R$2:$R$20001,DATA_TS!$A$2:$A$20001,$B93,DATA_TS!$B$2:$B$20001,Kalkulasi!$B$7,DATA_TS!$E$2:$E$20001,"Hauler"))</f>
        <v/>
      </c>
      <c r="H93" s="190">
        <f>IF($B93="",NA(),IF(SUM($D$81:D93)=0,0,SUM($E$81:E93)/SUM($D$81:D93)*100))</f>
        <v/>
      </c>
      <c r="I93" s="190">
        <f>IF($B93="","",IF(D93=0,0,IF(E93&gt;=D93,1,0)))</f>
        <v/>
      </c>
      <c r="J93" s="156" t="n"/>
    </row>
    <row r="94">
      <c r="A94" s="156" t="n">
        <v>14</v>
      </c>
      <c r="B94" s="155">
        <f>IF(Kalkulasi!$B$5+A94-1&lt;=Kalkulasi!$B$6,Kalkulasi!$B$5+A94-1,"")</f>
        <v/>
      </c>
      <c r="C94" s="156">
        <f>IF(B94="","",TEXT(B94,"d"))</f>
        <v/>
      </c>
      <c r="D94" s="183">
        <f>IF($B94="","",SUMIFS(DATA_PLAN!$B$2:$B$20001,DATA_PLAN!$A$2:$A$20001,$B94)*Kalkulasi!$B$8)</f>
        <v/>
      </c>
      <c r="E94" s="183">
        <f>IF($B94="","",SUMIFS(DATA_TS!$Q$2:$Q$20001,DATA_TS!$A$2:$A$20001,$B94,DATA_TS!$B$2:$B$20001,Kalkulasi!$B$7,DATA_TS!$E$2:$E$20001,"Hauler"))</f>
        <v/>
      </c>
      <c r="F94" s="183">
        <f>IF($B94="","",SUMIFS(DATA_PLAN!$C$2:$C$20001,DATA_PLAN!$A$2:$A$20001,$B94)*Kalkulasi!$B$8)</f>
        <v/>
      </c>
      <c r="G94" s="183">
        <f>IF($B94="","",SUMIFS(DATA_TS!$R$2:$R$20001,DATA_TS!$A$2:$A$20001,$B94,DATA_TS!$B$2:$B$20001,Kalkulasi!$B$7,DATA_TS!$E$2:$E$20001,"Hauler"))</f>
        <v/>
      </c>
      <c r="H94" s="190">
        <f>IF($B94="",NA(),IF(SUM($D$81:D94)=0,0,SUM($E$81:E94)/SUM($D$81:D94)*100))</f>
        <v/>
      </c>
      <c r="I94" s="190">
        <f>IF($B94="","",IF(D94=0,0,IF(E94&gt;=D94,1,0)))</f>
        <v/>
      </c>
      <c r="J94" s="156" t="n"/>
    </row>
    <row r="95">
      <c r="A95" s="156" t="n">
        <v>15</v>
      </c>
      <c r="B95" s="155">
        <f>IF(Kalkulasi!$B$5+A95-1&lt;=Kalkulasi!$B$6,Kalkulasi!$B$5+A95-1,"")</f>
        <v/>
      </c>
      <c r="C95" s="156">
        <f>IF(B95="","",TEXT(B95,"d"))</f>
        <v/>
      </c>
      <c r="D95" s="183">
        <f>IF($B95="","",SUMIFS(DATA_PLAN!$B$2:$B$20001,DATA_PLAN!$A$2:$A$20001,$B95)*Kalkulasi!$B$8)</f>
        <v/>
      </c>
      <c r="E95" s="183">
        <f>IF($B95="","",SUMIFS(DATA_TS!$Q$2:$Q$20001,DATA_TS!$A$2:$A$20001,$B95,DATA_TS!$B$2:$B$20001,Kalkulasi!$B$7,DATA_TS!$E$2:$E$20001,"Hauler"))</f>
        <v/>
      </c>
      <c r="F95" s="183">
        <f>IF($B95="","",SUMIFS(DATA_PLAN!$C$2:$C$20001,DATA_PLAN!$A$2:$A$20001,$B95)*Kalkulasi!$B$8)</f>
        <v/>
      </c>
      <c r="G95" s="183">
        <f>IF($B95="","",SUMIFS(DATA_TS!$R$2:$R$20001,DATA_TS!$A$2:$A$20001,$B95,DATA_TS!$B$2:$B$20001,Kalkulasi!$B$7,DATA_TS!$E$2:$E$20001,"Hauler"))</f>
        <v/>
      </c>
      <c r="H95" s="190">
        <f>IF($B95="",NA(),IF(SUM($D$81:D95)=0,0,SUM($E$81:E95)/SUM($D$81:D95)*100))</f>
        <v/>
      </c>
      <c r="I95" s="190">
        <f>IF($B95="","",IF(D95=0,0,IF(E95&gt;=D95,1,0)))</f>
        <v/>
      </c>
      <c r="J95" s="156" t="n"/>
    </row>
    <row r="96">
      <c r="A96" s="156" t="n">
        <v>16</v>
      </c>
      <c r="B96" s="155">
        <f>IF(Kalkulasi!$B$5+A96-1&lt;=Kalkulasi!$B$6,Kalkulasi!$B$5+A96-1,"")</f>
        <v/>
      </c>
      <c r="C96" s="156">
        <f>IF(B96="","",TEXT(B96,"d"))</f>
        <v/>
      </c>
      <c r="D96" s="183">
        <f>IF($B96="","",SUMIFS(DATA_PLAN!$B$2:$B$20001,DATA_PLAN!$A$2:$A$20001,$B96)*Kalkulasi!$B$8)</f>
        <v/>
      </c>
      <c r="E96" s="183">
        <f>IF($B96="","",SUMIFS(DATA_TS!$Q$2:$Q$20001,DATA_TS!$A$2:$A$20001,$B96,DATA_TS!$B$2:$B$20001,Kalkulasi!$B$7,DATA_TS!$E$2:$E$20001,"Hauler"))</f>
        <v/>
      </c>
      <c r="F96" s="183">
        <f>IF($B96="","",SUMIFS(DATA_PLAN!$C$2:$C$20001,DATA_PLAN!$A$2:$A$20001,$B96)*Kalkulasi!$B$8)</f>
        <v/>
      </c>
      <c r="G96" s="183">
        <f>IF($B96="","",SUMIFS(DATA_TS!$R$2:$R$20001,DATA_TS!$A$2:$A$20001,$B96,DATA_TS!$B$2:$B$20001,Kalkulasi!$B$7,DATA_TS!$E$2:$E$20001,"Hauler"))</f>
        <v/>
      </c>
      <c r="H96" s="190">
        <f>IF($B96="",NA(),IF(SUM($D$81:D96)=0,0,SUM($E$81:E96)/SUM($D$81:D96)*100))</f>
        <v/>
      </c>
      <c r="I96" s="190">
        <f>IF($B96="","",IF(D96=0,0,IF(E96&gt;=D96,1,0)))</f>
        <v/>
      </c>
      <c r="J96" s="156" t="n"/>
    </row>
    <row r="97">
      <c r="A97" s="156" t="n">
        <v>17</v>
      </c>
      <c r="B97" s="155">
        <f>IF(Kalkulasi!$B$5+A97-1&lt;=Kalkulasi!$B$6,Kalkulasi!$B$5+A97-1,"")</f>
        <v/>
      </c>
      <c r="C97" s="156">
        <f>IF(B97="","",TEXT(B97,"d"))</f>
        <v/>
      </c>
      <c r="D97" s="183">
        <f>IF($B97="","",SUMIFS(DATA_PLAN!$B$2:$B$20001,DATA_PLAN!$A$2:$A$20001,$B97)*Kalkulasi!$B$8)</f>
        <v/>
      </c>
      <c r="E97" s="183">
        <f>IF($B97="","",SUMIFS(DATA_TS!$Q$2:$Q$20001,DATA_TS!$A$2:$A$20001,$B97,DATA_TS!$B$2:$B$20001,Kalkulasi!$B$7,DATA_TS!$E$2:$E$20001,"Hauler"))</f>
        <v/>
      </c>
      <c r="F97" s="183">
        <f>IF($B97="","",SUMIFS(DATA_PLAN!$C$2:$C$20001,DATA_PLAN!$A$2:$A$20001,$B97)*Kalkulasi!$B$8)</f>
        <v/>
      </c>
      <c r="G97" s="183">
        <f>IF($B97="","",SUMIFS(DATA_TS!$R$2:$R$20001,DATA_TS!$A$2:$A$20001,$B97,DATA_TS!$B$2:$B$20001,Kalkulasi!$B$7,DATA_TS!$E$2:$E$20001,"Hauler"))</f>
        <v/>
      </c>
      <c r="H97" s="190">
        <f>IF($B97="",NA(),IF(SUM($D$81:D97)=0,0,SUM($E$81:E97)/SUM($D$81:D97)*100))</f>
        <v/>
      </c>
      <c r="I97" s="190">
        <f>IF($B97="","",IF(D97=0,0,IF(E97&gt;=D97,1,0)))</f>
        <v/>
      </c>
      <c r="J97" s="156" t="n"/>
    </row>
    <row r="98">
      <c r="A98" s="156" t="n">
        <v>18</v>
      </c>
      <c r="B98" s="155">
        <f>IF(Kalkulasi!$B$5+A98-1&lt;=Kalkulasi!$B$6,Kalkulasi!$B$5+A98-1,"")</f>
        <v/>
      </c>
      <c r="C98" s="156">
        <f>IF(B98="","",TEXT(B98,"d"))</f>
        <v/>
      </c>
      <c r="D98" s="183">
        <f>IF($B98="","",SUMIFS(DATA_PLAN!$B$2:$B$20001,DATA_PLAN!$A$2:$A$20001,$B98)*Kalkulasi!$B$8)</f>
        <v/>
      </c>
      <c r="E98" s="183">
        <f>IF($B98="","",SUMIFS(DATA_TS!$Q$2:$Q$20001,DATA_TS!$A$2:$A$20001,$B98,DATA_TS!$B$2:$B$20001,Kalkulasi!$B$7,DATA_TS!$E$2:$E$20001,"Hauler"))</f>
        <v/>
      </c>
      <c r="F98" s="183">
        <f>IF($B98="","",SUMIFS(DATA_PLAN!$C$2:$C$20001,DATA_PLAN!$A$2:$A$20001,$B98)*Kalkulasi!$B$8)</f>
        <v/>
      </c>
      <c r="G98" s="183">
        <f>IF($B98="","",SUMIFS(DATA_TS!$R$2:$R$20001,DATA_TS!$A$2:$A$20001,$B98,DATA_TS!$B$2:$B$20001,Kalkulasi!$B$7,DATA_TS!$E$2:$E$20001,"Hauler"))</f>
        <v/>
      </c>
      <c r="H98" s="190">
        <f>IF($B98="",NA(),IF(SUM($D$81:D98)=0,0,SUM($E$81:E98)/SUM($D$81:D98)*100))</f>
        <v/>
      </c>
      <c r="I98" s="190">
        <f>IF($B98="","",IF(D98=0,0,IF(E98&gt;=D98,1,0)))</f>
        <v/>
      </c>
      <c r="J98" s="156" t="n"/>
    </row>
    <row r="99">
      <c r="A99" s="156" t="n">
        <v>19</v>
      </c>
      <c r="B99" s="155">
        <f>IF(Kalkulasi!$B$5+A99-1&lt;=Kalkulasi!$B$6,Kalkulasi!$B$5+A99-1,"")</f>
        <v/>
      </c>
      <c r="C99" s="156">
        <f>IF(B99="","",TEXT(B99,"d"))</f>
        <v/>
      </c>
      <c r="D99" s="183">
        <f>IF($B99="","",SUMIFS(DATA_PLAN!$B$2:$B$20001,DATA_PLAN!$A$2:$A$20001,$B99)*Kalkulasi!$B$8)</f>
        <v/>
      </c>
      <c r="E99" s="183">
        <f>IF($B99="","",SUMIFS(DATA_TS!$Q$2:$Q$20001,DATA_TS!$A$2:$A$20001,$B99,DATA_TS!$B$2:$B$20001,Kalkulasi!$B$7,DATA_TS!$E$2:$E$20001,"Hauler"))</f>
        <v/>
      </c>
      <c r="F99" s="183">
        <f>IF($B99="","",SUMIFS(DATA_PLAN!$C$2:$C$20001,DATA_PLAN!$A$2:$A$20001,$B99)*Kalkulasi!$B$8)</f>
        <v/>
      </c>
      <c r="G99" s="183">
        <f>IF($B99="","",SUMIFS(DATA_TS!$R$2:$R$20001,DATA_TS!$A$2:$A$20001,$B99,DATA_TS!$B$2:$B$20001,Kalkulasi!$B$7,DATA_TS!$E$2:$E$20001,"Hauler"))</f>
        <v/>
      </c>
      <c r="H99" s="190">
        <f>IF($B99="",NA(),IF(SUM($D$81:D99)=0,0,SUM($E$81:E99)/SUM($D$81:D99)*100))</f>
        <v/>
      </c>
      <c r="I99" s="190">
        <f>IF($B99="","",IF(D99=0,0,IF(E99&gt;=D99,1,0)))</f>
        <v/>
      </c>
      <c r="J99" s="156" t="n"/>
    </row>
    <row r="100">
      <c r="A100" s="156" t="n">
        <v>20</v>
      </c>
      <c r="B100" s="155">
        <f>IF(Kalkulasi!$B$5+A100-1&lt;=Kalkulasi!$B$6,Kalkulasi!$B$5+A100-1,"")</f>
        <v/>
      </c>
      <c r="C100" s="156">
        <f>IF(B100="","",TEXT(B100,"d"))</f>
        <v/>
      </c>
      <c r="D100" s="183">
        <f>IF($B100="","",SUMIFS(DATA_PLAN!$B$2:$B$20001,DATA_PLAN!$A$2:$A$20001,$B100)*Kalkulasi!$B$8)</f>
        <v/>
      </c>
      <c r="E100" s="183">
        <f>IF($B100="","",SUMIFS(DATA_TS!$Q$2:$Q$20001,DATA_TS!$A$2:$A$20001,$B100,DATA_TS!$B$2:$B$20001,Kalkulasi!$B$7,DATA_TS!$E$2:$E$20001,"Hauler"))</f>
        <v/>
      </c>
      <c r="F100" s="183">
        <f>IF($B100="","",SUMIFS(DATA_PLAN!$C$2:$C$20001,DATA_PLAN!$A$2:$A$20001,$B100)*Kalkulasi!$B$8)</f>
        <v/>
      </c>
      <c r="G100" s="183">
        <f>IF($B100="","",SUMIFS(DATA_TS!$R$2:$R$20001,DATA_TS!$A$2:$A$20001,$B100,DATA_TS!$B$2:$B$20001,Kalkulasi!$B$7,DATA_TS!$E$2:$E$20001,"Hauler"))</f>
        <v/>
      </c>
      <c r="H100" s="190">
        <f>IF($B100="",NA(),IF(SUM($D$81:D100)=0,0,SUM($E$81:E100)/SUM($D$81:D100)*100))</f>
        <v/>
      </c>
      <c r="I100" s="190">
        <f>IF($B100="","",IF(D100=0,0,IF(E100&gt;=D100,1,0)))</f>
        <v/>
      </c>
      <c r="J100" s="156" t="n"/>
    </row>
    <row r="101">
      <c r="A101" s="156" t="n">
        <v>21</v>
      </c>
      <c r="B101" s="155">
        <f>IF(Kalkulasi!$B$5+A101-1&lt;=Kalkulasi!$B$6,Kalkulasi!$B$5+A101-1,"")</f>
        <v/>
      </c>
      <c r="C101" s="156">
        <f>IF(B101="","",TEXT(B101,"d"))</f>
        <v/>
      </c>
      <c r="D101" s="183">
        <f>IF($B101="","",SUMIFS(DATA_PLAN!$B$2:$B$20001,DATA_PLAN!$A$2:$A$20001,$B101)*Kalkulasi!$B$8)</f>
        <v/>
      </c>
      <c r="E101" s="183">
        <f>IF($B101="","",SUMIFS(DATA_TS!$Q$2:$Q$20001,DATA_TS!$A$2:$A$20001,$B101,DATA_TS!$B$2:$B$20001,Kalkulasi!$B$7,DATA_TS!$E$2:$E$20001,"Hauler"))</f>
        <v/>
      </c>
      <c r="F101" s="183">
        <f>IF($B101="","",SUMIFS(DATA_PLAN!$C$2:$C$20001,DATA_PLAN!$A$2:$A$20001,$B101)*Kalkulasi!$B$8)</f>
        <v/>
      </c>
      <c r="G101" s="183">
        <f>IF($B101="","",SUMIFS(DATA_TS!$R$2:$R$20001,DATA_TS!$A$2:$A$20001,$B101,DATA_TS!$B$2:$B$20001,Kalkulasi!$B$7,DATA_TS!$E$2:$E$20001,"Hauler"))</f>
        <v/>
      </c>
      <c r="H101" s="190">
        <f>IF($B101="",NA(),IF(SUM($D$81:D101)=0,0,SUM($E$81:E101)/SUM($D$81:D101)*100))</f>
        <v/>
      </c>
      <c r="I101" s="190">
        <f>IF($B101="","",IF(D101=0,0,IF(E101&gt;=D101,1,0)))</f>
        <v/>
      </c>
      <c r="J101" s="156" t="n"/>
    </row>
    <row r="102">
      <c r="A102" s="156" t="n">
        <v>22</v>
      </c>
      <c r="B102" s="155">
        <f>IF(Kalkulasi!$B$5+A102-1&lt;=Kalkulasi!$B$6,Kalkulasi!$B$5+A102-1,"")</f>
        <v/>
      </c>
      <c r="C102" s="156">
        <f>IF(B102="","",TEXT(B102,"d"))</f>
        <v/>
      </c>
      <c r="D102" s="183">
        <f>IF($B102="","",SUMIFS(DATA_PLAN!$B$2:$B$20001,DATA_PLAN!$A$2:$A$20001,$B102)*Kalkulasi!$B$8)</f>
        <v/>
      </c>
      <c r="E102" s="183">
        <f>IF($B102="","",SUMIFS(DATA_TS!$Q$2:$Q$20001,DATA_TS!$A$2:$A$20001,$B102,DATA_TS!$B$2:$B$20001,Kalkulasi!$B$7,DATA_TS!$E$2:$E$20001,"Hauler"))</f>
        <v/>
      </c>
      <c r="F102" s="183">
        <f>IF($B102="","",SUMIFS(DATA_PLAN!$C$2:$C$20001,DATA_PLAN!$A$2:$A$20001,$B102)*Kalkulasi!$B$8)</f>
        <v/>
      </c>
      <c r="G102" s="183">
        <f>IF($B102="","",SUMIFS(DATA_TS!$R$2:$R$20001,DATA_TS!$A$2:$A$20001,$B102,DATA_TS!$B$2:$B$20001,Kalkulasi!$B$7,DATA_TS!$E$2:$E$20001,"Hauler"))</f>
        <v/>
      </c>
      <c r="H102" s="190">
        <f>IF($B102="",NA(),IF(SUM($D$81:D102)=0,0,SUM($E$81:E102)/SUM($D$81:D102)*100))</f>
        <v/>
      </c>
      <c r="I102" s="190">
        <f>IF($B102="","",IF(D102=0,0,IF(E102&gt;=D102,1,0)))</f>
        <v/>
      </c>
      <c r="J102" s="156" t="n"/>
    </row>
    <row r="103">
      <c r="A103" s="156" t="n">
        <v>23</v>
      </c>
      <c r="B103" s="155">
        <f>IF(Kalkulasi!$B$5+A103-1&lt;=Kalkulasi!$B$6,Kalkulasi!$B$5+A103-1,"")</f>
        <v/>
      </c>
      <c r="C103" s="156">
        <f>IF(B103="","",TEXT(B103,"d"))</f>
        <v/>
      </c>
      <c r="D103" s="183">
        <f>IF($B103="","",SUMIFS(DATA_PLAN!$B$2:$B$20001,DATA_PLAN!$A$2:$A$20001,$B103)*Kalkulasi!$B$8)</f>
        <v/>
      </c>
      <c r="E103" s="183">
        <f>IF($B103="","",SUMIFS(DATA_TS!$Q$2:$Q$20001,DATA_TS!$A$2:$A$20001,$B103,DATA_TS!$B$2:$B$20001,Kalkulasi!$B$7,DATA_TS!$E$2:$E$20001,"Hauler"))</f>
        <v/>
      </c>
      <c r="F103" s="183">
        <f>IF($B103="","",SUMIFS(DATA_PLAN!$C$2:$C$20001,DATA_PLAN!$A$2:$A$20001,$B103)*Kalkulasi!$B$8)</f>
        <v/>
      </c>
      <c r="G103" s="183">
        <f>IF($B103="","",SUMIFS(DATA_TS!$R$2:$R$20001,DATA_TS!$A$2:$A$20001,$B103,DATA_TS!$B$2:$B$20001,Kalkulasi!$B$7,DATA_TS!$E$2:$E$20001,"Hauler"))</f>
        <v/>
      </c>
      <c r="H103" s="190">
        <f>IF($B103="",NA(),IF(SUM($D$81:D103)=0,0,SUM($E$81:E103)/SUM($D$81:D103)*100))</f>
        <v/>
      </c>
      <c r="I103" s="190">
        <f>IF($B103="","",IF(D103=0,0,IF(E103&gt;=D103,1,0)))</f>
        <v/>
      </c>
      <c r="J103" s="156" t="n"/>
    </row>
    <row r="104">
      <c r="A104" s="156" t="n">
        <v>24</v>
      </c>
      <c r="B104" s="155">
        <f>IF(Kalkulasi!$B$5+A104-1&lt;=Kalkulasi!$B$6,Kalkulasi!$B$5+A104-1,"")</f>
        <v/>
      </c>
      <c r="C104" s="156">
        <f>IF(B104="","",TEXT(B104,"d"))</f>
        <v/>
      </c>
      <c r="D104" s="183">
        <f>IF($B104="","",SUMIFS(DATA_PLAN!$B$2:$B$20001,DATA_PLAN!$A$2:$A$20001,$B104)*Kalkulasi!$B$8)</f>
        <v/>
      </c>
      <c r="E104" s="183">
        <f>IF($B104="","",SUMIFS(DATA_TS!$Q$2:$Q$20001,DATA_TS!$A$2:$A$20001,$B104,DATA_TS!$B$2:$B$20001,Kalkulasi!$B$7,DATA_TS!$E$2:$E$20001,"Hauler"))</f>
        <v/>
      </c>
      <c r="F104" s="183">
        <f>IF($B104="","",SUMIFS(DATA_PLAN!$C$2:$C$20001,DATA_PLAN!$A$2:$A$20001,$B104)*Kalkulasi!$B$8)</f>
        <v/>
      </c>
      <c r="G104" s="183">
        <f>IF($B104="","",SUMIFS(DATA_TS!$R$2:$R$20001,DATA_TS!$A$2:$A$20001,$B104,DATA_TS!$B$2:$B$20001,Kalkulasi!$B$7,DATA_TS!$E$2:$E$20001,"Hauler"))</f>
        <v/>
      </c>
      <c r="H104" s="190">
        <f>IF($B104="",NA(),IF(SUM($D$81:D104)=0,0,SUM($E$81:E104)/SUM($D$81:D104)*100))</f>
        <v/>
      </c>
      <c r="I104" s="190">
        <f>IF($B104="","",IF(D104=0,0,IF(E104&gt;=D104,1,0)))</f>
        <v/>
      </c>
      <c r="J104" s="156" t="n"/>
    </row>
    <row r="105">
      <c r="A105" s="156" t="n">
        <v>25</v>
      </c>
      <c r="B105" s="155">
        <f>IF(Kalkulasi!$B$5+A105-1&lt;=Kalkulasi!$B$6,Kalkulasi!$B$5+A105-1,"")</f>
        <v/>
      </c>
      <c r="C105" s="156">
        <f>IF(B105="","",TEXT(B105,"d"))</f>
        <v/>
      </c>
      <c r="D105" s="183">
        <f>IF($B105="","",SUMIFS(DATA_PLAN!$B$2:$B$20001,DATA_PLAN!$A$2:$A$20001,$B105)*Kalkulasi!$B$8)</f>
        <v/>
      </c>
      <c r="E105" s="183">
        <f>IF($B105="","",SUMIFS(DATA_TS!$Q$2:$Q$20001,DATA_TS!$A$2:$A$20001,$B105,DATA_TS!$B$2:$B$20001,Kalkulasi!$B$7,DATA_TS!$E$2:$E$20001,"Hauler"))</f>
        <v/>
      </c>
      <c r="F105" s="183">
        <f>IF($B105="","",SUMIFS(DATA_PLAN!$C$2:$C$20001,DATA_PLAN!$A$2:$A$20001,$B105)*Kalkulasi!$B$8)</f>
        <v/>
      </c>
      <c r="G105" s="183">
        <f>IF($B105="","",SUMIFS(DATA_TS!$R$2:$R$20001,DATA_TS!$A$2:$A$20001,$B105,DATA_TS!$B$2:$B$20001,Kalkulasi!$B$7,DATA_TS!$E$2:$E$20001,"Hauler"))</f>
        <v/>
      </c>
      <c r="H105" s="190">
        <f>IF($B105="",NA(),IF(SUM($D$81:D105)=0,0,SUM($E$81:E105)/SUM($D$81:D105)*100))</f>
        <v/>
      </c>
      <c r="I105" s="190">
        <f>IF($B105="","",IF(D105=0,0,IF(E105&gt;=D105,1,0)))</f>
        <v/>
      </c>
      <c r="J105" s="156" t="n"/>
    </row>
    <row r="106">
      <c r="A106" s="156" t="n">
        <v>26</v>
      </c>
      <c r="B106" s="155">
        <f>IF(Kalkulasi!$B$5+A106-1&lt;=Kalkulasi!$B$6,Kalkulasi!$B$5+A106-1,"")</f>
        <v/>
      </c>
      <c r="C106" s="156">
        <f>IF(B106="","",TEXT(B106,"d"))</f>
        <v/>
      </c>
      <c r="D106" s="183">
        <f>IF($B106="","",SUMIFS(DATA_PLAN!$B$2:$B$20001,DATA_PLAN!$A$2:$A$20001,$B106)*Kalkulasi!$B$8)</f>
        <v/>
      </c>
      <c r="E106" s="183">
        <f>IF($B106="","",SUMIFS(DATA_TS!$Q$2:$Q$20001,DATA_TS!$A$2:$A$20001,$B106,DATA_TS!$B$2:$B$20001,Kalkulasi!$B$7,DATA_TS!$E$2:$E$20001,"Hauler"))</f>
        <v/>
      </c>
      <c r="F106" s="183">
        <f>IF($B106="","",SUMIFS(DATA_PLAN!$C$2:$C$20001,DATA_PLAN!$A$2:$A$20001,$B106)*Kalkulasi!$B$8)</f>
        <v/>
      </c>
      <c r="G106" s="183">
        <f>IF($B106="","",SUMIFS(DATA_TS!$R$2:$R$20001,DATA_TS!$A$2:$A$20001,$B106,DATA_TS!$B$2:$B$20001,Kalkulasi!$B$7,DATA_TS!$E$2:$E$20001,"Hauler"))</f>
        <v/>
      </c>
      <c r="H106" s="190">
        <f>IF($B106="",NA(),IF(SUM($D$81:D106)=0,0,SUM($E$81:E106)/SUM($D$81:D106)*100))</f>
        <v/>
      </c>
      <c r="I106" s="190">
        <f>IF($B106="","",IF(D106=0,0,IF(E106&gt;=D106,1,0)))</f>
        <v/>
      </c>
      <c r="J106" s="156" t="n"/>
    </row>
    <row r="107">
      <c r="A107" s="156" t="n">
        <v>27</v>
      </c>
      <c r="B107" s="155">
        <f>IF(Kalkulasi!$B$5+A107-1&lt;=Kalkulasi!$B$6,Kalkulasi!$B$5+A107-1,"")</f>
        <v/>
      </c>
      <c r="C107" s="156">
        <f>IF(B107="","",TEXT(B107,"d"))</f>
        <v/>
      </c>
      <c r="D107" s="183">
        <f>IF($B107="","",SUMIFS(DATA_PLAN!$B$2:$B$20001,DATA_PLAN!$A$2:$A$20001,$B107)*Kalkulasi!$B$8)</f>
        <v/>
      </c>
      <c r="E107" s="183">
        <f>IF($B107="","",SUMIFS(DATA_TS!$Q$2:$Q$20001,DATA_TS!$A$2:$A$20001,$B107,DATA_TS!$B$2:$B$20001,Kalkulasi!$B$7,DATA_TS!$E$2:$E$20001,"Hauler"))</f>
        <v/>
      </c>
      <c r="F107" s="183">
        <f>IF($B107="","",SUMIFS(DATA_PLAN!$C$2:$C$20001,DATA_PLAN!$A$2:$A$20001,$B107)*Kalkulasi!$B$8)</f>
        <v/>
      </c>
      <c r="G107" s="183">
        <f>IF($B107="","",SUMIFS(DATA_TS!$R$2:$R$20001,DATA_TS!$A$2:$A$20001,$B107,DATA_TS!$B$2:$B$20001,Kalkulasi!$B$7,DATA_TS!$E$2:$E$20001,"Hauler"))</f>
        <v/>
      </c>
      <c r="H107" s="190">
        <f>IF($B107="",NA(),IF(SUM($D$81:D107)=0,0,SUM($E$81:E107)/SUM($D$81:D107)*100))</f>
        <v/>
      </c>
      <c r="I107" s="190">
        <f>IF($B107="","",IF(D107=0,0,IF(E107&gt;=D107,1,0)))</f>
        <v/>
      </c>
      <c r="J107" s="156" t="n"/>
    </row>
    <row r="108">
      <c r="A108" s="156" t="n">
        <v>28</v>
      </c>
      <c r="B108" s="155">
        <f>IF(Kalkulasi!$B$5+A108-1&lt;=Kalkulasi!$B$6,Kalkulasi!$B$5+A108-1,"")</f>
        <v/>
      </c>
      <c r="C108" s="156">
        <f>IF(B108="","",TEXT(B108,"d"))</f>
        <v/>
      </c>
      <c r="D108" s="183">
        <f>IF($B108="","",SUMIFS(DATA_PLAN!$B$2:$B$20001,DATA_PLAN!$A$2:$A$20001,$B108)*Kalkulasi!$B$8)</f>
        <v/>
      </c>
      <c r="E108" s="183">
        <f>IF($B108="","",SUMIFS(DATA_TS!$Q$2:$Q$20001,DATA_TS!$A$2:$A$20001,$B108,DATA_TS!$B$2:$B$20001,Kalkulasi!$B$7,DATA_TS!$E$2:$E$20001,"Hauler"))</f>
        <v/>
      </c>
      <c r="F108" s="183">
        <f>IF($B108="","",SUMIFS(DATA_PLAN!$C$2:$C$20001,DATA_PLAN!$A$2:$A$20001,$B108)*Kalkulasi!$B$8)</f>
        <v/>
      </c>
      <c r="G108" s="183">
        <f>IF($B108="","",SUMIFS(DATA_TS!$R$2:$R$20001,DATA_TS!$A$2:$A$20001,$B108,DATA_TS!$B$2:$B$20001,Kalkulasi!$B$7,DATA_TS!$E$2:$E$20001,"Hauler"))</f>
        <v/>
      </c>
      <c r="H108" s="190">
        <f>IF($B108="",NA(),IF(SUM($D$81:D108)=0,0,SUM($E$81:E108)/SUM($D$81:D108)*100))</f>
        <v/>
      </c>
      <c r="I108" s="190">
        <f>IF($B108="","",IF(D108=0,0,IF(E108&gt;=D108,1,0)))</f>
        <v/>
      </c>
      <c r="J108" s="156" t="n"/>
    </row>
    <row r="109">
      <c r="A109" s="156" t="n">
        <v>29</v>
      </c>
      <c r="B109" s="155">
        <f>IF(Kalkulasi!$B$5+A109-1&lt;=Kalkulasi!$B$6,Kalkulasi!$B$5+A109-1,"")</f>
        <v/>
      </c>
      <c r="C109" s="156">
        <f>IF(B109="","",TEXT(B109,"d"))</f>
        <v/>
      </c>
      <c r="D109" s="183">
        <f>IF($B109="","",SUMIFS(DATA_PLAN!$B$2:$B$20001,DATA_PLAN!$A$2:$A$20001,$B109)*Kalkulasi!$B$8)</f>
        <v/>
      </c>
      <c r="E109" s="183">
        <f>IF($B109="","",SUMIFS(DATA_TS!$Q$2:$Q$20001,DATA_TS!$A$2:$A$20001,$B109,DATA_TS!$B$2:$B$20001,Kalkulasi!$B$7,DATA_TS!$E$2:$E$20001,"Hauler"))</f>
        <v/>
      </c>
      <c r="F109" s="183">
        <f>IF($B109="","",SUMIFS(DATA_PLAN!$C$2:$C$20001,DATA_PLAN!$A$2:$A$20001,$B109)*Kalkulasi!$B$8)</f>
        <v/>
      </c>
      <c r="G109" s="183">
        <f>IF($B109="","",SUMIFS(DATA_TS!$R$2:$R$20001,DATA_TS!$A$2:$A$20001,$B109,DATA_TS!$B$2:$B$20001,Kalkulasi!$B$7,DATA_TS!$E$2:$E$20001,"Hauler"))</f>
        <v/>
      </c>
      <c r="H109" s="190">
        <f>IF($B109="",NA(),IF(SUM($D$81:D109)=0,0,SUM($E$81:E109)/SUM($D$81:D109)*100))</f>
        <v/>
      </c>
      <c r="I109" s="190">
        <f>IF($B109="","",IF(D109=0,0,IF(E109&gt;=D109,1,0)))</f>
        <v/>
      </c>
      <c r="J109" s="156" t="n"/>
    </row>
    <row r="110">
      <c r="A110" s="156" t="n">
        <v>30</v>
      </c>
      <c r="B110" s="155">
        <f>IF(Kalkulasi!$B$5+A110-1&lt;=Kalkulasi!$B$6,Kalkulasi!$B$5+A110-1,"")</f>
        <v/>
      </c>
      <c r="C110" s="156">
        <f>IF(B110="","",TEXT(B110,"d"))</f>
        <v/>
      </c>
      <c r="D110" s="183">
        <f>IF($B110="","",SUMIFS(DATA_PLAN!$B$2:$B$20001,DATA_PLAN!$A$2:$A$20001,$B110)*Kalkulasi!$B$8)</f>
        <v/>
      </c>
      <c r="E110" s="183">
        <f>IF($B110="","",SUMIFS(DATA_TS!$Q$2:$Q$20001,DATA_TS!$A$2:$A$20001,$B110,DATA_TS!$B$2:$B$20001,Kalkulasi!$B$7,DATA_TS!$E$2:$E$20001,"Hauler"))</f>
        <v/>
      </c>
      <c r="F110" s="183">
        <f>IF($B110="","",SUMIFS(DATA_PLAN!$C$2:$C$20001,DATA_PLAN!$A$2:$A$20001,$B110)*Kalkulasi!$B$8)</f>
        <v/>
      </c>
      <c r="G110" s="183">
        <f>IF($B110="","",SUMIFS(DATA_TS!$R$2:$R$20001,DATA_TS!$A$2:$A$20001,$B110,DATA_TS!$B$2:$B$20001,Kalkulasi!$B$7,DATA_TS!$E$2:$E$20001,"Hauler"))</f>
        <v/>
      </c>
      <c r="H110" s="190">
        <f>IF($B110="",NA(),IF(SUM($D$81:D110)=0,0,SUM($E$81:E110)/SUM($D$81:D110)*100))</f>
        <v/>
      </c>
      <c r="I110" s="190">
        <f>IF($B110="","",IF(D110=0,0,IF(E110&gt;=D110,1,0)))</f>
        <v/>
      </c>
      <c r="J110" s="156" t="n"/>
    </row>
    <row r="111">
      <c r="A111" s="156" t="n">
        <v>31</v>
      </c>
      <c r="B111" s="155">
        <f>IF(Kalkulasi!$B$5+A111-1&lt;=Kalkulasi!$B$6,Kalkulasi!$B$5+A111-1,"")</f>
        <v/>
      </c>
      <c r="C111" s="156">
        <f>IF(B111="","",TEXT(B111,"d"))</f>
        <v/>
      </c>
      <c r="D111" s="183">
        <f>IF($B111="","",SUMIFS(DATA_PLAN!$B$2:$B$20001,DATA_PLAN!$A$2:$A$20001,$B111)*Kalkulasi!$B$8)</f>
        <v/>
      </c>
      <c r="E111" s="183">
        <f>IF($B111="","",SUMIFS(DATA_TS!$Q$2:$Q$20001,DATA_TS!$A$2:$A$20001,$B111,DATA_TS!$B$2:$B$20001,Kalkulasi!$B$7,DATA_TS!$E$2:$E$20001,"Hauler"))</f>
        <v/>
      </c>
      <c r="F111" s="183">
        <f>IF($B111="","",SUMIFS(DATA_PLAN!$C$2:$C$20001,DATA_PLAN!$A$2:$A$20001,$B111)*Kalkulasi!$B$8)</f>
        <v/>
      </c>
      <c r="G111" s="183">
        <f>IF($B111="","",SUMIFS(DATA_TS!$R$2:$R$20001,DATA_TS!$A$2:$A$20001,$B111,DATA_TS!$B$2:$B$20001,Kalkulasi!$B$7,DATA_TS!$E$2:$E$20001,"Hauler"))</f>
        <v/>
      </c>
      <c r="H111" s="190">
        <f>IF($B111="",NA(),IF(SUM($D$81:D111)=0,0,SUM($E$81:E111)/SUM($D$81:D111)*100))</f>
        <v/>
      </c>
      <c r="I111" s="190">
        <f>IF($B111="","",IF(D111=0,0,IF(E111&gt;=D111,1,0)))</f>
        <v/>
      </c>
      <c r="J111" s="156" t="n"/>
    </row>
    <row r="112">
      <c r="A112" s="156" t="n"/>
      <c r="B112" s="156" t="n"/>
      <c r="C112" s="156" t="n"/>
      <c r="D112" s="156" t="n"/>
      <c r="E112" s="156" t="n"/>
      <c r="F112" s="156" t="n"/>
      <c r="G112" s="156" t="n"/>
      <c r="H112" s="156" t="n"/>
      <c r="I112" s="156" t="n"/>
      <c r="J112" s="156" t="n"/>
    </row>
    <row r="113">
      <c r="A113" s="171" t="inlineStr">
        <is>
          <t>Harian — Digger terpilih</t>
        </is>
      </c>
      <c r="B113" s="156" t="n"/>
      <c r="C113" s="156" t="n"/>
      <c r="D113" s="156" t="n"/>
      <c r="E113" s="156" t="n"/>
      <c r="F113" s="156" t="n"/>
      <c r="G113" s="156" t="n"/>
      <c r="H113" s="156" t="n"/>
      <c r="I113" s="156" t="n"/>
      <c r="J113" s="156" t="n"/>
    </row>
    <row r="114">
      <c r="A114" s="176" t="inlineStr">
        <is>
          <t>No</t>
        </is>
      </c>
      <c r="B114" s="176" t="inlineStr">
        <is>
          <t>Tanggal</t>
        </is>
      </c>
      <c r="C114" s="176" t="inlineStr">
        <is>
          <t>Label</t>
        </is>
      </c>
      <c r="D114" s="176" t="inlineStr">
        <is>
          <t>Produksi OB</t>
        </is>
      </c>
      <c r="E114" s="176" t="inlineStr">
        <is>
          <t>EWH OB</t>
        </is>
      </c>
      <c r="F114" s="176" t="inlineStr">
        <is>
          <t>PTY OB</t>
        </is>
      </c>
      <c r="G114" s="156" t="n"/>
      <c r="H114" s="156" t="n"/>
      <c r="I114" s="156" t="n"/>
      <c r="J114" s="156" t="n"/>
    </row>
    <row r="115">
      <c r="A115" s="156" t="n">
        <v>1</v>
      </c>
      <c r="B115" s="155">
        <f>IF(Kalkulasi!$B$12+A115-1&lt;=Kalkulasi!$B$13,Kalkulasi!$B$12+A115-1,"")</f>
        <v/>
      </c>
      <c r="C115" s="156">
        <f>IF(B115="","",TEXT(B115,"d"))</f>
        <v/>
      </c>
      <c r="D115" s="183">
        <f>IF($B115="","",SUMIFS(DATA_TS!$Q$2:$Q$20001,DATA_TS!$A$2:$A$20001,$B115,DATA_TS!$B$2:$B$20001,Kalkulasi!$B$14,DATA_TS!$E$2:$E$20001,"Excavator",DATA_TS!$C$2:$C$20001,Kalkulasi!$B$17))</f>
        <v/>
      </c>
      <c r="E115" s="184">
        <f>IF($B115="","",SUMIFS(DATA_TS!$M$2:$M$20001,DATA_TS!$A$2:$A$20001,$B115,DATA_TS!$B$2:$B$20001,Kalkulasi!$B$14,DATA_TS!$E$2:$E$20001,"Excavator",DATA_TS!$C$2:$C$20001,Kalkulasi!$B$17))</f>
        <v/>
      </c>
      <c r="F115" s="183">
        <f>IF($B115="",NA(),IF(E115=0,0,D115/E115))</f>
        <v/>
      </c>
      <c r="G115" s="156" t="n"/>
      <c r="H115" s="156" t="n"/>
      <c r="I115" s="156" t="n"/>
      <c r="J115" s="156" t="n"/>
    </row>
    <row r="116">
      <c r="A116" s="156" t="n">
        <v>2</v>
      </c>
      <c r="B116" s="155">
        <f>IF(Kalkulasi!$B$12+A116-1&lt;=Kalkulasi!$B$13,Kalkulasi!$B$12+A116-1,"")</f>
        <v/>
      </c>
      <c r="C116" s="156">
        <f>IF(B116="","",TEXT(B116,"d"))</f>
        <v/>
      </c>
      <c r="D116" s="183">
        <f>IF($B116="","",SUMIFS(DATA_TS!$Q$2:$Q$20001,DATA_TS!$A$2:$A$20001,$B116,DATA_TS!$B$2:$B$20001,Kalkulasi!$B$14,DATA_TS!$E$2:$E$20001,"Excavator",DATA_TS!$C$2:$C$20001,Kalkulasi!$B$17))</f>
        <v/>
      </c>
      <c r="E116" s="184">
        <f>IF($B116="","",SUMIFS(DATA_TS!$M$2:$M$20001,DATA_TS!$A$2:$A$20001,$B116,DATA_TS!$B$2:$B$20001,Kalkulasi!$B$14,DATA_TS!$E$2:$E$20001,"Excavator",DATA_TS!$C$2:$C$20001,Kalkulasi!$B$17))</f>
        <v/>
      </c>
      <c r="F116" s="183">
        <f>IF($B116="",NA(),IF(E116=0,0,D116/E116))</f>
        <v/>
      </c>
      <c r="G116" s="156" t="n"/>
      <c r="H116" s="156" t="n"/>
      <c r="I116" s="156" t="n"/>
      <c r="J116" s="156" t="n"/>
    </row>
    <row r="117">
      <c r="A117" s="156" t="n">
        <v>3</v>
      </c>
      <c r="B117" s="155">
        <f>IF(Kalkulasi!$B$12+A117-1&lt;=Kalkulasi!$B$13,Kalkulasi!$B$12+A117-1,"")</f>
        <v/>
      </c>
      <c r="C117" s="156">
        <f>IF(B117="","",TEXT(B117,"d"))</f>
        <v/>
      </c>
      <c r="D117" s="183">
        <f>IF($B117="","",SUMIFS(DATA_TS!$Q$2:$Q$20001,DATA_TS!$A$2:$A$20001,$B117,DATA_TS!$B$2:$B$20001,Kalkulasi!$B$14,DATA_TS!$E$2:$E$20001,"Excavator",DATA_TS!$C$2:$C$20001,Kalkulasi!$B$17))</f>
        <v/>
      </c>
      <c r="E117" s="184">
        <f>IF($B117="","",SUMIFS(DATA_TS!$M$2:$M$20001,DATA_TS!$A$2:$A$20001,$B117,DATA_TS!$B$2:$B$20001,Kalkulasi!$B$14,DATA_TS!$E$2:$E$20001,"Excavator",DATA_TS!$C$2:$C$20001,Kalkulasi!$B$17))</f>
        <v/>
      </c>
      <c r="F117" s="183">
        <f>IF($B117="",NA(),IF(E117=0,0,D117/E117))</f>
        <v/>
      </c>
      <c r="G117" s="156" t="n"/>
      <c r="H117" s="156" t="n"/>
      <c r="I117" s="156" t="n"/>
      <c r="J117" s="156" t="n"/>
    </row>
    <row r="118">
      <c r="A118" s="156" t="n">
        <v>4</v>
      </c>
      <c r="B118" s="155">
        <f>IF(Kalkulasi!$B$12+A118-1&lt;=Kalkulasi!$B$13,Kalkulasi!$B$12+A118-1,"")</f>
        <v/>
      </c>
      <c r="C118" s="156">
        <f>IF(B118="","",TEXT(B118,"d"))</f>
        <v/>
      </c>
      <c r="D118" s="183">
        <f>IF($B118="","",SUMIFS(DATA_TS!$Q$2:$Q$20001,DATA_TS!$A$2:$A$20001,$B118,DATA_TS!$B$2:$B$20001,Kalkulasi!$B$14,DATA_TS!$E$2:$E$20001,"Excavator",DATA_TS!$C$2:$C$20001,Kalkulasi!$B$17))</f>
        <v/>
      </c>
      <c r="E118" s="184">
        <f>IF($B118="","",SUMIFS(DATA_TS!$M$2:$M$20001,DATA_TS!$A$2:$A$20001,$B118,DATA_TS!$B$2:$B$20001,Kalkulasi!$B$14,DATA_TS!$E$2:$E$20001,"Excavator",DATA_TS!$C$2:$C$20001,Kalkulasi!$B$17))</f>
        <v/>
      </c>
      <c r="F118" s="183">
        <f>IF($B118="",NA(),IF(E118=0,0,D118/E118))</f>
        <v/>
      </c>
      <c r="G118" s="156" t="n"/>
      <c r="H118" s="156" t="n"/>
      <c r="I118" s="156" t="n"/>
      <c r="J118" s="156" t="n"/>
    </row>
    <row r="119">
      <c r="A119" s="156" t="n">
        <v>5</v>
      </c>
      <c r="B119" s="155">
        <f>IF(Kalkulasi!$B$12+A119-1&lt;=Kalkulasi!$B$13,Kalkulasi!$B$12+A119-1,"")</f>
        <v/>
      </c>
      <c r="C119" s="156">
        <f>IF(B119="","",TEXT(B119,"d"))</f>
        <v/>
      </c>
      <c r="D119" s="183">
        <f>IF($B119="","",SUMIFS(DATA_TS!$Q$2:$Q$20001,DATA_TS!$A$2:$A$20001,$B119,DATA_TS!$B$2:$B$20001,Kalkulasi!$B$14,DATA_TS!$E$2:$E$20001,"Excavator",DATA_TS!$C$2:$C$20001,Kalkulasi!$B$17))</f>
        <v/>
      </c>
      <c r="E119" s="184">
        <f>IF($B119="","",SUMIFS(DATA_TS!$M$2:$M$20001,DATA_TS!$A$2:$A$20001,$B119,DATA_TS!$B$2:$B$20001,Kalkulasi!$B$14,DATA_TS!$E$2:$E$20001,"Excavator",DATA_TS!$C$2:$C$20001,Kalkulasi!$B$17))</f>
        <v/>
      </c>
      <c r="F119" s="183">
        <f>IF($B119="",NA(),IF(E119=0,0,D119/E119))</f>
        <v/>
      </c>
      <c r="G119" s="156" t="n"/>
      <c r="H119" s="156" t="n"/>
      <c r="I119" s="156" t="n"/>
      <c r="J119" s="156" t="n"/>
    </row>
    <row r="120">
      <c r="A120" s="156" t="n">
        <v>6</v>
      </c>
      <c r="B120" s="155">
        <f>IF(Kalkulasi!$B$12+A120-1&lt;=Kalkulasi!$B$13,Kalkulasi!$B$12+A120-1,"")</f>
        <v/>
      </c>
      <c r="C120" s="156">
        <f>IF(B120="","",TEXT(B120,"d"))</f>
        <v/>
      </c>
      <c r="D120" s="183">
        <f>IF($B120="","",SUMIFS(DATA_TS!$Q$2:$Q$20001,DATA_TS!$A$2:$A$20001,$B120,DATA_TS!$B$2:$B$20001,Kalkulasi!$B$14,DATA_TS!$E$2:$E$20001,"Excavator",DATA_TS!$C$2:$C$20001,Kalkulasi!$B$17))</f>
        <v/>
      </c>
      <c r="E120" s="184">
        <f>IF($B120="","",SUMIFS(DATA_TS!$M$2:$M$20001,DATA_TS!$A$2:$A$20001,$B120,DATA_TS!$B$2:$B$20001,Kalkulasi!$B$14,DATA_TS!$E$2:$E$20001,"Excavator",DATA_TS!$C$2:$C$20001,Kalkulasi!$B$17))</f>
        <v/>
      </c>
      <c r="F120" s="183">
        <f>IF($B120="",NA(),IF(E120=0,0,D120/E120))</f>
        <v/>
      </c>
      <c r="G120" s="156" t="n"/>
      <c r="H120" s="156" t="n"/>
      <c r="I120" s="156" t="n"/>
      <c r="J120" s="156" t="n"/>
    </row>
    <row r="121">
      <c r="A121" s="156" t="n">
        <v>7</v>
      </c>
      <c r="B121" s="155">
        <f>IF(Kalkulasi!$B$12+A121-1&lt;=Kalkulasi!$B$13,Kalkulasi!$B$12+A121-1,"")</f>
        <v/>
      </c>
      <c r="C121" s="156">
        <f>IF(B121="","",TEXT(B121,"d"))</f>
        <v/>
      </c>
      <c r="D121" s="183">
        <f>IF($B121="","",SUMIFS(DATA_TS!$Q$2:$Q$20001,DATA_TS!$A$2:$A$20001,$B121,DATA_TS!$B$2:$B$20001,Kalkulasi!$B$14,DATA_TS!$E$2:$E$20001,"Excavator",DATA_TS!$C$2:$C$20001,Kalkulasi!$B$17))</f>
        <v/>
      </c>
      <c r="E121" s="184">
        <f>IF($B121="","",SUMIFS(DATA_TS!$M$2:$M$20001,DATA_TS!$A$2:$A$20001,$B121,DATA_TS!$B$2:$B$20001,Kalkulasi!$B$14,DATA_TS!$E$2:$E$20001,"Excavator",DATA_TS!$C$2:$C$20001,Kalkulasi!$B$17))</f>
        <v/>
      </c>
      <c r="F121" s="183">
        <f>IF($B121="",NA(),IF(E121=0,0,D121/E121))</f>
        <v/>
      </c>
      <c r="G121" s="156" t="n"/>
      <c r="H121" s="156" t="n"/>
      <c r="I121" s="156" t="n"/>
      <c r="J121" s="156" t="n"/>
    </row>
    <row r="122">
      <c r="A122" s="156" t="n">
        <v>8</v>
      </c>
      <c r="B122" s="155">
        <f>IF(Kalkulasi!$B$12+A122-1&lt;=Kalkulasi!$B$13,Kalkulasi!$B$12+A122-1,"")</f>
        <v/>
      </c>
      <c r="C122" s="156">
        <f>IF(B122="","",TEXT(B122,"d"))</f>
        <v/>
      </c>
      <c r="D122" s="183">
        <f>IF($B122="","",SUMIFS(DATA_TS!$Q$2:$Q$20001,DATA_TS!$A$2:$A$20001,$B122,DATA_TS!$B$2:$B$20001,Kalkulasi!$B$14,DATA_TS!$E$2:$E$20001,"Excavator",DATA_TS!$C$2:$C$20001,Kalkulasi!$B$17))</f>
        <v/>
      </c>
      <c r="E122" s="184">
        <f>IF($B122="","",SUMIFS(DATA_TS!$M$2:$M$20001,DATA_TS!$A$2:$A$20001,$B122,DATA_TS!$B$2:$B$20001,Kalkulasi!$B$14,DATA_TS!$E$2:$E$20001,"Excavator",DATA_TS!$C$2:$C$20001,Kalkulasi!$B$17))</f>
        <v/>
      </c>
      <c r="F122" s="183">
        <f>IF($B122="",NA(),IF(E122=0,0,D122/E122))</f>
        <v/>
      </c>
      <c r="G122" s="156" t="n"/>
      <c r="H122" s="156" t="n"/>
      <c r="I122" s="156" t="n"/>
      <c r="J122" s="156" t="n"/>
    </row>
    <row r="123">
      <c r="A123" s="156" t="n">
        <v>9</v>
      </c>
      <c r="B123" s="155">
        <f>IF(Kalkulasi!$B$12+A123-1&lt;=Kalkulasi!$B$13,Kalkulasi!$B$12+A123-1,"")</f>
        <v/>
      </c>
      <c r="C123" s="156">
        <f>IF(B123="","",TEXT(B123,"d"))</f>
        <v/>
      </c>
      <c r="D123" s="183">
        <f>IF($B123="","",SUMIFS(DATA_TS!$Q$2:$Q$20001,DATA_TS!$A$2:$A$20001,$B123,DATA_TS!$B$2:$B$20001,Kalkulasi!$B$14,DATA_TS!$E$2:$E$20001,"Excavator",DATA_TS!$C$2:$C$20001,Kalkulasi!$B$17))</f>
        <v/>
      </c>
      <c r="E123" s="184">
        <f>IF($B123="","",SUMIFS(DATA_TS!$M$2:$M$20001,DATA_TS!$A$2:$A$20001,$B123,DATA_TS!$B$2:$B$20001,Kalkulasi!$B$14,DATA_TS!$E$2:$E$20001,"Excavator",DATA_TS!$C$2:$C$20001,Kalkulasi!$B$17))</f>
        <v/>
      </c>
      <c r="F123" s="183">
        <f>IF($B123="",NA(),IF(E123=0,0,D123/E123))</f>
        <v/>
      </c>
      <c r="G123" s="156" t="n"/>
      <c r="H123" s="156" t="n"/>
      <c r="I123" s="156" t="n"/>
      <c r="J123" s="156" t="n"/>
    </row>
    <row r="124">
      <c r="A124" s="156" t="n">
        <v>10</v>
      </c>
      <c r="B124" s="155">
        <f>IF(Kalkulasi!$B$12+A124-1&lt;=Kalkulasi!$B$13,Kalkulasi!$B$12+A124-1,"")</f>
        <v/>
      </c>
      <c r="C124" s="156">
        <f>IF(B124="","",TEXT(B124,"d"))</f>
        <v/>
      </c>
      <c r="D124" s="183">
        <f>IF($B124="","",SUMIFS(DATA_TS!$Q$2:$Q$20001,DATA_TS!$A$2:$A$20001,$B124,DATA_TS!$B$2:$B$20001,Kalkulasi!$B$14,DATA_TS!$E$2:$E$20001,"Excavator",DATA_TS!$C$2:$C$20001,Kalkulasi!$B$17))</f>
        <v/>
      </c>
      <c r="E124" s="184">
        <f>IF($B124="","",SUMIFS(DATA_TS!$M$2:$M$20001,DATA_TS!$A$2:$A$20001,$B124,DATA_TS!$B$2:$B$20001,Kalkulasi!$B$14,DATA_TS!$E$2:$E$20001,"Excavator",DATA_TS!$C$2:$C$20001,Kalkulasi!$B$17))</f>
        <v/>
      </c>
      <c r="F124" s="183">
        <f>IF($B124="",NA(),IF(E124=0,0,D124/E124))</f>
        <v/>
      </c>
      <c r="G124" s="156" t="n"/>
      <c r="H124" s="156" t="n"/>
      <c r="I124" s="156" t="n"/>
      <c r="J124" s="156" t="n"/>
    </row>
    <row r="125">
      <c r="A125" s="156" t="n">
        <v>11</v>
      </c>
      <c r="B125" s="155">
        <f>IF(Kalkulasi!$B$12+A125-1&lt;=Kalkulasi!$B$13,Kalkulasi!$B$12+A125-1,"")</f>
        <v/>
      </c>
      <c r="C125" s="156">
        <f>IF(B125="","",TEXT(B125,"d"))</f>
        <v/>
      </c>
      <c r="D125" s="183">
        <f>IF($B125="","",SUMIFS(DATA_TS!$Q$2:$Q$20001,DATA_TS!$A$2:$A$20001,$B125,DATA_TS!$B$2:$B$20001,Kalkulasi!$B$14,DATA_TS!$E$2:$E$20001,"Excavator",DATA_TS!$C$2:$C$20001,Kalkulasi!$B$17))</f>
        <v/>
      </c>
      <c r="E125" s="184">
        <f>IF($B125="","",SUMIFS(DATA_TS!$M$2:$M$20001,DATA_TS!$A$2:$A$20001,$B125,DATA_TS!$B$2:$B$20001,Kalkulasi!$B$14,DATA_TS!$E$2:$E$20001,"Excavator",DATA_TS!$C$2:$C$20001,Kalkulasi!$B$17))</f>
        <v/>
      </c>
      <c r="F125" s="183">
        <f>IF($B125="",NA(),IF(E125=0,0,D125/E125))</f>
        <v/>
      </c>
      <c r="G125" s="156" t="n"/>
      <c r="H125" s="156" t="n"/>
      <c r="I125" s="156" t="n"/>
      <c r="J125" s="156" t="n"/>
    </row>
    <row r="126">
      <c r="A126" s="156" t="n">
        <v>12</v>
      </c>
      <c r="B126" s="155">
        <f>IF(Kalkulasi!$B$12+A126-1&lt;=Kalkulasi!$B$13,Kalkulasi!$B$12+A126-1,"")</f>
        <v/>
      </c>
      <c r="C126" s="156">
        <f>IF(B126="","",TEXT(B126,"d"))</f>
        <v/>
      </c>
      <c r="D126" s="183">
        <f>IF($B126="","",SUMIFS(DATA_TS!$Q$2:$Q$20001,DATA_TS!$A$2:$A$20001,$B126,DATA_TS!$B$2:$B$20001,Kalkulasi!$B$14,DATA_TS!$E$2:$E$20001,"Excavator",DATA_TS!$C$2:$C$20001,Kalkulasi!$B$17))</f>
        <v/>
      </c>
      <c r="E126" s="184">
        <f>IF($B126="","",SUMIFS(DATA_TS!$M$2:$M$20001,DATA_TS!$A$2:$A$20001,$B126,DATA_TS!$B$2:$B$20001,Kalkulasi!$B$14,DATA_TS!$E$2:$E$20001,"Excavator",DATA_TS!$C$2:$C$20001,Kalkulasi!$B$17))</f>
        <v/>
      </c>
      <c r="F126" s="183">
        <f>IF($B126="",NA(),IF(E126=0,0,D126/E126))</f>
        <v/>
      </c>
      <c r="G126" s="156" t="n"/>
      <c r="H126" s="156" t="n"/>
      <c r="I126" s="156" t="n"/>
      <c r="J126" s="156" t="n"/>
    </row>
    <row r="127">
      <c r="A127" s="156" t="n">
        <v>13</v>
      </c>
      <c r="B127" s="155">
        <f>IF(Kalkulasi!$B$12+A127-1&lt;=Kalkulasi!$B$13,Kalkulasi!$B$12+A127-1,"")</f>
        <v/>
      </c>
      <c r="C127" s="156">
        <f>IF(B127="","",TEXT(B127,"d"))</f>
        <v/>
      </c>
      <c r="D127" s="183">
        <f>IF($B127="","",SUMIFS(DATA_TS!$Q$2:$Q$20001,DATA_TS!$A$2:$A$20001,$B127,DATA_TS!$B$2:$B$20001,Kalkulasi!$B$14,DATA_TS!$E$2:$E$20001,"Excavator",DATA_TS!$C$2:$C$20001,Kalkulasi!$B$17))</f>
        <v/>
      </c>
      <c r="E127" s="184">
        <f>IF($B127="","",SUMIFS(DATA_TS!$M$2:$M$20001,DATA_TS!$A$2:$A$20001,$B127,DATA_TS!$B$2:$B$20001,Kalkulasi!$B$14,DATA_TS!$E$2:$E$20001,"Excavator",DATA_TS!$C$2:$C$20001,Kalkulasi!$B$17))</f>
        <v/>
      </c>
      <c r="F127" s="183">
        <f>IF($B127="",NA(),IF(E127=0,0,D127/E127))</f>
        <v/>
      </c>
      <c r="G127" s="156" t="n"/>
      <c r="H127" s="156" t="n"/>
      <c r="I127" s="156" t="n"/>
      <c r="J127" s="156" t="n"/>
    </row>
    <row r="128">
      <c r="A128" s="156" t="n">
        <v>14</v>
      </c>
      <c r="B128" s="155">
        <f>IF(Kalkulasi!$B$12+A128-1&lt;=Kalkulasi!$B$13,Kalkulasi!$B$12+A128-1,"")</f>
        <v/>
      </c>
      <c r="C128" s="156">
        <f>IF(B128="","",TEXT(B128,"d"))</f>
        <v/>
      </c>
      <c r="D128" s="183">
        <f>IF($B128="","",SUMIFS(DATA_TS!$Q$2:$Q$20001,DATA_TS!$A$2:$A$20001,$B128,DATA_TS!$B$2:$B$20001,Kalkulasi!$B$14,DATA_TS!$E$2:$E$20001,"Excavator",DATA_TS!$C$2:$C$20001,Kalkulasi!$B$17))</f>
        <v/>
      </c>
      <c r="E128" s="184">
        <f>IF($B128="","",SUMIFS(DATA_TS!$M$2:$M$20001,DATA_TS!$A$2:$A$20001,$B128,DATA_TS!$B$2:$B$20001,Kalkulasi!$B$14,DATA_TS!$E$2:$E$20001,"Excavator",DATA_TS!$C$2:$C$20001,Kalkulasi!$B$17))</f>
        <v/>
      </c>
      <c r="F128" s="183">
        <f>IF($B128="",NA(),IF(E128=0,0,D128/E128))</f>
        <v/>
      </c>
      <c r="G128" s="156" t="n"/>
      <c r="H128" s="156" t="n"/>
      <c r="I128" s="156" t="n"/>
      <c r="J128" s="156" t="n"/>
    </row>
    <row r="129">
      <c r="A129" s="156" t="n">
        <v>15</v>
      </c>
      <c r="B129" s="155">
        <f>IF(Kalkulasi!$B$12+A129-1&lt;=Kalkulasi!$B$13,Kalkulasi!$B$12+A129-1,"")</f>
        <v/>
      </c>
      <c r="C129" s="156">
        <f>IF(B129="","",TEXT(B129,"d"))</f>
        <v/>
      </c>
      <c r="D129" s="183">
        <f>IF($B129="","",SUMIFS(DATA_TS!$Q$2:$Q$20001,DATA_TS!$A$2:$A$20001,$B129,DATA_TS!$B$2:$B$20001,Kalkulasi!$B$14,DATA_TS!$E$2:$E$20001,"Excavator",DATA_TS!$C$2:$C$20001,Kalkulasi!$B$17))</f>
        <v/>
      </c>
      <c r="E129" s="184">
        <f>IF($B129="","",SUMIFS(DATA_TS!$M$2:$M$20001,DATA_TS!$A$2:$A$20001,$B129,DATA_TS!$B$2:$B$20001,Kalkulasi!$B$14,DATA_TS!$E$2:$E$20001,"Excavator",DATA_TS!$C$2:$C$20001,Kalkulasi!$B$17))</f>
        <v/>
      </c>
      <c r="F129" s="183">
        <f>IF($B129="",NA(),IF(E129=0,0,D129/E129))</f>
        <v/>
      </c>
      <c r="G129" s="156" t="n"/>
      <c r="H129" s="156" t="n"/>
      <c r="I129" s="156" t="n"/>
      <c r="J129" s="156" t="n"/>
    </row>
    <row r="130">
      <c r="A130" s="156" t="n">
        <v>16</v>
      </c>
      <c r="B130" s="155">
        <f>IF(Kalkulasi!$B$12+A130-1&lt;=Kalkulasi!$B$13,Kalkulasi!$B$12+A130-1,"")</f>
        <v/>
      </c>
      <c r="C130" s="156">
        <f>IF(B130="","",TEXT(B130,"d"))</f>
        <v/>
      </c>
      <c r="D130" s="183">
        <f>IF($B130="","",SUMIFS(DATA_TS!$Q$2:$Q$20001,DATA_TS!$A$2:$A$20001,$B130,DATA_TS!$B$2:$B$20001,Kalkulasi!$B$14,DATA_TS!$E$2:$E$20001,"Excavator",DATA_TS!$C$2:$C$20001,Kalkulasi!$B$17))</f>
        <v/>
      </c>
      <c r="E130" s="184">
        <f>IF($B130="","",SUMIFS(DATA_TS!$M$2:$M$20001,DATA_TS!$A$2:$A$20001,$B130,DATA_TS!$B$2:$B$20001,Kalkulasi!$B$14,DATA_TS!$E$2:$E$20001,"Excavator",DATA_TS!$C$2:$C$20001,Kalkulasi!$B$17))</f>
        <v/>
      </c>
      <c r="F130" s="183">
        <f>IF($B130="",NA(),IF(E130=0,0,D130/E130))</f>
        <v/>
      </c>
      <c r="G130" s="156" t="n"/>
      <c r="H130" s="156" t="n"/>
      <c r="I130" s="156" t="n"/>
      <c r="J130" s="156" t="n"/>
    </row>
    <row r="131">
      <c r="A131" s="156" t="n">
        <v>17</v>
      </c>
      <c r="B131" s="155">
        <f>IF(Kalkulasi!$B$12+A131-1&lt;=Kalkulasi!$B$13,Kalkulasi!$B$12+A131-1,"")</f>
        <v/>
      </c>
      <c r="C131" s="156">
        <f>IF(B131="","",TEXT(B131,"d"))</f>
        <v/>
      </c>
      <c r="D131" s="183">
        <f>IF($B131="","",SUMIFS(DATA_TS!$Q$2:$Q$20001,DATA_TS!$A$2:$A$20001,$B131,DATA_TS!$B$2:$B$20001,Kalkulasi!$B$14,DATA_TS!$E$2:$E$20001,"Excavator",DATA_TS!$C$2:$C$20001,Kalkulasi!$B$17))</f>
        <v/>
      </c>
      <c r="E131" s="184">
        <f>IF($B131="","",SUMIFS(DATA_TS!$M$2:$M$20001,DATA_TS!$A$2:$A$20001,$B131,DATA_TS!$B$2:$B$20001,Kalkulasi!$B$14,DATA_TS!$E$2:$E$20001,"Excavator",DATA_TS!$C$2:$C$20001,Kalkulasi!$B$17))</f>
        <v/>
      </c>
      <c r="F131" s="183">
        <f>IF($B131="",NA(),IF(E131=0,0,D131/E131))</f>
        <v/>
      </c>
      <c r="G131" s="156" t="n"/>
      <c r="H131" s="156" t="n"/>
      <c r="I131" s="156" t="n"/>
      <c r="J131" s="156" t="n"/>
    </row>
    <row r="132">
      <c r="A132" s="156" t="n">
        <v>18</v>
      </c>
      <c r="B132" s="155">
        <f>IF(Kalkulasi!$B$12+A132-1&lt;=Kalkulasi!$B$13,Kalkulasi!$B$12+A132-1,"")</f>
        <v/>
      </c>
      <c r="C132" s="156">
        <f>IF(B132="","",TEXT(B132,"d"))</f>
        <v/>
      </c>
      <c r="D132" s="183">
        <f>IF($B132="","",SUMIFS(DATA_TS!$Q$2:$Q$20001,DATA_TS!$A$2:$A$20001,$B132,DATA_TS!$B$2:$B$20001,Kalkulasi!$B$14,DATA_TS!$E$2:$E$20001,"Excavator",DATA_TS!$C$2:$C$20001,Kalkulasi!$B$17))</f>
        <v/>
      </c>
      <c r="E132" s="184">
        <f>IF($B132="","",SUMIFS(DATA_TS!$M$2:$M$20001,DATA_TS!$A$2:$A$20001,$B132,DATA_TS!$B$2:$B$20001,Kalkulasi!$B$14,DATA_TS!$E$2:$E$20001,"Excavator",DATA_TS!$C$2:$C$20001,Kalkulasi!$B$17))</f>
        <v/>
      </c>
      <c r="F132" s="183">
        <f>IF($B132="",NA(),IF(E132=0,0,D132/E132))</f>
        <v/>
      </c>
      <c r="G132" s="156" t="n"/>
      <c r="H132" s="156" t="n"/>
      <c r="I132" s="156" t="n"/>
      <c r="J132" s="156" t="n"/>
    </row>
    <row r="133">
      <c r="A133" s="156" t="n">
        <v>19</v>
      </c>
      <c r="B133" s="155">
        <f>IF(Kalkulasi!$B$12+A133-1&lt;=Kalkulasi!$B$13,Kalkulasi!$B$12+A133-1,"")</f>
        <v/>
      </c>
      <c r="C133" s="156">
        <f>IF(B133="","",TEXT(B133,"d"))</f>
        <v/>
      </c>
      <c r="D133" s="183">
        <f>IF($B133="","",SUMIFS(DATA_TS!$Q$2:$Q$20001,DATA_TS!$A$2:$A$20001,$B133,DATA_TS!$B$2:$B$20001,Kalkulasi!$B$14,DATA_TS!$E$2:$E$20001,"Excavator",DATA_TS!$C$2:$C$20001,Kalkulasi!$B$17))</f>
        <v/>
      </c>
      <c r="E133" s="184">
        <f>IF($B133="","",SUMIFS(DATA_TS!$M$2:$M$20001,DATA_TS!$A$2:$A$20001,$B133,DATA_TS!$B$2:$B$20001,Kalkulasi!$B$14,DATA_TS!$E$2:$E$20001,"Excavator",DATA_TS!$C$2:$C$20001,Kalkulasi!$B$17))</f>
        <v/>
      </c>
      <c r="F133" s="183">
        <f>IF($B133="",NA(),IF(E133=0,0,D133/E133))</f>
        <v/>
      </c>
      <c r="G133" s="156" t="n"/>
      <c r="H133" s="156" t="n"/>
      <c r="I133" s="156" t="n"/>
      <c r="J133" s="156" t="n"/>
    </row>
    <row r="134">
      <c r="A134" s="156" t="n">
        <v>20</v>
      </c>
      <c r="B134" s="155">
        <f>IF(Kalkulasi!$B$12+A134-1&lt;=Kalkulasi!$B$13,Kalkulasi!$B$12+A134-1,"")</f>
        <v/>
      </c>
      <c r="C134" s="156">
        <f>IF(B134="","",TEXT(B134,"d"))</f>
        <v/>
      </c>
      <c r="D134" s="183">
        <f>IF($B134="","",SUMIFS(DATA_TS!$Q$2:$Q$20001,DATA_TS!$A$2:$A$20001,$B134,DATA_TS!$B$2:$B$20001,Kalkulasi!$B$14,DATA_TS!$E$2:$E$20001,"Excavator",DATA_TS!$C$2:$C$20001,Kalkulasi!$B$17))</f>
        <v/>
      </c>
      <c r="E134" s="184">
        <f>IF($B134="","",SUMIFS(DATA_TS!$M$2:$M$20001,DATA_TS!$A$2:$A$20001,$B134,DATA_TS!$B$2:$B$20001,Kalkulasi!$B$14,DATA_TS!$E$2:$E$20001,"Excavator",DATA_TS!$C$2:$C$20001,Kalkulasi!$B$17))</f>
        <v/>
      </c>
      <c r="F134" s="183">
        <f>IF($B134="",NA(),IF(E134=0,0,D134/E134))</f>
        <v/>
      </c>
      <c r="G134" s="156" t="n"/>
      <c r="H134" s="156" t="n"/>
      <c r="I134" s="156" t="n"/>
      <c r="J134" s="156" t="n"/>
    </row>
    <row r="135">
      <c r="A135" s="156" t="n">
        <v>21</v>
      </c>
      <c r="B135" s="155">
        <f>IF(Kalkulasi!$B$12+A135-1&lt;=Kalkulasi!$B$13,Kalkulasi!$B$12+A135-1,"")</f>
        <v/>
      </c>
      <c r="C135" s="156">
        <f>IF(B135="","",TEXT(B135,"d"))</f>
        <v/>
      </c>
      <c r="D135" s="183">
        <f>IF($B135="","",SUMIFS(DATA_TS!$Q$2:$Q$20001,DATA_TS!$A$2:$A$20001,$B135,DATA_TS!$B$2:$B$20001,Kalkulasi!$B$14,DATA_TS!$E$2:$E$20001,"Excavator",DATA_TS!$C$2:$C$20001,Kalkulasi!$B$17))</f>
        <v/>
      </c>
      <c r="E135" s="184">
        <f>IF($B135="","",SUMIFS(DATA_TS!$M$2:$M$20001,DATA_TS!$A$2:$A$20001,$B135,DATA_TS!$B$2:$B$20001,Kalkulasi!$B$14,DATA_TS!$E$2:$E$20001,"Excavator",DATA_TS!$C$2:$C$20001,Kalkulasi!$B$17))</f>
        <v/>
      </c>
      <c r="F135" s="183">
        <f>IF($B135="",NA(),IF(E135=0,0,D135/E135))</f>
        <v/>
      </c>
      <c r="G135" s="156" t="n"/>
      <c r="H135" s="156" t="n"/>
      <c r="I135" s="156" t="n"/>
      <c r="J135" s="156" t="n"/>
    </row>
    <row r="136">
      <c r="A136" s="156" t="n">
        <v>22</v>
      </c>
      <c r="B136" s="155">
        <f>IF(Kalkulasi!$B$12+A136-1&lt;=Kalkulasi!$B$13,Kalkulasi!$B$12+A136-1,"")</f>
        <v/>
      </c>
      <c r="C136" s="156">
        <f>IF(B136="","",TEXT(B136,"d"))</f>
        <v/>
      </c>
      <c r="D136" s="183">
        <f>IF($B136="","",SUMIFS(DATA_TS!$Q$2:$Q$20001,DATA_TS!$A$2:$A$20001,$B136,DATA_TS!$B$2:$B$20001,Kalkulasi!$B$14,DATA_TS!$E$2:$E$20001,"Excavator",DATA_TS!$C$2:$C$20001,Kalkulasi!$B$17))</f>
        <v/>
      </c>
      <c r="E136" s="184">
        <f>IF($B136="","",SUMIFS(DATA_TS!$M$2:$M$20001,DATA_TS!$A$2:$A$20001,$B136,DATA_TS!$B$2:$B$20001,Kalkulasi!$B$14,DATA_TS!$E$2:$E$20001,"Excavator",DATA_TS!$C$2:$C$20001,Kalkulasi!$B$17))</f>
        <v/>
      </c>
      <c r="F136" s="183">
        <f>IF($B136="",NA(),IF(E136=0,0,D136/E136))</f>
        <v/>
      </c>
      <c r="G136" s="156" t="n"/>
      <c r="H136" s="156" t="n"/>
      <c r="I136" s="156" t="n"/>
      <c r="J136" s="156" t="n"/>
    </row>
    <row r="137">
      <c r="A137" s="156" t="n">
        <v>23</v>
      </c>
      <c r="B137" s="155">
        <f>IF(Kalkulasi!$B$12+A137-1&lt;=Kalkulasi!$B$13,Kalkulasi!$B$12+A137-1,"")</f>
        <v/>
      </c>
      <c r="C137" s="156">
        <f>IF(B137="","",TEXT(B137,"d"))</f>
        <v/>
      </c>
      <c r="D137" s="183">
        <f>IF($B137="","",SUMIFS(DATA_TS!$Q$2:$Q$20001,DATA_TS!$A$2:$A$20001,$B137,DATA_TS!$B$2:$B$20001,Kalkulasi!$B$14,DATA_TS!$E$2:$E$20001,"Excavator",DATA_TS!$C$2:$C$20001,Kalkulasi!$B$17))</f>
        <v/>
      </c>
      <c r="E137" s="184">
        <f>IF($B137="","",SUMIFS(DATA_TS!$M$2:$M$20001,DATA_TS!$A$2:$A$20001,$B137,DATA_TS!$B$2:$B$20001,Kalkulasi!$B$14,DATA_TS!$E$2:$E$20001,"Excavator",DATA_TS!$C$2:$C$20001,Kalkulasi!$B$17))</f>
        <v/>
      </c>
      <c r="F137" s="183">
        <f>IF($B137="",NA(),IF(E137=0,0,D137/E137))</f>
        <v/>
      </c>
      <c r="G137" s="156" t="n"/>
      <c r="H137" s="156" t="n"/>
      <c r="I137" s="156" t="n"/>
      <c r="J137" s="156" t="n"/>
    </row>
    <row r="138">
      <c r="A138" s="156" t="n">
        <v>24</v>
      </c>
      <c r="B138" s="155">
        <f>IF(Kalkulasi!$B$12+A138-1&lt;=Kalkulasi!$B$13,Kalkulasi!$B$12+A138-1,"")</f>
        <v/>
      </c>
      <c r="C138" s="156">
        <f>IF(B138="","",TEXT(B138,"d"))</f>
        <v/>
      </c>
      <c r="D138" s="183">
        <f>IF($B138="","",SUMIFS(DATA_TS!$Q$2:$Q$20001,DATA_TS!$A$2:$A$20001,$B138,DATA_TS!$B$2:$B$20001,Kalkulasi!$B$14,DATA_TS!$E$2:$E$20001,"Excavator",DATA_TS!$C$2:$C$20001,Kalkulasi!$B$17))</f>
        <v/>
      </c>
      <c r="E138" s="184">
        <f>IF($B138="","",SUMIFS(DATA_TS!$M$2:$M$20001,DATA_TS!$A$2:$A$20001,$B138,DATA_TS!$B$2:$B$20001,Kalkulasi!$B$14,DATA_TS!$E$2:$E$20001,"Excavator",DATA_TS!$C$2:$C$20001,Kalkulasi!$B$17))</f>
        <v/>
      </c>
      <c r="F138" s="183">
        <f>IF($B138="",NA(),IF(E138=0,0,D138/E138))</f>
        <v/>
      </c>
      <c r="G138" s="156" t="n"/>
      <c r="H138" s="156" t="n"/>
      <c r="I138" s="156" t="n"/>
      <c r="J138" s="156" t="n"/>
    </row>
    <row r="139">
      <c r="A139" s="156" t="n">
        <v>25</v>
      </c>
      <c r="B139" s="155">
        <f>IF(Kalkulasi!$B$12+A139-1&lt;=Kalkulasi!$B$13,Kalkulasi!$B$12+A139-1,"")</f>
        <v/>
      </c>
      <c r="C139" s="156">
        <f>IF(B139="","",TEXT(B139,"d"))</f>
        <v/>
      </c>
      <c r="D139" s="183">
        <f>IF($B139="","",SUMIFS(DATA_TS!$Q$2:$Q$20001,DATA_TS!$A$2:$A$20001,$B139,DATA_TS!$B$2:$B$20001,Kalkulasi!$B$14,DATA_TS!$E$2:$E$20001,"Excavator",DATA_TS!$C$2:$C$20001,Kalkulasi!$B$17))</f>
        <v/>
      </c>
      <c r="E139" s="184">
        <f>IF($B139="","",SUMIFS(DATA_TS!$M$2:$M$20001,DATA_TS!$A$2:$A$20001,$B139,DATA_TS!$B$2:$B$20001,Kalkulasi!$B$14,DATA_TS!$E$2:$E$20001,"Excavator",DATA_TS!$C$2:$C$20001,Kalkulasi!$B$17))</f>
        <v/>
      </c>
      <c r="F139" s="183">
        <f>IF($B139="",NA(),IF(E139=0,0,D139/E139))</f>
        <v/>
      </c>
      <c r="G139" s="156" t="n"/>
      <c r="H139" s="156" t="n"/>
      <c r="I139" s="156" t="n"/>
      <c r="J139" s="156" t="n"/>
    </row>
    <row r="140">
      <c r="A140" s="156" t="n">
        <v>26</v>
      </c>
      <c r="B140" s="155">
        <f>IF(Kalkulasi!$B$12+A140-1&lt;=Kalkulasi!$B$13,Kalkulasi!$B$12+A140-1,"")</f>
        <v/>
      </c>
      <c r="C140" s="156">
        <f>IF(B140="","",TEXT(B140,"d"))</f>
        <v/>
      </c>
      <c r="D140" s="183">
        <f>IF($B140="","",SUMIFS(DATA_TS!$Q$2:$Q$20001,DATA_TS!$A$2:$A$20001,$B140,DATA_TS!$B$2:$B$20001,Kalkulasi!$B$14,DATA_TS!$E$2:$E$20001,"Excavator",DATA_TS!$C$2:$C$20001,Kalkulasi!$B$17))</f>
        <v/>
      </c>
      <c r="E140" s="184">
        <f>IF($B140="","",SUMIFS(DATA_TS!$M$2:$M$20001,DATA_TS!$A$2:$A$20001,$B140,DATA_TS!$B$2:$B$20001,Kalkulasi!$B$14,DATA_TS!$E$2:$E$20001,"Excavator",DATA_TS!$C$2:$C$20001,Kalkulasi!$B$17))</f>
        <v/>
      </c>
      <c r="F140" s="183">
        <f>IF($B140="",NA(),IF(E140=0,0,D140/E140))</f>
        <v/>
      </c>
      <c r="G140" s="156" t="n"/>
      <c r="H140" s="156" t="n"/>
      <c r="I140" s="156" t="n"/>
      <c r="J140" s="156" t="n"/>
    </row>
    <row r="141">
      <c r="A141" s="156" t="n">
        <v>27</v>
      </c>
      <c r="B141" s="155">
        <f>IF(Kalkulasi!$B$12+A141-1&lt;=Kalkulasi!$B$13,Kalkulasi!$B$12+A141-1,"")</f>
        <v/>
      </c>
      <c r="C141" s="156">
        <f>IF(B141="","",TEXT(B141,"d"))</f>
        <v/>
      </c>
      <c r="D141" s="183">
        <f>IF($B141="","",SUMIFS(DATA_TS!$Q$2:$Q$20001,DATA_TS!$A$2:$A$20001,$B141,DATA_TS!$B$2:$B$20001,Kalkulasi!$B$14,DATA_TS!$E$2:$E$20001,"Excavator",DATA_TS!$C$2:$C$20001,Kalkulasi!$B$17))</f>
        <v/>
      </c>
      <c r="E141" s="184">
        <f>IF($B141="","",SUMIFS(DATA_TS!$M$2:$M$20001,DATA_TS!$A$2:$A$20001,$B141,DATA_TS!$B$2:$B$20001,Kalkulasi!$B$14,DATA_TS!$E$2:$E$20001,"Excavator",DATA_TS!$C$2:$C$20001,Kalkulasi!$B$17))</f>
        <v/>
      </c>
      <c r="F141" s="183">
        <f>IF($B141="",NA(),IF(E141=0,0,D141/E141))</f>
        <v/>
      </c>
      <c r="G141" s="156" t="n"/>
      <c r="H141" s="156" t="n"/>
      <c r="I141" s="156" t="n"/>
      <c r="J141" s="156" t="n"/>
    </row>
    <row r="142">
      <c r="A142" s="156" t="n">
        <v>28</v>
      </c>
      <c r="B142" s="155">
        <f>IF(Kalkulasi!$B$12+A142-1&lt;=Kalkulasi!$B$13,Kalkulasi!$B$12+A142-1,"")</f>
        <v/>
      </c>
      <c r="C142" s="156">
        <f>IF(B142="","",TEXT(B142,"d"))</f>
        <v/>
      </c>
      <c r="D142" s="183">
        <f>IF($B142="","",SUMIFS(DATA_TS!$Q$2:$Q$20001,DATA_TS!$A$2:$A$20001,$B142,DATA_TS!$B$2:$B$20001,Kalkulasi!$B$14,DATA_TS!$E$2:$E$20001,"Excavator",DATA_TS!$C$2:$C$20001,Kalkulasi!$B$17))</f>
        <v/>
      </c>
      <c r="E142" s="184">
        <f>IF($B142="","",SUMIFS(DATA_TS!$M$2:$M$20001,DATA_TS!$A$2:$A$20001,$B142,DATA_TS!$B$2:$B$20001,Kalkulasi!$B$14,DATA_TS!$E$2:$E$20001,"Excavator",DATA_TS!$C$2:$C$20001,Kalkulasi!$B$17))</f>
        <v/>
      </c>
      <c r="F142" s="183">
        <f>IF($B142="",NA(),IF(E142=0,0,D142/E142))</f>
        <v/>
      </c>
      <c r="G142" s="156" t="n"/>
      <c r="H142" s="156" t="n"/>
      <c r="I142" s="156" t="n"/>
      <c r="J142" s="156" t="n"/>
    </row>
    <row r="143">
      <c r="A143" s="156" t="n">
        <v>29</v>
      </c>
      <c r="B143" s="155">
        <f>IF(Kalkulasi!$B$12+A143-1&lt;=Kalkulasi!$B$13,Kalkulasi!$B$12+A143-1,"")</f>
        <v/>
      </c>
      <c r="C143" s="156">
        <f>IF(B143="","",TEXT(B143,"d"))</f>
        <v/>
      </c>
      <c r="D143" s="183">
        <f>IF($B143="","",SUMIFS(DATA_TS!$Q$2:$Q$20001,DATA_TS!$A$2:$A$20001,$B143,DATA_TS!$B$2:$B$20001,Kalkulasi!$B$14,DATA_TS!$E$2:$E$20001,"Excavator",DATA_TS!$C$2:$C$20001,Kalkulasi!$B$17))</f>
        <v/>
      </c>
      <c r="E143" s="184">
        <f>IF($B143="","",SUMIFS(DATA_TS!$M$2:$M$20001,DATA_TS!$A$2:$A$20001,$B143,DATA_TS!$B$2:$B$20001,Kalkulasi!$B$14,DATA_TS!$E$2:$E$20001,"Excavator",DATA_TS!$C$2:$C$20001,Kalkulasi!$B$17))</f>
        <v/>
      </c>
      <c r="F143" s="183">
        <f>IF($B143="",NA(),IF(E143=0,0,D143/E143))</f>
        <v/>
      </c>
      <c r="G143" s="156" t="n"/>
      <c r="H143" s="156" t="n"/>
      <c r="I143" s="156" t="n"/>
      <c r="J143" s="156" t="n"/>
    </row>
    <row r="144">
      <c r="A144" s="156" t="n">
        <v>30</v>
      </c>
      <c r="B144" s="155">
        <f>IF(Kalkulasi!$B$12+A144-1&lt;=Kalkulasi!$B$13,Kalkulasi!$B$12+A144-1,"")</f>
        <v/>
      </c>
      <c r="C144" s="156">
        <f>IF(B144="","",TEXT(B144,"d"))</f>
        <v/>
      </c>
      <c r="D144" s="183">
        <f>IF($B144="","",SUMIFS(DATA_TS!$Q$2:$Q$20001,DATA_TS!$A$2:$A$20001,$B144,DATA_TS!$B$2:$B$20001,Kalkulasi!$B$14,DATA_TS!$E$2:$E$20001,"Excavator",DATA_TS!$C$2:$C$20001,Kalkulasi!$B$17))</f>
        <v/>
      </c>
      <c r="E144" s="184">
        <f>IF($B144="","",SUMIFS(DATA_TS!$M$2:$M$20001,DATA_TS!$A$2:$A$20001,$B144,DATA_TS!$B$2:$B$20001,Kalkulasi!$B$14,DATA_TS!$E$2:$E$20001,"Excavator",DATA_TS!$C$2:$C$20001,Kalkulasi!$B$17))</f>
        <v/>
      </c>
      <c r="F144" s="183">
        <f>IF($B144="",NA(),IF(E144=0,0,D144/E144))</f>
        <v/>
      </c>
      <c r="G144" s="156" t="n"/>
      <c r="H144" s="156" t="n"/>
      <c r="I144" s="156" t="n"/>
      <c r="J144" s="156" t="n"/>
    </row>
    <row r="145">
      <c r="A145" s="156" t="n">
        <v>31</v>
      </c>
      <c r="B145" s="155">
        <f>IF(Kalkulasi!$B$12+A145-1&lt;=Kalkulasi!$B$13,Kalkulasi!$B$12+A145-1,"")</f>
        <v/>
      </c>
      <c r="C145" s="156">
        <f>IF(B145="","",TEXT(B145,"d"))</f>
        <v/>
      </c>
      <c r="D145" s="183">
        <f>IF($B145="","",SUMIFS(DATA_TS!$Q$2:$Q$20001,DATA_TS!$A$2:$A$20001,$B145,DATA_TS!$B$2:$B$20001,Kalkulasi!$B$14,DATA_TS!$E$2:$E$20001,"Excavator",DATA_TS!$C$2:$C$20001,Kalkulasi!$B$17))</f>
        <v/>
      </c>
      <c r="E145" s="184">
        <f>IF($B145="","",SUMIFS(DATA_TS!$M$2:$M$20001,DATA_TS!$A$2:$A$20001,$B145,DATA_TS!$B$2:$B$20001,Kalkulasi!$B$14,DATA_TS!$E$2:$E$20001,"Excavator",DATA_TS!$C$2:$C$20001,Kalkulasi!$B$17))</f>
        <v/>
      </c>
      <c r="F145" s="183">
        <f>IF($B145="",NA(),IF(E145=0,0,D145/E145))</f>
        <v/>
      </c>
      <c r="G145" s="156" t="n"/>
      <c r="H145" s="156" t="n"/>
      <c r="I145" s="156" t="n"/>
      <c r="J145" s="156" t="n"/>
    </row>
    <row r="146">
      <c r="A146" s="156" t="n"/>
      <c r="B146" s="156" t="n"/>
      <c r="C146" s="156" t="n"/>
      <c r="D146" s="156" t="n"/>
      <c r="E146" s="156" t="n"/>
      <c r="F146" s="156" t="n"/>
      <c r="G146" s="156" t="n"/>
      <c r="H146" s="156" t="n"/>
      <c r="I146" s="156" t="n"/>
      <c r="J146" s="156" t="n"/>
    </row>
    <row r="147">
      <c r="A147" s="171" t="inlineStr">
        <is>
          <t>Harian — Availability</t>
        </is>
      </c>
      <c r="B147" s="156" t="n"/>
      <c r="C147" s="156" t="n"/>
      <c r="D147" s="156" t="n"/>
      <c r="E147" s="156" t="n"/>
      <c r="F147" s="156" t="n"/>
      <c r="G147" s="156" t="n"/>
      <c r="H147" s="156" t="n"/>
      <c r="I147" s="156" t="n"/>
      <c r="J147" s="156" t="n"/>
    </row>
    <row r="148">
      <c r="A148" s="176" t="inlineStr">
        <is>
          <t>No</t>
        </is>
      </c>
      <c r="B148" s="176" t="inlineStr">
        <is>
          <t>Tanggal</t>
        </is>
      </c>
      <c r="C148" s="176" t="inlineStr">
        <is>
          <t>Label</t>
        </is>
      </c>
      <c r="D148" s="176" t="inlineStr">
        <is>
          <t>HM</t>
        </is>
      </c>
      <c r="E148" s="176" t="inlineStr">
        <is>
          <t>BD</t>
        </is>
      </c>
      <c r="F148" s="176" t="inlineStr">
        <is>
          <t>Idle</t>
        </is>
      </c>
      <c r="G148" s="176" t="inlineStr">
        <is>
          <t>PA %</t>
        </is>
      </c>
      <c r="H148" s="176" t="inlineStr">
        <is>
          <t>UA %</t>
        </is>
      </c>
      <c r="I148" s="176" t="inlineStr">
        <is>
          <t>Target PA %</t>
        </is>
      </c>
      <c r="J148" s="156" t="n"/>
    </row>
    <row r="149">
      <c r="A149" s="156" t="n">
        <v>1</v>
      </c>
      <c r="B149" s="155">
        <f>IF(Kalkulasi!$B$20+A149-1&lt;=Kalkulasi!$B$21,Kalkulasi!$B$20+A149-1,"")</f>
        <v/>
      </c>
      <c r="C149" s="156">
        <f>IF(B149="","",TEXT(B149,"d"))</f>
        <v/>
      </c>
      <c r="D149" s="187">
        <f>IF($B149="","",SUMIFS(DATA_TS!$G$2:$G$20001,DATA_TS!$A$2:$A$20001,$B149,DATA_TS!$B$2:$B$20001,Kalkulasi!$B$22,DATA_TS!$E$2:$E$20001,Kalkulasi!$B$25,DATA_TS!$C$2:$C$20001,Kalkulasi!$B$26))</f>
        <v/>
      </c>
      <c r="E149" s="187">
        <f>IF($B149="","",SUMIFS(DATA_TS!$J$2:$J$20001,DATA_TS!$A$2:$A$20001,$B149,DATA_TS!$B$2:$B$20001,Kalkulasi!$B$22,DATA_TS!$E$2:$E$20001,Kalkulasi!$B$25,DATA_TS!$C$2:$C$20001,Kalkulasi!$B$26))</f>
        <v/>
      </c>
      <c r="F149" s="187">
        <f>IF($B149="","",SUMIFS(DATA_TS!$K$2:$K$20001,DATA_TS!$A$2:$A$20001,$B149,DATA_TS!$B$2:$B$20001,Kalkulasi!$B$22,DATA_TS!$E$2:$E$20001,Kalkulasi!$B$25,DATA_TS!$C$2:$C$20001,Kalkulasi!$B$26))</f>
        <v/>
      </c>
      <c r="G149" s="190">
        <f>IF($B149="",NA(),IF(D149+E149+F149=0,0,(D149+F149)/(D149+E149+F149)*100))</f>
        <v/>
      </c>
      <c r="H149" s="190">
        <f>IF($B149="",NA(),IF(D149+F149=0,0,D149/(D149+F149)*100))</f>
        <v/>
      </c>
      <c r="I149" s="190">
        <f>IF($B149="",NA(),Parameter!$C$5*100)</f>
        <v/>
      </c>
      <c r="J149" s="156" t="n"/>
    </row>
    <row r="150">
      <c r="A150" s="156" t="n">
        <v>2</v>
      </c>
      <c r="B150" s="155">
        <f>IF(Kalkulasi!$B$20+A150-1&lt;=Kalkulasi!$B$21,Kalkulasi!$B$20+A150-1,"")</f>
        <v/>
      </c>
      <c r="C150" s="156">
        <f>IF(B150="","",TEXT(B150,"d"))</f>
        <v/>
      </c>
      <c r="D150" s="187">
        <f>IF($B150="","",SUMIFS(DATA_TS!$G$2:$G$20001,DATA_TS!$A$2:$A$20001,$B150,DATA_TS!$B$2:$B$20001,Kalkulasi!$B$22,DATA_TS!$E$2:$E$20001,Kalkulasi!$B$25,DATA_TS!$C$2:$C$20001,Kalkulasi!$B$26))</f>
        <v/>
      </c>
      <c r="E150" s="187">
        <f>IF($B150="","",SUMIFS(DATA_TS!$J$2:$J$20001,DATA_TS!$A$2:$A$20001,$B150,DATA_TS!$B$2:$B$20001,Kalkulasi!$B$22,DATA_TS!$E$2:$E$20001,Kalkulasi!$B$25,DATA_TS!$C$2:$C$20001,Kalkulasi!$B$26))</f>
        <v/>
      </c>
      <c r="F150" s="187">
        <f>IF($B150="","",SUMIFS(DATA_TS!$K$2:$K$20001,DATA_TS!$A$2:$A$20001,$B150,DATA_TS!$B$2:$B$20001,Kalkulasi!$B$22,DATA_TS!$E$2:$E$20001,Kalkulasi!$B$25,DATA_TS!$C$2:$C$20001,Kalkulasi!$B$26))</f>
        <v/>
      </c>
      <c r="G150" s="190">
        <f>IF($B150="",NA(),IF(D150+E150+F150=0,0,(D150+F150)/(D150+E150+F150)*100))</f>
        <v/>
      </c>
      <c r="H150" s="190">
        <f>IF($B150="",NA(),IF(D150+F150=0,0,D150/(D150+F150)*100))</f>
        <v/>
      </c>
      <c r="I150" s="190">
        <f>IF($B150="",NA(),Parameter!$C$5*100)</f>
        <v/>
      </c>
      <c r="J150" s="156" t="n"/>
    </row>
    <row r="151">
      <c r="A151" s="156" t="n">
        <v>3</v>
      </c>
      <c r="B151" s="155">
        <f>IF(Kalkulasi!$B$20+A151-1&lt;=Kalkulasi!$B$21,Kalkulasi!$B$20+A151-1,"")</f>
        <v/>
      </c>
      <c r="C151" s="156">
        <f>IF(B151="","",TEXT(B151,"d"))</f>
        <v/>
      </c>
      <c r="D151" s="187">
        <f>IF($B151="","",SUMIFS(DATA_TS!$G$2:$G$20001,DATA_TS!$A$2:$A$20001,$B151,DATA_TS!$B$2:$B$20001,Kalkulasi!$B$22,DATA_TS!$E$2:$E$20001,Kalkulasi!$B$25,DATA_TS!$C$2:$C$20001,Kalkulasi!$B$26))</f>
        <v/>
      </c>
      <c r="E151" s="187">
        <f>IF($B151="","",SUMIFS(DATA_TS!$J$2:$J$20001,DATA_TS!$A$2:$A$20001,$B151,DATA_TS!$B$2:$B$20001,Kalkulasi!$B$22,DATA_TS!$E$2:$E$20001,Kalkulasi!$B$25,DATA_TS!$C$2:$C$20001,Kalkulasi!$B$26))</f>
        <v/>
      </c>
      <c r="F151" s="187">
        <f>IF($B151="","",SUMIFS(DATA_TS!$K$2:$K$20001,DATA_TS!$A$2:$A$20001,$B151,DATA_TS!$B$2:$B$20001,Kalkulasi!$B$22,DATA_TS!$E$2:$E$20001,Kalkulasi!$B$25,DATA_TS!$C$2:$C$20001,Kalkulasi!$B$26))</f>
        <v/>
      </c>
      <c r="G151" s="190">
        <f>IF($B151="",NA(),IF(D151+E151+F151=0,0,(D151+F151)/(D151+E151+F151)*100))</f>
        <v/>
      </c>
      <c r="H151" s="190">
        <f>IF($B151="",NA(),IF(D151+F151=0,0,D151/(D151+F151)*100))</f>
        <v/>
      </c>
      <c r="I151" s="190">
        <f>IF($B151="",NA(),Parameter!$C$5*100)</f>
        <v/>
      </c>
      <c r="J151" s="156" t="n"/>
    </row>
    <row r="152">
      <c r="A152" s="156" t="n">
        <v>4</v>
      </c>
      <c r="B152" s="155">
        <f>IF(Kalkulasi!$B$20+A152-1&lt;=Kalkulasi!$B$21,Kalkulasi!$B$20+A152-1,"")</f>
        <v/>
      </c>
      <c r="C152" s="156">
        <f>IF(B152="","",TEXT(B152,"d"))</f>
        <v/>
      </c>
      <c r="D152" s="187">
        <f>IF($B152="","",SUMIFS(DATA_TS!$G$2:$G$20001,DATA_TS!$A$2:$A$20001,$B152,DATA_TS!$B$2:$B$20001,Kalkulasi!$B$22,DATA_TS!$E$2:$E$20001,Kalkulasi!$B$25,DATA_TS!$C$2:$C$20001,Kalkulasi!$B$26))</f>
        <v/>
      </c>
      <c r="E152" s="187">
        <f>IF($B152="","",SUMIFS(DATA_TS!$J$2:$J$20001,DATA_TS!$A$2:$A$20001,$B152,DATA_TS!$B$2:$B$20001,Kalkulasi!$B$22,DATA_TS!$E$2:$E$20001,Kalkulasi!$B$25,DATA_TS!$C$2:$C$20001,Kalkulasi!$B$26))</f>
        <v/>
      </c>
      <c r="F152" s="187">
        <f>IF($B152="","",SUMIFS(DATA_TS!$K$2:$K$20001,DATA_TS!$A$2:$A$20001,$B152,DATA_TS!$B$2:$B$20001,Kalkulasi!$B$22,DATA_TS!$E$2:$E$20001,Kalkulasi!$B$25,DATA_TS!$C$2:$C$20001,Kalkulasi!$B$26))</f>
        <v/>
      </c>
      <c r="G152" s="190">
        <f>IF($B152="",NA(),IF(D152+E152+F152=0,0,(D152+F152)/(D152+E152+F152)*100))</f>
        <v/>
      </c>
      <c r="H152" s="190">
        <f>IF($B152="",NA(),IF(D152+F152=0,0,D152/(D152+F152)*100))</f>
        <v/>
      </c>
      <c r="I152" s="190">
        <f>IF($B152="",NA(),Parameter!$C$5*100)</f>
        <v/>
      </c>
      <c r="J152" s="156" t="n"/>
    </row>
    <row r="153">
      <c r="A153" s="156" t="n">
        <v>5</v>
      </c>
      <c r="B153" s="155">
        <f>IF(Kalkulasi!$B$20+A153-1&lt;=Kalkulasi!$B$21,Kalkulasi!$B$20+A153-1,"")</f>
        <v/>
      </c>
      <c r="C153" s="156">
        <f>IF(B153="","",TEXT(B153,"d"))</f>
        <v/>
      </c>
      <c r="D153" s="187">
        <f>IF($B153="","",SUMIFS(DATA_TS!$G$2:$G$20001,DATA_TS!$A$2:$A$20001,$B153,DATA_TS!$B$2:$B$20001,Kalkulasi!$B$22,DATA_TS!$E$2:$E$20001,Kalkulasi!$B$25,DATA_TS!$C$2:$C$20001,Kalkulasi!$B$26))</f>
        <v/>
      </c>
      <c r="E153" s="187">
        <f>IF($B153="","",SUMIFS(DATA_TS!$J$2:$J$20001,DATA_TS!$A$2:$A$20001,$B153,DATA_TS!$B$2:$B$20001,Kalkulasi!$B$22,DATA_TS!$E$2:$E$20001,Kalkulasi!$B$25,DATA_TS!$C$2:$C$20001,Kalkulasi!$B$26))</f>
        <v/>
      </c>
      <c r="F153" s="187">
        <f>IF($B153="","",SUMIFS(DATA_TS!$K$2:$K$20001,DATA_TS!$A$2:$A$20001,$B153,DATA_TS!$B$2:$B$20001,Kalkulasi!$B$22,DATA_TS!$E$2:$E$20001,Kalkulasi!$B$25,DATA_TS!$C$2:$C$20001,Kalkulasi!$B$26))</f>
        <v/>
      </c>
      <c r="G153" s="190">
        <f>IF($B153="",NA(),IF(D153+E153+F153=0,0,(D153+F153)/(D153+E153+F153)*100))</f>
        <v/>
      </c>
      <c r="H153" s="190">
        <f>IF($B153="",NA(),IF(D153+F153=0,0,D153/(D153+F153)*100))</f>
        <v/>
      </c>
      <c r="I153" s="190">
        <f>IF($B153="",NA(),Parameter!$C$5*100)</f>
        <v/>
      </c>
      <c r="J153" s="156" t="n"/>
    </row>
    <row r="154">
      <c r="A154" s="156" t="n">
        <v>6</v>
      </c>
      <c r="B154" s="155">
        <f>IF(Kalkulasi!$B$20+A154-1&lt;=Kalkulasi!$B$21,Kalkulasi!$B$20+A154-1,"")</f>
        <v/>
      </c>
      <c r="C154" s="156">
        <f>IF(B154="","",TEXT(B154,"d"))</f>
        <v/>
      </c>
      <c r="D154" s="187">
        <f>IF($B154="","",SUMIFS(DATA_TS!$G$2:$G$20001,DATA_TS!$A$2:$A$20001,$B154,DATA_TS!$B$2:$B$20001,Kalkulasi!$B$22,DATA_TS!$E$2:$E$20001,Kalkulasi!$B$25,DATA_TS!$C$2:$C$20001,Kalkulasi!$B$26))</f>
        <v/>
      </c>
      <c r="E154" s="187">
        <f>IF($B154="","",SUMIFS(DATA_TS!$J$2:$J$20001,DATA_TS!$A$2:$A$20001,$B154,DATA_TS!$B$2:$B$20001,Kalkulasi!$B$22,DATA_TS!$E$2:$E$20001,Kalkulasi!$B$25,DATA_TS!$C$2:$C$20001,Kalkulasi!$B$26))</f>
        <v/>
      </c>
      <c r="F154" s="187">
        <f>IF($B154="","",SUMIFS(DATA_TS!$K$2:$K$20001,DATA_TS!$A$2:$A$20001,$B154,DATA_TS!$B$2:$B$20001,Kalkulasi!$B$22,DATA_TS!$E$2:$E$20001,Kalkulasi!$B$25,DATA_TS!$C$2:$C$20001,Kalkulasi!$B$26))</f>
        <v/>
      </c>
      <c r="G154" s="190">
        <f>IF($B154="",NA(),IF(D154+E154+F154=0,0,(D154+F154)/(D154+E154+F154)*100))</f>
        <v/>
      </c>
      <c r="H154" s="190">
        <f>IF($B154="",NA(),IF(D154+F154=0,0,D154/(D154+F154)*100))</f>
        <v/>
      </c>
      <c r="I154" s="190">
        <f>IF($B154="",NA(),Parameter!$C$5*100)</f>
        <v/>
      </c>
      <c r="J154" s="156" t="n"/>
    </row>
    <row r="155">
      <c r="A155" s="156" t="n">
        <v>7</v>
      </c>
      <c r="B155" s="155">
        <f>IF(Kalkulasi!$B$20+A155-1&lt;=Kalkulasi!$B$21,Kalkulasi!$B$20+A155-1,"")</f>
        <v/>
      </c>
      <c r="C155" s="156">
        <f>IF(B155="","",TEXT(B155,"d"))</f>
        <v/>
      </c>
      <c r="D155" s="187">
        <f>IF($B155="","",SUMIFS(DATA_TS!$G$2:$G$20001,DATA_TS!$A$2:$A$20001,$B155,DATA_TS!$B$2:$B$20001,Kalkulasi!$B$22,DATA_TS!$E$2:$E$20001,Kalkulasi!$B$25,DATA_TS!$C$2:$C$20001,Kalkulasi!$B$26))</f>
        <v/>
      </c>
      <c r="E155" s="187">
        <f>IF($B155="","",SUMIFS(DATA_TS!$J$2:$J$20001,DATA_TS!$A$2:$A$20001,$B155,DATA_TS!$B$2:$B$20001,Kalkulasi!$B$22,DATA_TS!$E$2:$E$20001,Kalkulasi!$B$25,DATA_TS!$C$2:$C$20001,Kalkulasi!$B$26))</f>
        <v/>
      </c>
      <c r="F155" s="187">
        <f>IF($B155="","",SUMIFS(DATA_TS!$K$2:$K$20001,DATA_TS!$A$2:$A$20001,$B155,DATA_TS!$B$2:$B$20001,Kalkulasi!$B$22,DATA_TS!$E$2:$E$20001,Kalkulasi!$B$25,DATA_TS!$C$2:$C$20001,Kalkulasi!$B$26))</f>
        <v/>
      </c>
      <c r="G155" s="190">
        <f>IF($B155="",NA(),IF(D155+E155+F155=0,0,(D155+F155)/(D155+E155+F155)*100))</f>
        <v/>
      </c>
      <c r="H155" s="190">
        <f>IF($B155="",NA(),IF(D155+F155=0,0,D155/(D155+F155)*100))</f>
        <v/>
      </c>
      <c r="I155" s="190">
        <f>IF($B155="",NA(),Parameter!$C$5*100)</f>
        <v/>
      </c>
      <c r="J155" s="156" t="n"/>
    </row>
    <row r="156">
      <c r="A156" s="156" t="n">
        <v>8</v>
      </c>
      <c r="B156" s="155">
        <f>IF(Kalkulasi!$B$20+A156-1&lt;=Kalkulasi!$B$21,Kalkulasi!$B$20+A156-1,"")</f>
        <v/>
      </c>
      <c r="C156" s="156">
        <f>IF(B156="","",TEXT(B156,"d"))</f>
        <v/>
      </c>
      <c r="D156" s="187">
        <f>IF($B156="","",SUMIFS(DATA_TS!$G$2:$G$20001,DATA_TS!$A$2:$A$20001,$B156,DATA_TS!$B$2:$B$20001,Kalkulasi!$B$22,DATA_TS!$E$2:$E$20001,Kalkulasi!$B$25,DATA_TS!$C$2:$C$20001,Kalkulasi!$B$26))</f>
        <v/>
      </c>
      <c r="E156" s="187">
        <f>IF($B156="","",SUMIFS(DATA_TS!$J$2:$J$20001,DATA_TS!$A$2:$A$20001,$B156,DATA_TS!$B$2:$B$20001,Kalkulasi!$B$22,DATA_TS!$E$2:$E$20001,Kalkulasi!$B$25,DATA_TS!$C$2:$C$20001,Kalkulasi!$B$26))</f>
        <v/>
      </c>
      <c r="F156" s="187">
        <f>IF($B156="","",SUMIFS(DATA_TS!$K$2:$K$20001,DATA_TS!$A$2:$A$20001,$B156,DATA_TS!$B$2:$B$20001,Kalkulasi!$B$22,DATA_TS!$E$2:$E$20001,Kalkulasi!$B$25,DATA_TS!$C$2:$C$20001,Kalkulasi!$B$26))</f>
        <v/>
      </c>
      <c r="G156" s="190">
        <f>IF($B156="",NA(),IF(D156+E156+F156=0,0,(D156+F156)/(D156+E156+F156)*100))</f>
        <v/>
      </c>
      <c r="H156" s="190">
        <f>IF($B156="",NA(),IF(D156+F156=0,0,D156/(D156+F156)*100))</f>
        <v/>
      </c>
      <c r="I156" s="190">
        <f>IF($B156="",NA(),Parameter!$C$5*100)</f>
        <v/>
      </c>
      <c r="J156" s="156" t="n"/>
    </row>
    <row r="157">
      <c r="A157" s="156" t="n">
        <v>9</v>
      </c>
      <c r="B157" s="155">
        <f>IF(Kalkulasi!$B$20+A157-1&lt;=Kalkulasi!$B$21,Kalkulasi!$B$20+A157-1,"")</f>
        <v/>
      </c>
      <c r="C157" s="156">
        <f>IF(B157="","",TEXT(B157,"d"))</f>
        <v/>
      </c>
      <c r="D157" s="187">
        <f>IF($B157="","",SUMIFS(DATA_TS!$G$2:$G$20001,DATA_TS!$A$2:$A$20001,$B157,DATA_TS!$B$2:$B$20001,Kalkulasi!$B$22,DATA_TS!$E$2:$E$20001,Kalkulasi!$B$25,DATA_TS!$C$2:$C$20001,Kalkulasi!$B$26))</f>
        <v/>
      </c>
      <c r="E157" s="187">
        <f>IF($B157="","",SUMIFS(DATA_TS!$J$2:$J$20001,DATA_TS!$A$2:$A$20001,$B157,DATA_TS!$B$2:$B$20001,Kalkulasi!$B$22,DATA_TS!$E$2:$E$20001,Kalkulasi!$B$25,DATA_TS!$C$2:$C$20001,Kalkulasi!$B$26))</f>
        <v/>
      </c>
      <c r="F157" s="187">
        <f>IF($B157="","",SUMIFS(DATA_TS!$K$2:$K$20001,DATA_TS!$A$2:$A$20001,$B157,DATA_TS!$B$2:$B$20001,Kalkulasi!$B$22,DATA_TS!$E$2:$E$20001,Kalkulasi!$B$25,DATA_TS!$C$2:$C$20001,Kalkulasi!$B$26))</f>
        <v/>
      </c>
      <c r="G157" s="190">
        <f>IF($B157="",NA(),IF(D157+E157+F157=0,0,(D157+F157)/(D157+E157+F157)*100))</f>
        <v/>
      </c>
      <c r="H157" s="190">
        <f>IF($B157="",NA(),IF(D157+F157=0,0,D157/(D157+F157)*100))</f>
        <v/>
      </c>
      <c r="I157" s="190">
        <f>IF($B157="",NA(),Parameter!$C$5*100)</f>
        <v/>
      </c>
      <c r="J157" s="156" t="n"/>
    </row>
    <row r="158">
      <c r="A158" s="156" t="n">
        <v>10</v>
      </c>
      <c r="B158" s="155">
        <f>IF(Kalkulasi!$B$20+A158-1&lt;=Kalkulasi!$B$21,Kalkulasi!$B$20+A158-1,"")</f>
        <v/>
      </c>
      <c r="C158" s="156">
        <f>IF(B158="","",TEXT(B158,"d"))</f>
        <v/>
      </c>
      <c r="D158" s="187">
        <f>IF($B158="","",SUMIFS(DATA_TS!$G$2:$G$20001,DATA_TS!$A$2:$A$20001,$B158,DATA_TS!$B$2:$B$20001,Kalkulasi!$B$22,DATA_TS!$E$2:$E$20001,Kalkulasi!$B$25,DATA_TS!$C$2:$C$20001,Kalkulasi!$B$26))</f>
        <v/>
      </c>
      <c r="E158" s="187">
        <f>IF($B158="","",SUMIFS(DATA_TS!$J$2:$J$20001,DATA_TS!$A$2:$A$20001,$B158,DATA_TS!$B$2:$B$20001,Kalkulasi!$B$22,DATA_TS!$E$2:$E$20001,Kalkulasi!$B$25,DATA_TS!$C$2:$C$20001,Kalkulasi!$B$26))</f>
        <v/>
      </c>
      <c r="F158" s="187">
        <f>IF($B158="","",SUMIFS(DATA_TS!$K$2:$K$20001,DATA_TS!$A$2:$A$20001,$B158,DATA_TS!$B$2:$B$20001,Kalkulasi!$B$22,DATA_TS!$E$2:$E$20001,Kalkulasi!$B$25,DATA_TS!$C$2:$C$20001,Kalkulasi!$B$26))</f>
        <v/>
      </c>
      <c r="G158" s="190">
        <f>IF($B158="",NA(),IF(D158+E158+F158=0,0,(D158+F158)/(D158+E158+F158)*100))</f>
        <v/>
      </c>
      <c r="H158" s="190">
        <f>IF($B158="",NA(),IF(D158+F158=0,0,D158/(D158+F158)*100))</f>
        <v/>
      </c>
      <c r="I158" s="190">
        <f>IF($B158="",NA(),Parameter!$C$5*100)</f>
        <v/>
      </c>
      <c r="J158" s="156" t="n"/>
    </row>
    <row r="159">
      <c r="A159" s="156" t="n">
        <v>11</v>
      </c>
      <c r="B159" s="155">
        <f>IF(Kalkulasi!$B$20+A159-1&lt;=Kalkulasi!$B$21,Kalkulasi!$B$20+A159-1,"")</f>
        <v/>
      </c>
      <c r="C159" s="156">
        <f>IF(B159="","",TEXT(B159,"d"))</f>
        <v/>
      </c>
      <c r="D159" s="187">
        <f>IF($B159="","",SUMIFS(DATA_TS!$G$2:$G$20001,DATA_TS!$A$2:$A$20001,$B159,DATA_TS!$B$2:$B$20001,Kalkulasi!$B$22,DATA_TS!$E$2:$E$20001,Kalkulasi!$B$25,DATA_TS!$C$2:$C$20001,Kalkulasi!$B$26))</f>
        <v/>
      </c>
      <c r="E159" s="187">
        <f>IF($B159="","",SUMIFS(DATA_TS!$J$2:$J$20001,DATA_TS!$A$2:$A$20001,$B159,DATA_TS!$B$2:$B$20001,Kalkulasi!$B$22,DATA_TS!$E$2:$E$20001,Kalkulasi!$B$25,DATA_TS!$C$2:$C$20001,Kalkulasi!$B$26))</f>
        <v/>
      </c>
      <c r="F159" s="187">
        <f>IF($B159="","",SUMIFS(DATA_TS!$K$2:$K$20001,DATA_TS!$A$2:$A$20001,$B159,DATA_TS!$B$2:$B$20001,Kalkulasi!$B$22,DATA_TS!$E$2:$E$20001,Kalkulasi!$B$25,DATA_TS!$C$2:$C$20001,Kalkulasi!$B$26))</f>
        <v/>
      </c>
      <c r="G159" s="190">
        <f>IF($B159="",NA(),IF(D159+E159+F159=0,0,(D159+F159)/(D159+E159+F159)*100))</f>
        <v/>
      </c>
      <c r="H159" s="190">
        <f>IF($B159="",NA(),IF(D159+F159=0,0,D159/(D159+F159)*100))</f>
        <v/>
      </c>
      <c r="I159" s="190">
        <f>IF($B159="",NA(),Parameter!$C$5*100)</f>
        <v/>
      </c>
      <c r="J159" s="156" t="n"/>
    </row>
    <row r="160">
      <c r="A160" s="156" t="n">
        <v>12</v>
      </c>
      <c r="B160" s="155">
        <f>IF(Kalkulasi!$B$20+A160-1&lt;=Kalkulasi!$B$21,Kalkulasi!$B$20+A160-1,"")</f>
        <v/>
      </c>
      <c r="C160" s="156">
        <f>IF(B160="","",TEXT(B160,"d"))</f>
        <v/>
      </c>
      <c r="D160" s="187">
        <f>IF($B160="","",SUMIFS(DATA_TS!$G$2:$G$20001,DATA_TS!$A$2:$A$20001,$B160,DATA_TS!$B$2:$B$20001,Kalkulasi!$B$22,DATA_TS!$E$2:$E$20001,Kalkulasi!$B$25,DATA_TS!$C$2:$C$20001,Kalkulasi!$B$26))</f>
        <v/>
      </c>
      <c r="E160" s="187">
        <f>IF($B160="","",SUMIFS(DATA_TS!$J$2:$J$20001,DATA_TS!$A$2:$A$20001,$B160,DATA_TS!$B$2:$B$20001,Kalkulasi!$B$22,DATA_TS!$E$2:$E$20001,Kalkulasi!$B$25,DATA_TS!$C$2:$C$20001,Kalkulasi!$B$26))</f>
        <v/>
      </c>
      <c r="F160" s="187">
        <f>IF($B160="","",SUMIFS(DATA_TS!$K$2:$K$20001,DATA_TS!$A$2:$A$20001,$B160,DATA_TS!$B$2:$B$20001,Kalkulasi!$B$22,DATA_TS!$E$2:$E$20001,Kalkulasi!$B$25,DATA_TS!$C$2:$C$20001,Kalkulasi!$B$26))</f>
        <v/>
      </c>
      <c r="G160" s="190">
        <f>IF($B160="",NA(),IF(D160+E160+F160=0,0,(D160+F160)/(D160+E160+F160)*100))</f>
        <v/>
      </c>
      <c r="H160" s="190">
        <f>IF($B160="",NA(),IF(D160+F160=0,0,D160/(D160+F160)*100))</f>
        <v/>
      </c>
      <c r="I160" s="190">
        <f>IF($B160="",NA(),Parameter!$C$5*100)</f>
        <v/>
      </c>
      <c r="J160" s="156" t="n"/>
    </row>
    <row r="161">
      <c r="A161" s="156" t="n">
        <v>13</v>
      </c>
      <c r="B161" s="155">
        <f>IF(Kalkulasi!$B$20+A161-1&lt;=Kalkulasi!$B$21,Kalkulasi!$B$20+A161-1,"")</f>
        <v/>
      </c>
      <c r="C161" s="156">
        <f>IF(B161="","",TEXT(B161,"d"))</f>
        <v/>
      </c>
      <c r="D161" s="187">
        <f>IF($B161="","",SUMIFS(DATA_TS!$G$2:$G$20001,DATA_TS!$A$2:$A$20001,$B161,DATA_TS!$B$2:$B$20001,Kalkulasi!$B$22,DATA_TS!$E$2:$E$20001,Kalkulasi!$B$25,DATA_TS!$C$2:$C$20001,Kalkulasi!$B$26))</f>
        <v/>
      </c>
      <c r="E161" s="187">
        <f>IF($B161="","",SUMIFS(DATA_TS!$J$2:$J$20001,DATA_TS!$A$2:$A$20001,$B161,DATA_TS!$B$2:$B$20001,Kalkulasi!$B$22,DATA_TS!$E$2:$E$20001,Kalkulasi!$B$25,DATA_TS!$C$2:$C$20001,Kalkulasi!$B$26))</f>
        <v/>
      </c>
      <c r="F161" s="187">
        <f>IF($B161="","",SUMIFS(DATA_TS!$K$2:$K$20001,DATA_TS!$A$2:$A$20001,$B161,DATA_TS!$B$2:$B$20001,Kalkulasi!$B$22,DATA_TS!$E$2:$E$20001,Kalkulasi!$B$25,DATA_TS!$C$2:$C$20001,Kalkulasi!$B$26))</f>
        <v/>
      </c>
      <c r="G161" s="190">
        <f>IF($B161="",NA(),IF(D161+E161+F161=0,0,(D161+F161)/(D161+E161+F161)*100))</f>
        <v/>
      </c>
      <c r="H161" s="190">
        <f>IF($B161="",NA(),IF(D161+F161=0,0,D161/(D161+F161)*100))</f>
        <v/>
      </c>
      <c r="I161" s="190">
        <f>IF($B161="",NA(),Parameter!$C$5*100)</f>
        <v/>
      </c>
      <c r="J161" s="156" t="n"/>
    </row>
    <row r="162">
      <c r="A162" s="156" t="n">
        <v>14</v>
      </c>
      <c r="B162" s="155">
        <f>IF(Kalkulasi!$B$20+A162-1&lt;=Kalkulasi!$B$21,Kalkulasi!$B$20+A162-1,"")</f>
        <v/>
      </c>
      <c r="C162" s="156">
        <f>IF(B162="","",TEXT(B162,"d"))</f>
        <v/>
      </c>
      <c r="D162" s="187">
        <f>IF($B162="","",SUMIFS(DATA_TS!$G$2:$G$20001,DATA_TS!$A$2:$A$20001,$B162,DATA_TS!$B$2:$B$20001,Kalkulasi!$B$22,DATA_TS!$E$2:$E$20001,Kalkulasi!$B$25,DATA_TS!$C$2:$C$20001,Kalkulasi!$B$26))</f>
        <v/>
      </c>
      <c r="E162" s="187">
        <f>IF($B162="","",SUMIFS(DATA_TS!$J$2:$J$20001,DATA_TS!$A$2:$A$20001,$B162,DATA_TS!$B$2:$B$20001,Kalkulasi!$B$22,DATA_TS!$E$2:$E$20001,Kalkulasi!$B$25,DATA_TS!$C$2:$C$20001,Kalkulasi!$B$26))</f>
        <v/>
      </c>
      <c r="F162" s="187">
        <f>IF($B162="","",SUMIFS(DATA_TS!$K$2:$K$20001,DATA_TS!$A$2:$A$20001,$B162,DATA_TS!$B$2:$B$20001,Kalkulasi!$B$22,DATA_TS!$E$2:$E$20001,Kalkulasi!$B$25,DATA_TS!$C$2:$C$20001,Kalkulasi!$B$26))</f>
        <v/>
      </c>
      <c r="G162" s="190">
        <f>IF($B162="",NA(),IF(D162+E162+F162=0,0,(D162+F162)/(D162+E162+F162)*100))</f>
        <v/>
      </c>
      <c r="H162" s="190">
        <f>IF($B162="",NA(),IF(D162+F162=0,0,D162/(D162+F162)*100))</f>
        <v/>
      </c>
      <c r="I162" s="190">
        <f>IF($B162="",NA(),Parameter!$C$5*100)</f>
        <v/>
      </c>
      <c r="J162" s="156" t="n"/>
    </row>
    <row r="163">
      <c r="A163" s="156" t="n">
        <v>15</v>
      </c>
      <c r="B163" s="155">
        <f>IF(Kalkulasi!$B$20+A163-1&lt;=Kalkulasi!$B$21,Kalkulasi!$B$20+A163-1,"")</f>
        <v/>
      </c>
      <c r="C163" s="156">
        <f>IF(B163="","",TEXT(B163,"d"))</f>
        <v/>
      </c>
      <c r="D163" s="187">
        <f>IF($B163="","",SUMIFS(DATA_TS!$G$2:$G$20001,DATA_TS!$A$2:$A$20001,$B163,DATA_TS!$B$2:$B$20001,Kalkulasi!$B$22,DATA_TS!$E$2:$E$20001,Kalkulasi!$B$25,DATA_TS!$C$2:$C$20001,Kalkulasi!$B$26))</f>
        <v/>
      </c>
      <c r="E163" s="187">
        <f>IF($B163="","",SUMIFS(DATA_TS!$J$2:$J$20001,DATA_TS!$A$2:$A$20001,$B163,DATA_TS!$B$2:$B$20001,Kalkulasi!$B$22,DATA_TS!$E$2:$E$20001,Kalkulasi!$B$25,DATA_TS!$C$2:$C$20001,Kalkulasi!$B$26))</f>
        <v/>
      </c>
      <c r="F163" s="187">
        <f>IF($B163="","",SUMIFS(DATA_TS!$K$2:$K$20001,DATA_TS!$A$2:$A$20001,$B163,DATA_TS!$B$2:$B$20001,Kalkulasi!$B$22,DATA_TS!$E$2:$E$20001,Kalkulasi!$B$25,DATA_TS!$C$2:$C$20001,Kalkulasi!$B$26))</f>
        <v/>
      </c>
      <c r="G163" s="190">
        <f>IF($B163="",NA(),IF(D163+E163+F163=0,0,(D163+F163)/(D163+E163+F163)*100))</f>
        <v/>
      </c>
      <c r="H163" s="190">
        <f>IF($B163="",NA(),IF(D163+F163=0,0,D163/(D163+F163)*100))</f>
        <v/>
      </c>
      <c r="I163" s="190">
        <f>IF($B163="",NA(),Parameter!$C$5*100)</f>
        <v/>
      </c>
      <c r="J163" s="156" t="n"/>
    </row>
    <row r="164">
      <c r="A164" s="156" t="n">
        <v>16</v>
      </c>
      <c r="B164" s="155">
        <f>IF(Kalkulasi!$B$20+A164-1&lt;=Kalkulasi!$B$21,Kalkulasi!$B$20+A164-1,"")</f>
        <v/>
      </c>
      <c r="C164" s="156">
        <f>IF(B164="","",TEXT(B164,"d"))</f>
        <v/>
      </c>
      <c r="D164" s="187">
        <f>IF($B164="","",SUMIFS(DATA_TS!$G$2:$G$20001,DATA_TS!$A$2:$A$20001,$B164,DATA_TS!$B$2:$B$20001,Kalkulasi!$B$22,DATA_TS!$E$2:$E$20001,Kalkulasi!$B$25,DATA_TS!$C$2:$C$20001,Kalkulasi!$B$26))</f>
        <v/>
      </c>
      <c r="E164" s="187">
        <f>IF($B164="","",SUMIFS(DATA_TS!$J$2:$J$20001,DATA_TS!$A$2:$A$20001,$B164,DATA_TS!$B$2:$B$20001,Kalkulasi!$B$22,DATA_TS!$E$2:$E$20001,Kalkulasi!$B$25,DATA_TS!$C$2:$C$20001,Kalkulasi!$B$26))</f>
        <v/>
      </c>
      <c r="F164" s="187">
        <f>IF($B164="","",SUMIFS(DATA_TS!$K$2:$K$20001,DATA_TS!$A$2:$A$20001,$B164,DATA_TS!$B$2:$B$20001,Kalkulasi!$B$22,DATA_TS!$E$2:$E$20001,Kalkulasi!$B$25,DATA_TS!$C$2:$C$20001,Kalkulasi!$B$26))</f>
        <v/>
      </c>
      <c r="G164" s="190">
        <f>IF($B164="",NA(),IF(D164+E164+F164=0,0,(D164+F164)/(D164+E164+F164)*100))</f>
        <v/>
      </c>
      <c r="H164" s="190">
        <f>IF($B164="",NA(),IF(D164+F164=0,0,D164/(D164+F164)*100))</f>
        <v/>
      </c>
      <c r="I164" s="190">
        <f>IF($B164="",NA(),Parameter!$C$5*100)</f>
        <v/>
      </c>
      <c r="J164" s="156" t="n"/>
    </row>
    <row r="165">
      <c r="A165" s="156" t="n">
        <v>17</v>
      </c>
      <c r="B165" s="155">
        <f>IF(Kalkulasi!$B$20+A165-1&lt;=Kalkulasi!$B$21,Kalkulasi!$B$20+A165-1,"")</f>
        <v/>
      </c>
      <c r="C165" s="156">
        <f>IF(B165="","",TEXT(B165,"d"))</f>
        <v/>
      </c>
      <c r="D165" s="187">
        <f>IF($B165="","",SUMIFS(DATA_TS!$G$2:$G$20001,DATA_TS!$A$2:$A$20001,$B165,DATA_TS!$B$2:$B$20001,Kalkulasi!$B$22,DATA_TS!$E$2:$E$20001,Kalkulasi!$B$25,DATA_TS!$C$2:$C$20001,Kalkulasi!$B$26))</f>
        <v/>
      </c>
      <c r="E165" s="187">
        <f>IF($B165="","",SUMIFS(DATA_TS!$J$2:$J$20001,DATA_TS!$A$2:$A$20001,$B165,DATA_TS!$B$2:$B$20001,Kalkulasi!$B$22,DATA_TS!$E$2:$E$20001,Kalkulasi!$B$25,DATA_TS!$C$2:$C$20001,Kalkulasi!$B$26))</f>
        <v/>
      </c>
      <c r="F165" s="187">
        <f>IF($B165="","",SUMIFS(DATA_TS!$K$2:$K$20001,DATA_TS!$A$2:$A$20001,$B165,DATA_TS!$B$2:$B$20001,Kalkulasi!$B$22,DATA_TS!$E$2:$E$20001,Kalkulasi!$B$25,DATA_TS!$C$2:$C$20001,Kalkulasi!$B$26))</f>
        <v/>
      </c>
      <c r="G165" s="190">
        <f>IF($B165="",NA(),IF(D165+E165+F165=0,0,(D165+F165)/(D165+E165+F165)*100))</f>
        <v/>
      </c>
      <c r="H165" s="190">
        <f>IF($B165="",NA(),IF(D165+F165=0,0,D165/(D165+F165)*100))</f>
        <v/>
      </c>
      <c r="I165" s="190">
        <f>IF($B165="",NA(),Parameter!$C$5*100)</f>
        <v/>
      </c>
      <c r="J165" s="156" t="n"/>
    </row>
    <row r="166">
      <c r="A166" s="156" t="n">
        <v>18</v>
      </c>
      <c r="B166" s="155">
        <f>IF(Kalkulasi!$B$20+A166-1&lt;=Kalkulasi!$B$21,Kalkulasi!$B$20+A166-1,"")</f>
        <v/>
      </c>
      <c r="C166" s="156">
        <f>IF(B166="","",TEXT(B166,"d"))</f>
        <v/>
      </c>
      <c r="D166" s="187">
        <f>IF($B166="","",SUMIFS(DATA_TS!$G$2:$G$20001,DATA_TS!$A$2:$A$20001,$B166,DATA_TS!$B$2:$B$20001,Kalkulasi!$B$22,DATA_TS!$E$2:$E$20001,Kalkulasi!$B$25,DATA_TS!$C$2:$C$20001,Kalkulasi!$B$26))</f>
        <v/>
      </c>
      <c r="E166" s="187">
        <f>IF($B166="","",SUMIFS(DATA_TS!$J$2:$J$20001,DATA_TS!$A$2:$A$20001,$B166,DATA_TS!$B$2:$B$20001,Kalkulasi!$B$22,DATA_TS!$E$2:$E$20001,Kalkulasi!$B$25,DATA_TS!$C$2:$C$20001,Kalkulasi!$B$26))</f>
        <v/>
      </c>
      <c r="F166" s="187">
        <f>IF($B166="","",SUMIFS(DATA_TS!$K$2:$K$20001,DATA_TS!$A$2:$A$20001,$B166,DATA_TS!$B$2:$B$20001,Kalkulasi!$B$22,DATA_TS!$E$2:$E$20001,Kalkulasi!$B$25,DATA_TS!$C$2:$C$20001,Kalkulasi!$B$26))</f>
        <v/>
      </c>
      <c r="G166" s="190">
        <f>IF($B166="",NA(),IF(D166+E166+F166=0,0,(D166+F166)/(D166+E166+F166)*100))</f>
        <v/>
      </c>
      <c r="H166" s="190">
        <f>IF($B166="",NA(),IF(D166+F166=0,0,D166/(D166+F166)*100))</f>
        <v/>
      </c>
      <c r="I166" s="190">
        <f>IF($B166="",NA(),Parameter!$C$5*100)</f>
        <v/>
      </c>
      <c r="J166" s="156" t="n"/>
    </row>
    <row r="167">
      <c r="A167" s="156" t="n">
        <v>19</v>
      </c>
      <c r="B167" s="155">
        <f>IF(Kalkulasi!$B$20+A167-1&lt;=Kalkulasi!$B$21,Kalkulasi!$B$20+A167-1,"")</f>
        <v/>
      </c>
      <c r="C167" s="156">
        <f>IF(B167="","",TEXT(B167,"d"))</f>
        <v/>
      </c>
      <c r="D167" s="187">
        <f>IF($B167="","",SUMIFS(DATA_TS!$G$2:$G$20001,DATA_TS!$A$2:$A$20001,$B167,DATA_TS!$B$2:$B$20001,Kalkulasi!$B$22,DATA_TS!$E$2:$E$20001,Kalkulasi!$B$25,DATA_TS!$C$2:$C$20001,Kalkulasi!$B$26))</f>
        <v/>
      </c>
      <c r="E167" s="187">
        <f>IF($B167="","",SUMIFS(DATA_TS!$J$2:$J$20001,DATA_TS!$A$2:$A$20001,$B167,DATA_TS!$B$2:$B$20001,Kalkulasi!$B$22,DATA_TS!$E$2:$E$20001,Kalkulasi!$B$25,DATA_TS!$C$2:$C$20001,Kalkulasi!$B$26))</f>
        <v/>
      </c>
      <c r="F167" s="187">
        <f>IF($B167="","",SUMIFS(DATA_TS!$K$2:$K$20001,DATA_TS!$A$2:$A$20001,$B167,DATA_TS!$B$2:$B$20001,Kalkulasi!$B$22,DATA_TS!$E$2:$E$20001,Kalkulasi!$B$25,DATA_TS!$C$2:$C$20001,Kalkulasi!$B$26))</f>
        <v/>
      </c>
      <c r="G167" s="190">
        <f>IF($B167="",NA(),IF(D167+E167+F167=0,0,(D167+F167)/(D167+E167+F167)*100))</f>
        <v/>
      </c>
      <c r="H167" s="190">
        <f>IF($B167="",NA(),IF(D167+F167=0,0,D167/(D167+F167)*100))</f>
        <v/>
      </c>
      <c r="I167" s="190">
        <f>IF($B167="",NA(),Parameter!$C$5*100)</f>
        <v/>
      </c>
      <c r="J167" s="156" t="n"/>
    </row>
    <row r="168">
      <c r="A168" s="156" t="n">
        <v>20</v>
      </c>
      <c r="B168" s="155">
        <f>IF(Kalkulasi!$B$20+A168-1&lt;=Kalkulasi!$B$21,Kalkulasi!$B$20+A168-1,"")</f>
        <v/>
      </c>
      <c r="C168" s="156">
        <f>IF(B168="","",TEXT(B168,"d"))</f>
        <v/>
      </c>
      <c r="D168" s="187">
        <f>IF($B168="","",SUMIFS(DATA_TS!$G$2:$G$20001,DATA_TS!$A$2:$A$20001,$B168,DATA_TS!$B$2:$B$20001,Kalkulasi!$B$22,DATA_TS!$E$2:$E$20001,Kalkulasi!$B$25,DATA_TS!$C$2:$C$20001,Kalkulasi!$B$26))</f>
        <v/>
      </c>
      <c r="E168" s="187">
        <f>IF($B168="","",SUMIFS(DATA_TS!$J$2:$J$20001,DATA_TS!$A$2:$A$20001,$B168,DATA_TS!$B$2:$B$20001,Kalkulasi!$B$22,DATA_TS!$E$2:$E$20001,Kalkulasi!$B$25,DATA_TS!$C$2:$C$20001,Kalkulasi!$B$26))</f>
        <v/>
      </c>
      <c r="F168" s="187">
        <f>IF($B168="","",SUMIFS(DATA_TS!$K$2:$K$20001,DATA_TS!$A$2:$A$20001,$B168,DATA_TS!$B$2:$B$20001,Kalkulasi!$B$22,DATA_TS!$E$2:$E$20001,Kalkulasi!$B$25,DATA_TS!$C$2:$C$20001,Kalkulasi!$B$26))</f>
        <v/>
      </c>
      <c r="G168" s="190">
        <f>IF($B168="",NA(),IF(D168+E168+F168=0,0,(D168+F168)/(D168+E168+F168)*100))</f>
        <v/>
      </c>
      <c r="H168" s="190">
        <f>IF($B168="",NA(),IF(D168+F168=0,0,D168/(D168+F168)*100))</f>
        <v/>
      </c>
      <c r="I168" s="190">
        <f>IF($B168="",NA(),Parameter!$C$5*100)</f>
        <v/>
      </c>
      <c r="J168" s="156" t="n"/>
    </row>
    <row r="169">
      <c r="A169" s="156" t="n">
        <v>21</v>
      </c>
      <c r="B169" s="155">
        <f>IF(Kalkulasi!$B$20+A169-1&lt;=Kalkulasi!$B$21,Kalkulasi!$B$20+A169-1,"")</f>
        <v/>
      </c>
      <c r="C169" s="156">
        <f>IF(B169="","",TEXT(B169,"d"))</f>
        <v/>
      </c>
      <c r="D169" s="187">
        <f>IF($B169="","",SUMIFS(DATA_TS!$G$2:$G$20001,DATA_TS!$A$2:$A$20001,$B169,DATA_TS!$B$2:$B$20001,Kalkulasi!$B$22,DATA_TS!$E$2:$E$20001,Kalkulasi!$B$25,DATA_TS!$C$2:$C$20001,Kalkulasi!$B$26))</f>
        <v/>
      </c>
      <c r="E169" s="187">
        <f>IF($B169="","",SUMIFS(DATA_TS!$J$2:$J$20001,DATA_TS!$A$2:$A$20001,$B169,DATA_TS!$B$2:$B$20001,Kalkulasi!$B$22,DATA_TS!$E$2:$E$20001,Kalkulasi!$B$25,DATA_TS!$C$2:$C$20001,Kalkulasi!$B$26))</f>
        <v/>
      </c>
      <c r="F169" s="187">
        <f>IF($B169="","",SUMIFS(DATA_TS!$K$2:$K$20001,DATA_TS!$A$2:$A$20001,$B169,DATA_TS!$B$2:$B$20001,Kalkulasi!$B$22,DATA_TS!$E$2:$E$20001,Kalkulasi!$B$25,DATA_TS!$C$2:$C$20001,Kalkulasi!$B$26))</f>
        <v/>
      </c>
      <c r="G169" s="190">
        <f>IF($B169="",NA(),IF(D169+E169+F169=0,0,(D169+F169)/(D169+E169+F169)*100))</f>
        <v/>
      </c>
      <c r="H169" s="190">
        <f>IF($B169="",NA(),IF(D169+F169=0,0,D169/(D169+F169)*100))</f>
        <v/>
      </c>
      <c r="I169" s="190">
        <f>IF($B169="",NA(),Parameter!$C$5*100)</f>
        <v/>
      </c>
      <c r="J169" s="156" t="n"/>
    </row>
    <row r="170">
      <c r="A170" s="156" t="n">
        <v>22</v>
      </c>
      <c r="B170" s="155">
        <f>IF(Kalkulasi!$B$20+A170-1&lt;=Kalkulasi!$B$21,Kalkulasi!$B$20+A170-1,"")</f>
        <v/>
      </c>
      <c r="C170" s="156">
        <f>IF(B170="","",TEXT(B170,"d"))</f>
        <v/>
      </c>
      <c r="D170" s="187">
        <f>IF($B170="","",SUMIFS(DATA_TS!$G$2:$G$20001,DATA_TS!$A$2:$A$20001,$B170,DATA_TS!$B$2:$B$20001,Kalkulasi!$B$22,DATA_TS!$E$2:$E$20001,Kalkulasi!$B$25,DATA_TS!$C$2:$C$20001,Kalkulasi!$B$26))</f>
        <v/>
      </c>
      <c r="E170" s="187">
        <f>IF($B170="","",SUMIFS(DATA_TS!$J$2:$J$20001,DATA_TS!$A$2:$A$20001,$B170,DATA_TS!$B$2:$B$20001,Kalkulasi!$B$22,DATA_TS!$E$2:$E$20001,Kalkulasi!$B$25,DATA_TS!$C$2:$C$20001,Kalkulasi!$B$26))</f>
        <v/>
      </c>
      <c r="F170" s="187">
        <f>IF($B170="","",SUMIFS(DATA_TS!$K$2:$K$20001,DATA_TS!$A$2:$A$20001,$B170,DATA_TS!$B$2:$B$20001,Kalkulasi!$B$22,DATA_TS!$E$2:$E$20001,Kalkulasi!$B$25,DATA_TS!$C$2:$C$20001,Kalkulasi!$B$26))</f>
        <v/>
      </c>
      <c r="G170" s="190">
        <f>IF($B170="",NA(),IF(D170+E170+F170=0,0,(D170+F170)/(D170+E170+F170)*100))</f>
        <v/>
      </c>
      <c r="H170" s="190">
        <f>IF($B170="",NA(),IF(D170+F170=0,0,D170/(D170+F170)*100))</f>
        <v/>
      </c>
      <c r="I170" s="190">
        <f>IF($B170="",NA(),Parameter!$C$5*100)</f>
        <v/>
      </c>
      <c r="J170" s="156" t="n"/>
    </row>
    <row r="171">
      <c r="A171" s="156" t="n">
        <v>23</v>
      </c>
      <c r="B171" s="155">
        <f>IF(Kalkulasi!$B$20+A171-1&lt;=Kalkulasi!$B$21,Kalkulasi!$B$20+A171-1,"")</f>
        <v/>
      </c>
      <c r="C171" s="156">
        <f>IF(B171="","",TEXT(B171,"d"))</f>
        <v/>
      </c>
      <c r="D171" s="187">
        <f>IF($B171="","",SUMIFS(DATA_TS!$G$2:$G$20001,DATA_TS!$A$2:$A$20001,$B171,DATA_TS!$B$2:$B$20001,Kalkulasi!$B$22,DATA_TS!$E$2:$E$20001,Kalkulasi!$B$25,DATA_TS!$C$2:$C$20001,Kalkulasi!$B$26))</f>
        <v/>
      </c>
      <c r="E171" s="187">
        <f>IF($B171="","",SUMIFS(DATA_TS!$J$2:$J$20001,DATA_TS!$A$2:$A$20001,$B171,DATA_TS!$B$2:$B$20001,Kalkulasi!$B$22,DATA_TS!$E$2:$E$20001,Kalkulasi!$B$25,DATA_TS!$C$2:$C$20001,Kalkulasi!$B$26))</f>
        <v/>
      </c>
      <c r="F171" s="187">
        <f>IF($B171="","",SUMIFS(DATA_TS!$K$2:$K$20001,DATA_TS!$A$2:$A$20001,$B171,DATA_TS!$B$2:$B$20001,Kalkulasi!$B$22,DATA_TS!$E$2:$E$20001,Kalkulasi!$B$25,DATA_TS!$C$2:$C$20001,Kalkulasi!$B$26))</f>
        <v/>
      </c>
      <c r="G171" s="190">
        <f>IF($B171="",NA(),IF(D171+E171+F171=0,0,(D171+F171)/(D171+E171+F171)*100))</f>
        <v/>
      </c>
      <c r="H171" s="190">
        <f>IF($B171="",NA(),IF(D171+F171=0,0,D171/(D171+F171)*100))</f>
        <v/>
      </c>
      <c r="I171" s="190">
        <f>IF($B171="",NA(),Parameter!$C$5*100)</f>
        <v/>
      </c>
      <c r="J171" s="156" t="n"/>
    </row>
    <row r="172">
      <c r="A172" s="156" t="n">
        <v>24</v>
      </c>
      <c r="B172" s="155">
        <f>IF(Kalkulasi!$B$20+A172-1&lt;=Kalkulasi!$B$21,Kalkulasi!$B$20+A172-1,"")</f>
        <v/>
      </c>
      <c r="C172" s="156">
        <f>IF(B172="","",TEXT(B172,"d"))</f>
        <v/>
      </c>
      <c r="D172" s="187">
        <f>IF($B172="","",SUMIFS(DATA_TS!$G$2:$G$20001,DATA_TS!$A$2:$A$20001,$B172,DATA_TS!$B$2:$B$20001,Kalkulasi!$B$22,DATA_TS!$E$2:$E$20001,Kalkulasi!$B$25,DATA_TS!$C$2:$C$20001,Kalkulasi!$B$26))</f>
        <v/>
      </c>
      <c r="E172" s="187">
        <f>IF($B172="","",SUMIFS(DATA_TS!$J$2:$J$20001,DATA_TS!$A$2:$A$20001,$B172,DATA_TS!$B$2:$B$20001,Kalkulasi!$B$22,DATA_TS!$E$2:$E$20001,Kalkulasi!$B$25,DATA_TS!$C$2:$C$20001,Kalkulasi!$B$26))</f>
        <v/>
      </c>
      <c r="F172" s="187">
        <f>IF($B172="","",SUMIFS(DATA_TS!$K$2:$K$20001,DATA_TS!$A$2:$A$20001,$B172,DATA_TS!$B$2:$B$20001,Kalkulasi!$B$22,DATA_TS!$E$2:$E$20001,Kalkulasi!$B$25,DATA_TS!$C$2:$C$20001,Kalkulasi!$B$26))</f>
        <v/>
      </c>
      <c r="G172" s="190">
        <f>IF($B172="",NA(),IF(D172+E172+F172=0,0,(D172+F172)/(D172+E172+F172)*100))</f>
        <v/>
      </c>
      <c r="H172" s="190">
        <f>IF($B172="",NA(),IF(D172+F172=0,0,D172/(D172+F172)*100))</f>
        <v/>
      </c>
      <c r="I172" s="190">
        <f>IF($B172="",NA(),Parameter!$C$5*100)</f>
        <v/>
      </c>
      <c r="J172" s="156" t="n"/>
    </row>
    <row r="173">
      <c r="A173" s="156" t="n">
        <v>25</v>
      </c>
      <c r="B173" s="155">
        <f>IF(Kalkulasi!$B$20+A173-1&lt;=Kalkulasi!$B$21,Kalkulasi!$B$20+A173-1,"")</f>
        <v/>
      </c>
      <c r="C173" s="156">
        <f>IF(B173="","",TEXT(B173,"d"))</f>
        <v/>
      </c>
      <c r="D173" s="187">
        <f>IF($B173="","",SUMIFS(DATA_TS!$G$2:$G$20001,DATA_TS!$A$2:$A$20001,$B173,DATA_TS!$B$2:$B$20001,Kalkulasi!$B$22,DATA_TS!$E$2:$E$20001,Kalkulasi!$B$25,DATA_TS!$C$2:$C$20001,Kalkulasi!$B$26))</f>
        <v/>
      </c>
      <c r="E173" s="187">
        <f>IF($B173="","",SUMIFS(DATA_TS!$J$2:$J$20001,DATA_TS!$A$2:$A$20001,$B173,DATA_TS!$B$2:$B$20001,Kalkulasi!$B$22,DATA_TS!$E$2:$E$20001,Kalkulasi!$B$25,DATA_TS!$C$2:$C$20001,Kalkulasi!$B$26))</f>
        <v/>
      </c>
      <c r="F173" s="187">
        <f>IF($B173="","",SUMIFS(DATA_TS!$K$2:$K$20001,DATA_TS!$A$2:$A$20001,$B173,DATA_TS!$B$2:$B$20001,Kalkulasi!$B$22,DATA_TS!$E$2:$E$20001,Kalkulasi!$B$25,DATA_TS!$C$2:$C$20001,Kalkulasi!$B$26))</f>
        <v/>
      </c>
      <c r="G173" s="190">
        <f>IF($B173="",NA(),IF(D173+E173+F173=0,0,(D173+F173)/(D173+E173+F173)*100))</f>
        <v/>
      </c>
      <c r="H173" s="190">
        <f>IF($B173="",NA(),IF(D173+F173=0,0,D173/(D173+F173)*100))</f>
        <v/>
      </c>
      <c r="I173" s="190">
        <f>IF($B173="",NA(),Parameter!$C$5*100)</f>
        <v/>
      </c>
      <c r="J173" s="156" t="n"/>
    </row>
    <row r="174">
      <c r="A174" s="156" t="n">
        <v>26</v>
      </c>
      <c r="B174" s="155">
        <f>IF(Kalkulasi!$B$20+A174-1&lt;=Kalkulasi!$B$21,Kalkulasi!$B$20+A174-1,"")</f>
        <v/>
      </c>
      <c r="C174" s="156">
        <f>IF(B174="","",TEXT(B174,"d"))</f>
        <v/>
      </c>
      <c r="D174" s="187">
        <f>IF($B174="","",SUMIFS(DATA_TS!$G$2:$G$20001,DATA_TS!$A$2:$A$20001,$B174,DATA_TS!$B$2:$B$20001,Kalkulasi!$B$22,DATA_TS!$E$2:$E$20001,Kalkulasi!$B$25,DATA_TS!$C$2:$C$20001,Kalkulasi!$B$26))</f>
        <v/>
      </c>
      <c r="E174" s="187">
        <f>IF($B174="","",SUMIFS(DATA_TS!$J$2:$J$20001,DATA_TS!$A$2:$A$20001,$B174,DATA_TS!$B$2:$B$20001,Kalkulasi!$B$22,DATA_TS!$E$2:$E$20001,Kalkulasi!$B$25,DATA_TS!$C$2:$C$20001,Kalkulasi!$B$26))</f>
        <v/>
      </c>
      <c r="F174" s="187">
        <f>IF($B174="","",SUMIFS(DATA_TS!$K$2:$K$20001,DATA_TS!$A$2:$A$20001,$B174,DATA_TS!$B$2:$B$20001,Kalkulasi!$B$22,DATA_TS!$E$2:$E$20001,Kalkulasi!$B$25,DATA_TS!$C$2:$C$20001,Kalkulasi!$B$26))</f>
        <v/>
      </c>
      <c r="G174" s="190">
        <f>IF($B174="",NA(),IF(D174+E174+F174=0,0,(D174+F174)/(D174+E174+F174)*100))</f>
        <v/>
      </c>
      <c r="H174" s="190">
        <f>IF($B174="",NA(),IF(D174+F174=0,0,D174/(D174+F174)*100))</f>
        <v/>
      </c>
      <c r="I174" s="190">
        <f>IF($B174="",NA(),Parameter!$C$5*100)</f>
        <v/>
      </c>
      <c r="J174" s="156" t="n"/>
    </row>
    <row r="175">
      <c r="A175" s="156" t="n">
        <v>27</v>
      </c>
      <c r="B175" s="155">
        <f>IF(Kalkulasi!$B$20+A175-1&lt;=Kalkulasi!$B$21,Kalkulasi!$B$20+A175-1,"")</f>
        <v/>
      </c>
      <c r="C175" s="156">
        <f>IF(B175="","",TEXT(B175,"d"))</f>
        <v/>
      </c>
      <c r="D175" s="187">
        <f>IF($B175="","",SUMIFS(DATA_TS!$G$2:$G$20001,DATA_TS!$A$2:$A$20001,$B175,DATA_TS!$B$2:$B$20001,Kalkulasi!$B$22,DATA_TS!$E$2:$E$20001,Kalkulasi!$B$25,DATA_TS!$C$2:$C$20001,Kalkulasi!$B$26))</f>
        <v/>
      </c>
      <c r="E175" s="187">
        <f>IF($B175="","",SUMIFS(DATA_TS!$J$2:$J$20001,DATA_TS!$A$2:$A$20001,$B175,DATA_TS!$B$2:$B$20001,Kalkulasi!$B$22,DATA_TS!$E$2:$E$20001,Kalkulasi!$B$25,DATA_TS!$C$2:$C$20001,Kalkulasi!$B$26))</f>
        <v/>
      </c>
      <c r="F175" s="187">
        <f>IF($B175="","",SUMIFS(DATA_TS!$K$2:$K$20001,DATA_TS!$A$2:$A$20001,$B175,DATA_TS!$B$2:$B$20001,Kalkulasi!$B$22,DATA_TS!$E$2:$E$20001,Kalkulasi!$B$25,DATA_TS!$C$2:$C$20001,Kalkulasi!$B$26))</f>
        <v/>
      </c>
      <c r="G175" s="190">
        <f>IF($B175="",NA(),IF(D175+E175+F175=0,0,(D175+F175)/(D175+E175+F175)*100))</f>
        <v/>
      </c>
      <c r="H175" s="190">
        <f>IF($B175="",NA(),IF(D175+F175=0,0,D175/(D175+F175)*100))</f>
        <v/>
      </c>
      <c r="I175" s="190">
        <f>IF($B175="",NA(),Parameter!$C$5*100)</f>
        <v/>
      </c>
      <c r="J175" s="156" t="n"/>
    </row>
    <row r="176">
      <c r="A176" s="156" t="n">
        <v>28</v>
      </c>
      <c r="B176" s="155">
        <f>IF(Kalkulasi!$B$20+A176-1&lt;=Kalkulasi!$B$21,Kalkulasi!$B$20+A176-1,"")</f>
        <v/>
      </c>
      <c r="C176" s="156">
        <f>IF(B176="","",TEXT(B176,"d"))</f>
        <v/>
      </c>
      <c r="D176" s="187">
        <f>IF($B176="","",SUMIFS(DATA_TS!$G$2:$G$20001,DATA_TS!$A$2:$A$20001,$B176,DATA_TS!$B$2:$B$20001,Kalkulasi!$B$22,DATA_TS!$E$2:$E$20001,Kalkulasi!$B$25,DATA_TS!$C$2:$C$20001,Kalkulasi!$B$26))</f>
        <v/>
      </c>
      <c r="E176" s="187">
        <f>IF($B176="","",SUMIFS(DATA_TS!$J$2:$J$20001,DATA_TS!$A$2:$A$20001,$B176,DATA_TS!$B$2:$B$20001,Kalkulasi!$B$22,DATA_TS!$E$2:$E$20001,Kalkulasi!$B$25,DATA_TS!$C$2:$C$20001,Kalkulasi!$B$26))</f>
        <v/>
      </c>
      <c r="F176" s="187">
        <f>IF($B176="","",SUMIFS(DATA_TS!$K$2:$K$20001,DATA_TS!$A$2:$A$20001,$B176,DATA_TS!$B$2:$B$20001,Kalkulasi!$B$22,DATA_TS!$E$2:$E$20001,Kalkulasi!$B$25,DATA_TS!$C$2:$C$20001,Kalkulasi!$B$26))</f>
        <v/>
      </c>
      <c r="G176" s="190">
        <f>IF($B176="",NA(),IF(D176+E176+F176=0,0,(D176+F176)/(D176+E176+F176)*100))</f>
        <v/>
      </c>
      <c r="H176" s="190">
        <f>IF($B176="",NA(),IF(D176+F176=0,0,D176/(D176+F176)*100))</f>
        <v/>
      </c>
      <c r="I176" s="190">
        <f>IF($B176="",NA(),Parameter!$C$5*100)</f>
        <v/>
      </c>
      <c r="J176" s="156" t="n"/>
    </row>
    <row r="177">
      <c r="A177" s="156" t="n">
        <v>29</v>
      </c>
      <c r="B177" s="155">
        <f>IF(Kalkulasi!$B$20+A177-1&lt;=Kalkulasi!$B$21,Kalkulasi!$B$20+A177-1,"")</f>
        <v/>
      </c>
      <c r="C177" s="156">
        <f>IF(B177="","",TEXT(B177,"d"))</f>
        <v/>
      </c>
      <c r="D177" s="187">
        <f>IF($B177="","",SUMIFS(DATA_TS!$G$2:$G$20001,DATA_TS!$A$2:$A$20001,$B177,DATA_TS!$B$2:$B$20001,Kalkulasi!$B$22,DATA_TS!$E$2:$E$20001,Kalkulasi!$B$25,DATA_TS!$C$2:$C$20001,Kalkulasi!$B$26))</f>
        <v/>
      </c>
      <c r="E177" s="187">
        <f>IF($B177="","",SUMIFS(DATA_TS!$J$2:$J$20001,DATA_TS!$A$2:$A$20001,$B177,DATA_TS!$B$2:$B$20001,Kalkulasi!$B$22,DATA_TS!$E$2:$E$20001,Kalkulasi!$B$25,DATA_TS!$C$2:$C$20001,Kalkulasi!$B$26))</f>
        <v/>
      </c>
      <c r="F177" s="187">
        <f>IF($B177="","",SUMIFS(DATA_TS!$K$2:$K$20001,DATA_TS!$A$2:$A$20001,$B177,DATA_TS!$B$2:$B$20001,Kalkulasi!$B$22,DATA_TS!$E$2:$E$20001,Kalkulasi!$B$25,DATA_TS!$C$2:$C$20001,Kalkulasi!$B$26))</f>
        <v/>
      </c>
      <c r="G177" s="190">
        <f>IF($B177="",NA(),IF(D177+E177+F177=0,0,(D177+F177)/(D177+E177+F177)*100))</f>
        <v/>
      </c>
      <c r="H177" s="190">
        <f>IF($B177="",NA(),IF(D177+F177=0,0,D177/(D177+F177)*100))</f>
        <v/>
      </c>
      <c r="I177" s="190">
        <f>IF($B177="",NA(),Parameter!$C$5*100)</f>
        <v/>
      </c>
      <c r="J177" s="156" t="n"/>
    </row>
    <row r="178">
      <c r="A178" s="156" t="n">
        <v>30</v>
      </c>
      <c r="B178" s="155">
        <f>IF(Kalkulasi!$B$20+A178-1&lt;=Kalkulasi!$B$21,Kalkulasi!$B$20+A178-1,"")</f>
        <v/>
      </c>
      <c r="C178" s="156">
        <f>IF(B178="","",TEXT(B178,"d"))</f>
        <v/>
      </c>
      <c r="D178" s="187">
        <f>IF($B178="","",SUMIFS(DATA_TS!$G$2:$G$20001,DATA_TS!$A$2:$A$20001,$B178,DATA_TS!$B$2:$B$20001,Kalkulasi!$B$22,DATA_TS!$E$2:$E$20001,Kalkulasi!$B$25,DATA_TS!$C$2:$C$20001,Kalkulasi!$B$26))</f>
        <v/>
      </c>
      <c r="E178" s="187">
        <f>IF($B178="","",SUMIFS(DATA_TS!$J$2:$J$20001,DATA_TS!$A$2:$A$20001,$B178,DATA_TS!$B$2:$B$20001,Kalkulasi!$B$22,DATA_TS!$E$2:$E$20001,Kalkulasi!$B$25,DATA_TS!$C$2:$C$20001,Kalkulasi!$B$26))</f>
        <v/>
      </c>
      <c r="F178" s="187">
        <f>IF($B178="","",SUMIFS(DATA_TS!$K$2:$K$20001,DATA_TS!$A$2:$A$20001,$B178,DATA_TS!$B$2:$B$20001,Kalkulasi!$B$22,DATA_TS!$E$2:$E$20001,Kalkulasi!$B$25,DATA_TS!$C$2:$C$20001,Kalkulasi!$B$26))</f>
        <v/>
      </c>
      <c r="G178" s="190">
        <f>IF($B178="",NA(),IF(D178+E178+F178=0,0,(D178+F178)/(D178+E178+F178)*100))</f>
        <v/>
      </c>
      <c r="H178" s="190">
        <f>IF($B178="",NA(),IF(D178+F178=0,0,D178/(D178+F178)*100))</f>
        <v/>
      </c>
      <c r="I178" s="190">
        <f>IF($B178="",NA(),Parameter!$C$5*100)</f>
        <v/>
      </c>
      <c r="J178" s="156" t="n"/>
    </row>
    <row r="179">
      <c r="A179" s="156" t="n">
        <v>31</v>
      </c>
      <c r="B179" s="155">
        <f>IF(Kalkulasi!$B$20+A179-1&lt;=Kalkulasi!$B$21,Kalkulasi!$B$20+A179-1,"")</f>
        <v/>
      </c>
      <c r="C179" s="156">
        <f>IF(B179="","",TEXT(B179,"d"))</f>
        <v/>
      </c>
      <c r="D179" s="187">
        <f>IF($B179="","",SUMIFS(DATA_TS!$G$2:$G$20001,DATA_TS!$A$2:$A$20001,$B179,DATA_TS!$B$2:$B$20001,Kalkulasi!$B$22,DATA_TS!$E$2:$E$20001,Kalkulasi!$B$25,DATA_TS!$C$2:$C$20001,Kalkulasi!$B$26))</f>
        <v/>
      </c>
      <c r="E179" s="187">
        <f>IF($B179="","",SUMIFS(DATA_TS!$J$2:$J$20001,DATA_TS!$A$2:$A$20001,$B179,DATA_TS!$B$2:$B$20001,Kalkulasi!$B$22,DATA_TS!$E$2:$E$20001,Kalkulasi!$B$25,DATA_TS!$C$2:$C$20001,Kalkulasi!$B$26))</f>
        <v/>
      </c>
      <c r="F179" s="187">
        <f>IF($B179="","",SUMIFS(DATA_TS!$K$2:$K$20001,DATA_TS!$A$2:$A$20001,$B179,DATA_TS!$B$2:$B$20001,Kalkulasi!$B$22,DATA_TS!$E$2:$E$20001,Kalkulasi!$B$25,DATA_TS!$C$2:$C$20001,Kalkulasi!$B$26))</f>
        <v/>
      </c>
      <c r="G179" s="190">
        <f>IF($B179="",NA(),IF(D179+E179+F179=0,0,(D179+F179)/(D179+E179+F179)*100))</f>
        <v/>
      </c>
      <c r="H179" s="190">
        <f>IF($B179="",NA(),IF(D179+F179=0,0,D179/(D179+F179)*100))</f>
        <v/>
      </c>
      <c r="I179" s="190">
        <f>IF($B179="",NA(),Parameter!$C$5*100)</f>
        <v/>
      </c>
      <c r="J179" s="156" t="n"/>
    </row>
    <row r="180">
      <c r="A180" s="156" t="n"/>
      <c r="B180" s="156" t="n"/>
      <c r="C180" s="156" t="n"/>
      <c r="D180" s="156" t="n"/>
      <c r="E180" s="156" t="n"/>
      <c r="F180" s="156" t="n"/>
      <c r="G180" s="156" t="n"/>
      <c r="H180" s="156" t="n"/>
      <c r="I180" s="156" t="n"/>
      <c r="J180" s="156" t="n"/>
    </row>
    <row r="181">
      <c r="A181" s="171" t="inlineStr">
        <is>
          <t>Harian — Hujan &amp; achievement</t>
        </is>
      </c>
      <c r="B181" s="156" t="n"/>
      <c r="C181" s="156" t="n"/>
      <c r="D181" s="156" t="n"/>
      <c r="E181" s="156" t="n"/>
      <c r="F181" s="156" t="n"/>
      <c r="G181" s="156" t="n"/>
      <c r="H181" s="156" t="n"/>
      <c r="I181" s="156" t="n"/>
      <c r="J181" s="156" t="n"/>
    </row>
    <row r="182">
      <c r="A182" s="176" t="inlineStr">
        <is>
          <t>No</t>
        </is>
      </c>
      <c r="B182" s="176" t="inlineStr">
        <is>
          <t>Tanggal</t>
        </is>
      </c>
      <c r="C182" s="176" t="inlineStr">
        <is>
          <t>Label</t>
        </is>
      </c>
      <c r="D182" s="176" t="inlineStr">
        <is>
          <t>Jam hujan</t>
        </is>
      </c>
      <c r="E182" s="176" t="inlineStr">
        <is>
          <t>Achievement OB %</t>
        </is>
      </c>
      <c r="F182" s="156" t="n"/>
      <c r="G182" s="156" t="n"/>
      <c r="H182" s="156" t="n"/>
      <c r="I182" s="156" t="n"/>
      <c r="J182" s="156" t="n"/>
    </row>
    <row r="183">
      <c r="A183" s="156" t="n">
        <v>1</v>
      </c>
      <c r="B183" s="155">
        <f>IF(Kalkulasi!$B$29+A183-1&lt;=Kalkulasi!$B$30,Kalkulasi!$B$29+A183-1,"")</f>
        <v/>
      </c>
      <c r="C183" s="156">
        <f>IF(B183="","",TEXT(B183,"d"))</f>
        <v/>
      </c>
      <c r="D183" s="187">
        <f>IF($B183="","",SUMIFS(DATA_HUJAN!$C$2:$C$20001,DATA_HUJAN!$A$2:$A$20001,$B183,DATA_HUJAN!$B$2:$B$20001,Kalkulasi!$B$31))</f>
        <v/>
      </c>
      <c r="E183" s="190">
        <f>IF($B183="",NA(),IF(SUMIFS(DATA_PLAN!$B$2:$B$20001,DATA_PLAN!$A$2:$A$20001,$B183)=0,0,SUMIFS(DATA_TS!$Q$2:$Q$20001,DATA_TS!$A$2:$A$20001,$B183,DATA_TS!$B$2:$B$20001,Kalkulasi!$B$31,DATA_TS!$E$2:$E$20001,"Hauler")/(SUMIFS(DATA_PLAN!$B$2:$B$20001,DATA_PLAN!$A$2:$A$20001,$B183)*Kalkulasi!$B$32)*100))</f>
        <v/>
      </c>
      <c r="F183" s="156" t="n"/>
      <c r="G183" s="156" t="n"/>
      <c r="H183" s="156" t="n"/>
      <c r="I183" s="156" t="n"/>
      <c r="J183" s="156" t="n"/>
    </row>
    <row r="184">
      <c r="A184" s="156" t="n">
        <v>2</v>
      </c>
      <c r="B184" s="155">
        <f>IF(Kalkulasi!$B$29+A184-1&lt;=Kalkulasi!$B$30,Kalkulasi!$B$29+A184-1,"")</f>
        <v/>
      </c>
      <c r="C184" s="156">
        <f>IF(B184="","",TEXT(B184,"d"))</f>
        <v/>
      </c>
      <c r="D184" s="187">
        <f>IF($B184="","",SUMIFS(DATA_HUJAN!$C$2:$C$20001,DATA_HUJAN!$A$2:$A$20001,$B184,DATA_HUJAN!$B$2:$B$20001,Kalkulasi!$B$31))</f>
        <v/>
      </c>
      <c r="E184" s="190">
        <f>IF($B184="",NA(),IF(SUMIFS(DATA_PLAN!$B$2:$B$20001,DATA_PLAN!$A$2:$A$20001,$B184)=0,0,SUMIFS(DATA_TS!$Q$2:$Q$20001,DATA_TS!$A$2:$A$20001,$B184,DATA_TS!$B$2:$B$20001,Kalkulasi!$B$31,DATA_TS!$E$2:$E$20001,"Hauler")/(SUMIFS(DATA_PLAN!$B$2:$B$20001,DATA_PLAN!$A$2:$A$20001,$B184)*Kalkulasi!$B$32)*100))</f>
        <v/>
      </c>
      <c r="F184" s="156" t="n"/>
      <c r="G184" s="156" t="n"/>
      <c r="H184" s="156" t="n"/>
      <c r="I184" s="156" t="n"/>
      <c r="J184" s="156" t="n"/>
    </row>
    <row r="185">
      <c r="A185" s="156" t="n">
        <v>3</v>
      </c>
      <c r="B185" s="155">
        <f>IF(Kalkulasi!$B$29+A185-1&lt;=Kalkulasi!$B$30,Kalkulasi!$B$29+A185-1,"")</f>
        <v/>
      </c>
      <c r="C185" s="156">
        <f>IF(B185="","",TEXT(B185,"d"))</f>
        <v/>
      </c>
      <c r="D185" s="187">
        <f>IF($B185="","",SUMIFS(DATA_HUJAN!$C$2:$C$20001,DATA_HUJAN!$A$2:$A$20001,$B185,DATA_HUJAN!$B$2:$B$20001,Kalkulasi!$B$31))</f>
        <v/>
      </c>
      <c r="E185" s="190">
        <f>IF($B185="",NA(),IF(SUMIFS(DATA_PLAN!$B$2:$B$20001,DATA_PLAN!$A$2:$A$20001,$B185)=0,0,SUMIFS(DATA_TS!$Q$2:$Q$20001,DATA_TS!$A$2:$A$20001,$B185,DATA_TS!$B$2:$B$20001,Kalkulasi!$B$31,DATA_TS!$E$2:$E$20001,"Hauler")/(SUMIFS(DATA_PLAN!$B$2:$B$20001,DATA_PLAN!$A$2:$A$20001,$B185)*Kalkulasi!$B$32)*100))</f>
        <v/>
      </c>
      <c r="F185" s="156" t="n"/>
      <c r="G185" s="156" t="n"/>
      <c r="H185" s="156" t="n"/>
      <c r="I185" s="156" t="n"/>
      <c r="J185" s="156" t="n"/>
    </row>
    <row r="186">
      <c r="A186" s="156" t="n">
        <v>4</v>
      </c>
      <c r="B186" s="155">
        <f>IF(Kalkulasi!$B$29+A186-1&lt;=Kalkulasi!$B$30,Kalkulasi!$B$29+A186-1,"")</f>
        <v/>
      </c>
      <c r="C186" s="156">
        <f>IF(B186="","",TEXT(B186,"d"))</f>
        <v/>
      </c>
      <c r="D186" s="187">
        <f>IF($B186="","",SUMIFS(DATA_HUJAN!$C$2:$C$20001,DATA_HUJAN!$A$2:$A$20001,$B186,DATA_HUJAN!$B$2:$B$20001,Kalkulasi!$B$31))</f>
        <v/>
      </c>
      <c r="E186" s="190">
        <f>IF($B186="",NA(),IF(SUMIFS(DATA_PLAN!$B$2:$B$20001,DATA_PLAN!$A$2:$A$20001,$B186)=0,0,SUMIFS(DATA_TS!$Q$2:$Q$20001,DATA_TS!$A$2:$A$20001,$B186,DATA_TS!$B$2:$B$20001,Kalkulasi!$B$31,DATA_TS!$E$2:$E$20001,"Hauler")/(SUMIFS(DATA_PLAN!$B$2:$B$20001,DATA_PLAN!$A$2:$A$20001,$B186)*Kalkulasi!$B$32)*100))</f>
        <v/>
      </c>
      <c r="F186" s="156" t="n"/>
      <c r="G186" s="156" t="n"/>
      <c r="H186" s="156" t="n"/>
      <c r="I186" s="156" t="n"/>
      <c r="J186" s="156" t="n"/>
    </row>
    <row r="187">
      <c r="A187" s="156" t="n">
        <v>5</v>
      </c>
      <c r="B187" s="155">
        <f>IF(Kalkulasi!$B$29+A187-1&lt;=Kalkulasi!$B$30,Kalkulasi!$B$29+A187-1,"")</f>
        <v/>
      </c>
      <c r="C187" s="156">
        <f>IF(B187="","",TEXT(B187,"d"))</f>
        <v/>
      </c>
      <c r="D187" s="187">
        <f>IF($B187="","",SUMIFS(DATA_HUJAN!$C$2:$C$20001,DATA_HUJAN!$A$2:$A$20001,$B187,DATA_HUJAN!$B$2:$B$20001,Kalkulasi!$B$31))</f>
        <v/>
      </c>
      <c r="E187" s="190">
        <f>IF($B187="",NA(),IF(SUMIFS(DATA_PLAN!$B$2:$B$20001,DATA_PLAN!$A$2:$A$20001,$B187)=0,0,SUMIFS(DATA_TS!$Q$2:$Q$20001,DATA_TS!$A$2:$A$20001,$B187,DATA_TS!$B$2:$B$20001,Kalkulasi!$B$31,DATA_TS!$E$2:$E$20001,"Hauler")/(SUMIFS(DATA_PLAN!$B$2:$B$20001,DATA_PLAN!$A$2:$A$20001,$B187)*Kalkulasi!$B$32)*100))</f>
        <v/>
      </c>
      <c r="F187" s="156" t="n"/>
      <c r="G187" s="156" t="n"/>
      <c r="H187" s="156" t="n"/>
      <c r="I187" s="156" t="n"/>
      <c r="J187" s="156" t="n"/>
    </row>
    <row r="188">
      <c r="A188" s="156" t="n">
        <v>6</v>
      </c>
      <c r="B188" s="155">
        <f>IF(Kalkulasi!$B$29+A188-1&lt;=Kalkulasi!$B$30,Kalkulasi!$B$29+A188-1,"")</f>
        <v/>
      </c>
      <c r="C188" s="156">
        <f>IF(B188="","",TEXT(B188,"d"))</f>
        <v/>
      </c>
      <c r="D188" s="187">
        <f>IF($B188="","",SUMIFS(DATA_HUJAN!$C$2:$C$20001,DATA_HUJAN!$A$2:$A$20001,$B188,DATA_HUJAN!$B$2:$B$20001,Kalkulasi!$B$31))</f>
        <v/>
      </c>
      <c r="E188" s="190">
        <f>IF($B188="",NA(),IF(SUMIFS(DATA_PLAN!$B$2:$B$20001,DATA_PLAN!$A$2:$A$20001,$B188)=0,0,SUMIFS(DATA_TS!$Q$2:$Q$20001,DATA_TS!$A$2:$A$20001,$B188,DATA_TS!$B$2:$B$20001,Kalkulasi!$B$31,DATA_TS!$E$2:$E$20001,"Hauler")/(SUMIFS(DATA_PLAN!$B$2:$B$20001,DATA_PLAN!$A$2:$A$20001,$B188)*Kalkulasi!$B$32)*100))</f>
        <v/>
      </c>
      <c r="F188" s="156" t="n"/>
      <c r="G188" s="156" t="n"/>
      <c r="H188" s="156" t="n"/>
      <c r="I188" s="156" t="n"/>
      <c r="J188" s="156" t="n"/>
    </row>
    <row r="189">
      <c r="A189" s="156" t="n">
        <v>7</v>
      </c>
      <c r="B189" s="155">
        <f>IF(Kalkulasi!$B$29+A189-1&lt;=Kalkulasi!$B$30,Kalkulasi!$B$29+A189-1,"")</f>
        <v/>
      </c>
      <c r="C189" s="156">
        <f>IF(B189="","",TEXT(B189,"d"))</f>
        <v/>
      </c>
      <c r="D189" s="187">
        <f>IF($B189="","",SUMIFS(DATA_HUJAN!$C$2:$C$20001,DATA_HUJAN!$A$2:$A$20001,$B189,DATA_HUJAN!$B$2:$B$20001,Kalkulasi!$B$31))</f>
        <v/>
      </c>
      <c r="E189" s="190">
        <f>IF($B189="",NA(),IF(SUMIFS(DATA_PLAN!$B$2:$B$20001,DATA_PLAN!$A$2:$A$20001,$B189)=0,0,SUMIFS(DATA_TS!$Q$2:$Q$20001,DATA_TS!$A$2:$A$20001,$B189,DATA_TS!$B$2:$B$20001,Kalkulasi!$B$31,DATA_TS!$E$2:$E$20001,"Hauler")/(SUMIFS(DATA_PLAN!$B$2:$B$20001,DATA_PLAN!$A$2:$A$20001,$B189)*Kalkulasi!$B$32)*100))</f>
        <v/>
      </c>
      <c r="F189" s="156" t="n"/>
      <c r="G189" s="156" t="n"/>
      <c r="H189" s="156" t="n"/>
      <c r="I189" s="156" t="n"/>
      <c r="J189" s="156" t="n"/>
    </row>
    <row r="190">
      <c r="A190" s="156" t="n">
        <v>8</v>
      </c>
      <c r="B190" s="155">
        <f>IF(Kalkulasi!$B$29+A190-1&lt;=Kalkulasi!$B$30,Kalkulasi!$B$29+A190-1,"")</f>
        <v/>
      </c>
      <c r="C190" s="156">
        <f>IF(B190="","",TEXT(B190,"d"))</f>
        <v/>
      </c>
      <c r="D190" s="187">
        <f>IF($B190="","",SUMIFS(DATA_HUJAN!$C$2:$C$20001,DATA_HUJAN!$A$2:$A$20001,$B190,DATA_HUJAN!$B$2:$B$20001,Kalkulasi!$B$31))</f>
        <v/>
      </c>
      <c r="E190" s="190">
        <f>IF($B190="",NA(),IF(SUMIFS(DATA_PLAN!$B$2:$B$20001,DATA_PLAN!$A$2:$A$20001,$B190)=0,0,SUMIFS(DATA_TS!$Q$2:$Q$20001,DATA_TS!$A$2:$A$20001,$B190,DATA_TS!$B$2:$B$20001,Kalkulasi!$B$31,DATA_TS!$E$2:$E$20001,"Hauler")/(SUMIFS(DATA_PLAN!$B$2:$B$20001,DATA_PLAN!$A$2:$A$20001,$B190)*Kalkulasi!$B$32)*100))</f>
        <v/>
      </c>
      <c r="F190" s="156" t="n"/>
      <c r="G190" s="156" t="n"/>
      <c r="H190" s="156" t="n"/>
      <c r="I190" s="156" t="n"/>
      <c r="J190" s="156" t="n"/>
    </row>
    <row r="191">
      <c r="A191" s="156" t="n">
        <v>9</v>
      </c>
      <c r="B191" s="155">
        <f>IF(Kalkulasi!$B$29+A191-1&lt;=Kalkulasi!$B$30,Kalkulasi!$B$29+A191-1,"")</f>
        <v/>
      </c>
      <c r="C191" s="156">
        <f>IF(B191="","",TEXT(B191,"d"))</f>
        <v/>
      </c>
      <c r="D191" s="187">
        <f>IF($B191="","",SUMIFS(DATA_HUJAN!$C$2:$C$20001,DATA_HUJAN!$A$2:$A$20001,$B191,DATA_HUJAN!$B$2:$B$20001,Kalkulasi!$B$31))</f>
        <v/>
      </c>
      <c r="E191" s="190">
        <f>IF($B191="",NA(),IF(SUMIFS(DATA_PLAN!$B$2:$B$20001,DATA_PLAN!$A$2:$A$20001,$B191)=0,0,SUMIFS(DATA_TS!$Q$2:$Q$20001,DATA_TS!$A$2:$A$20001,$B191,DATA_TS!$B$2:$B$20001,Kalkulasi!$B$31,DATA_TS!$E$2:$E$20001,"Hauler")/(SUMIFS(DATA_PLAN!$B$2:$B$20001,DATA_PLAN!$A$2:$A$20001,$B191)*Kalkulasi!$B$32)*100))</f>
        <v/>
      </c>
      <c r="F191" s="156" t="n"/>
      <c r="G191" s="156" t="n"/>
      <c r="H191" s="156" t="n"/>
      <c r="I191" s="156" t="n"/>
      <c r="J191" s="156" t="n"/>
    </row>
    <row r="192">
      <c r="A192" s="156" t="n">
        <v>10</v>
      </c>
      <c r="B192" s="155">
        <f>IF(Kalkulasi!$B$29+A192-1&lt;=Kalkulasi!$B$30,Kalkulasi!$B$29+A192-1,"")</f>
        <v/>
      </c>
      <c r="C192" s="156">
        <f>IF(B192="","",TEXT(B192,"d"))</f>
        <v/>
      </c>
      <c r="D192" s="187">
        <f>IF($B192="","",SUMIFS(DATA_HUJAN!$C$2:$C$20001,DATA_HUJAN!$A$2:$A$20001,$B192,DATA_HUJAN!$B$2:$B$20001,Kalkulasi!$B$31))</f>
        <v/>
      </c>
      <c r="E192" s="190">
        <f>IF($B192="",NA(),IF(SUMIFS(DATA_PLAN!$B$2:$B$20001,DATA_PLAN!$A$2:$A$20001,$B192)=0,0,SUMIFS(DATA_TS!$Q$2:$Q$20001,DATA_TS!$A$2:$A$20001,$B192,DATA_TS!$B$2:$B$20001,Kalkulasi!$B$31,DATA_TS!$E$2:$E$20001,"Hauler")/(SUMIFS(DATA_PLAN!$B$2:$B$20001,DATA_PLAN!$A$2:$A$20001,$B192)*Kalkulasi!$B$32)*100))</f>
        <v/>
      </c>
      <c r="F192" s="156" t="n"/>
      <c r="G192" s="156" t="n"/>
      <c r="H192" s="156" t="n"/>
      <c r="I192" s="156" t="n"/>
      <c r="J192" s="156" t="n"/>
    </row>
    <row r="193">
      <c r="A193" s="156" t="n">
        <v>11</v>
      </c>
      <c r="B193" s="155">
        <f>IF(Kalkulasi!$B$29+A193-1&lt;=Kalkulasi!$B$30,Kalkulasi!$B$29+A193-1,"")</f>
        <v/>
      </c>
      <c r="C193" s="156">
        <f>IF(B193="","",TEXT(B193,"d"))</f>
        <v/>
      </c>
      <c r="D193" s="187">
        <f>IF($B193="","",SUMIFS(DATA_HUJAN!$C$2:$C$20001,DATA_HUJAN!$A$2:$A$20001,$B193,DATA_HUJAN!$B$2:$B$20001,Kalkulasi!$B$31))</f>
        <v/>
      </c>
      <c r="E193" s="190">
        <f>IF($B193="",NA(),IF(SUMIFS(DATA_PLAN!$B$2:$B$20001,DATA_PLAN!$A$2:$A$20001,$B193)=0,0,SUMIFS(DATA_TS!$Q$2:$Q$20001,DATA_TS!$A$2:$A$20001,$B193,DATA_TS!$B$2:$B$20001,Kalkulasi!$B$31,DATA_TS!$E$2:$E$20001,"Hauler")/(SUMIFS(DATA_PLAN!$B$2:$B$20001,DATA_PLAN!$A$2:$A$20001,$B193)*Kalkulasi!$B$32)*100))</f>
        <v/>
      </c>
      <c r="F193" s="156" t="n"/>
      <c r="G193" s="156" t="n"/>
      <c r="H193" s="156" t="n"/>
      <c r="I193" s="156" t="n"/>
      <c r="J193" s="156" t="n"/>
    </row>
    <row r="194">
      <c r="A194" s="156" t="n">
        <v>12</v>
      </c>
      <c r="B194" s="155">
        <f>IF(Kalkulasi!$B$29+A194-1&lt;=Kalkulasi!$B$30,Kalkulasi!$B$29+A194-1,"")</f>
        <v/>
      </c>
      <c r="C194" s="156">
        <f>IF(B194="","",TEXT(B194,"d"))</f>
        <v/>
      </c>
      <c r="D194" s="187">
        <f>IF($B194="","",SUMIFS(DATA_HUJAN!$C$2:$C$20001,DATA_HUJAN!$A$2:$A$20001,$B194,DATA_HUJAN!$B$2:$B$20001,Kalkulasi!$B$31))</f>
        <v/>
      </c>
      <c r="E194" s="190">
        <f>IF($B194="",NA(),IF(SUMIFS(DATA_PLAN!$B$2:$B$20001,DATA_PLAN!$A$2:$A$20001,$B194)=0,0,SUMIFS(DATA_TS!$Q$2:$Q$20001,DATA_TS!$A$2:$A$20001,$B194,DATA_TS!$B$2:$B$20001,Kalkulasi!$B$31,DATA_TS!$E$2:$E$20001,"Hauler")/(SUMIFS(DATA_PLAN!$B$2:$B$20001,DATA_PLAN!$A$2:$A$20001,$B194)*Kalkulasi!$B$32)*100))</f>
        <v/>
      </c>
      <c r="F194" s="156" t="n"/>
      <c r="G194" s="156" t="n"/>
      <c r="H194" s="156" t="n"/>
      <c r="I194" s="156" t="n"/>
      <c r="J194" s="156" t="n"/>
    </row>
    <row r="195">
      <c r="A195" s="156" t="n">
        <v>13</v>
      </c>
      <c r="B195" s="155">
        <f>IF(Kalkulasi!$B$29+A195-1&lt;=Kalkulasi!$B$30,Kalkulasi!$B$29+A195-1,"")</f>
        <v/>
      </c>
      <c r="C195" s="156">
        <f>IF(B195="","",TEXT(B195,"d"))</f>
        <v/>
      </c>
      <c r="D195" s="187">
        <f>IF($B195="","",SUMIFS(DATA_HUJAN!$C$2:$C$20001,DATA_HUJAN!$A$2:$A$20001,$B195,DATA_HUJAN!$B$2:$B$20001,Kalkulasi!$B$31))</f>
        <v/>
      </c>
      <c r="E195" s="190">
        <f>IF($B195="",NA(),IF(SUMIFS(DATA_PLAN!$B$2:$B$20001,DATA_PLAN!$A$2:$A$20001,$B195)=0,0,SUMIFS(DATA_TS!$Q$2:$Q$20001,DATA_TS!$A$2:$A$20001,$B195,DATA_TS!$B$2:$B$20001,Kalkulasi!$B$31,DATA_TS!$E$2:$E$20001,"Hauler")/(SUMIFS(DATA_PLAN!$B$2:$B$20001,DATA_PLAN!$A$2:$A$20001,$B195)*Kalkulasi!$B$32)*100))</f>
        <v/>
      </c>
      <c r="F195" s="156" t="n"/>
      <c r="G195" s="156" t="n"/>
      <c r="H195" s="156" t="n"/>
      <c r="I195" s="156" t="n"/>
      <c r="J195" s="156" t="n"/>
    </row>
    <row r="196">
      <c r="A196" s="156" t="n">
        <v>14</v>
      </c>
      <c r="B196" s="155">
        <f>IF(Kalkulasi!$B$29+A196-1&lt;=Kalkulasi!$B$30,Kalkulasi!$B$29+A196-1,"")</f>
        <v/>
      </c>
      <c r="C196" s="156">
        <f>IF(B196="","",TEXT(B196,"d"))</f>
        <v/>
      </c>
      <c r="D196" s="187">
        <f>IF($B196="","",SUMIFS(DATA_HUJAN!$C$2:$C$20001,DATA_HUJAN!$A$2:$A$20001,$B196,DATA_HUJAN!$B$2:$B$20001,Kalkulasi!$B$31))</f>
        <v/>
      </c>
      <c r="E196" s="190">
        <f>IF($B196="",NA(),IF(SUMIFS(DATA_PLAN!$B$2:$B$20001,DATA_PLAN!$A$2:$A$20001,$B196)=0,0,SUMIFS(DATA_TS!$Q$2:$Q$20001,DATA_TS!$A$2:$A$20001,$B196,DATA_TS!$B$2:$B$20001,Kalkulasi!$B$31,DATA_TS!$E$2:$E$20001,"Hauler")/(SUMIFS(DATA_PLAN!$B$2:$B$20001,DATA_PLAN!$A$2:$A$20001,$B196)*Kalkulasi!$B$32)*100))</f>
        <v/>
      </c>
      <c r="F196" s="156" t="n"/>
      <c r="G196" s="156" t="n"/>
      <c r="H196" s="156" t="n"/>
      <c r="I196" s="156" t="n"/>
      <c r="J196" s="156" t="n"/>
    </row>
    <row r="197">
      <c r="A197" s="156" t="n">
        <v>15</v>
      </c>
      <c r="B197" s="155">
        <f>IF(Kalkulasi!$B$29+A197-1&lt;=Kalkulasi!$B$30,Kalkulasi!$B$29+A197-1,"")</f>
        <v/>
      </c>
      <c r="C197" s="156">
        <f>IF(B197="","",TEXT(B197,"d"))</f>
        <v/>
      </c>
      <c r="D197" s="187">
        <f>IF($B197="","",SUMIFS(DATA_HUJAN!$C$2:$C$20001,DATA_HUJAN!$A$2:$A$20001,$B197,DATA_HUJAN!$B$2:$B$20001,Kalkulasi!$B$31))</f>
        <v/>
      </c>
      <c r="E197" s="190">
        <f>IF($B197="",NA(),IF(SUMIFS(DATA_PLAN!$B$2:$B$20001,DATA_PLAN!$A$2:$A$20001,$B197)=0,0,SUMIFS(DATA_TS!$Q$2:$Q$20001,DATA_TS!$A$2:$A$20001,$B197,DATA_TS!$B$2:$B$20001,Kalkulasi!$B$31,DATA_TS!$E$2:$E$20001,"Hauler")/(SUMIFS(DATA_PLAN!$B$2:$B$20001,DATA_PLAN!$A$2:$A$20001,$B197)*Kalkulasi!$B$32)*100))</f>
        <v/>
      </c>
      <c r="F197" s="156" t="n"/>
      <c r="G197" s="156" t="n"/>
      <c r="H197" s="156" t="n"/>
      <c r="I197" s="156" t="n"/>
      <c r="J197" s="156" t="n"/>
    </row>
    <row r="198">
      <c r="A198" s="156" t="n">
        <v>16</v>
      </c>
      <c r="B198" s="155">
        <f>IF(Kalkulasi!$B$29+A198-1&lt;=Kalkulasi!$B$30,Kalkulasi!$B$29+A198-1,"")</f>
        <v/>
      </c>
      <c r="C198" s="156">
        <f>IF(B198="","",TEXT(B198,"d"))</f>
        <v/>
      </c>
      <c r="D198" s="187">
        <f>IF($B198="","",SUMIFS(DATA_HUJAN!$C$2:$C$20001,DATA_HUJAN!$A$2:$A$20001,$B198,DATA_HUJAN!$B$2:$B$20001,Kalkulasi!$B$31))</f>
        <v/>
      </c>
      <c r="E198" s="190">
        <f>IF($B198="",NA(),IF(SUMIFS(DATA_PLAN!$B$2:$B$20001,DATA_PLAN!$A$2:$A$20001,$B198)=0,0,SUMIFS(DATA_TS!$Q$2:$Q$20001,DATA_TS!$A$2:$A$20001,$B198,DATA_TS!$B$2:$B$20001,Kalkulasi!$B$31,DATA_TS!$E$2:$E$20001,"Hauler")/(SUMIFS(DATA_PLAN!$B$2:$B$20001,DATA_PLAN!$A$2:$A$20001,$B198)*Kalkulasi!$B$32)*100))</f>
        <v/>
      </c>
      <c r="F198" s="156" t="n"/>
      <c r="G198" s="156" t="n"/>
      <c r="H198" s="156" t="n"/>
      <c r="I198" s="156" t="n"/>
      <c r="J198" s="156" t="n"/>
    </row>
    <row r="199">
      <c r="A199" s="156" t="n">
        <v>17</v>
      </c>
      <c r="B199" s="155">
        <f>IF(Kalkulasi!$B$29+A199-1&lt;=Kalkulasi!$B$30,Kalkulasi!$B$29+A199-1,"")</f>
        <v/>
      </c>
      <c r="C199" s="156">
        <f>IF(B199="","",TEXT(B199,"d"))</f>
        <v/>
      </c>
      <c r="D199" s="187">
        <f>IF($B199="","",SUMIFS(DATA_HUJAN!$C$2:$C$20001,DATA_HUJAN!$A$2:$A$20001,$B199,DATA_HUJAN!$B$2:$B$20001,Kalkulasi!$B$31))</f>
        <v/>
      </c>
      <c r="E199" s="190">
        <f>IF($B199="",NA(),IF(SUMIFS(DATA_PLAN!$B$2:$B$20001,DATA_PLAN!$A$2:$A$20001,$B199)=0,0,SUMIFS(DATA_TS!$Q$2:$Q$20001,DATA_TS!$A$2:$A$20001,$B199,DATA_TS!$B$2:$B$20001,Kalkulasi!$B$31,DATA_TS!$E$2:$E$20001,"Hauler")/(SUMIFS(DATA_PLAN!$B$2:$B$20001,DATA_PLAN!$A$2:$A$20001,$B199)*Kalkulasi!$B$32)*100))</f>
        <v/>
      </c>
      <c r="F199" s="156" t="n"/>
      <c r="G199" s="156" t="n"/>
      <c r="H199" s="156" t="n"/>
      <c r="I199" s="156" t="n"/>
      <c r="J199" s="156" t="n"/>
    </row>
    <row r="200">
      <c r="A200" s="156" t="n">
        <v>18</v>
      </c>
      <c r="B200" s="155">
        <f>IF(Kalkulasi!$B$29+A200-1&lt;=Kalkulasi!$B$30,Kalkulasi!$B$29+A200-1,"")</f>
        <v/>
      </c>
      <c r="C200" s="156">
        <f>IF(B200="","",TEXT(B200,"d"))</f>
        <v/>
      </c>
      <c r="D200" s="187">
        <f>IF($B200="","",SUMIFS(DATA_HUJAN!$C$2:$C$20001,DATA_HUJAN!$A$2:$A$20001,$B200,DATA_HUJAN!$B$2:$B$20001,Kalkulasi!$B$31))</f>
        <v/>
      </c>
      <c r="E200" s="190">
        <f>IF($B200="",NA(),IF(SUMIFS(DATA_PLAN!$B$2:$B$20001,DATA_PLAN!$A$2:$A$20001,$B200)=0,0,SUMIFS(DATA_TS!$Q$2:$Q$20001,DATA_TS!$A$2:$A$20001,$B200,DATA_TS!$B$2:$B$20001,Kalkulasi!$B$31,DATA_TS!$E$2:$E$20001,"Hauler")/(SUMIFS(DATA_PLAN!$B$2:$B$20001,DATA_PLAN!$A$2:$A$20001,$B200)*Kalkulasi!$B$32)*100))</f>
        <v/>
      </c>
      <c r="F200" s="156" t="n"/>
      <c r="G200" s="156" t="n"/>
      <c r="H200" s="156" t="n"/>
      <c r="I200" s="156" t="n"/>
      <c r="J200" s="156" t="n"/>
    </row>
    <row r="201">
      <c r="A201" s="156" t="n">
        <v>19</v>
      </c>
      <c r="B201" s="155">
        <f>IF(Kalkulasi!$B$29+A201-1&lt;=Kalkulasi!$B$30,Kalkulasi!$B$29+A201-1,"")</f>
        <v/>
      </c>
      <c r="C201" s="156">
        <f>IF(B201="","",TEXT(B201,"d"))</f>
        <v/>
      </c>
      <c r="D201" s="187">
        <f>IF($B201="","",SUMIFS(DATA_HUJAN!$C$2:$C$20001,DATA_HUJAN!$A$2:$A$20001,$B201,DATA_HUJAN!$B$2:$B$20001,Kalkulasi!$B$31))</f>
        <v/>
      </c>
      <c r="E201" s="190">
        <f>IF($B201="",NA(),IF(SUMIFS(DATA_PLAN!$B$2:$B$20001,DATA_PLAN!$A$2:$A$20001,$B201)=0,0,SUMIFS(DATA_TS!$Q$2:$Q$20001,DATA_TS!$A$2:$A$20001,$B201,DATA_TS!$B$2:$B$20001,Kalkulasi!$B$31,DATA_TS!$E$2:$E$20001,"Hauler")/(SUMIFS(DATA_PLAN!$B$2:$B$20001,DATA_PLAN!$A$2:$A$20001,$B201)*Kalkulasi!$B$32)*100))</f>
        <v/>
      </c>
      <c r="F201" s="156" t="n"/>
      <c r="G201" s="156" t="n"/>
      <c r="H201" s="156" t="n"/>
      <c r="I201" s="156" t="n"/>
      <c r="J201" s="156" t="n"/>
    </row>
    <row r="202">
      <c r="A202" s="156" t="n">
        <v>20</v>
      </c>
      <c r="B202" s="155">
        <f>IF(Kalkulasi!$B$29+A202-1&lt;=Kalkulasi!$B$30,Kalkulasi!$B$29+A202-1,"")</f>
        <v/>
      </c>
      <c r="C202" s="156">
        <f>IF(B202="","",TEXT(B202,"d"))</f>
        <v/>
      </c>
      <c r="D202" s="187">
        <f>IF($B202="","",SUMIFS(DATA_HUJAN!$C$2:$C$20001,DATA_HUJAN!$A$2:$A$20001,$B202,DATA_HUJAN!$B$2:$B$20001,Kalkulasi!$B$31))</f>
        <v/>
      </c>
      <c r="E202" s="190">
        <f>IF($B202="",NA(),IF(SUMIFS(DATA_PLAN!$B$2:$B$20001,DATA_PLAN!$A$2:$A$20001,$B202)=0,0,SUMIFS(DATA_TS!$Q$2:$Q$20001,DATA_TS!$A$2:$A$20001,$B202,DATA_TS!$B$2:$B$20001,Kalkulasi!$B$31,DATA_TS!$E$2:$E$20001,"Hauler")/(SUMIFS(DATA_PLAN!$B$2:$B$20001,DATA_PLAN!$A$2:$A$20001,$B202)*Kalkulasi!$B$32)*100))</f>
        <v/>
      </c>
      <c r="F202" s="156" t="n"/>
      <c r="G202" s="156" t="n"/>
      <c r="H202" s="156" t="n"/>
      <c r="I202" s="156" t="n"/>
      <c r="J202" s="156" t="n"/>
    </row>
    <row r="203">
      <c r="A203" s="156" t="n">
        <v>21</v>
      </c>
      <c r="B203" s="155">
        <f>IF(Kalkulasi!$B$29+A203-1&lt;=Kalkulasi!$B$30,Kalkulasi!$B$29+A203-1,"")</f>
        <v/>
      </c>
      <c r="C203" s="156">
        <f>IF(B203="","",TEXT(B203,"d"))</f>
        <v/>
      </c>
      <c r="D203" s="187">
        <f>IF($B203="","",SUMIFS(DATA_HUJAN!$C$2:$C$20001,DATA_HUJAN!$A$2:$A$20001,$B203,DATA_HUJAN!$B$2:$B$20001,Kalkulasi!$B$31))</f>
        <v/>
      </c>
      <c r="E203" s="190">
        <f>IF($B203="",NA(),IF(SUMIFS(DATA_PLAN!$B$2:$B$20001,DATA_PLAN!$A$2:$A$20001,$B203)=0,0,SUMIFS(DATA_TS!$Q$2:$Q$20001,DATA_TS!$A$2:$A$20001,$B203,DATA_TS!$B$2:$B$20001,Kalkulasi!$B$31,DATA_TS!$E$2:$E$20001,"Hauler")/(SUMIFS(DATA_PLAN!$B$2:$B$20001,DATA_PLAN!$A$2:$A$20001,$B203)*Kalkulasi!$B$32)*100))</f>
        <v/>
      </c>
      <c r="F203" s="156" t="n"/>
      <c r="G203" s="156" t="n"/>
      <c r="H203" s="156" t="n"/>
      <c r="I203" s="156" t="n"/>
      <c r="J203" s="156" t="n"/>
    </row>
    <row r="204">
      <c r="A204" s="156" t="n">
        <v>22</v>
      </c>
      <c r="B204" s="155">
        <f>IF(Kalkulasi!$B$29+A204-1&lt;=Kalkulasi!$B$30,Kalkulasi!$B$29+A204-1,"")</f>
        <v/>
      </c>
      <c r="C204" s="156">
        <f>IF(B204="","",TEXT(B204,"d"))</f>
        <v/>
      </c>
      <c r="D204" s="187">
        <f>IF($B204="","",SUMIFS(DATA_HUJAN!$C$2:$C$20001,DATA_HUJAN!$A$2:$A$20001,$B204,DATA_HUJAN!$B$2:$B$20001,Kalkulasi!$B$31))</f>
        <v/>
      </c>
      <c r="E204" s="190">
        <f>IF($B204="",NA(),IF(SUMIFS(DATA_PLAN!$B$2:$B$20001,DATA_PLAN!$A$2:$A$20001,$B204)=0,0,SUMIFS(DATA_TS!$Q$2:$Q$20001,DATA_TS!$A$2:$A$20001,$B204,DATA_TS!$B$2:$B$20001,Kalkulasi!$B$31,DATA_TS!$E$2:$E$20001,"Hauler")/(SUMIFS(DATA_PLAN!$B$2:$B$20001,DATA_PLAN!$A$2:$A$20001,$B204)*Kalkulasi!$B$32)*100))</f>
        <v/>
      </c>
      <c r="F204" s="156" t="n"/>
      <c r="G204" s="156" t="n"/>
      <c r="H204" s="156" t="n"/>
      <c r="I204" s="156" t="n"/>
      <c r="J204" s="156" t="n"/>
    </row>
    <row r="205">
      <c r="A205" s="156" t="n">
        <v>23</v>
      </c>
      <c r="B205" s="155">
        <f>IF(Kalkulasi!$B$29+A205-1&lt;=Kalkulasi!$B$30,Kalkulasi!$B$29+A205-1,"")</f>
        <v/>
      </c>
      <c r="C205" s="156">
        <f>IF(B205="","",TEXT(B205,"d"))</f>
        <v/>
      </c>
      <c r="D205" s="187">
        <f>IF($B205="","",SUMIFS(DATA_HUJAN!$C$2:$C$20001,DATA_HUJAN!$A$2:$A$20001,$B205,DATA_HUJAN!$B$2:$B$20001,Kalkulasi!$B$31))</f>
        <v/>
      </c>
      <c r="E205" s="190">
        <f>IF($B205="",NA(),IF(SUMIFS(DATA_PLAN!$B$2:$B$20001,DATA_PLAN!$A$2:$A$20001,$B205)=0,0,SUMIFS(DATA_TS!$Q$2:$Q$20001,DATA_TS!$A$2:$A$20001,$B205,DATA_TS!$B$2:$B$20001,Kalkulasi!$B$31,DATA_TS!$E$2:$E$20001,"Hauler")/(SUMIFS(DATA_PLAN!$B$2:$B$20001,DATA_PLAN!$A$2:$A$20001,$B205)*Kalkulasi!$B$32)*100))</f>
        <v/>
      </c>
      <c r="F205" s="156" t="n"/>
      <c r="G205" s="156" t="n"/>
      <c r="H205" s="156" t="n"/>
      <c r="I205" s="156" t="n"/>
      <c r="J205" s="156" t="n"/>
    </row>
    <row r="206">
      <c r="A206" s="156" t="n">
        <v>24</v>
      </c>
      <c r="B206" s="155">
        <f>IF(Kalkulasi!$B$29+A206-1&lt;=Kalkulasi!$B$30,Kalkulasi!$B$29+A206-1,"")</f>
        <v/>
      </c>
      <c r="C206" s="156">
        <f>IF(B206="","",TEXT(B206,"d"))</f>
        <v/>
      </c>
      <c r="D206" s="187">
        <f>IF($B206="","",SUMIFS(DATA_HUJAN!$C$2:$C$20001,DATA_HUJAN!$A$2:$A$20001,$B206,DATA_HUJAN!$B$2:$B$20001,Kalkulasi!$B$31))</f>
        <v/>
      </c>
      <c r="E206" s="190">
        <f>IF($B206="",NA(),IF(SUMIFS(DATA_PLAN!$B$2:$B$20001,DATA_PLAN!$A$2:$A$20001,$B206)=0,0,SUMIFS(DATA_TS!$Q$2:$Q$20001,DATA_TS!$A$2:$A$20001,$B206,DATA_TS!$B$2:$B$20001,Kalkulasi!$B$31,DATA_TS!$E$2:$E$20001,"Hauler")/(SUMIFS(DATA_PLAN!$B$2:$B$20001,DATA_PLAN!$A$2:$A$20001,$B206)*Kalkulasi!$B$32)*100))</f>
        <v/>
      </c>
      <c r="F206" s="156" t="n"/>
      <c r="G206" s="156" t="n"/>
      <c r="H206" s="156" t="n"/>
      <c r="I206" s="156" t="n"/>
      <c r="J206" s="156" t="n"/>
    </row>
    <row r="207">
      <c r="A207" s="156" t="n">
        <v>25</v>
      </c>
      <c r="B207" s="155">
        <f>IF(Kalkulasi!$B$29+A207-1&lt;=Kalkulasi!$B$30,Kalkulasi!$B$29+A207-1,"")</f>
        <v/>
      </c>
      <c r="C207" s="156">
        <f>IF(B207="","",TEXT(B207,"d"))</f>
        <v/>
      </c>
      <c r="D207" s="187">
        <f>IF($B207="","",SUMIFS(DATA_HUJAN!$C$2:$C$20001,DATA_HUJAN!$A$2:$A$20001,$B207,DATA_HUJAN!$B$2:$B$20001,Kalkulasi!$B$31))</f>
        <v/>
      </c>
      <c r="E207" s="190">
        <f>IF($B207="",NA(),IF(SUMIFS(DATA_PLAN!$B$2:$B$20001,DATA_PLAN!$A$2:$A$20001,$B207)=0,0,SUMIFS(DATA_TS!$Q$2:$Q$20001,DATA_TS!$A$2:$A$20001,$B207,DATA_TS!$B$2:$B$20001,Kalkulasi!$B$31,DATA_TS!$E$2:$E$20001,"Hauler")/(SUMIFS(DATA_PLAN!$B$2:$B$20001,DATA_PLAN!$A$2:$A$20001,$B207)*Kalkulasi!$B$32)*100))</f>
        <v/>
      </c>
      <c r="F207" s="156" t="n"/>
      <c r="G207" s="156" t="n"/>
      <c r="H207" s="156" t="n"/>
      <c r="I207" s="156" t="n"/>
      <c r="J207" s="156" t="n"/>
    </row>
    <row r="208">
      <c r="A208" s="156" t="n">
        <v>26</v>
      </c>
      <c r="B208" s="155">
        <f>IF(Kalkulasi!$B$29+A208-1&lt;=Kalkulasi!$B$30,Kalkulasi!$B$29+A208-1,"")</f>
        <v/>
      </c>
      <c r="C208" s="156">
        <f>IF(B208="","",TEXT(B208,"d"))</f>
        <v/>
      </c>
      <c r="D208" s="187">
        <f>IF($B208="","",SUMIFS(DATA_HUJAN!$C$2:$C$20001,DATA_HUJAN!$A$2:$A$20001,$B208,DATA_HUJAN!$B$2:$B$20001,Kalkulasi!$B$31))</f>
        <v/>
      </c>
      <c r="E208" s="190">
        <f>IF($B208="",NA(),IF(SUMIFS(DATA_PLAN!$B$2:$B$20001,DATA_PLAN!$A$2:$A$20001,$B208)=0,0,SUMIFS(DATA_TS!$Q$2:$Q$20001,DATA_TS!$A$2:$A$20001,$B208,DATA_TS!$B$2:$B$20001,Kalkulasi!$B$31,DATA_TS!$E$2:$E$20001,"Hauler")/(SUMIFS(DATA_PLAN!$B$2:$B$20001,DATA_PLAN!$A$2:$A$20001,$B208)*Kalkulasi!$B$32)*100))</f>
        <v/>
      </c>
      <c r="F208" s="156" t="n"/>
      <c r="G208" s="156" t="n"/>
      <c r="H208" s="156" t="n"/>
      <c r="I208" s="156" t="n"/>
      <c r="J208" s="156" t="n"/>
    </row>
    <row r="209">
      <c r="A209" s="156" t="n">
        <v>27</v>
      </c>
      <c r="B209" s="155">
        <f>IF(Kalkulasi!$B$29+A209-1&lt;=Kalkulasi!$B$30,Kalkulasi!$B$29+A209-1,"")</f>
        <v/>
      </c>
      <c r="C209" s="156">
        <f>IF(B209="","",TEXT(B209,"d"))</f>
        <v/>
      </c>
      <c r="D209" s="187">
        <f>IF($B209="","",SUMIFS(DATA_HUJAN!$C$2:$C$20001,DATA_HUJAN!$A$2:$A$20001,$B209,DATA_HUJAN!$B$2:$B$20001,Kalkulasi!$B$31))</f>
        <v/>
      </c>
      <c r="E209" s="190">
        <f>IF($B209="",NA(),IF(SUMIFS(DATA_PLAN!$B$2:$B$20001,DATA_PLAN!$A$2:$A$20001,$B209)=0,0,SUMIFS(DATA_TS!$Q$2:$Q$20001,DATA_TS!$A$2:$A$20001,$B209,DATA_TS!$B$2:$B$20001,Kalkulasi!$B$31,DATA_TS!$E$2:$E$20001,"Hauler")/(SUMIFS(DATA_PLAN!$B$2:$B$20001,DATA_PLAN!$A$2:$A$20001,$B209)*Kalkulasi!$B$32)*100))</f>
        <v/>
      </c>
      <c r="F209" s="156" t="n"/>
      <c r="G209" s="156" t="n"/>
      <c r="H209" s="156" t="n"/>
      <c r="I209" s="156" t="n"/>
      <c r="J209" s="156" t="n"/>
    </row>
    <row r="210">
      <c r="A210" s="156" t="n">
        <v>28</v>
      </c>
      <c r="B210" s="155">
        <f>IF(Kalkulasi!$B$29+A210-1&lt;=Kalkulasi!$B$30,Kalkulasi!$B$29+A210-1,"")</f>
        <v/>
      </c>
      <c r="C210" s="156">
        <f>IF(B210="","",TEXT(B210,"d"))</f>
        <v/>
      </c>
      <c r="D210" s="187">
        <f>IF($B210="","",SUMIFS(DATA_HUJAN!$C$2:$C$20001,DATA_HUJAN!$A$2:$A$20001,$B210,DATA_HUJAN!$B$2:$B$20001,Kalkulasi!$B$31))</f>
        <v/>
      </c>
      <c r="E210" s="190">
        <f>IF($B210="",NA(),IF(SUMIFS(DATA_PLAN!$B$2:$B$20001,DATA_PLAN!$A$2:$A$20001,$B210)=0,0,SUMIFS(DATA_TS!$Q$2:$Q$20001,DATA_TS!$A$2:$A$20001,$B210,DATA_TS!$B$2:$B$20001,Kalkulasi!$B$31,DATA_TS!$E$2:$E$20001,"Hauler")/(SUMIFS(DATA_PLAN!$B$2:$B$20001,DATA_PLAN!$A$2:$A$20001,$B210)*Kalkulasi!$B$32)*100))</f>
        <v/>
      </c>
      <c r="F210" s="156" t="n"/>
      <c r="G210" s="156" t="n"/>
      <c r="H210" s="156" t="n"/>
      <c r="I210" s="156" t="n"/>
      <c r="J210" s="156" t="n"/>
    </row>
    <row r="211">
      <c r="A211" s="156" t="n">
        <v>29</v>
      </c>
      <c r="B211" s="155">
        <f>IF(Kalkulasi!$B$29+A211-1&lt;=Kalkulasi!$B$30,Kalkulasi!$B$29+A211-1,"")</f>
        <v/>
      </c>
      <c r="C211" s="156">
        <f>IF(B211="","",TEXT(B211,"d"))</f>
        <v/>
      </c>
      <c r="D211" s="187">
        <f>IF($B211="","",SUMIFS(DATA_HUJAN!$C$2:$C$20001,DATA_HUJAN!$A$2:$A$20001,$B211,DATA_HUJAN!$B$2:$B$20001,Kalkulasi!$B$31))</f>
        <v/>
      </c>
      <c r="E211" s="190">
        <f>IF($B211="",NA(),IF(SUMIFS(DATA_PLAN!$B$2:$B$20001,DATA_PLAN!$A$2:$A$20001,$B211)=0,0,SUMIFS(DATA_TS!$Q$2:$Q$20001,DATA_TS!$A$2:$A$20001,$B211,DATA_TS!$B$2:$B$20001,Kalkulasi!$B$31,DATA_TS!$E$2:$E$20001,"Hauler")/(SUMIFS(DATA_PLAN!$B$2:$B$20001,DATA_PLAN!$A$2:$A$20001,$B211)*Kalkulasi!$B$32)*100))</f>
        <v/>
      </c>
      <c r="F211" s="156" t="n"/>
      <c r="G211" s="156" t="n"/>
      <c r="H211" s="156" t="n"/>
      <c r="I211" s="156" t="n"/>
      <c r="J211" s="156" t="n"/>
    </row>
    <row r="212">
      <c r="A212" s="156" t="n">
        <v>30</v>
      </c>
      <c r="B212" s="155">
        <f>IF(Kalkulasi!$B$29+A212-1&lt;=Kalkulasi!$B$30,Kalkulasi!$B$29+A212-1,"")</f>
        <v/>
      </c>
      <c r="C212" s="156">
        <f>IF(B212="","",TEXT(B212,"d"))</f>
        <v/>
      </c>
      <c r="D212" s="187">
        <f>IF($B212="","",SUMIFS(DATA_HUJAN!$C$2:$C$20001,DATA_HUJAN!$A$2:$A$20001,$B212,DATA_HUJAN!$B$2:$B$20001,Kalkulasi!$B$31))</f>
        <v/>
      </c>
      <c r="E212" s="190">
        <f>IF($B212="",NA(),IF(SUMIFS(DATA_PLAN!$B$2:$B$20001,DATA_PLAN!$A$2:$A$20001,$B212)=0,0,SUMIFS(DATA_TS!$Q$2:$Q$20001,DATA_TS!$A$2:$A$20001,$B212,DATA_TS!$B$2:$B$20001,Kalkulasi!$B$31,DATA_TS!$E$2:$E$20001,"Hauler")/(SUMIFS(DATA_PLAN!$B$2:$B$20001,DATA_PLAN!$A$2:$A$20001,$B212)*Kalkulasi!$B$32)*100))</f>
        <v/>
      </c>
      <c r="F212" s="156" t="n"/>
      <c r="G212" s="156" t="n"/>
      <c r="H212" s="156" t="n"/>
      <c r="I212" s="156" t="n"/>
      <c r="J212" s="156" t="n"/>
    </row>
    <row r="213">
      <c r="A213" s="156" t="n">
        <v>31</v>
      </c>
      <c r="B213" s="155">
        <f>IF(Kalkulasi!$B$29+A213-1&lt;=Kalkulasi!$B$30,Kalkulasi!$B$29+A213-1,"")</f>
        <v/>
      </c>
      <c r="C213" s="156">
        <f>IF(B213="","",TEXT(B213,"d"))</f>
        <v/>
      </c>
      <c r="D213" s="187">
        <f>IF($B213="","",SUMIFS(DATA_HUJAN!$C$2:$C$20001,DATA_HUJAN!$A$2:$A$20001,$B213,DATA_HUJAN!$B$2:$B$20001,Kalkulasi!$B$31))</f>
        <v/>
      </c>
      <c r="E213" s="190">
        <f>IF($B213="",NA(),IF(SUMIFS(DATA_PLAN!$B$2:$B$20001,DATA_PLAN!$A$2:$A$20001,$B213)=0,0,SUMIFS(DATA_TS!$Q$2:$Q$20001,DATA_TS!$A$2:$A$20001,$B213,DATA_TS!$B$2:$B$20001,Kalkulasi!$B$31,DATA_TS!$E$2:$E$20001,"Hauler")/(SUMIFS(DATA_PLAN!$B$2:$B$20001,DATA_PLAN!$A$2:$A$20001,$B213)*Kalkulasi!$B$32)*100))</f>
        <v/>
      </c>
      <c r="F213" s="156" t="n"/>
      <c r="G213" s="156" t="n"/>
      <c r="H213" s="156" t="n"/>
      <c r="I213" s="156" t="n"/>
      <c r="J213" s="156" t="n"/>
    </row>
    <row r="214">
      <c r="A214" s="156" t="inlineStr">
        <is>
          <t>Hari hujan</t>
        </is>
      </c>
      <c r="B214" s="190">
        <f>COUNTIF(Kalkulasi!$D$183:$D$213,"&gt;0")</f>
        <v/>
      </c>
      <c r="C214" s="156" t="n"/>
      <c r="D214" s="156" t="n"/>
      <c r="E214" s="156" t="n"/>
      <c r="F214" s="156" t="n"/>
      <c r="G214" s="156" t="n"/>
      <c r="H214" s="156" t="n"/>
      <c r="I214" s="156" t="n"/>
      <c r="J214" s="156" t="n"/>
    </row>
    <row r="215">
      <c r="A215" s="156" t="n"/>
      <c r="B215" s="156" t="n"/>
      <c r="C215" s="156" t="n"/>
      <c r="D215" s="156" t="n"/>
      <c r="E215" s="156" t="n"/>
      <c r="F215" s="156" t="n"/>
      <c r="G215" s="156" t="n"/>
      <c r="H215" s="156" t="n"/>
      <c r="I215" s="156" t="n"/>
      <c r="J215" s="156" t="n"/>
    </row>
    <row r="216">
      <c r="A216" s="171" t="inlineStr">
        <is>
          <t>Share OB per digger (Produksi)</t>
        </is>
      </c>
      <c r="B216" s="156" t="n"/>
      <c r="C216" s="156" t="n"/>
      <c r="D216" s="156" t="n"/>
      <c r="E216" s="156" t="n"/>
      <c r="F216" s="156" t="n"/>
      <c r="G216" s="156" t="n"/>
      <c r="H216" s="156" t="n"/>
      <c r="I216" s="156" t="n"/>
      <c r="J216" s="156" t="n"/>
    </row>
    <row r="217">
      <c r="A217" s="176" t="inlineStr">
        <is>
          <t>Unit</t>
        </is>
      </c>
      <c r="B217" s="176" t="inlineStr">
        <is>
          <t>OB</t>
        </is>
      </c>
      <c r="C217" s="176" t="inlineStr">
        <is>
          <t>Sort</t>
        </is>
      </c>
      <c r="D217" s="176" t="inlineStr">
        <is>
          <t>Rank</t>
        </is>
      </c>
      <c r="E217" s="176" t="inlineStr">
        <is>
          <t>Unit urut</t>
        </is>
      </c>
      <c r="F217" s="176" t="inlineStr">
        <is>
          <t>OB urut</t>
        </is>
      </c>
      <c r="G217" s="156" t="n"/>
      <c r="H217" s="156" t="n"/>
      <c r="I217" s="156" t="n"/>
      <c r="J217" s="156" t="n"/>
    </row>
    <row r="218">
      <c r="A218" s="156" t="inlineStr">
        <is>
          <t>EX-1251</t>
        </is>
      </c>
      <c r="B218" s="183">
        <f>SUMIFS(DATA_TS!$Q$2:$Q$20001,DATA_TS!$A$2:$A$20001,"&gt;="&amp;Kalkulasi!$B$5,DATA_TS!$A$2:$A$20001,"&lt;="&amp;Kalkulasi!$B$6,DATA_TS!$B$2:$B$20001,Kalkulasi!$B$7,DATA_TS!$C$2:$C$20001,$A218)</f>
        <v/>
      </c>
      <c r="C218" s="156">
        <f>B218+ROW()/1000000</f>
        <v/>
      </c>
      <c r="D218" s="156" t="n">
        <v>1</v>
      </c>
      <c r="E218" s="156">
        <f>INDEX($A$218:$A$235,MATCH(LARGE($C$218:$C$235,D218),$C$218:$C$235,0))</f>
        <v/>
      </c>
      <c r="F218" s="183">
        <f>INDEX($B$218:$B$235,MATCH(LARGE($C$218:$C$235,D218),$C$218:$C$235,0))</f>
        <v/>
      </c>
      <c r="G218" s="156" t="n"/>
      <c r="H218" s="156" t="n"/>
      <c r="I218" s="156" t="n"/>
      <c r="J218" s="156" t="n"/>
    </row>
    <row r="219">
      <c r="A219" s="156" t="inlineStr">
        <is>
          <t>EX-755</t>
        </is>
      </c>
      <c r="B219" s="183">
        <f>SUMIFS(DATA_TS!$Q$2:$Q$20001,DATA_TS!$A$2:$A$20001,"&gt;="&amp;Kalkulasi!$B$5,DATA_TS!$A$2:$A$20001,"&lt;="&amp;Kalkulasi!$B$6,DATA_TS!$B$2:$B$20001,Kalkulasi!$B$7,DATA_TS!$C$2:$C$20001,$A219)</f>
        <v/>
      </c>
      <c r="C219" s="156">
        <f>B219+ROW()/1000000</f>
        <v/>
      </c>
      <c r="D219" s="156" t="n">
        <v>2</v>
      </c>
      <c r="E219" s="156">
        <f>INDEX($A$218:$A$235,MATCH(LARGE($C$218:$C$235,D219),$C$218:$C$235,0))</f>
        <v/>
      </c>
      <c r="F219" s="183">
        <f>INDEX($B$218:$B$235,MATCH(LARGE($C$218:$C$235,D219),$C$218:$C$235,0))</f>
        <v/>
      </c>
      <c r="G219" s="156" t="n"/>
      <c r="H219" s="156" t="n"/>
      <c r="I219" s="156" t="n"/>
      <c r="J219" s="156" t="n"/>
    </row>
    <row r="220">
      <c r="A220" s="156" t="inlineStr">
        <is>
          <t>EX-2101</t>
        </is>
      </c>
      <c r="B220" s="183">
        <f>SUMIFS(DATA_TS!$Q$2:$Q$20001,DATA_TS!$A$2:$A$20001,"&gt;="&amp;Kalkulasi!$B$5,DATA_TS!$A$2:$A$20001,"&lt;="&amp;Kalkulasi!$B$6,DATA_TS!$B$2:$B$20001,Kalkulasi!$B$7,DATA_TS!$C$2:$C$20001,$A220)</f>
        <v/>
      </c>
      <c r="C220" s="156">
        <f>B220+ROW()/1000000</f>
        <v/>
      </c>
      <c r="D220" s="156" t="n">
        <v>3</v>
      </c>
      <c r="E220" s="156">
        <f>INDEX($A$218:$A$235,MATCH(LARGE($C$218:$C$235,D220),$C$218:$C$235,0))</f>
        <v/>
      </c>
      <c r="F220" s="183">
        <f>INDEX($B$218:$B$235,MATCH(LARGE($C$218:$C$235,D220),$C$218:$C$235,0))</f>
        <v/>
      </c>
      <c r="G220" s="156" t="n"/>
      <c r="H220" s="156" t="n"/>
      <c r="I220" s="156" t="n"/>
      <c r="J220" s="156" t="n"/>
    </row>
    <row r="221">
      <c r="A221" s="156" t="inlineStr">
        <is>
          <t>EX-754</t>
        </is>
      </c>
      <c r="B221" s="183">
        <f>SUMIFS(DATA_TS!$Q$2:$Q$20001,DATA_TS!$A$2:$A$20001,"&gt;="&amp;Kalkulasi!$B$5,DATA_TS!$A$2:$A$20001,"&lt;="&amp;Kalkulasi!$B$6,DATA_TS!$B$2:$B$20001,Kalkulasi!$B$7,DATA_TS!$C$2:$C$20001,$A221)</f>
        <v/>
      </c>
      <c r="C221" s="156">
        <f>B221+ROW()/1000000</f>
        <v/>
      </c>
      <c r="D221" s="156" t="n">
        <v>4</v>
      </c>
      <c r="E221" s="156">
        <f>INDEX($A$218:$A$235,MATCH(LARGE($C$218:$C$235,D221),$C$218:$C$235,0))</f>
        <v/>
      </c>
      <c r="F221" s="183">
        <f>INDEX($B$218:$B$235,MATCH(LARGE($C$218:$C$235,D221),$C$218:$C$235,0))</f>
        <v/>
      </c>
      <c r="G221" s="156" t="n"/>
      <c r="H221" s="156" t="n"/>
      <c r="I221" s="156" t="n"/>
      <c r="J221" s="156" t="n"/>
    </row>
    <row r="222">
      <c r="A222" s="156" t="inlineStr">
        <is>
          <t>EX-753</t>
        </is>
      </c>
      <c r="B222" s="183">
        <f>SUMIFS(DATA_TS!$Q$2:$Q$20001,DATA_TS!$A$2:$A$20001,"&gt;="&amp;Kalkulasi!$B$5,DATA_TS!$A$2:$A$20001,"&lt;="&amp;Kalkulasi!$B$6,DATA_TS!$B$2:$B$20001,Kalkulasi!$B$7,DATA_TS!$C$2:$C$20001,$A222)</f>
        <v/>
      </c>
      <c r="C222" s="156">
        <f>B222+ROW()/1000000</f>
        <v/>
      </c>
      <c r="D222" s="156" t="n">
        <v>5</v>
      </c>
      <c r="E222" s="156">
        <f>INDEX($A$218:$A$235,MATCH(LARGE($C$218:$C$235,D222),$C$218:$C$235,0))</f>
        <v/>
      </c>
      <c r="F222" s="183">
        <f>INDEX($B$218:$B$235,MATCH(LARGE($C$218:$C$235,D222),$C$218:$C$235,0))</f>
        <v/>
      </c>
      <c r="G222" s="156" t="n"/>
      <c r="H222" s="156" t="n"/>
      <c r="I222" s="156" t="n"/>
      <c r="J222" s="156" t="n"/>
    </row>
    <row r="223">
      <c r="A223" s="156" t="inlineStr">
        <is>
          <t>EX-1252</t>
        </is>
      </c>
      <c r="B223" s="183">
        <f>SUMIFS(DATA_TS!$Q$2:$Q$20001,DATA_TS!$A$2:$A$20001,"&gt;="&amp;Kalkulasi!$B$5,DATA_TS!$A$2:$A$20001,"&lt;="&amp;Kalkulasi!$B$6,DATA_TS!$B$2:$B$20001,Kalkulasi!$B$7,DATA_TS!$C$2:$C$20001,$A223)</f>
        <v/>
      </c>
      <c r="C223" s="156">
        <f>B223+ROW()/1000000</f>
        <v/>
      </c>
      <c r="D223" s="156" t="n">
        <v>6</v>
      </c>
      <c r="E223" s="156">
        <f>INDEX($A$218:$A$235,MATCH(LARGE($C$218:$C$235,D223),$C$218:$C$235,0))</f>
        <v/>
      </c>
      <c r="F223" s="183">
        <f>INDEX($B$218:$B$235,MATCH(LARGE($C$218:$C$235,D223),$C$218:$C$235,0))</f>
        <v/>
      </c>
      <c r="G223" s="156" t="n"/>
      <c r="H223" s="156" t="n"/>
      <c r="I223" s="156" t="n"/>
      <c r="J223" s="156" t="n"/>
    </row>
    <row r="224">
      <c r="A224" s="156" t="inlineStr">
        <is>
          <t>EX-334</t>
        </is>
      </c>
      <c r="B224" s="183">
        <f>SUMIFS(DATA_TS!$Q$2:$Q$20001,DATA_TS!$A$2:$A$20001,"&gt;="&amp;Kalkulasi!$B$5,DATA_TS!$A$2:$A$20001,"&lt;="&amp;Kalkulasi!$B$6,DATA_TS!$B$2:$B$20001,Kalkulasi!$B$7,DATA_TS!$C$2:$C$20001,$A224)</f>
        <v/>
      </c>
      <c r="C224" s="156">
        <f>B224+ROW()/1000000</f>
        <v/>
      </c>
      <c r="D224" s="156" t="n">
        <v>7</v>
      </c>
      <c r="E224" s="156">
        <f>INDEX($A$218:$A$235,MATCH(LARGE($C$218:$C$235,D224),$C$218:$C$235,0))</f>
        <v/>
      </c>
      <c r="F224" s="183">
        <f>INDEX($B$218:$B$235,MATCH(LARGE($C$218:$C$235,D224),$C$218:$C$235,0))</f>
        <v/>
      </c>
      <c r="G224" s="156" t="n"/>
      <c r="H224" s="156" t="n"/>
      <c r="I224" s="156" t="n"/>
      <c r="J224" s="156" t="n"/>
    </row>
    <row r="225">
      <c r="A225" s="156" t="inlineStr">
        <is>
          <t>EX-336</t>
        </is>
      </c>
      <c r="B225" s="183">
        <f>SUMIFS(DATA_TS!$Q$2:$Q$20001,DATA_TS!$A$2:$A$20001,"&gt;="&amp;Kalkulasi!$B$5,DATA_TS!$A$2:$A$20001,"&lt;="&amp;Kalkulasi!$B$6,DATA_TS!$B$2:$B$20001,Kalkulasi!$B$7,DATA_TS!$C$2:$C$20001,$A225)</f>
        <v/>
      </c>
      <c r="C225" s="156">
        <f>B225+ROW()/1000000</f>
        <v/>
      </c>
      <c r="D225" s="156" t="n">
        <v>8</v>
      </c>
      <c r="E225" s="156">
        <f>INDEX($A$218:$A$235,MATCH(LARGE($C$218:$C$235,D225),$C$218:$C$235,0))</f>
        <v/>
      </c>
      <c r="F225" s="183">
        <f>INDEX($B$218:$B$235,MATCH(LARGE($C$218:$C$235,D225),$C$218:$C$235,0))</f>
        <v/>
      </c>
      <c r="G225" s="156" t="n"/>
      <c r="H225" s="156" t="n"/>
      <c r="I225" s="156" t="n"/>
      <c r="J225" s="156" t="n"/>
    </row>
    <row r="226">
      <c r="A226" s="156" t="inlineStr">
        <is>
          <t>EX-333</t>
        </is>
      </c>
      <c r="B226" s="183">
        <f>SUMIFS(DATA_TS!$Q$2:$Q$20001,DATA_TS!$A$2:$A$20001,"&gt;="&amp;Kalkulasi!$B$5,DATA_TS!$A$2:$A$20001,"&lt;="&amp;Kalkulasi!$B$6,DATA_TS!$B$2:$B$20001,Kalkulasi!$B$7,DATA_TS!$C$2:$C$20001,$A226)</f>
        <v/>
      </c>
      <c r="C226" s="156">
        <f>B226+ROW()/1000000</f>
        <v/>
      </c>
      <c r="D226" s="156" t="n">
        <v>9</v>
      </c>
      <c r="E226" s="156">
        <f>INDEX($A$218:$A$235,MATCH(LARGE($C$218:$C$235,D226),$C$218:$C$235,0))</f>
        <v/>
      </c>
      <c r="F226" s="183">
        <f>INDEX($B$218:$B$235,MATCH(LARGE($C$218:$C$235,D226),$C$218:$C$235,0))</f>
        <v/>
      </c>
      <c r="G226" s="156" t="n"/>
      <c r="H226" s="156" t="n"/>
      <c r="I226" s="156" t="n"/>
      <c r="J226" s="156" t="n"/>
    </row>
    <row r="227">
      <c r="A227" s="156" t="inlineStr">
        <is>
          <t>EX-335</t>
        </is>
      </c>
      <c r="B227" s="183">
        <f>SUMIFS(DATA_TS!$Q$2:$Q$20001,DATA_TS!$A$2:$A$20001,"&gt;="&amp;Kalkulasi!$B$5,DATA_TS!$A$2:$A$20001,"&lt;="&amp;Kalkulasi!$B$6,DATA_TS!$B$2:$B$20001,Kalkulasi!$B$7,DATA_TS!$C$2:$C$20001,$A227)</f>
        <v/>
      </c>
      <c r="C227" s="156">
        <f>B227+ROW()/1000000</f>
        <v/>
      </c>
      <c r="D227" s="156" t="n">
        <v>10</v>
      </c>
      <c r="E227" s="156">
        <f>INDEX($A$218:$A$235,MATCH(LARGE($C$218:$C$235,D227),$C$218:$C$235,0))</f>
        <v/>
      </c>
      <c r="F227" s="183">
        <f>INDEX($B$218:$B$235,MATCH(LARGE($C$218:$C$235,D227),$C$218:$C$235,0))</f>
        <v/>
      </c>
      <c r="G227" s="156" t="n"/>
      <c r="H227" s="156" t="n"/>
      <c r="I227" s="156" t="n"/>
      <c r="J227" s="156" t="n"/>
    </row>
    <row r="228">
      <c r="A228" s="156" t="inlineStr">
        <is>
          <t>EX-332</t>
        </is>
      </c>
      <c r="B228" s="183">
        <f>SUMIFS(DATA_TS!$Q$2:$Q$20001,DATA_TS!$A$2:$A$20001,"&gt;="&amp;Kalkulasi!$B$5,DATA_TS!$A$2:$A$20001,"&lt;="&amp;Kalkulasi!$B$6,DATA_TS!$B$2:$B$20001,Kalkulasi!$B$7,DATA_TS!$C$2:$C$20001,$A228)</f>
        <v/>
      </c>
      <c r="C228" s="156">
        <f>B228+ROW()/1000000</f>
        <v/>
      </c>
      <c r="D228" s="156" t="n">
        <v>11</v>
      </c>
      <c r="E228" s="156">
        <f>INDEX($A$218:$A$235,MATCH(LARGE($C$218:$C$235,D228),$C$218:$C$235,0))</f>
        <v/>
      </c>
      <c r="F228" s="183">
        <f>INDEX($B$218:$B$235,MATCH(LARGE($C$218:$C$235,D228),$C$218:$C$235,0))</f>
        <v/>
      </c>
      <c r="G228" s="156" t="n"/>
      <c r="H228" s="156" t="n"/>
      <c r="I228" s="156" t="n"/>
      <c r="J228" s="156" t="n"/>
    </row>
    <row r="229">
      <c r="A229" s="156" t="inlineStr">
        <is>
          <t>EX-222</t>
        </is>
      </c>
      <c r="B229" s="183">
        <f>SUMIFS(DATA_TS!$Q$2:$Q$20001,DATA_TS!$A$2:$A$20001,"&gt;="&amp;Kalkulasi!$B$5,DATA_TS!$A$2:$A$20001,"&lt;="&amp;Kalkulasi!$B$6,DATA_TS!$B$2:$B$20001,Kalkulasi!$B$7,DATA_TS!$C$2:$C$20001,$A229)</f>
        <v/>
      </c>
      <c r="C229" s="156">
        <f>B229+ROW()/1000000</f>
        <v/>
      </c>
      <c r="D229" s="156" t="n">
        <v>12</v>
      </c>
      <c r="E229" s="156">
        <f>INDEX($A$218:$A$235,MATCH(LARGE($C$218:$C$235,D229),$C$218:$C$235,0))</f>
        <v/>
      </c>
      <c r="F229" s="183">
        <f>INDEX($B$218:$B$235,MATCH(LARGE($C$218:$C$235,D229),$C$218:$C$235,0))</f>
        <v/>
      </c>
      <c r="G229" s="156" t="n"/>
      <c r="H229" s="156" t="n"/>
      <c r="I229" s="156" t="n"/>
      <c r="J229" s="156" t="n"/>
    </row>
    <row r="230">
      <c r="A230" s="156" t="inlineStr">
        <is>
          <t>EX-223</t>
        </is>
      </c>
      <c r="B230" s="183">
        <f>SUMIFS(DATA_TS!$Q$2:$Q$20001,DATA_TS!$A$2:$A$20001,"&gt;="&amp;Kalkulasi!$B$5,DATA_TS!$A$2:$A$20001,"&lt;="&amp;Kalkulasi!$B$6,DATA_TS!$B$2:$B$20001,Kalkulasi!$B$7,DATA_TS!$C$2:$C$20001,$A230)</f>
        <v/>
      </c>
      <c r="C230" s="156">
        <f>B230+ROW()/1000000</f>
        <v/>
      </c>
      <c r="D230" s="156" t="n">
        <v>13</v>
      </c>
      <c r="E230" s="156">
        <f>INDEX($A$218:$A$235,MATCH(LARGE($C$218:$C$235,D230),$C$218:$C$235,0))</f>
        <v/>
      </c>
      <c r="F230" s="183">
        <f>INDEX($B$218:$B$235,MATCH(LARGE($C$218:$C$235,D230),$C$218:$C$235,0))</f>
        <v/>
      </c>
      <c r="G230" s="156" t="n"/>
      <c r="H230" s="156" t="n"/>
      <c r="I230" s="156" t="n"/>
      <c r="J230" s="156" t="n"/>
    </row>
    <row r="231">
      <c r="A231" s="156" t="inlineStr">
        <is>
          <t>EX-221</t>
        </is>
      </c>
      <c r="B231" s="183">
        <f>SUMIFS(DATA_TS!$Q$2:$Q$20001,DATA_TS!$A$2:$A$20001,"&gt;="&amp;Kalkulasi!$B$5,DATA_TS!$A$2:$A$20001,"&lt;="&amp;Kalkulasi!$B$6,DATA_TS!$B$2:$B$20001,Kalkulasi!$B$7,DATA_TS!$C$2:$C$20001,$A231)</f>
        <v/>
      </c>
      <c r="C231" s="156">
        <f>B231+ROW()/1000000</f>
        <v/>
      </c>
      <c r="D231" s="156" t="n">
        <v>14</v>
      </c>
      <c r="E231" s="156">
        <f>INDEX($A$218:$A$235,MATCH(LARGE($C$218:$C$235,D231),$C$218:$C$235,0))</f>
        <v/>
      </c>
      <c r="F231" s="183">
        <f>INDEX($B$218:$B$235,MATCH(LARGE($C$218:$C$235,D231),$C$218:$C$235,0))</f>
        <v/>
      </c>
      <c r="G231" s="156" t="n"/>
      <c r="H231" s="156" t="n"/>
      <c r="I231" s="156" t="n"/>
      <c r="J231" s="156" t="n"/>
    </row>
    <row r="232">
      <c r="A232" s="156" t="inlineStr">
        <is>
          <t>EX-225</t>
        </is>
      </c>
      <c r="B232" s="183">
        <f>SUMIFS(DATA_TS!$Q$2:$Q$20001,DATA_TS!$A$2:$A$20001,"&gt;="&amp;Kalkulasi!$B$5,DATA_TS!$A$2:$A$20001,"&lt;="&amp;Kalkulasi!$B$6,DATA_TS!$B$2:$B$20001,Kalkulasi!$B$7,DATA_TS!$C$2:$C$20001,$A232)</f>
        <v/>
      </c>
      <c r="C232" s="156">
        <f>B232+ROW()/1000000</f>
        <v/>
      </c>
      <c r="D232" s="156" t="n">
        <v>15</v>
      </c>
      <c r="E232" s="156">
        <f>INDEX($A$218:$A$235,MATCH(LARGE($C$218:$C$235,D232),$C$218:$C$235,0))</f>
        <v/>
      </c>
      <c r="F232" s="183">
        <f>INDEX($B$218:$B$235,MATCH(LARGE($C$218:$C$235,D232),$C$218:$C$235,0))</f>
        <v/>
      </c>
      <c r="G232" s="156" t="n"/>
      <c r="H232" s="156" t="n"/>
      <c r="I232" s="156" t="n"/>
      <c r="J232" s="156" t="n"/>
    </row>
    <row r="233">
      <c r="A233" s="156" t="inlineStr">
        <is>
          <t>EX-331</t>
        </is>
      </c>
      <c r="B233" s="183">
        <f>SUMIFS(DATA_TS!$Q$2:$Q$20001,DATA_TS!$A$2:$A$20001,"&gt;="&amp;Kalkulasi!$B$5,DATA_TS!$A$2:$A$20001,"&lt;="&amp;Kalkulasi!$B$6,DATA_TS!$B$2:$B$20001,Kalkulasi!$B$7,DATA_TS!$C$2:$C$20001,$A233)</f>
        <v/>
      </c>
      <c r="C233" s="156">
        <f>B233+ROW()/1000000</f>
        <v/>
      </c>
      <c r="D233" s="156" t="n">
        <v>16</v>
      </c>
      <c r="E233" s="156">
        <f>INDEX($A$218:$A$235,MATCH(LARGE($C$218:$C$235,D233),$C$218:$C$235,0))</f>
        <v/>
      </c>
      <c r="F233" s="183">
        <f>INDEX($B$218:$B$235,MATCH(LARGE($C$218:$C$235,D233),$C$218:$C$235,0))</f>
        <v/>
      </c>
      <c r="G233" s="156" t="n"/>
      <c r="H233" s="156" t="n"/>
      <c r="I233" s="156" t="n"/>
      <c r="J233" s="156" t="n"/>
    </row>
    <row r="234">
      <c r="A234" s="156" t="inlineStr">
        <is>
          <t>EX-751</t>
        </is>
      </c>
      <c r="B234" s="183">
        <f>SUMIFS(DATA_TS!$Q$2:$Q$20001,DATA_TS!$A$2:$A$20001,"&gt;="&amp;Kalkulasi!$B$5,DATA_TS!$A$2:$A$20001,"&lt;="&amp;Kalkulasi!$B$6,DATA_TS!$B$2:$B$20001,Kalkulasi!$B$7,DATA_TS!$C$2:$C$20001,$A234)</f>
        <v/>
      </c>
      <c r="C234" s="156">
        <f>B234+ROW()/1000000</f>
        <v/>
      </c>
      <c r="D234" s="156" t="n">
        <v>17</v>
      </c>
      <c r="E234" s="156">
        <f>INDEX($A$218:$A$235,MATCH(LARGE($C$218:$C$235,D234),$C$218:$C$235,0))</f>
        <v/>
      </c>
      <c r="F234" s="183">
        <f>INDEX($B$218:$B$235,MATCH(LARGE($C$218:$C$235,D234),$C$218:$C$235,0))</f>
        <v/>
      </c>
      <c r="G234" s="156" t="n"/>
      <c r="H234" s="156" t="n"/>
      <c r="I234" s="156" t="n"/>
      <c r="J234" s="156" t="n"/>
    </row>
    <row r="235">
      <c r="A235" s="156" t="inlineStr">
        <is>
          <t>EX-752</t>
        </is>
      </c>
      <c r="B235" s="183">
        <f>SUMIFS(DATA_TS!$Q$2:$Q$20001,DATA_TS!$A$2:$A$20001,"&gt;="&amp;Kalkulasi!$B$5,DATA_TS!$A$2:$A$20001,"&lt;="&amp;Kalkulasi!$B$6,DATA_TS!$B$2:$B$20001,Kalkulasi!$B$7,DATA_TS!$C$2:$C$20001,$A235)</f>
        <v/>
      </c>
      <c r="C235" s="156">
        <f>B235+ROW()/1000000</f>
        <v/>
      </c>
      <c r="D235" s="156" t="n">
        <v>18</v>
      </c>
      <c r="E235" s="156">
        <f>INDEX($A$218:$A$235,MATCH(LARGE($C$218:$C$235,D235),$C$218:$C$235,0))</f>
        <v/>
      </c>
      <c r="F235" s="183">
        <f>INDEX($B$218:$B$235,MATCH(LARGE($C$218:$C$235,D235),$C$218:$C$235,0))</f>
        <v/>
      </c>
      <c r="G235" s="156" t="n"/>
      <c r="H235" s="156" t="n"/>
      <c r="I235" s="156" t="n"/>
      <c r="J235" s="156" t="n"/>
    </row>
    <row r="236">
      <c r="A236" s="156" t="n"/>
      <c r="B236" s="156" t="n"/>
      <c r="C236" s="156" t="n"/>
      <c r="D236" s="156" t="n"/>
      <c r="E236" s="156" t="n"/>
      <c r="F236" s="156" t="n"/>
      <c r="G236" s="156" t="n"/>
      <c r="H236" s="156" t="n"/>
      <c r="I236" s="156" t="n"/>
      <c r="J236" s="156" t="n"/>
    </row>
    <row r="237">
      <c r="A237" s="156" t="n"/>
      <c r="B237" s="156" t="n"/>
      <c r="C237" s="156" t="n"/>
      <c r="D237" s="156" t="n"/>
      <c r="E237" s="156" t="n"/>
      <c r="F237" s="156" t="n"/>
      <c r="G237" s="156" t="n"/>
      <c r="H237" s="156" t="n"/>
      <c r="I237" s="156" t="n"/>
      <c r="J237" s="156" t="n"/>
    </row>
    <row r="238">
      <c r="A238" s="171" t="inlineStr">
        <is>
          <t>Donut OB (top 5 + lainnya)</t>
        </is>
      </c>
      <c r="B238" s="156" t="n"/>
      <c r="C238" s="156" t="n"/>
      <c r="D238" s="156" t="n"/>
      <c r="E238" s="156" t="n"/>
      <c r="F238" s="156" t="n"/>
      <c r="G238" s="156" t="n"/>
      <c r="H238" s="156" t="n"/>
      <c r="I238" s="156" t="n"/>
      <c r="J238" s="156" t="n"/>
    </row>
    <row r="239">
      <c r="A239" s="176" t="inlineStr">
        <is>
          <t>Label</t>
        </is>
      </c>
      <c r="B239" s="176" t="inlineStr">
        <is>
          <t>OB</t>
        </is>
      </c>
      <c r="C239" s="176" t="inlineStr">
        <is>
          <t>Porsi</t>
        </is>
      </c>
      <c r="D239" s="156" t="n"/>
      <c r="E239" s="156" t="n"/>
      <c r="F239" s="156" t="n"/>
      <c r="G239" s="156" t="n"/>
      <c r="H239" s="156" t="n"/>
      <c r="I239" s="156" t="n"/>
      <c r="J239" s="156" t="n"/>
    </row>
    <row r="240">
      <c r="A240" s="156">
        <f>E218</f>
        <v/>
      </c>
      <c r="B240" s="183">
        <f>F218</f>
        <v/>
      </c>
      <c r="C240" s="189">
        <f>IF(SUM($B$240:$B$245)=0,0,B240/SUM($B$240:$B$245))</f>
        <v/>
      </c>
      <c r="D240" s="156" t="n"/>
      <c r="E240" s="156" t="n"/>
      <c r="F240" s="156" t="n"/>
      <c r="G240" s="156" t="n"/>
      <c r="H240" s="156" t="n"/>
      <c r="I240" s="156" t="n"/>
      <c r="J240" s="156" t="n"/>
    </row>
    <row r="241">
      <c r="A241" s="156">
        <f>E219</f>
        <v/>
      </c>
      <c r="B241" s="183">
        <f>F219</f>
        <v/>
      </c>
      <c r="C241" s="189">
        <f>IF(SUM($B$240:$B$245)=0,0,B241/SUM($B$240:$B$245))</f>
        <v/>
      </c>
      <c r="D241" s="156" t="n"/>
      <c r="E241" s="156" t="n"/>
      <c r="F241" s="156" t="n"/>
      <c r="G241" s="156" t="n"/>
      <c r="H241" s="156" t="n"/>
      <c r="I241" s="156" t="n"/>
      <c r="J241" s="156" t="n"/>
    </row>
    <row r="242">
      <c r="A242" s="156">
        <f>E220</f>
        <v/>
      </c>
      <c r="B242" s="183">
        <f>F220</f>
        <v/>
      </c>
      <c r="C242" s="189">
        <f>IF(SUM($B$240:$B$245)=0,0,B242/SUM($B$240:$B$245))</f>
        <v/>
      </c>
      <c r="D242" s="156" t="n"/>
      <c r="E242" s="156" t="n"/>
      <c r="F242" s="156" t="n"/>
      <c r="G242" s="156" t="n"/>
      <c r="H242" s="156" t="n"/>
      <c r="I242" s="156" t="n"/>
      <c r="J242" s="156" t="n"/>
    </row>
    <row r="243">
      <c r="A243" s="156">
        <f>E221</f>
        <v/>
      </c>
      <c r="B243" s="183">
        <f>F221</f>
        <v/>
      </c>
      <c r="C243" s="189">
        <f>IF(SUM($B$240:$B$245)=0,0,B243/SUM($B$240:$B$245))</f>
        <v/>
      </c>
      <c r="D243" s="156" t="n"/>
      <c r="E243" s="156" t="n"/>
      <c r="F243" s="156" t="n"/>
      <c r="G243" s="156" t="n"/>
      <c r="H243" s="156" t="n"/>
      <c r="I243" s="156" t="n"/>
      <c r="J243" s="156" t="n"/>
    </row>
    <row r="244">
      <c r="A244" s="156">
        <f>E222</f>
        <v/>
      </c>
      <c r="B244" s="183">
        <f>F222</f>
        <v/>
      </c>
      <c r="C244" s="189">
        <f>IF(SUM($B$240:$B$245)=0,0,B244/SUM($B$240:$B$245))</f>
        <v/>
      </c>
      <c r="D244" s="156" t="n"/>
      <c r="E244" s="156" t="n"/>
      <c r="F244" s="156" t="n"/>
      <c r="G244" s="156" t="n"/>
      <c r="H244" s="156" t="n"/>
      <c r="I244" s="156" t="n"/>
      <c r="J244" s="156" t="n"/>
    </row>
    <row r="245">
      <c r="A245" s="156" t="inlineStr">
        <is>
          <t>Lainnya</t>
        </is>
      </c>
      <c r="B245" s="183">
        <f>MAX(0,SUM($B$218:$B$235)-SUM(B240:B244))</f>
        <v/>
      </c>
      <c r="C245" s="189">
        <f>IF(SUM($B$240:$B$245)=0,0,B245/SUM($B$240:$B$245))</f>
        <v/>
      </c>
      <c r="D245" s="156" t="n"/>
      <c r="E245" s="156" t="n"/>
      <c r="F245" s="156" t="n"/>
      <c r="G245" s="156" t="n"/>
      <c r="H245" s="156" t="n"/>
      <c r="I245" s="156" t="n"/>
      <c r="J245" s="156" t="n"/>
    </row>
    <row r="246">
      <c r="A246" s="156" t="n"/>
      <c r="B246" s="156" t="n"/>
      <c r="C246" s="156" t="n"/>
      <c r="D246" s="156" t="n"/>
      <c r="E246" s="156" t="n"/>
      <c r="F246" s="156" t="n"/>
      <c r="G246" s="156" t="n"/>
      <c r="H246" s="156" t="n"/>
      <c r="I246" s="156" t="n"/>
      <c r="J246" s="156" t="n"/>
    </row>
    <row r="247">
      <c r="A247" s="156" t="n"/>
      <c r="B247" s="156" t="n"/>
      <c r="C247" s="156" t="n"/>
      <c r="D247" s="156" t="n"/>
      <c r="E247" s="156" t="n"/>
      <c r="F247" s="156" t="n"/>
      <c r="G247" s="156" t="n"/>
      <c r="H247" s="156" t="n"/>
      <c r="I247" s="156" t="n"/>
      <c r="J247" s="156" t="n"/>
    </row>
    <row r="248">
      <c r="A248" s="171" t="inlineStr">
        <is>
          <t>Availability per class</t>
        </is>
      </c>
      <c r="B248" s="156" t="n"/>
      <c r="C248" s="156" t="n"/>
      <c r="D248" s="156" t="n"/>
      <c r="E248" s="156" t="n"/>
      <c r="F248" s="156" t="n"/>
      <c r="G248" s="156" t="n"/>
      <c r="H248" s="156" t="n"/>
      <c r="I248" s="156" t="n"/>
      <c r="J248" s="156" t="n"/>
    </row>
    <row r="249">
      <c r="A249" s="176" t="inlineStr">
        <is>
          <t>Class</t>
        </is>
      </c>
      <c r="B249" s="176" t="inlineStr">
        <is>
          <t>HM</t>
        </is>
      </c>
      <c r="C249" s="176" t="inlineStr">
        <is>
          <t>BD</t>
        </is>
      </c>
      <c r="D249" s="176" t="inlineStr">
        <is>
          <t>Idle</t>
        </is>
      </c>
      <c r="E249" s="176" t="inlineStr">
        <is>
          <t>PA %</t>
        </is>
      </c>
      <c r="F249" s="176" t="inlineStr">
        <is>
          <t>UA %</t>
        </is>
      </c>
      <c r="G249" s="156" t="n"/>
      <c r="H249" s="156" t="n"/>
      <c r="I249" s="156" t="n"/>
      <c r="J249" s="156" t="n"/>
    </row>
    <row r="250">
      <c r="A250" s="156" t="inlineStr">
        <is>
          <t>Excavator</t>
        </is>
      </c>
      <c r="B250" s="183">
        <f>SUMIFS(DATA_TS!$G$2:$G$20001,DATA_TS!$A$2:$A$20001,"&gt;="&amp;Kalkulasi!$B$20,DATA_TS!$A$2:$A$20001,"&lt;="&amp;Kalkulasi!$B$21,DATA_TS!$B$2:$B$20001,Kalkulasi!$B$22,DATA_TS!$E$2:$E$20001,$A250)</f>
        <v/>
      </c>
      <c r="C250" s="183">
        <f>SUMIFS(DATA_TS!$J$2:$J$20001,DATA_TS!$A$2:$A$20001,"&gt;="&amp;Kalkulasi!$B$20,DATA_TS!$A$2:$A$20001,"&lt;="&amp;Kalkulasi!$B$21,DATA_TS!$B$2:$B$20001,Kalkulasi!$B$22,DATA_TS!$E$2:$E$20001,$A250)</f>
        <v/>
      </c>
      <c r="D250" s="183">
        <f>SUMIFS(DATA_TS!$K$2:$K$20001,DATA_TS!$A$2:$A$20001,"&gt;="&amp;Kalkulasi!$B$20,DATA_TS!$A$2:$A$20001,"&lt;="&amp;Kalkulasi!$B$21,DATA_TS!$B$2:$B$20001,Kalkulasi!$B$22,DATA_TS!$E$2:$E$20001,$A250)</f>
        <v/>
      </c>
      <c r="E250" s="190">
        <f>IF(B250+C250+D250=0,0,(B250+D250)/(B250+C250+D250)*100)</f>
        <v/>
      </c>
      <c r="F250" s="190">
        <f>IF(B250+D250=0,0,B250/(B250+D250)*100)</f>
        <v/>
      </c>
      <c r="G250" s="156" t="n"/>
      <c r="H250" s="156" t="n"/>
      <c r="I250" s="156" t="n"/>
      <c r="J250" s="156" t="n"/>
    </row>
    <row r="251">
      <c r="A251" s="156" t="inlineStr">
        <is>
          <t>Hauler</t>
        </is>
      </c>
      <c r="B251" s="183">
        <f>SUMIFS(DATA_TS!$G$2:$G$20001,DATA_TS!$A$2:$A$20001,"&gt;="&amp;Kalkulasi!$B$20,DATA_TS!$A$2:$A$20001,"&lt;="&amp;Kalkulasi!$B$21,DATA_TS!$B$2:$B$20001,Kalkulasi!$B$22,DATA_TS!$E$2:$E$20001,$A251)</f>
        <v/>
      </c>
      <c r="C251" s="183">
        <f>SUMIFS(DATA_TS!$J$2:$J$20001,DATA_TS!$A$2:$A$20001,"&gt;="&amp;Kalkulasi!$B$20,DATA_TS!$A$2:$A$20001,"&lt;="&amp;Kalkulasi!$B$21,DATA_TS!$B$2:$B$20001,Kalkulasi!$B$22,DATA_TS!$E$2:$E$20001,$A251)</f>
        <v/>
      </c>
      <c r="D251" s="183">
        <f>SUMIFS(DATA_TS!$K$2:$K$20001,DATA_TS!$A$2:$A$20001,"&gt;="&amp;Kalkulasi!$B$20,DATA_TS!$A$2:$A$20001,"&lt;="&amp;Kalkulasi!$B$21,DATA_TS!$B$2:$B$20001,Kalkulasi!$B$22,DATA_TS!$E$2:$E$20001,$A251)</f>
        <v/>
      </c>
      <c r="E251" s="190">
        <f>IF(B251+C251+D251=0,0,(B251+D251)/(B251+C251+D251)*100)</f>
        <v/>
      </c>
      <c r="F251" s="190">
        <f>IF(B251+D251=0,0,B251/(B251+D251)*100)</f>
        <v/>
      </c>
      <c r="G251" s="156" t="n"/>
      <c r="H251" s="156" t="n"/>
      <c r="I251" s="156" t="n"/>
      <c r="J251" s="156" t="n"/>
    </row>
    <row r="252">
      <c r="A252" s="156" t="inlineStr">
        <is>
          <t>DT Hauling</t>
        </is>
      </c>
      <c r="B252" s="183">
        <f>SUMIFS(DATA_TS!$G$2:$G$20001,DATA_TS!$A$2:$A$20001,"&gt;="&amp;Kalkulasi!$B$20,DATA_TS!$A$2:$A$20001,"&lt;="&amp;Kalkulasi!$B$21,DATA_TS!$B$2:$B$20001,Kalkulasi!$B$22,DATA_TS!$E$2:$E$20001,$A252)</f>
        <v/>
      </c>
      <c r="C252" s="183">
        <f>SUMIFS(DATA_TS!$J$2:$J$20001,DATA_TS!$A$2:$A$20001,"&gt;="&amp;Kalkulasi!$B$20,DATA_TS!$A$2:$A$20001,"&lt;="&amp;Kalkulasi!$B$21,DATA_TS!$B$2:$B$20001,Kalkulasi!$B$22,DATA_TS!$E$2:$E$20001,$A252)</f>
        <v/>
      </c>
      <c r="D252" s="183">
        <f>SUMIFS(DATA_TS!$K$2:$K$20001,DATA_TS!$A$2:$A$20001,"&gt;="&amp;Kalkulasi!$B$20,DATA_TS!$A$2:$A$20001,"&lt;="&amp;Kalkulasi!$B$21,DATA_TS!$B$2:$B$20001,Kalkulasi!$B$22,DATA_TS!$E$2:$E$20001,$A252)</f>
        <v/>
      </c>
      <c r="E252" s="190">
        <f>IF(B252+C252+D252=0,0,(B252+D252)/(B252+C252+D252)*100)</f>
        <v/>
      </c>
      <c r="F252" s="190">
        <f>IF(B252+D252=0,0,B252/(B252+D252)*100)</f>
        <v/>
      </c>
      <c r="G252" s="156" t="n"/>
      <c r="H252" s="156" t="n"/>
      <c r="I252" s="156" t="n"/>
      <c r="J252" s="156" t="n"/>
    </row>
    <row r="253">
      <c r="A253" s="156" t="inlineStr">
        <is>
          <t>DT Hino</t>
        </is>
      </c>
      <c r="B253" s="183">
        <f>SUMIFS(DATA_TS!$G$2:$G$20001,DATA_TS!$A$2:$A$20001,"&gt;="&amp;Kalkulasi!$B$20,DATA_TS!$A$2:$A$20001,"&lt;="&amp;Kalkulasi!$B$21,DATA_TS!$B$2:$B$20001,Kalkulasi!$B$22,DATA_TS!$E$2:$E$20001,$A253)</f>
        <v/>
      </c>
      <c r="C253" s="183">
        <f>SUMIFS(DATA_TS!$J$2:$J$20001,DATA_TS!$A$2:$A$20001,"&gt;="&amp;Kalkulasi!$B$20,DATA_TS!$A$2:$A$20001,"&lt;="&amp;Kalkulasi!$B$21,DATA_TS!$B$2:$B$20001,Kalkulasi!$B$22,DATA_TS!$E$2:$E$20001,$A253)</f>
        <v/>
      </c>
      <c r="D253" s="183">
        <f>SUMIFS(DATA_TS!$K$2:$K$20001,DATA_TS!$A$2:$A$20001,"&gt;="&amp;Kalkulasi!$B$20,DATA_TS!$A$2:$A$20001,"&lt;="&amp;Kalkulasi!$B$21,DATA_TS!$B$2:$B$20001,Kalkulasi!$B$22,DATA_TS!$E$2:$E$20001,$A253)</f>
        <v/>
      </c>
      <c r="E253" s="190">
        <f>IF(B253+C253+D253=0,0,(B253+D253)/(B253+C253+D253)*100)</f>
        <v/>
      </c>
      <c r="F253" s="190">
        <f>IF(B253+D253=0,0,B253/(B253+D253)*100)</f>
        <v/>
      </c>
      <c r="G253" s="156" t="n"/>
      <c r="H253" s="156" t="n"/>
      <c r="I253" s="156" t="n"/>
      <c r="J253" s="156" t="n"/>
    </row>
    <row r="254">
      <c r="A254" s="156" t="inlineStr">
        <is>
          <t>Bulldozer</t>
        </is>
      </c>
      <c r="B254" s="183">
        <f>SUMIFS(DATA_TS!$G$2:$G$20001,DATA_TS!$A$2:$A$20001,"&gt;="&amp;Kalkulasi!$B$20,DATA_TS!$A$2:$A$20001,"&lt;="&amp;Kalkulasi!$B$21,DATA_TS!$B$2:$B$20001,Kalkulasi!$B$22,DATA_TS!$E$2:$E$20001,$A254)</f>
        <v/>
      </c>
      <c r="C254" s="183">
        <f>SUMIFS(DATA_TS!$J$2:$J$20001,DATA_TS!$A$2:$A$20001,"&gt;="&amp;Kalkulasi!$B$20,DATA_TS!$A$2:$A$20001,"&lt;="&amp;Kalkulasi!$B$21,DATA_TS!$B$2:$B$20001,Kalkulasi!$B$22,DATA_TS!$E$2:$E$20001,$A254)</f>
        <v/>
      </c>
      <c r="D254" s="183">
        <f>SUMIFS(DATA_TS!$K$2:$K$20001,DATA_TS!$A$2:$A$20001,"&gt;="&amp;Kalkulasi!$B$20,DATA_TS!$A$2:$A$20001,"&lt;="&amp;Kalkulasi!$B$21,DATA_TS!$B$2:$B$20001,Kalkulasi!$B$22,DATA_TS!$E$2:$E$20001,$A254)</f>
        <v/>
      </c>
      <c r="E254" s="190">
        <f>IF(B254+C254+D254=0,0,(B254+D254)/(B254+C254+D254)*100)</f>
        <v/>
      </c>
      <c r="F254" s="190">
        <f>IF(B254+D254=0,0,B254/(B254+D254)*100)</f>
        <v/>
      </c>
      <c r="G254" s="156" t="n"/>
      <c r="H254" s="156" t="n"/>
      <c r="I254" s="156" t="n"/>
      <c r="J254" s="156" t="n"/>
    </row>
    <row r="255">
      <c r="A255" s="156" t="inlineStr">
        <is>
          <t>Grader</t>
        </is>
      </c>
      <c r="B255" s="183">
        <f>SUMIFS(DATA_TS!$G$2:$G$20001,DATA_TS!$A$2:$A$20001,"&gt;="&amp;Kalkulasi!$B$20,DATA_TS!$A$2:$A$20001,"&lt;="&amp;Kalkulasi!$B$21,DATA_TS!$B$2:$B$20001,Kalkulasi!$B$22,DATA_TS!$E$2:$E$20001,$A255)</f>
        <v/>
      </c>
      <c r="C255" s="183">
        <f>SUMIFS(DATA_TS!$J$2:$J$20001,DATA_TS!$A$2:$A$20001,"&gt;="&amp;Kalkulasi!$B$20,DATA_TS!$A$2:$A$20001,"&lt;="&amp;Kalkulasi!$B$21,DATA_TS!$B$2:$B$20001,Kalkulasi!$B$22,DATA_TS!$E$2:$E$20001,$A255)</f>
        <v/>
      </c>
      <c r="D255" s="183">
        <f>SUMIFS(DATA_TS!$K$2:$K$20001,DATA_TS!$A$2:$A$20001,"&gt;="&amp;Kalkulasi!$B$20,DATA_TS!$A$2:$A$20001,"&lt;="&amp;Kalkulasi!$B$21,DATA_TS!$B$2:$B$20001,Kalkulasi!$B$22,DATA_TS!$E$2:$E$20001,$A255)</f>
        <v/>
      </c>
      <c r="E255" s="190">
        <f>IF(B255+C255+D255=0,0,(B255+D255)/(B255+C255+D255)*100)</f>
        <v/>
      </c>
      <c r="F255" s="190">
        <f>IF(B255+D255=0,0,B255/(B255+D255)*100)</f>
        <v/>
      </c>
      <c r="G255" s="156" t="n"/>
      <c r="H255" s="156" t="n"/>
      <c r="I255" s="156" t="n"/>
      <c r="J255" s="156" t="n"/>
    </row>
    <row r="256">
      <c r="A256" s="156" t="inlineStr">
        <is>
          <t>Loader</t>
        </is>
      </c>
      <c r="B256" s="183">
        <f>SUMIFS(DATA_TS!$G$2:$G$20001,DATA_TS!$A$2:$A$20001,"&gt;="&amp;Kalkulasi!$B$20,DATA_TS!$A$2:$A$20001,"&lt;="&amp;Kalkulasi!$B$21,DATA_TS!$B$2:$B$20001,Kalkulasi!$B$22,DATA_TS!$E$2:$E$20001,$A256)</f>
        <v/>
      </c>
      <c r="C256" s="183">
        <f>SUMIFS(DATA_TS!$J$2:$J$20001,DATA_TS!$A$2:$A$20001,"&gt;="&amp;Kalkulasi!$B$20,DATA_TS!$A$2:$A$20001,"&lt;="&amp;Kalkulasi!$B$21,DATA_TS!$B$2:$B$20001,Kalkulasi!$B$22,DATA_TS!$E$2:$E$20001,$A256)</f>
        <v/>
      </c>
      <c r="D256" s="183">
        <f>SUMIFS(DATA_TS!$K$2:$K$20001,DATA_TS!$A$2:$A$20001,"&gt;="&amp;Kalkulasi!$B$20,DATA_TS!$A$2:$A$20001,"&lt;="&amp;Kalkulasi!$B$21,DATA_TS!$B$2:$B$20001,Kalkulasi!$B$22,DATA_TS!$E$2:$E$20001,$A256)</f>
        <v/>
      </c>
      <c r="E256" s="190">
        <f>IF(B256+C256+D256=0,0,(B256+D256)/(B256+C256+D256)*100)</f>
        <v/>
      </c>
      <c r="F256" s="190">
        <f>IF(B256+D256=0,0,B256/(B256+D256)*100)</f>
        <v/>
      </c>
      <c r="G256" s="156" t="n"/>
      <c r="H256" s="156" t="n"/>
      <c r="I256" s="156" t="n"/>
      <c r="J256" s="156" t="n"/>
    </row>
    <row r="257">
      <c r="A257" s="156" t="inlineStr">
        <is>
          <t>Compactor</t>
        </is>
      </c>
      <c r="B257" s="183">
        <f>SUMIFS(DATA_TS!$G$2:$G$20001,DATA_TS!$A$2:$A$20001,"&gt;="&amp;Kalkulasi!$B$20,DATA_TS!$A$2:$A$20001,"&lt;="&amp;Kalkulasi!$B$21,DATA_TS!$B$2:$B$20001,Kalkulasi!$B$22,DATA_TS!$E$2:$E$20001,$A257)</f>
        <v/>
      </c>
      <c r="C257" s="183">
        <f>SUMIFS(DATA_TS!$J$2:$J$20001,DATA_TS!$A$2:$A$20001,"&gt;="&amp;Kalkulasi!$B$20,DATA_TS!$A$2:$A$20001,"&lt;="&amp;Kalkulasi!$B$21,DATA_TS!$B$2:$B$20001,Kalkulasi!$B$22,DATA_TS!$E$2:$E$20001,$A257)</f>
        <v/>
      </c>
      <c r="D257" s="183">
        <f>SUMIFS(DATA_TS!$K$2:$K$20001,DATA_TS!$A$2:$A$20001,"&gt;="&amp;Kalkulasi!$B$20,DATA_TS!$A$2:$A$20001,"&lt;="&amp;Kalkulasi!$B$21,DATA_TS!$B$2:$B$20001,Kalkulasi!$B$22,DATA_TS!$E$2:$E$20001,$A257)</f>
        <v/>
      </c>
      <c r="E257" s="190">
        <f>IF(B257+C257+D257=0,0,(B257+D257)/(B257+C257+D257)*100)</f>
        <v/>
      </c>
      <c r="F257" s="190">
        <f>IF(B257+D257=0,0,B257/(B257+D257)*100)</f>
        <v/>
      </c>
      <c r="G257" s="156" t="n"/>
      <c r="H257" s="156" t="n"/>
      <c r="I257" s="156" t="n"/>
      <c r="J257" s="156" t="n"/>
    </row>
    <row r="258">
      <c r="A258" s="156" t="n"/>
      <c r="B258" s="156" t="n"/>
      <c r="C258" s="156" t="n"/>
      <c r="D258" s="156" t="n"/>
      <c r="E258" s="156" t="n"/>
      <c r="F258" s="156" t="n"/>
      <c r="G258" s="156" t="n"/>
      <c r="H258" s="156" t="n"/>
      <c r="I258" s="156" t="n"/>
      <c r="J258" s="156" t="n"/>
    </row>
    <row r="259">
      <c r="A259" s="156" t="n"/>
      <c r="B259" s="156" t="n"/>
      <c r="C259" s="156" t="n"/>
      <c r="D259" s="156" t="n"/>
      <c r="E259" s="156" t="n"/>
      <c r="F259" s="156" t="n"/>
      <c r="G259" s="156" t="n"/>
      <c r="H259" s="156" t="n"/>
      <c r="I259" s="156" t="n"/>
      <c r="J259" s="156" t="n"/>
    </row>
    <row r="260">
      <c r="A260" s="171" t="inlineStr">
        <is>
          <t>Pareto idle (Delay &amp; Hujan)</t>
        </is>
      </c>
      <c r="B260" s="156" t="n"/>
      <c r="C260" s="156" t="n"/>
      <c r="D260" s="156" t="n"/>
      <c r="E260" s="156" t="n"/>
      <c r="F260" s="156" t="n"/>
      <c r="G260" s="156" t="n"/>
      <c r="H260" s="156" t="n"/>
      <c r="I260" s="156" t="n"/>
      <c r="J260" s="156" t="n"/>
    </row>
    <row r="261">
      <c r="A261" s="176" t="inlineStr">
        <is>
          <t>Kategori</t>
        </is>
      </c>
      <c r="B261" s="176" t="inlineStr">
        <is>
          <t>Jam</t>
        </is>
      </c>
      <c r="C261" s="176" t="inlineStr">
        <is>
          <t>Sort</t>
        </is>
      </c>
      <c r="D261" s="176" t="inlineStr">
        <is>
          <t>Rank</t>
        </is>
      </c>
      <c r="E261" s="176" t="inlineStr">
        <is>
          <t>Kategori urut</t>
        </is>
      </c>
      <c r="F261" s="176" t="inlineStr">
        <is>
          <t>Jam urut</t>
        </is>
      </c>
      <c r="G261" s="176" t="inlineStr">
        <is>
          <t>Kumulatif %</t>
        </is>
      </c>
      <c r="H261" s="176" t="inlineStr">
        <is>
          <t>Porsi</t>
        </is>
      </c>
      <c r="I261" s="156" t="n"/>
      <c r="J261" s="156" t="n"/>
    </row>
    <row r="262">
      <c r="A262" s="156" t="inlineStr">
        <is>
          <t>Rain Delay</t>
        </is>
      </c>
      <c r="B262" s="187">
        <f>SUMIFS(DATA_TS!$U$2:$U$20001,DATA_TS!$A$2:$A$20001,"&gt;="&amp;Kalkulasi!$B$29,DATA_TS!$A$2:$A$20001,"&lt;="&amp;Kalkulasi!$B$30,DATA_TS!$B$2:$B$20001,Kalkulasi!$B$31,DATA_TS!$E$2:$E$20001,Kalkulasi!$B$34)</f>
        <v/>
      </c>
      <c r="C262" s="156">
        <f>B262+ROW()/1000000</f>
        <v/>
      </c>
      <c r="D262" s="156" t="n">
        <v>1</v>
      </c>
      <c r="E262" s="156">
        <f>INDEX($A$262:$A$281,MATCH(LARGE($C$262:$C$281,D262),$C$262:$C$281,0))</f>
        <v/>
      </c>
      <c r="F262" s="187">
        <f>INDEX($B$262:$B$281,MATCH(LARGE($C$262:$C$281,D262),$C$262:$C$281,0))</f>
        <v/>
      </c>
      <c r="G262" s="190">
        <f>IF(SUM($B$262:$B$281)=0,0,SUM($F$262:F262)/SUM($B$262:$B$281)*100)</f>
        <v/>
      </c>
      <c r="H262" s="189">
        <f>IF(SUM($B$262:$B$281)=0,0,F262/SUM($B$262:$B$281))</f>
        <v/>
      </c>
      <c r="I262" s="156" t="n"/>
      <c r="J262" s="156" t="n"/>
    </row>
    <row r="263">
      <c r="A263" s="156" t="inlineStr">
        <is>
          <t>Slippery</t>
        </is>
      </c>
      <c r="B263" s="187">
        <f>SUMIFS(DATA_TS!$V$2:$V$20001,DATA_TS!$A$2:$A$20001,"&gt;="&amp;Kalkulasi!$B$29,DATA_TS!$A$2:$A$20001,"&lt;="&amp;Kalkulasi!$B$30,DATA_TS!$B$2:$B$20001,Kalkulasi!$B$31,DATA_TS!$E$2:$E$20001,Kalkulasi!$B$34)</f>
        <v/>
      </c>
      <c r="C263" s="156">
        <f>B263+ROW()/1000000</f>
        <v/>
      </c>
      <c r="D263" s="156" t="n">
        <v>2</v>
      </c>
      <c r="E263" s="156">
        <f>INDEX($A$262:$A$281,MATCH(LARGE($C$262:$C$281,D263),$C$262:$C$281,0))</f>
        <v/>
      </c>
      <c r="F263" s="187">
        <f>INDEX($B$262:$B$281,MATCH(LARGE($C$262:$C$281,D263),$C$262:$C$281,0))</f>
        <v/>
      </c>
      <c r="G263" s="190">
        <f>IF(SUM($B$262:$B$281)=0,0,SUM($F$262:F263)/SUM($B$262:$B$281)*100)</f>
        <v/>
      </c>
      <c r="H263" s="189">
        <f>IF(SUM($B$262:$B$281)=0,0,F263/SUM($B$262:$B$281))</f>
        <v/>
      </c>
      <c r="I263" s="156" t="n"/>
      <c r="J263" s="156" t="n"/>
    </row>
    <row r="264">
      <c r="A264" s="156" t="inlineStr">
        <is>
          <t>Waiting Prepare Front</t>
        </is>
      </c>
      <c r="B264" s="187">
        <f>SUMIFS(DATA_TS!$W$2:$W$20001,DATA_TS!$A$2:$A$20001,"&gt;="&amp;Kalkulasi!$B$29,DATA_TS!$A$2:$A$20001,"&lt;="&amp;Kalkulasi!$B$30,DATA_TS!$B$2:$B$20001,Kalkulasi!$B$31,DATA_TS!$E$2:$E$20001,Kalkulasi!$B$34)</f>
        <v/>
      </c>
      <c r="C264" s="156">
        <f>B264+ROW()/1000000</f>
        <v/>
      </c>
      <c r="D264" s="156" t="n">
        <v>3</v>
      </c>
      <c r="E264" s="156">
        <f>INDEX($A$262:$A$281,MATCH(LARGE($C$262:$C$281,D264),$C$262:$C$281,0))</f>
        <v/>
      </c>
      <c r="F264" s="187">
        <f>INDEX($B$262:$B$281,MATCH(LARGE($C$262:$C$281,D264),$C$262:$C$281,0))</f>
        <v/>
      </c>
      <c r="G264" s="190">
        <f>IF(SUM($B$262:$B$281)=0,0,SUM($F$262:F264)/SUM($B$262:$B$281)*100)</f>
        <v/>
      </c>
      <c r="H264" s="189">
        <f>IF(SUM($B$262:$B$281)=0,0,F264/SUM($B$262:$B$281))</f>
        <v/>
      </c>
      <c r="I264" s="156" t="n"/>
      <c r="J264" s="156" t="n"/>
    </row>
    <row r="265">
      <c r="A265" s="156" t="inlineStr">
        <is>
          <t>Rest &amp; Meal</t>
        </is>
      </c>
      <c r="B265" s="187">
        <f>SUMIFS(DATA_TS!$X$2:$X$20001,DATA_TS!$A$2:$A$20001,"&gt;="&amp;Kalkulasi!$B$29,DATA_TS!$A$2:$A$20001,"&lt;="&amp;Kalkulasi!$B$30,DATA_TS!$B$2:$B$20001,Kalkulasi!$B$31,DATA_TS!$E$2:$E$20001,Kalkulasi!$B$34)</f>
        <v/>
      </c>
      <c r="C265" s="156">
        <f>B265+ROW()/1000000</f>
        <v/>
      </c>
      <c r="D265" s="156" t="n">
        <v>4</v>
      </c>
      <c r="E265" s="156">
        <f>INDEX($A$262:$A$281,MATCH(LARGE($C$262:$C$281,D265),$C$262:$C$281,0))</f>
        <v/>
      </c>
      <c r="F265" s="187">
        <f>INDEX($B$262:$B$281,MATCH(LARGE($C$262:$C$281,D265),$C$262:$C$281,0))</f>
        <v/>
      </c>
      <c r="G265" s="190">
        <f>IF(SUM($B$262:$B$281)=0,0,SUM($F$262:F265)/SUM($B$262:$B$281)*100)</f>
        <v/>
      </c>
      <c r="H265" s="189">
        <f>IF(SUM($B$262:$B$281)=0,0,F265/SUM($B$262:$B$281))</f>
        <v/>
      </c>
      <c r="I265" s="156" t="n"/>
      <c r="J265" s="156" t="n"/>
    </row>
    <row r="266">
      <c r="A266" s="156" t="inlineStr">
        <is>
          <t>Safety Talk</t>
        </is>
      </c>
      <c r="B266" s="187">
        <f>SUMIFS(DATA_TS!$Y$2:$Y$20001,DATA_TS!$A$2:$A$20001,"&gt;="&amp;Kalkulasi!$B$29,DATA_TS!$A$2:$A$20001,"&lt;="&amp;Kalkulasi!$B$30,DATA_TS!$B$2:$B$20001,Kalkulasi!$B$31,DATA_TS!$E$2:$E$20001,Kalkulasi!$B$34)</f>
        <v/>
      </c>
      <c r="C266" s="156">
        <f>B266+ROW()/1000000</f>
        <v/>
      </c>
      <c r="D266" s="156" t="n">
        <v>5</v>
      </c>
      <c r="E266" s="156">
        <f>INDEX($A$262:$A$281,MATCH(LARGE($C$262:$C$281,D266),$C$262:$C$281,0))</f>
        <v/>
      </c>
      <c r="F266" s="187">
        <f>INDEX($B$262:$B$281,MATCH(LARGE($C$262:$C$281,D266),$C$262:$C$281,0))</f>
        <v/>
      </c>
      <c r="G266" s="190">
        <f>IF(SUM($B$262:$B$281)=0,0,SUM($F$262:F266)/SUM($B$262:$B$281)*100)</f>
        <v/>
      </c>
      <c r="H266" s="189">
        <f>IF(SUM($B$262:$B$281)=0,0,F266/SUM($B$262:$B$281))</f>
        <v/>
      </c>
      <c r="I266" s="156" t="n"/>
      <c r="J266" s="156" t="n"/>
    </row>
    <row r="267">
      <c r="A267" s="156" t="inlineStr">
        <is>
          <t>Refueling</t>
        </is>
      </c>
      <c r="B267" s="187">
        <f>SUMIFS(DATA_TS!$Z$2:$Z$20001,DATA_TS!$A$2:$A$20001,"&gt;="&amp;Kalkulasi!$B$29,DATA_TS!$A$2:$A$20001,"&lt;="&amp;Kalkulasi!$B$30,DATA_TS!$B$2:$B$20001,Kalkulasi!$B$31,DATA_TS!$E$2:$E$20001,Kalkulasi!$B$34)</f>
        <v/>
      </c>
      <c r="C267" s="156">
        <f>B267+ROW()/1000000</f>
        <v/>
      </c>
      <c r="D267" s="156" t="n">
        <v>6</v>
      </c>
      <c r="E267" s="156">
        <f>INDEX($A$262:$A$281,MATCH(LARGE($C$262:$C$281,D267),$C$262:$C$281,0))</f>
        <v/>
      </c>
      <c r="F267" s="187">
        <f>INDEX($B$262:$B$281,MATCH(LARGE($C$262:$C$281,D267),$C$262:$C$281,0))</f>
        <v/>
      </c>
      <c r="G267" s="190">
        <f>IF(SUM($B$262:$B$281)=0,0,SUM($F$262:F267)/SUM($B$262:$B$281)*100)</f>
        <v/>
      </c>
      <c r="H267" s="189">
        <f>IF(SUM($B$262:$B$281)=0,0,F267/SUM($B$262:$B$281))</f>
        <v/>
      </c>
      <c r="I267" s="156" t="n"/>
      <c r="J267" s="156" t="n"/>
    </row>
    <row r="268">
      <c r="A268" s="156" t="inlineStr">
        <is>
          <t>Rest Fuel</t>
        </is>
      </c>
      <c r="B268" s="187">
        <f>SUMIFS(DATA_TS!$AA$2:$AA$20001,DATA_TS!$A$2:$A$20001,"&gt;="&amp;Kalkulasi!$B$29,DATA_TS!$A$2:$A$20001,"&lt;="&amp;Kalkulasi!$B$30,DATA_TS!$B$2:$B$20001,Kalkulasi!$B$31,DATA_TS!$E$2:$E$20001,Kalkulasi!$B$34)</f>
        <v/>
      </c>
      <c r="C268" s="156">
        <f>B268+ROW()/1000000</f>
        <v/>
      </c>
      <c r="D268" s="156" t="n">
        <v>7</v>
      </c>
      <c r="E268" s="156">
        <f>INDEX($A$262:$A$281,MATCH(LARGE($C$262:$C$281,D268),$C$262:$C$281,0))</f>
        <v/>
      </c>
      <c r="F268" s="187">
        <f>INDEX($B$262:$B$281,MATCH(LARGE($C$262:$C$281,D268),$C$262:$C$281,0))</f>
        <v/>
      </c>
      <c r="G268" s="190">
        <f>IF(SUM($B$262:$B$281)=0,0,SUM($F$262:F268)/SUM($B$262:$B$281)*100)</f>
        <v/>
      </c>
      <c r="H268" s="189">
        <f>IF(SUM($B$262:$B$281)=0,0,F268/SUM($B$262:$B$281))</f>
        <v/>
      </c>
      <c r="I268" s="156" t="n"/>
      <c r="J268" s="156" t="n"/>
    </row>
    <row r="269">
      <c r="A269" s="156" t="inlineStr">
        <is>
          <t>Friday Praying</t>
        </is>
      </c>
      <c r="B269" s="187">
        <f>SUMIFS(DATA_TS!$AB$2:$AB$20001,DATA_TS!$A$2:$A$20001,"&gt;="&amp;Kalkulasi!$B$29,DATA_TS!$A$2:$A$20001,"&lt;="&amp;Kalkulasi!$B$30,DATA_TS!$B$2:$B$20001,Kalkulasi!$B$31,DATA_TS!$E$2:$E$20001,Kalkulasi!$B$34)</f>
        <v/>
      </c>
      <c r="C269" s="156">
        <f>B269+ROW()/1000000</f>
        <v/>
      </c>
      <c r="D269" s="156" t="n">
        <v>8</v>
      </c>
      <c r="E269" s="156">
        <f>INDEX($A$262:$A$281,MATCH(LARGE($C$262:$C$281,D269),$C$262:$C$281,0))</f>
        <v/>
      </c>
      <c r="F269" s="187">
        <f>INDEX($B$262:$B$281,MATCH(LARGE($C$262:$C$281,D269),$C$262:$C$281,0))</f>
        <v/>
      </c>
      <c r="G269" s="190">
        <f>IF(SUM($B$262:$B$281)=0,0,SUM($F$262:F269)/SUM($B$262:$B$281)*100)</f>
        <v/>
      </c>
      <c r="H269" s="189">
        <f>IF(SUM($B$262:$B$281)=0,0,F269/SUM($B$262:$B$281))</f>
        <v/>
      </c>
      <c r="I269" s="156" t="n"/>
      <c r="J269" s="156" t="n"/>
    </row>
    <row r="270">
      <c r="A270" s="156" t="inlineStr">
        <is>
          <t>Blasting</t>
        </is>
      </c>
      <c r="B270" s="187">
        <f>SUMIFS(DATA_TS!$AC$2:$AC$20001,DATA_TS!$A$2:$A$20001,"&gt;="&amp;Kalkulasi!$B$29,DATA_TS!$A$2:$A$20001,"&lt;="&amp;Kalkulasi!$B$30,DATA_TS!$B$2:$B$20001,Kalkulasi!$B$31,DATA_TS!$E$2:$E$20001,Kalkulasi!$B$34)</f>
        <v/>
      </c>
      <c r="C270" s="156">
        <f>B270+ROW()/1000000</f>
        <v/>
      </c>
      <c r="D270" s="156" t="n">
        <v>9</v>
      </c>
      <c r="E270" s="156">
        <f>INDEX($A$262:$A$281,MATCH(LARGE($C$262:$C$281,D270),$C$262:$C$281,0))</f>
        <v/>
      </c>
      <c r="F270" s="187">
        <f>INDEX($B$262:$B$281,MATCH(LARGE($C$262:$C$281,D270),$C$262:$C$281,0))</f>
        <v/>
      </c>
      <c r="G270" s="190">
        <f>IF(SUM($B$262:$B$281)=0,0,SUM($F$262:F270)/SUM($B$262:$B$281)*100)</f>
        <v/>
      </c>
      <c r="H270" s="189">
        <f>IF(SUM($B$262:$B$281)=0,0,F270/SUM($B$262:$B$281))</f>
        <v/>
      </c>
      <c r="I270" s="156" t="n"/>
      <c r="J270" s="156" t="n"/>
    </row>
    <row r="271">
      <c r="A271" s="156" t="inlineStr">
        <is>
          <t>No Support</t>
        </is>
      </c>
      <c r="B271" s="187">
        <f>SUMIFS(DATA_TS!$AD$2:$AD$20001,DATA_TS!$A$2:$A$20001,"&gt;="&amp;Kalkulasi!$B$29,DATA_TS!$A$2:$A$20001,"&lt;="&amp;Kalkulasi!$B$30,DATA_TS!$B$2:$B$20001,Kalkulasi!$B$31,DATA_TS!$E$2:$E$20001,Kalkulasi!$B$34)</f>
        <v/>
      </c>
      <c r="C271" s="156">
        <f>B271+ROW()/1000000</f>
        <v/>
      </c>
      <c r="D271" s="156" t="n">
        <v>10</v>
      </c>
      <c r="E271" s="156">
        <f>INDEX($A$262:$A$281,MATCH(LARGE($C$262:$C$281,D271),$C$262:$C$281,0))</f>
        <v/>
      </c>
      <c r="F271" s="187">
        <f>INDEX($B$262:$B$281,MATCH(LARGE($C$262:$C$281,D271),$C$262:$C$281,0))</f>
        <v/>
      </c>
      <c r="G271" s="190">
        <f>IF(SUM($B$262:$B$281)=0,0,SUM($F$262:F271)/SUM($B$262:$B$281)*100)</f>
        <v/>
      </c>
      <c r="H271" s="189">
        <f>IF(SUM($B$262:$B$281)=0,0,F271/SUM($B$262:$B$281))</f>
        <v/>
      </c>
      <c r="I271" s="156" t="n"/>
      <c r="J271" s="156" t="n"/>
    </row>
    <row r="272">
      <c r="A272" s="156" t="inlineStr">
        <is>
          <t>No Operator</t>
        </is>
      </c>
      <c r="B272" s="187">
        <f>SUMIFS(DATA_TS!$AE$2:$AE$20001,DATA_TS!$A$2:$A$20001,"&gt;="&amp;Kalkulasi!$B$29,DATA_TS!$A$2:$A$20001,"&lt;="&amp;Kalkulasi!$B$30,DATA_TS!$B$2:$B$20001,Kalkulasi!$B$31,DATA_TS!$E$2:$E$20001,Kalkulasi!$B$34)</f>
        <v/>
      </c>
      <c r="C272" s="156">
        <f>B272+ROW()/1000000</f>
        <v/>
      </c>
      <c r="D272" s="156" t="n">
        <v>11</v>
      </c>
      <c r="E272" s="156">
        <f>INDEX($A$262:$A$281,MATCH(LARGE($C$262:$C$281,D272),$C$262:$C$281,0))</f>
        <v/>
      </c>
      <c r="F272" s="187">
        <f>INDEX($B$262:$B$281,MATCH(LARGE($C$262:$C$281,D272),$C$262:$C$281,0))</f>
        <v/>
      </c>
      <c r="G272" s="190">
        <f>IF(SUM($B$262:$B$281)=0,0,SUM($F$262:F272)/SUM($B$262:$B$281)*100)</f>
        <v/>
      </c>
      <c r="H272" s="189">
        <f>IF(SUM($B$262:$B$281)=0,0,F272/SUM($B$262:$B$281))</f>
        <v/>
      </c>
      <c r="I272" s="156" t="n"/>
      <c r="J272" s="156" t="n"/>
    </row>
    <row r="273">
      <c r="A273" s="156" t="inlineStr">
        <is>
          <t>Greasing</t>
        </is>
      </c>
      <c r="B273" s="187">
        <f>SUMIFS(DATA_TS!$AF$2:$AF$20001,DATA_TS!$A$2:$A$20001,"&gt;="&amp;Kalkulasi!$B$29,DATA_TS!$A$2:$A$20001,"&lt;="&amp;Kalkulasi!$B$30,DATA_TS!$B$2:$B$20001,Kalkulasi!$B$31,DATA_TS!$E$2:$E$20001,Kalkulasi!$B$34)</f>
        <v/>
      </c>
      <c r="C273" s="156">
        <f>B273+ROW()/1000000</f>
        <v/>
      </c>
      <c r="D273" s="156" t="n">
        <v>12</v>
      </c>
      <c r="E273" s="156">
        <f>INDEX($A$262:$A$281,MATCH(LARGE($C$262:$C$281,D273),$C$262:$C$281,0))</f>
        <v/>
      </c>
      <c r="F273" s="187">
        <f>INDEX($B$262:$B$281,MATCH(LARGE($C$262:$C$281,D273),$C$262:$C$281,0))</f>
        <v/>
      </c>
      <c r="G273" s="190">
        <f>IF(SUM($B$262:$B$281)=0,0,SUM($F$262:F273)/SUM($B$262:$B$281)*100)</f>
        <v/>
      </c>
      <c r="H273" s="189">
        <f>IF(SUM($B$262:$B$281)=0,0,F273/SUM($B$262:$B$281))</f>
        <v/>
      </c>
      <c r="I273" s="156" t="n"/>
      <c r="J273" s="156" t="n"/>
    </row>
    <row r="274">
      <c r="A274" s="156" t="inlineStr">
        <is>
          <t>Lately Start</t>
        </is>
      </c>
      <c r="B274" s="187">
        <f>SUMIFS(DATA_TS!$AG$2:$AG$20001,DATA_TS!$A$2:$A$20001,"&gt;="&amp;Kalkulasi!$B$29,DATA_TS!$A$2:$A$20001,"&lt;="&amp;Kalkulasi!$B$30,DATA_TS!$B$2:$B$20001,Kalkulasi!$B$31,DATA_TS!$E$2:$E$20001,Kalkulasi!$B$34)</f>
        <v/>
      </c>
      <c r="C274" s="156">
        <f>B274+ROW()/1000000</f>
        <v/>
      </c>
      <c r="D274" s="156" t="n">
        <v>13</v>
      </c>
      <c r="E274" s="156">
        <f>INDEX($A$262:$A$281,MATCH(LARGE($C$262:$C$281,D274),$C$262:$C$281,0))</f>
        <v/>
      </c>
      <c r="F274" s="187">
        <f>INDEX($B$262:$B$281,MATCH(LARGE($C$262:$C$281,D274),$C$262:$C$281,0))</f>
        <v/>
      </c>
      <c r="G274" s="190">
        <f>IF(SUM($B$262:$B$281)=0,0,SUM($F$262:F274)/SUM($B$262:$B$281)*100)</f>
        <v/>
      </c>
      <c r="H274" s="189">
        <f>IF(SUM($B$262:$B$281)=0,0,F274/SUM($B$262:$B$281))</f>
        <v/>
      </c>
      <c r="I274" s="156" t="n"/>
      <c r="J274" s="156" t="n"/>
    </row>
    <row r="275">
      <c r="A275" s="156" t="inlineStr">
        <is>
          <t>Early Finish</t>
        </is>
      </c>
      <c r="B275" s="187">
        <f>SUMIFS(DATA_TS!$AH$2:$AH$20001,DATA_TS!$A$2:$A$20001,"&gt;="&amp;Kalkulasi!$B$29,DATA_TS!$A$2:$A$20001,"&lt;="&amp;Kalkulasi!$B$30,DATA_TS!$B$2:$B$20001,Kalkulasi!$B$31,DATA_TS!$E$2:$E$20001,Kalkulasi!$B$34)</f>
        <v/>
      </c>
      <c r="C275" s="156">
        <f>B275+ROW()/1000000</f>
        <v/>
      </c>
      <c r="D275" s="156" t="n">
        <v>14</v>
      </c>
      <c r="E275" s="156">
        <f>INDEX($A$262:$A$281,MATCH(LARGE($C$262:$C$281,D275),$C$262:$C$281,0))</f>
        <v/>
      </c>
      <c r="F275" s="187">
        <f>INDEX($B$262:$B$281,MATCH(LARGE($C$262:$C$281,D275),$C$262:$C$281,0))</f>
        <v/>
      </c>
      <c r="G275" s="190">
        <f>IF(SUM($B$262:$B$281)=0,0,SUM($F$262:F275)/SUM($B$262:$B$281)*100)</f>
        <v/>
      </c>
      <c r="H275" s="189">
        <f>IF(SUM($B$262:$B$281)=0,0,F275/SUM($B$262:$B$281))</f>
        <v/>
      </c>
      <c r="I275" s="156" t="n"/>
      <c r="J275" s="156" t="n"/>
    </row>
    <row r="276">
      <c r="A276" s="156" t="inlineStr">
        <is>
          <t>No Digger</t>
        </is>
      </c>
      <c r="B276" s="187">
        <f>SUMIFS(DATA_TS!$AI$2:$AI$20001,DATA_TS!$A$2:$A$20001,"&gt;="&amp;Kalkulasi!$B$29,DATA_TS!$A$2:$A$20001,"&lt;="&amp;Kalkulasi!$B$30,DATA_TS!$B$2:$B$20001,Kalkulasi!$B$31,DATA_TS!$E$2:$E$20001,Kalkulasi!$B$34)</f>
        <v/>
      </c>
      <c r="C276" s="156">
        <f>B276+ROW()/1000000</f>
        <v/>
      </c>
      <c r="D276" s="156" t="n">
        <v>15</v>
      </c>
      <c r="E276" s="156">
        <f>INDEX($A$262:$A$281,MATCH(LARGE($C$262:$C$281,D276),$C$262:$C$281,0))</f>
        <v/>
      </c>
      <c r="F276" s="187">
        <f>INDEX($B$262:$B$281,MATCH(LARGE($C$262:$C$281,D276),$C$262:$C$281,0))</f>
        <v/>
      </c>
      <c r="G276" s="190">
        <f>IF(SUM($B$262:$B$281)=0,0,SUM($F$262:F276)/SUM($B$262:$B$281)*100)</f>
        <v/>
      </c>
      <c r="H276" s="189">
        <f>IF(SUM($B$262:$B$281)=0,0,F276/SUM($B$262:$B$281))</f>
        <v/>
      </c>
      <c r="I276" s="156" t="n"/>
      <c r="J276" s="156" t="n"/>
    </row>
    <row r="277">
      <c r="A277" s="156" t="inlineStr">
        <is>
          <t>No Truck</t>
        </is>
      </c>
      <c r="B277" s="187">
        <f>SUMIFS(DATA_TS!$AJ$2:$AJ$20001,DATA_TS!$A$2:$A$20001,"&gt;="&amp;Kalkulasi!$B$29,DATA_TS!$A$2:$A$20001,"&lt;="&amp;Kalkulasi!$B$30,DATA_TS!$B$2:$B$20001,Kalkulasi!$B$31,DATA_TS!$E$2:$E$20001,Kalkulasi!$B$34)</f>
        <v/>
      </c>
      <c r="C277" s="156">
        <f>B277+ROW()/1000000</f>
        <v/>
      </c>
      <c r="D277" s="156" t="n">
        <v>16</v>
      </c>
      <c r="E277" s="156">
        <f>INDEX($A$262:$A$281,MATCH(LARGE($C$262:$C$281,D277),$C$262:$C$281,0))</f>
        <v/>
      </c>
      <c r="F277" s="187">
        <f>INDEX($B$262:$B$281,MATCH(LARGE($C$262:$C$281,D277),$C$262:$C$281,0))</f>
        <v/>
      </c>
      <c r="G277" s="190">
        <f>IF(SUM($B$262:$B$281)=0,0,SUM($F$262:F277)/SUM($B$262:$B$281)*100)</f>
        <v/>
      </c>
      <c r="H277" s="189">
        <f>IF(SUM($B$262:$B$281)=0,0,F277/SUM($B$262:$B$281))</f>
        <v/>
      </c>
      <c r="I277" s="156" t="n"/>
      <c r="J277" s="156" t="n"/>
    </row>
    <row r="278">
      <c r="A278" s="156" t="inlineStr">
        <is>
          <t>No Job</t>
        </is>
      </c>
      <c r="B278" s="187">
        <f>SUMIFS(DATA_TS!$AK$2:$AK$20001,DATA_TS!$A$2:$A$20001,"&gt;="&amp;Kalkulasi!$B$29,DATA_TS!$A$2:$A$20001,"&lt;="&amp;Kalkulasi!$B$30,DATA_TS!$B$2:$B$20001,Kalkulasi!$B$31,DATA_TS!$E$2:$E$20001,Kalkulasi!$B$34)</f>
        <v/>
      </c>
      <c r="C278" s="156">
        <f>B278+ROW()/1000000</f>
        <v/>
      </c>
      <c r="D278" s="156" t="n">
        <v>17</v>
      </c>
      <c r="E278" s="156">
        <f>INDEX($A$262:$A$281,MATCH(LARGE($C$262:$C$281,D278),$C$262:$C$281,0))</f>
        <v/>
      </c>
      <c r="F278" s="187">
        <f>INDEX($B$262:$B$281,MATCH(LARGE($C$262:$C$281,D278),$C$262:$C$281,0))</f>
        <v/>
      </c>
      <c r="G278" s="190">
        <f>IF(SUM($B$262:$B$281)=0,0,SUM($F$262:F278)/SUM($B$262:$B$281)*100)</f>
        <v/>
      </c>
      <c r="H278" s="189">
        <f>IF(SUM($B$262:$B$281)=0,0,F278/SUM($B$262:$B$281))</f>
        <v/>
      </c>
      <c r="I278" s="156" t="n"/>
      <c r="J278" s="156" t="n"/>
    </row>
    <row r="279">
      <c r="A279" s="156" t="inlineStr">
        <is>
          <t>Fog</t>
        </is>
      </c>
      <c r="B279" s="187">
        <f>SUMIFS(DATA_TS!$AL$2:$AL$20001,DATA_TS!$A$2:$A$20001,"&gt;="&amp;Kalkulasi!$B$29,DATA_TS!$A$2:$A$20001,"&lt;="&amp;Kalkulasi!$B$30,DATA_TS!$B$2:$B$20001,Kalkulasi!$B$31,DATA_TS!$E$2:$E$20001,Kalkulasi!$B$34)</f>
        <v/>
      </c>
      <c r="C279" s="156">
        <f>B279+ROW()/1000000</f>
        <v/>
      </c>
      <c r="D279" s="156" t="n">
        <v>18</v>
      </c>
      <c r="E279" s="156">
        <f>INDEX($A$262:$A$281,MATCH(LARGE($C$262:$C$281,D279),$C$262:$C$281,0))</f>
        <v/>
      </c>
      <c r="F279" s="187">
        <f>INDEX($B$262:$B$281,MATCH(LARGE($C$262:$C$281,D279),$C$262:$C$281,0))</f>
        <v/>
      </c>
      <c r="G279" s="190">
        <f>IF(SUM($B$262:$B$281)=0,0,SUM($F$262:F279)/SUM($B$262:$B$281)*100)</f>
        <v/>
      </c>
      <c r="H279" s="189">
        <f>IF(SUM($B$262:$B$281)=0,0,F279/SUM($B$262:$B$281))</f>
        <v/>
      </c>
      <c r="I279" s="156" t="n"/>
      <c r="J279" s="156" t="n"/>
    </row>
    <row r="280">
      <c r="A280" s="156" t="inlineStr">
        <is>
          <t>P2H</t>
        </is>
      </c>
      <c r="B280" s="187">
        <f>SUMIFS(DATA_TS!$AM$2:$AM$20001,DATA_TS!$A$2:$A$20001,"&gt;="&amp;Kalkulasi!$B$29,DATA_TS!$A$2:$A$20001,"&lt;="&amp;Kalkulasi!$B$30,DATA_TS!$B$2:$B$20001,Kalkulasi!$B$31,DATA_TS!$E$2:$E$20001,Kalkulasi!$B$34)</f>
        <v/>
      </c>
      <c r="C280" s="156">
        <f>B280+ROW()/1000000</f>
        <v/>
      </c>
      <c r="D280" s="156" t="n">
        <v>19</v>
      </c>
      <c r="E280" s="156">
        <f>INDEX($A$262:$A$281,MATCH(LARGE($C$262:$C$281,D280),$C$262:$C$281,0))</f>
        <v/>
      </c>
      <c r="F280" s="187">
        <f>INDEX($B$262:$B$281,MATCH(LARGE($C$262:$C$281,D280),$C$262:$C$281,0))</f>
        <v/>
      </c>
      <c r="G280" s="190">
        <f>IF(SUM($B$262:$B$281)=0,0,SUM($F$262:F280)/SUM($B$262:$B$281)*100)</f>
        <v/>
      </c>
      <c r="H280" s="189">
        <f>IF(SUM($B$262:$B$281)=0,0,F280/SUM($B$262:$B$281))</f>
        <v/>
      </c>
      <c r="I280" s="156" t="n"/>
      <c r="J280" s="156" t="n"/>
    </row>
    <row r="281">
      <c r="A281" s="156" t="inlineStr">
        <is>
          <t>Others</t>
        </is>
      </c>
      <c r="B281" s="187">
        <f>SUMIFS(DATA_TS!$AN$2:$AN$20001,DATA_TS!$A$2:$A$20001,"&gt;="&amp;Kalkulasi!$B$29,DATA_TS!$A$2:$A$20001,"&lt;="&amp;Kalkulasi!$B$30,DATA_TS!$B$2:$B$20001,Kalkulasi!$B$31,DATA_TS!$E$2:$E$20001,Kalkulasi!$B$34)</f>
        <v/>
      </c>
      <c r="C281" s="156">
        <f>B281+ROW()/1000000</f>
        <v/>
      </c>
      <c r="D281" s="156" t="n">
        <v>20</v>
      </c>
      <c r="E281" s="156">
        <f>INDEX($A$262:$A$281,MATCH(LARGE($C$262:$C$281,D281),$C$262:$C$281,0))</f>
        <v/>
      </c>
      <c r="F281" s="187">
        <f>INDEX($B$262:$B$281,MATCH(LARGE($C$262:$C$281,D281),$C$262:$C$281,0))</f>
        <v/>
      </c>
      <c r="G281" s="190">
        <f>IF(SUM($B$262:$B$281)=0,0,SUM($F$262:F281)/SUM($B$262:$B$281)*100)</f>
        <v/>
      </c>
      <c r="H281" s="189">
        <f>IF(SUM($B$262:$B$281)=0,0,F281/SUM($B$262:$B$281))</f>
        <v/>
      </c>
      <c r="I281" s="156" t="n"/>
      <c r="J281" s="156" t="n"/>
    </row>
    <row r="282">
      <c r="A282" s="156" t="n"/>
      <c r="B282" s="156" t="n"/>
      <c r="C282" s="156" t="n"/>
      <c r="D282" s="156" t="n"/>
      <c r="E282" s="156" t="n"/>
      <c r="F282" s="156" t="n"/>
      <c r="G282" s="156" t="n"/>
      <c r="H282" s="156" t="n"/>
      <c r="I282" s="156" t="n"/>
      <c r="J282" s="156" t="n"/>
    </row>
    <row r="283">
      <c r="A283" s="156" t="n"/>
      <c r="B283" s="156" t="n"/>
      <c r="C283" s="156" t="n"/>
      <c r="D283" s="156" t="n"/>
      <c r="E283" s="156" t="n"/>
      <c r="F283" s="156" t="n"/>
      <c r="G283" s="156" t="n"/>
      <c r="H283" s="156" t="n"/>
      <c r="I283" s="156" t="n"/>
      <c r="J283" s="156" t="n"/>
    </row>
    <row r="284">
      <c r="A284" s="171" t="inlineStr">
        <is>
          <t>Donut BD</t>
        </is>
      </c>
    </row>
    <row r="285">
      <c r="A285" t="inlineStr">
        <is>
          <t>Tak terjadwal</t>
        </is>
      </c>
      <c r="B285">
        <f>Kalkulasi!$B$61</f>
        <v/>
      </c>
    </row>
    <row r="286">
      <c r="A286" t="inlineStr">
        <is>
          <t>Terjadwal (servis)</t>
        </is>
      </c>
      <c r="B286">
        <f>Kalkulasi!$B$69</f>
        <v/>
      </c>
    </row>
    <row r="289">
      <c r="A289" s="171" t="inlineStr">
        <is>
          <t>Filter — Fuel</t>
        </is>
      </c>
    </row>
    <row r="290">
      <c r="A290" t="inlineStr">
        <is>
          <t>Tanggal mulai</t>
        </is>
      </c>
      <c r="B290" s="192">
        <f>Fuel!$F$6</f>
        <v/>
      </c>
    </row>
    <row r="291">
      <c r="A291" t="inlineStr">
        <is>
          <t>Tanggal akhir</t>
        </is>
      </c>
      <c r="B291" s="192">
        <f>Fuel!$I$6</f>
        <v/>
      </c>
    </row>
    <row r="292">
      <c r="A292" t="inlineStr">
        <is>
          <t>Jumlah hari</t>
        </is>
      </c>
      <c r="B292" s="193">
        <f>MAX(0,Kalkulasi!$B$291-Kalkulasi!$B$290+1)</f>
        <v/>
      </c>
    </row>
    <row r="293">
      <c r="A293" t="inlineStr">
        <is>
          <t>Kriteria kelompok</t>
        </is>
      </c>
      <c r="B293">
        <f>IF(Fuel!$L$6="Semua","*",Fuel!$L$6)</f>
        <v/>
      </c>
    </row>
    <row r="295">
      <c r="A295" s="171" t="inlineStr">
        <is>
          <t>KPI Fuel</t>
        </is>
      </c>
    </row>
    <row r="296">
      <c r="A296" t="inlineStr">
        <is>
          <t>Fuel mining</t>
        </is>
      </c>
      <c r="B296" s="194">
        <f>SUMIFS(DATA_FUEL!$F$2:$F$20001,DATA_FUEL!$A$2:$A$20001,"&gt;="&amp;Kalkulasi!$B$290,DATA_FUEL!$A$2:$A$20001,"&lt;="&amp;Kalkulasi!$B$291,DATA_FUEL!$D$2:$D$20001,"Mining")</f>
        <v/>
      </c>
    </row>
    <row r="297">
      <c r="A297" t="inlineStr">
        <is>
          <t>Fuel aux</t>
        </is>
      </c>
      <c r="B297" s="194">
        <f>SUMIFS(DATA_FUEL!$F$2:$F$20001,DATA_FUEL!$A$2:$A$20001,"&gt;="&amp;Kalkulasi!$B$290,DATA_FUEL!$A$2:$A$20001,"&lt;="&amp;Kalkulasi!$B$291,DATA_FUEL!$D$2:$D$20001,"Aux")</f>
        <v/>
      </c>
    </row>
    <row r="298">
      <c r="A298" t="inlineStr">
        <is>
          <t>Fuel vendor</t>
        </is>
      </c>
      <c r="B298" s="194">
        <f>SUMIFS(DATA_FUEL!$F$2:$F$20001,DATA_FUEL!$A$2:$A$20001,"&gt;="&amp;Kalkulasi!$B$290,DATA_FUEL!$A$2:$A$20001,"&lt;="&amp;Kalkulasi!$B$291,DATA_FUEL!$D$2:$D$20001,"Vendor")</f>
        <v/>
      </c>
    </row>
    <row r="299">
      <c r="A299" t="inlineStr">
        <is>
          <t>Fuel all</t>
        </is>
      </c>
      <c r="B299" s="194">
        <f>Kalkulasi!$B$296+Kalkulasi!$B$297+Kalkulasi!$B$298</f>
        <v/>
      </c>
    </row>
    <row r="300">
      <c r="A300" t="inlineStr">
        <is>
          <t>Plan fuel mining</t>
        </is>
      </c>
      <c r="B300" s="194">
        <f>SUMIFS(DATA_PLAN!$D$2:$D$20001,DATA_PLAN!$A$2:$A$20001,"&gt;="&amp;Kalkulasi!$B$290,DATA_PLAN!$A$2:$A$20001,"&lt;="&amp;Kalkulasi!$B$291)</f>
        <v/>
      </c>
    </row>
    <row r="301">
      <c r="A301" t="inlineStr">
        <is>
          <t>Plan fuel all</t>
        </is>
      </c>
      <c r="B301" s="194">
        <f>SUMIFS(DATA_PLAN!$E$2:$E$20001,DATA_PLAN!$A$2:$A$20001,"&gt;="&amp;Kalkulasi!$B$290,DATA_PLAN!$A$2:$A$20001,"&lt;="&amp;Kalkulasi!$B$291)</f>
        <v/>
      </c>
    </row>
    <row r="302">
      <c r="A302" t="inlineStr">
        <is>
          <t>Volume (OB + coal/1,3)</t>
        </is>
      </c>
      <c r="B302" s="194">
        <f>SUMIFS(DATA_TS!$Q$2:$Q$20001,DATA_TS!$A$2:$A$20001,"&gt;="&amp;Kalkulasi!$B$290,DATA_TS!$A$2:$A$20001,"&lt;="&amp;Kalkulasi!$B$291,DATA_TS!$E$2:$E$20001,"Hauler")+SUMIFS(DATA_TS!$R$2:$R$20001,DATA_TS!$A$2:$A$20001,"&gt;="&amp;Kalkulasi!$B$290,DATA_TS!$A$2:$A$20001,"&lt;="&amp;Kalkulasi!$B$291,DATA_TS!$E$2:$E$20001,"Hauler")/1.3</f>
        <v/>
      </c>
    </row>
    <row r="303">
      <c r="A303" t="inlineStr">
        <is>
          <t>Volume plan</t>
        </is>
      </c>
      <c r="B303" s="194">
        <f>SUMIFS(DATA_PLAN!$B$2:$B$20001,DATA_PLAN!$A$2:$A$20001,"&gt;="&amp;Kalkulasi!$B$290,DATA_PLAN!$A$2:$A$20001,"&lt;="&amp;Kalkulasi!$B$291)+SUMIFS(DATA_PLAN!$C$2:$C$20001,DATA_PLAN!$A$2:$A$20001,"&gt;="&amp;Kalkulasi!$B$290,DATA_PLAN!$A$2:$A$20001,"&lt;="&amp;Kalkulasi!$B$291)/1.3</f>
        <v/>
      </c>
    </row>
    <row r="304">
      <c r="A304" t="inlineStr">
        <is>
          <t>FR mining</t>
        </is>
      </c>
      <c r="B304" s="195">
        <f>IF(Kalkulasi!$B$302=0,0,Kalkulasi!$B$296/Kalkulasi!$B$302)</f>
        <v/>
      </c>
    </row>
    <row r="305">
      <c r="A305" t="inlineStr">
        <is>
          <t>FR all</t>
        </is>
      </c>
      <c r="B305" s="195">
        <f>IF(Kalkulasi!$B$302=0,0,Kalkulasi!$B$299/Kalkulasi!$B$302)</f>
        <v/>
      </c>
    </row>
    <row r="306">
      <c r="A306" t="inlineStr">
        <is>
          <t>FR mining plan</t>
        </is>
      </c>
      <c r="B306" s="195">
        <f>IF(Kalkulasi!$B$303=0,0,Kalkulasi!$B$300/Kalkulasi!$B$303)</f>
        <v/>
      </c>
    </row>
    <row r="307">
      <c r="A307" t="inlineStr">
        <is>
          <t>FR all plan</t>
        </is>
      </c>
      <c r="B307" s="195">
        <f>IF(Kalkulasi!$B$303=0,0,Kalkulasi!$B$301/Kalkulasi!$B$303)</f>
        <v/>
      </c>
    </row>
    <row r="309">
      <c r="A309" s="171" t="inlineStr">
        <is>
          <t>Harian — Fuel</t>
        </is>
      </c>
    </row>
    <row r="310">
      <c r="A310" s="176" t="inlineStr">
        <is>
          <t>No</t>
        </is>
      </c>
      <c r="B310" s="176" t="inlineStr">
        <is>
          <t>Tanggal</t>
        </is>
      </c>
      <c r="C310" s="176" t="inlineStr">
        <is>
          <t>Label</t>
        </is>
      </c>
      <c r="D310" s="176" t="inlineStr">
        <is>
          <t>Mining</t>
        </is>
      </c>
      <c r="E310" s="176" t="inlineStr">
        <is>
          <t>Aux</t>
        </is>
      </c>
      <c r="F310" s="176" t="inlineStr">
        <is>
          <t>Vendor</t>
        </is>
      </c>
      <c r="G310" s="176" t="inlineStr">
        <is>
          <t>Plan fuel all</t>
        </is>
      </c>
      <c r="H310" s="176" t="inlineStr">
        <is>
          <t>FR mining</t>
        </is>
      </c>
      <c r="I310" s="176" t="inlineStr">
        <is>
          <t>Plan FR mining</t>
        </is>
      </c>
      <c r="J310" s="176" t="inlineStr">
        <is>
          <t>FR all</t>
        </is>
      </c>
      <c r="K310" s="176" t="inlineStr">
        <is>
          <t>Plan FR all</t>
        </is>
      </c>
    </row>
    <row r="311">
      <c r="A311" t="n">
        <v>1</v>
      </c>
      <c r="B311" s="192">
        <f>IF(Kalkulasi!$B$290+A311-1&lt;=Kalkulasi!$B$291,Kalkulasi!$B$290+A311-1,"")</f>
        <v/>
      </c>
      <c r="C311">
        <f>IF(B311="","",TEXT(B311,"d"))</f>
        <v/>
      </c>
      <c r="D311" s="194">
        <f>IF($B311="","",SUMIFS(DATA_FUEL!$F$2:$F$20001,DATA_FUEL!$A$2:$A$20001,$B311,DATA_FUEL!$D$2:$D$20001,"Mining"))</f>
        <v/>
      </c>
      <c r="E311" s="194">
        <f>IF($B311="","",SUMIFS(DATA_FUEL!$F$2:$F$20001,DATA_FUEL!$A$2:$A$20001,$B311,DATA_FUEL!$D$2:$D$20001,"Aux"))</f>
        <v/>
      </c>
      <c r="F311" s="194">
        <f>IF($B311="","",SUMIFS(DATA_FUEL!$F$2:$F$20001,DATA_FUEL!$A$2:$A$20001,$B311,DATA_FUEL!$D$2:$D$20001,"Vendor"))</f>
        <v/>
      </c>
      <c r="G311" s="194">
        <f>IF($B311="","",SUMIFS(DATA_PLAN!$E$2:$E$20001,DATA_PLAN!$A$2:$A$20001,$B311))</f>
        <v/>
      </c>
      <c r="H311" s="196">
        <f>IF($B311="",NA(),IF((SUMIFS(DATA_TS!$Q$2:$Q$20001,DATA_TS!$A$2:$A$20001,$B311,DATA_TS!$E$2:$E$20001,"Hauler")+SUMIFS(DATA_TS!$R$2:$R$20001,DATA_TS!$A$2:$A$20001,$B311,DATA_TS!$E$2:$E$20001,"Hauler")/1.3)=0,NA(),D311/(SUMIFS(DATA_TS!$Q$2:$Q$20001,DATA_TS!$A$2:$A$20001,$B311,DATA_TS!$E$2:$E$20001,"Hauler")+SUMIFS(DATA_TS!$R$2:$R$20001,DATA_TS!$A$2:$A$20001,$B311,DATA_TS!$E$2:$E$20001,"Hauler")/1.3)))</f>
        <v/>
      </c>
      <c r="I311" s="196">
        <f>IF($B311="",NA(),IF((SUMIFS(DATA_PLAN!$B$2:$B$20001,DATA_PLAN!$A$2:$A$20001,$B311)+SUMIFS(DATA_PLAN!$C$2:$C$20001,DATA_PLAN!$A$2:$A$20001,$B311)/1.3)=0,NA(),SUMIFS(DATA_PLAN!$D$2:$D$20001,DATA_PLAN!$A$2:$A$20001,$B311)/(SUMIFS(DATA_PLAN!$B$2:$B$20001,DATA_PLAN!$A$2:$A$20001,$B311)+SUMIFS(DATA_PLAN!$C$2:$C$20001,DATA_PLAN!$A$2:$A$20001,$B311)/1.3)))</f>
        <v/>
      </c>
      <c r="J311" s="196">
        <f>IF($B311="",NA(),IF((SUMIFS(DATA_TS!$Q$2:$Q$20001,DATA_TS!$A$2:$A$20001,$B311,DATA_TS!$E$2:$E$20001,"Hauler")+SUMIFS(DATA_TS!$R$2:$R$20001,DATA_TS!$A$2:$A$20001,$B311,DATA_TS!$E$2:$E$20001,"Hauler")/1.3)=0,NA(),(D311+E311+F311)/(SUMIFS(DATA_TS!$Q$2:$Q$20001,DATA_TS!$A$2:$A$20001,$B311,DATA_TS!$E$2:$E$20001,"Hauler")+SUMIFS(DATA_TS!$R$2:$R$20001,DATA_TS!$A$2:$A$20001,$B311,DATA_TS!$E$2:$E$20001,"Hauler")/1.3)))</f>
        <v/>
      </c>
      <c r="K311" s="196">
        <f>IF($B311="",NA(),IF((SUMIFS(DATA_PLAN!$B$2:$B$20001,DATA_PLAN!$A$2:$A$20001,$B311)+SUMIFS(DATA_PLAN!$C$2:$C$20001,DATA_PLAN!$A$2:$A$20001,$B311)/1.3)=0,NA(),G311/(SUMIFS(DATA_PLAN!$B$2:$B$20001,DATA_PLAN!$A$2:$A$20001,$B311)+SUMIFS(DATA_PLAN!$C$2:$C$20001,DATA_PLAN!$A$2:$A$20001,$B311)/1.3)))</f>
        <v/>
      </c>
    </row>
    <row r="312">
      <c r="A312" t="n">
        <v>2</v>
      </c>
      <c r="B312" s="192">
        <f>IF(Kalkulasi!$B$290+A312-1&lt;=Kalkulasi!$B$291,Kalkulasi!$B$290+A312-1,"")</f>
        <v/>
      </c>
      <c r="C312">
        <f>IF(B312="","",TEXT(B312,"d"))</f>
        <v/>
      </c>
      <c r="D312" s="194">
        <f>IF($B312="","",SUMIFS(DATA_FUEL!$F$2:$F$20001,DATA_FUEL!$A$2:$A$20001,$B312,DATA_FUEL!$D$2:$D$20001,"Mining"))</f>
        <v/>
      </c>
      <c r="E312" s="194">
        <f>IF($B312="","",SUMIFS(DATA_FUEL!$F$2:$F$20001,DATA_FUEL!$A$2:$A$20001,$B312,DATA_FUEL!$D$2:$D$20001,"Aux"))</f>
        <v/>
      </c>
      <c r="F312" s="194">
        <f>IF($B312="","",SUMIFS(DATA_FUEL!$F$2:$F$20001,DATA_FUEL!$A$2:$A$20001,$B312,DATA_FUEL!$D$2:$D$20001,"Vendor"))</f>
        <v/>
      </c>
      <c r="G312" s="194">
        <f>IF($B312="","",SUMIFS(DATA_PLAN!$E$2:$E$20001,DATA_PLAN!$A$2:$A$20001,$B312))</f>
        <v/>
      </c>
      <c r="H312" s="196">
        <f>IF($B312="",NA(),IF((SUMIFS(DATA_TS!$Q$2:$Q$20001,DATA_TS!$A$2:$A$20001,$B312,DATA_TS!$E$2:$E$20001,"Hauler")+SUMIFS(DATA_TS!$R$2:$R$20001,DATA_TS!$A$2:$A$20001,$B312,DATA_TS!$E$2:$E$20001,"Hauler")/1.3)=0,NA(),D312/(SUMIFS(DATA_TS!$Q$2:$Q$20001,DATA_TS!$A$2:$A$20001,$B312,DATA_TS!$E$2:$E$20001,"Hauler")+SUMIFS(DATA_TS!$R$2:$R$20001,DATA_TS!$A$2:$A$20001,$B312,DATA_TS!$E$2:$E$20001,"Hauler")/1.3)))</f>
        <v/>
      </c>
      <c r="I312" s="196">
        <f>IF($B312="",NA(),IF((SUMIFS(DATA_PLAN!$B$2:$B$20001,DATA_PLAN!$A$2:$A$20001,$B312)+SUMIFS(DATA_PLAN!$C$2:$C$20001,DATA_PLAN!$A$2:$A$20001,$B312)/1.3)=0,NA(),SUMIFS(DATA_PLAN!$D$2:$D$20001,DATA_PLAN!$A$2:$A$20001,$B312)/(SUMIFS(DATA_PLAN!$B$2:$B$20001,DATA_PLAN!$A$2:$A$20001,$B312)+SUMIFS(DATA_PLAN!$C$2:$C$20001,DATA_PLAN!$A$2:$A$20001,$B312)/1.3)))</f>
        <v/>
      </c>
      <c r="J312" s="196">
        <f>IF($B312="",NA(),IF((SUMIFS(DATA_TS!$Q$2:$Q$20001,DATA_TS!$A$2:$A$20001,$B312,DATA_TS!$E$2:$E$20001,"Hauler")+SUMIFS(DATA_TS!$R$2:$R$20001,DATA_TS!$A$2:$A$20001,$B312,DATA_TS!$E$2:$E$20001,"Hauler")/1.3)=0,NA(),(D312+E312+F312)/(SUMIFS(DATA_TS!$Q$2:$Q$20001,DATA_TS!$A$2:$A$20001,$B312,DATA_TS!$E$2:$E$20001,"Hauler")+SUMIFS(DATA_TS!$R$2:$R$20001,DATA_TS!$A$2:$A$20001,$B312,DATA_TS!$E$2:$E$20001,"Hauler")/1.3)))</f>
        <v/>
      </c>
      <c r="K312" s="196">
        <f>IF($B312="",NA(),IF((SUMIFS(DATA_PLAN!$B$2:$B$20001,DATA_PLAN!$A$2:$A$20001,$B312)+SUMIFS(DATA_PLAN!$C$2:$C$20001,DATA_PLAN!$A$2:$A$20001,$B312)/1.3)=0,NA(),G312/(SUMIFS(DATA_PLAN!$B$2:$B$20001,DATA_PLAN!$A$2:$A$20001,$B312)+SUMIFS(DATA_PLAN!$C$2:$C$20001,DATA_PLAN!$A$2:$A$20001,$B312)/1.3)))</f>
        <v/>
      </c>
    </row>
    <row r="313">
      <c r="A313" t="n">
        <v>3</v>
      </c>
      <c r="B313" s="192">
        <f>IF(Kalkulasi!$B$290+A313-1&lt;=Kalkulasi!$B$291,Kalkulasi!$B$290+A313-1,"")</f>
        <v/>
      </c>
      <c r="C313">
        <f>IF(B313="","",TEXT(B313,"d"))</f>
        <v/>
      </c>
      <c r="D313" s="194">
        <f>IF($B313="","",SUMIFS(DATA_FUEL!$F$2:$F$20001,DATA_FUEL!$A$2:$A$20001,$B313,DATA_FUEL!$D$2:$D$20001,"Mining"))</f>
        <v/>
      </c>
      <c r="E313" s="194">
        <f>IF($B313="","",SUMIFS(DATA_FUEL!$F$2:$F$20001,DATA_FUEL!$A$2:$A$20001,$B313,DATA_FUEL!$D$2:$D$20001,"Aux"))</f>
        <v/>
      </c>
      <c r="F313" s="194">
        <f>IF($B313="","",SUMIFS(DATA_FUEL!$F$2:$F$20001,DATA_FUEL!$A$2:$A$20001,$B313,DATA_FUEL!$D$2:$D$20001,"Vendor"))</f>
        <v/>
      </c>
      <c r="G313" s="194">
        <f>IF($B313="","",SUMIFS(DATA_PLAN!$E$2:$E$20001,DATA_PLAN!$A$2:$A$20001,$B313))</f>
        <v/>
      </c>
      <c r="H313" s="196">
        <f>IF($B313="",NA(),IF((SUMIFS(DATA_TS!$Q$2:$Q$20001,DATA_TS!$A$2:$A$20001,$B313,DATA_TS!$E$2:$E$20001,"Hauler")+SUMIFS(DATA_TS!$R$2:$R$20001,DATA_TS!$A$2:$A$20001,$B313,DATA_TS!$E$2:$E$20001,"Hauler")/1.3)=0,NA(),D313/(SUMIFS(DATA_TS!$Q$2:$Q$20001,DATA_TS!$A$2:$A$20001,$B313,DATA_TS!$E$2:$E$20001,"Hauler")+SUMIFS(DATA_TS!$R$2:$R$20001,DATA_TS!$A$2:$A$20001,$B313,DATA_TS!$E$2:$E$20001,"Hauler")/1.3)))</f>
        <v/>
      </c>
      <c r="I313" s="196">
        <f>IF($B313="",NA(),IF((SUMIFS(DATA_PLAN!$B$2:$B$20001,DATA_PLAN!$A$2:$A$20001,$B313)+SUMIFS(DATA_PLAN!$C$2:$C$20001,DATA_PLAN!$A$2:$A$20001,$B313)/1.3)=0,NA(),SUMIFS(DATA_PLAN!$D$2:$D$20001,DATA_PLAN!$A$2:$A$20001,$B313)/(SUMIFS(DATA_PLAN!$B$2:$B$20001,DATA_PLAN!$A$2:$A$20001,$B313)+SUMIFS(DATA_PLAN!$C$2:$C$20001,DATA_PLAN!$A$2:$A$20001,$B313)/1.3)))</f>
        <v/>
      </c>
      <c r="J313" s="196">
        <f>IF($B313="",NA(),IF((SUMIFS(DATA_TS!$Q$2:$Q$20001,DATA_TS!$A$2:$A$20001,$B313,DATA_TS!$E$2:$E$20001,"Hauler")+SUMIFS(DATA_TS!$R$2:$R$20001,DATA_TS!$A$2:$A$20001,$B313,DATA_TS!$E$2:$E$20001,"Hauler")/1.3)=0,NA(),(D313+E313+F313)/(SUMIFS(DATA_TS!$Q$2:$Q$20001,DATA_TS!$A$2:$A$20001,$B313,DATA_TS!$E$2:$E$20001,"Hauler")+SUMIFS(DATA_TS!$R$2:$R$20001,DATA_TS!$A$2:$A$20001,$B313,DATA_TS!$E$2:$E$20001,"Hauler")/1.3)))</f>
        <v/>
      </c>
      <c r="K313" s="196">
        <f>IF($B313="",NA(),IF((SUMIFS(DATA_PLAN!$B$2:$B$20001,DATA_PLAN!$A$2:$A$20001,$B313)+SUMIFS(DATA_PLAN!$C$2:$C$20001,DATA_PLAN!$A$2:$A$20001,$B313)/1.3)=0,NA(),G313/(SUMIFS(DATA_PLAN!$B$2:$B$20001,DATA_PLAN!$A$2:$A$20001,$B313)+SUMIFS(DATA_PLAN!$C$2:$C$20001,DATA_PLAN!$A$2:$A$20001,$B313)/1.3)))</f>
        <v/>
      </c>
    </row>
    <row r="314">
      <c r="A314" t="n">
        <v>4</v>
      </c>
      <c r="B314" s="192">
        <f>IF(Kalkulasi!$B$290+A314-1&lt;=Kalkulasi!$B$291,Kalkulasi!$B$290+A314-1,"")</f>
        <v/>
      </c>
      <c r="C314">
        <f>IF(B314="","",TEXT(B314,"d"))</f>
        <v/>
      </c>
      <c r="D314" s="194">
        <f>IF($B314="","",SUMIFS(DATA_FUEL!$F$2:$F$20001,DATA_FUEL!$A$2:$A$20001,$B314,DATA_FUEL!$D$2:$D$20001,"Mining"))</f>
        <v/>
      </c>
      <c r="E314" s="194">
        <f>IF($B314="","",SUMIFS(DATA_FUEL!$F$2:$F$20001,DATA_FUEL!$A$2:$A$20001,$B314,DATA_FUEL!$D$2:$D$20001,"Aux"))</f>
        <v/>
      </c>
      <c r="F314" s="194">
        <f>IF($B314="","",SUMIFS(DATA_FUEL!$F$2:$F$20001,DATA_FUEL!$A$2:$A$20001,$B314,DATA_FUEL!$D$2:$D$20001,"Vendor"))</f>
        <v/>
      </c>
      <c r="G314" s="194">
        <f>IF($B314="","",SUMIFS(DATA_PLAN!$E$2:$E$20001,DATA_PLAN!$A$2:$A$20001,$B314))</f>
        <v/>
      </c>
      <c r="H314" s="196">
        <f>IF($B314="",NA(),IF((SUMIFS(DATA_TS!$Q$2:$Q$20001,DATA_TS!$A$2:$A$20001,$B314,DATA_TS!$E$2:$E$20001,"Hauler")+SUMIFS(DATA_TS!$R$2:$R$20001,DATA_TS!$A$2:$A$20001,$B314,DATA_TS!$E$2:$E$20001,"Hauler")/1.3)=0,NA(),D314/(SUMIFS(DATA_TS!$Q$2:$Q$20001,DATA_TS!$A$2:$A$20001,$B314,DATA_TS!$E$2:$E$20001,"Hauler")+SUMIFS(DATA_TS!$R$2:$R$20001,DATA_TS!$A$2:$A$20001,$B314,DATA_TS!$E$2:$E$20001,"Hauler")/1.3)))</f>
        <v/>
      </c>
      <c r="I314" s="196">
        <f>IF($B314="",NA(),IF((SUMIFS(DATA_PLAN!$B$2:$B$20001,DATA_PLAN!$A$2:$A$20001,$B314)+SUMIFS(DATA_PLAN!$C$2:$C$20001,DATA_PLAN!$A$2:$A$20001,$B314)/1.3)=0,NA(),SUMIFS(DATA_PLAN!$D$2:$D$20001,DATA_PLAN!$A$2:$A$20001,$B314)/(SUMIFS(DATA_PLAN!$B$2:$B$20001,DATA_PLAN!$A$2:$A$20001,$B314)+SUMIFS(DATA_PLAN!$C$2:$C$20001,DATA_PLAN!$A$2:$A$20001,$B314)/1.3)))</f>
        <v/>
      </c>
      <c r="J314" s="196">
        <f>IF($B314="",NA(),IF((SUMIFS(DATA_TS!$Q$2:$Q$20001,DATA_TS!$A$2:$A$20001,$B314,DATA_TS!$E$2:$E$20001,"Hauler")+SUMIFS(DATA_TS!$R$2:$R$20001,DATA_TS!$A$2:$A$20001,$B314,DATA_TS!$E$2:$E$20001,"Hauler")/1.3)=0,NA(),(D314+E314+F314)/(SUMIFS(DATA_TS!$Q$2:$Q$20001,DATA_TS!$A$2:$A$20001,$B314,DATA_TS!$E$2:$E$20001,"Hauler")+SUMIFS(DATA_TS!$R$2:$R$20001,DATA_TS!$A$2:$A$20001,$B314,DATA_TS!$E$2:$E$20001,"Hauler")/1.3)))</f>
        <v/>
      </c>
      <c r="K314" s="196">
        <f>IF($B314="",NA(),IF((SUMIFS(DATA_PLAN!$B$2:$B$20001,DATA_PLAN!$A$2:$A$20001,$B314)+SUMIFS(DATA_PLAN!$C$2:$C$20001,DATA_PLAN!$A$2:$A$20001,$B314)/1.3)=0,NA(),G314/(SUMIFS(DATA_PLAN!$B$2:$B$20001,DATA_PLAN!$A$2:$A$20001,$B314)+SUMIFS(DATA_PLAN!$C$2:$C$20001,DATA_PLAN!$A$2:$A$20001,$B314)/1.3)))</f>
        <v/>
      </c>
    </row>
    <row r="315">
      <c r="A315" t="n">
        <v>5</v>
      </c>
      <c r="B315" s="192">
        <f>IF(Kalkulasi!$B$290+A315-1&lt;=Kalkulasi!$B$291,Kalkulasi!$B$290+A315-1,"")</f>
        <v/>
      </c>
      <c r="C315">
        <f>IF(B315="","",TEXT(B315,"d"))</f>
        <v/>
      </c>
      <c r="D315" s="194">
        <f>IF($B315="","",SUMIFS(DATA_FUEL!$F$2:$F$20001,DATA_FUEL!$A$2:$A$20001,$B315,DATA_FUEL!$D$2:$D$20001,"Mining"))</f>
        <v/>
      </c>
      <c r="E315" s="194">
        <f>IF($B315="","",SUMIFS(DATA_FUEL!$F$2:$F$20001,DATA_FUEL!$A$2:$A$20001,$B315,DATA_FUEL!$D$2:$D$20001,"Aux"))</f>
        <v/>
      </c>
      <c r="F315" s="194">
        <f>IF($B315="","",SUMIFS(DATA_FUEL!$F$2:$F$20001,DATA_FUEL!$A$2:$A$20001,$B315,DATA_FUEL!$D$2:$D$20001,"Vendor"))</f>
        <v/>
      </c>
      <c r="G315" s="194">
        <f>IF($B315="","",SUMIFS(DATA_PLAN!$E$2:$E$20001,DATA_PLAN!$A$2:$A$20001,$B315))</f>
        <v/>
      </c>
      <c r="H315" s="196">
        <f>IF($B315="",NA(),IF((SUMIFS(DATA_TS!$Q$2:$Q$20001,DATA_TS!$A$2:$A$20001,$B315,DATA_TS!$E$2:$E$20001,"Hauler")+SUMIFS(DATA_TS!$R$2:$R$20001,DATA_TS!$A$2:$A$20001,$B315,DATA_TS!$E$2:$E$20001,"Hauler")/1.3)=0,NA(),D315/(SUMIFS(DATA_TS!$Q$2:$Q$20001,DATA_TS!$A$2:$A$20001,$B315,DATA_TS!$E$2:$E$20001,"Hauler")+SUMIFS(DATA_TS!$R$2:$R$20001,DATA_TS!$A$2:$A$20001,$B315,DATA_TS!$E$2:$E$20001,"Hauler")/1.3)))</f>
        <v/>
      </c>
      <c r="I315" s="196">
        <f>IF($B315="",NA(),IF((SUMIFS(DATA_PLAN!$B$2:$B$20001,DATA_PLAN!$A$2:$A$20001,$B315)+SUMIFS(DATA_PLAN!$C$2:$C$20001,DATA_PLAN!$A$2:$A$20001,$B315)/1.3)=0,NA(),SUMIFS(DATA_PLAN!$D$2:$D$20001,DATA_PLAN!$A$2:$A$20001,$B315)/(SUMIFS(DATA_PLAN!$B$2:$B$20001,DATA_PLAN!$A$2:$A$20001,$B315)+SUMIFS(DATA_PLAN!$C$2:$C$20001,DATA_PLAN!$A$2:$A$20001,$B315)/1.3)))</f>
        <v/>
      </c>
      <c r="J315" s="196">
        <f>IF($B315="",NA(),IF((SUMIFS(DATA_TS!$Q$2:$Q$20001,DATA_TS!$A$2:$A$20001,$B315,DATA_TS!$E$2:$E$20001,"Hauler")+SUMIFS(DATA_TS!$R$2:$R$20001,DATA_TS!$A$2:$A$20001,$B315,DATA_TS!$E$2:$E$20001,"Hauler")/1.3)=0,NA(),(D315+E315+F315)/(SUMIFS(DATA_TS!$Q$2:$Q$20001,DATA_TS!$A$2:$A$20001,$B315,DATA_TS!$E$2:$E$20001,"Hauler")+SUMIFS(DATA_TS!$R$2:$R$20001,DATA_TS!$A$2:$A$20001,$B315,DATA_TS!$E$2:$E$20001,"Hauler")/1.3)))</f>
        <v/>
      </c>
      <c r="K315" s="196">
        <f>IF($B315="",NA(),IF((SUMIFS(DATA_PLAN!$B$2:$B$20001,DATA_PLAN!$A$2:$A$20001,$B315)+SUMIFS(DATA_PLAN!$C$2:$C$20001,DATA_PLAN!$A$2:$A$20001,$B315)/1.3)=0,NA(),G315/(SUMIFS(DATA_PLAN!$B$2:$B$20001,DATA_PLAN!$A$2:$A$20001,$B315)+SUMIFS(DATA_PLAN!$C$2:$C$20001,DATA_PLAN!$A$2:$A$20001,$B315)/1.3)))</f>
        <v/>
      </c>
    </row>
    <row r="316">
      <c r="A316" t="n">
        <v>6</v>
      </c>
      <c r="B316" s="192">
        <f>IF(Kalkulasi!$B$290+A316-1&lt;=Kalkulasi!$B$291,Kalkulasi!$B$290+A316-1,"")</f>
        <v/>
      </c>
      <c r="C316">
        <f>IF(B316="","",TEXT(B316,"d"))</f>
        <v/>
      </c>
      <c r="D316" s="194">
        <f>IF($B316="","",SUMIFS(DATA_FUEL!$F$2:$F$20001,DATA_FUEL!$A$2:$A$20001,$B316,DATA_FUEL!$D$2:$D$20001,"Mining"))</f>
        <v/>
      </c>
      <c r="E316" s="194">
        <f>IF($B316="","",SUMIFS(DATA_FUEL!$F$2:$F$20001,DATA_FUEL!$A$2:$A$20001,$B316,DATA_FUEL!$D$2:$D$20001,"Aux"))</f>
        <v/>
      </c>
      <c r="F316" s="194">
        <f>IF($B316="","",SUMIFS(DATA_FUEL!$F$2:$F$20001,DATA_FUEL!$A$2:$A$20001,$B316,DATA_FUEL!$D$2:$D$20001,"Vendor"))</f>
        <v/>
      </c>
      <c r="G316" s="194">
        <f>IF($B316="","",SUMIFS(DATA_PLAN!$E$2:$E$20001,DATA_PLAN!$A$2:$A$20001,$B316))</f>
        <v/>
      </c>
      <c r="H316" s="196">
        <f>IF($B316="",NA(),IF((SUMIFS(DATA_TS!$Q$2:$Q$20001,DATA_TS!$A$2:$A$20001,$B316,DATA_TS!$E$2:$E$20001,"Hauler")+SUMIFS(DATA_TS!$R$2:$R$20001,DATA_TS!$A$2:$A$20001,$B316,DATA_TS!$E$2:$E$20001,"Hauler")/1.3)=0,NA(),D316/(SUMIFS(DATA_TS!$Q$2:$Q$20001,DATA_TS!$A$2:$A$20001,$B316,DATA_TS!$E$2:$E$20001,"Hauler")+SUMIFS(DATA_TS!$R$2:$R$20001,DATA_TS!$A$2:$A$20001,$B316,DATA_TS!$E$2:$E$20001,"Hauler")/1.3)))</f>
        <v/>
      </c>
      <c r="I316" s="196">
        <f>IF($B316="",NA(),IF((SUMIFS(DATA_PLAN!$B$2:$B$20001,DATA_PLAN!$A$2:$A$20001,$B316)+SUMIFS(DATA_PLAN!$C$2:$C$20001,DATA_PLAN!$A$2:$A$20001,$B316)/1.3)=0,NA(),SUMIFS(DATA_PLAN!$D$2:$D$20001,DATA_PLAN!$A$2:$A$20001,$B316)/(SUMIFS(DATA_PLAN!$B$2:$B$20001,DATA_PLAN!$A$2:$A$20001,$B316)+SUMIFS(DATA_PLAN!$C$2:$C$20001,DATA_PLAN!$A$2:$A$20001,$B316)/1.3)))</f>
        <v/>
      </c>
      <c r="J316" s="196">
        <f>IF($B316="",NA(),IF((SUMIFS(DATA_TS!$Q$2:$Q$20001,DATA_TS!$A$2:$A$20001,$B316,DATA_TS!$E$2:$E$20001,"Hauler")+SUMIFS(DATA_TS!$R$2:$R$20001,DATA_TS!$A$2:$A$20001,$B316,DATA_TS!$E$2:$E$20001,"Hauler")/1.3)=0,NA(),(D316+E316+F316)/(SUMIFS(DATA_TS!$Q$2:$Q$20001,DATA_TS!$A$2:$A$20001,$B316,DATA_TS!$E$2:$E$20001,"Hauler")+SUMIFS(DATA_TS!$R$2:$R$20001,DATA_TS!$A$2:$A$20001,$B316,DATA_TS!$E$2:$E$20001,"Hauler")/1.3)))</f>
        <v/>
      </c>
      <c r="K316" s="196">
        <f>IF($B316="",NA(),IF((SUMIFS(DATA_PLAN!$B$2:$B$20001,DATA_PLAN!$A$2:$A$20001,$B316)+SUMIFS(DATA_PLAN!$C$2:$C$20001,DATA_PLAN!$A$2:$A$20001,$B316)/1.3)=0,NA(),G316/(SUMIFS(DATA_PLAN!$B$2:$B$20001,DATA_PLAN!$A$2:$A$20001,$B316)+SUMIFS(DATA_PLAN!$C$2:$C$20001,DATA_PLAN!$A$2:$A$20001,$B316)/1.3)))</f>
        <v/>
      </c>
    </row>
    <row r="317">
      <c r="A317" t="n">
        <v>7</v>
      </c>
      <c r="B317" s="192">
        <f>IF(Kalkulasi!$B$290+A317-1&lt;=Kalkulasi!$B$291,Kalkulasi!$B$290+A317-1,"")</f>
        <v/>
      </c>
      <c r="C317">
        <f>IF(B317="","",TEXT(B317,"d"))</f>
        <v/>
      </c>
      <c r="D317" s="194">
        <f>IF($B317="","",SUMIFS(DATA_FUEL!$F$2:$F$20001,DATA_FUEL!$A$2:$A$20001,$B317,DATA_FUEL!$D$2:$D$20001,"Mining"))</f>
        <v/>
      </c>
      <c r="E317" s="194">
        <f>IF($B317="","",SUMIFS(DATA_FUEL!$F$2:$F$20001,DATA_FUEL!$A$2:$A$20001,$B317,DATA_FUEL!$D$2:$D$20001,"Aux"))</f>
        <v/>
      </c>
      <c r="F317" s="194">
        <f>IF($B317="","",SUMIFS(DATA_FUEL!$F$2:$F$20001,DATA_FUEL!$A$2:$A$20001,$B317,DATA_FUEL!$D$2:$D$20001,"Vendor"))</f>
        <v/>
      </c>
      <c r="G317" s="194">
        <f>IF($B317="","",SUMIFS(DATA_PLAN!$E$2:$E$20001,DATA_PLAN!$A$2:$A$20001,$B317))</f>
        <v/>
      </c>
      <c r="H317" s="196">
        <f>IF($B317="",NA(),IF((SUMIFS(DATA_TS!$Q$2:$Q$20001,DATA_TS!$A$2:$A$20001,$B317,DATA_TS!$E$2:$E$20001,"Hauler")+SUMIFS(DATA_TS!$R$2:$R$20001,DATA_TS!$A$2:$A$20001,$B317,DATA_TS!$E$2:$E$20001,"Hauler")/1.3)=0,NA(),D317/(SUMIFS(DATA_TS!$Q$2:$Q$20001,DATA_TS!$A$2:$A$20001,$B317,DATA_TS!$E$2:$E$20001,"Hauler")+SUMIFS(DATA_TS!$R$2:$R$20001,DATA_TS!$A$2:$A$20001,$B317,DATA_TS!$E$2:$E$20001,"Hauler")/1.3)))</f>
        <v/>
      </c>
      <c r="I317" s="196">
        <f>IF($B317="",NA(),IF((SUMIFS(DATA_PLAN!$B$2:$B$20001,DATA_PLAN!$A$2:$A$20001,$B317)+SUMIFS(DATA_PLAN!$C$2:$C$20001,DATA_PLAN!$A$2:$A$20001,$B317)/1.3)=0,NA(),SUMIFS(DATA_PLAN!$D$2:$D$20001,DATA_PLAN!$A$2:$A$20001,$B317)/(SUMIFS(DATA_PLAN!$B$2:$B$20001,DATA_PLAN!$A$2:$A$20001,$B317)+SUMIFS(DATA_PLAN!$C$2:$C$20001,DATA_PLAN!$A$2:$A$20001,$B317)/1.3)))</f>
        <v/>
      </c>
      <c r="J317" s="196">
        <f>IF($B317="",NA(),IF((SUMIFS(DATA_TS!$Q$2:$Q$20001,DATA_TS!$A$2:$A$20001,$B317,DATA_TS!$E$2:$E$20001,"Hauler")+SUMIFS(DATA_TS!$R$2:$R$20001,DATA_TS!$A$2:$A$20001,$B317,DATA_TS!$E$2:$E$20001,"Hauler")/1.3)=0,NA(),(D317+E317+F317)/(SUMIFS(DATA_TS!$Q$2:$Q$20001,DATA_TS!$A$2:$A$20001,$B317,DATA_TS!$E$2:$E$20001,"Hauler")+SUMIFS(DATA_TS!$R$2:$R$20001,DATA_TS!$A$2:$A$20001,$B317,DATA_TS!$E$2:$E$20001,"Hauler")/1.3)))</f>
        <v/>
      </c>
      <c r="K317" s="196">
        <f>IF($B317="",NA(),IF((SUMIFS(DATA_PLAN!$B$2:$B$20001,DATA_PLAN!$A$2:$A$20001,$B317)+SUMIFS(DATA_PLAN!$C$2:$C$20001,DATA_PLAN!$A$2:$A$20001,$B317)/1.3)=0,NA(),G317/(SUMIFS(DATA_PLAN!$B$2:$B$20001,DATA_PLAN!$A$2:$A$20001,$B317)+SUMIFS(DATA_PLAN!$C$2:$C$20001,DATA_PLAN!$A$2:$A$20001,$B317)/1.3)))</f>
        <v/>
      </c>
    </row>
    <row r="318">
      <c r="A318" t="n">
        <v>8</v>
      </c>
      <c r="B318" s="192">
        <f>IF(Kalkulasi!$B$290+A318-1&lt;=Kalkulasi!$B$291,Kalkulasi!$B$290+A318-1,"")</f>
        <v/>
      </c>
      <c r="C318">
        <f>IF(B318="","",TEXT(B318,"d"))</f>
        <v/>
      </c>
      <c r="D318" s="194">
        <f>IF($B318="","",SUMIFS(DATA_FUEL!$F$2:$F$20001,DATA_FUEL!$A$2:$A$20001,$B318,DATA_FUEL!$D$2:$D$20001,"Mining"))</f>
        <v/>
      </c>
      <c r="E318" s="194">
        <f>IF($B318="","",SUMIFS(DATA_FUEL!$F$2:$F$20001,DATA_FUEL!$A$2:$A$20001,$B318,DATA_FUEL!$D$2:$D$20001,"Aux"))</f>
        <v/>
      </c>
      <c r="F318" s="194">
        <f>IF($B318="","",SUMIFS(DATA_FUEL!$F$2:$F$20001,DATA_FUEL!$A$2:$A$20001,$B318,DATA_FUEL!$D$2:$D$20001,"Vendor"))</f>
        <v/>
      </c>
      <c r="G318" s="194">
        <f>IF($B318="","",SUMIFS(DATA_PLAN!$E$2:$E$20001,DATA_PLAN!$A$2:$A$20001,$B318))</f>
        <v/>
      </c>
      <c r="H318" s="196">
        <f>IF($B318="",NA(),IF((SUMIFS(DATA_TS!$Q$2:$Q$20001,DATA_TS!$A$2:$A$20001,$B318,DATA_TS!$E$2:$E$20001,"Hauler")+SUMIFS(DATA_TS!$R$2:$R$20001,DATA_TS!$A$2:$A$20001,$B318,DATA_TS!$E$2:$E$20001,"Hauler")/1.3)=0,NA(),D318/(SUMIFS(DATA_TS!$Q$2:$Q$20001,DATA_TS!$A$2:$A$20001,$B318,DATA_TS!$E$2:$E$20001,"Hauler")+SUMIFS(DATA_TS!$R$2:$R$20001,DATA_TS!$A$2:$A$20001,$B318,DATA_TS!$E$2:$E$20001,"Hauler")/1.3)))</f>
        <v/>
      </c>
      <c r="I318" s="196">
        <f>IF($B318="",NA(),IF((SUMIFS(DATA_PLAN!$B$2:$B$20001,DATA_PLAN!$A$2:$A$20001,$B318)+SUMIFS(DATA_PLAN!$C$2:$C$20001,DATA_PLAN!$A$2:$A$20001,$B318)/1.3)=0,NA(),SUMIFS(DATA_PLAN!$D$2:$D$20001,DATA_PLAN!$A$2:$A$20001,$B318)/(SUMIFS(DATA_PLAN!$B$2:$B$20001,DATA_PLAN!$A$2:$A$20001,$B318)+SUMIFS(DATA_PLAN!$C$2:$C$20001,DATA_PLAN!$A$2:$A$20001,$B318)/1.3)))</f>
        <v/>
      </c>
      <c r="J318" s="196">
        <f>IF($B318="",NA(),IF((SUMIFS(DATA_TS!$Q$2:$Q$20001,DATA_TS!$A$2:$A$20001,$B318,DATA_TS!$E$2:$E$20001,"Hauler")+SUMIFS(DATA_TS!$R$2:$R$20001,DATA_TS!$A$2:$A$20001,$B318,DATA_TS!$E$2:$E$20001,"Hauler")/1.3)=0,NA(),(D318+E318+F318)/(SUMIFS(DATA_TS!$Q$2:$Q$20001,DATA_TS!$A$2:$A$20001,$B318,DATA_TS!$E$2:$E$20001,"Hauler")+SUMIFS(DATA_TS!$R$2:$R$20001,DATA_TS!$A$2:$A$20001,$B318,DATA_TS!$E$2:$E$20001,"Hauler")/1.3)))</f>
        <v/>
      </c>
      <c r="K318" s="196">
        <f>IF($B318="",NA(),IF((SUMIFS(DATA_PLAN!$B$2:$B$20001,DATA_PLAN!$A$2:$A$20001,$B318)+SUMIFS(DATA_PLAN!$C$2:$C$20001,DATA_PLAN!$A$2:$A$20001,$B318)/1.3)=0,NA(),G318/(SUMIFS(DATA_PLAN!$B$2:$B$20001,DATA_PLAN!$A$2:$A$20001,$B318)+SUMIFS(DATA_PLAN!$C$2:$C$20001,DATA_PLAN!$A$2:$A$20001,$B318)/1.3)))</f>
        <v/>
      </c>
    </row>
    <row r="319">
      <c r="A319" t="n">
        <v>9</v>
      </c>
      <c r="B319" s="192">
        <f>IF(Kalkulasi!$B$290+A319-1&lt;=Kalkulasi!$B$291,Kalkulasi!$B$290+A319-1,"")</f>
        <v/>
      </c>
      <c r="C319">
        <f>IF(B319="","",TEXT(B319,"d"))</f>
        <v/>
      </c>
      <c r="D319" s="194">
        <f>IF($B319="","",SUMIFS(DATA_FUEL!$F$2:$F$20001,DATA_FUEL!$A$2:$A$20001,$B319,DATA_FUEL!$D$2:$D$20001,"Mining"))</f>
        <v/>
      </c>
      <c r="E319" s="194">
        <f>IF($B319="","",SUMIFS(DATA_FUEL!$F$2:$F$20001,DATA_FUEL!$A$2:$A$20001,$B319,DATA_FUEL!$D$2:$D$20001,"Aux"))</f>
        <v/>
      </c>
      <c r="F319" s="194">
        <f>IF($B319="","",SUMIFS(DATA_FUEL!$F$2:$F$20001,DATA_FUEL!$A$2:$A$20001,$B319,DATA_FUEL!$D$2:$D$20001,"Vendor"))</f>
        <v/>
      </c>
      <c r="G319" s="194">
        <f>IF($B319="","",SUMIFS(DATA_PLAN!$E$2:$E$20001,DATA_PLAN!$A$2:$A$20001,$B319))</f>
        <v/>
      </c>
      <c r="H319" s="196">
        <f>IF($B319="",NA(),IF((SUMIFS(DATA_TS!$Q$2:$Q$20001,DATA_TS!$A$2:$A$20001,$B319,DATA_TS!$E$2:$E$20001,"Hauler")+SUMIFS(DATA_TS!$R$2:$R$20001,DATA_TS!$A$2:$A$20001,$B319,DATA_TS!$E$2:$E$20001,"Hauler")/1.3)=0,NA(),D319/(SUMIFS(DATA_TS!$Q$2:$Q$20001,DATA_TS!$A$2:$A$20001,$B319,DATA_TS!$E$2:$E$20001,"Hauler")+SUMIFS(DATA_TS!$R$2:$R$20001,DATA_TS!$A$2:$A$20001,$B319,DATA_TS!$E$2:$E$20001,"Hauler")/1.3)))</f>
        <v/>
      </c>
      <c r="I319" s="196">
        <f>IF($B319="",NA(),IF((SUMIFS(DATA_PLAN!$B$2:$B$20001,DATA_PLAN!$A$2:$A$20001,$B319)+SUMIFS(DATA_PLAN!$C$2:$C$20001,DATA_PLAN!$A$2:$A$20001,$B319)/1.3)=0,NA(),SUMIFS(DATA_PLAN!$D$2:$D$20001,DATA_PLAN!$A$2:$A$20001,$B319)/(SUMIFS(DATA_PLAN!$B$2:$B$20001,DATA_PLAN!$A$2:$A$20001,$B319)+SUMIFS(DATA_PLAN!$C$2:$C$20001,DATA_PLAN!$A$2:$A$20001,$B319)/1.3)))</f>
        <v/>
      </c>
      <c r="J319" s="196">
        <f>IF($B319="",NA(),IF((SUMIFS(DATA_TS!$Q$2:$Q$20001,DATA_TS!$A$2:$A$20001,$B319,DATA_TS!$E$2:$E$20001,"Hauler")+SUMIFS(DATA_TS!$R$2:$R$20001,DATA_TS!$A$2:$A$20001,$B319,DATA_TS!$E$2:$E$20001,"Hauler")/1.3)=0,NA(),(D319+E319+F319)/(SUMIFS(DATA_TS!$Q$2:$Q$20001,DATA_TS!$A$2:$A$20001,$B319,DATA_TS!$E$2:$E$20001,"Hauler")+SUMIFS(DATA_TS!$R$2:$R$20001,DATA_TS!$A$2:$A$20001,$B319,DATA_TS!$E$2:$E$20001,"Hauler")/1.3)))</f>
        <v/>
      </c>
      <c r="K319" s="196">
        <f>IF($B319="",NA(),IF((SUMIFS(DATA_PLAN!$B$2:$B$20001,DATA_PLAN!$A$2:$A$20001,$B319)+SUMIFS(DATA_PLAN!$C$2:$C$20001,DATA_PLAN!$A$2:$A$20001,$B319)/1.3)=0,NA(),G319/(SUMIFS(DATA_PLAN!$B$2:$B$20001,DATA_PLAN!$A$2:$A$20001,$B319)+SUMIFS(DATA_PLAN!$C$2:$C$20001,DATA_PLAN!$A$2:$A$20001,$B319)/1.3)))</f>
        <v/>
      </c>
    </row>
    <row r="320">
      <c r="A320" t="n">
        <v>10</v>
      </c>
      <c r="B320" s="192">
        <f>IF(Kalkulasi!$B$290+A320-1&lt;=Kalkulasi!$B$291,Kalkulasi!$B$290+A320-1,"")</f>
        <v/>
      </c>
      <c r="C320">
        <f>IF(B320="","",TEXT(B320,"d"))</f>
        <v/>
      </c>
      <c r="D320" s="194">
        <f>IF($B320="","",SUMIFS(DATA_FUEL!$F$2:$F$20001,DATA_FUEL!$A$2:$A$20001,$B320,DATA_FUEL!$D$2:$D$20001,"Mining"))</f>
        <v/>
      </c>
      <c r="E320" s="194">
        <f>IF($B320="","",SUMIFS(DATA_FUEL!$F$2:$F$20001,DATA_FUEL!$A$2:$A$20001,$B320,DATA_FUEL!$D$2:$D$20001,"Aux"))</f>
        <v/>
      </c>
      <c r="F320" s="194">
        <f>IF($B320="","",SUMIFS(DATA_FUEL!$F$2:$F$20001,DATA_FUEL!$A$2:$A$20001,$B320,DATA_FUEL!$D$2:$D$20001,"Vendor"))</f>
        <v/>
      </c>
      <c r="G320" s="194">
        <f>IF($B320="","",SUMIFS(DATA_PLAN!$E$2:$E$20001,DATA_PLAN!$A$2:$A$20001,$B320))</f>
        <v/>
      </c>
      <c r="H320" s="196">
        <f>IF($B320="",NA(),IF((SUMIFS(DATA_TS!$Q$2:$Q$20001,DATA_TS!$A$2:$A$20001,$B320,DATA_TS!$E$2:$E$20001,"Hauler")+SUMIFS(DATA_TS!$R$2:$R$20001,DATA_TS!$A$2:$A$20001,$B320,DATA_TS!$E$2:$E$20001,"Hauler")/1.3)=0,NA(),D320/(SUMIFS(DATA_TS!$Q$2:$Q$20001,DATA_TS!$A$2:$A$20001,$B320,DATA_TS!$E$2:$E$20001,"Hauler")+SUMIFS(DATA_TS!$R$2:$R$20001,DATA_TS!$A$2:$A$20001,$B320,DATA_TS!$E$2:$E$20001,"Hauler")/1.3)))</f>
        <v/>
      </c>
      <c r="I320" s="196">
        <f>IF($B320="",NA(),IF((SUMIFS(DATA_PLAN!$B$2:$B$20001,DATA_PLAN!$A$2:$A$20001,$B320)+SUMIFS(DATA_PLAN!$C$2:$C$20001,DATA_PLAN!$A$2:$A$20001,$B320)/1.3)=0,NA(),SUMIFS(DATA_PLAN!$D$2:$D$20001,DATA_PLAN!$A$2:$A$20001,$B320)/(SUMIFS(DATA_PLAN!$B$2:$B$20001,DATA_PLAN!$A$2:$A$20001,$B320)+SUMIFS(DATA_PLAN!$C$2:$C$20001,DATA_PLAN!$A$2:$A$20001,$B320)/1.3)))</f>
        <v/>
      </c>
      <c r="J320" s="196">
        <f>IF($B320="",NA(),IF((SUMIFS(DATA_TS!$Q$2:$Q$20001,DATA_TS!$A$2:$A$20001,$B320,DATA_TS!$E$2:$E$20001,"Hauler")+SUMIFS(DATA_TS!$R$2:$R$20001,DATA_TS!$A$2:$A$20001,$B320,DATA_TS!$E$2:$E$20001,"Hauler")/1.3)=0,NA(),(D320+E320+F320)/(SUMIFS(DATA_TS!$Q$2:$Q$20001,DATA_TS!$A$2:$A$20001,$B320,DATA_TS!$E$2:$E$20001,"Hauler")+SUMIFS(DATA_TS!$R$2:$R$20001,DATA_TS!$A$2:$A$20001,$B320,DATA_TS!$E$2:$E$20001,"Hauler")/1.3)))</f>
        <v/>
      </c>
      <c r="K320" s="196">
        <f>IF($B320="",NA(),IF((SUMIFS(DATA_PLAN!$B$2:$B$20001,DATA_PLAN!$A$2:$A$20001,$B320)+SUMIFS(DATA_PLAN!$C$2:$C$20001,DATA_PLAN!$A$2:$A$20001,$B320)/1.3)=0,NA(),G320/(SUMIFS(DATA_PLAN!$B$2:$B$20001,DATA_PLAN!$A$2:$A$20001,$B320)+SUMIFS(DATA_PLAN!$C$2:$C$20001,DATA_PLAN!$A$2:$A$20001,$B320)/1.3)))</f>
        <v/>
      </c>
    </row>
    <row r="321">
      <c r="A321" t="n">
        <v>11</v>
      </c>
      <c r="B321" s="192">
        <f>IF(Kalkulasi!$B$290+A321-1&lt;=Kalkulasi!$B$291,Kalkulasi!$B$290+A321-1,"")</f>
        <v/>
      </c>
      <c r="C321">
        <f>IF(B321="","",TEXT(B321,"d"))</f>
        <v/>
      </c>
      <c r="D321" s="194">
        <f>IF($B321="","",SUMIFS(DATA_FUEL!$F$2:$F$20001,DATA_FUEL!$A$2:$A$20001,$B321,DATA_FUEL!$D$2:$D$20001,"Mining"))</f>
        <v/>
      </c>
      <c r="E321" s="194">
        <f>IF($B321="","",SUMIFS(DATA_FUEL!$F$2:$F$20001,DATA_FUEL!$A$2:$A$20001,$B321,DATA_FUEL!$D$2:$D$20001,"Aux"))</f>
        <v/>
      </c>
      <c r="F321" s="194">
        <f>IF($B321="","",SUMIFS(DATA_FUEL!$F$2:$F$20001,DATA_FUEL!$A$2:$A$20001,$B321,DATA_FUEL!$D$2:$D$20001,"Vendor"))</f>
        <v/>
      </c>
      <c r="G321" s="194">
        <f>IF($B321="","",SUMIFS(DATA_PLAN!$E$2:$E$20001,DATA_PLAN!$A$2:$A$20001,$B321))</f>
        <v/>
      </c>
      <c r="H321" s="196">
        <f>IF($B321="",NA(),IF((SUMIFS(DATA_TS!$Q$2:$Q$20001,DATA_TS!$A$2:$A$20001,$B321,DATA_TS!$E$2:$E$20001,"Hauler")+SUMIFS(DATA_TS!$R$2:$R$20001,DATA_TS!$A$2:$A$20001,$B321,DATA_TS!$E$2:$E$20001,"Hauler")/1.3)=0,NA(),D321/(SUMIFS(DATA_TS!$Q$2:$Q$20001,DATA_TS!$A$2:$A$20001,$B321,DATA_TS!$E$2:$E$20001,"Hauler")+SUMIFS(DATA_TS!$R$2:$R$20001,DATA_TS!$A$2:$A$20001,$B321,DATA_TS!$E$2:$E$20001,"Hauler")/1.3)))</f>
        <v/>
      </c>
      <c r="I321" s="196">
        <f>IF($B321="",NA(),IF((SUMIFS(DATA_PLAN!$B$2:$B$20001,DATA_PLAN!$A$2:$A$20001,$B321)+SUMIFS(DATA_PLAN!$C$2:$C$20001,DATA_PLAN!$A$2:$A$20001,$B321)/1.3)=0,NA(),SUMIFS(DATA_PLAN!$D$2:$D$20001,DATA_PLAN!$A$2:$A$20001,$B321)/(SUMIFS(DATA_PLAN!$B$2:$B$20001,DATA_PLAN!$A$2:$A$20001,$B321)+SUMIFS(DATA_PLAN!$C$2:$C$20001,DATA_PLAN!$A$2:$A$20001,$B321)/1.3)))</f>
        <v/>
      </c>
      <c r="J321" s="196">
        <f>IF($B321="",NA(),IF((SUMIFS(DATA_TS!$Q$2:$Q$20001,DATA_TS!$A$2:$A$20001,$B321,DATA_TS!$E$2:$E$20001,"Hauler")+SUMIFS(DATA_TS!$R$2:$R$20001,DATA_TS!$A$2:$A$20001,$B321,DATA_TS!$E$2:$E$20001,"Hauler")/1.3)=0,NA(),(D321+E321+F321)/(SUMIFS(DATA_TS!$Q$2:$Q$20001,DATA_TS!$A$2:$A$20001,$B321,DATA_TS!$E$2:$E$20001,"Hauler")+SUMIFS(DATA_TS!$R$2:$R$20001,DATA_TS!$A$2:$A$20001,$B321,DATA_TS!$E$2:$E$20001,"Hauler")/1.3)))</f>
        <v/>
      </c>
      <c r="K321" s="196">
        <f>IF($B321="",NA(),IF((SUMIFS(DATA_PLAN!$B$2:$B$20001,DATA_PLAN!$A$2:$A$20001,$B321)+SUMIFS(DATA_PLAN!$C$2:$C$20001,DATA_PLAN!$A$2:$A$20001,$B321)/1.3)=0,NA(),G321/(SUMIFS(DATA_PLAN!$B$2:$B$20001,DATA_PLAN!$A$2:$A$20001,$B321)+SUMIFS(DATA_PLAN!$C$2:$C$20001,DATA_PLAN!$A$2:$A$20001,$B321)/1.3)))</f>
        <v/>
      </c>
    </row>
    <row r="322">
      <c r="A322" t="n">
        <v>12</v>
      </c>
      <c r="B322" s="192">
        <f>IF(Kalkulasi!$B$290+A322-1&lt;=Kalkulasi!$B$291,Kalkulasi!$B$290+A322-1,"")</f>
        <v/>
      </c>
      <c r="C322">
        <f>IF(B322="","",TEXT(B322,"d"))</f>
        <v/>
      </c>
      <c r="D322" s="194">
        <f>IF($B322="","",SUMIFS(DATA_FUEL!$F$2:$F$20001,DATA_FUEL!$A$2:$A$20001,$B322,DATA_FUEL!$D$2:$D$20001,"Mining"))</f>
        <v/>
      </c>
      <c r="E322" s="194">
        <f>IF($B322="","",SUMIFS(DATA_FUEL!$F$2:$F$20001,DATA_FUEL!$A$2:$A$20001,$B322,DATA_FUEL!$D$2:$D$20001,"Aux"))</f>
        <v/>
      </c>
      <c r="F322" s="194">
        <f>IF($B322="","",SUMIFS(DATA_FUEL!$F$2:$F$20001,DATA_FUEL!$A$2:$A$20001,$B322,DATA_FUEL!$D$2:$D$20001,"Vendor"))</f>
        <v/>
      </c>
      <c r="G322" s="194">
        <f>IF($B322="","",SUMIFS(DATA_PLAN!$E$2:$E$20001,DATA_PLAN!$A$2:$A$20001,$B322))</f>
        <v/>
      </c>
      <c r="H322" s="196">
        <f>IF($B322="",NA(),IF((SUMIFS(DATA_TS!$Q$2:$Q$20001,DATA_TS!$A$2:$A$20001,$B322,DATA_TS!$E$2:$E$20001,"Hauler")+SUMIFS(DATA_TS!$R$2:$R$20001,DATA_TS!$A$2:$A$20001,$B322,DATA_TS!$E$2:$E$20001,"Hauler")/1.3)=0,NA(),D322/(SUMIFS(DATA_TS!$Q$2:$Q$20001,DATA_TS!$A$2:$A$20001,$B322,DATA_TS!$E$2:$E$20001,"Hauler")+SUMIFS(DATA_TS!$R$2:$R$20001,DATA_TS!$A$2:$A$20001,$B322,DATA_TS!$E$2:$E$20001,"Hauler")/1.3)))</f>
        <v/>
      </c>
      <c r="I322" s="196">
        <f>IF($B322="",NA(),IF((SUMIFS(DATA_PLAN!$B$2:$B$20001,DATA_PLAN!$A$2:$A$20001,$B322)+SUMIFS(DATA_PLAN!$C$2:$C$20001,DATA_PLAN!$A$2:$A$20001,$B322)/1.3)=0,NA(),SUMIFS(DATA_PLAN!$D$2:$D$20001,DATA_PLAN!$A$2:$A$20001,$B322)/(SUMIFS(DATA_PLAN!$B$2:$B$20001,DATA_PLAN!$A$2:$A$20001,$B322)+SUMIFS(DATA_PLAN!$C$2:$C$20001,DATA_PLAN!$A$2:$A$20001,$B322)/1.3)))</f>
        <v/>
      </c>
      <c r="J322" s="196">
        <f>IF($B322="",NA(),IF((SUMIFS(DATA_TS!$Q$2:$Q$20001,DATA_TS!$A$2:$A$20001,$B322,DATA_TS!$E$2:$E$20001,"Hauler")+SUMIFS(DATA_TS!$R$2:$R$20001,DATA_TS!$A$2:$A$20001,$B322,DATA_TS!$E$2:$E$20001,"Hauler")/1.3)=0,NA(),(D322+E322+F322)/(SUMIFS(DATA_TS!$Q$2:$Q$20001,DATA_TS!$A$2:$A$20001,$B322,DATA_TS!$E$2:$E$20001,"Hauler")+SUMIFS(DATA_TS!$R$2:$R$20001,DATA_TS!$A$2:$A$20001,$B322,DATA_TS!$E$2:$E$20001,"Hauler")/1.3)))</f>
        <v/>
      </c>
      <c r="K322" s="196">
        <f>IF($B322="",NA(),IF((SUMIFS(DATA_PLAN!$B$2:$B$20001,DATA_PLAN!$A$2:$A$20001,$B322)+SUMIFS(DATA_PLAN!$C$2:$C$20001,DATA_PLAN!$A$2:$A$20001,$B322)/1.3)=0,NA(),G322/(SUMIFS(DATA_PLAN!$B$2:$B$20001,DATA_PLAN!$A$2:$A$20001,$B322)+SUMIFS(DATA_PLAN!$C$2:$C$20001,DATA_PLAN!$A$2:$A$20001,$B322)/1.3)))</f>
        <v/>
      </c>
    </row>
    <row r="323">
      <c r="A323" t="n">
        <v>13</v>
      </c>
      <c r="B323" s="192">
        <f>IF(Kalkulasi!$B$290+A323-1&lt;=Kalkulasi!$B$291,Kalkulasi!$B$290+A323-1,"")</f>
        <v/>
      </c>
      <c r="C323">
        <f>IF(B323="","",TEXT(B323,"d"))</f>
        <v/>
      </c>
      <c r="D323" s="194">
        <f>IF($B323="","",SUMIFS(DATA_FUEL!$F$2:$F$20001,DATA_FUEL!$A$2:$A$20001,$B323,DATA_FUEL!$D$2:$D$20001,"Mining"))</f>
        <v/>
      </c>
      <c r="E323" s="194">
        <f>IF($B323="","",SUMIFS(DATA_FUEL!$F$2:$F$20001,DATA_FUEL!$A$2:$A$20001,$B323,DATA_FUEL!$D$2:$D$20001,"Aux"))</f>
        <v/>
      </c>
      <c r="F323" s="194">
        <f>IF($B323="","",SUMIFS(DATA_FUEL!$F$2:$F$20001,DATA_FUEL!$A$2:$A$20001,$B323,DATA_FUEL!$D$2:$D$20001,"Vendor"))</f>
        <v/>
      </c>
      <c r="G323" s="194">
        <f>IF($B323="","",SUMIFS(DATA_PLAN!$E$2:$E$20001,DATA_PLAN!$A$2:$A$20001,$B323))</f>
        <v/>
      </c>
      <c r="H323" s="196">
        <f>IF($B323="",NA(),IF((SUMIFS(DATA_TS!$Q$2:$Q$20001,DATA_TS!$A$2:$A$20001,$B323,DATA_TS!$E$2:$E$20001,"Hauler")+SUMIFS(DATA_TS!$R$2:$R$20001,DATA_TS!$A$2:$A$20001,$B323,DATA_TS!$E$2:$E$20001,"Hauler")/1.3)=0,NA(),D323/(SUMIFS(DATA_TS!$Q$2:$Q$20001,DATA_TS!$A$2:$A$20001,$B323,DATA_TS!$E$2:$E$20001,"Hauler")+SUMIFS(DATA_TS!$R$2:$R$20001,DATA_TS!$A$2:$A$20001,$B323,DATA_TS!$E$2:$E$20001,"Hauler")/1.3)))</f>
        <v/>
      </c>
      <c r="I323" s="196">
        <f>IF($B323="",NA(),IF((SUMIFS(DATA_PLAN!$B$2:$B$20001,DATA_PLAN!$A$2:$A$20001,$B323)+SUMIFS(DATA_PLAN!$C$2:$C$20001,DATA_PLAN!$A$2:$A$20001,$B323)/1.3)=0,NA(),SUMIFS(DATA_PLAN!$D$2:$D$20001,DATA_PLAN!$A$2:$A$20001,$B323)/(SUMIFS(DATA_PLAN!$B$2:$B$20001,DATA_PLAN!$A$2:$A$20001,$B323)+SUMIFS(DATA_PLAN!$C$2:$C$20001,DATA_PLAN!$A$2:$A$20001,$B323)/1.3)))</f>
        <v/>
      </c>
      <c r="J323" s="196">
        <f>IF($B323="",NA(),IF((SUMIFS(DATA_TS!$Q$2:$Q$20001,DATA_TS!$A$2:$A$20001,$B323,DATA_TS!$E$2:$E$20001,"Hauler")+SUMIFS(DATA_TS!$R$2:$R$20001,DATA_TS!$A$2:$A$20001,$B323,DATA_TS!$E$2:$E$20001,"Hauler")/1.3)=0,NA(),(D323+E323+F323)/(SUMIFS(DATA_TS!$Q$2:$Q$20001,DATA_TS!$A$2:$A$20001,$B323,DATA_TS!$E$2:$E$20001,"Hauler")+SUMIFS(DATA_TS!$R$2:$R$20001,DATA_TS!$A$2:$A$20001,$B323,DATA_TS!$E$2:$E$20001,"Hauler")/1.3)))</f>
        <v/>
      </c>
      <c r="K323" s="196">
        <f>IF($B323="",NA(),IF((SUMIFS(DATA_PLAN!$B$2:$B$20001,DATA_PLAN!$A$2:$A$20001,$B323)+SUMIFS(DATA_PLAN!$C$2:$C$20001,DATA_PLAN!$A$2:$A$20001,$B323)/1.3)=0,NA(),G323/(SUMIFS(DATA_PLAN!$B$2:$B$20001,DATA_PLAN!$A$2:$A$20001,$B323)+SUMIFS(DATA_PLAN!$C$2:$C$20001,DATA_PLAN!$A$2:$A$20001,$B323)/1.3)))</f>
        <v/>
      </c>
    </row>
    <row r="324">
      <c r="A324" t="n">
        <v>14</v>
      </c>
      <c r="B324" s="192">
        <f>IF(Kalkulasi!$B$290+A324-1&lt;=Kalkulasi!$B$291,Kalkulasi!$B$290+A324-1,"")</f>
        <v/>
      </c>
      <c r="C324">
        <f>IF(B324="","",TEXT(B324,"d"))</f>
        <v/>
      </c>
      <c r="D324" s="194">
        <f>IF($B324="","",SUMIFS(DATA_FUEL!$F$2:$F$20001,DATA_FUEL!$A$2:$A$20001,$B324,DATA_FUEL!$D$2:$D$20001,"Mining"))</f>
        <v/>
      </c>
      <c r="E324" s="194">
        <f>IF($B324="","",SUMIFS(DATA_FUEL!$F$2:$F$20001,DATA_FUEL!$A$2:$A$20001,$B324,DATA_FUEL!$D$2:$D$20001,"Aux"))</f>
        <v/>
      </c>
      <c r="F324" s="194">
        <f>IF($B324="","",SUMIFS(DATA_FUEL!$F$2:$F$20001,DATA_FUEL!$A$2:$A$20001,$B324,DATA_FUEL!$D$2:$D$20001,"Vendor"))</f>
        <v/>
      </c>
      <c r="G324" s="194">
        <f>IF($B324="","",SUMIFS(DATA_PLAN!$E$2:$E$20001,DATA_PLAN!$A$2:$A$20001,$B324))</f>
        <v/>
      </c>
      <c r="H324" s="196">
        <f>IF($B324="",NA(),IF((SUMIFS(DATA_TS!$Q$2:$Q$20001,DATA_TS!$A$2:$A$20001,$B324,DATA_TS!$E$2:$E$20001,"Hauler")+SUMIFS(DATA_TS!$R$2:$R$20001,DATA_TS!$A$2:$A$20001,$B324,DATA_TS!$E$2:$E$20001,"Hauler")/1.3)=0,NA(),D324/(SUMIFS(DATA_TS!$Q$2:$Q$20001,DATA_TS!$A$2:$A$20001,$B324,DATA_TS!$E$2:$E$20001,"Hauler")+SUMIFS(DATA_TS!$R$2:$R$20001,DATA_TS!$A$2:$A$20001,$B324,DATA_TS!$E$2:$E$20001,"Hauler")/1.3)))</f>
        <v/>
      </c>
      <c r="I324" s="196">
        <f>IF($B324="",NA(),IF((SUMIFS(DATA_PLAN!$B$2:$B$20001,DATA_PLAN!$A$2:$A$20001,$B324)+SUMIFS(DATA_PLAN!$C$2:$C$20001,DATA_PLAN!$A$2:$A$20001,$B324)/1.3)=0,NA(),SUMIFS(DATA_PLAN!$D$2:$D$20001,DATA_PLAN!$A$2:$A$20001,$B324)/(SUMIFS(DATA_PLAN!$B$2:$B$20001,DATA_PLAN!$A$2:$A$20001,$B324)+SUMIFS(DATA_PLAN!$C$2:$C$20001,DATA_PLAN!$A$2:$A$20001,$B324)/1.3)))</f>
        <v/>
      </c>
      <c r="J324" s="196">
        <f>IF($B324="",NA(),IF((SUMIFS(DATA_TS!$Q$2:$Q$20001,DATA_TS!$A$2:$A$20001,$B324,DATA_TS!$E$2:$E$20001,"Hauler")+SUMIFS(DATA_TS!$R$2:$R$20001,DATA_TS!$A$2:$A$20001,$B324,DATA_TS!$E$2:$E$20001,"Hauler")/1.3)=0,NA(),(D324+E324+F324)/(SUMIFS(DATA_TS!$Q$2:$Q$20001,DATA_TS!$A$2:$A$20001,$B324,DATA_TS!$E$2:$E$20001,"Hauler")+SUMIFS(DATA_TS!$R$2:$R$20001,DATA_TS!$A$2:$A$20001,$B324,DATA_TS!$E$2:$E$20001,"Hauler")/1.3)))</f>
        <v/>
      </c>
      <c r="K324" s="196">
        <f>IF($B324="",NA(),IF((SUMIFS(DATA_PLAN!$B$2:$B$20001,DATA_PLAN!$A$2:$A$20001,$B324)+SUMIFS(DATA_PLAN!$C$2:$C$20001,DATA_PLAN!$A$2:$A$20001,$B324)/1.3)=0,NA(),G324/(SUMIFS(DATA_PLAN!$B$2:$B$20001,DATA_PLAN!$A$2:$A$20001,$B324)+SUMIFS(DATA_PLAN!$C$2:$C$20001,DATA_PLAN!$A$2:$A$20001,$B324)/1.3)))</f>
        <v/>
      </c>
    </row>
    <row r="325">
      <c r="A325" t="n">
        <v>15</v>
      </c>
      <c r="B325" s="192">
        <f>IF(Kalkulasi!$B$290+A325-1&lt;=Kalkulasi!$B$291,Kalkulasi!$B$290+A325-1,"")</f>
        <v/>
      </c>
      <c r="C325">
        <f>IF(B325="","",TEXT(B325,"d"))</f>
        <v/>
      </c>
      <c r="D325" s="194">
        <f>IF($B325="","",SUMIFS(DATA_FUEL!$F$2:$F$20001,DATA_FUEL!$A$2:$A$20001,$B325,DATA_FUEL!$D$2:$D$20001,"Mining"))</f>
        <v/>
      </c>
      <c r="E325" s="194">
        <f>IF($B325="","",SUMIFS(DATA_FUEL!$F$2:$F$20001,DATA_FUEL!$A$2:$A$20001,$B325,DATA_FUEL!$D$2:$D$20001,"Aux"))</f>
        <v/>
      </c>
      <c r="F325" s="194">
        <f>IF($B325="","",SUMIFS(DATA_FUEL!$F$2:$F$20001,DATA_FUEL!$A$2:$A$20001,$B325,DATA_FUEL!$D$2:$D$20001,"Vendor"))</f>
        <v/>
      </c>
      <c r="G325" s="194">
        <f>IF($B325="","",SUMIFS(DATA_PLAN!$E$2:$E$20001,DATA_PLAN!$A$2:$A$20001,$B325))</f>
        <v/>
      </c>
      <c r="H325" s="196">
        <f>IF($B325="",NA(),IF((SUMIFS(DATA_TS!$Q$2:$Q$20001,DATA_TS!$A$2:$A$20001,$B325,DATA_TS!$E$2:$E$20001,"Hauler")+SUMIFS(DATA_TS!$R$2:$R$20001,DATA_TS!$A$2:$A$20001,$B325,DATA_TS!$E$2:$E$20001,"Hauler")/1.3)=0,NA(),D325/(SUMIFS(DATA_TS!$Q$2:$Q$20001,DATA_TS!$A$2:$A$20001,$B325,DATA_TS!$E$2:$E$20001,"Hauler")+SUMIFS(DATA_TS!$R$2:$R$20001,DATA_TS!$A$2:$A$20001,$B325,DATA_TS!$E$2:$E$20001,"Hauler")/1.3)))</f>
        <v/>
      </c>
      <c r="I325" s="196">
        <f>IF($B325="",NA(),IF((SUMIFS(DATA_PLAN!$B$2:$B$20001,DATA_PLAN!$A$2:$A$20001,$B325)+SUMIFS(DATA_PLAN!$C$2:$C$20001,DATA_PLAN!$A$2:$A$20001,$B325)/1.3)=0,NA(),SUMIFS(DATA_PLAN!$D$2:$D$20001,DATA_PLAN!$A$2:$A$20001,$B325)/(SUMIFS(DATA_PLAN!$B$2:$B$20001,DATA_PLAN!$A$2:$A$20001,$B325)+SUMIFS(DATA_PLAN!$C$2:$C$20001,DATA_PLAN!$A$2:$A$20001,$B325)/1.3)))</f>
        <v/>
      </c>
      <c r="J325" s="196">
        <f>IF($B325="",NA(),IF((SUMIFS(DATA_TS!$Q$2:$Q$20001,DATA_TS!$A$2:$A$20001,$B325,DATA_TS!$E$2:$E$20001,"Hauler")+SUMIFS(DATA_TS!$R$2:$R$20001,DATA_TS!$A$2:$A$20001,$B325,DATA_TS!$E$2:$E$20001,"Hauler")/1.3)=0,NA(),(D325+E325+F325)/(SUMIFS(DATA_TS!$Q$2:$Q$20001,DATA_TS!$A$2:$A$20001,$B325,DATA_TS!$E$2:$E$20001,"Hauler")+SUMIFS(DATA_TS!$R$2:$R$20001,DATA_TS!$A$2:$A$20001,$B325,DATA_TS!$E$2:$E$20001,"Hauler")/1.3)))</f>
        <v/>
      </c>
      <c r="K325" s="196">
        <f>IF($B325="",NA(),IF((SUMIFS(DATA_PLAN!$B$2:$B$20001,DATA_PLAN!$A$2:$A$20001,$B325)+SUMIFS(DATA_PLAN!$C$2:$C$20001,DATA_PLAN!$A$2:$A$20001,$B325)/1.3)=0,NA(),G325/(SUMIFS(DATA_PLAN!$B$2:$B$20001,DATA_PLAN!$A$2:$A$20001,$B325)+SUMIFS(DATA_PLAN!$C$2:$C$20001,DATA_PLAN!$A$2:$A$20001,$B325)/1.3)))</f>
        <v/>
      </c>
    </row>
    <row r="326">
      <c r="A326" t="n">
        <v>16</v>
      </c>
      <c r="B326" s="192">
        <f>IF(Kalkulasi!$B$290+A326-1&lt;=Kalkulasi!$B$291,Kalkulasi!$B$290+A326-1,"")</f>
        <v/>
      </c>
      <c r="C326">
        <f>IF(B326="","",TEXT(B326,"d"))</f>
        <v/>
      </c>
      <c r="D326" s="194">
        <f>IF($B326="","",SUMIFS(DATA_FUEL!$F$2:$F$20001,DATA_FUEL!$A$2:$A$20001,$B326,DATA_FUEL!$D$2:$D$20001,"Mining"))</f>
        <v/>
      </c>
      <c r="E326" s="194">
        <f>IF($B326="","",SUMIFS(DATA_FUEL!$F$2:$F$20001,DATA_FUEL!$A$2:$A$20001,$B326,DATA_FUEL!$D$2:$D$20001,"Aux"))</f>
        <v/>
      </c>
      <c r="F326" s="194">
        <f>IF($B326="","",SUMIFS(DATA_FUEL!$F$2:$F$20001,DATA_FUEL!$A$2:$A$20001,$B326,DATA_FUEL!$D$2:$D$20001,"Vendor"))</f>
        <v/>
      </c>
      <c r="G326" s="194">
        <f>IF($B326="","",SUMIFS(DATA_PLAN!$E$2:$E$20001,DATA_PLAN!$A$2:$A$20001,$B326))</f>
        <v/>
      </c>
      <c r="H326" s="196">
        <f>IF($B326="",NA(),IF((SUMIFS(DATA_TS!$Q$2:$Q$20001,DATA_TS!$A$2:$A$20001,$B326,DATA_TS!$E$2:$E$20001,"Hauler")+SUMIFS(DATA_TS!$R$2:$R$20001,DATA_TS!$A$2:$A$20001,$B326,DATA_TS!$E$2:$E$20001,"Hauler")/1.3)=0,NA(),D326/(SUMIFS(DATA_TS!$Q$2:$Q$20001,DATA_TS!$A$2:$A$20001,$B326,DATA_TS!$E$2:$E$20001,"Hauler")+SUMIFS(DATA_TS!$R$2:$R$20001,DATA_TS!$A$2:$A$20001,$B326,DATA_TS!$E$2:$E$20001,"Hauler")/1.3)))</f>
        <v/>
      </c>
      <c r="I326" s="196">
        <f>IF($B326="",NA(),IF((SUMIFS(DATA_PLAN!$B$2:$B$20001,DATA_PLAN!$A$2:$A$20001,$B326)+SUMIFS(DATA_PLAN!$C$2:$C$20001,DATA_PLAN!$A$2:$A$20001,$B326)/1.3)=0,NA(),SUMIFS(DATA_PLAN!$D$2:$D$20001,DATA_PLAN!$A$2:$A$20001,$B326)/(SUMIFS(DATA_PLAN!$B$2:$B$20001,DATA_PLAN!$A$2:$A$20001,$B326)+SUMIFS(DATA_PLAN!$C$2:$C$20001,DATA_PLAN!$A$2:$A$20001,$B326)/1.3)))</f>
        <v/>
      </c>
      <c r="J326" s="196">
        <f>IF($B326="",NA(),IF((SUMIFS(DATA_TS!$Q$2:$Q$20001,DATA_TS!$A$2:$A$20001,$B326,DATA_TS!$E$2:$E$20001,"Hauler")+SUMIFS(DATA_TS!$R$2:$R$20001,DATA_TS!$A$2:$A$20001,$B326,DATA_TS!$E$2:$E$20001,"Hauler")/1.3)=0,NA(),(D326+E326+F326)/(SUMIFS(DATA_TS!$Q$2:$Q$20001,DATA_TS!$A$2:$A$20001,$B326,DATA_TS!$E$2:$E$20001,"Hauler")+SUMIFS(DATA_TS!$R$2:$R$20001,DATA_TS!$A$2:$A$20001,$B326,DATA_TS!$E$2:$E$20001,"Hauler")/1.3)))</f>
        <v/>
      </c>
      <c r="K326" s="196">
        <f>IF($B326="",NA(),IF((SUMIFS(DATA_PLAN!$B$2:$B$20001,DATA_PLAN!$A$2:$A$20001,$B326)+SUMIFS(DATA_PLAN!$C$2:$C$20001,DATA_PLAN!$A$2:$A$20001,$B326)/1.3)=0,NA(),G326/(SUMIFS(DATA_PLAN!$B$2:$B$20001,DATA_PLAN!$A$2:$A$20001,$B326)+SUMIFS(DATA_PLAN!$C$2:$C$20001,DATA_PLAN!$A$2:$A$20001,$B326)/1.3)))</f>
        <v/>
      </c>
    </row>
    <row r="327">
      <c r="A327" t="n">
        <v>17</v>
      </c>
      <c r="B327" s="192">
        <f>IF(Kalkulasi!$B$290+A327-1&lt;=Kalkulasi!$B$291,Kalkulasi!$B$290+A327-1,"")</f>
        <v/>
      </c>
      <c r="C327">
        <f>IF(B327="","",TEXT(B327,"d"))</f>
        <v/>
      </c>
      <c r="D327" s="194">
        <f>IF($B327="","",SUMIFS(DATA_FUEL!$F$2:$F$20001,DATA_FUEL!$A$2:$A$20001,$B327,DATA_FUEL!$D$2:$D$20001,"Mining"))</f>
        <v/>
      </c>
      <c r="E327" s="194">
        <f>IF($B327="","",SUMIFS(DATA_FUEL!$F$2:$F$20001,DATA_FUEL!$A$2:$A$20001,$B327,DATA_FUEL!$D$2:$D$20001,"Aux"))</f>
        <v/>
      </c>
      <c r="F327" s="194">
        <f>IF($B327="","",SUMIFS(DATA_FUEL!$F$2:$F$20001,DATA_FUEL!$A$2:$A$20001,$B327,DATA_FUEL!$D$2:$D$20001,"Vendor"))</f>
        <v/>
      </c>
      <c r="G327" s="194">
        <f>IF($B327="","",SUMIFS(DATA_PLAN!$E$2:$E$20001,DATA_PLAN!$A$2:$A$20001,$B327))</f>
        <v/>
      </c>
      <c r="H327" s="196">
        <f>IF($B327="",NA(),IF((SUMIFS(DATA_TS!$Q$2:$Q$20001,DATA_TS!$A$2:$A$20001,$B327,DATA_TS!$E$2:$E$20001,"Hauler")+SUMIFS(DATA_TS!$R$2:$R$20001,DATA_TS!$A$2:$A$20001,$B327,DATA_TS!$E$2:$E$20001,"Hauler")/1.3)=0,NA(),D327/(SUMIFS(DATA_TS!$Q$2:$Q$20001,DATA_TS!$A$2:$A$20001,$B327,DATA_TS!$E$2:$E$20001,"Hauler")+SUMIFS(DATA_TS!$R$2:$R$20001,DATA_TS!$A$2:$A$20001,$B327,DATA_TS!$E$2:$E$20001,"Hauler")/1.3)))</f>
        <v/>
      </c>
      <c r="I327" s="196">
        <f>IF($B327="",NA(),IF((SUMIFS(DATA_PLAN!$B$2:$B$20001,DATA_PLAN!$A$2:$A$20001,$B327)+SUMIFS(DATA_PLAN!$C$2:$C$20001,DATA_PLAN!$A$2:$A$20001,$B327)/1.3)=0,NA(),SUMIFS(DATA_PLAN!$D$2:$D$20001,DATA_PLAN!$A$2:$A$20001,$B327)/(SUMIFS(DATA_PLAN!$B$2:$B$20001,DATA_PLAN!$A$2:$A$20001,$B327)+SUMIFS(DATA_PLAN!$C$2:$C$20001,DATA_PLAN!$A$2:$A$20001,$B327)/1.3)))</f>
        <v/>
      </c>
      <c r="J327" s="196">
        <f>IF($B327="",NA(),IF((SUMIFS(DATA_TS!$Q$2:$Q$20001,DATA_TS!$A$2:$A$20001,$B327,DATA_TS!$E$2:$E$20001,"Hauler")+SUMIFS(DATA_TS!$R$2:$R$20001,DATA_TS!$A$2:$A$20001,$B327,DATA_TS!$E$2:$E$20001,"Hauler")/1.3)=0,NA(),(D327+E327+F327)/(SUMIFS(DATA_TS!$Q$2:$Q$20001,DATA_TS!$A$2:$A$20001,$B327,DATA_TS!$E$2:$E$20001,"Hauler")+SUMIFS(DATA_TS!$R$2:$R$20001,DATA_TS!$A$2:$A$20001,$B327,DATA_TS!$E$2:$E$20001,"Hauler")/1.3)))</f>
        <v/>
      </c>
      <c r="K327" s="196">
        <f>IF($B327="",NA(),IF((SUMIFS(DATA_PLAN!$B$2:$B$20001,DATA_PLAN!$A$2:$A$20001,$B327)+SUMIFS(DATA_PLAN!$C$2:$C$20001,DATA_PLAN!$A$2:$A$20001,$B327)/1.3)=0,NA(),G327/(SUMIFS(DATA_PLAN!$B$2:$B$20001,DATA_PLAN!$A$2:$A$20001,$B327)+SUMIFS(DATA_PLAN!$C$2:$C$20001,DATA_PLAN!$A$2:$A$20001,$B327)/1.3)))</f>
        <v/>
      </c>
    </row>
    <row r="328">
      <c r="A328" t="n">
        <v>18</v>
      </c>
      <c r="B328" s="192">
        <f>IF(Kalkulasi!$B$290+A328-1&lt;=Kalkulasi!$B$291,Kalkulasi!$B$290+A328-1,"")</f>
        <v/>
      </c>
      <c r="C328">
        <f>IF(B328="","",TEXT(B328,"d"))</f>
        <v/>
      </c>
      <c r="D328" s="194">
        <f>IF($B328="","",SUMIFS(DATA_FUEL!$F$2:$F$20001,DATA_FUEL!$A$2:$A$20001,$B328,DATA_FUEL!$D$2:$D$20001,"Mining"))</f>
        <v/>
      </c>
      <c r="E328" s="194">
        <f>IF($B328="","",SUMIFS(DATA_FUEL!$F$2:$F$20001,DATA_FUEL!$A$2:$A$20001,$B328,DATA_FUEL!$D$2:$D$20001,"Aux"))</f>
        <v/>
      </c>
      <c r="F328" s="194">
        <f>IF($B328="","",SUMIFS(DATA_FUEL!$F$2:$F$20001,DATA_FUEL!$A$2:$A$20001,$B328,DATA_FUEL!$D$2:$D$20001,"Vendor"))</f>
        <v/>
      </c>
      <c r="G328" s="194">
        <f>IF($B328="","",SUMIFS(DATA_PLAN!$E$2:$E$20001,DATA_PLAN!$A$2:$A$20001,$B328))</f>
        <v/>
      </c>
      <c r="H328" s="196">
        <f>IF($B328="",NA(),IF((SUMIFS(DATA_TS!$Q$2:$Q$20001,DATA_TS!$A$2:$A$20001,$B328,DATA_TS!$E$2:$E$20001,"Hauler")+SUMIFS(DATA_TS!$R$2:$R$20001,DATA_TS!$A$2:$A$20001,$B328,DATA_TS!$E$2:$E$20001,"Hauler")/1.3)=0,NA(),D328/(SUMIFS(DATA_TS!$Q$2:$Q$20001,DATA_TS!$A$2:$A$20001,$B328,DATA_TS!$E$2:$E$20001,"Hauler")+SUMIFS(DATA_TS!$R$2:$R$20001,DATA_TS!$A$2:$A$20001,$B328,DATA_TS!$E$2:$E$20001,"Hauler")/1.3)))</f>
        <v/>
      </c>
      <c r="I328" s="196">
        <f>IF($B328="",NA(),IF((SUMIFS(DATA_PLAN!$B$2:$B$20001,DATA_PLAN!$A$2:$A$20001,$B328)+SUMIFS(DATA_PLAN!$C$2:$C$20001,DATA_PLAN!$A$2:$A$20001,$B328)/1.3)=0,NA(),SUMIFS(DATA_PLAN!$D$2:$D$20001,DATA_PLAN!$A$2:$A$20001,$B328)/(SUMIFS(DATA_PLAN!$B$2:$B$20001,DATA_PLAN!$A$2:$A$20001,$B328)+SUMIFS(DATA_PLAN!$C$2:$C$20001,DATA_PLAN!$A$2:$A$20001,$B328)/1.3)))</f>
        <v/>
      </c>
      <c r="J328" s="196">
        <f>IF($B328="",NA(),IF((SUMIFS(DATA_TS!$Q$2:$Q$20001,DATA_TS!$A$2:$A$20001,$B328,DATA_TS!$E$2:$E$20001,"Hauler")+SUMIFS(DATA_TS!$R$2:$R$20001,DATA_TS!$A$2:$A$20001,$B328,DATA_TS!$E$2:$E$20001,"Hauler")/1.3)=0,NA(),(D328+E328+F328)/(SUMIFS(DATA_TS!$Q$2:$Q$20001,DATA_TS!$A$2:$A$20001,$B328,DATA_TS!$E$2:$E$20001,"Hauler")+SUMIFS(DATA_TS!$R$2:$R$20001,DATA_TS!$A$2:$A$20001,$B328,DATA_TS!$E$2:$E$20001,"Hauler")/1.3)))</f>
        <v/>
      </c>
      <c r="K328" s="196">
        <f>IF($B328="",NA(),IF((SUMIFS(DATA_PLAN!$B$2:$B$20001,DATA_PLAN!$A$2:$A$20001,$B328)+SUMIFS(DATA_PLAN!$C$2:$C$20001,DATA_PLAN!$A$2:$A$20001,$B328)/1.3)=0,NA(),G328/(SUMIFS(DATA_PLAN!$B$2:$B$20001,DATA_PLAN!$A$2:$A$20001,$B328)+SUMIFS(DATA_PLAN!$C$2:$C$20001,DATA_PLAN!$A$2:$A$20001,$B328)/1.3)))</f>
        <v/>
      </c>
    </row>
    <row r="329">
      <c r="A329" t="n">
        <v>19</v>
      </c>
      <c r="B329" s="192">
        <f>IF(Kalkulasi!$B$290+A329-1&lt;=Kalkulasi!$B$291,Kalkulasi!$B$290+A329-1,"")</f>
        <v/>
      </c>
      <c r="C329">
        <f>IF(B329="","",TEXT(B329,"d"))</f>
        <v/>
      </c>
      <c r="D329" s="194">
        <f>IF($B329="","",SUMIFS(DATA_FUEL!$F$2:$F$20001,DATA_FUEL!$A$2:$A$20001,$B329,DATA_FUEL!$D$2:$D$20001,"Mining"))</f>
        <v/>
      </c>
      <c r="E329" s="194">
        <f>IF($B329="","",SUMIFS(DATA_FUEL!$F$2:$F$20001,DATA_FUEL!$A$2:$A$20001,$B329,DATA_FUEL!$D$2:$D$20001,"Aux"))</f>
        <v/>
      </c>
      <c r="F329" s="194">
        <f>IF($B329="","",SUMIFS(DATA_FUEL!$F$2:$F$20001,DATA_FUEL!$A$2:$A$20001,$B329,DATA_FUEL!$D$2:$D$20001,"Vendor"))</f>
        <v/>
      </c>
      <c r="G329" s="194">
        <f>IF($B329="","",SUMIFS(DATA_PLAN!$E$2:$E$20001,DATA_PLAN!$A$2:$A$20001,$B329))</f>
        <v/>
      </c>
      <c r="H329" s="196">
        <f>IF($B329="",NA(),IF((SUMIFS(DATA_TS!$Q$2:$Q$20001,DATA_TS!$A$2:$A$20001,$B329,DATA_TS!$E$2:$E$20001,"Hauler")+SUMIFS(DATA_TS!$R$2:$R$20001,DATA_TS!$A$2:$A$20001,$B329,DATA_TS!$E$2:$E$20001,"Hauler")/1.3)=0,NA(),D329/(SUMIFS(DATA_TS!$Q$2:$Q$20001,DATA_TS!$A$2:$A$20001,$B329,DATA_TS!$E$2:$E$20001,"Hauler")+SUMIFS(DATA_TS!$R$2:$R$20001,DATA_TS!$A$2:$A$20001,$B329,DATA_TS!$E$2:$E$20001,"Hauler")/1.3)))</f>
        <v/>
      </c>
      <c r="I329" s="196">
        <f>IF($B329="",NA(),IF((SUMIFS(DATA_PLAN!$B$2:$B$20001,DATA_PLAN!$A$2:$A$20001,$B329)+SUMIFS(DATA_PLAN!$C$2:$C$20001,DATA_PLAN!$A$2:$A$20001,$B329)/1.3)=0,NA(),SUMIFS(DATA_PLAN!$D$2:$D$20001,DATA_PLAN!$A$2:$A$20001,$B329)/(SUMIFS(DATA_PLAN!$B$2:$B$20001,DATA_PLAN!$A$2:$A$20001,$B329)+SUMIFS(DATA_PLAN!$C$2:$C$20001,DATA_PLAN!$A$2:$A$20001,$B329)/1.3)))</f>
        <v/>
      </c>
      <c r="J329" s="196">
        <f>IF($B329="",NA(),IF((SUMIFS(DATA_TS!$Q$2:$Q$20001,DATA_TS!$A$2:$A$20001,$B329,DATA_TS!$E$2:$E$20001,"Hauler")+SUMIFS(DATA_TS!$R$2:$R$20001,DATA_TS!$A$2:$A$20001,$B329,DATA_TS!$E$2:$E$20001,"Hauler")/1.3)=0,NA(),(D329+E329+F329)/(SUMIFS(DATA_TS!$Q$2:$Q$20001,DATA_TS!$A$2:$A$20001,$B329,DATA_TS!$E$2:$E$20001,"Hauler")+SUMIFS(DATA_TS!$R$2:$R$20001,DATA_TS!$A$2:$A$20001,$B329,DATA_TS!$E$2:$E$20001,"Hauler")/1.3)))</f>
        <v/>
      </c>
      <c r="K329" s="196">
        <f>IF($B329="",NA(),IF((SUMIFS(DATA_PLAN!$B$2:$B$20001,DATA_PLAN!$A$2:$A$20001,$B329)+SUMIFS(DATA_PLAN!$C$2:$C$20001,DATA_PLAN!$A$2:$A$20001,$B329)/1.3)=0,NA(),G329/(SUMIFS(DATA_PLAN!$B$2:$B$20001,DATA_PLAN!$A$2:$A$20001,$B329)+SUMIFS(DATA_PLAN!$C$2:$C$20001,DATA_PLAN!$A$2:$A$20001,$B329)/1.3)))</f>
        <v/>
      </c>
    </row>
    <row r="330">
      <c r="A330" t="n">
        <v>20</v>
      </c>
      <c r="B330" s="192">
        <f>IF(Kalkulasi!$B$290+A330-1&lt;=Kalkulasi!$B$291,Kalkulasi!$B$290+A330-1,"")</f>
        <v/>
      </c>
      <c r="C330">
        <f>IF(B330="","",TEXT(B330,"d"))</f>
        <v/>
      </c>
      <c r="D330" s="194">
        <f>IF($B330="","",SUMIFS(DATA_FUEL!$F$2:$F$20001,DATA_FUEL!$A$2:$A$20001,$B330,DATA_FUEL!$D$2:$D$20001,"Mining"))</f>
        <v/>
      </c>
      <c r="E330" s="194">
        <f>IF($B330="","",SUMIFS(DATA_FUEL!$F$2:$F$20001,DATA_FUEL!$A$2:$A$20001,$B330,DATA_FUEL!$D$2:$D$20001,"Aux"))</f>
        <v/>
      </c>
      <c r="F330" s="194">
        <f>IF($B330="","",SUMIFS(DATA_FUEL!$F$2:$F$20001,DATA_FUEL!$A$2:$A$20001,$B330,DATA_FUEL!$D$2:$D$20001,"Vendor"))</f>
        <v/>
      </c>
      <c r="G330" s="194">
        <f>IF($B330="","",SUMIFS(DATA_PLAN!$E$2:$E$20001,DATA_PLAN!$A$2:$A$20001,$B330))</f>
        <v/>
      </c>
      <c r="H330" s="196">
        <f>IF($B330="",NA(),IF((SUMIFS(DATA_TS!$Q$2:$Q$20001,DATA_TS!$A$2:$A$20001,$B330,DATA_TS!$E$2:$E$20001,"Hauler")+SUMIFS(DATA_TS!$R$2:$R$20001,DATA_TS!$A$2:$A$20001,$B330,DATA_TS!$E$2:$E$20001,"Hauler")/1.3)=0,NA(),D330/(SUMIFS(DATA_TS!$Q$2:$Q$20001,DATA_TS!$A$2:$A$20001,$B330,DATA_TS!$E$2:$E$20001,"Hauler")+SUMIFS(DATA_TS!$R$2:$R$20001,DATA_TS!$A$2:$A$20001,$B330,DATA_TS!$E$2:$E$20001,"Hauler")/1.3)))</f>
        <v/>
      </c>
      <c r="I330" s="196">
        <f>IF($B330="",NA(),IF((SUMIFS(DATA_PLAN!$B$2:$B$20001,DATA_PLAN!$A$2:$A$20001,$B330)+SUMIFS(DATA_PLAN!$C$2:$C$20001,DATA_PLAN!$A$2:$A$20001,$B330)/1.3)=0,NA(),SUMIFS(DATA_PLAN!$D$2:$D$20001,DATA_PLAN!$A$2:$A$20001,$B330)/(SUMIFS(DATA_PLAN!$B$2:$B$20001,DATA_PLAN!$A$2:$A$20001,$B330)+SUMIFS(DATA_PLAN!$C$2:$C$20001,DATA_PLAN!$A$2:$A$20001,$B330)/1.3)))</f>
        <v/>
      </c>
      <c r="J330" s="196">
        <f>IF($B330="",NA(),IF((SUMIFS(DATA_TS!$Q$2:$Q$20001,DATA_TS!$A$2:$A$20001,$B330,DATA_TS!$E$2:$E$20001,"Hauler")+SUMIFS(DATA_TS!$R$2:$R$20001,DATA_TS!$A$2:$A$20001,$B330,DATA_TS!$E$2:$E$20001,"Hauler")/1.3)=0,NA(),(D330+E330+F330)/(SUMIFS(DATA_TS!$Q$2:$Q$20001,DATA_TS!$A$2:$A$20001,$B330,DATA_TS!$E$2:$E$20001,"Hauler")+SUMIFS(DATA_TS!$R$2:$R$20001,DATA_TS!$A$2:$A$20001,$B330,DATA_TS!$E$2:$E$20001,"Hauler")/1.3)))</f>
        <v/>
      </c>
      <c r="K330" s="196">
        <f>IF($B330="",NA(),IF((SUMIFS(DATA_PLAN!$B$2:$B$20001,DATA_PLAN!$A$2:$A$20001,$B330)+SUMIFS(DATA_PLAN!$C$2:$C$20001,DATA_PLAN!$A$2:$A$20001,$B330)/1.3)=0,NA(),G330/(SUMIFS(DATA_PLAN!$B$2:$B$20001,DATA_PLAN!$A$2:$A$20001,$B330)+SUMIFS(DATA_PLAN!$C$2:$C$20001,DATA_PLAN!$A$2:$A$20001,$B330)/1.3)))</f>
        <v/>
      </c>
    </row>
    <row r="331">
      <c r="A331" t="n">
        <v>21</v>
      </c>
      <c r="B331" s="192">
        <f>IF(Kalkulasi!$B$290+A331-1&lt;=Kalkulasi!$B$291,Kalkulasi!$B$290+A331-1,"")</f>
        <v/>
      </c>
      <c r="C331">
        <f>IF(B331="","",TEXT(B331,"d"))</f>
        <v/>
      </c>
      <c r="D331" s="194">
        <f>IF($B331="","",SUMIFS(DATA_FUEL!$F$2:$F$20001,DATA_FUEL!$A$2:$A$20001,$B331,DATA_FUEL!$D$2:$D$20001,"Mining"))</f>
        <v/>
      </c>
      <c r="E331" s="194">
        <f>IF($B331="","",SUMIFS(DATA_FUEL!$F$2:$F$20001,DATA_FUEL!$A$2:$A$20001,$B331,DATA_FUEL!$D$2:$D$20001,"Aux"))</f>
        <v/>
      </c>
      <c r="F331" s="194">
        <f>IF($B331="","",SUMIFS(DATA_FUEL!$F$2:$F$20001,DATA_FUEL!$A$2:$A$20001,$B331,DATA_FUEL!$D$2:$D$20001,"Vendor"))</f>
        <v/>
      </c>
      <c r="G331" s="194">
        <f>IF($B331="","",SUMIFS(DATA_PLAN!$E$2:$E$20001,DATA_PLAN!$A$2:$A$20001,$B331))</f>
        <v/>
      </c>
      <c r="H331" s="196">
        <f>IF($B331="",NA(),IF((SUMIFS(DATA_TS!$Q$2:$Q$20001,DATA_TS!$A$2:$A$20001,$B331,DATA_TS!$E$2:$E$20001,"Hauler")+SUMIFS(DATA_TS!$R$2:$R$20001,DATA_TS!$A$2:$A$20001,$B331,DATA_TS!$E$2:$E$20001,"Hauler")/1.3)=0,NA(),D331/(SUMIFS(DATA_TS!$Q$2:$Q$20001,DATA_TS!$A$2:$A$20001,$B331,DATA_TS!$E$2:$E$20001,"Hauler")+SUMIFS(DATA_TS!$R$2:$R$20001,DATA_TS!$A$2:$A$20001,$B331,DATA_TS!$E$2:$E$20001,"Hauler")/1.3)))</f>
        <v/>
      </c>
      <c r="I331" s="196">
        <f>IF($B331="",NA(),IF((SUMIFS(DATA_PLAN!$B$2:$B$20001,DATA_PLAN!$A$2:$A$20001,$B331)+SUMIFS(DATA_PLAN!$C$2:$C$20001,DATA_PLAN!$A$2:$A$20001,$B331)/1.3)=0,NA(),SUMIFS(DATA_PLAN!$D$2:$D$20001,DATA_PLAN!$A$2:$A$20001,$B331)/(SUMIFS(DATA_PLAN!$B$2:$B$20001,DATA_PLAN!$A$2:$A$20001,$B331)+SUMIFS(DATA_PLAN!$C$2:$C$20001,DATA_PLAN!$A$2:$A$20001,$B331)/1.3)))</f>
        <v/>
      </c>
      <c r="J331" s="196">
        <f>IF($B331="",NA(),IF((SUMIFS(DATA_TS!$Q$2:$Q$20001,DATA_TS!$A$2:$A$20001,$B331,DATA_TS!$E$2:$E$20001,"Hauler")+SUMIFS(DATA_TS!$R$2:$R$20001,DATA_TS!$A$2:$A$20001,$B331,DATA_TS!$E$2:$E$20001,"Hauler")/1.3)=0,NA(),(D331+E331+F331)/(SUMIFS(DATA_TS!$Q$2:$Q$20001,DATA_TS!$A$2:$A$20001,$B331,DATA_TS!$E$2:$E$20001,"Hauler")+SUMIFS(DATA_TS!$R$2:$R$20001,DATA_TS!$A$2:$A$20001,$B331,DATA_TS!$E$2:$E$20001,"Hauler")/1.3)))</f>
        <v/>
      </c>
      <c r="K331" s="196">
        <f>IF($B331="",NA(),IF((SUMIFS(DATA_PLAN!$B$2:$B$20001,DATA_PLAN!$A$2:$A$20001,$B331)+SUMIFS(DATA_PLAN!$C$2:$C$20001,DATA_PLAN!$A$2:$A$20001,$B331)/1.3)=0,NA(),G331/(SUMIFS(DATA_PLAN!$B$2:$B$20001,DATA_PLAN!$A$2:$A$20001,$B331)+SUMIFS(DATA_PLAN!$C$2:$C$20001,DATA_PLAN!$A$2:$A$20001,$B331)/1.3)))</f>
        <v/>
      </c>
    </row>
    <row r="332">
      <c r="A332" t="n">
        <v>22</v>
      </c>
      <c r="B332" s="192">
        <f>IF(Kalkulasi!$B$290+A332-1&lt;=Kalkulasi!$B$291,Kalkulasi!$B$290+A332-1,"")</f>
        <v/>
      </c>
      <c r="C332">
        <f>IF(B332="","",TEXT(B332,"d"))</f>
        <v/>
      </c>
      <c r="D332" s="194">
        <f>IF($B332="","",SUMIFS(DATA_FUEL!$F$2:$F$20001,DATA_FUEL!$A$2:$A$20001,$B332,DATA_FUEL!$D$2:$D$20001,"Mining"))</f>
        <v/>
      </c>
      <c r="E332" s="194">
        <f>IF($B332="","",SUMIFS(DATA_FUEL!$F$2:$F$20001,DATA_FUEL!$A$2:$A$20001,$B332,DATA_FUEL!$D$2:$D$20001,"Aux"))</f>
        <v/>
      </c>
      <c r="F332" s="194">
        <f>IF($B332="","",SUMIFS(DATA_FUEL!$F$2:$F$20001,DATA_FUEL!$A$2:$A$20001,$B332,DATA_FUEL!$D$2:$D$20001,"Vendor"))</f>
        <v/>
      </c>
      <c r="G332" s="194">
        <f>IF($B332="","",SUMIFS(DATA_PLAN!$E$2:$E$20001,DATA_PLAN!$A$2:$A$20001,$B332))</f>
        <v/>
      </c>
      <c r="H332" s="196">
        <f>IF($B332="",NA(),IF((SUMIFS(DATA_TS!$Q$2:$Q$20001,DATA_TS!$A$2:$A$20001,$B332,DATA_TS!$E$2:$E$20001,"Hauler")+SUMIFS(DATA_TS!$R$2:$R$20001,DATA_TS!$A$2:$A$20001,$B332,DATA_TS!$E$2:$E$20001,"Hauler")/1.3)=0,NA(),D332/(SUMIFS(DATA_TS!$Q$2:$Q$20001,DATA_TS!$A$2:$A$20001,$B332,DATA_TS!$E$2:$E$20001,"Hauler")+SUMIFS(DATA_TS!$R$2:$R$20001,DATA_TS!$A$2:$A$20001,$B332,DATA_TS!$E$2:$E$20001,"Hauler")/1.3)))</f>
        <v/>
      </c>
      <c r="I332" s="196">
        <f>IF($B332="",NA(),IF((SUMIFS(DATA_PLAN!$B$2:$B$20001,DATA_PLAN!$A$2:$A$20001,$B332)+SUMIFS(DATA_PLAN!$C$2:$C$20001,DATA_PLAN!$A$2:$A$20001,$B332)/1.3)=0,NA(),SUMIFS(DATA_PLAN!$D$2:$D$20001,DATA_PLAN!$A$2:$A$20001,$B332)/(SUMIFS(DATA_PLAN!$B$2:$B$20001,DATA_PLAN!$A$2:$A$20001,$B332)+SUMIFS(DATA_PLAN!$C$2:$C$20001,DATA_PLAN!$A$2:$A$20001,$B332)/1.3)))</f>
        <v/>
      </c>
      <c r="J332" s="196">
        <f>IF($B332="",NA(),IF((SUMIFS(DATA_TS!$Q$2:$Q$20001,DATA_TS!$A$2:$A$20001,$B332,DATA_TS!$E$2:$E$20001,"Hauler")+SUMIFS(DATA_TS!$R$2:$R$20001,DATA_TS!$A$2:$A$20001,$B332,DATA_TS!$E$2:$E$20001,"Hauler")/1.3)=0,NA(),(D332+E332+F332)/(SUMIFS(DATA_TS!$Q$2:$Q$20001,DATA_TS!$A$2:$A$20001,$B332,DATA_TS!$E$2:$E$20001,"Hauler")+SUMIFS(DATA_TS!$R$2:$R$20001,DATA_TS!$A$2:$A$20001,$B332,DATA_TS!$E$2:$E$20001,"Hauler")/1.3)))</f>
        <v/>
      </c>
      <c r="K332" s="196">
        <f>IF($B332="",NA(),IF((SUMIFS(DATA_PLAN!$B$2:$B$20001,DATA_PLAN!$A$2:$A$20001,$B332)+SUMIFS(DATA_PLAN!$C$2:$C$20001,DATA_PLAN!$A$2:$A$20001,$B332)/1.3)=0,NA(),G332/(SUMIFS(DATA_PLAN!$B$2:$B$20001,DATA_PLAN!$A$2:$A$20001,$B332)+SUMIFS(DATA_PLAN!$C$2:$C$20001,DATA_PLAN!$A$2:$A$20001,$B332)/1.3)))</f>
        <v/>
      </c>
    </row>
    <row r="333">
      <c r="A333" t="n">
        <v>23</v>
      </c>
      <c r="B333" s="192">
        <f>IF(Kalkulasi!$B$290+A333-1&lt;=Kalkulasi!$B$291,Kalkulasi!$B$290+A333-1,"")</f>
        <v/>
      </c>
      <c r="C333">
        <f>IF(B333="","",TEXT(B333,"d"))</f>
        <v/>
      </c>
      <c r="D333" s="194">
        <f>IF($B333="","",SUMIFS(DATA_FUEL!$F$2:$F$20001,DATA_FUEL!$A$2:$A$20001,$B333,DATA_FUEL!$D$2:$D$20001,"Mining"))</f>
        <v/>
      </c>
      <c r="E333" s="194">
        <f>IF($B333="","",SUMIFS(DATA_FUEL!$F$2:$F$20001,DATA_FUEL!$A$2:$A$20001,$B333,DATA_FUEL!$D$2:$D$20001,"Aux"))</f>
        <v/>
      </c>
      <c r="F333" s="194">
        <f>IF($B333="","",SUMIFS(DATA_FUEL!$F$2:$F$20001,DATA_FUEL!$A$2:$A$20001,$B333,DATA_FUEL!$D$2:$D$20001,"Vendor"))</f>
        <v/>
      </c>
      <c r="G333" s="194">
        <f>IF($B333="","",SUMIFS(DATA_PLAN!$E$2:$E$20001,DATA_PLAN!$A$2:$A$20001,$B333))</f>
        <v/>
      </c>
      <c r="H333" s="196">
        <f>IF($B333="",NA(),IF((SUMIFS(DATA_TS!$Q$2:$Q$20001,DATA_TS!$A$2:$A$20001,$B333,DATA_TS!$E$2:$E$20001,"Hauler")+SUMIFS(DATA_TS!$R$2:$R$20001,DATA_TS!$A$2:$A$20001,$B333,DATA_TS!$E$2:$E$20001,"Hauler")/1.3)=0,NA(),D333/(SUMIFS(DATA_TS!$Q$2:$Q$20001,DATA_TS!$A$2:$A$20001,$B333,DATA_TS!$E$2:$E$20001,"Hauler")+SUMIFS(DATA_TS!$R$2:$R$20001,DATA_TS!$A$2:$A$20001,$B333,DATA_TS!$E$2:$E$20001,"Hauler")/1.3)))</f>
        <v/>
      </c>
      <c r="I333" s="196">
        <f>IF($B333="",NA(),IF((SUMIFS(DATA_PLAN!$B$2:$B$20001,DATA_PLAN!$A$2:$A$20001,$B333)+SUMIFS(DATA_PLAN!$C$2:$C$20001,DATA_PLAN!$A$2:$A$20001,$B333)/1.3)=0,NA(),SUMIFS(DATA_PLAN!$D$2:$D$20001,DATA_PLAN!$A$2:$A$20001,$B333)/(SUMIFS(DATA_PLAN!$B$2:$B$20001,DATA_PLAN!$A$2:$A$20001,$B333)+SUMIFS(DATA_PLAN!$C$2:$C$20001,DATA_PLAN!$A$2:$A$20001,$B333)/1.3)))</f>
        <v/>
      </c>
      <c r="J333" s="196">
        <f>IF($B333="",NA(),IF((SUMIFS(DATA_TS!$Q$2:$Q$20001,DATA_TS!$A$2:$A$20001,$B333,DATA_TS!$E$2:$E$20001,"Hauler")+SUMIFS(DATA_TS!$R$2:$R$20001,DATA_TS!$A$2:$A$20001,$B333,DATA_TS!$E$2:$E$20001,"Hauler")/1.3)=0,NA(),(D333+E333+F333)/(SUMIFS(DATA_TS!$Q$2:$Q$20001,DATA_TS!$A$2:$A$20001,$B333,DATA_TS!$E$2:$E$20001,"Hauler")+SUMIFS(DATA_TS!$R$2:$R$20001,DATA_TS!$A$2:$A$20001,$B333,DATA_TS!$E$2:$E$20001,"Hauler")/1.3)))</f>
        <v/>
      </c>
      <c r="K333" s="196">
        <f>IF($B333="",NA(),IF((SUMIFS(DATA_PLAN!$B$2:$B$20001,DATA_PLAN!$A$2:$A$20001,$B333)+SUMIFS(DATA_PLAN!$C$2:$C$20001,DATA_PLAN!$A$2:$A$20001,$B333)/1.3)=0,NA(),G333/(SUMIFS(DATA_PLAN!$B$2:$B$20001,DATA_PLAN!$A$2:$A$20001,$B333)+SUMIFS(DATA_PLAN!$C$2:$C$20001,DATA_PLAN!$A$2:$A$20001,$B333)/1.3)))</f>
        <v/>
      </c>
    </row>
    <row r="334">
      <c r="A334" t="n">
        <v>24</v>
      </c>
      <c r="B334" s="192">
        <f>IF(Kalkulasi!$B$290+A334-1&lt;=Kalkulasi!$B$291,Kalkulasi!$B$290+A334-1,"")</f>
        <v/>
      </c>
      <c r="C334">
        <f>IF(B334="","",TEXT(B334,"d"))</f>
        <v/>
      </c>
      <c r="D334" s="194">
        <f>IF($B334="","",SUMIFS(DATA_FUEL!$F$2:$F$20001,DATA_FUEL!$A$2:$A$20001,$B334,DATA_FUEL!$D$2:$D$20001,"Mining"))</f>
        <v/>
      </c>
      <c r="E334" s="194">
        <f>IF($B334="","",SUMIFS(DATA_FUEL!$F$2:$F$20001,DATA_FUEL!$A$2:$A$20001,$B334,DATA_FUEL!$D$2:$D$20001,"Aux"))</f>
        <v/>
      </c>
      <c r="F334" s="194">
        <f>IF($B334="","",SUMIFS(DATA_FUEL!$F$2:$F$20001,DATA_FUEL!$A$2:$A$20001,$B334,DATA_FUEL!$D$2:$D$20001,"Vendor"))</f>
        <v/>
      </c>
      <c r="G334" s="194">
        <f>IF($B334="","",SUMIFS(DATA_PLAN!$E$2:$E$20001,DATA_PLAN!$A$2:$A$20001,$B334))</f>
        <v/>
      </c>
      <c r="H334" s="196">
        <f>IF($B334="",NA(),IF((SUMIFS(DATA_TS!$Q$2:$Q$20001,DATA_TS!$A$2:$A$20001,$B334,DATA_TS!$E$2:$E$20001,"Hauler")+SUMIFS(DATA_TS!$R$2:$R$20001,DATA_TS!$A$2:$A$20001,$B334,DATA_TS!$E$2:$E$20001,"Hauler")/1.3)=0,NA(),D334/(SUMIFS(DATA_TS!$Q$2:$Q$20001,DATA_TS!$A$2:$A$20001,$B334,DATA_TS!$E$2:$E$20001,"Hauler")+SUMIFS(DATA_TS!$R$2:$R$20001,DATA_TS!$A$2:$A$20001,$B334,DATA_TS!$E$2:$E$20001,"Hauler")/1.3)))</f>
        <v/>
      </c>
      <c r="I334" s="196">
        <f>IF($B334="",NA(),IF((SUMIFS(DATA_PLAN!$B$2:$B$20001,DATA_PLAN!$A$2:$A$20001,$B334)+SUMIFS(DATA_PLAN!$C$2:$C$20001,DATA_PLAN!$A$2:$A$20001,$B334)/1.3)=0,NA(),SUMIFS(DATA_PLAN!$D$2:$D$20001,DATA_PLAN!$A$2:$A$20001,$B334)/(SUMIFS(DATA_PLAN!$B$2:$B$20001,DATA_PLAN!$A$2:$A$20001,$B334)+SUMIFS(DATA_PLAN!$C$2:$C$20001,DATA_PLAN!$A$2:$A$20001,$B334)/1.3)))</f>
        <v/>
      </c>
      <c r="J334" s="196">
        <f>IF($B334="",NA(),IF((SUMIFS(DATA_TS!$Q$2:$Q$20001,DATA_TS!$A$2:$A$20001,$B334,DATA_TS!$E$2:$E$20001,"Hauler")+SUMIFS(DATA_TS!$R$2:$R$20001,DATA_TS!$A$2:$A$20001,$B334,DATA_TS!$E$2:$E$20001,"Hauler")/1.3)=0,NA(),(D334+E334+F334)/(SUMIFS(DATA_TS!$Q$2:$Q$20001,DATA_TS!$A$2:$A$20001,$B334,DATA_TS!$E$2:$E$20001,"Hauler")+SUMIFS(DATA_TS!$R$2:$R$20001,DATA_TS!$A$2:$A$20001,$B334,DATA_TS!$E$2:$E$20001,"Hauler")/1.3)))</f>
        <v/>
      </c>
      <c r="K334" s="196">
        <f>IF($B334="",NA(),IF((SUMIFS(DATA_PLAN!$B$2:$B$20001,DATA_PLAN!$A$2:$A$20001,$B334)+SUMIFS(DATA_PLAN!$C$2:$C$20001,DATA_PLAN!$A$2:$A$20001,$B334)/1.3)=0,NA(),G334/(SUMIFS(DATA_PLAN!$B$2:$B$20001,DATA_PLAN!$A$2:$A$20001,$B334)+SUMIFS(DATA_PLAN!$C$2:$C$20001,DATA_PLAN!$A$2:$A$20001,$B334)/1.3)))</f>
        <v/>
      </c>
    </row>
    <row r="335">
      <c r="A335" t="n">
        <v>25</v>
      </c>
      <c r="B335" s="192">
        <f>IF(Kalkulasi!$B$290+A335-1&lt;=Kalkulasi!$B$291,Kalkulasi!$B$290+A335-1,"")</f>
        <v/>
      </c>
      <c r="C335">
        <f>IF(B335="","",TEXT(B335,"d"))</f>
        <v/>
      </c>
      <c r="D335" s="194">
        <f>IF($B335="","",SUMIFS(DATA_FUEL!$F$2:$F$20001,DATA_FUEL!$A$2:$A$20001,$B335,DATA_FUEL!$D$2:$D$20001,"Mining"))</f>
        <v/>
      </c>
      <c r="E335" s="194">
        <f>IF($B335="","",SUMIFS(DATA_FUEL!$F$2:$F$20001,DATA_FUEL!$A$2:$A$20001,$B335,DATA_FUEL!$D$2:$D$20001,"Aux"))</f>
        <v/>
      </c>
      <c r="F335" s="194">
        <f>IF($B335="","",SUMIFS(DATA_FUEL!$F$2:$F$20001,DATA_FUEL!$A$2:$A$20001,$B335,DATA_FUEL!$D$2:$D$20001,"Vendor"))</f>
        <v/>
      </c>
      <c r="G335" s="194">
        <f>IF($B335="","",SUMIFS(DATA_PLAN!$E$2:$E$20001,DATA_PLAN!$A$2:$A$20001,$B335))</f>
        <v/>
      </c>
      <c r="H335" s="196">
        <f>IF($B335="",NA(),IF((SUMIFS(DATA_TS!$Q$2:$Q$20001,DATA_TS!$A$2:$A$20001,$B335,DATA_TS!$E$2:$E$20001,"Hauler")+SUMIFS(DATA_TS!$R$2:$R$20001,DATA_TS!$A$2:$A$20001,$B335,DATA_TS!$E$2:$E$20001,"Hauler")/1.3)=0,NA(),D335/(SUMIFS(DATA_TS!$Q$2:$Q$20001,DATA_TS!$A$2:$A$20001,$B335,DATA_TS!$E$2:$E$20001,"Hauler")+SUMIFS(DATA_TS!$R$2:$R$20001,DATA_TS!$A$2:$A$20001,$B335,DATA_TS!$E$2:$E$20001,"Hauler")/1.3)))</f>
        <v/>
      </c>
      <c r="I335" s="196">
        <f>IF($B335="",NA(),IF((SUMIFS(DATA_PLAN!$B$2:$B$20001,DATA_PLAN!$A$2:$A$20001,$B335)+SUMIFS(DATA_PLAN!$C$2:$C$20001,DATA_PLAN!$A$2:$A$20001,$B335)/1.3)=0,NA(),SUMIFS(DATA_PLAN!$D$2:$D$20001,DATA_PLAN!$A$2:$A$20001,$B335)/(SUMIFS(DATA_PLAN!$B$2:$B$20001,DATA_PLAN!$A$2:$A$20001,$B335)+SUMIFS(DATA_PLAN!$C$2:$C$20001,DATA_PLAN!$A$2:$A$20001,$B335)/1.3)))</f>
        <v/>
      </c>
      <c r="J335" s="196">
        <f>IF($B335="",NA(),IF((SUMIFS(DATA_TS!$Q$2:$Q$20001,DATA_TS!$A$2:$A$20001,$B335,DATA_TS!$E$2:$E$20001,"Hauler")+SUMIFS(DATA_TS!$R$2:$R$20001,DATA_TS!$A$2:$A$20001,$B335,DATA_TS!$E$2:$E$20001,"Hauler")/1.3)=0,NA(),(D335+E335+F335)/(SUMIFS(DATA_TS!$Q$2:$Q$20001,DATA_TS!$A$2:$A$20001,$B335,DATA_TS!$E$2:$E$20001,"Hauler")+SUMIFS(DATA_TS!$R$2:$R$20001,DATA_TS!$A$2:$A$20001,$B335,DATA_TS!$E$2:$E$20001,"Hauler")/1.3)))</f>
        <v/>
      </c>
      <c r="K335" s="196">
        <f>IF($B335="",NA(),IF((SUMIFS(DATA_PLAN!$B$2:$B$20001,DATA_PLAN!$A$2:$A$20001,$B335)+SUMIFS(DATA_PLAN!$C$2:$C$20001,DATA_PLAN!$A$2:$A$20001,$B335)/1.3)=0,NA(),G335/(SUMIFS(DATA_PLAN!$B$2:$B$20001,DATA_PLAN!$A$2:$A$20001,$B335)+SUMIFS(DATA_PLAN!$C$2:$C$20001,DATA_PLAN!$A$2:$A$20001,$B335)/1.3)))</f>
        <v/>
      </c>
    </row>
    <row r="336">
      <c r="A336" t="n">
        <v>26</v>
      </c>
      <c r="B336" s="192">
        <f>IF(Kalkulasi!$B$290+A336-1&lt;=Kalkulasi!$B$291,Kalkulasi!$B$290+A336-1,"")</f>
        <v/>
      </c>
      <c r="C336">
        <f>IF(B336="","",TEXT(B336,"d"))</f>
        <v/>
      </c>
      <c r="D336" s="194">
        <f>IF($B336="","",SUMIFS(DATA_FUEL!$F$2:$F$20001,DATA_FUEL!$A$2:$A$20001,$B336,DATA_FUEL!$D$2:$D$20001,"Mining"))</f>
        <v/>
      </c>
      <c r="E336" s="194">
        <f>IF($B336="","",SUMIFS(DATA_FUEL!$F$2:$F$20001,DATA_FUEL!$A$2:$A$20001,$B336,DATA_FUEL!$D$2:$D$20001,"Aux"))</f>
        <v/>
      </c>
      <c r="F336" s="194">
        <f>IF($B336="","",SUMIFS(DATA_FUEL!$F$2:$F$20001,DATA_FUEL!$A$2:$A$20001,$B336,DATA_FUEL!$D$2:$D$20001,"Vendor"))</f>
        <v/>
      </c>
      <c r="G336" s="194">
        <f>IF($B336="","",SUMIFS(DATA_PLAN!$E$2:$E$20001,DATA_PLAN!$A$2:$A$20001,$B336))</f>
        <v/>
      </c>
      <c r="H336" s="196">
        <f>IF($B336="",NA(),IF((SUMIFS(DATA_TS!$Q$2:$Q$20001,DATA_TS!$A$2:$A$20001,$B336,DATA_TS!$E$2:$E$20001,"Hauler")+SUMIFS(DATA_TS!$R$2:$R$20001,DATA_TS!$A$2:$A$20001,$B336,DATA_TS!$E$2:$E$20001,"Hauler")/1.3)=0,NA(),D336/(SUMIFS(DATA_TS!$Q$2:$Q$20001,DATA_TS!$A$2:$A$20001,$B336,DATA_TS!$E$2:$E$20001,"Hauler")+SUMIFS(DATA_TS!$R$2:$R$20001,DATA_TS!$A$2:$A$20001,$B336,DATA_TS!$E$2:$E$20001,"Hauler")/1.3)))</f>
        <v/>
      </c>
      <c r="I336" s="196">
        <f>IF($B336="",NA(),IF((SUMIFS(DATA_PLAN!$B$2:$B$20001,DATA_PLAN!$A$2:$A$20001,$B336)+SUMIFS(DATA_PLAN!$C$2:$C$20001,DATA_PLAN!$A$2:$A$20001,$B336)/1.3)=0,NA(),SUMIFS(DATA_PLAN!$D$2:$D$20001,DATA_PLAN!$A$2:$A$20001,$B336)/(SUMIFS(DATA_PLAN!$B$2:$B$20001,DATA_PLAN!$A$2:$A$20001,$B336)+SUMIFS(DATA_PLAN!$C$2:$C$20001,DATA_PLAN!$A$2:$A$20001,$B336)/1.3)))</f>
        <v/>
      </c>
      <c r="J336" s="196">
        <f>IF($B336="",NA(),IF((SUMIFS(DATA_TS!$Q$2:$Q$20001,DATA_TS!$A$2:$A$20001,$B336,DATA_TS!$E$2:$E$20001,"Hauler")+SUMIFS(DATA_TS!$R$2:$R$20001,DATA_TS!$A$2:$A$20001,$B336,DATA_TS!$E$2:$E$20001,"Hauler")/1.3)=0,NA(),(D336+E336+F336)/(SUMIFS(DATA_TS!$Q$2:$Q$20001,DATA_TS!$A$2:$A$20001,$B336,DATA_TS!$E$2:$E$20001,"Hauler")+SUMIFS(DATA_TS!$R$2:$R$20001,DATA_TS!$A$2:$A$20001,$B336,DATA_TS!$E$2:$E$20001,"Hauler")/1.3)))</f>
        <v/>
      </c>
      <c r="K336" s="196">
        <f>IF($B336="",NA(),IF((SUMIFS(DATA_PLAN!$B$2:$B$20001,DATA_PLAN!$A$2:$A$20001,$B336)+SUMIFS(DATA_PLAN!$C$2:$C$20001,DATA_PLAN!$A$2:$A$20001,$B336)/1.3)=0,NA(),G336/(SUMIFS(DATA_PLAN!$B$2:$B$20001,DATA_PLAN!$A$2:$A$20001,$B336)+SUMIFS(DATA_PLAN!$C$2:$C$20001,DATA_PLAN!$A$2:$A$20001,$B336)/1.3)))</f>
        <v/>
      </c>
    </row>
    <row r="337">
      <c r="A337" t="n">
        <v>27</v>
      </c>
      <c r="B337" s="192">
        <f>IF(Kalkulasi!$B$290+A337-1&lt;=Kalkulasi!$B$291,Kalkulasi!$B$290+A337-1,"")</f>
        <v/>
      </c>
      <c r="C337">
        <f>IF(B337="","",TEXT(B337,"d"))</f>
        <v/>
      </c>
      <c r="D337" s="194">
        <f>IF($B337="","",SUMIFS(DATA_FUEL!$F$2:$F$20001,DATA_FUEL!$A$2:$A$20001,$B337,DATA_FUEL!$D$2:$D$20001,"Mining"))</f>
        <v/>
      </c>
      <c r="E337" s="194">
        <f>IF($B337="","",SUMIFS(DATA_FUEL!$F$2:$F$20001,DATA_FUEL!$A$2:$A$20001,$B337,DATA_FUEL!$D$2:$D$20001,"Aux"))</f>
        <v/>
      </c>
      <c r="F337" s="194">
        <f>IF($B337="","",SUMIFS(DATA_FUEL!$F$2:$F$20001,DATA_FUEL!$A$2:$A$20001,$B337,DATA_FUEL!$D$2:$D$20001,"Vendor"))</f>
        <v/>
      </c>
      <c r="G337" s="194">
        <f>IF($B337="","",SUMIFS(DATA_PLAN!$E$2:$E$20001,DATA_PLAN!$A$2:$A$20001,$B337))</f>
        <v/>
      </c>
      <c r="H337" s="196">
        <f>IF($B337="",NA(),IF((SUMIFS(DATA_TS!$Q$2:$Q$20001,DATA_TS!$A$2:$A$20001,$B337,DATA_TS!$E$2:$E$20001,"Hauler")+SUMIFS(DATA_TS!$R$2:$R$20001,DATA_TS!$A$2:$A$20001,$B337,DATA_TS!$E$2:$E$20001,"Hauler")/1.3)=0,NA(),D337/(SUMIFS(DATA_TS!$Q$2:$Q$20001,DATA_TS!$A$2:$A$20001,$B337,DATA_TS!$E$2:$E$20001,"Hauler")+SUMIFS(DATA_TS!$R$2:$R$20001,DATA_TS!$A$2:$A$20001,$B337,DATA_TS!$E$2:$E$20001,"Hauler")/1.3)))</f>
        <v/>
      </c>
      <c r="I337" s="196">
        <f>IF($B337="",NA(),IF((SUMIFS(DATA_PLAN!$B$2:$B$20001,DATA_PLAN!$A$2:$A$20001,$B337)+SUMIFS(DATA_PLAN!$C$2:$C$20001,DATA_PLAN!$A$2:$A$20001,$B337)/1.3)=0,NA(),SUMIFS(DATA_PLAN!$D$2:$D$20001,DATA_PLAN!$A$2:$A$20001,$B337)/(SUMIFS(DATA_PLAN!$B$2:$B$20001,DATA_PLAN!$A$2:$A$20001,$B337)+SUMIFS(DATA_PLAN!$C$2:$C$20001,DATA_PLAN!$A$2:$A$20001,$B337)/1.3)))</f>
        <v/>
      </c>
      <c r="J337" s="196">
        <f>IF($B337="",NA(),IF((SUMIFS(DATA_TS!$Q$2:$Q$20001,DATA_TS!$A$2:$A$20001,$B337,DATA_TS!$E$2:$E$20001,"Hauler")+SUMIFS(DATA_TS!$R$2:$R$20001,DATA_TS!$A$2:$A$20001,$B337,DATA_TS!$E$2:$E$20001,"Hauler")/1.3)=0,NA(),(D337+E337+F337)/(SUMIFS(DATA_TS!$Q$2:$Q$20001,DATA_TS!$A$2:$A$20001,$B337,DATA_TS!$E$2:$E$20001,"Hauler")+SUMIFS(DATA_TS!$R$2:$R$20001,DATA_TS!$A$2:$A$20001,$B337,DATA_TS!$E$2:$E$20001,"Hauler")/1.3)))</f>
        <v/>
      </c>
      <c r="K337" s="196">
        <f>IF($B337="",NA(),IF((SUMIFS(DATA_PLAN!$B$2:$B$20001,DATA_PLAN!$A$2:$A$20001,$B337)+SUMIFS(DATA_PLAN!$C$2:$C$20001,DATA_PLAN!$A$2:$A$20001,$B337)/1.3)=0,NA(),G337/(SUMIFS(DATA_PLAN!$B$2:$B$20001,DATA_PLAN!$A$2:$A$20001,$B337)+SUMIFS(DATA_PLAN!$C$2:$C$20001,DATA_PLAN!$A$2:$A$20001,$B337)/1.3)))</f>
        <v/>
      </c>
    </row>
    <row r="338">
      <c r="A338" t="n">
        <v>28</v>
      </c>
      <c r="B338" s="192">
        <f>IF(Kalkulasi!$B$290+A338-1&lt;=Kalkulasi!$B$291,Kalkulasi!$B$290+A338-1,"")</f>
        <v/>
      </c>
      <c r="C338">
        <f>IF(B338="","",TEXT(B338,"d"))</f>
        <v/>
      </c>
      <c r="D338" s="194">
        <f>IF($B338="","",SUMIFS(DATA_FUEL!$F$2:$F$20001,DATA_FUEL!$A$2:$A$20001,$B338,DATA_FUEL!$D$2:$D$20001,"Mining"))</f>
        <v/>
      </c>
      <c r="E338" s="194">
        <f>IF($B338="","",SUMIFS(DATA_FUEL!$F$2:$F$20001,DATA_FUEL!$A$2:$A$20001,$B338,DATA_FUEL!$D$2:$D$20001,"Aux"))</f>
        <v/>
      </c>
      <c r="F338" s="194">
        <f>IF($B338="","",SUMIFS(DATA_FUEL!$F$2:$F$20001,DATA_FUEL!$A$2:$A$20001,$B338,DATA_FUEL!$D$2:$D$20001,"Vendor"))</f>
        <v/>
      </c>
      <c r="G338" s="194">
        <f>IF($B338="","",SUMIFS(DATA_PLAN!$E$2:$E$20001,DATA_PLAN!$A$2:$A$20001,$B338))</f>
        <v/>
      </c>
      <c r="H338" s="196">
        <f>IF($B338="",NA(),IF((SUMIFS(DATA_TS!$Q$2:$Q$20001,DATA_TS!$A$2:$A$20001,$B338,DATA_TS!$E$2:$E$20001,"Hauler")+SUMIFS(DATA_TS!$R$2:$R$20001,DATA_TS!$A$2:$A$20001,$B338,DATA_TS!$E$2:$E$20001,"Hauler")/1.3)=0,NA(),D338/(SUMIFS(DATA_TS!$Q$2:$Q$20001,DATA_TS!$A$2:$A$20001,$B338,DATA_TS!$E$2:$E$20001,"Hauler")+SUMIFS(DATA_TS!$R$2:$R$20001,DATA_TS!$A$2:$A$20001,$B338,DATA_TS!$E$2:$E$20001,"Hauler")/1.3)))</f>
        <v/>
      </c>
      <c r="I338" s="196">
        <f>IF($B338="",NA(),IF((SUMIFS(DATA_PLAN!$B$2:$B$20001,DATA_PLAN!$A$2:$A$20001,$B338)+SUMIFS(DATA_PLAN!$C$2:$C$20001,DATA_PLAN!$A$2:$A$20001,$B338)/1.3)=0,NA(),SUMIFS(DATA_PLAN!$D$2:$D$20001,DATA_PLAN!$A$2:$A$20001,$B338)/(SUMIFS(DATA_PLAN!$B$2:$B$20001,DATA_PLAN!$A$2:$A$20001,$B338)+SUMIFS(DATA_PLAN!$C$2:$C$20001,DATA_PLAN!$A$2:$A$20001,$B338)/1.3)))</f>
        <v/>
      </c>
      <c r="J338" s="196">
        <f>IF($B338="",NA(),IF((SUMIFS(DATA_TS!$Q$2:$Q$20001,DATA_TS!$A$2:$A$20001,$B338,DATA_TS!$E$2:$E$20001,"Hauler")+SUMIFS(DATA_TS!$R$2:$R$20001,DATA_TS!$A$2:$A$20001,$B338,DATA_TS!$E$2:$E$20001,"Hauler")/1.3)=0,NA(),(D338+E338+F338)/(SUMIFS(DATA_TS!$Q$2:$Q$20001,DATA_TS!$A$2:$A$20001,$B338,DATA_TS!$E$2:$E$20001,"Hauler")+SUMIFS(DATA_TS!$R$2:$R$20001,DATA_TS!$A$2:$A$20001,$B338,DATA_TS!$E$2:$E$20001,"Hauler")/1.3)))</f>
        <v/>
      </c>
      <c r="K338" s="196">
        <f>IF($B338="",NA(),IF((SUMIFS(DATA_PLAN!$B$2:$B$20001,DATA_PLAN!$A$2:$A$20001,$B338)+SUMIFS(DATA_PLAN!$C$2:$C$20001,DATA_PLAN!$A$2:$A$20001,$B338)/1.3)=0,NA(),G338/(SUMIFS(DATA_PLAN!$B$2:$B$20001,DATA_PLAN!$A$2:$A$20001,$B338)+SUMIFS(DATA_PLAN!$C$2:$C$20001,DATA_PLAN!$A$2:$A$20001,$B338)/1.3)))</f>
        <v/>
      </c>
    </row>
    <row r="339">
      <c r="A339" t="n">
        <v>29</v>
      </c>
      <c r="B339" s="192">
        <f>IF(Kalkulasi!$B$290+A339-1&lt;=Kalkulasi!$B$291,Kalkulasi!$B$290+A339-1,"")</f>
        <v/>
      </c>
      <c r="C339">
        <f>IF(B339="","",TEXT(B339,"d"))</f>
        <v/>
      </c>
      <c r="D339" s="194">
        <f>IF($B339="","",SUMIFS(DATA_FUEL!$F$2:$F$20001,DATA_FUEL!$A$2:$A$20001,$B339,DATA_FUEL!$D$2:$D$20001,"Mining"))</f>
        <v/>
      </c>
      <c r="E339" s="194">
        <f>IF($B339="","",SUMIFS(DATA_FUEL!$F$2:$F$20001,DATA_FUEL!$A$2:$A$20001,$B339,DATA_FUEL!$D$2:$D$20001,"Aux"))</f>
        <v/>
      </c>
      <c r="F339" s="194">
        <f>IF($B339="","",SUMIFS(DATA_FUEL!$F$2:$F$20001,DATA_FUEL!$A$2:$A$20001,$B339,DATA_FUEL!$D$2:$D$20001,"Vendor"))</f>
        <v/>
      </c>
      <c r="G339" s="194">
        <f>IF($B339="","",SUMIFS(DATA_PLAN!$E$2:$E$20001,DATA_PLAN!$A$2:$A$20001,$B339))</f>
        <v/>
      </c>
      <c r="H339" s="196">
        <f>IF($B339="",NA(),IF((SUMIFS(DATA_TS!$Q$2:$Q$20001,DATA_TS!$A$2:$A$20001,$B339,DATA_TS!$E$2:$E$20001,"Hauler")+SUMIFS(DATA_TS!$R$2:$R$20001,DATA_TS!$A$2:$A$20001,$B339,DATA_TS!$E$2:$E$20001,"Hauler")/1.3)=0,NA(),D339/(SUMIFS(DATA_TS!$Q$2:$Q$20001,DATA_TS!$A$2:$A$20001,$B339,DATA_TS!$E$2:$E$20001,"Hauler")+SUMIFS(DATA_TS!$R$2:$R$20001,DATA_TS!$A$2:$A$20001,$B339,DATA_TS!$E$2:$E$20001,"Hauler")/1.3)))</f>
        <v/>
      </c>
      <c r="I339" s="196">
        <f>IF($B339="",NA(),IF((SUMIFS(DATA_PLAN!$B$2:$B$20001,DATA_PLAN!$A$2:$A$20001,$B339)+SUMIFS(DATA_PLAN!$C$2:$C$20001,DATA_PLAN!$A$2:$A$20001,$B339)/1.3)=0,NA(),SUMIFS(DATA_PLAN!$D$2:$D$20001,DATA_PLAN!$A$2:$A$20001,$B339)/(SUMIFS(DATA_PLAN!$B$2:$B$20001,DATA_PLAN!$A$2:$A$20001,$B339)+SUMIFS(DATA_PLAN!$C$2:$C$20001,DATA_PLAN!$A$2:$A$20001,$B339)/1.3)))</f>
        <v/>
      </c>
      <c r="J339" s="196">
        <f>IF($B339="",NA(),IF((SUMIFS(DATA_TS!$Q$2:$Q$20001,DATA_TS!$A$2:$A$20001,$B339,DATA_TS!$E$2:$E$20001,"Hauler")+SUMIFS(DATA_TS!$R$2:$R$20001,DATA_TS!$A$2:$A$20001,$B339,DATA_TS!$E$2:$E$20001,"Hauler")/1.3)=0,NA(),(D339+E339+F339)/(SUMIFS(DATA_TS!$Q$2:$Q$20001,DATA_TS!$A$2:$A$20001,$B339,DATA_TS!$E$2:$E$20001,"Hauler")+SUMIFS(DATA_TS!$R$2:$R$20001,DATA_TS!$A$2:$A$20001,$B339,DATA_TS!$E$2:$E$20001,"Hauler")/1.3)))</f>
        <v/>
      </c>
      <c r="K339" s="196">
        <f>IF($B339="",NA(),IF((SUMIFS(DATA_PLAN!$B$2:$B$20001,DATA_PLAN!$A$2:$A$20001,$B339)+SUMIFS(DATA_PLAN!$C$2:$C$20001,DATA_PLAN!$A$2:$A$20001,$B339)/1.3)=0,NA(),G339/(SUMIFS(DATA_PLAN!$B$2:$B$20001,DATA_PLAN!$A$2:$A$20001,$B339)+SUMIFS(DATA_PLAN!$C$2:$C$20001,DATA_PLAN!$A$2:$A$20001,$B339)/1.3)))</f>
        <v/>
      </c>
    </row>
    <row r="340">
      <c r="A340" t="n">
        <v>30</v>
      </c>
      <c r="B340" s="192">
        <f>IF(Kalkulasi!$B$290+A340-1&lt;=Kalkulasi!$B$291,Kalkulasi!$B$290+A340-1,"")</f>
        <v/>
      </c>
      <c r="C340">
        <f>IF(B340="","",TEXT(B340,"d"))</f>
        <v/>
      </c>
      <c r="D340" s="194">
        <f>IF($B340="","",SUMIFS(DATA_FUEL!$F$2:$F$20001,DATA_FUEL!$A$2:$A$20001,$B340,DATA_FUEL!$D$2:$D$20001,"Mining"))</f>
        <v/>
      </c>
      <c r="E340" s="194">
        <f>IF($B340="","",SUMIFS(DATA_FUEL!$F$2:$F$20001,DATA_FUEL!$A$2:$A$20001,$B340,DATA_FUEL!$D$2:$D$20001,"Aux"))</f>
        <v/>
      </c>
      <c r="F340" s="194">
        <f>IF($B340="","",SUMIFS(DATA_FUEL!$F$2:$F$20001,DATA_FUEL!$A$2:$A$20001,$B340,DATA_FUEL!$D$2:$D$20001,"Vendor"))</f>
        <v/>
      </c>
      <c r="G340" s="194">
        <f>IF($B340="","",SUMIFS(DATA_PLAN!$E$2:$E$20001,DATA_PLAN!$A$2:$A$20001,$B340))</f>
        <v/>
      </c>
      <c r="H340" s="196">
        <f>IF($B340="",NA(),IF((SUMIFS(DATA_TS!$Q$2:$Q$20001,DATA_TS!$A$2:$A$20001,$B340,DATA_TS!$E$2:$E$20001,"Hauler")+SUMIFS(DATA_TS!$R$2:$R$20001,DATA_TS!$A$2:$A$20001,$B340,DATA_TS!$E$2:$E$20001,"Hauler")/1.3)=0,NA(),D340/(SUMIFS(DATA_TS!$Q$2:$Q$20001,DATA_TS!$A$2:$A$20001,$B340,DATA_TS!$E$2:$E$20001,"Hauler")+SUMIFS(DATA_TS!$R$2:$R$20001,DATA_TS!$A$2:$A$20001,$B340,DATA_TS!$E$2:$E$20001,"Hauler")/1.3)))</f>
        <v/>
      </c>
      <c r="I340" s="196">
        <f>IF($B340="",NA(),IF((SUMIFS(DATA_PLAN!$B$2:$B$20001,DATA_PLAN!$A$2:$A$20001,$B340)+SUMIFS(DATA_PLAN!$C$2:$C$20001,DATA_PLAN!$A$2:$A$20001,$B340)/1.3)=0,NA(),SUMIFS(DATA_PLAN!$D$2:$D$20001,DATA_PLAN!$A$2:$A$20001,$B340)/(SUMIFS(DATA_PLAN!$B$2:$B$20001,DATA_PLAN!$A$2:$A$20001,$B340)+SUMIFS(DATA_PLAN!$C$2:$C$20001,DATA_PLAN!$A$2:$A$20001,$B340)/1.3)))</f>
        <v/>
      </c>
      <c r="J340" s="196">
        <f>IF($B340="",NA(),IF((SUMIFS(DATA_TS!$Q$2:$Q$20001,DATA_TS!$A$2:$A$20001,$B340,DATA_TS!$E$2:$E$20001,"Hauler")+SUMIFS(DATA_TS!$R$2:$R$20001,DATA_TS!$A$2:$A$20001,$B340,DATA_TS!$E$2:$E$20001,"Hauler")/1.3)=0,NA(),(D340+E340+F340)/(SUMIFS(DATA_TS!$Q$2:$Q$20001,DATA_TS!$A$2:$A$20001,$B340,DATA_TS!$E$2:$E$20001,"Hauler")+SUMIFS(DATA_TS!$R$2:$R$20001,DATA_TS!$A$2:$A$20001,$B340,DATA_TS!$E$2:$E$20001,"Hauler")/1.3)))</f>
        <v/>
      </c>
      <c r="K340" s="196">
        <f>IF($B340="",NA(),IF((SUMIFS(DATA_PLAN!$B$2:$B$20001,DATA_PLAN!$A$2:$A$20001,$B340)+SUMIFS(DATA_PLAN!$C$2:$C$20001,DATA_PLAN!$A$2:$A$20001,$B340)/1.3)=0,NA(),G340/(SUMIFS(DATA_PLAN!$B$2:$B$20001,DATA_PLAN!$A$2:$A$20001,$B340)+SUMIFS(DATA_PLAN!$C$2:$C$20001,DATA_PLAN!$A$2:$A$20001,$B340)/1.3)))</f>
        <v/>
      </c>
    </row>
    <row r="341">
      <c r="A341" t="n">
        <v>31</v>
      </c>
      <c r="B341" s="192">
        <f>IF(Kalkulasi!$B$290+A341-1&lt;=Kalkulasi!$B$291,Kalkulasi!$B$290+A341-1,"")</f>
        <v/>
      </c>
      <c r="C341">
        <f>IF(B341="","",TEXT(B341,"d"))</f>
        <v/>
      </c>
      <c r="D341" s="194">
        <f>IF($B341="","",SUMIFS(DATA_FUEL!$F$2:$F$20001,DATA_FUEL!$A$2:$A$20001,$B341,DATA_FUEL!$D$2:$D$20001,"Mining"))</f>
        <v/>
      </c>
      <c r="E341" s="194">
        <f>IF($B341="","",SUMIFS(DATA_FUEL!$F$2:$F$20001,DATA_FUEL!$A$2:$A$20001,$B341,DATA_FUEL!$D$2:$D$20001,"Aux"))</f>
        <v/>
      </c>
      <c r="F341" s="194">
        <f>IF($B341="","",SUMIFS(DATA_FUEL!$F$2:$F$20001,DATA_FUEL!$A$2:$A$20001,$B341,DATA_FUEL!$D$2:$D$20001,"Vendor"))</f>
        <v/>
      </c>
      <c r="G341" s="194">
        <f>IF($B341="","",SUMIFS(DATA_PLAN!$E$2:$E$20001,DATA_PLAN!$A$2:$A$20001,$B341))</f>
        <v/>
      </c>
      <c r="H341" s="196">
        <f>IF($B341="",NA(),IF((SUMIFS(DATA_TS!$Q$2:$Q$20001,DATA_TS!$A$2:$A$20001,$B341,DATA_TS!$E$2:$E$20001,"Hauler")+SUMIFS(DATA_TS!$R$2:$R$20001,DATA_TS!$A$2:$A$20001,$B341,DATA_TS!$E$2:$E$20001,"Hauler")/1.3)=0,NA(),D341/(SUMIFS(DATA_TS!$Q$2:$Q$20001,DATA_TS!$A$2:$A$20001,$B341,DATA_TS!$E$2:$E$20001,"Hauler")+SUMIFS(DATA_TS!$R$2:$R$20001,DATA_TS!$A$2:$A$20001,$B341,DATA_TS!$E$2:$E$20001,"Hauler")/1.3)))</f>
        <v/>
      </c>
      <c r="I341" s="196">
        <f>IF($B341="",NA(),IF((SUMIFS(DATA_PLAN!$B$2:$B$20001,DATA_PLAN!$A$2:$A$20001,$B341)+SUMIFS(DATA_PLAN!$C$2:$C$20001,DATA_PLAN!$A$2:$A$20001,$B341)/1.3)=0,NA(),SUMIFS(DATA_PLAN!$D$2:$D$20001,DATA_PLAN!$A$2:$A$20001,$B341)/(SUMIFS(DATA_PLAN!$B$2:$B$20001,DATA_PLAN!$A$2:$A$20001,$B341)+SUMIFS(DATA_PLAN!$C$2:$C$20001,DATA_PLAN!$A$2:$A$20001,$B341)/1.3)))</f>
        <v/>
      </c>
      <c r="J341" s="196">
        <f>IF($B341="",NA(),IF((SUMIFS(DATA_TS!$Q$2:$Q$20001,DATA_TS!$A$2:$A$20001,$B341,DATA_TS!$E$2:$E$20001,"Hauler")+SUMIFS(DATA_TS!$R$2:$R$20001,DATA_TS!$A$2:$A$20001,$B341,DATA_TS!$E$2:$E$20001,"Hauler")/1.3)=0,NA(),(D341+E341+F341)/(SUMIFS(DATA_TS!$Q$2:$Q$20001,DATA_TS!$A$2:$A$20001,$B341,DATA_TS!$E$2:$E$20001,"Hauler")+SUMIFS(DATA_TS!$R$2:$R$20001,DATA_TS!$A$2:$A$20001,$B341,DATA_TS!$E$2:$E$20001,"Hauler")/1.3)))</f>
        <v/>
      </c>
      <c r="K341" s="196">
        <f>IF($B341="",NA(),IF((SUMIFS(DATA_PLAN!$B$2:$B$20001,DATA_PLAN!$A$2:$A$20001,$B341)+SUMIFS(DATA_PLAN!$C$2:$C$20001,DATA_PLAN!$A$2:$A$20001,$B341)/1.3)=0,NA(),G341/(SUMIFS(DATA_PLAN!$B$2:$B$20001,DATA_PLAN!$A$2:$A$20001,$B341)+SUMIFS(DATA_PLAN!$C$2:$C$20001,DATA_PLAN!$A$2:$A$20001,$B341)/1.3)))</f>
        <v/>
      </c>
    </row>
    <row r="342">
      <c r="A342" s="156" t="n"/>
      <c r="B342" s="156" t="n"/>
      <c r="C342" s="156" t="n"/>
      <c r="D342" s="156" t="n"/>
      <c r="E342" s="156" t="n"/>
      <c r="F342" s="156" t="n"/>
      <c r="G342" s="156" t="n"/>
      <c r="H342" s="156" t="n"/>
      <c r="I342" s="156" t="n"/>
      <c r="J342" s="156" t="n"/>
      <c r="K342" s="156" t="n"/>
      <c r="L342" s="156" t="n"/>
      <c r="M342" s="156" t="n"/>
    </row>
    <row r="343">
      <c r="A343" s="171" t="inlineStr">
        <is>
          <t>Fuel per kategori</t>
        </is>
      </c>
      <c r="B343" s="156" t="n"/>
      <c r="C343" s="156" t="n"/>
      <c r="D343" s="156" t="n"/>
      <c r="E343" s="156" t="n"/>
      <c r="F343" s="156" t="n"/>
      <c r="G343" s="156" t="n"/>
      <c r="H343" s="156" t="n"/>
      <c r="I343" s="156" t="n"/>
      <c r="J343" s="156" t="n"/>
      <c r="K343" s="156" t="n"/>
      <c r="L343" s="156" t="n"/>
      <c r="M343" s="156" t="n"/>
    </row>
    <row r="344">
      <c r="A344" s="176" t="inlineStr">
        <is>
          <t>Kategori</t>
        </is>
      </c>
      <c r="B344" s="176" t="inlineStr">
        <is>
          <t>Liter</t>
        </is>
      </c>
      <c r="C344" s="176" t="inlineStr">
        <is>
          <t>Sort</t>
        </is>
      </c>
      <c r="D344" s="176" t="inlineStr">
        <is>
          <t>Rank</t>
        </is>
      </c>
      <c r="E344" s="176" t="inlineStr">
        <is>
          <t>Kategori urut</t>
        </is>
      </c>
      <c r="F344" s="176" t="inlineStr">
        <is>
          <t>Liter urut</t>
        </is>
      </c>
      <c r="G344" s="176" t="inlineStr">
        <is>
          <t>Porsi</t>
        </is>
      </c>
      <c r="H344" s="156" t="n"/>
      <c r="I344" s="156" t="n"/>
      <c r="J344" s="156" t="n"/>
      <c r="K344" s="156" t="n"/>
      <c r="L344" s="156" t="n"/>
      <c r="M344" s="156" t="n"/>
    </row>
    <row r="345">
      <c r="A345" s="156" t="inlineStr">
        <is>
          <t>Hauler</t>
        </is>
      </c>
      <c r="B345" s="183">
        <f>SUMIFS(DATA_FUEL!$F$2:$F$20001,DATA_FUEL!$A$2:$A$20001,"&gt;="&amp;Kalkulasi!$B$290,DATA_FUEL!$A$2:$A$20001,"&lt;="&amp;Kalkulasi!$B$291,DATA_FUEL!$D$2:$D$20001,Kalkulasi!$B$293,DATA_FUEL!$C$2:$C$20001,$A345)</f>
        <v/>
      </c>
      <c r="C345" s="156">
        <f>B345+ROW()/1000000</f>
        <v/>
      </c>
      <c r="D345" s="156" t="n">
        <v>1</v>
      </c>
      <c r="E345" s="156">
        <f>INDEX($A$345:$A$359,MATCH(LARGE($C$345:$C$359,D345),$C$345:$C$359,0))</f>
        <v/>
      </c>
      <c r="F345" s="183">
        <f>INDEX($B$345:$B$359,MATCH(LARGE($C$345:$C$359,D345),$C$345:$C$359,0))</f>
        <v/>
      </c>
      <c r="G345" s="189">
        <f>IF(SUM($B$345:$B$359)=0,0,F345/SUM($B$345:$B$359))</f>
        <v/>
      </c>
      <c r="H345" s="156" t="n"/>
      <c r="I345" s="156" t="n"/>
      <c r="J345" s="156" t="n"/>
      <c r="K345" s="156" t="n"/>
      <c r="L345" s="156" t="n"/>
      <c r="M345" s="156" t="n"/>
    </row>
    <row r="346">
      <c r="A346" s="156" t="inlineStr">
        <is>
          <t>Excavator</t>
        </is>
      </c>
      <c r="B346" s="183">
        <f>SUMIFS(DATA_FUEL!$F$2:$F$20001,DATA_FUEL!$A$2:$A$20001,"&gt;="&amp;Kalkulasi!$B$290,DATA_FUEL!$A$2:$A$20001,"&lt;="&amp;Kalkulasi!$B$291,DATA_FUEL!$D$2:$D$20001,Kalkulasi!$B$293,DATA_FUEL!$C$2:$C$20001,$A346)</f>
        <v/>
      </c>
      <c r="C346" s="156">
        <f>B346+ROW()/1000000</f>
        <v/>
      </c>
      <c r="D346" s="156" t="n">
        <v>2</v>
      </c>
      <c r="E346" s="156">
        <f>INDEX($A$345:$A$359,MATCH(LARGE($C$345:$C$359,D346),$C$345:$C$359,0))</f>
        <v/>
      </c>
      <c r="F346" s="183">
        <f>INDEX($B$345:$B$359,MATCH(LARGE($C$345:$C$359,D346),$C$345:$C$359,0))</f>
        <v/>
      </c>
      <c r="G346" s="189">
        <f>IF(SUM($B$345:$B$359)=0,0,F346/SUM($B$345:$B$359))</f>
        <v/>
      </c>
      <c r="H346" s="156" t="n"/>
      <c r="I346" s="156" t="n"/>
      <c r="J346" s="156" t="n"/>
      <c r="K346" s="156" t="n"/>
      <c r="L346" s="156" t="n"/>
      <c r="M346" s="156" t="n"/>
    </row>
    <row r="347">
      <c r="A347" s="156" t="inlineStr">
        <is>
          <t>Genset</t>
        </is>
      </c>
      <c r="B347" s="183">
        <f>SUMIFS(DATA_FUEL!$F$2:$F$20001,DATA_FUEL!$A$2:$A$20001,"&gt;="&amp;Kalkulasi!$B$290,DATA_FUEL!$A$2:$A$20001,"&lt;="&amp;Kalkulasi!$B$291,DATA_FUEL!$D$2:$D$20001,Kalkulasi!$B$293,DATA_FUEL!$C$2:$C$20001,$A347)</f>
        <v/>
      </c>
      <c r="C347" s="156">
        <f>B347+ROW()/1000000</f>
        <v/>
      </c>
      <c r="D347" s="156" t="n">
        <v>3</v>
      </c>
      <c r="E347" s="156">
        <f>INDEX($A$345:$A$359,MATCH(LARGE($C$345:$C$359,D347),$C$345:$C$359,0))</f>
        <v/>
      </c>
      <c r="F347" s="183">
        <f>INDEX($B$345:$B$359,MATCH(LARGE($C$345:$C$359,D347),$C$345:$C$359,0))</f>
        <v/>
      </c>
      <c r="G347" s="189">
        <f>IF(SUM($B$345:$B$359)=0,0,F347/SUM($B$345:$B$359))</f>
        <v/>
      </c>
      <c r="H347" s="156" t="n"/>
      <c r="I347" s="156" t="n"/>
      <c r="J347" s="156" t="n"/>
      <c r="K347" s="156" t="n"/>
      <c r="L347" s="156" t="n"/>
      <c r="M347" s="156" t="n"/>
    </row>
    <row r="348">
      <c r="A348" s="156" t="inlineStr">
        <is>
          <t>Bulldozer</t>
        </is>
      </c>
      <c r="B348" s="183">
        <f>SUMIFS(DATA_FUEL!$F$2:$F$20001,DATA_FUEL!$A$2:$A$20001,"&gt;="&amp;Kalkulasi!$B$290,DATA_FUEL!$A$2:$A$20001,"&lt;="&amp;Kalkulasi!$B$291,DATA_FUEL!$D$2:$D$20001,Kalkulasi!$B$293,DATA_FUEL!$C$2:$C$20001,$A348)</f>
        <v/>
      </c>
      <c r="C348" s="156">
        <f>B348+ROW()/1000000</f>
        <v/>
      </c>
      <c r="D348" s="156" t="n">
        <v>4</v>
      </c>
      <c r="E348" s="156">
        <f>INDEX($A$345:$A$359,MATCH(LARGE($C$345:$C$359,D348),$C$345:$C$359,0))</f>
        <v/>
      </c>
      <c r="F348" s="183">
        <f>INDEX($B$345:$B$359,MATCH(LARGE($C$345:$C$359,D348),$C$345:$C$359,0))</f>
        <v/>
      </c>
      <c r="G348" s="189">
        <f>IF(SUM($B$345:$B$359)=0,0,F348/SUM($B$345:$B$359))</f>
        <v/>
      </c>
      <c r="H348" s="156" t="n"/>
      <c r="I348" s="156" t="n"/>
      <c r="J348" s="156" t="n"/>
      <c r="K348" s="156" t="n"/>
      <c r="L348" s="156" t="n"/>
      <c r="M348" s="156" t="n"/>
    </row>
    <row r="349">
      <c r="A349" s="156" t="inlineStr">
        <is>
          <t>Pompa air</t>
        </is>
      </c>
      <c r="B349" s="183">
        <f>SUMIFS(DATA_FUEL!$F$2:$F$20001,DATA_FUEL!$A$2:$A$20001,"&gt;="&amp;Kalkulasi!$B$290,DATA_FUEL!$A$2:$A$20001,"&lt;="&amp;Kalkulasi!$B$291,DATA_FUEL!$D$2:$D$20001,Kalkulasi!$B$293,DATA_FUEL!$C$2:$C$20001,$A349)</f>
        <v/>
      </c>
      <c r="C349" s="156">
        <f>B349+ROW()/1000000</f>
        <v/>
      </c>
      <c r="D349" s="156" t="n">
        <v>5</v>
      </c>
      <c r="E349" s="156">
        <f>INDEX($A$345:$A$359,MATCH(LARGE($C$345:$C$359,D349),$C$345:$C$359,0))</f>
        <v/>
      </c>
      <c r="F349" s="183">
        <f>INDEX($B$345:$B$359,MATCH(LARGE($C$345:$C$359,D349),$C$345:$C$359,0))</f>
        <v/>
      </c>
      <c r="G349" s="189">
        <f>IF(SUM($B$345:$B$359)=0,0,F349/SUM($B$345:$B$359))</f>
        <v/>
      </c>
      <c r="H349" s="156" t="n"/>
      <c r="I349" s="156" t="n"/>
      <c r="J349" s="156" t="n"/>
      <c r="K349" s="156" t="n"/>
      <c r="L349" s="156" t="n"/>
      <c r="M349" s="156" t="n"/>
    </row>
    <row r="350">
      <c r="A350" s="156" t="inlineStr">
        <is>
          <t>Grader</t>
        </is>
      </c>
      <c r="B350" s="183">
        <f>SUMIFS(DATA_FUEL!$F$2:$F$20001,DATA_FUEL!$A$2:$A$20001,"&gt;="&amp;Kalkulasi!$B$290,DATA_FUEL!$A$2:$A$20001,"&lt;="&amp;Kalkulasi!$B$291,DATA_FUEL!$D$2:$D$20001,Kalkulasi!$B$293,DATA_FUEL!$C$2:$C$20001,$A350)</f>
        <v/>
      </c>
      <c r="C350" s="156">
        <f>B350+ROW()/1000000</f>
        <v/>
      </c>
      <c r="D350" s="156" t="n">
        <v>6</v>
      </c>
      <c r="E350" s="156">
        <f>INDEX($A$345:$A$359,MATCH(LARGE($C$345:$C$359,D350),$C$345:$C$359,0))</f>
        <v/>
      </c>
      <c r="F350" s="183">
        <f>INDEX($B$345:$B$359,MATCH(LARGE($C$345:$C$359,D350),$C$345:$C$359,0))</f>
        <v/>
      </c>
      <c r="G350" s="189">
        <f>IF(SUM($B$345:$B$359)=0,0,F350/SUM($B$345:$B$359))</f>
        <v/>
      </c>
      <c r="H350" s="156" t="n"/>
      <c r="I350" s="156" t="n"/>
      <c r="J350" s="156" t="n"/>
      <c r="K350" s="156" t="n"/>
      <c r="L350" s="156" t="n"/>
      <c r="M350" s="156" t="n"/>
    </row>
    <row r="351">
      <c r="A351" s="156" t="inlineStr">
        <is>
          <t>Loader</t>
        </is>
      </c>
      <c r="B351" s="183">
        <f>SUMIFS(DATA_FUEL!$F$2:$F$20001,DATA_FUEL!$A$2:$A$20001,"&gt;="&amp;Kalkulasi!$B$290,DATA_FUEL!$A$2:$A$20001,"&lt;="&amp;Kalkulasi!$B$291,DATA_FUEL!$D$2:$D$20001,Kalkulasi!$B$293,DATA_FUEL!$C$2:$C$20001,$A351)</f>
        <v/>
      </c>
      <c r="C351" s="156">
        <f>B351+ROW()/1000000</f>
        <v/>
      </c>
      <c r="D351" s="156" t="n">
        <v>7</v>
      </c>
      <c r="E351" s="156">
        <f>INDEX($A$345:$A$359,MATCH(LARGE($C$345:$C$359,D351),$C$345:$C$359,0))</f>
        <v/>
      </c>
      <c r="F351" s="183">
        <f>INDEX($B$345:$B$359,MATCH(LARGE($C$345:$C$359,D351),$C$345:$C$359,0))</f>
        <v/>
      </c>
      <c r="G351" s="189">
        <f>IF(SUM($B$345:$B$359)=0,0,F351/SUM($B$345:$B$359))</f>
        <v/>
      </c>
      <c r="H351" s="156" t="n"/>
      <c r="I351" s="156" t="n"/>
      <c r="J351" s="156" t="n"/>
      <c r="K351" s="156" t="n"/>
      <c r="L351" s="156" t="n"/>
      <c r="M351" s="156" t="n"/>
    </row>
    <row r="352">
      <c r="A352" s="156" t="inlineStr">
        <is>
          <t>Alat lain</t>
        </is>
      </c>
      <c r="B352" s="183">
        <f>SUMIFS(DATA_FUEL!$F$2:$F$20001,DATA_FUEL!$A$2:$A$20001,"&gt;="&amp;Kalkulasi!$B$290,DATA_FUEL!$A$2:$A$20001,"&lt;="&amp;Kalkulasi!$B$291,DATA_FUEL!$D$2:$D$20001,Kalkulasi!$B$293,DATA_FUEL!$C$2:$C$20001,$A352)</f>
        <v/>
      </c>
      <c r="C352" s="156">
        <f>B352+ROW()/1000000</f>
        <v/>
      </c>
      <c r="D352" s="156" t="n">
        <v>8</v>
      </c>
      <c r="E352" s="156">
        <f>INDEX($A$345:$A$359,MATCH(LARGE($C$345:$C$359,D352),$C$345:$C$359,0))</f>
        <v/>
      </c>
      <c r="F352" s="183">
        <f>INDEX($B$345:$B$359,MATCH(LARGE($C$345:$C$359,D352),$C$345:$C$359,0))</f>
        <v/>
      </c>
      <c r="G352" s="189">
        <f>IF(SUM($B$345:$B$359)=0,0,F352/SUM($B$345:$B$359))</f>
        <v/>
      </c>
      <c r="H352" s="156" t="n"/>
      <c r="I352" s="156" t="n"/>
      <c r="J352" s="156" t="n"/>
      <c r="K352" s="156" t="n"/>
      <c r="L352" s="156" t="n"/>
      <c r="M352" s="156" t="n"/>
    </row>
    <row r="353">
      <c r="A353" s="156" t="inlineStr">
        <is>
          <t>DT Hauling</t>
        </is>
      </c>
      <c r="B353" s="183">
        <f>SUMIFS(DATA_FUEL!$F$2:$F$20001,DATA_FUEL!$A$2:$A$20001,"&gt;="&amp;Kalkulasi!$B$290,DATA_FUEL!$A$2:$A$20001,"&lt;="&amp;Kalkulasi!$B$291,DATA_FUEL!$D$2:$D$20001,Kalkulasi!$B$293,DATA_FUEL!$C$2:$C$20001,$A353)</f>
        <v/>
      </c>
      <c r="C353" s="156">
        <f>B353+ROW()/1000000</f>
        <v/>
      </c>
      <c r="D353" s="156" t="n">
        <v>9</v>
      </c>
      <c r="E353" s="156">
        <f>INDEX($A$345:$A$359,MATCH(LARGE($C$345:$C$359,D353),$C$345:$C$359,0))</f>
        <v/>
      </c>
      <c r="F353" s="183">
        <f>INDEX($B$345:$B$359,MATCH(LARGE($C$345:$C$359,D353),$C$345:$C$359,0))</f>
        <v/>
      </c>
      <c r="G353" s="189">
        <f>IF(SUM($B$345:$B$359)=0,0,F353/SUM($B$345:$B$359))</f>
        <v/>
      </c>
      <c r="H353" s="156" t="n"/>
      <c r="I353" s="156" t="n"/>
      <c r="J353" s="156" t="n"/>
      <c r="K353" s="156" t="n"/>
      <c r="L353" s="156" t="n"/>
      <c r="M353" s="156" t="n"/>
    </row>
    <row r="354">
      <c r="A354" s="156" t="inlineStr">
        <is>
          <t>Truk support</t>
        </is>
      </c>
      <c r="B354" s="183">
        <f>SUMIFS(DATA_FUEL!$F$2:$F$20001,DATA_FUEL!$A$2:$A$20001,"&gt;="&amp;Kalkulasi!$B$290,DATA_FUEL!$A$2:$A$20001,"&lt;="&amp;Kalkulasi!$B$291,DATA_FUEL!$D$2:$D$20001,Kalkulasi!$B$293,DATA_FUEL!$C$2:$C$20001,$A354)</f>
        <v/>
      </c>
      <c r="C354" s="156">
        <f>B354+ROW()/1000000</f>
        <v/>
      </c>
      <c r="D354" s="156" t="n">
        <v>10</v>
      </c>
      <c r="E354" s="156">
        <f>INDEX($A$345:$A$359,MATCH(LARGE($C$345:$C$359,D354),$C$345:$C$359,0))</f>
        <v/>
      </c>
      <c r="F354" s="183">
        <f>INDEX($B$345:$B$359,MATCH(LARGE($C$345:$C$359,D354),$C$345:$C$359,0))</f>
        <v/>
      </c>
      <c r="G354" s="189">
        <f>IF(SUM($B$345:$B$359)=0,0,F354/SUM($B$345:$B$359))</f>
        <v/>
      </c>
      <c r="H354" s="156" t="n"/>
      <c r="I354" s="156" t="n"/>
      <c r="J354" s="156" t="n"/>
      <c r="K354" s="156" t="n"/>
      <c r="L354" s="156" t="n"/>
      <c r="M354" s="156" t="n"/>
    </row>
    <row r="355">
      <c r="A355" s="156" t="inlineStr">
        <is>
          <t>LV &amp; sarana</t>
        </is>
      </c>
      <c r="B355" s="183">
        <f>SUMIFS(DATA_FUEL!$F$2:$F$20001,DATA_FUEL!$A$2:$A$20001,"&gt;="&amp;Kalkulasi!$B$290,DATA_FUEL!$A$2:$A$20001,"&lt;="&amp;Kalkulasi!$B$291,DATA_FUEL!$D$2:$D$20001,Kalkulasi!$B$293,DATA_FUEL!$C$2:$C$20001,$A355)</f>
        <v/>
      </c>
      <c r="C355" s="156">
        <f>B355+ROW()/1000000</f>
        <v/>
      </c>
      <c r="D355" s="156" t="n">
        <v>11</v>
      </c>
      <c r="E355" s="156">
        <f>INDEX($A$345:$A$359,MATCH(LARGE($C$345:$C$359,D355),$C$345:$C$359,0))</f>
        <v/>
      </c>
      <c r="F355" s="183">
        <f>INDEX($B$345:$B$359,MATCH(LARGE($C$345:$C$359,D355),$C$345:$C$359,0))</f>
        <v/>
      </c>
      <c r="G355" s="189">
        <f>IF(SUM($B$345:$B$359)=0,0,F355/SUM($B$345:$B$359))</f>
        <v/>
      </c>
      <c r="H355" s="156" t="n"/>
      <c r="I355" s="156" t="n"/>
      <c r="J355" s="156" t="n"/>
      <c r="K355" s="156" t="n"/>
      <c r="L355" s="156" t="n"/>
      <c r="M355" s="156" t="n"/>
    </row>
    <row r="356">
      <c r="A356" s="156" t="inlineStr">
        <is>
          <t>Compactor</t>
        </is>
      </c>
      <c r="B356" s="183">
        <f>SUMIFS(DATA_FUEL!$F$2:$F$20001,DATA_FUEL!$A$2:$A$20001,"&gt;="&amp;Kalkulasi!$B$290,DATA_FUEL!$A$2:$A$20001,"&lt;="&amp;Kalkulasi!$B$291,DATA_FUEL!$D$2:$D$20001,Kalkulasi!$B$293,DATA_FUEL!$C$2:$C$20001,$A356)</f>
        <v/>
      </c>
      <c r="C356" s="156">
        <f>B356+ROW()/1000000</f>
        <v/>
      </c>
      <c r="D356" s="156" t="n">
        <v>12</v>
      </c>
      <c r="E356" s="156">
        <f>INDEX($A$345:$A$359,MATCH(LARGE($C$345:$C$359,D356),$C$345:$C$359,0))</f>
        <v/>
      </c>
      <c r="F356" s="183">
        <f>INDEX($B$345:$B$359,MATCH(LARGE($C$345:$C$359,D356),$C$345:$C$359,0))</f>
        <v/>
      </c>
      <c r="G356" s="189">
        <f>IF(SUM($B$345:$B$359)=0,0,F356/SUM($B$345:$B$359))</f>
        <v/>
      </c>
      <c r="H356" s="156" t="n"/>
      <c r="I356" s="156" t="n"/>
      <c r="J356" s="156" t="n"/>
      <c r="K356" s="156" t="n"/>
      <c r="L356" s="156" t="n"/>
      <c r="M356" s="156" t="n"/>
    </row>
    <row r="357">
      <c r="A357" s="156" t="inlineStr">
        <is>
          <t>Tower lamp</t>
        </is>
      </c>
      <c r="B357" s="183">
        <f>SUMIFS(DATA_FUEL!$F$2:$F$20001,DATA_FUEL!$A$2:$A$20001,"&gt;="&amp;Kalkulasi!$B$290,DATA_FUEL!$A$2:$A$20001,"&lt;="&amp;Kalkulasi!$B$291,DATA_FUEL!$D$2:$D$20001,Kalkulasi!$B$293,DATA_FUEL!$C$2:$C$20001,$A357)</f>
        <v/>
      </c>
      <c r="C357" s="156">
        <f>B357+ROW()/1000000</f>
        <v/>
      </c>
      <c r="D357" s="156" t="n">
        <v>13</v>
      </c>
      <c r="E357" s="156">
        <f>INDEX($A$345:$A$359,MATCH(LARGE($C$345:$C$359,D357),$C$345:$C$359,0))</f>
        <v/>
      </c>
      <c r="F357" s="183">
        <f>INDEX($B$345:$B$359,MATCH(LARGE($C$345:$C$359,D357),$C$345:$C$359,0))</f>
        <v/>
      </c>
      <c r="G357" s="189">
        <f>IF(SUM($B$345:$B$359)=0,0,F357/SUM($B$345:$B$359))</f>
        <v/>
      </c>
      <c r="H357" s="156" t="n"/>
      <c r="I357" s="156" t="n"/>
      <c r="J357" s="156" t="n"/>
      <c r="K357" s="156" t="n"/>
      <c r="L357" s="156" t="n"/>
      <c r="M357" s="156" t="n"/>
    </row>
    <row r="358">
      <c r="A358" s="156" t="inlineStr">
        <is>
          <t>Vendor</t>
        </is>
      </c>
      <c r="B358" s="183">
        <f>SUMIFS(DATA_FUEL!$F$2:$F$20001,DATA_FUEL!$A$2:$A$20001,"&gt;="&amp;Kalkulasi!$B$290,DATA_FUEL!$A$2:$A$20001,"&lt;="&amp;Kalkulasi!$B$291,DATA_FUEL!$D$2:$D$20001,Kalkulasi!$B$293,DATA_FUEL!$C$2:$C$20001,$A358)</f>
        <v/>
      </c>
      <c r="C358" s="156">
        <f>B358+ROW()/1000000</f>
        <v/>
      </c>
      <c r="D358" s="156" t="n">
        <v>14</v>
      </c>
      <c r="E358" s="156">
        <f>INDEX($A$345:$A$359,MATCH(LARGE($C$345:$C$359,D358),$C$345:$C$359,0))</f>
        <v/>
      </c>
      <c r="F358" s="183">
        <f>INDEX($B$345:$B$359,MATCH(LARGE($C$345:$C$359,D358),$C$345:$C$359,0))</f>
        <v/>
      </c>
      <c r="G358" s="189">
        <f>IF(SUM($B$345:$B$359)=0,0,F358/SUM($B$345:$B$359))</f>
        <v/>
      </c>
      <c r="H358" s="156" t="n"/>
      <c r="I358" s="156" t="n"/>
      <c r="J358" s="156" t="n"/>
      <c r="K358" s="156" t="n"/>
      <c r="L358" s="156" t="n"/>
      <c r="M358" s="156" t="n"/>
    </row>
    <row r="359">
      <c r="A359" s="156" t="inlineStr">
        <is>
          <t>DT Hino</t>
        </is>
      </c>
      <c r="B359" s="183">
        <f>SUMIFS(DATA_FUEL!$F$2:$F$20001,DATA_FUEL!$A$2:$A$20001,"&gt;="&amp;Kalkulasi!$B$290,DATA_FUEL!$A$2:$A$20001,"&lt;="&amp;Kalkulasi!$B$291,DATA_FUEL!$D$2:$D$20001,Kalkulasi!$B$293,DATA_FUEL!$C$2:$C$20001,$A359)</f>
        <v/>
      </c>
      <c r="C359" s="156">
        <f>B359+ROW()/1000000</f>
        <v/>
      </c>
      <c r="D359" s="156" t="n">
        <v>15</v>
      </c>
      <c r="E359" s="156">
        <f>INDEX($A$345:$A$359,MATCH(LARGE($C$345:$C$359,D359),$C$345:$C$359,0))</f>
        <v/>
      </c>
      <c r="F359" s="183">
        <f>INDEX($B$345:$B$359,MATCH(LARGE($C$345:$C$359,D359),$C$345:$C$359,0))</f>
        <v/>
      </c>
      <c r="G359" s="189">
        <f>IF(SUM($B$345:$B$359)=0,0,F359/SUM($B$345:$B$359))</f>
        <v/>
      </c>
      <c r="H359" s="156" t="n"/>
      <c r="I359" s="156" t="n"/>
      <c r="J359" s="156" t="n"/>
      <c r="K359" s="156" t="n"/>
      <c r="L359" s="156" t="n"/>
      <c r="M359" s="156" t="n"/>
    </row>
    <row r="360">
      <c r="A360" s="156" t="n"/>
      <c r="B360" s="156" t="n"/>
      <c r="C360" s="156" t="n"/>
      <c r="D360" s="156" t="n"/>
      <c r="E360" s="156" t="n"/>
      <c r="F360" s="156" t="n"/>
      <c r="G360" s="156" t="n"/>
      <c r="H360" s="156" t="n"/>
      <c r="I360" s="156" t="n"/>
      <c r="J360" s="156" t="n"/>
      <c r="K360" s="156" t="n"/>
      <c r="L360" s="156" t="n"/>
      <c r="M360" s="156" t="n"/>
    </row>
    <row r="361">
      <c r="A361" s="156" t="n"/>
      <c r="B361" s="156" t="n"/>
      <c r="C361" s="156" t="n"/>
      <c r="D361" s="156" t="n"/>
      <c r="E361" s="156" t="n"/>
      <c r="F361" s="156" t="n"/>
      <c r="G361" s="156" t="n"/>
      <c r="H361" s="156" t="n"/>
      <c r="I361" s="156" t="n"/>
      <c r="J361" s="156" t="n"/>
      <c r="K361" s="156" t="n"/>
      <c r="L361" s="156" t="n"/>
      <c r="M361" s="156" t="n"/>
    </row>
    <row r="362">
      <c r="A362" s="171" t="inlineStr">
        <is>
          <t>Donut fuel (6 teratas + lainnya)</t>
        </is>
      </c>
      <c r="B362" s="156" t="n"/>
      <c r="C362" s="156" t="n"/>
      <c r="D362" s="156" t="n"/>
      <c r="E362" s="156" t="n"/>
      <c r="F362" s="156" t="n"/>
      <c r="G362" s="156" t="n"/>
      <c r="H362" s="156" t="n"/>
      <c r="I362" s="156" t="n"/>
      <c r="J362" s="156" t="n"/>
      <c r="K362" s="156" t="n"/>
      <c r="L362" s="156" t="n"/>
      <c r="M362" s="156" t="n"/>
    </row>
    <row r="363">
      <c r="A363" s="156">
        <f>E345</f>
        <v/>
      </c>
      <c r="B363" s="183">
        <f>F345</f>
        <v/>
      </c>
      <c r="C363" s="189">
        <f>IF(SUM($B$363:$B$369)=0,0,B363/SUM($B$363:$B$369))</f>
        <v/>
      </c>
      <c r="D363" s="156" t="n"/>
      <c r="E363" s="156" t="n"/>
      <c r="F363" s="156" t="n"/>
      <c r="G363" s="156" t="n"/>
      <c r="H363" s="156" t="n"/>
      <c r="I363" s="156" t="n"/>
      <c r="J363" s="156" t="n"/>
      <c r="K363" s="156" t="n"/>
      <c r="L363" s="156" t="n"/>
      <c r="M363" s="156" t="n"/>
    </row>
    <row r="364">
      <c r="A364" s="156">
        <f>E346</f>
        <v/>
      </c>
      <c r="B364" s="183">
        <f>F346</f>
        <v/>
      </c>
      <c r="C364" s="189">
        <f>IF(SUM($B$363:$B$369)=0,0,B364/SUM($B$363:$B$369))</f>
        <v/>
      </c>
      <c r="D364" s="156" t="n"/>
      <c r="E364" s="156" t="n"/>
      <c r="F364" s="156" t="n"/>
      <c r="G364" s="156" t="n"/>
      <c r="H364" s="156" t="n"/>
      <c r="I364" s="156" t="n"/>
      <c r="J364" s="156" t="n"/>
      <c r="K364" s="156" t="n"/>
      <c r="L364" s="156" t="n"/>
      <c r="M364" s="156" t="n"/>
    </row>
    <row r="365">
      <c r="A365" s="156">
        <f>E347</f>
        <v/>
      </c>
      <c r="B365" s="183">
        <f>F347</f>
        <v/>
      </c>
      <c r="C365" s="189">
        <f>IF(SUM($B$363:$B$369)=0,0,B365/SUM($B$363:$B$369))</f>
        <v/>
      </c>
      <c r="D365" s="156" t="n"/>
      <c r="E365" s="156" t="n"/>
      <c r="F365" s="156" t="n"/>
      <c r="G365" s="156" t="n"/>
      <c r="H365" s="156" t="n"/>
      <c r="I365" s="156" t="n"/>
      <c r="J365" s="156" t="n"/>
      <c r="K365" s="156" t="n"/>
      <c r="L365" s="156" t="n"/>
      <c r="M365" s="156" t="n"/>
    </row>
    <row r="366">
      <c r="A366" s="156">
        <f>E348</f>
        <v/>
      </c>
      <c r="B366" s="183">
        <f>F348</f>
        <v/>
      </c>
      <c r="C366" s="189">
        <f>IF(SUM($B$363:$B$369)=0,0,B366/SUM($B$363:$B$369))</f>
        <v/>
      </c>
      <c r="D366" s="156" t="n"/>
      <c r="E366" s="156" t="n"/>
      <c r="F366" s="156" t="n"/>
      <c r="G366" s="156" t="n"/>
      <c r="H366" s="156" t="n"/>
      <c r="I366" s="156" t="n"/>
      <c r="J366" s="156" t="n"/>
      <c r="K366" s="156" t="n"/>
      <c r="L366" s="156" t="n"/>
      <c r="M366" s="156" t="n"/>
    </row>
    <row r="367">
      <c r="A367" s="156">
        <f>E349</f>
        <v/>
      </c>
      <c r="B367" s="183">
        <f>F349</f>
        <v/>
      </c>
      <c r="C367" s="189">
        <f>IF(SUM($B$363:$B$369)=0,0,B367/SUM($B$363:$B$369))</f>
        <v/>
      </c>
      <c r="D367" s="156" t="n"/>
      <c r="E367" s="156" t="n"/>
      <c r="F367" s="156" t="n"/>
      <c r="G367" s="156" t="n"/>
      <c r="H367" s="156" t="n"/>
      <c r="I367" s="156" t="n"/>
      <c r="J367" s="156" t="n"/>
      <c r="K367" s="156" t="n"/>
      <c r="L367" s="156" t="n"/>
      <c r="M367" s="156" t="n"/>
    </row>
    <row r="368">
      <c r="A368" s="156">
        <f>E350</f>
        <v/>
      </c>
      <c r="B368" s="183">
        <f>F350</f>
        <v/>
      </c>
      <c r="C368" s="189">
        <f>IF(SUM($B$363:$B$369)=0,0,B368/SUM($B$363:$B$369))</f>
        <v/>
      </c>
      <c r="D368" s="156" t="n"/>
      <c r="E368" s="156" t="n"/>
      <c r="F368" s="156" t="n"/>
      <c r="G368" s="156" t="n"/>
      <c r="H368" s="156" t="n"/>
      <c r="I368" s="156" t="n"/>
      <c r="J368" s="156" t="n"/>
      <c r="K368" s="156" t="n"/>
      <c r="L368" s="156" t="n"/>
      <c r="M368" s="156" t="n"/>
    </row>
    <row r="369">
      <c r="A369" s="156" t="inlineStr">
        <is>
          <t>Lainnya</t>
        </is>
      </c>
      <c r="B369" s="183">
        <f>MAX(0,SUM($B$345:$B$359)-SUM(B363:B368))</f>
        <v/>
      </c>
      <c r="C369" s="189">
        <f>IF(SUM($B$363:$B$369)=0,0,B369/SUM($B$363:$B$369))</f>
        <v/>
      </c>
      <c r="D369" s="156" t="n"/>
      <c r="E369" s="156" t="n"/>
      <c r="F369" s="156" t="n"/>
      <c r="G369" s="156" t="n"/>
      <c r="H369" s="156" t="n"/>
      <c r="I369" s="156" t="n"/>
      <c r="J369" s="156" t="n"/>
      <c r="K369" s="156" t="n"/>
      <c r="L369" s="156" t="n"/>
      <c r="M369" s="156" t="n"/>
    </row>
    <row r="370">
      <c r="A370" s="156" t="n"/>
      <c r="B370" s="156" t="n"/>
      <c r="C370" s="156" t="n"/>
      <c r="D370" s="156" t="n"/>
      <c r="E370" s="156" t="n"/>
      <c r="F370" s="156" t="n"/>
      <c r="G370" s="156" t="n"/>
      <c r="H370" s="156" t="n"/>
      <c r="I370" s="156" t="n"/>
      <c r="J370" s="156" t="n"/>
      <c r="K370" s="156" t="n"/>
      <c r="L370" s="156" t="n"/>
      <c r="M370" s="156" t="n"/>
    </row>
    <row r="371">
      <c r="A371" s="156" t="n"/>
      <c r="B371" s="156" t="n"/>
      <c r="C371" s="156" t="n"/>
      <c r="D371" s="156" t="n"/>
      <c r="E371" s="156" t="n"/>
      <c r="F371" s="156" t="n"/>
      <c r="G371" s="156" t="n"/>
      <c r="H371" s="156" t="n"/>
      <c r="I371" s="156" t="n"/>
      <c r="J371" s="156" t="n"/>
      <c r="K371" s="156" t="n"/>
      <c r="L371" s="156" t="n"/>
      <c r="M371" s="156" t="n"/>
    </row>
    <row r="372">
      <c r="A372" s="171" t="inlineStr">
        <is>
          <t>Fuel per tipe (L/jam)</t>
        </is>
      </c>
      <c r="B372" s="156" t="n"/>
      <c r="C372" s="156" t="n"/>
      <c r="D372" s="156" t="n"/>
      <c r="E372" s="156" t="n"/>
      <c r="F372" s="156" t="n"/>
      <c r="G372" s="156" t="n"/>
      <c r="H372" s="156" t="n"/>
      <c r="I372" s="156" t="n"/>
      <c r="J372" s="156" t="n"/>
      <c r="K372" s="156" t="n"/>
      <c r="L372" s="156" t="n"/>
      <c r="M372" s="156" t="n"/>
    </row>
    <row r="373">
      <c r="A373" s="176" t="inlineStr">
        <is>
          <t>Tipe</t>
        </is>
      </c>
      <c r="B373" s="176" t="inlineStr">
        <is>
          <t>Class</t>
        </is>
      </c>
      <c r="C373" s="176" t="inlineStr">
        <is>
          <t>Liter</t>
        </is>
      </c>
      <c r="D373" s="176" t="inlineStr">
        <is>
          <t>HM</t>
        </is>
      </c>
      <c r="E373" s="176" t="inlineStr">
        <is>
          <t>L/jam</t>
        </is>
      </c>
      <c r="F373" s="176" t="inlineStr">
        <is>
          <t>Sort</t>
        </is>
      </c>
      <c r="G373" s="176" t="inlineStr">
        <is>
          <t>Rank</t>
        </is>
      </c>
      <c r="H373" s="176" t="inlineStr">
        <is>
          <t>Tipe urut</t>
        </is>
      </c>
      <c r="I373" s="176" t="inlineStr">
        <is>
          <t>Class urut</t>
        </is>
      </c>
      <c r="J373" s="176" t="inlineStr">
        <is>
          <t>Liter urut</t>
        </is>
      </c>
      <c r="K373" s="176" t="inlineStr">
        <is>
          <t>HM urut</t>
        </is>
      </c>
      <c r="L373" s="176" t="inlineStr">
        <is>
          <t>L/jam urut</t>
        </is>
      </c>
      <c r="M373" s="156" t="n"/>
    </row>
    <row r="374">
      <c r="A374" s="156" t="inlineStr">
        <is>
          <t>SKT 105S</t>
        </is>
      </c>
      <c r="B374" s="156" t="inlineStr">
        <is>
          <t>Hauler</t>
        </is>
      </c>
      <c r="C374" s="183">
        <f>SUMIFS(DATA_FUEL!$F$2:$F$20001,DATA_FUEL!$A$2:$A$20001,"&gt;="&amp;Kalkulasi!$B$290,DATA_FUEL!$A$2:$A$20001,"&lt;="&amp;Kalkulasi!$B$291,DATA_FUEL!$D$2:$D$20001,Kalkulasi!$B$293,DATA_FUEL!$E$2:$E$20001,$A374)</f>
        <v/>
      </c>
      <c r="D374" s="183">
        <f>SUMIFS(DATA_TS!$G$2:$G$20001,DATA_TS!$A$2:$A$20001,"&gt;="&amp;Kalkulasi!$B$290,DATA_TS!$A$2:$A$20001,"&lt;="&amp;Kalkulasi!$B$291,DATA_TS!$D$2:$D$20001,$A374)</f>
        <v/>
      </c>
      <c r="E374" s="187">
        <f>IF(D374=0,0,C374/D374)</f>
        <v/>
      </c>
      <c r="F374" s="156">
        <f>C374+ROW()/1000000</f>
        <v/>
      </c>
      <c r="G374" s="156" t="n">
        <v>1</v>
      </c>
      <c r="H374" s="156">
        <f>INDEX($A$374:$A$393,MATCH(LARGE($F$374:$F$393,G374),$F$374:$F$393,0))</f>
        <v/>
      </c>
      <c r="I374" s="156">
        <f>INDEX($B$374:$B$393,MATCH(LARGE($F$374:$F$393,G374),$F$374:$F$393,0))</f>
        <v/>
      </c>
      <c r="J374" s="156">
        <f>INDEX($C$374:$C$393,MATCH(LARGE($F$374:$F$393,G374),$F$374:$F$393,0))</f>
        <v/>
      </c>
      <c r="K374" s="156">
        <f>INDEX($D$374:$D$393,MATCH(LARGE($F$374:$F$393,G374),$F$374:$F$393,0))</f>
        <v/>
      </c>
      <c r="L374" s="156">
        <f>INDEX($E$374:$E$393,MATCH(LARGE($F$374:$F$393,G374),$F$374:$F$393,0))</f>
        <v/>
      </c>
      <c r="M374" s="156" t="n"/>
    </row>
    <row r="375">
      <c r="A375" s="156" t="inlineStr">
        <is>
          <t>SY750H-PRO</t>
        </is>
      </c>
      <c r="B375" s="156" t="inlineStr">
        <is>
          <t>Excavator</t>
        </is>
      </c>
      <c r="C375" s="183">
        <f>SUMIFS(DATA_FUEL!$F$2:$F$20001,DATA_FUEL!$A$2:$A$20001,"&gt;="&amp;Kalkulasi!$B$290,DATA_FUEL!$A$2:$A$20001,"&lt;="&amp;Kalkulasi!$B$291,DATA_FUEL!$D$2:$D$20001,Kalkulasi!$B$293,DATA_FUEL!$E$2:$E$20001,$A375)</f>
        <v/>
      </c>
      <c r="D375" s="183">
        <f>SUMIFS(DATA_TS!$G$2:$G$20001,DATA_TS!$A$2:$A$20001,"&gt;="&amp;Kalkulasi!$B$290,DATA_TS!$A$2:$A$20001,"&lt;="&amp;Kalkulasi!$B$291,DATA_TS!$D$2:$D$20001,$A375)</f>
        <v/>
      </c>
      <c r="E375" s="187">
        <f>IF(D375=0,0,C375/D375)</f>
        <v/>
      </c>
      <c r="F375" s="156">
        <f>C375+ROW()/1000000</f>
        <v/>
      </c>
      <c r="G375" s="156" t="n">
        <v>2</v>
      </c>
      <c r="H375" s="156">
        <f>INDEX($A$374:$A$393,MATCH(LARGE($F$374:$F$393,G375),$F$374:$F$393,0))</f>
        <v/>
      </c>
      <c r="I375" s="156">
        <f>INDEX($B$374:$B$393,MATCH(LARGE($F$374:$F$393,G375),$F$374:$F$393,0))</f>
        <v/>
      </c>
      <c r="J375" s="156">
        <f>INDEX($C$374:$C$393,MATCH(LARGE($F$374:$F$393,G375),$F$374:$F$393,0))</f>
        <v/>
      </c>
      <c r="K375" s="156">
        <f>INDEX($D$374:$D$393,MATCH(LARGE($F$374:$F$393,G375),$F$374:$F$393,0))</f>
        <v/>
      </c>
      <c r="L375" s="156">
        <f>INDEX($E$374:$E$393,MATCH(LARGE($F$374:$F$393,G375),$F$374:$F$393,0))</f>
        <v/>
      </c>
      <c r="M375" s="156" t="n"/>
    </row>
    <row r="376">
      <c r="A376" s="156" t="inlineStr">
        <is>
          <t>SRT 95C</t>
        </is>
      </c>
      <c r="B376" s="156" t="inlineStr">
        <is>
          <t>Hauler</t>
        </is>
      </c>
      <c r="C376" s="183">
        <f>SUMIFS(DATA_FUEL!$F$2:$F$20001,DATA_FUEL!$A$2:$A$20001,"&gt;="&amp;Kalkulasi!$B$290,DATA_FUEL!$A$2:$A$20001,"&lt;="&amp;Kalkulasi!$B$291,DATA_FUEL!$D$2:$D$20001,Kalkulasi!$B$293,DATA_FUEL!$E$2:$E$20001,$A376)</f>
        <v/>
      </c>
      <c r="D376" s="183">
        <f>SUMIFS(DATA_TS!$G$2:$G$20001,DATA_TS!$A$2:$A$20001,"&gt;="&amp;Kalkulasi!$B$290,DATA_TS!$A$2:$A$20001,"&lt;="&amp;Kalkulasi!$B$291,DATA_TS!$D$2:$D$20001,$A376)</f>
        <v/>
      </c>
      <c r="E376" s="187">
        <f>IF(D376=0,0,C376/D376)</f>
        <v/>
      </c>
      <c r="F376" s="156">
        <f>C376+ROW()/1000000</f>
        <v/>
      </c>
      <c r="G376" s="156" t="n">
        <v>3</v>
      </c>
      <c r="H376" s="156">
        <f>INDEX($A$374:$A$393,MATCH(LARGE($F$374:$F$393,G376),$F$374:$F$393,0))</f>
        <v/>
      </c>
      <c r="I376" s="156">
        <f>INDEX($B$374:$B$393,MATCH(LARGE($F$374:$F$393,G376),$F$374:$F$393,0))</f>
        <v/>
      </c>
      <c r="J376" s="156">
        <f>INDEX($C$374:$C$393,MATCH(LARGE($F$374:$F$393,G376),$F$374:$F$393,0))</f>
        <v/>
      </c>
      <c r="K376" s="156">
        <f>INDEX($D$374:$D$393,MATCH(LARGE($F$374:$F$393,G376),$F$374:$F$393,0))</f>
        <v/>
      </c>
      <c r="L376" s="156">
        <f>INDEX($E$374:$E$393,MATCH(LARGE($F$374:$F$393,G376),$F$374:$F$393,0))</f>
        <v/>
      </c>
      <c r="M376" s="156" t="n"/>
    </row>
    <row r="377">
      <c r="A377" s="156" t="inlineStr">
        <is>
          <t>PC 300-8MO</t>
        </is>
      </c>
      <c r="B377" s="156" t="inlineStr">
        <is>
          <t>Excavator</t>
        </is>
      </c>
      <c r="C377" s="183">
        <f>SUMIFS(DATA_FUEL!$F$2:$F$20001,DATA_FUEL!$A$2:$A$20001,"&gt;="&amp;Kalkulasi!$B$290,DATA_FUEL!$A$2:$A$20001,"&lt;="&amp;Kalkulasi!$B$291,DATA_FUEL!$D$2:$D$20001,Kalkulasi!$B$293,DATA_FUEL!$E$2:$E$20001,$A377)</f>
        <v/>
      </c>
      <c r="D377" s="183">
        <f>SUMIFS(DATA_TS!$G$2:$G$20001,DATA_TS!$A$2:$A$20001,"&gt;="&amp;Kalkulasi!$B$290,DATA_TS!$A$2:$A$20001,"&lt;="&amp;Kalkulasi!$B$291,DATA_TS!$D$2:$D$20001,$A377)</f>
        <v/>
      </c>
      <c r="E377" s="187">
        <f>IF(D377=0,0,C377/D377)</f>
        <v/>
      </c>
      <c r="F377" s="156">
        <f>C377+ROW()/1000000</f>
        <v/>
      </c>
      <c r="G377" s="156" t="n">
        <v>4</v>
      </c>
      <c r="H377" s="156">
        <f>INDEX($A$374:$A$393,MATCH(LARGE($F$374:$F$393,G377),$F$374:$F$393,0))</f>
        <v/>
      </c>
      <c r="I377" s="156">
        <f>INDEX($B$374:$B$393,MATCH(LARGE($F$374:$F$393,G377),$F$374:$F$393,0))</f>
        <v/>
      </c>
      <c r="J377" s="156">
        <f>INDEX($C$374:$C$393,MATCH(LARGE($F$374:$F$393,G377),$F$374:$F$393,0))</f>
        <v/>
      </c>
      <c r="K377" s="156">
        <f>INDEX($D$374:$D$393,MATCH(LARGE($F$374:$F$393,G377),$F$374:$F$393,0))</f>
        <v/>
      </c>
      <c r="L377" s="156">
        <f>INDEX($E$374:$E$393,MATCH(LARGE($F$374:$F$393,G377),$F$374:$F$393,0))</f>
        <v/>
      </c>
      <c r="M377" s="156" t="n"/>
    </row>
    <row r="378">
      <c r="A378" s="156" t="inlineStr">
        <is>
          <t>SY1250</t>
        </is>
      </c>
      <c r="B378" s="156" t="inlineStr">
        <is>
          <t>Excavator</t>
        </is>
      </c>
      <c r="C378" s="183">
        <f>SUMIFS(DATA_FUEL!$F$2:$F$20001,DATA_FUEL!$A$2:$A$20001,"&gt;="&amp;Kalkulasi!$B$290,DATA_FUEL!$A$2:$A$20001,"&lt;="&amp;Kalkulasi!$B$291,DATA_FUEL!$D$2:$D$20001,Kalkulasi!$B$293,DATA_FUEL!$E$2:$E$20001,$A378)</f>
        <v/>
      </c>
      <c r="D378" s="183">
        <f>SUMIFS(DATA_TS!$G$2:$G$20001,DATA_TS!$A$2:$A$20001,"&gt;="&amp;Kalkulasi!$B$290,DATA_TS!$A$2:$A$20001,"&lt;="&amp;Kalkulasi!$B$291,DATA_TS!$D$2:$D$20001,$A378)</f>
        <v/>
      </c>
      <c r="E378" s="187">
        <f>IF(D378=0,0,C378/D378)</f>
        <v/>
      </c>
      <c r="F378" s="156">
        <f>C378+ROW()/1000000</f>
        <v/>
      </c>
      <c r="G378" s="156" t="n">
        <v>5</v>
      </c>
      <c r="H378" s="156">
        <f>INDEX($A$374:$A$393,MATCH(LARGE($F$374:$F$393,G378),$F$374:$F$393,0))</f>
        <v/>
      </c>
      <c r="I378" s="156">
        <f>INDEX($B$374:$B$393,MATCH(LARGE($F$374:$F$393,G378),$F$374:$F$393,0))</f>
        <v/>
      </c>
      <c r="J378" s="156">
        <f>INDEX($C$374:$C$393,MATCH(LARGE($F$374:$F$393,G378),$F$374:$F$393,0))</f>
        <v/>
      </c>
      <c r="K378" s="156">
        <f>INDEX($D$374:$D$393,MATCH(LARGE($F$374:$F$393,G378),$F$374:$F$393,0))</f>
        <v/>
      </c>
      <c r="L378" s="156">
        <f>INDEX($E$374:$E$393,MATCH(LARGE($F$374:$F$393,G378),$F$374:$F$393,0))</f>
        <v/>
      </c>
      <c r="M378" s="156" t="n"/>
    </row>
    <row r="379">
      <c r="A379" s="156" t="inlineStr">
        <is>
          <t>D 375A-6R</t>
        </is>
      </c>
      <c r="B379" s="156" t="inlineStr">
        <is>
          <t>Bulldozer</t>
        </is>
      </c>
      <c r="C379" s="183">
        <f>SUMIFS(DATA_FUEL!$F$2:$F$20001,DATA_FUEL!$A$2:$A$20001,"&gt;="&amp;Kalkulasi!$B$290,DATA_FUEL!$A$2:$A$20001,"&lt;="&amp;Kalkulasi!$B$291,DATA_FUEL!$D$2:$D$20001,Kalkulasi!$B$293,DATA_FUEL!$E$2:$E$20001,$A379)</f>
        <v/>
      </c>
      <c r="D379" s="183">
        <f>SUMIFS(DATA_TS!$G$2:$G$20001,DATA_TS!$A$2:$A$20001,"&gt;="&amp;Kalkulasi!$B$290,DATA_TS!$A$2:$A$20001,"&lt;="&amp;Kalkulasi!$B$291,DATA_TS!$D$2:$D$20001,$A379)</f>
        <v/>
      </c>
      <c r="E379" s="187">
        <f>IF(D379=0,0,C379/D379)</f>
        <v/>
      </c>
      <c r="F379" s="156">
        <f>C379+ROW()/1000000</f>
        <v/>
      </c>
      <c r="G379" s="156" t="n">
        <v>6</v>
      </c>
      <c r="H379" s="156">
        <f>INDEX($A$374:$A$393,MATCH(LARGE($F$374:$F$393,G379),$F$374:$F$393,0))</f>
        <v/>
      </c>
      <c r="I379" s="156">
        <f>INDEX($B$374:$B$393,MATCH(LARGE($F$374:$F$393,G379),$F$374:$F$393,0))</f>
        <v/>
      </c>
      <c r="J379" s="156">
        <f>INDEX($C$374:$C$393,MATCH(LARGE($F$374:$F$393,G379),$F$374:$F$393,0))</f>
        <v/>
      </c>
      <c r="K379" s="156">
        <f>INDEX($D$374:$D$393,MATCH(LARGE($F$374:$F$393,G379),$F$374:$F$393,0))</f>
        <v/>
      </c>
      <c r="L379" s="156">
        <f>INDEX($E$374:$E$393,MATCH(LARGE($F$374:$F$393,G379),$F$374:$F$393,0))</f>
        <v/>
      </c>
      <c r="M379" s="156" t="n"/>
    </row>
    <row r="380">
      <c r="A380" s="156" t="inlineStr">
        <is>
          <t>SY2000</t>
        </is>
      </c>
      <c r="B380" s="156" t="inlineStr">
        <is>
          <t>Excavator</t>
        </is>
      </c>
      <c r="C380" s="183">
        <f>SUMIFS(DATA_FUEL!$F$2:$F$20001,DATA_FUEL!$A$2:$A$20001,"&gt;="&amp;Kalkulasi!$B$290,DATA_FUEL!$A$2:$A$20001,"&lt;="&amp;Kalkulasi!$B$291,DATA_FUEL!$D$2:$D$20001,Kalkulasi!$B$293,DATA_FUEL!$E$2:$E$20001,$A380)</f>
        <v/>
      </c>
      <c r="D380" s="183">
        <f>SUMIFS(DATA_TS!$G$2:$G$20001,DATA_TS!$A$2:$A$20001,"&gt;="&amp;Kalkulasi!$B$290,DATA_TS!$A$2:$A$20001,"&lt;="&amp;Kalkulasi!$B$291,DATA_TS!$D$2:$D$20001,$A380)</f>
        <v/>
      </c>
      <c r="E380" s="187">
        <f>IF(D380=0,0,C380/D380)</f>
        <v/>
      </c>
      <c r="F380" s="156">
        <f>C380+ROW()/1000000</f>
        <v/>
      </c>
      <c r="G380" s="156" t="n">
        <v>7</v>
      </c>
      <c r="H380" s="156">
        <f>INDEX($A$374:$A$393,MATCH(LARGE($F$374:$F$393,G380),$F$374:$F$393,0))</f>
        <v/>
      </c>
      <c r="I380" s="156">
        <f>INDEX($B$374:$B$393,MATCH(LARGE($F$374:$F$393,G380),$F$374:$F$393,0))</f>
        <v/>
      </c>
      <c r="J380" s="156">
        <f>INDEX($C$374:$C$393,MATCH(LARGE($F$374:$F$393,G380),$F$374:$F$393,0))</f>
        <v/>
      </c>
      <c r="K380" s="156">
        <f>INDEX($D$374:$D$393,MATCH(LARGE($F$374:$F$393,G380),$F$374:$F$393,0))</f>
        <v/>
      </c>
      <c r="L380" s="156">
        <f>INDEX($E$374:$E$393,MATCH(LARGE($F$374:$F$393,G380),$F$374:$F$393,0))</f>
        <v/>
      </c>
      <c r="M380" s="156" t="n"/>
    </row>
    <row r="381">
      <c r="A381" s="156" t="inlineStr">
        <is>
          <t>D 85 ESS-2</t>
        </is>
      </c>
      <c r="B381" s="156" t="inlineStr">
        <is>
          <t>Bulldozer</t>
        </is>
      </c>
      <c r="C381" s="183">
        <f>SUMIFS(DATA_FUEL!$F$2:$F$20001,DATA_FUEL!$A$2:$A$20001,"&gt;="&amp;Kalkulasi!$B$290,DATA_FUEL!$A$2:$A$20001,"&lt;="&amp;Kalkulasi!$B$291,DATA_FUEL!$D$2:$D$20001,Kalkulasi!$B$293,DATA_FUEL!$E$2:$E$20001,$A381)</f>
        <v/>
      </c>
      <c r="D381" s="183">
        <f>SUMIFS(DATA_TS!$G$2:$G$20001,DATA_TS!$A$2:$A$20001,"&gt;="&amp;Kalkulasi!$B$290,DATA_TS!$A$2:$A$20001,"&lt;="&amp;Kalkulasi!$B$291,DATA_TS!$D$2:$D$20001,$A381)</f>
        <v/>
      </c>
      <c r="E381" s="187">
        <f>IF(D381=0,0,C381/D381)</f>
        <v/>
      </c>
      <c r="F381" s="156">
        <f>C381+ROW()/1000000</f>
        <v/>
      </c>
      <c r="G381" s="156" t="n">
        <v>8</v>
      </c>
      <c r="H381" s="156">
        <f>INDEX($A$374:$A$393,MATCH(LARGE($F$374:$F$393,G381),$F$374:$F$393,0))</f>
        <v/>
      </c>
      <c r="I381" s="156">
        <f>INDEX($B$374:$B$393,MATCH(LARGE($F$374:$F$393,G381),$F$374:$F$393,0))</f>
        <v/>
      </c>
      <c r="J381" s="156">
        <f>INDEX($C$374:$C$393,MATCH(LARGE($F$374:$F$393,G381),$F$374:$F$393,0))</f>
        <v/>
      </c>
      <c r="K381" s="156">
        <f>INDEX($D$374:$D$393,MATCH(LARGE($F$374:$F$393,G381),$F$374:$F$393,0))</f>
        <v/>
      </c>
      <c r="L381" s="156">
        <f>INDEX($E$374:$E$393,MATCH(LARGE($F$374:$F$393,G381),$F$374:$F$393,0))</f>
        <v/>
      </c>
      <c r="M381" s="156" t="n"/>
    </row>
    <row r="382">
      <c r="A382" s="156" t="inlineStr">
        <is>
          <t>SANY - Loader</t>
        </is>
      </c>
      <c r="B382" s="156" t="inlineStr">
        <is>
          <t>Loader</t>
        </is>
      </c>
      <c r="C382" s="183">
        <f>SUMIFS(DATA_FUEL!$F$2:$F$20001,DATA_FUEL!$A$2:$A$20001,"&gt;="&amp;Kalkulasi!$B$290,DATA_FUEL!$A$2:$A$20001,"&lt;="&amp;Kalkulasi!$B$291,DATA_FUEL!$D$2:$D$20001,Kalkulasi!$B$293,DATA_FUEL!$E$2:$E$20001,$A382)</f>
        <v/>
      </c>
      <c r="D382" s="183">
        <f>SUMIFS(DATA_TS!$G$2:$G$20001,DATA_TS!$A$2:$A$20001,"&gt;="&amp;Kalkulasi!$B$290,DATA_TS!$A$2:$A$20001,"&lt;="&amp;Kalkulasi!$B$291,DATA_TS!$D$2:$D$20001,$A382)</f>
        <v/>
      </c>
      <c r="E382" s="187">
        <f>IF(D382=0,0,C382/D382)</f>
        <v/>
      </c>
      <c r="F382" s="156">
        <f>C382+ROW()/1000000</f>
        <v/>
      </c>
      <c r="G382" s="156" t="n">
        <v>9</v>
      </c>
      <c r="H382" s="156">
        <f>INDEX($A$374:$A$393,MATCH(LARGE($F$374:$F$393,G382),$F$374:$F$393,0))</f>
        <v/>
      </c>
      <c r="I382" s="156">
        <f>INDEX($B$374:$B$393,MATCH(LARGE($F$374:$F$393,G382),$F$374:$F$393,0))</f>
        <v/>
      </c>
      <c r="J382" s="156">
        <f>INDEX($C$374:$C$393,MATCH(LARGE($F$374:$F$393,G382),$F$374:$F$393,0))</f>
        <v/>
      </c>
      <c r="K382" s="156">
        <f>INDEX($D$374:$D$393,MATCH(LARGE($F$374:$F$393,G382),$F$374:$F$393,0))</f>
        <v/>
      </c>
      <c r="L382" s="156">
        <f>INDEX($E$374:$E$393,MATCH(LARGE($F$374:$F$393,G382),$F$374:$F$393,0))</f>
        <v/>
      </c>
      <c r="M382" s="156" t="n"/>
    </row>
    <row r="383">
      <c r="A383" s="156" t="inlineStr">
        <is>
          <t>CAT</t>
        </is>
      </c>
      <c r="B383" s="156" t="inlineStr">
        <is>
          <t>Bulldozer</t>
        </is>
      </c>
      <c r="C383" s="183">
        <f>SUMIFS(DATA_FUEL!$F$2:$F$20001,DATA_FUEL!$A$2:$A$20001,"&gt;="&amp;Kalkulasi!$B$290,DATA_FUEL!$A$2:$A$20001,"&lt;="&amp;Kalkulasi!$B$291,DATA_FUEL!$D$2:$D$20001,Kalkulasi!$B$293,DATA_FUEL!$E$2:$E$20001,$A383)</f>
        <v/>
      </c>
      <c r="D383" s="183">
        <f>SUMIFS(DATA_TS!$G$2:$G$20001,DATA_TS!$A$2:$A$20001,"&gt;="&amp;Kalkulasi!$B$290,DATA_TS!$A$2:$A$20001,"&lt;="&amp;Kalkulasi!$B$291,DATA_TS!$D$2:$D$20001,$A383)</f>
        <v/>
      </c>
      <c r="E383" s="187">
        <f>IF(D383=0,0,C383/D383)</f>
        <v/>
      </c>
      <c r="F383" s="156">
        <f>C383+ROW()/1000000</f>
        <v/>
      </c>
      <c r="G383" s="156" t="n">
        <v>10</v>
      </c>
      <c r="H383" s="156">
        <f>INDEX($A$374:$A$393,MATCH(LARGE($F$374:$F$393,G383),$F$374:$F$393,0))</f>
        <v/>
      </c>
      <c r="I383" s="156">
        <f>INDEX($B$374:$B$393,MATCH(LARGE($F$374:$F$393,G383),$F$374:$F$393,0))</f>
        <v/>
      </c>
      <c r="J383" s="156">
        <f>INDEX($C$374:$C$393,MATCH(LARGE($F$374:$F$393,G383),$F$374:$F$393,0))</f>
        <v/>
      </c>
      <c r="K383" s="156">
        <f>INDEX($D$374:$D$393,MATCH(LARGE($F$374:$F$393,G383),$F$374:$F$393,0))</f>
        <v/>
      </c>
      <c r="L383" s="156">
        <f>INDEX($E$374:$E$393,MATCH(LARGE($F$374:$F$393,G383),$F$374:$F$393,0))</f>
        <v/>
      </c>
      <c r="M383" s="156" t="n"/>
    </row>
    <row r="384">
      <c r="A384" s="156" t="inlineStr">
        <is>
          <t>PC 200-8MI</t>
        </is>
      </c>
      <c r="B384" s="156" t="inlineStr">
        <is>
          <t>Excavator</t>
        </is>
      </c>
      <c r="C384" s="183">
        <f>SUMIFS(DATA_FUEL!$F$2:$F$20001,DATA_FUEL!$A$2:$A$20001,"&gt;="&amp;Kalkulasi!$B$290,DATA_FUEL!$A$2:$A$20001,"&lt;="&amp;Kalkulasi!$B$291,DATA_FUEL!$D$2:$D$20001,Kalkulasi!$B$293,DATA_FUEL!$E$2:$E$20001,$A384)</f>
        <v/>
      </c>
      <c r="D384" s="183">
        <f>SUMIFS(DATA_TS!$G$2:$G$20001,DATA_TS!$A$2:$A$20001,"&gt;="&amp;Kalkulasi!$B$290,DATA_TS!$A$2:$A$20001,"&lt;="&amp;Kalkulasi!$B$291,DATA_TS!$D$2:$D$20001,$A384)</f>
        <v/>
      </c>
      <c r="E384" s="187">
        <f>IF(D384=0,0,C384/D384)</f>
        <v/>
      </c>
      <c r="F384" s="156">
        <f>C384+ROW()/1000000</f>
        <v/>
      </c>
      <c r="G384" s="156" t="n">
        <v>11</v>
      </c>
      <c r="H384" s="156">
        <f>INDEX($A$374:$A$393,MATCH(LARGE($F$374:$F$393,G384),$F$374:$F$393,0))</f>
        <v/>
      </c>
      <c r="I384" s="156">
        <f>INDEX($B$374:$B$393,MATCH(LARGE($F$374:$F$393,G384),$F$374:$F$393,0))</f>
        <v/>
      </c>
      <c r="J384" s="156">
        <f>INDEX($C$374:$C$393,MATCH(LARGE($F$374:$F$393,G384),$F$374:$F$393,0))</f>
        <v/>
      </c>
      <c r="K384" s="156">
        <f>INDEX($D$374:$D$393,MATCH(LARGE($F$374:$F$393,G384),$F$374:$F$393,0))</f>
        <v/>
      </c>
      <c r="L384" s="156">
        <f>INDEX($E$374:$E$393,MATCH(LARGE($F$374:$F$393,G384),$F$374:$F$393,0))</f>
        <v/>
      </c>
      <c r="M384" s="156" t="n"/>
    </row>
    <row r="385">
      <c r="A385" s="156" t="inlineStr">
        <is>
          <t>SKT 80S</t>
        </is>
      </c>
      <c r="B385" s="156" t="inlineStr">
        <is>
          <t>Hauler</t>
        </is>
      </c>
      <c r="C385" s="183">
        <f>SUMIFS(DATA_FUEL!$F$2:$F$20001,DATA_FUEL!$A$2:$A$20001,"&gt;="&amp;Kalkulasi!$B$290,DATA_FUEL!$A$2:$A$20001,"&lt;="&amp;Kalkulasi!$B$291,DATA_FUEL!$D$2:$D$20001,Kalkulasi!$B$293,DATA_FUEL!$E$2:$E$20001,$A385)</f>
        <v/>
      </c>
      <c r="D385" s="183">
        <f>SUMIFS(DATA_TS!$G$2:$G$20001,DATA_TS!$A$2:$A$20001,"&gt;="&amp;Kalkulasi!$B$290,DATA_TS!$A$2:$A$20001,"&lt;="&amp;Kalkulasi!$B$291,DATA_TS!$D$2:$D$20001,$A385)</f>
        <v/>
      </c>
      <c r="E385" s="187">
        <f>IF(D385=0,0,C385/D385)</f>
        <v/>
      </c>
      <c r="F385" s="156">
        <f>C385+ROW()/1000000</f>
        <v/>
      </c>
      <c r="G385" s="156" t="n">
        <v>12</v>
      </c>
      <c r="H385" s="156">
        <f>INDEX($A$374:$A$393,MATCH(LARGE($F$374:$F$393,G385),$F$374:$F$393,0))</f>
        <v/>
      </c>
      <c r="I385" s="156">
        <f>INDEX($B$374:$B$393,MATCH(LARGE($F$374:$F$393,G385),$F$374:$F$393,0))</f>
        <v/>
      </c>
      <c r="J385" s="156">
        <f>INDEX($C$374:$C$393,MATCH(LARGE($F$374:$F$393,G385),$F$374:$F$393,0))</f>
        <v/>
      </c>
      <c r="K385" s="156">
        <f>INDEX($D$374:$D$393,MATCH(LARGE($F$374:$F$393,G385),$F$374:$F$393,0))</f>
        <v/>
      </c>
      <c r="L385" s="156">
        <f>INDEX($E$374:$E$393,MATCH(LARGE($F$374:$F$393,G385),$F$374:$F$393,0))</f>
        <v/>
      </c>
      <c r="M385" s="156" t="n"/>
    </row>
    <row r="386">
      <c r="A386" s="156" t="inlineStr">
        <is>
          <t>SY430</t>
        </is>
      </c>
      <c r="B386" s="156" t="inlineStr">
        <is>
          <t>DT Hauling</t>
        </is>
      </c>
      <c r="C386" s="183">
        <f>SUMIFS(DATA_FUEL!$F$2:$F$20001,DATA_FUEL!$A$2:$A$20001,"&gt;="&amp;Kalkulasi!$B$290,DATA_FUEL!$A$2:$A$20001,"&lt;="&amp;Kalkulasi!$B$291,DATA_FUEL!$D$2:$D$20001,Kalkulasi!$B$293,DATA_FUEL!$E$2:$E$20001,$A386)</f>
        <v/>
      </c>
      <c r="D386" s="183">
        <f>SUMIFS(DATA_TS!$G$2:$G$20001,DATA_TS!$A$2:$A$20001,"&gt;="&amp;Kalkulasi!$B$290,DATA_TS!$A$2:$A$20001,"&lt;="&amp;Kalkulasi!$B$291,DATA_TS!$D$2:$D$20001,$A386)</f>
        <v/>
      </c>
      <c r="E386" s="187">
        <f>IF(D386=0,0,C386/D386)</f>
        <v/>
      </c>
      <c r="F386" s="156">
        <f>C386+ROW()/1000000</f>
        <v/>
      </c>
      <c r="G386" s="156" t="n">
        <v>13</v>
      </c>
      <c r="H386" s="156">
        <f>INDEX($A$374:$A$393,MATCH(LARGE($F$374:$F$393,G386),$F$374:$F$393,0))</f>
        <v/>
      </c>
      <c r="I386" s="156">
        <f>INDEX($B$374:$B$393,MATCH(LARGE($F$374:$F$393,G386),$F$374:$F$393,0))</f>
        <v/>
      </c>
      <c r="J386" s="156">
        <f>INDEX($C$374:$C$393,MATCH(LARGE($F$374:$F$393,G386),$F$374:$F$393,0))</f>
        <v/>
      </c>
      <c r="K386" s="156">
        <f>INDEX($D$374:$D$393,MATCH(LARGE($F$374:$F$393,G386),$F$374:$F$393,0))</f>
        <v/>
      </c>
      <c r="L386" s="156">
        <f>INDEX($E$374:$E$393,MATCH(LARGE($F$374:$F$393,G386),$F$374:$F$393,0))</f>
        <v/>
      </c>
      <c r="M386" s="156" t="n"/>
    </row>
    <row r="387">
      <c r="A387" s="156" t="inlineStr">
        <is>
          <t>STG 335C - 10</t>
        </is>
      </c>
      <c r="B387" s="156" t="inlineStr">
        <is>
          <t>Grader</t>
        </is>
      </c>
      <c r="C387" s="183">
        <f>SUMIFS(DATA_FUEL!$F$2:$F$20001,DATA_FUEL!$A$2:$A$20001,"&gt;="&amp;Kalkulasi!$B$290,DATA_FUEL!$A$2:$A$20001,"&lt;="&amp;Kalkulasi!$B$291,DATA_FUEL!$D$2:$D$20001,Kalkulasi!$B$293,DATA_FUEL!$E$2:$E$20001,$A387)</f>
        <v/>
      </c>
      <c r="D387" s="183">
        <f>SUMIFS(DATA_TS!$G$2:$G$20001,DATA_TS!$A$2:$A$20001,"&gt;="&amp;Kalkulasi!$B$290,DATA_TS!$A$2:$A$20001,"&lt;="&amp;Kalkulasi!$B$291,DATA_TS!$D$2:$D$20001,$A387)</f>
        <v/>
      </c>
      <c r="E387" s="187">
        <f>IF(D387=0,0,C387/D387)</f>
        <v/>
      </c>
      <c r="F387" s="156">
        <f>C387+ROW()/1000000</f>
        <v/>
      </c>
      <c r="G387" s="156" t="n">
        <v>14</v>
      </c>
      <c r="H387" s="156">
        <f>INDEX($A$374:$A$393,MATCH(LARGE($F$374:$F$393,G387),$F$374:$F$393,0))</f>
        <v/>
      </c>
      <c r="I387" s="156">
        <f>INDEX($B$374:$B$393,MATCH(LARGE($F$374:$F$393,G387),$F$374:$F$393,0))</f>
        <v/>
      </c>
      <c r="J387" s="156">
        <f>INDEX($C$374:$C$393,MATCH(LARGE($F$374:$F$393,G387),$F$374:$F$393,0))</f>
        <v/>
      </c>
      <c r="K387" s="156">
        <f>INDEX($D$374:$D$393,MATCH(LARGE($F$374:$F$393,G387),$F$374:$F$393,0))</f>
        <v/>
      </c>
      <c r="L387" s="156">
        <f>INDEX($E$374:$E$393,MATCH(LARGE($F$374:$F$393,G387),$F$374:$F$393,0))</f>
        <v/>
      </c>
      <c r="M387" s="156" t="n"/>
    </row>
    <row r="388">
      <c r="A388" s="156" t="inlineStr">
        <is>
          <t>STG 265C - 10</t>
        </is>
      </c>
      <c r="B388" s="156" t="inlineStr">
        <is>
          <t>Grader</t>
        </is>
      </c>
      <c r="C388" s="183">
        <f>SUMIFS(DATA_FUEL!$F$2:$F$20001,DATA_FUEL!$A$2:$A$20001,"&gt;="&amp;Kalkulasi!$B$290,DATA_FUEL!$A$2:$A$20001,"&lt;="&amp;Kalkulasi!$B$291,DATA_FUEL!$D$2:$D$20001,Kalkulasi!$B$293,DATA_FUEL!$E$2:$E$20001,$A388)</f>
        <v/>
      </c>
      <c r="D388" s="183">
        <f>SUMIFS(DATA_TS!$G$2:$G$20001,DATA_TS!$A$2:$A$20001,"&gt;="&amp;Kalkulasi!$B$290,DATA_TS!$A$2:$A$20001,"&lt;="&amp;Kalkulasi!$B$291,DATA_TS!$D$2:$D$20001,$A388)</f>
        <v/>
      </c>
      <c r="E388" s="187">
        <f>IF(D388=0,0,C388/D388)</f>
        <v/>
      </c>
      <c r="F388" s="156">
        <f>C388+ROW()/1000000</f>
        <v/>
      </c>
      <c r="G388" s="156" t="n">
        <v>15</v>
      </c>
      <c r="H388" s="156">
        <f>INDEX($A$374:$A$393,MATCH(LARGE($F$374:$F$393,G388),$F$374:$F$393,0))</f>
        <v/>
      </c>
      <c r="I388" s="156">
        <f>INDEX($B$374:$B$393,MATCH(LARGE($F$374:$F$393,G388),$F$374:$F$393,0))</f>
        <v/>
      </c>
      <c r="J388" s="156">
        <f>INDEX($C$374:$C$393,MATCH(LARGE($F$374:$F$393,G388),$F$374:$F$393,0))</f>
        <v/>
      </c>
      <c r="K388" s="156">
        <f>INDEX($D$374:$D$393,MATCH(LARGE($F$374:$F$393,G388),$F$374:$F$393,0))</f>
        <v/>
      </c>
      <c r="L388" s="156">
        <f>INDEX($E$374:$E$393,MATCH(LARGE($F$374:$F$393,G388),$F$374:$F$393,0))</f>
        <v/>
      </c>
      <c r="M388" s="156" t="n"/>
    </row>
    <row r="389">
      <c r="A389" s="156" t="inlineStr">
        <is>
          <t>D 68ESS-12EO</t>
        </is>
      </c>
      <c r="B389" s="156" t="inlineStr">
        <is>
          <t>Bulldozer</t>
        </is>
      </c>
      <c r="C389" s="183">
        <f>SUMIFS(DATA_FUEL!$F$2:$F$20001,DATA_FUEL!$A$2:$A$20001,"&gt;="&amp;Kalkulasi!$B$290,DATA_FUEL!$A$2:$A$20001,"&lt;="&amp;Kalkulasi!$B$291,DATA_FUEL!$D$2:$D$20001,Kalkulasi!$B$293,DATA_FUEL!$E$2:$E$20001,$A389)</f>
        <v/>
      </c>
      <c r="D389" s="183">
        <f>SUMIFS(DATA_TS!$G$2:$G$20001,DATA_TS!$A$2:$A$20001,"&gt;="&amp;Kalkulasi!$B$290,DATA_TS!$A$2:$A$20001,"&lt;="&amp;Kalkulasi!$B$291,DATA_TS!$D$2:$D$20001,$A389)</f>
        <v/>
      </c>
      <c r="E389" s="187">
        <f>IF(D389=0,0,C389/D389)</f>
        <v/>
      </c>
      <c r="F389" s="156">
        <f>C389+ROW()/1000000</f>
        <v/>
      </c>
      <c r="G389" s="156" t="n">
        <v>16</v>
      </c>
      <c r="H389" s="156">
        <f>INDEX($A$374:$A$393,MATCH(LARGE($F$374:$F$393,G389),$F$374:$F$393,0))</f>
        <v/>
      </c>
      <c r="I389" s="156">
        <f>INDEX($B$374:$B$393,MATCH(LARGE($F$374:$F$393,G389),$F$374:$F$393,0))</f>
        <v/>
      </c>
      <c r="J389" s="156">
        <f>INDEX($C$374:$C$393,MATCH(LARGE($F$374:$F$393,G389),$F$374:$F$393,0))</f>
        <v/>
      </c>
      <c r="K389" s="156">
        <f>INDEX($D$374:$D$393,MATCH(LARGE($F$374:$F$393,G389),$F$374:$F$393,0))</f>
        <v/>
      </c>
      <c r="L389" s="156">
        <f>INDEX($E$374:$E$393,MATCH(LARGE($F$374:$F$393,G389),$F$374:$F$393,0))</f>
        <v/>
      </c>
      <c r="M389" s="156" t="n"/>
    </row>
    <row r="390">
      <c r="A390" s="156" t="inlineStr">
        <is>
          <t>SANY - Compactor</t>
        </is>
      </c>
      <c r="B390" s="156" t="inlineStr">
        <is>
          <t>Compactor</t>
        </is>
      </c>
      <c r="C390" s="183">
        <f>SUMIFS(DATA_FUEL!$F$2:$F$20001,DATA_FUEL!$A$2:$A$20001,"&gt;="&amp;Kalkulasi!$B$290,DATA_FUEL!$A$2:$A$20001,"&lt;="&amp;Kalkulasi!$B$291,DATA_FUEL!$D$2:$D$20001,Kalkulasi!$B$293,DATA_FUEL!$E$2:$E$20001,$A390)</f>
        <v/>
      </c>
      <c r="D390" s="183">
        <f>SUMIFS(DATA_TS!$G$2:$G$20001,DATA_TS!$A$2:$A$20001,"&gt;="&amp;Kalkulasi!$B$290,DATA_TS!$A$2:$A$20001,"&lt;="&amp;Kalkulasi!$B$291,DATA_TS!$D$2:$D$20001,$A390)</f>
        <v/>
      </c>
      <c r="E390" s="187">
        <f>IF(D390=0,0,C390/D390)</f>
        <v/>
      </c>
      <c r="F390" s="156">
        <f>C390+ROW()/1000000</f>
        <v/>
      </c>
      <c r="G390" s="156" t="n">
        <v>17</v>
      </c>
      <c r="H390" s="156">
        <f>INDEX($A$374:$A$393,MATCH(LARGE($F$374:$F$393,G390),$F$374:$F$393,0))</f>
        <v/>
      </c>
      <c r="I390" s="156">
        <f>INDEX($B$374:$B$393,MATCH(LARGE($F$374:$F$393,G390),$F$374:$F$393,0))</f>
        <v/>
      </c>
      <c r="J390" s="156">
        <f>INDEX($C$374:$C$393,MATCH(LARGE($F$374:$F$393,G390),$F$374:$F$393,0))</f>
        <v/>
      </c>
      <c r="K390" s="156">
        <f>INDEX($D$374:$D$393,MATCH(LARGE($F$374:$F$393,G390),$F$374:$F$393,0))</f>
        <v/>
      </c>
      <c r="L390" s="156">
        <f>INDEX($E$374:$E$393,MATCH(LARGE($F$374:$F$393,G390),$F$374:$F$393,0))</f>
        <v/>
      </c>
      <c r="M390" s="156" t="n"/>
    </row>
    <row r="391">
      <c r="A391" s="156" t="inlineStr">
        <is>
          <t>SYZ324C-8W</t>
        </is>
      </c>
      <c r="B391" s="156" t="inlineStr">
        <is>
          <t>Hauler</t>
        </is>
      </c>
      <c r="C391" s="183">
        <f>SUMIFS(DATA_FUEL!$F$2:$F$20001,DATA_FUEL!$A$2:$A$20001,"&gt;="&amp;Kalkulasi!$B$290,DATA_FUEL!$A$2:$A$20001,"&lt;="&amp;Kalkulasi!$B$291,DATA_FUEL!$D$2:$D$20001,Kalkulasi!$B$293,DATA_FUEL!$E$2:$E$20001,$A391)</f>
        <v/>
      </c>
      <c r="D391" s="183">
        <f>SUMIFS(DATA_TS!$G$2:$G$20001,DATA_TS!$A$2:$A$20001,"&gt;="&amp;Kalkulasi!$B$290,DATA_TS!$A$2:$A$20001,"&lt;="&amp;Kalkulasi!$B$291,DATA_TS!$D$2:$D$20001,$A391)</f>
        <v/>
      </c>
      <c r="E391" s="187">
        <f>IF(D391=0,0,C391/D391)</f>
        <v/>
      </c>
      <c r="F391" s="156">
        <f>C391+ROW()/1000000</f>
        <v/>
      </c>
      <c r="G391" s="156" t="n">
        <v>18</v>
      </c>
      <c r="H391" s="156">
        <f>INDEX($A$374:$A$393,MATCH(LARGE($F$374:$F$393,G391),$F$374:$F$393,0))</f>
        <v/>
      </c>
      <c r="I391" s="156">
        <f>INDEX($B$374:$B$393,MATCH(LARGE($F$374:$F$393,G391),$F$374:$F$393,0))</f>
        <v/>
      </c>
      <c r="J391" s="156">
        <f>INDEX($C$374:$C$393,MATCH(LARGE($F$374:$F$393,G391),$F$374:$F$393,0))</f>
        <v/>
      </c>
      <c r="K391" s="156">
        <f>INDEX($D$374:$D$393,MATCH(LARGE($F$374:$F$393,G391),$F$374:$F$393,0))</f>
        <v/>
      </c>
      <c r="L391" s="156">
        <f>INDEX($E$374:$E$393,MATCH(LARGE($F$374:$F$393,G391),$F$374:$F$393,0))</f>
        <v/>
      </c>
      <c r="M391" s="156" t="n"/>
    </row>
    <row r="392">
      <c r="A392" s="156" t="inlineStr">
        <is>
          <t>HINO FM260</t>
        </is>
      </c>
      <c r="B392" s="156" t="inlineStr">
        <is>
          <t>DT Hino</t>
        </is>
      </c>
      <c r="C392" s="183">
        <f>SUMIFS(DATA_FUEL!$F$2:$F$20001,DATA_FUEL!$A$2:$A$20001,"&gt;="&amp;Kalkulasi!$B$290,DATA_FUEL!$A$2:$A$20001,"&lt;="&amp;Kalkulasi!$B$291,DATA_FUEL!$D$2:$D$20001,Kalkulasi!$B$293,DATA_FUEL!$E$2:$E$20001,$A392)</f>
        <v/>
      </c>
      <c r="D392" s="183">
        <f>SUMIFS(DATA_TS!$G$2:$G$20001,DATA_TS!$A$2:$A$20001,"&gt;="&amp;Kalkulasi!$B$290,DATA_TS!$A$2:$A$20001,"&lt;="&amp;Kalkulasi!$B$291,DATA_TS!$D$2:$D$20001,$A392)</f>
        <v/>
      </c>
      <c r="E392" s="187">
        <f>IF(D392=0,0,C392/D392)</f>
        <v/>
      </c>
      <c r="F392" s="156">
        <f>C392+ROW()/1000000</f>
        <v/>
      </c>
      <c r="G392" s="156" t="n">
        <v>19</v>
      </c>
      <c r="H392" s="156">
        <f>INDEX($A$374:$A$393,MATCH(LARGE($F$374:$F$393,G392),$F$374:$F$393,0))</f>
        <v/>
      </c>
      <c r="I392" s="156">
        <f>INDEX($B$374:$B$393,MATCH(LARGE($F$374:$F$393,G392),$F$374:$F$393,0))</f>
        <v/>
      </c>
      <c r="J392" s="156">
        <f>INDEX($C$374:$C$393,MATCH(LARGE($F$374:$F$393,G392),$F$374:$F$393,0))</f>
        <v/>
      </c>
      <c r="K392" s="156">
        <f>INDEX($D$374:$D$393,MATCH(LARGE($F$374:$F$393,G392),$F$374:$F$393,0))</f>
        <v/>
      </c>
      <c r="L392" s="156">
        <f>INDEX($E$374:$E$393,MATCH(LARGE($F$374:$F$393,G392),$F$374:$F$393,0))</f>
        <v/>
      </c>
      <c r="M392" s="156" t="n"/>
    </row>
    <row r="393">
      <c r="A393" s="156" t="inlineStr">
        <is>
          <t>STG 230C - 8S</t>
        </is>
      </c>
      <c r="B393" s="156" t="inlineStr">
        <is>
          <t>Grader</t>
        </is>
      </c>
      <c r="C393" s="183">
        <f>SUMIFS(DATA_FUEL!$F$2:$F$20001,DATA_FUEL!$A$2:$A$20001,"&gt;="&amp;Kalkulasi!$B$290,DATA_FUEL!$A$2:$A$20001,"&lt;="&amp;Kalkulasi!$B$291,DATA_FUEL!$D$2:$D$20001,Kalkulasi!$B$293,DATA_FUEL!$E$2:$E$20001,$A393)</f>
        <v/>
      </c>
      <c r="D393" s="183">
        <f>SUMIFS(DATA_TS!$G$2:$G$20001,DATA_TS!$A$2:$A$20001,"&gt;="&amp;Kalkulasi!$B$290,DATA_TS!$A$2:$A$20001,"&lt;="&amp;Kalkulasi!$B$291,DATA_TS!$D$2:$D$20001,$A393)</f>
        <v/>
      </c>
      <c r="E393" s="187">
        <f>IF(D393=0,0,C393/D393)</f>
        <v/>
      </c>
      <c r="F393" s="156">
        <f>C393+ROW()/1000000</f>
        <v/>
      </c>
      <c r="G393" s="156" t="n">
        <v>20</v>
      </c>
      <c r="H393" s="156">
        <f>INDEX($A$374:$A$393,MATCH(LARGE($F$374:$F$393,G393),$F$374:$F$393,0))</f>
        <v/>
      </c>
      <c r="I393" s="156">
        <f>INDEX($B$374:$B$393,MATCH(LARGE($F$374:$F$393,G393),$F$374:$F$393,0))</f>
        <v/>
      </c>
      <c r="J393" s="156">
        <f>INDEX($C$374:$C$393,MATCH(LARGE($F$374:$F$393,G393),$F$374:$F$393,0))</f>
        <v/>
      </c>
      <c r="K393" s="156">
        <f>INDEX($D$374:$D$393,MATCH(LARGE($F$374:$F$393,G393),$F$374:$F$393,0))</f>
        <v/>
      </c>
      <c r="L393" s="156">
        <f>INDEX($E$374:$E$393,MATCH(LARGE($F$374:$F$393,G393),$F$374:$F$393,0))</f>
        <v/>
      </c>
      <c r="M393" s="156" t="n"/>
    </row>
    <row r="394">
      <c r="A394" s="156" t="n"/>
      <c r="B394" s="156" t="n"/>
      <c r="C394" s="156" t="n"/>
      <c r="D394" s="156" t="n"/>
      <c r="E394" s="156" t="n"/>
      <c r="F394" s="156" t="n"/>
      <c r="G394" s="156" t="n"/>
      <c r="H394" s="156" t="n"/>
      <c r="I394" s="156" t="n"/>
      <c r="J394" s="156" t="n"/>
      <c r="K394" s="156" t="n"/>
      <c r="L394" s="156" t="n"/>
      <c r="M394" s="156" t="n"/>
    </row>
    <row r="395">
      <c r="A395" s="156" t="n"/>
      <c r="B395" s="156" t="n"/>
      <c r="C395" s="156" t="n"/>
      <c r="D395" s="156" t="n"/>
      <c r="E395" s="156" t="n"/>
      <c r="F395" s="156" t="n"/>
      <c r="G395" s="156" t="n"/>
      <c r="H395" s="156" t="n"/>
      <c r="I395" s="156" t="n"/>
      <c r="J395" s="156" t="n"/>
      <c r="K395" s="156" t="n"/>
      <c r="L395" s="156" t="n"/>
      <c r="M395" s="156" t="n"/>
    </row>
    <row r="396">
      <c r="A396" s="171" t="inlineStr">
        <is>
          <t>Fuel per unit</t>
        </is>
      </c>
      <c r="B396" s="156" t="n"/>
      <c r="C396" s="156" t="n"/>
      <c r="D396" s="156" t="n"/>
      <c r="E396" s="156" t="n"/>
      <c r="F396" s="156" t="n"/>
      <c r="G396" s="156" t="n"/>
      <c r="H396" s="156" t="n"/>
      <c r="I396" s="156" t="n"/>
      <c r="J396" s="156" t="n"/>
      <c r="K396" s="156" t="n"/>
      <c r="L396" s="156" t="n"/>
      <c r="M396" s="156" t="n"/>
    </row>
    <row r="397">
      <c r="A397" s="176" t="inlineStr">
        <is>
          <t>Unit</t>
        </is>
      </c>
      <c r="B397" s="176" t="inlineStr">
        <is>
          <t>Kategori</t>
        </is>
      </c>
      <c r="C397" s="176" t="inlineStr">
        <is>
          <t>Kelompok</t>
        </is>
      </c>
      <c r="D397" s="176" t="inlineStr">
        <is>
          <t>Liter</t>
        </is>
      </c>
      <c r="E397" s="176" t="inlineStr">
        <is>
          <t>HM</t>
        </is>
      </c>
      <c r="F397" s="176" t="inlineStr">
        <is>
          <t>Sort</t>
        </is>
      </c>
      <c r="G397" s="176" t="inlineStr">
        <is>
          <t>Rank</t>
        </is>
      </c>
      <c r="H397" s="176" t="inlineStr">
        <is>
          <t>Unit urut</t>
        </is>
      </c>
      <c r="I397" s="176" t="inlineStr">
        <is>
          <t>Kategori urut</t>
        </is>
      </c>
      <c r="J397" s="176" t="inlineStr">
        <is>
          <t>Kelompok urut</t>
        </is>
      </c>
      <c r="K397" s="176" t="inlineStr">
        <is>
          <t>Liter urut</t>
        </is>
      </c>
      <c r="L397" s="176" t="inlineStr">
        <is>
          <t>HM urut</t>
        </is>
      </c>
      <c r="M397" s="176" t="inlineStr">
        <is>
          <t>L/jam urut</t>
        </is>
      </c>
    </row>
    <row r="398">
      <c r="A398" s="156" t="inlineStr">
        <is>
          <t>EX-1251</t>
        </is>
      </c>
      <c r="B398" s="156" t="inlineStr">
        <is>
          <t>Excavator</t>
        </is>
      </c>
      <c r="C398" s="156" t="inlineStr">
        <is>
          <t>Mining</t>
        </is>
      </c>
      <c r="D398" s="183">
        <f>SUMIFS(DATA_FUEL!$F$2:$F$20001,DATA_FUEL!$A$2:$A$20001,"&gt;="&amp;Kalkulasi!$B$290,DATA_FUEL!$A$2:$A$20001,"&lt;="&amp;Kalkulasi!$B$291,DATA_FUEL!$D$2:$D$20001,Kalkulasi!$B$293,DATA_FUEL!$B$2:$B$20001,$A398,DATA_FUEL!$D$2:$D$20001,$C398)</f>
        <v/>
      </c>
      <c r="E398" s="156">
        <f>SUMIFS(DATA_TS!$G$2:$G$20001,DATA_TS!$A$2:$A$20001,"&gt;="&amp;Kalkulasi!$B$290,DATA_TS!$A$2:$A$20001,"&lt;="&amp;Kalkulasi!$B$291,DATA_TS!$C$2:$C$20001,$A398)</f>
        <v/>
      </c>
      <c r="F398" s="156">
        <f>D398+ROW()/1000000</f>
        <v/>
      </c>
      <c r="G398" s="156" t="n">
        <v>1</v>
      </c>
      <c r="H398" s="156">
        <f>INDEX($A$398:$A$548,MATCH(LARGE($F$398:$F$548,G398),$F$398:$F$548,0))</f>
        <v/>
      </c>
      <c r="I398" s="156">
        <f>INDEX($B$398:$B$548,MATCH(LARGE($F$398:$F$548,G398),$F$398:$F$548,0))</f>
        <v/>
      </c>
      <c r="J398" s="156">
        <f>INDEX($C$398:$C$548,MATCH(LARGE($F$398:$F$548,G398),$F$398:$F$548,0))</f>
        <v/>
      </c>
      <c r="K398" s="156">
        <f>INDEX($D$398:$D$548,MATCH(LARGE($F$398:$F$548,G398),$F$398:$F$548,0))</f>
        <v/>
      </c>
      <c r="L398" s="156">
        <f>INDEX($E$398:$E$548,MATCH(LARGE($F$398:$F$548,G398),$F$398:$F$548,0))</f>
        <v/>
      </c>
      <c r="M398" s="187">
        <f>IF(OR(L398="",L398=0),"",K398/L398)</f>
        <v/>
      </c>
    </row>
    <row r="399">
      <c r="A399" s="156" t="inlineStr">
        <is>
          <t>GS-10</t>
        </is>
      </c>
      <c r="B399" s="156" t="inlineStr">
        <is>
          <t>Genset</t>
        </is>
      </c>
      <c r="C399" s="156" t="inlineStr">
        <is>
          <t>Aux</t>
        </is>
      </c>
      <c r="D399" s="183">
        <f>SUMIFS(DATA_FUEL!$F$2:$F$20001,DATA_FUEL!$A$2:$A$20001,"&gt;="&amp;Kalkulasi!$B$290,DATA_FUEL!$A$2:$A$20001,"&lt;="&amp;Kalkulasi!$B$291,DATA_FUEL!$D$2:$D$20001,Kalkulasi!$B$293,DATA_FUEL!$B$2:$B$20001,$A399,DATA_FUEL!$D$2:$D$20001,$C399)</f>
        <v/>
      </c>
      <c r="E399" s="156">
        <f>""</f>
        <v/>
      </c>
      <c r="F399" s="156">
        <f>D399+ROW()/1000000</f>
        <v/>
      </c>
      <c r="G399" s="156" t="n">
        <v>2</v>
      </c>
      <c r="H399" s="156">
        <f>INDEX($A$398:$A$548,MATCH(LARGE($F$398:$F$548,G399),$F$398:$F$548,0))</f>
        <v/>
      </c>
      <c r="I399" s="156">
        <f>INDEX($B$398:$B$548,MATCH(LARGE($F$398:$F$548,G399),$F$398:$F$548,0))</f>
        <v/>
      </c>
      <c r="J399" s="156">
        <f>INDEX($C$398:$C$548,MATCH(LARGE($F$398:$F$548,G399),$F$398:$F$548,0))</f>
        <v/>
      </c>
      <c r="K399" s="156">
        <f>INDEX($D$398:$D$548,MATCH(LARGE($F$398:$F$548,G399),$F$398:$F$548,0))</f>
        <v/>
      </c>
      <c r="L399" s="156">
        <f>INDEX($E$398:$E$548,MATCH(LARGE($F$398:$F$548,G399),$F$398:$F$548,0))</f>
        <v/>
      </c>
      <c r="M399" s="187">
        <f>IF(OR(L399="",L399=0),"",K399/L399)</f>
        <v/>
      </c>
    </row>
    <row r="400">
      <c r="A400" s="156" t="inlineStr">
        <is>
          <t>GS-11</t>
        </is>
      </c>
      <c r="B400" s="156" t="inlineStr">
        <is>
          <t>Genset</t>
        </is>
      </c>
      <c r="C400" s="156" t="inlineStr">
        <is>
          <t>Aux</t>
        </is>
      </c>
      <c r="D400" s="183">
        <f>SUMIFS(DATA_FUEL!$F$2:$F$20001,DATA_FUEL!$A$2:$A$20001,"&gt;="&amp;Kalkulasi!$B$290,DATA_FUEL!$A$2:$A$20001,"&lt;="&amp;Kalkulasi!$B$291,DATA_FUEL!$D$2:$D$20001,Kalkulasi!$B$293,DATA_FUEL!$B$2:$B$20001,$A400,DATA_FUEL!$D$2:$D$20001,$C400)</f>
        <v/>
      </c>
      <c r="E400" s="156">
        <f>""</f>
        <v/>
      </c>
      <c r="F400" s="156">
        <f>D400+ROW()/1000000</f>
        <v/>
      </c>
      <c r="G400" s="156" t="n">
        <v>3</v>
      </c>
      <c r="H400" s="156">
        <f>INDEX($A$398:$A$548,MATCH(LARGE($F$398:$F$548,G400),$F$398:$F$548,0))</f>
        <v/>
      </c>
      <c r="I400" s="156">
        <f>INDEX($B$398:$B$548,MATCH(LARGE($F$398:$F$548,G400),$F$398:$F$548,0))</f>
        <v/>
      </c>
      <c r="J400" s="156">
        <f>INDEX($C$398:$C$548,MATCH(LARGE($F$398:$F$548,G400),$F$398:$F$548,0))</f>
        <v/>
      </c>
      <c r="K400" s="156">
        <f>INDEX($D$398:$D$548,MATCH(LARGE($F$398:$F$548,G400),$F$398:$F$548,0))</f>
        <v/>
      </c>
      <c r="L400" s="156">
        <f>INDEX($E$398:$E$548,MATCH(LARGE($F$398:$F$548,G400),$F$398:$F$548,0))</f>
        <v/>
      </c>
      <c r="M400" s="187">
        <f>IF(OR(L400="",L400=0),"",K400/L400)</f>
        <v/>
      </c>
    </row>
    <row r="401">
      <c r="A401" s="156" t="inlineStr">
        <is>
          <t>EX-755</t>
        </is>
      </c>
      <c r="B401" s="156" t="inlineStr">
        <is>
          <t>Excavator</t>
        </is>
      </c>
      <c r="C401" s="156" t="inlineStr">
        <is>
          <t>Mining</t>
        </is>
      </c>
      <c r="D401" s="183">
        <f>SUMIFS(DATA_FUEL!$F$2:$F$20001,DATA_FUEL!$A$2:$A$20001,"&gt;="&amp;Kalkulasi!$B$290,DATA_FUEL!$A$2:$A$20001,"&lt;="&amp;Kalkulasi!$B$291,DATA_FUEL!$D$2:$D$20001,Kalkulasi!$B$293,DATA_FUEL!$B$2:$B$20001,$A401,DATA_FUEL!$D$2:$D$20001,$C401)</f>
        <v/>
      </c>
      <c r="E401" s="156">
        <f>SUMIFS(DATA_TS!$G$2:$G$20001,DATA_TS!$A$2:$A$20001,"&gt;="&amp;Kalkulasi!$B$290,DATA_TS!$A$2:$A$20001,"&lt;="&amp;Kalkulasi!$B$291,DATA_TS!$C$2:$C$20001,$A401)</f>
        <v/>
      </c>
      <c r="F401" s="156">
        <f>D401+ROW()/1000000</f>
        <v/>
      </c>
      <c r="G401" s="156" t="n">
        <v>4</v>
      </c>
      <c r="H401" s="156">
        <f>INDEX($A$398:$A$548,MATCH(LARGE($F$398:$F$548,G401),$F$398:$F$548,0))</f>
        <v/>
      </c>
      <c r="I401" s="156">
        <f>INDEX($B$398:$B$548,MATCH(LARGE($F$398:$F$548,G401),$F$398:$F$548,0))</f>
        <v/>
      </c>
      <c r="J401" s="156">
        <f>INDEX($C$398:$C$548,MATCH(LARGE($F$398:$F$548,G401),$F$398:$F$548,0))</f>
        <v/>
      </c>
      <c r="K401" s="156">
        <f>INDEX($D$398:$D$548,MATCH(LARGE($F$398:$F$548,G401),$F$398:$F$548,0))</f>
        <v/>
      </c>
      <c r="L401" s="156">
        <f>INDEX($E$398:$E$548,MATCH(LARGE($F$398:$F$548,G401),$F$398:$F$548,0))</f>
        <v/>
      </c>
      <c r="M401" s="187">
        <f>IF(OR(L401="",L401=0),"",K401/L401)</f>
        <v/>
      </c>
    </row>
    <row r="402">
      <c r="A402" s="156" t="inlineStr">
        <is>
          <t>DZ-033</t>
        </is>
      </c>
      <c r="B402" s="156" t="inlineStr">
        <is>
          <t>Bulldozer</t>
        </is>
      </c>
      <c r="C402" s="156" t="inlineStr">
        <is>
          <t>Mining</t>
        </is>
      </c>
      <c r="D402" s="183">
        <f>SUMIFS(DATA_FUEL!$F$2:$F$20001,DATA_FUEL!$A$2:$A$20001,"&gt;="&amp;Kalkulasi!$B$290,DATA_FUEL!$A$2:$A$20001,"&lt;="&amp;Kalkulasi!$B$291,DATA_FUEL!$D$2:$D$20001,Kalkulasi!$B$293,DATA_FUEL!$B$2:$B$20001,$A402,DATA_FUEL!$D$2:$D$20001,$C402)</f>
        <v/>
      </c>
      <c r="E402" s="156">
        <f>SUMIFS(DATA_TS!$G$2:$G$20001,DATA_TS!$A$2:$A$20001,"&gt;="&amp;Kalkulasi!$B$290,DATA_TS!$A$2:$A$20001,"&lt;="&amp;Kalkulasi!$B$291,DATA_TS!$C$2:$C$20001,$A402)</f>
        <v/>
      </c>
      <c r="F402" s="156">
        <f>D402+ROW()/1000000</f>
        <v/>
      </c>
      <c r="G402" s="156" t="n">
        <v>5</v>
      </c>
      <c r="H402" s="156">
        <f>INDEX($A$398:$A$548,MATCH(LARGE($F$398:$F$548,G402),$F$398:$F$548,0))</f>
        <v/>
      </c>
      <c r="I402" s="156">
        <f>INDEX($B$398:$B$548,MATCH(LARGE($F$398:$F$548,G402),$F$398:$F$548,0))</f>
        <v/>
      </c>
      <c r="J402" s="156">
        <f>INDEX($C$398:$C$548,MATCH(LARGE($F$398:$F$548,G402),$F$398:$F$548,0))</f>
        <v/>
      </c>
      <c r="K402" s="156">
        <f>INDEX($D$398:$D$548,MATCH(LARGE($F$398:$F$548,G402),$F$398:$F$548,0))</f>
        <v/>
      </c>
      <c r="L402" s="156">
        <f>INDEX($E$398:$E$548,MATCH(LARGE($F$398:$F$548,G402),$F$398:$F$548,0))</f>
        <v/>
      </c>
      <c r="M402" s="187">
        <f>IF(OR(L402="",L402=0),"",K402/L402)</f>
        <v/>
      </c>
    </row>
    <row r="403">
      <c r="A403" s="156" t="inlineStr">
        <is>
          <t>EX-2101</t>
        </is>
      </c>
      <c r="B403" s="156" t="inlineStr">
        <is>
          <t>Excavator</t>
        </is>
      </c>
      <c r="C403" s="156" t="inlineStr">
        <is>
          <t>Mining</t>
        </is>
      </c>
      <c r="D403" s="183">
        <f>SUMIFS(DATA_FUEL!$F$2:$F$20001,DATA_FUEL!$A$2:$A$20001,"&gt;="&amp;Kalkulasi!$B$290,DATA_FUEL!$A$2:$A$20001,"&lt;="&amp;Kalkulasi!$B$291,DATA_FUEL!$D$2:$D$20001,Kalkulasi!$B$293,DATA_FUEL!$B$2:$B$20001,$A403,DATA_FUEL!$D$2:$D$20001,$C403)</f>
        <v/>
      </c>
      <c r="E403" s="156">
        <f>SUMIFS(DATA_TS!$G$2:$G$20001,DATA_TS!$A$2:$A$20001,"&gt;="&amp;Kalkulasi!$B$290,DATA_TS!$A$2:$A$20001,"&lt;="&amp;Kalkulasi!$B$291,DATA_TS!$C$2:$C$20001,$A403)</f>
        <v/>
      </c>
      <c r="F403" s="156">
        <f>D403+ROW()/1000000</f>
        <v/>
      </c>
      <c r="G403" s="156" t="n">
        <v>6</v>
      </c>
      <c r="H403" s="156">
        <f>INDEX($A$398:$A$548,MATCH(LARGE($F$398:$F$548,G403),$F$398:$F$548,0))</f>
        <v/>
      </c>
      <c r="I403" s="156">
        <f>INDEX($B$398:$B$548,MATCH(LARGE($F$398:$F$548,G403),$F$398:$F$548,0))</f>
        <v/>
      </c>
      <c r="J403" s="156">
        <f>INDEX($C$398:$C$548,MATCH(LARGE($F$398:$F$548,G403),$F$398:$F$548,0))</f>
        <v/>
      </c>
      <c r="K403" s="156">
        <f>INDEX($D$398:$D$548,MATCH(LARGE($F$398:$F$548,G403),$F$398:$F$548,0))</f>
        <v/>
      </c>
      <c r="L403" s="156">
        <f>INDEX($E$398:$E$548,MATCH(LARGE($F$398:$F$548,G403),$F$398:$F$548,0))</f>
        <v/>
      </c>
      <c r="M403" s="187">
        <f>IF(OR(L403="",L403=0),"",K403/L403)</f>
        <v/>
      </c>
    </row>
    <row r="404">
      <c r="A404" s="156" t="inlineStr">
        <is>
          <t>GS-04</t>
        </is>
      </c>
      <c r="B404" s="156" t="inlineStr">
        <is>
          <t>Genset</t>
        </is>
      </c>
      <c r="C404" s="156" t="inlineStr">
        <is>
          <t>Aux</t>
        </is>
      </c>
      <c r="D404" s="183">
        <f>SUMIFS(DATA_FUEL!$F$2:$F$20001,DATA_FUEL!$A$2:$A$20001,"&gt;="&amp;Kalkulasi!$B$290,DATA_FUEL!$A$2:$A$20001,"&lt;="&amp;Kalkulasi!$B$291,DATA_FUEL!$D$2:$D$20001,Kalkulasi!$B$293,DATA_FUEL!$B$2:$B$20001,$A404,DATA_FUEL!$D$2:$D$20001,$C404)</f>
        <v/>
      </c>
      <c r="E404" s="156">
        <f>""</f>
        <v/>
      </c>
      <c r="F404" s="156">
        <f>D404+ROW()/1000000</f>
        <v/>
      </c>
      <c r="G404" s="156" t="n">
        <v>7</v>
      </c>
      <c r="H404" s="156">
        <f>INDEX($A$398:$A$548,MATCH(LARGE($F$398:$F$548,G404),$F$398:$F$548,0))</f>
        <v/>
      </c>
      <c r="I404" s="156">
        <f>INDEX($B$398:$B$548,MATCH(LARGE($F$398:$F$548,G404),$F$398:$F$548,0))</f>
        <v/>
      </c>
      <c r="J404" s="156">
        <f>INDEX($C$398:$C$548,MATCH(LARGE($F$398:$F$548,G404),$F$398:$F$548,0))</f>
        <v/>
      </c>
      <c r="K404" s="156">
        <f>INDEX($D$398:$D$548,MATCH(LARGE($F$398:$F$548,G404),$F$398:$F$548,0))</f>
        <v/>
      </c>
      <c r="L404" s="156">
        <f>INDEX($E$398:$E$548,MATCH(LARGE($F$398:$F$548,G404),$F$398:$F$548,0))</f>
        <v/>
      </c>
      <c r="M404" s="187">
        <f>IF(OR(L404="",L404=0),"",K404/L404)</f>
        <v/>
      </c>
    </row>
    <row r="405">
      <c r="A405" s="156" t="inlineStr">
        <is>
          <t>EX-753</t>
        </is>
      </c>
      <c r="B405" s="156" t="inlineStr">
        <is>
          <t>Excavator</t>
        </is>
      </c>
      <c r="C405" s="156" t="inlineStr">
        <is>
          <t>Mining</t>
        </is>
      </c>
      <c r="D405" s="183">
        <f>SUMIFS(DATA_FUEL!$F$2:$F$20001,DATA_FUEL!$A$2:$A$20001,"&gt;="&amp;Kalkulasi!$B$290,DATA_FUEL!$A$2:$A$20001,"&lt;="&amp;Kalkulasi!$B$291,DATA_FUEL!$D$2:$D$20001,Kalkulasi!$B$293,DATA_FUEL!$B$2:$B$20001,$A405,DATA_FUEL!$D$2:$D$20001,$C405)</f>
        <v/>
      </c>
      <c r="E405" s="156">
        <f>SUMIFS(DATA_TS!$G$2:$G$20001,DATA_TS!$A$2:$A$20001,"&gt;="&amp;Kalkulasi!$B$290,DATA_TS!$A$2:$A$20001,"&lt;="&amp;Kalkulasi!$B$291,DATA_TS!$C$2:$C$20001,$A405)</f>
        <v/>
      </c>
      <c r="F405" s="156">
        <f>D405+ROW()/1000000</f>
        <v/>
      </c>
      <c r="G405" s="156" t="n">
        <v>8</v>
      </c>
      <c r="H405" s="156">
        <f>INDEX($A$398:$A$548,MATCH(LARGE($F$398:$F$548,G405),$F$398:$F$548,0))</f>
        <v/>
      </c>
      <c r="I405" s="156">
        <f>INDEX($B$398:$B$548,MATCH(LARGE($F$398:$F$548,G405),$F$398:$F$548,0))</f>
        <v/>
      </c>
      <c r="J405" s="156">
        <f>INDEX($C$398:$C$548,MATCH(LARGE($F$398:$F$548,G405),$F$398:$F$548,0))</f>
        <v/>
      </c>
      <c r="K405" s="156">
        <f>INDEX($D$398:$D$548,MATCH(LARGE($F$398:$F$548,G405),$F$398:$F$548,0))</f>
        <v/>
      </c>
      <c r="L405" s="156">
        <f>INDEX($E$398:$E$548,MATCH(LARGE($F$398:$F$548,G405),$F$398:$F$548,0))</f>
        <v/>
      </c>
      <c r="M405" s="187">
        <f>IF(OR(L405="",L405=0),"",K405/L405)</f>
        <v/>
      </c>
    </row>
    <row r="406">
      <c r="A406" s="156" t="inlineStr">
        <is>
          <t>EX-754</t>
        </is>
      </c>
      <c r="B406" s="156" t="inlineStr">
        <is>
          <t>Excavator</t>
        </is>
      </c>
      <c r="C406" s="156" t="inlineStr">
        <is>
          <t>Mining</t>
        </is>
      </c>
      <c r="D406" s="183">
        <f>SUMIFS(DATA_FUEL!$F$2:$F$20001,DATA_FUEL!$A$2:$A$20001,"&gt;="&amp;Kalkulasi!$B$290,DATA_FUEL!$A$2:$A$20001,"&lt;="&amp;Kalkulasi!$B$291,DATA_FUEL!$D$2:$D$20001,Kalkulasi!$B$293,DATA_FUEL!$B$2:$B$20001,$A406,DATA_FUEL!$D$2:$D$20001,$C406)</f>
        <v/>
      </c>
      <c r="E406" s="156">
        <f>SUMIFS(DATA_TS!$G$2:$G$20001,DATA_TS!$A$2:$A$20001,"&gt;="&amp;Kalkulasi!$B$290,DATA_TS!$A$2:$A$20001,"&lt;="&amp;Kalkulasi!$B$291,DATA_TS!$C$2:$C$20001,$A406)</f>
        <v/>
      </c>
      <c r="F406" s="156">
        <f>D406+ROW()/1000000</f>
        <v/>
      </c>
      <c r="G406" s="156" t="n">
        <v>9</v>
      </c>
      <c r="H406" s="156">
        <f>INDEX($A$398:$A$548,MATCH(LARGE($F$398:$F$548,G406),$F$398:$F$548,0))</f>
        <v/>
      </c>
      <c r="I406" s="156">
        <f>INDEX($B$398:$B$548,MATCH(LARGE($F$398:$F$548,G406),$F$398:$F$548,0))</f>
        <v/>
      </c>
      <c r="J406" s="156">
        <f>INDEX($C$398:$C$548,MATCH(LARGE($F$398:$F$548,G406),$F$398:$F$548,0))</f>
        <v/>
      </c>
      <c r="K406" s="156">
        <f>INDEX($D$398:$D$548,MATCH(LARGE($F$398:$F$548,G406),$F$398:$F$548,0))</f>
        <v/>
      </c>
      <c r="L406" s="156">
        <f>INDEX($E$398:$E$548,MATCH(LARGE($F$398:$F$548,G406),$F$398:$F$548,0))</f>
        <v/>
      </c>
      <c r="M406" s="187">
        <f>IF(OR(L406="",L406=0),"",K406/L406)</f>
        <v/>
      </c>
    </row>
    <row r="407">
      <c r="A407" s="156" t="inlineStr">
        <is>
          <t>GS-09</t>
        </is>
      </c>
      <c r="B407" s="156" t="inlineStr">
        <is>
          <t>Genset</t>
        </is>
      </c>
      <c r="C407" s="156" t="inlineStr">
        <is>
          <t>Aux</t>
        </is>
      </c>
      <c r="D407" s="183">
        <f>SUMIFS(DATA_FUEL!$F$2:$F$20001,DATA_FUEL!$A$2:$A$20001,"&gt;="&amp;Kalkulasi!$B$290,DATA_FUEL!$A$2:$A$20001,"&lt;="&amp;Kalkulasi!$B$291,DATA_FUEL!$D$2:$D$20001,Kalkulasi!$B$293,DATA_FUEL!$B$2:$B$20001,$A407,DATA_FUEL!$D$2:$D$20001,$C407)</f>
        <v/>
      </c>
      <c r="E407" s="156">
        <f>""</f>
        <v/>
      </c>
      <c r="F407" s="156">
        <f>D407+ROW()/1000000</f>
        <v/>
      </c>
      <c r="G407" s="156" t="n">
        <v>10</v>
      </c>
      <c r="H407" s="156">
        <f>INDEX($A$398:$A$548,MATCH(LARGE($F$398:$F$548,G407),$F$398:$F$548,0))</f>
        <v/>
      </c>
      <c r="I407" s="156">
        <f>INDEX($B$398:$B$548,MATCH(LARGE($F$398:$F$548,G407),$F$398:$F$548,0))</f>
        <v/>
      </c>
      <c r="J407" s="156">
        <f>INDEX($C$398:$C$548,MATCH(LARGE($F$398:$F$548,G407),$F$398:$F$548,0))</f>
        <v/>
      </c>
      <c r="K407" s="156">
        <f>INDEX($D$398:$D$548,MATCH(LARGE($F$398:$F$548,G407),$F$398:$F$548,0))</f>
        <v/>
      </c>
      <c r="L407" s="156">
        <f>INDEX($E$398:$E$548,MATCH(LARGE($F$398:$F$548,G407),$F$398:$F$548,0))</f>
        <v/>
      </c>
      <c r="M407" s="187">
        <f>IF(OR(L407="",L407=0),"",K407/L407)</f>
        <v/>
      </c>
    </row>
    <row r="408">
      <c r="A408" s="156" t="inlineStr">
        <is>
          <t>EX-1252</t>
        </is>
      </c>
      <c r="B408" s="156" t="inlineStr">
        <is>
          <t>Excavator</t>
        </is>
      </c>
      <c r="C408" s="156" t="inlineStr">
        <is>
          <t>Mining</t>
        </is>
      </c>
      <c r="D408" s="183">
        <f>SUMIFS(DATA_FUEL!$F$2:$F$20001,DATA_FUEL!$A$2:$A$20001,"&gt;="&amp;Kalkulasi!$B$290,DATA_FUEL!$A$2:$A$20001,"&lt;="&amp;Kalkulasi!$B$291,DATA_FUEL!$D$2:$D$20001,Kalkulasi!$B$293,DATA_FUEL!$B$2:$B$20001,$A408,DATA_FUEL!$D$2:$D$20001,$C408)</f>
        <v/>
      </c>
      <c r="E408" s="156">
        <f>SUMIFS(DATA_TS!$G$2:$G$20001,DATA_TS!$A$2:$A$20001,"&gt;="&amp;Kalkulasi!$B$290,DATA_TS!$A$2:$A$20001,"&lt;="&amp;Kalkulasi!$B$291,DATA_TS!$C$2:$C$20001,$A408)</f>
        <v/>
      </c>
      <c r="F408" s="156">
        <f>D408+ROW()/1000000</f>
        <v/>
      </c>
      <c r="G408" s="156" t="n">
        <v>11</v>
      </c>
      <c r="H408" s="156">
        <f>INDEX($A$398:$A$548,MATCH(LARGE($F$398:$F$548,G408),$F$398:$F$548,0))</f>
        <v/>
      </c>
      <c r="I408" s="156">
        <f>INDEX($B$398:$B$548,MATCH(LARGE($F$398:$F$548,G408),$F$398:$F$548,0))</f>
        <v/>
      </c>
      <c r="J408" s="156">
        <f>INDEX($C$398:$C$548,MATCH(LARGE($F$398:$F$548,G408),$F$398:$F$548,0))</f>
        <v/>
      </c>
      <c r="K408" s="156">
        <f>INDEX($D$398:$D$548,MATCH(LARGE($F$398:$F$548,G408),$F$398:$F$548,0))</f>
        <v/>
      </c>
      <c r="L408" s="156">
        <f>INDEX($E$398:$E$548,MATCH(LARGE($F$398:$F$548,G408),$F$398:$F$548,0))</f>
        <v/>
      </c>
      <c r="M408" s="187">
        <f>IF(OR(L408="",L408=0),"",K408/L408)</f>
        <v/>
      </c>
    </row>
    <row r="409">
      <c r="A409" s="156" t="inlineStr">
        <is>
          <t>HD-901</t>
        </is>
      </c>
      <c r="B409" s="156" t="inlineStr">
        <is>
          <t>Hauler</t>
        </is>
      </c>
      <c r="C409" s="156" t="inlineStr">
        <is>
          <t>Mining</t>
        </is>
      </c>
      <c r="D409" s="183">
        <f>SUMIFS(DATA_FUEL!$F$2:$F$20001,DATA_FUEL!$A$2:$A$20001,"&gt;="&amp;Kalkulasi!$B$290,DATA_FUEL!$A$2:$A$20001,"&lt;="&amp;Kalkulasi!$B$291,DATA_FUEL!$D$2:$D$20001,Kalkulasi!$B$293,DATA_FUEL!$B$2:$B$20001,$A409,DATA_FUEL!$D$2:$D$20001,$C409)</f>
        <v/>
      </c>
      <c r="E409" s="156">
        <f>SUMIFS(DATA_TS!$G$2:$G$20001,DATA_TS!$A$2:$A$20001,"&gt;="&amp;Kalkulasi!$B$290,DATA_TS!$A$2:$A$20001,"&lt;="&amp;Kalkulasi!$B$291,DATA_TS!$C$2:$C$20001,$A409)</f>
        <v/>
      </c>
      <c r="F409" s="156">
        <f>D409+ROW()/1000000</f>
        <v/>
      </c>
      <c r="G409" s="156" t="n">
        <v>12</v>
      </c>
      <c r="H409" s="156">
        <f>INDEX($A$398:$A$548,MATCH(LARGE($F$398:$F$548,G409),$F$398:$F$548,0))</f>
        <v/>
      </c>
      <c r="I409" s="156">
        <f>INDEX($B$398:$B$548,MATCH(LARGE($F$398:$F$548,G409),$F$398:$F$548,0))</f>
        <v/>
      </c>
      <c r="J409" s="156">
        <f>INDEX($C$398:$C$548,MATCH(LARGE($F$398:$F$548,G409),$F$398:$F$548,0))</f>
        <v/>
      </c>
      <c r="K409" s="156">
        <f>INDEX($D$398:$D$548,MATCH(LARGE($F$398:$F$548,G409),$F$398:$F$548,0))</f>
        <v/>
      </c>
      <c r="L409" s="156">
        <f>INDEX($E$398:$E$548,MATCH(LARGE($F$398:$F$548,G409),$F$398:$F$548,0))</f>
        <v/>
      </c>
      <c r="M409" s="187">
        <f>IF(OR(L409="",L409=0),"",K409/L409)</f>
        <v/>
      </c>
    </row>
    <row r="410">
      <c r="A410" s="156" t="inlineStr">
        <is>
          <t>EX-334</t>
        </is>
      </c>
      <c r="B410" s="156" t="inlineStr">
        <is>
          <t>Excavator</t>
        </is>
      </c>
      <c r="C410" s="156" t="inlineStr">
        <is>
          <t>Mining</t>
        </is>
      </c>
      <c r="D410" s="183">
        <f>SUMIFS(DATA_FUEL!$F$2:$F$20001,DATA_FUEL!$A$2:$A$20001,"&gt;="&amp;Kalkulasi!$B$290,DATA_FUEL!$A$2:$A$20001,"&lt;="&amp;Kalkulasi!$B$291,DATA_FUEL!$D$2:$D$20001,Kalkulasi!$B$293,DATA_FUEL!$B$2:$B$20001,$A410,DATA_FUEL!$D$2:$D$20001,$C410)</f>
        <v/>
      </c>
      <c r="E410" s="156">
        <f>SUMIFS(DATA_TS!$G$2:$G$20001,DATA_TS!$A$2:$A$20001,"&gt;="&amp;Kalkulasi!$B$290,DATA_TS!$A$2:$A$20001,"&lt;="&amp;Kalkulasi!$B$291,DATA_TS!$C$2:$C$20001,$A410)</f>
        <v/>
      </c>
      <c r="F410" s="156">
        <f>D410+ROW()/1000000</f>
        <v/>
      </c>
      <c r="G410" s="156" t="n">
        <v>13</v>
      </c>
      <c r="H410" s="156">
        <f>INDEX($A$398:$A$548,MATCH(LARGE($F$398:$F$548,G410),$F$398:$F$548,0))</f>
        <v/>
      </c>
      <c r="I410" s="156">
        <f>INDEX($B$398:$B$548,MATCH(LARGE($F$398:$F$548,G410),$F$398:$F$548,0))</f>
        <v/>
      </c>
      <c r="J410" s="156">
        <f>INDEX($C$398:$C$548,MATCH(LARGE($F$398:$F$548,G410),$F$398:$F$548,0))</f>
        <v/>
      </c>
      <c r="K410" s="156">
        <f>INDEX($D$398:$D$548,MATCH(LARGE($F$398:$F$548,G410),$F$398:$F$548,0))</f>
        <v/>
      </c>
      <c r="L410" s="156">
        <f>INDEX($E$398:$E$548,MATCH(LARGE($F$398:$F$548,G410),$F$398:$F$548,0))</f>
        <v/>
      </c>
      <c r="M410" s="187">
        <f>IF(OR(L410="",L410=0),"",K410/L410)</f>
        <v/>
      </c>
    </row>
    <row r="411">
      <c r="A411" s="156" t="inlineStr">
        <is>
          <t>WP-05</t>
        </is>
      </c>
      <c r="B411" s="156" t="inlineStr">
        <is>
          <t>Pompa air</t>
        </is>
      </c>
      <c r="C411" s="156" t="inlineStr">
        <is>
          <t>Mining</t>
        </is>
      </c>
      <c r="D411" s="183">
        <f>SUMIFS(DATA_FUEL!$F$2:$F$20001,DATA_FUEL!$A$2:$A$20001,"&gt;="&amp;Kalkulasi!$B$290,DATA_FUEL!$A$2:$A$20001,"&lt;="&amp;Kalkulasi!$B$291,DATA_FUEL!$D$2:$D$20001,Kalkulasi!$B$293,DATA_FUEL!$B$2:$B$20001,$A411,DATA_FUEL!$D$2:$D$20001,$C411)</f>
        <v/>
      </c>
      <c r="E411" s="156">
        <f>""</f>
        <v/>
      </c>
      <c r="F411" s="156">
        <f>D411+ROW()/1000000</f>
        <v/>
      </c>
      <c r="G411" s="156" t="n">
        <v>14</v>
      </c>
      <c r="H411" s="156">
        <f>INDEX($A$398:$A$548,MATCH(LARGE($F$398:$F$548,G411),$F$398:$F$548,0))</f>
        <v/>
      </c>
      <c r="I411" s="156">
        <f>INDEX($B$398:$B$548,MATCH(LARGE($F$398:$F$548,G411),$F$398:$F$548,0))</f>
        <v/>
      </c>
      <c r="J411" s="156">
        <f>INDEX($C$398:$C$548,MATCH(LARGE($F$398:$F$548,G411),$F$398:$F$548,0))</f>
        <v/>
      </c>
      <c r="K411" s="156">
        <f>INDEX($D$398:$D$548,MATCH(LARGE($F$398:$F$548,G411),$F$398:$F$548,0))</f>
        <v/>
      </c>
      <c r="L411" s="156">
        <f>INDEX($E$398:$E$548,MATCH(LARGE($F$398:$F$548,G411),$F$398:$F$548,0))</f>
        <v/>
      </c>
      <c r="M411" s="187">
        <f>IF(OR(L411="",L411=0),"",K411/L411)</f>
        <v/>
      </c>
    </row>
    <row r="412">
      <c r="A412" s="156" t="inlineStr">
        <is>
          <t>DT-508</t>
        </is>
      </c>
      <c r="B412" s="156" t="inlineStr">
        <is>
          <t>Hauler</t>
        </is>
      </c>
      <c r="C412" s="156" t="inlineStr">
        <is>
          <t>Mining</t>
        </is>
      </c>
      <c r="D412" s="183">
        <f>SUMIFS(DATA_FUEL!$F$2:$F$20001,DATA_FUEL!$A$2:$A$20001,"&gt;="&amp;Kalkulasi!$B$290,DATA_FUEL!$A$2:$A$20001,"&lt;="&amp;Kalkulasi!$B$291,DATA_FUEL!$D$2:$D$20001,Kalkulasi!$B$293,DATA_FUEL!$B$2:$B$20001,$A412,DATA_FUEL!$D$2:$D$20001,$C412)</f>
        <v/>
      </c>
      <c r="E412" s="156">
        <f>SUMIFS(DATA_TS!$G$2:$G$20001,DATA_TS!$A$2:$A$20001,"&gt;="&amp;Kalkulasi!$B$290,DATA_TS!$A$2:$A$20001,"&lt;="&amp;Kalkulasi!$B$291,DATA_TS!$C$2:$C$20001,$A412)</f>
        <v/>
      </c>
      <c r="F412" s="156">
        <f>D412+ROW()/1000000</f>
        <v/>
      </c>
      <c r="G412" s="156" t="n">
        <v>15</v>
      </c>
      <c r="H412" s="156">
        <f>INDEX($A$398:$A$548,MATCH(LARGE($F$398:$F$548,G412),$F$398:$F$548,0))</f>
        <v/>
      </c>
      <c r="I412" s="156">
        <f>INDEX($B$398:$B$548,MATCH(LARGE($F$398:$F$548,G412),$F$398:$F$548,0))</f>
        <v/>
      </c>
      <c r="J412" s="156">
        <f>INDEX($C$398:$C$548,MATCH(LARGE($F$398:$F$548,G412),$F$398:$F$548,0))</f>
        <v/>
      </c>
      <c r="K412" s="156">
        <f>INDEX($D$398:$D$548,MATCH(LARGE($F$398:$F$548,G412),$F$398:$F$548,0))</f>
        <v/>
      </c>
      <c r="L412" s="156">
        <f>INDEX($E$398:$E$548,MATCH(LARGE($F$398:$F$548,G412),$F$398:$F$548,0))</f>
        <v/>
      </c>
      <c r="M412" s="187">
        <f>IF(OR(L412="",L412=0),"",K412/L412)</f>
        <v/>
      </c>
    </row>
    <row r="413">
      <c r="A413" s="156" t="inlineStr">
        <is>
          <t>HD-904</t>
        </is>
      </c>
      <c r="B413" s="156" t="inlineStr">
        <is>
          <t>Hauler</t>
        </is>
      </c>
      <c r="C413" s="156" t="inlineStr">
        <is>
          <t>Mining</t>
        </is>
      </c>
      <c r="D413" s="183">
        <f>SUMIFS(DATA_FUEL!$F$2:$F$20001,DATA_FUEL!$A$2:$A$20001,"&gt;="&amp;Kalkulasi!$B$290,DATA_FUEL!$A$2:$A$20001,"&lt;="&amp;Kalkulasi!$B$291,DATA_FUEL!$D$2:$D$20001,Kalkulasi!$B$293,DATA_FUEL!$B$2:$B$20001,$A413,DATA_FUEL!$D$2:$D$20001,$C413)</f>
        <v/>
      </c>
      <c r="E413" s="156">
        <f>SUMIFS(DATA_TS!$G$2:$G$20001,DATA_TS!$A$2:$A$20001,"&gt;="&amp;Kalkulasi!$B$290,DATA_TS!$A$2:$A$20001,"&lt;="&amp;Kalkulasi!$B$291,DATA_TS!$C$2:$C$20001,$A413)</f>
        <v/>
      </c>
      <c r="F413" s="156">
        <f>D413+ROW()/1000000</f>
        <v/>
      </c>
      <c r="G413" s="156" t="n">
        <v>16</v>
      </c>
      <c r="H413" s="156">
        <f>INDEX($A$398:$A$548,MATCH(LARGE($F$398:$F$548,G413),$F$398:$F$548,0))</f>
        <v/>
      </c>
      <c r="I413" s="156">
        <f>INDEX($B$398:$B$548,MATCH(LARGE($F$398:$F$548,G413),$F$398:$F$548,0))</f>
        <v/>
      </c>
      <c r="J413" s="156">
        <f>INDEX($C$398:$C$548,MATCH(LARGE($F$398:$F$548,G413),$F$398:$F$548,0))</f>
        <v/>
      </c>
      <c r="K413" s="156">
        <f>INDEX($D$398:$D$548,MATCH(LARGE($F$398:$F$548,G413),$F$398:$F$548,0))</f>
        <v/>
      </c>
      <c r="L413" s="156">
        <f>INDEX($E$398:$E$548,MATCH(LARGE($F$398:$F$548,G413),$F$398:$F$548,0))</f>
        <v/>
      </c>
      <c r="M413" s="187">
        <f>IF(OR(L413="",L413=0),"",K413/L413)</f>
        <v/>
      </c>
    </row>
    <row r="414">
      <c r="A414" s="156" t="inlineStr">
        <is>
          <t>EX-336</t>
        </is>
      </c>
      <c r="B414" s="156" t="inlineStr">
        <is>
          <t>Excavator</t>
        </is>
      </c>
      <c r="C414" s="156" t="inlineStr">
        <is>
          <t>Mining</t>
        </is>
      </c>
      <c r="D414" s="183">
        <f>SUMIFS(DATA_FUEL!$F$2:$F$20001,DATA_FUEL!$A$2:$A$20001,"&gt;="&amp;Kalkulasi!$B$290,DATA_FUEL!$A$2:$A$20001,"&lt;="&amp;Kalkulasi!$B$291,DATA_FUEL!$D$2:$D$20001,Kalkulasi!$B$293,DATA_FUEL!$B$2:$B$20001,$A414,DATA_FUEL!$D$2:$D$20001,$C414)</f>
        <v/>
      </c>
      <c r="E414" s="156">
        <f>SUMIFS(DATA_TS!$G$2:$G$20001,DATA_TS!$A$2:$A$20001,"&gt;="&amp;Kalkulasi!$B$290,DATA_TS!$A$2:$A$20001,"&lt;="&amp;Kalkulasi!$B$291,DATA_TS!$C$2:$C$20001,$A414)</f>
        <v/>
      </c>
      <c r="F414" s="156">
        <f>D414+ROW()/1000000</f>
        <v/>
      </c>
      <c r="G414" s="156" t="n">
        <v>17</v>
      </c>
      <c r="H414" s="156">
        <f>INDEX($A$398:$A$548,MATCH(LARGE($F$398:$F$548,G414),$F$398:$F$548,0))</f>
        <v/>
      </c>
      <c r="I414" s="156">
        <f>INDEX($B$398:$B$548,MATCH(LARGE($F$398:$F$548,G414),$F$398:$F$548,0))</f>
        <v/>
      </c>
      <c r="J414" s="156">
        <f>INDEX($C$398:$C$548,MATCH(LARGE($F$398:$F$548,G414),$F$398:$F$548,0))</f>
        <v/>
      </c>
      <c r="K414" s="156">
        <f>INDEX($D$398:$D$548,MATCH(LARGE($F$398:$F$548,G414),$F$398:$F$548,0))</f>
        <v/>
      </c>
      <c r="L414" s="156">
        <f>INDEX($E$398:$E$548,MATCH(LARGE($F$398:$F$548,G414),$F$398:$F$548,0))</f>
        <v/>
      </c>
      <c r="M414" s="187">
        <f>IF(OR(L414="",L414=0),"",K414/L414)</f>
        <v/>
      </c>
    </row>
    <row r="415">
      <c r="A415" s="156" t="inlineStr">
        <is>
          <t>DT-503</t>
        </is>
      </c>
      <c r="B415" s="156" t="inlineStr">
        <is>
          <t>Hauler</t>
        </is>
      </c>
      <c r="C415" s="156" t="inlineStr">
        <is>
          <t>Mining</t>
        </is>
      </c>
      <c r="D415" s="183">
        <f>SUMIFS(DATA_FUEL!$F$2:$F$20001,DATA_FUEL!$A$2:$A$20001,"&gt;="&amp;Kalkulasi!$B$290,DATA_FUEL!$A$2:$A$20001,"&lt;="&amp;Kalkulasi!$B$291,DATA_FUEL!$D$2:$D$20001,Kalkulasi!$B$293,DATA_FUEL!$B$2:$B$20001,$A415,DATA_FUEL!$D$2:$D$20001,$C415)</f>
        <v/>
      </c>
      <c r="E415" s="156">
        <f>SUMIFS(DATA_TS!$G$2:$G$20001,DATA_TS!$A$2:$A$20001,"&gt;="&amp;Kalkulasi!$B$290,DATA_TS!$A$2:$A$20001,"&lt;="&amp;Kalkulasi!$B$291,DATA_TS!$C$2:$C$20001,$A415)</f>
        <v/>
      </c>
      <c r="F415" s="156">
        <f>D415+ROW()/1000000</f>
        <v/>
      </c>
      <c r="G415" s="156" t="n">
        <v>18</v>
      </c>
      <c r="H415" s="156">
        <f>INDEX($A$398:$A$548,MATCH(LARGE($F$398:$F$548,G415),$F$398:$F$548,0))</f>
        <v/>
      </c>
      <c r="I415" s="156">
        <f>INDEX($B$398:$B$548,MATCH(LARGE($F$398:$F$548,G415),$F$398:$F$548,0))</f>
        <v/>
      </c>
      <c r="J415" s="156">
        <f>INDEX($C$398:$C$548,MATCH(LARGE($F$398:$F$548,G415),$F$398:$F$548,0))</f>
        <v/>
      </c>
      <c r="K415" s="156">
        <f>INDEX($D$398:$D$548,MATCH(LARGE($F$398:$F$548,G415),$F$398:$F$548,0))</f>
        <v/>
      </c>
      <c r="L415" s="156">
        <f>INDEX($E$398:$E$548,MATCH(LARGE($F$398:$F$548,G415),$F$398:$F$548,0))</f>
        <v/>
      </c>
      <c r="M415" s="187">
        <f>IF(OR(L415="",L415=0),"",K415/L415)</f>
        <v/>
      </c>
    </row>
    <row r="416">
      <c r="A416" s="156" t="inlineStr">
        <is>
          <t>DT-504</t>
        </is>
      </c>
      <c r="B416" s="156" t="inlineStr">
        <is>
          <t>Hauler</t>
        </is>
      </c>
      <c r="C416" s="156" t="inlineStr">
        <is>
          <t>Mining</t>
        </is>
      </c>
      <c r="D416" s="183">
        <f>SUMIFS(DATA_FUEL!$F$2:$F$20001,DATA_FUEL!$A$2:$A$20001,"&gt;="&amp;Kalkulasi!$B$290,DATA_FUEL!$A$2:$A$20001,"&lt;="&amp;Kalkulasi!$B$291,DATA_FUEL!$D$2:$D$20001,Kalkulasi!$B$293,DATA_FUEL!$B$2:$B$20001,$A416,DATA_FUEL!$D$2:$D$20001,$C416)</f>
        <v/>
      </c>
      <c r="E416" s="156">
        <f>SUMIFS(DATA_TS!$G$2:$G$20001,DATA_TS!$A$2:$A$20001,"&gt;="&amp;Kalkulasi!$B$290,DATA_TS!$A$2:$A$20001,"&lt;="&amp;Kalkulasi!$B$291,DATA_TS!$C$2:$C$20001,$A416)</f>
        <v/>
      </c>
      <c r="F416" s="156">
        <f>D416+ROW()/1000000</f>
        <v/>
      </c>
      <c r="G416" s="156" t="n">
        <v>19</v>
      </c>
      <c r="H416" s="156">
        <f>INDEX($A$398:$A$548,MATCH(LARGE($F$398:$F$548,G416),$F$398:$F$548,0))</f>
        <v/>
      </c>
      <c r="I416" s="156">
        <f>INDEX($B$398:$B$548,MATCH(LARGE($F$398:$F$548,G416),$F$398:$F$548,0))</f>
        <v/>
      </c>
      <c r="J416" s="156">
        <f>INDEX($C$398:$C$548,MATCH(LARGE($F$398:$F$548,G416),$F$398:$F$548,0))</f>
        <v/>
      </c>
      <c r="K416" s="156">
        <f>INDEX($D$398:$D$548,MATCH(LARGE($F$398:$F$548,G416),$F$398:$F$548,0))</f>
        <v/>
      </c>
      <c r="L416" s="156">
        <f>INDEX($E$398:$E$548,MATCH(LARGE($F$398:$F$548,G416),$F$398:$F$548,0))</f>
        <v/>
      </c>
      <c r="M416" s="187">
        <f>IF(OR(L416="",L416=0),"",K416/L416)</f>
        <v/>
      </c>
    </row>
    <row r="417">
      <c r="A417" s="156" t="inlineStr">
        <is>
          <t>EX-333</t>
        </is>
      </c>
      <c r="B417" s="156" t="inlineStr">
        <is>
          <t>Excavator</t>
        </is>
      </c>
      <c r="C417" s="156" t="inlineStr">
        <is>
          <t>Mining</t>
        </is>
      </c>
      <c r="D417" s="183">
        <f>SUMIFS(DATA_FUEL!$F$2:$F$20001,DATA_FUEL!$A$2:$A$20001,"&gt;="&amp;Kalkulasi!$B$290,DATA_FUEL!$A$2:$A$20001,"&lt;="&amp;Kalkulasi!$B$291,DATA_FUEL!$D$2:$D$20001,Kalkulasi!$B$293,DATA_FUEL!$B$2:$B$20001,$A417,DATA_FUEL!$D$2:$D$20001,$C417)</f>
        <v/>
      </c>
      <c r="E417" s="156">
        <f>SUMIFS(DATA_TS!$G$2:$G$20001,DATA_TS!$A$2:$A$20001,"&gt;="&amp;Kalkulasi!$B$290,DATA_TS!$A$2:$A$20001,"&lt;="&amp;Kalkulasi!$B$291,DATA_TS!$C$2:$C$20001,$A417)</f>
        <v/>
      </c>
      <c r="F417" s="156">
        <f>D417+ROW()/1000000</f>
        <v/>
      </c>
      <c r="G417" s="156" t="n">
        <v>20</v>
      </c>
      <c r="H417" s="156">
        <f>INDEX($A$398:$A$548,MATCH(LARGE($F$398:$F$548,G417),$F$398:$F$548,0))</f>
        <v/>
      </c>
      <c r="I417" s="156">
        <f>INDEX($B$398:$B$548,MATCH(LARGE($F$398:$F$548,G417),$F$398:$F$548,0))</f>
        <v/>
      </c>
      <c r="J417" s="156">
        <f>INDEX($C$398:$C$548,MATCH(LARGE($F$398:$F$548,G417),$F$398:$F$548,0))</f>
        <v/>
      </c>
      <c r="K417" s="156">
        <f>INDEX($D$398:$D$548,MATCH(LARGE($F$398:$F$548,G417),$F$398:$F$548,0))</f>
        <v/>
      </c>
      <c r="L417" s="156">
        <f>INDEX($E$398:$E$548,MATCH(LARGE($F$398:$F$548,G417),$F$398:$F$548,0))</f>
        <v/>
      </c>
      <c r="M417" s="187">
        <f>IF(OR(L417="",L417=0),"",K417/L417)</f>
        <v/>
      </c>
    </row>
    <row r="418">
      <c r="A418" s="156" t="inlineStr">
        <is>
          <t>DT-520</t>
        </is>
      </c>
      <c r="B418" s="156" t="inlineStr">
        <is>
          <t>Hauler</t>
        </is>
      </c>
      <c r="C418" s="156" t="inlineStr">
        <is>
          <t>Mining</t>
        </is>
      </c>
      <c r="D418" s="183">
        <f>SUMIFS(DATA_FUEL!$F$2:$F$20001,DATA_FUEL!$A$2:$A$20001,"&gt;="&amp;Kalkulasi!$B$290,DATA_FUEL!$A$2:$A$20001,"&lt;="&amp;Kalkulasi!$B$291,DATA_FUEL!$D$2:$D$20001,Kalkulasi!$B$293,DATA_FUEL!$B$2:$B$20001,$A418,DATA_FUEL!$D$2:$D$20001,$C418)</f>
        <v/>
      </c>
      <c r="E418" s="156">
        <f>SUMIFS(DATA_TS!$G$2:$G$20001,DATA_TS!$A$2:$A$20001,"&gt;="&amp;Kalkulasi!$B$290,DATA_TS!$A$2:$A$20001,"&lt;="&amp;Kalkulasi!$B$291,DATA_TS!$C$2:$C$20001,$A418)</f>
        <v/>
      </c>
      <c r="F418" s="156">
        <f>D418+ROW()/1000000</f>
        <v/>
      </c>
      <c r="G418" s="156" t="n">
        <v>21</v>
      </c>
      <c r="H418" s="156">
        <f>INDEX($A$398:$A$548,MATCH(LARGE($F$398:$F$548,G418),$F$398:$F$548,0))</f>
        <v/>
      </c>
      <c r="I418" s="156">
        <f>INDEX($B$398:$B$548,MATCH(LARGE($F$398:$F$548,G418),$F$398:$F$548,0))</f>
        <v/>
      </c>
      <c r="J418" s="156">
        <f>INDEX($C$398:$C$548,MATCH(LARGE($F$398:$F$548,G418),$F$398:$F$548,0))</f>
        <v/>
      </c>
      <c r="K418" s="156">
        <f>INDEX($D$398:$D$548,MATCH(LARGE($F$398:$F$548,G418),$F$398:$F$548,0))</f>
        <v/>
      </c>
      <c r="L418" s="156">
        <f>INDEX($E$398:$E$548,MATCH(LARGE($F$398:$F$548,G418),$F$398:$F$548,0))</f>
        <v/>
      </c>
      <c r="M418" s="187">
        <f>IF(OR(L418="",L418=0),"",K418/L418)</f>
        <v/>
      </c>
    </row>
    <row r="419">
      <c r="A419" s="156" t="inlineStr">
        <is>
          <t>GD-014</t>
        </is>
      </c>
      <c r="B419" s="156" t="inlineStr">
        <is>
          <t>Grader</t>
        </is>
      </c>
      <c r="C419" s="156" t="inlineStr">
        <is>
          <t>Mining</t>
        </is>
      </c>
      <c r="D419" s="183">
        <f>SUMIFS(DATA_FUEL!$F$2:$F$20001,DATA_FUEL!$A$2:$A$20001,"&gt;="&amp;Kalkulasi!$B$290,DATA_FUEL!$A$2:$A$20001,"&lt;="&amp;Kalkulasi!$B$291,DATA_FUEL!$D$2:$D$20001,Kalkulasi!$B$293,DATA_FUEL!$B$2:$B$20001,$A419,DATA_FUEL!$D$2:$D$20001,$C419)</f>
        <v/>
      </c>
      <c r="E419" s="156">
        <f>SUMIFS(DATA_TS!$G$2:$G$20001,DATA_TS!$A$2:$A$20001,"&gt;="&amp;Kalkulasi!$B$290,DATA_TS!$A$2:$A$20001,"&lt;="&amp;Kalkulasi!$B$291,DATA_TS!$C$2:$C$20001,$A419)</f>
        <v/>
      </c>
      <c r="F419" s="156">
        <f>D419+ROW()/1000000</f>
        <v/>
      </c>
      <c r="G419" s="156" t="n">
        <v>22</v>
      </c>
      <c r="H419" s="156">
        <f>INDEX($A$398:$A$548,MATCH(LARGE($F$398:$F$548,G419),$F$398:$F$548,0))</f>
        <v/>
      </c>
      <c r="I419" s="156">
        <f>INDEX($B$398:$B$548,MATCH(LARGE($F$398:$F$548,G419),$F$398:$F$548,0))</f>
        <v/>
      </c>
      <c r="J419" s="156">
        <f>INDEX($C$398:$C$548,MATCH(LARGE($F$398:$F$548,G419),$F$398:$F$548,0))</f>
        <v/>
      </c>
      <c r="K419" s="156">
        <f>INDEX($D$398:$D$548,MATCH(LARGE($F$398:$F$548,G419),$F$398:$F$548,0))</f>
        <v/>
      </c>
      <c r="L419" s="156">
        <f>INDEX($E$398:$E$548,MATCH(LARGE($F$398:$F$548,G419),$F$398:$F$548,0))</f>
        <v/>
      </c>
      <c r="M419" s="187">
        <f>IF(OR(L419="",L419=0),"",K419/L419)</f>
        <v/>
      </c>
    </row>
    <row r="420">
      <c r="A420" s="156" t="inlineStr">
        <is>
          <t>HD-902</t>
        </is>
      </c>
      <c r="B420" s="156" t="inlineStr">
        <is>
          <t>Hauler</t>
        </is>
      </c>
      <c r="C420" s="156" t="inlineStr">
        <is>
          <t>Mining</t>
        </is>
      </c>
      <c r="D420" s="183">
        <f>SUMIFS(DATA_FUEL!$F$2:$F$20001,DATA_FUEL!$A$2:$A$20001,"&gt;="&amp;Kalkulasi!$B$290,DATA_FUEL!$A$2:$A$20001,"&lt;="&amp;Kalkulasi!$B$291,DATA_FUEL!$D$2:$D$20001,Kalkulasi!$B$293,DATA_FUEL!$B$2:$B$20001,$A420,DATA_FUEL!$D$2:$D$20001,$C420)</f>
        <v/>
      </c>
      <c r="E420" s="156">
        <f>SUMIFS(DATA_TS!$G$2:$G$20001,DATA_TS!$A$2:$A$20001,"&gt;="&amp;Kalkulasi!$B$290,DATA_TS!$A$2:$A$20001,"&lt;="&amp;Kalkulasi!$B$291,DATA_TS!$C$2:$C$20001,$A420)</f>
        <v/>
      </c>
      <c r="F420" s="156">
        <f>D420+ROW()/1000000</f>
        <v/>
      </c>
      <c r="G420" s="156" t="n">
        <v>23</v>
      </c>
      <c r="H420" s="156">
        <f>INDEX($A$398:$A$548,MATCH(LARGE($F$398:$F$548,G420),$F$398:$F$548,0))</f>
        <v/>
      </c>
      <c r="I420" s="156">
        <f>INDEX($B$398:$B$548,MATCH(LARGE($F$398:$F$548,G420),$F$398:$F$548,0))</f>
        <v/>
      </c>
      <c r="J420" s="156">
        <f>INDEX($C$398:$C$548,MATCH(LARGE($F$398:$F$548,G420),$F$398:$F$548,0))</f>
        <v/>
      </c>
      <c r="K420" s="156">
        <f>INDEX($D$398:$D$548,MATCH(LARGE($F$398:$F$548,G420),$F$398:$F$548,0))</f>
        <v/>
      </c>
      <c r="L420" s="156">
        <f>INDEX($E$398:$E$548,MATCH(LARGE($F$398:$F$548,G420),$F$398:$F$548,0))</f>
        <v/>
      </c>
      <c r="M420" s="187">
        <f>IF(OR(L420="",L420=0),"",K420/L420)</f>
        <v/>
      </c>
    </row>
    <row r="421">
      <c r="A421" s="156" t="inlineStr">
        <is>
          <t>DT-521</t>
        </is>
      </c>
      <c r="B421" s="156" t="inlineStr">
        <is>
          <t>Hauler</t>
        </is>
      </c>
      <c r="C421" s="156" t="inlineStr">
        <is>
          <t>Mining</t>
        </is>
      </c>
      <c r="D421" s="183">
        <f>SUMIFS(DATA_FUEL!$F$2:$F$20001,DATA_FUEL!$A$2:$A$20001,"&gt;="&amp;Kalkulasi!$B$290,DATA_FUEL!$A$2:$A$20001,"&lt;="&amp;Kalkulasi!$B$291,DATA_FUEL!$D$2:$D$20001,Kalkulasi!$B$293,DATA_FUEL!$B$2:$B$20001,$A421,DATA_FUEL!$D$2:$D$20001,$C421)</f>
        <v/>
      </c>
      <c r="E421" s="156">
        <f>SUMIFS(DATA_TS!$G$2:$G$20001,DATA_TS!$A$2:$A$20001,"&gt;="&amp;Kalkulasi!$B$290,DATA_TS!$A$2:$A$20001,"&lt;="&amp;Kalkulasi!$B$291,DATA_TS!$C$2:$C$20001,$A421)</f>
        <v/>
      </c>
      <c r="F421" s="156">
        <f>D421+ROW()/1000000</f>
        <v/>
      </c>
      <c r="G421" s="156" t="n">
        <v>24</v>
      </c>
      <c r="H421" s="156">
        <f>INDEX($A$398:$A$548,MATCH(LARGE($F$398:$F$548,G421),$F$398:$F$548,0))</f>
        <v/>
      </c>
      <c r="I421" s="156">
        <f>INDEX($B$398:$B$548,MATCH(LARGE($F$398:$F$548,G421),$F$398:$F$548,0))</f>
        <v/>
      </c>
      <c r="J421" s="156">
        <f>INDEX($C$398:$C$548,MATCH(LARGE($F$398:$F$548,G421),$F$398:$F$548,0))</f>
        <v/>
      </c>
      <c r="K421" s="156">
        <f>INDEX($D$398:$D$548,MATCH(LARGE($F$398:$F$548,G421),$F$398:$F$548,0))</f>
        <v/>
      </c>
      <c r="L421" s="156">
        <f>INDEX($E$398:$E$548,MATCH(LARGE($F$398:$F$548,G421),$F$398:$F$548,0))</f>
        <v/>
      </c>
      <c r="M421" s="187">
        <f>IF(OR(L421="",L421=0),"",K421/L421)</f>
        <v/>
      </c>
    </row>
    <row r="422">
      <c r="A422" s="156" t="inlineStr">
        <is>
          <t>DZ-031</t>
        </is>
      </c>
      <c r="B422" s="156" t="inlineStr">
        <is>
          <t>Bulldozer</t>
        </is>
      </c>
      <c r="C422" s="156" t="inlineStr">
        <is>
          <t>Mining</t>
        </is>
      </c>
      <c r="D422" s="183">
        <f>SUMIFS(DATA_FUEL!$F$2:$F$20001,DATA_FUEL!$A$2:$A$20001,"&gt;="&amp;Kalkulasi!$B$290,DATA_FUEL!$A$2:$A$20001,"&lt;="&amp;Kalkulasi!$B$291,DATA_FUEL!$D$2:$D$20001,Kalkulasi!$B$293,DATA_FUEL!$B$2:$B$20001,$A422,DATA_FUEL!$D$2:$D$20001,$C422)</f>
        <v/>
      </c>
      <c r="E422" s="156">
        <f>SUMIFS(DATA_TS!$G$2:$G$20001,DATA_TS!$A$2:$A$20001,"&gt;="&amp;Kalkulasi!$B$290,DATA_TS!$A$2:$A$20001,"&lt;="&amp;Kalkulasi!$B$291,DATA_TS!$C$2:$C$20001,$A422)</f>
        <v/>
      </c>
      <c r="F422" s="156">
        <f>D422+ROW()/1000000</f>
        <v/>
      </c>
      <c r="G422" s="156" t="n">
        <v>25</v>
      </c>
      <c r="H422" s="156">
        <f>INDEX($A$398:$A$548,MATCH(LARGE($F$398:$F$548,G422),$F$398:$F$548,0))</f>
        <v/>
      </c>
      <c r="I422" s="156">
        <f>INDEX($B$398:$B$548,MATCH(LARGE($F$398:$F$548,G422),$F$398:$F$548,0))</f>
        <v/>
      </c>
      <c r="J422" s="156">
        <f>INDEX($C$398:$C$548,MATCH(LARGE($F$398:$F$548,G422),$F$398:$F$548,0))</f>
        <v/>
      </c>
      <c r="K422" s="156">
        <f>INDEX($D$398:$D$548,MATCH(LARGE($F$398:$F$548,G422),$F$398:$F$548,0))</f>
        <v/>
      </c>
      <c r="L422" s="156">
        <f>INDEX($E$398:$E$548,MATCH(LARGE($F$398:$F$548,G422),$F$398:$F$548,0))</f>
        <v/>
      </c>
      <c r="M422" s="187">
        <f>IF(OR(L422="",L422=0),"",K422/L422)</f>
        <v/>
      </c>
    </row>
    <row r="423">
      <c r="A423" s="156" t="inlineStr">
        <is>
          <t>DT-528</t>
        </is>
      </c>
      <c r="B423" s="156" t="inlineStr">
        <is>
          <t>Hauler</t>
        </is>
      </c>
      <c r="C423" s="156" t="inlineStr">
        <is>
          <t>Mining</t>
        </is>
      </c>
      <c r="D423" s="183">
        <f>SUMIFS(DATA_FUEL!$F$2:$F$20001,DATA_FUEL!$A$2:$A$20001,"&gt;="&amp;Kalkulasi!$B$290,DATA_FUEL!$A$2:$A$20001,"&lt;="&amp;Kalkulasi!$B$291,DATA_FUEL!$D$2:$D$20001,Kalkulasi!$B$293,DATA_FUEL!$B$2:$B$20001,$A423,DATA_FUEL!$D$2:$D$20001,$C423)</f>
        <v/>
      </c>
      <c r="E423" s="156">
        <f>SUMIFS(DATA_TS!$G$2:$G$20001,DATA_TS!$A$2:$A$20001,"&gt;="&amp;Kalkulasi!$B$290,DATA_TS!$A$2:$A$20001,"&lt;="&amp;Kalkulasi!$B$291,DATA_TS!$C$2:$C$20001,$A423)</f>
        <v/>
      </c>
      <c r="F423" s="156">
        <f>D423+ROW()/1000000</f>
        <v/>
      </c>
      <c r="G423" s="156" t="n">
        <v>26</v>
      </c>
      <c r="H423" s="156">
        <f>INDEX($A$398:$A$548,MATCH(LARGE($F$398:$F$548,G423),$F$398:$F$548,0))</f>
        <v/>
      </c>
      <c r="I423" s="156">
        <f>INDEX($B$398:$B$548,MATCH(LARGE($F$398:$F$548,G423),$F$398:$F$548,0))</f>
        <v/>
      </c>
      <c r="J423" s="156">
        <f>INDEX($C$398:$C$548,MATCH(LARGE($F$398:$F$548,G423),$F$398:$F$548,0))</f>
        <v/>
      </c>
      <c r="K423" s="156">
        <f>INDEX($D$398:$D$548,MATCH(LARGE($F$398:$F$548,G423),$F$398:$F$548,0))</f>
        <v/>
      </c>
      <c r="L423" s="156">
        <f>INDEX($E$398:$E$548,MATCH(LARGE($F$398:$F$548,G423),$F$398:$F$548,0))</f>
        <v/>
      </c>
      <c r="M423" s="187">
        <f>IF(OR(L423="",L423=0),"",K423/L423)</f>
        <v/>
      </c>
    </row>
    <row r="424">
      <c r="A424" s="156" t="inlineStr">
        <is>
          <t>DT-527</t>
        </is>
      </c>
      <c r="B424" s="156" t="inlineStr">
        <is>
          <t>Hauler</t>
        </is>
      </c>
      <c r="C424" s="156" t="inlineStr">
        <is>
          <t>Mining</t>
        </is>
      </c>
      <c r="D424" s="183">
        <f>SUMIFS(DATA_FUEL!$F$2:$F$20001,DATA_FUEL!$A$2:$A$20001,"&gt;="&amp;Kalkulasi!$B$290,DATA_FUEL!$A$2:$A$20001,"&lt;="&amp;Kalkulasi!$B$291,DATA_FUEL!$D$2:$D$20001,Kalkulasi!$B$293,DATA_FUEL!$B$2:$B$20001,$A424,DATA_FUEL!$D$2:$D$20001,$C424)</f>
        <v/>
      </c>
      <c r="E424" s="156">
        <f>SUMIFS(DATA_TS!$G$2:$G$20001,DATA_TS!$A$2:$A$20001,"&gt;="&amp;Kalkulasi!$B$290,DATA_TS!$A$2:$A$20001,"&lt;="&amp;Kalkulasi!$B$291,DATA_TS!$C$2:$C$20001,$A424)</f>
        <v/>
      </c>
      <c r="F424" s="156">
        <f>D424+ROW()/1000000</f>
        <v/>
      </c>
      <c r="G424" s="156" t="n">
        <v>27</v>
      </c>
      <c r="H424" s="156">
        <f>INDEX($A$398:$A$548,MATCH(LARGE($F$398:$F$548,G424),$F$398:$F$548,0))</f>
        <v/>
      </c>
      <c r="I424" s="156">
        <f>INDEX($B$398:$B$548,MATCH(LARGE($F$398:$F$548,G424),$F$398:$F$548,0))</f>
        <v/>
      </c>
      <c r="J424" s="156">
        <f>INDEX($C$398:$C$548,MATCH(LARGE($F$398:$F$548,G424),$F$398:$F$548,0))</f>
        <v/>
      </c>
      <c r="K424" s="156">
        <f>INDEX($D$398:$D$548,MATCH(LARGE($F$398:$F$548,G424),$F$398:$F$548,0))</f>
        <v/>
      </c>
      <c r="L424" s="156">
        <f>INDEX($E$398:$E$548,MATCH(LARGE($F$398:$F$548,G424),$F$398:$F$548,0))</f>
        <v/>
      </c>
      <c r="M424" s="187">
        <f>IF(OR(L424="",L424=0),"",K424/L424)</f>
        <v/>
      </c>
    </row>
    <row r="425">
      <c r="A425" s="156" t="inlineStr">
        <is>
          <t>DT-517</t>
        </is>
      </c>
      <c r="B425" s="156" t="inlineStr">
        <is>
          <t>Hauler</t>
        </is>
      </c>
      <c r="C425" s="156" t="inlineStr">
        <is>
          <t>Mining</t>
        </is>
      </c>
      <c r="D425" s="183">
        <f>SUMIFS(DATA_FUEL!$F$2:$F$20001,DATA_FUEL!$A$2:$A$20001,"&gt;="&amp;Kalkulasi!$B$290,DATA_FUEL!$A$2:$A$20001,"&lt;="&amp;Kalkulasi!$B$291,DATA_FUEL!$D$2:$D$20001,Kalkulasi!$B$293,DATA_FUEL!$B$2:$B$20001,$A425,DATA_FUEL!$D$2:$D$20001,$C425)</f>
        <v/>
      </c>
      <c r="E425" s="156">
        <f>SUMIFS(DATA_TS!$G$2:$G$20001,DATA_TS!$A$2:$A$20001,"&gt;="&amp;Kalkulasi!$B$290,DATA_TS!$A$2:$A$20001,"&lt;="&amp;Kalkulasi!$B$291,DATA_TS!$C$2:$C$20001,$A425)</f>
        <v/>
      </c>
      <c r="F425" s="156">
        <f>D425+ROW()/1000000</f>
        <v/>
      </c>
      <c r="G425" s="156" t="n">
        <v>28</v>
      </c>
      <c r="H425" s="156">
        <f>INDEX($A$398:$A$548,MATCH(LARGE($F$398:$F$548,G425),$F$398:$F$548,0))</f>
        <v/>
      </c>
      <c r="I425" s="156">
        <f>INDEX($B$398:$B$548,MATCH(LARGE($F$398:$F$548,G425),$F$398:$F$548,0))</f>
        <v/>
      </c>
      <c r="J425" s="156">
        <f>INDEX($C$398:$C$548,MATCH(LARGE($F$398:$F$548,G425),$F$398:$F$548,0))</f>
        <v/>
      </c>
      <c r="K425" s="156">
        <f>INDEX($D$398:$D$548,MATCH(LARGE($F$398:$F$548,G425),$F$398:$F$548,0))</f>
        <v/>
      </c>
      <c r="L425" s="156">
        <f>INDEX($E$398:$E$548,MATCH(LARGE($F$398:$F$548,G425),$F$398:$F$548,0))</f>
        <v/>
      </c>
      <c r="M425" s="187">
        <f>IF(OR(L425="",L425=0),"",K425/L425)</f>
        <v/>
      </c>
    </row>
    <row r="426">
      <c r="A426" s="156" t="inlineStr">
        <is>
          <t>DT-512</t>
        </is>
      </c>
      <c r="B426" s="156" t="inlineStr">
        <is>
          <t>Hauler</t>
        </is>
      </c>
      <c r="C426" s="156" t="inlineStr">
        <is>
          <t>Mining</t>
        </is>
      </c>
      <c r="D426" s="183">
        <f>SUMIFS(DATA_FUEL!$F$2:$F$20001,DATA_FUEL!$A$2:$A$20001,"&gt;="&amp;Kalkulasi!$B$290,DATA_FUEL!$A$2:$A$20001,"&lt;="&amp;Kalkulasi!$B$291,DATA_FUEL!$D$2:$D$20001,Kalkulasi!$B$293,DATA_FUEL!$B$2:$B$20001,$A426,DATA_FUEL!$D$2:$D$20001,$C426)</f>
        <v/>
      </c>
      <c r="E426" s="156">
        <f>SUMIFS(DATA_TS!$G$2:$G$20001,DATA_TS!$A$2:$A$20001,"&gt;="&amp;Kalkulasi!$B$290,DATA_TS!$A$2:$A$20001,"&lt;="&amp;Kalkulasi!$B$291,DATA_TS!$C$2:$C$20001,$A426)</f>
        <v/>
      </c>
      <c r="F426" s="156">
        <f>D426+ROW()/1000000</f>
        <v/>
      </c>
      <c r="G426" s="156" t="n">
        <v>29</v>
      </c>
      <c r="H426" s="156">
        <f>INDEX($A$398:$A$548,MATCH(LARGE($F$398:$F$548,G426),$F$398:$F$548,0))</f>
        <v/>
      </c>
      <c r="I426" s="156">
        <f>INDEX($B$398:$B$548,MATCH(LARGE($F$398:$F$548,G426),$F$398:$F$548,0))</f>
        <v/>
      </c>
      <c r="J426" s="156">
        <f>INDEX($C$398:$C$548,MATCH(LARGE($F$398:$F$548,G426),$F$398:$F$548,0))</f>
        <v/>
      </c>
      <c r="K426" s="156">
        <f>INDEX($D$398:$D$548,MATCH(LARGE($F$398:$F$548,G426),$F$398:$F$548,0))</f>
        <v/>
      </c>
      <c r="L426" s="156">
        <f>INDEX($E$398:$E$548,MATCH(LARGE($F$398:$F$548,G426),$F$398:$F$548,0))</f>
        <v/>
      </c>
      <c r="M426" s="187">
        <f>IF(OR(L426="",L426=0),"",K426/L426)</f>
        <v/>
      </c>
    </row>
    <row r="427">
      <c r="A427" s="156" t="inlineStr">
        <is>
          <t>DT-515</t>
        </is>
      </c>
      <c r="B427" s="156" t="inlineStr">
        <is>
          <t>Hauler</t>
        </is>
      </c>
      <c r="C427" s="156" t="inlineStr">
        <is>
          <t>Mining</t>
        </is>
      </c>
      <c r="D427" s="183">
        <f>SUMIFS(DATA_FUEL!$F$2:$F$20001,DATA_FUEL!$A$2:$A$20001,"&gt;="&amp;Kalkulasi!$B$290,DATA_FUEL!$A$2:$A$20001,"&lt;="&amp;Kalkulasi!$B$291,DATA_FUEL!$D$2:$D$20001,Kalkulasi!$B$293,DATA_FUEL!$B$2:$B$20001,$A427,DATA_FUEL!$D$2:$D$20001,$C427)</f>
        <v/>
      </c>
      <c r="E427" s="156">
        <f>SUMIFS(DATA_TS!$G$2:$G$20001,DATA_TS!$A$2:$A$20001,"&gt;="&amp;Kalkulasi!$B$290,DATA_TS!$A$2:$A$20001,"&lt;="&amp;Kalkulasi!$B$291,DATA_TS!$C$2:$C$20001,$A427)</f>
        <v/>
      </c>
      <c r="F427" s="156">
        <f>D427+ROW()/1000000</f>
        <v/>
      </c>
      <c r="G427" s="156" t="n">
        <v>30</v>
      </c>
      <c r="H427" s="156">
        <f>INDEX($A$398:$A$548,MATCH(LARGE($F$398:$F$548,G427),$F$398:$F$548,0))</f>
        <v/>
      </c>
      <c r="I427" s="156">
        <f>INDEX($B$398:$B$548,MATCH(LARGE($F$398:$F$548,G427),$F$398:$F$548,0))</f>
        <v/>
      </c>
      <c r="J427" s="156">
        <f>INDEX($C$398:$C$548,MATCH(LARGE($F$398:$F$548,G427),$F$398:$F$548,0))</f>
        <v/>
      </c>
      <c r="K427" s="156">
        <f>INDEX($D$398:$D$548,MATCH(LARGE($F$398:$F$548,G427),$F$398:$F$548,0))</f>
        <v/>
      </c>
      <c r="L427" s="156">
        <f>INDEX($E$398:$E$548,MATCH(LARGE($F$398:$F$548,G427),$F$398:$F$548,0))</f>
        <v/>
      </c>
      <c r="M427" s="187">
        <f>IF(OR(L427="",L427=0),"",K427/L427)</f>
        <v/>
      </c>
    </row>
    <row r="428">
      <c r="A428" s="156" t="inlineStr">
        <is>
          <t>DT-523</t>
        </is>
      </c>
      <c r="B428" s="156" t="inlineStr">
        <is>
          <t>Hauler</t>
        </is>
      </c>
      <c r="C428" s="156" t="inlineStr">
        <is>
          <t>Mining</t>
        </is>
      </c>
      <c r="D428" s="183">
        <f>SUMIFS(DATA_FUEL!$F$2:$F$20001,DATA_FUEL!$A$2:$A$20001,"&gt;="&amp;Kalkulasi!$B$290,DATA_FUEL!$A$2:$A$20001,"&lt;="&amp;Kalkulasi!$B$291,DATA_FUEL!$D$2:$D$20001,Kalkulasi!$B$293,DATA_FUEL!$B$2:$B$20001,$A428,DATA_FUEL!$D$2:$D$20001,$C428)</f>
        <v/>
      </c>
      <c r="E428" s="156">
        <f>SUMIFS(DATA_TS!$G$2:$G$20001,DATA_TS!$A$2:$A$20001,"&gt;="&amp;Kalkulasi!$B$290,DATA_TS!$A$2:$A$20001,"&lt;="&amp;Kalkulasi!$B$291,DATA_TS!$C$2:$C$20001,$A428)</f>
        <v/>
      </c>
      <c r="F428" s="156">
        <f>D428+ROW()/1000000</f>
        <v/>
      </c>
      <c r="G428" s="156" t="n">
        <v>31</v>
      </c>
      <c r="H428" s="156">
        <f>INDEX($A$398:$A$548,MATCH(LARGE($F$398:$F$548,G428),$F$398:$F$548,0))</f>
        <v/>
      </c>
      <c r="I428" s="156">
        <f>INDEX($B$398:$B$548,MATCH(LARGE($F$398:$F$548,G428),$F$398:$F$548,0))</f>
        <v/>
      </c>
      <c r="J428" s="156">
        <f>INDEX($C$398:$C$548,MATCH(LARGE($F$398:$F$548,G428),$F$398:$F$548,0))</f>
        <v/>
      </c>
      <c r="K428" s="156">
        <f>INDEX($D$398:$D$548,MATCH(LARGE($F$398:$F$548,G428),$F$398:$F$548,0))</f>
        <v/>
      </c>
      <c r="L428" s="156">
        <f>INDEX($E$398:$E$548,MATCH(LARGE($F$398:$F$548,G428),$F$398:$F$548,0))</f>
        <v/>
      </c>
      <c r="M428" s="187">
        <f>IF(OR(L428="",L428=0),"",K428/L428)</f>
        <v/>
      </c>
    </row>
    <row r="429">
      <c r="A429" s="156" t="inlineStr">
        <is>
          <t>DT-522</t>
        </is>
      </c>
      <c r="B429" s="156" t="inlineStr">
        <is>
          <t>Hauler</t>
        </is>
      </c>
      <c r="C429" s="156" t="inlineStr">
        <is>
          <t>Mining</t>
        </is>
      </c>
      <c r="D429" s="183">
        <f>SUMIFS(DATA_FUEL!$F$2:$F$20001,DATA_FUEL!$A$2:$A$20001,"&gt;="&amp;Kalkulasi!$B$290,DATA_FUEL!$A$2:$A$20001,"&lt;="&amp;Kalkulasi!$B$291,DATA_FUEL!$D$2:$D$20001,Kalkulasi!$B$293,DATA_FUEL!$B$2:$B$20001,$A429,DATA_FUEL!$D$2:$D$20001,$C429)</f>
        <v/>
      </c>
      <c r="E429" s="156">
        <f>SUMIFS(DATA_TS!$G$2:$G$20001,DATA_TS!$A$2:$A$20001,"&gt;="&amp;Kalkulasi!$B$290,DATA_TS!$A$2:$A$20001,"&lt;="&amp;Kalkulasi!$B$291,DATA_TS!$C$2:$C$20001,$A429)</f>
        <v/>
      </c>
      <c r="F429" s="156">
        <f>D429+ROW()/1000000</f>
        <v/>
      </c>
      <c r="G429" s="156" t="n">
        <v>32</v>
      </c>
      <c r="H429" s="156">
        <f>INDEX($A$398:$A$548,MATCH(LARGE($F$398:$F$548,G429),$F$398:$F$548,0))</f>
        <v/>
      </c>
      <c r="I429" s="156">
        <f>INDEX($B$398:$B$548,MATCH(LARGE($F$398:$F$548,G429),$F$398:$F$548,0))</f>
        <v/>
      </c>
      <c r="J429" s="156">
        <f>INDEX($C$398:$C$548,MATCH(LARGE($F$398:$F$548,G429),$F$398:$F$548,0))</f>
        <v/>
      </c>
      <c r="K429" s="156">
        <f>INDEX($D$398:$D$548,MATCH(LARGE($F$398:$F$548,G429),$F$398:$F$548,0))</f>
        <v/>
      </c>
      <c r="L429" s="156">
        <f>INDEX($E$398:$E$548,MATCH(LARGE($F$398:$F$548,G429),$F$398:$F$548,0))</f>
        <v/>
      </c>
      <c r="M429" s="187">
        <f>IF(OR(L429="",L429=0),"",K429/L429)</f>
        <v/>
      </c>
    </row>
    <row r="430">
      <c r="A430" s="156" t="inlineStr">
        <is>
          <t>DT-506</t>
        </is>
      </c>
      <c r="B430" s="156" t="inlineStr">
        <is>
          <t>Hauler</t>
        </is>
      </c>
      <c r="C430" s="156" t="inlineStr">
        <is>
          <t>Mining</t>
        </is>
      </c>
      <c r="D430" s="183">
        <f>SUMIFS(DATA_FUEL!$F$2:$F$20001,DATA_FUEL!$A$2:$A$20001,"&gt;="&amp;Kalkulasi!$B$290,DATA_FUEL!$A$2:$A$20001,"&lt;="&amp;Kalkulasi!$B$291,DATA_FUEL!$D$2:$D$20001,Kalkulasi!$B$293,DATA_FUEL!$B$2:$B$20001,$A430,DATA_FUEL!$D$2:$D$20001,$C430)</f>
        <v/>
      </c>
      <c r="E430" s="156">
        <f>SUMIFS(DATA_TS!$G$2:$G$20001,DATA_TS!$A$2:$A$20001,"&gt;="&amp;Kalkulasi!$B$290,DATA_TS!$A$2:$A$20001,"&lt;="&amp;Kalkulasi!$B$291,DATA_TS!$C$2:$C$20001,$A430)</f>
        <v/>
      </c>
      <c r="F430" s="156">
        <f>D430+ROW()/1000000</f>
        <v/>
      </c>
      <c r="G430" s="156" t="n">
        <v>33</v>
      </c>
      <c r="H430" s="156">
        <f>INDEX($A$398:$A$548,MATCH(LARGE($F$398:$F$548,G430),$F$398:$F$548,0))</f>
        <v/>
      </c>
      <c r="I430" s="156">
        <f>INDEX($B$398:$B$548,MATCH(LARGE($F$398:$F$548,G430),$F$398:$F$548,0))</f>
        <v/>
      </c>
      <c r="J430" s="156">
        <f>INDEX($C$398:$C$548,MATCH(LARGE($F$398:$F$548,G430),$F$398:$F$548,0))</f>
        <v/>
      </c>
      <c r="K430" s="156">
        <f>INDEX($D$398:$D$548,MATCH(LARGE($F$398:$F$548,G430),$F$398:$F$548,0))</f>
        <v/>
      </c>
      <c r="L430" s="156">
        <f>INDEX($E$398:$E$548,MATCH(LARGE($F$398:$F$548,G430),$F$398:$F$548,0))</f>
        <v/>
      </c>
      <c r="M430" s="187">
        <f>IF(OR(L430="",L430=0),"",K430/L430)</f>
        <v/>
      </c>
    </row>
    <row r="431">
      <c r="A431" s="156" t="inlineStr">
        <is>
          <t>HD-905</t>
        </is>
      </c>
      <c r="B431" s="156" t="inlineStr">
        <is>
          <t>Hauler</t>
        </is>
      </c>
      <c r="C431" s="156" t="inlineStr">
        <is>
          <t>Mining</t>
        </is>
      </c>
      <c r="D431" s="183">
        <f>SUMIFS(DATA_FUEL!$F$2:$F$20001,DATA_FUEL!$A$2:$A$20001,"&gt;="&amp;Kalkulasi!$B$290,DATA_FUEL!$A$2:$A$20001,"&lt;="&amp;Kalkulasi!$B$291,DATA_FUEL!$D$2:$D$20001,Kalkulasi!$B$293,DATA_FUEL!$B$2:$B$20001,$A431,DATA_FUEL!$D$2:$D$20001,$C431)</f>
        <v/>
      </c>
      <c r="E431" s="156">
        <f>SUMIFS(DATA_TS!$G$2:$G$20001,DATA_TS!$A$2:$A$20001,"&gt;="&amp;Kalkulasi!$B$290,DATA_TS!$A$2:$A$20001,"&lt;="&amp;Kalkulasi!$B$291,DATA_TS!$C$2:$C$20001,$A431)</f>
        <v/>
      </c>
      <c r="F431" s="156">
        <f>D431+ROW()/1000000</f>
        <v/>
      </c>
      <c r="G431" s="156" t="n">
        <v>34</v>
      </c>
      <c r="H431" s="156">
        <f>INDEX($A$398:$A$548,MATCH(LARGE($F$398:$F$548,G431),$F$398:$F$548,0))</f>
        <v/>
      </c>
      <c r="I431" s="156">
        <f>INDEX($B$398:$B$548,MATCH(LARGE($F$398:$F$548,G431),$F$398:$F$548,0))</f>
        <v/>
      </c>
      <c r="J431" s="156">
        <f>INDEX($C$398:$C$548,MATCH(LARGE($F$398:$F$548,G431),$F$398:$F$548,0))</f>
        <v/>
      </c>
      <c r="K431" s="156">
        <f>INDEX($D$398:$D$548,MATCH(LARGE($F$398:$F$548,G431),$F$398:$F$548,0))</f>
        <v/>
      </c>
      <c r="L431" s="156">
        <f>INDEX($E$398:$E$548,MATCH(LARGE($F$398:$F$548,G431),$F$398:$F$548,0))</f>
        <v/>
      </c>
      <c r="M431" s="187">
        <f>IF(OR(L431="",L431=0),"",K431/L431)</f>
        <v/>
      </c>
    </row>
    <row r="432">
      <c r="A432" s="156" t="inlineStr">
        <is>
          <t>DT-516</t>
        </is>
      </c>
      <c r="B432" s="156" t="inlineStr">
        <is>
          <t>Hauler</t>
        </is>
      </c>
      <c r="C432" s="156" t="inlineStr">
        <is>
          <t>Mining</t>
        </is>
      </c>
      <c r="D432" s="183">
        <f>SUMIFS(DATA_FUEL!$F$2:$F$20001,DATA_FUEL!$A$2:$A$20001,"&gt;="&amp;Kalkulasi!$B$290,DATA_FUEL!$A$2:$A$20001,"&lt;="&amp;Kalkulasi!$B$291,DATA_FUEL!$D$2:$D$20001,Kalkulasi!$B$293,DATA_FUEL!$B$2:$B$20001,$A432,DATA_FUEL!$D$2:$D$20001,$C432)</f>
        <v/>
      </c>
      <c r="E432" s="156">
        <f>SUMIFS(DATA_TS!$G$2:$G$20001,DATA_TS!$A$2:$A$20001,"&gt;="&amp;Kalkulasi!$B$290,DATA_TS!$A$2:$A$20001,"&lt;="&amp;Kalkulasi!$B$291,DATA_TS!$C$2:$C$20001,$A432)</f>
        <v/>
      </c>
      <c r="F432" s="156">
        <f>D432+ROW()/1000000</f>
        <v/>
      </c>
      <c r="G432" s="156" t="n">
        <v>35</v>
      </c>
      <c r="H432" s="156">
        <f>INDEX($A$398:$A$548,MATCH(LARGE($F$398:$F$548,G432),$F$398:$F$548,0))</f>
        <v/>
      </c>
      <c r="I432" s="156">
        <f>INDEX($B$398:$B$548,MATCH(LARGE($F$398:$F$548,G432),$F$398:$F$548,0))</f>
        <v/>
      </c>
      <c r="J432" s="156">
        <f>INDEX($C$398:$C$548,MATCH(LARGE($F$398:$F$548,G432),$F$398:$F$548,0))</f>
        <v/>
      </c>
      <c r="K432" s="156">
        <f>INDEX($D$398:$D$548,MATCH(LARGE($F$398:$F$548,G432),$F$398:$F$548,0))</f>
        <v/>
      </c>
      <c r="L432" s="156">
        <f>INDEX($E$398:$E$548,MATCH(LARGE($F$398:$F$548,G432),$F$398:$F$548,0))</f>
        <v/>
      </c>
      <c r="M432" s="187">
        <f>IF(OR(L432="",L432=0),"",K432/L432)</f>
        <v/>
      </c>
    </row>
    <row r="433">
      <c r="A433" s="156" t="inlineStr">
        <is>
          <t>DT-529</t>
        </is>
      </c>
      <c r="B433" s="156" t="inlineStr">
        <is>
          <t>Hauler</t>
        </is>
      </c>
      <c r="C433" s="156" t="inlineStr">
        <is>
          <t>Mining</t>
        </is>
      </c>
      <c r="D433" s="183">
        <f>SUMIFS(DATA_FUEL!$F$2:$F$20001,DATA_FUEL!$A$2:$A$20001,"&gt;="&amp;Kalkulasi!$B$290,DATA_FUEL!$A$2:$A$20001,"&lt;="&amp;Kalkulasi!$B$291,DATA_FUEL!$D$2:$D$20001,Kalkulasi!$B$293,DATA_FUEL!$B$2:$B$20001,$A433,DATA_FUEL!$D$2:$D$20001,$C433)</f>
        <v/>
      </c>
      <c r="E433" s="156">
        <f>SUMIFS(DATA_TS!$G$2:$G$20001,DATA_TS!$A$2:$A$20001,"&gt;="&amp;Kalkulasi!$B$290,DATA_TS!$A$2:$A$20001,"&lt;="&amp;Kalkulasi!$B$291,DATA_TS!$C$2:$C$20001,$A433)</f>
        <v/>
      </c>
      <c r="F433" s="156">
        <f>D433+ROW()/1000000</f>
        <v/>
      </c>
      <c r="G433" s="156" t="n">
        <v>36</v>
      </c>
      <c r="H433" s="156">
        <f>INDEX($A$398:$A$548,MATCH(LARGE($F$398:$F$548,G433),$F$398:$F$548,0))</f>
        <v/>
      </c>
      <c r="I433" s="156">
        <f>INDEX($B$398:$B$548,MATCH(LARGE($F$398:$F$548,G433),$F$398:$F$548,0))</f>
        <v/>
      </c>
      <c r="J433" s="156">
        <f>INDEX($C$398:$C$548,MATCH(LARGE($F$398:$F$548,G433),$F$398:$F$548,0))</f>
        <v/>
      </c>
      <c r="K433" s="156">
        <f>INDEX($D$398:$D$548,MATCH(LARGE($F$398:$F$548,G433),$F$398:$F$548,0))</f>
        <v/>
      </c>
      <c r="L433" s="156">
        <f>INDEX($E$398:$E$548,MATCH(LARGE($F$398:$F$548,G433),$F$398:$F$548,0))</f>
        <v/>
      </c>
      <c r="M433" s="187">
        <f>IF(OR(L433="",L433=0),"",K433/L433)</f>
        <v/>
      </c>
    </row>
    <row r="434">
      <c r="A434" s="156" t="inlineStr">
        <is>
          <t>DT-505</t>
        </is>
      </c>
      <c r="B434" s="156" t="inlineStr">
        <is>
          <t>Hauler</t>
        </is>
      </c>
      <c r="C434" s="156" t="inlineStr">
        <is>
          <t>Mining</t>
        </is>
      </c>
      <c r="D434" s="183">
        <f>SUMIFS(DATA_FUEL!$F$2:$F$20001,DATA_FUEL!$A$2:$A$20001,"&gt;="&amp;Kalkulasi!$B$290,DATA_FUEL!$A$2:$A$20001,"&lt;="&amp;Kalkulasi!$B$291,DATA_FUEL!$D$2:$D$20001,Kalkulasi!$B$293,DATA_FUEL!$B$2:$B$20001,$A434,DATA_FUEL!$D$2:$D$20001,$C434)</f>
        <v/>
      </c>
      <c r="E434" s="156">
        <f>SUMIFS(DATA_TS!$G$2:$G$20001,DATA_TS!$A$2:$A$20001,"&gt;="&amp;Kalkulasi!$B$290,DATA_TS!$A$2:$A$20001,"&lt;="&amp;Kalkulasi!$B$291,DATA_TS!$C$2:$C$20001,$A434)</f>
        <v/>
      </c>
      <c r="F434" s="156">
        <f>D434+ROW()/1000000</f>
        <v/>
      </c>
      <c r="G434" s="156" t="n">
        <v>37</v>
      </c>
      <c r="H434" s="156">
        <f>INDEX($A$398:$A$548,MATCH(LARGE($F$398:$F$548,G434),$F$398:$F$548,0))</f>
        <v/>
      </c>
      <c r="I434" s="156">
        <f>INDEX($B$398:$B$548,MATCH(LARGE($F$398:$F$548,G434),$F$398:$F$548,0))</f>
        <v/>
      </c>
      <c r="J434" s="156">
        <f>INDEX($C$398:$C$548,MATCH(LARGE($F$398:$F$548,G434),$F$398:$F$548,0))</f>
        <v/>
      </c>
      <c r="K434" s="156">
        <f>INDEX($D$398:$D$548,MATCH(LARGE($F$398:$F$548,G434),$F$398:$F$548,0))</f>
        <v/>
      </c>
      <c r="L434" s="156">
        <f>INDEX($E$398:$E$548,MATCH(LARGE($F$398:$F$548,G434),$F$398:$F$548,0))</f>
        <v/>
      </c>
      <c r="M434" s="187">
        <f>IF(OR(L434="",L434=0),"",K434/L434)</f>
        <v/>
      </c>
    </row>
    <row r="435">
      <c r="A435" s="156" t="inlineStr">
        <is>
          <t>HD-903</t>
        </is>
      </c>
      <c r="B435" s="156" t="inlineStr">
        <is>
          <t>Hauler</t>
        </is>
      </c>
      <c r="C435" s="156" t="inlineStr">
        <is>
          <t>Mining</t>
        </is>
      </c>
      <c r="D435" s="183">
        <f>SUMIFS(DATA_FUEL!$F$2:$F$20001,DATA_FUEL!$A$2:$A$20001,"&gt;="&amp;Kalkulasi!$B$290,DATA_FUEL!$A$2:$A$20001,"&lt;="&amp;Kalkulasi!$B$291,DATA_FUEL!$D$2:$D$20001,Kalkulasi!$B$293,DATA_FUEL!$B$2:$B$20001,$A435,DATA_FUEL!$D$2:$D$20001,$C435)</f>
        <v/>
      </c>
      <c r="E435" s="156">
        <f>SUMIFS(DATA_TS!$G$2:$G$20001,DATA_TS!$A$2:$A$20001,"&gt;="&amp;Kalkulasi!$B$290,DATA_TS!$A$2:$A$20001,"&lt;="&amp;Kalkulasi!$B$291,DATA_TS!$C$2:$C$20001,$A435)</f>
        <v/>
      </c>
      <c r="F435" s="156">
        <f>D435+ROW()/1000000</f>
        <v/>
      </c>
      <c r="G435" s="156" t="n">
        <v>38</v>
      </c>
      <c r="H435" s="156">
        <f>INDEX($A$398:$A$548,MATCH(LARGE($F$398:$F$548,G435),$F$398:$F$548,0))</f>
        <v/>
      </c>
      <c r="I435" s="156">
        <f>INDEX($B$398:$B$548,MATCH(LARGE($F$398:$F$548,G435),$F$398:$F$548,0))</f>
        <v/>
      </c>
      <c r="J435" s="156">
        <f>INDEX($C$398:$C$548,MATCH(LARGE($F$398:$F$548,G435),$F$398:$F$548,0))</f>
        <v/>
      </c>
      <c r="K435" s="156">
        <f>INDEX($D$398:$D$548,MATCH(LARGE($F$398:$F$548,G435),$F$398:$F$548,0))</f>
        <v/>
      </c>
      <c r="L435" s="156">
        <f>INDEX($E$398:$E$548,MATCH(LARGE($F$398:$F$548,G435),$F$398:$F$548,0))</f>
        <v/>
      </c>
      <c r="M435" s="187">
        <f>IF(OR(L435="",L435=0),"",K435/L435)</f>
        <v/>
      </c>
    </row>
    <row r="436">
      <c r="A436" s="156" t="inlineStr">
        <is>
          <t>DT-518</t>
        </is>
      </c>
      <c r="B436" s="156" t="inlineStr">
        <is>
          <t>Hauler</t>
        </is>
      </c>
      <c r="C436" s="156" t="inlineStr">
        <is>
          <t>Mining</t>
        </is>
      </c>
      <c r="D436" s="183">
        <f>SUMIFS(DATA_FUEL!$F$2:$F$20001,DATA_FUEL!$A$2:$A$20001,"&gt;="&amp;Kalkulasi!$B$290,DATA_FUEL!$A$2:$A$20001,"&lt;="&amp;Kalkulasi!$B$291,DATA_FUEL!$D$2:$D$20001,Kalkulasi!$B$293,DATA_FUEL!$B$2:$B$20001,$A436,DATA_FUEL!$D$2:$D$20001,$C436)</f>
        <v/>
      </c>
      <c r="E436" s="156">
        <f>SUMIFS(DATA_TS!$G$2:$G$20001,DATA_TS!$A$2:$A$20001,"&gt;="&amp;Kalkulasi!$B$290,DATA_TS!$A$2:$A$20001,"&lt;="&amp;Kalkulasi!$B$291,DATA_TS!$C$2:$C$20001,$A436)</f>
        <v/>
      </c>
      <c r="F436" s="156">
        <f>D436+ROW()/1000000</f>
        <v/>
      </c>
      <c r="G436" s="156" t="n">
        <v>39</v>
      </c>
      <c r="H436" s="156">
        <f>INDEX($A$398:$A$548,MATCH(LARGE($F$398:$F$548,G436),$F$398:$F$548,0))</f>
        <v/>
      </c>
      <c r="I436" s="156">
        <f>INDEX($B$398:$B$548,MATCH(LARGE($F$398:$F$548,G436),$F$398:$F$548,0))</f>
        <v/>
      </c>
      <c r="J436" s="156">
        <f>INDEX($C$398:$C$548,MATCH(LARGE($F$398:$F$548,G436),$F$398:$F$548,0))</f>
        <v/>
      </c>
      <c r="K436" s="156">
        <f>INDEX($D$398:$D$548,MATCH(LARGE($F$398:$F$548,G436),$F$398:$F$548,0))</f>
        <v/>
      </c>
      <c r="L436" s="156">
        <f>INDEX($E$398:$E$548,MATCH(LARGE($F$398:$F$548,G436),$F$398:$F$548,0))</f>
        <v/>
      </c>
      <c r="M436" s="187">
        <f>IF(OR(L436="",L436=0),"",K436/L436)</f>
        <v/>
      </c>
    </row>
    <row r="437">
      <c r="A437" s="156" t="inlineStr">
        <is>
          <t>GD-013</t>
        </is>
      </c>
      <c r="B437" s="156" t="inlineStr">
        <is>
          <t>Grader</t>
        </is>
      </c>
      <c r="C437" s="156" t="inlineStr">
        <is>
          <t>Mining</t>
        </is>
      </c>
      <c r="D437" s="183">
        <f>SUMIFS(DATA_FUEL!$F$2:$F$20001,DATA_FUEL!$A$2:$A$20001,"&gt;="&amp;Kalkulasi!$B$290,DATA_FUEL!$A$2:$A$20001,"&lt;="&amp;Kalkulasi!$B$291,DATA_FUEL!$D$2:$D$20001,Kalkulasi!$B$293,DATA_FUEL!$B$2:$B$20001,$A437,DATA_FUEL!$D$2:$D$20001,$C437)</f>
        <v/>
      </c>
      <c r="E437" s="156">
        <f>SUMIFS(DATA_TS!$G$2:$G$20001,DATA_TS!$A$2:$A$20001,"&gt;="&amp;Kalkulasi!$B$290,DATA_TS!$A$2:$A$20001,"&lt;="&amp;Kalkulasi!$B$291,DATA_TS!$C$2:$C$20001,$A437)</f>
        <v/>
      </c>
      <c r="F437" s="156">
        <f>D437+ROW()/1000000</f>
        <v/>
      </c>
      <c r="G437" s="156" t="n">
        <v>40</v>
      </c>
      <c r="H437" s="156">
        <f>INDEX($A$398:$A$548,MATCH(LARGE($F$398:$F$548,G437),$F$398:$F$548,0))</f>
        <v/>
      </c>
      <c r="I437" s="156">
        <f>INDEX($B$398:$B$548,MATCH(LARGE($F$398:$F$548,G437),$F$398:$F$548,0))</f>
        <v/>
      </c>
      <c r="J437" s="156">
        <f>INDEX($C$398:$C$548,MATCH(LARGE($F$398:$F$548,G437),$F$398:$F$548,0))</f>
        <v/>
      </c>
      <c r="K437" s="156">
        <f>INDEX($D$398:$D$548,MATCH(LARGE($F$398:$F$548,G437),$F$398:$F$548,0))</f>
        <v/>
      </c>
      <c r="L437" s="156">
        <f>INDEX($E$398:$E$548,MATCH(LARGE($F$398:$F$548,G437),$F$398:$F$548,0))</f>
        <v/>
      </c>
      <c r="M437" s="187">
        <f>IF(OR(L437="",L437=0),"",K437/L437)</f>
        <v/>
      </c>
    </row>
    <row r="438">
      <c r="A438" s="156" t="inlineStr">
        <is>
          <t>WP-03</t>
        </is>
      </c>
      <c r="B438" s="156" t="inlineStr">
        <is>
          <t>Pompa air</t>
        </is>
      </c>
      <c r="C438" s="156" t="inlineStr">
        <is>
          <t>Mining</t>
        </is>
      </c>
      <c r="D438" s="183">
        <f>SUMIFS(DATA_FUEL!$F$2:$F$20001,DATA_FUEL!$A$2:$A$20001,"&gt;="&amp;Kalkulasi!$B$290,DATA_FUEL!$A$2:$A$20001,"&lt;="&amp;Kalkulasi!$B$291,DATA_FUEL!$D$2:$D$20001,Kalkulasi!$B$293,DATA_FUEL!$B$2:$B$20001,$A438,DATA_FUEL!$D$2:$D$20001,$C438)</f>
        <v/>
      </c>
      <c r="E438" s="156">
        <f>""</f>
        <v/>
      </c>
      <c r="F438" s="156">
        <f>D438+ROW()/1000000</f>
        <v/>
      </c>
      <c r="G438" s="156" t="n">
        <v>41</v>
      </c>
      <c r="H438" s="156">
        <f>INDEX($A$398:$A$548,MATCH(LARGE($F$398:$F$548,G438),$F$398:$F$548,0))</f>
        <v/>
      </c>
      <c r="I438" s="156">
        <f>INDEX($B$398:$B$548,MATCH(LARGE($F$398:$F$548,G438),$F$398:$F$548,0))</f>
        <v/>
      </c>
      <c r="J438" s="156">
        <f>INDEX($C$398:$C$548,MATCH(LARGE($F$398:$F$548,G438),$F$398:$F$548,0))</f>
        <v/>
      </c>
      <c r="K438" s="156">
        <f>INDEX($D$398:$D$548,MATCH(LARGE($F$398:$F$548,G438),$F$398:$F$548,0))</f>
        <v/>
      </c>
      <c r="L438" s="156">
        <f>INDEX($E$398:$E$548,MATCH(LARGE($F$398:$F$548,G438),$F$398:$F$548,0))</f>
        <v/>
      </c>
      <c r="M438" s="187">
        <f>IF(OR(L438="",L438=0),"",K438/L438)</f>
        <v/>
      </c>
    </row>
    <row r="439">
      <c r="A439" s="156" t="inlineStr">
        <is>
          <t>EX-335</t>
        </is>
      </c>
      <c r="B439" s="156" t="inlineStr">
        <is>
          <t>Excavator</t>
        </is>
      </c>
      <c r="C439" s="156" t="inlineStr">
        <is>
          <t>Mining</t>
        </is>
      </c>
      <c r="D439" s="183">
        <f>SUMIFS(DATA_FUEL!$F$2:$F$20001,DATA_FUEL!$A$2:$A$20001,"&gt;="&amp;Kalkulasi!$B$290,DATA_FUEL!$A$2:$A$20001,"&lt;="&amp;Kalkulasi!$B$291,DATA_FUEL!$D$2:$D$20001,Kalkulasi!$B$293,DATA_FUEL!$B$2:$B$20001,$A439,DATA_FUEL!$D$2:$D$20001,$C439)</f>
        <v/>
      </c>
      <c r="E439" s="156">
        <f>SUMIFS(DATA_TS!$G$2:$G$20001,DATA_TS!$A$2:$A$20001,"&gt;="&amp;Kalkulasi!$B$290,DATA_TS!$A$2:$A$20001,"&lt;="&amp;Kalkulasi!$B$291,DATA_TS!$C$2:$C$20001,$A439)</f>
        <v/>
      </c>
      <c r="F439" s="156">
        <f>D439+ROW()/1000000</f>
        <v/>
      </c>
      <c r="G439" s="156" t="n">
        <v>42</v>
      </c>
      <c r="H439" s="156">
        <f>INDEX($A$398:$A$548,MATCH(LARGE($F$398:$F$548,G439),$F$398:$F$548,0))</f>
        <v/>
      </c>
      <c r="I439" s="156">
        <f>INDEX($B$398:$B$548,MATCH(LARGE($F$398:$F$548,G439),$F$398:$F$548,0))</f>
        <v/>
      </c>
      <c r="J439" s="156">
        <f>INDEX($C$398:$C$548,MATCH(LARGE($F$398:$F$548,G439),$F$398:$F$548,0))</f>
        <v/>
      </c>
      <c r="K439" s="156">
        <f>INDEX($D$398:$D$548,MATCH(LARGE($F$398:$F$548,G439),$F$398:$F$548,0))</f>
        <v/>
      </c>
      <c r="L439" s="156">
        <f>INDEX($E$398:$E$548,MATCH(LARGE($F$398:$F$548,G439),$F$398:$F$548,0))</f>
        <v/>
      </c>
      <c r="M439" s="187">
        <f>IF(OR(L439="",L439=0),"",K439/L439)</f>
        <v/>
      </c>
    </row>
    <row r="440">
      <c r="A440" s="156" t="inlineStr">
        <is>
          <t>WL-024</t>
        </is>
      </c>
      <c r="B440" s="156" t="inlineStr">
        <is>
          <t>Loader</t>
        </is>
      </c>
      <c r="C440" s="156" t="inlineStr">
        <is>
          <t>Aux</t>
        </is>
      </c>
      <c r="D440" s="183">
        <f>SUMIFS(DATA_FUEL!$F$2:$F$20001,DATA_FUEL!$A$2:$A$20001,"&gt;="&amp;Kalkulasi!$B$290,DATA_FUEL!$A$2:$A$20001,"&lt;="&amp;Kalkulasi!$B$291,DATA_FUEL!$D$2:$D$20001,Kalkulasi!$B$293,DATA_FUEL!$B$2:$B$20001,$A440,DATA_FUEL!$D$2:$D$20001,$C440)</f>
        <v/>
      </c>
      <c r="E440" s="156">
        <f>SUMIFS(DATA_TS!$G$2:$G$20001,DATA_TS!$A$2:$A$20001,"&gt;="&amp;Kalkulasi!$B$290,DATA_TS!$A$2:$A$20001,"&lt;="&amp;Kalkulasi!$B$291,DATA_TS!$C$2:$C$20001,$A440)</f>
        <v/>
      </c>
      <c r="F440" s="156">
        <f>D440+ROW()/1000000</f>
        <v/>
      </c>
      <c r="G440" s="156" t="n">
        <v>43</v>
      </c>
      <c r="H440" s="156">
        <f>INDEX($A$398:$A$548,MATCH(LARGE($F$398:$F$548,G440),$F$398:$F$548,0))</f>
        <v/>
      </c>
      <c r="I440" s="156">
        <f>INDEX($B$398:$B$548,MATCH(LARGE($F$398:$F$548,G440),$F$398:$F$548,0))</f>
        <v/>
      </c>
      <c r="J440" s="156">
        <f>INDEX($C$398:$C$548,MATCH(LARGE($F$398:$F$548,G440),$F$398:$F$548,0))</f>
        <v/>
      </c>
      <c r="K440" s="156">
        <f>INDEX($D$398:$D$548,MATCH(LARGE($F$398:$F$548,G440),$F$398:$F$548,0))</f>
        <v/>
      </c>
      <c r="L440" s="156">
        <f>INDEX($E$398:$E$548,MATCH(LARGE($F$398:$F$548,G440),$F$398:$F$548,0))</f>
        <v/>
      </c>
      <c r="M440" s="187">
        <f>IF(OR(L440="",L440=0),"",K440/L440)</f>
        <v/>
      </c>
    </row>
    <row r="441">
      <c r="A441" s="156" t="inlineStr">
        <is>
          <t>DT-502</t>
        </is>
      </c>
      <c r="B441" s="156" t="inlineStr">
        <is>
          <t>Hauler</t>
        </is>
      </c>
      <c r="C441" s="156" t="inlineStr">
        <is>
          <t>Mining</t>
        </is>
      </c>
      <c r="D441" s="183">
        <f>SUMIFS(DATA_FUEL!$F$2:$F$20001,DATA_FUEL!$A$2:$A$20001,"&gt;="&amp;Kalkulasi!$B$290,DATA_FUEL!$A$2:$A$20001,"&lt;="&amp;Kalkulasi!$B$291,DATA_FUEL!$D$2:$D$20001,Kalkulasi!$B$293,DATA_FUEL!$B$2:$B$20001,$A441,DATA_FUEL!$D$2:$D$20001,$C441)</f>
        <v/>
      </c>
      <c r="E441" s="156">
        <f>SUMIFS(DATA_TS!$G$2:$G$20001,DATA_TS!$A$2:$A$20001,"&gt;="&amp;Kalkulasi!$B$290,DATA_TS!$A$2:$A$20001,"&lt;="&amp;Kalkulasi!$B$291,DATA_TS!$C$2:$C$20001,$A441)</f>
        <v/>
      </c>
      <c r="F441" s="156">
        <f>D441+ROW()/1000000</f>
        <v/>
      </c>
      <c r="G441" s="156" t="n">
        <v>44</v>
      </c>
      <c r="H441" s="156">
        <f>INDEX($A$398:$A$548,MATCH(LARGE($F$398:$F$548,G441),$F$398:$F$548,0))</f>
        <v/>
      </c>
      <c r="I441" s="156">
        <f>INDEX($B$398:$B$548,MATCH(LARGE($F$398:$F$548,G441),$F$398:$F$548,0))</f>
        <v/>
      </c>
      <c r="J441" s="156">
        <f>INDEX($C$398:$C$548,MATCH(LARGE($F$398:$F$548,G441),$F$398:$F$548,0))</f>
        <v/>
      </c>
      <c r="K441" s="156">
        <f>INDEX($D$398:$D$548,MATCH(LARGE($F$398:$F$548,G441),$F$398:$F$548,0))</f>
        <v/>
      </c>
      <c r="L441" s="156">
        <f>INDEX($E$398:$E$548,MATCH(LARGE($F$398:$F$548,G441),$F$398:$F$548,0))</f>
        <v/>
      </c>
      <c r="M441" s="187">
        <f>IF(OR(L441="",L441=0),"",K441/L441)</f>
        <v/>
      </c>
    </row>
    <row r="442">
      <c r="A442" s="156" t="inlineStr">
        <is>
          <t>EX-222</t>
        </is>
      </c>
      <c r="B442" s="156" t="inlineStr">
        <is>
          <t>Excavator</t>
        </is>
      </c>
      <c r="C442" s="156" t="inlineStr">
        <is>
          <t>Mining</t>
        </is>
      </c>
      <c r="D442" s="183">
        <f>SUMIFS(DATA_FUEL!$F$2:$F$20001,DATA_FUEL!$A$2:$A$20001,"&gt;="&amp;Kalkulasi!$B$290,DATA_FUEL!$A$2:$A$20001,"&lt;="&amp;Kalkulasi!$B$291,DATA_FUEL!$D$2:$D$20001,Kalkulasi!$B$293,DATA_FUEL!$B$2:$B$20001,$A442,DATA_FUEL!$D$2:$D$20001,$C442)</f>
        <v/>
      </c>
      <c r="E442" s="156">
        <f>SUMIFS(DATA_TS!$G$2:$G$20001,DATA_TS!$A$2:$A$20001,"&gt;="&amp;Kalkulasi!$B$290,DATA_TS!$A$2:$A$20001,"&lt;="&amp;Kalkulasi!$B$291,DATA_TS!$C$2:$C$20001,$A442)</f>
        <v/>
      </c>
      <c r="F442" s="156">
        <f>D442+ROW()/1000000</f>
        <v/>
      </c>
      <c r="G442" s="156" t="n">
        <v>45</v>
      </c>
      <c r="H442" s="156">
        <f>INDEX($A$398:$A$548,MATCH(LARGE($F$398:$F$548,G442),$F$398:$F$548,0))</f>
        <v/>
      </c>
      <c r="I442" s="156">
        <f>INDEX($B$398:$B$548,MATCH(LARGE($F$398:$F$548,G442),$F$398:$F$548,0))</f>
        <v/>
      </c>
      <c r="J442" s="156">
        <f>INDEX($C$398:$C$548,MATCH(LARGE($F$398:$F$548,G442),$F$398:$F$548,0))</f>
        <v/>
      </c>
      <c r="K442" s="156">
        <f>INDEX($D$398:$D$548,MATCH(LARGE($F$398:$F$548,G442),$F$398:$F$548,0))</f>
        <v/>
      </c>
      <c r="L442" s="156">
        <f>INDEX($E$398:$E$548,MATCH(LARGE($F$398:$F$548,G442),$F$398:$F$548,0))</f>
        <v/>
      </c>
      <c r="M442" s="187">
        <f>IF(OR(L442="",L442=0),"",K442/L442)</f>
        <v/>
      </c>
    </row>
    <row r="443">
      <c r="A443" s="156" t="inlineStr">
        <is>
          <t>DZ-039</t>
        </is>
      </c>
      <c r="B443" s="156" t="inlineStr">
        <is>
          <t>Bulldozer</t>
        </is>
      </c>
      <c r="C443" s="156" t="inlineStr">
        <is>
          <t>Mining</t>
        </is>
      </c>
      <c r="D443" s="183">
        <f>SUMIFS(DATA_FUEL!$F$2:$F$20001,DATA_FUEL!$A$2:$A$20001,"&gt;="&amp;Kalkulasi!$B$290,DATA_FUEL!$A$2:$A$20001,"&lt;="&amp;Kalkulasi!$B$291,DATA_FUEL!$D$2:$D$20001,Kalkulasi!$B$293,DATA_FUEL!$B$2:$B$20001,$A443,DATA_FUEL!$D$2:$D$20001,$C443)</f>
        <v/>
      </c>
      <c r="E443" s="156">
        <f>SUMIFS(DATA_TS!$G$2:$G$20001,DATA_TS!$A$2:$A$20001,"&gt;="&amp;Kalkulasi!$B$290,DATA_TS!$A$2:$A$20001,"&lt;="&amp;Kalkulasi!$B$291,DATA_TS!$C$2:$C$20001,$A443)</f>
        <v/>
      </c>
      <c r="F443" s="156">
        <f>D443+ROW()/1000000</f>
        <v/>
      </c>
      <c r="G443" s="156" t="n">
        <v>46</v>
      </c>
      <c r="H443" s="156">
        <f>INDEX($A$398:$A$548,MATCH(LARGE($F$398:$F$548,G443),$F$398:$F$548,0))</f>
        <v/>
      </c>
      <c r="I443" s="156">
        <f>INDEX($B$398:$B$548,MATCH(LARGE($F$398:$F$548,G443),$F$398:$F$548,0))</f>
        <v/>
      </c>
      <c r="J443" s="156">
        <f>INDEX($C$398:$C$548,MATCH(LARGE($F$398:$F$548,G443),$F$398:$F$548,0))</f>
        <v/>
      </c>
      <c r="K443" s="156">
        <f>INDEX($D$398:$D$548,MATCH(LARGE($F$398:$F$548,G443),$F$398:$F$548,0))</f>
        <v/>
      </c>
      <c r="L443" s="156">
        <f>INDEX($E$398:$E$548,MATCH(LARGE($F$398:$F$548,G443),$F$398:$F$548,0))</f>
        <v/>
      </c>
      <c r="M443" s="187">
        <f>IF(OR(L443="",L443=0),"",K443/L443)</f>
        <v/>
      </c>
    </row>
    <row r="444">
      <c r="A444" s="156" t="inlineStr">
        <is>
          <t>DZ-032</t>
        </is>
      </c>
      <c r="B444" s="156" t="inlineStr">
        <is>
          <t>Bulldozer</t>
        </is>
      </c>
      <c r="C444" s="156" t="inlineStr">
        <is>
          <t>Mining</t>
        </is>
      </c>
      <c r="D444" s="183">
        <f>SUMIFS(DATA_FUEL!$F$2:$F$20001,DATA_FUEL!$A$2:$A$20001,"&gt;="&amp;Kalkulasi!$B$290,DATA_FUEL!$A$2:$A$20001,"&lt;="&amp;Kalkulasi!$B$291,DATA_FUEL!$D$2:$D$20001,Kalkulasi!$B$293,DATA_FUEL!$B$2:$B$20001,$A444,DATA_FUEL!$D$2:$D$20001,$C444)</f>
        <v/>
      </c>
      <c r="E444" s="156">
        <f>SUMIFS(DATA_TS!$G$2:$G$20001,DATA_TS!$A$2:$A$20001,"&gt;="&amp;Kalkulasi!$B$290,DATA_TS!$A$2:$A$20001,"&lt;="&amp;Kalkulasi!$B$291,DATA_TS!$C$2:$C$20001,$A444)</f>
        <v/>
      </c>
      <c r="F444" s="156">
        <f>D444+ROW()/1000000</f>
        <v/>
      </c>
      <c r="G444" s="156" t="n">
        <v>47</v>
      </c>
      <c r="H444" s="156">
        <f>INDEX($A$398:$A$548,MATCH(LARGE($F$398:$F$548,G444),$F$398:$F$548,0))</f>
        <v/>
      </c>
      <c r="I444" s="156">
        <f>INDEX($B$398:$B$548,MATCH(LARGE($F$398:$F$548,G444),$F$398:$F$548,0))</f>
        <v/>
      </c>
      <c r="J444" s="156">
        <f>INDEX($C$398:$C$548,MATCH(LARGE($F$398:$F$548,G444),$F$398:$F$548,0))</f>
        <v/>
      </c>
      <c r="K444" s="156">
        <f>INDEX($D$398:$D$548,MATCH(LARGE($F$398:$F$548,G444),$F$398:$F$548,0))</f>
        <v/>
      </c>
      <c r="L444" s="156">
        <f>INDEX($E$398:$E$548,MATCH(LARGE($F$398:$F$548,G444),$F$398:$F$548,0))</f>
        <v/>
      </c>
      <c r="M444" s="187">
        <f>IF(OR(L444="",L444=0),"",K444/L444)</f>
        <v/>
      </c>
    </row>
    <row r="445">
      <c r="A445" s="156" t="inlineStr">
        <is>
          <t>WL-022</t>
        </is>
      </c>
      <c r="B445" s="156" t="inlineStr">
        <is>
          <t>Loader</t>
        </is>
      </c>
      <c r="C445" s="156" t="inlineStr">
        <is>
          <t>Aux</t>
        </is>
      </c>
      <c r="D445" s="183">
        <f>SUMIFS(DATA_FUEL!$F$2:$F$20001,DATA_FUEL!$A$2:$A$20001,"&gt;="&amp;Kalkulasi!$B$290,DATA_FUEL!$A$2:$A$20001,"&lt;="&amp;Kalkulasi!$B$291,DATA_FUEL!$D$2:$D$20001,Kalkulasi!$B$293,DATA_FUEL!$B$2:$B$20001,$A445,DATA_FUEL!$D$2:$D$20001,$C445)</f>
        <v/>
      </c>
      <c r="E445" s="156">
        <f>SUMIFS(DATA_TS!$G$2:$G$20001,DATA_TS!$A$2:$A$20001,"&gt;="&amp;Kalkulasi!$B$290,DATA_TS!$A$2:$A$20001,"&lt;="&amp;Kalkulasi!$B$291,DATA_TS!$C$2:$C$20001,$A445)</f>
        <v/>
      </c>
      <c r="F445" s="156">
        <f>D445+ROW()/1000000</f>
        <v/>
      </c>
      <c r="G445" s="156" t="n">
        <v>48</v>
      </c>
      <c r="H445" s="156">
        <f>INDEX($A$398:$A$548,MATCH(LARGE($F$398:$F$548,G445),$F$398:$F$548,0))</f>
        <v/>
      </c>
      <c r="I445" s="156">
        <f>INDEX($B$398:$B$548,MATCH(LARGE($F$398:$F$548,G445),$F$398:$F$548,0))</f>
        <v/>
      </c>
      <c r="J445" s="156">
        <f>INDEX($C$398:$C$548,MATCH(LARGE($F$398:$F$548,G445),$F$398:$F$548,0))</f>
        <v/>
      </c>
      <c r="K445" s="156">
        <f>INDEX($D$398:$D$548,MATCH(LARGE($F$398:$F$548,G445),$F$398:$F$548,0))</f>
        <v/>
      </c>
      <c r="L445" s="156">
        <f>INDEX($E$398:$E$548,MATCH(LARGE($F$398:$F$548,G445),$F$398:$F$548,0))</f>
        <v/>
      </c>
      <c r="M445" s="187">
        <f>IF(OR(L445="",L445=0),"",K445/L445)</f>
        <v/>
      </c>
    </row>
    <row r="446">
      <c r="A446" s="156" t="inlineStr">
        <is>
          <t>DT-501</t>
        </is>
      </c>
      <c r="B446" s="156" t="inlineStr">
        <is>
          <t>Hauler</t>
        </is>
      </c>
      <c r="C446" s="156" t="inlineStr">
        <is>
          <t>Mining</t>
        </is>
      </c>
      <c r="D446" s="183">
        <f>SUMIFS(DATA_FUEL!$F$2:$F$20001,DATA_FUEL!$A$2:$A$20001,"&gt;="&amp;Kalkulasi!$B$290,DATA_FUEL!$A$2:$A$20001,"&lt;="&amp;Kalkulasi!$B$291,DATA_FUEL!$D$2:$D$20001,Kalkulasi!$B$293,DATA_FUEL!$B$2:$B$20001,$A446,DATA_FUEL!$D$2:$D$20001,$C446)</f>
        <v/>
      </c>
      <c r="E446" s="156">
        <f>SUMIFS(DATA_TS!$G$2:$G$20001,DATA_TS!$A$2:$A$20001,"&gt;="&amp;Kalkulasi!$B$290,DATA_TS!$A$2:$A$20001,"&lt;="&amp;Kalkulasi!$B$291,DATA_TS!$C$2:$C$20001,$A446)</f>
        <v/>
      </c>
      <c r="F446" s="156">
        <f>D446+ROW()/1000000</f>
        <v/>
      </c>
      <c r="G446" s="156" t="n">
        <v>49</v>
      </c>
      <c r="H446" s="156">
        <f>INDEX($A$398:$A$548,MATCH(LARGE($F$398:$F$548,G446),$F$398:$F$548,0))</f>
        <v/>
      </c>
      <c r="I446" s="156">
        <f>INDEX($B$398:$B$548,MATCH(LARGE($F$398:$F$548,G446),$F$398:$F$548,0))</f>
        <v/>
      </c>
      <c r="J446" s="156">
        <f>INDEX($C$398:$C$548,MATCH(LARGE($F$398:$F$548,G446),$F$398:$F$548,0))</f>
        <v/>
      </c>
      <c r="K446" s="156">
        <f>INDEX($D$398:$D$548,MATCH(LARGE($F$398:$F$548,G446),$F$398:$F$548,0))</f>
        <v/>
      </c>
      <c r="L446" s="156">
        <f>INDEX($E$398:$E$548,MATCH(LARGE($F$398:$F$548,G446),$F$398:$F$548,0))</f>
        <v/>
      </c>
      <c r="M446" s="187">
        <f>IF(OR(L446="",L446=0),"",K446/L446)</f>
        <v/>
      </c>
    </row>
    <row r="447">
      <c r="A447" s="156" t="inlineStr">
        <is>
          <t>DT-513</t>
        </is>
      </c>
      <c r="B447" s="156" t="inlineStr">
        <is>
          <t>Hauler</t>
        </is>
      </c>
      <c r="C447" s="156" t="inlineStr">
        <is>
          <t>Mining</t>
        </is>
      </c>
      <c r="D447" s="183">
        <f>SUMIFS(DATA_FUEL!$F$2:$F$20001,DATA_FUEL!$A$2:$A$20001,"&gt;="&amp;Kalkulasi!$B$290,DATA_FUEL!$A$2:$A$20001,"&lt;="&amp;Kalkulasi!$B$291,DATA_FUEL!$D$2:$D$20001,Kalkulasi!$B$293,DATA_FUEL!$B$2:$B$20001,$A447,DATA_FUEL!$D$2:$D$20001,$C447)</f>
        <v/>
      </c>
      <c r="E447" s="156">
        <f>SUMIFS(DATA_TS!$G$2:$G$20001,DATA_TS!$A$2:$A$20001,"&gt;="&amp;Kalkulasi!$B$290,DATA_TS!$A$2:$A$20001,"&lt;="&amp;Kalkulasi!$B$291,DATA_TS!$C$2:$C$20001,$A447)</f>
        <v/>
      </c>
      <c r="F447" s="156">
        <f>D447+ROW()/1000000</f>
        <v/>
      </c>
      <c r="G447" s="156" t="n">
        <v>50</v>
      </c>
      <c r="H447" s="156">
        <f>INDEX($A$398:$A$548,MATCH(LARGE($F$398:$F$548,G447),$F$398:$F$548,0))</f>
        <v/>
      </c>
      <c r="I447" s="156">
        <f>INDEX($B$398:$B$548,MATCH(LARGE($F$398:$F$548,G447),$F$398:$F$548,0))</f>
        <v/>
      </c>
      <c r="J447" s="156">
        <f>INDEX($C$398:$C$548,MATCH(LARGE($F$398:$F$548,G447),$F$398:$F$548,0))</f>
        <v/>
      </c>
      <c r="K447" s="156">
        <f>INDEX($D$398:$D$548,MATCH(LARGE($F$398:$F$548,G447),$F$398:$F$548,0))</f>
        <v/>
      </c>
      <c r="L447" s="156">
        <f>INDEX($E$398:$E$548,MATCH(LARGE($F$398:$F$548,G447),$F$398:$F$548,0))</f>
        <v/>
      </c>
      <c r="M447" s="187">
        <f>IF(OR(L447="",L447=0),"",K447/L447)</f>
        <v/>
      </c>
    </row>
    <row r="448">
      <c r="A448" s="156" t="inlineStr">
        <is>
          <t>EX-223</t>
        </is>
      </c>
      <c r="B448" s="156" t="inlineStr">
        <is>
          <t>Excavator</t>
        </is>
      </c>
      <c r="C448" s="156" t="inlineStr">
        <is>
          <t>Aux</t>
        </is>
      </c>
      <c r="D448" s="183">
        <f>SUMIFS(DATA_FUEL!$F$2:$F$20001,DATA_FUEL!$A$2:$A$20001,"&gt;="&amp;Kalkulasi!$B$290,DATA_FUEL!$A$2:$A$20001,"&lt;="&amp;Kalkulasi!$B$291,DATA_FUEL!$D$2:$D$20001,Kalkulasi!$B$293,DATA_FUEL!$B$2:$B$20001,$A448,DATA_FUEL!$D$2:$D$20001,$C448)</f>
        <v/>
      </c>
      <c r="E448" s="156">
        <f>SUMIFS(DATA_TS!$G$2:$G$20001,DATA_TS!$A$2:$A$20001,"&gt;="&amp;Kalkulasi!$B$290,DATA_TS!$A$2:$A$20001,"&lt;="&amp;Kalkulasi!$B$291,DATA_TS!$C$2:$C$20001,$A448)</f>
        <v/>
      </c>
      <c r="F448" s="156">
        <f>D448+ROW()/1000000</f>
        <v/>
      </c>
      <c r="G448" s="156" t="n">
        <v>51</v>
      </c>
      <c r="H448" s="156">
        <f>INDEX($A$398:$A$548,MATCH(LARGE($F$398:$F$548,G448),$F$398:$F$548,0))</f>
        <v/>
      </c>
      <c r="I448" s="156">
        <f>INDEX($B$398:$B$548,MATCH(LARGE($F$398:$F$548,G448),$F$398:$F$548,0))</f>
        <v/>
      </c>
      <c r="J448" s="156">
        <f>INDEX($C$398:$C$548,MATCH(LARGE($F$398:$F$548,G448),$F$398:$F$548,0))</f>
        <v/>
      </c>
      <c r="K448" s="156">
        <f>INDEX($D$398:$D$548,MATCH(LARGE($F$398:$F$548,G448),$F$398:$F$548,0))</f>
        <v/>
      </c>
      <c r="L448" s="156">
        <f>INDEX($E$398:$E$548,MATCH(LARGE($F$398:$F$548,G448),$F$398:$F$548,0))</f>
        <v/>
      </c>
      <c r="M448" s="187">
        <f>IF(OR(L448="",L448=0),"",K448/L448)</f>
        <v/>
      </c>
    </row>
    <row r="449">
      <c r="A449" s="156" t="inlineStr">
        <is>
          <t>DZ-035</t>
        </is>
      </c>
      <c r="B449" s="156" t="inlineStr">
        <is>
          <t>Bulldozer</t>
        </is>
      </c>
      <c r="C449" s="156" t="inlineStr">
        <is>
          <t>Mining</t>
        </is>
      </c>
      <c r="D449" s="183">
        <f>SUMIFS(DATA_FUEL!$F$2:$F$20001,DATA_FUEL!$A$2:$A$20001,"&gt;="&amp;Kalkulasi!$B$290,DATA_FUEL!$A$2:$A$20001,"&lt;="&amp;Kalkulasi!$B$291,DATA_FUEL!$D$2:$D$20001,Kalkulasi!$B$293,DATA_FUEL!$B$2:$B$20001,$A449,DATA_FUEL!$D$2:$D$20001,$C449)</f>
        <v/>
      </c>
      <c r="E449" s="156">
        <f>SUMIFS(DATA_TS!$G$2:$G$20001,DATA_TS!$A$2:$A$20001,"&gt;="&amp;Kalkulasi!$B$290,DATA_TS!$A$2:$A$20001,"&lt;="&amp;Kalkulasi!$B$291,DATA_TS!$C$2:$C$20001,$A449)</f>
        <v/>
      </c>
      <c r="F449" s="156">
        <f>D449+ROW()/1000000</f>
        <v/>
      </c>
      <c r="G449" s="156" t="n">
        <v>52</v>
      </c>
      <c r="H449" s="156">
        <f>INDEX($A$398:$A$548,MATCH(LARGE($F$398:$F$548,G449),$F$398:$F$548,0))</f>
        <v/>
      </c>
      <c r="I449" s="156">
        <f>INDEX($B$398:$B$548,MATCH(LARGE($F$398:$F$548,G449),$F$398:$F$548,0))</f>
        <v/>
      </c>
      <c r="J449" s="156">
        <f>INDEX($C$398:$C$548,MATCH(LARGE($F$398:$F$548,G449),$F$398:$F$548,0))</f>
        <v/>
      </c>
      <c r="K449" s="156">
        <f>INDEX($D$398:$D$548,MATCH(LARGE($F$398:$F$548,G449),$F$398:$F$548,0))</f>
        <v/>
      </c>
      <c r="L449" s="156">
        <f>INDEX($E$398:$E$548,MATCH(LARGE($F$398:$F$548,G449),$F$398:$F$548,0))</f>
        <v/>
      </c>
      <c r="M449" s="187">
        <f>IF(OR(L449="",L449=0),"",K449/L449)</f>
        <v/>
      </c>
    </row>
    <row r="450">
      <c r="A450" s="156" t="inlineStr">
        <is>
          <t>DT-510</t>
        </is>
      </c>
      <c r="B450" s="156" t="inlineStr">
        <is>
          <t>Hauler</t>
        </is>
      </c>
      <c r="C450" s="156" t="inlineStr">
        <is>
          <t>Mining</t>
        </is>
      </c>
      <c r="D450" s="183">
        <f>SUMIFS(DATA_FUEL!$F$2:$F$20001,DATA_FUEL!$A$2:$A$20001,"&gt;="&amp;Kalkulasi!$B$290,DATA_FUEL!$A$2:$A$20001,"&lt;="&amp;Kalkulasi!$B$291,DATA_FUEL!$D$2:$D$20001,Kalkulasi!$B$293,DATA_FUEL!$B$2:$B$20001,$A450,DATA_FUEL!$D$2:$D$20001,$C450)</f>
        <v/>
      </c>
      <c r="E450" s="156">
        <f>SUMIFS(DATA_TS!$G$2:$G$20001,DATA_TS!$A$2:$A$20001,"&gt;="&amp;Kalkulasi!$B$290,DATA_TS!$A$2:$A$20001,"&lt;="&amp;Kalkulasi!$B$291,DATA_TS!$C$2:$C$20001,$A450)</f>
        <v/>
      </c>
      <c r="F450" s="156">
        <f>D450+ROW()/1000000</f>
        <v/>
      </c>
      <c r="G450" s="156" t="n">
        <v>53</v>
      </c>
      <c r="H450" s="156">
        <f>INDEX($A$398:$A$548,MATCH(LARGE($F$398:$F$548,G450),$F$398:$F$548,0))</f>
        <v/>
      </c>
      <c r="I450" s="156">
        <f>INDEX($B$398:$B$548,MATCH(LARGE($F$398:$F$548,G450),$F$398:$F$548,0))</f>
        <v/>
      </c>
      <c r="J450" s="156">
        <f>INDEX($C$398:$C$548,MATCH(LARGE($F$398:$F$548,G450),$F$398:$F$548,0))</f>
        <v/>
      </c>
      <c r="K450" s="156">
        <f>INDEX($D$398:$D$548,MATCH(LARGE($F$398:$F$548,G450),$F$398:$F$548,0))</f>
        <v/>
      </c>
      <c r="L450" s="156">
        <f>INDEX($E$398:$E$548,MATCH(LARGE($F$398:$F$548,G450),$F$398:$F$548,0))</f>
        <v/>
      </c>
      <c r="M450" s="187">
        <f>IF(OR(L450="",L450=0),"",K450/L450)</f>
        <v/>
      </c>
    </row>
    <row r="451">
      <c r="A451" s="156" t="inlineStr">
        <is>
          <t>AL-05</t>
        </is>
      </c>
      <c r="B451" s="156" t="inlineStr">
        <is>
          <t>Alat lain</t>
        </is>
      </c>
      <c r="C451" s="156" t="inlineStr">
        <is>
          <t>Mining</t>
        </is>
      </c>
      <c r="D451" s="183">
        <f>SUMIFS(DATA_FUEL!$F$2:$F$20001,DATA_FUEL!$A$2:$A$20001,"&gt;="&amp;Kalkulasi!$B$290,DATA_FUEL!$A$2:$A$20001,"&lt;="&amp;Kalkulasi!$B$291,DATA_FUEL!$D$2:$D$20001,Kalkulasi!$B$293,DATA_FUEL!$B$2:$B$20001,$A451,DATA_FUEL!$D$2:$D$20001,$C451)</f>
        <v/>
      </c>
      <c r="E451" s="156">
        <f>""</f>
        <v/>
      </c>
      <c r="F451" s="156">
        <f>D451+ROW()/1000000</f>
        <v/>
      </c>
      <c r="G451" s="156" t="n">
        <v>54</v>
      </c>
      <c r="H451" s="156">
        <f>INDEX($A$398:$A$548,MATCH(LARGE($F$398:$F$548,G451),$F$398:$F$548,0))</f>
        <v/>
      </c>
      <c r="I451" s="156">
        <f>INDEX($B$398:$B$548,MATCH(LARGE($F$398:$F$548,G451),$F$398:$F$548,0))</f>
        <v/>
      </c>
      <c r="J451" s="156">
        <f>INDEX($C$398:$C$548,MATCH(LARGE($F$398:$F$548,G451),$F$398:$F$548,0))</f>
        <v/>
      </c>
      <c r="K451" s="156">
        <f>INDEX($D$398:$D$548,MATCH(LARGE($F$398:$F$548,G451),$F$398:$F$548,0))</f>
        <v/>
      </c>
      <c r="L451" s="156">
        <f>INDEX($E$398:$E$548,MATCH(LARGE($F$398:$F$548,G451),$F$398:$F$548,0))</f>
        <v/>
      </c>
      <c r="M451" s="187">
        <f>IF(OR(L451="",L451=0),"",K451/L451)</f>
        <v/>
      </c>
    </row>
    <row r="452">
      <c r="A452" s="156" t="inlineStr">
        <is>
          <t>DT-526</t>
        </is>
      </c>
      <c r="B452" s="156" t="inlineStr">
        <is>
          <t>Hauler</t>
        </is>
      </c>
      <c r="C452" s="156" t="inlineStr">
        <is>
          <t>Mining</t>
        </is>
      </c>
      <c r="D452" s="183">
        <f>SUMIFS(DATA_FUEL!$F$2:$F$20001,DATA_FUEL!$A$2:$A$20001,"&gt;="&amp;Kalkulasi!$B$290,DATA_FUEL!$A$2:$A$20001,"&lt;="&amp;Kalkulasi!$B$291,DATA_FUEL!$D$2:$D$20001,Kalkulasi!$B$293,DATA_FUEL!$B$2:$B$20001,$A452,DATA_FUEL!$D$2:$D$20001,$C452)</f>
        <v/>
      </c>
      <c r="E452" s="156">
        <f>SUMIFS(DATA_TS!$G$2:$G$20001,DATA_TS!$A$2:$A$20001,"&gt;="&amp;Kalkulasi!$B$290,DATA_TS!$A$2:$A$20001,"&lt;="&amp;Kalkulasi!$B$291,DATA_TS!$C$2:$C$20001,$A452)</f>
        <v/>
      </c>
      <c r="F452" s="156">
        <f>D452+ROW()/1000000</f>
        <v/>
      </c>
      <c r="G452" s="156" t="n">
        <v>55</v>
      </c>
      <c r="H452" s="156">
        <f>INDEX($A$398:$A$548,MATCH(LARGE($F$398:$F$548,G452),$F$398:$F$548,0))</f>
        <v/>
      </c>
      <c r="I452" s="156">
        <f>INDEX($B$398:$B$548,MATCH(LARGE($F$398:$F$548,G452),$F$398:$F$548,0))</f>
        <v/>
      </c>
      <c r="J452" s="156">
        <f>INDEX($C$398:$C$548,MATCH(LARGE($F$398:$F$548,G452),$F$398:$F$548,0))</f>
        <v/>
      </c>
      <c r="K452" s="156">
        <f>INDEX($D$398:$D$548,MATCH(LARGE($F$398:$F$548,G452),$F$398:$F$548,0))</f>
        <v/>
      </c>
      <c r="L452" s="156">
        <f>INDEX($E$398:$E$548,MATCH(LARGE($F$398:$F$548,G452),$F$398:$F$548,0))</f>
        <v/>
      </c>
      <c r="M452" s="187">
        <f>IF(OR(L452="",L452=0),"",K452/L452)</f>
        <v/>
      </c>
    </row>
    <row r="453">
      <c r="A453" s="156" t="inlineStr">
        <is>
          <t>DT-524</t>
        </is>
      </c>
      <c r="B453" s="156" t="inlineStr">
        <is>
          <t>Hauler</t>
        </is>
      </c>
      <c r="C453" s="156" t="inlineStr">
        <is>
          <t>Mining</t>
        </is>
      </c>
      <c r="D453" s="183">
        <f>SUMIFS(DATA_FUEL!$F$2:$F$20001,DATA_FUEL!$A$2:$A$20001,"&gt;="&amp;Kalkulasi!$B$290,DATA_FUEL!$A$2:$A$20001,"&lt;="&amp;Kalkulasi!$B$291,DATA_FUEL!$D$2:$D$20001,Kalkulasi!$B$293,DATA_FUEL!$B$2:$B$20001,$A453,DATA_FUEL!$D$2:$D$20001,$C453)</f>
        <v/>
      </c>
      <c r="E453" s="156">
        <f>SUMIFS(DATA_TS!$G$2:$G$20001,DATA_TS!$A$2:$A$20001,"&gt;="&amp;Kalkulasi!$B$290,DATA_TS!$A$2:$A$20001,"&lt;="&amp;Kalkulasi!$B$291,DATA_TS!$C$2:$C$20001,$A453)</f>
        <v/>
      </c>
      <c r="F453" s="156">
        <f>D453+ROW()/1000000</f>
        <v/>
      </c>
      <c r="G453" s="156" t="n">
        <v>56</v>
      </c>
      <c r="H453" s="156">
        <f>INDEX($A$398:$A$548,MATCH(LARGE($F$398:$F$548,G453),$F$398:$F$548,0))</f>
        <v/>
      </c>
      <c r="I453" s="156">
        <f>INDEX($B$398:$B$548,MATCH(LARGE($F$398:$F$548,G453),$F$398:$F$548,0))</f>
        <v/>
      </c>
      <c r="J453" s="156">
        <f>INDEX($C$398:$C$548,MATCH(LARGE($F$398:$F$548,G453),$F$398:$F$548,0))</f>
        <v/>
      </c>
      <c r="K453" s="156">
        <f>INDEX($D$398:$D$548,MATCH(LARGE($F$398:$F$548,G453),$F$398:$F$548,0))</f>
        <v/>
      </c>
      <c r="L453" s="156">
        <f>INDEX($E$398:$E$548,MATCH(LARGE($F$398:$F$548,G453),$F$398:$F$548,0))</f>
        <v/>
      </c>
      <c r="M453" s="187">
        <f>IF(OR(L453="",L453=0),"",K453/L453)</f>
        <v/>
      </c>
    </row>
    <row r="454">
      <c r="A454" s="156" t="inlineStr">
        <is>
          <t>EX-332</t>
        </is>
      </c>
      <c r="B454" s="156" t="inlineStr">
        <is>
          <t>Excavator</t>
        </is>
      </c>
      <c r="C454" s="156" t="inlineStr">
        <is>
          <t>Mining</t>
        </is>
      </c>
      <c r="D454" s="183">
        <f>SUMIFS(DATA_FUEL!$F$2:$F$20001,DATA_FUEL!$A$2:$A$20001,"&gt;="&amp;Kalkulasi!$B$290,DATA_FUEL!$A$2:$A$20001,"&lt;="&amp;Kalkulasi!$B$291,DATA_FUEL!$D$2:$D$20001,Kalkulasi!$B$293,DATA_FUEL!$B$2:$B$20001,$A454,DATA_FUEL!$D$2:$D$20001,$C454)</f>
        <v/>
      </c>
      <c r="E454" s="156">
        <f>SUMIFS(DATA_TS!$G$2:$G$20001,DATA_TS!$A$2:$A$20001,"&gt;="&amp;Kalkulasi!$B$290,DATA_TS!$A$2:$A$20001,"&lt;="&amp;Kalkulasi!$B$291,DATA_TS!$C$2:$C$20001,$A454)</f>
        <v/>
      </c>
      <c r="F454" s="156">
        <f>D454+ROW()/1000000</f>
        <v/>
      </c>
      <c r="G454" s="156" t="n">
        <v>57</v>
      </c>
      <c r="H454" s="156">
        <f>INDEX($A$398:$A$548,MATCH(LARGE($F$398:$F$548,G454),$F$398:$F$548,0))</f>
        <v/>
      </c>
      <c r="I454" s="156">
        <f>INDEX($B$398:$B$548,MATCH(LARGE($F$398:$F$548,G454),$F$398:$F$548,0))</f>
        <v/>
      </c>
      <c r="J454" s="156">
        <f>INDEX($C$398:$C$548,MATCH(LARGE($F$398:$F$548,G454),$F$398:$F$548,0))</f>
        <v/>
      </c>
      <c r="K454" s="156">
        <f>INDEX($D$398:$D$548,MATCH(LARGE($F$398:$F$548,G454),$F$398:$F$548,0))</f>
        <v/>
      </c>
      <c r="L454" s="156">
        <f>INDEX($E$398:$E$548,MATCH(LARGE($F$398:$F$548,G454),$F$398:$F$548,0))</f>
        <v/>
      </c>
      <c r="M454" s="187">
        <f>IF(OR(L454="",L454=0),"",K454/L454)</f>
        <v/>
      </c>
    </row>
    <row r="455">
      <c r="A455" s="156" t="inlineStr">
        <is>
          <t>DT-507</t>
        </is>
      </c>
      <c r="B455" s="156" t="inlineStr">
        <is>
          <t>Hauler</t>
        </is>
      </c>
      <c r="C455" s="156" t="inlineStr">
        <is>
          <t>Mining</t>
        </is>
      </c>
      <c r="D455" s="183">
        <f>SUMIFS(DATA_FUEL!$F$2:$F$20001,DATA_FUEL!$A$2:$A$20001,"&gt;="&amp;Kalkulasi!$B$290,DATA_FUEL!$A$2:$A$20001,"&lt;="&amp;Kalkulasi!$B$291,DATA_FUEL!$D$2:$D$20001,Kalkulasi!$B$293,DATA_FUEL!$B$2:$B$20001,$A455,DATA_FUEL!$D$2:$D$20001,$C455)</f>
        <v/>
      </c>
      <c r="E455" s="156">
        <f>SUMIFS(DATA_TS!$G$2:$G$20001,DATA_TS!$A$2:$A$20001,"&gt;="&amp;Kalkulasi!$B$290,DATA_TS!$A$2:$A$20001,"&lt;="&amp;Kalkulasi!$B$291,DATA_TS!$C$2:$C$20001,$A455)</f>
        <v/>
      </c>
      <c r="F455" s="156">
        <f>D455+ROW()/1000000</f>
        <v/>
      </c>
      <c r="G455" s="156" t="n">
        <v>58</v>
      </c>
      <c r="H455" s="156">
        <f>INDEX($A$398:$A$548,MATCH(LARGE($F$398:$F$548,G455),$F$398:$F$548,0))</f>
        <v/>
      </c>
      <c r="I455" s="156">
        <f>INDEX($B$398:$B$548,MATCH(LARGE($F$398:$F$548,G455),$F$398:$F$548,0))</f>
        <v/>
      </c>
      <c r="J455" s="156">
        <f>INDEX($C$398:$C$548,MATCH(LARGE($F$398:$F$548,G455),$F$398:$F$548,0))</f>
        <v/>
      </c>
      <c r="K455" s="156">
        <f>INDEX($D$398:$D$548,MATCH(LARGE($F$398:$F$548,G455),$F$398:$F$548,0))</f>
        <v/>
      </c>
      <c r="L455" s="156">
        <f>INDEX($E$398:$E$548,MATCH(LARGE($F$398:$F$548,G455),$F$398:$F$548,0))</f>
        <v/>
      </c>
      <c r="M455" s="187">
        <f>IF(OR(L455="",L455=0),"",K455/L455)</f>
        <v/>
      </c>
    </row>
    <row r="456">
      <c r="A456" s="156" t="inlineStr">
        <is>
          <t>DT-511</t>
        </is>
      </c>
      <c r="B456" s="156" t="inlineStr">
        <is>
          <t>Hauler</t>
        </is>
      </c>
      <c r="C456" s="156" t="inlineStr">
        <is>
          <t>Mining</t>
        </is>
      </c>
      <c r="D456" s="183">
        <f>SUMIFS(DATA_FUEL!$F$2:$F$20001,DATA_FUEL!$A$2:$A$20001,"&gt;="&amp;Kalkulasi!$B$290,DATA_FUEL!$A$2:$A$20001,"&lt;="&amp;Kalkulasi!$B$291,DATA_FUEL!$D$2:$D$20001,Kalkulasi!$B$293,DATA_FUEL!$B$2:$B$20001,$A456,DATA_FUEL!$D$2:$D$20001,$C456)</f>
        <v/>
      </c>
      <c r="E456" s="156">
        <f>SUMIFS(DATA_TS!$G$2:$G$20001,DATA_TS!$A$2:$A$20001,"&gt;="&amp;Kalkulasi!$B$290,DATA_TS!$A$2:$A$20001,"&lt;="&amp;Kalkulasi!$B$291,DATA_TS!$C$2:$C$20001,$A456)</f>
        <v/>
      </c>
      <c r="F456" s="156">
        <f>D456+ROW()/1000000</f>
        <v/>
      </c>
      <c r="G456" s="156" t="n">
        <v>59</v>
      </c>
      <c r="H456" s="156">
        <f>INDEX($A$398:$A$548,MATCH(LARGE($F$398:$F$548,G456),$F$398:$F$548,0))</f>
        <v/>
      </c>
      <c r="I456" s="156">
        <f>INDEX($B$398:$B$548,MATCH(LARGE($F$398:$F$548,G456),$F$398:$F$548,0))</f>
        <v/>
      </c>
      <c r="J456" s="156">
        <f>INDEX($C$398:$C$548,MATCH(LARGE($F$398:$F$548,G456),$F$398:$F$548,0))</f>
        <v/>
      </c>
      <c r="K456" s="156">
        <f>INDEX($D$398:$D$548,MATCH(LARGE($F$398:$F$548,G456),$F$398:$F$548,0))</f>
        <v/>
      </c>
      <c r="L456" s="156">
        <f>INDEX($E$398:$E$548,MATCH(LARGE($F$398:$F$548,G456),$F$398:$F$548,0))</f>
        <v/>
      </c>
      <c r="M456" s="187">
        <f>IF(OR(L456="",L456=0),"",K456/L456)</f>
        <v/>
      </c>
    </row>
    <row r="457">
      <c r="A457" s="156" t="inlineStr">
        <is>
          <t>DT-514</t>
        </is>
      </c>
      <c r="B457" s="156" t="inlineStr">
        <is>
          <t>Hauler</t>
        </is>
      </c>
      <c r="C457" s="156" t="inlineStr">
        <is>
          <t>Mining</t>
        </is>
      </c>
      <c r="D457" s="183">
        <f>SUMIFS(DATA_FUEL!$F$2:$F$20001,DATA_FUEL!$A$2:$A$20001,"&gt;="&amp;Kalkulasi!$B$290,DATA_FUEL!$A$2:$A$20001,"&lt;="&amp;Kalkulasi!$B$291,DATA_FUEL!$D$2:$D$20001,Kalkulasi!$B$293,DATA_FUEL!$B$2:$B$20001,$A457,DATA_FUEL!$D$2:$D$20001,$C457)</f>
        <v/>
      </c>
      <c r="E457" s="156">
        <f>SUMIFS(DATA_TS!$G$2:$G$20001,DATA_TS!$A$2:$A$20001,"&gt;="&amp;Kalkulasi!$B$290,DATA_TS!$A$2:$A$20001,"&lt;="&amp;Kalkulasi!$B$291,DATA_TS!$C$2:$C$20001,$A457)</f>
        <v/>
      </c>
      <c r="F457" s="156">
        <f>D457+ROW()/1000000</f>
        <v/>
      </c>
      <c r="G457" s="156" t="n">
        <v>60</v>
      </c>
      <c r="H457" s="156">
        <f>INDEX($A$398:$A$548,MATCH(LARGE($F$398:$F$548,G457),$F$398:$F$548,0))</f>
        <v/>
      </c>
      <c r="I457" s="156">
        <f>INDEX($B$398:$B$548,MATCH(LARGE($F$398:$F$548,G457),$F$398:$F$548,0))</f>
        <v/>
      </c>
      <c r="J457" s="156">
        <f>INDEX($C$398:$C$548,MATCH(LARGE($F$398:$F$548,G457),$F$398:$F$548,0))</f>
        <v/>
      </c>
      <c r="K457" s="156">
        <f>INDEX($D$398:$D$548,MATCH(LARGE($F$398:$F$548,G457),$F$398:$F$548,0))</f>
        <v/>
      </c>
      <c r="L457" s="156">
        <f>INDEX($E$398:$E$548,MATCH(LARGE($F$398:$F$548,G457),$F$398:$F$548,0))</f>
        <v/>
      </c>
      <c r="M457" s="187">
        <f>IF(OR(L457="",L457=0),"",K457/L457)</f>
        <v/>
      </c>
    </row>
    <row r="458">
      <c r="A458" s="156" t="inlineStr">
        <is>
          <t>DZ-034</t>
        </is>
      </c>
      <c r="B458" s="156" t="inlineStr">
        <is>
          <t>Bulldozer</t>
        </is>
      </c>
      <c r="C458" s="156" t="inlineStr">
        <is>
          <t>Mining</t>
        </is>
      </c>
      <c r="D458" s="183">
        <f>SUMIFS(DATA_FUEL!$F$2:$F$20001,DATA_FUEL!$A$2:$A$20001,"&gt;="&amp;Kalkulasi!$B$290,DATA_FUEL!$A$2:$A$20001,"&lt;="&amp;Kalkulasi!$B$291,DATA_FUEL!$D$2:$D$20001,Kalkulasi!$B$293,DATA_FUEL!$B$2:$B$20001,$A458,DATA_FUEL!$D$2:$D$20001,$C458)</f>
        <v/>
      </c>
      <c r="E458" s="156">
        <f>SUMIFS(DATA_TS!$G$2:$G$20001,DATA_TS!$A$2:$A$20001,"&gt;="&amp;Kalkulasi!$B$290,DATA_TS!$A$2:$A$20001,"&lt;="&amp;Kalkulasi!$B$291,DATA_TS!$C$2:$C$20001,$A458)</f>
        <v/>
      </c>
      <c r="F458" s="156">
        <f>D458+ROW()/1000000</f>
        <v/>
      </c>
      <c r="G458" s="156" t="n">
        <v>61</v>
      </c>
      <c r="H458" s="156">
        <f>INDEX($A$398:$A$548,MATCH(LARGE($F$398:$F$548,G458),$F$398:$F$548,0))</f>
        <v/>
      </c>
      <c r="I458" s="156">
        <f>INDEX($B$398:$B$548,MATCH(LARGE($F$398:$F$548,G458),$F$398:$F$548,0))</f>
        <v/>
      </c>
      <c r="J458" s="156">
        <f>INDEX($C$398:$C$548,MATCH(LARGE($F$398:$F$548,G458),$F$398:$F$548,0))</f>
        <v/>
      </c>
      <c r="K458" s="156">
        <f>INDEX($D$398:$D$548,MATCH(LARGE($F$398:$F$548,G458),$F$398:$F$548,0))</f>
        <v/>
      </c>
      <c r="L458" s="156">
        <f>INDEX($E$398:$E$548,MATCH(LARGE($F$398:$F$548,G458),$F$398:$F$548,0))</f>
        <v/>
      </c>
      <c r="M458" s="187">
        <f>IF(OR(L458="",L458=0),"",K458/L458)</f>
        <v/>
      </c>
    </row>
    <row r="459">
      <c r="A459" s="156" t="inlineStr">
        <is>
          <t>AL-04</t>
        </is>
      </c>
      <c r="B459" s="156" t="inlineStr">
        <is>
          <t>Alat lain</t>
        </is>
      </c>
      <c r="C459" s="156" t="inlineStr">
        <is>
          <t>Mining</t>
        </is>
      </c>
      <c r="D459" s="183">
        <f>SUMIFS(DATA_FUEL!$F$2:$F$20001,DATA_FUEL!$A$2:$A$20001,"&gt;="&amp;Kalkulasi!$B$290,DATA_FUEL!$A$2:$A$20001,"&lt;="&amp;Kalkulasi!$B$291,DATA_FUEL!$D$2:$D$20001,Kalkulasi!$B$293,DATA_FUEL!$B$2:$B$20001,$A459,DATA_FUEL!$D$2:$D$20001,$C459)</f>
        <v/>
      </c>
      <c r="E459" s="156">
        <f>""</f>
        <v/>
      </c>
      <c r="F459" s="156">
        <f>D459+ROW()/1000000</f>
        <v/>
      </c>
      <c r="G459" s="156" t="n">
        <v>62</v>
      </c>
      <c r="H459" s="156">
        <f>INDEX($A$398:$A$548,MATCH(LARGE($F$398:$F$548,G459),$F$398:$F$548,0))</f>
        <v/>
      </c>
      <c r="I459" s="156">
        <f>INDEX($B$398:$B$548,MATCH(LARGE($F$398:$F$548,G459),$F$398:$F$548,0))</f>
        <v/>
      </c>
      <c r="J459" s="156">
        <f>INDEX($C$398:$C$548,MATCH(LARGE($F$398:$F$548,G459),$F$398:$F$548,0))</f>
        <v/>
      </c>
      <c r="K459" s="156">
        <f>INDEX($D$398:$D$548,MATCH(LARGE($F$398:$F$548,G459),$F$398:$F$548,0))</f>
        <v/>
      </c>
      <c r="L459" s="156">
        <f>INDEX($E$398:$E$548,MATCH(LARGE($F$398:$F$548,G459),$F$398:$F$548,0))</f>
        <v/>
      </c>
      <c r="M459" s="187">
        <f>IF(OR(L459="",L459=0),"",K459/L459)</f>
        <v/>
      </c>
    </row>
    <row r="460">
      <c r="A460" s="156" t="inlineStr">
        <is>
          <t>DT-810</t>
        </is>
      </c>
      <c r="B460" s="156" t="inlineStr">
        <is>
          <t>Hauler</t>
        </is>
      </c>
      <c r="C460" s="156" t="inlineStr">
        <is>
          <t>Mining</t>
        </is>
      </c>
      <c r="D460" s="183">
        <f>SUMIFS(DATA_FUEL!$F$2:$F$20001,DATA_FUEL!$A$2:$A$20001,"&gt;="&amp;Kalkulasi!$B$290,DATA_FUEL!$A$2:$A$20001,"&lt;="&amp;Kalkulasi!$B$291,DATA_FUEL!$D$2:$D$20001,Kalkulasi!$B$293,DATA_FUEL!$B$2:$B$20001,$A460,DATA_FUEL!$D$2:$D$20001,$C460)</f>
        <v/>
      </c>
      <c r="E460" s="156">
        <f>SUMIFS(DATA_TS!$G$2:$G$20001,DATA_TS!$A$2:$A$20001,"&gt;="&amp;Kalkulasi!$B$290,DATA_TS!$A$2:$A$20001,"&lt;="&amp;Kalkulasi!$B$291,DATA_TS!$C$2:$C$20001,$A460)</f>
        <v/>
      </c>
      <c r="F460" s="156">
        <f>D460+ROW()/1000000</f>
        <v/>
      </c>
      <c r="G460" s="156" t="n">
        <v>63</v>
      </c>
      <c r="H460" s="156">
        <f>INDEX($A$398:$A$548,MATCH(LARGE($F$398:$F$548,G460),$F$398:$F$548,0))</f>
        <v/>
      </c>
      <c r="I460" s="156">
        <f>INDEX($B$398:$B$548,MATCH(LARGE($F$398:$F$548,G460),$F$398:$F$548,0))</f>
        <v/>
      </c>
      <c r="J460" s="156">
        <f>INDEX($C$398:$C$548,MATCH(LARGE($F$398:$F$548,G460),$F$398:$F$548,0))</f>
        <v/>
      </c>
      <c r="K460" s="156">
        <f>INDEX($D$398:$D$548,MATCH(LARGE($F$398:$F$548,G460),$F$398:$F$548,0))</f>
        <v/>
      </c>
      <c r="L460" s="156">
        <f>INDEX($E$398:$E$548,MATCH(LARGE($F$398:$F$548,G460),$F$398:$F$548,0))</f>
        <v/>
      </c>
      <c r="M460" s="187">
        <f>IF(OR(L460="",L460=0),"",K460/L460)</f>
        <v/>
      </c>
    </row>
    <row r="461">
      <c r="A461" s="156" t="inlineStr">
        <is>
          <t>DT-812</t>
        </is>
      </c>
      <c r="B461" s="156" t="inlineStr">
        <is>
          <t>Hauler</t>
        </is>
      </c>
      <c r="C461" s="156" t="inlineStr">
        <is>
          <t>Mining</t>
        </is>
      </c>
      <c r="D461" s="183">
        <f>SUMIFS(DATA_FUEL!$F$2:$F$20001,DATA_FUEL!$A$2:$A$20001,"&gt;="&amp;Kalkulasi!$B$290,DATA_FUEL!$A$2:$A$20001,"&lt;="&amp;Kalkulasi!$B$291,DATA_FUEL!$D$2:$D$20001,Kalkulasi!$B$293,DATA_FUEL!$B$2:$B$20001,$A461,DATA_FUEL!$D$2:$D$20001,$C461)</f>
        <v/>
      </c>
      <c r="E461" s="156">
        <f>SUMIFS(DATA_TS!$G$2:$G$20001,DATA_TS!$A$2:$A$20001,"&gt;="&amp;Kalkulasi!$B$290,DATA_TS!$A$2:$A$20001,"&lt;="&amp;Kalkulasi!$B$291,DATA_TS!$C$2:$C$20001,$A461)</f>
        <v/>
      </c>
      <c r="F461" s="156">
        <f>D461+ROW()/1000000</f>
        <v/>
      </c>
      <c r="G461" s="156" t="n">
        <v>64</v>
      </c>
      <c r="H461" s="156">
        <f>INDEX($A$398:$A$548,MATCH(LARGE($F$398:$F$548,G461),$F$398:$F$548,0))</f>
        <v/>
      </c>
      <c r="I461" s="156">
        <f>INDEX($B$398:$B$548,MATCH(LARGE($F$398:$F$548,G461),$F$398:$F$548,0))</f>
        <v/>
      </c>
      <c r="J461" s="156">
        <f>INDEX($C$398:$C$548,MATCH(LARGE($F$398:$F$548,G461),$F$398:$F$548,0))</f>
        <v/>
      </c>
      <c r="K461" s="156">
        <f>INDEX($D$398:$D$548,MATCH(LARGE($F$398:$F$548,G461),$F$398:$F$548,0))</f>
        <v/>
      </c>
      <c r="L461" s="156">
        <f>INDEX($E$398:$E$548,MATCH(LARGE($F$398:$F$548,G461),$F$398:$F$548,0))</f>
        <v/>
      </c>
      <c r="M461" s="187">
        <f>IF(OR(L461="",L461=0),"",K461/L461)</f>
        <v/>
      </c>
    </row>
    <row r="462">
      <c r="A462" s="156" t="inlineStr">
        <is>
          <t>GS-01</t>
        </is>
      </c>
      <c r="B462" s="156" t="inlineStr">
        <is>
          <t>Genset</t>
        </is>
      </c>
      <c r="C462" s="156" t="inlineStr">
        <is>
          <t>Aux</t>
        </is>
      </c>
      <c r="D462" s="183">
        <f>SUMIFS(DATA_FUEL!$F$2:$F$20001,DATA_FUEL!$A$2:$A$20001,"&gt;="&amp;Kalkulasi!$B$290,DATA_FUEL!$A$2:$A$20001,"&lt;="&amp;Kalkulasi!$B$291,DATA_FUEL!$D$2:$D$20001,Kalkulasi!$B$293,DATA_FUEL!$B$2:$B$20001,$A462,DATA_FUEL!$D$2:$D$20001,$C462)</f>
        <v/>
      </c>
      <c r="E462" s="156">
        <f>""</f>
        <v/>
      </c>
      <c r="F462" s="156">
        <f>D462+ROW()/1000000</f>
        <v/>
      </c>
      <c r="G462" s="156" t="n">
        <v>65</v>
      </c>
      <c r="H462" s="156">
        <f>INDEX($A$398:$A$548,MATCH(LARGE($F$398:$F$548,G462),$F$398:$F$548,0))</f>
        <v/>
      </c>
      <c r="I462" s="156">
        <f>INDEX($B$398:$B$548,MATCH(LARGE($F$398:$F$548,G462),$F$398:$F$548,0))</f>
        <v/>
      </c>
      <c r="J462" s="156">
        <f>INDEX($C$398:$C$548,MATCH(LARGE($F$398:$F$548,G462),$F$398:$F$548,0))</f>
        <v/>
      </c>
      <c r="K462" s="156">
        <f>INDEX($D$398:$D$548,MATCH(LARGE($F$398:$F$548,G462),$F$398:$F$548,0))</f>
        <v/>
      </c>
      <c r="L462" s="156">
        <f>INDEX($E$398:$E$548,MATCH(LARGE($F$398:$F$548,G462),$F$398:$F$548,0))</f>
        <v/>
      </c>
      <c r="M462" s="187">
        <f>IF(OR(L462="",L462=0),"",K462/L462)</f>
        <v/>
      </c>
    </row>
    <row r="463">
      <c r="A463" s="156" t="inlineStr">
        <is>
          <t>DT-804</t>
        </is>
      </c>
      <c r="B463" s="156" t="inlineStr">
        <is>
          <t>Hauler</t>
        </is>
      </c>
      <c r="C463" s="156" t="inlineStr">
        <is>
          <t>Mining</t>
        </is>
      </c>
      <c r="D463" s="183">
        <f>SUMIFS(DATA_FUEL!$F$2:$F$20001,DATA_FUEL!$A$2:$A$20001,"&gt;="&amp;Kalkulasi!$B$290,DATA_FUEL!$A$2:$A$20001,"&lt;="&amp;Kalkulasi!$B$291,DATA_FUEL!$D$2:$D$20001,Kalkulasi!$B$293,DATA_FUEL!$B$2:$B$20001,$A463,DATA_FUEL!$D$2:$D$20001,$C463)</f>
        <v/>
      </c>
      <c r="E463" s="156">
        <f>SUMIFS(DATA_TS!$G$2:$G$20001,DATA_TS!$A$2:$A$20001,"&gt;="&amp;Kalkulasi!$B$290,DATA_TS!$A$2:$A$20001,"&lt;="&amp;Kalkulasi!$B$291,DATA_TS!$C$2:$C$20001,$A463)</f>
        <v/>
      </c>
      <c r="F463" s="156">
        <f>D463+ROW()/1000000</f>
        <v/>
      </c>
      <c r="G463" s="156" t="n">
        <v>66</v>
      </c>
      <c r="H463" s="156">
        <f>INDEX($A$398:$A$548,MATCH(LARGE($F$398:$F$548,G463),$F$398:$F$548,0))</f>
        <v/>
      </c>
      <c r="I463" s="156">
        <f>INDEX($B$398:$B$548,MATCH(LARGE($F$398:$F$548,G463),$F$398:$F$548,0))</f>
        <v/>
      </c>
      <c r="J463" s="156">
        <f>INDEX($C$398:$C$548,MATCH(LARGE($F$398:$F$548,G463),$F$398:$F$548,0))</f>
        <v/>
      </c>
      <c r="K463" s="156">
        <f>INDEX($D$398:$D$548,MATCH(LARGE($F$398:$F$548,G463),$F$398:$F$548,0))</f>
        <v/>
      </c>
      <c r="L463" s="156">
        <f>INDEX($E$398:$E$548,MATCH(LARGE($F$398:$F$548,G463),$F$398:$F$548,0))</f>
        <v/>
      </c>
      <c r="M463" s="187">
        <f>IF(OR(L463="",L463=0),"",K463/L463)</f>
        <v/>
      </c>
    </row>
    <row r="464">
      <c r="A464" s="156" t="inlineStr">
        <is>
          <t>CP-041</t>
        </is>
      </c>
      <c r="B464" s="156" t="inlineStr">
        <is>
          <t>Compactor</t>
        </is>
      </c>
      <c r="C464" s="156" t="inlineStr">
        <is>
          <t>Mining</t>
        </is>
      </c>
      <c r="D464" s="183">
        <f>SUMIFS(DATA_FUEL!$F$2:$F$20001,DATA_FUEL!$A$2:$A$20001,"&gt;="&amp;Kalkulasi!$B$290,DATA_FUEL!$A$2:$A$20001,"&lt;="&amp;Kalkulasi!$B$291,DATA_FUEL!$D$2:$D$20001,Kalkulasi!$B$293,DATA_FUEL!$B$2:$B$20001,$A464,DATA_FUEL!$D$2:$D$20001,$C464)</f>
        <v/>
      </c>
      <c r="E464" s="156">
        <f>SUMIFS(DATA_TS!$G$2:$G$20001,DATA_TS!$A$2:$A$20001,"&gt;="&amp;Kalkulasi!$B$290,DATA_TS!$A$2:$A$20001,"&lt;="&amp;Kalkulasi!$B$291,DATA_TS!$C$2:$C$20001,$A464)</f>
        <v/>
      </c>
      <c r="F464" s="156">
        <f>D464+ROW()/1000000</f>
        <v/>
      </c>
      <c r="G464" s="156" t="n">
        <v>67</v>
      </c>
      <c r="H464" s="156">
        <f>INDEX($A$398:$A$548,MATCH(LARGE($F$398:$F$548,G464),$F$398:$F$548,0))</f>
        <v/>
      </c>
      <c r="I464" s="156">
        <f>INDEX($B$398:$B$548,MATCH(LARGE($F$398:$F$548,G464),$F$398:$F$548,0))</f>
        <v/>
      </c>
      <c r="J464" s="156">
        <f>INDEX($C$398:$C$548,MATCH(LARGE($F$398:$F$548,G464),$F$398:$F$548,0))</f>
        <v/>
      </c>
      <c r="K464" s="156">
        <f>INDEX($D$398:$D$548,MATCH(LARGE($F$398:$F$548,G464),$F$398:$F$548,0))</f>
        <v/>
      </c>
      <c r="L464" s="156">
        <f>INDEX($E$398:$E$548,MATCH(LARGE($F$398:$F$548,G464),$F$398:$F$548,0))</f>
        <v/>
      </c>
      <c r="M464" s="187">
        <f>IF(OR(L464="",L464=0),"",K464/L464)</f>
        <v/>
      </c>
    </row>
    <row r="465">
      <c r="A465" s="156" t="inlineStr">
        <is>
          <t>DT-808</t>
        </is>
      </c>
      <c r="B465" s="156" t="inlineStr">
        <is>
          <t>Hauler</t>
        </is>
      </c>
      <c r="C465" s="156" t="inlineStr">
        <is>
          <t>Mining</t>
        </is>
      </c>
      <c r="D465" s="183">
        <f>SUMIFS(DATA_FUEL!$F$2:$F$20001,DATA_FUEL!$A$2:$A$20001,"&gt;="&amp;Kalkulasi!$B$290,DATA_FUEL!$A$2:$A$20001,"&lt;="&amp;Kalkulasi!$B$291,DATA_FUEL!$D$2:$D$20001,Kalkulasi!$B$293,DATA_FUEL!$B$2:$B$20001,$A465,DATA_FUEL!$D$2:$D$20001,$C465)</f>
        <v/>
      </c>
      <c r="E465" s="156">
        <f>SUMIFS(DATA_TS!$G$2:$G$20001,DATA_TS!$A$2:$A$20001,"&gt;="&amp;Kalkulasi!$B$290,DATA_TS!$A$2:$A$20001,"&lt;="&amp;Kalkulasi!$B$291,DATA_TS!$C$2:$C$20001,$A465)</f>
        <v/>
      </c>
      <c r="F465" s="156">
        <f>D465+ROW()/1000000</f>
        <v/>
      </c>
      <c r="G465" s="156" t="n">
        <v>68</v>
      </c>
      <c r="H465" s="156">
        <f>INDEX($A$398:$A$548,MATCH(LARGE($F$398:$F$548,G465),$F$398:$F$548,0))</f>
        <v/>
      </c>
      <c r="I465" s="156">
        <f>INDEX($B$398:$B$548,MATCH(LARGE($F$398:$F$548,G465),$F$398:$F$548,0))</f>
        <v/>
      </c>
      <c r="J465" s="156">
        <f>INDEX($C$398:$C$548,MATCH(LARGE($F$398:$F$548,G465),$F$398:$F$548,0))</f>
        <v/>
      </c>
      <c r="K465" s="156">
        <f>INDEX($D$398:$D$548,MATCH(LARGE($F$398:$F$548,G465),$F$398:$F$548,0))</f>
        <v/>
      </c>
      <c r="L465" s="156">
        <f>INDEX($E$398:$E$548,MATCH(LARGE($F$398:$F$548,G465),$F$398:$F$548,0))</f>
        <v/>
      </c>
      <c r="M465" s="187">
        <f>IF(OR(L465="",L465=0),"",K465/L465)</f>
        <v/>
      </c>
    </row>
    <row r="466">
      <c r="A466" s="156" t="inlineStr">
        <is>
          <t>GS-02</t>
        </is>
      </c>
      <c r="B466" s="156" t="inlineStr">
        <is>
          <t>Genset</t>
        </is>
      </c>
      <c r="C466" s="156" t="inlineStr">
        <is>
          <t>Aux</t>
        </is>
      </c>
      <c r="D466" s="183">
        <f>SUMIFS(DATA_FUEL!$F$2:$F$20001,DATA_FUEL!$A$2:$A$20001,"&gt;="&amp;Kalkulasi!$B$290,DATA_FUEL!$A$2:$A$20001,"&lt;="&amp;Kalkulasi!$B$291,DATA_FUEL!$D$2:$D$20001,Kalkulasi!$B$293,DATA_FUEL!$B$2:$B$20001,$A466,DATA_FUEL!$D$2:$D$20001,$C466)</f>
        <v/>
      </c>
      <c r="E466" s="156">
        <f>""</f>
        <v/>
      </c>
      <c r="F466" s="156">
        <f>D466+ROW()/1000000</f>
        <v/>
      </c>
      <c r="G466" s="156" t="n">
        <v>69</v>
      </c>
      <c r="H466" s="156">
        <f>INDEX($A$398:$A$548,MATCH(LARGE($F$398:$F$548,G466),$F$398:$F$548,0))</f>
        <v/>
      </c>
      <c r="I466" s="156">
        <f>INDEX($B$398:$B$548,MATCH(LARGE($F$398:$F$548,G466),$F$398:$F$548,0))</f>
        <v/>
      </c>
      <c r="J466" s="156">
        <f>INDEX($C$398:$C$548,MATCH(LARGE($F$398:$F$548,G466),$F$398:$F$548,0))</f>
        <v/>
      </c>
      <c r="K466" s="156">
        <f>INDEX($D$398:$D$548,MATCH(LARGE($F$398:$F$548,G466),$F$398:$F$548,0))</f>
        <v/>
      </c>
      <c r="L466" s="156">
        <f>INDEX($E$398:$E$548,MATCH(LARGE($F$398:$F$548,G466),$F$398:$F$548,0))</f>
        <v/>
      </c>
      <c r="M466" s="187">
        <f>IF(OR(L466="",L466=0),"",K466/L466)</f>
        <v/>
      </c>
    </row>
    <row r="467">
      <c r="A467" s="156" t="inlineStr">
        <is>
          <t>GS-03</t>
        </is>
      </c>
      <c r="B467" s="156" t="inlineStr">
        <is>
          <t>Genset</t>
        </is>
      </c>
      <c r="C467" s="156" t="inlineStr">
        <is>
          <t>Aux</t>
        </is>
      </c>
      <c r="D467" s="183">
        <f>SUMIFS(DATA_FUEL!$F$2:$F$20001,DATA_FUEL!$A$2:$A$20001,"&gt;="&amp;Kalkulasi!$B$290,DATA_FUEL!$A$2:$A$20001,"&lt;="&amp;Kalkulasi!$B$291,DATA_FUEL!$D$2:$D$20001,Kalkulasi!$B$293,DATA_FUEL!$B$2:$B$20001,$A467,DATA_FUEL!$D$2:$D$20001,$C467)</f>
        <v/>
      </c>
      <c r="E467" s="156">
        <f>""</f>
        <v/>
      </c>
      <c r="F467" s="156">
        <f>D467+ROW()/1000000</f>
        <v/>
      </c>
      <c r="G467" s="156" t="n">
        <v>70</v>
      </c>
      <c r="H467" s="156">
        <f>INDEX($A$398:$A$548,MATCH(LARGE($F$398:$F$548,G467),$F$398:$F$548,0))</f>
        <v/>
      </c>
      <c r="I467" s="156">
        <f>INDEX($B$398:$B$548,MATCH(LARGE($F$398:$F$548,G467),$F$398:$F$548,0))</f>
        <v/>
      </c>
      <c r="J467" s="156">
        <f>INDEX($C$398:$C$548,MATCH(LARGE($F$398:$F$548,G467),$F$398:$F$548,0))</f>
        <v/>
      </c>
      <c r="K467" s="156">
        <f>INDEX($D$398:$D$548,MATCH(LARGE($F$398:$F$548,G467),$F$398:$F$548,0))</f>
        <v/>
      </c>
      <c r="L467" s="156">
        <f>INDEX($E$398:$E$548,MATCH(LARGE($F$398:$F$548,G467),$F$398:$F$548,0))</f>
        <v/>
      </c>
      <c r="M467" s="187">
        <f>IF(OR(L467="",L467=0),"",K467/L467)</f>
        <v/>
      </c>
    </row>
    <row r="468">
      <c r="A468" s="156" t="inlineStr">
        <is>
          <t>EX-221</t>
        </is>
      </c>
      <c r="B468" s="156" t="inlineStr">
        <is>
          <t>Excavator</t>
        </is>
      </c>
      <c r="C468" s="156" t="inlineStr">
        <is>
          <t>Aux</t>
        </is>
      </c>
      <c r="D468" s="183">
        <f>SUMIFS(DATA_FUEL!$F$2:$F$20001,DATA_FUEL!$A$2:$A$20001,"&gt;="&amp;Kalkulasi!$B$290,DATA_FUEL!$A$2:$A$20001,"&lt;="&amp;Kalkulasi!$B$291,DATA_FUEL!$D$2:$D$20001,Kalkulasi!$B$293,DATA_FUEL!$B$2:$B$20001,$A468,DATA_FUEL!$D$2:$D$20001,$C468)</f>
        <v/>
      </c>
      <c r="E468" s="156">
        <f>SUMIFS(DATA_TS!$G$2:$G$20001,DATA_TS!$A$2:$A$20001,"&gt;="&amp;Kalkulasi!$B$290,DATA_TS!$A$2:$A$20001,"&lt;="&amp;Kalkulasi!$B$291,DATA_TS!$C$2:$C$20001,$A468)</f>
        <v/>
      </c>
      <c r="F468" s="156">
        <f>D468+ROW()/1000000</f>
        <v/>
      </c>
      <c r="G468" s="156" t="n">
        <v>71</v>
      </c>
      <c r="H468" s="156">
        <f>INDEX($A$398:$A$548,MATCH(LARGE($F$398:$F$548,G468),$F$398:$F$548,0))</f>
        <v/>
      </c>
      <c r="I468" s="156">
        <f>INDEX($B$398:$B$548,MATCH(LARGE($F$398:$F$548,G468),$F$398:$F$548,0))</f>
        <v/>
      </c>
      <c r="J468" s="156">
        <f>INDEX($C$398:$C$548,MATCH(LARGE($F$398:$F$548,G468),$F$398:$F$548,0))</f>
        <v/>
      </c>
      <c r="K468" s="156">
        <f>INDEX($D$398:$D$548,MATCH(LARGE($F$398:$F$548,G468),$F$398:$F$548,0))</f>
        <v/>
      </c>
      <c r="L468" s="156">
        <f>INDEX($E$398:$E$548,MATCH(LARGE($F$398:$F$548,G468),$F$398:$F$548,0))</f>
        <v/>
      </c>
      <c r="M468" s="187">
        <f>IF(OR(L468="",L468=0),"",K468/L468)</f>
        <v/>
      </c>
    </row>
    <row r="469">
      <c r="A469" s="156" t="inlineStr">
        <is>
          <t>DZ-037</t>
        </is>
      </c>
      <c r="B469" s="156" t="inlineStr">
        <is>
          <t>Bulldozer</t>
        </is>
      </c>
      <c r="C469" s="156" t="inlineStr">
        <is>
          <t>Mining</t>
        </is>
      </c>
      <c r="D469" s="183">
        <f>SUMIFS(DATA_FUEL!$F$2:$F$20001,DATA_FUEL!$A$2:$A$20001,"&gt;="&amp;Kalkulasi!$B$290,DATA_FUEL!$A$2:$A$20001,"&lt;="&amp;Kalkulasi!$B$291,DATA_FUEL!$D$2:$D$20001,Kalkulasi!$B$293,DATA_FUEL!$B$2:$B$20001,$A469,DATA_FUEL!$D$2:$D$20001,$C469)</f>
        <v/>
      </c>
      <c r="E469" s="156">
        <f>SUMIFS(DATA_TS!$G$2:$G$20001,DATA_TS!$A$2:$A$20001,"&gt;="&amp;Kalkulasi!$B$290,DATA_TS!$A$2:$A$20001,"&lt;="&amp;Kalkulasi!$B$291,DATA_TS!$C$2:$C$20001,$A469)</f>
        <v/>
      </c>
      <c r="F469" s="156">
        <f>D469+ROW()/1000000</f>
        <v/>
      </c>
      <c r="G469" s="156" t="n">
        <v>72</v>
      </c>
      <c r="H469" s="156">
        <f>INDEX($A$398:$A$548,MATCH(LARGE($F$398:$F$548,G469),$F$398:$F$548,0))</f>
        <v/>
      </c>
      <c r="I469" s="156">
        <f>INDEX($B$398:$B$548,MATCH(LARGE($F$398:$F$548,G469),$F$398:$F$548,0))</f>
        <v/>
      </c>
      <c r="J469" s="156">
        <f>INDEX($C$398:$C$548,MATCH(LARGE($F$398:$F$548,G469),$F$398:$F$548,0))</f>
        <v/>
      </c>
      <c r="K469" s="156">
        <f>INDEX($D$398:$D$548,MATCH(LARGE($F$398:$F$548,G469),$F$398:$F$548,0))</f>
        <v/>
      </c>
      <c r="L469" s="156">
        <f>INDEX($E$398:$E$548,MATCH(LARGE($F$398:$F$548,G469),$F$398:$F$548,0))</f>
        <v/>
      </c>
      <c r="M469" s="187">
        <f>IF(OR(L469="",L469=0),"",K469/L469)</f>
        <v/>
      </c>
    </row>
    <row r="470">
      <c r="A470" s="156" t="inlineStr">
        <is>
          <t>WL-023</t>
        </is>
      </c>
      <c r="B470" s="156" t="inlineStr">
        <is>
          <t>Loader</t>
        </is>
      </c>
      <c r="C470" s="156" t="inlineStr">
        <is>
          <t>Aux</t>
        </is>
      </c>
      <c r="D470" s="183">
        <f>SUMIFS(DATA_FUEL!$F$2:$F$20001,DATA_FUEL!$A$2:$A$20001,"&gt;="&amp;Kalkulasi!$B$290,DATA_FUEL!$A$2:$A$20001,"&lt;="&amp;Kalkulasi!$B$291,DATA_FUEL!$D$2:$D$20001,Kalkulasi!$B$293,DATA_FUEL!$B$2:$B$20001,$A470,DATA_FUEL!$D$2:$D$20001,$C470)</f>
        <v/>
      </c>
      <c r="E470" s="156">
        <f>SUMIFS(DATA_TS!$G$2:$G$20001,DATA_TS!$A$2:$A$20001,"&gt;="&amp;Kalkulasi!$B$290,DATA_TS!$A$2:$A$20001,"&lt;="&amp;Kalkulasi!$B$291,DATA_TS!$C$2:$C$20001,$A470)</f>
        <v/>
      </c>
      <c r="F470" s="156">
        <f>D470+ROW()/1000000</f>
        <v/>
      </c>
      <c r="G470" s="156" t="n">
        <v>73</v>
      </c>
      <c r="H470" s="156">
        <f>INDEX($A$398:$A$548,MATCH(LARGE($F$398:$F$548,G470),$F$398:$F$548,0))</f>
        <v/>
      </c>
      <c r="I470" s="156">
        <f>INDEX($B$398:$B$548,MATCH(LARGE($F$398:$F$548,G470),$F$398:$F$548,0))</f>
        <v/>
      </c>
      <c r="J470" s="156">
        <f>INDEX($C$398:$C$548,MATCH(LARGE($F$398:$F$548,G470),$F$398:$F$548,0))</f>
        <v/>
      </c>
      <c r="K470" s="156">
        <f>INDEX($D$398:$D$548,MATCH(LARGE($F$398:$F$548,G470),$F$398:$F$548,0))</f>
        <v/>
      </c>
      <c r="L470" s="156">
        <f>INDEX($E$398:$E$548,MATCH(LARGE($F$398:$F$548,G470),$F$398:$F$548,0))</f>
        <v/>
      </c>
      <c r="M470" s="187">
        <f>IF(OR(L470="",L470=0),"",K470/L470)</f>
        <v/>
      </c>
    </row>
    <row r="471">
      <c r="A471" s="156" t="inlineStr">
        <is>
          <t>DZ-038</t>
        </is>
      </c>
      <c r="B471" s="156" t="inlineStr">
        <is>
          <t>Bulldozer</t>
        </is>
      </c>
      <c r="C471" s="156" t="inlineStr">
        <is>
          <t>Mining</t>
        </is>
      </c>
      <c r="D471" s="183">
        <f>SUMIFS(DATA_FUEL!$F$2:$F$20001,DATA_FUEL!$A$2:$A$20001,"&gt;="&amp;Kalkulasi!$B$290,DATA_FUEL!$A$2:$A$20001,"&lt;="&amp;Kalkulasi!$B$291,DATA_FUEL!$D$2:$D$20001,Kalkulasi!$B$293,DATA_FUEL!$B$2:$B$20001,$A471,DATA_FUEL!$D$2:$D$20001,$C471)</f>
        <v/>
      </c>
      <c r="E471" s="156">
        <f>SUMIFS(DATA_TS!$G$2:$G$20001,DATA_TS!$A$2:$A$20001,"&gt;="&amp;Kalkulasi!$B$290,DATA_TS!$A$2:$A$20001,"&lt;="&amp;Kalkulasi!$B$291,DATA_TS!$C$2:$C$20001,$A471)</f>
        <v/>
      </c>
      <c r="F471" s="156">
        <f>D471+ROW()/1000000</f>
        <v/>
      </c>
      <c r="G471" s="156" t="n">
        <v>74</v>
      </c>
      <c r="H471" s="156">
        <f>INDEX($A$398:$A$548,MATCH(LARGE($F$398:$F$548,G471),$F$398:$F$548,0))</f>
        <v/>
      </c>
      <c r="I471" s="156">
        <f>INDEX($B$398:$B$548,MATCH(LARGE($F$398:$F$548,G471),$F$398:$F$548,0))</f>
        <v/>
      </c>
      <c r="J471" s="156">
        <f>INDEX($C$398:$C$548,MATCH(LARGE($F$398:$F$548,G471),$F$398:$F$548,0))</f>
        <v/>
      </c>
      <c r="K471" s="156">
        <f>INDEX($D$398:$D$548,MATCH(LARGE($F$398:$F$548,G471),$F$398:$F$548,0))</f>
        <v/>
      </c>
      <c r="L471" s="156">
        <f>INDEX($E$398:$E$548,MATCH(LARGE($F$398:$F$548,G471),$F$398:$F$548,0))</f>
        <v/>
      </c>
      <c r="M471" s="187">
        <f>IF(OR(L471="",L471=0),"",K471/L471)</f>
        <v/>
      </c>
    </row>
    <row r="472">
      <c r="A472" s="156" t="inlineStr">
        <is>
          <t>TS-03</t>
        </is>
      </c>
      <c r="B472" s="156" t="inlineStr">
        <is>
          <t>Truk support</t>
        </is>
      </c>
      <c r="C472" s="156" t="inlineStr">
        <is>
          <t>Mining</t>
        </is>
      </c>
      <c r="D472" s="183">
        <f>SUMIFS(DATA_FUEL!$F$2:$F$20001,DATA_FUEL!$A$2:$A$20001,"&gt;="&amp;Kalkulasi!$B$290,DATA_FUEL!$A$2:$A$20001,"&lt;="&amp;Kalkulasi!$B$291,DATA_FUEL!$D$2:$D$20001,Kalkulasi!$B$293,DATA_FUEL!$B$2:$B$20001,$A472,DATA_FUEL!$D$2:$D$20001,$C472)</f>
        <v/>
      </c>
      <c r="E472" s="156">
        <f>""</f>
        <v/>
      </c>
      <c r="F472" s="156">
        <f>D472+ROW()/1000000</f>
        <v/>
      </c>
      <c r="G472" s="156" t="n">
        <v>75</v>
      </c>
      <c r="H472" s="156">
        <f>INDEX($A$398:$A$548,MATCH(LARGE($F$398:$F$548,G472),$F$398:$F$548,0))</f>
        <v/>
      </c>
      <c r="I472" s="156">
        <f>INDEX($B$398:$B$548,MATCH(LARGE($F$398:$F$548,G472),$F$398:$F$548,0))</f>
        <v/>
      </c>
      <c r="J472" s="156">
        <f>INDEX($C$398:$C$548,MATCH(LARGE($F$398:$F$548,G472),$F$398:$F$548,0))</f>
        <v/>
      </c>
      <c r="K472" s="156">
        <f>INDEX($D$398:$D$548,MATCH(LARGE($F$398:$F$548,G472),$F$398:$F$548,0))</f>
        <v/>
      </c>
      <c r="L472" s="156">
        <f>INDEX($E$398:$E$548,MATCH(LARGE($F$398:$F$548,G472),$F$398:$F$548,0))</f>
        <v/>
      </c>
      <c r="M472" s="187">
        <f>IF(OR(L472="",L472=0),"",K472/L472)</f>
        <v/>
      </c>
    </row>
    <row r="473">
      <c r="A473" s="156" t="inlineStr">
        <is>
          <t>DT-519</t>
        </is>
      </c>
      <c r="B473" s="156" t="inlineStr">
        <is>
          <t>Hauler</t>
        </is>
      </c>
      <c r="C473" s="156" t="inlineStr">
        <is>
          <t>Mining</t>
        </is>
      </c>
      <c r="D473" s="183">
        <f>SUMIFS(DATA_FUEL!$F$2:$F$20001,DATA_FUEL!$A$2:$A$20001,"&gt;="&amp;Kalkulasi!$B$290,DATA_FUEL!$A$2:$A$20001,"&lt;="&amp;Kalkulasi!$B$291,DATA_FUEL!$D$2:$D$20001,Kalkulasi!$B$293,DATA_FUEL!$B$2:$B$20001,$A473,DATA_FUEL!$D$2:$D$20001,$C473)</f>
        <v/>
      </c>
      <c r="E473" s="156">
        <f>SUMIFS(DATA_TS!$G$2:$G$20001,DATA_TS!$A$2:$A$20001,"&gt;="&amp;Kalkulasi!$B$290,DATA_TS!$A$2:$A$20001,"&lt;="&amp;Kalkulasi!$B$291,DATA_TS!$C$2:$C$20001,$A473)</f>
        <v/>
      </c>
      <c r="F473" s="156">
        <f>D473+ROW()/1000000</f>
        <v/>
      </c>
      <c r="G473" s="156" t="n">
        <v>76</v>
      </c>
      <c r="H473" s="156">
        <f>INDEX($A$398:$A$548,MATCH(LARGE($F$398:$F$548,G473),$F$398:$F$548,0))</f>
        <v/>
      </c>
      <c r="I473" s="156">
        <f>INDEX($B$398:$B$548,MATCH(LARGE($F$398:$F$548,G473),$F$398:$F$548,0))</f>
        <v/>
      </c>
      <c r="J473" s="156">
        <f>INDEX($C$398:$C$548,MATCH(LARGE($F$398:$F$548,G473),$F$398:$F$548,0))</f>
        <v/>
      </c>
      <c r="K473" s="156">
        <f>INDEX($D$398:$D$548,MATCH(LARGE($F$398:$F$548,G473),$F$398:$F$548,0))</f>
        <v/>
      </c>
      <c r="L473" s="156">
        <f>INDEX($E$398:$E$548,MATCH(LARGE($F$398:$F$548,G473),$F$398:$F$548,0))</f>
        <v/>
      </c>
      <c r="M473" s="187">
        <f>IF(OR(L473="",L473=0),"",K473/L473)</f>
        <v/>
      </c>
    </row>
    <row r="474">
      <c r="A474" s="156" t="inlineStr">
        <is>
          <t>DT-341</t>
        </is>
      </c>
      <c r="B474" s="156" t="inlineStr">
        <is>
          <t>Hauler</t>
        </is>
      </c>
      <c r="C474" s="156" t="inlineStr">
        <is>
          <t>Aux</t>
        </is>
      </c>
      <c r="D474" s="183">
        <f>SUMIFS(DATA_FUEL!$F$2:$F$20001,DATA_FUEL!$A$2:$A$20001,"&gt;="&amp;Kalkulasi!$B$290,DATA_FUEL!$A$2:$A$20001,"&lt;="&amp;Kalkulasi!$B$291,DATA_FUEL!$D$2:$D$20001,Kalkulasi!$B$293,DATA_FUEL!$B$2:$B$20001,$A474,DATA_FUEL!$D$2:$D$20001,$C474)</f>
        <v/>
      </c>
      <c r="E474" s="156">
        <f>SUMIFS(DATA_TS!$G$2:$G$20001,DATA_TS!$A$2:$A$20001,"&gt;="&amp;Kalkulasi!$B$290,DATA_TS!$A$2:$A$20001,"&lt;="&amp;Kalkulasi!$B$291,DATA_TS!$C$2:$C$20001,$A474)</f>
        <v/>
      </c>
      <c r="F474" s="156">
        <f>D474+ROW()/1000000</f>
        <v/>
      </c>
      <c r="G474" s="156" t="n">
        <v>77</v>
      </c>
      <c r="H474" s="156">
        <f>INDEX($A$398:$A$548,MATCH(LARGE($F$398:$F$548,G474),$F$398:$F$548,0))</f>
        <v/>
      </c>
      <c r="I474" s="156">
        <f>INDEX($B$398:$B$548,MATCH(LARGE($F$398:$F$548,G474),$F$398:$F$548,0))</f>
        <v/>
      </c>
      <c r="J474" s="156">
        <f>INDEX($C$398:$C$548,MATCH(LARGE($F$398:$F$548,G474),$F$398:$F$548,0))</f>
        <v/>
      </c>
      <c r="K474" s="156">
        <f>INDEX($D$398:$D$548,MATCH(LARGE($F$398:$F$548,G474),$F$398:$F$548,0))</f>
        <v/>
      </c>
      <c r="L474" s="156">
        <f>INDEX($E$398:$E$548,MATCH(LARGE($F$398:$F$548,G474),$F$398:$F$548,0))</f>
        <v/>
      </c>
      <c r="M474" s="187">
        <f>IF(OR(L474="",L474=0),"",K474/L474)</f>
        <v/>
      </c>
    </row>
    <row r="475">
      <c r="A475" s="156" t="inlineStr">
        <is>
          <t>WP-04</t>
        </is>
      </c>
      <c r="B475" s="156" t="inlineStr">
        <is>
          <t>Pompa air</t>
        </is>
      </c>
      <c r="C475" s="156" t="inlineStr">
        <is>
          <t>Mining</t>
        </is>
      </c>
      <c r="D475" s="183">
        <f>SUMIFS(DATA_FUEL!$F$2:$F$20001,DATA_FUEL!$A$2:$A$20001,"&gt;="&amp;Kalkulasi!$B$290,DATA_FUEL!$A$2:$A$20001,"&lt;="&amp;Kalkulasi!$B$291,DATA_FUEL!$D$2:$D$20001,Kalkulasi!$B$293,DATA_FUEL!$B$2:$B$20001,$A475,DATA_FUEL!$D$2:$D$20001,$C475)</f>
        <v/>
      </c>
      <c r="E475" s="156">
        <f>""</f>
        <v/>
      </c>
      <c r="F475" s="156">
        <f>D475+ROW()/1000000</f>
        <v/>
      </c>
      <c r="G475" s="156" t="n">
        <v>78</v>
      </c>
      <c r="H475" s="156">
        <f>INDEX($A$398:$A$548,MATCH(LARGE($F$398:$F$548,G475),$F$398:$F$548,0))</f>
        <v/>
      </c>
      <c r="I475" s="156">
        <f>INDEX($B$398:$B$548,MATCH(LARGE($F$398:$F$548,G475),$F$398:$F$548,0))</f>
        <v/>
      </c>
      <c r="J475" s="156">
        <f>INDEX($C$398:$C$548,MATCH(LARGE($F$398:$F$548,G475),$F$398:$F$548,0))</f>
        <v/>
      </c>
      <c r="K475" s="156">
        <f>INDEX($D$398:$D$548,MATCH(LARGE($F$398:$F$548,G475),$F$398:$F$548,0))</f>
        <v/>
      </c>
      <c r="L475" s="156">
        <f>INDEX($E$398:$E$548,MATCH(LARGE($F$398:$F$548,G475),$F$398:$F$548,0))</f>
        <v/>
      </c>
      <c r="M475" s="187">
        <f>IF(OR(L475="",L475=0),"",K475/L475)</f>
        <v/>
      </c>
    </row>
    <row r="476">
      <c r="A476" s="156" t="inlineStr">
        <is>
          <t>TS-02</t>
        </is>
      </c>
      <c r="B476" s="156" t="inlineStr">
        <is>
          <t>Truk support</t>
        </is>
      </c>
      <c r="C476" s="156" t="inlineStr">
        <is>
          <t>Mining</t>
        </is>
      </c>
      <c r="D476" s="183">
        <f>SUMIFS(DATA_FUEL!$F$2:$F$20001,DATA_FUEL!$A$2:$A$20001,"&gt;="&amp;Kalkulasi!$B$290,DATA_FUEL!$A$2:$A$20001,"&lt;="&amp;Kalkulasi!$B$291,DATA_FUEL!$D$2:$D$20001,Kalkulasi!$B$293,DATA_FUEL!$B$2:$B$20001,$A476,DATA_FUEL!$D$2:$D$20001,$C476)</f>
        <v/>
      </c>
      <c r="E476" s="156">
        <f>""</f>
        <v/>
      </c>
      <c r="F476" s="156">
        <f>D476+ROW()/1000000</f>
        <v/>
      </c>
      <c r="G476" s="156" t="n">
        <v>79</v>
      </c>
      <c r="H476" s="156">
        <f>INDEX($A$398:$A$548,MATCH(LARGE($F$398:$F$548,G476),$F$398:$F$548,0))</f>
        <v/>
      </c>
      <c r="I476" s="156">
        <f>INDEX($B$398:$B$548,MATCH(LARGE($F$398:$F$548,G476),$F$398:$F$548,0))</f>
        <v/>
      </c>
      <c r="J476" s="156">
        <f>INDEX($C$398:$C$548,MATCH(LARGE($F$398:$F$548,G476),$F$398:$F$548,0))</f>
        <v/>
      </c>
      <c r="K476" s="156">
        <f>INDEX($D$398:$D$548,MATCH(LARGE($F$398:$F$548,G476),$F$398:$F$548,0))</f>
        <v/>
      </c>
      <c r="L476" s="156">
        <f>INDEX($E$398:$E$548,MATCH(LARGE($F$398:$F$548,G476),$F$398:$F$548,0))</f>
        <v/>
      </c>
      <c r="M476" s="187">
        <f>IF(OR(L476="",L476=0),"",K476/L476)</f>
        <v/>
      </c>
    </row>
    <row r="477">
      <c r="A477" s="156" t="inlineStr">
        <is>
          <t>GS-05</t>
        </is>
      </c>
      <c r="B477" s="156" t="inlineStr">
        <is>
          <t>Genset</t>
        </is>
      </c>
      <c r="C477" s="156" t="inlineStr">
        <is>
          <t>Aux</t>
        </is>
      </c>
      <c r="D477" s="183">
        <f>SUMIFS(DATA_FUEL!$F$2:$F$20001,DATA_FUEL!$A$2:$A$20001,"&gt;="&amp;Kalkulasi!$B$290,DATA_FUEL!$A$2:$A$20001,"&lt;="&amp;Kalkulasi!$B$291,DATA_FUEL!$D$2:$D$20001,Kalkulasi!$B$293,DATA_FUEL!$B$2:$B$20001,$A477,DATA_FUEL!$D$2:$D$20001,$C477)</f>
        <v/>
      </c>
      <c r="E477" s="156">
        <f>""</f>
        <v/>
      </c>
      <c r="F477" s="156">
        <f>D477+ROW()/1000000</f>
        <v/>
      </c>
      <c r="G477" s="156" t="n">
        <v>80</v>
      </c>
      <c r="H477" s="156">
        <f>INDEX($A$398:$A$548,MATCH(LARGE($F$398:$F$548,G477),$F$398:$F$548,0))</f>
        <v/>
      </c>
      <c r="I477" s="156">
        <f>INDEX($B$398:$B$548,MATCH(LARGE($F$398:$F$548,G477),$F$398:$F$548,0))</f>
        <v/>
      </c>
      <c r="J477" s="156">
        <f>INDEX($C$398:$C$548,MATCH(LARGE($F$398:$F$548,G477),$F$398:$F$548,0))</f>
        <v/>
      </c>
      <c r="K477" s="156">
        <f>INDEX($D$398:$D$548,MATCH(LARGE($F$398:$F$548,G477),$F$398:$F$548,0))</f>
        <v/>
      </c>
      <c r="L477" s="156">
        <f>INDEX($E$398:$E$548,MATCH(LARGE($F$398:$F$548,G477),$F$398:$F$548,0))</f>
        <v/>
      </c>
      <c r="M477" s="187">
        <f>IF(OR(L477="",L477=0),"",K477/L477)</f>
        <v/>
      </c>
    </row>
    <row r="478">
      <c r="A478" s="156" t="inlineStr">
        <is>
          <t>HT-420</t>
        </is>
      </c>
      <c r="B478" s="156" t="inlineStr">
        <is>
          <t>DT Hauling</t>
        </is>
      </c>
      <c r="C478" s="156" t="inlineStr">
        <is>
          <t>Aux</t>
        </is>
      </c>
      <c r="D478" s="183">
        <f>SUMIFS(DATA_FUEL!$F$2:$F$20001,DATA_FUEL!$A$2:$A$20001,"&gt;="&amp;Kalkulasi!$B$290,DATA_FUEL!$A$2:$A$20001,"&lt;="&amp;Kalkulasi!$B$291,DATA_FUEL!$D$2:$D$20001,Kalkulasi!$B$293,DATA_FUEL!$B$2:$B$20001,$A478,DATA_FUEL!$D$2:$D$20001,$C478)</f>
        <v/>
      </c>
      <c r="E478" s="156">
        <f>SUMIFS(DATA_TS!$G$2:$G$20001,DATA_TS!$A$2:$A$20001,"&gt;="&amp;Kalkulasi!$B$290,DATA_TS!$A$2:$A$20001,"&lt;="&amp;Kalkulasi!$B$291,DATA_TS!$C$2:$C$20001,$A478)</f>
        <v/>
      </c>
      <c r="F478" s="156">
        <f>D478+ROW()/1000000</f>
        <v/>
      </c>
      <c r="G478" s="156" t="n">
        <v>81</v>
      </c>
      <c r="H478" s="156">
        <f>INDEX($A$398:$A$548,MATCH(LARGE($F$398:$F$548,G478),$F$398:$F$548,0))</f>
        <v/>
      </c>
      <c r="I478" s="156">
        <f>INDEX($B$398:$B$548,MATCH(LARGE($F$398:$F$548,G478),$F$398:$F$548,0))</f>
        <v/>
      </c>
      <c r="J478" s="156">
        <f>INDEX($C$398:$C$548,MATCH(LARGE($F$398:$F$548,G478),$F$398:$F$548,0))</f>
        <v/>
      </c>
      <c r="K478" s="156">
        <f>INDEX($D$398:$D$548,MATCH(LARGE($F$398:$F$548,G478),$F$398:$F$548,0))</f>
        <v/>
      </c>
      <c r="L478" s="156">
        <f>INDEX($E$398:$E$548,MATCH(LARGE($F$398:$F$548,G478),$F$398:$F$548,0))</f>
        <v/>
      </c>
      <c r="M478" s="187">
        <f>IF(OR(L478="",L478=0),"",K478/L478)</f>
        <v/>
      </c>
    </row>
    <row r="479">
      <c r="A479" s="156" t="inlineStr">
        <is>
          <t>DT-342</t>
        </is>
      </c>
      <c r="B479" s="156" t="inlineStr">
        <is>
          <t>Hauler</t>
        </is>
      </c>
      <c r="C479" s="156" t="inlineStr">
        <is>
          <t>Aux</t>
        </is>
      </c>
      <c r="D479" s="183">
        <f>SUMIFS(DATA_FUEL!$F$2:$F$20001,DATA_FUEL!$A$2:$A$20001,"&gt;="&amp;Kalkulasi!$B$290,DATA_FUEL!$A$2:$A$20001,"&lt;="&amp;Kalkulasi!$B$291,DATA_FUEL!$D$2:$D$20001,Kalkulasi!$B$293,DATA_FUEL!$B$2:$B$20001,$A479,DATA_FUEL!$D$2:$D$20001,$C479)</f>
        <v/>
      </c>
      <c r="E479" s="156">
        <f>SUMIFS(DATA_TS!$G$2:$G$20001,DATA_TS!$A$2:$A$20001,"&gt;="&amp;Kalkulasi!$B$290,DATA_TS!$A$2:$A$20001,"&lt;="&amp;Kalkulasi!$B$291,DATA_TS!$C$2:$C$20001,$A479)</f>
        <v/>
      </c>
      <c r="F479" s="156">
        <f>D479+ROW()/1000000</f>
        <v/>
      </c>
      <c r="G479" s="156" t="n">
        <v>82</v>
      </c>
      <c r="H479" s="156">
        <f>INDEX($A$398:$A$548,MATCH(LARGE($F$398:$F$548,G479),$F$398:$F$548,0))</f>
        <v/>
      </c>
      <c r="I479" s="156">
        <f>INDEX($B$398:$B$548,MATCH(LARGE($F$398:$F$548,G479),$F$398:$F$548,0))</f>
        <v/>
      </c>
      <c r="J479" s="156">
        <f>INDEX($C$398:$C$548,MATCH(LARGE($F$398:$F$548,G479),$F$398:$F$548,0))</f>
        <v/>
      </c>
      <c r="K479" s="156">
        <f>INDEX($D$398:$D$548,MATCH(LARGE($F$398:$F$548,G479),$F$398:$F$548,0))</f>
        <v/>
      </c>
      <c r="L479" s="156">
        <f>INDEX($E$398:$E$548,MATCH(LARGE($F$398:$F$548,G479),$F$398:$F$548,0))</f>
        <v/>
      </c>
      <c r="M479" s="187">
        <f>IF(OR(L479="",L479=0),"",K479/L479)</f>
        <v/>
      </c>
    </row>
    <row r="480">
      <c r="A480" s="156" t="inlineStr">
        <is>
          <t>DZ-036</t>
        </is>
      </c>
      <c r="B480" s="156" t="inlineStr">
        <is>
          <t>Bulldozer</t>
        </is>
      </c>
      <c r="C480" s="156" t="inlineStr">
        <is>
          <t>Aux</t>
        </is>
      </c>
      <c r="D480" s="183">
        <f>SUMIFS(DATA_FUEL!$F$2:$F$20001,DATA_FUEL!$A$2:$A$20001,"&gt;="&amp;Kalkulasi!$B$290,DATA_FUEL!$A$2:$A$20001,"&lt;="&amp;Kalkulasi!$B$291,DATA_FUEL!$D$2:$D$20001,Kalkulasi!$B$293,DATA_FUEL!$B$2:$B$20001,$A480,DATA_FUEL!$D$2:$D$20001,$C480)</f>
        <v/>
      </c>
      <c r="E480" s="156">
        <f>SUMIFS(DATA_TS!$G$2:$G$20001,DATA_TS!$A$2:$A$20001,"&gt;="&amp;Kalkulasi!$B$290,DATA_TS!$A$2:$A$20001,"&lt;="&amp;Kalkulasi!$B$291,DATA_TS!$C$2:$C$20001,$A480)</f>
        <v/>
      </c>
      <c r="F480" s="156">
        <f>D480+ROW()/1000000</f>
        <v/>
      </c>
      <c r="G480" s="156" t="n">
        <v>83</v>
      </c>
      <c r="H480" s="156">
        <f>INDEX($A$398:$A$548,MATCH(LARGE($F$398:$F$548,G480),$F$398:$F$548,0))</f>
        <v/>
      </c>
      <c r="I480" s="156">
        <f>INDEX($B$398:$B$548,MATCH(LARGE($F$398:$F$548,G480),$F$398:$F$548,0))</f>
        <v/>
      </c>
      <c r="J480" s="156">
        <f>INDEX($C$398:$C$548,MATCH(LARGE($F$398:$F$548,G480),$F$398:$F$548,0))</f>
        <v/>
      </c>
      <c r="K480" s="156">
        <f>INDEX($D$398:$D$548,MATCH(LARGE($F$398:$F$548,G480),$F$398:$F$548,0))</f>
        <v/>
      </c>
      <c r="L480" s="156">
        <f>INDEX($E$398:$E$548,MATCH(LARGE($F$398:$F$548,G480),$F$398:$F$548,0))</f>
        <v/>
      </c>
      <c r="M480" s="187">
        <f>IF(OR(L480="",L480=0),"",K480/L480)</f>
        <v/>
      </c>
    </row>
    <row r="481">
      <c r="A481" s="156" t="inlineStr">
        <is>
          <t>HT-407</t>
        </is>
      </c>
      <c r="B481" s="156" t="inlineStr">
        <is>
          <t>DT Hauling</t>
        </is>
      </c>
      <c r="C481" s="156" t="inlineStr">
        <is>
          <t>Aux</t>
        </is>
      </c>
      <c r="D481" s="183">
        <f>SUMIFS(DATA_FUEL!$F$2:$F$20001,DATA_FUEL!$A$2:$A$20001,"&gt;="&amp;Kalkulasi!$B$290,DATA_FUEL!$A$2:$A$20001,"&lt;="&amp;Kalkulasi!$B$291,DATA_FUEL!$D$2:$D$20001,Kalkulasi!$B$293,DATA_FUEL!$B$2:$B$20001,$A481,DATA_FUEL!$D$2:$D$20001,$C481)</f>
        <v/>
      </c>
      <c r="E481" s="156">
        <f>SUMIFS(DATA_TS!$G$2:$G$20001,DATA_TS!$A$2:$A$20001,"&gt;="&amp;Kalkulasi!$B$290,DATA_TS!$A$2:$A$20001,"&lt;="&amp;Kalkulasi!$B$291,DATA_TS!$C$2:$C$20001,$A481)</f>
        <v/>
      </c>
      <c r="F481" s="156">
        <f>D481+ROW()/1000000</f>
        <v/>
      </c>
      <c r="G481" s="156" t="n">
        <v>84</v>
      </c>
      <c r="H481" s="156">
        <f>INDEX($A$398:$A$548,MATCH(LARGE($F$398:$F$548,G481),$F$398:$F$548,0))</f>
        <v/>
      </c>
      <c r="I481" s="156">
        <f>INDEX($B$398:$B$548,MATCH(LARGE($F$398:$F$548,G481),$F$398:$F$548,0))</f>
        <v/>
      </c>
      <c r="J481" s="156">
        <f>INDEX($C$398:$C$548,MATCH(LARGE($F$398:$F$548,G481),$F$398:$F$548,0))</f>
        <v/>
      </c>
      <c r="K481" s="156">
        <f>INDEX($D$398:$D$548,MATCH(LARGE($F$398:$F$548,G481),$F$398:$F$548,0))</f>
        <v/>
      </c>
      <c r="L481" s="156">
        <f>INDEX($E$398:$E$548,MATCH(LARGE($F$398:$F$548,G481),$F$398:$F$548,0))</f>
        <v/>
      </c>
      <c r="M481" s="187">
        <f>IF(OR(L481="",L481=0),"",K481/L481)</f>
        <v/>
      </c>
    </row>
    <row r="482">
      <c r="A482" s="156" t="inlineStr">
        <is>
          <t>HT-416</t>
        </is>
      </c>
      <c r="B482" s="156" t="inlineStr">
        <is>
          <t>DT Hauling</t>
        </is>
      </c>
      <c r="C482" s="156" t="inlineStr">
        <is>
          <t>Aux</t>
        </is>
      </c>
      <c r="D482" s="183">
        <f>SUMIFS(DATA_FUEL!$F$2:$F$20001,DATA_FUEL!$A$2:$A$20001,"&gt;="&amp;Kalkulasi!$B$290,DATA_FUEL!$A$2:$A$20001,"&lt;="&amp;Kalkulasi!$B$291,DATA_FUEL!$D$2:$D$20001,Kalkulasi!$B$293,DATA_FUEL!$B$2:$B$20001,$A482,DATA_FUEL!$D$2:$D$20001,$C482)</f>
        <v/>
      </c>
      <c r="E482" s="156">
        <f>SUMIFS(DATA_TS!$G$2:$G$20001,DATA_TS!$A$2:$A$20001,"&gt;="&amp;Kalkulasi!$B$290,DATA_TS!$A$2:$A$20001,"&lt;="&amp;Kalkulasi!$B$291,DATA_TS!$C$2:$C$20001,$A482)</f>
        <v/>
      </c>
      <c r="F482" s="156">
        <f>D482+ROW()/1000000</f>
        <v/>
      </c>
      <c r="G482" s="156" t="n">
        <v>85</v>
      </c>
      <c r="H482" s="156">
        <f>INDEX($A$398:$A$548,MATCH(LARGE($F$398:$F$548,G482),$F$398:$F$548,0))</f>
        <v/>
      </c>
      <c r="I482" s="156">
        <f>INDEX($B$398:$B$548,MATCH(LARGE($F$398:$F$548,G482),$F$398:$F$548,0))</f>
        <v/>
      </c>
      <c r="J482" s="156">
        <f>INDEX($C$398:$C$548,MATCH(LARGE($F$398:$F$548,G482),$F$398:$F$548,0))</f>
        <v/>
      </c>
      <c r="K482" s="156">
        <f>INDEX($D$398:$D$548,MATCH(LARGE($F$398:$F$548,G482),$F$398:$F$548,0))</f>
        <v/>
      </c>
      <c r="L482" s="156">
        <f>INDEX($E$398:$E$548,MATCH(LARGE($F$398:$F$548,G482),$F$398:$F$548,0))</f>
        <v/>
      </c>
      <c r="M482" s="187">
        <f>IF(OR(L482="",L482=0),"",K482/L482)</f>
        <v/>
      </c>
    </row>
    <row r="483">
      <c r="A483" s="156" t="inlineStr">
        <is>
          <t>GS-08</t>
        </is>
      </c>
      <c r="B483" s="156" t="inlineStr">
        <is>
          <t>Genset</t>
        </is>
      </c>
      <c r="C483" s="156" t="inlineStr">
        <is>
          <t>Aux</t>
        </is>
      </c>
      <c r="D483" s="183">
        <f>SUMIFS(DATA_FUEL!$F$2:$F$20001,DATA_FUEL!$A$2:$A$20001,"&gt;="&amp;Kalkulasi!$B$290,DATA_FUEL!$A$2:$A$20001,"&lt;="&amp;Kalkulasi!$B$291,DATA_FUEL!$D$2:$D$20001,Kalkulasi!$B$293,DATA_FUEL!$B$2:$B$20001,$A483,DATA_FUEL!$D$2:$D$20001,$C483)</f>
        <v/>
      </c>
      <c r="E483" s="156">
        <f>""</f>
        <v/>
      </c>
      <c r="F483" s="156">
        <f>D483+ROW()/1000000</f>
        <v/>
      </c>
      <c r="G483" s="156" t="n">
        <v>86</v>
      </c>
      <c r="H483" s="156">
        <f>INDEX($A$398:$A$548,MATCH(LARGE($F$398:$F$548,G483),$F$398:$F$548,0))</f>
        <v/>
      </c>
      <c r="I483" s="156">
        <f>INDEX($B$398:$B$548,MATCH(LARGE($F$398:$F$548,G483),$F$398:$F$548,0))</f>
        <v/>
      </c>
      <c r="J483" s="156">
        <f>INDEX($C$398:$C$548,MATCH(LARGE($F$398:$F$548,G483),$F$398:$F$548,0))</f>
        <v/>
      </c>
      <c r="K483" s="156">
        <f>INDEX($D$398:$D$548,MATCH(LARGE($F$398:$F$548,G483),$F$398:$F$548,0))</f>
        <v/>
      </c>
      <c r="L483" s="156">
        <f>INDEX($E$398:$E$548,MATCH(LARGE($F$398:$F$548,G483),$F$398:$F$548,0))</f>
        <v/>
      </c>
      <c r="M483" s="187">
        <f>IF(OR(L483="",L483=0),"",K483/L483)</f>
        <v/>
      </c>
    </row>
    <row r="484">
      <c r="A484" s="156" t="inlineStr">
        <is>
          <t>DT-509</t>
        </is>
      </c>
      <c r="B484" s="156" t="inlineStr">
        <is>
          <t>Hauler</t>
        </is>
      </c>
      <c r="C484" s="156" t="inlineStr">
        <is>
          <t>Mining</t>
        </is>
      </c>
      <c r="D484" s="183">
        <f>SUMIFS(DATA_FUEL!$F$2:$F$20001,DATA_FUEL!$A$2:$A$20001,"&gt;="&amp;Kalkulasi!$B$290,DATA_FUEL!$A$2:$A$20001,"&lt;="&amp;Kalkulasi!$B$291,DATA_FUEL!$D$2:$D$20001,Kalkulasi!$B$293,DATA_FUEL!$B$2:$B$20001,$A484,DATA_FUEL!$D$2:$D$20001,$C484)</f>
        <v/>
      </c>
      <c r="E484" s="156">
        <f>SUMIFS(DATA_TS!$G$2:$G$20001,DATA_TS!$A$2:$A$20001,"&gt;="&amp;Kalkulasi!$B$290,DATA_TS!$A$2:$A$20001,"&lt;="&amp;Kalkulasi!$B$291,DATA_TS!$C$2:$C$20001,$A484)</f>
        <v/>
      </c>
      <c r="F484" s="156">
        <f>D484+ROW()/1000000</f>
        <v/>
      </c>
      <c r="G484" s="156" t="n">
        <v>87</v>
      </c>
      <c r="H484" s="156">
        <f>INDEX($A$398:$A$548,MATCH(LARGE($F$398:$F$548,G484),$F$398:$F$548,0))</f>
        <v/>
      </c>
      <c r="I484" s="156">
        <f>INDEX($B$398:$B$548,MATCH(LARGE($F$398:$F$548,G484),$F$398:$F$548,0))</f>
        <v/>
      </c>
      <c r="J484" s="156">
        <f>INDEX($C$398:$C$548,MATCH(LARGE($F$398:$F$548,G484),$F$398:$F$548,0))</f>
        <v/>
      </c>
      <c r="K484" s="156">
        <f>INDEX($D$398:$D$548,MATCH(LARGE($F$398:$F$548,G484),$F$398:$F$548,0))</f>
        <v/>
      </c>
      <c r="L484" s="156">
        <f>INDEX($E$398:$E$548,MATCH(LARGE($F$398:$F$548,G484),$F$398:$F$548,0))</f>
        <v/>
      </c>
      <c r="M484" s="187">
        <f>IF(OR(L484="",L484=0),"",K484/L484)</f>
        <v/>
      </c>
    </row>
    <row r="485">
      <c r="A485" s="156" t="inlineStr">
        <is>
          <t>HT-412</t>
        </is>
      </c>
      <c r="B485" s="156" t="inlineStr">
        <is>
          <t>DT Hauling</t>
        </is>
      </c>
      <c r="C485" s="156" t="inlineStr">
        <is>
          <t>Aux</t>
        </is>
      </c>
      <c r="D485" s="183">
        <f>SUMIFS(DATA_FUEL!$F$2:$F$20001,DATA_FUEL!$A$2:$A$20001,"&gt;="&amp;Kalkulasi!$B$290,DATA_FUEL!$A$2:$A$20001,"&lt;="&amp;Kalkulasi!$B$291,DATA_FUEL!$D$2:$D$20001,Kalkulasi!$B$293,DATA_FUEL!$B$2:$B$20001,$A485,DATA_FUEL!$D$2:$D$20001,$C485)</f>
        <v/>
      </c>
      <c r="E485" s="156">
        <f>SUMIFS(DATA_TS!$G$2:$G$20001,DATA_TS!$A$2:$A$20001,"&gt;="&amp;Kalkulasi!$B$290,DATA_TS!$A$2:$A$20001,"&lt;="&amp;Kalkulasi!$B$291,DATA_TS!$C$2:$C$20001,$A485)</f>
        <v/>
      </c>
      <c r="F485" s="156">
        <f>D485+ROW()/1000000</f>
        <v/>
      </c>
      <c r="G485" s="156" t="n">
        <v>88</v>
      </c>
      <c r="H485" s="156">
        <f>INDEX($A$398:$A$548,MATCH(LARGE($F$398:$F$548,G485),$F$398:$F$548,0))</f>
        <v/>
      </c>
      <c r="I485" s="156">
        <f>INDEX($B$398:$B$548,MATCH(LARGE($F$398:$F$548,G485),$F$398:$F$548,0))</f>
        <v/>
      </c>
      <c r="J485" s="156">
        <f>INDEX($C$398:$C$548,MATCH(LARGE($F$398:$F$548,G485),$F$398:$F$548,0))</f>
        <v/>
      </c>
      <c r="K485" s="156">
        <f>INDEX($D$398:$D$548,MATCH(LARGE($F$398:$F$548,G485),$F$398:$F$548,0))</f>
        <v/>
      </c>
      <c r="L485" s="156">
        <f>INDEX($E$398:$E$548,MATCH(LARGE($F$398:$F$548,G485),$F$398:$F$548,0))</f>
        <v/>
      </c>
      <c r="M485" s="187">
        <f>IF(OR(L485="",L485=0),"",K485/L485)</f>
        <v/>
      </c>
    </row>
    <row r="486">
      <c r="A486" s="156" t="inlineStr">
        <is>
          <t>HT-411</t>
        </is>
      </c>
      <c r="B486" s="156" t="inlineStr">
        <is>
          <t>DT Hauling</t>
        </is>
      </c>
      <c r="C486" s="156" t="inlineStr">
        <is>
          <t>Aux</t>
        </is>
      </c>
      <c r="D486" s="183">
        <f>SUMIFS(DATA_FUEL!$F$2:$F$20001,DATA_FUEL!$A$2:$A$20001,"&gt;="&amp;Kalkulasi!$B$290,DATA_FUEL!$A$2:$A$20001,"&lt;="&amp;Kalkulasi!$B$291,DATA_FUEL!$D$2:$D$20001,Kalkulasi!$B$293,DATA_FUEL!$B$2:$B$20001,$A486,DATA_FUEL!$D$2:$D$20001,$C486)</f>
        <v/>
      </c>
      <c r="E486" s="156">
        <f>SUMIFS(DATA_TS!$G$2:$G$20001,DATA_TS!$A$2:$A$20001,"&gt;="&amp;Kalkulasi!$B$290,DATA_TS!$A$2:$A$20001,"&lt;="&amp;Kalkulasi!$B$291,DATA_TS!$C$2:$C$20001,$A486)</f>
        <v/>
      </c>
      <c r="F486" s="156">
        <f>D486+ROW()/1000000</f>
        <v/>
      </c>
      <c r="G486" s="156" t="n">
        <v>89</v>
      </c>
      <c r="H486" s="156">
        <f>INDEX($A$398:$A$548,MATCH(LARGE($F$398:$F$548,G486),$F$398:$F$548,0))</f>
        <v/>
      </c>
      <c r="I486" s="156">
        <f>INDEX($B$398:$B$548,MATCH(LARGE($F$398:$F$548,G486),$F$398:$F$548,0))</f>
        <v/>
      </c>
      <c r="J486" s="156">
        <f>INDEX($C$398:$C$548,MATCH(LARGE($F$398:$F$548,G486),$F$398:$F$548,0))</f>
        <v/>
      </c>
      <c r="K486" s="156">
        <f>INDEX($D$398:$D$548,MATCH(LARGE($F$398:$F$548,G486),$F$398:$F$548,0))</f>
        <v/>
      </c>
      <c r="L486" s="156">
        <f>INDEX($E$398:$E$548,MATCH(LARGE($F$398:$F$548,G486),$F$398:$F$548,0))</f>
        <v/>
      </c>
      <c r="M486" s="187">
        <f>IF(OR(L486="",L486=0),"",K486/L486)</f>
        <v/>
      </c>
    </row>
    <row r="487">
      <c r="A487" s="156" t="inlineStr">
        <is>
          <t>WL-025</t>
        </is>
      </c>
      <c r="B487" s="156" t="inlineStr">
        <is>
          <t>Loader</t>
        </is>
      </c>
      <c r="C487" s="156" t="inlineStr">
        <is>
          <t>Aux</t>
        </is>
      </c>
      <c r="D487" s="183">
        <f>SUMIFS(DATA_FUEL!$F$2:$F$20001,DATA_FUEL!$A$2:$A$20001,"&gt;="&amp;Kalkulasi!$B$290,DATA_FUEL!$A$2:$A$20001,"&lt;="&amp;Kalkulasi!$B$291,DATA_FUEL!$D$2:$D$20001,Kalkulasi!$B$293,DATA_FUEL!$B$2:$B$20001,$A487,DATA_FUEL!$D$2:$D$20001,$C487)</f>
        <v/>
      </c>
      <c r="E487" s="156">
        <f>SUMIFS(DATA_TS!$G$2:$G$20001,DATA_TS!$A$2:$A$20001,"&gt;="&amp;Kalkulasi!$B$290,DATA_TS!$A$2:$A$20001,"&lt;="&amp;Kalkulasi!$B$291,DATA_TS!$C$2:$C$20001,$A487)</f>
        <v/>
      </c>
      <c r="F487" s="156">
        <f>D487+ROW()/1000000</f>
        <v/>
      </c>
      <c r="G487" s="156" t="n">
        <v>90</v>
      </c>
      <c r="H487" s="156">
        <f>INDEX($A$398:$A$548,MATCH(LARGE($F$398:$F$548,G487),$F$398:$F$548,0))</f>
        <v/>
      </c>
      <c r="I487" s="156">
        <f>INDEX($B$398:$B$548,MATCH(LARGE($F$398:$F$548,G487),$F$398:$F$548,0))</f>
        <v/>
      </c>
      <c r="J487" s="156">
        <f>INDEX($C$398:$C$548,MATCH(LARGE($F$398:$F$548,G487),$F$398:$F$548,0))</f>
        <v/>
      </c>
      <c r="K487" s="156">
        <f>INDEX($D$398:$D$548,MATCH(LARGE($F$398:$F$548,G487),$F$398:$F$548,0))</f>
        <v/>
      </c>
      <c r="L487" s="156">
        <f>INDEX($E$398:$E$548,MATCH(LARGE($F$398:$F$548,G487),$F$398:$F$548,0))</f>
        <v/>
      </c>
      <c r="M487" s="187">
        <f>IF(OR(L487="",L487=0),"",K487/L487)</f>
        <v/>
      </c>
    </row>
    <row r="488">
      <c r="A488" s="156" t="inlineStr">
        <is>
          <t>HT-402</t>
        </is>
      </c>
      <c r="B488" s="156" t="inlineStr">
        <is>
          <t>DT Hauling</t>
        </is>
      </c>
      <c r="C488" s="156" t="inlineStr">
        <is>
          <t>Aux</t>
        </is>
      </c>
      <c r="D488" s="183">
        <f>SUMIFS(DATA_FUEL!$F$2:$F$20001,DATA_FUEL!$A$2:$A$20001,"&gt;="&amp;Kalkulasi!$B$290,DATA_FUEL!$A$2:$A$20001,"&lt;="&amp;Kalkulasi!$B$291,DATA_FUEL!$D$2:$D$20001,Kalkulasi!$B$293,DATA_FUEL!$B$2:$B$20001,$A488,DATA_FUEL!$D$2:$D$20001,$C488)</f>
        <v/>
      </c>
      <c r="E488" s="156">
        <f>SUMIFS(DATA_TS!$G$2:$G$20001,DATA_TS!$A$2:$A$20001,"&gt;="&amp;Kalkulasi!$B$290,DATA_TS!$A$2:$A$20001,"&lt;="&amp;Kalkulasi!$B$291,DATA_TS!$C$2:$C$20001,$A488)</f>
        <v/>
      </c>
      <c r="F488" s="156">
        <f>D488+ROW()/1000000</f>
        <v/>
      </c>
      <c r="G488" s="156" t="n">
        <v>91</v>
      </c>
      <c r="H488" s="156">
        <f>INDEX($A$398:$A$548,MATCH(LARGE($F$398:$F$548,G488),$F$398:$F$548,0))</f>
        <v/>
      </c>
      <c r="I488" s="156">
        <f>INDEX($B$398:$B$548,MATCH(LARGE($F$398:$F$548,G488),$F$398:$F$548,0))</f>
        <v/>
      </c>
      <c r="J488" s="156">
        <f>INDEX($C$398:$C$548,MATCH(LARGE($F$398:$F$548,G488),$F$398:$F$548,0))</f>
        <v/>
      </c>
      <c r="K488" s="156">
        <f>INDEX($D$398:$D$548,MATCH(LARGE($F$398:$F$548,G488),$F$398:$F$548,0))</f>
        <v/>
      </c>
      <c r="L488" s="156">
        <f>INDEX($E$398:$E$548,MATCH(LARGE($F$398:$F$548,G488),$F$398:$F$548,0))</f>
        <v/>
      </c>
      <c r="M488" s="187">
        <f>IF(OR(L488="",L488=0),"",K488/L488)</f>
        <v/>
      </c>
    </row>
    <row r="489">
      <c r="A489" s="156" t="inlineStr">
        <is>
          <t>DT-811</t>
        </is>
      </c>
      <c r="B489" s="156" t="inlineStr">
        <is>
          <t>Hauler</t>
        </is>
      </c>
      <c r="C489" s="156" t="inlineStr">
        <is>
          <t>Mining</t>
        </is>
      </c>
      <c r="D489" s="183">
        <f>SUMIFS(DATA_FUEL!$F$2:$F$20001,DATA_FUEL!$A$2:$A$20001,"&gt;="&amp;Kalkulasi!$B$290,DATA_FUEL!$A$2:$A$20001,"&lt;="&amp;Kalkulasi!$B$291,DATA_FUEL!$D$2:$D$20001,Kalkulasi!$B$293,DATA_FUEL!$B$2:$B$20001,$A489,DATA_FUEL!$D$2:$D$20001,$C489)</f>
        <v/>
      </c>
      <c r="E489" s="156">
        <f>SUMIFS(DATA_TS!$G$2:$G$20001,DATA_TS!$A$2:$A$20001,"&gt;="&amp;Kalkulasi!$B$290,DATA_TS!$A$2:$A$20001,"&lt;="&amp;Kalkulasi!$B$291,DATA_TS!$C$2:$C$20001,$A489)</f>
        <v/>
      </c>
      <c r="F489" s="156">
        <f>D489+ROW()/1000000</f>
        <v/>
      </c>
      <c r="G489" s="156" t="n">
        <v>92</v>
      </c>
      <c r="H489" s="156">
        <f>INDEX($A$398:$A$548,MATCH(LARGE($F$398:$F$548,G489),$F$398:$F$548,0))</f>
        <v/>
      </c>
      <c r="I489" s="156">
        <f>INDEX($B$398:$B$548,MATCH(LARGE($F$398:$F$548,G489),$F$398:$F$548,0))</f>
        <v/>
      </c>
      <c r="J489" s="156">
        <f>INDEX($C$398:$C$548,MATCH(LARGE($F$398:$F$548,G489),$F$398:$F$548,0))</f>
        <v/>
      </c>
      <c r="K489" s="156">
        <f>INDEX($D$398:$D$548,MATCH(LARGE($F$398:$F$548,G489),$F$398:$F$548,0))</f>
        <v/>
      </c>
      <c r="L489" s="156">
        <f>INDEX($E$398:$E$548,MATCH(LARGE($F$398:$F$548,G489),$F$398:$F$548,0))</f>
        <v/>
      </c>
      <c r="M489" s="187">
        <f>IF(OR(L489="",L489=0),"",K489/L489)</f>
        <v/>
      </c>
    </row>
    <row r="490">
      <c r="A490" s="156" t="inlineStr">
        <is>
          <t>TS-06</t>
        </is>
      </c>
      <c r="B490" s="156" t="inlineStr">
        <is>
          <t>Truk support</t>
        </is>
      </c>
      <c r="C490" s="156" t="inlineStr">
        <is>
          <t>Mining</t>
        </is>
      </c>
      <c r="D490" s="183">
        <f>SUMIFS(DATA_FUEL!$F$2:$F$20001,DATA_FUEL!$A$2:$A$20001,"&gt;="&amp;Kalkulasi!$B$290,DATA_FUEL!$A$2:$A$20001,"&lt;="&amp;Kalkulasi!$B$291,DATA_FUEL!$D$2:$D$20001,Kalkulasi!$B$293,DATA_FUEL!$B$2:$B$20001,$A490,DATA_FUEL!$D$2:$D$20001,$C490)</f>
        <v/>
      </c>
      <c r="E490" s="156">
        <f>""</f>
        <v/>
      </c>
      <c r="F490" s="156">
        <f>D490+ROW()/1000000</f>
        <v/>
      </c>
      <c r="G490" s="156" t="n">
        <v>93</v>
      </c>
      <c r="H490" s="156">
        <f>INDEX($A$398:$A$548,MATCH(LARGE($F$398:$F$548,G490),$F$398:$F$548,0))</f>
        <v/>
      </c>
      <c r="I490" s="156">
        <f>INDEX($B$398:$B$548,MATCH(LARGE($F$398:$F$548,G490),$F$398:$F$548,0))</f>
        <v/>
      </c>
      <c r="J490" s="156">
        <f>INDEX($C$398:$C$548,MATCH(LARGE($F$398:$F$548,G490),$F$398:$F$548,0))</f>
        <v/>
      </c>
      <c r="K490" s="156">
        <f>INDEX($D$398:$D$548,MATCH(LARGE($F$398:$F$548,G490),$F$398:$F$548,0))</f>
        <v/>
      </c>
      <c r="L490" s="156">
        <f>INDEX($E$398:$E$548,MATCH(LARGE($F$398:$F$548,G490),$F$398:$F$548,0))</f>
        <v/>
      </c>
      <c r="M490" s="187">
        <f>IF(OR(L490="",L490=0),"",K490/L490)</f>
        <v/>
      </c>
    </row>
    <row r="491">
      <c r="A491" s="156" t="inlineStr">
        <is>
          <t>TS-01</t>
        </is>
      </c>
      <c r="B491" s="156" t="inlineStr">
        <is>
          <t>Truk support</t>
        </is>
      </c>
      <c r="C491" s="156" t="inlineStr">
        <is>
          <t>Mining</t>
        </is>
      </c>
      <c r="D491" s="183">
        <f>SUMIFS(DATA_FUEL!$F$2:$F$20001,DATA_FUEL!$A$2:$A$20001,"&gt;="&amp;Kalkulasi!$B$290,DATA_FUEL!$A$2:$A$20001,"&lt;="&amp;Kalkulasi!$B$291,DATA_FUEL!$D$2:$D$20001,Kalkulasi!$B$293,DATA_FUEL!$B$2:$B$20001,$A491,DATA_FUEL!$D$2:$D$20001,$C491)</f>
        <v/>
      </c>
      <c r="E491" s="156">
        <f>""</f>
        <v/>
      </c>
      <c r="F491" s="156">
        <f>D491+ROW()/1000000</f>
        <v/>
      </c>
      <c r="G491" s="156" t="n">
        <v>94</v>
      </c>
      <c r="H491" s="156">
        <f>INDEX($A$398:$A$548,MATCH(LARGE($F$398:$F$548,G491),$F$398:$F$548,0))</f>
        <v/>
      </c>
      <c r="I491" s="156">
        <f>INDEX($B$398:$B$548,MATCH(LARGE($F$398:$F$548,G491),$F$398:$F$548,0))</f>
        <v/>
      </c>
      <c r="J491" s="156">
        <f>INDEX($C$398:$C$548,MATCH(LARGE($F$398:$F$548,G491),$F$398:$F$548,0))</f>
        <v/>
      </c>
      <c r="K491" s="156">
        <f>INDEX($D$398:$D$548,MATCH(LARGE($F$398:$F$548,G491),$F$398:$F$548,0))</f>
        <v/>
      </c>
      <c r="L491" s="156">
        <f>INDEX($E$398:$E$548,MATCH(LARGE($F$398:$F$548,G491),$F$398:$F$548,0))</f>
        <v/>
      </c>
      <c r="M491" s="187">
        <f>IF(OR(L491="",L491=0),"",K491/L491)</f>
        <v/>
      </c>
    </row>
    <row r="492">
      <c r="A492" s="156" t="inlineStr">
        <is>
          <t>LV-10</t>
        </is>
      </c>
      <c r="B492" s="156" t="inlineStr">
        <is>
          <t>LV &amp; sarana</t>
        </is>
      </c>
      <c r="C492" s="156" t="inlineStr">
        <is>
          <t>Aux</t>
        </is>
      </c>
      <c r="D492" s="183">
        <f>SUMIFS(DATA_FUEL!$F$2:$F$20001,DATA_FUEL!$A$2:$A$20001,"&gt;="&amp;Kalkulasi!$B$290,DATA_FUEL!$A$2:$A$20001,"&lt;="&amp;Kalkulasi!$B$291,DATA_FUEL!$D$2:$D$20001,Kalkulasi!$B$293,DATA_FUEL!$B$2:$B$20001,$A492,DATA_FUEL!$D$2:$D$20001,$C492)</f>
        <v/>
      </c>
      <c r="E492" s="156">
        <f>""</f>
        <v/>
      </c>
      <c r="F492" s="156">
        <f>D492+ROW()/1000000</f>
        <v/>
      </c>
      <c r="G492" s="156" t="n">
        <v>95</v>
      </c>
      <c r="H492" s="156">
        <f>INDEX($A$398:$A$548,MATCH(LARGE($F$398:$F$548,G492),$F$398:$F$548,0))</f>
        <v/>
      </c>
      <c r="I492" s="156">
        <f>INDEX($B$398:$B$548,MATCH(LARGE($F$398:$F$548,G492),$F$398:$F$548,0))</f>
        <v/>
      </c>
      <c r="J492" s="156">
        <f>INDEX($C$398:$C$548,MATCH(LARGE($F$398:$F$548,G492),$F$398:$F$548,0))</f>
        <v/>
      </c>
      <c r="K492" s="156">
        <f>INDEX($D$398:$D$548,MATCH(LARGE($F$398:$F$548,G492),$F$398:$F$548,0))</f>
        <v/>
      </c>
      <c r="L492" s="156">
        <f>INDEX($E$398:$E$548,MATCH(LARGE($F$398:$F$548,G492),$F$398:$F$548,0))</f>
        <v/>
      </c>
      <c r="M492" s="187">
        <f>IF(OR(L492="",L492=0),"",K492/L492)</f>
        <v/>
      </c>
    </row>
    <row r="493">
      <c r="A493" s="156" t="inlineStr">
        <is>
          <t>HT-414</t>
        </is>
      </c>
      <c r="B493" s="156" t="inlineStr">
        <is>
          <t>DT Hauling</t>
        </is>
      </c>
      <c r="C493" s="156" t="inlineStr">
        <is>
          <t>Aux</t>
        </is>
      </c>
      <c r="D493" s="183">
        <f>SUMIFS(DATA_FUEL!$F$2:$F$20001,DATA_FUEL!$A$2:$A$20001,"&gt;="&amp;Kalkulasi!$B$290,DATA_FUEL!$A$2:$A$20001,"&lt;="&amp;Kalkulasi!$B$291,DATA_FUEL!$D$2:$D$20001,Kalkulasi!$B$293,DATA_FUEL!$B$2:$B$20001,$A493,DATA_FUEL!$D$2:$D$20001,$C493)</f>
        <v/>
      </c>
      <c r="E493" s="156">
        <f>SUMIFS(DATA_TS!$G$2:$G$20001,DATA_TS!$A$2:$A$20001,"&gt;="&amp;Kalkulasi!$B$290,DATA_TS!$A$2:$A$20001,"&lt;="&amp;Kalkulasi!$B$291,DATA_TS!$C$2:$C$20001,$A493)</f>
        <v/>
      </c>
      <c r="F493" s="156">
        <f>D493+ROW()/1000000</f>
        <v/>
      </c>
      <c r="G493" s="156" t="n">
        <v>96</v>
      </c>
      <c r="H493" s="156">
        <f>INDEX($A$398:$A$548,MATCH(LARGE($F$398:$F$548,G493),$F$398:$F$548,0))</f>
        <v/>
      </c>
      <c r="I493" s="156">
        <f>INDEX($B$398:$B$548,MATCH(LARGE($F$398:$F$548,G493),$F$398:$F$548,0))</f>
        <v/>
      </c>
      <c r="J493" s="156">
        <f>INDEX($C$398:$C$548,MATCH(LARGE($F$398:$F$548,G493),$F$398:$F$548,0))</f>
        <v/>
      </c>
      <c r="K493" s="156">
        <f>INDEX($D$398:$D$548,MATCH(LARGE($F$398:$F$548,G493),$F$398:$F$548,0))</f>
        <v/>
      </c>
      <c r="L493" s="156">
        <f>INDEX($E$398:$E$548,MATCH(LARGE($F$398:$F$548,G493),$F$398:$F$548,0))</f>
        <v/>
      </c>
      <c r="M493" s="187">
        <f>IF(OR(L493="",L493=0),"",K493/L493)</f>
        <v/>
      </c>
    </row>
    <row r="494">
      <c r="A494" s="156" t="inlineStr">
        <is>
          <t>HT-403</t>
        </is>
      </c>
      <c r="B494" s="156" t="inlineStr">
        <is>
          <t>DT Hauling</t>
        </is>
      </c>
      <c r="C494" s="156" t="inlineStr">
        <is>
          <t>Aux</t>
        </is>
      </c>
      <c r="D494" s="183">
        <f>SUMIFS(DATA_FUEL!$F$2:$F$20001,DATA_FUEL!$A$2:$A$20001,"&gt;="&amp;Kalkulasi!$B$290,DATA_FUEL!$A$2:$A$20001,"&lt;="&amp;Kalkulasi!$B$291,DATA_FUEL!$D$2:$D$20001,Kalkulasi!$B$293,DATA_FUEL!$B$2:$B$20001,$A494,DATA_FUEL!$D$2:$D$20001,$C494)</f>
        <v/>
      </c>
      <c r="E494" s="156">
        <f>SUMIFS(DATA_TS!$G$2:$G$20001,DATA_TS!$A$2:$A$20001,"&gt;="&amp;Kalkulasi!$B$290,DATA_TS!$A$2:$A$20001,"&lt;="&amp;Kalkulasi!$B$291,DATA_TS!$C$2:$C$20001,$A494)</f>
        <v/>
      </c>
      <c r="F494" s="156">
        <f>D494+ROW()/1000000</f>
        <v/>
      </c>
      <c r="G494" s="156" t="n">
        <v>97</v>
      </c>
      <c r="H494" s="156">
        <f>INDEX($A$398:$A$548,MATCH(LARGE($F$398:$F$548,G494),$F$398:$F$548,0))</f>
        <v/>
      </c>
      <c r="I494" s="156">
        <f>INDEX($B$398:$B$548,MATCH(LARGE($F$398:$F$548,G494),$F$398:$F$548,0))</f>
        <v/>
      </c>
      <c r="J494" s="156">
        <f>INDEX($C$398:$C$548,MATCH(LARGE($F$398:$F$548,G494),$F$398:$F$548,0))</f>
        <v/>
      </c>
      <c r="K494" s="156">
        <f>INDEX($D$398:$D$548,MATCH(LARGE($F$398:$F$548,G494),$F$398:$F$548,0))</f>
        <v/>
      </c>
      <c r="L494" s="156">
        <f>INDEX($E$398:$E$548,MATCH(LARGE($F$398:$F$548,G494),$F$398:$F$548,0))</f>
        <v/>
      </c>
      <c r="M494" s="187">
        <f>IF(OR(L494="",L494=0),"",K494/L494)</f>
        <v/>
      </c>
    </row>
    <row r="495">
      <c r="A495" s="156" t="inlineStr">
        <is>
          <t>LV-03</t>
        </is>
      </c>
      <c r="B495" s="156" t="inlineStr">
        <is>
          <t>LV &amp; sarana</t>
        </is>
      </c>
      <c r="C495" s="156" t="inlineStr">
        <is>
          <t>Aux</t>
        </is>
      </c>
      <c r="D495" s="183">
        <f>SUMIFS(DATA_FUEL!$F$2:$F$20001,DATA_FUEL!$A$2:$A$20001,"&gt;="&amp;Kalkulasi!$B$290,DATA_FUEL!$A$2:$A$20001,"&lt;="&amp;Kalkulasi!$B$291,DATA_FUEL!$D$2:$D$20001,Kalkulasi!$B$293,DATA_FUEL!$B$2:$B$20001,$A495,DATA_FUEL!$D$2:$D$20001,$C495)</f>
        <v/>
      </c>
      <c r="E495" s="156">
        <f>""</f>
        <v/>
      </c>
      <c r="F495" s="156">
        <f>D495+ROW()/1000000</f>
        <v/>
      </c>
      <c r="G495" s="156" t="n">
        <v>98</v>
      </c>
      <c r="H495" s="156">
        <f>INDEX($A$398:$A$548,MATCH(LARGE($F$398:$F$548,G495),$F$398:$F$548,0))</f>
        <v/>
      </c>
      <c r="I495" s="156">
        <f>INDEX($B$398:$B$548,MATCH(LARGE($F$398:$F$548,G495),$F$398:$F$548,0))</f>
        <v/>
      </c>
      <c r="J495" s="156">
        <f>INDEX($C$398:$C$548,MATCH(LARGE($F$398:$F$548,G495),$F$398:$F$548,0))</f>
        <v/>
      </c>
      <c r="K495" s="156">
        <f>INDEX($D$398:$D$548,MATCH(LARGE($F$398:$F$548,G495),$F$398:$F$548,0))</f>
        <v/>
      </c>
      <c r="L495" s="156">
        <f>INDEX($E$398:$E$548,MATCH(LARGE($F$398:$F$548,G495),$F$398:$F$548,0))</f>
        <v/>
      </c>
      <c r="M495" s="187">
        <f>IF(OR(L495="",L495=0),"",K495/L495)</f>
        <v/>
      </c>
    </row>
    <row r="496">
      <c r="A496" s="156" t="inlineStr">
        <is>
          <t>LV-06</t>
        </is>
      </c>
      <c r="B496" s="156" t="inlineStr">
        <is>
          <t>LV &amp; sarana</t>
        </is>
      </c>
      <c r="C496" s="156" t="inlineStr">
        <is>
          <t>Aux</t>
        </is>
      </c>
      <c r="D496" s="183">
        <f>SUMIFS(DATA_FUEL!$F$2:$F$20001,DATA_FUEL!$A$2:$A$20001,"&gt;="&amp;Kalkulasi!$B$290,DATA_FUEL!$A$2:$A$20001,"&lt;="&amp;Kalkulasi!$B$291,DATA_FUEL!$D$2:$D$20001,Kalkulasi!$B$293,DATA_FUEL!$B$2:$B$20001,$A496,DATA_FUEL!$D$2:$D$20001,$C496)</f>
        <v/>
      </c>
      <c r="E496" s="156">
        <f>""</f>
        <v/>
      </c>
      <c r="F496" s="156">
        <f>D496+ROW()/1000000</f>
        <v/>
      </c>
      <c r="G496" s="156" t="n">
        <v>99</v>
      </c>
      <c r="H496" s="156">
        <f>INDEX($A$398:$A$548,MATCH(LARGE($F$398:$F$548,G496),$F$398:$F$548,0))</f>
        <v/>
      </c>
      <c r="I496" s="156">
        <f>INDEX($B$398:$B$548,MATCH(LARGE($F$398:$F$548,G496),$F$398:$F$548,0))</f>
        <v/>
      </c>
      <c r="J496" s="156">
        <f>INDEX($C$398:$C$548,MATCH(LARGE($F$398:$F$548,G496),$F$398:$F$548,0))</f>
        <v/>
      </c>
      <c r="K496" s="156">
        <f>INDEX($D$398:$D$548,MATCH(LARGE($F$398:$F$548,G496),$F$398:$F$548,0))</f>
        <v/>
      </c>
      <c r="L496" s="156">
        <f>INDEX($E$398:$E$548,MATCH(LARGE($F$398:$F$548,G496),$F$398:$F$548,0))</f>
        <v/>
      </c>
      <c r="M496" s="187">
        <f>IF(OR(L496="",L496=0),"",K496/L496)</f>
        <v/>
      </c>
    </row>
    <row r="497">
      <c r="A497" s="156" t="inlineStr">
        <is>
          <t>HT-404</t>
        </is>
      </c>
      <c r="B497" s="156" t="inlineStr">
        <is>
          <t>DT Hauling</t>
        </is>
      </c>
      <c r="C497" s="156" t="inlineStr">
        <is>
          <t>Aux</t>
        </is>
      </c>
      <c r="D497" s="183">
        <f>SUMIFS(DATA_FUEL!$F$2:$F$20001,DATA_FUEL!$A$2:$A$20001,"&gt;="&amp;Kalkulasi!$B$290,DATA_FUEL!$A$2:$A$20001,"&lt;="&amp;Kalkulasi!$B$291,DATA_FUEL!$D$2:$D$20001,Kalkulasi!$B$293,DATA_FUEL!$B$2:$B$20001,$A497,DATA_FUEL!$D$2:$D$20001,$C497)</f>
        <v/>
      </c>
      <c r="E497" s="156">
        <f>SUMIFS(DATA_TS!$G$2:$G$20001,DATA_TS!$A$2:$A$20001,"&gt;="&amp;Kalkulasi!$B$290,DATA_TS!$A$2:$A$20001,"&lt;="&amp;Kalkulasi!$B$291,DATA_TS!$C$2:$C$20001,$A497)</f>
        <v/>
      </c>
      <c r="F497" s="156">
        <f>D497+ROW()/1000000</f>
        <v/>
      </c>
      <c r="G497" s="156" t="n">
        <v>100</v>
      </c>
      <c r="H497" s="156">
        <f>INDEX($A$398:$A$548,MATCH(LARGE($F$398:$F$548,G497),$F$398:$F$548,0))</f>
        <v/>
      </c>
      <c r="I497" s="156">
        <f>INDEX($B$398:$B$548,MATCH(LARGE($F$398:$F$548,G497),$F$398:$F$548,0))</f>
        <v/>
      </c>
      <c r="J497" s="156">
        <f>INDEX($C$398:$C$548,MATCH(LARGE($F$398:$F$548,G497),$F$398:$F$548,0))</f>
        <v/>
      </c>
      <c r="K497" s="156">
        <f>INDEX($D$398:$D$548,MATCH(LARGE($F$398:$F$548,G497),$F$398:$F$548,0))</f>
        <v/>
      </c>
      <c r="L497" s="156">
        <f>INDEX($E$398:$E$548,MATCH(LARGE($F$398:$F$548,G497),$F$398:$F$548,0))</f>
        <v/>
      </c>
      <c r="M497" s="187">
        <f>IF(OR(L497="",L497=0),"",K497/L497)</f>
        <v/>
      </c>
    </row>
    <row r="498">
      <c r="A498" s="156" t="inlineStr">
        <is>
          <t>AL-10</t>
        </is>
      </c>
      <c r="B498" s="156" t="inlineStr">
        <is>
          <t>Alat lain</t>
        </is>
      </c>
      <c r="C498" s="156" t="inlineStr">
        <is>
          <t>Mining</t>
        </is>
      </c>
      <c r="D498" s="183">
        <f>SUMIFS(DATA_FUEL!$F$2:$F$20001,DATA_FUEL!$A$2:$A$20001,"&gt;="&amp;Kalkulasi!$B$290,DATA_FUEL!$A$2:$A$20001,"&lt;="&amp;Kalkulasi!$B$291,DATA_FUEL!$D$2:$D$20001,Kalkulasi!$B$293,DATA_FUEL!$B$2:$B$20001,$A498,DATA_FUEL!$D$2:$D$20001,$C498)</f>
        <v/>
      </c>
      <c r="E498" s="156">
        <f>""</f>
        <v/>
      </c>
      <c r="F498" s="156">
        <f>D498+ROW()/1000000</f>
        <v/>
      </c>
      <c r="G498" s="156" t="n">
        <v>101</v>
      </c>
      <c r="H498" s="156">
        <f>INDEX($A$398:$A$548,MATCH(LARGE($F$398:$F$548,G498),$F$398:$F$548,0))</f>
        <v/>
      </c>
      <c r="I498" s="156">
        <f>INDEX($B$398:$B$548,MATCH(LARGE($F$398:$F$548,G498),$F$398:$F$548,0))</f>
        <v/>
      </c>
      <c r="J498" s="156">
        <f>INDEX($C$398:$C$548,MATCH(LARGE($F$398:$F$548,G498),$F$398:$F$548,0))</f>
        <v/>
      </c>
      <c r="K498" s="156">
        <f>INDEX($D$398:$D$548,MATCH(LARGE($F$398:$F$548,G498),$F$398:$F$548,0))</f>
        <v/>
      </c>
      <c r="L498" s="156">
        <f>INDEX($E$398:$E$548,MATCH(LARGE($F$398:$F$548,G498),$F$398:$F$548,0))</f>
        <v/>
      </c>
      <c r="M498" s="187">
        <f>IF(OR(L498="",L498=0),"",K498/L498)</f>
        <v/>
      </c>
    </row>
    <row r="499">
      <c r="A499" s="156" t="inlineStr">
        <is>
          <t>AL-09</t>
        </is>
      </c>
      <c r="B499" s="156" t="inlineStr">
        <is>
          <t>Alat lain</t>
        </is>
      </c>
      <c r="C499" s="156" t="inlineStr">
        <is>
          <t>Mining</t>
        </is>
      </c>
      <c r="D499" s="183">
        <f>SUMIFS(DATA_FUEL!$F$2:$F$20001,DATA_FUEL!$A$2:$A$20001,"&gt;="&amp;Kalkulasi!$B$290,DATA_FUEL!$A$2:$A$20001,"&lt;="&amp;Kalkulasi!$B$291,DATA_FUEL!$D$2:$D$20001,Kalkulasi!$B$293,DATA_FUEL!$B$2:$B$20001,$A499,DATA_FUEL!$D$2:$D$20001,$C499)</f>
        <v/>
      </c>
      <c r="E499" s="156">
        <f>""</f>
        <v/>
      </c>
      <c r="F499" s="156">
        <f>D499+ROW()/1000000</f>
        <v/>
      </c>
      <c r="G499" s="156" t="n">
        <v>102</v>
      </c>
      <c r="H499" s="156">
        <f>INDEX($A$398:$A$548,MATCH(LARGE($F$398:$F$548,G499),$F$398:$F$548,0))</f>
        <v/>
      </c>
      <c r="I499" s="156">
        <f>INDEX($B$398:$B$548,MATCH(LARGE($F$398:$F$548,G499),$F$398:$F$548,0))</f>
        <v/>
      </c>
      <c r="J499" s="156">
        <f>INDEX($C$398:$C$548,MATCH(LARGE($F$398:$F$548,G499),$F$398:$F$548,0))</f>
        <v/>
      </c>
      <c r="K499" s="156">
        <f>INDEX($D$398:$D$548,MATCH(LARGE($F$398:$F$548,G499),$F$398:$F$548,0))</f>
        <v/>
      </c>
      <c r="L499" s="156">
        <f>INDEX($E$398:$E$548,MATCH(LARGE($F$398:$F$548,G499),$F$398:$F$548,0))</f>
        <v/>
      </c>
      <c r="M499" s="187">
        <f>IF(OR(L499="",L499=0),"",K499/L499)</f>
        <v/>
      </c>
    </row>
    <row r="500">
      <c r="A500" s="156" t="inlineStr">
        <is>
          <t>LV-04</t>
        </is>
      </c>
      <c r="B500" s="156" t="inlineStr">
        <is>
          <t>LV &amp; sarana</t>
        </is>
      </c>
      <c r="C500" s="156" t="inlineStr">
        <is>
          <t>Aux</t>
        </is>
      </c>
      <c r="D500" s="183">
        <f>SUMIFS(DATA_FUEL!$F$2:$F$20001,DATA_FUEL!$A$2:$A$20001,"&gt;="&amp;Kalkulasi!$B$290,DATA_FUEL!$A$2:$A$20001,"&lt;="&amp;Kalkulasi!$B$291,DATA_FUEL!$D$2:$D$20001,Kalkulasi!$B$293,DATA_FUEL!$B$2:$B$20001,$A500,DATA_FUEL!$D$2:$D$20001,$C500)</f>
        <v/>
      </c>
      <c r="E500" s="156">
        <f>""</f>
        <v/>
      </c>
      <c r="F500" s="156">
        <f>D500+ROW()/1000000</f>
        <v/>
      </c>
      <c r="G500" s="156" t="n">
        <v>103</v>
      </c>
      <c r="H500" s="156">
        <f>INDEX($A$398:$A$548,MATCH(LARGE($F$398:$F$548,G500),$F$398:$F$548,0))</f>
        <v/>
      </c>
      <c r="I500" s="156">
        <f>INDEX($B$398:$B$548,MATCH(LARGE($F$398:$F$548,G500),$F$398:$F$548,0))</f>
        <v/>
      </c>
      <c r="J500" s="156">
        <f>INDEX($C$398:$C$548,MATCH(LARGE($F$398:$F$548,G500),$F$398:$F$548,0))</f>
        <v/>
      </c>
      <c r="K500" s="156">
        <f>INDEX($D$398:$D$548,MATCH(LARGE($F$398:$F$548,G500),$F$398:$F$548,0))</f>
        <v/>
      </c>
      <c r="L500" s="156">
        <f>INDEX($E$398:$E$548,MATCH(LARGE($F$398:$F$548,G500),$F$398:$F$548,0))</f>
        <v/>
      </c>
      <c r="M500" s="187">
        <f>IF(OR(L500="",L500=0),"",K500/L500)</f>
        <v/>
      </c>
    </row>
    <row r="501">
      <c r="A501" s="156" t="inlineStr">
        <is>
          <t>HT-409</t>
        </is>
      </c>
      <c r="B501" s="156" t="inlineStr">
        <is>
          <t>DT Hauling</t>
        </is>
      </c>
      <c r="C501" s="156" t="inlineStr">
        <is>
          <t>Aux</t>
        </is>
      </c>
      <c r="D501" s="183">
        <f>SUMIFS(DATA_FUEL!$F$2:$F$20001,DATA_FUEL!$A$2:$A$20001,"&gt;="&amp;Kalkulasi!$B$290,DATA_FUEL!$A$2:$A$20001,"&lt;="&amp;Kalkulasi!$B$291,DATA_FUEL!$D$2:$D$20001,Kalkulasi!$B$293,DATA_FUEL!$B$2:$B$20001,$A501,DATA_FUEL!$D$2:$D$20001,$C501)</f>
        <v/>
      </c>
      <c r="E501" s="156">
        <f>SUMIFS(DATA_TS!$G$2:$G$20001,DATA_TS!$A$2:$A$20001,"&gt;="&amp;Kalkulasi!$B$290,DATA_TS!$A$2:$A$20001,"&lt;="&amp;Kalkulasi!$B$291,DATA_TS!$C$2:$C$20001,$A501)</f>
        <v/>
      </c>
      <c r="F501" s="156">
        <f>D501+ROW()/1000000</f>
        <v/>
      </c>
      <c r="G501" s="156" t="n">
        <v>104</v>
      </c>
      <c r="H501" s="156">
        <f>INDEX($A$398:$A$548,MATCH(LARGE($F$398:$F$548,G501),$F$398:$F$548,0))</f>
        <v/>
      </c>
      <c r="I501" s="156">
        <f>INDEX($B$398:$B$548,MATCH(LARGE($F$398:$F$548,G501),$F$398:$F$548,0))</f>
        <v/>
      </c>
      <c r="J501" s="156">
        <f>INDEX($C$398:$C$548,MATCH(LARGE($F$398:$F$548,G501),$F$398:$F$548,0))</f>
        <v/>
      </c>
      <c r="K501" s="156">
        <f>INDEX($D$398:$D$548,MATCH(LARGE($F$398:$F$548,G501),$F$398:$F$548,0))</f>
        <v/>
      </c>
      <c r="L501" s="156">
        <f>INDEX($E$398:$E$548,MATCH(LARGE($F$398:$F$548,G501),$F$398:$F$548,0))</f>
        <v/>
      </c>
      <c r="M501" s="187">
        <f>IF(OR(L501="",L501=0),"",K501/L501)</f>
        <v/>
      </c>
    </row>
    <row r="502">
      <c r="A502" s="156" t="inlineStr">
        <is>
          <t>GS-07</t>
        </is>
      </c>
      <c r="B502" s="156" t="inlineStr">
        <is>
          <t>Genset</t>
        </is>
      </c>
      <c r="C502" s="156" t="inlineStr">
        <is>
          <t>Aux</t>
        </is>
      </c>
      <c r="D502" s="183">
        <f>SUMIFS(DATA_FUEL!$F$2:$F$20001,DATA_FUEL!$A$2:$A$20001,"&gt;="&amp;Kalkulasi!$B$290,DATA_FUEL!$A$2:$A$20001,"&lt;="&amp;Kalkulasi!$B$291,DATA_FUEL!$D$2:$D$20001,Kalkulasi!$B$293,DATA_FUEL!$B$2:$B$20001,$A502,DATA_FUEL!$D$2:$D$20001,$C502)</f>
        <v/>
      </c>
      <c r="E502" s="156">
        <f>""</f>
        <v/>
      </c>
      <c r="F502" s="156">
        <f>D502+ROW()/1000000</f>
        <v/>
      </c>
      <c r="G502" s="156" t="n">
        <v>105</v>
      </c>
      <c r="H502" s="156">
        <f>INDEX($A$398:$A$548,MATCH(LARGE($F$398:$F$548,G502),$F$398:$F$548,0))</f>
        <v/>
      </c>
      <c r="I502" s="156">
        <f>INDEX($B$398:$B$548,MATCH(LARGE($F$398:$F$548,G502),$F$398:$F$548,0))</f>
        <v/>
      </c>
      <c r="J502" s="156">
        <f>INDEX($C$398:$C$548,MATCH(LARGE($F$398:$F$548,G502),$F$398:$F$548,0))</f>
        <v/>
      </c>
      <c r="K502" s="156">
        <f>INDEX($D$398:$D$548,MATCH(LARGE($F$398:$F$548,G502),$F$398:$F$548,0))</f>
        <v/>
      </c>
      <c r="L502" s="156">
        <f>INDEX($E$398:$E$548,MATCH(LARGE($F$398:$F$548,G502),$F$398:$F$548,0))</f>
        <v/>
      </c>
      <c r="M502" s="187">
        <f>IF(OR(L502="",L502=0),"",K502/L502)</f>
        <v/>
      </c>
    </row>
    <row r="503">
      <c r="A503" s="156" t="inlineStr">
        <is>
          <t>LV-11</t>
        </is>
      </c>
      <c r="B503" s="156" t="inlineStr">
        <is>
          <t>LV &amp; sarana</t>
        </is>
      </c>
      <c r="C503" s="156" t="inlineStr">
        <is>
          <t>Aux</t>
        </is>
      </c>
      <c r="D503" s="183">
        <f>SUMIFS(DATA_FUEL!$F$2:$F$20001,DATA_FUEL!$A$2:$A$20001,"&gt;="&amp;Kalkulasi!$B$290,DATA_FUEL!$A$2:$A$20001,"&lt;="&amp;Kalkulasi!$B$291,DATA_FUEL!$D$2:$D$20001,Kalkulasi!$B$293,DATA_FUEL!$B$2:$B$20001,$A503,DATA_FUEL!$D$2:$D$20001,$C503)</f>
        <v/>
      </c>
      <c r="E503" s="156">
        <f>""</f>
        <v/>
      </c>
      <c r="F503" s="156">
        <f>D503+ROW()/1000000</f>
        <v/>
      </c>
      <c r="G503" s="156" t="n">
        <v>106</v>
      </c>
      <c r="H503" s="156">
        <f>INDEX($A$398:$A$548,MATCH(LARGE($F$398:$F$548,G503),$F$398:$F$548,0))</f>
        <v/>
      </c>
      <c r="I503" s="156">
        <f>INDEX($B$398:$B$548,MATCH(LARGE($F$398:$F$548,G503),$F$398:$F$548,0))</f>
        <v/>
      </c>
      <c r="J503" s="156">
        <f>INDEX($C$398:$C$548,MATCH(LARGE($F$398:$F$548,G503),$F$398:$F$548,0))</f>
        <v/>
      </c>
      <c r="K503" s="156">
        <f>INDEX($D$398:$D$548,MATCH(LARGE($F$398:$F$548,G503),$F$398:$F$548,0))</f>
        <v/>
      </c>
      <c r="L503" s="156">
        <f>INDEX($E$398:$E$548,MATCH(LARGE($F$398:$F$548,G503),$F$398:$F$548,0))</f>
        <v/>
      </c>
      <c r="M503" s="187">
        <f>IF(OR(L503="",L503=0),"",K503/L503)</f>
        <v/>
      </c>
    </row>
    <row r="504">
      <c r="A504" s="156" t="inlineStr">
        <is>
          <t>TS-05</t>
        </is>
      </c>
      <c r="B504" s="156" t="inlineStr">
        <is>
          <t>Truk support</t>
        </is>
      </c>
      <c r="C504" s="156" t="inlineStr">
        <is>
          <t>Aux</t>
        </is>
      </c>
      <c r="D504" s="183">
        <f>SUMIFS(DATA_FUEL!$F$2:$F$20001,DATA_FUEL!$A$2:$A$20001,"&gt;="&amp;Kalkulasi!$B$290,DATA_FUEL!$A$2:$A$20001,"&lt;="&amp;Kalkulasi!$B$291,DATA_FUEL!$D$2:$D$20001,Kalkulasi!$B$293,DATA_FUEL!$B$2:$B$20001,$A504,DATA_FUEL!$D$2:$D$20001,$C504)</f>
        <v/>
      </c>
      <c r="E504" s="156">
        <f>""</f>
        <v/>
      </c>
      <c r="F504" s="156">
        <f>D504+ROW()/1000000</f>
        <v/>
      </c>
      <c r="G504" s="156" t="n">
        <v>107</v>
      </c>
      <c r="H504" s="156">
        <f>INDEX($A$398:$A$548,MATCH(LARGE($F$398:$F$548,G504),$F$398:$F$548,0))</f>
        <v/>
      </c>
      <c r="I504" s="156">
        <f>INDEX($B$398:$B$548,MATCH(LARGE($F$398:$F$548,G504),$F$398:$F$548,0))</f>
        <v/>
      </c>
      <c r="J504" s="156">
        <f>INDEX($C$398:$C$548,MATCH(LARGE($F$398:$F$548,G504),$F$398:$F$548,0))</f>
        <v/>
      </c>
      <c r="K504" s="156">
        <f>INDEX($D$398:$D$548,MATCH(LARGE($F$398:$F$548,G504),$F$398:$F$548,0))</f>
        <v/>
      </c>
      <c r="L504" s="156">
        <f>INDEX($E$398:$E$548,MATCH(LARGE($F$398:$F$548,G504),$F$398:$F$548,0))</f>
        <v/>
      </c>
      <c r="M504" s="187">
        <f>IF(OR(L504="",L504=0),"",K504/L504)</f>
        <v/>
      </c>
    </row>
    <row r="505">
      <c r="A505" s="156" t="inlineStr">
        <is>
          <t>AL-08</t>
        </is>
      </c>
      <c r="B505" s="156" t="inlineStr">
        <is>
          <t>Alat lain</t>
        </is>
      </c>
      <c r="C505" s="156" t="inlineStr">
        <is>
          <t>Aux</t>
        </is>
      </c>
      <c r="D505" s="183">
        <f>SUMIFS(DATA_FUEL!$F$2:$F$20001,DATA_FUEL!$A$2:$A$20001,"&gt;="&amp;Kalkulasi!$B$290,DATA_FUEL!$A$2:$A$20001,"&lt;="&amp;Kalkulasi!$B$291,DATA_FUEL!$D$2:$D$20001,Kalkulasi!$B$293,DATA_FUEL!$B$2:$B$20001,$A505,DATA_FUEL!$D$2:$D$20001,$C505)</f>
        <v/>
      </c>
      <c r="E505" s="156">
        <f>""</f>
        <v/>
      </c>
      <c r="F505" s="156">
        <f>D505+ROW()/1000000</f>
        <v/>
      </c>
      <c r="G505" s="156" t="n">
        <v>108</v>
      </c>
      <c r="H505" s="156">
        <f>INDEX($A$398:$A$548,MATCH(LARGE($F$398:$F$548,G505),$F$398:$F$548,0))</f>
        <v/>
      </c>
      <c r="I505" s="156">
        <f>INDEX($B$398:$B$548,MATCH(LARGE($F$398:$F$548,G505),$F$398:$F$548,0))</f>
        <v/>
      </c>
      <c r="J505" s="156">
        <f>INDEX($C$398:$C$548,MATCH(LARGE($F$398:$F$548,G505),$F$398:$F$548,0))</f>
        <v/>
      </c>
      <c r="K505" s="156">
        <f>INDEX($D$398:$D$548,MATCH(LARGE($F$398:$F$548,G505),$F$398:$F$548,0))</f>
        <v/>
      </c>
      <c r="L505" s="156">
        <f>INDEX($E$398:$E$548,MATCH(LARGE($F$398:$F$548,G505),$F$398:$F$548,0))</f>
        <v/>
      </c>
      <c r="M505" s="187">
        <f>IF(OR(L505="",L505=0),"",K505/L505)</f>
        <v/>
      </c>
    </row>
    <row r="506">
      <c r="A506" s="156" t="inlineStr">
        <is>
          <t>TS-04</t>
        </is>
      </c>
      <c r="B506" s="156" t="inlineStr">
        <is>
          <t>Truk support</t>
        </is>
      </c>
      <c r="C506" s="156" t="inlineStr">
        <is>
          <t>Aux</t>
        </is>
      </c>
      <c r="D506" s="183">
        <f>SUMIFS(DATA_FUEL!$F$2:$F$20001,DATA_FUEL!$A$2:$A$20001,"&gt;="&amp;Kalkulasi!$B$290,DATA_FUEL!$A$2:$A$20001,"&lt;="&amp;Kalkulasi!$B$291,DATA_FUEL!$D$2:$D$20001,Kalkulasi!$B$293,DATA_FUEL!$B$2:$B$20001,$A506,DATA_FUEL!$D$2:$D$20001,$C506)</f>
        <v/>
      </c>
      <c r="E506" s="156">
        <f>""</f>
        <v/>
      </c>
      <c r="F506" s="156">
        <f>D506+ROW()/1000000</f>
        <v/>
      </c>
      <c r="G506" s="156" t="n">
        <v>109</v>
      </c>
      <c r="H506" s="156">
        <f>INDEX($A$398:$A$548,MATCH(LARGE($F$398:$F$548,G506),$F$398:$F$548,0))</f>
        <v/>
      </c>
      <c r="I506" s="156">
        <f>INDEX($B$398:$B$548,MATCH(LARGE($F$398:$F$548,G506),$F$398:$F$548,0))</f>
        <v/>
      </c>
      <c r="J506" s="156">
        <f>INDEX($C$398:$C$548,MATCH(LARGE($F$398:$F$548,G506),$F$398:$F$548,0))</f>
        <v/>
      </c>
      <c r="K506" s="156">
        <f>INDEX($D$398:$D$548,MATCH(LARGE($F$398:$F$548,G506),$F$398:$F$548,0))</f>
        <v/>
      </c>
      <c r="L506" s="156">
        <f>INDEX($E$398:$E$548,MATCH(LARGE($F$398:$F$548,G506),$F$398:$F$548,0))</f>
        <v/>
      </c>
      <c r="M506" s="187">
        <f>IF(OR(L506="",L506=0),"",K506/L506)</f>
        <v/>
      </c>
    </row>
    <row r="507">
      <c r="A507" s="156" t="inlineStr">
        <is>
          <t>EX-752</t>
        </is>
      </c>
      <c r="B507" s="156" t="inlineStr">
        <is>
          <t>Excavator</t>
        </is>
      </c>
      <c r="C507" s="156" t="inlineStr">
        <is>
          <t>Mining</t>
        </is>
      </c>
      <c r="D507" s="183">
        <f>SUMIFS(DATA_FUEL!$F$2:$F$20001,DATA_FUEL!$A$2:$A$20001,"&gt;="&amp;Kalkulasi!$B$290,DATA_FUEL!$A$2:$A$20001,"&lt;="&amp;Kalkulasi!$B$291,DATA_FUEL!$D$2:$D$20001,Kalkulasi!$B$293,DATA_FUEL!$B$2:$B$20001,$A507,DATA_FUEL!$D$2:$D$20001,$C507)</f>
        <v/>
      </c>
      <c r="E507" s="156">
        <f>SUMIFS(DATA_TS!$G$2:$G$20001,DATA_TS!$A$2:$A$20001,"&gt;="&amp;Kalkulasi!$B$290,DATA_TS!$A$2:$A$20001,"&lt;="&amp;Kalkulasi!$B$291,DATA_TS!$C$2:$C$20001,$A507)</f>
        <v/>
      </c>
      <c r="F507" s="156">
        <f>D507+ROW()/1000000</f>
        <v/>
      </c>
      <c r="G507" s="156" t="n">
        <v>110</v>
      </c>
      <c r="H507" s="156">
        <f>INDEX($A$398:$A$548,MATCH(LARGE($F$398:$F$548,G507),$F$398:$F$548,0))</f>
        <v/>
      </c>
      <c r="I507" s="156">
        <f>INDEX($B$398:$B$548,MATCH(LARGE($F$398:$F$548,G507),$F$398:$F$548,0))</f>
        <v/>
      </c>
      <c r="J507" s="156">
        <f>INDEX($C$398:$C$548,MATCH(LARGE($F$398:$F$548,G507),$F$398:$F$548,0))</f>
        <v/>
      </c>
      <c r="K507" s="156">
        <f>INDEX($D$398:$D$548,MATCH(LARGE($F$398:$F$548,G507),$F$398:$F$548,0))</f>
        <v/>
      </c>
      <c r="L507" s="156">
        <f>INDEX($E$398:$E$548,MATCH(LARGE($F$398:$F$548,G507),$F$398:$F$548,0))</f>
        <v/>
      </c>
      <c r="M507" s="187">
        <f>IF(OR(L507="",L507=0),"",K507/L507)</f>
        <v/>
      </c>
    </row>
    <row r="508">
      <c r="A508" s="156" t="inlineStr">
        <is>
          <t>HT-405</t>
        </is>
      </c>
      <c r="B508" s="156" t="inlineStr">
        <is>
          <t>DT Hauling</t>
        </is>
      </c>
      <c r="C508" s="156" t="inlineStr">
        <is>
          <t>Aux</t>
        </is>
      </c>
      <c r="D508" s="183">
        <f>SUMIFS(DATA_FUEL!$F$2:$F$20001,DATA_FUEL!$A$2:$A$20001,"&gt;="&amp;Kalkulasi!$B$290,DATA_FUEL!$A$2:$A$20001,"&lt;="&amp;Kalkulasi!$B$291,DATA_FUEL!$D$2:$D$20001,Kalkulasi!$B$293,DATA_FUEL!$B$2:$B$20001,$A508,DATA_FUEL!$D$2:$D$20001,$C508)</f>
        <v/>
      </c>
      <c r="E508" s="156">
        <f>SUMIFS(DATA_TS!$G$2:$G$20001,DATA_TS!$A$2:$A$20001,"&gt;="&amp;Kalkulasi!$B$290,DATA_TS!$A$2:$A$20001,"&lt;="&amp;Kalkulasi!$B$291,DATA_TS!$C$2:$C$20001,$A508)</f>
        <v/>
      </c>
      <c r="F508" s="156">
        <f>D508+ROW()/1000000</f>
        <v/>
      </c>
      <c r="G508" s="156" t="n">
        <v>111</v>
      </c>
      <c r="H508" s="156">
        <f>INDEX($A$398:$A$548,MATCH(LARGE($F$398:$F$548,G508),$F$398:$F$548,0))</f>
        <v/>
      </c>
      <c r="I508" s="156">
        <f>INDEX($B$398:$B$548,MATCH(LARGE($F$398:$F$548,G508),$F$398:$F$548,0))</f>
        <v/>
      </c>
      <c r="J508" s="156">
        <f>INDEX($C$398:$C$548,MATCH(LARGE($F$398:$F$548,G508),$F$398:$F$548,0))</f>
        <v/>
      </c>
      <c r="K508" s="156">
        <f>INDEX($D$398:$D$548,MATCH(LARGE($F$398:$F$548,G508),$F$398:$F$548,0))</f>
        <v/>
      </c>
      <c r="L508" s="156">
        <f>INDEX($E$398:$E$548,MATCH(LARGE($F$398:$F$548,G508),$F$398:$F$548,0))</f>
        <v/>
      </c>
      <c r="M508" s="187">
        <f>IF(OR(L508="",L508=0),"",K508/L508)</f>
        <v/>
      </c>
    </row>
    <row r="509">
      <c r="A509" s="156" t="inlineStr">
        <is>
          <t>HT-418</t>
        </is>
      </c>
      <c r="B509" s="156" t="inlineStr">
        <is>
          <t>DT Hauling</t>
        </is>
      </c>
      <c r="C509" s="156" t="inlineStr">
        <is>
          <t>Aux</t>
        </is>
      </c>
      <c r="D509" s="183">
        <f>SUMIFS(DATA_FUEL!$F$2:$F$20001,DATA_FUEL!$A$2:$A$20001,"&gt;="&amp;Kalkulasi!$B$290,DATA_FUEL!$A$2:$A$20001,"&lt;="&amp;Kalkulasi!$B$291,DATA_FUEL!$D$2:$D$20001,Kalkulasi!$B$293,DATA_FUEL!$B$2:$B$20001,$A509,DATA_FUEL!$D$2:$D$20001,$C509)</f>
        <v/>
      </c>
      <c r="E509" s="156">
        <f>SUMIFS(DATA_TS!$G$2:$G$20001,DATA_TS!$A$2:$A$20001,"&gt;="&amp;Kalkulasi!$B$290,DATA_TS!$A$2:$A$20001,"&lt;="&amp;Kalkulasi!$B$291,DATA_TS!$C$2:$C$20001,$A509)</f>
        <v/>
      </c>
      <c r="F509" s="156">
        <f>D509+ROW()/1000000</f>
        <v/>
      </c>
      <c r="G509" s="156" t="n">
        <v>112</v>
      </c>
      <c r="H509" s="156">
        <f>INDEX($A$398:$A$548,MATCH(LARGE($F$398:$F$548,G509),$F$398:$F$548,0))</f>
        <v/>
      </c>
      <c r="I509" s="156">
        <f>INDEX($B$398:$B$548,MATCH(LARGE($F$398:$F$548,G509),$F$398:$F$548,0))</f>
        <v/>
      </c>
      <c r="J509" s="156">
        <f>INDEX($C$398:$C$548,MATCH(LARGE($F$398:$F$548,G509),$F$398:$F$548,0))</f>
        <v/>
      </c>
      <c r="K509" s="156">
        <f>INDEX($D$398:$D$548,MATCH(LARGE($F$398:$F$548,G509),$F$398:$F$548,0))</f>
        <v/>
      </c>
      <c r="L509" s="156">
        <f>INDEX($E$398:$E$548,MATCH(LARGE($F$398:$F$548,G509),$F$398:$F$548,0))</f>
        <v/>
      </c>
      <c r="M509" s="187">
        <f>IF(OR(L509="",L509=0),"",K509/L509)</f>
        <v/>
      </c>
    </row>
    <row r="510">
      <c r="A510" s="156" t="inlineStr">
        <is>
          <t>LV-07</t>
        </is>
      </c>
      <c r="B510" s="156" t="inlineStr">
        <is>
          <t>LV &amp; sarana</t>
        </is>
      </c>
      <c r="C510" s="156" t="inlineStr">
        <is>
          <t>Aux</t>
        </is>
      </c>
      <c r="D510" s="183">
        <f>SUMIFS(DATA_FUEL!$F$2:$F$20001,DATA_FUEL!$A$2:$A$20001,"&gt;="&amp;Kalkulasi!$B$290,DATA_FUEL!$A$2:$A$20001,"&lt;="&amp;Kalkulasi!$B$291,DATA_FUEL!$D$2:$D$20001,Kalkulasi!$B$293,DATA_FUEL!$B$2:$B$20001,$A510,DATA_FUEL!$D$2:$D$20001,$C510)</f>
        <v/>
      </c>
      <c r="E510" s="156">
        <f>""</f>
        <v/>
      </c>
      <c r="F510" s="156">
        <f>D510+ROW()/1000000</f>
        <v/>
      </c>
      <c r="G510" s="156" t="n">
        <v>113</v>
      </c>
      <c r="H510" s="156">
        <f>INDEX($A$398:$A$548,MATCH(LARGE($F$398:$F$548,G510),$F$398:$F$548,0))</f>
        <v/>
      </c>
      <c r="I510" s="156">
        <f>INDEX($B$398:$B$548,MATCH(LARGE($F$398:$F$548,G510),$F$398:$F$548,0))</f>
        <v/>
      </c>
      <c r="J510" s="156">
        <f>INDEX($C$398:$C$548,MATCH(LARGE($F$398:$F$548,G510),$F$398:$F$548,0))</f>
        <v/>
      </c>
      <c r="K510" s="156">
        <f>INDEX($D$398:$D$548,MATCH(LARGE($F$398:$F$548,G510),$F$398:$F$548,0))</f>
        <v/>
      </c>
      <c r="L510" s="156">
        <f>INDEX($E$398:$E$548,MATCH(LARGE($F$398:$F$548,G510),$F$398:$F$548,0))</f>
        <v/>
      </c>
      <c r="M510" s="187">
        <f>IF(OR(L510="",L510=0),"",K510/L510)</f>
        <v/>
      </c>
    </row>
    <row r="511">
      <c r="A511" s="156" t="inlineStr">
        <is>
          <t>DT-807</t>
        </is>
      </c>
      <c r="B511" s="156" t="inlineStr">
        <is>
          <t>Hauler</t>
        </is>
      </c>
      <c r="C511" s="156" t="inlineStr">
        <is>
          <t>Mining</t>
        </is>
      </c>
      <c r="D511" s="183">
        <f>SUMIFS(DATA_FUEL!$F$2:$F$20001,DATA_FUEL!$A$2:$A$20001,"&gt;="&amp;Kalkulasi!$B$290,DATA_FUEL!$A$2:$A$20001,"&lt;="&amp;Kalkulasi!$B$291,DATA_FUEL!$D$2:$D$20001,Kalkulasi!$B$293,DATA_FUEL!$B$2:$B$20001,$A511,DATA_FUEL!$D$2:$D$20001,$C511)</f>
        <v/>
      </c>
      <c r="E511" s="156">
        <f>SUMIFS(DATA_TS!$G$2:$G$20001,DATA_TS!$A$2:$A$20001,"&gt;="&amp;Kalkulasi!$B$290,DATA_TS!$A$2:$A$20001,"&lt;="&amp;Kalkulasi!$B$291,DATA_TS!$C$2:$C$20001,$A511)</f>
        <v/>
      </c>
      <c r="F511" s="156">
        <f>D511+ROW()/1000000</f>
        <v/>
      </c>
      <c r="G511" s="156" t="n">
        <v>114</v>
      </c>
      <c r="H511" s="156">
        <f>INDEX($A$398:$A$548,MATCH(LARGE($F$398:$F$548,G511),$F$398:$F$548,0))</f>
        <v/>
      </c>
      <c r="I511" s="156">
        <f>INDEX($B$398:$B$548,MATCH(LARGE($F$398:$F$548,G511),$F$398:$F$548,0))</f>
        <v/>
      </c>
      <c r="J511" s="156">
        <f>INDEX($C$398:$C$548,MATCH(LARGE($F$398:$F$548,G511),$F$398:$F$548,0))</f>
        <v/>
      </c>
      <c r="K511" s="156">
        <f>INDEX($D$398:$D$548,MATCH(LARGE($F$398:$F$548,G511),$F$398:$F$548,0))</f>
        <v/>
      </c>
      <c r="L511" s="156">
        <f>INDEX($E$398:$E$548,MATCH(LARGE($F$398:$F$548,G511),$F$398:$F$548,0))</f>
        <v/>
      </c>
      <c r="M511" s="187">
        <f>IF(OR(L511="",L511=0),"",K511/L511)</f>
        <v/>
      </c>
    </row>
    <row r="512">
      <c r="A512" s="156" t="inlineStr">
        <is>
          <t>GS-06</t>
        </is>
      </c>
      <c r="B512" s="156" t="inlineStr">
        <is>
          <t>Genset</t>
        </is>
      </c>
      <c r="C512" s="156" t="inlineStr">
        <is>
          <t>Aux</t>
        </is>
      </c>
      <c r="D512" s="183">
        <f>SUMIFS(DATA_FUEL!$F$2:$F$20001,DATA_FUEL!$A$2:$A$20001,"&gt;="&amp;Kalkulasi!$B$290,DATA_FUEL!$A$2:$A$20001,"&lt;="&amp;Kalkulasi!$B$291,DATA_FUEL!$D$2:$D$20001,Kalkulasi!$B$293,DATA_FUEL!$B$2:$B$20001,$A512,DATA_FUEL!$D$2:$D$20001,$C512)</f>
        <v/>
      </c>
      <c r="E512" s="156">
        <f>""</f>
        <v/>
      </c>
      <c r="F512" s="156">
        <f>D512+ROW()/1000000</f>
        <v/>
      </c>
      <c r="G512" s="156" t="n">
        <v>115</v>
      </c>
      <c r="H512" s="156">
        <f>INDEX($A$398:$A$548,MATCH(LARGE($F$398:$F$548,G512),$F$398:$F$548,0))</f>
        <v/>
      </c>
      <c r="I512" s="156">
        <f>INDEX($B$398:$B$548,MATCH(LARGE($F$398:$F$548,G512),$F$398:$F$548,0))</f>
        <v/>
      </c>
      <c r="J512" s="156">
        <f>INDEX($C$398:$C$548,MATCH(LARGE($F$398:$F$548,G512),$F$398:$F$548,0))</f>
        <v/>
      </c>
      <c r="K512" s="156">
        <f>INDEX($D$398:$D$548,MATCH(LARGE($F$398:$F$548,G512),$F$398:$F$548,0))</f>
        <v/>
      </c>
      <c r="L512" s="156">
        <f>INDEX($E$398:$E$548,MATCH(LARGE($F$398:$F$548,G512),$F$398:$F$548,0))</f>
        <v/>
      </c>
      <c r="M512" s="187">
        <f>IF(OR(L512="",L512=0),"",K512/L512)</f>
        <v/>
      </c>
    </row>
    <row r="513">
      <c r="A513" s="156" t="inlineStr">
        <is>
          <t>HT-408</t>
        </is>
      </c>
      <c r="B513" s="156" t="inlineStr">
        <is>
          <t>DT Hauling</t>
        </is>
      </c>
      <c r="C513" s="156" t="inlineStr">
        <is>
          <t>Aux</t>
        </is>
      </c>
      <c r="D513" s="183">
        <f>SUMIFS(DATA_FUEL!$F$2:$F$20001,DATA_FUEL!$A$2:$A$20001,"&gt;="&amp;Kalkulasi!$B$290,DATA_FUEL!$A$2:$A$20001,"&lt;="&amp;Kalkulasi!$B$291,DATA_FUEL!$D$2:$D$20001,Kalkulasi!$B$293,DATA_FUEL!$B$2:$B$20001,$A513,DATA_FUEL!$D$2:$D$20001,$C513)</f>
        <v/>
      </c>
      <c r="E513" s="156">
        <f>SUMIFS(DATA_TS!$G$2:$G$20001,DATA_TS!$A$2:$A$20001,"&gt;="&amp;Kalkulasi!$B$290,DATA_TS!$A$2:$A$20001,"&lt;="&amp;Kalkulasi!$B$291,DATA_TS!$C$2:$C$20001,$A513)</f>
        <v/>
      </c>
      <c r="F513" s="156">
        <f>D513+ROW()/1000000</f>
        <v/>
      </c>
      <c r="G513" s="156" t="n">
        <v>116</v>
      </c>
      <c r="H513" s="156">
        <f>INDEX($A$398:$A$548,MATCH(LARGE($F$398:$F$548,G513),$F$398:$F$548,0))</f>
        <v/>
      </c>
      <c r="I513" s="156">
        <f>INDEX($B$398:$B$548,MATCH(LARGE($F$398:$F$548,G513),$F$398:$F$548,0))</f>
        <v/>
      </c>
      <c r="J513" s="156">
        <f>INDEX($C$398:$C$548,MATCH(LARGE($F$398:$F$548,G513),$F$398:$F$548,0))</f>
        <v/>
      </c>
      <c r="K513" s="156">
        <f>INDEX($D$398:$D$548,MATCH(LARGE($F$398:$F$548,G513),$F$398:$F$548,0))</f>
        <v/>
      </c>
      <c r="L513" s="156">
        <f>INDEX($E$398:$E$548,MATCH(LARGE($F$398:$F$548,G513),$F$398:$F$548,0))</f>
        <v/>
      </c>
      <c r="M513" s="187">
        <f>IF(OR(L513="",L513=0),"",K513/L513)</f>
        <v/>
      </c>
    </row>
    <row r="514">
      <c r="A514" s="156" t="inlineStr">
        <is>
          <t>LV-09</t>
        </is>
      </c>
      <c r="B514" s="156" t="inlineStr">
        <is>
          <t>LV &amp; sarana</t>
        </is>
      </c>
      <c r="C514" s="156" t="inlineStr">
        <is>
          <t>Aux</t>
        </is>
      </c>
      <c r="D514" s="183">
        <f>SUMIFS(DATA_FUEL!$F$2:$F$20001,DATA_FUEL!$A$2:$A$20001,"&gt;="&amp;Kalkulasi!$B$290,DATA_FUEL!$A$2:$A$20001,"&lt;="&amp;Kalkulasi!$B$291,DATA_FUEL!$D$2:$D$20001,Kalkulasi!$B$293,DATA_FUEL!$B$2:$B$20001,$A514,DATA_FUEL!$D$2:$D$20001,$C514)</f>
        <v/>
      </c>
      <c r="E514" s="156">
        <f>""</f>
        <v/>
      </c>
      <c r="F514" s="156">
        <f>D514+ROW()/1000000</f>
        <v/>
      </c>
      <c r="G514" s="156" t="n">
        <v>117</v>
      </c>
      <c r="H514" s="156">
        <f>INDEX($A$398:$A$548,MATCH(LARGE($F$398:$F$548,G514),$F$398:$F$548,0))</f>
        <v/>
      </c>
      <c r="I514" s="156">
        <f>INDEX($B$398:$B$548,MATCH(LARGE($F$398:$F$548,G514),$F$398:$F$548,0))</f>
        <v/>
      </c>
      <c r="J514" s="156">
        <f>INDEX($C$398:$C$548,MATCH(LARGE($F$398:$F$548,G514),$F$398:$F$548,0))</f>
        <v/>
      </c>
      <c r="K514" s="156">
        <f>INDEX($D$398:$D$548,MATCH(LARGE($F$398:$F$548,G514),$F$398:$F$548,0))</f>
        <v/>
      </c>
      <c r="L514" s="156">
        <f>INDEX($E$398:$E$548,MATCH(LARGE($F$398:$F$548,G514),$F$398:$F$548,0))</f>
        <v/>
      </c>
      <c r="M514" s="187">
        <f>IF(OR(L514="",L514=0),"",K514/L514)</f>
        <v/>
      </c>
    </row>
    <row r="515">
      <c r="A515" s="156" t="inlineStr">
        <is>
          <t>LV-12</t>
        </is>
      </c>
      <c r="B515" s="156" t="inlineStr">
        <is>
          <t>LV &amp; sarana</t>
        </is>
      </c>
      <c r="C515" s="156" t="inlineStr">
        <is>
          <t>Aux</t>
        </is>
      </c>
      <c r="D515" s="183">
        <f>SUMIFS(DATA_FUEL!$F$2:$F$20001,DATA_FUEL!$A$2:$A$20001,"&gt;="&amp;Kalkulasi!$B$290,DATA_FUEL!$A$2:$A$20001,"&lt;="&amp;Kalkulasi!$B$291,DATA_FUEL!$D$2:$D$20001,Kalkulasi!$B$293,DATA_FUEL!$B$2:$B$20001,$A515,DATA_FUEL!$D$2:$D$20001,$C515)</f>
        <v/>
      </c>
      <c r="E515" s="156">
        <f>""</f>
        <v/>
      </c>
      <c r="F515" s="156">
        <f>D515+ROW()/1000000</f>
        <v/>
      </c>
      <c r="G515" s="156" t="n">
        <v>118</v>
      </c>
      <c r="H515" s="156">
        <f>INDEX($A$398:$A$548,MATCH(LARGE($F$398:$F$548,G515),$F$398:$F$548,0))</f>
        <v/>
      </c>
      <c r="I515" s="156">
        <f>INDEX($B$398:$B$548,MATCH(LARGE($F$398:$F$548,G515),$F$398:$F$548,0))</f>
        <v/>
      </c>
      <c r="J515" s="156">
        <f>INDEX($C$398:$C$548,MATCH(LARGE($F$398:$F$548,G515),$F$398:$F$548,0))</f>
        <v/>
      </c>
      <c r="K515" s="156">
        <f>INDEX($D$398:$D$548,MATCH(LARGE($F$398:$F$548,G515),$F$398:$F$548,0))</f>
        <v/>
      </c>
      <c r="L515" s="156">
        <f>INDEX($E$398:$E$548,MATCH(LARGE($F$398:$F$548,G515),$F$398:$F$548,0))</f>
        <v/>
      </c>
      <c r="M515" s="187">
        <f>IF(OR(L515="",L515=0),"",K515/L515)</f>
        <v/>
      </c>
    </row>
    <row r="516">
      <c r="A516" s="156" t="inlineStr">
        <is>
          <t>GD-012</t>
        </is>
      </c>
      <c r="B516" s="156" t="inlineStr">
        <is>
          <t>Grader</t>
        </is>
      </c>
      <c r="C516" s="156" t="inlineStr">
        <is>
          <t>Mining</t>
        </is>
      </c>
      <c r="D516" s="183">
        <f>SUMIFS(DATA_FUEL!$F$2:$F$20001,DATA_FUEL!$A$2:$A$20001,"&gt;="&amp;Kalkulasi!$B$290,DATA_FUEL!$A$2:$A$20001,"&lt;="&amp;Kalkulasi!$B$291,DATA_FUEL!$D$2:$D$20001,Kalkulasi!$B$293,DATA_FUEL!$B$2:$B$20001,$A516,DATA_FUEL!$D$2:$D$20001,$C516)</f>
        <v/>
      </c>
      <c r="E516" s="156">
        <f>SUMIFS(DATA_TS!$G$2:$G$20001,DATA_TS!$A$2:$A$20001,"&gt;="&amp;Kalkulasi!$B$290,DATA_TS!$A$2:$A$20001,"&lt;="&amp;Kalkulasi!$B$291,DATA_TS!$C$2:$C$20001,$A516)</f>
        <v/>
      </c>
      <c r="F516" s="156">
        <f>D516+ROW()/1000000</f>
        <v/>
      </c>
      <c r="G516" s="156" t="n">
        <v>119</v>
      </c>
      <c r="H516" s="156">
        <f>INDEX($A$398:$A$548,MATCH(LARGE($F$398:$F$548,G516),$F$398:$F$548,0))</f>
        <v/>
      </c>
      <c r="I516" s="156">
        <f>INDEX($B$398:$B$548,MATCH(LARGE($F$398:$F$548,G516),$F$398:$F$548,0))</f>
        <v/>
      </c>
      <c r="J516" s="156">
        <f>INDEX($C$398:$C$548,MATCH(LARGE($F$398:$F$548,G516),$F$398:$F$548,0))</f>
        <v/>
      </c>
      <c r="K516" s="156">
        <f>INDEX($D$398:$D$548,MATCH(LARGE($F$398:$F$548,G516),$F$398:$F$548,0))</f>
        <v/>
      </c>
      <c r="L516" s="156">
        <f>INDEX($E$398:$E$548,MATCH(LARGE($F$398:$F$548,G516),$F$398:$F$548,0))</f>
        <v/>
      </c>
      <c r="M516" s="187">
        <f>IF(OR(L516="",L516=0),"",K516/L516)</f>
        <v/>
      </c>
    </row>
    <row r="517">
      <c r="A517" s="156" t="inlineStr">
        <is>
          <t>AL-07</t>
        </is>
      </c>
      <c r="B517" s="156" t="inlineStr">
        <is>
          <t>Alat lain</t>
        </is>
      </c>
      <c r="C517" s="156" t="inlineStr">
        <is>
          <t>Aux</t>
        </is>
      </c>
      <c r="D517" s="183">
        <f>SUMIFS(DATA_FUEL!$F$2:$F$20001,DATA_FUEL!$A$2:$A$20001,"&gt;="&amp;Kalkulasi!$B$290,DATA_FUEL!$A$2:$A$20001,"&lt;="&amp;Kalkulasi!$B$291,DATA_FUEL!$D$2:$D$20001,Kalkulasi!$B$293,DATA_FUEL!$B$2:$B$20001,$A517,DATA_FUEL!$D$2:$D$20001,$C517)</f>
        <v/>
      </c>
      <c r="E517" s="156">
        <f>""</f>
        <v/>
      </c>
      <c r="F517" s="156">
        <f>D517+ROW()/1000000</f>
        <v/>
      </c>
      <c r="G517" s="156" t="n">
        <v>120</v>
      </c>
      <c r="H517" s="156">
        <f>INDEX($A$398:$A$548,MATCH(LARGE($F$398:$F$548,G517),$F$398:$F$548,0))</f>
        <v/>
      </c>
      <c r="I517" s="156">
        <f>INDEX($B$398:$B$548,MATCH(LARGE($F$398:$F$548,G517),$F$398:$F$548,0))</f>
        <v/>
      </c>
      <c r="J517" s="156">
        <f>INDEX($C$398:$C$548,MATCH(LARGE($F$398:$F$548,G517),$F$398:$F$548,0))</f>
        <v/>
      </c>
      <c r="K517" s="156">
        <f>INDEX($D$398:$D$548,MATCH(LARGE($F$398:$F$548,G517),$F$398:$F$548,0))</f>
        <v/>
      </c>
      <c r="L517" s="156">
        <f>INDEX($E$398:$E$548,MATCH(LARGE($F$398:$F$548,G517),$F$398:$F$548,0))</f>
        <v/>
      </c>
      <c r="M517" s="187">
        <f>IF(OR(L517="",L517=0),"",K517/L517)</f>
        <v/>
      </c>
    </row>
    <row r="518">
      <c r="A518" s="156" t="inlineStr">
        <is>
          <t>VD-01</t>
        </is>
      </c>
      <c r="B518" s="156" t="inlineStr">
        <is>
          <t>Vendor</t>
        </is>
      </c>
      <c r="C518" s="156" t="inlineStr">
        <is>
          <t>Vendor</t>
        </is>
      </c>
      <c r="D518" s="183">
        <f>SUMIFS(DATA_FUEL!$F$2:$F$20001,DATA_FUEL!$A$2:$A$20001,"&gt;="&amp;Kalkulasi!$B$290,DATA_FUEL!$A$2:$A$20001,"&lt;="&amp;Kalkulasi!$B$291,DATA_FUEL!$D$2:$D$20001,Kalkulasi!$B$293,DATA_FUEL!$B$2:$B$20001,$A518,DATA_FUEL!$D$2:$D$20001,$C518)</f>
        <v/>
      </c>
      <c r="E518" s="156">
        <f>""</f>
        <v/>
      </c>
      <c r="F518" s="156">
        <f>D518+ROW()/1000000</f>
        <v/>
      </c>
      <c r="G518" s="156" t="n">
        <v>121</v>
      </c>
      <c r="H518" s="156">
        <f>INDEX($A$398:$A$548,MATCH(LARGE($F$398:$F$548,G518),$F$398:$F$548,0))</f>
        <v/>
      </c>
      <c r="I518" s="156">
        <f>INDEX($B$398:$B$548,MATCH(LARGE($F$398:$F$548,G518),$F$398:$F$548,0))</f>
        <v/>
      </c>
      <c r="J518" s="156">
        <f>INDEX($C$398:$C$548,MATCH(LARGE($F$398:$F$548,G518),$F$398:$F$548,0))</f>
        <v/>
      </c>
      <c r="K518" s="156">
        <f>INDEX($D$398:$D$548,MATCH(LARGE($F$398:$F$548,G518),$F$398:$F$548,0))</f>
        <v/>
      </c>
      <c r="L518" s="156">
        <f>INDEX($E$398:$E$548,MATCH(LARGE($F$398:$F$548,G518),$F$398:$F$548,0))</f>
        <v/>
      </c>
      <c r="M518" s="187">
        <f>IF(OR(L518="",L518=0),"",K518/L518)</f>
        <v/>
      </c>
    </row>
    <row r="519">
      <c r="A519" s="156" t="inlineStr">
        <is>
          <t>TL-01</t>
        </is>
      </c>
      <c r="B519" s="156" t="inlineStr">
        <is>
          <t>Tower lamp</t>
        </is>
      </c>
      <c r="C519" s="156" t="inlineStr">
        <is>
          <t>Mining</t>
        </is>
      </c>
      <c r="D519" s="183">
        <f>SUMIFS(DATA_FUEL!$F$2:$F$20001,DATA_FUEL!$A$2:$A$20001,"&gt;="&amp;Kalkulasi!$B$290,DATA_FUEL!$A$2:$A$20001,"&lt;="&amp;Kalkulasi!$B$291,DATA_FUEL!$D$2:$D$20001,Kalkulasi!$B$293,DATA_FUEL!$B$2:$B$20001,$A519,DATA_FUEL!$D$2:$D$20001,$C519)</f>
        <v/>
      </c>
      <c r="E519" s="156">
        <f>""</f>
        <v/>
      </c>
      <c r="F519" s="156">
        <f>D519+ROW()/1000000</f>
        <v/>
      </c>
      <c r="G519" s="156" t="n">
        <v>122</v>
      </c>
      <c r="H519" s="156">
        <f>INDEX($A$398:$A$548,MATCH(LARGE($F$398:$F$548,G519),$F$398:$F$548,0))</f>
        <v/>
      </c>
      <c r="I519" s="156">
        <f>INDEX($B$398:$B$548,MATCH(LARGE($F$398:$F$548,G519),$F$398:$F$548,0))</f>
        <v/>
      </c>
      <c r="J519" s="156">
        <f>INDEX($C$398:$C$548,MATCH(LARGE($F$398:$F$548,G519),$F$398:$F$548,0))</f>
        <v/>
      </c>
      <c r="K519" s="156">
        <f>INDEX($D$398:$D$548,MATCH(LARGE($F$398:$F$548,G519),$F$398:$F$548,0))</f>
        <v/>
      </c>
      <c r="L519" s="156">
        <f>INDEX($E$398:$E$548,MATCH(LARGE($F$398:$F$548,G519),$F$398:$F$548,0))</f>
        <v/>
      </c>
      <c r="M519" s="187">
        <f>IF(OR(L519="",L519=0),"",K519/L519)</f>
        <v/>
      </c>
    </row>
    <row r="520">
      <c r="A520" s="156" t="inlineStr">
        <is>
          <t>DH-102</t>
        </is>
      </c>
      <c r="B520" s="156" t="inlineStr">
        <is>
          <t>DT Hino</t>
        </is>
      </c>
      <c r="C520" s="156" t="inlineStr">
        <is>
          <t>Mining</t>
        </is>
      </c>
      <c r="D520" s="183">
        <f>SUMIFS(DATA_FUEL!$F$2:$F$20001,DATA_FUEL!$A$2:$A$20001,"&gt;="&amp;Kalkulasi!$B$290,DATA_FUEL!$A$2:$A$20001,"&lt;="&amp;Kalkulasi!$B$291,DATA_FUEL!$D$2:$D$20001,Kalkulasi!$B$293,DATA_FUEL!$B$2:$B$20001,$A520,DATA_FUEL!$D$2:$D$20001,$C520)</f>
        <v/>
      </c>
      <c r="E520" s="156">
        <f>SUMIFS(DATA_TS!$G$2:$G$20001,DATA_TS!$A$2:$A$20001,"&gt;="&amp;Kalkulasi!$B$290,DATA_TS!$A$2:$A$20001,"&lt;="&amp;Kalkulasi!$B$291,DATA_TS!$C$2:$C$20001,$A520)</f>
        <v/>
      </c>
      <c r="F520" s="156">
        <f>D520+ROW()/1000000</f>
        <v/>
      </c>
      <c r="G520" s="156" t="n">
        <v>123</v>
      </c>
      <c r="H520" s="156">
        <f>INDEX($A$398:$A$548,MATCH(LARGE($F$398:$F$548,G520),$F$398:$F$548,0))</f>
        <v/>
      </c>
      <c r="I520" s="156">
        <f>INDEX($B$398:$B$548,MATCH(LARGE($F$398:$F$548,G520),$F$398:$F$548,0))</f>
        <v/>
      </c>
      <c r="J520" s="156">
        <f>INDEX($C$398:$C$548,MATCH(LARGE($F$398:$F$548,G520),$F$398:$F$548,0))</f>
        <v/>
      </c>
      <c r="K520" s="156">
        <f>INDEX($D$398:$D$548,MATCH(LARGE($F$398:$F$548,G520),$F$398:$F$548,0))</f>
        <v/>
      </c>
      <c r="L520" s="156">
        <f>INDEX($E$398:$E$548,MATCH(LARGE($F$398:$F$548,G520),$F$398:$F$548,0))</f>
        <v/>
      </c>
      <c r="M520" s="187">
        <f>IF(OR(L520="",L520=0),"",K520/L520)</f>
        <v/>
      </c>
    </row>
    <row r="521">
      <c r="A521" s="156" t="inlineStr">
        <is>
          <t>TL-05</t>
        </is>
      </c>
      <c r="B521" s="156" t="inlineStr">
        <is>
          <t>Tower lamp</t>
        </is>
      </c>
      <c r="C521" s="156" t="inlineStr">
        <is>
          <t>Mining</t>
        </is>
      </c>
      <c r="D521" s="183">
        <f>SUMIFS(DATA_FUEL!$F$2:$F$20001,DATA_FUEL!$A$2:$A$20001,"&gt;="&amp;Kalkulasi!$B$290,DATA_FUEL!$A$2:$A$20001,"&lt;="&amp;Kalkulasi!$B$291,DATA_FUEL!$D$2:$D$20001,Kalkulasi!$B$293,DATA_FUEL!$B$2:$B$20001,$A521,DATA_FUEL!$D$2:$D$20001,$C521)</f>
        <v/>
      </c>
      <c r="E521" s="156">
        <f>""</f>
        <v/>
      </c>
      <c r="F521" s="156">
        <f>D521+ROW()/1000000</f>
        <v/>
      </c>
      <c r="G521" s="156" t="n">
        <v>124</v>
      </c>
      <c r="H521" s="156">
        <f>INDEX($A$398:$A$548,MATCH(LARGE($F$398:$F$548,G521),$F$398:$F$548,0))</f>
        <v/>
      </c>
      <c r="I521" s="156">
        <f>INDEX($B$398:$B$548,MATCH(LARGE($F$398:$F$548,G521),$F$398:$F$548,0))</f>
        <v/>
      </c>
      <c r="J521" s="156">
        <f>INDEX($C$398:$C$548,MATCH(LARGE($F$398:$F$548,G521),$F$398:$F$548,0))</f>
        <v/>
      </c>
      <c r="K521" s="156">
        <f>INDEX($D$398:$D$548,MATCH(LARGE($F$398:$F$548,G521),$F$398:$F$548,0))</f>
        <v/>
      </c>
      <c r="L521" s="156">
        <f>INDEX($E$398:$E$548,MATCH(LARGE($F$398:$F$548,G521),$F$398:$F$548,0))</f>
        <v/>
      </c>
      <c r="M521" s="187">
        <f>IF(OR(L521="",L521=0),"",K521/L521)</f>
        <v/>
      </c>
    </row>
    <row r="522">
      <c r="A522" s="156" t="inlineStr">
        <is>
          <t>TL-02</t>
        </is>
      </c>
      <c r="B522" s="156" t="inlineStr">
        <is>
          <t>Tower lamp</t>
        </is>
      </c>
      <c r="C522" s="156" t="inlineStr">
        <is>
          <t>Mining</t>
        </is>
      </c>
      <c r="D522" s="183">
        <f>SUMIFS(DATA_FUEL!$F$2:$F$20001,DATA_FUEL!$A$2:$A$20001,"&gt;="&amp;Kalkulasi!$B$290,DATA_FUEL!$A$2:$A$20001,"&lt;="&amp;Kalkulasi!$B$291,DATA_FUEL!$D$2:$D$20001,Kalkulasi!$B$293,DATA_FUEL!$B$2:$B$20001,$A522,DATA_FUEL!$D$2:$D$20001,$C522)</f>
        <v/>
      </c>
      <c r="E522" s="156">
        <f>""</f>
        <v/>
      </c>
      <c r="F522" s="156">
        <f>D522+ROW()/1000000</f>
        <v/>
      </c>
      <c r="G522" s="156" t="n">
        <v>125</v>
      </c>
      <c r="H522" s="156">
        <f>INDEX($A$398:$A$548,MATCH(LARGE($F$398:$F$548,G522),$F$398:$F$548,0))</f>
        <v/>
      </c>
      <c r="I522" s="156">
        <f>INDEX($B$398:$B$548,MATCH(LARGE($F$398:$F$548,G522),$F$398:$F$548,0))</f>
        <v/>
      </c>
      <c r="J522" s="156">
        <f>INDEX($C$398:$C$548,MATCH(LARGE($F$398:$F$548,G522),$F$398:$F$548,0))</f>
        <v/>
      </c>
      <c r="K522" s="156">
        <f>INDEX($D$398:$D$548,MATCH(LARGE($F$398:$F$548,G522),$F$398:$F$548,0))</f>
        <v/>
      </c>
      <c r="L522" s="156">
        <f>INDEX($E$398:$E$548,MATCH(LARGE($F$398:$F$548,G522),$F$398:$F$548,0))</f>
        <v/>
      </c>
      <c r="M522" s="187">
        <f>IF(OR(L522="",L522=0),"",K522/L522)</f>
        <v/>
      </c>
    </row>
    <row r="523">
      <c r="A523" s="156" t="inlineStr">
        <is>
          <t>TL-04</t>
        </is>
      </c>
      <c r="B523" s="156" t="inlineStr">
        <is>
          <t>Tower lamp</t>
        </is>
      </c>
      <c r="C523" s="156" t="inlineStr">
        <is>
          <t>Mining</t>
        </is>
      </c>
      <c r="D523" s="183">
        <f>SUMIFS(DATA_FUEL!$F$2:$F$20001,DATA_FUEL!$A$2:$A$20001,"&gt;="&amp;Kalkulasi!$B$290,DATA_FUEL!$A$2:$A$20001,"&lt;="&amp;Kalkulasi!$B$291,DATA_FUEL!$D$2:$D$20001,Kalkulasi!$B$293,DATA_FUEL!$B$2:$B$20001,$A523,DATA_FUEL!$D$2:$D$20001,$C523)</f>
        <v/>
      </c>
      <c r="E523" s="156">
        <f>""</f>
        <v/>
      </c>
      <c r="F523" s="156">
        <f>D523+ROW()/1000000</f>
        <v/>
      </c>
      <c r="G523" s="156" t="n">
        <v>126</v>
      </c>
      <c r="H523" s="156">
        <f>INDEX($A$398:$A$548,MATCH(LARGE($F$398:$F$548,G523),$F$398:$F$548,0))</f>
        <v/>
      </c>
      <c r="I523" s="156">
        <f>INDEX($B$398:$B$548,MATCH(LARGE($F$398:$F$548,G523),$F$398:$F$548,0))</f>
        <v/>
      </c>
      <c r="J523" s="156">
        <f>INDEX($C$398:$C$548,MATCH(LARGE($F$398:$F$548,G523),$F$398:$F$548,0))</f>
        <v/>
      </c>
      <c r="K523" s="156">
        <f>INDEX($D$398:$D$548,MATCH(LARGE($F$398:$F$548,G523),$F$398:$F$548,0))</f>
        <v/>
      </c>
      <c r="L523" s="156">
        <f>INDEX($E$398:$E$548,MATCH(LARGE($F$398:$F$548,G523),$F$398:$F$548,0))</f>
        <v/>
      </c>
      <c r="M523" s="187">
        <f>IF(OR(L523="",L523=0),"",K523/L523)</f>
        <v/>
      </c>
    </row>
    <row r="524">
      <c r="A524" s="156" t="inlineStr">
        <is>
          <t>LV-05</t>
        </is>
      </c>
      <c r="B524" s="156" t="inlineStr">
        <is>
          <t>LV &amp; sarana</t>
        </is>
      </c>
      <c r="C524" s="156" t="inlineStr">
        <is>
          <t>Aux</t>
        </is>
      </c>
      <c r="D524" s="183">
        <f>SUMIFS(DATA_FUEL!$F$2:$F$20001,DATA_FUEL!$A$2:$A$20001,"&gt;="&amp;Kalkulasi!$B$290,DATA_FUEL!$A$2:$A$20001,"&lt;="&amp;Kalkulasi!$B$291,DATA_FUEL!$D$2:$D$20001,Kalkulasi!$B$293,DATA_FUEL!$B$2:$B$20001,$A524,DATA_FUEL!$D$2:$D$20001,$C524)</f>
        <v/>
      </c>
      <c r="E524" s="156">
        <f>""</f>
        <v/>
      </c>
      <c r="F524" s="156">
        <f>D524+ROW()/1000000</f>
        <v/>
      </c>
      <c r="G524" s="156" t="n">
        <v>127</v>
      </c>
      <c r="H524" s="156">
        <f>INDEX($A$398:$A$548,MATCH(LARGE($F$398:$F$548,G524),$F$398:$F$548,0))</f>
        <v/>
      </c>
      <c r="I524" s="156">
        <f>INDEX($B$398:$B$548,MATCH(LARGE($F$398:$F$548,G524),$F$398:$F$548,0))</f>
        <v/>
      </c>
      <c r="J524" s="156">
        <f>INDEX($C$398:$C$548,MATCH(LARGE($F$398:$F$548,G524),$F$398:$F$548,0))</f>
        <v/>
      </c>
      <c r="K524" s="156">
        <f>INDEX($D$398:$D$548,MATCH(LARGE($F$398:$F$548,G524),$F$398:$F$548,0))</f>
        <v/>
      </c>
      <c r="L524" s="156">
        <f>INDEX($E$398:$E$548,MATCH(LARGE($F$398:$F$548,G524),$F$398:$F$548,0))</f>
        <v/>
      </c>
      <c r="M524" s="187">
        <f>IF(OR(L524="",L524=0),"",K524/L524)</f>
        <v/>
      </c>
    </row>
    <row r="525">
      <c r="A525" s="156" t="inlineStr">
        <is>
          <t>LV-01</t>
        </is>
      </c>
      <c r="B525" s="156" t="inlineStr">
        <is>
          <t>LV &amp; sarana</t>
        </is>
      </c>
      <c r="C525" s="156" t="inlineStr">
        <is>
          <t>Aux</t>
        </is>
      </c>
      <c r="D525" s="183">
        <f>SUMIFS(DATA_FUEL!$F$2:$F$20001,DATA_FUEL!$A$2:$A$20001,"&gt;="&amp;Kalkulasi!$B$290,DATA_FUEL!$A$2:$A$20001,"&lt;="&amp;Kalkulasi!$B$291,DATA_FUEL!$D$2:$D$20001,Kalkulasi!$B$293,DATA_FUEL!$B$2:$B$20001,$A525,DATA_FUEL!$D$2:$D$20001,$C525)</f>
        <v/>
      </c>
      <c r="E525" s="156">
        <f>""</f>
        <v/>
      </c>
      <c r="F525" s="156">
        <f>D525+ROW()/1000000</f>
        <v/>
      </c>
      <c r="G525" s="156" t="n">
        <v>128</v>
      </c>
      <c r="H525" s="156">
        <f>INDEX($A$398:$A$548,MATCH(LARGE($F$398:$F$548,G525),$F$398:$F$548,0))</f>
        <v/>
      </c>
      <c r="I525" s="156">
        <f>INDEX($B$398:$B$548,MATCH(LARGE($F$398:$F$548,G525),$F$398:$F$548,0))</f>
        <v/>
      </c>
      <c r="J525" s="156">
        <f>INDEX($C$398:$C$548,MATCH(LARGE($F$398:$F$548,G525),$F$398:$F$548,0))</f>
        <v/>
      </c>
      <c r="K525" s="156">
        <f>INDEX($D$398:$D$548,MATCH(LARGE($F$398:$F$548,G525),$F$398:$F$548,0))</f>
        <v/>
      </c>
      <c r="L525" s="156">
        <f>INDEX($E$398:$E$548,MATCH(LARGE($F$398:$F$548,G525),$F$398:$F$548,0))</f>
        <v/>
      </c>
      <c r="M525" s="187">
        <f>IF(OR(L525="",L525=0),"",K525/L525)</f>
        <v/>
      </c>
    </row>
    <row r="526">
      <c r="A526" s="156" t="inlineStr">
        <is>
          <t>HT-413</t>
        </is>
      </c>
      <c r="B526" s="156" t="inlineStr">
        <is>
          <t>DT Hauling</t>
        </is>
      </c>
      <c r="C526" s="156" t="inlineStr">
        <is>
          <t>Aux</t>
        </is>
      </c>
      <c r="D526" s="183">
        <f>SUMIFS(DATA_FUEL!$F$2:$F$20001,DATA_FUEL!$A$2:$A$20001,"&gt;="&amp;Kalkulasi!$B$290,DATA_FUEL!$A$2:$A$20001,"&lt;="&amp;Kalkulasi!$B$291,DATA_FUEL!$D$2:$D$20001,Kalkulasi!$B$293,DATA_FUEL!$B$2:$B$20001,$A526,DATA_FUEL!$D$2:$D$20001,$C526)</f>
        <v/>
      </c>
      <c r="E526" s="156">
        <f>SUMIFS(DATA_TS!$G$2:$G$20001,DATA_TS!$A$2:$A$20001,"&gt;="&amp;Kalkulasi!$B$290,DATA_TS!$A$2:$A$20001,"&lt;="&amp;Kalkulasi!$B$291,DATA_TS!$C$2:$C$20001,$A526)</f>
        <v/>
      </c>
      <c r="F526" s="156">
        <f>D526+ROW()/1000000</f>
        <v/>
      </c>
      <c r="G526" s="156" t="n">
        <v>129</v>
      </c>
      <c r="H526" s="156">
        <f>INDEX($A$398:$A$548,MATCH(LARGE($F$398:$F$548,G526),$F$398:$F$548,0))</f>
        <v/>
      </c>
      <c r="I526" s="156">
        <f>INDEX($B$398:$B$548,MATCH(LARGE($F$398:$F$548,G526),$F$398:$F$548,0))</f>
        <v/>
      </c>
      <c r="J526" s="156">
        <f>INDEX($C$398:$C$548,MATCH(LARGE($F$398:$F$548,G526),$F$398:$F$548,0))</f>
        <v/>
      </c>
      <c r="K526" s="156">
        <f>INDEX($D$398:$D$548,MATCH(LARGE($F$398:$F$548,G526),$F$398:$F$548,0))</f>
        <v/>
      </c>
      <c r="L526" s="156">
        <f>INDEX($E$398:$E$548,MATCH(LARGE($F$398:$F$548,G526),$F$398:$F$548,0))</f>
        <v/>
      </c>
      <c r="M526" s="187">
        <f>IF(OR(L526="",L526=0),"",K526/L526)</f>
        <v/>
      </c>
    </row>
    <row r="527">
      <c r="A527" s="156" t="inlineStr">
        <is>
          <t>LV-14</t>
        </is>
      </c>
      <c r="B527" s="156" t="inlineStr">
        <is>
          <t>LV &amp; sarana</t>
        </is>
      </c>
      <c r="C527" s="156" t="inlineStr">
        <is>
          <t>Mining</t>
        </is>
      </c>
      <c r="D527" s="183">
        <f>SUMIFS(DATA_FUEL!$F$2:$F$20001,DATA_FUEL!$A$2:$A$20001,"&gt;="&amp;Kalkulasi!$B$290,DATA_FUEL!$A$2:$A$20001,"&lt;="&amp;Kalkulasi!$B$291,DATA_FUEL!$D$2:$D$20001,Kalkulasi!$B$293,DATA_FUEL!$B$2:$B$20001,$A527,DATA_FUEL!$D$2:$D$20001,$C527)</f>
        <v/>
      </c>
      <c r="E527" s="156">
        <f>""</f>
        <v/>
      </c>
      <c r="F527" s="156">
        <f>D527+ROW()/1000000</f>
        <v/>
      </c>
      <c r="G527" s="156" t="n">
        <v>130</v>
      </c>
      <c r="H527" s="156">
        <f>INDEX($A$398:$A$548,MATCH(LARGE($F$398:$F$548,G527),$F$398:$F$548,0))</f>
        <v/>
      </c>
      <c r="I527" s="156">
        <f>INDEX($B$398:$B$548,MATCH(LARGE($F$398:$F$548,G527),$F$398:$F$548,0))</f>
        <v/>
      </c>
      <c r="J527" s="156">
        <f>INDEX($C$398:$C$548,MATCH(LARGE($F$398:$F$548,G527),$F$398:$F$548,0))</f>
        <v/>
      </c>
      <c r="K527" s="156">
        <f>INDEX($D$398:$D$548,MATCH(LARGE($F$398:$F$548,G527),$F$398:$F$548,0))</f>
        <v/>
      </c>
      <c r="L527" s="156">
        <f>INDEX($E$398:$E$548,MATCH(LARGE($F$398:$F$548,G527),$F$398:$F$548,0))</f>
        <v/>
      </c>
      <c r="M527" s="187">
        <f>IF(OR(L527="",L527=0),"",K527/L527)</f>
        <v/>
      </c>
    </row>
    <row r="528">
      <c r="A528" s="156" t="inlineStr">
        <is>
          <t>VD-02</t>
        </is>
      </c>
      <c r="B528" s="156" t="inlineStr">
        <is>
          <t>Vendor</t>
        </is>
      </c>
      <c r="C528" s="156" t="inlineStr">
        <is>
          <t>Vendor</t>
        </is>
      </c>
      <c r="D528" s="183">
        <f>SUMIFS(DATA_FUEL!$F$2:$F$20001,DATA_FUEL!$A$2:$A$20001,"&gt;="&amp;Kalkulasi!$B$290,DATA_FUEL!$A$2:$A$20001,"&lt;="&amp;Kalkulasi!$B$291,DATA_FUEL!$D$2:$D$20001,Kalkulasi!$B$293,DATA_FUEL!$B$2:$B$20001,$A528,DATA_FUEL!$D$2:$D$20001,$C528)</f>
        <v/>
      </c>
      <c r="E528" s="156">
        <f>""</f>
        <v/>
      </c>
      <c r="F528" s="156">
        <f>D528+ROW()/1000000</f>
        <v/>
      </c>
      <c r="G528" s="156" t="n">
        <v>131</v>
      </c>
      <c r="H528" s="156">
        <f>INDEX($A$398:$A$548,MATCH(LARGE($F$398:$F$548,G528),$F$398:$F$548,0))</f>
        <v/>
      </c>
      <c r="I528" s="156">
        <f>INDEX($B$398:$B$548,MATCH(LARGE($F$398:$F$548,G528),$F$398:$F$548,0))</f>
        <v/>
      </c>
      <c r="J528" s="156">
        <f>INDEX($C$398:$C$548,MATCH(LARGE($F$398:$F$548,G528),$F$398:$F$548,0))</f>
        <v/>
      </c>
      <c r="K528" s="156">
        <f>INDEX($D$398:$D$548,MATCH(LARGE($F$398:$F$548,G528),$F$398:$F$548,0))</f>
        <v/>
      </c>
      <c r="L528" s="156">
        <f>INDEX($E$398:$E$548,MATCH(LARGE($F$398:$F$548,G528),$F$398:$F$548,0))</f>
        <v/>
      </c>
      <c r="M528" s="187">
        <f>IF(OR(L528="",L528=0),"",K528/L528)</f>
        <v/>
      </c>
    </row>
    <row r="529">
      <c r="A529" s="156" t="inlineStr">
        <is>
          <t>AL-11</t>
        </is>
      </c>
      <c r="B529" s="156" t="inlineStr">
        <is>
          <t>Alat lain</t>
        </is>
      </c>
      <c r="C529" s="156" t="inlineStr">
        <is>
          <t>Aux</t>
        </is>
      </c>
      <c r="D529" s="183">
        <f>SUMIFS(DATA_FUEL!$F$2:$F$20001,DATA_FUEL!$A$2:$A$20001,"&gt;="&amp;Kalkulasi!$B$290,DATA_FUEL!$A$2:$A$20001,"&lt;="&amp;Kalkulasi!$B$291,DATA_FUEL!$D$2:$D$20001,Kalkulasi!$B$293,DATA_FUEL!$B$2:$B$20001,$A529,DATA_FUEL!$D$2:$D$20001,$C529)</f>
        <v/>
      </c>
      <c r="E529" s="156">
        <f>""</f>
        <v/>
      </c>
      <c r="F529" s="156">
        <f>D529+ROW()/1000000</f>
        <v/>
      </c>
      <c r="G529" s="156" t="n">
        <v>132</v>
      </c>
      <c r="H529" s="156">
        <f>INDEX($A$398:$A$548,MATCH(LARGE($F$398:$F$548,G529),$F$398:$F$548,0))</f>
        <v/>
      </c>
      <c r="I529" s="156">
        <f>INDEX($B$398:$B$548,MATCH(LARGE($F$398:$F$548,G529),$F$398:$F$548,0))</f>
        <v/>
      </c>
      <c r="J529" s="156">
        <f>INDEX($C$398:$C$548,MATCH(LARGE($F$398:$F$548,G529),$F$398:$F$548,0))</f>
        <v/>
      </c>
      <c r="K529" s="156">
        <f>INDEX($D$398:$D$548,MATCH(LARGE($F$398:$F$548,G529),$F$398:$F$548,0))</f>
        <v/>
      </c>
      <c r="L529" s="156">
        <f>INDEX($E$398:$E$548,MATCH(LARGE($F$398:$F$548,G529),$F$398:$F$548,0))</f>
        <v/>
      </c>
      <c r="M529" s="187">
        <f>IF(OR(L529="",L529=0),"",K529/L529)</f>
        <v/>
      </c>
    </row>
    <row r="530">
      <c r="A530" s="156" t="inlineStr">
        <is>
          <t>CP-042</t>
        </is>
      </c>
      <c r="B530" s="156" t="inlineStr">
        <is>
          <t>Compactor</t>
        </is>
      </c>
      <c r="C530" s="156" t="inlineStr">
        <is>
          <t>Aux</t>
        </is>
      </c>
      <c r="D530" s="183">
        <f>SUMIFS(DATA_FUEL!$F$2:$F$20001,DATA_FUEL!$A$2:$A$20001,"&gt;="&amp;Kalkulasi!$B$290,DATA_FUEL!$A$2:$A$20001,"&lt;="&amp;Kalkulasi!$B$291,DATA_FUEL!$D$2:$D$20001,Kalkulasi!$B$293,DATA_FUEL!$B$2:$B$20001,$A530,DATA_FUEL!$D$2:$D$20001,$C530)</f>
        <v/>
      </c>
      <c r="E530" s="156">
        <f>SUMIFS(DATA_TS!$G$2:$G$20001,DATA_TS!$A$2:$A$20001,"&gt;="&amp;Kalkulasi!$B$290,DATA_TS!$A$2:$A$20001,"&lt;="&amp;Kalkulasi!$B$291,DATA_TS!$C$2:$C$20001,$A530)</f>
        <v/>
      </c>
      <c r="F530" s="156">
        <f>D530+ROW()/1000000</f>
        <v/>
      </c>
      <c r="G530" s="156" t="n">
        <v>133</v>
      </c>
      <c r="H530" s="156">
        <f>INDEX($A$398:$A$548,MATCH(LARGE($F$398:$F$548,G530),$F$398:$F$548,0))</f>
        <v/>
      </c>
      <c r="I530" s="156">
        <f>INDEX($B$398:$B$548,MATCH(LARGE($F$398:$F$548,G530),$F$398:$F$548,0))</f>
        <v/>
      </c>
      <c r="J530" s="156">
        <f>INDEX($C$398:$C$548,MATCH(LARGE($F$398:$F$548,G530),$F$398:$F$548,0))</f>
        <v/>
      </c>
      <c r="K530" s="156">
        <f>INDEX($D$398:$D$548,MATCH(LARGE($F$398:$F$548,G530),$F$398:$F$548,0))</f>
        <v/>
      </c>
      <c r="L530" s="156">
        <f>INDEX($E$398:$E$548,MATCH(LARGE($F$398:$F$548,G530),$F$398:$F$548,0))</f>
        <v/>
      </c>
      <c r="M530" s="187">
        <f>IF(OR(L530="",L530=0),"",K530/L530)</f>
        <v/>
      </c>
    </row>
    <row r="531">
      <c r="A531" s="156" t="inlineStr">
        <is>
          <t>DH-101</t>
        </is>
      </c>
      <c r="B531" s="156" t="inlineStr">
        <is>
          <t>DT Hino</t>
        </is>
      </c>
      <c r="C531" s="156" t="inlineStr">
        <is>
          <t>Mining</t>
        </is>
      </c>
      <c r="D531" s="183">
        <f>SUMIFS(DATA_FUEL!$F$2:$F$20001,DATA_FUEL!$A$2:$A$20001,"&gt;="&amp;Kalkulasi!$B$290,DATA_FUEL!$A$2:$A$20001,"&lt;="&amp;Kalkulasi!$B$291,DATA_FUEL!$D$2:$D$20001,Kalkulasi!$B$293,DATA_FUEL!$B$2:$B$20001,$A531,DATA_FUEL!$D$2:$D$20001,$C531)</f>
        <v/>
      </c>
      <c r="E531" s="156">
        <f>SUMIFS(DATA_TS!$G$2:$G$20001,DATA_TS!$A$2:$A$20001,"&gt;="&amp;Kalkulasi!$B$290,DATA_TS!$A$2:$A$20001,"&lt;="&amp;Kalkulasi!$B$291,DATA_TS!$C$2:$C$20001,$A531)</f>
        <v/>
      </c>
      <c r="F531" s="156">
        <f>D531+ROW()/1000000</f>
        <v/>
      </c>
      <c r="G531" s="156" t="n">
        <v>134</v>
      </c>
      <c r="H531" s="156">
        <f>INDEX($A$398:$A$548,MATCH(LARGE($F$398:$F$548,G531),$F$398:$F$548,0))</f>
        <v/>
      </c>
      <c r="I531" s="156">
        <f>INDEX($B$398:$B$548,MATCH(LARGE($F$398:$F$548,G531),$F$398:$F$548,0))</f>
        <v/>
      </c>
      <c r="J531" s="156">
        <f>INDEX($C$398:$C$548,MATCH(LARGE($F$398:$F$548,G531),$F$398:$F$548,0))</f>
        <v/>
      </c>
      <c r="K531" s="156">
        <f>INDEX($D$398:$D$548,MATCH(LARGE($F$398:$F$548,G531),$F$398:$F$548,0))</f>
        <v/>
      </c>
      <c r="L531" s="156">
        <f>INDEX($E$398:$E$548,MATCH(LARGE($F$398:$F$548,G531),$F$398:$F$548,0))</f>
        <v/>
      </c>
      <c r="M531" s="187">
        <f>IF(OR(L531="",L531=0),"",K531/L531)</f>
        <v/>
      </c>
    </row>
    <row r="532">
      <c r="A532" s="156" t="inlineStr">
        <is>
          <t>HT-417</t>
        </is>
      </c>
      <c r="B532" s="156" t="inlineStr">
        <is>
          <t>DT Hauling</t>
        </is>
      </c>
      <c r="C532" s="156" t="inlineStr">
        <is>
          <t>Aux</t>
        </is>
      </c>
      <c r="D532" s="183">
        <f>SUMIFS(DATA_FUEL!$F$2:$F$20001,DATA_FUEL!$A$2:$A$20001,"&gt;="&amp;Kalkulasi!$B$290,DATA_FUEL!$A$2:$A$20001,"&lt;="&amp;Kalkulasi!$B$291,DATA_FUEL!$D$2:$D$20001,Kalkulasi!$B$293,DATA_FUEL!$B$2:$B$20001,$A532,DATA_FUEL!$D$2:$D$20001,$C532)</f>
        <v/>
      </c>
      <c r="E532" s="156">
        <f>SUMIFS(DATA_TS!$G$2:$G$20001,DATA_TS!$A$2:$A$20001,"&gt;="&amp;Kalkulasi!$B$290,DATA_TS!$A$2:$A$20001,"&lt;="&amp;Kalkulasi!$B$291,DATA_TS!$C$2:$C$20001,$A532)</f>
        <v/>
      </c>
      <c r="F532" s="156">
        <f>D532+ROW()/1000000</f>
        <v/>
      </c>
      <c r="G532" s="156" t="n">
        <v>135</v>
      </c>
      <c r="H532" s="156">
        <f>INDEX($A$398:$A$548,MATCH(LARGE($F$398:$F$548,G532),$F$398:$F$548,0))</f>
        <v/>
      </c>
      <c r="I532" s="156">
        <f>INDEX($B$398:$B$548,MATCH(LARGE($F$398:$F$548,G532),$F$398:$F$548,0))</f>
        <v/>
      </c>
      <c r="J532" s="156">
        <f>INDEX($C$398:$C$548,MATCH(LARGE($F$398:$F$548,G532),$F$398:$F$548,0))</f>
        <v/>
      </c>
      <c r="K532" s="156">
        <f>INDEX($D$398:$D$548,MATCH(LARGE($F$398:$F$548,G532),$F$398:$F$548,0))</f>
        <v/>
      </c>
      <c r="L532" s="156">
        <f>INDEX($E$398:$E$548,MATCH(LARGE($F$398:$F$548,G532),$F$398:$F$548,0))</f>
        <v/>
      </c>
      <c r="M532" s="187">
        <f>IF(OR(L532="",L532=0),"",K532/L532)</f>
        <v/>
      </c>
    </row>
    <row r="533">
      <c r="A533" s="156" t="inlineStr">
        <is>
          <t>AL-01</t>
        </is>
      </c>
      <c r="B533" s="156" t="inlineStr">
        <is>
          <t>Alat lain</t>
        </is>
      </c>
      <c r="C533" s="156" t="inlineStr">
        <is>
          <t>Mining</t>
        </is>
      </c>
      <c r="D533" s="183">
        <f>SUMIFS(DATA_FUEL!$F$2:$F$20001,DATA_FUEL!$A$2:$A$20001,"&gt;="&amp;Kalkulasi!$B$290,DATA_FUEL!$A$2:$A$20001,"&lt;="&amp;Kalkulasi!$B$291,DATA_FUEL!$D$2:$D$20001,Kalkulasi!$B$293,DATA_FUEL!$B$2:$B$20001,$A533,DATA_FUEL!$D$2:$D$20001,$C533)</f>
        <v/>
      </c>
      <c r="E533" s="156">
        <f>""</f>
        <v/>
      </c>
      <c r="F533" s="156">
        <f>D533+ROW()/1000000</f>
        <v/>
      </c>
      <c r="G533" s="156" t="n">
        <v>136</v>
      </c>
      <c r="H533" s="156">
        <f>INDEX($A$398:$A$548,MATCH(LARGE($F$398:$F$548,G533),$F$398:$F$548,0))</f>
        <v/>
      </c>
      <c r="I533" s="156">
        <f>INDEX($B$398:$B$548,MATCH(LARGE($F$398:$F$548,G533),$F$398:$F$548,0))</f>
        <v/>
      </c>
      <c r="J533" s="156">
        <f>INDEX($C$398:$C$548,MATCH(LARGE($F$398:$F$548,G533),$F$398:$F$548,0))</f>
        <v/>
      </c>
      <c r="K533" s="156">
        <f>INDEX($D$398:$D$548,MATCH(LARGE($F$398:$F$548,G533),$F$398:$F$548,0))</f>
        <v/>
      </c>
      <c r="L533" s="156">
        <f>INDEX($E$398:$E$548,MATCH(LARGE($F$398:$F$548,G533),$F$398:$F$548,0))</f>
        <v/>
      </c>
      <c r="M533" s="187">
        <f>IF(OR(L533="",L533=0),"",K533/L533)</f>
        <v/>
      </c>
    </row>
    <row r="534">
      <c r="A534" s="156" t="inlineStr">
        <is>
          <t>VD-06</t>
        </is>
      </c>
      <c r="B534" s="156" t="inlineStr">
        <is>
          <t>Vendor</t>
        </is>
      </c>
      <c r="C534" s="156" t="inlineStr">
        <is>
          <t>Vendor</t>
        </is>
      </c>
      <c r="D534" s="183">
        <f>SUMIFS(DATA_FUEL!$F$2:$F$20001,DATA_FUEL!$A$2:$A$20001,"&gt;="&amp;Kalkulasi!$B$290,DATA_FUEL!$A$2:$A$20001,"&lt;="&amp;Kalkulasi!$B$291,DATA_FUEL!$D$2:$D$20001,Kalkulasi!$B$293,DATA_FUEL!$B$2:$B$20001,$A534,DATA_FUEL!$D$2:$D$20001,$C534)</f>
        <v/>
      </c>
      <c r="E534" s="156">
        <f>""</f>
        <v/>
      </c>
      <c r="F534" s="156">
        <f>D534+ROW()/1000000</f>
        <v/>
      </c>
      <c r="G534" s="156" t="n">
        <v>137</v>
      </c>
      <c r="H534" s="156">
        <f>INDEX($A$398:$A$548,MATCH(LARGE($F$398:$F$548,G534),$F$398:$F$548,0))</f>
        <v/>
      </c>
      <c r="I534" s="156">
        <f>INDEX($B$398:$B$548,MATCH(LARGE($F$398:$F$548,G534),$F$398:$F$548,0))</f>
        <v/>
      </c>
      <c r="J534" s="156">
        <f>INDEX($C$398:$C$548,MATCH(LARGE($F$398:$F$548,G534),$F$398:$F$548,0))</f>
        <v/>
      </c>
      <c r="K534" s="156">
        <f>INDEX($D$398:$D$548,MATCH(LARGE($F$398:$F$548,G534),$F$398:$F$548,0))</f>
        <v/>
      </c>
      <c r="L534" s="156">
        <f>INDEX($E$398:$E$548,MATCH(LARGE($F$398:$F$548,G534),$F$398:$F$548,0))</f>
        <v/>
      </c>
      <c r="M534" s="187">
        <f>IF(OR(L534="",L534=0),"",K534/L534)</f>
        <v/>
      </c>
    </row>
    <row r="535">
      <c r="A535" s="156" t="inlineStr">
        <is>
          <t>TL-03</t>
        </is>
      </c>
      <c r="B535" s="156" t="inlineStr">
        <is>
          <t>Tower lamp</t>
        </is>
      </c>
      <c r="C535" s="156" t="inlineStr">
        <is>
          <t>Mining</t>
        </is>
      </c>
      <c r="D535" s="183">
        <f>SUMIFS(DATA_FUEL!$F$2:$F$20001,DATA_FUEL!$A$2:$A$20001,"&gt;="&amp;Kalkulasi!$B$290,DATA_FUEL!$A$2:$A$20001,"&lt;="&amp;Kalkulasi!$B$291,DATA_FUEL!$D$2:$D$20001,Kalkulasi!$B$293,DATA_FUEL!$B$2:$B$20001,$A535,DATA_FUEL!$D$2:$D$20001,$C535)</f>
        <v/>
      </c>
      <c r="E535" s="156">
        <f>""</f>
        <v/>
      </c>
      <c r="F535" s="156">
        <f>D535+ROW()/1000000</f>
        <v/>
      </c>
      <c r="G535" s="156" t="n">
        <v>138</v>
      </c>
      <c r="H535" s="156">
        <f>INDEX($A$398:$A$548,MATCH(LARGE($F$398:$F$548,G535),$F$398:$F$548,0))</f>
        <v/>
      </c>
      <c r="I535" s="156">
        <f>INDEX($B$398:$B$548,MATCH(LARGE($F$398:$F$548,G535),$F$398:$F$548,0))</f>
        <v/>
      </c>
      <c r="J535" s="156">
        <f>INDEX($C$398:$C$548,MATCH(LARGE($F$398:$F$548,G535),$F$398:$F$548,0))</f>
        <v/>
      </c>
      <c r="K535" s="156">
        <f>INDEX($D$398:$D$548,MATCH(LARGE($F$398:$F$548,G535),$F$398:$F$548,0))</f>
        <v/>
      </c>
      <c r="L535" s="156">
        <f>INDEX($E$398:$E$548,MATCH(LARGE($F$398:$F$548,G535),$F$398:$F$548,0))</f>
        <v/>
      </c>
      <c r="M535" s="187">
        <f>IF(OR(L535="",L535=0),"",K535/L535)</f>
        <v/>
      </c>
    </row>
    <row r="536">
      <c r="A536" s="156" t="inlineStr">
        <is>
          <t>WP-02</t>
        </is>
      </c>
      <c r="B536" s="156" t="inlineStr">
        <is>
          <t>Pompa air</t>
        </is>
      </c>
      <c r="C536" s="156" t="inlineStr">
        <is>
          <t>Aux</t>
        </is>
      </c>
      <c r="D536" s="183">
        <f>SUMIFS(DATA_FUEL!$F$2:$F$20001,DATA_FUEL!$A$2:$A$20001,"&gt;="&amp;Kalkulasi!$B$290,DATA_FUEL!$A$2:$A$20001,"&lt;="&amp;Kalkulasi!$B$291,DATA_FUEL!$D$2:$D$20001,Kalkulasi!$B$293,DATA_FUEL!$B$2:$B$20001,$A536,DATA_FUEL!$D$2:$D$20001,$C536)</f>
        <v/>
      </c>
      <c r="E536" s="156">
        <f>""</f>
        <v/>
      </c>
      <c r="F536" s="156">
        <f>D536+ROW()/1000000</f>
        <v/>
      </c>
      <c r="G536" s="156" t="n">
        <v>139</v>
      </c>
      <c r="H536" s="156">
        <f>INDEX($A$398:$A$548,MATCH(LARGE($F$398:$F$548,G536),$F$398:$F$548,0))</f>
        <v/>
      </c>
      <c r="I536" s="156">
        <f>INDEX($B$398:$B$548,MATCH(LARGE($F$398:$F$548,G536),$F$398:$F$548,0))</f>
        <v/>
      </c>
      <c r="J536" s="156">
        <f>INDEX($C$398:$C$548,MATCH(LARGE($F$398:$F$548,G536),$F$398:$F$548,0))</f>
        <v/>
      </c>
      <c r="K536" s="156">
        <f>INDEX($D$398:$D$548,MATCH(LARGE($F$398:$F$548,G536),$F$398:$F$548,0))</f>
        <v/>
      </c>
      <c r="L536" s="156">
        <f>INDEX($E$398:$E$548,MATCH(LARGE($F$398:$F$548,G536),$F$398:$F$548,0))</f>
        <v/>
      </c>
      <c r="M536" s="187">
        <f>IF(OR(L536="",L536=0),"",K536/L536)</f>
        <v/>
      </c>
    </row>
    <row r="537">
      <c r="A537" s="156" t="inlineStr">
        <is>
          <t>VD-03</t>
        </is>
      </c>
      <c r="B537" s="156" t="inlineStr">
        <is>
          <t>Vendor</t>
        </is>
      </c>
      <c r="C537" s="156" t="inlineStr">
        <is>
          <t>Vendor</t>
        </is>
      </c>
      <c r="D537" s="183">
        <f>SUMIFS(DATA_FUEL!$F$2:$F$20001,DATA_FUEL!$A$2:$A$20001,"&gt;="&amp;Kalkulasi!$B$290,DATA_FUEL!$A$2:$A$20001,"&lt;="&amp;Kalkulasi!$B$291,DATA_FUEL!$D$2:$D$20001,Kalkulasi!$B$293,DATA_FUEL!$B$2:$B$20001,$A537,DATA_FUEL!$D$2:$D$20001,$C537)</f>
        <v/>
      </c>
      <c r="E537" s="156">
        <f>""</f>
        <v/>
      </c>
      <c r="F537" s="156">
        <f>D537+ROW()/1000000</f>
        <v/>
      </c>
      <c r="G537" s="156" t="n">
        <v>140</v>
      </c>
      <c r="H537" s="156">
        <f>INDEX($A$398:$A$548,MATCH(LARGE($F$398:$F$548,G537),$F$398:$F$548,0))</f>
        <v/>
      </c>
      <c r="I537" s="156">
        <f>INDEX($B$398:$B$548,MATCH(LARGE($F$398:$F$548,G537),$F$398:$F$548,0))</f>
        <v/>
      </c>
      <c r="J537" s="156">
        <f>INDEX($C$398:$C$548,MATCH(LARGE($F$398:$F$548,G537),$F$398:$F$548,0))</f>
        <v/>
      </c>
      <c r="K537" s="156">
        <f>INDEX($D$398:$D$548,MATCH(LARGE($F$398:$F$548,G537),$F$398:$F$548,0))</f>
        <v/>
      </c>
      <c r="L537" s="156">
        <f>INDEX($E$398:$E$548,MATCH(LARGE($F$398:$F$548,G537),$F$398:$F$548,0))</f>
        <v/>
      </c>
      <c r="M537" s="187">
        <f>IF(OR(L537="",L537=0),"",K537/L537)</f>
        <v/>
      </c>
    </row>
    <row r="538">
      <c r="A538" s="156" t="inlineStr">
        <is>
          <t>LV-02</t>
        </is>
      </c>
      <c r="B538" s="156" t="inlineStr">
        <is>
          <t>LV &amp; sarana</t>
        </is>
      </c>
      <c r="C538" s="156" t="inlineStr">
        <is>
          <t>Aux</t>
        </is>
      </c>
      <c r="D538" s="183">
        <f>SUMIFS(DATA_FUEL!$F$2:$F$20001,DATA_FUEL!$A$2:$A$20001,"&gt;="&amp;Kalkulasi!$B$290,DATA_FUEL!$A$2:$A$20001,"&lt;="&amp;Kalkulasi!$B$291,DATA_FUEL!$D$2:$D$20001,Kalkulasi!$B$293,DATA_FUEL!$B$2:$B$20001,$A538,DATA_FUEL!$D$2:$D$20001,$C538)</f>
        <v/>
      </c>
      <c r="E538" s="156">
        <f>""</f>
        <v/>
      </c>
      <c r="F538" s="156">
        <f>D538+ROW()/1000000</f>
        <v/>
      </c>
      <c r="G538" s="156" t="n">
        <v>141</v>
      </c>
      <c r="H538" s="156">
        <f>INDEX($A$398:$A$548,MATCH(LARGE($F$398:$F$548,G538),$F$398:$F$548,0))</f>
        <v/>
      </c>
      <c r="I538" s="156">
        <f>INDEX($B$398:$B$548,MATCH(LARGE($F$398:$F$548,G538),$F$398:$F$548,0))</f>
        <v/>
      </c>
      <c r="J538" s="156">
        <f>INDEX($C$398:$C$548,MATCH(LARGE($F$398:$F$548,G538),$F$398:$F$548,0))</f>
        <v/>
      </c>
      <c r="K538" s="156">
        <f>INDEX($D$398:$D$548,MATCH(LARGE($F$398:$F$548,G538),$F$398:$F$548,0))</f>
        <v/>
      </c>
      <c r="L538" s="156">
        <f>INDEX($E$398:$E$548,MATCH(LARGE($F$398:$F$548,G538),$F$398:$F$548,0))</f>
        <v/>
      </c>
      <c r="M538" s="187">
        <f>IF(OR(L538="",L538=0),"",K538/L538)</f>
        <v/>
      </c>
    </row>
    <row r="539">
      <c r="A539" s="156" t="inlineStr">
        <is>
          <t>LV-13</t>
        </is>
      </c>
      <c r="B539" s="156" t="inlineStr">
        <is>
          <t>LV &amp; sarana</t>
        </is>
      </c>
      <c r="C539" s="156" t="inlineStr">
        <is>
          <t>Mining</t>
        </is>
      </c>
      <c r="D539" s="183">
        <f>SUMIFS(DATA_FUEL!$F$2:$F$20001,DATA_FUEL!$A$2:$A$20001,"&gt;="&amp;Kalkulasi!$B$290,DATA_FUEL!$A$2:$A$20001,"&lt;="&amp;Kalkulasi!$B$291,DATA_FUEL!$D$2:$D$20001,Kalkulasi!$B$293,DATA_FUEL!$B$2:$B$20001,$A539,DATA_FUEL!$D$2:$D$20001,$C539)</f>
        <v/>
      </c>
      <c r="E539" s="156">
        <f>""</f>
        <v/>
      </c>
      <c r="F539" s="156">
        <f>D539+ROW()/1000000</f>
        <v/>
      </c>
      <c r="G539" s="156" t="n">
        <v>142</v>
      </c>
      <c r="H539" s="156">
        <f>INDEX($A$398:$A$548,MATCH(LARGE($F$398:$F$548,G539),$F$398:$F$548,0))</f>
        <v/>
      </c>
      <c r="I539" s="156">
        <f>INDEX($B$398:$B$548,MATCH(LARGE($F$398:$F$548,G539),$F$398:$F$548,0))</f>
        <v/>
      </c>
      <c r="J539" s="156">
        <f>INDEX($C$398:$C$548,MATCH(LARGE($F$398:$F$548,G539),$F$398:$F$548,0))</f>
        <v/>
      </c>
      <c r="K539" s="156">
        <f>INDEX($D$398:$D$548,MATCH(LARGE($F$398:$F$548,G539),$F$398:$F$548,0))</f>
        <v/>
      </c>
      <c r="L539" s="156">
        <f>INDEX($E$398:$E$548,MATCH(LARGE($F$398:$F$548,G539),$F$398:$F$548,0))</f>
        <v/>
      </c>
      <c r="M539" s="187">
        <f>IF(OR(L539="",L539=0),"",K539/L539)</f>
        <v/>
      </c>
    </row>
    <row r="540">
      <c r="A540" s="156" t="inlineStr">
        <is>
          <t>AL-12</t>
        </is>
      </c>
      <c r="B540" s="156" t="inlineStr">
        <is>
          <t>Alat lain</t>
        </is>
      </c>
      <c r="C540" s="156" t="inlineStr">
        <is>
          <t>Aux</t>
        </is>
      </c>
      <c r="D540" s="183">
        <f>SUMIFS(DATA_FUEL!$F$2:$F$20001,DATA_FUEL!$A$2:$A$20001,"&gt;="&amp;Kalkulasi!$B$290,DATA_FUEL!$A$2:$A$20001,"&lt;="&amp;Kalkulasi!$B$291,DATA_FUEL!$D$2:$D$20001,Kalkulasi!$B$293,DATA_FUEL!$B$2:$B$20001,$A540,DATA_FUEL!$D$2:$D$20001,$C540)</f>
        <v/>
      </c>
      <c r="E540" s="156">
        <f>""</f>
        <v/>
      </c>
      <c r="F540" s="156">
        <f>D540+ROW()/1000000</f>
        <v/>
      </c>
      <c r="G540" s="156" t="n">
        <v>143</v>
      </c>
      <c r="H540" s="156">
        <f>INDEX($A$398:$A$548,MATCH(LARGE($F$398:$F$548,G540),$F$398:$F$548,0))</f>
        <v/>
      </c>
      <c r="I540" s="156">
        <f>INDEX($B$398:$B$548,MATCH(LARGE($F$398:$F$548,G540),$F$398:$F$548,0))</f>
        <v/>
      </c>
      <c r="J540" s="156">
        <f>INDEX($C$398:$C$548,MATCH(LARGE($F$398:$F$548,G540),$F$398:$F$548,0))</f>
        <v/>
      </c>
      <c r="K540" s="156">
        <f>INDEX($D$398:$D$548,MATCH(LARGE($F$398:$F$548,G540),$F$398:$F$548,0))</f>
        <v/>
      </c>
      <c r="L540" s="156">
        <f>INDEX($E$398:$E$548,MATCH(LARGE($F$398:$F$548,G540),$F$398:$F$548,0))</f>
        <v/>
      </c>
      <c r="M540" s="187">
        <f>IF(OR(L540="",L540=0),"",K540/L540)</f>
        <v/>
      </c>
    </row>
    <row r="541">
      <c r="A541" s="156" t="inlineStr">
        <is>
          <t>VD-04</t>
        </is>
      </c>
      <c r="B541" s="156" t="inlineStr">
        <is>
          <t>Vendor</t>
        </is>
      </c>
      <c r="C541" s="156" t="inlineStr">
        <is>
          <t>Vendor</t>
        </is>
      </c>
      <c r="D541" s="183">
        <f>SUMIFS(DATA_FUEL!$F$2:$F$20001,DATA_FUEL!$A$2:$A$20001,"&gt;="&amp;Kalkulasi!$B$290,DATA_FUEL!$A$2:$A$20001,"&lt;="&amp;Kalkulasi!$B$291,DATA_FUEL!$D$2:$D$20001,Kalkulasi!$B$293,DATA_FUEL!$B$2:$B$20001,$A541,DATA_FUEL!$D$2:$D$20001,$C541)</f>
        <v/>
      </c>
      <c r="E541" s="156">
        <f>""</f>
        <v/>
      </c>
      <c r="F541" s="156">
        <f>D541+ROW()/1000000</f>
        <v/>
      </c>
      <c r="G541" s="156" t="n">
        <v>144</v>
      </c>
      <c r="H541" s="156">
        <f>INDEX($A$398:$A$548,MATCH(LARGE($F$398:$F$548,G541),$F$398:$F$548,0))</f>
        <v/>
      </c>
      <c r="I541" s="156">
        <f>INDEX($B$398:$B$548,MATCH(LARGE($F$398:$F$548,G541),$F$398:$F$548,0))</f>
        <v/>
      </c>
      <c r="J541" s="156">
        <f>INDEX($C$398:$C$548,MATCH(LARGE($F$398:$F$548,G541),$F$398:$F$548,0))</f>
        <v/>
      </c>
      <c r="K541" s="156">
        <f>INDEX($D$398:$D$548,MATCH(LARGE($F$398:$F$548,G541),$F$398:$F$548,0))</f>
        <v/>
      </c>
      <c r="L541" s="156">
        <f>INDEX($E$398:$E$548,MATCH(LARGE($F$398:$F$548,G541),$F$398:$F$548,0))</f>
        <v/>
      </c>
      <c r="M541" s="187">
        <f>IF(OR(L541="",L541=0),"",K541/L541)</f>
        <v/>
      </c>
    </row>
    <row r="542">
      <c r="A542" s="156" t="inlineStr">
        <is>
          <t>VD-05</t>
        </is>
      </c>
      <c r="B542" s="156" t="inlineStr">
        <is>
          <t>Vendor</t>
        </is>
      </c>
      <c r="C542" s="156" t="inlineStr">
        <is>
          <t>Vendor</t>
        </is>
      </c>
      <c r="D542" s="183">
        <f>SUMIFS(DATA_FUEL!$F$2:$F$20001,DATA_FUEL!$A$2:$A$20001,"&gt;="&amp;Kalkulasi!$B$290,DATA_FUEL!$A$2:$A$20001,"&lt;="&amp;Kalkulasi!$B$291,DATA_FUEL!$D$2:$D$20001,Kalkulasi!$B$293,DATA_FUEL!$B$2:$B$20001,$A542,DATA_FUEL!$D$2:$D$20001,$C542)</f>
        <v/>
      </c>
      <c r="E542" s="156">
        <f>""</f>
        <v/>
      </c>
      <c r="F542" s="156">
        <f>D542+ROW()/1000000</f>
        <v/>
      </c>
      <c r="G542" s="156" t="n">
        <v>145</v>
      </c>
      <c r="H542" s="156">
        <f>INDEX($A$398:$A$548,MATCH(LARGE($F$398:$F$548,G542),$F$398:$F$548,0))</f>
        <v/>
      </c>
      <c r="I542" s="156">
        <f>INDEX($B$398:$B$548,MATCH(LARGE($F$398:$F$548,G542),$F$398:$F$548,0))</f>
        <v/>
      </c>
      <c r="J542" s="156">
        <f>INDEX($C$398:$C$548,MATCH(LARGE($F$398:$F$548,G542),$F$398:$F$548,0))</f>
        <v/>
      </c>
      <c r="K542" s="156">
        <f>INDEX($D$398:$D$548,MATCH(LARGE($F$398:$F$548,G542),$F$398:$F$548,0))</f>
        <v/>
      </c>
      <c r="L542" s="156">
        <f>INDEX($E$398:$E$548,MATCH(LARGE($F$398:$F$548,G542),$F$398:$F$548,0))</f>
        <v/>
      </c>
      <c r="M542" s="187">
        <f>IF(OR(L542="",L542=0),"",K542/L542)</f>
        <v/>
      </c>
    </row>
    <row r="543">
      <c r="A543" s="156" t="inlineStr">
        <is>
          <t>LV-08</t>
        </is>
      </c>
      <c r="B543" s="156" t="inlineStr">
        <is>
          <t>LV &amp; sarana</t>
        </is>
      </c>
      <c r="C543" s="156" t="inlineStr">
        <is>
          <t>Aux</t>
        </is>
      </c>
      <c r="D543" s="183">
        <f>SUMIFS(DATA_FUEL!$F$2:$F$20001,DATA_FUEL!$A$2:$A$20001,"&gt;="&amp;Kalkulasi!$B$290,DATA_FUEL!$A$2:$A$20001,"&lt;="&amp;Kalkulasi!$B$291,DATA_FUEL!$D$2:$D$20001,Kalkulasi!$B$293,DATA_FUEL!$B$2:$B$20001,$A543,DATA_FUEL!$D$2:$D$20001,$C543)</f>
        <v/>
      </c>
      <c r="E543" s="156">
        <f>""</f>
        <v/>
      </c>
      <c r="F543" s="156">
        <f>D543+ROW()/1000000</f>
        <v/>
      </c>
      <c r="G543" s="156" t="n">
        <v>146</v>
      </c>
      <c r="H543" s="156">
        <f>INDEX($A$398:$A$548,MATCH(LARGE($F$398:$F$548,G543),$F$398:$F$548,0))</f>
        <v/>
      </c>
      <c r="I543" s="156">
        <f>INDEX($B$398:$B$548,MATCH(LARGE($F$398:$F$548,G543),$F$398:$F$548,0))</f>
        <v/>
      </c>
      <c r="J543" s="156">
        <f>INDEX($C$398:$C$548,MATCH(LARGE($F$398:$F$548,G543),$F$398:$F$548,0))</f>
        <v/>
      </c>
      <c r="K543" s="156">
        <f>INDEX($D$398:$D$548,MATCH(LARGE($F$398:$F$548,G543),$F$398:$F$548,0))</f>
        <v/>
      </c>
      <c r="L543" s="156">
        <f>INDEX($E$398:$E$548,MATCH(LARGE($F$398:$F$548,G543),$F$398:$F$548,0))</f>
        <v/>
      </c>
      <c r="M543" s="187">
        <f>IF(OR(L543="",L543=0),"",K543/L543)</f>
        <v/>
      </c>
    </row>
    <row r="544">
      <c r="A544" s="156" t="inlineStr">
        <is>
          <t>AL-03</t>
        </is>
      </c>
      <c r="B544" s="156" t="inlineStr">
        <is>
          <t>Alat lain</t>
        </is>
      </c>
      <c r="C544" s="156" t="inlineStr">
        <is>
          <t>Mining</t>
        </is>
      </c>
      <c r="D544" s="183">
        <f>SUMIFS(DATA_FUEL!$F$2:$F$20001,DATA_FUEL!$A$2:$A$20001,"&gt;="&amp;Kalkulasi!$B$290,DATA_FUEL!$A$2:$A$20001,"&lt;="&amp;Kalkulasi!$B$291,DATA_FUEL!$D$2:$D$20001,Kalkulasi!$B$293,DATA_FUEL!$B$2:$B$20001,$A544,DATA_FUEL!$D$2:$D$20001,$C544)</f>
        <v/>
      </c>
      <c r="E544" s="156">
        <f>""</f>
        <v/>
      </c>
      <c r="F544" s="156">
        <f>D544+ROW()/1000000</f>
        <v/>
      </c>
      <c r="G544" s="156" t="n">
        <v>147</v>
      </c>
      <c r="H544" s="156">
        <f>INDEX($A$398:$A$548,MATCH(LARGE($F$398:$F$548,G544),$F$398:$F$548,0))</f>
        <v/>
      </c>
      <c r="I544" s="156">
        <f>INDEX($B$398:$B$548,MATCH(LARGE($F$398:$F$548,G544),$F$398:$F$548,0))</f>
        <v/>
      </c>
      <c r="J544" s="156">
        <f>INDEX($C$398:$C$548,MATCH(LARGE($F$398:$F$548,G544),$F$398:$F$548,0))</f>
        <v/>
      </c>
      <c r="K544" s="156">
        <f>INDEX($D$398:$D$548,MATCH(LARGE($F$398:$F$548,G544),$F$398:$F$548,0))</f>
        <v/>
      </c>
      <c r="L544" s="156">
        <f>INDEX($E$398:$E$548,MATCH(LARGE($F$398:$F$548,G544),$F$398:$F$548,0))</f>
        <v/>
      </c>
      <c r="M544" s="187">
        <f>IF(OR(L544="",L544=0),"",K544/L544)</f>
        <v/>
      </c>
    </row>
    <row r="545">
      <c r="A545" s="156" t="inlineStr">
        <is>
          <t>AL-02</t>
        </is>
      </c>
      <c r="B545" s="156" t="inlineStr">
        <is>
          <t>Alat lain</t>
        </is>
      </c>
      <c r="C545" s="156" t="inlineStr">
        <is>
          <t>Mining</t>
        </is>
      </c>
      <c r="D545" s="183">
        <f>SUMIFS(DATA_FUEL!$F$2:$F$20001,DATA_FUEL!$A$2:$A$20001,"&gt;="&amp;Kalkulasi!$B$290,DATA_FUEL!$A$2:$A$20001,"&lt;="&amp;Kalkulasi!$B$291,DATA_FUEL!$D$2:$D$20001,Kalkulasi!$B$293,DATA_FUEL!$B$2:$B$20001,$A545,DATA_FUEL!$D$2:$D$20001,$C545)</f>
        <v/>
      </c>
      <c r="E545" s="156">
        <f>""</f>
        <v/>
      </c>
      <c r="F545" s="156">
        <f>D545+ROW()/1000000</f>
        <v/>
      </c>
      <c r="G545" s="156" t="n">
        <v>148</v>
      </c>
      <c r="H545" s="156">
        <f>INDEX($A$398:$A$548,MATCH(LARGE($F$398:$F$548,G545),$F$398:$F$548,0))</f>
        <v/>
      </c>
      <c r="I545" s="156">
        <f>INDEX($B$398:$B$548,MATCH(LARGE($F$398:$F$548,G545),$F$398:$F$548,0))</f>
        <v/>
      </c>
      <c r="J545" s="156">
        <f>INDEX($C$398:$C$548,MATCH(LARGE($F$398:$F$548,G545),$F$398:$F$548,0))</f>
        <v/>
      </c>
      <c r="K545" s="156">
        <f>INDEX($D$398:$D$548,MATCH(LARGE($F$398:$F$548,G545),$F$398:$F$548,0))</f>
        <v/>
      </c>
      <c r="L545" s="156">
        <f>INDEX($E$398:$E$548,MATCH(LARGE($F$398:$F$548,G545),$F$398:$F$548,0))</f>
        <v/>
      </c>
      <c r="M545" s="187">
        <f>IF(OR(L545="",L545=0),"",K545/L545)</f>
        <v/>
      </c>
    </row>
    <row r="546">
      <c r="A546" s="156" t="inlineStr">
        <is>
          <t>AL-06</t>
        </is>
      </c>
      <c r="B546" s="156" t="inlineStr">
        <is>
          <t>Alat lain</t>
        </is>
      </c>
      <c r="C546" s="156" t="inlineStr">
        <is>
          <t>Aux</t>
        </is>
      </c>
      <c r="D546" s="183">
        <f>SUMIFS(DATA_FUEL!$F$2:$F$20001,DATA_FUEL!$A$2:$A$20001,"&gt;="&amp;Kalkulasi!$B$290,DATA_FUEL!$A$2:$A$20001,"&lt;="&amp;Kalkulasi!$B$291,DATA_FUEL!$D$2:$D$20001,Kalkulasi!$B$293,DATA_FUEL!$B$2:$B$20001,$A546,DATA_FUEL!$D$2:$D$20001,$C546)</f>
        <v/>
      </c>
      <c r="E546" s="156">
        <f>""</f>
        <v/>
      </c>
      <c r="F546" s="156">
        <f>D546+ROW()/1000000</f>
        <v/>
      </c>
      <c r="G546" s="156" t="n">
        <v>149</v>
      </c>
      <c r="H546" s="156">
        <f>INDEX($A$398:$A$548,MATCH(LARGE($F$398:$F$548,G546),$F$398:$F$548,0))</f>
        <v/>
      </c>
      <c r="I546" s="156">
        <f>INDEX($B$398:$B$548,MATCH(LARGE($F$398:$F$548,G546),$F$398:$F$548,0))</f>
        <v/>
      </c>
      <c r="J546" s="156">
        <f>INDEX($C$398:$C$548,MATCH(LARGE($F$398:$F$548,G546),$F$398:$F$548,0))</f>
        <v/>
      </c>
      <c r="K546" s="156">
        <f>INDEX($D$398:$D$548,MATCH(LARGE($F$398:$F$548,G546),$F$398:$F$548,0))</f>
        <v/>
      </c>
      <c r="L546" s="156">
        <f>INDEX($E$398:$E$548,MATCH(LARGE($F$398:$F$548,G546),$F$398:$F$548,0))</f>
        <v/>
      </c>
      <c r="M546" s="187">
        <f>IF(OR(L546="",L546=0),"",K546/L546)</f>
        <v/>
      </c>
    </row>
    <row r="547">
      <c r="A547" s="156" t="inlineStr">
        <is>
          <t>WP-01</t>
        </is>
      </c>
      <c r="B547" s="156" t="inlineStr">
        <is>
          <t>Pompa air</t>
        </is>
      </c>
      <c r="C547" s="156" t="inlineStr">
        <is>
          <t>Aux</t>
        </is>
      </c>
      <c r="D547" s="183">
        <f>SUMIFS(DATA_FUEL!$F$2:$F$20001,DATA_FUEL!$A$2:$A$20001,"&gt;="&amp;Kalkulasi!$B$290,DATA_FUEL!$A$2:$A$20001,"&lt;="&amp;Kalkulasi!$B$291,DATA_FUEL!$D$2:$D$20001,Kalkulasi!$B$293,DATA_FUEL!$B$2:$B$20001,$A547,DATA_FUEL!$D$2:$D$20001,$C547)</f>
        <v/>
      </c>
      <c r="E547" s="156">
        <f>""</f>
        <v/>
      </c>
      <c r="F547" s="156">
        <f>D547+ROW()/1000000</f>
        <v/>
      </c>
      <c r="G547" s="156" t="n">
        <v>150</v>
      </c>
      <c r="H547" s="156">
        <f>INDEX($A$398:$A$548,MATCH(LARGE($F$398:$F$548,G547),$F$398:$F$548,0))</f>
        <v/>
      </c>
      <c r="I547" s="156">
        <f>INDEX($B$398:$B$548,MATCH(LARGE($F$398:$F$548,G547),$F$398:$F$548,0))</f>
        <v/>
      </c>
      <c r="J547" s="156">
        <f>INDEX($C$398:$C$548,MATCH(LARGE($F$398:$F$548,G547),$F$398:$F$548,0))</f>
        <v/>
      </c>
      <c r="K547" s="156">
        <f>INDEX($D$398:$D$548,MATCH(LARGE($F$398:$F$548,G547),$F$398:$F$548,0))</f>
        <v/>
      </c>
      <c r="L547" s="156">
        <f>INDEX($E$398:$E$548,MATCH(LARGE($F$398:$F$548,G547),$F$398:$F$548,0))</f>
        <v/>
      </c>
      <c r="M547" s="187">
        <f>IF(OR(L547="",L547=0),"",K547/L547)</f>
        <v/>
      </c>
    </row>
    <row r="548">
      <c r="A548" s="156" t="inlineStr">
        <is>
          <t>DT-801</t>
        </is>
      </c>
      <c r="B548" s="156" t="inlineStr">
        <is>
          <t>Hauler</t>
        </is>
      </c>
      <c r="C548" s="156" t="inlineStr">
        <is>
          <t>Mining</t>
        </is>
      </c>
      <c r="D548" s="183">
        <f>SUMIFS(DATA_FUEL!$F$2:$F$20001,DATA_FUEL!$A$2:$A$20001,"&gt;="&amp;Kalkulasi!$B$290,DATA_FUEL!$A$2:$A$20001,"&lt;="&amp;Kalkulasi!$B$291,DATA_FUEL!$D$2:$D$20001,Kalkulasi!$B$293,DATA_FUEL!$B$2:$B$20001,$A548,DATA_FUEL!$D$2:$D$20001,$C548)</f>
        <v/>
      </c>
      <c r="E548" s="156">
        <f>SUMIFS(DATA_TS!$G$2:$G$20001,DATA_TS!$A$2:$A$20001,"&gt;="&amp;Kalkulasi!$B$290,DATA_TS!$A$2:$A$20001,"&lt;="&amp;Kalkulasi!$B$291,DATA_TS!$C$2:$C$20001,$A548)</f>
        <v/>
      </c>
      <c r="F548" s="156">
        <f>D548+ROW()/1000000</f>
        <v/>
      </c>
      <c r="G548" s="156" t="n">
        <v>151</v>
      </c>
      <c r="H548" s="156">
        <f>INDEX($A$398:$A$548,MATCH(LARGE($F$398:$F$548,G548),$F$398:$F$548,0))</f>
        <v/>
      </c>
      <c r="I548" s="156">
        <f>INDEX($B$398:$B$548,MATCH(LARGE($F$398:$F$548,G548),$F$398:$F$548,0))</f>
        <v/>
      </c>
      <c r="J548" s="156">
        <f>INDEX($C$398:$C$548,MATCH(LARGE($F$398:$F$548,G548),$F$398:$F$548,0))</f>
        <v/>
      </c>
      <c r="K548" s="156">
        <f>INDEX($D$398:$D$548,MATCH(LARGE($F$398:$F$548,G548),$F$398:$F$548,0))</f>
        <v/>
      </c>
      <c r="L548" s="156">
        <f>INDEX($E$398:$E$548,MATCH(LARGE($F$398:$F$548,G548),$F$398:$F$548,0))</f>
        <v/>
      </c>
      <c r="M548" s="187">
        <f>IF(OR(L548="",L548=0),"",K548/L548)</f>
        <v/>
      </c>
    </row>
    <row r="549">
      <c r="A549" s="156" t="n"/>
      <c r="B549" s="156" t="n"/>
      <c r="C549" s="156" t="n"/>
      <c r="D549" s="156" t="n"/>
      <c r="E549" s="156" t="n"/>
      <c r="F549" s="156" t="n"/>
      <c r="G549" s="156" t="n"/>
      <c r="H549" s="156" t="n"/>
      <c r="I549" s="156" t="n"/>
      <c r="J549" s="156" t="n"/>
      <c r="K549" s="156" t="n"/>
      <c r="L549" s="156" t="n"/>
      <c r="M549" s="156" t="n"/>
    </row>
    <row r="550">
      <c r="A550" s="156" t="n"/>
      <c r="B550" s="156" t="n"/>
      <c r="C550" s="156" t="n"/>
      <c r="D550" s="156" t="n"/>
      <c r="E550" s="156" t="n"/>
      <c r="F550" s="156" t="n"/>
      <c r="G550" s="156" t="n"/>
      <c r="H550" s="156" t="n"/>
      <c r="I550" s="156" t="n"/>
      <c r="J550" s="156" t="n"/>
      <c r="K550" s="156" t="n"/>
      <c r="L550" s="156" t="n"/>
      <c r="M550" s="156" t="n"/>
    </row>
    <row r="551">
      <c r="A551" s="171" t="inlineStr">
        <is>
          <t>PER JAM — daftar tanggal (dari INPUT_RITASE)</t>
        </is>
      </c>
      <c r="D551" s="176" t="inlineStr">
        <is>
          <t>Jam DS / NS</t>
        </is>
      </c>
    </row>
    <row r="552">
      <c r="B552" s="192">
        <f>MIN(INPUT_RITASE!$A$5:$A$20000)</f>
        <v/>
      </c>
      <c r="D552" t="inlineStr">
        <is>
          <t>06-07</t>
        </is>
      </c>
      <c r="E552" t="inlineStr">
        <is>
          <t>18-19</t>
        </is>
      </c>
    </row>
    <row r="553">
      <c r="B553" s="192">
        <f>IF(B552="","",IF(B552+1&gt;MAX(INPUT_RITASE!$A$5:$A$20000),"",B552+1))</f>
        <v/>
      </c>
      <c r="D553" t="inlineStr">
        <is>
          <t>07-08</t>
        </is>
      </c>
      <c r="E553" t="inlineStr">
        <is>
          <t>19-20</t>
        </is>
      </c>
    </row>
    <row r="554">
      <c r="B554" s="192">
        <f>IF(B553="","",IF(B553+1&gt;MAX(INPUT_RITASE!$A$5:$A$20000),"",B553+1))</f>
        <v/>
      </c>
      <c r="D554" t="inlineStr">
        <is>
          <t>08-09</t>
        </is>
      </c>
      <c r="E554" t="inlineStr">
        <is>
          <t>20-21</t>
        </is>
      </c>
    </row>
    <row r="555">
      <c r="B555" s="192">
        <f>IF(B554="","",IF(B554+1&gt;MAX(INPUT_RITASE!$A$5:$A$20000),"",B554+1))</f>
        <v/>
      </c>
      <c r="D555" t="inlineStr">
        <is>
          <t>09-10</t>
        </is>
      </c>
      <c r="E555" t="inlineStr">
        <is>
          <t>21-22</t>
        </is>
      </c>
    </row>
    <row r="556">
      <c r="B556" s="192">
        <f>IF(B555="","",IF(B555+1&gt;MAX(INPUT_RITASE!$A$5:$A$20000),"",B555+1))</f>
        <v/>
      </c>
      <c r="D556" t="inlineStr">
        <is>
          <t>10-11</t>
        </is>
      </c>
      <c r="E556" t="inlineStr">
        <is>
          <t>22-23</t>
        </is>
      </c>
    </row>
    <row r="557">
      <c r="B557" s="192">
        <f>IF(B556="","",IF(B556+1&gt;MAX(INPUT_RITASE!$A$5:$A$20000),"",B556+1))</f>
        <v/>
      </c>
      <c r="D557" t="inlineStr">
        <is>
          <t>11-12</t>
        </is>
      </c>
      <c r="E557" t="inlineStr">
        <is>
          <t>23-24</t>
        </is>
      </c>
    </row>
    <row r="558">
      <c r="B558" s="192">
        <f>IF(B557="","",IF(B557+1&gt;MAX(INPUT_RITASE!$A$5:$A$20000),"",B557+1))</f>
        <v/>
      </c>
      <c r="D558" t="inlineStr">
        <is>
          <t>12-13</t>
        </is>
      </c>
      <c r="E558" t="inlineStr">
        <is>
          <t>00-01</t>
        </is>
      </c>
    </row>
    <row r="559">
      <c r="B559" s="192">
        <f>IF(B558="","",IF(B558+1&gt;MAX(INPUT_RITASE!$A$5:$A$20000),"",B558+1))</f>
        <v/>
      </c>
      <c r="D559" t="inlineStr">
        <is>
          <t>13-14</t>
        </is>
      </c>
      <c r="E559" t="inlineStr">
        <is>
          <t>01-02</t>
        </is>
      </c>
    </row>
    <row r="560">
      <c r="B560" s="192">
        <f>IF(B559="","",IF(B559+1&gt;MAX(INPUT_RITASE!$A$5:$A$20000),"",B559+1))</f>
        <v/>
      </c>
      <c r="D560" t="inlineStr">
        <is>
          <t>14-15</t>
        </is>
      </c>
      <c r="E560" t="inlineStr">
        <is>
          <t>02-03</t>
        </is>
      </c>
    </row>
    <row r="561">
      <c r="B561" s="192">
        <f>IF(B560="","",IF(B560+1&gt;MAX(INPUT_RITASE!$A$5:$A$20000),"",B560+1))</f>
        <v/>
      </c>
      <c r="D561" t="inlineStr">
        <is>
          <t>15-16</t>
        </is>
      </c>
      <c r="E561" t="inlineStr">
        <is>
          <t>03-04</t>
        </is>
      </c>
    </row>
    <row r="562">
      <c r="B562" s="192">
        <f>IF(B561="","",IF(B561+1&gt;MAX(INPUT_RITASE!$A$5:$A$20000),"",B561+1))</f>
        <v/>
      </c>
      <c r="D562" t="inlineStr">
        <is>
          <t>16-17</t>
        </is>
      </c>
      <c r="E562" t="inlineStr">
        <is>
          <t>04-05</t>
        </is>
      </c>
    </row>
    <row r="563">
      <c r="B563" s="192">
        <f>IF(B562="","",IF(B562+1&gt;MAX(INPUT_RITASE!$A$5:$A$20000),"",B562+1))</f>
        <v/>
      </c>
      <c r="D563" t="inlineStr">
        <is>
          <t>17-18</t>
        </is>
      </c>
      <c r="E563" t="inlineStr">
        <is>
          <t>05-06</t>
        </is>
      </c>
    </row>
    <row r="564">
      <c r="B564" s="192">
        <f>IF(B563="","",IF(B563+1&gt;MAX(INPUT_RITASE!$A$5:$A$20000),"",B563+1))</f>
        <v/>
      </c>
    </row>
    <row r="565">
      <c r="B565" s="192">
        <f>IF(B564="","",IF(B564+1&gt;MAX(INPUT_RITASE!$A$5:$A$20000),"",B564+1))</f>
        <v/>
      </c>
    </row>
    <row r="566">
      <c r="B566" s="192">
        <f>IF(B565="","",IF(B565+1&gt;MAX(INPUT_RITASE!$A$5:$A$20000),"",B565+1))</f>
        <v/>
      </c>
    </row>
    <row r="567">
      <c r="B567" s="192">
        <f>IF(B566="","",IF(B566+1&gt;MAX(INPUT_RITASE!$A$5:$A$20000),"",B566+1))</f>
        <v/>
      </c>
    </row>
    <row r="568">
      <c r="B568" s="192">
        <f>IF(B567="","",IF(B567+1&gt;MAX(INPUT_RITASE!$A$5:$A$20000),"",B567+1))</f>
        <v/>
      </c>
    </row>
    <row r="569">
      <c r="B569" s="192">
        <f>IF(B568="","",IF(B568+1&gt;MAX(INPUT_RITASE!$A$5:$A$20000),"",B568+1))</f>
        <v/>
      </c>
    </row>
    <row r="570">
      <c r="B570" s="192">
        <f>IF(B569="","",IF(B569+1&gt;MAX(INPUT_RITASE!$A$5:$A$20000),"",B569+1))</f>
        <v/>
      </c>
    </row>
    <row r="571">
      <c r="B571" s="192">
        <f>IF(B570="","",IF(B570+1&gt;MAX(INPUT_RITASE!$A$5:$A$20000),"",B570+1))</f>
        <v/>
      </c>
    </row>
    <row r="572">
      <c r="B572" s="192">
        <f>IF(B571="","",IF(B571+1&gt;MAX(INPUT_RITASE!$A$5:$A$20000),"",B571+1))</f>
        <v/>
      </c>
    </row>
    <row r="573">
      <c r="B573" s="192">
        <f>IF(B572="","",IF(B572+1&gt;MAX(INPUT_RITASE!$A$5:$A$20000),"",B572+1))</f>
        <v/>
      </c>
    </row>
    <row r="574">
      <c r="B574" s="192">
        <f>IF(B573="","",IF(B573+1&gt;MAX(INPUT_RITASE!$A$5:$A$20000),"",B573+1))</f>
        <v/>
      </c>
    </row>
    <row r="575">
      <c r="B575" s="192">
        <f>IF(B574="","",IF(B574+1&gt;MAX(INPUT_RITASE!$A$5:$A$20000),"",B574+1))</f>
        <v/>
      </c>
    </row>
    <row r="576">
      <c r="B576" s="192">
        <f>IF(B575="","",IF(B575+1&gt;MAX(INPUT_RITASE!$A$5:$A$20000),"",B575+1))</f>
        <v/>
      </c>
    </row>
    <row r="577">
      <c r="B577" s="192">
        <f>IF(B576="","",IF(B576+1&gt;MAX(INPUT_RITASE!$A$5:$A$20000),"",B576+1))</f>
        <v/>
      </c>
    </row>
    <row r="578">
      <c r="B578" s="192">
        <f>IF(B577="","",IF(B577+1&gt;MAX(INPUT_RITASE!$A$5:$A$20000),"",B577+1))</f>
        <v/>
      </c>
    </row>
    <row r="579">
      <c r="B579" s="192">
        <f>IF(B578="","",IF(B578+1&gt;MAX(INPUT_RITASE!$A$5:$A$20000),"",B578+1))</f>
        <v/>
      </c>
    </row>
    <row r="580">
      <c r="B580" s="192">
        <f>IF(B579="","",IF(B579+1&gt;MAX(INPUT_RITASE!$A$5:$A$20000),"",B579+1))</f>
        <v/>
      </c>
    </row>
    <row r="581">
      <c r="B581" s="192">
        <f>IF(B580="","",IF(B580+1&gt;MAX(INPUT_RITASE!$A$5:$A$20000),"",B580+1))</f>
        <v/>
      </c>
    </row>
    <row r="582">
      <c r="B582" s="192">
        <f>IF(B581="","",IF(B581+1&gt;MAX(INPUT_RITASE!$A$5:$A$20000),"",B581+1))</f>
        <v/>
      </c>
    </row>
    <row r="583">
      <c r="B583" s="192">
        <f>IF(B582="","",IF(B582+1&gt;MAX(INPUT_RITASE!$A$5:$A$20000),"",B582+1))</f>
        <v/>
      </c>
    </row>
    <row r="584">
      <c r="B584" s="192">
        <f>IF(B583="","",IF(B583+1&gt;MAX(INPUT_RITASE!$A$5:$A$20000),"",B583+1))</f>
        <v/>
      </c>
    </row>
    <row r="585">
      <c r="B585" s="192">
        <f>IF(B584="","",IF(B584+1&gt;MAX(INPUT_RITASE!$A$5:$A$20000),"",B584+1))</f>
        <v/>
      </c>
    </row>
    <row r="586">
      <c r="B586" s="192">
        <f>IF(B585="","",IF(B585+1&gt;MAX(INPUT_RITASE!$A$5:$A$20000),"",B585+1))</f>
        <v/>
      </c>
    </row>
    <row r="587">
      <c r="B587" s="192">
        <f>IF(B586="","",IF(B586+1&gt;MAX(INPUT_RITASE!$A$5:$A$20000),"",B586+1))</f>
        <v/>
      </c>
    </row>
    <row r="588">
      <c r="B588" s="192">
        <f>IF(B587="","",IF(B587+1&gt;MAX(INPUT_RITASE!$A$5:$A$20000),"",B587+1))</f>
        <v/>
      </c>
    </row>
    <row r="589">
      <c r="B589" s="192">
        <f>IF(B588="","",IF(B588+1&gt;MAX(INPUT_RITASE!$A$5:$A$20000),"",B588+1))</f>
        <v/>
      </c>
    </row>
    <row r="590">
      <c r="B590" s="192">
        <f>IF(B589="","",IF(B589+1&gt;MAX(INPUT_RITASE!$A$5:$A$20000),"",B589+1))</f>
        <v/>
      </c>
    </row>
    <row r="591">
      <c r="B591" s="192">
        <f>IF(B590="","",IF(B590+1&gt;MAX(INPUT_RITASE!$A$5:$A$20000),"",B590+1))</f>
        <v/>
      </c>
    </row>
    <row r="592">
      <c r="B592" s="192">
        <f>IF(B591="","",IF(B591+1&gt;MAX(INPUT_RITASE!$A$5:$A$20000),"",B591+1))</f>
        <v/>
      </c>
    </row>
    <row r="593">
      <c r="B593" s="192">
        <f>IF(B592="","",IF(B592+1&gt;MAX(INPUT_RITASE!$A$5:$A$20000),"",B592+1))</f>
        <v/>
      </c>
    </row>
    <row r="594">
      <c r="B594" s="192">
        <f>IF(B593="","",IF(B593+1&gt;MAX(INPUT_RITASE!$A$5:$A$20000),"",B593+1))</f>
        <v/>
      </c>
    </row>
    <row r="595">
      <c r="B595" s="192">
        <f>IF(B594="","",IF(B594+1&gt;MAX(INPUT_RITASE!$A$5:$A$20000),"",B594+1))</f>
        <v/>
      </c>
    </row>
    <row r="596">
      <c r="B596" s="192">
        <f>IF(B595="","",IF(B595+1&gt;MAX(INPUT_RITASE!$A$5:$A$20000),"",B595+1))</f>
        <v/>
      </c>
    </row>
    <row r="597">
      <c r="B597" s="192">
        <f>IF(B596="","",IF(B596+1&gt;MAX(INPUT_RITASE!$A$5:$A$20000),"",B596+1))</f>
        <v/>
      </c>
    </row>
    <row r="598">
      <c r="B598" s="192">
        <f>IF(B597="","",IF(B597+1&gt;MAX(INPUT_RITASE!$A$5:$A$20000),"",B597+1))</f>
        <v/>
      </c>
    </row>
    <row r="599">
      <c r="B599" s="192">
        <f>IF(B598="","",IF(B598+1&gt;MAX(INPUT_RITASE!$A$5:$A$20000),"",B598+1))</f>
        <v/>
      </c>
    </row>
    <row r="600">
      <c r="B600" s="192">
        <f>IF(B599="","",IF(B599+1&gt;MAX(INPUT_RITASE!$A$5:$A$20000),"",B599+1))</f>
        <v/>
      </c>
    </row>
    <row r="601">
      <c r="B601" s="192">
        <f>IF(B600="","",IF(B600+1&gt;MAX(INPUT_RITASE!$A$5:$A$20000),"",B600+1))</f>
        <v/>
      </c>
    </row>
    <row r="602">
      <c r="B602" s="192">
        <f>IF(B601="","",IF(B601+1&gt;MAX(INPUT_RITASE!$A$5:$A$20000),"",B601+1))</f>
        <v/>
      </c>
    </row>
    <row r="603">
      <c r="B603" s="192">
        <f>IF(B602="","",IF(B602+1&gt;MAX(INPUT_RITASE!$A$5:$A$20000),"",B602+1))</f>
        <v/>
      </c>
    </row>
    <row r="604">
      <c r="B604" s="192">
        <f>IF(B603="","",IF(B603+1&gt;MAX(INPUT_RITASE!$A$5:$A$20000),"",B603+1))</f>
        <v/>
      </c>
    </row>
    <row r="605">
      <c r="B605" s="192">
        <f>IF(B604="","",IF(B604+1&gt;MAX(INPUT_RITASE!$A$5:$A$20000),"",B604+1))</f>
        <v/>
      </c>
    </row>
    <row r="606">
      <c r="B606" s="192">
        <f>IF(B605="","",IF(B605+1&gt;MAX(INPUT_RITASE!$A$5:$A$20000),"",B605+1))</f>
        <v/>
      </c>
    </row>
    <row r="607">
      <c r="B607" s="192">
        <f>IF(B606="","",IF(B606+1&gt;MAX(INPUT_RITASE!$A$5:$A$20000),"",B606+1))</f>
        <v/>
      </c>
    </row>
    <row r="608">
      <c r="B608" s="192">
        <f>IF(B607="","",IF(B607+1&gt;MAX(INPUT_RITASE!$A$5:$A$20000),"",B607+1))</f>
        <v/>
      </c>
    </row>
    <row r="609">
      <c r="B609" s="192">
        <f>IF(B608="","",IF(B608+1&gt;MAX(INPUT_RITASE!$A$5:$A$20000),"",B608+1))</f>
        <v/>
      </c>
    </row>
    <row r="610">
      <c r="B610" s="192">
        <f>IF(B609="","",IF(B609+1&gt;MAX(INPUT_RITASE!$A$5:$A$20000),"",B609+1))</f>
        <v/>
      </c>
    </row>
    <row r="611">
      <c r="B611" s="192">
        <f>IF(B610="","",IF(B610+1&gt;MAX(INPUT_RITASE!$A$5:$A$20000),"",B610+1))</f>
        <v/>
      </c>
    </row>
    <row r="612">
      <c r="B612" s="192">
        <f>IF(B611="","",IF(B611+1&gt;MAX(INPUT_RITASE!$A$5:$A$20000),"",B611+1))</f>
        <v/>
      </c>
    </row>
    <row r="613">
      <c r="B613" s="192">
        <f>IF(B612="","",IF(B612+1&gt;MAX(INPUT_RITASE!$A$5:$A$20000),"",B612+1))</f>
        <v/>
      </c>
    </row>
    <row r="616">
      <c r="A616" s="171" t="inlineStr">
        <is>
          <t>PER JAM — filter</t>
        </is>
      </c>
    </row>
    <row r="617">
      <c r="A617" t="inlineStr">
        <is>
          <t>Tanggal</t>
        </is>
      </c>
      <c r="B617" s="192">
        <f>'PTY per Jam'!$E$6</f>
        <v/>
      </c>
    </row>
    <row r="618">
      <c r="A618" t="inlineStr">
        <is>
          <t>Shift</t>
        </is>
      </c>
      <c r="B618">
        <f>'PTY per Jam'!$I$6</f>
        <v/>
      </c>
    </row>
    <row r="619">
      <c r="A619" t="inlineStr">
        <is>
          <t>Grup</t>
        </is>
      </c>
      <c r="B619">
        <f>'PTY per Jam'!$L$6</f>
        <v/>
      </c>
    </row>
    <row r="620">
      <c r="A620" t="inlineStr">
        <is>
          <t>Jam laporan</t>
        </is>
      </c>
      <c r="B620">
        <f>'PTY per Jam'!$O$6</f>
        <v/>
      </c>
    </row>
    <row r="621">
      <c r="A621" t="inlineStr">
        <is>
          <t>Plan shift (grup)</t>
        </is>
      </c>
      <c r="B621" s="194">
        <f>IFERROR(IF(Kalkulasi!$B$619="OB",INDEX(DATA_PLAN!$B$2:$B$20001,MATCH(Kalkulasi!$B$617,DATA_PLAN!$A$2:$A$20001,0)),INDEX(DATA_PLAN!$C$2:$C$20001,MATCH(Kalkulasi!$B$617,DATA_PLAN!$A$2:$A$20001,0))),0)/2</f>
        <v/>
      </c>
    </row>
    <row r="622">
      <c r="A622" t="inlineStr">
        <is>
          <t>Baris input perlu dicek</t>
        </is>
      </c>
      <c r="B622" s="193">
        <f>COUNTIF(INPUT_RITASE!$O$5:$O$20000,"*?")-COUNTIF(INPUT_RITASE!$O$5:$O$20000,"OK")+COUNTIF(INPUT_DELAY!$H$5:$H$20000,"*?")-COUNTIF(INPUT_DELAY!$H$5:$H$20000,"OK")</f>
        <v/>
      </c>
    </row>
    <row r="624">
      <c r="A624" s="171" t="inlineStr">
        <is>
          <t>PER JAM — jam shift terpilih</t>
        </is>
      </c>
    </row>
    <row r="625">
      <c r="A625">
        <f>IF(Kalkulasi!$B$618="DS",INDEX(Kalkulasi!$D$552:$D$563,1),INDEX(Kalkulasi!$E$552:$E$563,1))</f>
        <v/>
      </c>
    </row>
    <row r="626">
      <c r="A626">
        <f>IF(Kalkulasi!$B$618="DS",INDEX(Kalkulasi!$D$552:$D$563,2),INDEX(Kalkulasi!$E$552:$E$563,2))</f>
        <v/>
      </c>
    </row>
    <row r="627">
      <c r="A627">
        <f>IF(Kalkulasi!$B$618="DS",INDEX(Kalkulasi!$D$552:$D$563,3),INDEX(Kalkulasi!$E$552:$E$563,3))</f>
        <v/>
      </c>
    </row>
    <row r="628">
      <c r="A628">
        <f>IF(Kalkulasi!$B$618="DS",INDEX(Kalkulasi!$D$552:$D$563,4),INDEX(Kalkulasi!$E$552:$E$563,4))</f>
        <v/>
      </c>
    </row>
    <row r="629">
      <c r="A629">
        <f>IF(Kalkulasi!$B$618="DS",INDEX(Kalkulasi!$D$552:$D$563,5),INDEX(Kalkulasi!$E$552:$E$563,5))</f>
        <v/>
      </c>
    </row>
    <row r="630">
      <c r="A630">
        <f>IF(Kalkulasi!$B$618="DS",INDEX(Kalkulasi!$D$552:$D$563,6),INDEX(Kalkulasi!$E$552:$E$563,6))</f>
        <v/>
      </c>
    </row>
    <row r="631">
      <c r="A631">
        <f>IF(Kalkulasi!$B$618="DS",INDEX(Kalkulasi!$D$552:$D$563,7),INDEX(Kalkulasi!$E$552:$E$563,7))</f>
        <v/>
      </c>
    </row>
    <row r="632">
      <c r="A632">
        <f>IF(Kalkulasi!$B$618="DS",INDEX(Kalkulasi!$D$552:$D$563,8),INDEX(Kalkulasi!$E$552:$E$563,8))</f>
        <v/>
      </c>
    </row>
    <row r="633">
      <c r="A633">
        <f>IF(Kalkulasi!$B$618="DS",INDEX(Kalkulasi!$D$552:$D$563,9),INDEX(Kalkulasi!$E$552:$E$563,9))</f>
        <v/>
      </c>
    </row>
    <row r="634">
      <c r="A634">
        <f>IF(Kalkulasi!$B$618="DS",INDEX(Kalkulasi!$D$552:$D$563,10),INDEX(Kalkulasi!$E$552:$E$563,10))</f>
        <v/>
      </c>
    </row>
    <row r="635">
      <c r="A635">
        <f>IF(Kalkulasi!$B$618="DS",INDEX(Kalkulasi!$D$552:$D$563,11),INDEX(Kalkulasi!$E$552:$E$563,11))</f>
        <v/>
      </c>
    </row>
    <row r="636">
      <c r="A636">
        <f>IF(Kalkulasi!$B$618="DS",INDEX(Kalkulasi!$D$552:$D$563,12),INDEX(Kalkulasi!$E$552:$E$563,12))</f>
        <v/>
      </c>
    </row>
    <row r="639">
      <c r="A639" s="171" t="inlineStr">
        <is>
          <t>PER JAM — grid digger × jam (produksi | EWH | PTY)</t>
        </is>
      </c>
    </row>
    <row r="640">
      <c r="A640" t="inlineStr">
        <is>
          <t>Digger</t>
        </is>
      </c>
      <c r="B640" t="inlineStr">
        <is>
          <t>Tipe</t>
        </is>
      </c>
      <c r="C640" t="inlineStr">
        <is>
          <t>Target</t>
        </is>
      </c>
      <c r="D640">
        <f>Kalkulasi!$A$625</f>
        <v/>
      </c>
      <c r="E640">
        <f>Kalkulasi!$A$626</f>
        <v/>
      </c>
      <c r="F640">
        <f>Kalkulasi!$A$627</f>
        <v/>
      </c>
      <c r="G640">
        <f>Kalkulasi!$A$628</f>
        <v/>
      </c>
      <c r="H640">
        <f>Kalkulasi!$A$629</f>
        <v/>
      </c>
      <c r="I640">
        <f>Kalkulasi!$A$630</f>
        <v/>
      </c>
      <c r="J640">
        <f>Kalkulasi!$A$631</f>
        <v/>
      </c>
      <c r="K640">
        <f>Kalkulasi!$A$632</f>
        <v/>
      </c>
      <c r="L640">
        <f>Kalkulasi!$A$633</f>
        <v/>
      </c>
      <c r="M640">
        <f>Kalkulasi!$A$634</f>
        <v/>
      </c>
      <c r="N640">
        <f>Kalkulasi!$A$635</f>
        <v/>
      </c>
      <c r="O640">
        <f>Kalkulasi!$A$636</f>
        <v/>
      </c>
      <c r="P640" t="inlineStr">
        <is>
          <t>Prod shift</t>
        </is>
      </c>
      <c r="Q640">
        <f>Kalkulasi!$A$625</f>
        <v/>
      </c>
      <c r="R640">
        <f>Kalkulasi!$A$626</f>
        <v/>
      </c>
      <c r="S640">
        <f>Kalkulasi!$A$627</f>
        <v/>
      </c>
      <c r="T640">
        <f>Kalkulasi!$A$628</f>
        <v/>
      </c>
      <c r="U640">
        <f>Kalkulasi!$A$629</f>
        <v/>
      </c>
      <c r="V640">
        <f>Kalkulasi!$A$630</f>
        <v/>
      </c>
      <c r="W640">
        <f>Kalkulasi!$A$631</f>
        <v/>
      </c>
      <c r="X640">
        <f>Kalkulasi!$A$632</f>
        <v/>
      </c>
      <c r="Y640">
        <f>Kalkulasi!$A$633</f>
        <v/>
      </c>
      <c r="Z640">
        <f>Kalkulasi!$A$634</f>
        <v/>
      </c>
      <c r="AA640">
        <f>Kalkulasi!$A$635</f>
        <v/>
      </c>
      <c r="AB640">
        <f>Kalkulasi!$A$636</f>
        <v/>
      </c>
      <c r="AC640" t="inlineStr">
        <is>
          <t>EWH shift</t>
        </is>
      </c>
      <c r="AD640">
        <f>Kalkulasi!$A$625</f>
        <v/>
      </c>
      <c r="AE640">
        <f>Kalkulasi!$A$626</f>
        <v/>
      </c>
      <c r="AF640">
        <f>Kalkulasi!$A$627</f>
        <v/>
      </c>
      <c r="AG640">
        <f>Kalkulasi!$A$628</f>
        <v/>
      </c>
      <c r="AH640">
        <f>Kalkulasi!$A$629</f>
        <v/>
      </c>
      <c r="AI640">
        <f>Kalkulasi!$A$630</f>
        <v/>
      </c>
      <c r="AJ640">
        <f>Kalkulasi!$A$631</f>
        <v/>
      </c>
      <c r="AK640">
        <f>Kalkulasi!$A$632</f>
        <v/>
      </c>
      <c r="AL640">
        <f>Kalkulasi!$A$633</f>
        <v/>
      </c>
      <c r="AM640">
        <f>Kalkulasi!$A$634</f>
        <v/>
      </c>
      <c r="AN640">
        <f>Kalkulasi!$A$635</f>
        <v/>
      </c>
      <c r="AO640">
        <f>Kalkulasi!$A$636</f>
        <v/>
      </c>
      <c r="AP640" t="inlineStr">
        <is>
          <t>PTY shift</t>
        </is>
      </c>
      <c r="AQ640" t="inlineStr">
        <is>
          <t>Ritase</t>
        </is>
      </c>
      <c r="AR640" t="inlineStr">
        <is>
          <t>Sort</t>
        </is>
      </c>
      <c r="AT640" t="inlineStr">
        <is>
          <t>On target</t>
        </is>
      </c>
    </row>
    <row r="641">
      <c r="A641" t="inlineStr">
        <is>
          <t>EX-1251</t>
        </is>
      </c>
      <c r="B641">
        <f>IFERROR(INDEX(MASTER_JAM!$B$5:$B$94,MATCH($A641,MASTER_JAM!$A$5:$A$94,0)),"")</f>
        <v/>
      </c>
      <c r="C641">
        <f>IFERROR(IF(Kalkulasi!$B$619="OB",INDEX(MASTER_JAM!$F$5:$F$94,MATCH($A641,MASTER_JAM!$A$5:$A$94,0)),INDEX(MASTER_JAM!$G$5:$G$94,MATCH($A641,MASTER_JAM!$A$5:$A$94,0)))+0,0)</f>
        <v/>
      </c>
      <c r="D641">
        <f>SUMIFS(INPUT_RITASE!$L$5:$L$20000,INPUT_RITASE!$A$5:$A$20000,Kalkulasi!$B$617,INPUT_RITASE!$B$5:$B$20000,D$640,INPUT_RITASE!$C$5:$C$20000,$A641,INPUT_RITASE!$N$5:$N$20000,Kalkulasi!$B$619)</f>
        <v/>
      </c>
      <c r="E641">
        <f>SUMIFS(INPUT_RITASE!$L$5:$L$20000,INPUT_RITASE!$A$5:$A$20000,Kalkulasi!$B$617,INPUT_RITASE!$B$5:$B$20000,E$640,INPUT_RITASE!$C$5:$C$20000,$A641,INPUT_RITASE!$N$5:$N$20000,Kalkulasi!$B$619)</f>
        <v/>
      </c>
      <c r="F641">
        <f>SUMIFS(INPUT_RITASE!$L$5:$L$20000,INPUT_RITASE!$A$5:$A$20000,Kalkulasi!$B$617,INPUT_RITASE!$B$5:$B$20000,F$640,INPUT_RITASE!$C$5:$C$20000,$A641,INPUT_RITASE!$N$5:$N$20000,Kalkulasi!$B$619)</f>
        <v/>
      </c>
      <c r="G641">
        <f>SUMIFS(INPUT_RITASE!$L$5:$L$20000,INPUT_RITASE!$A$5:$A$20000,Kalkulasi!$B$617,INPUT_RITASE!$B$5:$B$20000,G$640,INPUT_RITASE!$C$5:$C$20000,$A641,INPUT_RITASE!$N$5:$N$20000,Kalkulasi!$B$619)</f>
        <v/>
      </c>
      <c r="H641">
        <f>SUMIFS(INPUT_RITASE!$L$5:$L$20000,INPUT_RITASE!$A$5:$A$20000,Kalkulasi!$B$617,INPUT_RITASE!$B$5:$B$20000,H$640,INPUT_RITASE!$C$5:$C$20000,$A641,INPUT_RITASE!$N$5:$N$20000,Kalkulasi!$B$619)</f>
        <v/>
      </c>
      <c r="I641">
        <f>SUMIFS(INPUT_RITASE!$L$5:$L$20000,INPUT_RITASE!$A$5:$A$20000,Kalkulasi!$B$617,INPUT_RITASE!$B$5:$B$20000,I$640,INPUT_RITASE!$C$5:$C$20000,$A641,INPUT_RITASE!$N$5:$N$20000,Kalkulasi!$B$619)</f>
        <v/>
      </c>
      <c r="J641">
        <f>SUMIFS(INPUT_RITASE!$L$5:$L$20000,INPUT_RITASE!$A$5:$A$20000,Kalkulasi!$B$617,INPUT_RITASE!$B$5:$B$20000,J$640,INPUT_RITASE!$C$5:$C$20000,$A641,INPUT_RITASE!$N$5:$N$20000,Kalkulasi!$B$619)</f>
        <v/>
      </c>
      <c r="K641">
        <f>SUMIFS(INPUT_RITASE!$L$5:$L$20000,INPUT_RITASE!$A$5:$A$20000,Kalkulasi!$B$617,INPUT_RITASE!$B$5:$B$20000,K$640,INPUT_RITASE!$C$5:$C$20000,$A641,INPUT_RITASE!$N$5:$N$20000,Kalkulasi!$B$619)</f>
        <v/>
      </c>
      <c r="L641">
        <f>SUMIFS(INPUT_RITASE!$L$5:$L$20000,INPUT_RITASE!$A$5:$A$20000,Kalkulasi!$B$617,INPUT_RITASE!$B$5:$B$20000,L$640,INPUT_RITASE!$C$5:$C$20000,$A641,INPUT_RITASE!$N$5:$N$20000,Kalkulasi!$B$619)</f>
        <v/>
      </c>
      <c r="M641">
        <f>SUMIFS(INPUT_RITASE!$L$5:$L$20000,INPUT_RITASE!$A$5:$A$20000,Kalkulasi!$B$617,INPUT_RITASE!$B$5:$B$20000,M$640,INPUT_RITASE!$C$5:$C$20000,$A641,INPUT_RITASE!$N$5:$N$20000,Kalkulasi!$B$619)</f>
        <v/>
      </c>
      <c r="N641">
        <f>SUMIFS(INPUT_RITASE!$L$5:$L$20000,INPUT_RITASE!$A$5:$A$20000,Kalkulasi!$B$617,INPUT_RITASE!$B$5:$B$20000,N$640,INPUT_RITASE!$C$5:$C$20000,$A641,INPUT_RITASE!$N$5:$N$20000,Kalkulasi!$B$619)</f>
        <v/>
      </c>
      <c r="O641">
        <f>SUMIFS(INPUT_RITASE!$L$5:$L$20000,INPUT_RITASE!$A$5:$A$20000,Kalkulasi!$B$617,INPUT_RITASE!$B$5:$B$20000,O$640,INPUT_RITASE!$C$5:$C$20000,$A641,INPUT_RITASE!$N$5:$N$20000,Kalkulasi!$B$619)</f>
        <v/>
      </c>
      <c r="P641">
        <f>SUM(D641:O641)</f>
        <v/>
      </c>
      <c r="Q641">
        <f>IF(D641=0,0,(60-MIN(60,SUMIFS(INPUT_DELAY!$E$5:$E$20000,INPUT_DELAY!$A$5:$A$20000,Kalkulasi!$B$617,INPUT_DELAY!$B$5:$B$20000,D$640,INPUT_DELAY!$C$5:$C$20000,$A641)+SUMIFS(INPUT_DELAY!$E$5:$E$20000,INPUT_DELAY!$A$5:$A$20000,Kalkulasi!$B$617,INPUT_DELAY!$B$5:$B$20000,D$640,INPUT_DELAY!$C$5:$C$20000,"SEMUA")))/60)</f>
        <v/>
      </c>
      <c r="R641">
        <f>IF(E641=0,0,(60-MIN(60,SUMIFS(INPUT_DELAY!$E$5:$E$20000,INPUT_DELAY!$A$5:$A$20000,Kalkulasi!$B$617,INPUT_DELAY!$B$5:$B$20000,E$640,INPUT_DELAY!$C$5:$C$20000,$A641)+SUMIFS(INPUT_DELAY!$E$5:$E$20000,INPUT_DELAY!$A$5:$A$20000,Kalkulasi!$B$617,INPUT_DELAY!$B$5:$B$20000,E$640,INPUT_DELAY!$C$5:$C$20000,"SEMUA")))/60)</f>
        <v/>
      </c>
      <c r="S641">
        <f>IF(F641=0,0,(60-MIN(60,SUMIFS(INPUT_DELAY!$E$5:$E$20000,INPUT_DELAY!$A$5:$A$20000,Kalkulasi!$B$617,INPUT_DELAY!$B$5:$B$20000,F$640,INPUT_DELAY!$C$5:$C$20000,$A641)+SUMIFS(INPUT_DELAY!$E$5:$E$20000,INPUT_DELAY!$A$5:$A$20000,Kalkulasi!$B$617,INPUT_DELAY!$B$5:$B$20000,F$640,INPUT_DELAY!$C$5:$C$20000,"SEMUA")))/60)</f>
        <v/>
      </c>
      <c r="T641">
        <f>IF(G641=0,0,(60-MIN(60,SUMIFS(INPUT_DELAY!$E$5:$E$20000,INPUT_DELAY!$A$5:$A$20000,Kalkulasi!$B$617,INPUT_DELAY!$B$5:$B$20000,G$640,INPUT_DELAY!$C$5:$C$20000,$A641)+SUMIFS(INPUT_DELAY!$E$5:$E$20000,INPUT_DELAY!$A$5:$A$20000,Kalkulasi!$B$617,INPUT_DELAY!$B$5:$B$20000,G$640,INPUT_DELAY!$C$5:$C$20000,"SEMUA")))/60)</f>
        <v/>
      </c>
      <c r="U641">
        <f>IF(H641=0,0,(60-MIN(60,SUMIFS(INPUT_DELAY!$E$5:$E$20000,INPUT_DELAY!$A$5:$A$20000,Kalkulasi!$B$617,INPUT_DELAY!$B$5:$B$20000,H$640,INPUT_DELAY!$C$5:$C$20000,$A641)+SUMIFS(INPUT_DELAY!$E$5:$E$20000,INPUT_DELAY!$A$5:$A$20000,Kalkulasi!$B$617,INPUT_DELAY!$B$5:$B$20000,H$640,INPUT_DELAY!$C$5:$C$20000,"SEMUA")))/60)</f>
        <v/>
      </c>
      <c r="V641">
        <f>IF(I641=0,0,(60-MIN(60,SUMIFS(INPUT_DELAY!$E$5:$E$20000,INPUT_DELAY!$A$5:$A$20000,Kalkulasi!$B$617,INPUT_DELAY!$B$5:$B$20000,I$640,INPUT_DELAY!$C$5:$C$20000,$A641)+SUMIFS(INPUT_DELAY!$E$5:$E$20000,INPUT_DELAY!$A$5:$A$20000,Kalkulasi!$B$617,INPUT_DELAY!$B$5:$B$20000,I$640,INPUT_DELAY!$C$5:$C$20000,"SEMUA")))/60)</f>
        <v/>
      </c>
      <c r="W641">
        <f>IF(J641=0,0,(60-MIN(60,SUMIFS(INPUT_DELAY!$E$5:$E$20000,INPUT_DELAY!$A$5:$A$20000,Kalkulasi!$B$617,INPUT_DELAY!$B$5:$B$20000,J$640,INPUT_DELAY!$C$5:$C$20000,$A641)+SUMIFS(INPUT_DELAY!$E$5:$E$20000,INPUT_DELAY!$A$5:$A$20000,Kalkulasi!$B$617,INPUT_DELAY!$B$5:$B$20000,J$640,INPUT_DELAY!$C$5:$C$20000,"SEMUA")))/60)</f>
        <v/>
      </c>
      <c r="X641">
        <f>IF(K641=0,0,(60-MIN(60,SUMIFS(INPUT_DELAY!$E$5:$E$20000,INPUT_DELAY!$A$5:$A$20000,Kalkulasi!$B$617,INPUT_DELAY!$B$5:$B$20000,K$640,INPUT_DELAY!$C$5:$C$20000,$A641)+SUMIFS(INPUT_DELAY!$E$5:$E$20000,INPUT_DELAY!$A$5:$A$20000,Kalkulasi!$B$617,INPUT_DELAY!$B$5:$B$20000,K$640,INPUT_DELAY!$C$5:$C$20000,"SEMUA")))/60)</f>
        <v/>
      </c>
      <c r="Y641">
        <f>IF(L641=0,0,(60-MIN(60,SUMIFS(INPUT_DELAY!$E$5:$E$20000,INPUT_DELAY!$A$5:$A$20000,Kalkulasi!$B$617,INPUT_DELAY!$B$5:$B$20000,L$640,INPUT_DELAY!$C$5:$C$20000,$A641)+SUMIFS(INPUT_DELAY!$E$5:$E$20000,INPUT_DELAY!$A$5:$A$20000,Kalkulasi!$B$617,INPUT_DELAY!$B$5:$B$20000,L$640,INPUT_DELAY!$C$5:$C$20000,"SEMUA")))/60)</f>
        <v/>
      </c>
      <c r="Z641">
        <f>IF(M641=0,0,(60-MIN(60,SUMIFS(INPUT_DELAY!$E$5:$E$20000,INPUT_DELAY!$A$5:$A$20000,Kalkulasi!$B$617,INPUT_DELAY!$B$5:$B$20000,M$640,INPUT_DELAY!$C$5:$C$20000,$A641)+SUMIFS(INPUT_DELAY!$E$5:$E$20000,INPUT_DELAY!$A$5:$A$20000,Kalkulasi!$B$617,INPUT_DELAY!$B$5:$B$20000,M$640,INPUT_DELAY!$C$5:$C$20000,"SEMUA")))/60)</f>
        <v/>
      </c>
      <c r="AA641">
        <f>IF(N641=0,0,(60-MIN(60,SUMIFS(INPUT_DELAY!$E$5:$E$20000,INPUT_DELAY!$A$5:$A$20000,Kalkulasi!$B$617,INPUT_DELAY!$B$5:$B$20000,N$640,INPUT_DELAY!$C$5:$C$20000,$A641)+SUMIFS(INPUT_DELAY!$E$5:$E$20000,INPUT_DELAY!$A$5:$A$20000,Kalkulasi!$B$617,INPUT_DELAY!$B$5:$B$20000,N$640,INPUT_DELAY!$C$5:$C$20000,"SEMUA")))/60)</f>
        <v/>
      </c>
      <c r="AB641">
        <f>IF(O641=0,0,(60-MIN(60,SUMIFS(INPUT_DELAY!$E$5:$E$20000,INPUT_DELAY!$A$5:$A$20000,Kalkulasi!$B$617,INPUT_DELAY!$B$5:$B$20000,O$640,INPUT_DELAY!$C$5:$C$20000,$A641)+SUMIFS(INPUT_DELAY!$E$5:$E$20000,INPUT_DELAY!$A$5:$A$20000,Kalkulasi!$B$617,INPUT_DELAY!$B$5:$B$20000,O$640,INPUT_DELAY!$C$5:$C$20000,"SEMUA")))/60)</f>
        <v/>
      </c>
      <c r="AC641">
        <f>SUM(Q641:AB641)</f>
        <v/>
      </c>
      <c r="AD641">
        <f>IF(D641=0,"",IF(Q641&lt;=0,"",D641/Q641))</f>
        <v/>
      </c>
      <c r="AE641">
        <f>IF(E641=0,"",IF(R641&lt;=0,"",E641/R641))</f>
        <v/>
      </c>
      <c r="AF641">
        <f>IF(F641=0,"",IF(S641&lt;=0,"",F641/S641))</f>
        <v/>
      </c>
      <c r="AG641">
        <f>IF(G641=0,"",IF(T641&lt;=0,"",G641/T641))</f>
        <v/>
      </c>
      <c r="AH641">
        <f>IF(H641=0,"",IF(U641&lt;=0,"",H641/U641))</f>
        <v/>
      </c>
      <c r="AI641">
        <f>IF(I641=0,"",IF(V641&lt;=0,"",I641/V641))</f>
        <v/>
      </c>
      <c r="AJ641">
        <f>IF(J641=0,"",IF(W641&lt;=0,"",J641/W641))</f>
        <v/>
      </c>
      <c r="AK641">
        <f>IF(K641=0,"",IF(X641&lt;=0,"",K641/X641))</f>
        <v/>
      </c>
      <c r="AL641">
        <f>IF(L641=0,"",IF(Y641&lt;=0,"",L641/Y641))</f>
        <v/>
      </c>
      <c r="AM641">
        <f>IF(M641=0,"",IF(Z641&lt;=0,"",M641/Z641))</f>
        <v/>
      </c>
      <c r="AN641">
        <f>IF(N641=0,"",IF(AA641&lt;=0,"",N641/AA641))</f>
        <v/>
      </c>
      <c r="AO641">
        <f>IF(O641=0,"",IF(AB641&lt;=0,"",O641/AB641))</f>
        <v/>
      </c>
      <c r="AP641">
        <f>IF(AC641=0,"",P641/AC641)</f>
        <v/>
      </c>
      <c r="AQ641">
        <f>SUMIFS(INPUT_RITASE!$F$5:$F$20000,INPUT_RITASE!$A$5:$A$20000,Kalkulasi!$B$617,INPUT_RITASE!$H$5:$H$20000,Kalkulasi!$B$618,INPUT_RITASE!$C$5:$C$20000,$A641,INPUT_RITASE!$N$5:$N$20000,Kalkulasi!$B$619)</f>
        <v/>
      </c>
      <c r="AR641">
        <f>P641+AQ641/1000+ROW()/1000000</f>
        <v/>
      </c>
      <c r="AT641">
        <f>IF(AND(P641&gt;0,C641&gt;0,ISNUMBER(AP641)),IF(AP641&gt;=C641,1,0),0)</f>
        <v/>
      </c>
    </row>
    <row r="642">
      <c r="A642" t="inlineStr">
        <is>
          <t>EX-755</t>
        </is>
      </c>
      <c r="B642">
        <f>IFERROR(INDEX(MASTER_JAM!$B$5:$B$94,MATCH($A642,MASTER_JAM!$A$5:$A$94,0)),"")</f>
        <v/>
      </c>
      <c r="C642">
        <f>IFERROR(IF(Kalkulasi!$B$619="OB",INDEX(MASTER_JAM!$F$5:$F$94,MATCH($A642,MASTER_JAM!$A$5:$A$94,0)),INDEX(MASTER_JAM!$G$5:$G$94,MATCH($A642,MASTER_JAM!$A$5:$A$94,0)))+0,0)</f>
        <v/>
      </c>
      <c r="D642">
        <f>SUMIFS(INPUT_RITASE!$L$5:$L$20000,INPUT_RITASE!$A$5:$A$20000,Kalkulasi!$B$617,INPUT_RITASE!$B$5:$B$20000,D$640,INPUT_RITASE!$C$5:$C$20000,$A642,INPUT_RITASE!$N$5:$N$20000,Kalkulasi!$B$619)</f>
        <v/>
      </c>
      <c r="E642">
        <f>SUMIFS(INPUT_RITASE!$L$5:$L$20000,INPUT_RITASE!$A$5:$A$20000,Kalkulasi!$B$617,INPUT_RITASE!$B$5:$B$20000,E$640,INPUT_RITASE!$C$5:$C$20000,$A642,INPUT_RITASE!$N$5:$N$20000,Kalkulasi!$B$619)</f>
        <v/>
      </c>
      <c r="F642">
        <f>SUMIFS(INPUT_RITASE!$L$5:$L$20000,INPUT_RITASE!$A$5:$A$20000,Kalkulasi!$B$617,INPUT_RITASE!$B$5:$B$20000,F$640,INPUT_RITASE!$C$5:$C$20000,$A642,INPUT_RITASE!$N$5:$N$20000,Kalkulasi!$B$619)</f>
        <v/>
      </c>
      <c r="G642">
        <f>SUMIFS(INPUT_RITASE!$L$5:$L$20000,INPUT_RITASE!$A$5:$A$20000,Kalkulasi!$B$617,INPUT_RITASE!$B$5:$B$20000,G$640,INPUT_RITASE!$C$5:$C$20000,$A642,INPUT_RITASE!$N$5:$N$20000,Kalkulasi!$B$619)</f>
        <v/>
      </c>
      <c r="H642">
        <f>SUMIFS(INPUT_RITASE!$L$5:$L$20000,INPUT_RITASE!$A$5:$A$20000,Kalkulasi!$B$617,INPUT_RITASE!$B$5:$B$20000,H$640,INPUT_RITASE!$C$5:$C$20000,$A642,INPUT_RITASE!$N$5:$N$20000,Kalkulasi!$B$619)</f>
        <v/>
      </c>
      <c r="I642">
        <f>SUMIFS(INPUT_RITASE!$L$5:$L$20000,INPUT_RITASE!$A$5:$A$20000,Kalkulasi!$B$617,INPUT_RITASE!$B$5:$B$20000,I$640,INPUT_RITASE!$C$5:$C$20000,$A642,INPUT_RITASE!$N$5:$N$20000,Kalkulasi!$B$619)</f>
        <v/>
      </c>
      <c r="J642">
        <f>SUMIFS(INPUT_RITASE!$L$5:$L$20000,INPUT_RITASE!$A$5:$A$20000,Kalkulasi!$B$617,INPUT_RITASE!$B$5:$B$20000,J$640,INPUT_RITASE!$C$5:$C$20000,$A642,INPUT_RITASE!$N$5:$N$20000,Kalkulasi!$B$619)</f>
        <v/>
      </c>
      <c r="K642">
        <f>SUMIFS(INPUT_RITASE!$L$5:$L$20000,INPUT_RITASE!$A$5:$A$20000,Kalkulasi!$B$617,INPUT_RITASE!$B$5:$B$20000,K$640,INPUT_RITASE!$C$5:$C$20000,$A642,INPUT_RITASE!$N$5:$N$20000,Kalkulasi!$B$619)</f>
        <v/>
      </c>
      <c r="L642">
        <f>SUMIFS(INPUT_RITASE!$L$5:$L$20000,INPUT_RITASE!$A$5:$A$20000,Kalkulasi!$B$617,INPUT_RITASE!$B$5:$B$20000,L$640,INPUT_RITASE!$C$5:$C$20000,$A642,INPUT_RITASE!$N$5:$N$20000,Kalkulasi!$B$619)</f>
        <v/>
      </c>
      <c r="M642">
        <f>SUMIFS(INPUT_RITASE!$L$5:$L$20000,INPUT_RITASE!$A$5:$A$20000,Kalkulasi!$B$617,INPUT_RITASE!$B$5:$B$20000,M$640,INPUT_RITASE!$C$5:$C$20000,$A642,INPUT_RITASE!$N$5:$N$20000,Kalkulasi!$B$619)</f>
        <v/>
      </c>
      <c r="N642">
        <f>SUMIFS(INPUT_RITASE!$L$5:$L$20000,INPUT_RITASE!$A$5:$A$20000,Kalkulasi!$B$617,INPUT_RITASE!$B$5:$B$20000,N$640,INPUT_RITASE!$C$5:$C$20000,$A642,INPUT_RITASE!$N$5:$N$20000,Kalkulasi!$B$619)</f>
        <v/>
      </c>
      <c r="O642">
        <f>SUMIFS(INPUT_RITASE!$L$5:$L$20000,INPUT_RITASE!$A$5:$A$20000,Kalkulasi!$B$617,INPUT_RITASE!$B$5:$B$20000,O$640,INPUT_RITASE!$C$5:$C$20000,$A642,INPUT_RITASE!$N$5:$N$20000,Kalkulasi!$B$619)</f>
        <v/>
      </c>
      <c r="P642">
        <f>SUM(D642:O642)</f>
        <v/>
      </c>
      <c r="Q642">
        <f>IF(D642=0,0,(60-MIN(60,SUMIFS(INPUT_DELAY!$E$5:$E$20000,INPUT_DELAY!$A$5:$A$20000,Kalkulasi!$B$617,INPUT_DELAY!$B$5:$B$20000,D$640,INPUT_DELAY!$C$5:$C$20000,$A642)+SUMIFS(INPUT_DELAY!$E$5:$E$20000,INPUT_DELAY!$A$5:$A$20000,Kalkulasi!$B$617,INPUT_DELAY!$B$5:$B$20000,D$640,INPUT_DELAY!$C$5:$C$20000,"SEMUA")))/60)</f>
        <v/>
      </c>
      <c r="R642">
        <f>IF(E642=0,0,(60-MIN(60,SUMIFS(INPUT_DELAY!$E$5:$E$20000,INPUT_DELAY!$A$5:$A$20000,Kalkulasi!$B$617,INPUT_DELAY!$B$5:$B$20000,E$640,INPUT_DELAY!$C$5:$C$20000,$A642)+SUMIFS(INPUT_DELAY!$E$5:$E$20000,INPUT_DELAY!$A$5:$A$20000,Kalkulasi!$B$617,INPUT_DELAY!$B$5:$B$20000,E$640,INPUT_DELAY!$C$5:$C$20000,"SEMUA")))/60)</f>
        <v/>
      </c>
      <c r="S642">
        <f>IF(F642=0,0,(60-MIN(60,SUMIFS(INPUT_DELAY!$E$5:$E$20000,INPUT_DELAY!$A$5:$A$20000,Kalkulasi!$B$617,INPUT_DELAY!$B$5:$B$20000,F$640,INPUT_DELAY!$C$5:$C$20000,$A642)+SUMIFS(INPUT_DELAY!$E$5:$E$20000,INPUT_DELAY!$A$5:$A$20000,Kalkulasi!$B$617,INPUT_DELAY!$B$5:$B$20000,F$640,INPUT_DELAY!$C$5:$C$20000,"SEMUA")))/60)</f>
        <v/>
      </c>
      <c r="T642">
        <f>IF(G642=0,0,(60-MIN(60,SUMIFS(INPUT_DELAY!$E$5:$E$20000,INPUT_DELAY!$A$5:$A$20000,Kalkulasi!$B$617,INPUT_DELAY!$B$5:$B$20000,G$640,INPUT_DELAY!$C$5:$C$20000,$A642)+SUMIFS(INPUT_DELAY!$E$5:$E$20000,INPUT_DELAY!$A$5:$A$20000,Kalkulasi!$B$617,INPUT_DELAY!$B$5:$B$20000,G$640,INPUT_DELAY!$C$5:$C$20000,"SEMUA")))/60)</f>
        <v/>
      </c>
      <c r="U642">
        <f>IF(H642=0,0,(60-MIN(60,SUMIFS(INPUT_DELAY!$E$5:$E$20000,INPUT_DELAY!$A$5:$A$20000,Kalkulasi!$B$617,INPUT_DELAY!$B$5:$B$20000,H$640,INPUT_DELAY!$C$5:$C$20000,$A642)+SUMIFS(INPUT_DELAY!$E$5:$E$20000,INPUT_DELAY!$A$5:$A$20000,Kalkulasi!$B$617,INPUT_DELAY!$B$5:$B$20000,H$640,INPUT_DELAY!$C$5:$C$20000,"SEMUA")))/60)</f>
        <v/>
      </c>
      <c r="V642">
        <f>IF(I642=0,0,(60-MIN(60,SUMIFS(INPUT_DELAY!$E$5:$E$20000,INPUT_DELAY!$A$5:$A$20000,Kalkulasi!$B$617,INPUT_DELAY!$B$5:$B$20000,I$640,INPUT_DELAY!$C$5:$C$20000,$A642)+SUMIFS(INPUT_DELAY!$E$5:$E$20000,INPUT_DELAY!$A$5:$A$20000,Kalkulasi!$B$617,INPUT_DELAY!$B$5:$B$20000,I$640,INPUT_DELAY!$C$5:$C$20000,"SEMUA")))/60)</f>
        <v/>
      </c>
      <c r="W642">
        <f>IF(J642=0,0,(60-MIN(60,SUMIFS(INPUT_DELAY!$E$5:$E$20000,INPUT_DELAY!$A$5:$A$20000,Kalkulasi!$B$617,INPUT_DELAY!$B$5:$B$20000,J$640,INPUT_DELAY!$C$5:$C$20000,$A642)+SUMIFS(INPUT_DELAY!$E$5:$E$20000,INPUT_DELAY!$A$5:$A$20000,Kalkulasi!$B$617,INPUT_DELAY!$B$5:$B$20000,J$640,INPUT_DELAY!$C$5:$C$20000,"SEMUA")))/60)</f>
        <v/>
      </c>
      <c r="X642">
        <f>IF(K642=0,0,(60-MIN(60,SUMIFS(INPUT_DELAY!$E$5:$E$20000,INPUT_DELAY!$A$5:$A$20000,Kalkulasi!$B$617,INPUT_DELAY!$B$5:$B$20000,K$640,INPUT_DELAY!$C$5:$C$20000,$A642)+SUMIFS(INPUT_DELAY!$E$5:$E$20000,INPUT_DELAY!$A$5:$A$20000,Kalkulasi!$B$617,INPUT_DELAY!$B$5:$B$20000,K$640,INPUT_DELAY!$C$5:$C$20000,"SEMUA")))/60)</f>
        <v/>
      </c>
      <c r="Y642">
        <f>IF(L642=0,0,(60-MIN(60,SUMIFS(INPUT_DELAY!$E$5:$E$20000,INPUT_DELAY!$A$5:$A$20000,Kalkulasi!$B$617,INPUT_DELAY!$B$5:$B$20000,L$640,INPUT_DELAY!$C$5:$C$20000,$A642)+SUMIFS(INPUT_DELAY!$E$5:$E$20000,INPUT_DELAY!$A$5:$A$20000,Kalkulasi!$B$617,INPUT_DELAY!$B$5:$B$20000,L$640,INPUT_DELAY!$C$5:$C$20000,"SEMUA")))/60)</f>
        <v/>
      </c>
      <c r="Z642">
        <f>IF(M642=0,0,(60-MIN(60,SUMIFS(INPUT_DELAY!$E$5:$E$20000,INPUT_DELAY!$A$5:$A$20000,Kalkulasi!$B$617,INPUT_DELAY!$B$5:$B$20000,M$640,INPUT_DELAY!$C$5:$C$20000,$A642)+SUMIFS(INPUT_DELAY!$E$5:$E$20000,INPUT_DELAY!$A$5:$A$20000,Kalkulasi!$B$617,INPUT_DELAY!$B$5:$B$20000,M$640,INPUT_DELAY!$C$5:$C$20000,"SEMUA")))/60)</f>
        <v/>
      </c>
      <c r="AA642">
        <f>IF(N642=0,0,(60-MIN(60,SUMIFS(INPUT_DELAY!$E$5:$E$20000,INPUT_DELAY!$A$5:$A$20000,Kalkulasi!$B$617,INPUT_DELAY!$B$5:$B$20000,N$640,INPUT_DELAY!$C$5:$C$20000,$A642)+SUMIFS(INPUT_DELAY!$E$5:$E$20000,INPUT_DELAY!$A$5:$A$20000,Kalkulasi!$B$617,INPUT_DELAY!$B$5:$B$20000,N$640,INPUT_DELAY!$C$5:$C$20000,"SEMUA")))/60)</f>
        <v/>
      </c>
      <c r="AB642">
        <f>IF(O642=0,0,(60-MIN(60,SUMIFS(INPUT_DELAY!$E$5:$E$20000,INPUT_DELAY!$A$5:$A$20000,Kalkulasi!$B$617,INPUT_DELAY!$B$5:$B$20000,O$640,INPUT_DELAY!$C$5:$C$20000,$A642)+SUMIFS(INPUT_DELAY!$E$5:$E$20000,INPUT_DELAY!$A$5:$A$20000,Kalkulasi!$B$617,INPUT_DELAY!$B$5:$B$20000,O$640,INPUT_DELAY!$C$5:$C$20000,"SEMUA")))/60)</f>
        <v/>
      </c>
      <c r="AC642">
        <f>SUM(Q642:AB642)</f>
        <v/>
      </c>
      <c r="AD642">
        <f>IF(D642=0,"",IF(Q642&lt;=0,"",D642/Q642))</f>
        <v/>
      </c>
      <c r="AE642">
        <f>IF(E642=0,"",IF(R642&lt;=0,"",E642/R642))</f>
        <v/>
      </c>
      <c r="AF642">
        <f>IF(F642=0,"",IF(S642&lt;=0,"",F642/S642))</f>
        <v/>
      </c>
      <c r="AG642">
        <f>IF(G642=0,"",IF(T642&lt;=0,"",G642/T642))</f>
        <v/>
      </c>
      <c r="AH642">
        <f>IF(H642=0,"",IF(U642&lt;=0,"",H642/U642))</f>
        <v/>
      </c>
      <c r="AI642">
        <f>IF(I642=0,"",IF(V642&lt;=0,"",I642/V642))</f>
        <v/>
      </c>
      <c r="AJ642">
        <f>IF(J642=0,"",IF(W642&lt;=0,"",J642/W642))</f>
        <v/>
      </c>
      <c r="AK642">
        <f>IF(K642=0,"",IF(X642&lt;=0,"",K642/X642))</f>
        <v/>
      </c>
      <c r="AL642">
        <f>IF(L642=0,"",IF(Y642&lt;=0,"",L642/Y642))</f>
        <v/>
      </c>
      <c r="AM642">
        <f>IF(M642=0,"",IF(Z642&lt;=0,"",M642/Z642))</f>
        <v/>
      </c>
      <c r="AN642">
        <f>IF(N642=0,"",IF(AA642&lt;=0,"",N642/AA642))</f>
        <v/>
      </c>
      <c r="AO642">
        <f>IF(O642=0,"",IF(AB642&lt;=0,"",O642/AB642))</f>
        <v/>
      </c>
      <c r="AP642">
        <f>IF(AC642=0,"",P642/AC642)</f>
        <v/>
      </c>
      <c r="AQ642">
        <f>SUMIFS(INPUT_RITASE!$F$5:$F$20000,INPUT_RITASE!$A$5:$A$20000,Kalkulasi!$B$617,INPUT_RITASE!$H$5:$H$20000,Kalkulasi!$B$618,INPUT_RITASE!$C$5:$C$20000,$A642,INPUT_RITASE!$N$5:$N$20000,Kalkulasi!$B$619)</f>
        <v/>
      </c>
      <c r="AR642">
        <f>P642+AQ642/1000+ROW()/1000000</f>
        <v/>
      </c>
      <c r="AT642">
        <f>IF(AND(P642&gt;0,C642&gt;0,ISNUMBER(AP642)),IF(AP642&gt;=C642,1,0),0)</f>
        <v/>
      </c>
    </row>
    <row r="643">
      <c r="A643" t="inlineStr">
        <is>
          <t>EX-2101</t>
        </is>
      </c>
      <c r="B643">
        <f>IFERROR(INDEX(MASTER_JAM!$B$5:$B$94,MATCH($A643,MASTER_JAM!$A$5:$A$94,0)),"")</f>
        <v/>
      </c>
      <c r="C643">
        <f>IFERROR(IF(Kalkulasi!$B$619="OB",INDEX(MASTER_JAM!$F$5:$F$94,MATCH($A643,MASTER_JAM!$A$5:$A$94,0)),INDEX(MASTER_JAM!$G$5:$G$94,MATCH($A643,MASTER_JAM!$A$5:$A$94,0)))+0,0)</f>
        <v/>
      </c>
      <c r="D643">
        <f>SUMIFS(INPUT_RITASE!$L$5:$L$20000,INPUT_RITASE!$A$5:$A$20000,Kalkulasi!$B$617,INPUT_RITASE!$B$5:$B$20000,D$640,INPUT_RITASE!$C$5:$C$20000,$A643,INPUT_RITASE!$N$5:$N$20000,Kalkulasi!$B$619)</f>
        <v/>
      </c>
      <c r="E643">
        <f>SUMIFS(INPUT_RITASE!$L$5:$L$20000,INPUT_RITASE!$A$5:$A$20000,Kalkulasi!$B$617,INPUT_RITASE!$B$5:$B$20000,E$640,INPUT_RITASE!$C$5:$C$20000,$A643,INPUT_RITASE!$N$5:$N$20000,Kalkulasi!$B$619)</f>
        <v/>
      </c>
      <c r="F643">
        <f>SUMIFS(INPUT_RITASE!$L$5:$L$20000,INPUT_RITASE!$A$5:$A$20000,Kalkulasi!$B$617,INPUT_RITASE!$B$5:$B$20000,F$640,INPUT_RITASE!$C$5:$C$20000,$A643,INPUT_RITASE!$N$5:$N$20000,Kalkulasi!$B$619)</f>
        <v/>
      </c>
      <c r="G643">
        <f>SUMIFS(INPUT_RITASE!$L$5:$L$20000,INPUT_RITASE!$A$5:$A$20000,Kalkulasi!$B$617,INPUT_RITASE!$B$5:$B$20000,G$640,INPUT_RITASE!$C$5:$C$20000,$A643,INPUT_RITASE!$N$5:$N$20000,Kalkulasi!$B$619)</f>
        <v/>
      </c>
      <c r="H643">
        <f>SUMIFS(INPUT_RITASE!$L$5:$L$20000,INPUT_RITASE!$A$5:$A$20000,Kalkulasi!$B$617,INPUT_RITASE!$B$5:$B$20000,H$640,INPUT_RITASE!$C$5:$C$20000,$A643,INPUT_RITASE!$N$5:$N$20000,Kalkulasi!$B$619)</f>
        <v/>
      </c>
      <c r="I643">
        <f>SUMIFS(INPUT_RITASE!$L$5:$L$20000,INPUT_RITASE!$A$5:$A$20000,Kalkulasi!$B$617,INPUT_RITASE!$B$5:$B$20000,I$640,INPUT_RITASE!$C$5:$C$20000,$A643,INPUT_RITASE!$N$5:$N$20000,Kalkulasi!$B$619)</f>
        <v/>
      </c>
      <c r="J643">
        <f>SUMIFS(INPUT_RITASE!$L$5:$L$20000,INPUT_RITASE!$A$5:$A$20000,Kalkulasi!$B$617,INPUT_RITASE!$B$5:$B$20000,J$640,INPUT_RITASE!$C$5:$C$20000,$A643,INPUT_RITASE!$N$5:$N$20000,Kalkulasi!$B$619)</f>
        <v/>
      </c>
      <c r="K643">
        <f>SUMIFS(INPUT_RITASE!$L$5:$L$20000,INPUT_RITASE!$A$5:$A$20000,Kalkulasi!$B$617,INPUT_RITASE!$B$5:$B$20000,K$640,INPUT_RITASE!$C$5:$C$20000,$A643,INPUT_RITASE!$N$5:$N$20000,Kalkulasi!$B$619)</f>
        <v/>
      </c>
      <c r="L643">
        <f>SUMIFS(INPUT_RITASE!$L$5:$L$20000,INPUT_RITASE!$A$5:$A$20000,Kalkulasi!$B$617,INPUT_RITASE!$B$5:$B$20000,L$640,INPUT_RITASE!$C$5:$C$20000,$A643,INPUT_RITASE!$N$5:$N$20000,Kalkulasi!$B$619)</f>
        <v/>
      </c>
      <c r="M643">
        <f>SUMIFS(INPUT_RITASE!$L$5:$L$20000,INPUT_RITASE!$A$5:$A$20000,Kalkulasi!$B$617,INPUT_RITASE!$B$5:$B$20000,M$640,INPUT_RITASE!$C$5:$C$20000,$A643,INPUT_RITASE!$N$5:$N$20000,Kalkulasi!$B$619)</f>
        <v/>
      </c>
      <c r="N643">
        <f>SUMIFS(INPUT_RITASE!$L$5:$L$20000,INPUT_RITASE!$A$5:$A$20000,Kalkulasi!$B$617,INPUT_RITASE!$B$5:$B$20000,N$640,INPUT_RITASE!$C$5:$C$20000,$A643,INPUT_RITASE!$N$5:$N$20000,Kalkulasi!$B$619)</f>
        <v/>
      </c>
      <c r="O643">
        <f>SUMIFS(INPUT_RITASE!$L$5:$L$20000,INPUT_RITASE!$A$5:$A$20000,Kalkulasi!$B$617,INPUT_RITASE!$B$5:$B$20000,O$640,INPUT_RITASE!$C$5:$C$20000,$A643,INPUT_RITASE!$N$5:$N$20000,Kalkulasi!$B$619)</f>
        <v/>
      </c>
      <c r="P643">
        <f>SUM(D643:O643)</f>
        <v/>
      </c>
      <c r="Q643">
        <f>IF(D643=0,0,(60-MIN(60,SUMIFS(INPUT_DELAY!$E$5:$E$20000,INPUT_DELAY!$A$5:$A$20000,Kalkulasi!$B$617,INPUT_DELAY!$B$5:$B$20000,D$640,INPUT_DELAY!$C$5:$C$20000,$A643)+SUMIFS(INPUT_DELAY!$E$5:$E$20000,INPUT_DELAY!$A$5:$A$20000,Kalkulasi!$B$617,INPUT_DELAY!$B$5:$B$20000,D$640,INPUT_DELAY!$C$5:$C$20000,"SEMUA")))/60)</f>
        <v/>
      </c>
      <c r="R643">
        <f>IF(E643=0,0,(60-MIN(60,SUMIFS(INPUT_DELAY!$E$5:$E$20000,INPUT_DELAY!$A$5:$A$20000,Kalkulasi!$B$617,INPUT_DELAY!$B$5:$B$20000,E$640,INPUT_DELAY!$C$5:$C$20000,$A643)+SUMIFS(INPUT_DELAY!$E$5:$E$20000,INPUT_DELAY!$A$5:$A$20000,Kalkulasi!$B$617,INPUT_DELAY!$B$5:$B$20000,E$640,INPUT_DELAY!$C$5:$C$20000,"SEMUA")))/60)</f>
        <v/>
      </c>
      <c r="S643">
        <f>IF(F643=0,0,(60-MIN(60,SUMIFS(INPUT_DELAY!$E$5:$E$20000,INPUT_DELAY!$A$5:$A$20000,Kalkulasi!$B$617,INPUT_DELAY!$B$5:$B$20000,F$640,INPUT_DELAY!$C$5:$C$20000,$A643)+SUMIFS(INPUT_DELAY!$E$5:$E$20000,INPUT_DELAY!$A$5:$A$20000,Kalkulasi!$B$617,INPUT_DELAY!$B$5:$B$20000,F$640,INPUT_DELAY!$C$5:$C$20000,"SEMUA")))/60)</f>
        <v/>
      </c>
      <c r="T643">
        <f>IF(G643=0,0,(60-MIN(60,SUMIFS(INPUT_DELAY!$E$5:$E$20000,INPUT_DELAY!$A$5:$A$20000,Kalkulasi!$B$617,INPUT_DELAY!$B$5:$B$20000,G$640,INPUT_DELAY!$C$5:$C$20000,$A643)+SUMIFS(INPUT_DELAY!$E$5:$E$20000,INPUT_DELAY!$A$5:$A$20000,Kalkulasi!$B$617,INPUT_DELAY!$B$5:$B$20000,G$640,INPUT_DELAY!$C$5:$C$20000,"SEMUA")))/60)</f>
        <v/>
      </c>
      <c r="U643">
        <f>IF(H643=0,0,(60-MIN(60,SUMIFS(INPUT_DELAY!$E$5:$E$20000,INPUT_DELAY!$A$5:$A$20000,Kalkulasi!$B$617,INPUT_DELAY!$B$5:$B$20000,H$640,INPUT_DELAY!$C$5:$C$20000,$A643)+SUMIFS(INPUT_DELAY!$E$5:$E$20000,INPUT_DELAY!$A$5:$A$20000,Kalkulasi!$B$617,INPUT_DELAY!$B$5:$B$20000,H$640,INPUT_DELAY!$C$5:$C$20000,"SEMUA")))/60)</f>
        <v/>
      </c>
      <c r="V643">
        <f>IF(I643=0,0,(60-MIN(60,SUMIFS(INPUT_DELAY!$E$5:$E$20000,INPUT_DELAY!$A$5:$A$20000,Kalkulasi!$B$617,INPUT_DELAY!$B$5:$B$20000,I$640,INPUT_DELAY!$C$5:$C$20000,$A643)+SUMIFS(INPUT_DELAY!$E$5:$E$20000,INPUT_DELAY!$A$5:$A$20000,Kalkulasi!$B$617,INPUT_DELAY!$B$5:$B$20000,I$640,INPUT_DELAY!$C$5:$C$20000,"SEMUA")))/60)</f>
        <v/>
      </c>
      <c r="W643">
        <f>IF(J643=0,0,(60-MIN(60,SUMIFS(INPUT_DELAY!$E$5:$E$20000,INPUT_DELAY!$A$5:$A$20000,Kalkulasi!$B$617,INPUT_DELAY!$B$5:$B$20000,J$640,INPUT_DELAY!$C$5:$C$20000,$A643)+SUMIFS(INPUT_DELAY!$E$5:$E$20000,INPUT_DELAY!$A$5:$A$20000,Kalkulasi!$B$617,INPUT_DELAY!$B$5:$B$20000,J$640,INPUT_DELAY!$C$5:$C$20000,"SEMUA")))/60)</f>
        <v/>
      </c>
      <c r="X643">
        <f>IF(K643=0,0,(60-MIN(60,SUMIFS(INPUT_DELAY!$E$5:$E$20000,INPUT_DELAY!$A$5:$A$20000,Kalkulasi!$B$617,INPUT_DELAY!$B$5:$B$20000,K$640,INPUT_DELAY!$C$5:$C$20000,$A643)+SUMIFS(INPUT_DELAY!$E$5:$E$20000,INPUT_DELAY!$A$5:$A$20000,Kalkulasi!$B$617,INPUT_DELAY!$B$5:$B$20000,K$640,INPUT_DELAY!$C$5:$C$20000,"SEMUA")))/60)</f>
        <v/>
      </c>
      <c r="Y643">
        <f>IF(L643=0,0,(60-MIN(60,SUMIFS(INPUT_DELAY!$E$5:$E$20000,INPUT_DELAY!$A$5:$A$20000,Kalkulasi!$B$617,INPUT_DELAY!$B$5:$B$20000,L$640,INPUT_DELAY!$C$5:$C$20000,$A643)+SUMIFS(INPUT_DELAY!$E$5:$E$20000,INPUT_DELAY!$A$5:$A$20000,Kalkulasi!$B$617,INPUT_DELAY!$B$5:$B$20000,L$640,INPUT_DELAY!$C$5:$C$20000,"SEMUA")))/60)</f>
        <v/>
      </c>
      <c r="Z643">
        <f>IF(M643=0,0,(60-MIN(60,SUMIFS(INPUT_DELAY!$E$5:$E$20000,INPUT_DELAY!$A$5:$A$20000,Kalkulasi!$B$617,INPUT_DELAY!$B$5:$B$20000,M$640,INPUT_DELAY!$C$5:$C$20000,$A643)+SUMIFS(INPUT_DELAY!$E$5:$E$20000,INPUT_DELAY!$A$5:$A$20000,Kalkulasi!$B$617,INPUT_DELAY!$B$5:$B$20000,M$640,INPUT_DELAY!$C$5:$C$20000,"SEMUA")))/60)</f>
        <v/>
      </c>
      <c r="AA643">
        <f>IF(N643=0,0,(60-MIN(60,SUMIFS(INPUT_DELAY!$E$5:$E$20000,INPUT_DELAY!$A$5:$A$20000,Kalkulasi!$B$617,INPUT_DELAY!$B$5:$B$20000,N$640,INPUT_DELAY!$C$5:$C$20000,$A643)+SUMIFS(INPUT_DELAY!$E$5:$E$20000,INPUT_DELAY!$A$5:$A$20000,Kalkulasi!$B$617,INPUT_DELAY!$B$5:$B$20000,N$640,INPUT_DELAY!$C$5:$C$20000,"SEMUA")))/60)</f>
        <v/>
      </c>
      <c r="AB643">
        <f>IF(O643=0,0,(60-MIN(60,SUMIFS(INPUT_DELAY!$E$5:$E$20000,INPUT_DELAY!$A$5:$A$20000,Kalkulasi!$B$617,INPUT_DELAY!$B$5:$B$20000,O$640,INPUT_DELAY!$C$5:$C$20000,$A643)+SUMIFS(INPUT_DELAY!$E$5:$E$20000,INPUT_DELAY!$A$5:$A$20000,Kalkulasi!$B$617,INPUT_DELAY!$B$5:$B$20000,O$640,INPUT_DELAY!$C$5:$C$20000,"SEMUA")))/60)</f>
        <v/>
      </c>
      <c r="AC643">
        <f>SUM(Q643:AB643)</f>
        <v/>
      </c>
      <c r="AD643">
        <f>IF(D643=0,"",IF(Q643&lt;=0,"",D643/Q643))</f>
        <v/>
      </c>
      <c r="AE643">
        <f>IF(E643=0,"",IF(R643&lt;=0,"",E643/R643))</f>
        <v/>
      </c>
      <c r="AF643">
        <f>IF(F643=0,"",IF(S643&lt;=0,"",F643/S643))</f>
        <v/>
      </c>
      <c r="AG643">
        <f>IF(G643=0,"",IF(T643&lt;=0,"",G643/T643))</f>
        <v/>
      </c>
      <c r="AH643">
        <f>IF(H643=0,"",IF(U643&lt;=0,"",H643/U643))</f>
        <v/>
      </c>
      <c r="AI643">
        <f>IF(I643=0,"",IF(V643&lt;=0,"",I643/V643))</f>
        <v/>
      </c>
      <c r="AJ643">
        <f>IF(J643=0,"",IF(W643&lt;=0,"",J643/W643))</f>
        <v/>
      </c>
      <c r="AK643">
        <f>IF(K643=0,"",IF(X643&lt;=0,"",K643/X643))</f>
        <v/>
      </c>
      <c r="AL643">
        <f>IF(L643=0,"",IF(Y643&lt;=0,"",L643/Y643))</f>
        <v/>
      </c>
      <c r="AM643">
        <f>IF(M643=0,"",IF(Z643&lt;=0,"",M643/Z643))</f>
        <v/>
      </c>
      <c r="AN643">
        <f>IF(N643=0,"",IF(AA643&lt;=0,"",N643/AA643))</f>
        <v/>
      </c>
      <c r="AO643">
        <f>IF(O643=0,"",IF(AB643&lt;=0,"",O643/AB643))</f>
        <v/>
      </c>
      <c r="AP643">
        <f>IF(AC643=0,"",P643/AC643)</f>
        <v/>
      </c>
      <c r="AQ643">
        <f>SUMIFS(INPUT_RITASE!$F$5:$F$20000,INPUT_RITASE!$A$5:$A$20000,Kalkulasi!$B$617,INPUT_RITASE!$H$5:$H$20000,Kalkulasi!$B$618,INPUT_RITASE!$C$5:$C$20000,$A643,INPUT_RITASE!$N$5:$N$20000,Kalkulasi!$B$619)</f>
        <v/>
      </c>
      <c r="AR643">
        <f>P643+AQ643/1000+ROW()/1000000</f>
        <v/>
      </c>
      <c r="AT643">
        <f>IF(AND(P643&gt;0,C643&gt;0,ISNUMBER(AP643)),IF(AP643&gt;=C643,1,0),0)</f>
        <v/>
      </c>
    </row>
    <row r="644">
      <c r="A644" t="inlineStr">
        <is>
          <t>EX-754</t>
        </is>
      </c>
      <c r="B644">
        <f>IFERROR(INDEX(MASTER_JAM!$B$5:$B$94,MATCH($A644,MASTER_JAM!$A$5:$A$94,0)),"")</f>
        <v/>
      </c>
      <c r="C644">
        <f>IFERROR(IF(Kalkulasi!$B$619="OB",INDEX(MASTER_JAM!$F$5:$F$94,MATCH($A644,MASTER_JAM!$A$5:$A$94,0)),INDEX(MASTER_JAM!$G$5:$G$94,MATCH($A644,MASTER_JAM!$A$5:$A$94,0)))+0,0)</f>
        <v/>
      </c>
      <c r="D644">
        <f>SUMIFS(INPUT_RITASE!$L$5:$L$20000,INPUT_RITASE!$A$5:$A$20000,Kalkulasi!$B$617,INPUT_RITASE!$B$5:$B$20000,D$640,INPUT_RITASE!$C$5:$C$20000,$A644,INPUT_RITASE!$N$5:$N$20000,Kalkulasi!$B$619)</f>
        <v/>
      </c>
      <c r="E644">
        <f>SUMIFS(INPUT_RITASE!$L$5:$L$20000,INPUT_RITASE!$A$5:$A$20000,Kalkulasi!$B$617,INPUT_RITASE!$B$5:$B$20000,E$640,INPUT_RITASE!$C$5:$C$20000,$A644,INPUT_RITASE!$N$5:$N$20000,Kalkulasi!$B$619)</f>
        <v/>
      </c>
      <c r="F644">
        <f>SUMIFS(INPUT_RITASE!$L$5:$L$20000,INPUT_RITASE!$A$5:$A$20000,Kalkulasi!$B$617,INPUT_RITASE!$B$5:$B$20000,F$640,INPUT_RITASE!$C$5:$C$20000,$A644,INPUT_RITASE!$N$5:$N$20000,Kalkulasi!$B$619)</f>
        <v/>
      </c>
      <c r="G644">
        <f>SUMIFS(INPUT_RITASE!$L$5:$L$20000,INPUT_RITASE!$A$5:$A$20000,Kalkulasi!$B$617,INPUT_RITASE!$B$5:$B$20000,G$640,INPUT_RITASE!$C$5:$C$20000,$A644,INPUT_RITASE!$N$5:$N$20000,Kalkulasi!$B$619)</f>
        <v/>
      </c>
      <c r="H644">
        <f>SUMIFS(INPUT_RITASE!$L$5:$L$20000,INPUT_RITASE!$A$5:$A$20000,Kalkulasi!$B$617,INPUT_RITASE!$B$5:$B$20000,H$640,INPUT_RITASE!$C$5:$C$20000,$A644,INPUT_RITASE!$N$5:$N$20000,Kalkulasi!$B$619)</f>
        <v/>
      </c>
      <c r="I644">
        <f>SUMIFS(INPUT_RITASE!$L$5:$L$20000,INPUT_RITASE!$A$5:$A$20000,Kalkulasi!$B$617,INPUT_RITASE!$B$5:$B$20000,I$640,INPUT_RITASE!$C$5:$C$20000,$A644,INPUT_RITASE!$N$5:$N$20000,Kalkulasi!$B$619)</f>
        <v/>
      </c>
      <c r="J644">
        <f>SUMIFS(INPUT_RITASE!$L$5:$L$20000,INPUT_RITASE!$A$5:$A$20000,Kalkulasi!$B$617,INPUT_RITASE!$B$5:$B$20000,J$640,INPUT_RITASE!$C$5:$C$20000,$A644,INPUT_RITASE!$N$5:$N$20000,Kalkulasi!$B$619)</f>
        <v/>
      </c>
      <c r="K644">
        <f>SUMIFS(INPUT_RITASE!$L$5:$L$20000,INPUT_RITASE!$A$5:$A$20000,Kalkulasi!$B$617,INPUT_RITASE!$B$5:$B$20000,K$640,INPUT_RITASE!$C$5:$C$20000,$A644,INPUT_RITASE!$N$5:$N$20000,Kalkulasi!$B$619)</f>
        <v/>
      </c>
      <c r="L644">
        <f>SUMIFS(INPUT_RITASE!$L$5:$L$20000,INPUT_RITASE!$A$5:$A$20000,Kalkulasi!$B$617,INPUT_RITASE!$B$5:$B$20000,L$640,INPUT_RITASE!$C$5:$C$20000,$A644,INPUT_RITASE!$N$5:$N$20000,Kalkulasi!$B$619)</f>
        <v/>
      </c>
      <c r="M644">
        <f>SUMIFS(INPUT_RITASE!$L$5:$L$20000,INPUT_RITASE!$A$5:$A$20000,Kalkulasi!$B$617,INPUT_RITASE!$B$5:$B$20000,M$640,INPUT_RITASE!$C$5:$C$20000,$A644,INPUT_RITASE!$N$5:$N$20000,Kalkulasi!$B$619)</f>
        <v/>
      </c>
      <c r="N644">
        <f>SUMIFS(INPUT_RITASE!$L$5:$L$20000,INPUT_RITASE!$A$5:$A$20000,Kalkulasi!$B$617,INPUT_RITASE!$B$5:$B$20000,N$640,INPUT_RITASE!$C$5:$C$20000,$A644,INPUT_RITASE!$N$5:$N$20000,Kalkulasi!$B$619)</f>
        <v/>
      </c>
      <c r="O644">
        <f>SUMIFS(INPUT_RITASE!$L$5:$L$20000,INPUT_RITASE!$A$5:$A$20000,Kalkulasi!$B$617,INPUT_RITASE!$B$5:$B$20000,O$640,INPUT_RITASE!$C$5:$C$20000,$A644,INPUT_RITASE!$N$5:$N$20000,Kalkulasi!$B$619)</f>
        <v/>
      </c>
      <c r="P644">
        <f>SUM(D644:O644)</f>
        <v/>
      </c>
      <c r="Q644">
        <f>IF(D644=0,0,(60-MIN(60,SUMIFS(INPUT_DELAY!$E$5:$E$20000,INPUT_DELAY!$A$5:$A$20000,Kalkulasi!$B$617,INPUT_DELAY!$B$5:$B$20000,D$640,INPUT_DELAY!$C$5:$C$20000,$A644)+SUMIFS(INPUT_DELAY!$E$5:$E$20000,INPUT_DELAY!$A$5:$A$20000,Kalkulasi!$B$617,INPUT_DELAY!$B$5:$B$20000,D$640,INPUT_DELAY!$C$5:$C$20000,"SEMUA")))/60)</f>
        <v/>
      </c>
      <c r="R644">
        <f>IF(E644=0,0,(60-MIN(60,SUMIFS(INPUT_DELAY!$E$5:$E$20000,INPUT_DELAY!$A$5:$A$20000,Kalkulasi!$B$617,INPUT_DELAY!$B$5:$B$20000,E$640,INPUT_DELAY!$C$5:$C$20000,$A644)+SUMIFS(INPUT_DELAY!$E$5:$E$20000,INPUT_DELAY!$A$5:$A$20000,Kalkulasi!$B$617,INPUT_DELAY!$B$5:$B$20000,E$640,INPUT_DELAY!$C$5:$C$20000,"SEMUA")))/60)</f>
        <v/>
      </c>
      <c r="S644">
        <f>IF(F644=0,0,(60-MIN(60,SUMIFS(INPUT_DELAY!$E$5:$E$20000,INPUT_DELAY!$A$5:$A$20000,Kalkulasi!$B$617,INPUT_DELAY!$B$5:$B$20000,F$640,INPUT_DELAY!$C$5:$C$20000,$A644)+SUMIFS(INPUT_DELAY!$E$5:$E$20000,INPUT_DELAY!$A$5:$A$20000,Kalkulasi!$B$617,INPUT_DELAY!$B$5:$B$20000,F$640,INPUT_DELAY!$C$5:$C$20000,"SEMUA")))/60)</f>
        <v/>
      </c>
      <c r="T644">
        <f>IF(G644=0,0,(60-MIN(60,SUMIFS(INPUT_DELAY!$E$5:$E$20000,INPUT_DELAY!$A$5:$A$20000,Kalkulasi!$B$617,INPUT_DELAY!$B$5:$B$20000,G$640,INPUT_DELAY!$C$5:$C$20000,$A644)+SUMIFS(INPUT_DELAY!$E$5:$E$20000,INPUT_DELAY!$A$5:$A$20000,Kalkulasi!$B$617,INPUT_DELAY!$B$5:$B$20000,G$640,INPUT_DELAY!$C$5:$C$20000,"SEMUA")))/60)</f>
        <v/>
      </c>
      <c r="U644">
        <f>IF(H644=0,0,(60-MIN(60,SUMIFS(INPUT_DELAY!$E$5:$E$20000,INPUT_DELAY!$A$5:$A$20000,Kalkulasi!$B$617,INPUT_DELAY!$B$5:$B$20000,H$640,INPUT_DELAY!$C$5:$C$20000,$A644)+SUMIFS(INPUT_DELAY!$E$5:$E$20000,INPUT_DELAY!$A$5:$A$20000,Kalkulasi!$B$617,INPUT_DELAY!$B$5:$B$20000,H$640,INPUT_DELAY!$C$5:$C$20000,"SEMUA")))/60)</f>
        <v/>
      </c>
      <c r="V644">
        <f>IF(I644=0,0,(60-MIN(60,SUMIFS(INPUT_DELAY!$E$5:$E$20000,INPUT_DELAY!$A$5:$A$20000,Kalkulasi!$B$617,INPUT_DELAY!$B$5:$B$20000,I$640,INPUT_DELAY!$C$5:$C$20000,$A644)+SUMIFS(INPUT_DELAY!$E$5:$E$20000,INPUT_DELAY!$A$5:$A$20000,Kalkulasi!$B$617,INPUT_DELAY!$B$5:$B$20000,I$640,INPUT_DELAY!$C$5:$C$20000,"SEMUA")))/60)</f>
        <v/>
      </c>
      <c r="W644">
        <f>IF(J644=0,0,(60-MIN(60,SUMIFS(INPUT_DELAY!$E$5:$E$20000,INPUT_DELAY!$A$5:$A$20000,Kalkulasi!$B$617,INPUT_DELAY!$B$5:$B$20000,J$640,INPUT_DELAY!$C$5:$C$20000,$A644)+SUMIFS(INPUT_DELAY!$E$5:$E$20000,INPUT_DELAY!$A$5:$A$20000,Kalkulasi!$B$617,INPUT_DELAY!$B$5:$B$20000,J$640,INPUT_DELAY!$C$5:$C$20000,"SEMUA")))/60)</f>
        <v/>
      </c>
      <c r="X644">
        <f>IF(K644=0,0,(60-MIN(60,SUMIFS(INPUT_DELAY!$E$5:$E$20000,INPUT_DELAY!$A$5:$A$20000,Kalkulasi!$B$617,INPUT_DELAY!$B$5:$B$20000,K$640,INPUT_DELAY!$C$5:$C$20000,$A644)+SUMIFS(INPUT_DELAY!$E$5:$E$20000,INPUT_DELAY!$A$5:$A$20000,Kalkulasi!$B$617,INPUT_DELAY!$B$5:$B$20000,K$640,INPUT_DELAY!$C$5:$C$20000,"SEMUA")))/60)</f>
        <v/>
      </c>
      <c r="Y644">
        <f>IF(L644=0,0,(60-MIN(60,SUMIFS(INPUT_DELAY!$E$5:$E$20000,INPUT_DELAY!$A$5:$A$20000,Kalkulasi!$B$617,INPUT_DELAY!$B$5:$B$20000,L$640,INPUT_DELAY!$C$5:$C$20000,$A644)+SUMIFS(INPUT_DELAY!$E$5:$E$20000,INPUT_DELAY!$A$5:$A$20000,Kalkulasi!$B$617,INPUT_DELAY!$B$5:$B$20000,L$640,INPUT_DELAY!$C$5:$C$20000,"SEMUA")))/60)</f>
        <v/>
      </c>
      <c r="Z644">
        <f>IF(M644=0,0,(60-MIN(60,SUMIFS(INPUT_DELAY!$E$5:$E$20000,INPUT_DELAY!$A$5:$A$20000,Kalkulasi!$B$617,INPUT_DELAY!$B$5:$B$20000,M$640,INPUT_DELAY!$C$5:$C$20000,$A644)+SUMIFS(INPUT_DELAY!$E$5:$E$20000,INPUT_DELAY!$A$5:$A$20000,Kalkulasi!$B$617,INPUT_DELAY!$B$5:$B$20000,M$640,INPUT_DELAY!$C$5:$C$20000,"SEMUA")))/60)</f>
        <v/>
      </c>
      <c r="AA644">
        <f>IF(N644=0,0,(60-MIN(60,SUMIFS(INPUT_DELAY!$E$5:$E$20000,INPUT_DELAY!$A$5:$A$20000,Kalkulasi!$B$617,INPUT_DELAY!$B$5:$B$20000,N$640,INPUT_DELAY!$C$5:$C$20000,$A644)+SUMIFS(INPUT_DELAY!$E$5:$E$20000,INPUT_DELAY!$A$5:$A$20000,Kalkulasi!$B$617,INPUT_DELAY!$B$5:$B$20000,N$640,INPUT_DELAY!$C$5:$C$20000,"SEMUA")))/60)</f>
        <v/>
      </c>
      <c r="AB644">
        <f>IF(O644=0,0,(60-MIN(60,SUMIFS(INPUT_DELAY!$E$5:$E$20000,INPUT_DELAY!$A$5:$A$20000,Kalkulasi!$B$617,INPUT_DELAY!$B$5:$B$20000,O$640,INPUT_DELAY!$C$5:$C$20000,$A644)+SUMIFS(INPUT_DELAY!$E$5:$E$20000,INPUT_DELAY!$A$5:$A$20000,Kalkulasi!$B$617,INPUT_DELAY!$B$5:$B$20000,O$640,INPUT_DELAY!$C$5:$C$20000,"SEMUA")))/60)</f>
        <v/>
      </c>
      <c r="AC644">
        <f>SUM(Q644:AB644)</f>
        <v/>
      </c>
      <c r="AD644">
        <f>IF(D644=0,"",IF(Q644&lt;=0,"",D644/Q644))</f>
        <v/>
      </c>
      <c r="AE644">
        <f>IF(E644=0,"",IF(R644&lt;=0,"",E644/R644))</f>
        <v/>
      </c>
      <c r="AF644">
        <f>IF(F644=0,"",IF(S644&lt;=0,"",F644/S644))</f>
        <v/>
      </c>
      <c r="AG644">
        <f>IF(G644=0,"",IF(T644&lt;=0,"",G644/T644))</f>
        <v/>
      </c>
      <c r="AH644">
        <f>IF(H644=0,"",IF(U644&lt;=0,"",H644/U644))</f>
        <v/>
      </c>
      <c r="AI644">
        <f>IF(I644=0,"",IF(V644&lt;=0,"",I644/V644))</f>
        <v/>
      </c>
      <c r="AJ644">
        <f>IF(J644=0,"",IF(W644&lt;=0,"",J644/W644))</f>
        <v/>
      </c>
      <c r="AK644">
        <f>IF(K644=0,"",IF(X644&lt;=0,"",K644/X644))</f>
        <v/>
      </c>
      <c r="AL644">
        <f>IF(L644=0,"",IF(Y644&lt;=0,"",L644/Y644))</f>
        <v/>
      </c>
      <c r="AM644">
        <f>IF(M644=0,"",IF(Z644&lt;=0,"",M644/Z644))</f>
        <v/>
      </c>
      <c r="AN644">
        <f>IF(N644=0,"",IF(AA644&lt;=0,"",N644/AA644))</f>
        <v/>
      </c>
      <c r="AO644">
        <f>IF(O644=0,"",IF(AB644&lt;=0,"",O644/AB644))</f>
        <v/>
      </c>
      <c r="AP644">
        <f>IF(AC644=0,"",P644/AC644)</f>
        <v/>
      </c>
      <c r="AQ644">
        <f>SUMIFS(INPUT_RITASE!$F$5:$F$20000,INPUT_RITASE!$A$5:$A$20000,Kalkulasi!$B$617,INPUT_RITASE!$H$5:$H$20000,Kalkulasi!$B$618,INPUT_RITASE!$C$5:$C$20000,$A644,INPUT_RITASE!$N$5:$N$20000,Kalkulasi!$B$619)</f>
        <v/>
      </c>
      <c r="AR644">
        <f>P644+AQ644/1000+ROW()/1000000</f>
        <v/>
      </c>
      <c r="AT644">
        <f>IF(AND(P644&gt;0,C644&gt;0,ISNUMBER(AP644)),IF(AP644&gt;=C644,1,0),0)</f>
        <v/>
      </c>
    </row>
    <row r="645">
      <c r="A645" t="inlineStr">
        <is>
          <t>EX-753</t>
        </is>
      </c>
      <c r="B645">
        <f>IFERROR(INDEX(MASTER_JAM!$B$5:$B$94,MATCH($A645,MASTER_JAM!$A$5:$A$94,0)),"")</f>
        <v/>
      </c>
      <c r="C645">
        <f>IFERROR(IF(Kalkulasi!$B$619="OB",INDEX(MASTER_JAM!$F$5:$F$94,MATCH($A645,MASTER_JAM!$A$5:$A$94,0)),INDEX(MASTER_JAM!$G$5:$G$94,MATCH($A645,MASTER_JAM!$A$5:$A$94,0)))+0,0)</f>
        <v/>
      </c>
      <c r="D645">
        <f>SUMIFS(INPUT_RITASE!$L$5:$L$20000,INPUT_RITASE!$A$5:$A$20000,Kalkulasi!$B$617,INPUT_RITASE!$B$5:$B$20000,D$640,INPUT_RITASE!$C$5:$C$20000,$A645,INPUT_RITASE!$N$5:$N$20000,Kalkulasi!$B$619)</f>
        <v/>
      </c>
      <c r="E645">
        <f>SUMIFS(INPUT_RITASE!$L$5:$L$20000,INPUT_RITASE!$A$5:$A$20000,Kalkulasi!$B$617,INPUT_RITASE!$B$5:$B$20000,E$640,INPUT_RITASE!$C$5:$C$20000,$A645,INPUT_RITASE!$N$5:$N$20000,Kalkulasi!$B$619)</f>
        <v/>
      </c>
      <c r="F645">
        <f>SUMIFS(INPUT_RITASE!$L$5:$L$20000,INPUT_RITASE!$A$5:$A$20000,Kalkulasi!$B$617,INPUT_RITASE!$B$5:$B$20000,F$640,INPUT_RITASE!$C$5:$C$20000,$A645,INPUT_RITASE!$N$5:$N$20000,Kalkulasi!$B$619)</f>
        <v/>
      </c>
      <c r="G645">
        <f>SUMIFS(INPUT_RITASE!$L$5:$L$20000,INPUT_RITASE!$A$5:$A$20000,Kalkulasi!$B$617,INPUT_RITASE!$B$5:$B$20000,G$640,INPUT_RITASE!$C$5:$C$20000,$A645,INPUT_RITASE!$N$5:$N$20000,Kalkulasi!$B$619)</f>
        <v/>
      </c>
      <c r="H645">
        <f>SUMIFS(INPUT_RITASE!$L$5:$L$20000,INPUT_RITASE!$A$5:$A$20000,Kalkulasi!$B$617,INPUT_RITASE!$B$5:$B$20000,H$640,INPUT_RITASE!$C$5:$C$20000,$A645,INPUT_RITASE!$N$5:$N$20000,Kalkulasi!$B$619)</f>
        <v/>
      </c>
      <c r="I645">
        <f>SUMIFS(INPUT_RITASE!$L$5:$L$20000,INPUT_RITASE!$A$5:$A$20000,Kalkulasi!$B$617,INPUT_RITASE!$B$5:$B$20000,I$640,INPUT_RITASE!$C$5:$C$20000,$A645,INPUT_RITASE!$N$5:$N$20000,Kalkulasi!$B$619)</f>
        <v/>
      </c>
      <c r="J645">
        <f>SUMIFS(INPUT_RITASE!$L$5:$L$20000,INPUT_RITASE!$A$5:$A$20000,Kalkulasi!$B$617,INPUT_RITASE!$B$5:$B$20000,J$640,INPUT_RITASE!$C$5:$C$20000,$A645,INPUT_RITASE!$N$5:$N$20000,Kalkulasi!$B$619)</f>
        <v/>
      </c>
      <c r="K645">
        <f>SUMIFS(INPUT_RITASE!$L$5:$L$20000,INPUT_RITASE!$A$5:$A$20000,Kalkulasi!$B$617,INPUT_RITASE!$B$5:$B$20000,K$640,INPUT_RITASE!$C$5:$C$20000,$A645,INPUT_RITASE!$N$5:$N$20000,Kalkulasi!$B$619)</f>
        <v/>
      </c>
      <c r="L645">
        <f>SUMIFS(INPUT_RITASE!$L$5:$L$20000,INPUT_RITASE!$A$5:$A$20000,Kalkulasi!$B$617,INPUT_RITASE!$B$5:$B$20000,L$640,INPUT_RITASE!$C$5:$C$20000,$A645,INPUT_RITASE!$N$5:$N$20000,Kalkulasi!$B$619)</f>
        <v/>
      </c>
      <c r="M645">
        <f>SUMIFS(INPUT_RITASE!$L$5:$L$20000,INPUT_RITASE!$A$5:$A$20000,Kalkulasi!$B$617,INPUT_RITASE!$B$5:$B$20000,M$640,INPUT_RITASE!$C$5:$C$20000,$A645,INPUT_RITASE!$N$5:$N$20000,Kalkulasi!$B$619)</f>
        <v/>
      </c>
      <c r="N645">
        <f>SUMIFS(INPUT_RITASE!$L$5:$L$20000,INPUT_RITASE!$A$5:$A$20000,Kalkulasi!$B$617,INPUT_RITASE!$B$5:$B$20000,N$640,INPUT_RITASE!$C$5:$C$20000,$A645,INPUT_RITASE!$N$5:$N$20000,Kalkulasi!$B$619)</f>
        <v/>
      </c>
      <c r="O645">
        <f>SUMIFS(INPUT_RITASE!$L$5:$L$20000,INPUT_RITASE!$A$5:$A$20000,Kalkulasi!$B$617,INPUT_RITASE!$B$5:$B$20000,O$640,INPUT_RITASE!$C$5:$C$20000,$A645,INPUT_RITASE!$N$5:$N$20000,Kalkulasi!$B$619)</f>
        <v/>
      </c>
      <c r="P645">
        <f>SUM(D645:O645)</f>
        <v/>
      </c>
      <c r="Q645">
        <f>IF(D645=0,0,(60-MIN(60,SUMIFS(INPUT_DELAY!$E$5:$E$20000,INPUT_DELAY!$A$5:$A$20000,Kalkulasi!$B$617,INPUT_DELAY!$B$5:$B$20000,D$640,INPUT_DELAY!$C$5:$C$20000,$A645)+SUMIFS(INPUT_DELAY!$E$5:$E$20000,INPUT_DELAY!$A$5:$A$20000,Kalkulasi!$B$617,INPUT_DELAY!$B$5:$B$20000,D$640,INPUT_DELAY!$C$5:$C$20000,"SEMUA")))/60)</f>
        <v/>
      </c>
      <c r="R645">
        <f>IF(E645=0,0,(60-MIN(60,SUMIFS(INPUT_DELAY!$E$5:$E$20000,INPUT_DELAY!$A$5:$A$20000,Kalkulasi!$B$617,INPUT_DELAY!$B$5:$B$20000,E$640,INPUT_DELAY!$C$5:$C$20000,$A645)+SUMIFS(INPUT_DELAY!$E$5:$E$20000,INPUT_DELAY!$A$5:$A$20000,Kalkulasi!$B$617,INPUT_DELAY!$B$5:$B$20000,E$640,INPUT_DELAY!$C$5:$C$20000,"SEMUA")))/60)</f>
        <v/>
      </c>
      <c r="S645">
        <f>IF(F645=0,0,(60-MIN(60,SUMIFS(INPUT_DELAY!$E$5:$E$20000,INPUT_DELAY!$A$5:$A$20000,Kalkulasi!$B$617,INPUT_DELAY!$B$5:$B$20000,F$640,INPUT_DELAY!$C$5:$C$20000,$A645)+SUMIFS(INPUT_DELAY!$E$5:$E$20000,INPUT_DELAY!$A$5:$A$20000,Kalkulasi!$B$617,INPUT_DELAY!$B$5:$B$20000,F$640,INPUT_DELAY!$C$5:$C$20000,"SEMUA")))/60)</f>
        <v/>
      </c>
      <c r="T645">
        <f>IF(G645=0,0,(60-MIN(60,SUMIFS(INPUT_DELAY!$E$5:$E$20000,INPUT_DELAY!$A$5:$A$20000,Kalkulasi!$B$617,INPUT_DELAY!$B$5:$B$20000,G$640,INPUT_DELAY!$C$5:$C$20000,$A645)+SUMIFS(INPUT_DELAY!$E$5:$E$20000,INPUT_DELAY!$A$5:$A$20000,Kalkulasi!$B$617,INPUT_DELAY!$B$5:$B$20000,G$640,INPUT_DELAY!$C$5:$C$20000,"SEMUA")))/60)</f>
        <v/>
      </c>
      <c r="U645">
        <f>IF(H645=0,0,(60-MIN(60,SUMIFS(INPUT_DELAY!$E$5:$E$20000,INPUT_DELAY!$A$5:$A$20000,Kalkulasi!$B$617,INPUT_DELAY!$B$5:$B$20000,H$640,INPUT_DELAY!$C$5:$C$20000,$A645)+SUMIFS(INPUT_DELAY!$E$5:$E$20000,INPUT_DELAY!$A$5:$A$20000,Kalkulasi!$B$617,INPUT_DELAY!$B$5:$B$20000,H$640,INPUT_DELAY!$C$5:$C$20000,"SEMUA")))/60)</f>
        <v/>
      </c>
      <c r="V645">
        <f>IF(I645=0,0,(60-MIN(60,SUMIFS(INPUT_DELAY!$E$5:$E$20000,INPUT_DELAY!$A$5:$A$20000,Kalkulasi!$B$617,INPUT_DELAY!$B$5:$B$20000,I$640,INPUT_DELAY!$C$5:$C$20000,$A645)+SUMIFS(INPUT_DELAY!$E$5:$E$20000,INPUT_DELAY!$A$5:$A$20000,Kalkulasi!$B$617,INPUT_DELAY!$B$5:$B$20000,I$640,INPUT_DELAY!$C$5:$C$20000,"SEMUA")))/60)</f>
        <v/>
      </c>
      <c r="W645">
        <f>IF(J645=0,0,(60-MIN(60,SUMIFS(INPUT_DELAY!$E$5:$E$20000,INPUT_DELAY!$A$5:$A$20000,Kalkulasi!$B$617,INPUT_DELAY!$B$5:$B$20000,J$640,INPUT_DELAY!$C$5:$C$20000,$A645)+SUMIFS(INPUT_DELAY!$E$5:$E$20000,INPUT_DELAY!$A$5:$A$20000,Kalkulasi!$B$617,INPUT_DELAY!$B$5:$B$20000,J$640,INPUT_DELAY!$C$5:$C$20000,"SEMUA")))/60)</f>
        <v/>
      </c>
      <c r="X645">
        <f>IF(K645=0,0,(60-MIN(60,SUMIFS(INPUT_DELAY!$E$5:$E$20000,INPUT_DELAY!$A$5:$A$20000,Kalkulasi!$B$617,INPUT_DELAY!$B$5:$B$20000,K$640,INPUT_DELAY!$C$5:$C$20000,$A645)+SUMIFS(INPUT_DELAY!$E$5:$E$20000,INPUT_DELAY!$A$5:$A$20000,Kalkulasi!$B$617,INPUT_DELAY!$B$5:$B$20000,K$640,INPUT_DELAY!$C$5:$C$20000,"SEMUA")))/60)</f>
        <v/>
      </c>
      <c r="Y645">
        <f>IF(L645=0,0,(60-MIN(60,SUMIFS(INPUT_DELAY!$E$5:$E$20000,INPUT_DELAY!$A$5:$A$20000,Kalkulasi!$B$617,INPUT_DELAY!$B$5:$B$20000,L$640,INPUT_DELAY!$C$5:$C$20000,$A645)+SUMIFS(INPUT_DELAY!$E$5:$E$20000,INPUT_DELAY!$A$5:$A$20000,Kalkulasi!$B$617,INPUT_DELAY!$B$5:$B$20000,L$640,INPUT_DELAY!$C$5:$C$20000,"SEMUA")))/60)</f>
        <v/>
      </c>
      <c r="Z645">
        <f>IF(M645=0,0,(60-MIN(60,SUMIFS(INPUT_DELAY!$E$5:$E$20000,INPUT_DELAY!$A$5:$A$20000,Kalkulasi!$B$617,INPUT_DELAY!$B$5:$B$20000,M$640,INPUT_DELAY!$C$5:$C$20000,$A645)+SUMIFS(INPUT_DELAY!$E$5:$E$20000,INPUT_DELAY!$A$5:$A$20000,Kalkulasi!$B$617,INPUT_DELAY!$B$5:$B$20000,M$640,INPUT_DELAY!$C$5:$C$20000,"SEMUA")))/60)</f>
        <v/>
      </c>
      <c r="AA645">
        <f>IF(N645=0,0,(60-MIN(60,SUMIFS(INPUT_DELAY!$E$5:$E$20000,INPUT_DELAY!$A$5:$A$20000,Kalkulasi!$B$617,INPUT_DELAY!$B$5:$B$20000,N$640,INPUT_DELAY!$C$5:$C$20000,$A645)+SUMIFS(INPUT_DELAY!$E$5:$E$20000,INPUT_DELAY!$A$5:$A$20000,Kalkulasi!$B$617,INPUT_DELAY!$B$5:$B$20000,N$640,INPUT_DELAY!$C$5:$C$20000,"SEMUA")))/60)</f>
        <v/>
      </c>
      <c r="AB645">
        <f>IF(O645=0,0,(60-MIN(60,SUMIFS(INPUT_DELAY!$E$5:$E$20000,INPUT_DELAY!$A$5:$A$20000,Kalkulasi!$B$617,INPUT_DELAY!$B$5:$B$20000,O$640,INPUT_DELAY!$C$5:$C$20000,$A645)+SUMIFS(INPUT_DELAY!$E$5:$E$20000,INPUT_DELAY!$A$5:$A$20000,Kalkulasi!$B$617,INPUT_DELAY!$B$5:$B$20000,O$640,INPUT_DELAY!$C$5:$C$20000,"SEMUA")))/60)</f>
        <v/>
      </c>
      <c r="AC645">
        <f>SUM(Q645:AB645)</f>
        <v/>
      </c>
      <c r="AD645">
        <f>IF(D645=0,"",IF(Q645&lt;=0,"",D645/Q645))</f>
        <v/>
      </c>
      <c r="AE645">
        <f>IF(E645=0,"",IF(R645&lt;=0,"",E645/R645))</f>
        <v/>
      </c>
      <c r="AF645">
        <f>IF(F645=0,"",IF(S645&lt;=0,"",F645/S645))</f>
        <v/>
      </c>
      <c r="AG645">
        <f>IF(G645=0,"",IF(T645&lt;=0,"",G645/T645))</f>
        <v/>
      </c>
      <c r="AH645">
        <f>IF(H645=0,"",IF(U645&lt;=0,"",H645/U645))</f>
        <v/>
      </c>
      <c r="AI645">
        <f>IF(I645=0,"",IF(V645&lt;=0,"",I645/V645))</f>
        <v/>
      </c>
      <c r="AJ645">
        <f>IF(J645=0,"",IF(W645&lt;=0,"",J645/W645))</f>
        <v/>
      </c>
      <c r="AK645">
        <f>IF(K645=0,"",IF(X645&lt;=0,"",K645/X645))</f>
        <v/>
      </c>
      <c r="AL645">
        <f>IF(L645=0,"",IF(Y645&lt;=0,"",L645/Y645))</f>
        <v/>
      </c>
      <c r="AM645">
        <f>IF(M645=0,"",IF(Z645&lt;=0,"",M645/Z645))</f>
        <v/>
      </c>
      <c r="AN645">
        <f>IF(N645=0,"",IF(AA645&lt;=0,"",N645/AA645))</f>
        <v/>
      </c>
      <c r="AO645">
        <f>IF(O645=0,"",IF(AB645&lt;=0,"",O645/AB645))</f>
        <v/>
      </c>
      <c r="AP645">
        <f>IF(AC645=0,"",P645/AC645)</f>
        <v/>
      </c>
      <c r="AQ645">
        <f>SUMIFS(INPUT_RITASE!$F$5:$F$20000,INPUT_RITASE!$A$5:$A$20000,Kalkulasi!$B$617,INPUT_RITASE!$H$5:$H$20000,Kalkulasi!$B$618,INPUT_RITASE!$C$5:$C$20000,$A645,INPUT_RITASE!$N$5:$N$20000,Kalkulasi!$B$619)</f>
        <v/>
      </c>
      <c r="AR645">
        <f>P645+AQ645/1000+ROW()/1000000</f>
        <v/>
      </c>
      <c r="AT645">
        <f>IF(AND(P645&gt;0,C645&gt;0,ISNUMBER(AP645)),IF(AP645&gt;=C645,1,0),0)</f>
        <v/>
      </c>
    </row>
    <row r="646">
      <c r="A646" t="inlineStr">
        <is>
          <t>EX-1252</t>
        </is>
      </c>
      <c r="B646">
        <f>IFERROR(INDEX(MASTER_JAM!$B$5:$B$94,MATCH($A646,MASTER_JAM!$A$5:$A$94,0)),"")</f>
        <v/>
      </c>
      <c r="C646">
        <f>IFERROR(IF(Kalkulasi!$B$619="OB",INDEX(MASTER_JAM!$F$5:$F$94,MATCH($A646,MASTER_JAM!$A$5:$A$94,0)),INDEX(MASTER_JAM!$G$5:$G$94,MATCH($A646,MASTER_JAM!$A$5:$A$94,0)))+0,0)</f>
        <v/>
      </c>
      <c r="D646">
        <f>SUMIFS(INPUT_RITASE!$L$5:$L$20000,INPUT_RITASE!$A$5:$A$20000,Kalkulasi!$B$617,INPUT_RITASE!$B$5:$B$20000,D$640,INPUT_RITASE!$C$5:$C$20000,$A646,INPUT_RITASE!$N$5:$N$20000,Kalkulasi!$B$619)</f>
        <v/>
      </c>
      <c r="E646">
        <f>SUMIFS(INPUT_RITASE!$L$5:$L$20000,INPUT_RITASE!$A$5:$A$20000,Kalkulasi!$B$617,INPUT_RITASE!$B$5:$B$20000,E$640,INPUT_RITASE!$C$5:$C$20000,$A646,INPUT_RITASE!$N$5:$N$20000,Kalkulasi!$B$619)</f>
        <v/>
      </c>
      <c r="F646">
        <f>SUMIFS(INPUT_RITASE!$L$5:$L$20000,INPUT_RITASE!$A$5:$A$20000,Kalkulasi!$B$617,INPUT_RITASE!$B$5:$B$20000,F$640,INPUT_RITASE!$C$5:$C$20000,$A646,INPUT_RITASE!$N$5:$N$20000,Kalkulasi!$B$619)</f>
        <v/>
      </c>
      <c r="G646">
        <f>SUMIFS(INPUT_RITASE!$L$5:$L$20000,INPUT_RITASE!$A$5:$A$20000,Kalkulasi!$B$617,INPUT_RITASE!$B$5:$B$20000,G$640,INPUT_RITASE!$C$5:$C$20000,$A646,INPUT_RITASE!$N$5:$N$20000,Kalkulasi!$B$619)</f>
        <v/>
      </c>
      <c r="H646">
        <f>SUMIFS(INPUT_RITASE!$L$5:$L$20000,INPUT_RITASE!$A$5:$A$20000,Kalkulasi!$B$617,INPUT_RITASE!$B$5:$B$20000,H$640,INPUT_RITASE!$C$5:$C$20000,$A646,INPUT_RITASE!$N$5:$N$20000,Kalkulasi!$B$619)</f>
        <v/>
      </c>
      <c r="I646">
        <f>SUMIFS(INPUT_RITASE!$L$5:$L$20000,INPUT_RITASE!$A$5:$A$20000,Kalkulasi!$B$617,INPUT_RITASE!$B$5:$B$20000,I$640,INPUT_RITASE!$C$5:$C$20000,$A646,INPUT_RITASE!$N$5:$N$20000,Kalkulasi!$B$619)</f>
        <v/>
      </c>
      <c r="J646">
        <f>SUMIFS(INPUT_RITASE!$L$5:$L$20000,INPUT_RITASE!$A$5:$A$20000,Kalkulasi!$B$617,INPUT_RITASE!$B$5:$B$20000,J$640,INPUT_RITASE!$C$5:$C$20000,$A646,INPUT_RITASE!$N$5:$N$20000,Kalkulasi!$B$619)</f>
        <v/>
      </c>
      <c r="K646">
        <f>SUMIFS(INPUT_RITASE!$L$5:$L$20000,INPUT_RITASE!$A$5:$A$20000,Kalkulasi!$B$617,INPUT_RITASE!$B$5:$B$20000,K$640,INPUT_RITASE!$C$5:$C$20000,$A646,INPUT_RITASE!$N$5:$N$20000,Kalkulasi!$B$619)</f>
        <v/>
      </c>
      <c r="L646">
        <f>SUMIFS(INPUT_RITASE!$L$5:$L$20000,INPUT_RITASE!$A$5:$A$20000,Kalkulasi!$B$617,INPUT_RITASE!$B$5:$B$20000,L$640,INPUT_RITASE!$C$5:$C$20000,$A646,INPUT_RITASE!$N$5:$N$20000,Kalkulasi!$B$619)</f>
        <v/>
      </c>
      <c r="M646">
        <f>SUMIFS(INPUT_RITASE!$L$5:$L$20000,INPUT_RITASE!$A$5:$A$20000,Kalkulasi!$B$617,INPUT_RITASE!$B$5:$B$20000,M$640,INPUT_RITASE!$C$5:$C$20000,$A646,INPUT_RITASE!$N$5:$N$20000,Kalkulasi!$B$619)</f>
        <v/>
      </c>
      <c r="N646">
        <f>SUMIFS(INPUT_RITASE!$L$5:$L$20000,INPUT_RITASE!$A$5:$A$20000,Kalkulasi!$B$617,INPUT_RITASE!$B$5:$B$20000,N$640,INPUT_RITASE!$C$5:$C$20000,$A646,INPUT_RITASE!$N$5:$N$20000,Kalkulasi!$B$619)</f>
        <v/>
      </c>
      <c r="O646">
        <f>SUMIFS(INPUT_RITASE!$L$5:$L$20000,INPUT_RITASE!$A$5:$A$20000,Kalkulasi!$B$617,INPUT_RITASE!$B$5:$B$20000,O$640,INPUT_RITASE!$C$5:$C$20000,$A646,INPUT_RITASE!$N$5:$N$20000,Kalkulasi!$B$619)</f>
        <v/>
      </c>
      <c r="P646">
        <f>SUM(D646:O646)</f>
        <v/>
      </c>
      <c r="Q646">
        <f>IF(D646=0,0,(60-MIN(60,SUMIFS(INPUT_DELAY!$E$5:$E$20000,INPUT_DELAY!$A$5:$A$20000,Kalkulasi!$B$617,INPUT_DELAY!$B$5:$B$20000,D$640,INPUT_DELAY!$C$5:$C$20000,$A646)+SUMIFS(INPUT_DELAY!$E$5:$E$20000,INPUT_DELAY!$A$5:$A$20000,Kalkulasi!$B$617,INPUT_DELAY!$B$5:$B$20000,D$640,INPUT_DELAY!$C$5:$C$20000,"SEMUA")))/60)</f>
        <v/>
      </c>
      <c r="R646">
        <f>IF(E646=0,0,(60-MIN(60,SUMIFS(INPUT_DELAY!$E$5:$E$20000,INPUT_DELAY!$A$5:$A$20000,Kalkulasi!$B$617,INPUT_DELAY!$B$5:$B$20000,E$640,INPUT_DELAY!$C$5:$C$20000,$A646)+SUMIFS(INPUT_DELAY!$E$5:$E$20000,INPUT_DELAY!$A$5:$A$20000,Kalkulasi!$B$617,INPUT_DELAY!$B$5:$B$20000,E$640,INPUT_DELAY!$C$5:$C$20000,"SEMUA")))/60)</f>
        <v/>
      </c>
      <c r="S646">
        <f>IF(F646=0,0,(60-MIN(60,SUMIFS(INPUT_DELAY!$E$5:$E$20000,INPUT_DELAY!$A$5:$A$20000,Kalkulasi!$B$617,INPUT_DELAY!$B$5:$B$20000,F$640,INPUT_DELAY!$C$5:$C$20000,$A646)+SUMIFS(INPUT_DELAY!$E$5:$E$20000,INPUT_DELAY!$A$5:$A$20000,Kalkulasi!$B$617,INPUT_DELAY!$B$5:$B$20000,F$640,INPUT_DELAY!$C$5:$C$20000,"SEMUA")))/60)</f>
        <v/>
      </c>
      <c r="T646">
        <f>IF(G646=0,0,(60-MIN(60,SUMIFS(INPUT_DELAY!$E$5:$E$20000,INPUT_DELAY!$A$5:$A$20000,Kalkulasi!$B$617,INPUT_DELAY!$B$5:$B$20000,G$640,INPUT_DELAY!$C$5:$C$20000,$A646)+SUMIFS(INPUT_DELAY!$E$5:$E$20000,INPUT_DELAY!$A$5:$A$20000,Kalkulasi!$B$617,INPUT_DELAY!$B$5:$B$20000,G$640,INPUT_DELAY!$C$5:$C$20000,"SEMUA")))/60)</f>
        <v/>
      </c>
      <c r="U646">
        <f>IF(H646=0,0,(60-MIN(60,SUMIFS(INPUT_DELAY!$E$5:$E$20000,INPUT_DELAY!$A$5:$A$20000,Kalkulasi!$B$617,INPUT_DELAY!$B$5:$B$20000,H$640,INPUT_DELAY!$C$5:$C$20000,$A646)+SUMIFS(INPUT_DELAY!$E$5:$E$20000,INPUT_DELAY!$A$5:$A$20000,Kalkulasi!$B$617,INPUT_DELAY!$B$5:$B$20000,H$640,INPUT_DELAY!$C$5:$C$20000,"SEMUA")))/60)</f>
        <v/>
      </c>
      <c r="V646">
        <f>IF(I646=0,0,(60-MIN(60,SUMIFS(INPUT_DELAY!$E$5:$E$20000,INPUT_DELAY!$A$5:$A$20000,Kalkulasi!$B$617,INPUT_DELAY!$B$5:$B$20000,I$640,INPUT_DELAY!$C$5:$C$20000,$A646)+SUMIFS(INPUT_DELAY!$E$5:$E$20000,INPUT_DELAY!$A$5:$A$20000,Kalkulasi!$B$617,INPUT_DELAY!$B$5:$B$20000,I$640,INPUT_DELAY!$C$5:$C$20000,"SEMUA")))/60)</f>
        <v/>
      </c>
      <c r="W646">
        <f>IF(J646=0,0,(60-MIN(60,SUMIFS(INPUT_DELAY!$E$5:$E$20000,INPUT_DELAY!$A$5:$A$20000,Kalkulasi!$B$617,INPUT_DELAY!$B$5:$B$20000,J$640,INPUT_DELAY!$C$5:$C$20000,$A646)+SUMIFS(INPUT_DELAY!$E$5:$E$20000,INPUT_DELAY!$A$5:$A$20000,Kalkulasi!$B$617,INPUT_DELAY!$B$5:$B$20000,J$640,INPUT_DELAY!$C$5:$C$20000,"SEMUA")))/60)</f>
        <v/>
      </c>
      <c r="X646">
        <f>IF(K646=0,0,(60-MIN(60,SUMIFS(INPUT_DELAY!$E$5:$E$20000,INPUT_DELAY!$A$5:$A$20000,Kalkulasi!$B$617,INPUT_DELAY!$B$5:$B$20000,K$640,INPUT_DELAY!$C$5:$C$20000,$A646)+SUMIFS(INPUT_DELAY!$E$5:$E$20000,INPUT_DELAY!$A$5:$A$20000,Kalkulasi!$B$617,INPUT_DELAY!$B$5:$B$20000,K$640,INPUT_DELAY!$C$5:$C$20000,"SEMUA")))/60)</f>
        <v/>
      </c>
      <c r="Y646">
        <f>IF(L646=0,0,(60-MIN(60,SUMIFS(INPUT_DELAY!$E$5:$E$20000,INPUT_DELAY!$A$5:$A$20000,Kalkulasi!$B$617,INPUT_DELAY!$B$5:$B$20000,L$640,INPUT_DELAY!$C$5:$C$20000,$A646)+SUMIFS(INPUT_DELAY!$E$5:$E$20000,INPUT_DELAY!$A$5:$A$20000,Kalkulasi!$B$617,INPUT_DELAY!$B$5:$B$20000,L$640,INPUT_DELAY!$C$5:$C$20000,"SEMUA")))/60)</f>
        <v/>
      </c>
      <c r="Z646">
        <f>IF(M646=0,0,(60-MIN(60,SUMIFS(INPUT_DELAY!$E$5:$E$20000,INPUT_DELAY!$A$5:$A$20000,Kalkulasi!$B$617,INPUT_DELAY!$B$5:$B$20000,M$640,INPUT_DELAY!$C$5:$C$20000,$A646)+SUMIFS(INPUT_DELAY!$E$5:$E$20000,INPUT_DELAY!$A$5:$A$20000,Kalkulasi!$B$617,INPUT_DELAY!$B$5:$B$20000,M$640,INPUT_DELAY!$C$5:$C$20000,"SEMUA")))/60)</f>
        <v/>
      </c>
      <c r="AA646">
        <f>IF(N646=0,0,(60-MIN(60,SUMIFS(INPUT_DELAY!$E$5:$E$20000,INPUT_DELAY!$A$5:$A$20000,Kalkulasi!$B$617,INPUT_DELAY!$B$5:$B$20000,N$640,INPUT_DELAY!$C$5:$C$20000,$A646)+SUMIFS(INPUT_DELAY!$E$5:$E$20000,INPUT_DELAY!$A$5:$A$20000,Kalkulasi!$B$617,INPUT_DELAY!$B$5:$B$20000,N$640,INPUT_DELAY!$C$5:$C$20000,"SEMUA")))/60)</f>
        <v/>
      </c>
      <c r="AB646">
        <f>IF(O646=0,0,(60-MIN(60,SUMIFS(INPUT_DELAY!$E$5:$E$20000,INPUT_DELAY!$A$5:$A$20000,Kalkulasi!$B$617,INPUT_DELAY!$B$5:$B$20000,O$640,INPUT_DELAY!$C$5:$C$20000,$A646)+SUMIFS(INPUT_DELAY!$E$5:$E$20000,INPUT_DELAY!$A$5:$A$20000,Kalkulasi!$B$617,INPUT_DELAY!$B$5:$B$20000,O$640,INPUT_DELAY!$C$5:$C$20000,"SEMUA")))/60)</f>
        <v/>
      </c>
      <c r="AC646">
        <f>SUM(Q646:AB646)</f>
        <v/>
      </c>
      <c r="AD646">
        <f>IF(D646=0,"",IF(Q646&lt;=0,"",D646/Q646))</f>
        <v/>
      </c>
      <c r="AE646">
        <f>IF(E646=0,"",IF(R646&lt;=0,"",E646/R646))</f>
        <v/>
      </c>
      <c r="AF646">
        <f>IF(F646=0,"",IF(S646&lt;=0,"",F646/S646))</f>
        <v/>
      </c>
      <c r="AG646">
        <f>IF(G646=0,"",IF(T646&lt;=0,"",G646/T646))</f>
        <v/>
      </c>
      <c r="AH646">
        <f>IF(H646=0,"",IF(U646&lt;=0,"",H646/U646))</f>
        <v/>
      </c>
      <c r="AI646">
        <f>IF(I646=0,"",IF(V646&lt;=0,"",I646/V646))</f>
        <v/>
      </c>
      <c r="AJ646">
        <f>IF(J646=0,"",IF(W646&lt;=0,"",J646/W646))</f>
        <v/>
      </c>
      <c r="AK646">
        <f>IF(K646=0,"",IF(X646&lt;=0,"",K646/X646))</f>
        <v/>
      </c>
      <c r="AL646">
        <f>IF(L646=0,"",IF(Y646&lt;=0,"",L646/Y646))</f>
        <v/>
      </c>
      <c r="AM646">
        <f>IF(M646=0,"",IF(Z646&lt;=0,"",M646/Z646))</f>
        <v/>
      </c>
      <c r="AN646">
        <f>IF(N646=0,"",IF(AA646&lt;=0,"",N646/AA646))</f>
        <v/>
      </c>
      <c r="AO646">
        <f>IF(O646=0,"",IF(AB646&lt;=0,"",O646/AB646))</f>
        <v/>
      </c>
      <c r="AP646">
        <f>IF(AC646=0,"",P646/AC646)</f>
        <v/>
      </c>
      <c r="AQ646">
        <f>SUMIFS(INPUT_RITASE!$F$5:$F$20000,INPUT_RITASE!$A$5:$A$20000,Kalkulasi!$B$617,INPUT_RITASE!$H$5:$H$20000,Kalkulasi!$B$618,INPUT_RITASE!$C$5:$C$20000,$A646,INPUT_RITASE!$N$5:$N$20000,Kalkulasi!$B$619)</f>
        <v/>
      </c>
      <c r="AR646">
        <f>P646+AQ646/1000+ROW()/1000000</f>
        <v/>
      </c>
      <c r="AT646">
        <f>IF(AND(P646&gt;0,C646&gt;0,ISNUMBER(AP646)),IF(AP646&gt;=C646,1,0),0)</f>
        <v/>
      </c>
    </row>
    <row r="647">
      <c r="A647" t="inlineStr">
        <is>
          <t>EX-334</t>
        </is>
      </c>
      <c r="B647">
        <f>IFERROR(INDEX(MASTER_JAM!$B$5:$B$94,MATCH($A647,MASTER_JAM!$A$5:$A$94,0)),"")</f>
        <v/>
      </c>
      <c r="C647">
        <f>IFERROR(IF(Kalkulasi!$B$619="OB",INDEX(MASTER_JAM!$F$5:$F$94,MATCH($A647,MASTER_JAM!$A$5:$A$94,0)),INDEX(MASTER_JAM!$G$5:$G$94,MATCH($A647,MASTER_JAM!$A$5:$A$94,0)))+0,0)</f>
        <v/>
      </c>
      <c r="D647">
        <f>SUMIFS(INPUT_RITASE!$L$5:$L$20000,INPUT_RITASE!$A$5:$A$20000,Kalkulasi!$B$617,INPUT_RITASE!$B$5:$B$20000,D$640,INPUT_RITASE!$C$5:$C$20000,$A647,INPUT_RITASE!$N$5:$N$20000,Kalkulasi!$B$619)</f>
        <v/>
      </c>
      <c r="E647">
        <f>SUMIFS(INPUT_RITASE!$L$5:$L$20000,INPUT_RITASE!$A$5:$A$20000,Kalkulasi!$B$617,INPUT_RITASE!$B$5:$B$20000,E$640,INPUT_RITASE!$C$5:$C$20000,$A647,INPUT_RITASE!$N$5:$N$20000,Kalkulasi!$B$619)</f>
        <v/>
      </c>
      <c r="F647">
        <f>SUMIFS(INPUT_RITASE!$L$5:$L$20000,INPUT_RITASE!$A$5:$A$20000,Kalkulasi!$B$617,INPUT_RITASE!$B$5:$B$20000,F$640,INPUT_RITASE!$C$5:$C$20000,$A647,INPUT_RITASE!$N$5:$N$20000,Kalkulasi!$B$619)</f>
        <v/>
      </c>
      <c r="G647">
        <f>SUMIFS(INPUT_RITASE!$L$5:$L$20000,INPUT_RITASE!$A$5:$A$20000,Kalkulasi!$B$617,INPUT_RITASE!$B$5:$B$20000,G$640,INPUT_RITASE!$C$5:$C$20000,$A647,INPUT_RITASE!$N$5:$N$20000,Kalkulasi!$B$619)</f>
        <v/>
      </c>
      <c r="H647">
        <f>SUMIFS(INPUT_RITASE!$L$5:$L$20000,INPUT_RITASE!$A$5:$A$20000,Kalkulasi!$B$617,INPUT_RITASE!$B$5:$B$20000,H$640,INPUT_RITASE!$C$5:$C$20000,$A647,INPUT_RITASE!$N$5:$N$20000,Kalkulasi!$B$619)</f>
        <v/>
      </c>
      <c r="I647">
        <f>SUMIFS(INPUT_RITASE!$L$5:$L$20000,INPUT_RITASE!$A$5:$A$20000,Kalkulasi!$B$617,INPUT_RITASE!$B$5:$B$20000,I$640,INPUT_RITASE!$C$5:$C$20000,$A647,INPUT_RITASE!$N$5:$N$20000,Kalkulasi!$B$619)</f>
        <v/>
      </c>
      <c r="J647">
        <f>SUMIFS(INPUT_RITASE!$L$5:$L$20000,INPUT_RITASE!$A$5:$A$20000,Kalkulasi!$B$617,INPUT_RITASE!$B$5:$B$20000,J$640,INPUT_RITASE!$C$5:$C$20000,$A647,INPUT_RITASE!$N$5:$N$20000,Kalkulasi!$B$619)</f>
        <v/>
      </c>
      <c r="K647">
        <f>SUMIFS(INPUT_RITASE!$L$5:$L$20000,INPUT_RITASE!$A$5:$A$20000,Kalkulasi!$B$617,INPUT_RITASE!$B$5:$B$20000,K$640,INPUT_RITASE!$C$5:$C$20000,$A647,INPUT_RITASE!$N$5:$N$20000,Kalkulasi!$B$619)</f>
        <v/>
      </c>
      <c r="L647">
        <f>SUMIFS(INPUT_RITASE!$L$5:$L$20000,INPUT_RITASE!$A$5:$A$20000,Kalkulasi!$B$617,INPUT_RITASE!$B$5:$B$20000,L$640,INPUT_RITASE!$C$5:$C$20000,$A647,INPUT_RITASE!$N$5:$N$20000,Kalkulasi!$B$619)</f>
        <v/>
      </c>
      <c r="M647">
        <f>SUMIFS(INPUT_RITASE!$L$5:$L$20000,INPUT_RITASE!$A$5:$A$20000,Kalkulasi!$B$617,INPUT_RITASE!$B$5:$B$20000,M$640,INPUT_RITASE!$C$5:$C$20000,$A647,INPUT_RITASE!$N$5:$N$20000,Kalkulasi!$B$619)</f>
        <v/>
      </c>
      <c r="N647">
        <f>SUMIFS(INPUT_RITASE!$L$5:$L$20000,INPUT_RITASE!$A$5:$A$20000,Kalkulasi!$B$617,INPUT_RITASE!$B$5:$B$20000,N$640,INPUT_RITASE!$C$5:$C$20000,$A647,INPUT_RITASE!$N$5:$N$20000,Kalkulasi!$B$619)</f>
        <v/>
      </c>
      <c r="O647">
        <f>SUMIFS(INPUT_RITASE!$L$5:$L$20000,INPUT_RITASE!$A$5:$A$20000,Kalkulasi!$B$617,INPUT_RITASE!$B$5:$B$20000,O$640,INPUT_RITASE!$C$5:$C$20000,$A647,INPUT_RITASE!$N$5:$N$20000,Kalkulasi!$B$619)</f>
        <v/>
      </c>
      <c r="P647">
        <f>SUM(D647:O647)</f>
        <v/>
      </c>
      <c r="Q647">
        <f>IF(D647=0,0,(60-MIN(60,SUMIFS(INPUT_DELAY!$E$5:$E$20000,INPUT_DELAY!$A$5:$A$20000,Kalkulasi!$B$617,INPUT_DELAY!$B$5:$B$20000,D$640,INPUT_DELAY!$C$5:$C$20000,$A647)+SUMIFS(INPUT_DELAY!$E$5:$E$20000,INPUT_DELAY!$A$5:$A$20000,Kalkulasi!$B$617,INPUT_DELAY!$B$5:$B$20000,D$640,INPUT_DELAY!$C$5:$C$20000,"SEMUA")))/60)</f>
        <v/>
      </c>
      <c r="R647">
        <f>IF(E647=0,0,(60-MIN(60,SUMIFS(INPUT_DELAY!$E$5:$E$20000,INPUT_DELAY!$A$5:$A$20000,Kalkulasi!$B$617,INPUT_DELAY!$B$5:$B$20000,E$640,INPUT_DELAY!$C$5:$C$20000,$A647)+SUMIFS(INPUT_DELAY!$E$5:$E$20000,INPUT_DELAY!$A$5:$A$20000,Kalkulasi!$B$617,INPUT_DELAY!$B$5:$B$20000,E$640,INPUT_DELAY!$C$5:$C$20000,"SEMUA")))/60)</f>
        <v/>
      </c>
      <c r="S647">
        <f>IF(F647=0,0,(60-MIN(60,SUMIFS(INPUT_DELAY!$E$5:$E$20000,INPUT_DELAY!$A$5:$A$20000,Kalkulasi!$B$617,INPUT_DELAY!$B$5:$B$20000,F$640,INPUT_DELAY!$C$5:$C$20000,$A647)+SUMIFS(INPUT_DELAY!$E$5:$E$20000,INPUT_DELAY!$A$5:$A$20000,Kalkulasi!$B$617,INPUT_DELAY!$B$5:$B$20000,F$640,INPUT_DELAY!$C$5:$C$20000,"SEMUA")))/60)</f>
        <v/>
      </c>
      <c r="T647">
        <f>IF(G647=0,0,(60-MIN(60,SUMIFS(INPUT_DELAY!$E$5:$E$20000,INPUT_DELAY!$A$5:$A$20000,Kalkulasi!$B$617,INPUT_DELAY!$B$5:$B$20000,G$640,INPUT_DELAY!$C$5:$C$20000,$A647)+SUMIFS(INPUT_DELAY!$E$5:$E$20000,INPUT_DELAY!$A$5:$A$20000,Kalkulasi!$B$617,INPUT_DELAY!$B$5:$B$20000,G$640,INPUT_DELAY!$C$5:$C$20000,"SEMUA")))/60)</f>
        <v/>
      </c>
      <c r="U647">
        <f>IF(H647=0,0,(60-MIN(60,SUMIFS(INPUT_DELAY!$E$5:$E$20000,INPUT_DELAY!$A$5:$A$20000,Kalkulasi!$B$617,INPUT_DELAY!$B$5:$B$20000,H$640,INPUT_DELAY!$C$5:$C$20000,$A647)+SUMIFS(INPUT_DELAY!$E$5:$E$20000,INPUT_DELAY!$A$5:$A$20000,Kalkulasi!$B$617,INPUT_DELAY!$B$5:$B$20000,H$640,INPUT_DELAY!$C$5:$C$20000,"SEMUA")))/60)</f>
        <v/>
      </c>
      <c r="V647">
        <f>IF(I647=0,0,(60-MIN(60,SUMIFS(INPUT_DELAY!$E$5:$E$20000,INPUT_DELAY!$A$5:$A$20000,Kalkulasi!$B$617,INPUT_DELAY!$B$5:$B$20000,I$640,INPUT_DELAY!$C$5:$C$20000,$A647)+SUMIFS(INPUT_DELAY!$E$5:$E$20000,INPUT_DELAY!$A$5:$A$20000,Kalkulasi!$B$617,INPUT_DELAY!$B$5:$B$20000,I$640,INPUT_DELAY!$C$5:$C$20000,"SEMUA")))/60)</f>
        <v/>
      </c>
      <c r="W647">
        <f>IF(J647=0,0,(60-MIN(60,SUMIFS(INPUT_DELAY!$E$5:$E$20000,INPUT_DELAY!$A$5:$A$20000,Kalkulasi!$B$617,INPUT_DELAY!$B$5:$B$20000,J$640,INPUT_DELAY!$C$5:$C$20000,$A647)+SUMIFS(INPUT_DELAY!$E$5:$E$20000,INPUT_DELAY!$A$5:$A$20000,Kalkulasi!$B$617,INPUT_DELAY!$B$5:$B$20000,J$640,INPUT_DELAY!$C$5:$C$20000,"SEMUA")))/60)</f>
        <v/>
      </c>
      <c r="X647">
        <f>IF(K647=0,0,(60-MIN(60,SUMIFS(INPUT_DELAY!$E$5:$E$20000,INPUT_DELAY!$A$5:$A$20000,Kalkulasi!$B$617,INPUT_DELAY!$B$5:$B$20000,K$640,INPUT_DELAY!$C$5:$C$20000,$A647)+SUMIFS(INPUT_DELAY!$E$5:$E$20000,INPUT_DELAY!$A$5:$A$20000,Kalkulasi!$B$617,INPUT_DELAY!$B$5:$B$20000,K$640,INPUT_DELAY!$C$5:$C$20000,"SEMUA")))/60)</f>
        <v/>
      </c>
      <c r="Y647">
        <f>IF(L647=0,0,(60-MIN(60,SUMIFS(INPUT_DELAY!$E$5:$E$20000,INPUT_DELAY!$A$5:$A$20000,Kalkulasi!$B$617,INPUT_DELAY!$B$5:$B$20000,L$640,INPUT_DELAY!$C$5:$C$20000,$A647)+SUMIFS(INPUT_DELAY!$E$5:$E$20000,INPUT_DELAY!$A$5:$A$20000,Kalkulasi!$B$617,INPUT_DELAY!$B$5:$B$20000,L$640,INPUT_DELAY!$C$5:$C$20000,"SEMUA")))/60)</f>
        <v/>
      </c>
      <c r="Z647">
        <f>IF(M647=0,0,(60-MIN(60,SUMIFS(INPUT_DELAY!$E$5:$E$20000,INPUT_DELAY!$A$5:$A$20000,Kalkulasi!$B$617,INPUT_DELAY!$B$5:$B$20000,M$640,INPUT_DELAY!$C$5:$C$20000,$A647)+SUMIFS(INPUT_DELAY!$E$5:$E$20000,INPUT_DELAY!$A$5:$A$20000,Kalkulasi!$B$617,INPUT_DELAY!$B$5:$B$20000,M$640,INPUT_DELAY!$C$5:$C$20000,"SEMUA")))/60)</f>
        <v/>
      </c>
      <c r="AA647">
        <f>IF(N647=0,0,(60-MIN(60,SUMIFS(INPUT_DELAY!$E$5:$E$20000,INPUT_DELAY!$A$5:$A$20000,Kalkulasi!$B$617,INPUT_DELAY!$B$5:$B$20000,N$640,INPUT_DELAY!$C$5:$C$20000,$A647)+SUMIFS(INPUT_DELAY!$E$5:$E$20000,INPUT_DELAY!$A$5:$A$20000,Kalkulasi!$B$617,INPUT_DELAY!$B$5:$B$20000,N$640,INPUT_DELAY!$C$5:$C$20000,"SEMUA")))/60)</f>
        <v/>
      </c>
      <c r="AB647">
        <f>IF(O647=0,0,(60-MIN(60,SUMIFS(INPUT_DELAY!$E$5:$E$20000,INPUT_DELAY!$A$5:$A$20000,Kalkulasi!$B$617,INPUT_DELAY!$B$5:$B$20000,O$640,INPUT_DELAY!$C$5:$C$20000,$A647)+SUMIFS(INPUT_DELAY!$E$5:$E$20000,INPUT_DELAY!$A$5:$A$20000,Kalkulasi!$B$617,INPUT_DELAY!$B$5:$B$20000,O$640,INPUT_DELAY!$C$5:$C$20000,"SEMUA")))/60)</f>
        <v/>
      </c>
      <c r="AC647">
        <f>SUM(Q647:AB647)</f>
        <v/>
      </c>
      <c r="AD647">
        <f>IF(D647=0,"",IF(Q647&lt;=0,"",D647/Q647))</f>
        <v/>
      </c>
      <c r="AE647">
        <f>IF(E647=0,"",IF(R647&lt;=0,"",E647/R647))</f>
        <v/>
      </c>
      <c r="AF647">
        <f>IF(F647=0,"",IF(S647&lt;=0,"",F647/S647))</f>
        <v/>
      </c>
      <c r="AG647">
        <f>IF(G647=0,"",IF(T647&lt;=0,"",G647/T647))</f>
        <v/>
      </c>
      <c r="AH647">
        <f>IF(H647=0,"",IF(U647&lt;=0,"",H647/U647))</f>
        <v/>
      </c>
      <c r="AI647">
        <f>IF(I647=0,"",IF(V647&lt;=0,"",I647/V647))</f>
        <v/>
      </c>
      <c r="AJ647">
        <f>IF(J647=0,"",IF(W647&lt;=0,"",J647/W647))</f>
        <v/>
      </c>
      <c r="AK647">
        <f>IF(K647=0,"",IF(X647&lt;=0,"",K647/X647))</f>
        <v/>
      </c>
      <c r="AL647">
        <f>IF(L647=0,"",IF(Y647&lt;=0,"",L647/Y647))</f>
        <v/>
      </c>
      <c r="AM647">
        <f>IF(M647=0,"",IF(Z647&lt;=0,"",M647/Z647))</f>
        <v/>
      </c>
      <c r="AN647">
        <f>IF(N647=0,"",IF(AA647&lt;=0,"",N647/AA647))</f>
        <v/>
      </c>
      <c r="AO647">
        <f>IF(O647=0,"",IF(AB647&lt;=0,"",O647/AB647))</f>
        <v/>
      </c>
      <c r="AP647">
        <f>IF(AC647=0,"",P647/AC647)</f>
        <v/>
      </c>
      <c r="AQ647">
        <f>SUMIFS(INPUT_RITASE!$F$5:$F$20000,INPUT_RITASE!$A$5:$A$20000,Kalkulasi!$B$617,INPUT_RITASE!$H$5:$H$20000,Kalkulasi!$B$618,INPUT_RITASE!$C$5:$C$20000,$A647,INPUT_RITASE!$N$5:$N$20000,Kalkulasi!$B$619)</f>
        <v/>
      </c>
      <c r="AR647">
        <f>P647+AQ647/1000+ROW()/1000000</f>
        <v/>
      </c>
      <c r="AT647">
        <f>IF(AND(P647&gt;0,C647&gt;0,ISNUMBER(AP647)),IF(AP647&gt;=C647,1,0),0)</f>
        <v/>
      </c>
    </row>
    <row r="648">
      <c r="A648" t="inlineStr">
        <is>
          <t>EX-336</t>
        </is>
      </c>
      <c r="B648">
        <f>IFERROR(INDEX(MASTER_JAM!$B$5:$B$94,MATCH($A648,MASTER_JAM!$A$5:$A$94,0)),"")</f>
        <v/>
      </c>
      <c r="C648">
        <f>IFERROR(IF(Kalkulasi!$B$619="OB",INDEX(MASTER_JAM!$F$5:$F$94,MATCH($A648,MASTER_JAM!$A$5:$A$94,0)),INDEX(MASTER_JAM!$G$5:$G$94,MATCH($A648,MASTER_JAM!$A$5:$A$94,0)))+0,0)</f>
        <v/>
      </c>
      <c r="D648">
        <f>SUMIFS(INPUT_RITASE!$L$5:$L$20000,INPUT_RITASE!$A$5:$A$20000,Kalkulasi!$B$617,INPUT_RITASE!$B$5:$B$20000,D$640,INPUT_RITASE!$C$5:$C$20000,$A648,INPUT_RITASE!$N$5:$N$20000,Kalkulasi!$B$619)</f>
        <v/>
      </c>
      <c r="E648">
        <f>SUMIFS(INPUT_RITASE!$L$5:$L$20000,INPUT_RITASE!$A$5:$A$20000,Kalkulasi!$B$617,INPUT_RITASE!$B$5:$B$20000,E$640,INPUT_RITASE!$C$5:$C$20000,$A648,INPUT_RITASE!$N$5:$N$20000,Kalkulasi!$B$619)</f>
        <v/>
      </c>
      <c r="F648">
        <f>SUMIFS(INPUT_RITASE!$L$5:$L$20000,INPUT_RITASE!$A$5:$A$20000,Kalkulasi!$B$617,INPUT_RITASE!$B$5:$B$20000,F$640,INPUT_RITASE!$C$5:$C$20000,$A648,INPUT_RITASE!$N$5:$N$20000,Kalkulasi!$B$619)</f>
        <v/>
      </c>
      <c r="G648">
        <f>SUMIFS(INPUT_RITASE!$L$5:$L$20000,INPUT_RITASE!$A$5:$A$20000,Kalkulasi!$B$617,INPUT_RITASE!$B$5:$B$20000,G$640,INPUT_RITASE!$C$5:$C$20000,$A648,INPUT_RITASE!$N$5:$N$20000,Kalkulasi!$B$619)</f>
        <v/>
      </c>
      <c r="H648">
        <f>SUMIFS(INPUT_RITASE!$L$5:$L$20000,INPUT_RITASE!$A$5:$A$20000,Kalkulasi!$B$617,INPUT_RITASE!$B$5:$B$20000,H$640,INPUT_RITASE!$C$5:$C$20000,$A648,INPUT_RITASE!$N$5:$N$20000,Kalkulasi!$B$619)</f>
        <v/>
      </c>
      <c r="I648">
        <f>SUMIFS(INPUT_RITASE!$L$5:$L$20000,INPUT_RITASE!$A$5:$A$20000,Kalkulasi!$B$617,INPUT_RITASE!$B$5:$B$20000,I$640,INPUT_RITASE!$C$5:$C$20000,$A648,INPUT_RITASE!$N$5:$N$20000,Kalkulasi!$B$619)</f>
        <v/>
      </c>
      <c r="J648">
        <f>SUMIFS(INPUT_RITASE!$L$5:$L$20000,INPUT_RITASE!$A$5:$A$20000,Kalkulasi!$B$617,INPUT_RITASE!$B$5:$B$20000,J$640,INPUT_RITASE!$C$5:$C$20000,$A648,INPUT_RITASE!$N$5:$N$20000,Kalkulasi!$B$619)</f>
        <v/>
      </c>
      <c r="K648">
        <f>SUMIFS(INPUT_RITASE!$L$5:$L$20000,INPUT_RITASE!$A$5:$A$20000,Kalkulasi!$B$617,INPUT_RITASE!$B$5:$B$20000,K$640,INPUT_RITASE!$C$5:$C$20000,$A648,INPUT_RITASE!$N$5:$N$20000,Kalkulasi!$B$619)</f>
        <v/>
      </c>
      <c r="L648">
        <f>SUMIFS(INPUT_RITASE!$L$5:$L$20000,INPUT_RITASE!$A$5:$A$20000,Kalkulasi!$B$617,INPUT_RITASE!$B$5:$B$20000,L$640,INPUT_RITASE!$C$5:$C$20000,$A648,INPUT_RITASE!$N$5:$N$20000,Kalkulasi!$B$619)</f>
        <v/>
      </c>
      <c r="M648">
        <f>SUMIFS(INPUT_RITASE!$L$5:$L$20000,INPUT_RITASE!$A$5:$A$20000,Kalkulasi!$B$617,INPUT_RITASE!$B$5:$B$20000,M$640,INPUT_RITASE!$C$5:$C$20000,$A648,INPUT_RITASE!$N$5:$N$20000,Kalkulasi!$B$619)</f>
        <v/>
      </c>
      <c r="N648">
        <f>SUMIFS(INPUT_RITASE!$L$5:$L$20000,INPUT_RITASE!$A$5:$A$20000,Kalkulasi!$B$617,INPUT_RITASE!$B$5:$B$20000,N$640,INPUT_RITASE!$C$5:$C$20000,$A648,INPUT_RITASE!$N$5:$N$20000,Kalkulasi!$B$619)</f>
        <v/>
      </c>
      <c r="O648">
        <f>SUMIFS(INPUT_RITASE!$L$5:$L$20000,INPUT_RITASE!$A$5:$A$20000,Kalkulasi!$B$617,INPUT_RITASE!$B$5:$B$20000,O$640,INPUT_RITASE!$C$5:$C$20000,$A648,INPUT_RITASE!$N$5:$N$20000,Kalkulasi!$B$619)</f>
        <v/>
      </c>
      <c r="P648">
        <f>SUM(D648:O648)</f>
        <v/>
      </c>
      <c r="Q648">
        <f>IF(D648=0,0,(60-MIN(60,SUMIFS(INPUT_DELAY!$E$5:$E$20000,INPUT_DELAY!$A$5:$A$20000,Kalkulasi!$B$617,INPUT_DELAY!$B$5:$B$20000,D$640,INPUT_DELAY!$C$5:$C$20000,$A648)+SUMIFS(INPUT_DELAY!$E$5:$E$20000,INPUT_DELAY!$A$5:$A$20000,Kalkulasi!$B$617,INPUT_DELAY!$B$5:$B$20000,D$640,INPUT_DELAY!$C$5:$C$20000,"SEMUA")))/60)</f>
        <v/>
      </c>
      <c r="R648">
        <f>IF(E648=0,0,(60-MIN(60,SUMIFS(INPUT_DELAY!$E$5:$E$20000,INPUT_DELAY!$A$5:$A$20000,Kalkulasi!$B$617,INPUT_DELAY!$B$5:$B$20000,E$640,INPUT_DELAY!$C$5:$C$20000,$A648)+SUMIFS(INPUT_DELAY!$E$5:$E$20000,INPUT_DELAY!$A$5:$A$20000,Kalkulasi!$B$617,INPUT_DELAY!$B$5:$B$20000,E$640,INPUT_DELAY!$C$5:$C$20000,"SEMUA")))/60)</f>
        <v/>
      </c>
      <c r="S648">
        <f>IF(F648=0,0,(60-MIN(60,SUMIFS(INPUT_DELAY!$E$5:$E$20000,INPUT_DELAY!$A$5:$A$20000,Kalkulasi!$B$617,INPUT_DELAY!$B$5:$B$20000,F$640,INPUT_DELAY!$C$5:$C$20000,$A648)+SUMIFS(INPUT_DELAY!$E$5:$E$20000,INPUT_DELAY!$A$5:$A$20000,Kalkulasi!$B$617,INPUT_DELAY!$B$5:$B$20000,F$640,INPUT_DELAY!$C$5:$C$20000,"SEMUA")))/60)</f>
        <v/>
      </c>
      <c r="T648">
        <f>IF(G648=0,0,(60-MIN(60,SUMIFS(INPUT_DELAY!$E$5:$E$20000,INPUT_DELAY!$A$5:$A$20000,Kalkulasi!$B$617,INPUT_DELAY!$B$5:$B$20000,G$640,INPUT_DELAY!$C$5:$C$20000,$A648)+SUMIFS(INPUT_DELAY!$E$5:$E$20000,INPUT_DELAY!$A$5:$A$20000,Kalkulasi!$B$617,INPUT_DELAY!$B$5:$B$20000,G$640,INPUT_DELAY!$C$5:$C$20000,"SEMUA")))/60)</f>
        <v/>
      </c>
      <c r="U648">
        <f>IF(H648=0,0,(60-MIN(60,SUMIFS(INPUT_DELAY!$E$5:$E$20000,INPUT_DELAY!$A$5:$A$20000,Kalkulasi!$B$617,INPUT_DELAY!$B$5:$B$20000,H$640,INPUT_DELAY!$C$5:$C$20000,$A648)+SUMIFS(INPUT_DELAY!$E$5:$E$20000,INPUT_DELAY!$A$5:$A$20000,Kalkulasi!$B$617,INPUT_DELAY!$B$5:$B$20000,H$640,INPUT_DELAY!$C$5:$C$20000,"SEMUA")))/60)</f>
        <v/>
      </c>
      <c r="V648">
        <f>IF(I648=0,0,(60-MIN(60,SUMIFS(INPUT_DELAY!$E$5:$E$20000,INPUT_DELAY!$A$5:$A$20000,Kalkulasi!$B$617,INPUT_DELAY!$B$5:$B$20000,I$640,INPUT_DELAY!$C$5:$C$20000,$A648)+SUMIFS(INPUT_DELAY!$E$5:$E$20000,INPUT_DELAY!$A$5:$A$20000,Kalkulasi!$B$617,INPUT_DELAY!$B$5:$B$20000,I$640,INPUT_DELAY!$C$5:$C$20000,"SEMUA")))/60)</f>
        <v/>
      </c>
      <c r="W648">
        <f>IF(J648=0,0,(60-MIN(60,SUMIFS(INPUT_DELAY!$E$5:$E$20000,INPUT_DELAY!$A$5:$A$20000,Kalkulasi!$B$617,INPUT_DELAY!$B$5:$B$20000,J$640,INPUT_DELAY!$C$5:$C$20000,$A648)+SUMIFS(INPUT_DELAY!$E$5:$E$20000,INPUT_DELAY!$A$5:$A$20000,Kalkulasi!$B$617,INPUT_DELAY!$B$5:$B$20000,J$640,INPUT_DELAY!$C$5:$C$20000,"SEMUA")))/60)</f>
        <v/>
      </c>
      <c r="X648">
        <f>IF(K648=0,0,(60-MIN(60,SUMIFS(INPUT_DELAY!$E$5:$E$20000,INPUT_DELAY!$A$5:$A$20000,Kalkulasi!$B$617,INPUT_DELAY!$B$5:$B$20000,K$640,INPUT_DELAY!$C$5:$C$20000,$A648)+SUMIFS(INPUT_DELAY!$E$5:$E$20000,INPUT_DELAY!$A$5:$A$20000,Kalkulasi!$B$617,INPUT_DELAY!$B$5:$B$20000,K$640,INPUT_DELAY!$C$5:$C$20000,"SEMUA")))/60)</f>
        <v/>
      </c>
      <c r="Y648">
        <f>IF(L648=0,0,(60-MIN(60,SUMIFS(INPUT_DELAY!$E$5:$E$20000,INPUT_DELAY!$A$5:$A$20000,Kalkulasi!$B$617,INPUT_DELAY!$B$5:$B$20000,L$640,INPUT_DELAY!$C$5:$C$20000,$A648)+SUMIFS(INPUT_DELAY!$E$5:$E$20000,INPUT_DELAY!$A$5:$A$20000,Kalkulasi!$B$617,INPUT_DELAY!$B$5:$B$20000,L$640,INPUT_DELAY!$C$5:$C$20000,"SEMUA")))/60)</f>
        <v/>
      </c>
      <c r="Z648">
        <f>IF(M648=0,0,(60-MIN(60,SUMIFS(INPUT_DELAY!$E$5:$E$20000,INPUT_DELAY!$A$5:$A$20000,Kalkulasi!$B$617,INPUT_DELAY!$B$5:$B$20000,M$640,INPUT_DELAY!$C$5:$C$20000,$A648)+SUMIFS(INPUT_DELAY!$E$5:$E$20000,INPUT_DELAY!$A$5:$A$20000,Kalkulasi!$B$617,INPUT_DELAY!$B$5:$B$20000,M$640,INPUT_DELAY!$C$5:$C$20000,"SEMUA")))/60)</f>
        <v/>
      </c>
      <c r="AA648">
        <f>IF(N648=0,0,(60-MIN(60,SUMIFS(INPUT_DELAY!$E$5:$E$20000,INPUT_DELAY!$A$5:$A$20000,Kalkulasi!$B$617,INPUT_DELAY!$B$5:$B$20000,N$640,INPUT_DELAY!$C$5:$C$20000,$A648)+SUMIFS(INPUT_DELAY!$E$5:$E$20000,INPUT_DELAY!$A$5:$A$20000,Kalkulasi!$B$617,INPUT_DELAY!$B$5:$B$20000,N$640,INPUT_DELAY!$C$5:$C$20000,"SEMUA")))/60)</f>
        <v/>
      </c>
      <c r="AB648">
        <f>IF(O648=0,0,(60-MIN(60,SUMIFS(INPUT_DELAY!$E$5:$E$20000,INPUT_DELAY!$A$5:$A$20000,Kalkulasi!$B$617,INPUT_DELAY!$B$5:$B$20000,O$640,INPUT_DELAY!$C$5:$C$20000,$A648)+SUMIFS(INPUT_DELAY!$E$5:$E$20000,INPUT_DELAY!$A$5:$A$20000,Kalkulasi!$B$617,INPUT_DELAY!$B$5:$B$20000,O$640,INPUT_DELAY!$C$5:$C$20000,"SEMUA")))/60)</f>
        <v/>
      </c>
      <c r="AC648">
        <f>SUM(Q648:AB648)</f>
        <v/>
      </c>
      <c r="AD648">
        <f>IF(D648=0,"",IF(Q648&lt;=0,"",D648/Q648))</f>
        <v/>
      </c>
      <c r="AE648">
        <f>IF(E648=0,"",IF(R648&lt;=0,"",E648/R648))</f>
        <v/>
      </c>
      <c r="AF648">
        <f>IF(F648=0,"",IF(S648&lt;=0,"",F648/S648))</f>
        <v/>
      </c>
      <c r="AG648">
        <f>IF(G648=0,"",IF(T648&lt;=0,"",G648/T648))</f>
        <v/>
      </c>
      <c r="AH648">
        <f>IF(H648=0,"",IF(U648&lt;=0,"",H648/U648))</f>
        <v/>
      </c>
      <c r="AI648">
        <f>IF(I648=0,"",IF(V648&lt;=0,"",I648/V648))</f>
        <v/>
      </c>
      <c r="AJ648">
        <f>IF(J648=0,"",IF(W648&lt;=0,"",J648/W648))</f>
        <v/>
      </c>
      <c r="AK648">
        <f>IF(K648=0,"",IF(X648&lt;=0,"",K648/X648))</f>
        <v/>
      </c>
      <c r="AL648">
        <f>IF(L648=0,"",IF(Y648&lt;=0,"",L648/Y648))</f>
        <v/>
      </c>
      <c r="AM648">
        <f>IF(M648=0,"",IF(Z648&lt;=0,"",M648/Z648))</f>
        <v/>
      </c>
      <c r="AN648">
        <f>IF(N648=0,"",IF(AA648&lt;=0,"",N648/AA648))</f>
        <v/>
      </c>
      <c r="AO648">
        <f>IF(O648=0,"",IF(AB648&lt;=0,"",O648/AB648))</f>
        <v/>
      </c>
      <c r="AP648">
        <f>IF(AC648=0,"",P648/AC648)</f>
        <v/>
      </c>
      <c r="AQ648">
        <f>SUMIFS(INPUT_RITASE!$F$5:$F$20000,INPUT_RITASE!$A$5:$A$20000,Kalkulasi!$B$617,INPUT_RITASE!$H$5:$H$20000,Kalkulasi!$B$618,INPUT_RITASE!$C$5:$C$20000,$A648,INPUT_RITASE!$N$5:$N$20000,Kalkulasi!$B$619)</f>
        <v/>
      </c>
      <c r="AR648">
        <f>P648+AQ648/1000+ROW()/1000000</f>
        <v/>
      </c>
      <c r="AT648">
        <f>IF(AND(P648&gt;0,C648&gt;0,ISNUMBER(AP648)),IF(AP648&gt;=C648,1,0),0)</f>
        <v/>
      </c>
    </row>
    <row r="649">
      <c r="A649" t="inlineStr">
        <is>
          <t>EX-333</t>
        </is>
      </c>
      <c r="B649">
        <f>IFERROR(INDEX(MASTER_JAM!$B$5:$B$94,MATCH($A649,MASTER_JAM!$A$5:$A$94,0)),"")</f>
        <v/>
      </c>
      <c r="C649">
        <f>IFERROR(IF(Kalkulasi!$B$619="OB",INDEX(MASTER_JAM!$F$5:$F$94,MATCH($A649,MASTER_JAM!$A$5:$A$94,0)),INDEX(MASTER_JAM!$G$5:$G$94,MATCH($A649,MASTER_JAM!$A$5:$A$94,0)))+0,0)</f>
        <v/>
      </c>
      <c r="D649">
        <f>SUMIFS(INPUT_RITASE!$L$5:$L$20000,INPUT_RITASE!$A$5:$A$20000,Kalkulasi!$B$617,INPUT_RITASE!$B$5:$B$20000,D$640,INPUT_RITASE!$C$5:$C$20000,$A649,INPUT_RITASE!$N$5:$N$20000,Kalkulasi!$B$619)</f>
        <v/>
      </c>
      <c r="E649">
        <f>SUMIFS(INPUT_RITASE!$L$5:$L$20000,INPUT_RITASE!$A$5:$A$20000,Kalkulasi!$B$617,INPUT_RITASE!$B$5:$B$20000,E$640,INPUT_RITASE!$C$5:$C$20000,$A649,INPUT_RITASE!$N$5:$N$20000,Kalkulasi!$B$619)</f>
        <v/>
      </c>
      <c r="F649">
        <f>SUMIFS(INPUT_RITASE!$L$5:$L$20000,INPUT_RITASE!$A$5:$A$20000,Kalkulasi!$B$617,INPUT_RITASE!$B$5:$B$20000,F$640,INPUT_RITASE!$C$5:$C$20000,$A649,INPUT_RITASE!$N$5:$N$20000,Kalkulasi!$B$619)</f>
        <v/>
      </c>
      <c r="G649">
        <f>SUMIFS(INPUT_RITASE!$L$5:$L$20000,INPUT_RITASE!$A$5:$A$20000,Kalkulasi!$B$617,INPUT_RITASE!$B$5:$B$20000,G$640,INPUT_RITASE!$C$5:$C$20000,$A649,INPUT_RITASE!$N$5:$N$20000,Kalkulasi!$B$619)</f>
        <v/>
      </c>
      <c r="H649">
        <f>SUMIFS(INPUT_RITASE!$L$5:$L$20000,INPUT_RITASE!$A$5:$A$20000,Kalkulasi!$B$617,INPUT_RITASE!$B$5:$B$20000,H$640,INPUT_RITASE!$C$5:$C$20000,$A649,INPUT_RITASE!$N$5:$N$20000,Kalkulasi!$B$619)</f>
        <v/>
      </c>
      <c r="I649">
        <f>SUMIFS(INPUT_RITASE!$L$5:$L$20000,INPUT_RITASE!$A$5:$A$20000,Kalkulasi!$B$617,INPUT_RITASE!$B$5:$B$20000,I$640,INPUT_RITASE!$C$5:$C$20000,$A649,INPUT_RITASE!$N$5:$N$20000,Kalkulasi!$B$619)</f>
        <v/>
      </c>
      <c r="J649">
        <f>SUMIFS(INPUT_RITASE!$L$5:$L$20000,INPUT_RITASE!$A$5:$A$20000,Kalkulasi!$B$617,INPUT_RITASE!$B$5:$B$20000,J$640,INPUT_RITASE!$C$5:$C$20000,$A649,INPUT_RITASE!$N$5:$N$20000,Kalkulasi!$B$619)</f>
        <v/>
      </c>
      <c r="K649">
        <f>SUMIFS(INPUT_RITASE!$L$5:$L$20000,INPUT_RITASE!$A$5:$A$20000,Kalkulasi!$B$617,INPUT_RITASE!$B$5:$B$20000,K$640,INPUT_RITASE!$C$5:$C$20000,$A649,INPUT_RITASE!$N$5:$N$20000,Kalkulasi!$B$619)</f>
        <v/>
      </c>
      <c r="L649">
        <f>SUMIFS(INPUT_RITASE!$L$5:$L$20000,INPUT_RITASE!$A$5:$A$20000,Kalkulasi!$B$617,INPUT_RITASE!$B$5:$B$20000,L$640,INPUT_RITASE!$C$5:$C$20000,$A649,INPUT_RITASE!$N$5:$N$20000,Kalkulasi!$B$619)</f>
        <v/>
      </c>
      <c r="M649">
        <f>SUMIFS(INPUT_RITASE!$L$5:$L$20000,INPUT_RITASE!$A$5:$A$20000,Kalkulasi!$B$617,INPUT_RITASE!$B$5:$B$20000,M$640,INPUT_RITASE!$C$5:$C$20000,$A649,INPUT_RITASE!$N$5:$N$20000,Kalkulasi!$B$619)</f>
        <v/>
      </c>
      <c r="N649">
        <f>SUMIFS(INPUT_RITASE!$L$5:$L$20000,INPUT_RITASE!$A$5:$A$20000,Kalkulasi!$B$617,INPUT_RITASE!$B$5:$B$20000,N$640,INPUT_RITASE!$C$5:$C$20000,$A649,INPUT_RITASE!$N$5:$N$20000,Kalkulasi!$B$619)</f>
        <v/>
      </c>
      <c r="O649">
        <f>SUMIFS(INPUT_RITASE!$L$5:$L$20000,INPUT_RITASE!$A$5:$A$20000,Kalkulasi!$B$617,INPUT_RITASE!$B$5:$B$20000,O$640,INPUT_RITASE!$C$5:$C$20000,$A649,INPUT_RITASE!$N$5:$N$20000,Kalkulasi!$B$619)</f>
        <v/>
      </c>
      <c r="P649">
        <f>SUM(D649:O649)</f>
        <v/>
      </c>
      <c r="Q649">
        <f>IF(D649=0,0,(60-MIN(60,SUMIFS(INPUT_DELAY!$E$5:$E$20000,INPUT_DELAY!$A$5:$A$20000,Kalkulasi!$B$617,INPUT_DELAY!$B$5:$B$20000,D$640,INPUT_DELAY!$C$5:$C$20000,$A649)+SUMIFS(INPUT_DELAY!$E$5:$E$20000,INPUT_DELAY!$A$5:$A$20000,Kalkulasi!$B$617,INPUT_DELAY!$B$5:$B$20000,D$640,INPUT_DELAY!$C$5:$C$20000,"SEMUA")))/60)</f>
        <v/>
      </c>
      <c r="R649">
        <f>IF(E649=0,0,(60-MIN(60,SUMIFS(INPUT_DELAY!$E$5:$E$20000,INPUT_DELAY!$A$5:$A$20000,Kalkulasi!$B$617,INPUT_DELAY!$B$5:$B$20000,E$640,INPUT_DELAY!$C$5:$C$20000,$A649)+SUMIFS(INPUT_DELAY!$E$5:$E$20000,INPUT_DELAY!$A$5:$A$20000,Kalkulasi!$B$617,INPUT_DELAY!$B$5:$B$20000,E$640,INPUT_DELAY!$C$5:$C$20000,"SEMUA")))/60)</f>
        <v/>
      </c>
      <c r="S649">
        <f>IF(F649=0,0,(60-MIN(60,SUMIFS(INPUT_DELAY!$E$5:$E$20000,INPUT_DELAY!$A$5:$A$20000,Kalkulasi!$B$617,INPUT_DELAY!$B$5:$B$20000,F$640,INPUT_DELAY!$C$5:$C$20000,$A649)+SUMIFS(INPUT_DELAY!$E$5:$E$20000,INPUT_DELAY!$A$5:$A$20000,Kalkulasi!$B$617,INPUT_DELAY!$B$5:$B$20000,F$640,INPUT_DELAY!$C$5:$C$20000,"SEMUA")))/60)</f>
        <v/>
      </c>
      <c r="T649">
        <f>IF(G649=0,0,(60-MIN(60,SUMIFS(INPUT_DELAY!$E$5:$E$20000,INPUT_DELAY!$A$5:$A$20000,Kalkulasi!$B$617,INPUT_DELAY!$B$5:$B$20000,G$640,INPUT_DELAY!$C$5:$C$20000,$A649)+SUMIFS(INPUT_DELAY!$E$5:$E$20000,INPUT_DELAY!$A$5:$A$20000,Kalkulasi!$B$617,INPUT_DELAY!$B$5:$B$20000,G$640,INPUT_DELAY!$C$5:$C$20000,"SEMUA")))/60)</f>
        <v/>
      </c>
      <c r="U649">
        <f>IF(H649=0,0,(60-MIN(60,SUMIFS(INPUT_DELAY!$E$5:$E$20000,INPUT_DELAY!$A$5:$A$20000,Kalkulasi!$B$617,INPUT_DELAY!$B$5:$B$20000,H$640,INPUT_DELAY!$C$5:$C$20000,$A649)+SUMIFS(INPUT_DELAY!$E$5:$E$20000,INPUT_DELAY!$A$5:$A$20000,Kalkulasi!$B$617,INPUT_DELAY!$B$5:$B$20000,H$640,INPUT_DELAY!$C$5:$C$20000,"SEMUA")))/60)</f>
        <v/>
      </c>
      <c r="V649">
        <f>IF(I649=0,0,(60-MIN(60,SUMIFS(INPUT_DELAY!$E$5:$E$20000,INPUT_DELAY!$A$5:$A$20000,Kalkulasi!$B$617,INPUT_DELAY!$B$5:$B$20000,I$640,INPUT_DELAY!$C$5:$C$20000,$A649)+SUMIFS(INPUT_DELAY!$E$5:$E$20000,INPUT_DELAY!$A$5:$A$20000,Kalkulasi!$B$617,INPUT_DELAY!$B$5:$B$20000,I$640,INPUT_DELAY!$C$5:$C$20000,"SEMUA")))/60)</f>
        <v/>
      </c>
      <c r="W649">
        <f>IF(J649=0,0,(60-MIN(60,SUMIFS(INPUT_DELAY!$E$5:$E$20000,INPUT_DELAY!$A$5:$A$20000,Kalkulasi!$B$617,INPUT_DELAY!$B$5:$B$20000,J$640,INPUT_DELAY!$C$5:$C$20000,$A649)+SUMIFS(INPUT_DELAY!$E$5:$E$20000,INPUT_DELAY!$A$5:$A$20000,Kalkulasi!$B$617,INPUT_DELAY!$B$5:$B$20000,J$640,INPUT_DELAY!$C$5:$C$20000,"SEMUA")))/60)</f>
        <v/>
      </c>
      <c r="X649">
        <f>IF(K649=0,0,(60-MIN(60,SUMIFS(INPUT_DELAY!$E$5:$E$20000,INPUT_DELAY!$A$5:$A$20000,Kalkulasi!$B$617,INPUT_DELAY!$B$5:$B$20000,K$640,INPUT_DELAY!$C$5:$C$20000,$A649)+SUMIFS(INPUT_DELAY!$E$5:$E$20000,INPUT_DELAY!$A$5:$A$20000,Kalkulasi!$B$617,INPUT_DELAY!$B$5:$B$20000,K$640,INPUT_DELAY!$C$5:$C$20000,"SEMUA")))/60)</f>
        <v/>
      </c>
      <c r="Y649">
        <f>IF(L649=0,0,(60-MIN(60,SUMIFS(INPUT_DELAY!$E$5:$E$20000,INPUT_DELAY!$A$5:$A$20000,Kalkulasi!$B$617,INPUT_DELAY!$B$5:$B$20000,L$640,INPUT_DELAY!$C$5:$C$20000,$A649)+SUMIFS(INPUT_DELAY!$E$5:$E$20000,INPUT_DELAY!$A$5:$A$20000,Kalkulasi!$B$617,INPUT_DELAY!$B$5:$B$20000,L$640,INPUT_DELAY!$C$5:$C$20000,"SEMUA")))/60)</f>
        <v/>
      </c>
      <c r="Z649">
        <f>IF(M649=0,0,(60-MIN(60,SUMIFS(INPUT_DELAY!$E$5:$E$20000,INPUT_DELAY!$A$5:$A$20000,Kalkulasi!$B$617,INPUT_DELAY!$B$5:$B$20000,M$640,INPUT_DELAY!$C$5:$C$20000,$A649)+SUMIFS(INPUT_DELAY!$E$5:$E$20000,INPUT_DELAY!$A$5:$A$20000,Kalkulasi!$B$617,INPUT_DELAY!$B$5:$B$20000,M$640,INPUT_DELAY!$C$5:$C$20000,"SEMUA")))/60)</f>
        <v/>
      </c>
      <c r="AA649">
        <f>IF(N649=0,0,(60-MIN(60,SUMIFS(INPUT_DELAY!$E$5:$E$20000,INPUT_DELAY!$A$5:$A$20000,Kalkulasi!$B$617,INPUT_DELAY!$B$5:$B$20000,N$640,INPUT_DELAY!$C$5:$C$20000,$A649)+SUMIFS(INPUT_DELAY!$E$5:$E$20000,INPUT_DELAY!$A$5:$A$20000,Kalkulasi!$B$617,INPUT_DELAY!$B$5:$B$20000,N$640,INPUT_DELAY!$C$5:$C$20000,"SEMUA")))/60)</f>
        <v/>
      </c>
      <c r="AB649">
        <f>IF(O649=0,0,(60-MIN(60,SUMIFS(INPUT_DELAY!$E$5:$E$20000,INPUT_DELAY!$A$5:$A$20000,Kalkulasi!$B$617,INPUT_DELAY!$B$5:$B$20000,O$640,INPUT_DELAY!$C$5:$C$20000,$A649)+SUMIFS(INPUT_DELAY!$E$5:$E$20000,INPUT_DELAY!$A$5:$A$20000,Kalkulasi!$B$617,INPUT_DELAY!$B$5:$B$20000,O$640,INPUT_DELAY!$C$5:$C$20000,"SEMUA")))/60)</f>
        <v/>
      </c>
      <c r="AC649">
        <f>SUM(Q649:AB649)</f>
        <v/>
      </c>
      <c r="AD649">
        <f>IF(D649=0,"",IF(Q649&lt;=0,"",D649/Q649))</f>
        <v/>
      </c>
      <c r="AE649">
        <f>IF(E649=0,"",IF(R649&lt;=0,"",E649/R649))</f>
        <v/>
      </c>
      <c r="AF649">
        <f>IF(F649=0,"",IF(S649&lt;=0,"",F649/S649))</f>
        <v/>
      </c>
      <c r="AG649">
        <f>IF(G649=0,"",IF(T649&lt;=0,"",G649/T649))</f>
        <v/>
      </c>
      <c r="AH649">
        <f>IF(H649=0,"",IF(U649&lt;=0,"",H649/U649))</f>
        <v/>
      </c>
      <c r="AI649">
        <f>IF(I649=0,"",IF(V649&lt;=0,"",I649/V649))</f>
        <v/>
      </c>
      <c r="AJ649">
        <f>IF(J649=0,"",IF(W649&lt;=0,"",J649/W649))</f>
        <v/>
      </c>
      <c r="AK649">
        <f>IF(K649=0,"",IF(X649&lt;=0,"",K649/X649))</f>
        <v/>
      </c>
      <c r="AL649">
        <f>IF(L649=0,"",IF(Y649&lt;=0,"",L649/Y649))</f>
        <v/>
      </c>
      <c r="AM649">
        <f>IF(M649=0,"",IF(Z649&lt;=0,"",M649/Z649))</f>
        <v/>
      </c>
      <c r="AN649">
        <f>IF(N649=0,"",IF(AA649&lt;=0,"",N649/AA649))</f>
        <v/>
      </c>
      <c r="AO649">
        <f>IF(O649=0,"",IF(AB649&lt;=0,"",O649/AB649))</f>
        <v/>
      </c>
      <c r="AP649">
        <f>IF(AC649=0,"",P649/AC649)</f>
        <v/>
      </c>
      <c r="AQ649">
        <f>SUMIFS(INPUT_RITASE!$F$5:$F$20000,INPUT_RITASE!$A$5:$A$20000,Kalkulasi!$B$617,INPUT_RITASE!$H$5:$H$20000,Kalkulasi!$B$618,INPUT_RITASE!$C$5:$C$20000,$A649,INPUT_RITASE!$N$5:$N$20000,Kalkulasi!$B$619)</f>
        <v/>
      </c>
      <c r="AR649">
        <f>P649+AQ649/1000+ROW()/1000000</f>
        <v/>
      </c>
      <c r="AT649">
        <f>IF(AND(P649&gt;0,C649&gt;0,ISNUMBER(AP649)),IF(AP649&gt;=C649,1,0),0)</f>
        <v/>
      </c>
    </row>
    <row r="650">
      <c r="A650" t="inlineStr">
        <is>
          <t>EX-335</t>
        </is>
      </c>
      <c r="B650">
        <f>IFERROR(INDEX(MASTER_JAM!$B$5:$B$94,MATCH($A650,MASTER_JAM!$A$5:$A$94,0)),"")</f>
        <v/>
      </c>
      <c r="C650">
        <f>IFERROR(IF(Kalkulasi!$B$619="OB",INDEX(MASTER_JAM!$F$5:$F$94,MATCH($A650,MASTER_JAM!$A$5:$A$94,0)),INDEX(MASTER_JAM!$G$5:$G$94,MATCH($A650,MASTER_JAM!$A$5:$A$94,0)))+0,0)</f>
        <v/>
      </c>
      <c r="D650">
        <f>SUMIFS(INPUT_RITASE!$L$5:$L$20000,INPUT_RITASE!$A$5:$A$20000,Kalkulasi!$B$617,INPUT_RITASE!$B$5:$B$20000,D$640,INPUT_RITASE!$C$5:$C$20000,$A650,INPUT_RITASE!$N$5:$N$20000,Kalkulasi!$B$619)</f>
        <v/>
      </c>
      <c r="E650">
        <f>SUMIFS(INPUT_RITASE!$L$5:$L$20000,INPUT_RITASE!$A$5:$A$20000,Kalkulasi!$B$617,INPUT_RITASE!$B$5:$B$20000,E$640,INPUT_RITASE!$C$5:$C$20000,$A650,INPUT_RITASE!$N$5:$N$20000,Kalkulasi!$B$619)</f>
        <v/>
      </c>
      <c r="F650">
        <f>SUMIFS(INPUT_RITASE!$L$5:$L$20000,INPUT_RITASE!$A$5:$A$20000,Kalkulasi!$B$617,INPUT_RITASE!$B$5:$B$20000,F$640,INPUT_RITASE!$C$5:$C$20000,$A650,INPUT_RITASE!$N$5:$N$20000,Kalkulasi!$B$619)</f>
        <v/>
      </c>
      <c r="G650">
        <f>SUMIFS(INPUT_RITASE!$L$5:$L$20000,INPUT_RITASE!$A$5:$A$20000,Kalkulasi!$B$617,INPUT_RITASE!$B$5:$B$20000,G$640,INPUT_RITASE!$C$5:$C$20000,$A650,INPUT_RITASE!$N$5:$N$20000,Kalkulasi!$B$619)</f>
        <v/>
      </c>
      <c r="H650">
        <f>SUMIFS(INPUT_RITASE!$L$5:$L$20000,INPUT_RITASE!$A$5:$A$20000,Kalkulasi!$B$617,INPUT_RITASE!$B$5:$B$20000,H$640,INPUT_RITASE!$C$5:$C$20000,$A650,INPUT_RITASE!$N$5:$N$20000,Kalkulasi!$B$619)</f>
        <v/>
      </c>
      <c r="I650">
        <f>SUMIFS(INPUT_RITASE!$L$5:$L$20000,INPUT_RITASE!$A$5:$A$20000,Kalkulasi!$B$617,INPUT_RITASE!$B$5:$B$20000,I$640,INPUT_RITASE!$C$5:$C$20000,$A650,INPUT_RITASE!$N$5:$N$20000,Kalkulasi!$B$619)</f>
        <v/>
      </c>
      <c r="J650">
        <f>SUMIFS(INPUT_RITASE!$L$5:$L$20000,INPUT_RITASE!$A$5:$A$20000,Kalkulasi!$B$617,INPUT_RITASE!$B$5:$B$20000,J$640,INPUT_RITASE!$C$5:$C$20000,$A650,INPUT_RITASE!$N$5:$N$20000,Kalkulasi!$B$619)</f>
        <v/>
      </c>
      <c r="K650">
        <f>SUMIFS(INPUT_RITASE!$L$5:$L$20000,INPUT_RITASE!$A$5:$A$20000,Kalkulasi!$B$617,INPUT_RITASE!$B$5:$B$20000,K$640,INPUT_RITASE!$C$5:$C$20000,$A650,INPUT_RITASE!$N$5:$N$20000,Kalkulasi!$B$619)</f>
        <v/>
      </c>
      <c r="L650">
        <f>SUMIFS(INPUT_RITASE!$L$5:$L$20000,INPUT_RITASE!$A$5:$A$20000,Kalkulasi!$B$617,INPUT_RITASE!$B$5:$B$20000,L$640,INPUT_RITASE!$C$5:$C$20000,$A650,INPUT_RITASE!$N$5:$N$20000,Kalkulasi!$B$619)</f>
        <v/>
      </c>
      <c r="M650">
        <f>SUMIFS(INPUT_RITASE!$L$5:$L$20000,INPUT_RITASE!$A$5:$A$20000,Kalkulasi!$B$617,INPUT_RITASE!$B$5:$B$20000,M$640,INPUT_RITASE!$C$5:$C$20000,$A650,INPUT_RITASE!$N$5:$N$20000,Kalkulasi!$B$619)</f>
        <v/>
      </c>
      <c r="N650">
        <f>SUMIFS(INPUT_RITASE!$L$5:$L$20000,INPUT_RITASE!$A$5:$A$20000,Kalkulasi!$B$617,INPUT_RITASE!$B$5:$B$20000,N$640,INPUT_RITASE!$C$5:$C$20000,$A650,INPUT_RITASE!$N$5:$N$20000,Kalkulasi!$B$619)</f>
        <v/>
      </c>
      <c r="O650">
        <f>SUMIFS(INPUT_RITASE!$L$5:$L$20000,INPUT_RITASE!$A$5:$A$20000,Kalkulasi!$B$617,INPUT_RITASE!$B$5:$B$20000,O$640,INPUT_RITASE!$C$5:$C$20000,$A650,INPUT_RITASE!$N$5:$N$20000,Kalkulasi!$B$619)</f>
        <v/>
      </c>
      <c r="P650">
        <f>SUM(D650:O650)</f>
        <v/>
      </c>
      <c r="Q650">
        <f>IF(D650=0,0,(60-MIN(60,SUMIFS(INPUT_DELAY!$E$5:$E$20000,INPUT_DELAY!$A$5:$A$20000,Kalkulasi!$B$617,INPUT_DELAY!$B$5:$B$20000,D$640,INPUT_DELAY!$C$5:$C$20000,$A650)+SUMIFS(INPUT_DELAY!$E$5:$E$20000,INPUT_DELAY!$A$5:$A$20000,Kalkulasi!$B$617,INPUT_DELAY!$B$5:$B$20000,D$640,INPUT_DELAY!$C$5:$C$20000,"SEMUA")))/60)</f>
        <v/>
      </c>
      <c r="R650">
        <f>IF(E650=0,0,(60-MIN(60,SUMIFS(INPUT_DELAY!$E$5:$E$20000,INPUT_DELAY!$A$5:$A$20000,Kalkulasi!$B$617,INPUT_DELAY!$B$5:$B$20000,E$640,INPUT_DELAY!$C$5:$C$20000,$A650)+SUMIFS(INPUT_DELAY!$E$5:$E$20000,INPUT_DELAY!$A$5:$A$20000,Kalkulasi!$B$617,INPUT_DELAY!$B$5:$B$20000,E$640,INPUT_DELAY!$C$5:$C$20000,"SEMUA")))/60)</f>
        <v/>
      </c>
      <c r="S650">
        <f>IF(F650=0,0,(60-MIN(60,SUMIFS(INPUT_DELAY!$E$5:$E$20000,INPUT_DELAY!$A$5:$A$20000,Kalkulasi!$B$617,INPUT_DELAY!$B$5:$B$20000,F$640,INPUT_DELAY!$C$5:$C$20000,$A650)+SUMIFS(INPUT_DELAY!$E$5:$E$20000,INPUT_DELAY!$A$5:$A$20000,Kalkulasi!$B$617,INPUT_DELAY!$B$5:$B$20000,F$640,INPUT_DELAY!$C$5:$C$20000,"SEMUA")))/60)</f>
        <v/>
      </c>
      <c r="T650">
        <f>IF(G650=0,0,(60-MIN(60,SUMIFS(INPUT_DELAY!$E$5:$E$20000,INPUT_DELAY!$A$5:$A$20000,Kalkulasi!$B$617,INPUT_DELAY!$B$5:$B$20000,G$640,INPUT_DELAY!$C$5:$C$20000,$A650)+SUMIFS(INPUT_DELAY!$E$5:$E$20000,INPUT_DELAY!$A$5:$A$20000,Kalkulasi!$B$617,INPUT_DELAY!$B$5:$B$20000,G$640,INPUT_DELAY!$C$5:$C$20000,"SEMUA")))/60)</f>
        <v/>
      </c>
      <c r="U650">
        <f>IF(H650=0,0,(60-MIN(60,SUMIFS(INPUT_DELAY!$E$5:$E$20000,INPUT_DELAY!$A$5:$A$20000,Kalkulasi!$B$617,INPUT_DELAY!$B$5:$B$20000,H$640,INPUT_DELAY!$C$5:$C$20000,$A650)+SUMIFS(INPUT_DELAY!$E$5:$E$20000,INPUT_DELAY!$A$5:$A$20000,Kalkulasi!$B$617,INPUT_DELAY!$B$5:$B$20000,H$640,INPUT_DELAY!$C$5:$C$20000,"SEMUA")))/60)</f>
        <v/>
      </c>
      <c r="V650">
        <f>IF(I650=0,0,(60-MIN(60,SUMIFS(INPUT_DELAY!$E$5:$E$20000,INPUT_DELAY!$A$5:$A$20000,Kalkulasi!$B$617,INPUT_DELAY!$B$5:$B$20000,I$640,INPUT_DELAY!$C$5:$C$20000,$A650)+SUMIFS(INPUT_DELAY!$E$5:$E$20000,INPUT_DELAY!$A$5:$A$20000,Kalkulasi!$B$617,INPUT_DELAY!$B$5:$B$20000,I$640,INPUT_DELAY!$C$5:$C$20000,"SEMUA")))/60)</f>
        <v/>
      </c>
      <c r="W650">
        <f>IF(J650=0,0,(60-MIN(60,SUMIFS(INPUT_DELAY!$E$5:$E$20000,INPUT_DELAY!$A$5:$A$20000,Kalkulasi!$B$617,INPUT_DELAY!$B$5:$B$20000,J$640,INPUT_DELAY!$C$5:$C$20000,$A650)+SUMIFS(INPUT_DELAY!$E$5:$E$20000,INPUT_DELAY!$A$5:$A$20000,Kalkulasi!$B$617,INPUT_DELAY!$B$5:$B$20000,J$640,INPUT_DELAY!$C$5:$C$20000,"SEMUA")))/60)</f>
        <v/>
      </c>
      <c r="X650">
        <f>IF(K650=0,0,(60-MIN(60,SUMIFS(INPUT_DELAY!$E$5:$E$20000,INPUT_DELAY!$A$5:$A$20000,Kalkulasi!$B$617,INPUT_DELAY!$B$5:$B$20000,K$640,INPUT_DELAY!$C$5:$C$20000,$A650)+SUMIFS(INPUT_DELAY!$E$5:$E$20000,INPUT_DELAY!$A$5:$A$20000,Kalkulasi!$B$617,INPUT_DELAY!$B$5:$B$20000,K$640,INPUT_DELAY!$C$5:$C$20000,"SEMUA")))/60)</f>
        <v/>
      </c>
      <c r="Y650">
        <f>IF(L650=0,0,(60-MIN(60,SUMIFS(INPUT_DELAY!$E$5:$E$20000,INPUT_DELAY!$A$5:$A$20000,Kalkulasi!$B$617,INPUT_DELAY!$B$5:$B$20000,L$640,INPUT_DELAY!$C$5:$C$20000,$A650)+SUMIFS(INPUT_DELAY!$E$5:$E$20000,INPUT_DELAY!$A$5:$A$20000,Kalkulasi!$B$617,INPUT_DELAY!$B$5:$B$20000,L$640,INPUT_DELAY!$C$5:$C$20000,"SEMUA")))/60)</f>
        <v/>
      </c>
      <c r="Z650">
        <f>IF(M650=0,0,(60-MIN(60,SUMIFS(INPUT_DELAY!$E$5:$E$20000,INPUT_DELAY!$A$5:$A$20000,Kalkulasi!$B$617,INPUT_DELAY!$B$5:$B$20000,M$640,INPUT_DELAY!$C$5:$C$20000,$A650)+SUMIFS(INPUT_DELAY!$E$5:$E$20000,INPUT_DELAY!$A$5:$A$20000,Kalkulasi!$B$617,INPUT_DELAY!$B$5:$B$20000,M$640,INPUT_DELAY!$C$5:$C$20000,"SEMUA")))/60)</f>
        <v/>
      </c>
      <c r="AA650">
        <f>IF(N650=0,0,(60-MIN(60,SUMIFS(INPUT_DELAY!$E$5:$E$20000,INPUT_DELAY!$A$5:$A$20000,Kalkulasi!$B$617,INPUT_DELAY!$B$5:$B$20000,N$640,INPUT_DELAY!$C$5:$C$20000,$A650)+SUMIFS(INPUT_DELAY!$E$5:$E$20000,INPUT_DELAY!$A$5:$A$20000,Kalkulasi!$B$617,INPUT_DELAY!$B$5:$B$20000,N$640,INPUT_DELAY!$C$5:$C$20000,"SEMUA")))/60)</f>
        <v/>
      </c>
      <c r="AB650">
        <f>IF(O650=0,0,(60-MIN(60,SUMIFS(INPUT_DELAY!$E$5:$E$20000,INPUT_DELAY!$A$5:$A$20000,Kalkulasi!$B$617,INPUT_DELAY!$B$5:$B$20000,O$640,INPUT_DELAY!$C$5:$C$20000,$A650)+SUMIFS(INPUT_DELAY!$E$5:$E$20000,INPUT_DELAY!$A$5:$A$20000,Kalkulasi!$B$617,INPUT_DELAY!$B$5:$B$20000,O$640,INPUT_DELAY!$C$5:$C$20000,"SEMUA")))/60)</f>
        <v/>
      </c>
      <c r="AC650">
        <f>SUM(Q650:AB650)</f>
        <v/>
      </c>
      <c r="AD650">
        <f>IF(D650=0,"",IF(Q650&lt;=0,"",D650/Q650))</f>
        <v/>
      </c>
      <c r="AE650">
        <f>IF(E650=0,"",IF(R650&lt;=0,"",E650/R650))</f>
        <v/>
      </c>
      <c r="AF650">
        <f>IF(F650=0,"",IF(S650&lt;=0,"",F650/S650))</f>
        <v/>
      </c>
      <c r="AG650">
        <f>IF(G650=0,"",IF(T650&lt;=0,"",G650/T650))</f>
        <v/>
      </c>
      <c r="AH650">
        <f>IF(H650=0,"",IF(U650&lt;=0,"",H650/U650))</f>
        <v/>
      </c>
      <c r="AI650">
        <f>IF(I650=0,"",IF(V650&lt;=0,"",I650/V650))</f>
        <v/>
      </c>
      <c r="AJ650">
        <f>IF(J650=0,"",IF(W650&lt;=0,"",J650/W650))</f>
        <v/>
      </c>
      <c r="AK650">
        <f>IF(K650=0,"",IF(X650&lt;=0,"",K650/X650))</f>
        <v/>
      </c>
      <c r="AL650">
        <f>IF(L650=0,"",IF(Y650&lt;=0,"",L650/Y650))</f>
        <v/>
      </c>
      <c r="AM650">
        <f>IF(M650=0,"",IF(Z650&lt;=0,"",M650/Z650))</f>
        <v/>
      </c>
      <c r="AN650">
        <f>IF(N650=0,"",IF(AA650&lt;=0,"",N650/AA650))</f>
        <v/>
      </c>
      <c r="AO650">
        <f>IF(O650=0,"",IF(AB650&lt;=0,"",O650/AB650))</f>
        <v/>
      </c>
      <c r="AP650">
        <f>IF(AC650=0,"",P650/AC650)</f>
        <v/>
      </c>
      <c r="AQ650">
        <f>SUMIFS(INPUT_RITASE!$F$5:$F$20000,INPUT_RITASE!$A$5:$A$20000,Kalkulasi!$B$617,INPUT_RITASE!$H$5:$H$20000,Kalkulasi!$B$618,INPUT_RITASE!$C$5:$C$20000,$A650,INPUT_RITASE!$N$5:$N$20000,Kalkulasi!$B$619)</f>
        <v/>
      </c>
      <c r="AR650">
        <f>P650+AQ650/1000+ROW()/1000000</f>
        <v/>
      </c>
      <c r="AT650">
        <f>IF(AND(P650&gt;0,C650&gt;0,ISNUMBER(AP650)),IF(AP650&gt;=C650,1,0),0)</f>
        <v/>
      </c>
    </row>
    <row r="651">
      <c r="A651" t="inlineStr">
        <is>
          <t>EX-332</t>
        </is>
      </c>
      <c r="B651">
        <f>IFERROR(INDEX(MASTER_JAM!$B$5:$B$94,MATCH($A651,MASTER_JAM!$A$5:$A$94,0)),"")</f>
        <v/>
      </c>
      <c r="C651">
        <f>IFERROR(IF(Kalkulasi!$B$619="OB",INDEX(MASTER_JAM!$F$5:$F$94,MATCH($A651,MASTER_JAM!$A$5:$A$94,0)),INDEX(MASTER_JAM!$G$5:$G$94,MATCH($A651,MASTER_JAM!$A$5:$A$94,0)))+0,0)</f>
        <v/>
      </c>
      <c r="D651">
        <f>SUMIFS(INPUT_RITASE!$L$5:$L$20000,INPUT_RITASE!$A$5:$A$20000,Kalkulasi!$B$617,INPUT_RITASE!$B$5:$B$20000,D$640,INPUT_RITASE!$C$5:$C$20000,$A651,INPUT_RITASE!$N$5:$N$20000,Kalkulasi!$B$619)</f>
        <v/>
      </c>
      <c r="E651">
        <f>SUMIFS(INPUT_RITASE!$L$5:$L$20000,INPUT_RITASE!$A$5:$A$20000,Kalkulasi!$B$617,INPUT_RITASE!$B$5:$B$20000,E$640,INPUT_RITASE!$C$5:$C$20000,$A651,INPUT_RITASE!$N$5:$N$20000,Kalkulasi!$B$619)</f>
        <v/>
      </c>
      <c r="F651">
        <f>SUMIFS(INPUT_RITASE!$L$5:$L$20000,INPUT_RITASE!$A$5:$A$20000,Kalkulasi!$B$617,INPUT_RITASE!$B$5:$B$20000,F$640,INPUT_RITASE!$C$5:$C$20000,$A651,INPUT_RITASE!$N$5:$N$20000,Kalkulasi!$B$619)</f>
        <v/>
      </c>
      <c r="G651">
        <f>SUMIFS(INPUT_RITASE!$L$5:$L$20000,INPUT_RITASE!$A$5:$A$20000,Kalkulasi!$B$617,INPUT_RITASE!$B$5:$B$20000,G$640,INPUT_RITASE!$C$5:$C$20000,$A651,INPUT_RITASE!$N$5:$N$20000,Kalkulasi!$B$619)</f>
        <v/>
      </c>
      <c r="H651">
        <f>SUMIFS(INPUT_RITASE!$L$5:$L$20000,INPUT_RITASE!$A$5:$A$20000,Kalkulasi!$B$617,INPUT_RITASE!$B$5:$B$20000,H$640,INPUT_RITASE!$C$5:$C$20000,$A651,INPUT_RITASE!$N$5:$N$20000,Kalkulasi!$B$619)</f>
        <v/>
      </c>
      <c r="I651">
        <f>SUMIFS(INPUT_RITASE!$L$5:$L$20000,INPUT_RITASE!$A$5:$A$20000,Kalkulasi!$B$617,INPUT_RITASE!$B$5:$B$20000,I$640,INPUT_RITASE!$C$5:$C$20000,$A651,INPUT_RITASE!$N$5:$N$20000,Kalkulasi!$B$619)</f>
        <v/>
      </c>
      <c r="J651">
        <f>SUMIFS(INPUT_RITASE!$L$5:$L$20000,INPUT_RITASE!$A$5:$A$20000,Kalkulasi!$B$617,INPUT_RITASE!$B$5:$B$20000,J$640,INPUT_RITASE!$C$5:$C$20000,$A651,INPUT_RITASE!$N$5:$N$20000,Kalkulasi!$B$619)</f>
        <v/>
      </c>
      <c r="K651">
        <f>SUMIFS(INPUT_RITASE!$L$5:$L$20000,INPUT_RITASE!$A$5:$A$20000,Kalkulasi!$B$617,INPUT_RITASE!$B$5:$B$20000,K$640,INPUT_RITASE!$C$5:$C$20000,$A651,INPUT_RITASE!$N$5:$N$20000,Kalkulasi!$B$619)</f>
        <v/>
      </c>
      <c r="L651">
        <f>SUMIFS(INPUT_RITASE!$L$5:$L$20000,INPUT_RITASE!$A$5:$A$20000,Kalkulasi!$B$617,INPUT_RITASE!$B$5:$B$20000,L$640,INPUT_RITASE!$C$5:$C$20000,$A651,INPUT_RITASE!$N$5:$N$20000,Kalkulasi!$B$619)</f>
        <v/>
      </c>
      <c r="M651">
        <f>SUMIFS(INPUT_RITASE!$L$5:$L$20000,INPUT_RITASE!$A$5:$A$20000,Kalkulasi!$B$617,INPUT_RITASE!$B$5:$B$20000,M$640,INPUT_RITASE!$C$5:$C$20000,$A651,INPUT_RITASE!$N$5:$N$20000,Kalkulasi!$B$619)</f>
        <v/>
      </c>
      <c r="N651">
        <f>SUMIFS(INPUT_RITASE!$L$5:$L$20000,INPUT_RITASE!$A$5:$A$20000,Kalkulasi!$B$617,INPUT_RITASE!$B$5:$B$20000,N$640,INPUT_RITASE!$C$5:$C$20000,$A651,INPUT_RITASE!$N$5:$N$20000,Kalkulasi!$B$619)</f>
        <v/>
      </c>
      <c r="O651">
        <f>SUMIFS(INPUT_RITASE!$L$5:$L$20000,INPUT_RITASE!$A$5:$A$20000,Kalkulasi!$B$617,INPUT_RITASE!$B$5:$B$20000,O$640,INPUT_RITASE!$C$5:$C$20000,$A651,INPUT_RITASE!$N$5:$N$20000,Kalkulasi!$B$619)</f>
        <v/>
      </c>
      <c r="P651">
        <f>SUM(D651:O651)</f>
        <v/>
      </c>
      <c r="Q651">
        <f>IF(D651=0,0,(60-MIN(60,SUMIFS(INPUT_DELAY!$E$5:$E$20000,INPUT_DELAY!$A$5:$A$20000,Kalkulasi!$B$617,INPUT_DELAY!$B$5:$B$20000,D$640,INPUT_DELAY!$C$5:$C$20000,$A651)+SUMIFS(INPUT_DELAY!$E$5:$E$20000,INPUT_DELAY!$A$5:$A$20000,Kalkulasi!$B$617,INPUT_DELAY!$B$5:$B$20000,D$640,INPUT_DELAY!$C$5:$C$20000,"SEMUA")))/60)</f>
        <v/>
      </c>
      <c r="R651">
        <f>IF(E651=0,0,(60-MIN(60,SUMIFS(INPUT_DELAY!$E$5:$E$20000,INPUT_DELAY!$A$5:$A$20000,Kalkulasi!$B$617,INPUT_DELAY!$B$5:$B$20000,E$640,INPUT_DELAY!$C$5:$C$20000,$A651)+SUMIFS(INPUT_DELAY!$E$5:$E$20000,INPUT_DELAY!$A$5:$A$20000,Kalkulasi!$B$617,INPUT_DELAY!$B$5:$B$20000,E$640,INPUT_DELAY!$C$5:$C$20000,"SEMUA")))/60)</f>
        <v/>
      </c>
      <c r="S651">
        <f>IF(F651=0,0,(60-MIN(60,SUMIFS(INPUT_DELAY!$E$5:$E$20000,INPUT_DELAY!$A$5:$A$20000,Kalkulasi!$B$617,INPUT_DELAY!$B$5:$B$20000,F$640,INPUT_DELAY!$C$5:$C$20000,$A651)+SUMIFS(INPUT_DELAY!$E$5:$E$20000,INPUT_DELAY!$A$5:$A$20000,Kalkulasi!$B$617,INPUT_DELAY!$B$5:$B$20000,F$640,INPUT_DELAY!$C$5:$C$20000,"SEMUA")))/60)</f>
        <v/>
      </c>
      <c r="T651">
        <f>IF(G651=0,0,(60-MIN(60,SUMIFS(INPUT_DELAY!$E$5:$E$20000,INPUT_DELAY!$A$5:$A$20000,Kalkulasi!$B$617,INPUT_DELAY!$B$5:$B$20000,G$640,INPUT_DELAY!$C$5:$C$20000,$A651)+SUMIFS(INPUT_DELAY!$E$5:$E$20000,INPUT_DELAY!$A$5:$A$20000,Kalkulasi!$B$617,INPUT_DELAY!$B$5:$B$20000,G$640,INPUT_DELAY!$C$5:$C$20000,"SEMUA")))/60)</f>
        <v/>
      </c>
      <c r="U651">
        <f>IF(H651=0,0,(60-MIN(60,SUMIFS(INPUT_DELAY!$E$5:$E$20000,INPUT_DELAY!$A$5:$A$20000,Kalkulasi!$B$617,INPUT_DELAY!$B$5:$B$20000,H$640,INPUT_DELAY!$C$5:$C$20000,$A651)+SUMIFS(INPUT_DELAY!$E$5:$E$20000,INPUT_DELAY!$A$5:$A$20000,Kalkulasi!$B$617,INPUT_DELAY!$B$5:$B$20000,H$640,INPUT_DELAY!$C$5:$C$20000,"SEMUA")))/60)</f>
        <v/>
      </c>
      <c r="V651">
        <f>IF(I651=0,0,(60-MIN(60,SUMIFS(INPUT_DELAY!$E$5:$E$20000,INPUT_DELAY!$A$5:$A$20000,Kalkulasi!$B$617,INPUT_DELAY!$B$5:$B$20000,I$640,INPUT_DELAY!$C$5:$C$20000,$A651)+SUMIFS(INPUT_DELAY!$E$5:$E$20000,INPUT_DELAY!$A$5:$A$20000,Kalkulasi!$B$617,INPUT_DELAY!$B$5:$B$20000,I$640,INPUT_DELAY!$C$5:$C$20000,"SEMUA")))/60)</f>
        <v/>
      </c>
      <c r="W651">
        <f>IF(J651=0,0,(60-MIN(60,SUMIFS(INPUT_DELAY!$E$5:$E$20000,INPUT_DELAY!$A$5:$A$20000,Kalkulasi!$B$617,INPUT_DELAY!$B$5:$B$20000,J$640,INPUT_DELAY!$C$5:$C$20000,$A651)+SUMIFS(INPUT_DELAY!$E$5:$E$20000,INPUT_DELAY!$A$5:$A$20000,Kalkulasi!$B$617,INPUT_DELAY!$B$5:$B$20000,J$640,INPUT_DELAY!$C$5:$C$20000,"SEMUA")))/60)</f>
        <v/>
      </c>
      <c r="X651">
        <f>IF(K651=0,0,(60-MIN(60,SUMIFS(INPUT_DELAY!$E$5:$E$20000,INPUT_DELAY!$A$5:$A$20000,Kalkulasi!$B$617,INPUT_DELAY!$B$5:$B$20000,K$640,INPUT_DELAY!$C$5:$C$20000,$A651)+SUMIFS(INPUT_DELAY!$E$5:$E$20000,INPUT_DELAY!$A$5:$A$20000,Kalkulasi!$B$617,INPUT_DELAY!$B$5:$B$20000,K$640,INPUT_DELAY!$C$5:$C$20000,"SEMUA")))/60)</f>
        <v/>
      </c>
      <c r="Y651">
        <f>IF(L651=0,0,(60-MIN(60,SUMIFS(INPUT_DELAY!$E$5:$E$20000,INPUT_DELAY!$A$5:$A$20000,Kalkulasi!$B$617,INPUT_DELAY!$B$5:$B$20000,L$640,INPUT_DELAY!$C$5:$C$20000,$A651)+SUMIFS(INPUT_DELAY!$E$5:$E$20000,INPUT_DELAY!$A$5:$A$20000,Kalkulasi!$B$617,INPUT_DELAY!$B$5:$B$20000,L$640,INPUT_DELAY!$C$5:$C$20000,"SEMUA")))/60)</f>
        <v/>
      </c>
      <c r="Z651">
        <f>IF(M651=0,0,(60-MIN(60,SUMIFS(INPUT_DELAY!$E$5:$E$20000,INPUT_DELAY!$A$5:$A$20000,Kalkulasi!$B$617,INPUT_DELAY!$B$5:$B$20000,M$640,INPUT_DELAY!$C$5:$C$20000,$A651)+SUMIFS(INPUT_DELAY!$E$5:$E$20000,INPUT_DELAY!$A$5:$A$20000,Kalkulasi!$B$617,INPUT_DELAY!$B$5:$B$20000,M$640,INPUT_DELAY!$C$5:$C$20000,"SEMUA")))/60)</f>
        <v/>
      </c>
      <c r="AA651">
        <f>IF(N651=0,0,(60-MIN(60,SUMIFS(INPUT_DELAY!$E$5:$E$20000,INPUT_DELAY!$A$5:$A$20000,Kalkulasi!$B$617,INPUT_DELAY!$B$5:$B$20000,N$640,INPUT_DELAY!$C$5:$C$20000,$A651)+SUMIFS(INPUT_DELAY!$E$5:$E$20000,INPUT_DELAY!$A$5:$A$20000,Kalkulasi!$B$617,INPUT_DELAY!$B$5:$B$20000,N$640,INPUT_DELAY!$C$5:$C$20000,"SEMUA")))/60)</f>
        <v/>
      </c>
      <c r="AB651">
        <f>IF(O651=0,0,(60-MIN(60,SUMIFS(INPUT_DELAY!$E$5:$E$20000,INPUT_DELAY!$A$5:$A$20000,Kalkulasi!$B$617,INPUT_DELAY!$B$5:$B$20000,O$640,INPUT_DELAY!$C$5:$C$20000,$A651)+SUMIFS(INPUT_DELAY!$E$5:$E$20000,INPUT_DELAY!$A$5:$A$20000,Kalkulasi!$B$617,INPUT_DELAY!$B$5:$B$20000,O$640,INPUT_DELAY!$C$5:$C$20000,"SEMUA")))/60)</f>
        <v/>
      </c>
      <c r="AC651">
        <f>SUM(Q651:AB651)</f>
        <v/>
      </c>
      <c r="AD651">
        <f>IF(D651=0,"",IF(Q651&lt;=0,"",D651/Q651))</f>
        <v/>
      </c>
      <c r="AE651">
        <f>IF(E651=0,"",IF(R651&lt;=0,"",E651/R651))</f>
        <v/>
      </c>
      <c r="AF651">
        <f>IF(F651=0,"",IF(S651&lt;=0,"",F651/S651))</f>
        <v/>
      </c>
      <c r="AG651">
        <f>IF(G651=0,"",IF(T651&lt;=0,"",G651/T651))</f>
        <v/>
      </c>
      <c r="AH651">
        <f>IF(H651=0,"",IF(U651&lt;=0,"",H651/U651))</f>
        <v/>
      </c>
      <c r="AI651">
        <f>IF(I651=0,"",IF(V651&lt;=0,"",I651/V651))</f>
        <v/>
      </c>
      <c r="AJ651">
        <f>IF(J651=0,"",IF(W651&lt;=0,"",J651/W651))</f>
        <v/>
      </c>
      <c r="AK651">
        <f>IF(K651=0,"",IF(X651&lt;=0,"",K651/X651))</f>
        <v/>
      </c>
      <c r="AL651">
        <f>IF(L651=0,"",IF(Y651&lt;=0,"",L651/Y651))</f>
        <v/>
      </c>
      <c r="AM651">
        <f>IF(M651=0,"",IF(Z651&lt;=0,"",M651/Z651))</f>
        <v/>
      </c>
      <c r="AN651">
        <f>IF(N651=0,"",IF(AA651&lt;=0,"",N651/AA651))</f>
        <v/>
      </c>
      <c r="AO651">
        <f>IF(O651=0,"",IF(AB651&lt;=0,"",O651/AB651))</f>
        <v/>
      </c>
      <c r="AP651">
        <f>IF(AC651=0,"",P651/AC651)</f>
        <v/>
      </c>
      <c r="AQ651">
        <f>SUMIFS(INPUT_RITASE!$F$5:$F$20000,INPUT_RITASE!$A$5:$A$20000,Kalkulasi!$B$617,INPUT_RITASE!$H$5:$H$20000,Kalkulasi!$B$618,INPUT_RITASE!$C$5:$C$20000,$A651,INPUT_RITASE!$N$5:$N$20000,Kalkulasi!$B$619)</f>
        <v/>
      </c>
      <c r="AR651">
        <f>P651+AQ651/1000+ROW()/1000000</f>
        <v/>
      </c>
      <c r="AT651">
        <f>IF(AND(P651&gt;0,C651&gt;0,ISNUMBER(AP651)),IF(AP651&gt;=C651,1,0),0)</f>
        <v/>
      </c>
    </row>
    <row r="652">
      <c r="A652" t="inlineStr">
        <is>
          <t>EX-222</t>
        </is>
      </c>
      <c r="B652">
        <f>IFERROR(INDEX(MASTER_JAM!$B$5:$B$94,MATCH($A652,MASTER_JAM!$A$5:$A$94,0)),"")</f>
        <v/>
      </c>
      <c r="C652">
        <f>IFERROR(IF(Kalkulasi!$B$619="OB",INDEX(MASTER_JAM!$F$5:$F$94,MATCH($A652,MASTER_JAM!$A$5:$A$94,0)),INDEX(MASTER_JAM!$G$5:$G$94,MATCH($A652,MASTER_JAM!$A$5:$A$94,0)))+0,0)</f>
        <v/>
      </c>
      <c r="D652">
        <f>SUMIFS(INPUT_RITASE!$L$5:$L$20000,INPUT_RITASE!$A$5:$A$20000,Kalkulasi!$B$617,INPUT_RITASE!$B$5:$B$20000,D$640,INPUT_RITASE!$C$5:$C$20000,$A652,INPUT_RITASE!$N$5:$N$20000,Kalkulasi!$B$619)</f>
        <v/>
      </c>
      <c r="E652">
        <f>SUMIFS(INPUT_RITASE!$L$5:$L$20000,INPUT_RITASE!$A$5:$A$20000,Kalkulasi!$B$617,INPUT_RITASE!$B$5:$B$20000,E$640,INPUT_RITASE!$C$5:$C$20000,$A652,INPUT_RITASE!$N$5:$N$20000,Kalkulasi!$B$619)</f>
        <v/>
      </c>
      <c r="F652">
        <f>SUMIFS(INPUT_RITASE!$L$5:$L$20000,INPUT_RITASE!$A$5:$A$20000,Kalkulasi!$B$617,INPUT_RITASE!$B$5:$B$20000,F$640,INPUT_RITASE!$C$5:$C$20000,$A652,INPUT_RITASE!$N$5:$N$20000,Kalkulasi!$B$619)</f>
        <v/>
      </c>
      <c r="G652">
        <f>SUMIFS(INPUT_RITASE!$L$5:$L$20000,INPUT_RITASE!$A$5:$A$20000,Kalkulasi!$B$617,INPUT_RITASE!$B$5:$B$20000,G$640,INPUT_RITASE!$C$5:$C$20000,$A652,INPUT_RITASE!$N$5:$N$20000,Kalkulasi!$B$619)</f>
        <v/>
      </c>
      <c r="H652">
        <f>SUMIFS(INPUT_RITASE!$L$5:$L$20000,INPUT_RITASE!$A$5:$A$20000,Kalkulasi!$B$617,INPUT_RITASE!$B$5:$B$20000,H$640,INPUT_RITASE!$C$5:$C$20000,$A652,INPUT_RITASE!$N$5:$N$20000,Kalkulasi!$B$619)</f>
        <v/>
      </c>
      <c r="I652">
        <f>SUMIFS(INPUT_RITASE!$L$5:$L$20000,INPUT_RITASE!$A$5:$A$20000,Kalkulasi!$B$617,INPUT_RITASE!$B$5:$B$20000,I$640,INPUT_RITASE!$C$5:$C$20000,$A652,INPUT_RITASE!$N$5:$N$20000,Kalkulasi!$B$619)</f>
        <v/>
      </c>
      <c r="J652">
        <f>SUMIFS(INPUT_RITASE!$L$5:$L$20000,INPUT_RITASE!$A$5:$A$20000,Kalkulasi!$B$617,INPUT_RITASE!$B$5:$B$20000,J$640,INPUT_RITASE!$C$5:$C$20000,$A652,INPUT_RITASE!$N$5:$N$20000,Kalkulasi!$B$619)</f>
        <v/>
      </c>
      <c r="K652">
        <f>SUMIFS(INPUT_RITASE!$L$5:$L$20000,INPUT_RITASE!$A$5:$A$20000,Kalkulasi!$B$617,INPUT_RITASE!$B$5:$B$20000,K$640,INPUT_RITASE!$C$5:$C$20000,$A652,INPUT_RITASE!$N$5:$N$20000,Kalkulasi!$B$619)</f>
        <v/>
      </c>
      <c r="L652">
        <f>SUMIFS(INPUT_RITASE!$L$5:$L$20000,INPUT_RITASE!$A$5:$A$20000,Kalkulasi!$B$617,INPUT_RITASE!$B$5:$B$20000,L$640,INPUT_RITASE!$C$5:$C$20000,$A652,INPUT_RITASE!$N$5:$N$20000,Kalkulasi!$B$619)</f>
        <v/>
      </c>
      <c r="M652">
        <f>SUMIFS(INPUT_RITASE!$L$5:$L$20000,INPUT_RITASE!$A$5:$A$20000,Kalkulasi!$B$617,INPUT_RITASE!$B$5:$B$20000,M$640,INPUT_RITASE!$C$5:$C$20000,$A652,INPUT_RITASE!$N$5:$N$20000,Kalkulasi!$B$619)</f>
        <v/>
      </c>
      <c r="N652">
        <f>SUMIFS(INPUT_RITASE!$L$5:$L$20000,INPUT_RITASE!$A$5:$A$20000,Kalkulasi!$B$617,INPUT_RITASE!$B$5:$B$20000,N$640,INPUT_RITASE!$C$5:$C$20000,$A652,INPUT_RITASE!$N$5:$N$20000,Kalkulasi!$B$619)</f>
        <v/>
      </c>
      <c r="O652">
        <f>SUMIFS(INPUT_RITASE!$L$5:$L$20000,INPUT_RITASE!$A$5:$A$20000,Kalkulasi!$B$617,INPUT_RITASE!$B$5:$B$20000,O$640,INPUT_RITASE!$C$5:$C$20000,$A652,INPUT_RITASE!$N$5:$N$20000,Kalkulasi!$B$619)</f>
        <v/>
      </c>
      <c r="P652">
        <f>SUM(D652:O652)</f>
        <v/>
      </c>
      <c r="Q652">
        <f>IF(D652=0,0,(60-MIN(60,SUMIFS(INPUT_DELAY!$E$5:$E$20000,INPUT_DELAY!$A$5:$A$20000,Kalkulasi!$B$617,INPUT_DELAY!$B$5:$B$20000,D$640,INPUT_DELAY!$C$5:$C$20000,$A652)+SUMIFS(INPUT_DELAY!$E$5:$E$20000,INPUT_DELAY!$A$5:$A$20000,Kalkulasi!$B$617,INPUT_DELAY!$B$5:$B$20000,D$640,INPUT_DELAY!$C$5:$C$20000,"SEMUA")))/60)</f>
        <v/>
      </c>
      <c r="R652">
        <f>IF(E652=0,0,(60-MIN(60,SUMIFS(INPUT_DELAY!$E$5:$E$20000,INPUT_DELAY!$A$5:$A$20000,Kalkulasi!$B$617,INPUT_DELAY!$B$5:$B$20000,E$640,INPUT_DELAY!$C$5:$C$20000,$A652)+SUMIFS(INPUT_DELAY!$E$5:$E$20000,INPUT_DELAY!$A$5:$A$20000,Kalkulasi!$B$617,INPUT_DELAY!$B$5:$B$20000,E$640,INPUT_DELAY!$C$5:$C$20000,"SEMUA")))/60)</f>
        <v/>
      </c>
      <c r="S652">
        <f>IF(F652=0,0,(60-MIN(60,SUMIFS(INPUT_DELAY!$E$5:$E$20000,INPUT_DELAY!$A$5:$A$20000,Kalkulasi!$B$617,INPUT_DELAY!$B$5:$B$20000,F$640,INPUT_DELAY!$C$5:$C$20000,$A652)+SUMIFS(INPUT_DELAY!$E$5:$E$20000,INPUT_DELAY!$A$5:$A$20000,Kalkulasi!$B$617,INPUT_DELAY!$B$5:$B$20000,F$640,INPUT_DELAY!$C$5:$C$20000,"SEMUA")))/60)</f>
        <v/>
      </c>
      <c r="T652">
        <f>IF(G652=0,0,(60-MIN(60,SUMIFS(INPUT_DELAY!$E$5:$E$20000,INPUT_DELAY!$A$5:$A$20000,Kalkulasi!$B$617,INPUT_DELAY!$B$5:$B$20000,G$640,INPUT_DELAY!$C$5:$C$20000,$A652)+SUMIFS(INPUT_DELAY!$E$5:$E$20000,INPUT_DELAY!$A$5:$A$20000,Kalkulasi!$B$617,INPUT_DELAY!$B$5:$B$20000,G$640,INPUT_DELAY!$C$5:$C$20000,"SEMUA")))/60)</f>
        <v/>
      </c>
      <c r="U652">
        <f>IF(H652=0,0,(60-MIN(60,SUMIFS(INPUT_DELAY!$E$5:$E$20000,INPUT_DELAY!$A$5:$A$20000,Kalkulasi!$B$617,INPUT_DELAY!$B$5:$B$20000,H$640,INPUT_DELAY!$C$5:$C$20000,$A652)+SUMIFS(INPUT_DELAY!$E$5:$E$20000,INPUT_DELAY!$A$5:$A$20000,Kalkulasi!$B$617,INPUT_DELAY!$B$5:$B$20000,H$640,INPUT_DELAY!$C$5:$C$20000,"SEMUA")))/60)</f>
        <v/>
      </c>
      <c r="V652">
        <f>IF(I652=0,0,(60-MIN(60,SUMIFS(INPUT_DELAY!$E$5:$E$20000,INPUT_DELAY!$A$5:$A$20000,Kalkulasi!$B$617,INPUT_DELAY!$B$5:$B$20000,I$640,INPUT_DELAY!$C$5:$C$20000,$A652)+SUMIFS(INPUT_DELAY!$E$5:$E$20000,INPUT_DELAY!$A$5:$A$20000,Kalkulasi!$B$617,INPUT_DELAY!$B$5:$B$20000,I$640,INPUT_DELAY!$C$5:$C$20000,"SEMUA")))/60)</f>
        <v/>
      </c>
      <c r="W652">
        <f>IF(J652=0,0,(60-MIN(60,SUMIFS(INPUT_DELAY!$E$5:$E$20000,INPUT_DELAY!$A$5:$A$20000,Kalkulasi!$B$617,INPUT_DELAY!$B$5:$B$20000,J$640,INPUT_DELAY!$C$5:$C$20000,$A652)+SUMIFS(INPUT_DELAY!$E$5:$E$20000,INPUT_DELAY!$A$5:$A$20000,Kalkulasi!$B$617,INPUT_DELAY!$B$5:$B$20000,J$640,INPUT_DELAY!$C$5:$C$20000,"SEMUA")))/60)</f>
        <v/>
      </c>
      <c r="X652">
        <f>IF(K652=0,0,(60-MIN(60,SUMIFS(INPUT_DELAY!$E$5:$E$20000,INPUT_DELAY!$A$5:$A$20000,Kalkulasi!$B$617,INPUT_DELAY!$B$5:$B$20000,K$640,INPUT_DELAY!$C$5:$C$20000,$A652)+SUMIFS(INPUT_DELAY!$E$5:$E$20000,INPUT_DELAY!$A$5:$A$20000,Kalkulasi!$B$617,INPUT_DELAY!$B$5:$B$20000,K$640,INPUT_DELAY!$C$5:$C$20000,"SEMUA")))/60)</f>
        <v/>
      </c>
      <c r="Y652">
        <f>IF(L652=0,0,(60-MIN(60,SUMIFS(INPUT_DELAY!$E$5:$E$20000,INPUT_DELAY!$A$5:$A$20000,Kalkulasi!$B$617,INPUT_DELAY!$B$5:$B$20000,L$640,INPUT_DELAY!$C$5:$C$20000,$A652)+SUMIFS(INPUT_DELAY!$E$5:$E$20000,INPUT_DELAY!$A$5:$A$20000,Kalkulasi!$B$617,INPUT_DELAY!$B$5:$B$20000,L$640,INPUT_DELAY!$C$5:$C$20000,"SEMUA")))/60)</f>
        <v/>
      </c>
      <c r="Z652">
        <f>IF(M652=0,0,(60-MIN(60,SUMIFS(INPUT_DELAY!$E$5:$E$20000,INPUT_DELAY!$A$5:$A$20000,Kalkulasi!$B$617,INPUT_DELAY!$B$5:$B$20000,M$640,INPUT_DELAY!$C$5:$C$20000,$A652)+SUMIFS(INPUT_DELAY!$E$5:$E$20000,INPUT_DELAY!$A$5:$A$20000,Kalkulasi!$B$617,INPUT_DELAY!$B$5:$B$20000,M$640,INPUT_DELAY!$C$5:$C$20000,"SEMUA")))/60)</f>
        <v/>
      </c>
      <c r="AA652">
        <f>IF(N652=0,0,(60-MIN(60,SUMIFS(INPUT_DELAY!$E$5:$E$20000,INPUT_DELAY!$A$5:$A$20000,Kalkulasi!$B$617,INPUT_DELAY!$B$5:$B$20000,N$640,INPUT_DELAY!$C$5:$C$20000,$A652)+SUMIFS(INPUT_DELAY!$E$5:$E$20000,INPUT_DELAY!$A$5:$A$20000,Kalkulasi!$B$617,INPUT_DELAY!$B$5:$B$20000,N$640,INPUT_DELAY!$C$5:$C$20000,"SEMUA")))/60)</f>
        <v/>
      </c>
      <c r="AB652">
        <f>IF(O652=0,0,(60-MIN(60,SUMIFS(INPUT_DELAY!$E$5:$E$20000,INPUT_DELAY!$A$5:$A$20000,Kalkulasi!$B$617,INPUT_DELAY!$B$5:$B$20000,O$640,INPUT_DELAY!$C$5:$C$20000,$A652)+SUMIFS(INPUT_DELAY!$E$5:$E$20000,INPUT_DELAY!$A$5:$A$20000,Kalkulasi!$B$617,INPUT_DELAY!$B$5:$B$20000,O$640,INPUT_DELAY!$C$5:$C$20000,"SEMUA")))/60)</f>
        <v/>
      </c>
      <c r="AC652">
        <f>SUM(Q652:AB652)</f>
        <v/>
      </c>
      <c r="AD652">
        <f>IF(D652=0,"",IF(Q652&lt;=0,"",D652/Q652))</f>
        <v/>
      </c>
      <c r="AE652">
        <f>IF(E652=0,"",IF(R652&lt;=0,"",E652/R652))</f>
        <v/>
      </c>
      <c r="AF652">
        <f>IF(F652=0,"",IF(S652&lt;=0,"",F652/S652))</f>
        <v/>
      </c>
      <c r="AG652">
        <f>IF(G652=0,"",IF(T652&lt;=0,"",G652/T652))</f>
        <v/>
      </c>
      <c r="AH652">
        <f>IF(H652=0,"",IF(U652&lt;=0,"",H652/U652))</f>
        <v/>
      </c>
      <c r="AI652">
        <f>IF(I652=0,"",IF(V652&lt;=0,"",I652/V652))</f>
        <v/>
      </c>
      <c r="AJ652">
        <f>IF(J652=0,"",IF(W652&lt;=0,"",J652/W652))</f>
        <v/>
      </c>
      <c r="AK652">
        <f>IF(K652=0,"",IF(X652&lt;=0,"",K652/X652))</f>
        <v/>
      </c>
      <c r="AL652">
        <f>IF(L652=0,"",IF(Y652&lt;=0,"",L652/Y652))</f>
        <v/>
      </c>
      <c r="AM652">
        <f>IF(M652=0,"",IF(Z652&lt;=0,"",M652/Z652))</f>
        <v/>
      </c>
      <c r="AN652">
        <f>IF(N652=0,"",IF(AA652&lt;=0,"",N652/AA652))</f>
        <v/>
      </c>
      <c r="AO652">
        <f>IF(O652=0,"",IF(AB652&lt;=0,"",O652/AB652))</f>
        <v/>
      </c>
      <c r="AP652">
        <f>IF(AC652=0,"",P652/AC652)</f>
        <v/>
      </c>
      <c r="AQ652">
        <f>SUMIFS(INPUT_RITASE!$F$5:$F$20000,INPUT_RITASE!$A$5:$A$20000,Kalkulasi!$B$617,INPUT_RITASE!$H$5:$H$20000,Kalkulasi!$B$618,INPUT_RITASE!$C$5:$C$20000,$A652,INPUT_RITASE!$N$5:$N$20000,Kalkulasi!$B$619)</f>
        <v/>
      </c>
      <c r="AR652">
        <f>P652+AQ652/1000+ROW()/1000000</f>
        <v/>
      </c>
      <c r="AT652">
        <f>IF(AND(P652&gt;0,C652&gt;0,ISNUMBER(AP652)),IF(AP652&gt;=C652,1,0),0)</f>
        <v/>
      </c>
    </row>
    <row r="653">
      <c r="A653" t="inlineStr">
        <is>
          <t>EX-223</t>
        </is>
      </c>
      <c r="B653">
        <f>IFERROR(INDEX(MASTER_JAM!$B$5:$B$94,MATCH($A653,MASTER_JAM!$A$5:$A$94,0)),"")</f>
        <v/>
      </c>
      <c r="C653">
        <f>IFERROR(IF(Kalkulasi!$B$619="OB",INDEX(MASTER_JAM!$F$5:$F$94,MATCH($A653,MASTER_JAM!$A$5:$A$94,0)),INDEX(MASTER_JAM!$G$5:$G$94,MATCH($A653,MASTER_JAM!$A$5:$A$94,0)))+0,0)</f>
        <v/>
      </c>
      <c r="D653">
        <f>SUMIFS(INPUT_RITASE!$L$5:$L$20000,INPUT_RITASE!$A$5:$A$20000,Kalkulasi!$B$617,INPUT_RITASE!$B$5:$B$20000,D$640,INPUT_RITASE!$C$5:$C$20000,$A653,INPUT_RITASE!$N$5:$N$20000,Kalkulasi!$B$619)</f>
        <v/>
      </c>
      <c r="E653">
        <f>SUMIFS(INPUT_RITASE!$L$5:$L$20000,INPUT_RITASE!$A$5:$A$20000,Kalkulasi!$B$617,INPUT_RITASE!$B$5:$B$20000,E$640,INPUT_RITASE!$C$5:$C$20000,$A653,INPUT_RITASE!$N$5:$N$20000,Kalkulasi!$B$619)</f>
        <v/>
      </c>
      <c r="F653">
        <f>SUMIFS(INPUT_RITASE!$L$5:$L$20000,INPUT_RITASE!$A$5:$A$20000,Kalkulasi!$B$617,INPUT_RITASE!$B$5:$B$20000,F$640,INPUT_RITASE!$C$5:$C$20000,$A653,INPUT_RITASE!$N$5:$N$20000,Kalkulasi!$B$619)</f>
        <v/>
      </c>
      <c r="G653">
        <f>SUMIFS(INPUT_RITASE!$L$5:$L$20000,INPUT_RITASE!$A$5:$A$20000,Kalkulasi!$B$617,INPUT_RITASE!$B$5:$B$20000,G$640,INPUT_RITASE!$C$5:$C$20000,$A653,INPUT_RITASE!$N$5:$N$20000,Kalkulasi!$B$619)</f>
        <v/>
      </c>
      <c r="H653">
        <f>SUMIFS(INPUT_RITASE!$L$5:$L$20000,INPUT_RITASE!$A$5:$A$20000,Kalkulasi!$B$617,INPUT_RITASE!$B$5:$B$20000,H$640,INPUT_RITASE!$C$5:$C$20000,$A653,INPUT_RITASE!$N$5:$N$20000,Kalkulasi!$B$619)</f>
        <v/>
      </c>
      <c r="I653">
        <f>SUMIFS(INPUT_RITASE!$L$5:$L$20000,INPUT_RITASE!$A$5:$A$20000,Kalkulasi!$B$617,INPUT_RITASE!$B$5:$B$20000,I$640,INPUT_RITASE!$C$5:$C$20000,$A653,INPUT_RITASE!$N$5:$N$20000,Kalkulasi!$B$619)</f>
        <v/>
      </c>
      <c r="J653">
        <f>SUMIFS(INPUT_RITASE!$L$5:$L$20000,INPUT_RITASE!$A$5:$A$20000,Kalkulasi!$B$617,INPUT_RITASE!$B$5:$B$20000,J$640,INPUT_RITASE!$C$5:$C$20000,$A653,INPUT_RITASE!$N$5:$N$20000,Kalkulasi!$B$619)</f>
        <v/>
      </c>
      <c r="K653">
        <f>SUMIFS(INPUT_RITASE!$L$5:$L$20000,INPUT_RITASE!$A$5:$A$20000,Kalkulasi!$B$617,INPUT_RITASE!$B$5:$B$20000,K$640,INPUT_RITASE!$C$5:$C$20000,$A653,INPUT_RITASE!$N$5:$N$20000,Kalkulasi!$B$619)</f>
        <v/>
      </c>
      <c r="L653">
        <f>SUMIFS(INPUT_RITASE!$L$5:$L$20000,INPUT_RITASE!$A$5:$A$20000,Kalkulasi!$B$617,INPUT_RITASE!$B$5:$B$20000,L$640,INPUT_RITASE!$C$5:$C$20000,$A653,INPUT_RITASE!$N$5:$N$20000,Kalkulasi!$B$619)</f>
        <v/>
      </c>
      <c r="M653">
        <f>SUMIFS(INPUT_RITASE!$L$5:$L$20000,INPUT_RITASE!$A$5:$A$20000,Kalkulasi!$B$617,INPUT_RITASE!$B$5:$B$20000,M$640,INPUT_RITASE!$C$5:$C$20000,$A653,INPUT_RITASE!$N$5:$N$20000,Kalkulasi!$B$619)</f>
        <v/>
      </c>
      <c r="N653">
        <f>SUMIFS(INPUT_RITASE!$L$5:$L$20000,INPUT_RITASE!$A$5:$A$20000,Kalkulasi!$B$617,INPUT_RITASE!$B$5:$B$20000,N$640,INPUT_RITASE!$C$5:$C$20000,$A653,INPUT_RITASE!$N$5:$N$20000,Kalkulasi!$B$619)</f>
        <v/>
      </c>
      <c r="O653">
        <f>SUMIFS(INPUT_RITASE!$L$5:$L$20000,INPUT_RITASE!$A$5:$A$20000,Kalkulasi!$B$617,INPUT_RITASE!$B$5:$B$20000,O$640,INPUT_RITASE!$C$5:$C$20000,$A653,INPUT_RITASE!$N$5:$N$20000,Kalkulasi!$B$619)</f>
        <v/>
      </c>
      <c r="P653">
        <f>SUM(D653:O653)</f>
        <v/>
      </c>
      <c r="Q653">
        <f>IF(D653=0,0,(60-MIN(60,SUMIFS(INPUT_DELAY!$E$5:$E$20000,INPUT_DELAY!$A$5:$A$20000,Kalkulasi!$B$617,INPUT_DELAY!$B$5:$B$20000,D$640,INPUT_DELAY!$C$5:$C$20000,$A653)+SUMIFS(INPUT_DELAY!$E$5:$E$20000,INPUT_DELAY!$A$5:$A$20000,Kalkulasi!$B$617,INPUT_DELAY!$B$5:$B$20000,D$640,INPUT_DELAY!$C$5:$C$20000,"SEMUA")))/60)</f>
        <v/>
      </c>
      <c r="R653">
        <f>IF(E653=0,0,(60-MIN(60,SUMIFS(INPUT_DELAY!$E$5:$E$20000,INPUT_DELAY!$A$5:$A$20000,Kalkulasi!$B$617,INPUT_DELAY!$B$5:$B$20000,E$640,INPUT_DELAY!$C$5:$C$20000,$A653)+SUMIFS(INPUT_DELAY!$E$5:$E$20000,INPUT_DELAY!$A$5:$A$20000,Kalkulasi!$B$617,INPUT_DELAY!$B$5:$B$20000,E$640,INPUT_DELAY!$C$5:$C$20000,"SEMUA")))/60)</f>
        <v/>
      </c>
      <c r="S653">
        <f>IF(F653=0,0,(60-MIN(60,SUMIFS(INPUT_DELAY!$E$5:$E$20000,INPUT_DELAY!$A$5:$A$20000,Kalkulasi!$B$617,INPUT_DELAY!$B$5:$B$20000,F$640,INPUT_DELAY!$C$5:$C$20000,$A653)+SUMIFS(INPUT_DELAY!$E$5:$E$20000,INPUT_DELAY!$A$5:$A$20000,Kalkulasi!$B$617,INPUT_DELAY!$B$5:$B$20000,F$640,INPUT_DELAY!$C$5:$C$20000,"SEMUA")))/60)</f>
        <v/>
      </c>
      <c r="T653">
        <f>IF(G653=0,0,(60-MIN(60,SUMIFS(INPUT_DELAY!$E$5:$E$20000,INPUT_DELAY!$A$5:$A$20000,Kalkulasi!$B$617,INPUT_DELAY!$B$5:$B$20000,G$640,INPUT_DELAY!$C$5:$C$20000,$A653)+SUMIFS(INPUT_DELAY!$E$5:$E$20000,INPUT_DELAY!$A$5:$A$20000,Kalkulasi!$B$617,INPUT_DELAY!$B$5:$B$20000,G$640,INPUT_DELAY!$C$5:$C$20000,"SEMUA")))/60)</f>
        <v/>
      </c>
      <c r="U653">
        <f>IF(H653=0,0,(60-MIN(60,SUMIFS(INPUT_DELAY!$E$5:$E$20000,INPUT_DELAY!$A$5:$A$20000,Kalkulasi!$B$617,INPUT_DELAY!$B$5:$B$20000,H$640,INPUT_DELAY!$C$5:$C$20000,$A653)+SUMIFS(INPUT_DELAY!$E$5:$E$20000,INPUT_DELAY!$A$5:$A$20000,Kalkulasi!$B$617,INPUT_DELAY!$B$5:$B$20000,H$640,INPUT_DELAY!$C$5:$C$20000,"SEMUA")))/60)</f>
        <v/>
      </c>
      <c r="V653">
        <f>IF(I653=0,0,(60-MIN(60,SUMIFS(INPUT_DELAY!$E$5:$E$20000,INPUT_DELAY!$A$5:$A$20000,Kalkulasi!$B$617,INPUT_DELAY!$B$5:$B$20000,I$640,INPUT_DELAY!$C$5:$C$20000,$A653)+SUMIFS(INPUT_DELAY!$E$5:$E$20000,INPUT_DELAY!$A$5:$A$20000,Kalkulasi!$B$617,INPUT_DELAY!$B$5:$B$20000,I$640,INPUT_DELAY!$C$5:$C$20000,"SEMUA")))/60)</f>
        <v/>
      </c>
      <c r="W653">
        <f>IF(J653=0,0,(60-MIN(60,SUMIFS(INPUT_DELAY!$E$5:$E$20000,INPUT_DELAY!$A$5:$A$20000,Kalkulasi!$B$617,INPUT_DELAY!$B$5:$B$20000,J$640,INPUT_DELAY!$C$5:$C$20000,$A653)+SUMIFS(INPUT_DELAY!$E$5:$E$20000,INPUT_DELAY!$A$5:$A$20000,Kalkulasi!$B$617,INPUT_DELAY!$B$5:$B$20000,J$640,INPUT_DELAY!$C$5:$C$20000,"SEMUA")))/60)</f>
        <v/>
      </c>
      <c r="X653">
        <f>IF(K653=0,0,(60-MIN(60,SUMIFS(INPUT_DELAY!$E$5:$E$20000,INPUT_DELAY!$A$5:$A$20000,Kalkulasi!$B$617,INPUT_DELAY!$B$5:$B$20000,K$640,INPUT_DELAY!$C$5:$C$20000,$A653)+SUMIFS(INPUT_DELAY!$E$5:$E$20000,INPUT_DELAY!$A$5:$A$20000,Kalkulasi!$B$617,INPUT_DELAY!$B$5:$B$20000,K$640,INPUT_DELAY!$C$5:$C$20000,"SEMUA")))/60)</f>
        <v/>
      </c>
      <c r="Y653">
        <f>IF(L653=0,0,(60-MIN(60,SUMIFS(INPUT_DELAY!$E$5:$E$20000,INPUT_DELAY!$A$5:$A$20000,Kalkulasi!$B$617,INPUT_DELAY!$B$5:$B$20000,L$640,INPUT_DELAY!$C$5:$C$20000,$A653)+SUMIFS(INPUT_DELAY!$E$5:$E$20000,INPUT_DELAY!$A$5:$A$20000,Kalkulasi!$B$617,INPUT_DELAY!$B$5:$B$20000,L$640,INPUT_DELAY!$C$5:$C$20000,"SEMUA")))/60)</f>
        <v/>
      </c>
      <c r="Z653">
        <f>IF(M653=0,0,(60-MIN(60,SUMIFS(INPUT_DELAY!$E$5:$E$20000,INPUT_DELAY!$A$5:$A$20000,Kalkulasi!$B$617,INPUT_DELAY!$B$5:$B$20000,M$640,INPUT_DELAY!$C$5:$C$20000,$A653)+SUMIFS(INPUT_DELAY!$E$5:$E$20000,INPUT_DELAY!$A$5:$A$20000,Kalkulasi!$B$617,INPUT_DELAY!$B$5:$B$20000,M$640,INPUT_DELAY!$C$5:$C$20000,"SEMUA")))/60)</f>
        <v/>
      </c>
      <c r="AA653">
        <f>IF(N653=0,0,(60-MIN(60,SUMIFS(INPUT_DELAY!$E$5:$E$20000,INPUT_DELAY!$A$5:$A$20000,Kalkulasi!$B$617,INPUT_DELAY!$B$5:$B$20000,N$640,INPUT_DELAY!$C$5:$C$20000,$A653)+SUMIFS(INPUT_DELAY!$E$5:$E$20000,INPUT_DELAY!$A$5:$A$20000,Kalkulasi!$B$617,INPUT_DELAY!$B$5:$B$20000,N$640,INPUT_DELAY!$C$5:$C$20000,"SEMUA")))/60)</f>
        <v/>
      </c>
      <c r="AB653">
        <f>IF(O653=0,0,(60-MIN(60,SUMIFS(INPUT_DELAY!$E$5:$E$20000,INPUT_DELAY!$A$5:$A$20000,Kalkulasi!$B$617,INPUT_DELAY!$B$5:$B$20000,O$640,INPUT_DELAY!$C$5:$C$20000,$A653)+SUMIFS(INPUT_DELAY!$E$5:$E$20000,INPUT_DELAY!$A$5:$A$20000,Kalkulasi!$B$617,INPUT_DELAY!$B$5:$B$20000,O$640,INPUT_DELAY!$C$5:$C$20000,"SEMUA")))/60)</f>
        <v/>
      </c>
      <c r="AC653">
        <f>SUM(Q653:AB653)</f>
        <v/>
      </c>
      <c r="AD653">
        <f>IF(D653=0,"",IF(Q653&lt;=0,"",D653/Q653))</f>
        <v/>
      </c>
      <c r="AE653">
        <f>IF(E653=0,"",IF(R653&lt;=0,"",E653/R653))</f>
        <v/>
      </c>
      <c r="AF653">
        <f>IF(F653=0,"",IF(S653&lt;=0,"",F653/S653))</f>
        <v/>
      </c>
      <c r="AG653">
        <f>IF(G653=0,"",IF(T653&lt;=0,"",G653/T653))</f>
        <v/>
      </c>
      <c r="AH653">
        <f>IF(H653=0,"",IF(U653&lt;=0,"",H653/U653))</f>
        <v/>
      </c>
      <c r="AI653">
        <f>IF(I653=0,"",IF(V653&lt;=0,"",I653/V653))</f>
        <v/>
      </c>
      <c r="AJ653">
        <f>IF(J653=0,"",IF(W653&lt;=0,"",J653/W653))</f>
        <v/>
      </c>
      <c r="AK653">
        <f>IF(K653=0,"",IF(X653&lt;=0,"",K653/X653))</f>
        <v/>
      </c>
      <c r="AL653">
        <f>IF(L653=0,"",IF(Y653&lt;=0,"",L653/Y653))</f>
        <v/>
      </c>
      <c r="AM653">
        <f>IF(M653=0,"",IF(Z653&lt;=0,"",M653/Z653))</f>
        <v/>
      </c>
      <c r="AN653">
        <f>IF(N653=0,"",IF(AA653&lt;=0,"",N653/AA653))</f>
        <v/>
      </c>
      <c r="AO653">
        <f>IF(O653=0,"",IF(AB653&lt;=0,"",O653/AB653))</f>
        <v/>
      </c>
      <c r="AP653">
        <f>IF(AC653=0,"",P653/AC653)</f>
        <v/>
      </c>
      <c r="AQ653">
        <f>SUMIFS(INPUT_RITASE!$F$5:$F$20000,INPUT_RITASE!$A$5:$A$20000,Kalkulasi!$B$617,INPUT_RITASE!$H$5:$H$20000,Kalkulasi!$B$618,INPUT_RITASE!$C$5:$C$20000,$A653,INPUT_RITASE!$N$5:$N$20000,Kalkulasi!$B$619)</f>
        <v/>
      </c>
      <c r="AR653">
        <f>P653+AQ653/1000+ROW()/1000000</f>
        <v/>
      </c>
      <c r="AT653">
        <f>IF(AND(P653&gt;0,C653&gt;0,ISNUMBER(AP653)),IF(AP653&gt;=C653,1,0),0)</f>
        <v/>
      </c>
    </row>
    <row r="654">
      <c r="A654" t="inlineStr">
        <is>
          <t>EX-221</t>
        </is>
      </c>
      <c r="B654">
        <f>IFERROR(INDEX(MASTER_JAM!$B$5:$B$94,MATCH($A654,MASTER_JAM!$A$5:$A$94,0)),"")</f>
        <v/>
      </c>
      <c r="C654">
        <f>IFERROR(IF(Kalkulasi!$B$619="OB",INDEX(MASTER_JAM!$F$5:$F$94,MATCH($A654,MASTER_JAM!$A$5:$A$94,0)),INDEX(MASTER_JAM!$G$5:$G$94,MATCH($A654,MASTER_JAM!$A$5:$A$94,0)))+0,0)</f>
        <v/>
      </c>
      <c r="D654">
        <f>SUMIFS(INPUT_RITASE!$L$5:$L$20000,INPUT_RITASE!$A$5:$A$20000,Kalkulasi!$B$617,INPUT_RITASE!$B$5:$B$20000,D$640,INPUT_RITASE!$C$5:$C$20000,$A654,INPUT_RITASE!$N$5:$N$20000,Kalkulasi!$B$619)</f>
        <v/>
      </c>
      <c r="E654">
        <f>SUMIFS(INPUT_RITASE!$L$5:$L$20000,INPUT_RITASE!$A$5:$A$20000,Kalkulasi!$B$617,INPUT_RITASE!$B$5:$B$20000,E$640,INPUT_RITASE!$C$5:$C$20000,$A654,INPUT_RITASE!$N$5:$N$20000,Kalkulasi!$B$619)</f>
        <v/>
      </c>
      <c r="F654">
        <f>SUMIFS(INPUT_RITASE!$L$5:$L$20000,INPUT_RITASE!$A$5:$A$20000,Kalkulasi!$B$617,INPUT_RITASE!$B$5:$B$20000,F$640,INPUT_RITASE!$C$5:$C$20000,$A654,INPUT_RITASE!$N$5:$N$20000,Kalkulasi!$B$619)</f>
        <v/>
      </c>
      <c r="G654">
        <f>SUMIFS(INPUT_RITASE!$L$5:$L$20000,INPUT_RITASE!$A$5:$A$20000,Kalkulasi!$B$617,INPUT_RITASE!$B$5:$B$20000,G$640,INPUT_RITASE!$C$5:$C$20000,$A654,INPUT_RITASE!$N$5:$N$20000,Kalkulasi!$B$619)</f>
        <v/>
      </c>
      <c r="H654">
        <f>SUMIFS(INPUT_RITASE!$L$5:$L$20000,INPUT_RITASE!$A$5:$A$20000,Kalkulasi!$B$617,INPUT_RITASE!$B$5:$B$20000,H$640,INPUT_RITASE!$C$5:$C$20000,$A654,INPUT_RITASE!$N$5:$N$20000,Kalkulasi!$B$619)</f>
        <v/>
      </c>
      <c r="I654">
        <f>SUMIFS(INPUT_RITASE!$L$5:$L$20000,INPUT_RITASE!$A$5:$A$20000,Kalkulasi!$B$617,INPUT_RITASE!$B$5:$B$20000,I$640,INPUT_RITASE!$C$5:$C$20000,$A654,INPUT_RITASE!$N$5:$N$20000,Kalkulasi!$B$619)</f>
        <v/>
      </c>
      <c r="J654">
        <f>SUMIFS(INPUT_RITASE!$L$5:$L$20000,INPUT_RITASE!$A$5:$A$20000,Kalkulasi!$B$617,INPUT_RITASE!$B$5:$B$20000,J$640,INPUT_RITASE!$C$5:$C$20000,$A654,INPUT_RITASE!$N$5:$N$20000,Kalkulasi!$B$619)</f>
        <v/>
      </c>
      <c r="K654">
        <f>SUMIFS(INPUT_RITASE!$L$5:$L$20000,INPUT_RITASE!$A$5:$A$20000,Kalkulasi!$B$617,INPUT_RITASE!$B$5:$B$20000,K$640,INPUT_RITASE!$C$5:$C$20000,$A654,INPUT_RITASE!$N$5:$N$20000,Kalkulasi!$B$619)</f>
        <v/>
      </c>
      <c r="L654">
        <f>SUMIFS(INPUT_RITASE!$L$5:$L$20000,INPUT_RITASE!$A$5:$A$20000,Kalkulasi!$B$617,INPUT_RITASE!$B$5:$B$20000,L$640,INPUT_RITASE!$C$5:$C$20000,$A654,INPUT_RITASE!$N$5:$N$20000,Kalkulasi!$B$619)</f>
        <v/>
      </c>
      <c r="M654">
        <f>SUMIFS(INPUT_RITASE!$L$5:$L$20000,INPUT_RITASE!$A$5:$A$20000,Kalkulasi!$B$617,INPUT_RITASE!$B$5:$B$20000,M$640,INPUT_RITASE!$C$5:$C$20000,$A654,INPUT_RITASE!$N$5:$N$20000,Kalkulasi!$B$619)</f>
        <v/>
      </c>
      <c r="N654">
        <f>SUMIFS(INPUT_RITASE!$L$5:$L$20000,INPUT_RITASE!$A$5:$A$20000,Kalkulasi!$B$617,INPUT_RITASE!$B$5:$B$20000,N$640,INPUT_RITASE!$C$5:$C$20000,$A654,INPUT_RITASE!$N$5:$N$20000,Kalkulasi!$B$619)</f>
        <v/>
      </c>
      <c r="O654">
        <f>SUMIFS(INPUT_RITASE!$L$5:$L$20000,INPUT_RITASE!$A$5:$A$20000,Kalkulasi!$B$617,INPUT_RITASE!$B$5:$B$20000,O$640,INPUT_RITASE!$C$5:$C$20000,$A654,INPUT_RITASE!$N$5:$N$20000,Kalkulasi!$B$619)</f>
        <v/>
      </c>
      <c r="P654">
        <f>SUM(D654:O654)</f>
        <v/>
      </c>
      <c r="Q654">
        <f>IF(D654=0,0,(60-MIN(60,SUMIFS(INPUT_DELAY!$E$5:$E$20000,INPUT_DELAY!$A$5:$A$20000,Kalkulasi!$B$617,INPUT_DELAY!$B$5:$B$20000,D$640,INPUT_DELAY!$C$5:$C$20000,$A654)+SUMIFS(INPUT_DELAY!$E$5:$E$20000,INPUT_DELAY!$A$5:$A$20000,Kalkulasi!$B$617,INPUT_DELAY!$B$5:$B$20000,D$640,INPUT_DELAY!$C$5:$C$20000,"SEMUA")))/60)</f>
        <v/>
      </c>
      <c r="R654">
        <f>IF(E654=0,0,(60-MIN(60,SUMIFS(INPUT_DELAY!$E$5:$E$20000,INPUT_DELAY!$A$5:$A$20000,Kalkulasi!$B$617,INPUT_DELAY!$B$5:$B$20000,E$640,INPUT_DELAY!$C$5:$C$20000,$A654)+SUMIFS(INPUT_DELAY!$E$5:$E$20000,INPUT_DELAY!$A$5:$A$20000,Kalkulasi!$B$617,INPUT_DELAY!$B$5:$B$20000,E$640,INPUT_DELAY!$C$5:$C$20000,"SEMUA")))/60)</f>
        <v/>
      </c>
      <c r="S654">
        <f>IF(F654=0,0,(60-MIN(60,SUMIFS(INPUT_DELAY!$E$5:$E$20000,INPUT_DELAY!$A$5:$A$20000,Kalkulasi!$B$617,INPUT_DELAY!$B$5:$B$20000,F$640,INPUT_DELAY!$C$5:$C$20000,$A654)+SUMIFS(INPUT_DELAY!$E$5:$E$20000,INPUT_DELAY!$A$5:$A$20000,Kalkulasi!$B$617,INPUT_DELAY!$B$5:$B$20000,F$640,INPUT_DELAY!$C$5:$C$20000,"SEMUA")))/60)</f>
        <v/>
      </c>
      <c r="T654">
        <f>IF(G654=0,0,(60-MIN(60,SUMIFS(INPUT_DELAY!$E$5:$E$20000,INPUT_DELAY!$A$5:$A$20000,Kalkulasi!$B$617,INPUT_DELAY!$B$5:$B$20000,G$640,INPUT_DELAY!$C$5:$C$20000,$A654)+SUMIFS(INPUT_DELAY!$E$5:$E$20000,INPUT_DELAY!$A$5:$A$20000,Kalkulasi!$B$617,INPUT_DELAY!$B$5:$B$20000,G$640,INPUT_DELAY!$C$5:$C$20000,"SEMUA")))/60)</f>
        <v/>
      </c>
      <c r="U654">
        <f>IF(H654=0,0,(60-MIN(60,SUMIFS(INPUT_DELAY!$E$5:$E$20000,INPUT_DELAY!$A$5:$A$20000,Kalkulasi!$B$617,INPUT_DELAY!$B$5:$B$20000,H$640,INPUT_DELAY!$C$5:$C$20000,$A654)+SUMIFS(INPUT_DELAY!$E$5:$E$20000,INPUT_DELAY!$A$5:$A$20000,Kalkulasi!$B$617,INPUT_DELAY!$B$5:$B$20000,H$640,INPUT_DELAY!$C$5:$C$20000,"SEMUA")))/60)</f>
        <v/>
      </c>
      <c r="V654">
        <f>IF(I654=0,0,(60-MIN(60,SUMIFS(INPUT_DELAY!$E$5:$E$20000,INPUT_DELAY!$A$5:$A$20000,Kalkulasi!$B$617,INPUT_DELAY!$B$5:$B$20000,I$640,INPUT_DELAY!$C$5:$C$20000,$A654)+SUMIFS(INPUT_DELAY!$E$5:$E$20000,INPUT_DELAY!$A$5:$A$20000,Kalkulasi!$B$617,INPUT_DELAY!$B$5:$B$20000,I$640,INPUT_DELAY!$C$5:$C$20000,"SEMUA")))/60)</f>
        <v/>
      </c>
      <c r="W654">
        <f>IF(J654=0,0,(60-MIN(60,SUMIFS(INPUT_DELAY!$E$5:$E$20000,INPUT_DELAY!$A$5:$A$20000,Kalkulasi!$B$617,INPUT_DELAY!$B$5:$B$20000,J$640,INPUT_DELAY!$C$5:$C$20000,$A654)+SUMIFS(INPUT_DELAY!$E$5:$E$20000,INPUT_DELAY!$A$5:$A$20000,Kalkulasi!$B$617,INPUT_DELAY!$B$5:$B$20000,J$640,INPUT_DELAY!$C$5:$C$20000,"SEMUA")))/60)</f>
        <v/>
      </c>
      <c r="X654">
        <f>IF(K654=0,0,(60-MIN(60,SUMIFS(INPUT_DELAY!$E$5:$E$20000,INPUT_DELAY!$A$5:$A$20000,Kalkulasi!$B$617,INPUT_DELAY!$B$5:$B$20000,K$640,INPUT_DELAY!$C$5:$C$20000,$A654)+SUMIFS(INPUT_DELAY!$E$5:$E$20000,INPUT_DELAY!$A$5:$A$20000,Kalkulasi!$B$617,INPUT_DELAY!$B$5:$B$20000,K$640,INPUT_DELAY!$C$5:$C$20000,"SEMUA")))/60)</f>
        <v/>
      </c>
      <c r="Y654">
        <f>IF(L654=0,0,(60-MIN(60,SUMIFS(INPUT_DELAY!$E$5:$E$20000,INPUT_DELAY!$A$5:$A$20000,Kalkulasi!$B$617,INPUT_DELAY!$B$5:$B$20000,L$640,INPUT_DELAY!$C$5:$C$20000,$A654)+SUMIFS(INPUT_DELAY!$E$5:$E$20000,INPUT_DELAY!$A$5:$A$20000,Kalkulasi!$B$617,INPUT_DELAY!$B$5:$B$20000,L$640,INPUT_DELAY!$C$5:$C$20000,"SEMUA")))/60)</f>
        <v/>
      </c>
      <c r="Z654">
        <f>IF(M654=0,0,(60-MIN(60,SUMIFS(INPUT_DELAY!$E$5:$E$20000,INPUT_DELAY!$A$5:$A$20000,Kalkulasi!$B$617,INPUT_DELAY!$B$5:$B$20000,M$640,INPUT_DELAY!$C$5:$C$20000,$A654)+SUMIFS(INPUT_DELAY!$E$5:$E$20000,INPUT_DELAY!$A$5:$A$20000,Kalkulasi!$B$617,INPUT_DELAY!$B$5:$B$20000,M$640,INPUT_DELAY!$C$5:$C$20000,"SEMUA")))/60)</f>
        <v/>
      </c>
      <c r="AA654">
        <f>IF(N654=0,0,(60-MIN(60,SUMIFS(INPUT_DELAY!$E$5:$E$20000,INPUT_DELAY!$A$5:$A$20000,Kalkulasi!$B$617,INPUT_DELAY!$B$5:$B$20000,N$640,INPUT_DELAY!$C$5:$C$20000,$A654)+SUMIFS(INPUT_DELAY!$E$5:$E$20000,INPUT_DELAY!$A$5:$A$20000,Kalkulasi!$B$617,INPUT_DELAY!$B$5:$B$20000,N$640,INPUT_DELAY!$C$5:$C$20000,"SEMUA")))/60)</f>
        <v/>
      </c>
      <c r="AB654">
        <f>IF(O654=0,0,(60-MIN(60,SUMIFS(INPUT_DELAY!$E$5:$E$20000,INPUT_DELAY!$A$5:$A$20000,Kalkulasi!$B$617,INPUT_DELAY!$B$5:$B$20000,O$640,INPUT_DELAY!$C$5:$C$20000,$A654)+SUMIFS(INPUT_DELAY!$E$5:$E$20000,INPUT_DELAY!$A$5:$A$20000,Kalkulasi!$B$617,INPUT_DELAY!$B$5:$B$20000,O$640,INPUT_DELAY!$C$5:$C$20000,"SEMUA")))/60)</f>
        <v/>
      </c>
      <c r="AC654">
        <f>SUM(Q654:AB654)</f>
        <v/>
      </c>
      <c r="AD654">
        <f>IF(D654=0,"",IF(Q654&lt;=0,"",D654/Q654))</f>
        <v/>
      </c>
      <c r="AE654">
        <f>IF(E654=0,"",IF(R654&lt;=0,"",E654/R654))</f>
        <v/>
      </c>
      <c r="AF654">
        <f>IF(F654=0,"",IF(S654&lt;=0,"",F654/S654))</f>
        <v/>
      </c>
      <c r="AG654">
        <f>IF(G654=0,"",IF(T654&lt;=0,"",G654/T654))</f>
        <v/>
      </c>
      <c r="AH654">
        <f>IF(H654=0,"",IF(U654&lt;=0,"",H654/U654))</f>
        <v/>
      </c>
      <c r="AI654">
        <f>IF(I654=0,"",IF(V654&lt;=0,"",I654/V654))</f>
        <v/>
      </c>
      <c r="AJ654">
        <f>IF(J654=0,"",IF(W654&lt;=0,"",J654/W654))</f>
        <v/>
      </c>
      <c r="AK654">
        <f>IF(K654=0,"",IF(X654&lt;=0,"",K654/X654))</f>
        <v/>
      </c>
      <c r="AL654">
        <f>IF(L654=0,"",IF(Y654&lt;=0,"",L654/Y654))</f>
        <v/>
      </c>
      <c r="AM654">
        <f>IF(M654=0,"",IF(Z654&lt;=0,"",M654/Z654))</f>
        <v/>
      </c>
      <c r="AN654">
        <f>IF(N654=0,"",IF(AA654&lt;=0,"",N654/AA654))</f>
        <v/>
      </c>
      <c r="AO654">
        <f>IF(O654=0,"",IF(AB654&lt;=0,"",O654/AB654))</f>
        <v/>
      </c>
      <c r="AP654">
        <f>IF(AC654=0,"",P654/AC654)</f>
        <v/>
      </c>
      <c r="AQ654">
        <f>SUMIFS(INPUT_RITASE!$F$5:$F$20000,INPUT_RITASE!$A$5:$A$20000,Kalkulasi!$B$617,INPUT_RITASE!$H$5:$H$20000,Kalkulasi!$B$618,INPUT_RITASE!$C$5:$C$20000,$A654,INPUT_RITASE!$N$5:$N$20000,Kalkulasi!$B$619)</f>
        <v/>
      </c>
      <c r="AR654">
        <f>P654+AQ654/1000+ROW()/1000000</f>
        <v/>
      </c>
      <c r="AT654">
        <f>IF(AND(P654&gt;0,C654&gt;0,ISNUMBER(AP654)),IF(AP654&gt;=C654,1,0),0)</f>
        <v/>
      </c>
    </row>
    <row r="655">
      <c r="A655" t="inlineStr">
        <is>
          <t>EX-225</t>
        </is>
      </c>
      <c r="B655">
        <f>IFERROR(INDEX(MASTER_JAM!$B$5:$B$94,MATCH($A655,MASTER_JAM!$A$5:$A$94,0)),"")</f>
        <v/>
      </c>
      <c r="C655">
        <f>IFERROR(IF(Kalkulasi!$B$619="OB",INDEX(MASTER_JAM!$F$5:$F$94,MATCH($A655,MASTER_JAM!$A$5:$A$94,0)),INDEX(MASTER_JAM!$G$5:$G$94,MATCH($A655,MASTER_JAM!$A$5:$A$94,0)))+0,0)</f>
        <v/>
      </c>
      <c r="D655">
        <f>SUMIFS(INPUT_RITASE!$L$5:$L$20000,INPUT_RITASE!$A$5:$A$20000,Kalkulasi!$B$617,INPUT_RITASE!$B$5:$B$20000,D$640,INPUT_RITASE!$C$5:$C$20000,$A655,INPUT_RITASE!$N$5:$N$20000,Kalkulasi!$B$619)</f>
        <v/>
      </c>
      <c r="E655">
        <f>SUMIFS(INPUT_RITASE!$L$5:$L$20000,INPUT_RITASE!$A$5:$A$20000,Kalkulasi!$B$617,INPUT_RITASE!$B$5:$B$20000,E$640,INPUT_RITASE!$C$5:$C$20000,$A655,INPUT_RITASE!$N$5:$N$20000,Kalkulasi!$B$619)</f>
        <v/>
      </c>
      <c r="F655">
        <f>SUMIFS(INPUT_RITASE!$L$5:$L$20000,INPUT_RITASE!$A$5:$A$20000,Kalkulasi!$B$617,INPUT_RITASE!$B$5:$B$20000,F$640,INPUT_RITASE!$C$5:$C$20000,$A655,INPUT_RITASE!$N$5:$N$20000,Kalkulasi!$B$619)</f>
        <v/>
      </c>
      <c r="G655">
        <f>SUMIFS(INPUT_RITASE!$L$5:$L$20000,INPUT_RITASE!$A$5:$A$20000,Kalkulasi!$B$617,INPUT_RITASE!$B$5:$B$20000,G$640,INPUT_RITASE!$C$5:$C$20000,$A655,INPUT_RITASE!$N$5:$N$20000,Kalkulasi!$B$619)</f>
        <v/>
      </c>
      <c r="H655">
        <f>SUMIFS(INPUT_RITASE!$L$5:$L$20000,INPUT_RITASE!$A$5:$A$20000,Kalkulasi!$B$617,INPUT_RITASE!$B$5:$B$20000,H$640,INPUT_RITASE!$C$5:$C$20000,$A655,INPUT_RITASE!$N$5:$N$20000,Kalkulasi!$B$619)</f>
        <v/>
      </c>
      <c r="I655">
        <f>SUMIFS(INPUT_RITASE!$L$5:$L$20000,INPUT_RITASE!$A$5:$A$20000,Kalkulasi!$B$617,INPUT_RITASE!$B$5:$B$20000,I$640,INPUT_RITASE!$C$5:$C$20000,$A655,INPUT_RITASE!$N$5:$N$20000,Kalkulasi!$B$619)</f>
        <v/>
      </c>
      <c r="J655">
        <f>SUMIFS(INPUT_RITASE!$L$5:$L$20000,INPUT_RITASE!$A$5:$A$20000,Kalkulasi!$B$617,INPUT_RITASE!$B$5:$B$20000,J$640,INPUT_RITASE!$C$5:$C$20000,$A655,INPUT_RITASE!$N$5:$N$20000,Kalkulasi!$B$619)</f>
        <v/>
      </c>
      <c r="K655">
        <f>SUMIFS(INPUT_RITASE!$L$5:$L$20000,INPUT_RITASE!$A$5:$A$20000,Kalkulasi!$B$617,INPUT_RITASE!$B$5:$B$20000,K$640,INPUT_RITASE!$C$5:$C$20000,$A655,INPUT_RITASE!$N$5:$N$20000,Kalkulasi!$B$619)</f>
        <v/>
      </c>
      <c r="L655">
        <f>SUMIFS(INPUT_RITASE!$L$5:$L$20000,INPUT_RITASE!$A$5:$A$20000,Kalkulasi!$B$617,INPUT_RITASE!$B$5:$B$20000,L$640,INPUT_RITASE!$C$5:$C$20000,$A655,INPUT_RITASE!$N$5:$N$20000,Kalkulasi!$B$619)</f>
        <v/>
      </c>
      <c r="M655">
        <f>SUMIFS(INPUT_RITASE!$L$5:$L$20000,INPUT_RITASE!$A$5:$A$20000,Kalkulasi!$B$617,INPUT_RITASE!$B$5:$B$20000,M$640,INPUT_RITASE!$C$5:$C$20000,$A655,INPUT_RITASE!$N$5:$N$20000,Kalkulasi!$B$619)</f>
        <v/>
      </c>
      <c r="N655">
        <f>SUMIFS(INPUT_RITASE!$L$5:$L$20000,INPUT_RITASE!$A$5:$A$20000,Kalkulasi!$B$617,INPUT_RITASE!$B$5:$B$20000,N$640,INPUT_RITASE!$C$5:$C$20000,$A655,INPUT_RITASE!$N$5:$N$20000,Kalkulasi!$B$619)</f>
        <v/>
      </c>
      <c r="O655">
        <f>SUMIFS(INPUT_RITASE!$L$5:$L$20000,INPUT_RITASE!$A$5:$A$20000,Kalkulasi!$B$617,INPUT_RITASE!$B$5:$B$20000,O$640,INPUT_RITASE!$C$5:$C$20000,$A655,INPUT_RITASE!$N$5:$N$20000,Kalkulasi!$B$619)</f>
        <v/>
      </c>
      <c r="P655">
        <f>SUM(D655:O655)</f>
        <v/>
      </c>
      <c r="Q655">
        <f>IF(D655=0,0,(60-MIN(60,SUMIFS(INPUT_DELAY!$E$5:$E$20000,INPUT_DELAY!$A$5:$A$20000,Kalkulasi!$B$617,INPUT_DELAY!$B$5:$B$20000,D$640,INPUT_DELAY!$C$5:$C$20000,$A655)+SUMIFS(INPUT_DELAY!$E$5:$E$20000,INPUT_DELAY!$A$5:$A$20000,Kalkulasi!$B$617,INPUT_DELAY!$B$5:$B$20000,D$640,INPUT_DELAY!$C$5:$C$20000,"SEMUA")))/60)</f>
        <v/>
      </c>
      <c r="R655">
        <f>IF(E655=0,0,(60-MIN(60,SUMIFS(INPUT_DELAY!$E$5:$E$20000,INPUT_DELAY!$A$5:$A$20000,Kalkulasi!$B$617,INPUT_DELAY!$B$5:$B$20000,E$640,INPUT_DELAY!$C$5:$C$20000,$A655)+SUMIFS(INPUT_DELAY!$E$5:$E$20000,INPUT_DELAY!$A$5:$A$20000,Kalkulasi!$B$617,INPUT_DELAY!$B$5:$B$20000,E$640,INPUT_DELAY!$C$5:$C$20000,"SEMUA")))/60)</f>
        <v/>
      </c>
      <c r="S655">
        <f>IF(F655=0,0,(60-MIN(60,SUMIFS(INPUT_DELAY!$E$5:$E$20000,INPUT_DELAY!$A$5:$A$20000,Kalkulasi!$B$617,INPUT_DELAY!$B$5:$B$20000,F$640,INPUT_DELAY!$C$5:$C$20000,$A655)+SUMIFS(INPUT_DELAY!$E$5:$E$20000,INPUT_DELAY!$A$5:$A$20000,Kalkulasi!$B$617,INPUT_DELAY!$B$5:$B$20000,F$640,INPUT_DELAY!$C$5:$C$20000,"SEMUA")))/60)</f>
        <v/>
      </c>
      <c r="T655">
        <f>IF(G655=0,0,(60-MIN(60,SUMIFS(INPUT_DELAY!$E$5:$E$20000,INPUT_DELAY!$A$5:$A$20000,Kalkulasi!$B$617,INPUT_DELAY!$B$5:$B$20000,G$640,INPUT_DELAY!$C$5:$C$20000,$A655)+SUMIFS(INPUT_DELAY!$E$5:$E$20000,INPUT_DELAY!$A$5:$A$20000,Kalkulasi!$B$617,INPUT_DELAY!$B$5:$B$20000,G$640,INPUT_DELAY!$C$5:$C$20000,"SEMUA")))/60)</f>
        <v/>
      </c>
      <c r="U655">
        <f>IF(H655=0,0,(60-MIN(60,SUMIFS(INPUT_DELAY!$E$5:$E$20000,INPUT_DELAY!$A$5:$A$20000,Kalkulasi!$B$617,INPUT_DELAY!$B$5:$B$20000,H$640,INPUT_DELAY!$C$5:$C$20000,$A655)+SUMIFS(INPUT_DELAY!$E$5:$E$20000,INPUT_DELAY!$A$5:$A$20000,Kalkulasi!$B$617,INPUT_DELAY!$B$5:$B$20000,H$640,INPUT_DELAY!$C$5:$C$20000,"SEMUA")))/60)</f>
        <v/>
      </c>
      <c r="V655">
        <f>IF(I655=0,0,(60-MIN(60,SUMIFS(INPUT_DELAY!$E$5:$E$20000,INPUT_DELAY!$A$5:$A$20000,Kalkulasi!$B$617,INPUT_DELAY!$B$5:$B$20000,I$640,INPUT_DELAY!$C$5:$C$20000,$A655)+SUMIFS(INPUT_DELAY!$E$5:$E$20000,INPUT_DELAY!$A$5:$A$20000,Kalkulasi!$B$617,INPUT_DELAY!$B$5:$B$20000,I$640,INPUT_DELAY!$C$5:$C$20000,"SEMUA")))/60)</f>
        <v/>
      </c>
      <c r="W655">
        <f>IF(J655=0,0,(60-MIN(60,SUMIFS(INPUT_DELAY!$E$5:$E$20000,INPUT_DELAY!$A$5:$A$20000,Kalkulasi!$B$617,INPUT_DELAY!$B$5:$B$20000,J$640,INPUT_DELAY!$C$5:$C$20000,$A655)+SUMIFS(INPUT_DELAY!$E$5:$E$20000,INPUT_DELAY!$A$5:$A$20000,Kalkulasi!$B$617,INPUT_DELAY!$B$5:$B$20000,J$640,INPUT_DELAY!$C$5:$C$20000,"SEMUA")))/60)</f>
        <v/>
      </c>
      <c r="X655">
        <f>IF(K655=0,0,(60-MIN(60,SUMIFS(INPUT_DELAY!$E$5:$E$20000,INPUT_DELAY!$A$5:$A$20000,Kalkulasi!$B$617,INPUT_DELAY!$B$5:$B$20000,K$640,INPUT_DELAY!$C$5:$C$20000,$A655)+SUMIFS(INPUT_DELAY!$E$5:$E$20000,INPUT_DELAY!$A$5:$A$20000,Kalkulasi!$B$617,INPUT_DELAY!$B$5:$B$20000,K$640,INPUT_DELAY!$C$5:$C$20000,"SEMUA")))/60)</f>
        <v/>
      </c>
      <c r="Y655">
        <f>IF(L655=0,0,(60-MIN(60,SUMIFS(INPUT_DELAY!$E$5:$E$20000,INPUT_DELAY!$A$5:$A$20000,Kalkulasi!$B$617,INPUT_DELAY!$B$5:$B$20000,L$640,INPUT_DELAY!$C$5:$C$20000,$A655)+SUMIFS(INPUT_DELAY!$E$5:$E$20000,INPUT_DELAY!$A$5:$A$20000,Kalkulasi!$B$617,INPUT_DELAY!$B$5:$B$20000,L$640,INPUT_DELAY!$C$5:$C$20000,"SEMUA")))/60)</f>
        <v/>
      </c>
      <c r="Z655">
        <f>IF(M655=0,0,(60-MIN(60,SUMIFS(INPUT_DELAY!$E$5:$E$20000,INPUT_DELAY!$A$5:$A$20000,Kalkulasi!$B$617,INPUT_DELAY!$B$5:$B$20000,M$640,INPUT_DELAY!$C$5:$C$20000,$A655)+SUMIFS(INPUT_DELAY!$E$5:$E$20000,INPUT_DELAY!$A$5:$A$20000,Kalkulasi!$B$617,INPUT_DELAY!$B$5:$B$20000,M$640,INPUT_DELAY!$C$5:$C$20000,"SEMUA")))/60)</f>
        <v/>
      </c>
      <c r="AA655">
        <f>IF(N655=0,0,(60-MIN(60,SUMIFS(INPUT_DELAY!$E$5:$E$20000,INPUT_DELAY!$A$5:$A$20000,Kalkulasi!$B$617,INPUT_DELAY!$B$5:$B$20000,N$640,INPUT_DELAY!$C$5:$C$20000,$A655)+SUMIFS(INPUT_DELAY!$E$5:$E$20000,INPUT_DELAY!$A$5:$A$20000,Kalkulasi!$B$617,INPUT_DELAY!$B$5:$B$20000,N$640,INPUT_DELAY!$C$5:$C$20000,"SEMUA")))/60)</f>
        <v/>
      </c>
      <c r="AB655">
        <f>IF(O655=0,0,(60-MIN(60,SUMIFS(INPUT_DELAY!$E$5:$E$20000,INPUT_DELAY!$A$5:$A$20000,Kalkulasi!$B$617,INPUT_DELAY!$B$5:$B$20000,O$640,INPUT_DELAY!$C$5:$C$20000,$A655)+SUMIFS(INPUT_DELAY!$E$5:$E$20000,INPUT_DELAY!$A$5:$A$20000,Kalkulasi!$B$617,INPUT_DELAY!$B$5:$B$20000,O$640,INPUT_DELAY!$C$5:$C$20000,"SEMUA")))/60)</f>
        <v/>
      </c>
      <c r="AC655">
        <f>SUM(Q655:AB655)</f>
        <v/>
      </c>
      <c r="AD655">
        <f>IF(D655=0,"",IF(Q655&lt;=0,"",D655/Q655))</f>
        <v/>
      </c>
      <c r="AE655">
        <f>IF(E655=0,"",IF(R655&lt;=0,"",E655/R655))</f>
        <v/>
      </c>
      <c r="AF655">
        <f>IF(F655=0,"",IF(S655&lt;=0,"",F655/S655))</f>
        <v/>
      </c>
      <c r="AG655">
        <f>IF(G655=0,"",IF(T655&lt;=0,"",G655/T655))</f>
        <v/>
      </c>
      <c r="AH655">
        <f>IF(H655=0,"",IF(U655&lt;=0,"",H655/U655))</f>
        <v/>
      </c>
      <c r="AI655">
        <f>IF(I655=0,"",IF(V655&lt;=0,"",I655/V655))</f>
        <v/>
      </c>
      <c r="AJ655">
        <f>IF(J655=0,"",IF(W655&lt;=0,"",J655/W655))</f>
        <v/>
      </c>
      <c r="AK655">
        <f>IF(K655=0,"",IF(X655&lt;=0,"",K655/X655))</f>
        <v/>
      </c>
      <c r="AL655">
        <f>IF(L655=0,"",IF(Y655&lt;=0,"",L655/Y655))</f>
        <v/>
      </c>
      <c r="AM655">
        <f>IF(M655=0,"",IF(Z655&lt;=0,"",M655/Z655))</f>
        <v/>
      </c>
      <c r="AN655">
        <f>IF(N655=0,"",IF(AA655&lt;=0,"",N655/AA655))</f>
        <v/>
      </c>
      <c r="AO655">
        <f>IF(O655=0,"",IF(AB655&lt;=0,"",O655/AB655))</f>
        <v/>
      </c>
      <c r="AP655">
        <f>IF(AC655=0,"",P655/AC655)</f>
        <v/>
      </c>
      <c r="AQ655">
        <f>SUMIFS(INPUT_RITASE!$F$5:$F$20000,INPUT_RITASE!$A$5:$A$20000,Kalkulasi!$B$617,INPUT_RITASE!$H$5:$H$20000,Kalkulasi!$B$618,INPUT_RITASE!$C$5:$C$20000,$A655,INPUT_RITASE!$N$5:$N$20000,Kalkulasi!$B$619)</f>
        <v/>
      </c>
      <c r="AR655">
        <f>P655+AQ655/1000+ROW()/1000000</f>
        <v/>
      </c>
      <c r="AT655">
        <f>IF(AND(P655&gt;0,C655&gt;0,ISNUMBER(AP655)),IF(AP655&gt;=C655,1,0),0)</f>
        <v/>
      </c>
    </row>
    <row r="656">
      <c r="A656" t="inlineStr">
        <is>
          <t>EX-331</t>
        </is>
      </c>
      <c r="B656">
        <f>IFERROR(INDEX(MASTER_JAM!$B$5:$B$94,MATCH($A656,MASTER_JAM!$A$5:$A$94,0)),"")</f>
        <v/>
      </c>
      <c r="C656">
        <f>IFERROR(IF(Kalkulasi!$B$619="OB",INDEX(MASTER_JAM!$F$5:$F$94,MATCH($A656,MASTER_JAM!$A$5:$A$94,0)),INDEX(MASTER_JAM!$G$5:$G$94,MATCH($A656,MASTER_JAM!$A$5:$A$94,0)))+0,0)</f>
        <v/>
      </c>
      <c r="D656">
        <f>SUMIFS(INPUT_RITASE!$L$5:$L$20000,INPUT_RITASE!$A$5:$A$20000,Kalkulasi!$B$617,INPUT_RITASE!$B$5:$B$20000,D$640,INPUT_RITASE!$C$5:$C$20000,$A656,INPUT_RITASE!$N$5:$N$20000,Kalkulasi!$B$619)</f>
        <v/>
      </c>
      <c r="E656">
        <f>SUMIFS(INPUT_RITASE!$L$5:$L$20000,INPUT_RITASE!$A$5:$A$20000,Kalkulasi!$B$617,INPUT_RITASE!$B$5:$B$20000,E$640,INPUT_RITASE!$C$5:$C$20000,$A656,INPUT_RITASE!$N$5:$N$20000,Kalkulasi!$B$619)</f>
        <v/>
      </c>
      <c r="F656">
        <f>SUMIFS(INPUT_RITASE!$L$5:$L$20000,INPUT_RITASE!$A$5:$A$20000,Kalkulasi!$B$617,INPUT_RITASE!$B$5:$B$20000,F$640,INPUT_RITASE!$C$5:$C$20000,$A656,INPUT_RITASE!$N$5:$N$20000,Kalkulasi!$B$619)</f>
        <v/>
      </c>
      <c r="G656">
        <f>SUMIFS(INPUT_RITASE!$L$5:$L$20000,INPUT_RITASE!$A$5:$A$20000,Kalkulasi!$B$617,INPUT_RITASE!$B$5:$B$20000,G$640,INPUT_RITASE!$C$5:$C$20000,$A656,INPUT_RITASE!$N$5:$N$20000,Kalkulasi!$B$619)</f>
        <v/>
      </c>
      <c r="H656">
        <f>SUMIFS(INPUT_RITASE!$L$5:$L$20000,INPUT_RITASE!$A$5:$A$20000,Kalkulasi!$B$617,INPUT_RITASE!$B$5:$B$20000,H$640,INPUT_RITASE!$C$5:$C$20000,$A656,INPUT_RITASE!$N$5:$N$20000,Kalkulasi!$B$619)</f>
        <v/>
      </c>
      <c r="I656">
        <f>SUMIFS(INPUT_RITASE!$L$5:$L$20000,INPUT_RITASE!$A$5:$A$20000,Kalkulasi!$B$617,INPUT_RITASE!$B$5:$B$20000,I$640,INPUT_RITASE!$C$5:$C$20000,$A656,INPUT_RITASE!$N$5:$N$20000,Kalkulasi!$B$619)</f>
        <v/>
      </c>
      <c r="J656">
        <f>SUMIFS(INPUT_RITASE!$L$5:$L$20000,INPUT_RITASE!$A$5:$A$20000,Kalkulasi!$B$617,INPUT_RITASE!$B$5:$B$20000,J$640,INPUT_RITASE!$C$5:$C$20000,$A656,INPUT_RITASE!$N$5:$N$20000,Kalkulasi!$B$619)</f>
        <v/>
      </c>
      <c r="K656">
        <f>SUMIFS(INPUT_RITASE!$L$5:$L$20000,INPUT_RITASE!$A$5:$A$20000,Kalkulasi!$B$617,INPUT_RITASE!$B$5:$B$20000,K$640,INPUT_RITASE!$C$5:$C$20000,$A656,INPUT_RITASE!$N$5:$N$20000,Kalkulasi!$B$619)</f>
        <v/>
      </c>
      <c r="L656">
        <f>SUMIFS(INPUT_RITASE!$L$5:$L$20000,INPUT_RITASE!$A$5:$A$20000,Kalkulasi!$B$617,INPUT_RITASE!$B$5:$B$20000,L$640,INPUT_RITASE!$C$5:$C$20000,$A656,INPUT_RITASE!$N$5:$N$20000,Kalkulasi!$B$619)</f>
        <v/>
      </c>
      <c r="M656">
        <f>SUMIFS(INPUT_RITASE!$L$5:$L$20000,INPUT_RITASE!$A$5:$A$20000,Kalkulasi!$B$617,INPUT_RITASE!$B$5:$B$20000,M$640,INPUT_RITASE!$C$5:$C$20000,$A656,INPUT_RITASE!$N$5:$N$20000,Kalkulasi!$B$619)</f>
        <v/>
      </c>
      <c r="N656">
        <f>SUMIFS(INPUT_RITASE!$L$5:$L$20000,INPUT_RITASE!$A$5:$A$20000,Kalkulasi!$B$617,INPUT_RITASE!$B$5:$B$20000,N$640,INPUT_RITASE!$C$5:$C$20000,$A656,INPUT_RITASE!$N$5:$N$20000,Kalkulasi!$B$619)</f>
        <v/>
      </c>
      <c r="O656">
        <f>SUMIFS(INPUT_RITASE!$L$5:$L$20000,INPUT_RITASE!$A$5:$A$20000,Kalkulasi!$B$617,INPUT_RITASE!$B$5:$B$20000,O$640,INPUT_RITASE!$C$5:$C$20000,$A656,INPUT_RITASE!$N$5:$N$20000,Kalkulasi!$B$619)</f>
        <v/>
      </c>
      <c r="P656">
        <f>SUM(D656:O656)</f>
        <v/>
      </c>
      <c r="Q656">
        <f>IF(D656=0,0,(60-MIN(60,SUMIFS(INPUT_DELAY!$E$5:$E$20000,INPUT_DELAY!$A$5:$A$20000,Kalkulasi!$B$617,INPUT_DELAY!$B$5:$B$20000,D$640,INPUT_DELAY!$C$5:$C$20000,$A656)+SUMIFS(INPUT_DELAY!$E$5:$E$20000,INPUT_DELAY!$A$5:$A$20000,Kalkulasi!$B$617,INPUT_DELAY!$B$5:$B$20000,D$640,INPUT_DELAY!$C$5:$C$20000,"SEMUA")))/60)</f>
        <v/>
      </c>
      <c r="R656">
        <f>IF(E656=0,0,(60-MIN(60,SUMIFS(INPUT_DELAY!$E$5:$E$20000,INPUT_DELAY!$A$5:$A$20000,Kalkulasi!$B$617,INPUT_DELAY!$B$5:$B$20000,E$640,INPUT_DELAY!$C$5:$C$20000,$A656)+SUMIFS(INPUT_DELAY!$E$5:$E$20000,INPUT_DELAY!$A$5:$A$20000,Kalkulasi!$B$617,INPUT_DELAY!$B$5:$B$20000,E$640,INPUT_DELAY!$C$5:$C$20000,"SEMUA")))/60)</f>
        <v/>
      </c>
      <c r="S656">
        <f>IF(F656=0,0,(60-MIN(60,SUMIFS(INPUT_DELAY!$E$5:$E$20000,INPUT_DELAY!$A$5:$A$20000,Kalkulasi!$B$617,INPUT_DELAY!$B$5:$B$20000,F$640,INPUT_DELAY!$C$5:$C$20000,$A656)+SUMIFS(INPUT_DELAY!$E$5:$E$20000,INPUT_DELAY!$A$5:$A$20000,Kalkulasi!$B$617,INPUT_DELAY!$B$5:$B$20000,F$640,INPUT_DELAY!$C$5:$C$20000,"SEMUA")))/60)</f>
        <v/>
      </c>
      <c r="T656">
        <f>IF(G656=0,0,(60-MIN(60,SUMIFS(INPUT_DELAY!$E$5:$E$20000,INPUT_DELAY!$A$5:$A$20000,Kalkulasi!$B$617,INPUT_DELAY!$B$5:$B$20000,G$640,INPUT_DELAY!$C$5:$C$20000,$A656)+SUMIFS(INPUT_DELAY!$E$5:$E$20000,INPUT_DELAY!$A$5:$A$20000,Kalkulasi!$B$617,INPUT_DELAY!$B$5:$B$20000,G$640,INPUT_DELAY!$C$5:$C$20000,"SEMUA")))/60)</f>
        <v/>
      </c>
      <c r="U656">
        <f>IF(H656=0,0,(60-MIN(60,SUMIFS(INPUT_DELAY!$E$5:$E$20000,INPUT_DELAY!$A$5:$A$20000,Kalkulasi!$B$617,INPUT_DELAY!$B$5:$B$20000,H$640,INPUT_DELAY!$C$5:$C$20000,$A656)+SUMIFS(INPUT_DELAY!$E$5:$E$20000,INPUT_DELAY!$A$5:$A$20000,Kalkulasi!$B$617,INPUT_DELAY!$B$5:$B$20000,H$640,INPUT_DELAY!$C$5:$C$20000,"SEMUA")))/60)</f>
        <v/>
      </c>
      <c r="V656">
        <f>IF(I656=0,0,(60-MIN(60,SUMIFS(INPUT_DELAY!$E$5:$E$20000,INPUT_DELAY!$A$5:$A$20000,Kalkulasi!$B$617,INPUT_DELAY!$B$5:$B$20000,I$640,INPUT_DELAY!$C$5:$C$20000,$A656)+SUMIFS(INPUT_DELAY!$E$5:$E$20000,INPUT_DELAY!$A$5:$A$20000,Kalkulasi!$B$617,INPUT_DELAY!$B$5:$B$20000,I$640,INPUT_DELAY!$C$5:$C$20000,"SEMUA")))/60)</f>
        <v/>
      </c>
      <c r="W656">
        <f>IF(J656=0,0,(60-MIN(60,SUMIFS(INPUT_DELAY!$E$5:$E$20000,INPUT_DELAY!$A$5:$A$20000,Kalkulasi!$B$617,INPUT_DELAY!$B$5:$B$20000,J$640,INPUT_DELAY!$C$5:$C$20000,$A656)+SUMIFS(INPUT_DELAY!$E$5:$E$20000,INPUT_DELAY!$A$5:$A$20000,Kalkulasi!$B$617,INPUT_DELAY!$B$5:$B$20000,J$640,INPUT_DELAY!$C$5:$C$20000,"SEMUA")))/60)</f>
        <v/>
      </c>
      <c r="X656">
        <f>IF(K656=0,0,(60-MIN(60,SUMIFS(INPUT_DELAY!$E$5:$E$20000,INPUT_DELAY!$A$5:$A$20000,Kalkulasi!$B$617,INPUT_DELAY!$B$5:$B$20000,K$640,INPUT_DELAY!$C$5:$C$20000,$A656)+SUMIFS(INPUT_DELAY!$E$5:$E$20000,INPUT_DELAY!$A$5:$A$20000,Kalkulasi!$B$617,INPUT_DELAY!$B$5:$B$20000,K$640,INPUT_DELAY!$C$5:$C$20000,"SEMUA")))/60)</f>
        <v/>
      </c>
      <c r="Y656">
        <f>IF(L656=0,0,(60-MIN(60,SUMIFS(INPUT_DELAY!$E$5:$E$20000,INPUT_DELAY!$A$5:$A$20000,Kalkulasi!$B$617,INPUT_DELAY!$B$5:$B$20000,L$640,INPUT_DELAY!$C$5:$C$20000,$A656)+SUMIFS(INPUT_DELAY!$E$5:$E$20000,INPUT_DELAY!$A$5:$A$20000,Kalkulasi!$B$617,INPUT_DELAY!$B$5:$B$20000,L$640,INPUT_DELAY!$C$5:$C$20000,"SEMUA")))/60)</f>
        <v/>
      </c>
      <c r="Z656">
        <f>IF(M656=0,0,(60-MIN(60,SUMIFS(INPUT_DELAY!$E$5:$E$20000,INPUT_DELAY!$A$5:$A$20000,Kalkulasi!$B$617,INPUT_DELAY!$B$5:$B$20000,M$640,INPUT_DELAY!$C$5:$C$20000,$A656)+SUMIFS(INPUT_DELAY!$E$5:$E$20000,INPUT_DELAY!$A$5:$A$20000,Kalkulasi!$B$617,INPUT_DELAY!$B$5:$B$20000,M$640,INPUT_DELAY!$C$5:$C$20000,"SEMUA")))/60)</f>
        <v/>
      </c>
      <c r="AA656">
        <f>IF(N656=0,0,(60-MIN(60,SUMIFS(INPUT_DELAY!$E$5:$E$20000,INPUT_DELAY!$A$5:$A$20000,Kalkulasi!$B$617,INPUT_DELAY!$B$5:$B$20000,N$640,INPUT_DELAY!$C$5:$C$20000,$A656)+SUMIFS(INPUT_DELAY!$E$5:$E$20000,INPUT_DELAY!$A$5:$A$20000,Kalkulasi!$B$617,INPUT_DELAY!$B$5:$B$20000,N$640,INPUT_DELAY!$C$5:$C$20000,"SEMUA")))/60)</f>
        <v/>
      </c>
      <c r="AB656">
        <f>IF(O656=0,0,(60-MIN(60,SUMIFS(INPUT_DELAY!$E$5:$E$20000,INPUT_DELAY!$A$5:$A$20000,Kalkulasi!$B$617,INPUT_DELAY!$B$5:$B$20000,O$640,INPUT_DELAY!$C$5:$C$20000,$A656)+SUMIFS(INPUT_DELAY!$E$5:$E$20000,INPUT_DELAY!$A$5:$A$20000,Kalkulasi!$B$617,INPUT_DELAY!$B$5:$B$20000,O$640,INPUT_DELAY!$C$5:$C$20000,"SEMUA")))/60)</f>
        <v/>
      </c>
      <c r="AC656">
        <f>SUM(Q656:AB656)</f>
        <v/>
      </c>
      <c r="AD656">
        <f>IF(D656=0,"",IF(Q656&lt;=0,"",D656/Q656))</f>
        <v/>
      </c>
      <c r="AE656">
        <f>IF(E656=0,"",IF(R656&lt;=0,"",E656/R656))</f>
        <v/>
      </c>
      <c r="AF656">
        <f>IF(F656=0,"",IF(S656&lt;=0,"",F656/S656))</f>
        <v/>
      </c>
      <c r="AG656">
        <f>IF(G656=0,"",IF(T656&lt;=0,"",G656/T656))</f>
        <v/>
      </c>
      <c r="AH656">
        <f>IF(H656=0,"",IF(U656&lt;=0,"",H656/U656))</f>
        <v/>
      </c>
      <c r="AI656">
        <f>IF(I656=0,"",IF(V656&lt;=0,"",I656/V656))</f>
        <v/>
      </c>
      <c r="AJ656">
        <f>IF(J656=0,"",IF(W656&lt;=0,"",J656/W656))</f>
        <v/>
      </c>
      <c r="AK656">
        <f>IF(K656=0,"",IF(X656&lt;=0,"",K656/X656))</f>
        <v/>
      </c>
      <c r="AL656">
        <f>IF(L656=0,"",IF(Y656&lt;=0,"",L656/Y656))</f>
        <v/>
      </c>
      <c r="AM656">
        <f>IF(M656=0,"",IF(Z656&lt;=0,"",M656/Z656))</f>
        <v/>
      </c>
      <c r="AN656">
        <f>IF(N656=0,"",IF(AA656&lt;=0,"",N656/AA656))</f>
        <v/>
      </c>
      <c r="AO656">
        <f>IF(O656=0,"",IF(AB656&lt;=0,"",O656/AB656))</f>
        <v/>
      </c>
      <c r="AP656">
        <f>IF(AC656=0,"",P656/AC656)</f>
        <v/>
      </c>
      <c r="AQ656">
        <f>SUMIFS(INPUT_RITASE!$F$5:$F$20000,INPUT_RITASE!$A$5:$A$20000,Kalkulasi!$B$617,INPUT_RITASE!$H$5:$H$20000,Kalkulasi!$B$618,INPUT_RITASE!$C$5:$C$20000,$A656,INPUT_RITASE!$N$5:$N$20000,Kalkulasi!$B$619)</f>
        <v/>
      </c>
      <c r="AR656">
        <f>P656+AQ656/1000+ROW()/1000000</f>
        <v/>
      </c>
      <c r="AT656">
        <f>IF(AND(P656&gt;0,C656&gt;0,ISNUMBER(AP656)),IF(AP656&gt;=C656,1,0),0)</f>
        <v/>
      </c>
    </row>
    <row r="657">
      <c r="A657" t="inlineStr">
        <is>
          <t>EX-751</t>
        </is>
      </c>
      <c r="B657">
        <f>IFERROR(INDEX(MASTER_JAM!$B$5:$B$94,MATCH($A657,MASTER_JAM!$A$5:$A$94,0)),"")</f>
        <v/>
      </c>
      <c r="C657">
        <f>IFERROR(IF(Kalkulasi!$B$619="OB",INDEX(MASTER_JAM!$F$5:$F$94,MATCH($A657,MASTER_JAM!$A$5:$A$94,0)),INDEX(MASTER_JAM!$G$5:$G$94,MATCH($A657,MASTER_JAM!$A$5:$A$94,0)))+0,0)</f>
        <v/>
      </c>
      <c r="D657">
        <f>SUMIFS(INPUT_RITASE!$L$5:$L$20000,INPUT_RITASE!$A$5:$A$20000,Kalkulasi!$B$617,INPUT_RITASE!$B$5:$B$20000,D$640,INPUT_RITASE!$C$5:$C$20000,$A657,INPUT_RITASE!$N$5:$N$20000,Kalkulasi!$B$619)</f>
        <v/>
      </c>
      <c r="E657">
        <f>SUMIFS(INPUT_RITASE!$L$5:$L$20000,INPUT_RITASE!$A$5:$A$20000,Kalkulasi!$B$617,INPUT_RITASE!$B$5:$B$20000,E$640,INPUT_RITASE!$C$5:$C$20000,$A657,INPUT_RITASE!$N$5:$N$20000,Kalkulasi!$B$619)</f>
        <v/>
      </c>
      <c r="F657">
        <f>SUMIFS(INPUT_RITASE!$L$5:$L$20000,INPUT_RITASE!$A$5:$A$20000,Kalkulasi!$B$617,INPUT_RITASE!$B$5:$B$20000,F$640,INPUT_RITASE!$C$5:$C$20000,$A657,INPUT_RITASE!$N$5:$N$20000,Kalkulasi!$B$619)</f>
        <v/>
      </c>
      <c r="G657">
        <f>SUMIFS(INPUT_RITASE!$L$5:$L$20000,INPUT_RITASE!$A$5:$A$20000,Kalkulasi!$B$617,INPUT_RITASE!$B$5:$B$20000,G$640,INPUT_RITASE!$C$5:$C$20000,$A657,INPUT_RITASE!$N$5:$N$20000,Kalkulasi!$B$619)</f>
        <v/>
      </c>
      <c r="H657">
        <f>SUMIFS(INPUT_RITASE!$L$5:$L$20000,INPUT_RITASE!$A$5:$A$20000,Kalkulasi!$B$617,INPUT_RITASE!$B$5:$B$20000,H$640,INPUT_RITASE!$C$5:$C$20000,$A657,INPUT_RITASE!$N$5:$N$20000,Kalkulasi!$B$619)</f>
        <v/>
      </c>
      <c r="I657">
        <f>SUMIFS(INPUT_RITASE!$L$5:$L$20000,INPUT_RITASE!$A$5:$A$20000,Kalkulasi!$B$617,INPUT_RITASE!$B$5:$B$20000,I$640,INPUT_RITASE!$C$5:$C$20000,$A657,INPUT_RITASE!$N$5:$N$20000,Kalkulasi!$B$619)</f>
        <v/>
      </c>
      <c r="J657">
        <f>SUMIFS(INPUT_RITASE!$L$5:$L$20000,INPUT_RITASE!$A$5:$A$20000,Kalkulasi!$B$617,INPUT_RITASE!$B$5:$B$20000,J$640,INPUT_RITASE!$C$5:$C$20000,$A657,INPUT_RITASE!$N$5:$N$20000,Kalkulasi!$B$619)</f>
        <v/>
      </c>
      <c r="K657">
        <f>SUMIFS(INPUT_RITASE!$L$5:$L$20000,INPUT_RITASE!$A$5:$A$20000,Kalkulasi!$B$617,INPUT_RITASE!$B$5:$B$20000,K$640,INPUT_RITASE!$C$5:$C$20000,$A657,INPUT_RITASE!$N$5:$N$20000,Kalkulasi!$B$619)</f>
        <v/>
      </c>
      <c r="L657">
        <f>SUMIFS(INPUT_RITASE!$L$5:$L$20000,INPUT_RITASE!$A$5:$A$20000,Kalkulasi!$B$617,INPUT_RITASE!$B$5:$B$20000,L$640,INPUT_RITASE!$C$5:$C$20000,$A657,INPUT_RITASE!$N$5:$N$20000,Kalkulasi!$B$619)</f>
        <v/>
      </c>
      <c r="M657">
        <f>SUMIFS(INPUT_RITASE!$L$5:$L$20000,INPUT_RITASE!$A$5:$A$20000,Kalkulasi!$B$617,INPUT_RITASE!$B$5:$B$20000,M$640,INPUT_RITASE!$C$5:$C$20000,$A657,INPUT_RITASE!$N$5:$N$20000,Kalkulasi!$B$619)</f>
        <v/>
      </c>
      <c r="N657">
        <f>SUMIFS(INPUT_RITASE!$L$5:$L$20000,INPUT_RITASE!$A$5:$A$20000,Kalkulasi!$B$617,INPUT_RITASE!$B$5:$B$20000,N$640,INPUT_RITASE!$C$5:$C$20000,$A657,INPUT_RITASE!$N$5:$N$20000,Kalkulasi!$B$619)</f>
        <v/>
      </c>
      <c r="O657">
        <f>SUMIFS(INPUT_RITASE!$L$5:$L$20000,INPUT_RITASE!$A$5:$A$20000,Kalkulasi!$B$617,INPUT_RITASE!$B$5:$B$20000,O$640,INPUT_RITASE!$C$5:$C$20000,$A657,INPUT_RITASE!$N$5:$N$20000,Kalkulasi!$B$619)</f>
        <v/>
      </c>
      <c r="P657">
        <f>SUM(D657:O657)</f>
        <v/>
      </c>
      <c r="Q657">
        <f>IF(D657=0,0,(60-MIN(60,SUMIFS(INPUT_DELAY!$E$5:$E$20000,INPUT_DELAY!$A$5:$A$20000,Kalkulasi!$B$617,INPUT_DELAY!$B$5:$B$20000,D$640,INPUT_DELAY!$C$5:$C$20000,$A657)+SUMIFS(INPUT_DELAY!$E$5:$E$20000,INPUT_DELAY!$A$5:$A$20000,Kalkulasi!$B$617,INPUT_DELAY!$B$5:$B$20000,D$640,INPUT_DELAY!$C$5:$C$20000,"SEMUA")))/60)</f>
        <v/>
      </c>
      <c r="R657">
        <f>IF(E657=0,0,(60-MIN(60,SUMIFS(INPUT_DELAY!$E$5:$E$20000,INPUT_DELAY!$A$5:$A$20000,Kalkulasi!$B$617,INPUT_DELAY!$B$5:$B$20000,E$640,INPUT_DELAY!$C$5:$C$20000,$A657)+SUMIFS(INPUT_DELAY!$E$5:$E$20000,INPUT_DELAY!$A$5:$A$20000,Kalkulasi!$B$617,INPUT_DELAY!$B$5:$B$20000,E$640,INPUT_DELAY!$C$5:$C$20000,"SEMUA")))/60)</f>
        <v/>
      </c>
      <c r="S657">
        <f>IF(F657=0,0,(60-MIN(60,SUMIFS(INPUT_DELAY!$E$5:$E$20000,INPUT_DELAY!$A$5:$A$20000,Kalkulasi!$B$617,INPUT_DELAY!$B$5:$B$20000,F$640,INPUT_DELAY!$C$5:$C$20000,$A657)+SUMIFS(INPUT_DELAY!$E$5:$E$20000,INPUT_DELAY!$A$5:$A$20000,Kalkulasi!$B$617,INPUT_DELAY!$B$5:$B$20000,F$640,INPUT_DELAY!$C$5:$C$20000,"SEMUA")))/60)</f>
        <v/>
      </c>
      <c r="T657">
        <f>IF(G657=0,0,(60-MIN(60,SUMIFS(INPUT_DELAY!$E$5:$E$20000,INPUT_DELAY!$A$5:$A$20000,Kalkulasi!$B$617,INPUT_DELAY!$B$5:$B$20000,G$640,INPUT_DELAY!$C$5:$C$20000,$A657)+SUMIFS(INPUT_DELAY!$E$5:$E$20000,INPUT_DELAY!$A$5:$A$20000,Kalkulasi!$B$617,INPUT_DELAY!$B$5:$B$20000,G$640,INPUT_DELAY!$C$5:$C$20000,"SEMUA")))/60)</f>
        <v/>
      </c>
      <c r="U657">
        <f>IF(H657=0,0,(60-MIN(60,SUMIFS(INPUT_DELAY!$E$5:$E$20000,INPUT_DELAY!$A$5:$A$20000,Kalkulasi!$B$617,INPUT_DELAY!$B$5:$B$20000,H$640,INPUT_DELAY!$C$5:$C$20000,$A657)+SUMIFS(INPUT_DELAY!$E$5:$E$20000,INPUT_DELAY!$A$5:$A$20000,Kalkulasi!$B$617,INPUT_DELAY!$B$5:$B$20000,H$640,INPUT_DELAY!$C$5:$C$20000,"SEMUA")))/60)</f>
        <v/>
      </c>
      <c r="V657">
        <f>IF(I657=0,0,(60-MIN(60,SUMIFS(INPUT_DELAY!$E$5:$E$20000,INPUT_DELAY!$A$5:$A$20000,Kalkulasi!$B$617,INPUT_DELAY!$B$5:$B$20000,I$640,INPUT_DELAY!$C$5:$C$20000,$A657)+SUMIFS(INPUT_DELAY!$E$5:$E$20000,INPUT_DELAY!$A$5:$A$20000,Kalkulasi!$B$617,INPUT_DELAY!$B$5:$B$20000,I$640,INPUT_DELAY!$C$5:$C$20000,"SEMUA")))/60)</f>
        <v/>
      </c>
      <c r="W657">
        <f>IF(J657=0,0,(60-MIN(60,SUMIFS(INPUT_DELAY!$E$5:$E$20000,INPUT_DELAY!$A$5:$A$20000,Kalkulasi!$B$617,INPUT_DELAY!$B$5:$B$20000,J$640,INPUT_DELAY!$C$5:$C$20000,$A657)+SUMIFS(INPUT_DELAY!$E$5:$E$20000,INPUT_DELAY!$A$5:$A$20000,Kalkulasi!$B$617,INPUT_DELAY!$B$5:$B$20000,J$640,INPUT_DELAY!$C$5:$C$20000,"SEMUA")))/60)</f>
        <v/>
      </c>
      <c r="X657">
        <f>IF(K657=0,0,(60-MIN(60,SUMIFS(INPUT_DELAY!$E$5:$E$20000,INPUT_DELAY!$A$5:$A$20000,Kalkulasi!$B$617,INPUT_DELAY!$B$5:$B$20000,K$640,INPUT_DELAY!$C$5:$C$20000,$A657)+SUMIFS(INPUT_DELAY!$E$5:$E$20000,INPUT_DELAY!$A$5:$A$20000,Kalkulasi!$B$617,INPUT_DELAY!$B$5:$B$20000,K$640,INPUT_DELAY!$C$5:$C$20000,"SEMUA")))/60)</f>
        <v/>
      </c>
      <c r="Y657">
        <f>IF(L657=0,0,(60-MIN(60,SUMIFS(INPUT_DELAY!$E$5:$E$20000,INPUT_DELAY!$A$5:$A$20000,Kalkulasi!$B$617,INPUT_DELAY!$B$5:$B$20000,L$640,INPUT_DELAY!$C$5:$C$20000,$A657)+SUMIFS(INPUT_DELAY!$E$5:$E$20000,INPUT_DELAY!$A$5:$A$20000,Kalkulasi!$B$617,INPUT_DELAY!$B$5:$B$20000,L$640,INPUT_DELAY!$C$5:$C$20000,"SEMUA")))/60)</f>
        <v/>
      </c>
      <c r="Z657">
        <f>IF(M657=0,0,(60-MIN(60,SUMIFS(INPUT_DELAY!$E$5:$E$20000,INPUT_DELAY!$A$5:$A$20000,Kalkulasi!$B$617,INPUT_DELAY!$B$5:$B$20000,M$640,INPUT_DELAY!$C$5:$C$20000,$A657)+SUMIFS(INPUT_DELAY!$E$5:$E$20000,INPUT_DELAY!$A$5:$A$20000,Kalkulasi!$B$617,INPUT_DELAY!$B$5:$B$20000,M$640,INPUT_DELAY!$C$5:$C$20000,"SEMUA")))/60)</f>
        <v/>
      </c>
      <c r="AA657">
        <f>IF(N657=0,0,(60-MIN(60,SUMIFS(INPUT_DELAY!$E$5:$E$20000,INPUT_DELAY!$A$5:$A$20000,Kalkulasi!$B$617,INPUT_DELAY!$B$5:$B$20000,N$640,INPUT_DELAY!$C$5:$C$20000,$A657)+SUMIFS(INPUT_DELAY!$E$5:$E$20000,INPUT_DELAY!$A$5:$A$20000,Kalkulasi!$B$617,INPUT_DELAY!$B$5:$B$20000,N$640,INPUT_DELAY!$C$5:$C$20000,"SEMUA")))/60)</f>
        <v/>
      </c>
      <c r="AB657">
        <f>IF(O657=0,0,(60-MIN(60,SUMIFS(INPUT_DELAY!$E$5:$E$20000,INPUT_DELAY!$A$5:$A$20000,Kalkulasi!$B$617,INPUT_DELAY!$B$5:$B$20000,O$640,INPUT_DELAY!$C$5:$C$20000,$A657)+SUMIFS(INPUT_DELAY!$E$5:$E$20000,INPUT_DELAY!$A$5:$A$20000,Kalkulasi!$B$617,INPUT_DELAY!$B$5:$B$20000,O$640,INPUT_DELAY!$C$5:$C$20000,"SEMUA")))/60)</f>
        <v/>
      </c>
      <c r="AC657">
        <f>SUM(Q657:AB657)</f>
        <v/>
      </c>
      <c r="AD657">
        <f>IF(D657=0,"",IF(Q657&lt;=0,"",D657/Q657))</f>
        <v/>
      </c>
      <c r="AE657">
        <f>IF(E657=0,"",IF(R657&lt;=0,"",E657/R657))</f>
        <v/>
      </c>
      <c r="AF657">
        <f>IF(F657=0,"",IF(S657&lt;=0,"",F657/S657))</f>
        <v/>
      </c>
      <c r="AG657">
        <f>IF(G657=0,"",IF(T657&lt;=0,"",G657/T657))</f>
        <v/>
      </c>
      <c r="AH657">
        <f>IF(H657=0,"",IF(U657&lt;=0,"",H657/U657))</f>
        <v/>
      </c>
      <c r="AI657">
        <f>IF(I657=0,"",IF(V657&lt;=0,"",I657/V657))</f>
        <v/>
      </c>
      <c r="AJ657">
        <f>IF(J657=0,"",IF(W657&lt;=0,"",J657/W657))</f>
        <v/>
      </c>
      <c r="AK657">
        <f>IF(K657=0,"",IF(X657&lt;=0,"",K657/X657))</f>
        <v/>
      </c>
      <c r="AL657">
        <f>IF(L657=0,"",IF(Y657&lt;=0,"",L657/Y657))</f>
        <v/>
      </c>
      <c r="AM657">
        <f>IF(M657=0,"",IF(Z657&lt;=0,"",M657/Z657))</f>
        <v/>
      </c>
      <c r="AN657">
        <f>IF(N657=0,"",IF(AA657&lt;=0,"",N657/AA657))</f>
        <v/>
      </c>
      <c r="AO657">
        <f>IF(O657=0,"",IF(AB657&lt;=0,"",O657/AB657))</f>
        <v/>
      </c>
      <c r="AP657">
        <f>IF(AC657=0,"",P657/AC657)</f>
        <v/>
      </c>
      <c r="AQ657">
        <f>SUMIFS(INPUT_RITASE!$F$5:$F$20000,INPUT_RITASE!$A$5:$A$20000,Kalkulasi!$B$617,INPUT_RITASE!$H$5:$H$20000,Kalkulasi!$B$618,INPUT_RITASE!$C$5:$C$20000,$A657,INPUT_RITASE!$N$5:$N$20000,Kalkulasi!$B$619)</f>
        <v/>
      </c>
      <c r="AR657">
        <f>P657+AQ657/1000+ROW()/1000000</f>
        <v/>
      </c>
      <c r="AT657">
        <f>IF(AND(P657&gt;0,C657&gt;0,ISNUMBER(AP657)),IF(AP657&gt;=C657,1,0),0)</f>
        <v/>
      </c>
    </row>
    <row r="658">
      <c r="A658" t="inlineStr">
        <is>
          <t>EX-752</t>
        </is>
      </c>
      <c r="B658">
        <f>IFERROR(INDEX(MASTER_JAM!$B$5:$B$94,MATCH($A658,MASTER_JAM!$A$5:$A$94,0)),"")</f>
        <v/>
      </c>
      <c r="C658">
        <f>IFERROR(IF(Kalkulasi!$B$619="OB",INDEX(MASTER_JAM!$F$5:$F$94,MATCH($A658,MASTER_JAM!$A$5:$A$94,0)),INDEX(MASTER_JAM!$G$5:$G$94,MATCH($A658,MASTER_JAM!$A$5:$A$94,0)))+0,0)</f>
        <v/>
      </c>
      <c r="D658">
        <f>SUMIFS(INPUT_RITASE!$L$5:$L$20000,INPUT_RITASE!$A$5:$A$20000,Kalkulasi!$B$617,INPUT_RITASE!$B$5:$B$20000,D$640,INPUT_RITASE!$C$5:$C$20000,$A658,INPUT_RITASE!$N$5:$N$20000,Kalkulasi!$B$619)</f>
        <v/>
      </c>
      <c r="E658">
        <f>SUMIFS(INPUT_RITASE!$L$5:$L$20000,INPUT_RITASE!$A$5:$A$20000,Kalkulasi!$B$617,INPUT_RITASE!$B$5:$B$20000,E$640,INPUT_RITASE!$C$5:$C$20000,$A658,INPUT_RITASE!$N$5:$N$20000,Kalkulasi!$B$619)</f>
        <v/>
      </c>
      <c r="F658">
        <f>SUMIFS(INPUT_RITASE!$L$5:$L$20000,INPUT_RITASE!$A$5:$A$20000,Kalkulasi!$B$617,INPUT_RITASE!$B$5:$B$20000,F$640,INPUT_RITASE!$C$5:$C$20000,$A658,INPUT_RITASE!$N$5:$N$20000,Kalkulasi!$B$619)</f>
        <v/>
      </c>
      <c r="G658">
        <f>SUMIFS(INPUT_RITASE!$L$5:$L$20000,INPUT_RITASE!$A$5:$A$20000,Kalkulasi!$B$617,INPUT_RITASE!$B$5:$B$20000,G$640,INPUT_RITASE!$C$5:$C$20000,$A658,INPUT_RITASE!$N$5:$N$20000,Kalkulasi!$B$619)</f>
        <v/>
      </c>
      <c r="H658">
        <f>SUMIFS(INPUT_RITASE!$L$5:$L$20000,INPUT_RITASE!$A$5:$A$20000,Kalkulasi!$B$617,INPUT_RITASE!$B$5:$B$20000,H$640,INPUT_RITASE!$C$5:$C$20000,$A658,INPUT_RITASE!$N$5:$N$20000,Kalkulasi!$B$619)</f>
        <v/>
      </c>
      <c r="I658">
        <f>SUMIFS(INPUT_RITASE!$L$5:$L$20000,INPUT_RITASE!$A$5:$A$20000,Kalkulasi!$B$617,INPUT_RITASE!$B$5:$B$20000,I$640,INPUT_RITASE!$C$5:$C$20000,$A658,INPUT_RITASE!$N$5:$N$20000,Kalkulasi!$B$619)</f>
        <v/>
      </c>
      <c r="J658">
        <f>SUMIFS(INPUT_RITASE!$L$5:$L$20000,INPUT_RITASE!$A$5:$A$20000,Kalkulasi!$B$617,INPUT_RITASE!$B$5:$B$20000,J$640,INPUT_RITASE!$C$5:$C$20000,$A658,INPUT_RITASE!$N$5:$N$20000,Kalkulasi!$B$619)</f>
        <v/>
      </c>
      <c r="K658">
        <f>SUMIFS(INPUT_RITASE!$L$5:$L$20000,INPUT_RITASE!$A$5:$A$20000,Kalkulasi!$B$617,INPUT_RITASE!$B$5:$B$20000,K$640,INPUT_RITASE!$C$5:$C$20000,$A658,INPUT_RITASE!$N$5:$N$20000,Kalkulasi!$B$619)</f>
        <v/>
      </c>
      <c r="L658">
        <f>SUMIFS(INPUT_RITASE!$L$5:$L$20000,INPUT_RITASE!$A$5:$A$20000,Kalkulasi!$B$617,INPUT_RITASE!$B$5:$B$20000,L$640,INPUT_RITASE!$C$5:$C$20000,$A658,INPUT_RITASE!$N$5:$N$20000,Kalkulasi!$B$619)</f>
        <v/>
      </c>
      <c r="M658">
        <f>SUMIFS(INPUT_RITASE!$L$5:$L$20000,INPUT_RITASE!$A$5:$A$20000,Kalkulasi!$B$617,INPUT_RITASE!$B$5:$B$20000,M$640,INPUT_RITASE!$C$5:$C$20000,$A658,INPUT_RITASE!$N$5:$N$20000,Kalkulasi!$B$619)</f>
        <v/>
      </c>
      <c r="N658">
        <f>SUMIFS(INPUT_RITASE!$L$5:$L$20000,INPUT_RITASE!$A$5:$A$20000,Kalkulasi!$B$617,INPUT_RITASE!$B$5:$B$20000,N$640,INPUT_RITASE!$C$5:$C$20000,$A658,INPUT_RITASE!$N$5:$N$20000,Kalkulasi!$B$619)</f>
        <v/>
      </c>
      <c r="O658">
        <f>SUMIFS(INPUT_RITASE!$L$5:$L$20000,INPUT_RITASE!$A$5:$A$20000,Kalkulasi!$B$617,INPUT_RITASE!$B$5:$B$20000,O$640,INPUT_RITASE!$C$5:$C$20000,$A658,INPUT_RITASE!$N$5:$N$20000,Kalkulasi!$B$619)</f>
        <v/>
      </c>
      <c r="P658">
        <f>SUM(D658:O658)</f>
        <v/>
      </c>
      <c r="Q658">
        <f>IF(D658=0,0,(60-MIN(60,SUMIFS(INPUT_DELAY!$E$5:$E$20000,INPUT_DELAY!$A$5:$A$20000,Kalkulasi!$B$617,INPUT_DELAY!$B$5:$B$20000,D$640,INPUT_DELAY!$C$5:$C$20000,$A658)+SUMIFS(INPUT_DELAY!$E$5:$E$20000,INPUT_DELAY!$A$5:$A$20000,Kalkulasi!$B$617,INPUT_DELAY!$B$5:$B$20000,D$640,INPUT_DELAY!$C$5:$C$20000,"SEMUA")))/60)</f>
        <v/>
      </c>
      <c r="R658">
        <f>IF(E658=0,0,(60-MIN(60,SUMIFS(INPUT_DELAY!$E$5:$E$20000,INPUT_DELAY!$A$5:$A$20000,Kalkulasi!$B$617,INPUT_DELAY!$B$5:$B$20000,E$640,INPUT_DELAY!$C$5:$C$20000,$A658)+SUMIFS(INPUT_DELAY!$E$5:$E$20000,INPUT_DELAY!$A$5:$A$20000,Kalkulasi!$B$617,INPUT_DELAY!$B$5:$B$20000,E$640,INPUT_DELAY!$C$5:$C$20000,"SEMUA")))/60)</f>
        <v/>
      </c>
      <c r="S658">
        <f>IF(F658=0,0,(60-MIN(60,SUMIFS(INPUT_DELAY!$E$5:$E$20000,INPUT_DELAY!$A$5:$A$20000,Kalkulasi!$B$617,INPUT_DELAY!$B$5:$B$20000,F$640,INPUT_DELAY!$C$5:$C$20000,$A658)+SUMIFS(INPUT_DELAY!$E$5:$E$20000,INPUT_DELAY!$A$5:$A$20000,Kalkulasi!$B$617,INPUT_DELAY!$B$5:$B$20000,F$640,INPUT_DELAY!$C$5:$C$20000,"SEMUA")))/60)</f>
        <v/>
      </c>
      <c r="T658">
        <f>IF(G658=0,0,(60-MIN(60,SUMIFS(INPUT_DELAY!$E$5:$E$20000,INPUT_DELAY!$A$5:$A$20000,Kalkulasi!$B$617,INPUT_DELAY!$B$5:$B$20000,G$640,INPUT_DELAY!$C$5:$C$20000,$A658)+SUMIFS(INPUT_DELAY!$E$5:$E$20000,INPUT_DELAY!$A$5:$A$20000,Kalkulasi!$B$617,INPUT_DELAY!$B$5:$B$20000,G$640,INPUT_DELAY!$C$5:$C$20000,"SEMUA")))/60)</f>
        <v/>
      </c>
      <c r="U658">
        <f>IF(H658=0,0,(60-MIN(60,SUMIFS(INPUT_DELAY!$E$5:$E$20000,INPUT_DELAY!$A$5:$A$20000,Kalkulasi!$B$617,INPUT_DELAY!$B$5:$B$20000,H$640,INPUT_DELAY!$C$5:$C$20000,$A658)+SUMIFS(INPUT_DELAY!$E$5:$E$20000,INPUT_DELAY!$A$5:$A$20000,Kalkulasi!$B$617,INPUT_DELAY!$B$5:$B$20000,H$640,INPUT_DELAY!$C$5:$C$20000,"SEMUA")))/60)</f>
        <v/>
      </c>
      <c r="V658">
        <f>IF(I658=0,0,(60-MIN(60,SUMIFS(INPUT_DELAY!$E$5:$E$20000,INPUT_DELAY!$A$5:$A$20000,Kalkulasi!$B$617,INPUT_DELAY!$B$5:$B$20000,I$640,INPUT_DELAY!$C$5:$C$20000,$A658)+SUMIFS(INPUT_DELAY!$E$5:$E$20000,INPUT_DELAY!$A$5:$A$20000,Kalkulasi!$B$617,INPUT_DELAY!$B$5:$B$20000,I$640,INPUT_DELAY!$C$5:$C$20000,"SEMUA")))/60)</f>
        <v/>
      </c>
      <c r="W658">
        <f>IF(J658=0,0,(60-MIN(60,SUMIFS(INPUT_DELAY!$E$5:$E$20000,INPUT_DELAY!$A$5:$A$20000,Kalkulasi!$B$617,INPUT_DELAY!$B$5:$B$20000,J$640,INPUT_DELAY!$C$5:$C$20000,$A658)+SUMIFS(INPUT_DELAY!$E$5:$E$20000,INPUT_DELAY!$A$5:$A$20000,Kalkulasi!$B$617,INPUT_DELAY!$B$5:$B$20000,J$640,INPUT_DELAY!$C$5:$C$20000,"SEMUA")))/60)</f>
        <v/>
      </c>
      <c r="X658">
        <f>IF(K658=0,0,(60-MIN(60,SUMIFS(INPUT_DELAY!$E$5:$E$20000,INPUT_DELAY!$A$5:$A$20000,Kalkulasi!$B$617,INPUT_DELAY!$B$5:$B$20000,K$640,INPUT_DELAY!$C$5:$C$20000,$A658)+SUMIFS(INPUT_DELAY!$E$5:$E$20000,INPUT_DELAY!$A$5:$A$20000,Kalkulasi!$B$617,INPUT_DELAY!$B$5:$B$20000,K$640,INPUT_DELAY!$C$5:$C$20000,"SEMUA")))/60)</f>
        <v/>
      </c>
      <c r="Y658">
        <f>IF(L658=0,0,(60-MIN(60,SUMIFS(INPUT_DELAY!$E$5:$E$20000,INPUT_DELAY!$A$5:$A$20000,Kalkulasi!$B$617,INPUT_DELAY!$B$5:$B$20000,L$640,INPUT_DELAY!$C$5:$C$20000,$A658)+SUMIFS(INPUT_DELAY!$E$5:$E$20000,INPUT_DELAY!$A$5:$A$20000,Kalkulasi!$B$617,INPUT_DELAY!$B$5:$B$20000,L$640,INPUT_DELAY!$C$5:$C$20000,"SEMUA")))/60)</f>
        <v/>
      </c>
      <c r="Z658">
        <f>IF(M658=0,0,(60-MIN(60,SUMIFS(INPUT_DELAY!$E$5:$E$20000,INPUT_DELAY!$A$5:$A$20000,Kalkulasi!$B$617,INPUT_DELAY!$B$5:$B$20000,M$640,INPUT_DELAY!$C$5:$C$20000,$A658)+SUMIFS(INPUT_DELAY!$E$5:$E$20000,INPUT_DELAY!$A$5:$A$20000,Kalkulasi!$B$617,INPUT_DELAY!$B$5:$B$20000,M$640,INPUT_DELAY!$C$5:$C$20000,"SEMUA")))/60)</f>
        <v/>
      </c>
      <c r="AA658">
        <f>IF(N658=0,0,(60-MIN(60,SUMIFS(INPUT_DELAY!$E$5:$E$20000,INPUT_DELAY!$A$5:$A$20000,Kalkulasi!$B$617,INPUT_DELAY!$B$5:$B$20000,N$640,INPUT_DELAY!$C$5:$C$20000,$A658)+SUMIFS(INPUT_DELAY!$E$5:$E$20000,INPUT_DELAY!$A$5:$A$20000,Kalkulasi!$B$617,INPUT_DELAY!$B$5:$B$20000,N$640,INPUT_DELAY!$C$5:$C$20000,"SEMUA")))/60)</f>
        <v/>
      </c>
      <c r="AB658">
        <f>IF(O658=0,0,(60-MIN(60,SUMIFS(INPUT_DELAY!$E$5:$E$20000,INPUT_DELAY!$A$5:$A$20000,Kalkulasi!$B$617,INPUT_DELAY!$B$5:$B$20000,O$640,INPUT_DELAY!$C$5:$C$20000,$A658)+SUMIFS(INPUT_DELAY!$E$5:$E$20000,INPUT_DELAY!$A$5:$A$20000,Kalkulasi!$B$617,INPUT_DELAY!$B$5:$B$20000,O$640,INPUT_DELAY!$C$5:$C$20000,"SEMUA")))/60)</f>
        <v/>
      </c>
      <c r="AC658">
        <f>SUM(Q658:AB658)</f>
        <v/>
      </c>
      <c r="AD658">
        <f>IF(D658=0,"",IF(Q658&lt;=0,"",D658/Q658))</f>
        <v/>
      </c>
      <c r="AE658">
        <f>IF(E658=0,"",IF(R658&lt;=0,"",E658/R658))</f>
        <v/>
      </c>
      <c r="AF658">
        <f>IF(F658=0,"",IF(S658&lt;=0,"",F658/S658))</f>
        <v/>
      </c>
      <c r="AG658">
        <f>IF(G658=0,"",IF(T658&lt;=0,"",G658/T658))</f>
        <v/>
      </c>
      <c r="AH658">
        <f>IF(H658=0,"",IF(U658&lt;=0,"",H658/U658))</f>
        <v/>
      </c>
      <c r="AI658">
        <f>IF(I658=0,"",IF(V658&lt;=0,"",I658/V658))</f>
        <v/>
      </c>
      <c r="AJ658">
        <f>IF(J658=0,"",IF(W658&lt;=0,"",J658/W658))</f>
        <v/>
      </c>
      <c r="AK658">
        <f>IF(K658=0,"",IF(X658&lt;=0,"",K658/X658))</f>
        <v/>
      </c>
      <c r="AL658">
        <f>IF(L658=0,"",IF(Y658&lt;=0,"",L658/Y658))</f>
        <v/>
      </c>
      <c r="AM658">
        <f>IF(M658=0,"",IF(Z658&lt;=0,"",M658/Z658))</f>
        <v/>
      </c>
      <c r="AN658">
        <f>IF(N658=0,"",IF(AA658&lt;=0,"",N658/AA658))</f>
        <v/>
      </c>
      <c r="AO658">
        <f>IF(O658=0,"",IF(AB658&lt;=0,"",O658/AB658))</f>
        <v/>
      </c>
      <c r="AP658">
        <f>IF(AC658=0,"",P658/AC658)</f>
        <v/>
      </c>
      <c r="AQ658">
        <f>SUMIFS(INPUT_RITASE!$F$5:$F$20000,INPUT_RITASE!$A$5:$A$20000,Kalkulasi!$B$617,INPUT_RITASE!$H$5:$H$20000,Kalkulasi!$B$618,INPUT_RITASE!$C$5:$C$20000,$A658,INPUT_RITASE!$N$5:$N$20000,Kalkulasi!$B$619)</f>
        <v/>
      </c>
      <c r="AR658">
        <f>P658+AQ658/1000+ROW()/1000000</f>
        <v/>
      </c>
      <c r="AT658">
        <f>IF(AND(P658&gt;0,C658&gt;0,ISNUMBER(AP658)),IF(AP658&gt;=C658,1,0),0)</f>
        <v/>
      </c>
    </row>
    <row r="661">
      <c r="A661" s="171" t="inlineStr">
        <is>
          <t>PER JAM — urutan (digger aktif di atas)</t>
        </is>
      </c>
    </row>
    <row r="663">
      <c r="A663">
        <f>MATCH(LARGE($AR$641:$AR$658,1),$AR$641:$AR$658,0)</f>
        <v/>
      </c>
    </row>
    <row r="664">
      <c r="A664">
        <f>MATCH(LARGE($AR$641:$AR$658,2),$AR$641:$AR$658,0)</f>
        <v/>
      </c>
    </row>
    <row r="665">
      <c r="A665">
        <f>MATCH(LARGE($AR$641:$AR$658,3),$AR$641:$AR$658,0)</f>
        <v/>
      </c>
    </row>
    <row r="666">
      <c r="A666">
        <f>MATCH(LARGE($AR$641:$AR$658,4),$AR$641:$AR$658,0)</f>
        <v/>
      </c>
    </row>
    <row r="667">
      <c r="A667">
        <f>MATCH(LARGE($AR$641:$AR$658,5),$AR$641:$AR$658,0)</f>
        <v/>
      </c>
    </row>
    <row r="668">
      <c r="A668">
        <f>MATCH(LARGE($AR$641:$AR$658,6),$AR$641:$AR$658,0)</f>
        <v/>
      </c>
    </row>
    <row r="669">
      <c r="A669">
        <f>MATCH(LARGE($AR$641:$AR$658,7),$AR$641:$AR$658,0)</f>
        <v/>
      </c>
    </row>
    <row r="670">
      <c r="A670">
        <f>MATCH(LARGE($AR$641:$AR$658,8),$AR$641:$AR$658,0)</f>
        <v/>
      </c>
    </row>
    <row r="671">
      <c r="A671">
        <f>MATCH(LARGE($AR$641:$AR$658,9),$AR$641:$AR$658,0)</f>
        <v/>
      </c>
    </row>
    <row r="672">
      <c r="A672">
        <f>MATCH(LARGE($AR$641:$AR$658,10),$AR$641:$AR$658,0)</f>
        <v/>
      </c>
    </row>
    <row r="673">
      <c r="A673">
        <f>MATCH(LARGE($AR$641:$AR$658,11),$AR$641:$AR$658,0)</f>
        <v/>
      </c>
    </row>
    <row r="674">
      <c r="A674">
        <f>MATCH(LARGE($AR$641:$AR$658,12),$AR$641:$AR$658,0)</f>
        <v/>
      </c>
    </row>
    <row r="675">
      <c r="A675">
        <f>MATCH(LARGE($AR$641:$AR$658,13),$AR$641:$AR$658,0)</f>
        <v/>
      </c>
    </row>
    <row r="676">
      <c r="A676">
        <f>MATCH(LARGE($AR$641:$AR$658,14),$AR$641:$AR$658,0)</f>
        <v/>
      </c>
    </row>
    <row r="677">
      <c r="A677">
        <f>MATCH(LARGE($AR$641:$AR$658,15),$AR$641:$AR$658,0)</f>
        <v/>
      </c>
    </row>
    <row r="678">
      <c r="A678">
        <f>MATCH(LARGE($AR$641:$AR$658,16),$AR$641:$AR$658,0)</f>
        <v/>
      </c>
    </row>
    <row r="679">
      <c r="A679">
        <f>MATCH(LARGE($AR$641:$AR$658,17),$AR$641:$AR$658,0)</f>
        <v/>
      </c>
    </row>
    <row r="680">
      <c r="A680">
        <f>MATCH(LARGE($AR$641:$AR$658,18),$AR$641:$AR$658,0)</f>
        <v/>
      </c>
    </row>
    <row r="684">
      <c r="A684" s="171" t="inlineStr">
        <is>
          <t>PER JAM — fleet per jam</t>
        </is>
      </c>
    </row>
    <row r="685">
      <c r="A685" s="176" t="inlineStr">
        <is>
          <t>Jam</t>
        </is>
      </c>
      <c r="B685" s="176" t="inlineStr">
        <is>
          <t>Produksi</t>
        </is>
      </c>
      <c r="C685" s="176" t="inlineStr">
        <is>
          <t>Plan/jam</t>
        </is>
      </c>
      <c r="D685" s="176" t="inlineStr">
        <is>
          <t>EWH</t>
        </is>
      </c>
      <c r="E685" s="176" t="inlineStr">
        <is>
          <t>PTY fleet</t>
        </is>
      </c>
      <c r="F685" s="176" t="inlineStr">
        <is>
          <t>Kumulatif</t>
        </is>
      </c>
      <c r="G685" s="176" t="inlineStr">
        <is>
          <t>Plan kumulatif</t>
        </is>
      </c>
      <c r="H685" s="176" t="inlineStr">
        <is>
          <t>Ritase</t>
        </is>
      </c>
      <c r="I685" s="176" t="inlineStr">
        <is>
          <t>Index jam</t>
        </is>
      </c>
    </row>
    <row r="686">
      <c r="A686">
        <f>Kalkulasi!$A$625</f>
        <v/>
      </c>
      <c r="B686" s="194">
        <f>SUM(D641:D658)</f>
        <v/>
      </c>
      <c r="C686" s="194">
        <f>Kalkulasi!$B$621/12</f>
        <v/>
      </c>
      <c r="D686" s="197">
        <f>SUM(Q641:Q658)</f>
        <v/>
      </c>
      <c r="E686" s="194">
        <f>IF(D686=0,NA(),B686/D686)</f>
        <v/>
      </c>
      <c r="F686" s="194">
        <f>SUM($B$686:B686)</f>
        <v/>
      </c>
      <c r="G686" s="194">
        <f>SUM($C$686:C686)</f>
        <v/>
      </c>
      <c r="H686" s="194">
        <f>SUMIFS(INPUT_RITASE!$F$5:$F$20000,INPUT_RITASE!$A$5:$A$20000,Kalkulasi!$B$617,INPUT_RITASE!$B$5:$B$20000,A686,INPUT_RITASE!$N$5:$N$20000,Kalkulasi!$B$619)</f>
        <v/>
      </c>
      <c r="I686">
        <f>IF(B686&gt;0,1,0)</f>
        <v/>
      </c>
    </row>
    <row r="687">
      <c r="A687">
        <f>Kalkulasi!$A$626</f>
        <v/>
      </c>
      <c r="B687" s="194">
        <f>SUM(E641:E658)</f>
        <v/>
      </c>
      <c r="C687" s="194">
        <f>Kalkulasi!$B$621/12</f>
        <v/>
      </c>
      <c r="D687" s="197">
        <f>SUM(R641:R658)</f>
        <v/>
      </c>
      <c r="E687" s="194">
        <f>IF(D687=0,NA(),B687/D687)</f>
        <v/>
      </c>
      <c r="F687" s="194">
        <f>SUM($B$686:B687)</f>
        <v/>
      </c>
      <c r="G687" s="194">
        <f>SUM($C$686:C687)</f>
        <v/>
      </c>
      <c r="H687" s="194">
        <f>SUMIFS(INPUT_RITASE!$F$5:$F$20000,INPUT_RITASE!$A$5:$A$20000,Kalkulasi!$B$617,INPUT_RITASE!$B$5:$B$20000,A687,INPUT_RITASE!$N$5:$N$20000,Kalkulasi!$B$619)</f>
        <v/>
      </c>
      <c r="I687">
        <f>IF(B687&gt;0,2,0)</f>
        <v/>
      </c>
    </row>
    <row r="688">
      <c r="A688">
        <f>Kalkulasi!$A$627</f>
        <v/>
      </c>
      <c r="B688" s="194">
        <f>SUM(F641:F658)</f>
        <v/>
      </c>
      <c r="C688" s="194">
        <f>Kalkulasi!$B$621/12</f>
        <v/>
      </c>
      <c r="D688" s="197">
        <f>SUM(S641:S658)</f>
        <v/>
      </c>
      <c r="E688" s="194">
        <f>IF(D688=0,NA(),B688/D688)</f>
        <v/>
      </c>
      <c r="F688" s="194">
        <f>SUM($B$686:B688)</f>
        <v/>
      </c>
      <c r="G688" s="194">
        <f>SUM($C$686:C688)</f>
        <v/>
      </c>
      <c r="H688" s="194">
        <f>SUMIFS(INPUT_RITASE!$F$5:$F$20000,INPUT_RITASE!$A$5:$A$20000,Kalkulasi!$B$617,INPUT_RITASE!$B$5:$B$20000,A688,INPUT_RITASE!$N$5:$N$20000,Kalkulasi!$B$619)</f>
        <v/>
      </c>
      <c r="I688">
        <f>IF(B688&gt;0,3,0)</f>
        <v/>
      </c>
    </row>
    <row r="689">
      <c r="A689">
        <f>Kalkulasi!$A$628</f>
        <v/>
      </c>
      <c r="B689" s="194">
        <f>SUM(G641:G658)</f>
        <v/>
      </c>
      <c r="C689" s="194">
        <f>Kalkulasi!$B$621/12</f>
        <v/>
      </c>
      <c r="D689" s="197">
        <f>SUM(T641:T658)</f>
        <v/>
      </c>
      <c r="E689" s="194">
        <f>IF(D689=0,NA(),B689/D689)</f>
        <v/>
      </c>
      <c r="F689" s="194">
        <f>SUM($B$686:B689)</f>
        <v/>
      </c>
      <c r="G689" s="194">
        <f>SUM($C$686:C689)</f>
        <v/>
      </c>
      <c r="H689" s="194">
        <f>SUMIFS(INPUT_RITASE!$F$5:$F$20000,INPUT_RITASE!$A$5:$A$20000,Kalkulasi!$B$617,INPUT_RITASE!$B$5:$B$20000,A689,INPUT_RITASE!$N$5:$N$20000,Kalkulasi!$B$619)</f>
        <v/>
      </c>
      <c r="I689">
        <f>IF(B689&gt;0,4,0)</f>
        <v/>
      </c>
    </row>
    <row r="690">
      <c r="A690">
        <f>Kalkulasi!$A$629</f>
        <v/>
      </c>
      <c r="B690" s="194">
        <f>SUM(H641:H658)</f>
        <v/>
      </c>
      <c r="C690" s="194">
        <f>Kalkulasi!$B$621/12</f>
        <v/>
      </c>
      <c r="D690" s="197">
        <f>SUM(U641:U658)</f>
        <v/>
      </c>
      <c r="E690" s="194">
        <f>IF(D690=0,NA(),B690/D690)</f>
        <v/>
      </c>
      <c r="F690" s="194">
        <f>SUM($B$686:B690)</f>
        <v/>
      </c>
      <c r="G690" s="194">
        <f>SUM($C$686:C690)</f>
        <v/>
      </c>
      <c r="H690" s="194">
        <f>SUMIFS(INPUT_RITASE!$F$5:$F$20000,INPUT_RITASE!$A$5:$A$20000,Kalkulasi!$B$617,INPUT_RITASE!$B$5:$B$20000,A690,INPUT_RITASE!$N$5:$N$20000,Kalkulasi!$B$619)</f>
        <v/>
      </c>
      <c r="I690">
        <f>IF(B690&gt;0,5,0)</f>
        <v/>
      </c>
    </row>
    <row r="691">
      <c r="A691">
        <f>Kalkulasi!$A$630</f>
        <v/>
      </c>
      <c r="B691" s="194">
        <f>SUM(I641:I658)</f>
        <v/>
      </c>
      <c r="C691" s="194">
        <f>Kalkulasi!$B$621/12</f>
        <v/>
      </c>
      <c r="D691" s="197">
        <f>SUM(V641:V658)</f>
        <v/>
      </c>
      <c r="E691" s="194">
        <f>IF(D691=0,NA(),B691/D691)</f>
        <v/>
      </c>
      <c r="F691" s="194">
        <f>SUM($B$686:B691)</f>
        <v/>
      </c>
      <c r="G691" s="194">
        <f>SUM($C$686:C691)</f>
        <v/>
      </c>
      <c r="H691" s="194">
        <f>SUMIFS(INPUT_RITASE!$F$5:$F$20000,INPUT_RITASE!$A$5:$A$20000,Kalkulasi!$B$617,INPUT_RITASE!$B$5:$B$20000,A691,INPUT_RITASE!$N$5:$N$20000,Kalkulasi!$B$619)</f>
        <v/>
      </c>
      <c r="I691">
        <f>IF(B691&gt;0,6,0)</f>
        <v/>
      </c>
    </row>
    <row r="692">
      <c r="A692">
        <f>Kalkulasi!$A$631</f>
        <v/>
      </c>
      <c r="B692" s="194">
        <f>SUM(J641:J658)</f>
        <v/>
      </c>
      <c r="C692" s="194">
        <f>Kalkulasi!$B$621/12</f>
        <v/>
      </c>
      <c r="D692" s="197">
        <f>SUM(W641:W658)</f>
        <v/>
      </c>
      <c r="E692" s="194">
        <f>IF(D692=0,NA(),B692/D692)</f>
        <v/>
      </c>
      <c r="F692" s="194">
        <f>SUM($B$686:B692)</f>
        <v/>
      </c>
      <c r="G692" s="194">
        <f>SUM($C$686:C692)</f>
        <v/>
      </c>
      <c r="H692" s="194">
        <f>SUMIFS(INPUT_RITASE!$F$5:$F$20000,INPUT_RITASE!$A$5:$A$20000,Kalkulasi!$B$617,INPUT_RITASE!$B$5:$B$20000,A692,INPUT_RITASE!$N$5:$N$20000,Kalkulasi!$B$619)</f>
        <v/>
      </c>
      <c r="I692">
        <f>IF(B692&gt;0,7,0)</f>
        <v/>
      </c>
    </row>
    <row r="693">
      <c r="A693">
        <f>Kalkulasi!$A$632</f>
        <v/>
      </c>
      <c r="B693" s="194">
        <f>SUM(K641:K658)</f>
        <v/>
      </c>
      <c r="C693" s="194">
        <f>Kalkulasi!$B$621/12</f>
        <v/>
      </c>
      <c r="D693" s="197">
        <f>SUM(X641:X658)</f>
        <v/>
      </c>
      <c r="E693" s="194">
        <f>IF(D693=0,NA(),B693/D693)</f>
        <v/>
      </c>
      <c r="F693" s="194">
        <f>SUM($B$686:B693)</f>
        <v/>
      </c>
      <c r="G693" s="194">
        <f>SUM($C$686:C693)</f>
        <v/>
      </c>
      <c r="H693" s="194">
        <f>SUMIFS(INPUT_RITASE!$F$5:$F$20000,INPUT_RITASE!$A$5:$A$20000,Kalkulasi!$B$617,INPUT_RITASE!$B$5:$B$20000,A693,INPUT_RITASE!$N$5:$N$20000,Kalkulasi!$B$619)</f>
        <v/>
      </c>
      <c r="I693">
        <f>IF(B693&gt;0,8,0)</f>
        <v/>
      </c>
    </row>
    <row r="694">
      <c r="A694">
        <f>Kalkulasi!$A$633</f>
        <v/>
      </c>
      <c r="B694" s="194">
        <f>SUM(L641:L658)</f>
        <v/>
      </c>
      <c r="C694" s="194">
        <f>Kalkulasi!$B$621/12</f>
        <v/>
      </c>
      <c r="D694" s="197">
        <f>SUM(Y641:Y658)</f>
        <v/>
      </c>
      <c r="E694" s="194">
        <f>IF(D694=0,NA(),B694/D694)</f>
        <v/>
      </c>
      <c r="F694" s="194">
        <f>SUM($B$686:B694)</f>
        <v/>
      </c>
      <c r="G694" s="194">
        <f>SUM($C$686:C694)</f>
        <v/>
      </c>
      <c r="H694" s="194">
        <f>SUMIFS(INPUT_RITASE!$F$5:$F$20000,INPUT_RITASE!$A$5:$A$20000,Kalkulasi!$B$617,INPUT_RITASE!$B$5:$B$20000,A694,INPUT_RITASE!$N$5:$N$20000,Kalkulasi!$B$619)</f>
        <v/>
      </c>
      <c r="I694">
        <f>IF(B694&gt;0,9,0)</f>
        <v/>
      </c>
    </row>
    <row r="695">
      <c r="A695">
        <f>Kalkulasi!$A$634</f>
        <v/>
      </c>
      <c r="B695" s="194">
        <f>SUM(M641:M658)</f>
        <v/>
      </c>
      <c r="C695" s="194">
        <f>Kalkulasi!$B$621/12</f>
        <v/>
      </c>
      <c r="D695" s="197">
        <f>SUM(Z641:Z658)</f>
        <v/>
      </c>
      <c r="E695" s="194">
        <f>IF(D695=0,NA(),B695/D695)</f>
        <v/>
      </c>
      <c r="F695" s="194">
        <f>SUM($B$686:B695)</f>
        <v/>
      </c>
      <c r="G695" s="194">
        <f>SUM($C$686:C695)</f>
        <v/>
      </c>
      <c r="H695" s="194">
        <f>SUMIFS(INPUT_RITASE!$F$5:$F$20000,INPUT_RITASE!$A$5:$A$20000,Kalkulasi!$B$617,INPUT_RITASE!$B$5:$B$20000,A695,INPUT_RITASE!$N$5:$N$20000,Kalkulasi!$B$619)</f>
        <v/>
      </c>
      <c r="I695">
        <f>IF(B695&gt;0,10,0)</f>
        <v/>
      </c>
    </row>
    <row r="696">
      <c r="A696">
        <f>Kalkulasi!$A$635</f>
        <v/>
      </c>
      <c r="B696" s="194">
        <f>SUM(N641:N658)</f>
        <v/>
      </c>
      <c r="C696" s="194">
        <f>Kalkulasi!$B$621/12</f>
        <v/>
      </c>
      <c r="D696" s="197">
        <f>SUM(AA641:AA658)</f>
        <v/>
      </c>
      <c r="E696" s="194">
        <f>IF(D696=0,NA(),B696/D696)</f>
        <v/>
      </c>
      <c r="F696" s="194">
        <f>SUM($B$686:B696)</f>
        <v/>
      </c>
      <c r="G696" s="194">
        <f>SUM($C$686:C696)</f>
        <v/>
      </c>
      <c r="H696" s="194">
        <f>SUMIFS(INPUT_RITASE!$F$5:$F$20000,INPUT_RITASE!$A$5:$A$20000,Kalkulasi!$B$617,INPUT_RITASE!$B$5:$B$20000,A696,INPUT_RITASE!$N$5:$N$20000,Kalkulasi!$B$619)</f>
        <v/>
      </c>
      <c r="I696">
        <f>IF(B696&gt;0,11,0)</f>
        <v/>
      </c>
    </row>
    <row r="697">
      <c r="A697">
        <f>Kalkulasi!$A$636</f>
        <v/>
      </c>
      <c r="B697" s="194">
        <f>SUM(O641:O658)</f>
        <v/>
      </c>
      <c r="C697" s="194">
        <f>Kalkulasi!$B$621/12</f>
        <v/>
      </c>
      <c r="D697" s="197">
        <f>SUM(AB641:AB658)</f>
        <v/>
      </c>
      <c r="E697" s="194">
        <f>IF(D697=0,NA(),B697/D697)</f>
        <v/>
      </c>
      <c r="F697" s="194">
        <f>SUM($B$686:B697)</f>
        <v/>
      </c>
      <c r="G697" s="194">
        <f>SUM($C$686:C697)</f>
        <v/>
      </c>
      <c r="H697" s="194">
        <f>SUMIFS(INPUT_RITASE!$F$5:$F$20000,INPUT_RITASE!$A$5:$A$20000,Kalkulasi!$B$617,INPUT_RITASE!$B$5:$B$20000,A697,INPUT_RITASE!$N$5:$N$20000,Kalkulasi!$B$619)</f>
        <v/>
      </c>
      <c r="I697">
        <f>IF(B697&gt;0,12,0)</f>
        <v/>
      </c>
    </row>
    <row r="700">
      <c r="A700" s="171" t="inlineStr">
        <is>
          <t>PER JAM — KPI</t>
        </is>
      </c>
    </row>
    <row r="701">
      <c r="A701" t="inlineStr">
        <is>
          <t>Produksi shift</t>
        </is>
      </c>
      <c r="B701" s="194">
        <f>SUM(B686:B697)</f>
        <v/>
      </c>
    </row>
    <row r="702">
      <c r="A702" t="inlineStr">
        <is>
          <t>Ritase shift</t>
        </is>
      </c>
      <c r="B702" s="194">
        <f>SUM(H686:H697)</f>
        <v/>
      </c>
    </row>
    <row r="703">
      <c r="A703" t="inlineStr">
        <is>
          <t>EWH shift</t>
        </is>
      </c>
      <c r="B703" s="197">
        <f>SUM(D686:D697)</f>
        <v/>
      </c>
    </row>
    <row r="704">
      <c r="A704" t="inlineStr">
        <is>
          <t>PTY fleet</t>
        </is>
      </c>
      <c r="B704" s="194">
        <f>IF(Kalkulasi!$B$703=0,0,Kalkulasi!$B$701/Kalkulasi!$B$703)</f>
        <v/>
      </c>
    </row>
    <row r="705">
      <c r="A705" t="inlineStr">
        <is>
          <t>Achievement vs plan shift</t>
        </is>
      </c>
      <c r="B705" s="198">
        <f>IF(Kalkulasi!$B$621=0,0,Kalkulasi!$B$701/Kalkulasi!$B$621)</f>
        <v/>
      </c>
    </row>
    <row r="706">
      <c r="A706" t="inlineStr">
        <is>
          <t>Index jam terakhir</t>
        </is>
      </c>
      <c r="B706" s="193">
        <f>MAX(I686:I697)</f>
        <v/>
      </c>
    </row>
    <row r="707">
      <c r="A707" t="inlineStr">
        <is>
          <t>Jam terakhir terisi</t>
        </is>
      </c>
      <c r="B707">
        <f>IF(Kalkulasi!$B$706=0,"–",INDEX(A686:A697,Kalkulasi!$B$706))</f>
        <v/>
      </c>
    </row>
    <row r="708">
      <c r="A708" t="inlineStr">
        <is>
          <t>Plan s/d jam terakhir</t>
        </is>
      </c>
      <c r="B708" s="194">
        <f>IF(Kalkulasi!$B$706=0,0,INDEX(G686:G697,Kalkulasi!$B$706))</f>
        <v/>
      </c>
    </row>
    <row r="709">
      <c r="A709" t="inlineStr">
        <is>
          <t>Digger aktif</t>
        </is>
      </c>
      <c r="B709" s="193">
        <f>COUNTIF(P641:P658,"&gt;0")</f>
        <v/>
      </c>
    </row>
    <row r="710">
      <c r="A710" t="inlineStr">
        <is>
          <t>Digger on target</t>
        </is>
      </c>
      <c r="B710" s="193">
        <f>SUM(AT641:AT658)</f>
        <v/>
      </c>
    </row>
    <row r="711">
      <c r="A711" t="inlineStr">
        <is>
          <t>Menit hujan+slippery (SEMUA)</t>
        </is>
      </c>
      <c r="B711" s="193">
        <f>SUMIFS(INPUT_DELAY!$E$5:$E$20000,INPUT_DELAY!$A$5:$A$20000,Kalkulasi!$B$617,INPUT_DELAY!$G$5:$G$20000,Kalkulasi!$B$618,INPUT_DELAY!$C$5:$C$20000,"SEMUA",INPUT_DELAY!$D$5:$D$20000,"Rain")+SUMIFS(INPUT_DELAY!$E$5:$E$20000,INPUT_DELAY!$A$5:$A$20000,Kalkulasi!$B$617,INPUT_DELAY!$G$5:$G$20000,Kalkulasi!$B$618,INPUT_DELAY!$C$5:$C$20000,"SEMUA",INPUT_DELAY!$D$5:$D$20000,"Slippery")</f>
        <v/>
      </c>
    </row>
    <row r="712">
      <c r="A712" t="inlineStr">
        <is>
          <t>Produksi excavator di DATA_TS (shift)</t>
        </is>
      </c>
      <c r="B712" s="194">
        <f>SUMIFS(DATA_TS!$Q$2:$Q$20001,DATA_TS!$A$2:$A$20001,Kalkulasi!$B$617,DATA_TS!$B$2:$B$20001,Kalkulasi!$B$618,DATA_TS!$E$2:$E$20001,"Excavator")*(Kalkulasi!$B$619="OB")+SUMIFS(DATA_TS!$R$2:$R$20001,DATA_TS!$A$2:$A$20001,Kalkulasi!$B$617,DATA_TS!$B$2:$B$20001,Kalkulasi!$B$618,DATA_TS!$E$2:$E$20001,"Excavator")*(Kalkulasi!$B$619="Coal")</f>
        <v/>
      </c>
    </row>
    <row r="714">
      <c r="A714" s="171" t="inlineStr">
        <is>
          <t>PER JAM — teks laporan WA</t>
        </is>
      </c>
    </row>
    <row r="715">
      <c r="A715">
        <f>A641</f>
        <v/>
      </c>
      <c r="B715">
        <f>IFERROR(MATCH(Kalkulasi!$B$620,$D$640:$O$640,0),0)</f>
        <v/>
      </c>
      <c r="C715">
        <f>IF(B715=0,0,INDEX($D641:$O641,B715))</f>
        <v/>
      </c>
      <c r="D715">
        <f>IF(B715=0,"",INDEX($AD641:$AO641,B715))</f>
        <v/>
      </c>
      <c r="E715">
        <f>IF(C715=0,"","• "&amp;$A641&amp;" ("&amp;$B641&amp;"): "&amp;TEXT(D715,"#,##0")&amp;" "&amp;IF(Kalkulasi!$B$619="OB","BCM","MT")&amp;"/jam"&amp;IF($C641&gt;0,IF(D715&gt;=$C641,"  ✅"," ⚠️ (target "&amp;$C641&amp;")"),""))</f>
        <v/>
      </c>
    </row>
    <row r="716">
      <c r="A716">
        <f>A642</f>
        <v/>
      </c>
      <c r="B716">
        <f>IFERROR(MATCH(Kalkulasi!$B$620,$D$640:$O$640,0),0)</f>
        <v/>
      </c>
      <c r="C716">
        <f>IF(B716=0,0,INDEX($D642:$O642,B716))</f>
        <v/>
      </c>
      <c r="D716">
        <f>IF(B716=0,"",INDEX($AD642:$AO642,B716))</f>
        <v/>
      </c>
      <c r="E716">
        <f>IF(C716=0,"","• "&amp;$A642&amp;" ("&amp;$B642&amp;"): "&amp;TEXT(D716,"#,##0")&amp;" "&amp;IF(Kalkulasi!$B$619="OB","BCM","MT")&amp;"/jam"&amp;IF($C642&gt;0,IF(D716&gt;=$C642,"  ✅"," ⚠️ (target "&amp;$C642&amp;")"),""))</f>
        <v/>
      </c>
    </row>
    <row r="717">
      <c r="A717">
        <f>A643</f>
        <v/>
      </c>
      <c r="B717">
        <f>IFERROR(MATCH(Kalkulasi!$B$620,$D$640:$O$640,0),0)</f>
        <v/>
      </c>
      <c r="C717">
        <f>IF(B717=0,0,INDEX($D643:$O643,B717))</f>
        <v/>
      </c>
      <c r="D717">
        <f>IF(B717=0,"",INDEX($AD643:$AO643,B717))</f>
        <v/>
      </c>
      <c r="E717">
        <f>IF(C717=0,"","• "&amp;$A643&amp;" ("&amp;$B643&amp;"): "&amp;TEXT(D717,"#,##0")&amp;" "&amp;IF(Kalkulasi!$B$619="OB","BCM","MT")&amp;"/jam"&amp;IF($C643&gt;0,IF(D717&gt;=$C643,"  ✅"," ⚠️ (target "&amp;$C643&amp;")"),""))</f>
        <v/>
      </c>
    </row>
    <row r="718">
      <c r="A718">
        <f>A644</f>
        <v/>
      </c>
      <c r="B718">
        <f>IFERROR(MATCH(Kalkulasi!$B$620,$D$640:$O$640,0),0)</f>
        <v/>
      </c>
      <c r="C718">
        <f>IF(B718=0,0,INDEX($D644:$O644,B718))</f>
        <v/>
      </c>
      <c r="D718">
        <f>IF(B718=0,"",INDEX($AD644:$AO644,B718))</f>
        <v/>
      </c>
      <c r="E718">
        <f>IF(C718=0,"","• "&amp;$A644&amp;" ("&amp;$B644&amp;"): "&amp;TEXT(D718,"#,##0")&amp;" "&amp;IF(Kalkulasi!$B$619="OB","BCM","MT")&amp;"/jam"&amp;IF($C644&gt;0,IF(D718&gt;=$C644,"  ✅"," ⚠️ (target "&amp;$C644&amp;")"),""))</f>
        <v/>
      </c>
    </row>
    <row r="719">
      <c r="A719">
        <f>A645</f>
        <v/>
      </c>
      <c r="B719">
        <f>IFERROR(MATCH(Kalkulasi!$B$620,$D$640:$O$640,0),0)</f>
        <v/>
      </c>
      <c r="C719">
        <f>IF(B719=0,0,INDEX($D645:$O645,B719))</f>
        <v/>
      </c>
      <c r="D719">
        <f>IF(B719=0,"",INDEX($AD645:$AO645,B719))</f>
        <v/>
      </c>
      <c r="E719">
        <f>IF(C719=0,"","• "&amp;$A645&amp;" ("&amp;$B645&amp;"): "&amp;TEXT(D719,"#,##0")&amp;" "&amp;IF(Kalkulasi!$B$619="OB","BCM","MT")&amp;"/jam"&amp;IF($C645&gt;0,IF(D719&gt;=$C645,"  ✅"," ⚠️ (target "&amp;$C645&amp;")"),""))</f>
        <v/>
      </c>
    </row>
    <row r="720">
      <c r="A720">
        <f>A646</f>
        <v/>
      </c>
      <c r="B720">
        <f>IFERROR(MATCH(Kalkulasi!$B$620,$D$640:$O$640,0),0)</f>
        <v/>
      </c>
      <c r="C720">
        <f>IF(B720=0,0,INDEX($D646:$O646,B720))</f>
        <v/>
      </c>
      <c r="D720">
        <f>IF(B720=0,"",INDEX($AD646:$AO646,B720))</f>
        <v/>
      </c>
      <c r="E720">
        <f>IF(C720=0,"","• "&amp;$A646&amp;" ("&amp;$B646&amp;"): "&amp;TEXT(D720,"#,##0")&amp;" "&amp;IF(Kalkulasi!$B$619="OB","BCM","MT")&amp;"/jam"&amp;IF($C646&gt;0,IF(D720&gt;=$C646,"  ✅"," ⚠️ (target "&amp;$C646&amp;")"),""))</f>
        <v/>
      </c>
    </row>
    <row r="721">
      <c r="A721">
        <f>A647</f>
        <v/>
      </c>
      <c r="B721">
        <f>IFERROR(MATCH(Kalkulasi!$B$620,$D$640:$O$640,0),0)</f>
        <v/>
      </c>
      <c r="C721">
        <f>IF(B721=0,0,INDEX($D647:$O647,B721))</f>
        <v/>
      </c>
      <c r="D721">
        <f>IF(B721=0,"",INDEX($AD647:$AO647,B721))</f>
        <v/>
      </c>
      <c r="E721">
        <f>IF(C721=0,"","• "&amp;$A647&amp;" ("&amp;$B647&amp;"): "&amp;TEXT(D721,"#,##0")&amp;" "&amp;IF(Kalkulasi!$B$619="OB","BCM","MT")&amp;"/jam"&amp;IF($C647&gt;0,IF(D721&gt;=$C647,"  ✅"," ⚠️ (target "&amp;$C647&amp;")"),""))</f>
        <v/>
      </c>
    </row>
    <row r="722">
      <c r="A722">
        <f>A648</f>
        <v/>
      </c>
      <c r="B722">
        <f>IFERROR(MATCH(Kalkulasi!$B$620,$D$640:$O$640,0),0)</f>
        <v/>
      </c>
      <c r="C722">
        <f>IF(B722=0,0,INDEX($D648:$O648,B722))</f>
        <v/>
      </c>
      <c r="D722">
        <f>IF(B722=0,"",INDEX($AD648:$AO648,B722))</f>
        <v/>
      </c>
      <c r="E722">
        <f>IF(C722=0,"","• "&amp;$A648&amp;" ("&amp;$B648&amp;"): "&amp;TEXT(D722,"#,##0")&amp;" "&amp;IF(Kalkulasi!$B$619="OB","BCM","MT")&amp;"/jam"&amp;IF($C648&gt;0,IF(D722&gt;=$C648,"  ✅"," ⚠️ (target "&amp;$C648&amp;")"),""))</f>
        <v/>
      </c>
    </row>
    <row r="723">
      <c r="A723">
        <f>A649</f>
        <v/>
      </c>
      <c r="B723">
        <f>IFERROR(MATCH(Kalkulasi!$B$620,$D$640:$O$640,0),0)</f>
        <v/>
      </c>
      <c r="C723">
        <f>IF(B723=0,0,INDEX($D649:$O649,B723))</f>
        <v/>
      </c>
      <c r="D723">
        <f>IF(B723=0,"",INDEX($AD649:$AO649,B723))</f>
        <v/>
      </c>
      <c r="E723">
        <f>IF(C723=0,"","• "&amp;$A649&amp;" ("&amp;$B649&amp;"): "&amp;TEXT(D723,"#,##0")&amp;" "&amp;IF(Kalkulasi!$B$619="OB","BCM","MT")&amp;"/jam"&amp;IF($C649&gt;0,IF(D723&gt;=$C649,"  ✅"," ⚠️ (target "&amp;$C649&amp;")"),""))</f>
        <v/>
      </c>
    </row>
    <row r="724">
      <c r="A724">
        <f>A650</f>
        <v/>
      </c>
      <c r="B724">
        <f>IFERROR(MATCH(Kalkulasi!$B$620,$D$640:$O$640,0),0)</f>
        <v/>
      </c>
      <c r="C724">
        <f>IF(B724=0,0,INDEX($D650:$O650,B724))</f>
        <v/>
      </c>
      <c r="D724">
        <f>IF(B724=0,"",INDEX($AD650:$AO650,B724))</f>
        <v/>
      </c>
      <c r="E724">
        <f>IF(C724=0,"","• "&amp;$A650&amp;" ("&amp;$B650&amp;"): "&amp;TEXT(D724,"#,##0")&amp;" "&amp;IF(Kalkulasi!$B$619="OB","BCM","MT")&amp;"/jam"&amp;IF($C650&gt;0,IF(D724&gt;=$C650,"  ✅"," ⚠️ (target "&amp;$C650&amp;")"),""))</f>
        <v/>
      </c>
    </row>
    <row r="725">
      <c r="A725">
        <f>A651</f>
        <v/>
      </c>
      <c r="B725">
        <f>IFERROR(MATCH(Kalkulasi!$B$620,$D$640:$O$640,0),0)</f>
        <v/>
      </c>
      <c r="C725">
        <f>IF(B725=0,0,INDEX($D651:$O651,B725))</f>
        <v/>
      </c>
      <c r="D725">
        <f>IF(B725=0,"",INDEX($AD651:$AO651,B725))</f>
        <v/>
      </c>
      <c r="E725">
        <f>IF(C725=0,"","• "&amp;$A651&amp;" ("&amp;$B651&amp;"): "&amp;TEXT(D725,"#,##0")&amp;" "&amp;IF(Kalkulasi!$B$619="OB","BCM","MT")&amp;"/jam"&amp;IF($C651&gt;0,IF(D725&gt;=$C651,"  ✅"," ⚠️ (target "&amp;$C651&amp;")"),""))</f>
        <v/>
      </c>
    </row>
    <row r="726">
      <c r="A726">
        <f>A652</f>
        <v/>
      </c>
      <c r="B726">
        <f>IFERROR(MATCH(Kalkulasi!$B$620,$D$640:$O$640,0),0)</f>
        <v/>
      </c>
      <c r="C726">
        <f>IF(B726=0,0,INDEX($D652:$O652,B726))</f>
        <v/>
      </c>
      <c r="D726">
        <f>IF(B726=0,"",INDEX($AD652:$AO652,B726))</f>
        <v/>
      </c>
      <c r="E726">
        <f>IF(C726=0,"","• "&amp;$A652&amp;" ("&amp;$B652&amp;"): "&amp;TEXT(D726,"#,##0")&amp;" "&amp;IF(Kalkulasi!$B$619="OB","BCM","MT")&amp;"/jam"&amp;IF($C652&gt;0,IF(D726&gt;=$C652,"  ✅"," ⚠️ (target "&amp;$C652&amp;")"),""))</f>
        <v/>
      </c>
    </row>
    <row r="727">
      <c r="A727">
        <f>A653</f>
        <v/>
      </c>
      <c r="B727">
        <f>IFERROR(MATCH(Kalkulasi!$B$620,$D$640:$O$640,0),0)</f>
        <v/>
      </c>
      <c r="C727">
        <f>IF(B727=0,0,INDEX($D653:$O653,B727))</f>
        <v/>
      </c>
      <c r="D727">
        <f>IF(B727=0,"",INDEX($AD653:$AO653,B727))</f>
        <v/>
      </c>
      <c r="E727">
        <f>IF(C727=0,"","• "&amp;$A653&amp;" ("&amp;$B653&amp;"): "&amp;TEXT(D727,"#,##0")&amp;" "&amp;IF(Kalkulasi!$B$619="OB","BCM","MT")&amp;"/jam"&amp;IF($C653&gt;0,IF(D727&gt;=$C653,"  ✅"," ⚠️ (target "&amp;$C653&amp;")"),""))</f>
        <v/>
      </c>
    </row>
    <row r="728">
      <c r="A728">
        <f>A654</f>
        <v/>
      </c>
      <c r="B728">
        <f>IFERROR(MATCH(Kalkulasi!$B$620,$D$640:$O$640,0),0)</f>
        <v/>
      </c>
      <c r="C728">
        <f>IF(B728=0,0,INDEX($D654:$O654,B728))</f>
        <v/>
      </c>
      <c r="D728">
        <f>IF(B728=0,"",INDEX($AD654:$AO654,B728))</f>
        <v/>
      </c>
      <c r="E728">
        <f>IF(C728=0,"","• "&amp;$A654&amp;" ("&amp;$B654&amp;"): "&amp;TEXT(D728,"#,##0")&amp;" "&amp;IF(Kalkulasi!$B$619="OB","BCM","MT")&amp;"/jam"&amp;IF($C654&gt;0,IF(D728&gt;=$C654,"  ✅"," ⚠️ (target "&amp;$C654&amp;")"),""))</f>
        <v/>
      </c>
    </row>
    <row r="729">
      <c r="A729">
        <f>A655</f>
        <v/>
      </c>
      <c r="B729">
        <f>IFERROR(MATCH(Kalkulasi!$B$620,$D$640:$O$640,0),0)</f>
        <v/>
      </c>
      <c r="C729">
        <f>IF(B729=0,0,INDEX($D655:$O655,B729))</f>
        <v/>
      </c>
      <c r="D729">
        <f>IF(B729=0,"",INDEX($AD655:$AO655,B729))</f>
        <v/>
      </c>
      <c r="E729">
        <f>IF(C729=0,"","• "&amp;$A655&amp;" ("&amp;$B655&amp;"): "&amp;TEXT(D729,"#,##0")&amp;" "&amp;IF(Kalkulasi!$B$619="OB","BCM","MT")&amp;"/jam"&amp;IF($C655&gt;0,IF(D729&gt;=$C655,"  ✅"," ⚠️ (target "&amp;$C655&amp;")"),""))</f>
        <v/>
      </c>
    </row>
    <row r="730">
      <c r="A730">
        <f>A656</f>
        <v/>
      </c>
      <c r="B730">
        <f>IFERROR(MATCH(Kalkulasi!$B$620,$D$640:$O$640,0),0)</f>
        <v/>
      </c>
      <c r="C730">
        <f>IF(B730=0,0,INDEX($D656:$O656,B730))</f>
        <v/>
      </c>
      <c r="D730">
        <f>IF(B730=0,"",INDEX($AD656:$AO656,B730))</f>
        <v/>
      </c>
      <c r="E730">
        <f>IF(C730=0,"","• "&amp;$A656&amp;" ("&amp;$B656&amp;"): "&amp;TEXT(D730,"#,##0")&amp;" "&amp;IF(Kalkulasi!$B$619="OB","BCM","MT")&amp;"/jam"&amp;IF($C656&gt;0,IF(D730&gt;=$C656,"  ✅"," ⚠️ (target "&amp;$C656&amp;")"),""))</f>
        <v/>
      </c>
    </row>
    <row r="731">
      <c r="A731">
        <f>A657</f>
        <v/>
      </c>
      <c r="B731">
        <f>IFERROR(MATCH(Kalkulasi!$B$620,$D$640:$O$640,0),0)</f>
        <v/>
      </c>
      <c r="C731">
        <f>IF(B731=0,0,INDEX($D657:$O657,B731))</f>
        <v/>
      </c>
      <c r="D731">
        <f>IF(B731=0,"",INDEX($AD657:$AO657,B731))</f>
        <v/>
      </c>
      <c r="E731">
        <f>IF(C731=0,"","• "&amp;$A657&amp;" ("&amp;$B657&amp;"): "&amp;TEXT(D731,"#,##0")&amp;" "&amp;IF(Kalkulasi!$B$619="OB","BCM","MT")&amp;"/jam"&amp;IF($C657&gt;0,IF(D731&gt;=$C657,"  ✅"," ⚠️ (target "&amp;$C657&amp;")"),""))</f>
        <v/>
      </c>
    </row>
    <row r="732">
      <c r="A732">
        <f>A658</f>
        <v/>
      </c>
      <c r="B732">
        <f>IFERROR(MATCH(Kalkulasi!$B$620,$D$640:$O$640,0),0)</f>
        <v/>
      </c>
      <c r="C732">
        <f>IF(B732=0,0,INDEX($D658:$O658,B732))</f>
        <v/>
      </c>
      <c r="D732">
        <f>IF(B732=0,"",INDEX($AD658:$AO658,B732))</f>
        <v/>
      </c>
      <c r="E732">
        <f>IF(C732=0,"","• "&amp;$A658&amp;" ("&amp;$B658&amp;"): "&amp;TEXT(D732,"#,##0")&amp;" "&amp;IF(Kalkulasi!$B$619="OB","BCM","MT")&amp;"/jam"&amp;IF($C658&gt;0,IF(D732&gt;=$C658,"  ✅"," ⚠️ (target "&amp;$C658&amp;")"),""))</f>
        <v/>
      </c>
    </row>
    <row r="733">
      <c r="A733" t="inlineStr">
        <is>
          <t>Teks</t>
        </is>
      </c>
      <c r="B733">
        <f>"*Laporan PTY per jam ["&amp;Kalkulasi!$B$620&amp;"] · "&amp;TEXT(Kalkulasi!$B$617,"dd mmm yyyy")&amp;" · "&amp;Kalkulasi!$B$618&amp;"*"&amp;CHAR(10)&amp;IF(COUNTIF(Kalkulasi!$E$715:$E$732,"?*")=0,"Belum ada ritase di jam ini.",_xlfn.TEXTJOIN(CHAR(10),TRUE,Kalkulasi!$E$715:$E$732))&amp;CHAR(10)&amp;"Total jam ini: "&amp;TEXT(IF(IFERROR(MATCH(Kalkulasi!$B$620,Kalkulasi!$A$686:$A$697,0),0)=0,0,INDEX(Kalkulasi!$B$686:$B$697,IFERROR(MATCH(Kalkulasi!$B$620,Kalkulasi!$A$686:$A$697,0),0))),"#,##0")&amp;" "&amp;IF(Kalkulasi!$B$619="OB","BCM","MT")&amp;" · kumulatif shift: "&amp;TEXT(IF(IFERROR(MATCH(Kalkulasi!$B$620,Kalkulasi!$A$686:$A$697,0),0)=0,0,INDEX(Kalkulasi!$F$686:$F$697,IFERROR(MATCH(Kalkulasi!$B$620,Kalkulasi!$A$686:$A$697,0),0))),"#,##0")&amp;" / plan "&amp;TEXT(IF(IFERROR(MATCH(Kalkulasi!$B$620,Kalkulasi!$A$686:$A$697,0),0)=0,0,INDEX(Kalkulasi!$G$686:$G$697,IFERROR(MATCH(Kalkulasi!$B$620,Kalkulasi!$A$686:$A$697,0),0))),"#,##0")&amp;" "&amp;IF(Kalkulasi!$B$619="OB","BCM","MT")</f>
        <v/>
      </c>
    </row>
    <row r="736">
      <c r="A736" s="171" t="inlineStr">
        <is>
          <t>PER JAM — PTY per digger (chart)</t>
        </is>
      </c>
    </row>
    <row r="737">
      <c r="A737" t="inlineStr">
        <is>
          <t>Digger</t>
        </is>
      </c>
      <c r="B737" t="inlineStr">
        <is>
          <t>PTY shift</t>
        </is>
      </c>
      <c r="C737" t="inlineStr">
        <is>
          <t>Target</t>
        </is>
      </c>
    </row>
    <row r="738">
      <c r="A738">
        <f>IF(INDEX(Kalkulasi!$P$641:$P$658,Kalkulasi!$A$663)=0,"",INDEX(Kalkulasi!$A$641:$A$658,Kalkulasi!$A$663))</f>
        <v/>
      </c>
      <c r="B738">
        <f>IF(INDEX(Kalkulasi!$P$641:$P$658,Kalkulasi!$A$663)=0,NA(),INDEX(Kalkulasi!$AP$641:$AP$658,Kalkulasi!$A$663))</f>
        <v/>
      </c>
      <c r="C738">
        <f>IF(OR(INDEX(Kalkulasi!$P$641:$P$658,Kalkulasi!$A$663)=0,INDEX(Kalkulasi!$C$641:$C$658,Kalkulasi!$A$663)=0),NA(),INDEX(Kalkulasi!$C$641:$C$658,Kalkulasi!$A$663))</f>
        <v/>
      </c>
    </row>
    <row r="739">
      <c r="A739">
        <f>IF(INDEX(Kalkulasi!$P$641:$P$658,Kalkulasi!$A$664)=0,"",INDEX(Kalkulasi!$A$641:$A$658,Kalkulasi!$A$664))</f>
        <v/>
      </c>
      <c r="B739">
        <f>IF(INDEX(Kalkulasi!$P$641:$P$658,Kalkulasi!$A$664)=0,NA(),INDEX(Kalkulasi!$AP$641:$AP$658,Kalkulasi!$A$664))</f>
        <v/>
      </c>
      <c r="C739">
        <f>IF(OR(INDEX(Kalkulasi!$P$641:$P$658,Kalkulasi!$A$664)=0,INDEX(Kalkulasi!$C$641:$C$658,Kalkulasi!$A$664)=0),NA(),INDEX(Kalkulasi!$C$641:$C$658,Kalkulasi!$A$664))</f>
        <v/>
      </c>
    </row>
    <row r="740">
      <c r="A740">
        <f>IF(INDEX(Kalkulasi!$P$641:$P$658,Kalkulasi!$A$665)=0,"",INDEX(Kalkulasi!$A$641:$A$658,Kalkulasi!$A$665))</f>
        <v/>
      </c>
      <c r="B740">
        <f>IF(INDEX(Kalkulasi!$P$641:$P$658,Kalkulasi!$A$665)=0,NA(),INDEX(Kalkulasi!$AP$641:$AP$658,Kalkulasi!$A$665))</f>
        <v/>
      </c>
      <c r="C740">
        <f>IF(OR(INDEX(Kalkulasi!$P$641:$P$658,Kalkulasi!$A$665)=0,INDEX(Kalkulasi!$C$641:$C$658,Kalkulasi!$A$665)=0),NA(),INDEX(Kalkulasi!$C$641:$C$658,Kalkulasi!$A$665))</f>
        <v/>
      </c>
    </row>
    <row r="741">
      <c r="A741">
        <f>IF(INDEX(Kalkulasi!$P$641:$P$658,Kalkulasi!$A$666)=0,"",INDEX(Kalkulasi!$A$641:$A$658,Kalkulasi!$A$666))</f>
        <v/>
      </c>
      <c r="B741">
        <f>IF(INDEX(Kalkulasi!$P$641:$P$658,Kalkulasi!$A$666)=0,NA(),INDEX(Kalkulasi!$AP$641:$AP$658,Kalkulasi!$A$666))</f>
        <v/>
      </c>
      <c r="C741">
        <f>IF(OR(INDEX(Kalkulasi!$P$641:$P$658,Kalkulasi!$A$666)=0,INDEX(Kalkulasi!$C$641:$C$658,Kalkulasi!$A$666)=0),NA(),INDEX(Kalkulasi!$C$641:$C$658,Kalkulasi!$A$666))</f>
        <v/>
      </c>
    </row>
    <row r="742">
      <c r="A742">
        <f>IF(INDEX(Kalkulasi!$P$641:$P$658,Kalkulasi!$A$667)=0,"",INDEX(Kalkulasi!$A$641:$A$658,Kalkulasi!$A$667))</f>
        <v/>
      </c>
      <c r="B742">
        <f>IF(INDEX(Kalkulasi!$P$641:$P$658,Kalkulasi!$A$667)=0,NA(),INDEX(Kalkulasi!$AP$641:$AP$658,Kalkulasi!$A$667))</f>
        <v/>
      </c>
      <c r="C742">
        <f>IF(OR(INDEX(Kalkulasi!$P$641:$P$658,Kalkulasi!$A$667)=0,INDEX(Kalkulasi!$C$641:$C$658,Kalkulasi!$A$667)=0),NA(),INDEX(Kalkulasi!$C$641:$C$658,Kalkulasi!$A$667))</f>
        <v/>
      </c>
    </row>
    <row r="743">
      <c r="A743">
        <f>IF(INDEX(Kalkulasi!$P$641:$P$658,Kalkulasi!$A$668)=0,"",INDEX(Kalkulasi!$A$641:$A$658,Kalkulasi!$A$668))</f>
        <v/>
      </c>
      <c r="B743">
        <f>IF(INDEX(Kalkulasi!$P$641:$P$658,Kalkulasi!$A$668)=0,NA(),INDEX(Kalkulasi!$AP$641:$AP$658,Kalkulasi!$A$668))</f>
        <v/>
      </c>
      <c r="C743">
        <f>IF(OR(INDEX(Kalkulasi!$P$641:$P$658,Kalkulasi!$A$668)=0,INDEX(Kalkulasi!$C$641:$C$658,Kalkulasi!$A$668)=0),NA(),INDEX(Kalkulasi!$C$641:$C$658,Kalkulasi!$A$668))</f>
        <v/>
      </c>
    </row>
    <row r="744">
      <c r="A744">
        <f>IF(INDEX(Kalkulasi!$P$641:$P$658,Kalkulasi!$A$669)=0,"",INDEX(Kalkulasi!$A$641:$A$658,Kalkulasi!$A$669))</f>
        <v/>
      </c>
      <c r="B744">
        <f>IF(INDEX(Kalkulasi!$P$641:$P$658,Kalkulasi!$A$669)=0,NA(),INDEX(Kalkulasi!$AP$641:$AP$658,Kalkulasi!$A$669))</f>
        <v/>
      </c>
      <c r="C744">
        <f>IF(OR(INDEX(Kalkulasi!$P$641:$P$658,Kalkulasi!$A$669)=0,INDEX(Kalkulasi!$C$641:$C$658,Kalkulasi!$A$669)=0),NA(),INDEX(Kalkulasi!$C$641:$C$658,Kalkulasi!$A$669))</f>
        <v/>
      </c>
    </row>
    <row r="745">
      <c r="A745">
        <f>IF(INDEX(Kalkulasi!$P$641:$P$658,Kalkulasi!$A$670)=0,"",INDEX(Kalkulasi!$A$641:$A$658,Kalkulasi!$A$670))</f>
        <v/>
      </c>
      <c r="B745">
        <f>IF(INDEX(Kalkulasi!$P$641:$P$658,Kalkulasi!$A$670)=0,NA(),INDEX(Kalkulasi!$AP$641:$AP$658,Kalkulasi!$A$670))</f>
        <v/>
      </c>
      <c r="C745">
        <f>IF(OR(INDEX(Kalkulasi!$P$641:$P$658,Kalkulasi!$A$670)=0,INDEX(Kalkulasi!$C$641:$C$658,Kalkulasi!$A$670)=0),NA(),INDEX(Kalkulasi!$C$641:$C$658,Kalkulasi!$A$670))</f>
        <v/>
      </c>
    </row>
    <row r="746">
      <c r="A746">
        <f>IF(INDEX(Kalkulasi!$P$641:$P$658,Kalkulasi!$A$671)=0,"",INDEX(Kalkulasi!$A$641:$A$658,Kalkulasi!$A$671))</f>
        <v/>
      </c>
      <c r="B746">
        <f>IF(INDEX(Kalkulasi!$P$641:$P$658,Kalkulasi!$A$671)=0,NA(),INDEX(Kalkulasi!$AP$641:$AP$658,Kalkulasi!$A$671))</f>
        <v/>
      </c>
      <c r="C746">
        <f>IF(OR(INDEX(Kalkulasi!$P$641:$P$658,Kalkulasi!$A$671)=0,INDEX(Kalkulasi!$C$641:$C$658,Kalkulasi!$A$671)=0),NA(),INDEX(Kalkulasi!$C$641:$C$658,Kalkulasi!$A$671))</f>
        <v/>
      </c>
    </row>
    <row r="747">
      <c r="A747">
        <f>IF(INDEX(Kalkulasi!$P$641:$P$658,Kalkulasi!$A$672)=0,"",INDEX(Kalkulasi!$A$641:$A$658,Kalkulasi!$A$672))</f>
        <v/>
      </c>
      <c r="B747">
        <f>IF(INDEX(Kalkulasi!$P$641:$P$658,Kalkulasi!$A$672)=0,NA(),INDEX(Kalkulasi!$AP$641:$AP$658,Kalkulasi!$A$672))</f>
        <v/>
      </c>
      <c r="C747">
        <f>IF(OR(INDEX(Kalkulasi!$P$641:$P$658,Kalkulasi!$A$672)=0,INDEX(Kalkulasi!$C$641:$C$658,Kalkulasi!$A$672)=0),NA(),INDEX(Kalkulasi!$C$641:$C$658,Kalkulasi!$A$672))</f>
        <v/>
      </c>
    </row>
    <row r="750">
      <c r="A750" s="171" t="inlineStr">
        <is>
          <t>FLEET — filter</t>
        </is>
      </c>
    </row>
    <row r="751">
      <c r="A751" t="inlineStr">
        <is>
          <t>Tanggal</t>
        </is>
      </c>
      <c r="B751" s="192">
        <f>'Fleet &amp; Delay'!$E$6</f>
        <v/>
      </c>
    </row>
    <row r="752">
      <c r="A752" t="inlineStr">
        <is>
          <t>Shift</t>
        </is>
      </c>
      <c r="B752">
        <f>'Fleet &amp; Delay'!$I$6</f>
        <v/>
      </c>
    </row>
    <row r="753">
      <c r="A753" t="inlineStr">
        <is>
          <t>Grup</t>
        </is>
      </c>
      <c r="B753">
        <f>'Fleet &amp; Delay'!$L$6</f>
        <v/>
      </c>
    </row>
    <row r="755">
      <c r="A755" s="171" t="inlineStr">
        <is>
          <t>FLEET — jam shift</t>
        </is>
      </c>
    </row>
    <row r="756">
      <c r="A756">
        <f>IF(Kalkulasi!$B$752="DS",INDEX(Kalkulasi!$D$552:$D$563,1),INDEX(Kalkulasi!$E$552:$E$563,1))</f>
        <v/>
      </c>
    </row>
    <row r="757">
      <c r="A757">
        <f>IF(Kalkulasi!$B$752="DS",INDEX(Kalkulasi!$D$552:$D$563,2),INDEX(Kalkulasi!$E$552:$E$563,2))</f>
        <v/>
      </c>
    </row>
    <row r="758">
      <c r="A758">
        <f>IF(Kalkulasi!$B$752="DS",INDEX(Kalkulasi!$D$552:$D$563,3),INDEX(Kalkulasi!$E$552:$E$563,3))</f>
        <v/>
      </c>
    </row>
    <row r="759">
      <c r="A759">
        <f>IF(Kalkulasi!$B$752="DS",INDEX(Kalkulasi!$D$552:$D$563,4),INDEX(Kalkulasi!$E$552:$E$563,4))</f>
        <v/>
      </c>
    </row>
    <row r="760">
      <c r="A760">
        <f>IF(Kalkulasi!$B$752="DS",INDEX(Kalkulasi!$D$552:$D$563,5),INDEX(Kalkulasi!$E$552:$E$563,5))</f>
        <v/>
      </c>
    </row>
    <row r="761">
      <c r="A761">
        <f>IF(Kalkulasi!$B$752="DS",INDEX(Kalkulasi!$D$552:$D$563,6),INDEX(Kalkulasi!$E$552:$E$563,6))</f>
        <v/>
      </c>
    </row>
    <row r="762">
      <c r="A762">
        <f>IF(Kalkulasi!$B$752="DS",INDEX(Kalkulasi!$D$552:$D$563,7),INDEX(Kalkulasi!$E$552:$E$563,7))</f>
        <v/>
      </c>
    </row>
    <row r="763">
      <c r="A763">
        <f>IF(Kalkulasi!$B$752="DS",INDEX(Kalkulasi!$D$552:$D$563,8),INDEX(Kalkulasi!$E$552:$E$563,8))</f>
        <v/>
      </c>
    </row>
    <row r="764">
      <c r="A764">
        <f>IF(Kalkulasi!$B$752="DS",INDEX(Kalkulasi!$D$552:$D$563,9),INDEX(Kalkulasi!$E$552:$E$563,9))</f>
        <v/>
      </c>
    </row>
    <row r="765">
      <c r="A765">
        <f>IF(Kalkulasi!$B$752="DS",INDEX(Kalkulasi!$D$552:$D$563,10),INDEX(Kalkulasi!$E$552:$E$563,10))</f>
        <v/>
      </c>
    </row>
    <row r="766">
      <c r="A766">
        <f>IF(Kalkulasi!$B$752="DS",INDEX(Kalkulasi!$D$552:$D$563,11),INDEX(Kalkulasi!$E$552:$E$563,11))</f>
        <v/>
      </c>
    </row>
    <row r="767">
      <c r="A767">
        <f>IF(Kalkulasi!$B$752="DS",INDEX(Kalkulasi!$D$552:$D$563,12),INDEX(Kalkulasi!$E$552:$E$563,12))</f>
        <v/>
      </c>
    </row>
    <row r="770">
      <c r="A770" s="171" t="inlineStr">
        <is>
          <t>FLEET — grid digger × jam (DT | MF | prod | EWH)</t>
        </is>
      </c>
    </row>
    <row r="771">
      <c r="A771" t="inlineStr">
        <is>
          <t>Digger</t>
        </is>
      </c>
      <c r="B771" t="inlineStr">
        <is>
          <t>Tipe</t>
        </is>
      </c>
      <c r="D771">
        <f>Kalkulasi!$A$756</f>
        <v/>
      </c>
      <c r="E771">
        <f>Kalkulasi!$A$757</f>
        <v/>
      </c>
      <c r="F771">
        <f>Kalkulasi!$A$758</f>
        <v/>
      </c>
      <c r="G771">
        <f>Kalkulasi!$A$759</f>
        <v/>
      </c>
      <c r="H771">
        <f>Kalkulasi!$A$760</f>
        <v/>
      </c>
      <c r="I771">
        <f>Kalkulasi!$A$761</f>
        <v/>
      </c>
      <c r="J771">
        <f>Kalkulasi!$A$762</f>
        <v/>
      </c>
      <c r="K771">
        <f>Kalkulasi!$A$763</f>
        <v/>
      </c>
      <c r="L771">
        <f>Kalkulasi!$A$764</f>
        <v/>
      </c>
      <c r="M771">
        <f>Kalkulasi!$A$765</f>
        <v/>
      </c>
      <c r="N771">
        <f>Kalkulasi!$A$766</f>
        <v/>
      </c>
      <c r="O771">
        <f>Kalkulasi!$A$767</f>
        <v/>
      </c>
      <c r="P771" t="inlineStr">
        <is>
          <t>Σ DT</t>
        </is>
      </c>
      <c r="Q771">
        <f>Kalkulasi!$A$756</f>
        <v/>
      </c>
      <c r="R771">
        <f>Kalkulasi!$A$757</f>
        <v/>
      </c>
      <c r="S771">
        <f>Kalkulasi!$A$758</f>
        <v/>
      </c>
      <c r="T771">
        <f>Kalkulasi!$A$759</f>
        <v/>
      </c>
      <c r="U771">
        <f>Kalkulasi!$A$760</f>
        <v/>
      </c>
      <c r="V771">
        <f>Kalkulasi!$A$761</f>
        <v/>
      </c>
      <c r="W771">
        <f>Kalkulasi!$A$762</f>
        <v/>
      </c>
      <c r="X771">
        <f>Kalkulasi!$A$763</f>
        <v/>
      </c>
      <c r="Y771">
        <f>Kalkulasi!$A$764</f>
        <v/>
      </c>
      <c r="Z771">
        <f>Kalkulasi!$A$765</f>
        <v/>
      </c>
      <c r="AA771">
        <f>Kalkulasi!$A$766</f>
        <v/>
      </c>
      <c r="AB771">
        <f>Kalkulasi!$A$767</f>
        <v/>
      </c>
      <c r="AC771" t="inlineStr">
        <is>
          <t>Σ MF</t>
        </is>
      </c>
      <c r="AD771">
        <f>Kalkulasi!$A$756</f>
        <v/>
      </c>
      <c r="AE771">
        <f>Kalkulasi!$A$757</f>
        <v/>
      </c>
      <c r="AF771">
        <f>Kalkulasi!$A$758</f>
        <v/>
      </c>
      <c r="AG771">
        <f>Kalkulasi!$A$759</f>
        <v/>
      </c>
      <c r="AH771">
        <f>Kalkulasi!$A$760</f>
        <v/>
      </c>
      <c r="AI771">
        <f>Kalkulasi!$A$761</f>
        <v/>
      </c>
      <c r="AJ771">
        <f>Kalkulasi!$A$762</f>
        <v/>
      </c>
      <c r="AK771">
        <f>Kalkulasi!$A$763</f>
        <v/>
      </c>
      <c r="AL771">
        <f>Kalkulasi!$A$764</f>
        <v/>
      </c>
      <c r="AM771">
        <f>Kalkulasi!$A$765</f>
        <v/>
      </c>
      <c r="AN771">
        <f>Kalkulasi!$A$766</f>
        <v/>
      </c>
      <c r="AO771">
        <f>Kalkulasi!$A$767</f>
        <v/>
      </c>
      <c r="AP771" t="inlineStr">
        <is>
          <t>Prod</t>
        </is>
      </c>
      <c r="AQ771">
        <f>Kalkulasi!$A$756</f>
        <v/>
      </c>
      <c r="AR771">
        <f>Kalkulasi!$A$757</f>
        <v/>
      </c>
      <c r="AS771">
        <f>Kalkulasi!$A$758</f>
        <v/>
      </c>
      <c r="AT771">
        <f>Kalkulasi!$A$759</f>
        <v/>
      </c>
      <c r="AU771">
        <f>Kalkulasi!$A$760</f>
        <v/>
      </c>
      <c r="AV771">
        <f>Kalkulasi!$A$761</f>
        <v/>
      </c>
      <c r="AW771">
        <f>Kalkulasi!$A$762</f>
        <v/>
      </c>
      <c r="AX771">
        <f>Kalkulasi!$A$763</f>
        <v/>
      </c>
      <c r="AY771">
        <f>Kalkulasi!$A$764</f>
        <v/>
      </c>
      <c r="AZ771">
        <f>Kalkulasi!$A$765</f>
        <v/>
      </c>
      <c r="BA771">
        <f>Kalkulasi!$A$766</f>
        <v/>
      </c>
      <c r="BB771">
        <f>Kalkulasi!$A$767</f>
        <v/>
      </c>
      <c r="BC771" t="inlineStr">
        <is>
          <t>EWH</t>
        </is>
      </c>
      <c r="BD771" t="inlineStr">
        <is>
          <t>Jam aktif</t>
        </is>
      </c>
      <c r="BE771" t="inlineStr">
        <is>
          <t>DT rata2</t>
        </is>
      </c>
      <c r="BF771" t="inlineStr">
        <is>
          <t>MF rata2</t>
        </is>
      </c>
      <c r="BG771" t="inlineStr">
        <is>
          <t>DT ideal</t>
        </is>
      </c>
      <c r="BH771" t="inlineStr">
        <is>
          <t>Saran</t>
        </is>
      </c>
      <c r="BI771" t="inlineStr">
        <is>
          <t>Ritase</t>
        </is>
      </c>
      <c r="BJ771" t="inlineStr">
        <is>
          <t>Rit/DT/jam</t>
        </is>
      </c>
      <c r="BK771" t="inlineStr">
        <is>
          <t>Sort</t>
        </is>
      </c>
      <c r="BL771" t="inlineStr">
        <is>
          <t>CT teori</t>
        </is>
      </c>
      <c r="BM771" t="inlineStr">
        <is>
          <t>Delay unit</t>
        </is>
      </c>
      <c r="BN771" t="inlineStr">
        <is>
          <t>Sort delay</t>
        </is>
      </c>
    </row>
    <row r="772">
      <c r="A772" t="inlineStr">
        <is>
          <t>EX-1251</t>
        </is>
      </c>
      <c r="B772">
        <f>IFERROR(INDEX(MASTER_JAM!$B$5:$B$94,MATCH($A772,MASTER_JAM!$A$5:$A$94,0)),"")</f>
        <v/>
      </c>
      <c r="D772">
        <f>SUMIFS(INPUT_RITASE!$R$5:$R$20000,INPUT_RITASE!$A$5:$A$20000,Kalkulasi!$B$751,INPUT_RITASE!$B$5:$B$20000,D$771,INPUT_RITASE!$C$5:$C$20000,$A772)</f>
        <v/>
      </c>
      <c r="E772">
        <f>SUMIFS(INPUT_RITASE!$R$5:$R$20000,INPUT_RITASE!$A$5:$A$20000,Kalkulasi!$B$751,INPUT_RITASE!$B$5:$B$20000,E$771,INPUT_RITASE!$C$5:$C$20000,$A772)</f>
        <v/>
      </c>
      <c r="F772">
        <f>SUMIFS(INPUT_RITASE!$R$5:$R$20000,INPUT_RITASE!$A$5:$A$20000,Kalkulasi!$B$751,INPUT_RITASE!$B$5:$B$20000,F$771,INPUT_RITASE!$C$5:$C$20000,$A772)</f>
        <v/>
      </c>
      <c r="G772">
        <f>SUMIFS(INPUT_RITASE!$R$5:$R$20000,INPUT_RITASE!$A$5:$A$20000,Kalkulasi!$B$751,INPUT_RITASE!$B$5:$B$20000,G$771,INPUT_RITASE!$C$5:$C$20000,$A772)</f>
        <v/>
      </c>
      <c r="H772">
        <f>SUMIFS(INPUT_RITASE!$R$5:$R$20000,INPUT_RITASE!$A$5:$A$20000,Kalkulasi!$B$751,INPUT_RITASE!$B$5:$B$20000,H$771,INPUT_RITASE!$C$5:$C$20000,$A772)</f>
        <v/>
      </c>
      <c r="I772">
        <f>SUMIFS(INPUT_RITASE!$R$5:$R$20000,INPUT_RITASE!$A$5:$A$20000,Kalkulasi!$B$751,INPUT_RITASE!$B$5:$B$20000,I$771,INPUT_RITASE!$C$5:$C$20000,$A772)</f>
        <v/>
      </c>
      <c r="J772">
        <f>SUMIFS(INPUT_RITASE!$R$5:$R$20000,INPUT_RITASE!$A$5:$A$20000,Kalkulasi!$B$751,INPUT_RITASE!$B$5:$B$20000,J$771,INPUT_RITASE!$C$5:$C$20000,$A772)</f>
        <v/>
      </c>
      <c r="K772">
        <f>SUMIFS(INPUT_RITASE!$R$5:$R$20000,INPUT_RITASE!$A$5:$A$20000,Kalkulasi!$B$751,INPUT_RITASE!$B$5:$B$20000,K$771,INPUT_RITASE!$C$5:$C$20000,$A772)</f>
        <v/>
      </c>
      <c r="L772">
        <f>SUMIFS(INPUT_RITASE!$R$5:$R$20000,INPUT_RITASE!$A$5:$A$20000,Kalkulasi!$B$751,INPUT_RITASE!$B$5:$B$20000,L$771,INPUT_RITASE!$C$5:$C$20000,$A772)</f>
        <v/>
      </c>
      <c r="M772">
        <f>SUMIFS(INPUT_RITASE!$R$5:$R$20000,INPUT_RITASE!$A$5:$A$20000,Kalkulasi!$B$751,INPUT_RITASE!$B$5:$B$20000,M$771,INPUT_RITASE!$C$5:$C$20000,$A772)</f>
        <v/>
      </c>
      <c r="N772">
        <f>SUMIFS(INPUT_RITASE!$R$5:$R$20000,INPUT_RITASE!$A$5:$A$20000,Kalkulasi!$B$751,INPUT_RITASE!$B$5:$B$20000,N$771,INPUT_RITASE!$C$5:$C$20000,$A772)</f>
        <v/>
      </c>
      <c r="O772">
        <f>SUMIFS(INPUT_RITASE!$R$5:$R$20000,INPUT_RITASE!$A$5:$A$20000,Kalkulasi!$B$751,INPUT_RITASE!$B$5:$B$20000,O$771,INPUT_RITASE!$C$5:$C$20000,$A772)</f>
        <v/>
      </c>
      <c r="P772">
        <f>SUM(D772:O772)</f>
        <v/>
      </c>
      <c r="Q772">
        <f>SUMIFS(INPUT_RITASE!$S$5:$S$20000,INPUT_RITASE!$A$5:$A$20000,Kalkulasi!$B$751,INPUT_RITASE!$B$5:$B$20000,D$771,INPUT_RITASE!$C$5:$C$20000,$A772)</f>
        <v/>
      </c>
      <c r="R772">
        <f>SUMIFS(INPUT_RITASE!$S$5:$S$20000,INPUT_RITASE!$A$5:$A$20000,Kalkulasi!$B$751,INPUT_RITASE!$B$5:$B$20000,E$771,INPUT_RITASE!$C$5:$C$20000,$A772)</f>
        <v/>
      </c>
      <c r="S772">
        <f>SUMIFS(INPUT_RITASE!$S$5:$S$20000,INPUT_RITASE!$A$5:$A$20000,Kalkulasi!$B$751,INPUT_RITASE!$B$5:$B$20000,F$771,INPUT_RITASE!$C$5:$C$20000,$A772)</f>
        <v/>
      </c>
      <c r="T772">
        <f>SUMIFS(INPUT_RITASE!$S$5:$S$20000,INPUT_RITASE!$A$5:$A$20000,Kalkulasi!$B$751,INPUT_RITASE!$B$5:$B$20000,G$771,INPUT_RITASE!$C$5:$C$20000,$A772)</f>
        <v/>
      </c>
      <c r="U772">
        <f>SUMIFS(INPUT_RITASE!$S$5:$S$20000,INPUT_RITASE!$A$5:$A$20000,Kalkulasi!$B$751,INPUT_RITASE!$B$5:$B$20000,H$771,INPUT_RITASE!$C$5:$C$20000,$A772)</f>
        <v/>
      </c>
      <c r="V772">
        <f>SUMIFS(INPUT_RITASE!$S$5:$S$20000,INPUT_RITASE!$A$5:$A$20000,Kalkulasi!$B$751,INPUT_RITASE!$B$5:$B$20000,I$771,INPUT_RITASE!$C$5:$C$20000,$A772)</f>
        <v/>
      </c>
      <c r="W772">
        <f>SUMIFS(INPUT_RITASE!$S$5:$S$20000,INPUT_RITASE!$A$5:$A$20000,Kalkulasi!$B$751,INPUT_RITASE!$B$5:$B$20000,J$771,INPUT_RITASE!$C$5:$C$20000,$A772)</f>
        <v/>
      </c>
      <c r="X772">
        <f>SUMIFS(INPUT_RITASE!$S$5:$S$20000,INPUT_RITASE!$A$5:$A$20000,Kalkulasi!$B$751,INPUT_RITASE!$B$5:$B$20000,K$771,INPUT_RITASE!$C$5:$C$20000,$A772)</f>
        <v/>
      </c>
      <c r="Y772">
        <f>SUMIFS(INPUT_RITASE!$S$5:$S$20000,INPUT_RITASE!$A$5:$A$20000,Kalkulasi!$B$751,INPUT_RITASE!$B$5:$B$20000,L$771,INPUT_RITASE!$C$5:$C$20000,$A772)</f>
        <v/>
      </c>
      <c r="Z772">
        <f>SUMIFS(INPUT_RITASE!$S$5:$S$20000,INPUT_RITASE!$A$5:$A$20000,Kalkulasi!$B$751,INPUT_RITASE!$B$5:$B$20000,M$771,INPUT_RITASE!$C$5:$C$20000,$A772)</f>
        <v/>
      </c>
      <c r="AA772">
        <f>SUMIFS(INPUT_RITASE!$S$5:$S$20000,INPUT_RITASE!$A$5:$A$20000,Kalkulasi!$B$751,INPUT_RITASE!$B$5:$B$20000,N$771,INPUT_RITASE!$C$5:$C$20000,$A772)</f>
        <v/>
      </c>
      <c r="AB772">
        <f>SUMIFS(INPUT_RITASE!$S$5:$S$20000,INPUT_RITASE!$A$5:$A$20000,Kalkulasi!$B$751,INPUT_RITASE!$B$5:$B$20000,O$771,INPUT_RITASE!$C$5:$C$20000,$A772)</f>
        <v/>
      </c>
      <c r="AC772">
        <f>SUM(Q772:AB772)</f>
        <v/>
      </c>
      <c r="AD772">
        <f>SUMIFS(INPUT_RITASE!$L$5:$L$20000,INPUT_RITASE!$A$5:$A$20000,Kalkulasi!$B$751,INPUT_RITASE!$B$5:$B$20000,D$771,INPUT_RITASE!$C$5:$C$20000,$A772,INPUT_RITASE!$N$5:$N$20000,Kalkulasi!$B$753)</f>
        <v/>
      </c>
      <c r="AE772">
        <f>SUMIFS(INPUT_RITASE!$L$5:$L$20000,INPUT_RITASE!$A$5:$A$20000,Kalkulasi!$B$751,INPUT_RITASE!$B$5:$B$20000,E$771,INPUT_RITASE!$C$5:$C$20000,$A772,INPUT_RITASE!$N$5:$N$20000,Kalkulasi!$B$753)</f>
        <v/>
      </c>
      <c r="AF772">
        <f>SUMIFS(INPUT_RITASE!$L$5:$L$20000,INPUT_RITASE!$A$5:$A$20000,Kalkulasi!$B$751,INPUT_RITASE!$B$5:$B$20000,F$771,INPUT_RITASE!$C$5:$C$20000,$A772,INPUT_RITASE!$N$5:$N$20000,Kalkulasi!$B$753)</f>
        <v/>
      </c>
      <c r="AG772">
        <f>SUMIFS(INPUT_RITASE!$L$5:$L$20000,INPUT_RITASE!$A$5:$A$20000,Kalkulasi!$B$751,INPUT_RITASE!$B$5:$B$20000,G$771,INPUT_RITASE!$C$5:$C$20000,$A772,INPUT_RITASE!$N$5:$N$20000,Kalkulasi!$B$753)</f>
        <v/>
      </c>
      <c r="AH772">
        <f>SUMIFS(INPUT_RITASE!$L$5:$L$20000,INPUT_RITASE!$A$5:$A$20000,Kalkulasi!$B$751,INPUT_RITASE!$B$5:$B$20000,H$771,INPUT_RITASE!$C$5:$C$20000,$A772,INPUT_RITASE!$N$5:$N$20000,Kalkulasi!$B$753)</f>
        <v/>
      </c>
      <c r="AI772">
        <f>SUMIFS(INPUT_RITASE!$L$5:$L$20000,INPUT_RITASE!$A$5:$A$20000,Kalkulasi!$B$751,INPUT_RITASE!$B$5:$B$20000,I$771,INPUT_RITASE!$C$5:$C$20000,$A772,INPUT_RITASE!$N$5:$N$20000,Kalkulasi!$B$753)</f>
        <v/>
      </c>
      <c r="AJ772">
        <f>SUMIFS(INPUT_RITASE!$L$5:$L$20000,INPUT_RITASE!$A$5:$A$20000,Kalkulasi!$B$751,INPUT_RITASE!$B$5:$B$20000,J$771,INPUT_RITASE!$C$5:$C$20000,$A772,INPUT_RITASE!$N$5:$N$20000,Kalkulasi!$B$753)</f>
        <v/>
      </c>
      <c r="AK772">
        <f>SUMIFS(INPUT_RITASE!$L$5:$L$20000,INPUT_RITASE!$A$5:$A$20000,Kalkulasi!$B$751,INPUT_RITASE!$B$5:$B$20000,K$771,INPUT_RITASE!$C$5:$C$20000,$A772,INPUT_RITASE!$N$5:$N$20000,Kalkulasi!$B$753)</f>
        <v/>
      </c>
      <c r="AL772">
        <f>SUMIFS(INPUT_RITASE!$L$5:$L$20000,INPUT_RITASE!$A$5:$A$20000,Kalkulasi!$B$751,INPUT_RITASE!$B$5:$B$20000,L$771,INPUT_RITASE!$C$5:$C$20000,$A772,INPUT_RITASE!$N$5:$N$20000,Kalkulasi!$B$753)</f>
        <v/>
      </c>
      <c r="AM772">
        <f>SUMIFS(INPUT_RITASE!$L$5:$L$20000,INPUT_RITASE!$A$5:$A$20000,Kalkulasi!$B$751,INPUT_RITASE!$B$5:$B$20000,M$771,INPUT_RITASE!$C$5:$C$20000,$A772,INPUT_RITASE!$N$5:$N$20000,Kalkulasi!$B$753)</f>
        <v/>
      </c>
      <c r="AN772">
        <f>SUMIFS(INPUT_RITASE!$L$5:$L$20000,INPUT_RITASE!$A$5:$A$20000,Kalkulasi!$B$751,INPUT_RITASE!$B$5:$B$20000,N$771,INPUT_RITASE!$C$5:$C$20000,$A772,INPUT_RITASE!$N$5:$N$20000,Kalkulasi!$B$753)</f>
        <v/>
      </c>
      <c r="AO772">
        <f>SUMIFS(INPUT_RITASE!$L$5:$L$20000,INPUT_RITASE!$A$5:$A$20000,Kalkulasi!$B$751,INPUT_RITASE!$B$5:$B$20000,O$771,INPUT_RITASE!$C$5:$C$20000,$A772,INPUT_RITASE!$N$5:$N$20000,Kalkulasi!$B$753)</f>
        <v/>
      </c>
      <c r="AP772">
        <f>SUM(AD772:AO772)</f>
        <v/>
      </c>
      <c r="AQ772">
        <f>IF(AD772=0,0,(60-MIN(60,SUMIFS(INPUT_DELAY!$E$5:$E$20000,INPUT_DELAY!$A$5:$A$20000,Kalkulasi!$B$751,INPUT_DELAY!$B$5:$B$20000,D$771,INPUT_DELAY!$C$5:$C$20000,$A772)+SUMIFS(INPUT_DELAY!$E$5:$E$20000,INPUT_DELAY!$A$5:$A$20000,Kalkulasi!$B$751,INPUT_DELAY!$B$5:$B$20000,D$771,INPUT_DELAY!$C$5:$C$20000,"SEMUA")))/60)</f>
        <v/>
      </c>
      <c r="AR772">
        <f>IF(AE772=0,0,(60-MIN(60,SUMIFS(INPUT_DELAY!$E$5:$E$20000,INPUT_DELAY!$A$5:$A$20000,Kalkulasi!$B$751,INPUT_DELAY!$B$5:$B$20000,E$771,INPUT_DELAY!$C$5:$C$20000,$A772)+SUMIFS(INPUT_DELAY!$E$5:$E$20000,INPUT_DELAY!$A$5:$A$20000,Kalkulasi!$B$751,INPUT_DELAY!$B$5:$B$20000,E$771,INPUT_DELAY!$C$5:$C$20000,"SEMUA")))/60)</f>
        <v/>
      </c>
      <c r="AS772">
        <f>IF(AF772=0,0,(60-MIN(60,SUMIFS(INPUT_DELAY!$E$5:$E$20000,INPUT_DELAY!$A$5:$A$20000,Kalkulasi!$B$751,INPUT_DELAY!$B$5:$B$20000,F$771,INPUT_DELAY!$C$5:$C$20000,$A772)+SUMIFS(INPUT_DELAY!$E$5:$E$20000,INPUT_DELAY!$A$5:$A$20000,Kalkulasi!$B$751,INPUT_DELAY!$B$5:$B$20000,F$771,INPUT_DELAY!$C$5:$C$20000,"SEMUA")))/60)</f>
        <v/>
      </c>
      <c r="AT772">
        <f>IF(AG772=0,0,(60-MIN(60,SUMIFS(INPUT_DELAY!$E$5:$E$20000,INPUT_DELAY!$A$5:$A$20000,Kalkulasi!$B$751,INPUT_DELAY!$B$5:$B$20000,G$771,INPUT_DELAY!$C$5:$C$20000,$A772)+SUMIFS(INPUT_DELAY!$E$5:$E$20000,INPUT_DELAY!$A$5:$A$20000,Kalkulasi!$B$751,INPUT_DELAY!$B$5:$B$20000,G$771,INPUT_DELAY!$C$5:$C$20000,"SEMUA")))/60)</f>
        <v/>
      </c>
      <c r="AU772">
        <f>IF(AH772=0,0,(60-MIN(60,SUMIFS(INPUT_DELAY!$E$5:$E$20000,INPUT_DELAY!$A$5:$A$20000,Kalkulasi!$B$751,INPUT_DELAY!$B$5:$B$20000,H$771,INPUT_DELAY!$C$5:$C$20000,$A772)+SUMIFS(INPUT_DELAY!$E$5:$E$20000,INPUT_DELAY!$A$5:$A$20000,Kalkulasi!$B$751,INPUT_DELAY!$B$5:$B$20000,H$771,INPUT_DELAY!$C$5:$C$20000,"SEMUA")))/60)</f>
        <v/>
      </c>
      <c r="AV772">
        <f>IF(AI772=0,0,(60-MIN(60,SUMIFS(INPUT_DELAY!$E$5:$E$20000,INPUT_DELAY!$A$5:$A$20000,Kalkulasi!$B$751,INPUT_DELAY!$B$5:$B$20000,I$771,INPUT_DELAY!$C$5:$C$20000,$A772)+SUMIFS(INPUT_DELAY!$E$5:$E$20000,INPUT_DELAY!$A$5:$A$20000,Kalkulasi!$B$751,INPUT_DELAY!$B$5:$B$20000,I$771,INPUT_DELAY!$C$5:$C$20000,"SEMUA")))/60)</f>
        <v/>
      </c>
      <c r="AW772">
        <f>IF(AJ772=0,0,(60-MIN(60,SUMIFS(INPUT_DELAY!$E$5:$E$20000,INPUT_DELAY!$A$5:$A$20000,Kalkulasi!$B$751,INPUT_DELAY!$B$5:$B$20000,J$771,INPUT_DELAY!$C$5:$C$20000,$A772)+SUMIFS(INPUT_DELAY!$E$5:$E$20000,INPUT_DELAY!$A$5:$A$20000,Kalkulasi!$B$751,INPUT_DELAY!$B$5:$B$20000,J$771,INPUT_DELAY!$C$5:$C$20000,"SEMUA")))/60)</f>
        <v/>
      </c>
      <c r="AX772">
        <f>IF(AK772=0,0,(60-MIN(60,SUMIFS(INPUT_DELAY!$E$5:$E$20000,INPUT_DELAY!$A$5:$A$20000,Kalkulasi!$B$751,INPUT_DELAY!$B$5:$B$20000,K$771,INPUT_DELAY!$C$5:$C$20000,$A772)+SUMIFS(INPUT_DELAY!$E$5:$E$20000,INPUT_DELAY!$A$5:$A$20000,Kalkulasi!$B$751,INPUT_DELAY!$B$5:$B$20000,K$771,INPUT_DELAY!$C$5:$C$20000,"SEMUA")))/60)</f>
        <v/>
      </c>
      <c r="AY772">
        <f>IF(AL772=0,0,(60-MIN(60,SUMIFS(INPUT_DELAY!$E$5:$E$20000,INPUT_DELAY!$A$5:$A$20000,Kalkulasi!$B$751,INPUT_DELAY!$B$5:$B$20000,L$771,INPUT_DELAY!$C$5:$C$20000,$A772)+SUMIFS(INPUT_DELAY!$E$5:$E$20000,INPUT_DELAY!$A$5:$A$20000,Kalkulasi!$B$751,INPUT_DELAY!$B$5:$B$20000,L$771,INPUT_DELAY!$C$5:$C$20000,"SEMUA")))/60)</f>
        <v/>
      </c>
      <c r="AZ772">
        <f>IF(AM772=0,0,(60-MIN(60,SUMIFS(INPUT_DELAY!$E$5:$E$20000,INPUT_DELAY!$A$5:$A$20000,Kalkulasi!$B$751,INPUT_DELAY!$B$5:$B$20000,M$771,INPUT_DELAY!$C$5:$C$20000,$A772)+SUMIFS(INPUT_DELAY!$E$5:$E$20000,INPUT_DELAY!$A$5:$A$20000,Kalkulasi!$B$751,INPUT_DELAY!$B$5:$B$20000,M$771,INPUT_DELAY!$C$5:$C$20000,"SEMUA")))/60)</f>
        <v/>
      </c>
      <c r="BA772">
        <f>IF(AN772=0,0,(60-MIN(60,SUMIFS(INPUT_DELAY!$E$5:$E$20000,INPUT_DELAY!$A$5:$A$20000,Kalkulasi!$B$751,INPUT_DELAY!$B$5:$B$20000,N$771,INPUT_DELAY!$C$5:$C$20000,$A772)+SUMIFS(INPUT_DELAY!$E$5:$E$20000,INPUT_DELAY!$A$5:$A$20000,Kalkulasi!$B$751,INPUT_DELAY!$B$5:$B$20000,N$771,INPUT_DELAY!$C$5:$C$20000,"SEMUA")))/60)</f>
        <v/>
      </c>
      <c r="BB772">
        <f>IF(AO772=0,0,(60-MIN(60,SUMIFS(INPUT_DELAY!$E$5:$E$20000,INPUT_DELAY!$A$5:$A$20000,Kalkulasi!$B$751,INPUT_DELAY!$B$5:$B$20000,O$771,INPUT_DELAY!$C$5:$C$20000,$A772)+SUMIFS(INPUT_DELAY!$E$5:$E$20000,INPUT_DELAY!$A$5:$A$20000,Kalkulasi!$B$751,INPUT_DELAY!$B$5:$B$20000,O$771,INPUT_DELAY!$C$5:$C$20000,"SEMUA")))/60)</f>
        <v/>
      </c>
      <c r="BC772">
        <f>SUM(AQ772:BB772)</f>
        <v/>
      </c>
      <c r="BD772">
        <f>COUNTIF(D772:O772,"&gt;0")</f>
        <v/>
      </c>
      <c r="BE772">
        <f>IF(BD772=0,"",P772/BD772)</f>
        <v/>
      </c>
      <c r="BF772">
        <f>IF(BD772=0,"",AC772/BD772)</f>
        <v/>
      </c>
      <c r="BG772">
        <f>IF(OR(BD772=0,N(BF772)=0),"",BE772/BF772)</f>
        <v/>
      </c>
      <c r="BH772">
        <f>IF(BG772="","",ROUND(BG772-BE772,0))</f>
        <v/>
      </c>
      <c r="BI772">
        <f>SUMIFS(INPUT_RITASE!$F$5:$F$20000,INPUT_RITASE!$A$5:$A$20000,Kalkulasi!$B$751,INPUT_RITASE!$H$5:$H$20000,Kalkulasi!$B$752,INPUT_RITASE!$C$5:$C$20000,$A772)</f>
        <v/>
      </c>
      <c r="BJ772">
        <f>IF(P772=0,"",BI772/P772)</f>
        <v/>
      </c>
      <c r="BK772">
        <f>BI772+P772/1000+ROW()/1000000</f>
        <v/>
      </c>
    </row>
    <row r="773">
      <c r="A773" t="inlineStr">
        <is>
          <t>EX-755</t>
        </is>
      </c>
      <c r="B773">
        <f>IFERROR(INDEX(MASTER_JAM!$B$5:$B$94,MATCH($A773,MASTER_JAM!$A$5:$A$94,0)),"")</f>
        <v/>
      </c>
      <c r="D773">
        <f>SUMIFS(INPUT_RITASE!$R$5:$R$20000,INPUT_RITASE!$A$5:$A$20000,Kalkulasi!$B$751,INPUT_RITASE!$B$5:$B$20000,D$771,INPUT_RITASE!$C$5:$C$20000,$A773)</f>
        <v/>
      </c>
      <c r="E773">
        <f>SUMIFS(INPUT_RITASE!$R$5:$R$20000,INPUT_RITASE!$A$5:$A$20000,Kalkulasi!$B$751,INPUT_RITASE!$B$5:$B$20000,E$771,INPUT_RITASE!$C$5:$C$20000,$A773)</f>
        <v/>
      </c>
      <c r="F773">
        <f>SUMIFS(INPUT_RITASE!$R$5:$R$20000,INPUT_RITASE!$A$5:$A$20000,Kalkulasi!$B$751,INPUT_RITASE!$B$5:$B$20000,F$771,INPUT_RITASE!$C$5:$C$20000,$A773)</f>
        <v/>
      </c>
      <c r="G773">
        <f>SUMIFS(INPUT_RITASE!$R$5:$R$20000,INPUT_RITASE!$A$5:$A$20000,Kalkulasi!$B$751,INPUT_RITASE!$B$5:$B$20000,G$771,INPUT_RITASE!$C$5:$C$20000,$A773)</f>
        <v/>
      </c>
      <c r="H773">
        <f>SUMIFS(INPUT_RITASE!$R$5:$R$20000,INPUT_RITASE!$A$5:$A$20000,Kalkulasi!$B$751,INPUT_RITASE!$B$5:$B$20000,H$771,INPUT_RITASE!$C$5:$C$20000,$A773)</f>
        <v/>
      </c>
      <c r="I773">
        <f>SUMIFS(INPUT_RITASE!$R$5:$R$20000,INPUT_RITASE!$A$5:$A$20000,Kalkulasi!$B$751,INPUT_RITASE!$B$5:$B$20000,I$771,INPUT_RITASE!$C$5:$C$20000,$A773)</f>
        <v/>
      </c>
      <c r="J773">
        <f>SUMIFS(INPUT_RITASE!$R$5:$R$20000,INPUT_RITASE!$A$5:$A$20000,Kalkulasi!$B$751,INPUT_RITASE!$B$5:$B$20000,J$771,INPUT_RITASE!$C$5:$C$20000,$A773)</f>
        <v/>
      </c>
      <c r="K773">
        <f>SUMIFS(INPUT_RITASE!$R$5:$R$20000,INPUT_RITASE!$A$5:$A$20000,Kalkulasi!$B$751,INPUT_RITASE!$B$5:$B$20000,K$771,INPUT_RITASE!$C$5:$C$20000,$A773)</f>
        <v/>
      </c>
      <c r="L773">
        <f>SUMIFS(INPUT_RITASE!$R$5:$R$20000,INPUT_RITASE!$A$5:$A$20000,Kalkulasi!$B$751,INPUT_RITASE!$B$5:$B$20000,L$771,INPUT_RITASE!$C$5:$C$20000,$A773)</f>
        <v/>
      </c>
      <c r="M773">
        <f>SUMIFS(INPUT_RITASE!$R$5:$R$20000,INPUT_RITASE!$A$5:$A$20000,Kalkulasi!$B$751,INPUT_RITASE!$B$5:$B$20000,M$771,INPUT_RITASE!$C$5:$C$20000,$A773)</f>
        <v/>
      </c>
      <c r="N773">
        <f>SUMIFS(INPUT_RITASE!$R$5:$R$20000,INPUT_RITASE!$A$5:$A$20000,Kalkulasi!$B$751,INPUT_RITASE!$B$5:$B$20000,N$771,INPUT_RITASE!$C$5:$C$20000,$A773)</f>
        <v/>
      </c>
      <c r="O773">
        <f>SUMIFS(INPUT_RITASE!$R$5:$R$20000,INPUT_RITASE!$A$5:$A$20000,Kalkulasi!$B$751,INPUT_RITASE!$B$5:$B$20000,O$771,INPUT_RITASE!$C$5:$C$20000,$A773)</f>
        <v/>
      </c>
      <c r="P773">
        <f>SUM(D773:O773)</f>
        <v/>
      </c>
      <c r="Q773">
        <f>SUMIFS(INPUT_RITASE!$S$5:$S$20000,INPUT_RITASE!$A$5:$A$20000,Kalkulasi!$B$751,INPUT_RITASE!$B$5:$B$20000,D$771,INPUT_RITASE!$C$5:$C$20000,$A773)</f>
        <v/>
      </c>
      <c r="R773">
        <f>SUMIFS(INPUT_RITASE!$S$5:$S$20000,INPUT_RITASE!$A$5:$A$20000,Kalkulasi!$B$751,INPUT_RITASE!$B$5:$B$20000,E$771,INPUT_RITASE!$C$5:$C$20000,$A773)</f>
        <v/>
      </c>
      <c r="S773">
        <f>SUMIFS(INPUT_RITASE!$S$5:$S$20000,INPUT_RITASE!$A$5:$A$20000,Kalkulasi!$B$751,INPUT_RITASE!$B$5:$B$20000,F$771,INPUT_RITASE!$C$5:$C$20000,$A773)</f>
        <v/>
      </c>
      <c r="T773">
        <f>SUMIFS(INPUT_RITASE!$S$5:$S$20000,INPUT_RITASE!$A$5:$A$20000,Kalkulasi!$B$751,INPUT_RITASE!$B$5:$B$20000,G$771,INPUT_RITASE!$C$5:$C$20000,$A773)</f>
        <v/>
      </c>
      <c r="U773">
        <f>SUMIFS(INPUT_RITASE!$S$5:$S$20000,INPUT_RITASE!$A$5:$A$20000,Kalkulasi!$B$751,INPUT_RITASE!$B$5:$B$20000,H$771,INPUT_RITASE!$C$5:$C$20000,$A773)</f>
        <v/>
      </c>
      <c r="V773">
        <f>SUMIFS(INPUT_RITASE!$S$5:$S$20000,INPUT_RITASE!$A$5:$A$20000,Kalkulasi!$B$751,INPUT_RITASE!$B$5:$B$20000,I$771,INPUT_RITASE!$C$5:$C$20000,$A773)</f>
        <v/>
      </c>
      <c r="W773">
        <f>SUMIFS(INPUT_RITASE!$S$5:$S$20000,INPUT_RITASE!$A$5:$A$20000,Kalkulasi!$B$751,INPUT_RITASE!$B$5:$B$20000,J$771,INPUT_RITASE!$C$5:$C$20000,$A773)</f>
        <v/>
      </c>
      <c r="X773">
        <f>SUMIFS(INPUT_RITASE!$S$5:$S$20000,INPUT_RITASE!$A$5:$A$20000,Kalkulasi!$B$751,INPUT_RITASE!$B$5:$B$20000,K$771,INPUT_RITASE!$C$5:$C$20000,$A773)</f>
        <v/>
      </c>
      <c r="Y773">
        <f>SUMIFS(INPUT_RITASE!$S$5:$S$20000,INPUT_RITASE!$A$5:$A$20000,Kalkulasi!$B$751,INPUT_RITASE!$B$5:$B$20000,L$771,INPUT_RITASE!$C$5:$C$20000,$A773)</f>
        <v/>
      </c>
      <c r="Z773">
        <f>SUMIFS(INPUT_RITASE!$S$5:$S$20000,INPUT_RITASE!$A$5:$A$20000,Kalkulasi!$B$751,INPUT_RITASE!$B$5:$B$20000,M$771,INPUT_RITASE!$C$5:$C$20000,$A773)</f>
        <v/>
      </c>
      <c r="AA773">
        <f>SUMIFS(INPUT_RITASE!$S$5:$S$20000,INPUT_RITASE!$A$5:$A$20000,Kalkulasi!$B$751,INPUT_RITASE!$B$5:$B$20000,N$771,INPUT_RITASE!$C$5:$C$20000,$A773)</f>
        <v/>
      </c>
      <c r="AB773">
        <f>SUMIFS(INPUT_RITASE!$S$5:$S$20000,INPUT_RITASE!$A$5:$A$20000,Kalkulasi!$B$751,INPUT_RITASE!$B$5:$B$20000,O$771,INPUT_RITASE!$C$5:$C$20000,$A773)</f>
        <v/>
      </c>
      <c r="AC773">
        <f>SUM(Q773:AB773)</f>
        <v/>
      </c>
      <c r="AD773">
        <f>SUMIFS(INPUT_RITASE!$L$5:$L$20000,INPUT_RITASE!$A$5:$A$20000,Kalkulasi!$B$751,INPUT_RITASE!$B$5:$B$20000,D$771,INPUT_RITASE!$C$5:$C$20000,$A773,INPUT_RITASE!$N$5:$N$20000,Kalkulasi!$B$753)</f>
        <v/>
      </c>
      <c r="AE773">
        <f>SUMIFS(INPUT_RITASE!$L$5:$L$20000,INPUT_RITASE!$A$5:$A$20000,Kalkulasi!$B$751,INPUT_RITASE!$B$5:$B$20000,E$771,INPUT_RITASE!$C$5:$C$20000,$A773,INPUT_RITASE!$N$5:$N$20000,Kalkulasi!$B$753)</f>
        <v/>
      </c>
      <c r="AF773">
        <f>SUMIFS(INPUT_RITASE!$L$5:$L$20000,INPUT_RITASE!$A$5:$A$20000,Kalkulasi!$B$751,INPUT_RITASE!$B$5:$B$20000,F$771,INPUT_RITASE!$C$5:$C$20000,$A773,INPUT_RITASE!$N$5:$N$20000,Kalkulasi!$B$753)</f>
        <v/>
      </c>
      <c r="AG773">
        <f>SUMIFS(INPUT_RITASE!$L$5:$L$20000,INPUT_RITASE!$A$5:$A$20000,Kalkulasi!$B$751,INPUT_RITASE!$B$5:$B$20000,G$771,INPUT_RITASE!$C$5:$C$20000,$A773,INPUT_RITASE!$N$5:$N$20000,Kalkulasi!$B$753)</f>
        <v/>
      </c>
      <c r="AH773">
        <f>SUMIFS(INPUT_RITASE!$L$5:$L$20000,INPUT_RITASE!$A$5:$A$20000,Kalkulasi!$B$751,INPUT_RITASE!$B$5:$B$20000,H$771,INPUT_RITASE!$C$5:$C$20000,$A773,INPUT_RITASE!$N$5:$N$20000,Kalkulasi!$B$753)</f>
        <v/>
      </c>
      <c r="AI773">
        <f>SUMIFS(INPUT_RITASE!$L$5:$L$20000,INPUT_RITASE!$A$5:$A$20000,Kalkulasi!$B$751,INPUT_RITASE!$B$5:$B$20000,I$771,INPUT_RITASE!$C$5:$C$20000,$A773,INPUT_RITASE!$N$5:$N$20000,Kalkulasi!$B$753)</f>
        <v/>
      </c>
      <c r="AJ773">
        <f>SUMIFS(INPUT_RITASE!$L$5:$L$20000,INPUT_RITASE!$A$5:$A$20000,Kalkulasi!$B$751,INPUT_RITASE!$B$5:$B$20000,J$771,INPUT_RITASE!$C$5:$C$20000,$A773,INPUT_RITASE!$N$5:$N$20000,Kalkulasi!$B$753)</f>
        <v/>
      </c>
      <c r="AK773">
        <f>SUMIFS(INPUT_RITASE!$L$5:$L$20000,INPUT_RITASE!$A$5:$A$20000,Kalkulasi!$B$751,INPUT_RITASE!$B$5:$B$20000,K$771,INPUT_RITASE!$C$5:$C$20000,$A773,INPUT_RITASE!$N$5:$N$20000,Kalkulasi!$B$753)</f>
        <v/>
      </c>
      <c r="AL773">
        <f>SUMIFS(INPUT_RITASE!$L$5:$L$20000,INPUT_RITASE!$A$5:$A$20000,Kalkulasi!$B$751,INPUT_RITASE!$B$5:$B$20000,L$771,INPUT_RITASE!$C$5:$C$20000,$A773,INPUT_RITASE!$N$5:$N$20000,Kalkulasi!$B$753)</f>
        <v/>
      </c>
      <c r="AM773">
        <f>SUMIFS(INPUT_RITASE!$L$5:$L$20000,INPUT_RITASE!$A$5:$A$20000,Kalkulasi!$B$751,INPUT_RITASE!$B$5:$B$20000,M$771,INPUT_RITASE!$C$5:$C$20000,$A773,INPUT_RITASE!$N$5:$N$20000,Kalkulasi!$B$753)</f>
        <v/>
      </c>
      <c r="AN773">
        <f>SUMIFS(INPUT_RITASE!$L$5:$L$20000,INPUT_RITASE!$A$5:$A$20000,Kalkulasi!$B$751,INPUT_RITASE!$B$5:$B$20000,N$771,INPUT_RITASE!$C$5:$C$20000,$A773,INPUT_RITASE!$N$5:$N$20000,Kalkulasi!$B$753)</f>
        <v/>
      </c>
      <c r="AO773">
        <f>SUMIFS(INPUT_RITASE!$L$5:$L$20000,INPUT_RITASE!$A$5:$A$20000,Kalkulasi!$B$751,INPUT_RITASE!$B$5:$B$20000,O$771,INPUT_RITASE!$C$5:$C$20000,$A773,INPUT_RITASE!$N$5:$N$20000,Kalkulasi!$B$753)</f>
        <v/>
      </c>
      <c r="AP773">
        <f>SUM(AD773:AO773)</f>
        <v/>
      </c>
      <c r="AQ773">
        <f>IF(AD773=0,0,(60-MIN(60,SUMIFS(INPUT_DELAY!$E$5:$E$20000,INPUT_DELAY!$A$5:$A$20000,Kalkulasi!$B$751,INPUT_DELAY!$B$5:$B$20000,D$771,INPUT_DELAY!$C$5:$C$20000,$A773)+SUMIFS(INPUT_DELAY!$E$5:$E$20000,INPUT_DELAY!$A$5:$A$20000,Kalkulasi!$B$751,INPUT_DELAY!$B$5:$B$20000,D$771,INPUT_DELAY!$C$5:$C$20000,"SEMUA")))/60)</f>
        <v/>
      </c>
      <c r="AR773">
        <f>IF(AE773=0,0,(60-MIN(60,SUMIFS(INPUT_DELAY!$E$5:$E$20000,INPUT_DELAY!$A$5:$A$20000,Kalkulasi!$B$751,INPUT_DELAY!$B$5:$B$20000,E$771,INPUT_DELAY!$C$5:$C$20000,$A773)+SUMIFS(INPUT_DELAY!$E$5:$E$20000,INPUT_DELAY!$A$5:$A$20000,Kalkulasi!$B$751,INPUT_DELAY!$B$5:$B$20000,E$771,INPUT_DELAY!$C$5:$C$20000,"SEMUA")))/60)</f>
        <v/>
      </c>
      <c r="AS773">
        <f>IF(AF773=0,0,(60-MIN(60,SUMIFS(INPUT_DELAY!$E$5:$E$20000,INPUT_DELAY!$A$5:$A$20000,Kalkulasi!$B$751,INPUT_DELAY!$B$5:$B$20000,F$771,INPUT_DELAY!$C$5:$C$20000,$A773)+SUMIFS(INPUT_DELAY!$E$5:$E$20000,INPUT_DELAY!$A$5:$A$20000,Kalkulasi!$B$751,INPUT_DELAY!$B$5:$B$20000,F$771,INPUT_DELAY!$C$5:$C$20000,"SEMUA")))/60)</f>
        <v/>
      </c>
      <c r="AT773">
        <f>IF(AG773=0,0,(60-MIN(60,SUMIFS(INPUT_DELAY!$E$5:$E$20000,INPUT_DELAY!$A$5:$A$20000,Kalkulasi!$B$751,INPUT_DELAY!$B$5:$B$20000,G$771,INPUT_DELAY!$C$5:$C$20000,$A773)+SUMIFS(INPUT_DELAY!$E$5:$E$20000,INPUT_DELAY!$A$5:$A$20000,Kalkulasi!$B$751,INPUT_DELAY!$B$5:$B$20000,G$771,INPUT_DELAY!$C$5:$C$20000,"SEMUA")))/60)</f>
        <v/>
      </c>
      <c r="AU773">
        <f>IF(AH773=0,0,(60-MIN(60,SUMIFS(INPUT_DELAY!$E$5:$E$20000,INPUT_DELAY!$A$5:$A$20000,Kalkulasi!$B$751,INPUT_DELAY!$B$5:$B$20000,H$771,INPUT_DELAY!$C$5:$C$20000,$A773)+SUMIFS(INPUT_DELAY!$E$5:$E$20000,INPUT_DELAY!$A$5:$A$20000,Kalkulasi!$B$751,INPUT_DELAY!$B$5:$B$20000,H$771,INPUT_DELAY!$C$5:$C$20000,"SEMUA")))/60)</f>
        <v/>
      </c>
      <c r="AV773">
        <f>IF(AI773=0,0,(60-MIN(60,SUMIFS(INPUT_DELAY!$E$5:$E$20000,INPUT_DELAY!$A$5:$A$20000,Kalkulasi!$B$751,INPUT_DELAY!$B$5:$B$20000,I$771,INPUT_DELAY!$C$5:$C$20000,$A773)+SUMIFS(INPUT_DELAY!$E$5:$E$20000,INPUT_DELAY!$A$5:$A$20000,Kalkulasi!$B$751,INPUT_DELAY!$B$5:$B$20000,I$771,INPUT_DELAY!$C$5:$C$20000,"SEMUA")))/60)</f>
        <v/>
      </c>
      <c r="AW773">
        <f>IF(AJ773=0,0,(60-MIN(60,SUMIFS(INPUT_DELAY!$E$5:$E$20000,INPUT_DELAY!$A$5:$A$20000,Kalkulasi!$B$751,INPUT_DELAY!$B$5:$B$20000,J$771,INPUT_DELAY!$C$5:$C$20000,$A773)+SUMIFS(INPUT_DELAY!$E$5:$E$20000,INPUT_DELAY!$A$5:$A$20000,Kalkulasi!$B$751,INPUT_DELAY!$B$5:$B$20000,J$771,INPUT_DELAY!$C$5:$C$20000,"SEMUA")))/60)</f>
        <v/>
      </c>
      <c r="AX773">
        <f>IF(AK773=0,0,(60-MIN(60,SUMIFS(INPUT_DELAY!$E$5:$E$20000,INPUT_DELAY!$A$5:$A$20000,Kalkulasi!$B$751,INPUT_DELAY!$B$5:$B$20000,K$771,INPUT_DELAY!$C$5:$C$20000,$A773)+SUMIFS(INPUT_DELAY!$E$5:$E$20000,INPUT_DELAY!$A$5:$A$20000,Kalkulasi!$B$751,INPUT_DELAY!$B$5:$B$20000,K$771,INPUT_DELAY!$C$5:$C$20000,"SEMUA")))/60)</f>
        <v/>
      </c>
      <c r="AY773">
        <f>IF(AL773=0,0,(60-MIN(60,SUMIFS(INPUT_DELAY!$E$5:$E$20000,INPUT_DELAY!$A$5:$A$20000,Kalkulasi!$B$751,INPUT_DELAY!$B$5:$B$20000,L$771,INPUT_DELAY!$C$5:$C$20000,$A773)+SUMIFS(INPUT_DELAY!$E$5:$E$20000,INPUT_DELAY!$A$5:$A$20000,Kalkulasi!$B$751,INPUT_DELAY!$B$5:$B$20000,L$771,INPUT_DELAY!$C$5:$C$20000,"SEMUA")))/60)</f>
        <v/>
      </c>
      <c r="AZ773">
        <f>IF(AM773=0,0,(60-MIN(60,SUMIFS(INPUT_DELAY!$E$5:$E$20000,INPUT_DELAY!$A$5:$A$20000,Kalkulasi!$B$751,INPUT_DELAY!$B$5:$B$20000,M$771,INPUT_DELAY!$C$5:$C$20000,$A773)+SUMIFS(INPUT_DELAY!$E$5:$E$20000,INPUT_DELAY!$A$5:$A$20000,Kalkulasi!$B$751,INPUT_DELAY!$B$5:$B$20000,M$771,INPUT_DELAY!$C$5:$C$20000,"SEMUA")))/60)</f>
        <v/>
      </c>
      <c r="BA773">
        <f>IF(AN773=0,0,(60-MIN(60,SUMIFS(INPUT_DELAY!$E$5:$E$20000,INPUT_DELAY!$A$5:$A$20000,Kalkulasi!$B$751,INPUT_DELAY!$B$5:$B$20000,N$771,INPUT_DELAY!$C$5:$C$20000,$A773)+SUMIFS(INPUT_DELAY!$E$5:$E$20000,INPUT_DELAY!$A$5:$A$20000,Kalkulasi!$B$751,INPUT_DELAY!$B$5:$B$20000,N$771,INPUT_DELAY!$C$5:$C$20000,"SEMUA")))/60)</f>
        <v/>
      </c>
      <c r="BB773">
        <f>IF(AO773=0,0,(60-MIN(60,SUMIFS(INPUT_DELAY!$E$5:$E$20000,INPUT_DELAY!$A$5:$A$20000,Kalkulasi!$B$751,INPUT_DELAY!$B$5:$B$20000,O$771,INPUT_DELAY!$C$5:$C$20000,$A773)+SUMIFS(INPUT_DELAY!$E$5:$E$20000,INPUT_DELAY!$A$5:$A$20000,Kalkulasi!$B$751,INPUT_DELAY!$B$5:$B$20000,O$771,INPUT_DELAY!$C$5:$C$20000,"SEMUA")))/60)</f>
        <v/>
      </c>
      <c r="BC773">
        <f>SUM(AQ773:BB773)</f>
        <v/>
      </c>
      <c r="BD773">
        <f>COUNTIF(D773:O773,"&gt;0")</f>
        <v/>
      </c>
      <c r="BE773">
        <f>IF(BD773=0,"",P773/BD773)</f>
        <v/>
      </c>
      <c r="BF773">
        <f>IF(BD773=0,"",AC773/BD773)</f>
        <v/>
      </c>
      <c r="BG773">
        <f>IF(OR(BD773=0,N(BF773)=0),"",BE773/BF773)</f>
        <v/>
      </c>
      <c r="BH773">
        <f>IF(BG773="","",ROUND(BG773-BE773,0))</f>
        <v/>
      </c>
      <c r="BI773">
        <f>SUMIFS(INPUT_RITASE!$F$5:$F$20000,INPUT_RITASE!$A$5:$A$20000,Kalkulasi!$B$751,INPUT_RITASE!$H$5:$H$20000,Kalkulasi!$B$752,INPUT_RITASE!$C$5:$C$20000,$A773)</f>
        <v/>
      </c>
      <c r="BJ773">
        <f>IF(P773=0,"",BI773/P773)</f>
        <v/>
      </c>
      <c r="BK773">
        <f>BI773+P773/1000+ROW()/1000000</f>
        <v/>
      </c>
    </row>
    <row r="774">
      <c r="A774" t="inlineStr">
        <is>
          <t>EX-2101</t>
        </is>
      </c>
      <c r="B774">
        <f>IFERROR(INDEX(MASTER_JAM!$B$5:$B$94,MATCH($A774,MASTER_JAM!$A$5:$A$94,0)),"")</f>
        <v/>
      </c>
      <c r="D774">
        <f>SUMIFS(INPUT_RITASE!$R$5:$R$20000,INPUT_RITASE!$A$5:$A$20000,Kalkulasi!$B$751,INPUT_RITASE!$B$5:$B$20000,D$771,INPUT_RITASE!$C$5:$C$20000,$A774)</f>
        <v/>
      </c>
      <c r="E774">
        <f>SUMIFS(INPUT_RITASE!$R$5:$R$20000,INPUT_RITASE!$A$5:$A$20000,Kalkulasi!$B$751,INPUT_RITASE!$B$5:$B$20000,E$771,INPUT_RITASE!$C$5:$C$20000,$A774)</f>
        <v/>
      </c>
      <c r="F774">
        <f>SUMIFS(INPUT_RITASE!$R$5:$R$20000,INPUT_RITASE!$A$5:$A$20000,Kalkulasi!$B$751,INPUT_RITASE!$B$5:$B$20000,F$771,INPUT_RITASE!$C$5:$C$20000,$A774)</f>
        <v/>
      </c>
      <c r="G774">
        <f>SUMIFS(INPUT_RITASE!$R$5:$R$20000,INPUT_RITASE!$A$5:$A$20000,Kalkulasi!$B$751,INPUT_RITASE!$B$5:$B$20000,G$771,INPUT_RITASE!$C$5:$C$20000,$A774)</f>
        <v/>
      </c>
      <c r="H774">
        <f>SUMIFS(INPUT_RITASE!$R$5:$R$20000,INPUT_RITASE!$A$5:$A$20000,Kalkulasi!$B$751,INPUT_RITASE!$B$5:$B$20000,H$771,INPUT_RITASE!$C$5:$C$20000,$A774)</f>
        <v/>
      </c>
      <c r="I774">
        <f>SUMIFS(INPUT_RITASE!$R$5:$R$20000,INPUT_RITASE!$A$5:$A$20000,Kalkulasi!$B$751,INPUT_RITASE!$B$5:$B$20000,I$771,INPUT_RITASE!$C$5:$C$20000,$A774)</f>
        <v/>
      </c>
      <c r="J774">
        <f>SUMIFS(INPUT_RITASE!$R$5:$R$20000,INPUT_RITASE!$A$5:$A$20000,Kalkulasi!$B$751,INPUT_RITASE!$B$5:$B$20000,J$771,INPUT_RITASE!$C$5:$C$20000,$A774)</f>
        <v/>
      </c>
      <c r="K774">
        <f>SUMIFS(INPUT_RITASE!$R$5:$R$20000,INPUT_RITASE!$A$5:$A$20000,Kalkulasi!$B$751,INPUT_RITASE!$B$5:$B$20000,K$771,INPUT_RITASE!$C$5:$C$20000,$A774)</f>
        <v/>
      </c>
      <c r="L774">
        <f>SUMIFS(INPUT_RITASE!$R$5:$R$20000,INPUT_RITASE!$A$5:$A$20000,Kalkulasi!$B$751,INPUT_RITASE!$B$5:$B$20000,L$771,INPUT_RITASE!$C$5:$C$20000,$A774)</f>
        <v/>
      </c>
      <c r="M774">
        <f>SUMIFS(INPUT_RITASE!$R$5:$R$20000,INPUT_RITASE!$A$5:$A$20000,Kalkulasi!$B$751,INPUT_RITASE!$B$5:$B$20000,M$771,INPUT_RITASE!$C$5:$C$20000,$A774)</f>
        <v/>
      </c>
      <c r="N774">
        <f>SUMIFS(INPUT_RITASE!$R$5:$R$20000,INPUT_RITASE!$A$5:$A$20000,Kalkulasi!$B$751,INPUT_RITASE!$B$5:$B$20000,N$771,INPUT_RITASE!$C$5:$C$20000,$A774)</f>
        <v/>
      </c>
      <c r="O774">
        <f>SUMIFS(INPUT_RITASE!$R$5:$R$20000,INPUT_RITASE!$A$5:$A$20000,Kalkulasi!$B$751,INPUT_RITASE!$B$5:$B$20000,O$771,INPUT_RITASE!$C$5:$C$20000,$A774)</f>
        <v/>
      </c>
      <c r="P774">
        <f>SUM(D774:O774)</f>
        <v/>
      </c>
      <c r="Q774">
        <f>SUMIFS(INPUT_RITASE!$S$5:$S$20000,INPUT_RITASE!$A$5:$A$20000,Kalkulasi!$B$751,INPUT_RITASE!$B$5:$B$20000,D$771,INPUT_RITASE!$C$5:$C$20000,$A774)</f>
        <v/>
      </c>
      <c r="R774">
        <f>SUMIFS(INPUT_RITASE!$S$5:$S$20000,INPUT_RITASE!$A$5:$A$20000,Kalkulasi!$B$751,INPUT_RITASE!$B$5:$B$20000,E$771,INPUT_RITASE!$C$5:$C$20000,$A774)</f>
        <v/>
      </c>
      <c r="S774">
        <f>SUMIFS(INPUT_RITASE!$S$5:$S$20000,INPUT_RITASE!$A$5:$A$20000,Kalkulasi!$B$751,INPUT_RITASE!$B$5:$B$20000,F$771,INPUT_RITASE!$C$5:$C$20000,$A774)</f>
        <v/>
      </c>
      <c r="T774">
        <f>SUMIFS(INPUT_RITASE!$S$5:$S$20000,INPUT_RITASE!$A$5:$A$20000,Kalkulasi!$B$751,INPUT_RITASE!$B$5:$B$20000,G$771,INPUT_RITASE!$C$5:$C$20000,$A774)</f>
        <v/>
      </c>
      <c r="U774">
        <f>SUMIFS(INPUT_RITASE!$S$5:$S$20000,INPUT_RITASE!$A$5:$A$20000,Kalkulasi!$B$751,INPUT_RITASE!$B$5:$B$20000,H$771,INPUT_RITASE!$C$5:$C$20000,$A774)</f>
        <v/>
      </c>
      <c r="V774">
        <f>SUMIFS(INPUT_RITASE!$S$5:$S$20000,INPUT_RITASE!$A$5:$A$20000,Kalkulasi!$B$751,INPUT_RITASE!$B$5:$B$20000,I$771,INPUT_RITASE!$C$5:$C$20000,$A774)</f>
        <v/>
      </c>
      <c r="W774">
        <f>SUMIFS(INPUT_RITASE!$S$5:$S$20000,INPUT_RITASE!$A$5:$A$20000,Kalkulasi!$B$751,INPUT_RITASE!$B$5:$B$20000,J$771,INPUT_RITASE!$C$5:$C$20000,$A774)</f>
        <v/>
      </c>
      <c r="X774">
        <f>SUMIFS(INPUT_RITASE!$S$5:$S$20000,INPUT_RITASE!$A$5:$A$20000,Kalkulasi!$B$751,INPUT_RITASE!$B$5:$B$20000,K$771,INPUT_RITASE!$C$5:$C$20000,$A774)</f>
        <v/>
      </c>
      <c r="Y774">
        <f>SUMIFS(INPUT_RITASE!$S$5:$S$20000,INPUT_RITASE!$A$5:$A$20000,Kalkulasi!$B$751,INPUT_RITASE!$B$5:$B$20000,L$771,INPUT_RITASE!$C$5:$C$20000,$A774)</f>
        <v/>
      </c>
      <c r="Z774">
        <f>SUMIFS(INPUT_RITASE!$S$5:$S$20000,INPUT_RITASE!$A$5:$A$20000,Kalkulasi!$B$751,INPUT_RITASE!$B$5:$B$20000,M$771,INPUT_RITASE!$C$5:$C$20000,$A774)</f>
        <v/>
      </c>
      <c r="AA774">
        <f>SUMIFS(INPUT_RITASE!$S$5:$S$20000,INPUT_RITASE!$A$5:$A$20000,Kalkulasi!$B$751,INPUT_RITASE!$B$5:$B$20000,N$771,INPUT_RITASE!$C$5:$C$20000,$A774)</f>
        <v/>
      </c>
      <c r="AB774">
        <f>SUMIFS(INPUT_RITASE!$S$5:$S$20000,INPUT_RITASE!$A$5:$A$20000,Kalkulasi!$B$751,INPUT_RITASE!$B$5:$B$20000,O$771,INPUT_RITASE!$C$5:$C$20000,$A774)</f>
        <v/>
      </c>
      <c r="AC774">
        <f>SUM(Q774:AB774)</f>
        <v/>
      </c>
      <c r="AD774">
        <f>SUMIFS(INPUT_RITASE!$L$5:$L$20000,INPUT_RITASE!$A$5:$A$20000,Kalkulasi!$B$751,INPUT_RITASE!$B$5:$B$20000,D$771,INPUT_RITASE!$C$5:$C$20000,$A774,INPUT_RITASE!$N$5:$N$20000,Kalkulasi!$B$753)</f>
        <v/>
      </c>
      <c r="AE774">
        <f>SUMIFS(INPUT_RITASE!$L$5:$L$20000,INPUT_RITASE!$A$5:$A$20000,Kalkulasi!$B$751,INPUT_RITASE!$B$5:$B$20000,E$771,INPUT_RITASE!$C$5:$C$20000,$A774,INPUT_RITASE!$N$5:$N$20000,Kalkulasi!$B$753)</f>
        <v/>
      </c>
      <c r="AF774">
        <f>SUMIFS(INPUT_RITASE!$L$5:$L$20000,INPUT_RITASE!$A$5:$A$20000,Kalkulasi!$B$751,INPUT_RITASE!$B$5:$B$20000,F$771,INPUT_RITASE!$C$5:$C$20000,$A774,INPUT_RITASE!$N$5:$N$20000,Kalkulasi!$B$753)</f>
        <v/>
      </c>
      <c r="AG774">
        <f>SUMIFS(INPUT_RITASE!$L$5:$L$20000,INPUT_RITASE!$A$5:$A$20000,Kalkulasi!$B$751,INPUT_RITASE!$B$5:$B$20000,G$771,INPUT_RITASE!$C$5:$C$20000,$A774,INPUT_RITASE!$N$5:$N$20000,Kalkulasi!$B$753)</f>
        <v/>
      </c>
      <c r="AH774">
        <f>SUMIFS(INPUT_RITASE!$L$5:$L$20000,INPUT_RITASE!$A$5:$A$20000,Kalkulasi!$B$751,INPUT_RITASE!$B$5:$B$20000,H$771,INPUT_RITASE!$C$5:$C$20000,$A774,INPUT_RITASE!$N$5:$N$20000,Kalkulasi!$B$753)</f>
        <v/>
      </c>
      <c r="AI774">
        <f>SUMIFS(INPUT_RITASE!$L$5:$L$20000,INPUT_RITASE!$A$5:$A$20000,Kalkulasi!$B$751,INPUT_RITASE!$B$5:$B$20000,I$771,INPUT_RITASE!$C$5:$C$20000,$A774,INPUT_RITASE!$N$5:$N$20000,Kalkulasi!$B$753)</f>
        <v/>
      </c>
      <c r="AJ774">
        <f>SUMIFS(INPUT_RITASE!$L$5:$L$20000,INPUT_RITASE!$A$5:$A$20000,Kalkulasi!$B$751,INPUT_RITASE!$B$5:$B$20000,J$771,INPUT_RITASE!$C$5:$C$20000,$A774,INPUT_RITASE!$N$5:$N$20000,Kalkulasi!$B$753)</f>
        <v/>
      </c>
      <c r="AK774">
        <f>SUMIFS(INPUT_RITASE!$L$5:$L$20000,INPUT_RITASE!$A$5:$A$20000,Kalkulasi!$B$751,INPUT_RITASE!$B$5:$B$20000,K$771,INPUT_RITASE!$C$5:$C$20000,$A774,INPUT_RITASE!$N$5:$N$20000,Kalkulasi!$B$753)</f>
        <v/>
      </c>
      <c r="AL774">
        <f>SUMIFS(INPUT_RITASE!$L$5:$L$20000,INPUT_RITASE!$A$5:$A$20000,Kalkulasi!$B$751,INPUT_RITASE!$B$5:$B$20000,L$771,INPUT_RITASE!$C$5:$C$20000,$A774,INPUT_RITASE!$N$5:$N$20000,Kalkulasi!$B$753)</f>
        <v/>
      </c>
      <c r="AM774">
        <f>SUMIFS(INPUT_RITASE!$L$5:$L$20000,INPUT_RITASE!$A$5:$A$20000,Kalkulasi!$B$751,INPUT_RITASE!$B$5:$B$20000,M$771,INPUT_RITASE!$C$5:$C$20000,$A774,INPUT_RITASE!$N$5:$N$20000,Kalkulasi!$B$753)</f>
        <v/>
      </c>
      <c r="AN774">
        <f>SUMIFS(INPUT_RITASE!$L$5:$L$20000,INPUT_RITASE!$A$5:$A$20000,Kalkulasi!$B$751,INPUT_RITASE!$B$5:$B$20000,N$771,INPUT_RITASE!$C$5:$C$20000,$A774,INPUT_RITASE!$N$5:$N$20000,Kalkulasi!$B$753)</f>
        <v/>
      </c>
      <c r="AO774">
        <f>SUMIFS(INPUT_RITASE!$L$5:$L$20000,INPUT_RITASE!$A$5:$A$20000,Kalkulasi!$B$751,INPUT_RITASE!$B$5:$B$20000,O$771,INPUT_RITASE!$C$5:$C$20000,$A774,INPUT_RITASE!$N$5:$N$20000,Kalkulasi!$B$753)</f>
        <v/>
      </c>
      <c r="AP774">
        <f>SUM(AD774:AO774)</f>
        <v/>
      </c>
      <c r="AQ774">
        <f>IF(AD774=0,0,(60-MIN(60,SUMIFS(INPUT_DELAY!$E$5:$E$20000,INPUT_DELAY!$A$5:$A$20000,Kalkulasi!$B$751,INPUT_DELAY!$B$5:$B$20000,D$771,INPUT_DELAY!$C$5:$C$20000,$A774)+SUMIFS(INPUT_DELAY!$E$5:$E$20000,INPUT_DELAY!$A$5:$A$20000,Kalkulasi!$B$751,INPUT_DELAY!$B$5:$B$20000,D$771,INPUT_DELAY!$C$5:$C$20000,"SEMUA")))/60)</f>
        <v/>
      </c>
      <c r="AR774">
        <f>IF(AE774=0,0,(60-MIN(60,SUMIFS(INPUT_DELAY!$E$5:$E$20000,INPUT_DELAY!$A$5:$A$20000,Kalkulasi!$B$751,INPUT_DELAY!$B$5:$B$20000,E$771,INPUT_DELAY!$C$5:$C$20000,$A774)+SUMIFS(INPUT_DELAY!$E$5:$E$20000,INPUT_DELAY!$A$5:$A$20000,Kalkulasi!$B$751,INPUT_DELAY!$B$5:$B$20000,E$771,INPUT_DELAY!$C$5:$C$20000,"SEMUA")))/60)</f>
        <v/>
      </c>
      <c r="AS774">
        <f>IF(AF774=0,0,(60-MIN(60,SUMIFS(INPUT_DELAY!$E$5:$E$20000,INPUT_DELAY!$A$5:$A$20000,Kalkulasi!$B$751,INPUT_DELAY!$B$5:$B$20000,F$771,INPUT_DELAY!$C$5:$C$20000,$A774)+SUMIFS(INPUT_DELAY!$E$5:$E$20000,INPUT_DELAY!$A$5:$A$20000,Kalkulasi!$B$751,INPUT_DELAY!$B$5:$B$20000,F$771,INPUT_DELAY!$C$5:$C$20000,"SEMUA")))/60)</f>
        <v/>
      </c>
      <c r="AT774">
        <f>IF(AG774=0,0,(60-MIN(60,SUMIFS(INPUT_DELAY!$E$5:$E$20000,INPUT_DELAY!$A$5:$A$20000,Kalkulasi!$B$751,INPUT_DELAY!$B$5:$B$20000,G$771,INPUT_DELAY!$C$5:$C$20000,$A774)+SUMIFS(INPUT_DELAY!$E$5:$E$20000,INPUT_DELAY!$A$5:$A$20000,Kalkulasi!$B$751,INPUT_DELAY!$B$5:$B$20000,G$771,INPUT_DELAY!$C$5:$C$20000,"SEMUA")))/60)</f>
        <v/>
      </c>
      <c r="AU774">
        <f>IF(AH774=0,0,(60-MIN(60,SUMIFS(INPUT_DELAY!$E$5:$E$20000,INPUT_DELAY!$A$5:$A$20000,Kalkulasi!$B$751,INPUT_DELAY!$B$5:$B$20000,H$771,INPUT_DELAY!$C$5:$C$20000,$A774)+SUMIFS(INPUT_DELAY!$E$5:$E$20000,INPUT_DELAY!$A$5:$A$20000,Kalkulasi!$B$751,INPUT_DELAY!$B$5:$B$20000,H$771,INPUT_DELAY!$C$5:$C$20000,"SEMUA")))/60)</f>
        <v/>
      </c>
      <c r="AV774">
        <f>IF(AI774=0,0,(60-MIN(60,SUMIFS(INPUT_DELAY!$E$5:$E$20000,INPUT_DELAY!$A$5:$A$20000,Kalkulasi!$B$751,INPUT_DELAY!$B$5:$B$20000,I$771,INPUT_DELAY!$C$5:$C$20000,$A774)+SUMIFS(INPUT_DELAY!$E$5:$E$20000,INPUT_DELAY!$A$5:$A$20000,Kalkulasi!$B$751,INPUT_DELAY!$B$5:$B$20000,I$771,INPUT_DELAY!$C$5:$C$20000,"SEMUA")))/60)</f>
        <v/>
      </c>
      <c r="AW774">
        <f>IF(AJ774=0,0,(60-MIN(60,SUMIFS(INPUT_DELAY!$E$5:$E$20000,INPUT_DELAY!$A$5:$A$20000,Kalkulasi!$B$751,INPUT_DELAY!$B$5:$B$20000,J$771,INPUT_DELAY!$C$5:$C$20000,$A774)+SUMIFS(INPUT_DELAY!$E$5:$E$20000,INPUT_DELAY!$A$5:$A$20000,Kalkulasi!$B$751,INPUT_DELAY!$B$5:$B$20000,J$771,INPUT_DELAY!$C$5:$C$20000,"SEMUA")))/60)</f>
        <v/>
      </c>
      <c r="AX774">
        <f>IF(AK774=0,0,(60-MIN(60,SUMIFS(INPUT_DELAY!$E$5:$E$20000,INPUT_DELAY!$A$5:$A$20000,Kalkulasi!$B$751,INPUT_DELAY!$B$5:$B$20000,K$771,INPUT_DELAY!$C$5:$C$20000,$A774)+SUMIFS(INPUT_DELAY!$E$5:$E$20000,INPUT_DELAY!$A$5:$A$20000,Kalkulasi!$B$751,INPUT_DELAY!$B$5:$B$20000,K$771,INPUT_DELAY!$C$5:$C$20000,"SEMUA")))/60)</f>
        <v/>
      </c>
      <c r="AY774">
        <f>IF(AL774=0,0,(60-MIN(60,SUMIFS(INPUT_DELAY!$E$5:$E$20000,INPUT_DELAY!$A$5:$A$20000,Kalkulasi!$B$751,INPUT_DELAY!$B$5:$B$20000,L$771,INPUT_DELAY!$C$5:$C$20000,$A774)+SUMIFS(INPUT_DELAY!$E$5:$E$20000,INPUT_DELAY!$A$5:$A$20000,Kalkulasi!$B$751,INPUT_DELAY!$B$5:$B$20000,L$771,INPUT_DELAY!$C$5:$C$20000,"SEMUA")))/60)</f>
        <v/>
      </c>
      <c r="AZ774">
        <f>IF(AM774=0,0,(60-MIN(60,SUMIFS(INPUT_DELAY!$E$5:$E$20000,INPUT_DELAY!$A$5:$A$20000,Kalkulasi!$B$751,INPUT_DELAY!$B$5:$B$20000,M$771,INPUT_DELAY!$C$5:$C$20000,$A774)+SUMIFS(INPUT_DELAY!$E$5:$E$20000,INPUT_DELAY!$A$5:$A$20000,Kalkulasi!$B$751,INPUT_DELAY!$B$5:$B$20000,M$771,INPUT_DELAY!$C$5:$C$20000,"SEMUA")))/60)</f>
        <v/>
      </c>
      <c r="BA774">
        <f>IF(AN774=0,0,(60-MIN(60,SUMIFS(INPUT_DELAY!$E$5:$E$20000,INPUT_DELAY!$A$5:$A$20000,Kalkulasi!$B$751,INPUT_DELAY!$B$5:$B$20000,N$771,INPUT_DELAY!$C$5:$C$20000,$A774)+SUMIFS(INPUT_DELAY!$E$5:$E$20000,INPUT_DELAY!$A$5:$A$20000,Kalkulasi!$B$751,INPUT_DELAY!$B$5:$B$20000,N$771,INPUT_DELAY!$C$5:$C$20000,"SEMUA")))/60)</f>
        <v/>
      </c>
      <c r="BB774">
        <f>IF(AO774=0,0,(60-MIN(60,SUMIFS(INPUT_DELAY!$E$5:$E$20000,INPUT_DELAY!$A$5:$A$20000,Kalkulasi!$B$751,INPUT_DELAY!$B$5:$B$20000,O$771,INPUT_DELAY!$C$5:$C$20000,$A774)+SUMIFS(INPUT_DELAY!$E$5:$E$20000,INPUT_DELAY!$A$5:$A$20000,Kalkulasi!$B$751,INPUT_DELAY!$B$5:$B$20000,O$771,INPUT_DELAY!$C$5:$C$20000,"SEMUA")))/60)</f>
        <v/>
      </c>
      <c r="BC774">
        <f>SUM(AQ774:BB774)</f>
        <v/>
      </c>
      <c r="BD774">
        <f>COUNTIF(D774:O774,"&gt;0")</f>
        <v/>
      </c>
      <c r="BE774">
        <f>IF(BD774=0,"",P774/BD774)</f>
        <v/>
      </c>
      <c r="BF774">
        <f>IF(BD774=0,"",AC774/BD774)</f>
        <v/>
      </c>
      <c r="BG774">
        <f>IF(OR(BD774=0,N(BF774)=0),"",BE774/BF774)</f>
        <v/>
      </c>
      <c r="BH774">
        <f>IF(BG774="","",ROUND(BG774-BE774,0))</f>
        <v/>
      </c>
      <c r="BI774">
        <f>SUMIFS(INPUT_RITASE!$F$5:$F$20000,INPUT_RITASE!$A$5:$A$20000,Kalkulasi!$B$751,INPUT_RITASE!$H$5:$H$20000,Kalkulasi!$B$752,INPUT_RITASE!$C$5:$C$20000,$A774)</f>
        <v/>
      </c>
      <c r="BJ774">
        <f>IF(P774=0,"",BI774/P774)</f>
        <v/>
      </c>
      <c r="BK774">
        <f>BI774+P774/1000+ROW()/1000000</f>
        <v/>
      </c>
    </row>
    <row r="775">
      <c r="A775" t="inlineStr">
        <is>
          <t>EX-754</t>
        </is>
      </c>
      <c r="B775">
        <f>IFERROR(INDEX(MASTER_JAM!$B$5:$B$94,MATCH($A775,MASTER_JAM!$A$5:$A$94,0)),"")</f>
        <v/>
      </c>
      <c r="D775">
        <f>SUMIFS(INPUT_RITASE!$R$5:$R$20000,INPUT_RITASE!$A$5:$A$20000,Kalkulasi!$B$751,INPUT_RITASE!$B$5:$B$20000,D$771,INPUT_RITASE!$C$5:$C$20000,$A775)</f>
        <v/>
      </c>
      <c r="E775">
        <f>SUMIFS(INPUT_RITASE!$R$5:$R$20000,INPUT_RITASE!$A$5:$A$20000,Kalkulasi!$B$751,INPUT_RITASE!$B$5:$B$20000,E$771,INPUT_RITASE!$C$5:$C$20000,$A775)</f>
        <v/>
      </c>
      <c r="F775">
        <f>SUMIFS(INPUT_RITASE!$R$5:$R$20000,INPUT_RITASE!$A$5:$A$20000,Kalkulasi!$B$751,INPUT_RITASE!$B$5:$B$20000,F$771,INPUT_RITASE!$C$5:$C$20000,$A775)</f>
        <v/>
      </c>
      <c r="G775">
        <f>SUMIFS(INPUT_RITASE!$R$5:$R$20000,INPUT_RITASE!$A$5:$A$20000,Kalkulasi!$B$751,INPUT_RITASE!$B$5:$B$20000,G$771,INPUT_RITASE!$C$5:$C$20000,$A775)</f>
        <v/>
      </c>
      <c r="H775">
        <f>SUMIFS(INPUT_RITASE!$R$5:$R$20000,INPUT_RITASE!$A$5:$A$20000,Kalkulasi!$B$751,INPUT_RITASE!$B$5:$B$20000,H$771,INPUT_RITASE!$C$5:$C$20000,$A775)</f>
        <v/>
      </c>
      <c r="I775">
        <f>SUMIFS(INPUT_RITASE!$R$5:$R$20000,INPUT_RITASE!$A$5:$A$20000,Kalkulasi!$B$751,INPUT_RITASE!$B$5:$B$20000,I$771,INPUT_RITASE!$C$5:$C$20000,$A775)</f>
        <v/>
      </c>
      <c r="J775">
        <f>SUMIFS(INPUT_RITASE!$R$5:$R$20000,INPUT_RITASE!$A$5:$A$20000,Kalkulasi!$B$751,INPUT_RITASE!$B$5:$B$20000,J$771,INPUT_RITASE!$C$5:$C$20000,$A775)</f>
        <v/>
      </c>
      <c r="K775">
        <f>SUMIFS(INPUT_RITASE!$R$5:$R$20000,INPUT_RITASE!$A$5:$A$20000,Kalkulasi!$B$751,INPUT_RITASE!$B$5:$B$20000,K$771,INPUT_RITASE!$C$5:$C$20000,$A775)</f>
        <v/>
      </c>
      <c r="L775">
        <f>SUMIFS(INPUT_RITASE!$R$5:$R$20000,INPUT_RITASE!$A$5:$A$20000,Kalkulasi!$B$751,INPUT_RITASE!$B$5:$B$20000,L$771,INPUT_RITASE!$C$5:$C$20000,$A775)</f>
        <v/>
      </c>
      <c r="M775">
        <f>SUMIFS(INPUT_RITASE!$R$5:$R$20000,INPUT_RITASE!$A$5:$A$20000,Kalkulasi!$B$751,INPUT_RITASE!$B$5:$B$20000,M$771,INPUT_RITASE!$C$5:$C$20000,$A775)</f>
        <v/>
      </c>
      <c r="N775">
        <f>SUMIFS(INPUT_RITASE!$R$5:$R$20000,INPUT_RITASE!$A$5:$A$20000,Kalkulasi!$B$751,INPUT_RITASE!$B$5:$B$20000,N$771,INPUT_RITASE!$C$5:$C$20000,$A775)</f>
        <v/>
      </c>
      <c r="O775">
        <f>SUMIFS(INPUT_RITASE!$R$5:$R$20000,INPUT_RITASE!$A$5:$A$20000,Kalkulasi!$B$751,INPUT_RITASE!$B$5:$B$20000,O$771,INPUT_RITASE!$C$5:$C$20000,$A775)</f>
        <v/>
      </c>
      <c r="P775">
        <f>SUM(D775:O775)</f>
        <v/>
      </c>
      <c r="Q775">
        <f>SUMIFS(INPUT_RITASE!$S$5:$S$20000,INPUT_RITASE!$A$5:$A$20000,Kalkulasi!$B$751,INPUT_RITASE!$B$5:$B$20000,D$771,INPUT_RITASE!$C$5:$C$20000,$A775)</f>
        <v/>
      </c>
      <c r="R775">
        <f>SUMIFS(INPUT_RITASE!$S$5:$S$20000,INPUT_RITASE!$A$5:$A$20000,Kalkulasi!$B$751,INPUT_RITASE!$B$5:$B$20000,E$771,INPUT_RITASE!$C$5:$C$20000,$A775)</f>
        <v/>
      </c>
      <c r="S775">
        <f>SUMIFS(INPUT_RITASE!$S$5:$S$20000,INPUT_RITASE!$A$5:$A$20000,Kalkulasi!$B$751,INPUT_RITASE!$B$5:$B$20000,F$771,INPUT_RITASE!$C$5:$C$20000,$A775)</f>
        <v/>
      </c>
      <c r="T775">
        <f>SUMIFS(INPUT_RITASE!$S$5:$S$20000,INPUT_RITASE!$A$5:$A$20000,Kalkulasi!$B$751,INPUT_RITASE!$B$5:$B$20000,G$771,INPUT_RITASE!$C$5:$C$20000,$A775)</f>
        <v/>
      </c>
      <c r="U775">
        <f>SUMIFS(INPUT_RITASE!$S$5:$S$20000,INPUT_RITASE!$A$5:$A$20000,Kalkulasi!$B$751,INPUT_RITASE!$B$5:$B$20000,H$771,INPUT_RITASE!$C$5:$C$20000,$A775)</f>
        <v/>
      </c>
      <c r="V775">
        <f>SUMIFS(INPUT_RITASE!$S$5:$S$20000,INPUT_RITASE!$A$5:$A$20000,Kalkulasi!$B$751,INPUT_RITASE!$B$5:$B$20000,I$771,INPUT_RITASE!$C$5:$C$20000,$A775)</f>
        <v/>
      </c>
      <c r="W775">
        <f>SUMIFS(INPUT_RITASE!$S$5:$S$20000,INPUT_RITASE!$A$5:$A$20000,Kalkulasi!$B$751,INPUT_RITASE!$B$5:$B$20000,J$771,INPUT_RITASE!$C$5:$C$20000,$A775)</f>
        <v/>
      </c>
      <c r="X775">
        <f>SUMIFS(INPUT_RITASE!$S$5:$S$20000,INPUT_RITASE!$A$5:$A$20000,Kalkulasi!$B$751,INPUT_RITASE!$B$5:$B$20000,K$771,INPUT_RITASE!$C$5:$C$20000,$A775)</f>
        <v/>
      </c>
      <c r="Y775">
        <f>SUMIFS(INPUT_RITASE!$S$5:$S$20000,INPUT_RITASE!$A$5:$A$20000,Kalkulasi!$B$751,INPUT_RITASE!$B$5:$B$20000,L$771,INPUT_RITASE!$C$5:$C$20000,$A775)</f>
        <v/>
      </c>
      <c r="Z775">
        <f>SUMIFS(INPUT_RITASE!$S$5:$S$20000,INPUT_RITASE!$A$5:$A$20000,Kalkulasi!$B$751,INPUT_RITASE!$B$5:$B$20000,M$771,INPUT_RITASE!$C$5:$C$20000,$A775)</f>
        <v/>
      </c>
      <c r="AA775">
        <f>SUMIFS(INPUT_RITASE!$S$5:$S$20000,INPUT_RITASE!$A$5:$A$20000,Kalkulasi!$B$751,INPUT_RITASE!$B$5:$B$20000,N$771,INPUT_RITASE!$C$5:$C$20000,$A775)</f>
        <v/>
      </c>
      <c r="AB775">
        <f>SUMIFS(INPUT_RITASE!$S$5:$S$20000,INPUT_RITASE!$A$5:$A$20000,Kalkulasi!$B$751,INPUT_RITASE!$B$5:$B$20000,O$771,INPUT_RITASE!$C$5:$C$20000,$A775)</f>
        <v/>
      </c>
      <c r="AC775">
        <f>SUM(Q775:AB775)</f>
        <v/>
      </c>
      <c r="AD775">
        <f>SUMIFS(INPUT_RITASE!$L$5:$L$20000,INPUT_RITASE!$A$5:$A$20000,Kalkulasi!$B$751,INPUT_RITASE!$B$5:$B$20000,D$771,INPUT_RITASE!$C$5:$C$20000,$A775,INPUT_RITASE!$N$5:$N$20000,Kalkulasi!$B$753)</f>
        <v/>
      </c>
      <c r="AE775">
        <f>SUMIFS(INPUT_RITASE!$L$5:$L$20000,INPUT_RITASE!$A$5:$A$20000,Kalkulasi!$B$751,INPUT_RITASE!$B$5:$B$20000,E$771,INPUT_RITASE!$C$5:$C$20000,$A775,INPUT_RITASE!$N$5:$N$20000,Kalkulasi!$B$753)</f>
        <v/>
      </c>
      <c r="AF775">
        <f>SUMIFS(INPUT_RITASE!$L$5:$L$20000,INPUT_RITASE!$A$5:$A$20000,Kalkulasi!$B$751,INPUT_RITASE!$B$5:$B$20000,F$771,INPUT_RITASE!$C$5:$C$20000,$A775,INPUT_RITASE!$N$5:$N$20000,Kalkulasi!$B$753)</f>
        <v/>
      </c>
      <c r="AG775">
        <f>SUMIFS(INPUT_RITASE!$L$5:$L$20000,INPUT_RITASE!$A$5:$A$20000,Kalkulasi!$B$751,INPUT_RITASE!$B$5:$B$20000,G$771,INPUT_RITASE!$C$5:$C$20000,$A775,INPUT_RITASE!$N$5:$N$20000,Kalkulasi!$B$753)</f>
        <v/>
      </c>
      <c r="AH775">
        <f>SUMIFS(INPUT_RITASE!$L$5:$L$20000,INPUT_RITASE!$A$5:$A$20000,Kalkulasi!$B$751,INPUT_RITASE!$B$5:$B$20000,H$771,INPUT_RITASE!$C$5:$C$20000,$A775,INPUT_RITASE!$N$5:$N$20000,Kalkulasi!$B$753)</f>
        <v/>
      </c>
      <c r="AI775">
        <f>SUMIFS(INPUT_RITASE!$L$5:$L$20000,INPUT_RITASE!$A$5:$A$20000,Kalkulasi!$B$751,INPUT_RITASE!$B$5:$B$20000,I$771,INPUT_RITASE!$C$5:$C$20000,$A775,INPUT_RITASE!$N$5:$N$20000,Kalkulasi!$B$753)</f>
        <v/>
      </c>
      <c r="AJ775">
        <f>SUMIFS(INPUT_RITASE!$L$5:$L$20000,INPUT_RITASE!$A$5:$A$20000,Kalkulasi!$B$751,INPUT_RITASE!$B$5:$B$20000,J$771,INPUT_RITASE!$C$5:$C$20000,$A775,INPUT_RITASE!$N$5:$N$20000,Kalkulasi!$B$753)</f>
        <v/>
      </c>
      <c r="AK775">
        <f>SUMIFS(INPUT_RITASE!$L$5:$L$20000,INPUT_RITASE!$A$5:$A$20000,Kalkulasi!$B$751,INPUT_RITASE!$B$5:$B$20000,K$771,INPUT_RITASE!$C$5:$C$20000,$A775,INPUT_RITASE!$N$5:$N$20000,Kalkulasi!$B$753)</f>
        <v/>
      </c>
      <c r="AL775">
        <f>SUMIFS(INPUT_RITASE!$L$5:$L$20000,INPUT_RITASE!$A$5:$A$20000,Kalkulasi!$B$751,INPUT_RITASE!$B$5:$B$20000,L$771,INPUT_RITASE!$C$5:$C$20000,$A775,INPUT_RITASE!$N$5:$N$20000,Kalkulasi!$B$753)</f>
        <v/>
      </c>
      <c r="AM775">
        <f>SUMIFS(INPUT_RITASE!$L$5:$L$20000,INPUT_RITASE!$A$5:$A$20000,Kalkulasi!$B$751,INPUT_RITASE!$B$5:$B$20000,M$771,INPUT_RITASE!$C$5:$C$20000,$A775,INPUT_RITASE!$N$5:$N$20000,Kalkulasi!$B$753)</f>
        <v/>
      </c>
      <c r="AN775">
        <f>SUMIFS(INPUT_RITASE!$L$5:$L$20000,INPUT_RITASE!$A$5:$A$20000,Kalkulasi!$B$751,INPUT_RITASE!$B$5:$B$20000,N$771,INPUT_RITASE!$C$5:$C$20000,$A775,INPUT_RITASE!$N$5:$N$20000,Kalkulasi!$B$753)</f>
        <v/>
      </c>
      <c r="AO775">
        <f>SUMIFS(INPUT_RITASE!$L$5:$L$20000,INPUT_RITASE!$A$5:$A$20000,Kalkulasi!$B$751,INPUT_RITASE!$B$5:$B$20000,O$771,INPUT_RITASE!$C$5:$C$20000,$A775,INPUT_RITASE!$N$5:$N$20000,Kalkulasi!$B$753)</f>
        <v/>
      </c>
      <c r="AP775">
        <f>SUM(AD775:AO775)</f>
        <v/>
      </c>
      <c r="AQ775">
        <f>IF(AD775=0,0,(60-MIN(60,SUMIFS(INPUT_DELAY!$E$5:$E$20000,INPUT_DELAY!$A$5:$A$20000,Kalkulasi!$B$751,INPUT_DELAY!$B$5:$B$20000,D$771,INPUT_DELAY!$C$5:$C$20000,$A775)+SUMIFS(INPUT_DELAY!$E$5:$E$20000,INPUT_DELAY!$A$5:$A$20000,Kalkulasi!$B$751,INPUT_DELAY!$B$5:$B$20000,D$771,INPUT_DELAY!$C$5:$C$20000,"SEMUA")))/60)</f>
        <v/>
      </c>
      <c r="AR775">
        <f>IF(AE775=0,0,(60-MIN(60,SUMIFS(INPUT_DELAY!$E$5:$E$20000,INPUT_DELAY!$A$5:$A$20000,Kalkulasi!$B$751,INPUT_DELAY!$B$5:$B$20000,E$771,INPUT_DELAY!$C$5:$C$20000,$A775)+SUMIFS(INPUT_DELAY!$E$5:$E$20000,INPUT_DELAY!$A$5:$A$20000,Kalkulasi!$B$751,INPUT_DELAY!$B$5:$B$20000,E$771,INPUT_DELAY!$C$5:$C$20000,"SEMUA")))/60)</f>
        <v/>
      </c>
      <c r="AS775">
        <f>IF(AF775=0,0,(60-MIN(60,SUMIFS(INPUT_DELAY!$E$5:$E$20000,INPUT_DELAY!$A$5:$A$20000,Kalkulasi!$B$751,INPUT_DELAY!$B$5:$B$20000,F$771,INPUT_DELAY!$C$5:$C$20000,$A775)+SUMIFS(INPUT_DELAY!$E$5:$E$20000,INPUT_DELAY!$A$5:$A$20000,Kalkulasi!$B$751,INPUT_DELAY!$B$5:$B$20000,F$771,INPUT_DELAY!$C$5:$C$20000,"SEMUA")))/60)</f>
        <v/>
      </c>
      <c r="AT775">
        <f>IF(AG775=0,0,(60-MIN(60,SUMIFS(INPUT_DELAY!$E$5:$E$20000,INPUT_DELAY!$A$5:$A$20000,Kalkulasi!$B$751,INPUT_DELAY!$B$5:$B$20000,G$771,INPUT_DELAY!$C$5:$C$20000,$A775)+SUMIFS(INPUT_DELAY!$E$5:$E$20000,INPUT_DELAY!$A$5:$A$20000,Kalkulasi!$B$751,INPUT_DELAY!$B$5:$B$20000,G$771,INPUT_DELAY!$C$5:$C$20000,"SEMUA")))/60)</f>
        <v/>
      </c>
      <c r="AU775">
        <f>IF(AH775=0,0,(60-MIN(60,SUMIFS(INPUT_DELAY!$E$5:$E$20000,INPUT_DELAY!$A$5:$A$20000,Kalkulasi!$B$751,INPUT_DELAY!$B$5:$B$20000,H$771,INPUT_DELAY!$C$5:$C$20000,$A775)+SUMIFS(INPUT_DELAY!$E$5:$E$20000,INPUT_DELAY!$A$5:$A$20000,Kalkulasi!$B$751,INPUT_DELAY!$B$5:$B$20000,H$771,INPUT_DELAY!$C$5:$C$20000,"SEMUA")))/60)</f>
        <v/>
      </c>
      <c r="AV775">
        <f>IF(AI775=0,0,(60-MIN(60,SUMIFS(INPUT_DELAY!$E$5:$E$20000,INPUT_DELAY!$A$5:$A$20000,Kalkulasi!$B$751,INPUT_DELAY!$B$5:$B$20000,I$771,INPUT_DELAY!$C$5:$C$20000,$A775)+SUMIFS(INPUT_DELAY!$E$5:$E$20000,INPUT_DELAY!$A$5:$A$20000,Kalkulasi!$B$751,INPUT_DELAY!$B$5:$B$20000,I$771,INPUT_DELAY!$C$5:$C$20000,"SEMUA")))/60)</f>
        <v/>
      </c>
      <c r="AW775">
        <f>IF(AJ775=0,0,(60-MIN(60,SUMIFS(INPUT_DELAY!$E$5:$E$20000,INPUT_DELAY!$A$5:$A$20000,Kalkulasi!$B$751,INPUT_DELAY!$B$5:$B$20000,J$771,INPUT_DELAY!$C$5:$C$20000,$A775)+SUMIFS(INPUT_DELAY!$E$5:$E$20000,INPUT_DELAY!$A$5:$A$20000,Kalkulasi!$B$751,INPUT_DELAY!$B$5:$B$20000,J$771,INPUT_DELAY!$C$5:$C$20000,"SEMUA")))/60)</f>
        <v/>
      </c>
      <c r="AX775">
        <f>IF(AK775=0,0,(60-MIN(60,SUMIFS(INPUT_DELAY!$E$5:$E$20000,INPUT_DELAY!$A$5:$A$20000,Kalkulasi!$B$751,INPUT_DELAY!$B$5:$B$20000,K$771,INPUT_DELAY!$C$5:$C$20000,$A775)+SUMIFS(INPUT_DELAY!$E$5:$E$20000,INPUT_DELAY!$A$5:$A$20000,Kalkulasi!$B$751,INPUT_DELAY!$B$5:$B$20000,K$771,INPUT_DELAY!$C$5:$C$20000,"SEMUA")))/60)</f>
        <v/>
      </c>
      <c r="AY775">
        <f>IF(AL775=0,0,(60-MIN(60,SUMIFS(INPUT_DELAY!$E$5:$E$20000,INPUT_DELAY!$A$5:$A$20000,Kalkulasi!$B$751,INPUT_DELAY!$B$5:$B$20000,L$771,INPUT_DELAY!$C$5:$C$20000,$A775)+SUMIFS(INPUT_DELAY!$E$5:$E$20000,INPUT_DELAY!$A$5:$A$20000,Kalkulasi!$B$751,INPUT_DELAY!$B$5:$B$20000,L$771,INPUT_DELAY!$C$5:$C$20000,"SEMUA")))/60)</f>
        <v/>
      </c>
      <c r="AZ775">
        <f>IF(AM775=0,0,(60-MIN(60,SUMIFS(INPUT_DELAY!$E$5:$E$20000,INPUT_DELAY!$A$5:$A$20000,Kalkulasi!$B$751,INPUT_DELAY!$B$5:$B$20000,M$771,INPUT_DELAY!$C$5:$C$20000,$A775)+SUMIFS(INPUT_DELAY!$E$5:$E$20000,INPUT_DELAY!$A$5:$A$20000,Kalkulasi!$B$751,INPUT_DELAY!$B$5:$B$20000,M$771,INPUT_DELAY!$C$5:$C$20000,"SEMUA")))/60)</f>
        <v/>
      </c>
      <c r="BA775">
        <f>IF(AN775=0,0,(60-MIN(60,SUMIFS(INPUT_DELAY!$E$5:$E$20000,INPUT_DELAY!$A$5:$A$20000,Kalkulasi!$B$751,INPUT_DELAY!$B$5:$B$20000,N$771,INPUT_DELAY!$C$5:$C$20000,$A775)+SUMIFS(INPUT_DELAY!$E$5:$E$20000,INPUT_DELAY!$A$5:$A$20000,Kalkulasi!$B$751,INPUT_DELAY!$B$5:$B$20000,N$771,INPUT_DELAY!$C$5:$C$20000,"SEMUA")))/60)</f>
        <v/>
      </c>
      <c r="BB775">
        <f>IF(AO775=0,0,(60-MIN(60,SUMIFS(INPUT_DELAY!$E$5:$E$20000,INPUT_DELAY!$A$5:$A$20000,Kalkulasi!$B$751,INPUT_DELAY!$B$5:$B$20000,O$771,INPUT_DELAY!$C$5:$C$20000,$A775)+SUMIFS(INPUT_DELAY!$E$5:$E$20000,INPUT_DELAY!$A$5:$A$20000,Kalkulasi!$B$751,INPUT_DELAY!$B$5:$B$20000,O$771,INPUT_DELAY!$C$5:$C$20000,"SEMUA")))/60)</f>
        <v/>
      </c>
      <c r="BC775">
        <f>SUM(AQ775:BB775)</f>
        <v/>
      </c>
      <c r="BD775">
        <f>COUNTIF(D775:O775,"&gt;0")</f>
        <v/>
      </c>
      <c r="BE775">
        <f>IF(BD775=0,"",P775/BD775)</f>
        <v/>
      </c>
      <c r="BF775">
        <f>IF(BD775=0,"",AC775/BD775)</f>
        <v/>
      </c>
      <c r="BG775">
        <f>IF(OR(BD775=0,N(BF775)=0),"",BE775/BF775)</f>
        <v/>
      </c>
      <c r="BH775">
        <f>IF(BG775="","",ROUND(BG775-BE775,0))</f>
        <v/>
      </c>
      <c r="BI775">
        <f>SUMIFS(INPUT_RITASE!$F$5:$F$20000,INPUT_RITASE!$A$5:$A$20000,Kalkulasi!$B$751,INPUT_RITASE!$H$5:$H$20000,Kalkulasi!$B$752,INPUT_RITASE!$C$5:$C$20000,$A775)</f>
        <v/>
      </c>
      <c r="BJ775">
        <f>IF(P775=0,"",BI775/P775)</f>
        <v/>
      </c>
      <c r="BK775">
        <f>BI775+P775/1000+ROW()/1000000</f>
        <v/>
      </c>
    </row>
    <row r="776">
      <c r="A776" t="inlineStr">
        <is>
          <t>EX-753</t>
        </is>
      </c>
      <c r="B776">
        <f>IFERROR(INDEX(MASTER_JAM!$B$5:$B$94,MATCH($A776,MASTER_JAM!$A$5:$A$94,0)),"")</f>
        <v/>
      </c>
      <c r="D776">
        <f>SUMIFS(INPUT_RITASE!$R$5:$R$20000,INPUT_RITASE!$A$5:$A$20000,Kalkulasi!$B$751,INPUT_RITASE!$B$5:$B$20000,D$771,INPUT_RITASE!$C$5:$C$20000,$A776)</f>
        <v/>
      </c>
      <c r="E776">
        <f>SUMIFS(INPUT_RITASE!$R$5:$R$20000,INPUT_RITASE!$A$5:$A$20000,Kalkulasi!$B$751,INPUT_RITASE!$B$5:$B$20000,E$771,INPUT_RITASE!$C$5:$C$20000,$A776)</f>
        <v/>
      </c>
      <c r="F776">
        <f>SUMIFS(INPUT_RITASE!$R$5:$R$20000,INPUT_RITASE!$A$5:$A$20000,Kalkulasi!$B$751,INPUT_RITASE!$B$5:$B$20000,F$771,INPUT_RITASE!$C$5:$C$20000,$A776)</f>
        <v/>
      </c>
      <c r="G776">
        <f>SUMIFS(INPUT_RITASE!$R$5:$R$20000,INPUT_RITASE!$A$5:$A$20000,Kalkulasi!$B$751,INPUT_RITASE!$B$5:$B$20000,G$771,INPUT_RITASE!$C$5:$C$20000,$A776)</f>
        <v/>
      </c>
      <c r="H776">
        <f>SUMIFS(INPUT_RITASE!$R$5:$R$20000,INPUT_RITASE!$A$5:$A$20000,Kalkulasi!$B$751,INPUT_RITASE!$B$5:$B$20000,H$771,INPUT_RITASE!$C$5:$C$20000,$A776)</f>
        <v/>
      </c>
      <c r="I776">
        <f>SUMIFS(INPUT_RITASE!$R$5:$R$20000,INPUT_RITASE!$A$5:$A$20000,Kalkulasi!$B$751,INPUT_RITASE!$B$5:$B$20000,I$771,INPUT_RITASE!$C$5:$C$20000,$A776)</f>
        <v/>
      </c>
      <c r="J776">
        <f>SUMIFS(INPUT_RITASE!$R$5:$R$20000,INPUT_RITASE!$A$5:$A$20000,Kalkulasi!$B$751,INPUT_RITASE!$B$5:$B$20000,J$771,INPUT_RITASE!$C$5:$C$20000,$A776)</f>
        <v/>
      </c>
      <c r="K776">
        <f>SUMIFS(INPUT_RITASE!$R$5:$R$20000,INPUT_RITASE!$A$5:$A$20000,Kalkulasi!$B$751,INPUT_RITASE!$B$5:$B$20000,K$771,INPUT_RITASE!$C$5:$C$20000,$A776)</f>
        <v/>
      </c>
      <c r="L776">
        <f>SUMIFS(INPUT_RITASE!$R$5:$R$20000,INPUT_RITASE!$A$5:$A$20000,Kalkulasi!$B$751,INPUT_RITASE!$B$5:$B$20000,L$771,INPUT_RITASE!$C$5:$C$20000,$A776)</f>
        <v/>
      </c>
      <c r="M776">
        <f>SUMIFS(INPUT_RITASE!$R$5:$R$20000,INPUT_RITASE!$A$5:$A$20000,Kalkulasi!$B$751,INPUT_RITASE!$B$5:$B$20000,M$771,INPUT_RITASE!$C$5:$C$20000,$A776)</f>
        <v/>
      </c>
      <c r="N776">
        <f>SUMIFS(INPUT_RITASE!$R$5:$R$20000,INPUT_RITASE!$A$5:$A$20000,Kalkulasi!$B$751,INPUT_RITASE!$B$5:$B$20000,N$771,INPUT_RITASE!$C$5:$C$20000,$A776)</f>
        <v/>
      </c>
      <c r="O776">
        <f>SUMIFS(INPUT_RITASE!$R$5:$R$20000,INPUT_RITASE!$A$5:$A$20000,Kalkulasi!$B$751,INPUT_RITASE!$B$5:$B$20000,O$771,INPUT_RITASE!$C$5:$C$20000,$A776)</f>
        <v/>
      </c>
      <c r="P776">
        <f>SUM(D776:O776)</f>
        <v/>
      </c>
      <c r="Q776">
        <f>SUMIFS(INPUT_RITASE!$S$5:$S$20000,INPUT_RITASE!$A$5:$A$20000,Kalkulasi!$B$751,INPUT_RITASE!$B$5:$B$20000,D$771,INPUT_RITASE!$C$5:$C$20000,$A776)</f>
        <v/>
      </c>
      <c r="R776">
        <f>SUMIFS(INPUT_RITASE!$S$5:$S$20000,INPUT_RITASE!$A$5:$A$20000,Kalkulasi!$B$751,INPUT_RITASE!$B$5:$B$20000,E$771,INPUT_RITASE!$C$5:$C$20000,$A776)</f>
        <v/>
      </c>
      <c r="S776">
        <f>SUMIFS(INPUT_RITASE!$S$5:$S$20000,INPUT_RITASE!$A$5:$A$20000,Kalkulasi!$B$751,INPUT_RITASE!$B$5:$B$20000,F$771,INPUT_RITASE!$C$5:$C$20000,$A776)</f>
        <v/>
      </c>
      <c r="T776">
        <f>SUMIFS(INPUT_RITASE!$S$5:$S$20000,INPUT_RITASE!$A$5:$A$20000,Kalkulasi!$B$751,INPUT_RITASE!$B$5:$B$20000,G$771,INPUT_RITASE!$C$5:$C$20000,$A776)</f>
        <v/>
      </c>
      <c r="U776">
        <f>SUMIFS(INPUT_RITASE!$S$5:$S$20000,INPUT_RITASE!$A$5:$A$20000,Kalkulasi!$B$751,INPUT_RITASE!$B$5:$B$20000,H$771,INPUT_RITASE!$C$5:$C$20000,$A776)</f>
        <v/>
      </c>
      <c r="V776">
        <f>SUMIFS(INPUT_RITASE!$S$5:$S$20000,INPUT_RITASE!$A$5:$A$20000,Kalkulasi!$B$751,INPUT_RITASE!$B$5:$B$20000,I$771,INPUT_RITASE!$C$5:$C$20000,$A776)</f>
        <v/>
      </c>
      <c r="W776">
        <f>SUMIFS(INPUT_RITASE!$S$5:$S$20000,INPUT_RITASE!$A$5:$A$20000,Kalkulasi!$B$751,INPUT_RITASE!$B$5:$B$20000,J$771,INPUT_RITASE!$C$5:$C$20000,$A776)</f>
        <v/>
      </c>
      <c r="X776">
        <f>SUMIFS(INPUT_RITASE!$S$5:$S$20000,INPUT_RITASE!$A$5:$A$20000,Kalkulasi!$B$751,INPUT_RITASE!$B$5:$B$20000,K$771,INPUT_RITASE!$C$5:$C$20000,$A776)</f>
        <v/>
      </c>
      <c r="Y776">
        <f>SUMIFS(INPUT_RITASE!$S$5:$S$20000,INPUT_RITASE!$A$5:$A$20000,Kalkulasi!$B$751,INPUT_RITASE!$B$5:$B$20000,L$771,INPUT_RITASE!$C$5:$C$20000,$A776)</f>
        <v/>
      </c>
      <c r="Z776">
        <f>SUMIFS(INPUT_RITASE!$S$5:$S$20000,INPUT_RITASE!$A$5:$A$20000,Kalkulasi!$B$751,INPUT_RITASE!$B$5:$B$20000,M$771,INPUT_RITASE!$C$5:$C$20000,$A776)</f>
        <v/>
      </c>
      <c r="AA776">
        <f>SUMIFS(INPUT_RITASE!$S$5:$S$20000,INPUT_RITASE!$A$5:$A$20000,Kalkulasi!$B$751,INPUT_RITASE!$B$5:$B$20000,N$771,INPUT_RITASE!$C$5:$C$20000,$A776)</f>
        <v/>
      </c>
      <c r="AB776">
        <f>SUMIFS(INPUT_RITASE!$S$5:$S$20000,INPUT_RITASE!$A$5:$A$20000,Kalkulasi!$B$751,INPUT_RITASE!$B$5:$B$20000,O$771,INPUT_RITASE!$C$5:$C$20000,$A776)</f>
        <v/>
      </c>
      <c r="AC776">
        <f>SUM(Q776:AB776)</f>
        <v/>
      </c>
      <c r="AD776">
        <f>SUMIFS(INPUT_RITASE!$L$5:$L$20000,INPUT_RITASE!$A$5:$A$20000,Kalkulasi!$B$751,INPUT_RITASE!$B$5:$B$20000,D$771,INPUT_RITASE!$C$5:$C$20000,$A776,INPUT_RITASE!$N$5:$N$20000,Kalkulasi!$B$753)</f>
        <v/>
      </c>
      <c r="AE776">
        <f>SUMIFS(INPUT_RITASE!$L$5:$L$20000,INPUT_RITASE!$A$5:$A$20000,Kalkulasi!$B$751,INPUT_RITASE!$B$5:$B$20000,E$771,INPUT_RITASE!$C$5:$C$20000,$A776,INPUT_RITASE!$N$5:$N$20000,Kalkulasi!$B$753)</f>
        <v/>
      </c>
      <c r="AF776">
        <f>SUMIFS(INPUT_RITASE!$L$5:$L$20000,INPUT_RITASE!$A$5:$A$20000,Kalkulasi!$B$751,INPUT_RITASE!$B$5:$B$20000,F$771,INPUT_RITASE!$C$5:$C$20000,$A776,INPUT_RITASE!$N$5:$N$20000,Kalkulasi!$B$753)</f>
        <v/>
      </c>
      <c r="AG776">
        <f>SUMIFS(INPUT_RITASE!$L$5:$L$20000,INPUT_RITASE!$A$5:$A$20000,Kalkulasi!$B$751,INPUT_RITASE!$B$5:$B$20000,G$771,INPUT_RITASE!$C$5:$C$20000,$A776,INPUT_RITASE!$N$5:$N$20000,Kalkulasi!$B$753)</f>
        <v/>
      </c>
      <c r="AH776">
        <f>SUMIFS(INPUT_RITASE!$L$5:$L$20000,INPUT_RITASE!$A$5:$A$20000,Kalkulasi!$B$751,INPUT_RITASE!$B$5:$B$20000,H$771,INPUT_RITASE!$C$5:$C$20000,$A776,INPUT_RITASE!$N$5:$N$20000,Kalkulasi!$B$753)</f>
        <v/>
      </c>
      <c r="AI776">
        <f>SUMIFS(INPUT_RITASE!$L$5:$L$20000,INPUT_RITASE!$A$5:$A$20000,Kalkulasi!$B$751,INPUT_RITASE!$B$5:$B$20000,I$771,INPUT_RITASE!$C$5:$C$20000,$A776,INPUT_RITASE!$N$5:$N$20000,Kalkulasi!$B$753)</f>
        <v/>
      </c>
      <c r="AJ776">
        <f>SUMIFS(INPUT_RITASE!$L$5:$L$20000,INPUT_RITASE!$A$5:$A$20000,Kalkulasi!$B$751,INPUT_RITASE!$B$5:$B$20000,J$771,INPUT_RITASE!$C$5:$C$20000,$A776,INPUT_RITASE!$N$5:$N$20000,Kalkulasi!$B$753)</f>
        <v/>
      </c>
      <c r="AK776">
        <f>SUMIFS(INPUT_RITASE!$L$5:$L$20000,INPUT_RITASE!$A$5:$A$20000,Kalkulasi!$B$751,INPUT_RITASE!$B$5:$B$20000,K$771,INPUT_RITASE!$C$5:$C$20000,$A776,INPUT_RITASE!$N$5:$N$20000,Kalkulasi!$B$753)</f>
        <v/>
      </c>
      <c r="AL776">
        <f>SUMIFS(INPUT_RITASE!$L$5:$L$20000,INPUT_RITASE!$A$5:$A$20000,Kalkulasi!$B$751,INPUT_RITASE!$B$5:$B$20000,L$771,INPUT_RITASE!$C$5:$C$20000,$A776,INPUT_RITASE!$N$5:$N$20000,Kalkulasi!$B$753)</f>
        <v/>
      </c>
      <c r="AM776">
        <f>SUMIFS(INPUT_RITASE!$L$5:$L$20000,INPUT_RITASE!$A$5:$A$20000,Kalkulasi!$B$751,INPUT_RITASE!$B$5:$B$20000,M$771,INPUT_RITASE!$C$5:$C$20000,$A776,INPUT_RITASE!$N$5:$N$20000,Kalkulasi!$B$753)</f>
        <v/>
      </c>
      <c r="AN776">
        <f>SUMIFS(INPUT_RITASE!$L$5:$L$20000,INPUT_RITASE!$A$5:$A$20000,Kalkulasi!$B$751,INPUT_RITASE!$B$5:$B$20000,N$771,INPUT_RITASE!$C$5:$C$20000,$A776,INPUT_RITASE!$N$5:$N$20000,Kalkulasi!$B$753)</f>
        <v/>
      </c>
      <c r="AO776">
        <f>SUMIFS(INPUT_RITASE!$L$5:$L$20000,INPUT_RITASE!$A$5:$A$20000,Kalkulasi!$B$751,INPUT_RITASE!$B$5:$B$20000,O$771,INPUT_RITASE!$C$5:$C$20000,$A776,INPUT_RITASE!$N$5:$N$20000,Kalkulasi!$B$753)</f>
        <v/>
      </c>
      <c r="AP776">
        <f>SUM(AD776:AO776)</f>
        <v/>
      </c>
      <c r="AQ776">
        <f>IF(AD776=0,0,(60-MIN(60,SUMIFS(INPUT_DELAY!$E$5:$E$20000,INPUT_DELAY!$A$5:$A$20000,Kalkulasi!$B$751,INPUT_DELAY!$B$5:$B$20000,D$771,INPUT_DELAY!$C$5:$C$20000,$A776)+SUMIFS(INPUT_DELAY!$E$5:$E$20000,INPUT_DELAY!$A$5:$A$20000,Kalkulasi!$B$751,INPUT_DELAY!$B$5:$B$20000,D$771,INPUT_DELAY!$C$5:$C$20000,"SEMUA")))/60)</f>
        <v/>
      </c>
      <c r="AR776">
        <f>IF(AE776=0,0,(60-MIN(60,SUMIFS(INPUT_DELAY!$E$5:$E$20000,INPUT_DELAY!$A$5:$A$20000,Kalkulasi!$B$751,INPUT_DELAY!$B$5:$B$20000,E$771,INPUT_DELAY!$C$5:$C$20000,$A776)+SUMIFS(INPUT_DELAY!$E$5:$E$20000,INPUT_DELAY!$A$5:$A$20000,Kalkulasi!$B$751,INPUT_DELAY!$B$5:$B$20000,E$771,INPUT_DELAY!$C$5:$C$20000,"SEMUA")))/60)</f>
        <v/>
      </c>
      <c r="AS776">
        <f>IF(AF776=0,0,(60-MIN(60,SUMIFS(INPUT_DELAY!$E$5:$E$20000,INPUT_DELAY!$A$5:$A$20000,Kalkulasi!$B$751,INPUT_DELAY!$B$5:$B$20000,F$771,INPUT_DELAY!$C$5:$C$20000,$A776)+SUMIFS(INPUT_DELAY!$E$5:$E$20000,INPUT_DELAY!$A$5:$A$20000,Kalkulasi!$B$751,INPUT_DELAY!$B$5:$B$20000,F$771,INPUT_DELAY!$C$5:$C$20000,"SEMUA")))/60)</f>
        <v/>
      </c>
      <c r="AT776">
        <f>IF(AG776=0,0,(60-MIN(60,SUMIFS(INPUT_DELAY!$E$5:$E$20000,INPUT_DELAY!$A$5:$A$20000,Kalkulasi!$B$751,INPUT_DELAY!$B$5:$B$20000,G$771,INPUT_DELAY!$C$5:$C$20000,$A776)+SUMIFS(INPUT_DELAY!$E$5:$E$20000,INPUT_DELAY!$A$5:$A$20000,Kalkulasi!$B$751,INPUT_DELAY!$B$5:$B$20000,G$771,INPUT_DELAY!$C$5:$C$20000,"SEMUA")))/60)</f>
        <v/>
      </c>
      <c r="AU776">
        <f>IF(AH776=0,0,(60-MIN(60,SUMIFS(INPUT_DELAY!$E$5:$E$20000,INPUT_DELAY!$A$5:$A$20000,Kalkulasi!$B$751,INPUT_DELAY!$B$5:$B$20000,H$771,INPUT_DELAY!$C$5:$C$20000,$A776)+SUMIFS(INPUT_DELAY!$E$5:$E$20000,INPUT_DELAY!$A$5:$A$20000,Kalkulasi!$B$751,INPUT_DELAY!$B$5:$B$20000,H$771,INPUT_DELAY!$C$5:$C$20000,"SEMUA")))/60)</f>
        <v/>
      </c>
      <c r="AV776">
        <f>IF(AI776=0,0,(60-MIN(60,SUMIFS(INPUT_DELAY!$E$5:$E$20000,INPUT_DELAY!$A$5:$A$20000,Kalkulasi!$B$751,INPUT_DELAY!$B$5:$B$20000,I$771,INPUT_DELAY!$C$5:$C$20000,$A776)+SUMIFS(INPUT_DELAY!$E$5:$E$20000,INPUT_DELAY!$A$5:$A$20000,Kalkulasi!$B$751,INPUT_DELAY!$B$5:$B$20000,I$771,INPUT_DELAY!$C$5:$C$20000,"SEMUA")))/60)</f>
        <v/>
      </c>
      <c r="AW776">
        <f>IF(AJ776=0,0,(60-MIN(60,SUMIFS(INPUT_DELAY!$E$5:$E$20000,INPUT_DELAY!$A$5:$A$20000,Kalkulasi!$B$751,INPUT_DELAY!$B$5:$B$20000,J$771,INPUT_DELAY!$C$5:$C$20000,$A776)+SUMIFS(INPUT_DELAY!$E$5:$E$20000,INPUT_DELAY!$A$5:$A$20000,Kalkulasi!$B$751,INPUT_DELAY!$B$5:$B$20000,J$771,INPUT_DELAY!$C$5:$C$20000,"SEMUA")))/60)</f>
        <v/>
      </c>
      <c r="AX776">
        <f>IF(AK776=0,0,(60-MIN(60,SUMIFS(INPUT_DELAY!$E$5:$E$20000,INPUT_DELAY!$A$5:$A$20000,Kalkulasi!$B$751,INPUT_DELAY!$B$5:$B$20000,K$771,INPUT_DELAY!$C$5:$C$20000,$A776)+SUMIFS(INPUT_DELAY!$E$5:$E$20000,INPUT_DELAY!$A$5:$A$20000,Kalkulasi!$B$751,INPUT_DELAY!$B$5:$B$20000,K$771,INPUT_DELAY!$C$5:$C$20000,"SEMUA")))/60)</f>
        <v/>
      </c>
      <c r="AY776">
        <f>IF(AL776=0,0,(60-MIN(60,SUMIFS(INPUT_DELAY!$E$5:$E$20000,INPUT_DELAY!$A$5:$A$20000,Kalkulasi!$B$751,INPUT_DELAY!$B$5:$B$20000,L$771,INPUT_DELAY!$C$5:$C$20000,$A776)+SUMIFS(INPUT_DELAY!$E$5:$E$20000,INPUT_DELAY!$A$5:$A$20000,Kalkulasi!$B$751,INPUT_DELAY!$B$5:$B$20000,L$771,INPUT_DELAY!$C$5:$C$20000,"SEMUA")))/60)</f>
        <v/>
      </c>
      <c r="AZ776">
        <f>IF(AM776=0,0,(60-MIN(60,SUMIFS(INPUT_DELAY!$E$5:$E$20000,INPUT_DELAY!$A$5:$A$20000,Kalkulasi!$B$751,INPUT_DELAY!$B$5:$B$20000,M$771,INPUT_DELAY!$C$5:$C$20000,$A776)+SUMIFS(INPUT_DELAY!$E$5:$E$20000,INPUT_DELAY!$A$5:$A$20000,Kalkulasi!$B$751,INPUT_DELAY!$B$5:$B$20000,M$771,INPUT_DELAY!$C$5:$C$20000,"SEMUA")))/60)</f>
        <v/>
      </c>
      <c r="BA776">
        <f>IF(AN776=0,0,(60-MIN(60,SUMIFS(INPUT_DELAY!$E$5:$E$20000,INPUT_DELAY!$A$5:$A$20000,Kalkulasi!$B$751,INPUT_DELAY!$B$5:$B$20000,N$771,INPUT_DELAY!$C$5:$C$20000,$A776)+SUMIFS(INPUT_DELAY!$E$5:$E$20000,INPUT_DELAY!$A$5:$A$20000,Kalkulasi!$B$751,INPUT_DELAY!$B$5:$B$20000,N$771,INPUT_DELAY!$C$5:$C$20000,"SEMUA")))/60)</f>
        <v/>
      </c>
      <c r="BB776">
        <f>IF(AO776=0,0,(60-MIN(60,SUMIFS(INPUT_DELAY!$E$5:$E$20000,INPUT_DELAY!$A$5:$A$20000,Kalkulasi!$B$751,INPUT_DELAY!$B$5:$B$20000,O$771,INPUT_DELAY!$C$5:$C$20000,$A776)+SUMIFS(INPUT_DELAY!$E$5:$E$20000,INPUT_DELAY!$A$5:$A$20000,Kalkulasi!$B$751,INPUT_DELAY!$B$5:$B$20000,O$771,INPUT_DELAY!$C$5:$C$20000,"SEMUA")))/60)</f>
        <v/>
      </c>
      <c r="BC776">
        <f>SUM(AQ776:BB776)</f>
        <v/>
      </c>
      <c r="BD776">
        <f>COUNTIF(D776:O776,"&gt;0")</f>
        <v/>
      </c>
      <c r="BE776">
        <f>IF(BD776=0,"",P776/BD776)</f>
        <v/>
      </c>
      <c r="BF776">
        <f>IF(BD776=0,"",AC776/BD776)</f>
        <v/>
      </c>
      <c r="BG776">
        <f>IF(OR(BD776=0,N(BF776)=0),"",BE776/BF776)</f>
        <v/>
      </c>
      <c r="BH776">
        <f>IF(BG776="","",ROUND(BG776-BE776,0))</f>
        <v/>
      </c>
      <c r="BI776">
        <f>SUMIFS(INPUT_RITASE!$F$5:$F$20000,INPUT_RITASE!$A$5:$A$20000,Kalkulasi!$B$751,INPUT_RITASE!$H$5:$H$20000,Kalkulasi!$B$752,INPUT_RITASE!$C$5:$C$20000,$A776)</f>
        <v/>
      </c>
      <c r="BJ776">
        <f>IF(P776=0,"",BI776/P776)</f>
        <v/>
      </c>
      <c r="BK776">
        <f>BI776+P776/1000+ROW()/1000000</f>
        <v/>
      </c>
    </row>
    <row r="777">
      <c r="A777" t="inlineStr">
        <is>
          <t>EX-1252</t>
        </is>
      </c>
      <c r="B777">
        <f>IFERROR(INDEX(MASTER_JAM!$B$5:$B$94,MATCH($A777,MASTER_JAM!$A$5:$A$94,0)),"")</f>
        <v/>
      </c>
      <c r="D777">
        <f>SUMIFS(INPUT_RITASE!$R$5:$R$20000,INPUT_RITASE!$A$5:$A$20000,Kalkulasi!$B$751,INPUT_RITASE!$B$5:$B$20000,D$771,INPUT_RITASE!$C$5:$C$20000,$A777)</f>
        <v/>
      </c>
      <c r="E777">
        <f>SUMIFS(INPUT_RITASE!$R$5:$R$20000,INPUT_RITASE!$A$5:$A$20000,Kalkulasi!$B$751,INPUT_RITASE!$B$5:$B$20000,E$771,INPUT_RITASE!$C$5:$C$20000,$A777)</f>
        <v/>
      </c>
      <c r="F777">
        <f>SUMIFS(INPUT_RITASE!$R$5:$R$20000,INPUT_RITASE!$A$5:$A$20000,Kalkulasi!$B$751,INPUT_RITASE!$B$5:$B$20000,F$771,INPUT_RITASE!$C$5:$C$20000,$A777)</f>
        <v/>
      </c>
      <c r="G777">
        <f>SUMIFS(INPUT_RITASE!$R$5:$R$20000,INPUT_RITASE!$A$5:$A$20000,Kalkulasi!$B$751,INPUT_RITASE!$B$5:$B$20000,G$771,INPUT_RITASE!$C$5:$C$20000,$A777)</f>
        <v/>
      </c>
      <c r="H777">
        <f>SUMIFS(INPUT_RITASE!$R$5:$R$20000,INPUT_RITASE!$A$5:$A$20000,Kalkulasi!$B$751,INPUT_RITASE!$B$5:$B$20000,H$771,INPUT_RITASE!$C$5:$C$20000,$A777)</f>
        <v/>
      </c>
      <c r="I777">
        <f>SUMIFS(INPUT_RITASE!$R$5:$R$20000,INPUT_RITASE!$A$5:$A$20000,Kalkulasi!$B$751,INPUT_RITASE!$B$5:$B$20000,I$771,INPUT_RITASE!$C$5:$C$20000,$A777)</f>
        <v/>
      </c>
      <c r="J777">
        <f>SUMIFS(INPUT_RITASE!$R$5:$R$20000,INPUT_RITASE!$A$5:$A$20000,Kalkulasi!$B$751,INPUT_RITASE!$B$5:$B$20000,J$771,INPUT_RITASE!$C$5:$C$20000,$A777)</f>
        <v/>
      </c>
      <c r="K777">
        <f>SUMIFS(INPUT_RITASE!$R$5:$R$20000,INPUT_RITASE!$A$5:$A$20000,Kalkulasi!$B$751,INPUT_RITASE!$B$5:$B$20000,K$771,INPUT_RITASE!$C$5:$C$20000,$A777)</f>
        <v/>
      </c>
      <c r="L777">
        <f>SUMIFS(INPUT_RITASE!$R$5:$R$20000,INPUT_RITASE!$A$5:$A$20000,Kalkulasi!$B$751,INPUT_RITASE!$B$5:$B$20000,L$771,INPUT_RITASE!$C$5:$C$20000,$A777)</f>
        <v/>
      </c>
      <c r="M777">
        <f>SUMIFS(INPUT_RITASE!$R$5:$R$20000,INPUT_RITASE!$A$5:$A$20000,Kalkulasi!$B$751,INPUT_RITASE!$B$5:$B$20000,M$771,INPUT_RITASE!$C$5:$C$20000,$A777)</f>
        <v/>
      </c>
      <c r="N777">
        <f>SUMIFS(INPUT_RITASE!$R$5:$R$20000,INPUT_RITASE!$A$5:$A$20000,Kalkulasi!$B$751,INPUT_RITASE!$B$5:$B$20000,N$771,INPUT_RITASE!$C$5:$C$20000,$A777)</f>
        <v/>
      </c>
      <c r="O777">
        <f>SUMIFS(INPUT_RITASE!$R$5:$R$20000,INPUT_RITASE!$A$5:$A$20000,Kalkulasi!$B$751,INPUT_RITASE!$B$5:$B$20000,O$771,INPUT_RITASE!$C$5:$C$20000,$A777)</f>
        <v/>
      </c>
      <c r="P777">
        <f>SUM(D777:O777)</f>
        <v/>
      </c>
      <c r="Q777">
        <f>SUMIFS(INPUT_RITASE!$S$5:$S$20000,INPUT_RITASE!$A$5:$A$20000,Kalkulasi!$B$751,INPUT_RITASE!$B$5:$B$20000,D$771,INPUT_RITASE!$C$5:$C$20000,$A777)</f>
        <v/>
      </c>
      <c r="R777">
        <f>SUMIFS(INPUT_RITASE!$S$5:$S$20000,INPUT_RITASE!$A$5:$A$20000,Kalkulasi!$B$751,INPUT_RITASE!$B$5:$B$20000,E$771,INPUT_RITASE!$C$5:$C$20000,$A777)</f>
        <v/>
      </c>
      <c r="S777">
        <f>SUMIFS(INPUT_RITASE!$S$5:$S$20000,INPUT_RITASE!$A$5:$A$20000,Kalkulasi!$B$751,INPUT_RITASE!$B$5:$B$20000,F$771,INPUT_RITASE!$C$5:$C$20000,$A777)</f>
        <v/>
      </c>
      <c r="T777">
        <f>SUMIFS(INPUT_RITASE!$S$5:$S$20000,INPUT_RITASE!$A$5:$A$20000,Kalkulasi!$B$751,INPUT_RITASE!$B$5:$B$20000,G$771,INPUT_RITASE!$C$5:$C$20000,$A777)</f>
        <v/>
      </c>
      <c r="U777">
        <f>SUMIFS(INPUT_RITASE!$S$5:$S$20000,INPUT_RITASE!$A$5:$A$20000,Kalkulasi!$B$751,INPUT_RITASE!$B$5:$B$20000,H$771,INPUT_RITASE!$C$5:$C$20000,$A777)</f>
        <v/>
      </c>
      <c r="V777">
        <f>SUMIFS(INPUT_RITASE!$S$5:$S$20000,INPUT_RITASE!$A$5:$A$20000,Kalkulasi!$B$751,INPUT_RITASE!$B$5:$B$20000,I$771,INPUT_RITASE!$C$5:$C$20000,$A777)</f>
        <v/>
      </c>
      <c r="W777">
        <f>SUMIFS(INPUT_RITASE!$S$5:$S$20000,INPUT_RITASE!$A$5:$A$20000,Kalkulasi!$B$751,INPUT_RITASE!$B$5:$B$20000,J$771,INPUT_RITASE!$C$5:$C$20000,$A777)</f>
        <v/>
      </c>
      <c r="X777">
        <f>SUMIFS(INPUT_RITASE!$S$5:$S$20000,INPUT_RITASE!$A$5:$A$20000,Kalkulasi!$B$751,INPUT_RITASE!$B$5:$B$20000,K$771,INPUT_RITASE!$C$5:$C$20000,$A777)</f>
        <v/>
      </c>
      <c r="Y777">
        <f>SUMIFS(INPUT_RITASE!$S$5:$S$20000,INPUT_RITASE!$A$5:$A$20000,Kalkulasi!$B$751,INPUT_RITASE!$B$5:$B$20000,L$771,INPUT_RITASE!$C$5:$C$20000,$A777)</f>
        <v/>
      </c>
      <c r="Z777">
        <f>SUMIFS(INPUT_RITASE!$S$5:$S$20000,INPUT_RITASE!$A$5:$A$20000,Kalkulasi!$B$751,INPUT_RITASE!$B$5:$B$20000,M$771,INPUT_RITASE!$C$5:$C$20000,$A777)</f>
        <v/>
      </c>
      <c r="AA777">
        <f>SUMIFS(INPUT_RITASE!$S$5:$S$20000,INPUT_RITASE!$A$5:$A$20000,Kalkulasi!$B$751,INPUT_RITASE!$B$5:$B$20000,N$771,INPUT_RITASE!$C$5:$C$20000,$A777)</f>
        <v/>
      </c>
      <c r="AB777">
        <f>SUMIFS(INPUT_RITASE!$S$5:$S$20000,INPUT_RITASE!$A$5:$A$20000,Kalkulasi!$B$751,INPUT_RITASE!$B$5:$B$20000,O$771,INPUT_RITASE!$C$5:$C$20000,$A777)</f>
        <v/>
      </c>
      <c r="AC777">
        <f>SUM(Q777:AB777)</f>
        <v/>
      </c>
      <c r="AD777">
        <f>SUMIFS(INPUT_RITASE!$L$5:$L$20000,INPUT_RITASE!$A$5:$A$20000,Kalkulasi!$B$751,INPUT_RITASE!$B$5:$B$20000,D$771,INPUT_RITASE!$C$5:$C$20000,$A777,INPUT_RITASE!$N$5:$N$20000,Kalkulasi!$B$753)</f>
        <v/>
      </c>
      <c r="AE777">
        <f>SUMIFS(INPUT_RITASE!$L$5:$L$20000,INPUT_RITASE!$A$5:$A$20000,Kalkulasi!$B$751,INPUT_RITASE!$B$5:$B$20000,E$771,INPUT_RITASE!$C$5:$C$20000,$A777,INPUT_RITASE!$N$5:$N$20000,Kalkulasi!$B$753)</f>
        <v/>
      </c>
      <c r="AF777">
        <f>SUMIFS(INPUT_RITASE!$L$5:$L$20000,INPUT_RITASE!$A$5:$A$20000,Kalkulasi!$B$751,INPUT_RITASE!$B$5:$B$20000,F$771,INPUT_RITASE!$C$5:$C$20000,$A777,INPUT_RITASE!$N$5:$N$20000,Kalkulasi!$B$753)</f>
        <v/>
      </c>
      <c r="AG777">
        <f>SUMIFS(INPUT_RITASE!$L$5:$L$20000,INPUT_RITASE!$A$5:$A$20000,Kalkulasi!$B$751,INPUT_RITASE!$B$5:$B$20000,G$771,INPUT_RITASE!$C$5:$C$20000,$A777,INPUT_RITASE!$N$5:$N$20000,Kalkulasi!$B$753)</f>
        <v/>
      </c>
      <c r="AH777">
        <f>SUMIFS(INPUT_RITASE!$L$5:$L$20000,INPUT_RITASE!$A$5:$A$20000,Kalkulasi!$B$751,INPUT_RITASE!$B$5:$B$20000,H$771,INPUT_RITASE!$C$5:$C$20000,$A777,INPUT_RITASE!$N$5:$N$20000,Kalkulasi!$B$753)</f>
        <v/>
      </c>
      <c r="AI777">
        <f>SUMIFS(INPUT_RITASE!$L$5:$L$20000,INPUT_RITASE!$A$5:$A$20000,Kalkulasi!$B$751,INPUT_RITASE!$B$5:$B$20000,I$771,INPUT_RITASE!$C$5:$C$20000,$A777,INPUT_RITASE!$N$5:$N$20000,Kalkulasi!$B$753)</f>
        <v/>
      </c>
      <c r="AJ777">
        <f>SUMIFS(INPUT_RITASE!$L$5:$L$20000,INPUT_RITASE!$A$5:$A$20000,Kalkulasi!$B$751,INPUT_RITASE!$B$5:$B$20000,J$771,INPUT_RITASE!$C$5:$C$20000,$A777,INPUT_RITASE!$N$5:$N$20000,Kalkulasi!$B$753)</f>
        <v/>
      </c>
      <c r="AK777">
        <f>SUMIFS(INPUT_RITASE!$L$5:$L$20000,INPUT_RITASE!$A$5:$A$20000,Kalkulasi!$B$751,INPUT_RITASE!$B$5:$B$20000,K$771,INPUT_RITASE!$C$5:$C$20000,$A777,INPUT_RITASE!$N$5:$N$20000,Kalkulasi!$B$753)</f>
        <v/>
      </c>
      <c r="AL777">
        <f>SUMIFS(INPUT_RITASE!$L$5:$L$20000,INPUT_RITASE!$A$5:$A$20000,Kalkulasi!$B$751,INPUT_RITASE!$B$5:$B$20000,L$771,INPUT_RITASE!$C$5:$C$20000,$A777,INPUT_RITASE!$N$5:$N$20000,Kalkulasi!$B$753)</f>
        <v/>
      </c>
      <c r="AM777">
        <f>SUMIFS(INPUT_RITASE!$L$5:$L$20000,INPUT_RITASE!$A$5:$A$20000,Kalkulasi!$B$751,INPUT_RITASE!$B$5:$B$20000,M$771,INPUT_RITASE!$C$5:$C$20000,$A777,INPUT_RITASE!$N$5:$N$20000,Kalkulasi!$B$753)</f>
        <v/>
      </c>
      <c r="AN777">
        <f>SUMIFS(INPUT_RITASE!$L$5:$L$20000,INPUT_RITASE!$A$5:$A$20000,Kalkulasi!$B$751,INPUT_RITASE!$B$5:$B$20000,N$771,INPUT_RITASE!$C$5:$C$20000,$A777,INPUT_RITASE!$N$5:$N$20000,Kalkulasi!$B$753)</f>
        <v/>
      </c>
      <c r="AO777">
        <f>SUMIFS(INPUT_RITASE!$L$5:$L$20000,INPUT_RITASE!$A$5:$A$20000,Kalkulasi!$B$751,INPUT_RITASE!$B$5:$B$20000,O$771,INPUT_RITASE!$C$5:$C$20000,$A777,INPUT_RITASE!$N$5:$N$20000,Kalkulasi!$B$753)</f>
        <v/>
      </c>
      <c r="AP777">
        <f>SUM(AD777:AO777)</f>
        <v/>
      </c>
      <c r="AQ777">
        <f>IF(AD777=0,0,(60-MIN(60,SUMIFS(INPUT_DELAY!$E$5:$E$20000,INPUT_DELAY!$A$5:$A$20000,Kalkulasi!$B$751,INPUT_DELAY!$B$5:$B$20000,D$771,INPUT_DELAY!$C$5:$C$20000,$A777)+SUMIFS(INPUT_DELAY!$E$5:$E$20000,INPUT_DELAY!$A$5:$A$20000,Kalkulasi!$B$751,INPUT_DELAY!$B$5:$B$20000,D$771,INPUT_DELAY!$C$5:$C$20000,"SEMUA")))/60)</f>
        <v/>
      </c>
      <c r="AR777">
        <f>IF(AE777=0,0,(60-MIN(60,SUMIFS(INPUT_DELAY!$E$5:$E$20000,INPUT_DELAY!$A$5:$A$20000,Kalkulasi!$B$751,INPUT_DELAY!$B$5:$B$20000,E$771,INPUT_DELAY!$C$5:$C$20000,$A777)+SUMIFS(INPUT_DELAY!$E$5:$E$20000,INPUT_DELAY!$A$5:$A$20000,Kalkulasi!$B$751,INPUT_DELAY!$B$5:$B$20000,E$771,INPUT_DELAY!$C$5:$C$20000,"SEMUA")))/60)</f>
        <v/>
      </c>
      <c r="AS777">
        <f>IF(AF777=0,0,(60-MIN(60,SUMIFS(INPUT_DELAY!$E$5:$E$20000,INPUT_DELAY!$A$5:$A$20000,Kalkulasi!$B$751,INPUT_DELAY!$B$5:$B$20000,F$771,INPUT_DELAY!$C$5:$C$20000,$A777)+SUMIFS(INPUT_DELAY!$E$5:$E$20000,INPUT_DELAY!$A$5:$A$20000,Kalkulasi!$B$751,INPUT_DELAY!$B$5:$B$20000,F$771,INPUT_DELAY!$C$5:$C$20000,"SEMUA")))/60)</f>
        <v/>
      </c>
      <c r="AT777">
        <f>IF(AG777=0,0,(60-MIN(60,SUMIFS(INPUT_DELAY!$E$5:$E$20000,INPUT_DELAY!$A$5:$A$20000,Kalkulasi!$B$751,INPUT_DELAY!$B$5:$B$20000,G$771,INPUT_DELAY!$C$5:$C$20000,$A777)+SUMIFS(INPUT_DELAY!$E$5:$E$20000,INPUT_DELAY!$A$5:$A$20000,Kalkulasi!$B$751,INPUT_DELAY!$B$5:$B$20000,G$771,INPUT_DELAY!$C$5:$C$20000,"SEMUA")))/60)</f>
        <v/>
      </c>
      <c r="AU777">
        <f>IF(AH777=0,0,(60-MIN(60,SUMIFS(INPUT_DELAY!$E$5:$E$20000,INPUT_DELAY!$A$5:$A$20000,Kalkulasi!$B$751,INPUT_DELAY!$B$5:$B$20000,H$771,INPUT_DELAY!$C$5:$C$20000,$A777)+SUMIFS(INPUT_DELAY!$E$5:$E$20000,INPUT_DELAY!$A$5:$A$20000,Kalkulasi!$B$751,INPUT_DELAY!$B$5:$B$20000,H$771,INPUT_DELAY!$C$5:$C$20000,"SEMUA")))/60)</f>
        <v/>
      </c>
      <c r="AV777">
        <f>IF(AI777=0,0,(60-MIN(60,SUMIFS(INPUT_DELAY!$E$5:$E$20000,INPUT_DELAY!$A$5:$A$20000,Kalkulasi!$B$751,INPUT_DELAY!$B$5:$B$20000,I$771,INPUT_DELAY!$C$5:$C$20000,$A777)+SUMIFS(INPUT_DELAY!$E$5:$E$20000,INPUT_DELAY!$A$5:$A$20000,Kalkulasi!$B$751,INPUT_DELAY!$B$5:$B$20000,I$771,INPUT_DELAY!$C$5:$C$20000,"SEMUA")))/60)</f>
        <v/>
      </c>
      <c r="AW777">
        <f>IF(AJ777=0,0,(60-MIN(60,SUMIFS(INPUT_DELAY!$E$5:$E$20000,INPUT_DELAY!$A$5:$A$20000,Kalkulasi!$B$751,INPUT_DELAY!$B$5:$B$20000,J$771,INPUT_DELAY!$C$5:$C$20000,$A777)+SUMIFS(INPUT_DELAY!$E$5:$E$20000,INPUT_DELAY!$A$5:$A$20000,Kalkulasi!$B$751,INPUT_DELAY!$B$5:$B$20000,J$771,INPUT_DELAY!$C$5:$C$20000,"SEMUA")))/60)</f>
        <v/>
      </c>
      <c r="AX777">
        <f>IF(AK777=0,0,(60-MIN(60,SUMIFS(INPUT_DELAY!$E$5:$E$20000,INPUT_DELAY!$A$5:$A$20000,Kalkulasi!$B$751,INPUT_DELAY!$B$5:$B$20000,K$771,INPUT_DELAY!$C$5:$C$20000,$A777)+SUMIFS(INPUT_DELAY!$E$5:$E$20000,INPUT_DELAY!$A$5:$A$20000,Kalkulasi!$B$751,INPUT_DELAY!$B$5:$B$20000,K$771,INPUT_DELAY!$C$5:$C$20000,"SEMUA")))/60)</f>
        <v/>
      </c>
      <c r="AY777">
        <f>IF(AL777=0,0,(60-MIN(60,SUMIFS(INPUT_DELAY!$E$5:$E$20000,INPUT_DELAY!$A$5:$A$20000,Kalkulasi!$B$751,INPUT_DELAY!$B$5:$B$20000,L$771,INPUT_DELAY!$C$5:$C$20000,$A777)+SUMIFS(INPUT_DELAY!$E$5:$E$20000,INPUT_DELAY!$A$5:$A$20000,Kalkulasi!$B$751,INPUT_DELAY!$B$5:$B$20000,L$771,INPUT_DELAY!$C$5:$C$20000,"SEMUA")))/60)</f>
        <v/>
      </c>
      <c r="AZ777">
        <f>IF(AM777=0,0,(60-MIN(60,SUMIFS(INPUT_DELAY!$E$5:$E$20000,INPUT_DELAY!$A$5:$A$20000,Kalkulasi!$B$751,INPUT_DELAY!$B$5:$B$20000,M$771,INPUT_DELAY!$C$5:$C$20000,$A777)+SUMIFS(INPUT_DELAY!$E$5:$E$20000,INPUT_DELAY!$A$5:$A$20000,Kalkulasi!$B$751,INPUT_DELAY!$B$5:$B$20000,M$771,INPUT_DELAY!$C$5:$C$20000,"SEMUA")))/60)</f>
        <v/>
      </c>
      <c r="BA777">
        <f>IF(AN777=0,0,(60-MIN(60,SUMIFS(INPUT_DELAY!$E$5:$E$20000,INPUT_DELAY!$A$5:$A$20000,Kalkulasi!$B$751,INPUT_DELAY!$B$5:$B$20000,N$771,INPUT_DELAY!$C$5:$C$20000,$A777)+SUMIFS(INPUT_DELAY!$E$5:$E$20000,INPUT_DELAY!$A$5:$A$20000,Kalkulasi!$B$751,INPUT_DELAY!$B$5:$B$20000,N$771,INPUT_DELAY!$C$5:$C$20000,"SEMUA")))/60)</f>
        <v/>
      </c>
      <c r="BB777">
        <f>IF(AO777=0,0,(60-MIN(60,SUMIFS(INPUT_DELAY!$E$5:$E$20000,INPUT_DELAY!$A$5:$A$20000,Kalkulasi!$B$751,INPUT_DELAY!$B$5:$B$20000,O$771,INPUT_DELAY!$C$5:$C$20000,$A777)+SUMIFS(INPUT_DELAY!$E$5:$E$20000,INPUT_DELAY!$A$5:$A$20000,Kalkulasi!$B$751,INPUT_DELAY!$B$5:$B$20000,O$771,INPUT_DELAY!$C$5:$C$20000,"SEMUA")))/60)</f>
        <v/>
      </c>
      <c r="BC777">
        <f>SUM(AQ777:BB777)</f>
        <v/>
      </c>
      <c r="BD777">
        <f>COUNTIF(D777:O777,"&gt;0")</f>
        <v/>
      </c>
      <c r="BE777">
        <f>IF(BD777=0,"",P777/BD777)</f>
        <v/>
      </c>
      <c r="BF777">
        <f>IF(BD777=0,"",AC777/BD777)</f>
        <v/>
      </c>
      <c r="BG777">
        <f>IF(OR(BD777=0,N(BF777)=0),"",BE777/BF777)</f>
        <v/>
      </c>
      <c r="BH777">
        <f>IF(BG777="","",ROUND(BG777-BE777,0))</f>
        <v/>
      </c>
      <c r="BI777">
        <f>SUMIFS(INPUT_RITASE!$F$5:$F$20000,INPUT_RITASE!$A$5:$A$20000,Kalkulasi!$B$751,INPUT_RITASE!$H$5:$H$20000,Kalkulasi!$B$752,INPUT_RITASE!$C$5:$C$20000,$A777)</f>
        <v/>
      </c>
      <c r="BJ777">
        <f>IF(P777=0,"",BI777/P777)</f>
        <v/>
      </c>
      <c r="BK777">
        <f>BI777+P777/1000+ROW()/1000000</f>
        <v/>
      </c>
    </row>
    <row r="778">
      <c r="A778" t="inlineStr">
        <is>
          <t>EX-334</t>
        </is>
      </c>
      <c r="B778">
        <f>IFERROR(INDEX(MASTER_JAM!$B$5:$B$94,MATCH($A778,MASTER_JAM!$A$5:$A$94,0)),"")</f>
        <v/>
      </c>
      <c r="D778">
        <f>SUMIFS(INPUT_RITASE!$R$5:$R$20000,INPUT_RITASE!$A$5:$A$20000,Kalkulasi!$B$751,INPUT_RITASE!$B$5:$B$20000,D$771,INPUT_RITASE!$C$5:$C$20000,$A778)</f>
        <v/>
      </c>
      <c r="E778">
        <f>SUMIFS(INPUT_RITASE!$R$5:$R$20000,INPUT_RITASE!$A$5:$A$20000,Kalkulasi!$B$751,INPUT_RITASE!$B$5:$B$20000,E$771,INPUT_RITASE!$C$5:$C$20000,$A778)</f>
        <v/>
      </c>
      <c r="F778">
        <f>SUMIFS(INPUT_RITASE!$R$5:$R$20000,INPUT_RITASE!$A$5:$A$20000,Kalkulasi!$B$751,INPUT_RITASE!$B$5:$B$20000,F$771,INPUT_RITASE!$C$5:$C$20000,$A778)</f>
        <v/>
      </c>
      <c r="G778">
        <f>SUMIFS(INPUT_RITASE!$R$5:$R$20000,INPUT_RITASE!$A$5:$A$20000,Kalkulasi!$B$751,INPUT_RITASE!$B$5:$B$20000,G$771,INPUT_RITASE!$C$5:$C$20000,$A778)</f>
        <v/>
      </c>
      <c r="H778">
        <f>SUMIFS(INPUT_RITASE!$R$5:$R$20000,INPUT_RITASE!$A$5:$A$20000,Kalkulasi!$B$751,INPUT_RITASE!$B$5:$B$20000,H$771,INPUT_RITASE!$C$5:$C$20000,$A778)</f>
        <v/>
      </c>
      <c r="I778">
        <f>SUMIFS(INPUT_RITASE!$R$5:$R$20000,INPUT_RITASE!$A$5:$A$20000,Kalkulasi!$B$751,INPUT_RITASE!$B$5:$B$20000,I$771,INPUT_RITASE!$C$5:$C$20000,$A778)</f>
        <v/>
      </c>
      <c r="J778">
        <f>SUMIFS(INPUT_RITASE!$R$5:$R$20000,INPUT_RITASE!$A$5:$A$20000,Kalkulasi!$B$751,INPUT_RITASE!$B$5:$B$20000,J$771,INPUT_RITASE!$C$5:$C$20000,$A778)</f>
        <v/>
      </c>
      <c r="K778">
        <f>SUMIFS(INPUT_RITASE!$R$5:$R$20000,INPUT_RITASE!$A$5:$A$20000,Kalkulasi!$B$751,INPUT_RITASE!$B$5:$B$20000,K$771,INPUT_RITASE!$C$5:$C$20000,$A778)</f>
        <v/>
      </c>
      <c r="L778">
        <f>SUMIFS(INPUT_RITASE!$R$5:$R$20000,INPUT_RITASE!$A$5:$A$20000,Kalkulasi!$B$751,INPUT_RITASE!$B$5:$B$20000,L$771,INPUT_RITASE!$C$5:$C$20000,$A778)</f>
        <v/>
      </c>
      <c r="M778">
        <f>SUMIFS(INPUT_RITASE!$R$5:$R$20000,INPUT_RITASE!$A$5:$A$20000,Kalkulasi!$B$751,INPUT_RITASE!$B$5:$B$20000,M$771,INPUT_RITASE!$C$5:$C$20000,$A778)</f>
        <v/>
      </c>
      <c r="N778">
        <f>SUMIFS(INPUT_RITASE!$R$5:$R$20000,INPUT_RITASE!$A$5:$A$20000,Kalkulasi!$B$751,INPUT_RITASE!$B$5:$B$20000,N$771,INPUT_RITASE!$C$5:$C$20000,$A778)</f>
        <v/>
      </c>
      <c r="O778">
        <f>SUMIFS(INPUT_RITASE!$R$5:$R$20000,INPUT_RITASE!$A$5:$A$20000,Kalkulasi!$B$751,INPUT_RITASE!$B$5:$B$20000,O$771,INPUT_RITASE!$C$5:$C$20000,$A778)</f>
        <v/>
      </c>
      <c r="P778">
        <f>SUM(D778:O778)</f>
        <v/>
      </c>
      <c r="Q778">
        <f>SUMIFS(INPUT_RITASE!$S$5:$S$20000,INPUT_RITASE!$A$5:$A$20000,Kalkulasi!$B$751,INPUT_RITASE!$B$5:$B$20000,D$771,INPUT_RITASE!$C$5:$C$20000,$A778)</f>
        <v/>
      </c>
      <c r="R778">
        <f>SUMIFS(INPUT_RITASE!$S$5:$S$20000,INPUT_RITASE!$A$5:$A$20000,Kalkulasi!$B$751,INPUT_RITASE!$B$5:$B$20000,E$771,INPUT_RITASE!$C$5:$C$20000,$A778)</f>
        <v/>
      </c>
      <c r="S778">
        <f>SUMIFS(INPUT_RITASE!$S$5:$S$20000,INPUT_RITASE!$A$5:$A$20000,Kalkulasi!$B$751,INPUT_RITASE!$B$5:$B$20000,F$771,INPUT_RITASE!$C$5:$C$20000,$A778)</f>
        <v/>
      </c>
      <c r="T778">
        <f>SUMIFS(INPUT_RITASE!$S$5:$S$20000,INPUT_RITASE!$A$5:$A$20000,Kalkulasi!$B$751,INPUT_RITASE!$B$5:$B$20000,G$771,INPUT_RITASE!$C$5:$C$20000,$A778)</f>
        <v/>
      </c>
      <c r="U778">
        <f>SUMIFS(INPUT_RITASE!$S$5:$S$20000,INPUT_RITASE!$A$5:$A$20000,Kalkulasi!$B$751,INPUT_RITASE!$B$5:$B$20000,H$771,INPUT_RITASE!$C$5:$C$20000,$A778)</f>
        <v/>
      </c>
      <c r="V778">
        <f>SUMIFS(INPUT_RITASE!$S$5:$S$20000,INPUT_RITASE!$A$5:$A$20000,Kalkulasi!$B$751,INPUT_RITASE!$B$5:$B$20000,I$771,INPUT_RITASE!$C$5:$C$20000,$A778)</f>
        <v/>
      </c>
      <c r="W778">
        <f>SUMIFS(INPUT_RITASE!$S$5:$S$20000,INPUT_RITASE!$A$5:$A$20000,Kalkulasi!$B$751,INPUT_RITASE!$B$5:$B$20000,J$771,INPUT_RITASE!$C$5:$C$20000,$A778)</f>
        <v/>
      </c>
      <c r="X778">
        <f>SUMIFS(INPUT_RITASE!$S$5:$S$20000,INPUT_RITASE!$A$5:$A$20000,Kalkulasi!$B$751,INPUT_RITASE!$B$5:$B$20000,K$771,INPUT_RITASE!$C$5:$C$20000,$A778)</f>
        <v/>
      </c>
      <c r="Y778">
        <f>SUMIFS(INPUT_RITASE!$S$5:$S$20000,INPUT_RITASE!$A$5:$A$20000,Kalkulasi!$B$751,INPUT_RITASE!$B$5:$B$20000,L$771,INPUT_RITASE!$C$5:$C$20000,$A778)</f>
        <v/>
      </c>
      <c r="Z778">
        <f>SUMIFS(INPUT_RITASE!$S$5:$S$20000,INPUT_RITASE!$A$5:$A$20000,Kalkulasi!$B$751,INPUT_RITASE!$B$5:$B$20000,M$771,INPUT_RITASE!$C$5:$C$20000,$A778)</f>
        <v/>
      </c>
      <c r="AA778">
        <f>SUMIFS(INPUT_RITASE!$S$5:$S$20000,INPUT_RITASE!$A$5:$A$20000,Kalkulasi!$B$751,INPUT_RITASE!$B$5:$B$20000,N$771,INPUT_RITASE!$C$5:$C$20000,$A778)</f>
        <v/>
      </c>
      <c r="AB778">
        <f>SUMIFS(INPUT_RITASE!$S$5:$S$20000,INPUT_RITASE!$A$5:$A$20000,Kalkulasi!$B$751,INPUT_RITASE!$B$5:$B$20000,O$771,INPUT_RITASE!$C$5:$C$20000,$A778)</f>
        <v/>
      </c>
      <c r="AC778">
        <f>SUM(Q778:AB778)</f>
        <v/>
      </c>
      <c r="AD778">
        <f>SUMIFS(INPUT_RITASE!$L$5:$L$20000,INPUT_RITASE!$A$5:$A$20000,Kalkulasi!$B$751,INPUT_RITASE!$B$5:$B$20000,D$771,INPUT_RITASE!$C$5:$C$20000,$A778,INPUT_RITASE!$N$5:$N$20000,Kalkulasi!$B$753)</f>
        <v/>
      </c>
      <c r="AE778">
        <f>SUMIFS(INPUT_RITASE!$L$5:$L$20000,INPUT_RITASE!$A$5:$A$20000,Kalkulasi!$B$751,INPUT_RITASE!$B$5:$B$20000,E$771,INPUT_RITASE!$C$5:$C$20000,$A778,INPUT_RITASE!$N$5:$N$20000,Kalkulasi!$B$753)</f>
        <v/>
      </c>
      <c r="AF778">
        <f>SUMIFS(INPUT_RITASE!$L$5:$L$20000,INPUT_RITASE!$A$5:$A$20000,Kalkulasi!$B$751,INPUT_RITASE!$B$5:$B$20000,F$771,INPUT_RITASE!$C$5:$C$20000,$A778,INPUT_RITASE!$N$5:$N$20000,Kalkulasi!$B$753)</f>
        <v/>
      </c>
      <c r="AG778">
        <f>SUMIFS(INPUT_RITASE!$L$5:$L$20000,INPUT_RITASE!$A$5:$A$20000,Kalkulasi!$B$751,INPUT_RITASE!$B$5:$B$20000,G$771,INPUT_RITASE!$C$5:$C$20000,$A778,INPUT_RITASE!$N$5:$N$20000,Kalkulasi!$B$753)</f>
        <v/>
      </c>
      <c r="AH778">
        <f>SUMIFS(INPUT_RITASE!$L$5:$L$20000,INPUT_RITASE!$A$5:$A$20000,Kalkulasi!$B$751,INPUT_RITASE!$B$5:$B$20000,H$771,INPUT_RITASE!$C$5:$C$20000,$A778,INPUT_RITASE!$N$5:$N$20000,Kalkulasi!$B$753)</f>
        <v/>
      </c>
      <c r="AI778">
        <f>SUMIFS(INPUT_RITASE!$L$5:$L$20000,INPUT_RITASE!$A$5:$A$20000,Kalkulasi!$B$751,INPUT_RITASE!$B$5:$B$20000,I$771,INPUT_RITASE!$C$5:$C$20000,$A778,INPUT_RITASE!$N$5:$N$20000,Kalkulasi!$B$753)</f>
        <v/>
      </c>
      <c r="AJ778">
        <f>SUMIFS(INPUT_RITASE!$L$5:$L$20000,INPUT_RITASE!$A$5:$A$20000,Kalkulasi!$B$751,INPUT_RITASE!$B$5:$B$20000,J$771,INPUT_RITASE!$C$5:$C$20000,$A778,INPUT_RITASE!$N$5:$N$20000,Kalkulasi!$B$753)</f>
        <v/>
      </c>
      <c r="AK778">
        <f>SUMIFS(INPUT_RITASE!$L$5:$L$20000,INPUT_RITASE!$A$5:$A$20000,Kalkulasi!$B$751,INPUT_RITASE!$B$5:$B$20000,K$771,INPUT_RITASE!$C$5:$C$20000,$A778,INPUT_RITASE!$N$5:$N$20000,Kalkulasi!$B$753)</f>
        <v/>
      </c>
      <c r="AL778">
        <f>SUMIFS(INPUT_RITASE!$L$5:$L$20000,INPUT_RITASE!$A$5:$A$20000,Kalkulasi!$B$751,INPUT_RITASE!$B$5:$B$20000,L$771,INPUT_RITASE!$C$5:$C$20000,$A778,INPUT_RITASE!$N$5:$N$20000,Kalkulasi!$B$753)</f>
        <v/>
      </c>
      <c r="AM778">
        <f>SUMIFS(INPUT_RITASE!$L$5:$L$20000,INPUT_RITASE!$A$5:$A$20000,Kalkulasi!$B$751,INPUT_RITASE!$B$5:$B$20000,M$771,INPUT_RITASE!$C$5:$C$20000,$A778,INPUT_RITASE!$N$5:$N$20000,Kalkulasi!$B$753)</f>
        <v/>
      </c>
      <c r="AN778">
        <f>SUMIFS(INPUT_RITASE!$L$5:$L$20000,INPUT_RITASE!$A$5:$A$20000,Kalkulasi!$B$751,INPUT_RITASE!$B$5:$B$20000,N$771,INPUT_RITASE!$C$5:$C$20000,$A778,INPUT_RITASE!$N$5:$N$20000,Kalkulasi!$B$753)</f>
        <v/>
      </c>
      <c r="AO778">
        <f>SUMIFS(INPUT_RITASE!$L$5:$L$20000,INPUT_RITASE!$A$5:$A$20000,Kalkulasi!$B$751,INPUT_RITASE!$B$5:$B$20000,O$771,INPUT_RITASE!$C$5:$C$20000,$A778,INPUT_RITASE!$N$5:$N$20000,Kalkulasi!$B$753)</f>
        <v/>
      </c>
      <c r="AP778">
        <f>SUM(AD778:AO778)</f>
        <v/>
      </c>
      <c r="AQ778">
        <f>IF(AD778=0,0,(60-MIN(60,SUMIFS(INPUT_DELAY!$E$5:$E$20000,INPUT_DELAY!$A$5:$A$20000,Kalkulasi!$B$751,INPUT_DELAY!$B$5:$B$20000,D$771,INPUT_DELAY!$C$5:$C$20000,$A778)+SUMIFS(INPUT_DELAY!$E$5:$E$20000,INPUT_DELAY!$A$5:$A$20000,Kalkulasi!$B$751,INPUT_DELAY!$B$5:$B$20000,D$771,INPUT_DELAY!$C$5:$C$20000,"SEMUA")))/60)</f>
        <v/>
      </c>
      <c r="AR778">
        <f>IF(AE778=0,0,(60-MIN(60,SUMIFS(INPUT_DELAY!$E$5:$E$20000,INPUT_DELAY!$A$5:$A$20000,Kalkulasi!$B$751,INPUT_DELAY!$B$5:$B$20000,E$771,INPUT_DELAY!$C$5:$C$20000,$A778)+SUMIFS(INPUT_DELAY!$E$5:$E$20000,INPUT_DELAY!$A$5:$A$20000,Kalkulasi!$B$751,INPUT_DELAY!$B$5:$B$20000,E$771,INPUT_DELAY!$C$5:$C$20000,"SEMUA")))/60)</f>
        <v/>
      </c>
      <c r="AS778">
        <f>IF(AF778=0,0,(60-MIN(60,SUMIFS(INPUT_DELAY!$E$5:$E$20000,INPUT_DELAY!$A$5:$A$20000,Kalkulasi!$B$751,INPUT_DELAY!$B$5:$B$20000,F$771,INPUT_DELAY!$C$5:$C$20000,$A778)+SUMIFS(INPUT_DELAY!$E$5:$E$20000,INPUT_DELAY!$A$5:$A$20000,Kalkulasi!$B$751,INPUT_DELAY!$B$5:$B$20000,F$771,INPUT_DELAY!$C$5:$C$20000,"SEMUA")))/60)</f>
        <v/>
      </c>
      <c r="AT778">
        <f>IF(AG778=0,0,(60-MIN(60,SUMIFS(INPUT_DELAY!$E$5:$E$20000,INPUT_DELAY!$A$5:$A$20000,Kalkulasi!$B$751,INPUT_DELAY!$B$5:$B$20000,G$771,INPUT_DELAY!$C$5:$C$20000,$A778)+SUMIFS(INPUT_DELAY!$E$5:$E$20000,INPUT_DELAY!$A$5:$A$20000,Kalkulasi!$B$751,INPUT_DELAY!$B$5:$B$20000,G$771,INPUT_DELAY!$C$5:$C$20000,"SEMUA")))/60)</f>
        <v/>
      </c>
      <c r="AU778">
        <f>IF(AH778=0,0,(60-MIN(60,SUMIFS(INPUT_DELAY!$E$5:$E$20000,INPUT_DELAY!$A$5:$A$20000,Kalkulasi!$B$751,INPUT_DELAY!$B$5:$B$20000,H$771,INPUT_DELAY!$C$5:$C$20000,$A778)+SUMIFS(INPUT_DELAY!$E$5:$E$20000,INPUT_DELAY!$A$5:$A$20000,Kalkulasi!$B$751,INPUT_DELAY!$B$5:$B$20000,H$771,INPUT_DELAY!$C$5:$C$20000,"SEMUA")))/60)</f>
        <v/>
      </c>
      <c r="AV778">
        <f>IF(AI778=0,0,(60-MIN(60,SUMIFS(INPUT_DELAY!$E$5:$E$20000,INPUT_DELAY!$A$5:$A$20000,Kalkulasi!$B$751,INPUT_DELAY!$B$5:$B$20000,I$771,INPUT_DELAY!$C$5:$C$20000,$A778)+SUMIFS(INPUT_DELAY!$E$5:$E$20000,INPUT_DELAY!$A$5:$A$20000,Kalkulasi!$B$751,INPUT_DELAY!$B$5:$B$20000,I$771,INPUT_DELAY!$C$5:$C$20000,"SEMUA")))/60)</f>
        <v/>
      </c>
      <c r="AW778">
        <f>IF(AJ778=0,0,(60-MIN(60,SUMIFS(INPUT_DELAY!$E$5:$E$20000,INPUT_DELAY!$A$5:$A$20000,Kalkulasi!$B$751,INPUT_DELAY!$B$5:$B$20000,J$771,INPUT_DELAY!$C$5:$C$20000,$A778)+SUMIFS(INPUT_DELAY!$E$5:$E$20000,INPUT_DELAY!$A$5:$A$20000,Kalkulasi!$B$751,INPUT_DELAY!$B$5:$B$20000,J$771,INPUT_DELAY!$C$5:$C$20000,"SEMUA")))/60)</f>
        <v/>
      </c>
      <c r="AX778">
        <f>IF(AK778=0,0,(60-MIN(60,SUMIFS(INPUT_DELAY!$E$5:$E$20000,INPUT_DELAY!$A$5:$A$20000,Kalkulasi!$B$751,INPUT_DELAY!$B$5:$B$20000,K$771,INPUT_DELAY!$C$5:$C$20000,$A778)+SUMIFS(INPUT_DELAY!$E$5:$E$20000,INPUT_DELAY!$A$5:$A$20000,Kalkulasi!$B$751,INPUT_DELAY!$B$5:$B$20000,K$771,INPUT_DELAY!$C$5:$C$20000,"SEMUA")))/60)</f>
        <v/>
      </c>
      <c r="AY778">
        <f>IF(AL778=0,0,(60-MIN(60,SUMIFS(INPUT_DELAY!$E$5:$E$20000,INPUT_DELAY!$A$5:$A$20000,Kalkulasi!$B$751,INPUT_DELAY!$B$5:$B$20000,L$771,INPUT_DELAY!$C$5:$C$20000,$A778)+SUMIFS(INPUT_DELAY!$E$5:$E$20000,INPUT_DELAY!$A$5:$A$20000,Kalkulasi!$B$751,INPUT_DELAY!$B$5:$B$20000,L$771,INPUT_DELAY!$C$5:$C$20000,"SEMUA")))/60)</f>
        <v/>
      </c>
      <c r="AZ778">
        <f>IF(AM778=0,0,(60-MIN(60,SUMIFS(INPUT_DELAY!$E$5:$E$20000,INPUT_DELAY!$A$5:$A$20000,Kalkulasi!$B$751,INPUT_DELAY!$B$5:$B$20000,M$771,INPUT_DELAY!$C$5:$C$20000,$A778)+SUMIFS(INPUT_DELAY!$E$5:$E$20000,INPUT_DELAY!$A$5:$A$20000,Kalkulasi!$B$751,INPUT_DELAY!$B$5:$B$20000,M$771,INPUT_DELAY!$C$5:$C$20000,"SEMUA")))/60)</f>
        <v/>
      </c>
      <c r="BA778">
        <f>IF(AN778=0,0,(60-MIN(60,SUMIFS(INPUT_DELAY!$E$5:$E$20000,INPUT_DELAY!$A$5:$A$20000,Kalkulasi!$B$751,INPUT_DELAY!$B$5:$B$20000,N$771,INPUT_DELAY!$C$5:$C$20000,$A778)+SUMIFS(INPUT_DELAY!$E$5:$E$20000,INPUT_DELAY!$A$5:$A$20000,Kalkulasi!$B$751,INPUT_DELAY!$B$5:$B$20000,N$771,INPUT_DELAY!$C$5:$C$20000,"SEMUA")))/60)</f>
        <v/>
      </c>
      <c r="BB778">
        <f>IF(AO778=0,0,(60-MIN(60,SUMIFS(INPUT_DELAY!$E$5:$E$20000,INPUT_DELAY!$A$5:$A$20000,Kalkulasi!$B$751,INPUT_DELAY!$B$5:$B$20000,O$771,INPUT_DELAY!$C$5:$C$20000,$A778)+SUMIFS(INPUT_DELAY!$E$5:$E$20000,INPUT_DELAY!$A$5:$A$20000,Kalkulasi!$B$751,INPUT_DELAY!$B$5:$B$20000,O$771,INPUT_DELAY!$C$5:$C$20000,"SEMUA")))/60)</f>
        <v/>
      </c>
      <c r="BC778">
        <f>SUM(AQ778:BB778)</f>
        <v/>
      </c>
      <c r="BD778">
        <f>COUNTIF(D778:O778,"&gt;0")</f>
        <v/>
      </c>
      <c r="BE778">
        <f>IF(BD778=0,"",P778/BD778)</f>
        <v/>
      </c>
      <c r="BF778">
        <f>IF(BD778=0,"",AC778/BD778)</f>
        <v/>
      </c>
      <c r="BG778">
        <f>IF(OR(BD778=0,N(BF778)=0),"",BE778/BF778)</f>
        <v/>
      </c>
      <c r="BH778">
        <f>IF(BG778="","",ROUND(BG778-BE778,0))</f>
        <v/>
      </c>
      <c r="BI778">
        <f>SUMIFS(INPUT_RITASE!$F$5:$F$20000,INPUT_RITASE!$A$5:$A$20000,Kalkulasi!$B$751,INPUT_RITASE!$H$5:$H$20000,Kalkulasi!$B$752,INPUT_RITASE!$C$5:$C$20000,$A778)</f>
        <v/>
      </c>
      <c r="BJ778">
        <f>IF(P778=0,"",BI778/P778)</f>
        <v/>
      </c>
      <c r="BK778">
        <f>BI778+P778/1000+ROW()/1000000</f>
        <v/>
      </c>
    </row>
    <row r="779">
      <c r="A779" t="inlineStr">
        <is>
          <t>EX-336</t>
        </is>
      </c>
      <c r="B779">
        <f>IFERROR(INDEX(MASTER_JAM!$B$5:$B$94,MATCH($A779,MASTER_JAM!$A$5:$A$94,0)),"")</f>
        <v/>
      </c>
      <c r="D779">
        <f>SUMIFS(INPUT_RITASE!$R$5:$R$20000,INPUT_RITASE!$A$5:$A$20000,Kalkulasi!$B$751,INPUT_RITASE!$B$5:$B$20000,D$771,INPUT_RITASE!$C$5:$C$20000,$A779)</f>
        <v/>
      </c>
      <c r="E779">
        <f>SUMIFS(INPUT_RITASE!$R$5:$R$20000,INPUT_RITASE!$A$5:$A$20000,Kalkulasi!$B$751,INPUT_RITASE!$B$5:$B$20000,E$771,INPUT_RITASE!$C$5:$C$20000,$A779)</f>
        <v/>
      </c>
      <c r="F779">
        <f>SUMIFS(INPUT_RITASE!$R$5:$R$20000,INPUT_RITASE!$A$5:$A$20000,Kalkulasi!$B$751,INPUT_RITASE!$B$5:$B$20000,F$771,INPUT_RITASE!$C$5:$C$20000,$A779)</f>
        <v/>
      </c>
      <c r="G779">
        <f>SUMIFS(INPUT_RITASE!$R$5:$R$20000,INPUT_RITASE!$A$5:$A$20000,Kalkulasi!$B$751,INPUT_RITASE!$B$5:$B$20000,G$771,INPUT_RITASE!$C$5:$C$20000,$A779)</f>
        <v/>
      </c>
      <c r="H779">
        <f>SUMIFS(INPUT_RITASE!$R$5:$R$20000,INPUT_RITASE!$A$5:$A$20000,Kalkulasi!$B$751,INPUT_RITASE!$B$5:$B$20000,H$771,INPUT_RITASE!$C$5:$C$20000,$A779)</f>
        <v/>
      </c>
      <c r="I779">
        <f>SUMIFS(INPUT_RITASE!$R$5:$R$20000,INPUT_RITASE!$A$5:$A$20000,Kalkulasi!$B$751,INPUT_RITASE!$B$5:$B$20000,I$771,INPUT_RITASE!$C$5:$C$20000,$A779)</f>
        <v/>
      </c>
      <c r="J779">
        <f>SUMIFS(INPUT_RITASE!$R$5:$R$20000,INPUT_RITASE!$A$5:$A$20000,Kalkulasi!$B$751,INPUT_RITASE!$B$5:$B$20000,J$771,INPUT_RITASE!$C$5:$C$20000,$A779)</f>
        <v/>
      </c>
      <c r="K779">
        <f>SUMIFS(INPUT_RITASE!$R$5:$R$20000,INPUT_RITASE!$A$5:$A$20000,Kalkulasi!$B$751,INPUT_RITASE!$B$5:$B$20000,K$771,INPUT_RITASE!$C$5:$C$20000,$A779)</f>
        <v/>
      </c>
      <c r="L779">
        <f>SUMIFS(INPUT_RITASE!$R$5:$R$20000,INPUT_RITASE!$A$5:$A$20000,Kalkulasi!$B$751,INPUT_RITASE!$B$5:$B$20000,L$771,INPUT_RITASE!$C$5:$C$20000,$A779)</f>
        <v/>
      </c>
      <c r="M779">
        <f>SUMIFS(INPUT_RITASE!$R$5:$R$20000,INPUT_RITASE!$A$5:$A$20000,Kalkulasi!$B$751,INPUT_RITASE!$B$5:$B$20000,M$771,INPUT_RITASE!$C$5:$C$20000,$A779)</f>
        <v/>
      </c>
      <c r="N779">
        <f>SUMIFS(INPUT_RITASE!$R$5:$R$20000,INPUT_RITASE!$A$5:$A$20000,Kalkulasi!$B$751,INPUT_RITASE!$B$5:$B$20000,N$771,INPUT_RITASE!$C$5:$C$20000,$A779)</f>
        <v/>
      </c>
      <c r="O779">
        <f>SUMIFS(INPUT_RITASE!$R$5:$R$20000,INPUT_RITASE!$A$5:$A$20000,Kalkulasi!$B$751,INPUT_RITASE!$B$5:$B$20000,O$771,INPUT_RITASE!$C$5:$C$20000,$A779)</f>
        <v/>
      </c>
      <c r="P779">
        <f>SUM(D779:O779)</f>
        <v/>
      </c>
      <c r="Q779">
        <f>SUMIFS(INPUT_RITASE!$S$5:$S$20000,INPUT_RITASE!$A$5:$A$20000,Kalkulasi!$B$751,INPUT_RITASE!$B$5:$B$20000,D$771,INPUT_RITASE!$C$5:$C$20000,$A779)</f>
        <v/>
      </c>
      <c r="R779">
        <f>SUMIFS(INPUT_RITASE!$S$5:$S$20000,INPUT_RITASE!$A$5:$A$20000,Kalkulasi!$B$751,INPUT_RITASE!$B$5:$B$20000,E$771,INPUT_RITASE!$C$5:$C$20000,$A779)</f>
        <v/>
      </c>
      <c r="S779">
        <f>SUMIFS(INPUT_RITASE!$S$5:$S$20000,INPUT_RITASE!$A$5:$A$20000,Kalkulasi!$B$751,INPUT_RITASE!$B$5:$B$20000,F$771,INPUT_RITASE!$C$5:$C$20000,$A779)</f>
        <v/>
      </c>
      <c r="T779">
        <f>SUMIFS(INPUT_RITASE!$S$5:$S$20000,INPUT_RITASE!$A$5:$A$20000,Kalkulasi!$B$751,INPUT_RITASE!$B$5:$B$20000,G$771,INPUT_RITASE!$C$5:$C$20000,$A779)</f>
        <v/>
      </c>
      <c r="U779">
        <f>SUMIFS(INPUT_RITASE!$S$5:$S$20000,INPUT_RITASE!$A$5:$A$20000,Kalkulasi!$B$751,INPUT_RITASE!$B$5:$B$20000,H$771,INPUT_RITASE!$C$5:$C$20000,$A779)</f>
        <v/>
      </c>
      <c r="V779">
        <f>SUMIFS(INPUT_RITASE!$S$5:$S$20000,INPUT_RITASE!$A$5:$A$20000,Kalkulasi!$B$751,INPUT_RITASE!$B$5:$B$20000,I$771,INPUT_RITASE!$C$5:$C$20000,$A779)</f>
        <v/>
      </c>
      <c r="W779">
        <f>SUMIFS(INPUT_RITASE!$S$5:$S$20000,INPUT_RITASE!$A$5:$A$20000,Kalkulasi!$B$751,INPUT_RITASE!$B$5:$B$20000,J$771,INPUT_RITASE!$C$5:$C$20000,$A779)</f>
        <v/>
      </c>
      <c r="X779">
        <f>SUMIFS(INPUT_RITASE!$S$5:$S$20000,INPUT_RITASE!$A$5:$A$20000,Kalkulasi!$B$751,INPUT_RITASE!$B$5:$B$20000,K$771,INPUT_RITASE!$C$5:$C$20000,$A779)</f>
        <v/>
      </c>
      <c r="Y779">
        <f>SUMIFS(INPUT_RITASE!$S$5:$S$20000,INPUT_RITASE!$A$5:$A$20000,Kalkulasi!$B$751,INPUT_RITASE!$B$5:$B$20000,L$771,INPUT_RITASE!$C$5:$C$20000,$A779)</f>
        <v/>
      </c>
      <c r="Z779">
        <f>SUMIFS(INPUT_RITASE!$S$5:$S$20000,INPUT_RITASE!$A$5:$A$20000,Kalkulasi!$B$751,INPUT_RITASE!$B$5:$B$20000,M$771,INPUT_RITASE!$C$5:$C$20000,$A779)</f>
        <v/>
      </c>
      <c r="AA779">
        <f>SUMIFS(INPUT_RITASE!$S$5:$S$20000,INPUT_RITASE!$A$5:$A$20000,Kalkulasi!$B$751,INPUT_RITASE!$B$5:$B$20000,N$771,INPUT_RITASE!$C$5:$C$20000,$A779)</f>
        <v/>
      </c>
      <c r="AB779">
        <f>SUMIFS(INPUT_RITASE!$S$5:$S$20000,INPUT_RITASE!$A$5:$A$20000,Kalkulasi!$B$751,INPUT_RITASE!$B$5:$B$20000,O$771,INPUT_RITASE!$C$5:$C$20000,$A779)</f>
        <v/>
      </c>
      <c r="AC779">
        <f>SUM(Q779:AB779)</f>
        <v/>
      </c>
      <c r="AD779">
        <f>SUMIFS(INPUT_RITASE!$L$5:$L$20000,INPUT_RITASE!$A$5:$A$20000,Kalkulasi!$B$751,INPUT_RITASE!$B$5:$B$20000,D$771,INPUT_RITASE!$C$5:$C$20000,$A779,INPUT_RITASE!$N$5:$N$20000,Kalkulasi!$B$753)</f>
        <v/>
      </c>
      <c r="AE779">
        <f>SUMIFS(INPUT_RITASE!$L$5:$L$20000,INPUT_RITASE!$A$5:$A$20000,Kalkulasi!$B$751,INPUT_RITASE!$B$5:$B$20000,E$771,INPUT_RITASE!$C$5:$C$20000,$A779,INPUT_RITASE!$N$5:$N$20000,Kalkulasi!$B$753)</f>
        <v/>
      </c>
      <c r="AF779">
        <f>SUMIFS(INPUT_RITASE!$L$5:$L$20000,INPUT_RITASE!$A$5:$A$20000,Kalkulasi!$B$751,INPUT_RITASE!$B$5:$B$20000,F$771,INPUT_RITASE!$C$5:$C$20000,$A779,INPUT_RITASE!$N$5:$N$20000,Kalkulasi!$B$753)</f>
        <v/>
      </c>
      <c r="AG779">
        <f>SUMIFS(INPUT_RITASE!$L$5:$L$20000,INPUT_RITASE!$A$5:$A$20000,Kalkulasi!$B$751,INPUT_RITASE!$B$5:$B$20000,G$771,INPUT_RITASE!$C$5:$C$20000,$A779,INPUT_RITASE!$N$5:$N$20000,Kalkulasi!$B$753)</f>
        <v/>
      </c>
      <c r="AH779">
        <f>SUMIFS(INPUT_RITASE!$L$5:$L$20000,INPUT_RITASE!$A$5:$A$20000,Kalkulasi!$B$751,INPUT_RITASE!$B$5:$B$20000,H$771,INPUT_RITASE!$C$5:$C$20000,$A779,INPUT_RITASE!$N$5:$N$20000,Kalkulasi!$B$753)</f>
        <v/>
      </c>
      <c r="AI779">
        <f>SUMIFS(INPUT_RITASE!$L$5:$L$20000,INPUT_RITASE!$A$5:$A$20000,Kalkulasi!$B$751,INPUT_RITASE!$B$5:$B$20000,I$771,INPUT_RITASE!$C$5:$C$20000,$A779,INPUT_RITASE!$N$5:$N$20000,Kalkulasi!$B$753)</f>
        <v/>
      </c>
      <c r="AJ779">
        <f>SUMIFS(INPUT_RITASE!$L$5:$L$20000,INPUT_RITASE!$A$5:$A$20000,Kalkulasi!$B$751,INPUT_RITASE!$B$5:$B$20000,J$771,INPUT_RITASE!$C$5:$C$20000,$A779,INPUT_RITASE!$N$5:$N$20000,Kalkulasi!$B$753)</f>
        <v/>
      </c>
      <c r="AK779">
        <f>SUMIFS(INPUT_RITASE!$L$5:$L$20000,INPUT_RITASE!$A$5:$A$20000,Kalkulasi!$B$751,INPUT_RITASE!$B$5:$B$20000,K$771,INPUT_RITASE!$C$5:$C$20000,$A779,INPUT_RITASE!$N$5:$N$20000,Kalkulasi!$B$753)</f>
        <v/>
      </c>
      <c r="AL779">
        <f>SUMIFS(INPUT_RITASE!$L$5:$L$20000,INPUT_RITASE!$A$5:$A$20000,Kalkulasi!$B$751,INPUT_RITASE!$B$5:$B$20000,L$771,INPUT_RITASE!$C$5:$C$20000,$A779,INPUT_RITASE!$N$5:$N$20000,Kalkulasi!$B$753)</f>
        <v/>
      </c>
      <c r="AM779">
        <f>SUMIFS(INPUT_RITASE!$L$5:$L$20000,INPUT_RITASE!$A$5:$A$20000,Kalkulasi!$B$751,INPUT_RITASE!$B$5:$B$20000,M$771,INPUT_RITASE!$C$5:$C$20000,$A779,INPUT_RITASE!$N$5:$N$20000,Kalkulasi!$B$753)</f>
        <v/>
      </c>
      <c r="AN779">
        <f>SUMIFS(INPUT_RITASE!$L$5:$L$20000,INPUT_RITASE!$A$5:$A$20000,Kalkulasi!$B$751,INPUT_RITASE!$B$5:$B$20000,N$771,INPUT_RITASE!$C$5:$C$20000,$A779,INPUT_RITASE!$N$5:$N$20000,Kalkulasi!$B$753)</f>
        <v/>
      </c>
      <c r="AO779">
        <f>SUMIFS(INPUT_RITASE!$L$5:$L$20000,INPUT_RITASE!$A$5:$A$20000,Kalkulasi!$B$751,INPUT_RITASE!$B$5:$B$20000,O$771,INPUT_RITASE!$C$5:$C$20000,$A779,INPUT_RITASE!$N$5:$N$20000,Kalkulasi!$B$753)</f>
        <v/>
      </c>
      <c r="AP779">
        <f>SUM(AD779:AO779)</f>
        <v/>
      </c>
      <c r="AQ779">
        <f>IF(AD779=0,0,(60-MIN(60,SUMIFS(INPUT_DELAY!$E$5:$E$20000,INPUT_DELAY!$A$5:$A$20000,Kalkulasi!$B$751,INPUT_DELAY!$B$5:$B$20000,D$771,INPUT_DELAY!$C$5:$C$20000,$A779)+SUMIFS(INPUT_DELAY!$E$5:$E$20000,INPUT_DELAY!$A$5:$A$20000,Kalkulasi!$B$751,INPUT_DELAY!$B$5:$B$20000,D$771,INPUT_DELAY!$C$5:$C$20000,"SEMUA")))/60)</f>
        <v/>
      </c>
      <c r="AR779">
        <f>IF(AE779=0,0,(60-MIN(60,SUMIFS(INPUT_DELAY!$E$5:$E$20000,INPUT_DELAY!$A$5:$A$20000,Kalkulasi!$B$751,INPUT_DELAY!$B$5:$B$20000,E$771,INPUT_DELAY!$C$5:$C$20000,$A779)+SUMIFS(INPUT_DELAY!$E$5:$E$20000,INPUT_DELAY!$A$5:$A$20000,Kalkulasi!$B$751,INPUT_DELAY!$B$5:$B$20000,E$771,INPUT_DELAY!$C$5:$C$20000,"SEMUA")))/60)</f>
        <v/>
      </c>
      <c r="AS779">
        <f>IF(AF779=0,0,(60-MIN(60,SUMIFS(INPUT_DELAY!$E$5:$E$20000,INPUT_DELAY!$A$5:$A$20000,Kalkulasi!$B$751,INPUT_DELAY!$B$5:$B$20000,F$771,INPUT_DELAY!$C$5:$C$20000,$A779)+SUMIFS(INPUT_DELAY!$E$5:$E$20000,INPUT_DELAY!$A$5:$A$20000,Kalkulasi!$B$751,INPUT_DELAY!$B$5:$B$20000,F$771,INPUT_DELAY!$C$5:$C$20000,"SEMUA")))/60)</f>
        <v/>
      </c>
      <c r="AT779">
        <f>IF(AG779=0,0,(60-MIN(60,SUMIFS(INPUT_DELAY!$E$5:$E$20000,INPUT_DELAY!$A$5:$A$20000,Kalkulasi!$B$751,INPUT_DELAY!$B$5:$B$20000,G$771,INPUT_DELAY!$C$5:$C$20000,$A779)+SUMIFS(INPUT_DELAY!$E$5:$E$20000,INPUT_DELAY!$A$5:$A$20000,Kalkulasi!$B$751,INPUT_DELAY!$B$5:$B$20000,G$771,INPUT_DELAY!$C$5:$C$20000,"SEMUA")))/60)</f>
        <v/>
      </c>
      <c r="AU779">
        <f>IF(AH779=0,0,(60-MIN(60,SUMIFS(INPUT_DELAY!$E$5:$E$20000,INPUT_DELAY!$A$5:$A$20000,Kalkulasi!$B$751,INPUT_DELAY!$B$5:$B$20000,H$771,INPUT_DELAY!$C$5:$C$20000,$A779)+SUMIFS(INPUT_DELAY!$E$5:$E$20000,INPUT_DELAY!$A$5:$A$20000,Kalkulasi!$B$751,INPUT_DELAY!$B$5:$B$20000,H$771,INPUT_DELAY!$C$5:$C$20000,"SEMUA")))/60)</f>
        <v/>
      </c>
      <c r="AV779">
        <f>IF(AI779=0,0,(60-MIN(60,SUMIFS(INPUT_DELAY!$E$5:$E$20000,INPUT_DELAY!$A$5:$A$20000,Kalkulasi!$B$751,INPUT_DELAY!$B$5:$B$20000,I$771,INPUT_DELAY!$C$5:$C$20000,$A779)+SUMIFS(INPUT_DELAY!$E$5:$E$20000,INPUT_DELAY!$A$5:$A$20000,Kalkulasi!$B$751,INPUT_DELAY!$B$5:$B$20000,I$771,INPUT_DELAY!$C$5:$C$20000,"SEMUA")))/60)</f>
        <v/>
      </c>
      <c r="AW779">
        <f>IF(AJ779=0,0,(60-MIN(60,SUMIFS(INPUT_DELAY!$E$5:$E$20000,INPUT_DELAY!$A$5:$A$20000,Kalkulasi!$B$751,INPUT_DELAY!$B$5:$B$20000,J$771,INPUT_DELAY!$C$5:$C$20000,$A779)+SUMIFS(INPUT_DELAY!$E$5:$E$20000,INPUT_DELAY!$A$5:$A$20000,Kalkulasi!$B$751,INPUT_DELAY!$B$5:$B$20000,J$771,INPUT_DELAY!$C$5:$C$20000,"SEMUA")))/60)</f>
        <v/>
      </c>
      <c r="AX779">
        <f>IF(AK779=0,0,(60-MIN(60,SUMIFS(INPUT_DELAY!$E$5:$E$20000,INPUT_DELAY!$A$5:$A$20000,Kalkulasi!$B$751,INPUT_DELAY!$B$5:$B$20000,K$771,INPUT_DELAY!$C$5:$C$20000,$A779)+SUMIFS(INPUT_DELAY!$E$5:$E$20000,INPUT_DELAY!$A$5:$A$20000,Kalkulasi!$B$751,INPUT_DELAY!$B$5:$B$20000,K$771,INPUT_DELAY!$C$5:$C$20000,"SEMUA")))/60)</f>
        <v/>
      </c>
      <c r="AY779">
        <f>IF(AL779=0,0,(60-MIN(60,SUMIFS(INPUT_DELAY!$E$5:$E$20000,INPUT_DELAY!$A$5:$A$20000,Kalkulasi!$B$751,INPUT_DELAY!$B$5:$B$20000,L$771,INPUT_DELAY!$C$5:$C$20000,$A779)+SUMIFS(INPUT_DELAY!$E$5:$E$20000,INPUT_DELAY!$A$5:$A$20000,Kalkulasi!$B$751,INPUT_DELAY!$B$5:$B$20000,L$771,INPUT_DELAY!$C$5:$C$20000,"SEMUA")))/60)</f>
        <v/>
      </c>
      <c r="AZ779">
        <f>IF(AM779=0,0,(60-MIN(60,SUMIFS(INPUT_DELAY!$E$5:$E$20000,INPUT_DELAY!$A$5:$A$20000,Kalkulasi!$B$751,INPUT_DELAY!$B$5:$B$20000,M$771,INPUT_DELAY!$C$5:$C$20000,$A779)+SUMIFS(INPUT_DELAY!$E$5:$E$20000,INPUT_DELAY!$A$5:$A$20000,Kalkulasi!$B$751,INPUT_DELAY!$B$5:$B$20000,M$771,INPUT_DELAY!$C$5:$C$20000,"SEMUA")))/60)</f>
        <v/>
      </c>
      <c r="BA779">
        <f>IF(AN779=0,0,(60-MIN(60,SUMIFS(INPUT_DELAY!$E$5:$E$20000,INPUT_DELAY!$A$5:$A$20000,Kalkulasi!$B$751,INPUT_DELAY!$B$5:$B$20000,N$771,INPUT_DELAY!$C$5:$C$20000,$A779)+SUMIFS(INPUT_DELAY!$E$5:$E$20000,INPUT_DELAY!$A$5:$A$20000,Kalkulasi!$B$751,INPUT_DELAY!$B$5:$B$20000,N$771,INPUT_DELAY!$C$5:$C$20000,"SEMUA")))/60)</f>
        <v/>
      </c>
      <c r="BB779">
        <f>IF(AO779=0,0,(60-MIN(60,SUMIFS(INPUT_DELAY!$E$5:$E$20000,INPUT_DELAY!$A$5:$A$20000,Kalkulasi!$B$751,INPUT_DELAY!$B$5:$B$20000,O$771,INPUT_DELAY!$C$5:$C$20000,$A779)+SUMIFS(INPUT_DELAY!$E$5:$E$20000,INPUT_DELAY!$A$5:$A$20000,Kalkulasi!$B$751,INPUT_DELAY!$B$5:$B$20000,O$771,INPUT_DELAY!$C$5:$C$20000,"SEMUA")))/60)</f>
        <v/>
      </c>
      <c r="BC779">
        <f>SUM(AQ779:BB779)</f>
        <v/>
      </c>
      <c r="BD779">
        <f>COUNTIF(D779:O779,"&gt;0")</f>
        <v/>
      </c>
      <c r="BE779">
        <f>IF(BD779=0,"",P779/BD779)</f>
        <v/>
      </c>
      <c r="BF779">
        <f>IF(BD779=0,"",AC779/BD779)</f>
        <v/>
      </c>
      <c r="BG779">
        <f>IF(OR(BD779=0,N(BF779)=0),"",BE779/BF779)</f>
        <v/>
      </c>
      <c r="BH779">
        <f>IF(BG779="","",ROUND(BG779-BE779,0))</f>
        <v/>
      </c>
      <c r="BI779">
        <f>SUMIFS(INPUT_RITASE!$F$5:$F$20000,INPUT_RITASE!$A$5:$A$20000,Kalkulasi!$B$751,INPUT_RITASE!$H$5:$H$20000,Kalkulasi!$B$752,INPUT_RITASE!$C$5:$C$20000,$A779)</f>
        <v/>
      </c>
      <c r="BJ779">
        <f>IF(P779=0,"",BI779/P779)</f>
        <v/>
      </c>
      <c r="BK779">
        <f>BI779+P779/1000+ROW()/1000000</f>
        <v/>
      </c>
    </row>
    <row r="780">
      <c r="A780" t="inlineStr">
        <is>
          <t>EX-333</t>
        </is>
      </c>
      <c r="B780">
        <f>IFERROR(INDEX(MASTER_JAM!$B$5:$B$94,MATCH($A780,MASTER_JAM!$A$5:$A$94,0)),"")</f>
        <v/>
      </c>
      <c r="D780">
        <f>SUMIFS(INPUT_RITASE!$R$5:$R$20000,INPUT_RITASE!$A$5:$A$20000,Kalkulasi!$B$751,INPUT_RITASE!$B$5:$B$20000,D$771,INPUT_RITASE!$C$5:$C$20000,$A780)</f>
        <v/>
      </c>
      <c r="E780">
        <f>SUMIFS(INPUT_RITASE!$R$5:$R$20000,INPUT_RITASE!$A$5:$A$20000,Kalkulasi!$B$751,INPUT_RITASE!$B$5:$B$20000,E$771,INPUT_RITASE!$C$5:$C$20000,$A780)</f>
        <v/>
      </c>
      <c r="F780">
        <f>SUMIFS(INPUT_RITASE!$R$5:$R$20000,INPUT_RITASE!$A$5:$A$20000,Kalkulasi!$B$751,INPUT_RITASE!$B$5:$B$20000,F$771,INPUT_RITASE!$C$5:$C$20000,$A780)</f>
        <v/>
      </c>
      <c r="G780">
        <f>SUMIFS(INPUT_RITASE!$R$5:$R$20000,INPUT_RITASE!$A$5:$A$20000,Kalkulasi!$B$751,INPUT_RITASE!$B$5:$B$20000,G$771,INPUT_RITASE!$C$5:$C$20000,$A780)</f>
        <v/>
      </c>
      <c r="H780">
        <f>SUMIFS(INPUT_RITASE!$R$5:$R$20000,INPUT_RITASE!$A$5:$A$20000,Kalkulasi!$B$751,INPUT_RITASE!$B$5:$B$20000,H$771,INPUT_RITASE!$C$5:$C$20000,$A780)</f>
        <v/>
      </c>
      <c r="I780">
        <f>SUMIFS(INPUT_RITASE!$R$5:$R$20000,INPUT_RITASE!$A$5:$A$20000,Kalkulasi!$B$751,INPUT_RITASE!$B$5:$B$20000,I$771,INPUT_RITASE!$C$5:$C$20000,$A780)</f>
        <v/>
      </c>
      <c r="J780">
        <f>SUMIFS(INPUT_RITASE!$R$5:$R$20000,INPUT_RITASE!$A$5:$A$20000,Kalkulasi!$B$751,INPUT_RITASE!$B$5:$B$20000,J$771,INPUT_RITASE!$C$5:$C$20000,$A780)</f>
        <v/>
      </c>
      <c r="K780">
        <f>SUMIFS(INPUT_RITASE!$R$5:$R$20000,INPUT_RITASE!$A$5:$A$20000,Kalkulasi!$B$751,INPUT_RITASE!$B$5:$B$20000,K$771,INPUT_RITASE!$C$5:$C$20000,$A780)</f>
        <v/>
      </c>
      <c r="L780">
        <f>SUMIFS(INPUT_RITASE!$R$5:$R$20000,INPUT_RITASE!$A$5:$A$20000,Kalkulasi!$B$751,INPUT_RITASE!$B$5:$B$20000,L$771,INPUT_RITASE!$C$5:$C$20000,$A780)</f>
        <v/>
      </c>
      <c r="M780">
        <f>SUMIFS(INPUT_RITASE!$R$5:$R$20000,INPUT_RITASE!$A$5:$A$20000,Kalkulasi!$B$751,INPUT_RITASE!$B$5:$B$20000,M$771,INPUT_RITASE!$C$5:$C$20000,$A780)</f>
        <v/>
      </c>
      <c r="N780">
        <f>SUMIFS(INPUT_RITASE!$R$5:$R$20000,INPUT_RITASE!$A$5:$A$20000,Kalkulasi!$B$751,INPUT_RITASE!$B$5:$B$20000,N$771,INPUT_RITASE!$C$5:$C$20000,$A780)</f>
        <v/>
      </c>
      <c r="O780">
        <f>SUMIFS(INPUT_RITASE!$R$5:$R$20000,INPUT_RITASE!$A$5:$A$20000,Kalkulasi!$B$751,INPUT_RITASE!$B$5:$B$20000,O$771,INPUT_RITASE!$C$5:$C$20000,$A780)</f>
        <v/>
      </c>
      <c r="P780">
        <f>SUM(D780:O780)</f>
        <v/>
      </c>
      <c r="Q780">
        <f>SUMIFS(INPUT_RITASE!$S$5:$S$20000,INPUT_RITASE!$A$5:$A$20000,Kalkulasi!$B$751,INPUT_RITASE!$B$5:$B$20000,D$771,INPUT_RITASE!$C$5:$C$20000,$A780)</f>
        <v/>
      </c>
      <c r="R780">
        <f>SUMIFS(INPUT_RITASE!$S$5:$S$20000,INPUT_RITASE!$A$5:$A$20000,Kalkulasi!$B$751,INPUT_RITASE!$B$5:$B$20000,E$771,INPUT_RITASE!$C$5:$C$20000,$A780)</f>
        <v/>
      </c>
      <c r="S780">
        <f>SUMIFS(INPUT_RITASE!$S$5:$S$20000,INPUT_RITASE!$A$5:$A$20000,Kalkulasi!$B$751,INPUT_RITASE!$B$5:$B$20000,F$771,INPUT_RITASE!$C$5:$C$20000,$A780)</f>
        <v/>
      </c>
      <c r="T780">
        <f>SUMIFS(INPUT_RITASE!$S$5:$S$20000,INPUT_RITASE!$A$5:$A$20000,Kalkulasi!$B$751,INPUT_RITASE!$B$5:$B$20000,G$771,INPUT_RITASE!$C$5:$C$20000,$A780)</f>
        <v/>
      </c>
      <c r="U780">
        <f>SUMIFS(INPUT_RITASE!$S$5:$S$20000,INPUT_RITASE!$A$5:$A$20000,Kalkulasi!$B$751,INPUT_RITASE!$B$5:$B$20000,H$771,INPUT_RITASE!$C$5:$C$20000,$A780)</f>
        <v/>
      </c>
      <c r="V780">
        <f>SUMIFS(INPUT_RITASE!$S$5:$S$20000,INPUT_RITASE!$A$5:$A$20000,Kalkulasi!$B$751,INPUT_RITASE!$B$5:$B$20000,I$771,INPUT_RITASE!$C$5:$C$20000,$A780)</f>
        <v/>
      </c>
      <c r="W780">
        <f>SUMIFS(INPUT_RITASE!$S$5:$S$20000,INPUT_RITASE!$A$5:$A$20000,Kalkulasi!$B$751,INPUT_RITASE!$B$5:$B$20000,J$771,INPUT_RITASE!$C$5:$C$20000,$A780)</f>
        <v/>
      </c>
      <c r="X780">
        <f>SUMIFS(INPUT_RITASE!$S$5:$S$20000,INPUT_RITASE!$A$5:$A$20000,Kalkulasi!$B$751,INPUT_RITASE!$B$5:$B$20000,K$771,INPUT_RITASE!$C$5:$C$20000,$A780)</f>
        <v/>
      </c>
      <c r="Y780">
        <f>SUMIFS(INPUT_RITASE!$S$5:$S$20000,INPUT_RITASE!$A$5:$A$20000,Kalkulasi!$B$751,INPUT_RITASE!$B$5:$B$20000,L$771,INPUT_RITASE!$C$5:$C$20000,$A780)</f>
        <v/>
      </c>
      <c r="Z780">
        <f>SUMIFS(INPUT_RITASE!$S$5:$S$20000,INPUT_RITASE!$A$5:$A$20000,Kalkulasi!$B$751,INPUT_RITASE!$B$5:$B$20000,M$771,INPUT_RITASE!$C$5:$C$20000,$A780)</f>
        <v/>
      </c>
      <c r="AA780">
        <f>SUMIFS(INPUT_RITASE!$S$5:$S$20000,INPUT_RITASE!$A$5:$A$20000,Kalkulasi!$B$751,INPUT_RITASE!$B$5:$B$20000,N$771,INPUT_RITASE!$C$5:$C$20000,$A780)</f>
        <v/>
      </c>
      <c r="AB780">
        <f>SUMIFS(INPUT_RITASE!$S$5:$S$20000,INPUT_RITASE!$A$5:$A$20000,Kalkulasi!$B$751,INPUT_RITASE!$B$5:$B$20000,O$771,INPUT_RITASE!$C$5:$C$20000,$A780)</f>
        <v/>
      </c>
      <c r="AC780">
        <f>SUM(Q780:AB780)</f>
        <v/>
      </c>
      <c r="AD780">
        <f>SUMIFS(INPUT_RITASE!$L$5:$L$20000,INPUT_RITASE!$A$5:$A$20000,Kalkulasi!$B$751,INPUT_RITASE!$B$5:$B$20000,D$771,INPUT_RITASE!$C$5:$C$20000,$A780,INPUT_RITASE!$N$5:$N$20000,Kalkulasi!$B$753)</f>
        <v/>
      </c>
      <c r="AE780">
        <f>SUMIFS(INPUT_RITASE!$L$5:$L$20000,INPUT_RITASE!$A$5:$A$20000,Kalkulasi!$B$751,INPUT_RITASE!$B$5:$B$20000,E$771,INPUT_RITASE!$C$5:$C$20000,$A780,INPUT_RITASE!$N$5:$N$20000,Kalkulasi!$B$753)</f>
        <v/>
      </c>
      <c r="AF780">
        <f>SUMIFS(INPUT_RITASE!$L$5:$L$20000,INPUT_RITASE!$A$5:$A$20000,Kalkulasi!$B$751,INPUT_RITASE!$B$5:$B$20000,F$771,INPUT_RITASE!$C$5:$C$20000,$A780,INPUT_RITASE!$N$5:$N$20000,Kalkulasi!$B$753)</f>
        <v/>
      </c>
      <c r="AG780">
        <f>SUMIFS(INPUT_RITASE!$L$5:$L$20000,INPUT_RITASE!$A$5:$A$20000,Kalkulasi!$B$751,INPUT_RITASE!$B$5:$B$20000,G$771,INPUT_RITASE!$C$5:$C$20000,$A780,INPUT_RITASE!$N$5:$N$20000,Kalkulasi!$B$753)</f>
        <v/>
      </c>
      <c r="AH780">
        <f>SUMIFS(INPUT_RITASE!$L$5:$L$20000,INPUT_RITASE!$A$5:$A$20000,Kalkulasi!$B$751,INPUT_RITASE!$B$5:$B$20000,H$771,INPUT_RITASE!$C$5:$C$20000,$A780,INPUT_RITASE!$N$5:$N$20000,Kalkulasi!$B$753)</f>
        <v/>
      </c>
      <c r="AI780">
        <f>SUMIFS(INPUT_RITASE!$L$5:$L$20000,INPUT_RITASE!$A$5:$A$20000,Kalkulasi!$B$751,INPUT_RITASE!$B$5:$B$20000,I$771,INPUT_RITASE!$C$5:$C$20000,$A780,INPUT_RITASE!$N$5:$N$20000,Kalkulasi!$B$753)</f>
        <v/>
      </c>
      <c r="AJ780">
        <f>SUMIFS(INPUT_RITASE!$L$5:$L$20000,INPUT_RITASE!$A$5:$A$20000,Kalkulasi!$B$751,INPUT_RITASE!$B$5:$B$20000,J$771,INPUT_RITASE!$C$5:$C$20000,$A780,INPUT_RITASE!$N$5:$N$20000,Kalkulasi!$B$753)</f>
        <v/>
      </c>
      <c r="AK780">
        <f>SUMIFS(INPUT_RITASE!$L$5:$L$20000,INPUT_RITASE!$A$5:$A$20000,Kalkulasi!$B$751,INPUT_RITASE!$B$5:$B$20000,K$771,INPUT_RITASE!$C$5:$C$20000,$A780,INPUT_RITASE!$N$5:$N$20000,Kalkulasi!$B$753)</f>
        <v/>
      </c>
      <c r="AL780">
        <f>SUMIFS(INPUT_RITASE!$L$5:$L$20000,INPUT_RITASE!$A$5:$A$20000,Kalkulasi!$B$751,INPUT_RITASE!$B$5:$B$20000,L$771,INPUT_RITASE!$C$5:$C$20000,$A780,INPUT_RITASE!$N$5:$N$20000,Kalkulasi!$B$753)</f>
        <v/>
      </c>
      <c r="AM780">
        <f>SUMIFS(INPUT_RITASE!$L$5:$L$20000,INPUT_RITASE!$A$5:$A$20000,Kalkulasi!$B$751,INPUT_RITASE!$B$5:$B$20000,M$771,INPUT_RITASE!$C$5:$C$20000,$A780,INPUT_RITASE!$N$5:$N$20000,Kalkulasi!$B$753)</f>
        <v/>
      </c>
      <c r="AN780">
        <f>SUMIFS(INPUT_RITASE!$L$5:$L$20000,INPUT_RITASE!$A$5:$A$20000,Kalkulasi!$B$751,INPUT_RITASE!$B$5:$B$20000,N$771,INPUT_RITASE!$C$5:$C$20000,$A780,INPUT_RITASE!$N$5:$N$20000,Kalkulasi!$B$753)</f>
        <v/>
      </c>
      <c r="AO780">
        <f>SUMIFS(INPUT_RITASE!$L$5:$L$20000,INPUT_RITASE!$A$5:$A$20000,Kalkulasi!$B$751,INPUT_RITASE!$B$5:$B$20000,O$771,INPUT_RITASE!$C$5:$C$20000,$A780,INPUT_RITASE!$N$5:$N$20000,Kalkulasi!$B$753)</f>
        <v/>
      </c>
      <c r="AP780">
        <f>SUM(AD780:AO780)</f>
        <v/>
      </c>
      <c r="AQ780">
        <f>IF(AD780=0,0,(60-MIN(60,SUMIFS(INPUT_DELAY!$E$5:$E$20000,INPUT_DELAY!$A$5:$A$20000,Kalkulasi!$B$751,INPUT_DELAY!$B$5:$B$20000,D$771,INPUT_DELAY!$C$5:$C$20000,$A780)+SUMIFS(INPUT_DELAY!$E$5:$E$20000,INPUT_DELAY!$A$5:$A$20000,Kalkulasi!$B$751,INPUT_DELAY!$B$5:$B$20000,D$771,INPUT_DELAY!$C$5:$C$20000,"SEMUA")))/60)</f>
        <v/>
      </c>
      <c r="AR780">
        <f>IF(AE780=0,0,(60-MIN(60,SUMIFS(INPUT_DELAY!$E$5:$E$20000,INPUT_DELAY!$A$5:$A$20000,Kalkulasi!$B$751,INPUT_DELAY!$B$5:$B$20000,E$771,INPUT_DELAY!$C$5:$C$20000,$A780)+SUMIFS(INPUT_DELAY!$E$5:$E$20000,INPUT_DELAY!$A$5:$A$20000,Kalkulasi!$B$751,INPUT_DELAY!$B$5:$B$20000,E$771,INPUT_DELAY!$C$5:$C$20000,"SEMUA")))/60)</f>
        <v/>
      </c>
      <c r="AS780">
        <f>IF(AF780=0,0,(60-MIN(60,SUMIFS(INPUT_DELAY!$E$5:$E$20000,INPUT_DELAY!$A$5:$A$20000,Kalkulasi!$B$751,INPUT_DELAY!$B$5:$B$20000,F$771,INPUT_DELAY!$C$5:$C$20000,$A780)+SUMIFS(INPUT_DELAY!$E$5:$E$20000,INPUT_DELAY!$A$5:$A$20000,Kalkulasi!$B$751,INPUT_DELAY!$B$5:$B$20000,F$771,INPUT_DELAY!$C$5:$C$20000,"SEMUA")))/60)</f>
        <v/>
      </c>
      <c r="AT780">
        <f>IF(AG780=0,0,(60-MIN(60,SUMIFS(INPUT_DELAY!$E$5:$E$20000,INPUT_DELAY!$A$5:$A$20000,Kalkulasi!$B$751,INPUT_DELAY!$B$5:$B$20000,G$771,INPUT_DELAY!$C$5:$C$20000,$A780)+SUMIFS(INPUT_DELAY!$E$5:$E$20000,INPUT_DELAY!$A$5:$A$20000,Kalkulasi!$B$751,INPUT_DELAY!$B$5:$B$20000,G$771,INPUT_DELAY!$C$5:$C$20000,"SEMUA")))/60)</f>
        <v/>
      </c>
      <c r="AU780">
        <f>IF(AH780=0,0,(60-MIN(60,SUMIFS(INPUT_DELAY!$E$5:$E$20000,INPUT_DELAY!$A$5:$A$20000,Kalkulasi!$B$751,INPUT_DELAY!$B$5:$B$20000,H$771,INPUT_DELAY!$C$5:$C$20000,$A780)+SUMIFS(INPUT_DELAY!$E$5:$E$20000,INPUT_DELAY!$A$5:$A$20000,Kalkulasi!$B$751,INPUT_DELAY!$B$5:$B$20000,H$771,INPUT_DELAY!$C$5:$C$20000,"SEMUA")))/60)</f>
        <v/>
      </c>
      <c r="AV780">
        <f>IF(AI780=0,0,(60-MIN(60,SUMIFS(INPUT_DELAY!$E$5:$E$20000,INPUT_DELAY!$A$5:$A$20000,Kalkulasi!$B$751,INPUT_DELAY!$B$5:$B$20000,I$771,INPUT_DELAY!$C$5:$C$20000,$A780)+SUMIFS(INPUT_DELAY!$E$5:$E$20000,INPUT_DELAY!$A$5:$A$20000,Kalkulasi!$B$751,INPUT_DELAY!$B$5:$B$20000,I$771,INPUT_DELAY!$C$5:$C$20000,"SEMUA")))/60)</f>
        <v/>
      </c>
      <c r="AW780">
        <f>IF(AJ780=0,0,(60-MIN(60,SUMIFS(INPUT_DELAY!$E$5:$E$20000,INPUT_DELAY!$A$5:$A$20000,Kalkulasi!$B$751,INPUT_DELAY!$B$5:$B$20000,J$771,INPUT_DELAY!$C$5:$C$20000,$A780)+SUMIFS(INPUT_DELAY!$E$5:$E$20000,INPUT_DELAY!$A$5:$A$20000,Kalkulasi!$B$751,INPUT_DELAY!$B$5:$B$20000,J$771,INPUT_DELAY!$C$5:$C$20000,"SEMUA")))/60)</f>
        <v/>
      </c>
      <c r="AX780">
        <f>IF(AK780=0,0,(60-MIN(60,SUMIFS(INPUT_DELAY!$E$5:$E$20000,INPUT_DELAY!$A$5:$A$20000,Kalkulasi!$B$751,INPUT_DELAY!$B$5:$B$20000,K$771,INPUT_DELAY!$C$5:$C$20000,$A780)+SUMIFS(INPUT_DELAY!$E$5:$E$20000,INPUT_DELAY!$A$5:$A$20000,Kalkulasi!$B$751,INPUT_DELAY!$B$5:$B$20000,K$771,INPUT_DELAY!$C$5:$C$20000,"SEMUA")))/60)</f>
        <v/>
      </c>
      <c r="AY780">
        <f>IF(AL780=0,0,(60-MIN(60,SUMIFS(INPUT_DELAY!$E$5:$E$20000,INPUT_DELAY!$A$5:$A$20000,Kalkulasi!$B$751,INPUT_DELAY!$B$5:$B$20000,L$771,INPUT_DELAY!$C$5:$C$20000,$A780)+SUMIFS(INPUT_DELAY!$E$5:$E$20000,INPUT_DELAY!$A$5:$A$20000,Kalkulasi!$B$751,INPUT_DELAY!$B$5:$B$20000,L$771,INPUT_DELAY!$C$5:$C$20000,"SEMUA")))/60)</f>
        <v/>
      </c>
      <c r="AZ780">
        <f>IF(AM780=0,0,(60-MIN(60,SUMIFS(INPUT_DELAY!$E$5:$E$20000,INPUT_DELAY!$A$5:$A$20000,Kalkulasi!$B$751,INPUT_DELAY!$B$5:$B$20000,M$771,INPUT_DELAY!$C$5:$C$20000,$A780)+SUMIFS(INPUT_DELAY!$E$5:$E$20000,INPUT_DELAY!$A$5:$A$20000,Kalkulasi!$B$751,INPUT_DELAY!$B$5:$B$20000,M$771,INPUT_DELAY!$C$5:$C$20000,"SEMUA")))/60)</f>
        <v/>
      </c>
      <c r="BA780">
        <f>IF(AN780=0,0,(60-MIN(60,SUMIFS(INPUT_DELAY!$E$5:$E$20000,INPUT_DELAY!$A$5:$A$20000,Kalkulasi!$B$751,INPUT_DELAY!$B$5:$B$20000,N$771,INPUT_DELAY!$C$5:$C$20000,$A780)+SUMIFS(INPUT_DELAY!$E$5:$E$20000,INPUT_DELAY!$A$5:$A$20000,Kalkulasi!$B$751,INPUT_DELAY!$B$5:$B$20000,N$771,INPUT_DELAY!$C$5:$C$20000,"SEMUA")))/60)</f>
        <v/>
      </c>
      <c r="BB780">
        <f>IF(AO780=0,0,(60-MIN(60,SUMIFS(INPUT_DELAY!$E$5:$E$20000,INPUT_DELAY!$A$5:$A$20000,Kalkulasi!$B$751,INPUT_DELAY!$B$5:$B$20000,O$771,INPUT_DELAY!$C$5:$C$20000,$A780)+SUMIFS(INPUT_DELAY!$E$5:$E$20000,INPUT_DELAY!$A$5:$A$20000,Kalkulasi!$B$751,INPUT_DELAY!$B$5:$B$20000,O$771,INPUT_DELAY!$C$5:$C$20000,"SEMUA")))/60)</f>
        <v/>
      </c>
      <c r="BC780">
        <f>SUM(AQ780:BB780)</f>
        <v/>
      </c>
      <c r="BD780">
        <f>COUNTIF(D780:O780,"&gt;0")</f>
        <v/>
      </c>
      <c r="BE780">
        <f>IF(BD780=0,"",P780/BD780)</f>
        <v/>
      </c>
      <c r="BF780">
        <f>IF(BD780=0,"",AC780/BD780)</f>
        <v/>
      </c>
      <c r="BG780">
        <f>IF(OR(BD780=0,N(BF780)=0),"",BE780/BF780)</f>
        <v/>
      </c>
      <c r="BH780">
        <f>IF(BG780="","",ROUND(BG780-BE780,0))</f>
        <v/>
      </c>
      <c r="BI780">
        <f>SUMIFS(INPUT_RITASE!$F$5:$F$20000,INPUT_RITASE!$A$5:$A$20000,Kalkulasi!$B$751,INPUT_RITASE!$H$5:$H$20000,Kalkulasi!$B$752,INPUT_RITASE!$C$5:$C$20000,$A780)</f>
        <v/>
      </c>
      <c r="BJ780">
        <f>IF(P780=0,"",BI780/P780)</f>
        <v/>
      </c>
      <c r="BK780">
        <f>BI780+P780/1000+ROW()/1000000</f>
        <v/>
      </c>
    </row>
    <row r="781">
      <c r="A781" t="inlineStr">
        <is>
          <t>EX-335</t>
        </is>
      </c>
      <c r="B781">
        <f>IFERROR(INDEX(MASTER_JAM!$B$5:$B$94,MATCH($A781,MASTER_JAM!$A$5:$A$94,0)),"")</f>
        <v/>
      </c>
      <c r="D781">
        <f>SUMIFS(INPUT_RITASE!$R$5:$R$20000,INPUT_RITASE!$A$5:$A$20000,Kalkulasi!$B$751,INPUT_RITASE!$B$5:$B$20000,D$771,INPUT_RITASE!$C$5:$C$20000,$A781)</f>
        <v/>
      </c>
      <c r="E781">
        <f>SUMIFS(INPUT_RITASE!$R$5:$R$20000,INPUT_RITASE!$A$5:$A$20000,Kalkulasi!$B$751,INPUT_RITASE!$B$5:$B$20000,E$771,INPUT_RITASE!$C$5:$C$20000,$A781)</f>
        <v/>
      </c>
      <c r="F781">
        <f>SUMIFS(INPUT_RITASE!$R$5:$R$20000,INPUT_RITASE!$A$5:$A$20000,Kalkulasi!$B$751,INPUT_RITASE!$B$5:$B$20000,F$771,INPUT_RITASE!$C$5:$C$20000,$A781)</f>
        <v/>
      </c>
      <c r="G781">
        <f>SUMIFS(INPUT_RITASE!$R$5:$R$20000,INPUT_RITASE!$A$5:$A$20000,Kalkulasi!$B$751,INPUT_RITASE!$B$5:$B$20000,G$771,INPUT_RITASE!$C$5:$C$20000,$A781)</f>
        <v/>
      </c>
      <c r="H781">
        <f>SUMIFS(INPUT_RITASE!$R$5:$R$20000,INPUT_RITASE!$A$5:$A$20000,Kalkulasi!$B$751,INPUT_RITASE!$B$5:$B$20000,H$771,INPUT_RITASE!$C$5:$C$20000,$A781)</f>
        <v/>
      </c>
      <c r="I781">
        <f>SUMIFS(INPUT_RITASE!$R$5:$R$20000,INPUT_RITASE!$A$5:$A$20000,Kalkulasi!$B$751,INPUT_RITASE!$B$5:$B$20000,I$771,INPUT_RITASE!$C$5:$C$20000,$A781)</f>
        <v/>
      </c>
      <c r="J781">
        <f>SUMIFS(INPUT_RITASE!$R$5:$R$20000,INPUT_RITASE!$A$5:$A$20000,Kalkulasi!$B$751,INPUT_RITASE!$B$5:$B$20000,J$771,INPUT_RITASE!$C$5:$C$20000,$A781)</f>
        <v/>
      </c>
      <c r="K781">
        <f>SUMIFS(INPUT_RITASE!$R$5:$R$20000,INPUT_RITASE!$A$5:$A$20000,Kalkulasi!$B$751,INPUT_RITASE!$B$5:$B$20000,K$771,INPUT_RITASE!$C$5:$C$20000,$A781)</f>
        <v/>
      </c>
      <c r="L781">
        <f>SUMIFS(INPUT_RITASE!$R$5:$R$20000,INPUT_RITASE!$A$5:$A$20000,Kalkulasi!$B$751,INPUT_RITASE!$B$5:$B$20000,L$771,INPUT_RITASE!$C$5:$C$20000,$A781)</f>
        <v/>
      </c>
      <c r="M781">
        <f>SUMIFS(INPUT_RITASE!$R$5:$R$20000,INPUT_RITASE!$A$5:$A$20000,Kalkulasi!$B$751,INPUT_RITASE!$B$5:$B$20000,M$771,INPUT_RITASE!$C$5:$C$20000,$A781)</f>
        <v/>
      </c>
      <c r="N781">
        <f>SUMIFS(INPUT_RITASE!$R$5:$R$20000,INPUT_RITASE!$A$5:$A$20000,Kalkulasi!$B$751,INPUT_RITASE!$B$5:$B$20000,N$771,INPUT_RITASE!$C$5:$C$20000,$A781)</f>
        <v/>
      </c>
      <c r="O781">
        <f>SUMIFS(INPUT_RITASE!$R$5:$R$20000,INPUT_RITASE!$A$5:$A$20000,Kalkulasi!$B$751,INPUT_RITASE!$B$5:$B$20000,O$771,INPUT_RITASE!$C$5:$C$20000,$A781)</f>
        <v/>
      </c>
      <c r="P781">
        <f>SUM(D781:O781)</f>
        <v/>
      </c>
      <c r="Q781">
        <f>SUMIFS(INPUT_RITASE!$S$5:$S$20000,INPUT_RITASE!$A$5:$A$20000,Kalkulasi!$B$751,INPUT_RITASE!$B$5:$B$20000,D$771,INPUT_RITASE!$C$5:$C$20000,$A781)</f>
        <v/>
      </c>
      <c r="R781">
        <f>SUMIFS(INPUT_RITASE!$S$5:$S$20000,INPUT_RITASE!$A$5:$A$20000,Kalkulasi!$B$751,INPUT_RITASE!$B$5:$B$20000,E$771,INPUT_RITASE!$C$5:$C$20000,$A781)</f>
        <v/>
      </c>
      <c r="S781">
        <f>SUMIFS(INPUT_RITASE!$S$5:$S$20000,INPUT_RITASE!$A$5:$A$20000,Kalkulasi!$B$751,INPUT_RITASE!$B$5:$B$20000,F$771,INPUT_RITASE!$C$5:$C$20000,$A781)</f>
        <v/>
      </c>
      <c r="T781">
        <f>SUMIFS(INPUT_RITASE!$S$5:$S$20000,INPUT_RITASE!$A$5:$A$20000,Kalkulasi!$B$751,INPUT_RITASE!$B$5:$B$20000,G$771,INPUT_RITASE!$C$5:$C$20000,$A781)</f>
        <v/>
      </c>
      <c r="U781">
        <f>SUMIFS(INPUT_RITASE!$S$5:$S$20000,INPUT_RITASE!$A$5:$A$20000,Kalkulasi!$B$751,INPUT_RITASE!$B$5:$B$20000,H$771,INPUT_RITASE!$C$5:$C$20000,$A781)</f>
        <v/>
      </c>
      <c r="V781">
        <f>SUMIFS(INPUT_RITASE!$S$5:$S$20000,INPUT_RITASE!$A$5:$A$20000,Kalkulasi!$B$751,INPUT_RITASE!$B$5:$B$20000,I$771,INPUT_RITASE!$C$5:$C$20000,$A781)</f>
        <v/>
      </c>
      <c r="W781">
        <f>SUMIFS(INPUT_RITASE!$S$5:$S$20000,INPUT_RITASE!$A$5:$A$20000,Kalkulasi!$B$751,INPUT_RITASE!$B$5:$B$20000,J$771,INPUT_RITASE!$C$5:$C$20000,$A781)</f>
        <v/>
      </c>
      <c r="X781">
        <f>SUMIFS(INPUT_RITASE!$S$5:$S$20000,INPUT_RITASE!$A$5:$A$20000,Kalkulasi!$B$751,INPUT_RITASE!$B$5:$B$20000,K$771,INPUT_RITASE!$C$5:$C$20000,$A781)</f>
        <v/>
      </c>
      <c r="Y781">
        <f>SUMIFS(INPUT_RITASE!$S$5:$S$20000,INPUT_RITASE!$A$5:$A$20000,Kalkulasi!$B$751,INPUT_RITASE!$B$5:$B$20000,L$771,INPUT_RITASE!$C$5:$C$20000,$A781)</f>
        <v/>
      </c>
      <c r="Z781">
        <f>SUMIFS(INPUT_RITASE!$S$5:$S$20000,INPUT_RITASE!$A$5:$A$20000,Kalkulasi!$B$751,INPUT_RITASE!$B$5:$B$20000,M$771,INPUT_RITASE!$C$5:$C$20000,$A781)</f>
        <v/>
      </c>
      <c r="AA781">
        <f>SUMIFS(INPUT_RITASE!$S$5:$S$20000,INPUT_RITASE!$A$5:$A$20000,Kalkulasi!$B$751,INPUT_RITASE!$B$5:$B$20000,N$771,INPUT_RITASE!$C$5:$C$20000,$A781)</f>
        <v/>
      </c>
      <c r="AB781">
        <f>SUMIFS(INPUT_RITASE!$S$5:$S$20000,INPUT_RITASE!$A$5:$A$20000,Kalkulasi!$B$751,INPUT_RITASE!$B$5:$B$20000,O$771,INPUT_RITASE!$C$5:$C$20000,$A781)</f>
        <v/>
      </c>
      <c r="AC781">
        <f>SUM(Q781:AB781)</f>
        <v/>
      </c>
      <c r="AD781">
        <f>SUMIFS(INPUT_RITASE!$L$5:$L$20000,INPUT_RITASE!$A$5:$A$20000,Kalkulasi!$B$751,INPUT_RITASE!$B$5:$B$20000,D$771,INPUT_RITASE!$C$5:$C$20000,$A781,INPUT_RITASE!$N$5:$N$20000,Kalkulasi!$B$753)</f>
        <v/>
      </c>
      <c r="AE781">
        <f>SUMIFS(INPUT_RITASE!$L$5:$L$20000,INPUT_RITASE!$A$5:$A$20000,Kalkulasi!$B$751,INPUT_RITASE!$B$5:$B$20000,E$771,INPUT_RITASE!$C$5:$C$20000,$A781,INPUT_RITASE!$N$5:$N$20000,Kalkulasi!$B$753)</f>
        <v/>
      </c>
      <c r="AF781">
        <f>SUMIFS(INPUT_RITASE!$L$5:$L$20000,INPUT_RITASE!$A$5:$A$20000,Kalkulasi!$B$751,INPUT_RITASE!$B$5:$B$20000,F$771,INPUT_RITASE!$C$5:$C$20000,$A781,INPUT_RITASE!$N$5:$N$20000,Kalkulasi!$B$753)</f>
        <v/>
      </c>
      <c r="AG781">
        <f>SUMIFS(INPUT_RITASE!$L$5:$L$20000,INPUT_RITASE!$A$5:$A$20000,Kalkulasi!$B$751,INPUT_RITASE!$B$5:$B$20000,G$771,INPUT_RITASE!$C$5:$C$20000,$A781,INPUT_RITASE!$N$5:$N$20000,Kalkulasi!$B$753)</f>
        <v/>
      </c>
      <c r="AH781">
        <f>SUMIFS(INPUT_RITASE!$L$5:$L$20000,INPUT_RITASE!$A$5:$A$20000,Kalkulasi!$B$751,INPUT_RITASE!$B$5:$B$20000,H$771,INPUT_RITASE!$C$5:$C$20000,$A781,INPUT_RITASE!$N$5:$N$20000,Kalkulasi!$B$753)</f>
        <v/>
      </c>
      <c r="AI781">
        <f>SUMIFS(INPUT_RITASE!$L$5:$L$20000,INPUT_RITASE!$A$5:$A$20000,Kalkulasi!$B$751,INPUT_RITASE!$B$5:$B$20000,I$771,INPUT_RITASE!$C$5:$C$20000,$A781,INPUT_RITASE!$N$5:$N$20000,Kalkulasi!$B$753)</f>
        <v/>
      </c>
      <c r="AJ781">
        <f>SUMIFS(INPUT_RITASE!$L$5:$L$20000,INPUT_RITASE!$A$5:$A$20000,Kalkulasi!$B$751,INPUT_RITASE!$B$5:$B$20000,J$771,INPUT_RITASE!$C$5:$C$20000,$A781,INPUT_RITASE!$N$5:$N$20000,Kalkulasi!$B$753)</f>
        <v/>
      </c>
      <c r="AK781">
        <f>SUMIFS(INPUT_RITASE!$L$5:$L$20000,INPUT_RITASE!$A$5:$A$20000,Kalkulasi!$B$751,INPUT_RITASE!$B$5:$B$20000,K$771,INPUT_RITASE!$C$5:$C$20000,$A781,INPUT_RITASE!$N$5:$N$20000,Kalkulasi!$B$753)</f>
        <v/>
      </c>
      <c r="AL781">
        <f>SUMIFS(INPUT_RITASE!$L$5:$L$20000,INPUT_RITASE!$A$5:$A$20000,Kalkulasi!$B$751,INPUT_RITASE!$B$5:$B$20000,L$771,INPUT_RITASE!$C$5:$C$20000,$A781,INPUT_RITASE!$N$5:$N$20000,Kalkulasi!$B$753)</f>
        <v/>
      </c>
      <c r="AM781">
        <f>SUMIFS(INPUT_RITASE!$L$5:$L$20000,INPUT_RITASE!$A$5:$A$20000,Kalkulasi!$B$751,INPUT_RITASE!$B$5:$B$20000,M$771,INPUT_RITASE!$C$5:$C$20000,$A781,INPUT_RITASE!$N$5:$N$20000,Kalkulasi!$B$753)</f>
        <v/>
      </c>
      <c r="AN781">
        <f>SUMIFS(INPUT_RITASE!$L$5:$L$20000,INPUT_RITASE!$A$5:$A$20000,Kalkulasi!$B$751,INPUT_RITASE!$B$5:$B$20000,N$771,INPUT_RITASE!$C$5:$C$20000,$A781,INPUT_RITASE!$N$5:$N$20000,Kalkulasi!$B$753)</f>
        <v/>
      </c>
      <c r="AO781">
        <f>SUMIFS(INPUT_RITASE!$L$5:$L$20000,INPUT_RITASE!$A$5:$A$20000,Kalkulasi!$B$751,INPUT_RITASE!$B$5:$B$20000,O$771,INPUT_RITASE!$C$5:$C$20000,$A781,INPUT_RITASE!$N$5:$N$20000,Kalkulasi!$B$753)</f>
        <v/>
      </c>
      <c r="AP781">
        <f>SUM(AD781:AO781)</f>
        <v/>
      </c>
      <c r="AQ781">
        <f>IF(AD781=0,0,(60-MIN(60,SUMIFS(INPUT_DELAY!$E$5:$E$20000,INPUT_DELAY!$A$5:$A$20000,Kalkulasi!$B$751,INPUT_DELAY!$B$5:$B$20000,D$771,INPUT_DELAY!$C$5:$C$20000,$A781)+SUMIFS(INPUT_DELAY!$E$5:$E$20000,INPUT_DELAY!$A$5:$A$20000,Kalkulasi!$B$751,INPUT_DELAY!$B$5:$B$20000,D$771,INPUT_DELAY!$C$5:$C$20000,"SEMUA")))/60)</f>
        <v/>
      </c>
      <c r="AR781">
        <f>IF(AE781=0,0,(60-MIN(60,SUMIFS(INPUT_DELAY!$E$5:$E$20000,INPUT_DELAY!$A$5:$A$20000,Kalkulasi!$B$751,INPUT_DELAY!$B$5:$B$20000,E$771,INPUT_DELAY!$C$5:$C$20000,$A781)+SUMIFS(INPUT_DELAY!$E$5:$E$20000,INPUT_DELAY!$A$5:$A$20000,Kalkulasi!$B$751,INPUT_DELAY!$B$5:$B$20000,E$771,INPUT_DELAY!$C$5:$C$20000,"SEMUA")))/60)</f>
        <v/>
      </c>
      <c r="AS781">
        <f>IF(AF781=0,0,(60-MIN(60,SUMIFS(INPUT_DELAY!$E$5:$E$20000,INPUT_DELAY!$A$5:$A$20000,Kalkulasi!$B$751,INPUT_DELAY!$B$5:$B$20000,F$771,INPUT_DELAY!$C$5:$C$20000,$A781)+SUMIFS(INPUT_DELAY!$E$5:$E$20000,INPUT_DELAY!$A$5:$A$20000,Kalkulasi!$B$751,INPUT_DELAY!$B$5:$B$20000,F$771,INPUT_DELAY!$C$5:$C$20000,"SEMUA")))/60)</f>
        <v/>
      </c>
      <c r="AT781">
        <f>IF(AG781=0,0,(60-MIN(60,SUMIFS(INPUT_DELAY!$E$5:$E$20000,INPUT_DELAY!$A$5:$A$20000,Kalkulasi!$B$751,INPUT_DELAY!$B$5:$B$20000,G$771,INPUT_DELAY!$C$5:$C$20000,$A781)+SUMIFS(INPUT_DELAY!$E$5:$E$20000,INPUT_DELAY!$A$5:$A$20000,Kalkulasi!$B$751,INPUT_DELAY!$B$5:$B$20000,G$771,INPUT_DELAY!$C$5:$C$20000,"SEMUA")))/60)</f>
        <v/>
      </c>
      <c r="AU781">
        <f>IF(AH781=0,0,(60-MIN(60,SUMIFS(INPUT_DELAY!$E$5:$E$20000,INPUT_DELAY!$A$5:$A$20000,Kalkulasi!$B$751,INPUT_DELAY!$B$5:$B$20000,H$771,INPUT_DELAY!$C$5:$C$20000,$A781)+SUMIFS(INPUT_DELAY!$E$5:$E$20000,INPUT_DELAY!$A$5:$A$20000,Kalkulasi!$B$751,INPUT_DELAY!$B$5:$B$20000,H$771,INPUT_DELAY!$C$5:$C$20000,"SEMUA")))/60)</f>
        <v/>
      </c>
      <c r="AV781">
        <f>IF(AI781=0,0,(60-MIN(60,SUMIFS(INPUT_DELAY!$E$5:$E$20000,INPUT_DELAY!$A$5:$A$20000,Kalkulasi!$B$751,INPUT_DELAY!$B$5:$B$20000,I$771,INPUT_DELAY!$C$5:$C$20000,$A781)+SUMIFS(INPUT_DELAY!$E$5:$E$20000,INPUT_DELAY!$A$5:$A$20000,Kalkulasi!$B$751,INPUT_DELAY!$B$5:$B$20000,I$771,INPUT_DELAY!$C$5:$C$20000,"SEMUA")))/60)</f>
        <v/>
      </c>
      <c r="AW781">
        <f>IF(AJ781=0,0,(60-MIN(60,SUMIFS(INPUT_DELAY!$E$5:$E$20000,INPUT_DELAY!$A$5:$A$20000,Kalkulasi!$B$751,INPUT_DELAY!$B$5:$B$20000,J$771,INPUT_DELAY!$C$5:$C$20000,$A781)+SUMIFS(INPUT_DELAY!$E$5:$E$20000,INPUT_DELAY!$A$5:$A$20000,Kalkulasi!$B$751,INPUT_DELAY!$B$5:$B$20000,J$771,INPUT_DELAY!$C$5:$C$20000,"SEMUA")))/60)</f>
        <v/>
      </c>
      <c r="AX781">
        <f>IF(AK781=0,0,(60-MIN(60,SUMIFS(INPUT_DELAY!$E$5:$E$20000,INPUT_DELAY!$A$5:$A$20000,Kalkulasi!$B$751,INPUT_DELAY!$B$5:$B$20000,K$771,INPUT_DELAY!$C$5:$C$20000,$A781)+SUMIFS(INPUT_DELAY!$E$5:$E$20000,INPUT_DELAY!$A$5:$A$20000,Kalkulasi!$B$751,INPUT_DELAY!$B$5:$B$20000,K$771,INPUT_DELAY!$C$5:$C$20000,"SEMUA")))/60)</f>
        <v/>
      </c>
      <c r="AY781">
        <f>IF(AL781=0,0,(60-MIN(60,SUMIFS(INPUT_DELAY!$E$5:$E$20000,INPUT_DELAY!$A$5:$A$20000,Kalkulasi!$B$751,INPUT_DELAY!$B$5:$B$20000,L$771,INPUT_DELAY!$C$5:$C$20000,$A781)+SUMIFS(INPUT_DELAY!$E$5:$E$20000,INPUT_DELAY!$A$5:$A$20000,Kalkulasi!$B$751,INPUT_DELAY!$B$5:$B$20000,L$771,INPUT_DELAY!$C$5:$C$20000,"SEMUA")))/60)</f>
        <v/>
      </c>
      <c r="AZ781">
        <f>IF(AM781=0,0,(60-MIN(60,SUMIFS(INPUT_DELAY!$E$5:$E$20000,INPUT_DELAY!$A$5:$A$20000,Kalkulasi!$B$751,INPUT_DELAY!$B$5:$B$20000,M$771,INPUT_DELAY!$C$5:$C$20000,$A781)+SUMIFS(INPUT_DELAY!$E$5:$E$20000,INPUT_DELAY!$A$5:$A$20000,Kalkulasi!$B$751,INPUT_DELAY!$B$5:$B$20000,M$771,INPUT_DELAY!$C$5:$C$20000,"SEMUA")))/60)</f>
        <v/>
      </c>
      <c r="BA781">
        <f>IF(AN781=0,0,(60-MIN(60,SUMIFS(INPUT_DELAY!$E$5:$E$20000,INPUT_DELAY!$A$5:$A$20000,Kalkulasi!$B$751,INPUT_DELAY!$B$5:$B$20000,N$771,INPUT_DELAY!$C$5:$C$20000,$A781)+SUMIFS(INPUT_DELAY!$E$5:$E$20000,INPUT_DELAY!$A$5:$A$20000,Kalkulasi!$B$751,INPUT_DELAY!$B$5:$B$20000,N$771,INPUT_DELAY!$C$5:$C$20000,"SEMUA")))/60)</f>
        <v/>
      </c>
      <c r="BB781">
        <f>IF(AO781=0,0,(60-MIN(60,SUMIFS(INPUT_DELAY!$E$5:$E$20000,INPUT_DELAY!$A$5:$A$20000,Kalkulasi!$B$751,INPUT_DELAY!$B$5:$B$20000,O$771,INPUT_DELAY!$C$5:$C$20000,$A781)+SUMIFS(INPUT_DELAY!$E$5:$E$20000,INPUT_DELAY!$A$5:$A$20000,Kalkulasi!$B$751,INPUT_DELAY!$B$5:$B$20000,O$771,INPUT_DELAY!$C$5:$C$20000,"SEMUA")))/60)</f>
        <v/>
      </c>
      <c r="BC781">
        <f>SUM(AQ781:BB781)</f>
        <v/>
      </c>
      <c r="BD781">
        <f>COUNTIF(D781:O781,"&gt;0")</f>
        <v/>
      </c>
      <c r="BE781">
        <f>IF(BD781=0,"",P781/BD781)</f>
        <v/>
      </c>
      <c r="BF781">
        <f>IF(BD781=0,"",AC781/BD781)</f>
        <v/>
      </c>
      <c r="BG781">
        <f>IF(OR(BD781=0,N(BF781)=0),"",BE781/BF781)</f>
        <v/>
      </c>
      <c r="BH781">
        <f>IF(BG781="","",ROUND(BG781-BE781,0))</f>
        <v/>
      </c>
      <c r="BI781">
        <f>SUMIFS(INPUT_RITASE!$F$5:$F$20000,INPUT_RITASE!$A$5:$A$20000,Kalkulasi!$B$751,INPUT_RITASE!$H$5:$H$20000,Kalkulasi!$B$752,INPUT_RITASE!$C$5:$C$20000,$A781)</f>
        <v/>
      </c>
      <c r="BJ781">
        <f>IF(P781=0,"",BI781/P781)</f>
        <v/>
      </c>
      <c r="BK781">
        <f>BI781+P781/1000+ROW()/1000000</f>
        <v/>
      </c>
    </row>
    <row r="782">
      <c r="A782" t="inlineStr">
        <is>
          <t>EX-332</t>
        </is>
      </c>
      <c r="B782">
        <f>IFERROR(INDEX(MASTER_JAM!$B$5:$B$94,MATCH($A782,MASTER_JAM!$A$5:$A$94,0)),"")</f>
        <v/>
      </c>
      <c r="D782">
        <f>SUMIFS(INPUT_RITASE!$R$5:$R$20000,INPUT_RITASE!$A$5:$A$20000,Kalkulasi!$B$751,INPUT_RITASE!$B$5:$B$20000,D$771,INPUT_RITASE!$C$5:$C$20000,$A782)</f>
        <v/>
      </c>
      <c r="E782">
        <f>SUMIFS(INPUT_RITASE!$R$5:$R$20000,INPUT_RITASE!$A$5:$A$20000,Kalkulasi!$B$751,INPUT_RITASE!$B$5:$B$20000,E$771,INPUT_RITASE!$C$5:$C$20000,$A782)</f>
        <v/>
      </c>
      <c r="F782">
        <f>SUMIFS(INPUT_RITASE!$R$5:$R$20000,INPUT_RITASE!$A$5:$A$20000,Kalkulasi!$B$751,INPUT_RITASE!$B$5:$B$20000,F$771,INPUT_RITASE!$C$5:$C$20000,$A782)</f>
        <v/>
      </c>
      <c r="G782">
        <f>SUMIFS(INPUT_RITASE!$R$5:$R$20000,INPUT_RITASE!$A$5:$A$20000,Kalkulasi!$B$751,INPUT_RITASE!$B$5:$B$20000,G$771,INPUT_RITASE!$C$5:$C$20000,$A782)</f>
        <v/>
      </c>
      <c r="H782">
        <f>SUMIFS(INPUT_RITASE!$R$5:$R$20000,INPUT_RITASE!$A$5:$A$20000,Kalkulasi!$B$751,INPUT_RITASE!$B$5:$B$20000,H$771,INPUT_RITASE!$C$5:$C$20000,$A782)</f>
        <v/>
      </c>
      <c r="I782">
        <f>SUMIFS(INPUT_RITASE!$R$5:$R$20000,INPUT_RITASE!$A$5:$A$20000,Kalkulasi!$B$751,INPUT_RITASE!$B$5:$B$20000,I$771,INPUT_RITASE!$C$5:$C$20000,$A782)</f>
        <v/>
      </c>
      <c r="J782">
        <f>SUMIFS(INPUT_RITASE!$R$5:$R$20000,INPUT_RITASE!$A$5:$A$20000,Kalkulasi!$B$751,INPUT_RITASE!$B$5:$B$20000,J$771,INPUT_RITASE!$C$5:$C$20000,$A782)</f>
        <v/>
      </c>
      <c r="K782">
        <f>SUMIFS(INPUT_RITASE!$R$5:$R$20000,INPUT_RITASE!$A$5:$A$20000,Kalkulasi!$B$751,INPUT_RITASE!$B$5:$B$20000,K$771,INPUT_RITASE!$C$5:$C$20000,$A782)</f>
        <v/>
      </c>
      <c r="L782">
        <f>SUMIFS(INPUT_RITASE!$R$5:$R$20000,INPUT_RITASE!$A$5:$A$20000,Kalkulasi!$B$751,INPUT_RITASE!$B$5:$B$20000,L$771,INPUT_RITASE!$C$5:$C$20000,$A782)</f>
        <v/>
      </c>
      <c r="M782">
        <f>SUMIFS(INPUT_RITASE!$R$5:$R$20000,INPUT_RITASE!$A$5:$A$20000,Kalkulasi!$B$751,INPUT_RITASE!$B$5:$B$20000,M$771,INPUT_RITASE!$C$5:$C$20000,$A782)</f>
        <v/>
      </c>
      <c r="N782">
        <f>SUMIFS(INPUT_RITASE!$R$5:$R$20000,INPUT_RITASE!$A$5:$A$20000,Kalkulasi!$B$751,INPUT_RITASE!$B$5:$B$20000,N$771,INPUT_RITASE!$C$5:$C$20000,$A782)</f>
        <v/>
      </c>
      <c r="O782">
        <f>SUMIFS(INPUT_RITASE!$R$5:$R$20000,INPUT_RITASE!$A$5:$A$20000,Kalkulasi!$B$751,INPUT_RITASE!$B$5:$B$20000,O$771,INPUT_RITASE!$C$5:$C$20000,$A782)</f>
        <v/>
      </c>
      <c r="P782">
        <f>SUM(D782:O782)</f>
        <v/>
      </c>
      <c r="Q782">
        <f>SUMIFS(INPUT_RITASE!$S$5:$S$20000,INPUT_RITASE!$A$5:$A$20000,Kalkulasi!$B$751,INPUT_RITASE!$B$5:$B$20000,D$771,INPUT_RITASE!$C$5:$C$20000,$A782)</f>
        <v/>
      </c>
      <c r="R782">
        <f>SUMIFS(INPUT_RITASE!$S$5:$S$20000,INPUT_RITASE!$A$5:$A$20000,Kalkulasi!$B$751,INPUT_RITASE!$B$5:$B$20000,E$771,INPUT_RITASE!$C$5:$C$20000,$A782)</f>
        <v/>
      </c>
      <c r="S782">
        <f>SUMIFS(INPUT_RITASE!$S$5:$S$20000,INPUT_RITASE!$A$5:$A$20000,Kalkulasi!$B$751,INPUT_RITASE!$B$5:$B$20000,F$771,INPUT_RITASE!$C$5:$C$20000,$A782)</f>
        <v/>
      </c>
      <c r="T782">
        <f>SUMIFS(INPUT_RITASE!$S$5:$S$20000,INPUT_RITASE!$A$5:$A$20000,Kalkulasi!$B$751,INPUT_RITASE!$B$5:$B$20000,G$771,INPUT_RITASE!$C$5:$C$20000,$A782)</f>
        <v/>
      </c>
      <c r="U782">
        <f>SUMIFS(INPUT_RITASE!$S$5:$S$20000,INPUT_RITASE!$A$5:$A$20000,Kalkulasi!$B$751,INPUT_RITASE!$B$5:$B$20000,H$771,INPUT_RITASE!$C$5:$C$20000,$A782)</f>
        <v/>
      </c>
      <c r="V782">
        <f>SUMIFS(INPUT_RITASE!$S$5:$S$20000,INPUT_RITASE!$A$5:$A$20000,Kalkulasi!$B$751,INPUT_RITASE!$B$5:$B$20000,I$771,INPUT_RITASE!$C$5:$C$20000,$A782)</f>
        <v/>
      </c>
      <c r="W782">
        <f>SUMIFS(INPUT_RITASE!$S$5:$S$20000,INPUT_RITASE!$A$5:$A$20000,Kalkulasi!$B$751,INPUT_RITASE!$B$5:$B$20000,J$771,INPUT_RITASE!$C$5:$C$20000,$A782)</f>
        <v/>
      </c>
      <c r="X782">
        <f>SUMIFS(INPUT_RITASE!$S$5:$S$20000,INPUT_RITASE!$A$5:$A$20000,Kalkulasi!$B$751,INPUT_RITASE!$B$5:$B$20000,K$771,INPUT_RITASE!$C$5:$C$20000,$A782)</f>
        <v/>
      </c>
      <c r="Y782">
        <f>SUMIFS(INPUT_RITASE!$S$5:$S$20000,INPUT_RITASE!$A$5:$A$20000,Kalkulasi!$B$751,INPUT_RITASE!$B$5:$B$20000,L$771,INPUT_RITASE!$C$5:$C$20000,$A782)</f>
        <v/>
      </c>
      <c r="Z782">
        <f>SUMIFS(INPUT_RITASE!$S$5:$S$20000,INPUT_RITASE!$A$5:$A$20000,Kalkulasi!$B$751,INPUT_RITASE!$B$5:$B$20000,M$771,INPUT_RITASE!$C$5:$C$20000,$A782)</f>
        <v/>
      </c>
      <c r="AA782">
        <f>SUMIFS(INPUT_RITASE!$S$5:$S$20000,INPUT_RITASE!$A$5:$A$20000,Kalkulasi!$B$751,INPUT_RITASE!$B$5:$B$20000,N$771,INPUT_RITASE!$C$5:$C$20000,$A782)</f>
        <v/>
      </c>
      <c r="AB782">
        <f>SUMIFS(INPUT_RITASE!$S$5:$S$20000,INPUT_RITASE!$A$5:$A$20000,Kalkulasi!$B$751,INPUT_RITASE!$B$5:$B$20000,O$771,INPUT_RITASE!$C$5:$C$20000,$A782)</f>
        <v/>
      </c>
      <c r="AC782">
        <f>SUM(Q782:AB782)</f>
        <v/>
      </c>
      <c r="AD782">
        <f>SUMIFS(INPUT_RITASE!$L$5:$L$20000,INPUT_RITASE!$A$5:$A$20000,Kalkulasi!$B$751,INPUT_RITASE!$B$5:$B$20000,D$771,INPUT_RITASE!$C$5:$C$20000,$A782,INPUT_RITASE!$N$5:$N$20000,Kalkulasi!$B$753)</f>
        <v/>
      </c>
      <c r="AE782">
        <f>SUMIFS(INPUT_RITASE!$L$5:$L$20000,INPUT_RITASE!$A$5:$A$20000,Kalkulasi!$B$751,INPUT_RITASE!$B$5:$B$20000,E$771,INPUT_RITASE!$C$5:$C$20000,$A782,INPUT_RITASE!$N$5:$N$20000,Kalkulasi!$B$753)</f>
        <v/>
      </c>
      <c r="AF782">
        <f>SUMIFS(INPUT_RITASE!$L$5:$L$20000,INPUT_RITASE!$A$5:$A$20000,Kalkulasi!$B$751,INPUT_RITASE!$B$5:$B$20000,F$771,INPUT_RITASE!$C$5:$C$20000,$A782,INPUT_RITASE!$N$5:$N$20000,Kalkulasi!$B$753)</f>
        <v/>
      </c>
      <c r="AG782">
        <f>SUMIFS(INPUT_RITASE!$L$5:$L$20000,INPUT_RITASE!$A$5:$A$20000,Kalkulasi!$B$751,INPUT_RITASE!$B$5:$B$20000,G$771,INPUT_RITASE!$C$5:$C$20000,$A782,INPUT_RITASE!$N$5:$N$20000,Kalkulasi!$B$753)</f>
        <v/>
      </c>
      <c r="AH782">
        <f>SUMIFS(INPUT_RITASE!$L$5:$L$20000,INPUT_RITASE!$A$5:$A$20000,Kalkulasi!$B$751,INPUT_RITASE!$B$5:$B$20000,H$771,INPUT_RITASE!$C$5:$C$20000,$A782,INPUT_RITASE!$N$5:$N$20000,Kalkulasi!$B$753)</f>
        <v/>
      </c>
      <c r="AI782">
        <f>SUMIFS(INPUT_RITASE!$L$5:$L$20000,INPUT_RITASE!$A$5:$A$20000,Kalkulasi!$B$751,INPUT_RITASE!$B$5:$B$20000,I$771,INPUT_RITASE!$C$5:$C$20000,$A782,INPUT_RITASE!$N$5:$N$20000,Kalkulasi!$B$753)</f>
        <v/>
      </c>
      <c r="AJ782">
        <f>SUMIFS(INPUT_RITASE!$L$5:$L$20000,INPUT_RITASE!$A$5:$A$20000,Kalkulasi!$B$751,INPUT_RITASE!$B$5:$B$20000,J$771,INPUT_RITASE!$C$5:$C$20000,$A782,INPUT_RITASE!$N$5:$N$20000,Kalkulasi!$B$753)</f>
        <v/>
      </c>
      <c r="AK782">
        <f>SUMIFS(INPUT_RITASE!$L$5:$L$20000,INPUT_RITASE!$A$5:$A$20000,Kalkulasi!$B$751,INPUT_RITASE!$B$5:$B$20000,K$771,INPUT_RITASE!$C$5:$C$20000,$A782,INPUT_RITASE!$N$5:$N$20000,Kalkulasi!$B$753)</f>
        <v/>
      </c>
      <c r="AL782">
        <f>SUMIFS(INPUT_RITASE!$L$5:$L$20000,INPUT_RITASE!$A$5:$A$20000,Kalkulasi!$B$751,INPUT_RITASE!$B$5:$B$20000,L$771,INPUT_RITASE!$C$5:$C$20000,$A782,INPUT_RITASE!$N$5:$N$20000,Kalkulasi!$B$753)</f>
        <v/>
      </c>
      <c r="AM782">
        <f>SUMIFS(INPUT_RITASE!$L$5:$L$20000,INPUT_RITASE!$A$5:$A$20000,Kalkulasi!$B$751,INPUT_RITASE!$B$5:$B$20000,M$771,INPUT_RITASE!$C$5:$C$20000,$A782,INPUT_RITASE!$N$5:$N$20000,Kalkulasi!$B$753)</f>
        <v/>
      </c>
      <c r="AN782">
        <f>SUMIFS(INPUT_RITASE!$L$5:$L$20000,INPUT_RITASE!$A$5:$A$20000,Kalkulasi!$B$751,INPUT_RITASE!$B$5:$B$20000,N$771,INPUT_RITASE!$C$5:$C$20000,$A782,INPUT_RITASE!$N$5:$N$20000,Kalkulasi!$B$753)</f>
        <v/>
      </c>
      <c r="AO782">
        <f>SUMIFS(INPUT_RITASE!$L$5:$L$20000,INPUT_RITASE!$A$5:$A$20000,Kalkulasi!$B$751,INPUT_RITASE!$B$5:$B$20000,O$771,INPUT_RITASE!$C$5:$C$20000,$A782,INPUT_RITASE!$N$5:$N$20000,Kalkulasi!$B$753)</f>
        <v/>
      </c>
      <c r="AP782">
        <f>SUM(AD782:AO782)</f>
        <v/>
      </c>
      <c r="AQ782">
        <f>IF(AD782=0,0,(60-MIN(60,SUMIFS(INPUT_DELAY!$E$5:$E$20000,INPUT_DELAY!$A$5:$A$20000,Kalkulasi!$B$751,INPUT_DELAY!$B$5:$B$20000,D$771,INPUT_DELAY!$C$5:$C$20000,$A782)+SUMIFS(INPUT_DELAY!$E$5:$E$20000,INPUT_DELAY!$A$5:$A$20000,Kalkulasi!$B$751,INPUT_DELAY!$B$5:$B$20000,D$771,INPUT_DELAY!$C$5:$C$20000,"SEMUA")))/60)</f>
        <v/>
      </c>
      <c r="AR782">
        <f>IF(AE782=0,0,(60-MIN(60,SUMIFS(INPUT_DELAY!$E$5:$E$20000,INPUT_DELAY!$A$5:$A$20000,Kalkulasi!$B$751,INPUT_DELAY!$B$5:$B$20000,E$771,INPUT_DELAY!$C$5:$C$20000,$A782)+SUMIFS(INPUT_DELAY!$E$5:$E$20000,INPUT_DELAY!$A$5:$A$20000,Kalkulasi!$B$751,INPUT_DELAY!$B$5:$B$20000,E$771,INPUT_DELAY!$C$5:$C$20000,"SEMUA")))/60)</f>
        <v/>
      </c>
      <c r="AS782">
        <f>IF(AF782=0,0,(60-MIN(60,SUMIFS(INPUT_DELAY!$E$5:$E$20000,INPUT_DELAY!$A$5:$A$20000,Kalkulasi!$B$751,INPUT_DELAY!$B$5:$B$20000,F$771,INPUT_DELAY!$C$5:$C$20000,$A782)+SUMIFS(INPUT_DELAY!$E$5:$E$20000,INPUT_DELAY!$A$5:$A$20000,Kalkulasi!$B$751,INPUT_DELAY!$B$5:$B$20000,F$771,INPUT_DELAY!$C$5:$C$20000,"SEMUA")))/60)</f>
        <v/>
      </c>
      <c r="AT782">
        <f>IF(AG782=0,0,(60-MIN(60,SUMIFS(INPUT_DELAY!$E$5:$E$20000,INPUT_DELAY!$A$5:$A$20000,Kalkulasi!$B$751,INPUT_DELAY!$B$5:$B$20000,G$771,INPUT_DELAY!$C$5:$C$20000,$A782)+SUMIFS(INPUT_DELAY!$E$5:$E$20000,INPUT_DELAY!$A$5:$A$20000,Kalkulasi!$B$751,INPUT_DELAY!$B$5:$B$20000,G$771,INPUT_DELAY!$C$5:$C$20000,"SEMUA")))/60)</f>
        <v/>
      </c>
      <c r="AU782">
        <f>IF(AH782=0,0,(60-MIN(60,SUMIFS(INPUT_DELAY!$E$5:$E$20000,INPUT_DELAY!$A$5:$A$20000,Kalkulasi!$B$751,INPUT_DELAY!$B$5:$B$20000,H$771,INPUT_DELAY!$C$5:$C$20000,$A782)+SUMIFS(INPUT_DELAY!$E$5:$E$20000,INPUT_DELAY!$A$5:$A$20000,Kalkulasi!$B$751,INPUT_DELAY!$B$5:$B$20000,H$771,INPUT_DELAY!$C$5:$C$20000,"SEMUA")))/60)</f>
        <v/>
      </c>
      <c r="AV782">
        <f>IF(AI782=0,0,(60-MIN(60,SUMIFS(INPUT_DELAY!$E$5:$E$20000,INPUT_DELAY!$A$5:$A$20000,Kalkulasi!$B$751,INPUT_DELAY!$B$5:$B$20000,I$771,INPUT_DELAY!$C$5:$C$20000,$A782)+SUMIFS(INPUT_DELAY!$E$5:$E$20000,INPUT_DELAY!$A$5:$A$20000,Kalkulasi!$B$751,INPUT_DELAY!$B$5:$B$20000,I$771,INPUT_DELAY!$C$5:$C$20000,"SEMUA")))/60)</f>
        <v/>
      </c>
      <c r="AW782">
        <f>IF(AJ782=0,0,(60-MIN(60,SUMIFS(INPUT_DELAY!$E$5:$E$20000,INPUT_DELAY!$A$5:$A$20000,Kalkulasi!$B$751,INPUT_DELAY!$B$5:$B$20000,J$771,INPUT_DELAY!$C$5:$C$20000,$A782)+SUMIFS(INPUT_DELAY!$E$5:$E$20000,INPUT_DELAY!$A$5:$A$20000,Kalkulasi!$B$751,INPUT_DELAY!$B$5:$B$20000,J$771,INPUT_DELAY!$C$5:$C$20000,"SEMUA")))/60)</f>
        <v/>
      </c>
      <c r="AX782">
        <f>IF(AK782=0,0,(60-MIN(60,SUMIFS(INPUT_DELAY!$E$5:$E$20000,INPUT_DELAY!$A$5:$A$20000,Kalkulasi!$B$751,INPUT_DELAY!$B$5:$B$20000,K$771,INPUT_DELAY!$C$5:$C$20000,$A782)+SUMIFS(INPUT_DELAY!$E$5:$E$20000,INPUT_DELAY!$A$5:$A$20000,Kalkulasi!$B$751,INPUT_DELAY!$B$5:$B$20000,K$771,INPUT_DELAY!$C$5:$C$20000,"SEMUA")))/60)</f>
        <v/>
      </c>
      <c r="AY782">
        <f>IF(AL782=0,0,(60-MIN(60,SUMIFS(INPUT_DELAY!$E$5:$E$20000,INPUT_DELAY!$A$5:$A$20000,Kalkulasi!$B$751,INPUT_DELAY!$B$5:$B$20000,L$771,INPUT_DELAY!$C$5:$C$20000,$A782)+SUMIFS(INPUT_DELAY!$E$5:$E$20000,INPUT_DELAY!$A$5:$A$20000,Kalkulasi!$B$751,INPUT_DELAY!$B$5:$B$20000,L$771,INPUT_DELAY!$C$5:$C$20000,"SEMUA")))/60)</f>
        <v/>
      </c>
      <c r="AZ782">
        <f>IF(AM782=0,0,(60-MIN(60,SUMIFS(INPUT_DELAY!$E$5:$E$20000,INPUT_DELAY!$A$5:$A$20000,Kalkulasi!$B$751,INPUT_DELAY!$B$5:$B$20000,M$771,INPUT_DELAY!$C$5:$C$20000,$A782)+SUMIFS(INPUT_DELAY!$E$5:$E$20000,INPUT_DELAY!$A$5:$A$20000,Kalkulasi!$B$751,INPUT_DELAY!$B$5:$B$20000,M$771,INPUT_DELAY!$C$5:$C$20000,"SEMUA")))/60)</f>
        <v/>
      </c>
      <c r="BA782">
        <f>IF(AN782=0,0,(60-MIN(60,SUMIFS(INPUT_DELAY!$E$5:$E$20000,INPUT_DELAY!$A$5:$A$20000,Kalkulasi!$B$751,INPUT_DELAY!$B$5:$B$20000,N$771,INPUT_DELAY!$C$5:$C$20000,$A782)+SUMIFS(INPUT_DELAY!$E$5:$E$20000,INPUT_DELAY!$A$5:$A$20000,Kalkulasi!$B$751,INPUT_DELAY!$B$5:$B$20000,N$771,INPUT_DELAY!$C$5:$C$20000,"SEMUA")))/60)</f>
        <v/>
      </c>
      <c r="BB782">
        <f>IF(AO782=0,0,(60-MIN(60,SUMIFS(INPUT_DELAY!$E$5:$E$20000,INPUT_DELAY!$A$5:$A$20000,Kalkulasi!$B$751,INPUT_DELAY!$B$5:$B$20000,O$771,INPUT_DELAY!$C$5:$C$20000,$A782)+SUMIFS(INPUT_DELAY!$E$5:$E$20000,INPUT_DELAY!$A$5:$A$20000,Kalkulasi!$B$751,INPUT_DELAY!$B$5:$B$20000,O$771,INPUT_DELAY!$C$5:$C$20000,"SEMUA")))/60)</f>
        <v/>
      </c>
      <c r="BC782">
        <f>SUM(AQ782:BB782)</f>
        <v/>
      </c>
      <c r="BD782">
        <f>COUNTIF(D782:O782,"&gt;0")</f>
        <v/>
      </c>
      <c r="BE782">
        <f>IF(BD782=0,"",P782/BD782)</f>
        <v/>
      </c>
      <c r="BF782">
        <f>IF(BD782=0,"",AC782/BD782)</f>
        <v/>
      </c>
      <c r="BG782">
        <f>IF(OR(BD782=0,N(BF782)=0),"",BE782/BF782)</f>
        <v/>
      </c>
      <c r="BH782">
        <f>IF(BG782="","",ROUND(BG782-BE782,0))</f>
        <v/>
      </c>
      <c r="BI782">
        <f>SUMIFS(INPUT_RITASE!$F$5:$F$20000,INPUT_RITASE!$A$5:$A$20000,Kalkulasi!$B$751,INPUT_RITASE!$H$5:$H$20000,Kalkulasi!$B$752,INPUT_RITASE!$C$5:$C$20000,$A782)</f>
        <v/>
      </c>
      <c r="BJ782">
        <f>IF(P782=0,"",BI782/P782)</f>
        <v/>
      </c>
      <c r="BK782">
        <f>BI782+P782/1000+ROW()/1000000</f>
        <v/>
      </c>
    </row>
    <row r="783">
      <c r="A783" t="inlineStr">
        <is>
          <t>EX-222</t>
        </is>
      </c>
      <c r="B783">
        <f>IFERROR(INDEX(MASTER_JAM!$B$5:$B$94,MATCH($A783,MASTER_JAM!$A$5:$A$94,0)),"")</f>
        <v/>
      </c>
      <c r="D783">
        <f>SUMIFS(INPUT_RITASE!$R$5:$R$20000,INPUT_RITASE!$A$5:$A$20000,Kalkulasi!$B$751,INPUT_RITASE!$B$5:$B$20000,D$771,INPUT_RITASE!$C$5:$C$20000,$A783)</f>
        <v/>
      </c>
      <c r="E783">
        <f>SUMIFS(INPUT_RITASE!$R$5:$R$20000,INPUT_RITASE!$A$5:$A$20000,Kalkulasi!$B$751,INPUT_RITASE!$B$5:$B$20000,E$771,INPUT_RITASE!$C$5:$C$20000,$A783)</f>
        <v/>
      </c>
      <c r="F783">
        <f>SUMIFS(INPUT_RITASE!$R$5:$R$20000,INPUT_RITASE!$A$5:$A$20000,Kalkulasi!$B$751,INPUT_RITASE!$B$5:$B$20000,F$771,INPUT_RITASE!$C$5:$C$20000,$A783)</f>
        <v/>
      </c>
      <c r="G783">
        <f>SUMIFS(INPUT_RITASE!$R$5:$R$20000,INPUT_RITASE!$A$5:$A$20000,Kalkulasi!$B$751,INPUT_RITASE!$B$5:$B$20000,G$771,INPUT_RITASE!$C$5:$C$20000,$A783)</f>
        <v/>
      </c>
      <c r="H783">
        <f>SUMIFS(INPUT_RITASE!$R$5:$R$20000,INPUT_RITASE!$A$5:$A$20000,Kalkulasi!$B$751,INPUT_RITASE!$B$5:$B$20000,H$771,INPUT_RITASE!$C$5:$C$20000,$A783)</f>
        <v/>
      </c>
      <c r="I783">
        <f>SUMIFS(INPUT_RITASE!$R$5:$R$20000,INPUT_RITASE!$A$5:$A$20000,Kalkulasi!$B$751,INPUT_RITASE!$B$5:$B$20000,I$771,INPUT_RITASE!$C$5:$C$20000,$A783)</f>
        <v/>
      </c>
      <c r="J783">
        <f>SUMIFS(INPUT_RITASE!$R$5:$R$20000,INPUT_RITASE!$A$5:$A$20000,Kalkulasi!$B$751,INPUT_RITASE!$B$5:$B$20000,J$771,INPUT_RITASE!$C$5:$C$20000,$A783)</f>
        <v/>
      </c>
      <c r="K783">
        <f>SUMIFS(INPUT_RITASE!$R$5:$R$20000,INPUT_RITASE!$A$5:$A$20000,Kalkulasi!$B$751,INPUT_RITASE!$B$5:$B$20000,K$771,INPUT_RITASE!$C$5:$C$20000,$A783)</f>
        <v/>
      </c>
      <c r="L783">
        <f>SUMIFS(INPUT_RITASE!$R$5:$R$20000,INPUT_RITASE!$A$5:$A$20000,Kalkulasi!$B$751,INPUT_RITASE!$B$5:$B$20000,L$771,INPUT_RITASE!$C$5:$C$20000,$A783)</f>
        <v/>
      </c>
      <c r="M783">
        <f>SUMIFS(INPUT_RITASE!$R$5:$R$20000,INPUT_RITASE!$A$5:$A$20000,Kalkulasi!$B$751,INPUT_RITASE!$B$5:$B$20000,M$771,INPUT_RITASE!$C$5:$C$20000,$A783)</f>
        <v/>
      </c>
      <c r="N783">
        <f>SUMIFS(INPUT_RITASE!$R$5:$R$20000,INPUT_RITASE!$A$5:$A$20000,Kalkulasi!$B$751,INPUT_RITASE!$B$5:$B$20000,N$771,INPUT_RITASE!$C$5:$C$20000,$A783)</f>
        <v/>
      </c>
      <c r="O783">
        <f>SUMIFS(INPUT_RITASE!$R$5:$R$20000,INPUT_RITASE!$A$5:$A$20000,Kalkulasi!$B$751,INPUT_RITASE!$B$5:$B$20000,O$771,INPUT_RITASE!$C$5:$C$20000,$A783)</f>
        <v/>
      </c>
      <c r="P783">
        <f>SUM(D783:O783)</f>
        <v/>
      </c>
      <c r="Q783">
        <f>SUMIFS(INPUT_RITASE!$S$5:$S$20000,INPUT_RITASE!$A$5:$A$20000,Kalkulasi!$B$751,INPUT_RITASE!$B$5:$B$20000,D$771,INPUT_RITASE!$C$5:$C$20000,$A783)</f>
        <v/>
      </c>
      <c r="R783">
        <f>SUMIFS(INPUT_RITASE!$S$5:$S$20000,INPUT_RITASE!$A$5:$A$20000,Kalkulasi!$B$751,INPUT_RITASE!$B$5:$B$20000,E$771,INPUT_RITASE!$C$5:$C$20000,$A783)</f>
        <v/>
      </c>
      <c r="S783">
        <f>SUMIFS(INPUT_RITASE!$S$5:$S$20000,INPUT_RITASE!$A$5:$A$20000,Kalkulasi!$B$751,INPUT_RITASE!$B$5:$B$20000,F$771,INPUT_RITASE!$C$5:$C$20000,$A783)</f>
        <v/>
      </c>
      <c r="T783">
        <f>SUMIFS(INPUT_RITASE!$S$5:$S$20000,INPUT_RITASE!$A$5:$A$20000,Kalkulasi!$B$751,INPUT_RITASE!$B$5:$B$20000,G$771,INPUT_RITASE!$C$5:$C$20000,$A783)</f>
        <v/>
      </c>
      <c r="U783">
        <f>SUMIFS(INPUT_RITASE!$S$5:$S$20000,INPUT_RITASE!$A$5:$A$20000,Kalkulasi!$B$751,INPUT_RITASE!$B$5:$B$20000,H$771,INPUT_RITASE!$C$5:$C$20000,$A783)</f>
        <v/>
      </c>
      <c r="V783">
        <f>SUMIFS(INPUT_RITASE!$S$5:$S$20000,INPUT_RITASE!$A$5:$A$20000,Kalkulasi!$B$751,INPUT_RITASE!$B$5:$B$20000,I$771,INPUT_RITASE!$C$5:$C$20000,$A783)</f>
        <v/>
      </c>
      <c r="W783">
        <f>SUMIFS(INPUT_RITASE!$S$5:$S$20000,INPUT_RITASE!$A$5:$A$20000,Kalkulasi!$B$751,INPUT_RITASE!$B$5:$B$20000,J$771,INPUT_RITASE!$C$5:$C$20000,$A783)</f>
        <v/>
      </c>
      <c r="X783">
        <f>SUMIFS(INPUT_RITASE!$S$5:$S$20000,INPUT_RITASE!$A$5:$A$20000,Kalkulasi!$B$751,INPUT_RITASE!$B$5:$B$20000,K$771,INPUT_RITASE!$C$5:$C$20000,$A783)</f>
        <v/>
      </c>
      <c r="Y783">
        <f>SUMIFS(INPUT_RITASE!$S$5:$S$20000,INPUT_RITASE!$A$5:$A$20000,Kalkulasi!$B$751,INPUT_RITASE!$B$5:$B$20000,L$771,INPUT_RITASE!$C$5:$C$20000,$A783)</f>
        <v/>
      </c>
      <c r="Z783">
        <f>SUMIFS(INPUT_RITASE!$S$5:$S$20000,INPUT_RITASE!$A$5:$A$20000,Kalkulasi!$B$751,INPUT_RITASE!$B$5:$B$20000,M$771,INPUT_RITASE!$C$5:$C$20000,$A783)</f>
        <v/>
      </c>
      <c r="AA783">
        <f>SUMIFS(INPUT_RITASE!$S$5:$S$20000,INPUT_RITASE!$A$5:$A$20000,Kalkulasi!$B$751,INPUT_RITASE!$B$5:$B$20000,N$771,INPUT_RITASE!$C$5:$C$20000,$A783)</f>
        <v/>
      </c>
      <c r="AB783">
        <f>SUMIFS(INPUT_RITASE!$S$5:$S$20000,INPUT_RITASE!$A$5:$A$20000,Kalkulasi!$B$751,INPUT_RITASE!$B$5:$B$20000,O$771,INPUT_RITASE!$C$5:$C$20000,$A783)</f>
        <v/>
      </c>
      <c r="AC783">
        <f>SUM(Q783:AB783)</f>
        <v/>
      </c>
      <c r="AD783">
        <f>SUMIFS(INPUT_RITASE!$L$5:$L$20000,INPUT_RITASE!$A$5:$A$20000,Kalkulasi!$B$751,INPUT_RITASE!$B$5:$B$20000,D$771,INPUT_RITASE!$C$5:$C$20000,$A783,INPUT_RITASE!$N$5:$N$20000,Kalkulasi!$B$753)</f>
        <v/>
      </c>
      <c r="AE783">
        <f>SUMIFS(INPUT_RITASE!$L$5:$L$20000,INPUT_RITASE!$A$5:$A$20000,Kalkulasi!$B$751,INPUT_RITASE!$B$5:$B$20000,E$771,INPUT_RITASE!$C$5:$C$20000,$A783,INPUT_RITASE!$N$5:$N$20000,Kalkulasi!$B$753)</f>
        <v/>
      </c>
      <c r="AF783">
        <f>SUMIFS(INPUT_RITASE!$L$5:$L$20000,INPUT_RITASE!$A$5:$A$20000,Kalkulasi!$B$751,INPUT_RITASE!$B$5:$B$20000,F$771,INPUT_RITASE!$C$5:$C$20000,$A783,INPUT_RITASE!$N$5:$N$20000,Kalkulasi!$B$753)</f>
        <v/>
      </c>
      <c r="AG783">
        <f>SUMIFS(INPUT_RITASE!$L$5:$L$20000,INPUT_RITASE!$A$5:$A$20000,Kalkulasi!$B$751,INPUT_RITASE!$B$5:$B$20000,G$771,INPUT_RITASE!$C$5:$C$20000,$A783,INPUT_RITASE!$N$5:$N$20000,Kalkulasi!$B$753)</f>
        <v/>
      </c>
      <c r="AH783">
        <f>SUMIFS(INPUT_RITASE!$L$5:$L$20000,INPUT_RITASE!$A$5:$A$20000,Kalkulasi!$B$751,INPUT_RITASE!$B$5:$B$20000,H$771,INPUT_RITASE!$C$5:$C$20000,$A783,INPUT_RITASE!$N$5:$N$20000,Kalkulasi!$B$753)</f>
        <v/>
      </c>
      <c r="AI783">
        <f>SUMIFS(INPUT_RITASE!$L$5:$L$20000,INPUT_RITASE!$A$5:$A$20000,Kalkulasi!$B$751,INPUT_RITASE!$B$5:$B$20000,I$771,INPUT_RITASE!$C$5:$C$20000,$A783,INPUT_RITASE!$N$5:$N$20000,Kalkulasi!$B$753)</f>
        <v/>
      </c>
      <c r="AJ783">
        <f>SUMIFS(INPUT_RITASE!$L$5:$L$20000,INPUT_RITASE!$A$5:$A$20000,Kalkulasi!$B$751,INPUT_RITASE!$B$5:$B$20000,J$771,INPUT_RITASE!$C$5:$C$20000,$A783,INPUT_RITASE!$N$5:$N$20000,Kalkulasi!$B$753)</f>
        <v/>
      </c>
      <c r="AK783">
        <f>SUMIFS(INPUT_RITASE!$L$5:$L$20000,INPUT_RITASE!$A$5:$A$20000,Kalkulasi!$B$751,INPUT_RITASE!$B$5:$B$20000,K$771,INPUT_RITASE!$C$5:$C$20000,$A783,INPUT_RITASE!$N$5:$N$20000,Kalkulasi!$B$753)</f>
        <v/>
      </c>
      <c r="AL783">
        <f>SUMIFS(INPUT_RITASE!$L$5:$L$20000,INPUT_RITASE!$A$5:$A$20000,Kalkulasi!$B$751,INPUT_RITASE!$B$5:$B$20000,L$771,INPUT_RITASE!$C$5:$C$20000,$A783,INPUT_RITASE!$N$5:$N$20000,Kalkulasi!$B$753)</f>
        <v/>
      </c>
      <c r="AM783">
        <f>SUMIFS(INPUT_RITASE!$L$5:$L$20000,INPUT_RITASE!$A$5:$A$20000,Kalkulasi!$B$751,INPUT_RITASE!$B$5:$B$20000,M$771,INPUT_RITASE!$C$5:$C$20000,$A783,INPUT_RITASE!$N$5:$N$20000,Kalkulasi!$B$753)</f>
        <v/>
      </c>
      <c r="AN783">
        <f>SUMIFS(INPUT_RITASE!$L$5:$L$20000,INPUT_RITASE!$A$5:$A$20000,Kalkulasi!$B$751,INPUT_RITASE!$B$5:$B$20000,N$771,INPUT_RITASE!$C$5:$C$20000,$A783,INPUT_RITASE!$N$5:$N$20000,Kalkulasi!$B$753)</f>
        <v/>
      </c>
      <c r="AO783">
        <f>SUMIFS(INPUT_RITASE!$L$5:$L$20000,INPUT_RITASE!$A$5:$A$20000,Kalkulasi!$B$751,INPUT_RITASE!$B$5:$B$20000,O$771,INPUT_RITASE!$C$5:$C$20000,$A783,INPUT_RITASE!$N$5:$N$20000,Kalkulasi!$B$753)</f>
        <v/>
      </c>
      <c r="AP783">
        <f>SUM(AD783:AO783)</f>
        <v/>
      </c>
      <c r="AQ783">
        <f>IF(AD783=0,0,(60-MIN(60,SUMIFS(INPUT_DELAY!$E$5:$E$20000,INPUT_DELAY!$A$5:$A$20000,Kalkulasi!$B$751,INPUT_DELAY!$B$5:$B$20000,D$771,INPUT_DELAY!$C$5:$C$20000,$A783)+SUMIFS(INPUT_DELAY!$E$5:$E$20000,INPUT_DELAY!$A$5:$A$20000,Kalkulasi!$B$751,INPUT_DELAY!$B$5:$B$20000,D$771,INPUT_DELAY!$C$5:$C$20000,"SEMUA")))/60)</f>
        <v/>
      </c>
      <c r="AR783">
        <f>IF(AE783=0,0,(60-MIN(60,SUMIFS(INPUT_DELAY!$E$5:$E$20000,INPUT_DELAY!$A$5:$A$20000,Kalkulasi!$B$751,INPUT_DELAY!$B$5:$B$20000,E$771,INPUT_DELAY!$C$5:$C$20000,$A783)+SUMIFS(INPUT_DELAY!$E$5:$E$20000,INPUT_DELAY!$A$5:$A$20000,Kalkulasi!$B$751,INPUT_DELAY!$B$5:$B$20000,E$771,INPUT_DELAY!$C$5:$C$20000,"SEMUA")))/60)</f>
        <v/>
      </c>
      <c r="AS783">
        <f>IF(AF783=0,0,(60-MIN(60,SUMIFS(INPUT_DELAY!$E$5:$E$20000,INPUT_DELAY!$A$5:$A$20000,Kalkulasi!$B$751,INPUT_DELAY!$B$5:$B$20000,F$771,INPUT_DELAY!$C$5:$C$20000,$A783)+SUMIFS(INPUT_DELAY!$E$5:$E$20000,INPUT_DELAY!$A$5:$A$20000,Kalkulasi!$B$751,INPUT_DELAY!$B$5:$B$20000,F$771,INPUT_DELAY!$C$5:$C$20000,"SEMUA")))/60)</f>
        <v/>
      </c>
      <c r="AT783">
        <f>IF(AG783=0,0,(60-MIN(60,SUMIFS(INPUT_DELAY!$E$5:$E$20000,INPUT_DELAY!$A$5:$A$20000,Kalkulasi!$B$751,INPUT_DELAY!$B$5:$B$20000,G$771,INPUT_DELAY!$C$5:$C$20000,$A783)+SUMIFS(INPUT_DELAY!$E$5:$E$20000,INPUT_DELAY!$A$5:$A$20000,Kalkulasi!$B$751,INPUT_DELAY!$B$5:$B$20000,G$771,INPUT_DELAY!$C$5:$C$20000,"SEMUA")))/60)</f>
        <v/>
      </c>
      <c r="AU783">
        <f>IF(AH783=0,0,(60-MIN(60,SUMIFS(INPUT_DELAY!$E$5:$E$20000,INPUT_DELAY!$A$5:$A$20000,Kalkulasi!$B$751,INPUT_DELAY!$B$5:$B$20000,H$771,INPUT_DELAY!$C$5:$C$20000,$A783)+SUMIFS(INPUT_DELAY!$E$5:$E$20000,INPUT_DELAY!$A$5:$A$20000,Kalkulasi!$B$751,INPUT_DELAY!$B$5:$B$20000,H$771,INPUT_DELAY!$C$5:$C$20000,"SEMUA")))/60)</f>
        <v/>
      </c>
      <c r="AV783">
        <f>IF(AI783=0,0,(60-MIN(60,SUMIFS(INPUT_DELAY!$E$5:$E$20000,INPUT_DELAY!$A$5:$A$20000,Kalkulasi!$B$751,INPUT_DELAY!$B$5:$B$20000,I$771,INPUT_DELAY!$C$5:$C$20000,$A783)+SUMIFS(INPUT_DELAY!$E$5:$E$20000,INPUT_DELAY!$A$5:$A$20000,Kalkulasi!$B$751,INPUT_DELAY!$B$5:$B$20000,I$771,INPUT_DELAY!$C$5:$C$20000,"SEMUA")))/60)</f>
        <v/>
      </c>
      <c r="AW783">
        <f>IF(AJ783=0,0,(60-MIN(60,SUMIFS(INPUT_DELAY!$E$5:$E$20000,INPUT_DELAY!$A$5:$A$20000,Kalkulasi!$B$751,INPUT_DELAY!$B$5:$B$20000,J$771,INPUT_DELAY!$C$5:$C$20000,$A783)+SUMIFS(INPUT_DELAY!$E$5:$E$20000,INPUT_DELAY!$A$5:$A$20000,Kalkulasi!$B$751,INPUT_DELAY!$B$5:$B$20000,J$771,INPUT_DELAY!$C$5:$C$20000,"SEMUA")))/60)</f>
        <v/>
      </c>
      <c r="AX783">
        <f>IF(AK783=0,0,(60-MIN(60,SUMIFS(INPUT_DELAY!$E$5:$E$20000,INPUT_DELAY!$A$5:$A$20000,Kalkulasi!$B$751,INPUT_DELAY!$B$5:$B$20000,K$771,INPUT_DELAY!$C$5:$C$20000,$A783)+SUMIFS(INPUT_DELAY!$E$5:$E$20000,INPUT_DELAY!$A$5:$A$20000,Kalkulasi!$B$751,INPUT_DELAY!$B$5:$B$20000,K$771,INPUT_DELAY!$C$5:$C$20000,"SEMUA")))/60)</f>
        <v/>
      </c>
      <c r="AY783">
        <f>IF(AL783=0,0,(60-MIN(60,SUMIFS(INPUT_DELAY!$E$5:$E$20000,INPUT_DELAY!$A$5:$A$20000,Kalkulasi!$B$751,INPUT_DELAY!$B$5:$B$20000,L$771,INPUT_DELAY!$C$5:$C$20000,$A783)+SUMIFS(INPUT_DELAY!$E$5:$E$20000,INPUT_DELAY!$A$5:$A$20000,Kalkulasi!$B$751,INPUT_DELAY!$B$5:$B$20000,L$771,INPUT_DELAY!$C$5:$C$20000,"SEMUA")))/60)</f>
        <v/>
      </c>
      <c r="AZ783">
        <f>IF(AM783=0,0,(60-MIN(60,SUMIFS(INPUT_DELAY!$E$5:$E$20000,INPUT_DELAY!$A$5:$A$20000,Kalkulasi!$B$751,INPUT_DELAY!$B$5:$B$20000,M$771,INPUT_DELAY!$C$5:$C$20000,$A783)+SUMIFS(INPUT_DELAY!$E$5:$E$20000,INPUT_DELAY!$A$5:$A$20000,Kalkulasi!$B$751,INPUT_DELAY!$B$5:$B$20000,M$771,INPUT_DELAY!$C$5:$C$20000,"SEMUA")))/60)</f>
        <v/>
      </c>
      <c r="BA783">
        <f>IF(AN783=0,0,(60-MIN(60,SUMIFS(INPUT_DELAY!$E$5:$E$20000,INPUT_DELAY!$A$5:$A$20000,Kalkulasi!$B$751,INPUT_DELAY!$B$5:$B$20000,N$771,INPUT_DELAY!$C$5:$C$20000,$A783)+SUMIFS(INPUT_DELAY!$E$5:$E$20000,INPUT_DELAY!$A$5:$A$20000,Kalkulasi!$B$751,INPUT_DELAY!$B$5:$B$20000,N$771,INPUT_DELAY!$C$5:$C$20000,"SEMUA")))/60)</f>
        <v/>
      </c>
      <c r="BB783">
        <f>IF(AO783=0,0,(60-MIN(60,SUMIFS(INPUT_DELAY!$E$5:$E$20000,INPUT_DELAY!$A$5:$A$20000,Kalkulasi!$B$751,INPUT_DELAY!$B$5:$B$20000,O$771,INPUT_DELAY!$C$5:$C$20000,$A783)+SUMIFS(INPUT_DELAY!$E$5:$E$20000,INPUT_DELAY!$A$5:$A$20000,Kalkulasi!$B$751,INPUT_DELAY!$B$5:$B$20000,O$771,INPUT_DELAY!$C$5:$C$20000,"SEMUA")))/60)</f>
        <v/>
      </c>
      <c r="BC783">
        <f>SUM(AQ783:BB783)</f>
        <v/>
      </c>
      <c r="BD783">
        <f>COUNTIF(D783:O783,"&gt;0")</f>
        <v/>
      </c>
      <c r="BE783">
        <f>IF(BD783=0,"",P783/BD783)</f>
        <v/>
      </c>
      <c r="BF783">
        <f>IF(BD783=0,"",AC783/BD783)</f>
        <v/>
      </c>
      <c r="BG783">
        <f>IF(OR(BD783=0,N(BF783)=0),"",BE783/BF783)</f>
        <v/>
      </c>
      <c r="BH783">
        <f>IF(BG783="","",ROUND(BG783-BE783,0))</f>
        <v/>
      </c>
      <c r="BI783">
        <f>SUMIFS(INPUT_RITASE!$F$5:$F$20000,INPUT_RITASE!$A$5:$A$20000,Kalkulasi!$B$751,INPUT_RITASE!$H$5:$H$20000,Kalkulasi!$B$752,INPUT_RITASE!$C$5:$C$20000,$A783)</f>
        <v/>
      </c>
      <c r="BJ783">
        <f>IF(P783=0,"",BI783/P783)</f>
        <v/>
      </c>
      <c r="BK783">
        <f>BI783+P783/1000+ROW()/1000000</f>
        <v/>
      </c>
    </row>
    <row r="784">
      <c r="A784" t="inlineStr">
        <is>
          <t>EX-223</t>
        </is>
      </c>
      <c r="B784">
        <f>IFERROR(INDEX(MASTER_JAM!$B$5:$B$94,MATCH($A784,MASTER_JAM!$A$5:$A$94,0)),"")</f>
        <v/>
      </c>
      <c r="D784">
        <f>SUMIFS(INPUT_RITASE!$R$5:$R$20000,INPUT_RITASE!$A$5:$A$20000,Kalkulasi!$B$751,INPUT_RITASE!$B$5:$B$20000,D$771,INPUT_RITASE!$C$5:$C$20000,$A784)</f>
        <v/>
      </c>
      <c r="E784">
        <f>SUMIFS(INPUT_RITASE!$R$5:$R$20000,INPUT_RITASE!$A$5:$A$20000,Kalkulasi!$B$751,INPUT_RITASE!$B$5:$B$20000,E$771,INPUT_RITASE!$C$5:$C$20000,$A784)</f>
        <v/>
      </c>
      <c r="F784">
        <f>SUMIFS(INPUT_RITASE!$R$5:$R$20000,INPUT_RITASE!$A$5:$A$20000,Kalkulasi!$B$751,INPUT_RITASE!$B$5:$B$20000,F$771,INPUT_RITASE!$C$5:$C$20000,$A784)</f>
        <v/>
      </c>
      <c r="G784">
        <f>SUMIFS(INPUT_RITASE!$R$5:$R$20000,INPUT_RITASE!$A$5:$A$20000,Kalkulasi!$B$751,INPUT_RITASE!$B$5:$B$20000,G$771,INPUT_RITASE!$C$5:$C$20000,$A784)</f>
        <v/>
      </c>
      <c r="H784">
        <f>SUMIFS(INPUT_RITASE!$R$5:$R$20000,INPUT_RITASE!$A$5:$A$20000,Kalkulasi!$B$751,INPUT_RITASE!$B$5:$B$20000,H$771,INPUT_RITASE!$C$5:$C$20000,$A784)</f>
        <v/>
      </c>
      <c r="I784">
        <f>SUMIFS(INPUT_RITASE!$R$5:$R$20000,INPUT_RITASE!$A$5:$A$20000,Kalkulasi!$B$751,INPUT_RITASE!$B$5:$B$20000,I$771,INPUT_RITASE!$C$5:$C$20000,$A784)</f>
        <v/>
      </c>
      <c r="J784">
        <f>SUMIFS(INPUT_RITASE!$R$5:$R$20000,INPUT_RITASE!$A$5:$A$20000,Kalkulasi!$B$751,INPUT_RITASE!$B$5:$B$20000,J$771,INPUT_RITASE!$C$5:$C$20000,$A784)</f>
        <v/>
      </c>
      <c r="K784">
        <f>SUMIFS(INPUT_RITASE!$R$5:$R$20000,INPUT_RITASE!$A$5:$A$20000,Kalkulasi!$B$751,INPUT_RITASE!$B$5:$B$20000,K$771,INPUT_RITASE!$C$5:$C$20000,$A784)</f>
        <v/>
      </c>
      <c r="L784">
        <f>SUMIFS(INPUT_RITASE!$R$5:$R$20000,INPUT_RITASE!$A$5:$A$20000,Kalkulasi!$B$751,INPUT_RITASE!$B$5:$B$20000,L$771,INPUT_RITASE!$C$5:$C$20000,$A784)</f>
        <v/>
      </c>
      <c r="M784">
        <f>SUMIFS(INPUT_RITASE!$R$5:$R$20000,INPUT_RITASE!$A$5:$A$20000,Kalkulasi!$B$751,INPUT_RITASE!$B$5:$B$20000,M$771,INPUT_RITASE!$C$5:$C$20000,$A784)</f>
        <v/>
      </c>
      <c r="N784">
        <f>SUMIFS(INPUT_RITASE!$R$5:$R$20000,INPUT_RITASE!$A$5:$A$20000,Kalkulasi!$B$751,INPUT_RITASE!$B$5:$B$20000,N$771,INPUT_RITASE!$C$5:$C$20000,$A784)</f>
        <v/>
      </c>
      <c r="O784">
        <f>SUMIFS(INPUT_RITASE!$R$5:$R$20000,INPUT_RITASE!$A$5:$A$20000,Kalkulasi!$B$751,INPUT_RITASE!$B$5:$B$20000,O$771,INPUT_RITASE!$C$5:$C$20000,$A784)</f>
        <v/>
      </c>
      <c r="P784">
        <f>SUM(D784:O784)</f>
        <v/>
      </c>
      <c r="Q784">
        <f>SUMIFS(INPUT_RITASE!$S$5:$S$20000,INPUT_RITASE!$A$5:$A$20000,Kalkulasi!$B$751,INPUT_RITASE!$B$5:$B$20000,D$771,INPUT_RITASE!$C$5:$C$20000,$A784)</f>
        <v/>
      </c>
      <c r="R784">
        <f>SUMIFS(INPUT_RITASE!$S$5:$S$20000,INPUT_RITASE!$A$5:$A$20000,Kalkulasi!$B$751,INPUT_RITASE!$B$5:$B$20000,E$771,INPUT_RITASE!$C$5:$C$20000,$A784)</f>
        <v/>
      </c>
      <c r="S784">
        <f>SUMIFS(INPUT_RITASE!$S$5:$S$20000,INPUT_RITASE!$A$5:$A$20000,Kalkulasi!$B$751,INPUT_RITASE!$B$5:$B$20000,F$771,INPUT_RITASE!$C$5:$C$20000,$A784)</f>
        <v/>
      </c>
      <c r="T784">
        <f>SUMIFS(INPUT_RITASE!$S$5:$S$20000,INPUT_RITASE!$A$5:$A$20000,Kalkulasi!$B$751,INPUT_RITASE!$B$5:$B$20000,G$771,INPUT_RITASE!$C$5:$C$20000,$A784)</f>
        <v/>
      </c>
      <c r="U784">
        <f>SUMIFS(INPUT_RITASE!$S$5:$S$20000,INPUT_RITASE!$A$5:$A$20000,Kalkulasi!$B$751,INPUT_RITASE!$B$5:$B$20000,H$771,INPUT_RITASE!$C$5:$C$20000,$A784)</f>
        <v/>
      </c>
      <c r="V784">
        <f>SUMIFS(INPUT_RITASE!$S$5:$S$20000,INPUT_RITASE!$A$5:$A$20000,Kalkulasi!$B$751,INPUT_RITASE!$B$5:$B$20000,I$771,INPUT_RITASE!$C$5:$C$20000,$A784)</f>
        <v/>
      </c>
      <c r="W784">
        <f>SUMIFS(INPUT_RITASE!$S$5:$S$20000,INPUT_RITASE!$A$5:$A$20000,Kalkulasi!$B$751,INPUT_RITASE!$B$5:$B$20000,J$771,INPUT_RITASE!$C$5:$C$20000,$A784)</f>
        <v/>
      </c>
      <c r="X784">
        <f>SUMIFS(INPUT_RITASE!$S$5:$S$20000,INPUT_RITASE!$A$5:$A$20000,Kalkulasi!$B$751,INPUT_RITASE!$B$5:$B$20000,K$771,INPUT_RITASE!$C$5:$C$20000,$A784)</f>
        <v/>
      </c>
      <c r="Y784">
        <f>SUMIFS(INPUT_RITASE!$S$5:$S$20000,INPUT_RITASE!$A$5:$A$20000,Kalkulasi!$B$751,INPUT_RITASE!$B$5:$B$20000,L$771,INPUT_RITASE!$C$5:$C$20000,$A784)</f>
        <v/>
      </c>
      <c r="Z784">
        <f>SUMIFS(INPUT_RITASE!$S$5:$S$20000,INPUT_RITASE!$A$5:$A$20000,Kalkulasi!$B$751,INPUT_RITASE!$B$5:$B$20000,M$771,INPUT_RITASE!$C$5:$C$20000,$A784)</f>
        <v/>
      </c>
      <c r="AA784">
        <f>SUMIFS(INPUT_RITASE!$S$5:$S$20000,INPUT_RITASE!$A$5:$A$20000,Kalkulasi!$B$751,INPUT_RITASE!$B$5:$B$20000,N$771,INPUT_RITASE!$C$5:$C$20000,$A784)</f>
        <v/>
      </c>
      <c r="AB784">
        <f>SUMIFS(INPUT_RITASE!$S$5:$S$20000,INPUT_RITASE!$A$5:$A$20000,Kalkulasi!$B$751,INPUT_RITASE!$B$5:$B$20000,O$771,INPUT_RITASE!$C$5:$C$20000,$A784)</f>
        <v/>
      </c>
      <c r="AC784">
        <f>SUM(Q784:AB784)</f>
        <v/>
      </c>
      <c r="AD784">
        <f>SUMIFS(INPUT_RITASE!$L$5:$L$20000,INPUT_RITASE!$A$5:$A$20000,Kalkulasi!$B$751,INPUT_RITASE!$B$5:$B$20000,D$771,INPUT_RITASE!$C$5:$C$20000,$A784,INPUT_RITASE!$N$5:$N$20000,Kalkulasi!$B$753)</f>
        <v/>
      </c>
      <c r="AE784">
        <f>SUMIFS(INPUT_RITASE!$L$5:$L$20000,INPUT_RITASE!$A$5:$A$20000,Kalkulasi!$B$751,INPUT_RITASE!$B$5:$B$20000,E$771,INPUT_RITASE!$C$5:$C$20000,$A784,INPUT_RITASE!$N$5:$N$20000,Kalkulasi!$B$753)</f>
        <v/>
      </c>
      <c r="AF784">
        <f>SUMIFS(INPUT_RITASE!$L$5:$L$20000,INPUT_RITASE!$A$5:$A$20000,Kalkulasi!$B$751,INPUT_RITASE!$B$5:$B$20000,F$771,INPUT_RITASE!$C$5:$C$20000,$A784,INPUT_RITASE!$N$5:$N$20000,Kalkulasi!$B$753)</f>
        <v/>
      </c>
      <c r="AG784">
        <f>SUMIFS(INPUT_RITASE!$L$5:$L$20000,INPUT_RITASE!$A$5:$A$20000,Kalkulasi!$B$751,INPUT_RITASE!$B$5:$B$20000,G$771,INPUT_RITASE!$C$5:$C$20000,$A784,INPUT_RITASE!$N$5:$N$20000,Kalkulasi!$B$753)</f>
        <v/>
      </c>
      <c r="AH784">
        <f>SUMIFS(INPUT_RITASE!$L$5:$L$20000,INPUT_RITASE!$A$5:$A$20000,Kalkulasi!$B$751,INPUT_RITASE!$B$5:$B$20000,H$771,INPUT_RITASE!$C$5:$C$20000,$A784,INPUT_RITASE!$N$5:$N$20000,Kalkulasi!$B$753)</f>
        <v/>
      </c>
      <c r="AI784">
        <f>SUMIFS(INPUT_RITASE!$L$5:$L$20000,INPUT_RITASE!$A$5:$A$20000,Kalkulasi!$B$751,INPUT_RITASE!$B$5:$B$20000,I$771,INPUT_RITASE!$C$5:$C$20000,$A784,INPUT_RITASE!$N$5:$N$20000,Kalkulasi!$B$753)</f>
        <v/>
      </c>
      <c r="AJ784">
        <f>SUMIFS(INPUT_RITASE!$L$5:$L$20000,INPUT_RITASE!$A$5:$A$20000,Kalkulasi!$B$751,INPUT_RITASE!$B$5:$B$20000,J$771,INPUT_RITASE!$C$5:$C$20000,$A784,INPUT_RITASE!$N$5:$N$20000,Kalkulasi!$B$753)</f>
        <v/>
      </c>
      <c r="AK784">
        <f>SUMIFS(INPUT_RITASE!$L$5:$L$20000,INPUT_RITASE!$A$5:$A$20000,Kalkulasi!$B$751,INPUT_RITASE!$B$5:$B$20000,K$771,INPUT_RITASE!$C$5:$C$20000,$A784,INPUT_RITASE!$N$5:$N$20000,Kalkulasi!$B$753)</f>
        <v/>
      </c>
      <c r="AL784">
        <f>SUMIFS(INPUT_RITASE!$L$5:$L$20000,INPUT_RITASE!$A$5:$A$20000,Kalkulasi!$B$751,INPUT_RITASE!$B$5:$B$20000,L$771,INPUT_RITASE!$C$5:$C$20000,$A784,INPUT_RITASE!$N$5:$N$20000,Kalkulasi!$B$753)</f>
        <v/>
      </c>
      <c r="AM784">
        <f>SUMIFS(INPUT_RITASE!$L$5:$L$20000,INPUT_RITASE!$A$5:$A$20000,Kalkulasi!$B$751,INPUT_RITASE!$B$5:$B$20000,M$771,INPUT_RITASE!$C$5:$C$20000,$A784,INPUT_RITASE!$N$5:$N$20000,Kalkulasi!$B$753)</f>
        <v/>
      </c>
      <c r="AN784">
        <f>SUMIFS(INPUT_RITASE!$L$5:$L$20000,INPUT_RITASE!$A$5:$A$20000,Kalkulasi!$B$751,INPUT_RITASE!$B$5:$B$20000,N$771,INPUT_RITASE!$C$5:$C$20000,$A784,INPUT_RITASE!$N$5:$N$20000,Kalkulasi!$B$753)</f>
        <v/>
      </c>
      <c r="AO784">
        <f>SUMIFS(INPUT_RITASE!$L$5:$L$20000,INPUT_RITASE!$A$5:$A$20000,Kalkulasi!$B$751,INPUT_RITASE!$B$5:$B$20000,O$771,INPUT_RITASE!$C$5:$C$20000,$A784,INPUT_RITASE!$N$5:$N$20000,Kalkulasi!$B$753)</f>
        <v/>
      </c>
      <c r="AP784">
        <f>SUM(AD784:AO784)</f>
        <v/>
      </c>
      <c r="AQ784">
        <f>IF(AD784=0,0,(60-MIN(60,SUMIFS(INPUT_DELAY!$E$5:$E$20000,INPUT_DELAY!$A$5:$A$20000,Kalkulasi!$B$751,INPUT_DELAY!$B$5:$B$20000,D$771,INPUT_DELAY!$C$5:$C$20000,$A784)+SUMIFS(INPUT_DELAY!$E$5:$E$20000,INPUT_DELAY!$A$5:$A$20000,Kalkulasi!$B$751,INPUT_DELAY!$B$5:$B$20000,D$771,INPUT_DELAY!$C$5:$C$20000,"SEMUA")))/60)</f>
        <v/>
      </c>
      <c r="AR784">
        <f>IF(AE784=0,0,(60-MIN(60,SUMIFS(INPUT_DELAY!$E$5:$E$20000,INPUT_DELAY!$A$5:$A$20000,Kalkulasi!$B$751,INPUT_DELAY!$B$5:$B$20000,E$771,INPUT_DELAY!$C$5:$C$20000,$A784)+SUMIFS(INPUT_DELAY!$E$5:$E$20000,INPUT_DELAY!$A$5:$A$20000,Kalkulasi!$B$751,INPUT_DELAY!$B$5:$B$20000,E$771,INPUT_DELAY!$C$5:$C$20000,"SEMUA")))/60)</f>
        <v/>
      </c>
      <c r="AS784">
        <f>IF(AF784=0,0,(60-MIN(60,SUMIFS(INPUT_DELAY!$E$5:$E$20000,INPUT_DELAY!$A$5:$A$20000,Kalkulasi!$B$751,INPUT_DELAY!$B$5:$B$20000,F$771,INPUT_DELAY!$C$5:$C$20000,$A784)+SUMIFS(INPUT_DELAY!$E$5:$E$20000,INPUT_DELAY!$A$5:$A$20000,Kalkulasi!$B$751,INPUT_DELAY!$B$5:$B$20000,F$771,INPUT_DELAY!$C$5:$C$20000,"SEMUA")))/60)</f>
        <v/>
      </c>
      <c r="AT784">
        <f>IF(AG784=0,0,(60-MIN(60,SUMIFS(INPUT_DELAY!$E$5:$E$20000,INPUT_DELAY!$A$5:$A$20000,Kalkulasi!$B$751,INPUT_DELAY!$B$5:$B$20000,G$771,INPUT_DELAY!$C$5:$C$20000,$A784)+SUMIFS(INPUT_DELAY!$E$5:$E$20000,INPUT_DELAY!$A$5:$A$20000,Kalkulasi!$B$751,INPUT_DELAY!$B$5:$B$20000,G$771,INPUT_DELAY!$C$5:$C$20000,"SEMUA")))/60)</f>
        <v/>
      </c>
      <c r="AU784">
        <f>IF(AH784=0,0,(60-MIN(60,SUMIFS(INPUT_DELAY!$E$5:$E$20000,INPUT_DELAY!$A$5:$A$20000,Kalkulasi!$B$751,INPUT_DELAY!$B$5:$B$20000,H$771,INPUT_DELAY!$C$5:$C$20000,$A784)+SUMIFS(INPUT_DELAY!$E$5:$E$20000,INPUT_DELAY!$A$5:$A$20000,Kalkulasi!$B$751,INPUT_DELAY!$B$5:$B$20000,H$771,INPUT_DELAY!$C$5:$C$20000,"SEMUA")))/60)</f>
        <v/>
      </c>
      <c r="AV784">
        <f>IF(AI784=0,0,(60-MIN(60,SUMIFS(INPUT_DELAY!$E$5:$E$20000,INPUT_DELAY!$A$5:$A$20000,Kalkulasi!$B$751,INPUT_DELAY!$B$5:$B$20000,I$771,INPUT_DELAY!$C$5:$C$20000,$A784)+SUMIFS(INPUT_DELAY!$E$5:$E$20000,INPUT_DELAY!$A$5:$A$20000,Kalkulasi!$B$751,INPUT_DELAY!$B$5:$B$20000,I$771,INPUT_DELAY!$C$5:$C$20000,"SEMUA")))/60)</f>
        <v/>
      </c>
      <c r="AW784">
        <f>IF(AJ784=0,0,(60-MIN(60,SUMIFS(INPUT_DELAY!$E$5:$E$20000,INPUT_DELAY!$A$5:$A$20000,Kalkulasi!$B$751,INPUT_DELAY!$B$5:$B$20000,J$771,INPUT_DELAY!$C$5:$C$20000,$A784)+SUMIFS(INPUT_DELAY!$E$5:$E$20000,INPUT_DELAY!$A$5:$A$20000,Kalkulasi!$B$751,INPUT_DELAY!$B$5:$B$20000,J$771,INPUT_DELAY!$C$5:$C$20000,"SEMUA")))/60)</f>
        <v/>
      </c>
      <c r="AX784">
        <f>IF(AK784=0,0,(60-MIN(60,SUMIFS(INPUT_DELAY!$E$5:$E$20000,INPUT_DELAY!$A$5:$A$20000,Kalkulasi!$B$751,INPUT_DELAY!$B$5:$B$20000,K$771,INPUT_DELAY!$C$5:$C$20000,$A784)+SUMIFS(INPUT_DELAY!$E$5:$E$20000,INPUT_DELAY!$A$5:$A$20000,Kalkulasi!$B$751,INPUT_DELAY!$B$5:$B$20000,K$771,INPUT_DELAY!$C$5:$C$20000,"SEMUA")))/60)</f>
        <v/>
      </c>
      <c r="AY784">
        <f>IF(AL784=0,0,(60-MIN(60,SUMIFS(INPUT_DELAY!$E$5:$E$20000,INPUT_DELAY!$A$5:$A$20000,Kalkulasi!$B$751,INPUT_DELAY!$B$5:$B$20000,L$771,INPUT_DELAY!$C$5:$C$20000,$A784)+SUMIFS(INPUT_DELAY!$E$5:$E$20000,INPUT_DELAY!$A$5:$A$20000,Kalkulasi!$B$751,INPUT_DELAY!$B$5:$B$20000,L$771,INPUT_DELAY!$C$5:$C$20000,"SEMUA")))/60)</f>
        <v/>
      </c>
      <c r="AZ784">
        <f>IF(AM784=0,0,(60-MIN(60,SUMIFS(INPUT_DELAY!$E$5:$E$20000,INPUT_DELAY!$A$5:$A$20000,Kalkulasi!$B$751,INPUT_DELAY!$B$5:$B$20000,M$771,INPUT_DELAY!$C$5:$C$20000,$A784)+SUMIFS(INPUT_DELAY!$E$5:$E$20000,INPUT_DELAY!$A$5:$A$20000,Kalkulasi!$B$751,INPUT_DELAY!$B$5:$B$20000,M$771,INPUT_DELAY!$C$5:$C$20000,"SEMUA")))/60)</f>
        <v/>
      </c>
      <c r="BA784">
        <f>IF(AN784=0,0,(60-MIN(60,SUMIFS(INPUT_DELAY!$E$5:$E$20000,INPUT_DELAY!$A$5:$A$20000,Kalkulasi!$B$751,INPUT_DELAY!$B$5:$B$20000,N$771,INPUT_DELAY!$C$5:$C$20000,$A784)+SUMIFS(INPUT_DELAY!$E$5:$E$20000,INPUT_DELAY!$A$5:$A$20000,Kalkulasi!$B$751,INPUT_DELAY!$B$5:$B$20000,N$771,INPUT_DELAY!$C$5:$C$20000,"SEMUA")))/60)</f>
        <v/>
      </c>
      <c r="BB784">
        <f>IF(AO784=0,0,(60-MIN(60,SUMIFS(INPUT_DELAY!$E$5:$E$20000,INPUT_DELAY!$A$5:$A$20000,Kalkulasi!$B$751,INPUT_DELAY!$B$5:$B$20000,O$771,INPUT_DELAY!$C$5:$C$20000,$A784)+SUMIFS(INPUT_DELAY!$E$5:$E$20000,INPUT_DELAY!$A$5:$A$20000,Kalkulasi!$B$751,INPUT_DELAY!$B$5:$B$20000,O$771,INPUT_DELAY!$C$5:$C$20000,"SEMUA")))/60)</f>
        <v/>
      </c>
      <c r="BC784">
        <f>SUM(AQ784:BB784)</f>
        <v/>
      </c>
      <c r="BD784">
        <f>COUNTIF(D784:O784,"&gt;0")</f>
        <v/>
      </c>
      <c r="BE784">
        <f>IF(BD784=0,"",P784/BD784)</f>
        <v/>
      </c>
      <c r="BF784">
        <f>IF(BD784=0,"",AC784/BD784)</f>
        <v/>
      </c>
      <c r="BG784">
        <f>IF(OR(BD784=0,N(BF784)=0),"",BE784/BF784)</f>
        <v/>
      </c>
      <c r="BH784">
        <f>IF(BG784="","",ROUND(BG784-BE784,0))</f>
        <v/>
      </c>
      <c r="BI784">
        <f>SUMIFS(INPUT_RITASE!$F$5:$F$20000,INPUT_RITASE!$A$5:$A$20000,Kalkulasi!$B$751,INPUT_RITASE!$H$5:$H$20000,Kalkulasi!$B$752,INPUT_RITASE!$C$5:$C$20000,$A784)</f>
        <v/>
      </c>
      <c r="BJ784">
        <f>IF(P784=0,"",BI784/P784)</f>
        <v/>
      </c>
      <c r="BK784">
        <f>BI784+P784/1000+ROW()/1000000</f>
        <v/>
      </c>
    </row>
    <row r="785">
      <c r="A785" t="inlineStr">
        <is>
          <t>EX-221</t>
        </is>
      </c>
      <c r="B785">
        <f>IFERROR(INDEX(MASTER_JAM!$B$5:$B$94,MATCH($A785,MASTER_JAM!$A$5:$A$94,0)),"")</f>
        <v/>
      </c>
      <c r="D785">
        <f>SUMIFS(INPUT_RITASE!$R$5:$R$20000,INPUT_RITASE!$A$5:$A$20000,Kalkulasi!$B$751,INPUT_RITASE!$B$5:$B$20000,D$771,INPUT_RITASE!$C$5:$C$20000,$A785)</f>
        <v/>
      </c>
      <c r="E785">
        <f>SUMIFS(INPUT_RITASE!$R$5:$R$20000,INPUT_RITASE!$A$5:$A$20000,Kalkulasi!$B$751,INPUT_RITASE!$B$5:$B$20000,E$771,INPUT_RITASE!$C$5:$C$20000,$A785)</f>
        <v/>
      </c>
      <c r="F785">
        <f>SUMIFS(INPUT_RITASE!$R$5:$R$20000,INPUT_RITASE!$A$5:$A$20000,Kalkulasi!$B$751,INPUT_RITASE!$B$5:$B$20000,F$771,INPUT_RITASE!$C$5:$C$20000,$A785)</f>
        <v/>
      </c>
      <c r="G785">
        <f>SUMIFS(INPUT_RITASE!$R$5:$R$20000,INPUT_RITASE!$A$5:$A$20000,Kalkulasi!$B$751,INPUT_RITASE!$B$5:$B$20000,G$771,INPUT_RITASE!$C$5:$C$20000,$A785)</f>
        <v/>
      </c>
      <c r="H785">
        <f>SUMIFS(INPUT_RITASE!$R$5:$R$20000,INPUT_RITASE!$A$5:$A$20000,Kalkulasi!$B$751,INPUT_RITASE!$B$5:$B$20000,H$771,INPUT_RITASE!$C$5:$C$20000,$A785)</f>
        <v/>
      </c>
      <c r="I785">
        <f>SUMIFS(INPUT_RITASE!$R$5:$R$20000,INPUT_RITASE!$A$5:$A$20000,Kalkulasi!$B$751,INPUT_RITASE!$B$5:$B$20000,I$771,INPUT_RITASE!$C$5:$C$20000,$A785)</f>
        <v/>
      </c>
      <c r="J785">
        <f>SUMIFS(INPUT_RITASE!$R$5:$R$20000,INPUT_RITASE!$A$5:$A$20000,Kalkulasi!$B$751,INPUT_RITASE!$B$5:$B$20000,J$771,INPUT_RITASE!$C$5:$C$20000,$A785)</f>
        <v/>
      </c>
      <c r="K785">
        <f>SUMIFS(INPUT_RITASE!$R$5:$R$20000,INPUT_RITASE!$A$5:$A$20000,Kalkulasi!$B$751,INPUT_RITASE!$B$5:$B$20000,K$771,INPUT_RITASE!$C$5:$C$20000,$A785)</f>
        <v/>
      </c>
      <c r="L785">
        <f>SUMIFS(INPUT_RITASE!$R$5:$R$20000,INPUT_RITASE!$A$5:$A$20000,Kalkulasi!$B$751,INPUT_RITASE!$B$5:$B$20000,L$771,INPUT_RITASE!$C$5:$C$20000,$A785)</f>
        <v/>
      </c>
      <c r="M785">
        <f>SUMIFS(INPUT_RITASE!$R$5:$R$20000,INPUT_RITASE!$A$5:$A$20000,Kalkulasi!$B$751,INPUT_RITASE!$B$5:$B$20000,M$771,INPUT_RITASE!$C$5:$C$20000,$A785)</f>
        <v/>
      </c>
      <c r="N785">
        <f>SUMIFS(INPUT_RITASE!$R$5:$R$20000,INPUT_RITASE!$A$5:$A$20000,Kalkulasi!$B$751,INPUT_RITASE!$B$5:$B$20000,N$771,INPUT_RITASE!$C$5:$C$20000,$A785)</f>
        <v/>
      </c>
      <c r="O785">
        <f>SUMIFS(INPUT_RITASE!$R$5:$R$20000,INPUT_RITASE!$A$5:$A$20000,Kalkulasi!$B$751,INPUT_RITASE!$B$5:$B$20000,O$771,INPUT_RITASE!$C$5:$C$20000,$A785)</f>
        <v/>
      </c>
      <c r="P785">
        <f>SUM(D785:O785)</f>
        <v/>
      </c>
      <c r="Q785">
        <f>SUMIFS(INPUT_RITASE!$S$5:$S$20000,INPUT_RITASE!$A$5:$A$20000,Kalkulasi!$B$751,INPUT_RITASE!$B$5:$B$20000,D$771,INPUT_RITASE!$C$5:$C$20000,$A785)</f>
        <v/>
      </c>
      <c r="R785">
        <f>SUMIFS(INPUT_RITASE!$S$5:$S$20000,INPUT_RITASE!$A$5:$A$20000,Kalkulasi!$B$751,INPUT_RITASE!$B$5:$B$20000,E$771,INPUT_RITASE!$C$5:$C$20000,$A785)</f>
        <v/>
      </c>
      <c r="S785">
        <f>SUMIFS(INPUT_RITASE!$S$5:$S$20000,INPUT_RITASE!$A$5:$A$20000,Kalkulasi!$B$751,INPUT_RITASE!$B$5:$B$20000,F$771,INPUT_RITASE!$C$5:$C$20000,$A785)</f>
        <v/>
      </c>
      <c r="T785">
        <f>SUMIFS(INPUT_RITASE!$S$5:$S$20000,INPUT_RITASE!$A$5:$A$20000,Kalkulasi!$B$751,INPUT_RITASE!$B$5:$B$20000,G$771,INPUT_RITASE!$C$5:$C$20000,$A785)</f>
        <v/>
      </c>
      <c r="U785">
        <f>SUMIFS(INPUT_RITASE!$S$5:$S$20000,INPUT_RITASE!$A$5:$A$20000,Kalkulasi!$B$751,INPUT_RITASE!$B$5:$B$20000,H$771,INPUT_RITASE!$C$5:$C$20000,$A785)</f>
        <v/>
      </c>
      <c r="V785">
        <f>SUMIFS(INPUT_RITASE!$S$5:$S$20000,INPUT_RITASE!$A$5:$A$20000,Kalkulasi!$B$751,INPUT_RITASE!$B$5:$B$20000,I$771,INPUT_RITASE!$C$5:$C$20000,$A785)</f>
        <v/>
      </c>
      <c r="W785">
        <f>SUMIFS(INPUT_RITASE!$S$5:$S$20000,INPUT_RITASE!$A$5:$A$20000,Kalkulasi!$B$751,INPUT_RITASE!$B$5:$B$20000,J$771,INPUT_RITASE!$C$5:$C$20000,$A785)</f>
        <v/>
      </c>
      <c r="X785">
        <f>SUMIFS(INPUT_RITASE!$S$5:$S$20000,INPUT_RITASE!$A$5:$A$20000,Kalkulasi!$B$751,INPUT_RITASE!$B$5:$B$20000,K$771,INPUT_RITASE!$C$5:$C$20000,$A785)</f>
        <v/>
      </c>
      <c r="Y785">
        <f>SUMIFS(INPUT_RITASE!$S$5:$S$20000,INPUT_RITASE!$A$5:$A$20000,Kalkulasi!$B$751,INPUT_RITASE!$B$5:$B$20000,L$771,INPUT_RITASE!$C$5:$C$20000,$A785)</f>
        <v/>
      </c>
      <c r="Z785">
        <f>SUMIFS(INPUT_RITASE!$S$5:$S$20000,INPUT_RITASE!$A$5:$A$20000,Kalkulasi!$B$751,INPUT_RITASE!$B$5:$B$20000,M$771,INPUT_RITASE!$C$5:$C$20000,$A785)</f>
        <v/>
      </c>
      <c r="AA785">
        <f>SUMIFS(INPUT_RITASE!$S$5:$S$20000,INPUT_RITASE!$A$5:$A$20000,Kalkulasi!$B$751,INPUT_RITASE!$B$5:$B$20000,N$771,INPUT_RITASE!$C$5:$C$20000,$A785)</f>
        <v/>
      </c>
      <c r="AB785">
        <f>SUMIFS(INPUT_RITASE!$S$5:$S$20000,INPUT_RITASE!$A$5:$A$20000,Kalkulasi!$B$751,INPUT_RITASE!$B$5:$B$20000,O$771,INPUT_RITASE!$C$5:$C$20000,$A785)</f>
        <v/>
      </c>
      <c r="AC785">
        <f>SUM(Q785:AB785)</f>
        <v/>
      </c>
      <c r="AD785">
        <f>SUMIFS(INPUT_RITASE!$L$5:$L$20000,INPUT_RITASE!$A$5:$A$20000,Kalkulasi!$B$751,INPUT_RITASE!$B$5:$B$20000,D$771,INPUT_RITASE!$C$5:$C$20000,$A785,INPUT_RITASE!$N$5:$N$20000,Kalkulasi!$B$753)</f>
        <v/>
      </c>
      <c r="AE785">
        <f>SUMIFS(INPUT_RITASE!$L$5:$L$20000,INPUT_RITASE!$A$5:$A$20000,Kalkulasi!$B$751,INPUT_RITASE!$B$5:$B$20000,E$771,INPUT_RITASE!$C$5:$C$20000,$A785,INPUT_RITASE!$N$5:$N$20000,Kalkulasi!$B$753)</f>
        <v/>
      </c>
      <c r="AF785">
        <f>SUMIFS(INPUT_RITASE!$L$5:$L$20000,INPUT_RITASE!$A$5:$A$20000,Kalkulasi!$B$751,INPUT_RITASE!$B$5:$B$20000,F$771,INPUT_RITASE!$C$5:$C$20000,$A785,INPUT_RITASE!$N$5:$N$20000,Kalkulasi!$B$753)</f>
        <v/>
      </c>
      <c r="AG785">
        <f>SUMIFS(INPUT_RITASE!$L$5:$L$20000,INPUT_RITASE!$A$5:$A$20000,Kalkulasi!$B$751,INPUT_RITASE!$B$5:$B$20000,G$771,INPUT_RITASE!$C$5:$C$20000,$A785,INPUT_RITASE!$N$5:$N$20000,Kalkulasi!$B$753)</f>
        <v/>
      </c>
      <c r="AH785">
        <f>SUMIFS(INPUT_RITASE!$L$5:$L$20000,INPUT_RITASE!$A$5:$A$20000,Kalkulasi!$B$751,INPUT_RITASE!$B$5:$B$20000,H$771,INPUT_RITASE!$C$5:$C$20000,$A785,INPUT_RITASE!$N$5:$N$20000,Kalkulasi!$B$753)</f>
        <v/>
      </c>
      <c r="AI785">
        <f>SUMIFS(INPUT_RITASE!$L$5:$L$20000,INPUT_RITASE!$A$5:$A$20000,Kalkulasi!$B$751,INPUT_RITASE!$B$5:$B$20000,I$771,INPUT_RITASE!$C$5:$C$20000,$A785,INPUT_RITASE!$N$5:$N$20000,Kalkulasi!$B$753)</f>
        <v/>
      </c>
      <c r="AJ785">
        <f>SUMIFS(INPUT_RITASE!$L$5:$L$20000,INPUT_RITASE!$A$5:$A$20000,Kalkulasi!$B$751,INPUT_RITASE!$B$5:$B$20000,J$771,INPUT_RITASE!$C$5:$C$20000,$A785,INPUT_RITASE!$N$5:$N$20000,Kalkulasi!$B$753)</f>
        <v/>
      </c>
      <c r="AK785">
        <f>SUMIFS(INPUT_RITASE!$L$5:$L$20000,INPUT_RITASE!$A$5:$A$20000,Kalkulasi!$B$751,INPUT_RITASE!$B$5:$B$20000,K$771,INPUT_RITASE!$C$5:$C$20000,$A785,INPUT_RITASE!$N$5:$N$20000,Kalkulasi!$B$753)</f>
        <v/>
      </c>
      <c r="AL785">
        <f>SUMIFS(INPUT_RITASE!$L$5:$L$20000,INPUT_RITASE!$A$5:$A$20000,Kalkulasi!$B$751,INPUT_RITASE!$B$5:$B$20000,L$771,INPUT_RITASE!$C$5:$C$20000,$A785,INPUT_RITASE!$N$5:$N$20000,Kalkulasi!$B$753)</f>
        <v/>
      </c>
      <c r="AM785">
        <f>SUMIFS(INPUT_RITASE!$L$5:$L$20000,INPUT_RITASE!$A$5:$A$20000,Kalkulasi!$B$751,INPUT_RITASE!$B$5:$B$20000,M$771,INPUT_RITASE!$C$5:$C$20000,$A785,INPUT_RITASE!$N$5:$N$20000,Kalkulasi!$B$753)</f>
        <v/>
      </c>
      <c r="AN785">
        <f>SUMIFS(INPUT_RITASE!$L$5:$L$20000,INPUT_RITASE!$A$5:$A$20000,Kalkulasi!$B$751,INPUT_RITASE!$B$5:$B$20000,N$771,INPUT_RITASE!$C$5:$C$20000,$A785,INPUT_RITASE!$N$5:$N$20000,Kalkulasi!$B$753)</f>
        <v/>
      </c>
      <c r="AO785">
        <f>SUMIFS(INPUT_RITASE!$L$5:$L$20000,INPUT_RITASE!$A$5:$A$20000,Kalkulasi!$B$751,INPUT_RITASE!$B$5:$B$20000,O$771,INPUT_RITASE!$C$5:$C$20000,$A785,INPUT_RITASE!$N$5:$N$20000,Kalkulasi!$B$753)</f>
        <v/>
      </c>
      <c r="AP785">
        <f>SUM(AD785:AO785)</f>
        <v/>
      </c>
      <c r="AQ785">
        <f>IF(AD785=0,0,(60-MIN(60,SUMIFS(INPUT_DELAY!$E$5:$E$20000,INPUT_DELAY!$A$5:$A$20000,Kalkulasi!$B$751,INPUT_DELAY!$B$5:$B$20000,D$771,INPUT_DELAY!$C$5:$C$20000,$A785)+SUMIFS(INPUT_DELAY!$E$5:$E$20000,INPUT_DELAY!$A$5:$A$20000,Kalkulasi!$B$751,INPUT_DELAY!$B$5:$B$20000,D$771,INPUT_DELAY!$C$5:$C$20000,"SEMUA")))/60)</f>
        <v/>
      </c>
      <c r="AR785">
        <f>IF(AE785=0,0,(60-MIN(60,SUMIFS(INPUT_DELAY!$E$5:$E$20000,INPUT_DELAY!$A$5:$A$20000,Kalkulasi!$B$751,INPUT_DELAY!$B$5:$B$20000,E$771,INPUT_DELAY!$C$5:$C$20000,$A785)+SUMIFS(INPUT_DELAY!$E$5:$E$20000,INPUT_DELAY!$A$5:$A$20000,Kalkulasi!$B$751,INPUT_DELAY!$B$5:$B$20000,E$771,INPUT_DELAY!$C$5:$C$20000,"SEMUA")))/60)</f>
        <v/>
      </c>
      <c r="AS785">
        <f>IF(AF785=0,0,(60-MIN(60,SUMIFS(INPUT_DELAY!$E$5:$E$20000,INPUT_DELAY!$A$5:$A$20000,Kalkulasi!$B$751,INPUT_DELAY!$B$5:$B$20000,F$771,INPUT_DELAY!$C$5:$C$20000,$A785)+SUMIFS(INPUT_DELAY!$E$5:$E$20000,INPUT_DELAY!$A$5:$A$20000,Kalkulasi!$B$751,INPUT_DELAY!$B$5:$B$20000,F$771,INPUT_DELAY!$C$5:$C$20000,"SEMUA")))/60)</f>
        <v/>
      </c>
      <c r="AT785">
        <f>IF(AG785=0,0,(60-MIN(60,SUMIFS(INPUT_DELAY!$E$5:$E$20000,INPUT_DELAY!$A$5:$A$20000,Kalkulasi!$B$751,INPUT_DELAY!$B$5:$B$20000,G$771,INPUT_DELAY!$C$5:$C$20000,$A785)+SUMIFS(INPUT_DELAY!$E$5:$E$20000,INPUT_DELAY!$A$5:$A$20000,Kalkulasi!$B$751,INPUT_DELAY!$B$5:$B$20000,G$771,INPUT_DELAY!$C$5:$C$20000,"SEMUA")))/60)</f>
        <v/>
      </c>
      <c r="AU785">
        <f>IF(AH785=0,0,(60-MIN(60,SUMIFS(INPUT_DELAY!$E$5:$E$20000,INPUT_DELAY!$A$5:$A$20000,Kalkulasi!$B$751,INPUT_DELAY!$B$5:$B$20000,H$771,INPUT_DELAY!$C$5:$C$20000,$A785)+SUMIFS(INPUT_DELAY!$E$5:$E$20000,INPUT_DELAY!$A$5:$A$20000,Kalkulasi!$B$751,INPUT_DELAY!$B$5:$B$20000,H$771,INPUT_DELAY!$C$5:$C$20000,"SEMUA")))/60)</f>
        <v/>
      </c>
      <c r="AV785">
        <f>IF(AI785=0,0,(60-MIN(60,SUMIFS(INPUT_DELAY!$E$5:$E$20000,INPUT_DELAY!$A$5:$A$20000,Kalkulasi!$B$751,INPUT_DELAY!$B$5:$B$20000,I$771,INPUT_DELAY!$C$5:$C$20000,$A785)+SUMIFS(INPUT_DELAY!$E$5:$E$20000,INPUT_DELAY!$A$5:$A$20000,Kalkulasi!$B$751,INPUT_DELAY!$B$5:$B$20000,I$771,INPUT_DELAY!$C$5:$C$20000,"SEMUA")))/60)</f>
        <v/>
      </c>
      <c r="AW785">
        <f>IF(AJ785=0,0,(60-MIN(60,SUMIFS(INPUT_DELAY!$E$5:$E$20000,INPUT_DELAY!$A$5:$A$20000,Kalkulasi!$B$751,INPUT_DELAY!$B$5:$B$20000,J$771,INPUT_DELAY!$C$5:$C$20000,$A785)+SUMIFS(INPUT_DELAY!$E$5:$E$20000,INPUT_DELAY!$A$5:$A$20000,Kalkulasi!$B$751,INPUT_DELAY!$B$5:$B$20000,J$771,INPUT_DELAY!$C$5:$C$20000,"SEMUA")))/60)</f>
        <v/>
      </c>
      <c r="AX785">
        <f>IF(AK785=0,0,(60-MIN(60,SUMIFS(INPUT_DELAY!$E$5:$E$20000,INPUT_DELAY!$A$5:$A$20000,Kalkulasi!$B$751,INPUT_DELAY!$B$5:$B$20000,K$771,INPUT_DELAY!$C$5:$C$20000,$A785)+SUMIFS(INPUT_DELAY!$E$5:$E$20000,INPUT_DELAY!$A$5:$A$20000,Kalkulasi!$B$751,INPUT_DELAY!$B$5:$B$20000,K$771,INPUT_DELAY!$C$5:$C$20000,"SEMUA")))/60)</f>
        <v/>
      </c>
      <c r="AY785">
        <f>IF(AL785=0,0,(60-MIN(60,SUMIFS(INPUT_DELAY!$E$5:$E$20000,INPUT_DELAY!$A$5:$A$20000,Kalkulasi!$B$751,INPUT_DELAY!$B$5:$B$20000,L$771,INPUT_DELAY!$C$5:$C$20000,$A785)+SUMIFS(INPUT_DELAY!$E$5:$E$20000,INPUT_DELAY!$A$5:$A$20000,Kalkulasi!$B$751,INPUT_DELAY!$B$5:$B$20000,L$771,INPUT_DELAY!$C$5:$C$20000,"SEMUA")))/60)</f>
        <v/>
      </c>
      <c r="AZ785">
        <f>IF(AM785=0,0,(60-MIN(60,SUMIFS(INPUT_DELAY!$E$5:$E$20000,INPUT_DELAY!$A$5:$A$20000,Kalkulasi!$B$751,INPUT_DELAY!$B$5:$B$20000,M$771,INPUT_DELAY!$C$5:$C$20000,$A785)+SUMIFS(INPUT_DELAY!$E$5:$E$20000,INPUT_DELAY!$A$5:$A$20000,Kalkulasi!$B$751,INPUT_DELAY!$B$5:$B$20000,M$771,INPUT_DELAY!$C$5:$C$20000,"SEMUA")))/60)</f>
        <v/>
      </c>
      <c r="BA785">
        <f>IF(AN785=0,0,(60-MIN(60,SUMIFS(INPUT_DELAY!$E$5:$E$20000,INPUT_DELAY!$A$5:$A$20000,Kalkulasi!$B$751,INPUT_DELAY!$B$5:$B$20000,N$771,INPUT_DELAY!$C$5:$C$20000,$A785)+SUMIFS(INPUT_DELAY!$E$5:$E$20000,INPUT_DELAY!$A$5:$A$20000,Kalkulasi!$B$751,INPUT_DELAY!$B$5:$B$20000,N$771,INPUT_DELAY!$C$5:$C$20000,"SEMUA")))/60)</f>
        <v/>
      </c>
      <c r="BB785">
        <f>IF(AO785=0,0,(60-MIN(60,SUMIFS(INPUT_DELAY!$E$5:$E$20000,INPUT_DELAY!$A$5:$A$20000,Kalkulasi!$B$751,INPUT_DELAY!$B$5:$B$20000,O$771,INPUT_DELAY!$C$5:$C$20000,$A785)+SUMIFS(INPUT_DELAY!$E$5:$E$20000,INPUT_DELAY!$A$5:$A$20000,Kalkulasi!$B$751,INPUT_DELAY!$B$5:$B$20000,O$771,INPUT_DELAY!$C$5:$C$20000,"SEMUA")))/60)</f>
        <v/>
      </c>
      <c r="BC785">
        <f>SUM(AQ785:BB785)</f>
        <v/>
      </c>
      <c r="BD785">
        <f>COUNTIF(D785:O785,"&gt;0")</f>
        <v/>
      </c>
      <c r="BE785">
        <f>IF(BD785=0,"",P785/BD785)</f>
        <v/>
      </c>
      <c r="BF785">
        <f>IF(BD785=0,"",AC785/BD785)</f>
        <v/>
      </c>
      <c r="BG785">
        <f>IF(OR(BD785=0,N(BF785)=0),"",BE785/BF785)</f>
        <v/>
      </c>
      <c r="BH785">
        <f>IF(BG785="","",ROUND(BG785-BE785,0))</f>
        <v/>
      </c>
      <c r="BI785">
        <f>SUMIFS(INPUT_RITASE!$F$5:$F$20000,INPUT_RITASE!$A$5:$A$20000,Kalkulasi!$B$751,INPUT_RITASE!$H$5:$H$20000,Kalkulasi!$B$752,INPUT_RITASE!$C$5:$C$20000,$A785)</f>
        <v/>
      </c>
      <c r="BJ785">
        <f>IF(P785=0,"",BI785/P785)</f>
        <v/>
      </c>
      <c r="BK785">
        <f>BI785+P785/1000+ROW()/1000000</f>
        <v/>
      </c>
    </row>
    <row r="786">
      <c r="A786" t="inlineStr">
        <is>
          <t>EX-225</t>
        </is>
      </c>
      <c r="B786">
        <f>IFERROR(INDEX(MASTER_JAM!$B$5:$B$94,MATCH($A786,MASTER_JAM!$A$5:$A$94,0)),"")</f>
        <v/>
      </c>
      <c r="D786">
        <f>SUMIFS(INPUT_RITASE!$R$5:$R$20000,INPUT_RITASE!$A$5:$A$20000,Kalkulasi!$B$751,INPUT_RITASE!$B$5:$B$20000,D$771,INPUT_RITASE!$C$5:$C$20000,$A786)</f>
        <v/>
      </c>
      <c r="E786">
        <f>SUMIFS(INPUT_RITASE!$R$5:$R$20000,INPUT_RITASE!$A$5:$A$20000,Kalkulasi!$B$751,INPUT_RITASE!$B$5:$B$20000,E$771,INPUT_RITASE!$C$5:$C$20000,$A786)</f>
        <v/>
      </c>
      <c r="F786">
        <f>SUMIFS(INPUT_RITASE!$R$5:$R$20000,INPUT_RITASE!$A$5:$A$20000,Kalkulasi!$B$751,INPUT_RITASE!$B$5:$B$20000,F$771,INPUT_RITASE!$C$5:$C$20000,$A786)</f>
        <v/>
      </c>
      <c r="G786">
        <f>SUMIFS(INPUT_RITASE!$R$5:$R$20000,INPUT_RITASE!$A$5:$A$20000,Kalkulasi!$B$751,INPUT_RITASE!$B$5:$B$20000,G$771,INPUT_RITASE!$C$5:$C$20000,$A786)</f>
        <v/>
      </c>
      <c r="H786">
        <f>SUMIFS(INPUT_RITASE!$R$5:$R$20000,INPUT_RITASE!$A$5:$A$20000,Kalkulasi!$B$751,INPUT_RITASE!$B$5:$B$20000,H$771,INPUT_RITASE!$C$5:$C$20000,$A786)</f>
        <v/>
      </c>
      <c r="I786">
        <f>SUMIFS(INPUT_RITASE!$R$5:$R$20000,INPUT_RITASE!$A$5:$A$20000,Kalkulasi!$B$751,INPUT_RITASE!$B$5:$B$20000,I$771,INPUT_RITASE!$C$5:$C$20000,$A786)</f>
        <v/>
      </c>
      <c r="J786">
        <f>SUMIFS(INPUT_RITASE!$R$5:$R$20000,INPUT_RITASE!$A$5:$A$20000,Kalkulasi!$B$751,INPUT_RITASE!$B$5:$B$20000,J$771,INPUT_RITASE!$C$5:$C$20000,$A786)</f>
        <v/>
      </c>
      <c r="K786">
        <f>SUMIFS(INPUT_RITASE!$R$5:$R$20000,INPUT_RITASE!$A$5:$A$20000,Kalkulasi!$B$751,INPUT_RITASE!$B$5:$B$20000,K$771,INPUT_RITASE!$C$5:$C$20000,$A786)</f>
        <v/>
      </c>
      <c r="L786">
        <f>SUMIFS(INPUT_RITASE!$R$5:$R$20000,INPUT_RITASE!$A$5:$A$20000,Kalkulasi!$B$751,INPUT_RITASE!$B$5:$B$20000,L$771,INPUT_RITASE!$C$5:$C$20000,$A786)</f>
        <v/>
      </c>
      <c r="M786">
        <f>SUMIFS(INPUT_RITASE!$R$5:$R$20000,INPUT_RITASE!$A$5:$A$20000,Kalkulasi!$B$751,INPUT_RITASE!$B$5:$B$20000,M$771,INPUT_RITASE!$C$5:$C$20000,$A786)</f>
        <v/>
      </c>
      <c r="N786">
        <f>SUMIFS(INPUT_RITASE!$R$5:$R$20000,INPUT_RITASE!$A$5:$A$20000,Kalkulasi!$B$751,INPUT_RITASE!$B$5:$B$20000,N$771,INPUT_RITASE!$C$5:$C$20000,$A786)</f>
        <v/>
      </c>
      <c r="O786">
        <f>SUMIFS(INPUT_RITASE!$R$5:$R$20000,INPUT_RITASE!$A$5:$A$20000,Kalkulasi!$B$751,INPUT_RITASE!$B$5:$B$20000,O$771,INPUT_RITASE!$C$5:$C$20000,$A786)</f>
        <v/>
      </c>
      <c r="P786">
        <f>SUM(D786:O786)</f>
        <v/>
      </c>
      <c r="Q786">
        <f>SUMIFS(INPUT_RITASE!$S$5:$S$20000,INPUT_RITASE!$A$5:$A$20000,Kalkulasi!$B$751,INPUT_RITASE!$B$5:$B$20000,D$771,INPUT_RITASE!$C$5:$C$20000,$A786)</f>
        <v/>
      </c>
      <c r="R786">
        <f>SUMIFS(INPUT_RITASE!$S$5:$S$20000,INPUT_RITASE!$A$5:$A$20000,Kalkulasi!$B$751,INPUT_RITASE!$B$5:$B$20000,E$771,INPUT_RITASE!$C$5:$C$20000,$A786)</f>
        <v/>
      </c>
      <c r="S786">
        <f>SUMIFS(INPUT_RITASE!$S$5:$S$20000,INPUT_RITASE!$A$5:$A$20000,Kalkulasi!$B$751,INPUT_RITASE!$B$5:$B$20000,F$771,INPUT_RITASE!$C$5:$C$20000,$A786)</f>
        <v/>
      </c>
      <c r="T786">
        <f>SUMIFS(INPUT_RITASE!$S$5:$S$20000,INPUT_RITASE!$A$5:$A$20000,Kalkulasi!$B$751,INPUT_RITASE!$B$5:$B$20000,G$771,INPUT_RITASE!$C$5:$C$20000,$A786)</f>
        <v/>
      </c>
      <c r="U786">
        <f>SUMIFS(INPUT_RITASE!$S$5:$S$20000,INPUT_RITASE!$A$5:$A$20000,Kalkulasi!$B$751,INPUT_RITASE!$B$5:$B$20000,H$771,INPUT_RITASE!$C$5:$C$20000,$A786)</f>
        <v/>
      </c>
      <c r="V786">
        <f>SUMIFS(INPUT_RITASE!$S$5:$S$20000,INPUT_RITASE!$A$5:$A$20000,Kalkulasi!$B$751,INPUT_RITASE!$B$5:$B$20000,I$771,INPUT_RITASE!$C$5:$C$20000,$A786)</f>
        <v/>
      </c>
      <c r="W786">
        <f>SUMIFS(INPUT_RITASE!$S$5:$S$20000,INPUT_RITASE!$A$5:$A$20000,Kalkulasi!$B$751,INPUT_RITASE!$B$5:$B$20000,J$771,INPUT_RITASE!$C$5:$C$20000,$A786)</f>
        <v/>
      </c>
      <c r="X786">
        <f>SUMIFS(INPUT_RITASE!$S$5:$S$20000,INPUT_RITASE!$A$5:$A$20000,Kalkulasi!$B$751,INPUT_RITASE!$B$5:$B$20000,K$771,INPUT_RITASE!$C$5:$C$20000,$A786)</f>
        <v/>
      </c>
      <c r="Y786">
        <f>SUMIFS(INPUT_RITASE!$S$5:$S$20000,INPUT_RITASE!$A$5:$A$20000,Kalkulasi!$B$751,INPUT_RITASE!$B$5:$B$20000,L$771,INPUT_RITASE!$C$5:$C$20000,$A786)</f>
        <v/>
      </c>
      <c r="Z786">
        <f>SUMIFS(INPUT_RITASE!$S$5:$S$20000,INPUT_RITASE!$A$5:$A$20000,Kalkulasi!$B$751,INPUT_RITASE!$B$5:$B$20000,M$771,INPUT_RITASE!$C$5:$C$20000,$A786)</f>
        <v/>
      </c>
      <c r="AA786">
        <f>SUMIFS(INPUT_RITASE!$S$5:$S$20000,INPUT_RITASE!$A$5:$A$20000,Kalkulasi!$B$751,INPUT_RITASE!$B$5:$B$20000,N$771,INPUT_RITASE!$C$5:$C$20000,$A786)</f>
        <v/>
      </c>
      <c r="AB786">
        <f>SUMIFS(INPUT_RITASE!$S$5:$S$20000,INPUT_RITASE!$A$5:$A$20000,Kalkulasi!$B$751,INPUT_RITASE!$B$5:$B$20000,O$771,INPUT_RITASE!$C$5:$C$20000,$A786)</f>
        <v/>
      </c>
      <c r="AC786">
        <f>SUM(Q786:AB786)</f>
        <v/>
      </c>
      <c r="AD786">
        <f>SUMIFS(INPUT_RITASE!$L$5:$L$20000,INPUT_RITASE!$A$5:$A$20000,Kalkulasi!$B$751,INPUT_RITASE!$B$5:$B$20000,D$771,INPUT_RITASE!$C$5:$C$20000,$A786,INPUT_RITASE!$N$5:$N$20000,Kalkulasi!$B$753)</f>
        <v/>
      </c>
      <c r="AE786">
        <f>SUMIFS(INPUT_RITASE!$L$5:$L$20000,INPUT_RITASE!$A$5:$A$20000,Kalkulasi!$B$751,INPUT_RITASE!$B$5:$B$20000,E$771,INPUT_RITASE!$C$5:$C$20000,$A786,INPUT_RITASE!$N$5:$N$20000,Kalkulasi!$B$753)</f>
        <v/>
      </c>
      <c r="AF786">
        <f>SUMIFS(INPUT_RITASE!$L$5:$L$20000,INPUT_RITASE!$A$5:$A$20000,Kalkulasi!$B$751,INPUT_RITASE!$B$5:$B$20000,F$771,INPUT_RITASE!$C$5:$C$20000,$A786,INPUT_RITASE!$N$5:$N$20000,Kalkulasi!$B$753)</f>
        <v/>
      </c>
      <c r="AG786">
        <f>SUMIFS(INPUT_RITASE!$L$5:$L$20000,INPUT_RITASE!$A$5:$A$20000,Kalkulasi!$B$751,INPUT_RITASE!$B$5:$B$20000,G$771,INPUT_RITASE!$C$5:$C$20000,$A786,INPUT_RITASE!$N$5:$N$20000,Kalkulasi!$B$753)</f>
        <v/>
      </c>
      <c r="AH786">
        <f>SUMIFS(INPUT_RITASE!$L$5:$L$20000,INPUT_RITASE!$A$5:$A$20000,Kalkulasi!$B$751,INPUT_RITASE!$B$5:$B$20000,H$771,INPUT_RITASE!$C$5:$C$20000,$A786,INPUT_RITASE!$N$5:$N$20000,Kalkulasi!$B$753)</f>
        <v/>
      </c>
      <c r="AI786">
        <f>SUMIFS(INPUT_RITASE!$L$5:$L$20000,INPUT_RITASE!$A$5:$A$20000,Kalkulasi!$B$751,INPUT_RITASE!$B$5:$B$20000,I$771,INPUT_RITASE!$C$5:$C$20000,$A786,INPUT_RITASE!$N$5:$N$20000,Kalkulasi!$B$753)</f>
        <v/>
      </c>
      <c r="AJ786">
        <f>SUMIFS(INPUT_RITASE!$L$5:$L$20000,INPUT_RITASE!$A$5:$A$20000,Kalkulasi!$B$751,INPUT_RITASE!$B$5:$B$20000,J$771,INPUT_RITASE!$C$5:$C$20000,$A786,INPUT_RITASE!$N$5:$N$20000,Kalkulasi!$B$753)</f>
        <v/>
      </c>
      <c r="AK786">
        <f>SUMIFS(INPUT_RITASE!$L$5:$L$20000,INPUT_RITASE!$A$5:$A$20000,Kalkulasi!$B$751,INPUT_RITASE!$B$5:$B$20000,K$771,INPUT_RITASE!$C$5:$C$20000,$A786,INPUT_RITASE!$N$5:$N$20000,Kalkulasi!$B$753)</f>
        <v/>
      </c>
      <c r="AL786">
        <f>SUMIFS(INPUT_RITASE!$L$5:$L$20000,INPUT_RITASE!$A$5:$A$20000,Kalkulasi!$B$751,INPUT_RITASE!$B$5:$B$20000,L$771,INPUT_RITASE!$C$5:$C$20000,$A786,INPUT_RITASE!$N$5:$N$20000,Kalkulasi!$B$753)</f>
        <v/>
      </c>
      <c r="AM786">
        <f>SUMIFS(INPUT_RITASE!$L$5:$L$20000,INPUT_RITASE!$A$5:$A$20000,Kalkulasi!$B$751,INPUT_RITASE!$B$5:$B$20000,M$771,INPUT_RITASE!$C$5:$C$20000,$A786,INPUT_RITASE!$N$5:$N$20000,Kalkulasi!$B$753)</f>
        <v/>
      </c>
      <c r="AN786">
        <f>SUMIFS(INPUT_RITASE!$L$5:$L$20000,INPUT_RITASE!$A$5:$A$20000,Kalkulasi!$B$751,INPUT_RITASE!$B$5:$B$20000,N$771,INPUT_RITASE!$C$5:$C$20000,$A786,INPUT_RITASE!$N$5:$N$20000,Kalkulasi!$B$753)</f>
        <v/>
      </c>
      <c r="AO786">
        <f>SUMIFS(INPUT_RITASE!$L$5:$L$20000,INPUT_RITASE!$A$5:$A$20000,Kalkulasi!$B$751,INPUT_RITASE!$B$5:$B$20000,O$771,INPUT_RITASE!$C$5:$C$20000,$A786,INPUT_RITASE!$N$5:$N$20000,Kalkulasi!$B$753)</f>
        <v/>
      </c>
      <c r="AP786">
        <f>SUM(AD786:AO786)</f>
        <v/>
      </c>
      <c r="AQ786">
        <f>IF(AD786=0,0,(60-MIN(60,SUMIFS(INPUT_DELAY!$E$5:$E$20000,INPUT_DELAY!$A$5:$A$20000,Kalkulasi!$B$751,INPUT_DELAY!$B$5:$B$20000,D$771,INPUT_DELAY!$C$5:$C$20000,$A786)+SUMIFS(INPUT_DELAY!$E$5:$E$20000,INPUT_DELAY!$A$5:$A$20000,Kalkulasi!$B$751,INPUT_DELAY!$B$5:$B$20000,D$771,INPUT_DELAY!$C$5:$C$20000,"SEMUA")))/60)</f>
        <v/>
      </c>
      <c r="AR786">
        <f>IF(AE786=0,0,(60-MIN(60,SUMIFS(INPUT_DELAY!$E$5:$E$20000,INPUT_DELAY!$A$5:$A$20000,Kalkulasi!$B$751,INPUT_DELAY!$B$5:$B$20000,E$771,INPUT_DELAY!$C$5:$C$20000,$A786)+SUMIFS(INPUT_DELAY!$E$5:$E$20000,INPUT_DELAY!$A$5:$A$20000,Kalkulasi!$B$751,INPUT_DELAY!$B$5:$B$20000,E$771,INPUT_DELAY!$C$5:$C$20000,"SEMUA")))/60)</f>
        <v/>
      </c>
      <c r="AS786">
        <f>IF(AF786=0,0,(60-MIN(60,SUMIFS(INPUT_DELAY!$E$5:$E$20000,INPUT_DELAY!$A$5:$A$20000,Kalkulasi!$B$751,INPUT_DELAY!$B$5:$B$20000,F$771,INPUT_DELAY!$C$5:$C$20000,$A786)+SUMIFS(INPUT_DELAY!$E$5:$E$20000,INPUT_DELAY!$A$5:$A$20000,Kalkulasi!$B$751,INPUT_DELAY!$B$5:$B$20000,F$771,INPUT_DELAY!$C$5:$C$20000,"SEMUA")))/60)</f>
        <v/>
      </c>
      <c r="AT786">
        <f>IF(AG786=0,0,(60-MIN(60,SUMIFS(INPUT_DELAY!$E$5:$E$20000,INPUT_DELAY!$A$5:$A$20000,Kalkulasi!$B$751,INPUT_DELAY!$B$5:$B$20000,G$771,INPUT_DELAY!$C$5:$C$20000,$A786)+SUMIFS(INPUT_DELAY!$E$5:$E$20000,INPUT_DELAY!$A$5:$A$20000,Kalkulasi!$B$751,INPUT_DELAY!$B$5:$B$20000,G$771,INPUT_DELAY!$C$5:$C$20000,"SEMUA")))/60)</f>
        <v/>
      </c>
      <c r="AU786">
        <f>IF(AH786=0,0,(60-MIN(60,SUMIFS(INPUT_DELAY!$E$5:$E$20000,INPUT_DELAY!$A$5:$A$20000,Kalkulasi!$B$751,INPUT_DELAY!$B$5:$B$20000,H$771,INPUT_DELAY!$C$5:$C$20000,$A786)+SUMIFS(INPUT_DELAY!$E$5:$E$20000,INPUT_DELAY!$A$5:$A$20000,Kalkulasi!$B$751,INPUT_DELAY!$B$5:$B$20000,H$771,INPUT_DELAY!$C$5:$C$20000,"SEMUA")))/60)</f>
        <v/>
      </c>
      <c r="AV786">
        <f>IF(AI786=0,0,(60-MIN(60,SUMIFS(INPUT_DELAY!$E$5:$E$20000,INPUT_DELAY!$A$5:$A$20000,Kalkulasi!$B$751,INPUT_DELAY!$B$5:$B$20000,I$771,INPUT_DELAY!$C$5:$C$20000,$A786)+SUMIFS(INPUT_DELAY!$E$5:$E$20000,INPUT_DELAY!$A$5:$A$20000,Kalkulasi!$B$751,INPUT_DELAY!$B$5:$B$20000,I$771,INPUT_DELAY!$C$5:$C$20000,"SEMUA")))/60)</f>
        <v/>
      </c>
      <c r="AW786">
        <f>IF(AJ786=0,0,(60-MIN(60,SUMIFS(INPUT_DELAY!$E$5:$E$20000,INPUT_DELAY!$A$5:$A$20000,Kalkulasi!$B$751,INPUT_DELAY!$B$5:$B$20000,J$771,INPUT_DELAY!$C$5:$C$20000,$A786)+SUMIFS(INPUT_DELAY!$E$5:$E$20000,INPUT_DELAY!$A$5:$A$20000,Kalkulasi!$B$751,INPUT_DELAY!$B$5:$B$20000,J$771,INPUT_DELAY!$C$5:$C$20000,"SEMUA")))/60)</f>
        <v/>
      </c>
      <c r="AX786">
        <f>IF(AK786=0,0,(60-MIN(60,SUMIFS(INPUT_DELAY!$E$5:$E$20000,INPUT_DELAY!$A$5:$A$20000,Kalkulasi!$B$751,INPUT_DELAY!$B$5:$B$20000,K$771,INPUT_DELAY!$C$5:$C$20000,$A786)+SUMIFS(INPUT_DELAY!$E$5:$E$20000,INPUT_DELAY!$A$5:$A$20000,Kalkulasi!$B$751,INPUT_DELAY!$B$5:$B$20000,K$771,INPUT_DELAY!$C$5:$C$20000,"SEMUA")))/60)</f>
        <v/>
      </c>
      <c r="AY786">
        <f>IF(AL786=0,0,(60-MIN(60,SUMIFS(INPUT_DELAY!$E$5:$E$20000,INPUT_DELAY!$A$5:$A$20000,Kalkulasi!$B$751,INPUT_DELAY!$B$5:$B$20000,L$771,INPUT_DELAY!$C$5:$C$20000,$A786)+SUMIFS(INPUT_DELAY!$E$5:$E$20000,INPUT_DELAY!$A$5:$A$20000,Kalkulasi!$B$751,INPUT_DELAY!$B$5:$B$20000,L$771,INPUT_DELAY!$C$5:$C$20000,"SEMUA")))/60)</f>
        <v/>
      </c>
      <c r="AZ786">
        <f>IF(AM786=0,0,(60-MIN(60,SUMIFS(INPUT_DELAY!$E$5:$E$20000,INPUT_DELAY!$A$5:$A$20000,Kalkulasi!$B$751,INPUT_DELAY!$B$5:$B$20000,M$771,INPUT_DELAY!$C$5:$C$20000,$A786)+SUMIFS(INPUT_DELAY!$E$5:$E$20000,INPUT_DELAY!$A$5:$A$20000,Kalkulasi!$B$751,INPUT_DELAY!$B$5:$B$20000,M$771,INPUT_DELAY!$C$5:$C$20000,"SEMUA")))/60)</f>
        <v/>
      </c>
      <c r="BA786">
        <f>IF(AN786=0,0,(60-MIN(60,SUMIFS(INPUT_DELAY!$E$5:$E$20000,INPUT_DELAY!$A$5:$A$20000,Kalkulasi!$B$751,INPUT_DELAY!$B$5:$B$20000,N$771,INPUT_DELAY!$C$5:$C$20000,$A786)+SUMIFS(INPUT_DELAY!$E$5:$E$20000,INPUT_DELAY!$A$5:$A$20000,Kalkulasi!$B$751,INPUT_DELAY!$B$5:$B$20000,N$771,INPUT_DELAY!$C$5:$C$20000,"SEMUA")))/60)</f>
        <v/>
      </c>
      <c r="BB786">
        <f>IF(AO786=0,0,(60-MIN(60,SUMIFS(INPUT_DELAY!$E$5:$E$20000,INPUT_DELAY!$A$5:$A$20000,Kalkulasi!$B$751,INPUT_DELAY!$B$5:$B$20000,O$771,INPUT_DELAY!$C$5:$C$20000,$A786)+SUMIFS(INPUT_DELAY!$E$5:$E$20000,INPUT_DELAY!$A$5:$A$20000,Kalkulasi!$B$751,INPUT_DELAY!$B$5:$B$20000,O$771,INPUT_DELAY!$C$5:$C$20000,"SEMUA")))/60)</f>
        <v/>
      </c>
      <c r="BC786">
        <f>SUM(AQ786:BB786)</f>
        <v/>
      </c>
      <c r="BD786">
        <f>COUNTIF(D786:O786,"&gt;0")</f>
        <v/>
      </c>
      <c r="BE786">
        <f>IF(BD786=0,"",P786/BD786)</f>
        <v/>
      </c>
      <c r="BF786">
        <f>IF(BD786=0,"",AC786/BD786)</f>
        <v/>
      </c>
      <c r="BG786">
        <f>IF(OR(BD786=0,N(BF786)=0),"",BE786/BF786)</f>
        <v/>
      </c>
      <c r="BH786">
        <f>IF(BG786="","",ROUND(BG786-BE786,0))</f>
        <v/>
      </c>
      <c r="BI786">
        <f>SUMIFS(INPUT_RITASE!$F$5:$F$20000,INPUT_RITASE!$A$5:$A$20000,Kalkulasi!$B$751,INPUT_RITASE!$H$5:$H$20000,Kalkulasi!$B$752,INPUT_RITASE!$C$5:$C$20000,$A786)</f>
        <v/>
      </c>
      <c r="BJ786">
        <f>IF(P786=0,"",BI786/P786)</f>
        <v/>
      </c>
      <c r="BK786">
        <f>BI786+P786/1000+ROW()/1000000</f>
        <v/>
      </c>
    </row>
    <row r="787">
      <c r="A787" t="inlineStr">
        <is>
          <t>EX-331</t>
        </is>
      </c>
      <c r="B787">
        <f>IFERROR(INDEX(MASTER_JAM!$B$5:$B$94,MATCH($A787,MASTER_JAM!$A$5:$A$94,0)),"")</f>
        <v/>
      </c>
      <c r="D787">
        <f>SUMIFS(INPUT_RITASE!$R$5:$R$20000,INPUT_RITASE!$A$5:$A$20000,Kalkulasi!$B$751,INPUT_RITASE!$B$5:$B$20000,D$771,INPUT_RITASE!$C$5:$C$20000,$A787)</f>
        <v/>
      </c>
      <c r="E787">
        <f>SUMIFS(INPUT_RITASE!$R$5:$R$20000,INPUT_RITASE!$A$5:$A$20000,Kalkulasi!$B$751,INPUT_RITASE!$B$5:$B$20000,E$771,INPUT_RITASE!$C$5:$C$20000,$A787)</f>
        <v/>
      </c>
      <c r="F787">
        <f>SUMIFS(INPUT_RITASE!$R$5:$R$20000,INPUT_RITASE!$A$5:$A$20000,Kalkulasi!$B$751,INPUT_RITASE!$B$5:$B$20000,F$771,INPUT_RITASE!$C$5:$C$20000,$A787)</f>
        <v/>
      </c>
      <c r="G787">
        <f>SUMIFS(INPUT_RITASE!$R$5:$R$20000,INPUT_RITASE!$A$5:$A$20000,Kalkulasi!$B$751,INPUT_RITASE!$B$5:$B$20000,G$771,INPUT_RITASE!$C$5:$C$20000,$A787)</f>
        <v/>
      </c>
      <c r="H787">
        <f>SUMIFS(INPUT_RITASE!$R$5:$R$20000,INPUT_RITASE!$A$5:$A$20000,Kalkulasi!$B$751,INPUT_RITASE!$B$5:$B$20000,H$771,INPUT_RITASE!$C$5:$C$20000,$A787)</f>
        <v/>
      </c>
      <c r="I787">
        <f>SUMIFS(INPUT_RITASE!$R$5:$R$20000,INPUT_RITASE!$A$5:$A$20000,Kalkulasi!$B$751,INPUT_RITASE!$B$5:$B$20000,I$771,INPUT_RITASE!$C$5:$C$20000,$A787)</f>
        <v/>
      </c>
      <c r="J787">
        <f>SUMIFS(INPUT_RITASE!$R$5:$R$20000,INPUT_RITASE!$A$5:$A$20000,Kalkulasi!$B$751,INPUT_RITASE!$B$5:$B$20000,J$771,INPUT_RITASE!$C$5:$C$20000,$A787)</f>
        <v/>
      </c>
      <c r="K787">
        <f>SUMIFS(INPUT_RITASE!$R$5:$R$20000,INPUT_RITASE!$A$5:$A$20000,Kalkulasi!$B$751,INPUT_RITASE!$B$5:$B$20000,K$771,INPUT_RITASE!$C$5:$C$20000,$A787)</f>
        <v/>
      </c>
      <c r="L787">
        <f>SUMIFS(INPUT_RITASE!$R$5:$R$20000,INPUT_RITASE!$A$5:$A$20000,Kalkulasi!$B$751,INPUT_RITASE!$B$5:$B$20000,L$771,INPUT_RITASE!$C$5:$C$20000,$A787)</f>
        <v/>
      </c>
      <c r="M787">
        <f>SUMIFS(INPUT_RITASE!$R$5:$R$20000,INPUT_RITASE!$A$5:$A$20000,Kalkulasi!$B$751,INPUT_RITASE!$B$5:$B$20000,M$771,INPUT_RITASE!$C$5:$C$20000,$A787)</f>
        <v/>
      </c>
      <c r="N787">
        <f>SUMIFS(INPUT_RITASE!$R$5:$R$20000,INPUT_RITASE!$A$5:$A$20000,Kalkulasi!$B$751,INPUT_RITASE!$B$5:$B$20000,N$771,INPUT_RITASE!$C$5:$C$20000,$A787)</f>
        <v/>
      </c>
      <c r="O787">
        <f>SUMIFS(INPUT_RITASE!$R$5:$R$20000,INPUT_RITASE!$A$5:$A$20000,Kalkulasi!$B$751,INPUT_RITASE!$B$5:$B$20000,O$771,INPUT_RITASE!$C$5:$C$20000,$A787)</f>
        <v/>
      </c>
      <c r="P787">
        <f>SUM(D787:O787)</f>
        <v/>
      </c>
      <c r="Q787">
        <f>SUMIFS(INPUT_RITASE!$S$5:$S$20000,INPUT_RITASE!$A$5:$A$20000,Kalkulasi!$B$751,INPUT_RITASE!$B$5:$B$20000,D$771,INPUT_RITASE!$C$5:$C$20000,$A787)</f>
        <v/>
      </c>
      <c r="R787">
        <f>SUMIFS(INPUT_RITASE!$S$5:$S$20000,INPUT_RITASE!$A$5:$A$20000,Kalkulasi!$B$751,INPUT_RITASE!$B$5:$B$20000,E$771,INPUT_RITASE!$C$5:$C$20000,$A787)</f>
        <v/>
      </c>
      <c r="S787">
        <f>SUMIFS(INPUT_RITASE!$S$5:$S$20000,INPUT_RITASE!$A$5:$A$20000,Kalkulasi!$B$751,INPUT_RITASE!$B$5:$B$20000,F$771,INPUT_RITASE!$C$5:$C$20000,$A787)</f>
        <v/>
      </c>
      <c r="T787">
        <f>SUMIFS(INPUT_RITASE!$S$5:$S$20000,INPUT_RITASE!$A$5:$A$20000,Kalkulasi!$B$751,INPUT_RITASE!$B$5:$B$20000,G$771,INPUT_RITASE!$C$5:$C$20000,$A787)</f>
        <v/>
      </c>
      <c r="U787">
        <f>SUMIFS(INPUT_RITASE!$S$5:$S$20000,INPUT_RITASE!$A$5:$A$20000,Kalkulasi!$B$751,INPUT_RITASE!$B$5:$B$20000,H$771,INPUT_RITASE!$C$5:$C$20000,$A787)</f>
        <v/>
      </c>
      <c r="V787">
        <f>SUMIFS(INPUT_RITASE!$S$5:$S$20000,INPUT_RITASE!$A$5:$A$20000,Kalkulasi!$B$751,INPUT_RITASE!$B$5:$B$20000,I$771,INPUT_RITASE!$C$5:$C$20000,$A787)</f>
        <v/>
      </c>
      <c r="W787">
        <f>SUMIFS(INPUT_RITASE!$S$5:$S$20000,INPUT_RITASE!$A$5:$A$20000,Kalkulasi!$B$751,INPUT_RITASE!$B$5:$B$20000,J$771,INPUT_RITASE!$C$5:$C$20000,$A787)</f>
        <v/>
      </c>
      <c r="X787">
        <f>SUMIFS(INPUT_RITASE!$S$5:$S$20000,INPUT_RITASE!$A$5:$A$20000,Kalkulasi!$B$751,INPUT_RITASE!$B$5:$B$20000,K$771,INPUT_RITASE!$C$5:$C$20000,$A787)</f>
        <v/>
      </c>
      <c r="Y787">
        <f>SUMIFS(INPUT_RITASE!$S$5:$S$20000,INPUT_RITASE!$A$5:$A$20000,Kalkulasi!$B$751,INPUT_RITASE!$B$5:$B$20000,L$771,INPUT_RITASE!$C$5:$C$20000,$A787)</f>
        <v/>
      </c>
      <c r="Z787">
        <f>SUMIFS(INPUT_RITASE!$S$5:$S$20000,INPUT_RITASE!$A$5:$A$20000,Kalkulasi!$B$751,INPUT_RITASE!$B$5:$B$20000,M$771,INPUT_RITASE!$C$5:$C$20000,$A787)</f>
        <v/>
      </c>
      <c r="AA787">
        <f>SUMIFS(INPUT_RITASE!$S$5:$S$20000,INPUT_RITASE!$A$5:$A$20000,Kalkulasi!$B$751,INPUT_RITASE!$B$5:$B$20000,N$771,INPUT_RITASE!$C$5:$C$20000,$A787)</f>
        <v/>
      </c>
      <c r="AB787">
        <f>SUMIFS(INPUT_RITASE!$S$5:$S$20000,INPUT_RITASE!$A$5:$A$20000,Kalkulasi!$B$751,INPUT_RITASE!$B$5:$B$20000,O$771,INPUT_RITASE!$C$5:$C$20000,$A787)</f>
        <v/>
      </c>
      <c r="AC787">
        <f>SUM(Q787:AB787)</f>
        <v/>
      </c>
      <c r="AD787">
        <f>SUMIFS(INPUT_RITASE!$L$5:$L$20000,INPUT_RITASE!$A$5:$A$20000,Kalkulasi!$B$751,INPUT_RITASE!$B$5:$B$20000,D$771,INPUT_RITASE!$C$5:$C$20000,$A787,INPUT_RITASE!$N$5:$N$20000,Kalkulasi!$B$753)</f>
        <v/>
      </c>
      <c r="AE787">
        <f>SUMIFS(INPUT_RITASE!$L$5:$L$20000,INPUT_RITASE!$A$5:$A$20000,Kalkulasi!$B$751,INPUT_RITASE!$B$5:$B$20000,E$771,INPUT_RITASE!$C$5:$C$20000,$A787,INPUT_RITASE!$N$5:$N$20000,Kalkulasi!$B$753)</f>
        <v/>
      </c>
      <c r="AF787">
        <f>SUMIFS(INPUT_RITASE!$L$5:$L$20000,INPUT_RITASE!$A$5:$A$20000,Kalkulasi!$B$751,INPUT_RITASE!$B$5:$B$20000,F$771,INPUT_RITASE!$C$5:$C$20000,$A787,INPUT_RITASE!$N$5:$N$20000,Kalkulasi!$B$753)</f>
        <v/>
      </c>
      <c r="AG787">
        <f>SUMIFS(INPUT_RITASE!$L$5:$L$20000,INPUT_RITASE!$A$5:$A$20000,Kalkulasi!$B$751,INPUT_RITASE!$B$5:$B$20000,G$771,INPUT_RITASE!$C$5:$C$20000,$A787,INPUT_RITASE!$N$5:$N$20000,Kalkulasi!$B$753)</f>
        <v/>
      </c>
      <c r="AH787">
        <f>SUMIFS(INPUT_RITASE!$L$5:$L$20000,INPUT_RITASE!$A$5:$A$20000,Kalkulasi!$B$751,INPUT_RITASE!$B$5:$B$20000,H$771,INPUT_RITASE!$C$5:$C$20000,$A787,INPUT_RITASE!$N$5:$N$20000,Kalkulasi!$B$753)</f>
        <v/>
      </c>
      <c r="AI787">
        <f>SUMIFS(INPUT_RITASE!$L$5:$L$20000,INPUT_RITASE!$A$5:$A$20000,Kalkulasi!$B$751,INPUT_RITASE!$B$5:$B$20000,I$771,INPUT_RITASE!$C$5:$C$20000,$A787,INPUT_RITASE!$N$5:$N$20000,Kalkulasi!$B$753)</f>
        <v/>
      </c>
      <c r="AJ787">
        <f>SUMIFS(INPUT_RITASE!$L$5:$L$20000,INPUT_RITASE!$A$5:$A$20000,Kalkulasi!$B$751,INPUT_RITASE!$B$5:$B$20000,J$771,INPUT_RITASE!$C$5:$C$20000,$A787,INPUT_RITASE!$N$5:$N$20000,Kalkulasi!$B$753)</f>
        <v/>
      </c>
      <c r="AK787">
        <f>SUMIFS(INPUT_RITASE!$L$5:$L$20000,INPUT_RITASE!$A$5:$A$20000,Kalkulasi!$B$751,INPUT_RITASE!$B$5:$B$20000,K$771,INPUT_RITASE!$C$5:$C$20000,$A787,INPUT_RITASE!$N$5:$N$20000,Kalkulasi!$B$753)</f>
        <v/>
      </c>
      <c r="AL787">
        <f>SUMIFS(INPUT_RITASE!$L$5:$L$20000,INPUT_RITASE!$A$5:$A$20000,Kalkulasi!$B$751,INPUT_RITASE!$B$5:$B$20000,L$771,INPUT_RITASE!$C$5:$C$20000,$A787,INPUT_RITASE!$N$5:$N$20000,Kalkulasi!$B$753)</f>
        <v/>
      </c>
      <c r="AM787">
        <f>SUMIFS(INPUT_RITASE!$L$5:$L$20000,INPUT_RITASE!$A$5:$A$20000,Kalkulasi!$B$751,INPUT_RITASE!$B$5:$B$20000,M$771,INPUT_RITASE!$C$5:$C$20000,$A787,INPUT_RITASE!$N$5:$N$20000,Kalkulasi!$B$753)</f>
        <v/>
      </c>
      <c r="AN787">
        <f>SUMIFS(INPUT_RITASE!$L$5:$L$20000,INPUT_RITASE!$A$5:$A$20000,Kalkulasi!$B$751,INPUT_RITASE!$B$5:$B$20000,N$771,INPUT_RITASE!$C$5:$C$20000,$A787,INPUT_RITASE!$N$5:$N$20000,Kalkulasi!$B$753)</f>
        <v/>
      </c>
      <c r="AO787">
        <f>SUMIFS(INPUT_RITASE!$L$5:$L$20000,INPUT_RITASE!$A$5:$A$20000,Kalkulasi!$B$751,INPUT_RITASE!$B$5:$B$20000,O$771,INPUT_RITASE!$C$5:$C$20000,$A787,INPUT_RITASE!$N$5:$N$20000,Kalkulasi!$B$753)</f>
        <v/>
      </c>
      <c r="AP787">
        <f>SUM(AD787:AO787)</f>
        <v/>
      </c>
      <c r="AQ787">
        <f>IF(AD787=0,0,(60-MIN(60,SUMIFS(INPUT_DELAY!$E$5:$E$20000,INPUT_DELAY!$A$5:$A$20000,Kalkulasi!$B$751,INPUT_DELAY!$B$5:$B$20000,D$771,INPUT_DELAY!$C$5:$C$20000,$A787)+SUMIFS(INPUT_DELAY!$E$5:$E$20000,INPUT_DELAY!$A$5:$A$20000,Kalkulasi!$B$751,INPUT_DELAY!$B$5:$B$20000,D$771,INPUT_DELAY!$C$5:$C$20000,"SEMUA")))/60)</f>
        <v/>
      </c>
      <c r="AR787">
        <f>IF(AE787=0,0,(60-MIN(60,SUMIFS(INPUT_DELAY!$E$5:$E$20000,INPUT_DELAY!$A$5:$A$20000,Kalkulasi!$B$751,INPUT_DELAY!$B$5:$B$20000,E$771,INPUT_DELAY!$C$5:$C$20000,$A787)+SUMIFS(INPUT_DELAY!$E$5:$E$20000,INPUT_DELAY!$A$5:$A$20000,Kalkulasi!$B$751,INPUT_DELAY!$B$5:$B$20000,E$771,INPUT_DELAY!$C$5:$C$20000,"SEMUA")))/60)</f>
        <v/>
      </c>
      <c r="AS787">
        <f>IF(AF787=0,0,(60-MIN(60,SUMIFS(INPUT_DELAY!$E$5:$E$20000,INPUT_DELAY!$A$5:$A$20000,Kalkulasi!$B$751,INPUT_DELAY!$B$5:$B$20000,F$771,INPUT_DELAY!$C$5:$C$20000,$A787)+SUMIFS(INPUT_DELAY!$E$5:$E$20000,INPUT_DELAY!$A$5:$A$20000,Kalkulasi!$B$751,INPUT_DELAY!$B$5:$B$20000,F$771,INPUT_DELAY!$C$5:$C$20000,"SEMUA")))/60)</f>
        <v/>
      </c>
      <c r="AT787">
        <f>IF(AG787=0,0,(60-MIN(60,SUMIFS(INPUT_DELAY!$E$5:$E$20000,INPUT_DELAY!$A$5:$A$20000,Kalkulasi!$B$751,INPUT_DELAY!$B$5:$B$20000,G$771,INPUT_DELAY!$C$5:$C$20000,$A787)+SUMIFS(INPUT_DELAY!$E$5:$E$20000,INPUT_DELAY!$A$5:$A$20000,Kalkulasi!$B$751,INPUT_DELAY!$B$5:$B$20000,G$771,INPUT_DELAY!$C$5:$C$20000,"SEMUA")))/60)</f>
        <v/>
      </c>
      <c r="AU787">
        <f>IF(AH787=0,0,(60-MIN(60,SUMIFS(INPUT_DELAY!$E$5:$E$20000,INPUT_DELAY!$A$5:$A$20000,Kalkulasi!$B$751,INPUT_DELAY!$B$5:$B$20000,H$771,INPUT_DELAY!$C$5:$C$20000,$A787)+SUMIFS(INPUT_DELAY!$E$5:$E$20000,INPUT_DELAY!$A$5:$A$20000,Kalkulasi!$B$751,INPUT_DELAY!$B$5:$B$20000,H$771,INPUT_DELAY!$C$5:$C$20000,"SEMUA")))/60)</f>
        <v/>
      </c>
      <c r="AV787">
        <f>IF(AI787=0,0,(60-MIN(60,SUMIFS(INPUT_DELAY!$E$5:$E$20000,INPUT_DELAY!$A$5:$A$20000,Kalkulasi!$B$751,INPUT_DELAY!$B$5:$B$20000,I$771,INPUT_DELAY!$C$5:$C$20000,$A787)+SUMIFS(INPUT_DELAY!$E$5:$E$20000,INPUT_DELAY!$A$5:$A$20000,Kalkulasi!$B$751,INPUT_DELAY!$B$5:$B$20000,I$771,INPUT_DELAY!$C$5:$C$20000,"SEMUA")))/60)</f>
        <v/>
      </c>
      <c r="AW787">
        <f>IF(AJ787=0,0,(60-MIN(60,SUMIFS(INPUT_DELAY!$E$5:$E$20000,INPUT_DELAY!$A$5:$A$20000,Kalkulasi!$B$751,INPUT_DELAY!$B$5:$B$20000,J$771,INPUT_DELAY!$C$5:$C$20000,$A787)+SUMIFS(INPUT_DELAY!$E$5:$E$20000,INPUT_DELAY!$A$5:$A$20000,Kalkulasi!$B$751,INPUT_DELAY!$B$5:$B$20000,J$771,INPUT_DELAY!$C$5:$C$20000,"SEMUA")))/60)</f>
        <v/>
      </c>
      <c r="AX787">
        <f>IF(AK787=0,0,(60-MIN(60,SUMIFS(INPUT_DELAY!$E$5:$E$20000,INPUT_DELAY!$A$5:$A$20000,Kalkulasi!$B$751,INPUT_DELAY!$B$5:$B$20000,K$771,INPUT_DELAY!$C$5:$C$20000,$A787)+SUMIFS(INPUT_DELAY!$E$5:$E$20000,INPUT_DELAY!$A$5:$A$20000,Kalkulasi!$B$751,INPUT_DELAY!$B$5:$B$20000,K$771,INPUT_DELAY!$C$5:$C$20000,"SEMUA")))/60)</f>
        <v/>
      </c>
      <c r="AY787">
        <f>IF(AL787=0,0,(60-MIN(60,SUMIFS(INPUT_DELAY!$E$5:$E$20000,INPUT_DELAY!$A$5:$A$20000,Kalkulasi!$B$751,INPUT_DELAY!$B$5:$B$20000,L$771,INPUT_DELAY!$C$5:$C$20000,$A787)+SUMIFS(INPUT_DELAY!$E$5:$E$20000,INPUT_DELAY!$A$5:$A$20000,Kalkulasi!$B$751,INPUT_DELAY!$B$5:$B$20000,L$771,INPUT_DELAY!$C$5:$C$20000,"SEMUA")))/60)</f>
        <v/>
      </c>
      <c r="AZ787">
        <f>IF(AM787=0,0,(60-MIN(60,SUMIFS(INPUT_DELAY!$E$5:$E$20000,INPUT_DELAY!$A$5:$A$20000,Kalkulasi!$B$751,INPUT_DELAY!$B$5:$B$20000,M$771,INPUT_DELAY!$C$5:$C$20000,$A787)+SUMIFS(INPUT_DELAY!$E$5:$E$20000,INPUT_DELAY!$A$5:$A$20000,Kalkulasi!$B$751,INPUT_DELAY!$B$5:$B$20000,M$771,INPUT_DELAY!$C$5:$C$20000,"SEMUA")))/60)</f>
        <v/>
      </c>
      <c r="BA787">
        <f>IF(AN787=0,0,(60-MIN(60,SUMIFS(INPUT_DELAY!$E$5:$E$20000,INPUT_DELAY!$A$5:$A$20000,Kalkulasi!$B$751,INPUT_DELAY!$B$5:$B$20000,N$771,INPUT_DELAY!$C$5:$C$20000,$A787)+SUMIFS(INPUT_DELAY!$E$5:$E$20000,INPUT_DELAY!$A$5:$A$20000,Kalkulasi!$B$751,INPUT_DELAY!$B$5:$B$20000,N$771,INPUT_DELAY!$C$5:$C$20000,"SEMUA")))/60)</f>
        <v/>
      </c>
      <c r="BB787">
        <f>IF(AO787=0,0,(60-MIN(60,SUMIFS(INPUT_DELAY!$E$5:$E$20000,INPUT_DELAY!$A$5:$A$20000,Kalkulasi!$B$751,INPUT_DELAY!$B$5:$B$20000,O$771,INPUT_DELAY!$C$5:$C$20000,$A787)+SUMIFS(INPUT_DELAY!$E$5:$E$20000,INPUT_DELAY!$A$5:$A$20000,Kalkulasi!$B$751,INPUT_DELAY!$B$5:$B$20000,O$771,INPUT_DELAY!$C$5:$C$20000,"SEMUA")))/60)</f>
        <v/>
      </c>
      <c r="BC787">
        <f>SUM(AQ787:BB787)</f>
        <v/>
      </c>
      <c r="BD787">
        <f>COUNTIF(D787:O787,"&gt;0")</f>
        <v/>
      </c>
      <c r="BE787">
        <f>IF(BD787=0,"",P787/BD787)</f>
        <v/>
      </c>
      <c r="BF787">
        <f>IF(BD787=0,"",AC787/BD787)</f>
        <v/>
      </c>
      <c r="BG787">
        <f>IF(OR(BD787=0,N(BF787)=0),"",BE787/BF787)</f>
        <v/>
      </c>
      <c r="BH787">
        <f>IF(BG787="","",ROUND(BG787-BE787,0))</f>
        <v/>
      </c>
      <c r="BI787">
        <f>SUMIFS(INPUT_RITASE!$F$5:$F$20000,INPUT_RITASE!$A$5:$A$20000,Kalkulasi!$B$751,INPUT_RITASE!$H$5:$H$20000,Kalkulasi!$B$752,INPUT_RITASE!$C$5:$C$20000,$A787)</f>
        <v/>
      </c>
      <c r="BJ787">
        <f>IF(P787=0,"",BI787/P787)</f>
        <v/>
      </c>
      <c r="BK787">
        <f>BI787+P787/1000+ROW()/1000000</f>
        <v/>
      </c>
    </row>
    <row r="788">
      <c r="A788" t="inlineStr">
        <is>
          <t>EX-751</t>
        </is>
      </c>
      <c r="B788">
        <f>IFERROR(INDEX(MASTER_JAM!$B$5:$B$94,MATCH($A788,MASTER_JAM!$A$5:$A$94,0)),"")</f>
        <v/>
      </c>
      <c r="D788">
        <f>SUMIFS(INPUT_RITASE!$R$5:$R$20000,INPUT_RITASE!$A$5:$A$20000,Kalkulasi!$B$751,INPUT_RITASE!$B$5:$B$20000,D$771,INPUT_RITASE!$C$5:$C$20000,$A788)</f>
        <v/>
      </c>
      <c r="E788">
        <f>SUMIFS(INPUT_RITASE!$R$5:$R$20000,INPUT_RITASE!$A$5:$A$20000,Kalkulasi!$B$751,INPUT_RITASE!$B$5:$B$20000,E$771,INPUT_RITASE!$C$5:$C$20000,$A788)</f>
        <v/>
      </c>
      <c r="F788">
        <f>SUMIFS(INPUT_RITASE!$R$5:$R$20000,INPUT_RITASE!$A$5:$A$20000,Kalkulasi!$B$751,INPUT_RITASE!$B$5:$B$20000,F$771,INPUT_RITASE!$C$5:$C$20000,$A788)</f>
        <v/>
      </c>
      <c r="G788">
        <f>SUMIFS(INPUT_RITASE!$R$5:$R$20000,INPUT_RITASE!$A$5:$A$20000,Kalkulasi!$B$751,INPUT_RITASE!$B$5:$B$20000,G$771,INPUT_RITASE!$C$5:$C$20000,$A788)</f>
        <v/>
      </c>
      <c r="H788">
        <f>SUMIFS(INPUT_RITASE!$R$5:$R$20000,INPUT_RITASE!$A$5:$A$20000,Kalkulasi!$B$751,INPUT_RITASE!$B$5:$B$20000,H$771,INPUT_RITASE!$C$5:$C$20000,$A788)</f>
        <v/>
      </c>
      <c r="I788">
        <f>SUMIFS(INPUT_RITASE!$R$5:$R$20000,INPUT_RITASE!$A$5:$A$20000,Kalkulasi!$B$751,INPUT_RITASE!$B$5:$B$20000,I$771,INPUT_RITASE!$C$5:$C$20000,$A788)</f>
        <v/>
      </c>
      <c r="J788">
        <f>SUMIFS(INPUT_RITASE!$R$5:$R$20000,INPUT_RITASE!$A$5:$A$20000,Kalkulasi!$B$751,INPUT_RITASE!$B$5:$B$20000,J$771,INPUT_RITASE!$C$5:$C$20000,$A788)</f>
        <v/>
      </c>
      <c r="K788">
        <f>SUMIFS(INPUT_RITASE!$R$5:$R$20000,INPUT_RITASE!$A$5:$A$20000,Kalkulasi!$B$751,INPUT_RITASE!$B$5:$B$20000,K$771,INPUT_RITASE!$C$5:$C$20000,$A788)</f>
        <v/>
      </c>
      <c r="L788">
        <f>SUMIFS(INPUT_RITASE!$R$5:$R$20000,INPUT_RITASE!$A$5:$A$20000,Kalkulasi!$B$751,INPUT_RITASE!$B$5:$B$20000,L$771,INPUT_RITASE!$C$5:$C$20000,$A788)</f>
        <v/>
      </c>
      <c r="M788">
        <f>SUMIFS(INPUT_RITASE!$R$5:$R$20000,INPUT_RITASE!$A$5:$A$20000,Kalkulasi!$B$751,INPUT_RITASE!$B$5:$B$20000,M$771,INPUT_RITASE!$C$5:$C$20000,$A788)</f>
        <v/>
      </c>
      <c r="N788">
        <f>SUMIFS(INPUT_RITASE!$R$5:$R$20000,INPUT_RITASE!$A$5:$A$20000,Kalkulasi!$B$751,INPUT_RITASE!$B$5:$B$20000,N$771,INPUT_RITASE!$C$5:$C$20000,$A788)</f>
        <v/>
      </c>
      <c r="O788">
        <f>SUMIFS(INPUT_RITASE!$R$5:$R$20000,INPUT_RITASE!$A$5:$A$20000,Kalkulasi!$B$751,INPUT_RITASE!$B$5:$B$20000,O$771,INPUT_RITASE!$C$5:$C$20000,$A788)</f>
        <v/>
      </c>
      <c r="P788">
        <f>SUM(D788:O788)</f>
        <v/>
      </c>
      <c r="Q788">
        <f>SUMIFS(INPUT_RITASE!$S$5:$S$20000,INPUT_RITASE!$A$5:$A$20000,Kalkulasi!$B$751,INPUT_RITASE!$B$5:$B$20000,D$771,INPUT_RITASE!$C$5:$C$20000,$A788)</f>
        <v/>
      </c>
      <c r="R788">
        <f>SUMIFS(INPUT_RITASE!$S$5:$S$20000,INPUT_RITASE!$A$5:$A$20000,Kalkulasi!$B$751,INPUT_RITASE!$B$5:$B$20000,E$771,INPUT_RITASE!$C$5:$C$20000,$A788)</f>
        <v/>
      </c>
      <c r="S788">
        <f>SUMIFS(INPUT_RITASE!$S$5:$S$20000,INPUT_RITASE!$A$5:$A$20000,Kalkulasi!$B$751,INPUT_RITASE!$B$5:$B$20000,F$771,INPUT_RITASE!$C$5:$C$20000,$A788)</f>
        <v/>
      </c>
      <c r="T788">
        <f>SUMIFS(INPUT_RITASE!$S$5:$S$20000,INPUT_RITASE!$A$5:$A$20000,Kalkulasi!$B$751,INPUT_RITASE!$B$5:$B$20000,G$771,INPUT_RITASE!$C$5:$C$20000,$A788)</f>
        <v/>
      </c>
      <c r="U788">
        <f>SUMIFS(INPUT_RITASE!$S$5:$S$20000,INPUT_RITASE!$A$5:$A$20000,Kalkulasi!$B$751,INPUT_RITASE!$B$5:$B$20000,H$771,INPUT_RITASE!$C$5:$C$20000,$A788)</f>
        <v/>
      </c>
      <c r="V788">
        <f>SUMIFS(INPUT_RITASE!$S$5:$S$20000,INPUT_RITASE!$A$5:$A$20000,Kalkulasi!$B$751,INPUT_RITASE!$B$5:$B$20000,I$771,INPUT_RITASE!$C$5:$C$20000,$A788)</f>
        <v/>
      </c>
      <c r="W788">
        <f>SUMIFS(INPUT_RITASE!$S$5:$S$20000,INPUT_RITASE!$A$5:$A$20000,Kalkulasi!$B$751,INPUT_RITASE!$B$5:$B$20000,J$771,INPUT_RITASE!$C$5:$C$20000,$A788)</f>
        <v/>
      </c>
      <c r="X788">
        <f>SUMIFS(INPUT_RITASE!$S$5:$S$20000,INPUT_RITASE!$A$5:$A$20000,Kalkulasi!$B$751,INPUT_RITASE!$B$5:$B$20000,K$771,INPUT_RITASE!$C$5:$C$20000,$A788)</f>
        <v/>
      </c>
      <c r="Y788">
        <f>SUMIFS(INPUT_RITASE!$S$5:$S$20000,INPUT_RITASE!$A$5:$A$20000,Kalkulasi!$B$751,INPUT_RITASE!$B$5:$B$20000,L$771,INPUT_RITASE!$C$5:$C$20000,$A788)</f>
        <v/>
      </c>
      <c r="Z788">
        <f>SUMIFS(INPUT_RITASE!$S$5:$S$20000,INPUT_RITASE!$A$5:$A$20000,Kalkulasi!$B$751,INPUT_RITASE!$B$5:$B$20000,M$771,INPUT_RITASE!$C$5:$C$20000,$A788)</f>
        <v/>
      </c>
      <c r="AA788">
        <f>SUMIFS(INPUT_RITASE!$S$5:$S$20000,INPUT_RITASE!$A$5:$A$20000,Kalkulasi!$B$751,INPUT_RITASE!$B$5:$B$20000,N$771,INPUT_RITASE!$C$5:$C$20000,$A788)</f>
        <v/>
      </c>
      <c r="AB788">
        <f>SUMIFS(INPUT_RITASE!$S$5:$S$20000,INPUT_RITASE!$A$5:$A$20000,Kalkulasi!$B$751,INPUT_RITASE!$B$5:$B$20000,O$771,INPUT_RITASE!$C$5:$C$20000,$A788)</f>
        <v/>
      </c>
      <c r="AC788">
        <f>SUM(Q788:AB788)</f>
        <v/>
      </c>
      <c r="AD788">
        <f>SUMIFS(INPUT_RITASE!$L$5:$L$20000,INPUT_RITASE!$A$5:$A$20000,Kalkulasi!$B$751,INPUT_RITASE!$B$5:$B$20000,D$771,INPUT_RITASE!$C$5:$C$20000,$A788,INPUT_RITASE!$N$5:$N$20000,Kalkulasi!$B$753)</f>
        <v/>
      </c>
      <c r="AE788">
        <f>SUMIFS(INPUT_RITASE!$L$5:$L$20000,INPUT_RITASE!$A$5:$A$20000,Kalkulasi!$B$751,INPUT_RITASE!$B$5:$B$20000,E$771,INPUT_RITASE!$C$5:$C$20000,$A788,INPUT_RITASE!$N$5:$N$20000,Kalkulasi!$B$753)</f>
        <v/>
      </c>
      <c r="AF788">
        <f>SUMIFS(INPUT_RITASE!$L$5:$L$20000,INPUT_RITASE!$A$5:$A$20000,Kalkulasi!$B$751,INPUT_RITASE!$B$5:$B$20000,F$771,INPUT_RITASE!$C$5:$C$20000,$A788,INPUT_RITASE!$N$5:$N$20000,Kalkulasi!$B$753)</f>
        <v/>
      </c>
      <c r="AG788">
        <f>SUMIFS(INPUT_RITASE!$L$5:$L$20000,INPUT_RITASE!$A$5:$A$20000,Kalkulasi!$B$751,INPUT_RITASE!$B$5:$B$20000,G$771,INPUT_RITASE!$C$5:$C$20000,$A788,INPUT_RITASE!$N$5:$N$20000,Kalkulasi!$B$753)</f>
        <v/>
      </c>
      <c r="AH788">
        <f>SUMIFS(INPUT_RITASE!$L$5:$L$20000,INPUT_RITASE!$A$5:$A$20000,Kalkulasi!$B$751,INPUT_RITASE!$B$5:$B$20000,H$771,INPUT_RITASE!$C$5:$C$20000,$A788,INPUT_RITASE!$N$5:$N$20000,Kalkulasi!$B$753)</f>
        <v/>
      </c>
      <c r="AI788">
        <f>SUMIFS(INPUT_RITASE!$L$5:$L$20000,INPUT_RITASE!$A$5:$A$20000,Kalkulasi!$B$751,INPUT_RITASE!$B$5:$B$20000,I$771,INPUT_RITASE!$C$5:$C$20000,$A788,INPUT_RITASE!$N$5:$N$20000,Kalkulasi!$B$753)</f>
        <v/>
      </c>
      <c r="AJ788">
        <f>SUMIFS(INPUT_RITASE!$L$5:$L$20000,INPUT_RITASE!$A$5:$A$20000,Kalkulasi!$B$751,INPUT_RITASE!$B$5:$B$20000,J$771,INPUT_RITASE!$C$5:$C$20000,$A788,INPUT_RITASE!$N$5:$N$20000,Kalkulasi!$B$753)</f>
        <v/>
      </c>
      <c r="AK788">
        <f>SUMIFS(INPUT_RITASE!$L$5:$L$20000,INPUT_RITASE!$A$5:$A$20000,Kalkulasi!$B$751,INPUT_RITASE!$B$5:$B$20000,K$771,INPUT_RITASE!$C$5:$C$20000,$A788,INPUT_RITASE!$N$5:$N$20000,Kalkulasi!$B$753)</f>
        <v/>
      </c>
      <c r="AL788">
        <f>SUMIFS(INPUT_RITASE!$L$5:$L$20000,INPUT_RITASE!$A$5:$A$20000,Kalkulasi!$B$751,INPUT_RITASE!$B$5:$B$20000,L$771,INPUT_RITASE!$C$5:$C$20000,$A788,INPUT_RITASE!$N$5:$N$20000,Kalkulasi!$B$753)</f>
        <v/>
      </c>
      <c r="AM788">
        <f>SUMIFS(INPUT_RITASE!$L$5:$L$20000,INPUT_RITASE!$A$5:$A$20000,Kalkulasi!$B$751,INPUT_RITASE!$B$5:$B$20000,M$771,INPUT_RITASE!$C$5:$C$20000,$A788,INPUT_RITASE!$N$5:$N$20000,Kalkulasi!$B$753)</f>
        <v/>
      </c>
      <c r="AN788">
        <f>SUMIFS(INPUT_RITASE!$L$5:$L$20000,INPUT_RITASE!$A$5:$A$20000,Kalkulasi!$B$751,INPUT_RITASE!$B$5:$B$20000,N$771,INPUT_RITASE!$C$5:$C$20000,$A788,INPUT_RITASE!$N$5:$N$20000,Kalkulasi!$B$753)</f>
        <v/>
      </c>
      <c r="AO788">
        <f>SUMIFS(INPUT_RITASE!$L$5:$L$20000,INPUT_RITASE!$A$5:$A$20000,Kalkulasi!$B$751,INPUT_RITASE!$B$5:$B$20000,O$771,INPUT_RITASE!$C$5:$C$20000,$A788,INPUT_RITASE!$N$5:$N$20000,Kalkulasi!$B$753)</f>
        <v/>
      </c>
      <c r="AP788">
        <f>SUM(AD788:AO788)</f>
        <v/>
      </c>
      <c r="AQ788">
        <f>IF(AD788=0,0,(60-MIN(60,SUMIFS(INPUT_DELAY!$E$5:$E$20000,INPUT_DELAY!$A$5:$A$20000,Kalkulasi!$B$751,INPUT_DELAY!$B$5:$B$20000,D$771,INPUT_DELAY!$C$5:$C$20000,$A788)+SUMIFS(INPUT_DELAY!$E$5:$E$20000,INPUT_DELAY!$A$5:$A$20000,Kalkulasi!$B$751,INPUT_DELAY!$B$5:$B$20000,D$771,INPUT_DELAY!$C$5:$C$20000,"SEMUA")))/60)</f>
        <v/>
      </c>
      <c r="AR788">
        <f>IF(AE788=0,0,(60-MIN(60,SUMIFS(INPUT_DELAY!$E$5:$E$20000,INPUT_DELAY!$A$5:$A$20000,Kalkulasi!$B$751,INPUT_DELAY!$B$5:$B$20000,E$771,INPUT_DELAY!$C$5:$C$20000,$A788)+SUMIFS(INPUT_DELAY!$E$5:$E$20000,INPUT_DELAY!$A$5:$A$20000,Kalkulasi!$B$751,INPUT_DELAY!$B$5:$B$20000,E$771,INPUT_DELAY!$C$5:$C$20000,"SEMUA")))/60)</f>
        <v/>
      </c>
      <c r="AS788">
        <f>IF(AF788=0,0,(60-MIN(60,SUMIFS(INPUT_DELAY!$E$5:$E$20000,INPUT_DELAY!$A$5:$A$20000,Kalkulasi!$B$751,INPUT_DELAY!$B$5:$B$20000,F$771,INPUT_DELAY!$C$5:$C$20000,$A788)+SUMIFS(INPUT_DELAY!$E$5:$E$20000,INPUT_DELAY!$A$5:$A$20000,Kalkulasi!$B$751,INPUT_DELAY!$B$5:$B$20000,F$771,INPUT_DELAY!$C$5:$C$20000,"SEMUA")))/60)</f>
        <v/>
      </c>
      <c r="AT788">
        <f>IF(AG788=0,0,(60-MIN(60,SUMIFS(INPUT_DELAY!$E$5:$E$20000,INPUT_DELAY!$A$5:$A$20000,Kalkulasi!$B$751,INPUT_DELAY!$B$5:$B$20000,G$771,INPUT_DELAY!$C$5:$C$20000,$A788)+SUMIFS(INPUT_DELAY!$E$5:$E$20000,INPUT_DELAY!$A$5:$A$20000,Kalkulasi!$B$751,INPUT_DELAY!$B$5:$B$20000,G$771,INPUT_DELAY!$C$5:$C$20000,"SEMUA")))/60)</f>
        <v/>
      </c>
      <c r="AU788">
        <f>IF(AH788=0,0,(60-MIN(60,SUMIFS(INPUT_DELAY!$E$5:$E$20000,INPUT_DELAY!$A$5:$A$20000,Kalkulasi!$B$751,INPUT_DELAY!$B$5:$B$20000,H$771,INPUT_DELAY!$C$5:$C$20000,$A788)+SUMIFS(INPUT_DELAY!$E$5:$E$20000,INPUT_DELAY!$A$5:$A$20000,Kalkulasi!$B$751,INPUT_DELAY!$B$5:$B$20000,H$771,INPUT_DELAY!$C$5:$C$20000,"SEMUA")))/60)</f>
        <v/>
      </c>
      <c r="AV788">
        <f>IF(AI788=0,0,(60-MIN(60,SUMIFS(INPUT_DELAY!$E$5:$E$20000,INPUT_DELAY!$A$5:$A$20000,Kalkulasi!$B$751,INPUT_DELAY!$B$5:$B$20000,I$771,INPUT_DELAY!$C$5:$C$20000,$A788)+SUMIFS(INPUT_DELAY!$E$5:$E$20000,INPUT_DELAY!$A$5:$A$20000,Kalkulasi!$B$751,INPUT_DELAY!$B$5:$B$20000,I$771,INPUT_DELAY!$C$5:$C$20000,"SEMUA")))/60)</f>
        <v/>
      </c>
      <c r="AW788">
        <f>IF(AJ788=0,0,(60-MIN(60,SUMIFS(INPUT_DELAY!$E$5:$E$20000,INPUT_DELAY!$A$5:$A$20000,Kalkulasi!$B$751,INPUT_DELAY!$B$5:$B$20000,J$771,INPUT_DELAY!$C$5:$C$20000,$A788)+SUMIFS(INPUT_DELAY!$E$5:$E$20000,INPUT_DELAY!$A$5:$A$20000,Kalkulasi!$B$751,INPUT_DELAY!$B$5:$B$20000,J$771,INPUT_DELAY!$C$5:$C$20000,"SEMUA")))/60)</f>
        <v/>
      </c>
      <c r="AX788">
        <f>IF(AK788=0,0,(60-MIN(60,SUMIFS(INPUT_DELAY!$E$5:$E$20000,INPUT_DELAY!$A$5:$A$20000,Kalkulasi!$B$751,INPUT_DELAY!$B$5:$B$20000,K$771,INPUT_DELAY!$C$5:$C$20000,$A788)+SUMIFS(INPUT_DELAY!$E$5:$E$20000,INPUT_DELAY!$A$5:$A$20000,Kalkulasi!$B$751,INPUT_DELAY!$B$5:$B$20000,K$771,INPUT_DELAY!$C$5:$C$20000,"SEMUA")))/60)</f>
        <v/>
      </c>
      <c r="AY788">
        <f>IF(AL788=0,0,(60-MIN(60,SUMIFS(INPUT_DELAY!$E$5:$E$20000,INPUT_DELAY!$A$5:$A$20000,Kalkulasi!$B$751,INPUT_DELAY!$B$5:$B$20000,L$771,INPUT_DELAY!$C$5:$C$20000,$A788)+SUMIFS(INPUT_DELAY!$E$5:$E$20000,INPUT_DELAY!$A$5:$A$20000,Kalkulasi!$B$751,INPUT_DELAY!$B$5:$B$20000,L$771,INPUT_DELAY!$C$5:$C$20000,"SEMUA")))/60)</f>
        <v/>
      </c>
      <c r="AZ788">
        <f>IF(AM788=0,0,(60-MIN(60,SUMIFS(INPUT_DELAY!$E$5:$E$20000,INPUT_DELAY!$A$5:$A$20000,Kalkulasi!$B$751,INPUT_DELAY!$B$5:$B$20000,M$771,INPUT_DELAY!$C$5:$C$20000,$A788)+SUMIFS(INPUT_DELAY!$E$5:$E$20000,INPUT_DELAY!$A$5:$A$20000,Kalkulasi!$B$751,INPUT_DELAY!$B$5:$B$20000,M$771,INPUT_DELAY!$C$5:$C$20000,"SEMUA")))/60)</f>
        <v/>
      </c>
      <c r="BA788">
        <f>IF(AN788=0,0,(60-MIN(60,SUMIFS(INPUT_DELAY!$E$5:$E$20000,INPUT_DELAY!$A$5:$A$20000,Kalkulasi!$B$751,INPUT_DELAY!$B$5:$B$20000,N$771,INPUT_DELAY!$C$5:$C$20000,$A788)+SUMIFS(INPUT_DELAY!$E$5:$E$20000,INPUT_DELAY!$A$5:$A$20000,Kalkulasi!$B$751,INPUT_DELAY!$B$5:$B$20000,N$771,INPUT_DELAY!$C$5:$C$20000,"SEMUA")))/60)</f>
        <v/>
      </c>
      <c r="BB788">
        <f>IF(AO788=0,0,(60-MIN(60,SUMIFS(INPUT_DELAY!$E$5:$E$20000,INPUT_DELAY!$A$5:$A$20000,Kalkulasi!$B$751,INPUT_DELAY!$B$5:$B$20000,O$771,INPUT_DELAY!$C$5:$C$20000,$A788)+SUMIFS(INPUT_DELAY!$E$5:$E$20000,INPUT_DELAY!$A$5:$A$20000,Kalkulasi!$B$751,INPUT_DELAY!$B$5:$B$20000,O$771,INPUT_DELAY!$C$5:$C$20000,"SEMUA")))/60)</f>
        <v/>
      </c>
      <c r="BC788">
        <f>SUM(AQ788:BB788)</f>
        <v/>
      </c>
      <c r="BD788">
        <f>COUNTIF(D788:O788,"&gt;0")</f>
        <v/>
      </c>
      <c r="BE788">
        <f>IF(BD788=0,"",P788/BD788)</f>
        <v/>
      </c>
      <c r="BF788">
        <f>IF(BD788=0,"",AC788/BD788)</f>
        <v/>
      </c>
      <c r="BG788">
        <f>IF(OR(BD788=0,N(BF788)=0),"",BE788/BF788)</f>
        <v/>
      </c>
      <c r="BH788">
        <f>IF(BG788="","",ROUND(BG788-BE788,0))</f>
        <v/>
      </c>
      <c r="BI788">
        <f>SUMIFS(INPUT_RITASE!$F$5:$F$20000,INPUT_RITASE!$A$5:$A$20000,Kalkulasi!$B$751,INPUT_RITASE!$H$5:$H$20000,Kalkulasi!$B$752,INPUT_RITASE!$C$5:$C$20000,$A788)</f>
        <v/>
      </c>
      <c r="BJ788">
        <f>IF(P788=0,"",BI788/P788)</f>
        <v/>
      </c>
      <c r="BK788">
        <f>BI788+P788/1000+ROW()/1000000</f>
        <v/>
      </c>
    </row>
    <row r="789">
      <c r="A789" t="inlineStr">
        <is>
          <t>EX-752</t>
        </is>
      </c>
      <c r="B789">
        <f>IFERROR(INDEX(MASTER_JAM!$B$5:$B$94,MATCH($A789,MASTER_JAM!$A$5:$A$94,0)),"")</f>
        <v/>
      </c>
      <c r="D789">
        <f>SUMIFS(INPUT_RITASE!$R$5:$R$20000,INPUT_RITASE!$A$5:$A$20000,Kalkulasi!$B$751,INPUT_RITASE!$B$5:$B$20000,D$771,INPUT_RITASE!$C$5:$C$20000,$A789)</f>
        <v/>
      </c>
      <c r="E789">
        <f>SUMIFS(INPUT_RITASE!$R$5:$R$20000,INPUT_RITASE!$A$5:$A$20000,Kalkulasi!$B$751,INPUT_RITASE!$B$5:$B$20000,E$771,INPUT_RITASE!$C$5:$C$20000,$A789)</f>
        <v/>
      </c>
      <c r="F789">
        <f>SUMIFS(INPUT_RITASE!$R$5:$R$20000,INPUT_RITASE!$A$5:$A$20000,Kalkulasi!$B$751,INPUT_RITASE!$B$5:$B$20000,F$771,INPUT_RITASE!$C$5:$C$20000,$A789)</f>
        <v/>
      </c>
      <c r="G789">
        <f>SUMIFS(INPUT_RITASE!$R$5:$R$20000,INPUT_RITASE!$A$5:$A$20000,Kalkulasi!$B$751,INPUT_RITASE!$B$5:$B$20000,G$771,INPUT_RITASE!$C$5:$C$20000,$A789)</f>
        <v/>
      </c>
      <c r="H789">
        <f>SUMIFS(INPUT_RITASE!$R$5:$R$20000,INPUT_RITASE!$A$5:$A$20000,Kalkulasi!$B$751,INPUT_RITASE!$B$5:$B$20000,H$771,INPUT_RITASE!$C$5:$C$20000,$A789)</f>
        <v/>
      </c>
      <c r="I789">
        <f>SUMIFS(INPUT_RITASE!$R$5:$R$20000,INPUT_RITASE!$A$5:$A$20000,Kalkulasi!$B$751,INPUT_RITASE!$B$5:$B$20000,I$771,INPUT_RITASE!$C$5:$C$20000,$A789)</f>
        <v/>
      </c>
      <c r="J789">
        <f>SUMIFS(INPUT_RITASE!$R$5:$R$20000,INPUT_RITASE!$A$5:$A$20000,Kalkulasi!$B$751,INPUT_RITASE!$B$5:$B$20000,J$771,INPUT_RITASE!$C$5:$C$20000,$A789)</f>
        <v/>
      </c>
      <c r="K789">
        <f>SUMIFS(INPUT_RITASE!$R$5:$R$20000,INPUT_RITASE!$A$5:$A$20000,Kalkulasi!$B$751,INPUT_RITASE!$B$5:$B$20000,K$771,INPUT_RITASE!$C$5:$C$20000,$A789)</f>
        <v/>
      </c>
      <c r="L789">
        <f>SUMIFS(INPUT_RITASE!$R$5:$R$20000,INPUT_RITASE!$A$5:$A$20000,Kalkulasi!$B$751,INPUT_RITASE!$B$5:$B$20000,L$771,INPUT_RITASE!$C$5:$C$20000,$A789)</f>
        <v/>
      </c>
      <c r="M789">
        <f>SUMIFS(INPUT_RITASE!$R$5:$R$20000,INPUT_RITASE!$A$5:$A$20000,Kalkulasi!$B$751,INPUT_RITASE!$B$5:$B$20000,M$771,INPUT_RITASE!$C$5:$C$20000,$A789)</f>
        <v/>
      </c>
      <c r="N789">
        <f>SUMIFS(INPUT_RITASE!$R$5:$R$20000,INPUT_RITASE!$A$5:$A$20000,Kalkulasi!$B$751,INPUT_RITASE!$B$5:$B$20000,N$771,INPUT_RITASE!$C$5:$C$20000,$A789)</f>
        <v/>
      </c>
      <c r="O789">
        <f>SUMIFS(INPUT_RITASE!$R$5:$R$20000,INPUT_RITASE!$A$5:$A$20000,Kalkulasi!$B$751,INPUT_RITASE!$B$5:$B$20000,O$771,INPUT_RITASE!$C$5:$C$20000,$A789)</f>
        <v/>
      </c>
      <c r="P789">
        <f>SUM(D789:O789)</f>
        <v/>
      </c>
      <c r="Q789">
        <f>SUMIFS(INPUT_RITASE!$S$5:$S$20000,INPUT_RITASE!$A$5:$A$20000,Kalkulasi!$B$751,INPUT_RITASE!$B$5:$B$20000,D$771,INPUT_RITASE!$C$5:$C$20000,$A789)</f>
        <v/>
      </c>
      <c r="R789">
        <f>SUMIFS(INPUT_RITASE!$S$5:$S$20000,INPUT_RITASE!$A$5:$A$20000,Kalkulasi!$B$751,INPUT_RITASE!$B$5:$B$20000,E$771,INPUT_RITASE!$C$5:$C$20000,$A789)</f>
        <v/>
      </c>
      <c r="S789">
        <f>SUMIFS(INPUT_RITASE!$S$5:$S$20000,INPUT_RITASE!$A$5:$A$20000,Kalkulasi!$B$751,INPUT_RITASE!$B$5:$B$20000,F$771,INPUT_RITASE!$C$5:$C$20000,$A789)</f>
        <v/>
      </c>
      <c r="T789">
        <f>SUMIFS(INPUT_RITASE!$S$5:$S$20000,INPUT_RITASE!$A$5:$A$20000,Kalkulasi!$B$751,INPUT_RITASE!$B$5:$B$20000,G$771,INPUT_RITASE!$C$5:$C$20000,$A789)</f>
        <v/>
      </c>
      <c r="U789">
        <f>SUMIFS(INPUT_RITASE!$S$5:$S$20000,INPUT_RITASE!$A$5:$A$20000,Kalkulasi!$B$751,INPUT_RITASE!$B$5:$B$20000,H$771,INPUT_RITASE!$C$5:$C$20000,$A789)</f>
        <v/>
      </c>
      <c r="V789">
        <f>SUMIFS(INPUT_RITASE!$S$5:$S$20000,INPUT_RITASE!$A$5:$A$20000,Kalkulasi!$B$751,INPUT_RITASE!$B$5:$B$20000,I$771,INPUT_RITASE!$C$5:$C$20000,$A789)</f>
        <v/>
      </c>
      <c r="W789">
        <f>SUMIFS(INPUT_RITASE!$S$5:$S$20000,INPUT_RITASE!$A$5:$A$20000,Kalkulasi!$B$751,INPUT_RITASE!$B$5:$B$20000,J$771,INPUT_RITASE!$C$5:$C$20000,$A789)</f>
        <v/>
      </c>
      <c r="X789">
        <f>SUMIFS(INPUT_RITASE!$S$5:$S$20000,INPUT_RITASE!$A$5:$A$20000,Kalkulasi!$B$751,INPUT_RITASE!$B$5:$B$20000,K$771,INPUT_RITASE!$C$5:$C$20000,$A789)</f>
        <v/>
      </c>
      <c r="Y789">
        <f>SUMIFS(INPUT_RITASE!$S$5:$S$20000,INPUT_RITASE!$A$5:$A$20000,Kalkulasi!$B$751,INPUT_RITASE!$B$5:$B$20000,L$771,INPUT_RITASE!$C$5:$C$20000,$A789)</f>
        <v/>
      </c>
      <c r="Z789">
        <f>SUMIFS(INPUT_RITASE!$S$5:$S$20000,INPUT_RITASE!$A$5:$A$20000,Kalkulasi!$B$751,INPUT_RITASE!$B$5:$B$20000,M$771,INPUT_RITASE!$C$5:$C$20000,$A789)</f>
        <v/>
      </c>
      <c r="AA789">
        <f>SUMIFS(INPUT_RITASE!$S$5:$S$20000,INPUT_RITASE!$A$5:$A$20000,Kalkulasi!$B$751,INPUT_RITASE!$B$5:$B$20000,N$771,INPUT_RITASE!$C$5:$C$20000,$A789)</f>
        <v/>
      </c>
      <c r="AB789">
        <f>SUMIFS(INPUT_RITASE!$S$5:$S$20000,INPUT_RITASE!$A$5:$A$20000,Kalkulasi!$B$751,INPUT_RITASE!$B$5:$B$20000,O$771,INPUT_RITASE!$C$5:$C$20000,$A789)</f>
        <v/>
      </c>
      <c r="AC789">
        <f>SUM(Q789:AB789)</f>
        <v/>
      </c>
      <c r="AD789">
        <f>SUMIFS(INPUT_RITASE!$L$5:$L$20000,INPUT_RITASE!$A$5:$A$20000,Kalkulasi!$B$751,INPUT_RITASE!$B$5:$B$20000,D$771,INPUT_RITASE!$C$5:$C$20000,$A789,INPUT_RITASE!$N$5:$N$20000,Kalkulasi!$B$753)</f>
        <v/>
      </c>
      <c r="AE789">
        <f>SUMIFS(INPUT_RITASE!$L$5:$L$20000,INPUT_RITASE!$A$5:$A$20000,Kalkulasi!$B$751,INPUT_RITASE!$B$5:$B$20000,E$771,INPUT_RITASE!$C$5:$C$20000,$A789,INPUT_RITASE!$N$5:$N$20000,Kalkulasi!$B$753)</f>
        <v/>
      </c>
      <c r="AF789">
        <f>SUMIFS(INPUT_RITASE!$L$5:$L$20000,INPUT_RITASE!$A$5:$A$20000,Kalkulasi!$B$751,INPUT_RITASE!$B$5:$B$20000,F$771,INPUT_RITASE!$C$5:$C$20000,$A789,INPUT_RITASE!$N$5:$N$20000,Kalkulasi!$B$753)</f>
        <v/>
      </c>
      <c r="AG789">
        <f>SUMIFS(INPUT_RITASE!$L$5:$L$20000,INPUT_RITASE!$A$5:$A$20000,Kalkulasi!$B$751,INPUT_RITASE!$B$5:$B$20000,G$771,INPUT_RITASE!$C$5:$C$20000,$A789,INPUT_RITASE!$N$5:$N$20000,Kalkulasi!$B$753)</f>
        <v/>
      </c>
      <c r="AH789">
        <f>SUMIFS(INPUT_RITASE!$L$5:$L$20000,INPUT_RITASE!$A$5:$A$20000,Kalkulasi!$B$751,INPUT_RITASE!$B$5:$B$20000,H$771,INPUT_RITASE!$C$5:$C$20000,$A789,INPUT_RITASE!$N$5:$N$20000,Kalkulasi!$B$753)</f>
        <v/>
      </c>
      <c r="AI789">
        <f>SUMIFS(INPUT_RITASE!$L$5:$L$20000,INPUT_RITASE!$A$5:$A$20000,Kalkulasi!$B$751,INPUT_RITASE!$B$5:$B$20000,I$771,INPUT_RITASE!$C$5:$C$20000,$A789,INPUT_RITASE!$N$5:$N$20000,Kalkulasi!$B$753)</f>
        <v/>
      </c>
      <c r="AJ789">
        <f>SUMIFS(INPUT_RITASE!$L$5:$L$20000,INPUT_RITASE!$A$5:$A$20000,Kalkulasi!$B$751,INPUT_RITASE!$B$5:$B$20000,J$771,INPUT_RITASE!$C$5:$C$20000,$A789,INPUT_RITASE!$N$5:$N$20000,Kalkulasi!$B$753)</f>
        <v/>
      </c>
      <c r="AK789">
        <f>SUMIFS(INPUT_RITASE!$L$5:$L$20000,INPUT_RITASE!$A$5:$A$20000,Kalkulasi!$B$751,INPUT_RITASE!$B$5:$B$20000,K$771,INPUT_RITASE!$C$5:$C$20000,$A789,INPUT_RITASE!$N$5:$N$20000,Kalkulasi!$B$753)</f>
        <v/>
      </c>
      <c r="AL789">
        <f>SUMIFS(INPUT_RITASE!$L$5:$L$20000,INPUT_RITASE!$A$5:$A$20000,Kalkulasi!$B$751,INPUT_RITASE!$B$5:$B$20000,L$771,INPUT_RITASE!$C$5:$C$20000,$A789,INPUT_RITASE!$N$5:$N$20000,Kalkulasi!$B$753)</f>
        <v/>
      </c>
      <c r="AM789">
        <f>SUMIFS(INPUT_RITASE!$L$5:$L$20000,INPUT_RITASE!$A$5:$A$20000,Kalkulasi!$B$751,INPUT_RITASE!$B$5:$B$20000,M$771,INPUT_RITASE!$C$5:$C$20000,$A789,INPUT_RITASE!$N$5:$N$20000,Kalkulasi!$B$753)</f>
        <v/>
      </c>
      <c r="AN789">
        <f>SUMIFS(INPUT_RITASE!$L$5:$L$20000,INPUT_RITASE!$A$5:$A$20000,Kalkulasi!$B$751,INPUT_RITASE!$B$5:$B$20000,N$771,INPUT_RITASE!$C$5:$C$20000,$A789,INPUT_RITASE!$N$5:$N$20000,Kalkulasi!$B$753)</f>
        <v/>
      </c>
      <c r="AO789">
        <f>SUMIFS(INPUT_RITASE!$L$5:$L$20000,INPUT_RITASE!$A$5:$A$20000,Kalkulasi!$B$751,INPUT_RITASE!$B$5:$B$20000,O$771,INPUT_RITASE!$C$5:$C$20000,$A789,INPUT_RITASE!$N$5:$N$20000,Kalkulasi!$B$753)</f>
        <v/>
      </c>
      <c r="AP789">
        <f>SUM(AD789:AO789)</f>
        <v/>
      </c>
      <c r="AQ789">
        <f>IF(AD789=0,0,(60-MIN(60,SUMIFS(INPUT_DELAY!$E$5:$E$20000,INPUT_DELAY!$A$5:$A$20000,Kalkulasi!$B$751,INPUT_DELAY!$B$5:$B$20000,D$771,INPUT_DELAY!$C$5:$C$20000,$A789)+SUMIFS(INPUT_DELAY!$E$5:$E$20000,INPUT_DELAY!$A$5:$A$20000,Kalkulasi!$B$751,INPUT_DELAY!$B$5:$B$20000,D$771,INPUT_DELAY!$C$5:$C$20000,"SEMUA")))/60)</f>
        <v/>
      </c>
      <c r="AR789">
        <f>IF(AE789=0,0,(60-MIN(60,SUMIFS(INPUT_DELAY!$E$5:$E$20000,INPUT_DELAY!$A$5:$A$20000,Kalkulasi!$B$751,INPUT_DELAY!$B$5:$B$20000,E$771,INPUT_DELAY!$C$5:$C$20000,$A789)+SUMIFS(INPUT_DELAY!$E$5:$E$20000,INPUT_DELAY!$A$5:$A$20000,Kalkulasi!$B$751,INPUT_DELAY!$B$5:$B$20000,E$771,INPUT_DELAY!$C$5:$C$20000,"SEMUA")))/60)</f>
        <v/>
      </c>
      <c r="AS789">
        <f>IF(AF789=0,0,(60-MIN(60,SUMIFS(INPUT_DELAY!$E$5:$E$20000,INPUT_DELAY!$A$5:$A$20000,Kalkulasi!$B$751,INPUT_DELAY!$B$5:$B$20000,F$771,INPUT_DELAY!$C$5:$C$20000,$A789)+SUMIFS(INPUT_DELAY!$E$5:$E$20000,INPUT_DELAY!$A$5:$A$20000,Kalkulasi!$B$751,INPUT_DELAY!$B$5:$B$20000,F$771,INPUT_DELAY!$C$5:$C$20000,"SEMUA")))/60)</f>
        <v/>
      </c>
      <c r="AT789">
        <f>IF(AG789=0,0,(60-MIN(60,SUMIFS(INPUT_DELAY!$E$5:$E$20000,INPUT_DELAY!$A$5:$A$20000,Kalkulasi!$B$751,INPUT_DELAY!$B$5:$B$20000,G$771,INPUT_DELAY!$C$5:$C$20000,$A789)+SUMIFS(INPUT_DELAY!$E$5:$E$20000,INPUT_DELAY!$A$5:$A$20000,Kalkulasi!$B$751,INPUT_DELAY!$B$5:$B$20000,G$771,INPUT_DELAY!$C$5:$C$20000,"SEMUA")))/60)</f>
        <v/>
      </c>
      <c r="AU789">
        <f>IF(AH789=0,0,(60-MIN(60,SUMIFS(INPUT_DELAY!$E$5:$E$20000,INPUT_DELAY!$A$5:$A$20000,Kalkulasi!$B$751,INPUT_DELAY!$B$5:$B$20000,H$771,INPUT_DELAY!$C$5:$C$20000,$A789)+SUMIFS(INPUT_DELAY!$E$5:$E$20000,INPUT_DELAY!$A$5:$A$20000,Kalkulasi!$B$751,INPUT_DELAY!$B$5:$B$20000,H$771,INPUT_DELAY!$C$5:$C$20000,"SEMUA")))/60)</f>
        <v/>
      </c>
      <c r="AV789">
        <f>IF(AI789=0,0,(60-MIN(60,SUMIFS(INPUT_DELAY!$E$5:$E$20000,INPUT_DELAY!$A$5:$A$20000,Kalkulasi!$B$751,INPUT_DELAY!$B$5:$B$20000,I$771,INPUT_DELAY!$C$5:$C$20000,$A789)+SUMIFS(INPUT_DELAY!$E$5:$E$20000,INPUT_DELAY!$A$5:$A$20000,Kalkulasi!$B$751,INPUT_DELAY!$B$5:$B$20000,I$771,INPUT_DELAY!$C$5:$C$20000,"SEMUA")))/60)</f>
        <v/>
      </c>
      <c r="AW789">
        <f>IF(AJ789=0,0,(60-MIN(60,SUMIFS(INPUT_DELAY!$E$5:$E$20000,INPUT_DELAY!$A$5:$A$20000,Kalkulasi!$B$751,INPUT_DELAY!$B$5:$B$20000,J$771,INPUT_DELAY!$C$5:$C$20000,$A789)+SUMIFS(INPUT_DELAY!$E$5:$E$20000,INPUT_DELAY!$A$5:$A$20000,Kalkulasi!$B$751,INPUT_DELAY!$B$5:$B$20000,J$771,INPUT_DELAY!$C$5:$C$20000,"SEMUA")))/60)</f>
        <v/>
      </c>
      <c r="AX789">
        <f>IF(AK789=0,0,(60-MIN(60,SUMIFS(INPUT_DELAY!$E$5:$E$20000,INPUT_DELAY!$A$5:$A$20000,Kalkulasi!$B$751,INPUT_DELAY!$B$5:$B$20000,K$771,INPUT_DELAY!$C$5:$C$20000,$A789)+SUMIFS(INPUT_DELAY!$E$5:$E$20000,INPUT_DELAY!$A$5:$A$20000,Kalkulasi!$B$751,INPUT_DELAY!$B$5:$B$20000,K$771,INPUT_DELAY!$C$5:$C$20000,"SEMUA")))/60)</f>
        <v/>
      </c>
      <c r="AY789">
        <f>IF(AL789=0,0,(60-MIN(60,SUMIFS(INPUT_DELAY!$E$5:$E$20000,INPUT_DELAY!$A$5:$A$20000,Kalkulasi!$B$751,INPUT_DELAY!$B$5:$B$20000,L$771,INPUT_DELAY!$C$5:$C$20000,$A789)+SUMIFS(INPUT_DELAY!$E$5:$E$20000,INPUT_DELAY!$A$5:$A$20000,Kalkulasi!$B$751,INPUT_DELAY!$B$5:$B$20000,L$771,INPUT_DELAY!$C$5:$C$20000,"SEMUA")))/60)</f>
        <v/>
      </c>
      <c r="AZ789">
        <f>IF(AM789=0,0,(60-MIN(60,SUMIFS(INPUT_DELAY!$E$5:$E$20000,INPUT_DELAY!$A$5:$A$20000,Kalkulasi!$B$751,INPUT_DELAY!$B$5:$B$20000,M$771,INPUT_DELAY!$C$5:$C$20000,$A789)+SUMIFS(INPUT_DELAY!$E$5:$E$20000,INPUT_DELAY!$A$5:$A$20000,Kalkulasi!$B$751,INPUT_DELAY!$B$5:$B$20000,M$771,INPUT_DELAY!$C$5:$C$20000,"SEMUA")))/60)</f>
        <v/>
      </c>
      <c r="BA789">
        <f>IF(AN789=0,0,(60-MIN(60,SUMIFS(INPUT_DELAY!$E$5:$E$20000,INPUT_DELAY!$A$5:$A$20000,Kalkulasi!$B$751,INPUT_DELAY!$B$5:$B$20000,N$771,INPUT_DELAY!$C$5:$C$20000,$A789)+SUMIFS(INPUT_DELAY!$E$5:$E$20000,INPUT_DELAY!$A$5:$A$20000,Kalkulasi!$B$751,INPUT_DELAY!$B$5:$B$20000,N$771,INPUT_DELAY!$C$5:$C$20000,"SEMUA")))/60)</f>
        <v/>
      </c>
      <c r="BB789">
        <f>IF(AO789=0,0,(60-MIN(60,SUMIFS(INPUT_DELAY!$E$5:$E$20000,INPUT_DELAY!$A$5:$A$20000,Kalkulasi!$B$751,INPUT_DELAY!$B$5:$B$20000,O$771,INPUT_DELAY!$C$5:$C$20000,$A789)+SUMIFS(INPUT_DELAY!$E$5:$E$20000,INPUT_DELAY!$A$5:$A$20000,Kalkulasi!$B$751,INPUT_DELAY!$B$5:$B$20000,O$771,INPUT_DELAY!$C$5:$C$20000,"SEMUA")))/60)</f>
        <v/>
      </c>
      <c r="BC789">
        <f>SUM(AQ789:BB789)</f>
        <v/>
      </c>
      <c r="BD789">
        <f>COUNTIF(D789:O789,"&gt;0")</f>
        <v/>
      </c>
      <c r="BE789">
        <f>IF(BD789=0,"",P789/BD789)</f>
        <v/>
      </c>
      <c r="BF789">
        <f>IF(BD789=0,"",AC789/BD789)</f>
        <v/>
      </c>
      <c r="BG789">
        <f>IF(OR(BD789=0,N(BF789)=0),"",BE789/BF789)</f>
        <v/>
      </c>
      <c r="BH789">
        <f>IF(BG789="","",ROUND(BG789-BE789,0))</f>
        <v/>
      </c>
      <c r="BI789">
        <f>SUMIFS(INPUT_RITASE!$F$5:$F$20000,INPUT_RITASE!$A$5:$A$20000,Kalkulasi!$B$751,INPUT_RITASE!$H$5:$H$20000,Kalkulasi!$B$752,INPUT_RITASE!$C$5:$C$20000,$A789)</f>
        <v/>
      </c>
      <c r="BJ789">
        <f>IF(P789=0,"",BI789/P789)</f>
        <v/>
      </c>
      <c r="BK789">
        <f>BI789+P789/1000+ROW()/1000000</f>
        <v/>
      </c>
    </row>
    <row r="792">
      <c r="A792" s="171" t="inlineStr">
        <is>
          <t>FLEET — urutan digger (ritase)</t>
        </is>
      </c>
    </row>
    <row r="793">
      <c r="A793">
        <f>MATCH(LARGE($BK$772:$BK$789,1),$BK$772:$BK$789,0)</f>
        <v/>
      </c>
    </row>
    <row r="794">
      <c r="A794">
        <f>MATCH(LARGE($BK$772:$BK$789,2),$BK$772:$BK$789,0)</f>
        <v/>
      </c>
    </row>
    <row r="795">
      <c r="A795">
        <f>MATCH(LARGE($BK$772:$BK$789,3),$BK$772:$BK$789,0)</f>
        <v/>
      </c>
    </row>
    <row r="796">
      <c r="A796">
        <f>MATCH(LARGE($BK$772:$BK$789,4),$BK$772:$BK$789,0)</f>
        <v/>
      </c>
    </row>
    <row r="797">
      <c r="A797">
        <f>MATCH(LARGE($BK$772:$BK$789,5),$BK$772:$BK$789,0)</f>
        <v/>
      </c>
    </row>
    <row r="798">
      <c r="A798">
        <f>MATCH(LARGE($BK$772:$BK$789,6),$BK$772:$BK$789,0)</f>
        <v/>
      </c>
    </row>
    <row r="799">
      <c r="A799">
        <f>MATCH(LARGE($BK$772:$BK$789,7),$BK$772:$BK$789,0)</f>
        <v/>
      </c>
    </row>
    <row r="800">
      <c r="A800">
        <f>MATCH(LARGE($BK$772:$BK$789,8),$BK$772:$BK$789,0)</f>
        <v/>
      </c>
    </row>
    <row r="801">
      <c r="A801">
        <f>MATCH(LARGE($BK$772:$BK$789,9),$BK$772:$BK$789,0)</f>
        <v/>
      </c>
    </row>
    <row r="802">
      <c r="A802">
        <f>MATCH(LARGE($BK$772:$BK$789,10),$BK$772:$BK$789,0)</f>
        <v/>
      </c>
    </row>
    <row r="803">
      <c r="A803">
        <f>MATCH(LARGE($BK$772:$BK$789,11),$BK$772:$BK$789,0)</f>
        <v/>
      </c>
    </row>
    <row r="804">
      <c r="A804">
        <f>MATCH(LARGE($BK$772:$BK$789,12),$BK$772:$BK$789,0)</f>
        <v/>
      </c>
    </row>
    <row r="805">
      <c r="A805">
        <f>MATCH(LARGE($BK$772:$BK$789,13),$BK$772:$BK$789,0)</f>
        <v/>
      </c>
    </row>
    <row r="806">
      <c r="A806">
        <f>MATCH(LARGE($BK$772:$BK$789,14),$BK$772:$BK$789,0)</f>
        <v/>
      </c>
    </row>
    <row r="807">
      <c r="A807">
        <f>MATCH(LARGE($BK$772:$BK$789,15),$BK$772:$BK$789,0)</f>
        <v/>
      </c>
    </row>
    <row r="808">
      <c r="A808">
        <f>MATCH(LARGE($BK$772:$BK$789,16),$BK$772:$BK$789,0)</f>
        <v/>
      </c>
    </row>
    <row r="809">
      <c r="A809">
        <f>MATCH(LARGE($BK$772:$BK$789,17),$BK$772:$BK$789,0)</f>
        <v/>
      </c>
    </row>
    <row r="810">
      <c r="A810">
        <f>MATCH(LARGE($BK$772:$BK$789,18),$BK$772:$BK$789,0)</f>
        <v/>
      </c>
    </row>
    <row r="813">
      <c r="A813" s="171" t="inlineStr">
        <is>
          <t>FLEET — delay per jam (menit hilang digger)</t>
        </is>
      </c>
    </row>
    <row r="814">
      <c r="A814" t="inlineStr">
        <is>
          <t>Digger aktif (shift)</t>
        </is>
      </c>
      <c r="B814" s="193">
        <f>COUNTIF(Kalkulasi!$P$772:$P$789,"&gt;0")</f>
        <v/>
      </c>
    </row>
    <row r="815">
      <c r="A815" t="inlineStr">
        <is>
          <t>Jam</t>
        </is>
      </c>
      <c r="B815" t="inlineStr">
        <is>
          <t>Rain</t>
        </is>
      </c>
      <c r="C815" t="inlineStr">
        <is>
          <t>Slippery</t>
        </is>
      </c>
      <c r="D815" t="inlineStr">
        <is>
          <t>Istirahat</t>
        </is>
      </c>
      <c r="E815" t="inlineStr">
        <is>
          <t>P2H / Ganti shift</t>
        </is>
      </c>
      <c r="F815" t="inlineStr">
        <is>
          <t>Standby</t>
        </is>
      </c>
      <c r="G815" t="inlineStr">
        <is>
          <t>Breakdown</t>
        </is>
      </c>
      <c r="H815" t="inlineStr">
        <is>
          <t>Lainnya</t>
        </is>
      </c>
      <c r="I815" t="inlineStr">
        <is>
          <t>Hujan+slippery (mnt)</t>
        </is>
      </c>
      <c r="J815" t="inlineStr">
        <is>
          <t>PTY fleet</t>
        </is>
      </c>
      <c r="K815" t="inlineStr">
        <is>
          <t>Prod</t>
        </is>
      </c>
      <c r="L815" t="inlineStr">
        <is>
          <t>EWH</t>
        </is>
      </c>
    </row>
    <row r="816">
      <c r="A816">
        <f>Kalkulasi!$A$756</f>
        <v/>
      </c>
      <c r="B816">
        <f>SUMIFS(INPUT_DELAY!$E$5:$E$20000,INPUT_DELAY!$A$5:$A$20000,Kalkulasi!$B$751,INPUT_DELAY!$B$5:$B$20000,$A816,INPUT_DELAY!$C$5:$C$20000,"SEMUA",INPUT_DELAY!$D$5:$D$20000,"Rain")*Kalkulasi!$B$814+SUMIFS(INPUT_DELAY!$E$5:$E$20000,INPUT_DELAY!$A$5:$A$20000,Kalkulasi!$B$751,INPUT_DELAY!$B$5:$B$20000,$A816,INPUT_DELAY!$C$5:$C$20000,"&lt;&gt;SEMUA",INPUT_DELAY!$D$5:$D$20000,"Rain")</f>
        <v/>
      </c>
      <c r="C816">
        <f>SUMIFS(INPUT_DELAY!$E$5:$E$20000,INPUT_DELAY!$A$5:$A$20000,Kalkulasi!$B$751,INPUT_DELAY!$B$5:$B$20000,$A816,INPUT_DELAY!$C$5:$C$20000,"SEMUA",INPUT_DELAY!$D$5:$D$20000,"Slippery")*Kalkulasi!$B$814+SUMIFS(INPUT_DELAY!$E$5:$E$20000,INPUT_DELAY!$A$5:$A$20000,Kalkulasi!$B$751,INPUT_DELAY!$B$5:$B$20000,$A816,INPUT_DELAY!$C$5:$C$20000,"&lt;&gt;SEMUA",INPUT_DELAY!$D$5:$D$20000,"Slippery")</f>
        <v/>
      </c>
      <c r="D816">
        <f>SUMIFS(INPUT_DELAY!$E$5:$E$20000,INPUT_DELAY!$A$5:$A$20000,Kalkulasi!$B$751,INPUT_DELAY!$B$5:$B$20000,$A816,INPUT_DELAY!$C$5:$C$20000,"SEMUA",INPUT_DELAY!$D$5:$D$20000,"Istirahat")*Kalkulasi!$B$814+SUMIFS(INPUT_DELAY!$E$5:$E$20000,INPUT_DELAY!$A$5:$A$20000,Kalkulasi!$B$751,INPUT_DELAY!$B$5:$B$20000,$A816,INPUT_DELAY!$C$5:$C$20000,"&lt;&gt;SEMUA",INPUT_DELAY!$D$5:$D$20000,"Istirahat")</f>
        <v/>
      </c>
      <c r="E816">
        <f>SUMIFS(INPUT_DELAY!$E$5:$E$20000,INPUT_DELAY!$A$5:$A$20000,Kalkulasi!$B$751,INPUT_DELAY!$B$5:$B$20000,$A816,INPUT_DELAY!$C$5:$C$20000,"SEMUA",INPUT_DELAY!$D$5:$D$20000,"P2H / Ganti shift")*Kalkulasi!$B$814+SUMIFS(INPUT_DELAY!$E$5:$E$20000,INPUT_DELAY!$A$5:$A$20000,Kalkulasi!$B$751,INPUT_DELAY!$B$5:$B$20000,$A816,INPUT_DELAY!$C$5:$C$20000,"&lt;&gt;SEMUA",INPUT_DELAY!$D$5:$D$20000,"P2H / Ganti shift")</f>
        <v/>
      </c>
      <c r="F816">
        <f>SUMIFS(INPUT_DELAY!$E$5:$E$20000,INPUT_DELAY!$A$5:$A$20000,Kalkulasi!$B$751,INPUT_DELAY!$B$5:$B$20000,$A816,INPUT_DELAY!$C$5:$C$20000,"SEMUA",INPUT_DELAY!$D$5:$D$20000,"Standby")*Kalkulasi!$B$814+SUMIFS(INPUT_DELAY!$E$5:$E$20000,INPUT_DELAY!$A$5:$A$20000,Kalkulasi!$B$751,INPUT_DELAY!$B$5:$B$20000,$A816,INPUT_DELAY!$C$5:$C$20000,"&lt;&gt;SEMUA",INPUT_DELAY!$D$5:$D$20000,"Standby")</f>
        <v/>
      </c>
      <c r="G816">
        <f>SUMIFS(INPUT_DELAY!$E$5:$E$20000,INPUT_DELAY!$A$5:$A$20000,Kalkulasi!$B$751,INPUT_DELAY!$B$5:$B$20000,$A816,INPUT_DELAY!$C$5:$C$20000,"SEMUA",INPUT_DELAY!$D$5:$D$20000,"Breakdown")*Kalkulasi!$B$814+SUMIFS(INPUT_DELAY!$E$5:$E$20000,INPUT_DELAY!$A$5:$A$20000,Kalkulasi!$B$751,INPUT_DELAY!$B$5:$B$20000,$A816,INPUT_DELAY!$C$5:$C$20000,"&lt;&gt;SEMUA",INPUT_DELAY!$D$5:$D$20000,"Breakdown")</f>
        <v/>
      </c>
      <c r="H816">
        <f>SUMIFS(INPUT_DELAY!$E$5:$E$20000,INPUT_DELAY!$A$5:$A$20000,Kalkulasi!$B$751,INPUT_DELAY!$B$5:$B$20000,$A816,INPUT_DELAY!$C$5:$C$20000,"SEMUA",INPUT_DELAY!$D$5:$D$20000,"Lainnya")*Kalkulasi!$B$814+SUMIFS(INPUT_DELAY!$E$5:$E$20000,INPUT_DELAY!$A$5:$A$20000,Kalkulasi!$B$751,INPUT_DELAY!$B$5:$B$20000,$A816,INPUT_DELAY!$C$5:$C$20000,"&lt;&gt;SEMUA",INPUT_DELAY!$D$5:$D$20000,"Lainnya")</f>
        <v/>
      </c>
      <c r="I816">
        <f>SUMIFS(INPUT_DELAY!$E$5:$E$20000,INPUT_DELAY!$A$5:$A$20000,Kalkulasi!$B$751,INPUT_DELAY!$B$5:$B$20000,$A816,INPUT_DELAY!$C$5:$C$20000,"SEMUA",INPUT_DELAY!$D$5:$D$20000,"Rain")+SUMIFS(INPUT_DELAY!$E$5:$E$20000,INPUT_DELAY!$A$5:$A$20000,Kalkulasi!$B$751,INPUT_DELAY!$B$5:$B$20000,$A816,INPUT_DELAY!$C$5:$C$20000,"SEMUA",INPUT_DELAY!$D$5:$D$20000,"Slippery")</f>
        <v/>
      </c>
      <c r="J816">
        <f>IF(L816=0,NA(),K816/L816)</f>
        <v/>
      </c>
      <c r="K816">
        <f>SUM(AD772:AD789)</f>
        <v/>
      </c>
      <c r="L816">
        <f>SUM(AQ772:AQ789)</f>
        <v/>
      </c>
    </row>
    <row r="817">
      <c r="A817">
        <f>Kalkulasi!$A$757</f>
        <v/>
      </c>
      <c r="B817">
        <f>SUMIFS(INPUT_DELAY!$E$5:$E$20000,INPUT_DELAY!$A$5:$A$20000,Kalkulasi!$B$751,INPUT_DELAY!$B$5:$B$20000,$A817,INPUT_DELAY!$C$5:$C$20000,"SEMUA",INPUT_DELAY!$D$5:$D$20000,"Rain")*Kalkulasi!$B$814+SUMIFS(INPUT_DELAY!$E$5:$E$20000,INPUT_DELAY!$A$5:$A$20000,Kalkulasi!$B$751,INPUT_DELAY!$B$5:$B$20000,$A817,INPUT_DELAY!$C$5:$C$20000,"&lt;&gt;SEMUA",INPUT_DELAY!$D$5:$D$20000,"Rain")</f>
        <v/>
      </c>
      <c r="C817">
        <f>SUMIFS(INPUT_DELAY!$E$5:$E$20000,INPUT_DELAY!$A$5:$A$20000,Kalkulasi!$B$751,INPUT_DELAY!$B$5:$B$20000,$A817,INPUT_DELAY!$C$5:$C$20000,"SEMUA",INPUT_DELAY!$D$5:$D$20000,"Slippery")*Kalkulasi!$B$814+SUMIFS(INPUT_DELAY!$E$5:$E$20000,INPUT_DELAY!$A$5:$A$20000,Kalkulasi!$B$751,INPUT_DELAY!$B$5:$B$20000,$A817,INPUT_DELAY!$C$5:$C$20000,"&lt;&gt;SEMUA",INPUT_DELAY!$D$5:$D$20000,"Slippery")</f>
        <v/>
      </c>
      <c r="D817">
        <f>SUMIFS(INPUT_DELAY!$E$5:$E$20000,INPUT_DELAY!$A$5:$A$20000,Kalkulasi!$B$751,INPUT_DELAY!$B$5:$B$20000,$A817,INPUT_DELAY!$C$5:$C$20000,"SEMUA",INPUT_DELAY!$D$5:$D$20000,"Istirahat")*Kalkulasi!$B$814+SUMIFS(INPUT_DELAY!$E$5:$E$20000,INPUT_DELAY!$A$5:$A$20000,Kalkulasi!$B$751,INPUT_DELAY!$B$5:$B$20000,$A817,INPUT_DELAY!$C$5:$C$20000,"&lt;&gt;SEMUA",INPUT_DELAY!$D$5:$D$20000,"Istirahat")</f>
        <v/>
      </c>
      <c r="E817">
        <f>SUMIFS(INPUT_DELAY!$E$5:$E$20000,INPUT_DELAY!$A$5:$A$20000,Kalkulasi!$B$751,INPUT_DELAY!$B$5:$B$20000,$A817,INPUT_DELAY!$C$5:$C$20000,"SEMUA",INPUT_DELAY!$D$5:$D$20000,"P2H / Ganti shift")*Kalkulasi!$B$814+SUMIFS(INPUT_DELAY!$E$5:$E$20000,INPUT_DELAY!$A$5:$A$20000,Kalkulasi!$B$751,INPUT_DELAY!$B$5:$B$20000,$A817,INPUT_DELAY!$C$5:$C$20000,"&lt;&gt;SEMUA",INPUT_DELAY!$D$5:$D$20000,"P2H / Ganti shift")</f>
        <v/>
      </c>
      <c r="F817">
        <f>SUMIFS(INPUT_DELAY!$E$5:$E$20000,INPUT_DELAY!$A$5:$A$20000,Kalkulasi!$B$751,INPUT_DELAY!$B$5:$B$20000,$A817,INPUT_DELAY!$C$5:$C$20000,"SEMUA",INPUT_DELAY!$D$5:$D$20000,"Standby")*Kalkulasi!$B$814+SUMIFS(INPUT_DELAY!$E$5:$E$20000,INPUT_DELAY!$A$5:$A$20000,Kalkulasi!$B$751,INPUT_DELAY!$B$5:$B$20000,$A817,INPUT_DELAY!$C$5:$C$20000,"&lt;&gt;SEMUA",INPUT_DELAY!$D$5:$D$20000,"Standby")</f>
        <v/>
      </c>
      <c r="G817">
        <f>SUMIFS(INPUT_DELAY!$E$5:$E$20000,INPUT_DELAY!$A$5:$A$20000,Kalkulasi!$B$751,INPUT_DELAY!$B$5:$B$20000,$A817,INPUT_DELAY!$C$5:$C$20000,"SEMUA",INPUT_DELAY!$D$5:$D$20000,"Breakdown")*Kalkulasi!$B$814+SUMIFS(INPUT_DELAY!$E$5:$E$20000,INPUT_DELAY!$A$5:$A$20000,Kalkulasi!$B$751,INPUT_DELAY!$B$5:$B$20000,$A817,INPUT_DELAY!$C$5:$C$20000,"&lt;&gt;SEMUA",INPUT_DELAY!$D$5:$D$20000,"Breakdown")</f>
        <v/>
      </c>
      <c r="H817">
        <f>SUMIFS(INPUT_DELAY!$E$5:$E$20000,INPUT_DELAY!$A$5:$A$20000,Kalkulasi!$B$751,INPUT_DELAY!$B$5:$B$20000,$A817,INPUT_DELAY!$C$5:$C$20000,"SEMUA",INPUT_DELAY!$D$5:$D$20000,"Lainnya")*Kalkulasi!$B$814+SUMIFS(INPUT_DELAY!$E$5:$E$20000,INPUT_DELAY!$A$5:$A$20000,Kalkulasi!$B$751,INPUT_DELAY!$B$5:$B$20000,$A817,INPUT_DELAY!$C$5:$C$20000,"&lt;&gt;SEMUA",INPUT_DELAY!$D$5:$D$20000,"Lainnya")</f>
        <v/>
      </c>
      <c r="I817">
        <f>SUMIFS(INPUT_DELAY!$E$5:$E$20000,INPUT_DELAY!$A$5:$A$20000,Kalkulasi!$B$751,INPUT_DELAY!$B$5:$B$20000,$A817,INPUT_DELAY!$C$5:$C$20000,"SEMUA",INPUT_DELAY!$D$5:$D$20000,"Rain")+SUMIFS(INPUT_DELAY!$E$5:$E$20000,INPUT_DELAY!$A$5:$A$20000,Kalkulasi!$B$751,INPUT_DELAY!$B$5:$B$20000,$A817,INPUT_DELAY!$C$5:$C$20000,"SEMUA",INPUT_DELAY!$D$5:$D$20000,"Slippery")</f>
        <v/>
      </c>
      <c r="J817">
        <f>IF(L817=0,NA(),K817/L817)</f>
        <v/>
      </c>
      <c r="K817">
        <f>SUM(AE772:AE789)</f>
        <v/>
      </c>
      <c r="L817">
        <f>SUM(AR772:AR789)</f>
        <v/>
      </c>
    </row>
    <row r="818">
      <c r="A818">
        <f>Kalkulasi!$A$758</f>
        <v/>
      </c>
      <c r="B818">
        <f>SUMIFS(INPUT_DELAY!$E$5:$E$20000,INPUT_DELAY!$A$5:$A$20000,Kalkulasi!$B$751,INPUT_DELAY!$B$5:$B$20000,$A818,INPUT_DELAY!$C$5:$C$20000,"SEMUA",INPUT_DELAY!$D$5:$D$20000,"Rain")*Kalkulasi!$B$814+SUMIFS(INPUT_DELAY!$E$5:$E$20000,INPUT_DELAY!$A$5:$A$20000,Kalkulasi!$B$751,INPUT_DELAY!$B$5:$B$20000,$A818,INPUT_DELAY!$C$5:$C$20000,"&lt;&gt;SEMUA",INPUT_DELAY!$D$5:$D$20000,"Rain")</f>
        <v/>
      </c>
      <c r="C818">
        <f>SUMIFS(INPUT_DELAY!$E$5:$E$20000,INPUT_DELAY!$A$5:$A$20000,Kalkulasi!$B$751,INPUT_DELAY!$B$5:$B$20000,$A818,INPUT_DELAY!$C$5:$C$20000,"SEMUA",INPUT_DELAY!$D$5:$D$20000,"Slippery")*Kalkulasi!$B$814+SUMIFS(INPUT_DELAY!$E$5:$E$20000,INPUT_DELAY!$A$5:$A$20000,Kalkulasi!$B$751,INPUT_DELAY!$B$5:$B$20000,$A818,INPUT_DELAY!$C$5:$C$20000,"&lt;&gt;SEMUA",INPUT_DELAY!$D$5:$D$20000,"Slippery")</f>
        <v/>
      </c>
      <c r="D818">
        <f>SUMIFS(INPUT_DELAY!$E$5:$E$20000,INPUT_DELAY!$A$5:$A$20000,Kalkulasi!$B$751,INPUT_DELAY!$B$5:$B$20000,$A818,INPUT_DELAY!$C$5:$C$20000,"SEMUA",INPUT_DELAY!$D$5:$D$20000,"Istirahat")*Kalkulasi!$B$814+SUMIFS(INPUT_DELAY!$E$5:$E$20000,INPUT_DELAY!$A$5:$A$20000,Kalkulasi!$B$751,INPUT_DELAY!$B$5:$B$20000,$A818,INPUT_DELAY!$C$5:$C$20000,"&lt;&gt;SEMUA",INPUT_DELAY!$D$5:$D$20000,"Istirahat")</f>
        <v/>
      </c>
      <c r="E818">
        <f>SUMIFS(INPUT_DELAY!$E$5:$E$20000,INPUT_DELAY!$A$5:$A$20000,Kalkulasi!$B$751,INPUT_DELAY!$B$5:$B$20000,$A818,INPUT_DELAY!$C$5:$C$20000,"SEMUA",INPUT_DELAY!$D$5:$D$20000,"P2H / Ganti shift")*Kalkulasi!$B$814+SUMIFS(INPUT_DELAY!$E$5:$E$20000,INPUT_DELAY!$A$5:$A$20000,Kalkulasi!$B$751,INPUT_DELAY!$B$5:$B$20000,$A818,INPUT_DELAY!$C$5:$C$20000,"&lt;&gt;SEMUA",INPUT_DELAY!$D$5:$D$20000,"P2H / Ganti shift")</f>
        <v/>
      </c>
      <c r="F818">
        <f>SUMIFS(INPUT_DELAY!$E$5:$E$20000,INPUT_DELAY!$A$5:$A$20000,Kalkulasi!$B$751,INPUT_DELAY!$B$5:$B$20000,$A818,INPUT_DELAY!$C$5:$C$20000,"SEMUA",INPUT_DELAY!$D$5:$D$20000,"Standby")*Kalkulasi!$B$814+SUMIFS(INPUT_DELAY!$E$5:$E$20000,INPUT_DELAY!$A$5:$A$20000,Kalkulasi!$B$751,INPUT_DELAY!$B$5:$B$20000,$A818,INPUT_DELAY!$C$5:$C$20000,"&lt;&gt;SEMUA",INPUT_DELAY!$D$5:$D$20000,"Standby")</f>
        <v/>
      </c>
      <c r="G818">
        <f>SUMIFS(INPUT_DELAY!$E$5:$E$20000,INPUT_DELAY!$A$5:$A$20000,Kalkulasi!$B$751,INPUT_DELAY!$B$5:$B$20000,$A818,INPUT_DELAY!$C$5:$C$20000,"SEMUA",INPUT_DELAY!$D$5:$D$20000,"Breakdown")*Kalkulasi!$B$814+SUMIFS(INPUT_DELAY!$E$5:$E$20000,INPUT_DELAY!$A$5:$A$20000,Kalkulasi!$B$751,INPUT_DELAY!$B$5:$B$20000,$A818,INPUT_DELAY!$C$5:$C$20000,"&lt;&gt;SEMUA",INPUT_DELAY!$D$5:$D$20000,"Breakdown")</f>
        <v/>
      </c>
      <c r="H818">
        <f>SUMIFS(INPUT_DELAY!$E$5:$E$20000,INPUT_DELAY!$A$5:$A$20000,Kalkulasi!$B$751,INPUT_DELAY!$B$5:$B$20000,$A818,INPUT_DELAY!$C$5:$C$20000,"SEMUA",INPUT_DELAY!$D$5:$D$20000,"Lainnya")*Kalkulasi!$B$814+SUMIFS(INPUT_DELAY!$E$5:$E$20000,INPUT_DELAY!$A$5:$A$20000,Kalkulasi!$B$751,INPUT_DELAY!$B$5:$B$20000,$A818,INPUT_DELAY!$C$5:$C$20000,"&lt;&gt;SEMUA",INPUT_DELAY!$D$5:$D$20000,"Lainnya")</f>
        <v/>
      </c>
      <c r="I818">
        <f>SUMIFS(INPUT_DELAY!$E$5:$E$20000,INPUT_DELAY!$A$5:$A$20000,Kalkulasi!$B$751,INPUT_DELAY!$B$5:$B$20000,$A818,INPUT_DELAY!$C$5:$C$20000,"SEMUA",INPUT_DELAY!$D$5:$D$20000,"Rain")+SUMIFS(INPUT_DELAY!$E$5:$E$20000,INPUT_DELAY!$A$5:$A$20000,Kalkulasi!$B$751,INPUT_DELAY!$B$5:$B$20000,$A818,INPUT_DELAY!$C$5:$C$20000,"SEMUA",INPUT_DELAY!$D$5:$D$20000,"Slippery")</f>
        <v/>
      </c>
      <c r="J818">
        <f>IF(L818=0,NA(),K818/L818)</f>
        <v/>
      </c>
      <c r="K818">
        <f>SUM(AF772:AF789)</f>
        <v/>
      </c>
      <c r="L818">
        <f>SUM(AS772:AS789)</f>
        <v/>
      </c>
    </row>
    <row r="819">
      <c r="A819">
        <f>Kalkulasi!$A$759</f>
        <v/>
      </c>
      <c r="B819">
        <f>SUMIFS(INPUT_DELAY!$E$5:$E$20000,INPUT_DELAY!$A$5:$A$20000,Kalkulasi!$B$751,INPUT_DELAY!$B$5:$B$20000,$A819,INPUT_DELAY!$C$5:$C$20000,"SEMUA",INPUT_DELAY!$D$5:$D$20000,"Rain")*Kalkulasi!$B$814+SUMIFS(INPUT_DELAY!$E$5:$E$20000,INPUT_DELAY!$A$5:$A$20000,Kalkulasi!$B$751,INPUT_DELAY!$B$5:$B$20000,$A819,INPUT_DELAY!$C$5:$C$20000,"&lt;&gt;SEMUA",INPUT_DELAY!$D$5:$D$20000,"Rain")</f>
        <v/>
      </c>
      <c r="C819">
        <f>SUMIFS(INPUT_DELAY!$E$5:$E$20000,INPUT_DELAY!$A$5:$A$20000,Kalkulasi!$B$751,INPUT_DELAY!$B$5:$B$20000,$A819,INPUT_DELAY!$C$5:$C$20000,"SEMUA",INPUT_DELAY!$D$5:$D$20000,"Slippery")*Kalkulasi!$B$814+SUMIFS(INPUT_DELAY!$E$5:$E$20000,INPUT_DELAY!$A$5:$A$20000,Kalkulasi!$B$751,INPUT_DELAY!$B$5:$B$20000,$A819,INPUT_DELAY!$C$5:$C$20000,"&lt;&gt;SEMUA",INPUT_DELAY!$D$5:$D$20000,"Slippery")</f>
        <v/>
      </c>
      <c r="D819">
        <f>SUMIFS(INPUT_DELAY!$E$5:$E$20000,INPUT_DELAY!$A$5:$A$20000,Kalkulasi!$B$751,INPUT_DELAY!$B$5:$B$20000,$A819,INPUT_DELAY!$C$5:$C$20000,"SEMUA",INPUT_DELAY!$D$5:$D$20000,"Istirahat")*Kalkulasi!$B$814+SUMIFS(INPUT_DELAY!$E$5:$E$20000,INPUT_DELAY!$A$5:$A$20000,Kalkulasi!$B$751,INPUT_DELAY!$B$5:$B$20000,$A819,INPUT_DELAY!$C$5:$C$20000,"&lt;&gt;SEMUA",INPUT_DELAY!$D$5:$D$20000,"Istirahat")</f>
        <v/>
      </c>
      <c r="E819">
        <f>SUMIFS(INPUT_DELAY!$E$5:$E$20000,INPUT_DELAY!$A$5:$A$20000,Kalkulasi!$B$751,INPUT_DELAY!$B$5:$B$20000,$A819,INPUT_DELAY!$C$5:$C$20000,"SEMUA",INPUT_DELAY!$D$5:$D$20000,"P2H / Ganti shift")*Kalkulasi!$B$814+SUMIFS(INPUT_DELAY!$E$5:$E$20000,INPUT_DELAY!$A$5:$A$20000,Kalkulasi!$B$751,INPUT_DELAY!$B$5:$B$20000,$A819,INPUT_DELAY!$C$5:$C$20000,"&lt;&gt;SEMUA",INPUT_DELAY!$D$5:$D$20000,"P2H / Ganti shift")</f>
        <v/>
      </c>
      <c r="F819">
        <f>SUMIFS(INPUT_DELAY!$E$5:$E$20000,INPUT_DELAY!$A$5:$A$20000,Kalkulasi!$B$751,INPUT_DELAY!$B$5:$B$20000,$A819,INPUT_DELAY!$C$5:$C$20000,"SEMUA",INPUT_DELAY!$D$5:$D$20000,"Standby")*Kalkulasi!$B$814+SUMIFS(INPUT_DELAY!$E$5:$E$20000,INPUT_DELAY!$A$5:$A$20000,Kalkulasi!$B$751,INPUT_DELAY!$B$5:$B$20000,$A819,INPUT_DELAY!$C$5:$C$20000,"&lt;&gt;SEMUA",INPUT_DELAY!$D$5:$D$20000,"Standby")</f>
        <v/>
      </c>
      <c r="G819">
        <f>SUMIFS(INPUT_DELAY!$E$5:$E$20000,INPUT_DELAY!$A$5:$A$20000,Kalkulasi!$B$751,INPUT_DELAY!$B$5:$B$20000,$A819,INPUT_DELAY!$C$5:$C$20000,"SEMUA",INPUT_DELAY!$D$5:$D$20000,"Breakdown")*Kalkulasi!$B$814+SUMIFS(INPUT_DELAY!$E$5:$E$20000,INPUT_DELAY!$A$5:$A$20000,Kalkulasi!$B$751,INPUT_DELAY!$B$5:$B$20000,$A819,INPUT_DELAY!$C$5:$C$20000,"&lt;&gt;SEMUA",INPUT_DELAY!$D$5:$D$20000,"Breakdown")</f>
        <v/>
      </c>
      <c r="H819">
        <f>SUMIFS(INPUT_DELAY!$E$5:$E$20000,INPUT_DELAY!$A$5:$A$20000,Kalkulasi!$B$751,INPUT_DELAY!$B$5:$B$20000,$A819,INPUT_DELAY!$C$5:$C$20000,"SEMUA",INPUT_DELAY!$D$5:$D$20000,"Lainnya")*Kalkulasi!$B$814+SUMIFS(INPUT_DELAY!$E$5:$E$20000,INPUT_DELAY!$A$5:$A$20000,Kalkulasi!$B$751,INPUT_DELAY!$B$5:$B$20000,$A819,INPUT_DELAY!$C$5:$C$20000,"&lt;&gt;SEMUA",INPUT_DELAY!$D$5:$D$20000,"Lainnya")</f>
        <v/>
      </c>
      <c r="I819">
        <f>SUMIFS(INPUT_DELAY!$E$5:$E$20000,INPUT_DELAY!$A$5:$A$20000,Kalkulasi!$B$751,INPUT_DELAY!$B$5:$B$20000,$A819,INPUT_DELAY!$C$5:$C$20000,"SEMUA",INPUT_DELAY!$D$5:$D$20000,"Rain")+SUMIFS(INPUT_DELAY!$E$5:$E$20000,INPUT_DELAY!$A$5:$A$20000,Kalkulasi!$B$751,INPUT_DELAY!$B$5:$B$20000,$A819,INPUT_DELAY!$C$5:$C$20000,"SEMUA",INPUT_DELAY!$D$5:$D$20000,"Slippery")</f>
        <v/>
      </c>
      <c r="J819">
        <f>IF(L819=0,NA(),K819/L819)</f>
        <v/>
      </c>
      <c r="K819">
        <f>SUM(AG772:AG789)</f>
        <v/>
      </c>
      <c r="L819">
        <f>SUM(AT772:AT789)</f>
        <v/>
      </c>
    </row>
    <row r="820">
      <c r="A820">
        <f>Kalkulasi!$A$760</f>
        <v/>
      </c>
      <c r="B820">
        <f>SUMIFS(INPUT_DELAY!$E$5:$E$20000,INPUT_DELAY!$A$5:$A$20000,Kalkulasi!$B$751,INPUT_DELAY!$B$5:$B$20000,$A820,INPUT_DELAY!$C$5:$C$20000,"SEMUA",INPUT_DELAY!$D$5:$D$20000,"Rain")*Kalkulasi!$B$814+SUMIFS(INPUT_DELAY!$E$5:$E$20000,INPUT_DELAY!$A$5:$A$20000,Kalkulasi!$B$751,INPUT_DELAY!$B$5:$B$20000,$A820,INPUT_DELAY!$C$5:$C$20000,"&lt;&gt;SEMUA",INPUT_DELAY!$D$5:$D$20000,"Rain")</f>
        <v/>
      </c>
      <c r="C820">
        <f>SUMIFS(INPUT_DELAY!$E$5:$E$20000,INPUT_DELAY!$A$5:$A$20000,Kalkulasi!$B$751,INPUT_DELAY!$B$5:$B$20000,$A820,INPUT_DELAY!$C$5:$C$20000,"SEMUA",INPUT_DELAY!$D$5:$D$20000,"Slippery")*Kalkulasi!$B$814+SUMIFS(INPUT_DELAY!$E$5:$E$20000,INPUT_DELAY!$A$5:$A$20000,Kalkulasi!$B$751,INPUT_DELAY!$B$5:$B$20000,$A820,INPUT_DELAY!$C$5:$C$20000,"&lt;&gt;SEMUA",INPUT_DELAY!$D$5:$D$20000,"Slippery")</f>
        <v/>
      </c>
      <c r="D820">
        <f>SUMIFS(INPUT_DELAY!$E$5:$E$20000,INPUT_DELAY!$A$5:$A$20000,Kalkulasi!$B$751,INPUT_DELAY!$B$5:$B$20000,$A820,INPUT_DELAY!$C$5:$C$20000,"SEMUA",INPUT_DELAY!$D$5:$D$20000,"Istirahat")*Kalkulasi!$B$814+SUMIFS(INPUT_DELAY!$E$5:$E$20000,INPUT_DELAY!$A$5:$A$20000,Kalkulasi!$B$751,INPUT_DELAY!$B$5:$B$20000,$A820,INPUT_DELAY!$C$5:$C$20000,"&lt;&gt;SEMUA",INPUT_DELAY!$D$5:$D$20000,"Istirahat")</f>
        <v/>
      </c>
      <c r="E820">
        <f>SUMIFS(INPUT_DELAY!$E$5:$E$20000,INPUT_DELAY!$A$5:$A$20000,Kalkulasi!$B$751,INPUT_DELAY!$B$5:$B$20000,$A820,INPUT_DELAY!$C$5:$C$20000,"SEMUA",INPUT_DELAY!$D$5:$D$20000,"P2H / Ganti shift")*Kalkulasi!$B$814+SUMIFS(INPUT_DELAY!$E$5:$E$20000,INPUT_DELAY!$A$5:$A$20000,Kalkulasi!$B$751,INPUT_DELAY!$B$5:$B$20000,$A820,INPUT_DELAY!$C$5:$C$20000,"&lt;&gt;SEMUA",INPUT_DELAY!$D$5:$D$20000,"P2H / Ganti shift")</f>
        <v/>
      </c>
      <c r="F820">
        <f>SUMIFS(INPUT_DELAY!$E$5:$E$20000,INPUT_DELAY!$A$5:$A$20000,Kalkulasi!$B$751,INPUT_DELAY!$B$5:$B$20000,$A820,INPUT_DELAY!$C$5:$C$20000,"SEMUA",INPUT_DELAY!$D$5:$D$20000,"Standby")*Kalkulasi!$B$814+SUMIFS(INPUT_DELAY!$E$5:$E$20000,INPUT_DELAY!$A$5:$A$20000,Kalkulasi!$B$751,INPUT_DELAY!$B$5:$B$20000,$A820,INPUT_DELAY!$C$5:$C$20000,"&lt;&gt;SEMUA",INPUT_DELAY!$D$5:$D$20000,"Standby")</f>
        <v/>
      </c>
      <c r="G820">
        <f>SUMIFS(INPUT_DELAY!$E$5:$E$20000,INPUT_DELAY!$A$5:$A$20000,Kalkulasi!$B$751,INPUT_DELAY!$B$5:$B$20000,$A820,INPUT_DELAY!$C$5:$C$20000,"SEMUA",INPUT_DELAY!$D$5:$D$20000,"Breakdown")*Kalkulasi!$B$814+SUMIFS(INPUT_DELAY!$E$5:$E$20000,INPUT_DELAY!$A$5:$A$20000,Kalkulasi!$B$751,INPUT_DELAY!$B$5:$B$20000,$A820,INPUT_DELAY!$C$5:$C$20000,"&lt;&gt;SEMUA",INPUT_DELAY!$D$5:$D$20000,"Breakdown")</f>
        <v/>
      </c>
      <c r="H820">
        <f>SUMIFS(INPUT_DELAY!$E$5:$E$20000,INPUT_DELAY!$A$5:$A$20000,Kalkulasi!$B$751,INPUT_DELAY!$B$5:$B$20000,$A820,INPUT_DELAY!$C$5:$C$20000,"SEMUA",INPUT_DELAY!$D$5:$D$20000,"Lainnya")*Kalkulasi!$B$814+SUMIFS(INPUT_DELAY!$E$5:$E$20000,INPUT_DELAY!$A$5:$A$20000,Kalkulasi!$B$751,INPUT_DELAY!$B$5:$B$20000,$A820,INPUT_DELAY!$C$5:$C$20000,"&lt;&gt;SEMUA",INPUT_DELAY!$D$5:$D$20000,"Lainnya")</f>
        <v/>
      </c>
      <c r="I820">
        <f>SUMIFS(INPUT_DELAY!$E$5:$E$20000,INPUT_DELAY!$A$5:$A$20000,Kalkulasi!$B$751,INPUT_DELAY!$B$5:$B$20000,$A820,INPUT_DELAY!$C$5:$C$20000,"SEMUA",INPUT_DELAY!$D$5:$D$20000,"Rain")+SUMIFS(INPUT_DELAY!$E$5:$E$20000,INPUT_DELAY!$A$5:$A$20000,Kalkulasi!$B$751,INPUT_DELAY!$B$5:$B$20000,$A820,INPUT_DELAY!$C$5:$C$20000,"SEMUA",INPUT_DELAY!$D$5:$D$20000,"Slippery")</f>
        <v/>
      </c>
      <c r="J820">
        <f>IF(L820=0,NA(),K820/L820)</f>
        <v/>
      </c>
      <c r="K820">
        <f>SUM(AH772:AH789)</f>
        <v/>
      </c>
      <c r="L820">
        <f>SUM(AU772:AU789)</f>
        <v/>
      </c>
    </row>
    <row r="821">
      <c r="A821">
        <f>Kalkulasi!$A$761</f>
        <v/>
      </c>
      <c r="B821">
        <f>SUMIFS(INPUT_DELAY!$E$5:$E$20000,INPUT_DELAY!$A$5:$A$20000,Kalkulasi!$B$751,INPUT_DELAY!$B$5:$B$20000,$A821,INPUT_DELAY!$C$5:$C$20000,"SEMUA",INPUT_DELAY!$D$5:$D$20000,"Rain")*Kalkulasi!$B$814+SUMIFS(INPUT_DELAY!$E$5:$E$20000,INPUT_DELAY!$A$5:$A$20000,Kalkulasi!$B$751,INPUT_DELAY!$B$5:$B$20000,$A821,INPUT_DELAY!$C$5:$C$20000,"&lt;&gt;SEMUA",INPUT_DELAY!$D$5:$D$20000,"Rain")</f>
        <v/>
      </c>
      <c r="C821">
        <f>SUMIFS(INPUT_DELAY!$E$5:$E$20000,INPUT_DELAY!$A$5:$A$20000,Kalkulasi!$B$751,INPUT_DELAY!$B$5:$B$20000,$A821,INPUT_DELAY!$C$5:$C$20000,"SEMUA",INPUT_DELAY!$D$5:$D$20000,"Slippery")*Kalkulasi!$B$814+SUMIFS(INPUT_DELAY!$E$5:$E$20000,INPUT_DELAY!$A$5:$A$20000,Kalkulasi!$B$751,INPUT_DELAY!$B$5:$B$20000,$A821,INPUT_DELAY!$C$5:$C$20000,"&lt;&gt;SEMUA",INPUT_DELAY!$D$5:$D$20000,"Slippery")</f>
        <v/>
      </c>
      <c r="D821">
        <f>SUMIFS(INPUT_DELAY!$E$5:$E$20000,INPUT_DELAY!$A$5:$A$20000,Kalkulasi!$B$751,INPUT_DELAY!$B$5:$B$20000,$A821,INPUT_DELAY!$C$5:$C$20000,"SEMUA",INPUT_DELAY!$D$5:$D$20000,"Istirahat")*Kalkulasi!$B$814+SUMIFS(INPUT_DELAY!$E$5:$E$20000,INPUT_DELAY!$A$5:$A$20000,Kalkulasi!$B$751,INPUT_DELAY!$B$5:$B$20000,$A821,INPUT_DELAY!$C$5:$C$20000,"&lt;&gt;SEMUA",INPUT_DELAY!$D$5:$D$20000,"Istirahat")</f>
        <v/>
      </c>
      <c r="E821">
        <f>SUMIFS(INPUT_DELAY!$E$5:$E$20000,INPUT_DELAY!$A$5:$A$20000,Kalkulasi!$B$751,INPUT_DELAY!$B$5:$B$20000,$A821,INPUT_DELAY!$C$5:$C$20000,"SEMUA",INPUT_DELAY!$D$5:$D$20000,"P2H / Ganti shift")*Kalkulasi!$B$814+SUMIFS(INPUT_DELAY!$E$5:$E$20000,INPUT_DELAY!$A$5:$A$20000,Kalkulasi!$B$751,INPUT_DELAY!$B$5:$B$20000,$A821,INPUT_DELAY!$C$5:$C$20000,"&lt;&gt;SEMUA",INPUT_DELAY!$D$5:$D$20000,"P2H / Ganti shift")</f>
        <v/>
      </c>
      <c r="F821">
        <f>SUMIFS(INPUT_DELAY!$E$5:$E$20000,INPUT_DELAY!$A$5:$A$20000,Kalkulasi!$B$751,INPUT_DELAY!$B$5:$B$20000,$A821,INPUT_DELAY!$C$5:$C$20000,"SEMUA",INPUT_DELAY!$D$5:$D$20000,"Standby")*Kalkulasi!$B$814+SUMIFS(INPUT_DELAY!$E$5:$E$20000,INPUT_DELAY!$A$5:$A$20000,Kalkulasi!$B$751,INPUT_DELAY!$B$5:$B$20000,$A821,INPUT_DELAY!$C$5:$C$20000,"&lt;&gt;SEMUA",INPUT_DELAY!$D$5:$D$20000,"Standby")</f>
        <v/>
      </c>
      <c r="G821">
        <f>SUMIFS(INPUT_DELAY!$E$5:$E$20000,INPUT_DELAY!$A$5:$A$20000,Kalkulasi!$B$751,INPUT_DELAY!$B$5:$B$20000,$A821,INPUT_DELAY!$C$5:$C$20000,"SEMUA",INPUT_DELAY!$D$5:$D$20000,"Breakdown")*Kalkulasi!$B$814+SUMIFS(INPUT_DELAY!$E$5:$E$20000,INPUT_DELAY!$A$5:$A$20000,Kalkulasi!$B$751,INPUT_DELAY!$B$5:$B$20000,$A821,INPUT_DELAY!$C$5:$C$20000,"&lt;&gt;SEMUA",INPUT_DELAY!$D$5:$D$20000,"Breakdown")</f>
        <v/>
      </c>
      <c r="H821">
        <f>SUMIFS(INPUT_DELAY!$E$5:$E$20000,INPUT_DELAY!$A$5:$A$20000,Kalkulasi!$B$751,INPUT_DELAY!$B$5:$B$20000,$A821,INPUT_DELAY!$C$5:$C$20000,"SEMUA",INPUT_DELAY!$D$5:$D$20000,"Lainnya")*Kalkulasi!$B$814+SUMIFS(INPUT_DELAY!$E$5:$E$20000,INPUT_DELAY!$A$5:$A$20000,Kalkulasi!$B$751,INPUT_DELAY!$B$5:$B$20000,$A821,INPUT_DELAY!$C$5:$C$20000,"&lt;&gt;SEMUA",INPUT_DELAY!$D$5:$D$20000,"Lainnya")</f>
        <v/>
      </c>
      <c r="I821">
        <f>SUMIFS(INPUT_DELAY!$E$5:$E$20000,INPUT_DELAY!$A$5:$A$20000,Kalkulasi!$B$751,INPUT_DELAY!$B$5:$B$20000,$A821,INPUT_DELAY!$C$5:$C$20000,"SEMUA",INPUT_DELAY!$D$5:$D$20000,"Rain")+SUMIFS(INPUT_DELAY!$E$5:$E$20000,INPUT_DELAY!$A$5:$A$20000,Kalkulasi!$B$751,INPUT_DELAY!$B$5:$B$20000,$A821,INPUT_DELAY!$C$5:$C$20000,"SEMUA",INPUT_DELAY!$D$5:$D$20000,"Slippery")</f>
        <v/>
      </c>
      <c r="J821">
        <f>IF(L821=0,NA(),K821/L821)</f>
        <v/>
      </c>
      <c r="K821">
        <f>SUM(AI772:AI789)</f>
        <v/>
      </c>
      <c r="L821">
        <f>SUM(AV772:AV789)</f>
        <v/>
      </c>
    </row>
    <row r="822">
      <c r="A822">
        <f>Kalkulasi!$A$762</f>
        <v/>
      </c>
      <c r="B822">
        <f>SUMIFS(INPUT_DELAY!$E$5:$E$20000,INPUT_DELAY!$A$5:$A$20000,Kalkulasi!$B$751,INPUT_DELAY!$B$5:$B$20000,$A822,INPUT_DELAY!$C$5:$C$20000,"SEMUA",INPUT_DELAY!$D$5:$D$20000,"Rain")*Kalkulasi!$B$814+SUMIFS(INPUT_DELAY!$E$5:$E$20000,INPUT_DELAY!$A$5:$A$20000,Kalkulasi!$B$751,INPUT_DELAY!$B$5:$B$20000,$A822,INPUT_DELAY!$C$5:$C$20000,"&lt;&gt;SEMUA",INPUT_DELAY!$D$5:$D$20000,"Rain")</f>
        <v/>
      </c>
      <c r="C822">
        <f>SUMIFS(INPUT_DELAY!$E$5:$E$20000,INPUT_DELAY!$A$5:$A$20000,Kalkulasi!$B$751,INPUT_DELAY!$B$5:$B$20000,$A822,INPUT_DELAY!$C$5:$C$20000,"SEMUA",INPUT_DELAY!$D$5:$D$20000,"Slippery")*Kalkulasi!$B$814+SUMIFS(INPUT_DELAY!$E$5:$E$20000,INPUT_DELAY!$A$5:$A$20000,Kalkulasi!$B$751,INPUT_DELAY!$B$5:$B$20000,$A822,INPUT_DELAY!$C$5:$C$20000,"&lt;&gt;SEMUA",INPUT_DELAY!$D$5:$D$20000,"Slippery")</f>
        <v/>
      </c>
      <c r="D822">
        <f>SUMIFS(INPUT_DELAY!$E$5:$E$20000,INPUT_DELAY!$A$5:$A$20000,Kalkulasi!$B$751,INPUT_DELAY!$B$5:$B$20000,$A822,INPUT_DELAY!$C$5:$C$20000,"SEMUA",INPUT_DELAY!$D$5:$D$20000,"Istirahat")*Kalkulasi!$B$814+SUMIFS(INPUT_DELAY!$E$5:$E$20000,INPUT_DELAY!$A$5:$A$20000,Kalkulasi!$B$751,INPUT_DELAY!$B$5:$B$20000,$A822,INPUT_DELAY!$C$5:$C$20000,"&lt;&gt;SEMUA",INPUT_DELAY!$D$5:$D$20000,"Istirahat")</f>
        <v/>
      </c>
      <c r="E822">
        <f>SUMIFS(INPUT_DELAY!$E$5:$E$20000,INPUT_DELAY!$A$5:$A$20000,Kalkulasi!$B$751,INPUT_DELAY!$B$5:$B$20000,$A822,INPUT_DELAY!$C$5:$C$20000,"SEMUA",INPUT_DELAY!$D$5:$D$20000,"P2H / Ganti shift")*Kalkulasi!$B$814+SUMIFS(INPUT_DELAY!$E$5:$E$20000,INPUT_DELAY!$A$5:$A$20000,Kalkulasi!$B$751,INPUT_DELAY!$B$5:$B$20000,$A822,INPUT_DELAY!$C$5:$C$20000,"&lt;&gt;SEMUA",INPUT_DELAY!$D$5:$D$20000,"P2H / Ganti shift")</f>
        <v/>
      </c>
      <c r="F822">
        <f>SUMIFS(INPUT_DELAY!$E$5:$E$20000,INPUT_DELAY!$A$5:$A$20000,Kalkulasi!$B$751,INPUT_DELAY!$B$5:$B$20000,$A822,INPUT_DELAY!$C$5:$C$20000,"SEMUA",INPUT_DELAY!$D$5:$D$20000,"Standby")*Kalkulasi!$B$814+SUMIFS(INPUT_DELAY!$E$5:$E$20000,INPUT_DELAY!$A$5:$A$20000,Kalkulasi!$B$751,INPUT_DELAY!$B$5:$B$20000,$A822,INPUT_DELAY!$C$5:$C$20000,"&lt;&gt;SEMUA",INPUT_DELAY!$D$5:$D$20000,"Standby")</f>
        <v/>
      </c>
      <c r="G822">
        <f>SUMIFS(INPUT_DELAY!$E$5:$E$20000,INPUT_DELAY!$A$5:$A$20000,Kalkulasi!$B$751,INPUT_DELAY!$B$5:$B$20000,$A822,INPUT_DELAY!$C$5:$C$20000,"SEMUA",INPUT_DELAY!$D$5:$D$20000,"Breakdown")*Kalkulasi!$B$814+SUMIFS(INPUT_DELAY!$E$5:$E$20000,INPUT_DELAY!$A$5:$A$20000,Kalkulasi!$B$751,INPUT_DELAY!$B$5:$B$20000,$A822,INPUT_DELAY!$C$5:$C$20000,"&lt;&gt;SEMUA",INPUT_DELAY!$D$5:$D$20000,"Breakdown")</f>
        <v/>
      </c>
      <c r="H822">
        <f>SUMIFS(INPUT_DELAY!$E$5:$E$20000,INPUT_DELAY!$A$5:$A$20000,Kalkulasi!$B$751,INPUT_DELAY!$B$5:$B$20000,$A822,INPUT_DELAY!$C$5:$C$20000,"SEMUA",INPUT_DELAY!$D$5:$D$20000,"Lainnya")*Kalkulasi!$B$814+SUMIFS(INPUT_DELAY!$E$5:$E$20000,INPUT_DELAY!$A$5:$A$20000,Kalkulasi!$B$751,INPUT_DELAY!$B$5:$B$20000,$A822,INPUT_DELAY!$C$5:$C$20000,"&lt;&gt;SEMUA",INPUT_DELAY!$D$5:$D$20000,"Lainnya")</f>
        <v/>
      </c>
      <c r="I822">
        <f>SUMIFS(INPUT_DELAY!$E$5:$E$20000,INPUT_DELAY!$A$5:$A$20000,Kalkulasi!$B$751,INPUT_DELAY!$B$5:$B$20000,$A822,INPUT_DELAY!$C$5:$C$20000,"SEMUA",INPUT_DELAY!$D$5:$D$20000,"Rain")+SUMIFS(INPUT_DELAY!$E$5:$E$20000,INPUT_DELAY!$A$5:$A$20000,Kalkulasi!$B$751,INPUT_DELAY!$B$5:$B$20000,$A822,INPUT_DELAY!$C$5:$C$20000,"SEMUA",INPUT_DELAY!$D$5:$D$20000,"Slippery")</f>
        <v/>
      </c>
      <c r="J822">
        <f>IF(L822=0,NA(),K822/L822)</f>
        <v/>
      </c>
      <c r="K822">
        <f>SUM(AJ772:AJ789)</f>
        <v/>
      </c>
      <c r="L822">
        <f>SUM(AW772:AW789)</f>
        <v/>
      </c>
    </row>
    <row r="823">
      <c r="A823">
        <f>Kalkulasi!$A$763</f>
        <v/>
      </c>
      <c r="B823">
        <f>SUMIFS(INPUT_DELAY!$E$5:$E$20000,INPUT_DELAY!$A$5:$A$20000,Kalkulasi!$B$751,INPUT_DELAY!$B$5:$B$20000,$A823,INPUT_DELAY!$C$5:$C$20000,"SEMUA",INPUT_DELAY!$D$5:$D$20000,"Rain")*Kalkulasi!$B$814+SUMIFS(INPUT_DELAY!$E$5:$E$20000,INPUT_DELAY!$A$5:$A$20000,Kalkulasi!$B$751,INPUT_DELAY!$B$5:$B$20000,$A823,INPUT_DELAY!$C$5:$C$20000,"&lt;&gt;SEMUA",INPUT_DELAY!$D$5:$D$20000,"Rain")</f>
        <v/>
      </c>
      <c r="C823">
        <f>SUMIFS(INPUT_DELAY!$E$5:$E$20000,INPUT_DELAY!$A$5:$A$20000,Kalkulasi!$B$751,INPUT_DELAY!$B$5:$B$20000,$A823,INPUT_DELAY!$C$5:$C$20000,"SEMUA",INPUT_DELAY!$D$5:$D$20000,"Slippery")*Kalkulasi!$B$814+SUMIFS(INPUT_DELAY!$E$5:$E$20000,INPUT_DELAY!$A$5:$A$20000,Kalkulasi!$B$751,INPUT_DELAY!$B$5:$B$20000,$A823,INPUT_DELAY!$C$5:$C$20000,"&lt;&gt;SEMUA",INPUT_DELAY!$D$5:$D$20000,"Slippery")</f>
        <v/>
      </c>
      <c r="D823">
        <f>SUMIFS(INPUT_DELAY!$E$5:$E$20000,INPUT_DELAY!$A$5:$A$20000,Kalkulasi!$B$751,INPUT_DELAY!$B$5:$B$20000,$A823,INPUT_DELAY!$C$5:$C$20000,"SEMUA",INPUT_DELAY!$D$5:$D$20000,"Istirahat")*Kalkulasi!$B$814+SUMIFS(INPUT_DELAY!$E$5:$E$20000,INPUT_DELAY!$A$5:$A$20000,Kalkulasi!$B$751,INPUT_DELAY!$B$5:$B$20000,$A823,INPUT_DELAY!$C$5:$C$20000,"&lt;&gt;SEMUA",INPUT_DELAY!$D$5:$D$20000,"Istirahat")</f>
        <v/>
      </c>
      <c r="E823">
        <f>SUMIFS(INPUT_DELAY!$E$5:$E$20000,INPUT_DELAY!$A$5:$A$20000,Kalkulasi!$B$751,INPUT_DELAY!$B$5:$B$20000,$A823,INPUT_DELAY!$C$5:$C$20000,"SEMUA",INPUT_DELAY!$D$5:$D$20000,"P2H / Ganti shift")*Kalkulasi!$B$814+SUMIFS(INPUT_DELAY!$E$5:$E$20000,INPUT_DELAY!$A$5:$A$20000,Kalkulasi!$B$751,INPUT_DELAY!$B$5:$B$20000,$A823,INPUT_DELAY!$C$5:$C$20000,"&lt;&gt;SEMUA",INPUT_DELAY!$D$5:$D$20000,"P2H / Ganti shift")</f>
        <v/>
      </c>
      <c r="F823">
        <f>SUMIFS(INPUT_DELAY!$E$5:$E$20000,INPUT_DELAY!$A$5:$A$20000,Kalkulasi!$B$751,INPUT_DELAY!$B$5:$B$20000,$A823,INPUT_DELAY!$C$5:$C$20000,"SEMUA",INPUT_DELAY!$D$5:$D$20000,"Standby")*Kalkulasi!$B$814+SUMIFS(INPUT_DELAY!$E$5:$E$20000,INPUT_DELAY!$A$5:$A$20000,Kalkulasi!$B$751,INPUT_DELAY!$B$5:$B$20000,$A823,INPUT_DELAY!$C$5:$C$20000,"&lt;&gt;SEMUA",INPUT_DELAY!$D$5:$D$20000,"Standby")</f>
        <v/>
      </c>
      <c r="G823">
        <f>SUMIFS(INPUT_DELAY!$E$5:$E$20000,INPUT_DELAY!$A$5:$A$20000,Kalkulasi!$B$751,INPUT_DELAY!$B$5:$B$20000,$A823,INPUT_DELAY!$C$5:$C$20000,"SEMUA",INPUT_DELAY!$D$5:$D$20000,"Breakdown")*Kalkulasi!$B$814+SUMIFS(INPUT_DELAY!$E$5:$E$20000,INPUT_DELAY!$A$5:$A$20000,Kalkulasi!$B$751,INPUT_DELAY!$B$5:$B$20000,$A823,INPUT_DELAY!$C$5:$C$20000,"&lt;&gt;SEMUA",INPUT_DELAY!$D$5:$D$20000,"Breakdown")</f>
        <v/>
      </c>
      <c r="H823">
        <f>SUMIFS(INPUT_DELAY!$E$5:$E$20000,INPUT_DELAY!$A$5:$A$20000,Kalkulasi!$B$751,INPUT_DELAY!$B$5:$B$20000,$A823,INPUT_DELAY!$C$5:$C$20000,"SEMUA",INPUT_DELAY!$D$5:$D$20000,"Lainnya")*Kalkulasi!$B$814+SUMIFS(INPUT_DELAY!$E$5:$E$20000,INPUT_DELAY!$A$5:$A$20000,Kalkulasi!$B$751,INPUT_DELAY!$B$5:$B$20000,$A823,INPUT_DELAY!$C$5:$C$20000,"&lt;&gt;SEMUA",INPUT_DELAY!$D$5:$D$20000,"Lainnya")</f>
        <v/>
      </c>
      <c r="I823">
        <f>SUMIFS(INPUT_DELAY!$E$5:$E$20000,INPUT_DELAY!$A$5:$A$20000,Kalkulasi!$B$751,INPUT_DELAY!$B$5:$B$20000,$A823,INPUT_DELAY!$C$5:$C$20000,"SEMUA",INPUT_DELAY!$D$5:$D$20000,"Rain")+SUMIFS(INPUT_DELAY!$E$5:$E$20000,INPUT_DELAY!$A$5:$A$20000,Kalkulasi!$B$751,INPUT_DELAY!$B$5:$B$20000,$A823,INPUT_DELAY!$C$5:$C$20000,"SEMUA",INPUT_DELAY!$D$5:$D$20000,"Slippery")</f>
        <v/>
      </c>
      <c r="J823">
        <f>IF(L823=0,NA(),K823/L823)</f>
        <v/>
      </c>
      <c r="K823">
        <f>SUM(AK772:AK789)</f>
        <v/>
      </c>
      <c r="L823">
        <f>SUM(AX772:AX789)</f>
        <v/>
      </c>
    </row>
    <row r="824">
      <c r="A824">
        <f>Kalkulasi!$A$764</f>
        <v/>
      </c>
      <c r="B824">
        <f>SUMIFS(INPUT_DELAY!$E$5:$E$20000,INPUT_DELAY!$A$5:$A$20000,Kalkulasi!$B$751,INPUT_DELAY!$B$5:$B$20000,$A824,INPUT_DELAY!$C$5:$C$20000,"SEMUA",INPUT_DELAY!$D$5:$D$20000,"Rain")*Kalkulasi!$B$814+SUMIFS(INPUT_DELAY!$E$5:$E$20000,INPUT_DELAY!$A$5:$A$20000,Kalkulasi!$B$751,INPUT_DELAY!$B$5:$B$20000,$A824,INPUT_DELAY!$C$5:$C$20000,"&lt;&gt;SEMUA",INPUT_DELAY!$D$5:$D$20000,"Rain")</f>
        <v/>
      </c>
      <c r="C824">
        <f>SUMIFS(INPUT_DELAY!$E$5:$E$20000,INPUT_DELAY!$A$5:$A$20000,Kalkulasi!$B$751,INPUT_DELAY!$B$5:$B$20000,$A824,INPUT_DELAY!$C$5:$C$20000,"SEMUA",INPUT_DELAY!$D$5:$D$20000,"Slippery")*Kalkulasi!$B$814+SUMIFS(INPUT_DELAY!$E$5:$E$20000,INPUT_DELAY!$A$5:$A$20000,Kalkulasi!$B$751,INPUT_DELAY!$B$5:$B$20000,$A824,INPUT_DELAY!$C$5:$C$20000,"&lt;&gt;SEMUA",INPUT_DELAY!$D$5:$D$20000,"Slippery")</f>
        <v/>
      </c>
      <c r="D824">
        <f>SUMIFS(INPUT_DELAY!$E$5:$E$20000,INPUT_DELAY!$A$5:$A$20000,Kalkulasi!$B$751,INPUT_DELAY!$B$5:$B$20000,$A824,INPUT_DELAY!$C$5:$C$20000,"SEMUA",INPUT_DELAY!$D$5:$D$20000,"Istirahat")*Kalkulasi!$B$814+SUMIFS(INPUT_DELAY!$E$5:$E$20000,INPUT_DELAY!$A$5:$A$20000,Kalkulasi!$B$751,INPUT_DELAY!$B$5:$B$20000,$A824,INPUT_DELAY!$C$5:$C$20000,"&lt;&gt;SEMUA",INPUT_DELAY!$D$5:$D$20000,"Istirahat")</f>
        <v/>
      </c>
      <c r="E824">
        <f>SUMIFS(INPUT_DELAY!$E$5:$E$20000,INPUT_DELAY!$A$5:$A$20000,Kalkulasi!$B$751,INPUT_DELAY!$B$5:$B$20000,$A824,INPUT_DELAY!$C$5:$C$20000,"SEMUA",INPUT_DELAY!$D$5:$D$20000,"P2H / Ganti shift")*Kalkulasi!$B$814+SUMIFS(INPUT_DELAY!$E$5:$E$20000,INPUT_DELAY!$A$5:$A$20000,Kalkulasi!$B$751,INPUT_DELAY!$B$5:$B$20000,$A824,INPUT_DELAY!$C$5:$C$20000,"&lt;&gt;SEMUA",INPUT_DELAY!$D$5:$D$20000,"P2H / Ganti shift")</f>
        <v/>
      </c>
      <c r="F824">
        <f>SUMIFS(INPUT_DELAY!$E$5:$E$20000,INPUT_DELAY!$A$5:$A$20000,Kalkulasi!$B$751,INPUT_DELAY!$B$5:$B$20000,$A824,INPUT_DELAY!$C$5:$C$20000,"SEMUA",INPUT_DELAY!$D$5:$D$20000,"Standby")*Kalkulasi!$B$814+SUMIFS(INPUT_DELAY!$E$5:$E$20000,INPUT_DELAY!$A$5:$A$20000,Kalkulasi!$B$751,INPUT_DELAY!$B$5:$B$20000,$A824,INPUT_DELAY!$C$5:$C$20000,"&lt;&gt;SEMUA",INPUT_DELAY!$D$5:$D$20000,"Standby")</f>
        <v/>
      </c>
      <c r="G824">
        <f>SUMIFS(INPUT_DELAY!$E$5:$E$20000,INPUT_DELAY!$A$5:$A$20000,Kalkulasi!$B$751,INPUT_DELAY!$B$5:$B$20000,$A824,INPUT_DELAY!$C$5:$C$20000,"SEMUA",INPUT_DELAY!$D$5:$D$20000,"Breakdown")*Kalkulasi!$B$814+SUMIFS(INPUT_DELAY!$E$5:$E$20000,INPUT_DELAY!$A$5:$A$20000,Kalkulasi!$B$751,INPUT_DELAY!$B$5:$B$20000,$A824,INPUT_DELAY!$C$5:$C$20000,"&lt;&gt;SEMUA",INPUT_DELAY!$D$5:$D$20000,"Breakdown")</f>
        <v/>
      </c>
      <c r="H824">
        <f>SUMIFS(INPUT_DELAY!$E$5:$E$20000,INPUT_DELAY!$A$5:$A$20000,Kalkulasi!$B$751,INPUT_DELAY!$B$5:$B$20000,$A824,INPUT_DELAY!$C$5:$C$20000,"SEMUA",INPUT_DELAY!$D$5:$D$20000,"Lainnya")*Kalkulasi!$B$814+SUMIFS(INPUT_DELAY!$E$5:$E$20000,INPUT_DELAY!$A$5:$A$20000,Kalkulasi!$B$751,INPUT_DELAY!$B$5:$B$20000,$A824,INPUT_DELAY!$C$5:$C$20000,"&lt;&gt;SEMUA",INPUT_DELAY!$D$5:$D$20000,"Lainnya")</f>
        <v/>
      </c>
      <c r="I824">
        <f>SUMIFS(INPUT_DELAY!$E$5:$E$20000,INPUT_DELAY!$A$5:$A$20000,Kalkulasi!$B$751,INPUT_DELAY!$B$5:$B$20000,$A824,INPUT_DELAY!$C$5:$C$20000,"SEMUA",INPUT_DELAY!$D$5:$D$20000,"Rain")+SUMIFS(INPUT_DELAY!$E$5:$E$20000,INPUT_DELAY!$A$5:$A$20000,Kalkulasi!$B$751,INPUT_DELAY!$B$5:$B$20000,$A824,INPUT_DELAY!$C$5:$C$20000,"SEMUA",INPUT_DELAY!$D$5:$D$20000,"Slippery")</f>
        <v/>
      </c>
      <c r="J824">
        <f>IF(L824=0,NA(),K824/L824)</f>
        <v/>
      </c>
      <c r="K824">
        <f>SUM(AL772:AL789)</f>
        <v/>
      </c>
      <c r="L824">
        <f>SUM(AY772:AY789)</f>
        <v/>
      </c>
    </row>
    <row r="825">
      <c r="A825">
        <f>Kalkulasi!$A$765</f>
        <v/>
      </c>
      <c r="B825">
        <f>SUMIFS(INPUT_DELAY!$E$5:$E$20000,INPUT_DELAY!$A$5:$A$20000,Kalkulasi!$B$751,INPUT_DELAY!$B$5:$B$20000,$A825,INPUT_DELAY!$C$5:$C$20000,"SEMUA",INPUT_DELAY!$D$5:$D$20000,"Rain")*Kalkulasi!$B$814+SUMIFS(INPUT_DELAY!$E$5:$E$20000,INPUT_DELAY!$A$5:$A$20000,Kalkulasi!$B$751,INPUT_DELAY!$B$5:$B$20000,$A825,INPUT_DELAY!$C$5:$C$20000,"&lt;&gt;SEMUA",INPUT_DELAY!$D$5:$D$20000,"Rain")</f>
        <v/>
      </c>
      <c r="C825">
        <f>SUMIFS(INPUT_DELAY!$E$5:$E$20000,INPUT_DELAY!$A$5:$A$20000,Kalkulasi!$B$751,INPUT_DELAY!$B$5:$B$20000,$A825,INPUT_DELAY!$C$5:$C$20000,"SEMUA",INPUT_DELAY!$D$5:$D$20000,"Slippery")*Kalkulasi!$B$814+SUMIFS(INPUT_DELAY!$E$5:$E$20000,INPUT_DELAY!$A$5:$A$20000,Kalkulasi!$B$751,INPUT_DELAY!$B$5:$B$20000,$A825,INPUT_DELAY!$C$5:$C$20000,"&lt;&gt;SEMUA",INPUT_DELAY!$D$5:$D$20000,"Slippery")</f>
        <v/>
      </c>
      <c r="D825">
        <f>SUMIFS(INPUT_DELAY!$E$5:$E$20000,INPUT_DELAY!$A$5:$A$20000,Kalkulasi!$B$751,INPUT_DELAY!$B$5:$B$20000,$A825,INPUT_DELAY!$C$5:$C$20000,"SEMUA",INPUT_DELAY!$D$5:$D$20000,"Istirahat")*Kalkulasi!$B$814+SUMIFS(INPUT_DELAY!$E$5:$E$20000,INPUT_DELAY!$A$5:$A$20000,Kalkulasi!$B$751,INPUT_DELAY!$B$5:$B$20000,$A825,INPUT_DELAY!$C$5:$C$20000,"&lt;&gt;SEMUA",INPUT_DELAY!$D$5:$D$20000,"Istirahat")</f>
        <v/>
      </c>
      <c r="E825">
        <f>SUMIFS(INPUT_DELAY!$E$5:$E$20000,INPUT_DELAY!$A$5:$A$20000,Kalkulasi!$B$751,INPUT_DELAY!$B$5:$B$20000,$A825,INPUT_DELAY!$C$5:$C$20000,"SEMUA",INPUT_DELAY!$D$5:$D$20000,"P2H / Ganti shift")*Kalkulasi!$B$814+SUMIFS(INPUT_DELAY!$E$5:$E$20000,INPUT_DELAY!$A$5:$A$20000,Kalkulasi!$B$751,INPUT_DELAY!$B$5:$B$20000,$A825,INPUT_DELAY!$C$5:$C$20000,"&lt;&gt;SEMUA",INPUT_DELAY!$D$5:$D$20000,"P2H / Ganti shift")</f>
        <v/>
      </c>
      <c r="F825">
        <f>SUMIFS(INPUT_DELAY!$E$5:$E$20000,INPUT_DELAY!$A$5:$A$20000,Kalkulasi!$B$751,INPUT_DELAY!$B$5:$B$20000,$A825,INPUT_DELAY!$C$5:$C$20000,"SEMUA",INPUT_DELAY!$D$5:$D$20000,"Standby")*Kalkulasi!$B$814+SUMIFS(INPUT_DELAY!$E$5:$E$20000,INPUT_DELAY!$A$5:$A$20000,Kalkulasi!$B$751,INPUT_DELAY!$B$5:$B$20000,$A825,INPUT_DELAY!$C$5:$C$20000,"&lt;&gt;SEMUA",INPUT_DELAY!$D$5:$D$20000,"Standby")</f>
        <v/>
      </c>
      <c r="G825">
        <f>SUMIFS(INPUT_DELAY!$E$5:$E$20000,INPUT_DELAY!$A$5:$A$20000,Kalkulasi!$B$751,INPUT_DELAY!$B$5:$B$20000,$A825,INPUT_DELAY!$C$5:$C$20000,"SEMUA",INPUT_DELAY!$D$5:$D$20000,"Breakdown")*Kalkulasi!$B$814+SUMIFS(INPUT_DELAY!$E$5:$E$20000,INPUT_DELAY!$A$5:$A$20000,Kalkulasi!$B$751,INPUT_DELAY!$B$5:$B$20000,$A825,INPUT_DELAY!$C$5:$C$20000,"&lt;&gt;SEMUA",INPUT_DELAY!$D$5:$D$20000,"Breakdown")</f>
        <v/>
      </c>
      <c r="H825">
        <f>SUMIFS(INPUT_DELAY!$E$5:$E$20000,INPUT_DELAY!$A$5:$A$20000,Kalkulasi!$B$751,INPUT_DELAY!$B$5:$B$20000,$A825,INPUT_DELAY!$C$5:$C$20000,"SEMUA",INPUT_DELAY!$D$5:$D$20000,"Lainnya")*Kalkulasi!$B$814+SUMIFS(INPUT_DELAY!$E$5:$E$20000,INPUT_DELAY!$A$5:$A$20000,Kalkulasi!$B$751,INPUT_DELAY!$B$5:$B$20000,$A825,INPUT_DELAY!$C$5:$C$20000,"&lt;&gt;SEMUA",INPUT_DELAY!$D$5:$D$20000,"Lainnya")</f>
        <v/>
      </c>
      <c r="I825">
        <f>SUMIFS(INPUT_DELAY!$E$5:$E$20000,INPUT_DELAY!$A$5:$A$20000,Kalkulasi!$B$751,INPUT_DELAY!$B$5:$B$20000,$A825,INPUT_DELAY!$C$5:$C$20000,"SEMUA",INPUT_DELAY!$D$5:$D$20000,"Rain")+SUMIFS(INPUT_DELAY!$E$5:$E$20000,INPUT_DELAY!$A$5:$A$20000,Kalkulasi!$B$751,INPUT_DELAY!$B$5:$B$20000,$A825,INPUT_DELAY!$C$5:$C$20000,"SEMUA",INPUT_DELAY!$D$5:$D$20000,"Slippery")</f>
        <v/>
      </c>
      <c r="J825">
        <f>IF(L825=0,NA(),K825/L825)</f>
        <v/>
      </c>
      <c r="K825">
        <f>SUM(AM772:AM789)</f>
        <v/>
      </c>
      <c r="L825">
        <f>SUM(AZ772:AZ789)</f>
        <v/>
      </c>
    </row>
    <row r="826">
      <c r="A826">
        <f>Kalkulasi!$A$766</f>
        <v/>
      </c>
      <c r="B826">
        <f>SUMIFS(INPUT_DELAY!$E$5:$E$20000,INPUT_DELAY!$A$5:$A$20000,Kalkulasi!$B$751,INPUT_DELAY!$B$5:$B$20000,$A826,INPUT_DELAY!$C$5:$C$20000,"SEMUA",INPUT_DELAY!$D$5:$D$20000,"Rain")*Kalkulasi!$B$814+SUMIFS(INPUT_DELAY!$E$5:$E$20000,INPUT_DELAY!$A$5:$A$20000,Kalkulasi!$B$751,INPUT_DELAY!$B$5:$B$20000,$A826,INPUT_DELAY!$C$5:$C$20000,"&lt;&gt;SEMUA",INPUT_DELAY!$D$5:$D$20000,"Rain")</f>
        <v/>
      </c>
      <c r="C826">
        <f>SUMIFS(INPUT_DELAY!$E$5:$E$20000,INPUT_DELAY!$A$5:$A$20000,Kalkulasi!$B$751,INPUT_DELAY!$B$5:$B$20000,$A826,INPUT_DELAY!$C$5:$C$20000,"SEMUA",INPUT_DELAY!$D$5:$D$20000,"Slippery")*Kalkulasi!$B$814+SUMIFS(INPUT_DELAY!$E$5:$E$20000,INPUT_DELAY!$A$5:$A$20000,Kalkulasi!$B$751,INPUT_DELAY!$B$5:$B$20000,$A826,INPUT_DELAY!$C$5:$C$20000,"&lt;&gt;SEMUA",INPUT_DELAY!$D$5:$D$20000,"Slippery")</f>
        <v/>
      </c>
      <c r="D826">
        <f>SUMIFS(INPUT_DELAY!$E$5:$E$20000,INPUT_DELAY!$A$5:$A$20000,Kalkulasi!$B$751,INPUT_DELAY!$B$5:$B$20000,$A826,INPUT_DELAY!$C$5:$C$20000,"SEMUA",INPUT_DELAY!$D$5:$D$20000,"Istirahat")*Kalkulasi!$B$814+SUMIFS(INPUT_DELAY!$E$5:$E$20000,INPUT_DELAY!$A$5:$A$20000,Kalkulasi!$B$751,INPUT_DELAY!$B$5:$B$20000,$A826,INPUT_DELAY!$C$5:$C$20000,"&lt;&gt;SEMUA",INPUT_DELAY!$D$5:$D$20000,"Istirahat")</f>
        <v/>
      </c>
      <c r="E826">
        <f>SUMIFS(INPUT_DELAY!$E$5:$E$20000,INPUT_DELAY!$A$5:$A$20000,Kalkulasi!$B$751,INPUT_DELAY!$B$5:$B$20000,$A826,INPUT_DELAY!$C$5:$C$20000,"SEMUA",INPUT_DELAY!$D$5:$D$20000,"P2H / Ganti shift")*Kalkulasi!$B$814+SUMIFS(INPUT_DELAY!$E$5:$E$20000,INPUT_DELAY!$A$5:$A$20000,Kalkulasi!$B$751,INPUT_DELAY!$B$5:$B$20000,$A826,INPUT_DELAY!$C$5:$C$20000,"&lt;&gt;SEMUA",INPUT_DELAY!$D$5:$D$20000,"P2H / Ganti shift")</f>
        <v/>
      </c>
      <c r="F826">
        <f>SUMIFS(INPUT_DELAY!$E$5:$E$20000,INPUT_DELAY!$A$5:$A$20000,Kalkulasi!$B$751,INPUT_DELAY!$B$5:$B$20000,$A826,INPUT_DELAY!$C$5:$C$20000,"SEMUA",INPUT_DELAY!$D$5:$D$20000,"Standby")*Kalkulasi!$B$814+SUMIFS(INPUT_DELAY!$E$5:$E$20000,INPUT_DELAY!$A$5:$A$20000,Kalkulasi!$B$751,INPUT_DELAY!$B$5:$B$20000,$A826,INPUT_DELAY!$C$5:$C$20000,"&lt;&gt;SEMUA",INPUT_DELAY!$D$5:$D$20000,"Standby")</f>
        <v/>
      </c>
      <c r="G826">
        <f>SUMIFS(INPUT_DELAY!$E$5:$E$20000,INPUT_DELAY!$A$5:$A$20000,Kalkulasi!$B$751,INPUT_DELAY!$B$5:$B$20000,$A826,INPUT_DELAY!$C$5:$C$20000,"SEMUA",INPUT_DELAY!$D$5:$D$20000,"Breakdown")*Kalkulasi!$B$814+SUMIFS(INPUT_DELAY!$E$5:$E$20000,INPUT_DELAY!$A$5:$A$20000,Kalkulasi!$B$751,INPUT_DELAY!$B$5:$B$20000,$A826,INPUT_DELAY!$C$5:$C$20000,"&lt;&gt;SEMUA",INPUT_DELAY!$D$5:$D$20000,"Breakdown")</f>
        <v/>
      </c>
      <c r="H826">
        <f>SUMIFS(INPUT_DELAY!$E$5:$E$20000,INPUT_DELAY!$A$5:$A$20000,Kalkulasi!$B$751,INPUT_DELAY!$B$5:$B$20000,$A826,INPUT_DELAY!$C$5:$C$20000,"SEMUA",INPUT_DELAY!$D$5:$D$20000,"Lainnya")*Kalkulasi!$B$814+SUMIFS(INPUT_DELAY!$E$5:$E$20000,INPUT_DELAY!$A$5:$A$20000,Kalkulasi!$B$751,INPUT_DELAY!$B$5:$B$20000,$A826,INPUT_DELAY!$C$5:$C$20000,"&lt;&gt;SEMUA",INPUT_DELAY!$D$5:$D$20000,"Lainnya")</f>
        <v/>
      </c>
      <c r="I826">
        <f>SUMIFS(INPUT_DELAY!$E$5:$E$20000,INPUT_DELAY!$A$5:$A$20000,Kalkulasi!$B$751,INPUT_DELAY!$B$5:$B$20000,$A826,INPUT_DELAY!$C$5:$C$20000,"SEMUA",INPUT_DELAY!$D$5:$D$20000,"Rain")+SUMIFS(INPUT_DELAY!$E$5:$E$20000,INPUT_DELAY!$A$5:$A$20000,Kalkulasi!$B$751,INPUT_DELAY!$B$5:$B$20000,$A826,INPUT_DELAY!$C$5:$C$20000,"SEMUA",INPUT_DELAY!$D$5:$D$20000,"Slippery")</f>
        <v/>
      </c>
      <c r="J826">
        <f>IF(L826=0,NA(),K826/L826)</f>
        <v/>
      </c>
      <c r="K826">
        <f>SUM(AN772:AN789)</f>
        <v/>
      </c>
      <c r="L826">
        <f>SUM(BA772:BA789)</f>
        <v/>
      </c>
    </row>
    <row r="827">
      <c r="A827">
        <f>Kalkulasi!$A$767</f>
        <v/>
      </c>
      <c r="B827">
        <f>SUMIFS(INPUT_DELAY!$E$5:$E$20000,INPUT_DELAY!$A$5:$A$20000,Kalkulasi!$B$751,INPUT_DELAY!$B$5:$B$20000,$A827,INPUT_DELAY!$C$5:$C$20000,"SEMUA",INPUT_DELAY!$D$5:$D$20000,"Rain")*Kalkulasi!$B$814+SUMIFS(INPUT_DELAY!$E$5:$E$20000,INPUT_DELAY!$A$5:$A$20000,Kalkulasi!$B$751,INPUT_DELAY!$B$5:$B$20000,$A827,INPUT_DELAY!$C$5:$C$20000,"&lt;&gt;SEMUA",INPUT_DELAY!$D$5:$D$20000,"Rain")</f>
        <v/>
      </c>
      <c r="C827">
        <f>SUMIFS(INPUT_DELAY!$E$5:$E$20000,INPUT_DELAY!$A$5:$A$20000,Kalkulasi!$B$751,INPUT_DELAY!$B$5:$B$20000,$A827,INPUT_DELAY!$C$5:$C$20000,"SEMUA",INPUT_DELAY!$D$5:$D$20000,"Slippery")*Kalkulasi!$B$814+SUMIFS(INPUT_DELAY!$E$5:$E$20000,INPUT_DELAY!$A$5:$A$20000,Kalkulasi!$B$751,INPUT_DELAY!$B$5:$B$20000,$A827,INPUT_DELAY!$C$5:$C$20000,"&lt;&gt;SEMUA",INPUT_DELAY!$D$5:$D$20000,"Slippery")</f>
        <v/>
      </c>
      <c r="D827">
        <f>SUMIFS(INPUT_DELAY!$E$5:$E$20000,INPUT_DELAY!$A$5:$A$20000,Kalkulasi!$B$751,INPUT_DELAY!$B$5:$B$20000,$A827,INPUT_DELAY!$C$5:$C$20000,"SEMUA",INPUT_DELAY!$D$5:$D$20000,"Istirahat")*Kalkulasi!$B$814+SUMIFS(INPUT_DELAY!$E$5:$E$20000,INPUT_DELAY!$A$5:$A$20000,Kalkulasi!$B$751,INPUT_DELAY!$B$5:$B$20000,$A827,INPUT_DELAY!$C$5:$C$20000,"&lt;&gt;SEMUA",INPUT_DELAY!$D$5:$D$20000,"Istirahat")</f>
        <v/>
      </c>
      <c r="E827">
        <f>SUMIFS(INPUT_DELAY!$E$5:$E$20000,INPUT_DELAY!$A$5:$A$20000,Kalkulasi!$B$751,INPUT_DELAY!$B$5:$B$20000,$A827,INPUT_DELAY!$C$5:$C$20000,"SEMUA",INPUT_DELAY!$D$5:$D$20000,"P2H / Ganti shift")*Kalkulasi!$B$814+SUMIFS(INPUT_DELAY!$E$5:$E$20000,INPUT_DELAY!$A$5:$A$20000,Kalkulasi!$B$751,INPUT_DELAY!$B$5:$B$20000,$A827,INPUT_DELAY!$C$5:$C$20000,"&lt;&gt;SEMUA",INPUT_DELAY!$D$5:$D$20000,"P2H / Ganti shift")</f>
        <v/>
      </c>
      <c r="F827">
        <f>SUMIFS(INPUT_DELAY!$E$5:$E$20000,INPUT_DELAY!$A$5:$A$20000,Kalkulasi!$B$751,INPUT_DELAY!$B$5:$B$20000,$A827,INPUT_DELAY!$C$5:$C$20000,"SEMUA",INPUT_DELAY!$D$5:$D$20000,"Standby")*Kalkulasi!$B$814+SUMIFS(INPUT_DELAY!$E$5:$E$20000,INPUT_DELAY!$A$5:$A$20000,Kalkulasi!$B$751,INPUT_DELAY!$B$5:$B$20000,$A827,INPUT_DELAY!$C$5:$C$20000,"&lt;&gt;SEMUA",INPUT_DELAY!$D$5:$D$20000,"Standby")</f>
        <v/>
      </c>
      <c r="G827">
        <f>SUMIFS(INPUT_DELAY!$E$5:$E$20000,INPUT_DELAY!$A$5:$A$20000,Kalkulasi!$B$751,INPUT_DELAY!$B$5:$B$20000,$A827,INPUT_DELAY!$C$5:$C$20000,"SEMUA",INPUT_DELAY!$D$5:$D$20000,"Breakdown")*Kalkulasi!$B$814+SUMIFS(INPUT_DELAY!$E$5:$E$20000,INPUT_DELAY!$A$5:$A$20000,Kalkulasi!$B$751,INPUT_DELAY!$B$5:$B$20000,$A827,INPUT_DELAY!$C$5:$C$20000,"&lt;&gt;SEMUA",INPUT_DELAY!$D$5:$D$20000,"Breakdown")</f>
        <v/>
      </c>
      <c r="H827">
        <f>SUMIFS(INPUT_DELAY!$E$5:$E$20000,INPUT_DELAY!$A$5:$A$20000,Kalkulasi!$B$751,INPUT_DELAY!$B$5:$B$20000,$A827,INPUT_DELAY!$C$5:$C$20000,"SEMUA",INPUT_DELAY!$D$5:$D$20000,"Lainnya")*Kalkulasi!$B$814+SUMIFS(INPUT_DELAY!$E$5:$E$20000,INPUT_DELAY!$A$5:$A$20000,Kalkulasi!$B$751,INPUT_DELAY!$B$5:$B$20000,$A827,INPUT_DELAY!$C$5:$C$20000,"&lt;&gt;SEMUA",INPUT_DELAY!$D$5:$D$20000,"Lainnya")</f>
        <v/>
      </c>
      <c r="I827">
        <f>SUMIFS(INPUT_DELAY!$E$5:$E$20000,INPUT_DELAY!$A$5:$A$20000,Kalkulasi!$B$751,INPUT_DELAY!$B$5:$B$20000,$A827,INPUT_DELAY!$C$5:$C$20000,"SEMUA",INPUT_DELAY!$D$5:$D$20000,"Rain")+SUMIFS(INPUT_DELAY!$E$5:$E$20000,INPUT_DELAY!$A$5:$A$20000,Kalkulasi!$B$751,INPUT_DELAY!$B$5:$B$20000,$A827,INPUT_DELAY!$C$5:$C$20000,"SEMUA",INPUT_DELAY!$D$5:$D$20000,"Slippery")</f>
        <v/>
      </c>
      <c r="J827">
        <f>IF(L827=0,NA(),K827/L827)</f>
        <v/>
      </c>
      <c r="K827">
        <f>SUM(AO772:AO789)</f>
        <v/>
      </c>
      <c r="L827">
        <f>SUM(BB772:BB789)</f>
        <v/>
      </c>
    </row>
    <row r="830">
      <c r="A830" s="171" t="inlineStr">
        <is>
          <t>FLEET — total per kategori</t>
        </is>
      </c>
    </row>
    <row r="831">
      <c r="A831" t="inlineStr">
        <is>
          <t>Rain</t>
        </is>
      </c>
      <c r="B831">
        <f>SUM(B816:B827)</f>
        <v/>
      </c>
      <c r="C831">
        <f>B831+ROW()/1000000</f>
        <v/>
      </c>
    </row>
    <row r="832">
      <c r="A832" t="inlineStr">
        <is>
          <t>Slippery</t>
        </is>
      </c>
      <c r="B832">
        <f>SUM(C816:C827)</f>
        <v/>
      </c>
      <c r="C832">
        <f>B832+ROW()/1000000</f>
        <v/>
      </c>
    </row>
    <row r="833">
      <c r="A833" t="inlineStr">
        <is>
          <t>Istirahat</t>
        </is>
      </c>
      <c r="B833">
        <f>SUM(D816:D827)</f>
        <v/>
      </c>
      <c r="C833">
        <f>B833+ROW()/1000000</f>
        <v/>
      </c>
    </row>
    <row r="834">
      <c r="A834" t="inlineStr">
        <is>
          <t>P2H / Ganti shift</t>
        </is>
      </c>
      <c r="B834">
        <f>SUM(E816:E827)</f>
        <v/>
      </c>
      <c r="C834">
        <f>B834+ROW()/1000000</f>
        <v/>
      </c>
    </row>
    <row r="835">
      <c r="A835" t="inlineStr">
        <is>
          <t>Standby</t>
        </is>
      </c>
      <c r="B835">
        <f>SUM(F816:F827)</f>
        <v/>
      </c>
      <c r="C835">
        <f>B835+ROW()/1000000</f>
        <v/>
      </c>
    </row>
    <row r="836">
      <c r="A836" t="inlineStr">
        <is>
          <t>Breakdown</t>
        </is>
      </c>
      <c r="B836">
        <f>SUM(G816:G827)</f>
        <v/>
      </c>
      <c r="C836">
        <f>B836+ROW()/1000000</f>
        <v/>
      </c>
    </row>
    <row r="837">
      <c r="A837" t="inlineStr">
        <is>
          <t>Lainnya</t>
        </is>
      </c>
      <c r="B837">
        <f>SUM(H816:H827)</f>
        <v/>
      </c>
      <c r="C837">
        <f>B837+ROW()/1000000</f>
        <v/>
      </c>
    </row>
    <row r="840">
      <c r="A840" s="171" t="inlineStr">
        <is>
          <t>FLEET — delay per digger × kategori</t>
        </is>
      </c>
    </row>
    <row r="841">
      <c r="B841" t="inlineStr">
        <is>
          <t>Rain</t>
        </is>
      </c>
      <c r="C841" t="inlineStr">
        <is>
          <t>Slippery</t>
        </is>
      </c>
      <c r="D841" t="inlineStr">
        <is>
          <t>Istirahat</t>
        </is>
      </c>
      <c r="E841" t="inlineStr">
        <is>
          <t>P2H / Ganti shift</t>
        </is>
      </c>
      <c r="F841" t="inlineStr">
        <is>
          <t>Standby</t>
        </is>
      </c>
      <c r="G841" t="inlineStr">
        <is>
          <t>Breakdown</t>
        </is>
      </c>
      <c r="H841" t="inlineStr">
        <is>
          <t>Lainnya</t>
        </is>
      </c>
      <c r="I841" t="inlineStr">
        <is>
          <t>Total</t>
        </is>
      </c>
      <c r="J841" t="inlineStr">
        <is>
          <t>Sort</t>
        </is>
      </c>
    </row>
    <row r="842">
      <c r="A842" t="inlineStr">
        <is>
          <t>EX-1251</t>
        </is>
      </c>
      <c r="B842">
        <f>SUMIFS(INPUT_DELAY!$E$5:$E$20000,INPUT_DELAY!$A$5:$A$20000,Kalkulasi!$B$751,INPUT_DELAY!$G$5:$G$20000,Kalkulasi!$B$752,INPUT_DELAY!$C$5:$C$20000,$A842,INPUT_DELAY!$D$5:$D$20000,"Rain")+(Kalkulasi!$P$772&gt;0)*SUMIFS(INPUT_DELAY!$E$5:$E$20000,INPUT_DELAY!$A$5:$A$20000,Kalkulasi!$B$751,INPUT_DELAY!$G$5:$G$20000,Kalkulasi!$B$752,INPUT_DELAY!$C$5:$C$20000,"SEMUA",INPUT_DELAY!$D$5:$D$20000,"Rain")</f>
        <v/>
      </c>
      <c r="C842">
        <f>SUMIFS(INPUT_DELAY!$E$5:$E$20000,INPUT_DELAY!$A$5:$A$20000,Kalkulasi!$B$751,INPUT_DELAY!$G$5:$G$20000,Kalkulasi!$B$752,INPUT_DELAY!$C$5:$C$20000,$A842,INPUT_DELAY!$D$5:$D$20000,"Slippery")+(Kalkulasi!$P$772&gt;0)*SUMIFS(INPUT_DELAY!$E$5:$E$20000,INPUT_DELAY!$A$5:$A$20000,Kalkulasi!$B$751,INPUT_DELAY!$G$5:$G$20000,Kalkulasi!$B$752,INPUT_DELAY!$C$5:$C$20000,"SEMUA",INPUT_DELAY!$D$5:$D$20000,"Slippery")</f>
        <v/>
      </c>
      <c r="D842">
        <f>SUMIFS(INPUT_DELAY!$E$5:$E$20000,INPUT_DELAY!$A$5:$A$20000,Kalkulasi!$B$751,INPUT_DELAY!$G$5:$G$20000,Kalkulasi!$B$752,INPUT_DELAY!$C$5:$C$20000,$A842,INPUT_DELAY!$D$5:$D$20000,"Istirahat")+(Kalkulasi!$P$772&gt;0)*SUMIFS(INPUT_DELAY!$E$5:$E$20000,INPUT_DELAY!$A$5:$A$20000,Kalkulasi!$B$751,INPUT_DELAY!$G$5:$G$20000,Kalkulasi!$B$752,INPUT_DELAY!$C$5:$C$20000,"SEMUA",INPUT_DELAY!$D$5:$D$20000,"Istirahat")</f>
        <v/>
      </c>
      <c r="E842">
        <f>SUMIFS(INPUT_DELAY!$E$5:$E$20000,INPUT_DELAY!$A$5:$A$20000,Kalkulasi!$B$751,INPUT_DELAY!$G$5:$G$20000,Kalkulasi!$B$752,INPUT_DELAY!$C$5:$C$20000,$A842,INPUT_DELAY!$D$5:$D$20000,"P2H / Ganti shift")+(Kalkulasi!$P$772&gt;0)*SUMIFS(INPUT_DELAY!$E$5:$E$20000,INPUT_DELAY!$A$5:$A$20000,Kalkulasi!$B$751,INPUT_DELAY!$G$5:$G$20000,Kalkulasi!$B$752,INPUT_DELAY!$C$5:$C$20000,"SEMUA",INPUT_DELAY!$D$5:$D$20000,"P2H / Ganti shift")</f>
        <v/>
      </c>
      <c r="F842">
        <f>SUMIFS(INPUT_DELAY!$E$5:$E$20000,INPUT_DELAY!$A$5:$A$20000,Kalkulasi!$B$751,INPUT_DELAY!$G$5:$G$20000,Kalkulasi!$B$752,INPUT_DELAY!$C$5:$C$20000,$A842,INPUT_DELAY!$D$5:$D$20000,"Standby")+(Kalkulasi!$P$772&gt;0)*SUMIFS(INPUT_DELAY!$E$5:$E$20000,INPUT_DELAY!$A$5:$A$20000,Kalkulasi!$B$751,INPUT_DELAY!$G$5:$G$20000,Kalkulasi!$B$752,INPUT_DELAY!$C$5:$C$20000,"SEMUA",INPUT_DELAY!$D$5:$D$20000,"Standby")</f>
        <v/>
      </c>
      <c r="G842">
        <f>SUMIFS(INPUT_DELAY!$E$5:$E$20000,INPUT_DELAY!$A$5:$A$20000,Kalkulasi!$B$751,INPUT_DELAY!$G$5:$G$20000,Kalkulasi!$B$752,INPUT_DELAY!$C$5:$C$20000,$A842,INPUT_DELAY!$D$5:$D$20000,"Breakdown")+(Kalkulasi!$P$772&gt;0)*SUMIFS(INPUT_DELAY!$E$5:$E$20000,INPUT_DELAY!$A$5:$A$20000,Kalkulasi!$B$751,INPUT_DELAY!$G$5:$G$20000,Kalkulasi!$B$752,INPUT_DELAY!$C$5:$C$20000,"SEMUA",INPUT_DELAY!$D$5:$D$20000,"Breakdown")</f>
        <v/>
      </c>
      <c r="H842">
        <f>SUMIFS(INPUT_DELAY!$E$5:$E$20000,INPUT_DELAY!$A$5:$A$20000,Kalkulasi!$B$751,INPUT_DELAY!$G$5:$G$20000,Kalkulasi!$B$752,INPUT_DELAY!$C$5:$C$20000,$A842,INPUT_DELAY!$D$5:$D$20000,"Lainnya")+(Kalkulasi!$P$772&gt;0)*SUMIFS(INPUT_DELAY!$E$5:$E$20000,INPUT_DELAY!$A$5:$A$20000,Kalkulasi!$B$751,INPUT_DELAY!$G$5:$G$20000,Kalkulasi!$B$752,INPUT_DELAY!$C$5:$C$20000,"SEMUA",INPUT_DELAY!$D$5:$D$20000,"Lainnya")</f>
        <v/>
      </c>
      <c r="I842">
        <f>SUM(B842:H842)</f>
        <v/>
      </c>
      <c r="J842">
        <f>I842+ROW()/1000000</f>
        <v/>
      </c>
    </row>
    <row r="843">
      <c r="A843" t="inlineStr">
        <is>
          <t>EX-755</t>
        </is>
      </c>
      <c r="B843">
        <f>SUMIFS(INPUT_DELAY!$E$5:$E$20000,INPUT_DELAY!$A$5:$A$20000,Kalkulasi!$B$751,INPUT_DELAY!$G$5:$G$20000,Kalkulasi!$B$752,INPUT_DELAY!$C$5:$C$20000,$A843,INPUT_DELAY!$D$5:$D$20000,"Rain")+(Kalkulasi!$P$773&gt;0)*SUMIFS(INPUT_DELAY!$E$5:$E$20000,INPUT_DELAY!$A$5:$A$20000,Kalkulasi!$B$751,INPUT_DELAY!$G$5:$G$20000,Kalkulasi!$B$752,INPUT_DELAY!$C$5:$C$20000,"SEMUA",INPUT_DELAY!$D$5:$D$20000,"Rain")</f>
        <v/>
      </c>
      <c r="C843">
        <f>SUMIFS(INPUT_DELAY!$E$5:$E$20000,INPUT_DELAY!$A$5:$A$20000,Kalkulasi!$B$751,INPUT_DELAY!$G$5:$G$20000,Kalkulasi!$B$752,INPUT_DELAY!$C$5:$C$20000,$A843,INPUT_DELAY!$D$5:$D$20000,"Slippery")+(Kalkulasi!$P$773&gt;0)*SUMIFS(INPUT_DELAY!$E$5:$E$20000,INPUT_DELAY!$A$5:$A$20000,Kalkulasi!$B$751,INPUT_DELAY!$G$5:$G$20000,Kalkulasi!$B$752,INPUT_DELAY!$C$5:$C$20000,"SEMUA",INPUT_DELAY!$D$5:$D$20000,"Slippery")</f>
        <v/>
      </c>
      <c r="D843">
        <f>SUMIFS(INPUT_DELAY!$E$5:$E$20000,INPUT_DELAY!$A$5:$A$20000,Kalkulasi!$B$751,INPUT_DELAY!$G$5:$G$20000,Kalkulasi!$B$752,INPUT_DELAY!$C$5:$C$20000,$A843,INPUT_DELAY!$D$5:$D$20000,"Istirahat")+(Kalkulasi!$P$773&gt;0)*SUMIFS(INPUT_DELAY!$E$5:$E$20000,INPUT_DELAY!$A$5:$A$20000,Kalkulasi!$B$751,INPUT_DELAY!$G$5:$G$20000,Kalkulasi!$B$752,INPUT_DELAY!$C$5:$C$20000,"SEMUA",INPUT_DELAY!$D$5:$D$20000,"Istirahat")</f>
        <v/>
      </c>
      <c r="E843">
        <f>SUMIFS(INPUT_DELAY!$E$5:$E$20000,INPUT_DELAY!$A$5:$A$20000,Kalkulasi!$B$751,INPUT_DELAY!$G$5:$G$20000,Kalkulasi!$B$752,INPUT_DELAY!$C$5:$C$20000,$A843,INPUT_DELAY!$D$5:$D$20000,"P2H / Ganti shift")+(Kalkulasi!$P$773&gt;0)*SUMIFS(INPUT_DELAY!$E$5:$E$20000,INPUT_DELAY!$A$5:$A$20000,Kalkulasi!$B$751,INPUT_DELAY!$G$5:$G$20000,Kalkulasi!$B$752,INPUT_DELAY!$C$5:$C$20000,"SEMUA",INPUT_DELAY!$D$5:$D$20000,"P2H / Ganti shift")</f>
        <v/>
      </c>
      <c r="F843">
        <f>SUMIFS(INPUT_DELAY!$E$5:$E$20000,INPUT_DELAY!$A$5:$A$20000,Kalkulasi!$B$751,INPUT_DELAY!$G$5:$G$20000,Kalkulasi!$B$752,INPUT_DELAY!$C$5:$C$20000,$A843,INPUT_DELAY!$D$5:$D$20000,"Standby")+(Kalkulasi!$P$773&gt;0)*SUMIFS(INPUT_DELAY!$E$5:$E$20000,INPUT_DELAY!$A$5:$A$20000,Kalkulasi!$B$751,INPUT_DELAY!$G$5:$G$20000,Kalkulasi!$B$752,INPUT_DELAY!$C$5:$C$20000,"SEMUA",INPUT_DELAY!$D$5:$D$20000,"Standby")</f>
        <v/>
      </c>
      <c r="G843">
        <f>SUMIFS(INPUT_DELAY!$E$5:$E$20000,INPUT_DELAY!$A$5:$A$20000,Kalkulasi!$B$751,INPUT_DELAY!$G$5:$G$20000,Kalkulasi!$B$752,INPUT_DELAY!$C$5:$C$20000,$A843,INPUT_DELAY!$D$5:$D$20000,"Breakdown")+(Kalkulasi!$P$773&gt;0)*SUMIFS(INPUT_DELAY!$E$5:$E$20000,INPUT_DELAY!$A$5:$A$20000,Kalkulasi!$B$751,INPUT_DELAY!$G$5:$G$20000,Kalkulasi!$B$752,INPUT_DELAY!$C$5:$C$20000,"SEMUA",INPUT_DELAY!$D$5:$D$20000,"Breakdown")</f>
        <v/>
      </c>
      <c r="H843">
        <f>SUMIFS(INPUT_DELAY!$E$5:$E$20000,INPUT_DELAY!$A$5:$A$20000,Kalkulasi!$B$751,INPUT_DELAY!$G$5:$G$20000,Kalkulasi!$B$752,INPUT_DELAY!$C$5:$C$20000,$A843,INPUT_DELAY!$D$5:$D$20000,"Lainnya")+(Kalkulasi!$P$773&gt;0)*SUMIFS(INPUT_DELAY!$E$5:$E$20000,INPUT_DELAY!$A$5:$A$20000,Kalkulasi!$B$751,INPUT_DELAY!$G$5:$G$20000,Kalkulasi!$B$752,INPUT_DELAY!$C$5:$C$20000,"SEMUA",INPUT_DELAY!$D$5:$D$20000,"Lainnya")</f>
        <v/>
      </c>
      <c r="I843">
        <f>SUM(B843:H843)</f>
        <v/>
      </c>
      <c r="J843">
        <f>I843+ROW()/1000000</f>
        <v/>
      </c>
    </row>
    <row r="844">
      <c r="A844" t="inlineStr">
        <is>
          <t>EX-2101</t>
        </is>
      </c>
      <c r="B844">
        <f>SUMIFS(INPUT_DELAY!$E$5:$E$20000,INPUT_DELAY!$A$5:$A$20000,Kalkulasi!$B$751,INPUT_DELAY!$G$5:$G$20000,Kalkulasi!$B$752,INPUT_DELAY!$C$5:$C$20000,$A844,INPUT_DELAY!$D$5:$D$20000,"Rain")+(Kalkulasi!$P$774&gt;0)*SUMIFS(INPUT_DELAY!$E$5:$E$20000,INPUT_DELAY!$A$5:$A$20000,Kalkulasi!$B$751,INPUT_DELAY!$G$5:$G$20000,Kalkulasi!$B$752,INPUT_DELAY!$C$5:$C$20000,"SEMUA",INPUT_DELAY!$D$5:$D$20000,"Rain")</f>
        <v/>
      </c>
      <c r="C844">
        <f>SUMIFS(INPUT_DELAY!$E$5:$E$20000,INPUT_DELAY!$A$5:$A$20000,Kalkulasi!$B$751,INPUT_DELAY!$G$5:$G$20000,Kalkulasi!$B$752,INPUT_DELAY!$C$5:$C$20000,$A844,INPUT_DELAY!$D$5:$D$20000,"Slippery")+(Kalkulasi!$P$774&gt;0)*SUMIFS(INPUT_DELAY!$E$5:$E$20000,INPUT_DELAY!$A$5:$A$20000,Kalkulasi!$B$751,INPUT_DELAY!$G$5:$G$20000,Kalkulasi!$B$752,INPUT_DELAY!$C$5:$C$20000,"SEMUA",INPUT_DELAY!$D$5:$D$20000,"Slippery")</f>
        <v/>
      </c>
      <c r="D844">
        <f>SUMIFS(INPUT_DELAY!$E$5:$E$20000,INPUT_DELAY!$A$5:$A$20000,Kalkulasi!$B$751,INPUT_DELAY!$G$5:$G$20000,Kalkulasi!$B$752,INPUT_DELAY!$C$5:$C$20000,$A844,INPUT_DELAY!$D$5:$D$20000,"Istirahat")+(Kalkulasi!$P$774&gt;0)*SUMIFS(INPUT_DELAY!$E$5:$E$20000,INPUT_DELAY!$A$5:$A$20000,Kalkulasi!$B$751,INPUT_DELAY!$G$5:$G$20000,Kalkulasi!$B$752,INPUT_DELAY!$C$5:$C$20000,"SEMUA",INPUT_DELAY!$D$5:$D$20000,"Istirahat")</f>
        <v/>
      </c>
      <c r="E844">
        <f>SUMIFS(INPUT_DELAY!$E$5:$E$20000,INPUT_DELAY!$A$5:$A$20000,Kalkulasi!$B$751,INPUT_DELAY!$G$5:$G$20000,Kalkulasi!$B$752,INPUT_DELAY!$C$5:$C$20000,$A844,INPUT_DELAY!$D$5:$D$20000,"P2H / Ganti shift")+(Kalkulasi!$P$774&gt;0)*SUMIFS(INPUT_DELAY!$E$5:$E$20000,INPUT_DELAY!$A$5:$A$20000,Kalkulasi!$B$751,INPUT_DELAY!$G$5:$G$20000,Kalkulasi!$B$752,INPUT_DELAY!$C$5:$C$20000,"SEMUA",INPUT_DELAY!$D$5:$D$20000,"P2H / Ganti shift")</f>
        <v/>
      </c>
      <c r="F844">
        <f>SUMIFS(INPUT_DELAY!$E$5:$E$20000,INPUT_DELAY!$A$5:$A$20000,Kalkulasi!$B$751,INPUT_DELAY!$G$5:$G$20000,Kalkulasi!$B$752,INPUT_DELAY!$C$5:$C$20000,$A844,INPUT_DELAY!$D$5:$D$20000,"Standby")+(Kalkulasi!$P$774&gt;0)*SUMIFS(INPUT_DELAY!$E$5:$E$20000,INPUT_DELAY!$A$5:$A$20000,Kalkulasi!$B$751,INPUT_DELAY!$G$5:$G$20000,Kalkulasi!$B$752,INPUT_DELAY!$C$5:$C$20000,"SEMUA",INPUT_DELAY!$D$5:$D$20000,"Standby")</f>
        <v/>
      </c>
      <c r="G844">
        <f>SUMIFS(INPUT_DELAY!$E$5:$E$20000,INPUT_DELAY!$A$5:$A$20000,Kalkulasi!$B$751,INPUT_DELAY!$G$5:$G$20000,Kalkulasi!$B$752,INPUT_DELAY!$C$5:$C$20000,$A844,INPUT_DELAY!$D$5:$D$20000,"Breakdown")+(Kalkulasi!$P$774&gt;0)*SUMIFS(INPUT_DELAY!$E$5:$E$20000,INPUT_DELAY!$A$5:$A$20000,Kalkulasi!$B$751,INPUT_DELAY!$G$5:$G$20000,Kalkulasi!$B$752,INPUT_DELAY!$C$5:$C$20000,"SEMUA",INPUT_DELAY!$D$5:$D$20000,"Breakdown")</f>
        <v/>
      </c>
      <c r="H844">
        <f>SUMIFS(INPUT_DELAY!$E$5:$E$20000,INPUT_DELAY!$A$5:$A$20000,Kalkulasi!$B$751,INPUT_DELAY!$G$5:$G$20000,Kalkulasi!$B$752,INPUT_DELAY!$C$5:$C$20000,$A844,INPUT_DELAY!$D$5:$D$20000,"Lainnya")+(Kalkulasi!$P$774&gt;0)*SUMIFS(INPUT_DELAY!$E$5:$E$20000,INPUT_DELAY!$A$5:$A$20000,Kalkulasi!$B$751,INPUT_DELAY!$G$5:$G$20000,Kalkulasi!$B$752,INPUT_DELAY!$C$5:$C$20000,"SEMUA",INPUT_DELAY!$D$5:$D$20000,"Lainnya")</f>
        <v/>
      </c>
      <c r="I844">
        <f>SUM(B844:H844)</f>
        <v/>
      </c>
      <c r="J844">
        <f>I844+ROW()/1000000</f>
        <v/>
      </c>
    </row>
    <row r="845">
      <c r="A845" t="inlineStr">
        <is>
          <t>EX-754</t>
        </is>
      </c>
      <c r="B845">
        <f>SUMIFS(INPUT_DELAY!$E$5:$E$20000,INPUT_DELAY!$A$5:$A$20000,Kalkulasi!$B$751,INPUT_DELAY!$G$5:$G$20000,Kalkulasi!$B$752,INPUT_DELAY!$C$5:$C$20000,$A845,INPUT_DELAY!$D$5:$D$20000,"Rain")+(Kalkulasi!$P$775&gt;0)*SUMIFS(INPUT_DELAY!$E$5:$E$20000,INPUT_DELAY!$A$5:$A$20000,Kalkulasi!$B$751,INPUT_DELAY!$G$5:$G$20000,Kalkulasi!$B$752,INPUT_DELAY!$C$5:$C$20000,"SEMUA",INPUT_DELAY!$D$5:$D$20000,"Rain")</f>
        <v/>
      </c>
      <c r="C845">
        <f>SUMIFS(INPUT_DELAY!$E$5:$E$20000,INPUT_DELAY!$A$5:$A$20000,Kalkulasi!$B$751,INPUT_DELAY!$G$5:$G$20000,Kalkulasi!$B$752,INPUT_DELAY!$C$5:$C$20000,$A845,INPUT_DELAY!$D$5:$D$20000,"Slippery")+(Kalkulasi!$P$775&gt;0)*SUMIFS(INPUT_DELAY!$E$5:$E$20000,INPUT_DELAY!$A$5:$A$20000,Kalkulasi!$B$751,INPUT_DELAY!$G$5:$G$20000,Kalkulasi!$B$752,INPUT_DELAY!$C$5:$C$20000,"SEMUA",INPUT_DELAY!$D$5:$D$20000,"Slippery")</f>
        <v/>
      </c>
      <c r="D845">
        <f>SUMIFS(INPUT_DELAY!$E$5:$E$20000,INPUT_DELAY!$A$5:$A$20000,Kalkulasi!$B$751,INPUT_DELAY!$G$5:$G$20000,Kalkulasi!$B$752,INPUT_DELAY!$C$5:$C$20000,$A845,INPUT_DELAY!$D$5:$D$20000,"Istirahat")+(Kalkulasi!$P$775&gt;0)*SUMIFS(INPUT_DELAY!$E$5:$E$20000,INPUT_DELAY!$A$5:$A$20000,Kalkulasi!$B$751,INPUT_DELAY!$G$5:$G$20000,Kalkulasi!$B$752,INPUT_DELAY!$C$5:$C$20000,"SEMUA",INPUT_DELAY!$D$5:$D$20000,"Istirahat")</f>
        <v/>
      </c>
      <c r="E845">
        <f>SUMIFS(INPUT_DELAY!$E$5:$E$20000,INPUT_DELAY!$A$5:$A$20000,Kalkulasi!$B$751,INPUT_DELAY!$G$5:$G$20000,Kalkulasi!$B$752,INPUT_DELAY!$C$5:$C$20000,$A845,INPUT_DELAY!$D$5:$D$20000,"P2H / Ganti shift")+(Kalkulasi!$P$775&gt;0)*SUMIFS(INPUT_DELAY!$E$5:$E$20000,INPUT_DELAY!$A$5:$A$20000,Kalkulasi!$B$751,INPUT_DELAY!$G$5:$G$20000,Kalkulasi!$B$752,INPUT_DELAY!$C$5:$C$20000,"SEMUA",INPUT_DELAY!$D$5:$D$20000,"P2H / Ganti shift")</f>
        <v/>
      </c>
      <c r="F845">
        <f>SUMIFS(INPUT_DELAY!$E$5:$E$20000,INPUT_DELAY!$A$5:$A$20000,Kalkulasi!$B$751,INPUT_DELAY!$G$5:$G$20000,Kalkulasi!$B$752,INPUT_DELAY!$C$5:$C$20000,$A845,INPUT_DELAY!$D$5:$D$20000,"Standby")+(Kalkulasi!$P$775&gt;0)*SUMIFS(INPUT_DELAY!$E$5:$E$20000,INPUT_DELAY!$A$5:$A$20000,Kalkulasi!$B$751,INPUT_DELAY!$G$5:$G$20000,Kalkulasi!$B$752,INPUT_DELAY!$C$5:$C$20000,"SEMUA",INPUT_DELAY!$D$5:$D$20000,"Standby")</f>
        <v/>
      </c>
      <c r="G845">
        <f>SUMIFS(INPUT_DELAY!$E$5:$E$20000,INPUT_DELAY!$A$5:$A$20000,Kalkulasi!$B$751,INPUT_DELAY!$G$5:$G$20000,Kalkulasi!$B$752,INPUT_DELAY!$C$5:$C$20000,$A845,INPUT_DELAY!$D$5:$D$20000,"Breakdown")+(Kalkulasi!$P$775&gt;0)*SUMIFS(INPUT_DELAY!$E$5:$E$20000,INPUT_DELAY!$A$5:$A$20000,Kalkulasi!$B$751,INPUT_DELAY!$G$5:$G$20000,Kalkulasi!$B$752,INPUT_DELAY!$C$5:$C$20000,"SEMUA",INPUT_DELAY!$D$5:$D$20000,"Breakdown")</f>
        <v/>
      </c>
      <c r="H845">
        <f>SUMIFS(INPUT_DELAY!$E$5:$E$20000,INPUT_DELAY!$A$5:$A$20000,Kalkulasi!$B$751,INPUT_DELAY!$G$5:$G$20000,Kalkulasi!$B$752,INPUT_DELAY!$C$5:$C$20000,$A845,INPUT_DELAY!$D$5:$D$20000,"Lainnya")+(Kalkulasi!$P$775&gt;0)*SUMIFS(INPUT_DELAY!$E$5:$E$20000,INPUT_DELAY!$A$5:$A$20000,Kalkulasi!$B$751,INPUT_DELAY!$G$5:$G$20000,Kalkulasi!$B$752,INPUT_DELAY!$C$5:$C$20000,"SEMUA",INPUT_DELAY!$D$5:$D$20000,"Lainnya")</f>
        <v/>
      </c>
      <c r="I845">
        <f>SUM(B845:H845)</f>
        <v/>
      </c>
      <c r="J845">
        <f>I845+ROW()/1000000</f>
        <v/>
      </c>
    </row>
    <row r="846">
      <c r="A846" t="inlineStr">
        <is>
          <t>EX-753</t>
        </is>
      </c>
      <c r="B846">
        <f>SUMIFS(INPUT_DELAY!$E$5:$E$20000,INPUT_DELAY!$A$5:$A$20000,Kalkulasi!$B$751,INPUT_DELAY!$G$5:$G$20000,Kalkulasi!$B$752,INPUT_DELAY!$C$5:$C$20000,$A846,INPUT_DELAY!$D$5:$D$20000,"Rain")+(Kalkulasi!$P$776&gt;0)*SUMIFS(INPUT_DELAY!$E$5:$E$20000,INPUT_DELAY!$A$5:$A$20000,Kalkulasi!$B$751,INPUT_DELAY!$G$5:$G$20000,Kalkulasi!$B$752,INPUT_DELAY!$C$5:$C$20000,"SEMUA",INPUT_DELAY!$D$5:$D$20000,"Rain")</f>
        <v/>
      </c>
      <c r="C846">
        <f>SUMIFS(INPUT_DELAY!$E$5:$E$20000,INPUT_DELAY!$A$5:$A$20000,Kalkulasi!$B$751,INPUT_DELAY!$G$5:$G$20000,Kalkulasi!$B$752,INPUT_DELAY!$C$5:$C$20000,$A846,INPUT_DELAY!$D$5:$D$20000,"Slippery")+(Kalkulasi!$P$776&gt;0)*SUMIFS(INPUT_DELAY!$E$5:$E$20000,INPUT_DELAY!$A$5:$A$20000,Kalkulasi!$B$751,INPUT_DELAY!$G$5:$G$20000,Kalkulasi!$B$752,INPUT_DELAY!$C$5:$C$20000,"SEMUA",INPUT_DELAY!$D$5:$D$20000,"Slippery")</f>
        <v/>
      </c>
      <c r="D846">
        <f>SUMIFS(INPUT_DELAY!$E$5:$E$20000,INPUT_DELAY!$A$5:$A$20000,Kalkulasi!$B$751,INPUT_DELAY!$G$5:$G$20000,Kalkulasi!$B$752,INPUT_DELAY!$C$5:$C$20000,$A846,INPUT_DELAY!$D$5:$D$20000,"Istirahat")+(Kalkulasi!$P$776&gt;0)*SUMIFS(INPUT_DELAY!$E$5:$E$20000,INPUT_DELAY!$A$5:$A$20000,Kalkulasi!$B$751,INPUT_DELAY!$G$5:$G$20000,Kalkulasi!$B$752,INPUT_DELAY!$C$5:$C$20000,"SEMUA",INPUT_DELAY!$D$5:$D$20000,"Istirahat")</f>
        <v/>
      </c>
      <c r="E846">
        <f>SUMIFS(INPUT_DELAY!$E$5:$E$20000,INPUT_DELAY!$A$5:$A$20000,Kalkulasi!$B$751,INPUT_DELAY!$G$5:$G$20000,Kalkulasi!$B$752,INPUT_DELAY!$C$5:$C$20000,$A846,INPUT_DELAY!$D$5:$D$20000,"P2H / Ganti shift")+(Kalkulasi!$P$776&gt;0)*SUMIFS(INPUT_DELAY!$E$5:$E$20000,INPUT_DELAY!$A$5:$A$20000,Kalkulasi!$B$751,INPUT_DELAY!$G$5:$G$20000,Kalkulasi!$B$752,INPUT_DELAY!$C$5:$C$20000,"SEMUA",INPUT_DELAY!$D$5:$D$20000,"P2H / Ganti shift")</f>
        <v/>
      </c>
      <c r="F846">
        <f>SUMIFS(INPUT_DELAY!$E$5:$E$20000,INPUT_DELAY!$A$5:$A$20000,Kalkulasi!$B$751,INPUT_DELAY!$G$5:$G$20000,Kalkulasi!$B$752,INPUT_DELAY!$C$5:$C$20000,$A846,INPUT_DELAY!$D$5:$D$20000,"Standby")+(Kalkulasi!$P$776&gt;0)*SUMIFS(INPUT_DELAY!$E$5:$E$20000,INPUT_DELAY!$A$5:$A$20000,Kalkulasi!$B$751,INPUT_DELAY!$G$5:$G$20000,Kalkulasi!$B$752,INPUT_DELAY!$C$5:$C$20000,"SEMUA",INPUT_DELAY!$D$5:$D$20000,"Standby")</f>
        <v/>
      </c>
      <c r="G846">
        <f>SUMIFS(INPUT_DELAY!$E$5:$E$20000,INPUT_DELAY!$A$5:$A$20000,Kalkulasi!$B$751,INPUT_DELAY!$G$5:$G$20000,Kalkulasi!$B$752,INPUT_DELAY!$C$5:$C$20000,$A846,INPUT_DELAY!$D$5:$D$20000,"Breakdown")+(Kalkulasi!$P$776&gt;0)*SUMIFS(INPUT_DELAY!$E$5:$E$20000,INPUT_DELAY!$A$5:$A$20000,Kalkulasi!$B$751,INPUT_DELAY!$G$5:$G$20000,Kalkulasi!$B$752,INPUT_DELAY!$C$5:$C$20000,"SEMUA",INPUT_DELAY!$D$5:$D$20000,"Breakdown")</f>
        <v/>
      </c>
      <c r="H846">
        <f>SUMIFS(INPUT_DELAY!$E$5:$E$20000,INPUT_DELAY!$A$5:$A$20000,Kalkulasi!$B$751,INPUT_DELAY!$G$5:$G$20000,Kalkulasi!$B$752,INPUT_DELAY!$C$5:$C$20000,$A846,INPUT_DELAY!$D$5:$D$20000,"Lainnya")+(Kalkulasi!$P$776&gt;0)*SUMIFS(INPUT_DELAY!$E$5:$E$20000,INPUT_DELAY!$A$5:$A$20000,Kalkulasi!$B$751,INPUT_DELAY!$G$5:$G$20000,Kalkulasi!$B$752,INPUT_DELAY!$C$5:$C$20000,"SEMUA",INPUT_DELAY!$D$5:$D$20000,"Lainnya")</f>
        <v/>
      </c>
      <c r="I846">
        <f>SUM(B846:H846)</f>
        <v/>
      </c>
      <c r="J846">
        <f>I846+ROW()/1000000</f>
        <v/>
      </c>
    </row>
    <row r="847">
      <c r="A847" t="inlineStr">
        <is>
          <t>EX-1252</t>
        </is>
      </c>
      <c r="B847">
        <f>SUMIFS(INPUT_DELAY!$E$5:$E$20000,INPUT_DELAY!$A$5:$A$20000,Kalkulasi!$B$751,INPUT_DELAY!$G$5:$G$20000,Kalkulasi!$B$752,INPUT_DELAY!$C$5:$C$20000,$A847,INPUT_DELAY!$D$5:$D$20000,"Rain")+(Kalkulasi!$P$777&gt;0)*SUMIFS(INPUT_DELAY!$E$5:$E$20000,INPUT_DELAY!$A$5:$A$20000,Kalkulasi!$B$751,INPUT_DELAY!$G$5:$G$20000,Kalkulasi!$B$752,INPUT_DELAY!$C$5:$C$20000,"SEMUA",INPUT_DELAY!$D$5:$D$20000,"Rain")</f>
        <v/>
      </c>
      <c r="C847">
        <f>SUMIFS(INPUT_DELAY!$E$5:$E$20000,INPUT_DELAY!$A$5:$A$20000,Kalkulasi!$B$751,INPUT_DELAY!$G$5:$G$20000,Kalkulasi!$B$752,INPUT_DELAY!$C$5:$C$20000,$A847,INPUT_DELAY!$D$5:$D$20000,"Slippery")+(Kalkulasi!$P$777&gt;0)*SUMIFS(INPUT_DELAY!$E$5:$E$20000,INPUT_DELAY!$A$5:$A$20000,Kalkulasi!$B$751,INPUT_DELAY!$G$5:$G$20000,Kalkulasi!$B$752,INPUT_DELAY!$C$5:$C$20000,"SEMUA",INPUT_DELAY!$D$5:$D$20000,"Slippery")</f>
        <v/>
      </c>
      <c r="D847">
        <f>SUMIFS(INPUT_DELAY!$E$5:$E$20000,INPUT_DELAY!$A$5:$A$20000,Kalkulasi!$B$751,INPUT_DELAY!$G$5:$G$20000,Kalkulasi!$B$752,INPUT_DELAY!$C$5:$C$20000,$A847,INPUT_DELAY!$D$5:$D$20000,"Istirahat")+(Kalkulasi!$P$777&gt;0)*SUMIFS(INPUT_DELAY!$E$5:$E$20000,INPUT_DELAY!$A$5:$A$20000,Kalkulasi!$B$751,INPUT_DELAY!$G$5:$G$20000,Kalkulasi!$B$752,INPUT_DELAY!$C$5:$C$20000,"SEMUA",INPUT_DELAY!$D$5:$D$20000,"Istirahat")</f>
        <v/>
      </c>
      <c r="E847">
        <f>SUMIFS(INPUT_DELAY!$E$5:$E$20000,INPUT_DELAY!$A$5:$A$20000,Kalkulasi!$B$751,INPUT_DELAY!$G$5:$G$20000,Kalkulasi!$B$752,INPUT_DELAY!$C$5:$C$20000,$A847,INPUT_DELAY!$D$5:$D$20000,"P2H / Ganti shift")+(Kalkulasi!$P$777&gt;0)*SUMIFS(INPUT_DELAY!$E$5:$E$20000,INPUT_DELAY!$A$5:$A$20000,Kalkulasi!$B$751,INPUT_DELAY!$G$5:$G$20000,Kalkulasi!$B$752,INPUT_DELAY!$C$5:$C$20000,"SEMUA",INPUT_DELAY!$D$5:$D$20000,"P2H / Ganti shift")</f>
        <v/>
      </c>
      <c r="F847">
        <f>SUMIFS(INPUT_DELAY!$E$5:$E$20000,INPUT_DELAY!$A$5:$A$20000,Kalkulasi!$B$751,INPUT_DELAY!$G$5:$G$20000,Kalkulasi!$B$752,INPUT_DELAY!$C$5:$C$20000,$A847,INPUT_DELAY!$D$5:$D$20000,"Standby")+(Kalkulasi!$P$777&gt;0)*SUMIFS(INPUT_DELAY!$E$5:$E$20000,INPUT_DELAY!$A$5:$A$20000,Kalkulasi!$B$751,INPUT_DELAY!$G$5:$G$20000,Kalkulasi!$B$752,INPUT_DELAY!$C$5:$C$20000,"SEMUA",INPUT_DELAY!$D$5:$D$20000,"Standby")</f>
        <v/>
      </c>
      <c r="G847">
        <f>SUMIFS(INPUT_DELAY!$E$5:$E$20000,INPUT_DELAY!$A$5:$A$20000,Kalkulasi!$B$751,INPUT_DELAY!$G$5:$G$20000,Kalkulasi!$B$752,INPUT_DELAY!$C$5:$C$20000,$A847,INPUT_DELAY!$D$5:$D$20000,"Breakdown")+(Kalkulasi!$P$777&gt;0)*SUMIFS(INPUT_DELAY!$E$5:$E$20000,INPUT_DELAY!$A$5:$A$20000,Kalkulasi!$B$751,INPUT_DELAY!$G$5:$G$20000,Kalkulasi!$B$752,INPUT_DELAY!$C$5:$C$20000,"SEMUA",INPUT_DELAY!$D$5:$D$20000,"Breakdown")</f>
        <v/>
      </c>
      <c r="H847">
        <f>SUMIFS(INPUT_DELAY!$E$5:$E$20000,INPUT_DELAY!$A$5:$A$20000,Kalkulasi!$B$751,INPUT_DELAY!$G$5:$G$20000,Kalkulasi!$B$752,INPUT_DELAY!$C$5:$C$20000,$A847,INPUT_DELAY!$D$5:$D$20000,"Lainnya")+(Kalkulasi!$P$777&gt;0)*SUMIFS(INPUT_DELAY!$E$5:$E$20000,INPUT_DELAY!$A$5:$A$20000,Kalkulasi!$B$751,INPUT_DELAY!$G$5:$G$20000,Kalkulasi!$B$752,INPUT_DELAY!$C$5:$C$20000,"SEMUA",INPUT_DELAY!$D$5:$D$20000,"Lainnya")</f>
        <v/>
      </c>
      <c r="I847">
        <f>SUM(B847:H847)</f>
        <v/>
      </c>
      <c r="J847">
        <f>I847+ROW()/1000000</f>
        <v/>
      </c>
    </row>
    <row r="848">
      <c r="A848" t="inlineStr">
        <is>
          <t>EX-334</t>
        </is>
      </c>
      <c r="B848">
        <f>SUMIFS(INPUT_DELAY!$E$5:$E$20000,INPUT_DELAY!$A$5:$A$20000,Kalkulasi!$B$751,INPUT_DELAY!$G$5:$G$20000,Kalkulasi!$B$752,INPUT_DELAY!$C$5:$C$20000,$A848,INPUT_DELAY!$D$5:$D$20000,"Rain")+(Kalkulasi!$P$778&gt;0)*SUMIFS(INPUT_DELAY!$E$5:$E$20000,INPUT_DELAY!$A$5:$A$20000,Kalkulasi!$B$751,INPUT_DELAY!$G$5:$G$20000,Kalkulasi!$B$752,INPUT_DELAY!$C$5:$C$20000,"SEMUA",INPUT_DELAY!$D$5:$D$20000,"Rain")</f>
        <v/>
      </c>
      <c r="C848">
        <f>SUMIFS(INPUT_DELAY!$E$5:$E$20000,INPUT_DELAY!$A$5:$A$20000,Kalkulasi!$B$751,INPUT_DELAY!$G$5:$G$20000,Kalkulasi!$B$752,INPUT_DELAY!$C$5:$C$20000,$A848,INPUT_DELAY!$D$5:$D$20000,"Slippery")+(Kalkulasi!$P$778&gt;0)*SUMIFS(INPUT_DELAY!$E$5:$E$20000,INPUT_DELAY!$A$5:$A$20000,Kalkulasi!$B$751,INPUT_DELAY!$G$5:$G$20000,Kalkulasi!$B$752,INPUT_DELAY!$C$5:$C$20000,"SEMUA",INPUT_DELAY!$D$5:$D$20000,"Slippery")</f>
        <v/>
      </c>
      <c r="D848">
        <f>SUMIFS(INPUT_DELAY!$E$5:$E$20000,INPUT_DELAY!$A$5:$A$20000,Kalkulasi!$B$751,INPUT_DELAY!$G$5:$G$20000,Kalkulasi!$B$752,INPUT_DELAY!$C$5:$C$20000,$A848,INPUT_DELAY!$D$5:$D$20000,"Istirahat")+(Kalkulasi!$P$778&gt;0)*SUMIFS(INPUT_DELAY!$E$5:$E$20000,INPUT_DELAY!$A$5:$A$20000,Kalkulasi!$B$751,INPUT_DELAY!$G$5:$G$20000,Kalkulasi!$B$752,INPUT_DELAY!$C$5:$C$20000,"SEMUA",INPUT_DELAY!$D$5:$D$20000,"Istirahat")</f>
        <v/>
      </c>
      <c r="E848">
        <f>SUMIFS(INPUT_DELAY!$E$5:$E$20000,INPUT_DELAY!$A$5:$A$20000,Kalkulasi!$B$751,INPUT_DELAY!$G$5:$G$20000,Kalkulasi!$B$752,INPUT_DELAY!$C$5:$C$20000,$A848,INPUT_DELAY!$D$5:$D$20000,"P2H / Ganti shift")+(Kalkulasi!$P$778&gt;0)*SUMIFS(INPUT_DELAY!$E$5:$E$20000,INPUT_DELAY!$A$5:$A$20000,Kalkulasi!$B$751,INPUT_DELAY!$G$5:$G$20000,Kalkulasi!$B$752,INPUT_DELAY!$C$5:$C$20000,"SEMUA",INPUT_DELAY!$D$5:$D$20000,"P2H / Ganti shift")</f>
        <v/>
      </c>
      <c r="F848">
        <f>SUMIFS(INPUT_DELAY!$E$5:$E$20000,INPUT_DELAY!$A$5:$A$20000,Kalkulasi!$B$751,INPUT_DELAY!$G$5:$G$20000,Kalkulasi!$B$752,INPUT_DELAY!$C$5:$C$20000,$A848,INPUT_DELAY!$D$5:$D$20000,"Standby")+(Kalkulasi!$P$778&gt;0)*SUMIFS(INPUT_DELAY!$E$5:$E$20000,INPUT_DELAY!$A$5:$A$20000,Kalkulasi!$B$751,INPUT_DELAY!$G$5:$G$20000,Kalkulasi!$B$752,INPUT_DELAY!$C$5:$C$20000,"SEMUA",INPUT_DELAY!$D$5:$D$20000,"Standby")</f>
        <v/>
      </c>
      <c r="G848">
        <f>SUMIFS(INPUT_DELAY!$E$5:$E$20000,INPUT_DELAY!$A$5:$A$20000,Kalkulasi!$B$751,INPUT_DELAY!$G$5:$G$20000,Kalkulasi!$B$752,INPUT_DELAY!$C$5:$C$20000,$A848,INPUT_DELAY!$D$5:$D$20000,"Breakdown")+(Kalkulasi!$P$778&gt;0)*SUMIFS(INPUT_DELAY!$E$5:$E$20000,INPUT_DELAY!$A$5:$A$20000,Kalkulasi!$B$751,INPUT_DELAY!$G$5:$G$20000,Kalkulasi!$B$752,INPUT_DELAY!$C$5:$C$20000,"SEMUA",INPUT_DELAY!$D$5:$D$20000,"Breakdown")</f>
        <v/>
      </c>
      <c r="H848">
        <f>SUMIFS(INPUT_DELAY!$E$5:$E$20000,INPUT_DELAY!$A$5:$A$20000,Kalkulasi!$B$751,INPUT_DELAY!$G$5:$G$20000,Kalkulasi!$B$752,INPUT_DELAY!$C$5:$C$20000,$A848,INPUT_DELAY!$D$5:$D$20000,"Lainnya")+(Kalkulasi!$P$778&gt;0)*SUMIFS(INPUT_DELAY!$E$5:$E$20000,INPUT_DELAY!$A$5:$A$20000,Kalkulasi!$B$751,INPUT_DELAY!$G$5:$G$20000,Kalkulasi!$B$752,INPUT_DELAY!$C$5:$C$20000,"SEMUA",INPUT_DELAY!$D$5:$D$20000,"Lainnya")</f>
        <v/>
      </c>
      <c r="I848">
        <f>SUM(B848:H848)</f>
        <v/>
      </c>
      <c r="J848">
        <f>I848+ROW()/1000000</f>
        <v/>
      </c>
    </row>
    <row r="849">
      <c r="A849" t="inlineStr">
        <is>
          <t>EX-336</t>
        </is>
      </c>
      <c r="B849">
        <f>SUMIFS(INPUT_DELAY!$E$5:$E$20000,INPUT_DELAY!$A$5:$A$20000,Kalkulasi!$B$751,INPUT_DELAY!$G$5:$G$20000,Kalkulasi!$B$752,INPUT_DELAY!$C$5:$C$20000,$A849,INPUT_DELAY!$D$5:$D$20000,"Rain")+(Kalkulasi!$P$779&gt;0)*SUMIFS(INPUT_DELAY!$E$5:$E$20000,INPUT_DELAY!$A$5:$A$20000,Kalkulasi!$B$751,INPUT_DELAY!$G$5:$G$20000,Kalkulasi!$B$752,INPUT_DELAY!$C$5:$C$20000,"SEMUA",INPUT_DELAY!$D$5:$D$20000,"Rain")</f>
        <v/>
      </c>
      <c r="C849">
        <f>SUMIFS(INPUT_DELAY!$E$5:$E$20000,INPUT_DELAY!$A$5:$A$20000,Kalkulasi!$B$751,INPUT_DELAY!$G$5:$G$20000,Kalkulasi!$B$752,INPUT_DELAY!$C$5:$C$20000,$A849,INPUT_DELAY!$D$5:$D$20000,"Slippery")+(Kalkulasi!$P$779&gt;0)*SUMIFS(INPUT_DELAY!$E$5:$E$20000,INPUT_DELAY!$A$5:$A$20000,Kalkulasi!$B$751,INPUT_DELAY!$G$5:$G$20000,Kalkulasi!$B$752,INPUT_DELAY!$C$5:$C$20000,"SEMUA",INPUT_DELAY!$D$5:$D$20000,"Slippery")</f>
        <v/>
      </c>
      <c r="D849">
        <f>SUMIFS(INPUT_DELAY!$E$5:$E$20000,INPUT_DELAY!$A$5:$A$20000,Kalkulasi!$B$751,INPUT_DELAY!$G$5:$G$20000,Kalkulasi!$B$752,INPUT_DELAY!$C$5:$C$20000,$A849,INPUT_DELAY!$D$5:$D$20000,"Istirahat")+(Kalkulasi!$P$779&gt;0)*SUMIFS(INPUT_DELAY!$E$5:$E$20000,INPUT_DELAY!$A$5:$A$20000,Kalkulasi!$B$751,INPUT_DELAY!$G$5:$G$20000,Kalkulasi!$B$752,INPUT_DELAY!$C$5:$C$20000,"SEMUA",INPUT_DELAY!$D$5:$D$20000,"Istirahat")</f>
        <v/>
      </c>
      <c r="E849">
        <f>SUMIFS(INPUT_DELAY!$E$5:$E$20000,INPUT_DELAY!$A$5:$A$20000,Kalkulasi!$B$751,INPUT_DELAY!$G$5:$G$20000,Kalkulasi!$B$752,INPUT_DELAY!$C$5:$C$20000,$A849,INPUT_DELAY!$D$5:$D$20000,"P2H / Ganti shift")+(Kalkulasi!$P$779&gt;0)*SUMIFS(INPUT_DELAY!$E$5:$E$20000,INPUT_DELAY!$A$5:$A$20000,Kalkulasi!$B$751,INPUT_DELAY!$G$5:$G$20000,Kalkulasi!$B$752,INPUT_DELAY!$C$5:$C$20000,"SEMUA",INPUT_DELAY!$D$5:$D$20000,"P2H / Ganti shift")</f>
        <v/>
      </c>
      <c r="F849">
        <f>SUMIFS(INPUT_DELAY!$E$5:$E$20000,INPUT_DELAY!$A$5:$A$20000,Kalkulasi!$B$751,INPUT_DELAY!$G$5:$G$20000,Kalkulasi!$B$752,INPUT_DELAY!$C$5:$C$20000,$A849,INPUT_DELAY!$D$5:$D$20000,"Standby")+(Kalkulasi!$P$779&gt;0)*SUMIFS(INPUT_DELAY!$E$5:$E$20000,INPUT_DELAY!$A$5:$A$20000,Kalkulasi!$B$751,INPUT_DELAY!$G$5:$G$20000,Kalkulasi!$B$752,INPUT_DELAY!$C$5:$C$20000,"SEMUA",INPUT_DELAY!$D$5:$D$20000,"Standby")</f>
        <v/>
      </c>
      <c r="G849">
        <f>SUMIFS(INPUT_DELAY!$E$5:$E$20000,INPUT_DELAY!$A$5:$A$20000,Kalkulasi!$B$751,INPUT_DELAY!$G$5:$G$20000,Kalkulasi!$B$752,INPUT_DELAY!$C$5:$C$20000,$A849,INPUT_DELAY!$D$5:$D$20000,"Breakdown")+(Kalkulasi!$P$779&gt;0)*SUMIFS(INPUT_DELAY!$E$5:$E$20000,INPUT_DELAY!$A$5:$A$20000,Kalkulasi!$B$751,INPUT_DELAY!$G$5:$G$20000,Kalkulasi!$B$752,INPUT_DELAY!$C$5:$C$20000,"SEMUA",INPUT_DELAY!$D$5:$D$20000,"Breakdown")</f>
        <v/>
      </c>
      <c r="H849">
        <f>SUMIFS(INPUT_DELAY!$E$5:$E$20000,INPUT_DELAY!$A$5:$A$20000,Kalkulasi!$B$751,INPUT_DELAY!$G$5:$G$20000,Kalkulasi!$B$752,INPUT_DELAY!$C$5:$C$20000,$A849,INPUT_DELAY!$D$5:$D$20000,"Lainnya")+(Kalkulasi!$P$779&gt;0)*SUMIFS(INPUT_DELAY!$E$5:$E$20000,INPUT_DELAY!$A$5:$A$20000,Kalkulasi!$B$751,INPUT_DELAY!$G$5:$G$20000,Kalkulasi!$B$752,INPUT_DELAY!$C$5:$C$20000,"SEMUA",INPUT_DELAY!$D$5:$D$20000,"Lainnya")</f>
        <v/>
      </c>
      <c r="I849">
        <f>SUM(B849:H849)</f>
        <v/>
      </c>
      <c r="J849">
        <f>I849+ROW()/1000000</f>
        <v/>
      </c>
    </row>
    <row r="850">
      <c r="A850" t="inlineStr">
        <is>
          <t>EX-333</t>
        </is>
      </c>
      <c r="B850">
        <f>SUMIFS(INPUT_DELAY!$E$5:$E$20000,INPUT_DELAY!$A$5:$A$20000,Kalkulasi!$B$751,INPUT_DELAY!$G$5:$G$20000,Kalkulasi!$B$752,INPUT_DELAY!$C$5:$C$20000,$A850,INPUT_DELAY!$D$5:$D$20000,"Rain")+(Kalkulasi!$P$780&gt;0)*SUMIFS(INPUT_DELAY!$E$5:$E$20000,INPUT_DELAY!$A$5:$A$20000,Kalkulasi!$B$751,INPUT_DELAY!$G$5:$G$20000,Kalkulasi!$B$752,INPUT_DELAY!$C$5:$C$20000,"SEMUA",INPUT_DELAY!$D$5:$D$20000,"Rain")</f>
        <v/>
      </c>
      <c r="C850">
        <f>SUMIFS(INPUT_DELAY!$E$5:$E$20000,INPUT_DELAY!$A$5:$A$20000,Kalkulasi!$B$751,INPUT_DELAY!$G$5:$G$20000,Kalkulasi!$B$752,INPUT_DELAY!$C$5:$C$20000,$A850,INPUT_DELAY!$D$5:$D$20000,"Slippery")+(Kalkulasi!$P$780&gt;0)*SUMIFS(INPUT_DELAY!$E$5:$E$20000,INPUT_DELAY!$A$5:$A$20000,Kalkulasi!$B$751,INPUT_DELAY!$G$5:$G$20000,Kalkulasi!$B$752,INPUT_DELAY!$C$5:$C$20000,"SEMUA",INPUT_DELAY!$D$5:$D$20000,"Slippery")</f>
        <v/>
      </c>
      <c r="D850">
        <f>SUMIFS(INPUT_DELAY!$E$5:$E$20000,INPUT_DELAY!$A$5:$A$20000,Kalkulasi!$B$751,INPUT_DELAY!$G$5:$G$20000,Kalkulasi!$B$752,INPUT_DELAY!$C$5:$C$20000,$A850,INPUT_DELAY!$D$5:$D$20000,"Istirahat")+(Kalkulasi!$P$780&gt;0)*SUMIFS(INPUT_DELAY!$E$5:$E$20000,INPUT_DELAY!$A$5:$A$20000,Kalkulasi!$B$751,INPUT_DELAY!$G$5:$G$20000,Kalkulasi!$B$752,INPUT_DELAY!$C$5:$C$20000,"SEMUA",INPUT_DELAY!$D$5:$D$20000,"Istirahat")</f>
        <v/>
      </c>
      <c r="E850">
        <f>SUMIFS(INPUT_DELAY!$E$5:$E$20000,INPUT_DELAY!$A$5:$A$20000,Kalkulasi!$B$751,INPUT_DELAY!$G$5:$G$20000,Kalkulasi!$B$752,INPUT_DELAY!$C$5:$C$20000,$A850,INPUT_DELAY!$D$5:$D$20000,"P2H / Ganti shift")+(Kalkulasi!$P$780&gt;0)*SUMIFS(INPUT_DELAY!$E$5:$E$20000,INPUT_DELAY!$A$5:$A$20000,Kalkulasi!$B$751,INPUT_DELAY!$G$5:$G$20000,Kalkulasi!$B$752,INPUT_DELAY!$C$5:$C$20000,"SEMUA",INPUT_DELAY!$D$5:$D$20000,"P2H / Ganti shift")</f>
        <v/>
      </c>
      <c r="F850">
        <f>SUMIFS(INPUT_DELAY!$E$5:$E$20000,INPUT_DELAY!$A$5:$A$20000,Kalkulasi!$B$751,INPUT_DELAY!$G$5:$G$20000,Kalkulasi!$B$752,INPUT_DELAY!$C$5:$C$20000,$A850,INPUT_DELAY!$D$5:$D$20000,"Standby")+(Kalkulasi!$P$780&gt;0)*SUMIFS(INPUT_DELAY!$E$5:$E$20000,INPUT_DELAY!$A$5:$A$20000,Kalkulasi!$B$751,INPUT_DELAY!$G$5:$G$20000,Kalkulasi!$B$752,INPUT_DELAY!$C$5:$C$20000,"SEMUA",INPUT_DELAY!$D$5:$D$20000,"Standby")</f>
        <v/>
      </c>
      <c r="G850">
        <f>SUMIFS(INPUT_DELAY!$E$5:$E$20000,INPUT_DELAY!$A$5:$A$20000,Kalkulasi!$B$751,INPUT_DELAY!$G$5:$G$20000,Kalkulasi!$B$752,INPUT_DELAY!$C$5:$C$20000,$A850,INPUT_DELAY!$D$5:$D$20000,"Breakdown")+(Kalkulasi!$P$780&gt;0)*SUMIFS(INPUT_DELAY!$E$5:$E$20000,INPUT_DELAY!$A$5:$A$20000,Kalkulasi!$B$751,INPUT_DELAY!$G$5:$G$20000,Kalkulasi!$B$752,INPUT_DELAY!$C$5:$C$20000,"SEMUA",INPUT_DELAY!$D$5:$D$20000,"Breakdown")</f>
        <v/>
      </c>
      <c r="H850">
        <f>SUMIFS(INPUT_DELAY!$E$5:$E$20000,INPUT_DELAY!$A$5:$A$20000,Kalkulasi!$B$751,INPUT_DELAY!$G$5:$G$20000,Kalkulasi!$B$752,INPUT_DELAY!$C$5:$C$20000,$A850,INPUT_DELAY!$D$5:$D$20000,"Lainnya")+(Kalkulasi!$P$780&gt;0)*SUMIFS(INPUT_DELAY!$E$5:$E$20000,INPUT_DELAY!$A$5:$A$20000,Kalkulasi!$B$751,INPUT_DELAY!$G$5:$G$20000,Kalkulasi!$B$752,INPUT_DELAY!$C$5:$C$20000,"SEMUA",INPUT_DELAY!$D$5:$D$20000,"Lainnya")</f>
        <v/>
      </c>
      <c r="I850">
        <f>SUM(B850:H850)</f>
        <v/>
      </c>
      <c r="J850">
        <f>I850+ROW()/1000000</f>
        <v/>
      </c>
    </row>
    <row r="851">
      <c r="A851" t="inlineStr">
        <is>
          <t>EX-335</t>
        </is>
      </c>
      <c r="B851">
        <f>SUMIFS(INPUT_DELAY!$E$5:$E$20000,INPUT_DELAY!$A$5:$A$20000,Kalkulasi!$B$751,INPUT_DELAY!$G$5:$G$20000,Kalkulasi!$B$752,INPUT_DELAY!$C$5:$C$20000,$A851,INPUT_DELAY!$D$5:$D$20000,"Rain")+(Kalkulasi!$P$781&gt;0)*SUMIFS(INPUT_DELAY!$E$5:$E$20000,INPUT_DELAY!$A$5:$A$20000,Kalkulasi!$B$751,INPUT_DELAY!$G$5:$G$20000,Kalkulasi!$B$752,INPUT_DELAY!$C$5:$C$20000,"SEMUA",INPUT_DELAY!$D$5:$D$20000,"Rain")</f>
        <v/>
      </c>
      <c r="C851">
        <f>SUMIFS(INPUT_DELAY!$E$5:$E$20000,INPUT_DELAY!$A$5:$A$20000,Kalkulasi!$B$751,INPUT_DELAY!$G$5:$G$20000,Kalkulasi!$B$752,INPUT_DELAY!$C$5:$C$20000,$A851,INPUT_DELAY!$D$5:$D$20000,"Slippery")+(Kalkulasi!$P$781&gt;0)*SUMIFS(INPUT_DELAY!$E$5:$E$20000,INPUT_DELAY!$A$5:$A$20000,Kalkulasi!$B$751,INPUT_DELAY!$G$5:$G$20000,Kalkulasi!$B$752,INPUT_DELAY!$C$5:$C$20000,"SEMUA",INPUT_DELAY!$D$5:$D$20000,"Slippery")</f>
        <v/>
      </c>
      <c r="D851">
        <f>SUMIFS(INPUT_DELAY!$E$5:$E$20000,INPUT_DELAY!$A$5:$A$20000,Kalkulasi!$B$751,INPUT_DELAY!$G$5:$G$20000,Kalkulasi!$B$752,INPUT_DELAY!$C$5:$C$20000,$A851,INPUT_DELAY!$D$5:$D$20000,"Istirahat")+(Kalkulasi!$P$781&gt;0)*SUMIFS(INPUT_DELAY!$E$5:$E$20000,INPUT_DELAY!$A$5:$A$20000,Kalkulasi!$B$751,INPUT_DELAY!$G$5:$G$20000,Kalkulasi!$B$752,INPUT_DELAY!$C$5:$C$20000,"SEMUA",INPUT_DELAY!$D$5:$D$20000,"Istirahat")</f>
        <v/>
      </c>
      <c r="E851">
        <f>SUMIFS(INPUT_DELAY!$E$5:$E$20000,INPUT_DELAY!$A$5:$A$20000,Kalkulasi!$B$751,INPUT_DELAY!$G$5:$G$20000,Kalkulasi!$B$752,INPUT_DELAY!$C$5:$C$20000,$A851,INPUT_DELAY!$D$5:$D$20000,"P2H / Ganti shift")+(Kalkulasi!$P$781&gt;0)*SUMIFS(INPUT_DELAY!$E$5:$E$20000,INPUT_DELAY!$A$5:$A$20000,Kalkulasi!$B$751,INPUT_DELAY!$G$5:$G$20000,Kalkulasi!$B$752,INPUT_DELAY!$C$5:$C$20000,"SEMUA",INPUT_DELAY!$D$5:$D$20000,"P2H / Ganti shift")</f>
        <v/>
      </c>
      <c r="F851">
        <f>SUMIFS(INPUT_DELAY!$E$5:$E$20000,INPUT_DELAY!$A$5:$A$20000,Kalkulasi!$B$751,INPUT_DELAY!$G$5:$G$20000,Kalkulasi!$B$752,INPUT_DELAY!$C$5:$C$20000,$A851,INPUT_DELAY!$D$5:$D$20000,"Standby")+(Kalkulasi!$P$781&gt;0)*SUMIFS(INPUT_DELAY!$E$5:$E$20000,INPUT_DELAY!$A$5:$A$20000,Kalkulasi!$B$751,INPUT_DELAY!$G$5:$G$20000,Kalkulasi!$B$752,INPUT_DELAY!$C$5:$C$20000,"SEMUA",INPUT_DELAY!$D$5:$D$20000,"Standby")</f>
        <v/>
      </c>
      <c r="G851">
        <f>SUMIFS(INPUT_DELAY!$E$5:$E$20000,INPUT_DELAY!$A$5:$A$20000,Kalkulasi!$B$751,INPUT_DELAY!$G$5:$G$20000,Kalkulasi!$B$752,INPUT_DELAY!$C$5:$C$20000,$A851,INPUT_DELAY!$D$5:$D$20000,"Breakdown")+(Kalkulasi!$P$781&gt;0)*SUMIFS(INPUT_DELAY!$E$5:$E$20000,INPUT_DELAY!$A$5:$A$20000,Kalkulasi!$B$751,INPUT_DELAY!$G$5:$G$20000,Kalkulasi!$B$752,INPUT_DELAY!$C$5:$C$20000,"SEMUA",INPUT_DELAY!$D$5:$D$20000,"Breakdown")</f>
        <v/>
      </c>
      <c r="H851">
        <f>SUMIFS(INPUT_DELAY!$E$5:$E$20000,INPUT_DELAY!$A$5:$A$20000,Kalkulasi!$B$751,INPUT_DELAY!$G$5:$G$20000,Kalkulasi!$B$752,INPUT_DELAY!$C$5:$C$20000,$A851,INPUT_DELAY!$D$5:$D$20000,"Lainnya")+(Kalkulasi!$P$781&gt;0)*SUMIFS(INPUT_DELAY!$E$5:$E$20000,INPUT_DELAY!$A$5:$A$20000,Kalkulasi!$B$751,INPUT_DELAY!$G$5:$G$20000,Kalkulasi!$B$752,INPUT_DELAY!$C$5:$C$20000,"SEMUA",INPUT_DELAY!$D$5:$D$20000,"Lainnya")</f>
        <v/>
      </c>
      <c r="I851">
        <f>SUM(B851:H851)</f>
        <v/>
      </c>
      <c r="J851">
        <f>I851+ROW()/1000000</f>
        <v/>
      </c>
    </row>
    <row r="852">
      <c r="A852" t="inlineStr">
        <is>
          <t>EX-332</t>
        </is>
      </c>
      <c r="B852">
        <f>SUMIFS(INPUT_DELAY!$E$5:$E$20000,INPUT_DELAY!$A$5:$A$20000,Kalkulasi!$B$751,INPUT_DELAY!$G$5:$G$20000,Kalkulasi!$B$752,INPUT_DELAY!$C$5:$C$20000,$A852,INPUT_DELAY!$D$5:$D$20000,"Rain")+(Kalkulasi!$P$782&gt;0)*SUMIFS(INPUT_DELAY!$E$5:$E$20000,INPUT_DELAY!$A$5:$A$20000,Kalkulasi!$B$751,INPUT_DELAY!$G$5:$G$20000,Kalkulasi!$B$752,INPUT_DELAY!$C$5:$C$20000,"SEMUA",INPUT_DELAY!$D$5:$D$20000,"Rain")</f>
        <v/>
      </c>
      <c r="C852">
        <f>SUMIFS(INPUT_DELAY!$E$5:$E$20000,INPUT_DELAY!$A$5:$A$20000,Kalkulasi!$B$751,INPUT_DELAY!$G$5:$G$20000,Kalkulasi!$B$752,INPUT_DELAY!$C$5:$C$20000,$A852,INPUT_DELAY!$D$5:$D$20000,"Slippery")+(Kalkulasi!$P$782&gt;0)*SUMIFS(INPUT_DELAY!$E$5:$E$20000,INPUT_DELAY!$A$5:$A$20000,Kalkulasi!$B$751,INPUT_DELAY!$G$5:$G$20000,Kalkulasi!$B$752,INPUT_DELAY!$C$5:$C$20000,"SEMUA",INPUT_DELAY!$D$5:$D$20000,"Slippery")</f>
        <v/>
      </c>
      <c r="D852">
        <f>SUMIFS(INPUT_DELAY!$E$5:$E$20000,INPUT_DELAY!$A$5:$A$20000,Kalkulasi!$B$751,INPUT_DELAY!$G$5:$G$20000,Kalkulasi!$B$752,INPUT_DELAY!$C$5:$C$20000,$A852,INPUT_DELAY!$D$5:$D$20000,"Istirahat")+(Kalkulasi!$P$782&gt;0)*SUMIFS(INPUT_DELAY!$E$5:$E$20000,INPUT_DELAY!$A$5:$A$20000,Kalkulasi!$B$751,INPUT_DELAY!$G$5:$G$20000,Kalkulasi!$B$752,INPUT_DELAY!$C$5:$C$20000,"SEMUA",INPUT_DELAY!$D$5:$D$20000,"Istirahat")</f>
        <v/>
      </c>
      <c r="E852">
        <f>SUMIFS(INPUT_DELAY!$E$5:$E$20000,INPUT_DELAY!$A$5:$A$20000,Kalkulasi!$B$751,INPUT_DELAY!$G$5:$G$20000,Kalkulasi!$B$752,INPUT_DELAY!$C$5:$C$20000,$A852,INPUT_DELAY!$D$5:$D$20000,"P2H / Ganti shift")+(Kalkulasi!$P$782&gt;0)*SUMIFS(INPUT_DELAY!$E$5:$E$20000,INPUT_DELAY!$A$5:$A$20000,Kalkulasi!$B$751,INPUT_DELAY!$G$5:$G$20000,Kalkulasi!$B$752,INPUT_DELAY!$C$5:$C$20000,"SEMUA",INPUT_DELAY!$D$5:$D$20000,"P2H / Ganti shift")</f>
        <v/>
      </c>
      <c r="F852">
        <f>SUMIFS(INPUT_DELAY!$E$5:$E$20000,INPUT_DELAY!$A$5:$A$20000,Kalkulasi!$B$751,INPUT_DELAY!$G$5:$G$20000,Kalkulasi!$B$752,INPUT_DELAY!$C$5:$C$20000,$A852,INPUT_DELAY!$D$5:$D$20000,"Standby")+(Kalkulasi!$P$782&gt;0)*SUMIFS(INPUT_DELAY!$E$5:$E$20000,INPUT_DELAY!$A$5:$A$20000,Kalkulasi!$B$751,INPUT_DELAY!$G$5:$G$20000,Kalkulasi!$B$752,INPUT_DELAY!$C$5:$C$20000,"SEMUA",INPUT_DELAY!$D$5:$D$20000,"Standby")</f>
        <v/>
      </c>
      <c r="G852">
        <f>SUMIFS(INPUT_DELAY!$E$5:$E$20000,INPUT_DELAY!$A$5:$A$20000,Kalkulasi!$B$751,INPUT_DELAY!$G$5:$G$20000,Kalkulasi!$B$752,INPUT_DELAY!$C$5:$C$20000,$A852,INPUT_DELAY!$D$5:$D$20000,"Breakdown")+(Kalkulasi!$P$782&gt;0)*SUMIFS(INPUT_DELAY!$E$5:$E$20000,INPUT_DELAY!$A$5:$A$20000,Kalkulasi!$B$751,INPUT_DELAY!$G$5:$G$20000,Kalkulasi!$B$752,INPUT_DELAY!$C$5:$C$20000,"SEMUA",INPUT_DELAY!$D$5:$D$20000,"Breakdown")</f>
        <v/>
      </c>
      <c r="H852">
        <f>SUMIFS(INPUT_DELAY!$E$5:$E$20000,INPUT_DELAY!$A$5:$A$20000,Kalkulasi!$B$751,INPUT_DELAY!$G$5:$G$20000,Kalkulasi!$B$752,INPUT_DELAY!$C$5:$C$20000,$A852,INPUT_DELAY!$D$5:$D$20000,"Lainnya")+(Kalkulasi!$P$782&gt;0)*SUMIFS(INPUT_DELAY!$E$5:$E$20000,INPUT_DELAY!$A$5:$A$20000,Kalkulasi!$B$751,INPUT_DELAY!$G$5:$G$20000,Kalkulasi!$B$752,INPUT_DELAY!$C$5:$C$20000,"SEMUA",INPUT_DELAY!$D$5:$D$20000,"Lainnya")</f>
        <v/>
      </c>
      <c r="I852">
        <f>SUM(B852:H852)</f>
        <v/>
      </c>
      <c r="J852">
        <f>I852+ROW()/1000000</f>
        <v/>
      </c>
    </row>
    <row r="853">
      <c r="A853" t="inlineStr">
        <is>
          <t>EX-222</t>
        </is>
      </c>
      <c r="B853">
        <f>SUMIFS(INPUT_DELAY!$E$5:$E$20000,INPUT_DELAY!$A$5:$A$20000,Kalkulasi!$B$751,INPUT_DELAY!$G$5:$G$20000,Kalkulasi!$B$752,INPUT_DELAY!$C$5:$C$20000,$A853,INPUT_DELAY!$D$5:$D$20000,"Rain")+(Kalkulasi!$P$783&gt;0)*SUMIFS(INPUT_DELAY!$E$5:$E$20000,INPUT_DELAY!$A$5:$A$20000,Kalkulasi!$B$751,INPUT_DELAY!$G$5:$G$20000,Kalkulasi!$B$752,INPUT_DELAY!$C$5:$C$20000,"SEMUA",INPUT_DELAY!$D$5:$D$20000,"Rain")</f>
        <v/>
      </c>
      <c r="C853">
        <f>SUMIFS(INPUT_DELAY!$E$5:$E$20000,INPUT_DELAY!$A$5:$A$20000,Kalkulasi!$B$751,INPUT_DELAY!$G$5:$G$20000,Kalkulasi!$B$752,INPUT_DELAY!$C$5:$C$20000,$A853,INPUT_DELAY!$D$5:$D$20000,"Slippery")+(Kalkulasi!$P$783&gt;0)*SUMIFS(INPUT_DELAY!$E$5:$E$20000,INPUT_DELAY!$A$5:$A$20000,Kalkulasi!$B$751,INPUT_DELAY!$G$5:$G$20000,Kalkulasi!$B$752,INPUT_DELAY!$C$5:$C$20000,"SEMUA",INPUT_DELAY!$D$5:$D$20000,"Slippery")</f>
        <v/>
      </c>
      <c r="D853">
        <f>SUMIFS(INPUT_DELAY!$E$5:$E$20000,INPUT_DELAY!$A$5:$A$20000,Kalkulasi!$B$751,INPUT_DELAY!$G$5:$G$20000,Kalkulasi!$B$752,INPUT_DELAY!$C$5:$C$20000,$A853,INPUT_DELAY!$D$5:$D$20000,"Istirahat")+(Kalkulasi!$P$783&gt;0)*SUMIFS(INPUT_DELAY!$E$5:$E$20000,INPUT_DELAY!$A$5:$A$20000,Kalkulasi!$B$751,INPUT_DELAY!$G$5:$G$20000,Kalkulasi!$B$752,INPUT_DELAY!$C$5:$C$20000,"SEMUA",INPUT_DELAY!$D$5:$D$20000,"Istirahat")</f>
        <v/>
      </c>
      <c r="E853">
        <f>SUMIFS(INPUT_DELAY!$E$5:$E$20000,INPUT_DELAY!$A$5:$A$20000,Kalkulasi!$B$751,INPUT_DELAY!$G$5:$G$20000,Kalkulasi!$B$752,INPUT_DELAY!$C$5:$C$20000,$A853,INPUT_DELAY!$D$5:$D$20000,"P2H / Ganti shift")+(Kalkulasi!$P$783&gt;0)*SUMIFS(INPUT_DELAY!$E$5:$E$20000,INPUT_DELAY!$A$5:$A$20000,Kalkulasi!$B$751,INPUT_DELAY!$G$5:$G$20000,Kalkulasi!$B$752,INPUT_DELAY!$C$5:$C$20000,"SEMUA",INPUT_DELAY!$D$5:$D$20000,"P2H / Ganti shift")</f>
        <v/>
      </c>
      <c r="F853">
        <f>SUMIFS(INPUT_DELAY!$E$5:$E$20000,INPUT_DELAY!$A$5:$A$20000,Kalkulasi!$B$751,INPUT_DELAY!$G$5:$G$20000,Kalkulasi!$B$752,INPUT_DELAY!$C$5:$C$20000,$A853,INPUT_DELAY!$D$5:$D$20000,"Standby")+(Kalkulasi!$P$783&gt;0)*SUMIFS(INPUT_DELAY!$E$5:$E$20000,INPUT_DELAY!$A$5:$A$20000,Kalkulasi!$B$751,INPUT_DELAY!$G$5:$G$20000,Kalkulasi!$B$752,INPUT_DELAY!$C$5:$C$20000,"SEMUA",INPUT_DELAY!$D$5:$D$20000,"Standby")</f>
        <v/>
      </c>
      <c r="G853">
        <f>SUMIFS(INPUT_DELAY!$E$5:$E$20000,INPUT_DELAY!$A$5:$A$20000,Kalkulasi!$B$751,INPUT_DELAY!$G$5:$G$20000,Kalkulasi!$B$752,INPUT_DELAY!$C$5:$C$20000,$A853,INPUT_DELAY!$D$5:$D$20000,"Breakdown")+(Kalkulasi!$P$783&gt;0)*SUMIFS(INPUT_DELAY!$E$5:$E$20000,INPUT_DELAY!$A$5:$A$20000,Kalkulasi!$B$751,INPUT_DELAY!$G$5:$G$20000,Kalkulasi!$B$752,INPUT_DELAY!$C$5:$C$20000,"SEMUA",INPUT_DELAY!$D$5:$D$20000,"Breakdown")</f>
        <v/>
      </c>
      <c r="H853">
        <f>SUMIFS(INPUT_DELAY!$E$5:$E$20000,INPUT_DELAY!$A$5:$A$20000,Kalkulasi!$B$751,INPUT_DELAY!$G$5:$G$20000,Kalkulasi!$B$752,INPUT_DELAY!$C$5:$C$20000,$A853,INPUT_DELAY!$D$5:$D$20000,"Lainnya")+(Kalkulasi!$P$783&gt;0)*SUMIFS(INPUT_DELAY!$E$5:$E$20000,INPUT_DELAY!$A$5:$A$20000,Kalkulasi!$B$751,INPUT_DELAY!$G$5:$G$20000,Kalkulasi!$B$752,INPUT_DELAY!$C$5:$C$20000,"SEMUA",INPUT_DELAY!$D$5:$D$20000,"Lainnya")</f>
        <v/>
      </c>
      <c r="I853">
        <f>SUM(B853:H853)</f>
        <v/>
      </c>
      <c r="J853">
        <f>I853+ROW()/1000000</f>
        <v/>
      </c>
    </row>
    <row r="854">
      <c r="A854" t="inlineStr">
        <is>
          <t>EX-223</t>
        </is>
      </c>
      <c r="B854">
        <f>SUMIFS(INPUT_DELAY!$E$5:$E$20000,INPUT_DELAY!$A$5:$A$20000,Kalkulasi!$B$751,INPUT_DELAY!$G$5:$G$20000,Kalkulasi!$B$752,INPUT_DELAY!$C$5:$C$20000,$A854,INPUT_DELAY!$D$5:$D$20000,"Rain")+(Kalkulasi!$P$784&gt;0)*SUMIFS(INPUT_DELAY!$E$5:$E$20000,INPUT_DELAY!$A$5:$A$20000,Kalkulasi!$B$751,INPUT_DELAY!$G$5:$G$20000,Kalkulasi!$B$752,INPUT_DELAY!$C$5:$C$20000,"SEMUA",INPUT_DELAY!$D$5:$D$20000,"Rain")</f>
        <v/>
      </c>
      <c r="C854">
        <f>SUMIFS(INPUT_DELAY!$E$5:$E$20000,INPUT_DELAY!$A$5:$A$20000,Kalkulasi!$B$751,INPUT_DELAY!$G$5:$G$20000,Kalkulasi!$B$752,INPUT_DELAY!$C$5:$C$20000,$A854,INPUT_DELAY!$D$5:$D$20000,"Slippery")+(Kalkulasi!$P$784&gt;0)*SUMIFS(INPUT_DELAY!$E$5:$E$20000,INPUT_DELAY!$A$5:$A$20000,Kalkulasi!$B$751,INPUT_DELAY!$G$5:$G$20000,Kalkulasi!$B$752,INPUT_DELAY!$C$5:$C$20000,"SEMUA",INPUT_DELAY!$D$5:$D$20000,"Slippery")</f>
        <v/>
      </c>
      <c r="D854">
        <f>SUMIFS(INPUT_DELAY!$E$5:$E$20000,INPUT_DELAY!$A$5:$A$20000,Kalkulasi!$B$751,INPUT_DELAY!$G$5:$G$20000,Kalkulasi!$B$752,INPUT_DELAY!$C$5:$C$20000,$A854,INPUT_DELAY!$D$5:$D$20000,"Istirahat")+(Kalkulasi!$P$784&gt;0)*SUMIFS(INPUT_DELAY!$E$5:$E$20000,INPUT_DELAY!$A$5:$A$20000,Kalkulasi!$B$751,INPUT_DELAY!$G$5:$G$20000,Kalkulasi!$B$752,INPUT_DELAY!$C$5:$C$20000,"SEMUA",INPUT_DELAY!$D$5:$D$20000,"Istirahat")</f>
        <v/>
      </c>
      <c r="E854">
        <f>SUMIFS(INPUT_DELAY!$E$5:$E$20000,INPUT_DELAY!$A$5:$A$20000,Kalkulasi!$B$751,INPUT_DELAY!$G$5:$G$20000,Kalkulasi!$B$752,INPUT_DELAY!$C$5:$C$20000,$A854,INPUT_DELAY!$D$5:$D$20000,"P2H / Ganti shift")+(Kalkulasi!$P$784&gt;0)*SUMIFS(INPUT_DELAY!$E$5:$E$20000,INPUT_DELAY!$A$5:$A$20000,Kalkulasi!$B$751,INPUT_DELAY!$G$5:$G$20000,Kalkulasi!$B$752,INPUT_DELAY!$C$5:$C$20000,"SEMUA",INPUT_DELAY!$D$5:$D$20000,"P2H / Ganti shift")</f>
        <v/>
      </c>
      <c r="F854">
        <f>SUMIFS(INPUT_DELAY!$E$5:$E$20000,INPUT_DELAY!$A$5:$A$20000,Kalkulasi!$B$751,INPUT_DELAY!$G$5:$G$20000,Kalkulasi!$B$752,INPUT_DELAY!$C$5:$C$20000,$A854,INPUT_DELAY!$D$5:$D$20000,"Standby")+(Kalkulasi!$P$784&gt;0)*SUMIFS(INPUT_DELAY!$E$5:$E$20000,INPUT_DELAY!$A$5:$A$20000,Kalkulasi!$B$751,INPUT_DELAY!$G$5:$G$20000,Kalkulasi!$B$752,INPUT_DELAY!$C$5:$C$20000,"SEMUA",INPUT_DELAY!$D$5:$D$20000,"Standby")</f>
        <v/>
      </c>
      <c r="G854">
        <f>SUMIFS(INPUT_DELAY!$E$5:$E$20000,INPUT_DELAY!$A$5:$A$20000,Kalkulasi!$B$751,INPUT_DELAY!$G$5:$G$20000,Kalkulasi!$B$752,INPUT_DELAY!$C$5:$C$20000,$A854,INPUT_DELAY!$D$5:$D$20000,"Breakdown")+(Kalkulasi!$P$784&gt;0)*SUMIFS(INPUT_DELAY!$E$5:$E$20000,INPUT_DELAY!$A$5:$A$20000,Kalkulasi!$B$751,INPUT_DELAY!$G$5:$G$20000,Kalkulasi!$B$752,INPUT_DELAY!$C$5:$C$20000,"SEMUA",INPUT_DELAY!$D$5:$D$20000,"Breakdown")</f>
        <v/>
      </c>
      <c r="H854">
        <f>SUMIFS(INPUT_DELAY!$E$5:$E$20000,INPUT_DELAY!$A$5:$A$20000,Kalkulasi!$B$751,INPUT_DELAY!$G$5:$G$20000,Kalkulasi!$B$752,INPUT_DELAY!$C$5:$C$20000,$A854,INPUT_DELAY!$D$5:$D$20000,"Lainnya")+(Kalkulasi!$P$784&gt;0)*SUMIFS(INPUT_DELAY!$E$5:$E$20000,INPUT_DELAY!$A$5:$A$20000,Kalkulasi!$B$751,INPUT_DELAY!$G$5:$G$20000,Kalkulasi!$B$752,INPUT_DELAY!$C$5:$C$20000,"SEMUA",INPUT_DELAY!$D$5:$D$20000,"Lainnya")</f>
        <v/>
      </c>
      <c r="I854">
        <f>SUM(B854:H854)</f>
        <v/>
      </c>
      <c r="J854">
        <f>I854+ROW()/1000000</f>
        <v/>
      </c>
    </row>
    <row r="855">
      <c r="A855" t="inlineStr">
        <is>
          <t>EX-221</t>
        </is>
      </c>
      <c r="B855">
        <f>SUMIFS(INPUT_DELAY!$E$5:$E$20000,INPUT_DELAY!$A$5:$A$20000,Kalkulasi!$B$751,INPUT_DELAY!$G$5:$G$20000,Kalkulasi!$B$752,INPUT_DELAY!$C$5:$C$20000,$A855,INPUT_DELAY!$D$5:$D$20000,"Rain")+(Kalkulasi!$P$785&gt;0)*SUMIFS(INPUT_DELAY!$E$5:$E$20000,INPUT_DELAY!$A$5:$A$20000,Kalkulasi!$B$751,INPUT_DELAY!$G$5:$G$20000,Kalkulasi!$B$752,INPUT_DELAY!$C$5:$C$20000,"SEMUA",INPUT_DELAY!$D$5:$D$20000,"Rain")</f>
        <v/>
      </c>
      <c r="C855">
        <f>SUMIFS(INPUT_DELAY!$E$5:$E$20000,INPUT_DELAY!$A$5:$A$20000,Kalkulasi!$B$751,INPUT_DELAY!$G$5:$G$20000,Kalkulasi!$B$752,INPUT_DELAY!$C$5:$C$20000,$A855,INPUT_DELAY!$D$5:$D$20000,"Slippery")+(Kalkulasi!$P$785&gt;0)*SUMIFS(INPUT_DELAY!$E$5:$E$20000,INPUT_DELAY!$A$5:$A$20000,Kalkulasi!$B$751,INPUT_DELAY!$G$5:$G$20000,Kalkulasi!$B$752,INPUT_DELAY!$C$5:$C$20000,"SEMUA",INPUT_DELAY!$D$5:$D$20000,"Slippery")</f>
        <v/>
      </c>
      <c r="D855">
        <f>SUMIFS(INPUT_DELAY!$E$5:$E$20000,INPUT_DELAY!$A$5:$A$20000,Kalkulasi!$B$751,INPUT_DELAY!$G$5:$G$20000,Kalkulasi!$B$752,INPUT_DELAY!$C$5:$C$20000,$A855,INPUT_DELAY!$D$5:$D$20000,"Istirahat")+(Kalkulasi!$P$785&gt;0)*SUMIFS(INPUT_DELAY!$E$5:$E$20000,INPUT_DELAY!$A$5:$A$20000,Kalkulasi!$B$751,INPUT_DELAY!$G$5:$G$20000,Kalkulasi!$B$752,INPUT_DELAY!$C$5:$C$20000,"SEMUA",INPUT_DELAY!$D$5:$D$20000,"Istirahat")</f>
        <v/>
      </c>
      <c r="E855">
        <f>SUMIFS(INPUT_DELAY!$E$5:$E$20000,INPUT_DELAY!$A$5:$A$20000,Kalkulasi!$B$751,INPUT_DELAY!$G$5:$G$20000,Kalkulasi!$B$752,INPUT_DELAY!$C$5:$C$20000,$A855,INPUT_DELAY!$D$5:$D$20000,"P2H / Ganti shift")+(Kalkulasi!$P$785&gt;0)*SUMIFS(INPUT_DELAY!$E$5:$E$20000,INPUT_DELAY!$A$5:$A$20000,Kalkulasi!$B$751,INPUT_DELAY!$G$5:$G$20000,Kalkulasi!$B$752,INPUT_DELAY!$C$5:$C$20000,"SEMUA",INPUT_DELAY!$D$5:$D$20000,"P2H / Ganti shift")</f>
        <v/>
      </c>
      <c r="F855">
        <f>SUMIFS(INPUT_DELAY!$E$5:$E$20000,INPUT_DELAY!$A$5:$A$20000,Kalkulasi!$B$751,INPUT_DELAY!$G$5:$G$20000,Kalkulasi!$B$752,INPUT_DELAY!$C$5:$C$20000,$A855,INPUT_DELAY!$D$5:$D$20000,"Standby")+(Kalkulasi!$P$785&gt;0)*SUMIFS(INPUT_DELAY!$E$5:$E$20000,INPUT_DELAY!$A$5:$A$20000,Kalkulasi!$B$751,INPUT_DELAY!$G$5:$G$20000,Kalkulasi!$B$752,INPUT_DELAY!$C$5:$C$20000,"SEMUA",INPUT_DELAY!$D$5:$D$20000,"Standby")</f>
        <v/>
      </c>
      <c r="G855">
        <f>SUMIFS(INPUT_DELAY!$E$5:$E$20000,INPUT_DELAY!$A$5:$A$20000,Kalkulasi!$B$751,INPUT_DELAY!$G$5:$G$20000,Kalkulasi!$B$752,INPUT_DELAY!$C$5:$C$20000,$A855,INPUT_DELAY!$D$5:$D$20000,"Breakdown")+(Kalkulasi!$P$785&gt;0)*SUMIFS(INPUT_DELAY!$E$5:$E$20000,INPUT_DELAY!$A$5:$A$20000,Kalkulasi!$B$751,INPUT_DELAY!$G$5:$G$20000,Kalkulasi!$B$752,INPUT_DELAY!$C$5:$C$20000,"SEMUA",INPUT_DELAY!$D$5:$D$20000,"Breakdown")</f>
        <v/>
      </c>
      <c r="H855">
        <f>SUMIFS(INPUT_DELAY!$E$5:$E$20000,INPUT_DELAY!$A$5:$A$20000,Kalkulasi!$B$751,INPUT_DELAY!$G$5:$G$20000,Kalkulasi!$B$752,INPUT_DELAY!$C$5:$C$20000,$A855,INPUT_DELAY!$D$5:$D$20000,"Lainnya")+(Kalkulasi!$P$785&gt;0)*SUMIFS(INPUT_DELAY!$E$5:$E$20000,INPUT_DELAY!$A$5:$A$20000,Kalkulasi!$B$751,INPUT_DELAY!$G$5:$G$20000,Kalkulasi!$B$752,INPUT_DELAY!$C$5:$C$20000,"SEMUA",INPUT_DELAY!$D$5:$D$20000,"Lainnya")</f>
        <v/>
      </c>
      <c r="I855">
        <f>SUM(B855:H855)</f>
        <v/>
      </c>
      <c r="J855">
        <f>I855+ROW()/1000000</f>
        <v/>
      </c>
    </row>
    <row r="856">
      <c r="A856" t="inlineStr">
        <is>
          <t>EX-225</t>
        </is>
      </c>
      <c r="B856">
        <f>SUMIFS(INPUT_DELAY!$E$5:$E$20000,INPUT_DELAY!$A$5:$A$20000,Kalkulasi!$B$751,INPUT_DELAY!$G$5:$G$20000,Kalkulasi!$B$752,INPUT_DELAY!$C$5:$C$20000,$A856,INPUT_DELAY!$D$5:$D$20000,"Rain")+(Kalkulasi!$P$786&gt;0)*SUMIFS(INPUT_DELAY!$E$5:$E$20000,INPUT_DELAY!$A$5:$A$20000,Kalkulasi!$B$751,INPUT_DELAY!$G$5:$G$20000,Kalkulasi!$B$752,INPUT_DELAY!$C$5:$C$20000,"SEMUA",INPUT_DELAY!$D$5:$D$20000,"Rain")</f>
        <v/>
      </c>
      <c r="C856">
        <f>SUMIFS(INPUT_DELAY!$E$5:$E$20000,INPUT_DELAY!$A$5:$A$20000,Kalkulasi!$B$751,INPUT_DELAY!$G$5:$G$20000,Kalkulasi!$B$752,INPUT_DELAY!$C$5:$C$20000,$A856,INPUT_DELAY!$D$5:$D$20000,"Slippery")+(Kalkulasi!$P$786&gt;0)*SUMIFS(INPUT_DELAY!$E$5:$E$20000,INPUT_DELAY!$A$5:$A$20000,Kalkulasi!$B$751,INPUT_DELAY!$G$5:$G$20000,Kalkulasi!$B$752,INPUT_DELAY!$C$5:$C$20000,"SEMUA",INPUT_DELAY!$D$5:$D$20000,"Slippery")</f>
        <v/>
      </c>
      <c r="D856">
        <f>SUMIFS(INPUT_DELAY!$E$5:$E$20000,INPUT_DELAY!$A$5:$A$20000,Kalkulasi!$B$751,INPUT_DELAY!$G$5:$G$20000,Kalkulasi!$B$752,INPUT_DELAY!$C$5:$C$20000,$A856,INPUT_DELAY!$D$5:$D$20000,"Istirahat")+(Kalkulasi!$P$786&gt;0)*SUMIFS(INPUT_DELAY!$E$5:$E$20000,INPUT_DELAY!$A$5:$A$20000,Kalkulasi!$B$751,INPUT_DELAY!$G$5:$G$20000,Kalkulasi!$B$752,INPUT_DELAY!$C$5:$C$20000,"SEMUA",INPUT_DELAY!$D$5:$D$20000,"Istirahat")</f>
        <v/>
      </c>
      <c r="E856">
        <f>SUMIFS(INPUT_DELAY!$E$5:$E$20000,INPUT_DELAY!$A$5:$A$20000,Kalkulasi!$B$751,INPUT_DELAY!$G$5:$G$20000,Kalkulasi!$B$752,INPUT_DELAY!$C$5:$C$20000,$A856,INPUT_DELAY!$D$5:$D$20000,"P2H / Ganti shift")+(Kalkulasi!$P$786&gt;0)*SUMIFS(INPUT_DELAY!$E$5:$E$20000,INPUT_DELAY!$A$5:$A$20000,Kalkulasi!$B$751,INPUT_DELAY!$G$5:$G$20000,Kalkulasi!$B$752,INPUT_DELAY!$C$5:$C$20000,"SEMUA",INPUT_DELAY!$D$5:$D$20000,"P2H / Ganti shift")</f>
        <v/>
      </c>
      <c r="F856">
        <f>SUMIFS(INPUT_DELAY!$E$5:$E$20000,INPUT_DELAY!$A$5:$A$20000,Kalkulasi!$B$751,INPUT_DELAY!$G$5:$G$20000,Kalkulasi!$B$752,INPUT_DELAY!$C$5:$C$20000,$A856,INPUT_DELAY!$D$5:$D$20000,"Standby")+(Kalkulasi!$P$786&gt;0)*SUMIFS(INPUT_DELAY!$E$5:$E$20000,INPUT_DELAY!$A$5:$A$20000,Kalkulasi!$B$751,INPUT_DELAY!$G$5:$G$20000,Kalkulasi!$B$752,INPUT_DELAY!$C$5:$C$20000,"SEMUA",INPUT_DELAY!$D$5:$D$20000,"Standby")</f>
        <v/>
      </c>
      <c r="G856">
        <f>SUMIFS(INPUT_DELAY!$E$5:$E$20000,INPUT_DELAY!$A$5:$A$20000,Kalkulasi!$B$751,INPUT_DELAY!$G$5:$G$20000,Kalkulasi!$B$752,INPUT_DELAY!$C$5:$C$20000,$A856,INPUT_DELAY!$D$5:$D$20000,"Breakdown")+(Kalkulasi!$P$786&gt;0)*SUMIFS(INPUT_DELAY!$E$5:$E$20000,INPUT_DELAY!$A$5:$A$20000,Kalkulasi!$B$751,INPUT_DELAY!$G$5:$G$20000,Kalkulasi!$B$752,INPUT_DELAY!$C$5:$C$20000,"SEMUA",INPUT_DELAY!$D$5:$D$20000,"Breakdown")</f>
        <v/>
      </c>
      <c r="H856">
        <f>SUMIFS(INPUT_DELAY!$E$5:$E$20000,INPUT_DELAY!$A$5:$A$20000,Kalkulasi!$B$751,INPUT_DELAY!$G$5:$G$20000,Kalkulasi!$B$752,INPUT_DELAY!$C$5:$C$20000,$A856,INPUT_DELAY!$D$5:$D$20000,"Lainnya")+(Kalkulasi!$P$786&gt;0)*SUMIFS(INPUT_DELAY!$E$5:$E$20000,INPUT_DELAY!$A$5:$A$20000,Kalkulasi!$B$751,INPUT_DELAY!$G$5:$G$20000,Kalkulasi!$B$752,INPUT_DELAY!$C$5:$C$20000,"SEMUA",INPUT_DELAY!$D$5:$D$20000,"Lainnya")</f>
        <v/>
      </c>
      <c r="I856">
        <f>SUM(B856:H856)</f>
        <v/>
      </c>
      <c r="J856">
        <f>I856+ROW()/1000000</f>
        <v/>
      </c>
    </row>
    <row r="857">
      <c r="A857" t="inlineStr">
        <is>
          <t>EX-331</t>
        </is>
      </c>
      <c r="B857">
        <f>SUMIFS(INPUT_DELAY!$E$5:$E$20000,INPUT_DELAY!$A$5:$A$20000,Kalkulasi!$B$751,INPUT_DELAY!$G$5:$G$20000,Kalkulasi!$B$752,INPUT_DELAY!$C$5:$C$20000,$A857,INPUT_DELAY!$D$5:$D$20000,"Rain")+(Kalkulasi!$P$787&gt;0)*SUMIFS(INPUT_DELAY!$E$5:$E$20000,INPUT_DELAY!$A$5:$A$20000,Kalkulasi!$B$751,INPUT_DELAY!$G$5:$G$20000,Kalkulasi!$B$752,INPUT_DELAY!$C$5:$C$20000,"SEMUA",INPUT_DELAY!$D$5:$D$20000,"Rain")</f>
        <v/>
      </c>
      <c r="C857">
        <f>SUMIFS(INPUT_DELAY!$E$5:$E$20000,INPUT_DELAY!$A$5:$A$20000,Kalkulasi!$B$751,INPUT_DELAY!$G$5:$G$20000,Kalkulasi!$B$752,INPUT_DELAY!$C$5:$C$20000,$A857,INPUT_DELAY!$D$5:$D$20000,"Slippery")+(Kalkulasi!$P$787&gt;0)*SUMIFS(INPUT_DELAY!$E$5:$E$20000,INPUT_DELAY!$A$5:$A$20000,Kalkulasi!$B$751,INPUT_DELAY!$G$5:$G$20000,Kalkulasi!$B$752,INPUT_DELAY!$C$5:$C$20000,"SEMUA",INPUT_DELAY!$D$5:$D$20000,"Slippery")</f>
        <v/>
      </c>
      <c r="D857">
        <f>SUMIFS(INPUT_DELAY!$E$5:$E$20000,INPUT_DELAY!$A$5:$A$20000,Kalkulasi!$B$751,INPUT_DELAY!$G$5:$G$20000,Kalkulasi!$B$752,INPUT_DELAY!$C$5:$C$20000,$A857,INPUT_DELAY!$D$5:$D$20000,"Istirahat")+(Kalkulasi!$P$787&gt;0)*SUMIFS(INPUT_DELAY!$E$5:$E$20000,INPUT_DELAY!$A$5:$A$20000,Kalkulasi!$B$751,INPUT_DELAY!$G$5:$G$20000,Kalkulasi!$B$752,INPUT_DELAY!$C$5:$C$20000,"SEMUA",INPUT_DELAY!$D$5:$D$20000,"Istirahat")</f>
        <v/>
      </c>
      <c r="E857">
        <f>SUMIFS(INPUT_DELAY!$E$5:$E$20000,INPUT_DELAY!$A$5:$A$20000,Kalkulasi!$B$751,INPUT_DELAY!$G$5:$G$20000,Kalkulasi!$B$752,INPUT_DELAY!$C$5:$C$20000,$A857,INPUT_DELAY!$D$5:$D$20000,"P2H / Ganti shift")+(Kalkulasi!$P$787&gt;0)*SUMIFS(INPUT_DELAY!$E$5:$E$20000,INPUT_DELAY!$A$5:$A$20000,Kalkulasi!$B$751,INPUT_DELAY!$G$5:$G$20000,Kalkulasi!$B$752,INPUT_DELAY!$C$5:$C$20000,"SEMUA",INPUT_DELAY!$D$5:$D$20000,"P2H / Ganti shift")</f>
        <v/>
      </c>
      <c r="F857">
        <f>SUMIFS(INPUT_DELAY!$E$5:$E$20000,INPUT_DELAY!$A$5:$A$20000,Kalkulasi!$B$751,INPUT_DELAY!$G$5:$G$20000,Kalkulasi!$B$752,INPUT_DELAY!$C$5:$C$20000,$A857,INPUT_DELAY!$D$5:$D$20000,"Standby")+(Kalkulasi!$P$787&gt;0)*SUMIFS(INPUT_DELAY!$E$5:$E$20000,INPUT_DELAY!$A$5:$A$20000,Kalkulasi!$B$751,INPUT_DELAY!$G$5:$G$20000,Kalkulasi!$B$752,INPUT_DELAY!$C$5:$C$20000,"SEMUA",INPUT_DELAY!$D$5:$D$20000,"Standby")</f>
        <v/>
      </c>
      <c r="G857">
        <f>SUMIFS(INPUT_DELAY!$E$5:$E$20000,INPUT_DELAY!$A$5:$A$20000,Kalkulasi!$B$751,INPUT_DELAY!$G$5:$G$20000,Kalkulasi!$B$752,INPUT_DELAY!$C$5:$C$20000,$A857,INPUT_DELAY!$D$5:$D$20000,"Breakdown")+(Kalkulasi!$P$787&gt;0)*SUMIFS(INPUT_DELAY!$E$5:$E$20000,INPUT_DELAY!$A$5:$A$20000,Kalkulasi!$B$751,INPUT_DELAY!$G$5:$G$20000,Kalkulasi!$B$752,INPUT_DELAY!$C$5:$C$20000,"SEMUA",INPUT_DELAY!$D$5:$D$20000,"Breakdown")</f>
        <v/>
      </c>
      <c r="H857">
        <f>SUMIFS(INPUT_DELAY!$E$5:$E$20000,INPUT_DELAY!$A$5:$A$20000,Kalkulasi!$B$751,INPUT_DELAY!$G$5:$G$20000,Kalkulasi!$B$752,INPUT_DELAY!$C$5:$C$20000,$A857,INPUT_DELAY!$D$5:$D$20000,"Lainnya")+(Kalkulasi!$P$787&gt;0)*SUMIFS(INPUT_DELAY!$E$5:$E$20000,INPUT_DELAY!$A$5:$A$20000,Kalkulasi!$B$751,INPUT_DELAY!$G$5:$G$20000,Kalkulasi!$B$752,INPUT_DELAY!$C$5:$C$20000,"SEMUA",INPUT_DELAY!$D$5:$D$20000,"Lainnya")</f>
        <v/>
      </c>
      <c r="I857">
        <f>SUM(B857:H857)</f>
        <v/>
      </c>
      <c r="J857">
        <f>I857+ROW()/1000000</f>
        <v/>
      </c>
    </row>
    <row r="858">
      <c r="A858" t="inlineStr">
        <is>
          <t>EX-751</t>
        </is>
      </c>
      <c r="B858">
        <f>SUMIFS(INPUT_DELAY!$E$5:$E$20000,INPUT_DELAY!$A$5:$A$20000,Kalkulasi!$B$751,INPUT_DELAY!$G$5:$G$20000,Kalkulasi!$B$752,INPUT_DELAY!$C$5:$C$20000,$A858,INPUT_DELAY!$D$5:$D$20000,"Rain")+(Kalkulasi!$P$788&gt;0)*SUMIFS(INPUT_DELAY!$E$5:$E$20000,INPUT_DELAY!$A$5:$A$20000,Kalkulasi!$B$751,INPUT_DELAY!$G$5:$G$20000,Kalkulasi!$B$752,INPUT_DELAY!$C$5:$C$20000,"SEMUA",INPUT_DELAY!$D$5:$D$20000,"Rain")</f>
        <v/>
      </c>
      <c r="C858">
        <f>SUMIFS(INPUT_DELAY!$E$5:$E$20000,INPUT_DELAY!$A$5:$A$20000,Kalkulasi!$B$751,INPUT_DELAY!$G$5:$G$20000,Kalkulasi!$B$752,INPUT_DELAY!$C$5:$C$20000,$A858,INPUT_DELAY!$D$5:$D$20000,"Slippery")+(Kalkulasi!$P$788&gt;0)*SUMIFS(INPUT_DELAY!$E$5:$E$20000,INPUT_DELAY!$A$5:$A$20000,Kalkulasi!$B$751,INPUT_DELAY!$G$5:$G$20000,Kalkulasi!$B$752,INPUT_DELAY!$C$5:$C$20000,"SEMUA",INPUT_DELAY!$D$5:$D$20000,"Slippery")</f>
        <v/>
      </c>
      <c r="D858">
        <f>SUMIFS(INPUT_DELAY!$E$5:$E$20000,INPUT_DELAY!$A$5:$A$20000,Kalkulasi!$B$751,INPUT_DELAY!$G$5:$G$20000,Kalkulasi!$B$752,INPUT_DELAY!$C$5:$C$20000,$A858,INPUT_DELAY!$D$5:$D$20000,"Istirahat")+(Kalkulasi!$P$788&gt;0)*SUMIFS(INPUT_DELAY!$E$5:$E$20000,INPUT_DELAY!$A$5:$A$20000,Kalkulasi!$B$751,INPUT_DELAY!$G$5:$G$20000,Kalkulasi!$B$752,INPUT_DELAY!$C$5:$C$20000,"SEMUA",INPUT_DELAY!$D$5:$D$20000,"Istirahat")</f>
        <v/>
      </c>
      <c r="E858">
        <f>SUMIFS(INPUT_DELAY!$E$5:$E$20000,INPUT_DELAY!$A$5:$A$20000,Kalkulasi!$B$751,INPUT_DELAY!$G$5:$G$20000,Kalkulasi!$B$752,INPUT_DELAY!$C$5:$C$20000,$A858,INPUT_DELAY!$D$5:$D$20000,"P2H / Ganti shift")+(Kalkulasi!$P$788&gt;0)*SUMIFS(INPUT_DELAY!$E$5:$E$20000,INPUT_DELAY!$A$5:$A$20000,Kalkulasi!$B$751,INPUT_DELAY!$G$5:$G$20000,Kalkulasi!$B$752,INPUT_DELAY!$C$5:$C$20000,"SEMUA",INPUT_DELAY!$D$5:$D$20000,"P2H / Ganti shift")</f>
        <v/>
      </c>
      <c r="F858">
        <f>SUMIFS(INPUT_DELAY!$E$5:$E$20000,INPUT_DELAY!$A$5:$A$20000,Kalkulasi!$B$751,INPUT_DELAY!$G$5:$G$20000,Kalkulasi!$B$752,INPUT_DELAY!$C$5:$C$20000,$A858,INPUT_DELAY!$D$5:$D$20000,"Standby")+(Kalkulasi!$P$788&gt;0)*SUMIFS(INPUT_DELAY!$E$5:$E$20000,INPUT_DELAY!$A$5:$A$20000,Kalkulasi!$B$751,INPUT_DELAY!$G$5:$G$20000,Kalkulasi!$B$752,INPUT_DELAY!$C$5:$C$20000,"SEMUA",INPUT_DELAY!$D$5:$D$20000,"Standby")</f>
        <v/>
      </c>
      <c r="G858">
        <f>SUMIFS(INPUT_DELAY!$E$5:$E$20000,INPUT_DELAY!$A$5:$A$20000,Kalkulasi!$B$751,INPUT_DELAY!$G$5:$G$20000,Kalkulasi!$B$752,INPUT_DELAY!$C$5:$C$20000,$A858,INPUT_DELAY!$D$5:$D$20000,"Breakdown")+(Kalkulasi!$P$788&gt;0)*SUMIFS(INPUT_DELAY!$E$5:$E$20000,INPUT_DELAY!$A$5:$A$20000,Kalkulasi!$B$751,INPUT_DELAY!$G$5:$G$20000,Kalkulasi!$B$752,INPUT_DELAY!$C$5:$C$20000,"SEMUA",INPUT_DELAY!$D$5:$D$20000,"Breakdown")</f>
        <v/>
      </c>
      <c r="H858">
        <f>SUMIFS(INPUT_DELAY!$E$5:$E$20000,INPUT_DELAY!$A$5:$A$20000,Kalkulasi!$B$751,INPUT_DELAY!$G$5:$G$20000,Kalkulasi!$B$752,INPUT_DELAY!$C$5:$C$20000,$A858,INPUT_DELAY!$D$5:$D$20000,"Lainnya")+(Kalkulasi!$P$788&gt;0)*SUMIFS(INPUT_DELAY!$E$5:$E$20000,INPUT_DELAY!$A$5:$A$20000,Kalkulasi!$B$751,INPUT_DELAY!$G$5:$G$20000,Kalkulasi!$B$752,INPUT_DELAY!$C$5:$C$20000,"SEMUA",INPUT_DELAY!$D$5:$D$20000,"Lainnya")</f>
        <v/>
      </c>
      <c r="I858">
        <f>SUM(B858:H858)</f>
        <v/>
      </c>
      <c r="J858">
        <f>I858+ROW()/1000000</f>
        <v/>
      </c>
    </row>
    <row r="859">
      <c r="A859" t="inlineStr">
        <is>
          <t>EX-752</t>
        </is>
      </c>
      <c r="B859">
        <f>SUMIFS(INPUT_DELAY!$E$5:$E$20000,INPUT_DELAY!$A$5:$A$20000,Kalkulasi!$B$751,INPUT_DELAY!$G$5:$G$20000,Kalkulasi!$B$752,INPUT_DELAY!$C$5:$C$20000,$A859,INPUT_DELAY!$D$5:$D$20000,"Rain")+(Kalkulasi!$P$789&gt;0)*SUMIFS(INPUT_DELAY!$E$5:$E$20000,INPUT_DELAY!$A$5:$A$20000,Kalkulasi!$B$751,INPUT_DELAY!$G$5:$G$20000,Kalkulasi!$B$752,INPUT_DELAY!$C$5:$C$20000,"SEMUA",INPUT_DELAY!$D$5:$D$20000,"Rain")</f>
        <v/>
      </c>
      <c r="C859">
        <f>SUMIFS(INPUT_DELAY!$E$5:$E$20000,INPUT_DELAY!$A$5:$A$20000,Kalkulasi!$B$751,INPUT_DELAY!$G$5:$G$20000,Kalkulasi!$B$752,INPUT_DELAY!$C$5:$C$20000,$A859,INPUT_DELAY!$D$5:$D$20000,"Slippery")+(Kalkulasi!$P$789&gt;0)*SUMIFS(INPUT_DELAY!$E$5:$E$20000,INPUT_DELAY!$A$5:$A$20000,Kalkulasi!$B$751,INPUT_DELAY!$G$5:$G$20000,Kalkulasi!$B$752,INPUT_DELAY!$C$5:$C$20000,"SEMUA",INPUT_DELAY!$D$5:$D$20000,"Slippery")</f>
        <v/>
      </c>
      <c r="D859">
        <f>SUMIFS(INPUT_DELAY!$E$5:$E$20000,INPUT_DELAY!$A$5:$A$20000,Kalkulasi!$B$751,INPUT_DELAY!$G$5:$G$20000,Kalkulasi!$B$752,INPUT_DELAY!$C$5:$C$20000,$A859,INPUT_DELAY!$D$5:$D$20000,"Istirahat")+(Kalkulasi!$P$789&gt;0)*SUMIFS(INPUT_DELAY!$E$5:$E$20000,INPUT_DELAY!$A$5:$A$20000,Kalkulasi!$B$751,INPUT_DELAY!$G$5:$G$20000,Kalkulasi!$B$752,INPUT_DELAY!$C$5:$C$20000,"SEMUA",INPUT_DELAY!$D$5:$D$20000,"Istirahat")</f>
        <v/>
      </c>
      <c r="E859">
        <f>SUMIFS(INPUT_DELAY!$E$5:$E$20000,INPUT_DELAY!$A$5:$A$20000,Kalkulasi!$B$751,INPUT_DELAY!$G$5:$G$20000,Kalkulasi!$B$752,INPUT_DELAY!$C$5:$C$20000,$A859,INPUT_DELAY!$D$5:$D$20000,"P2H / Ganti shift")+(Kalkulasi!$P$789&gt;0)*SUMIFS(INPUT_DELAY!$E$5:$E$20000,INPUT_DELAY!$A$5:$A$20000,Kalkulasi!$B$751,INPUT_DELAY!$G$5:$G$20000,Kalkulasi!$B$752,INPUT_DELAY!$C$5:$C$20000,"SEMUA",INPUT_DELAY!$D$5:$D$20000,"P2H / Ganti shift")</f>
        <v/>
      </c>
      <c r="F859">
        <f>SUMIFS(INPUT_DELAY!$E$5:$E$20000,INPUT_DELAY!$A$5:$A$20000,Kalkulasi!$B$751,INPUT_DELAY!$G$5:$G$20000,Kalkulasi!$B$752,INPUT_DELAY!$C$5:$C$20000,$A859,INPUT_DELAY!$D$5:$D$20000,"Standby")+(Kalkulasi!$P$789&gt;0)*SUMIFS(INPUT_DELAY!$E$5:$E$20000,INPUT_DELAY!$A$5:$A$20000,Kalkulasi!$B$751,INPUT_DELAY!$G$5:$G$20000,Kalkulasi!$B$752,INPUT_DELAY!$C$5:$C$20000,"SEMUA",INPUT_DELAY!$D$5:$D$20000,"Standby")</f>
        <v/>
      </c>
      <c r="G859">
        <f>SUMIFS(INPUT_DELAY!$E$5:$E$20000,INPUT_DELAY!$A$5:$A$20000,Kalkulasi!$B$751,INPUT_DELAY!$G$5:$G$20000,Kalkulasi!$B$752,INPUT_DELAY!$C$5:$C$20000,$A859,INPUT_DELAY!$D$5:$D$20000,"Breakdown")+(Kalkulasi!$P$789&gt;0)*SUMIFS(INPUT_DELAY!$E$5:$E$20000,INPUT_DELAY!$A$5:$A$20000,Kalkulasi!$B$751,INPUT_DELAY!$G$5:$G$20000,Kalkulasi!$B$752,INPUT_DELAY!$C$5:$C$20000,"SEMUA",INPUT_DELAY!$D$5:$D$20000,"Breakdown")</f>
        <v/>
      </c>
      <c r="H859">
        <f>SUMIFS(INPUT_DELAY!$E$5:$E$20000,INPUT_DELAY!$A$5:$A$20000,Kalkulasi!$B$751,INPUT_DELAY!$G$5:$G$20000,Kalkulasi!$B$752,INPUT_DELAY!$C$5:$C$20000,$A859,INPUT_DELAY!$D$5:$D$20000,"Lainnya")+(Kalkulasi!$P$789&gt;0)*SUMIFS(INPUT_DELAY!$E$5:$E$20000,INPUT_DELAY!$A$5:$A$20000,Kalkulasi!$B$751,INPUT_DELAY!$G$5:$G$20000,Kalkulasi!$B$752,INPUT_DELAY!$C$5:$C$20000,"SEMUA",INPUT_DELAY!$D$5:$D$20000,"Lainnya")</f>
        <v/>
      </c>
      <c r="I859">
        <f>SUM(B859:H859)</f>
        <v/>
      </c>
      <c r="J859">
        <f>I859+ROW()/1000000</f>
        <v/>
      </c>
    </row>
    <row r="862">
      <c r="A862" s="171" t="inlineStr">
        <is>
          <t>FLEET — KPI</t>
        </is>
      </c>
    </row>
    <row r="863">
      <c r="A863" t="inlineStr">
        <is>
          <t>MF fleet</t>
        </is>
      </c>
      <c r="B863" s="196">
        <f>IF(SUM($BD$772:$BD$789)=0,0,SUM($AC$772:$AC$789)/SUM($BD$772:$BD$789))</f>
        <v/>
      </c>
    </row>
    <row r="864">
      <c r="A864" t="inlineStr">
        <is>
          <t>Digger kurang DT</t>
        </is>
      </c>
      <c r="B864" s="193">
        <f>COUNTIF($BH$772:$BH$789,"&gt;0")</f>
        <v/>
      </c>
    </row>
    <row r="865">
      <c r="A865" t="inlineStr">
        <is>
          <t>Digger kelebihan DT</t>
        </is>
      </c>
      <c r="B865" s="193">
        <f>COUNTIF($BH$772:$BH$789,"&lt;0")</f>
        <v/>
      </c>
    </row>
    <row r="866">
      <c r="A866" t="inlineStr">
        <is>
          <t>DT rata-rata per digger aktif</t>
        </is>
      </c>
      <c r="B866" s="197">
        <f>IF(SUM($BD$772:$BD$789)=0,0,SUM($P$772:$P$789)/SUM($BD$772:$BD$789))</f>
        <v/>
      </c>
    </row>
    <row r="867">
      <c r="A867" t="inlineStr">
        <is>
          <t>Rit/DT/jam</t>
        </is>
      </c>
      <c r="B867" s="197">
        <f>IF(SUM($P$772:$P$789)=0,0,SUM($BI$772:$BI$789)/SUM($P$772:$P$789))</f>
        <v/>
      </c>
    </row>
    <row r="868">
      <c r="A868" t="inlineStr">
        <is>
          <t>Menit hilang (digger×menit)</t>
        </is>
      </c>
      <c r="B868" s="194">
        <f>SUM(B831:B837)</f>
        <v/>
      </c>
    </row>
    <row r="869">
      <c r="A869" t="inlineStr">
        <is>
          <t>Kategori terbesar</t>
        </is>
      </c>
      <c r="B869">
        <f>IF(Kalkulasi!$B$868=0,"–",INDEX(A831:A837,MATCH(MAX(C831:C837),C831:C837,0)))</f>
        <v/>
      </c>
    </row>
    <row r="870">
      <c r="A870" t="inlineStr">
        <is>
          <t>Menit kategori terbesar</t>
        </is>
      </c>
      <c r="B870" s="194">
        <f>MAX(B831:B837)</f>
        <v/>
      </c>
    </row>
    <row r="872">
      <c r="A872" s="171" t="inlineStr">
        <is>
          <t>TREN — filter</t>
        </is>
      </c>
    </row>
    <row r="873">
      <c r="A873" t="inlineStr">
        <is>
          <t>Dari</t>
        </is>
      </c>
      <c r="B873" s="192">
        <f>'Tren PTY'!$E$6</f>
        <v/>
      </c>
    </row>
    <row r="874">
      <c r="A874" t="inlineStr">
        <is>
          <t>Sampai</t>
        </is>
      </c>
      <c r="B874" s="192">
        <f>'Tren PTY'!$H$6</f>
        <v/>
      </c>
    </row>
    <row r="875">
      <c r="A875" t="inlineStr">
        <is>
          <t>Shift</t>
        </is>
      </c>
      <c r="B875">
        <f>'Tren PTY'!$K$6</f>
        <v/>
      </c>
    </row>
    <row r="876">
      <c r="A876" t="inlineStr">
        <is>
          <t>Grup</t>
        </is>
      </c>
      <c r="B876">
        <f>'Tren PTY'!$N$6</f>
        <v/>
      </c>
    </row>
    <row r="877">
      <c r="A877" t="inlineStr">
        <is>
          <t>Kriteria shift</t>
        </is>
      </c>
      <c r="B877">
        <f>IF(Kalkulasi!$B$875="Semua","*",Kalkulasi!$B$875)</f>
        <v/>
      </c>
    </row>
    <row r="879">
      <c r="A879" s="171" t="inlineStr">
        <is>
          <t>TREN — grid tanggal × digger (prod | EWH | PTY)</t>
        </is>
      </c>
    </row>
    <row r="880">
      <c r="A880" t="inlineStr">
        <is>
          <t>Tanggal</t>
        </is>
      </c>
      <c r="B880" t="inlineStr">
        <is>
          <t>EX-1251</t>
        </is>
      </c>
      <c r="C880" t="inlineStr">
        <is>
          <t>EX-755</t>
        </is>
      </c>
      <c r="D880" t="inlineStr">
        <is>
          <t>EX-2101</t>
        </is>
      </c>
      <c r="E880" t="inlineStr">
        <is>
          <t>EX-754</t>
        </is>
      </c>
      <c r="F880" t="inlineStr">
        <is>
          <t>EX-753</t>
        </is>
      </c>
      <c r="G880" t="inlineStr">
        <is>
          <t>EX-1252</t>
        </is>
      </c>
      <c r="H880" t="inlineStr">
        <is>
          <t>EX-334</t>
        </is>
      </c>
      <c r="I880" t="inlineStr">
        <is>
          <t>EX-336</t>
        </is>
      </c>
      <c r="J880" t="inlineStr">
        <is>
          <t>EX-333</t>
        </is>
      </c>
      <c r="K880" t="inlineStr">
        <is>
          <t>EX-335</t>
        </is>
      </c>
      <c r="L880" t="inlineStr">
        <is>
          <t>EX-332</t>
        </is>
      </c>
      <c r="M880" t="inlineStr">
        <is>
          <t>EX-222</t>
        </is>
      </c>
      <c r="N880" t="inlineStr">
        <is>
          <t>EX-223</t>
        </is>
      </c>
      <c r="O880" t="inlineStr">
        <is>
          <t>EX-221</t>
        </is>
      </c>
      <c r="P880" t="inlineStr">
        <is>
          <t>EX-225</t>
        </is>
      </c>
      <c r="Q880" t="inlineStr">
        <is>
          <t>EX-331</t>
        </is>
      </c>
      <c r="R880" t="inlineStr">
        <is>
          <t>EX-751</t>
        </is>
      </c>
      <c r="S880" t="inlineStr">
        <is>
          <t>EX-752</t>
        </is>
      </c>
      <c r="T880" t="inlineStr">
        <is>
          <t>Σ prod</t>
        </is>
      </c>
      <c r="U880" t="inlineStr">
        <is>
          <t>EX-1251</t>
        </is>
      </c>
      <c r="V880" t="inlineStr">
        <is>
          <t>EX-755</t>
        </is>
      </c>
      <c r="W880" t="inlineStr">
        <is>
          <t>EX-2101</t>
        </is>
      </c>
      <c r="X880" t="inlineStr">
        <is>
          <t>EX-754</t>
        </is>
      </c>
      <c r="Y880" t="inlineStr">
        <is>
          <t>EX-753</t>
        </is>
      </c>
      <c r="Z880" t="inlineStr">
        <is>
          <t>EX-1252</t>
        </is>
      </c>
      <c r="AA880" t="inlineStr">
        <is>
          <t>EX-334</t>
        </is>
      </c>
      <c r="AB880" t="inlineStr">
        <is>
          <t>EX-336</t>
        </is>
      </c>
      <c r="AC880" t="inlineStr">
        <is>
          <t>EX-333</t>
        </is>
      </c>
      <c r="AD880" t="inlineStr">
        <is>
          <t>EX-335</t>
        </is>
      </c>
      <c r="AE880" t="inlineStr">
        <is>
          <t>EX-332</t>
        </is>
      </c>
      <c r="AF880" t="inlineStr">
        <is>
          <t>EX-222</t>
        </is>
      </c>
      <c r="AG880" t="inlineStr">
        <is>
          <t>EX-223</t>
        </is>
      </c>
      <c r="AH880" t="inlineStr">
        <is>
          <t>EX-221</t>
        </is>
      </c>
      <c r="AI880" t="inlineStr">
        <is>
          <t>EX-225</t>
        </is>
      </c>
      <c r="AJ880" t="inlineStr">
        <is>
          <t>EX-331</t>
        </is>
      </c>
      <c r="AK880" t="inlineStr">
        <is>
          <t>EX-751</t>
        </is>
      </c>
      <c r="AL880" t="inlineStr">
        <is>
          <t>EX-752</t>
        </is>
      </c>
      <c r="AM880" t="inlineStr">
        <is>
          <t>Σ EWH</t>
        </is>
      </c>
      <c r="AN880" t="inlineStr">
        <is>
          <t>EX-1251</t>
        </is>
      </c>
      <c r="AO880" t="inlineStr">
        <is>
          <t>EX-755</t>
        </is>
      </c>
      <c r="AP880" t="inlineStr">
        <is>
          <t>EX-2101</t>
        </is>
      </c>
      <c r="AQ880" t="inlineStr">
        <is>
          <t>EX-754</t>
        </is>
      </c>
      <c r="AR880" t="inlineStr">
        <is>
          <t>EX-753</t>
        </is>
      </c>
      <c r="AS880" t="inlineStr">
        <is>
          <t>EX-1252</t>
        </is>
      </c>
      <c r="AT880" t="inlineStr">
        <is>
          <t>EX-334</t>
        </is>
      </c>
      <c r="AU880" t="inlineStr">
        <is>
          <t>EX-336</t>
        </is>
      </c>
      <c r="AV880" t="inlineStr">
        <is>
          <t>EX-333</t>
        </is>
      </c>
      <c r="AW880" t="inlineStr">
        <is>
          <t>EX-335</t>
        </is>
      </c>
      <c r="AX880" t="inlineStr">
        <is>
          <t>EX-332</t>
        </is>
      </c>
      <c r="AY880" t="inlineStr">
        <is>
          <t>EX-222</t>
        </is>
      </c>
      <c r="AZ880" t="inlineStr">
        <is>
          <t>EX-223</t>
        </is>
      </c>
      <c r="BA880" t="inlineStr">
        <is>
          <t>EX-221</t>
        </is>
      </c>
      <c r="BB880" t="inlineStr">
        <is>
          <t>EX-225</t>
        </is>
      </c>
      <c r="BC880" t="inlineStr">
        <is>
          <t>EX-331</t>
        </is>
      </c>
      <c r="BD880" t="inlineStr">
        <is>
          <t>EX-751</t>
        </is>
      </c>
      <c r="BE880" t="inlineStr">
        <is>
          <t>EX-752</t>
        </is>
      </c>
      <c r="BF880" t="inlineStr">
        <is>
          <t>PTY fleet</t>
        </is>
      </c>
      <c r="BG880" t="inlineStr">
        <is>
          <t>idx</t>
        </is>
      </c>
    </row>
    <row r="881">
      <c r="A881" s="199">
        <f>IF(Kalkulasi!$B$873+0&gt;Kalkulasi!$B$874,"",Kalkulasi!$B$873+0)</f>
        <v/>
      </c>
      <c r="B881">
        <f>IF(OR($A881="",U881=0),0,IF(Kalkulasi!$B$876="OB",SUMIFS(DATA_TS!$Q$2:$Q$20001,DATA_TS!$A$2:$A$20001,$A881,DATA_TS!$C$2:$C$20001,B$880,DATA_TS!$B$2:$B$20001,Kalkulasi!$B$877),SUMIFS(DATA_TS!$R$2:$R$20001,DATA_TS!$A$2:$A$20001,$A881,DATA_TS!$C$2:$C$20001,B$880,DATA_TS!$B$2:$B$20001,Kalkulasi!$B$877)))</f>
        <v/>
      </c>
      <c r="C881">
        <f>IF(OR($A881="",V881=0),0,IF(Kalkulasi!$B$876="OB",SUMIFS(DATA_TS!$Q$2:$Q$20001,DATA_TS!$A$2:$A$20001,$A881,DATA_TS!$C$2:$C$20001,C$880,DATA_TS!$B$2:$B$20001,Kalkulasi!$B$877),SUMIFS(DATA_TS!$R$2:$R$20001,DATA_TS!$A$2:$A$20001,$A881,DATA_TS!$C$2:$C$20001,C$880,DATA_TS!$B$2:$B$20001,Kalkulasi!$B$877)))</f>
        <v/>
      </c>
      <c r="D881">
        <f>IF(OR($A881="",W881=0),0,IF(Kalkulasi!$B$876="OB",SUMIFS(DATA_TS!$Q$2:$Q$20001,DATA_TS!$A$2:$A$20001,$A881,DATA_TS!$C$2:$C$20001,D$880,DATA_TS!$B$2:$B$20001,Kalkulasi!$B$877),SUMIFS(DATA_TS!$R$2:$R$20001,DATA_TS!$A$2:$A$20001,$A881,DATA_TS!$C$2:$C$20001,D$880,DATA_TS!$B$2:$B$20001,Kalkulasi!$B$877)))</f>
        <v/>
      </c>
      <c r="E881">
        <f>IF(OR($A881="",X881=0),0,IF(Kalkulasi!$B$876="OB",SUMIFS(DATA_TS!$Q$2:$Q$20001,DATA_TS!$A$2:$A$20001,$A881,DATA_TS!$C$2:$C$20001,E$880,DATA_TS!$B$2:$B$20001,Kalkulasi!$B$877),SUMIFS(DATA_TS!$R$2:$R$20001,DATA_TS!$A$2:$A$20001,$A881,DATA_TS!$C$2:$C$20001,E$880,DATA_TS!$B$2:$B$20001,Kalkulasi!$B$877)))</f>
        <v/>
      </c>
      <c r="F881">
        <f>IF(OR($A881="",Y881=0),0,IF(Kalkulasi!$B$876="OB",SUMIFS(DATA_TS!$Q$2:$Q$20001,DATA_TS!$A$2:$A$20001,$A881,DATA_TS!$C$2:$C$20001,F$880,DATA_TS!$B$2:$B$20001,Kalkulasi!$B$877),SUMIFS(DATA_TS!$R$2:$R$20001,DATA_TS!$A$2:$A$20001,$A881,DATA_TS!$C$2:$C$20001,F$880,DATA_TS!$B$2:$B$20001,Kalkulasi!$B$877)))</f>
        <v/>
      </c>
      <c r="G881">
        <f>IF(OR($A881="",Z881=0),0,IF(Kalkulasi!$B$876="OB",SUMIFS(DATA_TS!$Q$2:$Q$20001,DATA_TS!$A$2:$A$20001,$A881,DATA_TS!$C$2:$C$20001,G$880,DATA_TS!$B$2:$B$20001,Kalkulasi!$B$877),SUMIFS(DATA_TS!$R$2:$R$20001,DATA_TS!$A$2:$A$20001,$A881,DATA_TS!$C$2:$C$20001,G$880,DATA_TS!$B$2:$B$20001,Kalkulasi!$B$877)))</f>
        <v/>
      </c>
      <c r="H881">
        <f>IF(OR($A881="",AA881=0),0,IF(Kalkulasi!$B$876="OB",SUMIFS(DATA_TS!$Q$2:$Q$20001,DATA_TS!$A$2:$A$20001,$A881,DATA_TS!$C$2:$C$20001,H$880,DATA_TS!$B$2:$B$20001,Kalkulasi!$B$877),SUMIFS(DATA_TS!$R$2:$R$20001,DATA_TS!$A$2:$A$20001,$A881,DATA_TS!$C$2:$C$20001,H$880,DATA_TS!$B$2:$B$20001,Kalkulasi!$B$877)))</f>
        <v/>
      </c>
      <c r="I881">
        <f>IF(OR($A881="",AB881=0),0,IF(Kalkulasi!$B$876="OB",SUMIFS(DATA_TS!$Q$2:$Q$20001,DATA_TS!$A$2:$A$20001,$A881,DATA_TS!$C$2:$C$20001,I$880,DATA_TS!$B$2:$B$20001,Kalkulasi!$B$877),SUMIFS(DATA_TS!$R$2:$R$20001,DATA_TS!$A$2:$A$20001,$A881,DATA_TS!$C$2:$C$20001,I$880,DATA_TS!$B$2:$B$20001,Kalkulasi!$B$877)))</f>
        <v/>
      </c>
      <c r="J881">
        <f>IF(OR($A881="",AC881=0),0,IF(Kalkulasi!$B$876="OB",SUMIFS(DATA_TS!$Q$2:$Q$20001,DATA_TS!$A$2:$A$20001,$A881,DATA_TS!$C$2:$C$20001,J$880,DATA_TS!$B$2:$B$20001,Kalkulasi!$B$877),SUMIFS(DATA_TS!$R$2:$R$20001,DATA_TS!$A$2:$A$20001,$A881,DATA_TS!$C$2:$C$20001,J$880,DATA_TS!$B$2:$B$20001,Kalkulasi!$B$877)))</f>
        <v/>
      </c>
      <c r="K881">
        <f>IF(OR($A881="",AD881=0),0,IF(Kalkulasi!$B$876="OB",SUMIFS(DATA_TS!$Q$2:$Q$20001,DATA_TS!$A$2:$A$20001,$A881,DATA_TS!$C$2:$C$20001,K$880,DATA_TS!$B$2:$B$20001,Kalkulasi!$B$877),SUMIFS(DATA_TS!$R$2:$R$20001,DATA_TS!$A$2:$A$20001,$A881,DATA_TS!$C$2:$C$20001,K$880,DATA_TS!$B$2:$B$20001,Kalkulasi!$B$877)))</f>
        <v/>
      </c>
      <c r="L881">
        <f>IF(OR($A881="",AE881=0),0,IF(Kalkulasi!$B$876="OB",SUMIFS(DATA_TS!$Q$2:$Q$20001,DATA_TS!$A$2:$A$20001,$A881,DATA_TS!$C$2:$C$20001,L$880,DATA_TS!$B$2:$B$20001,Kalkulasi!$B$877),SUMIFS(DATA_TS!$R$2:$R$20001,DATA_TS!$A$2:$A$20001,$A881,DATA_TS!$C$2:$C$20001,L$880,DATA_TS!$B$2:$B$20001,Kalkulasi!$B$877)))</f>
        <v/>
      </c>
      <c r="M881">
        <f>IF(OR($A881="",AF881=0),0,IF(Kalkulasi!$B$876="OB",SUMIFS(DATA_TS!$Q$2:$Q$20001,DATA_TS!$A$2:$A$20001,$A881,DATA_TS!$C$2:$C$20001,M$880,DATA_TS!$B$2:$B$20001,Kalkulasi!$B$877),SUMIFS(DATA_TS!$R$2:$R$20001,DATA_TS!$A$2:$A$20001,$A881,DATA_TS!$C$2:$C$20001,M$880,DATA_TS!$B$2:$B$20001,Kalkulasi!$B$877)))</f>
        <v/>
      </c>
      <c r="N881">
        <f>IF(OR($A881="",AG881=0),0,IF(Kalkulasi!$B$876="OB",SUMIFS(DATA_TS!$Q$2:$Q$20001,DATA_TS!$A$2:$A$20001,$A881,DATA_TS!$C$2:$C$20001,N$880,DATA_TS!$B$2:$B$20001,Kalkulasi!$B$877),SUMIFS(DATA_TS!$R$2:$R$20001,DATA_TS!$A$2:$A$20001,$A881,DATA_TS!$C$2:$C$20001,N$880,DATA_TS!$B$2:$B$20001,Kalkulasi!$B$877)))</f>
        <v/>
      </c>
      <c r="O881">
        <f>IF(OR($A881="",AH881=0),0,IF(Kalkulasi!$B$876="OB",SUMIFS(DATA_TS!$Q$2:$Q$20001,DATA_TS!$A$2:$A$20001,$A881,DATA_TS!$C$2:$C$20001,O$880,DATA_TS!$B$2:$B$20001,Kalkulasi!$B$877),SUMIFS(DATA_TS!$R$2:$R$20001,DATA_TS!$A$2:$A$20001,$A881,DATA_TS!$C$2:$C$20001,O$880,DATA_TS!$B$2:$B$20001,Kalkulasi!$B$877)))</f>
        <v/>
      </c>
      <c r="P881">
        <f>IF(OR($A881="",AI881=0),0,IF(Kalkulasi!$B$876="OB",SUMIFS(DATA_TS!$Q$2:$Q$20001,DATA_TS!$A$2:$A$20001,$A881,DATA_TS!$C$2:$C$20001,P$880,DATA_TS!$B$2:$B$20001,Kalkulasi!$B$877),SUMIFS(DATA_TS!$R$2:$R$20001,DATA_TS!$A$2:$A$20001,$A881,DATA_TS!$C$2:$C$20001,P$880,DATA_TS!$B$2:$B$20001,Kalkulasi!$B$877)))</f>
        <v/>
      </c>
      <c r="Q881">
        <f>IF(OR($A881="",AJ881=0),0,IF(Kalkulasi!$B$876="OB",SUMIFS(DATA_TS!$Q$2:$Q$20001,DATA_TS!$A$2:$A$20001,$A881,DATA_TS!$C$2:$C$20001,Q$880,DATA_TS!$B$2:$B$20001,Kalkulasi!$B$877),SUMIFS(DATA_TS!$R$2:$R$20001,DATA_TS!$A$2:$A$20001,$A881,DATA_TS!$C$2:$C$20001,Q$880,DATA_TS!$B$2:$B$20001,Kalkulasi!$B$877)))</f>
        <v/>
      </c>
      <c r="R881">
        <f>IF(OR($A881="",AK881=0),0,IF(Kalkulasi!$B$876="OB",SUMIFS(DATA_TS!$Q$2:$Q$20001,DATA_TS!$A$2:$A$20001,$A881,DATA_TS!$C$2:$C$20001,R$880,DATA_TS!$B$2:$B$20001,Kalkulasi!$B$877),SUMIFS(DATA_TS!$R$2:$R$20001,DATA_TS!$A$2:$A$20001,$A881,DATA_TS!$C$2:$C$20001,R$880,DATA_TS!$B$2:$B$20001,Kalkulasi!$B$877)))</f>
        <v/>
      </c>
      <c r="S881">
        <f>IF(OR($A881="",AL881=0),0,IF(Kalkulasi!$B$876="OB",SUMIFS(DATA_TS!$Q$2:$Q$20001,DATA_TS!$A$2:$A$20001,$A881,DATA_TS!$C$2:$C$20001,S$880,DATA_TS!$B$2:$B$20001,Kalkulasi!$B$877),SUMIFS(DATA_TS!$R$2:$R$20001,DATA_TS!$A$2:$A$20001,$A881,DATA_TS!$C$2:$C$20001,S$880,DATA_TS!$B$2:$B$20001,Kalkulasi!$B$877)))</f>
        <v/>
      </c>
      <c r="T881">
        <f>SUM(B881:S881)</f>
        <v/>
      </c>
      <c r="U881">
        <f>IF($A881="",0,IF(Kalkulasi!$B$876="OB",SUMIFS(DATA_TS!$M$2:$M$20001,DATA_TS!$A$2:$A$20001,$A881,DATA_TS!$C$2:$C$20001,B$880,DATA_TS!$B$2:$B$20001,Kalkulasi!$B$877),SUMIFS(DATA_TS!$N$2:$N$20001,DATA_TS!$A$2:$A$20001,$A881,DATA_TS!$C$2:$C$20001,B$880,DATA_TS!$B$2:$B$20001,Kalkulasi!$B$877)))</f>
        <v/>
      </c>
      <c r="V881">
        <f>IF($A881="",0,IF(Kalkulasi!$B$876="OB",SUMIFS(DATA_TS!$M$2:$M$20001,DATA_TS!$A$2:$A$20001,$A881,DATA_TS!$C$2:$C$20001,C$880,DATA_TS!$B$2:$B$20001,Kalkulasi!$B$877),SUMIFS(DATA_TS!$N$2:$N$20001,DATA_TS!$A$2:$A$20001,$A881,DATA_TS!$C$2:$C$20001,C$880,DATA_TS!$B$2:$B$20001,Kalkulasi!$B$877)))</f>
        <v/>
      </c>
      <c r="W881">
        <f>IF($A881="",0,IF(Kalkulasi!$B$876="OB",SUMIFS(DATA_TS!$M$2:$M$20001,DATA_TS!$A$2:$A$20001,$A881,DATA_TS!$C$2:$C$20001,D$880,DATA_TS!$B$2:$B$20001,Kalkulasi!$B$877),SUMIFS(DATA_TS!$N$2:$N$20001,DATA_TS!$A$2:$A$20001,$A881,DATA_TS!$C$2:$C$20001,D$880,DATA_TS!$B$2:$B$20001,Kalkulasi!$B$877)))</f>
        <v/>
      </c>
      <c r="X881">
        <f>IF($A881="",0,IF(Kalkulasi!$B$876="OB",SUMIFS(DATA_TS!$M$2:$M$20001,DATA_TS!$A$2:$A$20001,$A881,DATA_TS!$C$2:$C$20001,E$880,DATA_TS!$B$2:$B$20001,Kalkulasi!$B$877),SUMIFS(DATA_TS!$N$2:$N$20001,DATA_TS!$A$2:$A$20001,$A881,DATA_TS!$C$2:$C$20001,E$880,DATA_TS!$B$2:$B$20001,Kalkulasi!$B$877)))</f>
        <v/>
      </c>
      <c r="Y881">
        <f>IF($A881="",0,IF(Kalkulasi!$B$876="OB",SUMIFS(DATA_TS!$M$2:$M$20001,DATA_TS!$A$2:$A$20001,$A881,DATA_TS!$C$2:$C$20001,F$880,DATA_TS!$B$2:$B$20001,Kalkulasi!$B$877),SUMIFS(DATA_TS!$N$2:$N$20001,DATA_TS!$A$2:$A$20001,$A881,DATA_TS!$C$2:$C$20001,F$880,DATA_TS!$B$2:$B$20001,Kalkulasi!$B$877)))</f>
        <v/>
      </c>
      <c r="Z881">
        <f>IF($A881="",0,IF(Kalkulasi!$B$876="OB",SUMIFS(DATA_TS!$M$2:$M$20001,DATA_TS!$A$2:$A$20001,$A881,DATA_TS!$C$2:$C$20001,G$880,DATA_TS!$B$2:$B$20001,Kalkulasi!$B$877),SUMIFS(DATA_TS!$N$2:$N$20001,DATA_TS!$A$2:$A$20001,$A881,DATA_TS!$C$2:$C$20001,G$880,DATA_TS!$B$2:$B$20001,Kalkulasi!$B$877)))</f>
        <v/>
      </c>
      <c r="AA881">
        <f>IF($A881="",0,IF(Kalkulasi!$B$876="OB",SUMIFS(DATA_TS!$M$2:$M$20001,DATA_TS!$A$2:$A$20001,$A881,DATA_TS!$C$2:$C$20001,H$880,DATA_TS!$B$2:$B$20001,Kalkulasi!$B$877),SUMIFS(DATA_TS!$N$2:$N$20001,DATA_TS!$A$2:$A$20001,$A881,DATA_TS!$C$2:$C$20001,H$880,DATA_TS!$B$2:$B$20001,Kalkulasi!$B$877)))</f>
        <v/>
      </c>
      <c r="AB881">
        <f>IF($A881="",0,IF(Kalkulasi!$B$876="OB",SUMIFS(DATA_TS!$M$2:$M$20001,DATA_TS!$A$2:$A$20001,$A881,DATA_TS!$C$2:$C$20001,I$880,DATA_TS!$B$2:$B$20001,Kalkulasi!$B$877),SUMIFS(DATA_TS!$N$2:$N$20001,DATA_TS!$A$2:$A$20001,$A881,DATA_TS!$C$2:$C$20001,I$880,DATA_TS!$B$2:$B$20001,Kalkulasi!$B$877)))</f>
        <v/>
      </c>
      <c r="AC881">
        <f>IF($A881="",0,IF(Kalkulasi!$B$876="OB",SUMIFS(DATA_TS!$M$2:$M$20001,DATA_TS!$A$2:$A$20001,$A881,DATA_TS!$C$2:$C$20001,J$880,DATA_TS!$B$2:$B$20001,Kalkulasi!$B$877),SUMIFS(DATA_TS!$N$2:$N$20001,DATA_TS!$A$2:$A$20001,$A881,DATA_TS!$C$2:$C$20001,J$880,DATA_TS!$B$2:$B$20001,Kalkulasi!$B$877)))</f>
        <v/>
      </c>
      <c r="AD881">
        <f>IF($A881="",0,IF(Kalkulasi!$B$876="OB",SUMIFS(DATA_TS!$M$2:$M$20001,DATA_TS!$A$2:$A$20001,$A881,DATA_TS!$C$2:$C$20001,K$880,DATA_TS!$B$2:$B$20001,Kalkulasi!$B$877),SUMIFS(DATA_TS!$N$2:$N$20001,DATA_TS!$A$2:$A$20001,$A881,DATA_TS!$C$2:$C$20001,K$880,DATA_TS!$B$2:$B$20001,Kalkulasi!$B$877)))</f>
        <v/>
      </c>
      <c r="AE881">
        <f>IF($A881="",0,IF(Kalkulasi!$B$876="OB",SUMIFS(DATA_TS!$M$2:$M$20001,DATA_TS!$A$2:$A$20001,$A881,DATA_TS!$C$2:$C$20001,L$880,DATA_TS!$B$2:$B$20001,Kalkulasi!$B$877),SUMIFS(DATA_TS!$N$2:$N$20001,DATA_TS!$A$2:$A$20001,$A881,DATA_TS!$C$2:$C$20001,L$880,DATA_TS!$B$2:$B$20001,Kalkulasi!$B$877)))</f>
        <v/>
      </c>
      <c r="AF881">
        <f>IF($A881="",0,IF(Kalkulasi!$B$876="OB",SUMIFS(DATA_TS!$M$2:$M$20001,DATA_TS!$A$2:$A$20001,$A881,DATA_TS!$C$2:$C$20001,M$880,DATA_TS!$B$2:$B$20001,Kalkulasi!$B$877),SUMIFS(DATA_TS!$N$2:$N$20001,DATA_TS!$A$2:$A$20001,$A881,DATA_TS!$C$2:$C$20001,M$880,DATA_TS!$B$2:$B$20001,Kalkulasi!$B$877)))</f>
        <v/>
      </c>
      <c r="AG881">
        <f>IF($A881="",0,IF(Kalkulasi!$B$876="OB",SUMIFS(DATA_TS!$M$2:$M$20001,DATA_TS!$A$2:$A$20001,$A881,DATA_TS!$C$2:$C$20001,N$880,DATA_TS!$B$2:$B$20001,Kalkulasi!$B$877),SUMIFS(DATA_TS!$N$2:$N$20001,DATA_TS!$A$2:$A$20001,$A881,DATA_TS!$C$2:$C$20001,N$880,DATA_TS!$B$2:$B$20001,Kalkulasi!$B$877)))</f>
        <v/>
      </c>
      <c r="AH881">
        <f>IF($A881="",0,IF(Kalkulasi!$B$876="OB",SUMIFS(DATA_TS!$M$2:$M$20001,DATA_TS!$A$2:$A$20001,$A881,DATA_TS!$C$2:$C$20001,O$880,DATA_TS!$B$2:$B$20001,Kalkulasi!$B$877),SUMIFS(DATA_TS!$N$2:$N$20001,DATA_TS!$A$2:$A$20001,$A881,DATA_TS!$C$2:$C$20001,O$880,DATA_TS!$B$2:$B$20001,Kalkulasi!$B$877)))</f>
        <v/>
      </c>
      <c r="AI881">
        <f>IF($A881="",0,IF(Kalkulasi!$B$876="OB",SUMIFS(DATA_TS!$M$2:$M$20001,DATA_TS!$A$2:$A$20001,$A881,DATA_TS!$C$2:$C$20001,P$880,DATA_TS!$B$2:$B$20001,Kalkulasi!$B$877),SUMIFS(DATA_TS!$N$2:$N$20001,DATA_TS!$A$2:$A$20001,$A881,DATA_TS!$C$2:$C$20001,P$880,DATA_TS!$B$2:$B$20001,Kalkulasi!$B$877)))</f>
        <v/>
      </c>
      <c r="AJ881">
        <f>IF($A881="",0,IF(Kalkulasi!$B$876="OB",SUMIFS(DATA_TS!$M$2:$M$20001,DATA_TS!$A$2:$A$20001,$A881,DATA_TS!$C$2:$C$20001,Q$880,DATA_TS!$B$2:$B$20001,Kalkulasi!$B$877),SUMIFS(DATA_TS!$N$2:$N$20001,DATA_TS!$A$2:$A$20001,$A881,DATA_TS!$C$2:$C$20001,Q$880,DATA_TS!$B$2:$B$20001,Kalkulasi!$B$877)))</f>
        <v/>
      </c>
      <c r="AK881">
        <f>IF($A881="",0,IF(Kalkulasi!$B$876="OB",SUMIFS(DATA_TS!$M$2:$M$20001,DATA_TS!$A$2:$A$20001,$A881,DATA_TS!$C$2:$C$20001,R$880,DATA_TS!$B$2:$B$20001,Kalkulasi!$B$877),SUMIFS(DATA_TS!$N$2:$N$20001,DATA_TS!$A$2:$A$20001,$A881,DATA_TS!$C$2:$C$20001,R$880,DATA_TS!$B$2:$B$20001,Kalkulasi!$B$877)))</f>
        <v/>
      </c>
      <c r="AL881">
        <f>IF($A881="",0,IF(Kalkulasi!$B$876="OB",SUMIFS(DATA_TS!$M$2:$M$20001,DATA_TS!$A$2:$A$20001,$A881,DATA_TS!$C$2:$C$20001,S$880,DATA_TS!$B$2:$B$20001,Kalkulasi!$B$877),SUMIFS(DATA_TS!$N$2:$N$20001,DATA_TS!$A$2:$A$20001,$A881,DATA_TS!$C$2:$C$20001,S$880,DATA_TS!$B$2:$B$20001,Kalkulasi!$B$877)))</f>
        <v/>
      </c>
      <c r="AM881">
        <f>SUM(U881:AL881)</f>
        <v/>
      </c>
      <c r="AN881">
        <f>IF(OR(U881=0,B881=0),"",B881/U881)</f>
        <v/>
      </c>
      <c r="AO881">
        <f>IF(OR(V881=0,C881=0),"",C881/V881)</f>
        <v/>
      </c>
      <c r="AP881">
        <f>IF(OR(W881=0,D881=0),"",D881/W881)</f>
        <v/>
      </c>
      <c r="AQ881">
        <f>IF(OR(X881=0,E881=0),"",E881/X881)</f>
        <v/>
      </c>
      <c r="AR881">
        <f>IF(OR(Y881=0,F881=0),"",F881/Y881)</f>
        <v/>
      </c>
      <c r="AS881">
        <f>IF(OR(Z881=0,G881=0),"",G881/Z881)</f>
        <v/>
      </c>
      <c r="AT881">
        <f>IF(OR(AA881=0,H881=0),"",H881/AA881)</f>
        <v/>
      </c>
      <c r="AU881">
        <f>IF(OR(AB881=0,I881=0),"",I881/AB881)</f>
        <v/>
      </c>
      <c r="AV881">
        <f>IF(OR(AC881=0,J881=0),"",J881/AC881)</f>
        <v/>
      </c>
      <c r="AW881">
        <f>IF(OR(AD881=0,K881=0),"",K881/AD881)</f>
        <v/>
      </c>
      <c r="AX881">
        <f>IF(OR(AE881=0,L881=0),"",L881/AE881)</f>
        <v/>
      </c>
      <c r="AY881">
        <f>IF(OR(AF881=0,M881=0),"",M881/AF881)</f>
        <v/>
      </c>
      <c r="AZ881">
        <f>IF(OR(AG881=0,N881=0),"",N881/AG881)</f>
        <v/>
      </c>
      <c r="BA881">
        <f>IF(OR(AH881=0,O881=0),"",O881/AH881)</f>
        <v/>
      </c>
      <c r="BB881">
        <f>IF(OR(AI881=0,P881=0),"",P881/AI881)</f>
        <v/>
      </c>
      <c r="BC881">
        <f>IF(OR(AJ881=0,Q881=0),"",Q881/AJ881)</f>
        <v/>
      </c>
      <c r="BD881">
        <f>IF(OR(AK881=0,R881=0),"",R881/AK881)</f>
        <v/>
      </c>
      <c r="BE881">
        <f>IF(OR(AL881=0,S881=0),"",S881/AL881)</f>
        <v/>
      </c>
      <c r="BF881">
        <f>IF(AM881=0,NA(),T881/AM881)</f>
        <v/>
      </c>
      <c r="BG881" t="n">
        <v>1</v>
      </c>
      <c r="BH881">
        <f>IF(AM881=0,"",T881/AM881)</f>
        <v/>
      </c>
      <c r="BI881">
        <f>IF($A881="","",TEXT($A881,"d"))</f>
        <v/>
      </c>
    </row>
    <row r="882">
      <c r="A882" s="199">
        <f>IF(Kalkulasi!$B$873+1&gt;Kalkulasi!$B$874,"",Kalkulasi!$B$873+1)</f>
        <v/>
      </c>
      <c r="B882">
        <f>IF(OR($A882="",U882=0),0,IF(Kalkulasi!$B$876="OB",SUMIFS(DATA_TS!$Q$2:$Q$20001,DATA_TS!$A$2:$A$20001,$A882,DATA_TS!$C$2:$C$20001,B$880,DATA_TS!$B$2:$B$20001,Kalkulasi!$B$877),SUMIFS(DATA_TS!$R$2:$R$20001,DATA_TS!$A$2:$A$20001,$A882,DATA_TS!$C$2:$C$20001,B$880,DATA_TS!$B$2:$B$20001,Kalkulasi!$B$877)))</f>
        <v/>
      </c>
      <c r="C882">
        <f>IF(OR($A882="",V882=0),0,IF(Kalkulasi!$B$876="OB",SUMIFS(DATA_TS!$Q$2:$Q$20001,DATA_TS!$A$2:$A$20001,$A882,DATA_TS!$C$2:$C$20001,C$880,DATA_TS!$B$2:$B$20001,Kalkulasi!$B$877),SUMIFS(DATA_TS!$R$2:$R$20001,DATA_TS!$A$2:$A$20001,$A882,DATA_TS!$C$2:$C$20001,C$880,DATA_TS!$B$2:$B$20001,Kalkulasi!$B$877)))</f>
        <v/>
      </c>
      <c r="D882">
        <f>IF(OR($A882="",W882=0),0,IF(Kalkulasi!$B$876="OB",SUMIFS(DATA_TS!$Q$2:$Q$20001,DATA_TS!$A$2:$A$20001,$A882,DATA_TS!$C$2:$C$20001,D$880,DATA_TS!$B$2:$B$20001,Kalkulasi!$B$877),SUMIFS(DATA_TS!$R$2:$R$20001,DATA_TS!$A$2:$A$20001,$A882,DATA_TS!$C$2:$C$20001,D$880,DATA_TS!$B$2:$B$20001,Kalkulasi!$B$877)))</f>
        <v/>
      </c>
      <c r="E882">
        <f>IF(OR($A882="",X882=0),0,IF(Kalkulasi!$B$876="OB",SUMIFS(DATA_TS!$Q$2:$Q$20001,DATA_TS!$A$2:$A$20001,$A882,DATA_TS!$C$2:$C$20001,E$880,DATA_TS!$B$2:$B$20001,Kalkulasi!$B$877),SUMIFS(DATA_TS!$R$2:$R$20001,DATA_TS!$A$2:$A$20001,$A882,DATA_TS!$C$2:$C$20001,E$880,DATA_TS!$B$2:$B$20001,Kalkulasi!$B$877)))</f>
        <v/>
      </c>
      <c r="F882">
        <f>IF(OR($A882="",Y882=0),0,IF(Kalkulasi!$B$876="OB",SUMIFS(DATA_TS!$Q$2:$Q$20001,DATA_TS!$A$2:$A$20001,$A882,DATA_TS!$C$2:$C$20001,F$880,DATA_TS!$B$2:$B$20001,Kalkulasi!$B$877),SUMIFS(DATA_TS!$R$2:$R$20001,DATA_TS!$A$2:$A$20001,$A882,DATA_TS!$C$2:$C$20001,F$880,DATA_TS!$B$2:$B$20001,Kalkulasi!$B$877)))</f>
        <v/>
      </c>
      <c r="G882">
        <f>IF(OR($A882="",Z882=0),0,IF(Kalkulasi!$B$876="OB",SUMIFS(DATA_TS!$Q$2:$Q$20001,DATA_TS!$A$2:$A$20001,$A882,DATA_TS!$C$2:$C$20001,G$880,DATA_TS!$B$2:$B$20001,Kalkulasi!$B$877),SUMIFS(DATA_TS!$R$2:$R$20001,DATA_TS!$A$2:$A$20001,$A882,DATA_TS!$C$2:$C$20001,G$880,DATA_TS!$B$2:$B$20001,Kalkulasi!$B$877)))</f>
        <v/>
      </c>
      <c r="H882">
        <f>IF(OR($A882="",AA882=0),0,IF(Kalkulasi!$B$876="OB",SUMIFS(DATA_TS!$Q$2:$Q$20001,DATA_TS!$A$2:$A$20001,$A882,DATA_TS!$C$2:$C$20001,H$880,DATA_TS!$B$2:$B$20001,Kalkulasi!$B$877),SUMIFS(DATA_TS!$R$2:$R$20001,DATA_TS!$A$2:$A$20001,$A882,DATA_TS!$C$2:$C$20001,H$880,DATA_TS!$B$2:$B$20001,Kalkulasi!$B$877)))</f>
        <v/>
      </c>
      <c r="I882">
        <f>IF(OR($A882="",AB882=0),0,IF(Kalkulasi!$B$876="OB",SUMIFS(DATA_TS!$Q$2:$Q$20001,DATA_TS!$A$2:$A$20001,$A882,DATA_TS!$C$2:$C$20001,I$880,DATA_TS!$B$2:$B$20001,Kalkulasi!$B$877),SUMIFS(DATA_TS!$R$2:$R$20001,DATA_TS!$A$2:$A$20001,$A882,DATA_TS!$C$2:$C$20001,I$880,DATA_TS!$B$2:$B$20001,Kalkulasi!$B$877)))</f>
        <v/>
      </c>
      <c r="J882">
        <f>IF(OR($A882="",AC882=0),0,IF(Kalkulasi!$B$876="OB",SUMIFS(DATA_TS!$Q$2:$Q$20001,DATA_TS!$A$2:$A$20001,$A882,DATA_TS!$C$2:$C$20001,J$880,DATA_TS!$B$2:$B$20001,Kalkulasi!$B$877),SUMIFS(DATA_TS!$R$2:$R$20001,DATA_TS!$A$2:$A$20001,$A882,DATA_TS!$C$2:$C$20001,J$880,DATA_TS!$B$2:$B$20001,Kalkulasi!$B$877)))</f>
        <v/>
      </c>
      <c r="K882">
        <f>IF(OR($A882="",AD882=0),0,IF(Kalkulasi!$B$876="OB",SUMIFS(DATA_TS!$Q$2:$Q$20001,DATA_TS!$A$2:$A$20001,$A882,DATA_TS!$C$2:$C$20001,K$880,DATA_TS!$B$2:$B$20001,Kalkulasi!$B$877),SUMIFS(DATA_TS!$R$2:$R$20001,DATA_TS!$A$2:$A$20001,$A882,DATA_TS!$C$2:$C$20001,K$880,DATA_TS!$B$2:$B$20001,Kalkulasi!$B$877)))</f>
        <v/>
      </c>
      <c r="L882">
        <f>IF(OR($A882="",AE882=0),0,IF(Kalkulasi!$B$876="OB",SUMIFS(DATA_TS!$Q$2:$Q$20001,DATA_TS!$A$2:$A$20001,$A882,DATA_TS!$C$2:$C$20001,L$880,DATA_TS!$B$2:$B$20001,Kalkulasi!$B$877),SUMIFS(DATA_TS!$R$2:$R$20001,DATA_TS!$A$2:$A$20001,$A882,DATA_TS!$C$2:$C$20001,L$880,DATA_TS!$B$2:$B$20001,Kalkulasi!$B$877)))</f>
        <v/>
      </c>
      <c r="M882">
        <f>IF(OR($A882="",AF882=0),0,IF(Kalkulasi!$B$876="OB",SUMIFS(DATA_TS!$Q$2:$Q$20001,DATA_TS!$A$2:$A$20001,$A882,DATA_TS!$C$2:$C$20001,M$880,DATA_TS!$B$2:$B$20001,Kalkulasi!$B$877),SUMIFS(DATA_TS!$R$2:$R$20001,DATA_TS!$A$2:$A$20001,$A882,DATA_TS!$C$2:$C$20001,M$880,DATA_TS!$B$2:$B$20001,Kalkulasi!$B$877)))</f>
        <v/>
      </c>
      <c r="N882">
        <f>IF(OR($A882="",AG882=0),0,IF(Kalkulasi!$B$876="OB",SUMIFS(DATA_TS!$Q$2:$Q$20001,DATA_TS!$A$2:$A$20001,$A882,DATA_TS!$C$2:$C$20001,N$880,DATA_TS!$B$2:$B$20001,Kalkulasi!$B$877),SUMIFS(DATA_TS!$R$2:$R$20001,DATA_TS!$A$2:$A$20001,$A882,DATA_TS!$C$2:$C$20001,N$880,DATA_TS!$B$2:$B$20001,Kalkulasi!$B$877)))</f>
        <v/>
      </c>
      <c r="O882">
        <f>IF(OR($A882="",AH882=0),0,IF(Kalkulasi!$B$876="OB",SUMIFS(DATA_TS!$Q$2:$Q$20001,DATA_TS!$A$2:$A$20001,$A882,DATA_TS!$C$2:$C$20001,O$880,DATA_TS!$B$2:$B$20001,Kalkulasi!$B$877),SUMIFS(DATA_TS!$R$2:$R$20001,DATA_TS!$A$2:$A$20001,$A882,DATA_TS!$C$2:$C$20001,O$880,DATA_TS!$B$2:$B$20001,Kalkulasi!$B$877)))</f>
        <v/>
      </c>
      <c r="P882">
        <f>IF(OR($A882="",AI882=0),0,IF(Kalkulasi!$B$876="OB",SUMIFS(DATA_TS!$Q$2:$Q$20001,DATA_TS!$A$2:$A$20001,$A882,DATA_TS!$C$2:$C$20001,P$880,DATA_TS!$B$2:$B$20001,Kalkulasi!$B$877),SUMIFS(DATA_TS!$R$2:$R$20001,DATA_TS!$A$2:$A$20001,$A882,DATA_TS!$C$2:$C$20001,P$880,DATA_TS!$B$2:$B$20001,Kalkulasi!$B$877)))</f>
        <v/>
      </c>
      <c r="Q882">
        <f>IF(OR($A882="",AJ882=0),0,IF(Kalkulasi!$B$876="OB",SUMIFS(DATA_TS!$Q$2:$Q$20001,DATA_TS!$A$2:$A$20001,$A882,DATA_TS!$C$2:$C$20001,Q$880,DATA_TS!$B$2:$B$20001,Kalkulasi!$B$877),SUMIFS(DATA_TS!$R$2:$R$20001,DATA_TS!$A$2:$A$20001,$A882,DATA_TS!$C$2:$C$20001,Q$880,DATA_TS!$B$2:$B$20001,Kalkulasi!$B$877)))</f>
        <v/>
      </c>
      <c r="R882">
        <f>IF(OR($A882="",AK882=0),0,IF(Kalkulasi!$B$876="OB",SUMIFS(DATA_TS!$Q$2:$Q$20001,DATA_TS!$A$2:$A$20001,$A882,DATA_TS!$C$2:$C$20001,R$880,DATA_TS!$B$2:$B$20001,Kalkulasi!$B$877),SUMIFS(DATA_TS!$R$2:$R$20001,DATA_TS!$A$2:$A$20001,$A882,DATA_TS!$C$2:$C$20001,R$880,DATA_TS!$B$2:$B$20001,Kalkulasi!$B$877)))</f>
        <v/>
      </c>
      <c r="S882">
        <f>IF(OR($A882="",AL882=0),0,IF(Kalkulasi!$B$876="OB",SUMIFS(DATA_TS!$Q$2:$Q$20001,DATA_TS!$A$2:$A$20001,$A882,DATA_TS!$C$2:$C$20001,S$880,DATA_TS!$B$2:$B$20001,Kalkulasi!$B$877),SUMIFS(DATA_TS!$R$2:$R$20001,DATA_TS!$A$2:$A$20001,$A882,DATA_TS!$C$2:$C$20001,S$880,DATA_TS!$B$2:$B$20001,Kalkulasi!$B$877)))</f>
        <v/>
      </c>
      <c r="T882">
        <f>SUM(B882:S882)</f>
        <v/>
      </c>
      <c r="U882">
        <f>IF($A882="",0,IF(Kalkulasi!$B$876="OB",SUMIFS(DATA_TS!$M$2:$M$20001,DATA_TS!$A$2:$A$20001,$A882,DATA_TS!$C$2:$C$20001,B$880,DATA_TS!$B$2:$B$20001,Kalkulasi!$B$877),SUMIFS(DATA_TS!$N$2:$N$20001,DATA_TS!$A$2:$A$20001,$A882,DATA_TS!$C$2:$C$20001,B$880,DATA_TS!$B$2:$B$20001,Kalkulasi!$B$877)))</f>
        <v/>
      </c>
      <c r="V882">
        <f>IF($A882="",0,IF(Kalkulasi!$B$876="OB",SUMIFS(DATA_TS!$M$2:$M$20001,DATA_TS!$A$2:$A$20001,$A882,DATA_TS!$C$2:$C$20001,C$880,DATA_TS!$B$2:$B$20001,Kalkulasi!$B$877),SUMIFS(DATA_TS!$N$2:$N$20001,DATA_TS!$A$2:$A$20001,$A882,DATA_TS!$C$2:$C$20001,C$880,DATA_TS!$B$2:$B$20001,Kalkulasi!$B$877)))</f>
        <v/>
      </c>
      <c r="W882">
        <f>IF($A882="",0,IF(Kalkulasi!$B$876="OB",SUMIFS(DATA_TS!$M$2:$M$20001,DATA_TS!$A$2:$A$20001,$A882,DATA_TS!$C$2:$C$20001,D$880,DATA_TS!$B$2:$B$20001,Kalkulasi!$B$877),SUMIFS(DATA_TS!$N$2:$N$20001,DATA_TS!$A$2:$A$20001,$A882,DATA_TS!$C$2:$C$20001,D$880,DATA_TS!$B$2:$B$20001,Kalkulasi!$B$877)))</f>
        <v/>
      </c>
      <c r="X882">
        <f>IF($A882="",0,IF(Kalkulasi!$B$876="OB",SUMIFS(DATA_TS!$M$2:$M$20001,DATA_TS!$A$2:$A$20001,$A882,DATA_TS!$C$2:$C$20001,E$880,DATA_TS!$B$2:$B$20001,Kalkulasi!$B$877),SUMIFS(DATA_TS!$N$2:$N$20001,DATA_TS!$A$2:$A$20001,$A882,DATA_TS!$C$2:$C$20001,E$880,DATA_TS!$B$2:$B$20001,Kalkulasi!$B$877)))</f>
        <v/>
      </c>
      <c r="Y882">
        <f>IF($A882="",0,IF(Kalkulasi!$B$876="OB",SUMIFS(DATA_TS!$M$2:$M$20001,DATA_TS!$A$2:$A$20001,$A882,DATA_TS!$C$2:$C$20001,F$880,DATA_TS!$B$2:$B$20001,Kalkulasi!$B$877),SUMIFS(DATA_TS!$N$2:$N$20001,DATA_TS!$A$2:$A$20001,$A882,DATA_TS!$C$2:$C$20001,F$880,DATA_TS!$B$2:$B$20001,Kalkulasi!$B$877)))</f>
        <v/>
      </c>
      <c r="Z882">
        <f>IF($A882="",0,IF(Kalkulasi!$B$876="OB",SUMIFS(DATA_TS!$M$2:$M$20001,DATA_TS!$A$2:$A$20001,$A882,DATA_TS!$C$2:$C$20001,G$880,DATA_TS!$B$2:$B$20001,Kalkulasi!$B$877),SUMIFS(DATA_TS!$N$2:$N$20001,DATA_TS!$A$2:$A$20001,$A882,DATA_TS!$C$2:$C$20001,G$880,DATA_TS!$B$2:$B$20001,Kalkulasi!$B$877)))</f>
        <v/>
      </c>
      <c r="AA882">
        <f>IF($A882="",0,IF(Kalkulasi!$B$876="OB",SUMIFS(DATA_TS!$M$2:$M$20001,DATA_TS!$A$2:$A$20001,$A882,DATA_TS!$C$2:$C$20001,H$880,DATA_TS!$B$2:$B$20001,Kalkulasi!$B$877),SUMIFS(DATA_TS!$N$2:$N$20001,DATA_TS!$A$2:$A$20001,$A882,DATA_TS!$C$2:$C$20001,H$880,DATA_TS!$B$2:$B$20001,Kalkulasi!$B$877)))</f>
        <v/>
      </c>
      <c r="AB882">
        <f>IF($A882="",0,IF(Kalkulasi!$B$876="OB",SUMIFS(DATA_TS!$M$2:$M$20001,DATA_TS!$A$2:$A$20001,$A882,DATA_TS!$C$2:$C$20001,I$880,DATA_TS!$B$2:$B$20001,Kalkulasi!$B$877),SUMIFS(DATA_TS!$N$2:$N$20001,DATA_TS!$A$2:$A$20001,$A882,DATA_TS!$C$2:$C$20001,I$880,DATA_TS!$B$2:$B$20001,Kalkulasi!$B$877)))</f>
        <v/>
      </c>
      <c r="AC882">
        <f>IF($A882="",0,IF(Kalkulasi!$B$876="OB",SUMIFS(DATA_TS!$M$2:$M$20001,DATA_TS!$A$2:$A$20001,$A882,DATA_TS!$C$2:$C$20001,J$880,DATA_TS!$B$2:$B$20001,Kalkulasi!$B$877),SUMIFS(DATA_TS!$N$2:$N$20001,DATA_TS!$A$2:$A$20001,$A882,DATA_TS!$C$2:$C$20001,J$880,DATA_TS!$B$2:$B$20001,Kalkulasi!$B$877)))</f>
        <v/>
      </c>
      <c r="AD882">
        <f>IF($A882="",0,IF(Kalkulasi!$B$876="OB",SUMIFS(DATA_TS!$M$2:$M$20001,DATA_TS!$A$2:$A$20001,$A882,DATA_TS!$C$2:$C$20001,K$880,DATA_TS!$B$2:$B$20001,Kalkulasi!$B$877),SUMIFS(DATA_TS!$N$2:$N$20001,DATA_TS!$A$2:$A$20001,$A882,DATA_TS!$C$2:$C$20001,K$880,DATA_TS!$B$2:$B$20001,Kalkulasi!$B$877)))</f>
        <v/>
      </c>
      <c r="AE882">
        <f>IF($A882="",0,IF(Kalkulasi!$B$876="OB",SUMIFS(DATA_TS!$M$2:$M$20001,DATA_TS!$A$2:$A$20001,$A882,DATA_TS!$C$2:$C$20001,L$880,DATA_TS!$B$2:$B$20001,Kalkulasi!$B$877),SUMIFS(DATA_TS!$N$2:$N$20001,DATA_TS!$A$2:$A$20001,$A882,DATA_TS!$C$2:$C$20001,L$880,DATA_TS!$B$2:$B$20001,Kalkulasi!$B$877)))</f>
        <v/>
      </c>
      <c r="AF882">
        <f>IF($A882="",0,IF(Kalkulasi!$B$876="OB",SUMIFS(DATA_TS!$M$2:$M$20001,DATA_TS!$A$2:$A$20001,$A882,DATA_TS!$C$2:$C$20001,M$880,DATA_TS!$B$2:$B$20001,Kalkulasi!$B$877),SUMIFS(DATA_TS!$N$2:$N$20001,DATA_TS!$A$2:$A$20001,$A882,DATA_TS!$C$2:$C$20001,M$880,DATA_TS!$B$2:$B$20001,Kalkulasi!$B$877)))</f>
        <v/>
      </c>
      <c r="AG882">
        <f>IF($A882="",0,IF(Kalkulasi!$B$876="OB",SUMIFS(DATA_TS!$M$2:$M$20001,DATA_TS!$A$2:$A$20001,$A882,DATA_TS!$C$2:$C$20001,N$880,DATA_TS!$B$2:$B$20001,Kalkulasi!$B$877),SUMIFS(DATA_TS!$N$2:$N$20001,DATA_TS!$A$2:$A$20001,$A882,DATA_TS!$C$2:$C$20001,N$880,DATA_TS!$B$2:$B$20001,Kalkulasi!$B$877)))</f>
        <v/>
      </c>
      <c r="AH882">
        <f>IF($A882="",0,IF(Kalkulasi!$B$876="OB",SUMIFS(DATA_TS!$M$2:$M$20001,DATA_TS!$A$2:$A$20001,$A882,DATA_TS!$C$2:$C$20001,O$880,DATA_TS!$B$2:$B$20001,Kalkulasi!$B$877),SUMIFS(DATA_TS!$N$2:$N$20001,DATA_TS!$A$2:$A$20001,$A882,DATA_TS!$C$2:$C$20001,O$880,DATA_TS!$B$2:$B$20001,Kalkulasi!$B$877)))</f>
        <v/>
      </c>
      <c r="AI882">
        <f>IF($A882="",0,IF(Kalkulasi!$B$876="OB",SUMIFS(DATA_TS!$M$2:$M$20001,DATA_TS!$A$2:$A$20001,$A882,DATA_TS!$C$2:$C$20001,P$880,DATA_TS!$B$2:$B$20001,Kalkulasi!$B$877),SUMIFS(DATA_TS!$N$2:$N$20001,DATA_TS!$A$2:$A$20001,$A882,DATA_TS!$C$2:$C$20001,P$880,DATA_TS!$B$2:$B$20001,Kalkulasi!$B$877)))</f>
        <v/>
      </c>
      <c r="AJ882">
        <f>IF($A882="",0,IF(Kalkulasi!$B$876="OB",SUMIFS(DATA_TS!$M$2:$M$20001,DATA_TS!$A$2:$A$20001,$A882,DATA_TS!$C$2:$C$20001,Q$880,DATA_TS!$B$2:$B$20001,Kalkulasi!$B$877),SUMIFS(DATA_TS!$N$2:$N$20001,DATA_TS!$A$2:$A$20001,$A882,DATA_TS!$C$2:$C$20001,Q$880,DATA_TS!$B$2:$B$20001,Kalkulasi!$B$877)))</f>
        <v/>
      </c>
      <c r="AK882">
        <f>IF($A882="",0,IF(Kalkulasi!$B$876="OB",SUMIFS(DATA_TS!$M$2:$M$20001,DATA_TS!$A$2:$A$20001,$A882,DATA_TS!$C$2:$C$20001,R$880,DATA_TS!$B$2:$B$20001,Kalkulasi!$B$877),SUMIFS(DATA_TS!$N$2:$N$20001,DATA_TS!$A$2:$A$20001,$A882,DATA_TS!$C$2:$C$20001,R$880,DATA_TS!$B$2:$B$20001,Kalkulasi!$B$877)))</f>
        <v/>
      </c>
      <c r="AL882">
        <f>IF($A882="",0,IF(Kalkulasi!$B$876="OB",SUMIFS(DATA_TS!$M$2:$M$20001,DATA_TS!$A$2:$A$20001,$A882,DATA_TS!$C$2:$C$20001,S$880,DATA_TS!$B$2:$B$20001,Kalkulasi!$B$877),SUMIFS(DATA_TS!$N$2:$N$20001,DATA_TS!$A$2:$A$20001,$A882,DATA_TS!$C$2:$C$20001,S$880,DATA_TS!$B$2:$B$20001,Kalkulasi!$B$877)))</f>
        <v/>
      </c>
      <c r="AM882">
        <f>SUM(U882:AL882)</f>
        <v/>
      </c>
      <c r="AN882">
        <f>IF(OR(U882=0,B882=0),"",B882/U882)</f>
        <v/>
      </c>
      <c r="AO882">
        <f>IF(OR(V882=0,C882=0),"",C882/V882)</f>
        <v/>
      </c>
      <c r="AP882">
        <f>IF(OR(W882=0,D882=0),"",D882/W882)</f>
        <v/>
      </c>
      <c r="AQ882">
        <f>IF(OR(X882=0,E882=0),"",E882/X882)</f>
        <v/>
      </c>
      <c r="AR882">
        <f>IF(OR(Y882=0,F882=0),"",F882/Y882)</f>
        <v/>
      </c>
      <c r="AS882">
        <f>IF(OR(Z882=0,G882=0),"",G882/Z882)</f>
        <v/>
      </c>
      <c r="AT882">
        <f>IF(OR(AA882=0,H882=0),"",H882/AA882)</f>
        <v/>
      </c>
      <c r="AU882">
        <f>IF(OR(AB882=0,I882=0),"",I882/AB882)</f>
        <v/>
      </c>
      <c r="AV882">
        <f>IF(OR(AC882=0,J882=0),"",J882/AC882)</f>
        <v/>
      </c>
      <c r="AW882">
        <f>IF(OR(AD882=0,K882=0),"",K882/AD882)</f>
        <v/>
      </c>
      <c r="AX882">
        <f>IF(OR(AE882=0,L882=0),"",L882/AE882)</f>
        <v/>
      </c>
      <c r="AY882">
        <f>IF(OR(AF882=0,M882=0),"",M882/AF882)</f>
        <v/>
      </c>
      <c r="AZ882">
        <f>IF(OR(AG882=0,N882=0),"",N882/AG882)</f>
        <v/>
      </c>
      <c r="BA882">
        <f>IF(OR(AH882=0,O882=0),"",O882/AH882)</f>
        <v/>
      </c>
      <c r="BB882">
        <f>IF(OR(AI882=0,P882=0),"",P882/AI882)</f>
        <v/>
      </c>
      <c r="BC882">
        <f>IF(OR(AJ882=0,Q882=0),"",Q882/AJ882)</f>
        <v/>
      </c>
      <c r="BD882">
        <f>IF(OR(AK882=0,R882=0),"",R882/AK882)</f>
        <v/>
      </c>
      <c r="BE882">
        <f>IF(OR(AL882=0,S882=0),"",S882/AL882)</f>
        <v/>
      </c>
      <c r="BF882">
        <f>IF(AM882=0,NA(),T882/AM882)</f>
        <v/>
      </c>
      <c r="BG882" t="n">
        <v>2</v>
      </c>
      <c r="BH882">
        <f>IF(AM882=0,"",T882/AM882)</f>
        <v/>
      </c>
      <c r="BI882">
        <f>IF($A882="","",TEXT($A882,"d"))</f>
        <v/>
      </c>
    </row>
    <row r="883">
      <c r="A883" s="199">
        <f>IF(Kalkulasi!$B$873+2&gt;Kalkulasi!$B$874,"",Kalkulasi!$B$873+2)</f>
        <v/>
      </c>
      <c r="B883">
        <f>IF(OR($A883="",U883=0),0,IF(Kalkulasi!$B$876="OB",SUMIFS(DATA_TS!$Q$2:$Q$20001,DATA_TS!$A$2:$A$20001,$A883,DATA_TS!$C$2:$C$20001,B$880,DATA_TS!$B$2:$B$20001,Kalkulasi!$B$877),SUMIFS(DATA_TS!$R$2:$R$20001,DATA_TS!$A$2:$A$20001,$A883,DATA_TS!$C$2:$C$20001,B$880,DATA_TS!$B$2:$B$20001,Kalkulasi!$B$877)))</f>
        <v/>
      </c>
      <c r="C883">
        <f>IF(OR($A883="",V883=0),0,IF(Kalkulasi!$B$876="OB",SUMIFS(DATA_TS!$Q$2:$Q$20001,DATA_TS!$A$2:$A$20001,$A883,DATA_TS!$C$2:$C$20001,C$880,DATA_TS!$B$2:$B$20001,Kalkulasi!$B$877),SUMIFS(DATA_TS!$R$2:$R$20001,DATA_TS!$A$2:$A$20001,$A883,DATA_TS!$C$2:$C$20001,C$880,DATA_TS!$B$2:$B$20001,Kalkulasi!$B$877)))</f>
        <v/>
      </c>
      <c r="D883">
        <f>IF(OR($A883="",W883=0),0,IF(Kalkulasi!$B$876="OB",SUMIFS(DATA_TS!$Q$2:$Q$20001,DATA_TS!$A$2:$A$20001,$A883,DATA_TS!$C$2:$C$20001,D$880,DATA_TS!$B$2:$B$20001,Kalkulasi!$B$877),SUMIFS(DATA_TS!$R$2:$R$20001,DATA_TS!$A$2:$A$20001,$A883,DATA_TS!$C$2:$C$20001,D$880,DATA_TS!$B$2:$B$20001,Kalkulasi!$B$877)))</f>
        <v/>
      </c>
      <c r="E883">
        <f>IF(OR($A883="",X883=0),0,IF(Kalkulasi!$B$876="OB",SUMIFS(DATA_TS!$Q$2:$Q$20001,DATA_TS!$A$2:$A$20001,$A883,DATA_TS!$C$2:$C$20001,E$880,DATA_TS!$B$2:$B$20001,Kalkulasi!$B$877),SUMIFS(DATA_TS!$R$2:$R$20001,DATA_TS!$A$2:$A$20001,$A883,DATA_TS!$C$2:$C$20001,E$880,DATA_TS!$B$2:$B$20001,Kalkulasi!$B$877)))</f>
        <v/>
      </c>
      <c r="F883">
        <f>IF(OR($A883="",Y883=0),0,IF(Kalkulasi!$B$876="OB",SUMIFS(DATA_TS!$Q$2:$Q$20001,DATA_TS!$A$2:$A$20001,$A883,DATA_TS!$C$2:$C$20001,F$880,DATA_TS!$B$2:$B$20001,Kalkulasi!$B$877),SUMIFS(DATA_TS!$R$2:$R$20001,DATA_TS!$A$2:$A$20001,$A883,DATA_TS!$C$2:$C$20001,F$880,DATA_TS!$B$2:$B$20001,Kalkulasi!$B$877)))</f>
        <v/>
      </c>
      <c r="G883">
        <f>IF(OR($A883="",Z883=0),0,IF(Kalkulasi!$B$876="OB",SUMIFS(DATA_TS!$Q$2:$Q$20001,DATA_TS!$A$2:$A$20001,$A883,DATA_TS!$C$2:$C$20001,G$880,DATA_TS!$B$2:$B$20001,Kalkulasi!$B$877),SUMIFS(DATA_TS!$R$2:$R$20001,DATA_TS!$A$2:$A$20001,$A883,DATA_TS!$C$2:$C$20001,G$880,DATA_TS!$B$2:$B$20001,Kalkulasi!$B$877)))</f>
        <v/>
      </c>
      <c r="H883">
        <f>IF(OR($A883="",AA883=0),0,IF(Kalkulasi!$B$876="OB",SUMIFS(DATA_TS!$Q$2:$Q$20001,DATA_TS!$A$2:$A$20001,$A883,DATA_TS!$C$2:$C$20001,H$880,DATA_TS!$B$2:$B$20001,Kalkulasi!$B$877),SUMIFS(DATA_TS!$R$2:$R$20001,DATA_TS!$A$2:$A$20001,$A883,DATA_TS!$C$2:$C$20001,H$880,DATA_TS!$B$2:$B$20001,Kalkulasi!$B$877)))</f>
        <v/>
      </c>
      <c r="I883">
        <f>IF(OR($A883="",AB883=0),0,IF(Kalkulasi!$B$876="OB",SUMIFS(DATA_TS!$Q$2:$Q$20001,DATA_TS!$A$2:$A$20001,$A883,DATA_TS!$C$2:$C$20001,I$880,DATA_TS!$B$2:$B$20001,Kalkulasi!$B$877),SUMIFS(DATA_TS!$R$2:$R$20001,DATA_TS!$A$2:$A$20001,$A883,DATA_TS!$C$2:$C$20001,I$880,DATA_TS!$B$2:$B$20001,Kalkulasi!$B$877)))</f>
        <v/>
      </c>
      <c r="J883">
        <f>IF(OR($A883="",AC883=0),0,IF(Kalkulasi!$B$876="OB",SUMIFS(DATA_TS!$Q$2:$Q$20001,DATA_TS!$A$2:$A$20001,$A883,DATA_TS!$C$2:$C$20001,J$880,DATA_TS!$B$2:$B$20001,Kalkulasi!$B$877),SUMIFS(DATA_TS!$R$2:$R$20001,DATA_TS!$A$2:$A$20001,$A883,DATA_TS!$C$2:$C$20001,J$880,DATA_TS!$B$2:$B$20001,Kalkulasi!$B$877)))</f>
        <v/>
      </c>
      <c r="K883">
        <f>IF(OR($A883="",AD883=0),0,IF(Kalkulasi!$B$876="OB",SUMIFS(DATA_TS!$Q$2:$Q$20001,DATA_TS!$A$2:$A$20001,$A883,DATA_TS!$C$2:$C$20001,K$880,DATA_TS!$B$2:$B$20001,Kalkulasi!$B$877),SUMIFS(DATA_TS!$R$2:$R$20001,DATA_TS!$A$2:$A$20001,$A883,DATA_TS!$C$2:$C$20001,K$880,DATA_TS!$B$2:$B$20001,Kalkulasi!$B$877)))</f>
        <v/>
      </c>
      <c r="L883">
        <f>IF(OR($A883="",AE883=0),0,IF(Kalkulasi!$B$876="OB",SUMIFS(DATA_TS!$Q$2:$Q$20001,DATA_TS!$A$2:$A$20001,$A883,DATA_TS!$C$2:$C$20001,L$880,DATA_TS!$B$2:$B$20001,Kalkulasi!$B$877),SUMIFS(DATA_TS!$R$2:$R$20001,DATA_TS!$A$2:$A$20001,$A883,DATA_TS!$C$2:$C$20001,L$880,DATA_TS!$B$2:$B$20001,Kalkulasi!$B$877)))</f>
        <v/>
      </c>
      <c r="M883">
        <f>IF(OR($A883="",AF883=0),0,IF(Kalkulasi!$B$876="OB",SUMIFS(DATA_TS!$Q$2:$Q$20001,DATA_TS!$A$2:$A$20001,$A883,DATA_TS!$C$2:$C$20001,M$880,DATA_TS!$B$2:$B$20001,Kalkulasi!$B$877),SUMIFS(DATA_TS!$R$2:$R$20001,DATA_TS!$A$2:$A$20001,$A883,DATA_TS!$C$2:$C$20001,M$880,DATA_TS!$B$2:$B$20001,Kalkulasi!$B$877)))</f>
        <v/>
      </c>
      <c r="N883">
        <f>IF(OR($A883="",AG883=0),0,IF(Kalkulasi!$B$876="OB",SUMIFS(DATA_TS!$Q$2:$Q$20001,DATA_TS!$A$2:$A$20001,$A883,DATA_TS!$C$2:$C$20001,N$880,DATA_TS!$B$2:$B$20001,Kalkulasi!$B$877),SUMIFS(DATA_TS!$R$2:$R$20001,DATA_TS!$A$2:$A$20001,$A883,DATA_TS!$C$2:$C$20001,N$880,DATA_TS!$B$2:$B$20001,Kalkulasi!$B$877)))</f>
        <v/>
      </c>
      <c r="O883">
        <f>IF(OR($A883="",AH883=0),0,IF(Kalkulasi!$B$876="OB",SUMIFS(DATA_TS!$Q$2:$Q$20001,DATA_TS!$A$2:$A$20001,$A883,DATA_TS!$C$2:$C$20001,O$880,DATA_TS!$B$2:$B$20001,Kalkulasi!$B$877),SUMIFS(DATA_TS!$R$2:$R$20001,DATA_TS!$A$2:$A$20001,$A883,DATA_TS!$C$2:$C$20001,O$880,DATA_TS!$B$2:$B$20001,Kalkulasi!$B$877)))</f>
        <v/>
      </c>
      <c r="P883">
        <f>IF(OR($A883="",AI883=0),0,IF(Kalkulasi!$B$876="OB",SUMIFS(DATA_TS!$Q$2:$Q$20001,DATA_TS!$A$2:$A$20001,$A883,DATA_TS!$C$2:$C$20001,P$880,DATA_TS!$B$2:$B$20001,Kalkulasi!$B$877),SUMIFS(DATA_TS!$R$2:$R$20001,DATA_TS!$A$2:$A$20001,$A883,DATA_TS!$C$2:$C$20001,P$880,DATA_TS!$B$2:$B$20001,Kalkulasi!$B$877)))</f>
        <v/>
      </c>
      <c r="Q883">
        <f>IF(OR($A883="",AJ883=0),0,IF(Kalkulasi!$B$876="OB",SUMIFS(DATA_TS!$Q$2:$Q$20001,DATA_TS!$A$2:$A$20001,$A883,DATA_TS!$C$2:$C$20001,Q$880,DATA_TS!$B$2:$B$20001,Kalkulasi!$B$877),SUMIFS(DATA_TS!$R$2:$R$20001,DATA_TS!$A$2:$A$20001,$A883,DATA_TS!$C$2:$C$20001,Q$880,DATA_TS!$B$2:$B$20001,Kalkulasi!$B$877)))</f>
        <v/>
      </c>
      <c r="R883">
        <f>IF(OR($A883="",AK883=0),0,IF(Kalkulasi!$B$876="OB",SUMIFS(DATA_TS!$Q$2:$Q$20001,DATA_TS!$A$2:$A$20001,$A883,DATA_TS!$C$2:$C$20001,R$880,DATA_TS!$B$2:$B$20001,Kalkulasi!$B$877),SUMIFS(DATA_TS!$R$2:$R$20001,DATA_TS!$A$2:$A$20001,$A883,DATA_TS!$C$2:$C$20001,R$880,DATA_TS!$B$2:$B$20001,Kalkulasi!$B$877)))</f>
        <v/>
      </c>
      <c r="S883">
        <f>IF(OR($A883="",AL883=0),0,IF(Kalkulasi!$B$876="OB",SUMIFS(DATA_TS!$Q$2:$Q$20001,DATA_TS!$A$2:$A$20001,$A883,DATA_TS!$C$2:$C$20001,S$880,DATA_TS!$B$2:$B$20001,Kalkulasi!$B$877),SUMIFS(DATA_TS!$R$2:$R$20001,DATA_TS!$A$2:$A$20001,$A883,DATA_TS!$C$2:$C$20001,S$880,DATA_TS!$B$2:$B$20001,Kalkulasi!$B$877)))</f>
        <v/>
      </c>
      <c r="T883">
        <f>SUM(B883:S883)</f>
        <v/>
      </c>
      <c r="U883">
        <f>IF($A883="",0,IF(Kalkulasi!$B$876="OB",SUMIFS(DATA_TS!$M$2:$M$20001,DATA_TS!$A$2:$A$20001,$A883,DATA_TS!$C$2:$C$20001,B$880,DATA_TS!$B$2:$B$20001,Kalkulasi!$B$877),SUMIFS(DATA_TS!$N$2:$N$20001,DATA_TS!$A$2:$A$20001,$A883,DATA_TS!$C$2:$C$20001,B$880,DATA_TS!$B$2:$B$20001,Kalkulasi!$B$877)))</f>
        <v/>
      </c>
      <c r="V883">
        <f>IF($A883="",0,IF(Kalkulasi!$B$876="OB",SUMIFS(DATA_TS!$M$2:$M$20001,DATA_TS!$A$2:$A$20001,$A883,DATA_TS!$C$2:$C$20001,C$880,DATA_TS!$B$2:$B$20001,Kalkulasi!$B$877),SUMIFS(DATA_TS!$N$2:$N$20001,DATA_TS!$A$2:$A$20001,$A883,DATA_TS!$C$2:$C$20001,C$880,DATA_TS!$B$2:$B$20001,Kalkulasi!$B$877)))</f>
        <v/>
      </c>
      <c r="W883">
        <f>IF($A883="",0,IF(Kalkulasi!$B$876="OB",SUMIFS(DATA_TS!$M$2:$M$20001,DATA_TS!$A$2:$A$20001,$A883,DATA_TS!$C$2:$C$20001,D$880,DATA_TS!$B$2:$B$20001,Kalkulasi!$B$877),SUMIFS(DATA_TS!$N$2:$N$20001,DATA_TS!$A$2:$A$20001,$A883,DATA_TS!$C$2:$C$20001,D$880,DATA_TS!$B$2:$B$20001,Kalkulasi!$B$877)))</f>
        <v/>
      </c>
      <c r="X883">
        <f>IF($A883="",0,IF(Kalkulasi!$B$876="OB",SUMIFS(DATA_TS!$M$2:$M$20001,DATA_TS!$A$2:$A$20001,$A883,DATA_TS!$C$2:$C$20001,E$880,DATA_TS!$B$2:$B$20001,Kalkulasi!$B$877),SUMIFS(DATA_TS!$N$2:$N$20001,DATA_TS!$A$2:$A$20001,$A883,DATA_TS!$C$2:$C$20001,E$880,DATA_TS!$B$2:$B$20001,Kalkulasi!$B$877)))</f>
        <v/>
      </c>
      <c r="Y883">
        <f>IF($A883="",0,IF(Kalkulasi!$B$876="OB",SUMIFS(DATA_TS!$M$2:$M$20001,DATA_TS!$A$2:$A$20001,$A883,DATA_TS!$C$2:$C$20001,F$880,DATA_TS!$B$2:$B$20001,Kalkulasi!$B$877),SUMIFS(DATA_TS!$N$2:$N$20001,DATA_TS!$A$2:$A$20001,$A883,DATA_TS!$C$2:$C$20001,F$880,DATA_TS!$B$2:$B$20001,Kalkulasi!$B$877)))</f>
        <v/>
      </c>
      <c r="Z883">
        <f>IF($A883="",0,IF(Kalkulasi!$B$876="OB",SUMIFS(DATA_TS!$M$2:$M$20001,DATA_TS!$A$2:$A$20001,$A883,DATA_TS!$C$2:$C$20001,G$880,DATA_TS!$B$2:$B$20001,Kalkulasi!$B$877),SUMIFS(DATA_TS!$N$2:$N$20001,DATA_TS!$A$2:$A$20001,$A883,DATA_TS!$C$2:$C$20001,G$880,DATA_TS!$B$2:$B$20001,Kalkulasi!$B$877)))</f>
        <v/>
      </c>
      <c r="AA883">
        <f>IF($A883="",0,IF(Kalkulasi!$B$876="OB",SUMIFS(DATA_TS!$M$2:$M$20001,DATA_TS!$A$2:$A$20001,$A883,DATA_TS!$C$2:$C$20001,H$880,DATA_TS!$B$2:$B$20001,Kalkulasi!$B$877),SUMIFS(DATA_TS!$N$2:$N$20001,DATA_TS!$A$2:$A$20001,$A883,DATA_TS!$C$2:$C$20001,H$880,DATA_TS!$B$2:$B$20001,Kalkulasi!$B$877)))</f>
        <v/>
      </c>
      <c r="AB883">
        <f>IF($A883="",0,IF(Kalkulasi!$B$876="OB",SUMIFS(DATA_TS!$M$2:$M$20001,DATA_TS!$A$2:$A$20001,$A883,DATA_TS!$C$2:$C$20001,I$880,DATA_TS!$B$2:$B$20001,Kalkulasi!$B$877),SUMIFS(DATA_TS!$N$2:$N$20001,DATA_TS!$A$2:$A$20001,$A883,DATA_TS!$C$2:$C$20001,I$880,DATA_TS!$B$2:$B$20001,Kalkulasi!$B$877)))</f>
        <v/>
      </c>
      <c r="AC883">
        <f>IF($A883="",0,IF(Kalkulasi!$B$876="OB",SUMIFS(DATA_TS!$M$2:$M$20001,DATA_TS!$A$2:$A$20001,$A883,DATA_TS!$C$2:$C$20001,J$880,DATA_TS!$B$2:$B$20001,Kalkulasi!$B$877),SUMIFS(DATA_TS!$N$2:$N$20001,DATA_TS!$A$2:$A$20001,$A883,DATA_TS!$C$2:$C$20001,J$880,DATA_TS!$B$2:$B$20001,Kalkulasi!$B$877)))</f>
        <v/>
      </c>
      <c r="AD883">
        <f>IF($A883="",0,IF(Kalkulasi!$B$876="OB",SUMIFS(DATA_TS!$M$2:$M$20001,DATA_TS!$A$2:$A$20001,$A883,DATA_TS!$C$2:$C$20001,K$880,DATA_TS!$B$2:$B$20001,Kalkulasi!$B$877),SUMIFS(DATA_TS!$N$2:$N$20001,DATA_TS!$A$2:$A$20001,$A883,DATA_TS!$C$2:$C$20001,K$880,DATA_TS!$B$2:$B$20001,Kalkulasi!$B$877)))</f>
        <v/>
      </c>
      <c r="AE883">
        <f>IF($A883="",0,IF(Kalkulasi!$B$876="OB",SUMIFS(DATA_TS!$M$2:$M$20001,DATA_TS!$A$2:$A$20001,$A883,DATA_TS!$C$2:$C$20001,L$880,DATA_TS!$B$2:$B$20001,Kalkulasi!$B$877),SUMIFS(DATA_TS!$N$2:$N$20001,DATA_TS!$A$2:$A$20001,$A883,DATA_TS!$C$2:$C$20001,L$880,DATA_TS!$B$2:$B$20001,Kalkulasi!$B$877)))</f>
        <v/>
      </c>
      <c r="AF883">
        <f>IF($A883="",0,IF(Kalkulasi!$B$876="OB",SUMIFS(DATA_TS!$M$2:$M$20001,DATA_TS!$A$2:$A$20001,$A883,DATA_TS!$C$2:$C$20001,M$880,DATA_TS!$B$2:$B$20001,Kalkulasi!$B$877),SUMIFS(DATA_TS!$N$2:$N$20001,DATA_TS!$A$2:$A$20001,$A883,DATA_TS!$C$2:$C$20001,M$880,DATA_TS!$B$2:$B$20001,Kalkulasi!$B$877)))</f>
        <v/>
      </c>
      <c r="AG883">
        <f>IF($A883="",0,IF(Kalkulasi!$B$876="OB",SUMIFS(DATA_TS!$M$2:$M$20001,DATA_TS!$A$2:$A$20001,$A883,DATA_TS!$C$2:$C$20001,N$880,DATA_TS!$B$2:$B$20001,Kalkulasi!$B$877),SUMIFS(DATA_TS!$N$2:$N$20001,DATA_TS!$A$2:$A$20001,$A883,DATA_TS!$C$2:$C$20001,N$880,DATA_TS!$B$2:$B$20001,Kalkulasi!$B$877)))</f>
        <v/>
      </c>
      <c r="AH883">
        <f>IF($A883="",0,IF(Kalkulasi!$B$876="OB",SUMIFS(DATA_TS!$M$2:$M$20001,DATA_TS!$A$2:$A$20001,$A883,DATA_TS!$C$2:$C$20001,O$880,DATA_TS!$B$2:$B$20001,Kalkulasi!$B$877),SUMIFS(DATA_TS!$N$2:$N$20001,DATA_TS!$A$2:$A$20001,$A883,DATA_TS!$C$2:$C$20001,O$880,DATA_TS!$B$2:$B$20001,Kalkulasi!$B$877)))</f>
        <v/>
      </c>
      <c r="AI883">
        <f>IF($A883="",0,IF(Kalkulasi!$B$876="OB",SUMIFS(DATA_TS!$M$2:$M$20001,DATA_TS!$A$2:$A$20001,$A883,DATA_TS!$C$2:$C$20001,P$880,DATA_TS!$B$2:$B$20001,Kalkulasi!$B$877),SUMIFS(DATA_TS!$N$2:$N$20001,DATA_TS!$A$2:$A$20001,$A883,DATA_TS!$C$2:$C$20001,P$880,DATA_TS!$B$2:$B$20001,Kalkulasi!$B$877)))</f>
        <v/>
      </c>
      <c r="AJ883">
        <f>IF($A883="",0,IF(Kalkulasi!$B$876="OB",SUMIFS(DATA_TS!$M$2:$M$20001,DATA_TS!$A$2:$A$20001,$A883,DATA_TS!$C$2:$C$20001,Q$880,DATA_TS!$B$2:$B$20001,Kalkulasi!$B$877),SUMIFS(DATA_TS!$N$2:$N$20001,DATA_TS!$A$2:$A$20001,$A883,DATA_TS!$C$2:$C$20001,Q$880,DATA_TS!$B$2:$B$20001,Kalkulasi!$B$877)))</f>
        <v/>
      </c>
      <c r="AK883">
        <f>IF($A883="",0,IF(Kalkulasi!$B$876="OB",SUMIFS(DATA_TS!$M$2:$M$20001,DATA_TS!$A$2:$A$20001,$A883,DATA_TS!$C$2:$C$20001,R$880,DATA_TS!$B$2:$B$20001,Kalkulasi!$B$877),SUMIFS(DATA_TS!$N$2:$N$20001,DATA_TS!$A$2:$A$20001,$A883,DATA_TS!$C$2:$C$20001,R$880,DATA_TS!$B$2:$B$20001,Kalkulasi!$B$877)))</f>
        <v/>
      </c>
      <c r="AL883">
        <f>IF($A883="",0,IF(Kalkulasi!$B$876="OB",SUMIFS(DATA_TS!$M$2:$M$20001,DATA_TS!$A$2:$A$20001,$A883,DATA_TS!$C$2:$C$20001,S$880,DATA_TS!$B$2:$B$20001,Kalkulasi!$B$877),SUMIFS(DATA_TS!$N$2:$N$20001,DATA_TS!$A$2:$A$20001,$A883,DATA_TS!$C$2:$C$20001,S$880,DATA_TS!$B$2:$B$20001,Kalkulasi!$B$877)))</f>
        <v/>
      </c>
      <c r="AM883">
        <f>SUM(U883:AL883)</f>
        <v/>
      </c>
      <c r="AN883">
        <f>IF(OR(U883=0,B883=0),"",B883/U883)</f>
        <v/>
      </c>
      <c r="AO883">
        <f>IF(OR(V883=0,C883=0),"",C883/V883)</f>
        <v/>
      </c>
      <c r="AP883">
        <f>IF(OR(W883=0,D883=0),"",D883/W883)</f>
        <v/>
      </c>
      <c r="AQ883">
        <f>IF(OR(X883=0,E883=0),"",E883/X883)</f>
        <v/>
      </c>
      <c r="AR883">
        <f>IF(OR(Y883=0,F883=0),"",F883/Y883)</f>
        <v/>
      </c>
      <c r="AS883">
        <f>IF(OR(Z883=0,G883=0),"",G883/Z883)</f>
        <v/>
      </c>
      <c r="AT883">
        <f>IF(OR(AA883=0,H883=0),"",H883/AA883)</f>
        <v/>
      </c>
      <c r="AU883">
        <f>IF(OR(AB883=0,I883=0),"",I883/AB883)</f>
        <v/>
      </c>
      <c r="AV883">
        <f>IF(OR(AC883=0,J883=0),"",J883/AC883)</f>
        <v/>
      </c>
      <c r="AW883">
        <f>IF(OR(AD883=0,K883=0),"",K883/AD883)</f>
        <v/>
      </c>
      <c r="AX883">
        <f>IF(OR(AE883=0,L883=0),"",L883/AE883)</f>
        <v/>
      </c>
      <c r="AY883">
        <f>IF(OR(AF883=0,M883=0),"",M883/AF883)</f>
        <v/>
      </c>
      <c r="AZ883">
        <f>IF(OR(AG883=0,N883=0),"",N883/AG883)</f>
        <v/>
      </c>
      <c r="BA883">
        <f>IF(OR(AH883=0,O883=0),"",O883/AH883)</f>
        <v/>
      </c>
      <c r="BB883">
        <f>IF(OR(AI883=0,P883=0),"",P883/AI883)</f>
        <v/>
      </c>
      <c r="BC883">
        <f>IF(OR(AJ883=0,Q883=0),"",Q883/AJ883)</f>
        <v/>
      </c>
      <c r="BD883">
        <f>IF(OR(AK883=0,R883=0),"",R883/AK883)</f>
        <v/>
      </c>
      <c r="BE883">
        <f>IF(OR(AL883=0,S883=0),"",S883/AL883)</f>
        <v/>
      </c>
      <c r="BF883">
        <f>IF(AM883=0,NA(),T883/AM883)</f>
        <v/>
      </c>
      <c r="BG883" t="n">
        <v>3</v>
      </c>
      <c r="BH883">
        <f>IF(AM883=0,"",T883/AM883)</f>
        <v/>
      </c>
      <c r="BI883">
        <f>IF($A883="","",TEXT($A883,"d"))</f>
        <v/>
      </c>
    </row>
    <row r="884">
      <c r="A884" s="199">
        <f>IF(Kalkulasi!$B$873+3&gt;Kalkulasi!$B$874,"",Kalkulasi!$B$873+3)</f>
        <v/>
      </c>
      <c r="B884">
        <f>IF(OR($A884="",U884=0),0,IF(Kalkulasi!$B$876="OB",SUMIFS(DATA_TS!$Q$2:$Q$20001,DATA_TS!$A$2:$A$20001,$A884,DATA_TS!$C$2:$C$20001,B$880,DATA_TS!$B$2:$B$20001,Kalkulasi!$B$877),SUMIFS(DATA_TS!$R$2:$R$20001,DATA_TS!$A$2:$A$20001,$A884,DATA_TS!$C$2:$C$20001,B$880,DATA_TS!$B$2:$B$20001,Kalkulasi!$B$877)))</f>
        <v/>
      </c>
      <c r="C884">
        <f>IF(OR($A884="",V884=0),0,IF(Kalkulasi!$B$876="OB",SUMIFS(DATA_TS!$Q$2:$Q$20001,DATA_TS!$A$2:$A$20001,$A884,DATA_TS!$C$2:$C$20001,C$880,DATA_TS!$B$2:$B$20001,Kalkulasi!$B$877),SUMIFS(DATA_TS!$R$2:$R$20001,DATA_TS!$A$2:$A$20001,$A884,DATA_TS!$C$2:$C$20001,C$880,DATA_TS!$B$2:$B$20001,Kalkulasi!$B$877)))</f>
        <v/>
      </c>
      <c r="D884">
        <f>IF(OR($A884="",W884=0),0,IF(Kalkulasi!$B$876="OB",SUMIFS(DATA_TS!$Q$2:$Q$20001,DATA_TS!$A$2:$A$20001,$A884,DATA_TS!$C$2:$C$20001,D$880,DATA_TS!$B$2:$B$20001,Kalkulasi!$B$877),SUMIFS(DATA_TS!$R$2:$R$20001,DATA_TS!$A$2:$A$20001,$A884,DATA_TS!$C$2:$C$20001,D$880,DATA_TS!$B$2:$B$20001,Kalkulasi!$B$877)))</f>
        <v/>
      </c>
      <c r="E884">
        <f>IF(OR($A884="",X884=0),0,IF(Kalkulasi!$B$876="OB",SUMIFS(DATA_TS!$Q$2:$Q$20001,DATA_TS!$A$2:$A$20001,$A884,DATA_TS!$C$2:$C$20001,E$880,DATA_TS!$B$2:$B$20001,Kalkulasi!$B$877),SUMIFS(DATA_TS!$R$2:$R$20001,DATA_TS!$A$2:$A$20001,$A884,DATA_TS!$C$2:$C$20001,E$880,DATA_TS!$B$2:$B$20001,Kalkulasi!$B$877)))</f>
        <v/>
      </c>
      <c r="F884">
        <f>IF(OR($A884="",Y884=0),0,IF(Kalkulasi!$B$876="OB",SUMIFS(DATA_TS!$Q$2:$Q$20001,DATA_TS!$A$2:$A$20001,$A884,DATA_TS!$C$2:$C$20001,F$880,DATA_TS!$B$2:$B$20001,Kalkulasi!$B$877),SUMIFS(DATA_TS!$R$2:$R$20001,DATA_TS!$A$2:$A$20001,$A884,DATA_TS!$C$2:$C$20001,F$880,DATA_TS!$B$2:$B$20001,Kalkulasi!$B$877)))</f>
        <v/>
      </c>
      <c r="G884">
        <f>IF(OR($A884="",Z884=0),0,IF(Kalkulasi!$B$876="OB",SUMIFS(DATA_TS!$Q$2:$Q$20001,DATA_TS!$A$2:$A$20001,$A884,DATA_TS!$C$2:$C$20001,G$880,DATA_TS!$B$2:$B$20001,Kalkulasi!$B$877),SUMIFS(DATA_TS!$R$2:$R$20001,DATA_TS!$A$2:$A$20001,$A884,DATA_TS!$C$2:$C$20001,G$880,DATA_TS!$B$2:$B$20001,Kalkulasi!$B$877)))</f>
        <v/>
      </c>
      <c r="H884">
        <f>IF(OR($A884="",AA884=0),0,IF(Kalkulasi!$B$876="OB",SUMIFS(DATA_TS!$Q$2:$Q$20001,DATA_TS!$A$2:$A$20001,$A884,DATA_TS!$C$2:$C$20001,H$880,DATA_TS!$B$2:$B$20001,Kalkulasi!$B$877),SUMIFS(DATA_TS!$R$2:$R$20001,DATA_TS!$A$2:$A$20001,$A884,DATA_TS!$C$2:$C$20001,H$880,DATA_TS!$B$2:$B$20001,Kalkulasi!$B$877)))</f>
        <v/>
      </c>
      <c r="I884">
        <f>IF(OR($A884="",AB884=0),0,IF(Kalkulasi!$B$876="OB",SUMIFS(DATA_TS!$Q$2:$Q$20001,DATA_TS!$A$2:$A$20001,$A884,DATA_TS!$C$2:$C$20001,I$880,DATA_TS!$B$2:$B$20001,Kalkulasi!$B$877),SUMIFS(DATA_TS!$R$2:$R$20001,DATA_TS!$A$2:$A$20001,$A884,DATA_TS!$C$2:$C$20001,I$880,DATA_TS!$B$2:$B$20001,Kalkulasi!$B$877)))</f>
        <v/>
      </c>
      <c r="J884">
        <f>IF(OR($A884="",AC884=0),0,IF(Kalkulasi!$B$876="OB",SUMIFS(DATA_TS!$Q$2:$Q$20001,DATA_TS!$A$2:$A$20001,$A884,DATA_TS!$C$2:$C$20001,J$880,DATA_TS!$B$2:$B$20001,Kalkulasi!$B$877),SUMIFS(DATA_TS!$R$2:$R$20001,DATA_TS!$A$2:$A$20001,$A884,DATA_TS!$C$2:$C$20001,J$880,DATA_TS!$B$2:$B$20001,Kalkulasi!$B$877)))</f>
        <v/>
      </c>
      <c r="K884">
        <f>IF(OR($A884="",AD884=0),0,IF(Kalkulasi!$B$876="OB",SUMIFS(DATA_TS!$Q$2:$Q$20001,DATA_TS!$A$2:$A$20001,$A884,DATA_TS!$C$2:$C$20001,K$880,DATA_TS!$B$2:$B$20001,Kalkulasi!$B$877),SUMIFS(DATA_TS!$R$2:$R$20001,DATA_TS!$A$2:$A$20001,$A884,DATA_TS!$C$2:$C$20001,K$880,DATA_TS!$B$2:$B$20001,Kalkulasi!$B$877)))</f>
        <v/>
      </c>
      <c r="L884">
        <f>IF(OR($A884="",AE884=0),0,IF(Kalkulasi!$B$876="OB",SUMIFS(DATA_TS!$Q$2:$Q$20001,DATA_TS!$A$2:$A$20001,$A884,DATA_TS!$C$2:$C$20001,L$880,DATA_TS!$B$2:$B$20001,Kalkulasi!$B$877),SUMIFS(DATA_TS!$R$2:$R$20001,DATA_TS!$A$2:$A$20001,$A884,DATA_TS!$C$2:$C$20001,L$880,DATA_TS!$B$2:$B$20001,Kalkulasi!$B$877)))</f>
        <v/>
      </c>
      <c r="M884">
        <f>IF(OR($A884="",AF884=0),0,IF(Kalkulasi!$B$876="OB",SUMIFS(DATA_TS!$Q$2:$Q$20001,DATA_TS!$A$2:$A$20001,$A884,DATA_TS!$C$2:$C$20001,M$880,DATA_TS!$B$2:$B$20001,Kalkulasi!$B$877),SUMIFS(DATA_TS!$R$2:$R$20001,DATA_TS!$A$2:$A$20001,$A884,DATA_TS!$C$2:$C$20001,M$880,DATA_TS!$B$2:$B$20001,Kalkulasi!$B$877)))</f>
        <v/>
      </c>
      <c r="N884">
        <f>IF(OR($A884="",AG884=0),0,IF(Kalkulasi!$B$876="OB",SUMIFS(DATA_TS!$Q$2:$Q$20001,DATA_TS!$A$2:$A$20001,$A884,DATA_TS!$C$2:$C$20001,N$880,DATA_TS!$B$2:$B$20001,Kalkulasi!$B$877),SUMIFS(DATA_TS!$R$2:$R$20001,DATA_TS!$A$2:$A$20001,$A884,DATA_TS!$C$2:$C$20001,N$880,DATA_TS!$B$2:$B$20001,Kalkulasi!$B$877)))</f>
        <v/>
      </c>
      <c r="O884">
        <f>IF(OR($A884="",AH884=0),0,IF(Kalkulasi!$B$876="OB",SUMIFS(DATA_TS!$Q$2:$Q$20001,DATA_TS!$A$2:$A$20001,$A884,DATA_TS!$C$2:$C$20001,O$880,DATA_TS!$B$2:$B$20001,Kalkulasi!$B$877),SUMIFS(DATA_TS!$R$2:$R$20001,DATA_TS!$A$2:$A$20001,$A884,DATA_TS!$C$2:$C$20001,O$880,DATA_TS!$B$2:$B$20001,Kalkulasi!$B$877)))</f>
        <v/>
      </c>
      <c r="P884">
        <f>IF(OR($A884="",AI884=0),0,IF(Kalkulasi!$B$876="OB",SUMIFS(DATA_TS!$Q$2:$Q$20001,DATA_TS!$A$2:$A$20001,$A884,DATA_TS!$C$2:$C$20001,P$880,DATA_TS!$B$2:$B$20001,Kalkulasi!$B$877),SUMIFS(DATA_TS!$R$2:$R$20001,DATA_TS!$A$2:$A$20001,$A884,DATA_TS!$C$2:$C$20001,P$880,DATA_TS!$B$2:$B$20001,Kalkulasi!$B$877)))</f>
        <v/>
      </c>
      <c r="Q884">
        <f>IF(OR($A884="",AJ884=0),0,IF(Kalkulasi!$B$876="OB",SUMIFS(DATA_TS!$Q$2:$Q$20001,DATA_TS!$A$2:$A$20001,$A884,DATA_TS!$C$2:$C$20001,Q$880,DATA_TS!$B$2:$B$20001,Kalkulasi!$B$877),SUMIFS(DATA_TS!$R$2:$R$20001,DATA_TS!$A$2:$A$20001,$A884,DATA_TS!$C$2:$C$20001,Q$880,DATA_TS!$B$2:$B$20001,Kalkulasi!$B$877)))</f>
        <v/>
      </c>
      <c r="R884">
        <f>IF(OR($A884="",AK884=0),0,IF(Kalkulasi!$B$876="OB",SUMIFS(DATA_TS!$Q$2:$Q$20001,DATA_TS!$A$2:$A$20001,$A884,DATA_TS!$C$2:$C$20001,R$880,DATA_TS!$B$2:$B$20001,Kalkulasi!$B$877),SUMIFS(DATA_TS!$R$2:$R$20001,DATA_TS!$A$2:$A$20001,$A884,DATA_TS!$C$2:$C$20001,R$880,DATA_TS!$B$2:$B$20001,Kalkulasi!$B$877)))</f>
        <v/>
      </c>
      <c r="S884">
        <f>IF(OR($A884="",AL884=0),0,IF(Kalkulasi!$B$876="OB",SUMIFS(DATA_TS!$Q$2:$Q$20001,DATA_TS!$A$2:$A$20001,$A884,DATA_TS!$C$2:$C$20001,S$880,DATA_TS!$B$2:$B$20001,Kalkulasi!$B$877),SUMIFS(DATA_TS!$R$2:$R$20001,DATA_TS!$A$2:$A$20001,$A884,DATA_TS!$C$2:$C$20001,S$880,DATA_TS!$B$2:$B$20001,Kalkulasi!$B$877)))</f>
        <v/>
      </c>
      <c r="T884">
        <f>SUM(B884:S884)</f>
        <v/>
      </c>
      <c r="U884">
        <f>IF($A884="",0,IF(Kalkulasi!$B$876="OB",SUMIFS(DATA_TS!$M$2:$M$20001,DATA_TS!$A$2:$A$20001,$A884,DATA_TS!$C$2:$C$20001,B$880,DATA_TS!$B$2:$B$20001,Kalkulasi!$B$877),SUMIFS(DATA_TS!$N$2:$N$20001,DATA_TS!$A$2:$A$20001,$A884,DATA_TS!$C$2:$C$20001,B$880,DATA_TS!$B$2:$B$20001,Kalkulasi!$B$877)))</f>
        <v/>
      </c>
      <c r="V884">
        <f>IF($A884="",0,IF(Kalkulasi!$B$876="OB",SUMIFS(DATA_TS!$M$2:$M$20001,DATA_TS!$A$2:$A$20001,$A884,DATA_TS!$C$2:$C$20001,C$880,DATA_TS!$B$2:$B$20001,Kalkulasi!$B$877),SUMIFS(DATA_TS!$N$2:$N$20001,DATA_TS!$A$2:$A$20001,$A884,DATA_TS!$C$2:$C$20001,C$880,DATA_TS!$B$2:$B$20001,Kalkulasi!$B$877)))</f>
        <v/>
      </c>
      <c r="W884">
        <f>IF($A884="",0,IF(Kalkulasi!$B$876="OB",SUMIFS(DATA_TS!$M$2:$M$20001,DATA_TS!$A$2:$A$20001,$A884,DATA_TS!$C$2:$C$20001,D$880,DATA_TS!$B$2:$B$20001,Kalkulasi!$B$877),SUMIFS(DATA_TS!$N$2:$N$20001,DATA_TS!$A$2:$A$20001,$A884,DATA_TS!$C$2:$C$20001,D$880,DATA_TS!$B$2:$B$20001,Kalkulasi!$B$877)))</f>
        <v/>
      </c>
      <c r="X884">
        <f>IF($A884="",0,IF(Kalkulasi!$B$876="OB",SUMIFS(DATA_TS!$M$2:$M$20001,DATA_TS!$A$2:$A$20001,$A884,DATA_TS!$C$2:$C$20001,E$880,DATA_TS!$B$2:$B$20001,Kalkulasi!$B$877),SUMIFS(DATA_TS!$N$2:$N$20001,DATA_TS!$A$2:$A$20001,$A884,DATA_TS!$C$2:$C$20001,E$880,DATA_TS!$B$2:$B$20001,Kalkulasi!$B$877)))</f>
        <v/>
      </c>
      <c r="Y884">
        <f>IF($A884="",0,IF(Kalkulasi!$B$876="OB",SUMIFS(DATA_TS!$M$2:$M$20001,DATA_TS!$A$2:$A$20001,$A884,DATA_TS!$C$2:$C$20001,F$880,DATA_TS!$B$2:$B$20001,Kalkulasi!$B$877),SUMIFS(DATA_TS!$N$2:$N$20001,DATA_TS!$A$2:$A$20001,$A884,DATA_TS!$C$2:$C$20001,F$880,DATA_TS!$B$2:$B$20001,Kalkulasi!$B$877)))</f>
        <v/>
      </c>
      <c r="Z884">
        <f>IF($A884="",0,IF(Kalkulasi!$B$876="OB",SUMIFS(DATA_TS!$M$2:$M$20001,DATA_TS!$A$2:$A$20001,$A884,DATA_TS!$C$2:$C$20001,G$880,DATA_TS!$B$2:$B$20001,Kalkulasi!$B$877),SUMIFS(DATA_TS!$N$2:$N$20001,DATA_TS!$A$2:$A$20001,$A884,DATA_TS!$C$2:$C$20001,G$880,DATA_TS!$B$2:$B$20001,Kalkulasi!$B$877)))</f>
        <v/>
      </c>
      <c r="AA884">
        <f>IF($A884="",0,IF(Kalkulasi!$B$876="OB",SUMIFS(DATA_TS!$M$2:$M$20001,DATA_TS!$A$2:$A$20001,$A884,DATA_TS!$C$2:$C$20001,H$880,DATA_TS!$B$2:$B$20001,Kalkulasi!$B$877),SUMIFS(DATA_TS!$N$2:$N$20001,DATA_TS!$A$2:$A$20001,$A884,DATA_TS!$C$2:$C$20001,H$880,DATA_TS!$B$2:$B$20001,Kalkulasi!$B$877)))</f>
        <v/>
      </c>
      <c r="AB884">
        <f>IF($A884="",0,IF(Kalkulasi!$B$876="OB",SUMIFS(DATA_TS!$M$2:$M$20001,DATA_TS!$A$2:$A$20001,$A884,DATA_TS!$C$2:$C$20001,I$880,DATA_TS!$B$2:$B$20001,Kalkulasi!$B$877),SUMIFS(DATA_TS!$N$2:$N$20001,DATA_TS!$A$2:$A$20001,$A884,DATA_TS!$C$2:$C$20001,I$880,DATA_TS!$B$2:$B$20001,Kalkulasi!$B$877)))</f>
        <v/>
      </c>
      <c r="AC884">
        <f>IF($A884="",0,IF(Kalkulasi!$B$876="OB",SUMIFS(DATA_TS!$M$2:$M$20001,DATA_TS!$A$2:$A$20001,$A884,DATA_TS!$C$2:$C$20001,J$880,DATA_TS!$B$2:$B$20001,Kalkulasi!$B$877),SUMIFS(DATA_TS!$N$2:$N$20001,DATA_TS!$A$2:$A$20001,$A884,DATA_TS!$C$2:$C$20001,J$880,DATA_TS!$B$2:$B$20001,Kalkulasi!$B$877)))</f>
        <v/>
      </c>
      <c r="AD884">
        <f>IF($A884="",0,IF(Kalkulasi!$B$876="OB",SUMIFS(DATA_TS!$M$2:$M$20001,DATA_TS!$A$2:$A$20001,$A884,DATA_TS!$C$2:$C$20001,K$880,DATA_TS!$B$2:$B$20001,Kalkulasi!$B$877),SUMIFS(DATA_TS!$N$2:$N$20001,DATA_TS!$A$2:$A$20001,$A884,DATA_TS!$C$2:$C$20001,K$880,DATA_TS!$B$2:$B$20001,Kalkulasi!$B$877)))</f>
        <v/>
      </c>
      <c r="AE884">
        <f>IF($A884="",0,IF(Kalkulasi!$B$876="OB",SUMIFS(DATA_TS!$M$2:$M$20001,DATA_TS!$A$2:$A$20001,$A884,DATA_TS!$C$2:$C$20001,L$880,DATA_TS!$B$2:$B$20001,Kalkulasi!$B$877),SUMIFS(DATA_TS!$N$2:$N$20001,DATA_TS!$A$2:$A$20001,$A884,DATA_TS!$C$2:$C$20001,L$880,DATA_TS!$B$2:$B$20001,Kalkulasi!$B$877)))</f>
        <v/>
      </c>
      <c r="AF884">
        <f>IF($A884="",0,IF(Kalkulasi!$B$876="OB",SUMIFS(DATA_TS!$M$2:$M$20001,DATA_TS!$A$2:$A$20001,$A884,DATA_TS!$C$2:$C$20001,M$880,DATA_TS!$B$2:$B$20001,Kalkulasi!$B$877),SUMIFS(DATA_TS!$N$2:$N$20001,DATA_TS!$A$2:$A$20001,$A884,DATA_TS!$C$2:$C$20001,M$880,DATA_TS!$B$2:$B$20001,Kalkulasi!$B$877)))</f>
        <v/>
      </c>
      <c r="AG884">
        <f>IF($A884="",0,IF(Kalkulasi!$B$876="OB",SUMIFS(DATA_TS!$M$2:$M$20001,DATA_TS!$A$2:$A$20001,$A884,DATA_TS!$C$2:$C$20001,N$880,DATA_TS!$B$2:$B$20001,Kalkulasi!$B$877),SUMIFS(DATA_TS!$N$2:$N$20001,DATA_TS!$A$2:$A$20001,$A884,DATA_TS!$C$2:$C$20001,N$880,DATA_TS!$B$2:$B$20001,Kalkulasi!$B$877)))</f>
        <v/>
      </c>
      <c r="AH884">
        <f>IF($A884="",0,IF(Kalkulasi!$B$876="OB",SUMIFS(DATA_TS!$M$2:$M$20001,DATA_TS!$A$2:$A$20001,$A884,DATA_TS!$C$2:$C$20001,O$880,DATA_TS!$B$2:$B$20001,Kalkulasi!$B$877),SUMIFS(DATA_TS!$N$2:$N$20001,DATA_TS!$A$2:$A$20001,$A884,DATA_TS!$C$2:$C$20001,O$880,DATA_TS!$B$2:$B$20001,Kalkulasi!$B$877)))</f>
        <v/>
      </c>
      <c r="AI884">
        <f>IF($A884="",0,IF(Kalkulasi!$B$876="OB",SUMIFS(DATA_TS!$M$2:$M$20001,DATA_TS!$A$2:$A$20001,$A884,DATA_TS!$C$2:$C$20001,P$880,DATA_TS!$B$2:$B$20001,Kalkulasi!$B$877),SUMIFS(DATA_TS!$N$2:$N$20001,DATA_TS!$A$2:$A$20001,$A884,DATA_TS!$C$2:$C$20001,P$880,DATA_TS!$B$2:$B$20001,Kalkulasi!$B$877)))</f>
        <v/>
      </c>
      <c r="AJ884">
        <f>IF($A884="",0,IF(Kalkulasi!$B$876="OB",SUMIFS(DATA_TS!$M$2:$M$20001,DATA_TS!$A$2:$A$20001,$A884,DATA_TS!$C$2:$C$20001,Q$880,DATA_TS!$B$2:$B$20001,Kalkulasi!$B$877),SUMIFS(DATA_TS!$N$2:$N$20001,DATA_TS!$A$2:$A$20001,$A884,DATA_TS!$C$2:$C$20001,Q$880,DATA_TS!$B$2:$B$20001,Kalkulasi!$B$877)))</f>
        <v/>
      </c>
      <c r="AK884">
        <f>IF($A884="",0,IF(Kalkulasi!$B$876="OB",SUMIFS(DATA_TS!$M$2:$M$20001,DATA_TS!$A$2:$A$20001,$A884,DATA_TS!$C$2:$C$20001,R$880,DATA_TS!$B$2:$B$20001,Kalkulasi!$B$877),SUMIFS(DATA_TS!$N$2:$N$20001,DATA_TS!$A$2:$A$20001,$A884,DATA_TS!$C$2:$C$20001,R$880,DATA_TS!$B$2:$B$20001,Kalkulasi!$B$877)))</f>
        <v/>
      </c>
      <c r="AL884">
        <f>IF($A884="",0,IF(Kalkulasi!$B$876="OB",SUMIFS(DATA_TS!$M$2:$M$20001,DATA_TS!$A$2:$A$20001,$A884,DATA_TS!$C$2:$C$20001,S$880,DATA_TS!$B$2:$B$20001,Kalkulasi!$B$877),SUMIFS(DATA_TS!$N$2:$N$20001,DATA_TS!$A$2:$A$20001,$A884,DATA_TS!$C$2:$C$20001,S$880,DATA_TS!$B$2:$B$20001,Kalkulasi!$B$877)))</f>
        <v/>
      </c>
      <c r="AM884">
        <f>SUM(U884:AL884)</f>
        <v/>
      </c>
      <c r="AN884">
        <f>IF(OR(U884=0,B884=0),"",B884/U884)</f>
        <v/>
      </c>
      <c r="AO884">
        <f>IF(OR(V884=0,C884=0),"",C884/V884)</f>
        <v/>
      </c>
      <c r="AP884">
        <f>IF(OR(W884=0,D884=0),"",D884/W884)</f>
        <v/>
      </c>
      <c r="AQ884">
        <f>IF(OR(X884=0,E884=0),"",E884/X884)</f>
        <v/>
      </c>
      <c r="AR884">
        <f>IF(OR(Y884=0,F884=0),"",F884/Y884)</f>
        <v/>
      </c>
      <c r="AS884">
        <f>IF(OR(Z884=0,G884=0),"",G884/Z884)</f>
        <v/>
      </c>
      <c r="AT884">
        <f>IF(OR(AA884=0,H884=0),"",H884/AA884)</f>
        <v/>
      </c>
      <c r="AU884">
        <f>IF(OR(AB884=0,I884=0),"",I884/AB884)</f>
        <v/>
      </c>
      <c r="AV884">
        <f>IF(OR(AC884=0,J884=0),"",J884/AC884)</f>
        <v/>
      </c>
      <c r="AW884">
        <f>IF(OR(AD884=0,K884=0),"",K884/AD884)</f>
        <v/>
      </c>
      <c r="AX884">
        <f>IF(OR(AE884=0,L884=0),"",L884/AE884)</f>
        <v/>
      </c>
      <c r="AY884">
        <f>IF(OR(AF884=0,M884=0),"",M884/AF884)</f>
        <v/>
      </c>
      <c r="AZ884">
        <f>IF(OR(AG884=0,N884=0),"",N884/AG884)</f>
        <v/>
      </c>
      <c r="BA884">
        <f>IF(OR(AH884=0,O884=0),"",O884/AH884)</f>
        <v/>
      </c>
      <c r="BB884">
        <f>IF(OR(AI884=0,P884=0),"",P884/AI884)</f>
        <v/>
      </c>
      <c r="BC884">
        <f>IF(OR(AJ884=0,Q884=0),"",Q884/AJ884)</f>
        <v/>
      </c>
      <c r="BD884">
        <f>IF(OR(AK884=0,R884=0),"",R884/AK884)</f>
        <v/>
      </c>
      <c r="BE884">
        <f>IF(OR(AL884=0,S884=0),"",S884/AL884)</f>
        <v/>
      </c>
      <c r="BF884">
        <f>IF(AM884=0,NA(),T884/AM884)</f>
        <v/>
      </c>
      <c r="BG884" t="n">
        <v>4</v>
      </c>
      <c r="BH884">
        <f>IF(AM884=0,"",T884/AM884)</f>
        <v/>
      </c>
      <c r="BI884">
        <f>IF($A884="","",TEXT($A884,"d"))</f>
        <v/>
      </c>
    </row>
    <row r="885">
      <c r="A885" s="199">
        <f>IF(Kalkulasi!$B$873+4&gt;Kalkulasi!$B$874,"",Kalkulasi!$B$873+4)</f>
        <v/>
      </c>
      <c r="B885">
        <f>IF(OR($A885="",U885=0),0,IF(Kalkulasi!$B$876="OB",SUMIFS(DATA_TS!$Q$2:$Q$20001,DATA_TS!$A$2:$A$20001,$A885,DATA_TS!$C$2:$C$20001,B$880,DATA_TS!$B$2:$B$20001,Kalkulasi!$B$877),SUMIFS(DATA_TS!$R$2:$R$20001,DATA_TS!$A$2:$A$20001,$A885,DATA_TS!$C$2:$C$20001,B$880,DATA_TS!$B$2:$B$20001,Kalkulasi!$B$877)))</f>
        <v/>
      </c>
      <c r="C885">
        <f>IF(OR($A885="",V885=0),0,IF(Kalkulasi!$B$876="OB",SUMIFS(DATA_TS!$Q$2:$Q$20001,DATA_TS!$A$2:$A$20001,$A885,DATA_TS!$C$2:$C$20001,C$880,DATA_TS!$B$2:$B$20001,Kalkulasi!$B$877),SUMIFS(DATA_TS!$R$2:$R$20001,DATA_TS!$A$2:$A$20001,$A885,DATA_TS!$C$2:$C$20001,C$880,DATA_TS!$B$2:$B$20001,Kalkulasi!$B$877)))</f>
        <v/>
      </c>
      <c r="D885">
        <f>IF(OR($A885="",W885=0),0,IF(Kalkulasi!$B$876="OB",SUMIFS(DATA_TS!$Q$2:$Q$20001,DATA_TS!$A$2:$A$20001,$A885,DATA_TS!$C$2:$C$20001,D$880,DATA_TS!$B$2:$B$20001,Kalkulasi!$B$877),SUMIFS(DATA_TS!$R$2:$R$20001,DATA_TS!$A$2:$A$20001,$A885,DATA_TS!$C$2:$C$20001,D$880,DATA_TS!$B$2:$B$20001,Kalkulasi!$B$877)))</f>
        <v/>
      </c>
      <c r="E885">
        <f>IF(OR($A885="",X885=0),0,IF(Kalkulasi!$B$876="OB",SUMIFS(DATA_TS!$Q$2:$Q$20001,DATA_TS!$A$2:$A$20001,$A885,DATA_TS!$C$2:$C$20001,E$880,DATA_TS!$B$2:$B$20001,Kalkulasi!$B$877),SUMIFS(DATA_TS!$R$2:$R$20001,DATA_TS!$A$2:$A$20001,$A885,DATA_TS!$C$2:$C$20001,E$880,DATA_TS!$B$2:$B$20001,Kalkulasi!$B$877)))</f>
        <v/>
      </c>
      <c r="F885">
        <f>IF(OR($A885="",Y885=0),0,IF(Kalkulasi!$B$876="OB",SUMIFS(DATA_TS!$Q$2:$Q$20001,DATA_TS!$A$2:$A$20001,$A885,DATA_TS!$C$2:$C$20001,F$880,DATA_TS!$B$2:$B$20001,Kalkulasi!$B$877),SUMIFS(DATA_TS!$R$2:$R$20001,DATA_TS!$A$2:$A$20001,$A885,DATA_TS!$C$2:$C$20001,F$880,DATA_TS!$B$2:$B$20001,Kalkulasi!$B$877)))</f>
        <v/>
      </c>
      <c r="G885">
        <f>IF(OR($A885="",Z885=0),0,IF(Kalkulasi!$B$876="OB",SUMIFS(DATA_TS!$Q$2:$Q$20001,DATA_TS!$A$2:$A$20001,$A885,DATA_TS!$C$2:$C$20001,G$880,DATA_TS!$B$2:$B$20001,Kalkulasi!$B$877),SUMIFS(DATA_TS!$R$2:$R$20001,DATA_TS!$A$2:$A$20001,$A885,DATA_TS!$C$2:$C$20001,G$880,DATA_TS!$B$2:$B$20001,Kalkulasi!$B$877)))</f>
        <v/>
      </c>
      <c r="H885">
        <f>IF(OR($A885="",AA885=0),0,IF(Kalkulasi!$B$876="OB",SUMIFS(DATA_TS!$Q$2:$Q$20001,DATA_TS!$A$2:$A$20001,$A885,DATA_TS!$C$2:$C$20001,H$880,DATA_TS!$B$2:$B$20001,Kalkulasi!$B$877),SUMIFS(DATA_TS!$R$2:$R$20001,DATA_TS!$A$2:$A$20001,$A885,DATA_TS!$C$2:$C$20001,H$880,DATA_TS!$B$2:$B$20001,Kalkulasi!$B$877)))</f>
        <v/>
      </c>
      <c r="I885">
        <f>IF(OR($A885="",AB885=0),0,IF(Kalkulasi!$B$876="OB",SUMIFS(DATA_TS!$Q$2:$Q$20001,DATA_TS!$A$2:$A$20001,$A885,DATA_TS!$C$2:$C$20001,I$880,DATA_TS!$B$2:$B$20001,Kalkulasi!$B$877),SUMIFS(DATA_TS!$R$2:$R$20001,DATA_TS!$A$2:$A$20001,$A885,DATA_TS!$C$2:$C$20001,I$880,DATA_TS!$B$2:$B$20001,Kalkulasi!$B$877)))</f>
        <v/>
      </c>
      <c r="J885">
        <f>IF(OR($A885="",AC885=0),0,IF(Kalkulasi!$B$876="OB",SUMIFS(DATA_TS!$Q$2:$Q$20001,DATA_TS!$A$2:$A$20001,$A885,DATA_TS!$C$2:$C$20001,J$880,DATA_TS!$B$2:$B$20001,Kalkulasi!$B$877),SUMIFS(DATA_TS!$R$2:$R$20001,DATA_TS!$A$2:$A$20001,$A885,DATA_TS!$C$2:$C$20001,J$880,DATA_TS!$B$2:$B$20001,Kalkulasi!$B$877)))</f>
        <v/>
      </c>
      <c r="K885">
        <f>IF(OR($A885="",AD885=0),0,IF(Kalkulasi!$B$876="OB",SUMIFS(DATA_TS!$Q$2:$Q$20001,DATA_TS!$A$2:$A$20001,$A885,DATA_TS!$C$2:$C$20001,K$880,DATA_TS!$B$2:$B$20001,Kalkulasi!$B$877),SUMIFS(DATA_TS!$R$2:$R$20001,DATA_TS!$A$2:$A$20001,$A885,DATA_TS!$C$2:$C$20001,K$880,DATA_TS!$B$2:$B$20001,Kalkulasi!$B$877)))</f>
        <v/>
      </c>
      <c r="L885">
        <f>IF(OR($A885="",AE885=0),0,IF(Kalkulasi!$B$876="OB",SUMIFS(DATA_TS!$Q$2:$Q$20001,DATA_TS!$A$2:$A$20001,$A885,DATA_TS!$C$2:$C$20001,L$880,DATA_TS!$B$2:$B$20001,Kalkulasi!$B$877),SUMIFS(DATA_TS!$R$2:$R$20001,DATA_TS!$A$2:$A$20001,$A885,DATA_TS!$C$2:$C$20001,L$880,DATA_TS!$B$2:$B$20001,Kalkulasi!$B$877)))</f>
        <v/>
      </c>
      <c r="M885">
        <f>IF(OR($A885="",AF885=0),0,IF(Kalkulasi!$B$876="OB",SUMIFS(DATA_TS!$Q$2:$Q$20001,DATA_TS!$A$2:$A$20001,$A885,DATA_TS!$C$2:$C$20001,M$880,DATA_TS!$B$2:$B$20001,Kalkulasi!$B$877),SUMIFS(DATA_TS!$R$2:$R$20001,DATA_TS!$A$2:$A$20001,$A885,DATA_TS!$C$2:$C$20001,M$880,DATA_TS!$B$2:$B$20001,Kalkulasi!$B$877)))</f>
        <v/>
      </c>
      <c r="N885">
        <f>IF(OR($A885="",AG885=0),0,IF(Kalkulasi!$B$876="OB",SUMIFS(DATA_TS!$Q$2:$Q$20001,DATA_TS!$A$2:$A$20001,$A885,DATA_TS!$C$2:$C$20001,N$880,DATA_TS!$B$2:$B$20001,Kalkulasi!$B$877),SUMIFS(DATA_TS!$R$2:$R$20001,DATA_TS!$A$2:$A$20001,$A885,DATA_TS!$C$2:$C$20001,N$880,DATA_TS!$B$2:$B$20001,Kalkulasi!$B$877)))</f>
        <v/>
      </c>
      <c r="O885">
        <f>IF(OR($A885="",AH885=0),0,IF(Kalkulasi!$B$876="OB",SUMIFS(DATA_TS!$Q$2:$Q$20001,DATA_TS!$A$2:$A$20001,$A885,DATA_TS!$C$2:$C$20001,O$880,DATA_TS!$B$2:$B$20001,Kalkulasi!$B$877),SUMIFS(DATA_TS!$R$2:$R$20001,DATA_TS!$A$2:$A$20001,$A885,DATA_TS!$C$2:$C$20001,O$880,DATA_TS!$B$2:$B$20001,Kalkulasi!$B$877)))</f>
        <v/>
      </c>
      <c r="P885">
        <f>IF(OR($A885="",AI885=0),0,IF(Kalkulasi!$B$876="OB",SUMIFS(DATA_TS!$Q$2:$Q$20001,DATA_TS!$A$2:$A$20001,$A885,DATA_TS!$C$2:$C$20001,P$880,DATA_TS!$B$2:$B$20001,Kalkulasi!$B$877),SUMIFS(DATA_TS!$R$2:$R$20001,DATA_TS!$A$2:$A$20001,$A885,DATA_TS!$C$2:$C$20001,P$880,DATA_TS!$B$2:$B$20001,Kalkulasi!$B$877)))</f>
        <v/>
      </c>
      <c r="Q885">
        <f>IF(OR($A885="",AJ885=0),0,IF(Kalkulasi!$B$876="OB",SUMIFS(DATA_TS!$Q$2:$Q$20001,DATA_TS!$A$2:$A$20001,$A885,DATA_TS!$C$2:$C$20001,Q$880,DATA_TS!$B$2:$B$20001,Kalkulasi!$B$877),SUMIFS(DATA_TS!$R$2:$R$20001,DATA_TS!$A$2:$A$20001,$A885,DATA_TS!$C$2:$C$20001,Q$880,DATA_TS!$B$2:$B$20001,Kalkulasi!$B$877)))</f>
        <v/>
      </c>
      <c r="R885">
        <f>IF(OR($A885="",AK885=0),0,IF(Kalkulasi!$B$876="OB",SUMIFS(DATA_TS!$Q$2:$Q$20001,DATA_TS!$A$2:$A$20001,$A885,DATA_TS!$C$2:$C$20001,R$880,DATA_TS!$B$2:$B$20001,Kalkulasi!$B$877),SUMIFS(DATA_TS!$R$2:$R$20001,DATA_TS!$A$2:$A$20001,$A885,DATA_TS!$C$2:$C$20001,R$880,DATA_TS!$B$2:$B$20001,Kalkulasi!$B$877)))</f>
        <v/>
      </c>
      <c r="S885">
        <f>IF(OR($A885="",AL885=0),0,IF(Kalkulasi!$B$876="OB",SUMIFS(DATA_TS!$Q$2:$Q$20001,DATA_TS!$A$2:$A$20001,$A885,DATA_TS!$C$2:$C$20001,S$880,DATA_TS!$B$2:$B$20001,Kalkulasi!$B$877),SUMIFS(DATA_TS!$R$2:$R$20001,DATA_TS!$A$2:$A$20001,$A885,DATA_TS!$C$2:$C$20001,S$880,DATA_TS!$B$2:$B$20001,Kalkulasi!$B$877)))</f>
        <v/>
      </c>
      <c r="T885">
        <f>SUM(B885:S885)</f>
        <v/>
      </c>
      <c r="U885">
        <f>IF($A885="",0,IF(Kalkulasi!$B$876="OB",SUMIFS(DATA_TS!$M$2:$M$20001,DATA_TS!$A$2:$A$20001,$A885,DATA_TS!$C$2:$C$20001,B$880,DATA_TS!$B$2:$B$20001,Kalkulasi!$B$877),SUMIFS(DATA_TS!$N$2:$N$20001,DATA_TS!$A$2:$A$20001,$A885,DATA_TS!$C$2:$C$20001,B$880,DATA_TS!$B$2:$B$20001,Kalkulasi!$B$877)))</f>
        <v/>
      </c>
      <c r="V885">
        <f>IF($A885="",0,IF(Kalkulasi!$B$876="OB",SUMIFS(DATA_TS!$M$2:$M$20001,DATA_TS!$A$2:$A$20001,$A885,DATA_TS!$C$2:$C$20001,C$880,DATA_TS!$B$2:$B$20001,Kalkulasi!$B$877),SUMIFS(DATA_TS!$N$2:$N$20001,DATA_TS!$A$2:$A$20001,$A885,DATA_TS!$C$2:$C$20001,C$880,DATA_TS!$B$2:$B$20001,Kalkulasi!$B$877)))</f>
        <v/>
      </c>
      <c r="W885">
        <f>IF($A885="",0,IF(Kalkulasi!$B$876="OB",SUMIFS(DATA_TS!$M$2:$M$20001,DATA_TS!$A$2:$A$20001,$A885,DATA_TS!$C$2:$C$20001,D$880,DATA_TS!$B$2:$B$20001,Kalkulasi!$B$877),SUMIFS(DATA_TS!$N$2:$N$20001,DATA_TS!$A$2:$A$20001,$A885,DATA_TS!$C$2:$C$20001,D$880,DATA_TS!$B$2:$B$20001,Kalkulasi!$B$877)))</f>
        <v/>
      </c>
      <c r="X885">
        <f>IF($A885="",0,IF(Kalkulasi!$B$876="OB",SUMIFS(DATA_TS!$M$2:$M$20001,DATA_TS!$A$2:$A$20001,$A885,DATA_TS!$C$2:$C$20001,E$880,DATA_TS!$B$2:$B$20001,Kalkulasi!$B$877),SUMIFS(DATA_TS!$N$2:$N$20001,DATA_TS!$A$2:$A$20001,$A885,DATA_TS!$C$2:$C$20001,E$880,DATA_TS!$B$2:$B$20001,Kalkulasi!$B$877)))</f>
        <v/>
      </c>
      <c r="Y885">
        <f>IF($A885="",0,IF(Kalkulasi!$B$876="OB",SUMIFS(DATA_TS!$M$2:$M$20001,DATA_TS!$A$2:$A$20001,$A885,DATA_TS!$C$2:$C$20001,F$880,DATA_TS!$B$2:$B$20001,Kalkulasi!$B$877),SUMIFS(DATA_TS!$N$2:$N$20001,DATA_TS!$A$2:$A$20001,$A885,DATA_TS!$C$2:$C$20001,F$880,DATA_TS!$B$2:$B$20001,Kalkulasi!$B$877)))</f>
        <v/>
      </c>
      <c r="Z885">
        <f>IF($A885="",0,IF(Kalkulasi!$B$876="OB",SUMIFS(DATA_TS!$M$2:$M$20001,DATA_TS!$A$2:$A$20001,$A885,DATA_TS!$C$2:$C$20001,G$880,DATA_TS!$B$2:$B$20001,Kalkulasi!$B$877),SUMIFS(DATA_TS!$N$2:$N$20001,DATA_TS!$A$2:$A$20001,$A885,DATA_TS!$C$2:$C$20001,G$880,DATA_TS!$B$2:$B$20001,Kalkulasi!$B$877)))</f>
        <v/>
      </c>
      <c r="AA885">
        <f>IF($A885="",0,IF(Kalkulasi!$B$876="OB",SUMIFS(DATA_TS!$M$2:$M$20001,DATA_TS!$A$2:$A$20001,$A885,DATA_TS!$C$2:$C$20001,H$880,DATA_TS!$B$2:$B$20001,Kalkulasi!$B$877),SUMIFS(DATA_TS!$N$2:$N$20001,DATA_TS!$A$2:$A$20001,$A885,DATA_TS!$C$2:$C$20001,H$880,DATA_TS!$B$2:$B$20001,Kalkulasi!$B$877)))</f>
        <v/>
      </c>
      <c r="AB885">
        <f>IF($A885="",0,IF(Kalkulasi!$B$876="OB",SUMIFS(DATA_TS!$M$2:$M$20001,DATA_TS!$A$2:$A$20001,$A885,DATA_TS!$C$2:$C$20001,I$880,DATA_TS!$B$2:$B$20001,Kalkulasi!$B$877),SUMIFS(DATA_TS!$N$2:$N$20001,DATA_TS!$A$2:$A$20001,$A885,DATA_TS!$C$2:$C$20001,I$880,DATA_TS!$B$2:$B$20001,Kalkulasi!$B$877)))</f>
        <v/>
      </c>
      <c r="AC885">
        <f>IF($A885="",0,IF(Kalkulasi!$B$876="OB",SUMIFS(DATA_TS!$M$2:$M$20001,DATA_TS!$A$2:$A$20001,$A885,DATA_TS!$C$2:$C$20001,J$880,DATA_TS!$B$2:$B$20001,Kalkulasi!$B$877),SUMIFS(DATA_TS!$N$2:$N$20001,DATA_TS!$A$2:$A$20001,$A885,DATA_TS!$C$2:$C$20001,J$880,DATA_TS!$B$2:$B$20001,Kalkulasi!$B$877)))</f>
        <v/>
      </c>
      <c r="AD885">
        <f>IF($A885="",0,IF(Kalkulasi!$B$876="OB",SUMIFS(DATA_TS!$M$2:$M$20001,DATA_TS!$A$2:$A$20001,$A885,DATA_TS!$C$2:$C$20001,K$880,DATA_TS!$B$2:$B$20001,Kalkulasi!$B$877),SUMIFS(DATA_TS!$N$2:$N$20001,DATA_TS!$A$2:$A$20001,$A885,DATA_TS!$C$2:$C$20001,K$880,DATA_TS!$B$2:$B$20001,Kalkulasi!$B$877)))</f>
        <v/>
      </c>
      <c r="AE885">
        <f>IF($A885="",0,IF(Kalkulasi!$B$876="OB",SUMIFS(DATA_TS!$M$2:$M$20001,DATA_TS!$A$2:$A$20001,$A885,DATA_TS!$C$2:$C$20001,L$880,DATA_TS!$B$2:$B$20001,Kalkulasi!$B$877),SUMIFS(DATA_TS!$N$2:$N$20001,DATA_TS!$A$2:$A$20001,$A885,DATA_TS!$C$2:$C$20001,L$880,DATA_TS!$B$2:$B$20001,Kalkulasi!$B$877)))</f>
        <v/>
      </c>
      <c r="AF885">
        <f>IF($A885="",0,IF(Kalkulasi!$B$876="OB",SUMIFS(DATA_TS!$M$2:$M$20001,DATA_TS!$A$2:$A$20001,$A885,DATA_TS!$C$2:$C$20001,M$880,DATA_TS!$B$2:$B$20001,Kalkulasi!$B$877),SUMIFS(DATA_TS!$N$2:$N$20001,DATA_TS!$A$2:$A$20001,$A885,DATA_TS!$C$2:$C$20001,M$880,DATA_TS!$B$2:$B$20001,Kalkulasi!$B$877)))</f>
        <v/>
      </c>
      <c r="AG885">
        <f>IF($A885="",0,IF(Kalkulasi!$B$876="OB",SUMIFS(DATA_TS!$M$2:$M$20001,DATA_TS!$A$2:$A$20001,$A885,DATA_TS!$C$2:$C$20001,N$880,DATA_TS!$B$2:$B$20001,Kalkulasi!$B$877),SUMIFS(DATA_TS!$N$2:$N$20001,DATA_TS!$A$2:$A$20001,$A885,DATA_TS!$C$2:$C$20001,N$880,DATA_TS!$B$2:$B$20001,Kalkulasi!$B$877)))</f>
        <v/>
      </c>
      <c r="AH885">
        <f>IF($A885="",0,IF(Kalkulasi!$B$876="OB",SUMIFS(DATA_TS!$M$2:$M$20001,DATA_TS!$A$2:$A$20001,$A885,DATA_TS!$C$2:$C$20001,O$880,DATA_TS!$B$2:$B$20001,Kalkulasi!$B$877),SUMIFS(DATA_TS!$N$2:$N$20001,DATA_TS!$A$2:$A$20001,$A885,DATA_TS!$C$2:$C$20001,O$880,DATA_TS!$B$2:$B$20001,Kalkulasi!$B$877)))</f>
        <v/>
      </c>
      <c r="AI885">
        <f>IF($A885="",0,IF(Kalkulasi!$B$876="OB",SUMIFS(DATA_TS!$M$2:$M$20001,DATA_TS!$A$2:$A$20001,$A885,DATA_TS!$C$2:$C$20001,P$880,DATA_TS!$B$2:$B$20001,Kalkulasi!$B$877),SUMIFS(DATA_TS!$N$2:$N$20001,DATA_TS!$A$2:$A$20001,$A885,DATA_TS!$C$2:$C$20001,P$880,DATA_TS!$B$2:$B$20001,Kalkulasi!$B$877)))</f>
        <v/>
      </c>
      <c r="AJ885">
        <f>IF($A885="",0,IF(Kalkulasi!$B$876="OB",SUMIFS(DATA_TS!$M$2:$M$20001,DATA_TS!$A$2:$A$20001,$A885,DATA_TS!$C$2:$C$20001,Q$880,DATA_TS!$B$2:$B$20001,Kalkulasi!$B$877),SUMIFS(DATA_TS!$N$2:$N$20001,DATA_TS!$A$2:$A$20001,$A885,DATA_TS!$C$2:$C$20001,Q$880,DATA_TS!$B$2:$B$20001,Kalkulasi!$B$877)))</f>
        <v/>
      </c>
      <c r="AK885">
        <f>IF($A885="",0,IF(Kalkulasi!$B$876="OB",SUMIFS(DATA_TS!$M$2:$M$20001,DATA_TS!$A$2:$A$20001,$A885,DATA_TS!$C$2:$C$20001,R$880,DATA_TS!$B$2:$B$20001,Kalkulasi!$B$877),SUMIFS(DATA_TS!$N$2:$N$20001,DATA_TS!$A$2:$A$20001,$A885,DATA_TS!$C$2:$C$20001,R$880,DATA_TS!$B$2:$B$20001,Kalkulasi!$B$877)))</f>
        <v/>
      </c>
      <c r="AL885">
        <f>IF($A885="",0,IF(Kalkulasi!$B$876="OB",SUMIFS(DATA_TS!$M$2:$M$20001,DATA_TS!$A$2:$A$20001,$A885,DATA_TS!$C$2:$C$20001,S$880,DATA_TS!$B$2:$B$20001,Kalkulasi!$B$877),SUMIFS(DATA_TS!$N$2:$N$20001,DATA_TS!$A$2:$A$20001,$A885,DATA_TS!$C$2:$C$20001,S$880,DATA_TS!$B$2:$B$20001,Kalkulasi!$B$877)))</f>
        <v/>
      </c>
      <c r="AM885">
        <f>SUM(U885:AL885)</f>
        <v/>
      </c>
      <c r="AN885">
        <f>IF(OR(U885=0,B885=0),"",B885/U885)</f>
        <v/>
      </c>
      <c r="AO885">
        <f>IF(OR(V885=0,C885=0),"",C885/V885)</f>
        <v/>
      </c>
      <c r="AP885">
        <f>IF(OR(W885=0,D885=0),"",D885/W885)</f>
        <v/>
      </c>
      <c r="AQ885">
        <f>IF(OR(X885=0,E885=0),"",E885/X885)</f>
        <v/>
      </c>
      <c r="AR885">
        <f>IF(OR(Y885=0,F885=0),"",F885/Y885)</f>
        <v/>
      </c>
      <c r="AS885">
        <f>IF(OR(Z885=0,G885=0),"",G885/Z885)</f>
        <v/>
      </c>
      <c r="AT885">
        <f>IF(OR(AA885=0,H885=0),"",H885/AA885)</f>
        <v/>
      </c>
      <c r="AU885">
        <f>IF(OR(AB885=0,I885=0),"",I885/AB885)</f>
        <v/>
      </c>
      <c r="AV885">
        <f>IF(OR(AC885=0,J885=0),"",J885/AC885)</f>
        <v/>
      </c>
      <c r="AW885">
        <f>IF(OR(AD885=0,K885=0),"",K885/AD885)</f>
        <v/>
      </c>
      <c r="AX885">
        <f>IF(OR(AE885=0,L885=0),"",L885/AE885)</f>
        <v/>
      </c>
      <c r="AY885">
        <f>IF(OR(AF885=0,M885=0),"",M885/AF885)</f>
        <v/>
      </c>
      <c r="AZ885">
        <f>IF(OR(AG885=0,N885=0),"",N885/AG885)</f>
        <v/>
      </c>
      <c r="BA885">
        <f>IF(OR(AH885=0,O885=0),"",O885/AH885)</f>
        <v/>
      </c>
      <c r="BB885">
        <f>IF(OR(AI885=0,P885=0),"",P885/AI885)</f>
        <v/>
      </c>
      <c r="BC885">
        <f>IF(OR(AJ885=0,Q885=0),"",Q885/AJ885)</f>
        <v/>
      </c>
      <c r="BD885">
        <f>IF(OR(AK885=0,R885=0),"",R885/AK885)</f>
        <v/>
      </c>
      <c r="BE885">
        <f>IF(OR(AL885=0,S885=0),"",S885/AL885)</f>
        <v/>
      </c>
      <c r="BF885">
        <f>IF(AM885=0,NA(),T885/AM885)</f>
        <v/>
      </c>
      <c r="BG885" t="n">
        <v>5</v>
      </c>
      <c r="BH885">
        <f>IF(AM885=0,"",T885/AM885)</f>
        <v/>
      </c>
      <c r="BI885">
        <f>IF($A885="","",TEXT($A885,"d"))</f>
        <v/>
      </c>
    </row>
    <row r="886">
      <c r="A886" s="199">
        <f>IF(Kalkulasi!$B$873+5&gt;Kalkulasi!$B$874,"",Kalkulasi!$B$873+5)</f>
        <v/>
      </c>
      <c r="B886">
        <f>IF(OR($A886="",U886=0),0,IF(Kalkulasi!$B$876="OB",SUMIFS(DATA_TS!$Q$2:$Q$20001,DATA_TS!$A$2:$A$20001,$A886,DATA_TS!$C$2:$C$20001,B$880,DATA_TS!$B$2:$B$20001,Kalkulasi!$B$877),SUMIFS(DATA_TS!$R$2:$R$20001,DATA_TS!$A$2:$A$20001,$A886,DATA_TS!$C$2:$C$20001,B$880,DATA_TS!$B$2:$B$20001,Kalkulasi!$B$877)))</f>
        <v/>
      </c>
      <c r="C886">
        <f>IF(OR($A886="",V886=0),0,IF(Kalkulasi!$B$876="OB",SUMIFS(DATA_TS!$Q$2:$Q$20001,DATA_TS!$A$2:$A$20001,$A886,DATA_TS!$C$2:$C$20001,C$880,DATA_TS!$B$2:$B$20001,Kalkulasi!$B$877),SUMIFS(DATA_TS!$R$2:$R$20001,DATA_TS!$A$2:$A$20001,$A886,DATA_TS!$C$2:$C$20001,C$880,DATA_TS!$B$2:$B$20001,Kalkulasi!$B$877)))</f>
        <v/>
      </c>
      <c r="D886">
        <f>IF(OR($A886="",W886=0),0,IF(Kalkulasi!$B$876="OB",SUMIFS(DATA_TS!$Q$2:$Q$20001,DATA_TS!$A$2:$A$20001,$A886,DATA_TS!$C$2:$C$20001,D$880,DATA_TS!$B$2:$B$20001,Kalkulasi!$B$877),SUMIFS(DATA_TS!$R$2:$R$20001,DATA_TS!$A$2:$A$20001,$A886,DATA_TS!$C$2:$C$20001,D$880,DATA_TS!$B$2:$B$20001,Kalkulasi!$B$877)))</f>
        <v/>
      </c>
      <c r="E886">
        <f>IF(OR($A886="",X886=0),0,IF(Kalkulasi!$B$876="OB",SUMIFS(DATA_TS!$Q$2:$Q$20001,DATA_TS!$A$2:$A$20001,$A886,DATA_TS!$C$2:$C$20001,E$880,DATA_TS!$B$2:$B$20001,Kalkulasi!$B$877),SUMIFS(DATA_TS!$R$2:$R$20001,DATA_TS!$A$2:$A$20001,$A886,DATA_TS!$C$2:$C$20001,E$880,DATA_TS!$B$2:$B$20001,Kalkulasi!$B$877)))</f>
        <v/>
      </c>
      <c r="F886">
        <f>IF(OR($A886="",Y886=0),0,IF(Kalkulasi!$B$876="OB",SUMIFS(DATA_TS!$Q$2:$Q$20001,DATA_TS!$A$2:$A$20001,$A886,DATA_TS!$C$2:$C$20001,F$880,DATA_TS!$B$2:$B$20001,Kalkulasi!$B$877),SUMIFS(DATA_TS!$R$2:$R$20001,DATA_TS!$A$2:$A$20001,$A886,DATA_TS!$C$2:$C$20001,F$880,DATA_TS!$B$2:$B$20001,Kalkulasi!$B$877)))</f>
        <v/>
      </c>
      <c r="G886">
        <f>IF(OR($A886="",Z886=0),0,IF(Kalkulasi!$B$876="OB",SUMIFS(DATA_TS!$Q$2:$Q$20001,DATA_TS!$A$2:$A$20001,$A886,DATA_TS!$C$2:$C$20001,G$880,DATA_TS!$B$2:$B$20001,Kalkulasi!$B$877),SUMIFS(DATA_TS!$R$2:$R$20001,DATA_TS!$A$2:$A$20001,$A886,DATA_TS!$C$2:$C$20001,G$880,DATA_TS!$B$2:$B$20001,Kalkulasi!$B$877)))</f>
        <v/>
      </c>
      <c r="H886">
        <f>IF(OR($A886="",AA886=0),0,IF(Kalkulasi!$B$876="OB",SUMIFS(DATA_TS!$Q$2:$Q$20001,DATA_TS!$A$2:$A$20001,$A886,DATA_TS!$C$2:$C$20001,H$880,DATA_TS!$B$2:$B$20001,Kalkulasi!$B$877),SUMIFS(DATA_TS!$R$2:$R$20001,DATA_TS!$A$2:$A$20001,$A886,DATA_TS!$C$2:$C$20001,H$880,DATA_TS!$B$2:$B$20001,Kalkulasi!$B$877)))</f>
        <v/>
      </c>
      <c r="I886">
        <f>IF(OR($A886="",AB886=0),0,IF(Kalkulasi!$B$876="OB",SUMIFS(DATA_TS!$Q$2:$Q$20001,DATA_TS!$A$2:$A$20001,$A886,DATA_TS!$C$2:$C$20001,I$880,DATA_TS!$B$2:$B$20001,Kalkulasi!$B$877),SUMIFS(DATA_TS!$R$2:$R$20001,DATA_TS!$A$2:$A$20001,$A886,DATA_TS!$C$2:$C$20001,I$880,DATA_TS!$B$2:$B$20001,Kalkulasi!$B$877)))</f>
        <v/>
      </c>
      <c r="J886">
        <f>IF(OR($A886="",AC886=0),0,IF(Kalkulasi!$B$876="OB",SUMIFS(DATA_TS!$Q$2:$Q$20001,DATA_TS!$A$2:$A$20001,$A886,DATA_TS!$C$2:$C$20001,J$880,DATA_TS!$B$2:$B$20001,Kalkulasi!$B$877),SUMIFS(DATA_TS!$R$2:$R$20001,DATA_TS!$A$2:$A$20001,$A886,DATA_TS!$C$2:$C$20001,J$880,DATA_TS!$B$2:$B$20001,Kalkulasi!$B$877)))</f>
        <v/>
      </c>
      <c r="K886">
        <f>IF(OR($A886="",AD886=0),0,IF(Kalkulasi!$B$876="OB",SUMIFS(DATA_TS!$Q$2:$Q$20001,DATA_TS!$A$2:$A$20001,$A886,DATA_TS!$C$2:$C$20001,K$880,DATA_TS!$B$2:$B$20001,Kalkulasi!$B$877),SUMIFS(DATA_TS!$R$2:$R$20001,DATA_TS!$A$2:$A$20001,$A886,DATA_TS!$C$2:$C$20001,K$880,DATA_TS!$B$2:$B$20001,Kalkulasi!$B$877)))</f>
        <v/>
      </c>
      <c r="L886">
        <f>IF(OR($A886="",AE886=0),0,IF(Kalkulasi!$B$876="OB",SUMIFS(DATA_TS!$Q$2:$Q$20001,DATA_TS!$A$2:$A$20001,$A886,DATA_TS!$C$2:$C$20001,L$880,DATA_TS!$B$2:$B$20001,Kalkulasi!$B$877),SUMIFS(DATA_TS!$R$2:$R$20001,DATA_TS!$A$2:$A$20001,$A886,DATA_TS!$C$2:$C$20001,L$880,DATA_TS!$B$2:$B$20001,Kalkulasi!$B$877)))</f>
        <v/>
      </c>
      <c r="M886">
        <f>IF(OR($A886="",AF886=0),0,IF(Kalkulasi!$B$876="OB",SUMIFS(DATA_TS!$Q$2:$Q$20001,DATA_TS!$A$2:$A$20001,$A886,DATA_TS!$C$2:$C$20001,M$880,DATA_TS!$B$2:$B$20001,Kalkulasi!$B$877),SUMIFS(DATA_TS!$R$2:$R$20001,DATA_TS!$A$2:$A$20001,$A886,DATA_TS!$C$2:$C$20001,M$880,DATA_TS!$B$2:$B$20001,Kalkulasi!$B$877)))</f>
        <v/>
      </c>
      <c r="N886">
        <f>IF(OR($A886="",AG886=0),0,IF(Kalkulasi!$B$876="OB",SUMIFS(DATA_TS!$Q$2:$Q$20001,DATA_TS!$A$2:$A$20001,$A886,DATA_TS!$C$2:$C$20001,N$880,DATA_TS!$B$2:$B$20001,Kalkulasi!$B$877),SUMIFS(DATA_TS!$R$2:$R$20001,DATA_TS!$A$2:$A$20001,$A886,DATA_TS!$C$2:$C$20001,N$880,DATA_TS!$B$2:$B$20001,Kalkulasi!$B$877)))</f>
        <v/>
      </c>
      <c r="O886">
        <f>IF(OR($A886="",AH886=0),0,IF(Kalkulasi!$B$876="OB",SUMIFS(DATA_TS!$Q$2:$Q$20001,DATA_TS!$A$2:$A$20001,$A886,DATA_TS!$C$2:$C$20001,O$880,DATA_TS!$B$2:$B$20001,Kalkulasi!$B$877),SUMIFS(DATA_TS!$R$2:$R$20001,DATA_TS!$A$2:$A$20001,$A886,DATA_TS!$C$2:$C$20001,O$880,DATA_TS!$B$2:$B$20001,Kalkulasi!$B$877)))</f>
        <v/>
      </c>
      <c r="P886">
        <f>IF(OR($A886="",AI886=0),0,IF(Kalkulasi!$B$876="OB",SUMIFS(DATA_TS!$Q$2:$Q$20001,DATA_TS!$A$2:$A$20001,$A886,DATA_TS!$C$2:$C$20001,P$880,DATA_TS!$B$2:$B$20001,Kalkulasi!$B$877),SUMIFS(DATA_TS!$R$2:$R$20001,DATA_TS!$A$2:$A$20001,$A886,DATA_TS!$C$2:$C$20001,P$880,DATA_TS!$B$2:$B$20001,Kalkulasi!$B$877)))</f>
        <v/>
      </c>
      <c r="Q886">
        <f>IF(OR($A886="",AJ886=0),0,IF(Kalkulasi!$B$876="OB",SUMIFS(DATA_TS!$Q$2:$Q$20001,DATA_TS!$A$2:$A$20001,$A886,DATA_TS!$C$2:$C$20001,Q$880,DATA_TS!$B$2:$B$20001,Kalkulasi!$B$877),SUMIFS(DATA_TS!$R$2:$R$20001,DATA_TS!$A$2:$A$20001,$A886,DATA_TS!$C$2:$C$20001,Q$880,DATA_TS!$B$2:$B$20001,Kalkulasi!$B$877)))</f>
        <v/>
      </c>
      <c r="R886">
        <f>IF(OR($A886="",AK886=0),0,IF(Kalkulasi!$B$876="OB",SUMIFS(DATA_TS!$Q$2:$Q$20001,DATA_TS!$A$2:$A$20001,$A886,DATA_TS!$C$2:$C$20001,R$880,DATA_TS!$B$2:$B$20001,Kalkulasi!$B$877),SUMIFS(DATA_TS!$R$2:$R$20001,DATA_TS!$A$2:$A$20001,$A886,DATA_TS!$C$2:$C$20001,R$880,DATA_TS!$B$2:$B$20001,Kalkulasi!$B$877)))</f>
        <v/>
      </c>
      <c r="S886">
        <f>IF(OR($A886="",AL886=0),0,IF(Kalkulasi!$B$876="OB",SUMIFS(DATA_TS!$Q$2:$Q$20001,DATA_TS!$A$2:$A$20001,$A886,DATA_TS!$C$2:$C$20001,S$880,DATA_TS!$B$2:$B$20001,Kalkulasi!$B$877),SUMIFS(DATA_TS!$R$2:$R$20001,DATA_TS!$A$2:$A$20001,$A886,DATA_TS!$C$2:$C$20001,S$880,DATA_TS!$B$2:$B$20001,Kalkulasi!$B$877)))</f>
        <v/>
      </c>
      <c r="T886">
        <f>SUM(B886:S886)</f>
        <v/>
      </c>
      <c r="U886">
        <f>IF($A886="",0,IF(Kalkulasi!$B$876="OB",SUMIFS(DATA_TS!$M$2:$M$20001,DATA_TS!$A$2:$A$20001,$A886,DATA_TS!$C$2:$C$20001,B$880,DATA_TS!$B$2:$B$20001,Kalkulasi!$B$877),SUMIFS(DATA_TS!$N$2:$N$20001,DATA_TS!$A$2:$A$20001,$A886,DATA_TS!$C$2:$C$20001,B$880,DATA_TS!$B$2:$B$20001,Kalkulasi!$B$877)))</f>
        <v/>
      </c>
      <c r="V886">
        <f>IF($A886="",0,IF(Kalkulasi!$B$876="OB",SUMIFS(DATA_TS!$M$2:$M$20001,DATA_TS!$A$2:$A$20001,$A886,DATA_TS!$C$2:$C$20001,C$880,DATA_TS!$B$2:$B$20001,Kalkulasi!$B$877),SUMIFS(DATA_TS!$N$2:$N$20001,DATA_TS!$A$2:$A$20001,$A886,DATA_TS!$C$2:$C$20001,C$880,DATA_TS!$B$2:$B$20001,Kalkulasi!$B$877)))</f>
        <v/>
      </c>
      <c r="W886">
        <f>IF($A886="",0,IF(Kalkulasi!$B$876="OB",SUMIFS(DATA_TS!$M$2:$M$20001,DATA_TS!$A$2:$A$20001,$A886,DATA_TS!$C$2:$C$20001,D$880,DATA_TS!$B$2:$B$20001,Kalkulasi!$B$877),SUMIFS(DATA_TS!$N$2:$N$20001,DATA_TS!$A$2:$A$20001,$A886,DATA_TS!$C$2:$C$20001,D$880,DATA_TS!$B$2:$B$20001,Kalkulasi!$B$877)))</f>
        <v/>
      </c>
      <c r="X886">
        <f>IF($A886="",0,IF(Kalkulasi!$B$876="OB",SUMIFS(DATA_TS!$M$2:$M$20001,DATA_TS!$A$2:$A$20001,$A886,DATA_TS!$C$2:$C$20001,E$880,DATA_TS!$B$2:$B$20001,Kalkulasi!$B$877),SUMIFS(DATA_TS!$N$2:$N$20001,DATA_TS!$A$2:$A$20001,$A886,DATA_TS!$C$2:$C$20001,E$880,DATA_TS!$B$2:$B$20001,Kalkulasi!$B$877)))</f>
        <v/>
      </c>
      <c r="Y886">
        <f>IF($A886="",0,IF(Kalkulasi!$B$876="OB",SUMIFS(DATA_TS!$M$2:$M$20001,DATA_TS!$A$2:$A$20001,$A886,DATA_TS!$C$2:$C$20001,F$880,DATA_TS!$B$2:$B$20001,Kalkulasi!$B$877),SUMIFS(DATA_TS!$N$2:$N$20001,DATA_TS!$A$2:$A$20001,$A886,DATA_TS!$C$2:$C$20001,F$880,DATA_TS!$B$2:$B$20001,Kalkulasi!$B$877)))</f>
        <v/>
      </c>
      <c r="Z886">
        <f>IF($A886="",0,IF(Kalkulasi!$B$876="OB",SUMIFS(DATA_TS!$M$2:$M$20001,DATA_TS!$A$2:$A$20001,$A886,DATA_TS!$C$2:$C$20001,G$880,DATA_TS!$B$2:$B$20001,Kalkulasi!$B$877),SUMIFS(DATA_TS!$N$2:$N$20001,DATA_TS!$A$2:$A$20001,$A886,DATA_TS!$C$2:$C$20001,G$880,DATA_TS!$B$2:$B$20001,Kalkulasi!$B$877)))</f>
        <v/>
      </c>
      <c r="AA886">
        <f>IF($A886="",0,IF(Kalkulasi!$B$876="OB",SUMIFS(DATA_TS!$M$2:$M$20001,DATA_TS!$A$2:$A$20001,$A886,DATA_TS!$C$2:$C$20001,H$880,DATA_TS!$B$2:$B$20001,Kalkulasi!$B$877),SUMIFS(DATA_TS!$N$2:$N$20001,DATA_TS!$A$2:$A$20001,$A886,DATA_TS!$C$2:$C$20001,H$880,DATA_TS!$B$2:$B$20001,Kalkulasi!$B$877)))</f>
        <v/>
      </c>
      <c r="AB886">
        <f>IF($A886="",0,IF(Kalkulasi!$B$876="OB",SUMIFS(DATA_TS!$M$2:$M$20001,DATA_TS!$A$2:$A$20001,$A886,DATA_TS!$C$2:$C$20001,I$880,DATA_TS!$B$2:$B$20001,Kalkulasi!$B$877),SUMIFS(DATA_TS!$N$2:$N$20001,DATA_TS!$A$2:$A$20001,$A886,DATA_TS!$C$2:$C$20001,I$880,DATA_TS!$B$2:$B$20001,Kalkulasi!$B$877)))</f>
        <v/>
      </c>
      <c r="AC886">
        <f>IF($A886="",0,IF(Kalkulasi!$B$876="OB",SUMIFS(DATA_TS!$M$2:$M$20001,DATA_TS!$A$2:$A$20001,$A886,DATA_TS!$C$2:$C$20001,J$880,DATA_TS!$B$2:$B$20001,Kalkulasi!$B$877),SUMIFS(DATA_TS!$N$2:$N$20001,DATA_TS!$A$2:$A$20001,$A886,DATA_TS!$C$2:$C$20001,J$880,DATA_TS!$B$2:$B$20001,Kalkulasi!$B$877)))</f>
        <v/>
      </c>
      <c r="AD886">
        <f>IF($A886="",0,IF(Kalkulasi!$B$876="OB",SUMIFS(DATA_TS!$M$2:$M$20001,DATA_TS!$A$2:$A$20001,$A886,DATA_TS!$C$2:$C$20001,K$880,DATA_TS!$B$2:$B$20001,Kalkulasi!$B$877),SUMIFS(DATA_TS!$N$2:$N$20001,DATA_TS!$A$2:$A$20001,$A886,DATA_TS!$C$2:$C$20001,K$880,DATA_TS!$B$2:$B$20001,Kalkulasi!$B$877)))</f>
        <v/>
      </c>
      <c r="AE886">
        <f>IF($A886="",0,IF(Kalkulasi!$B$876="OB",SUMIFS(DATA_TS!$M$2:$M$20001,DATA_TS!$A$2:$A$20001,$A886,DATA_TS!$C$2:$C$20001,L$880,DATA_TS!$B$2:$B$20001,Kalkulasi!$B$877),SUMIFS(DATA_TS!$N$2:$N$20001,DATA_TS!$A$2:$A$20001,$A886,DATA_TS!$C$2:$C$20001,L$880,DATA_TS!$B$2:$B$20001,Kalkulasi!$B$877)))</f>
        <v/>
      </c>
      <c r="AF886">
        <f>IF($A886="",0,IF(Kalkulasi!$B$876="OB",SUMIFS(DATA_TS!$M$2:$M$20001,DATA_TS!$A$2:$A$20001,$A886,DATA_TS!$C$2:$C$20001,M$880,DATA_TS!$B$2:$B$20001,Kalkulasi!$B$877),SUMIFS(DATA_TS!$N$2:$N$20001,DATA_TS!$A$2:$A$20001,$A886,DATA_TS!$C$2:$C$20001,M$880,DATA_TS!$B$2:$B$20001,Kalkulasi!$B$877)))</f>
        <v/>
      </c>
      <c r="AG886">
        <f>IF($A886="",0,IF(Kalkulasi!$B$876="OB",SUMIFS(DATA_TS!$M$2:$M$20001,DATA_TS!$A$2:$A$20001,$A886,DATA_TS!$C$2:$C$20001,N$880,DATA_TS!$B$2:$B$20001,Kalkulasi!$B$877),SUMIFS(DATA_TS!$N$2:$N$20001,DATA_TS!$A$2:$A$20001,$A886,DATA_TS!$C$2:$C$20001,N$880,DATA_TS!$B$2:$B$20001,Kalkulasi!$B$877)))</f>
        <v/>
      </c>
      <c r="AH886">
        <f>IF($A886="",0,IF(Kalkulasi!$B$876="OB",SUMIFS(DATA_TS!$M$2:$M$20001,DATA_TS!$A$2:$A$20001,$A886,DATA_TS!$C$2:$C$20001,O$880,DATA_TS!$B$2:$B$20001,Kalkulasi!$B$877),SUMIFS(DATA_TS!$N$2:$N$20001,DATA_TS!$A$2:$A$20001,$A886,DATA_TS!$C$2:$C$20001,O$880,DATA_TS!$B$2:$B$20001,Kalkulasi!$B$877)))</f>
        <v/>
      </c>
      <c r="AI886">
        <f>IF($A886="",0,IF(Kalkulasi!$B$876="OB",SUMIFS(DATA_TS!$M$2:$M$20001,DATA_TS!$A$2:$A$20001,$A886,DATA_TS!$C$2:$C$20001,P$880,DATA_TS!$B$2:$B$20001,Kalkulasi!$B$877),SUMIFS(DATA_TS!$N$2:$N$20001,DATA_TS!$A$2:$A$20001,$A886,DATA_TS!$C$2:$C$20001,P$880,DATA_TS!$B$2:$B$20001,Kalkulasi!$B$877)))</f>
        <v/>
      </c>
      <c r="AJ886">
        <f>IF($A886="",0,IF(Kalkulasi!$B$876="OB",SUMIFS(DATA_TS!$M$2:$M$20001,DATA_TS!$A$2:$A$20001,$A886,DATA_TS!$C$2:$C$20001,Q$880,DATA_TS!$B$2:$B$20001,Kalkulasi!$B$877),SUMIFS(DATA_TS!$N$2:$N$20001,DATA_TS!$A$2:$A$20001,$A886,DATA_TS!$C$2:$C$20001,Q$880,DATA_TS!$B$2:$B$20001,Kalkulasi!$B$877)))</f>
        <v/>
      </c>
      <c r="AK886">
        <f>IF($A886="",0,IF(Kalkulasi!$B$876="OB",SUMIFS(DATA_TS!$M$2:$M$20001,DATA_TS!$A$2:$A$20001,$A886,DATA_TS!$C$2:$C$20001,R$880,DATA_TS!$B$2:$B$20001,Kalkulasi!$B$877),SUMIFS(DATA_TS!$N$2:$N$20001,DATA_TS!$A$2:$A$20001,$A886,DATA_TS!$C$2:$C$20001,R$880,DATA_TS!$B$2:$B$20001,Kalkulasi!$B$877)))</f>
        <v/>
      </c>
      <c r="AL886">
        <f>IF($A886="",0,IF(Kalkulasi!$B$876="OB",SUMIFS(DATA_TS!$M$2:$M$20001,DATA_TS!$A$2:$A$20001,$A886,DATA_TS!$C$2:$C$20001,S$880,DATA_TS!$B$2:$B$20001,Kalkulasi!$B$877),SUMIFS(DATA_TS!$N$2:$N$20001,DATA_TS!$A$2:$A$20001,$A886,DATA_TS!$C$2:$C$20001,S$880,DATA_TS!$B$2:$B$20001,Kalkulasi!$B$877)))</f>
        <v/>
      </c>
      <c r="AM886">
        <f>SUM(U886:AL886)</f>
        <v/>
      </c>
      <c r="AN886">
        <f>IF(OR(U886=0,B886=0),"",B886/U886)</f>
        <v/>
      </c>
      <c r="AO886">
        <f>IF(OR(V886=0,C886=0),"",C886/V886)</f>
        <v/>
      </c>
      <c r="AP886">
        <f>IF(OR(W886=0,D886=0),"",D886/W886)</f>
        <v/>
      </c>
      <c r="AQ886">
        <f>IF(OR(X886=0,E886=0),"",E886/X886)</f>
        <v/>
      </c>
      <c r="AR886">
        <f>IF(OR(Y886=0,F886=0),"",F886/Y886)</f>
        <v/>
      </c>
      <c r="AS886">
        <f>IF(OR(Z886=0,G886=0),"",G886/Z886)</f>
        <v/>
      </c>
      <c r="AT886">
        <f>IF(OR(AA886=0,H886=0),"",H886/AA886)</f>
        <v/>
      </c>
      <c r="AU886">
        <f>IF(OR(AB886=0,I886=0),"",I886/AB886)</f>
        <v/>
      </c>
      <c r="AV886">
        <f>IF(OR(AC886=0,J886=0),"",J886/AC886)</f>
        <v/>
      </c>
      <c r="AW886">
        <f>IF(OR(AD886=0,K886=0),"",K886/AD886)</f>
        <v/>
      </c>
      <c r="AX886">
        <f>IF(OR(AE886=0,L886=0),"",L886/AE886)</f>
        <v/>
      </c>
      <c r="AY886">
        <f>IF(OR(AF886=0,M886=0),"",M886/AF886)</f>
        <v/>
      </c>
      <c r="AZ886">
        <f>IF(OR(AG886=0,N886=0),"",N886/AG886)</f>
        <v/>
      </c>
      <c r="BA886">
        <f>IF(OR(AH886=0,O886=0),"",O886/AH886)</f>
        <v/>
      </c>
      <c r="BB886">
        <f>IF(OR(AI886=0,P886=0),"",P886/AI886)</f>
        <v/>
      </c>
      <c r="BC886">
        <f>IF(OR(AJ886=0,Q886=0),"",Q886/AJ886)</f>
        <v/>
      </c>
      <c r="BD886">
        <f>IF(OR(AK886=0,R886=0),"",R886/AK886)</f>
        <v/>
      </c>
      <c r="BE886">
        <f>IF(OR(AL886=0,S886=0),"",S886/AL886)</f>
        <v/>
      </c>
      <c r="BF886">
        <f>IF(AM886=0,NA(),T886/AM886)</f>
        <v/>
      </c>
      <c r="BG886" t="n">
        <v>6</v>
      </c>
      <c r="BH886">
        <f>IF(AM886=0,"",T886/AM886)</f>
        <v/>
      </c>
      <c r="BI886">
        <f>IF($A886="","",TEXT($A886,"d"))</f>
        <v/>
      </c>
    </row>
    <row r="887">
      <c r="A887" s="199">
        <f>IF(Kalkulasi!$B$873+6&gt;Kalkulasi!$B$874,"",Kalkulasi!$B$873+6)</f>
        <v/>
      </c>
      <c r="B887">
        <f>IF(OR($A887="",U887=0),0,IF(Kalkulasi!$B$876="OB",SUMIFS(DATA_TS!$Q$2:$Q$20001,DATA_TS!$A$2:$A$20001,$A887,DATA_TS!$C$2:$C$20001,B$880,DATA_TS!$B$2:$B$20001,Kalkulasi!$B$877),SUMIFS(DATA_TS!$R$2:$R$20001,DATA_TS!$A$2:$A$20001,$A887,DATA_TS!$C$2:$C$20001,B$880,DATA_TS!$B$2:$B$20001,Kalkulasi!$B$877)))</f>
        <v/>
      </c>
      <c r="C887">
        <f>IF(OR($A887="",V887=0),0,IF(Kalkulasi!$B$876="OB",SUMIFS(DATA_TS!$Q$2:$Q$20001,DATA_TS!$A$2:$A$20001,$A887,DATA_TS!$C$2:$C$20001,C$880,DATA_TS!$B$2:$B$20001,Kalkulasi!$B$877),SUMIFS(DATA_TS!$R$2:$R$20001,DATA_TS!$A$2:$A$20001,$A887,DATA_TS!$C$2:$C$20001,C$880,DATA_TS!$B$2:$B$20001,Kalkulasi!$B$877)))</f>
        <v/>
      </c>
      <c r="D887">
        <f>IF(OR($A887="",W887=0),0,IF(Kalkulasi!$B$876="OB",SUMIFS(DATA_TS!$Q$2:$Q$20001,DATA_TS!$A$2:$A$20001,$A887,DATA_TS!$C$2:$C$20001,D$880,DATA_TS!$B$2:$B$20001,Kalkulasi!$B$877),SUMIFS(DATA_TS!$R$2:$R$20001,DATA_TS!$A$2:$A$20001,$A887,DATA_TS!$C$2:$C$20001,D$880,DATA_TS!$B$2:$B$20001,Kalkulasi!$B$877)))</f>
        <v/>
      </c>
      <c r="E887">
        <f>IF(OR($A887="",X887=0),0,IF(Kalkulasi!$B$876="OB",SUMIFS(DATA_TS!$Q$2:$Q$20001,DATA_TS!$A$2:$A$20001,$A887,DATA_TS!$C$2:$C$20001,E$880,DATA_TS!$B$2:$B$20001,Kalkulasi!$B$877),SUMIFS(DATA_TS!$R$2:$R$20001,DATA_TS!$A$2:$A$20001,$A887,DATA_TS!$C$2:$C$20001,E$880,DATA_TS!$B$2:$B$20001,Kalkulasi!$B$877)))</f>
        <v/>
      </c>
      <c r="F887">
        <f>IF(OR($A887="",Y887=0),0,IF(Kalkulasi!$B$876="OB",SUMIFS(DATA_TS!$Q$2:$Q$20001,DATA_TS!$A$2:$A$20001,$A887,DATA_TS!$C$2:$C$20001,F$880,DATA_TS!$B$2:$B$20001,Kalkulasi!$B$877),SUMIFS(DATA_TS!$R$2:$R$20001,DATA_TS!$A$2:$A$20001,$A887,DATA_TS!$C$2:$C$20001,F$880,DATA_TS!$B$2:$B$20001,Kalkulasi!$B$877)))</f>
        <v/>
      </c>
      <c r="G887">
        <f>IF(OR($A887="",Z887=0),0,IF(Kalkulasi!$B$876="OB",SUMIFS(DATA_TS!$Q$2:$Q$20001,DATA_TS!$A$2:$A$20001,$A887,DATA_TS!$C$2:$C$20001,G$880,DATA_TS!$B$2:$B$20001,Kalkulasi!$B$877),SUMIFS(DATA_TS!$R$2:$R$20001,DATA_TS!$A$2:$A$20001,$A887,DATA_TS!$C$2:$C$20001,G$880,DATA_TS!$B$2:$B$20001,Kalkulasi!$B$877)))</f>
        <v/>
      </c>
      <c r="H887">
        <f>IF(OR($A887="",AA887=0),0,IF(Kalkulasi!$B$876="OB",SUMIFS(DATA_TS!$Q$2:$Q$20001,DATA_TS!$A$2:$A$20001,$A887,DATA_TS!$C$2:$C$20001,H$880,DATA_TS!$B$2:$B$20001,Kalkulasi!$B$877),SUMIFS(DATA_TS!$R$2:$R$20001,DATA_TS!$A$2:$A$20001,$A887,DATA_TS!$C$2:$C$20001,H$880,DATA_TS!$B$2:$B$20001,Kalkulasi!$B$877)))</f>
        <v/>
      </c>
      <c r="I887">
        <f>IF(OR($A887="",AB887=0),0,IF(Kalkulasi!$B$876="OB",SUMIFS(DATA_TS!$Q$2:$Q$20001,DATA_TS!$A$2:$A$20001,$A887,DATA_TS!$C$2:$C$20001,I$880,DATA_TS!$B$2:$B$20001,Kalkulasi!$B$877),SUMIFS(DATA_TS!$R$2:$R$20001,DATA_TS!$A$2:$A$20001,$A887,DATA_TS!$C$2:$C$20001,I$880,DATA_TS!$B$2:$B$20001,Kalkulasi!$B$877)))</f>
        <v/>
      </c>
      <c r="J887">
        <f>IF(OR($A887="",AC887=0),0,IF(Kalkulasi!$B$876="OB",SUMIFS(DATA_TS!$Q$2:$Q$20001,DATA_TS!$A$2:$A$20001,$A887,DATA_TS!$C$2:$C$20001,J$880,DATA_TS!$B$2:$B$20001,Kalkulasi!$B$877),SUMIFS(DATA_TS!$R$2:$R$20001,DATA_TS!$A$2:$A$20001,$A887,DATA_TS!$C$2:$C$20001,J$880,DATA_TS!$B$2:$B$20001,Kalkulasi!$B$877)))</f>
        <v/>
      </c>
      <c r="K887">
        <f>IF(OR($A887="",AD887=0),0,IF(Kalkulasi!$B$876="OB",SUMIFS(DATA_TS!$Q$2:$Q$20001,DATA_TS!$A$2:$A$20001,$A887,DATA_TS!$C$2:$C$20001,K$880,DATA_TS!$B$2:$B$20001,Kalkulasi!$B$877),SUMIFS(DATA_TS!$R$2:$R$20001,DATA_TS!$A$2:$A$20001,$A887,DATA_TS!$C$2:$C$20001,K$880,DATA_TS!$B$2:$B$20001,Kalkulasi!$B$877)))</f>
        <v/>
      </c>
      <c r="L887">
        <f>IF(OR($A887="",AE887=0),0,IF(Kalkulasi!$B$876="OB",SUMIFS(DATA_TS!$Q$2:$Q$20001,DATA_TS!$A$2:$A$20001,$A887,DATA_TS!$C$2:$C$20001,L$880,DATA_TS!$B$2:$B$20001,Kalkulasi!$B$877),SUMIFS(DATA_TS!$R$2:$R$20001,DATA_TS!$A$2:$A$20001,$A887,DATA_TS!$C$2:$C$20001,L$880,DATA_TS!$B$2:$B$20001,Kalkulasi!$B$877)))</f>
        <v/>
      </c>
      <c r="M887">
        <f>IF(OR($A887="",AF887=0),0,IF(Kalkulasi!$B$876="OB",SUMIFS(DATA_TS!$Q$2:$Q$20001,DATA_TS!$A$2:$A$20001,$A887,DATA_TS!$C$2:$C$20001,M$880,DATA_TS!$B$2:$B$20001,Kalkulasi!$B$877),SUMIFS(DATA_TS!$R$2:$R$20001,DATA_TS!$A$2:$A$20001,$A887,DATA_TS!$C$2:$C$20001,M$880,DATA_TS!$B$2:$B$20001,Kalkulasi!$B$877)))</f>
        <v/>
      </c>
      <c r="N887">
        <f>IF(OR($A887="",AG887=0),0,IF(Kalkulasi!$B$876="OB",SUMIFS(DATA_TS!$Q$2:$Q$20001,DATA_TS!$A$2:$A$20001,$A887,DATA_TS!$C$2:$C$20001,N$880,DATA_TS!$B$2:$B$20001,Kalkulasi!$B$877),SUMIFS(DATA_TS!$R$2:$R$20001,DATA_TS!$A$2:$A$20001,$A887,DATA_TS!$C$2:$C$20001,N$880,DATA_TS!$B$2:$B$20001,Kalkulasi!$B$877)))</f>
        <v/>
      </c>
      <c r="O887">
        <f>IF(OR($A887="",AH887=0),0,IF(Kalkulasi!$B$876="OB",SUMIFS(DATA_TS!$Q$2:$Q$20001,DATA_TS!$A$2:$A$20001,$A887,DATA_TS!$C$2:$C$20001,O$880,DATA_TS!$B$2:$B$20001,Kalkulasi!$B$877),SUMIFS(DATA_TS!$R$2:$R$20001,DATA_TS!$A$2:$A$20001,$A887,DATA_TS!$C$2:$C$20001,O$880,DATA_TS!$B$2:$B$20001,Kalkulasi!$B$877)))</f>
        <v/>
      </c>
      <c r="P887">
        <f>IF(OR($A887="",AI887=0),0,IF(Kalkulasi!$B$876="OB",SUMIFS(DATA_TS!$Q$2:$Q$20001,DATA_TS!$A$2:$A$20001,$A887,DATA_TS!$C$2:$C$20001,P$880,DATA_TS!$B$2:$B$20001,Kalkulasi!$B$877),SUMIFS(DATA_TS!$R$2:$R$20001,DATA_TS!$A$2:$A$20001,$A887,DATA_TS!$C$2:$C$20001,P$880,DATA_TS!$B$2:$B$20001,Kalkulasi!$B$877)))</f>
        <v/>
      </c>
      <c r="Q887">
        <f>IF(OR($A887="",AJ887=0),0,IF(Kalkulasi!$B$876="OB",SUMIFS(DATA_TS!$Q$2:$Q$20001,DATA_TS!$A$2:$A$20001,$A887,DATA_TS!$C$2:$C$20001,Q$880,DATA_TS!$B$2:$B$20001,Kalkulasi!$B$877),SUMIFS(DATA_TS!$R$2:$R$20001,DATA_TS!$A$2:$A$20001,$A887,DATA_TS!$C$2:$C$20001,Q$880,DATA_TS!$B$2:$B$20001,Kalkulasi!$B$877)))</f>
        <v/>
      </c>
      <c r="R887">
        <f>IF(OR($A887="",AK887=0),0,IF(Kalkulasi!$B$876="OB",SUMIFS(DATA_TS!$Q$2:$Q$20001,DATA_TS!$A$2:$A$20001,$A887,DATA_TS!$C$2:$C$20001,R$880,DATA_TS!$B$2:$B$20001,Kalkulasi!$B$877),SUMIFS(DATA_TS!$R$2:$R$20001,DATA_TS!$A$2:$A$20001,$A887,DATA_TS!$C$2:$C$20001,R$880,DATA_TS!$B$2:$B$20001,Kalkulasi!$B$877)))</f>
        <v/>
      </c>
      <c r="S887">
        <f>IF(OR($A887="",AL887=0),0,IF(Kalkulasi!$B$876="OB",SUMIFS(DATA_TS!$Q$2:$Q$20001,DATA_TS!$A$2:$A$20001,$A887,DATA_TS!$C$2:$C$20001,S$880,DATA_TS!$B$2:$B$20001,Kalkulasi!$B$877),SUMIFS(DATA_TS!$R$2:$R$20001,DATA_TS!$A$2:$A$20001,$A887,DATA_TS!$C$2:$C$20001,S$880,DATA_TS!$B$2:$B$20001,Kalkulasi!$B$877)))</f>
        <v/>
      </c>
      <c r="T887">
        <f>SUM(B887:S887)</f>
        <v/>
      </c>
      <c r="U887">
        <f>IF($A887="",0,IF(Kalkulasi!$B$876="OB",SUMIFS(DATA_TS!$M$2:$M$20001,DATA_TS!$A$2:$A$20001,$A887,DATA_TS!$C$2:$C$20001,B$880,DATA_TS!$B$2:$B$20001,Kalkulasi!$B$877),SUMIFS(DATA_TS!$N$2:$N$20001,DATA_TS!$A$2:$A$20001,$A887,DATA_TS!$C$2:$C$20001,B$880,DATA_TS!$B$2:$B$20001,Kalkulasi!$B$877)))</f>
        <v/>
      </c>
      <c r="V887">
        <f>IF($A887="",0,IF(Kalkulasi!$B$876="OB",SUMIFS(DATA_TS!$M$2:$M$20001,DATA_TS!$A$2:$A$20001,$A887,DATA_TS!$C$2:$C$20001,C$880,DATA_TS!$B$2:$B$20001,Kalkulasi!$B$877),SUMIFS(DATA_TS!$N$2:$N$20001,DATA_TS!$A$2:$A$20001,$A887,DATA_TS!$C$2:$C$20001,C$880,DATA_TS!$B$2:$B$20001,Kalkulasi!$B$877)))</f>
        <v/>
      </c>
      <c r="W887">
        <f>IF($A887="",0,IF(Kalkulasi!$B$876="OB",SUMIFS(DATA_TS!$M$2:$M$20001,DATA_TS!$A$2:$A$20001,$A887,DATA_TS!$C$2:$C$20001,D$880,DATA_TS!$B$2:$B$20001,Kalkulasi!$B$877),SUMIFS(DATA_TS!$N$2:$N$20001,DATA_TS!$A$2:$A$20001,$A887,DATA_TS!$C$2:$C$20001,D$880,DATA_TS!$B$2:$B$20001,Kalkulasi!$B$877)))</f>
        <v/>
      </c>
      <c r="X887">
        <f>IF($A887="",0,IF(Kalkulasi!$B$876="OB",SUMIFS(DATA_TS!$M$2:$M$20001,DATA_TS!$A$2:$A$20001,$A887,DATA_TS!$C$2:$C$20001,E$880,DATA_TS!$B$2:$B$20001,Kalkulasi!$B$877),SUMIFS(DATA_TS!$N$2:$N$20001,DATA_TS!$A$2:$A$20001,$A887,DATA_TS!$C$2:$C$20001,E$880,DATA_TS!$B$2:$B$20001,Kalkulasi!$B$877)))</f>
        <v/>
      </c>
      <c r="Y887">
        <f>IF($A887="",0,IF(Kalkulasi!$B$876="OB",SUMIFS(DATA_TS!$M$2:$M$20001,DATA_TS!$A$2:$A$20001,$A887,DATA_TS!$C$2:$C$20001,F$880,DATA_TS!$B$2:$B$20001,Kalkulasi!$B$877),SUMIFS(DATA_TS!$N$2:$N$20001,DATA_TS!$A$2:$A$20001,$A887,DATA_TS!$C$2:$C$20001,F$880,DATA_TS!$B$2:$B$20001,Kalkulasi!$B$877)))</f>
        <v/>
      </c>
      <c r="Z887">
        <f>IF($A887="",0,IF(Kalkulasi!$B$876="OB",SUMIFS(DATA_TS!$M$2:$M$20001,DATA_TS!$A$2:$A$20001,$A887,DATA_TS!$C$2:$C$20001,G$880,DATA_TS!$B$2:$B$20001,Kalkulasi!$B$877),SUMIFS(DATA_TS!$N$2:$N$20001,DATA_TS!$A$2:$A$20001,$A887,DATA_TS!$C$2:$C$20001,G$880,DATA_TS!$B$2:$B$20001,Kalkulasi!$B$877)))</f>
        <v/>
      </c>
      <c r="AA887">
        <f>IF($A887="",0,IF(Kalkulasi!$B$876="OB",SUMIFS(DATA_TS!$M$2:$M$20001,DATA_TS!$A$2:$A$20001,$A887,DATA_TS!$C$2:$C$20001,H$880,DATA_TS!$B$2:$B$20001,Kalkulasi!$B$877),SUMIFS(DATA_TS!$N$2:$N$20001,DATA_TS!$A$2:$A$20001,$A887,DATA_TS!$C$2:$C$20001,H$880,DATA_TS!$B$2:$B$20001,Kalkulasi!$B$877)))</f>
        <v/>
      </c>
      <c r="AB887">
        <f>IF($A887="",0,IF(Kalkulasi!$B$876="OB",SUMIFS(DATA_TS!$M$2:$M$20001,DATA_TS!$A$2:$A$20001,$A887,DATA_TS!$C$2:$C$20001,I$880,DATA_TS!$B$2:$B$20001,Kalkulasi!$B$877),SUMIFS(DATA_TS!$N$2:$N$20001,DATA_TS!$A$2:$A$20001,$A887,DATA_TS!$C$2:$C$20001,I$880,DATA_TS!$B$2:$B$20001,Kalkulasi!$B$877)))</f>
        <v/>
      </c>
      <c r="AC887">
        <f>IF($A887="",0,IF(Kalkulasi!$B$876="OB",SUMIFS(DATA_TS!$M$2:$M$20001,DATA_TS!$A$2:$A$20001,$A887,DATA_TS!$C$2:$C$20001,J$880,DATA_TS!$B$2:$B$20001,Kalkulasi!$B$877),SUMIFS(DATA_TS!$N$2:$N$20001,DATA_TS!$A$2:$A$20001,$A887,DATA_TS!$C$2:$C$20001,J$880,DATA_TS!$B$2:$B$20001,Kalkulasi!$B$877)))</f>
        <v/>
      </c>
      <c r="AD887">
        <f>IF($A887="",0,IF(Kalkulasi!$B$876="OB",SUMIFS(DATA_TS!$M$2:$M$20001,DATA_TS!$A$2:$A$20001,$A887,DATA_TS!$C$2:$C$20001,K$880,DATA_TS!$B$2:$B$20001,Kalkulasi!$B$877),SUMIFS(DATA_TS!$N$2:$N$20001,DATA_TS!$A$2:$A$20001,$A887,DATA_TS!$C$2:$C$20001,K$880,DATA_TS!$B$2:$B$20001,Kalkulasi!$B$877)))</f>
        <v/>
      </c>
      <c r="AE887">
        <f>IF($A887="",0,IF(Kalkulasi!$B$876="OB",SUMIFS(DATA_TS!$M$2:$M$20001,DATA_TS!$A$2:$A$20001,$A887,DATA_TS!$C$2:$C$20001,L$880,DATA_TS!$B$2:$B$20001,Kalkulasi!$B$877),SUMIFS(DATA_TS!$N$2:$N$20001,DATA_TS!$A$2:$A$20001,$A887,DATA_TS!$C$2:$C$20001,L$880,DATA_TS!$B$2:$B$20001,Kalkulasi!$B$877)))</f>
        <v/>
      </c>
      <c r="AF887">
        <f>IF($A887="",0,IF(Kalkulasi!$B$876="OB",SUMIFS(DATA_TS!$M$2:$M$20001,DATA_TS!$A$2:$A$20001,$A887,DATA_TS!$C$2:$C$20001,M$880,DATA_TS!$B$2:$B$20001,Kalkulasi!$B$877),SUMIFS(DATA_TS!$N$2:$N$20001,DATA_TS!$A$2:$A$20001,$A887,DATA_TS!$C$2:$C$20001,M$880,DATA_TS!$B$2:$B$20001,Kalkulasi!$B$877)))</f>
        <v/>
      </c>
      <c r="AG887">
        <f>IF($A887="",0,IF(Kalkulasi!$B$876="OB",SUMIFS(DATA_TS!$M$2:$M$20001,DATA_TS!$A$2:$A$20001,$A887,DATA_TS!$C$2:$C$20001,N$880,DATA_TS!$B$2:$B$20001,Kalkulasi!$B$877),SUMIFS(DATA_TS!$N$2:$N$20001,DATA_TS!$A$2:$A$20001,$A887,DATA_TS!$C$2:$C$20001,N$880,DATA_TS!$B$2:$B$20001,Kalkulasi!$B$877)))</f>
        <v/>
      </c>
      <c r="AH887">
        <f>IF($A887="",0,IF(Kalkulasi!$B$876="OB",SUMIFS(DATA_TS!$M$2:$M$20001,DATA_TS!$A$2:$A$20001,$A887,DATA_TS!$C$2:$C$20001,O$880,DATA_TS!$B$2:$B$20001,Kalkulasi!$B$877),SUMIFS(DATA_TS!$N$2:$N$20001,DATA_TS!$A$2:$A$20001,$A887,DATA_TS!$C$2:$C$20001,O$880,DATA_TS!$B$2:$B$20001,Kalkulasi!$B$877)))</f>
        <v/>
      </c>
      <c r="AI887">
        <f>IF($A887="",0,IF(Kalkulasi!$B$876="OB",SUMIFS(DATA_TS!$M$2:$M$20001,DATA_TS!$A$2:$A$20001,$A887,DATA_TS!$C$2:$C$20001,P$880,DATA_TS!$B$2:$B$20001,Kalkulasi!$B$877),SUMIFS(DATA_TS!$N$2:$N$20001,DATA_TS!$A$2:$A$20001,$A887,DATA_TS!$C$2:$C$20001,P$880,DATA_TS!$B$2:$B$20001,Kalkulasi!$B$877)))</f>
        <v/>
      </c>
      <c r="AJ887">
        <f>IF($A887="",0,IF(Kalkulasi!$B$876="OB",SUMIFS(DATA_TS!$M$2:$M$20001,DATA_TS!$A$2:$A$20001,$A887,DATA_TS!$C$2:$C$20001,Q$880,DATA_TS!$B$2:$B$20001,Kalkulasi!$B$877),SUMIFS(DATA_TS!$N$2:$N$20001,DATA_TS!$A$2:$A$20001,$A887,DATA_TS!$C$2:$C$20001,Q$880,DATA_TS!$B$2:$B$20001,Kalkulasi!$B$877)))</f>
        <v/>
      </c>
      <c r="AK887">
        <f>IF($A887="",0,IF(Kalkulasi!$B$876="OB",SUMIFS(DATA_TS!$M$2:$M$20001,DATA_TS!$A$2:$A$20001,$A887,DATA_TS!$C$2:$C$20001,R$880,DATA_TS!$B$2:$B$20001,Kalkulasi!$B$877),SUMIFS(DATA_TS!$N$2:$N$20001,DATA_TS!$A$2:$A$20001,$A887,DATA_TS!$C$2:$C$20001,R$880,DATA_TS!$B$2:$B$20001,Kalkulasi!$B$877)))</f>
        <v/>
      </c>
      <c r="AL887">
        <f>IF($A887="",0,IF(Kalkulasi!$B$876="OB",SUMIFS(DATA_TS!$M$2:$M$20001,DATA_TS!$A$2:$A$20001,$A887,DATA_TS!$C$2:$C$20001,S$880,DATA_TS!$B$2:$B$20001,Kalkulasi!$B$877),SUMIFS(DATA_TS!$N$2:$N$20001,DATA_TS!$A$2:$A$20001,$A887,DATA_TS!$C$2:$C$20001,S$880,DATA_TS!$B$2:$B$20001,Kalkulasi!$B$877)))</f>
        <v/>
      </c>
      <c r="AM887">
        <f>SUM(U887:AL887)</f>
        <v/>
      </c>
      <c r="AN887">
        <f>IF(OR(U887=0,B887=0),"",B887/U887)</f>
        <v/>
      </c>
      <c r="AO887">
        <f>IF(OR(V887=0,C887=0),"",C887/V887)</f>
        <v/>
      </c>
      <c r="AP887">
        <f>IF(OR(W887=0,D887=0),"",D887/W887)</f>
        <v/>
      </c>
      <c r="AQ887">
        <f>IF(OR(X887=0,E887=0),"",E887/X887)</f>
        <v/>
      </c>
      <c r="AR887">
        <f>IF(OR(Y887=0,F887=0),"",F887/Y887)</f>
        <v/>
      </c>
      <c r="AS887">
        <f>IF(OR(Z887=0,G887=0),"",G887/Z887)</f>
        <v/>
      </c>
      <c r="AT887">
        <f>IF(OR(AA887=0,H887=0),"",H887/AA887)</f>
        <v/>
      </c>
      <c r="AU887">
        <f>IF(OR(AB887=0,I887=0),"",I887/AB887)</f>
        <v/>
      </c>
      <c r="AV887">
        <f>IF(OR(AC887=0,J887=0),"",J887/AC887)</f>
        <v/>
      </c>
      <c r="AW887">
        <f>IF(OR(AD887=0,K887=0),"",K887/AD887)</f>
        <v/>
      </c>
      <c r="AX887">
        <f>IF(OR(AE887=0,L887=0),"",L887/AE887)</f>
        <v/>
      </c>
      <c r="AY887">
        <f>IF(OR(AF887=0,M887=0),"",M887/AF887)</f>
        <v/>
      </c>
      <c r="AZ887">
        <f>IF(OR(AG887=0,N887=0),"",N887/AG887)</f>
        <v/>
      </c>
      <c r="BA887">
        <f>IF(OR(AH887=0,O887=0),"",O887/AH887)</f>
        <v/>
      </c>
      <c r="BB887">
        <f>IF(OR(AI887=0,P887=0),"",P887/AI887)</f>
        <v/>
      </c>
      <c r="BC887">
        <f>IF(OR(AJ887=0,Q887=0),"",Q887/AJ887)</f>
        <v/>
      </c>
      <c r="BD887">
        <f>IF(OR(AK887=0,R887=0),"",R887/AK887)</f>
        <v/>
      </c>
      <c r="BE887">
        <f>IF(OR(AL887=0,S887=0),"",S887/AL887)</f>
        <v/>
      </c>
      <c r="BF887">
        <f>IF(AM887=0,NA(),T887/AM887)</f>
        <v/>
      </c>
      <c r="BG887" t="n">
        <v>7</v>
      </c>
      <c r="BH887">
        <f>IF(AM887=0,"",T887/AM887)</f>
        <v/>
      </c>
      <c r="BI887">
        <f>IF($A887="","",TEXT($A887,"d"))</f>
        <v/>
      </c>
    </row>
    <row r="888">
      <c r="A888" s="199">
        <f>IF(Kalkulasi!$B$873+7&gt;Kalkulasi!$B$874,"",Kalkulasi!$B$873+7)</f>
        <v/>
      </c>
      <c r="B888">
        <f>IF(OR($A888="",U888=0),0,IF(Kalkulasi!$B$876="OB",SUMIFS(DATA_TS!$Q$2:$Q$20001,DATA_TS!$A$2:$A$20001,$A888,DATA_TS!$C$2:$C$20001,B$880,DATA_TS!$B$2:$B$20001,Kalkulasi!$B$877),SUMIFS(DATA_TS!$R$2:$R$20001,DATA_TS!$A$2:$A$20001,$A888,DATA_TS!$C$2:$C$20001,B$880,DATA_TS!$B$2:$B$20001,Kalkulasi!$B$877)))</f>
        <v/>
      </c>
      <c r="C888">
        <f>IF(OR($A888="",V888=0),0,IF(Kalkulasi!$B$876="OB",SUMIFS(DATA_TS!$Q$2:$Q$20001,DATA_TS!$A$2:$A$20001,$A888,DATA_TS!$C$2:$C$20001,C$880,DATA_TS!$B$2:$B$20001,Kalkulasi!$B$877),SUMIFS(DATA_TS!$R$2:$R$20001,DATA_TS!$A$2:$A$20001,$A888,DATA_TS!$C$2:$C$20001,C$880,DATA_TS!$B$2:$B$20001,Kalkulasi!$B$877)))</f>
        <v/>
      </c>
      <c r="D888">
        <f>IF(OR($A888="",W888=0),0,IF(Kalkulasi!$B$876="OB",SUMIFS(DATA_TS!$Q$2:$Q$20001,DATA_TS!$A$2:$A$20001,$A888,DATA_TS!$C$2:$C$20001,D$880,DATA_TS!$B$2:$B$20001,Kalkulasi!$B$877),SUMIFS(DATA_TS!$R$2:$R$20001,DATA_TS!$A$2:$A$20001,$A888,DATA_TS!$C$2:$C$20001,D$880,DATA_TS!$B$2:$B$20001,Kalkulasi!$B$877)))</f>
        <v/>
      </c>
      <c r="E888">
        <f>IF(OR($A888="",X888=0),0,IF(Kalkulasi!$B$876="OB",SUMIFS(DATA_TS!$Q$2:$Q$20001,DATA_TS!$A$2:$A$20001,$A888,DATA_TS!$C$2:$C$20001,E$880,DATA_TS!$B$2:$B$20001,Kalkulasi!$B$877),SUMIFS(DATA_TS!$R$2:$R$20001,DATA_TS!$A$2:$A$20001,$A888,DATA_TS!$C$2:$C$20001,E$880,DATA_TS!$B$2:$B$20001,Kalkulasi!$B$877)))</f>
        <v/>
      </c>
      <c r="F888">
        <f>IF(OR($A888="",Y888=0),0,IF(Kalkulasi!$B$876="OB",SUMIFS(DATA_TS!$Q$2:$Q$20001,DATA_TS!$A$2:$A$20001,$A888,DATA_TS!$C$2:$C$20001,F$880,DATA_TS!$B$2:$B$20001,Kalkulasi!$B$877),SUMIFS(DATA_TS!$R$2:$R$20001,DATA_TS!$A$2:$A$20001,$A888,DATA_TS!$C$2:$C$20001,F$880,DATA_TS!$B$2:$B$20001,Kalkulasi!$B$877)))</f>
        <v/>
      </c>
      <c r="G888">
        <f>IF(OR($A888="",Z888=0),0,IF(Kalkulasi!$B$876="OB",SUMIFS(DATA_TS!$Q$2:$Q$20001,DATA_TS!$A$2:$A$20001,$A888,DATA_TS!$C$2:$C$20001,G$880,DATA_TS!$B$2:$B$20001,Kalkulasi!$B$877),SUMIFS(DATA_TS!$R$2:$R$20001,DATA_TS!$A$2:$A$20001,$A888,DATA_TS!$C$2:$C$20001,G$880,DATA_TS!$B$2:$B$20001,Kalkulasi!$B$877)))</f>
        <v/>
      </c>
      <c r="H888">
        <f>IF(OR($A888="",AA888=0),0,IF(Kalkulasi!$B$876="OB",SUMIFS(DATA_TS!$Q$2:$Q$20001,DATA_TS!$A$2:$A$20001,$A888,DATA_TS!$C$2:$C$20001,H$880,DATA_TS!$B$2:$B$20001,Kalkulasi!$B$877),SUMIFS(DATA_TS!$R$2:$R$20001,DATA_TS!$A$2:$A$20001,$A888,DATA_TS!$C$2:$C$20001,H$880,DATA_TS!$B$2:$B$20001,Kalkulasi!$B$877)))</f>
        <v/>
      </c>
      <c r="I888">
        <f>IF(OR($A888="",AB888=0),0,IF(Kalkulasi!$B$876="OB",SUMIFS(DATA_TS!$Q$2:$Q$20001,DATA_TS!$A$2:$A$20001,$A888,DATA_TS!$C$2:$C$20001,I$880,DATA_TS!$B$2:$B$20001,Kalkulasi!$B$877),SUMIFS(DATA_TS!$R$2:$R$20001,DATA_TS!$A$2:$A$20001,$A888,DATA_TS!$C$2:$C$20001,I$880,DATA_TS!$B$2:$B$20001,Kalkulasi!$B$877)))</f>
        <v/>
      </c>
      <c r="J888">
        <f>IF(OR($A888="",AC888=0),0,IF(Kalkulasi!$B$876="OB",SUMIFS(DATA_TS!$Q$2:$Q$20001,DATA_TS!$A$2:$A$20001,$A888,DATA_TS!$C$2:$C$20001,J$880,DATA_TS!$B$2:$B$20001,Kalkulasi!$B$877),SUMIFS(DATA_TS!$R$2:$R$20001,DATA_TS!$A$2:$A$20001,$A888,DATA_TS!$C$2:$C$20001,J$880,DATA_TS!$B$2:$B$20001,Kalkulasi!$B$877)))</f>
        <v/>
      </c>
      <c r="K888">
        <f>IF(OR($A888="",AD888=0),0,IF(Kalkulasi!$B$876="OB",SUMIFS(DATA_TS!$Q$2:$Q$20001,DATA_TS!$A$2:$A$20001,$A888,DATA_TS!$C$2:$C$20001,K$880,DATA_TS!$B$2:$B$20001,Kalkulasi!$B$877),SUMIFS(DATA_TS!$R$2:$R$20001,DATA_TS!$A$2:$A$20001,$A888,DATA_TS!$C$2:$C$20001,K$880,DATA_TS!$B$2:$B$20001,Kalkulasi!$B$877)))</f>
        <v/>
      </c>
      <c r="L888">
        <f>IF(OR($A888="",AE888=0),0,IF(Kalkulasi!$B$876="OB",SUMIFS(DATA_TS!$Q$2:$Q$20001,DATA_TS!$A$2:$A$20001,$A888,DATA_TS!$C$2:$C$20001,L$880,DATA_TS!$B$2:$B$20001,Kalkulasi!$B$877),SUMIFS(DATA_TS!$R$2:$R$20001,DATA_TS!$A$2:$A$20001,$A888,DATA_TS!$C$2:$C$20001,L$880,DATA_TS!$B$2:$B$20001,Kalkulasi!$B$877)))</f>
        <v/>
      </c>
      <c r="M888">
        <f>IF(OR($A888="",AF888=0),0,IF(Kalkulasi!$B$876="OB",SUMIFS(DATA_TS!$Q$2:$Q$20001,DATA_TS!$A$2:$A$20001,$A888,DATA_TS!$C$2:$C$20001,M$880,DATA_TS!$B$2:$B$20001,Kalkulasi!$B$877),SUMIFS(DATA_TS!$R$2:$R$20001,DATA_TS!$A$2:$A$20001,$A888,DATA_TS!$C$2:$C$20001,M$880,DATA_TS!$B$2:$B$20001,Kalkulasi!$B$877)))</f>
        <v/>
      </c>
      <c r="N888">
        <f>IF(OR($A888="",AG888=0),0,IF(Kalkulasi!$B$876="OB",SUMIFS(DATA_TS!$Q$2:$Q$20001,DATA_TS!$A$2:$A$20001,$A888,DATA_TS!$C$2:$C$20001,N$880,DATA_TS!$B$2:$B$20001,Kalkulasi!$B$877),SUMIFS(DATA_TS!$R$2:$R$20001,DATA_TS!$A$2:$A$20001,$A888,DATA_TS!$C$2:$C$20001,N$880,DATA_TS!$B$2:$B$20001,Kalkulasi!$B$877)))</f>
        <v/>
      </c>
      <c r="O888">
        <f>IF(OR($A888="",AH888=0),0,IF(Kalkulasi!$B$876="OB",SUMIFS(DATA_TS!$Q$2:$Q$20001,DATA_TS!$A$2:$A$20001,$A888,DATA_TS!$C$2:$C$20001,O$880,DATA_TS!$B$2:$B$20001,Kalkulasi!$B$877),SUMIFS(DATA_TS!$R$2:$R$20001,DATA_TS!$A$2:$A$20001,$A888,DATA_TS!$C$2:$C$20001,O$880,DATA_TS!$B$2:$B$20001,Kalkulasi!$B$877)))</f>
        <v/>
      </c>
      <c r="P888">
        <f>IF(OR($A888="",AI888=0),0,IF(Kalkulasi!$B$876="OB",SUMIFS(DATA_TS!$Q$2:$Q$20001,DATA_TS!$A$2:$A$20001,$A888,DATA_TS!$C$2:$C$20001,P$880,DATA_TS!$B$2:$B$20001,Kalkulasi!$B$877),SUMIFS(DATA_TS!$R$2:$R$20001,DATA_TS!$A$2:$A$20001,$A888,DATA_TS!$C$2:$C$20001,P$880,DATA_TS!$B$2:$B$20001,Kalkulasi!$B$877)))</f>
        <v/>
      </c>
      <c r="Q888">
        <f>IF(OR($A888="",AJ888=0),0,IF(Kalkulasi!$B$876="OB",SUMIFS(DATA_TS!$Q$2:$Q$20001,DATA_TS!$A$2:$A$20001,$A888,DATA_TS!$C$2:$C$20001,Q$880,DATA_TS!$B$2:$B$20001,Kalkulasi!$B$877),SUMIFS(DATA_TS!$R$2:$R$20001,DATA_TS!$A$2:$A$20001,$A888,DATA_TS!$C$2:$C$20001,Q$880,DATA_TS!$B$2:$B$20001,Kalkulasi!$B$877)))</f>
        <v/>
      </c>
      <c r="R888">
        <f>IF(OR($A888="",AK888=0),0,IF(Kalkulasi!$B$876="OB",SUMIFS(DATA_TS!$Q$2:$Q$20001,DATA_TS!$A$2:$A$20001,$A888,DATA_TS!$C$2:$C$20001,R$880,DATA_TS!$B$2:$B$20001,Kalkulasi!$B$877),SUMIFS(DATA_TS!$R$2:$R$20001,DATA_TS!$A$2:$A$20001,$A888,DATA_TS!$C$2:$C$20001,R$880,DATA_TS!$B$2:$B$20001,Kalkulasi!$B$877)))</f>
        <v/>
      </c>
      <c r="S888">
        <f>IF(OR($A888="",AL888=0),0,IF(Kalkulasi!$B$876="OB",SUMIFS(DATA_TS!$Q$2:$Q$20001,DATA_TS!$A$2:$A$20001,$A888,DATA_TS!$C$2:$C$20001,S$880,DATA_TS!$B$2:$B$20001,Kalkulasi!$B$877),SUMIFS(DATA_TS!$R$2:$R$20001,DATA_TS!$A$2:$A$20001,$A888,DATA_TS!$C$2:$C$20001,S$880,DATA_TS!$B$2:$B$20001,Kalkulasi!$B$877)))</f>
        <v/>
      </c>
      <c r="T888">
        <f>SUM(B888:S888)</f>
        <v/>
      </c>
      <c r="U888">
        <f>IF($A888="",0,IF(Kalkulasi!$B$876="OB",SUMIFS(DATA_TS!$M$2:$M$20001,DATA_TS!$A$2:$A$20001,$A888,DATA_TS!$C$2:$C$20001,B$880,DATA_TS!$B$2:$B$20001,Kalkulasi!$B$877),SUMIFS(DATA_TS!$N$2:$N$20001,DATA_TS!$A$2:$A$20001,$A888,DATA_TS!$C$2:$C$20001,B$880,DATA_TS!$B$2:$B$20001,Kalkulasi!$B$877)))</f>
        <v/>
      </c>
      <c r="V888">
        <f>IF($A888="",0,IF(Kalkulasi!$B$876="OB",SUMIFS(DATA_TS!$M$2:$M$20001,DATA_TS!$A$2:$A$20001,$A888,DATA_TS!$C$2:$C$20001,C$880,DATA_TS!$B$2:$B$20001,Kalkulasi!$B$877),SUMIFS(DATA_TS!$N$2:$N$20001,DATA_TS!$A$2:$A$20001,$A888,DATA_TS!$C$2:$C$20001,C$880,DATA_TS!$B$2:$B$20001,Kalkulasi!$B$877)))</f>
        <v/>
      </c>
      <c r="W888">
        <f>IF($A888="",0,IF(Kalkulasi!$B$876="OB",SUMIFS(DATA_TS!$M$2:$M$20001,DATA_TS!$A$2:$A$20001,$A888,DATA_TS!$C$2:$C$20001,D$880,DATA_TS!$B$2:$B$20001,Kalkulasi!$B$877),SUMIFS(DATA_TS!$N$2:$N$20001,DATA_TS!$A$2:$A$20001,$A888,DATA_TS!$C$2:$C$20001,D$880,DATA_TS!$B$2:$B$20001,Kalkulasi!$B$877)))</f>
        <v/>
      </c>
      <c r="X888">
        <f>IF($A888="",0,IF(Kalkulasi!$B$876="OB",SUMIFS(DATA_TS!$M$2:$M$20001,DATA_TS!$A$2:$A$20001,$A888,DATA_TS!$C$2:$C$20001,E$880,DATA_TS!$B$2:$B$20001,Kalkulasi!$B$877),SUMIFS(DATA_TS!$N$2:$N$20001,DATA_TS!$A$2:$A$20001,$A888,DATA_TS!$C$2:$C$20001,E$880,DATA_TS!$B$2:$B$20001,Kalkulasi!$B$877)))</f>
        <v/>
      </c>
      <c r="Y888">
        <f>IF($A888="",0,IF(Kalkulasi!$B$876="OB",SUMIFS(DATA_TS!$M$2:$M$20001,DATA_TS!$A$2:$A$20001,$A888,DATA_TS!$C$2:$C$20001,F$880,DATA_TS!$B$2:$B$20001,Kalkulasi!$B$877),SUMIFS(DATA_TS!$N$2:$N$20001,DATA_TS!$A$2:$A$20001,$A888,DATA_TS!$C$2:$C$20001,F$880,DATA_TS!$B$2:$B$20001,Kalkulasi!$B$877)))</f>
        <v/>
      </c>
      <c r="Z888">
        <f>IF($A888="",0,IF(Kalkulasi!$B$876="OB",SUMIFS(DATA_TS!$M$2:$M$20001,DATA_TS!$A$2:$A$20001,$A888,DATA_TS!$C$2:$C$20001,G$880,DATA_TS!$B$2:$B$20001,Kalkulasi!$B$877),SUMIFS(DATA_TS!$N$2:$N$20001,DATA_TS!$A$2:$A$20001,$A888,DATA_TS!$C$2:$C$20001,G$880,DATA_TS!$B$2:$B$20001,Kalkulasi!$B$877)))</f>
        <v/>
      </c>
      <c r="AA888">
        <f>IF($A888="",0,IF(Kalkulasi!$B$876="OB",SUMIFS(DATA_TS!$M$2:$M$20001,DATA_TS!$A$2:$A$20001,$A888,DATA_TS!$C$2:$C$20001,H$880,DATA_TS!$B$2:$B$20001,Kalkulasi!$B$877),SUMIFS(DATA_TS!$N$2:$N$20001,DATA_TS!$A$2:$A$20001,$A888,DATA_TS!$C$2:$C$20001,H$880,DATA_TS!$B$2:$B$20001,Kalkulasi!$B$877)))</f>
        <v/>
      </c>
      <c r="AB888">
        <f>IF($A888="",0,IF(Kalkulasi!$B$876="OB",SUMIFS(DATA_TS!$M$2:$M$20001,DATA_TS!$A$2:$A$20001,$A888,DATA_TS!$C$2:$C$20001,I$880,DATA_TS!$B$2:$B$20001,Kalkulasi!$B$877),SUMIFS(DATA_TS!$N$2:$N$20001,DATA_TS!$A$2:$A$20001,$A888,DATA_TS!$C$2:$C$20001,I$880,DATA_TS!$B$2:$B$20001,Kalkulasi!$B$877)))</f>
        <v/>
      </c>
      <c r="AC888">
        <f>IF($A888="",0,IF(Kalkulasi!$B$876="OB",SUMIFS(DATA_TS!$M$2:$M$20001,DATA_TS!$A$2:$A$20001,$A888,DATA_TS!$C$2:$C$20001,J$880,DATA_TS!$B$2:$B$20001,Kalkulasi!$B$877),SUMIFS(DATA_TS!$N$2:$N$20001,DATA_TS!$A$2:$A$20001,$A888,DATA_TS!$C$2:$C$20001,J$880,DATA_TS!$B$2:$B$20001,Kalkulasi!$B$877)))</f>
        <v/>
      </c>
      <c r="AD888">
        <f>IF($A888="",0,IF(Kalkulasi!$B$876="OB",SUMIFS(DATA_TS!$M$2:$M$20001,DATA_TS!$A$2:$A$20001,$A888,DATA_TS!$C$2:$C$20001,K$880,DATA_TS!$B$2:$B$20001,Kalkulasi!$B$877),SUMIFS(DATA_TS!$N$2:$N$20001,DATA_TS!$A$2:$A$20001,$A888,DATA_TS!$C$2:$C$20001,K$880,DATA_TS!$B$2:$B$20001,Kalkulasi!$B$877)))</f>
        <v/>
      </c>
      <c r="AE888">
        <f>IF($A888="",0,IF(Kalkulasi!$B$876="OB",SUMIFS(DATA_TS!$M$2:$M$20001,DATA_TS!$A$2:$A$20001,$A888,DATA_TS!$C$2:$C$20001,L$880,DATA_TS!$B$2:$B$20001,Kalkulasi!$B$877),SUMIFS(DATA_TS!$N$2:$N$20001,DATA_TS!$A$2:$A$20001,$A888,DATA_TS!$C$2:$C$20001,L$880,DATA_TS!$B$2:$B$20001,Kalkulasi!$B$877)))</f>
        <v/>
      </c>
      <c r="AF888">
        <f>IF($A888="",0,IF(Kalkulasi!$B$876="OB",SUMIFS(DATA_TS!$M$2:$M$20001,DATA_TS!$A$2:$A$20001,$A888,DATA_TS!$C$2:$C$20001,M$880,DATA_TS!$B$2:$B$20001,Kalkulasi!$B$877),SUMIFS(DATA_TS!$N$2:$N$20001,DATA_TS!$A$2:$A$20001,$A888,DATA_TS!$C$2:$C$20001,M$880,DATA_TS!$B$2:$B$20001,Kalkulasi!$B$877)))</f>
        <v/>
      </c>
      <c r="AG888">
        <f>IF($A888="",0,IF(Kalkulasi!$B$876="OB",SUMIFS(DATA_TS!$M$2:$M$20001,DATA_TS!$A$2:$A$20001,$A888,DATA_TS!$C$2:$C$20001,N$880,DATA_TS!$B$2:$B$20001,Kalkulasi!$B$877),SUMIFS(DATA_TS!$N$2:$N$20001,DATA_TS!$A$2:$A$20001,$A888,DATA_TS!$C$2:$C$20001,N$880,DATA_TS!$B$2:$B$20001,Kalkulasi!$B$877)))</f>
        <v/>
      </c>
      <c r="AH888">
        <f>IF($A888="",0,IF(Kalkulasi!$B$876="OB",SUMIFS(DATA_TS!$M$2:$M$20001,DATA_TS!$A$2:$A$20001,$A888,DATA_TS!$C$2:$C$20001,O$880,DATA_TS!$B$2:$B$20001,Kalkulasi!$B$877),SUMIFS(DATA_TS!$N$2:$N$20001,DATA_TS!$A$2:$A$20001,$A888,DATA_TS!$C$2:$C$20001,O$880,DATA_TS!$B$2:$B$20001,Kalkulasi!$B$877)))</f>
        <v/>
      </c>
      <c r="AI888">
        <f>IF($A888="",0,IF(Kalkulasi!$B$876="OB",SUMIFS(DATA_TS!$M$2:$M$20001,DATA_TS!$A$2:$A$20001,$A888,DATA_TS!$C$2:$C$20001,P$880,DATA_TS!$B$2:$B$20001,Kalkulasi!$B$877),SUMIFS(DATA_TS!$N$2:$N$20001,DATA_TS!$A$2:$A$20001,$A888,DATA_TS!$C$2:$C$20001,P$880,DATA_TS!$B$2:$B$20001,Kalkulasi!$B$877)))</f>
        <v/>
      </c>
      <c r="AJ888">
        <f>IF($A888="",0,IF(Kalkulasi!$B$876="OB",SUMIFS(DATA_TS!$M$2:$M$20001,DATA_TS!$A$2:$A$20001,$A888,DATA_TS!$C$2:$C$20001,Q$880,DATA_TS!$B$2:$B$20001,Kalkulasi!$B$877),SUMIFS(DATA_TS!$N$2:$N$20001,DATA_TS!$A$2:$A$20001,$A888,DATA_TS!$C$2:$C$20001,Q$880,DATA_TS!$B$2:$B$20001,Kalkulasi!$B$877)))</f>
        <v/>
      </c>
      <c r="AK888">
        <f>IF($A888="",0,IF(Kalkulasi!$B$876="OB",SUMIFS(DATA_TS!$M$2:$M$20001,DATA_TS!$A$2:$A$20001,$A888,DATA_TS!$C$2:$C$20001,R$880,DATA_TS!$B$2:$B$20001,Kalkulasi!$B$877),SUMIFS(DATA_TS!$N$2:$N$20001,DATA_TS!$A$2:$A$20001,$A888,DATA_TS!$C$2:$C$20001,R$880,DATA_TS!$B$2:$B$20001,Kalkulasi!$B$877)))</f>
        <v/>
      </c>
      <c r="AL888">
        <f>IF($A888="",0,IF(Kalkulasi!$B$876="OB",SUMIFS(DATA_TS!$M$2:$M$20001,DATA_TS!$A$2:$A$20001,$A888,DATA_TS!$C$2:$C$20001,S$880,DATA_TS!$B$2:$B$20001,Kalkulasi!$B$877),SUMIFS(DATA_TS!$N$2:$N$20001,DATA_TS!$A$2:$A$20001,$A888,DATA_TS!$C$2:$C$20001,S$880,DATA_TS!$B$2:$B$20001,Kalkulasi!$B$877)))</f>
        <v/>
      </c>
      <c r="AM888">
        <f>SUM(U888:AL888)</f>
        <v/>
      </c>
      <c r="AN888">
        <f>IF(OR(U888=0,B888=0),"",B888/U888)</f>
        <v/>
      </c>
      <c r="AO888">
        <f>IF(OR(V888=0,C888=0),"",C888/V888)</f>
        <v/>
      </c>
      <c r="AP888">
        <f>IF(OR(W888=0,D888=0),"",D888/W888)</f>
        <v/>
      </c>
      <c r="AQ888">
        <f>IF(OR(X888=0,E888=0),"",E888/X888)</f>
        <v/>
      </c>
      <c r="AR888">
        <f>IF(OR(Y888=0,F888=0),"",F888/Y888)</f>
        <v/>
      </c>
      <c r="AS888">
        <f>IF(OR(Z888=0,G888=0),"",G888/Z888)</f>
        <v/>
      </c>
      <c r="AT888">
        <f>IF(OR(AA888=0,H888=0),"",H888/AA888)</f>
        <v/>
      </c>
      <c r="AU888">
        <f>IF(OR(AB888=0,I888=0),"",I888/AB888)</f>
        <v/>
      </c>
      <c r="AV888">
        <f>IF(OR(AC888=0,J888=0),"",J888/AC888)</f>
        <v/>
      </c>
      <c r="AW888">
        <f>IF(OR(AD888=0,K888=0),"",K888/AD888)</f>
        <v/>
      </c>
      <c r="AX888">
        <f>IF(OR(AE888=0,L888=0),"",L888/AE888)</f>
        <v/>
      </c>
      <c r="AY888">
        <f>IF(OR(AF888=0,M888=0),"",M888/AF888)</f>
        <v/>
      </c>
      <c r="AZ888">
        <f>IF(OR(AG888=0,N888=0),"",N888/AG888)</f>
        <v/>
      </c>
      <c r="BA888">
        <f>IF(OR(AH888=0,O888=0),"",O888/AH888)</f>
        <v/>
      </c>
      <c r="BB888">
        <f>IF(OR(AI888=0,P888=0),"",P888/AI888)</f>
        <v/>
      </c>
      <c r="BC888">
        <f>IF(OR(AJ888=0,Q888=0),"",Q888/AJ888)</f>
        <v/>
      </c>
      <c r="BD888">
        <f>IF(OR(AK888=0,R888=0),"",R888/AK888)</f>
        <v/>
      </c>
      <c r="BE888">
        <f>IF(OR(AL888=0,S888=0),"",S888/AL888)</f>
        <v/>
      </c>
      <c r="BF888">
        <f>IF(AM888=0,NA(),T888/AM888)</f>
        <v/>
      </c>
      <c r="BG888" t="n">
        <v>8</v>
      </c>
      <c r="BH888">
        <f>IF(AM888=0,"",T888/AM888)</f>
        <v/>
      </c>
      <c r="BI888">
        <f>IF($A888="","",TEXT($A888,"d"))</f>
        <v/>
      </c>
    </row>
    <row r="889">
      <c r="A889" s="199">
        <f>IF(Kalkulasi!$B$873+8&gt;Kalkulasi!$B$874,"",Kalkulasi!$B$873+8)</f>
        <v/>
      </c>
      <c r="B889">
        <f>IF(OR($A889="",U889=0),0,IF(Kalkulasi!$B$876="OB",SUMIFS(DATA_TS!$Q$2:$Q$20001,DATA_TS!$A$2:$A$20001,$A889,DATA_TS!$C$2:$C$20001,B$880,DATA_TS!$B$2:$B$20001,Kalkulasi!$B$877),SUMIFS(DATA_TS!$R$2:$R$20001,DATA_TS!$A$2:$A$20001,$A889,DATA_TS!$C$2:$C$20001,B$880,DATA_TS!$B$2:$B$20001,Kalkulasi!$B$877)))</f>
        <v/>
      </c>
      <c r="C889">
        <f>IF(OR($A889="",V889=0),0,IF(Kalkulasi!$B$876="OB",SUMIFS(DATA_TS!$Q$2:$Q$20001,DATA_TS!$A$2:$A$20001,$A889,DATA_TS!$C$2:$C$20001,C$880,DATA_TS!$B$2:$B$20001,Kalkulasi!$B$877),SUMIFS(DATA_TS!$R$2:$R$20001,DATA_TS!$A$2:$A$20001,$A889,DATA_TS!$C$2:$C$20001,C$880,DATA_TS!$B$2:$B$20001,Kalkulasi!$B$877)))</f>
        <v/>
      </c>
      <c r="D889">
        <f>IF(OR($A889="",W889=0),0,IF(Kalkulasi!$B$876="OB",SUMIFS(DATA_TS!$Q$2:$Q$20001,DATA_TS!$A$2:$A$20001,$A889,DATA_TS!$C$2:$C$20001,D$880,DATA_TS!$B$2:$B$20001,Kalkulasi!$B$877),SUMIFS(DATA_TS!$R$2:$R$20001,DATA_TS!$A$2:$A$20001,$A889,DATA_TS!$C$2:$C$20001,D$880,DATA_TS!$B$2:$B$20001,Kalkulasi!$B$877)))</f>
        <v/>
      </c>
      <c r="E889">
        <f>IF(OR($A889="",X889=0),0,IF(Kalkulasi!$B$876="OB",SUMIFS(DATA_TS!$Q$2:$Q$20001,DATA_TS!$A$2:$A$20001,$A889,DATA_TS!$C$2:$C$20001,E$880,DATA_TS!$B$2:$B$20001,Kalkulasi!$B$877),SUMIFS(DATA_TS!$R$2:$R$20001,DATA_TS!$A$2:$A$20001,$A889,DATA_TS!$C$2:$C$20001,E$880,DATA_TS!$B$2:$B$20001,Kalkulasi!$B$877)))</f>
        <v/>
      </c>
      <c r="F889">
        <f>IF(OR($A889="",Y889=0),0,IF(Kalkulasi!$B$876="OB",SUMIFS(DATA_TS!$Q$2:$Q$20001,DATA_TS!$A$2:$A$20001,$A889,DATA_TS!$C$2:$C$20001,F$880,DATA_TS!$B$2:$B$20001,Kalkulasi!$B$877),SUMIFS(DATA_TS!$R$2:$R$20001,DATA_TS!$A$2:$A$20001,$A889,DATA_TS!$C$2:$C$20001,F$880,DATA_TS!$B$2:$B$20001,Kalkulasi!$B$877)))</f>
        <v/>
      </c>
      <c r="G889">
        <f>IF(OR($A889="",Z889=0),0,IF(Kalkulasi!$B$876="OB",SUMIFS(DATA_TS!$Q$2:$Q$20001,DATA_TS!$A$2:$A$20001,$A889,DATA_TS!$C$2:$C$20001,G$880,DATA_TS!$B$2:$B$20001,Kalkulasi!$B$877),SUMIFS(DATA_TS!$R$2:$R$20001,DATA_TS!$A$2:$A$20001,$A889,DATA_TS!$C$2:$C$20001,G$880,DATA_TS!$B$2:$B$20001,Kalkulasi!$B$877)))</f>
        <v/>
      </c>
      <c r="H889">
        <f>IF(OR($A889="",AA889=0),0,IF(Kalkulasi!$B$876="OB",SUMIFS(DATA_TS!$Q$2:$Q$20001,DATA_TS!$A$2:$A$20001,$A889,DATA_TS!$C$2:$C$20001,H$880,DATA_TS!$B$2:$B$20001,Kalkulasi!$B$877),SUMIFS(DATA_TS!$R$2:$R$20001,DATA_TS!$A$2:$A$20001,$A889,DATA_TS!$C$2:$C$20001,H$880,DATA_TS!$B$2:$B$20001,Kalkulasi!$B$877)))</f>
        <v/>
      </c>
      <c r="I889">
        <f>IF(OR($A889="",AB889=0),0,IF(Kalkulasi!$B$876="OB",SUMIFS(DATA_TS!$Q$2:$Q$20001,DATA_TS!$A$2:$A$20001,$A889,DATA_TS!$C$2:$C$20001,I$880,DATA_TS!$B$2:$B$20001,Kalkulasi!$B$877),SUMIFS(DATA_TS!$R$2:$R$20001,DATA_TS!$A$2:$A$20001,$A889,DATA_TS!$C$2:$C$20001,I$880,DATA_TS!$B$2:$B$20001,Kalkulasi!$B$877)))</f>
        <v/>
      </c>
      <c r="J889">
        <f>IF(OR($A889="",AC889=0),0,IF(Kalkulasi!$B$876="OB",SUMIFS(DATA_TS!$Q$2:$Q$20001,DATA_TS!$A$2:$A$20001,$A889,DATA_TS!$C$2:$C$20001,J$880,DATA_TS!$B$2:$B$20001,Kalkulasi!$B$877),SUMIFS(DATA_TS!$R$2:$R$20001,DATA_TS!$A$2:$A$20001,$A889,DATA_TS!$C$2:$C$20001,J$880,DATA_TS!$B$2:$B$20001,Kalkulasi!$B$877)))</f>
        <v/>
      </c>
      <c r="K889">
        <f>IF(OR($A889="",AD889=0),0,IF(Kalkulasi!$B$876="OB",SUMIFS(DATA_TS!$Q$2:$Q$20001,DATA_TS!$A$2:$A$20001,$A889,DATA_TS!$C$2:$C$20001,K$880,DATA_TS!$B$2:$B$20001,Kalkulasi!$B$877),SUMIFS(DATA_TS!$R$2:$R$20001,DATA_TS!$A$2:$A$20001,$A889,DATA_TS!$C$2:$C$20001,K$880,DATA_TS!$B$2:$B$20001,Kalkulasi!$B$877)))</f>
        <v/>
      </c>
      <c r="L889">
        <f>IF(OR($A889="",AE889=0),0,IF(Kalkulasi!$B$876="OB",SUMIFS(DATA_TS!$Q$2:$Q$20001,DATA_TS!$A$2:$A$20001,$A889,DATA_TS!$C$2:$C$20001,L$880,DATA_TS!$B$2:$B$20001,Kalkulasi!$B$877),SUMIFS(DATA_TS!$R$2:$R$20001,DATA_TS!$A$2:$A$20001,$A889,DATA_TS!$C$2:$C$20001,L$880,DATA_TS!$B$2:$B$20001,Kalkulasi!$B$877)))</f>
        <v/>
      </c>
      <c r="M889">
        <f>IF(OR($A889="",AF889=0),0,IF(Kalkulasi!$B$876="OB",SUMIFS(DATA_TS!$Q$2:$Q$20001,DATA_TS!$A$2:$A$20001,$A889,DATA_TS!$C$2:$C$20001,M$880,DATA_TS!$B$2:$B$20001,Kalkulasi!$B$877),SUMIFS(DATA_TS!$R$2:$R$20001,DATA_TS!$A$2:$A$20001,$A889,DATA_TS!$C$2:$C$20001,M$880,DATA_TS!$B$2:$B$20001,Kalkulasi!$B$877)))</f>
        <v/>
      </c>
      <c r="N889">
        <f>IF(OR($A889="",AG889=0),0,IF(Kalkulasi!$B$876="OB",SUMIFS(DATA_TS!$Q$2:$Q$20001,DATA_TS!$A$2:$A$20001,$A889,DATA_TS!$C$2:$C$20001,N$880,DATA_TS!$B$2:$B$20001,Kalkulasi!$B$877),SUMIFS(DATA_TS!$R$2:$R$20001,DATA_TS!$A$2:$A$20001,$A889,DATA_TS!$C$2:$C$20001,N$880,DATA_TS!$B$2:$B$20001,Kalkulasi!$B$877)))</f>
        <v/>
      </c>
      <c r="O889">
        <f>IF(OR($A889="",AH889=0),0,IF(Kalkulasi!$B$876="OB",SUMIFS(DATA_TS!$Q$2:$Q$20001,DATA_TS!$A$2:$A$20001,$A889,DATA_TS!$C$2:$C$20001,O$880,DATA_TS!$B$2:$B$20001,Kalkulasi!$B$877),SUMIFS(DATA_TS!$R$2:$R$20001,DATA_TS!$A$2:$A$20001,$A889,DATA_TS!$C$2:$C$20001,O$880,DATA_TS!$B$2:$B$20001,Kalkulasi!$B$877)))</f>
        <v/>
      </c>
      <c r="P889">
        <f>IF(OR($A889="",AI889=0),0,IF(Kalkulasi!$B$876="OB",SUMIFS(DATA_TS!$Q$2:$Q$20001,DATA_TS!$A$2:$A$20001,$A889,DATA_TS!$C$2:$C$20001,P$880,DATA_TS!$B$2:$B$20001,Kalkulasi!$B$877),SUMIFS(DATA_TS!$R$2:$R$20001,DATA_TS!$A$2:$A$20001,$A889,DATA_TS!$C$2:$C$20001,P$880,DATA_TS!$B$2:$B$20001,Kalkulasi!$B$877)))</f>
        <v/>
      </c>
      <c r="Q889">
        <f>IF(OR($A889="",AJ889=0),0,IF(Kalkulasi!$B$876="OB",SUMIFS(DATA_TS!$Q$2:$Q$20001,DATA_TS!$A$2:$A$20001,$A889,DATA_TS!$C$2:$C$20001,Q$880,DATA_TS!$B$2:$B$20001,Kalkulasi!$B$877),SUMIFS(DATA_TS!$R$2:$R$20001,DATA_TS!$A$2:$A$20001,$A889,DATA_TS!$C$2:$C$20001,Q$880,DATA_TS!$B$2:$B$20001,Kalkulasi!$B$877)))</f>
        <v/>
      </c>
      <c r="R889">
        <f>IF(OR($A889="",AK889=0),0,IF(Kalkulasi!$B$876="OB",SUMIFS(DATA_TS!$Q$2:$Q$20001,DATA_TS!$A$2:$A$20001,$A889,DATA_TS!$C$2:$C$20001,R$880,DATA_TS!$B$2:$B$20001,Kalkulasi!$B$877),SUMIFS(DATA_TS!$R$2:$R$20001,DATA_TS!$A$2:$A$20001,$A889,DATA_TS!$C$2:$C$20001,R$880,DATA_TS!$B$2:$B$20001,Kalkulasi!$B$877)))</f>
        <v/>
      </c>
      <c r="S889">
        <f>IF(OR($A889="",AL889=0),0,IF(Kalkulasi!$B$876="OB",SUMIFS(DATA_TS!$Q$2:$Q$20001,DATA_TS!$A$2:$A$20001,$A889,DATA_TS!$C$2:$C$20001,S$880,DATA_TS!$B$2:$B$20001,Kalkulasi!$B$877),SUMIFS(DATA_TS!$R$2:$R$20001,DATA_TS!$A$2:$A$20001,$A889,DATA_TS!$C$2:$C$20001,S$880,DATA_TS!$B$2:$B$20001,Kalkulasi!$B$877)))</f>
        <v/>
      </c>
      <c r="T889">
        <f>SUM(B889:S889)</f>
        <v/>
      </c>
      <c r="U889">
        <f>IF($A889="",0,IF(Kalkulasi!$B$876="OB",SUMIFS(DATA_TS!$M$2:$M$20001,DATA_TS!$A$2:$A$20001,$A889,DATA_TS!$C$2:$C$20001,B$880,DATA_TS!$B$2:$B$20001,Kalkulasi!$B$877),SUMIFS(DATA_TS!$N$2:$N$20001,DATA_TS!$A$2:$A$20001,$A889,DATA_TS!$C$2:$C$20001,B$880,DATA_TS!$B$2:$B$20001,Kalkulasi!$B$877)))</f>
        <v/>
      </c>
      <c r="V889">
        <f>IF($A889="",0,IF(Kalkulasi!$B$876="OB",SUMIFS(DATA_TS!$M$2:$M$20001,DATA_TS!$A$2:$A$20001,$A889,DATA_TS!$C$2:$C$20001,C$880,DATA_TS!$B$2:$B$20001,Kalkulasi!$B$877),SUMIFS(DATA_TS!$N$2:$N$20001,DATA_TS!$A$2:$A$20001,$A889,DATA_TS!$C$2:$C$20001,C$880,DATA_TS!$B$2:$B$20001,Kalkulasi!$B$877)))</f>
        <v/>
      </c>
      <c r="W889">
        <f>IF($A889="",0,IF(Kalkulasi!$B$876="OB",SUMIFS(DATA_TS!$M$2:$M$20001,DATA_TS!$A$2:$A$20001,$A889,DATA_TS!$C$2:$C$20001,D$880,DATA_TS!$B$2:$B$20001,Kalkulasi!$B$877),SUMIFS(DATA_TS!$N$2:$N$20001,DATA_TS!$A$2:$A$20001,$A889,DATA_TS!$C$2:$C$20001,D$880,DATA_TS!$B$2:$B$20001,Kalkulasi!$B$877)))</f>
        <v/>
      </c>
      <c r="X889">
        <f>IF($A889="",0,IF(Kalkulasi!$B$876="OB",SUMIFS(DATA_TS!$M$2:$M$20001,DATA_TS!$A$2:$A$20001,$A889,DATA_TS!$C$2:$C$20001,E$880,DATA_TS!$B$2:$B$20001,Kalkulasi!$B$877),SUMIFS(DATA_TS!$N$2:$N$20001,DATA_TS!$A$2:$A$20001,$A889,DATA_TS!$C$2:$C$20001,E$880,DATA_TS!$B$2:$B$20001,Kalkulasi!$B$877)))</f>
        <v/>
      </c>
      <c r="Y889">
        <f>IF($A889="",0,IF(Kalkulasi!$B$876="OB",SUMIFS(DATA_TS!$M$2:$M$20001,DATA_TS!$A$2:$A$20001,$A889,DATA_TS!$C$2:$C$20001,F$880,DATA_TS!$B$2:$B$20001,Kalkulasi!$B$877),SUMIFS(DATA_TS!$N$2:$N$20001,DATA_TS!$A$2:$A$20001,$A889,DATA_TS!$C$2:$C$20001,F$880,DATA_TS!$B$2:$B$20001,Kalkulasi!$B$877)))</f>
        <v/>
      </c>
      <c r="Z889">
        <f>IF($A889="",0,IF(Kalkulasi!$B$876="OB",SUMIFS(DATA_TS!$M$2:$M$20001,DATA_TS!$A$2:$A$20001,$A889,DATA_TS!$C$2:$C$20001,G$880,DATA_TS!$B$2:$B$20001,Kalkulasi!$B$877),SUMIFS(DATA_TS!$N$2:$N$20001,DATA_TS!$A$2:$A$20001,$A889,DATA_TS!$C$2:$C$20001,G$880,DATA_TS!$B$2:$B$20001,Kalkulasi!$B$877)))</f>
        <v/>
      </c>
      <c r="AA889">
        <f>IF($A889="",0,IF(Kalkulasi!$B$876="OB",SUMIFS(DATA_TS!$M$2:$M$20001,DATA_TS!$A$2:$A$20001,$A889,DATA_TS!$C$2:$C$20001,H$880,DATA_TS!$B$2:$B$20001,Kalkulasi!$B$877),SUMIFS(DATA_TS!$N$2:$N$20001,DATA_TS!$A$2:$A$20001,$A889,DATA_TS!$C$2:$C$20001,H$880,DATA_TS!$B$2:$B$20001,Kalkulasi!$B$877)))</f>
        <v/>
      </c>
      <c r="AB889">
        <f>IF($A889="",0,IF(Kalkulasi!$B$876="OB",SUMIFS(DATA_TS!$M$2:$M$20001,DATA_TS!$A$2:$A$20001,$A889,DATA_TS!$C$2:$C$20001,I$880,DATA_TS!$B$2:$B$20001,Kalkulasi!$B$877),SUMIFS(DATA_TS!$N$2:$N$20001,DATA_TS!$A$2:$A$20001,$A889,DATA_TS!$C$2:$C$20001,I$880,DATA_TS!$B$2:$B$20001,Kalkulasi!$B$877)))</f>
        <v/>
      </c>
      <c r="AC889">
        <f>IF($A889="",0,IF(Kalkulasi!$B$876="OB",SUMIFS(DATA_TS!$M$2:$M$20001,DATA_TS!$A$2:$A$20001,$A889,DATA_TS!$C$2:$C$20001,J$880,DATA_TS!$B$2:$B$20001,Kalkulasi!$B$877),SUMIFS(DATA_TS!$N$2:$N$20001,DATA_TS!$A$2:$A$20001,$A889,DATA_TS!$C$2:$C$20001,J$880,DATA_TS!$B$2:$B$20001,Kalkulasi!$B$877)))</f>
        <v/>
      </c>
      <c r="AD889">
        <f>IF($A889="",0,IF(Kalkulasi!$B$876="OB",SUMIFS(DATA_TS!$M$2:$M$20001,DATA_TS!$A$2:$A$20001,$A889,DATA_TS!$C$2:$C$20001,K$880,DATA_TS!$B$2:$B$20001,Kalkulasi!$B$877),SUMIFS(DATA_TS!$N$2:$N$20001,DATA_TS!$A$2:$A$20001,$A889,DATA_TS!$C$2:$C$20001,K$880,DATA_TS!$B$2:$B$20001,Kalkulasi!$B$877)))</f>
        <v/>
      </c>
      <c r="AE889">
        <f>IF($A889="",0,IF(Kalkulasi!$B$876="OB",SUMIFS(DATA_TS!$M$2:$M$20001,DATA_TS!$A$2:$A$20001,$A889,DATA_TS!$C$2:$C$20001,L$880,DATA_TS!$B$2:$B$20001,Kalkulasi!$B$877),SUMIFS(DATA_TS!$N$2:$N$20001,DATA_TS!$A$2:$A$20001,$A889,DATA_TS!$C$2:$C$20001,L$880,DATA_TS!$B$2:$B$20001,Kalkulasi!$B$877)))</f>
        <v/>
      </c>
      <c r="AF889">
        <f>IF($A889="",0,IF(Kalkulasi!$B$876="OB",SUMIFS(DATA_TS!$M$2:$M$20001,DATA_TS!$A$2:$A$20001,$A889,DATA_TS!$C$2:$C$20001,M$880,DATA_TS!$B$2:$B$20001,Kalkulasi!$B$877),SUMIFS(DATA_TS!$N$2:$N$20001,DATA_TS!$A$2:$A$20001,$A889,DATA_TS!$C$2:$C$20001,M$880,DATA_TS!$B$2:$B$20001,Kalkulasi!$B$877)))</f>
        <v/>
      </c>
      <c r="AG889">
        <f>IF($A889="",0,IF(Kalkulasi!$B$876="OB",SUMIFS(DATA_TS!$M$2:$M$20001,DATA_TS!$A$2:$A$20001,$A889,DATA_TS!$C$2:$C$20001,N$880,DATA_TS!$B$2:$B$20001,Kalkulasi!$B$877),SUMIFS(DATA_TS!$N$2:$N$20001,DATA_TS!$A$2:$A$20001,$A889,DATA_TS!$C$2:$C$20001,N$880,DATA_TS!$B$2:$B$20001,Kalkulasi!$B$877)))</f>
        <v/>
      </c>
      <c r="AH889">
        <f>IF($A889="",0,IF(Kalkulasi!$B$876="OB",SUMIFS(DATA_TS!$M$2:$M$20001,DATA_TS!$A$2:$A$20001,$A889,DATA_TS!$C$2:$C$20001,O$880,DATA_TS!$B$2:$B$20001,Kalkulasi!$B$877),SUMIFS(DATA_TS!$N$2:$N$20001,DATA_TS!$A$2:$A$20001,$A889,DATA_TS!$C$2:$C$20001,O$880,DATA_TS!$B$2:$B$20001,Kalkulasi!$B$877)))</f>
        <v/>
      </c>
      <c r="AI889">
        <f>IF($A889="",0,IF(Kalkulasi!$B$876="OB",SUMIFS(DATA_TS!$M$2:$M$20001,DATA_TS!$A$2:$A$20001,$A889,DATA_TS!$C$2:$C$20001,P$880,DATA_TS!$B$2:$B$20001,Kalkulasi!$B$877),SUMIFS(DATA_TS!$N$2:$N$20001,DATA_TS!$A$2:$A$20001,$A889,DATA_TS!$C$2:$C$20001,P$880,DATA_TS!$B$2:$B$20001,Kalkulasi!$B$877)))</f>
        <v/>
      </c>
      <c r="AJ889">
        <f>IF($A889="",0,IF(Kalkulasi!$B$876="OB",SUMIFS(DATA_TS!$M$2:$M$20001,DATA_TS!$A$2:$A$20001,$A889,DATA_TS!$C$2:$C$20001,Q$880,DATA_TS!$B$2:$B$20001,Kalkulasi!$B$877),SUMIFS(DATA_TS!$N$2:$N$20001,DATA_TS!$A$2:$A$20001,$A889,DATA_TS!$C$2:$C$20001,Q$880,DATA_TS!$B$2:$B$20001,Kalkulasi!$B$877)))</f>
        <v/>
      </c>
      <c r="AK889">
        <f>IF($A889="",0,IF(Kalkulasi!$B$876="OB",SUMIFS(DATA_TS!$M$2:$M$20001,DATA_TS!$A$2:$A$20001,$A889,DATA_TS!$C$2:$C$20001,R$880,DATA_TS!$B$2:$B$20001,Kalkulasi!$B$877),SUMIFS(DATA_TS!$N$2:$N$20001,DATA_TS!$A$2:$A$20001,$A889,DATA_TS!$C$2:$C$20001,R$880,DATA_TS!$B$2:$B$20001,Kalkulasi!$B$877)))</f>
        <v/>
      </c>
      <c r="AL889">
        <f>IF($A889="",0,IF(Kalkulasi!$B$876="OB",SUMIFS(DATA_TS!$M$2:$M$20001,DATA_TS!$A$2:$A$20001,$A889,DATA_TS!$C$2:$C$20001,S$880,DATA_TS!$B$2:$B$20001,Kalkulasi!$B$877),SUMIFS(DATA_TS!$N$2:$N$20001,DATA_TS!$A$2:$A$20001,$A889,DATA_TS!$C$2:$C$20001,S$880,DATA_TS!$B$2:$B$20001,Kalkulasi!$B$877)))</f>
        <v/>
      </c>
      <c r="AM889">
        <f>SUM(U889:AL889)</f>
        <v/>
      </c>
      <c r="AN889">
        <f>IF(OR(U889=0,B889=0),"",B889/U889)</f>
        <v/>
      </c>
      <c r="AO889">
        <f>IF(OR(V889=0,C889=0),"",C889/V889)</f>
        <v/>
      </c>
      <c r="AP889">
        <f>IF(OR(W889=0,D889=0),"",D889/W889)</f>
        <v/>
      </c>
      <c r="AQ889">
        <f>IF(OR(X889=0,E889=0),"",E889/X889)</f>
        <v/>
      </c>
      <c r="AR889">
        <f>IF(OR(Y889=0,F889=0),"",F889/Y889)</f>
        <v/>
      </c>
      <c r="AS889">
        <f>IF(OR(Z889=0,G889=0),"",G889/Z889)</f>
        <v/>
      </c>
      <c r="AT889">
        <f>IF(OR(AA889=0,H889=0),"",H889/AA889)</f>
        <v/>
      </c>
      <c r="AU889">
        <f>IF(OR(AB889=0,I889=0),"",I889/AB889)</f>
        <v/>
      </c>
      <c r="AV889">
        <f>IF(OR(AC889=0,J889=0),"",J889/AC889)</f>
        <v/>
      </c>
      <c r="AW889">
        <f>IF(OR(AD889=0,K889=0),"",K889/AD889)</f>
        <v/>
      </c>
      <c r="AX889">
        <f>IF(OR(AE889=0,L889=0),"",L889/AE889)</f>
        <v/>
      </c>
      <c r="AY889">
        <f>IF(OR(AF889=0,M889=0),"",M889/AF889)</f>
        <v/>
      </c>
      <c r="AZ889">
        <f>IF(OR(AG889=0,N889=0),"",N889/AG889)</f>
        <v/>
      </c>
      <c r="BA889">
        <f>IF(OR(AH889=0,O889=0),"",O889/AH889)</f>
        <v/>
      </c>
      <c r="BB889">
        <f>IF(OR(AI889=0,P889=0),"",P889/AI889)</f>
        <v/>
      </c>
      <c r="BC889">
        <f>IF(OR(AJ889=0,Q889=0),"",Q889/AJ889)</f>
        <v/>
      </c>
      <c r="BD889">
        <f>IF(OR(AK889=0,R889=0),"",R889/AK889)</f>
        <v/>
      </c>
      <c r="BE889">
        <f>IF(OR(AL889=0,S889=0),"",S889/AL889)</f>
        <v/>
      </c>
      <c r="BF889">
        <f>IF(AM889=0,NA(),T889/AM889)</f>
        <v/>
      </c>
      <c r="BG889" t="n">
        <v>9</v>
      </c>
      <c r="BH889">
        <f>IF(AM889=0,"",T889/AM889)</f>
        <v/>
      </c>
      <c r="BI889">
        <f>IF($A889="","",TEXT($A889,"d"))</f>
        <v/>
      </c>
    </row>
    <row r="890">
      <c r="A890" s="199">
        <f>IF(Kalkulasi!$B$873+9&gt;Kalkulasi!$B$874,"",Kalkulasi!$B$873+9)</f>
        <v/>
      </c>
      <c r="B890">
        <f>IF(OR($A890="",U890=0),0,IF(Kalkulasi!$B$876="OB",SUMIFS(DATA_TS!$Q$2:$Q$20001,DATA_TS!$A$2:$A$20001,$A890,DATA_TS!$C$2:$C$20001,B$880,DATA_TS!$B$2:$B$20001,Kalkulasi!$B$877),SUMIFS(DATA_TS!$R$2:$R$20001,DATA_TS!$A$2:$A$20001,$A890,DATA_TS!$C$2:$C$20001,B$880,DATA_TS!$B$2:$B$20001,Kalkulasi!$B$877)))</f>
        <v/>
      </c>
      <c r="C890">
        <f>IF(OR($A890="",V890=0),0,IF(Kalkulasi!$B$876="OB",SUMIFS(DATA_TS!$Q$2:$Q$20001,DATA_TS!$A$2:$A$20001,$A890,DATA_TS!$C$2:$C$20001,C$880,DATA_TS!$B$2:$B$20001,Kalkulasi!$B$877),SUMIFS(DATA_TS!$R$2:$R$20001,DATA_TS!$A$2:$A$20001,$A890,DATA_TS!$C$2:$C$20001,C$880,DATA_TS!$B$2:$B$20001,Kalkulasi!$B$877)))</f>
        <v/>
      </c>
      <c r="D890">
        <f>IF(OR($A890="",W890=0),0,IF(Kalkulasi!$B$876="OB",SUMIFS(DATA_TS!$Q$2:$Q$20001,DATA_TS!$A$2:$A$20001,$A890,DATA_TS!$C$2:$C$20001,D$880,DATA_TS!$B$2:$B$20001,Kalkulasi!$B$877),SUMIFS(DATA_TS!$R$2:$R$20001,DATA_TS!$A$2:$A$20001,$A890,DATA_TS!$C$2:$C$20001,D$880,DATA_TS!$B$2:$B$20001,Kalkulasi!$B$877)))</f>
        <v/>
      </c>
      <c r="E890">
        <f>IF(OR($A890="",X890=0),0,IF(Kalkulasi!$B$876="OB",SUMIFS(DATA_TS!$Q$2:$Q$20001,DATA_TS!$A$2:$A$20001,$A890,DATA_TS!$C$2:$C$20001,E$880,DATA_TS!$B$2:$B$20001,Kalkulasi!$B$877),SUMIFS(DATA_TS!$R$2:$R$20001,DATA_TS!$A$2:$A$20001,$A890,DATA_TS!$C$2:$C$20001,E$880,DATA_TS!$B$2:$B$20001,Kalkulasi!$B$877)))</f>
        <v/>
      </c>
      <c r="F890">
        <f>IF(OR($A890="",Y890=0),0,IF(Kalkulasi!$B$876="OB",SUMIFS(DATA_TS!$Q$2:$Q$20001,DATA_TS!$A$2:$A$20001,$A890,DATA_TS!$C$2:$C$20001,F$880,DATA_TS!$B$2:$B$20001,Kalkulasi!$B$877),SUMIFS(DATA_TS!$R$2:$R$20001,DATA_TS!$A$2:$A$20001,$A890,DATA_TS!$C$2:$C$20001,F$880,DATA_TS!$B$2:$B$20001,Kalkulasi!$B$877)))</f>
        <v/>
      </c>
      <c r="G890">
        <f>IF(OR($A890="",Z890=0),0,IF(Kalkulasi!$B$876="OB",SUMIFS(DATA_TS!$Q$2:$Q$20001,DATA_TS!$A$2:$A$20001,$A890,DATA_TS!$C$2:$C$20001,G$880,DATA_TS!$B$2:$B$20001,Kalkulasi!$B$877),SUMIFS(DATA_TS!$R$2:$R$20001,DATA_TS!$A$2:$A$20001,$A890,DATA_TS!$C$2:$C$20001,G$880,DATA_TS!$B$2:$B$20001,Kalkulasi!$B$877)))</f>
        <v/>
      </c>
      <c r="H890">
        <f>IF(OR($A890="",AA890=0),0,IF(Kalkulasi!$B$876="OB",SUMIFS(DATA_TS!$Q$2:$Q$20001,DATA_TS!$A$2:$A$20001,$A890,DATA_TS!$C$2:$C$20001,H$880,DATA_TS!$B$2:$B$20001,Kalkulasi!$B$877),SUMIFS(DATA_TS!$R$2:$R$20001,DATA_TS!$A$2:$A$20001,$A890,DATA_TS!$C$2:$C$20001,H$880,DATA_TS!$B$2:$B$20001,Kalkulasi!$B$877)))</f>
        <v/>
      </c>
      <c r="I890">
        <f>IF(OR($A890="",AB890=0),0,IF(Kalkulasi!$B$876="OB",SUMIFS(DATA_TS!$Q$2:$Q$20001,DATA_TS!$A$2:$A$20001,$A890,DATA_TS!$C$2:$C$20001,I$880,DATA_TS!$B$2:$B$20001,Kalkulasi!$B$877),SUMIFS(DATA_TS!$R$2:$R$20001,DATA_TS!$A$2:$A$20001,$A890,DATA_TS!$C$2:$C$20001,I$880,DATA_TS!$B$2:$B$20001,Kalkulasi!$B$877)))</f>
        <v/>
      </c>
      <c r="J890">
        <f>IF(OR($A890="",AC890=0),0,IF(Kalkulasi!$B$876="OB",SUMIFS(DATA_TS!$Q$2:$Q$20001,DATA_TS!$A$2:$A$20001,$A890,DATA_TS!$C$2:$C$20001,J$880,DATA_TS!$B$2:$B$20001,Kalkulasi!$B$877),SUMIFS(DATA_TS!$R$2:$R$20001,DATA_TS!$A$2:$A$20001,$A890,DATA_TS!$C$2:$C$20001,J$880,DATA_TS!$B$2:$B$20001,Kalkulasi!$B$877)))</f>
        <v/>
      </c>
      <c r="K890">
        <f>IF(OR($A890="",AD890=0),0,IF(Kalkulasi!$B$876="OB",SUMIFS(DATA_TS!$Q$2:$Q$20001,DATA_TS!$A$2:$A$20001,$A890,DATA_TS!$C$2:$C$20001,K$880,DATA_TS!$B$2:$B$20001,Kalkulasi!$B$877),SUMIFS(DATA_TS!$R$2:$R$20001,DATA_TS!$A$2:$A$20001,$A890,DATA_TS!$C$2:$C$20001,K$880,DATA_TS!$B$2:$B$20001,Kalkulasi!$B$877)))</f>
        <v/>
      </c>
      <c r="L890">
        <f>IF(OR($A890="",AE890=0),0,IF(Kalkulasi!$B$876="OB",SUMIFS(DATA_TS!$Q$2:$Q$20001,DATA_TS!$A$2:$A$20001,$A890,DATA_TS!$C$2:$C$20001,L$880,DATA_TS!$B$2:$B$20001,Kalkulasi!$B$877),SUMIFS(DATA_TS!$R$2:$R$20001,DATA_TS!$A$2:$A$20001,$A890,DATA_TS!$C$2:$C$20001,L$880,DATA_TS!$B$2:$B$20001,Kalkulasi!$B$877)))</f>
        <v/>
      </c>
      <c r="M890">
        <f>IF(OR($A890="",AF890=0),0,IF(Kalkulasi!$B$876="OB",SUMIFS(DATA_TS!$Q$2:$Q$20001,DATA_TS!$A$2:$A$20001,$A890,DATA_TS!$C$2:$C$20001,M$880,DATA_TS!$B$2:$B$20001,Kalkulasi!$B$877),SUMIFS(DATA_TS!$R$2:$R$20001,DATA_TS!$A$2:$A$20001,$A890,DATA_TS!$C$2:$C$20001,M$880,DATA_TS!$B$2:$B$20001,Kalkulasi!$B$877)))</f>
        <v/>
      </c>
      <c r="N890">
        <f>IF(OR($A890="",AG890=0),0,IF(Kalkulasi!$B$876="OB",SUMIFS(DATA_TS!$Q$2:$Q$20001,DATA_TS!$A$2:$A$20001,$A890,DATA_TS!$C$2:$C$20001,N$880,DATA_TS!$B$2:$B$20001,Kalkulasi!$B$877),SUMIFS(DATA_TS!$R$2:$R$20001,DATA_TS!$A$2:$A$20001,$A890,DATA_TS!$C$2:$C$20001,N$880,DATA_TS!$B$2:$B$20001,Kalkulasi!$B$877)))</f>
        <v/>
      </c>
      <c r="O890">
        <f>IF(OR($A890="",AH890=0),0,IF(Kalkulasi!$B$876="OB",SUMIFS(DATA_TS!$Q$2:$Q$20001,DATA_TS!$A$2:$A$20001,$A890,DATA_TS!$C$2:$C$20001,O$880,DATA_TS!$B$2:$B$20001,Kalkulasi!$B$877),SUMIFS(DATA_TS!$R$2:$R$20001,DATA_TS!$A$2:$A$20001,$A890,DATA_TS!$C$2:$C$20001,O$880,DATA_TS!$B$2:$B$20001,Kalkulasi!$B$877)))</f>
        <v/>
      </c>
      <c r="P890">
        <f>IF(OR($A890="",AI890=0),0,IF(Kalkulasi!$B$876="OB",SUMIFS(DATA_TS!$Q$2:$Q$20001,DATA_TS!$A$2:$A$20001,$A890,DATA_TS!$C$2:$C$20001,P$880,DATA_TS!$B$2:$B$20001,Kalkulasi!$B$877),SUMIFS(DATA_TS!$R$2:$R$20001,DATA_TS!$A$2:$A$20001,$A890,DATA_TS!$C$2:$C$20001,P$880,DATA_TS!$B$2:$B$20001,Kalkulasi!$B$877)))</f>
        <v/>
      </c>
      <c r="Q890">
        <f>IF(OR($A890="",AJ890=0),0,IF(Kalkulasi!$B$876="OB",SUMIFS(DATA_TS!$Q$2:$Q$20001,DATA_TS!$A$2:$A$20001,$A890,DATA_TS!$C$2:$C$20001,Q$880,DATA_TS!$B$2:$B$20001,Kalkulasi!$B$877),SUMIFS(DATA_TS!$R$2:$R$20001,DATA_TS!$A$2:$A$20001,$A890,DATA_TS!$C$2:$C$20001,Q$880,DATA_TS!$B$2:$B$20001,Kalkulasi!$B$877)))</f>
        <v/>
      </c>
      <c r="R890">
        <f>IF(OR($A890="",AK890=0),0,IF(Kalkulasi!$B$876="OB",SUMIFS(DATA_TS!$Q$2:$Q$20001,DATA_TS!$A$2:$A$20001,$A890,DATA_TS!$C$2:$C$20001,R$880,DATA_TS!$B$2:$B$20001,Kalkulasi!$B$877),SUMIFS(DATA_TS!$R$2:$R$20001,DATA_TS!$A$2:$A$20001,$A890,DATA_TS!$C$2:$C$20001,R$880,DATA_TS!$B$2:$B$20001,Kalkulasi!$B$877)))</f>
        <v/>
      </c>
      <c r="S890">
        <f>IF(OR($A890="",AL890=0),0,IF(Kalkulasi!$B$876="OB",SUMIFS(DATA_TS!$Q$2:$Q$20001,DATA_TS!$A$2:$A$20001,$A890,DATA_TS!$C$2:$C$20001,S$880,DATA_TS!$B$2:$B$20001,Kalkulasi!$B$877),SUMIFS(DATA_TS!$R$2:$R$20001,DATA_TS!$A$2:$A$20001,$A890,DATA_TS!$C$2:$C$20001,S$880,DATA_TS!$B$2:$B$20001,Kalkulasi!$B$877)))</f>
        <v/>
      </c>
      <c r="T890">
        <f>SUM(B890:S890)</f>
        <v/>
      </c>
      <c r="U890">
        <f>IF($A890="",0,IF(Kalkulasi!$B$876="OB",SUMIFS(DATA_TS!$M$2:$M$20001,DATA_TS!$A$2:$A$20001,$A890,DATA_TS!$C$2:$C$20001,B$880,DATA_TS!$B$2:$B$20001,Kalkulasi!$B$877),SUMIFS(DATA_TS!$N$2:$N$20001,DATA_TS!$A$2:$A$20001,$A890,DATA_TS!$C$2:$C$20001,B$880,DATA_TS!$B$2:$B$20001,Kalkulasi!$B$877)))</f>
        <v/>
      </c>
      <c r="V890">
        <f>IF($A890="",0,IF(Kalkulasi!$B$876="OB",SUMIFS(DATA_TS!$M$2:$M$20001,DATA_TS!$A$2:$A$20001,$A890,DATA_TS!$C$2:$C$20001,C$880,DATA_TS!$B$2:$B$20001,Kalkulasi!$B$877),SUMIFS(DATA_TS!$N$2:$N$20001,DATA_TS!$A$2:$A$20001,$A890,DATA_TS!$C$2:$C$20001,C$880,DATA_TS!$B$2:$B$20001,Kalkulasi!$B$877)))</f>
        <v/>
      </c>
      <c r="W890">
        <f>IF($A890="",0,IF(Kalkulasi!$B$876="OB",SUMIFS(DATA_TS!$M$2:$M$20001,DATA_TS!$A$2:$A$20001,$A890,DATA_TS!$C$2:$C$20001,D$880,DATA_TS!$B$2:$B$20001,Kalkulasi!$B$877),SUMIFS(DATA_TS!$N$2:$N$20001,DATA_TS!$A$2:$A$20001,$A890,DATA_TS!$C$2:$C$20001,D$880,DATA_TS!$B$2:$B$20001,Kalkulasi!$B$877)))</f>
        <v/>
      </c>
      <c r="X890">
        <f>IF($A890="",0,IF(Kalkulasi!$B$876="OB",SUMIFS(DATA_TS!$M$2:$M$20001,DATA_TS!$A$2:$A$20001,$A890,DATA_TS!$C$2:$C$20001,E$880,DATA_TS!$B$2:$B$20001,Kalkulasi!$B$877),SUMIFS(DATA_TS!$N$2:$N$20001,DATA_TS!$A$2:$A$20001,$A890,DATA_TS!$C$2:$C$20001,E$880,DATA_TS!$B$2:$B$20001,Kalkulasi!$B$877)))</f>
        <v/>
      </c>
      <c r="Y890">
        <f>IF($A890="",0,IF(Kalkulasi!$B$876="OB",SUMIFS(DATA_TS!$M$2:$M$20001,DATA_TS!$A$2:$A$20001,$A890,DATA_TS!$C$2:$C$20001,F$880,DATA_TS!$B$2:$B$20001,Kalkulasi!$B$877),SUMIFS(DATA_TS!$N$2:$N$20001,DATA_TS!$A$2:$A$20001,$A890,DATA_TS!$C$2:$C$20001,F$880,DATA_TS!$B$2:$B$20001,Kalkulasi!$B$877)))</f>
        <v/>
      </c>
      <c r="Z890">
        <f>IF($A890="",0,IF(Kalkulasi!$B$876="OB",SUMIFS(DATA_TS!$M$2:$M$20001,DATA_TS!$A$2:$A$20001,$A890,DATA_TS!$C$2:$C$20001,G$880,DATA_TS!$B$2:$B$20001,Kalkulasi!$B$877),SUMIFS(DATA_TS!$N$2:$N$20001,DATA_TS!$A$2:$A$20001,$A890,DATA_TS!$C$2:$C$20001,G$880,DATA_TS!$B$2:$B$20001,Kalkulasi!$B$877)))</f>
        <v/>
      </c>
      <c r="AA890">
        <f>IF($A890="",0,IF(Kalkulasi!$B$876="OB",SUMIFS(DATA_TS!$M$2:$M$20001,DATA_TS!$A$2:$A$20001,$A890,DATA_TS!$C$2:$C$20001,H$880,DATA_TS!$B$2:$B$20001,Kalkulasi!$B$877),SUMIFS(DATA_TS!$N$2:$N$20001,DATA_TS!$A$2:$A$20001,$A890,DATA_TS!$C$2:$C$20001,H$880,DATA_TS!$B$2:$B$20001,Kalkulasi!$B$877)))</f>
        <v/>
      </c>
      <c r="AB890">
        <f>IF($A890="",0,IF(Kalkulasi!$B$876="OB",SUMIFS(DATA_TS!$M$2:$M$20001,DATA_TS!$A$2:$A$20001,$A890,DATA_TS!$C$2:$C$20001,I$880,DATA_TS!$B$2:$B$20001,Kalkulasi!$B$877),SUMIFS(DATA_TS!$N$2:$N$20001,DATA_TS!$A$2:$A$20001,$A890,DATA_TS!$C$2:$C$20001,I$880,DATA_TS!$B$2:$B$20001,Kalkulasi!$B$877)))</f>
        <v/>
      </c>
      <c r="AC890">
        <f>IF($A890="",0,IF(Kalkulasi!$B$876="OB",SUMIFS(DATA_TS!$M$2:$M$20001,DATA_TS!$A$2:$A$20001,$A890,DATA_TS!$C$2:$C$20001,J$880,DATA_TS!$B$2:$B$20001,Kalkulasi!$B$877),SUMIFS(DATA_TS!$N$2:$N$20001,DATA_TS!$A$2:$A$20001,$A890,DATA_TS!$C$2:$C$20001,J$880,DATA_TS!$B$2:$B$20001,Kalkulasi!$B$877)))</f>
        <v/>
      </c>
      <c r="AD890">
        <f>IF($A890="",0,IF(Kalkulasi!$B$876="OB",SUMIFS(DATA_TS!$M$2:$M$20001,DATA_TS!$A$2:$A$20001,$A890,DATA_TS!$C$2:$C$20001,K$880,DATA_TS!$B$2:$B$20001,Kalkulasi!$B$877),SUMIFS(DATA_TS!$N$2:$N$20001,DATA_TS!$A$2:$A$20001,$A890,DATA_TS!$C$2:$C$20001,K$880,DATA_TS!$B$2:$B$20001,Kalkulasi!$B$877)))</f>
        <v/>
      </c>
      <c r="AE890">
        <f>IF($A890="",0,IF(Kalkulasi!$B$876="OB",SUMIFS(DATA_TS!$M$2:$M$20001,DATA_TS!$A$2:$A$20001,$A890,DATA_TS!$C$2:$C$20001,L$880,DATA_TS!$B$2:$B$20001,Kalkulasi!$B$877),SUMIFS(DATA_TS!$N$2:$N$20001,DATA_TS!$A$2:$A$20001,$A890,DATA_TS!$C$2:$C$20001,L$880,DATA_TS!$B$2:$B$20001,Kalkulasi!$B$877)))</f>
        <v/>
      </c>
      <c r="AF890">
        <f>IF($A890="",0,IF(Kalkulasi!$B$876="OB",SUMIFS(DATA_TS!$M$2:$M$20001,DATA_TS!$A$2:$A$20001,$A890,DATA_TS!$C$2:$C$20001,M$880,DATA_TS!$B$2:$B$20001,Kalkulasi!$B$877),SUMIFS(DATA_TS!$N$2:$N$20001,DATA_TS!$A$2:$A$20001,$A890,DATA_TS!$C$2:$C$20001,M$880,DATA_TS!$B$2:$B$20001,Kalkulasi!$B$877)))</f>
        <v/>
      </c>
      <c r="AG890">
        <f>IF($A890="",0,IF(Kalkulasi!$B$876="OB",SUMIFS(DATA_TS!$M$2:$M$20001,DATA_TS!$A$2:$A$20001,$A890,DATA_TS!$C$2:$C$20001,N$880,DATA_TS!$B$2:$B$20001,Kalkulasi!$B$877),SUMIFS(DATA_TS!$N$2:$N$20001,DATA_TS!$A$2:$A$20001,$A890,DATA_TS!$C$2:$C$20001,N$880,DATA_TS!$B$2:$B$20001,Kalkulasi!$B$877)))</f>
        <v/>
      </c>
      <c r="AH890">
        <f>IF($A890="",0,IF(Kalkulasi!$B$876="OB",SUMIFS(DATA_TS!$M$2:$M$20001,DATA_TS!$A$2:$A$20001,$A890,DATA_TS!$C$2:$C$20001,O$880,DATA_TS!$B$2:$B$20001,Kalkulasi!$B$877),SUMIFS(DATA_TS!$N$2:$N$20001,DATA_TS!$A$2:$A$20001,$A890,DATA_TS!$C$2:$C$20001,O$880,DATA_TS!$B$2:$B$20001,Kalkulasi!$B$877)))</f>
        <v/>
      </c>
      <c r="AI890">
        <f>IF($A890="",0,IF(Kalkulasi!$B$876="OB",SUMIFS(DATA_TS!$M$2:$M$20001,DATA_TS!$A$2:$A$20001,$A890,DATA_TS!$C$2:$C$20001,P$880,DATA_TS!$B$2:$B$20001,Kalkulasi!$B$877),SUMIFS(DATA_TS!$N$2:$N$20001,DATA_TS!$A$2:$A$20001,$A890,DATA_TS!$C$2:$C$20001,P$880,DATA_TS!$B$2:$B$20001,Kalkulasi!$B$877)))</f>
        <v/>
      </c>
      <c r="AJ890">
        <f>IF($A890="",0,IF(Kalkulasi!$B$876="OB",SUMIFS(DATA_TS!$M$2:$M$20001,DATA_TS!$A$2:$A$20001,$A890,DATA_TS!$C$2:$C$20001,Q$880,DATA_TS!$B$2:$B$20001,Kalkulasi!$B$877),SUMIFS(DATA_TS!$N$2:$N$20001,DATA_TS!$A$2:$A$20001,$A890,DATA_TS!$C$2:$C$20001,Q$880,DATA_TS!$B$2:$B$20001,Kalkulasi!$B$877)))</f>
        <v/>
      </c>
      <c r="AK890">
        <f>IF($A890="",0,IF(Kalkulasi!$B$876="OB",SUMIFS(DATA_TS!$M$2:$M$20001,DATA_TS!$A$2:$A$20001,$A890,DATA_TS!$C$2:$C$20001,R$880,DATA_TS!$B$2:$B$20001,Kalkulasi!$B$877),SUMIFS(DATA_TS!$N$2:$N$20001,DATA_TS!$A$2:$A$20001,$A890,DATA_TS!$C$2:$C$20001,R$880,DATA_TS!$B$2:$B$20001,Kalkulasi!$B$877)))</f>
        <v/>
      </c>
      <c r="AL890">
        <f>IF($A890="",0,IF(Kalkulasi!$B$876="OB",SUMIFS(DATA_TS!$M$2:$M$20001,DATA_TS!$A$2:$A$20001,$A890,DATA_TS!$C$2:$C$20001,S$880,DATA_TS!$B$2:$B$20001,Kalkulasi!$B$877),SUMIFS(DATA_TS!$N$2:$N$20001,DATA_TS!$A$2:$A$20001,$A890,DATA_TS!$C$2:$C$20001,S$880,DATA_TS!$B$2:$B$20001,Kalkulasi!$B$877)))</f>
        <v/>
      </c>
      <c r="AM890">
        <f>SUM(U890:AL890)</f>
        <v/>
      </c>
      <c r="AN890">
        <f>IF(OR(U890=0,B890=0),"",B890/U890)</f>
        <v/>
      </c>
      <c r="AO890">
        <f>IF(OR(V890=0,C890=0),"",C890/V890)</f>
        <v/>
      </c>
      <c r="AP890">
        <f>IF(OR(W890=0,D890=0),"",D890/W890)</f>
        <v/>
      </c>
      <c r="AQ890">
        <f>IF(OR(X890=0,E890=0),"",E890/X890)</f>
        <v/>
      </c>
      <c r="AR890">
        <f>IF(OR(Y890=0,F890=0),"",F890/Y890)</f>
        <v/>
      </c>
      <c r="AS890">
        <f>IF(OR(Z890=0,G890=0),"",G890/Z890)</f>
        <v/>
      </c>
      <c r="AT890">
        <f>IF(OR(AA890=0,H890=0),"",H890/AA890)</f>
        <v/>
      </c>
      <c r="AU890">
        <f>IF(OR(AB890=0,I890=0),"",I890/AB890)</f>
        <v/>
      </c>
      <c r="AV890">
        <f>IF(OR(AC890=0,J890=0),"",J890/AC890)</f>
        <v/>
      </c>
      <c r="AW890">
        <f>IF(OR(AD890=0,K890=0),"",K890/AD890)</f>
        <v/>
      </c>
      <c r="AX890">
        <f>IF(OR(AE890=0,L890=0),"",L890/AE890)</f>
        <v/>
      </c>
      <c r="AY890">
        <f>IF(OR(AF890=0,M890=0),"",M890/AF890)</f>
        <v/>
      </c>
      <c r="AZ890">
        <f>IF(OR(AG890=0,N890=0),"",N890/AG890)</f>
        <v/>
      </c>
      <c r="BA890">
        <f>IF(OR(AH890=0,O890=0),"",O890/AH890)</f>
        <v/>
      </c>
      <c r="BB890">
        <f>IF(OR(AI890=0,P890=0),"",P890/AI890)</f>
        <v/>
      </c>
      <c r="BC890">
        <f>IF(OR(AJ890=0,Q890=0),"",Q890/AJ890)</f>
        <v/>
      </c>
      <c r="BD890">
        <f>IF(OR(AK890=0,R890=0),"",R890/AK890)</f>
        <v/>
      </c>
      <c r="BE890">
        <f>IF(OR(AL890=0,S890=0),"",S890/AL890)</f>
        <v/>
      </c>
      <c r="BF890">
        <f>IF(AM890=0,NA(),T890/AM890)</f>
        <v/>
      </c>
      <c r="BG890" t="n">
        <v>10</v>
      </c>
      <c r="BH890">
        <f>IF(AM890=0,"",T890/AM890)</f>
        <v/>
      </c>
      <c r="BI890">
        <f>IF($A890="","",TEXT($A890,"d"))</f>
        <v/>
      </c>
    </row>
    <row r="891">
      <c r="A891" s="199">
        <f>IF(Kalkulasi!$B$873+10&gt;Kalkulasi!$B$874,"",Kalkulasi!$B$873+10)</f>
        <v/>
      </c>
      <c r="B891">
        <f>IF(OR($A891="",U891=0),0,IF(Kalkulasi!$B$876="OB",SUMIFS(DATA_TS!$Q$2:$Q$20001,DATA_TS!$A$2:$A$20001,$A891,DATA_TS!$C$2:$C$20001,B$880,DATA_TS!$B$2:$B$20001,Kalkulasi!$B$877),SUMIFS(DATA_TS!$R$2:$R$20001,DATA_TS!$A$2:$A$20001,$A891,DATA_TS!$C$2:$C$20001,B$880,DATA_TS!$B$2:$B$20001,Kalkulasi!$B$877)))</f>
        <v/>
      </c>
      <c r="C891">
        <f>IF(OR($A891="",V891=0),0,IF(Kalkulasi!$B$876="OB",SUMIFS(DATA_TS!$Q$2:$Q$20001,DATA_TS!$A$2:$A$20001,$A891,DATA_TS!$C$2:$C$20001,C$880,DATA_TS!$B$2:$B$20001,Kalkulasi!$B$877),SUMIFS(DATA_TS!$R$2:$R$20001,DATA_TS!$A$2:$A$20001,$A891,DATA_TS!$C$2:$C$20001,C$880,DATA_TS!$B$2:$B$20001,Kalkulasi!$B$877)))</f>
        <v/>
      </c>
      <c r="D891">
        <f>IF(OR($A891="",W891=0),0,IF(Kalkulasi!$B$876="OB",SUMIFS(DATA_TS!$Q$2:$Q$20001,DATA_TS!$A$2:$A$20001,$A891,DATA_TS!$C$2:$C$20001,D$880,DATA_TS!$B$2:$B$20001,Kalkulasi!$B$877),SUMIFS(DATA_TS!$R$2:$R$20001,DATA_TS!$A$2:$A$20001,$A891,DATA_TS!$C$2:$C$20001,D$880,DATA_TS!$B$2:$B$20001,Kalkulasi!$B$877)))</f>
        <v/>
      </c>
      <c r="E891">
        <f>IF(OR($A891="",X891=0),0,IF(Kalkulasi!$B$876="OB",SUMIFS(DATA_TS!$Q$2:$Q$20001,DATA_TS!$A$2:$A$20001,$A891,DATA_TS!$C$2:$C$20001,E$880,DATA_TS!$B$2:$B$20001,Kalkulasi!$B$877),SUMIFS(DATA_TS!$R$2:$R$20001,DATA_TS!$A$2:$A$20001,$A891,DATA_TS!$C$2:$C$20001,E$880,DATA_TS!$B$2:$B$20001,Kalkulasi!$B$877)))</f>
        <v/>
      </c>
      <c r="F891">
        <f>IF(OR($A891="",Y891=0),0,IF(Kalkulasi!$B$876="OB",SUMIFS(DATA_TS!$Q$2:$Q$20001,DATA_TS!$A$2:$A$20001,$A891,DATA_TS!$C$2:$C$20001,F$880,DATA_TS!$B$2:$B$20001,Kalkulasi!$B$877),SUMIFS(DATA_TS!$R$2:$R$20001,DATA_TS!$A$2:$A$20001,$A891,DATA_TS!$C$2:$C$20001,F$880,DATA_TS!$B$2:$B$20001,Kalkulasi!$B$877)))</f>
        <v/>
      </c>
      <c r="G891">
        <f>IF(OR($A891="",Z891=0),0,IF(Kalkulasi!$B$876="OB",SUMIFS(DATA_TS!$Q$2:$Q$20001,DATA_TS!$A$2:$A$20001,$A891,DATA_TS!$C$2:$C$20001,G$880,DATA_TS!$B$2:$B$20001,Kalkulasi!$B$877),SUMIFS(DATA_TS!$R$2:$R$20001,DATA_TS!$A$2:$A$20001,$A891,DATA_TS!$C$2:$C$20001,G$880,DATA_TS!$B$2:$B$20001,Kalkulasi!$B$877)))</f>
        <v/>
      </c>
      <c r="H891">
        <f>IF(OR($A891="",AA891=0),0,IF(Kalkulasi!$B$876="OB",SUMIFS(DATA_TS!$Q$2:$Q$20001,DATA_TS!$A$2:$A$20001,$A891,DATA_TS!$C$2:$C$20001,H$880,DATA_TS!$B$2:$B$20001,Kalkulasi!$B$877),SUMIFS(DATA_TS!$R$2:$R$20001,DATA_TS!$A$2:$A$20001,$A891,DATA_TS!$C$2:$C$20001,H$880,DATA_TS!$B$2:$B$20001,Kalkulasi!$B$877)))</f>
        <v/>
      </c>
      <c r="I891">
        <f>IF(OR($A891="",AB891=0),0,IF(Kalkulasi!$B$876="OB",SUMIFS(DATA_TS!$Q$2:$Q$20001,DATA_TS!$A$2:$A$20001,$A891,DATA_TS!$C$2:$C$20001,I$880,DATA_TS!$B$2:$B$20001,Kalkulasi!$B$877),SUMIFS(DATA_TS!$R$2:$R$20001,DATA_TS!$A$2:$A$20001,$A891,DATA_TS!$C$2:$C$20001,I$880,DATA_TS!$B$2:$B$20001,Kalkulasi!$B$877)))</f>
        <v/>
      </c>
      <c r="J891">
        <f>IF(OR($A891="",AC891=0),0,IF(Kalkulasi!$B$876="OB",SUMIFS(DATA_TS!$Q$2:$Q$20001,DATA_TS!$A$2:$A$20001,$A891,DATA_TS!$C$2:$C$20001,J$880,DATA_TS!$B$2:$B$20001,Kalkulasi!$B$877),SUMIFS(DATA_TS!$R$2:$R$20001,DATA_TS!$A$2:$A$20001,$A891,DATA_TS!$C$2:$C$20001,J$880,DATA_TS!$B$2:$B$20001,Kalkulasi!$B$877)))</f>
        <v/>
      </c>
      <c r="K891">
        <f>IF(OR($A891="",AD891=0),0,IF(Kalkulasi!$B$876="OB",SUMIFS(DATA_TS!$Q$2:$Q$20001,DATA_TS!$A$2:$A$20001,$A891,DATA_TS!$C$2:$C$20001,K$880,DATA_TS!$B$2:$B$20001,Kalkulasi!$B$877),SUMIFS(DATA_TS!$R$2:$R$20001,DATA_TS!$A$2:$A$20001,$A891,DATA_TS!$C$2:$C$20001,K$880,DATA_TS!$B$2:$B$20001,Kalkulasi!$B$877)))</f>
        <v/>
      </c>
      <c r="L891">
        <f>IF(OR($A891="",AE891=0),0,IF(Kalkulasi!$B$876="OB",SUMIFS(DATA_TS!$Q$2:$Q$20001,DATA_TS!$A$2:$A$20001,$A891,DATA_TS!$C$2:$C$20001,L$880,DATA_TS!$B$2:$B$20001,Kalkulasi!$B$877),SUMIFS(DATA_TS!$R$2:$R$20001,DATA_TS!$A$2:$A$20001,$A891,DATA_TS!$C$2:$C$20001,L$880,DATA_TS!$B$2:$B$20001,Kalkulasi!$B$877)))</f>
        <v/>
      </c>
      <c r="M891">
        <f>IF(OR($A891="",AF891=0),0,IF(Kalkulasi!$B$876="OB",SUMIFS(DATA_TS!$Q$2:$Q$20001,DATA_TS!$A$2:$A$20001,$A891,DATA_TS!$C$2:$C$20001,M$880,DATA_TS!$B$2:$B$20001,Kalkulasi!$B$877),SUMIFS(DATA_TS!$R$2:$R$20001,DATA_TS!$A$2:$A$20001,$A891,DATA_TS!$C$2:$C$20001,M$880,DATA_TS!$B$2:$B$20001,Kalkulasi!$B$877)))</f>
        <v/>
      </c>
      <c r="N891">
        <f>IF(OR($A891="",AG891=0),0,IF(Kalkulasi!$B$876="OB",SUMIFS(DATA_TS!$Q$2:$Q$20001,DATA_TS!$A$2:$A$20001,$A891,DATA_TS!$C$2:$C$20001,N$880,DATA_TS!$B$2:$B$20001,Kalkulasi!$B$877),SUMIFS(DATA_TS!$R$2:$R$20001,DATA_TS!$A$2:$A$20001,$A891,DATA_TS!$C$2:$C$20001,N$880,DATA_TS!$B$2:$B$20001,Kalkulasi!$B$877)))</f>
        <v/>
      </c>
      <c r="O891">
        <f>IF(OR($A891="",AH891=0),0,IF(Kalkulasi!$B$876="OB",SUMIFS(DATA_TS!$Q$2:$Q$20001,DATA_TS!$A$2:$A$20001,$A891,DATA_TS!$C$2:$C$20001,O$880,DATA_TS!$B$2:$B$20001,Kalkulasi!$B$877),SUMIFS(DATA_TS!$R$2:$R$20001,DATA_TS!$A$2:$A$20001,$A891,DATA_TS!$C$2:$C$20001,O$880,DATA_TS!$B$2:$B$20001,Kalkulasi!$B$877)))</f>
        <v/>
      </c>
      <c r="P891">
        <f>IF(OR($A891="",AI891=0),0,IF(Kalkulasi!$B$876="OB",SUMIFS(DATA_TS!$Q$2:$Q$20001,DATA_TS!$A$2:$A$20001,$A891,DATA_TS!$C$2:$C$20001,P$880,DATA_TS!$B$2:$B$20001,Kalkulasi!$B$877),SUMIFS(DATA_TS!$R$2:$R$20001,DATA_TS!$A$2:$A$20001,$A891,DATA_TS!$C$2:$C$20001,P$880,DATA_TS!$B$2:$B$20001,Kalkulasi!$B$877)))</f>
        <v/>
      </c>
      <c r="Q891">
        <f>IF(OR($A891="",AJ891=0),0,IF(Kalkulasi!$B$876="OB",SUMIFS(DATA_TS!$Q$2:$Q$20001,DATA_TS!$A$2:$A$20001,$A891,DATA_TS!$C$2:$C$20001,Q$880,DATA_TS!$B$2:$B$20001,Kalkulasi!$B$877),SUMIFS(DATA_TS!$R$2:$R$20001,DATA_TS!$A$2:$A$20001,$A891,DATA_TS!$C$2:$C$20001,Q$880,DATA_TS!$B$2:$B$20001,Kalkulasi!$B$877)))</f>
        <v/>
      </c>
      <c r="R891">
        <f>IF(OR($A891="",AK891=0),0,IF(Kalkulasi!$B$876="OB",SUMIFS(DATA_TS!$Q$2:$Q$20001,DATA_TS!$A$2:$A$20001,$A891,DATA_TS!$C$2:$C$20001,R$880,DATA_TS!$B$2:$B$20001,Kalkulasi!$B$877),SUMIFS(DATA_TS!$R$2:$R$20001,DATA_TS!$A$2:$A$20001,$A891,DATA_TS!$C$2:$C$20001,R$880,DATA_TS!$B$2:$B$20001,Kalkulasi!$B$877)))</f>
        <v/>
      </c>
      <c r="S891">
        <f>IF(OR($A891="",AL891=0),0,IF(Kalkulasi!$B$876="OB",SUMIFS(DATA_TS!$Q$2:$Q$20001,DATA_TS!$A$2:$A$20001,$A891,DATA_TS!$C$2:$C$20001,S$880,DATA_TS!$B$2:$B$20001,Kalkulasi!$B$877),SUMIFS(DATA_TS!$R$2:$R$20001,DATA_TS!$A$2:$A$20001,$A891,DATA_TS!$C$2:$C$20001,S$880,DATA_TS!$B$2:$B$20001,Kalkulasi!$B$877)))</f>
        <v/>
      </c>
      <c r="T891">
        <f>SUM(B891:S891)</f>
        <v/>
      </c>
      <c r="U891">
        <f>IF($A891="",0,IF(Kalkulasi!$B$876="OB",SUMIFS(DATA_TS!$M$2:$M$20001,DATA_TS!$A$2:$A$20001,$A891,DATA_TS!$C$2:$C$20001,B$880,DATA_TS!$B$2:$B$20001,Kalkulasi!$B$877),SUMIFS(DATA_TS!$N$2:$N$20001,DATA_TS!$A$2:$A$20001,$A891,DATA_TS!$C$2:$C$20001,B$880,DATA_TS!$B$2:$B$20001,Kalkulasi!$B$877)))</f>
        <v/>
      </c>
      <c r="V891">
        <f>IF($A891="",0,IF(Kalkulasi!$B$876="OB",SUMIFS(DATA_TS!$M$2:$M$20001,DATA_TS!$A$2:$A$20001,$A891,DATA_TS!$C$2:$C$20001,C$880,DATA_TS!$B$2:$B$20001,Kalkulasi!$B$877),SUMIFS(DATA_TS!$N$2:$N$20001,DATA_TS!$A$2:$A$20001,$A891,DATA_TS!$C$2:$C$20001,C$880,DATA_TS!$B$2:$B$20001,Kalkulasi!$B$877)))</f>
        <v/>
      </c>
      <c r="W891">
        <f>IF($A891="",0,IF(Kalkulasi!$B$876="OB",SUMIFS(DATA_TS!$M$2:$M$20001,DATA_TS!$A$2:$A$20001,$A891,DATA_TS!$C$2:$C$20001,D$880,DATA_TS!$B$2:$B$20001,Kalkulasi!$B$877),SUMIFS(DATA_TS!$N$2:$N$20001,DATA_TS!$A$2:$A$20001,$A891,DATA_TS!$C$2:$C$20001,D$880,DATA_TS!$B$2:$B$20001,Kalkulasi!$B$877)))</f>
        <v/>
      </c>
      <c r="X891">
        <f>IF($A891="",0,IF(Kalkulasi!$B$876="OB",SUMIFS(DATA_TS!$M$2:$M$20001,DATA_TS!$A$2:$A$20001,$A891,DATA_TS!$C$2:$C$20001,E$880,DATA_TS!$B$2:$B$20001,Kalkulasi!$B$877),SUMIFS(DATA_TS!$N$2:$N$20001,DATA_TS!$A$2:$A$20001,$A891,DATA_TS!$C$2:$C$20001,E$880,DATA_TS!$B$2:$B$20001,Kalkulasi!$B$877)))</f>
        <v/>
      </c>
      <c r="Y891">
        <f>IF($A891="",0,IF(Kalkulasi!$B$876="OB",SUMIFS(DATA_TS!$M$2:$M$20001,DATA_TS!$A$2:$A$20001,$A891,DATA_TS!$C$2:$C$20001,F$880,DATA_TS!$B$2:$B$20001,Kalkulasi!$B$877),SUMIFS(DATA_TS!$N$2:$N$20001,DATA_TS!$A$2:$A$20001,$A891,DATA_TS!$C$2:$C$20001,F$880,DATA_TS!$B$2:$B$20001,Kalkulasi!$B$877)))</f>
        <v/>
      </c>
      <c r="Z891">
        <f>IF($A891="",0,IF(Kalkulasi!$B$876="OB",SUMIFS(DATA_TS!$M$2:$M$20001,DATA_TS!$A$2:$A$20001,$A891,DATA_TS!$C$2:$C$20001,G$880,DATA_TS!$B$2:$B$20001,Kalkulasi!$B$877),SUMIFS(DATA_TS!$N$2:$N$20001,DATA_TS!$A$2:$A$20001,$A891,DATA_TS!$C$2:$C$20001,G$880,DATA_TS!$B$2:$B$20001,Kalkulasi!$B$877)))</f>
        <v/>
      </c>
      <c r="AA891">
        <f>IF($A891="",0,IF(Kalkulasi!$B$876="OB",SUMIFS(DATA_TS!$M$2:$M$20001,DATA_TS!$A$2:$A$20001,$A891,DATA_TS!$C$2:$C$20001,H$880,DATA_TS!$B$2:$B$20001,Kalkulasi!$B$877),SUMIFS(DATA_TS!$N$2:$N$20001,DATA_TS!$A$2:$A$20001,$A891,DATA_TS!$C$2:$C$20001,H$880,DATA_TS!$B$2:$B$20001,Kalkulasi!$B$877)))</f>
        <v/>
      </c>
      <c r="AB891">
        <f>IF($A891="",0,IF(Kalkulasi!$B$876="OB",SUMIFS(DATA_TS!$M$2:$M$20001,DATA_TS!$A$2:$A$20001,$A891,DATA_TS!$C$2:$C$20001,I$880,DATA_TS!$B$2:$B$20001,Kalkulasi!$B$877),SUMIFS(DATA_TS!$N$2:$N$20001,DATA_TS!$A$2:$A$20001,$A891,DATA_TS!$C$2:$C$20001,I$880,DATA_TS!$B$2:$B$20001,Kalkulasi!$B$877)))</f>
        <v/>
      </c>
      <c r="AC891">
        <f>IF($A891="",0,IF(Kalkulasi!$B$876="OB",SUMIFS(DATA_TS!$M$2:$M$20001,DATA_TS!$A$2:$A$20001,$A891,DATA_TS!$C$2:$C$20001,J$880,DATA_TS!$B$2:$B$20001,Kalkulasi!$B$877),SUMIFS(DATA_TS!$N$2:$N$20001,DATA_TS!$A$2:$A$20001,$A891,DATA_TS!$C$2:$C$20001,J$880,DATA_TS!$B$2:$B$20001,Kalkulasi!$B$877)))</f>
        <v/>
      </c>
      <c r="AD891">
        <f>IF($A891="",0,IF(Kalkulasi!$B$876="OB",SUMIFS(DATA_TS!$M$2:$M$20001,DATA_TS!$A$2:$A$20001,$A891,DATA_TS!$C$2:$C$20001,K$880,DATA_TS!$B$2:$B$20001,Kalkulasi!$B$877),SUMIFS(DATA_TS!$N$2:$N$20001,DATA_TS!$A$2:$A$20001,$A891,DATA_TS!$C$2:$C$20001,K$880,DATA_TS!$B$2:$B$20001,Kalkulasi!$B$877)))</f>
        <v/>
      </c>
      <c r="AE891">
        <f>IF($A891="",0,IF(Kalkulasi!$B$876="OB",SUMIFS(DATA_TS!$M$2:$M$20001,DATA_TS!$A$2:$A$20001,$A891,DATA_TS!$C$2:$C$20001,L$880,DATA_TS!$B$2:$B$20001,Kalkulasi!$B$877),SUMIFS(DATA_TS!$N$2:$N$20001,DATA_TS!$A$2:$A$20001,$A891,DATA_TS!$C$2:$C$20001,L$880,DATA_TS!$B$2:$B$20001,Kalkulasi!$B$877)))</f>
        <v/>
      </c>
      <c r="AF891">
        <f>IF($A891="",0,IF(Kalkulasi!$B$876="OB",SUMIFS(DATA_TS!$M$2:$M$20001,DATA_TS!$A$2:$A$20001,$A891,DATA_TS!$C$2:$C$20001,M$880,DATA_TS!$B$2:$B$20001,Kalkulasi!$B$877),SUMIFS(DATA_TS!$N$2:$N$20001,DATA_TS!$A$2:$A$20001,$A891,DATA_TS!$C$2:$C$20001,M$880,DATA_TS!$B$2:$B$20001,Kalkulasi!$B$877)))</f>
        <v/>
      </c>
      <c r="AG891">
        <f>IF($A891="",0,IF(Kalkulasi!$B$876="OB",SUMIFS(DATA_TS!$M$2:$M$20001,DATA_TS!$A$2:$A$20001,$A891,DATA_TS!$C$2:$C$20001,N$880,DATA_TS!$B$2:$B$20001,Kalkulasi!$B$877),SUMIFS(DATA_TS!$N$2:$N$20001,DATA_TS!$A$2:$A$20001,$A891,DATA_TS!$C$2:$C$20001,N$880,DATA_TS!$B$2:$B$20001,Kalkulasi!$B$877)))</f>
        <v/>
      </c>
      <c r="AH891">
        <f>IF($A891="",0,IF(Kalkulasi!$B$876="OB",SUMIFS(DATA_TS!$M$2:$M$20001,DATA_TS!$A$2:$A$20001,$A891,DATA_TS!$C$2:$C$20001,O$880,DATA_TS!$B$2:$B$20001,Kalkulasi!$B$877),SUMIFS(DATA_TS!$N$2:$N$20001,DATA_TS!$A$2:$A$20001,$A891,DATA_TS!$C$2:$C$20001,O$880,DATA_TS!$B$2:$B$20001,Kalkulasi!$B$877)))</f>
        <v/>
      </c>
      <c r="AI891">
        <f>IF($A891="",0,IF(Kalkulasi!$B$876="OB",SUMIFS(DATA_TS!$M$2:$M$20001,DATA_TS!$A$2:$A$20001,$A891,DATA_TS!$C$2:$C$20001,P$880,DATA_TS!$B$2:$B$20001,Kalkulasi!$B$877),SUMIFS(DATA_TS!$N$2:$N$20001,DATA_TS!$A$2:$A$20001,$A891,DATA_TS!$C$2:$C$20001,P$880,DATA_TS!$B$2:$B$20001,Kalkulasi!$B$877)))</f>
        <v/>
      </c>
      <c r="AJ891">
        <f>IF($A891="",0,IF(Kalkulasi!$B$876="OB",SUMIFS(DATA_TS!$M$2:$M$20001,DATA_TS!$A$2:$A$20001,$A891,DATA_TS!$C$2:$C$20001,Q$880,DATA_TS!$B$2:$B$20001,Kalkulasi!$B$877),SUMIFS(DATA_TS!$N$2:$N$20001,DATA_TS!$A$2:$A$20001,$A891,DATA_TS!$C$2:$C$20001,Q$880,DATA_TS!$B$2:$B$20001,Kalkulasi!$B$877)))</f>
        <v/>
      </c>
      <c r="AK891">
        <f>IF($A891="",0,IF(Kalkulasi!$B$876="OB",SUMIFS(DATA_TS!$M$2:$M$20001,DATA_TS!$A$2:$A$20001,$A891,DATA_TS!$C$2:$C$20001,R$880,DATA_TS!$B$2:$B$20001,Kalkulasi!$B$877),SUMIFS(DATA_TS!$N$2:$N$20001,DATA_TS!$A$2:$A$20001,$A891,DATA_TS!$C$2:$C$20001,R$880,DATA_TS!$B$2:$B$20001,Kalkulasi!$B$877)))</f>
        <v/>
      </c>
      <c r="AL891">
        <f>IF($A891="",0,IF(Kalkulasi!$B$876="OB",SUMIFS(DATA_TS!$M$2:$M$20001,DATA_TS!$A$2:$A$20001,$A891,DATA_TS!$C$2:$C$20001,S$880,DATA_TS!$B$2:$B$20001,Kalkulasi!$B$877),SUMIFS(DATA_TS!$N$2:$N$20001,DATA_TS!$A$2:$A$20001,$A891,DATA_TS!$C$2:$C$20001,S$880,DATA_TS!$B$2:$B$20001,Kalkulasi!$B$877)))</f>
        <v/>
      </c>
      <c r="AM891">
        <f>SUM(U891:AL891)</f>
        <v/>
      </c>
      <c r="AN891">
        <f>IF(OR(U891=0,B891=0),"",B891/U891)</f>
        <v/>
      </c>
      <c r="AO891">
        <f>IF(OR(V891=0,C891=0),"",C891/V891)</f>
        <v/>
      </c>
      <c r="AP891">
        <f>IF(OR(W891=0,D891=0),"",D891/W891)</f>
        <v/>
      </c>
      <c r="AQ891">
        <f>IF(OR(X891=0,E891=0),"",E891/X891)</f>
        <v/>
      </c>
      <c r="AR891">
        <f>IF(OR(Y891=0,F891=0),"",F891/Y891)</f>
        <v/>
      </c>
      <c r="AS891">
        <f>IF(OR(Z891=0,G891=0),"",G891/Z891)</f>
        <v/>
      </c>
      <c r="AT891">
        <f>IF(OR(AA891=0,H891=0),"",H891/AA891)</f>
        <v/>
      </c>
      <c r="AU891">
        <f>IF(OR(AB891=0,I891=0),"",I891/AB891)</f>
        <v/>
      </c>
      <c r="AV891">
        <f>IF(OR(AC891=0,J891=0),"",J891/AC891)</f>
        <v/>
      </c>
      <c r="AW891">
        <f>IF(OR(AD891=0,K891=0),"",K891/AD891)</f>
        <v/>
      </c>
      <c r="AX891">
        <f>IF(OR(AE891=0,L891=0),"",L891/AE891)</f>
        <v/>
      </c>
      <c r="AY891">
        <f>IF(OR(AF891=0,M891=0),"",M891/AF891)</f>
        <v/>
      </c>
      <c r="AZ891">
        <f>IF(OR(AG891=0,N891=0),"",N891/AG891)</f>
        <v/>
      </c>
      <c r="BA891">
        <f>IF(OR(AH891=0,O891=0),"",O891/AH891)</f>
        <v/>
      </c>
      <c r="BB891">
        <f>IF(OR(AI891=0,P891=0),"",P891/AI891)</f>
        <v/>
      </c>
      <c r="BC891">
        <f>IF(OR(AJ891=0,Q891=0),"",Q891/AJ891)</f>
        <v/>
      </c>
      <c r="BD891">
        <f>IF(OR(AK891=0,R891=0),"",R891/AK891)</f>
        <v/>
      </c>
      <c r="BE891">
        <f>IF(OR(AL891=0,S891=0),"",S891/AL891)</f>
        <v/>
      </c>
      <c r="BF891">
        <f>IF(AM891=0,NA(),T891/AM891)</f>
        <v/>
      </c>
      <c r="BG891" t="n">
        <v>11</v>
      </c>
      <c r="BH891">
        <f>IF(AM891=0,"",T891/AM891)</f>
        <v/>
      </c>
      <c r="BI891">
        <f>IF($A891="","",TEXT($A891,"d"))</f>
        <v/>
      </c>
    </row>
    <row r="892">
      <c r="A892" s="199">
        <f>IF(Kalkulasi!$B$873+11&gt;Kalkulasi!$B$874,"",Kalkulasi!$B$873+11)</f>
        <v/>
      </c>
      <c r="B892">
        <f>IF(OR($A892="",U892=0),0,IF(Kalkulasi!$B$876="OB",SUMIFS(DATA_TS!$Q$2:$Q$20001,DATA_TS!$A$2:$A$20001,$A892,DATA_TS!$C$2:$C$20001,B$880,DATA_TS!$B$2:$B$20001,Kalkulasi!$B$877),SUMIFS(DATA_TS!$R$2:$R$20001,DATA_TS!$A$2:$A$20001,$A892,DATA_TS!$C$2:$C$20001,B$880,DATA_TS!$B$2:$B$20001,Kalkulasi!$B$877)))</f>
        <v/>
      </c>
      <c r="C892">
        <f>IF(OR($A892="",V892=0),0,IF(Kalkulasi!$B$876="OB",SUMIFS(DATA_TS!$Q$2:$Q$20001,DATA_TS!$A$2:$A$20001,$A892,DATA_TS!$C$2:$C$20001,C$880,DATA_TS!$B$2:$B$20001,Kalkulasi!$B$877),SUMIFS(DATA_TS!$R$2:$R$20001,DATA_TS!$A$2:$A$20001,$A892,DATA_TS!$C$2:$C$20001,C$880,DATA_TS!$B$2:$B$20001,Kalkulasi!$B$877)))</f>
        <v/>
      </c>
      <c r="D892">
        <f>IF(OR($A892="",W892=0),0,IF(Kalkulasi!$B$876="OB",SUMIFS(DATA_TS!$Q$2:$Q$20001,DATA_TS!$A$2:$A$20001,$A892,DATA_TS!$C$2:$C$20001,D$880,DATA_TS!$B$2:$B$20001,Kalkulasi!$B$877),SUMIFS(DATA_TS!$R$2:$R$20001,DATA_TS!$A$2:$A$20001,$A892,DATA_TS!$C$2:$C$20001,D$880,DATA_TS!$B$2:$B$20001,Kalkulasi!$B$877)))</f>
        <v/>
      </c>
      <c r="E892">
        <f>IF(OR($A892="",X892=0),0,IF(Kalkulasi!$B$876="OB",SUMIFS(DATA_TS!$Q$2:$Q$20001,DATA_TS!$A$2:$A$20001,$A892,DATA_TS!$C$2:$C$20001,E$880,DATA_TS!$B$2:$B$20001,Kalkulasi!$B$877),SUMIFS(DATA_TS!$R$2:$R$20001,DATA_TS!$A$2:$A$20001,$A892,DATA_TS!$C$2:$C$20001,E$880,DATA_TS!$B$2:$B$20001,Kalkulasi!$B$877)))</f>
        <v/>
      </c>
      <c r="F892">
        <f>IF(OR($A892="",Y892=0),0,IF(Kalkulasi!$B$876="OB",SUMIFS(DATA_TS!$Q$2:$Q$20001,DATA_TS!$A$2:$A$20001,$A892,DATA_TS!$C$2:$C$20001,F$880,DATA_TS!$B$2:$B$20001,Kalkulasi!$B$877),SUMIFS(DATA_TS!$R$2:$R$20001,DATA_TS!$A$2:$A$20001,$A892,DATA_TS!$C$2:$C$20001,F$880,DATA_TS!$B$2:$B$20001,Kalkulasi!$B$877)))</f>
        <v/>
      </c>
      <c r="G892">
        <f>IF(OR($A892="",Z892=0),0,IF(Kalkulasi!$B$876="OB",SUMIFS(DATA_TS!$Q$2:$Q$20001,DATA_TS!$A$2:$A$20001,$A892,DATA_TS!$C$2:$C$20001,G$880,DATA_TS!$B$2:$B$20001,Kalkulasi!$B$877),SUMIFS(DATA_TS!$R$2:$R$20001,DATA_TS!$A$2:$A$20001,$A892,DATA_TS!$C$2:$C$20001,G$880,DATA_TS!$B$2:$B$20001,Kalkulasi!$B$877)))</f>
        <v/>
      </c>
      <c r="H892">
        <f>IF(OR($A892="",AA892=0),0,IF(Kalkulasi!$B$876="OB",SUMIFS(DATA_TS!$Q$2:$Q$20001,DATA_TS!$A$2:$A$20001,$A892,DATA_TS!$C$2:$C$20001,H$880,DATA_TS!$B$2:$B$20001,Kalkulasi!$B$877),SUMIFS(DATA_TS!$R$2:$R$20001,DATA_TS!$A$2:$A$20001,$A892,DATA_TS!$C$2:$C$20001,H$880,DATA_TS!$B$2:$B$20001,Kalkulasi!$B$877)))</f>
        <v/>
      </c>
      <c r="I892">
        <f>IF(OR($A892="",AB892=0),0,IF(Kalkulasi!$B$876="OB",SUMIFS(DATA_TS!$Q$2:$Q$20001,DATA_TS!$A$2:$A$20001,$A892,DATA_TS!$C$2:$C$20001,I$880,DATA_TS!$B$2:$B$20001,Kalkulasi!$B$877),SUMIFS(DATA_TS!$R$2:$R$20001,DATA_TS!$A$2:$A$20001,$A892,DATA_TS!$C$2:$C$20001,I$880,DATA_TS!$B$2:$B$20001,Kalkulasi!$B$877)))</f>
        <v/>
      </c>
      <c r="J892">
        <f>IF(OR($A892="",AC892=0),0,IF(Kalkulasi!$B$876="OB",SUMIFS(DATA_TS!$Q$2:$Q$20001,DATA_TS!$A$2:$A$20001,$A892,DATA_TS!$C$2:$C$20001,J$880,DATA_TS!$B$2:$B$20001,Kalkulasi!$B$877),SUMIFS(DATA_TS!$R$2:$R$20001,DATA_TS!$A$2:$A$20001,$A892,DATA_TS!$C$2:$C$20001,J$880,DATA_TS!$B$2:$B$20001,Kalkulasi!$B$877)))</f>
        <v/>
      </c>
      <c r="K892">
        <f>IF(OR($A892="",AD892=0),0,IF(Kalkulasi!$B$876="OB",SUMIFS(DATA_TS!$Q$2:$Q$20001,DATA_TS!$A$2:$A$20001,$A892,DATA_TS!$C$2:$C$20001,K$880,DATA_TS!$B$2:$B$20001,Kalkulasi!$B$877),SUMIFS(DATA_TS!$R$2:$R$20001,DATA_TS!$A$2:$A$20001,$A892,DATA_TS!$C$2:$C$20001,K$880,DATA_TS!$B$2:$B$20001,Kalkulasi!$B$877)))</f>
        <v/>
      </c>
      <c r="L892">
        <f>IF(OR($A892="",AE892=0),0,IF(Kalkulasi!$B$876="OB",SUMIFS(DATA_TS!$Q$2:$Q$20001,DATA_TS!$A$2:$A$20001,$A892,DATA_TS!$C$2:$C$20001,L$880,DATA_TS!$B$2:$B$20001,Kalkulasi!$B$877),SUMIFS(DATA_TS!$R$2:$R$20001,DATA_TS!$A$2:$A$20001,$A892,DATA_TS!$C$2:$C$20001,L$880,DATA_TS!$B$2:$B$20001,Kalkulasi!$B$877)))</f>
        <v/>
      </c>
      <c r="M892">
        <f>IF(OR($A892="",AF892=0),0,IF(Kalkulasi!$B$876="OB",SUMIFS(DATA_TS!$Q$2:$Q$20001,DATA_TS!$A$2:$A$20001,$A892,DATA_TS!$C$2:$C$20001,M$880,DATA_TS!$B$2:$B$20001,Kalkulasi!$B$877),SUMIFS(DATA_TS!$R$2:$R$20001,DATA_TS!$A$2:$A$20001,$A892,DATA_TS!$C$2:$C$20001,M$880,DATA_TS!$B$2:$B$20001,Kalkulasi!$B$877)))</f>
        <v/>
      </c>
      <c r="N892">
        <f>IF(OR($A892="",AG892=0),0,IF(Kalkulasi!$B$876="OB",SUMIFS(DATA_TS!$Q$2:$Q$20001,DATA_TS!$A$2:$A$20001,$A892,DATA_TS!$C$2:$C$20001,N$880,DATA_TS!$B$2:$B$20001,Kalkulasi!$B$877),SUMIFS(DATA_TS!$R$2:$R$20001,DATA_TS!$A$2:$A$20001,$A892,DATA_TS!$C$2:$C$20001,N$880,DATA_TS!$B$2:$B$20001,Kalkulasi!$B$877)))</f>
        <v/>
      </c>
      <c r="O892">
        <f>IF(OR($A892="",AH892=0),0,IF(Kalkulasi!$B$876="OB",SUMIFS(DATA_TS!$Q$2:$Q$20001,DATA_TS!$A$2:$A$20001,$A892,DATA_TS!$C$2:$C$20001,O$880,DATA_TS!$B$2:$B$20001,Kalkulasi!$B$877),SUMIFS(DATA_TS!$R$2:$R$20001,DATA_TS!$A$2:$A$20001,$A892,DATA_TS!$C$2:$C$20001,O$880,DATA_TS!$B$2:$B$20001,Kalkulasi!$B$877)))</f>
        <v/>
      </c>
      <c r="P892">
        <f>IF(OR($A892="",AI892=0),0,IF(Kalkulasi!$B$876="OB",SUMIFS(DATA_TS!$Q$2:$Q$20001,DATA_TS!$A$2:$A$20001,$A892,DATA_TS!$C$2:$C$20001,P$880,DATA_TS!$B$2:$B$20001,Kalkulasi!$B$877),SUMIFS(DATA_TS!$R$2:$R$20001,DATA_TS!$A$2:$A$20001,$A892,DATA_TS!$C$2:$C$20001,P$880,DATA_TS!$B$2:$B$20001,Kalkulasi!$B$877)))</f>
        <v/>
      </c>
      <c r="Q892">
        <f>IF(OR($A892="",AJ892=0),0,IF(Kalkulasi!$B$876="OB",SUMIFS(DATA_TS!$Q$2:$Q$20001,DATA_TS!$A$2:$A$20001,$A892,DATA_TS!$C$2:$C$20001,Q$880,DATA_TS!$B$2:$B$20001,Kalkulasi!$B$877),SUMIFS(DATA_TS!$R$2:$R$20001,DATA_TS!$A$2:$A$20001,$A892,DATA_TS!$C$2:$C$20001,Q$880,DATA_TS!$B$2:$B$20001,Kalkulasi!$B$877)))</f>
        <v/>
      </c>
      <c r="R892">
        <f>IF(OR($A892="",AK892=0),0,IF(Kalkulasi!$B$876="OB",SUMIFS(DATA_TS!$Q$2:$Q$20001,DATA_TS!$A$2:$A$20001,$A892,DATA_TS!$C$2:$C$20001,R$880,DATA_TS!$B$2:$B$20001,Kalkulasi!$B$877),SUMIFS(DATA_TS!$R$2:$R$20001,DATA_TS!$A$2:$A$20001,$A892,DATA_TS!$C$2:$C$20001,R$880,DATA_TS!$B$2:$B$20001,Kalkulasi!$B$877)))</f>
        <v/>
      </c>
      <c r="S892">
        <f>IF(OR($A892="",AL892=0),0,IF(Kalkulasi!$B$876="OB",SUMIFS(DATA_TS!$Q$2:$Q$20001,DATA_TS!$A$2:$A$20001,$A892,DATA_TS!$C$2:$C$20001,S$880,DATA_TS!$B$2:$B$20001,Kalkulasi!$B$877),SUMIFS(DATA_TS!$R$2:$R$20001,DATA_TS!$A$2:$A$20001,$A892,DATA_TS!$C$2:$C$20001,S$880,DATA_TS!$B$2:$B$20001,Kalkulasi!$B$877)))</f>
        <v/>
      </c>
      <c r="T892">
        <f>SUM(B892:S892)</f>
        <v/>
      </c>
      <c r="U892">
        <f>IF($A892="",0,IF(Kalkulasi!$B$876="OB",SUMIFS(DATA_TS!$M$2:$M$20001,DATA_TS!$A$2:$A$20001,$A892,DATA_TS!$C$2:$C$20001,B$880,DATA_TS!$B$2:$B$20001,Kalkulasi!$B$877),SUMIFS(DATA_TS!$N$2:$N$20001,DATA_TS!$A$2:$A$20001,$A892,DATA_TS!$C$2:$C$20001,B$880,DATA_TS!$B$2:$B$20001,Kalkulasi!$B$877)))</f>
        <v/>
      </c>
      <c r="V892">
        <f>IF($A892="",0,IF(Kalkulasi!$B$876="OB",SUMIFS(DATA_TS!$M$2:$M$20001,DATA_TS!$A$2:$A$20001,$A892,DATA_TS!$C$2:$C$20001,C$880,DATA_TS!$B$2:$B$20001,Kalkulasi!$B$877),SUMIFS(DATA_TS!$N$2:$N$20001,DATA_TS!$A$2:$A$20001,$A892,DATA_TS!$C$2:$C$20001,C$880,DATA_TS!$B$2:$B$20001,Kalkulasi!$B$877)))</f>
        <v/>
      </c>
      <c r="W892">
        <f>IF($A892="",0,IF(Kalkulasi!$B$876="OB",SUMIFS(DATA_TS!$M$2:$M$20001,DATA_TS!$A$2:$A$20001,$A892,DATA_TS!$C$2:$C$20001,D$880,DATA_TS!$B$2:$B$20001,Kalkulasi!$B$877),SUMIFS(DATA_TS!$N$2:$N$20001,DATA_TS!$A$2:$A$20001,$A892,DATA_TS!$C$2:$C$20001,D$880,DATA_TS!$B$2:$B$20001,Kalkulasi!$B$877)))</f>
        <v/>
      </c>
      <c r="X892">
        <f>IF($A892="",0,IF(Kalkulasi!$B$876="OB",SUMIFS(DATA_TS!$M$2:$M$20001,DATA_TS!$A$2:$A$20001,$A892,DATA_TS!$C$2:$C$20001,E$880,DATA_TS!$B$2:$B$20001,Kalkulasi!$B$877),SUMIFS(DATA_TS!$N$2:$N$20001,DATA_TS!$A$2:$A$20001,$A892,DATA_TS!$C$2:$C$20001,E$880,DATA_TS!$B$2:$B$20001,Kalkulasi!$B$877)))</f>
        <v/>
      </c>
      <c r="Y892">
        <f>IF($A892="",0,IF(Kalkulasi!$B$876="OB",SUMIFS(DATA_TS!$M$2:$M$20001,DATA_TS!$A$2:$A$20001,$A892,DATA_TS!$C$2:$C$20001,F$880,DATA_TS!$B$2:$B$20001,Kalkulasi!$B$877),SUMIFS(DATA_TS!$N$2:$N$20001,DATA_TS!$A$2:$A$20001,$A892,DATA_TS!$C$2:$C$20001,F$880,DATA_TS!$B$2:$B$20001,Kalkulasi!$B$877)))</f>
        <v/>
      </c>
      <c r="Z892">
        <f>IF($A892="",0,IF(Kalkulasi!$B$876="OB",SUMIFS(DATA_TS!$M$2:$M$20001,DATA_TS!$A$2:$A$20001,$A892,DATA_TS!$C$2:$C$20001,G$880,DATA_TS!$B$2:$B$20001,Kalkulasi!$B$877),SUMIFS(DATA_TS!$N$2:$N$20001,DATA_TS!$A$2:$A$20001,$A892,DATA_TS!$C$2:$C$20001,G$880,DATA_TS!$B$2:$B$20001,Kalkulasi!$B$877)))</f>
        <v/>
      </c>
      <c r="AA892">
        <f>IF($A892="",0,IF(Kalkulasi!$B$876="OB",SUMIFS(DATA_TS!$M$2:$M$20001,DATA_TS!$A$2:$A$20001,$A892,DATA_TS!$C$2:$C$20001,H$880,DATA_TS!$B$2:$B$20001,Kalkulasi!$B$877),SUMIFS(DATA_TS!$N$2:$N$20001,DATA_TS!$A$2:$A$20001,$A892,DATA_TS!$C$2:$C$20001,H$880,DATA_TS!$B$2:$B$20001,Kalkulasi!$B$877)))</f>
        <v/>
      </c>
      <c r="AB892">
        <f>IF($A892="",0,IF(Kalkulasi!$B$876="OB",SUMIFS(DATA_TS!$M$2:$M$20001,DATA_TS!$A$2:$A$20001,$A892,DATA_TS!$C$2:$C$20001,I$880,DATA_TS!$B$2:$B$20001,Kalkulasi!$B$877),SUMIFS(DATA_TS!$N$2:$N$20001,DATA_TS!$A$2:$A$20001,$A892,DATA_TS!$C$2:$C$20001,I$880,DATA_TS!$B$2:$B$20001,Kalkulasi!$B$877)))</f>
        <v/>
      </c>
      <c r="AC892">
        <f>IF($A892="",0,IF(Kalkulasi!$B$876="OB",SUMIFS(DATA_TS!$M$2:$M$20001,DATA_TS!$A$2:$A$20001,$A892,DATA_TS!$C$2:$C$20001,J$880,DATA_TS!$B$2:$B$20001,Kalkulasi!$B$877),SUMIFS(DATA_TS!$N$2:$N$20001,DATA_TS!$A$2:$A$20001,$A892,DATA_TS!$C$2:$C$20001,J$880,DATA_TS!$B$2:$B$20001,Kalkulasi!$B$877)))</f>
        <v/>
      </c>
      <c r="AD892">
        <f>IF($A892="",0,IF(Kalkulasi!$B$876="OB",SUMIFS(DATA_TS!$M$2:$M$20001,DATA_TS!$A$2:$A$20001,$A892,DATA_TS!$C$2:$C$20001,K$880,DATA_TS!$B$2:$B$20001,Kalkulasi!$B$877),SUMIFS(DATA_TS!$N$2:$N$20001,DATA_TS!$A$2:$A$20001,$A892,DATA_TS!$C$2:$C$20001,K$880,DATA_TS!$B$2:$B$20001,Kalkulasi!$B$877)))</f>
        <v/>
      </c>
      <c r="AE892">
        <f>IF($A892="",0,IF(Kalkulasi!$B$876="OB",SUMIFS(DATA_TS!$M$2:$M$20001,DATA_TS!$A$2:$A$20001,$A892,DATA_TS!$C$2:$C$20001,L$880,DATA_TS!$B$2:$B$20001,Kalkulasi!$B$877),SUMIFS(DATA_TS!$N$2:$N$20001,DATA_TS!$A$2:$A$20001,$A892,DATA_TS!$C$2:$C$20001,L$880,DATA_TS!$B$2:$B$20001,Kalkulasi!$B$877)))</f>
        <v/>
      </c>
      <c r="AF892">
        <f>IF($A892="",0,IF(Kalkulasi!$B$876="OB",SUMIFS(DATA_TS!$M$2:$M$20001,DATA_TS!$A$2:$A$20001,$A892,DATA_TS!$C$2:$C$20001,M$880,DATA_TS!$B$2:$B$20001,Kalkulasi!$B$877),SUMIFS(DATA_TS!$N$2:$N$20001,DATA_TS!$A$2:$A$20001,$A892,DATA_TS!$C$2:$C$20001,M$880,DATA_TS!$B$2:$B$20001,Kalkulasi!$B$877)))</f>
        <v/>
      </c>
      <c r="AG892">
        <f>IF($A892="",0,IF(Kalkulasi!$B$876="OB",SUMIFS(DATA_TS!$M$2:$M$20001,DATA_TS!$A$2:$A$20001,$A892,DATA_TS!$C$2:$C$20001,N$880,DATA_TS!$B$2:$B$20001,Kalkulasi!$B$877),SUMIFS(DATA_TS!$N$2:$N$20001,DATA_TS!$A$2:$A$20001,$A892,DATA_TS!$C$2:$C$20001,N$880,DATA_TS!$B$2:$B$20001,Kalkulasi!$B$877)))</f>
        <v/>
      </c>
      <c r="AH892">
        <f>IF($A892="",0,IF(Kalkulasi!$B$876="OB",SUMIFS(DATA_TS!$M$2:$M$20001,DATA_TS!$A$2:$A$20001,$A892,DATA_TS!$C$2:$C$20001,O$880,DATA_TS!$B$2:$B$20001,Kalkulasi!$B$877),SUMIFS(DATA_TS!$N$2:$N$20001,DATA_TS!$A$2:$A$20001,$A892,DATA_TS!$C$2:$C$20001,O$880,DATA_TS!$B$2:$B$20001,Kalkulasi!$B$877)))</f>
        <v/>
      </c>
      <c r="AI892">
        <f>IF($A892="",0,IF(Kalkulasi!$B$876="OB",SUMIFS(DATA_TS!$M$2:$M$20001,DATA_TS!$A$2:$A$20001,$A892,DATA_TS!$C$2:$C$20001,P$880,DATA_TS!$B$2:$B$20001,Kalkulasi!$B$877),SUMIFS(DATA_TS!$N$2:$N$20001,DATA_TS!$A$2:$A$20001,$A892,DATA_TS!$C$2:$C$20001,P$880,DATA_TS!$B$2:$B$20001,Kalkulasi!$B$877)))</f>
        <v/>
      </c>
      <c r="AJ892">
        <f>IF($A892="",0,IF(Kalkulasi!$B$876="OB",SUMIFS(DATA_TS!$M$2:$M$20001,DATA_TS!$A$2:$A$20001,$A892,DATA_TS!$C$2:$C$20001,Q$880,DATA_TS!$B$2:$B$20001,Kalkulasi!$B$877),SUMIFS(DATA_TS!$N$2:$N$20001,DATA_TS!$A$2:$A$20001,$A892,DATA_TS!$C$2:$C$20001,Q$880,DATA_TS!$B$2:$B$20001,Kalkulasi!$B$877)))</f>
        <v/>
      </c>
      <c r="AK892">
        <f>IF($A892="",0,IF(Kalkulasi!$B$876="OB",SUMIFS(DATA_TS!$M$2:$M$20001,DATA_TS!$A$2:$A$20001,$A892,DATA_TS!$C$2:$C$20001,R$880,DATA_TS!$B$2:$B$20001,Kalkulasi!$B$877),SUMIFS(DATA_TS!$N$2:$N$20001,DATA_TS!$A$2:$A$20001,$A892,DATA_TS!$C$2:$C$20001,R$880,DATA_TS!$B$2:$B$20001,Kalkulasi!$B$877)))</f>
        <v/>
      </c>
      <c r="AL892">
        <f>IF($A892="",0,IF(Kalkulasi!$B$876="OB",SUMIFS(DATA_TS!$M$2:$M$20001,DATA_TS!$A$2:$A$20001,$A892,DATA_TS!$C$2:$C$20001,S$880,DATA_TS!$B$2:$B$20001,Kalkulasi!$B$877),SUMIFS(DATA_TS!$N$2:$N$20001,DATA_TS!$A$2:$A$20001,$A892,DATA_TS!$C$2:$C$20001,S$880,DATA_TS!$B$2:$B$20001,Kalkulasi!$B$877)))</f>
        <v/>
      </c>
      <c r="AM892">
        <f>SUM(U892:AL892)</f>
        <v/>
      </c>
      <c r="AN892">
        <f>IF(OR(U892=0,B892=0),"",B892/U892)</f>
        <v/>
      </c>
      <c r="AO892">
        <f>IF(OR(V892=0,C892=0),"",C892/V892)</f>
        <v/>
      </c>
      <c r="AP892">
        <f>IF(OR(W892=0,D892=0),"",D892/W892)</f>
        <v/>
      </c>
      <c r="AQ892">
        <f>IF(OR(X892=0,E892=0),"",E892/X892)</f>
        <v/>
      </c>
      <c r="AR892">
        <f>IF(OR(Y892=0,F892=0),"",F892/Y892)</f>
        <v/>
      </c>
      <c r="AS892">
        <f>IF(OR(Z892=0,G892=0),"",G892/Z892)</f>
        <v/>
      </c>
      <c r="AT892">
        <f>IF(OR(AA892=0,H892=0),"",H892/AA892)</f>
        <v/>
      </c>
      <c r="AU892">
        <f>IF(OR(AB892=0,I892=0),"",I892/AB892)</f>
        <v/>
      </c>
      <c r="AV892">
        <f>IF(OR(AC892=0,J892=0),"",J892/AC892)</f>
        <v/>
      </c>
      <c r="AW892">
        <f>IF(OR(AD892=0,K892=0),"",K892/AD892)</f>
        <v/>
      </c>
      <c r="AX892">
        <f>IF(OR(AE892=0,L892=0),"",L892/AE892)</f>
        <v/>
      </c>
      <c r="AY892">
        <f>IF(OR(AF892=0,M892=0),"",M892/AF892)</f>
        <v/>
      </c>
      <c r="AZ892">
        <f>IF(OR(AG892=0,N892=0),"",N892/AG892)</f>
        <v/>
      </c>
      <c r="BA892">
        <f>IF(OR(AH892=0,O892=0),"",O892/AH892)</f>
        <v/>
      </c>
      <c r="BB892">
        <f>IF(OR(AI892=0,P892=0),"",P892/AI892)</f>
        <v/>
      </c>
      <c r="BC892">
        <f>IF(OR(AJ892=0,Q892=0),"",Q892/AJ892)</f>
        <v/>
      </c>
      <c r="BD892">
        <f>IF(OR(AK892=0,R892=0),"",R892/AK892)</f>
        <v/>
      </c>
      <c r="BE892">
        <f>IF(OR(AL892=0,S892=0),"",S892/AL892)</f>
        <v/>
      </c>
      <c r="BF892">
        <f>IF(AM892=0,NA(),T892/AM892)</f>
        <v/>
      </c>
      <c r="BG892" t="n">
        <v>12</v>
      </c>
      <c r="BH892">
        <f>IF(AM892=0,"",T892/AM892)</f>
        <v/>
      </c>
      <c r="BI892">
        <f>IF($A892="","",TEXT($A892,"d"))</f>
        <v/>
      </c>
    </row>
    <row r="893">
      <c r="A893" s="199">
        <f>IF(Kalkulasi!$B$873+12&gt;Kalkulasi!$B$874,"",Kalkulasi!$B$873+12)</f>
        <v/>
      </c>
      <c r="B893">
        <f>IF(OR($A893="",U893=0),0,IF(Kalkulasi!$B$876="OB",SUMIFS(DATA_TS!$Q$2:$Q$20001,DATA_TS!$A$2:$A$20001,$A893,DATA_TS!$C$2:$C$20001,B$880,DATA_TS!$B$2:$B$20001,Kalkulasi!$B$877),SUMIFS(DATA_TS!$R$2:$R$20001,DATA_TS!$A$2:$A$20001,$A893,DATA_TS!$C$2:$C$20001,B$880,DATA_TS!$B$2:$B$20001,Kalkulasi!$B$877)))</f>
        <v/>
      </c>
      <c r="C893">
        <f>IF(OR($A893="",V893=0),0,IF(Kalkulasi!$B$876="OB",SUMIFS(DATA_TS!$Q$2:$Q$20001,DATA_TS!$A$2:$A$20001,$A893,DATA_TS!$C$2:$C$20001,C$880,DATA_TS!$B$2:$B$20001,Kalkulasi!$B$877),SUMIFS(DATA_TS!$R$2:$R$20001,DATA_TS!$A$2:$A$20001,$A893,DATA_TS!$C$2:$C$20001,C$880,DATA_TS!$B$2:$B$20001,Kalkulasi!$B$877)))</f>
        <v/>
      </c>
      <c r="D893">
        <f>IF(OR($A893="",W893=0),0,IF(Kalkulasi!$B$876="OB",SUMIFS(DATA_TS!$Q$2:$Q$20001,DATA_TS!$A$2:$A$20001,$A893,DATA_TS!$C$2:$C$20001,D$880,DATA_TS!$B$2:$B$20001,Kalkulasi!$B$877),SUMIFS(DATA_TS!$R$2:$R$20001,DATA_TS!$A$2:$A$20001,$A893,DATA_TS!$C$2:$C$20001,D$880,DATA_TS!$B$2:$B$20001,Kalkulasi!$B$877)))</f>
        <v/>
      </c>
      <c r="E893">
        <f>IF(OR($A893="",X893=0),0,IF(Kalkulasi!$B$876="OB",SUMIFS(DATA_TS!$Q$2:$Q$20001,DATA_TS!$A$2:$A$20001,$A893,DATA_TS!$C$2:$C$20001,E$880,DATA_TS!$B$2:$B$20001,Kalkulasi!$B$877),SUMIFS(DATA_TS!$R$2:$R$20001,DATA_TS!$A$2:$A$20001,$A893,DATA_TS!$C$2:$C$20001,E$880,DATA_TS!$B$2:$B$20001,Kalkulasi!$B$877)))</f>
        <v/>
      </c>
      <c r="F893">
        <f>IF(OR($A893="",Y893=0),0,IF(Kalkulasi!$B$876="OB",SUMIFS(DATA_TS!$Q$2:$Q$20001,DATA_TS!$A$2:$A$20001,$A893,DATA_TS!$C$2:$C$20001,F$880,DATA_TS!$B$2:$B$20001,Kalkulasi!$B$877),SUMIFS(DATA_TS!$R$2:$R$20001,DATA_TS!$A$2:$A$20001,$A893,DATA_TS!$C$2:$C$20001,F$880,DATA_TS!$B$2:$B$20001,Kalkulasi!$B$877)))</f>
        <v/>
      </c>
      <c r="G893">
        <f>IF(OR($A893="",Z893=0),0,IF(Kalkulasi!$B$876="OB",SUMIFS(DATA_TS!$Q$2:$Q$20001,DATA_TS!$A$2:$A$20001,$A893,DATA_TS!$C$2:$C$20001,G$880,DATA_TS!$B$2:$B$20001,Kalkulasi!$B$877),SUMIFS(DATA_TS!$R$2:$R$20001,DATA_TS!$A$2:$A$20001,$A893,DATA_TS!$C$2:$C$20001,G$880,DATA_TS!$B$2:$B$20001,Kalkulasi!$B$877)))</f>
        <v/>
      </c>
      <c r="H893">
        <f>IF(OR($A893="",AA893=0),0,IF(Kalkulasi!$B$876="OB",SUMIFS(DATA_TS!$Q$2:$Q$20001,DATA_TS!$A$2:$A$20001,$A893,DATA_TS!$C$2:$C$20001,H$880,DATA_TS!$B$2:$B$20001,Kalkulasi!$B$877),SUMIFS(DATA_TS!$R$2:$R$20001,DATA_TS!$A$2:$A$20001,$A893,DATA_TS!$C$2:$C$20001,H$880,DATA_TS!$B$2:$B$20001,Kalkulasi!$B$877)))</f>
        <v/>
      </c>
      <c r="I893">
        <f>IF(OR($A893="",AB893=0),0,IF(Kalkulasi!$B$876="OB",SUMIFS(DATA_TS!$Q$2:$Q$20001,DATA_TS!$A$2:$A$20001,$A893,DATA_TS!$C$2:$C$20001,I$880,DATA_TS!$B$2:$B$20001,Kalkulasi!$B$877),SUMIFS(DATA_TS!$R$2:$R$20001,DATA_TS!$A$2:$A$20001,$A893,DATA_TS!$C$2:$C$20001,I$880,DATA_TS!$B$2:$B$20001,Kalkulasi!$B$877)))</f>
        <v/>
      </c>
      <c r="J893">
        <f>IF(OR($A893="",AC893=0),0,IF(Kalkulasi!$B$876="OB",SUMIFS(DATA_TS!$Q$2:$Q$20001,DATA_TS!$A$2:$A$20001,$A893,DATA_TS!$C$2:$C$20001,J$880,DATA_TS!$B$2:$B$20001,Kalkulasi!$B$877),SUMIFS(DATA_TS!$R$2:$R$20001,DATA_TS!$A$2:$A$20001,$A893,DATA_TS!$C$2:$C$20001,J$880,DATA_TS!$B$2:$B$20001,Kalkulasi!$B$877)))</f>
        <v/>
      </c>
      <c r="K893">
        <f>IF(OR($A893="",AD893=0),0,IF(Kalkulasi!$B$876="OB",SUMIFS(DATA_TS!$Q$2:$Q$20001,DATA_TS!$A$2:$A$20001,$A893,DATA_TS!$C$2:$C$20001,K$880,DATA_TS!$B$2:$B$20001,Kalkulasi!$B$877),SUMIFS(DATA_TS!$R$2:$R$20001,DATA_TS!$A$2:$A$20001,$A893,DATA_TS!$C$2:$C$20001,K$880,DATA_TS!$B$2:$B$20001,Kalkulasi!$B$877)))</f>
        <v/>
      </c>
      <c r="L893">
        <f>IF(OR($A893="",AE893=0),0,IF(Kalkulasi!$B$876="OB",SUMIFS(DATA_TS!$Q$2:$Q$20001,DATA_TS!$A$2:$A$20001,$A893,DATA_TS!$C$2:$C$20001,L$880,DATA_TS!$B$2:$B$20001,Kalkulasi!$B$877),SUMIFS(DATA_TS!$R$2:$R$20001,DATA_TS!$A$2:$A$20001,$A893,DATA_TS!$C$2:$C$20001,L$880,DATA_TS!$B$2:$B$20001,Kalkulasi!$B$877)))</f>
        <v/>
      </c>
      <c r="M893">
        <f>IF(OR($A893="",AF893=0),0,IF(Kalkulasi!$B$876="OB",SUMIFS(DATA_TS!$Q$2:$Q$20001,DATA_TS!$A$2:$A$20001,$A893,DATA_TS!$C$2:$C$20001,M$880,DATA_TS!$B$2:$B$20001,Kalkulasi!$B$877),SUMIFS(DATA_TS!$R$2:$R$20001,DATA_TS!$A$2:$A$20001,$A893,DATA_TS!$C$2:$C$20001,M$880,DATA_TS!$B$2:$B$20001,Kalkulasi!$B$877)))</f>
        <v/>
      </c>
      <c r="N893">
        <f>IF(OR($A893="",AG893=0),0,IF(Kalkulasi!$B$876="OB",SUMIFS(DATA_TS!$Q$2:$Q$20001,DATA_TS!$A$2:$A$20001,$A893,DATA_TS!$C$2:$C$20001,N$880,DATA_TS!$B$2:$B$20001,Kalkulasi!$B$877),SUMIFS(DATA_TS!$R$2:$R$20001,DATA_TS!$A$2:$A$20001,$A893,DATA_TS!$C$2:$C$20001,N$880,DATA_TS!$B$2:$B$20001,Kalkulasi!$B$877)))</f>
        <v/>
      </c>
      <c r="O893">
        <f>IF(OR($A893="",AH893=0),0,IF(Kalkulasi!$B$876="OB",SUMIFS(DATA_TS!$Q$2:$Q$20001,DATA_TS!$A$2:$A$20001,$A893,DATA_TS!$C$2:$C$20001,O$880,DATA_TS!$B$2:$B$20001,Kalkulasi!$B$877),SUMIFS(DATA_TS!$R$2:$R$20001,DATA_TS!$A$2:$A$20001,$A893,DATA_TS!$C$2:$C$20001,O$880,DATA_TS!$B$2:$B$20001,Kalkulasi!$B$877)))</f>
        <v/>
      </c>
      <c r="P893">
        <f>IF(OR($A893="",AI893=0),0,IF(Kalkulasi!$B$876="OB",SUMIFS(DATA_TS!$Q$2:$Q$20001,DATA_TS!$A$2:$A$20001,$A893,DATA_TS!$C$2:$C$20001,P$880,DATA_TS!$B$2:$B$20001,Kalkulasi!$B$877),SUMIFS(DATA_TS!$R$2:$R$20001,DATA_TS!$A$2:$A$20001,$A893,DATA_TS!$C$2:$C$20001,P$880,DATA_TS!$B$2:$B$20001,Kalkulasi!$B$877)))</f>
        <v/>
      </c>
      <c r="Q893">
        <f>IF(OR($A893="",AJ893=0),0,IF(Kalkulasi!$B$876="OB",SUMIFS(DATA_TS!$Q$2:$Q$20001,DATA_TS!$A$2:$A$20001,$A893,DATA_TS!$C$2:$C$20001,Q$880,DATA_TS!$B$2:$B$20001,Kalkulasi!$B$877),SUMIFS(DATA_TS!$R$2:$R$20001,DATA_TS!$A$2:$A$20001,$A893,DATA_TS!$C$2:$C$20001,Q$880,DATA_TS!$B$2:$B$20001,Kalkulasi!$B$877)))</f>
        <v/>
      </c>
      <c r="R893">
        <f>IF(OR($A893="",AK893=0),0,IF(Kalkulasi!$B$876="OB",SUMIFS(DATA_TS!$Q$2:$Q$20001,DATA_TS!$A$2:$A$20001,$A893,DATA_TS!$C$2:$C$20001,R$880,DATA_TS!$B$2:$B$20001,Kalkulasi!$B$877),SUMIFS(DATA_TS!$R$2:$R$20001,DATA_TS!$A$2:$A$20001,$A893,DATA_TS!$C$2:$C$20001,R$880,DATA_TS!$B$2:$B$20001,Kalkulasi!$B$877)))</f>
        <v/>
      </c>
      <c r="S893">
        <f>IF(OR($A893="",AL893=0),0,IF(Kalkulasi!$B$876="OB",SUMIFS(DATA_TS!$Q$2:$Q$20001,DATA_TS!$A$2:$A$20001,$A893,DATA_TS!$C$2:$C$20001,S$880,DATA_TS!$B$2:$B$20001,Kalkulasi!$B$877),SUMIFS(DATA_TS!$R$2:$R$20001,DATA_TS!$A$2:$A$20001,$A893,DATA_TS!$C$2:$C$20001,S$880,DATA_TS!$B$2:$B$20001,Kalkulasi!$B$877)))</f>
        <v/>
      </c>
      <c r="T893">
        <f>SUM(B893:S893)</f>
        <v/>
      </c>
      <c r="U893">
        <f>IF($A893="",0,IF(Kalkulasi!$B$876="OB",SUMIFS(DATA_TS!$M$2:$M$20001,DATA_TS!$A$2:$A$20001,$A893,DATA_TS!$C$2:$C$20001,B$880,DATA_TS!$B$2:$B$20001,Kalkulasi!$B$877),SUMIFS(DATA_TS!$N$2:$N$20001,DATA_TS!$A$2:$A$20001,$A893,DATA_TS!$C$2:$C$20001,B$880,DATA_TS!$B$2:$B$20001,Kalkulasi!$B$877)))</f>
        <v/>
      </c>
      <c r="V893">
        <f>IF($A893="",0,IF(Kalkulasi!$B$876="OB",SUMIFS(DATA_TS!$M$2:$M$20001,DATA_TS!$A$2:$A$20001,$A893,DATA_TS!$C$2:$C$20001,C$880,DATA_TS!$B$2:$B$20001,Kalkulasi!$B$877),SUMIFS(DATA_TS!$N$2:$N$20001,DATA_TS!$A$2:$A$20001,$A893,DATA_TS!$C$2:$C$20001,C$880,DATA_TS!$B$2:$B$20001,Kalkulasi!$B$877)))</f>
        <v/>
      </c>
      <c r="W893">
        <f>IF($A893="",0,IF(Kalkulasi!$B$876="OB",SUMIFS(DATA_TS!$M$2:$M$20001,DATA_TS!$A$2:$A$20001,$A893,DATA_TS!$C$2:$C$20001,D$880,DATA_TS!$B$2:$B$20001,Kalkulasi!$B$877),SUMIFS(DATA_TS!$N$2:$N$20001,DATA_TS!$A$2:$A$20001,$A893,DATA_TS!$C$2:$C$20001,D$880,DATA_TS!$B$2:$B$20001,Kalkulasi!$B$877)))</f>
        <v/>
      </c>
      <c r="X893">
        <f>IF($A893="",0,IF(Kalkulasi!$B$876="OB",SUMIFS(DATA_TS!$M$2:$M$20001,DATA_TS!$A$2:$A$20001,$A893,DATA_TS!$C$2:$C$20001,E$880,DATA_TS!$B$2:$B$20001,Kalkulasi!$B$877),SUMIFS(DATA_TS!$N$2:$N$20001,DATA_TS!$A$2:$A$20001,$A893,DATA_TS!$C$2:$C$20001,E$880,DATA_TS!$B$2:$B$20001,Kalkulasi!$B$877)))</f>
        <v/>
      </c>
      <c r="Y893">
        <f>IF($A893="",0,IF(Kalkulasi!$B$876="OB",SUMIFS(DATA_TS!$M$2:$M$20001,DATA_TS!$A$2:$A$20001,$A893,DATA_TS!$C$2:$C$20001,F$880,DATA_TS!$B$2:$B$20001,Kalkulasi!$B$877),SUMIFS(DATA_TS!$N$2:$N$20001,DATA_TS!$A$2:$A$20001,$A893,DATA_TS!$C$2:$C$20001,F$880,DATA_TS!$B$2:$B$20001,Kalkulasi!$B$877)))</f>
        <v/>
      </c>
      <c r="Z893">
        <f>IF($A893="",0,IF(Kalkulasi!$B$876="OB",SUMIFS(DATA_TS!$M$2:$M$20001,DATA_TS!$A$2:$A$20001,$A893,DATA_TS!$C$2:$C$20001,G$880,DATA_TS!$B$2:$B$20001,Kalkulasi!$B$877),SUMIFS(DATA_TS!$N$2:$N$20001,DATA_TS!$A$2:$A$20001,$A893,DATA_TS!$C$2:$C$20001,G$880,DATA_TS!$B$2:$B$20001,Kalkulasi!$B$877)))</f>
        <v/>
      </c>
      <c r="AA893">
        <f>IF($A893="",0,IF(Kalkulasi!$B$876="OB",SUMIFS(DATA_TS!$M$2:$M$20001,DATA_TS!$A$2:$A$20001,$A893,DATA_TS!$C$2:$C$20001,H$880,DATA_TS!$B$2:$B$20001,Kalkulasi!$B$877),SUMIFS(DATA_TS!$N$2:$N$20001,DATA_TS!$A$2:$A$20001,$A893,DATA_TS!$C$2:$C$20001,H$880,DATA_TS!$B$2:$B$20001,Kalkulasi!$B$877)))</f>
        <v/>
      </c>
      <c r="AB893">
        <f>IF($A893="",0,IF(Kalkulasi!$B$876="OB",SUMIFS(DATA_TS!$M$2:$M$20001,DATA_TS!$A$2:$A$20001,$A893,DATA_TS!$C$2:$C$20001,I$880,DATA_TS!$B$2:$B$20001,Kalkulasi!$B$877),SUMIFS(DATA_TS!$N$2:$N$20001,DATA_TS!$A$2:$A$20001,$A893,DATA_TS!$C$2:$C$20001,I$880,DATA_TS!$B$2:$B$20001,Kalkulasi!$B$877)))</f>
        <v/>
      </c>
      <c r="AC893">
        <f>IF($A893="",0,IF(Kalkulasi!$B$876="OB",SUMIFS(DATA_TS!$M$2:$M$20001,DATA_TS!$A$2:$A$20001,$A893,DATA_TS!$C$2:$C$20001,J$880,DATA_TS!$B$2:$B$20001,Kalkulasi!$B$877),SUMIFS(DATA_TS!$N$2:$N$20001,DATA_TS!$A$2:$A$20001,$A893,DATA_TS!$C$2:$C$20001,J$880,DATA_TS!$B$2:$B$20001,Kalkulasi!$B$877)))</f>
        <v/>
      </c>
      <c r="AD893">
        <f>IF($A893="",0,IF(Kalkulasi!$B$876="OB",SUMIFS(DATA_TS!$M$2:$M$20001,DATA_TS!$A$2:$A$20001,$A893,DATA_TS!$C$2:$C$20001,K$880,DATA_TS!$B$2:$B$20001,Kalkulasi!$B$877),SUMIFS(DATA_TS!$N$2:$N$20001,DATA_TS!$A$2:$A$20001,$A893,DATA_TS!$C$2:$C$20001,K$880,DATA_TS!$B$2:$B$20001,Kalkulasi!$B$877)))</f>
        <v/>
      </c>
      <c r="AE893">
        <f>IF($A893="",0,IF(Kalkulasi!$B$876="OB",SUMIFS(DATA_TS!$M$2:$M$20001,DATA_TS!$A$2:$A$20001,$A893,DATA_TS!$C$2:$C$20001,L$880,DATA_TS!$B$2:$B$20001,Kalkulasi!$B$877),SUMIFS(DATA_TS!$N$2:$N$20001,DATA_TS!$A$2:$A$20001,$A893,DATA_TS!$C$2:$C$20001,L$880,DATA_TS!$B$2:$B$20001,Kalkulasi!$B$877)))</f>
        <v/>
      </c>
      <c r="AF893">
        <f>IF($A893="",0,IF(Kalkulasi!$B$876="OB",SUMIFS(DATA_TS!$M$2:$M$20001,DATA_TS!$A$2:$A$20001,$A893,DATA_TS!$C$2:$C$20001,M$880,DATA_TS!$B$2:$B$20001,Kalkulasi!$B$877),SUMIFS(DATA_TS!$N$2:$N$20001,DATA_TS!$A$2:$A$20001,$A893,DATA_TS!$C$2:$C$20001,M$880,DATA_TS!$B$2:$B$20001,Kalkulasi!$B$877)))</f>
        <v/>
      </c>
      <c r="AG893">
        <f>IF($A893="",0,IF(Kalkulasi!$B$876="OB",SUMIFS(DATA_TS!$M$2:$M$20001,DATA_TS!$A$2:$A$20001,$A893,DATA_TS!$C$2:$C$20001,N$880,DATA_TS!$B$2:$B$20001,Kalkulasi!$B$877),SUMIFS(DATA_TS!$N$2:$N$20001,DATA_TS!$A$2:$A$20001,$A893,DATA_TS!$C$2:$C$20001,N$880,DATA_TS!$B$2:$B$20001,Kalkulasi!$B$877)))</f>
        <v/>
      </c>
      <c r="AH893">
        <f>IF($A893="",0,IF(Kalkulasi!$B$876="OB",SUMIFS(DATA_TS!$M$2:$M$20001,DATA_TS!$A$2:$A$20001,$A893,DATA_TS!$C$2:$C$20001,O$880,DATA_TS!$B$2:$B$20001,Kalkulasi!$B$877),SUMIFS(DATA_TS!$N$2:$N$20001,DATA_TS!$A$2:$A$20001,$A893,DATA_TS!$C$2:$C$20001,O$880,DATA_TS!$B$2:$B$20001,Kalkulasi!$B$877)))</f>
        <v/>
      </c>
      <c r="AI893">
        <f>IF($A893="",0,IF(Kalkulasi!$B$876="OB",SUMIFS(DATA_TS!$M$2:$M$20001,DATA_TS!$A$2:$A$20001,$A893,DATA_TS!$C$2:$C$20001,P$880,DATA_TS!$B$2:$B$20001,Kalkulasi!$B$877),SUMIFS(DATA_TS!$N$2:$N$20001,DATA_TS!$A$2:$A$20001,$A893,DATA_TS!$C$2:$C$20001,P$880,DATA_TS!$B$2:$B$20001,Kalkulasi!$B$877)))</f>
        <v/>
      </c>
      <c r="AJ893">
        <f>IF($A893="",0,IF(Kalkulasi!$B$876="OB",SUMIFS(DATA_TS!$M$2:$M$20001,DATA_TS!$A$2:$A$20001,$A893,DATA_TS!$C$2:$C$20001,Q$880,DATA_TS!$B$2:$B$20001,Kalkulasi!$B$877),SUMIFS(DATA_TS!$N$2:$N$20001,DATA_TS!$A$2:$A$20001,$A893,DATA_TS!$C$2:$C$20001,Q$880,DATA_TS!$B$2:$B$20001,Kalkulasi!$B$877)))</f>
        <v/>
      </c>
      <c r="AK893">
        <f>IF($A893="",0,IF(Kalkulasi!$B$876="OB",SUMIFS(DATA_TS!$M$2:$M$20001,DATA_TS!$A$2:$A$20001,$A893,DATA_TS!$C$2:$C$20001,R$880,DATA_TS!$B$2:$B$20001,Kalkulasi!$B$877),SUMIFS(DATA_TS!$N$2:$N$20001,DATA_TS!$A$2:$A$20001,$A893,DATA_TS!$C$2:$C$20001,R$880,DATA_TS!$B$2:$B$20001,Kalkulasi!$B$877)))</f>
        <v/>
      </c>
      <c r="AL893">
        <f>IF($A893="",0,IF(Kalkulasi!$B$876="OB",SUMIFS(DATA_TS!$M$2:$M$20001,DATA_TS!$A$2:$A$20001,$A893,DATA_TS!$C$2:$C$20001,S$880,DATA_TS!$B$2:$B$20001,Kalkulasi!$B$877),SUMIFS(DATA_TS!$N$2:$N$20001,DATA_TS!$A$2:$A$20001,$A893,DATA_TS!$C$2:$C$20001,S$880,DATA_TS!$B$2:$B$20001,Kalkulasi!$B$877)))</f>
        <v/>
      </c>
      <c r="AM893">
        <f>SUM(U893:AL893)</f>
        <v/>
      </c>
      <c r="AN893">
        <f>IF(OR(U893=0,B893=0),"",B893/U893)</f>
        <v/>
      </c>
      <c r="AO893">
        <f>IF(OR(V893=0,C893=0),"",C893/V893)</f>
        <v/>
      </c>
      <c r="AP893">
        <f>IF(OR(W893=0,D893=0),"",D893/W893)</f>
        <v/>
      </c>
      <c r="AQ893">
        <f>IF(OR(X893=0,E893=0),"",E893/X893)</f>
        <v/>
      </c>
      <c r="AR893">
        <f>IF(OR(Y893=0,F893=0),"",F893/Y893)</f>
        <v/>
      </c>
      <c r="AS893">
        <f>IF(OR(Z893=0,G893=0),"",G893/Z893)</f>
        <v/>
      </c>
      <c r="AT893">
        <f>IF(OR(AA893=0,H893=0),"",H893/AA893)</f>
        <v/>
      </c>
      <c r="AU893">
        <f>IF(OR(AB893=0,I893=0),"",I893/AB893)</f>
        <v/>
      </c>
      <c r="AV893">
        <f>IF(OR(AC893=0,J893=0),"",J893/AC893)</f>
        <v/>
      </c>
      <c r="AW893">
        <f>IF(OR(AD893=0,K893=0),"",K893/AD893)</f>
        <v/>
      </c>
      <c r="AX893">
        <f>IF(OR(AE893=0,L893=0),"",L893/AE893)</f>
        <v/>
      </c>
      <c r="AY893">
        <f>IF(OR(AF893=0,M893=0),"",M893/AF893)</f>
        <v/>
      </c>
      <c r="AZ893">
        <f>IF(OR(AG893=0,N893=0),"",N893/AG893)</f>
        <v/>
      </c>
      <c r="BA893">
        <f>IF(OR(AH893=0,O893=0),"",O893/AH893)</f>
        <v/>
      </c>
      <c r="BB893">
        <f>IF(OR(AI893=0,P893=0),"",P893/AI893)</f>
        <v/>
      </c>
      <c r="BC893">
        <f>IF(OR(AJ893=0,Q893=0),"",Q893/AJ893)</f>
        <v/>
      </c>
      <c r="BD893">
        <f>IF(OR(AK893=0,R893=0),"",R893/AK893)</f>
        <v/>
      </c>
      <c r="BE893">
        <f>IF(OR(AL893=0,S893=0),"",S893/AL893)</f>
        <v/>
      </c>
      <c r="BF893">
        <f>IF(AM893=0,NA(),T893/AM893)</f>
        <v/>
      </c>
      <c r="BG893" t="n">
        <v>13</v>
      </c>
      <c r="BH893">
        <f>IF(AM893=0,"",T893/AM893)</f>
        <v/>
      </c>
      <c r="BI893">
        <f>IF($A893="","",TEXT($A893,"d"))</f>
        <v/>
      </c>
    </row>
    <row r="894">
      <c r="A894" s="199">
        <f>IF(Kalkulasi!$B$873+13&gt;Kalkulasi!$B$874,"",Kalkulasi!$B$873+13)</f>
        <v/>
      </c>
      <c r="B894">
        <f>IF(OR($A894="",U894=0),0,IF(Kalkulasi!$B$876="OB",SUMIFS(DATA_TS!$Q$2:$Q$20001,DATA_TS!$A$2:$A$20001,$A894,DATA_TS!$C$2:$C$20001,B$880,DATA_TS!$B$2:$B$20001,Kalkulasi!$B$877),SUMIFS(DATA_TS!$R$2:$R$20001,DATA_TS!$A$2:$A$20001,$A894,DATA_TS!$C$2:$C$20001,B$880,DATA_TS!$B$2:$B$20001,Kalkulasi!$B$877)))</f>
        <v/>
      </c>
      <c r="C894">
        <f>IF(OR($A894="",V894=0),0,IF(Kalkulasi!$B$876="OB",SUMIFS(DATA_TS!$Q$2:$Q$20001,DATA_TS!$A$2:$A$20001,$A894,DATA_TS!$C$2:$C$20001,C$880,DATA_TS!$B$2:$B$20001,Kalkulasi!$B$877),SUMIFS(DATA_TS!$R$2:$R$20001,DATA_TS!$A$2:$A$20001,$A894,DATA_TS!$C$2:$C$20001,C$880,DATA_TS!$B$2:$B$20001,Kalkulasi!$B$877)))</f>
        <v/>
      </c>
      <c r="D894">
        <f>IF(OR($A894="",W894=0),0,IF(Kalkulasi!$B$876="OB",SUMIFS(DATA_TS!$Q$2:$Q$20001,DATA_TS!$A$2:$A$20001,$A894,DATA_TS!$C$2:$C$20001,D$880,DATA_TS!$B$2:$B$20001,Kalkulasi!$B$877),SUMIFS(DATA_TS!$R$2:$R$20001,DATA_TS!$A$2:$A$20001,$A894,DATA_TS!$C$2:$C$20001,D$880,DATA_TS!$B$2:$B$20001,Kalkulasi!$B$877)))</f>
        <v/>
      </c>
      <c r="E894">
        <f>IF(OR($A894="",X894=0),0,IF(Kalkulasi!$B$876="OB",SUMIFS(DATA_TS!$Q$2:$Q$20001,DATA_TS!$A$2:$A$20001,$A894,DATA_TS!$C$2:$C$20001,E$880,DATA_TS!$B$2:$B$20001,Kalkulasi!$B$877),SUMIFS(DATA_TS!$R$2:$R$20001,DATA_TS!$A$2:$A$20001,$A894,DATA_TS!$C$2:$C$20001,E$880,DATA_TS!$B$2:$B$20001,Kalkulasi!$B$877)))</f>
        <v/>
      </c>
      <c r="F894">
        <f>IF(OR($A894="",Y894=0),0,IF(Kalkulasi!$B$876="OB",SUMIFS(DATA_TS!$Q$2:$Q$20001,DATA_TS!$A$2:$A$20001,$A894,DATA_TS!$C$2:$C$20001,F$880,DATA_TS!$B$2:$B$20001,Kalkulasi!$B$877),SUMIFS(DATA_TS!$R$2:$R$20001,DATA_TS!$A$2:$A$20001,$A894,DATA_TS!$C$2:$C$20001,F$880,DATA_TS!$B$2:$B$20001,Kalkulasi!$B$877)))</f>
        <v/>
      </c>
      <c r="G894">
        <f>IF(OR($A894="",Z894=0),0,IF(Kalkulasi!$B$876="OB",SUMIFS(DATA_TS!$Q$2:$Q$20001,DATA_TS!$A$2:$A$20001,$A894,DATA_TS!$C$2:$C$20001,G$880,DATA_TS!$B$2:$B$20001,Kalkulasi!$B$877),SUMIFS(DATA_TS!$R$2:$R$20001,DATA_TS!$A$2:$A$20001,$A894,DATA_TS!$C$2:$C$20001,G$880,DATA_TS!$B$2:$B$20001,Kalkulasi!$B$877)))</f>
        <v/>
      </c>
      <c r="H894">
        <f>IF(OR($A894="",AA894=0),0,IF(Kalkulasi!$B$876="OB",SUMIFS(DATA_TS!$Q$2:$Q$20001,DATA_TS!$A$2:$A$20001,$A894,DATA_TS!$C$2:$C$20001,H$880,DATA_TS!$B$2:$B$20001,Kalkulasi!$B$877),SUMIFS(DATA_TS!$R$2:$R$20001,DATA_TS!$A$2:$A$20001,$A894,DATA_TS!$C$2:$C$20001,H$880,DATA_TS!$B$2:$B$20001,Kalkulasi!$B$877)))</f>
        <v/>
      </c>
      <c r="I894">
        <f>IF(OR($A894="",AB894=0),0,IF(Kalkulasi!$B$876="OB",SUMIFS(DATA_TS!$Q$2:$Q$20001,DATA_TS!$A$2:$A$20001,$A894,DATA_TS!$C$2:$C$20001,I$880,DATA_TS!$B$2:$B$20001,Kalkulasi!$B$877),SUMIFS(DATA_TS!$R$2:$R$20001,DATA_TS!$A$2:$A$20001,$A894,DATA_TS!$C$2:$C$20001,I$880,DATA_TS!$B$2:$B$20001,Kalkulasi!$B$877)))</f>
        <v/>
      </c>
      <c r="J894">
        <f>IF(OR($A894="",AC894=0),0,IF(Kalkulasi!$B$876="OB",SUMIFS(DATA_TS!$Q$2:$Q$20001,DATA_TS!$A$2:$A$20001,$A894,DATA_TS!$C$2:$C$20001,J$880,DATA_TS!$B$2:$B$20001,Kalkulasi!$B$877),SUMIFS(DATA_TS!$R$2:$R$20001,DATA_TS!$A$2:$A$20001,$A894,DATA_TS!$C$2:$C$20001,J$880,DATA_TS!$B$2:$B$20001,Kalkulasi!$B$877)))</f>
        <v/>
      </c>
      <c r="K894">
        <f>IF(OR($A894="",AD894=0),0,IF(Kalkulasi!$B$876="OB",SUMIFS(DATA_TS!$Q$2:$Q$20001,DATA_TS!$A$2:$A$20001,$A894,DATA_TS!$C$2:$C$20001,K$880,DATA_TS!$B$2:$B$20001,Kalkulasi!$B$877),SUMIFS(DATA_TS!$R$2:$R$20001,DATA_TS!$A$2:$A$20001,$A894,DATA_TS!$C$2:$C$20001,K$880,DATA_TS!$B$2:$B$20001,Kalkulasi!$B$877)))</f>
        <v/>
      </c>
      <c r="L894">
        <f>IF(OR($A894="",AE894=0),0,IF(Kalkulasi!$B$876="OB",SUMIFS(DATA_TS!$Q$2:$Q$20001,DATA_TS!$A$2:$A$20001,$A894,DATA_TS!$C$2:$C$20001,L$880,DATA_TS!$B$2:$B$20001,Kalkulasi!$B$877),SUMIFS(DATA_TS!$R$2:$R$20001,DATA_TS!$A$2:$A$20001,$A894,DATA_TS!$C$2:$C$20001,L$880,DATA_TS!$B$2:$B$20001,Kalkulasi!$B$877)))</f>
        <v/>
      </c>
      <c r="M894">
        <f>IF(OR($A894="",AF894=0),0,IF(Kalkulasi!$B$876="OB",SUMIFS(DATA_TS!$Q$2:$Q$20001,DATA_TS!$A$2:$A$20001,$A894,DATA_TS!$C$2:$C$20001,M$880,DATA_TS!$B$2:$B$20001,Kalkulasi!$B$877),SUMIFS(DATA_TS!$R$2:$R$20001,DATA_TS!$A$2:$A$20001,$A894,DATA_TS!$C$2:$C$20001,M$880,DATA_TS!$B$2:$B$20001,Kalkulasi!$B$877)))</f>
        <v/>
      </c>
      <c r="N894">
        <f>IF(OR($A894="",AG894=0),0,IF(Kalkulasi!$B$876="OB",SUMIFS(DATA_TS!$Q$2:$Q$20001,DATA_TS!$A$2:$A$20001,$A894,DATA_TS!$C$2:$C$20001,N$880,DATA_TS!$B$2:$B$20001,Kalkulasi!$B$877),SUMIFS(DATA_TS!$R$2:$R$20001,DATA_TS!$A$2:$A$20001,$A894,DATA_TS!$C$2:$C$20001,N$880,DATA_TS!$B$2:$B$20001,Kalkulasi!$B$877)))</f>
        <v/>
      </c>
      <c r="O894">
        <f>IF(OR($A894="",AH894=0),0,IF(Kalkulasi!$B$876="OB",SUMIFS(DATA_TS!$Q$2:$Q$20001,DATA_TS!$A$2:$A$20001,$A894,DATA_TS!$C$2:$C$20001,O$880,DATA_TS!$B$2:$B$20001,Kalkulasi!$B$877),SUMIFS(DATA_TS!$R$2:$R$20001,DATA_TS!$A$2:$A$20001,$A894,DATA_TS!$C$2:$C$20001,O$880,DATA_TS!$B$2:$B$20001,Kalkulasi!$B$877)))</f>
        <v/>
      </c>
      <c r="P894">
        <f>IF(OR($A894="",AI894=0),0,IF(Kalkulasi!$B$876="OB",SUMIFS(DATA_TS!$Q$2:$Q$20001,DATA_TS!$A$2:$A$20001,$A894,DATA_TS!$C$2:$C$20001,P$880,DATA_TS!$B$2:$B$20001,Kalkulasi!$B$877),SUMIFS(DATA_TS!$R$2:$R$20001,DATA_TS!$A$2:$A$20001,$A894,DATA_TS!$C$2:$C$20001,P$880,DATA_TS!$B$2:$B$20001,Kalkulasi!$B$877)))</f>
        <v/>
      </c>
      <c r="Q894">
        <f>IF(OR($A894="",AJ894=0),0,IF(Kalkulasi!$B$876="OB",SUMIFS(DATA_TS!$Q$2:$Q$20001,DATA_TS!$A$2:$A$20001,$A894,DATA_TS!$C$2:$C$20001,Q$880,DATA_TS!$B$2:$B$20001,Kalkulasi!$B$877),SUMIFS(DATA_TS!$R$2:$R$20001,DATA_TS!$A$2:$A$20001,$A894,DATA_TS!$C$2:$C$20001,Q$880,DATA_TS!$B$2:$B$20001,Kalkulasi!$B$877)))</f>
        <v/>
      </c>
      <c r="R894">
        <f>IF(OR($A894="",AK894=0),0,IF(Kalkulasi!$B$876="OB",SUMIFS(DATA_TS!$Q$2:$Q$20001,DATA_TS!$A$2:$A$20001,$A894,DATA_TS!$C$2:$C$20001,R$880,DATA_TS!$B$2:$B$20001,Kalkulasi!$B$877),SUMIFS(DATA_TS!$R$2:$R$20001,DATA_TS!$A$2:$A$20001,$A894,DATA_TS!$C$2:$C$20001,R$880,DATA_TS!$B$2:$B$20001,Kalkulasi!$B$877)))</f>
        <v/>
      </c>
      <c r="S894">
        <f>IF(OR($A894="",AL894=0),0,IF(Kalkulasi!$B$876="OB",SUMIFS(DATA_TS!$Q$2:$Q$20001,DATA_TS!$A$2:$A$20001,$A894,DATA_TS!$C$2:$C$20001,S$880,DATA_TS!$B$2:$B$20001,Kalkulasi!$B$877),SUMIFS(DATA_TS!$R$2:$R$20001,DATA_TS!$A$2:$A$20001,$A894,DATA_TS!$C$2:$C$20001,S$880,DATA_TS!$B$2:$B$20001,Kalkulasi!$B$877)))</f>
        <v/>
      </c>
      <c r="T894">
        <f>SUM(B894:S894)</f>
        <v/>
      </c>
      <c r="U894">
        <f>IF($A894="",0,IF(Kalkulasi!$B$876="OB",SUMIFS(DATA_TS!$M$2:$M$20001,DATA_TS!$A$2:$A$20001,$A894,DATA_TS!$C$2:$C$20001,B$880,DATA_TS!$B$2:$B$20001,Kalkulasi!$B$877),SUMIFS(DATA_TS!$N$2:$N$20001,DATA_TS!$A$2:$A$20001,$A894,DATA_TS!$C$2:$C$20001,B$880,DATA_TS!$B$2:$B$20001,Kalkulasi!$B$877)))</f>
        <v/>
      </c>
      <c r="V894">
        <f>IF($A894="",0,IF(Kalkulasi!$B$876="OB",SUMIFS(DATA_TS!$M$2:$M$20001,DATA_TS!$A$2:$A$20001,$A894,DATA_TS!$C$2:$C$20001,C$880,DATA_TS!$B$2:$B$20001,Kalkulasi!$B$877),SUMIFS(DATA_TS!$N$2:$N$20001,DATA_TS!$A$2:$A$20001,$A894,DATA_TS!$C$2:$C$20001,C$880,DATA_TS!$B$2:$B$20001,Kalkulasi!$B$877)))</f>
        <v/>
      </c>
      <c r="W894">
        <f>IF($A894="",0,IF(Kalkulasi!$B$876="OB",SUMIFS(DATA_TS!$M$2:$M$20001,DATA_TS!$A$2:$A$20001,$A894,DATA_TS!$C$2:$C$20001,D$880,DATA_TS!$B$2:$B$20001,Kalkulasi!$B$877),SUMIFS(DATA_TS!$N$2:$N$20001,DATA_TS!$A$2:$A$20001,$A894,DATA_TS!$C$2:$C$20001,D$880,DATA_TS!$B$2:$B$20001,Kalkulasi!$B$877)))</f>
        <v/>
      </c>
      <c r="X894">
        <f>IF($A894="",0,IF(Kalkulasi!$B$876="OB",SUMIFS(DATA_TS!$M$2:$M$20001,DATA_TS!$A$2:$A$20001,$A894,DATA_TS!$C$2:$C$20001,E$880,DATA_TS!$B$2:$B$20001,Kalkulasi!$B$877),SUMIFS(DATA_TS!$N$2:$N$20001,DATA_TS!$A$2:$A$20001,$A894,DATA_TS!$C$2:$C$20001,E$880,DATA_TS!$B$2:$B$20001,Kalkulasi!$B$877)))</f>
        <v/>
      </c>
      <c r="Y894">
        <f>IF($A894="",0,IF(Kalkulasi!$B$876="OB",SUMIFS(DATA_TS!$M$2:$M$20001,DATA_TS!$A$2:$A$20001,$A894,DATA_TS!$C$2:$C$20001,F$880,DATA_TS!$B$2:$B$20001,Kalkulasi!$B$877),SUMIFS(DATA_TS!$N$2:$N$20001,DATA_TS!$A$2:$A$20001,$A894,DATA_TS!$C$2:$C$20001,F$880,DATA_TS!$B$2:$B$20001,Kalkulasi!$B$877)))</f>
        <v/>
      </c>
      <c r="Z894">
        <f>IF($A894="",0,IF(Kalkulasi!$B$876="OB",SUMIFS(DATA_TS!$M$2:$M$20001,DATA_TS!$A$2:$A$20001,$A894,DATA_TS!$C$2:$C$20001,G$880,DATA_TS!$B$2:$B$20001,Kalkulasi!$B$877),SUMIFS(DATA_TS!$N$2:$N$20001,DATA_TS!$A$2:$A$20001,$A894,DATA_TS!$C$2:$C$20001,G$880,DATA_TS!$B$2:$B$20001,Kalkulasi!$B$877)))</f>
        <v/>
      </c>
      <c r="AA894">
        <f>IF($A894="",0,IF(Kalkulasi!$B$876="OB",SUMIFS(DATA_TS!$M$2:$M$20001,DATA_TS!$A$2:$A$20001,$A894,DATA_TS!$C$2:$C$20001,H$880,DATA_TS!$B$2:$B$20001,Kalkulasi!$B$877),SUMIFS(DATA_TS!$N$2:$N$20001,DATA_TS!$A$2:$A$20001,$A894,DATA_TS!$C$2:$C$20001,H$880,DATA_TS!$B$2:$B$20001,Kalkulasi!$B$877)))</f>
        <v/>
      </c>
      <c r="AB894">
        <f>IF($A894="",0,IF(Kalkulasi!$B$876="OB",SUMIFS(DATA_TS!$M$2:$M$20001,DATA_TS!$A$2:$A$20001,$A894,DATA_TS!$C$2:$C$20001,I$880,DATA_TS!$B$2:$B$20001,Kalkulasi!$B$877),SUMIFS(DATA_TS!$N$2:$N$20001,DATA_TS!$A$2:$A$20001,$A894,DATA_TS!$C$2:$C$20001,I$880,DATA_TS!$B$2:$B$20001,Kalkulasi!$B$877)))</f>
        <v/>
      </c>
      <c r="AC894">
        <f>IF($A894="",0,IF(Kalkulasi!$B$876="OB",SUMIFS(DATA_TS!$M$2:$M$20001,DATA_TS!$A$2:$A$20001,$A894,DATA_TS!$C$2:$C$20001,J$880,DATA_TS!$B$2:$B$20001,Kalkulasi!$B$877),SUMIFS(DATA_TS!$N$2:$N$20001,DATA_TS!$A$2:$A$20001,$A894,DATA_TS!$C$2:$C$20001,J$880,DATA_TS!$B$2:$B$20001,Kalkulasi!$B$877)))</f>
        <v/>
      </c>
      <c r="AD894">
        <f>IF($A894="",0,IF(Kalkulasi!$B$876="OB",SUMIFS(DATA_TS!$M$2:$M$20001,DATA_TS!$A$2:$A$20001,$A894,DATA_TS!$C$2:$C$20001,K$880,DATA_TS!$B$2:$B$20001,Kalkulasi!$B$877),SUMIFS(DATA_TS!$N$2:$N$20001,DATA_TS!$A$2:$A$20001,$A894,DATA_TS!$C$2:$C$20001,K$880,DATA_TS!$B$2:$B$20001,Kalkulasi!$B$877)))</f>
        <v/>
      </c>
      <c r="AE894">
        <f>IF($A894="",0,IF(Kalkulasi!$B$876="OB",SUMIFS(DATA_TS!$M$2:$M$20001,DATA_TS!$A$2:$A$20001,$A894,DATA_TS!$C$2:$C$20001,L$880,DATA_TS!$B$2:$B$20001,Kalkulasi!$B$877),SUMIFS(DATA_TS!$N$2:$N$20001,DATA_TS!$A$2:$A$20001,$A894,DATA_TS!$C$2:$C$20001,L$880,DATA_TS!$B$2:$B$20001,Kalkulasi!$B$877)))</f>
        <v/>
      </c>
      <c r="AF894">
        <f>IF($A894="",0,IF(Kalkulasi!$B$876="OB",SUMIFS(DATA_TS!$M$2:$M$20001,DATA_TS!$A$2:$A$20001,$A894,DATA_TS!$C$2:$C$20001,M$880,DATA_TS!$B$2:$B$20001,Kalkulasi!$B$877),SUMIFS(DATA_TS!$N$2:$N$20001,DATA_TS!$A$2:$A$20001,$A894,DATA_TS!$C$2:$C$20001,M$880,DATA_TS!$B$2:$B$20001,Kalkulasi!$B$877)))</f>
        <v/>
      </c>
      <c r="AG894">
        <f>IF($A894="",0,IF(Kalkulasi!$B$876="OB",SUMIFS(DATA_TS!$M$2:$M$20001,DATA_TS!$A$2:$A$20001,$A894,DATA_TS!$C$2:$C$20001,N$880,DATA_TS!$B$2:$B$20001,Kalkulasi!$B$877),SUMIFS(DATA_TS!$N$2:$N$20001,DATA_TS!$A$2:$A$20001,$A894,DATA_TS!$C$2:$C$20001,N$880,DATA_TS!$B$2:$B$20001,Kalkulasi!$B$877)))</f>
        <v/>
      </c>
      <c r="AH894">
        <f>IF($A894="",0,IF(Kalkulasi!$B$876="OB",SUMIFS(DATA_TS!$M$2:$M$20001,DATA_TS!$A$2:$A$20001,$A894,DATA_TS!$C$2:$C$20001,O$880,DATA_TS!$B$2:$B$20001,Kalkulasi!$B$877),SUMIFS(DATA_TS!$N$2:$N$20001,DATA_TS!$A$2:$A$20001,$A894,DATA_TS!$C$2:$C$20001,O$880,DATA_TS!$B$2:$B$20001,Kalkulasi!$B$877)))</f>
        <v/>
      </c>
      <c r="AI894">
        <f>IF($A894="",0,IF(Kalkulasi!$B$876="OB",SUMIFS(DATA_TS!$M$2:$M$20001,DATA_TS!$A$2:$A$20001,$A894,DATA_TS!$C$2:$C$20001,P$880,DATA_TS!$B$2:$B$20001,Kalkulasi!$B$877),SUMIFS(DATA_TS!$N$2:$N$20001,DATA_TS!$A$2:$A$20001,$A894,DATA_TS!$C$2:$C$20001,P$880,DATA_TS!$B$2:$B$20001,Kalkulasi!$B$877)))</f>
        <v/>
      </c>
      <c r="AJ894">
        <f>IF($A894="",0,IF(Kalkulasi!$B$876="OB",SUMIFS(DATA_TS!$M$2:$M$20001,DATA_TS!$A$2:$A$20001,$A894,DATA_TS!$C$2:$C$20001,Q$880,DATA_TS!$B$2:$B$20001,Kalkulasi!$B$877),SUMIFS(DATA_TS!$N$2:$N$20001,DATA_TS!$A$2:$A$20001,$A894,DATA_TS!$C$2:$C$20001,Q$880,DATA_TS!$B$2:$B$20001,Kalkulasi!$B$877)))</f>
        <v/>
      </c>
      <c r="AK894">
        <f>IF($A894="",0,IF(Kalkulasi!$B$876="OB",SUMIFS(DATA_TS!$M$2:$M$20001,DATA_TS!$A$2:$A$20001,$A894,DATA_TS!$C$2:$C$20001,R$880,DATA_TS!$B$2:$B$20001,Kalkulasi!$B$877),SUMIFS(DATA_TS!$N$2:$N$20001,DATA_TS!$A$2:$A$20001,$A894,DATA_TS!$C$2:$C$20001,R$880,DATA_TS!$B$2:$B$20001,Kalkulasi!$B$877)))</f>
        <v/>
      </c>
      <c r="AL894">
        <f>IF($A894="",0,IF(Kalkulasi!$B$876="OB",SUMIFS(DATA_TS!$M$2:$M$20001,DATA_TS!$A$2:$A$20001,$A894,DATA_TS!$C$2:$C$20001,S$880,DATA_TS!$B$2:$B$20001,Kalkulasi!$B$877),SUMIFS(DATA_TS!$N$2:$N$20001,DATA_TS!$A$2:$A$20001,$A894,DATA_TS!$C$2:$C$20001,S$880,DATA_TS!$B$2:$B$20001,Kalkulasi!$B$877)))</f>
        <v/>
      </c>
      <c r="AM894">
        <f>SUM(U894:AL894)</f>
        <v/>
      </c>
      <c r="AN894">
        <f>IF(OR(U894=0,B894=0),"",B894/U894)</f>
        <v/>
      </c>
      <c r="AO894">
        <f>IF(OR(V894=0,C894=0),"",C894/V894)</f>
        <v/>
      </c>
      <c r="AP894">
        <f>IF(OR(W894=0,D894=0),"",D894/W894)</f>
        <v/>
      </c>
      <c r="AQ894">
        <f>IF(OR(X894=0,E894=0),"",E894/X894)</f>
        <v/>
      </c>
      <c r="AR894">
        <f>IF(OR(Y894=0,F894=0),"",F894/Y894)</f>
        <v/>
      </c>
      <c r="AS894">
        <f>IF(OR(Z894=0,G894=0),"",G894/Z894)</f>
        <v/>
      </c>
      <c r="AT894">
        <f>IF(OR(AA894=0,H894=0),"",H894/AA894)</f>
        <v/>
      </c>
      <c r="AU894">
        <f>IF(OR(AB894=0,I894=0),"",I894/AB894)</f>
        <v/>
      </c>
      <c r="AV894">
        <f>IF(OR(AC894=0,J894=0),"",J894/AC894)</f>
        <v/>
      </c>
      <c r="AW894">
        <f>IF(OR(AD894=0,K894=0),"",K894/AD894)</f>
        <v/>
      </c>
      <c r="AX894">
        <f>IF(OR(AE894=0,L894=0),"",L894/AE894)</f>
        <v/>
      </c>
      <c r="AY894">
        <f>IF(OR(AF894=0,M894=0),"",M894/AF894)</f>
        <v/>
      </c>
      <c r="AZ894">
        <f>IF(OR(AG894=0,N894=0),"",N894/AG894)</f>
        <v/>
      </c>
      <c r="BA894">
        <f>IF(OR(AH894=0,O894=0),"",O894/AH894)</f>
        <v/>
      </c>
      <c r="BB894">
        <f>IF(OR(AI894=0,P894=0),"",P894/AI894)</f>
        <v/>
      </c>
      <c r="BC894">
        <f>IF(OR(AJ894=0,Q894=0),"",Q894/AJ894)</f>
        <v/>
      </c>
      <c r="BD894">
        <f>IF(OR(AK894=0,R894=0),"",R894/AK894)</f>
        <v/>
      </c>
      <c r="BE894">
        <f>IF(OR(AL894=0,S894=0),"",S894/AL894)</f>
        <v/>
      </c>
      <c r="BF894">
        <f>IF(AM894=0,NA(),T894/AM894)</f>
        <v/>
      </c>
      <c r="BG894" t="n">
        <v>14</v>
      </c>
      <c r="BH894">
        <f>IF(AM894=0,"",T894/AM894)</f>
        <v/>
      </c>
      <c r="BI894">
        <f>IF($A894="","",TEXT($A894,"d"))</f>
        <v/>
      </c>
    </row>
    <row r="895">
      <c r="A895" s="199">
        <f>IF(Kalkulasi!$B$873+14&gt;Kalkulasi!$B$874,"",Kalkulasi!$B$873+14)</f>
        <v/>
      </c>
      <c r="B895">
        <f>IF(OR($A895="",U895=0),0,IF(Kalkulasi!$B$876="OB",SUMIFS(DATA_TS!$Q$2:$Q$20001,DATA_TS!$A$2:$A$20001,$A895,DATA_TS!$C$2:$C$20001,B$880,DATA_TS!$B$2:$B$20001,Kalkulasi!$B$877),SUMIFS(DATA_TS!$R$2:$R$20001,DATA_TS!$A$2:$A$20001,$A895,DATA_TS!$C$2:$C$20001,B$880,DATA_TS!$B$2:$B$20001,Kalkulasi!$B$877)))</f>
        <v/>
      </c>
      <c r="C895">
        <f>IF(OR($A895="",V895=0),0,IF(Kalkulasi!$B$876="OB",SUMIFS(DATA_TS!$Q$2:$Q$20001,DATA_TS!$A$2:$A$20001,$A895,DATA_TS!$C$2:$C$20001,C$880,DATA_TS!$B$2:$B$20001,Kalkulasi!$B$877),SUMIFS(DATA_TS!$R$2:$R$20001,DATA_TS!$A$2:$A$20001,$A895,DATA_TS!$C$2:$C$20001,C$880,DATA_TS!$B$2:$B$20001,Kalkulasi!$B$877)))</f>
        <v/>
      </c>
      <c r="D895">
        <f>IF(OR($A895="",W895=0),0,IF(Kalkulasi!$B$876="OB",SUMIFS(DATA_TS!$Q$2:$Q$20001,DATA_TS!$A$2:$A$20001,$A895,DATA_TS!$C$2:$C$20001,D$880,DATA_TS!$B$2:$B$20001,Kalkulasi!$B$877),SUMIFS(DATA_TS!$R$2:$R$20001,DATA_TS!$A$2:$A$20001,$A895,DATA_TS!$C$2:$C$20001,D$880,DATA_TS!$B$2:$B$20001,Kalkulasi!$B$877)))</f>
        <v/>
      </c>
      <c r="E895">
        <f>IF(OR($A895="",X895=0),0,IF(Kalkulasi!$B$876="OB",SUMIFS(DATA_TS!$Q$2:$Q$20001,DATA_TS!$A$2:$A$20001,$A895,DATA_TS!$C$2:$C$20001,E$880,DATA_TS!$B$2:$B$20001,Kalkulasi!$B$877),SUMIFS(DATA_TS!$R$2:$R$20001,DATA_TS!$A$2:$A$20001,$A895,DATA_TS!$C$2:$C$20001,E$880,DATA_TS!$B$2:$B$20001,Kalkulasi!$B$877)))</f>
        <v/>
      </c>
      <c r="F895">
        <f>IF(OR($A895="",Y895=0),0,IF(Kalkulasi!$B$876="OB",SUMIFS(DATA_TS!$Q$2:$Q$20001,DATA_TS!$A$2:$A$20001,$A895,DATA_TS!$C$2:$C$20001,F$880,DATA_TS!$B$2:$B$20001,Kalkulasi!$B$877),SUMIFS(DATA_TS!$R$2:$R$20001,DATA_TS!$A$2:$A$20001,$A895,DATA_TS!$C$2:$C$20001,F$880,DATA_TS!$B$2:$B$20001,Kalkulasi!$B$877)))</f>
        <v/>
      </c>
      <c r="G895">
        <f>IF(OR($A895="",Z895=0),0,IF(Kalkulasi!$B$876="OB",SUMIFS(DATA_TS!$Q$2:$Q$20001,DATA_TS!$A$2:$A$20001,$A895,DATA_TS!$C$2:$C$20001,G$880,DATA_TS!$B$2:$B$20001,Kalkulasi!$B$877),SUMIFS(DATA_TS!$R$2:$R$20001,DATA_TS!$A$2:$A$20001,$A895,DATA_TS!$C$2:$C$20001,G$880,DATA_TS!$B$2:$B$20001,Kalkulasi!$B$877)))</f>
        <v/>
      </c>
      <c r="H895">
        <f>IF(OR($A895="",AA895=0),0,IF(Kalkulasi!$B$876="OB",SUMIFS(DATA_TS!$Q$2:$Q$20001,DATA_TS!$A$2:$A$20001,$A895,DATA_TS!$C$2:$C$20001,H$880,DATA_TS!$B$2:$B$20001,Kalkulasi!$B$877),SUMIFS(DATA_TS!$R$2:$R$20001,DATA_TS!$A$2:$A$20001,$A895,DATA_TS!$C$2:$C$20001,H$880,DATA_TS!$B$2:$B$20001,Kalkulasi!$B$877)))</f>
        <v/>
      </c>
      <c r="I895">
        <f>IF(OR($A895="",AB895=0),0,IF(Kalkulasi!$B$876="OB",SUMIFS(DATA_TS!$Q$2:$Q$20001,DATA_TS!$A$2:$A$20001,$A895,DATA_TS!$C$2:$C$20001,I$880,DATA_TS!$B$2:$B$20001,Kalkulasi!$B$877),SUMIFS(DATA_TS!$R$2:$R$20001,DATA_TS!$A$2:$A$20001,$A895,DATA_TS!$C$2:$C$20001,I$880,DATA_TS!$B$2:$B$20001,Kalkulasi!$B$877)))</f>
        <v/>
      </c>
      <c r="J895">
        <f>IF(OR($A895="",AC895=0),0,IF(Kalkulasi!$B$876="OB",SUMIFS(DATA_TS!$Q$2:$Q$20001,DATA_TS!$A$2:$A$20001,$A895,DATA_TS!$C$2:$C$20001,J$880,DATA_TS!$B$2:$B$20001,Kalkulasi!$B$877),SUMIFS(DATA_TS!$R$2:$R$20001,DATA_TS!$A$2:$A$20001,$A895,DATA_TS!$C$2:$C$20001,J$880,DATA_TS!$B$2:$B$20001,Kalkulasi!$B$877)))</f>
        <v/>
      </c>
      <c r="K895">
        <f>IF(OR($A895="",AD895=0),0,IF(Kalkulasi!$B$876="OB",SUMIFS(DATA_TS!$Q$2:$Q$20001,DATA_TS!$A$2:$A$20001,$A895,DATA_TS!$C$2:$C$20001,K$880,DATA_TS!$B$2:$B$20001,Kalkulasi!$B$877),SUMIFS(DATA_TS!$R$2:$R$20001,DATA_TS!$A$2:$A$20001,$A895,DATA_TS!$C$2:$C$20001,K$880,DATA_TS!$B$2:$B$20001,Kalkulasi!$B$877)))</f>
        <v/>
      </c>
      <c r="L895">
        <f>IF(OR($A895="",AE895=0),0,IF(Kalkulasi!$B$876="OB",SUMIFS(DATA_TS!$Q$2:$Q$20001,DATA_TS!$A$2:$A$20001,$A895,DATA_TS!$C$2:$C$20001,L$880,DATA_TS!$B$2:$B$20001,Kalkulasi!$B$877),SUMIFS(DATA_TS!$R$2:$R$20001,DATA_TS!$A$2:$A$20001,$A895,DATA_TS!$C$2:$C$20001,L$880,DATA_TS!$B$2:$B$20001,Kalkulasi!$B$877)))</f>
        <v/>
      </c>
      <c r="M895">
        <f>IF(OR($A895="",AF895=0),0,IF(Kalkulasi!$B$876="OB",SUMIFS(DATA_TS!$Q$2:$Q$20001,DATA_TS!$A$2:$A$20001,$A895,DATA_TS!$C$2:$C$20001,M$880,DATA_TS!$B$2:$B$20001,Kalkulasi!$B$877),SUMIFS(DATA_TS!$R$2:$R$20001,DATA_TS!$A$2:$A$20001,$A895,DATA_TS!$C$2:$C$20001,M$880,DATA_TS!$B$2:$B$20001,Kalkulasi!$B$877)))</f>
        <v/>
      </c>
      <c r="N895">
        <f>IF(OR($A895="",AG895=0),0,IF(Kalkulasi!$B$876="OB",SUMIFS(DATA_TS!$Q$2:$Q$20001,DATA_TS!$A$2:$A$20001,$A895,DATA_TS!$C$2:$C$20001,N$880,DATA_TS!$B$2:$B$20001,Kalkulasi!$B$877),SUMIFS(DATA_TS!$R$2:$R$20001,DATA_TS!$A$2:$A$20001,$A895,DATA_TS!$C$2:$C$20001,N$880,DATA_TS!$B$2:$B$20001,Kalkulasi!$B$877)))</f>
        <v/>
      </c>
      <c r="O895">
        <f>IF(OR($A895="",AH895=0),0,IF(Kalkulasi!$B$876="OB",SUMIFS(DATA_TS!$Q$2:$Q$20001,DATA_TS!$A$2:$A$20001,$A895,DATA_TS!$C$2:$C$20001,O$880,DATA_TS!$B$2:$B$20001,Kalkulasi!$B$877),SUMIFS(DATA_TS!$R$2:$R$20001,DATA_TS!$A$2:$A$20001,$A895,DATA_TS!$C$2:$C$20001,O$880,DATA_TS!$B$2:$B$20001,Kalkulasi!$B$877)))</f>
        <v/>
      </c>
      <c r="P895">
        <f>IF(OR($A895="",AI895=0),0,IF(Kalkulasi!$B$876="OB",SUMIFS(DATA_TS!$Q$2:$Q$20001,DATA_TS!$A$2:$A$20001,$A895,DATA_TS!$C$2:$C$20001,P$880,DATA_TS!$B$2:$B$20001,Kalkulasi!$B$877),SUMIFS(DATA_TS!$R$2:$R$20001,DATA_TS!$A$2:$A$20001,$A895,DATA_TS!$C$2:$C$20001,P$880,DATA_TS!$B$2:$B$20001,Kalkulasi!$B$877)))</f>
        <v/>
      </c>
      <c r="Q895">
        <f>IF(OR($A895="",AJ895=0),0,IF(Kalkulasi!$B$876="OB",SUMIFS(DATA_TS!$Q$2:$Q$20001,DATA_TS!$A$2:$A$20001,$A895,DATA_TS!$C$2:$C$20001,Q$880,DATA_TS!$B$2:$B$20001,Kalkulasi!$B$877),SUMIFS(DATA_TS!$R$2:$R$20001,DATA_TS!$A$2:$A$20001,$A895,DATA_TS!$C$2:$C$20001,Q$880,DATA_TS!$B$2:$B$20001,Kalkulasi!$B$877)))</f>
        <v/>
      </c>
      <c r="R895">
        <f>IF(OR($A895="",AK895=0),0,IF(Kalkulasi!$B$876="OB",SUMIFS(DATA_TS!$Q$2:$Q$20001,DATA_TS!$A$2:$A$20001,$A895,DATA_TS!$C$2:$C$20001,R$880,DATA_TS!$B$2:$B$20001,Kalkulasi!$B$877),SUMIFS(DATA_TS!$R$2:$R$20001,DATA_TS!$A$2:$A$20001,$A895,DATA_TS!$C$2:$C$20001,R$880,DATA_TS!$B$2:$B$20001,Kalkulasi!$B$877)))</f>
        <v/>
      </c>
      <c r="S895">
        <f>IF(OR($A895="",AL895=0),0,IF(Kalkulasi!$B$876="OB",SUMIFS(DATA_TS!$Q$2:$Q$20001,DATA_TS!$A$2:$A$20001,$A895,DATA_TS!$C$2:$C$20001,S$880,DATA_TS!$B$2:$B$20001,Kalkulasi!$B$877),SUMIFS(DATA_TS!$R$2:$R$20001,DATA_TS!$A$2:$A$20001,$A895,DATA_TS!$C$2:$C$20001,S$880,DATA_TS!$B$2:$B$20001,Kalkulasi!$B$877)))</f>
        <v/>
      </c>
      <c r="T895">
        <f>SUM(B895:S895)</f>
        <v/>
      </c>
      <c r="U895">
        <f>IF($A895="",0,IF(Kalkulasi!$B$876="OB",SUMIFS(DATA_TS!$M$2:$M$20001,DATA_TS!$A$2:$A$20001,$A895,DATA_TS!$C$2:$C$20001,B$880,DATA_TS!$B$2:$B$20001,Kalkulasi!$B$877),SUMIFS(DATA_TS!$N$2:$N$20001,DATA_TS!$A$2:$A$20001,$A895,DATA_TS!$C$2:$C$20001,B$880,DATA_TS!$B$2:$B$20001,Kalkulasi!$B$877)))</f>
        <v/>
      </c>
      <c r="V895">
        <f>IF($A895="",0,IF(Kalkulasi!$B$876="OB",SUMIFS(DATA_TS!$M$2:$M$20001,DATA_TS!$A$2:$A$20001,$A895,DATA_TS!$C$2:$C$20001,C$880,DATA_TS!$B$2:$B$20001,Kalkulasi!$B$877),SUMIFS(DATA_TS!$N$2:$N$20001,DATA_TS!$A$2:$A$20001,$A895,DATA_TS!$C$2:$C$20001,C$880,DATA_TS!$B$2:$B$20001,Kalkulasi!$B$877)))</f>
        <v/>
      </c>
      <c r="W895">
        <f>IF($A895="",0,IF(Kalkulasi!$B$876="OB",SUMIFS(DATA_TS!$M$2:$M$20001,DATA_TS!$A$2:$A$20001,$A895,DATA_TS!$C$2:$C$20001,D$880,DATA_TS!$B$2:$B$20001,Kalkulasi!$B$877),SUMIFS(DATA_TS!$N$2:$N$20001,DATA_TS!$A$2:$A$20001,$A895,DATA_TS!$C$2:$C$20001,D$880,DATA_TS!$B$2:$B$20001,Kalkulasi!$B$877)))</f>
        <v/>
      </c>
      <c r="X895">
        <f>IF($A895="",0,IF(Kalkulasi!$B$876="OB",SUMIFS(DATA_TS!$M$2:$M$20001,DATA_TS!$A$2:$A$20001,$A895,DATA_TS!$C$2:$C$20001,E$880,DATA_TS!$B$2:$B$20001,Kalkulasi!$B$877),SUMIFS(DATA_TS!$N$2:$N$20001,DATA_TS!$A$2:$A$20001,$A895,DATA_TS!$C$2:$C$20001,E$880,DATA_TS!$B$2:$B$20001,Kalkulasi!$B$877)))</f>
        <v/>
      </c>
      <c r="Y895">
        <f>IF($A895="",0,IF(Kalkulasi!$B$876="OB",SUMIFS(DATA_TS!$M$2:$M$20001,DATA_TS!$A$2:$A$20001,$A895,DATA_TS!$C$2:$C$20001,F$880,DATA_TS!$B$2:$B$20001,Kalkulasi!$B$877),SUMIFS(DATA_TS!$N$2:$N$20001,DATA_TS!$A$2:$A$20001,$A895,DATA_TS!$C$2:$C$20001,F$880,DATA_TS!$B$2:$B$20001,Kalkulasi!$B$877)))</f>
        <v/>
      </c>
      <c r="Z895">
        <f>IF($A895="",0,IF(Kalkulasi!$B$876="OB",SUMIFS(DATA_TS!$M$2:$M$20001,DATA_TS!$A$2:$A$20001,$A895,DATA_TS!$C$2:$C$20001,G$880,DATA_TS!$B$2:$B$20001,Kalkulasi!$B$877),SUMIFS(DATA_TS!$N$2:$N$20001,DATA_TS!$A$2:$A$20001,$A895,DATA_TS!$C$2:$C$20001,G$880,DATA_TS!$B$2:$B$20001,Kalkulasi!$B$877)))</f>
        <v/>
      </c>
      <c r="AA895">
        <f>IF($A895="",0,IF(Kalkulasi!$B$876="OB",SUMIFS(DATA_TS!$M$2:$M$20001,DATA_TS!$A$2:$A$20001,$A895,DATA_TS!$C$2:$C$20001,H$880,DATA_TS!$B$2:$B$20001,Kalkulasi!$B$877),SUMIFS(DATA_TS!$N$2:$N$20001,DATA_TS!$A$2:$A$20001,$A895,DATA_TS!$C$2:$C$20001,H$880,DATA_TS!$B$2:$B$20001,Kalkulasi!$B$877)))</f>
        <v/>
      </c>
      <c r="AB895">
        <f>IF($A895="",0,IF(Kalkulasi!$B$876="OB",SUMIFS(DATA_TS!$M$2:$M$20001,DATA_TS!$A$2:$A$20001,$A895,DATA_TS!$C$2:$C$20001,I$880,DATA_TS!$B$2:$B$20001,Kalkulasi!$B$877),SUMIFS(DATA_TS!$N$2:$N$20001,DATA_TS!$A$2:$A$20001,$A895,DATA_TS!$C$2:$C$20001,I$880,DATA_TS!$B$2:$B$20001,Kalkulasi!$B$877)))</f>
        <v/>
      </c>
      <c r="AC895">
        <f>IF($A895="",0,IF(Kalkulasi!$B$876="OB",SUMIFS(DATA_TS!$M$2:$M$20001,DATA_TS!$A$2:$A$20001,$A895,DATA_TS!$C$2:$C$20001,J$880,DATA_TS!$B$2:$B$20001,Kalkulasi!$B$877),SUMIFS(DATA_TS!$N$2:$N$20001,DATA_TS!$A$2:$A$20001,$A895,DATA_TS!$C$2:$C$20001,J$880,DATA_TS!$B$2:$B$20001,Kalkulasi!$B$877)))</f>
        <v/>
      </c>
      <c r="AD895">
        <f>IF($A895="",0,IF(Kalkulasi!$B$876="OB",SUMIFS(DATA_TS!$M$2:$M$20001,DATA_TS!$A$2:$A$20001,$A895,DATA_TS!$C$2:$C$20001,K$880,DATA_TS!$B$2:$B$20001,Kalkulasi!$B$877),SUMIFS(DATA_TS!$N$2:$N$20001,DATA_TS!$A$2:$A$20001,$A895,DATA_TS!$C$2:$C$20001,K$880,DATA_TS!$B$2:$B$20001,Kalkulasi!$B$877)))</f>
        <v/>
      </c>
      <c r="AE895">
        <f>IF($A895="",0,IF(Kalkulasi!$B$876="OB",SUMIFS(DATA_TS!$M$2:$M$20001,DATA_TS!$A$2:$A$20001,$A895,DATA_TS!$C$2:$C$20001,L$880,DATA_TS!$B$2:$B$20001,Kalkulasi!$B$877),SUMIFS(DATA_TS!$N$2:$N$20001,DATA_TS!$A$2:$A$20001,$A895,DATA_TS!$C$2:$C$20001,L$880,DATA_TS!$B$2:$B$20001,Kalkulasi!$B$877)))</f>
        <v/>
      </c>
      <c r="AF895">
        <f>IF($A895="",0,IF(Kalkulasi!$B$876="OB",SUMIFS(DATA_TS!$M$2:$M$20001,DATA_TS!$A$2:$A$20001,$A895,DATA_TS!$C$2:$C$20001,M$880,DATA_TS!$B$2:$B$20001,Kalkulasi!$B$877),SUMIFS(DATA_TS!$N$2:$N$20001,DATA_TS!$A$2:$A$20001,$A895,DATA_TS!$C$2:$C$20001,M$880,DATA_TS!$B$2:$B$20001,Kalkulasi!$B$877)))</f>
        <v/>
      </c>
      <c r="AG895">
        <f>IF($A895="",0,IF(Kalkulasi!$B$876="OB",SUMIFS(DATA_TS!$M$2:$M$20001,DATA_TS!$A$2:$A$20001,$A895,DATA_TS!$C$2:$C$20001,N$880,DATA_TS!$B$2:$B$20001,Kalkulasi!$B$877),SUMIFS(DATA_TS!$N$2:$N$20001,DATA_TS!$A$2:$A$20001,$A895,DATA_TS!$C$2:$C$20001,N$880,DATA_TS!$B$2:$B$20001,Kalkulasi!$B$877)))</f>
        <v/>
      </c>
      <c r="AH895">
        <f>IF($A895="",0,IF(Kalkulasi!$B$876="OB",SUMIFS(DATA_TS!$M$2:$M$20001,DATA_TS!$A$2:$A$20001,$A895,DATA_TS!$C$2:$C$20001,O$880,DATA_TS!$B$2:$B$20001,Kalkulasi!$B$877),SUMIFS(DATA_TS!$N$2:$N$20001,DATA_TS!$A$2:$A$20001,$A895,DATA_TS!$C$2:$C$20001,O$880,DATA_TS!$B$2:$B$20001,Kalkulasi!$B$877)))</f>
        <v/>
      </c>
      <c r="AI895">
        <f>IF($A895="",0,IF(Kalkulasi!$B$876="OB",SUMIFS(DATA_TS!$M$2:$M$20001,DATA_TS!$A$2:$A$20001,$A895,DATA_TS!$C$2:$C$20001,P$880,DATA_TS!$B$2:$B$20001,Kalkulasi!$B$877),SUMIFS(DATA_TS!$N$2:$N$20001,DATA_TS!$A$2:$A$20001,$A895,DATA_TS!$C$2:$C$20001,P$880,DATA_TS!$B$2:$B$20001,Kalkulasi!$B$877)))</f>
        <v/>
      </c>
      <c r="AJ895">
        <f>IF($A895="",0,IF(Kalkulasi!$B$876="OB",SUMIFS(DATA_TS!$M$2:$M$20001,DATA_TS!$A$2:$A$20001,$A895,DATA_TS!$C$2:$C$20001,Q$880,DATA_TS!$B$2:$B$20001,Kalkulasi!$B$877),SUMIFS(DATA_TS!$N$2:$N$20001,DATA_TS!$A$2:$A$20001,$A895,DATA_TS!$C$2:$C$20001,Q$880,DATA_TS!$B$2:$B$20001,Kalkulasi!$B$877)))</f>
        <v/>
      </c>
      <c r="AK895">
        <f>IF($A895="",0,IF(Kalkulasi!$B$876="OB",SUMIFS(DATA_TS!$M$2:$M$20001,DATA_TS!$A$2:$A$20001,$A895,DATA_TS!$C$2:$C$20001,R$880,DATA_TS!$B$2:$B$20001,Kalkulasi!$B$877),SUMIFS(DATA_TS!$N$2:$N$20001,DATA_TS!$A$2:$A$20001,$A895,DATA_TS!$C$2:$C$20001,R$880,DATA_TS!$B$2:$B$20001,Kalkulasi!$B$877)))</f>
        <v/>
      </c>
      <c r="AL895">
        <f>IF($A895="",0,IF(Kalkulasi!$B$876="OB",SUMIFS(DATA_TS!$M$2:$M$20001,DATA_TS!$A$2:$A$20001,$A895,DATA_TS!$C$2:$C$20001,S$880,DATA_TS!$B$2:$B$20001,Kalkulasi!$B$877),SUMIFS(DATA_TS!$N$2:$N$20001,DATA_TS!$A$2:$A$20001,$A895,DATA_TS!$C$2:$C$20001,S$880,DATA_TS!$B$2:$B$20001,Kalkulasi!$B$877)))</f>
        <v/>
      </c>
      <c r="AM895">
        <f>SUM(U895:AL895)</f>
        <v/>
      </c>
      <c r="AN895">
        <f>IF(OR(U895=0,B895=0),"",B895/U895)</f>
        <v/>
      </c>
      <c r="AO895">
        <f>IF(OR(V895=0,C895=0),"",C895/V895)</f>
        <v/>
      </c>
      <c r="AP895">
        <f>IF(OR(W895=0,D895=0),"",D895/W895)</f>
        <v/>
      </c>
      <c r="AQ895">
        <f>IF(OR(X895=0,E895=0),"",E895/X895)</f>
        <v/>
      </c>
      <c r="AR895">
        <f>IF(OR(Y895=0,F895=0),"",F895/Y895)</f>
        <v/>
      </c>
      <c r="AS895">
        <f>IF(OR(Z895=0,G895=0),"",G895/Z895)</f>
        <v/>
      </c>
      <c r="AT895">
        <f>IF(OR(AA895=0,H895=0),"",H895/AA895)</f>
        <v/>
      </c>
      <c r="AU895">
        <f>IF(OR(AB895=0,I895=0),"",I895/AB895)</f>
        <v/>
      </c>
      <c r="AV895">
        <f>IF(OR(AC895=0,J895=0),"",J895/AC895)</f>
        <v/>
      </c>
      <c r="AW895">
        <f>IF(OR(AD895=0,K895=0),"",K895/AD895)</f>
        <v/>
      </c>
      <c r="AX895">
        <f>IF(OR(AE895=0,L895=0),"",L895/AE895)</f>
        <v/>
      </c>
      <c r="AY895">
        <f>IF(OR(AF895=0,M895=0),"",M895/AF895)</f>
        <v/>
      </c>
      <c r="AZ895">
        <f>IF(OR(AG895=0,N895=0),"",N895/AG895)</f>
        <v/>
      </c>
      <c r="BA895">
        <f>IF(OR(AH895=0,O895=0),"",O895/AH895)</f>
        <v/>
      </c>
      <c r="BB895">
        <f>IF(OR(AI895=0,P895=0),"",P895/AI895)</f>
        <v/>
      </c>
      <c r="BC895">
        <f>IF(OR(AJ895=0,Q895=0),"",Q895/AJ895)</f>
        <v/>
      </c>
      <c r="BD895">
        <f>IF(OR(AK895=0,R895=0),"",R895/AK895)</f>
        <v/>
      </c>
      <c r="BE895">
        <f>IF(OR(AL895=0,S895=0),"",S895/AL895)</f>
        <v/>
      </c>
      <c r="BF895">
        <f>IF(AM895=0,NA(),T895/AM895)</f>
        <v/>
      </c>
      <c r="BG895" t="n">
        <v>15</v>
      </c>
      <c r="BH895">
        <f>IF(AM895=0,"",T895/AM895)</f>
        <v/>
      </c>
      <c r="BI895">
        <f>IF($A895="","",TEXT($A895,"d"))</f>
        <v/>
      </c>
    </row>
    <row r="896">
      <c r="A896" s="199">
        <f>IF(Kalkulasi!$B$873+15&gt;Kalkulasi!$B$874,"",Kalkulasi!$B$873+15)</f>
        <v/>
      </c>
      <c r="B896">
        <f>IF(OR($A896="",U896=0),0,IF(Kalkulasi!$B$876="OB",SUMIFS(DATA_TS!$Q$2:$Q$20001,DATA_TS!$A$2:$A$20001,$A896,DATA_TS!$C$2:$C$20001,B$880,DATA_TS!$B$2:$B$20001,Kalkulasi!$B$877),SUMIFS(DATA_TS!$R$2:$R$20001,DATA_TS!$A$2:$A$20001,$A896,DATA_TS!$C$2:$C$20001,B$880,DATA_TS!$B$2:$B$20001,Kalkulasi!$B$877)))</f>
        <v/>
      </c>
      <c r="C896">
        <f>IF(OR($A896="",V896=0),0,IF(Kalkulasi!$B$876="OB",SUMIFS(DATA_TS!$Q$2:$Q$20001,DATA_TS!$A$2:$A$20001,$A896,DATA_TS!$C$2:$C$20001,C$880,DATA_TS!$B$2:$B$20001,Kalkulasi!$B$877),SUMIFS(DATA_TS!$R$2:$R$20001,DATA_TS!$A$2:$A$20001,$A896,DATA_TS!$C$2:$C$20001,C$880,DATA_TS!$B$2:$B$20001,Kalkulasi!$B$877)))</f>
        <v/>
      </c>
      <c r="D896">
        <f>IF(OR($A896="",W896=0),0,IF(Kalkulasi!$B$876="OB",SUMIFS(DATA_TS!$Q$2:$Q$20001,DATA_TS!$A$2:$A$20001,$A896,DATA_TS!$C$2:$C$20001,D$880,DATA_TS!$B$2:$B$20001,Kalkulasi!$B$877),SUMIFS(DATA_TS!$R$2:$R$20001,DATA_TS!$A$2:$A$20001,$A896,DATA_TS!$C$2:$C$20001,D$880,DATA_TS!$B$2:$B$20001,Kalkulasi!$B$877)))</f>
        <v/>
      </c>
      <c r="E896">
        <f>IF(OR($A896="",X896=0),0,IF(Kalkulasi!$B$876="OB",SUMIFS(DATA_TS!$Q$2:$Q$20001,DATA_TS!$A$2:$A$20001,$A896,DATA_TS!$C$2:$C$20001,E$880,DATA_TS!$B$2:$B$20001,Kalkulasi!$B$877),SUMIFS(DATA_TS!$R$2:$R$20001,DATA_TS!$A$2:$A$20001,$A896,DATA_TS!$C$2:$C$20001,E$880,DATA_TS!$B$2:$B$20001,Kalkulasi!$B$877)))</f>
        <v/>
      </c>
      <c r="F896">
        <f>IF(OR($A896="",Y896=0),0,IF(Kalkulasi!$B$876="OB",SUMIFS(DATA_TS!$Q$2:$Q$20001,DATA_TS!$A$2:$A$20001,$A896,DATA_TS!$C$2:$C$20001,F$880,DATA_TS!$B$2:$B$20001,Kalkulasi!$B$877),SUMIFS(DATA_TS!$R$2:$R$20001,DATA_TS!$A$2:$A$20001,$A896,DATA_TS!$C$2:$C$20001,F$880,DATA_TS!$B$2:$B$20001,Kalkulasi!$B$877)))</f>
        <v/>
      </c>
      <c r="G896">
        <f>IF(OR($A896="",Z896=0),0,IF(Kalkulasi!$B$876="OB",SUMIFS(DATA_TS!$Q$2:$Q$20001,DATA_TS!$A$2:$A$20001,$A896,DATA_TS!$C$2:$C$20001,G$880,DATA_TS!$B$2:$B$20001,Kalkulasi!$B$877),SUMIFS(DATA_TS!$R$2:$R$20001,DATA_TS!$A$2:$A$20001,$A896,DATA_TS!$C$2:$C$20001,G$880,DATA_TS!$B$2:$B$20001,Kalkulasi!$B$877)))</f>
        <v/>
      </c>
      <c r="H896">
        <f>IF(OR($A896="",AA896=0),0,IF(Kalkulasi!$B$876="OB",SUMIFS(DATA_TS!$Q$2:$Q$20001,DATA_TS!$A$2:$A$20001,$A896,DATA_TS!$C$2:$C$20001,H$880,DATA_TS!$B$2:$B$20001,Kalkulasi!$B$877),SUMIFS(DATA_TS!$R$2:$R$20001,DATA_TS!$A$2:$A$20001,$A896,DATA_TS!$C$2:$C$20001,H$880,DATA_TS!$B$2:$B$20001,Kalkulasi!$B$877)))</f>
        <v/>
      </c>
      <c r="I896">
        <f>IF(OR($A896="",AB896=0),0,IF(Kalkulasi!$B$876="OB",SUMIFS(DATA_TS!$Q$2:$Q$20001,DATA_TS!$A$2:$A$20001,$A896,DATA_TS!$C$2:$C$20001,I$880,DATA_TS!$B$2:$B$20001,Kalkulasi!$B$877),SUMIFS(DATA_TS!$R$2:$R$20001,DATA_TS!$A$2:$A$20001,$A896,DATA_TS!$C$2:$C$20001,I$880,DATA_TS!$B$2:$B$20001,Kalkulasi!$B$877)))</f>
        <v/>
      </c>
      <c r="J896">
        <f>IF(OR($A896="",AC896=0),0,IF(Kalkulasi!$B$876="OB",SUMIFS(DATA_TS!$Q$2:$Q$20001,DATA_TS!$A$2:$A$20001,$A896,DATA_TS!$C$2:$C$20001,J$880,DATA_TS!$B$2:$B$20001,Kalkulasi!$B$877),SUMIFS(DATA_TS!$R$2:$R$20001,DATA_TS!$A$2:$A$20001,$A896,DATA_TS!$C$2:$C$20001,J$880,DATA_TS!$B$2:$B$20001,Kalkulasi!$B$877)))</f>
        <v/>
      </c>
      <c r="K896">
        <f>IF(OR($A896="",AD896=0),0,IF(Kalkulasi!$B$876="OB",SUMIFS(DATA_TS!$Q$2:$Q$20001,DATA_TS!$A$2:$A$20001,$A896,DATA_TS!$C$2:$C$20001,K$880,DATA_TS!$B$2:$B$20001,Kalkulasi!$B$877),SUMIFS(DATA_TS!$R$2:$R$20001,DATA_TS!$A$2:$A$20001,$A896,DATA_TS!$C$2:$C$20001,K$880,DATA_TS!$B$2:$B$20001,Kalkulasi!$B$877)))</f>
        <v/>
      </c>
      <c r="L896">
        <f>IF(OR($A896="",AE896=0),0,IF(Kalkulasi!$B$876="OB",SUMIFS(DATA_TS!$Q$2:$Q$20001,DATA_TS!$A$2:$A$20001,$A896,DATA_TS!$C$2:$C$20001,L$880,DATA_TS!$B$2:$B$20001,Kalkulasi!$B$877),SUMIFS(DATA_TS!$R$2:$R$20001,DATA_TS!$A$2:$A$20001,$A896,DATA_TS!$C$2:$C$20001,L$880,DATA_TS!$B$2:$B$20001,Kalkulasi!$B$877)))</f>
        <v/>
      </c>
      <c r="M896">
        <f>IF(OR($A896="",AF896=0),0,IF(Kalkulasi!$B$876="OB",SUMIFS(DATA_TS!$Q$2:$Q$20001,DATA_TS!$A$2:$A$20001,$A896,DATA_TS!$C$2:$C$20001,M$880,DATA_TS!$B$2:$B$20001,Kalkulasi!$B$877),SUMIFS(DATA_TS!$R$2:$R$20001,DATA_TS!$A$2:$A$20001,$A896,DATA_TS!$C$2:$C$20001,M$880,DATA_TS!$B$2:$B$20001,Kalkulasi!$B$877)))</f>
        <v/>
      </c>
      <c r="N896">
        <f>IF(OR($A896="",AG896=0),0,IF(Kalkulasi!$B$876="OB",SUMIFS(DATA_TS!$Q$2:$Q$20001,DATA_TS!$A$2:$A$20001,$A896,DATA_TS!$C$2:$C$20001,N$880,DATA_TS!$B$2:$B$20001,Kalkulasi!$B$877),SUMIFS(DATA_TS!$R$2:$R$20001,DATA_TS!$A$2:$A$20001,$A896,DATA_TS!$C$2:$C$20001,N$880,DATA_TS!$B$2:$B$20001,Kalkulasi!$B$877)))</f>
        <v/>
      </c>
      <c r="O896">
        <f>IF(OR($A896="",AH896=0),0,IF(Kalkulasi!$B$876="OB",SUMIFS(DATA_TS!$Q$2:$Q$20001,DATA_TS!$A$2:$A$20001,$A896,DATA_TS!$C$2:$C$20001,O$880,DATA_TS!$B$2:$B$20001,Kalkulasi!$B$877),SUMIFS(DATA_TS!$R$2:$R$20001,DATA_TS!$A$2:$A$20001,$A896,DATA_TS!$C$2:$C$20001,O$880,DATA_TS!$B$2:$B$20001,Kalkulasi!$B$877)))</f>
        <v/>
      </c>
      <c r="P896">
        <f>IF(OR($A896="",AI896=0),0,IF(Kalkulasi!$B$876="OB",SUMIFS(DATA_TS!$Q$2:$Q$20001,DATA_TS!$A$2:$A$20001,$A896,DATA_TS!$C$2:$C$20001,P$880,DATA_TS!$B$2:$B$20001,Kalkulasi!$B$877),SUMIFS(DATA_TS!$R$2:$R$20001,DATA_TS!$A$2:$A$20001,$A896,DATA_TS!$C$2:$C$20001,P$880,DATA_TS!$B$2:$B$20001,Kalkulasi!$B$877)))</f>
        <v/>
      </c>
      <c r="Q896">
        <f>IF(OR($A896="",AJ896=0),0,IF(Kalkulasi!$B$876="OB",SUMIFS(DATA_TS!$Q$2:$Q$20001,DATA_TS!$A$2:$A$20001,$A896,DATA_TS!$C$2:$C$20001,Q$880,DATA_TS!$B$2:$B$20001,Kalkulasi!$B$877),SUMIFS(DATA_TS!$R$2:$R$20001,DATA_TS!$A$2:$A$20001,$A896,DATA_TS!$C$2:$C$20001,Q$880,DATA_TS!$B$2:$B$20001,Kalkulasi!$B$877)))</f>
        <v/>
      </c>
      <c r="R896">
        <f>IF(OR($A896="",AK896=0),0,IF(Kalkulasi!$B$876="OB",SUMIFS(DATA_TS!$Q$2:$Q$20001,DATA_TS!$A$2:$A$20001,$A896,DATA_TS!$C$2:$C$20001,R$880,DATA_TS!$B$2:$B$20001,Kalkulasi!$B$877),SUMIFS(DATA_TS!$R$2:$R$20001,DATA_TS!$A$2:$A$20001,$A896,DATA_TS!$C$2:$C$20001,R$880,DATA_TS!$B$2:$B$20001,Kalkulasi!$B$877)))</f>
        <v/>
      </c>
      <c r="S896">
        <f>IF(OR($A896="",AL896=0),0,IF(Kalkulasi!$B$876="OB",SUMIFS(DATA_TS!$Q$2:$Q$20001,DATA_TS!$A$2:$A$20001,$A896,DATA_TS!$C$2:$C$20001,S$880,DATA_TS!$B$2:$B$20001,Kalkulasi!$B$877),SUMIFS(DATA_TS!$R$2:$R$20001,DATA_TS!$A$2:$A$20001,$A896,DATA_TS!$C$2:$C$20001,S$880,DATA_TS!$B$2:$B$20001,Kalkulasi!$B$877)))</f>
        <v/>
      </c>
      <c r="T896">
        <f>SUM(B896:S896)</f>
        <v/>
      </c>
      <c r="U896">
        <f>IF($A896="",0,IF(Kalkulasi!$B$876="OB",SUMIFS(DATA_TS!$M$2:$M$20001,DATA_TS!$A$2:$A$20001,$A896,DATA_TS!$C$2:$C$20001,B$880,DATA_TS!$B$2:$B$20001,Kalkulasi!$B$877),SUMIFS(DATA_TS!$N$2:$N$20001,DATA_TS!$A$2:$A$20001,$A896,DATA_TS!$C$2:$C$20001,B$880,DATA_TS!$B$2:$B$20001,Kalkulasi!$B$877)))</f>
        <v/>
      </c>
      <c r="V896">
        <f>IF($A896="",0,IF(Kalkulasi!$B$876="OB",SUMIFS(DATA_TS!$M$2:$M$20001,DATA_TS!$A$2:$A$20001,$A896,DATA_TS!$C$2:$C$20001,C$880,DATA_TS!$B$2:$B$20001,Kalkulasi!$B$877),SUMIFS(DATA_TS!$N$2:$N$20001,DATA_TS!$A$2:$A$20001,$A896,DATA_TS!$C$2:$C$20001,C$880,DATA_TS!$B$2:$B$20001,Kalkulasi!$B$877)))</f>
        <v/>
      </c>
      <c r="W896">
        <f>IF($A896="",0,IF(Kalkulasi!$B$876="OB",SUMIFS(DATA_TS!$M$2:$M$20001,DATA_TS!$A$2:$A$20001,$A896,DATA_TS!$C$2:$C$20001,D$880,DATA_TS!$B$2:$B$20001,Kalkulasi!$B$877),SUMIFS(DATA_TS!$N$2:$N$20001,DATA_TS!$A$2:$A$20001,$A896,DATA_TS!$C$2:$C$20001,D$880,DATA_TS!$B$2:$B$20001,Kalkulasi!$B$877)))</f>
        <v/>
      </c>
      <c r="X896">
        <f>IF($A896="",0,IF(Kalkulasi!$B$876="OB",SUMIFS(DATA_TS!$M$2:$M$20001,DATA_TS!$A$2:$A$20001,$A896,DATA_TS!$C$2:$C$20001,E$880,DATA_TS!$B$2:$B$20001,Kalkulasi!$B$877),SUMIFS(DATA_TS!$N$2:$N$20001,DATA_TS!$A$2:$A$20001,$A896,DATA_TS!$C$2:$C$20001,E$880,DATA_TS!$B$2:$B$20001,Kalkulasi!$B$877)))</f>
        <v/>
      </c>
      <c r="Y896">
        <f>IF($A896="",0,IF(Kalkulasi!$B$876="OB",SUMIFS(DATA_TS!$M$2:$M$20001,DATA_TS!$A$2:$A$20001,$A896,DATA_TS!$C$2:$C$20001,F$880,DATA_TS!$B$2:$B$20001,Kalkulasi!$B$877),SUMIFS(DATA_TS!$N$2:$N$20001,DATA_TS!$A$2:$A$20001,$A896,DATA_TS!$C$2:$C$20001,F$880,DATA_TS!$B$2:$B$20001,Kalkulasi!$B$877)))</f>
        <v/>
      </c>
      <c r="Z896">
        <f>IF($A896="",0,IF(Kalkulasi!$B$876="OB",SUMIFS(DATA_TS!$M$2:$M$20001,DATA_TS!$A$2:$A$20001,$A896,DATA_TS!$C$2:$C$20001,G$880,DATA_TS!$B$2:$B$20001,Kalkulasi!$B$877),SUMIFS(DATA_TS!$N$2:$N$20001,DATA_TS!$A$2:$A$20001,$A896,DATA_TS!$C$2:$C$20001,G$880,DATA_TS!$B$2:$B$20001,Kalkulasi!$B$877)))</f>
        <v/>
      </c>
      <c r="AA896">
        <f>IF($A896="",0,IF(Kalkulasi!$B$876="OB",SUMIFS(DATA_TS!$M$2:$M$20001,DATA_TS!$A$2:$A$20001,$A896,DATA_TS!$C$2:$C$20001,H$880,DATA_TS!$B$2:$B$20001,Kalkulasi!$B$877),SUMIFS(DATA_TS!$N$2:$N$20001,DATA_TS!$A$2:$A$20001,$A896,DATA_TS!$C$2:$C$20001,H$880,DATA_TS!$B$2:$B$20001,Kalkulasi!$B$877)))</f>
        <v/>
      </c>
      <c r="AB896">
        <f>IF($A896="",0,IF(Kalkulasi!$B$876="OB",SUMIFS(DATA_TS!$M$2:$M$20001,DATA_TS!$A$2:$A$20001,$A896,DATA_TS!$C$2:$C$20001,I$880,DATA_TS!$B$2:$B$20001,Kalkulasi!$B$877),SUMIFS(DATA_TS!$N$2:$N$20001,DATA_TS!$A$2:$A$20001,$A896,DATA_TS!$C$2:$C$20001,I$880,DATA_TS!$B$2:$B$20001,Kalkulasi!$B$877)))</f>
        <v/>
      </c>
      <c r="AC896">
        <f>IF($A896="",0,IF(Kalkulasi!$B$876="OB",SUMIFS(DATA_TS!$M$2:$M$20001,DATA_TS!$A$2:$A$20001,$A896,DATA_TS!$C$2:$C$20001,J$880,DATA_TS!$B$2:$B$20001,Kalkulasi!$B$877),SUMIFS(DATA_TS!$N$2:$N$20001,DATA_TS!$A$2:$A$20001,$A896,DATA_TS!$C$2:$C$20001,J$880,DATA_TS!$B$2:$B$20001,Kalkulasi!$B$877)))</f>
        <v/>
      </c>
      <c r="AD896">
        <f>IF($A896="",0,IF(Kalkulasi!$B$876="OB",SUMIFS(DATA_TS!$M$2:$M$20001,DATA_TS!$A$2:$A$20001,$A896,DATA_TS!$C$2:$C$20001,K$880,DATA_TS!$B$2:$B$20001,Kalkulasi!$B$877),SUMIFS(DATA_TS!$N$2:$N$20001,DATA_TS!$A$2:$A$20001,$A896,DATA_TS!$C$2:$C$20001,K$880,DATA_TS!$B$2:$B$20001,Kalkulasi!$B$877)))</f>
        <v/>
      </c>
      <c r="AE896">
        <f>IF($A896="",0,IF(Kalkulasi!$B$876="OB",SUMIFS(DATA_TS!$M$2:$M$20001,DATA_TS!$A$2:$A$20001,$A896,DATA_TS!$C$2:$C$20001,L$880,DATA_TS!$B$2:$B$20001,Kalkulasi!$B$877),SUMIFS(DATA_TS!$N$2:$N$20001,DATA_TS!$A$2:$A$20001,$A896,DATA_TS!$C$2:$C$20001,L$880,DATA_TS!$B$2:$B$20001,Kalkulasi!$B$877)))</f>
        <v/>
      </c>
      <c r="AF896">
        <f>IF($A896="",0,IF(Kalkulasi!$B$876="OB",SUMIFS(DATA_TS!$M$2:$M$20001,DATA_TS!$A$2:$A$20001,$A896,DATA_TS!$C$2:$C$20001,M$880,DATA_TS!$B$2:$B$20001,Kalkulasi!$B$877),SUMIFS(DATA_TS!$N$2:$N$20001,DATA_TS!$A$2:$A$20001,$A896,DATA_TS!$C$2:$C$20001,M$880,DATA_TS!$B$2:$B$20001,Kalkulasi!$B$877)))</f>
        <v/>
      </c>
      <c r="AG896">
        <f>IF($A896="",0,IF(Kalkulasi!$B$876="OB",SUMIFS(DATA_TS!$M$2:$M$20001,DATA_TS!$A$2:$A$20001,$A896,DATA_TS!$C$2:$C$20001,N$880,DATA_TS!$B$2:$B$20001,Kalkulasi!$B$877),SUMIFS(DATA_TS!$N$2:$N$20001,DATA_TS!$A$2:$A$20001,$A896,DATA_TS!$C$2:$C$20001,N$880,DATA_TS!$B$2:$B$20001,Kalkulasi!$B$877)))</f>
        <v/>
      </c>
      <c r="AH896">
        <f>IF($A896="",0,IF(Kalkulasi!$B$876="OB",SUMIFS(DATA_TS!$M$2:$M$20001,DATA_TS!$A$2:$A$20001,$A896,DATA_TS!$C$2:$C$20001,O$880,DATA_TS!$B$2:$B$20001,Kalkulasi!$B$877),SUMIFS(DATA_TS!$N$2:$N$20001,DATA_TS!$A$2:$A$20001,$A896,DATA_TS!$C$2:$C$20001,O$880,DATA_TS!$B$2:$B$20001,Kalkulasi!$B$877)))</f>
        <v/>
      </c>
      <c r="AI896">
        <f>IF($A896="",0,IF(Kalkulasi!$B$876="OB",SUMIFS(DATA_TS!$M$2:$M$20001,DATA_TS!$A$2:$A$20001,$A896,DATA_TS!$C$2:$C$20001,P$880,DATA_TS!$B$2:$B$20001,Kalkulasi!$B$877),SUMIFS(DATA_TS!$N$2:$N$20001,DATA_TS!$A$2:$A$20001,$A896,DATA_TS!$C$2:$C$20001,P$880,DATA_TS!$B$2:$B$20001,Kalkulasi!$B$877)))</f>
        <v/>
      </c>
      <c r="AJ896">
        <f>IF($A896="",0,IF(Kalkulasi!$B$876="OB",SUMIFS(DATA_TS!$M$2:$M$20001,DATA_TS!$A$2:$A$20001,$A896,DATA_TS!$C$2:$C$20001,Q$880,DATA_TS!$B$2:$B$20001,Kalkulasi!$B$877),SUMIFS(DATA_TS!$N$2:$N$20001,DATA_TS!$A$2:$A$20001,$A896,DATA_TS!$C$2:$C$20001,Q$880,DATA_TS!$B$2:$B$20001,Kalkulasi!$B$877)))</f>
        <v/>
      </c>
      <c r="AK896">
        <f>IF($A896="",0,IF(Kalkulasi!$B$876="OB",SUMIFS(DATA_TS!$M$2:$M$20001,DATA_TS!$A$2:$A$20001,$A896,DATA_TS!$C$2:$C$20001,R$880,DATA_TS!$B$2:$B$20001,Kalkulasi!$B$877),SUMIFS(DATA_TS!$N$2:$N$20001,DATA_TS!$A$2:$A$20001,$A896,DATA_TS!$C$2:$C$20001,R$880,DATA_TS!$B$2:$B$20001,Kalkulasi!$B$877)))</f>
        <v/>
      </c>
      <c r="AL896">
        <f>IF($A896="",0,IF(Kalkulasi!$B$876="OB",SUMIFS(DATA_TS!$M$2:$M$20001,DATA_TS!$A$2:$A$20001,$A896,DATA_TS!$C$2:$C$20001,S$880,DATA_TS!$B$2:$B$20001,Kalkulasi!$B$877),SUMIFS(DATA_TS!$N$2:$N$20001,DATA_TS!$A$2:$A$20001,$A896,DATA_TS!$C$2:$C$20001,S$880,DATA_TS!$B$2:$B$20001,Kalkulasi!$B$877)))</f>
        <v/>
      </c>
      <c r="AM896">
        <f>SUM(U896:AL896)</f>
        <v/>
      </c>
      <c r="AN896">
        <f>IF(OR(U896=0,B896=0),"",B896/U896)</f>
        <v/>
      </c>
      <c r="AO896">
        <f>IF(OR(V896=0,C896=0),"",C896/V896)</f>
        <v/>
      </c>
      <c r="AP896">
        <f>IF(OR(W896=0,D896=0),"",D896/W896)</f>
        <v/>
      </c>
      <c r="AQ896">
        <f>IF(OR(X896=0,E896=0),"",E896/X896)</f>
        <v/>
      </c>
      <c r="AR896">
        <f>IF(OR(Y896=0,F896=0),"",F896/Y896)</f>
        <v/>
      </c>
      <c r="AS896">
        <f>IF(OR(Z896=0,G896=0),"",G896/Z896)</f>
        <v/>
      </c>
      <c r="AT896">
        <f>IF(OR(AA896=0,H896=0),"",H896/AA896)</f>
        <v/>
      </c>
      <c r="AU896">
        <f>IF(OR(AB896=0,I896=0),"",I896/AB896)</f>
        <v/>
      </c>
      <c r="AV896">
        <f>IF(OR(AC896=0,J896=0),"",J896/AC896)</f>
        <v/>
      </c>
      <c r="AW896">
        <f>IF(OR(AD896=0,K896=0),"",K896/AD896)</f>
        <v/>
      </c>
      <c r="AX896">
        <f>IF(OR(AE896=0,L896=0),"",L896/AE896)</f>
        <v/>
      </c>
      <c r="AY896">
        <f>IF(OR(AF896=0,M896=0),"",M896/AF896)</f>
        <v/>
      </c>
      <c r="AZ896">
        <f>IF(OR(AG896=0,N896=0),"",N896/AG896)</f>
        <v/>
      </c>
      <c r="BA896">
        <f>IF(OR(AH896=0,O896=0),"",O896/AH896)</f>
        <v/>
      </c>
      <c r="BB896">
        <f>IF(OR(AI896=0,P896=0),"",P896/AI896)</f>
        <v/>
      </c>
      <c r="BC896">
        <f>IF(OR(AJ896=0,Q896=0),"",Q896/AJ896)</f>
        <v/>
      </c>
      <c r="BD896">
        <f>IF(OR(AK896=0,R896=0),"",R896/AK896)</f>
        <v/>
      </c>
      <c r="BE896">
        <f>IF(OR(AL896=0,S896=0),"",S896/AL896)</f>
        <v/>
      </c>
      <c r="BF896">
        <f>IF(AM896=0,NA(),T896/AM896)</f>
        <v/>
      </c>
      <c r="BG896" t="n">
        <v>16</v>
      </c>
      <c r="BH896">
        <f>IF(AM896=0,"",T896/AM896)</f>
        <v/>
      </c>
      <c r="BI896">
        <f>IF($A896="","",TEXT($A896,"d"))</f>
        <v/>
      </c>
    </row>
    <row r="897">
      <c r="A897" s="199">
        <f>IF(Kalkulasi!$B$873+16&gt;Kalkulasi!$B$874,"",Kalkulasi!$B$873+16)</f>
        <v/>
      </c>
      <c r="B897">
        <f>IF(OR($A897="",U897=0),0,IF(Kalkulasi!$B$876="OB",SUMIFS(DATA_TS!$Q$2:$Q$20001,DATA_TS!$A$2:$A$20001,$A897,DATA_TS!$C$2:$C$20001,B$880,DATA_TS!$B$2:$B$20001,Kalkulasi!$B$877),SUMIFS(DATA_TS!$R$2:$R$20001,DATA_TS!$A$2:$A$20001,$A897,DATA_TS!$C$2:$C$20001,B$880,DATA_TS!$B$2:$B$20001,Kalkulasi!$B$877)))</f>
        <v/>
      </c>
      <c r="C897">
        <f>IF(OR($A897="",V897=0),0,IF(Kalkulasi!$B$876="OB",SUMIFS(DATA_TS!$Q$2:$Q$20001,DATA_TS!$A$2:$A$20001,$A897,DATA_TS!$C$2:$C$20001,C$880,DATA_TS!$B$2:$B$20001,Kalkulasi!$B$877),SUMIFS(DATA_TS!$R$2:$R$20001,DATA_TS!$A$2:$A$20001,$A897,DATA_TS!$C$2:$C$20001,C$880,DATA_TS!$B$2:$B$20001,Kalkulasi!$B$877)))</f>
        <v/>
      </c>
      <c r="D897">
        <f>IF(OR($A897="",W897=0),0,IF(Kalkulasi!$B$876="OB",SUMIFS(DATA_TS!$Q$2:$Q$20001,DATA_TS!$A$2:$A$20001,$A897,DATA_TS!$C$2:$C$20001,D$880,DATA_TS!$B$2:$B$20001,Kalkulasi!$B$877),SUMIFS(DATA_TS!$R$2:$R$20001,DATA_TS!$A$2:$A$20001,$A897,DATA_TS!$C$2:$C$20001,D$880,DATA_TS!$B$2:$B$20001,Kalkulasi!$B$877)))</f>
        <v/>
      </c>
      <c r="E897">
        <f>IF(OR($A897="",X897=0),0,IF(Kalkulasi!$B$876="OB",SUMIFS(DATA_TS!$Q$2:$Q$20001,DATA_TS!$A$2:$A$20001,$A897,DATA_TS!$C$2:$C$20001,E$880,DATA_TS!$B$2:$B$20001,Kalkulasi!$B$877),SUMIFS(DATA_TS!$R$2:$R$20001,DATA_TS!$A$2:$A$20001,$A897,DATA_TS!$C$2:$C$20001,E$880,DATA_TS!$B$2:$B$20001,Kalkulasi!$B$877)))</f>
        <v/>
      </c>
      <c r="F897">
        <f>IF(OR($A897="",Y897=0),0,IF(Kalkulasi!$B$876="OB",SUMIFS(DATA_TS!$Q$2:$Q$20001,DATA_TS!$A$2:$A$20001,$A897,DATA_TS!$C$2:$C$20001,F$880,DATA_TS!$B$2:$B$20001,Kalkulasi!$B$877),SUMIFS(DATA_TS!$R$2:$R$20001,DATA_TS!$A$2:$A$20001,$A897,DATA_TS!$C$2:$C$20001,F$880,DATA_TS!$B$2:$B$20001,Kalkulasi!$B$877)))</f>
        <v/>
      </c>
      <c r="G897">
        <f>IF(OR($A897="",Z897=0),0,IF(Kalkulasi!$B$876="OB",SUMIFS(DATA_TS!$Q$2:$Q$20001,DATA_TS!$A$2:$A$20001,$A897,DATA_TS!$C$2:$C$20001,G$880,DATA_TS!$B$2:$B$20001,Kalkulasi!$B$877),SUMIFS(DATA_TS!$R$2:$R$20001,DATA_TS!$A$2:$A$20001,$A897,DATA_TS!$C$2:$C$20001,G$880,DATA_TS!$B$2:$B$20001,Kalkulasi!$B$877)))</f>
        <v/>
      </c>
      <c r="H897">
        <f>IF(OR($A897="",AA897=0),0,IF(Kalkulasi!$B$876="OB",SUMIFS(DATA_TS!$Q$2:$Q$20001,DATA_TS!$A$2:$A$20001,$A897,DATA_TS!$C$2:$C$20001,H$880,DATA_TS!$B$2:$B$20001,Kalkulasi!$B$877),SUMIFS(DATA_TS!$R$2:$R$20001,DATA_TS!$A$2:$A$20001,$A897,DATA_TS!$C$2:$C$20001,H$880,DATA_TS!$B$2:$B$20001,Kalkulasi!$B$877)))</f>
        <v/>
      </c>
      <c r="I897">
        <f>IF(OR($A897="",AB897=0),0,IF(Kalkulasi!$B$876="OB",SUMIFS(DATA_TS!$Q$2:$Q$20001,DATA_TS!$A$2:$A$20001,$A897,DATA_TS!$C$2:$C$20001,I$880,DATA_TS!$B$2:$B$20001,Kalkulasi!$B$877),SUMIFS(DATA_TS!$R$2:$R$20001,DATA_TS!$A$2:$A$20001,$A897,DATA_TS!$C$2:$C$20001,I$880,DATA_TS!$B$2:$B$20001,Kalkulasi!$B$877)))</f>
        <v/>
      </c>
      <c r="J897">
        <f>IF(OR($A897="",AC897=0),0,IF(Kalkulasi!$B$876="OB",SUMIFS(DATA_TS!$Q$2:$Q$20001,DATA_TS!$A$2:$A$20001,$A897,DATA_TS!$C$2:$C$20001,J$880,DATA_TS!$B$2:$B$20001,Kalkulasi!$B$877),SUMIFS(DATA_TS!$R$2:$R$20001,DATA_TS!$A$2:$A$20001,$A897,DATA_TS!$C$2:$C$20001,J$880,DATA_TS!$B$2:$B$20001,Kalkulasi!$B$877)))</f>
        <v/>
      </c>
      <c r="K897">
        <f>IF(OR($A897="",AD897=0),0,IF(Kalkulasi!$B$876="OB",SUMIFS(DATA_TS!$Q$2:$Q$20001,DATA_TS!$A$2:$A$20001,$A897,DATA_TS!$C$2:$C$20001,K$880,DATA_TS!$B$2:$B$20001,Kalkulasi!$B$877),SUMIFS(DATA_TS!$R$2:$R$20001,DATA_TS!$A$2:$A$20001,$A897,DATA_TS!$C$2:$C$20001,K$880,DATA_TS!$B$2:$B$20001,Kalkulasi!$B$877)))</f>
        <v/>
      </c>
      <c r="L897">
        <f>IF(OR($A897="",AE897=0),0,IF(Kalkulasi!$B$876="OB",SUMIFS(DATA_TS!$Q$2:$Q$20001,DATA_TS!$A$2:$A$20001,$A897,DATA_TS!$C$2:$C$20001,L$880,DATA_TS!$B$2:$B$20001,Kalkulasi!$B$877),SUMIFS(DATA_TS!$R$2:$R$20001,DATA_TS!$A$2:$A$20001,$A897,DATA_TS!$C$2:$C$20001,L$880,DATA_TS!$B$2:$B$20001,Kalkulasi!$B$877)))</f>
        <v/>
      </c>
      <c r="M897">
        <f>IF(OR($A897="",AF897=0),0,IF(Kalkulasi!$B$876="OB",SUMIFS(DATA_TS!$Q$2:$Q$20001,DATA_TS!$A$2:$A$20001,$A897,DATA_TS!$C$2:$C$20001,M$880,DATA_TS!$B$2:$B$20001,Kalkulasi!$B$877),SUMIFS(DATA_TS!$R$2:$R$20001,DATA_TS!$A$2:$A$20001,$A897,DATA_TS!$C$2:$C$20001,M$880,DATA_TS!$B$2:$B$20001,Kalkulasi!$B$877)))</f>
        <v/>
      </c>
      <c r="N897">
        <f>IF(OR($A897="",AG897=0),0,IF(Kalkulasi!$B$876="OB",SUMIFS(DATA_TS!$Q$2:$Q$20001,DATA_TS!$A$2:$A$20001,$A897,DATA_TS!$C$2:$C$20001,N$880,DATA_TS!$B$2:$B$20001,Kalkulasi!$B$877),SUMIFS(DATA_TS!$R$2:$R$20001,DATA_TS!$A$2:$A$20001,$A897,DATA_TS!$C$2:$C$20001,N$880,DATA_TS!$B$2:$B$20001,Kalkulasi!$B$877)))</f>
        <v/>
      </c>
      <c r="O897">
        <f>IF(OR($A897="",AH897=0),0,IF(Kalkulasi!$B$876="OB",SUMIFS(DATA_TS!$Q$2:$Q$20001,DATA_TS!$A$2:$A$20001,$A897,DATA_TS!$C$2:$C$20001,O$880,DATA_TS!$B$2:$B$20001,Kalkulasi!$B$877),SUMIFS(DATA_TS!$R$2:$R$20001,DATA_TS!$A$2:$A$20001,$A897,DATA_TS!$C$2:$C$20001,O$880,DATA_TS!$B$2:$B$20001,Kalkulasi!$B$877)))</f>
        <v/>
      </c>
      <c r="P897">
        <f>IF(OR($A897="",AI897=0),0,IF(Kalkulasi!$B$876="OB",SUMIFS(DATA_TS!$Q$2:$Q$20001,DATA_TS!$A$2:$A$20001,$A897,DATA_TS!$C$2:$C$20001,P$880,DATA_TS!$B$2:$B$20001,Kalkulasi!$B$877),SUMIFS(DATA_TS!$R$2:$R$20001,DATA_TS!$A$2:$A$20001,$A897,DATA_TS!$C$2:$C$20001,P$880,DATA_TS!$B$2:$B$20001,Kalkulasi!$B$877)))</f>
        <v/>
      </c>
      <c r="Q897">
        <f>IF(OR($A897="",AJ897=0),0,IF(Kalkulasi!$B$876="OB",SUMIFS(DATA_TS!$Q$2:$Q$20001,DATA_TS!$A$2:$A$20001,$A897,DATA_TS!$C$2:$C$20001,Q$880,DATA_TS!$B$2:$B$20001,Kalkulasi!$B$877),SUMIFS(DATA_TS!$R$2:$R$20001,DATA_TS!$A$2:$A$20001,$A897,DATA_TS!$C$2:$C$20001,Q$880,DATA_TS!$B$2:$B$20001,Kalkulasi!$B$877)))</f>
        <v/>
      </c>
      <c r="R897">
        <f>IF(OR($A897="",AK897=0),0,IF(Kalkulasi!$B$876="OB",SUMIFS(DATA_TS!$Q$2:$Q$20001,DATA_TS!$A$2:$A$20001,$A897,DATA_TS!$C$2:$C$20001,R$880,DATA_TS!$B$2:$B$20001,Kalkulasi!$B$877),SUMIFS(DATA_TS!$R$2:$R$20001,DATA_TS!$A$2:$A$20001,$A897,DATA_TS!$C$2:$C$20001,R$880,DATA_TS!$B$2:$B$20001,Kalkulasi!$B$877)))</f>
        <v/>
      </c>
      <c r="S897">
        <f>IF(OR($A897="",AL897=0),0,IF(Kalkulasi!$B$876="OB",SUMIFS(DATA_TS!$Q$2:$Q$20001,DATA_TS!$A$2:$A$20001,$A897,DATA_TS!$C$2:$C$20001,S$880,DATA_TS!$B$2:$B$20001,Kalkulasi!$B$877),SUMIFS(DATA_TS!$R$2:$R$20001,DATA_TS!$A$2:$A$20001,$A897,DATA_TS!$C$2:$C$20001,S$880,DATA_TS!$B$2:$B$20001,Kalkulasi!$B$877)))</f>
        <v/>
      </c>
      <c r="T897">
        <f>SUM(B897:S897)</f>
        <v/>
      </c>
      <c r="U897">
        <f>IF($A897="",0,IF(Kalkulasi!$B$876="OB",SUMIFS(DATA_TS!$M$2:$M$20001,DATA_TS!$A$2:$A$20001,$A897,DATA_TS!$C$2:$C$20001,B$880,DATA_TS!$B$2:$B$20001,Kalkulasi!$B$877),SUMIFS(DATA_TS!$N$2:$N$20001,DATA_TS!$A$2:$A$20001,$A897,DATA_TS!$C$2:$C$20001,B$880,DATA_TS!$B$2:$B$20001,Kalkulasi!$B$877)))</f>
        <v/>
      </c>
      <c r="V897">
        <f>IF($A897="",0,IF(Kalkulasi!$B$876="OB",SUMIFS(DATA_TS!$M$2:$M$20001,DATA_TS!$A$2:$A$20001,$A897,DATA_TS!$C$2:$C$20001,C$880,DATA_TS!$B$2:$B$20001,Kalkulasi!$B$877),SUMIFS(DATA_TS!$N$2:$N$20001,DATA_TS!$A$2:$A$20001,$A897,DATA_TS!$C$2:$C$20001,C$880,DATA_TS!$B$2:$B$20001,Kalkulasi!$B$877)))</f>
        <v/>
      </c>
      <c r="W897">
        <f>IF($A897="",0,IF(Kalkulasi!$B$876="OB",SUMIFS(DATA_TS!$M$2:$M$20001,DATA_TS!$A$2:$A$20001,$A897,DATA_TS!$C$2:$C$20001,D$880,DATA_TS!$B$2:$B$20001,Kalkulasi!$B$877),SUMIFS(DATA_TS!$N$2:$N$20001,DATA_TS!$A$2:$A$20001,$A897,DATA_TS!$C$2:$C$20001,D$880,DATA_TS!$B$2:$B$20001,Kalkulasi!$B$877)))</f>
        <v/>
      </c>
      <c r="X897">
        <f>IF($A897="",0,IF(Kalkulasi!$B$876="OB",SUMIFS(DATA_TS!$M$2:$M$20001,DATA_TS!$A$2:$A$20001,$A897,DATA_TS!$C$2:$C$20001,E$880,DATA_TS!$B$2:$B$20001,Kalkulasi!$B$877),SUMIFS(DATA_TS!$N$2:$N$20001,DATA_TS!$A$2:$A$20001,$A897,DATA_TS!$C$2:$C$20001,E$880,DATA_TS!$B$2:$B$20001,Kalkulasi!$B$877)))</f>
        <v/>
      </c>
      <c r="Y897">
        <f>IF($A897="",0,IF(Kalkulasi!$B$876="OB",SUMIFS(DATA_TS!$M$2:$M$20001,DATA_TS!$A$2:$A$20001,$A897,DATA_TS!$C$2:$C$20001,F$880,DATA_TS!$B$2:$B$20001,Kalkulasi!$B$877),SUMIFS(DATA_TS!$N$2:$N$20001,DATA_TS!$A$2:$A$20001,$A897,DATA_TS!$C$2:$C$20001,F$880,DATA_TS!$B$2:$B$20001,Kalkulasi!$B$877)))</f>
        <v/>
      </c>
      <c r="Z897">
        <f>IF($A897="",0,IF(Kalkulasi!$B$876="OB",SUMIFS(DATA_TS!$M$2:$M$20001,DATA_TS!$A$2:$A$20001,$A897,DATA_TS!$C$2:$C$20001,G$880,DATA_TS!$B$2:$B$20001,Kalkulasi!$B$877),SUMIFS(DATA_TS!$N$2:$N$20001,DATA_TS!$A$2:$A$20001,$A897,DATA_TS!$C$2:$C$20001,G$880,DATA_TS!$B$2:$B$20001,Kalkulasi!$B$877)))</f>
        <v/>
      </c>
      <c r="AA897">
        <f>IF($A897="",0,IF(Kalkulasi!$B$876="OB",SUMIFS(DATA_TS!$M$2:$M$20001,DATA_TS!$A$2:$A$20001,$A897,DATA_TS!$C$2:$C$20001,H$880,DATA_TS!$B$2:$B$20001,Kalkulasi!$B$877),SUMIFS(DATA_TS!$N$2:$N$20001,DATA_TS!$A$2:$A$20001,$A897,DATA_TS!$C$2:$C$20001,H$880,DATA_TS!$B$2:$B$20001,Kalkulasi!$B$877)))</f>
        <v/>
      </c>
      <c r="AB897">
        <f>IF($A897="",0,IF(Kalkulasi!$B$876="OB",SUMIFS(DATA_TS!$M$2:$M$20001,DATA_TS!$A$2:$A$20001,$A897,DATA_TS!$C$2:$C$20001,I$880,DATA_TS!$B$2:$B$20001,Kalkulasi!$B$877),SUMIFS(DATA_TS!$N$2:$N$20001,DATA_TS!$A$2:$A$20001,$A897,DATA_TS!$C$2:$C$20001,I$880,DATA_TS!$B$2:$B$20001,Kalkulasi!$B$877)))</f>
        <v/>
      </c>
      <c r="AC897">
        <f>IF($A897="",0,IF(Kalkulasi!$B$876="OB",SUMIFS(DATA_TS!$M$2:$M$20001,DATA_TS!$A$2:$A$20001,$A897,DATA_TS!$C$2:$C$20001,J$880,DATA_TS!$B$2:$B$20001,Kalkulasi!$B$877),SUMIFS(DATA_TS!$N$2:$N$20001,DATA_TS!$A$2:$A$20001,$A897,DATA_TS!$C$2:$C$20001,J$880,DATA_TS!$B$2:$B$20001,Kalkulasi!$B$877)))</f>
        <v/>
      </c>
      <c r="AD897">
        <f>IF($A897="",0,IF(Kalkulasi!$B$876="OB",SUMIFS(DATA_TS!$M$2:$M$20001,DATA_TS!$A$2:$A$20001,$A897,DATA_TS!$C$2:$C$20001,K$880,DATA_TS!$B$2:$B$20001,Kalkulasi!$B$877),SUMIFS(DATA_TS!$N$2:$N$20001,DATA_TS!$A$2:$A$20001,$A897,DATA_TS!$C$2:$C$20001,K$880,DATA_TS!$B$2:$B$20001,Kalkulasi!$B$877)))</f>
        <v/>
      </c>
      <c r="AE897">
        <f>IF($A897="",0,IF(Kalkulasi!$B$876="OB",SUMIFS(DATA_TS!$M$2:$M$20001,DATA_TS!$A$2:$A$20001,$A897,DATA_TS!$C$2:$C$20001,L$880,DATA_TS!$B$2:$B$20001,Kalkulasi!$B$877),SUMIFS(DATA_TS!$N$2:$N$20001,DATA_TS!$A$2:$A$20001,$A897,DATA_TS!$C$2:$C$20001,L$880,DATA_TS!$B$2:$B$20001,Kalkulasi!$B$877)))</f>
        <v/>
      </c>
      <c r="AF897">
        <f>IF($A897="",0,IF(Kalkulasi!$B$876="OB",SUMIFS(DATA_TS!$M$2:$M$20001,DATA_TS!$A$2:$A$20001,$A897,DATA_TS!$C$2:$C$20001,M$880,DATA_TS!$B$2:$B$20001,Kalkulasi!$B$877),SUMIFS(DATA_TS!$N$2:$N$20001,DATA_TS!$A$2:$A$20001,$A897,DATA_TS!$C$2:$C$20001,M$880,DATA_TS!$B$2:$B$20001,Kalkulasi!$B$877)))</f>
        <v/>
      </c>
      <c r="AG897">
        <f>IF($A897="",0,IF(Kalkulasi!$B$876="OB",SUMIFS(DATA_TS!$M$2:$M$20001,DATA_TS!$A$2:$A$20001,$A897,DATA_TS!$C$2:$C$20001,N$880,DATA_TS!$B$2:$B$20001,Kalkulasi!$B$877),SUMIFS(DATA_TS!$N$2:$N$20001,DATA_TS!$A$2:$A$20001,$A897,DATA_TS!$C$2:$C$20001,N$880,DATA_TS!$B$2:$B$20001,Kalkulasi!$B$877)))</f>
        <v/>
      </c>
      <c r="AH897">
        <f>IF($A897="",0,IF(Kalkulasi!$B$876="OB",SUMIFS(DATA_TS!$M$2:$M$20001,DATA_TS!$A$2:$A$20001,$A897,DATA_TS!$C$2:$C$20001,O$880,DATA_TS!$B$2:$B$20001,Kalkulasi!$B$877),SUMIFS(DATA_TS!$N$2:$N$20001,DATA_TS!$A$2:$A$20001,$A897,DATA_TS!$C$2:$C$20001,O$880,DATA_TS!$B$2:$B$20001,Kalkulasi!$B$877)))</f>
        <v/>
      </c>
      <c r="AI897">
        <f>IF($A897="",0,IF(Kalkulasi!$B$876="OB",SUMIFS(DATA_TS!$M$2:$M$20001,DATA_TS!$A$2:$A$20001,$A897,DATA_TS!$C$2:$C$20001,P$880,DATA_TS!$B$2:$B$20001,Kalkulasi!$B$877),SUMIFS(DATA_TS!$N$2:$N$20001,DATA_TS!$A$2:$A$20001,$A897,DATA_TS!$C$2:$C$20001,P$880,DATA_TS!$B$2:$B$20001,Kalkulasi!$B$877)))</f>
        <v/>
      </c>
      <c r="AJ897">
        <f>IF($A897="",0,IF(Kalkulasi!$B$876="OB",SUMIFS(DATA_TS!$M$2:$M$20001,DATA_TS!$A$2:$A$20001,$A897,DATA_TS!$C$2:$C$20001,Q$880,DATA_TS!$B$2:$B$20001,Kalkulasi!$B$877),SUMIFS(DATA_TS!$N$2:$N$20001,DATA_TS!$A$2:$A$20001,$A897,DATA_TS!$C$2:$C$20001,Q$880,DATA_TS!$B$2:$B$20001,Kalkulasi!$B$877)))</f>
        <v/>
      </c>
      <c r="AK897">
        <f>IF($A897="",0,IF(Kalkulasi!$B$876="OB",SUMIFS(DATA_TS!$M$2:$M$20001,DATA_TS!$A$2:$A$20001,$A897,DATA_TS!$C$2:$C$20001,R$880,DATA_TS!$B$2:$B$20001,Kalkulasi!$B$877),SUMIFS(DATA_TS!$N$2:$N$20001,DATA_TS!$A$2:$A$20001,$A897,DATA_TS!$C$2:$C$20001,R$880,DATA_TS!$B$2:$B$20001,Kalkulasi!$B$877)))</f>
        <v/>
      </c>
      <c r="AL897">
        <f>IF($A897="",0,IF(Kalkulasi!$B$876="OB",SUMIFS(DATA_TS!$M$2:$M$20001,DATA_TS!$A$2:$A$20001,$A897,DATA_TS!$C$2:$C$20001,S$880,DATA_TS!$B$2:$B$20001,Kalkulasi!$B$877),SUMIFS(DATA_TS!$N$2:$N$20001,DATA_TS!$A$2:$A$20001,$A897,DATA_TS!$C$2:$C$20001,S$880,DATA_TS!$B$2:$B$20001,Kalkulasi!$B$877)))</f>
        <v/>
      </c>
      <c r="AM897">
        <f>SUM(U897:AL897)</f>
        <v/>
      </c>
      <c r="AN897">
        <f>IF(OR(U897=0,B897=0),"",B897/U897)</f>
        <v/>
      </c>
      <c r="AO897">
        <f>IF(OR(V897=0,C897=0),"",C897/V897)</f>
        <v/>
      </c>
      <c r="AP897">
        <f>IF(OR(W897=0,D897=0),"",D897/W897)</f>
        <v/>
      </c>
      <c r="AQ897">
        <f>IF(OR(X897=0,E897=0),"",E897/X897)</f>
        <v/>
      </c>
      <c r="AR897">
        <f>IF(OR(Y897=0,F897=0),"",F897/Y897)</f>
        <v/>
      </c>
      <c r="AS897">
        <f>IF(OR(Z897=0,G897=0),"",G897/Z897)</f>
        <v/>
      </c>
      <c r="AT897">
        <f>IF(OR(AA897=0,H897=0),"",H897/AA897)</f>
        <v/>
      </c>
      <c r="AU897">
        <f>IF(OR(AB897=0,I897=0),"",I897/AB897)</f>
        <v/>
      </c>
      <c r="AV897">
        <f>IF(OR(AC897=0,J897=0),"",J897/AC897)</f>
        <v/>
      </c>
      <c r="AW897">
        <f>IF(OR(AD897=0,K897=0),"",K897/AD897)</f>
        <v/>
      </c>
      <c r="AX897">
        <f>IF(OR(AE897=0,L897=0),"",L897/AE897)</f>
        <v/>
      </c>
      <c r="AY897">
        <f>IF(OR(AF897=0,M897=0),"",M897/AF897)</f>
        <v/>
      </c>
      <c r="AZ897">
        <f>IF(OR(AG897=0,N897=0),"",N897/AG897)</f>
        <v/>
      </c>
      <c r="BA897">
        <f>IF(OR(AH897=0,O897=0),"",O897/AH897)</f>
        <v/>
      </c>
      <c r="BB897">
        <f>IF(OR(AI897=0,P897=0),"",P897/AI897)</f>
        <v/>
      </c>
      <c r="BC897">
        <f>IF(OR(AJ897=0,Q897=0),"",Q897/AJ897)</f>
        <v/>
      </c>
      <c r="BD897">
        <f>IF(OR(AK897=0,R897=0),"",R897/AK897)</f>
        <v/>
      </c>
      <c r="BE897">
        <f>IF(OR(AL897=0,S897=0),"",S897/AL897)</f>
        <v/>
      </c>
      <c r="BF897">
        <f>IF(AM897=0,NA(),T897/AM897)</f>
        <v/>
      </c>
      <c r="BG897" t="n">
        <v>17</v>
      </c>
      <c r="BH897">
        <f>IF(AM897=0,"",T897/AM897)</f>
        <v/>
      </c>
      <c r="BI897">
        <f>IF($A897="","",TEXT($A897,"d"))</f>
        <v/>
      </c>
    </row>
    <row r="898">
      <c r="A898" s="199">
        <f>IF(Kalkulasi!$B$873+17&gt;Kalkulasi!$B$874,"",Kalkulasi!$B$873+17)</f>
        <v/>
      </c>
      <c r="B898">
        <f>IF(OR($A898="",U898=0),0,IF(Kalkulasi!$B$876="OB",SUMIFS(DATA_TS!$Q$2:$Q$20001,DATA_TS!$A$2:$A$20001,$A898,DATA_TS!$C$2:$C$20001,B$880,DATA_TS!$B$2:$B$20001,Kalkulasi!$B$877),SUMIFS(DATA_TS!$R$2:$R$20001,DATA_TS!$A$2:$A$20001,$A898,DATA_TS!$C$2:$C$20001,B$880,DATA_TS!$B$2:$B$20001,Kalkulasi!$B$877)))</f>
        <v/>
      </c>
      <c r="C898">
        <f>IF(OR($A898="",V898=0),0,IF(Kalkulasi!$B$876="OB",SUMIFS(DATA_TS!$Q$2:$Q$20001,DATA_TS!$A$2:$A$20001,$A898,DATA_TS!$C$2:$C$20001,C$880,DATA_TS!$B$2:$B$20001,Kalkulasi!$B$877),SUMIFS(DATA_TS!$R$2:$R$20001,DATA_TS!$A$2:$A$20001,$A898,DATA_TS!$C$2:$C$20001,C$880,DATA_TS!$B$2:$B$20001,Kalkulasi!$B$877)))</f>
        <v/>
      </c>
      <c r="D898">
        <f>IF(OR($A898="",W898=0),0,IF(Kalkulasi!$B$876="OB",SUMIFS(DATA_TS!$Q$2:$Q$20001,DATA_TS!$A$2:$A$20001,$A898,DATA_TS!$C$2:$C$20001,D$880,DATA_TS!$B$2:$B$20001,Kalkulasi!$B$877),SUMIFS(DATA_TS!$R$2:$R$20001,DATA_TS!$A$2:$A$20001,$A898,DATA_TS!$C$2:$C$20001,D$880,DATA_TS!$B$2:$B$20001,Kalkulasi!$B$877)))</f>
        <v/>
      </c>
      <c r="E898">
        <f>IF(OR($A898="",X898=0),0,IF(Kalkulasi!$B$876="OB",SUMIFS(DATA_TS!$Q$2:$Q$20001,DATA_TS!$A$2:$A$20001,$A898,DATA_TS!$C$2:$C$20001,E$880,DATA_TS!$B$2:$B$20001,Kalkulasi!$B$877),SUMIFS(DATA_TS!$R$2:$R$20001,DATA_TS!$A$2:$A$20001,$A898,DATA_TS!$C$2:$C$20001,E$880,DATA_TS!$B$2:$B$20001,Kalkulasi!$B$877)))</f>
        <v/>
      </c>
      <c r="F898">
        <f>IF(OR($A898="",Y898=0),0,IF(Kalkulasi!$B$876="OB",SUMIFS(DATA_TS!$Q$2:$Q$20001,DATA_TS!$A$2:$A$20001,$A898,DATA_TS!$C$2:$C$20001,F$880,DATA_TS!$B$2:$B$20001,Kalkulasi!$B$877),SUMIFS(DATA_TS!$R$2:$R$20001,DATA_TS!$A$2:$A$20001,$A898,DATA_TS!$C$2:$C$20001,F$880,DATA_TS!$B$2:$B$20001,Kalkulasi!$B$877)))</f>
        <v/>
      </c>
      <c r="G898">
        <f>IF(OR($A898="",Z898=0),0,IF(Kalkulasi!$B$876="OB",SUMIFS(DATA_TS!$Q$2:$Q$20001,DATA_TS!$A$2:$A$20001,$A898,DATA_TS!$C$2:$C$20001,G$880,DATA_TS!$B$2:$B$20001,Kalkulasi!$B$877),SUMIFS(DATA_TS!$R$2:$R$20001,DATA_TS!$A$2:$A$20001,$A898,DATA_TS!$C$2:$C$20001,G$880,DATA_TS!$B$2:$B$20001,Kalkulasi!$B$877)))</f>
        <v/>
      </c>
      <c r="H898">
        <f>IF(OR($A898="",AA898=0),0,IF(Kalkulasi!$B$876="OB",SUMIFS(DATA_TS!$Q$2:$Q$20001,DATA_TS!$A$2:$A$20001,$A898,DATA_TS!$C$2:$C$20001,H$880,DATA_TS!$B$2:$B$20001,Kalkulasi!$B$877),SUMIFS(DATA_TS!$R$2:$R$20001,DATA_TS!$A$2:$A$20001,$A898,DATA_TS!$C$2:$C$20001,H$880,DATA_TS!$B$2:$B$20001,Kalkulasi!$B$877)))</f>
        <v/>
      </c>
      <c r="I898">
        <f>IF(OR($A898="",AB898=0),0,IF(Kalkulasi!$B$876="OB",SUMIFS(DATA_TS!$Q$2:$Q$20001,DATA_TS!$A$2:$A$20001,$A898,DATA_TS!$C$2:$C$20001,I$880,DATA_TS!$B$2:$B$20001,Kalkulasi!$B$877),SUMIFS(DATA_TS!$R$2:$R$20001,DATA_TS!$A$2:$A$20001,$A898,DATA_TS!$C$2:$C$20001,I$880,DATA_TS!$B$2:$B$20001,Kalkulasi!$B$877)))</f>
        <v/>
      </c>
      <c r="J898">
        <f>IF(OR($A898="",AC898=0),0,IF(Kalkulasi!$B$876="OB",SUMIFS(DATA_TS!$Q$2:$Q$20001,DATA_TS!$A$2:$A$20001,$A898,DATA_TS!$C$2:$C$20001,J$880,DATA_TS!$B$2:$B$20001,Kalkulasi!$B$877),SUMIFS(DATA_TS!$R$2:$R$20001,DATA_TS!$A$2:$A$20001,$A898,DATA_TS!$C$2:$C$20001,J$880,DATA_TS!$B$2:$B$20001,Kalkulasi!$B$877)))</f>
        <v/>
      </c>
      <c r="K898">
        <f>IF(OR($A898="",AD898=0),0,IF(Kalkulasi!$B$876="OB",SUMIFS(DATA_TS!$Q$2:$Q$20001,DATA_TS!$A$2:$A$20001,$A898,DATA_TS!$C$2:$C$20001,K$880,DATA_TS!$B$2:$B$20001,Kalkulasi!$B$877),SUMIFS(DATA_TS!$R$2:$R$20001,DATA_TS!$A$2:$A$20001,$A898,DATA_TS!$C$2:$C$20001,K$880,DATA_TS!$B$2:$B$20001,Kalkulasi!$B$877)))</f>
        <v/>
      </c>
      <c r="L898">
        <f>IF(OR($A898="",AE898=0),0,IF(Kalkulasi!$B$876="OB",SUMIFS(DATA_TS!$Q$2:$Q$20001,DATA_TS!$A$2:$A$20001,$A898,DATA_TS!$C$2:$C$20001,L$880,DATA_TS!$B$2:$B$20001,Kalkulasi!$B$877),SUMIFS(DATA_TS!$R$2:$R$20001,DATA_TS!$A$2:$A$20001,$A898,DATA_TS!$C$2:$C$20001,L$880,DATA_TS!$B$2:$B$20001,Kalkulasi!$B$877)))</f>
        <v/>
      </c>
      <c r="M898">
        <f>IF(OR($A898="",AF898=0),0,IF(Kalkulasi!$B$876="OB",SUMIFS(DATA_TS!$Q$2:$Q$20001,DATA_TS!$A$2:$A$20001,$A898,DATA_TS!$C$2:$C$20001,M$880,DATA_TS!$B$2:$B$20001,Kalkulasi!$B$877),SUMIFS(DATA_TS!$R$2:$R$20001,DATA_TS!$A$2:$A$20001,$A898,DATA_TS!$C$2:$C$20001,M$880,DATA_TS!$B$2:$B$20001,Kalkulasi!$B$877)))</f>
        <v/>
      </c>
      <c r="N898">
        <f>IF(OR($A898="",AG898=0),0,IF(Kalkulasi!$B$876="OB",SUMIFS(DATA_TS!$Q$2:$Q$20001,DATA_TS!$A$2:$A$20001,$A898,DATA_TS!$C$2:$C$20001,N$880,DATA_TS!$B$2:$B$20001,Kalkulasi!$B$877),SUMIFS(DATA_TS!$R$2:$R$20001,DATA_TS!$A$2:$A$20001,$A898,DATA_TS!$C$2:$C$20001,N$880,DATA_TS!$B$2:$B$20001,Kalkulasi!$B$877)))</f>
        <v/>
      </c>
      <c r="O898">
        <f>IF(OR($A898="",AH898=0),0,IF(Kalkulasi!$B$876="OB",SUMIFS(DATA_TS!$Q$2:$Q$20001,DATA_TS!$A$2:$A$20001,$A898,DATA_TS!$C$2:$C$20001,O$880,DATA_TS!$B$2:$B$20001,Kalkulasi!$B$877),SUMIFS(DATA_TS!$R$2:$R$20001,DATA_TS!$A$2:$A$20001,$A898,DATA_TS!$C$2:$C$20001,O$880,DATA_TS!$B$2:$B$20001,Kalkulasi!$B$877)))</f>
        <v/>
      </c>
      <c r="P898">
        <f>IF(OR($A898="",AI898=0),0,IF(Kalkulasi!$B$876="OB",SUMIFS(DATA_TS!$Q$2:$Q$20001,DATA_TS!$A$2:$A$20001,$A898,DATA_TS!$C$2:$C$20001,P$880,DATA_TS!$B$2:$B$20001,Kalkulasi!$B$877),SUMIFS(DATA_TS!$R$2:$R$20001,DATA_TS!$A$2:$A$20001,$A898,DATA_TS!$C$2:$C$20001,P$880,DATA_TS!$B$2:$B$20001,Kalkulasi!$B$877)))</f>
        <v/>
      </c>
      <c r="Q898">
        <f>IF(OR($A898="",AJ898=0),0,IF(Kalkulasi!$B$876="OB",SUMIFS(DATA_TS!$Q$2:$Q$20001,DATA_TS!$A$2:$A$20001,$A898,DATA_TS!$C$2:$C$20001,Q$880,DATA_TS!$B$2:$B$20001,Kalkulasi!$B$877),SUMIFS(DATA_TS!$R$2:$R$20001,DATA_TS!$A$2:$A$20001,$A898,DATA_TS!$C$2:$C$20001,Q$880,DATA_TS!$B$2:$B$20001,Kalkulasi!$B$877)))</f>
        <v/>
      </c>
      <c r="R898">
        <f>IF(OR($A898="",AK898=0),0,IF(Kalkulasi!$B$876="OB",SUMIFS(DATA_TS!$Q$2:$Q$20001,DATA_TS!$A$2:$A$20001,$A898,DATA_TS!$C$2:$C$20001,R$880,DATA_TS!$B$2:$B$20001,Kalkulasi!$B$877),SUMIFS(DATA_TS!$R$2:$R$20001,DATA_TS!$A$2:$A$20001,$A898,DATA_TS!$C$2:$C$20001,R$880,DATA_TS!$B$2:$B$20001,Kalkulasi!$B$877)))</f>
        <v/>
      </c>
      <c r="S898">
        <f>IF(OR($A898="",AL898=0),0,IF(Kalkulasi!$B$876="OB",SUMIFS(DATA_TS!$Q$2:$Q$20001,DATA_TS!$A$2:$A$20001,$A898,DATA_TS!$C$2:$C$20001,S$880,DATA_TS!$B$2:$B$20001,Kalkulasi!$B$877),SUMIFS(DATA_TS!$R$2:$R$20001,DATA_TS!$A$2:$A$20001,$A898,DATA_TS!$C$2:$C$20001,S$880,DATA_TS!$B$2:$B$20001,Kalkulasi!$B$877)))</f>
        <v/>
      </c>
      <c r="T898">
        <f>SUM(B898:S898)</f>
        <v/>
      </c>
      <c r="U898">
        <f>IF($A898="",0,IF(Kalkulasi!$B$876="OB",SUMIFS(DATA_TS!$M$2:$M$20001,DATA_TS!$A$2:$A$20001,$A898,DATA_TS!$C$2:$C$20001,B$880,DATA_TS!$B$2:$B$20001,Kalkulasi!$B$877),SUMIFS(DATA_TS!$N$2:$N$20001,DATA_TS!$A$2:$A$20001,$A898,DATA_TS!$C$2:$C$20001,B$880,DATA_TS!$B$2:$B$20001,Kalkulasi!$B$877)))</f>
        <v/>
      </c>
      <c r="V898">
        <f>IF($A898="",0,IF(Kalkulasi!$B$876="OB",SUMIFS(DATA_TS!$M$2:$M$20001,DATA_TS!$A$2:$A$20001,$A898,DATA_TS!$C$2:$C$20001,C$880,DATA_TS!$B$2:$B$20001,Kalkulasi!$B$877),SUMIFS(DATA_TS!$N$2:$N$20001,DATA_TS!$A$2:$A$20001,$A898,DATA_TS!$C$2:$C$20001,C$880,DATA_TS!$B$2:$B$20001,Kalkulasi!$B$877)))</f>
        <v/>
      </c>
      <c r="W898">
        <f>IF($A898="",0,IF(Kalkulasi!$B$876="OB",SUMIFS(DATA_TS!$M$2:$M$20001,DATA_TS!$A$2:$A$20001,$A898,DATA_TS!$C$2:$C$20001,D$880,DATA_TS!$B$2:$B$20001,Kalkulasi!$B$877),SUMIFS(DATA_TS!$N$2:$N$20001,DATA_TS!$A$2:$A$20001,$A898,DATA_TS!$C$2:$C$20001,D$880,DATA_TS!$B$2:$B$20001,Kalkulasi!$B$877)))</f>
        <v/>
      </c>
      <c r="X898">
        <f>IF($A898="",0,IF(Kalkulasi!$B$876="OB",SUMIFS(DATA_TS!$M$2:$M$20001,DATA_TS!$A$2:$A$20001,$A898,DATA_TS!$C$2:$C$20001,E$880,DATA_TS!$B$2:$B$20001,Kalkulasi!$B$877),SUMIFS(DATA_TS!$N$2:$N$20001,DATA_TS!$A$2:$A$20001,$A898,DATA_TS!$C$2:$C$20001,E$880,DATA_TS!$B$2:$B$20001,Kalkulasi!$B$877)))</f>
        <v/>
      </c>
      <c r="Y898">
        <f>IF($A898="",0,IF(Kalkulasi!$B$876="OB",SUMIFS(DATA_TS!$M$2:$M$20001,DATA_TS!$A$2:$A$20001,$A898,DATA_TS!$C$2:$C$20001,F$880,DATA_TS!$B$2:$B$20001,Kalkulasi!$B$877),SUMIFS(DATA_TS!$N$2:$N$20001,DATA_TS!$A$2:$A$20001,$A898,DATA_TS!$C$2:$C$20001,F$880,DATA_TS!$B$2:$B$20001,Kalkulasi!$B$877)))</f>
        <v/>
      </c>
      <c r="Z898">
        <f>IF($A898="",0,IF(Kalkulasi!$B$876="OB",SUMIFS(DATA_TS!$M$2:$M$20001,DATA_TS!$A$2:$A$20001,$A898,DATA_TS!$C$2:$C$20001,G$880,DATA_TS!$B$2:$B$20001,Kalkulasi!$B$877),SUMIFS(DATA_TS!$N$2:$N$20001,DATA_TS!$A$2:$A$20001,$A898,DATA_TS!$C$2:$C$20001,G$880,DATA_TS!$B$2:$B$20001,Kalkulasi!$B$877)))</f>
        <v/>
      </c>
      <c r="AA898">
        <f>IF($A898="",0,IF(Kalkulasi!$B$876="OB",SUMIFS(DATA_TS!$M$2:$M$20001,DATA_TS!$A$2:$A$20001,$A898,DATA_TS!$C$2:$C$20001,H$880,DATA_TS!$B$2:$B$20001,Kalkulasi!$B$877),SUMIFS(DATA_TS!$N$2:$N$20001,DATA_TS!$A$2:$A$20001,$A898,DATA_TS!$C$2:$C$20001,H$880,DATA_TS!$B$2:$B$20001,Kalkulasi!$B$877)))</f>
        <v/>
      </c>
      <c r="AB898">
        <f>IF($A898="",0,IF(Kalkulasi!$B$876="OB",SUMIFS(DATA_TS!$M$2:$M$20001,DATA_TS!$A$2:$A$20001,$A898,DATA_TS!$C$2:$C$20001,I$880,DATA_TS!$B$2:$B$20001,Kalkulasi!$B$877),SUMIFS(DATA_TS!$N$2:$N$20001,DATA_TS!$A$2:$A$20001,$A898,DATA_TS!$C$2:$C$20001,I$880,DATA_TS!$B$2:$B$20001,Kalkulasi!$B$877)))</f>
        <v/>
      </c>
      <c r="AC898">
        <f>IF($A898="",0,IF(Kalkulasi!$B$876="OB",SUMIFS(DATA_TS!$M$2:$M$20001,DATA_TS!$A$2:$A$20001,$A898,DATA_TS!$C$2:$C$20001,J$880,DATA_TS!$B$2:$B$20001,Kalkulasi!$B$877),SUMIFS(DATA_TS!$N$2:$N$20001,DATA_TS!$A$2:$A$20001,$A898,DATA_TS!$C$2:$C$20001,J$880,DATA_TS!$B$2:$B$20001,Kalkulasi!$B$877)))</f>
        <v/>
      </c>
      <c r="AD898">
        <f>IF($A898="",0,IF(Kalkulasi!$B$876="OB",SUMIFS(DATA_TS!$M$2:$M$20001,DATA_TS!$A$2:$A$20001,$A898,DATA_TS!$C$2:$C$20001,K$880,DATA_TS!$B$2:$B$20001,Kalkulasi!$B$877),SUMIFS(DATA_TS!$N$2:$N$20001,DATA_TS!$A$2:$A$20001,$A898,DATA_TS!$C$2:$C$20001,K$880,DATA_TS!$B$2:$B$20001,Kalkulasi!$B$877)))</f>
        <v/>
      </c>
      <c r="AE898">
        <f>IF($A898="",0,IF(Kalkulasi!$B$876="OB",SUMIFS(DATA_TS!$M$2:$M$20001,DATA_TS!$A$2:$A$20001,$A898,DATA_TS!$C$2:$C$20001,L$880,DATA_TS!$B$2:$B$20001,Kalkulasi!$B$877),SUMIFS(DATA_TS!$N$2:$N$20001,DATA_TS!$A$2:$A$20001,$A898,DATA_TS!$C$2:$C$20001,L$880,DATA_TS!$B$2:$B$20001,Kalkulasi!$B$877)))</f>
        <v/>
      </c>
      <c r="AF898">
        <f>IF($A898="",0,IF(Kalkulasi!$B$876="OB",SUMIFS(DATA_TS!$M$2:$M$20001,DATA_TS!$A$2:$A$20001,$A898,DATA_TS!$C$2:$C$20001,M$880,DATA_TS!$B$2:$B$20001,Kalkulasi!$B$877),SUMIFS(DATA_TS!$N$2:$N$20001,DATA_TS!$A$2:$A$20001,$A898,DATA_TS!$C$2:$C$20001,M$880,DATA_TS!$B$2:$B$20001,Kalkulasi!$B$877)))</f>
        <v/>
      </c>
      <c r="AG898">
        <f>IF($A898="",0,IF(Kalkulasi!$B$876="OB",SUMIFS(DATA_TS!$M$2:$M$20001,DATA_TS!$A$2:$A$20001,$A898,DATA_TS!$C$2:$C$20001,N$880,DATA_TS!$B$2:$B$20001,Kalkulasi!$B$877),SUMIFS(DATA_TS!$N$2:$N$20001,DATA_TS!$A$2:$A$20001,$A898,DATA_TS!$C$2:$C$20001,N$880,DATA_TS!$B$2:$B$20001,Kalkulasi!$B$877)))</f>
        <v/>
      </c>
      <c r="AH898">
        <f>IF($A898="",0,IF(Kalkulasi!$B$876="OB",SUMIFS(DATA_TS!$M$2:$M$20001,DATA_TS!$A$2:$A$20001,$A898,DATA_TS!$C$2:$C$20001,O$880,DATA_TS!$B$2:$B$20001,Kalkulasi!$B$877),SUMIFS(DATA_TS!$N$2:$N$20001,DATA_TS!$A$2:$A$20001,$A898,DATA_TS!$C$2:$C$20001,O$880,DATA_TS!$B$2:$B$20001,Kalkulasi!$B$877)))</f>
        <v/>
      </c>
      <c r="AI898">
        <f>IF($A898="",0,IF(Kalkulasi!$B$876="OB",SUMIFS(DATA_TS!$M$2:$M$20001,DATA_TS!$A$2:$A$20001,$A898,DATA_TS!$C$2:$C$20001,P$880,DATA_TS!$B$2:$B$20001,Kalkulasi!$B$877),SUMIFS(DATA_TS!$N$2:$N$20001,DATA_TS!$A$2:$A$20001,$A898,DATA_TS!$C$2:$C$20001,P$880,DATA_TS!$B$2:$B$20001,Kalkulasi!$B$877)))</f>
        <v/>
      </c>
      <c r="AJ898">
        <f>IF($A898="",0,IF(Kalkulasi!$B$876="OB",SUMIFS(DATA_TS!$M$2:$M$20001,DATA_TS!$A$2:$A$20001,$A898,DATA_TS!$C$2:$C$20001,Q$880,DATA_TS!$B$2:$B$20001,Kalkulasi!$B$877),SUMIFS(DATA_TS!$N$2:$N$20001,DATA_TS!$A$2:$A$20001,$A898,DATA_TS!$C$2:$C$20001,Q$880,DATA_TS!$B$2:$B$20001,Kalkulasi!$B$877)))</f>
        <v/>
      </c>
      <c r="AK898">
        <f>IF($A898="",0,IF(Kalkulasi!$B$876="OB",SUMIFS(DATA_TS!$M$2:$M$20001,DATA_TS!$A$2:$A$20001,$A898,DATA_TS!$C$2:$C$20001,R$880,DATA_TS!$B$2:$B$20001,Kalkulasi!$B$877),SUMIFS(DATA_TS!$N$2:$N$20001,DATA_TS!$A$2:$A$20001,$A898,DATA_TS!$C$2:$C$20001,R$880,DATA_TS!$B$2:$B$20001,Kalkulasi!$B$877)))</f>
        <v/>
      </c>
      <c r="AL898">
        <f>IF($A898="",0,IF(Kalkulasi!$B$876="OB",SUMIFS(DATA_TS!$M$2:$M$20001,DATA_TS!$A$2:$A$20001,$A898,DATA_TS!$C$2:$C$20001,S$880,DATA_TS!$B$2:$B$20001,Kalkulasi!$B$877),SUMIFS(DATA_TS!$N$2:$N$20001,DATA_TS!$A$2:$A$20001,$A898,DATA_TS!$C$2:$C$20001,S$880,DATA_TS!$B$2:$B$20001,Kalkulasi!$B$877)))</f>
        <v/>
      </c>
      <c r="AM898">
        <f>SUM(U898:AL898)</f>
        <v/>
      </c>
      <c r="AN898">
        <f>IF(OR(U898=0,B898=0),"",B898/U898)</f>
        <v/>
      </c>
      <c r="AO898">
        <f>IF(OR(V898=0,C898=0),"",C898/V898)</f>
        <v/>
      </c>
      <c r="AP898">
        <f>IF(OR(W898=0,D898=0),"",D898/W898)</f>
        <v/>
      </c>
      <c r="AQ898">
        <f>IF(OR(X898=0,E898=0),"",E898/X898)</f>
        <v/>
      </c>
      <c r="AR898">
        <f>IF(OR(Y898=0,F898=0),"",F898/Y898)</f>
        <v/>
      </c>
      <c r="AS898">
        <f>IF(OR(Z898=0,G898=0),"",G898/Z898)</f>
        <v/>
      </c>
      <c r="AT898">
        <f>IF(OR(AA898=0,H898=0),"",H898/AA898)</f>
        <v/>
      </c>
      <c r="AU898">
        <f>IF(OR(AB898=0,I898=0),"",I898/AB898)</f>
        <v/>
      </c>
      <c r="AV898">
        <f>IF(OR(AC898=0,J898=0),"",J898/AC898)</f>
        <v/>
      </c>
      <c r="AW898">
        <f>IF(OR(AD898=0,K898=0),"",K898/AD898)</f>
        <v/>
      </c>
      <c r="AX898">
        <f>IF(OR(AE898=0,L898=0),"",L898/AE898)</f>
        <v/>
      </c>
      <c r="AY898">
        <f>IF(OR(AF898=0,M898=0),"",M898/AF898)</f>
        <v/>
      </c>
      <c r="AZ898">
        <f>IF(OR(AG898=0,N898=0),"",N898/AG898)</f>
        <v/>
      </c>
      <c r="BA898">
        <f>IF(OR(AH898=0,O898=0),"",O898/AH898)</f>
        <v/>
      </c>
      <c r="BB898">
        <f>IF(OR(AI898=0,P898=0),"",P898/AI898)</f>
        <v/>
      </c>
      <c r="BC898">
        <f>IF(OR(AJ898=0,Q898=0),"",Q898/AJ898)</f>
        <v/>
      </c>
      <c r="BD898">
        <f>IF(OR(AK898=0,R898=0),"",R898/AK898)</f>
        <v/>
      </c>
      <c r="BE898">
        <f>IF(OR(AL898=0,S898=0),"",S898/AL898)</f>
        <v/>
      </c>
      <c r="BF898">
        <f>IF(AM898=0,NA(),T898/AM898)</f>
        <v/>
      </c>
      <c r="BG898" t="n">
        <v>18</v>
      </c>
      <c r="BH898">
        <f>IF(AM898=0,"",T898/AM898)</f>
        <v/>
      </c>
      <c r="BI898">
        <f>IF($A898="","",TEXT($A898,"d"))</f>
        <v/>
      </c>
    </row>
    <row r="899">
      <c r="A899" s="199">
        <f>IF(Kalkulasi!$B$873+18&gt;Kalkulasi!$B$874,"",Kalkulasi!$B$873+18)</f>
        <v/>
      </c>
      <c r="B899">
        <f>IF(OR($A899="",U899=0),0,IF(Kalkulasi!$B$876="OB",SUMIFS(DATA_TS!$Q$2:$Q$20001,DATA_TS!$A$2:$A$20001,$A899,DATA_TS!$C$2:$C$20001,B$880,DATA_TS!$B$2:$B$20001,Kalkulasi!$B$877),SUMIFS(DATA_TS!$R$2:$R$20001,DATA_TS!$A$2:$A$20001,$A899,DATA_TS!$C$2:$C$20001,B$880,DATA_TS!$B$2:$B$20001,Kalkulasi!$B$877)))</f>
        <v/>
      </c>
      <c r="C899">
        <f>IF(OR($A899="",V899=0),0,IF(Kalkulasi!$B$876="OB",SUMIFS(DATA_TS!$Q$2:$Q$20001,DATA_TS!$A$2:$A$20001,$A899,DATA_TS!$C$2:$C$20001,C$880,DATA_TS!$B$2:$B$20001,Kalkulasi!$B$877),SUMIFS(DATA_TS!$R$2:$R$20001,DATA_TS!$A$2:$A$20001,$A899,DATA_TS!$C$2:$C$20001,C$880,DATA_TS!$B$2:$B$20001,Kalkulasi!$B$877)))</f>
        <v/>
      </c>
      <c r="D899">
        <f>IF(OR($A899="",W899=0),0,IF(Kalkulasi!$B$876="OB",SUMIFS(DATA_TS!$Q$2:$Q$20001,DATA_TS!$A$2:$A$20001,$A899,DATA_TS!$C$2:$C$20001,D$880,DATA_TS!$B$2:$B$20001,Kalkulasi!$B$877),SUMIFS(DATA_TS!$R$2:$R$20001,DATA_TS!$A$2:$A$20001,$A899,DATA_TS!$C$2:$C$20001,D$880,DATA_TS!$B$2:$B$20001,Kalkulasi!$B$877)))</f>
        <v/>
      </c>
      <c r="E899">
        <f>IF(OR($A899="",X899=0),0,IF(Kalkulasi!$B$876="OB",SUMIFS(DATA_TS!$Q$2:$Q$20001,DATA_TS!$A$2:$A$20001,$A899,DATA_TS!$C$2:$C$20001,E$880,DATA_TS!$B$2:$B$20001,Kalkulasi!$B$877),SUMIFS(DATA_TS!$R$2:$R$20001,DATA_TS!$A$2:$A$20001,$A899,DATA_TS!$C$2:$C$20001,E$880,DATA_TS!$B$2:$B$20001,Kalkulasi!$B$877)))</f>
        <v/>
      </c>
      <c r="F899">
        <f>IF(OR($A899="",Y899=0),0,IF(Kalkulasi!$B$876="OB",SUMIFS(DATA_TS!$Q$2:$Q$20001,DATA_TS!$A$2:$A$20001,$A899,DATA_TS!$C$2:$C$20001,F$880,DATA_TS!$B$2:$B$20001,Kalkulasi!$B$877),SUMIFS(DATA_TS!$R$2:$R$20001,DATA_TS!$A$2:$A$20001,$A899,DATA_TS!$C$2:$C$20001,F$880,DATA_TS!$B$2:$B$20001,Kalkulasi!$B$877)))</f>
        <v/>
      </c>
      <c r="G899">
        <f>IF(OR($A899="",Z899=0),0,IF(Kalkulasi!$B$876="OB",SUMIFS(DATA_TS!$Q$2:$Q$20001,DATA_TS!$A$2:$A$20001,$A899,DATA_TS!$C$2:$C$20001,G$880,DATA_TS!$B$2:$B$20001,Kalkulasi!$B$877),SUMIFS(DATA_TS!$R$2:$R$20001,DATA_TS!$A$2:$A$20001,$A899,DATA_TS!$C$2:$C$20001,G$880,DATA_TS!$B$2:$B$20001,Kalkulasi!$B$877)))</f>
        <v/>
      </c>
      <c r="H899">
        <f>IF(OR($A899="",AA899=0),0,IF(Kalkulasi!$B$876="OB",SUMIFS(DATA_TS!$Q$2:$Q$20001,DATA_TS!$A$2:$A$20001,$A899,DATA_TS!$C$2:$C$20001,H$880,DATA_TS!$B$2:$B$20001,Kalkulasi!$B$877),SUMIFS(DATA_TS!$R$2:$R$20001,DATA_TS!$A$2:$A$20001,$A899,DATA_TS!$C$2:$C$20001,H$880,DATA_TS!$B$2:$B$20001,Kalkulasi!$B$877)))</f>
        <v/>
      </c>
      <c r="I899">
        <f>IF(OR($A899="",AB899=0),0,IF(Kalkulasi!$B$876="OB",SUMIFS(DATA_TS!$Q$2:$Q$20001,DATA_TS!$A$2:$A$20001,$A899,DATA_TS!$C$2:$C$20001,I$880,DATA_TS!$B$2:$B$20001,Kalkulasi!$B$877),SUMIFS(DATA_TS!$R$2:$R$20001,DATA_TS!$A$2:$A$20001,$A899,DATA_TS!$C$2:$C$20001,I$880,DATA_TS!$B$2:$B$20001,Kalkulasi!$B$877)))</f>
        <v/>
      </c>
      <c r="J899">
        <f>IF(OR($A899="",AC899=0),0,IF(Kalkulasi!$B$876="OB",SUMIFS(DATA_TS!$Q$2:$Q$20001,DATA_TS!$A$2:$A$20001,$A899,DATA_TS!$C$2:$C$20001,J$880,DATA_TS!$B$2:$B$20001,Kalkulasi!$B$877),SUMIFS(DATA_TS!$R$2:$R$20001,DATA_TS!$A$2:$A$20001,$A899,DATA_TS!$C$2:$C$20001,J$880,DATA_TS!$B$2:$B$20001,Kalkulasi!$B$877)))</f>
        <v/>
      </c>
      <c r="K899">
        <f>IF(OR($A899="",AD899=0),0,IF(Kalkulasi!$B$876="OB",SUMIFS(DATA_TS!$Q$2:$Q$20001,DATA_TS!$A$2:$A$20001,$A899,DATA_TS!$C$2:$C$20001,K$880,DATA_TS!$B$2:$B$20001,Kalkulasi!$B$877),SUMIFS(DATA_TS!$R$2:$R$20001,DATA_TS!$A$2:$A$20001,$A899,DATA_TS!$C$2:$C$20001,K$880,DATA_TS!$B$2:$B$20001,Kalkulasi!$B$877)))</f>
        <v/>
      </c>
      <c r="L899">
        <f>IF(OR($A899="",AE899=0),0,IF(Kalkulasi!$B$876="OB",SUMIFS(DATA_TS!$Q$2:$Q$20001,DATA_TS!$A$2:$A$20001,$A899,DATA_TS!$C$2:$C$20001,L$880,DATA_TS!$B$2:$B$20001,Kalkulasi!$B$877),SUMIFS(DATA_TS!$R$2:$R$20001,DATA_TS!$A$2:$A$20001,$A899,DATA_TS!$C$2:$C$20001,L$880,DATA_TS!$B$2:$B$20001,Kalkulasi!$B$877)))</f>
        <v/>
      </c>
      <c r="M899">
        <f>IF(OR($A899="",AF899=0),0,IF(Kalkulasi!$B$876="OB",SUMIFS(DATA_TS!$Q$2:$Q$20001,DATA_TS!$A$2:$A$20001,$A899,DATA_TS!$C$2:$C$20001,M$880,DATA_TS!$B$2:$B$20001,Kalkulasi!$B$877),SUMIFS(DATA_TS!$R$2:$R$20001,DATA_TS!$A$2:$A$20001,$A899,DATA_TS!$C$2:$C$20001,M$880,DATA_TS!$B$2:$B$20001,Kalkulasi!$B$877)))</f>
        <v/>
      </c>
      <c r="N899">
        <f>IF(OR($A899="",AG899=0),0,IF(Kalkulasi!$B$876="OB",SUMIFS(DATA_TS!$Q$2:$Q$20001,DATA_TS!$A$2:$A$20001,$A899,DATA_TS!$C$2:$C$20001,N$880,DATA_TS!$B$2:$B$20001,Kalkulasi!$B$877),SUMIFS(DATA_TS!$R$2:$R$20001,DATA_TS!$A$2:$A$20001,$A899,DATA_TS!$C$2:$C$20001,N$880,DATA_TS!$B$2:$B$20001,Kalkulasi!$B$877)))</f>
        <v/>
      </c>
      <c r="O899">
        <f>IF(OR($A899="",AH899=0),0,IF(Kalkulasi!$B$876="OB",SUMIFS(DATA_TS!$Q$2:$Q$20001,DATA_TS!$A$2:$A$20001,$A899,DATA_TS!$C$2:$C$20001,O$880,DATA_TS!$B$2:$B$20001,Kalkulasi!$B$877),SUMIFS(DATA_TS!$R$2:$R$20001,DATA_TS!$A$2:$A$20001,$A899,DATA_TS!$C$2:$C$20001,O$880,DATA_TS!$B$2:$B$20001,Kalkulasi!$B$877)))</f>
        <v/>
      </c>
      <c r="P899">
        <f>IF(OR($A899="",AI899=0),0,IF(Kalkulasi!$B$876="OB",SUMIFS(DATA_TS!$Q$2:$Q$20001,DATA_TS!$A$2:$A$20001,$A899,DATA_TS!$C$2:$C$20001,P$880,DATA_TS!$B$2:$B$20001,Kalkulasi!$B$877),SUMIFS(DATA_TS!$R$2:$R$20001,DATA_TS!$A$2:$A$20001,$A899,DATA_TS!$C$2:$C$20001,P$880,DATA_TS!$B$2:$B$20001,Kalkulasi!$B$877)))</f>
        <v/>
      </c>
      <c r="Q899">
        <f>IF(OR($A899="",AJ899=0),0,IF(Kalkulasi!$B$876="OB",SUMIFS(DATA_TS!$Q$2:$Q$20001,DATA_TS!$A$2:$A$20001,$A899,DATA_TS!$C$2:$C$20001,Q$880,DATA_TS!$B$2:$B$20001,Kalkulasi!$B$877),SUMIFS(DATA_TS!$R$2:$R$20001,DATA_TS!$A$2:$A$20001,$A899,DATA_TS!$C$2:$C$20001,Q$880,DATA_TS!$B$2:$B$20001,Kalkulasi!$B$877)))</f>
        <v/>
      </c>
      <c r="R899">
        <f>IF(OR($A899="",AK899=0),0,IF(Kalkulasi!$B$876="OB",SUMIFS(DATA_TS!$Q$2:$Q$20001,DATA_TS!$A$2:$A$20001,$A899,DATA_TS!$C$2:$C$20001,R$880,DATA_TS!$B$2:$B$20001,Kalkulasi!$B$877),SUMIFS(DATA_TS!$R$2:$R$20001,DATA_TS!$A$2:$A$20001,$A899,DATA_TS!$C$2:$C$20001,R$880,DATA_TS!$B$2:$B$20001,Kalkulasi!$B$877)))</f>
        <v/>
      </c>
      <c r="S899">
        <f>IF(OR($A899="",AL899=0),0,IF(Kalkulasi!$B$876="OB",SUMIFS(DATA_TS!$Q$2:$Q$20001,DATA_TS!$A$2:$A$20001,$A899,DATA_TS!$C$2:$C$20001,S$880,DATA_TS!$B$2:$B$20001,Kalkulasi!$B$877),SUMIFS(DATA_TS!$R$2:$R$20001,DATA_TS!$A$2:$A$20001,$A899,DATA_TS!$C$2:$C$20001,S$880,DATA_TS!$B$2:$B$20001,Kalkulasi!$B$877)))</f>
        <v/>
      </c>
      <c r="T899">
        <f>SUM(B899:S899)</f>
        <v/>
      </c>
      <c r="U899">
        <f>IF($A899="",0,IF(Kalkulasi!$B$876="OB",SUMIFS(DATA_TS!$M$2:$M$20001,DATA_TS!$A$2:$A$20001,$A899,DATA_TS!$C$2:$C$20001,B$880,DATA_TS!$B$2:$B$20001,Kalkulasi!$B$877),SUMIFS(DATA_TS!$N$2:$N$20001,DATA_TS!$A$2:$A$20001,$A899,DATA_TS!$C$2:$C$20001,B$880,DATA_TS!$B$2:$B$20001,Kalkulasi!$B$877)))</f>
        <v/>
      </c>
      <c r="V899">
        <f>IF($A899="",0,IF(Kalkulasi!$B$876="OB",SUMIFS(DATA_TS!$M$2:$M$20001,DATA_TS!$A$2:$A$20001,$A899,DATA_TS!$C$2:$C$20001,C$880,DATA_TS!$B$2:$B$20001,Kalkulasi!$B$877),SUMIFS(DATA_TS!$N$2:$N$20001,DATA_TS!$A$2:$A$20001,$A899,DATA_TS!$C$2:$C$20001,C$880,DATA_TS!$B$2:$B$20001,Kalkulasi!$B$877)))</f>
        <v/>
      </c>
      <c r="W899">
        <f>IF($A899="",0,IF(Kalkulasi!$B$876="OB",SUMIFS(DATA_TS!$M$2:$M$20001,DATA_TS!$A$2:$A$20001,$A899,DATA_TS!$C$2:$C$20001,D$880,DATA_TS!$B$2:$B$20001,Kalkulasi!$B$877),SUMIFS(DATA_TS!$N$2:$N$20001,DATA_TS!$A$2:$A$20001,$A899,DATA_TS!$C$2:$C$20001,D$880,DATA_TS!$B$2:$B$20001,Kalkulasi!$B$877)))</f>
        <v/>
      </c>
      <c r="X899">
        <f>IF($A899="",0,IF(Kalkulasi!$B$876="OB",SUMIFS(DATA_TS!$M$2:$M$20001,DATA_TS!$A$2:$A$20001,$A899,DATA_TS!$C$2:$C$20001,E$880,DATA_TS!$B$2:$B$20001,Kalkulasi!$B$877),SUMIFS(DATA_TS!$N$2:$N$20001,DATA_TS!$A$2:$A$20001,$A899,DATA_TS!$C$2:$C$20001,E$880,DATA_TS!$B$2:$B$20001,Kalkulasi!$B$877)))</f>
        <v/>
      </c>
      <c r="Y899">
        <f>IF($A899="",0,IF(Kalkulasi!$B$876="OB",SUMIFS(DATA_TS!$M$2:$M$20001,DATA_TS!$A$2:$A$20001,$A899,DATA_TS!$C$2:$C$20001,F$880,DATA_TS!$B$2:$B$20001,Kalkulasi!$B$877),SUMIFS(DATA_TS!$N$2:$N$20001,DATA_TS!$A$2:$A$20001,$A899,DATA_TS!$C$2:$C$20001,F$880,DATA_TS!$B$2:$B$20001,Kalkulasi!$B$877)))</f>
        <v/>
      </c>
      <c r="Z899">
        <f>IF($A899="",0,IF(Kalkulasi!$B$876="OB",SUMIFS(DATA_TS!$M$2:$M$20001,DATA_TS!$A$2:$A$20001,$A899,DATA_TS!$C$2:$C$20001,G$880,DATA_TS!$B$2:$B$20001,Kalkulasi!$B$877),SUMIFS(DATA_TS!$N$2:$N$20001,DATA_TS!$A$2:$A$20001,$A899,DATA_TS!$C$2:$C$20001,G$880,DATA_TS!$B$2:$B$20001,Kalkulasi!$B$877)))</f>
        <v/>
      </c>
      <c r="AA899">
        <f>IF($A899="",0,IF(Kalkulasi!$B$876="OB",SUMIFS(DATA_TS!$M$2:$M$20001,DATA_TS!$A$2:$A$20001,$A899,DATA_TS!$C$2:$C$20001,H$880,DATA_TS!$B$2:$B$20001,Kalkulasi!$B$877),SUMIFS(DATA_TS!$N$2:$N$20001,DATA_TS!$A$2:$A$20001,$A899,DATA_TS!$C$2:$C$20001,H$880,DATA_TS!$B$2:$B$20001,Kalkulasi!$B$877)))</f>
        <v/>
      </c>
      <c r="AB899">
        <f>IF($A899="",0,IF(Kalkulasi!$B$876="OB",SUMIFS(DATA_TS!$M$2:$M$20001,DATA_TS!$A$2:$A$20001,$A899,DATA_TS!$C$2:$C$20001,I$880,DATA_TS!$B$2:$B$20001,Kalkulasi!$B$877),SUMIFS(DATA_TS!$N$2:$N$20001,DATA_TS!$A$2:$A$20001,$A899,DATA_TS!$C$2:$C$20001,I$880,DATA_TS!$B$2:$B$20001,Kalkulasi!$B$877)))</f>
        <v/>
      </c>
      <c r="AC899">
        <f>IF($A899="",0,IF(Kalkulasi!$B$876="OB",SUMIFS(DATA_TS!$M$2:$M$20001,DATA_TS!$A$2:$A$20001,$A899,DATA_TS!$C$2:$C$20001,J$880,DATA_TS!$B$2:$B$20001,Kalkulasi!$B$877),SUMIFS(DATA_TS!$N$2:$N$20001,DATA_TS!$A$2:$A$20001,$A899,DATA_TS!$C$2:$C$20001,J$880,DATA_TS!$B$2:$B$20001,Kalkulasi!$B$877)))</f>
        <v/>
      </c>
      <c r="AD899">
        <f>IF($A899="",0,IF(Kalkulasi!$B$876="OB",SUMIFS(DATA_TS!$M$2:$M$20001,DATA_TS!$A$2:$A$20001,$A899,DATA_TS!$C$2:$C$20001,K$880,DATA_TS!$B$2:$B$20001,Kalkulasi!$B$877),SUMIFS(DATA_TS!$N$2:$N$20001,DATA_TS!$A$2:$A$20001,$A899,DATA_TS!$C$2:$C$20001,K$880,DATA_TS!$B$2:$B$20001,Kalkulasi!$B$877)))</f>
        <v/>
      </c>
      <c r="AE899">
        <f>IF($A899="",0,IF(Kalkulasi!$B$876="OB",SUMIFS(DATA_TS!$M$2:$M$20001,DATA_TS!$A$2:$A$20001,$A899,DATA_TS!$C$2:$C$20001,L$880,DATA_TS!$B$2:$B$20001,Kalkulasi!$B$877),SUMIFS(DATA_TS!$N$2:$N$20001,DATA_TS!$A$2:$A$20001,$A899,DATA_TS!$C$2:$C$20001,L$880,DATA_TS!$B$2:$B$20001,Kalkulasi!$B$877)))</f>
        <v/>
      </c>
      <c r="AF899">
        <f>IF($A899="",0,IF(Kalkulasi!$B$876="OB",SUMIFS(DATA_TS!$M$2:$M$20001,DATA_TS!$A$2:$A$20001,$A899,DATA_TS!$C$2:$C$20001,M$880,DATA_TS!$B$2:$B$20001,Kalkulasi!$B$877),SUMIFS(DATA_TS!$N$2:$N$20001,DATA_TS!$A$2:$A$20001,$A899,DATA_TS!$C$2:$C$20001,M$880,DATA_TS!$B$2:$B$20001,Kalkulasi!$B$877)))</f>
        <v/>
      </c>
      <c r="AG899">
        <f>IF($A899="",0,IF(Kalkulasi!$B$876="OB",SUMIFS(DATA_TS!$M$2:$M$20001,DATA_TS!$A$2:$A$20001,$A899,DATA_TS!$C$2:$C$20001,N$880,DATA_TS!$B$2:$B$20001,Kalkulasi!$B$877),SUMIFS(DATA_TS!$N$2:$N$20001,DATA_TS!$A$2:$A$20001,$A899,DATA_TS!$C$2:$C$20001,N$880,DATA_TS!$B$2:$B$20001,Kalkulasi!$B$877)))</f>
        <v/>
      </c>
      <c r="AH899">
        <f>IF($A899="",0,IF(Kalkulasi!$B$876="OB",SUMIFS(DATA_TS!$M$2:$M$20001,DATA_TS!$A$2:$A$20001,$A899,DATA_TS!$C$2:$C$20001,O$880,DATA_TS!$B$2:$B$20001,Kalkulasi!$B$877),SUMIFS(DATA_TS!$N$2:$N$20001,DATA_TS!$A$2:$A$20001,$A899,DATA_TS!$C$2:$C$20001,O$880,DATA_TS!$B$2:$B$20001,Kalkulasi!$B$877)))</f>
        <v/>
      </c>
      <c r="AI899">
        <f>IF($A899="",0,IF(Kalkulasi!$B$876="OB",SUMIFS(DATA_TS!$M$2:$M$20001,DATA_TS!$A$2:$A$20001,$A899,DATA_TS!$C$2:$C$20001,P$880,DATA_TS!$B$2:$B$20001,Kalkulasi!$B$877),SUMIFS(DATA_TS!$N$2:$N$20001,DATA_TS!$A$2:$A$20001,$A899,DATA_TS!$C$2:$C$20001,P$880,DATA_TS!$B$2:$B$20001,Kalkulasi!$B$877)))</f>
        <v/>
      </c>
      <c r="AJ899">
        <f>IF($A899="",0,IF(Kalkulasi!$B$876="OB",SUMIFS(DATA_TS!$M$2:$M$20001,DATA_TS!$A$2:$A$20001,$A899,DATA_TS!$C$2:$C$20001,Q$880,DATA_TS!$B$2:$B$20001,Kalkulasi!$B$877),SUMIFS(DATA_TS!$N$2:$N$20001,DATA_TS!$A$2:$A$20001,$A899,DATA_TS!$C$2:$C$20001,Q$880,DATA_TS!$B$2:$B$20001,Kalkulasi!$B$877)))</f>
        <v/>
      </c>
      <c r="AK899">
        <f>IF($A899="",0,IF(Kalkulasi!$B$876="OB",SUMIFS(DATA_TS!$M$2:$M$20001,DATA_TS!$A$2:$A$20001,$A899,DATA_TS!$C$2:$C$20001,R$880,DATA_TS!$B$2:$B$20001,Kalkulasi!$B$877),SUMIFS(DATA_TS!$N$2:$N$20001,DATA_TS!$A$2:$A$20001,$A899,DATA_TS!$C$2:$C$20001,R$880,DATA_TS!$B$2:$B$20001,Kalkulasi!$B$877)))</f>
        <v/>
      </c>
      <c r="AL899">
        <f>IF($A899="",0,IF(Kalkulasi!$B$876="OB",SUMIFS(DATA_TS!$M$2:$M$20001,DATA_TS!$A$2:$A$20001,$A899,DATA_TS!$C$2:$C$20001,S$880,DATA_TS!$B$2:$B$20001,Kalkulasi!$B$877),SUMIFS(DATA_TS!$N$2:$N$20001,DATA_TS!$A$2:$A$20001,$A899,DATA_TS!$C$2:$C$20001,S$880,DATA_TS!$B$2:$B$20001,Kalkulasi!$B$877)))</f>
        <v/>
      </c>
      <c r="AM899">
        <f>SUM(U899:AL899)</f>
        <v/>
      </c>
      <c r="AN899">
        <f>IF(OR(U899=0,B899=0),"",B899/U899)</f>
        <v/>
      </c>
      <c r="AO899">
        <f>IF(OR(V899=0,C899=0),"",C899/V899)</f>
        <v/>
      </c>
      <c r="AP899">
        <f>IF(OR(W899=0,D899=0),"",D899/W899)</f>
        <v/>
      </c>
      <c r="AQ899">
        <f>IF(OR(X899=0,E899=0),"",E899/X899)</f>
        <v/>
      </c>
      <c r="AR899">
        <f>IF(OR(Y899=0,F899=0),"",F899/Y899)</f>
        <v/>
      </c>
      <c r="AS899">
        <f>IF(OR(Z899=0,G899=0),"",G899/Z899)</f>
        <v/>
      </c>
      <c r="AT899">
        <f>IF(OR(AA899=0,H899=0),"",H899/AA899)</f>
        <v/>
      </c>
      <c r="AU899">
        <f>IF(OR(AB899=0,I899=0),"",I899/AB899)</f>
        <v/>
      </c>
      <c r="AV899">
        <f>IF(OR(AC899=0,J899=0),"",J899/AC899)</f>
        <v/>
      </c>
      <c r="AW899">
        <f>IF(OR(AD899=0,K899=0),"",K899/AD899)</f>
        <v/>
      </c>
      <c r="AX899">
        <f>IF(OR(AE899=0,L899=0),"",L899/AE899)</f>
        <v/>
      </c>
      <c r="AY899">
        <f>IF(OR(AF899=0,M899=0),"",M899/AF899)</f>
        <v/>
      </c>
      <c r="AZ899">
        <f>IF(OR(AG899=0,N899=0),"",N899/AG899)</f>
        <v/>
      </c>
      <c r="BA899">
        <f>IF(OR(AH899=0,O899=0),"",O899/AH899)</f>
        <v/>
      </c>
      <c r="BB899">
        <f>IF(OR(AI899=0,P899=0),"",P899/AI899)</f>
        <v/>
      </c>
      <c r="BC899">
        <f>IF(OR(AJ899=0,Q899=0),"",Q899/AJ899)</f>
        <v/>
      </c>
      <c r="BD899">
        <f>IF(OR(AK899=0,R899=0),"",R899/AK899)</f>
        <v/>
      </c>
      <c r="BE899">
        <f>IF(OR(AL899=0,S899=0),"",S899/AL899)</f>
        <v/>
      </c>
      <c r="BF899">
        <f>IF(AM899=0,NA(),T899/AM899)</f>
        <v/>
      </c>
      <c r="BG899" t="n">
        <v>19</v>
      </c>
      <c r="BH899">
        <f>IF(AM899=0,"",T899/AM899)</f>
        <v/>
      </c>
      <c r="BI899">
        <f>IF($A899="","",TEXT($A899,"d"))</f>
        <v/>
      </c>
    </row>
    <row r="900">
      <c r="A900" s="199">
        <f>IF(Kalkulasi!$B$873+19&gt;Kalkulasi!$B$874,"",Kalkulasi!$B$873+19)</f>
        <v/>
      </c>
      <c r="B900">
        <f>IF(OR($A900="",U900=0),0,IF(Kalkulasi!$B$876="OB",SUMIFS(DATA_TS!$Q$2:$Q$20001,DATA_TS!$A$2:$A$20001,$A900,DATA_TS!$C$2:$C$20001,B$880,DATA_TS!$B$2:$B$20001,Kalkulasi!$B$877),SUMIFS(DATA_TS!$R$2:$R$20001,DATA_TS!$A$2:$A$20001,$A900,DATA_TS!$C$2:$C$20001,B$880,DATA_TS!$B$2:$B$20001,Kalkulasi!$B$877)))</f>
        <v/>
      </c>
      <c r="C900">
        <f>IF(OR($A900="",V900=0),0,IF(Kalkulasi!$B$876="OB",SUMIFS(DATA_TS!$Q$2:$Q$20001,DATA_TS!$A$2:$A$20001,$A900,DATA_TS!$C$2:$C$20001,C$880,DATA_TS!$B$2:$B$20001,Kalkulasi!$B$877),SUMIFS(DATA_TS!$R$2:$R$20001,DATA_TS!$A$2:$A$20001,$A900,DATA_TS!$C$2:$C$20001,C$880,DATA_TS!$B$2:$B$20001,Kalkulasi!$B$877)))</f>
        <v/>
      </c>
      <c r="D900">
        <f>IF(OR($A900="",W900=0),0,IF(Kalkulasi!$B$876="OB",SUMIFS(DATA_TS!$Q$2:$Q$20001,DATA_TS!$A$2:$A$20001,$A900,DATA_TS!$C$2:$C$20001,D$880,DATA_TS!$B$2:$B$20001,Kalkulasi!$B$877),SUMIFS(DATA_TS!$R$2:$R$20001,DATA_TS!$A$2:$A$20001,$A900,DATA_TS!$C$2:$C$20001,D$880,DATA_TS!$B$2:$B$20001,Kalkulasi!$B$877)))</f>
        <v/>
      </c>
      <c r="E900">
        <f>IF(OR($A900="",X900=0),0,IF(Kalkulasi!$B$876="OB",SUMIFS(DATA_TS!$Q$2:$Q$20001,DATA_TS!$A$2:$A$20001,$A900,DATA_TS!$C$2:$C$20001,E$880,DATA_TS!$B$2:$B$20001,Kalkulasi!$B$877),SUMIFS(DATA_TS!$R$2:$R$20001,DATA_TS!$A$2:$A$20001,$A900,DATA_TS!$C$2:$C$20001,E$880,DATA_TS!$B$2:$B$20001,Kalkulasi!$B$877)))</f>
        <v/>
      </c>
      <c r="F900">
        <f>IF(OR($A900="",Y900=0),0,IF(Kalkulasi!$B$876="OB",SUMIFS(DATA_TS!$Q$2:$Q$20001,DATA_TS!$A$2:$A$20001,$A900,DATA_TS!$C$2:$C$20001,F$880,DATA_TS!$B$2:$B$20001,Kalkulasi!$B$877),SUMIFS(DATA_TS!$R$2:$R$20001,DATA_TS!$A$2:$A$20001,$A900,DATA_TS!$C$2:$C$20001,F$880,DATA_TS!$B$2:$B$20001,Kalkulasi!$B$877)))</f>
        <v/>
      </c>
      <c r="G900">
        <f>IF(OR($A900="",Z900=0),0,IF(Kalkulasi!$B$876="OB",SUMIFS(DATA_TS!$Q$2:$Q$20001,DATA_TS!$A$2:$A$20001,$A900,DATA_TS!$C$2:$C$20001,G$880,DATA_TS!$B$2:$B$20001,Kalkulasi!$B$877),SUMIFS(DATA_TS!$R$2:$R$20001,DATA_TS!$A$2:$A$20001,$A900,DATA_TS!$C$2:$C$20001,G$880,DATA_TS!$B$2:$B$20001,Kalkulasi!$B$877)))</f>
        <v/>
      </c>
      <c r="H900">
        <f>IF(OR($A900="",AA900=0),0,IF(Kalkulasi!$B$876="OB",SUMIFS(DATA_TS!$Q$2:$Q$20001,DATA_TS!$A$2:$A$20001,$A900,DATA_TS!$C$2:$C$20001,H$880,DATA_TS!$B$2:$B$20001,Kalkulasi!$B$877),SUMIFS(DATA_TS!$R$2:$R$20001,DATA_TS!$A$2:$A$20001,$A900,DATA_TS!$C$2:$C$20001,H$880,DATA_TS!$B$2:$B$20001,Kalkulasi!$B$877)))</f>
        <v/>
      </c>
      <c r="I900">
        <f>IF(OR($A900="",AB900=0),0,IF(Kalkulasi!$B$876="OB",SUMIFS(DATA_TS!$Q$2:$Q$20001,DATA_TS!$A$2:$A$20001,$A900,DATA_TS!$C$2:$C$20001,I$880,DATA_TS!$B$2:$B$20001,Kalkulasi!$B$877),SUMIFS(DATA_TS!$R$2:$R$20001,DATA_TS!$A$2:$A$20001,$A900,DATA_TS!$C$2:$C$20001,I$880,DATA_TS!$B$2:$B$20001,Kalkulasi!$B$877)))</f>
        <v/>
      </c>
      <c r="J900">
        <f>IF(OR($A900="",AC900=0),0,IF(Kalkulasi!$B$876="OB",SUMIFS(DATA_TS!$Q$2:$Q$20001,DATA_TS!$A$2:$A$20001,$A900,DATA_TS!$C$2:$C$20001,J$880,DATA_TS!$B$2:$B$20001,Kalkulasi!$B$877),SUMIFS(DATA_TS!$R$2:$R$20001,DATA_TS!$A$2:$A$20001,$A900,DATA_TS!$C$2:$C$20001,J$880,DATA_TS!$B$2:$B$20001,Kalkulasi!$B$877)))</f>
        <v/>
      </c>
      <c r="K900">
        <f>IF(OR($A900="",AD900=0),0,IF(Kalkulasi!$B$876="OB",SUMIFS(DATA_TS!$Q$2:$Q$20001,DATA_TS!$A$2:$A$20001,$A900,DATA_TS!$C$2:$C$20001,K$880,DATA_TS!$B$2:$B$20001,Kalkulasi!$B$877),SUMIFS(DATA_TS!$R$2:$R$20001,DATA_TS!$A$2:$A$20001,$A900,DATA_TS!$C$2:$C$20001,K$880,DATA_TS!$B$2:$B$20001,Kalkulasi!$B$877)))</f>
        <v/>
      </c>
      <c r="L900">
        <f>IF(OR($A900="",AE900=0),0,IF(Kalkulasi!$B$876="OB",SUMIFS(DATA_TS!$Q$2:$Q$20001,DATA_TS!$A$2:$A$20001,$A900,DATA_TS!$C$2:$C$20001,L$880,DATA_TS!$B$2:$B$20001,Kalkulasi!$B$877),SUMIFS(DATA_TS!$R$2:$R$20001,DATA_TS!$A$2:$A$20001,$A900,DATA_TS!$C$2:$C$20001,L$880,DATA_TS!$B$2:$B$20001,Kalkulasi!$B$877)))</f>
        <v/>
      </c>
      <c r="M900">
        <f>IF(OR($A900="",AF900=0),0,IF(Kalkulasi!$B$876="OB",SUMIFS(DATA_TS!$Q$2:$Q$20001,DATA_TS!$A$2:$A$20001,$A900,DATA_TS!$C$2:$C$20001,M$880,DATA_TS!$B$2:$B$20001,Kalkulasi!$B$877),SUMIFS(DATA_TS!$R$2:$R$20001,DATA_TS!$A$2:$A$20001,$A900,DATA_TS!$C$2:$C$20001,M$880,DATA_TS!$B$2:$B$20001,Kalkulasi!$B$877)))</f>
        <v/>
      </c>
      <c r="N900">
        <f>IF(OR($A900="",AG900=0),0,IF(Kalkulasi!$B$876="OB",SUMIFS(DATA_TS!$Q$2:$Q$20001,DATA_TS!$A$2:$A$20001,$A900,DATA_TS!$C$2:$C$20001,N$880,DATA_TS!$B$2:$B$20001,Kalkulasi!$B$877),SUMIFS(DATA_TS!$R$2:$R$20001,DATA_TS!$A$2:$A$20001,$A900,DATA_TS!$C$2:$C$20001,N$880,DATA_TS!$B$2:$B$20001,Kalkulasi!$B$877)))</f>
        <v/>
      </c>
      <c r="O900">
        <f>IF(OR($A900="",AH900=0),0,IF(Kalkulasi!$B$876="OB",SUMIFS(DATA_TS!$Q$2:$Q$20001,DATA_TS!$A$2:$A$20001,$A900,DATA_TS!$C$2:$C$20001,O$880,DATA_TS!$B$2:$B$20001,Kalkulasi!$B$877),SUMIFS(DATA_TS!$R$2:$R$20001,DATA_TS!$A$2:$A$20001,$A900,DATA_TS!$C$2:$C$20001,O$880,DATA_TS!$B$2:$B$20001,Kalkulasi!$B$877)))</f>
        <v/>
      </c>
      <c r="P900">
        <f>IF(OR($A900="",AI900=0),0,IF(Kalkulasi!$B$876="OB",SUMIFS(DATA_TS!$Q$2:$Q$20001,DATA_TS!$A$2:$A$20001,$A900,DATA_TS!$C$2:$C$20001,P$880,DATA_TS!$B$2:$B$20001,Kalkulasi!$B$877),SUMIFS(DATA_TS!$R$2:$R$20001,DATA_TS!$A$2:$A$20001,$A900,DATA_TS!$C$2:$C$20001,P$880,DATA_TS!$B$2:$B$20001,Kalkulasi!$B$877)))</f>
        <v/>
      </c>
      <c r="Q900">
        <f>IF(OR($A900="",AJ900=0),0,IF(Kalkulasi!$B$876="OB",SUMIFS(DATA_TS!$Q$2:$Q$20001,DATA_TS!$A$2:$A$20001,$A900,DATA_TS!$C$2:$C$20001,Q$880,DATA_TS!$B$2:$B$20001,Kalkulasi!$B$877),SUMIFS(DATA_TS!$R$2:$R$20001,DATA_TS!$A$2:$A$20001,$A900,DATA_TS!$C$2:$C$20001,Q$880,DATA_TS!$B$2:$B$20001,Kalkulasi!$B$877)))</f>
        <v/>
      </c>
      <c r="R900">
        <f>IF(OR($A900="",AK900=0),0,IF(Kalkulasi!$B$876="OB",SUMIFS(DATA_TS!$Q$2:$Q$20001,DATA_TS!$A$2:$A$20001,$A900,DATA_TS!$C$2:$C$20001,R$880,DATA_TS!$B$2:$B$20001,Kalkulasi!$B$877),SUMIFS(DATA_TS!$R$2:$R$20001,DATA_TS!$A$2:$A$20001,$A900,DATA_TS!$C$2:$C$20001,R$880,DATA_TS!$B$2:$B$20001,Kalkulasi!$B$877)))</f>
        <v/>
      </c>
      <c r="S900">
        <f>IF(OR($A900="",AL900=0),0,IF(Kalkulasi!$B$876="OB",SUMIFS(DATA_TS!$Q$2:$Q$20001,DATA_TS!$A$2:$A$20001,$A900,DATA_TS!$C$2:$C$20001,S$880,DATA_TS!$B$2:$B$20001,Kalkulasi!$B$877),SUMIFS(DATA_TS!$R$2:$R$20001,DATA_TS!$A$2:$A$20001,$A900,DATA_TS!$C$2:$C$20001,S$880,DATA_TS!$B$2:$B$20001,Kalkulasi!$B$877)))</f>
        <v/>
      </c>
      <c r="T900">
        <f>SUM(B900:S900)</f>
        <v/>
      </c>
      <c r="U900">
        <f>IF($A900="",0,IF(Kalkulasi!$B$876="OB",SUMIFS(DATA_TS!$M$2:$M$20001,DATA_TS!$A$2:$A$20001,$A900,DATA_TS!$C$2:$C$20001,B$880,DATA_TS!$B$2:$B$20001,Kalkulasi!$B$877),SUMIFS(DATA_TS!$N$2:$N$20001,DATA_TS!$A$2:$A$20001,$A900,DATA_TS!$C$2:$C$20001,B$880,DATA_TS!$B$2:$B$20001,Kalkulasi!$B$877)))</f>
        <v/>
      </c>
      <c r="V900">
        <f>IF($A900="",0,IF(Kalkulasi!$B$876="OB",SUMIFS(DATA_TS!$M$2:$M$20001,DATA_TS!$A$2:$A$20001,$A900,DATA_TS!$C$2:$C$20001,C$880,DATA_TS!$B$2:$B$20001,Kalkulasi!$B$877),SUMIFS(DATA_TS!$N$2:$N$20001,DATA_TS!$A$2:$A$20001,$A900,DATA_TS!$C$2:$C$20001,C$880,DATA_TS!$B$2:$B$20001,Kalkulasi!$B$877)))</f>
        <v/>
      </c>
      <c r="W900">
        <f>IF($A900="",0,IF(Kalkulasi!$B$876="OB",SUMIFS(DATA_TS!$M$2:$M$20001,DATA_TS!$A$2:$A$20001,$A900,DATA_TS!$C$2:$C$20001,D$880,DATA_TS!$B$2:$B$20001,Kalkulasi!$B$877),SUMIFS(DATA_TS!$N$2:$N$20001,DATA_TS!$A$2:$A$20001,$A900,DATA_TS!$C$2:$C$20001,D$880,DATA_TS!$B$2:$B$20001,Kalkulasi!$B$877)))</f>
        <v/>
      </c>
      <c r="X900">
        <f>IF($A900="",0,IF(Kalkulasi!$B$876="OB",SUMIFS(DATA_TS!$M$2:$M$20001,DATA_TS!$A$2:$A$20001,$A900,DATA_TS!$C$2:$C$20001,E$880,DATA_TS!$B$2:$B$20001,Kalkulasi!$B$877),SUMIFS(DATA_TS!$N$2:$N$20001,DATA_TS!$A$2:$A$20001,$A900,DATA_TS!$C$2:$C$20001,E$880,DATA_TS!$B$2:$B$20001,Kalkulasi!$B$877)))</f>
        <v/>
      </c>
      <c r="Y900">
        <f>IF($A900="",0,IF(Kalkulasi!$B$876="OB",SUMIFS(DATA_TS!$M$2:$M$20001,DATA_TS!$A$2:$A$20001,$A900,DATA_TS!$C$2:$C$20001,F$880,DATA_TS!$B$2:$B$20001,Kalkulasi!$B$877),SUMIFS(DATA_TS!$N$2:$N$20001,DATA_TS!$A$2:$A$20001,$A900,DATA_TS!$C$2:$C$20001,F$880,DATA_TS!$B$2:$B$20001,Kalkulasi!$B$877)))</f>
        <v/>
      </c>
      <c r="Z900">
        <f>IF($A900="",0,IF(Kalkulasi!$B$876="OB",SUMIFS(DATA_TS!$M$2:$M$20001,DATA_TS!$A$2:$A$20001,$A900,DATA_TS!$C$2:$C$20001,G$880,DATA_TS!$B$2:$B$20001,Kalkulasi!$B$877),SUMIFS(DATA_TS!$N$2:$N$20001,DATA_TS!$A$2:$A$20001,$A900,DATA_TS!$C$2:$C$20001,G$880,DATA_TS!$B$2:$B$20001,Kalkulasi!$B$877)))</f>
        <v/>
      </c>
      <c r="AA900">
        <f>IF($A900="",0,IF(Kalkulasi!$B$876="OB",SUMIFS(DATA_TS!$M$2:$M$20001,DATA_TS!$A$2:$A$20001,$A900,DATA_TS!$C$2:$C$20001,H$880,DATA_TS!$B$2:$B$20001,Kalkulasi!$B$877),SUMIFS(DATA_TS!$N$2:$N$20001,DATA_TS!$A$2:$A$20001,$A900,DATA_TS!$C$2:$C$20001,H$880,DATA_TS!$B$2:$B$20001,Kalkulasi!$B$877)))</f>
        <v/>
      </c>
      <c r="AB900">
        <f>IF($A900="",0,IF(Kalkulasi!$B$876="OB",SUMIFS(DATA_TS!$M$2:$M$20001,DATA_TS!$A$2:$A$20001,$A900,DATA_TS!$C$2:$C$20001,I$880,DATA_TS!$B$2:$B$20001,Kalkulasi!$B$877),SUMIFS(DATA_TS!$N$2:$N$20001,DATA_TS!$A$2:$A$20001,$A900,DATA_TS!$C$2:$C$20001,I$880,DATA_TS!$B$2:$B$20001,Kalkulasi!$B$877)))</f>
        <v/>
      </c>
      <c r="AC900">
        <f>IF($A900="",0,IF(Kalkulasi!$B$876="OB",SUMIFS(DATA_TS!$M$2:$M$20001,DATA_TS!$A$2:$A$20001,$A900,DATA_TS!$C$2:$C$20001,J$880,DATA_TS!$B$2:$B$20001,Kalkulasi!$B$877),SUMIFS(DATA_TS!$N$2:$N$20001,DATA_TS!$A$2:$A$20001,$A900,DATA_TS!$C$2:$C$20001,J$880,DATA_TS!$B$2:$B$20001,Kalkulasi!$B$877)))</f>
        <v/>
      </c>
      <c r="AD900">
        <f>IF($A900="",0,IF(Kalkulasi!$B$876="OB",SUMIFS(DATA_TS!$M$2:$M$20001,DATA_TS!$A$2:$A$20001,$A900,DATA_TS!$C$2:$C$20001,K$880,DATA_TS!$B$2:$B$20001,Kalkulasi!$B$877),SUMIFS(DATA_TS!$N$2:$N$20001,DATA_TS!$A$2:$A$20001,$A900,DATA_TS!$C$2:$C$20001,K$880,DATA_TS!$B$2:$B$20001,Kalkulasi!$B$877)))</f>
        <v/>
      </c>
      <c r="AE900">
        <f>IF($A900="",0,IF(Kalkulasi!$B$876="OB",SUMIFS(DATA_TS!$M$2:$M$20001,DATA_TS!$A$2:$A$20001,$A900,DATA_TS!$C$2:$C$20001,L$880,DATA_TS!$B$2:$B$20001,Kalkulasi!$B$877),SUMIFS(DATA_TS!$N$2:$N$20001,DATA_TS!$A$2:$A$20001,$A900,DATA_TS!$C$2:$C$20001,L$880,DATA_TS!$B$2:$B$20001,Kalkulasi!$B$877)))</f>
        <v/>
      </c>
      <c r="AF900">
        <f>IF($A900="",0,IF(Kalkulasi!$B$876="OB",SUMIFS(DATA_TS!$M$2:$M$20001,DATA_TS!$A$2:$A$20001,$A900,DATA_TS!$C$2:$C$20001,M$880,DATA_TS!$B$2:$B$20001,Kalkulasi!$B$877),SUMIFS(DATA_TS!$N$2:$N$20001,DATA_TS!$A$2:$A$20001,$A900,DATA_TS!$C$2:$C$20001,M$880,DATA_TS!$B$2:$B$20001,Kalkulasi!$B$877)))</f>
        <v/>
      </c>
      <c r="AG900">
        <f>IF($A900="",0,IF(Kalkulasi!$B$876="OB",SUMIFS(DATA_TS!$M$2:$M$20001,DATA_TS!$A$2:$A$20001,$A900,DATA_TS!$C$2:$C$20001,N$880,DATA_TS!$B$2:$B$20001,Kalkulasi!$B$877),SUMIFS(DATA_TS!$N$2:$N$20001,DATA_TS!$A$2:$A$20001,$A900,DATA_TS!$C$2:$C$20001,N$880,DATA_TS!$B$2:$B$20001,Kalkulasi!$B$877)))</f>
        <v/>
      </c>
      <c r="AH900">
        <f>IF($A900="",0,IF(Kalkulasi!$B$876="OB",SUMIFS(DATA_TS!$M$2:$M$20001,DATA_TS!$A$2:$A$20001,$A900,DATA_TS!$C$2:$C$20001,O$880,DATA_TS!$B$2:$B$20001,Kalkulasi!$B$877),SUMIFS(DATA_TS!$N$2:$N$20001,DATA_TS!$A$2:$A$20001,$A900,DATA_TS!$C$2:$C$20001,O$880,DATA_TS!$B$2:$B$20001,Kalkulasi!$B$877)))</f>
        <v/>
      </c>
      <c r="AI900">
        <f>IF($A900="",0,IF(Kalkulasi!$B$876="OB",SUMIFS(DATA_TS!$M$2:$M$20001,DATA_TS!$A$2:$A$20001,$A900,DATA_TS!$C$2:$C$20001,P$880,DATA_TS!$B$2:$B$20001,Kalkulasi!$B$877),SUMIFS(DATA_TS!$N$2:$N$20001,DATA_TS!$A$2:$A$20001,$A900,DATA_TS!$C$2:$C$20001,P$880,DATA_TS!$B$2:$B$20001,Kalkulasi!$B$877)))</f>
        <v/>
      </c>
      <c r="AJ900">
        <f>IF($A900="",0,IF(Kalkulasi!$B$876="OB",SUMIFS(DATA_TS!$M$2:$M$20001,DATA_TS!$A$2:$A$20001,$A900,DATA_TS!$C$2:$C$20001,Q$880,DATA_TS!$B$2:$B$20001,Kalkulasi!$B$877),SUMIFS(DATA_TS!$N$2:$N$20001,DATA_TS!$A$2:$A$20001,$A900,DATA_TS!$C$2:$C$20001,Q$880,DATA_TS!$B$2:$B$20001,Kalkulasi!$B$877)))</f>
        <v/>
      </c>
      <c r="AK900">
        <f>IF($A900="",0,IF(Kalkulasi!$B$876="OB",SUMIFS(DATA_TS!$M$2:$M$20001,DATA_TS!$A$2:$A$20001,$A900,DATA_TS!$C$2:$C$20001,R$880,DATA_TS!$B$2:$B$20001,Kalkulasi!$B$877),SUMIFS(DATA_TS!$N$2:$N$20001,DATA_TS!$A$2:$A$20001,$A900,DATA_TS!$C$2:$C$20001,R$880,DATA_TS!$B$2:$B$20001,Kalkulasi!$B$877)))</f>
        <v/>
      </c>
      <c r="AL900">
        <f>IF($A900="",0,IF(Kalkulasi!$B$876="OB",SUMIFS(DATA_TS!$M$2:$M$20001,DATA_TS!$A$2:$A$20001,$A900,DATA_TS!$C$2:$C$20001,S$880,DATA_TS!$B$2:$B$20001,Kalkulasi!$B$877),SUMIFS(DATA_TS!$N$2:$N$20001,DATA_TS!$A$2:$A$20001,$A900,DATA_TS!$C$2:$C$20001,S$880,DATA_TS!$B$2:$B$20001,Kalkulasi!$B$877)))</f>
        <v/>
      </c>
      <c r="AM900">
        <f>SUM(U900:AL900)</f>
        <v/>
      </c>
      <c r="AN900">
        <f>IF(OR(U900=0,B900=0),"",B900/U900)</f>
        <v/>
      </c>
      <c r="AO900">
        <f>IF(OR(V900=0,C900=0),"",C900/V900)</f>
        <v/>
      </c>
      <c r="AP900">
        <f>IF(OR(W900=0,D900=0),"",D900/W900)</f>
        <v/>
      </c>
      <c r="AQ900">
        <f>IF(OR(X900=0,E900=0),"",E900/X900)</f>
        <v/>
      </c>
      <c r="AR900">
        <f>IF(OR(Y900=0,F900=0),"",F900/Y900)</f>
        <v/>
      </c>
      <c r="AS900">
        <f>IF(OR(Z900=0,G900=0),"",G900/Z900)</f>
        <v/>
      </c>
      <c r="AT900">
        <f>IF(OR(AA900=0,H900=0),"",H900/AA900)</f>
        <v/>
      </c>
      <c r="AU900">
        <f>IF(OR(AB900=0,I900=0),"",I900/AB900)</f>
        <v/>
      </c>
      <c r="AV900">
        <f>IF(OR(AC900=0,J900=0),"",J900/AC900)</f>
        <v/>
      </c>
      <c r="AW900">
        <f>IF(OR(AD900=0,K900=0),"",K900/AD900)</f>
        <v/>
      </c>
      <c r="AX900">
        <f>IF(OR(AE900=0,L900=0),"",L900/AE900)</f>
        <v/>
      </c>
      <c r="AY900">
        <f>IF(OR(AF900=0,M900=0),"",M900/AF900)</f>
        <v/>
      </c>
      <c r="AZ900">
        <f>IF(OR(AG900=0,N900=0),"",N900/AG900)</f>
        <v/>
      </c>
      <c r="BA900">
        <f>IF(OR(AH900=0,O900=0),"",O900/AH900)</f>
        <v/>
      </c>
      <c r="BB900">
        <f>IF(OR(AI900=0,P900=0),"",P900/AI900)</f>
        <v/>
      </c>
      <c r="BC900">
        <f>IF(OR(AJ900=0,Q900=0),"",Q900/AJ900)</f>
        <v/>
      </c>
      <c r="BD900">
        <f>IF(OR(AK900=0,R900=0),"",R900/AK900)</f>
        <v/>
      </c>
      <c r="BE900">
        <f>IF(OR(AL900=0,S900=0),"",S900/AL900)</f>
        <v/>
      </c>
      <c r="BF900">
        <f>IF(AM900=0,NA(),T900/AM900)</f>
        <v/>
      </c>
      <c r="BG900" t="n">
        <v>20</v>
      </c>
      <c r="BH900">
        <f>IF(AM900=0,"",T900/AM900)</f>
        <v/>
      </c>
      <c r="BI900">
        <f>IF($A900="","",TEXT($A900,"d"))</f>
        <v/>
      </c>
    </row>
    <row r="901">
      <c r="A901" s="199">
        <f>IF(Kalkulasi!$B$873+20&gt;Kalkulasi!$B$874,"",Kalkulasi!$B$873+20)</f>
        <v/>
      </c>
      <c r="B901">
        <f>IF(OR($A901="",U901=0),0,IF(Kalkulasi!$B$876="OB",SUMIFS(DATA_TS!$Q$2:$Q$20001,DATA_TS!$A$2:$A$20001,$A901,DATA_TS!$C$2:$C$20001,B$880,DATA_TS!$B$2:$B$20001,Kalkulasi!$B$877),SUMIFS(DATA_TS!$R$2:$R$20001,DATA_TS!$A$2:$A$20001,$A901,DATA_TS!$C$2:$C$20001,B$880,DATA_TS!$B$2:$B$20001,Kalkulasi!$B$877)))</f>
        <v/>
      </c>
      <c r="C901">
        <f>IF(OR($A901="",V901=0),0,IF(Kalkulasi!$B$876="OB",SUMIFS(DATA_TS!$Q$2:$Q$20001,DATA_TS!$A$2:$A$20001,$A901,DATA_TS!$C$2:$C$20001,C$880,DATA_TS!$B$2:$B$20001,Kalkulasi!$B$877),SUMIFS(DATA_TS!$R$2:$R$20001,DATA_TS!$A$2:$A$20001,$A901,DATA_TS!$C$2:$C$20001,C$880,DATA_TS!$B$2:$B$20001,Kalkulasi!$B$877)))</f>
        <v/>
      </c>
      <c r="D901">
        <f>IF(OR($A901="",W901=0),0,IF(Kalkulasi!$B$876="OB",SUMIFS(DATA_TS!$Q$2:$Q$20001,DATA_TS!$A$2:$A$20001,$A901,DATA_TS!$C$2:$C$20001,D$880,DATA_TS!$B$2:$B$20001,Kalkulasi!$B$877),SUMIFS(DATA_TS!$R$2:$R$20001,DATA_TS!$A$2:$A$20001,$A901,DATA_TS!$C$2:$C$20001,D$880,DATA_TS!$B$2:$B$20001,Kalkulasi!$B$877)))</f>
        <v/>
      </c>
      <c r="E901">
        <f>IF(OR($A901="",X901=0),0,IF(Kalkulasi!$B$876="OB",SUMIFS(DATA_TS!$Q$2:$Q$20001,DATA_TS!$A$2:$A$20001,$A901,DATA_TS!$C$2:$C$20001,E$880,DATA_TS!$B$2:$B$20001,Kalkulasi!$B$877),SUMIFS(DATA_TS!$R$2:$R$20001,DATA_TS!$A$2:$A$20001,$A901,DATA_TS!$C$2:$C$20001,E$880,DATA_TS!$B$2:$B$20001,Kalkulasi!$B$877)))</f>
        <v/>
      </c>
      <c r="F901">
        <f>IF(OR($A901="",Y901=0),0,IF(Kalkulasi!$B$876="OB",SUMIFS(DATA_TS!$Q$2:$Q$20001,DATA_TS!$A$2:$A$20001,$A901,DATA_TS!$C$2:$C$20001,F$880,DATA_TS!$B$2:$B$20001,Kalkulasi!$B$877),SUMIFS(DATA_TS!$R$2:$R$20001,DATA_TS!$A$2:$A$20001,$A901,DATA_TS!$C$2:$C$20001,F$880,DATA_TS!$B$2:$B$20001,Kalkulasi!$B$877)))</f>
        <v/>
      </c>
      <c r="G901">
        <f>IF(OR($A901="",Z901=0),0,IF(Kalkulasi!$B$876="OB",SUMIFS(DATA_TS!$Q$2:$Q$20001,DATA_TS!$A$2:$A$20001,$A901,DATA_TS!$C$2:$C$20001,G$880,DATA_TS!$B$2:$B$20001,Kalkulasi!$B$877),SUMIFS(DATA_TS!$R$2:$R$20001,DATA_TS!$A$2:$A$20001,$A901,DATA_TS!$C$2:$C$20001,G$880,DATA_TS!$B$2:$B$20001,Kalkulasi!$B$877)))</f>
        <v/>
      </c>
      <c r="H901">
        <f>IF(OR($A901="",AA901=0),0,IF(Kalkulasi!$B$876="OB",SUMIFS(DATA_TS!$Q$2:$Q$20001,DATA_TS!$A$2:$A$20001,$A901,DATA_TS!$C$2:$C$20001,H$880,DATA_TS!$B$2:$B$20001,Kalkulasi!$B$877),SUMIFS(DATA_TS!$R$2:$R$20001,DATA_TS!$A$2:$A$20001,$A901,DATA_TS!$C$2:$C$20001,H$880,DATA_TS!$B$2:$B$20001,Kalkulasi!$B$877)))</f>
        <v/>
      </c>
      <c r="I901">
        <f>IF(OR($A901="",AB901=0),0,IF(Kalkulasi!$B$876="OB",SUMIFS(DATA_TS!$Q$2:$Q$20001,DATA_TS!$A$2:$A$20001,$A901,DATA_TS!$C$2:$C$20001,I$880,DATA_TS!$B$2:$B$20001,Kalkulasi!$B$877),SUMIFS(DATA_TS!$R$2:$R$20001,DATA_TS!$A$2:$A$20001,$A901,DATA_TS!$C$2:$C$20001,I$880,DATA_TS!$B$2:$B$20001,Kalkulasi!$B$877)))</f>
        <v/>
      </c>
      <c r="J901">
        <f>IF(OR($A901="",AC901=0),0,IF(Kalkulasi!$B$876="OB",SUMIFS(DATA_TS!$Q$2:$Q$20001,DATA_TS!$A$2:$A$20001,$A901,DATA_TS!$C$2:$C$20001,J$880,DATA_TS!$B$2:$B$20001,Kalkulasi!$B$877),SUMIFS(DATA_TS!$R$2:$R$20001,DATA_TS!$A$2:$A$20001,$A901,DATA_TS!$C$2:$C$20001,J$880,DATA_TS!$B$2:$B$20001,Kalkulasi!$B$877)))</f>
        <v/>
      </c>
      <c r="K901">
        <f>IF(OR($A901="",AD901=0),0,IF(Kalkulasi!$B$876="OB",SUMIFS(DATA_TS!$Q$2:$Q$20001,DATA_TS!$A$2:$A$20001,$A901,DATA_TS!$C$2:$C$20001,K$880,DATA_TS!$B$2:$B$20001,Kalkulasi!$B$877),SUMIFS(DATA_TS!$R$2:$R$20001,DATA_TS!$A$2:$A$20001,$A901,DATA_TS!$C$2:$C$20001,K$880,DATA_TS!$B$2:$B$20001,Kalkulasi!$B$877)))</f>
        <v/>
      </c>
      <c r="L901">
        <f>IF(OR($A901="",AE901=0),0,IF(Kalkulasi!$B$876="OB",SUMIFS(DATA_TS!$Q$2:$Q$20001,DATA_TS!$A$2:$A$20001,$A901,DATA_TS!$C$2:$C$20001,L$880,DATA_TS!$B$2:$B$20001,Kalkulasi!$B$877),SUMIFS(DATA_TS!$R$2:$R$20001,DATA_TS!$A$2:$A$20001,$A901,DATA_TS!$C$2:$C$20001,L$880,DATA_TS!$B$2:$B$20001,Kalkulasi!$B$877)))</f>
        <v/>
      </c>
      <c r="M901">
        <f>IF(OR($A901="",AF901=0),0,IF(Kalkulasi!$B$876="OB",SUMIFS(DATA_TS!$Q$2:$Q$20001,DATA_TS!$A$2:$A$20001,$A901,DATA_TS!$C$2:$C$20001,M$880,DATA_TS!$B$2:$B$20001,Kalkulasi!$B$877),SUMIFS(DATA_TS!$R$2:$R$20001,DATA_TS!$A$2:$A$20001,$A901,DATA_TS!$C$2:$C$20001,M$880,DATA_TS!$B$2:$B$20001,Kalkulasi!$B$877)))</f>
        <v/>
      </c>
      <c r="N901">
        <f>IF(OR($A901="",AG901=0),0,IF(Kalkulasi!$B$876="OB",SUMIFS(DATA_TS!$Q$2:$Q$20001,DATA_TS!$A$2:$A$20001,$A901,DATA_TS!$C$2:$C$20001,N$880,DATA_TS!$B$2:$B$20001,Kalkulasi!$B$877),SUMIFS(DATA_TS!$R$2:$R$20001,DATA_TS!$A$2:$A$20001,$A901,DATA_TS!$C$2:$C$20001,N$880,DATA_TS!$B$2:$B$20001,Kalkulasi!$B$877)))</f>
        <v/>
      </c>
      <c r="O901">
        <f>IF(OR($A901="",AH901=0),0,IF(Kalkulasi!$B$876="OB",SUMIFS(DATA_TS!$Q$2:$Q$20001,DATA_TS!$A$2:$A$20001,$A901,DATA_TS!$C$2:$C$20001,O$880,DATA_TS!$B$2:$B$20001,Kalkulasi!$B$877),SUMIFS(DATA_TS!$R$2:$R$20001,DATA_TS!$A$2:$A$20001,$A901,DATA_TS!$C$2:$C$20001,O$880,DATA_TS!$B$2:$B$20001,Kalkulasi!$B$877)))</f>
        <v/>
      </c>
      <c r="P901">
        <f>IF(OR($A901="",AI901=0),0,IF(Kalkulasi!$B$876="OB",SUMIFS(DATA_TS!$Q$2:$Q$20001,DATA_TS!$A$2:$A$20001,$A901,DATA_TS!$C$2:$C$20001,P$880,DATA_TS!$B$2:$B$20001,Kalkulasi!$B$877),SUMIFS(DATA_TS!$R$2:$R$20001,DATA_TS!$A$2:$A$20001,$A901,DATA_TS!$C$2:$C$20001,P$880,DATA_TS!$B$2:$B$20001,Kalkulasi!$B$877)))</f>
        <v/>
      </c>
      <c r="Q901">
        <f>IF(OR($A901="",AJ901=0),0,IF(Kalkulasi!$B$876="OB",SUMIFS(DATA_TS!$Q$2:$Q$20001,DATA_TS!$A$2:$A$20001,$A901,DATA_TS!$C$2:$C$20001,Q$880,DATA_TS!$B$2:$B$20001,Kalkulasi!$B$877),SUMIFS(DATA_TS!$R$2:$R$20001,DATA_TS!$A$2:$A$20001,$A901,DATA_TS!$C$2:$C$20001,Q$880,DATA_TS!$B$2:$B$20001,Kalkulasi!$B$877)))</f>
        <v/>
      </c>
      <c r="R901">
        <f>IF(OR($A901="",AK901=0),0,IF(Kalkulasi!$B$876="OB",SUMIFS(DATA_TS!$Q$2:$Q$20001,DATA_TS!$A$2:$A$20001,$A901,DATA_TS!$C$2:$C$20001,R$880,DATA_TS!$B$2:$B$20001,Kalkulasi!$B$877),SUMIFS(DATA_TS!$R$2:$R$20001,DATA_TS!$A$2:$A$20001,$A901,DATA_TS!$C$2:$C$20001,R$880,DATA_TS!$B$2:$B$20001,Kalkulasi!$B$877)))</f>
        <v/>
      </c>
      <c r="S901">
        <f>IF(OR($A901="",AL901=0),0,IF(Kalkulasi!$B$876="OB",SUMIFS(DATA_TS!$Q$2:$Q$20001,DATA_TS!$A$2:$A$20001,$A901,DATA_TS!$C$2:$C$20001,S$880,DATA_TS!$B$2:$B$20001,Kalkulasi!$B$877),SUMIFS(DATA_TS!$R$2:$R$20001,DATA_TS!$A$2:$A$20001,$A901,DATA_TS!$C$2:$C$20001,S$880,DATA_TS!$B$2:$B$20001,Kalkulasi!$B$877)))</f>
        <v/>
      </c>
      <c r="T901">
        <f>SUM(B901:S901)</f>
        <v/>
      </c>
      <c r="U901">
        <f>IF($A901="",0,IF(Kalkulasi!$B$876="OB",SUMIFS(DATA_TS!$M$2:$M$20001,DATA_TS!$A$2:$A$20001,$A901,DATA_TS!$C$2:$C$20001,B$880,DATA_TS!$B$2:$B$20001,Kalkulasi!$B$877),SUMIFS(DATA_TS!$N$2:$N$20001,DATA_TS!$A$2:$A$20001,$A901,DATA_TS!$C$2:$C$20001,B$880,DATA_TS!$B$2:$B$20001,Kalkulasi!$B$877)))</f>
        <v/>
      </c>
      <c r="V901">
        <f>IF($A901="",0,IF(Kalkulasi!$B$876="OB",SUMIFS(DATA_TS!$M$2:$M$20001,DATA_TS!$A$2:$A$20001,$A901,DATA_TS!$C$2:$C$20001,C$880,DATA_TS!$B$2:$B$20001,Kalkulasi!$B$877),SUMIFS(DATA_TS!$N$2:$N$20001,DATA_TS!$A$2:$A$20001,$A901,DATA_TS!$C$2:$C$20001,C$880,DATA_TS!$B$2:$B$20001,Kalkulasi!$B$877)))</f>
        <v/>
      </c>
      <c r="W901">
        <f>IF($A901="",0,IF(Kalkulasi!$B$876="OB",SUMIFS(DATA_TS!$M$2:$M$20001,DATA_TS!$A$2:$A$20001,$A901,DATA_TS!$C$2:$C$20001,D$880,DATA_TS!$B$2:$B$20001,Kalkulasi!$B$877),SUMIFS(DATA_TS!$N$2:$N$20001,DATA_TS!$A$2:$A$20001,$A901,DATA_TS!$C$2:$C$20001,D$880,DATA_TS!$B$2:$B$20001,Kalkulasi!$B$877)))</f>
        <v/>
      </c>
      <c r="X901">
        <f>IF($A901="",0,IF(Kalkulasi!$B$876="OB",SUMIFS(DATA_TS!$M$2:$M$20001,DATA_TS!$A$2:$A$20001,$A901,DATA_TS!$C$2:$C$20001,E$880,DATA_TS!$B$2:$B$20001,Kalkulasi!$B$877),SUMIFS(DATA_TS!$N$2:$N$20001,DATA_TS!$A$2:$A$20001,$A901,DATA_TS!$C$2:$C$20001,E$880,DATA_TS!$B$2:$B$20001,Kalkulasi!$B$877)))</f>
        <v/>
      </c>
      <c r="Y901">
        <f>IF($A901="",0,IF(Kalkulasi!$B$876="OB",SUMIFS(DATA_TS!$M$2:$M$20001,DATA_TS!$A$2:$A$20001,$A901,DATA_TS!$C$2:$C$20001,F$880,DATA_TS!$B$2:$B$20001,Kalkulasi!$B$877),SUMIFS(DATA_TS!$N$2:$N$20001,DATA_TS!$A$2:$A$20001,$A901,DATA_TS!$C$2:$C$20001,F$880,DATA_TS!$B$2:$B$20001,Kalkulasi!$B$877)))</f>
        <v/>
      </c>
      <c r="Z901">
        <f>IF($A901="",0,IF(Kalkulasi!$B$876="OB",SUMIFS(DATA_TS!$M$2:$M$20001,DATA_TS!$A$2:$A$20001,$A901,DATA_TS!$C$2:$C$20001,G$880,DATA_TS!$B$2:$B$20001,Kalkulasi!$B$877),SUMIFS(DATA_TS!$N$2:$N$20001,DATA_TS!$A$2:$A$20001,$A901,DATA_TS!$C$2:$C$20001,G$880,DATA_TS!$B$2:$B$20001,Kalkulasi!$B$877)))</f>
        <v/>
      </c>
      <c r="AA901">
        <f>IF($A901="",0,IF(Kalkulasi!$B$876="OB",SUMIFS(DATA_TS!$M$2:$M$20001,DATA_TS!$A$2:$A$20001,$A901,DATA_TS!$C$2:$C$20001,H$880,DATA_TS!$B$2:$B$20001,Kalkulasi!$B$877),SUMIFS(DATA_TS!$N$2:$N$20001,DATA_TS!$A$2:$A$20001,$A901,DATA_TS!$C$2:$C$20001,H$880,DATA_TS!$B$2:$B$20001,Kalkulasi!$B$877)))</f>
        <v/>
      </c>
      <c r="AB901">
        <f>IF($A901="",0,IF(Kalkulasi!$B$876="OB",SUMIFS(DATA_TS!$M$2:$M$20001,DATA_TS!$A$2:$A$20001,$A901,DATA_TS!$C$2:$C$20001,I$880,DATA_TS!$B$2:$B$20001,Kalkulasi!$B$877),SUMIFS(DATA_TS!$N$2:$N$20001,DATA_TS!$A$2:$A$20001,$A901,DATA_TS!$C$2:$C$20001,I$880,DATA_TS!$B$2:$B$20001,Kalkulasi!$B$877)))</f>
        <v/>
      </c>
      <c r="AC901">
        <f>IF($A901="",0,IF(Kalkulasi!$B$876="OB",SUMIFS(DATA_TS!$M$2:$M$20001,DATA_TS!$A$2:$A$20001,$A901,DATA_TS!$C$2:$C$20001,J$880,DATA_TS!$B$2:$B$20001,Kalkulasi!$B$877),SUMIFS(DATA_TS!$N$2:$N$20001,DATA_TS!$A$2:$A$20001,$A901,DATA_TS!$C$2:$C$20001,J$880,DATA_TS!$B$2:$B$20001,Kalkulasi!$B$877)))</f>
        <v/>
      </c>
      <c r="AD901">
        <f>IF($A901="",0,IF(Kalkulasi!$B$876="OB",SUMIFS(DATA_TS!$M$2:$M$20001,DATA_TS!$A$2:$A$20001,$A901,DATA_TS!$C$2:$C$20001,K$880,DATA_TS!$B$2:$B$20001,Kalkulasi!$B$877),SUMIFS(DATA_TS!$N$2:$N$20001,DATA_TS!$A$2:$A$20001,$A901,DATA_TS!$C$2:$C$20001,K$880,DATA_TS!$B$2:$B$20001,Kalkulasi!$B$877)))</f>
        <v/>
      </c>
      <c r="AE901">
        <f>IF($A901="",0,IF(Kalkulasi!$B$876="OB",SUMIFS(DATA_TS!$M$2:$M$20001,DATA_TS!$A$2:$A$20001,$A901,DATA_TS!$C$2:$C$20001,L$880,DATA_TS!$B$2:$B$20001,Kalkulasi!$B$877),SUMIFS(DATA_TS!$N$2:$N$20001,DATA_TS!$A$2:$A$20001,$A901,DATA_TS!$C$2:$C$20001,L$880,DATA_TS!$B$2:$B$20001,Kalkulasi!$B$877)))</f>
        <v/>
      </c>
      <c r="AF901">
        <f>IF($A901="",0,IF(Kalkulasi!$B$876="OB",SUMIFS(DATA_TS!$M$2:$M$20001,DATA_TS!$A$2:$A$20001,$A901,DATA_TS!$C$2:$C$20001,M$880,DATA_TS!$B$2:$B$20001,Kalkulasi!$B$877),SUMIFS(DATA_TS!$N$2:$N$20001,DATA_TS!$A$2:$A$20001,$A901,DATA_TS!$C$2:$C$20001,M$880,DATA_TS!$B$2:$B$20001,Kalkulasi!$B$877)))</f>
        <v/>
      </c>
      <c r="AG901">
        <f>IF($A901="",0,IF(Kalkulasi!$B$876="OB",SUMIFS(DATA_TS!$M$2:$M$20001,DATA_TS!$A$2:$A$20001,$A901,DATA_TS!$C$2:$C$20001,N$880,DATA_TS!$B$2:$B$20001,Kalkulasi!$B$877),SUMIFS(DATA_TS!$N$2:$N$20001,DATA_TS!$A$2:$A$20001,$A901,DATA_TS!$C$2:$C$20001,N$880,DATA_TS!$B$2:$B$20001,Kalkulasi!$B$877)))</f>
        <v/>
      </c>
      <c r="AH901">
        <f>IF($A901="",0,IF(Kalkulasi!$B$876="OB",SUMIFS(DATA_TS!$M$2:$M$20001,DATA_TS!$A$2:$A$20001,$A901,DATA_TS!$C$2:$C$20001,O$880,DATA_TS!$B$2:$B$20001,Kalkulasi!$B$877),SUMIFS(DATA_TS!$N$2:$N$20001,DATA_TS!$A$2:$A$20001,$A901,DATA_TS!$C$2:$C$20001,O$880,DATA_TS!$B$2:$B$20001,Kalkulasi!$B$877)))</f>
        <v/>
      </c>
      <c r="AI901">
        <f>IF($A901="",0,IF(Kalkulasi!$B$876="OB",SUMIFS(DATA_TS!$M$2:$M$20001,DATA_TS!$A$2:$A$20001,$A901,DATA_TS!$C$2:$C$20001,P$880,DATA_TS!$B$2:$B$20001,Kalkulasi!$B$877),SUMIFS(DATA_TS!$N$2:$N$20001,DATA_TS!$A$2:$A$20001,$A901,DATA_TS!$C$2:$C$20001,P$880,DATA_TS!$B$2:$B$20001,Kalkulasi!$B$877)))</f>
        <v/>
      </c>
      <c r="AJ901">
        <f>IF($A901="",0,IF(Kalkulasi!$B$876="OB",SUMIFS(DATA_TS!$M$2:$M$20001,DATA_TS!$A$2:$A$20001,$A901,DATA_TS!$C$2:$C$20001,Q$880,DATA_TS!$B$2:$B$20001,Kalkulasi!$B$877),SUMIFS(DATA_TS!$N$2:$N$20001,DATA_TS!$A$2:$A$20001,$A901,DATA_TS!$C$2:$C$20001,Q$880,DATA_TS!$B$2:$B$20001,Kalkulasi!$B$877)))</f>
        <v/>
      </c>
      <c r="AK901">
        <f>IF($A901="",0,IF(Kalkulasi!$B$876="OB",SUMIFS(DATA_TS!$M$2:$M$20001,DATA_TS!$A$2:$A$20001,$A901,DATA_TS!$C$2:$C$20001,R$880,DATA_TS!$B$2:$B$20001,Kalkulasi!$B$877),SUMIFS(DATA_TS!$N$2:$N$20001,DATA_TS!$A$2:$A$20001,$A901,DATA_TS!$C$2:$C$20001,R$880,DATA_TS!$B$2:$B$20001,Kalkulasi!$B$877)))</f>
        <v/>
      </c>
      <c r="AL901">
        <f>IF($A901="",0,IF(Kalkulasi!$B$876="OB",SUMIFS(DATA_TS!$M$2:$M$20001,DATA_TS!$A$2:$A$20001,$A901,DATA_TS!$C$2:$C$20001,S$880,DATA_TS!$B$2:$B$20001,Kalkulasi!$B$877),SUMIFS(DATA_TS!$N$2:$N$20001,DATA_TS!$A$2:$A$20001,$A901,DATA_TS!$C$2:$C$20001,S$880,DATA_TS!$B$2:$B$20001,Kalkulasi!$B$877)))</f>
        <v/>
      </c>
      <c r="AM901">
        <f>SUM(U901:AL901)</f>
        <v/>
      </c>
      <c r="AN901">
        <f>IF(OR(U901=0,B901=0),"",B901/U901)</f>
        <v/>
      </c>
      <c r="AO901">
        <f>IF(OR(V901=0,C901=0),"",C901/V901)</f>
        <v/>
      </c>
      <c r="AP901">
        <f>IF(OR(W901=0,D901=0),"",D901/W901)</f>
        <v/>
      </c>
      <c r="AQ901">
        <f>IF(OR(X901=0,E901=0),"",E901/X901)</f>
        <v/>
      </c>
      <c r="AR901">
        <f>IF(OR(Y901=0,F901=0),"",F901/Y901)</f>
        <v/>
      </c>
      <c r="AS901">
        <f>IF(OR(Z901=0,G901=0),"",G901/Z901)</f>
        <v/>
      </c>
      <c r="AT901">
        <f>IF(OR(AA901=0,H901=0),"",H901/AA901)</f>
        <v/>
      </c>
      <c r="AU901">
        <f>IF(OR(AB901=0,I901=0),"",I901/AB901)</f>
        <v/>
      </c>
      <c r="AV901">
        <f>IF(OR(AC901=0,J901=0),"",J901/AC901)</f>
        <v/>
      </c>
      <c r="AW901">
        <f>IF(OR(AD901=0,K901=0),"",K901/AD901)</f>
        <v/>
      </c>
      <c r="AX901">
        <f>IF(OR(AE901=0,L901=0),"",L901/AE901)</f>
        <v/>
      </c>
      <c r="AY901">
        <f>IF(OR(AF901=0,M901=0),"",M901/AF901)</f>
        <v/>
      </c>
      <c r="AZ901">
        <f>IF(OR(AG901=0,N901=0),"",N901/AG901)</f>
        <v/>
      </c>
      <c r="BA901">
        <f>IF(OR(AH901=0,O901=0),"",O901/AH901)</f>
        <v/>
      </c>
      <c r="BB901">
        <f>IF(OR(AI901=0,P901=0),"",P901/AI901)</f>
        <v/>
      </c>
      <c r="BC901">
        <f>IF(OR(AJ901=0,Q901=0),"",Q901/AJ901)</f>
        <v/>
      </c>
      <c r="BD901">
        <f>IF(OR(AK901=0,R901=0),"",R901/AK901)</f>
        <v/>
      </c>
      <c r="BE901">
        <f>IF(OR(AL901=0,S901=0),"",S901/AL901)</f>
        <v/>
      </c>
      <c r="BF901">
        <f>IF(AM901=0,NA(),T901/AM901)</f>
        <v/>
      </c>
      <c r="BG901" t="n">
        <v>21</v>
      </c>
      <c r="BH901">
        <f>IF(AM901=0,"",T901/AM901)</f>
        <v/>
      </c>
      <c r="BI901">
        <f>IF($A901="","",TEXT($A901,"d"))</f>
        <v/>
      </c>
    </row>
    <row r="902">
      <c r="A902" s="199">
        <f>IF(Kalkulasi!$B$873+21&gt;Kalkulasi!$B$874,"",Kalkulasi!$B$873+21)</f>
        <v/>
      </c>
      <c r="B902">
        <f>IF(OR($A902="",U902=0),0,IF(Kalkulasi!$B$876="OB",SUMIFS(DATA_TS!$Q$2:$Q$20001,DATA_TS!$A$2:$A$20001,$A902,DATA_TS!$C$2:$C$20001,B$880,DATA_TS!$B$2:$B$20001,Kalkulasi!$B$877),SUMIFS(DATA_TS!$R$2:$R$20001,DATA_TS!$A$2:$A$20001,$A902,DATA_TS!$C$2:$C$20001,B$880,DATA_TS!$B$2:$B$20001,Kalkulasi!$B$877)))</f>
        <v/>
      </c>
      <c r="C902">
        <f>IF(OR($A902="",V902=0),0,IF(Kalkulasi!$B$876="OB",SUMIFS(DATA_TS!$Q$2:$Q$20001,DATA_TS!$A$2:$A$20001,$A902,DATA_TS!$C$2:$C$20001,C$880,DATA_TS!$B$2:$B$20001,Kalkulasi!$B$877),SUMIFS(DATA_TS!$R$2:$R$20001,DATA_TS!$A$2:$A$20001,$A902,DATA_TS!$C$2:$C$20001,C$880,DATA_TS!$B$2:$B$20001,Kalkulasi!$B$877)))</f>
        <v/>
      </c>
      <c r="D902">
        <f>IF(OR($A902="",W902=0),0,IF(Kalkulasi!$B$876="OB",SUMIFS(DATA_TS!$Q$2:$Q$20001,DATA_TS!$A$2:$A$20001,$A902,DATA_TS!$C$2:$C$20001,D$880,DATA_TS!$B$2:$B$20001,Kalkulasi!$B$877),SUMIFS(DATA_TS!$R$2:$R$20001,DATA_TS!$A$2:$A$20001,$A902,DATA_TS!$C$2:$C$20001,D$880,DATA_TS!$B$2:$B$20001,Kalkulasi!$B$877)))</f>
        <v/>
      </c>
      <c r="E902">
        <f>IF(OR($A902="",X902=0),0,IF(Kalkulasi!$B$876="OB",SUMIFS(DATA_TS!$Q$2:$Q$20001,DATA_TS!$A$2:$A$20001,$A902,DATA_TS!$C$2:$C$20001,E$880,DATA_TS!$B$2:$B$20001,Kalkulasi!$B$877),SUMIFS(DATA_TS!$R$2:$R$20001,DATA_TS!$A$2:$A$20001,$A902,DATA_TS!$C$2:$C$20001,E$880,DATA_TS!$B$2:$B$20001,Kalkulasi!$B$877)))</f>
        <v/>
      </c>
      <c r="F902">
        <f>IF(OR($A902="",Y902=0),0,IF(Kalkulasi!$B$876="OB",SUMIFS(DATA_TS!$Q$2:$Q$20001,DATA_TS!$A$2:$A$20001,$A902,DATA_TS!$C$2:$C$20001,F$880,DATA_TS!$B$2:$B$20001,Kalkulasi!$B$877),SUMIFS(DATA_TS!$R$2:$R$20001,DATA_TS!$A$2:$A$20001,$A902,DATA_TS!$C$2:$C$20001,F$880,DATA_TS!$B$2:$B$20001,Kalkulasi!$B$877)))</f>
        <v/>
      </c>
      <c r="G902">
        <f>IF(OR($A902="",Z902=0),0,IF(Kalkulasi!$B$876="OB",SUMIFS(DATA_TS!$Q$2:$Q$20001,DATA_TS!$A$2:$A$20001,$A902,DATA_TS!$C$2:$C$20001,G$880,DATA_TS!$B$2:$B$20001,Kalkulasi!$B$877),SUMIFS(DATA_TS!$R$2:$R$20001,DATA_TS!$A$2:$A$20001,$A902,DATA_TS!$C$2:$C$20001,G$880,DATA_TS!$B$2:$B$20001,Kalkulasi!$B$877)))</f>
        <v/>
      </c>
      <c r="H902">
        <f>IF(OR($A902="",AA902=0),0,IF(Kalkulasi!$B$876="OB",SUMIFS(DATA_TS!$Q$2:$Q$20001,DATA_TS!$A$2:$A$20001,$A902,DATA_TS!$C$2:$C$20001,H$880,DATA_TS!$B$2:$B$20001,Kalkulasi!$B$877),SUMIFS(DATA_TS!$R$2:$R$20001,DATA_TS!$A$2:$A$20001,$A902,DATA_TS!$C$2:$C$20001,H$880,DATA_TS!$B$2:$B$20001,Kalkulasi!$B$877)))</f>
        <v/>
      </c>
      <c r="I902">
        <f>IF(OR($A902="",AB902=0),0,IF(Kalkulasi!$B$876="OB",SUMIFS(DATA_TS!$Q$2:$Q$20001,DATA_TS!$A$2:$A$20001,$A902,DATA_TS!$C$2:$C$20001,I$880,DATA_TS!$B$2:$B$20001,Kalkulasi!$B$877),SUMIFS(DATA_TS!$R$2:$R$20001,DATA_TS!$A$2:$A$20001,$A902,DATA_TS!$C$2:$C$20001,I$880,DATA_TS!$B$2:$B$20001,Kalkulasi!$B$877)))</f>
        <v/>
      </c>
      <c r="J902">
        <f>IF(OR($A902="",AC902=0),0,IF(Kalkulasi!$B$876="OB",SUMIFS(DATA_TS!$Q$2:$Q$20001,DATA_TS!$A$2:$A$20001,$A902,DATA_TS!$C$2:$C$20001,J$880,DATA_TS!$B$2:$B$20001,Kalkulasi!$B$877),SUMIFS(DATA_TS!$R$2:$R$20001,DATA_TS!$A$2:$A$20001,$A902,DATA_TS!$C$2:$C$20001,J$880,DATA_TS!$B$2:$B$20001,Kalkulasi!$B$877)))</f>
        <v/>
      </c>
      <c r="K902">
        <f>IF(OR($A902="",AD902=0),0,IF(Kalkulasi!$B$876="OB",SUMIFS(DATA_TS!$Q$2:$Q$20001,DATA_TS!$A$2:$A$20001,$A902,DATA_TS!$C$2:$C$20001,K$880,DATA_TS!$B$2:$B$20001,Kalkulasi!$B$877),SUMIFS(DATA_TS!$R$2:$R$20001,DATA_TS!$A$2:$A$20001,$A902,DATA_TS!$C$2:$C$20001,K$880,DATA_TS!$B$2:$B$20001,Kalkulasi!$B$877)))</f>
        <v/>
      </c>
      <c r="L902">
        <f>IF(OR($A902="",AE902=0),0,IF(Kalkulasi!$B$876="OB",SUMIFS(DATA_TS!$Q$2:$Q$20001,DATA_TS!$A$2:$A$20001,$A902,DATA_TS!$C$2:$C$20001,L$880,DATA_TS!$B$2:$B$20001,Kalkulasi!$B$877),SUMIFS(DATA_TS!$R$2:$R$20001,DATA_TS!$A$2:$A$20001,$A902,DATA_TS!$C$2:$C$20001,L$880,DATA_TS!$B$2:$B$20001,Kalkulasi!$B$877)))</f>
        <v/>
      </c>
      <c r="M902">
        <f>IF(OR($A902="",AF902=0),0,IF(Kalkulasi!$B$876="OB",SUMIFS(DATA_TS!$Q$2:$Q$20001,DATA_TS!$A$2:$A$20001,$A902,DATA_TS!$C$2:$C$20001,M$880,DATA_TS!$B$2:$B$20001,Kalkulasi!$B$877),SUMIFS(DATA_TS!$R$2:$R$20001,DATA_TS!$A$2:$A$20001,$A902,DATA_TS!$C$2:$C$20001,M$880,DATA_TS!$B$2:$B$20001,Kalkulasi!$B$877)))</f>
        <v/>
      </c>
      <c r="N902">
        <f>IF(OR($A902="",AG902=0),0,IF(Kalkulasi!$B$876="OB",SUMIFS(DATA_TS!$Q$2:$Q$20001,DATA_TS!$A$2:$A$20001,$A902,DATA_TS!$C$2:$C$20001,N$880,DATA_TS!$B$2:$B$20001,Kalkulasi!$B$877),SUMIFS(DATA_TS!$R$2:$R$20001,DATA_TS!$A$2:$A$20001,$A902,DATA_TS!$C$2:$C$20001,N$880,DATA_TS!$B$2:$B$20001,Kalkulasi!$B$877)))</f>
        <v/>
      </c>
      <c r="O902">
        <f>IF(OR($A902="",AH902=0),0,IF(Kalkulasi!$B$876="OB",SUMIFS(DATA_TS!$Q$2:$Q$20001,DATA_TS!$A$2:$A$20001,$A902,DATA_TS!$C$2:$C$20001,O$880,DATA_TS!$B$2:$B$20001,Kalkulasi!$B$877),SUMIFS(DATA_TS!$R$2:$R$20001,DATA_TS!$A$2:$A$20001,$A902,DATA_TS!$C$2:$C$20001,O$880,DATA_TS!$B$2:$B$20001,Kalkulasi!$B$877)))</f>
        <v/>
      </c>
      <c r="P902">
        <f>IF(OR($A902="",AI902=0),0,IF(Kalkulasi!$B$876="OB",SUMIFS(DATA_TS!$Q$2:$Q$20001,DATA_TS!$A$2:$A$20001,$A902,DATA_TS!$C$2:$C$20001,P$880,DATA_TS!$B$2:$B$20001,Kalkulasi!$B$877),SUMIFS(DATA_TS!$R$2:$R$20001,DATA_TS!$A$2:$A$20001,$A902,DATA_TS!$C$2:$C$20001,P$880,DATA_TS!$B$2:$B$20001,Kalkulasi!$B$877)))</f>
        <v/>
      </c>
      <c r="Q902">
        <f>IF(OR($A902="",AJ902=0),0,IF(Kalkulasi!$B$876="OB",SUMIFS(DATA_TS!$Q$2:$Q$20001,DATA_TS!$A$2:$A$20001,$A902,DATA_TS!$C$2:$C$20001,Q$880,DATA_TS!$B$2:$B$20001,Kalkulasi!$B$877),SUMIFS(DATA_TS!$R$2:$R$20001,DATA_TS!$A$2:$A$20001,$A902,DATA_TS!$C$2:$C$20001,Q$880,DATA_TS!$B$2:$B$20001,Kalkulasi!$B$877)))</f>
        <v/>
      </c>
      <c r="R902">
        <f>IF(OR($A902="",AK902=0),0,IF(Kalkulasi!$B$876="OB",SUMIFS(DATA_TS!$Q$2:$Q$20001,DATA_TS!$A$2:$A$20001,$A902,DATA_TS!$C$2:$C$20001,R$880,DATA_TS!$B$2:$B$20001,Kalkulasi!$B$877),SUMIFS(DATA_TS!$R$2:$R$20001,DATA_TS!$A$2:$A$20001,$A902,DATA_TS!$C$2:$C$20001,R$880,DATA_TS!$B$2:$B$20001,Kalkulasi!$B$877)))</f>
        <v/>
      </c>
      <c r="S902">
        <f>IF(OR($A902="",AL902=0),0,IF(Kalkulasi!$B$876="OB",SUMIFS(DATA_TS!$Q$2:$Q$20001,DATA_TS!$A$2:$A$20001,$A902,DATA_TS!$C$2:$C$20001,S$880,DATA_TS!$B$2:$B$20001,Kalkulasi!$B$877),SUMIFS(DATA_TS!$R$2:$R$20001,DATA_TS!$A$2:$A$20001,$A902,DATA_TS!$C$2:$C$20001,S$880,DATA_TS!$B$2:$B$20001,Kalkulasi!$B$877)))</f>
        <v/>
      </c>
      <c r="T902">
        <f>SUM(B902:S902)</f>
        <v/>
      </c>
      <c r="U902">
        <f>IF($A902="",0,IF(Kalkulasi!$B$876="OB",SUMIFS(DATA_TS!$M$2:$M$20001,DATA_TS!$A$2:$A$20001,$A902,DATA_TS!$C$2:$C$20001,B$880,DATA_TS!$B$2:$B$20001,Kalkulasi!$B$877),SUMIFS(DATA_TS!$N$2:$N$20001,DATA_TS!$A$2:$A$20001,$A902,DATA_TS!$C$2:$C$20001,B$880,DATA_TS!$B$2:$B$20001,Kalkulasi!$B$877)))</f>
        <v/>
      </c>
      <c r="V902">
        <f>IF($A902="",0,IF(Kalkulasi!$B$876="OB",SUMIFS(DATA_TS!$M$2:$M$20001,DATA_TS!$A$2:$A$20001,$A902,DATA_TS!$C$2:$C$20001,C$880,DATA_TS!$B$2:$B$20001,Kalkulasi!$B$877),SUMIFS(DATA_TS!$N$2:$N$20001,DATA_TS!$A$2:$A$20001,$A902,DATA_TS!$C$2:$C$20001,C$880,DATA_TS!$B$2:$B$20001,Kalkulasi!$B$877)))</f>
        <v/>
      </c>
      <c r="W902">
        <f>IF($A902="",0,IF(Kalkulasi!$B$876="OB",SUMIFS(DATA_TS!$M$2:$M$20001,DATA_TS!$A$2:$A$20001,$A902,DATA_TS!$C$2:$C$20001,D$880,DATA_TS!$B$2:$B$20001,Kalkulasi!$B$877),SUMIFS(DATA_TS!$N$2:$N$20001,DATA_TS!$A$2:$A$20001,$A902,DATA_TS!$C$2:$C$20001,D$880,DATA_TS!$B$2:$B$20001,Kalkulasi!$B$877)))</f>
        <v/>
      </c>
      <c r="X902">
        <f>IF($A902="",0,IF(Kalkulasi!$B$876="OB",SUMIFS(DATA_TS!$M$2:$M$20001,DATA_TS!$A$2:$A$20001,$A902,DATA_TS!$C$2:$C$20001,E$880,DATA_TS!$B$2:$B$20001,Kalkulasi!$B$877),SUMIFS(DATA_TS!$N$2:$N$20001,DATA_TS!$A$2:$A$20001,$A902,DATA_TS!$C$2:$C$20001,E$880,DATA_TS!$B$2:$B$20001,Kalkulasi!$B$877)))</f>
        <v/>
      </c>
      <c r="Y902">
        <f>IF($A902="",0,IF(Kalkulasi!$B$876="OB",SUMIFS(DATA_TS!$M$2:$M$20001,DATA_TS!$A$2:$A$20001,$A902,DATA_TS!$C$2:$C$20001,F$880,DATA_TS!$B$2:$B$20001,Kalkulasi!$B$877),SUMIFS(DATA_TS!$N$2:$N$20001,DATA_TS!$A$2:$A$20001,$A902,DATA_TS!$C$2:$C$20001,F$880,DATA_TS!$B$2:$B$20001,Kalkulasi!$B$877)))</f>
        <v/>
      </c>
      <c r="Z902">
        <f>IF($A902="",0,IF(Kalkulasi!$B$876="OB",SUMIFS(DATA_TS!$M$2:$M$20001,DATA_TS!$A$2:$A$20001,$A902,DATA_TS!$C$2:$C$20001,G$880,DATA_TS!$B$2:$B$20001,Kalkulasi!$B$877),SUMIFS(DATA_TS!$N$2:$N$20001,DATA_TS!$A$2:$A$20001,$A902,DATA_TS!$C$2:$C$20001,G$880,DATA_TS!$B$2:$B$20001,Kalkulasi!$B$877)))</f>
        <v/>
      </c>
      <c r="AA902">
        <f>IF($A902="",0,IF(Kalkulasi!$B$876="OB",SUMIFS(DATA_TS!$M$2:$M$20001,DATA_TS!$A$2:$A$20001,$A902,DATA_TS!$C$2:$C$20001,H$880,DATA_TS!$B$2:$B$20001,Kalkulasi!$B$877),SUMIFS(DATA_TS!$N$2:$N$20001,DATA_TS!$A$2:$A$20001,$A902,DATA_TS!$C$2:$C$20001,H$880,DATA_TS!$B$2:$B$20001,Kalkulasi!$B$877)))</f>
        <v/>
      </c>
      <c r="AB902">
        <f>IF($A902="",0,IF(Kalkulasi!$B$876="OB",SUMIFS(DATA_TS!$M$2:$M$20001,DATA_TS!$A$2:$A$20001,$A902,DATA_TS!$C$2:$C$20001,I$880,DATA_TS!$B$2:$B$20001,Kalkulasi!$B$877),SUMIFS(DATA_TS!$N$2:$N$20001,DATA_TS!$A$2:$A$20001,$A902,DATA_TS!$C$2:$C$20001,I$880,DATA_TS!$B$2:$B$20001,Kalkulasi!$B$877)))</f>
        <v/>
      </c>
      <c r="AC902">
        <f>IF($A902="",0,IF(Kalkulasi!$B$876="OB",SUMIFS(DATA_TS!$M$2:$M$20001,DATA_TS!$A$2:$A$20001,$A902,DATA_TS!$C$2:$C$20001,J$880,DATA_TS!$B$2:$B$20001,Kalkulasi!$B$877),SUMIFS(DATA_TS!$N$2:$N$20001,DATA_TS!$A$2:$A$20001,$A902,DATA_TS!$C$2:$C$20001,J$880,DATA_TS!$B$2:$B$20001,Kalkulasi!$B$877)))</f>
        <v/>
      </c>
      <c r="AD902">
        <f>IF($A902="",0,IF(Kalkulasi!$B$876="OB",SUMIFS(DATA_TS!$M$2:$M$20001,DATA_TS!$A$2:$A$20001,$A902,DATA_TS!$C$2:$C$20001,K$880,DATA_TS!$B$2:$B$20001,Kalkulasi!$B$877),SUMIFS(DATA_TS!$N$2:$N$20001,DATA_TS!$A$2:$A$20001,$A902,DATA_TS!$C$2:$C$20001,K$880,DATA_TS!$B$2:$B$20001,Kalkulasi!$B$877)))</f>
        <v/>
      </c>
      <c r="AE902">
        <f>IF($A902="",0,IF(Kalkulasi!$B$876="OB",SUMIFS(DATA_TS!$M$2:$M$20001,DATA_TS!$A$2:$A$20001,$A902,DATA_TS!$C$2:$C$20001,L$880,DATA_TS!$B$2:$B$20001,Kalkulasi!$B$877),SUMIFS(DATA_TS!$N$2:$N$20001,DATA_TS!$A$2:$A$20001,$A902,DATA_TS!$C$2:$C$20001,L$880,DATA_TS!$B$2:$B$20001,Kalkulasi!$B$877)))</f>
        <v/>
      </c>
      <c r="AF902">
        <f>IF($A902="",0,IF(Kalkulasi!$B$876="OB",SUMIFS(DATA_TS!$M$2:$M$20001,DATA_TS!$A$2:$A$20001,$A902,DATA_TS!$C$2:$C$20001,M$880,DATA_TS!$B$2:$B$20001,Kalkulasi!$B$877),SUMIFS(DATA_TS!$N$2:$N$20001,DATA_TS!$A$2:$A$20001,$A902,DATA_TS!$C$2:$C$20001,M$880,DATA_TS!$B$2:$B$20001,Kalkulasi!$B$877)))</f>
        <v/>
      </c>
      <c r="AG902">
        <f>IF($A902="",0,IF(Kalkulasi!$B$876="OB",SUMIFS(DATA_TS!$M$2:$M$20001,DATA_TS!$A$2:$A$20001,$A902,DATA_TS!$C$2:$C$20001,N$880,DATA_TS!$B$2:$B$20001,Kalkulasi!$B$877),SUMIFS(DATA_TS!$N$2:$N$20001,DATA_TS!$A$2:$A$20001,$A902,DATA_TS!$C$2:$C$20001,N$880,DATA_TS!$B$2:$B$20001,Kalkulasi!$B$877)))</f>
        <v/>
      </c>
      <c r="AH902">
        <f>IF($A902="",0,IF(Kalkulasi!$B$876="OB",SUMIFS(DATA_TS!$M$2:$M$20001,DATA_TS!$A$2:$A$20001,$A902,DATA_TS!$C$2:$C$20001,O$880,DATA_TS!$B$2:$B$20001,Kalkulasi!$B$877),SUMIFS(DATA_TS!$N$2:$N$20001,DATA_TS!$A$2:$A$20001,$A902,DATA_TS!$C$2:$C$20001,O$880,DATA_TS!$B$2:$B$20001,Kalkulasi!$B$877)))</f>
        <v/>
      </c>
      <c r="AI902">
        <f>IF($A902="",0,IF(Kalkulasi!$B$876="OB",SUMIFS(DATA_TS!$M$2:$M$20001,DATA_TS!$A$2:$A$20001,$A902,DATA_TS!$C$2:$C$20001,P$880,DATA_TS!$B$2:$B$20001,Kalkulasi!$B$877),SUMIFS(DATA_TS!$N$2:$N$20001,DATA_TS!$A$2:$A$20001,$A902,DATA_TS!$C$2:$C$20001,P$880,DATA_TS!$B$2:$B$20001,Kalkulasi!$B$877)))</f>
        <v/>
      </c>
      <c r="AJ902">
        <f>IF($A902="",0,IF(Kalkulasi!$B$876="OB",SUMIFS(DATA_TS!$M$2:$M$20001,DATA_TS!$A$2:$A$20001,$A902,DATA_TS!$C$2:$C$20001,Q$880,DATA_TS!$B$2:$B$20001,Kalkulasi!$B$877),SUMIFS(DATA_TS!$N$2:$N$20001,DATA_TS!$A$2:$A$20001,$A902,DATA_TS!$C$2:$C$20001,Q$880,DATA_TS!$B$2:$B$20001,Kalkulasi!$B$877)))</f>
        <v/>
      </c>
      <c r="AK902">
        <f>IF($A902="",0,IF(Kalkulasi!$B$876="OB",SUMIFS(DATA_TS!$M$2:$M$20001,DATA_TS!$A$2:$A$20001,$A902,DATA_TS!$C$2:$C$20001,R$880,DATA_TS!$B$2:$B$20001,Kalkulasi!$B$877),SUMIFS(DATA_TS!$N$2:$N$20001,DATA_TS!$A$2:$A$20001,$A902,DATA_TS!$C$2:$C$20001,R$880,DATA_TS!$B$2:$B$20001,Kalkulasi!$B$877)))</f>
        <v/>
      </c>
      <c r="AL902">
        <f>IF($A902="",0,IF(Kalkulasi!$B$876="OB",SUMIFS(DATA_TS!$M$2:$M$20001,DATA_TS!$A$2:$A$20001,$A902,DATA_TS!$C$2:$C$20001,S$880,DATA_TS!$B$2:$B$20001,Kalkulasi!$B$877),SUMIFS(DATA_TS!$N$2:$N$20001,DATA_TS!$A$2:$A$20001,$A902,DATA_TS!$C$2:$C$20001,S$880,DATA_TS!$B$2:$B$20001,Kalkulasi!$B$877)))</f>
        <v/>
      </c>
      <c r="AM902">
        <f>SUM(U902:AL902)</f>
        <v/>
      </c>
      <c r="AN902">
        <f>IF(OR(U902=0,B902=0),"",B902/U902)</f>
        <v/>
      </c>
      <c r="AO902">
        <f>IF(OR(V902=0,C902=0),"",C902/V902)</f>
        <v/>
      </c>
      <c r="AP902">
        <f>IF(OR(W902=0,D902=0),"",D902/W902)</f>
        <v/>
      </c>
      <c r="AQ902">
        <f>IF(OR(X902=0,E902=0),"",E902/X902)</f>
        <v/>
      </c>
      <c r="AR902">
        <f>IF(OR(Y902=0,F902=0),"",F902/Y902)</f>
        <v/>
      </c>
      <c r="AS902">
        <f>IF(OR(Z902=0,G902=0),"",G902/Z902)</f>
        <v/>
      </c>
      <c r="AT902">
        <f>IF(OR(AA902=0,H902=0),"",H902/AA902)</f>
        <v/>
      </c>
      <c r="AU902">
        <f>IF(OR(AB902=0,I902=0),"",I902/AB902)</f>
        <v/>
      </c>
      <c r="AV902">
        <f>IF(OR(AC902=0,J902=0),"",J902/AC902)</f>
        <v/>
      </c>
      <c r="AW902">
        <f>IF(OR(AD902=0,K902=0),"",K902/AD902)</f>
        <v/>
      </c>
      <c r="AX902">
        <f>IF(OR(AE902=0,L902=0),"",L902/AE902)</f>
        <v/>
      </c>
      <c r="AY902">
        <f>IF(OR(AF902=0,M902=0),"",M902/AF902)</f>
        <v/>
      </c>
      <c r="AZ902">
        <f>IF(OR(AG902=0,N902=0),"",N902/AG902)</f>
        <v/>
      </c>
      <c r="BA902">
        <f>IF(OR(AH902=0,O902=0),"",O902/AH902)</f>
        <v/>
      </c>
      <c r="BB902">
        <f>IF(OR(AI902=0,P902=0),"",P902/AI902)</f>
        <v/>
      </c>
      <c r="BC902">
        <f>IF(OR(AJ902=0,Q902=0),"",Q902/AJ902)</f>
        <v/>
      </c>
      <c r="BD902">
        <f>IF(OR(AK902=0,R902=0),"",R902/AK902)</f>
        <v/>
      </c>
      <c r="BE902">
        <f>IF(OR(AL902=0,S902=0),"",S902/AL902)</f>
        <v/>
      </c>
      <c r="BF902">
        <f>IF(AM902=0,NA(),T902/AM902)</f>
        <v/>
      </c>
      <c r="BG902" t="n">
        <v>22</v>
      </c>
      <c r="BH902">
        <f>IF(AM902=0,"",T902/AM902)</f>
        <v/>
      </c>
      <c r="BI902">
        <f>IF($A902="","",TEXT($A902,"d"))</f>
        <v/>
      </c>
    </row>
    <row r="903">
      <c r="A903" s="199">
        <f>IF(Kalkulasi!$B$873+22&gt;Kalkulasi!$B$874,"",Kalkulasi!$B$873+22)</f>
        <v/>
      </c>
      <c r="B903">
        <f>IF(OR($A903="",U903=0),0,IF(Kalkulasi!$B$876="OB",SUMIFS(DATA_TS!$Q$2:$Q$20001,DATA_TS!$A$2:$A$20001,$A903,DATA_TS!$C$2:$C$20001,B$880,DATA_TS!$B$2:$B$20001,Kalkulasi!$B$877),SUMIFS(DATA_TS!$R$2:$R$20001,DATA_TS!$A$2:$A$20001,$A903,DATA_TS!$C$2:$C$20001,B$880,DATA_TS!$B$2:$B$20001,Kalkulasi!$B$877)))</f>
        <v/>
      </c>
      <c r="C903">
        <f>IF(OR($A903="",V903=0),0,IF(Kalkulasi!$B$876="OB",SUMIFS(DATA_TS!$Q$2:$Q$20001,DATA_TS!$A$2:$A$20001,$A903,DATA_TS!$C$2:$C$20001,C$880,DATA_TS!$B$2:$B$20001,Kalkulasi!$B$877),SUMIFS(DATA_TS!$R$2:$R$20001,DATA_TS!$A$2:$A$20001,$A903,DATA_TS!$C$2:$C$20001,C$880,DATA_TS!$B$2:$B$20001,Kalkulasi!$B$877)))</f>
        <v/>
      </c>
      <c r="D903">
        <f>IF(OR($A903="",W903=0),0,IF(Kalkulasi!$B$876="OB",SUMIFS(DATA_TS!$Q$2:$Q$20001,DATA_TS!$A$2:$A$20001,$A903,DATA_TS!$C$2:$C$20001,D$880,DATA_TS!$B$2:$B$20001,Kalkulasi!$B$877),SUMIFS(DATA_TS!$R$2:$R$20001,DATA_TS!$A$2:$A$20001,$A903,DATA_TS!$C$2:$C$20001,D$880,DATA_TS!$B$2:$B$20001,Kalkulasi!$B$877)))</f>
        <v/>
      </c>
      <c r="E903">
        <f>IF(OR($A903="",X903=0),0,IF(Kalkulasi!$B$876="OB",SUMIFS(DATA_TS!$Q$2:$Q$20001,DATA_TS!$A$2:$A$20001,$A903,DATA_TS!$C$2:$C$20001,E$880,DATA_TS!$B$2:$B$20001,Kalkulasi!$B$877),SUMIFS(DATA_TS!$R$2:$R$20001,DATA_TS!$A$2:$A$20001,$A903,DATA_TS!$C$2:$C$20001,E$880,DATA_TS!$B$2:$B$20001,Kalkulasi!$B$877)))</f>
        <v/>
      </c>
      <c r="F903">
        <f>IF(OR($A903="",Y903=0),0,IF(Kalkulasi!$B$876="OB",SUMIFS(DATA_TS!$Q$2:$Q$20001,DATA_TS!$A$2:$A$20001,$A903,DATA_TS!$C$2:$C$20001,F$880,DATA_TS!$B$2:$B$20001,Kalkulasi!$B$877),SUMIFS(DATA_TS!$R$2:$R$20001,DATA_TS!$A$2:$A$20001,$A903,DATA_TS!$C$2:$C$20001,F$880,DATA_TS!$B$2:$B$20001,Kalkulasi!$B$877)))</f>
        <v/>
      </c>
      <c r="G903">
        <f>IF(OR($A903="",Z903=0),0,IF(Kalkulasi!$B$876="OB",SUMIFS(DATA_TS!$Q$2:$Q$20001,DATA_TS!$A$2:$A$20001,$A903,DATA_TS!$C$2:$C$20001,G$880,DATA_TS!$B$2:$B$20001,Kalkulasi!$B$877),SUMIFS(DATA_TS!$R$2:$R$20001,DATA_TS!$A$2:$A$20001,$A903,DATA_TS!$C$2:$C$20001,G$880,DATA_TS!$B$2:$B$20001,Kalkulasi!$B$877)))</f>
        <v/>
      </c>
      <c r="H903">
        <f>IF(OR($A903="",AA903=0),0,IF(Kalkulasi!$B$876="OB",SUMIFS(DATA_TS!$Q$2:$Q$20001,DATA_TS!$A$2:$A$20001,$A903,DATA_TS!$C$2:$C$20001,H$880,DATA_TS!$B$2:$B$20001,Kalkulasi!$B$877),SUMIFS(DATA_TS!$R$2:$R$20001,DATA_TS!$A$2:$A$20001,$A903,DATA_TS!$C$2:$C$20001,H$880,DATA_TS!$B$2:$B$20001,Kalkulasi!$B$877)))</f>
        <v/>
      </c>
      <c r="I903">
        <f>IF(OR($A903="",AB903=0),0,IF(Kalkulasi!$B$876="OB",SUMIFS(DATA_TS!$Q$2:$Q$20001,DATA_TS!$A$2:$A$20001,$A903,DATA_TS!$C$2:$C$20001,I$880,DATA_TS!$B$2:$B$20001,Kalkulasi!$B$877),SUMIFS(DATA_TS!$R$2:$R$20001,DATA_TS!$A$2:$A$20001,$A903,DATA_TS!$C$2:$C$20001,I$880,DATA_TS!$B$2:$B$20001,Kalkulasi!$B$877)))</f>
        <v/>
      </c>
      <c r="J903">
        <f>IF(OR($A903="",AC903=0),0,IF(Kalkulasi!$B$876="OB",SUMIFS(DATA_TS!$Q$2:$Q$20001,DATA_TS!$A$2:$A$20001,$A903,DATA_TS!$C$2:$C$20001,J$880,DATA_TS!$B$2:$B$20001,Kalkulasi!$B$877),SUMIFS(DATA_TS!$R$2:$R$20001,DATA_TS!$A$2:$A$20001,$A903,DATA_TS!$C$2:$C$20001,J$880,DATA_TS!$B$2:$B$20001,Kalkulasi!$B$877)))</f>
        <v/>
      </c>
      <c r="K903">
        <f>IF(OR($A903="",AD903=0),0,IF(Kalkulasi!$B$876="OB",SUMIFS(DATA_TS!$Q$2:$Q$20001,DATA_TS!$A$2:$A$20001,$A903,DATA_TS!$C$2:$C$20001,K$880,DATA_TS!$B$2:$B$20001,Kalkulasi!$B$877),SUMIFS(DATA_TS!$R$2:$R$20001,DATA_TS!$A$2:$A$20001,$A903,DATA_TS!$C$2:$C$20001,K$880,DATA_TS!$B$2:$B$20001,Kalkulasi!$B$877)))</f>
        <v/>
      </c>
      <c r="L903">
        <f>IF(OR($A903="",AE903=0),0,IF(Kalkulasi!$B$876="OB",SUMIFS(DATA_TS!$Q$2:$Q$20001,DATA_TS!$A$2:$A$20001,$A903,DATA_TS!$C$2:$C$20001,L$880,DATA_TS!$B$2:$B$20001,Kalkulasi!$B$877),SUMIFS(DATA_TS!$R$2:$R$20001,DATA_TS!$A$2:$A$20001,$A903,DATA_TS!$C$2:$C$20001,L$880,DATA_TS!$B$2:$B$20001,Kalkulasi!$B$877)))</f>
        <v/>
      </c>
      <c r="M903">
        <f>IF(OR($A903="",AF903=0),0,IF(Kalkulasi!$B$876="OB",SUMIFS(DATA_TS!$Q$2:$Q$20001,DATA_TS!$A$2:$A$20001,$A903,DATA_TS!$C$2:$C$20001,M$880,DATA_TS!$B$2:$B$20001,Kalkulasi!$B$877),SUMIFS(DATA_TS!$R$2:$R$20001,DATA_TS!$A$2:$A$20001,$A903,DATA_TS!$C$2:$C$20001,M$880,DATA_TS!$B$2:$B$20001,Kalkulasi!$B$877)))</f>
        <v/>
      </c>
      <c r="N903">
        <f>IF(OR($A903="",AG903=0),0,IF(Kalkulasi!$B$876="OB",SUMIFS(DATA_TS!$Q$2:$Q$20001,DATA_TS!$A$2:$A$20001,$A903,DATA_TS!$C$2:$C$20001,N$880,DATA_TS!$B$2:$B$20001,Kalkulasi!$B$877),SUMIFS(DATA_TS!$R$2:$R$20001,DATA_TS!$A$2:$A$20001,$A903,DATA_TS!$C$2:$C$20001,N$880,DATA_TS!$B$2:$B$20001,Kalkulasi!$B$877)))</f>
        <v/>
      </c>
      <c r="O903">
        <f>IF(OR($A903="",AH903=0),0,IF(Kalkulasi!$B$876="OB",SUMIFS(DATA_TS!$Q$2:$Q$20001,DATA_TS!$A$2:$A$20001,$A903,DATA_TS!$C$2:$C$20001,O$880,DATA_TS!$B$2:$B$20001,Kalkulasi!$B$877),SUMIFS(DATA_TS!$R$2:$R$20001,DATA_TS!$A$2:$A$20001,$A903,DATA_TS!$C$2:$C$20001,O$880,DATA_TS!$B$2:$B$20001,Kalkulasi!$B$877)))</f>
        <v/>
      </c>
      <c r="P903">
        <f>IF(OR($A903="",AI903=0),0,IF(Kalkulasi!$B$876="OB",SUMIFS(DATA_TS!$Q$2:$Q$20001,DATA_TS!$A$2:$A$20001,$A903,DATA_TS!$C$2:$C$20001,P$880,DATA_TS!$B$2:$B$20001,Kalkulasi!$B$877),SUMIFS(DATA_TS!$R$2:$R$20001,DATA_TS!$A$2:$A$20001,$A903,DATA_TS!$C$2:$C$20001,P$880,DATA_TS!$B$2:$B$20001,Kalkulasi!$B$877)))</f>
        <v/>
      </c>
      <c r="Q903">
        <f>IF(OR($A903="",AJ903=0),0,IF(Kalkulasi!$B$876="OB",SUMIFS(DATA_TS!$Q$2:$Q$20001,DATA_TS!$A$2:$A$20001,$A903,DATA_TS!$C$2:$C$20001,Q$880,DATA_TS!$B$2:$B$20001,Kalkulasi!$B$877),SUMIFS(DATA_TS!$R$2:$R$20001,DATA_TS!$A$2:$A$20001,$A903,DATA_TS!$C$2:$C$20001,Q$880,DATA_TS!$B$2:$B$20001,Kalkulasi!$B$877)))</f>
        <v/>
      </c>
      <c r="R903">
        <f>IF(OR($A903="",AK903=0),0,IF(Kalkulasi!$B$876="OB",SUMIFS(DATA_TS!$Q$2:$Q$20001,DATA_TS!$A$2:$A$20001,$A903,DATA_TS!$C$2:$C$20001,R$880,DATA_TS!$B$2:$B$20001,Kalkulasi!$B$877),SUMIFS(DATA_TS!$R$2:$R$20001,DATA_TS!$A$2:$A$20001,$A903,DATA_TS!$C$2:$C$20001,R$880,DATA_TS!$B$2:$B$20001,Kalkulasi!$B$877)))</f>
        <v/>
      </c>
      <c r="S903">
        <f>IF(OR($A903="",AL903=0),0,IF(Kalkulasi!$B$876="OB",SUMIFS(DATA_TS!$Q$2:$Q$20001,DATA_TS!$A$2:$A$20001,$A903,DATA_TS!$C$2:$C$20001,S$880,DATA_TS!$B$2:$B$20001,Kalkulasi!$B$877),SUMIFS(DATA_TS!$R$2:$R$20001,DATA_TS!$A$2:$A$20001,$A903,DATA_TS!$C$2:$C$20001,S$880,DATA_TS!$B$2:$B$20001,Kalkulasi!$B$877)))</f>
        <v/>
      </c>
      <c r="T903">
        <f>SUM(B903:S903)</f>
        <v/>
      </c>
      <c r="U903">
        <f>IF($A903="",0,IF(Kalkulasi!$B$876="OB",SUMIFS(DATA_TS!$M$2:$M$20001,DATA_TS!$A$2:$A$20001,$A903,DATA_TS!$C$2:$C$20001,B$880,DATA_TS!$B$2:$B$20001,Kalkulasi!$B$877),SUMIFS(DATA_TS!$N$2:$N$20001,DATA_TS!$A$2:$A$20001,$A903,DATA_TS!$C$2:$C$20001,B$880,DATA_TS!$B$2:$B$20001,Kalkulasi!$B$877)))</f>
        <v/>
      </c>
      <c r="V903">
        <f>IF($A903="",0,IF(Kalkulasi!$B$876="OB",SUMIFS(DATA_TS!$M$2:$M$20001,DATA_TS!$A$2:$A$20001,$A903,DATA_TS!$C$2:$C$20001,C$880,DATA_TS!$B$2:$B$20001,Kalkulasi!$B$877),SUMIFS(DATA_TS!$N$2:$N$20001,DATA_TS!$A$2:$A$20001,$A903,DATA_TS!$C$2:$C$20001,C$880,DATA_TS!$B$2:$B$20001,Kalkulasi!$B$877)))</f>
        <v/>
      </c>
      <c r="W903">
        <f>IF($A903="",0,IF(Kalkulasi!$B$876="OB",SUMIFS(DATA_TS!$M$2:$M$20001,DATA_TS!$A$2:$A$20001,$A903,DATA_TS!$C$2:$C$20001,D$880,DATA_TS!$B$2:$B$20001,Kalkulasi!$B$877),SUMIFS(DATA_TS!$N$2:$N$20001,DATA_TS!$A$2:$A$20001,$A903,DATA_TS!$C$2:$C$20001,D$880,DATA_TS!$B$2:$B$20001,Kalkulasi!$B$877)))</f>
        <v/>
      </c>
      <c r="X903">
        <f>IF($A903="",0,IF(Kalkulasi!$B$876="OB",SUMIFS(DATA_TS!$M$2:$M$20001,DATA_TS!$A$2:$A$20001,$A903,DATA_TS!$C$2:$C$20001,E$880,DATA_TS!$B$2:$B$20001,Kalkulasi!$B$877),SUMIFS(DATA_TS!$N$2:$N$20001,DATA_TS!$A$2:$A$20001,$A903,DATA_TS!$C$2:$C$20001,E$880,DATA_TS!$B$2:$B$20001,Kalkulasi!$B$877)))</f>
        <v/>
      </c>
      <c r="Y903">
        <f>IF($A903="",0,IF(Kalkulasi!$B$876="OB",SUMIFS(DATA_TS!$M$2:$M$20001,DATA_TS!$A$2:$A$20001,$A903,DATA_TS!$C$2:$C$20001,F$880,DATA_TS!$B$2:$B$20001,Kalkulasi!$B$877),SUMIFS(DATA_TS!$N$2:$N$20001,DATA_TS!$A$2:$A$20001,$A903,DATA_TS!$C$2:$C$20001,F$880,DATA_TS!$B$2:$B$20001,Kalkulasi!$B$877)))</f>
        <v/>
      </c>
      <c r="Z903">
        <f>IF($A903="",0,IF(Kalkulasi!$B$876="OB",SUMIFS(DATA_TS!$M$2:$M$20001,DATA_TS!$A$2:$A$20001,$A903,DATA_TS!$C$2:$C$20001,G$880,DATA_TS!$B$2:$B$20001,Kalkulasi!$B$877),SUMIFS(DATA_TS!$N$2:$N$20001,DATA_TS!$A$2:$A$20001,$A903,DATA_TS!$C$2:$C$20001,G$880,DATA_TS!$B$2:$B$20001,Kalkulasi!$B$877)))</f>
        <v/>
      </c>
      <c r="AA903">
        <f>IF($A903="",0,IF(Kalkulasi!$B$876="OB",SUMIFS(DATA_TS!$M$2:$M$20001,DATA_TS!$A$2:$A$20001,$A903,DATA_TS!$C$2:$C$20001,H$880,DATA_TS!$B$2:$B$20001,Kalkulasi!$B$877),SUMIFS(DATA_TS!$N$2:$N$20001,DATA_TS!$A$2:$A$20001,$A903,DATA_TS!$C$2:$C$20001,H$880,DATA_TS!$B$2:$B$20001,Kalkulasi!$B$877)))</f>
        <v/>
      </c>
      <c r="AB903">
        <f>IF($A903="",0,IF(Kalkulasi!$B$876="OB",SUMIFS(DATA_TS!$M$2:$M$20001,DATA_TS!$A$2:$A$20001,$A903,DATA_TS!$C$2:$C$20001,I$880,DATA_TS!$B$2:$B$20001,Kalkulasi!$B$877),SUMIFS(DATA_TS!$N$2:$N$20001,DATA_TS!$A$2:$A$20001,$A903,DATA_TS!$C$2:$C$20001,I$880,DATA_TS!$B$2:$B$20001,Kalkulasi!$B$877)))</f>
        <v/>
      </c>
      <c r="AC903">
        <f>IF($A903="",0,IF(Kalkulasi!$B$876="OB",SUMIFS(DATA_TS!$M$2:$M$20001,DATA_TS!$A$2:$A$20001,$A903,DATA_TS!$C$2:$C$20001,J$880,DATA_TS!$B$2:$B$20001,Kalkulasi!$B$877),SUMIFS(DATA_TS!$N$2:$N$20001,DATA_TS!$A$2:$A$20001,$A903,DATA_TS!$C$2:$C$20001,J$880,DATA_TS!$B$2:$B$20001,Kalkulasi!$B$877)))</f>
        <v/>
      </c>
      <c r="AD903">
        <f>IF($A903="",0,IF(Kalkulasi!$B$876="OB",SUMIFS(DATA_TS!$M$2:$M$20001,DATA_TS!$A$2:$A$20001,$A903,DATA_TS!$C$2:$C$20001,K$880,DATA_TS!$B$2:$B$20001,Kalkulasi!$B$877),SUMIFS(DATA_TS!$N$2:$N$20001,DATA_TS!$A$2:$A$20001,$A903,DATA_TS!$C$2:$C$20001,K$880,DATA_TS!$B$2:$B$20001,Kalkulasi!$B$877)))</f>
        <v/>
      </c>
      <c r="AE903">
        <f>IF($A903="",0,IF(Kalkulasi!$B$876="OB",SUMIFS(DATA_TS!$M$2:$M$20001,DATA_TS!$A$2:$A$20001,$A903,DATA_TS!$C$2:$C$20001,L$880,DATA_TS!$B$2:$B$20001,Kalkulasi!$B$877),SUMIFS(DATA_TS!$N$2:$N$20001,DATA_TS!$A$2:$A$20001,$A903,DATA_TS!$C$2:$C$20001,L$880,DATA_TS!$B$2:$B$20001,Kalkulasi!$B$877)))</f>
        <v/>
      </c>
      <c r="AF903">
        <f>IF($A903="",0,IF(Kalkulasi!$B$876="OB",SUMIFS(DATA_TS!$M$2:$M$20001,DATA_TS!$A$2:$A$20001,$A903,DATA_TS!$C$2:$C$20001,M$880,DATA_TS!$B$2:$B$20001,Kalkulasi!$B$877),SUMIFS(DATA_TS!$N$2:$N$20001,DATA_TS!$A$2:$A$20001,$A903,DATA_TS!$C$2:$C$20001,M$880,DATA_TS!$B$2:$B$20001,Kalkulasi!$B$877)))</f>
        <v/>
      </c>
      <c r="AG903">
        <f>IF($A903="",0,IF(Kalkulasi!$B$876="OB",SUMIFS(DATA_TS!$M$2:$M$20001,DATA_TS!$A$2:$A$20001,$A903,DATA_TS!$C$2:$C$20001,N$880,DATA_TS!$B$2:$B$20001,Kalkulasi!$B$877),SUMIFS(DATA_TS!$N$2:$N$20001,DATA_TS!$A$2:$A$20001,$A903,DATA_TS!$C$2:$C$20001,N$880,DATA_TS!$B$2:$B$20001,Kalkulasi!$B$877)))</f>
        <v/>
      </c>
      <c r="AH903">
        <f>IF($A903="",0,IF(Kalkulasi!$B$876="OB",SUMIFS(DATA_TS!$M$2:$M$20001,DATA_TS!$A$2:$A$20001,$A903,DATA_TS!$C$2:$C$20001,O$880,DATA_TS!$B$2:$B$20001,Kalkulasi!$B$877),SUMIFS(DATA_TS!$N$2:$N$20001,DATA_TS!$A$2:$A$20001,$A903,DATA_TS!$C$2:$C$20001,O$880,DATA_TS!$B$2:$B$20001,Kalkulasi!$B$877)))</f>
        <v/>
      </c>
      <c r="AI903">
        <f>IF($A903="",0,IF(Kalkulasi!$B$876="OB",SUMIFS(DATA_TS!$M$2:$M$20001,DATA_TS!$A$2:$A$20001,$A903,DATA_TS!$C$2:$C$20001,P$880,DATA_TS!$B$2:$B$20001,Kalkulasi!$B$877),SUMIFS(DATA_TS!$N$2:$N$20001,DATA_TS!$A$2:$A$20001,$A903,DATA_TS!$C$2:$C$20001,P$880,DATA_TS!$B$2:$B$20001,Kalkulasi!$B$877)))</f>
        <v/>
      </c>
      <c r="AJ903">
        <f>IF($A903="",0,IF(Kalkulasi!$B$876="OB",SUMIFS(DATA_TS!$M$2:$M$20001,DATA_TS!$A$2:$A$20001,$A903,DATA_TS!$C$2:$C$20001,Q$880,DATA_TS!$B$2:$B$20001,Kalkulasi!$B$877),SUMIFS(DATA_TS!$N$2:$N$20001,DATA_TS!$A$2:$A$20001,$A903,DATA_TS!$C$2:$C$20001,Q$880,DATA_TS!$B$2:$B$20001,Kalkulasi!$B$877)))</f>
        <v/>
      </c>
      <c r="AK903">
        <f>IF($A903="",0,IF(Kalkulasi!$B$876="OB",SUMIFS(DATA_TS!$M$2:$M$20001,DATA_TS!$A$2:$A$20001,$A903,DATA_TS!$C$2:$C$20001,R$880,DATA_TS!$B$2:$B$20001,Kalkulasi!$B$877),SUMIFS(DATA_TS!$N$2:$N$20001,DATA_TS!$A$2:$A$20001,$A903,DATA_TS!$C$2:$C$20001,R$880,DATA_TS!$B$2:$B$20001,Kalkulasi!$B$877)))</f>
        <v/>
      </c>
      <c r="AL903">
        <f>IF($A903="",0,IF(Kalkulasi!$B$876="OB",SUMIFS(DATA_TS!$M$2:$M$20001,DATA_TS!$A$2:$A$20001,$A903,DATA_TS!$C$2:$C$20001,S$880,DATA_TS!$B$2:$B$20001,Kalkulasi!$B$877),SUMIFS(DATA_TS!$N$2:$N$20001,DATA_TS!$A$2:$A$20001,$A903,DATA_TS!$C$2:$C$20001,S$880,DATA_TS!$B$2:$B$20001,Kalkulasi!$B$877)))</f>
        <v/>
      </c>
      <c r="AM903">
        <f>SUM(U903:AL903)</f>
        <v/>
      </c>
      <c r="AN903">
        <f>IF(OR(U903=0,B903=0),"",B903/U903)</f>
        <v/>
      </c>
      <c r="AO903">
        <f>IF(OR(V903=0,C903=0),"",C903/V903)</f>
        <v/>
      </c>
      <c r="AP903">
        <f>IF(OR(W903=0,D903=0),"",D903/W903)</f>
        <v/>
      </c>
      <c r="AQ903">
        <f>IF(OR(X903=0,E903=0),"",E903/X903)</f>
        <v/>
      </c>
      <c r="AR903">
        <f>IF(OR(Y903=0,F903=0),"",F903/Y903)</f>
        <v/>
      </c>
      <c r="AS903">
        <f>IF(OR(Z903=0,G903=0),"",G903/Z903)</f>
        <v/>
      </c>
      <c r="AT903">
        <f>IF(OR(AA903=0,H903=0),"",H903/AA903)</f>
        <v/>
      </c>
      <c r="AU903">
        <f>IF(OR(AB903=0,I903=0),"",I903/AB903)</f>
        <v/>
      </c>
      <c r="AV903">
        <f>IF(OR(AC903=0,J903=0),"",J903/AC903)</f>
        <v/>
      </c>
      <c r="AW903">
        <f>IF(OR(AD903=0,K903=0),"",K903/AD903)</f>
        <v/>
      </c>
      <c r="AX903">
        <f>IF(OR(AE903=0,L903=0),"",L903/AE903)</f>
        <v/>
      </c>
      <c r="AY903">
        <f>IF(OR(AF903=0,M903=0),"",M903/AF903)</f>
        <v/>
      </c>
      <c r="AZ903">
        <f>IF(OR(AG903=0,N903=0),"",N903/AG903)</f>
        <v/>
      </c>
      <c r="BA903">
        <f>IF(OR(AH903=0,O903=0),"",O903/AH903)</f>
        <v/>
      </c>
      <c r="BB903">
        <f>IF(OR(AI903=0,P903=0),"",P903/AI903)</f>
        <v/>
      </c>
      <c r="BC903">
        <f>IF(OR(AJ903=0,Q903=0),"",Q903/AJ903)</f>
        <v/>
      </c>
      <c r="BD903">
        <f>IF(OR(AK903=0,R903=0),"",R903/AK903)</f>
        <v/>
      </c>
      <c r="BE903">
        <f>IF(OR(AL903=0,S903=0),"",S903/AL903)</f>
        <v/>
      </c>
      <c r="BF903">
        <f>IF(AM903=0,NA(),T903/AM903)</f>
        <v/>
      </c>
      <c r="BG903" t="n">
        <v>23</v>
      </c>
      <c r="BH903">
        <f>IF(AM903=0,"",T903/AM903)</f>
        <v/>
      </c>
      <c r="BI903">
        <f>IF($A903="","",TEXT($A903,"d"))</f>
        <v/>
      </c>
    </row>
    <row r="904">
      <c r="A904" s="199">
        <f>IF(Kalkulasi!$B$873+23&gt;Kalkulasi!$B$874,"",Kalkulasi!$B$873+23)</f>
        <v/>
      </c>
      <c r="B904">
        <f>IF(OR($A904="",U904=0),0,IF(Kalkulasi!$B$876="OB",SUMIFS(DATA_TS!$Q$2:$Q$20001,DATA_TS!$A$2:$A$20001,$A904,DATA_TS!$C$2:$C$20001,B$880,DATA_TS!$B$2:$B$20001,Kalkulasi!$B$877),SUMIFS(DATA_TS!$R$2:$R$20001,DATA_TS!$A$2:$A$20001,$A904,DATA_TS!$C$2:$C$20001,B$880,DATA_TS!$B$2:$B$20001,Kalkulasi!$B$877)))</f>
        <v/>
      </c>
      <c r="C904">
        <f>IF(OR($A904="",V904=0),0,IF(Kalkulasi!$B$876="OB",SUMIFS(DATA_TS!$Q$2:$Q$20001,DATA_TS!$A$2:$A$20001,$A904,DATA_TS!$C$2:$C$20001,C$880,DATA_TS!$B$2:$B$20001,Kalkulasi!$B$877),SUMIFS(DATA_TS!$R$2:$R$20001,DATA_TS!$A$2:$A$20001,$A904,DATA_TS!$C$2:$C$20001,C$880,DATA_TS!$B$2:$B$20001,Kalkulasi!$B$877)))</f>
        <v/>
      </c>
      <c r="D904">
        <f>IF(OR($A904="",W904=0),0,IF(Kalkulasi!$B$876="OB",SUMIFS(DATA_TS!$Q$2:$Q$20001,DATA_TS!$A$2:$A$20001,$A904,DATA_TS!$C$2:$C$20001,D$880,DATA_TS!$B$2:$B$20001,Kalkulasi!$B$877),SUMIFS(DATA_TS!$R$2:$R$20001,DATA_TS!$A$2:$A$20001,$A904,DATA_TS!$C$2:$C$20001,D$880,DATA_TS!$B$2:$B$20001,Kalkulasi!$B$877)))</f>
        <v/>
      </c>
      <c r="E904">
        <f>IF(OR($A904="",X904=0),0,IF(Kalkulasi!$B$876="OB",SUMIFS(DATA_TS!$Q$2:$Q$20001,DATA_TS!$A$2:$A$20001,$A904,DATA_TS!$C$2:$C$20001,E$880,DATA_TS!$B$2:$B$20001,Kalkulasi!$B$877),SUMIFS(DATA_TS!$R$2:$R$20001,DATA_TS!$A$2:$A$20001,$A904,DATA_TS!$C$2:$C$20001,E$880,DATA_TS!$B$2:$B$20001,Kalkulasi!$B$877)))</f>
        <v/>
      </c>
      <c r="F904">
        <f>IF(OR($A904="",Y904=0),0,IF(Kalkulasi!$B$876="OB",SUMIFS(DATA_TS!$Q$2:$Q$20001,DATA_TS!$A$2:$A$20001,$A904,DATA_TS!$C$2:$C$20001,F$880,DATA_TS!$B$2:$B$20001,Kalkulasi!$B$877),SUMIFS(DATA_TS!$R$2:$R$20001,DATA_TS!$A$2:$A$20001,$A904,DATA_TS!$C$2:$C$20001,F$880,DATA_TS!$B$2:$B$20001,Kalkulasi!$B$877)))</f>
        <v/>
      </c>
      <c r="G904">
        <f>IF(OR($A904="",Z904=0),0,IF(Kalkulasi!$B$876="OB",SUMIFS(DATA_TS!$Q$2:$Q$20001,DATA_TS!$A$2:$A$20001,$A904,DATA_TS!$C$2:$C$20001,G$880,DATA_TS!$B$2:$B$20001,Kalkulasi!$B$877),SUMIFS(DATA_TS!$R$2:$R$20001,DATA_TS!$A$2:$A$20001,$A904,DATA_TS!$C$2:$C$20001,G$880,DATA_TS!$B$2:$B$20001,Kalkulasi!$B$877)))</f>
        <v/>
      </c>
      <c r="H904">
        <f>IF(OR($A904="",AA904=0),0,IF(Kalkulasi!$B$876="OB",SUMIFS(DATA_TS!$Q$2:$Q$20001,DATA_TS!$A$2:$A$20001,$A904,DATA_TS!$C$2:$C$20001,H$880,DATA_TS!$B$2:$B$20001,Kalkulasi!$B$877),SUMIFS(DATA_TS!$R$2:$R$20001,DATA_TS!$A$2:$A$20001,$A904,DATA_TS!$C$2:$C$20001,H$880,DATA_TS!$B$2:$B$20001,Kalkulasi!$B$877)))</f>
        <v/>
      </c>
      <c r="I904">
        <f>IF(OR($A904="",AB904=0),0,IF(Kalkulasi!$B$876="OB",SUMIFS(DATA_TS!$Q$2:$Q$20001,DATA_TS!$A$2:$A$20001,$A904,DATA_TS!$C$2:$C$20001,I$880,DATA_TS!$B$2:$B$20001,Kalkulasi!$B$877),SUMIFS(DATA_TS!$R$2:$R$20001,DATA_TS!$A$2:$A$20001,$A904,DATA_TS!$C$2:$C$20001,I$880,DATA_TS!$B$2:$B$20001,Kalkulasi!$B$877)))</f>
        <v/>
      </c>
      <c r="J904">
        <f>IF(OR($A904="",AC904=0),0,IF(Kalkulasi!$B$876="OB",SUMIFS(DATA_TS!$Q$2:$Q$20001,DATA_TS!$A$2:$A$20001,$A904,DATA_TS!$C$2:$C$20001,J$880,DATA_TS!$B$2:$B$20001,Kalkulasi!$B$877),SUMIFS(DATA_TS!$R$2:$R$20001,DATA_TS!$A$2:$A$20001,$A904,DATA_TS!$C$2:$C$20001,J$880,DATA_TS!$B$2:$B$20001,Kalkulasi!$B$877)))</f>
        <v/>
      </c>
      <c r="K904">
        <f>IF(OR($A904="",AD904=0),0,IF(Kalkulasi!$B$876="OB",SUMIFS(DATA_TS!$Q$2:$Q$20001,DATA_TS!$A$2:$A$20001,$A904,DATA_TS!$C$2:$C$20001,K$880,DATA_TS!$B$2:$B$20001,Kalkulasi!$B$877),SUMIFS(DATA_TS!$R$2:$R$20001,DATA_TS!$A$2:$A$20001,$A904,DATA_TS!$C$2:$C$20001,K$880,DATA_TS!$B$2:$B$20001,Kalkulasi!$B$877)))</f>
        <v/>
      </c>
      <c r="L904">
        <f>IF(OR($A904="",AE904=0),0,IF(Kalkulasi!$B$876="OB",SUMIFS(DATA_TS!$Q$2:$Q$20001,DATA_TS!$A$2:$A$20001,$A904,DATA_TS!$C$2:$C$20001,L$880,DATA_TS!$B$2:$B$20001,Kalkulasi!$B$877),SUMIFS(DATA_TS!$R$2:$R$20001,DATA_TS!$A$2:$A$20001,$A904,DATA_TS!$C$2:$C$20001,L$880,DATA_TS!$B$2:$B$20001,Kalkulasi!$B$877)))</f>
        <v/>
      </c>
      <c r="M904">
        <f>IF(OR($A904="",AF904=0),0,IF(Kalkulasi!$B$876="OB",SUMIFS(DATA_TS!$Q$2:$Q$20001,DATA_TS!$A$2:$A$20001,$A904,DATA_TS!$C$2:$C$20001,M$880,DATA_TS!$B$2:$B$20001,Kalkulasi!$B$877),SUMIFS(DATA_TS!$R$2:$R$20001,DATA_TS!$A$2:$A$20001,$A904,DATA_TS!$C$2:$C$20001,M$880,DATA_TS!$B$2:$B$20001,Kalkulasi!$B$877)))</f>
        <v/>
      </c>
      <c r="N904">
        <f>IF(OR($A904="",AG904=0),0,IF(Kalkulasi!$B$876="OB",SUMIFS(DATA_TS!$Q$2:$Q$20001,DATA_TS!$A$2:$A$20001,$A904,DATA_TS!$C$2:$C$20001,N$880,DATA_TS!$B$2:$B$20001,Kalkulasi!$B$877),SUMIFS(DATA_TS!$R$2:$R$20001,DATA_TS!$A$2:$A$20001,$A904,DATA_TS!$C$2:$C$20001,N$880,DATA_TS!$B$2:$B$20001,Kalkulasi!$B$877)))</f>
        <v/>
      </c>
      <c r="O904">
        <f>IF(OR($A904="",AH904=0),0,IF(Kalkulasi!$B$876="OB",SUMIFS(DATA_TS!$Q$2:$Q$20001,DATA_TS!$A$2:$A$20001,$A904,DATA_TS!$C$2:$C$20001,O$880,DATA_TS!$B$2:$B$20001,Kalkulasi!$B$877),SUMIFS(DATA_TS!$R$2:$R$20001,DATA_TS!$A$2:$A$20001,$A904,DATA_TS!$C$2:$C$20001,O$880,DATA_TS!$B$2:$B$20001,Kalkulasi!$B$877)))</f>
        <v/>
      </c>
      <c r="P904">
        <f>IF(OR($A904="",AI904=0),0,IF(Kalkulasi!$B$876="OB",SUMIFS(DATA_TS!$Q$2:$Q$20001,DATA_TS!$A$2:$A$20001,$A904,DATA_TS!$C$2:$C$20001,P$880,DATA_TS!$B$2:$B$20001,Kalkulasi!$B$877),SUMIFS(DATA_TS!$R$2:$R$20001,DATA_TS!$A$2:$A$20001,$A904,DATA_TS!$C$2:$C$20001,P$880,DATA_TS!$B$2:$B$20001,Kalkulasi!$B$877)))</f>
        <v/>
      </c>
      <c r="Q904">
        <f>IF(OR($A904="",AJ904=0),0,IF(Kalkulasi!$B$876="OB",SUMIFS(DATA_TS!$Q$2:$Q$20001,DATA_TS!$A$2:$A$20001,$A904,DATA_TS!$C$2:$C$20001,Q$880,DATA_TS!$B$2:$B$20001,Kalkulasi!$B$877),SUMIFS(DATA_TS!$R$2:$R$20001,DATA_TS!$A$2:$A$20001,$A904,DATA_TS!$C$2:$C$20001,Q$880,DATA_TS!$B$2:$B$20001,Kalkulasi!$B$877)))</f>
        <v/>
      </c>
      <c r="R904">
        <f>IF(OR($A904="",AK904=0),0,IF(Kalkulasi!$B$876="OB",SUMIFS(DATA_TS!$Q$2:$Q$20001,DATA_TS!$A$2:$A$20001,$A904,DATA_TS!$C$2:$C$20001,R$880,DATA_TS!$B$2:$B$20001,Kalkulasi!$B$877),SUMIFS(DATA_TS!$R$2:$R$20001,DATA_TS!$A$2:$A$20001,$A904,DATA_TS!$C$2:$C$20001,R$880,DATA_TS!$B$2:$B$20001,Kalkulasi!$B$877)))</f>
        <v/>
      </c>
      <c r="S904">
        <f>IF(OR($A904="",AL904=0),0,IF(Kalkulasi!$B$876="OB",SUMIFS(DATA_TS!$Q$2:$Q$20001,DATA_TS!$A$2:$A$20001,$A904,DATA_TS!$C$2:$C$20001,S$880,DATA_TS!$B$2:$B$20001,Kalkulasi!$B$877),SUMIFS(DATA_TS!$R$2:$R$20001,DATA_TS!$A$2:$A$20001,$A904,DATA_TS!$C$2:$C$20001,S$880,DATA_TS!$B$2:$B$20001,Kalkulasi!$B$877)))</f>
        <v/>
      </c>
      <c r="T904">
        <f>SUM(B904:S904)</f>
        <v/>
      </c>
      <c r="U904">
        <f>IF($A904="",0,IF(Kalkulasi!$B$876="OB",SUMIFS(DATA_TS!$M$2:$M$20001,DATA_TS!$A$2:$A$20001,$A904,DATA_TS!$C$2:$C$20001,B$880,DATA_TS!$B$2:$B$20001,Kalkulasi!$B$877),SUMIFS(DATA_TS!$N$2:$N$20001,DATA_TS!$A$2:$A$20001,$A904,DATA_TS!$C$2:$C$20001,B$880,DATA_TS!$B$2:$B$20001,Kalkulasi!$B$877)))</f>
        <v/>
      </c>
      <c r="V904">
        <f>IF($A904="",0,IF(Kalkulasi!$B$876="OB",SUMIFS(DATA_TS!$M$2:$M$20001,DATA_TS!$A$2:$A$20001,$A904,DATA_TS!$C$2:$C$20001,C$880,DATA_TS!$B$2:$B$20001,Kalkulasi!$B$877),SUMIFS(DATA_TS!$N$2:$N$20001,DATA_TS!$A$2:$A$20001,$A904,DATA_TS!$C$2:$C$20001,C$880,DATA_TS!$B$2:$B$20001,Kalkulasi!$B$877)))</f>
        <v/>
      </c>
      <c r="W904">
        <f>IF($A904="",0,IF(Kalkulasi!$B$876="OB",SUMIFS(DATA_TS!$M$2:$M$20001,DATA_TS!$A$2:$A$20001,$A904,DATA_TS!$C$2:$C$20001,D$880,DATA_TS!$B$2:$B$20001,Kalkulasi!$B$877),SUMIFS(DATA_TS!$N$2:$N$20001,DATA_TS!$A$2:$A$20001,$A904,DATA_TS!$C$2:$C$20001,D$880,DATA_TS!$B$2:$B$20001,Kalkulasi!$B$877)))</f>
        <v/>
      </c>
      <c r="X904">
        <f>IF($A904="",0,IF(Kalkulasi!$B$876="OB",SUMIFS(DATA_TS!$M$2:$M$20001,DATA_TS!$A$2:$A$20001,$A904,DATA_TS!$C$2:$C$20001,E$880,DATA_TS!$B$2:$B$20001,Kalkulasi!$B$877),SUMIFS(DATA_TS!$N$2:$N$20001,DATA_TS!$A$2:$A$20001,$A904,DATA_TS!$C$2:$C$20001,E$880,DATA_TS!$B$2:$B$20001,Kalkulasi!$B$877)))</f>
        <v/>
      </c>
      <c r="Y904">
        <f>IF($A904="",0,IF(Kalkulasi!$B$876="OB",SUMIFS(DATA_TS!$M$2:$M$20001,DATA_TS!$A$2:$A$20001,$A904,DATA_TS!$C$2:$C$20001,F$880,DATA_TS!$B$2:$B$20001,Kalkulasi!$B$877),SUMIFS(DATA_TS!$N$2:$N$20001,DATA_TS!$A$2:$A$20001,$A904,DATA_TS!$C$2:$C$20001,F$880,DATA_TS!$B$2:$B$20001,Kalkulasi!$B$877)))</f>
        <v/>
      </c>
      <c r="Z904">
        <f>IF($A904="",0,IF(Kalkulasi!$B$876="OB",SUMIFS(DATA_TS!$M$2:$M$20001,DATA_TS!$A$2:$A$20001,$A904,DATA_TS!$C$2:$C$20001,G$880,DATA_TS!$B$2:$B$20001,Kalkulasi!$B$877),SUMIFS(DATA_TS!$N$2:$N$20001,DATA_TS!$A$2:$A$20001,$A904,DATA_TS!$C$2:$C$20001,G$880,DATA_TS!$B$2:$B$20001,Kalkulasi!$B$877)))</f>
        <v/>
      </c>
      <c r="AA904">
        <f>IF($A904="",0,IF(Kalkulasi!$B$876="OB",SUMIFS(DATA_TS!$M$2:$M$20001,DATA_TS!$A$2:$A$20001,$A904,DATA_TS!$C$2:$C$20001,H$880,DATA_TS!$B$2:$B$20001,Kalkulasi!$B$877),SUMIFS(DATA_TS!$N$2:$N$20001,DATA_TS!$A$2:$A$20001,$A904,DATA_TS!$C$2:$C$20001,H$880,DATA_TS!$B$2:$B$20001,Kalkulasi!$B$877)))</f>
        <v/>
      </c>
      <c r="AB904">
        <f>IF($A904="",0,IF(Kalkulasi!$B$876="OB",SUMIFS(DATA_TS!$M$2:$M$20001,DATA_TS!$A$2:$A$20001,$A904,DATA_TS!$C$2:$C$20001,I$880,DATA_TS!$B$2:$B$20001,Kalkulasi!$B$877),SUMIFS(DATA_TS!$N$2:$N$20001,DATA_TS!$A$2:$A$20001,$A904,DATA_TS!$C$2:$C$20001,I$880,DATA_TS!$B$2:$B$20001,Kalkulasi!$B$877)))</f>
        <v/>
      </c>
      <c r="AC904">
        <f>IF($A904="",0,IF(Kalkulasi!$B$876="OB",SUMIFS(DATA_TS!$M$2:$M$20001,DATA_TS!$A$2:$A$20001,$A904,DATA_TS!$C$2:$C$20001,J$880,DATA_TS!$B$2:$B$20001,Kalkulasi!$B$877),SUMIFS(DATA_TS!$N$2:$N$20001,DATA_TS!$A$2:$A$20001,$A904,DATA_TS!$C$2:$C$20001,J$880,DATA_TS!$B$2:$B$20001,Kalkulasi!$B$877)))</f>
        <v/>
      </c>
      <c r="AD904">
        <f>IF($A904="",0,IF(Kalkulasi!$B$876="OB",SUMIFS(DATA_TS!$M$2:$M$20001,DATA_TS!$A$2:$A$20001,$A904,DATA_TS!$C$2:$C$20001,K$880,DATA_TS!$B$2:$B$20001,Kalkulasi!$B$877),SUMIFS(DATA_TS!$N$2:$N$20001,DATA_TS!$A$2:$A$20001,$A904,DATA_TS!$C$2:$C$20001,K$880,DATA_TS!$B$2:$B$20001,Kalkulasi!$B$877)))</f>
        <v/>
      </c>
      <c r="AE904">
        <f>IF($A904="",0,IF(Kalkulasi!$B$876="OB",SUMIFS(DATA_TS!$M$2:$M$20001,DATA_TS!$A$2:$A$20001,$A904,DATA_TS!$C$2:$C$20001,L$880,DATA_TS!$B$2:$B$20001,Kalkulasi!$B$877),SUMIFS(DATA_TS!$N$2:$N$20001,DATA_TS!$A$2:$A$20001,$A904,DATA_TS!$C$2:$C$20001,L$880,DATA_TS!$B$2:$B$20001,Kalkulasi!$B$877)))</f>
        <v/>
      </c>
      <c r="AF904">
        <f>IF($A904="",0,IF(Kalkulasi!$B$876="OB",SUMIFS(DATA_TS!$M$2:$M$20001,DATA_TS!$A$2:$A$20001,$A904,DATA_TS!$C$2:$C$20001,M$880,DATA_TS!$B$2:$B$20001,Kalkulasi!$B$877),SUMIFS(DATA_TS!$N$2:$N$20001,DATA_TS!$A$2:$A$20001,$A904,DATA_TS!$C$2:$C$20001,M$880,DATA_TS!$B$2:$B$20001,Kalkulasi!$B$877)))</f>
        <v/>
      </c>
      <c r="AG904">
        <f>IF($A904="",0,IF(Kalkulasi!$B$876="OB",SUMIFS(DATA_TS!$M$2:$M$20001,DATA_TS!$A$2:$A$20001,$A904,DATA_TS!$C$2:$C$20001,N$880,DATA_TS!$B$2:$B$20001,Kalkulasi!$B$877),SUMIFS(DATA_TS!$N$2:$N$20001,DATA_TS!$A$2:$A$20001,$A904,DATA_TS!$C$2:$C$20001,N$880,DATA_TS!$B$2:$B$20001,Kalkulasi!$B$877)))</f>
        <v/>
      </c>
      <c r="AH904">
        <f>IF($A904="",0,IF(Kalkulasi!$B$876="OB",SUMIFS(DATA_TS!$M$2:$M$20001,DATA_TS!$A$2:$A$20001,$A904,DATA_TS!$C$2:$C$20001,O$880,DATA_TS!$B$2:$B$20001,Kalkulasi!$B$877),SUMIFS(DATA_TS!$N$2:$N$20001,DATA_TS!$A$2:$A$20001,$A904,DATA_TS!$C$2:$C$20001,O$880,DATA_TS!$B$2:$B$20001,Kalkulasi!$B$877)))</f>
        <v/>
      </c>
      <c r="AI904">
        <f>IF($A904="",0,IF(Kalkulasi!$B$876="OB",SUMIFS(DATA_TS!$M$2:$M$20001,DATA_TS!$A$2:$A$20001,$A904,DATA_TS!$C$2:$C$20001,P$880,DATA_TS!$B$2:$B$20001,Kalkulasi!$B$877),SUMIFS(DATA_TS!$N$2:$N$20001,DATA_TS!$A$2:$A$20001,$A904,DATA_TS!$C$2:$C$20001,P$880,DATA_TS!$B$2:$B$20001,Kalkulasi!$B$877)))</f>
        <v/>
      </c>
      <c r="AJ904">
        <f>IF($A904="",0,IF(Kalkulasi!$B$876="OB",SUMIFS(DATA_TS!$M$2:$M$20001,DATA_TS!$A$2:$A$20001,$A904,DATA_TS!$C$2:$C$20001,Q$880,DATA_TS!$B$2:$B$20001,Kalkulasi!$B$877),SUMIFS(DATA_TS!$N$2:$N$20001,DATA_TS!$A$2:$A$20001,$A904,DATA_TS!$C$2:$C$20001,Q$880,DATA_TS!$B$2:$B$20001,Kalkulasi!$B$877)))</f>
        <v/>
      </c>
      <c r="AK904">
        <f>IF($A904="",0,IF(Kalkulasi!$B$876="OB",SUMIFS(DATA_TS!$M$2:$M$20001,DATA_TS!$A$2:$A$20001,$A904,DATA_TS!$C$2:$C$20001,R$880,DATA_TS!$B$2:$B$20001,Kalkulasi!$B$877),SUMIFS(DATA_TS!$N$2:$N$20001,DATA_TS!$A$2:$A$20001,$A904,DATA_TS!$C$2:$C$20001,R$880,DATA_TS!$B$2:$B$20001,Kalkulasi!$B$877)))</f>
        <v/>
      </c>
      <c r="AL904">
        <f>IF($A904="",0,IF(Kalkulasi!$B$876="OB",SUMIFS(DATA_TS!$M$2:$M$20001,DATA_TS!$A$2:$A$20001,$A904,DATA_TS!$C$2:$C$20001,S$880,DATA_TS!$B$2:$B$20001,Kalkulasi!$B$877),SUMIFS(DATA_TS!$N$2:$N$20001,DATA_TS!$A$2:$A$20001,$A904,DATA_TS!$C$2:$C$20001,S$880,DATA_TS!$B$2:$B$20001,Kalkulasi!$B$877)))</f>
        <v/>
      </c>
      <c r="AM904">
        <f>SUM(U904:AL904)</f>
        <v/>
      </c>
      <c r="AN904">
        <f>IF(OR(U904=0,B904=0),"",B904/U904)</f>
        <v/>
      </c>
      <c r="AO904">
        <f>IF(OR(V904=0,C904=0),"",C904/V904)</f>
        <v/>
      </c>
      <c r="AP904">
        <f>IF(OR(W904=0,D904=0),"",D904/W904)</f>
        <v/>
      </c>
      <c r="AQ904">
        <f>IF(OR(X904=0,E904=0),"",E904/X904)</f>
        <v/>
      </c>
      <c r="AR904">
        <f>IF(OR(Y904=0,F904=0),"",F904/Y904)</f>
        <v/>
      </c>
      <c r="AS904">
        <f>IF(OR(Z904=0,G904=0),"",G904/Z904)</f>
        <v/>
      </c>
      <c r="AT904">
        <f>IF(OR(AA904=0,H904=0),"",H904/AA904)</f>
        <v/>
      </c>
      <c r="AU904">
        <f>IF(OR(AB904=0,I904=0),"",I904/AB904)</f>
        <v/>
      </c>
      <c r="AV904">
        <f>IF(OR(AC904=0,J904=0),"",J904/AC904)</f>
        <v/>
      </c>
      <c r="AW904">
        <f>IF(OR(AD904=0,K904=0),"",K904/AD904)</f>
        <v/>
      </c>
      <c r="AX904">
        <f>IF(OR(AE904=0,L904=0),"",L904/AE904)</f>
        <v/>
      </c>
      <c r="AY904">
        <f>IF(OR(AF904=0,M904=0),"",M904/AF904)</f>
        <v/>
      </c>
      <c r="AZ904">
        <f>IF(OR(AG904=0,N904=0),"",N904/AG904)</f>
        <v/>
      </c>
      <c r="BA904">
        <f>IF(OR(AH904=0,O904=0),"",O904/AH904)</f>
        <v/>
      </c>
      <c r="BB904">
        <f>IF(OR(AI904=0,P904=0),"",P904/AI904)</f>
        <v/>
      </c>
      <c r="BC904">
        <f>IF(OR(AJ904=0,Q904=0),"",Q904/AJ904)</f>
        <v/>
      </c>
      <c r="BD904">
        <f>IF(OR(AK904=0,R904=0),"",R904/AK904)</f>
        <v/>
      </c>
      <c r="BE904">
        <f>IF(OR(AL904=0,S904=0),"",S904/AL904)</f>
        <v/>
      </c>
      <c r="BF904">
        <f>IF(AM904=0,NA(),T904/AM904)</f>
        <v/>
      </c>
      <c r="BG904" t="n">
        <v>24</v>
      </c>
      <c r="BH904">
        <f>IF(AM904=0,"",T904/AM904)</f>
        <v/>
      </c>
      <c r="BI904">
        <f>IF($A904="","",TEXT($A904,"d"))</f>
        <v/>
      </c>
    </row>
    <row r="905">
      <c r="A905" s="199">
        <f>IF(Kalkulasi!$B$873+24&gt;Kalkulasi!$B$874,"",Kalkulasi!$B$873+24)</f>
        <v/>
      </c>
      <c r="B905">
        <f>IF(OR($A905="",U905=0),0,IF(Kalkulasi!$B$876="OB",SUMIFS(DATA_TS!$Q$2:$Q$20001,DATA_TS!$A$2:$A$20001,$A905,DATA_TS!$C$2:$C$20001,B$880,DATA_TS!$B$2:$B$20001,Kalkulasi!$B$877),SUMIFS(DATA_TS!$R$2:$R$20001,DATA_TS!$A$2:$A$20001,$A905,DATA_TS!$C$2:$C$20001,B$880,DATA_TS!$B$2:$B$20001,Kalkulasi!$B$877)))</f>
        <v/>
      </c>
      <c r="C905">
        <f>IF(OR($A905="",V905=0),0,IF(Kalkulasi!$B$876="OB",SUMIFS(DATA_TS!$Q$2:$Q$20001,DATA_TS!$A$2:$A$20001,$A905,DATA_TS!$C$2:$C$20001,C$880,DATA_TS!$B$2:$B$20001,Kalkulasi!$B$877),SUMIFS(DATA_TS!$R$2:$R$20001,DATA_TS!$A$2:$A$20001,$A905,DATA_TS!$C$2:$C$20001,C$880,DATA_TS!$B$2:$B$20001,Kalkulasi!$B$877)))</f>
        <v/>
      </c>
      <c r="D905">
        <f>IF(OR($A905="",W905=0),0,IF(Kalkulasi!$B$876="OB",SUMIFS(DATA_TS!$Q$2:$Q$20001,DATA_TS!$A$2:$A$20001,$A905,DATA_TS!$C$2:$C$20001,D$880,DATA_TS!$B$2:$B$20001,Kalkulasi!$B$877),SUMIFS(DATA_TS!$R$2:$R$20001,DATA_TS!$A$2:$A$20001,$A905,DATA_TS!$C$2:$C$20001,D$880,DATA_TS!$B$2:$B$20001,Kalkulasi!$B$877)))</f>
        <v/>
      </c>
      <c r="E905">
        <f>IF(OR($A905="",X905=0),0,IF(Kalkulasi!$B$876="OB",SUMIFS(DATA_TS!$Q$2:$Q$20001,DATA_TS!$A$2:$A$20001,$A905,DATA_TS!$C$2:$C$20001,E$880,DATA_TS!$B$2:$B$20001,Kalkulasi!$B$877),SUMIFS(DATA_TS!$R$2:$R$20001,DATA_TS!$A$2:$A$20001,$A905,DATA_TS!$C$2:$C$20001,E$880,DATA_TS!$B$2:$B$20001,Kalkulasi!$B$877)))</f>
        <v/>
      </c>
      <c r="F905">
        <f>IF(OR($A905="",Y905=0),0,IF(Kalkulasi!$B$876="OB",SUMIFS(DATA_TS!$Q$2:$Q$20001,DATA_TS!$A$2:$A$20001,$A905,DATA_TS!$C$2:$C$20001,F$880,DATA_TS!$B$2:$B$20001,Kalkulasi!$B$877),SUMIFS(DATA_TS!$R$2:$R$20001,DATA_TS!$A$2:$A$20001,$A905,DATA_TS!$C$2:$C$20001,F$880,DATA_TS!$B$2:$B$20001,Kalkulasi!$B$877)))</f>
        <v/>
      </c>
      <c r="G905">
        <f>IF(OR($A905="",Z905=0),0,IF(Kalkulasi!$B$876="OB",SUMIFS(DATA_TS!$Q$2:$Q$20001,DATA_TS!$A$2:$A$20001,$A905,DATA_TS!$C$2:$C$20001,G$880,DATA_TS!$B$2:$B$20001,Kalkulasi!$B$877),SUMIFS(DATA_TS!$R$2:$R$20001,DATA_TS!$A$2:$A$20001,$A905,DATA_TS!$C$2:$C$20001,G$880,DATA_TS!$B$2:$B$20001,Kalkulasi!$B$877)))</f>
        <v/>
      </c>
      <c r="H905">
        <f>IF(OR($A905="",AA905=0),0,IF(Kalkulasi!$B$876="OB",SUMIFS(DATA_TS!$Q$2:$Q$20001,DATA_TS!$A$2:$A$20001,$A905,DATA_TS!$C$2:$C$20001,H$880,DATA_TS!$B$2:$B$20001,Kalkulasi!$B$877),SUMIFS(DATA_TS!$R$2:$R$20001,DATA_TS!$A$2:$A$20001,$A905,DATA_TS!$C$2:$C$20001,H$880,DATA_TS!$B$2:$B$20001,Kalkulasi!$B$877)))</f>
        <v/>
      </c>
      <c r="I905">
        <f>IF(OR($A905="",AB905=0),0,IF(Kalkulasi!$B$876="OB",SUMIFS(DATA_TS!$Q$2:$Q$20001,DATA_TS!$A$2:$A$20001,$A905,DATA_TS!$C$2:$C$20001,I$880,DATA_TS!$B$2:$B$20001,Kalkulasi!$B$877),SUMIFS(DATA_TS!$R$2:$R$20001,DATA_TS!$A$2:$A$20001,$A905,DATA_TS!$C$2:$C$20001,I$880,DATA_TS!$B$2:$B$20001,Kalkulasi!$B$877)))</f>
        <v/>
      </c>
      <c r="J905">
        <f>IF(OR($A905="",AC905=0),0,IF(Kalkulasi!$B$876="OB",SUMIFS(DATA_TS!$Q$2:$Q$20001,DATA_TS!$A$2:$A$20001,$A905,DATA_TS!$C$2:$C$20001,J$880,DATA_TS!$B$2:$B$20001,Kalkulasi!$B$877),SUMIFS(DATA_TS!$R$2:$R$20001,DATA_TS!$A$2:$A$20001,$A905,DATA_TS!$C$2:$C$20001,J$880,DATA_TS!$B$2:$B$20001,Kalkulasi!$B$877)))</f>
        <v/>
      </c>
      <c r="K905">
        <f>IF(OR($A905="",AD905=0),0,IF(Kalkulasi!$B$876="OB",SUMIFS(DATA_TS!$Q$2:$Q$20001,DATA_TS!$A$2:$A$20001,$A905,DATA_TS!$C$2:$C$20001,K$880,DATA_TS!$B$2:$B$20001,Kalkulasi!$B$877),SUMIFS(DATA_TS!$R$2:$R$20001,DATA_TS!$A$2:$A$20001,$A905,DATA_TS!$C$2:$C$20001,K$880,DATA_TS!$B$2:$B$20001,Kalkulasi!$B$877)))</f>
        <v/>
      </c>
      <c r="L905">
        <f>IF(OR($A905="",AE905=0),0,IF(Kalkulasi!$B$876="OB",SUMIFS(DATA_TS!$Q$2:$Q$20001,DATA_TS!$A$2:$A$20001,$A905,DATA_TS!$C$2:$C$20001,L$880,DATA_TS!$B$2:$B$20001,Kalkulasi!$B$877),SUMIFS(DATA_TS!$R$2:$R$20001,DATA_TS!$A$2:$A$20001,$A905,DATA_TS!$C$2:$C$20001,L$880,DATA_TS!$B$2:$B$20001,Kalkulasi!$B$877)))</f>
        <v/>
      </c>
      <c r="M905">
        <f>IF(OR($A905="",AF905=0),0,IF(Kalkulasi!$B$876="OB",SUMIFS(DATA_TS!$Q$2:$Q$20001,DATA_TS!$A$2:$A$20001,$A905,DATA_TS!$C$2:$C$20001,M$880,DATA_TS!$B$2:$B$20001,Kalkulasi!$B$877),SUMIFS(DATA_TS!$R$2:$R$20001,DATA_TS!$A$2:$A$20001,$A905,DATA_TS!$C$2:$C$20001,M$880,DATA_TS!$B$2:$B$20001,Kalkulasi!$B$877)))</f>
        <v/>
      </c>
      <c r="N905">
        <f>IF(OR($A905="",AG905=0),0,IF(Kalkulasi!$B$876="OB",SUMIFS(DATA_TS!$Q$2:$Q$20001,DATA_TS!$A$2:$A$20001,$A905,DATA_TS!$C$2:$C$20001,N$880,DATA_TS!$B$2:$B$20001,Kalkulasi!$B$877),SUMIFS(DATA_TS!$R$2:$R$20001,DATA_TS!$A$2:$A$20001,$A905,DATA_TS!$C$2:$C$20001,N$880,DATA_TS!$B$2:$B$20001,Kalkulasi!$B$877)))</f>
        <v/>
      </c>
      <c r="O905">
        <f>IF(OR($A905="",AH905=0),0,IF(Kalkulasi!$B$876="OB",SUMIFS(DATA_TS!$Q$2:$Q$20001,DATA_TS!$A$2:$A$20001,$A905,DATA_TS!$C$2:$C$20001,O$880,DATA_TS!$B$2:$B$20001,Kalkulasi!$B$877),SUMIFS(DATA_TS!$R$2:$R$20001,DATA_TS!$A$2:$A$20001,$A905,DATA_TS!$C$2:$C$20001,O$880,DATA_TS!$B$2:$B$20001,Kalkulasi!$B$877)))</f>
        <v/>
      </c>
      <c r="P905">
        <f>IF(OR($A905="",AI905=0),0,IF(Kalkulasi!$B$876="OB",SUMIFS(DATA_TS!$Q$2:$Q$20001,DATA_TS!$A$2:$A$20001,$A905,DATA_TS!$C$2:$C$20001,P$880,DATA_TS!$B$2:$B$20001,Kalkulasi!$B$877),SUMIFS(DATA_TS!$R$2:$R$20001,DATA_TS!$A$2:$A$20001,$A905,DATA_TS!$C$2:$C$20001,P$880,DATA_TS!$B$2:$B$20001,Kalkulasi!$B$877)))</f>
        <v/>
      </c>
      <c r="Q905">
        <f>IF(OR($A905="",AJ905=0),0,IF(Kalkulasi!$B$876="OB",SUMIFS(DATA_TS!$Q$2:$Q$20001,DATA_TS!$A$2:$A$20001,$A905,DATA_TS!$C$2:$C$20001,Q$880,DATA_TS!$B$2:$B$20001,Kalkulasi!$B$877),SUMIFS(DATA_TS!$R$2:$R$20001,DATA_TS!$A$2:$A$20001,$A905,DATA_TS!$C$2:$C$20001,Q$880,DATA_TS!$B$2:$B$20001,Kalkulasi!$B$877)))</f>
        <v/>
      </c>
      <c r="R905">
        <f>IF(OR($A905="",AK905=0),0,IF(Kalkulasi!$B$876="OB",SUMIFS(DATA_TS!$Q$2:$Q$20001,DATA_TS!$A$2:$A$20001,$A905,DATA_TS!$C$2:$C$20001,R$880,DATA_TS!$B$2:$B$20001,Kalkulasi!$B$877),SUMIFS(DATA_TS!$R$2:$R$20001,DATA_TS!$A$2:$A$20001,$A905,DATA_TS!$C$2:$C$20001,R$880,DATA_TS!$B$2:$B$20001,Kalkulasi!$B$877)))</f>
        <v/>
      </c>
      <c r="S905">
        <f>IF(OR($A905="",AL905=0),0,IF(Kalkulasi!$B$876="OB",SUMIFS(DATA_TS!$Q$2:$Q$20001,DATA_TS!$A$2:$A$20001,$A905,DATA_TS!$C$2:$C$20001,S$880,DATA_TS!$B$2:$B$20001,Kalkulasi!$B$877),SUMIFS(DATA_TS!$R$2:$R$20001,DATA_TS!$A$2:$A$20001,$A905,DATA_TS!$C$2:$C$20001,S$880,DATA_TS!$B$2:$B$20001,Kalkulasi!$B$877)))</f>
        <v/>
      </c>
      <c r="T905">
        <f>SUM(B905:S905)</f>
        <v/>
      </c>
      <c r="U905">
        <f>IF($A905="",0,IF(Kalkulasi!$B$876="OB",SUMIFS(DATA_TS!$M$2:$M$20001,DATA_TS!$A$2:$A$20001,$A905,DATA_TS!$C$2:$C$20001,B$880,DATA_TS!$B$2:$B$20001,Kalkulasi!$B$877),SUMIFS(DATA_TS!$N$2:$N$20001,DATA_TS!$A$2:$A$20001,$A905,DATA_TS!$C$2:$C$20001,B$880,DATA_TS!$B$2:$B$20001,Kalkulasi!$B$877)))</f>
        <v/>
      </c>
      <c r="V905">
        <f>IF($A905="",0,IF(Kalkulasi!$B$876="OB",SUMIFS(DATA_TS!$M$2:$M$20001,DATA_TS!$A$2:$A$20001,$A905,DATA_TS!$C$2:$C$20001,C$880,DATA_TS!$B$2:$B$20001,Kalkulasi!$B$877),SUMIFS(DATA_TS!$N$2:$N$20001,DATA_TS!$A$2:$A$20001,$A905,DATA_TS!$C$2:$C$20001,C$880,DATA_TS!$B$2:$B$20001,Kalkulasi!$B$877)))</f>
        <v/>
      </c>
      <c r="W905">
        <f>IF($A905="",0,IF(Kalkulasi!$B$876="OB",SUMIFS(DATA_TS!$M$2:$M$20001,DATA_TS!$A$2:$A$20001,$A905,DATA_TS!$C$2:$C$20001,D$880,DATA_TS!$B$2:$B$20001,Kalkulasi!$B$877),SUMIFS(DATA_TS!$N$2:$N$20001,DATA_TS!$A$2:$A$20001,$A905,DATA_TS!$C$2:$C$20001,D$880,DATA_TS!$B$2:$B$20001,Kalkulasi!$B$877)))</f>
        <v/>
      </c>
      <c r="X905">
        <f>IF($A905="",0,IF(Kalkulasi!$B$876="OB",SUMIFS(DATA_TS!$M$2:$M$20001,DATA_TS!$A$2:$A$20001,$A905,DATA_TS!$C$2:$C$20001,E$880,DATA_TS!$B$2:$B$20001,Kalkulasi!$B$877),SUMIFS(DATA_TS!$N$2:$N$20001,DATA_TS!$A$2:$A$20001,$A905,DATA_TS!$C$2:$C$20001,E$880,DATA_TS!$B$2:$B$20001,Kalkulasi!$B$877)))</f>
        <v/>
      </c>
      <c r="Y905">
        <f>IF($A905="",0,IF(Kalkulasi!$B$876="OB",SUMIFS(DATA_TS!$M$2:$M$20001,DATA_TS!$A$2:$A$20001,$A905,DATA_TS!$C$2:$C$20001,F$880,DATA_TS!$B$2:$B$20001,Kalkulasi!$B$877),SUMIFS(DATA_TS!$N$2:$N$20001,DATA_TS!$A$2:$A$20001,$A905,DATA_TS!$C$2:$C$20001,F$880,DATA_TS!$B$2:$B$20001,Kalkulasi!$B$877)))</f>
        <v/>
      </c>
      <c r="Z905">
        <f>IF($A905="",0,IF(Kalkulasi!$B$876="OB",SUMIFS(DATA_TS!$M$2:$M$20001,DATA_TS!$A$2:$A$20001,$A905,DATA_TS!$C$2:$C$20001,G$880,DATA_TS!$B$2:$B$20001,Kalkulasi!$B$877),SUMIFS(DATA_TS!$N$2:$N$20001,DATA_TS!$A$2:$A$20001,$A905,DATA_TS!$C$2:$C$20001,G$880,DATA_TS!$B$2:$B$20001,Kalkulasi!$B$877)))</f>
        <v/>
      </c>
      <c r="AA905">
        <f>IF($A905="",0,IF(Kalkulasi!$B$876="OB",SUMIFS(DATA_TS!$M$2:$M$20001,DATA_TS!$A$2:$A$20001,$A905,DATA_TS!$C$2:$C$20001,H$880,DATA_TS!$B$2:$B$20001,Kalkulasi!$B$877),SUMIFS(DATA_TS!$N$2:$N$20001,DATA_TS!$A$2:$A$20001,$A905,DATA_TS!$C$2:$C$20001,H$880,DATA_TS!$B$2:$B$20001,Kalkulasi!$B$877)))</f>
        <v/>
      </c>
      <c r="AB905">
        <f>IF($A905="",0,IF(Kalkulasi!$B$876="OB",SUMIFS(DATA_TS!$M$2:$M$20001,DATA_TS!$A$2:$A$20001,$A905,DATA_TS!$C$2:$C$20001,I$880,DATA_TS!$B$2:$B$20001,Kalkulasi!$B$877),SUMIFS(DATA_TS!$N$2:$N$20001,DATA_TS!$A$2:$A$20001,$A905,DATA_TS!$C$2:$C$20001,I$880,DATA_TS!$B$2:$B$20001,Kalkulasi!$B$877)))</f>
        <v/>
      </c>
      <c r="AC905">
        <f>IF($A905="",0,IF(Kalkulasi!$B$876="OB",SUMIFS(DATA_TS!$M$2:$M$20001,DATA_TS!$A$2:$A$20001,$A905,DATA_TS!$C$2:$C$20001,J$880,DATA_TS!$B$2:$B$20001,Kalkulasi!$B$877),SUMIFS(DATA_TS!$N$2:$N$20001,DATA_TS!$A$2:$A$20001,$A905,DATA_TS!$C$2:$C$20001,J$880,DATA_TS!$B$2:$B$20001,Kalkulasi!$B$877)))</f>
        <v/>
      </c>
      <c r="AD905">
        <f>IF($A905="",0,IF(Kalkulasi!$B$876="OB",SUMIFS(DATA_TS!$M$2:$M$20001,DATA_TS!$A$2:$A$20001,$A905,DATA_TS!$C$2:$C$20001,K$880,DATA_TS!$B$2:$B$20001,Kalkulasi!$B$877),SUMIFS(DATA_TS!$N$2:$N$20001,DATA_TS!$A$2:$A$20001,$A905,DATA_TS!$C$2:$C$20001,K$880,DATA_TS!$B$2:$B$20001,Kalkulasi!$B$877)))</f>
        <v/>
      </c>
      <c r="AE905">
        <f>IF($A905="",0,IF(Kalkulasi!$B$876="OB",SUMIFS(DATA_TS!$M$2:$M$20001,DATA_TS!$A$2:$A$20001,$A905,DATA_TS!$C$2:$C$20001,L$880,DATA_TS!$B$2:$B$20001,Kalkulasi!$B$877),SUMIFS(DATA_TS!$N$2:$N$20001,DATA_TS!$A$2:$A$20001,$A905,DATA_TS!$C$2:$C$20001,L$880,DATA_TS!$B$2:$B$20001,Kalkulasi!$B$877)))</f>
        <v/>
      </c>
      <c r="AF905">
        <f>IF($A905="",0,IF(Kalkulasi!$B$876="OB",SUMIFS(DATA_TS!$M$2:$M$20001,DATA_TS!$A$2:$A$20001,$A905,DATA_TS!$C$2:$C$20001,M$880,DATA_TS!$B$2:$B$20001,Kalkulasi!$B$877),SUMIFS(DATA_TS!$N$2:$N$20001,DATA_TS!$A$2:$A$20001,$A905,DATA_TS!$C$2:$C$20001,M$880,DATA_TS!$B$2:$B$20001,Kalkulasi!$B$877)))</f>
        <v/>
      </c>
      <c r="AG905">
        <f>IF($A905="",0,IF(Kalkulasi!$B$876="OB",SUMIFS(DATA_TS!$M$2:$M$20001,DATA_TS!$A$2:$A$20001,$A905,DATA_TS!$C$2:$C$20001,N$880,DATA_TS!$B$2:$B$20001,Kalkulasi!$B$877),SUMIFS(DATA_TS!$N$2:$N$20001,DATA_TS!$A$2:$A$20001,$A905,DATA_TS!$C$2:$C$20001,N$880,DATA_TS!$B$2:$B$20001,Kalkulasi!$B$877)))</f>
        <v/>
      </c>
      <c r="AH905">
        <f>IF($A905="",0,IF(Kalkulasi!$B$876="OB",SUMIFS(DATA_TS!$M$2:$M$20001,DATA_TS!$A$2:$A$20001,$A905,DATA_TS!$C$2:$C$20001,O$880,DATA_TS!$B$2:$B$20001,Kalkulasi!$B$877),SUMIFS(DATA_TS!$N$2:$N$20001,DATA_TS!$A$2:$A$20001,$A905,DATA_TS!$C$2:$C$20001,O$880,DATA_TS!$B$2:$B$20001,Kalkulasi!$B$877)))</f>
        <v/>
      </c>
      <c r="AI905">
        <f>IF($A905="",0,IF(Kalkulasi!$B$876="OB",SUMIFS(DATA_TS!$M$2:$M$20001,DATA_TS!$A$2:$A$20001,$A905,DATA_TS!$C$2:$C$20001,P$880,DATA_TS!$B$2:$B$20001,Kalkulasi!$B$877),SUMIFS(DATA_TS!$N$2:$N$20001,DATA_TS!$A$2:$A$20001,$A905,DATA_TS!$C$2:$C$20001,P$880,DATA_TS!$B$2:$B$20001,Kalkulasi!$B$877)))</f>
        <v/>
      </c>
      <c r="AJ905">
        <f>IF($A905="",0,IF(Kalkulasi!$B$876="OB",SUMIFS(DATA_TS!$M$2:$M$20001,DATA_TS!$A$2:$A$20001,$A905,DATA_TS!$C$2:$C$20001,Q$880,DATA_TS!$B$2:$B$20001,Kalkulasi!$B$877),SUMIFS(DATA_TS!$N$2:$N$20001,DATA_TS!$A$2:$A$20001,$A905,DATA_TS!$C$2:$C$20001,Q$880,DATA_TS!$B$2:$B$20001,Kalkulasi!$B$877)))</f>
        <v/>
      </c>
      <c r="AK905">
        <f>IF($A905="",0,IF(Kalkulasi!$B$876="OB",SUMIFS(DATA_TS!$M$2:$M$20001,DATA_TS!$A$2:$A$20001,$A905,DATA_TS!$C$2:$C$20001,R$880,DATA_TS!$B$2:$B$20001,Kalkulasi!$B$877),SUMIFS(DATA_TS!$N$2:$N$20001,DATA_TS!$A$2:$A$20001,$A905,DATA_TS!$C$2:$C$20001,R$880,DATA_TS!$B$2:$B$20001,Kalkulasi!$B$877)))</f>
        <v/>
      </c>
      <c r="AL905">
        <f>IF($A905="",0,IF(Kalkulasi!$B$876="OB",SUMIFS(DATA_TS!$M$2:$M$20001,DATA_TS!$A$2:$A$20001,$A905,DATA_TS!$C$2:$C$20001,S$880,DATA_TS!$B$2:$B$20001,Kalkulasi!$B$877),SUMIFS(DATA_TS!$N$2:$N$20001,DATA_TS!$A$2:$A$20001,$A905,DATA_TS!$C$2:$C$20001,S$880,DATA_TS!$B$2:$B$20001,Kalkulasi!$B$877)))</f>
        <v/>
      </c>
      <c r="AM905">
        <f>SUM(U905:AL905)</f>
        <v/>
      </c>
      <c r="AN905">
        <f>IF(OR(U905=0,B905=0),"",B905/U905)</f>
        <v/>
      </c>
      <c r="AO905">
        <f>IF(OR(V905=0,C905=0),"",C905/V905)</f>
        <v/>
      </c>
      <c r="AP905">
        <f>IF(OR(W905=0,D905=0),"",D905/W905)</f>
        <v/>
      </c>
      <c r="AQ905">
        <f>IF(OR(X905=0,E905=0),"",E905/X905)</f>
        <v/>
      </c>
      <c r="AR905">
        <f>IF(OR(Y905=0,F905=0),"",F905/Y905)</f>
        <v/>
      </c>
      <c r="AS905">
        <f>IF(OR(Z905=0,G905=0),"",G905/Z905)</f>
        <v/>
      </c>
      <c r="AT905">
        <f>IF(OR(AA905=0,H905=0),"",H905/AA905)</f>
        <v/>
      </c>
      <c r="AU905">
        <f>IF(OR(AB905=0,I905=0),"",I905/AB905)</f>
        <v/>
      </c>
      <c r="AV905">
        <f>IF(OR(AC905=0,J905=0),"",J905/AC905)</f>
        <v/>
      </c>
      <c r="AW905">
        <f>IF(OR(AD905=0,K905=0),"",K905/AD905)</f>
        <v/>
      </c>
      <c r="AX905">
        <f>IF(OR(AE905=0,L905=0),"",L905/AE905)</f>
        <v/>
      </c>
      <c r="AY905">
        <f>IF(OR(AF905=0,M905=0),"",M905/AF905)</f>
        <v/>
      </c>
      <c r="AZ905">
        <f>IF(OR(AG905=0,N905=0),"",N905/AG905)</f>
        <v/>
      </c>
      <c r="BA905">
        <f>IF(OR(AH905=0,O905=0),"",O905/AH905)</f>
        <v/>
      </c>
      <c r="BB905">
        <f>IF(OR(AI905=0,P905=0),"",P905/AI905)</f>
        <v/>
      </c>
      <c r="BC905">
        <f>IF(OR(AJ905=0,Q905=0),"",Q905/AJ905)</f>
        <v/>
      </c>
      <c r="BD905">
        <f>IF(OR(AK905=0,R905=0),"",R905/AK905)</f>
        <v/>
      </c>
      <c r="BE905">
        <f>IF(OR(AL905=0,S905=0),"",S905/AL905)</f>
        <v/>
      </c>
      <c r="BF905">
        <f>IF(AM905=0,NA(),T905/AM905)</f>
        <v/>
      </c>
      <c r="BG905" t="n">
        <v>25</v>
      </c>
      <c r="BH905">
        <f>IF(AM905=0,"",T905/AM905)</f>
        <v/>
      </c>
      <c r="BI905">
        <f>IF($A905="","",TEXT($A905,"d"))</f>
        <v/>
      </c>
    </row>
    <row r="906">
      <c r="A906" s="199">
        <f>IF(Kalkulasi!$B$873+25&gt;Kalkulasi!$B$874,"",Kalkulasi!$B$873+25)</f>
        <v/>
      </c>
      <c r="B906">
        <f>IF(OR($A906="",U906=0),0,IF(Kalkulasi!$B$876="OB",SUMIFS(DATA_TS!$Q$2:$Q$20001,DATA_TS!$A$2:$A$20001,$A906,DATA_TS!$C$2:$C$20001,B$880,DATA_TS!$B$2:$B$20001,Kalkulasi!$B$877),SUMIFS(DATA_TS!$R$2:$R$20001,DATA_TS!$A$2:$A$20001,$A906,DATA_TS!$C$2:$C$20001,B$880,DATA_TS!$B$2:$B$20001,Kalkulasi!$B$877)))</f>
        <v/>
      </c>
      <c r="C906">
        <f>IF(OR($A906="",V906=0),0,IF(Kalkulasi!$B$876="OB",SUMIFS(DATA_TS!$Q$2:$Q$20001,DATA_TS!$A$2:$A$20001,$A906,DATA_TS!$C$2:$C$20001,C$880,DATA_TS!$B$2:$B$20001,Kalkulasi!$B$877),SUMIFS(DATA_TS!$R$2:$R$20001,DATA_TS!$A$2:$A$20001,$A906,DATA_TS!$C$2:$C$20001,C$880,DATA_TS!$B$2:$B$20001,Kalkulasi!$B$877)))</f>
        <v/>
      </c>
      <c r="D906">
        <f>IF(OR($A906="",W906=0),0,IF(Kalkulasi!$B$876="OB",SUMIFS(DATA_TS!$Q$2:$Q$20001,DATA_TS!$A$2:$A$20001,$A906,DATA_TS!$C$2:$C$20001,D$880,DATA_TS!$B$2:$B$20001,Kalkulasi!$B$877),SUMIFS(DATA_TS!$R$2:$R$20001,DATA_TS!$A$2:$A$20001,$A906,DATA_TS!$C$2:$C$20001,D$880,DATA_TS!$B$2:$B$20001,Kalkulasi!$B$877)))</f>
        <v/>
      </c>
      <c r="E906">
        <f>IF(OR($A906="",X906=0),0,IF(Kalkulasi!$B$876="OB",SUMIFS(DATA_TS!$Q$2:$Q$20001,DATA_TS!$A$2:$A$20001,$A906,DATA_TS!$C$2:$C$20001,E$880,DATA_TS!$B$2:$B$20001,Kalkulasi!$B$877),SUMIFS(DATA_TS!$R$2:$R$20001,DATA_TS!$A$2:$A$20001,$A906,DATA_TS!$C$2:$C$20001,E$880,DATA_TS!$B$2:$B$20001,Kalkulasi!$B$877)))</f>
        <v/>
      </c>
      <c r="F906">
        <f>IF(OR($A906="",Y906=0),0,IF(Kalkulasi!$B$876="OB",SUMIFS(DATA_TS!$Q$2:$Q$20001,DATA_TS!$A$2:$A$20001,$A906,DATA_TS!$C$2:$C$20001,F$880,DATA_TS!$B$2:$B$20001,Kalkulasi!$B$877),SUMIFS(DATA_TS!$R$2:$R$20001,DATA_TS!$A$2:$A$20001,$A906,DATA_TS!$C$2:$C$20001,F$880,DATA_TS!$B$2:$B$20001,Kalkulasi!$B$877)))</f>
        <v/>
      </c>
      <c r="G906">
        <f>IF(OR($A906="",Z906=0),0,IF(Kalkulasi!$B$876="OB",SUMIFS(DATA_TS!$Q$2:$Q$20001,DATA_TS!$A$2:$A$20001,$A906,DATA_TS!$C$2:$C$20001,G$880,DATA_TS!$B$2:$B$20001,Kalkulasi!$B$877),SUMIFS(DATA_TS!$R$2:$R$20001,DATA_TS!$A$2:$A$20001,$A906,DATA_TS!$C$2:$C$20001,G$880,DATA_TS!$B$2:$B$20001,Kalkulasi!$B$877)))</f>
        <v/>
      </c>
      <c r="H906">
        <f>IF(OR($A906="",AA906=0),0,IF(Kalkulasi!$B$876="OB",SUMIFS(DATA_TS!$Q$2:$Q$20001,DATA_TS!$A$2:$A$20001,$A906,DATA_TS!$C$2:$C$20001,H$880,DATA_TS!$B$2:$B$20001,Kalkulasi!$B$877),SUMIFS(DATA_TS!$R$2:$R$20001,DATA_TS!$A$2:$A$20001,$A906,DATA_TS!$C$2:$C$20001,H$880,DATA_TS!$B$2:$B$20001,Kalkulasi!$B$877)))</f>
        <v/>
      </c>
      <c r="I906">
        <f>IF(OR($A906="",AB906=0),0,IF(Kalkulasi!$B$876="OB",SUMIFS(DATA_TS!$Q$2:$Q$20001,DATA_TS!$A$2:$A$20001,$A906,DATA_TS!$C$2:$C$20001,I$880,DATA_TS!$B$2:$B$20001,Kalkulasi!$B$877),SUMIFS(DATA_TS!$R$2:$R$20001,DATA_TS!$A$2:$A$20001,$A906,DATA_TS!$C$2:$C$20001,I$880,DATA_TS!$B$2:$B$20001,Kalkulasi!$B$877)))</f>
        <v/>
      </c>
      <c r="J906">
        <f>IF(OR($A906="",AC906=0),0,IF(Kalkulasi!$B$876="OB",SUMIFS(DATA_TS!$Q$2:$Q$20001,DATA_TS!$A$2:$A$20001,$A906,DATA_TS!$C$2:$C$20001,J$880,DATA_TS!$B$2:$B$20001,Kalkulasi!$B$877),SUMIFS(DATA_TS!$R$2:$R$20001,DATA_TS!$A$2:$A$20001,$A906,DATA_TS!$C$2:$C$20001,J$880,DATA_TS!$B$2:$B$20001,Kalkulasi!$B$877)))</f>
        <v/>
      </c>
      <c r="K906">
        <f>IF(OR($A906="",AD906=0),0,IF(Kalkulasi!$B$876="OB",SUMIFS(DATA_TS!$Q$2:$Q$20001,DATA_TS!$A$2:$A$20001,$A906,DATA_TS!$C$2:$C$20001,K$880,DATA_TS!$B$2:$B$20001,Kalkulasi!$B$877),SUMIFS(DATA_TS!$R$2:$R$20001,DATA_TS!$A$2:$A$20001,$A906,DATA_TS!$C$2:$C$20001,K$880,DATA_TS!$B$2:$B$20001,Kalkulasi!$B$877)))</f>
        <v/>
      </c>
      <c r="L906">
        <f>IF(OR($A906="",AE906=0),0,IF(Kalkulasi!$B$876="OB",SUMIFS(DATA_TS!$Q$2:$Q$20001,DATA_TS!$A$2:$A$20001,$A906,DATA_TS!$C$2:$C$20001,L$880,DATA_TS!$B$2:$B$20001,Kalkulasi!$B$877),SUMIFS(DATA_TS!$R$2:$R$20001,DATA_TS!$A$2:$A$20001,$A906,DATA_TS!$C$2:$C$20001,L$880,DATA_TS!$B$2:$B$20001,Kalkulasi!$B$877)))</f>
        <v/>
      </c>
      <c r="M906">
        <f>IF(OR($A906="",AF906=0),0,IF(Kalkulasi!$B$876="OB",SUMIFS(DATA_TS!$Q$2:$Q$20001,DATA_TS!$A$2:$A$20001,$A906,DATA_TS!$C$2:$C$20001,M$880,DATA_TS!$B$2:$B$20001,Kalkulasi!$B$877),SUMIFS(DATA_TS!$R$2:$R$20001,DATA_TS!$A$2:$A$20001,$A906,DATA_TS!$C$2:$C$20001,M$880,DATA_TS!$B$2:$B$20001,Kalkulasi!$B$877)))</f>
        <v/>
      </c>
      <c r="N906">
        <f>IF(OR($A906="",AG906=0),0,IF(Kalkulasi!$B$876="OB",SUMIFS(DATA_TS!$Q$2:$Q$20001,DATA_TS!$A$2:$A$20001,$A906,DATA_TS!$C$2:$C$20001,N$880,DATA_TS!$B$2:$B$20001,Kalkulasi!$B$877),SUMIFS(DATA_TS!$R$2:$R$20001,DATA_TS!$A$2:$A$20001,$A906,DATA_TS!$C$2:$C$20001,N$880,DATA_TS!$B$2:$B$20001,Kalkulasi!$B$877)))</f>
        <v/>
      </c>
      <c r="O906">
        <f>IF(OR($A906="",AH906=0),0,IF(Kalkulasi!$B$876="OB",SUMIFS(DATA_TS!$Q$2:$Q$20001,DATA_TS!$A$2:$A$20001,$A906,DATA_TS!$C$2:$C$20001,O$880,DATA_TS!$B$2:$B$20001,Kalkulasi!$B$877),SUMIFS(DATA_TS!$R$2:$R$20001,DATA_TS!$A$2:$A$20001,$A906,DATA_TS!$C$2:$C$20001,O$880,DATA_TS!$B$2:$B$20001,Kalkulasi!$B$877)))</f>
        <v/>
      </c>
      <c r="P906">
        <f>IF(OR($A906="",AI906=0),0,IF(Kalkulasi!$B$876="OB",SUMIFS(DATA_TS!$Q$2:$Q$20001,DATA_TS!$A$2:$A$20001,$A906,DATA_TS!$C$2:$C$20001,P$880,DATA_TS!$B$2:$B$20001,Kalkulasi!$B$877),SUMIFS(DATA_TS!$R$2:$R$20001,DATA_TS!$A$2:$A$20001,$A906,DATA_TS!$C$2:$C$20001,P$880,DATA_TS!$B$2:$B$20001,Kalkulasi!$B$877)))</f>
        <v/>
      </c>
      <c r="Q906">
        <f>IF(OR($A906="",AJ906=0),0,IF(Kalkulasi!$B$876="OB",SUMIFS(DATA_TS!$Q$2:$Q$20001,DATA_TS!$A$2:$A$20001,$A906,DATA_TS!$C$2:$C$20001,Q$880,DATA_TS!$B$2:$B$20001,Kalkulasi!$B$877),SUMIFS(DATA_TS!$R$2:$R$20001,DATA_TS!$A$2:$A$20001,$A906,DATA_TS!$C$2:$C$20001,Q$880,DATA_TS!$B$2:$B$20001,Kalkulasi!$B$877)))</f>
        <v/>
      </c>
      <c r="R906">
        <f>IF(OR($A906="",AK906=0),0,IF(Kalkulasi!$B$876="OB",SUMIFS(DATA_TS!$Q$2:$Q$20001,DATA_TS!$A$2:$A$20001,$A906,DATA_TS!$C$2:$C$20001,R$880,DATA_TS!$B$2:$B$20001,Kalkulasi!$B$877),SUMIFS(DATA_TS!$R$2:$R$20001,DATA_TS!$A$2:$A$20001,$A906,DATA_TS!$C$2:$C$20001,R$880,DATA_TS!$B$2:$B$20001,Kalkulasi!$B$877)))</f>
        <v/>
      </c>
      <c r="S906">
        <f>IF(OR($A906="",AL906=0),0,IF(Kalkulasi!$B$876="OB",SUMIFS(DATA_TS!$Q$2:$Q$20001,DATA_TS!$A$2:$A$20001,$A906,DATA_TS!$C$2:$C$20001,S$880,DATA_TS!$B$2:$B$20001,Kalkulasi!$B$877),SUMIFS(DATA_TS!$R$2:$R$20001,DATA_TS!$A$2:$A$20001,$A906,DATA_TS!$C$2:$C$20001,S$880,DATA_TS!$B$2:$B$20001,Kalkulasi!$B$877)))</f>
        <v/>
      </c>
      <c r="T906">
        <f>SUM(B906:S906)</f>
        <v/>
      </c>
      <c r="U906">
        <f>IF($A906="",0,IF(Kalkulasi!$B$876="OB",SUMIFS(DATA_TS!$M$2:$M$20001,DATA_TS!$A$2:$A$20001,$A906,DATA_TS!$C$2:$C$20001,B$880,DATA_TS!$B$2:$B$20001,Kalkulasi!$B$877),SUMIFS(DATA_TS!$N$2:$N$20001,DATA_TS!$A$2:$A$20001,$A906,DATA_TS!$C$2:$C$20001,B$880,DATA_TS!$B$2:$B$20001,Kalkulasi!$B$877)))</f>
        <v/>
      </c>
      <c r="V906">
        <f>IF($A906="",0,IF(Kalkulasi!$B$876="OB",SUMIFS(DATA_TS!$M$2:$M$20001,DATA_TS!$A$2:$A$20001,$A906,DATA_TS!$C$2:$C$20001,C$880,DATA_TS!$B$2:$B$20001,Kalkulasi!$B$877),SUMIFS(DATA_TS!$N$2:$N$20001,DATA_TS!$A$2:$A$20001,$A906,DATA_TS!$C$2:$C$20001,C$880,DATA_TS!$B$2:$B$20001,Kalkulasi!$B$877)))</f>
        <v/>
      </c>
      <c r="W906">
        <f>IF($A906="",0,IF(Kalkulasi!$B$876="OB",SUMIFS(DATA_TS!$M$2:$M$20001,DATA_TS!$A$2:$A$20001,$A906,DATA_TS!$C$2:$C$20001,D$880,DATA_TS!$B$2:$B$20001,Kalkulasi!$B$877),SUMIFS(DATA_TS!$N$2:$N$20001,DATA_TS!$A$2:$A$20001,$A906,DATA_TS!$C$2:$C$20001,D$880,DATA_TS!$B$2:$B$20001,Kalkulasi!$B$877)))</f>
        <v/>
      </c>
      <c r="X906">
        <f>IF($A906="",0,IF(Kalkulasi!$B$876="OB",SUMIFS(DATA_TS!$M$2:$M$20001,DATA_TS!$A$2:$A$20001,$A906,DATA_TS!$C$2:$C$20001,E$880,DATA_TS!$B$2:$B$20001,Kalkulasi!$B$877),SUMIFS(DATA_TS!$N$2:$N$20001,DATA_TS!$A$2:$A$20001,$A906,DATA_TS!$C$2:$C$20001,E$880,DATA_TS!$B$2:$B$20001,Kalkulasi!$B$877)))</f>
        <v/>
      </c>
      <c r="Y906">
        <f>IF($A906="",0,IF(Kalkulasi!$B$876="OB",SUMIFS(DATA_TS!$M$2:$M$20001,DATA_TS!$A$2:$A$20001,$A906,DATA_TS!$C$2:$C$20001,F$880,DATA_TS!$B$2:$B$20001,Kalkulasi!$B$877),SUMIFS(DATA_TS!$N$2:$N$20001,DATA_TS!$A$2:$A$20001,$A906,DATA_TS!$C$2:$C$20001,F$880,DATA_TS!$B$2:$B$20001,Kalkulasi!$B$877)))</f>
        <v/>
      </c>
      <c r="Z906">
        <f>IF($A906="",0,IF(Kalkulasi!$B$876="OB",SUMIFS(DATA_TS!$M$2:$M$20001,DATA_TS!$A$2:$A$20001,$A906,DATA_TS!$C$2:$C$20001,G$880,DATA_TS!$B$2:$B$20001,Kalkulasi!$B$877),SUMIFS(DATA_TS!$N$2:$N$20001,DATA_TS!$A$2:$A$20001,$A906,DATA_TS!$C$2:$C$20001,G$880,DATA_TS!$B$2:$B$20001,Kalkulasi!$B$877)))</f>
        <v/>
      </c>
      <c r="AA906">
        <f>IF($A906="",0,IF(Kalkulasi!$B$876="OB",SUMIFS(DATA_TS!$M$2:$M$20001,DATA_TS!$A$2:$A$20001,$A906,DATA_TS!$C$2:$C$20001,H$880,DATA_TS!$B$2:$B$20001,Kalkulasi!$B$877),SUMIFS(DATA_TS!$N$2:$N$20001,DATA_TS!$A$2:$A$20001,$A906,DATA_TS!$C$2:$C$20001,H$880,DATA_TS!$B$2:$B$20001,Kalkulasi!$B$877)))</f>
        <v/>
      </c>
      <c r="AB906">
        <f>IF($A906="",0,IF(Kalkulasi!$B$876="OB",SUMIFS(DATA_TS!$M$2:$M$20001,DATA_TS!$A$2:$A$20001,$A906,DATA_TS!$C$2:$C$20001,I$880,DATA_TS!$B$2:$B$20001,Kalkulasi!$B$877),SUMIFS(DATA_TS!$N$2:$N$20001,DATA_TS!$A$2:$A$20001,$A906,DATA_TS!$C$2:$C$20001,I$880,DATA_TS!$B$2:$B$20001,Kalkulasi!$B$877)))</f>
        <v/>
      </c>
      <c r="AC906">
        <f>IF($A906="",0,IF(Kalkulasi!$B$876="OB",SUMIFS(DATA_TS!$M$2:$M$20001,DATA_TS!$A$2:$A$20001,$A906,DATA_TS!$C$2:$C$20001,J$880,DATA_TS!$B$2:$B$20001,Kalkulasi!$B$877),SUMIFS(DATA_TS!$N$2:$N$20001,DATA_TS!$A$2:$A$20001,$A906,DATA_TS!$C$2:$C$20001,J$880,DATA_TS!$B$2:$B$20001,Kalkulasi!$B$877)))</f>
        <v/>
      </c>
      <c r="AD906">
        <f>IF($A906="",0,IF(Kalkulasi!$B$876="OB",SUMIFS(DATA_TS!$M$2:$M$20001,DATA_TS!$A$2:$A$20001,$A906,DATA_TS!$C$2:$C$20001,K$880,DATA_TS!$B$2:$B$20001,Kalkulasi!$B$877),SUMIFS(DATA_TS!$N$2:$N$20001,DATA_TS!$A$2:$A$20001,$A906,DATA_TS!$C$2:$C$20001,K$880,DATA_TS!$B$2:$B$20001,Kalkulasi!$B$877)))</f>
        <v/>
      </c>
      <c r="AE906">
        <f>IF($A906="",0,IF(Kalkulasi!$B$876="OB",SUMIFS(DATA_TS!$M$2:$M$20001,DATA_TS!$A$2:$A$20001,$A906,DATA_TS!$C$2:$C$20001,L$880,DATA_TS!$B$2:$B$20001,Kalkulasi!$B$877),SUMIFS(DATA_TS!$N$2:$N$20001,DATA_TS!$A$2:$A$20001,$A906,DATA_TS!$C$2:$C$20001,L$880,DATA_TS!$B$2:$B$20001,Kalkulasi!$B$877)))</f>
        <v/>
      </c>
      <c r="AF906">
        <f>IF($A906="",0,IF(Kalkulasi!$B$876="OB",SUMIFS(DATA_TS!$M$2:$M$20001,DATA_TS!$A$2:$A$20001,$A906,DATA_TS!$C$2:$C$20001,M$880,DATA_TS!$B$2:$B$20001,Kalkulasi!$B$877),SUMIFS(DATA_TS!$N$2:$N$20001,DATA_TS!$A$2:$A$20001,$A906,DATA_TS!$C$2:$C$20001,M$880,DATA_TS!$B$2:$B$20001,Kalkulasi!$B$877)))</f>
        <v/>
      </c>
      <c r="AG906">
        <f>IF($A906="",0,IF(Kalkulasi!$B$876="OB",SUMIFS(DATA_TS!$M$2:$M$20001,DATA_TS!$A$2:$A$20001,$A906,DATA_TS!$C$2:$C$20001,N$880,DATA_TS!$B$2:$B$20001,Kalkulasi!$B$877),SUMIFS(DATA_TS!$N$2:$N$20001,DATA_TS!$A$2:$A$20001,$A906,DATA_TS!$C$2:$C$20001,N$880,DATA_TS!$B$2:$B$20001,Kalkulasi!$B$877)))</f>
        <v/>
      </c>
      <c r="AH906">
        <f>IF($A906="",0,IF(Kalkulasi!$B$876="OB",SUMIFS(DATA_TS!$M$2:$M$20001,DATA_TS!$A$2:$A$20001,$A906,DATA_TS!$C$2:$C$20001,O$880,DATA_TS!$B$2:$B$20001,Kalkulasi!$B$877),SUMIFS(DATA_TS!$N$2:$N$20001,DATA_TS!$A$2:$A$20001,$A906,DATA_TS!$C$2:$C$20001,O$880,DATA_TS!$B$2:$B$20001,Kalkulasi!$B$877)))</f>
        <v/>
      </c>
      <c r="AI906">
        <f>IF($A906="",0,IF(Kalkulasi!$B$876="OB",SUMIFS(DATA_TS!$M$2:$M$20001,DATA_TS!$A$2:$A$20001,$A906,DATA_TS!$C$2:$C$20001,P$880,DATA_TS!$B$2:$B$20001,Kalkulasi!$B$877),SUMIFS(DATA_TS!$N$2:$N$20001,DATA_TS!$A$2:$A$20001,$A906,DATA_TS!$C$2:$C$20001,P$880,DATA_TS!$B$2:$B$20001,Kalkulasi!$B$877)))</f>
        <v/>
      </c>
      <c r="AJ906">
        <f>IF($A906="",0,IF(Kalkulasi!$B$876="OB",SUMIFS(DATA_TS!$M$2:$M$20001,DATA_TS!$A$2:$A$20001,$A906,DATA_TS!$C$2:$C$20001,Q$880,DATA_TS!$B$2:$B$20001,Kalkulasi!$B$877),SUMIFS(DATA_TS!$N$2:$N$20001,DATA_TS!$A$2:$A$20001,$A906,DATA_TS!$C$2:$C$20001,Q$880,DATA_TS!$B$2:$B$20001,Kalkulasi!$B$877)))</f>
        <v/>
      </c>
      <c r="AK906">
        <f>IF($A906="",0,IF(Kalkulasi!$B$876="OB",SUMIFS(DATA_TS!$M$2:$M$20001,DATA_TS!$A$2:$A$20001,$A906,DATA_TS!$C$2:$C$20001,R$880,DATA_TS!$B$2:$B$20001,Kalkulasi!$B$877),SUMIFS(DATA_TS!$N$2:$N$20001,DATA_TS!$A$2:$A$20001,$A906,DATA_TS!$C$2:$C$20001,R$880,DATA_TS!$B$2:$B$20001,Kalkulasi!$B$877)))</f>
        <v/>
      </c>
      <c r="AL906">
        <f>IF($A906="",0,IF(Kalkulasi!$B$876="OB",SUMIFS(DATA_TS!$M$2:$M$20001,DATA_TS!$A$2:$A$20001,$A906,DATA_TS!$C$2:$C$20001,S$880,DATA_TS!$B$2:$B$20001,Kalkulasi!$B$877),SUMIFS(DATA_TS!$N$2:$N$20001,DATA_TS!$A$2:$A$20001,$A906,DATA_TS!$C$2:$C$20001,S$880,DATA_TS!$B$2:$B$20001,Kalkulasi!$B$877)))</f>
        <v/>
      </c>
      <c r="AM906">
        <f>SUM(U906:AL906)</f>
        <v/>
      </c>
      <c r="AN906">
        <f>IF(OR(U906=0,B906=0),"",B906/U906)</f>
        <v/>
      </c>
      <c r="AO906">
        <f>IF(OR(V906=0,C906=0),"",C906/V906)</f>
        <v/>
      </c>
      <c r="AP906">
        <f>IF(OR(W906=0,D906=0),"",D906/W906)</f>
        <v/>
      </c>
      <c r="AQ906">
        <f>IF(OR(X906=0,E906=0),"",E906/X906)</f>
        <v/>
      </c>
      <c r="AR906">
        <f>IF(OR(Y906=0,F906=0),"",F906/Y906)</f>
        <v/>
      </c>
      <c r="AS906">
        <f>IF(OR(Z906=0,G906=0),"",G906/Z906)</f>
        <v/>
      </c>
      <c r="AT906">
        <f>IF(OR(AA906=0,H906=0),"",H906/AA906)</f>
        <v/>
      </c>
      <c r="AU906">
        <f>IF(OR(AB906=0,I906=0),"",I906/AB906)</f>
        <v/>
      </c>
      <c r="AV906">
        <f>IF(OR(AC906=0,J906=0),"",J906/AC906)</f>
        <v/>
      </c>
      <c r="AW906">
        <f>IF(OR(AD906=0,K906=0),"",K906/AD906)</f>
        <v/>
      </c>
      <c r="AX906">
        <f>IF(OR(AE906=0,L906=0),"",L906/AE906)</f>
        <v/>
      </c>
      <c r="AY906">
        <f>IF(OR(AF906=0,M906=0),"",M906/AF906)</f>
        <v/>
      </c>
      <c r="AZ906">
        <f>IF(OR(AG906=0,N906=0),"",N906/AG906)</f>
        <v/>
      </c>
      <c r="BA906">
        <f>IF(OR(AH906=0,O906=0),"",O906/AH906)</f>
        <v/>
      </c>
      <c r="BB906">
        <f>IF(OR(AI906=0,P906=0),"",P906/AI906)</f>
        <v/>
      </c>
      <c r="BC906">
        <f>IF(OR(AJ906=0,Q906=0),"",Q906/AJ906)</f>
        <v/>
      </c>
      <c r="BD906">
        <f>IF(OR(AK906=0,R906=0),"",R906/AK906)</f>
        <v/>
      </c>
      <c r="BE906">
        <f>IF(OR(AL906=0,S906=0),"",S906/AL906)</f>
        <v/>
      </c>
      <c r="BF906">
        <f>IF(AM906=0,NA(),T906/AM906)</f>
        <v/>
      </c>
      <c r="BG906" t="n">
        <v>26</v>
      </c>
      <c r="BH906">
        <f>IF(AM906=0,"",T906/AM906)</f>
        <v/>
      </c>
      <c r="BI906">
        <f>IF($A906="","",TEXT($A906,"d"))</f>
        <v/>
      </c>
    </row>
    <row r="907">
      <c r="A907" s="199">
        <f>IF(Kalkulasi!$B$873+26&gt;Kalkulasi!$B$874,"",Kalkulasi!$B$873+26)</f>
        <v/>
      </c>
      <c r="B907">
        <f>IF(OR($A907="",U907=0),0,IF(Kalkulasi!$B$876="OB",SUMIFS(DATA_TS!$Q$2:$Q$20001,DATA_TS!$A$2:$A$20001,$A907,DATA_TS!$C$2:$C$20001,B$880,DATA_TS!$B$2:$B$20001,Kalkulasi!$B$877),SUMIFS(DATA_TS!$R$2:$R$20001,DATA_TS!$A$2:$A$20001,$A907,DATA_TS!$C$2:$C$20001,B$880,DATA_TS!$B$2:$B$20001,Kalkulasi!$B$877)))</f>
        <v/>
      </c>
      <c r="C907">
        <f>IF(OR($A907="",V907=0),0,IF(Kalkulasi!$B$876="OB",SUMIFS(DATA_TS!$Q$2:$Q$20001,DATA_TS!$A$2:$A$20001,$A907,DATA_TS!$C$2:$C$20001,C$880,DATA_TS!$B$2:$B$20001,Kalkulasi!$B$877),SUMIFS(DATA_TS!$R$2:$R$20001,DATA_TS!$A$2:$A$20001,$A907,DATA_TS!$C$2:$C$20001,C$880,DATA_TS!$B$2:$B$20001,Kalkulasi!$B$877)))</f>
        <v/>
      </c>
      <c r="D907">
        <f>IF(OR($A907="",W907=0),0,IF(Kalkulasi!$B$876="OB",SUMIFS(DATA_TS!$Q$2:$Q$20001,DATA_TS!$A$2:$A$20001,$A907,DATA_TS!$C$2:$C$20001,D$880,DATA_TS!$B$2:$B$20001,Kalkulasi!$B$877),SUMIFS(DATA_TS!$R$2:$R$20001,DATA_TS!$A$2:$A$20001,$A907,DATA_TS!$C$2:$C$20001,D$880,DATA_TS!$B$2:$B$20001,Kalkulasi!$B$877)))</f>
        <v/>
      </c>
      <c r="E907">
        <f>IF(OR($A907="",X907=0),0,IF(Kalkulasi!$B$876="OB",SUMIFS(DATA_TS!$Q$2:$Q$20001,DATA_TS!$A$2:$A$20001,$A907,DATA_TS!$C$2:$C$20001,E$880,DATA_TS!$B$2:$B$20001,Kalkulasi!$B$877),SUMIFS(DATA_TS!$R$2:$R$20001,DATA_TS!$A$2:$A$20001,$A907,DATA_TS!$C$2:$C$20001,E$880,DATA_TS!$B$2:$B$20001,Kalkulasi!$B$877)))</f>
        <v/>
      </c>
      <c r="F907">
        <f>IF(OR($A907="",Y907=0),0,IF(Kalkulasi!$B$876="OB",SUMIFS(DATA_TS!$Q$2:$Q$20001,DATA_TS!$A$2:$A$20001,$A907,DATA_TS!$C$2:$C$20001,F$880,DATA_TS!$B$2:$B$20001,Kalkulasi!$B$877),SUMIFS(DATA_TS!$R$2:$R$20001,DATA_TS!$A$2:$A$20001,$A907,DATA_TS!$C$2:$C$20001,F$880,DATA_TS!$B$2:$B$20001,Kalkulasi!$B$877)))</f>
        <v/>
      </c>
      <c r="G907">
        <f>IF(OR($A907="",Z907=0),0,IF(Kalkulasi!$B$876="OB",SUMIFS(DATA_TS!$Q$2:$Q$20001,DATA_TS!$A$2:$A$20001,$A907,DATA_TS!$C$2:$C$20001,G$880,DATA_TS!$B$2:$B$20001,Kalkulasi!$B$877),SUMIFS(DATA_TS!$R$2:$R$20001,DATA_TS!$A$2:$A$20001,$A907,DATA_TS!$C$2:$C$20001,G$880,DATA_TS!$B$2:$B$20001,Kalkulasi!$B$877)))</f>
        <v/>
      </c>
      <c r="H907">
        <f>IF(OR($A907="",AA907=0),0,IF(Kalkulasi!$B$876="OB",SUMIFS(DATA_TS!$Q$2:$Q$20001,DATA_TS!$A$2:$A$20001,$A907,DATA_TS!$C$2:$C$20001,H$880,DATA_TS!$B$2:$B$20001,Kalkulasi!$B$877),SUMIFS(DATA_TS!$R$2:$R$20001,DATA_TS!$A$2:$A$20001,$A907,DATA_TS!$C$2:$C$20001,H$880,DATA_TS!$B$2:$B$20001,Kalkulasi!$B$877)))</f>
        <v/>
      </c>
      <c r="I907">
        <f>IF(OR($A907="",AB907=0),0,IF(Kalkulasi!$B$876="OB",SUMIFS(DATA_TS!$Q$2:$Q$20001,DATA_TS!$A$2:$A$20001,$A907,DATA_TS!$C$2:$C$20001,I$880,DATA_TS!$B$2:$B$20001,Kalkulasi!$B$877),SUMIFS(DATA_TS!$R$2:$R$20001,DATA_TS!$A$2:$A$20001,$A907,DATA_TS!$C$2:$C$20001,I$880,DATA_TS!$B$2:$B$20001,Kalkulasi!$B$877)))</f>
        <v/>
      </c>
      <c r="J907">
        <f>IF(OR($A907="",AC907=0),0,IF(Kalkulasi!$B$876="OB",SUMIFS(DATA_TS!$Q$2:$Q$20001,DATA_TS!$A$2:$A$20001,$A907,DATA_TS!$C$2:$C$20001,J$880,DATA_TS!$B$2:$B$20001,Kalkulasi!$B$877),SUMIFS(DATA_TS!$R$2:$R$20001,DATA_TS!$A$2:$A$20001,$A907,DATA_TS!$C$2:$C$20001,J$880,DATA_TS!$B$2:$B$20001,Kalkulasi!$B$877)))</f>
        <v/>
      </c>
      <c r="K907">
        <f>IF(OR($A907="",AD907=0),0,IF(Kalkulasi!$B$876="OB",SUMIFS(DATA_TS!$Q$2:$Q$20001,DATA_TS!$A$2:$A$20001,$A907,DATA_TS!$C$2:$C$20001,K$880,DATA_TS!$B$2:$B$20001,Kalkulasi!$B$877),SUMIFS(DATA_TS!$R$2:$R$20001,DATA_TS!$A$2:$A$20001,$A907,DATA_TS!$C$2:$C$20001,K$880,DATA_TS!$B$2:$B$20001,Kalkulasi!$B$877)))</f>
        <v/>
      </c>
      <c r="L907">
        <f>IF(OR($A907="",AE907=0),0,IF(Kalkulasi!$B$876="OB",SUMIFS(DATA_TS!$Q$2:$Q$20001,DATA_TS!$A$2:$A$20001,$A907,DATA_TS!$C$2:$C$20001,L$880,DATA_TS!$B$2:$B$20001,Kalkulasi!$B$877),SUMIFS(DATA_TS!$R$2:$R$20001,DATA_TS!$A$2:$A$20001,$A907,DATA_TS!$C$2:$C$20001,L$880,DATA_TS!$B$2:$B$20001,Kalkulasi!$B$877)))</f>
        <v/>
      </c>
      <c r="M907">
        <f>IF(OR($A907="",AF907=0),0,IF(Kalkulasi!$B$876="OB",SUMIFS(DATA_TS!$Q$2:$Q$20001,DATA_TS!$A$2:$A$20001,$A907,DATA_TS!$C$2:$C$20001,M$880,DATA_TS!$B$2:$B$20001,Kalkulasi!$B$877),SUMIFS(DATA_TS!$R$2:$R$20001,DATA_TS!$A$2:$A$20001,$A907,DATA_TS!$C$2:$C$20001,M$880,DATA_TS!$B$2:$B$20001,Kalkulasi!$B$877)))</f>
        <v/>
      </c>
      <c r="N907">
        <f>IF(OR($A907="",AG907=0),0,IF(Kalkulasi!$B$876="OB",SUMIFS(DATA_TS!$Q$2:$Q$20001,DATA_TS!$A$2:$A$20001,$A907,DATA_TS!$C$2:$C$20001,N$880,DATA_TS!$B$2:$B$20001,Kalkulasi!$B$877),SUMIFS(DATA_TS!$R$2:$R$20001,DATA_TS!$A$2:$A$20001,$A907,DATA_TS!$C$2:$C$20001,N$880,DATA_TS!$B$2:$B$20001,Kalkulasi!$B$877)))</f>
        <v/>
      </c>
      <c r="O907">
        <f>IF(OR($A907="",AH907=0),0,IF(Kalkulasi!$B$876="OB",SUMIFS(DATA_TS!$Q$2:$Q$20001,DATA_TS!$A$2:$A$20001,$A907,DATA_TS!$C$2:$C$20001,O$880,DATA_TS!$B$2:$B$20001,Kalkulasi!$B$877),SUMIFS(DATA_TS!$R$2:$R$20001,DATA_TS!$A$2:$A$20001,$A907,DATA_TS!$C$2:$C$20001,O$880,DATA_TS!$B$2:$B$20001,Kalkulasi!$B$877)))</f>
        <v/>
      </c>
      <c r="P907">
        <f>IF(OR($A907="",AI907=0),0,IF(Kalkulasi!$B$876="OB",SUMIFS(DATA_TS!$Q$2:$Q$20001,DATA_TS!$A$2:$A$20001,$A907,DATA_TS!$C$2:$C$20001,P$880,DATA_TS!$B$2:$B$20001,Kalkulasi!$B$877),SUMIFS(DATA_TS!$R$2:$R$20001,DATA_TS!$A$2:$A$20001,$A907,DATA_TS!$C$2:$C$20001,P$880,DATA_TS!$B$2:$B$20001,Kalkulasi!$B$877)))</f>
        <v/>
      </c>
      <c r="Q907">
        <f>IF(OR($A907="",AJ907=0),0,IF(Kalkulasi!$B$876="OB",SUMIFS(DATA_TS!$Q$2:$Q$20001,DATA_TS!$A$2:$A$20001,$A907,DATA_TS!$C$2:$C$20001,Q$880,DATA_TS!$B$2:$B$20001,Kalkulasi!$B$877),SUMIFS(DATA_TS!$R$2:$R$20001,DATA_TS!$A$2:$A$20001,$A907,DATA_TS!$C$2:$C$20001,Q$880,DATA_TS!$B$2:$B$20001,Kalkulasi!$B$877)))</f>
        <v/>
      </c>
      <c r="R907">
        <f>IF(OR($A907="",AK907=0),0,IF(Kalkulasi!$B$876="OB",SUMIFS(DATA_TS!$Q$2:$Q$20001,DATA_TS!$A$2:$A$20001,$A907,DATA_TS!$C$2:$C$20001,R$880,DATA_TS!$B$2:$B$20001,Kalkulasi!$B$877),SUMIFS(DATA_TS!$R$2:$R$20001,DATA_TS!$A$2:$A$20001,$A907,DATA_TS!$C$2:$C$20001,R$880,DATA_TS!$B$2:$B$20001,Kalkulasi!$B$877)))</f>
        <v/>
      </c>
      <c r="S907">
        <f>IF(OR($A907="",AL907=0),0,IF(Kalkulasi!$B$876="OB",SUMIFS(DATA_TS!$Q$2:$Q$20001,DATA_TS!$A$2:$A$20001,$A907,DATA_TS!$C$2:$C$20001,S$880,DATA_TS!$B$2:$B$20001,Kalkulasi!$B$877),SUMIFS(DATA_TS!$R$2:$R$20001,DATA_TS!$A$2:$A$20001,$A907,DATA_TS!$C$2:$C$20001,S$880,DATA_TS!$B$2:$B$20001,Kalkulasi!$B$877)))</f>
        <v/>
      </c>
      <c r="T907">
        <f>SUM(B907:S907)</f>
        <v/>
      </c>
      <c r="U907">
        <f>IF($A907="",0,IF(Kalkulasi!$B$876="OB",SUMIFS(DATA_TS!$M$2:$M$20001,DATA_TS!$A$2:$A$20001,$A907,DATA_TS!$C$2:$C$20001,B$880,DATA_TS!$B$2:$B$20001,Kalkulasi!$B$877),SUMIFS(DATA_TS!$N$2:$N$20001,DATA_TS!$A$2:$A$20001,$A907,DATA_TS!$C$2:$C$20001,B$880,DATA_TS!$B$2:$B$20001,Kalkulasi!$B$877)))</f>
        <v/>
      </c>
      <c r="V907">
        <f>IF($A907="",0,IF(Kalkulasi!$B$876="OB",SUMIFS(DATA_TS!$M$2:$M$20001,DATA_TS!$A$2:$A$20001,$A907,DATA_TS!$C$2:$C$20001,C$880,DATA_TS!$B$2:$B$20001,Kalkulasi!$B$877),SUMIFS(DATA_TS!$N$2:$N$20001,DATA_TS!$A$2:$A$20001,$A907,DATA_TS!$C$2:$C$20001,C$880,DATA_TS!$B$2:$B$20001,Kalkulasi!$B$877)))</f>
        <v/>
      </c>
      <c r="W907">
        <f>IF($A907="",0,IF(Kalkulasi!$B$876="OB",SUMIFS(DATA_TS!$M$2:$M$20001,DATA_TS!$A$2:$A$20001,$A907,DATA_TS!$C$2:$C$20001,D$880,DATA_TS!$B$2:$B$20001,Kalkulasi!$B$877),SUMIFS(DATA_TS!$N$2:$N$20001,DATA_TS!$A$2:$A$20001,$A907,DATA_TS!$C$2:$C$20001,D$880,DATA_TS!$B$2:$B$20001,Kalkulasi!$B$877)))</f>
        <v/>
      </c>
      <c r="X907">
        <f>IF($A907="",0,IF(Kalkulasi!$B$876="OB",SUMIFS(DATA_TS!$M$2:$M$20001,DATA_TS!$A$2:$A$20001,$A907,DATA_TS!$C$2:$C$20001,E$880,DATA_TS!$B$2:$B$20001,Kalkulasi!$B$877),SUMIFS(DATA_TS!$N$2:$N$20001,DATA_TS!$A$2:$A$20001,$A907,DATA_TS!$C$2:$C$20001,E$880,DATA_TS!$B$2:$B$20001,Kalkulasi!$B$877)))</f>
        <v/>
      </c>
      <c r="Y907">
        <f>IF($A907="",0,IF(Kalkulasi!$B$876="OB",SUMIFS(DATA_TS!$M$2:$M$20001,DATA_TS!$A$2:$A$20001,$A907,DATA_TS!$C$2:$C$20001,F$880,DATA_TS!$B$2:$B$20001,Kalkulasi!$B$877),SUMIFS(DATA_TS!$N$2:$N$20001,DATA_TS!$A$2:$A$20001,$A907,DATA_TS!$C$2:$C$20001,F$880,DATA_TS!$B$2:$B$20001,Kalkulasi!$B$877)))</f>
        <v/>
      </c>
      <c r="Z907">
        <f>IF($A907="",0,IF(Kalkulasi!$B$876="OB",SUMIFS(DATA_TS!$M$2:$M$20001,DATA_TS!$A$2:$A$20001,$A907,DATA_TS!$C$2:$C$20001,G$880,DATA_TS!$B$2:$B$20001,Kalkulasi!$B$877),SUMIFS(DATA_TS!$N$2:$N$20001,DATA_TS!$A$2:$A$20001,$A907,DATA_TS!$C$2:$C$20001,G$880,DATA_TS!$B$2:$B$20001,Kalkulasi!$B$877)))</f>
        <v/>
      </c>
      <c r="AA907">
        <f>IF($A907="",0,IF(Kalkulasi!$B$876="OB",SUMIFS(DATA_TS!$M$2:$M$20001,DATA_TS!$A$2:$A$20001,$A907,DATA_TS!$C$2:$C$20001,H$880,DATA_TS!$B$2:$B$20001,Kalkulasi!$B$877),SUMIFS(DATA_TS!$N$2:$N$20001,DATA_TS!$A$2:$A$20001,$A907,DATA_TS!$C$2:$C$20001,H$880,DATA_TS!$B$2:$B$20001,Kalkulasi!$B$877)))</f>
        <v/>
      </c>
      <c r="AB907">
        <f>IF($A907="",0,IF(Kalkulasi!$B$876="OB",SUMIFS(DATA_TS!$M$2:$M$20001,DATA_TS!$A$2:$A$20001,$A907,DATA_TS!$C$2:$C$20001,I$880,DATA_TS!$B$2:$B$20001,Kalkulasi!$B$877),SUMIFS(DATA_TS!$N$2:$N$20001,DATA_TS!$A$2:$A$20001,$A907,DATA_TS!$C$2:$C$20001,I$880,DATA_TS!$B$2:$B$20001,Kalkulasi!$B$877)))</f>
        <v/>
      </c>
      <c r="AC907">
        <f>IF($A907="",0,IF(Kalkulasi!$B$876="OB",SUMIFS(DATA_TS!$M$2:$M$20001,DATA_TS!$A$2:$A$20001,$A907,DATA_TS!$C$2:$C$20001,J$880,DATA_TS!$B$2:$B$20001,Kalkulasi!$B$877),SUMIFS(DATA_TS!$N$2:$N$20001,DATA_TS!$A$2:$A$20001,$A907,DATA_TS!$C$2:$C$20001,J$880,DATA_TS!$B$2:$B$20001,Kalkulasi!$B$877)))</f>
        <v/>
      </c>
      <c r="AD907">
        <f>IF($A907="",0,IF(Kalkulasi!$B$876="OB",SUMIFS(DATA_TS!$M$2:$M$20001,DATA_TS!$A$2:$A$20001,$A907,DATA_TS!$C$2:$C$20001,K$880,DATA_TS!$B$2:$B$20001,Kalkulasi!$B$877),SUMIFS(DATA_TS!$N$2:$N$20001,DATA_TS!$A$2:$A$20001,$A907,DATA_TS!$C$2:$C$20001,K$880,DATA_TS!$B$2:$B$20001,Kalkulasi!$B$877)))</f>
        <v/>
      </c>
      <c r="AE907">
        <f>IF($A907="",0,IF(Kalkulasi!$B$876="OB",SUMIFS(DATA_TS!$M$2:$M$20001,DATA_TS!$A$2:$A$20001,$A907,DATA_TS!$C$2:$C$20001,L$880,DATA_TS!$B$2:$B$20001,Kalkulasi!$B$877),SUMIFS(DATA_TS!$N$2:$N$20001,DATA_TS!$A$2:$A$20001,$A907,DATA_TS!$C$2:$C$20001,L$880,DATA_TS!$B$2:$B$20001,Kalkulasi!$B$877)))</f>
        <v/>
      </c>
      <c r="AF907">
        <f>IF($A907="",0,IF(Kalkulasi!$B$876="OB",SUMIFS(DATA_TS!$M$2:$M$20001,DATA_TS!$A$2:$A$20001,$A907,DATA_TS!$C$2:$C$20001,M$880,DATA_TS!$B$2:$B$20001,Kalkulasi!$B$877),SUMIFS(DATA_TS!$N$2:$N$20001,DATA_TS!$A$2:$A$20001,$A907,DATA_TS!$C$2:$C$20001,M$880,DATA_TS!$B$2:$B$20001,Kalkulasi!$B$877)))</f>
        <v/>
      </c>
      <c r="AG907">
        <f>IF($A907="",0,IF(Kalkulasi!$B$876="OB",SUMIFS(DATA_TS!$M$2:$M$20001,DATA_TS!$A$2:$A$20001,$A907,DATA_TS!$C$2:$C$20001,N$880,DATA_TS!$B$2:$B$20001,Kalkulasi!$B$877),SUMIFS(DATA_TS!$N$2:$N$20001,DATA_TS!$A$2:$A$20001,$A907,DATA_TS!$C$2:$C$20001,N$880,DATA_TS!$B$2:$B$20001,Kalkulasi!$B$877)))</f>
        <v/>
      </c>
      <c r="AH907">
        <f>IF($A907="",0,IF(Kalkulasi!$B$876="OB",SUMIFS(DATA_TS!$M$2:$M$20001,DATA_TS!$A$2:$A$20001,$A907,DATA_TS!$C$2:$C$20001,O$880,DATA_TS!$B$2:$B$20001,Kalkulasi!$B$877),SUMIFS(DATA_TS!$N$2:$N$20001,DATA_TS!$A$2:$A$20001,$A907,DATA_TS!$C$2:$C$20001,O$880,DATA_TS!$B$2:$B$20001,Kalkulasi!$B$877)))</f>
        <v/>
      </c>
      <c r="AI907">
        <f>IF($A907="",0,IF(Kalkulasi!$B$876="OB",SUMIFS(DATA_TS!$M$2:$M$20001,DATA_TS!$A$2:$A$20001,$A907,DATA_TS!$C$2:$C$20001,P$880,DATA_TS!$B$2:$B$20001,Kalkulasi!$B$877),SUMIFS(DATA_TS!$N$2:$N$20001,DATA_TS!$A$2:$A$20001,$A907,DATA_TS!$C$2:$C$20001,P$880,DATA_TS!$B$2:$B$20001,Kalkulasi!$B$877)))</f>
        <v/>
      </c>
      <c r="AJ907">
        <f>IF($A907="",0,IF(Kalkulasi!$B$876="OB",SUMIFS(DATA_TS!$M$2:$M$20001,DATA_TS!$A$2:$A$20001,$A907,DATA_TS!$C$2:$C$20001,Q$880,DATA_TS!$B$2:$B$20001,Kalkulasi!$B$877),SUMIFS(DATA_TS!$N$2:$N$20001,DATA_TS!$A$2:$A$20001,$A907,DATA_TS!$C$2:$C$20001,Q$880,DATA_TS!$B$2:$B$20001,Kalkulasi!$B$877)))</f>
        <v/>
      </c>
      <c r="AK907">
        <f>IF($A907="",0,IF(Kalkulasi!$B$876="OB",SUMIFS(DATA_TS!$M$2:$M$20001,DATA_TS!$A$2:$A$20001,$A907,DATA_TS!$C$2:$C$20001,R$880,DATA_TS!$B$2:$B$20001,Kalkulasi!$B$877),SUMIFS(DATA_TS!$N$2:$N$20001,DATA_TS!$A$2:$A$20001,$A907,DATA_TS!$C$2:$C$20001,R$880,DATA_TS!$B$2:$B$20001,Kalkulasi!$B$877)))</f>
        <v/>
      </c>
      <c r="AL907">
        <f>IF($A907="",0,IF(Kalkulasi!$B$876="OB",SUMIFS(DATA_TS!$M$2:$M$20001,DATA_TS!$A$2:$A$20001,$A907,DATA_TS!$C$2:$C$20001,S$880,DATA_TS!$B$2:$B$20001,Kalkulasi!$B$877),SUMIFS(DATA_TS!$N$2:$N$20001,DATA_TS!$A$2:$A$20001,$A907,DATA_TS!$C$2:$C$20001,S$880,DATA_TS!$B$2:$B$20001,Kalkulasi!$B$877)))</f>
        <v/>
      </c>
      <c r="AM907">
        <f>SUM(U907:AL907)</f>
        <v/>
      </c>
      <c r="AN907">
        <f>IF(OR(U907=0,B907=0),"",B907/U907)</f>
        <v/>
      </c>
      <c r="AO907">
        <f>IF(OR(V907=0,C907=0),"",C907/V907)</f>
        <v/>
      </c>
      <c r="AP907">
        <f>IF(OR(W907=0,D907=0),"",D907/W907)</f>
        <v/>
      </c>
      <c r="AQ907">
        <f>IF(OR(X907=0,E907=0),"",E907/X907)</f>
        <v/>
      </c>
      <c r="AR907">
        <f>IF(OR(Y907=0,F907=0),"",F907/Y907)</f>
        <v/>
      </c>
      <c r="AS907">
        <f>IF(OR(Z907=0,G907=0),"",G907/Z907)</f>
        <v/>
      </c>
      <c r="AT907">
        <f>IF(OR(AA907=0,H907=0),"",H907/AA907)</f>
        <v/>
      </c>
      <c r="AU907">
        <f>IF(OR(AB907=0,I907=0),"",I907/AB907)</f>
        <v/>
      </c>
      <c r="AV907">
        <f>IF(OR(AC907=0,J907=0),"",J907/AC907)</f>
        <v/>
      </c>
      <c r="AW907">
        <f>IF(OR(AD907=0,K907=0),"",K907/AD907)</f>
        <v/>
      </c>
      <c r="AX907">
        <f>IF(OR(AE907=0,L907=0),"",L907/AE907)</f>
        <v/>
      </c>
      <c r="AY907">
        <f>IF(OR(AF907=0,M907=0),"",M907/AF907)</f>
        <v/>
      </c>
      <c r="AZ907">
        <f>IF(OR(AG907=0,N907=0),"",N907/AG907)</f>
        <v/>
      </c>
      <c r="BA907">
        <f>IF(OR(AH907=0,O907=0),"",O907/AH907)</f>
        <v/>
      </c>
      <c r="BB907">
        <f>IF(OR(AI907=0,P907=0),"",P907/AI907)</f>
        <v/>
      </c>
      <c r="BC907">
        <f>IF(OR(AJ907=0,Q907=0),"",Q907/AJ907)</f>
        <v/>
      </c>
      <c r="BD907">
        <f>IF(OR(AK907=0,R907=0),"",R907/AK907)</f>
        <v/>
      </c>
      <c r="BE907">
        <f>IF(OR(AL907=0,S907=0),"",S907/AL907)</f>
        <v/>
      </c>
      <c r="BF907">
        <f>IF(AM907=0,NA(),T907/AM907)</f>
        <v/>
      </c>
      <c r="BG907" t="n">
        <v>27</v>
      </c>
      <c r="BH907">
        <f>IF(AM907=0,"",T907/AM907)</f>
        <v/>
      </c>
      <c r="BI907">
        <f>IF($A907="","",TEXT($A907,"d"))</f>
        <v/>
      </c>
    </row>
    <row r="908">
      <c r="A908" s="199">
        <f>IF(Kalkulasi!$B$873+27&gt;Kalkulasi!$B$874,"",Kalkulasi!$B$873+27)</f>
        <v/>
      </c>
      <c r="B908">
        <f>IF(OR($A908="",U908=0),0,IF(Kalkulasi!$B$876="OB",SUMIFS(DATA_TS!$Q$2:$Q$20001,DATA_TS!$A$2:$A$20001,$A908,DATA_TS!$C$2:$C$20001,B$880,DATA_TS!$B$2:$B$20001,Kalkulasi!$B$877),SUMIFS(DATA_TS!$R$2:$R$20001,DATA_TS!$A$2:$A$20001,$A908,DATA_TS!$C$2:$C$20001,B$880,DATA_TS!$B$2:$B$20001,Kalkulasi!$B$877)))</f>
        <v/>
      </c>
      <c r="C908">
        <f>IF(OR($A908="",V908=0),0,IF(Kalkulasi!$B$876="OB",SUMIFS(DATA_TS!$Q$2:$Q$20001,DATA_TS!$A$2:$A$20001,$A908,DATA_TS!$C$2:$C$20001,C$880,DATA_TS!$B$2:$B$20001,Kalkulasi!$B$877),SUMIFS(DATA_TS!$R$2:$R$20001,DATA_TS!$A$2:$A$20001,$A908,DATA_TS!$C$2:$C$20001,C$880,DATA_TS!$B$2:$B$20001,Kalkulasi!$B$877)))</f>
        <v/>
      </c>
      <c r="D908">
        <f>IF(OR($A908="",W908=0),0,IF(Kalkulasi!$B$876="OB",SUMIFS(DATA_TS!$Q$2:$Q$20001,DATA_TS!$A$2:$A$20001,$A908,DATA_TS!$C$2:$C$20001,D$880,DATA_TS!$B$2:$B$20001,Kalkulasi!$B$877),SUMIFS(DATA_TS!$R$2:$R$20001,DATA_TS!$A$2:$A$20001,$A908,DATA_TS!$C$2:$C$20001,D$880,DATA_TS!$B$2:$B$20001,Kalkulasi!$B$877)))</f>
        <v/>
      </c>
      <c r="E908">
        <f>IF(OR($A908="",X908=0),0,IF(Kalkulasi!$B$876="OB",SUMIFS(DATA_TS!$Q$2:$Q$20001,DATA_TS!$A$2:$A$20001,$A908,DATA_TS!$C$2:$C$20001,E$880,DATA_TS!$B$2:$B$20001,Kalkulasi!$B$877),SUMIFS(DATA_TS!$R$2:$R$20001,DATA_TS!$A$2:$A$20001,$A908,DATA_TS!$C$2:$C$20001,E$880,DATA_TS!$B$2:$B$20001,Kalkulasi!$B$877)))</f>
        <v/>
      </c>
      <c r="F908">
        <f>IF(OR($A908="",Y908=0),0,IF(Kalkulasi!$B$876="OB",SUMIFS(DATA_TS!$Q$2:$Q$20001,DATA_TS!$A$2:$A$20001,$A908,DATA_TS!$C$2:$C$20001,F$880,DATA_TS!$B$2:$B$20001,Kalkulasi!$B$877),SUMIFS(DATA_TS!$R$2:$R$20001,DATA_TS!$A$2:$A$20001,$A908,DATA_TS!$C$2:$C$20001,F$880,DATA_TS!$B$2:$B$20001,Kalkulasi!$B$877)))</f>
        <v/>
      </c>
      <c r="G908">
        <f>IF(OR($A908="",Z908=0),0,IF(Kalkulasi!$B$876="OB",SUMIFS(DATA_TS!$Q$2:$Q$20001,DATA_TS!$A$2:$A$20001,$A908,DATA_TS!$C$2:$C$20001,G$880,DATA_TS!$B$2:$B$20001,Kalkulasi!$B$877),SUMIFS(DATA_TS!$R$2:$R$20001,DATA_TS!$A$2:$A$20001,$A908,DATA_TS!$C$2:$C$20001,G$880,DATA_TS!$B$2:$B$20001,Kalkulasi!$B$877)))</f>
        <v/>
      </c>
      <c r="H908">
        <f>IF(OR($A908="",AA908=0),0,IF(Kalkulasi!$B$876="OB",SUMIFS(DATA_TS!$Q$2:$Q$20001,DATA_TS!$A$2:$A$20001,$A908,DATA_TS!$C$2:$C$20001,H$880,DATA_TS!$B$2:$B$20001,Kalkulasi!$B$877),SUMIFS(DATA_TS!$R$2:$R$20001,DATA_TS!$A$2:$A$20001,$A908,DATA_TS!$C$2:$C$20001,H$880,DATA_TS!$B$2:$B$20001,Kalkulasi!$B$877)))</f>
        <v/>
      </c>
      <c r="I908">
        <f>IF(OR($A908="",AB908=0),0,IF(Kalkulasi!$B$876="OB",SUMIFS(DATA_TS!$Q$2:$Q$20001,DATA_TS!$A$2:$A$20001,$A908,DATA_TS!$C$2:$C$20001,I$880,DATA_TS!$B$2:$B$20001,Kalkulasi!$B$877),SUMIFS(DATA_TS!$R$2:$R$20001,DATA_TS!$A$2:$A$20001,$A908,DATA_TS!$C$2:$C$20001,I$880,DATA_TS!$B$2:$B$20001,Kalkulasi!$B$877)))</f>
        <v/>
      </c>
      <c r="J908">
        <f>IF(OR($A908="",AC908=0),0,IF(Kalkulasi!$B$876="OB",SUMIFS(DATA_TS!$Q$2:$Q$20001,DATA_TS!$A$2:$A$20001,$A908,DATA_TS!$C$2:$C$20001,J$880,DATA_TS!$B$2:$B$20001,Kalkulasi!$B$877),SUMIFS(DATA_TS!$R$2:$R$20001,DATA_TS!$A$2:$A$20001,$A908,DATA_TS!$C$2:$C$20001,J$880,DATA_TS!$B$2:$B$20001,Kalkulasi!$B$877)))</f>
        <v/>
      </c>
      <c r="K908">
        <f>IF(OR($A908="",AD908=0),0,IF(Kalkulasi!$B$876="OB",SUMIFS(DATA_TS!$Q$2:$Q$20001,DATA_TS!$A$2:$A$20001,$A908,DATA_TS!$C$2:$C$20001,K$880,DATA_TS!$B$2:$B$20001,Kalkulasi!$B$877),SUMIFS(DATA_TS!$R$2:$R$20001,DATA_TS!$A$2:$A$20001,$A908,DATA_TS!$C$2:$C$20001,K$880,DATA_TS!$B$2:$B$20001,Kalkulasi!$B$877)))</f>
        <v/>
      </c>
      <c r="L908">
        <f>IF(OR($A908="",AE908=0),0,IF(Kalkulasi!$B$876="OB",SUMIFS(DATA_TS!$Q$2:$Q$20001,DATA_TS!$A$2:$A$20001,$A908,DATA_TS!$C$2:$C$20001,L$880,DATA_TS!$B$2:$B$20001,Kalkulasi!$B$877),SUMIFS(DATA_TS!$R$2:$R$20001,DATA_TS!$A$2:$A$20001,$A908,DATA_TS!$C$2:$C$20001,L$880,DATA_TS!$B$2:$B$20001,Kalkulasi!$B$877)))</f>
        <v/>
      </c>
      <c r="M908">
        <f>IF(OR($A908="",AF908=0),0,IF(Kalkulasi!$B$876="OB",SUMIFS(DATA_TS!$Q$2:$Q$20001,DATA_TS!$A$2:$A$20001,$A908,DATA_TS!$C$2:$C$20001,M$880,DATA_TS!$B$2:$B$20001,Kalkulasi!$B$877),SUMIFS(DATA_TS!$R$2:$R$20001,DATA_TS!$A$2:$A$20001,$A908,DATA_TS!$C$2:$C$20001,M$880,DATA_TS!$B$2:$B$20001,Kalkulasi!$B$877)))</f>
        <v/>
      </c>
      <c r="N908">
        <f>IF(OR($A908="",AG908=0),0,IF(Kalkulasi!$B$876="OB",SUMIFS(DATA_TS!$Q$2:$Q$20001,DATA_TS!$A$2:$A$20001,$A908,DATA_TS!$C$2:$C$20001,N$880,DATA_TS!$B$2:$B$20001,Kalkulasi!$B$877),SUMIFS(DATA_TS!$R$2:$R$20001,DATA_TS!$A$2:$A$20001,$A908,DATA_TS!$C$2:$C$20001,N$880,DATA_TS!$B$2:$B$20001,Kalkulasi!$B$877)))</f>
        <v/>
      </c>
      <c r="O908">
        <f>IF(OR($A908="",AH908=0),0,IF(Kalkulasi!$B$876="OB",SUMIFS(DATA_TS!$Q$2:$Q$20001,DATA_TS!$A$2:$A$20001,$A908,DATA_TS!$C$2:$C$20001,O$880,DATA_TS!$B$2:$B$20001,Kalkulasi!$B$877),SUMIFS(DATA_TS!$R$2:$R$20001,DATA_TS!$A$2:$A$20001,$A908,DATA_TS!$C$2:$C$20001,O$880,DATA_TS!$B$2:$B$20001,Kalkulasi!$B$877)))</f>
        <v/>
      </c>
      <c r="P908">
        <f>IF(OR($A908="",AI908=0),0,IF(Kalkulasi!$B$876="OB",SUMIFS(DATA_TS!$Q$2:$Q$20001,DATA_TS!$A$2:$A$20001,$A908,DATA_TS!$C$2:$C$20001,P$880,DATA_TS!$B$2:$B$20001,Kalkulasi!$B$877),SUMIFS(DATA_TS!$R$2:$R$20001,DATA_TS!$A$2:$A$20001,$A908,DATA_TS!$C$2:$C$20001,P$880,DATA_TS!$B$2:$B$20001,Kalkulasi!$B$877)))</f>
        <v/>
      </c>
      <c r="Q908">
        <f>IF(OR($A908="",AJ908=0),0,IF(Kalkulasi!$B$876="OB",SUMIFS(DATA_TS!$Q$2:$Q$20001,DATA_TS!$A$2:$A$20001,$A908,DATA_TS!$C$2:$C$20001,Q$880,DATA_TS!$B$2:$B$20001,Kalkulasi!$B$877),SUMIFS(DATA_TS!$R$2:$R$20001,DATA_TS!$A$2:$A$20001,$A908,DATA_TS!$C$2:$C$20001,Q$880,DATA_TS!$B$2:$B$20001,Kalkulasi!$B$877)))</f>
        <v/>
      </c>
      <c r="R908">
        <f>IF(OR($A908="",AK908=0),0,IF(Kalkulasi!$B$876="OB",SUMIFS(DATA_TS!$Q$2:$Q$20001,DATA_TS!$A$2:$A$20001,$A908,DATA_TS!$C$2:$C$20001,R$880,DATA_TS!$B$2:$B$20001,Kalkulasi!$B$877),SUMIFS(DATA_TS!$R$2:$R$20001,DATA_TS!$A$2:$A$20001,$A908,DATA_TS!$C$2:$C$20001,R$880,DATA_TS!$B$2:$B$20001,Kalkulasi!$B$877)))</f>
        <v/>
      </c>
      <c r="S908">
        <f>IF(OR($A908="",AL908=0),0,IF(Kalkulasi!$B$876="OB",SUMIFS(DATA_TS!$Q$2:$Q$20001,DATA_TS!$A$2:$A$20001,$A908,DATA_TS!$C$2:$C$20001,S$880,DATA_TS!$B$2:$B$20001,Kalkulasi!$B$877),SUMIFS(DATA_TS!$R$2:$R$20001,DATA_TS!$A$2:$A$20001,$A908,DATA_TS!$C$2:$C$20001,S$880,DATA_TS!$B$2:$B$20001,Kalkulasi!$B$877)))</f>
        <v/>
      </c>
      <c r="T908">
        <f>SUM(B908:S908)</f>
        <v/>
      </c>
      <c r="U908">
        <f>IF($A908="",0,IF(Kalkulasi!$B$876="OB",SUMIFS(DATA_TS!$M$2:$M$20001,DATA_TS!$A$2:$A$20001,$A908,DATA_TS!$C$2:$C$20001,B$880,DATA_TS!$B$2:$B$20001,Kalkulasi!$B$877),SUMIFS(DATA_TS!$N$2:$N$20001,DATA_TS!$A$2:$A$20001,$A908,DATA_TS!$C$2:$C$20001,B$880,DATA_TS!$B$2:$B$20001,Kalkulasi!$B$877)))</f>
        <v/>
      </c>
      <c r="V908">
        <f>IF($A908="",0,IF(Kalkulasi!$B$876="OB",SUMIFS(DATA_TS!$M$2:$M$20001,DATA_TS!$A$2:$A$20001,$A908,DATA_TS!$C$2:$C$20001,C$880,DATA_TS!$B$2:$B$20001,Kalkulasi!$B$877),SUMIFS(DATA_TS!$N$2:$N$20001,DATA_TS!$A$2:$A$20001,$A908,DATA_TS!$C$2:$C$20001,C$880,DATA_TS!$B$2:$B$20001,Kalkulasi!$B$877)))</f>
        <v/>
      </c>
      <c r="W908">
        <f>IF($A908="",0,IF(Kalkulasi!$B$876="OB",SUMIFS(DATA_TS!$M$2:$M$20001,DATA_TS!$A$2:$A$20001,$A908,DATA_TS!$C$2:$C$20001,D$880,DATA_TS!$B$2:$B$20001,Kalkulasi!$B$877),SUMIFS(DATA_TS!$N$2:$N$20001,DATA_TS!$A$2:$A$20001,$A908,DATA_TS!$C$2:$C$20001,D$880,DATA_TS!$B$2:$B$20001,Kalkulasi!$B$877)))</f>
        <v/>
      </c>
      <c r="X908">
        <f>IF($A908="",0,IF(Kalkulasi!$B$876="OB",SUMIFS(DATA_TS!$M$2:$M$20001,DATA_TS!$A$2:$A$20001,$A908,DATA_TS!$C$2:$C$20001,E$880,DATA_TS!$B$2:$B$20001,Kalkulasi!$B$877),SUMIFS(DATA_TS!$N$2:$N$20001,DATA_TS!$A$2:$A$20001,$A908,DATA_TS!$C$2:$C$20001,E$880,DATA_TS!$B$2:$B$20001,Kalkulasi!$B$877)))</f>
        <v/>
      </c>
      <c r="Y908">
        <f>IF($A908="",0,IF(Kalkulasi!$B$876="OB",SUMIFS(DATA_TS!$M$2:$M$20001,DATA_TS!$A$2:$A$20001,$A908,DATA_TS!$C$2:$C$20001,F$880,DATA_TS!$B$2:$B$20001,Kalkulasi!$B$877),SUMIFS(DATA_TS!$N$2:$N$20001,DATA_TS!$A$2:$A$20001,$A908,DATA_TS!$C$2:$C$20001,F$880,DATA_TS!$B$2:$B$20001,Kalkulasi!$B$877)))</f>
        <v/>
      </c>
      <c r="Z908">
        <f>IF($A908="",0,IF(Kalkulasi!$B$876="OB",SUMIFS(DATA_TS!$M$2:$M$20001,DATA_TS!$A$2:$A$20001,$A908,DATA_TS!$C$2:$C$20001,G$880,DATA_TS!$B$2:$B$20001,Kalkulasi!$B$877),SUMIFS(DATA_TS!$N$2:$N$20001,DATA_TS!$A$2:$A$20001,$A908,DATA_TS!$C$2:$C$20001,G$880,DATA_TS!$B$2:$B$20001,Kalkulasi!$B$877)))</f>
        <v/>
      </c>
      <c r="AA908">
        <f>IF($A908="",0,IF(Kalkulasi!$B$876="OB",SUMIFS(DATA_TS!$M$2:$M$20001,DATA_TS!$A$2:$A$20001,$A908,DATA_TS!$C$2:$C$20001,H$880,DATA_TS!$B$2:$B$20001,Kalkulasi!$B$877),SUMIFS(DATA_TS!$N$2:$N$20001,DATA_TS!$A$2:$A$20001,$A908,DATA_TS!$C$2:$C$20001,H$880,DATA_TS!$B$2:$B$20001,Kalkulasi!$B$877)))</f>
        <v/>
      </c>
      <c r="AB908">
        <f>IF($A908="",0,IF(Kalkulasi!$B$876="OB",SUMIFS(DATA_TS!$M$2:$M$20001,DATA_TS!$A$2:$A$20001,$A908,DATA_TS!$C$2:$C$20001,I$880,DATA_TS!$B$2:$B$20001,Kalkulasi!$B$877),SUMIFS(DATA_TS!$N$2:$N$20001,DATA_TS!$A$2:$A$20001,$A908,DATA_TS!$C$2:$C$20001,I$880,DATA_TS!$B$2:$B$20001,Kalkulasi!$B$877)))</f>
        <v/>
      </c>
      <c r="AC908">
        <f>IF($A908="",0,IF(Kalkulasi!$B$876="OB",SUMIFS(DATA_TS!$M$2:$M$20001,DATA_TS!$A$2:$A$20001,$A908,DATA_TS!$C$2:$C$20001,J$880,DATA_TS!$B$2:$B$20001,Kalkulasi!$B$877),SUMIFS(DATA_TS!$N$2:$N$20001,DATA_TS!$A$2:$A$20001,$A908,DATA_TS!$C$2:$C$20001,J$880,DATA_TS!$B$2:$B$20001,Kalkulasi!$B$877)))</f>
        <v/>
      </c>
      <c r="AD908">
        <f>IF($A908="",0,IF(Kalkulasi!$B$876="OB",SUMIFS(DATA_TS!$M$2:$M$20001,DATA_TS!$A$2:$A$20001,$A908,DATA_TS!$C$2:$C$20001,K$880,DATA_TS!$B$2:$B$20001,Kalkulasi!$B$877),SUMIFS(DATA_TS!$N$2:$N$20001,DATA_TS!$A$2:$A$20001,$A908,DATA_TS!$C$2:$C$20001,K$880,DATA_TS!$B$2:$B$20001,Kalkulasi!$B$877)))</f>
        <v/>
      </c>
      <c r="AE908">
        <f>IF($A908="",0,IF(Kalkulasi!$B$876="OB",SUMIFS(DATA_TS!$M$2:$M$20001,DATA_TS!$A$2:$A$20001,$A908,DATA_TS!$C$2:$C$20001,L$880,DATA_TS!$B$2:$B$20001,Kalkulasi!$B$877),SUMIFS(DATA_TS!$N$2:$N$20001,DATA_TS!$A$2:$A$20001,$A908,DATA_TS!$C$2:$C$20001,L$880,DATA_TS!$B$2:$B$20001,Kalkulasi!$B$877)))</f>
        <v/>
      </c>
      <c r="AF908">
        <f>IF($A908="",0,IF(Kalkulasi!$B$876="OB",SUMIFS(DATA_TS!$M$2:$M$20001,DATA_TS!$A$2:$A$20001,$A908,DATA_TS!$C$2:$C$20001,M$880,DATA_TS!$B$2:$B$20001,Kalkulasi!$B$877),SUMIFS(DATA_TS!$N$2:$N$20001,DATA_TS!$A$2:$A$20001,$A908,DATA_TS!$C$2:$C$20001,M$880,DATA_TS!$B$2:$B$20001,Kalkulasi!$B$877)))</f>
        <v/>
      </c>
      <c r="AG908">
        <f>IF($A908="",0,IF(Kalkulasi!$B$876="OB",SUMIFS(DATA_TS!$M$2:$M$20001,DATA_TS!$A$2:$A$20001,$A908,DATA_TS!$C$2:$C$20001,N$880,DATA_TS!$B$2:$B$20001,Kalkulasi!$B$877),SUMIFS(DATA_TS!$N$2:$N$20001,DATA_TS!$A$2:$A$20001,$A908,DATA_TS!$C$2:$C$20001,N$880,DATA_TS!$B$2:$B$20001,Kalkulasi!$B$877)))</f>
        <v/>
      </c>
      <c r="AH908">
        <f>IF($A908="",0,IF(Kalkulasi!$B$876="OB",SUMIFS(DATA_TS!$M$2:$M$20001,DATA_TS!$A$2:$A$20001,$A908,DATA_TS!$C$2:$C$20001,O$880,DATA_TS!$B$2:$B$20001,Kalkulasi!$B$877),SUMIFS(DATA_TS!$N$2:$N$20001,DATA_TS!$A$2:$A$20001,$A908,DATA_TS!$C$2:$C$20001,O$880,DATA_TS!$B$2:$B$20001,Kalkulasi!$B$877)))</f>
        <v/>
      </c>
      <c r="AI908">
        <f>IF($A908="",0,IF(Kalkulasi!$B$876="OB",SUMIFS(DATA_TS!$M$2:$M$20001,DATA_TS!$A$2:$A$20001,$A908,DATA_TS!$C$2:$C$20001,P$880,DATA_TS!$B$2:$B$20001,Kalkulasi!$B$877),SUMIFS(DATA_TS!$N$2:$N$20001,DATA_TS!$A$2:$A$20001,$A908,DATA_TS!$C$2:$C$20001,P$880,DATA_TS!$B$2:$B$20001,Kalkulasi!$B$877)))</f>
        <v/>
      </c>
      <c r="AJ908">
        <f>IF($A908="",0,IF(Kalkulasi!$B$876="OB",SUMIFS(DATA_TS!$M$2:$M$20001,DATA_TS!$A$2:$A$20001,$A908,DATA_TS!$C$2:$C$20001,Q$880,DATA_TS!$B$2:$B$20001,Kalkulasi!$B$877),SUMIFS(DATA_TS!$N$2:$N$20001,DATA_TS!$A$2:$A$20001,$A908,DATA_TS!$C$2:$C$20001,Q$880,DATA_TS!$B$2:$B$20001,Kalkulasi!$B$877)))</f>
        <v/>
      </c>
      <c r="AK908">
        <f>IF($A908="",0,IF(Kalkulasi!$B$876="OB",SUMIFS(DATA_TS!$M$2:$M$20001,DATA_TS!$A$2:$A$20001,$A908,DATA_TS!$C$2:$C$20001,R$880,DATA_TS!$B$2:$B$20001,Kalkulasi!$B$877),SUMIFS(DATA_TS!$N$2:$N$20001,DATA_TS!$A$2:$A$20001,$A908,DATA_TS!$C$2:$C$20001,R$880,DATA_TS!$B$2:$B$20001,Kalkulasi!$B$877)))</f>
        <v/>
      </c>
      <c r="AL908">
        <f>IF($A908="",0,IF(Kalkulasi!$B$876="OB",SUMIFS(DATA_TS!$M$2:$M$20001,DATA_TS!$A$2:$A$20001,$A908,DATA_TS!$C$2:$C$20001,S$880,DATA_TS!$B$2:$B$20001,Kalkulasi!$B$877),SUMIFS(DATA_TS!$N$2:$N$20001,DATA_TS!$A$2:$A$20001,$A908,DATA_TS!$C$2:$C$20001,S$880,DATA_TS!$B$2:$B$20001,Kalkulasi!$B$877)))</f>
        <v/>
      </c>
      <c r="AM908">
        <f>SUM(U908:AL908)</f>
        <v/>
      </c>
      <c r="AN908">
        <f>IF(OR(U908=0,B908=0),"",B908/U908)</f>
        <v/>
      </c>
      <c r="AO908">
        <f>IF(OR(V908=0,C908=0),"",C908/V908)</f>
        <v/>
      </c>
      <c r="AP908">
        <f>IF(OR(W908=0,D908=0),"",D908/W908)</f>
        <v/>
      </c>
      <c r="AQ908">
        <f>IF(OR(X908=0,E908=0),"",E908/X908)</f>
        <v/>
      </c>
      <c r="AR908">
        <f>IF(OR(Y908=0,F908=0),"",F908/Y908)</f>
        <v/>
      </c>
      <c r="AS908">
        <f>IF(OR(Z908=0,G908=0),"",G908/Z908)</f>
        <v/>
      </c>
      <c r="AT908">
        <f>IF(OR(AA908=0,H908=0),"",H908/AA908)</f>
        <v/>
      </c>
      <c r="AU908">
        <f>IF(OR(AB908=0,I908=0),"",I908/AB908)</f>
        <v/>
      </c>
      <c r="AV908">
        <f>IF(OR(AC908=0,J908=0),"",J908/AC908)</f>
        <v/>
      </c>
      <c r="AW908">
        <f>IF(OR(AD908=0,K908=0),"",K908/AD908)</f>
        <v/>
      </c>
      <c r="AX908">
        <f>IF(OR(AE908=0,L908=0),"",L908/AE908)</f>
        <v/>
      </c>
      <c r="AY908">
        <f>IF(OR(AF908=0,M908=0),"",M908/AF908)</f>
        <v/>
      </c>
      <c r="AZ908">
        <f>IF(OR(AG908=0,N908=0),"",N908/AG908)</f>
        <v/>
      </c>
      <c r="BA908">
        <f>IF(OR(AH908=0,O908=0),"",O908/AH908)</f>
        <v/>
      </c>
      <c r="BB908">
        <f>IF(OR(AI908=0,P908=0),"",P908/AI908)</f>
        <v/>
      </c>
      <c r="BC908">
        <f>IF(OR(AJ908=0,Q908=0),"",Q908/AJ908)</f>
        <v/>
      </c>
      <c r="BD908">
        <f>IF(OR(AK908=0,R908=0),"",R908/AK908)</f>
        <v/>
      </c>
      <c r="BE908">
        <f>IF(OR(AL908=0,S908=0),"",S908/AL908)</f>
        <v/>
      </c>
      <c r="BF908">
        <f>IF(AM908=0,NA(),T908/AM908)</f>
        <v/>
      </c>
      <c r="BG908" t="n">
        <v>28</v>
      </c>
      <c r="BH908">
        <f>IF(AM908=0,"",T908/AM908)</f>
        <v/>
      </c>
      <c r="BI908">
        <f>IF($A908="","",TEXT($A908,"d"))</f>
        <v/>
      </c>
    </row>
    <row r="909">
      <c r="A909" s="199">
        <f>IF(Kalkulasi!$B$873+28&gt;Kalkulasi!$B$874,"",Kalkulasi!$B$873+28)</f>
        <v/>
      </c>
      <c r="B909">
        <f>IF(OR($A909="",U909=0),0,IF(Kalkulasi!$B$876="OB",SUMIFS(DATA_TS!$Q$2:$Q$20001,DATA_TS!$A$2:$A$20001,$A909,DATA_TS!$C$2:$C$20001,B$880,DATA_TS!$B$2:$B$20001,Kalkulasi!$B$877),SUMIFS(DATA_TS!$R$2:$R$20001,DATA_TS!$A$2:$A$20001,$A909,DATA_TS!$C$2:$C$20001,B$880,DATA_TS!$B$2:$B$20001,Kalkulasi!$B$877)))</f>
        <v/>
      </c>
      <c r="C909">
        <f>IF(OR($A909="",V909=0),0,IF(Kalkulasi!$B$876="OB",SUMIFS(DATA_TS!$Q$2:$Q$20001,DATA_TS!$A$2:$A$20001,$A909,DATA_TS!$C$2:$C$20001,C$880,DATA_TS!$B$2:$B$20001,Kalkulasi!$B$877),SUMIFS(DATA_TS!$R$2:$R$20001,DATA_TS!$A$2:$A$20001,$A909,DATA_TS!$C$2:$C$20001,C$880,DATA_TS!$B$2:$B$20001,Kalkulasi!$B$877)))</f>
        <v/>
      </c>
      <c r="D909">
        <f>IF(OR($A909="",W909=0),0,IF(Kalkulasi!$B$876="OB",SUMIFS(DATA_TS!$Q$2:$Q$20001,DATA_TS!$A$2:$A$20001,$A909,DATA_TS!$C$2:$C$20001,D$880,DATA_TS!$B$2:$B$20001,Kalkulasi!$B$877),SUMIFS(DATA_TS!$R$2:$R$20001,DATA_TS!$A$2:$A$20001,$A909,DATA_TS!$C$2:$C$20001,D$880,DATA_TS!$B$2:$B$20001,Kalkulasi!$B$877)))</f>
        <v/>
      </c>
      <c r="E909">
        <f>IF(OR($A909="",X909=0),0,IF(Kalkulasi!$B$876="OB",SUMIFS(DATA_TS!$Q$2:$Q$20001,DATA_TS!$A$2:$A$20001,$A909,DATA_TS!$C$2:$C$20001,E$880,DATA_TS!$B$2:$B$20001,Kalkulasi!$B$877),SUMIFS(DATA_TS!$R$2:$R$20001,DATA_TS!$A$2:$A$20001,$A909,DATA_TS!$C$2:$C$20001,E$880,DATA_TS!$B$2:$B$20001,Kalkulasi!$B$877)))</f>
        <v/>
      </c>
      <c r="F909">
        <f>IF(OR($A909="",Y909=0),0,IF(Kalkulasi!$B$876="OB",SUMIFS(DATA_TS!$Q$2:$Q$20001,DATA_TS!$A$2:$A$20001,$A909,DATA_TS!$C$2:$C$20001,F$880,DATA_TS!$B$2:$B$20001,Kalkulasi!$B$877),SUMIFS(DATA_TS!$R$2:$R$20001,DATA_TS!$A$2:$A$20001,$A909,DATA_TS!$C$2:$C$20001,F$880,DATA_TS!$B$2:$B$20001,Kalkulasi!$B$877)))</f>
        <v/>
      </c>
      <c r="G909">
        <f>IF(OR($A909="",Z909=0),0,IF(Kalkulasi!$B$876="OB",SUMIFS(DATA_TS!$Q$2:$Q$20001,DATA_TS!$A$2:$A$20001,$A909,DATA_TS!$C$2:$C$20001,G$880,DATA_TS!$B$2:$B$20001,Kalkulasi!$B$877),SUMIFS(DATA_TS!$R$2:$R$20001,DATA_TS!$A$2:$A$20001,$A909,DATA_TS!$C$2:$C$20001,G$880,DATA_TS!$B$2:$B$20001,Kalkulasi!$B$877)))</f>
        <v/>
      </c>
      <c r="H909">
        <f>IF(OR($A909="",AA909=0),0,IF(Kalkulasi!$B$876="OB",SUMIFS(DATA_TS!$Q$2:$Q$20001,DATA_TS!$A$2:$A$20001,$A909,DATA_TS!$C$2:$C$20001,H$880,DATA_TS!$B$2:$B$20001,Kalkulasi!$B$877),SUMIFS(DATA_TS!$R$2:$R$20001,DATA_TS!$A$2:$A$20001,$A909,DATA_TS!$C$2:$C$20001,H$880,DATA_TS!$B$2:$B$20001,Kalkulasi!$B$877)))</f>
        <v/>
      </c>
      <c r="I909">
        <f>IF(OR($A909="",AB909=0),0,IF(Kalkulasi!$B$876="OB",SUMIFS(DATA_TS!$Q$2:$Q$20001,DATA_TS!$A$2:$A$20001,$A909,DATA_TS!$C$2:$C$20001,I$880,DATA_TS!$B$2:$B$20001,Kalkulasi!$B$877),SUMIFS(DATA_TS!$R$2:$R$20001,DATA_TS!$A$2:$A$20001,$A909,DATA_TS!$C$2:$C$20001,I$880,DATA_TS!$B$2:$B$20001,Kalkulasi!$B$877)))</f>
        <v/>
      </c>
      <c r="J909">
        <f>IF(OR($A909="",AC909=0),0,IF(Kalkulasi!$B$876="OB",SUMIFS(DATA_TS!$Q$2:$Q$20001,DATA_TS!$A$2:$A$20001,$A909,DATA_TS!$C$2:$C$20001,J$880,DATA_TS!$B$2:$B$20001,Kalkulasi!$B$877),SUMIFS(DATA_TS!$R$2:$R$20001,DATA_TS!$A$2:$A$20001,$A909,DATA_TS!$C$2:$C$20001,J$880,DATA_TS!$B$2:$B$20001,Kalkulasi!$B$877)))</f>
        <v/>
      </c>
      <c r="K909">
        <f>IF(OR($A909="",AD909=0),0,IF(Kalkulasi!$B$876="OB",SUMIFS(DATA_TS!$Q$2:$Q$20001,DATA_TS!$A$2:$A$20001,$A909,DATA_TS!$C$2:$C$20001,K$880,DATA_TS!$B$2:$B$20001,Kalkulasi!$B$877),SUMIFS(DATA_TS!$R$2:$R$20001,DATA_TS!$A$2:$A$20001,$A909,DATA_TS!$C$2:$C$20001,K$880,DATA_TS!$B$2:$B$20001,Kalkulasi!$B$877)))</f>
        <v/>
      </c>
      <c r="L909">
        <f>IF(OR($A909="",AE909=0),0,IF(Kalkulasi!$B$876="OB",SUMIFS(DATA_TS!$Q$2:$Q$20001,DATA_TS!$A$2:$A$20001,$A909,DATA_TS!$C$2:$C$20001,L$880,DATA_TS!$B$2:$B$20001,Kalkulasi!$B$877),SUMIFS(DATA_TS!$R$2:$R$20001,DATA_TS!$A$2:$A$20001,$A909,DATA_TS!$C$2:$C$20001,L$880,DATA_TS!$B$2:$B$20001,Kalkulasi!$B$877)))</f>
        <v/>
      </c>
      <c r="M909">
        <f>IF(OR($A909="",AF909=0),0,IF(Kalkulasi!$B$876="OB",SUMIFS(DATA_TS!$Q$2:$Q$20001,DATA_TS!$A$2:$A$20001,$A909,DATA_TS!$C$2:$C$20001,M$880,DATA_TS!$B$2:$B$20001,Kalkulasi!$B$877),SUMIFS(DATA_TS!$R$2:$R$20001,DATA_TS!$A$2:$A$20001,$A909,DATA_TS!$C$2:$C$20001,M$880,DATA_TS!$B$2:$B$20001,Kalkulasi!$B$877)))</f>
        <v/>
      </c>
      <c r="N909">
        <f>IF(OR($A909="",AG909=0),0,IF(Kalkulasi!$B$876="OB",SUMIFS(DATA_TS!$Q$2:$Q$20001,DATA_TS!$A$2:$A$20001,$A909,DATA_TS!$C$2:$C$20001,N$880,DATA_TS!$B$2:$B$20001,Kalkulasi!$B$877),SUMIFS(DATA_TS!$R$2:$R$20001,DATA_TS!$A$2:$A$20001,$A909,DATA_TS!$C$2:$C$20001,N$880,DATA_TS!$B$2:$B$20001,Kalkulasi!$B$877)))</f>
        <v/>
      </c>
      <c r="O909">
        <f>IF(OR($A909="",AH909=0),0,IF(Kalkulasi!$B$876="OB",SUMIFS(DATA_TS!$Q$2:$Q$20001,DATA_TS!$A$2:$A$20001,$A909,DATA_TS!$C$2:$C$20001,O$880,DATA_TS!$B$2:$B$20001,Kalkulasi!$B$877),SUMIFS(DATA_TS!$R$2:$R$20001,DATA_TS!$A$2:$A$20001,$A909,DATA_TS!$C$2:$C$20001,O$880,DATA_TS!$B$2:$B$20001,Kalkulasi!$B$877)))</f>
        <v/>
      </c>
      <c r="P909">
        <f>IF(OR($A909="",AI909=0),0,IF(Kalkulasi!$B$876="OB",SUMIFS(DATA_TS!$Q$2:$Q$20001,DATA_TS!$A$2:$A$20001,$A909,DATA_TS!$C$2:$C$20001,P$880,DATA_TS!$B$2:$B$20001,Kalkulasi!$B$877),SUMIFS(DATA_TS!$R$2:$R$20001,DATA_TS!$A$2:$A$20001,$A909,DATA_TS!$C$2:$C$20001,P$880,DATA_TS!$B$2:$B$20001,Kalkulasi!$B$877)))</f>
        <v/>
      </c>
      <c r="Q909">
        <f>IF(OR($A909="",AJ909=0),0,IF(Kalkulasi!$B$876="OB",SUMIFS(DATA_TS!$Q$2:$Q$20001,DATA_TS!$A$2:$A$20001,$A909,DATA_TS!$C$2:$C$20001,Q$880,DATA_TS!$B$2:$B$20001,Kalkulasi!$B$877),SUMIFS(DATA_TS!$R$2:$R$20001,DATA_TS!$A$2:$A$20001,$A909,DATA_TS!$C$2:$C$20001,Q$880,DATA_TS!$B$2:$B$20001,Kalkulasi!$B$877)))</f>
        <v/>
      </c>
      <c r="R909">
        <f>IF(OR($A909="",AK909=0),0,IF(Kalkulasi!$B$876="OB",SUMIFS(DATA_TS!$Q$2:$Q$20001,DATA_TS!$A$2:$A$20001,$A909,DATA_TS!$C$2:$C$20001,R$880,DATA_TS!$B$2:$B$20001,Kalkulasi!$B$877),SUMIFS(DATA_TS!$R$2:$R$20001,DATA_TS!$A$2:$A$20001,$A909,DATA_TS!$C$2:$C$20001,R$880,DATA_TS!$B$2:$B$20001,Kalkulasi!$B$877)))</f>
        <v/>
      </c>
      <c r="S909">
        <f>IF(OR($A909="",AL909=0),0,IF(Kalkulasi!$B$876="OB",SUMIFS(DATA_TS!$Q$2:$Q$20001,DATA_TS!$A$2:$A$20001,$A909,DATA_TS!$C$2:$C$20001,S$880,DATA_TS!$B$2:$B$20001,Kalkulasi!$B$877),SUMIFS(DATA_TS!$R$2:$R$20001,DATA_TS!$A$2:$A$20001,$A909,DATA_TS!$C$2:$C$20001,S$880,DATA_TS!$B$2:$B$20001,Kalkulasi!$B$877)))</f>
        <v/>
      </c>
      <c r="T909">
        <f>SUM(B909:S909)</f>
        <v/>
      </c>
      <c r="U909">
        <f>IF($A909="",0,IF(Kalkulasi!$B$876="OB",SUMIFS(DATA_TS!$M$2:$M$20001,DATA_TS!$A$2:$A$20001,$A909,DATA_TS!$C$2:$C$20001,B$880,DATA_TS!$B$2:$B$20001,Kalkulasi!$B$877),SUMIFS(DATA_TS!$N$2:$N$20001,DATA_TS!$A$2:$A$20001,$A909,DATA_TS!$C$2:$C$20001,B$880,DATA_TS!$B$2:$B$20001,Kalkulasi!$B$877)))</f>
        <v/>
      </c>
      <c r="V909">
        <f>IF($A909="",0,IF(Kalkulasi!$B$876="OB",SUMIFS(DATA_TS!$M$2:$M$20001,DATA_TS!$A$2:$A$20001,$A909,DATA_TS!$C$2:$C$20001,C$880,DATA_TS!$B$2:$B$20001,Kalkulasi!$B$877),SUMIFS(DATA_TS!$N$2:$N$20001,DATA_TS!$A$2:$A$20001,$A909,DATA_TS!$C$2:$C$20001,C$880,DATA_TS!$B$2:$B$20001,Kalkulasi!$B$877)))</f>
        <v/>
      </c>
      <c r="W909">
        <f>IF($A909="",0,IF(Kalkulasi!$B$876="OB",SUMIFS(DATA_TS!$M$2:$M$20001,DATA_TS!$A$2:$A$20001,$A909,DATA_TS!$C$2:$C$20001,D$880,DATA_TS!$B$2:$B$20001,Kalkulasi!$B$877),SUMIFS(DATA_TS!$N$2:$N$20001,DATA_TS!$A$2:$A$20001,$A909,DATA_TS!$C$2:$C$20001,D$880,DATA_TS!$B$2:$B$20001,Kalkulasi!$B$877)))</f>
        <v/>
      </c>
      <c r="X909">
        <f>IF($A909="",0,IF(Kalkulasi!$B$876="OB",SUMIFS(DATA_TS!$M$2:$M$20001,DATA_TS!$A$2:$A$20001,$A909,DATA_TS!$C$2:$C$20001,E$880,DATA_TS!$B$2:$B$20001,Kalkulasi!$B$877),SUMIFS(DATA_TS!$N$2:$N$20001,DATA_TS!$A$2:$A$20001,$A909,DATA_TS!$C$2:$C$20001,E$880,DATA_TS!$B$2:$B$20001,Kalkulasi!$B$877)))</f>
        <v/>
      </c>
      <c r="Y909">
        <f>IF($A909="",0,IF(Kalkulasi!$B$876="OB",SUMIFS(DATA_TS!$M$2:$M$20001,DATA_TS!$A$2:$A$20001,$A909,DATA_TS!$C$2:$C$20001,F$880,DATA_TS!$B$2:$B$20001,Kalkulasi!$B$877),SUMIFS(DATA_TS!$N$2:$N$20001,DATA_TS!$A$2:$A$20001,$A909,DATA_TS!$C$2:$C$20001,F$880,DATA_TS!$B$2:$B$20001,Kalkulasi!$B$877)))</f>
        <v/>
      </c>
      <c r="Z909">
        <f>IF($A909="",0,IF(Kalkulasi!$B$876="OB",SUMIFS(DATA_TS!$M$2:$M$20001,DATA_TS!$A$2:$A$20001,$A909,DATA_TS!$C$2:$C$20001,G$880,DATA_TS!$B$2:$B$20001,Kalkulasi!$B$877),SUMIFS(DATA_TS!$N$2:$N$20001,DATA_TS!$A$2:$A$20001,$A909,DATA_TS!$C$2:$C$20001,G$880,DATA_TS!$B$2:$B$20001,Kalkulasi!$B$877)))</f>
        <v/>
      </c>
      <c r="AA909">
        <f>IF($A909="",0,IF(Kalkulasi!$B$876="OB",SUMIFS(DATA_TS!$M$2:$M$20001,DATA_TS!$A$2:$A$20001,$A909,DATA_TS!$C$2:$C$20001,H$880,DATA_TS!$B$2:$B$20001,Kalkulasi!$B$877),SUMIFS(DATA_TS!$N$2:$N$20001,DATA_TS!$A$2:$A$20001,$A909,DATA_TS!$C$2:$C$20001,H$880,DATA_TS!$B$2:$B$20001,Kalkulasi!$B$877)))</f>
        <v/>
      </c>
      <c r="AB909">
        <f>IF($A909="",0,IF(Kalkulasi!$B$876="OB",SUMIFS(DATA_TS!$M$2:$M$20001,DATA_TS!$A$2:$A$20001,$A909,DATA_TS!$C$2:$C$20001,I$880,DATA_TS!$B$2:$B$20001,Kalkulasi!$B$877),SUMIFS(DATA_TS!$N$2:$N$20001,DATA_TS!$A$2:$A$20001,$A909,DATA_TS!$C$2:$C$20001,I$880,DATA_TS!$B$2:$B$20001,Kalkulasi!$B$877)))</f>
        <v/>
      </c>
      <c r="AC909">
        <f>IF($A909="",0,IF(Kalkulasi!$B$876="OB",SUMIFS(DATA_TS!$M$2:$M$20001,DATA_TS!$A$2:$A$20001,$A909,DATA_TS!$C$2:$C$20001,J$880,DATA_TS!$B$2:$B$20001,Kalkulasi!$B$877),SUMIFS(DATA_TS!$N$2:$N$20001,DATA_TS!$A$2:$A$20001,$A909,DATA_TS!$C$2:$C$20001,J$880,DATA_TS!$B$2:$B$20001,Kalkulasi!$B$877)))</f>
        <v/>
      </c>
      <c r="AD909">
        <f>IF($A909="",0,IF(Kalkulasi!$B$876="OB",SUMIFS(DATA_TS!$M$2:$M$20001,DATA_TS!$A$2:$A$20001,$A909,DATA_TS!$C$2:$C$20001,K$880,DATA_TS!$B$2:$B$20001,Kalkulasi!$B$877),SUMIFS(DATA_TS!$N$2:$N$20001,DATA_TS!$A$2:$A$20001,$A909,DATA_TS!$C$2:$C$20001,K$880,DATA_TS!$B$2:$B$20001,Kalkulasi!$B$877)))</f>
        <v/>
      </c>
      <c r="AE909">
        <f>IF($A909="",0,IF(Kalkulasi!$B$876="OB",SUMIFS(DATA_TS!$M$2:$M$20001,DATA_TS!$A$2:$A$20001,$A909,DATA_TS!$C$2:$C$20001,L$880,DATA_TS!$B$2:$B$20001,Kalkulasi!$B$877),SUMIFS(DATA_TS!$N$2:$N$20001,DATA_TS!$A$2:$A$20001,$A909,DATA_TS!$C$2:$C$20001,L$880,DATA_TS!$B$2:$B$20001,Kalkulasi!$B$877)))</f>
        <v/>
      </c>
      <c r="AF909">
        <f>IF($A909="",0,IF(Kalkulasi!$B$876="OB",SUMIFS(DATA_TS!$M$2:$M$20001,DATA_TS!$A$2:$A$20001,$A909,DATA_TS!$C$2:$C$20001,M$880,DATA_TS!$B$2:$B$20001,Kalkulasi!$B$877),SUMIFS(DATA_TS!$N$2:$N$20001,DATA_TS!$A$2:$A$20001,$A909,DATA_TS!$C$2:$C$20001,M$880,DATA_TS!$B$2:$B$20001,Kalkulasi!$B$877)))</f>
        <v/>
      </c>
      <c r="AG909">
        <f>IF($A909="",0,IF(Kalkulasi!$B$876="OB",SUMIFS(DATA_TS!$M$2:$M$20001,DATA_TS!$A$2:$A$20001,$A909,DATA_TS!$C$2:$C$20001,N$880,DATA_TS!$B$2:$B$20001,Kalkulasi!$B$877),SUMIFS(DATA_TS!$N$2:$N$20001,DATA_TS!$A$2:$A$20001,$A909,DATA_TS!$C$2:$C$20001,N$880,DATA_TS!$B$2:$B$20001,Kalkulasi!$B$877)))</f>
        <v/>
      </c>
      <c r="AH909">
        <f>IF($A909="",0,IF(Kalkulasi!$B$876="OB",SUMIFS(DATA_TS!$M$2:$M$20001,DATA_TS!$A$2:$A$20001,$A909,DATA_TS!$C$2:$C$20001,O$880,DATA_TS!$B$2:$B$20001,Kalkulasi!$B$877),SUMIFS(DATA_TS!$N$2:$N$20001,DATA_TS!$A$2:$A$20001,$A909,DATA_TS!$C$2:$C$20001,O$880,DATA_TS!$B$2:$B$20001,Kalkulasi!$B$877)))</f>
        <v/>
      </c>
      <c r="AI909">
        <f>IF($A909="",0,IF(Kalkulasi!$B$876="OB",SUMIFS(DATA_TS!$M$2:$M$20001,DATA_TS!$A$2:$A$20001,$A909,DATA_TS!$C$2:$C$20001,P$880,DATA_TS!$B$2:$B$20001,Kalkulasi!$B$877),SUMIFS(DATA_TS!$N$2:$N$20001,DATA_TS!$A$2:$A$20001,$A909,DATA_TS!$C$2:$C$20001,P$880,DATA_TS!$B$2:$B$20001,Kalkulasi!$B$877)))</f>
        <v/>
      </c>
      <c r="AJ909">
        <f>IF($A909="",0,IF(Kalkulasi!$B$876="OB",SUMIFS(DATA_TS!$M$2:$M$20001,DATA_TS!$A$2:$A$20001,$A909,DATA_TS!$C$2:$C$20001,Q$880,DATA_TS!$B$2:$B$20001,Kalkulasi!$B$877),SUMIFS(DATA_TS!$N$2:$N$20001,DATA_TS!$A$2:$A$20001,$A909,DATA_TS!$C$2:$C$20001,Q$880,DATA_TS!$B$2:$B$20001,Kalkulasi!$B$877)))</f>
        <v/>
      </c>
      <c r="AK909">
        <f>IF($A909="",0,IF(Kalkulasi!$B$876="OB",SUMIFS(DATA_TS!$M$2:$M$20001,DATA_TS!$A$2:$A$20001,$A909,DATA_TS!$C$2:$C$20001,R$880,DATA_TS!$B$2:$B$20001,Kalkulasi!$B$877),SUMIFS(DATA_TS!$N$2:$N$20001,DATA_TS!$A$2:$A$20001,$A909,DATA_TS!$C$2:$C$20001,R$880,DATA_TS!$B$2:$B$20001,Kalkulasi!$B$877)))</f>
        <v/>
      </c>
      <c r="AL909">
        <f>IF($A909="",0,IF(Kalkulasi!$B$876="OB",SUMIFS(DATA_TS!$M$2:$M$20001,DATA_TS!$A$2:$A$20001,$A909,DATA_TS!$C$2:$C$20001,S$880,DATA_TS!$B$2:$B$20001,Kalkulasi!$B$877),SUMIFS(DATA_TS!$N$2:$N$20001,DATA_TS!$A$2:$A$20001,$A909,DATA_TS!$C$2:$C$20001,S$880,DATA_TS!$B$2:$B$20001,Kalkulasi!$B$877)))</f>
        <v/>
      </c>
      <c r="AM909">
        <f>SUM(U909:AL909)</f>
        <v/>
      </c>
      <c r="AN909">
        <f>IF(OR(U909=0,B909=0),"",B909/U909)</f>
        <v/>
      </c>
      <c r="AO909">
        <f>IF(OR(V909=0,C909=0),"",C909/V909)</f>
        <v/>
      </c>
      <c r="AP909">
        <f>IF(OR(W909=0,D909=0),"",D909/W909)</f>
        <v/>
      </c>
      <c r="AQ909">
        <f>IF(OR(X909=0,E909=0),"",E909/X909)</f>
        <v/>
      </c>
      <c r="AR909">
        <f>IF(OR(Y909=0,F909=0),"",F909/Y909)</f>
        <v/>
      </c>
      <c r="AS909">
        <f>IF(OR(Z909=0,G909=0),"",G909/Z909)</f>
        <v/>
      </c>
      <c r="AT909">
        <f>IF(OR(AA909=0,H909=0),"",H909/AA909)</f>
        <v/>
      </c>
      <c r="AU909">
        <f>IF(OR(AB909=0,I909=0),"",I909/AB909)</f>
        <v/>
      </c>
      <c r="AV909">
        <f>IF(OR(AC909=0,J909=0),"",J909/AC909)</f>
        <v/>
      </c>
      <c r="AW909">
        <f>IF(OR(AD909=0,K909=0),"",K909/AD909)</f>
        <v/>
      </c>
      <c r="AX909">
        <f>IF(OR(AE909=0,L909=0),"",L909/AE909)</f>
        <v/>
      </c>
      <c r="AY909">
        <f>IF(OR(AF909=0,M909=0),"",M909/AF909)</f>
        <v/>
      </c>
      <c r="AZ909">
        <f>IF(OR(AG909=0,N909=0),"",N909/AG909)</f>
        <v/>
      </c>
      <c r="BA909">
        <f>IF(OR(AH909=0,O909=0),"",O909/AH909)</f>
        <v/>
      </c>
      <c r="BB909">
        <f>IF(OR(AI909=0,P909=0),"",P909/AI909)</f>
        <v/>
      </c>
      <c r="BC909">
        <f>IF(OR(AJ909=0,Q909=0),"",Q909/AJ909)</f>
        <v/>
      </c>
      <c r="BD909">
        <f>IF(OR(AK909=0,R909=0),"",R909/AK909)</f>
        <v/>
      </c>
      <c r="BE909">
        <f>IF(OR(AL909=0,S909=0),"",S909/AL909)</f>
        <v/>
      </c>
      <c r="BF909">
        <f>IF(AM909=0,NA(),T909/AM909)</f>
        <v/>
      </c>
      <c r="BG909" t="n">
        <v>29</v>
      </c>
      <c r="BH909">
        <f>IF(AM909=0,"",T909/AM909)</f>
        <v/>
      </c>
      <c r="BI909">
        <f>IF($A909="","",TEXT($A909,"d"))</f>
        <v/>
      </c>
    </row>
    <row r="910">
      <c r="A910" s="199">
        <f>IF(Kalkulasi!$B$873+29&gt;Kalkulasi!$B$874,"",Kalkulasi!$B$873+29)</f>
        <v/>
      </c>
      <c r="B910">
        <f>IF(OR($A910="",U910=0),0,IF(Kalkulasi!$B$876="OB",SUMIFS(DATA_TS!$Q$2:$Q$20001,DATA_TS!$A$2:$A$20001,$A910,DATA_TS!$C$2:$C$20001,B$880,DATA_TS!$B$2:$B$20001,Kalkulasi!$B$877),SUMIFS(DATA_TS!$R$2:$R$20001,DATA_TS!$A$2:$A$20001,$A910,DATA_TS!$C$2:$C$20001,B$880,DATA_TS!$B$2:$B$20001,Kalkulasi!$B$877)))</f>
        <v/>
      </c>
      <c r="C910">
        <f>IF(OR($A910="",V910=0),0,IF(Kalkulasi!$B$876="OB",SUMIFS(DATA_TS!$Q$2:$Q$20001,DATA_TS!$A$2:$A$20001,$A910,DATA_TS!$C$2:$C$20001,C$880,DATA_TS!$B$2:$B$20001,Kalkulasi!$B$877),SUMIFS(DATA_TS!$R$2:$R$20001,DATA_TS!$A$2:$A$20001,$A910,DATA_TS!$C$2:$C$20001,C$880,DATA_TS!$B$2:$B$20001,Kalkulasi!$B$877)))</f>
        <v/>
      </c>
      <c r="D910">
        <f>IF(OR($A910="",W910=0),0,IF(Kalkulasi!$B$876="OB",SUMIFS(DATA_TS!$Q$2:$Q$20001,DATA_TS!$A$2:$A$20001,$A910,DATA_TS!$C$2:$C$20001,D$880,DATA_TS!$B$2:$B$20001,Kalkulasi!$B$877),SUMIFS(DATA_TS!$R$2:$R$20001,DATA_TS!$A$2:$A$20001,$A910,DATA_TS!$C$2:$C$20001,D$880,DATA_TS!$B$2:$B$20001,Kalkulasi!$B$877)))</f>
        <v/>
      </c>
      <c r="E910">
        <f>IF(OR($A910="",X910=0),0,IF(Kalkulasi!$B$876="OB",SUMIFS(DATA_TS!$Q$2:$Q$20001,DATA_TS!$A$2:$A$20001,$A910,DATA_TS!$C$2:$C$20001,E$880,DATA_TS!$B$2:$B$20001,Kalkulasi!$B$877),SUMIFS(DATA_TS!$R$2:$R$20001,DATA_TS!$A$2:$A$20001,$A910,DATA_TS!$C$2:$C$20001,E$880,DATA_TS!$B$2:$B$20001,Kalkulasi!$B$877)))</f>
        <v/>
      </c>
      <c r="F910">
        <f>IF(OR($A910="",Y910=0),0,IF(Kalkulasi!$B$876="OB",SUMIFS(DATA_TS!$Q$2:$Q$20001,DATA_TS!$A$2:$A$20001,$A910,DATA_TS!$C$2:$C$20001,F$880,DATA_TS!$B$2:$B$20001,Kalkulasi!$B$877),SUMIFS(DATA_TS!$R$2:$R$20001,DATA_TS!$A$2:$A$20001,$A910,DATA_TS!$C$2:$C$20001,F$880,DATA_TS!$B$2:$B$20001,Kalkulasi!$B$877)))</f>
        <v/>
      </c>
      <c r="G910">
        <f>IF(OR($A910="",Z910=0),0,IF(Kalkulasi!$B$876="OB",SUMIFS(DATA_TS!$Q$2:$Q$20001,DATA_TS!$A$2:$A$20001,$A910,DATA_TS!$C$2:$C$20001,G$880,DATA_TS!$B$2:$B$20001,Kalkulasi!$B$877),SUMIFS(DATA_TS!$R$2:$R$20001,DATA_TS!$A$2:$A$20001,$A910,DATA_TS!$C$2:$C$20001,G$880,DATA_TS!$B$2:$B$20001,Kalkulasi!$B$877)))</f>
        <v/>
      </c>
      <c r="H910">
        <f>IF(OR($A910="",AA910=0),0,IF(Kalkulasi!$B$876="OB",SUMIFS(DATA_TS!$Q$2:$Q$20001,DATA_TS!$A$2:$A$20001,$A910,DATA_TS!$C$2:$C$20001,H$880,DATA_TS!$B$2:$B$20001,Kalkulasi!$B$877),SUMIFS(DATA_TS!$R$2:$R$20001,DATA_TS!$A$2:$A$20001,$A910,DATA_TS!$C$2:$C$20001,H$880,DATA_TS!$B$2:$B$20001,Kalkulasi!$B$877)))</f>
        <v/>
      </c>
      <c r="I910">
        <f>IF(OR($A910="",AB910=0),0,IF(Kalkulasi!$B$876="OB",SUMIFS(DATA_TS!$Q$2:$Q$20001,DATA_TS!$A$2:$A$20001,$A910,DATA_TS!$C$2:$C$20001,I$880,DATA_TS!$B$2:$B$20001,Kalkulasi!$B$877),SUMIFS(DATA_TS!$R$2:$R$20001,DATA_TS!$A$2:$A$20001,$A910,DATA_TS!$C$2:$C$20001,I$880,DATA_TS!$B$2:$B$20001,Kalkulasi!$B$877)))</f>
        <v/>
      </c>
      <c r="J910">
        <f>IF(OR($A910="",AC910=0),0,IF(Kalkulasi!$B$876="OB",SUMIFS(DATA_TS!$Q$2:$Q$20001,DATA_TS!$A$2:$A$20001,$A910,DATA_TS!$C$2:$C$20001,J$880,DATA_TS!$B$2:$B$20001,Kalkulasi!$B$877),SUMIFS(DATA_TS!$R$2:$R$20001,DATA_TS!$A$2:$A$20001,$A910,DATA_TS!$C$2:$C$20001,J$880,DATA_TS!$B$2:$B$20001,Kalkulasi!$B$877)))</f>
        <v/>
      </c>
      <c r="K910">
        <f>IF(OR($A910="",AD910=0),0,IF(Kalkulasi!$B$876="OB",SUMIFS(DATA_TS!$Q$2:$Q$20001,DATA_TS!$A$2:$A$20001,$A910,DATA_TS!$C$2:$C$20001,K$880,DATA_TS!$B$2:$B$20001,Kalkulasi!$B$877),SUMIFS(DATA_TS!$R$2:$R$20001,DATA_TS!$A$2:$A$20001,$A910,DATA_TS!$C$2:$C$20001,K$880,DATA_TS!$B$2:$B$20001,Kalkulasi!$B$877)))</f>
        <v/>
      </c>
      <c r="L910">
        <f>IF(OR($A910="",AE910=0),0,IF(Kalkulasi!$B$876="OB",SUMIFS(DATA_TS!$Q$2:$Q$20001,DATA_TS!$A$2:$A$20001,$A910,DATA_TS!$C$2:$C$20001,L$880,DATA_TS!$B$2:$B$20001,Kalkulasi!$B$877),SUMIFS(DATA_TS!$R$2:$R$20001,DATA_TS!$A$2:$A$20001,$A910,DATA_TS!$C$2:$C$20001,L$880,DATA_TS!$B$2:$B$20001,Kalkulasi!$B$877)))</f>
        <v/>
      </c>
      <c r="M910">
        <f>IF(OR($A910="",AF910=0),0,IF(Kalkulasi!$B$876="OB",SUMIFS(DATA_TS!$Q$2:$Q$20001,DATA_TS!$A$2:$A$20001,$A910,DATA_TS!$C$2:$C$20001,M$880,DATA_TS!$B$2:$B$20001,Kalkulasi!$B$877),SUMIFS(DATA_TS!$R$2:$R$20001,DATA_TS!$A$2:$A$20001,$A910,DATA_TS!$C$2:$C$20001,M$880,DATA_TS!$B$2:$B$20001,Kalkulasi!$B$877)))</f>
        <v/>
      </c>
      <c r="N910">
        <f>IF(OR($A910="",AG910=0),0,IF(Kalkulasi!$B$876="OB",SUMIFS(DATA_TS!$Q$2:$Q$20001,DATA_TS!$A$2:$A$20001,$A910,DATA_TS!$C$2:$C$20001,N$880,DATA_TS!$B$2:$B$20001,Kalkulasi!$B$877),SUMIFS(DATA_TS!$R$2:$R$20001,DATA_TS!$A$2:$A$20001,$A910,DATA_TS!$C$2:$C$20001,N$880,DATA_TS!$B$2:$B$20001,Kalkulasi!$B$877)))</f>
        <v/>
      </c>
      <c r="O910">
        <f>IF(OR($A910="",AH910=0),0,IF(Kalkulasi!$B$876="OB",SUMIFS(DATA_TS!$Q$2:$Q$20001,DATA_TS!$A$2:$A$20001,$A910,DATA_TS!$C$2:$C$20001,O$880,DATA_TS!$B$2:$B$20001,Kalkulasi!$B$877),SUMIFS(DATA_TS!$R$2:$R$20001,DATA_TS!$A$2:$A$20001,$A910,DATA_TS!$C$2:$C$20001,O$880,DATA_TS!$B$2:$B$20001,Kalkulasi!$B$877)))</f>
        <v/>
      </c>
      <c r="P910">
        <f>IF(OR($A910="",AI910=0),0,IF(Kalkulasi!$B$876="OB",SUMIFS(DATA_TS!$Q$2:$Q$20001,DATA_TS!$A$2:$A$20001,$A910,DATA_TS!$C$2:$C$20001,P$880,DATA_TS!$B$2:$B$20001,Kalkulasi!$B$877),SUMIFS(DATA_TS!$R$2:$R$20001,DATA_TS!$A$2:$A$20001,$A910,DATA_TS!$C$2:$C$20001,P$880,DATA_TS!$B$2:$B$20001,Kalkulasi!$B$877)))</f>
        <v/>
      </c>
      <c r="Q910">
        <f>IF(OR($A910="",AJ910=0),0,IF(Kalkulasi!$B$876="OB",SUMIFS(DATA_TS!$Q$2:$Q$20001,DATA_TS!$A$2:$A$20001,$A910,DATA_TS!$C$2:$C$20001,Q$880,DATA_TS!$B$2:$B$20001,Kalkulasi!$B$877),SUMIFS(DATA_TS!$R$2:$R$20001,DATA_TS!$A$2:$A$20001,$A910,DATA_TS!$C$2:$C$20001,Q$880,DATA_TS!$B$2:$B$20001,Kalkulasi!$B$877)))</f>
        <v/>
      </c>
      <c r="R910">
        <f>IF(OR($A910="",AK910=0),0,IF(Kalkulasi!$B$876="OB",SUMIFS(DATA_TS!$Q$2:$Q$20001,DATA_TS!$A$2:$A$20001,$A910,DATA_TS!$C$2:$C$20001,R$880,DATA_TS!$B$2:$B$20001,Kalkulasi!$B$877),SUMIFS(DATA_TS!$R$2:$R$20001,DATA_TS!$A$2:$A$20001,$A910,DATA_TS!$C$2:$C$20001,R$880,DATA_TS!$B$2:$B$20001,Kalkulasi!$B$877)))</f>
        <v/>
      </c>
      <c r="S910">
        <f>IF(OR($A910="",AL910=0),0,IF(Kalkulasi!$B$876="OB",SUMIFS(DATA_TS!$Q$2:$Q$20001,DATA_TS!$A$2:$A$20001,$A910,DATA_TS!$C$2:$C$20001,S$880,DATA_TS!$B$2:$B$20001,Kalkulasi!$B$877),SUMIFS(DATA_TS!$R$2:$R$20001,DATA_TS!$A$2:$A$20001,$A910,DATA_TS!$C$2:$C$20001,S$880,DATA_TS!$B$2:$B$20001,Kalkulasi!$B$877)))</f>
        <v/>
      </c>
      <c r="T910">
        <f>SUM(B910:S910)</f>
        <v/>
      </c>
      <c r="U910">
        <f>IF($A910="",0,IF(Kalkulasi!$B$876="OB",SUMIFS(DATA_TS!$M$2:$M$20001,DATA_TS!$A$2:$A$20001,$A910,DATA_TS!$C$2:$C$20001,B$880,DATA_TS!$B$2:$B$20001,Kalkulasi!$B$877),SUMIFS(DATA_TS!$N$2:$N$20001,DATA_TS!$A$2:$A$20001,$A910,DATA_TS!$C$2:$C$20001,B$880,DATA_TS!$B$2:$B$20001,Kalkulasi!$B$877)))</f>
        <v/>
      </c>
      <c r="V910">
        <f>IF($A910="",0,IF(Kalkulasi!$B$876="OB",SUMIFS(DATA_TS!$M$2:$M$20001,DATA_TS!$A$2:$A$20001,$A910,DATA_TS!$C$2:$C$20001,C$880,DATA_TS!$B$2:$B$20001,Kalkulasi!$B$877),SUMIFS(DATA_TS!$N$2:$N$20001,DATA_TS!$A$2:$A$20001,$A910,DATA_TS!$C$2:$C$20001,C$880,DATA_TS!$B$2:$B$20001,Kalkulasi!$B$877)))</f>
        <v/>
      </c>
      <c r="W910">
        <f>IF($A910="",0,IF(Kalkulasi!$B$876="OB",SUMIFS(DATA_TS!$M$2:$M$20001,DATA_TS!$A$2:$A$20001,$A910,DATA_TS!$C$2:$C$20001,D$880,DATA_TS!$B$2:$B$20001,Kalkulasi!$B$877),SUMIFS(DATA_TS!$N$2:$N$20001,DATA_TS!$A$2:$A$20001,$A910,DATA_TS!$C$2:$C$20001,D$880,DATA_TS!$B$2:$B$20001,Kalkulasi!$B$877)))</f>
        <v/>
      </c>
      <c r="X910">
        <f>IF($A910="",0,IF(Kalkulasi!$B$876="OB",SUMIFS(DATA_TS!$M$2:$M$20001,DATA_TS!$A$2:$A$20001,$A910,DATA_TS!$C$2:$C$20001,E$880,DATA_TS!$B$2:$B$20001,Kalkulasi!$B$877),SUMIFS(DATA_TS!$N$2:$N$20001,DATA_TS!$A$2:$A$20001,$A910,DATA_TS!$C$2:$C$20001,E$880,DATA_TS!$B$2:$B$20001,Kalkulasi!$B$877)))</f>
        <v/>
      </c>
      <c r="Y910">
        <f>IF($A910="",0,IF(Kalkulasi!$B$876="OB",SUMIFS(DATA_TS!$M$2:$M$20001,DATA_TS!$A$2:$A$20001,$A910,DATA_TS!$C$2:$C$20001,F$880,DATA_TS!$B$2:$B$20001,Kalkulasi!$B$877),SUMIFS(DATA_TS!$N$2:$N$20001,DATA_TS!$A$2:$A$20001,$A910,DATA_TS!$C$2:$C$20001,F$880,DATA_TS!$B$2:$B$20001,Kalkulasi!$B$877)))</f>
        <v/>
      </c>
      <c r="Z910">
        <f>IF($A910="",0,IF(Kalkulasi!$B$876="OB",SUMIFS(DATA_TS!$M$2:$M$20001,DATA_TS!$A$2:$A$20001,$A910,DATA_TS!$C$2:$C$20001,G$880,DATA_TS!$B$2:$B$20001,Kalkulasi!$B$877),SUMIFS(DATA_TS!$N$2:$N$20001,DATA_TS!$A$2:$A$20001,$A910,DATA_TS!$C$2:$C$20001,G$880,DATA_TS!$B$2:$B$20001,Kalkulasi!$B$877)))</f>
        <v/>
      </c>
      <c r="AA910">
        <f>IF($A910="",0,IF(Kalkulasi!$B$876="OB",SUMIFS(DATA_TS!$M$2:$M$20001,DATA_TS!$A$2:$A$20001,$A910,DATA_TS!$C$2:$C$20001,H$880,DATA_TS!$B$2:$B$20001,Kalkulasi!$B$877),SUMIFS(DATA_TS!$N$2:$N$20001,DATA_TS!$A$2:$A$20001,$A910,DATA_TS!$C$2:$C$20001,H$880,DATA_TS!$B$2:$B$20001,Kalkulasi!$B$877)))</f>
        <v/>
      </c>
      <c r="AB910">
        <f>IF($A910="",0,IF(Kalkulasi!$B$876="OB",SUMIFS(DATA_TS!$M$2:$M$20001,DATA_TS!$A$2:$A$20001,$A910,DATA_TS!$C$2:$C$20001,I$880,DATA_TS!$B$2:$B$20001,Kalkulasi!$B$877),SUMIFS(DATA_TS!$N$2:$N$20001,DATA_TS!$A$2:$A$20001,$A910,DATA_TS!$C$2:$C$20001,I$880,DATA_TS!$B$2:$B$20001,Kalkulasi!$B$877)))</f>
        <v/>
      </c>
      <c r="AC910">
        <f>IF($A910="",0,IF(Kalkulasi!$B$876="OB",SUMIFS(DATA_TS!$M$2:$M$20001,DATA_TS!$A$2:$A$20001,$A910,DATA_TS!$C$2:$C$20001,J$880,DATA_TS!$B$2:$B$20001,Kalkulasi!$B$877),SUMIFS(DATA_TS!$N$2:$N$20001,DATA_TS!$A$2:$A$20001,$A910,DATA_TS!$C$2:$C$20001,J$880,DATA_TS!$B$2:$B$20001,Kalkulasi!$B$877)))</f>
        <v/>
      </c>
      <c r="AD910">
        <f>IF($A910="",0,IF(Kalkulasi!$B$876="OB",SUMIFS(DATA_TS!$M$2:$M$20001,DATA_TS!$A$2:$A$20001,$A910,DATA_TS!$C$2:$C$20001,K$880,DATA_TS!$B$2:$B$20001,Kalkulasi!$B$877),SUMIFS(DATA_TS!$N$2:$N$20001,DATA_TS!$A$2:$A$20001,$A910,DATA_TS!$C$2:$C$20001,K$880,DATA_TS!$B$2:$B$20001,Kalkulasi!$B$877)))</f>
        <v/>
      </c>
      <c r="AE910">
        <f>IF($A910="",0,IF(Kalkulasi!$B$876="OB",SUMIFS(DATA_TS!$M$2:$M$20001,DATA_TS!$A$2:$A$20001,$A910,DATA_TS!$C$2:$C$20001,L$880,DATA_TS!$B$2:$B$20001,Kalkulasi!$B$877),SUMIFS(DATA_TS!$N$2:$N$20001,DATA_TS!$A$2:$A$20001,$A910,DATA_TS!$C$2:$C$20001,L$880,DATA_TS!$B$2:$B$20001,Kalkulasi!$B$877)))</f>
        <v/>
      </c>
      <c r="AF910">
        <f>IF($A910="",0,IF(Kalkulasi!$B$876="OB",SUMIFS(DATA_TS!$M$2:$M$20001,DATA_TS!$A$2:$A$20001,$A910,DATA_TS!$C$2:$C$20001,M$880,DATA_TS!$B$2:$B$20001,Kalkulasi!$B$877),SUMIFS(DATA_TS!$N$2:$N$20001,DATA_TS!$A$2:$A$20001,$A910,DATA_TS!$C$2:$C$20001,M$880,DATA_TS!$B$2:$B$20001,Kalkulasi!$B$877)))</f>
        <v/>
      </c>
      <c r="AG910">
        <f>IF($A910="",0,IF(Kalkulasi!$B$876="OB",SUMIFS(DATA_TS!$M$2:$M$20001,DATA_TS!$A$2:$A$20001,$A910,DATA_TS!$C$2:$C$20001,N$880,DATA_TS!$B$2:$B$20001,Kalkulasi!$B$877),SUMIFS(DATA_TS!$N$2:$N$20001,DATA_TS!$A$2:$A$20001,$A910,DATA_TS!$C$2:$C$20001,N$880,DATA_TS!$B$2:$B$20001,Kalkulasi!$B$877)))</f>
        <v/>
      </c>
      <c r="AH910">
        <f>IF($A910="",0,IF(Kalkulasi!$B$876="OB",SUMIFS(DATA_TS!$M$2:$M$20001,DATA_TS!$A$2:$A$20001,$A910,DATA_TS!$C$2:$C$20001,O$880,DATA_TS!$B$2:$B$20001,Kalkulasi!$B$877),SUMIFS(DATA_TS!$N$2:$N$20001,DATA_TS!$A$2:$A$20001,$A910,DATA_TS!$C$2:$C$20001,O$880,DATA_TS!$B$2:$B$20001,Kalkulasi!$B$877)))</f>
        <v/>
      </c>
      <c r="AI910">
        <f>IF($A910="",0,IF(Kalkulasi!$B$876="OB",SUMIFS(DATA_TS!$M$2:$M$20001,DATA_TS!$A$2:$A$20001,$A910,DATA_TS!$C$2:$C$20001,P$880,DATA_TS!$B$2:$B$20001,Kalkulasi!$B$877),SUMIFS(DATA_TS!$N$2:$N$20001,DATA_TS!$A$2:$A$20001,$A910,DATA_TS!$C$2:$C$20001,P$880,DATA_TS!$B$2:$B$20001,Kalkulasi!$B$877)))</f>
        <v/>
      </c>
      <c r="AJ910">
        <f>IF($A910="",0,IF(Kalkulasi!$B$876="OB",SUMIFS(DATA_TS!$M$2:$M$20001,DATA_TS!$A$2:$A$20001,$A910,DATA_TS!$C$2:$C$20001,Q$880,DATA_TS!$B$2:$B$20001,Kalkulasi!$B$877),SUMIFS(DATA_TS!$N$2:$N$20001,DATA_TS!$A$2:$A$20001,$A910,DATA_TS!$C$2:$C$20001,Q$880,DATA_TS!$B$2:$B$20001,Kalkulasi!$B$877)))</f>
        <v/>
      </c>
      <c r="AK910">
        <f>IF($A910="",0,IF(Kalkulasi!$B$876="OB",SUMIFS(DATA_TS!$M$2:$M$20001,DATA_TS!$A$2:$A$20001,$A910,DATA_TS!$C$2:$C$20001,R$880,DATA_TS!$B$2:$B$20001,Kalkulasi!$B$877),SUMIFS(DATA_TS!$N$2:$N$20001,DATA_TS!$A$2:$A$20001,$A910,DATA_TS!$C$2:$C$20001,R$880,DATA_TS!$B$2:$B$20001,Kalkulasi!$B$877)))</f>
        <v/>
      </c>
      <c r="AL910">
        <f>IF($A910="",0,IF(Kalkulasi!$B$876="OB",SUMIFS(DATA_TS!$M$2:$M$20001,DATA_TS!$A$2:$A$20001,$A910,DATA_TS!$C$2:$C$20001,S$880,DATA_TS!$B$2:$B$20001,Kalkulasi!$B$877),SUMIFS(DATA_TS!$N$2:$N$20001,DATA_TS!$A$2:$A$20001,$A910,DATA_TS!$C$2:$C$20001,S$880,DATA_TS!$B$2:$B$20001,Kalkulasi!$B$877)))</f>
        <v/>
      </c>
      <c r="AM910">
        <f>SUM(U910:AL910)</f>
        <v/>
      </c>
      <c r="AN910">
        <f>IF(OR(U910=0,B910=0),"",B910/U910)</f>
        <v/>
      </c>
      <c r="AO910">
        <f>IF(OR(V910=0,C910=0),"",C910/V910)</f>
        <v/>
      </c>
      <c r="AP910">
        <f>IF(OR(W910=0,D910=0),"",D910/W910)</f>
        <v/>
      </c>
      <c r="AQ910">
        <f>IF(OR(X910=0,E910=0),"",E910/X910)</f>
        <v/>
      </c>
      <c r="AR910">
        <f>IF(OR(Y910=0,F910=0),"",F910/Y910)</f>
        <v/>
      </c>
      <c r="AS910">
        <f>IF(OR(Z910=0,G910=0),"",G910/Z910)</f>
        <v/>
      </c>
      <c r="AT910">
        <f>IF(OR(AA910=0,H910=0),"",H910/AA910)</f>
        <v/>
      </c>
      <c r="AU910">
        <f>IF(OR(AB910=0,I910=0),"",I910/AB910)</f>
        <v/>
      </c>
      <c r="AV910">
        <f>IF(OR(AC910=0,J910=0),"",J910/AC910)</f>
        <v/>
      </c>
      <c r="AW910">
        <f>IF(OR(AD910=0,K910=0),"",K910/AD910)</f>
        <v/>
      </c>
      <c r="AX910">
        <f>IF(OR(AE910=0,L910=0),"",L910/AE910)</f>
        <v/>
      </c>
      <c r="AY910">
        <f>IF(OR(AF910=0,M910=0),"",M910/AF910)</f>
        <v/>
      </c>
      <c r="AZ910">
        <f>IF(OR(AG910=0,N910=0),"",N910/AG910)</f>
        <v/>
      </c>
      <c r="BA910">
        <f>IF(OR(AH910=0,O910=0),"",O910/AH910)</f>
        <v/>
      </c>
      <c r="BB910">
        <f>IF(OR(AI910=0,P910=0),"",P910/AI910)</f>
        <v/>
      </c>
      <c r="BC910">
        <f>IF(OR(AJ910=0,Q910=0),"",Q910/AJ910)</f>
        <v/>
      </c>
      <c r="BD910">
        <f>IF(OR(AK910=0,R910=0),"",R910/AK910)</f>
        <v/>
      </c>
      <c r="BE910">
        <f>IF(OR(AL910=0,S910=0),"",S910/AL910)</f>
        <v/>
      </c>
      <c r="BF910">
        <f>IF(AM910=0,NA(),T910/AM910)</f>
        <v/>
      </c>
      <c r="BG910" t="n">
        <v>30</v>
      </c>
      <c r="BH910">
        <f>IF(AM910=0,"",T910/AM910)</f>
        <v/>
      </c>
      <c r="BI910">
        <f>IF($A910="","",TEXT($A910,"d"))</f>
        <v/>
      </c>
    </row>
    <row r="911">
      <c r="A911" s="199">
        <f>IF(Kalkulasi!$B$873+30&gt;Kalkulasi!$B$874,"",Kalkulasi!$B$873+30)</f>
        <v/>
      </c>
      <c r="B911">
        <f>IF(OR($A911="",U911=0),0,IF(Kalkulasi!$B$876="OB",SUMIFS(DATA_TS!$Q$2:$Q$20001,DATA_TS!$A$2:$A$20001,$A911,DATA_TS!$C$2:$C$20001,B$880,DATA_TS!$B$2:$B$20001,Kalkulasi!$B$877),SUMIFS(DATA_TS!$R$2:$R$20001,DATA_TS!$A$2:$A$20001,$A911,DATA_TS!$C$2:$C$20001,B$880,DATA_TS!$B$2:$B$20001,Kalkulasi!$B$877)))</f>
        <v/>
      </c>
      <c r="C911">
        <f>IF(OR($A911="",V911=0),0,IF(Kalkulasi!$B$876="OB",SUMIFS(DATA_TS!$Q$2:$Q$20001,DATA_TS!$A$2:$A$20001,$A911,DATA_TS!$C$2:$C$20001,C$880,DATA_TS!$B$2:$B$20001,Kalkulasi!$B$877),SUMIFS(DATA_TS!$R$2:$R$20001,DATA_TS!$A$2:$A$20001,$A911,DATA_TS!$C$2:$C$20001,C$880,DATA_TS!$B$2:$B$20001,Kalkulasi!$B$877)))</f>
        <v/>
      </c>
      <c r="D911">
        <f>IF(OR($A911="",W911=0),0,IF(Kalkulasi!$B$876="OB",SUMIFS(DATA_TS!$Q$2:$Q$20001,DATA_TS!$A$2:$A$20001,$A911,DATA_TS!$C$2:$C$20001,D$880,DATA_TS!$B$2:$B$20001,Kalkulasi!$B$877),SUMIFS(DATA_TS!$R$2:$R$20001,DATA_TS!$A$2:$A$20001,$A911,DATA_TS!$C$2:$C$20001,D$880,DATA_TS!$B$2:$B$20001,Kalkulasi!$B$877)))</f>
        <v/>
      </c>
      <c r="E911">
        <f>IF(OR($A911="",X911=0),0,IF(Kalkulasi!$B$876="OB",SUMIFS(DATA_TS!$Q$2:$Q$20001,DATA_TS!$A$2:$A$20001,$A911,DATA_TS!$C$2:$C$20001,E$880,DATA_TS!$B$2:$B$20001,Kalkulasi!$B$877),SUMIFS(DATA_TS!$R$2:$R$20001,DATA_TS!$A$2:$A$20001,$A911,DATA_TS!$C$2:$C$20001,E$880,DATA_TS!$B$2:$B$20001,Kalkulasi!$B$877)))</f>
        <v/>
      </c>
      <c r="F911">
        <f>IF(OR($A911="",Y911=0),0,IF(Kalkulasi!$B$876="OB",SUMIFS(DATA_TS!$Q$2:$Q$20001,DATA_TS!$A$2:$A$20001,$A911,DATA_TS!$C$2:$C$20001,F$880,DATA_TS!$B$2:$B$20001,Kalkulasi!$B$877),SUMIFS(DATA_TS!$R$2:$R$20001,DATA_TS!$A$2:$A$20001,$A911,DATA_TS!$C$2:$C$20001,F$880,DATA_TS!$B$2:$B$20001,Kalkulasi!$B$877)))</f>
        <v/>
      </c>
      <c r="G911">
        <f>IF(OR($A911="",Z911=0),0,IF(Kalkulasi!$B$876="OB",SUMIFS(DATA_TS!$Q$2:$Q$20001,DATA_TS!$A$2:$A$20001,$A911,DATA_TS!$C$2:$C$20001,G$880,DATA_TS!$B$2:$B$20001,Kalkulasi!$B$877),SUMIFS(DATA_TS!$R$2:$R$20001,DATA_TS!$A$2:$A$20001,$A911,DATA_TS!$C$2:$C$20001,G$880,DATA_TS!$B$2:$B$20001,Kalkulasi!$B$877)))</f>
        <v/>
      </c>
      <c r="H911">
        <f>IF(OR($A911="",AA911=0),0,IF(Kalkulasi!$B$876="OB",SUMIFS(DATA_TS!$Q$2:$Q$20001,DATA_TS!$A$2:$A$20001,$A911,DATA_TS!$C$2:$C$20001,H$880,DATA_TS!$B$2:$B$20001,Kalkulasi!$B$877),SUMIFS(DATA_TS!$R$2:$R$20001,DATA_TS!$A$2:$A$20001,$A911,DATA_TS!$C$2:$C$20001,H$880,DATA_TS!$B$2:$B$20001,Kalkulasi!$B$877)))</f>
        <v/>
      </c>
      <c r="I911">
        <f>IF(OR($A911="",AB911=0),0,IF(Kalkulasi!$B$876="OB",SUMIFS(DATA_TS!$Q$2:$Q$20001,DATA_TS!$A$2:$A$20001,$A911,DATA_TS!$C$2:$C$20001,I$880,DATA_TS!$B$2:$B$20001,Kalkulasi!$B$877),SUMIFS(DATA_TS!$R$2:$R$20001,DATA_TS!$A$2:$A$20001,$A911,DATA_TS!$C$2:$C$20001,I$880,DATA_TS!$B$2:$B$20001,Kalkulasi!$B$877)))</f>
        <v/>
      </c>
      <c r="J911">
        <f>IF(OR($A911="",AC911=0),0,IF(Kalkulasi!$B$876="OB",SUMIFS(DATA_TS!$Q$2:$Q$20001,DATA_TS!$A$2:$A$20001,$A911,DATA_TS!$C$2:$C$20001,J$880,DATA_TS!$B$2:$B$20001,Kalkulasi!$B$877),SUMIFS(DATA_TS!$R$2:$R$20001,DATA_TS!$A$2:$A$20001,$A911,DATA_TS!$C$2:$C$20001,J$880,DATA_TS!$B$2:$B$20001,Kalkulasi!$B$877)))</f>
        <v/>
      </c>
      <c r="K911">
        <f>IF(OR($A911="",AD911=0),0,IF(Kalkulasi!$B$876="OB",SUMIFS(DATA_TS!$Q$2:$Q$20001,DATA_TS!$A$2:$A$20001,$A911,DATA_TS!$C$2:$C$20001,K$880,DATA_TS!$B$2:$B$20001,Kalkulasi!$B$877),SUMIFS(DATA_TS!$R$2:$R$20001,DATA_TS!$A$2:$A$20001,$A911,DATA_TS!$C$2:$C$20001,K$880,DATA_TS!$B$2:$B$20001,Kalkulasi!$B$877)))</f>
        <v/>
      </c>
      <c r="L911">
        <f>IF(OR($A911="",AE911=0),0,IF(Kalkulasi!$B$876="OB",SUMIFS(DATA_TS!$Q$2:$Q$20001,DATA_TS!$A$2:$A$20001,$A911,DATA_TS!$C$2:$C$20001,L$880,DATA_TS!$B$2:$B$20001,Kalkulasi!$B$877),SUMIFS(DATA_TS!$R$2:$R$20001,DATA_TS!$A$2:$A$20001,$A911,DATA_TS!$C$2:$C$20001,L$880,DATA_TS!$B$2:$B$20001,Kalkulasi!$B$877)))</f>
        <v/>
      </c>
      <c r="M911">
        <f>IF(OR($A911="",AF911=0),0,IF(Kalkulasi!$B$876="OB",SUMIFS(DATA_TS!$Q$2:$Q$20001,DATA_TS!$A$2:$A$20001,$A911,DATA_TS!$C$2:$C$20001,M$880,DATA_TS!$B$2:$B$20001,Kalkulasi!$B$877),SUMIFS(DATA_TS!$R$2:$R$20001,DATA_TS!$A$2:$A$20001,$A911,DATA_TS!$C$2:$C$20001,M$880,DATA_TS!$B$2:$B$20001,Kalkulasi!$B$877)))</f>
        <v/>
      </c>
      <c r="N911">
        <f>IF(OR($A911="",AG911=0),0,IF(Kalkulasi!$B$876="OB",SUMIFS(DATA_TS!$Q$2:$Q$20001,DATA_TS!$A$2:$A$20001,$A911,DATA_TS!$C$2:$C$20001,N$880,DATA_TS!$B$2:$B$20001,Kalkulasi!$B$877),SUMIFS(DATA_TS!$R$2:$R$20001,DATA_TS!$A$2:$A$20001,$A911,DATA_TS!$C$2:$C$20001,N$880,DATA_TS!$B$2:$B$20001,Kalkulasi!$B$877)))</f>
        <v/>
      </c>
      <c r="O911">
        <f>IF(OR($A911="",AH911=0),0,IF(Kalkulasi!$B$876="OB",SUMIFS(DATA_TS!$Q$2:$Q$20001,DATA_TS!$A$2:$A$20001,$A911,DATA_TS!$C$2:$C$20001,O$880,DATA_TS!$B$2:$B$20001,Kalkulasi!$B$877),SUMIFS(DATA_TS!$R$2:$R$20001,DATA_TS!$A$2:$A$20001,$A911,DATA_TS!$C$2:$C$20001,O$880,DATA_TS!$B$2:$B$20001,Kalkulasi!$B$877)))</f>
        <v/>
      </c>
      <c r="P911">
        <f>IF(OR($A911="",AI911=0),0,IF(Kalkulasi!$B$876="OB",SUMIFS(DATA_TS!$Q$2:$Q$20001,DATA_TS!$A$2:$A$20001,$A911,DATA_TS!$C$2:$C$20001,P$880,DATA_TS!$B$2:$B$20001,Kalkulasi!$B$877),SUMIFS(DATA_TS!$R$2:$R$20001,DATA_TS!$A$2:$A$20001,$A911,DATA_TS!$C$2:$C$20001,P$880,DATA_TS!$B$2:$B$20001,Kalkulasi!$B$877)))</f>
        <v/>
      </c>
      <c r="Q911">
        <f>IF(OR($A911="",AJ911=0),0,IF(Kalkulasi!$B$876="OB",SUMIFS(DATA_TS!$Q$2:$Q$20001,DATA_TS!$A$2:$A$20001,$A911,DATA_TS!$C$2:$C$20001,Q$880,DATA_TS!$B$2:$B$20001,Kalkulasi!$B$877),SUMIFS(DATA_TS!$R$2:$R$20001,DATA_TS!$A$2:$A$20001,$A911,DATA_TS!$C$2:$C$20001,Q$880,DATA_TS!$B$2:$B$20001,Kalkulasi!$B$877)))</f>
        <v/>
      </c>
      <c r="R911">
        <f>IF(OR($A911="",AK911=0),0,IF(Kalkulasi!$B$876="OB",SUMIFS(DATA_TS!$Q$2:$Q$20001,DATA_TS!$A$2:$A$20001,$A911,DATA_TS!$C$2:$C$20001,R$880,DATA_TS!$B$2:$B$20001,Kalkulasi!$B$877),SUMIFS(DATA_TS!$R$2:$R$20001,DATA_TS!$A$2:$A$20001,$A911,DATA_TS!$C$2:$C$20001,R$880,DATA_TS!$B$2:$B$20001,Kalkulasi!$B$877)))</f>
        <v/>
      </c>
      <c r="S911">
        <f>IF(OR($A911="",AL911=0),0,IF(Kalkulasi!$B$876="OB",SUMIFS(DATA_TS!$Q$2:$Q$20001,DATA_TS!$A$2:$A$20001,$A911,DATA_TS!$C$2:$C$20001,S$880,DATA_TS!$B$2:$B$20001,Kalkulasi!$B$877),SUMIFS(DATA_TS!$R$2:$R$20001,DATA_TS!$A$2:$A$20001,$A911,DATA_TS!$C$2:$C$20001,S$880,DATA_TS!$B$2:$B$20001,Kalkulasi!$B$877)))</f>
        <v/>
      </c>
      <c r="T911">
        <f>SUM(B911:S911)</f>
        <v/>
      </c>
      <c r="U911">
        <f>IF($A911="",0,IF(Kalkulasi!$B$876="OB",SUMIFS(DATA_TS!$M$2:$M$20001,DATA_TS!$A$2:$A$20001,$A911,DATA_TS!$C$2:$C$20001,B$880,DATA_TS!$B$2:$B$20001,Kalkulasi!$B$877),SUMIFS(DATA_TS!$N$2:$N$20001,DATA_TS!$A$2:$A$20001,$A911,DATA_TS!$C$2:$C$20001,B$880,DATA_TS!$B$2:$B$20001,Kalkulasi!$B$877)))</f>
        <v/>
      </c>
      <c r="V911">
        <f>IF($A911="",0,IF(Kalkulasi!$B$876="OB",SUMIFS(DATA_TS!$M$2:$M$20001,DATA_TS!$A$2:$A$20001,$A911,DATA_TS!$C$2:$C$20001,C$880,DATA_TS!$B$2:$B$20001,Kalkulasi!$B$877),SUMIFS(DATA_TS!$N$2:$N$20001,DATA_TS!$A$2:$A$20001,$A911,DATA_TS!$C$2:$C$20001,C$880,DATA_TS!$B$2:$B$20001,Kalkulasi!$B$877)))</f>
        <v/>
      </c>
      <c r="W911">
        <f>IF($A911="",0,IF(Kalkulasi!$B$876="OB",SUMIFS(DATA_TS!$M$2:$M$20001,DATA_TS!$A$2:$A$20001,$A911,DATA_TS!$C$2:$C$20001,D$880,DATA_TS!$B$2:$B$20001,Kalkulasi!$B$877),SUMIFS(DATA_TS!$N$2:$N$20001,DATA_TS!$A$2:$A$20001,$A911,DATA_TS!$C$2:$C$20001,D$880,DATA_TS!$B$2:$B$20001,Kalkulasi!$B$877)))</f>
        <v/>
      </c>
      <c r="X911">
        <f>IF($A911="",0,IF(Kalkulasi!$B$876="OB",SUMIFS(DATA_TS!$M$2:$M$20001,DATA_TS!$A$2:$A$20001,$A911,DATA_TS!$C$2:$C$20001,E$880,DATA_TS!$B$2:$B$20001,Kalkulasi!$B$877),SUMIFS(DATA_TS!$N$2:$N$20001,DATA_TS!$A$2:$A$20001,$A911,DATA_TS!$C$2:$C$20001,E$880,DATA_TS!$B$2:$B$20001,Kalkulasi!$B$877)))</f>
        <v/>
      </c>
      <c r="Y911">
        <f>IF($A911="",0,IF(Kalkulasi!$B$876="OB",SUMIFS(DATA_TS!$M$2:$M$20001,DATA_TS!$A$2:$A$20001,$A911,DATA_TS!$C$2:$C$20001,F$880,DATA_TS!$B$2:$B$20001,Kalkulasi!$B$877),SUMIFS(DATA_TS!$N$2:$N$20001,DATA_TS!$A$2:$A$20001,$A911,DATA_TS!$C$2:$C$20001,F$880,DATA_TS!$B$2:$B$20001,Kalkulasi!$B$877)))</f>
        <v/>
      </c>
      <c r="Z911">
        <f>IF($A911="",0,IF(Kalkulasi!$B$876="OB",SUMIFS(DATA_TS!$M$2:$M$20001,DATA_TS!$A$2:$A$20001,$A911,DATA_TS!$C$2:$C$20001,G$880,DATA_TS!$B$2:$B$20001,Kalkulasi!$B$877),SUMIFS(DATA_TS!$N$2:$N$20001,DATA_TS!$A$2:$A$20001,$A911,DATA_TS!$C$2:$C$20001,G$880,DATA_TS!$B$2:$B$20001,Kalkulasi!$B$877)))</f>
        <v/>
      </c>
      <c r="AA911">
        <f>IF($A911="",0,IF(Kalkulasi!$B$876="OB",SUMIFS(DATA_TS!$M$2:$M$20001,DATA_TS!$A$2:$A$20001,$A911,DATA_TS!$C$2:$C$20001,H$880,DATA_TS!$B$2:$B$20001,Kalkulasi!$B$877),SUMIFS(DATA_TS!$N$2:$N$20001,DATA_TS!$A$2:$A$20001,$A911,DATA_TS!$C$2:$C$20001,H$880,DATA_TS!$B$2:$B$20001,Kalkulasi!$B$877)))</f>
        <v/>
      </c>
      <c r="AB911">
        <f>IF($A911="",0,IF(Kalkulasi!$B$876="OB",SUMIFS(DATA_TS!$M$2:$M$20001,DATA_TS!$A$2:$A$20001,$A911,DATA_TS!$C$2:$C$20001,I$880,DATA_TS!$B$2:$B$20001,Kalkulasi!$B$877),SUMIFS(DATA_TS!$N$2:$N$20001,DATA_TS!$A$2:$A$20001,$A911,DATA_TS!$C$2:$C$20001,I$880,DATA_TS!$B$2:$B$20001,Kalkulasi!$B$877)))</f>
        <v/>
      </c>
      <c r="AC911">
        <f>IF($A911="",0,IF(Kalkulasi!$B$876="OB",SUMIFS(DATA_TS!$M$2:$M$20001,DATA_TS!$A$2:$A$20001,$A911,DATA_TS!$C$2:$C$20001,J$880,DATA_TS!$B$2:$B$20001,Kalkulasi!$B$877),SUMIFS(DATA_TS!$N$2:$N$20001,DATA_TS!$A$2:$A$20001,$A911,DATA_TS!$C$2:$C$20001,J$880,DATA_TS!$B$2:$B$20001,Kalkulasi!$B$877)))</f>
        <v/>
      </c>
      <c r="AD911">
        <f>IF($A911="",0,IF(Kalkulasi!$B$876="OB",SUMIFS(DATA_TS!$M$2:$M$20001,DATA_TS!$A$2:$A$20001,$A911,DATA_TS!$C$2:$C$20001,K$880,DATA_TS!$B$2:$B$20001,Kalkulasi!$B$877),SUMIFS(DATA_TS!$N$2:$N$20001,DATA_TS!$A$2:$A$20001,$A911,DATA_TS!$C$2:$C$20001,K$880,DATA_TS!$B$2:$B$20001,Kalkulasi!$B$877)))</f>
        <v/>
      </c>
      <c r="AE911">
        <f>IF($A911="",0,IF(Kalkulasi!$B$876="OB",SUMIFS(DATA_TS!$M$2:$M$20001,DATA_TS!$A$2:$A$20001,$A911,DATA_TS!$C$2:$C$20001,L$880,DATA_TS!$B$2:$B$20001,Kalkulasi!$B$877),SUMIFS(DATA_TS!$N$2:$N$20001,DATA_TS!$A$2:$A$20001,$A911,DATA_TS!$C$2:$C$20001,L$880,DATA_TS!$B$2:$B$20001,Kalkulasi!$B$877)))</f>
        <v/>
      </c>
      <c r="AF911">
        <f>IF($A911="",0,IF(Kalkulasi!$B$876="OB",SUMIFS(DATA_TS!$M$2:$M$20001,DATA_TS!$A$2:$A$20001,$A911,DATA_TS!$C$2:$C$20001,M$880,DATA_TS!$B$2:$B$20001,Kalkulasi!$B$877),SUMIFS(DATA_TS!$N$2:$N$20001,DATA_TS!$A$2:$A$20001,$A911,DATA_TS!$C$2:$C$20001,M$880,DATA_TS!$B$2:$B$20001,Kalkulasi!$B$877)))</f>
        <v/>
      </c>
      <c r="AG911">
        <f>IF($A911="",0,IF(Kalkulasi!$B$876="OB",SUMIFS(DATA_TS!$M$2:$M$20001,DATA_TS!$A$2:$A$20001,$A911,DATA_TS!$C$2:$C$20001,N$880,DATA_TS!$B$2:$B$20001,Kalkulasi!$B$877),SUMIFS(DATA_TS!$N$2:$N$20001,DATA_TS!$A$2:$A$20001,$A911,DATA_TS!$C$2:$C$20001,N$880,DATA_TS!$B$2:$B$20001,Kalkulasi!$B$877)))</f>
        <v/>
      </c>
      <c r="AH911">
        <f>IF($A911="",0,IF(Kalkulasi!$B$876="OB",SUMIFS(DATA_TS!$M$2:$M$20001,DATA_TS!$A$2:$A$20001,$A911,DATA_TS!$C$2:$C$20001,O$880,DATA_TS!$B$2:$B$20001,Kalkulasi!$B$877),SUMIFS(DATA_TS!$N$2:$N$20001,DATA_TS!$A$2:$A$20001,$A911,DATA_TS!$C$2:$C$20001,O$880,DATA_TS!$B$2:$B$20001,Kalkulasi!$B$877)))</f>
        <v/>
      </c>
      <c r="AI911">
        <f>IF($A911="",0,IF(Kalkulasi!$B$876="OB",SUMIFS(DATA_TS!$M$2:$M$20001,DATA_TS!$A$2:$A$20001,$A911,DATA_TS!$C$2:$C$20001,P$880,DATA_TS!$B$2:$B$20001,Kalkulasi!$B$877),SUMIFS(DATA_TS!$N$2:$N$20001,DATA_TS!$A$2:$A$20001,$A911,DATA_TS!$C$2:$C$20001,P$880,DATA_TS!$B$2:$B$20001,Kalkulasi!$B$877)))</f>
        <v/>
      </c>
      <c r="AJ911">
        <f>IF($A911="",0,IF(Kalkulasi!$B$876="OB",SUMIFS(DATA_TS!$M$2:$M$20001,DATA_TS!$A$2:$A$20001,$A911,DATA_TS!$C$2:$C$20001,Q$880,DATA_TS!$B$2:$B$20001,Kalkulasi!$B$877),SUMIFS(DATA_TS!$N$2:$N$20001,DATA_TS!$A$2:$A$20001,$A911,DATA_TS!$C$2:$C$20001,Q$880,DATA_TS!$B$2:$B$20001,Kalkulasi!$B$877)))</f>
        <v/>
      </c>
      <c r="AK911">
        <f>IF($A911="",0,IF(Kalkulasi!$B$876="OB",SUMIFS(DATA_TS!$M$2:$M$20001,DATA_TS!$A$2:$A$20001,$A911,DATA_TS!$C$2:$C$20001,R$880,DATA_TS!$B$2:$B$20001,Kalkulasi!$B$877),SUMIFS(DATA_TS!$N$2:$N$20001,DATA_TS!$A$2:$A$20001,$A911,DATA_TS!$C$2:$C$20001,R$880,DATA_TS!$B$2:$B$20001,Kalkulasi!$B$877)))</f>
        <v/>
      </c>
      <c r="AL911">
        <f>IF($A911="",0,IF(Kalkulasi!$B$876="OB",SUMIFS(DATA_TS!$M$2:$M$20001,DATA_TS!$A$2:$A$20001,$A911,DATA_TS!$C$2:$C$20001,S$880,DATA_TS!$B$2:$B$20001,Kalkulasi!$B$877),SUMIFS(DATA_TS!$N$2:$N$20001,DATA_TS!$A$2:$A$20001,$A911,DATA_TS!$C$2:$C$20001,S$880,DATA_TS!$B$2:$B$20001,Kalkulasi!$B$877)))</f>
        <v/>
      </c>
      <c r="AM911">
        <f>SUM(U911:AL911)</f>
        <v/>
      </c>
      <c r="AN911">
        <f>IF(OR(U911=0,B911=0),"",B911/U911)</f>
        <v/>
      </c>
      <c r="AO911">
        <f>IF(OR(V911=0,C911=0),"",C911/V911)</f>
        <v/>
      </c>
      <c r="AP911">
        <f>IF(OR(W911=0,D911=0),"",D911/W911)</f>
        <v/>
      </c>
      <c r="AQ911">
        <f>IF(OR(X911=0,E911=0),"",E911/X911)</f>
        <v/>
      </c>
      <c r="AR911">
        <f>IF(OR(Y911=0,F911=0),"",F911/Y911)</f>
        <v/>
      </c>
      <c r="AS911">
        <f>IF(OR(Z911=0,G911=0),"",G911/Z911)</f>
        <v/>
      </c>
      <c r="AT911">
        <f>IF(OR(AA911=0,H911=0),"",H911/AA911)</f>
        <v/>
      </c>
      <c r="AU911">
        <f>IF(OR(AB911=0,I911=0),"",I911/AB911)</f>
        <v/>
      </c>
      <c r="AV911">
        <f>IF(OR(AC911=0,J911=0),"",J911/AC911)</f>
        <v/>
      </c>
      <c r="AW911">
        <f>IF(OR(AD911=0,K911=0),"",K911/AD911)</f>
        <v/>
      </c>
      <c r="AX911">
        <f>IF(OR(AE911=0,L911=0),"",L911/AE911)</f>
        <v/>
      </c>
      <c r="AY911">
        <f>IF(OR(AF911=0,M911=0),"",M911/AF911)</f>
        <v/>
      </c>
      <c r="AZ911">
        <f>IF(OR(AG911=0,N911=0),"",N911/AG911)</f>
        <v/>
      </c>
      <c r="BA911">
        <f>IF(OR(AH911=0,O911=0),"",O911/AH911)</f>
        <v/>
      </c>
      <c r="BB911">
        <f>IF(OR(AI911=0,P911=0),"",P911/AI911)</f>
        <v/>
      </c>
      <c r="BC911">
        <f>IF(OR(AJ911=0,Q911=0),"",Q911/AJ911)</f>
        <v/>
      </c>
      <c r="BD911">
        <f>IF(OR(AK911=0,R911=0),"",R911/AK911)</f>
        <v/>
      </c>
      <c r="BE911">
        <f>IF(OR(AL911=0,S911=0),"",S911/AL911)</f>
        <v/>
      </c>
      <c r="BF911">
        <f>IF(AM911=0,NA(),T911/AM911)</f>
        <v/>
      </c>
      <c r="BG911" t="n">
        <v>31</v>
      </c>
      <c r="BH911">
        <f>IF(AM911=0,"",T911/AM911)</f>
        <v/>
      </c>
      <c r="BI911">
        <f>IF($A911="","",TEXT($A911,"d"))</f>
        <v/>
      </c>
    </row>
    <row r="914">
      <c r="A914" s="171" t="inlineStr">
        <is>
          <t>TREN — per digger</t>
        </is>
      </c>
    </row>
    <row r="915">
      <c r="A915" t="inlineStr">
        <is>
          <t>Digger</t>
        </is>
      </c>
      <c r="B915" t="inlineStr">
        <is>
          <t>Tipe</t>
        </is>
      </c>
      <c r="C915" t="inlineStr">
        <is>
          <t>Target</t>
        </is>
      </c>
      <c r="D915" t="inlineStr">
        <is>
          <t>Prod</t>
        </is>
      </c>
      <c r="E915" t="inlineStr">
        <is>
          <t>EWH</t>
        </is>
      </c>
      <c r="F915" t="inlineStr">
        <is>
          <t>PTY</t>
        </is>
      </c>
      <c r="G915" t="inlineStr">
        <is>
          <t>Shift on target</t>
        </is>
      </c>
      <c r="H915" t="inlineStr">
        <is>
          <t>Shift kerja</t>
        </is>
      </c>
      <c r="I915" t="inlineStr">
        <is>
          <t>Max</t>
        </is>
      </c>
      <c r="J915" t="inlineStr">
        <is>
          <t>Min</t>
        </is>
      </c>
      <c r="K915" t="inlineStr">
        <is>
          <t>Sort</t>
        </is>
      </c>
    </row>
    <row r="916">
      <c r="A916" t="inlineStr">
        <is>
          <t>EX-1251</t>
        </is>
      </c>
      <c r="B916">
        <f>IFERROR(INDEX(MASTER_JAM!$B$5:$B$94,MATCH($A916,MASTER_JAM!$A$5:$A$94,0)),"")</f>
        <v/>
      </c>
      <c r="C916">
        <f>IFERROR(IF(Kalkulasi!$B$876="OB",INDEX(MASTER_JAM!$F$5:$F$94,MATCH($A916,MASTER_JAM!$A$5:$A$94,0)),INDEX(MASTER_JAM!$G$5:$G$94,MATCH($A916,MASTER_JAM!$A$5:$A$94,0)))+0,0)</f>
        <v/>
      </c>
      <c r="D916">
        <f>SUM(B881:B911)</f>
        <v/>
      </c>
      <c r="E916">
        <f>SUM(U881:U911)</f>
        <v/>
      </c>
      <c r="F916">
        <f>IF(E916=0,"",D916/E916)</f>
        <v/>
      </c>
      <c r="G916">
        <f>IF(C916=0,0,SUMPRODUCT((DATA_TS!$C$2:$C$20001=$A916)*(DATA_TS!$A$2:$A$20001&gt;=Kalkulasi!$B$873)*(DATA_TS!$A$2:$A$20001&lt;=Kalkulasi!$B$874)*(((DATA_TS!$B$2:$B$20001=Kalkulasi!$B$875)+(Kalkulasi!$B$875="Semua"))&gt;0)*(((Kalkulasi!$B$876="OB")*DATA_TS!$M$2:$M$20001+(Kalkulasi!$B$876&lt;&gt;"OB")*DATA_TS!$N$2:$N$20001)&gt;0)*(((Kalkulasi!$B$876="OB")*DATA_TS!$Q$2:$Q$20001+(Kalkulasi!$B$876&lt;&gt;"OB")*DATA_TS!$R$2:$R$20001)&gt;=C916*((Kalkulasi!$B$876="OB")*DATA_TS!$M$2:$M$20001+(Kalkulasi!$B$876&lt;&gt;"OB")*DATA_TS!$N$2:$N$20001))))</f>
        <v/>
      </c>
      <c r="H916">
        <f>SUMPRODUCT((DATA_TS!$C$2:$C$20001=$A916)*(DATA_TS!$A$2:$A$20001&gt;=Kalkulasi!$B$873)*(DATA_TS!$A$2:$A$20001&lt;=Kalkulasi!$B$874)*(((DATA_TS!$B$2:$B$20001=Kalkulasi!$B$875)+(Kalkulasi!$B$875="Semua"))&gt;0)*(((Kalkulasi!$B$876="OB")*DATA_TS!$M$2:$M$20001+(Kalkulasi!$B$876&lt;&gt;"OB")*DATA_TS!$N$2:$N$20001)&gt;0)*(((Kalkulasi!$B$876="OB")*DATA_TS!$Q$2:$Q$20001+(Kalkulasi!$B$876&lt;&gt;"OB")*DATA_TS!$R$2:$R$20001)&gt;0))</f>
        <v/>
      </c>
      <c r="I916">
        <f>IF(E916=0,"",MAX(AN881:AN911))</f>
        <v/>
      </c>
      <c r="J916">
        <f>IF(E916=0,"",MIN(AN881:AN911))</f>
        <v/>
      </c>
      <c r="K916">
        <f>D916+ROW()/1000000</f>
        <v/>
      </c>
      <c r="L916">
        <f>IF(H916&lt;3,-1,G916/H916)</f>
        <v/>
      </c>
    </row>
    <row r="917">
      <c r="A917" t="inlineStr">
        <is>
          <t>EX-755</t>
        </is>
      </c>
      <c r="B917">
        <f>IFERROR(INDEX(MASTER_JAM!$B$5:$B$94,MATCH($A917,MASTER_JAM!$A$5:$A$94,0)),"")</f>
        <v/>
      </c>
      <c r="C917">
        <f>IFERROR(IF(Kalkulasi!$B$876="OB",INDEX(MASTER_JAM!$F$5:$F$94,MATCH($A917,MASTER_JAM!$A$5:$A$94,0)),INDEX(MASTER_JAM!$G$5:$G$94,MATCH($A917,MASTER_JAM!$A$5:$A$94,0)))+0,0)</f>
        <v/>
      </c>
      <c r="D917">
        <f>SUM(C881:C911)</f>
        <v/>
      </c>
      <c r="E917">
        <f>SUM(V881:V911)</f>
        <v/>
      </c>
      <c r="F917">
        <f>IF(E917=0,"",D917/E917)</f>
        <v/>
      </c>
      <c r="G917">
        <f>IF(C917=0,0,SUMPRODUCT((DATA_TS!$C$2:$C$20001=$A917)*(DATA_TS!$A$2:$A$20001&gt;=Kalkulasi!$B$873)*(DATA_TS!$A$2:$A$20001&lt;=Kalkulasi!$B$874)*(((DATA_TS!$B$2:$B$20001=Kalkulasi!$B$875)+(Kalkulasi!$B$875="Semua"))&gt;0)*(((Kalkulasi!$B$876="OB")*DATA_TS!$M$2:$M$20001+(Kalkulasi!$B$876&lt;&gt;"OB")*DATA_TS!$N$2:$N$20001)&gt;0)*(((Kalkulasi!$B$876="OB")*DATA_TS!$Q$2:$Q$20001+(Kalkulasi!$B$876&lt;&gt;"OB")*DATA_TS!$R$2:$R$20001)&gt;=C917*((Kalkulasi!$B$876="OB")*DATA_TS!$M$2:$M$20001+(Kalkulasi!$B$876&lt;&gt;"OB")*DATA_TS!$N$2:$N$20001))))</f>
        <v/>
      </c>
      <c r="H917">
        <f>SUMPRODUCT((DATA_TS!$C$2:$C$20001=$A917)*(DATA_TS!$A$2:$A$20001&gt;=Kalkulasi!$B$873)*(DATA_TS!$A$2:$A$20001&lt;=Kalkulasi!$B$874)*(((DATA_TS!$B$2:$B$20001=Kalkulasi!$B$875)+(Kalkulasi!$B$875="Semua"))&gt;0)*(((Kalkulasi!$B$876="OB")*DATA_TS!$M$2:$M$20001+(Kalkulasi!$B$876&lt;&gt;"OB")*DATA_TS!$N$2:$N$20001)&gt;0)*(((Kalkulasi!$B$876="OB")*DATA_TS!$Q$2:$Q$20001+(Kalkulasi!$B$876&lt;&gt;"OB")*DATA_TS!$R$2:$R$20001)&gt;0))</f>
        <v/>
      </c>
      <c r="I917">
        <f>IF(E917=0,"",MAX(AO881:AO911))</f>
        <v/>
      </c>
      <c r="J917">
        <f>IF(E917=0,"",MIN(AO881:AO911))</f>
        <v/>
      </c>
      <c r="K917">
        <f>D917+ROW()/1000000</f>
        <v/>
      </c>
      <c r="L917">
        <f>IF(H917&lt;3,-1,G917/H917)</f>
        <v/>
      </c>
    </row>
    <row r="918">
      <c r="A918" t="inlineStr">
        <is>
          <t>EX-2101</t>
        </is>
      </c>
      <c r="B918">
        <f>IFERROR(INDEX(MASTER_JAM!$B$5:$B$94,MATCH($A918,MASTER_JAM!$A$5:$A$94,0)),"")</f>
        <v/>
      </c>
      <c r="C918">
        <f>IFERROR(IF(Kalkulasi!$B$876="OB",INDEX(MASTER_JAM!$F$5:$F$94,MATCH($A918,MASTER_JAM!$A$5:$A$94,0)),INDEX(MASTER_JAM!$G$5:$G$94,MATCH($A918,MASTER_JAM!$A$5:$A$94,0)))+0,0)</f>
        <v/>
      </c>
      <c r="D918">
        <f>SUM(D881:D911)</f>
        <v/>
      </c>
      <c r="E918">
        <f>SUM(W881:W911)</f>
        <v/>
      </c>
      <c r="F918">
        <f>IF(E918=0,"",D918/E918)</f>
        <v/>
      </c>
      <c r="G918">
        <f>IF(C918=0,0,SUMPRODUCT((DATA_TS!$C$2:$C$20001=$A918)*(DATA_TS!$A$2:$A$20001&gt;=Kalkulasi!$B$873)*(DATA_TS!$A$2:$A$20001&lt;=Kalkulasi!$B$874)*(((DATA_TS!$B$2:$B$20001=Kalkulasi!$B$875)+(Kalkulasi!$B$875="Semua"))&gt;0)*(((Kalkulasi!$B$876="OB")*DATA_TS!$M$2:$M$20001+(Kalkulasi!$B$876&lt;&gt;"OB")*DATA_TS!$N$2:$N$20001)&gt;0)*(((Kalkulasi!$B$876="OB")*DATA_TS!$Q$2:$Q$20001+(Kalkulasi!$B$876&lt;&gt;"OB")*DATA_TS!$R$2:$R$20001)&gt;=C918*((Kalkulasi!$B$876="OB")*DATA_TS!$M$2:$M$20001+(Kalkulasi!$B$876&lt;&gt;"OB")*DATA_TS!$N$2:$N$20001))))</f>
        <v/>
      </c>
      <c r="H918">
        <f>SUMPRODUCT((DATA_TS!$C$2:$C$20001=$A918)*(DATA_TS!$A$2:$A$20001&gt;=Kalkulasi!$B$873)*(DATA_TS!$A$2:$A$20001&lt;=Kalkulasi!$B$874)*(((DATA_TS!$B$2:$B$20001=Kalkulasi!$B$875)+(Kalkulasi!$B$875="Semua"))&gt;0)*(((Kalkulasi!$B$876="OB")*DATA_TS!$M$2:$M$20001+(Kalkulasi!$B$876&lt;&gt;"OB")*DATA_TS!$N$2:$N$20001)&gt;0)*(((Kalkulasi!$B$876="OB")*DATA_TS!$Q$2:$Q$20001+(Kalkulasi!$B$876&lt;&gt;"OB")*DATA_TS!$R$2:$R$20001)&gt;0))</f>
        <v/>
      </c>
      <c r="I918">
        <f>IF(E918=0,"",MAX(AP881:AP911))</f>
        <v/>
      </c>
      <c r="J918">
        <f>IF(E918=0,"",MIN(AP881:AP911))</f>
        <v/>
      </c>
      <c r="K918">
        <f>D918+ROW()/1000000</f>
        <v/>
      </c>
      <c r="L918">
        <f>IF(H918&lt;3,-1,G918/H918)</f>
        <v/>
      </c>
    </row>
    <row r="919">
      <c r="A919" t="inlineStr">
        <is>
          <t>EX-754</t>
        </is>
      </c>
      <c r="B919">
        <f>IFERROR(INDEX(MASTER_JAM!$B$5:$B$94,MATCH($A919,MASTER_JAM!$A$5:$A$94,0)),"")</f>
        <v/>
      </c>
      <c r="C919">
        <f>IFERROR(IF(Kalkulasi!$B$876="OB",INDEX(MASTER_JAM!$F$5:$F$94,MATCH($A919,MASTER_JAM!$A$5:$A$94,0)),INDEX(MASTER_JAM!$G$5:$G$94,MATCH($A919,MASTER_JAM!$A$5:$A$94,0)))+0,0)</f>
        <v/>
      </c>
      <c r="D919">
        <f>SUM(E881:E911)</f>
        <v/>
      </c>
      <c r="E919">
        <f>SUM(X881:X911)</f>
        <v/>
      </c>
      <c r="F919">
        <f>IF(E919=0,"",D919/E919)</f>
        <v/>
      </c>
      <c r="G919">
        <f>IF(C919=0,0,SUMPRODUCT((DATA_TS!$C$2:$C$20001=$A919)*(DATA_TS!$A$2:$A$20001&gt;=Kalkulasi!$B$873)*(DATA_TS!$A$2:$A$20001&lt;=Kalkulasi!$B$874)*(((DATA_TS!$B$2:$B$20001=Kalkulasi!$B$875)+(Kalkulasi!$B$875="Semua"))&gt;0)*(((Kalkulasi!$B$876="OB")*DATA_TS!$M$2:$M$20001+(Kalkulasi!$B$876&lt;&gt;"OB")*DATA_TS!$N$2:$N$20001)&gt;0)*(((Kalkulasi!$B$876="OB")*DATA_TS!$Q$2:$Q$20001+(Kalkulasi!$B$876&lt;&gt;"OB")*DATA_TS!$R$2:$R$20001)&gt;=C919*((Kalkulasi!$B$876="OB")*DATA_TS!$M$2:$M$20001+(Kalkulasi!$B$876&lt;&gt;"OB")*DATA_TS!$N$2:$N$20001))))</f>
        <v/>
      </c>
      <c r="H919">
        <f>SUMPRODUCT((DATA_TS!$C$2:$C$20001=$A919)*(DATA_TS!$A$2:$A$20001&gt;=Kalkulasi!$B$873)*(DATA_TS!$A$2:$A$20001&lt;=Kalkulasi!$B$874)*(((DATA_TS!$B$2:$B$20001=Kalkulasi!$B$875)+(Kalkulasi!$B$875="Semua"))&gt;0)*(((Kalkulasi!$B$876="OB")*DATA_TS!$M$2:$M$20001+(Kalkulasi!$B$876&lt;&gt;"OB")*DATA_TS!$N$2:$N$20001)&gt;0)*(((Kalkulasi!$B$876="OB")*DATA_TS!$Q$2:$Q$20001+(Kalkulasi!$B$876&lt;&gt;"OB")*DATA_TS!$R$2:$R$20001)&gt;0))</f>
        <v/>
      </c>
      <c r="I919">
        <f>IF(E919=0,"",MAX(AQ881:AQ911))</f>
        <v/>
      </c>
      <c r="J919">
        <f>IF(E919=0,"",MIN(AQ881:AQ911))</f>
        <v/>
      </c>
      <c r="K919">
        <f>D919+ROW()/1000000</f>
        <v/>
      </c>
      <c r="L919">
        <f>IF(H919&lt;3,-1,G919/H919)</f>
        <v/>
      </c>
    </row>
    <row r="920">
      <c r="A920" t="inlineStr">
        <is>
          <t>EX-753</t>
        </is>
      </c>
      <c r="B920">
        <f>IFERROR(INDEX(MASTER_JAM!$B$5:$B$94,MATCH($A920,MASTER_JAM!$A$5:$A$94,0)),"")</f>
        <v/>
      </c>
      <c r="C920">
        <f>IFERROR(IF(Kalkulasi!$B$876="OB",INDEX(MASTER_JAM!$F$5:$F$94,MATCH($A920,MASTER_JAM!$A$5:$A$94,0)),INDEX(MASTER_JAM!$G$5:$G$94,MATCH($A920,MASTER_JAM!$A$5:$A$94,0)))+0,0)</f>
        <v/>
      </c>
      <c r="D920">
        <f>SUM(F881:F911)</f>
        <v/>
      </c>
      <c r="E920">
        <f>SUM(Y881:Y911)</f>
        <v/>
      </c>
      <c r="F920">
        <f>IF(E920=0,"",D920/E920)</f>
        <v/>
      </c>
      <c r="G920">
        <f>IF(C920=0,0,SUMPRODUCT((DATA_TS!$C$2:$C$20001=$A920)*(DATA_TS!$A$2:$A$20001&gt;=Kalkulasi!$B$873)*(DATA_TS!$A$2:$A$20001&lt;=Kalkulasi!$B$874)*(((DATA_TS!$B$2:$B$20001=Kalkulasi!$B$875)+(Kalkulasi!$B$875="Semua"))&gt;0)*(((Kalkulasi!$B$876="OB")*DATA_TS!$M$2:$M$20001+(Kalkulasi!$B$876&lt;&gt;"OB")*DATA_TS!$N$2:$N$20001)&gt;0)*(((Kalkulasi!$B$876="OB")*DATA_TS!$Q$2:$Q$20001+(Kalkulasi!$B$876&lt;&gt;"OB")*DATA_TS!$R$2:$R$20001)&gt;=C920*((Kalkulasi!$B$876="OB")*DATA_TS!$M$2:$M$20001+(Kalkulasi!$B$876&lt;&gt;"OB")*DATA_TS!$N$2:$N$20001))))</f>
        <v/>
      </c>
      <c r="H920">
        <f>SUMPRODUCT((DATA_TS!$C$2:$C$20001=$A920)*(DATA_TS!$A$2:$A$20001&gt;=Kalkulasi!$B$873)*(DATA_TS!$A$2:$A$20001&lt;=Kalkulasi!$B$874)*(((DATA_TS!$B$2:$B$20001=Kalkulasi!$B$875)+(Kalkulasi!$B$875="Semua"))&gt;0)*(((Kalkulasi!$B$876="OB")*DATA_TS!$M$2:$M$20001+(Kalkulasi!$B$876&lt;&gt;"OB")*DATA_TS!$N$2:$N$20001)&gt;0)*(((Kalkulasi!$B$876="OB")*DATA_TS!$Q$2:$Q$20001+(Kalkulasi!$B$876&lt;&gt;"OB")*DATA_TS!$R$2:$R$20001)&gt;0))</f>
        <v/>
      </c>
      <c r="I920">
        <f>IF(E920=0,"",MAX(AR881:AR911))</f>
        <v/>
      </c>
      <c r="J920">
        <f>IF(E920=0,"",MIN(AR881:AR911))</f>
        <v/>
      </c>
      <c r="K920">
        <f>D920+ROW()/1000000</f>
        <v/>
      </c>
      <c r="L920">
        <f>IF(H920&lt;3,-1,G920/H920)</f>
        <v/>
      </c>
    </row>
    <row r="921">
      <c r="A921" t="inlineStr">
        <is>
          <t>EX-1252</t>
        </is>
      </c>
      <c r="B921">
        <f>IFERROR(INDEX(MASTER_JAM!$B$5:$B$94,MATCH($A921,MASTER_JAM!$A$5:$A$94,0)),"")</f>
        <v/>
      </c>
      <c r="C921">
        <f>IFERROR(IF(Kalkulasi!$B$876="OB",INDEX(MASTER_JAM!$F$5:$F$94,MATCH($A921,MASTER_JAM!$A$5:$A$94,0)),INDEX(MASTER_JAM!$G$5:$G$94,MATCH($A921,MASTER_JAM!$A$5:$A$94,0)))+0,0)</f>
        <v/>
      </c>
      <c r="D921">
        <f>SUM(G881:G911)</f>
        <v/>
      </c>
      <c r="E921">
        <f>SUM(Z881:Z911)</f>
        <v/>
      </c>
      <c r="F921">
        <f>IF(E921=0,"",D921/E921)</f>
        <v/>
      </c>
      <c r="G921">
        <f>IF(C921=0,0,SUMPRODUCT((DATA_TS!$C$2:$C$20001=$A921)*(DATA_TS!$A$2:$A$20001&gt;=Kalkulasi!$B$873)*(DATA_TS!$A$2:$A$20001&lt;=Kalkulasi!$B$874)*(((DATA_TS!$B$2:$B$20001=Kalkulasi!$B$875)+(Kalkulasi!$B$875="Semua"))&gt;0)*(((Kalkulasi!$B$876="OB")*DATA_TS!$M$2:$M$20001+(Kalkulasi!$B$876&lt;&gt;"OB")*DATA_TS!$N$2:$N$20001)&gt;0)*(((Kalkulasi!$B$876="OB")*DATA_TS!$Q$2:$Q$20001+(Kalkulasi!$B$876&lt;&gt;"OB")*DATA_TS!$R$2:$R$20001)&gt;=C921*((Kalkulasi!$B$876="OB")*DATA_TS!$M$2:$M$20001+(Kalkulasi!$B$876&lt;&gt;"OB")*DATA_TS!$N$2:$N$20001))))</f>
        <v/>
      </c>
      <c r="H921">
        <f>SUMPRODUCT((DATA_TS!$C$2:$C$20001=$A921)*(DATA_TS!$A$2:$A$20001&gt;=Kalkulasi!$B$873)*(DATA_TS!$A$2:$A$20001&lt;=Kalkulasi!$B$874)*(((DATA_TS!$B$2:$B$20001=Kalkulasi!$B$875)+(Kalkulasi!$B$875="Semua"))&gt;0)*(((Kalkulasi!$B$876="OB")*DATA_TS!$M$2:$M$20001+(Kalkulasi!$B$876&lt;&gt;"OB")*DATA_TS!$N$2:$N$20001)&gt;0)*(((Kalkulasi!$B$876="OB")*DATA_TS!$Q$2:$Q$20001+(Kalkulasi!$B$876&lt;&gt;"OB")*DATA_TS!$R$2:$R$20001)&gt;0))</f>
        <v/>
      </c>
      <c r="I921">
        <f>IF(E921=0,"",MAX(AS881:AS911))</f>
        <v/>
      </c>
      <c r="J921">
        <f>IF(E921=0,"",MIN(AS881:AS911))</f>
        <v/>
      </c>
      <c r="K921">
        <f>D921+ROW()/1000000</f>
        <v/>
      </c>
      <c r="L921">
        <f>IF(H921&lt;3,-1,G921/H921)</f>
        <v/>
      </c>
    </row>
    <row r="922">
      <c r="A922" t="inlineStr">
        <is>
          <t>EX-334</t>
        </is>
      </c>
      <c r="B922">
        <f>IFERROR(INDEX(MASTER_JAM!$B$5:$B$94,MATCH($A922,MASTER_JAM!$A$5:$A$94,0)),"")</f>
        <v/>
      </c>
      <c r="C922">
        <f>IFERROR(IF(Kalkulasi!$B$876="OB",INDEX(MASTER_JAM!$F$5:$F$94,MATCH($A922,MASTER_JAM!$A$5:$A$94,0)),INDEX(MASTER_JAM!$G$5:$G$94,MATCH($A922,MASTER_JAM!$A$5:$A$94,0)))+0,0)</f>
        <v/>
      </c>
      <c r="D922">
        <f>SUM(H881:H911)</f>
        <v/>
      </c>
      <c r="E922">
        <f>SUM(AA881:AA911)</f>
        <v/>
      </c>
      <c r="F922">
        <f>IF(E922=0,"",D922/E922)</f>
        <v/>
      </c>
      <c r="G922">
        <f>IF(C922=0,0,SUMPRODUCT((DATA_TS!$C$2:$C$20001=$A922)*(DATA_TS!$A$2:$A$20001&gt;=Kalkulasi!$B$873)*(DATA_TS!$A$2:$A$20001&lt;=Kalkulasi!$B$874)*(((DATA_TS!$B$2:$B$20001=Kalkulasi!$B$875)+(Kalkulasi!$B$875="Semua"))&gt;0)*(((Kalkulasi!$B$876="OB")*DATA_TS!$M$2:$M$20001+(Kalkulasi!$B$876&lt;&gt;"OB")*DATA_TS!$N$2:$N$20001)&gt;0)*(((Kalkulasi!$B$876="OB")*DATA_TS!$Q$2:$Q$20001+(Kalkulasi!$B$876&lt;&gt;"OB")*DATA_TS!$R$2:$R$20001)&gt;=C922*((Kalkulasi!$B$876="OB")*DATA_TS!$M$2:$M$20001+(Kalkulasi!$B$876&lt;&gt;"OB")*DATA_TS!$N$2:$N$20001))))</f>
        <v/>
      </c>
      <c r="H922">
        <f>SUMPRODUCT((DATA_TS!$C$2:$C$20001=$A922)*(DATA_TS!$A$2:$A$20001&gt;=Kalkulasi!$B$873)*(DATA_TS!$A$2:$A$20001&lt;=Kalkulasi!$B$874)*(((DATA_TS!$B$2:$B$20001=Kalkulasi!$B$875)+(Kalkulasi!$B$875="Semua"))&gt;0)*(((Kalkulasi!$B$876="OB")*DATA_TS!$M$2:$M$20001+(Kalkulasi!$B$876&lt;&gt;"OB")*DATA_TS!$N$2:$N$20001)&gt;0)*(((Kalkulasi!$B$876="OB")*DATA_TS!$Q$2:$Q$20001+(Kalkulasi!$B$876&lt;&gt;"OB")*DATA_TS!$R$2:$R$20001)&gt;0))</f>
        <v/>
      </c>
      <c r="I922">
        <f>IF(E922=0,"",MAX(AT881:AT911))</f>
        <v/>
      </c>
      <c r="J922">
        <f>IF(E922=0,"",MIN(AT881:AT911))</f>
        <v/>
      </c>
      <c r="K922">
        <f>D922+ROW()/1000000</f>
        <v/>
      </c>
      <c r="L922">
        <f>IF(H922&lt;3,-1,G922/H922)</f>
        <v/>
      </c>
    </row>
    <row r="923">
      <c r="A923" t="inlineStr">
        <is>
          <t>EX-336</t>
        </is>
      </c>
      <c r="B923">
        <f>IFERROR(INDEX(MASTER_JAM!$B$5:$B$94,MATCH($A923,MASTER_JAM!$A$5:$A$94,0)),"")</f>
        <v/>
      </c>
      <c r="C923">
        <f>IFERROR(IF(Kalkulasi!$B$876="OB",INDEX(MASTER_JAM!$F$5:$F$94,MATCH($A923,MASTER_JAM!$A$5:$A$94,0)),INDEX(MASTER_JAM!$G$5:$G$94,MATCH($A923,MASTER_JAM!$A$5:$A$94,0)))+0,0)</f>
        <v/>
      </c>
      <c r="D923">
        <f>SUM(I881:I911)</f>
        <v/>
      </c>
      <c r="E923">
        <f>SUM(AB881:AB911)</f>
        <v/>
      </c>
      <c r="F923">
        <f>IF(E923=0,"",D923/E923)</f>
        <v/>
      </c>
      <c r="G923">
        <f>IF(C923=0,0,SUMPRODUCT((DATA_TS!$C$2:$C$20001=$A923)*(DATA_TS!$A$2:$A$20001&gt;=Kalkulasi!$B$873)*(DATA_TS!$A$2:$A$20001&lt;=Kalkulasi!$B$874)*(((DATA_TS!$B$2:$B$20001=Kalkulasi!$B$875)+(Kalkulasi!$B$875="Semua"))&gt;0)*(((Kalkulasi!$B$876="OB")*DATA_TS!$M$2:$M$20001+(Kalkulasi!$B$876&lt;&gt;"OB")*DATA_TS!$N$2:$N$20001)&gt;0)*(((Kalkulasi!$B$876="OB")*DATA_TS!$Q$2:$Q$20001+(Kalkulasi!$B$876&lt;&gt;"OB")*DATA_TS!$R$2:$R$20001)&gt;=C923*((Kalkulasi!$B$876="OB")*DATA_TS!$M$2:$M$20001+(Kalkulasi!$B$876&lt;&gt;"OB")*DATA_TS!$N$2:$N$20001))))</f>
        <v/>
      </c>
      <c r="H923">
        <f>SUMPRODUCT((DATA_TS!$C$2:$C$20001=$A923)*(DATA_TS!$A$2:$A$20001&gt;=Kalkulasi!$B$873)*(DATA_TS!$A$2:$A$20001&lt;=Kalkulasi!$B$874)*(((DATA_TS!$B$2:$B$20001=Kalkulasi!$B$875)+(Kalkulasi!$B$875="Semua"))&gt;0)*(((Kalkulasi!$B$876="OB")*DATA_TS!$M$2:$M$20001+(Kalkulasi!$B$876&lt;&gt;"OB")*DATA_TS!$N$2:$N$20001)&gt;0)*(((Kalkulasi!$B$876="OB")*DATA_TS!$Q$2:$Q$20001+(Kalkulasi!$B$876&lt;&gt;"OB")*DATA_TS!$R$2:$R$20001)&gt;0))</f>
        <v/>
      </c>
      <c r="I923">
        <f>IF(E923=0,"",MAX(AU881:AU911))</f>
        <v/>
      </c>
      <c r="J923">
        <f>IF(E923=0,"",MIN(AU881:AU911))</f>
        <v/>
      </c>
      <c r="K923">
        <f>D923+ROW()/1000000</f>
        <v/>
      </c>
      <c r="L923">
        <f>IF(H923&lt;3,-1,G923/H923)</f>
        <v/>
      </c>
    </row>
    <row r="924">
      <c r="A924" t="inlineStr">
        <is>
          <t>EX-333</t>
        </is>
      </c>
      <c r="B924">
        <f>IFERROR(INDEX(MASTER_JAM!$B$5:$B$94,MATCH($A924,MASTER_JAM!$A$5:$A$94,0)),"")</f>
        <v/>
      </c>
      <c r="C924">
        <f>IFERROR(IF(Kalkulasi!$B$876="OB",INDEX(MASTER_JAM!$F$5:$F$94,MATCH($A924,MASTER_JAM!$A$5:$A$94,0)),INDEX(MASTER_JAM!$G$5:$G$94,MATCH($A924,MASTER_JAM!$A$5:$A$94,0)))+0,0)</f>
        <v/>
      </c>
      <c r="D924">
        <f>SUM(J881:J911)</f>
        <v/>
      </c>
      <c r="E924">
        <f>SUM(AC881:AC911)</f>
        <v/>
      </c>
      <c r="F924">
        <f>IF(E924=0,"",D924/E924)</f>
        <v/>
      </c>
      <c r="G924">
        <f>IF(C924=0,0,SUMPRODUCT((DATA_TS!$C$2:$C$20001=$A924)*(DATA_TS!$A$2:$A$20001&gt;=Kalkulasi!$B$873)*(DATA_TS!$A$2:$A$20001&lt;=Kalkulasi!$B$874)*(((DATA_TS!$B$2:$B$20001=Kalkulasi!$B$875)+(Kalkulasi!$B$875="Semua"))&gt;0)*(((Kalkulasi!$B$876="OB")*DATA_TS!$M$2:$M$20001+(Kalkulasi!$B$876&lt;&gt;"OB")*DATA_TS!$N$2:$N$20001)&gt;0)*(((Kalkulasi!$B$876="OB")*DATA_TS!$Q$2:$Q$20001+(Kalkulasi!$B$876&lt;&gt;"OB")*DATA_TS!$R$2:$R$20001)&gt;=C924*((Kalkulasi!$B$876="OB")*DATA_TS!$M$2:$M$20001+(Kalkulasi!$B$876&lt;&gt;"OB")*DATA_TS!$N$2:$N$20001))))</f>
        <v/>
      </c>
      <c r="H924">
        <f>SUMPRODUCT((DATA_TS!$C$2:$C$20001=$A924)*(DATA_TS!$A$2:$A$20001&gt;=Kalkulasi!$B$873)*(DATA_TS!$A$2:$A$20001&lt;=Kalkulasi!$B$874)*(((DATA_TS!$B$2:$B$20001=Kalkulasi!$B$875)+(Kalkulasi!$B$875="Semua"))&gt;0)*(((Kalkulasi!$B$876="OB")*DATA_TS!$M$2:$M$20001+(Kalkulasi!$B$876&lt;&gt;"OB")*DATA_TS!$N$2:$N$20001)&gt;0)*(((Kalkulasi!$B$876="OB")*DATA_TS!$Q$2:$Q$20001+(Kalkulasi!$B$876&lt;&gt;"OB")*DATA_TS!$R$2:$R$20001)&gt;0))</f>
        <v/>
      </c>
      <c r="I924">
        <f>IF(E924=0,"",MAX(AV881:AV911))</f>
        <v/>
      </c>
      <c r="J924">
        <f>IF(E924=0,"",MIN(AV881:AV911))</f>
        <v/>
      </c>
      <c r="K924">
        <f>D924+ROW()/1000000</f>
        <v/>
      </c>
      <c r="L924">
        <f>IF(H924&lt;3,-1,G924/H924)</f>
        <v/>
      </c>
    </row>
    <row r="925">
      <c r="A925" t="inlineStr">
        <is>
          <t>EX-335</t>
        </is>
      </c>
      <c r="B925">
        <f>IFERROR(INDEX(MASTER_JAM!$B$5:$B$94,MATCH($A925,MASTER_JAM!$A$5:$A$94,0)),"")</f>
        <v/>
      </c>
      <c r="C925">
        <f>IFERROR(IF(Kalkulasi!$B$876="OB",INDEX(MASTER_JAM!$F$5:$F$94,MATCH($A925,MASTER_JAM!$A$5:$A$94,0)),INDEX(MASTER_JAM!$G$5:$G$94,MATCH($A925,MASTER_JAM!$A$5:$A$94,0)))+0,0)</f>
        <v/>
      </c>
      <c r="D925">
        <f>SUM(K881:K911)</f>
        <v/>
      </c>
      <c r="E925">
        <f>SUM(AD881:AD911)</f>
        <v/>
      </c>
      <c r="F925">
        <f>IF(E925=0,"",D925/E925)</f>
        <v/>
      </c>
      <c r="G925">
        <f>IF(C925=0,0,SUMPRODUCT((DATA_TS!$C$2:$C$20001=$A925)*(DATA_TS!$A$2:$A$20001&gt;=Kalkulasi!$B$873)*(DATA_TS!$A$2:$A$20001&lt;=Kalkulasi!$B$874)*(((DATA_TS!$B$2:$B$20001=Kalkulasi!$B$875)+(Kalkulasi!$B$875="Semua"))&gt;0)*(((Kalkulasi!$B$876="OB")*DATA_TS!$M$2:$M$20001+(Kalkulasi!$B$876&lt;&gt;"OB")*DATA_TS!$N$2:$N$20001)&gt;0)*(((Kalkulasi!$B$876="OB")*DATA_TS!$Q$2:$Q$20001+(Kalkulasi!$B$876&lt;&gt;"OB")*DATA_TS!$R$2:$R$20001)&gt;=C925*((Kalkulasi!$B$876="OB")*DATA_TS!$M$2:$M$20001+(Kalkulasi!$B$876&lt;&gt;"OB")*DATA_TS!$N$2:$N$20001))))</f>
        <v/>
      </c>
      <c r="H925">
        <f>SUMPRODUCT((DATA_TS!$C$2:$C$20001=$A925)*(DATA_TS!$A$2:$A$20001&gt;=Kalkulasi!$B$873)*(DATA_TS!$A$2:$A$20001&lt;=Kalkulasi!$B$874)*(((DATA_TS!$B$2:$B$20001=Kalkulasi!$B$875)+(Kalkulasi!$B$875="Semua"))&gt;0)*(((Kalkulasi!$B$876="OB")*DATA_TS!$M$2:$M$20001+(Kalkulasi!$B$876&lt;&gt;"OB")*DATA_TS!$N$2:$N$20001)&gt;0)*(((Kalkulasi!$B$876="OB")*DATA_TS!$Q$2:$Q$20001+(Kalkulasi!$B$876&lt;&gt;"OB")*DATA_TS!$R$2:$R$20001)&gt;0))</f>
        <v/>
      </c>
      <c r="I925">
        <f>IF(E925=0,"",MAX(AW881:AW911))</f>
        <v/>
      </c>
      <c r="J925">
        <f>IF(E925=0,"",MIN(AW881:AW911))</f>
        <v/>
      </c>
      <c r="K925">
        <f>D925+ROW()/1000000</f>
        <v/>
      </c>
      <c r="L925">
        <f>IF(H925&lt;3,-1,G925/H925)</f>
        <v/>
      </c>
    </row>
    <row r="926">
      <c r="A926" t="inlineStr">
        <is>
          <t>EX-332</t>
        </is>
      </c>
      <c r="B926">
        <f>IFERROR(INDEX(MASTER_JAM!$B$5:$B$94,MATCH($A926,MASTER_JAM!$A$5:$A$94,0)),"")</f>
        <v/>
      </c>
      <c r="C926">
        <f>IFERROR(IF(Kalkulasi!$B$876="OB",INDEX(MASTER_JAM!$F$5:$F$94,MATCH($A926,MASTER_JAM!$A$5:$A$94,0)),INDEX(MASTER_JAM!$G$5:$G$94,MATCH($A926,MASTER_JAM!$A$5:$A$94,0)))+0,0)</f>
        <v/>
      </c>
      <c r="D926">
        <f>SUM(L881:L911)</f>
        <v/>
      </c>
      <c r="E926">
        <f>SUM(AE881:AE911)</f>
        <v/>
      </c>
      <c r="F926">
        <f>IF(E926=0,"",D926/E926)</f>
        <v/>
      </c>
      <c r="G926">
        <f>IF(C926=0,0,SUMPRODUCT((DATA_TS!$C$2:$C$20001=$A926)*(DATA_TS!$A$2:$A$20001&gt;=Kalkulasi!$B$873)*(DATA_TS!$A$2:$A$20001&lt;=Kalkulasi!$B$874)*(((DATA_TS!$B$2:$B$20001=Kalkulasi!$B$875)+(Kalkulasi!$B$875="Semua"))&gt;0)*(((Kalkulasi!$B$876="OB")*DATA_TS!$M$2:$M$20001+(Kalkulasi!$B$876&lt;&gt;"OB")*DATA_TS!$N$2:$N$20001)&gt;0)*(((Kalkulasi!$B$876="OB")*DATA_TS!$Q$2:$Q$20001+(Kalkulasi!$B$876&lt;&gt;"OB")*DATA_TS!$R$2:$R$20001)&gt;=C926*((Kalkulasi!$B$876="OB")*DATA_TS!$M$2:$M$20001+(Kalkulasi!$B$876&lt;&gt;"OB")*DATA_TS!$N$2:$N$20001))))</f>
        <v/>
      </c>
      <c r="H926">
        <f>SUMPRODUCT((DATA_TS!$C$2:$C$20001=$A926)*(DATA_TS!$A$2:$A$20001&gt;=Kalkulasi!$B$873)*(DATA_TS!$A$2:$A$20001&lt;=Kalkulasi!$B$874)*(((DATA_TS!$B$2:$B$20001=Kalkulasi!$B$875)+(Kalkulasi!$B$875="Semua"))&gt;0)*(((Kalkulasi!$B$876="OB")*DATA_TS!$M$2:$M$20001+(Kalkulasi!$B$876&lt;&gt;"OB")*DATA_TS!$N$2:$N$20001)&gt;0)*(((Kalkulasi!$B$876="OB")*DATA_TS!$Q$2:$Q$20001+(Kalkulasi!$B$876&lt;&gt;"OB")*DATA_TS!$R$2:$R$20001)&gt;0))</f>
        <v/>
      </c>
      <c r="I926">
        <f>IF(E926=0,"",MAX(AX881:AX911))</f>
        <v/>
      </c>
      <c r="J926">
        <f>IF(E926=0,"",MIN(AX881:AX911))</f>
        <v/>
      </c>
      <c r="K926">
        <f>D926+ROW()/1000000</f>
        <v/>
      </c>
      <c r="L926">
        <f>IF(H926&lt;3,-1,G926/H926)</f>
        <v/>
      </c>
    </row>
    <row r="927">
      <c r="A927" t="inlineStr">
        <is>
          <t>EX-222</t>
        </is>
      </c>
      <c r="B927">
        <f>IFERROR(INDEX(MASTER_JAM!$B$5:$B$94,MATCH($A927,MASTER_JAM!$A$5:$A$94,0)),"")</f>
        <v/>
      </c>
      <c r="C927">
        <f>IFERROR(IF(Kalkulasi!$B$876="OB",INDEX(MASTER_JAM!$F$5:$F$94,MATCH($A927,MASTER_JAM!$A$5:$A$94,0)),INDEX(MASTER_JAM!$G$5:$G$94,MATCH($A927,MASTER_JAM!$A$5:$A$94,0)))+0,0)</f>
        <v/>
      </c>
      <c r="D927">
        <f>SUM(M881:M911)</f>
        <v/>
      </c>
      <c r="E927">
        <f>SUM(AF881:AF911)</f>
        <v/>
      </c>
      <c r="F927">
        <f>IF(E927=0,"",D927/E927)</f>
        <v/>
      </c>
      <c r="G927">
        <f>IF(C927=0,0,SUMPRODUCT((DATA_TS!$C$2:$C$20001=$A927)*(DATA_TS!$A$2:$A$20001&gt;=Kalkulasi!$B$873)*(DATA_TS!$A$2:$A$20001&lt;=Kalkulasi!$B$874)*(((DATA_TS!$B$2:$B$20001=Kalkulasi!$B$875)+(Kalkulasi!$B$875="Semua"))&gt;0)*(((Kalkulasi!$B$876="OB")*DATA_TS!$M$2:$M$20001+(Kalkulasi!$B$876&lt;&gt;"OB")*DATA_TS!$N$2:$N$20001)&gt;0)*(((Kalkulasi!$B$876="OB")*DATA_TS!$Q$2:$Q$20001+(Kalkulasi!$B$876&lt;&gt;"OB")*DATA_TS!$R$2:$R$20001)&gt;=C927*((Kalkulasi!$B$876="OB")*DATA_TS!$M$2:$M$20001+(Kalkulasi!$B$876&lt;&gt;"OB")*DATA_TS!$N$2:$N$20001))))</f>
        <v/>
      </c>
      <c r="H927">
        <f>SUMPRODUCT((DATA_TS!$C$2:$C$20001=$A927)*(DATA_TS!$A$2:$A$20001&gt;=Kalkulasi!$B$873)*(DATA_TS!$A$2:$A$20001&lt;=Kalkulasi!$B$874)*(((DATA_TS!$B$2:$B$20001=Kalkulasi!$B$875)+(Kalkulasi!$B$875="Semua"))&gt;0)*(((Kalkulasi!$B$876="OB")*DATA_TS!$M$2:$M$20001+(Kalkulasi!$B$876&lt;&gt;"OB")*DATA_TS!$N$2:$N$20001)&gt;0)*(((Kalkulasi!$B$876="OB")*DATA_TS!$Q$2:$Q$20001+(Kalkulasi!$B$876&lt;&gt;"OB")*DATA_TS!$R$2:$R$20001)&gt;0))</f>
        <v/>
      </c>
      <c r="I927">
        <f>IF(E927=0,"",MAX(AY881:AY911))</f>
        <v/>
      </c>
      <c r="J927">
        <f>IF(E927=0,"",MIN(AY881:AY911))</f>
        <v/>
      </c>
      <c r="K927">
        <f>D927+ROW()/1000000</f>
        <v/>
      </c>
      <c r="L927">
        <f>IF(H927&lt;3,-1,G927/H927)</f>
        <v/>
      </c>
    </row>
    <row r="928">
      <c r="A928" t="inlineStr">
        <is>
          <t>EX-223</t>
        </is>
      </c>
      <c r="B928">
        <f>IFERROR(INDEX(MASTER_JAM!$B$5:$B$94,MATCH($A928,MASTER_JAM!$A$5:$A$94,0)),"")</f>
        <v/>
      </c>
      <c r="C928">
        <f>IFERROR(IF(Kalkulasi!$B$876="OB",INDEX(MASTER_JAM!$F$5:$F$94,MATCH($A928,MASTER_JAM!$A$5:$A$94,0)),INDEX(MASTER_JAM!$G$5:$G$94,MATCH($A928,MASTER_JAM!$A$5:$A$94,0)))+0,0)</f>
        <v/>
      </c>
      <c r="D928">
        <f>SUM(N881:N911)</f>
        <v/>
      </c>
      <c r="E928">
        <f>SUM(AG881:AG911)</f>
        <v/>
      </c>
      <c r="F928">
        <f>IF(E928=0,"",D928/E928)</f>
        <v/>
      </c>
      <c r="G928">
        <f>IF(C928=0,0,SUMPRODUCT((DATA_TS!$C$2:$C$20001=$A928)*(DATA_TS!$A$2:$A$20001&gt;=Kalkulasi!$B$873)*(DATA_TS!$A$2:$A$20001&lt;=Kalkulasi!$B$874)*(((DATA_TS!$B$2:$B$20001=Kalkulasi!$B$875)+(Kalkulasi!$B$875="Semua"))&gt;0)*(((Kalkulasi!$B$876="OB")*DATA_TS!$M$2:$M$20001+(Kalkulasi!$B$876&lt;&gt;"OB")*DATA_TS!$N$2:$N$20001)&gt;0)*(((Kalkulasi!$B$876="OB")*DATA_TS!$Q$2:$Q$20001+(Kalkulasi!$B$876&lt;&gt;"OB")*DATA_TS!$R$2:$R$20001)&gt;=C928*((Kalkulasi!$B$876="OB")*DATA_TS!$M$2:$M$20001+(Kalkulasi!$B$876&lt;&gt;"OB")*DATA_TS!$N$2:$N$20001))))</f>
        <v/>
      </c>
      <c r="H928">
        <f>SUMPRODUCT((DATA_TS!$C$2:$C$20001=$A928)*(DATA_TS!$A$2:$A$20001&gt;=Kalkulasi!$B$873)*(DATA_TS!$A$2:$A$20001&lt;=Kalkulasi!$B$874)*(((DATA_TS!$B$2:$B$20001=Kalkulasi!$B$875)+(Kalkulasi!$B$875="Semua"))&gt;0)*(((Kalkulasi!$B$876="OB")*DATA_TS!$M$2:$M$20001+(Kalkulasi!$B$876&lt;&gt;"OB")*DATA_TS!$N$2:$N$20001)&gt;0)*(((Kalkulasi!$B$876="OB")*DATA_TS!$Q$2:$Q$20001+(Kalkulasi!$B$876&lt;&gt;"OB")*DATA_TS!$R$2:$R$20001)&gt;0))</f>
        <v/>
      </c>
      <c r="I928">
        <f>IF(E928=0,"",MAX(AZ881:AZ911))</f>
        <v/>
      </c>
      <c r="J928">
        <f>IF(E928=0,"",MIN(AZ881:AZ911))</f>
        <v/>
      </c>
      <c r="K928">
        <f>D928+ROW()/1000000</f>
        <v/>
      </c>
      <c r="L928">
        <f>IF(H928&lt;3,-1,G928/H928)</f>
        <v/>
      </c>
    </row>
    <row r="929">
      <c r="A929" t="inlineStr">
        <is>
          <t>EX-221</t>
        </is>
      </c>
      <c r="B929">
        <f>IFERROR(INDEX(MASTER_JAM!$B$5:$B$94,MATCH($A929,MASTER_JAM!$A$5:$A$94,0)),"")</f>
        <v/>
      </c>
      <c r="C929">
        <f>IFERROR(IF(Kalkulasi!$B$876="OB",INDEX(MASTER_JAM!$F$5:$F$94,MATCH($A929,MASTER_JAM!$A$5:$A$94,0)),INDEX(MASTER_JAM!$G$5:$G$94,MATCH($A929,MASTER_JAM!$A$5:$A$94,0)))+0,0)</f>
        <v/>
      </c>
      <c r="D929">
        <f>SUM(O881:O911)</f>
        <v/>
      </c>
      <c r="E929">
        <f>SUM(AH881:AH911)</f>
        <v/>
      </c>
      <c r="F929">
        <f>IF(E929=0,"",D929/E929)</f>
        <v/>
      </c>
      <c r="G929">
        <f>IF(C929=0,0,SUMPRODUCT((DATA_TS!$C$2:$C$20001=$A929)*(DATA_TS!$A$2:$A$20001&gt;=Kalkulasi!$B$873)*(DATA_TS!$A$2:$A$20001&lt;=Kalkulasi!$B$874)*(((DATA_TS!$B$2:$B$20001=Kalkulasi!$B$875)+(Kalkulasi!$B$875="Semua"))&gt;0)*(((Kalkulasi!$B$876="OB")*DATA_TS!$M$2:$M$20001+(Kalkulasi!$B$876&lt;&gt;"OB")*DATA_TS!$N$2:$N$20001)&gt;0)*(((Kalkulasi!$B$876="OB")*DATA_TS!$Q$2:$Q$20001+(Kalkulasi!$B$876&lt;&gt;"OB")*DATA_TS!$R$2:$R$20001)&gt;=C929*((Kalkulasi!$B$876="OB")*DATA_TS!$M$2:$M$20001+(Kalkulasi!$B$876&lt;&gt;"OB")*DATA_TS!$N$2:$N$20001))))</f>
        <v/>
      </c>
      <c r="H929">
        <f>SUMPRODUCT((DATA_TS!$C$2:$C$20001=$A929)*(DATA_TS!$A$2:$A$20001&gt;=Kalkulasi!$B$873)*(DATA_TS!$A$2:$A$20001&lt;=Kalkulasi!$B$874)*(((DATA_TS!$B$2:$B$20001=Kalkulasi!$B$875)+(Kalkulasi!$B$875="Semua"))&gt;0)*(((Kalkulasi!$B$876="OB")*DATA_TS!$M$2:$M$20001+(Kalkulasi!$B$876&lt;&gt;"OB")*DATA_TS!$N$2:$N$20001)&gt;0)*(((Kalkulasi!$B$876="OB")*DATA_TS!$Q$2:$Q$20001+(Kalkulasi!$B$876&lt;&gt;"OB")*DATA_TS!$R$2:$R$20001)&gt;0))</f>
        <v/>
      </c>
      <c r="I929">
        <f>IF(E929=0,"",MAX(BA881:BA911))</f>
        <v/>
      </c>
      <c r="J929">
        <f>IF(E929=0,"",MIN(BA881:BA911))</f>
        <v/>
      </c>
      <c r="K929">
        <f>D929+ROW()/1000000</f>
        <v/>
      </c>
      <c r="L929">
        <f>IF(H929&lt;3,-1,G929/H929)</f>
        <v/>
      </c>
    </row>
    <row r="930">
      <c r="A930" t="inlineStr">
        <is>
          <t>EX-225</t>
        </is>
      </c>
      <c r="B930">
        <f>IFERROR(INDEX(MASTER_JAM!$B$5:$B$94,MATCH($A930,MASTER_JAM!$A$5:$A$94,0)),"")</f>
        <v/>
      </c>
      <c r="C930">
        <f>IFERROR(IF(Kalkulasi!$B$876="OB",INDEX(MASTER_JAM!$F$5:$F$94,MATCH($A930,MASTER_JAM!$A$5:$A$94,0)),INDEX(MASTER_JAM!$G$5:$G$94,MATCH($A930,MASTER_JAM!$A$5:$A$94,0)))+0,0)</f>
        <v/>
      </c>
      <c r="D930">
        <f>SUM(P881:P911)</f>
        <v/>
      </c>
      <c r="E930">
        <f>SUM(AI881:AI911)</f>
        <v/>
      </c>
      <c r="F930">
        <f>IF(E930=0,"",D930/E930)</f>
        <v/>
      </c>
      <c r="G930">
        <f>IF(C930=0,0,SUMPRODUCT((DATA_TS!$C$2:$C$20001=$A930)*(DATA_TS!$A$2:$A$20001&gt;=Kalkulasi!$B$873)*(DATA_TS!$A$2:$A$20001&lt;=Kalkulasi!$B$874)*(((DATA_TS!$B$2:$B$20001=Kalkulasi!$B$875)+(Kalkulasi!$B$875="Semua"))&gt;0)*(((Kalkulasi!$B$876="OB")*DATA_TS!$M$2:$M$20001+(Kalkulasi!$B$876&lt;&gt;"OB")*DATA_TS!$N$2:$N$20001)&gt;0)*(((Kalkulasi!$B$876="OB")*DATA_TS!$Q$2:$Q$20001+(Kalkulasi!$B$876&lt;&gt;"OB")*DATA_TS!$R$2:$R$20001)&gt;=C930*((Kalkulasi!$B$876="OB")*DATA_TS!$M$2:$M$20001+(Kalkulasi!$B$876&lt;&gt;"OB")*DATA_TS!$N$2:$N$20001))))</f>
        <v/>
      </c>
      <c r="H930">
        <f>SUMPRODUCT((DATA_TS!$C$2:$C$20001=$A930)*(DATA_TS!$A$2:$A$20001&gt;=Kalkulasi!$B$873)*(DATA_TS!$A$2:$A$20001&lt;=Kalkulasi!$B$874)*(((DATA_TS!$B$2:$B$20001=Kalkulasi!$B$875)+(Kalkulasi!$B$875="Semua"))&gt;0)*(((Kalkulasi!$B$876="OB")*DATA_TS!$M$2:$M$20001+(Kalkulasi!$B$876&lt;&gt;"OB")*DATA_TS!$N$2:$N$20001)&gt;0)*(((Kalkulasi!$B$876="OB")*DATA_TS!$Q$2:$Q$20001+(Kalkulasi!$B$876&lt;&gt;"OB")*DATA_TS!$R$2:$R$20001)&gt;0))</f>
        <v/>
      </c>
      <c r="I930">
        <f>IF(E930=0,"",MAX(BB881:BB911))</f>
        <v/>
      </c>
      <c r="J930">
        <f>IF(E930=0,"",MIN(BB881:BB911))</f>
        <v/>
      </c>
      <c r="K930">
        <f>D930+ROW()/1000000</f>
        <v/>
      </c>
      <c r="L930">
        <f>IF(H930&lt;3,-1,G930/H930)</f>
        <v/>
      </c>
    </row>
    <row r="931">
      <c r="A931" t="inlineStr">
        <is>
          <t>EX-331</t>
        </is>
      </c>
      <c r="B931">
        <f>IFERROR(INDEX(MASTER_JAM!$B$5:$B$94,MATCH($A931,MASTER_JAM!$A$5:$A$94,0)),"")</f>
        <v/>
      </c>
      <c r="C931">
        <f>IFERROR(IF(Kalkulasi!$B$876="OB",INDEX(MASTER_JAM!$F$5:$F$94,MATCH($A931,MASTER_JAM!$A$5:$A$94,0)),INDEX(MASTER_JAM!$G$5:$G$94,MATCH($A931,MASTER_JAM!$A$5:$A$94,0)))+0,0)</f>
        <v/>
      </c>
      <c r="D931">
        <f>SUM(Q881:Q911)</f>
        <v/>
      </c>
      <c r="E931">
        <f>SUM(AJ881:AJ911)</f>
        <v/>
      </c>
      <c r="F931">
        <f>IF(E931=0,"",D931/E931)</f>
        <v/>
      </c>
      <c r="G931">
        <f>IF(C931=0,0,SUMPRODUCT((DATA_TS!$C$2:$C$20001=$A931)*(DATA_TS!$A$2:$A$20001&gt;=Kalkulasi!$B$873)*(DATA_TS!$A$2:$A$20001&lt;=Kalkulasi!$B$874)*(((DATA_TS!$B$2:$B$20001=Kalkulasi!$B$875)+(Kalkulasi!$B$875="Semua"))&gt;0)*(((Kalkulasi!$B$876="OB")*DATA_TS!$M$2:$M$20001+(Kalkulasi!$B$876&lt;&gt;"OB")*DATA_TS!$N$2:$N$20001)&gt;0)*(((Kalkulasi!$B$876="OB")*DATA_TS!$Q$2:$Q$20001+(Kalkulasi!$B$876&lt;&gt;"OB")*DATA_TS!$R$2:$R$20001)&gt;=C931*((Kalkulasi!$B$876="OB")*DATA_TS!$M$2:$M$20001+(Kalkulasi!$B$876&lt;&gt;"OB")*DATA_TS!$N$2:$N$20001))))</f>
        <v/>
      </c>
      <c r="H931">
        <f>SUMPRODUCT((DATA_TS!$C$2:$C$20001=$A931)*(DATA_TS!$A$2:$A$20001&gt;=Kalkulasi!$B$873)*(DATA_TS!$A$2:$A$20001&lt;=Kalkulasi!$B$874)*(((DATA_TS!$B$2:$B$20001=Kalkulasi!$B$875)+(Kalkulasi!$B$875="Semua"))&gt;0)*(((Kalkulasi!$B$876="OB")*DATA_TS!$M$2:$M$20001+(Kalkulasi!$B$876&lt;&gt;"OB")*DATA_TS!$N$2:$N$20001)&gt;0)*(((Kalkulasi!$B$876="OB")*DATA_TS!$Q$2:$Q$20001+(Kalkulasi!$B$876&lt;&gt;"OB")*DATA_TS!$R$2:$R$20001)&gt;0))</f>
        <v/>
      </c>
      <c r="I931">
        <f>IF(E931=0,"",MAX(BC881:BC911))</f>
        <v/>
      </c>
      <c r="J931">
        <f>IF(E931=0,"",MIN(BC881:BC911))</f>
        <v/>
      </c>
      <c r="K931">
        <f>D931+ROW()/1000000</f>
        <v/>
      </c>
      <c r="L931">
        <f>IF(H931&lt;3,-1,G931/H931)</f>
        <v/>
      </c>
    </row>
    <row r="932">
      <c r="A932" t="inlineStr">
        <is>
          <t>EX-751</t>
        </is>
      </c>
      <c r="B932">
        <f>IFERROR(INDEX(MASTER_JAM!$B$5:$B$94,MATCH($A932,MASTER_JAM!$A$5:$A$94,0)),"")</f>
        <v/>
      </c>
      <c r="C932">
        <f>IFERROR(IF(Kalkulasi!$B$876="OB",INDEX(MASTER_JAM!$F$5:$F$94,MATCH($A932,MASTER_JAM!$A$5:$A$94,0)),INDEX(MASTER_JAM!$G$5:$G$94,MATCH($A932,MASTER_JAM!$A$5:$A$94,0)))+0,0)</f>
        <v/>
      </c>
      <c r="D932">
        <f>SUM(R881:R911)</f>
        <v/>
      </c>
      <c r="E932">
        <f>SUM(AK881:AK911)</f>
        <v/>
      </c>
      <c r="F932">
        <f>IF(E932=0,"",D932/E932)</f>
        <v/>
      </c>
      <c r="G932">
        <f>IF(C932=0,0,SUMPRODUCT((DATA_TS!$C$2:$C$20001=$A932)*(DATA_TS!$A$2:$A$20001&gt;=Kalkulasi!$B$873)*(DATA_TS!$A$2:$A$20001&lt;=Kalkulasi!$B$874)*(((DATA_TS!$B$2:$B$20001=Kalkulasi!$B$875)+(Kalkulasi!$B$875="Semua"))&gt;0)*(((Kalkulasi!$B$876="OB")*DATA_TS!$M$2:$M$20001+(Kalkulasi!$B$876&lt;&gt;"OB")*DATA_TS!$N$2:$N$20001)&gt;0)*(((Kalkulasi!$B$876="OB")*DATA_TS!$Q$2:$Q$20001+(Kalkulasi!$B$876&lt;&gt;"OB")*DATA_TS!$R$2:$R$20001)&gt;=C932*((Kalkulasi!$B$876="OB")*DATA_TS!$M$2:$M$20001+(Kalkulasi!$B$876&lt;&gt;"OB")*DATA_TS!$N$2:$N$20001))))</f>
        <v/>
      </c>
      <c r="H932">
        <f>SUMPRODUCT((DATA_TS!$C$2:$C$20001=$A932)*(DATA_TS!$A$2:$A$20001&gt;=Kalkulasi!$B$873)*(DATA_TS!$A$2:$A$20001&lt;=Kalkulasi!$B$874)*(((DATA_TS!$B$2:$B$20001=Kalkulasi!$B$875)+(Kalkulasi!$B$875="Semua"))&gt;0)*(((Kalkulasi!$B$876="OB")*DATA_TS!$M$2:$M$20001+(Kalkulasi!$B$876&lt;&gt;"OB")*DATA_TS!$N$2:$N$20001)&gt;0)*(((Kalkulasi!$B$876="OB")*DATA_TS!$Q$2:$Q$20001+(Kalkulasi!$B$876&lt;&gt;"OB")*DATA_TS!$R$2:$R$20001)&gt;0))</f>
        <v/>
      </c>
      <c r="I932">
        <f>IF(E932=0,"",MAX(BD881:BD911))</f>
        <v/>
      </c>
      <c r="J932">
        <f>IF(E932=0,"",MIN(BD881:BD911))</f>
        <v/>
      </c>
      <c r="K932">
        <f>D932+ROW()/1000000</f>
        <v/>
      </c>
      <c r="L932">
        <f>IF(H932&lt;3,-1,G932/H932)</f>
        <v/>
      </c>
    </row>
    <row r="933">
      <c r="A933" t="inlineStr">
        <is>
          <t>EX-752</t>
        </is>
      </c>
      <c r="B933">
        <f>IFERROR(INDEX(MASTER_JAM!$B$5:$B$94,MATCH($A933,MASTER_JAM!$A$5:$A$94,0)),"")</f>
        <v/>
      </c>
      <c r="C933">
        <f>IFERROR(IF(Kalkulasi!$B$876="OB",INDEX(MASTER_JAM!$F$5:$F$94,MATCH($A933,MASTER_JAM!$A$5:$A$94,0)),INDEX(MASTER_JAM!$G$5:$G$94,MATCH($A933,MASTER_JAM!$A$5:$A$94,0)))+0,0)</f>
        <v/>
      </c>
      <c r="D933">
        <f>SUM(S881:S911)</f>
        <v/>
      </c>
      <c r="E933">
        <f>SUM(AL881:AL911)</f>
        <v/>
      </c>
      <c r="F933">
        <f>IF(E933=0,"",D933/E933)</f>
        <v/>
      </c>
      <c r="G933">
        <f>IF(C933=0,0,SUMPRODUCT((DATA_TS!$C$2:$C$20001=$A933)*(DATA_TS!$A$2:$A$20001&gt;=Kalkulasi!$B$873)*(DATA_TS!$A$2:$A$20001&lt;=Kalkulasi!$B$874)*(((DATA_TS!$B$2:$B$20001=Kalkulasi!$B$875)+(Kalkulasi!$B$875="Semua"))&gt;0)*(((Kalkulasi!$B$876="OB")*DATA_TS!$M$2:$M$20001+(Kalkulasi!$B$876&lt;&gt;"OB")*DATA_TS!$N$2:$N$20001)&gt;0)*(((Kalkulasi!$B$876="OB")*DATA_TS!$Q$2:$Q$20001+(Kalkulasi!$B$876&lt;&gt;"OB")*DATA_TS!$R$2:$R$20001)&gt;=C933*((Kalkulasi!$B$876="OB")*DATA_TS!$M$2:$M$20001+(Kalkulasi!$B$876&lt;&gt;"OB")*DATA_TS!$N$2:$N$20001))))</f>
        <v/>
      </c>
      <c r="H933">
        <f>SUMPRODUCT((DATA_TS!$C$2:$C$20001=$A933)*(DATA_TS!$A$2:$A$20001&gt;=Kalkulasi!$B$873)*(DATA_TS!$A$2:$A$20001&lt;=Kalkulasi!$B$874)*(((DATA_TS!$B$2:$B$20001=Kalkulasi!$B$875)+(Kalkulasi!$B$875="Semua"))&gt;0)*(((Kalkulasi!$B$876="OB")*DATA_TS!$M$2:$M$20001+(Kalkulasi!$B$876&lt;&gt;"OB")*DATA_TS!$N$2:$N$20001)&gt;0)*(((Kalkulasi!$B$876="OB")*DATA_TS!$Q$2:$Q$20001+(Kalkulasi!$B$876&lt;&gt;"OB")*DATA_TS!$R$2:$R$20001)&gt;0))</f>
        <v/>
      </c>
      <c r="I933">
        <f>IF(E933=0,"",MAX(BE881:BE911))</f>
        <v/>
      </c>
      <c r="J933">
        <f>IF(E933=0,"",MIN(BE881:BE911))</f>
        <v/>
      </c>
      <c r="K933">
        <f>D933+ROW()/1000000</f>
        <v/>
      </c>
      <c r="L933">
        <f>IF(H933&lt;3,-1,G933/H933)</f>
        <v/>
      </c>
    </row>
    <row r="936">
      <c r="A936" s="171" t="inlineStr">
        <is>
          <t>TREN — urutan digger</t>
        </is>
      </c>
    </row>
    <row r="937">
      <c r="A937">
        <f>MATCH(LARGE($K$916:$K$933,1),$K$916:$K$933,0)</f>
        <v/>
      </c>
    </row>
    <row r="938">
      <c r="A938">
        <f>MATCH(LARGE($K$916:$K$933,2),$K$916:$K$933,0)</f>
        <v/>
      </c>
    </row>
    <row r="939">
      <c r="A939">
        <f>MATCH(LARGE($K$916:$K$933,3),$K$916:$K$933,0)</f>
        <v/>
      </c>
    </row>
    <row r="940">
      <c r="A940">
        <f>MATCH(LARGE($K$916:$K$933,4),$K$916:$K$933,0)</f>
        <v/>
      </c>
    </row>
    <row r="941">
      <c r="A941">
        <f>MATCH(LARGE($K$916:$K$933,5),$K$916:$K$933,0)</f>
        <v/>
      </c>
    </row>
    <row r="942">
      <c r="A942">
        <f>MATCH(LARGE($K$916:$K$933,6),$K$916:$K$933,0)</f>
        <v/>
      </c>
    </row>
    <row r="943">
      <c r="A943">
        <f>MATCH(LARGE($K$916:$K$933,7),$K$916:$K$933,0)</f>
        <v/>
      </c>
    </row>
    <row r="944">
      <c r="A944">
        <f>MATCH(LARGE($K$916:$K$933,8),$K$916:$K$933,0)</f>
        <v/>
      </c>
    </row>
    <row r="945">
      <c r="A945">
        <f>MATCH(LARGE($K$916:$K$933,9),$K$916:$K$933,0)</f>
        <v/>
      </c>
    </row>
    <row r="946">
      <c r="A946">
        <f>MATCH(LARGE($K$916:$K$933,10),$K$916:$K$933,0)</f>
        <v/>
      </c>
    </row>
    <row r="947">
      <c r="A947">
        <f>MATCH(LARGE($K$916:$K$933,11),$K$916:$K$933,0)</f>
        <v/>
      </c>
    </row>
    <row r="948">
      <c r="A948">
        <f>MATCH(LARGE($K$916:$K$933,12),$K$916:$K$933,0)</f>
        <v/>
      </c>
    </row>
    <row r="949">
      <c r="A949">
        <f>MATCH(LARGE($K$916:$K$933,13),$K$916:$K$933,0)</f>
        <v/>
      </c>
    </row>
    <row r="950">
      <c r="A950">
        <f>MATCH(LARGE($K$916:$K$933,14),$K$916:$K$933,0)</f>
        <v/>
      </c>
    </row>
    <row r="951">
      <c r="A951">
        <f>MATCH(LARGE($K$916:$K$933,15),$K$916:$K$933,0)</f>
        <v/>
      </c>
    </row>
    <row r="952">
      <c r="A952">
        <f>MATCH(LARGE($K$916:$K$933,16),$K$916:$K$933,0)</f>
        <v/>
      </c>
    </row>
    <row r="953">
      <c r="A953">
        <f>MATCH(LARGE($K$916:$K$933,17),$K$916:$K$933,0)</f>
        <v/>
      </c>
    </row>
    <row r="954">
      <c r="A954">
        <f>MATCH(LARGE($K$916:$K$933,18),$K$916:$K$933,0)</f>
        <v/>
      </c>
    </row>
    <row r="957">
      <c r="A957" s="171" t="inlineStr">
        <is>
          <t>TREN — chart ranking</t>
        </is>
      </c>
    </row>
    <row r="958">
      <c r="A958" t="inlineStr">
        <is>
          <t>Digger</t>
        </is>
      </c>
      <c r="B958" t="inlineStr">
        <is>
          <t>PTY periode</t>
        </is>
      </c>
      <c r="C958" t="inlineStr">
        <is>
          <t>Target</t>
        </is>
      </c>
    </row>
    <row r="959">
      <c r="A959">
        <f>IF(INDEX(Kalkulasi!$D$916:$D$933,Kalkulasi!$A$937)=0,"",INDEX(Kalkulasi!$A$916:$A$933,Kalkulasi!$A$937))</f>
        <v/>
      </c>
      <c r="B959">
        <f>IF(INDEX(Kalkulasi!$D$916:$D$933,Kalkulasi!$A$937)=0,NA(),INDEX(Kalkulasi!$F$916:$F$933,Kalkulasi!$A$937))</f>
        <v/>
      </c>
      <c r="C959">
        <f>IF(OR(INDEX(Kalkulasi!$D$916:$D$933,Kalkulasi!$A$937)=0,INDEX(Kalkulasi!$C$916:$C$933,Kalkulasi!$A$937)=0),NA(),INDEX(Kalkulasi!$C$916:$C$933,Kalkulasi!$A$937))</f>
        <v/>
      </c>
    </row>
    <row r="960">
      <c r="A960">
        <f>IF(INDEX(Kalkulasi!$D$916:$D$933,Kalkulasi!$A$938)=0,"",INDEX(Kalkulasi!$A$916:$A$933,Kalkulasi!$A$938))</f>
        <v/>
      </c>
      <c r="B960">
        <f>IF(INDEX(Kalkulasi!$D$916:$D$933,Kalkulasi!$A$938)=0,NA(),INDEX(Kalkulasi!$F$916:$F$933,Kalkulasi!$A$938))</f>
        <v/>
      </c>
      <c r="C960">
        <f>IF(OR(INDEX(Kalkulasi!$D$916:$D$933,Kalkulasi!$A$938)=0,INDEX(Kalkulasi!$C$916:$C$933,Kalkulasi!$A$938)=0),NA(),INDEX(Kalkulasi!$C$916:$C$933,Kalkulasi!$A$938))</f>
        <v/>
      </c>
    </row>
    <row r="961">
      <c r="A961">
        <f>IF(INDEX(Kalkulasi!$D$916:$D$933,Kalkulasi!$A$939)=0,"",INDEX(Kalkulasi!$A$916:$A$933,Kalkulasi!$A$939))</f>
        <v/>
      </c>
      <c r="B961">
        <f>IF(INDEX(Kalkulasi!$D$916:$D$933,Kalkulasi!$A$939)=0,NA(),INDEX(Kalkulasi!$F$916:$F$933,Kalkulasi!$A$939))</f>
        <v/>
      </c>
      <c r="C961">
        <f>IF(OR(INDEX(Kalkulasi!$D$916:$D$933,Kalkulasi!$A$939)=0,INDEX(Kalkulasi!$C$916:$C$933,Kalkulasi!$A$939)=0),NA(),INDEX(Kalkulasi!$C$916:$C$933,Kalkulasi!$A$939))</f>
        <v/>
      </c>
    </row>
    <row r="962">
      <c r="A962">
        <f>IF(INDEX(Kalkulasi!$D$916:$D$933,Kalkulasi!$A$940)=0,"",INDEX(Kalkulasi!$A$916:$A$933,Kalkulasi!$A$940))</f>
        <v/>
      </c>
      <c r="B962">
        <f>IF(INDEX(Kalkulasi!$D$916:$D$933,Kalkulasi!$A$940)=0,NA(),INDEX(Kalkulasi!$F$916:$F$933,Kalkulasi!$A$940))</f>
        <v/>
      </c>
      <c r="C962">
        <f>IF(OR(INDEX(Kalkulasi!$D$916:$D$933,Kalkulasi!$A$940)=0,INDEX(Kalkulasi!$C$916:$C$933,Kalkulasi!$A$940)=0),NA(),INDEX(Kalkulasi!$C$916:$C$933,Kalkulasi!$A$940))</f>
        <v/>
      </c>
    </row>
    <row r="963">
      <c r="A963">
        <f>IF(INDEX(Kalkulasi!$D$916:$D$933,Kalkulasi!$A$941)=0,"",INDEX(Kalkulasi!$A$916:$A$933,Kalkulasi!$A$941))</f>
        <v/>
      </c>
      <c r="B963">
        <f>IF(INDEX(Kalkulasi!$D$916:$D$933,Kalkulasi!$A$941)=0,NA(),INDEX(Kalkulasi!$F$916:$F$933,Kalkulasi!$A$941))</f>
        <v/>
      </c>
      <c r="C963">
        <f>IF(OR(INDEX(Kalkulasi!$D$916:$D$933,Kalkulasi!$A$941)=0,INDEX(Kalkulasi!$C$916:$C$933,Kalkulasi!$A$941)=0),NA(),INDEX(Kalkulasi!$C$916:$C$933,Kalkulasi!$A$941))</f>
        <v/>
      </c>
    </row>
    <row r="964">
      <c r="A964">
        <f>IF(INDEX(Kalkulasi!$D$916:$D$933,Kalkulasi!$A$942)=0,"",INDEX(Kalkulasi!$A$916:$A$933,Kalkulasi!$A$942))</f>
        <v/>
      </c>
      <c r="B964">
        <f>IF(INDEX(Kalkulasi!$D$916:$D$933,Kalkulasi!$A$942)=0,NA(),INDEX(Kalkulasi!$F$916:$F$933,Kalkulasi!$A$942))</f>
        <v/>
      </c>
      <c r="C964">
        <f>IF(OR(INDEX(Kalkulasi!$D$916:$D$933,Kalkulasi!$A$942)=0,INDEX(Kalkulasi!$C$916:$C$933,Kalkulasi!$A$942)=0),NA(),INDEX(Kalkulasi!$C$916:$C$933,Kalkulasi!$A$942))</f>
        <v/>
      </c>
    </row>
    <row r="965">
      <c r="A965">
        <f>IF(INDEX(Kalkulasi!$D$916:$D$933,Kalkulasi!$A$943)=0,"",INDEX(Kalkulasi!$A$916:$A$933,Kalkulasi!$A$943))</f>
        <v/>
      </c>
      <c r="B965">
        <f>IF(INDEX(Kalkulasi!$D$916:$D$933,Kalkulasi!$A$943)=0,NA(),INDEX(Kalkulasi!$F$916:$F$933,Kalkulasi!$A$943))</f>
        <v/>
      </c>
      <c r="C965">
        <f>IF(OR(INDEX(Kalkulasi!$D$916:$D$933,Kalkulasi!$A$943)=0,INDEX(Kalkulasi!$C$916:$C$933,Kalkulasi!$A$943)=0),NA(),INDEX(Kalkulasi!$C$916:$C$933,Kalkulasi!$A$943))</f>
        <v/>
      </c>
    </row>
    <row r="966">
      <c r="A966">
        <f>IF(INDEX(Kalkulasi!$D$916:$D$933,Kalkulasi!$A$944)=0,"",INDEX(Kalkulasi!$A$916:$A$933,Kalkulasi!$A$944))</f>
        <v/>
      </c>
      <c r="B966">
        <f>IF(INDEX(Kalkulasi!$D$916:$D$933,Kalkulasi!$A$944)=0,NA(),INDEX(Kalkulasi!$F$916:$F$933,Kalkulasi!$A$944))</f>
        <v/>
      </c>
      <c r="C966">
        <f>IF(OR(INDEX(Kalkulasi!$D$916:$D$933,Kalkulasi!$A$944)=0,INDEX(Kalkulasi!$C$916:$C$933,Kalkulasi!$A$944)=0),NA(),INDEX(Kalkulasi!$C$916:$C$933,Kalkulasi!$A$944))</f>
        <v/>
      </c>
    </row>
    <row r="967">
      <c r="A967">
        <f>IF(INDEX(Kalkulasi!$D$916:$D$933,Kalkulasi!$A$945)=0,"",INDEX(Kalkulasi!$A$916:$A$933,Kalkulasi!$A$945))</f>
        <v/>
      </c>
      <c r="B967">
        <f>IF(INDEX(Kalkulasi!$D$916:$D$933,Kalkulasi!$A$945)=0,NA(),INDEX(Kalkulasi!$F$916:$F$933,Kalkulasi!$A$945))</f>
        <v/>
      </c>
      <c r="C967">
        <f>IF(OR(INDEX(Kalkulasi!$D$916:$D$933,Kalkulasi!$A$945)=0,INDEX(Kalkulasi!$C$916:$C$933,Kalkulasi!$A$945)=0),NA(),INDEX(Kalkulasi!$C$916:$C$933,Kalkulasi!$A$945))</f>
        <v/>
      </c>
    </row>
    <row r="968">
      <c r="A968">
        <f>IF(INDEX(Kalkulasi!$D$916:$D$933,Kalkulasi!$A$946)=0,"",INDEX(Kalkulasi!$A$916:$A$933,Kalkulasi!$A$946))</f>
        <v/>
      </c>
      <c r="B968">
        <f>IF(INDEX(Kalkulasi!$D$916:$D$933,Kalkulasi!$A$946)=0,NA(),INDEX(Kalkulasi!$F$916:$F$933,Kalkulasi!$A$946))</f>
        <v/>
      </c>
      <c r="C968">
        <f>IF(OR(INDEX(Kalkulasi!$D$916:$D$933,Kalkulasi!$A$946)=0,INDEX(Kalkulasi!$C$916:$C$933,Kalkulasi!$A$946)=0),NA(),INDEX(Kalkulasi!$C$916:$C$933,Kalkulasi!$A$946))</f>
        <v/>
      </c>
    </row>
    <row r="969">
      <c r="A969">
        <f>IF(INDEX(Kalkulasi!$D$916:$D$933,Kalkulasi!$A$947)=0,"",INDEX(Kalkulasi!$A$916:$A$933,Kalkulasi!$A$947))</f>
        <v/>
      </c>
      <c r="B969">
        <f>IF(INDEX(Kalkulasi!$D$916:$D$933,Kalkulasi!$A$947)=0,NA(),INDEX(Kalkulasi!$F$916:$F$933,Kalkulasi!$A$947))</f>
        <v/>
      </c>
      <c r="C969">
        <f>IF(OR(INDEX(Kalkulasi!$D$916:$D$933,Kalkulasi!$A$947)=0,INDEX(Kalkulasi!$C$916:$C$933,Kalkulasi!$A$947)=0),NA(),INDEX(Kalkulasi!$C$916:$C$933,Kalkulasi!$A$947))</f>
        <v/>
      </c>
    </row>
    <row r="970">
      <c r="A970">
        <f>IF(INDEX(Kalkulasi!$D$916:$D$933,Kalkulasi!$A$948)=0,"",INDEX(Kalkulasi!$A$916:$A$933,Kalkulasi!$A$948))</f>
        <v/>
      </c>
      <c r="B970">
        <f>IF(INDEX(Kalkulasi!$D$916:$D$933,Kalkulasi!$A$948)=0,NA(),INDEX(Kalkulasi!$F$916:$F$933,Kalkulasi!$A$948))</f>
        <v/>
      </c>
      <c r="C970">
        <f>IF(OR(INDEX(Kalkulasi!$D$916:$D$933,Kalkulasi!$A$948)=0,INDEX(Kalkulasi!$C$916:$C$933,Kalkulasi!$A$948)=0),NA(),INDEX(Kalkulasi!$C$916:$C$933,Kalkulasi!$A$948))</f>
        <v/>
      </c>
    </row>
    <row r="973">
      <c r="A973" s="171" t="inlineStr">
        <is>
          <t>TREN — KPI</t>
        </is>
      </c>
    </row>
    <row r="974">
      <c r="A974" t="inlineStr">
        <is>
          <t>PTY fleet periode</t>
        </is>
      </c>
      <c r="B974" s="194">
        <f>IF(SUM(AM881:AM911)=0,0,SUM(T881:T911)/SUM(AM881:AM911))</f>
        <v/>
      </c>
    </row>
    <row r="975">
      <c r="A975" t="inlineStr">
        <is>
          <t>Produksi digger periode</t>
        </is>
      </c>
      <c r="B975" s="194">
        <f>SUM(T881:T911)</f>
        <v/>
      </c>
    </row>
    <row r="976">
      <c r="A976" t="inlineStr">
        <is>
          <t>Shift on target %</t>
        </is>
      </c>
      <c r="B976" s="200">
        <f>IF(SUM(H916:H933)=0,0,SUM(G916:G933)/SUM(H916:H933))</f>
        <v/>
      </c>
    </row>
    <row r="977">
      <c r="A977" t="inlineStr">
        <is>
          <t>Digger PTY tertinggi</t>
        </is>
      </c>
      <c r="B977">
        <f>IFERROR(INDEX(A916:A933,MATCH(MAX(F916:F933),F916:F933,0)),"–")</f>
        <v/>
      </c>
    </row>
    <row r="978">
      <c r="A978" t="inlineStr">
        <is>
          <t>PTY tertinggi</t>
        </is>
      </c>
      <c r="B978" s="194">
        <f>MAX(F916:F933)</f>
        <v/>
      </c>
    </row>
    <row r="979">
      <c r="A979" t="inlineStr">
        <is>
          <t>PTY hari terbaik</t>
        </is>
      </c>
      <c r="B979" s="194">
        <f>MAX(BH881:BH911)</f>
        <v/>
      </c>
    </row>
    <row r="980">
      <c r="A980" t="inlineStr">
        <is>
          <t>Hari terbaik</t>
        </is>
      </c>
      <c r="B980" s="199">
        <f>IF(Kalkulasi!$B$979=0,"",INDEX(A881:A911,MATCH(Kalkulasi!$B$979,BH881:BH911,0)))</f>
        <v/>
      </c>
    </row>
    <row r="981">
      <c r="A981" t="inlineStr">
        <is>
          <t>PTY hari terendah</t>
        </is>
      </c>
      <c r="B981" s="194">
        <f>MIN(BH881:BH911)</f>
        <v/>
      </c>
    </row>
    <row r="982">
      <c r="A982" t="inlineStr">
        <is>
          <t>Hari terendah</t>
        </is>
      </c>
      <c r="B982" s="199">
        <f>IF(COUNT(BH881:BH911)=0,"",INDEX(A881:A911,MATCH(Kalkulasi!$B$981,BH881:BH911,0)))</f>
        <v/>
      </c>
    </row>
    <row r="983">
      <c r="A983" t="inlineStr">
        <is>
          <t>Digger paling konsisten</t>
        </is>
      </c>
      <c r="B983">
        <f>IFERROR(INDEX(A916:A933,MATCH(MAX(L916:L933),L916:L933,0)),"–")</f>
        <v/>
      </c>
    </row>
    <row r="984">
      <c r="A984" t="inlineStr">
        <is>
          <t>% on target konsisten</t>
        </is>
      </c>
      <c r="B984" s="200">
        <f>MAX(0,MAX(L916:L933))</f>
        <v/>
      </c>
    </row>
    <row r="986">
      <c r="A986" s="171" t="inlineStr">
        <is>
          <t>DAILY — tanggal</t>
        </is>
      </c>
    </row>
    <row r="987">
      <c r="A987" t="inlineStr">
        <is>
          <t>Tanggal</t>
        </is>
      </c>
      <c r="B987" s="192">
        <f>'Daily Report'!$E$6</f>
        <v/>
      </c>
    </row>
    <row r="988">
      <c r="A988" t="inlineStr">
        <is>
          <t>Awal bulan</t>
        </is>
      </c>
      <c r="B988" s="192">
        <f>DATE(YEAR(Kalkulasi!$B$987),MONTH(Kalkulasi!$B$987),1)</f>
        <v/>
      </c>
    </row>
    <row r="990">
      <c r="A990" s="171" t="inlineStr">
        <is>
          <t>DAILY — per jam 24 jam</t>
        </is>
      </c>
    </row>
    <row r="991">
      <c r="A991" t="inlineStr">
        <is>
          <t>Jam</t>
        </is>
      </c>
      <c r="B991" t="inlineStr">
        <is>
          <t>OB DS</t>
        </is>
      </c>
      <c r="C991" t="inlineStr">
        <is>
          <t>OB NS</t>
        </is>
      </c>
      <c r="D991" t="inlineStr">
        <is>
          <t>Coal</t>
        </is>
      </c>
      <c r="E991" t="inlineStr">
        <is>
          <t>Plan OB/jam</t>
        </is>
      </c>
      <c r="F991" t="inlineStr">
        <is>
          <t>Rain</t>
        </is>
      </c>
      <c r="G991" t="inlineStr">
        <is>
          <t>Slippery</t>
        </is>
      </c>
      <c r="H991" t="inlineStr">
        <is>
          <t>Istirahat</t>
        </is>
      </c>
      <c r="I991" t="inlineStr">
        <is>
          <t>P2H / Ganti shift</t>
        </is>
      </c>
      <c r="J991" t="inlineStr">
        <is>
          <t>Standby</t>
        </is>
      </c>
      <c r="K991" t="inlineStr">
        <is>
          <t>Breakdown</t>
        </is>
      </c>
      <c r="L991" t="inlineStr">
        <is>
          <t>Lainnya</t>
        </is>
      </c>
    </row>
    <row r="992">
      <c r="A992" t="inlineStr">
        <is>
          <t>06-07</t>
        </is>
      </c>
      <c r="B992">
        <f>IF(0&lt;12,SUMIFS(INPUT_RITASE!$L$5:$L$20000,INPUT_RITASE!$A$5:$A$20000,Kalkulasi!$B$987,INPUT_RITASE!$B$5:$B$20000,$A992,INPUT_RITASE!$N$5:$N$20000,"OB"),NA())</f>
        <v/>
      </c>
      <c r="C992">
        <f>IF(0&gt;=12,SUMIFS(INPUT_RITASE!$L$5:$L$20000,INPUT_RITASE!$A$5:$A$20000,Kalkulasi!$B$987,INPUT_RITASE!$B$5:$B$20000,$A992,INPUT_RITASE!$N$5:$N$20000,"OB"),NA())</f>
        <v/>
      </c>
      <c r="D992">
        <f>SUMIFS(INPUT_RITASE!$L$5:$L$20000,INPUT_RITASE!$A$5:$A$20000,Kalkulasi!$B$987,INPUT_RITASE!$B$5:$B$20000,$A992,INPUT_RITASE!$N$5:$N$20000,"Coal")</f>
        <v/>
      </c>
      <c r="E992">
        <f>IFERROR(INDEX(DATA_PLAN!$B$2:$B$20001,MATCH(Kalkulasi!$B$987,DATA_PLAN!$A$2:$A$20001,0)),0)/24</f>
        <v/>
      </c>
      <c r="F992">
        <f>SUMIFS(INPUT_DELAY!$E$5:$E$20000,INPUT_DELAY!$A$5:$A$20000,Kalkulasi!$B$987,INPUT_DELAY!$B$5:$B$20000,$A992,INPUT_DELAY!$D$5:$D$20000,"Rain")</f>
        <v/>
      </c>
      <c r="G992">
        <f>SUMIFS(INPUT_DELAY!$E$5:$E$20000,INPUT_DELAY!$A$5:$A$20000,Kalkulasi!$B$987,INPUT_DELAY!$B$5:$B$20000,$A992,INPUT_DELAY!$D$5:$D$20000,"Slippery")</f>
        <v/>
      </c>
      <c r="H992">
        <f>SUMIFS(INPUT_DELAY!$E$5:$E$20000,INPUT_DELAY!$A$5:$A$20000,Kalkulasi!$B$987,INPUT_DELAY!$B$5:$B$20000,$A992,INPUT_DELAY!$D$5:$D$20000,"Istirahat")</f>
        <v/>
      </c>
      <c r="I992">
        <f>SUMIFS(INPUT_DELAY!$E$5:$E$20000,INPUT_DELAY!$A$5:$A$20000,Kalkulasi!$B$987,INPUT_DELAY!$B$5:$B$20000,$A992,INPUT_DELAY!$D$5:$D$20000,"P2H / Ganti shift")</f>
        <v/>
      </c>
      <c r="J992">
        <f>SUMIFS(INPUT_DELAY!$E$5:$E$20000,INPUT_DELAY!$A$5:$A$20000,Kalkulasi!$B$987,INPUT_DELAY!$B$5:$B$20000,$A992,INPUT_DELAY!$D$5:$D$20000,"Standby")</f>
        <v/>
      </c>
      <c r="K992">
        <f>SUMIFS(INPUT_DELAY!$E$5:$E$20000,INPUT_DELAY!$A$5:$A$20000,Kalkulasi!$B$987,INPUT_DELAY!$B$5:$B$20000,$A992,INPUT_DELAY!$D$5:$D$20000,"Breakdown")</f>
        <v/>
      </c>
      <c r="L992">
        <f>SUMIFS(INPUT_DELAY!$E$5:$E$20000,INPUT_DELAY!$A$5:$A$20000,Kalkulasi!$B$987,INPUT_DELAY!$B$5:$B$20000,$A992,INPUT_DELAY!$D$5:$D$20000,"Lainnya")</f>
        <v/>
      </c>
    </row>
    <row r="993">
      <c r="A993" t="inlineStr">
        <is>
          <t>07-08</t>
        </is>
      </c>
      <c r="B993">
        <f>IF(1&lt;12,SUMIFS(INPUT_RITASE!$L$5:$L$20000,INPUT_RITASE!$A$5:$A$20000,Kalkulasi!$B$987,INPUT_RITASE!$B$5:$B$20000,$A993,INPUT_RITASE!$N$5:$N$20000,"OB"),NA())</f>
        <v/>
      </c>
      <c r="C993">
        <f>IF(1&gt;=12,SUMIFS(INPUT_RITASE!$L$5:$L$20000,INPUT_RITASE!$A$5:$A$20000,Kalkulasi!$B$987,INPUT_RITASE!$B$5:$B$20000,$A993,INPUT_RITASE!$N$5:$N$20000,"OB"),NA())</f>
        <v/>
      </c>
      <c r="D993">
        <f>SUMIFS(INPUT_RITASE!$L$5:$L$20000,INPUT_RITASE!$A$5:$A$20000,Kalkulasi!$B$987,INPUT_RITASE!$B$5:$B$20000,$A993,INPUT_RITASE!$N$5:$N$20000,"Coal")</f>
        <v/>
      </c>
      <c r="E993">
        <f>IFERROR(INDEX(DATA_PLAN!$B$2:$B$20001,MATCH(Kalkulasi!$B$987,DATA_PLAN!$A$2:$A$20001,0)),0)/24</f>
        <v/>
      </c>
      <c r="F993">
        <f>SUMIFS(INPUT_DELAY!$E$5:$E$20000,INPUT_DELAY!$A$5:$A$20000,Kalkulasi!$B$987,INPUT_DELAY!$B$5:$B$20000,$A993,INPUT_DELAY!$D$5:$D$20000,"Rain")</f>
        <v/>
      </c>
      <c r="G993">
        <f>SUMIFS(INPUT_DELAY!$E$5:$E$20000,INPUT_DELAY!$A$5:$A$20000,Kalkulasi!$B$987,INPUT_DELAY!$B$5:$B$20000,$A993,INPUT_DELAY!$D$5:$D$20000,"Slippery")</f>
        <v/>
      </c>
      <c r="H993">
        <f>SUMIFS(INPUT_DELAY!$E$5:$E$20000,INPUT_DELAY!$A$5:$A$20000,Kalkulasi!$B$987,INPUT_DELAY!$B$5:$B$20000,$A993,INPUT_DELAY!$D$5:$D$20000,"Istirahat")</f>
        <v/>
      </c>
      <c r="I993">
        <f>SUMIFS(INPUT_DELAY!$E$5:$E$20000,INPUT_DELAY!$A$5:$A$20000,Kalkulasi!$B$987,INPUT_DELAY!$B$5:$B$20000,$A993,INPUT_DELAY!$D$5:$D$20000,"P2H / Ganti shift")</f>
        <v/>
      </c>
      <c r="J993">
        <f>SUMIFS(INPUT_DELAY!$E$5:$E$20000,INPUT_DELAY!$A$5:$A$20000,Kalkulasi!$B$987,INPUT_DELAY!$B$5:$B$20000,$A993,INPUT_DELAY!$D$5:$D$20000,"Standby")</f>
        <v/>
      </c>
      <c r="K993">
        <f>SUMIFS(INPUT_DELAY!$E$5:$E$20000,INPUT_DELAY!$A$5:$A$20000,Kalkulasi!$B$987,INPUT_DELAY!$B$5:$B$20000,$A993,INPUT_DELAY!$D$5:$D$20000,"Breakdown")</f>
        <v/>
      </c>
      <c r="L993">
        <f>SUMIFS(INPUT_DELAY!$E$5:$E$20000,INPUT_DELAY!$A$5:$A$20000,Kalkulasi!$B$987,INPUT_DELAY!$B$5:$B$20000,$A993,INPUT_DELAY!$D$5:$D$20000,"Lainnya")</f>
        <v/>
      </c>
    </row>
    <row r="994">
      <c r="A994" t="inlineStr">
        <is>
          <t>08-09</t>
        </is>
      </c>
      <c r="B994">
        <f>IF(2&lt;12,SUMIFS(INPUT_RITASE!$L$5:$L$20000,INPUT_RITASE!$A$5:$A$20000,Kalkulasi!$B$987,INPUT_RITASE!$B$5:$B$20000,$A994,INPUT_RITASE!$N$5:$N$20000,"OB"),NA())</f>
        <v/>
      </c>
      <c r="C994">
        <f>IF(2&gt;=12,SUMIFS(INPUT_RITASE!$L$5:$L$20000,INPUT_RITASE!$A$5:$A$20000,Kalkulasi!$B$987,INPUT_RITASE!$B$5:$B$20000,$A994,INPUT_RITASE!$N$5:$N$20000,"OB"),NA())</f>
        <v/>
      </c>
      <c r="D994">
        <f>SUMIFS(INPUT_RITASE!$L$5:$L$20000,INPUT_RITASE!$A$5:$A$20000,Kalkulasi!$B$987,INPUT_RITASE!$B$5:$B$20000,$A994,INPUT_RITASE!$N$5:$N$20000,"Coal")</f>
        <v/>
      </c>
      <c r="E994">
        <f>IFERROR(INDEX(DATA_PLAN!$B$2:$B$20001,MATCH(Kalkulasi!$B$987,DATA_PLAN!$A$2:$A$20001,0)),0)/24</f>
        <v/>
      </c>
      <c r="F994">
        <f>SUMIFS(INPUT_DELAY!$E$5:$E$20000,INPUT_DELAY!$A$5:$A$20000,Kalkulasi!$B$987,INPUT_DELAY!$B$5:$B$20000,$A994,INPUT_DELAY!$D$5:$D$20000,"Rain")</f>
        <v/>
      </c>
      <c r="G994">
        <f>SUMIFS(INPUT_DELAY!$E$5:$E$20000,INPUT_DELAY!$A$5:$A$20000,Kalkulasi!$B$987,INPUT_DELAY!$B$5:$B$20000,$A994,INPUT_DELAY!$D$5:$D$20000,"Slippery")</f>
        <v/>
      </c>
      <c r="H994">
        <f>SUMIFS(INPUT_DELAY!$E$5:$E$20000,INPUT_DELAY!$A$5:$A$20000,Kalkulasi!$B$987,INPUT_DELAY!$B$5:$B$20000,$A994,INPUT_DELAY!$D$5:$D$20000,"Istirahat")</f>
        <v/>
      </c>
      <c r="I994">
        <f>SUMIFS(INPUT_DELAY!$E$5:$E$20000,INPUT_DELAY!$A$5:$A$20000,Kalkulasi!$B$987,INPUT_DELAY!$B$5:$B$20000,$A994,INPUT_DELAY!$D$5:$D$20000,"P2H / Ganti shift")</f>
        <v/>
      </c>
      <c r="J994">
        <f>SUMIFS(INPUT_DELAY!$E$5:$E$20000,INPUT_DELAY!$A$5:$A$20000,Kalkulasi!$B$987,INPUT_DELAY!$B$5:$B$20000,$A994,INPUT_DELAY!$D$5:$D$20000,"Standby")</f>
        <v/>
      </c>
      <c r="K994">
        <f>SUMIFS(INPUT_DELAY!$E$5:$E$20000,INPUT_DELAY!$A$5:$A$20000,Kalkulasi!$B$987,INPUT_DELAY!$B$5:$B$20000,$A994,INPUT_DELAY!$D$5:$D$20000,"Breakdown")</f>
        <v/>
      </c>
      <c r="L994">
        <f>SUMIFS(INPUT_DELAY!$E$5:$E$20000,INPUT_DELAY!$A$5:$A$20000,Kalkulasi!$B$987,INPUT_DELAY!$B$5:$B$20000,$A994,INPUT_DELAY!$D$5:$D$20000,"Lainnya")</f>
        <v/>
      </c>
    </row>
    <row r="995">
      <c r="A995" t="inlineStr">
        <is>
          <t>09-10</t>
        </is>
      </c>
      <c r="B995">
        <f>IF(3&lt;12,SUMIFS(INPUT_RITASE!$L$5:$L$20000,INPUT_RITASE!$A$5:$A$20000,Kalkulasi!$B$987,INPUT_RITASE!$B$5:$B$20000,$A995,INPUT_RITASE!$N$5:$N$20000,"OB"),NA())</f>
        <v/>
      </c>
      <c r="C995">
        <f>IF(3&gt;=12,SUMIFS(INPUT_RITASE!$L$5:$L$20000,INPUT_RITASE!$A$5:$A$20000,Kalkulasi!$B$987,INPUT_RITASE!$B$5:$B$20000,$A995,INPUT_RITASE!$N$5:$N$20000,"OB"),NA())</f>
        <v/>
      </c>
      <c r="D995">
        <f>SUMIFS(INPUT_RITASE!$L$5:$L$20000,INPUT_RITASE!$A$5:$A$20000,Kalkulasi!$B$987,INPUT_RITASE!$B$5:$B$20000,$A995,INPUT_RITASE!$N$5:$N$20000,"Coal")</f>
        <v/>
      </c>
      <c r="E995">
        <f>IFERROR(INDEX(DATA_PLAN!$B$2:$B$20001,MATCH(Kalkulasi!$B$987,DATA_PLAN!$A$2:$A$20001,0)),0)/24</f>
        <v/>
      </c>
      <c r="F995">
        <f>SUMIFS(INPUT_DELAY!$E$5:$E$20000,INPUT_DELAY!$A$5:$A$20000,Kalkulasi!$B$987,INPUT_DELAY!$B$5:$B$20000,$A995,INPUT_DELAY!$D$5:$D$20000,"Rain")</f>
        <v/>
      </c>
      <c r="G995">
        <f>SUMIFS(INPUT_DELAY!$E$5:$E$20000,INPUT_DELAY!$A$5:$A$20000,Kalkulasi!$B$987,INPUT_DELAY!$B$5:$B$20000,$A995,INPUT_DELAY!$D$5:$D$20000,"Slippery")</f>
        <v/>
      </c>
      <c r="H995">
        <f>SUMIFS(INPUT_DELAY!$E$5:$E$20000,INPUT_DELAY!$A$5:$A$20000,Kalkulasi!$B$987,INPUT_DELAY!$B$5:$B$20000,$A995,INPUT_DELAY!$D$5:$D$20000,"Istirahat")</f>
        <v/>
      </c>
      <c r="I995">
        <f>SUMIFS(INPUT_DELAY!$E$5:$E$20000,INPUT_DELAY!$A$5:$A$20000,Kalkulasi!$B$987,INPUT_DELAY!$B$5:$B$20000,$A995,INPUT_DELAY!$D$5:$D$20000,"P2H / Ganti shift")</f>
        <v/>
      </c>
      <c r="J995">
        <f>SUMIFS(INPUT_DELAY!$E$5:$E$20000,INPUT_DELAY!$A$5:$A$20000,Kalkulasi!$B$987,INPUT_DELAY!$B$5:$B$20000,$A995,INPUT_DELAY!$D$5:$D$20000,"Standby")</f>
        <v/>
      </c>
      <c r="K995">
        <f>SUMIFS(INPUT_DELAY!$E$5:$E$20000,INPUT_DELAY!$A$5:$A$20000,Kalkulasi!$B$987,INPUT_DELAY!$B$5:$B$20000,$A995,INPUT_DELAY!$D$5:$D$20000,"Breakdown")</f>
        <v/>
      </c>
      <c r="L995">
        <f>SUMIFS(INPUT_DELAY!$E$5:$E$20000,INPUT_DELAY!$A$5:$A$20000,Kalkulasi!$B$987,INPUT_DELAY!$B$5:$B$20000,$A995,INPUT_DELAY!$D$5:$D$20000,"Lainnya")</f>
        <v/>
      </c>
    </row>
    <row r="996">
      <c r="A996" t="inlineStr">
        <is>
          <t>10-11</t>
        </is>
      </c>
      <c r="B996">
        <f>IF(4&lt;12,SUMIFS(INPUT_RITASE!$L$5:$L$20000,INPUT_RITASE!$A$5:$A$20000,Kalkulasi!$B$987,INPUT_RITASE!$B$5:$B$20000,$A996,INPUT_RITASE!$N$5:$N$20000,"OB"),NA())</f>
        <v/>
      </c>
      <c r="C996">
        <f>IF(4&gt;=12,SUMIFS(INPUT_RITASE!$L$5:$L$20000,INPUT_RITASE!$A$5:$A$20000,Kalkulasi!$B$987,INPUT_RITASE!$B$5:$B$20000,$A996,INPUT_RITASE!$N$5:$N$20000,"OB"),NA())</f>
        <v/>
      </c>
      <c r="D996">
        <f>SUMIFS(INPUT_RITASE!$L$5:$L$20000,INPUT_RITASE!$A$5:$A$20000,Kalkulasi!$B$987,INPUT_RITASE!$B$5:$B$20000,$A996,INPUT_RITASE!$N$5:$N$20000,"Coal")</f>
        <v/>
      </c>
      <c r="E996">
        <f>IFERROR(INDEX(DATA_PLAN!$B$2:$B$20001,MATCH(Kalkulasi!$B$987,DATA_PLAN!$A$2:$A$20001,0)),0)/24</f>
        <v/>
      </c>
      <c r="F996">
        <f>SUMIFS(INPUT_DELAY!$E$5:$E$20000,INPUT_DELAY!$A$5:$A$20000,Kalkulasi!$B$987,INPUT_DELAY!$B$5:$B$20000,$A996,INPUT_DELAY!$D$5:$D$20000,"Rain")</f>
        <v/>
      </c>
      <c r="G996">
        <f>SUMIFS(INPUT_DELAY!$E$5:$E$20000,INPUT_DELAY!$A$5:$A$20000,Kalkulasi!$B$987,INPUT_DELAY!$B$5:$B$20000,$A996,INPUT_DELAY!$D$5:$D$20000,"Slippery")</f>
        <v/>
      </c>
      <c r="H996">
        <f>SUMIFS(INPUT_DELAY!$E$5:$E$20000,INPUT_DELAY!$A$5:$A$20000,Kalkulasi!$B$987,INPUT_DELAY!$B$5:$B$20000,$A996,INPUT_DELAY!$D$5:$D$20000,"Istirahat")</f>
        <v/>
      </c>
      <c r="I996">
        <f>SUMIFS(INPUT_DELAY!$E$5:$E$20000,INPUT_DELAY!$A$5:$A$20000,Kalkulasi!$B$987,INPUT_DELAY!$B$5:$B$20000,$A996,INPUT_DELAY!$D$5:$D$20000,"P2H / Ganti shift")</f>
        <v/>
      </c>
      <c r="J996">
        <f>SUMIFS(INPUT_DELAY!$E$5:$E$20000,INPUT_DELAY!$A$5:$A$20000,Kalkulasi!$B$987,INPUT_DELAY!$B$5:$B$20000,$A996,INPUT_DELAY!$D$5:$D$20000,"Standby")</f>
        <v/>
      </c>
      <c r="K996">
        <f>SUMIFS(INPUT_DELAY!$E$5:$E$20000,INPUT_DELAY!$A$5:$A$20000,Kalkulasi!$B$987,INPUT_DELAY!$B$5:$B$20000,$A996,INPUT_DELAY!$D$5:$D$20000,"Breakdown")</f>
        <v/>
      </c>
      <c r="L996">
        <f>SUMIFS(INPUT_DELAY!$E$5:$E$20000,INPUT_DELAY!$A$5:$A$20000,Kalkulasi!$B$987,INPUT_DELAY!$B$5:$B$20000,$A996,INPUT_DELAY!$D$5:$D$20000,"Lainnya")</f>
        <v/>
      </c>
    </row>
    <row r="997">
      <c r="A997" t="inlineStr">
        <is>
          <t>11-12</t>
        </is>
      </c>
      <c r="B997">
        <f>IF(5&lt;12,SUMIFS(INPUT_RITASE!$L$5:$L$20000,INPUT_RITASE!$A$5:$A$20000,Kalkulasi!$B$987,INPUT_RITASE!$B$5:$B$20000,$A997,INPUT_RITASE!$N$5:$N$20000,"OB"),NA())</f>
        <v/>
      </c>
      <c r="C997">
        <f>IF(5&gt;=12,SUMIFS(INPUT_RITASE!$L$5:$L$20000,INPUT_RITASE!$A$5:$A$20000,Kalkulasi!$B$987,INPUT_RITASE!$B$5:$B$20000,$A997,INPUT_RITASE!$N$5:$N$20000,"OB"),NA())</f>
        <v/>
      </c>
      <c r="D997">
        <f>SUMIFS(INPUT_RITASE!$L$5:$L$20000,INPUT_RITASE!$A$5:$A$20000,Kalkulasi!$B$987,INPUT_RITASE!$B$5:$B$20000,$A997,INPUT_RITASE!$N$5:$N$20000,"Coal")</f>
        <v/>
      </c>
      <c r="E997">
        <f>IFERROR(INDEX(DATA_PLAN!$B$2:$B$20001,MATCH(Kalkulasi!$B$987,DATA_PLAN!$A$2:$A$20001,0)),0)/24</f>
        <v/>
      </c>
      <c r="F997">
        <f>SUMIFS(INPUT_DELAY!$E$5:$E$20000,INPUT_DELAY!$A$5:$A$20000,Kalkulasi!$B$987,INPUT_DELAY!$B$5:$B$20000,$A997,INPUT_DELAY!$D$5:$D$20000,"Rain")</f>
        <v/>
      </c>
      <c r="G997">
        <f>SUMIFS(INPUT_DELAY!$E$5:$E$20000,INPUT_DELAY!$A$5:$A$20000,Kalkulasi!$B$987,INPUT_DELAY!$B$5:$B$20000,$A997,INPUT_DELAY!$D$5:$D$20000,"Slippery")</f>
        <v/>
      </c>
      <c r="H997">
        <f>SUMIFS(INPUT_DELAY!$E$5:$E$20000,INPUT_DELAY!$A$5:$A$20000,Kalkulasi!$B$987,INPUT_DELAY!$B$5:$B$20000,$A997,INPUT_DELAY!$D$5:$D$20000,"Istirahat")</f>
        <v/>
      </c>
      <c r="I997">
        <f>SUMIFS(INPUT_DELAY!$E$5:$E$20000,INPUT_DELAY!$A$5:$A$20000,Kalkulasi!$B$987,INPUT_DELAY!$B$5:$B$20000,$A997,INPUT_DELAY!$D$5:$D$20000,"P2H / Ganti shift")</f>
        <v/>
      </c>
      <c r="J997">
        <f>SUMIFS(INPUT_DELAY!$E$5:$E$20000,INPUT_DELAY!$A$5:$A$20000,Kalkulasi!$B$987,INPUT_DELAY!$B$5:$B$20000,$A997,INPUT_DELAY!$D$5:$D$20000,"Standby")</f>
        <v/>
      </c>
      <c r="K997">
        <f>SUMIFS(INPUT_DELAY!$E$5:$E$20000,INPUT_DELAY!$A$5:$A$20000,Kalkulasi!$B$987,INPUT_DELAY!$B$5:$B$20000,$A997,INPUT_DELAY!$D$5:$D$20000,"Breakdown")</f>
        <v/>
      </c>
      <c r="L997">
        <f>SUMIFS(INPUT_DELAY!$E$5:$E$20000,INPUT_DELAY!$A$5:$A$20000,Kalkulasi!$B$987,INPUT_DELAY!$B$5:$B$20000,$A997,INPUT_DELAY!$D$5:$D$20000,"Lainnya")</f>
        <v/>
      </c>
    </row>
    <row r="998">
      <c r="A998" t="inlineStr">
        <is>
          <t>12-13</t>
        </is>
      </c>
      <c r="B998">
        <f>IF(6&lt;12,SUMIFS(INPUT_RITASE!$L$5:$L$20000,INPUT_RITASE!$A$5:$A$20000,Kalkulasi!$B$987,INPUT_RITASE!$B$5:$B$20000,$A998,INPUT_RITASE!$N$5:$N$20000,"OB"),NA())</f>
        <v/>
      </c>
      <c r="C998">
        <f>IF(6&gt;=12,SUMIFS(INPUT_RITASE!$L$5:$L$20000,INPUT_RITASE!$A$5:$A$20000,Kalkulasi!$B$987,INPUT_RITASE!$B$5:$B$20000,$A998,INPUT_RITASE!$N$5:$N$20000,"OB"),NA())</f>
        <v/>
      </c>
      <c r="D998">
        <f>SUMIFS(INPUT_RITASE!$L$5:$L$20000,INPUT_RITASE!$A$5:$A$20000,Kalkulasi!$B$987,INPUT_RITASE!$B$5:$B$20000,$A998,INPUT_RITASE!$N$5:$N$20000,"Coal")</f>
        <v/>
      </c>
      <c r="E998">
        <f>IFERROR(INDEX(DATA_PLAN!$B$2:$B$20001,MATCH(Kalkulasi!$B$987,DATA_PLAN!$A$2:$A$20001,0)),0)/24</f>
        <v/>
      </c>
      <c r="F998">
        <f>SUMIFS(INPUT_DELAY!$E$5:$E$20000,INPUT_DELAY!$A$5:$A$20000,Kalkulasi!$B$987,INPUT_DELAY!$B$5:$B$20000,$A998,INPUT_DELAY!$D$5:$D$20000,"Rain")</f>
        <v/>
      </c>
      <c r="G998">
        <f>SUMIFS(INPUT_DELAY!$E$5:$E$20000,INPUT_DELAY!$A$5:$A$20000,Kalkulasi!$B$987,INPUT_DELAY!$B$5:$B$20000,$A998,INPUT_DELAY!$D$5:$D$20000,"Slippery")</f>
        <v/>
      </c>
      <c r="H998">
        <f>SUMIFS(INPUT_DELAY!$E$5:$E$20000,INPUT_DELAY!$A$5:$A$20000,Kalkulasi!$B$987,INPUT_DELAY!$B$5:$B$20000,$A998,INPUT_DELAY!$D$5:$D$20000,"Istirahat")</f>
        <v/>
      </c>
      <c r="I998">
        <f>SUMIFS(INPUT_DELAY!$E$5:$E$20000,INPUT_DELAY!$A$5:$A$20000,Kalkulasi!$B$987,INPUT_DELAY!$B$5:$B$20000,$A998,INPUT_DELAY!$D$5:$D$20000,"P2H / Ganti shift")</f>
        <v/>
      </c>
      <c r="J998">
        <f>SUMIFS(INPUT_DELAY!$E$5:$E$20000,INPUT_DELAY!$A$5:$A$20000,Kalkulasi!$B$987,INPUT_DELAY!$B$5:$B$20000,$A998,INPUT_DELAY!$D$5:$D$20000,"Standby")</f>
        <v/>
      </c>
      <c r="K998">
        <f>SUMIFS(INPUT_DELAY!$E$5:$E$20000,INPUT_DELAY!$A$5:$A$20000,Kalkulasi!$B$987,INPUT_DELAY!$B$5:$B$20000,$A998,INPUT_DELAY!$D$5:$D$20000,"Breakdown")</f>
        <v/>
      </c>
      <c r="L998">
        <f>SUMIFS(INPUT_DELAY!$E$5:$E$20000,INPUT_DELAY!$A$5:$A$20000,Kalkulasi!$B$987,INPUT_DELAY!$B$5:$B$20000,$A998,INPUT_DELAY!$D$5:$D$20000,"Lainnya")</f>
        <v/>
      </c>
    </row>
    <row r="999">
      <c r="A999" t="inlineStr">
        <is>
          <t>13-14</t>
        </is>
      </c>
      <c r="B999">
        <f>IF(7&lt;12,SUMIFS(INPUT_RITASE!$L$5:$L$20000,INPUT_RITASE!$A$5:$A$20000,Kalkulasi!$B$987,INPUT_RITASE!$B$5:$B$20000,$A999,INPUT_RITASE!$N$5:$N$20000,"OB"),NA())</f>
        <v/>
      </c>
      <c r="C999">
        <f>IF(7&gt;=12,SUMIFS(INPUT_RITASE!$L$5:$L$20000,INPUT_RITASE!$A$5:$A$20000,Kalkulasi!$B$987,INPUT_RITASE!$B$5:$B$20000,$A999,INPUT_RITASE!$N$5:$N$20000,"OB"),NA())</f>
        <v/>
      </c>
      <c r="D999">
        <f>SUMIFS(INPUT_RITASE!$L$5:$L$20000,INPUT_RITASE!$A$5:$A$20000,Kalkulasi!$B$987,INPUT_RITASE!$B$5:$B$20000,$A999,INPUT_RITASE!$N$5:$N$20000,"Coal")</f>
        <v/>
      </c>
      <c r="E999">
        <f>IFERROR(INDEX(DATA_PLAN!$B$2:$B$20001,MATCH(Kalkulasi!$B$987,DATA_PLAN!$A$2:$A$20001,0)),0)/24</f>
        <v/>
      </c>
      <c r="F999">
        <f>SUMIFS(INPUT_DELAY!$E$5:$E$20000,INPUT_DELAY!$A$5:$A$20000,Kalkulasi!$B$987,INPUT_DELAY!$B$5:$B$20000,$A999,INPUT_DELAY!$D$5:$D$20000,"Rain")</f>
        <v/>
      </c>
      <c r="G999">
        <f>SUMIFS(INPUT_DELAY!$E$5:$E$20000,INPUT_DELAY!$A$5:$A$20000,Kalkulasi!$B$987,INPUT_DELAY!$B$5:$B$20000,$A999,INPUT_DELAY!$D$5:$D$20000,"Slippery")</f>
        <v/>
      </c>
      <c r="H999">
        <f>SUMIFS(INPUT_DELAY!$E$5:$E$20000,INPUT_DELAY!$A$5:$A$20000,Kalkulasi!$B$987,INPUT_DELAY!$B$5:$B$20000,$A999,INPUT_DELAY!$D$5:$D$20000,"Istirahat")</f>
        <v/>
      </c>
      <c r="I999">
        <f>SUMIFS(INPUT_DELAY!$E$5:$E$20000,INPUT_DELAY!$A$5:$A$20000,Kalkulasi!$B$987,INPUT_DELAY!$B$5:$B$20000,$A999,INPUT_DELAY!$D$5:$D$20000,"P2H / Ganti shift")</f>
        <v/>
      </c>
      <c r="J999">
        <f>SUMIFS(INPUT_DELAY!$E$5:$E$20000,INPUT_DELAY!$A$5:$A$20000,Kalkulasi!$B$987,INPUT_DELAY!$B$5:$B$20000,$A999,INPUT_DELAY!$D$5:$D$20000,"Standby")</f>
        <v/>
      </c>
      <c r="K999">
        <f>SUMIFS(INPUT_DELAY!$E$5:$E$20000,INPUT_DELAY!$A$5:$A$20000,Kalkulasi!$B$987,INPUT_DELAY!$B$5:$B$20000,$A999,INPUT_DELAY!$D$5:$D$20000,"Breakdown")</f>
        <v/>
      </c>
      <c r="L999">
        <f>SUMIFS(INPUT_DELAY!$E$5:$E$20000,INPUT_DELAY!$A$5:$A$20000,Kalkulasi!$B$987,INPUT_DELAY!$B$5:$B$20000,$A999,INPUT_DELAY!$D$5:$D$20000,"Lainnya")</f>
        <v/>
      </c>
    </row>
    <row r="1000">
      <c r="A1000" t="inlineStr">
        <is>
          <t>14-15</t>
        </is>
      </c>
      <c r="B1000">
        <f>IF(8&lt;12,SUMIFS(INPUT_RITASE!$L$5:$L$20000,INPUT_RITASE!$A$5:$A$20000,Kalkulasi!$B$987,INPUT_RITASE!$B$5:$B$20000,$A1000,INPUT_RITASE!$N$5:$N$20000,"OB"),NA())</f>
        <v/>
      </c>
      <c r="C1000">
        <f>IF(8&gt;=12,SUMIFS(INPUT_RITASE!$L$5:$L$20000,INPUT_RITASE!$A$5:$A$20000,Kalkulasi!$B$987,INPUT_RITASE!$B$5:$B$20000,$A1000,INPUT_RITASE!$N$5:$N$20000,"OB"),NA())</f>
        <v/>
      </c>
      <c r="D1000">
        <f>SUMIFS(INPUT_RITASE!$L$5:$L$20000,INPUT_RITASE!$A$5:$A$20000,Kalkulasi!$B$987,INPUT_RITASE!$B$5:$B$20000,$A1000,INPUT_RITASE!$N$5:$N$20000,"Coal")</f>
        <v/>
      </c>
      <c r="E1000">
        <f>IFERROR(INDEX(DATA_PLAN!$B$2:$B$20001,MATCH(Kalkulasi!$B$987,DATA_PLAN!$A$2:$A$20001,0)),0)/24</f>
        <v/>
      </c>
      <c r="F1000">
        <f>SUMIFS(INPUT_DELAY!$E$5:$E$20000,INPUT_DELAY!$A$5:$A$20000,Kalkulasi!$B$987,INPUT_DELAY!$B$5:$B$20000,$A1000,INPUT_DELAY!$D$5:$D$20000,"Rain")</f>
        <v/>
      </c>
      <c r="G1000">
        <f>SUMIFS(INPUT_DELAY!$E$5:$E$20000,INPUT_DELAY!$A$5:$A$20000,Kalkulasi!$B$987,INPUT_DELAY!$B$5:$B$20000,$A1000,INPUT_DELAY!$D$5:$D$20000,"Slippery")</f>
        <v/>
      </c>
      <c r="H1000">
        <f>SUMIFS(INPUT_DELAY!$E$5:$E$20000,INPUT_DELAY!$A$5:$A$20000,Kalkulasi!$B$987,INPUT_DELAY!$B$5:$B$20000,$A1000,INPUT_DELAY!$D$5:$D$20000,"Istirahat")</f>
        <v/>
      </c>
      <c r="I1000">
        <f>SUMIFS(INPUT_DELAY!$E$5:$E$20000,INPUT_DELAY!$A$5:$A$20000,Kalkulasi!$B$987,INPUT_DELAY!$B$5:$B$20000,$A1000,INPUT_DELAY!$D$5:$D$20000,"P2H / Ganti shift")</f>
        <v/>
      </c>
      <c r="J1000">
        <f>SUMIFS(INPUT_DELAY!$E$5:$E$20000,INPUT_DELAY!$A$5:$A$20000,Kalkulasi!$B$987,INPUT_DELAY!$B$5:$B$20000,$A1000,INPUT_DELAY!$D$5:$D$20000,"Standby")</f>
        <v/>
      </c>
      <c r="K1000">
        <f>SUMIFS(INPUT_DELAY!$E$5:$E$20000,INPUT_DELAY!$A$5:$A$20000,Kalkulasi!$B$987,INPUT_DELAY!$B$5:$B$20000,$A1000,INPUT_DELAY!$D$5:$D$20000,"Breakdown")</f>
        <v/>
      </c>
      <c r="L1000">
        <f>SUMIFS(INPUT_DELAY!$E$5:$E$20000,INPUT_DELAY!$A$5:$A$20000,Kalkulasi!$B$987,INPUT_DELAY!$B$5:$B$20000,$A1000,INPUT_DELAY!$D$5:$D$20000,"Lainnya")</f>
        <v/>
      </c>
    </row>
    <row r="1001">
      <c r="A1001" t="inlineStr">
        <is>
          <t>15-16</t>
        </is>
      </c>
      <c r="B1001">
        <f>IF(9&lt;12,SUMIFS(INPUT_RITASE!$L$5:$L$20000,INPUT_RITASE!$A$5:$A$20000,Kalkulasi!$B$987,INPUT_RITASE!$B$5:$B$20000,$A1001,INPUT_RITASE!$N$5:$N$20000,"OB"),NA())</f>
        <v/>
      </c>
      <c r="C1001">
        <f>IF(9&gt;=12,SUMIFS(INPUT_RITASE!$L$5:$L$20000,INPUT_RITASE!$A$5:$A$20000,Kalkulasi!$B$987,INPUT_RITASE!$B$5:$B$20000,$A1001,INPUT_RITASE!$N$5:$N$20000,"OB"),NA())</f>
        <v/>
      </c>
      <c r="D1001">
        <f>SUMIFS(INPUT_RITASE!$L$5:$L$20000,INPUT_RITASE!$A$5:$A$20000,Kalkulasi!$B$987,INPUT_RITASE!$B$5:$B$20000,$A1001,INPUT_RITASE!$N$5:$N$20000,"Coal")</f>
        <v/>
      </c>
      <c r="E1001">
        <f>IFERROR(INDEX(DATA_PLAN!$B$2:$B$20001,MATCH(Kalkulasi!$B$987,DATA_PLAN!$A$2:$A$20001,0)),0)/24</f>
        <v/>
      </c>
      <c r="F1001">
        <f>SUMIFS(INPUT_DELAY!$E$5:$E$20000,INPUT_DELAY!$A$5:$A$20000,Kalkulasi!$B$987,INPUT_DELAY!$B$5:$B$20000,$A1001,INPUT_DELAY!$D$5:$D$20000,"Rain")</f>
        <v/>
      </c>
      <c r="G1001">
        <f>SUMIFS(INPUT_DELAY!$E$5:$E$20000,INPUT_DELAY!$A$5:$A$20000,Kalkulasi!$B$987,INPUT_DELAY!$B$5:$B$20000,$A1001,INPUT_DELAY!$D$5:$D$20000,"Slippery")</f>
        <v/>
      </c>
      <c r="H1001">
        <f>SUMIFS(INPUT_DELAY!$E$5:$E$20000,INPUT_DELAY!$A$5:$A$20000,Kalkulasi!$B$987,INPUT_DELAY!$B$5:$B$20000,$A1001,INPUT_DELAY!$D$5:$D$20000,"Istirahat")</f>
        <v/>
      </c>
      <c r="I1001">
        <f>SUMIFS(INPUT_DELAY!$E$5:$E$20000,INPUT_DELAY!$A$5:$A$20000,Kalkulasi!$B$987,INPUT_DELAY!$B$5:$B$20000,$A1001,INPUT_DELAY!$D$5:$D$20000,"P2H / Ganti shift")</f>
        <v/>
      </c>
      <c r="J1001">
        <f>SUMIFS(INPUT_DELAY!$E$5:$E$20000,INPUT_DELAY!$A$5:$A$20000,Kalkulasi!$B$987,INPUT_DELAY!$B$5:$B$20000,$A1001,INPUT_DELAY!$D$5:$D$20000,"Standby")</f>
        <v/>
      </c>
      <c r="K1001">
        <f>SUMIFS(INPUT_DELAY!$E$5:$E$20000,INPUT_DELAY!$A$5:$A$20000,Kalkulasi!$B$987,INPUT_DELAY!$B$5:$B$20000,$A1001,INPUT_DELAY!$D$5:$D$20000,"Breakdown")</f>
        <v/>
      </c>
      <c r="L1001">
        <f>SUMIFS(INPUT_DELAY!$E$5:$E$20000,INPUT_DELAY!$A$5:$A$20000,Kalkulasi!$B$987,INPUT_DELAY!$B$5:$B$20000,$A1001,INPUT_DELAY!$D$5:$D$20000,"Lainnya")</f>
        <v/>
      </c>
    </row>
    <row r="1002">
      <c r="A1002" t="inlineStr">
        <is>
          <t>16-17</t>
        </is>
      </c>
      <c r="B1002">
        <f>IF(10&lt;12,SUMIFS(INPUT_RITASE!$L$5:$L$20000,INPUT_RITASE!$A$5:$A$20000,Kalkulasi!$B$987,INPUT_RITASE!$B$5:$B$20000,$A1002,INPUT_RITASE!$N$5:$N$20000,"OB"),NA())</f>
        <v/>
      </c>
      <c r="C1002">
        <f>IF(10&gt;=12,SUMIFS(INPUT_RITASE!$L$5:$L$20000,INPUT_RITASE!$A$5:$A$20000,Kalkulasi!$B$987,INPUT_RITASE!$B$5:$B$20000,$A1002,INPUT_RITASE!$N$5:$N$20000,"OB"),NA())</f>
        <v/>
      </c>
      <c r="D1002">
        <f>SUMIFS(INPUT_RITASE!$L$5:$L$20000,INPUT_RITASE!$A$5:$A$20000,Kalkulasi!$B$987,INPUT_RITASE!$B$5:$B$20000,$A1002,INPUT_RITASE!$N$5:$N$20000,"Coal")</f>
        <v/>
      </c>
      <c r="E1002">
        <f>IFERROR(INDEX(DATA_PLAN!$B$2:$B$20001,MATCH(Kalkulasi!$B$987,DATA_PLAN!$A$2:$A$20001,0)),0)/24</f>
        <v/>
      </c>
      <c r="F1002">
        <f>SUMIFS(INPUT_DELAY!$E$5:$E$20000,INPUT_DELAY!$A$5:$A$20000,Kalkulasi!$B$987,INPUT_DELAY!$B$5:$B$20000,$A1002,INPUT_DELAY!$D$5:$D$20000,"Rain")</f>
        <v/>
      </c>
      <c r="G1002">
        <f>SUMIFS(INPUT_DELAY!$E$5:$E$20000,INPUT_DELAY!$A$5:$A$20000,Kalkulasi!$B$987,INPUT_DELAY!$B$5:$B$20000,$A1002,INPUT_DELAY!$D$5:$D$20000,"Slippery")</f>
        <v/>
      </c>
      <c r="H1002">
        <f>SUMIFS(INPUT_DELAY!$E$5:$E$20000,INPUT_DELAY!$A$5:$A$20000,Kalkulasi!$B$987,INPUT_DELAY!$B$5:$B$20000,$A1002,INPUT_DELAY!$D$5:$D$20000,"Istirahat")</f>
        <v/>
      </c>
      <c r="I1002">
        <f>SUMIFS(INPUT_DELAY!$E$5:$E$20000,INPUT_DELAY!$A$5:$A$20000,Kalkulasi!$B$987,INPUT_DELAY!$B$5:$B$20000,$A1002,INPUT_DELAY!$D$5:$D$20000,"P2H / Ganti shift")</f>
        <v/>
      </c>
      <c r="J1002">
        <f>SUMIFS(INPUT_DELAY!$E$5:$E$20000,INPUT_DELAY!$A$5:$A$20000,Kalkulasi!$B$987,INPUT_DELAY!$B$5:$B$20000,$A1002,INPUT_DELAY!$D$5:$D$20000,"Standby")</f>
        <v/>
      </c>
      <c r="K1002">
        <f>SUMIFS(INPUT_DELAY!$E$5:$E$20000,INPUT_DELAY!$A$5:$A$20000,Kalkulasi!$B$987,INPUT_DELAY!$B$5:$B$20000,$A1002,INPUT_DELAY!$D$5:$D$20000,"Breakdown")</f>
        <v/>
      </c>
      <c r="L1002">
        <f>SUMIFS(INPUT_DELAY!$E$5:$E$20000,INPUT_DELAY!$A$5:$A$20000,Kalkulasi!$B$987,INPUT_DELAY!$B$5:$B$20000,$A1002,INPUT_DELAY!$D$5:$D$20000,"Lainnya")</f>
        <v/>
      </c>
    </row>
    <row r="1003">
      <c r="A1003" t="inlineStr">
        <is>
          <t>17-18</t>
        </is>
      </c>
      <c r="B1003">
        <f>IF(11&lt;12,SUMIFS(INPUT_RITASE!$L$5:$L$20000,INPUT_RITASE!$A$5:$A$20000,Kalkulasi!$B$987,INPUT_RITASE!$B$5:$B$20000,$A1003,INPUT_RITASE!$N$5:$N$20000,"OB"),NA())</f>
        <v/>
      </c>
      <c r="C1003">
        <f>IF(11&gt;=12,SUMIFS(INPUT_RITASE!$L$5:$L$20000,INPUT_RITASE!$A$5:$A$20000,Kalkulasi!$B$987,INPUT_RITASE!$B$5:$B$20000,$A1003,INPUT_RITASE!$N$5:$N$20000,"OB"),NA())</f>
        <v/>
      </c>
      <c r="D1003">
        <f>SUMIFS(INPUT_RITASE!$L$5:$L$20000,INPUT_RITASE!$A$5:$A$20000,Kalkulasi!$B$987,INPUT_RITASE!$B$5:$B$20000,$A1003,INPUT_RITASE!$N$5:$N$20000,"Coal")</f>
        <v/>
      </c>
      <c r="E1003">
        <f>IFERROR(INDEX(DATA_PLAN!$B$2:$B$20001,MATCH(Kalkulasi!$B$987,DATA_PLAN!$A$2:$A$20001,0)),0)/24</f>
        <v/>
      </c>
      <c r="F1003">
        <f>SUMIFS(INPUT_DELAY!$E$5:$E$20000,INPUT_DELAY!$A$5:$A$20000,Kalkulasi!$B$987,INPUT_DELAY!$B$5:$B$20000,$A1003,INPUT_DELAY!$D$5:$D$20000,"Rain")</f>
        <v/>
      </c>
      <c r="G1003">
        <f>SUMIFS(INPUT_DELAY!$E$5:$E$20000,INPUT_DELAY!$A$5:$A$20000,Kalkulasi!$B$987,INPUT_DELAY!$B$5:$B$20000,$A1003,INPUT_DELAY!$D$5:$D$20000,"Slippery")</f>
        <v/>
      </c>
      <c r="H1003">
        <f>SUMIFS(INPUT_DELAY!$E$5:$E$20000,INPUT_DELAY!$A$5:$A$20000,Kalkulasi!$B$987,INPUT_DELAY!$B$5:$B$20000,$A1003,INPUT_DELAY!$D$5:$D$20000,"Istirahat")</f>
        <v/>
      </c>
      <c r="I1003">
        <f>SUMIFS(INPUT_DELAY!$E$5:$E$20000,INPUT_DELAY!$A$5:$A$20000,Kalkulasi!$B$987,INPUT_DELAY!$B$5:$B$20000,$A1003,INPUT_DELAY!$D$5:$D$20000,"P2H / Ganti shift")</f>
        <v/>
      </c>
      <c r="J1003">
        <f>SUMIFS(INPUT_DELAY!$E$5:$E$20000,INPUT_DELAY!$A$5:$A$20000,Kalkulasi!$B$987,INPUT_DELAY!$B$5:$B$20000,$A1003,INPUT_DELAY!$D$5:$D$20000,"Standby")</f>
        <v/>
      </c>
      <c r="K1003">
        <f>SUMIFS(INPUT_DELAY!$E$5:$E$20000,INPUT_DELAY!$A$5:$A$20000,Kalkulasi!$B$987,INPUT_DELAY!$B$5:$B$20000,$A1003,INPUT_DELAY!$D$5:$D$20000,"Breakdown")</f>
        <v/>
      </c>
      <c r="L1003">
        <f>SUMIFS(INPUT_DELAY!$E$5:$E$20000,INPUT_DELAY!$A$5:$A$20000,Kalkulasi!$B$987,INPUT_DELAY!$B$5:$B$20000,$A1003,INPUT_DELAY!$D$5:$D$20000,"Lainnya")</f>
        <v/>
      </c>
    </row>
    <row r="1004">
      <c r="A1004" t="inlineStr">
        <is>
          <t>18-19</t>
        </is>
      </c>
      <c r="B1004">
        <f>IF(12&lt;12,SUMIFS(INPUT_RITASE!$L$5:$L$20000,INPUT_RITASE!$A$5:$A$20000,Kalkulasi!$B$987,INPUT_RITASE!$B$5:$B$20000,$A1004,INPUT_RITASE!$N$5:$N$20000,"OB"),NA())</f>
        <v/>
      </c>
      <c r="C1004">
        <f>IF(12&gt;=12,SUMIFS(INPUT_RITASE!$L$5:$L$20000,INPUT_RITASE!$A$5:$A$20000,Kalkulasi!$B$987,INPUT_RITASE!$B$5:$B$20000,$A1004,INPUT_RITASE!$N$5:$N$20000,"OB"),NA())</f>
        <v/>
      </c>
      <c r="D1004">
        <f>SUMIFS(INPUT_RITASE!$L$5:$L$20000,INPUT_RITASE!$A$5:$A$20000,Kalkulasi!$B$987,INPUT_RITASE!$B$5:$B$20000,$A1004,INPUT_RITASE!$N$5:$N$20000,"Coal")</f>
        <v/>
      </c>
      <c r="E1004">
        <f>IFERROR(INDEX(DATA_PLAN!$B$2:$B$20001,MATCH(Kalkulasi!$B$987,DATA_PLAN!$A$2:$A$20001,0)),0)/24</f>
        <v/>
      </c>
      <c r="F1004">
        <f>SUMIFS(INPUT_DELAY!$E$5:$E$20000,INPUT_DELAY!$A$5:$A$20000,Kalkulasi!$B$987,INPUT_DELAY!$B$5:$B$20000,$A1004,INPUT_DELAY!$D$5:$D$20000,"Rain")</f>
        <v/>
      </c>
      <c r="G1004">
        <f>SUMIFS(INPUT_DELAY!$E$5:$E$20000,INPUT_DELAY!$A$5:$A$20000,Kalkulasi!$B$987,INPUT_DELAY!$B$5:$B$20000,$A1004,INPUT_DELAY!$D$5:$D$20000,"Slippery")</f>
        <v/>
      </c>
      <c r="H1004">
        <f>SUMIFS(INPUT_DELAY!$E$5:$E$20000,INPUT_DELAY!$A$5:$A$20000,Kalkulasi!$B$987,INPUT_DELAY!$B$5:$B$20000,$A1004,INPUT_DELAY!$D$5:$D$20000,"Istirahat")</f>
        <v/>
      </c>
      <c r="I1004">
        <f>SUMIFS(INPUT_DELAY!$E$5:$E$20000,INPUT_DELAY!$A$5:$A$20000,Kalkulasi!$B$987,INPUT_DELAY!$B$5:$B$20000,$A1004,INPUT_DELAY!$D$5:$D$20000,"P2H / Ganti shift")</f>
        <v/>
      </c>
      <c r="J1004">
        <f>SUMIFS(INPUT_DELAY!$E$5:$E$20000,INPUT_DELAY!$A$5:$A$20000,Kalkulasi!$B$987,INPUT_DELAY!$B$5:$B$20000,$A1004,INPUT_DELAY!$D$5:$D$20000,"Standby")</f>
        <v/>
      </c>
      <c r="K1004">
        <f>SUMIFS(INPUT_DELAY!$E$5:$E$20000,INPUT_DELAY!$A$5:$A$20000,Kalkulasi!$B$987,INPUT_DELAY!$B$5:$B$20000,$A1004,INPUT_DELAY!$D$5:$D$20000,"Breakdown")</f>
        <v/>
      </c>
      <c r="L1004">
        <f>SUMIFS(INPUT_DELAY!$E$5:$E$20000,INPUT_DELAY!$A$5:$A$20000,Kalkulasi!$B$987,INPUT_DELAY!$B$5:$B$20000,$A1004,INPUT_DELAY!$D$5:$D$20000,"Lainnya")</f>
        <v/>
      </c>
    </row>
    <row r="1005">
      <c r="A1005" t="inlineStr">
        <is>
          <t>19-20</t>
        </is>
      </c>
      <c r="B1005">
        <f>IF(13&lt;12,SUMIFS(INPUT_RITASE!$L$5:$L$20000,INPUT_RITASE!$A$5:$A$20000,Kalkulasi!$B$987,INPUT_RITASE!$B$5:$B$20000,$A1005,INPUT_RITASE!$N$5:$N$20000,"OB"),NA())</f>
        <v/>
      </c>
      <c r="C1005">
        <f>IF(13&gt;=12,SUMIFS(INPUT_RITASE!$L$5:$L$20000,INPUT_RITASE!$A$5:$A$20000,Kalkulasi!$B$987,INPUT_RITASE!$B$5:$B$20000,$A1005,INPUT_RITASE!$N$5:$N$20000,"OB"),NA())</f>
        <v/>
      </c>
      <c r="D1005">
        <f>SUMIFS(INPUT_RITASE!$L$5:$L$20000,INPUT_RITASE!$A$5:$A$20000,Kalkulasi!$B$987,INPUT_RITASE!$B$5:$B$20000,$A1005,INPUT_RITASE!$N$5:$N$20000,"Coal")</f>
        <v/>
      </c>
      <c r="E1005">
        <f>IFERROR(INDEX(DATA_PLAN!$B$2:$B$20001,MATCH(Kalkulasi!$B$987,DATA_PLAN!$A$2:$A$20001,0)),0)/24</f>
        <v/>
      </c>
      <c r="F1005">
        <f>SUMIFS(INPUT_DELAY!$E$5:$E$20000,INPUT_DELAY!$A$5:$A$20000,Kalkulasi!$B$987,INPUT_DELAY!$B$5:$B$20000,$A1005,INPUT_DELAY!$D$5:$D$20000,"Rain")</f>
        <v/>
      </c>
      <c r="G1005">
        <f>SUMIFS(INPUT_DELAY!$E$5:$E$20000,INPUT_DELAY!$A$5:$A$20000,Kalkulasi!$B$987,INPUT_DELAY!$B$5:$B$20000,$A1005,INPUT_DELAY!$D$5:$D$20000,"Slippery")</f>
        <v/>
      </c>
      <c r="H1005">
        <f>SUMIFS(INPUT_DELAY!$E$5:$E$20000,INPUT_DELAY!$A$5:$A$20000,Kalkulasi!$B$987,INPUT_DELAY!$B$5:$B$20000,$A1005,INPUT_DELAY!$D$5:$D$20000,"Istirahat")</f>
        <v/>
      </c>
      <c r="I1005">
        <f>SUMIFS(INPUT_DELAY!$E$5:$E$20000,INPUT_DELAY!$A$5:$A$20000,Kalkulasi!$B$987,INPUT_DELAY!$B$5:$B$20000,$A1005,INPUT_DELAY!$D$5:$D$20000,"P2H / Ganti shift")</f>
        <v/>
      </c>
      <c r="J1005">
        <f>SUMIFS(INPUT_DELAY!$E$5:$E$20000,INPUT_DELAY!$A$5:$A$20000,Kalkulasi!$B$987,INPUT_DELAY!$B$5:$B$20000,$A1005,INPUT_DELAY!$D$5:$D$20000,"Standby")</f>
        <v/>
      </c>
      <c r="K1005">
        <f>SUMIFS(INPUT_DELAY!$E$5:$E$20000,INPUT_DELAY!$A$5:$A$20000,Kalkulasi!$B$987,INPUT_DELAY!$B$5:$B$20000,$A1005,INPUT_DELAY!$D$5:$D$20000,"Breakdown")</f>
        <v/>
      </c>
      <c r="L1005">
        <f>SUMIFS(INPUT_DELAY!$E$5:$E$20000,INPUT_DELAY!$A$5:$A$20000,Kalkulasi!$B$987,INPUT_DELAY!$B$5:$B$20000,$A1005,INPUT_DELAY!$D$5:$D$20000,"Lainnya")</f>
        <v/>
      </c>
    </row>
    <row r="1006">
      <c r="A1006" t="inlineStr">
        <is>
          <t>20-21</t>
        </is>
      </c>
      <c r="B1006">
        <f>IF(14&lt;12,SUMIFS(INPUT_RITASE!$L$5:$L$20000,INPUT_RITASE!$A$5:$A$20000,Kalkulasi!$B$987,INPUT_RITASE!$B$5:$B$20000,$A1006,INPUT_RITASE!$N$5:$N$20000,"OB"),NA())</f>
        <v/>
      </c>
      <c r="C1006">
        <f>IF(14&gt;=12,SUMIFS(INPUT_RITASE!$L$5:$L$20000,INPUT_RITASE!$A$5:$A$20000,Kalkulasi!$B$987,INPUT_RITASE!$B$5:$B$20000,$A1006,INPUT_RITASE!$N$5:$N$20000,"OB"),NA())</f>
        <v/>
      </c>
      <c r="D1006">
        <f>SUMIFS(INPUT_RITASE!$L$5:$L$20000,INPUT_RITASE!$A$5:$A$20000,Kalkulasi!$B$987,INPUT_RITASE!$B$5:$B$20000,$A1006,INPUT_RITASE!$N$5:$N$20000,"Coal")</f>
        <v/>
      </c>
      <c r="E1006">
        <f>IFERROR(INDEX(DATA_PLAN!$B$2:$B$20001,MATCH(Kalkulasi!$B$987,DATA_PLAN!$A$2:$A$20001,0)),0)/24</f>
        <v/>
      </c>
      <c r="F1006">
        <f>SUMIFS(INPUT_DELAY!$E$5:$E$20000,INPUT_DELAY!$A$5:$A$20000,Kalkulasi!$B$987,INPUT_DELAY!$B$5:$B$20000,$A1006,INPUT_DELAY!$D$5:$D$20000,"Rain")</f>
        <v/>
      </c>
      <c r="G1006">
        <f>SUMIFS(INPUT_DELAY!$E$5:$E$20000,INPUT_DELAY!$A$5:$A$20000,Kalkulasi!$B$987,INPUT_DELAY!$B$5:$B$20000,$A1006,INPUT_DELAY!$D$5:$D$20000,"Slippery")</f>
        <v/>
      </c>
      <c r="H1006">
        <f>SUMIFS(INPUT_DELAY!$E$5:$E$20000,INPUT_DELAY!$A$5:$A$20000,Kalkulasi!$B$987,INPUT_DELAY!$B$5:$B$20000,$A1006,INPUT_DELAY!$D$5:$D$20000,"Istirahat")</f>
        <v/>
      </c>
      <c r="I1006">
        <f>SUMIFS(INPUT_DELAY!$E$5:$E$20000,INPUT_DELAY!$A$5:$A$20000,Kalkulasi!$B$987,INPUT_DELAY!$B$5:$B$20000,$A1006,INPUT_DELAY!$D$5:$D$20000,"P2H / Ganti shift")</f>
        <v/>
      </c>
      <c r="J1006">
        <f>SUMIFS(INPUT_DELAY!$E$5:$E$20000,INPUT_DELAY!$A$5:$A$20000,Kalkulasi!$B$987,INPUT_DELAY!$B$5:$B$20000,$A1006,INPUT_DELAY!$D$5:$D$20000,"Standby")</f>
        <v/>
      </c>
      <c r="K1006">
        <f>SUMIFS(INPUT_DELAY!$E$5:$E$20000,INPUT_DELAY!$A$5:$A$20000,Kalkulasi!$B$987,INPUT_DELAY!$B$5:$B$20000,$A1006,INPUT_DELAY!$D$5:$D$20000,"Breakdown")</f>
        <v/>
      </c>
      <c r="L1006">
        <f>SUMIFS(INPUT_DELAY!$E$5:$E$20000,INPUT_DELAY!$A$5:$A$20000,Kalkulasi!$B$987,INPUT_DELAY!$B$5:$B$20000,$A1006,INPUT_DELAY!$D$5:$D$20000,"Lainnya")</f>
        <v/>
      </c>
    </row>
    <row r="1007">
      <c r="A1007" t="inlineStr">
        <is>
          <t>21-22</t>
        </is>
      </c>
      <c r="B1007">
        <f>IF(15&lt;12,SUMIFS(INPUT_RITASE!$L$5:$L$20000,INPUT_RITASE!$A$5:$A$20000,Kalkulasi!$B$987,INPUT_RITASE!$B$5:$B$20000,$A1007,INPUT_RITASE!$N$5:$N$20000,"OB"),NA())</f>
        <v/>
      </c>
      <c r="C1007">
        <f>IF(15&gt;=12,SUMIFS(INPUT_RITASE!$L$5:$L$20000,INPUT_RITASE!$A$5:$A$20000,Kalkulasi!$B$987,INPUT_RITASE!$B$5:$B$20000,$A1007,INPUT_RITASE!$N$5:$N$20000,"OB"),NA())</f>
        <v/>
      </c>
      <c r="D1007">
        <f>SUMIFS(INPUT_RITASE!$L$5:$L$20000,INPUT_RITASE!$A$5:$A$20000,Kalkulasi!$B$987,INPUT_RITASE!$B$5:$B$20000,$A1007,INPUT_RITASE!$N$5:$N$20000,"Coal")</f>
        <v/>
      </c>
      <c r="E1007">
        <f>IFERROR(INDEX(DATA_PLAN!$B$2:$B$20001,MATCH(Kalkulasi!$B$987,DATA_PLAN!$A$2:$A$20001,0)),0)/24</f>
        <v/>
      </c>
      <c r="F1007">
        <f>SUMIFS(INPUT_DELAY!$E$5:$E$20000,INPUT_DELAY!$A$5:$A$20000,Kalkulasi!$B$987,INPUT_DELAY!$B$5:$B$20000,$A1007,INPUT_DELAY!$D$5:$D$20000,"Rain")</f>
        <v/>
      </c>
      <c r="G1007">
        <f>SUMIFS(INPUT_DELAY!$E$5:$E$20000,INPUT_DELAY!$A$5:$A$20000,Kalkulasi!$B$987,INPUT_DELAY!$B$5:$B$20000,$A1007,INPUT_DELAY!$D$5:$D$20000,"Slippery")</f>
        <v/>
      </c>
      <c r="H1007">
        <f>SUMIFS(INPUT_DELAY!$E$5:$E$20000,INPUT_DELAY!$A$5:$A$20000,Kalkulasi!$B$987,INPUT_DELAY!$B$5:$B$20000,$A1007,INPUT_DELAY!$D$5:$D$20000,"Istirahat")</f>
        <v/>
      </c>
      <c r="I1007">
        <f>SUMIFS(INPUT_DELAY!$E$5:$E$20000,INPUT_DELAY!$A$5:$A$20000,Kalkulasi!$B$987,INPUT_DELAY!$B$5:$B$20000,$A1007,INPUT_DELAY!$D$5:$D$20000,"P2H / Ganti shift")</f>
        <v/>
      </c>
      <c r="J1007">
        <f>SUMIFS(INPUT_DELAY!$E$5:$E$20000,INPUT_DELAY!$A$5:$A$20000,Kalkulasi!$B$987,INPUT_DELAY!$B$5:$B$20000,$A1007,INPUT_DELAY!$D$5:$D$20000,"Standby")</f>
        <v/>
      </c>
      <c r="K1007">
        <f>SUMIFS(INPUT_DELAY!$E$5:$E$20000,INPUT_DELAY!$A$5:$A$20000,Kalkulasi!$B$987,INPUT_DELAY!$B$5:$B$20000,$A1007,INPUT_DELAY!$D$5:$D$20000,"Breakdown")</f>
        <v/>
      </c>
      <c r="L1007">
        <f>SUMIFS(INPUT_DELAY!$E$5:$E$20000,INPUT_DELAY!$A$5:$A$20000,Kalkulasi!$B$987,INPUT_DELAY!$B$5:$B$20000,$A1007,INPUT_DELAY!$D$5:$D$20000,"Lainnya")</f>
        <v/>
      </c>
    </row>
    <row r="1008">
      <c r="A1008" t="inlineStr">
        <is>
          <t>22-23</t>
        </is>
      </c>
      <c r="B1008">
        <f>IF(16&lt;12,SUMIFS(INPUT_RITASE!$L$5:$L$20000,INPUT_RITASE!$A$5:$A$20000,Kalkulasi!$B$987,INPUT_RITASE!$B$5:$B$20000,$A1008,INPUT_RITASE!$N$5:$N$20000,"OB"),NA())</f>
        <v/>
      </c>
      <c r="C1008">
        <f>IF(16&gt;=12,SUMIFS(INPUT_RITASE!$L$5:$L$20000,INPUT_RITASE!$A$5:$A$20000,Kalkulasi!$B$987,INPUT_RITASE!$B$5:$B$20000,$A1008,INPUT_RITASE!$N$5:$N$20000,"OB"),NA())</f>
        <v/>
      </c>
      <c r="D1008">
        <f>SUMIFS(INPUT_RITASE!$L$5:$L$20000,INPUT_RITASE!$A$5:$A$20000,Kalkulasi!$B$987,INPUT_RITASE!$B$5:$B$20000,$A1008,INPUT_RITASE!$N$5:$N$20000,"Coal")</f>
        <v/>
      </c>
      <c r="E1008">
        <f>IFERROR(INDEX(DATA_PLAN!$B$2:$B$20001,MATCH(Kalkulasi!$B$987,DATA_PLAN!$A$2:$A$20001,0)),0)/24</f>
        <v/>
      </c>
      <c r="F1008">
        <f>SUMIFS(INPUT_DELAY!$E$5:$E$20000,INPUT_DELAY!$A$5:$A$20000,Kalkulasi!$B$987,INPUT_DELAY!$B$5:$B$20000,$A1008,INPUT_DELAY!$D$5:$D$20000,"Rain")</f>
        <v/>
      </c>
      <c r="G1008">
        <f>SUMIFS(INPUT_DELAY!$E$5:$E$20000,INPUT_DELAY!$A$5:$A$20000,Kalkulasi!$B$987,INPUT_DELAY!$B$5:$B$20000,$A1008,INPUT_DELAY!$D$5:$D$20000,"Slippery")</f>
        <v/>
      </c>
      <c r="H1008">
        <f>SUMIFS(INPUT_DELAY!$E$5:$E$20000,INPUT_DELAY!$A$5:$A$20000,Kalkulasi!$B$987,INPUT_DELAY!$B$5:$B$20000,$A1008,INPUT_DELAY!$D$5:$D$20000,"Istirahat")</f>
        <v/>
      </c>
      <c r="I1008">
        <f>SUMIFS(INPUT_DELAY!$E$5:$E$20000,INPUT_DELAY!$A$5:$A$20000,Kalkulasi!$B$987,INPUT_DELAY!$B$5:$B$20000,$A1008,INPUT_DELAY!$D$5:$D$20000,"P2H / Ganti shift")</f>
        <v/>
      </c>
      <c r="J1008">
        <f>SUMIFS(INPUT_DELAY!$E$5:$E$20000,INPUT_DELAY!$A$5:$A$20000,Kalkulasi!$B$987,INPUT_DELAY!$B$5:$B$20000,$A1008,INPUT_DELAY!$D$5:$D$20000,"Standby")</f>
        <v/>
      </c>
      <c r="K1008">
        <f>SUMIFS(INPUT_DELAY!$E$5:$E$20000,INPUT_DELAY!$A$5:$A$20000,Kalkulasi!$B$987,INPUT_DELAY!$B$5:$B$20000,$A1008,INPUT_DELAY!$D$5:$D$20000,"Breakdown")</f>
        <v/>
      </c>
      <c r="L1008">
        <f>SUMIFS(INPUT_DELAY!$E$5:$E$20000,INPUT_DELAY!$A$5:$A$20000,Kalkulasi!$B$987,INPUT_DELAY!$B$5:$B$20000,$A1008,INPUT_DELAY!$D$5:$D$20000,"Lainnya")</f>
        <v/>
      </c>
    </row>
    <row r="1009">
      <c r="A1009" t="inlineStr">
        <is>
          <t>23-24</t>
        </is>
      </c>
      <c r="B1009">
        <f>IF(17&lt;12,SUMIFS(INPUT_RITASE!$L$5:$L$20000,INPUT_RITASE!$A$5:$A$20000,Kalkulasi!$B$987,INPUT_RITASE!$B$5:$B$20000,$A1009,INPUT_RITASE!$N$5:$N$20000,"OB"),NA())</f>
        <v/>
      </c>
      <c r="C1009">
        <f>IF(17&gt;=12,SUMIFS(INPUT_RITASE!$L$5:$L$20000,INPUT_RITASE!$A$5:$A$20000,Kalkulasi!$B$987,INPUT_RITASE!$B$5:$B$20000,$A1009,INPUT_RITASE!$N$5:$N$20000,"OB"),NA())</f>
        <v/>
      </c>
      <c r="D1009">
        <f>SUMIFS(INPUT_RITASE!$L$5:$L$20000,INPUT_RITASE!$A$5:$A$20000,Kalkulasi!$B$987,INPUT_RITASE!$B$5:$B$20000,$A1009,INPUT_RITASE!$N$5:$N$20000,"Coal")</f>
        <v/>
      </c>
      <c r="E1009">
        <f>IFERROR(INDEX(DATA_PLAN!$B$2:$B$20001,MATCH(Kalkulasi!$B$987,DATA_PLAN!$A$2:$A$20001,0)),0)/24</f>
        <v/>
      </c>
      <c r="F1009">
        <f>SUMIFS(INPUT_DELAY!$E$5:$E$20000,INPUT_DELAY!$A$5:$A$20000,Kalkulasi!$B$987,INPUT_DELAY!$B$5:$B$20000,$A1009,INPUT_DELAY!$D$5:$D$20000,"Rain")</f>
        <v/>
      </c>
      <c r="G1009">
        <f>SUMIFS(INPUT_DELAY!$E$5:$E$20000,INPUT_DELAY!$A$5:$A$20000,Kalkulasi!$B$987,INPUT_DELAY!$B$5:$B$20000,$A1009,INPUT_DELAY!$D$5:$D$20000,"Slippery")</f>
        <v/>
      </c>
      <c r="H1009">
        <f>SUMIFS(INPUT_DELAY!$E$5:$E$20000,INPUT_DELAY!$A$5:$A$20000,Kalkulasi!$B$987,INPUT_DELAY!$B$5:$B$20000,$A1009,INPUT_DELAY!$D$5:$D$20000,"Istirahat")</f>
        <v/>
      </c>
      <c r="I1009">
        <f>SUMIFS(INPUT_DELAY!$E$5:$E$20000,INPUT_DELAY!$A$5:$A$20000,Kalkulasi!$B$987,INPUT_DELAY!$B$5:$B$20000,$A1009,INPUT_DELAY!$D$5:$D$20000,"P2H / Ganti shift")</f>
        <v/>
      </c>
      <c r="J1009">
        <f>SUMIFS(INPUT_DELAY!$E$5:$E$20000,INPUT_DELAY!$A$5:$A$20000,Kalkulasi!$B$987,INPUT_DELAY!$B$5:$B$20000,$A1009,INPUT_DELAY!$D$5:$D$20000,"Standby")</f>
        <v/>
      </c>
      <c r="K1009">
        <f>SUMIFS(INPUT_DELAY!$E$5:$E$20000,INPUT_DELAY!$A$5:$A$20000,Kalkulasi!$B$987,INPUT_DELAY!$B$5:$B$20000,$A1009,INPUT_DELAY!$D$5:$D$20000,"Breakdown")</f>
        <v/>
      </c>
      <c r="L1009">
        <f>SUMIFS(INPUT_DELAY!$E$5:$E$20000,INPUT_DELAY!$A$5:$A$20000,Kalkulasi!$B$987,INPUT_DELAY!$B$5:$B$20000,$A1009,INPUT_DELAY!$D$5:$D$20000,"Lainnya")</f>
        <v/>
      </c>
    </row>
    <row r="1010">
      <c r="A1010" t="inlineStr">
        <is>
          <t>00-01</t>
        </is>
      </c>
      <c r="B1010">
        <f>IF(18&lt;12,SUMIFS(INPUT_RITASE!$L$5:$L$20000,INPUT_RITASE!$A$5:$A$20000,Kalkulasi!$B$987,INPUT_RITASE!$B$5:$B$20000,$A1010,INPUT_RITASE!$N$5:$N$20000,"OB"),NA())</f>
        <v/>
      </c>
      <c r="C1010">
        <f>IF(18&gt;=12,SUMIFS(INPUT_RITASE!$L$5:$L$20000,INPUT_RITASE!$A$5:$A$20000,Kalkulasi!$B$987,INPUT_RITASE!$B$5:$B$20000,$A1010,INPUT_RITASE!$N$5:$N$20000,"OB"),NA())</f>
        <v/>
      </c>
      <c r="D1010">
        <f>SUMIFS(INPUT_RITASE!$L$5:$L$20000,INPUT_RITASE!$A$5:$A$20000,Kalkulasi!$B$987,INPUT_RITASE!$B$5:$B$20000,$A1010,INPUT_RITASE!$N$5:$N$20000,"Coal")</f>
        <v/>
      </c>
      <c r="E1010">
        <f>IFERROR(INDEX(DATA_PLAN!$B$2:$B$20001,MATCH(Kalkulasi!$B$987,DATA_PLAN!$A$2:$A$20001,0)),0)/24</f>
        <v/>
      </c>
      <c r="F1010">
        <f>SUMIFS(INPUT_DELAY!$E$5:$E$20000,INPUT_DELAY!$A$5:$A$20000,Kalkulasi!$B$987,INPUT_DELAY!$B$5:$B$20000,$A1010,INPUT_DELAY!$D$5:$D$20000,"Rain")</f>
        <v/>
      </c>
      <c r="G1010">
        <f>SUMIFS(INPUT_DELAY!$E$5:$E$20000,INPUT_DELAY!$A$5:$A$20000,Kalkulasi!$B$987,INPUT_DELAY!$B$5:$B$20000,$A1010,INPUT_DELAY!$D$5:$D$20000,"Slippery")</f>
        <v/>
      </c>
      <c r="H1010">
        <f>SUMIFS(INPUT_DELAY!$E$5:$E$20000,INPUT_DELAY!$A$5:$A$20000,Kalkulasi!$B$987,INPUT_DELAY!$B$5:$B$20000,$A1010,INPUT_DELAY!$D$5:$D$20000,"Istirahat")</f>
        <v/>
      </c>
      <c r="I1010">
        <f>SUMIFS(INPUT_DELAY!$E$5:$E$20000,INPUT_DELAY!$A$5:$A$20000,Kalkulasi!$B$987,INPUT_DELAY!$B$5:$B$20000,$A1010,INPUT_DELAY!$D$5:$D$20000,"P2H / Ganti shift")</f>
        <v/>
      </c>
      <c r="J1010">
        <f>SUMIFS(INPUT_DELAY!$E$5:$E$20000,INPUT_DELAY!$A$5:$A$20000,Kalkulasi!$B$987,INPUT_DELAY!$B$5:$B$20000,$A1010,INPUT_DELAY!$D$5:$D$20000,"Standby")</f>
        <v/>
      </c>
      <c r="K1010">
        <f>SUMIFS(INPUT_DELAY!$E$5:$E$20000,INPUT_DELAY!$A$5:$A$20000,Kalkulasi!$B$987,INPUT_DELAY!$B$5:$B$20000,$A1010,INPUT_DELAY!$D$5:$D$20000,"Breakdown")</f>
        <v/>
      </c>
      <c r="L1010">
        <f>SUMIFS(INPUT_DELAY!$E$5:$E$20000,INPUT_DELAY!$A$5:$A$20000,Kalkulasi!$B$987,INPUT_DELAY!$B$5:$B$20000,$A1010,INPUT_DELAY!$D$5:$D$20000,"Lainnya")</f>
        <v/>
      </c>
    </row>
    <row r="1011">
      <c r="A1011" t="inlineStr">
        <is>
          <t>01-02</t>
        </is>
      </c>
      <c r="B1011">
        <f>IF(19&lt;12,SUMIFS(INPUT_RITASE!$L$5:$L$20000,INPUT_RITASE!$A$5:$A$20000,Kalkulasi!$B$987,INPUT_RITASE!$B$5:$B$20000,$A1011,INPUT_RITASE!$N$5:$N$20000,"OB"),NA())</f>
        <v/>
      </c>
      <c r="C1011">
        <f>IF(19&gt;=12,SUMIFS(INPUT_RITASE!$L$5:$L$20000,INPUT_RITASE!$A$5:$A$20000,Kalkulasi!$B$987,INPUT_RITASE!$B$5:$B$20000,$A1011,INPUT_RITASE!$N$5:$N$20000,"OB"),NA())</f>
        <v/>
      </c>
      <c r="D1011">
        <f>SUMIFS(INPUT_RITASE!$L$5:$L$20000,INPUT_RITASE!$A$5:$A$20000,Kalkulasi!$B$987,INPUT_RITASE!$B$5:$B$20000,$A1011,INPUT_RITASE!$N$5:$N$20000,"Coal")</f>
        <v/>
      </c>
      <c r="E1011">
        <f>IFERROR(INDEX(DATA_PLAN!$B$2:$B$20001,MATCH(Kalkulasi!$B$987,DATA_PLAN!$A$2:$A$20001,0)),0)/24</f>
        <v/>
      </c>
      <c r="F1011">
        <f>SUMIFS(INPUT_DELAY!$E$5:$E$20000,INPUT_DELAY!$A$5:$A$20000,Kalkulasi!$B$987,INPUT_DELAY!$B$5:$B$20000,$A1011,INPUT_DELAY!$D$5:$D$20000,"Rain")</f>
        <v/>
      </c>
      <c r="G1011">
        <f>SUMIFS(INPUT_DELAY!$E$5:$E$20000,INPUT_DELAY!$A$5:$A$20000,Kalkulasi!$B$987,INPUT_DELAY!$B$5:$B$20000,$A1011,INPUT_DELAY!$D$5:$D$20000,"Slippery")</f>
        <v/>
      </c>
      <c r="H1011">
        <f>SUMIFS(INPUT_DELAY!$E$5:$E$20000,INPUT_DELAY!$A$5:$A$20000,Kalkulasi!$B$987,INPUT_DELAY!$B$5:$B$20000,$A1011,INPUT_DELAY!$D$5:$D$20000,"Istirahat")</f>
        <v/>
      </c>
      <c r="I1011">
        <f>SUMIFS(INPUT_DELAY!$E$5:$E$20000,INPUT_DELAY!$A$5:$A$20000,Kalkulasi!$B$987,INPUT_DELAY!$B$5:$B$20000,$A1011,INPUT_DELAY!$D$5:$D$20000,"P2H / Ganti shift")</f>
        <v/>
      </c>
      <c r="J1011">
        <f>SUMIFS(INPUT_DELAY!$E$5:$E$20000,INPUT_DELAY!$A$5:$A$20000,Kalkulasi!$B$987,INPUT_DELAY!$B$5:$B$20000,$A1011,INPUT_DELAY!$D$5:$D$20000,"Standby")</f>
        <v/>
      </c>
      <c r="K1011">
        <f>SUMIFS(INPUT_DELAY!$E$5:$E$20000,INPUT_DELAY!$A$5:$A$20000,Kalkulasi!$B$987,INPUT_DELAY!$B$5:$B$20000,$A1011,INPUT_DELAY!$D$5:$D$20000,"Breakdown")</f>
        <v/>
      </c>
      <c r="L1011">
        <f>SUMIFS(INPUT_DELAY!$E$5:$E$20000,INPUT_DELAY!$A$5:$A$20000,Kalkulasi!$B$987,INPUT_DELAY!$B$5:$B$20000,$A1011,INPUT_DELAY!$D$5:$D$20000,"Lainnya")</f>
        <v/>
      </c>
    </row>
    <row r="1012">
      <c r="A1012" t="inlineStr">
        <is>
          <t>02-03</t>
        </is>
      </c>
      <c r="B1012">
        <f>IF(20&lt;12,SUMIFS(INPUT_RITASE!$L$5:$L$20000,INPUT_RITASE!$A$5:$A$20000,Kalkulasi!$B$987,INPUT_RITASE!$B$5:$B$20000,$A1012,INPUT_RITASE!$N$5:$N$20000,"OB"),NA())</f>
        <v/>
      </c>
      <c r="C1012">
        <f>IF(20&gt;=12,SUMIFS(INPUT_RITASE!$L$5:$L$20000,INPUT_RITASE!$A$5:$A$20000,Kalkulasi!$B$987,INPUT_RITASE!$B$5:$B$20000,$A1012,INPUT_RITASE!$N$5:$N$20000,"OB"),NA())</f>
        <v/>
      </c>
      <c r="D1012">
        <f>SUMIFS(INPUT_RITASE!$L$5:$L$20000,INPUT_RITASE!$A$5:$A$20000,Kalkulasi!$B$987,INPUT_RITASE!$B$5:$B$20000,$A1012,INPUT_RITASE!$N$5:$N$20000,"Coal")</f>
        <v/>
      </c>
      <c r="E1012">
        <f>IFERROR(INDEX(DATA_PLAN!$B$2:$B$20001,MATCH(Kalkulasi!$B$987,DATA_PLAN!$A$2:$A$20001,0)),0)/24</f>
        <v/>
      </c>
      <c r="F1012">
        <f>SUMIFS(INPUT_DELAY!$E$5:$E$20000,INPUT_DELAY!$A$5:$A$20000,Kalkulasi!$B$987,INPUT_DELAY!$B$5:$B$20000,$A1012,INPUT_DELAY!$D$5:$D$20000,"Rain")</f>
        <v/>
      </c>
      <c r="G1012">
        <f>SUMIFS(INPUT_DELAY!$E$5:$E$20000,INPUT_DELAY!$A$5:$A$20000,Kalkulasi!$B$987,INPUT_DELAY!$B$5:$B$20000,$A1012,INPUT_DELAY!$D$5:$D$20000,"Slippery")</f>
        <v/>
      </c>
      <c r="H1012">
        <f>SUMIFS(INPUT_DELAY!$E$5:$E$20000,INPUT_DELAY!$A$5:$A$20000,Kalkulasi!$B$987,INPUT_DELAY!$B$5:$B$20000,$A1012,INPUT_DELAY!$D$5:$D$20000,"Istirahat")</f>
        <v/>
      </c>
      <c r="I1012">
        <f>SUMIFS(INPUT_DELAY!$E$5:$E$20000,INPUT_DELAY!$A$5:$A$20000,Kalkulasi!$B$987,INPUT_DELAY!$B$5:$B$20000,$A1012,INPUT_DELAY!$D$5:$D$20000,"P2H / Ganti shift")</f>
        <v/>
      </c>
      <c r="J1012">
        <f>SUMIFS(INPUT_DELAY!$E$5:$E$20000,INPUT_DELAY!$A$5:$A$20000,Kalkulasi!$B$987,INPUT_DELAY!$B$5:$B$20000,$A1012,INPUT_DELAY!$D$5:$D$20000,"Standby")</f>
        <v/>
      </c>
      <c r="K1012">
        <f>SUMIFS(INPUT_DELAY!$E$5:$E$20000,INPUT_DELAY!$A$5:$A$20000,Kalkulasi!$B$987,INPUT_DELAY!$B$5:$B$20000,$A1012,INPUT_DELAY!$D$5:$D$20000,"Breakdown")</f>
        <v/>
      </c>
      <c r="L1012">
        <f>SUMIFS(INPUT_DELAY!$E$5:$E$20000,INPUT_DELAY!$A$5:$A$20000,Kalkulasi!$B$987,INPUT_DELAY!$B$5:$B$20000,$A1012,INPUT_DELAY!$D$5:$D$20000,"Lainnya")</f>
        <v/>
      </c>
    </row>
    <row r="1013">
      <c r="A1013" t="inlineStr">
        <is>
          <t>03-04</t>
        </is>
      </c>
      <c r="B1013">
        <f>IF(21&lt;12,SUMIFS(INPUT_RITASE!$L$5:$L$20000,INPUT_RITASE!$A$5:$A$20000,Kalkulasi!$B$987,INPUT_RITASE!$B$5:$B$20000,$A1013,INPUT_RITASE!$N$5:$N$20000,"OB"),NA())</f>
        <v/>
      </c>
      <c r="C1013">
        <f>IF(21&gt;=12,SUMIFS(INPUT_RITASE!$L$5:$L$20000,INPUT_RITASE!$A$5:$A$20000,Kalkulasi!$B$987,INPUT_RITASE!$B$5:$B$20000,$A1013,INPUT_RITASE!$N$5:$N$20000,"OB"),NA())</f>
        <v/>
      </c>
      <c r="D1013">
        <f>SUMIFS(INPUT_RITASE!$L$5:$L$20000,INPUT_RITASE!$A$5:$A$20000,Kalkulasi!$B$987,INPUT_RITASE!$B$5:$B$20000,$A1013,INPUT_RITASE!$N$5:$N$20000,"Coal")</f>
        <v/>
      </c>
      <c r="E1013">
        <f>IFERROR(INDEX(DATA_PLAN!$B$2:$B$20001,MATCH(Kalkulasi!$B$987,DATA_PLAN!$A$2:$A$20001,0)),0)/24</f>
        <v/>
      </c>
      <c r="F1013">
        <f>SUMIFS(INPUT_DELAY!$E$5:$E$20000,INPUT_DELAY!$A$5:$A$20000,Kalkulasi!$B$987,INPUT_DELAY!$B$5:$B$20000,$A1013,INPUT_DELAY!$D$5:$D$20000,"Rain")</f>
        <v/>
      </c>
      <c r="G1013">
        <f>SUMIFS(INPUT_DELAY!$E$5:$E$20000,INPUT_DELAY!$A$5:$A$20000,Kalkulasi!$B$987,INPUT_DELAY!$B$5:$B$20000,$A1013,INPUT_DELAY!$D$5:$D$20000,"Slippery")</f>
        <v/>
      </c>
      <c r="H1013">
        <f>SUMIFS(INPUT_DELAY!$E$5:$E$20000,INPUT_DELAY!$A$5:$A$20000,Kalkulasi!$B$987,INPUT_DELAY!$B$5:$B$20000,$A1013,INPUT_DELAY!$D$5:$D$20000,"Istirahat")</f>
        <v/>
      </c>
      <c r="I1013">
        <f>SUMIFS(INPUT_DELAY!$E$5:$E$20000,INPUT_DELAY!$A$5:$A$20000,Kalkulasi!$B$987,INPUT_DELAY!$B$5:$B$20000,$A1013,INPUT_DELAY!$D$5:$D$20000,"P2H / Ganti shift")</f>
        <v/>
      </c>
      <c r="J1013">
        <f>SUMIFS(INPUT_DELAY!$E$5:$E$20000,INPUT_DELAY!$A$5:$A$20000,Kalkulasi!$B$987,INPUT_DELAY!$B$5:$B$20000,$A1013,INPUT_DELAY!$D$5:$D$20000,"Standby")</f>
        <v/>
      </c>
      <c r="K1013">
        <f>SUMIFS(INPUT_DELAY!$E$5:$E$20000,INPUT_DELAY!$A$5:$A$20000,Kalkulasi!$B$987,INPUT_DELAY!$B$5:$B$20000,$A1013,INPUT_DELAY!$D$5:$D$20000,"Breakdown")</f>
        <v/>
      </c>
      <c r="L1013">
        <f>SUMIFS(INPUT_DELAY!$E$5:$E$20000,INPUT_DELAY!$A$5:$A$20000,Kalkulasi!$B$987,INPUT_DELAY!$B$5:$B$20000,$A1013,INPUT_DELAY!$D$5:$D$20000,"Lainnya")</f>
        <v/>
      </c>
    </row>
    <row r="1014">
      <c r="A1014" t="inlineStr">
        <is>
          <t>04-05</t>
        </is>
      </c>
      <c r="B1014">
        <f>IF(22&lt;12,SUMIFS(INPUT_RITASE!$L$5:$L$20000,INPUT_RITASE!$A$5:$A$20000,Kalkulasi!$B$987,INPUT_RITASE!$B$5:$B$20000,$A1014,INPUT_RITASE!$N$5:$N$20000,"OB"),NA())</f>
        <v/>
      </c>
      <c r="C1014">
        <f>IF(22&gt;=12,SUMIFS(INPUT_RITASE!$L$5:$L$20000,INPUT_RITASE!$A$5:$A$20000,Kalkulasi!$B$987,INPUT_RITASE!$B$5:$B$20000,$A1014,INPUT_RITASE!$N$5:$N$20000,"OB"),NA())</f>
        <v/>
      </c>
      <c r="D1014">
        <f>SUMIFS(INPUT_RITASE!$L$5:$L$20000,INPUT_RITASE!$A$5:$A$20000,Kalkulasi!$B$987,INPUT_RITASE!$B$5:$B$20000,$A1014,INPUT_RITASE!$N$5:$N$20000,"Coal")</f>
        <v/>
      </c>
      <c r="E1014">
        <f>IFERROR(INDEX(DATA_PLAN!$B$2:$B$20001,MATCH(Kalkulasi!$B$987,DATA_PLAN!$A$2:$A$20001,0)),0)/24</f>
        <v/>
      </c>
      <c r="F1014">
        <f>SUMIFS(INPUT_DELAY!$E$5:$E$20000,INPUT_DELAY!$A$5:$A$20000,Kalkulasi!$B$987,INPUT_DELAY!$B$5:$B$20000,$A1014,INPUT_DELAY!$D$5:$D$20000,"Rain")</f>
        <v/>
      </c>
      <c r="G1014">
        <f>SUMIFS(INPUT_DELAY!$E$5:$E$20000,INPUT_DELAY!$A$5:$A$20000,Kalkulasi!$B$987,INPUT_DELAY!$B$5:$B$20000,$A1014,INPUT_DELAY!$D$5:$D$20000,"Slippery")</f>
        <v/>
      </c>
      <c r="H1014">
        <f>SUMIFS(INPUT_DELAY!$E$5:$E$20000,INPUT_DELAY!$A$5:$A$20000,Kalkulasi!$B$987,INPUT_DELAY!$B$5:$B$20000,$A1014,INPUT_DELAY!$D$5:$D$20000,"Istirahat")</f>
        <v/>
      </c>
      <c r="I1014">
        <f>SUMIFS(INPUT_DELAY!$E$5:$E$20000,INPUT_DELAY!$A$5:$A$20000,Kalkulasi!$B$987,INPUT_DELAY!$B$5:$B$20000,$A1014,INPUT_DELAY!$D$5:$D$20000,"P2H / Ganti shift")</f>
        <v/>
      </c>
      <c r="J1014">
        <f>SUMIFS(INPUT_DELAY!$E$5:$E$20000,INPUT_DELAY!$A$5:$A$20000,Kalkulasi!$B$987,INPUT_DELAY!$B$5:$B$20000,$A1014,INPUT_DELAY!$D$5:$D$20000,"Standby")</f>
        <v/>
      </c>
      <c r="K1014">
        <f>SUMIFS(INPUT_DELAY!$E$5:$E$20000,INPUT_DELAY!$A$5:$A$20000,Kalkulasi!$B$987,INPUT_DELAY!$B$5:$B$20000,$A1014,INPUT_DELAY!$D$5:$D$20000,"Breakdown")</f>
        <v/>
      </c>
      <c r="L1014">
        <f>SUMIFS(INPUT_DELAY!$E$5:$E$20000,INPUT_DELAY!$A$5:$A$20000,Kalkulasi!$B$987,INPUT_DELAY!$B$5:$B$20000,$A1014,INPUT_DELAY!$D$5:$D$20000,"Lainnya")</f>
        <v/>
      </c>
    </row>
    <row r="1015">
      <c r="A1015" t="inlineStr">
        <is>
          <t>05-06</t>
        </is>
      </c>
      <c r="B1015">
        <f>IF(23&lt;12,SUMIFS(INPUT_RITASE!$L$5:$L$20000,INPUT_RITASE!$A$5:$A$20000,Kalkulasi!$B$987,INPUT_RITASE!$B$5:$B$20000,$A1015,INPUT_RITASE!$N$5:$N$20000,"OB"),NA())</f>
        <v/>
      </c>
      <c r="C1015">
        <f>IF(23&gt;=12,SUMIFS(INPUT_RITASE!$L$5:$L$20000,INPUT_RITASE!$A$5:$A$20000,Kalkulasi!$B$987,INPUT_RITASE!$B$5:$B$20000,$A1015,INPUT_RITASE!$N$5:$N$20000,"OB"),NA())</f>
        <v/>
      </c>
      <c r="D1015">
        <f>SUMIFS(INPUT_RITASE!$L$5:$L$20000,INPUT_RITASE!$A$5:$A$20000,Kalkulasi!$B$987,INPUT_RITASE!$B$5:$B$20000,$A1015,INPUT_RITASE!$N$5:$N$20000,"Coal")</f>
        <v/>
      </c>
      <c r="E1015">
        <f>IFERROR(INDEX(DATA_PLAN!$B$2:$B$20001,MATCH(Kalkulasi!$B$987,DATA_PLAN!$A$2:$A$20001,0)),0)/24</f>
        <v/>
      </c>
      <c r="F1015">
        <f>SUMIFS(INPUT_DELAY!$E$5:$E$20000,INPUT_DELAY!$A$5:$A$20000,Kalkulasi!$B$987,INPUT_DELAY!$B$5:$B$20000,$A1015,INPUT_DELAY!$D$5:$D$20000,"Rain")</f>
        <v/>
      </c>
      <c r="G1015">
        <f>SUMIFS(INPUT_DELAY!$E$5:$E$20000,INPUT_DELAY!$A$5:$A$20000,Kalkulasi!$B$987,INPUT_DELAY!$B$5:$B$20000,$A1015,INPUT_DELAY!$D$5:$D$20000,"Slippery")</f>
        <v/>
      </c>
      <c r="H1015">
        <f>SUMIFS(INPUT_DELAY!$E$5:$E$20000,INPUT_DELAY!$A$5:$A$20000,Kalkulasi!$B$987,INPUT_DELAY!$B$5:$B$20000,$A1015,INPUT_DELAY!$D$5:$D$20000,"Istirahat")</f>
        <v/>
      </c>
      <c r="I1015">
        <f>SUMIFS(INPUT_DELAY!$E$5:$E$20000,INPUT_DELAY!$A$5:$A$20000,Kalkulasi!$B$987,INPUT_DELAY!$B$5:$B$20000,$A1015,INPUT_DELAY!$D$5:$D$20000,"P2H / Ganti shift")</f>
        <v/>
      </c>
      <c r="J1015">
        <f>SUMIFS(INPUT_DELAY!$E$5:$E$20000,INPUT_DELAY!$A$5:$A$20000,Kalkulasi!$B$987,INPUT_DELAY!$B$5:$B$20000,$A1015,INPUT_DELAY!$D$5:$D$20000,"Standby")</f>
        <v/>
      </c>
      <c r="K1015">
        <f>SUMIFS(INPUT_DELAY!$E$5:$E$20000,INPUT_DELAY!$A$5:$A$20000,Kalkulasi!$B$987,INPUT_DELAY!$B$5:$B$20000,$A1015,INPUT_DELAY!$D$5:$D$20000,"Breakdown")</f>
        <v/>
      </c>
      <c r="L1015">
        <f>SUMIFS(INPUT_DELAY!$E$5:$E$20000,INPUT_DELAY!$A$5:$A$20000,Kalkulasi!$B$987,INPUT_DELAY!$B$5:$B$20000,$A1015,INPUT_DELAY!$D$5:$D$20000,"Lainnya")</f>
        <v/>
      </c>
    </row>
    <row r="1018">
      <c r="A1018" s="171" t="inlineStr">
        <is>
          <t>DAILY — per digger</t>
        </is>
      </c>
    </row>
    <row r="1019">
      <c r="A1019" t="inlineStr">
        <is>
          <t>Digger</t>
        </is>
      </c>
      <c r="B1019" t="inlineStr">
        <is>
          <t>Tipe</t>
        </is>
      </c>
      <c r="C1019" t="inlineStr">
        <is>
          <t>Grup</t>
        </is>
      </c>
      <c r="D1019" t="inlineStr">
        <is>
          <t>DS rit</t>
        </is>
      </c>
      <c r="E1019" t="inlineStr">
        <is>
          <t>DS prod</t>
        </is>
      </c>
      <c r="F1019" t="inlineStr">
        <is>
          <t>DS EWH</t>
        </is>
      </c>
      <c r="G1019" t="inlineStr">
        <is>
          <t>NS rit</t>
        </is>
      </c>
      <c r="H1019" t="inlineStr">
        <is>
          <t>NS prod</t>
        </is>
      </c>
      <c r="I1019" t="inlineStr">
        <is>
          <t>NS EWH</t>
        </is>
      </c>
      <c r="J1019" t="inlineStr">
        <is>
          <t>Total</t>
        </is>
      </c>
      <c r="K1019" t="inlineStr">
        <is>
          <t>PTY</t>
        </is>
      </c>
      <c r="L1019" t="inlineStr">
        <is>
          <t>Target</t>
        </is>
      </c>
      <c r="M1019" t="inlineStr">
        <is>
          <t>Sort</t>
        </is>
      </c>
      <c r="N1019" t="inlineStr"/>
      <c r="O1019" t="inlineStr">
        <is>
          <t>Delay unit</t>
        </is>
      </c>
    </row>
    <row r="1020">
      <c r="A1020" t="inlineStr">
        <is>
          <t>EX-1251</t>
        </is>
      </c>
      <c r="B1020">
        <f>IFERROR(INDEX(MASTER_JAM!$B$5:$B$94,MATCH($A1020,MASTER_JAM!$A$5:$A$94,0)),"")</f>
        <v/>
      </c>
      <c r="C1020">
        <f>IF(SUMIFS(INPUT_RITASE!$L$5:$L$20000,INPUT_RITASE!$A$5:$A$20000,Kalkulasi!$B$987,INPUT_RITASE!$C$5:$C$20000,$A1020,INPUT_RITASE!$N$5:$N$20000,"Coal")&gt;SUMIFS(INPUT_RITASE!$L$5:$L$20000,INPUT_RITASE!$A$5:$A$20000,Kalkulasi!$B$987,INPUT_RITASE!$C$5:$C$20000,$A1020,INPUT_RITASE!$N$5:$N$20000,"OB"),"Coal","OB")</f>
        <v/>
      </c>
      <c r="D1020">
        <f>SUMIFS(INPUT_RITASE!$F$5:$F$20000,INPUT_RITASE!$A$5:$A$20000,Kalkulasi!$B$987,INPUT_RITASE!$H$5:$H$20000,"DS",INPUT_RITASE!$C$5:$C$20000,$A1020)</f>
        <v/>
      </c>
      <c r="E1020">
        <f>SUMIFS(INPUT_RITASE!$L$5:$L$20000,INPUT_RITASE!$A$5:$A$20000,Kalkulasi!$B$987,INPUT_RITASE!$H$5:$H$20000,"DS",INPUT_RITASE!$C$5:$C$20000,$A1020,INPUT_RITASE!$N$5:$N$20000,$C1020)</f>
        <v/>
      </c>
      <c r="F1020">
        <f>IF(SUMIFS(INPUT_RITASE!$L$5:$L$20000,INPUT_RITASE!$A$5:$A$20000,Kalkulasi!$B$987,INPUT_RITASE!$B$5:$B$20000,"06-07",INPUT_RITASE!$C$5:$C$20000,$A1020,INPUT_RITASE!$N$5:$N$20000,$C1020)&gt;0,(60-MIN(60,SUMIFS(INPUT_DELAY!$E$5:$E$20000,INPUT_DELAY!$A$5:$A$20000,Kalkulasi!$B$987,INPUT_DELAY!$B$5:$B$20000,"06-07",INPUT_DELAY!$C$5:$C$20000,$A1020)+SUMIFS(INPUT_DELAY!$E$5:$E$20000,INPUT_DELAY!$A$5:$A$20000,Kalkulasi!$B$987,INPUT_DELAY!$B$5:$B$20000,"06-07",INPUT_DELAY!$C$5:$C$20000,"SEMUA")))/60,0)+IF(SUMIFS(INPUT_RITASE!$L$5:$L$20000,INPUT_RITASE!$A$5:$A$20000,Kalkulasi!$B$987,INPUT_RITASE!$B$5:$B$20000,"07-08",INPUT_RITASE!$C$5:$C$20000,$A1020,INPUT_RITASE!$N$5:$N$20000,$C1020)&gt;0,(60-MIN(60,SUMIFS(INPUT_DELAY!$E$5:$E$20000,INPUT_DELAY!$A$5:$A$20000,Kalkulasi!$B$987,INPUT_DELAY!$B$5:$B$20000,"07-08",INPUT_DELAY!$C$5:$C$20000,$A1020)+SUMIFS(INPUT_DELAY!$E$5:$E$20000,INPUT_DELAY!$A$5:$A$20000,Kalkulasi!$B$987,INPUT_DELAY!$B$5:$B$20000,"07-08",INPUT_DELAY!$C$5:$C$20000,"SEMUA")))/60,0)+IF(SUMIFS(INPUT_RITASE!$L$5:$L$20000,INPUT_RITASE!$A$5:$A$20000,Kalkulasi!$B$987,INPUT_RITASE!$B$5:$B$20000,"08-09",INPUT_RITASE!$C$5:$C$20000,$A1020,INPUT_RITASE!$N$5:$N$20000,$C1020)&gt;0,(60-MIN(60,SUMIFS(INPUT_DELAY!$E$5:$E$20000,INPUT_DELAY!$A$5:$A$20000,Kalkulasi!$B$987,INPUT_DELAY!$B$5:$B$20000,"08-09",INPUT_DELAY!$C$5:$C$20000,$A1020)+SUMIFS(INPUT_DELAY!$E$5:$E$20000,INPUT_DELAY!$A$5:$A$20000,Kalkulasi!$B$987,INPUT_DELAY!$B$5:$B$20000,"08-09",INPUT_DELAY!$C$5:$C$20000,"SEMUA")))/60,0)+IF(SUMIFS(INPUT_RITASE!$L$5:$L$20000,INPUT_RITASE!$A$5:$A$20000,Kalkulasi!$B$987,INPUT_RITASE!$B$5:$B$20000,"09-10",INPUT_RITASE!$C$5:$C$20000,$A1020,INPUT_RITASE!$N$5:$N$20000,$C1020)&gt;0,(60-MIN(60,SUMIFS(INPUT_DELAY!$E$5:$E$20000,INPUT_DELAY!$A$5:$A$20000,Kalkulasi!$B$987,INPUT_DELAY!$B$5:$B$20000,"09-10",INPUT_DELAY!$C$5:$C$20000,$A1020)+SUMIFS(INPUT_DELAY!$E$5:$E$20000,INPUT_DELAY!$A$5:$A$20000,Kalkulasi!$B$987,INPUT_DELAY!$B$5:$B$20000,"09-10",INPUT_DELAY!$C$5:$C$20000,"SEMUA")))/60,0)+IF(SUMIFS(INPUT_RITASE!$L$5:$L$20000,INPUT_RITASE!$A$5:$A$20000,Kalkulasi!$B$987,INPUT_RITASE!$B$5:$B$20000,"10-11",INPUT_RITASE!$C$5:$C$20000,$A1020,INPUT_RITASE!$N$5:$N$20000,$C1020)&gt;0,(60-MIN(60,SUMIFS(INPUT_DELAY!$E$5:$E$20000,INPUT_DELAY!$A$5:$A$20000,Kalkulasi!$B$987,INPUT_DELAY!$B$5:$B$20000,"10-11",INPUT_DELAY!$C$5:$C$20000,$A1020)+SUMIFS(INPUT_DELAY!$E$5:$E$20000,INPUT_DELAY!$A$5:$A$20000,Kalkulasi!$B$987,INPUT_DELAY!$B$5:$B$20000,"10-11",INPUT_DELAY!$C$5:$C$20000,"SEMUA")))/60,0)+IF(SUMIFS(INPUT_RITASE!$L$5:$L$20000,INPUT_RITASE!$A$5:$A$20000,Kalkulasi!$B$987,INPUT_RITASE!$B$5:$B$20000,"11-12",INPUT_RITASE!$C$5:$C$20000,$A1020,INPUT_RITASE!$N$5:$N$20000,$C1020)&gt;0,(60-MIN(60,SUMIFS(INPUT_DELAY!$E$5:$E$20000,INPUT_DELAY!$A$5:$A$20000,Kalkulasi!$B$987,INPUT_DELAY!$B$5:$B$20000,"11-12",INPUT_DELAY!$C$5:$C$20000,$A1020)+SUMIFS(INPUT_DELAY!$E$5:$E$20000,INPUT_DELAY!$A$5:$A$20000,Kalkulasi!$B$987,INPUT_DELAY!$B$5:$B$20000,"11-12",INPUT_DELAY!$C$5:$C$20000,"SEMUA")))/60,0)+IF(SUMIFS(INPUT_RITASE!$L$5:$L$20000,INPUT_RITASE!$A$5:$A$20000,Kalkulasi!$B$987,INPUT_RITASE!$B$5:$B$20000,"12-13",INPUT_RITASE!$C$5:$C$20000,$A1020,INPUT_RITASE!$N$5:$N$20000,$C1020)&gt;0,(60-MIN(60,SUMIFS(INPUT_DELAY!$E$5:$E$20000,INPUT_DELAY!$A$5:$A$20000,Kalkulasi!$B$987,INPUT_DELAY!$B$5:$B$20000,"12-13",INPUT_DELAY!$C$5:$C$20000,$A1020)+SUMIFS(INPUT_DELAY!$E$5:$E$20000,INPUT_DELAY!$A$5:$A$20000,Kalkulasi!$B$987,INPUT_DELAY!$B$5:$B$20000,"12-13",INPUT_DELAY!$C$5:$C$20000,"SEMUA")))/60,0)+IF(SUMIFS(INPUT_RITASE!$L$5:$L$20000,INPUT_RITASE!$A$5:$A$20000,Kalkulasi!$B$987,INPUT_RITASE!$B$5:$B$20000,"13-14",INPUT_RITASE!$C$5:$C$20000,$A1020,INPUT_RITASE!$N$5:$N$20000,$C1020)&gt;0,(60-MIN(60,SUMIFS(INPUT_DELAY!$E$5:$E$20000,INPUT_DELAY!$A$5:$A$20000,Kalkulasi!$B$987,INPUT_DELAY!$B$5:$B$20000,"13-14",INPUT_DELAY!$C$5:$C$20000,$A1020)+SUMIFS(INPUT_DELAY!$E$5:$E$20000,INPUT_DELAY!$A$5:$A$20000,Kalkulasi!$B$987,INPUT_DELAY!$B$5:$B$20000,"13-14",INPUT_DELAY!$C$5:$C$20000,"SEMUA")))/60,0)+IF(SUMIFS(INPUT_RITASE!$L$5:$L$20000,INPUT_RITASE!$A$5:$A$20000,Kalkulasi!$B$987,INPUT_RITASE!$B$5:$B$20000,"14-15",INPUT_RITASE!$C$5:$C$20000,$A1020,INPUT_RITASE!$N$5:$N$20000,$C1020)&gt;0,(60-MIN(60,SUMIFS(INPUT_DELAY!$E$5:$E$20000,INPUT_DELAY!$A$5:$A$20000,Kalkulasi!$B$987,INPUT_DELAY!$B$5:$B$20000,"14-15",INPUT_DELAY!$C$5:$C$20000,$A1020)+SUMIFS(INPUT_DELAY!$E$5:$E$20000,INPUT_DELAY!$A$5:$A$20000,Kalkulasi!$B$987,INPUT_DELAY!$B$5:$B$20000,"14-15",INPUT_DELAY!$C$5:$C$20000,"SEMUA")))/60,0)+IF(SUMIFS(INPUT_RITASE!$L$5:$L$20000,INPUT_RITASE!$A$5:$A$20000,Kalkulasi!$B$987,INPUT_RITASE!$B$5:$B$20000,"15-16",INPUT_RITASE!$C$5:$C$20000,$A1020,INPUT_RITASE!$N$5:$N$20000,$C1020)&gt;0,(60-MIN(60,SUMIFS(INPUT_DELAY!$E$5:$E$20000,INPUT_DELAY!$A$5:$A$20000,Kalkulasi!$B$987,INPUT_DELAY!$B$5:$B$20000,"15-16",INPUT_DELAY!$C$5:$C$20000,$A1020)+SUMIFS(INPUT_DELAY!$E$5:$E$20000,INPUT_DELAY!$A$5:$A$20000,Kalkulasi!$B$987,INPUT_DELAY!$B$5:$B$20000,"15-16",INPUT_DELAY!$C$5:$C$20000,"SEMUA")))/60,0)+IF(SUMIFS(INPUT_RITASE!$L$5:$L$20000,INPUT_RITASE!$A$5:$A$20000,Kalkulasi!$B$987,INPUT_RITASE!$B$5:$B$20000,"16-17",INPUT_RITASE!$C$5:$C$20000,$A1020,INPUT_RITASE!$N$5:$N$20000,$C1020)&gt;0,(60-MIN(60,SUMIFS(INPUT_DELAY!$E$5:$E$20000,INPUT_DELAY!$A$5:$A$20000,Kalkulasi!$B$987,INPUT_DELAY!$B$5:$B$20000,"16-17",INPUT_DELAY!$C$5:$C$20000,$A1020)+SUMIFS(INPUT_DELAY!$E$5:$E$20000,INPUT_DELAY!$A$5:$A$20000,Kalkulasi!$B$987,INPUT_DELAY!$B$5:$B$20000,"16-17",INPUT_DELAY!$C$5:$C$20000,"SEMUA")))/60,0)+IF(SUMIFS(INPUT_RITASE!$L$5:$L$20000,INPUT_RITASE!$A$5:$A$20000,Kalkulasi!$B$987,INPUT_RITASE!$B$5:$B$20000,"17-18",INPUT_RITASE!$C$5:$C$20000,$A1020,INPUT_RITASE!$N$5:$N$20000,$C1020)&gt;0,(60-MIN(60,SUMIFS(INPUT_DELAY!$E$5:$E$20000,INPUT_DELAY!$A$5:$A$20000,Kalkulasi!$B$987,INPUT_DELAY!$B$5:$B$20000,"17-18",INPUT_DELAY!$C$5:$C$20000,$A1020)+SUMIFS(INPUT_DELAY!$E$5:$E$20000,INPUT_DELAY!$A$5:$A$20000,Kalkulasi!$B$987,INPUT_DELAY!$B$5:$B$20000,"17-18",INPUT_DELAY!$C$5:$C$20000,"SEMUA")))/60,0)</f>
        <v/>
      </c>
      <c r="G1020">
        <f>SUMIFS(INPUT_RITASE!$F$5:$F$20000,INPUT_RITASE!$A$5:$A$20000,Kalkulasi!$B$987,INPUT_RITASE!$H$5:$H$20000,"NS",INPUT_RITASE!$C$5:$C$20000,$A1020)</f>
        <v/>
      </c>
      <c r="H1020">
        <f>SUMIFS(INPUT_RITASE!$L$5:$L$20000,INPUT_RITASE!$A$5:$A$20000,Kalkulasi!$B$987,INPUT_RITASE!$H$5:$H$20000,"NS",INPUT_RITASE!$C$5:$C$20000,$A1020,INPUT_RITASE!$N$5:$N$20000,$C1020)</f>
        <v/>
      </c>
      <c r="I1020">
        <f>IF(SUMIFS(INPUT_RITASE!$L$5:$L$20000,INPUT_RITASE!$A$5:$A$20000,Kalkulasi!$B$987,INPUT_RITASE!$B$5:$B$20000,"18-19",INPUT_RITASE!$C$5:$C$20000,$A1020,INPUT_RITASE!$N$5:$N$20000,$C1020)&gt;0,(60-MIN(60,SUMIFS(INPUT_DELAY!$E$5:$E$20000,INPUT_DELAY!$A$5:$A$20000,Kalkulasi!$B$987,INPUT_DELAY!$B$5:$B$20000,"18-19",INPUT_DELAY!$C$5:$C$20000,$A1020)+SUMIFS(INPUT_DELAY!$E$5:$E$20000,INPUT_DELAY!$A$5:$A$20000,Kalkulasi!$B$987,INPUT_DELAY!$B$5:$B$20000,"18-19",INPUT_DELAY!$C$5:$C$20000,"SEMUA")))/60,0)+IF(SUMIFS(INPUT_RITASE!$L$5:$L$20000,INPUT_RITASE!$A$5:$A$20000,Kalkulasi!$B$987,INPUT_RITASE!$B$5:$B$20000,"19-20",INPUT_RITASE!$C$5:$C$20000,$A1020,INPUT_RITASE!$N$5:$N$20000,$C1020)&gt;0,(60-MIN(60,SUMIFS(INPUT_DELAY!$E$5:$E$20000,INPUT_DELAY!$A$5:$A$20000,Kalkulasi!$B$987,INPUT_DELAY!$B$5:$B$20000,"19-20",INPUT_DELAY!$C$5:$C$20000,$A1020)+SUMIFS(INPUT_DELAY!$E$5:$E$20000,INPUT_DELAY!$A$5:$A$20000,Kalkulasi!$B$987,INPUT_DELAY!$B$5:$B$20000,"19-20",INPUT_DELAY!$C$5:$C$20000,"SEMUA")))/60,0)+IF(SUMIFS(INPUT_RITASE!$L$5:$L$20000,INPUT_RITASE!$A$5:$A$20000,Kalkulasi!$B$987,INPUT_RITASE!$B$5:$B$20000,"20-21",INPUT_RITASE!$C$5:$C$20000,$A1020,INPUT_RITASE!$N$5:$N$20000,$C1020)&gt;0,(60-MIN(60,SUMIFS(INPUT_DELAY!$E$5:$E$20000,INPUT_DELAY!$A$5:$A$20000,Kalkulasi!$B$987,INPUT_DELAY!$B$5:$B$20000,"20-21",INPUT_DELAY!$C$5:$C$20000,$A1020)+SUMIFS(INPUT_DELAY!$E$5:$E$20000,INPUT_DELAY!$A$5:$A$20000,Kalkulasi!$B$987,INPUT_DELAY!$B$5:$B$20000,"20-21",INPUT_DELAY!$C$5:$C$20000,"SEMUA")))/60,0)+IF(SUMIFS(INPUT_RITASE!$L$5:$L$20000,INPUT_RITASE!$A$5:$A$20000,Kalkulasi!$B$987,INPUT_RITASE!$B$5:$B$20000,"21-22",INPUT_RITASE!$C$5:$C$20000,$A1020,INPUT_RITASE!$N$5:$N$20000,$C1020)&gt;0,(60-MIN(60,SUMIFS(INPUT_DELAY!$E$5:$E$20000,INPUT_DELAY!$A$5:$A$20000,Kalkulasi!$B$987,INPUT_DELAY!$B$5:$B$20000,"21-22",INPUT_DELAY!$C$5:$C$20000,$A1020)+SUMIFS(INPUT_DELAY!$E$5:$E$20000,INPUT_DELAY!$A$5:$A$20000,Kalkulasi!$B$987,INPUT_DELAY!$B$5:$B$20000,"21-22",INPUT_DELAY!$C$5:$C$20000,"SEMUA")))/60,0)+IF(SUMIFS(INPUT_RITASE!$L$5:$L$20000,INPUT_RITASE!$A$5:$A$20000,Kalkulasi!$B$987,INPUT_RITASE!$B$5:$B$20000,"22-23",INPUT_RITASE!$C$5:$C$20000,$A1020,INPUT_RITASE!$N$5:$N$20000,$C1020)&gt;0,(60-MIN(60,SUMIFS(INPUT_DELAY!$E$5:$E$20000,INPUT_DELAY!$A$5:$A$20000,Kalkulasi!$B$987,INPUT_DELAY!$B$5:$B$20000,"22-23",INPUT_DELAY!$C$5:$C$20000,$A1020)+SUMIFS(INPUT_DELAY!$E$5:$E$20000,INPUT_DELAY!$A$5:$A$20000,Kalkulasi!$B$987,INPUT_DELAY!$B$5:$B$20000,"22-23",INPUT_DELAY!$C$5:$C$20000,"SEMUA")))/60,0)+IF(SUMIFS(INPUT_RITASE!$L$5:$L$20000,INPUT_RITASE!$A$5:$A$20000,Kalkulasi!$B$987,INPUT_RITASE!$B$5:$B$20000,"23-24",INPUT_RITASE!$C$5:$C$20000,$A1020,INPUT_RITASE!$N$5:$N$20000,$C1020)&gt;0,(60-MIN(60,SUMIFS(INPUT_DELAY!$E$5:$E$20000,INPUT_DELAY!$A$5:$A$20000,Kalkulasi!$B$987,INPUT_DELAY!$B$5:$B$20000,"23-24",INPUT_DELAY!$C$5:$C$20000,$A1020)+SUMIFS(INPUT_DELAY!$E$5:$E$20000,INPUT_DELAY!$A$5:$A$20000,Kalkulasi!$B$987,INPUT_DELAY!$B$5:$B$20000,"23-24",INPUT_DELAY!$C$5:$C$20000,"SEMUA")))/60,0)+IF(SUMIFS(INPUT_RITASE!$L$5:$L$20000,INPUT_RITASE!$A$5:$A$20000,Kalkulasi!$B$987,INPUT_RITASE!$B$5:$B$20000,"00-01",INPUT_RITASE!$C$5:$C$20000,$A1020,INPUT_RITASE!$N$5:$N$20000,$C1020)&gt;0,(60-MIN(60,SUMIFS(INPUT_DELAY!$E$5:$E$20000,INPUT_DELAY!$A$5:$A$20000,Kalkulasi!$B$987,INPUT_DELAY!$B$5:$B$20000,"00-01",INPUT_DELAY!$C$5:$C$20000,$A1020)+SUMIFS(INPUT_DELAY!$E$5:$E$20000,INPUT_DELAY!$A$5:$A$20000,Kalkulasi!$B$987,INPUT_DELAY!$B$5:$B$20000,"00-01",INPUT_DELAY!$C$5:$C$20000,"SEMUA")))/60,0)+IF(SUMIFS(INPUT_RITASE!$L$5:$L$20000,INPUT_RITASE!$A$5:$A$20000,Kalkulasi!$B$987,INPUT_RITASE!$B$5:$B$20000,"01-02",INPUT_RITASE!$C$5:$C$20000,$A1020,INPUT_RITASE!$N$5:$N$20000,$C1020)&gt;0,(60-MIN(60,SUMIFS(INPUT_DELAY!$E$5:$E$20000,INPUT_DELAY!$A$5:$A$20000,Kalkulasi!$B$987,INPUT_DELAY!$B$5:$B$20000,"01-02",INPUT_DELAY!$C$5:$C$20000,$A1020)+SUMIFS(INPUT_DELAY!$E$5:$E$20000,INPUT_DELAY!$A$5:$A$20000,Kalkulasi!$B$987,INPUT_DELAY!$B$5:$B$20000,"01-02",INPUT_DELAY!$C$5:$C$20000,"SEMUA")))/60,0)+IF(SUMIFS(INPUT_RITASE!$L$5:$L$20000,INPUT_RITASE!$A$5:$A$20000,Kalkulasi!$B$987,INPUT_RITASE!$B$5:$B$20000,"02-03",INPUT_RITASE!$C$5:$C$20000,$A1020,INPUT_RITASE!$N$5:$N$20000,$C1020)&gt;0,(60-MIN(60,SUMIFS(INPUT_DELAY!$E$5:$E$20000,INPUT_DELAY!$A$5:$A$20000,Kalkulasi!$B$987,INPUT_DELAY!$B$5:$B$20000,"02-03",INPUT_DELAY!$C$5:$C$20000,$A1020)+SUMIFS(INPUT_DELAY!$E$5:$E$20000,INPUT_DELAY!$A$5:$A$20000,Kalkulasi!$B$987,INPUT_DELAY!$B$5:$B$20000,"02-03",INPUT_DELAY!$C$5:$C$20000,"SEMUA")))/60,0)+IF(SUMIFS(INPUT_RITASE!$L$5:$L$20000,INPUT_RITASE!$A$5:$A$20000,Kalkulasi!$B$987,INPUT_RITASE!$B$5:$B$20000,"03-04",INPUT_RITASE!$C$5:$C$20000,$A1020,INPUT_RITASE!$N$5:$N$20000,$C1020)&gt;0,(60-MIN(60,SUMIFS(INPUT_DELAY!$E$5:$E$20000,INPUT_DELAY!$A$5:$A$20000,Kalkulasi!$B$987,INPUT_DELAY!$B$5:$B$20000,"03-04",INPUT_DELAY!$C$5:$C$20000,$A1020)+SUMIFS(INPUT_DELAY!$E$5:$E$20000,INPUT_DELAY!$A$5:$A$20000,Kalkulasi!$B$987,INPUT_DELAY!$B$5:$B$20000,"03-04",INPUT_DELAY!$C$5:$C$20000,"SEMUA")))/60,0)+IF(SUMIFS(INPUT_RITASE!$L$5:$L$20000,INPUT_RITASE!$A$5:$A$20000,Kalkulasi!$B$987,INPUT_RITASE!$B$5:$B$20000,"04-05",INPUT_RITASE!$C$5:$C$20000,$A1020,INPUT_RITASE!$N$5:$N$20000,$C1020)&gt;0,(60-MIN(60,SUMIFS(INPUT_DELAY!$E$5:$E$20000,INPUT_DELAY!$A$5:$A$20000,Kalkulasi!$B$987,INPUT_DELAY!$B$5:$B$20000,"04-05",INPUT_DELAY!$C$5:$C$20000,$A1020)+SUMIFS(INPUT_DELAY!$E$5:$E$20000,INPUT_DELAY!$A$5:$A$20000,Kalkulasi!$B$987,INPUT_DELAY!$B$5:$B$20000,"04-05",INPUT_DELAY!$C$5:$C$20000,"SEMUA")))/60,0)+IF(SUMIFS(INPUT_RITASE!$L$5:$L$20000,INPUT_RITASE!$A$5:$A$20000,Kalkulasi!$B$987,INPUT_RITASE!$B$5:$B$20000,"05-06",INPUT_RITASE!$C$5:$C$20000,$A1020,INPUT_RITASE!$N$5:$N$20000,$C1020)&gt;0,(60-MIN(60,SUMIFS(INPUT_DELAY!$E$5:$E$20000,INPUT_DELAY!$A$5:$A$20000,Kalkulasi!$B$987,INPUT_DELAY!$B$5:$B$20000,"05-06",INPUT_DELAY!$C$5:$C$20000,$A1020)+SUMIFS(INPUT_DELAY!$E$5:$E$20000,INPUT_DELAY!$A$5:$A$20000,Kalkulasi!$B$987,INPUT_DELAY!$B$5:$B$20000,"05-06",INPUT_DELAY!$C$5:$C$20000,"SEMUA")))/60,0)</f>
        <v/>
      </c>
      <c r="J1020">
        <f>E1020+H1020</f>
        <v/>
      </c>
      <c r="K1020">
        <f>IF(F1020+I1020=0,"",J1020/(F1020+I1020))</f>
        <v/>
      </c>
      <c r="L1020">
        <f>IFERROR(IF($C1020="OB",INDEX(MASTER_JAM!$F$5:$F$94,MATCH($A1020,MASTER_JAM!$A$5:$A$94,0)),INDEX(MASTER_JAM!$G$5:$G$94,MATCH($A1020,MASTER_JAM!$A$5:$A$94,0)))+0,0)</f>
        <v/>
      </c>
      <c r="M1020">
        <f>J1020+(D1020+G1020)/1000+ROW()/1000000</f>
        <v/>
      </c>
      <c r="O1020">
        <f>SUMIFS(INPUT_DELAY!$E$5:$E$20000,INPUT_DELAY!$A$5:$A$20000,Kalkulasi!$B$987,INPUT_DELAY!$C$5:$C$20000,$A1020)</f>
        <v/>
      </c>
    </row>
    <row r="1021">
      <c r="A1021" t="inlineStr">
        <is>
          <t>EX-755</t>
        </is>
      </c>
      <c r="B1021">
        <f>IFERROR(INDEX(MASTER_JAM!$B$5:$B$94,MATCH($A1021,MASTER_JAM!$A$5:$A$94,0)),"")</f>
        <v/>
      </c>
      <c r="C1021">
        <f>IF(SUMIFS(INPUT_RITASE!$L$5:$L$20000,INPUT_RITASE!$A$5:$A$20000,Kalkulasi!$B$987,INPUT_RITASE!$C$5:$C$20000,$A1021,INPUT_RITASE!$N$5:$N$20000,"Coal")&gt;SUMIFS(INPUT_RITASE!$L$5:$L$20000,INPUT_RITASE!$A$5:$A$20000,Kalkulasi!$B$987,INPUT_RITASE!$C$5:$C$20000,$A1021,INPUT_RITASE!$N$5:$N$20000,"OB"),"Coal","OB")</f>
        <v/>
      </c>
      <c r="D1021">
        <f>SUMIFS(INPUT_RITASE!$F$5:$F$20000,INPUT_RITASE!$A$5:$A$20000,Kalkulasi!$B$987,INPUT_RITASE!$H$5:$H$20000,"DS",INPUT_RITASE!$C$5:$C$20000,$A1021)</f>
        <v/>
      </c>
      <c r="E1021">
        <f>SUMIFS(INPUT_RITASE!$L$5:$L$20000,INPUT_RITASE!$A$5:$A$20000,Kalkulasi!$B$987,INPUT_RITASE!$H$5:$H$20000,"DS",INPUT_RITASE!$C$5:$C$20000,$A1021,INPUT_RITASE!$N$5:$N$20000,$C1021)</f>
        <v/>
      </c>
      <c r="F1021">
        <f>IF(SUMIFS(INPUT_RITASE!$L$5:$L$20000,INPUT_RITASE!$A$5:$A$20000,Kalkulasi!$B$987,INPUT_RITASE!$B$5:$B$20000,"06-07",INPUT_RITASE!$C$5:$C$20000,$A1021,INPUT_RITASE!$N$5:$N$20000,$C1021)&gt;0,(60-MIN(60,SUMIFS(INPUT_DELAY!$E$5:$E$20000,INPUT_DELAY!$A$5:$A$20000,Kalkulasi!$B$987,INPUT_DELAY!$B$5:$B$20000,"06-07",INPUT_DELAY!$C$5:$C$20000,$A1021)+SUMIFS(INPUT_DELAY!$E$5:$E$20000,INPUT_DELAY!$A$5:$A$20000,Kalkulasi!$B$987,INPUT_DELAY!$B$5:$B$20000,"06-07",INPUT_DELAY!$C$5:$C$20000,"SEMUA")))/60,0)+IF(SUMIFS(INPUT_RITASE!$L$5:$L$20000,INPUT_RITASE!$A$5:$A$20000,Kalkulasi!$B$987,INPUT_RITASE!$B$5:$B$20000,"07-08",INPUT_RITASE!$C$5:$C$20000,$A1021,INPUT_RITASE!$N$5:$N$20000,$C1021)&gt;0,(60-MIN(60,SUMIFS(INPUT_DELAY!$E$5:$E$20000,INPUT_DELAY!$A$5:$A$20000,Kalkulasi!$B$987,INPUT_DELAY!$B$5:$B$20000,"07-08",INPUT_DELAY!$C$5:$C$20000,$A1021)+SUMIFS(INPUT_DELAY!$E$5:$E$20000,INPUT_DELAY!$A$5:$A$20000,Kalkulasi!$B$987,INPUT_DELAY!$B$5:$B$20000,"07-08",INPUT_DELAY!$C$5:$C$20000,"SEMUA")))/60,0)+IF(SUMIFS(INPUT_RITASE!$L$5:$L$20000,INPUT_RITASE!$A$5:$A$20000,Kalkulasi!$B$987,INPUT_RITASE!$B$5:$B$20000,"08-09",INPUT_RITASE!$C$5:$C$20000,$A1021,INPUT_RITASE!$N$5:$N$20000,$C1021)&gt;0,(60-MIN(60,SUMIFS(INPUT_DELAY!$E$5:$E$20000,INPUT_DELAY!$A$5:$A$20000,Kalkulasi!$B$987,INPUT_DELAY!$B$5:$B$20000,"08-09",INPUT_DELAY!$C$5:$C$20000,$A1021)+SUMIFS(INPUT_DELAY!$E$5:$E$20000,INPUT_DELAY!$A$5:$A$20000,Kalkulasi!$B$987,INPUT_DELAY!$B$5:$B$20000,"08-09",INPUT_DELAY!$C$5:$C$20000,"SEMUA")))/60,0)+IF(SUMIFS(INPUT_RITASE!$L$5:$L$20000,INPUT_RITASE!$A$5:$A$20000,Kalkulasi!$B$987,INPUT_RITASE!$B$5:$B$20000,"09-10",INPUT_RITASE!$C$5:$C$20000,$A1021,INPUT_RITASE!$N$5:$N$20000,$C1021)&gt;0,(60-MIN(60,SUMIFS(INPUT_DELAY!$E$5:$E$20000,INPUT_DELAY!$A$5:$A$20000,Kalkulasi!$B$987,INPUT_DELAY!$B$5:$B$20000,"09-10",INPUT_DELAY!$C$5:$C$20000,$A1021)+SUMIFS(INPUT_DELAY!$E$5:$E$20000,INPUT_DELAY!$A$5:$A$20000,Kalkulasi!$B$987,INPUT_DELAY!$B$5:$B$20000,"09-10",INPUT_DELAY!$C$5:$C$20000,"SEMUA")))/60,0)+IF(SUMIFS(INPUT_RITASE!$L$5:$L$20000,INPUT_RITASE!$A$5:$A$20000,Kalkulasi!$B$987,INPUT_RITASE!$B$5:$B$20000,"10-11",INPUT_RITASE!$C$5:$C$20000,$A1021,INPUT_RITASE!$N$5:$N$20000,$C1021)&gt;0,(60-MIN(60,SUMIFS(INPUT_DELAY!$E$5:$E$20000,INPUT_DELAY!$A$5:$A$20000,Kalkulasi!$B$987,INPUT_DELAY!$B$5:$B$20000,"10-11",INPUT_DELAY!$C$5:$C$20000,$A1021)+SUMIFS(INPUT_DELAY!$E$5:$E$20000,INPUT_DELAY!$A$5:$A$20000,Kalkulasi!$B$987,INPUT_DELAY!$B$5:$B$20000,"10-11",INPUT_DELAY!$C$5:$C$20000,"SEMUA")))/60,0)+IF(SUMIFS(INPUT_RITASE!$L$5:$L$20000,INPUT_RITASE!$A$5:$A$20000,Kalkulasi!$B$987,INPUT_RITASE!$B$5:$B$20000,"11-12",INPUT_RITASE!$C$5:$C$20000,$A1021,INPUT_RITASE!$N$5:$N$20000,$C1021)&gt;0,(60-MIN(60,SUMIFS(INPUT_DELAY!$E$5:$E$20000,INPUT_DELAY!$A$5:$A$20000,Kalkulasi!$B$987,INPUT_DELAY!$B$5:$B$20000,"11-12",INPUT_DELAY!$C$5:$C$20000,$A1021)+SUMIFS(INPUT_DELAY!$E$5:$E$20000,INPUT_DELAY!$A$5:$A$20000,Kalkulasi!$B$987,INPUT_DELAY!$B$5:$B$20000,"11-12",INPUT_DELAY!$C$5:$C$20000,"SEMUA")))/60,0)+IF(SUMIFS(INPUT_RITASE!$L$5:$L$20000,INPUT_RITASE!$A$5:$A$20000,Kalkulasi!$B$987,INPUT_RITASE!$B$5:$B$20000,"12-13",INPUT_RITASE!$C$5:$C$20000,$A1021,INPUT_RITASE!$N$5:$N$20000,$C1021)&gt;0,(60-MIN(60,SUMIFS(INPUT_DELAY!$E$5:$E$20000,INPUT_DELAY!$A$5:$A$20000,Kalkulasi!$B$987,INPUT_DELAY!$B$5:$B$20000,"12-13",INPUT_DELAY!$C$5:$C$20000,$A1021)+SUMIFS(INPUT_DELAY!$E$5:$E$20000,INPUT_DELAY!$A$5:$A$20000,Kalkulasi!$B$987,INPUT_DELAY!$B$5:$B$20000,"12-13",INPUT_DELAY!$C$5:$C$20000,"SEMUA")))/60,0)+IF(SUMIFS(INPUT_RITASE!$L$5:$L$20000,INPUT_RITASE!$A$5:$A$20000,Kalkulasi!$B$987,INPUT_RITASE!$B$5:$B$20000,"13-14",INPUT_RITASE!$C$5:$C$20000,$A1021,INPUT_RITASE!$N$5:$N$20000,$C1021)&gt;0,(60-MIN(60,SUMIFS(INPUT_DELAY!$E$5:$E$20000,INPUT_DELAY!$A$5:$A$20000,Kalkulasi!$B$987,INPUT_DELAY!$B$5:$B$20000,"13-14",INPUT_DELAY!$C$5:$C$20000,$A1021)+SUMIFS(INPUT_DELAY!$E$5:$E$20000,INPUT_DELAY!$A$5:$A$20000,Kalkulasi!$B$987,INPUT_DELAY!$B$5:$B$20000,"13-14",INPUT_DELAY!$C$5:$C$20000,"SEMUA")))/60,0)+IF(SUMIFS(INPUT_RITASE!$L$5:$L$20000,INPUT_RITASE!$A$5:$A$20000,Kalkulasi!$B$987,INPUT_RITASE!$B$5:$B$20000,"14-15",INPUT_RITASE!$C$5:$C$20000,$A1021,INPUT_RITASE!$N$5:$N$20000,$C1021)&gt;0,(60-MIN(60,SUMIFS(INPUT_DELAY!$E$5:$E$20000,INPUT_DELAY!$A$5:$A$20000,Kalkulasi!$B$987,INPUT_DELAY!$B$5:$B$20000,"14-15",INPUT_DELAY!$C$5:$C$20000,$A1021)+SUMIFS(INPUT_DELAY!$E$5:$E$20000,INPUT_DELAY!$A$5:$A$20000,Kalkulasi!$B$987,INPUT_DELAY!$B$5:$B$20000,"14-15",INPUT_DELAY!$C$5:$C$20000,"SEMUA")))/60,0)+IF(SUMIFS(INPUT_RITASE!$L$5:$L$20000,INPUT_RITASE!$A$5:$A$20000,Kalkulasi!$B$987,INPUT_RITASE!$B$5:$B$20000,"15-16",INPUT_RITASE!$C$5:$C$20000,$A1021,INPUT_RITASE!$N$5:$N$20000,$C1021)&gt;0,(60-MIN(60,SUMIFS(INPUT_DELAY!$E$5:$E$20000,INPUT_DELAY!$A$5:$A$20000,Kalkulasi!$B$987,INPUT_DELAY!$B$5:$B$20000,"15-16",INPUT_DELAY!$C$5:$C$20000,$A1021)+SUMIFS(INPUT_DELAY!$E$5:$E$20000,INPUT_DELAY!$A$5:$A$20000,Kalkulasi!$B$987,INPUT_DELAY!$B$5:$B$20000,"15-16",INPUT_DELAY!$C$5:$C$20000,"SEMUA")))/60,0)+IF(SUMIFS(INPUT_RITASE!$L$5:$L$20000,INPUT_RITASE!$A$5:$A$20000,Kalkulasi!$B$987,INPUT_RITASE!$B$5:$B$20000,"16-17",INPUT_RITASE!$C$5:$C$20000,$A1021,INPUT_RITASE!$N$5:$N$20000,$C1021)&gt;0,(60-MIN(60,SUMIFS(INPUT_DELAY!$E$5:$E$20000,INPUT_DELAY!$A$5:$A$20000,Kalkulasi!$B$987,INPUT_DELAY!$B$5:$B$20000,"16-17",INPUT_DELAY!$C$5:$C$20000,$A1021)+SUMIFS(INPUT_DELAY!$E$5:$E$20000,INPUT_DELAY!$A$5:$A$20000,Kalkulasi!$B$987,INPUT_DELAY!$B$5:$B$20000,"16-17",INPUT_DELAY!$C$5:$C$20000,"SEMUA")))/60,0)+IF(SUMIFS(INPUT_RITASE!$L$5:$L$20000,INPUT_RITASE!$A$5:$A$20000,Kalkulasi!$B$987,INPUT_RITASE!$B$5:$B$20000,"17-18",INPUT_RITASE!$C$5:$C$20000,$A1021,INPUT_RITASE!$N$5:$N$20000,$C1021)&gt;0,(60-MIN(60,SUMIFS(INPUT_DELAY!$E$5:$E$20000,INPUT_DELAY!$A$5:$A$20000,Kalkulasi!$B$987,INPUT_DELAY!$B$5:$B$20000,"17-18",INPUT_DELAY!$C$5:$C$20000,$A1021)+SUMIFS(INPUT_DELAY!$E$5:$E$20000,INPUT_DELAY!$A$5:$A$20000,Kalkulasi!$B$987,INPUT_DELAY!$B$5:$B$20000,"17-18",INPUT_DELAY!$C$5:$C$20000,"SEMUA")))/60,0)</f>
        <v/>
      </c>
      <c r="G1021">
        <f>SUMIFS(INPUT_RITASE!$F$5:$F$20000,INPUT_RITASE!$A$5:$A$20000,Kalkulasi!$B$987,INPUT_RITASE!$H$5:$H$20000,"NS",INPUT_RITASE!$C$5:$C$20000,$A1021)</f>
        <v/>
      </c>
      <c r="H1021">
        <f>SUMIFS(INPUT_RITASE!$L$5:$L$20000,INPUT_RITASE!$A$5:$A$20000,Kalkulasi!$B$987,INPUT_RITASE!$H$5:$H$20000,"NS",INPUT_RITASE!$C$5:$C$20000,$A1021,INPUT_RITASE!$N$5:$N$20000,$C1021)</f>
        <v/>
      </c>
      <c r="I1021">
        <f>IF(SUMIFS(INPUT_RITASE!$L$5:$L$20000,INPUT_RITASE!$A$5:$A$20000,Kalkulasi!$B$987,INPUT_RITASE!$B$5:$B$20000,"18-19",INPUT_RITASE!$C$5:$C$20000,$A1021,INPUT_RITASE!$N$5:$N$20000,$C1021)&gt;0,(60-MIN(60,SUMIFS(INPUT_DELAY!$E$5:$E$20000,INPUT_DELAY!$A$5:$A$20000,Kalkulasi!$B$987,INPUT_DELAY!$B$5:$B$20000,"18-19",INPUT_DELAY!$C$5:$C$20000,$A1021)+SUMIFS(INPUT_DELAY!$E$5:$E$20000,INPUT_DELAY!$A$5:$A$20000,Kalkulasi!$B$987,INPUT_DELAY!$B$5:$B$20000,"18-19",INPUT_DELAY!$C$5:$C$20000,"SEMUA")))/60,0)+IF(SUMIFS(INPUT_RITASE!$L$5:$L$20000,INPUT_RITASE!$A$5:$A$20000,Kalkulasi!$B$987,INPUT_RITASE!$B$5:$B$20000,"19-20",INPUT_RITASE!$C$5:$C$20000,$A1021,INPUT_RITASE!$N$5:$N$20000,$C1021)&gt;0,(60-MIN(60,SUMIFS(INPUT_DELAY!$E$5:$E$20000,INPUT_DELAY!$A$5:$A$20000,Kalkulasi!$B$987,INPUT_DELAY!$B$5:$B$20000,"19-20",INPUT_DELAY!$C$5:$C$20000,$A1021)+SUMIFS(INPUT_DELAY!$E$5:$E$20000,INPUT_DELAY!$A$5:$A$20000,Kalkulasi!$B$987,INPUT_DELAY!$B$5:$B$20000,"19-20",INPUT_DELAY!$C$5:$C$20000,"SEMUA")))/60,0)+IF(SUMIFS(INPUT_RITASE!$L$5:$L$20000,INPUT_RITASE!$A$5:$A$20000,Kalkulasi!$B$987,INPUT_RITASE!$B$5:$B$20000,"20-21",INPUT_RITASE!$C$5:$C$20000,$A1021,INPUT_RITASE!$N$5:$N$20000,$C1021)&gt;0,(60-MIN(60,SUMIFS(INPUT_DELAY!$E$5:$E$20000,INPUT_DELAY!$A$5:$A$20000,Kalkulasi!$B$987,INPUT_DELAY!$B$5:$B$20000,"20-21",INPUT_DELAY!$C$5:$C$20000,$A1021)+SUMIFS(INPUT_DELAY!$E$5:$E$20000,INPUT_DELAY!$A$5:$A$20000,Kalkulasi!$B$987,INPUT_DELAY!$B$5:$B$20000,"20-21",INPUT_DELAY!$C$5:$C$20000,"SEMUA")))/60,0)+IF(SUMIFS(INPUT_RITASE!$L$5:$L$20000,INPUT_RITASE!$A$5:$A$20000,Kalkulasi!$B$987,INPUT_RITASE!$B$5:$B$20000,"21-22",INPUT_RITASE!$C$5:$C$20000,$A1021,INPUT_RITASE!$N$5:$N$20000,$C1021)&gt;0,(60-MIN(60,SUMIFS(INPUT_DELAY!$E$5:$E$20000,INPUT_DELAY!$A$5:$A$20000,Kalkulasi!$B$987,INPUT_DELAY!$B$5:$B$20000,"21-22",INPUT_DELAY!$C$5:$C$20000,$A1021)+SUMIFS(INPUT_DELAY!$E$5:$E$20000,INPUT_DELAY!$A$5:$A$20000,Kalkulasi!$B$987,INPUT_DELAY!$B$5:$B$20000,"21-22",INPUT_DELAY!$C$5:$C$20000,"SEMUA")))/60,0)+IF(SUMIFS(INPUT_RITASE!$L$5:$L$20000,INPUT_RITASE!$A$5:$A$20000,Kalkulasi!$B$987,INPUT_RITASE!$B$5:$B$20000,"22-23",INPUT_RITASE!$C$5:$C$20000,$A1021,INPUT_RITASE!$N$5:$N$20000,$C1021)&gt;0,(60-MIN(60,SUMIFS(INPUT_DELAY!$E$5:$E$20000,INPUT_DELAY!$A$5:$A$20000,Kalkulasi!$B$987,INPUT_DELAY!$B$5:$B$20000,"22-23",INPUT_DELAY!$C$5:$C$20000,$A1021)+SUMIFS(INPUT_DELAY!$E$5:$E$20000,INPUT_DELAY!$A$5:$A$20000,Kalkulasi!$B$987,INPUT_DELAY!$B$5:$B$20000,"22-23",INPUT_DELAY!$C$5:$C$20000,"SEMUA")))/60,0)+IF(SUMIFS(INPUT_RITASE!$L$5:$L$20000,INPUT_RITASE!$A$5:$A$20000,Kalkulasi!$B$987,INPUT_RITASE!$B$5:$B$20000,"23-24",INPUT_RITASE!$C$5:$C$20000,$A1021,INPUT_RITASE!$N$5:$N$20000,$C1021)&gt;0,(60-MIN(60,SUMIFS(INPUT_DELAY!$E$5:$E$20000,INPUT_DELAY!$A$5:$A$20000,Kalkulasi!$B$987,INPUT_DELAY!$B$5:$B$20000,"23-24",INPUT_DELAY!$C$5:$C$20000,$A1021)+SUMIFS(INPUT_DELAY!$E$5:$E$20000,INPUT_DELAY!$A$5:$A$20000,Kalkulasi!$B$987,INPUT_DELAY!$B$5:$B$20000,"23-24",INPUT_DELAY!$C$5:$C$20000,"SEMUA")))/60,0)+IF(SUMIFS(INPUT_RITASE!$L$5:$L$20000,INPUT_RITASE!$A$5:$A$20000,Kalkulasi!$B$987,INPUT_RITASE!$B$5:$B$20000,"00-01",INPUT_RITASE!$C$5:$C$20000,$A1021,INPUT_RITASE!$N$5:$N$20000,$C1021)&gt;0,(60-MIN(60,SUMIFS(INPUT_DELAY!$E$5:$E$20000,INPUT_DELAY!$A$5:$A$20000,Kalkulasi!$B$987,INPUT_DELAY!$B$5:$B$20000,"00-01",INPUT_DELAY!$C$5:$C$20000,$A1021)+SUMIFS(INPUT_DELAY!$E$5:$E$20000,INPUT_DELAY!$A$5:$A$20000,Kalkulasi!$B$987,INPUT_DELAY!$B$5:$B$20000,"00-01",INPUT_DELAY!$C$5:$C$20000,"SEMUA")))/60,0)+IF(SUMIFS(INPUT_RITASE!$L$5:$L$20000,INPUT_RITASE!$A$5:$A$20000,Kalkulasi!$B$987,INPUT_RITASE!$B$5:$B$20000,"01-02",INPUT_RITASE!$C$5:$C$20000,$A1021,INPUT_RITASE!$N$5:$N$20000,$C1021)&gt;0,(60-MIN(60,SUMIFS(INPUT_DELAY!$E$5:$E$20000,INPUT_DELAY!$A$5:$A$20000,Kalkulasi!$B$987,INPUT_DELAY!$B$5:$B$20000,"01-02",INPUT_DELAY!$C$5:$C$20000,$A1021)+SUMIFS(INPUT_DELAY!$E$5:$E$20000,INPUT_DELAY!$A$5:$A$20000,Kalkulasi!$B$987,INPUT_DELAY!$B$5:$B$20000,"01-02",INPUT_DELAY!$C$5:$C$20000,"SEMUA")))/60,0)+IF(SUMIFS(INPUT_RITASE!$L$5:$L$20000,INPUT_RITASE!$A$5:$A$20000,Kalkulasi!$B$987,INPUT_RITASE!$B$5:$B$20000,"02-03",INPUT_RITASE!$C$5:$C$20000,$A1021,INPUT_RITASE!$N$5:$N$20000,$C1021)&gt;0,(60-MIN(60,SUMIFS(INPUT_DELAY!$E$5:$E$20000,INPUT_DELAY!$A$5:$A$20000,Kalkulasi!$B$987,INPUT_DELAY!$B$5:$B$20000,"02-03",INPUT_DELAY!$C$5:$C$20000,$A1021)+SUMIFS(INPUT_DELAY!$E$5:$E$20000,INPUT_DELAY!$A$5:$A$20000,Kalkulasi!$B$987,INPUT_DELAY!$B$5:$B$20000,"02-03",INPUT_DELAY!$C$5:$C$20000,"SEMUA")))/60,0)+IF(SUMIFS(INPUT_RITASE!$L$5:$L$20000,INPUT_RITASE!$A$5:$A$20000,Kalkulasi!$B$987,INPUT_RITASE!$B$5:$B$20000,"03-04",INPUT_RITASE!$C$5:$C$20000,$A1021,INPUT_RITASE!$N$5:$N$20000,$C1021)&gt;0,(60-MIN(60,SUMIFS(INPUT_DELAY!$E$5:$E$20000,INPUT_DELAY!$A$5:$A$20000,Kalkulasi!$B$987,INPUT_DELAY!$B$5:$B$20000,"03-04",INPUT_DELAY!$C$5:$C$20000,$A1021)+SUMIFS(INPUT_DELAY!$E$5:$E$20000,INPUT_DELAY!$A$5:$A$20000,Kalkulasi!$B$987,INPUT_DELAY!$B$5:$B$20000,"03-04",INPUT_DELAY!$C$5:$C$20000,"SEMUA")))/60,0)+IF(SUMIFS(INPUT_RITASE!$L$5:$L$20000,INPUT_RITASE!$A$5:$A$20000,Kalkulasi!$B$987,INPUT_RITASE!$B$5:$B$20000,"04-05",INPUT_RITASE!$C$5:$C$20000,$A1021,INPUT_RITASE!$N$5:$N$20000,$C1021)&gt;0,(60-MIN(60,SUMIFS(INPUT_DELAY!$E$5:$E$20000,INPUT_DELAY!$A$5:$A$20000,Kalkulasi!$B$987,INPUT_DELAY!$B$5:$B$20000,"04-05",INPUT_DELAY!$C$5:$C$20000,$A1021)+SUMIFS(INPUT_DELAY!$E$5:$E$20000,INPUT_DELAY!$A$5:$A$20000,Kalkulasi!$B$987,INPUT_DELAY!$B$5:$B$20000,"04-05",INPUT_DELAY!$C$5:$C$20000,"SEMUA")))/60,0)+IF(SUMIFS(INPUT_RITASE!$L$5:$L$20000,INPUT_RITASE!$A$5:$A$20000,Kalkulasi!$B$987,INPUT_RITASE!$B$5:$B$20000,"05-06",INPUT_RITASE!$C$5:$C$20000,$A1021,INPUT_RITASE!$N$5:$N$20000,$C1021)&gt;0,(60-MIN(60,SUMIFS(INPUT_DELAY!$E$5:$E$20000,INPUT_DELAY!$A$5:$A$20000,Kalkulasi!$B$987,INPUT_DELAY!$B$5:$B$20000,"05-06",INPUT_DELAY!$C$5:$C$20000,$A1021)+SUMIFS(INPUT_DELAY!$E$5:$E$20000,INPUT_DELAY!$A$5:$A$20000,Kalkulasi!$B$987,INPUT_DELAY!$B$5:$B$20000,"05-06",INPUT_DELAY!$C$5:$C$20000,"SEMUA")))/60,0)</f>
        <v/>
      </c>
      <c r="J1021">
        <f>E1021+H1021</f>
        <v/>
      </c>
      <c r="K1021">
        <f>IF(F1021+I1021=0,"",J1021/(F1021+I1021))</f>
        <v/>
      </c>
      <c r="L1021">
        <f>IFERROR(IF($C1021="OB",INDEX(MASTER_JAM!$F$5:$F$94,MATCH($A1021,MASTER_JAM!$A$5:$A$94,0)),INDEX(MASTER_JAM!$G$5:$G$94,MATCH($A1021,MASTER_JAM!$A$5:$A$94,0)))+0,0)</f>
        <v/>
      </c>
      <c r="M1021">
        <f>J1021+(D1021+G1021)/1000+ROW()/1000000</f>
        <v/>
      </c>
      <c r="O1021">
        <f>SUMIFS(INPUT_DELAY!$E$5:$E$20000,INPUT_DELAY!$A$5:$A$20000,Kalkulasi!$B$987,INPUT_DELAY!$C$5:$C$20000,$A1021)</f>
        <v/>
      </c>
    </row>
    <row r="1022">
      <c r="A1022" t="inlineStr">
        <is>
          <t>EX-2101</t>
        </is>
      </c>
      <c r="B1022">
        <f>IFERROR(INDEX(MASTER_JAM!$B$5:$B$94,MATCH($A1022,MASTER_JAM!$A$5:$A$94,0)),"")</f>
        <v/>
      </c>
      <c r="C1022">
        <f>IF(SUMIFS(INPUT_RITASE!$L$5:$L$20000,INPUT_RITASE!$A$5:$A$20000,Kalkulasi!$B$987,INPUT_RITASE!$C$5:$C$20000,$A1022,INPUT_RITASE!$N$5:$N$20000,"Coal")&gt;SUMIFS(INPUT_RITASE!$L$5:$L$20000,INPUT_RITASE!$A$5:$A$20000,Kalkulasi!$B$987,INPUT_RITASE!$C$5:$C$20000,$A1022,INPUT_RITASE!$N$5:$N$20000,"OB"),"Coal","OB")</f>
        <v/>
      </c>
      <c r="D1022">
        <f>SUMIFS(INPUT_RITASE!$F$5:$F$20000,INPUT_RITASE!$A$5:$A$20000,Kalkulasi!$B$987,INPUT_RITASE!$H$5:$H$20000,"DS",INPUT_RITASE!$C$5:$C$20000,$A1022)</f>
        <v/>
      </c>
      <c r="E1022">
        <f>SUMIFS(INPUT_RITASE!$L$5:$L$20000,INPUT_RITASE!$A$5:$A$20000,Kalkulasi!$B$987,INPUT_RITASE!$H$5:$H$20000,"DS",INPUT_RITASE!$C$5:$C$20000,$A1022,INPUT_RITASE!$N$5:$N$20000,$C1022)</f>
        <v/>
      </c>
      <c r="F1022">
        <f>IF(SUMIFS(INPUT_RITASE!$L$5:$L$20000,INPUT_RITASE!$A$5:$A$20000,Kalkulasi!$B$987,INPUT_RITASE!$B$5:$B$20000,"06-07",INPUT_RITASE!$C$5:$C$20000,$A1022,INPUT_RITASE!$N$5:$N$20000,$C1022)&gt;0,(60-MIN(60,SUMIFS(INPUT_DELAY!$E$5:$E$20000,INPUT_DELAY!$A$5:$A$20000,Kalkulasi!$B$987,INPUT_DELAY!$B$5:$B$20000,"06-07",INPUT_DELAY!$C$5:$C$20000,$A1022)+SUMIFS(INPUT_DELAY!$E$5:$E$20000,INPUT_DELAY!$A$5:$A$20000,Kalkulasi!$B$987,INPUT_DELAY!$B$5:$B$20000,"06-07",INPUT_DELAY!$C$5:$C$20000,"SEMUA")))/60,0)+IF(SUMIFS(INPUT_RITASE!$L$5:$L$20000,INPUT_RITASE!$A$5:$A$20000,Kalkulasi!$B$987,INPUT_RITASE!$B$5:$B$20000,"07-08",INPUT_RITASE!$C$5:$C$20000,$A1022,INPUT_RITASE!$N$5:$N$20000,$C1022)&gt;0,(60-MIN(60,SUMIFS(INPUT_DELAY!$E$5:$E$20000,INPUT_DELAY!$A$5:$A$20000,Kalkulasi!$B$987,INPUT_DELAY!$B$5:$B$20000,"07-08",INPUT_DELAY!$C$5:$C$20000,$A1022)+SUMIFS(INPUT_DELAY!$E$5:$E$20000,INPUT_DELAY!$A$5:$A$20000,Kalkulasi!$B$987,INPUT_DELAY!$B$5:$B$20000,"07-08",INPUT_DELAY!$C$5:$C$20000,"SEMUA")))/60,0)+IF(SUMIFS(INPUT_RITASE!$L$5:$L$20000,INPUT_RITASE!$A$5:$A$20000,Kalkulasi!$B$987,INPUT_RITASE!$B$5:$B$20000,"08-09",INPUT_RITASE!$C$5:$C$20000,$A1022,INPUT_RITASE!$N$5:$N$20000,$C1022)&gt;0,(60-MIN(60,SUMIFS(INPUT_DELAY!$E$5:$E$20000,INPUT_DELAY!$A$5:$A$20000,Kalkulasi!$B$987,INPUT_DELAY!$B$5:$B$20000,"08-09",INPUT_DELAY!$C$5:$C$20000,$A1022)+SUMIFS(INPUT_DELAY!$E$5:$E$20000,INPUT_DELAY!$A$5:$A$20000,Kalkulasi!$B$987,INPUT_DELAY!$B$5:$B$20000,"08-09",INPUT_DELAY!$C$5:$C$20000,"SEMUA")))/60,0)+IF(SUMIFS(INPUT_RITASE!$L$5:$L$20000,INPUT_RITASE!$A$5:$A$20000,Kalkulasi!$B$987,INPUT_RITASE!$B$5:$B$20000,"09-10",INPUT_RITASE!$C$5:$C$20000,$A1022,INPUT_RITASE!$N$5:$N$20000,$C1022)&gt;0,(60-MIN(60,SUMIFS(INPUT_DELAY!$E$5:$E$20000,INPUT_DELAY!$A$5:$A$20000,Kalkulasi!$B$987,INPUT_DELAY!$B$5:$B$20000,"09-10",INPUT_DELAY!$C$5:$C$20000,$A1022)+SUMIFS(INPUT_DELAY!$E$5:$E$20000,INPUT_DELAY!$A$5:$A$20000,Kalkulasi!$B$987,INPUT_DELAY!$B$5:$B$20000,"09-10",INPUT_DELAY!$C$5:$C$20000,"SEMUA")))/60,0)+IF(SUMIFS(INPUT_RITASE!$L$5:$L$20000,INPUT_RITASE!$A$5:$A$20000,Kalkulasi!$B$987,INPUT_RITASE!$B$5:$B$20000,"10-11",INPUT_RITASE!$C$5:$C$20000,$A1022,INPUT_RITASE!$N$5:$N$20000,$C1022)&gt;0,(60-MIN(60,SUMIFS(INPUT_DELAY!$E$5:$E$20000,INPUT_DELAY!$A$5:$A$20000,Kalkulasi!$B$987,INPUT_DELAY!$B$5:$B$20000,"10-11",INPUT_DELAY!$C$5:$C$20000,$A1022)+SUMIFS(INPUT_DELAY!$E$5:$E$20000,INPUT_DELAY!$A$5:$A$20000,Kalkulasi!$B$987,INPUT_DELAY!$B$5:$B$20000,"10-11",INPUT_DELAY!$C$5:$C$20000,"SEMUA")))/60,0)+IF(SUMIFS(INPUT_RITASE!$L$5:$L$20000,INPUT_RITASE!$A$5:$A$20000,Kalkulasi!$B$987,INPUT_RITASE!$B$5:$B$20000,"11-12",INPUT_RITASE!$C$5:$C$20000,$A1022,INPUT_RITASE!$N$5:$N$20000,$C1022)&gt;0,(60-MIN(60,SUMIFS(INPUT_DELAY!$E$5:$E$20000,INPUT_DELAY!$A$5:$A$20000,Kalkulasi!$B$987,INPUT_DELAY!$B$5:$B$20000,"11-12",INPUT_DELAY!$C$5:$C$20000,$A1022)+SUMIFS(INPUT_DELAY!$E$5:$E$20000,INPUT_DELAY!$A$5:$A$20000,Kalkulasi!$B$987,INPUT_DELAY!$B$5:$B$20000,"11-12",INPUT_DELAY!$C$5:$C$20000,"SEMUA")))/60,0)+IF(SUMIFS(INPUT_RITASE!$L$5:$L$20000,INPUT_RITASE!$A$5:$A$20000,Kalkulasi!$B$987,INPUT_RITASE!$B$5:$B$20000,"12-13",INPUT_RITASE!$C$5:$C$20000,$A1022,INPUT_RITASE!$N$5:$N$20000,$C1022)&gt;0,(60-MIN(60,SUMIFS(INPUT_DELAY!$E$5:$E$20000,INPUT_DELAY!$A$5:$A$20000,Kalkulasi!$B$987,INPUT_DELAY!$B$5:$B$20000,"12-13",INPUT_DELAY!$C$5:$C$20000,$A1022)+SUMIFS(INPUT_DELAY!$E$5:$E$20000,INPUT_DELAY!$A$5:$A$20000,Kalkulasi!$B$987,INPUT_DELAY!$B$5:$B$20000,"12-13",INPUT_DELAY!$C$5:$C$20000,"SEMUA")))/60,0)+IF(SUMIFS(INPUT_RITASE!$L$5:$L$20000,INPUT_RITASE!$A$5:$A$20000,Kalkulasi!$B$987,INPUT_RITASE!$B$5:$B$20000,"13-14",INPUT_RITASE!$C$5:$C$20000,$A1022,INPUT_RITASE!$N$5:$N$20000,$C1022)&gt;0,(60-MIN(60,SUMIFS(INPUT_DELAY!$E$5:$E$20000,INPUT_DELAY!$A$5:$A$20000,Kalkulasi!$B$987,INPUT_DELAY!$B$5:$B$20000,"13-14",INPUT_DELAY!$C$5:$C$20000,$A1022)+SUMIFS(INPUT_DELAY!$E$5:$E$20000,INPUT_DELAY!$A$5:$A$20000,Kalkulasi!$B$987,INPUT_DELAY!$B$5:$B$20000,"13-14",INPUT_DELAY!$C$5:$C$20000,"SEMUA")))/60,0)+IF(SUMIFS(INPUT_RITASE!$L$5:$L$20000,INPUT_RITASE!$A$5:$A$20000,Kalkulasi!$B$987,INPUT_RITASE!$B$5:$B$20000,"14-15",INPUT_RITASE!$C$5:$C$20000,$A1022,INPUT_RITASE!$N$5:$N$20000,$C1022)&gt;0,(60-MIN(60,SUMIFS(INPUT_DELAY!$E$5:$E$20000,INPUT_DELAY!$A$5:$A$20000,Kalkulasi!$B$987,INPUT_DELAY!$B$5:$B$20000,"14-15",INPUT_DELAY!$C$5:$C$20000,$A1022)+SUMIFS(INPUT_DELAY!$E$5:$E$20000,INPUT_DELAY!$A$5:$A$20000,Kalkulasi!$B$987,INPUT_DELAY!$B$5:$B$20000,"14-15",INPUT_DELAY!$C$5:$C$20000,"SEMUA")))/60,0)+IF(SUMIFS(INPUT_RITASE!$L$5:$L$20000,INPUT_RITASE!$A$5:$A$20000,Kalkulasi!$B$987,INPUT_RITASE!$B$5:$B$20000,"15-16",INPUT_RITASE!$C$5:$C$20000,$A1022,INPUT_RITASE!$N$5:$N$20000,$C1022)&gt;0,(60-MIN(60,SUMIFS(INPUT_DELAY!$E$5:$E$20000,INPUT_DELAY!$A$5:$A$20000,Kalkulasi!$B$987,INPUT_DELAY!$B$5:$B$20000,"15-16",INPUT_DELAY!$C$5:$C$20000,$A1022)+SUMIFS(INPUT_DELAY!$E$5:$E$20000,INPUT_DELAY!$A$5:$A$20000,Kalkulasi!$B$987,INPUT_DELAY!$B$5:$B$20000,"15-16",INPUT_DELAY!$C$5:$C$20000,"SEMUA")))/60,0)+IF(SUMIFS(INPUT_RITASE!$L$5:$L$20000,INPUT_RITASE!$A$5:$A$20000,Kalkulasi!$B$987,INPUT_RITASE!$B$5:$B$20000,"16-17",INPUT_RITASE!$C$5:$C$20000,$A1022,INPUT_RITASE!$N$5:$N$20000,$C1022)&gt;0,(60-MIN(60,SUMIFS(INPUT_DELAY!$E$5:$E$20000,INPUT_DELAY!$A$5:$A$20000,Kalkulasi!$B$987,INPUT_DELAY!$B$5:$B$20000,"16-17",INPUT_DELAY!$C$5:$C$20000,$A1022)+SUMIFS(INPUT_DELAY!$E$5:$E$20000,INPUT_DELAY!$A$5:$A$20000,Kalkulasi!$B$987,INPUT_DELAY!$B$5:$B$20000,"16-17",INPUT_DELAY!$C$5:$C$20000,"SEMUA")))/60,0)+IF(SUMIFS(INPUT_RITASE!$L$5:$L$20000,INPUT_RITASE!$A$5:$A$20000,Kalkulasi!$B$987,INPUT_RITASE!$B$5:$B$20000,"17-18",INPUT_RITASE!$C$5:$C$20000,$A1022,INPUT_RITASE!$N$5:$N$20000,$C1022)&gt;0,(60-MIN(60,SUMIFS(INPUT_DELAY!$E$5:$E$20000,INPUT_DELAY!$A$5:$A$20000,Kalkulasi!$B$987,INPUT_DELAY!$B$5:$B$20000,"17-18",INPUT_DELAY!$C$5:$C$20000,$A1022)+SUMIFS(INPUT_DELAY!$E$5:$E$20000,INPUT_DELAY!$A$5:$A$20000,Kalkulasi!$B$987,INPUT_DELAY!$B$5:$B$20000,"17-18",INPUT_DELAY!$C$5:$C$20000,"SEMUA")))/60,0)</f>
        <v/>
      </c>
      <c r="G1022">
        <f>SUMIFS(INPUT_RITASE!$F$5:$F$20000,INPUT_RITASE!$A$5:$A$20000,Kalkulasi!$B$987,INPUT_RITASE!$H$5:$H$20000,"NS",INPUT_RITASE!$C$5:$C$20000,$A1022)</f>
        <v/>
      </c>
      <c r="H1022">
        <f>SUMIFS(INPUT_RITASE!$L$5:$L$20000,INPUT_RITASE!$A$5:$A$20000,Kalkulasi!$B$987,INPUT_RITASE!$H$5:$H$20000,"NS",INPUT_RITASE!$C$5:$C$20000,$A1022,INPUT_RITASE!$N$5:$N$20000,$C1022)</f>
        <v/>
      </c>
      <c r="I1022">
        <f>IF(SUMIFS(INPUT_RITASE!$L$5:$L$20000,INPUT_RITASE!$A$5:$A$20000,Kalkulasi!$B$987,INPUT_RITASE!$B$5:$B$20000,"18-19",INPUT_RITASE!$C$5:$C$20000,$A1022,INPUT_RITASE!$N$5:$N$20000,$C1022)&gt;0,(60-MIN(60,SUMIFS(INPUT_DELAY!$E$5:$E$20000,INPUT_DELAY!$A$5:$A$20000,Kalkulasi!$B$987,INPUT_DELAY!$B$5:$B$20000,"18-19",INPUT_DELAY!$C$5:$C$20000,$A1022)+SUMIFS(INPUT_DELAY!$E$5:$E$20000,INPUT_DELAY!$A$5:$A$20000,Kalkulasi!$B$987,INPUT_DELAY!$B$5:$B$20000,"18-19",INPUT_DELAY!$C$5:$C$20000,"SEMUA")))/60,0)+IF(SUMIFS(INPUT_RITASE!$L$5:$L$20000,INPUT_RITASE!$A$5:$A$20000,Kalkulasi!$B$987,INPUT_RITASE!$B$5:$B$20000,"19-20",INPUT_RITASE!$C$5:$C$20000,$A1022,INPUT_RITASE!$N$5:$N$20000,$C1022)&gt;0,(60-MIN(60,SUMIFS(INPUT_DELAY!$E$5:$E$20000,INPUT_DELAY!$A$5:$A$20000,Kalkulasi!$B$987,INPUT_DELAY!$B$5:$B$20000,"19-20",INPUT_DELAY!$C$5:$C$20000,$A1022)+SUMIFS(INPUT_DELAY!$E$5:$E$20000,INPUT_DELAY!$A$5:$A$20000,Kalkulasi!$B$987,INPUT_DELAY!$B$5:$B$20000,"19-20",INPUT_DELAY!$C$5:$C$20000,"SEMUA")))/60,0)+IF(SUMIFS(INPUT_RITASE!$L$5:$L$20000,INPUT_RITASE!$A$5:$A$20000,Kalkulasi!$B$987,INPUT_RITASE!$B$5:$B$20000,"20-21",INPUT_RITASE!$C$5:$C$20000,$A1022,INPUT_RITASE!$N$5:$N$20000,$C1022)&gt;0,(60-MIN(60,SUMIFS(INPUT_DELAY!$E$5:$E$20000,INPUT_DELAY!$A$5:$A$20000,Kalkulasi!$B$987,INPUT_DELAY!$B$5:$B$20000,"20-21",INPUT_DELAY!$C$5:$C$20000,$A1022)+SUMIFS(INPUT_DELAY!$E$5:$E$20000,INPUT_DELAY!$A$5:$A$20000,Kalkulasi!$B$987,INPUT_DELAY!$B$5:$B$20000,"20-21",INPUT_DELAY!$C$5:$C$20000,"SEMUA")))/60,0)+IF(SUMIFS(INPUT_RITASE!$L$5:$L$20000,INPUT_RITASE!$A$5:$A$20000,Kalkulasi!$B$987,INPUT_RITASE!$B$5:$B$20000,"21-22",INPUT_RITASE!$C$5:$C$20000,$A1022,INPUT_RITASE!$N$5:$N$20000,$C1022)&gt;0,(60-MIN(60,SUMIFS(INPUT_DELAY!$E$5:$E$20000,INPUT_DELAY!$A$5:$A$20000,Kalkulasi!$B$987,INPUT_DELAY!$B$5:$B$20000,"21-22",INPUT_DELAY!$C$5:$C$20000,$A1022)+SUMIFS(INPUT_DELAY!$E$5:$E$20000,INPUT_DELAY!$A$5:$A$20000,Kalkulasi!$B$987,INPUT_DELAY!$B$5:$B$20000,"21-22",INPUT_DELAY!$C$5:$C$20000,"SEMUA")))/60,0)+IF(SUMIFS(INPUT_RITASE!$L$5:$L$20000,INPUT_RITASE!$A$5:$A$20000,Kalkulasi!$B$987,INPUT_RITASE!$B$5:$B$20000,"22-23",INPUT_RITASE!$C$5:$C$20000,$A1022,INPUT_RITASE!$N$5:$N$20000,$C1022)&gt;0,(60-MIN(60,SUMIFS(INPUT_DELAY!$E$5:$E$20000,INPUT_DELAY!$A$5:$A$20000,Kalkulasi!$B$987,INPUT_DELAY!$B$5:$B$20000,"22-23",INPUT_DELAY!$C$5:$C$20000,$A1022)+SUMIFS(INPUT_DELAY!$E$5:$E$20000,INPUT_DELAY!$A$5:$A$20000,Kalkulasi!$B$987,INPUT_DELAY!$B$5:$B$20000,"22-23",INPUT_DELAY!$C$5:$C$20000,"SEMUA")))/60,0)+IF(SUMIFS(INPUT_RITASE!$L$5:$L$20000,INPUT_RITASE!$A$5:$A$20000,Kalkulasi!$B$987,INPUT_RITASE!$B$5:$B$20000,"23-24",INPUT_RITASE!$C$5:$C$20000,$A1022,INPUT_RITASE!$N$5:$N$20000,$C1022)&gt;0,(60-MIN(60,SUMIFS(INPUT_DELAY!$E$5:$E$20000,INPUT_DELAY!$A$5:$A$20000,Kalkulasi!$B$987,INPUT_DELAY!$B$5:$B$20000,"23-24",INPUT_DELAY!$C$5:$C$20000,$A1022)+SUMIFS(INPUT_DELAY!$E$5:$E$20000,INPUT_DELAY!$A$5:$A$20000,Kalkulasi!$B$987,INPUT_DELAY!$B$5:$B$20000,"23-24",INPUT_DELAY!$C$5:$C$20000,"SEMUA")))/60,0)+IF(SUMIFS(INPUT_RITASE!$L$5:$L$20000,INPUT_RITASE!$A$5:$A$20000,Kalkulasi!$B$987,INPUT_RITASE!$B$5:$B$20000,"00-01",INPUT_RITASE!$C$5:$C$20000,$A1022,INPUT_RITASE!$N$5:$N$20000,$C1022)&gt;0,(60-MIN(60,SUMIFS(INPUT_DELAY!$E$5:$E$20000,INPUT_DELAY!$A$5:$A$20000,Kalkulasi!$B$987,INPUT_DELAY!$B$5:$B$20000,"00-01",INPUT_DELAY!$C$5:$C$20000,$A1022)+SUMIFS(INPUT_DELAY!$E$5:$E$20000,INPUT_DELAY!$A$5:$A$20000,Kalkulasi!$B$987,INPUT_DELAY!$B$5:$B$20000,"00-01",INPUT_DELAY!$C$5:$C$20000,"SEMUA")))/60,0)+IF(SUMIFS(INPUT_RITASE!$L$5:$L$20000,INPUT_RITASE!$A$5:$A$20000,Kalkulasi!$B$987,INPUT_RITASE!$B$5:$B$20000,"01-02",INPUT_RITASE!$C$5:$C$20000,$A1022,INPUT_RITASE!$N$5:$N$20000,$C1022)&gt;0,(60-MIN(60,SUMIFS(INPUT_DELAY!$E$5:$E$20000,INPUT_DELAY!$A$5:$A$20000,Kalkulasi!$B$987,INPUT_DELAY!$B$5:$B$20000,"01-02",INPUT_DELAY!$C$5:$C$20000,$A1022)+SUMIFS(INPUT_DELAY!$E$5:$E$20000,INPUT_DELAY!$A$5:$A$20000,Kalkulasi!$B$987,INPUT_DELAY!$B$5:$B$20000,"01-02",INPUT_DELAY!$C$5:$C$20000,"SEMUA")))/60,0)+IF(SUMIFS(INPUT_RITASE!$L$5:$L$20000,INPUT_RITASE!$A$5:$A$20000,Kalkulasi!$B$987,INPUT_RITASE!$B$5:$B$20000,"02-03",INPUT_RITASE!$C$5:$C$20000,$A1022,INPUT_RITASE!$N$5:$N$20000,$C1022)&gt;0,(60-MIN(60,SUMIFS(INPUT_DELAY!$E$5:$E$20000,INPUT_DELAY!$A$5:$A$20000,Kalkulasi!$B$987,INPUT_DELAY!$B$5:$B$20000,"02-03",INPUT_DELAY!$C$5:$C$20000,$A1022)+SUMIFS(INPUT_DELAY!$E$5:$E$20000,INPUT_DELAY!$A$5:$A$20000,Kalkulasi!$B$987,INPUT_DELAY!$B$5:$B$20000,"02-03",INPUT_DELAY!$C$5:$C$20000,"SEMUA")))/60,0)+IF(SUMIFS(INPUT_RITASE!$L$5:$L$20000,INPUT_RITASE!$A$5:$A$20000,Kalkulasi!$B$987,INPUT_RITASE!$B$5:$B$20000,"03-04",INPUT_RITASE!$C$5:$C$20000,$A1022,INPUT_RITASE!$N$5:$N$20000,$C1022)&gt;0,(60-MIN(60,SUMIFS(INPUT_DELAY!$E$5:$E$20000,INPUT_DELAY!$A$5:$A$20000,Kalkulasi!$B$987,INPUT_DELAY!$B$5:$B$20000,"03-04",INPUT_DELAY!$C$5:$C$20000,$A1022)+SUMIFS(INPUT_DELAY!$E$5:$E$20000,INPUT_DELAY!$A$5:$A$20000,Kalkulasi!$B$987,INPUT_DELAY!$B$5:$B$20000,"03-04",INPUT_DELAY!$C$5:$C$20000,"SEMUA")))/60,0)+IF(SUMIFS(INPUT_RITASE!$L$5:$L$20000,INPUT_RITASE!$A$5:$A$20000,Kalkulasi!$B$987,INPUT_RITASE!$B$5:$B$20000,"04-05",INPUT_RITASE!$C$5:$C$20000,$A1022,INPUT_RITASE!$N$5:$N$20000,$C1022)&gt;0,(60-MIN(60,SUMIFS(INPUT_DELAY!$E$5:$E$20000,INPUT_DELAY!$A$5:$A$20000,Kalkulasi!$B$987,INPUT_DELAY!$B$5:$B$20000,"04-05",INPUT_DELAY!$C$5:$C$20000,$A1022)+SUMIFS(INPUT_DELAY!$E$5:$E$20000,INPUT_DELAY!$A$5:$A$20000,Kalkulasi!$B$987,INPUT_DELAY!$B$5:$B$20000,"04-05",INPUT_DELAY!$C$5:$C$20000,"SEMUA")))/60,0)+IF(SUMIFS(INPUT_RITASE!$L$5:$L$20000,INPUT_RITASE!$A$5:$A$20000,Kalkulasi!$B$987,INPUT_RITASE!$B$5:$B$20000,"05-06",INPUT_RITASE!$C$5:$C$20000,$A1022,INPUT_RITASE!$N$5:$N$20000,$C1022)&gt;0,(60-MIN(60,SUMIFS(INPUT_DELAY!$E$5:$E$20000,INPUT_DELAY!$A$5:$A$20000,Kalkulasi!$B$987,INPUT_DELAY!$B$5:$B$20000,"05-06",INPUT_DELAY!$C$5:$C$20000,$A1022)+SUMIFS(INPUT_DELAY!$E$5:$E$20000,INPUT_DELAY!$A$5:$A$20000,Kalkulasi!$B$987,INPUT_DELAY!$B$5:$B$20000,"05-06",INPUT_DELAY!$C$5:$C$20000,"SEMUA")))/60,0)</f>
        <v/>
      </c>
      <c r="J1022">
        <f>E1022+H1022</f>
        <v/>
      </c>
      <c r="K1022">
        <f>IF(F1022+I1022=0,"",J1022/(F1022+I1022))</f>
        <v/>
      </c>
      <c r="L1022">
        <f>IFERROR(IF($C1022="OB",INDEX(MASTER_JAM!$F$5:$F$94,MATCH($A1022,MASTER_JAM!$A$5:$A$94,0)),INDEX(MASTER_JAM!$G$5:$G$94,MATCH($A1022,MASTER_JAM!$A$5:$A$94,0)))+0,0)</f>
        <v/>
      </c>
      <c r="M1022">
        <f>J1022+(D1022+G1022)/1000+ROW()/1000000</f>
        <v/>
      </c>
      <c r="O1022">
        <f>SUMIFS(INPUT_DELAY!$E$5:$E$20000,INPUT_DELAY!$A$5:$A$20000,Kalkulasi!$B$987,INPUT_DELAY!$C$5:$C$20000,$A1022)</f>
        <v/>
      </c>
    </row>
    <row r="1023">
      <c r="A1023" t="inlineStr">
        <is>
          <t>EX-754</t>
        </is>
      </c>
      <c r="B1023">
        <f>IFERROR(INDEX(MASTER_JAM!$B$5:$B$94,MATCH($A1023,MASTER_JAM!$A$5:$A$94,0)),"")</f>
        <v/>
      </c>
      <c r="C1023">
        <f>IF(SUMIFS(INPUT_RITASE!$L$5:$L$20000,INPUT_RITASE!$A$5:$A$20000,Kalkulasi!$B$987,INPUT_RITASE!$C$5:$C$20000,$A1023,INPUT_RITASE!$N$5:$N$20000,"Coal")&gt;SUMIFS(INPUT_RITASE!$L$5:$L$20000,INPUT_RITASE!$A$5:$A$20000,Kalkulasi!$B$987,INPUT_RITASE!$C$5:$C$20000,$A1023,INPUT_RITASE!$N$5:$N$20000,"OB"),"Coal","OB")</f>
        <v/>
      </c>
      <c r="D1023">
        <f>SUMIFS(INPUT_RITASE!$F$5:$F$20000,INPUT_RITASE!$A$5:$A$20000,Kalkulasi!$B$987,INPUT_RITASE!$H$5:$H$20000,"DS",INPUT_RITASE!$C$5:$C$20000,$A1023)</f>
        <v/>
      </c>
      <c r="E1023">
        <f>SUMIFS(INPUT_RITASE!$L$5:$L$20000,INPUT_RITASE!$A$5:$A$20000,Kalkulasi!$B$987,INPUT_RITASE!$H$5:$H$20000,"DS",INPUT_RITASE!$C$5:$C$20000,$A1023,INPUT_RITASE!$N$5:$N$20000,$C1023)</f>
        <v/>
      </c>
      <c r="F1023">
        <f>IF(SUMIFS(INPUT_RITASE!$L$5:$L$20000,INPUT_RITASE!$A$5:$A$20000,Kalkulasi!$B$987,INPUT_RITASE!$B$5:$B$20000,"06-07",INPUT_RITASE!$C$5:$C$20000,$A1023,INPUT_RITASE!$N$5:$N$20000,$C1023)&gt;0,(60-MIN(60,SUMIFS(INPUT_DELAY!$E$5:$E$20000,INPUT_DELAY!$A$5:$A$20000,Kalkulasi!$B$987,INPUT_DELAY!$B$5:$B$20000,"06-07",INPUT_DELAY!$C$5:$C$20000,$A1023)+SUMIFS(INPUT_DELAY!$E$5:$E$20000,INPUT_DELAY!$A$5:$A$20000,Kalkulasi!$B$987,INPUT_DELAY!$B$5:$B$20000,"06-07",INPUT_DELAY!$C$5:$C$20000,"SEMUA")))/60,0)+IF(SUMIFS(INPUT_RITASE!$L$5:$L$20000,INPUT_RITASE!$A$5:$A$20000,Kalkulasi!$B$987,INPUT_RITASE!$B$5:$B$20000,"07-08",INPUT_RITASE!$C$5:$C$20000,$A1023,INPUT_RITASE!$N$5:$N$20000,$C1023)&gt;0,(60-MIN(60,SUMIFS(INPUT_DELAY!$E$5:$E$20000,INPUT_DELAY!$A$5:$A$20000,Kalkulasi!$B$987,INPUT_DELAY!$B$5:$B$20000,"07-08",INPUT_DELAY!$C$5:$C$20000,$A1023)+SUMIFS(INPUT_DELAY!$E$5:$E$20000,INPUT_DELAY!$A$5:$A$20000,Kalkulasi!$B$987,INPUT_DELAY!$B$5:$B$20000,"07-08",INPUT_DELAY!$C$5:$C$20000,"SEMUA")))/60,0)+IF(SUMIFS(INPUT_RITASE!$L$5:$L$20000,INPUT_RITASE!$A$5:$A$20000,Kalkulasi!$B$987,INPUT_RITASE!$B$5:$B$20000,"08-09",INPUT_RITASE!$C$5:$C$20000,$A1023,INPUT_RITASE!$N$5:$N$20000,$C1023)&gt;0,(60-MIN(60,SUMIFS(INPUT_DELAY!$E$5:$E$20000,INPUT_DELAY!$A$5:$A$20000,Kalkulasi!$B$987,INPUT_DELAY!$B$5:$B$20000,"08-09",INPUT_DELAY!$C$5:$C$20000,$A1023)+SUMIFS(INPUT_DELAY!$E$5:$E$20000,INPUT_DELAY!$A$5:$A$20000,Kalkulasi!$B$987,INPUT_DELAY!$B$5:$B$20000,"08-09",INPUT_DELAY!$C$5:$C$20000,"SEMUA")))/60,0)+IF(SUMIFS(INPUT_RITASE!$L$5:$L$20000,INPUT_RITASE!$A$5:$A$20000,Kalkulasi!$B$987,INPUT_RITASE!$B$5:$B$20000,"09-10",INPUT_RITASE!$C$5:$C$20000,$A1023,INPUT_RITASE!$N$5:$N$20000,$C1023)&gt;0,(60-MIN(60,SUMIFS(INPUT_DELAY!$E$5:$E$20000,INPUT_DELAY!$A$5:$A$20000,Kalkulasi!$B$987,INPUT_DELAY!$B$5:$B$20000,"09-10",INPUT_DELAY!$C$5:$C$20000,$A1023)+SUMIFS(INPUT_DELAY!$E$5:$E$20000,INPUT_DELAY!$A$5:$A$20000,Kalkulasi!$B$987,INPUT_DELAY!$B$5:$B$20000,"09-10",INPUT_DELAY!$C$5:$C$20000,"SEMUA")))/60,0)+IF(SUMIFS(INPUT_RITASE!$L$5:$L$20000,INPUT_RITASE!$A$5:$A$20000,Kalkulasi!$B$987,INPUT_RITASE!$B$5:$B$20000,"10-11",INPUT_RITASE!$C$5:$C$20000,$A1023,INPUT_RITASE!$N$5:$N$20000,$C1023)&gt;0,(60-MIN(60,SUMIFS(INPUT_DELAY!$E$5:$E$20000,INPUT_DELAY!$A$5:$A$20000,Kalkulasi!$B$987,INPUT_DELAY!$B$5:$B$20000,"10-11",INPUT_DELAY!$C$5:$C$20000,$A1023)+SUMIFS(INPUT_DELAY!$E$5:$E$20000,INPUT_DELAY!$A$5:$A$20000,Kalkulasi!$B$987,INPUT_DELAY!$B$5:$B$20000,"10-11",INPUT_DELAY!$C$5:$C$20000,"SEMUA")))/60,0)+IF(SUMIFS(INPUT_RITASE!$L$5:$L$20000,INPUT_RITASE!$A$5:$A$20000,Kalkulasi!$B$987,INPUT_RITASE!$B$5:$B$20000,"11-12",INPUT_RITASE!$C$5:$C$20000,$A1023,INPUT_RITASE!$N$5:$N$20000,$C1023)&gt;0,(60-MIN(60,SUMIFS(INPUT_DELAY!$E$5:$E$20000,INPUT_DELAY!$A$5:$A$20000,Kalkulasi!$B$987,INPUT_DELAY!$B$5:$B$20000,"11-12",INPUT_DELAY!$C$5:$C$20000,$A1023)+SUMIFS(INPUT_DELAY!$E$5:$E$20000,INPUT_DELAY!$A$5:$A$20000,Kalkulasi!$B$987,INPUT_DELAY!$B$5:$B$20000,"11-12",INPUT_DELAY!$C$5:$C$20000,"SEMUA")))/60,0)+IF(SUMIFS(INPUT_RITASE!$L$5:$L$20000,INPUT_RITASE!$A$5:$A$20000,Kalkulasi!$B$987,INPUT_RITASE!$B$5:$B$20000,"12-13",INPUT_RITASE!$C$5:$C$20000,$A1023,INPUT_RITASE!$N$5:$N$20000,$C1023)&gt;0,(60-MIN(60,SUMIFS(INPUT_DELAY!$E$5:$E$20000,INPUT_DELAY!$A$5:$A$20000,Kalkulasi!$B$987,INPUT_DELAY!$B$5:$B$20000,"12-13",INPUT_DELAY!$C$5:$C$20000,$A1023)+SUMIFS(INPUT_DELAY!$E$5:$E$20000,INPUT_DELAY!$A$5:$A$20000,Kalkulasi!$B$987,INPUT_DELAY!$B$5:$B$20000,"12-13",INPUT_DELAY!$C$5:$C$20000,"SEMUA")))/60,0)+IF(SUMIFS(INPUT_RITASE!$L$5:$L$20000,INPUT_RITASE!$A$5:$A$20000,Kalkulasi!$B$987,INPUT_RITASE!$B$5:$B$20000,"13-14",INPUT_RITASE!$C$5:$C$20000,$A1023,INPUT_RITASE!$N$5:$N$20000,$C1023)&gt;0,(60-MIN(60,SUMIFS(INPUT_DELAY!$E$5:$E$20000,INPUT_DELAY!$A$5:$A$20000,Kalkulasi!$B$987,INPUT_DELAY!$B$5:$B$20000,"13-14",INPUT_DELAY!$C$5:$C$20000,$A1023)+SUMIFS(INPUT_DELAY!$E$5:$E$20000,INPUT_DELAY!$A$5:$A$20000,Kalkulasi!$B$987,INPUT_DELAY!$B$5:$B$20000,"13-14",INPUT_DELAY!$C$5:$C$20000,"SEMUA")))/60,0)+IF(SUMIFS(INPUT_RITASE!$L$5:$L$20000,INPUT_RITASE!$A$5:$A$20000,Kalkulasi!$B$987,INPUT_RITASE!$B$5:$B$20000,"14-15",INPUT_RITASE!$C$5:$C$20000,$A1023,INPUT_RITASE!$N$5:$N$20000,$C1023)&gt;0,(60-MIN(60,SUMIFS(INPUT_DELAY!$E$5:$E$20000,INPUT_DELAY!$A$5:$A$20000,Kalkulasi!$B$987,INPUT_DELAY!$B$5:$B$20000,"14-15",INPUT_DELAY!$C$5:$C$20000,$A1023)+SUMIFS(INPUT_DELAY!$E$5:$E$20000,INPUT_DELAY!$A$5:$A$20000,Kalkulasi!$B$987,INPUT_DELAY!$B$5:$B$20000,"14-15",INPUT_DELAY!$C$5:$C$20000,"SEMUA")))/60,0)+IF(SUMIFS(INPUT_RITASE!$L$5:$L$20000,INPUT_RITASE!$A$5:$A$20000,Kalkulasi!$B$987,INPUT_RITASE!$B$5:$B$20000,"15-16",INPUT_RITASE!$C$5:$C$20000,$A1023,INPUT_RITASE!$N$5:$N$20000,$C1023)&gt;0,(60-MIN(60,SUMIFS(INPUT_DELAY!$E$5:$E$20000,INPUT_DELAY!$A$5:$A$20000,Kalkulasi!$B$987,INPUT_DELAY!$B$5:$B$20000,"15-16",INPUT_DELAY!$C$5:$C$20000,$A1023)+SUMIFS(INPUT_DELAY!$E$5:$E$20000,INPUT_DELAY!$A$5:$A$20000,Kalkulasi!$B$987,INPUT_DELAY!$B$5:$B$20000,"15-16",INPUT_DELAY!$C$5:$C$20000,"SEMUA")))/60,0)+IF(SUMIFS(INPUT_RITASE!$L$5:$L$20000,INPUT_RITASE!$A$5:$A$20000,Kalkulasi!$B$987,INPUT_RITASE!$B$5:$B$20000,"16-17",INPUT_RITASE!$C$5:$C$20000,$A1023,INPUT_RITASE!$N$5:$N$20000,$C1023)&gt;0,(60-MIN(60,SUMIFS(INPUT_DELAY!$E$5:$E$20000,INPUT_DELAY!$A$5:$A$20000,Kalkulasi!$B$987,INPUT_DELAY!$B$5:$B$20000,"16-17",INPUT_DELAY!$C$5:$C$20000,$A1023)+SUMIFS(INPUT_DELAY!$E$5:$E$20000,INPUT_DELAY!$A$5:$A$20000,Kalkulasi!$B$987,INPUT_DELAY!$B$5:$B$20000,"16-17",INPUT_DELAY!$C$5:$C$20000,"SEMUA")))/60,0)+IF(SUMIFS(INPUT_RITASE!$L$5:$L$20000,INPUT_RITASE!$A$5:$A$20000,Kalkulasi!$B$987,INPUT_RITASE!$B$5:$B$20000,"17-18",INPUT_RITASE!$C$5:$C$20000,$A1023,INPUT_RITASE!$N$5:$N$20000,$C1023)&gt;0,(60-MIN(60,SUMIFS(INPUT_DELAY!$E$5:$E$20000,INPUT_DELAY!$A$5:$A$20000,Kalkulasi!$B$987,INPUT_DELAY!$B$5:$B$20000,"17-18",INPUT_DELAY!$C$5:$C$20000,$A1023)+SUMIFS(INPUT_DELAY!$E$5:$E$20000,INPUT_DELAY!$A$5:$A$20000,Kalkulasi!$B$987,INPUT_DELAY!$B$5:$B$20000,"17-18",INPUT_DELAY!$C$5:$C$20000,"SEMUA")))/60,0)</f>
        <v/>
      </c>
      <c r="G1023">
        <f>SUMIFS(INPUT_RITASE!$F$5:$F$20000,INPUT_RITASE!$A$5:$A$20000,Kalkulasi!$B$987,INPUT_RITASE!$H$5:$H$20000,"NS",INPUT_RITASE!$C$5:$C$20000,$A1023)</f>
        <v/>
      </c>
      <c r="H1023">
        <f>SUMIFS(INPUT_RITASE!$L$5:$L$20000,INPUT_RITASE!$A$5:$A$20000,Kalkulasi!$B$987,INPUT_RITASE!$H$5:$H$20000,"NS",INPUT_RITASE!$C$5:$C$20000,$A1023,INPUT_RITASE!$N$5:$N$20000,$C1023)</f>
        <v/>
      </c>
      <c r="I1023">
        <f>IF(SUMIFS(INPUT_RITASE!$L$5:$L$20000,INPUT_RITASE!$A$5:$A$20000,Kalkulasi!$B$987,INPUT_RITASE!$B$5:$B$20000,"18-19",INPUT_RITASE!$C$5:$C$20000,$A1023,INPUT_RITASE!$N$5:$N$20000,$C1023)&gt;0,(60-MIN(60,SUMIFS(INPUT_DELAY!$E$5:$E$20000,INPUT_DELAY!$A$5:$A$20000,Kalkulasi!$B$987,INPUT_DELAY!$B$5:$B$20000,"18-19",INPUT_DELAY!$C$5:$C$20000,$A1023)+SUMIFS(INPUT_DELAY!$E$5:$E$20000,INPUT_DELAY!$A$5:$A$20000,Kalkulasi!$B$987,INPUT_DELAY!$B$5:$B$20000,"18-19",INPUT_DELAY!$C$5:$C$20000,"SEMUA")))/60,0)+IF(SUMIFS(INPUT_RITASE!$L$5:$L$20000,INPUT_RITASE!$A$5:$A$20000,Kalkulasi!$B$987,INPUT_RITASE!$B$5:$B$20000,"19-20",INPUT_RITASE!$C$5:$C$20000,$A1023,INPUT_RITASE!$N$5:$N$20000,$C1023)&gt;0,(60-MIN(60,SUMIFS(INPUT_DELAY!$E$5:$E$20000,INPUT_DELAY!$A$5:$A$20000,Kalkulasi!$B$987,INPUT_DELAY!$B$5:$B$20000,"19-20",INPUT_DELAY!$C$5:$C$20000,$A1023)+SUMIFS(INPUT_DELAY!$E$5:$E$20000,INPUT_DELAY!$A$5:$A$20000,Kalkulasi!$B$987,INPUT_DELAY!$B$5:$B$20000,"19-20",INPUT_DELAY!$C$5:$C$20000,"SEMUA")))/60,0)+IF(SUMIFS(INPUT_RITASE!$L$5:$L$20000,INPUT_RITASE!$A$5:$A$20000,Kalkulasi!$B$987,INPUT_RITASE!$B$5:$B$20000,"20-21",INPUT_RITASE!$C$5:$C$20000,$A1023,INPUT_RITASE!$N$5:$N$20000,$C1023)&gt;0,(60-MIN(60,SUMIFS(INPUT_DELAY!$E$5:$E$20000,INPUT_DELAY!$A$5:$A$20000,Kalkulasi!$B$987,INPUT_DELAY!$B$5:$B$20000,"20-21",INPUT_DELAY!$C$5:$C$20000,$A1023)+SUMIFS(INPUT_DELAY!$E$5:$E$20000,INPUT_DELAY!$A$5:$A$20000,Kalkulasi!$B$987,INPUT_DELAY!$B$5:$B$20000,"20-21",INPUT_DELAY!$C$5:$C$20000,"SEMUA")))/60,0)+IF(SUMIFS(INPUT_RITASE!$L$5:$L$20000,INPUT_RITASE!$A$5:$A$20000,Kalkulasi!$B$987,INPUT_RITASE!$B$5:$B$20000,"21-22",INPUT_RITASE!$C$5:$C$20000,$A1023,INPUT_RITASE!$N$5:$N$20000,$C1023)&gt;0,(60-MIN(60,SUMIFS(INPUT_DELAY!$E$5:$E$20000,INPUT_DELAY!$A$5:$A$20000,Kalkulasi!$B$987,INPUT_DELAY!$B$5:$B$20000,"21-22",INPUT_DELAY!$C$5:$C$20000,$A1023)+SUMIFS(INPUT_DELAY!$E$5:$E$20000,INPUT_DELAY!$A$5:$A$20000,Kalkulasi!$B$987,INPUT_DELAY!$B$5:$B$20000,"21-22",INPUT_DELAY!$C$5:$C$20000,"SEMUA")))/60,0)+IF(SUMIFS(INPUT_RITASE!$L$5:$L$20000,INPUT_RITASE!$A$5:$A$20000,Kalkulasi!$B$987,INPUT_RITASE!$B$5:$B$20000,"22-23",INPUT_RITASE!$C$5:$C$20000,$A1023,INPUT_RITASE!$N$5:$N$20000,$C1023)&gt;0,(60-MIN(60,SUMIFS(INPUT_DELAY!$E$5:$E$20000,INPUT_DELAY!$A$5:$A$20000,Kalkulasi!$B$987,INPUT_DELAY!$B$5:$B$20000,"22-23",INPUT_DELAY!$C$5:$C$20000,$A1023)+SUMIFS(INPUT_DELAY!$E$5:$E$20000,INPUT_DELAY!$A$5:$A$20000,Kalkulasi!$B$987,INPUT_DELAY!$B$5:$B$20000,"22-23",INPUT_DELAY!$C$5:$C$20000,"SEMUA")))/60,0)+IF(SUMIFS(INPUT_RITASE!$L$5:$L$20000,INPUT_RITASE!$A$5:$A$20000,Kalkulasi!$B$987,INPUT_RITASE!$B$5:$B$20000,"23-24",INPUT_RITASE!$C$5:$C$20000,$A1023,INPUT_RITASE!$N$5:$N$20000,$C1023)&gt;0,(60-MIN(60,SUMIFS(INPUT_DELAY!$E$5:$E$20000,INPUT_DELAY!$A$5:$A$20000,Kalkulasi!$B$987,INPUT_DELAY!$B$5:$B$20000,"23-24",INPUT_DELAY!$C$5:$C$20000,$A1023)+SUMIFS(INPUT_DELAY!$E$5:$E$20000,INPUT_DELAY!$A$5:$A$20000,Kalkulasi!$B$987,INPUT_DELAY!$B$5:$B$20000,"23-24",INPUT_DELAY!$C$5:$C$20000,"SEMUA")))/60,0)+IF(SUMIFS(INPUT_RITASE!$L$5:$L$20000,INPUT_RITASE!$A$5:$A$20000,Kalkulasi!$B$987,INPUT_RITASE!$B$5:$B$20000,"00-01",INPUT_RITASE!$C$5:$C$20000,$A1023,INPUT_RITASE!$N$5:$N$20000,$C1023)&gt;0,(60-MIN(60,SUMIFS(INPUT_DELAY!$E$5:$E$20000,INPUT_DELAY!$A$5:$A$20000,Kalkulasi!$B$987,INPUT_DELAY!$B$5:$B$20000,"00-01",INPUT_DELAY!$C$5:$C$20000,$A1023)+SUMIFS(INPUT_DELAY!$E$5:$E$20000,INPUT_DELAY!$A$5:$A$20000,Kalkulasi!$B$987,INPUT_DELAY!$B$5:$B$20000,"00-01",INPUT_DELAY!$C$5:$C$20000,"SEMUA")))/60,0)+IF(SUMIFS(INPUT_RITASE!$L$5:$L$20000,INPUT_RITASE!$A$5:$A$20000,Kalkulasi!$B$987,INPUT_RITASE!$B$5:$B$20000,"01-02",INPUT_RITASE!$C$5:$C$20000,$A1023,INPUT_RITASE!$N$5:$N$20000,$C1023)&gt;0,(60-MIN(60,SUMIFS(INPUT_DELAY!$E$5:$E$20000,INPUT_DELAY!$A$5:$A$20000,Kalkulasi!$B$987,INPUT_DELAY!$B$5:$B$20000,"01-02",INPUT_DELAY!$C$5:$C$20000,$A1023)+SUMIFS(INPUT_DELAY!$E$5:$E$20000,INPUT_DELAY!$A$5:$A$20000,Kalkulasi!$B$987,INPUT_DELAY!$B$5:$B$20000,"01-02",INPUT_DELAY!$C$5:$C$20000,"SEMUA")))/60,0)+IF(SUMIFS(INPUT_RITASE!$L$5:$L$20000,INPUT_RITASE!$A$5:$A$20000,Kalkulasi!$B$987,INPUT_RITASE!$B$5:$B$20000,"02-03",INPUT_RITASE!$C$5:$C$20000,$A1023,INPUT_RITASE!$N$5:$N$20000,$C1023)&gt;0,(60-MIN(60,SUMIFS(INPUT_DELAY!$E$5:$E$20000,INPUT_DELAY!$A$5:$A$20000,Kalkulasi!$B$987,INPUT_DELAY!$B$5:$B$20000,"02-03",INPUT_DELAY!$C$5:$C$20000,$A1023)+SUMIFS(INPUT_DELAY!$E$5:$E$20000,INPUT_DELAY!$A$5:$A$20000,Kalkulasi!$B$987,INPUT_DELAY!$B$5:$B$20000,"02-03",INPUT_DELAY!$C$5:$C$20000,"SEMUA")))/60,0)+IF(SUMIFS(INPUT_RITASE!$L$5:$L$20000,INPUT_RITASE!$A$5:$A$20000,Kalkulasi!$B$987,INPUT_RITASE!$B$5:$B$20000,"03-04",INPUT_RITASE!$C$5:$C$20000,$A1023,INPUT_RITASE!$N$5:$N$20000,$C1023)&gt;0,(60-MIN(60,SUMIFS(INPUT_DELAY!$E$5:$E$20000,INPUT_DELAY!$A$5:$A$20000,Kalkulasi!$B$987,INPUT_DELAY!$B$5:$B$20000,"03-04",INPUT_DELAY!$C$5:$C$20000,$A1023)+SUMIFS(INPUT_DELAY!$E$5:$E$20000,INPUT_DELAY!$A$5:$A$20000,Kalkulasi!$B$987,INPUT_DELAY!$B$5:$B$20000,"03-04",INPUT_DELAY!$C$5:$C$20000,"SEMUA")))/60,0)+IF(SUMIFS(INPUT_RITASE!$L$5:$L$20000,INPUT_RITASE!$A$5:$A$20000,Kalkulasi!$B$987,INPUT_RITASE!$B$5:$B$20000,"04-05",INPUT_RITASE!$C$5:$C$20000,$A1023,INPUT_RITASE!$N$5:$N$20000,$C1023)&gt;0,(60-MIN(60,SUMIFS(INPUT_DELAY!$E$5:$E$20000,INPUT_DELAY!$A$5:$A$20000,Kalkulasi!$B$987,INPUT_DELAY!$B$5:$B$20000,"04-05",INPUT_DELAY!$C$5:$C$20000,$A1023)+SUMIFS(INPUT_DELAY!$E$5:$E$20000,INPUT_DELAY!$A$5:$A$20000,Kalkulasi!$B$987,INPUT_DELAY!$B$5:$B$20000,"04-05",INPUT_DELAY!$C$5:$C$20000,"SEMUA")))/60,0)+IF(SUMIFS(INPUT_RITASE!$L$5:$L$20000,INPUT_RITASE!$A$5:$A$20000,Kalkulasi!$B$987,INPUT_RITASE!$B$5:$B$20000,"05-06",INPUT_RITASE!$C$5:$C$20000,$A1023,INPUT_RITASE!$N$5:$N$20000,$C1023)&gt;0,(60-MIN(60,SUMIFS(INPUT_DELAY!$E$5:$E$20000,INPUT_DELAY!$A$5:$A$20000,Kalkulasi!$B$987,INPUT_DELAY!$B$5:$B$20000,"05-06",INPUT_DELAY!$C$5:$C$20000,$A1023)+SUMIFS(INPUT_DELAY!$E$5:$E$20000,INPUT_DELAY!$A$5:$A$20000,Kalkulasi!$B$987,INPUT_DELAY!$B$5:$B$20000,"05-06",INPUT_DELAY!$C$5:$C$20000,"SEMUA")))/60,0)</f>
        <v/>
      </c>
      <c r="J1023">
        <f>E1023+H1023</f>
        <v/>
      </c>
      <c r="K1023">
        <f>IF(F1023+I1023=0,"",J1023/(F1023+I1023))</f>
        <v/>
      </c>
      <c r="L1023">
        <f>IFERROR(IF($C1023="OB",INDEX(MASTER_JAM!$F$5:$F$94,MATCH($A1023,MASTER_JAM!$A$5:$A$94,0)),INDEX(MASTER_JAM!$G$5:$G$94,MATCH($A1023,MASTER_JAM!$A$5:$A$94,0)))+0,0)</f>
        <v/>
      </c>
      <c r="M1023">
        <f>J1023+(D1023+G1023)/1000+ROW()/1000000</f>
        <v/>
      </c>
      <c r="O1023">
        <f>SUMIFS(INPUT_DELAY!$E$5:$E$20000,INPUT_DELAY!$A$5:$A$20000,Kalkulasi!$B$987,INPUT_DELAY!$C$5:$C$20000,$A1023)</f>
        <v/>
      </c>
    </row>
    <row r="1024">
      <c r="A1024" t="inlineStr">
        <is>
          <t>EX-753</t>
        </is>
      </c>
      <c r="B1024">
        <f>IFERROR(INDEX(MASTER_JAM!$B$5:$B$94,MATCH($A1024,MASTER_JAM!$A$5:$A$94,0)),"")</f>
        <v/>
      </c>
      <c r="C1024">
        <f>IF(SUMIFS(INPUT_RITASE!$L$5:$L$20000,INPUT_RITASE!$A$5:$A$20000,Kalkulasi!$B$987,INPUT_RITASE!$C$5:$C$20000,$A1024,INPUT_RITASE!$N$5:$N$20000,"Coal")&gt;SUMIFS(INPUT_RITASE!$L$5:$L$20000,INPUT_RITASE!$A$5:$A$20000,Kalkulasi!$B$987,INPUT_RITASE!$C$5:$C$20000,$A1024,INPUT_RITASE!$N$5:$N$20000,"OB"),"Coal","OB")</f>
        <v/>
      </c>
      <c r="D1024">
        <f>SUMIFS(INPUT_RITASE!$F$5:$F$20000,INPUT_RITASE!$A$5:$A$20000,Kalkulasi!$B$987,INPUT_RITASE!$H$5:$H$20000,"DS",INPUT_RITASE!$C$5:$C$20000,$A1024)</f>
        <v/>
      </c>
      <c r="E1024">
        <f>SUMIFS(INPUT_RITASE!$L$5:$L$20000,INPUT_RITASE!$A$5:$A$20000,Kalkulasi!$B$987,INPUT_RITASE!$H$5:$H$20000,"DS",INPUT_RITASE!$C$5:$C$20000,$A1024,INPUT_RITASE!$N$5:$N$20000,$C1024)</f>
        <v/>
      </c>
      <c r="F1024">
        <f>IF(SUMIFS(INPUT_RITASE!$L$5:$L$20000,INPUT_RITASE!$A$5:$A$20000,Kalkulasi!$B$987,INPUT_RITASE!$B$5:$B$20000,"06-07",INPUT_RITASE!$C$5:$C$20000,$A1024,INPUT_RITASE!$N$5:$N$20000,$C1024)&gt;0,(60-MIN(60,SUMIFS(INPUT_DELAY!$E$5:$E$20000,INPUT_DELAY!$A$5:$A$20000,Kalkulasi!$B$987,INPUT_DELAY!$B$5:$B$20000,"06-07",INPUT_DELAY!$C$5:$C$20000,$A1024)+SUMIFS(INPUT_DELAY!$E$5:$E$20000,INPUT_DELAY!$A$5:$A$20000,Kalkulasi!$B$987,INPUT_DELAY!$B$5:$B$20000,"06-07",INPUT_DELAY!$C$5:$C$20000,"SEMUA")))/60,0)+IF(SUMIFS(INPUT_RITASE!$L$5:$L$20000,INPUT_RITASE!$A$5:$A$20000,Kalkulasi!$B$987,INPUT_RITASE!$B$5:$B$20000,"07-08",INPUT_RITASE!$C$5:$C$20000,$A1024,INPUT_RITASE!$N$5:$N$20000,$C1024)&gt;0,(60-MIN(60,SUMIFS(INPUT_DELAY!$E$5:$E$20000,INPUT_DELAY!$A$5:$A$20000,Kalkulasi!$B$987,INPUT_DELAY!$B$5:$B$20000,"07-08",INPUT_DELAY!$C$5:$C$20000,$A1024)+SUMIFS(INPUT_DELAY!$E$5:$E$20000,INPUT_DELAY!$A$5:$A$20000,Kalkulasi!$B$987,INPUT_DELAY!$B$5:$B$20000,"07-08",INPUT_DELAY!$C$5:$C$20000,"SEMUA")))/60,0)+IF(SUMIFS(INPUT_RITASE!$L$5:$L$20000,INPUT_RITASE!$A$5:$A$20000,Kalkulasi!$B$987,INPUT_RITASE!$B$5:$B$20000,"08-09",INPUT_RITASE!$C$5:$C$20000,$A1024,INPUT_RITASE!$N$5:$N$20000,$C1024)&gt;0,(60-MIN(60,SUMIFS(INPUT_DELAY!$E$5:$E$20000,INPUT_DELAY!$A$5:$A$20000,Kalkulasi!$B$987,INPUT_DELAY!$B$5:$B$20000,"08-09",INPUT_DELAY!$C$5:$C$20000,$A1024)+SUMIFS(INPUT_DELAY!$E$5:$E$20000,INPUT_DELAY!$A$5:$A$20000,Kalkulasi!$B$987,INPUT_DELAY!$B$5:$B$20000,"08-09",INPUT_DELAY!$C$5:$C$20000,"SEMUA")))/60,0)+IF(SUMIFS(INPUT_RITASE!$L$5:$L$20000,INPUT_RITASE!$A$5:$A$20000,Kalkulasi!$B$987,INPUT_RITASE!$B$5:$B$20000,"09-10",INPUT_RITASE!$C$5:$C$20000,$A1024,INPUT_RITASE!$N$5:$N$20000,$C1024)&gt;0,(60-MIN(60,SUMIFS(INPUT_DELAY!$E$5:$E$20000,INPUT_DELAY!$A$5:$A$20000,Kalkulasi!$B$987,INPUT_DELAY!$B$5:$B$20000,"09-10",INPUT_DELAY!$C$5:$C$20000,$A1024)+SUMIFS(INPUT_DELAY!$E$5:$E$20000,INPUT_DELAY!$A$5:$A$20000,Kalkulasi!$B$987,INPUT_DELAY!$B$5:$B$20000,"09-10",INPUT_DELAY!$C$5:$C$20000,"SEMUA")))/60,0)+IF(SUMIFS(INPUT_RITASE!$L$5:$L$20000,INPUT_RITASE!$A$5:$A$20000,Kalkulasi!$B$987,INPUT_RITASE!$B$5:$B$20000,"10-11",INPUT_RITASE!$C$5:$C$20000,$A1024,INPUT_RITASE!$N$5:$N$20000,$C1024)&gt;0,(60-MIN(60,SUMIFS(INPUT_DELAY!$E$5:$E$20000,INPUT_DELAY!$A$5:$A$20000,Kalkulasi!$B$987,INPUT_DELAY!$B$5:$B$20000,"10-11",INPUT_DELAY!$C$5:$C$20000,$A1024)+SUMIFS(INPUT_DELAY!$E$5:$E$20000,INPUT_DELAY!$A$5:$A$20000,Kalkulasi!$B$987,INPUT_DELAY!$B$5:$B$20000,"10-11",INPUT_DELAY!$C$5:$C$20000,"SEMUA")))/60,0)+IF(SUMIFS(INPUT_RITASE!$L$5:$L$20000,INPUT_RITASE!$A$5:$A$20000,Kalkulasi!$B$987,INPUT_RITASE!$B$5:$B$20000,"11-12",INPUT_RITASE!$C$5:$C$20000,$A1024,INPUT_RITASE!$N$5:$N$20000,$C1024)&gt;0,(60-MIN(60,SUMIFS(INPUT_DELAY!$E$5:$E$20000,INPUT_DELAY!$A$5:$A$20000,Kalkulasi!$B$987,INPUT_DELAY!$B$5:$B$20000,"11-12",INPUT_DELAY!$C$5:$C$20000,$A1024)+SUMIFS(INPUT_DELAY!$E$5:$E$20000,INPUT_DELAY!$A$5:$A$20000,Kalkulasi!$B$987,INPUT_DELAY!$B$5:$B$20000,"11-12",INPUT_DELAY!$C$5:$C$20000,"SEMUA")))/60,0)+IF(SUMIFS(INPUT_RITASE!$L$5:$L$20000,INPUT_RITASE!$A$5:$A$20000,Kalkulasi!$B$987,INPUT_RITASE!$B$5:$B$20000,"12-13",INPUT_RITASE!$C$5:$C$20000,$A1024,INPUT_RITASE!$N$5:$N$20000,$C1024)&gt;0,(60-MIN(60,SUMIFS(INPUT_DELAY!$E$5:$E$20000,INPUT_DELAY!$A$5:$A$20000,Kalkulasi!$B$987,INPUT_DELAY!$B$5:$B$20000,"12-13",INPUT_DELAY!$C$5:$C$20000,$A1024)+SUMIFS(INPUT_DELAY!$E$5:$E$20000,INPUT_DELAY!$A$5:$A$20000,Kalkulasi!$B$987,INPUT_DELAY!$B$5:$B$20000,"12-13",INPUT_DELAY!$C$5:$C$20000,"SEMUA")))/60,0)+IF(SUMIFS(INPUT_RITASE!$L$5:$L$20000,INPUT_RITASE!$A$5:$A$20000,Kalkulasi!$B$987,INPUT_RITASE!$B$5:$B$20000,"13-14",INPUT_RITASE!$C$5:$C$20000,$A1024,INPUT_RITASE!$N$5:$N$20000,$C1024)&gt;0,(60-MIN(60,SUMIFS(INPUT_DELAY!$E$5:$E$20000,INPUT_DELAY!$A$5:$A$20000,Kalkulasi!$B$987,INPUT_DELAY!$B$5:$B$20000,"13-14",INPUT_DELAY!$C$5:$C$20000,$A1024)+SUMIFS(INPUT_DELAY!$E$5:$E$20000,INPUT_DELAY!$A$5:$A$20000,Kalkulasi!$B$987,INPUT_DELAY!$B$5:$B$20000,"13-14",INPUT_DELAY!$C$5:$C$20000,"SEMUA")))/60,0)+IF(SUMIFS(INPUT_RITASE!$L$5:$L$20000,INPUT_RITASE!$A$5:$A$20000,Kalkulasi!$B$987,INPUT_RITASE!$B$5:$B$20000,"14-15",INPUT_RITASE!$C$5:$C$20000,$A1024,INPUT_RITASE!$N$5:$N$20000,$C1024)&gt;0,(60-MIN(60,SUMIFS(INPUT_DELAY!$E$5:$E$20000,INPUT_DELAY!$A$5:$A$20000,Kalkulasi!$B$987,INPUT_DELAY!$B$5:$B$20000,"14-15",INPUT_DELAY!$C$5:$C$20000,$A1024)+SUMIFS(INPUT_DELAY!$E$5:$E$20000,INPUT_DELAY!$A$5:$A$20000,Kalkulasi!$B$987,INPUT_DELAY!$B$5:$B$20000,"14-15",INPUT_DELAY!$C$5:$C$20000,"SEMUA")))/60,0)+IF(SUMIFS(INPUT_RITASE!$L$5:$L$20000,INPUT_RITASE!$A$5:$A$20000,Kalkulasi!$B$987,INPUT_RITASE!$B$5:$B$20000,"15-16",INPUT_RITASE!$C$5:$C$20000,$A1024,INPUT_RITASE!$N$5:$N$20000,$C1024)&gt;0,(60-MIN(60,SUMIFS(INPUT_DELAY!$E$5:$E$20000,INPUT_DELAY!$A$5:$A$20000,Kalkulasi!$B$987,INPUT_DELAY!$B$5:$B$20000,"15-16",INPUT_DELAY!$C$5:$C$20000,$A1024)+SUMIFS(INPUT_DELAY!$E$5:$E$20000,INPUT_DELAY!$A$5:$A$20000,Kalkulasi!$B$987,INPUT_DELAY!$B$5:$B$20000,"15-16",INPUT_DELAY!$C$5:$C$20000,"SEMUA")))/60,0)+IF(SUMIFS(INPUT_RITASE!$L$5:$L$20000,INPUT_RITASE!$A$5:$A$20000,Kalkulasi!$B$987,INPUT_RITASE!$B$5:$B$20000,"16-17",INPUT_RITASE!$C$5:$C$20000,$A1024,INPUT_RITASE!$N$5:$N$20000,$C1024)&gt;0,(60-MIN(60,SUMIFS(INPUT_DELAY!$E$5:$E$20000,INPUT_DELAY!$A$5:$A$20000,Kalkulasi!$B$987,INPUT_DELAY!$B$5:$B$20000,"16-17",INPUT_DELAY!$C$5:$C$20000,$A1024)+SUMIFS(INPUT_DELAY!$E$5:$E$20000,INPUT_DELAY!$A$5:$A$20000,Kalkulasi!$B$987,INPUT_DELAY!$B$5:$B$20000,"16-17",INPUT_DELAY!$C$5:$C$20000,"SEMUA")))/60,0)+IF(SUMIFS(INPUT_RITASE!$L$5:$L$20000,INPUT_RITASE!$A$5:$A$20000,Kalkulasi!$B$987,INPUT_RITASE!$B$5:$B$20000,"17-18",INPUT_RITASE!$C$5:$C$20000,$A1024,INPUT_RITASE!$N$5:$N$20000,$C1024)&gt;0,(60-MIN(60,SUMIFS(INPUT_DELAY!$E$5:$E$20000,INPUT_DELAY!$A$5:$A$20000,Kalkulasi!$B$987,INPUT_DELAY!$B$5:$B$20000,"17-18",INPUT_DELAY!$C$5:$C$20000,$A1024)+SUMIFS(INPUT_DELAY!$E$5:$E$20000,INPUT_DELAY!$A$5:$A$20000,Kalkulasi!$B$987,INPUT_DELAY!$B$5:$B$20000,"17-18",INPUT_DELAY!$C$5:$C$20000,"SEMUA")))/60,0)</f>
        <v/>
      </c>
      <c r="G1024">
        <f>SUMIFS(INPUT_RITASE!$F$5:$F$20000,INPUT_RITASE!$A$5:$A$20000,Kalkulasi!$B$987,INPUT_RITASE!$H$5:$H$20000,"NS",INPUT_RITASE!$C$5:$C$20000,$A1024)</f>
        <v/>
      </c>
      <c r="H1024">
        <f>SUMIFS(INPUT_RITASE!$L$5:$L$20000,INPUT_RITASE!$A$5:$A$20000,Kalkulasi!$B$987,INPUT_RITASE!$H$5:$H$20000,"NS",INPUT_RITASE!$C$5:$C$20000,$A1024,INPUT_RITASE!$N$5:$N$20000,$C1024)</f>
        <v/>
      </c>
      <c r="I1024">
        <f>IF(SUMIFS(INPUT_RITASE!$L$5:$L$20000,INPUT_RITASE!$A$5:$A$20000,Kalkulasi!$B$987,INPUT_RITASE!$B$5:$B$20000,"18-19",INPUT_RITASE!$C$5:$C$20000,$A1024,INPUT_RITASE!$N$5:$N$20000,$C1024)&gt;0,(60-MIN(60,SUMIFS(INPUT_DELAY!$E$5:$E$20000,INPUT_DELAY!$A$5:$A$20000,Kalkulasi!$B$987,INPUT_DELAY!$B$5:$B$20000,"18-19",INPUT_DELAY!$C$5:$C$20000,$A1024)+SUMIFS(INPUT_DELAY!$E$5:$E$20000,INPUT_DELAY!$A$5:$A$20000,Kalkulasi!$B$987,INPUT_DELAY!$B$5:$B$20000,"18-19",INPUT_DELAY!$C$5:$C$20000,"SEMUA")))/60,0)+IF(SUMIFS(INPUT_RITASE!$L$5:$L$20000,INPUT_RITASE!$A$5:$A$20000,Kalkulasi!$B$987,INPUT_RITASE!$B$5:$B$20000,"19-20",INPUT_RITASE!$C$5:$C$20000,$A1024,INPUT_RITASE!$N$5:$N$20000,$C1024)&gt;0,(60-MIN(60,SUMIFS(INPUT_DELAY!$E$5:$E$20000,INPUT_DELAY!$A$5:$A$20000,Kalkulasi!$B$987,INPUT_DELAY!$B$5:$B$20000,"19-20",INPUT_DELAY!$C$5:$C$20000,$A1024)+SUMIFS(INPUT_DELAY!$E$5:$E$20000,INPUT_DELAY!$A$5:$A$20000,Kalkulasi!$B$987,INPUT_DELAY!$B$5:$B$20000,"19-20",INPUT_DELAY!$C$5:$C$20000,"SEMUA")))/60,0)+IF(SUMIFS(INPUT_RITASE!$L$5:$L$20000,INPUT_RITASE!$A$5:$A$20000,Kalkulasi!$B$987,INPUT_RITASE!$B$5:$B$20000,"20-21",INPUT_RITASE!$C$5:$C$20000,$A1024,INPUT_RITASE!$N$5:$N$20000,$C1024)&gt;0,(60-MIN(60,SUMIFS(INPUT_DELAY!$E$5:$E$20000,INPUT_DELAY!$A$5:$A$20000,Kalkulasi!$B$987,INPUT_DELAY!$B$5:$B$20000,"20-21",INPUT_DELAY!$C$5:$C$20000,$A1024)+SUMIFS(INPUT_DELAY!$E$5:$E$20000,INPUT_DELAY!$A$5:$A$20000,Kalkulasi!$B$987,INPUT_DELAY!$B$5:$B$20000,"20-21",INPUT_DELAY!$C$5:$C$20000,"SEMUA")))/60,0)+IF(SUMIFS(INPUT_RITASE!$L$5:$L$20000,INPUT_RITASE!$A$5:$A$20000,Kalkulasi!$B$987,INPUT_RITASE!$B$5:$B$20000,"21-22",INPUT_RITASE!$C$5:$C$20000,$A1024,INPUT_RITASE!$N$5:$N$20000,$C1024)&gt;0,(60-MIN(60,SUMIFS(INPUT_DELAY!$E$5:$E$20000,INPUT_DELAY!$A$5:$A$20000,Kalkulasi!$B$987,INPUT_DELAY!$B$5:$B$20000,"21-22",INPUT_DELAY!$C$5:$C$20000,$A1024)+SUMIFS(INPUT_DELAY!$E$5:$E$20000,INPUT_DELAY!$A$5:$A$20000,Kalkulasi!$B$987,INPUT_DELAY!$B$5:$B$20000,"21-22",INPUT_DELAY!$C$5:$C$20000,"SEMUA")))/60,0)+IF(SUMIFS(INPUT_RITASE!$L$5:$L$20000,INPUT_RITASE!$A$5:$A$20000,Kalkulasi!$B$987,INPUT_RITASE!$B$5:$B$20000,"22-23",INPUT_RITASE!$C$5:$C$20000,$A1024,INPUT_RITASE!$N$5:$N$20000,$C1024)&gt;0,(60-MIN(60,SUMIFS(INPUT_DELAY!$E$5:$E$20000,INPUT_DELAY!$A$5:$A$20000,Kalkulasi!$B$987,INPUT_DELAY!$B$5:$B$20000,"22-23",INPUT_DELAY!$C$5:$C$20000,$A1024)+SUMIFS(INPUT_DELAY!$E$5:$E$20000,INPUT_DELAY!$A$5:$A$20000,Kalkulasi!$B$987,INPUT_DELAY!$B$5:$B$20000,"22-23",INPUT_DELAY!$C$5:$C$20000,"SEMUA")))/60,0)+IF(SUMIFS(INPUT_RITASE!$L$5:$L$20000,INPUT_RITASE!$A$5:$A$20000,Kalkulasi!$B$987,INPUT_RITASE!$B$5:$B$20000,"23-24",INPUT_RITASE!$C$5:$C$20000,$A1024,INPUT_RITASE!$N$5:$N$20000,$C1024)&gt;0,(60-MIN(60,SUMIFS(INPUT_DELAY!$E$5:$E$20000,INPUT_DELAY!$A$5:$A$20000,Kalkulasi!$B$987,INPUT_DELAY!$B$5:$B$20000,"23-24",INPUT_DELAY!$C$5:$C$20000,$A1024)+SUMIFS(INPUT_DELAY!$E$5:$E$20000,INPUT_DELAY!$A$5:$A$20000,Kalkulasi!$B$987,INPUT_DELAY!$B$5:$B$20000,"23-24",INPUT_DELAY!$C$5:$C$20000,"SEMUA")))/60,0)+IF(SUMIFS(INPUT_RITASE!$L$5:$L$20000,INPUT_RITASE!$A$5:$A$20000,Kalkulasi!$B$987,INPUT_RITASE!$B$5:$B$20000,"00-01",INPUT_RITASE!$C$5:$C$20000,$A1024,INPUT_RITASE!$N$5:$N$20000,$C1024)&gt;0,(60-MIN(60,SUMIFS(INPUT_DELAY!$E$5:$E$20000,INPUT_DELAY!$A$5:$A$20000,Kalkulasi!$B$987,INPUT_DELAY!$B$5:$B$20000,"00-01",INPUT_DELAY!$C$5:$C$20000,$A1024)+SUMIFS(INPUT_DELAY!$E$5:$E$20000,INPUT_DELAY!$A$5:$A$20000,Kalkulasi!$B$987,INPUT_DELAY!$B$5:$B$20000,"00-01",INPUT_DELAY!$C$5:$C$20000,"SEMUA")))/60,0)+IF(SUMIFS(INPUT_RITASE!$L$5:$L$20000,INPUT_RITASE!$A$5:$A$20000,Kalkulasi!$B$987,INPUT_RITASE!$B$5:$B$20000,"01-02",INPUT_RITASE!$C$5:$C$20000,$A1024,INPUT_RITASE!$N$5:$N$20000,$C1024)&gt;0,(60-MIN(60,SUMIFS(INPUT_DELAY!$E$5:$E$20000,INPUT_DELAY!$A$5:$A$20000,Kalkulasi!$B$987,INPUT_DELAY!$B$5:$B$20000,"01-02",INPUT_DELAY!$C$5:$C$20000,$A1024)+SUMIFS(INPUT_DELAY!$E$5:$E$20000,INPUT_DELAY!$A$5:$A$20000,Kalkulasi!$B$987,INPUT_DELAY!$B$5:$B$20000,"01-02",INPUT_DELAY!$C$5:$C$20000,"SEMUA")))/60,0)+IF(SUMIFS(INPUT_RITASE!$L$5:$L$20000,INPUT_RITASE!$A$5:$A$20000,Kalkulasi!$B$987,INPUT_RITASE!$B$5:$B$20000,"02-03",INPUT_RITASE!$C$5:$C$20000,$A1024,INPUT_RITASE!$N$5:$N$20000,$C1024)&gt;0,(60-MIN(60,SUMIFS(INPUT_DELAY!$E$5:$E$20000,INPUT_DELAY!$A$5:$A$20000,Kalkulasi!$B$987,INPUT_DELAY!$B$5:$B$20000,"02-03",INPUT_DELAY!$C$5:$C$20000,$A1024)+SUMIFS(INPUT_DELAY!$E$5:$E$20000,INPUT_DELAY!$A$5:$A$20000,Kalkulasi!$B$987,INPUT_DELAY!$B$5:$B$20000,"02-03",INPUT_DELAY!$C$5:$C$20000,"SEMUA")))/60,0)+IF(SUMIFS(INPUT_RITASE!$L$5:$L$20000,INPUT_RITASE!$A$5:$A$20000,Kalkulasi!$B$987,INPUT_RITASE!$B$5:$B$20000,"03-04",INPUT_RITASE!$C$5:$C$20000,$A1024,INPUT_RITASE!$N$5:$N$20000,$C1024)&gt;0,(60-MIN(60,SUMIFS(INPUT_DELAY!$E$5:$E$20000,INPUT_DELAY!$A$5:$A$20000,Kalkulasi!$B$987,INPUT_DELAY!$B$5:$B$20000,"03-04",INPUT_DELAY!$C$5:$C$20000,$A1024)+SUMIFS(INPUT_DELAY!$E$5:$E$20000,INPUT_DELAY!$A$5:$A$20000,Kalkulasi!$B$987,INPUT_DELAY!$B$5:$B$20000,"03-04",INPUT_DELAY!$C$5:$C$20000,"SEMUA")))/60,0)+IF(SUMIFS(INPUT_RITASE!$L$5:$L$20000,INPUT_RITASE!$A$5:$A$20000,Kalkulasi!$B$987,INPUT_RITASE!$B$5:$B$20000,"04-05",INPUT_RITASE!$C$5:$C$20000,$A1024,INPUT_RITASE!$N$5:$N$20000,$C1024)&gt;0,(60-MIN(60,SUMIFS(INPUT_DELAY!$E$5:$E$20000,INPUT_DELAY!$A$5:$A$20000,Kalkulasi!$B$987,INPUT_DELAY!$B$5:$B$20000,"04-05",INPUT_DELAY!$C$5:$C$20000,$A1024)+SUMIFS(INPUT_DELAY!$E$5:$E$20000,INPUT_DELAY!$A$5:$A$20000,Kalkulasi!$B$987,INPUT_DELAY!$B$5:$B$20000,"04-05",INPUT_DELAY!$C$5:$C$20000,"SEMUA")))/60,0)+IF(SUMIFS(INPUT_RITASE!$L$5:$L$20000,INPUT_RITASE!$A$5:$A$20000,Kalkulasi!$B$987,INPUT_RITASE!$B$5:$B$20000,"05-06",INPUT_RITASE!$C$5:$C$20000,$A1024,INPUT_RITASE!$N$5:$N$20000,$C1024)&gt;0,(60-MIN(60,SUMIFS(INPUT_DELAY!$E$5:$E$20000,INPUT_DELAY!$A$5:$A$20000,Kalkulasi!$B$987,INPUT_DELAY!$B$5:$B$20000,"05-06",INPUT_DELAY!$C$5:$C$20000,$A1024)+SUMIFS(INPUT_DELAY!$E$5:$E$20000,INPUT_DELAY!$A$5:$A$20000,Kalkulasi!$B$987,INPUT_DELAY!$B$5:$B$20000,"05-06",INPUT_DELAY!$C$5:$C$20000,"SEMUA")))/60,0)</f>
        <v/>
      </c>
      <c r="J1024">
        <f>E1024+H1024</f>
        <v/>
      </c>
      <c r="K1024">
        <f>IF(F1024+I1024=0,"",J1024/(F1024+I1024))</f>
        <v/>
      </c>
      <c r="L1024">
        <f>IFERROR(IF($C1024="OB",INDEX(MASTER_JAM!$F$5:$F$94,MATCH($A1024,MASTER_JAM!$A$5:$A$94,0)),INDEX(MASTER_JAM!$G$5:$G$94,MATCH($A1024,MASTER_JAM!$A$5:$A$94,0)))+0,0)</f>
        <v/>
      </c>
      <c r="M1024">
        <f>J1024+(D1024+G1024)/1000+ROW()/1000000</f>
        <v/>
      </c>
      <c r="O1024">
        <f>SUMIFS(INPUT_DELAY!$E$5:$E$20000,INPUT_DELAY!$A$5:$A$20000,Kalkulasi!$B$987,INPUT_DELAY!$C$5:$C$20000,$A1024)</f>
        <v/>
      </c>
    </row>
    <row r="1025">
      <c r="A1025" t="inlineStr">
        <is>
          <t>EX-1252</t>
        </is>
      </c>
      <c r="B1025">
        <f>IFERROR(INDEX(MASTER_JAM!$B$5:$B$94,MATCH($A1025,MASTER_JAM!$A$5:$A$94,0)),"")</f>
        <v/>
      </c>
      <c r="C1025">
        <f>IF(SUMIFS(INPUT_RITASE!$L$5:$L$20000,INPUT_RITASE!$A$5:$A$20000,Kalkulasi!$B$987,INPUT_RITASE!$C$5:$C$20000,$A1025,INPUT_RITASE!$N$5:$N$20000,"Coal")&gt;SUMIFS(INPUT_RITASE!$L$5:$L$20000,INPUT_RITASE!$A$5:$A$20000,Kalkulasi!$B$987,INPUT_RITASE!$C$5:$C$20000,$A1025,INPUT_RITASE!$N$5:$N$20000,"OB"),"Coal","OB")</f>
        <v/>
      </c>
      <c r="D1025">
        <f>SUMIFS(INPUT_RITASE!$F$5:$F$20000,INPUT_RITASE!$A$5:$A$20000,Kalkulasi!$B$987,INPUT_RITASE!$H$5:$H$20000,"DS",INPUT_RITASE!$C$5:$C$20000,$A1025)</f>
        <v/>
      </c>
      <c r="E1025">
        <f>SUMIFS(INPUT_RITASE!$L$5:$L$20000,INPUT_RITASE!$A$5:$A$20000,Kalkulasi!$B$987,INPUT_RITASE!$H$5:$H$20000,"DS",INPUT_RITASE!$C$5:$C$20000,$A1025,INPUT_RITASE!$N$5:$N$20000,$C1025)</f>
        <v/>
      </c>
      <c r="F1025">
        <f>IF(SUMIFS(INPUT_RITASE!$L$5:$L$20000,INPUT_RITASE!$A$5:$A$20000,Kalkulasi!$B$987,INPUT_RITASE!$B$5:$B$20000,"06-07",INPUT_RITASE!$C$5:$C$20000,$A1025,INPUT_RITASE!$N$5:$N$20000,$C1025)&gt;0,(60-MIN(60,SUMIFS(INPUT_DELAY!$E$5:$E$20000,INPUT_DELAY!$A$5:$A$20000,Kalkulasi!$B$987,INPUT_DELAY!$B$5:$B$20000,"06-07",INPUT_DELAY!$C$5:$C$20000,$A1025)+SUMIFS(INPUT_DELAY!$E$5:$E$20000,INPUT_DELAY!$A$5:$A$20000,Kalkulasi!$B$987,INPUT_DELAY!$B$5:$B$20000,"06-07",INPUT_DELAY!$C$5:$C$20000,"SEMUA")))/60,0)+IF(SUMIFS(INPUT_RITASE!$L$5:$L$20000,INPUT_RITASE!$A$5:$A$20000,Kalkulasi!$B$987,INPUT_RITASE!$B$5:$B$20000,"07-08",INPUT_RITASE!$C$5:$C$20000,$A1025,INPUT_RITASE!$N$5:$N$20000,$C1025)&gt;0,(60-MIN(60,SUMIFS(INPUT_DELAY!$E$5:$E$20000,INPUT_DELAY!$A$5:$A$20000,Kalkulasi!$B$987,INPUT_DELAY!$B$5:$B$20000,"07-08",INPUT_DELAY!$C$5:$C$20000,$A1025)+SUMIFS(INPUT_DELAY!$E$5:$E$20000,INPUT_DELAY!$A$5:$A$20000,Kalkulasi!$B$987,INPUT_DELAY!$B$5:$B$20000,"07-08",INPUT_DELAY!$C$5:$C$20000,"SEMUA")))/60,0)+IF(SUMIFS(INPUT_RITASE!$L$5:$L$20000,INPUT_RITASE!$A$5:$A$20000,Kalkulasi!$B$987,INPUT_RITASE!$B$5:$B$20000,"08-09",INPUT_RITASE!$C$5:$C$20000,$A1025,INPUT_RITASE!$N$5:$N$20000,$C1025)&gt;0,(60-MIN(60,SUMIFS(INPUT_DELAY!$E$5:$E$20000,INPUT_DELAY!$A$5:$A$20000,Kalkulasi!$B$987,INPUT_DELAY!$B$5:$B$20000,"08-09",INPUT_DELAY!$C$5:$C$20000,$A1025)+SUMIFS(INPUT_DELAY!$E$5:$E$20000,INPUT_DELAY!$A$5:$A$20000,Kalkulasi!$B$987,INPUT_DELAY!$B$5:$B$20000,"08-09",INPUT_DELAY!$C$5:$C$20000,"SEMUA")))/60,0)+IF(SUMIFS(INPUT_RITASE!$L$5:$L$20000,INPUT_RITASE!$A$5:$A$20000,Kalkulasi!$B$987,INPUT_RITASE!$B$5:$B$20000,"09-10",INPUT_RITASE!$C$5:$C$20000,$A1025,INPUT_RITASE!$N$5:$N$20000,$C1025)&gt;0,(60-MIN(60,SUMIFS(INPUT_DELAY!$E$5:$E$20000,INPUT_DELAY!$A$5:$A$20000,Kalkulasi!$B$987,INPUT_DELAY!$B$5:$B$20000,"09-10",INPUT_DELAY!$C$5:$C$20000,$A1025)+SUMIFS(INPUT_DELAY!$E$5:$E$20000,INPUT_DELAY!$A$5:$A$20000,Kalkulasi!$B$987,INPUT_DELAY!$B$5:$B$20000,"09-10",INPUT_DELAY!$C$5:$C$20000,"SEMUA")))/60,0)+IF(SUMIFS(INPUT_RITASE!$L$5:$L$20000,INPUT_RITASE!$A$5:$A$20000,Kalkulasi!$B$987,INPUT_RITASE!$B$5:$B$20000,"10-11",INPUT_RITASE!$C$5:$C$20000,$A1025,INPUT_RITASE!$N$5:$N$20000,$C1025)&gt;0,(60-MIN(60,SUMIFS(INPUT_DELAY!$E$5:$E$20000,INPUT_DELAY!$A$5:$A$20000,Kalkulasi!$B$987,INPUT_DELAY!$B$5:$B$20000,"10-11",INPUT_DELAY!$C$5:$C$20000,$A1025)+SUMIFS(INPUT_DELAY!$E$5:$E$20000,INPUT_DELAY!$A$5:$A$20000,Kalkulasi!$B$987,INPUT_DELAY!$B$5:$B$20000,"10-11",INPUT_DELAY!$C$5:$C$20000,"SEMUA")))/60,0)+IF(SUMIFS(INPUT_RITASE!$L$5:$L$20000,INPUT_RITASE!$A$5:$A$20000,Kalkulasi!$B$987,INPUT_RITASE!$B$5:$B$20000,"11-12",INPUT_RITASE!$C$5:$C$20000,$A1025,INPUT_RITASE!$N$5:$N$20000,$C1025)&gt;0,(60-MIN(60,SUMIFS(INPUT_DELAY!$E$5:$E$20000,INPUT_DELAY!$A$5:$A$20000,Kalkulasi!$B$987,INPUT_DELAY!$B$5:$B$20000,"11-12",INPUT_DELAY!$C$5:$C$20000,$A1025)+SUMIFS(INPUT_DELAY!$E$5:$E$20000,INPUT_DELAY!$A$5:$A$20000,Kalkulasi!$B$987,INPUT_DELAY!$B$5:$B$20000,"11-12",INPUT_DELAY!$C$5:$C$20000,"SEMUA")))/60,0)+IF(SUMIFS(INPUT_RITASE!$L$5:$L$20000,INPUT_RITASE!$A$5:$A$20000,Kalkulasi!$B$987,INPUT_RITASE!$B$5:$B$20000,"12-13",INPUT_RITASE!$C$5:$C$20000,$A1025,INPUT_RITASE!$N$5:$N$20000,$C1025)&gt;0,(60-MIN(60,SUMIFS(INPUT_DELAY!$E$5:$E$20000,INPUT_DELAY!$A$5:$A$20000,Kalkulasi!$B$987,INPUT_DELAY!$B$5:$B$20000,"12-13",INPUT_DELAY!$C$5:$C$20000,$A1025)+SUMIFS(INPUT_DELAY!$E$5:$E$20000,INPUT_DELAY!$A$5:$A$20000,Kalkulasi!$B$987,INPUT_DELAY!$B$5:$B$20000,"12-13",INPUT_DELAY!$C$5:$C$20000,"SEMUA")))/60,0)+IF(SUMIFS(INPUT_RITASE!$L$5:$L$20000,INPUT_RITASE!$A$5:$A$20000,Kalkulasi!$B$987,INPUT_RITASE!$B$5:$B$20000,"13-14",INPUT_RITASE!$C$5:$C$20000,$A1025,INPUT_RITASE!$N$5:$N$20000,$C1025)&gt;0,(60-MIN(60,SUMIFS(INPUT_DELAY!$E$5:$E$20000,INPUT_DELAY!$A$5:$A$20000,Kalkulasi!$B$987,INPUT_DELAY!$B$5:$B$20000,"13-14",INPUT_DELAY!$C$5:$C$20000,$A1025)+SUMIFS(INPUT_DELAY!$E$5:$E$20000,INPUT_DELAY!$A$5:$A$20000,Kalkulasi!$B$987,INPUT_DELAY!$B$5:$B$20000,"13-14",INPUT_DELAY!$C$5:$C$20000,"SEMUA")))/60,0)+IF(SUMIFS(INPUT_RITASE!$L$5:$L$20000,INPUT_RITASE!$A$5:$A$20000,Kalkulasi!$B$987,INPUT_RITASE!$B$5:$B$20000,"14-15",INPUT_RITASE!$C$5:$C$20000,$A1025,INPUT_RITASE!$N$5:$N$20000,$C1025)&gt;0,(60-MIN(60,SUMIFS(INPUT_DELAY!$E$5:$E$20000,INPUT_DELAY!$A$5:$A$20000,Kalkulasi!$B$987,INPUT_DELAY!$B$5:$B$20000,"14-15",INPUT_DELAY!$C$5:$C$20000,$A1025)+SUMIFS(INPUT_DELAY!$E$5:$E$20000,INPUT_DELAY!$A$5:$A$20000,Kalkulasi!$B$987,INPUT_DELAY!$B$5:$B$20000,"14-15",INPUT_DELAY!$C$5:$C$20000,"SEMUA")))/60,0)+IF(SUMIFS(INPUT_RITASE!$L$5:$L$20000,INPUT_RITASE!$A$5:$A$20000,Kalkulasi!$B$987,INPUT_RITASE!$B$5:$B$20000,"15-16",INPUT_RITASE!$C$5:$C$20000,$A1025,INPUT_RITASE!$N$5:$N$20000,$C1025)&gt;0,(60-MIN(60,SUMIFS(INPUT_DELAY!$E$5:$E$20000,INPUT_DELAY!$A$5:$A$20000,Kalkulasi!$B$987,INPUT_DELAY!$B$5:$B$20000,"15-16",INPUT_DELAY!$C$5:$C$20000,$A1025)+SUMIFS(INPUT_DELAY!$E$5:$E$20000,INPUT_DELAY!$A$5:$A$20000,Kalkulasi!$B$987,INPUT_DELAY!$B$5:$B$20000,"15-16",INPUT_DELAY!$C$5:$C$20000,"SEMUA")))/60,0)+IF(SUMIFS(INPUT_RITASE!$L$5:$L$20000,INPUT_RITASE!$A$5:$A$20000,Kalkulasi!$B$987,INPUT_RITASE!$B$5:$B$20000,"16-17",INPUT_RITASE!$C$5:$C$20000,$A1025,INPUT_RITASE!$N$5:$N$20000,$C1025)&gt;0,(60-MIN(60,SUMIFS(INPUT_DELAY!$E$5:$E$20000,INPUT_DELAY!$A$5:$A$20000,Kalkulasi!$B$987,INPUT_DELAY!$B$5:$B$20000,"16-17",INPUT_DELAY!$C$5:$C$20000,$A1025)+SUMIFS(INPUT_DELAY!$E$5:$E$20000,INPUT_DELAY!$A$5:$A$20000,Kalkulasi!$B$987,INPUT_DELAY!$B$5:$B$20000,"16-17",INPUT_DELAY!$C$5:$C$20000,"SEMUA")))/60,0)+IF(SUMIFS(INPUT_RITASE!$L$5:$L$20000,INPUT_RITASE!$A$5:$A$20000,Kalkulasi!$B$987,INPUT_RITASE!$B$5:$B$20000,"17-18",INPUT_RITASE!$C$5:$C$20000,$A1025,INPUT_RITASE!$N$5:$N$20000,$C1025)&gt;0,(60-MIN(60,SUMIFS(INPUT_DELAY!$E$5:$E$20000,INPUT_DELAY!$A$5:$A$20000,Kalkulasi!$B$987,INPUT_DELAY!$B$5:$B$20000,"17-18",INPUT_DELAY!$C$5:$C$20000,$A1025)+SUMIFS(INPUT_DELAY!$E$5:$E$20000,INPUT_DELAY!$A$5:$A$20000,Kalkulasi!$B$987,INPUT_DELAY!$B$5:$B$20000,"17-18",INPUT_DELAY!$C$5:$C$20000,"SEMUA")))/60,0)</f>
        <v/>
      </c>
      <c r="G1025">
        <f>SUMIFS(INPUT_RITASE!$F$5:$F$20000,INPUT_RITASE!$A$5:$A$20000,Kalkulasi!$B$987,INPUT_RITASE!$H$5:$H$20000,"NS",INPUT_RITASE!$C$5:$C$20000,$A1025)</f>
        <v/>
      </c>
      <c r="H1025">
        <f>SUMIFS(INPUT_RITASE!$L$5:$L$20000,INPUT_RITASE!$A$5:$A$20000,Kalkulasi!$B$987,INPUT_RITASE!$H$5:$H$20000,"NS",INPUT_RITASE!$C$5:$C$20000,$A1025,INPUT_RITASE!$N$5:$N$20000,$C1025)</f>
        <v/>
      </c>
      <c r="I1025">
        <f>IF(SUMIFS(INPUT_RITASE!$L$5:$L$20000,INPUT_RITASE!$A$5:$A$20000,Kalkulasi!$B$987,INPUT_RITASE!$B$5:$B$20000,"18-19",INPUT_RITASE!$C$5:$C$20000,$A1025,INPUT_RITASE!$N$5:$N$20000,$C1025)&gt;0,(60-MIN(60,SUMIFS(INPUT_DELAY!$E$5:$E$20000,INPUT_DELAY!$A$5:$A$20000,Kalkulasi!$B$987,INPUT_DELAY!$B$5:$B$20000,"18-19",INPUT_DELAY!$C$5:$C$20000,$A1025)+SUMIFS(INPUT_DELAY!$E$5:$E$20000,INPUT_DELAY!$A$5:$A$20000,Kalkulasi!$B$987,INPUT_DELAY!$B$5:$B$20000,"18-19",INPUT_DELAY!$C$5:$C$20000,"SEMUA")))/60,0)+IF(SUMIFS(INPUT_RITASE!$L$5:$L$20000,INPUT_RITASE!$A$5:$A$20000,Kalkulasi!$B$987,INPUT_RITASE!$B$5:$B$20000,"19-20",INPUT_RITASE!$C$5:$C$20000,$A1025,INPUT_RITASE!$N$5:$N$20000,$C1025)&gt;0,(60-MIN(60,SUMIFS(INPUT_DELAY!$E$5:$E$20000,INPUT_DELAY!$A$5:$A$20000,Kalkulasi!$B$987,INPUT_DELAY!$B$5:$B$20000,"19-20",INPUT_DELAY!$C$5:$C$20000,$A1025)+SUMIFS(INPUT_DELAY!$E$5:$E$20000,INPUT_DELAY!$A$5:$A$20000,Kalkulasi!$B$987,INPUT_DELAY!$B$5:$B$20000,"19-20",INPUT_DELAY!$C$5:$C$20000,"SEMUA")))/60,0)+IF(SUMIFS(INPUT_RITASE!$L$5:$L$20000,INPUT_RITASE!$A$5:$A$20000,Kalkulasi!$B$987,INPUT_RITASE!$B$5:$B$20000,"20-21",INPUT_RITASE!$C$5:$C$20000,$A1025,INPUT_RITASE!$N$5:$N$20000,$C1025)&gt;0,(60-MIN(60,SUMIFS(INPUT_DELAY!$E$5:$E$20000,INPUT_DELAY!$A$5:$A$20000,Kalkulasi!$B$987,INPUT_DELAY!$B$5:$B$20000,"20-21",INPUT_DELAY!$C$5:$C$20000,$A1025)+SUMIFS(INPUT_DELAY!$E$5:$E$20000,INPUT_DELAY!$A$5:$A$20000,Kalkulasi!$B$987,INPUT_DELAY!$B$5:$B$20000,"20-21",INPUT_DELAY!$C$5:$C$20000,"SEMUA")))/60,0)+IF(SUMIFS(INPUT_RITASE!$L$5:$L$20000,INPUT_RITASE!$A$5:$A$20000,Kalkulasi!$B$987,INPUT_RITASE!$B$5:$B$20000,"21-22",INPUT_RITASE!$C$5:$C$20000,$A1025,INPUT_RITASE!$N$5:$N$20000,$C1025)&gt;0,(60-MIN(60,SUMIFS(INPUT_DELAY!$E$5:$E$20000,INPUT_DELAY!$A$5:$A$20000,Kalkulasi!$B$987,INPUT_DELAY!$B$5:$B$20000,"21-22",INPUT_DELAY!$C$5:$C$20000,$A1025)+SUMIFS(INPUT_DELAY!$E$5:$E$20000,INPUT_DELAY!$A$5:$A$20000,Kalkulasi!$B$987,INPUT_DELAY!$B$5:$B$20000,"21-22",INPUT_DELAY!$C$5:$C$20000,"SEMUA")))/60,0)+IF(SUMIFS(INPUT_RITASE!$L$5:$L$20000,INPUT_RITASE!$A$5:$A$20000,Kalkulasi!$B$987,INPUT_RITASE!$B$5:$B$20000,"22-23",INPUT_RITASE!$C$5:$C$20000,$A1025,INPUT_RITASE!$N$5:$N$20000,$C1025)&gt;0,(60-MIN(60,SUMIFS(INPUT_DELAY!$E$5:$E$20000,INPUT_DELAY!$A$5:$A$20000,Kalkulasi!$B$987,INPUT_DELAY!$B$5:$B$20000,"22-23",INPUT_DELAY!$C$5:$C$20000,$A1025)+SUMIFS(INPUT_DELAY!$E$5:$E$20000,INPUT_DELAY!$A$5:$A$20000,Kalkulasi!$B$987,INPUT_DELAY!$B$5:$B$20000,"22-23",INPUT_DELAY!$C$5:$C$20000,"SEMUA")))/60,0)+IF(SUMIFS(INPUT_RITASE!$L$5:$L$20000,INPUT_RITASE!$A$5:$A$20000,Kalkulasi!$B$987,INPUT_RITASE!$B$5:$B$20000,"23-24",INPUT_RITASE!$C$5:$C$20000,$A1025,INPUT_RITASE!$N$5:$N$20000,$C1025)&gt;0,(60-MIN(60,SUMIFS(INPUT_DELAY!$E$5:$E$20000,INPUT_DELAY!$A$5:$A$20000,Kalkulasi!$B$987,INPUT_DELAY!$B$5:$B$20000,"23-24",INPUT_DELAY!$C$5:$C$20000,$A1025)+SUMIFS(INPUT_DELAY!$E$5:$E$20000,INPUT_DELAY!$A$5:$A$20000,Kalkulasi!$B$987,INPUT_DELAY!$B$5:$B$20000,"23-24",INPUT_DELAY!$C$5:$C$20000,"SEMUA")))/60,0)+IF(SUMIFS(INPUT_RITASE!$L$5:$L$20000,INPUT_RITASE!$A$5:$A$20000,Kalkulasi!$B$987,INPUT_RITASE!$B$5:$B$20000,"00-01",INPUT_RITASE!$C$5:$C$20000,$A1025,INPUT_RITASE!$N$5:$N$20000,$C1025)&gt;0,(60-MIN(60,SUMIFS(INPUT_DELAY!$E$5:$E$20000,INPUT_DELAY!$A$5:$A$20000,Kalkulasi!$B$987,INPUT_DELAY!$B$5:$B$20000,"00-01",INPUT_DELAY!$C$5:$C$20000,$A1025)+SUMIFS(INPUT_DELAY!$E$5:$E$20000,INPUT_DELAY!$A$5:$A$20000,Kalkulasi!$B$987,INPUT_DELAY!$B$5:$B$20000,"00-01",INPUT_DELAY!$C$5:$C$20000,"SEMUA")))/60,0)+IF(SUMIFS(INPUT_RITASE!$L$5:$L$20000,INPUT_RITASE!$A$5:$A$20000,Kalkulasi!$B$987,INPUT_RITASE!$B$5:$B$20000,"01-02",INPUT_RITASE!$C$5:$C$20000,$A1025,INPUT_RITASE!$N$5:$N$20000,$C1025)&gt;0,(60-MIN(60,SUMIFS(INPUT_DELAY!$E$5:$E$20000,INPUT_DELAY!$A$5:$A$20000,Kalkulasi!$B$987,INPUT_DELAY!$B$5:$B$20000,"01-02",INPUT_DELAY!$C$5:$C$20000,$A1025)+SUMIFS(INPUT_DELAY!$E$5:$E$20000,INPUT_DELAY!$A$5:$A$20000,Kalkulasi!$B$987,INPUT_DELAY!$B$5:$B$20000,"01-02",INPUT_DELAY!$C$5:$C$20000,"SEMUA")))/60,0)+IF(SUMIFS(INPUT_RITASE!$L$5:$L$20000,INPUT_RITASE!$A$5:$A$20000,Kalkulasi!$B$987,INPUT_RITASE!$B$5:$B$20000,"02-03",INPUT_RITASE!$C$5:$C$20000,$A1025,INPUT_RITASE!$N$5:$N$20000,$C1025)&gt;0,(60-MIN(60,SUMIFS(INPUT_DELAY!$E$5:$E$20000,INPUT_DELAY!$A$5:$A$20000,Kalkulasi!$B$987,INPUT_DELAY!$B$5:$B$20000,"02-03",INPUT_DELAY!$C$5:$C$20000,$A1025)+SUMIFS(INPUT_DELAY!$E$5:$E$20000,INPUT_DELAY!$A$5:$A$20000,Kalkulasi!$B$987,INPUT_DELAY!$B$5:$B$20000,"02-03",INPUT_DELAY!$C$5:$C$20000,"SEMUA")))/60,0)+IF(SUMIFS(INPUT_RITASE!$L$5:$L$20000,INPUT_RITASE!$A$5:$A$20000,Kalkulasi!$B$987,INPUT_RITASE!$B$5:$B$20000,"03-04",INPUT_RITASE!$C$5:$C$20000,$A1025,INPUT_RITASE!$N$5:$N$20000,$C1025)&gt;0,(60-MIN(60,SUMIFS(INPUT_DELAY!$E$5:$E$20000,INPUT_DELAY!$A$5:$A$20000,Kalkulasi!$B$987,INPUT_DELAY!$B$5:$B$20000,"03-04",INPUT_DELAY!$C$5:$C$20000,$A1025)+SUMIFS(INPUT_DELAY!$E$5:$E$20000,INPUT_DELAY!$A$5:$A$20000,Kalkulasi!$B$987,INPUT_DELAY!$B$5:$B$20000,"03-04",INPUT_DELAY!$C$5:$C$20000,"SEMUA")))/60,0)+IF(SUMIFS(INPUT_RITASE!$L$5:$L$20000,INPUT_RITASE!$A$5:$A$20000,Kalkulasi!$B$987,INPUT_RITASE!$B$5:$B$20000,"04-05",INPUT_RITASE!$C$5:$C$20000,$A1025,INPUT_RITASE!$N$5:$N$20000,$C1025)&gt;0,(60-MIN(60,SUMIFS(INPUT_DELAY!$E$5:$E$20000,INPUT_DELAY!$A$5:$A$20000,Kalkulasi!$B$987,INPUT_DELAY!$B$5:$B$20000,"04-05",INPUT_DELAY!$C$5:$C$20000,$A1025)+SUMIFS(INPUT_DELAY!$E$5:$E$20000,INPUT_DELAY!$A$5:$A$20000,Kalkulasi!$B$987,INPUT_DELAY!$B$5:$B$20000,"04-05",INPUT_DELAY!$C$5:$C$20000,"SEMUA")))/60,0)+IF(SUMIFS(INPUT_RITASE!$L$5:$L$20000,INPUT_RITASE!$A$5:$A$20000,Kalkulasi!$B$987,INPUT_RITASE!$B$5:$B$20000,"05-06",INPUT_RITASE!$C$5:$C$20000,$A1025,INPUT_RITASE!$N$5:$N$20000,$C1025)&gt;0,(60-MIN(60,SUMIFS(INPUT_DELAY!$E$5:$E$20000,INPUT_DELAY!$A$5:$A$20000,Kalkulasi!$B$987,INPUT_DELAY!$B$5:$B$20000,"05-06",INPUT_DELAY!$C$5:$C$20000,$A1025)+SUMIFS(INPUT_DELAY!$E$5:$E$20000,INPUT_DELAY!$A$5:$A$20000,Kalkulasi!$B$987,INPUT_DELAY!$B$5:$B$20000,"05-06",INPUT_DELAY!$C$5:$C$20000,"SEMUA")))/60,0)</f>
        <v/>
      </c>
      <c r="J1025">
        <f>E1025+H1025</f>
        <v/>
      </c>
      <c r="K1025">
        <f>IF(F1025+I1025=0,"",J1025/(F1025+I1025))</f>
        <v/>
      </c>
      <c r="L1025">
        <f>IFERROR(IF($C1025="OB",INDEX(MASTER_JAM!$F$5:$F$94,MATCH($A1025,MASTER_JAM!$A$5:$A$94,0)),INDEX(MASTER_JAM!$G$5:$G$94,MATCH($A1025,MASTER_JAM!$A$5:$A$94,0)))+0,0)</f>
        <v/>
      </c>
      <c r="M1025">
        <f>J1025+(D1025+G1025)/1000+ROW()/1000000</f>
        <v/>
      </c>
      <c r="O1025">
        <f>SUMIFS(INPUT_DELAY!$E$5:$E$20000,INPUT_DELAY!$A$5:$A$20000,Kalkulasi!$B$987,INPUT_DELAY!$C$5:$C$20000,$A1025)</f>
        <v/>
      </c>
    </row>
    <row r="1026">
      <c r="A1026" t="inlineStr">
        <is>
          <t>EX-334</t>
        </is>
      </c>
      <c r="B1026">
        <f>IFERROR(INDEX(MASTER_JAM!$B$5:$B$94,MATCH($A1026,MASTER_JAM!$A$5:$A$94,0)),"")</f>
        <v/>
      </c>
      <c r="C1026">
        <f>IF(SUMIFS(INPUT_RITASE!$L$5:$L$20000,INPUT_RITASE!$A$5:$A$20000,Kalkulasi!$B$987,INPUT_RITASE!$C$5:$C$20000,$A1026,INPUT_RITASE!$N$5:$N$20000,"Coal")&gt;SUMIFS(INPUT_RITASE!$L$5:$L$20000,INPUT_RITASE!$A$5:$A$20000,Kalkulasi!$B$987,INPUT_RITASE!$C$5:$C$20000,$A1026,INPUT_RITASE!$N$5:$N$20000,"OB"),"Coal","OB")</f>
        <v/>
      </c>
      <c r="D1026">
        <f>SUMIFS(INPUT_RITASE!$F$5:$F$20000,INPUT_RITASE!$A$5:$A$20000,Kalkulasi!$B$987,INPUT_RITASE!$H$5:$H$20000,"DS",INPUT_RITASE!$C$5:$C$20000,$A1026)</f>
        <v/>
      </c>
      <c r="E1026">
        <f>SUMIFS(INPUT_RITASE!$L$5:$L$20000,INPUT_RITASE!$A$5:$A$20000,Kalkulasi!$B$987,INPUT_RITASE!$H$5:$H$20000,"DS",INPUT_RITASE!$C$5:$C$20000,$A1026,INPUT_RITASE!$N$5:$N$20000,$C1026)</f>
        <v/>
      </c>
      <c r="F1026">
        <f>IF(SUMIFS(INPUT_RITASE!$L$5:$L$20000,INPUT_RITASE!$A$5:$A$20000,Kalkulasi!$B$987,INPUT_RITASE!$B$5:$B$20000,"06-07",INPUT_RITASE!$C$5:$C$20000,$A1026,INPUT_RITASE!$N$5:$N$20000,$C1026)&gt;0,(60-MIN(60,SUMIFS(INPUT_DELAY!$E$5:$E$20000,INPUT_DELAY!$A$5:$A$20000,Kalkulasi!$B$987,INPUT_DELAY!$B$5:$B$20000,"06-07",INPUT_DELAY!$C$5:$C$20000,$A1026)+SUMIFS(INPUT_DELAY!$E$5:$E$20000,INPUT_DELAY!$A$5:$A$20000,Kalkulasi!$B$987,INPUT_DELAY!$B$5:$B$20000,"06-07",INPUT_DELAY!$C$5:$C$20000,"SEMUA")))/60,0)+IF(SUMIFS(INPUT_RITASE!$L$5:$L$20000,INPUT_RITASE!$A$5:$A$20000,Kalkulasi!$B$987,INPUT_RITASE!$B$5:$B$20000,"07-08",INPUT_RITASE!$C$5:$C$20000,$A1026,INPUT_RITASE!$N$5:$N$20000,$C1026)&gt;0,(60-MIN(60,SUMIFS(INPUT_DELAY!$E$5:$E$20000,INPUT_DELAY!$A$5:$A$20000,Kalkulasi!$B$987,INPUT_DELAY!$B$5:$B$20000,"07-08",INPUT_DELAY!$C$5:$C$20000,$A1026)+SUMIFS(INPUT_DELAY!$E$5:$E$20000,INPUT_DELAY!$A$5:$A$20000,Kalkulasi!$B$987,INPUT_DELAY!$B$5:$B$20000,"07-08",INPUT_DELAY!$C$5:$C$20000,"SEMUA")))/60,0)+IF(SUMIFS(INPUT_RITASE!$L$5:$L$20000,INPUT_RITASE!$A$5:$A$20000,Kalkulasi!$B$987,INPUT_RITASE!$B$5:$B$20000,"08-09",INPUT_RITASE!$C$5:$C$20000,$A1026,INPUT_RITASE!$N$5:$N$20000,$C1026)&gt;0,(60-MIN(60,SUMIFS(INPUT_DELAY!$E$5:$E$20000,INPUT_DELAY!$A$5:$A$20000,Kalkulasi!$B$987,INPUT_DELAY!$B$5:$B$20000,"08-09",INPUT_DELAY!$C$5:$C$20000,$A1026)+SUMIFS(INPUT_DELAY!$E$5:$E$20000,INPUT_DELAY!$A$5:$A$20000,Kalkulasi!$B$987,INPUT_DELAY!$B$5:$B$20000,"08-09",INPUT_DELAY!$C$5:$C$20000,"SEMUA")))/60,0)+IF(SUMIFS(INPUT_RITASE!$L$5:$L$20000,INPUT_RITASE!$A$5:$A$20000,Kalkulasi!$B$987,INPUT_RITASE!$B$5:$B$20000,"09-10",INPUT_RITASE!$C$5:$C$20000,$A1026,INPUT_RITASE!$N$5:$N$20000,$C1026)&gt;0,(60-MIN(60,SUMIFS(INPUT_DELAY!$E$5:$E$20000,INPUT_DELAY!$A$5:$A$20000,Kalkulasi!$B$987,INPUT_DELAY!$B$5:$B$20000,"09-10",INPUT_DELAY!$C$5:$C$20000,$A1026)+SUMIFS(INPUT_DELAY!$E$5:$E$20000,INPUT_DELAY!$A$5:$A$20000,Kalkulasi!$B$987,INPUT_DELAY!$B$5:$B$20000,"09-10",INPUT_DELAY!$C$5:$C$20000,"SEMUA")))/60,0)+IF(SUMIFS(INPUT_RITASE!$L$5:$L$20000,INPUT_RITASE!$A$5:$A$20000,Kalkulasi!$B$987,INPUT_RITASE!$B$5:$B$20000,"10-11",INPUT_RITASE!$C$5:$C$20000,$A1026,INPUT_RITASE!$N$5:$N$20000,$C1026)&gt;0,(60-MIN(60,SUMIFS(INPUT_DELAY!$E$5:$E$20000,INPUT_DELAY!$A$5:$A$20000,Kalkulasi!$B$987,INPUT_DELAY!$B$5:$B$20000,"10-11",INPUT_DELAY!$C$5:$C$20000,$A1026)+SUMIFS(INPUT_DELAY!$E$5:$E$20000,INPUT_DELAY!$A$5:$A$20000,Kalkulasi!$B$987,INPUT_DELAY!$B$5:$B$20000,"10-11",INPUT_DELAY!$C$5:$C$20000,"SEMUA")))/60,0)+IF(SUMIFS(INPUT_RITASE!$L$5:$L$20000,INPUT_RITASE!$A$5:$A$20000,Kalkulasi!$B$987,INPUT_RITASE!$B$5:$B$20000,"11-12",INPUT_RITASE!$C$5:$C$20000,$A1026,INPUT_RITASE!$N$5:$N$20000,$C1026)&gt;0,(60-MIN(60,SUMIFS(INPUT_DELAY!$E$5:$E$20000,INPUT_DELAY!$A$5:$A$20000,Kalkulasi!$B$987,INPUT_DELAY!$B$5:$B$20000,"11-12",INPUT_DELAY!$C$5:$C$20000,$A1026)+SUMIFS(INPUT_DELAY!$E$5:$E$20000,INPUT_DELAY!$A$5:$A$20000,Kalkulasi!$B$987,INPUT_DELAY!$B$5:$B$20000,"11-12",INPUT_DELAY!$C$5:$C$20000,"SEMUA")))/60,0)+IF(SUMIFS(INPUT_RITASE!$L$5:$L$20000,INPUT_RITASE!$A$5:$A$20000,Kalkulasi!$B$987,INPUT_RITASE!$B$5:$B$20000,"12-13",INPUT_RITASE!$C$5:$C$20000,$A1026,INPUT_RITASE!$N$5:$N$20000,$C1026)&gt;0,(60-MIN(60,SUMIFS(INPUT_DELAY!$E$5:$E$20000,INPUT_DELAY!$A$5:$A$20000,Kalkulasi!$B$987,INPUT_DELAY!$B$5:$B$20000,"12-13",INPUT_DELAY!$C$5:$C$20000,$A1026)+SUMIFS(INPUT_DELAY!$E$5:$E$20000,INPUT_DELAY!$A$5:$A$20000,Kalkulasi!$B$987,INPUT_DELAY!$B$5:$B$20000,"12-13",INPUT_DELAY!$C$5:$C$20000,"SEMUA")))/60,0)+IF(SUMIFS(INPUT_RITASE!$L$5:$L$20000,INPUT_RITASE!$A$5:$A$20000,Kalkulasi!$B$987,INPUT_RITASE!$B$5:$B$20000,"13-14",INPUT_RITASE!$C$5:$C$20000,$A1026,INPUT_RITASE!$N$5:$N$20000,$C1026)&gt;0,(60-MIN(60,SUMIFS(INPUT_DELAY!$E$5:$E$20000,INPUT_DELAY!$A$5:$A$20000,Kalkulasi!$B$987,INPUT_DELAY!$B$5:$B$20000,"13-14",INPUT_DELAY!$C$5:$C$20000,$A1026)+SUMIFS(INPUT_DELAY!$E$5:$E$20000,INPUT_DELAY!$A$5:$A$20000,Kalkulasi!$B$987,INPUT_DELAY!$B$5:$B$20000,"13-14",INPUT_DELAY!$C$5:$C$20000,"SEMUA")))/60,0)+IF(SUMIFS(INPUT_RITASE!$L$5:$L$20000,INPUT_RITASE!$A$5:$A$20000,Kalkulasi!$B$987,INPUT_RITASE!$B$5:$B$20000,"14-15",INPUT_RITASE!$C$5:$C$20000,$A1026,INPUT_RITASE!$N$5:$N$20000,$C1026)&gt;0,(60-MIN(60,SUMIFS(INPUT_DELAY!$E$5:$E$20000,INPUT_DELAY!$A$5:$A$20000,Kalkulasi!$B$987,INPUT_DELAY!$B$5:$B$20000,"14-15",INPUT_DELAY!$C$5:$C$20000,$A1026)+SUMIFS(INPUT_DELAY!$E$5:$E$20000,INPUT_DELAY!$A$5:$A$20000,Kalkulasi!$B$987,INPUT_DELAY!$B$5:$B$20000,"14-15",INPUT_DELAY!$C$5:$C$20000,"SEMUA")))/60,0)+IF(SUMIFS(INPUT_RITASE!$L$5:$L$20000,INPUT_RITASE!$A$5:$A$20000,Kalkulasi!$B$987,INPUT_RITASE!$B$5:$B$20000,"15-16",INPUT_RITASE!$C$5:$C$20000,$A1026,INPUT_RITASE!$N$5:$N$20000,$C1026)&gt;0,(60-MIN(60,SUMIFS(INPUT_DELAY!$E$5:$E$20000,INPUT_DELAY!$A$5:$A$20000,Kalkulasi!$B$987,INPUT_DELAY!$B$5:$B$20000,"15-16",INPUT_DELAY!$C$5:$C$20000,$A1026)+SUMIFS(INPUT_DELAY!$E$5:$E$20000,INPUT_DELAY!$A$5:$A$20000,Kalkulasi!$B$987,INPUT_DELAY!$B$5:$B$20000,"15-16",INPUT_DELAY!$C$5:$C$20000,"SEMUA")))/60,0)+IF(SUMIFS(INPUT_RITASE!$L$5:$L$20000,INPUT_RITASE!$A$5:$A$20000,Kalkulasi!$B$987,INPUT_RITASE!$B$5:$B$20000,"16-17",INPUT_RITASE!$C$5:$C$20000,$A1026,INPUT_RITASE!$N$5:$N$20000,$C1026)&gt;0,(60-MIN(60,SUMIFS(INPUT_DELAY!$E$5:$E$20000,INPUT_DELAY!$A$5:$A$20000,Kalkulasi!$B$987,INPUT_DELAY!$B$5:$B$20000,"16-17",INPUT_DELAY!$C$5:$C$20000,$A1026)+SUMIFS(INPUT_DELAY!$E$5:$E$20000,INPUT_DELAY!$A$5:$A$20000,Kalkulasi!$B$987,INPUT_DELAY!$B$5:$B$20000,"16-17",INPUT_DELAY!$C$5:$C$20000,"SEMUA")))/60,0)+IF(SUMIFS(INPUT_RITASE!$L$5:$L$20000,INPUT_RITASE!$A$5:$A$20000,Kalkulasi!$B$987,INPUT_RITASE!$B$5:$B$20000,"17-18",INPUT_RITASE!$C$5:$C$20000,$A1026,INPUT_RITASE!$N$5:$N$20000,$C1026)&gt;0,(60-MIN(60,SUMIFS(INPUT_DELAY!$E$5:$E$20000,INPUT_DELAY!$A$5:$A$20000,Kalkulasi!$B$987,INPUT_DELAY!$B$5:$B$20000,"17-18",INPUT_DELAY!$C$5:$C$20000,$A1026)+SUMIFS(INPUT_DELAY!$E$5:$E$20000,INPUT_DELAY!$A$5:$A$20000,Kalkulasi!$B$987,INPUT_DELAY!$B$5:$B$20000,"17-18",INPUT_DELAY!$C$5:$C$20000,"SEMUA")))/60,0)</f>
        <v/>
      </c>
      <c r="G1026">
        <f>SUMIFS(INPUT_RITASE!$F$5:$F$20000,INPUT_RITASE!$A$5:$A$20000,Kalkulasi!$B$987,INPUT_RITASE!$H$5:$H$20000,"NS",INPUT_RITASE!$C$5:$C$20000,$A1026)</f>
        <v/>
      </c>
      <c r="H1026">
        <f>SUMIFS(INPUT_RITASE!$L$5:$L$20000,INPUT_RITASE!$A$5:$A$20000,Kalkulasi!$B$987,INPUT_RITASE!$H$5:$H$20000,"NS",INPUT_RITASE!$C$5:$C$20000,$A1026,INPUT_RITASE!$N$5:$N$20000,$C1026)</f>
        <v/>
      </c>
      <c r="I1026">
        <f>IF(SUMIFS(INPUT_RITASE!$L$5:$L$20000,INPUT_RITASE!$A$5:$A$20000,Kalkulasi!$B$987,INPUT_RITASE!$B$5:$B$20000,"18-19",INPUT_RITASE!$C$5:$C$20000,$A1026,INPUT_RITASE!$N$5:$N$20000,$C1026)&gt;0,(60-MIN(60,SUMIFS(INPUT_DELAY!$E$5:$E$20000,INPUT_DELAY!$A$5:$A$20000,Kalkulasi!$B$987,INPUT_DELAY!$B$5:$B$20000,"18-19",INPUT_DELAY!$C$5:$C$20000,$A1026)+SUMIFS(INPUT_DELAY!$E$5:$E$20000,INPUT_DELAY!$A$5:$A$20000,Kalkulasi!$B$987,INPUT_DELAY!$B$5:$B$20000,"18-19",INPUT_DELAY!$C$5:$C$20000,"SEMUA")))/60,0)+IF(SUMIFS(INPUT_RITASE!$L$5:$L$20000,INPUT_RITASE!$A$5:$A$20000,Kalkulasi!$B$987,INPUT_RITASE!$B$5:$B$20000,"19-20",INPUT_RITASE!$C$5:$C$20000,$A1026,INPUT_RITASE!$N$5:$N$20000,$C1026)&gt;0,(60-MIN(60,SUMIFS(INPUT_DELAY!$E$5:$E$20000,INPUT_DELAY!$A$5:$A$20000,Kalkulasi!$B$987,INPUT_DELAY!$B$5:$B$20000,"19-20",INPUT_DELAY!$C$5:$C$20000,$A1026)+SUMIFS(INPUT_DELAY!$E$5:$E$20000,INPUT_DELAY!$A$5:$A$20000,Kalkulasi!$B$987,INPUT_DELAY!$B$5:$B$20000,"19-20",INPUT_DELAY!$C$5:$C$20000,"SEMUA")))/60,0)+IF(SUMIFS(INPUT_RITASE!$L$5:$L$20000,INPUT_RITASE!$A$5:$A$20000,Kalkulasi!$B$987,INPUT_RITASE!$B$5:$B$20000,"20-21",INPUT_RITASE!$C$5:$C$20000,$A1026,INPUT_RITASE!$N$5:$N$20000,$C1026)&gt;0,(60-MIN(60,SUMIFS(INPUT_DELAY!$E$5:$E$20000,INPUT_DELAY!$A$5:$A$20000,Kalkulasi!$B$987,INPUT_DELAY!$B$5:$B$20000,"20-21",INPUT_DELAY!$C$5:$C$20000,$A1026)+SUMIFS(INPUT_DELAY!$E$5:$E$20000,INPUT_DELAY!$A$5:$A$20000,Kalkulasi!$B$987,INPUT_DELAY!$B$5:$B$20000,"20-21",INPUT_DELAY!$C$5:$C$20000,"SEMUA")))/60,0)+IF(SUMIFS(INPUT_RITASE!$L$5:$L$20000,INPUT_RITASE!$A$5:$A$20000,Kalkulasi!$B$987,INPUT_RITASE!$B$5:$B$20000,"21-22",INPUT_RITASE!$C$5:$C$20000,$A1026,INPUT_RITASE!$N$5:$N$20000,$C1026)&gt;0,(60-MIN(60,SUMIFS(INPUT_DELAY!$E$5:$E$20000,INPUT_DELAY!$A$5:$A$20000,Kalkulasi!$B$987,INPUT_DELAY!$B$5:$B$20000,"21-22",INPUT_DELAY!$C$5:$C$20000,$A1026)+SUMIFS(INPUT_DELAY!$E$5:$E$20000,INPUT_DELAY!$A$5:$A$20000,Kalkulasi!$B$987,INPUT_DELAY!$B$5:$B$20000,"21-22",INPUT_DELAY!$C$5:$C$20000,"SEMUA")))/60,0)+IF(SUMIFS(INPUT_RITASE!$L$5:$L$20000,INPUT_RITASE!$A$5:$A$20000,Kalkulasi!$B$987,INPUT_RITASE!$B$5:$B$20000,"22-23",INPUT_RITASE!$C$5:$C$20000,$A1026,INPUT_RITASE!$N$5:$N$20000,$C1026)&gt;0,(60-MIN(60,SUMIFS(INPUT_DELAY!$E$5:$E$20000,INPUT_DELAY!$A$5:$A$20000,Kalkulasi!$B$987,INPUT_DELAY!$B$5:$B$20000,"22-23",INPUT_DELAY!$C$5:$C$20000,$A1026)+SUMIFS(INPUT_DELAY!$E$5:$E$20000,INPUT_DELAY!$A$5:$A$20000,Kalkulasi!$B$987,INPUT_DELAY!$B$5:$B$20000,"22-23",INPUT_DELAY!$C$5:$C$20000,"SEMUA")))/60,0)+IF(SUMIFS(INPUT_RITASE!$L$5:$L$20000,INPUT_RITASE!$A$5:$A$20000,Kalkulasi!$B$987,INPUT_RITASE!$B$5:$B$20000,"23-24",INPUT_RITASE!$C$5:$C$20000,$A1026,INPUT_RITASE!$N$5:$N$20000,$C1026)&gt;0,(60-MIN(60,SUMIFS(INPUT_DELAY!$E$5:$E$20000,INPUT_DELAY!$A$5:$A$20000,Kalkulasi!$B$987,INPUT_DELAY!$B$5:$B$20000,"23-24",INPUT_DELAY!$C$5:$C$20000,$A1026)+SUMIFS(INPUT_DELAY!$E$5:$E$20000,INPUT_DELAY!$A$5:$A$20000,Kalkulasi!$B$987,INPUT_DELAY!$B$5:$B$20000,"23-24",INPUT_DELAY!$C$5:$C$20000,"SEMUA")))/60,0)+IF(SUMIFS(INPUT_RITASE!$L$5:$L$20000,INPUT_RITASE!$A$5:$A$20000,Kalkulasi!$B$987,INPUT_RITASE!$B$5:$B$20000,"00-01",INPUT_RITASE!$C$5:$C$20000,$A1026,INPUT_RITASE!$N$5:$N$20000,$C1026)&gt;0,(60-MIN(60,SUMIFS(INPUT_DELAY!$E$5:$E$20000,INPUT_DELAY!$A$5:$A$20000,Kalkulasi!$B$987,INPUT_DELAY!$B$5:$B$20000,"00-01",INPUT_DELAY!$C$5:$C$20000,$A1026)+SUMIFS(INPUT_DELAY!$E$5:$E$20000,INPUT_DELAY!$A$5:$A$20000,Kalkulasi!$B$987,INPUT_DELAY!$B$5:$B$20000,"00-01",INPUT_DELAY!$C$5:$C$20000,"SEMUA")))/60,0)+IF(SUMIFS(INPUT_RITASE!$L$5:$L$20000,INPUT_RITASE!$A$5:$A$20000,Kalkulasi!$B$987,INPUT_RITASE!$B$5:$B$20000,"01-02",INPUT_RITASE!$C$5:$C$20000,$A1026,INPUT_RITASE!$N$5:$N$20000,$C1026)&gt;0,(60-MIN(60,SUMIFS(INPUT_DELAY!$E$5:$E$20000,INPUT_DELAY!$A$5:$A$20000,Kalkulasi!$B$987,INPUT_DELAY!$B$5:$B$20000,"01-02",INPUT_DELAY!$C$5:$C$20000,$A1026)+SUMIFS(INPUT_DELAY!$E$5:$E$20000,INPUT_DELAY!$A$5:$A$20000,Kalkulasi!$B$987,INPUT_DELAY!$B$5:$B$20000,"01-02",INPUT_DELAY!$C$5:$C$20000,"SEMUA")))/60,0)+IF(SUMIFS(INPUT_RITASE!$L$5:$L$20000,INPUT_RITASE!$A$5:$A$20000,Kalkulasi!$B$987,INPUT_RITASE!$B$5:$B$20000,"02-03",INPUT_RITASE!$C$5:$C$20000,$A1026,INPUT_RITASE!$N$5:$N$20000,$C1026)&gt;0,(60-MIN(60,SUMIFS(INPUT_DELAY!$E$5:$E$20000,INPUT_DELAY!$A$5:$A$20000,Kalkulasi!$B$987,INPUT_DELAY!$B$5:$B$20000,"02-03",INPUT_DELAY!$C$5:$C$20000,$A1026)+SUMIFS(INPUT_DELAY!$E$5:$E$20000,INPUT_DELAY!$A$5:$A$20000,Kalkulasi!$B$987,INPUT_DELAY!$B$5:$B$20000,"02-03",INPUT_DELAY!$C$5:$C$20000,"SEMUA")))/60,0)+IF(SUMIFS(INPUT_RITASE!$L$5:$L$20000,INPUT_RITASE!$A$5:$A$20000,Kalkulasi!$B$987,INPUT_RITASE!$B$5:$B$20000,"03-04",INPUT_RITASE!$C$5:$C$20000,$A1026,INPUT_RITASE!$N$5:$N$20000,$C1026)&gt;0,(60-MIN(60,SUMIFS(INPUT_DELAY!$E$5:$E$20000,INPUT_DELAY!$A$5:$A$20000,Kalkulasi!$B$987,INPUT_DELAY!$B$5:$B$20000,"03-04",INPUT_DELAY!$C$5:$C$20000,$A1026)+SUMIFS(INPUT_DELAY!$E$5:$E$20000,INPUT_DELAY!$A$5:$A$20000,Kalkulasi!$B$987,INPUT_DELAY!$B$5:$B$20000,"03-04",INPUT_DELAY!$C$5:$C$20000,"SEMUA")))/60,0)+IF(SUMIFS(INPUT_RITASE!$L$5:$L$20000,INPUT_RITASE!$A$5:$A$20000,Kalkulasi!$B$987,INPUT_RITASE!$B$5:$B$20000,"04-05",INPUT_RITASE!$C$5:$C$20000,$A1026,INPUT_RITASE!$N$5:$N$20000,$C1026)&gt;0,(60-MIN(60,SUMIFS(INPUT_DELAY!$E$5:$E$20000,INPUT_DELAY!$A$5:$A$20000,Kalkulasi!$B$987,INPUT_DELAY!$B$5:$B$20000,"04-05",INPUT_DELAY!$C$5:$C$20000,$A1026)+SUMIFS(INPUT_DELAY!$E$5:$E$20000,INPUT_DELAY!$A$5:$A$20000,Kalkulasi!$B$987,INPUT_DELAY!$B$5:$B$20000,"04-05",INPUT_DELAY!$C$5:$C$20000,"SEMUA")))/60,0)+IF(SUMIFS(INPUT_RITASE!$L$5:$L$20000,INPUT_RITASE!$A$5:$A$20000,Kalkulasi!$B$987,INPUT_RITASE!$B$5:$B$20000,"05-06",INPUT_RITASE!$C$5:$C$20000,$A1026,INPUT_RITASE!$N$5:$N$20000,$C1026)&gt;0,(60-MIN(60,SUMIFS(INPUT_DELAY!$E$5:$E$20000,INPUT_DELAY!$A$5:$A$20000,Kalkulasi!$B$987,INPUT_DELAY!$B$5:$B$20000,"05-06",INPUT_DELAY!$C$5:$C$20000,$A1026)+SUMIFS(INPUT_DELAY!$E$5:$E$20000,INPUT_DELAY!$A$5:$A$20000,Kalkulasi!$B$987,INPUT_DELAY!$B$5:$B$20000,"05-06",INPUT_DELAY!$C$5:$C$20000,"SEMUA")))/60,0)</f>
        <v/>
      </c>
      <c r="J1026">
        <f>E1026+H1026</f>
        <v/>
      </c>
      <c r="K1026">
        <f>IF(F1026+I1026=0,"",J1026/(F1026+I1026))</f>
        <v/>
      </c>
      <c r="L1026">
        <f>IFERROR(IF($C1026="OB",INDEX(MASTER_JAM!$F$5:$F$94,MATCH($A1026,MASTER_JAM!$A$5:$A$94,0)),INDEX(MASTER_JAM!$G$5:$G$94,MATCH($A1026,MASTER_JAM!$A$5:$A$94,0)))+0,0)</f>
        <v/>
      </c>
      <c r="M1026">
        <f>J1026+(D1026+G1026)/1000+ROW()/1000000</f>
        <v/>
      </c>
      <c r="O1026">
        <f>SUMIFS(INPUT_DELAY!$E$5:$E$20000,INPUT_DELAY!$A$5:$A$20000,Kalkulasi!$B$987,INPUT_DELAY!$C$5:$C$20000,$A1026)</f>
        <v/>
      </c>
    </row>
    <row r="1027">
      <c r="A1027" t="inlineStr">
        <is>
          <t>EX-336</t>
        </is>
      </c>
      <c r="B1027">
        <f>IFERROR(INDEX(MASTER_JAM!$B$5:$B$94,MATCH($A1027,MASTER_JAM!$A$5:$A$94,0)),"")</f>
        <v/>
      </c>
      <c r="C1027">
        <f>IF(SUMIFS(INPUT_RITASE!$L$5:$L$20000,INPUT_RITASE!$A$5:$A$20000,Kalkulasi!$B$987,INPUT_RITASE!$C$5:$C$20000,$A1027,INPUT_RITASE!$N$5:$N$20000,"Coal")&gt;SUMIFS(INPUT_RITASE!$L$5:$L$20000,INPUT_RITASE!$A$5:$A$20000,Kalkulasi!$B$987,INPUT_RITASE!$C$5:$C$20000,$A1027,INPUT_RITASE!$N$5:$N$20000,"OB"),"Coal","OB")</f>
        <v/>
      </c>
      <c r="D1027">
        <f>SUMIFS(INPUT_RITASE!$F$5:$F$20000,INPUT_RITASE!$A$5:$A$20000,Kalkulasi!$B$987,INPUT_RITASE!$H$5:$H$20000,"DS",INPUT_RITASE!$C$5:$C$20000,$A1027)</f>
        <v/>
      </c>
      <c r="E1027">
        <f>SUMIFS(INPUT_RITASE!$L$5:$L$20000,INPUT_RITASE!$A$5:$A$20000,Kalkulasi!$B$987,INPUT_RITASE!$H$5:$H$20000,"DS",INPUT_RITASE!$C$5:$C$20000,$A1027,INPUT_RITASE!$N$5:$N$20000,$C1027)</f>
        <v/>
      </c>
      <c r="F1027">
        <f>IF(SUMIFS(INPUT_RITASE!$L$5:$L$20000,INPUT_RITASE!$A$5:$A$20000,Kalkulasi!$B$987,INPUT_RITASE!$B$5:$B$20000,"06-07",INPUT_RITASE!$C$5:$C$20000,$A1027,INPUT_RITASE!$N$5:$N$20000,$C1027)&gt;0,(60-MIN(60,SUMIFS(INPUT_DELAY!$E$5:$E$20000,INPUT_DELAY!$A$5:$A$20000,Kalkulasi!$B$987,INPUT_DELAY!$B$5:$B$20000,"06-07",INPUT_DELAY!$C$5:$C$20000,$A1027)+SUMIFS(INPUT_DELAY!$E$5:$E$20000,INPUT_DELAY!$A$5:$A$20000,Kalkulasi!$B$987,INPUT_DELAY!$B$5:$B$20000,"06-07",INPUT_DELAY!$C$5:$C$20000,"SEMUA")))/60,0)+IF(SUMIFS(INPUT_RITASE!$L$5:$L$20000,INPUT_RITASE!$A$5:$A$20000,Kalkulasi!$B$987,INPUT_RITASE!$B$5:$B$20000,"07-08",INPUT_RITASE!$C$5:$C$20000,$A1027,INPUT_RITASE!$N$5:$N$20000,$C1027)&gt;0,(60-MIN(60,SUMIFS(INPUT_DELAY!$E$5:$E$20000,INPUT_DELAY!$A$5:$A$20000,Kalkulasi!$B$987,INPUT_DELAY!$B$5:$B$20000,"07-08",INPUT_DELAY!$C$5:$C$20000,$A1027)+SUMIFS(INPUT_DELAY!$E$5:$E$20000,INPUT_DELAY!$A$5:$A$20000,Kalkulasi!$B$987,INPUT_DELAY!$B$5:$B$20000,"07-08",INPUT_DELAY!$C$5:$C$20000,"SEMUA")))/60,0)+IF(SUMIFS(INPUT_RITASE!$L$5:$L$20000,INPUT_RITASE!$A$5:$A$20000,Kalkulasi!$B$987,INPUT_RITASE!$B$5:$B$20000,"08-09",INPUT_RITASE!$C$5:$C$20000,$A1027,INPUT_RITASE!$N$5:$N$20000,$C1027)&gt;0,(60-MIN(60,SUMIFS(INPUT_DELAY!$E$5:$E$20000,INPUT_DELAY!$A$5:$A$20000,Kalkulasi!$B$987,INPUT_DELAY!$B$5:$B$20000,"08-09",INPUT_DELAY!$C$5:$C$20000,$A1027)+SUMIFS(INPUT_DELAY!$E$5:$E$20000,INPUT_DELAY!$A$5:$A$20000,Kalkulasi!$B$987,INPUT_DELAY!$B$5:$B$20000,"08-09",INPUT_DELAY!$C$5:$C$20000,"SEMUA")))/60,0)+IF(SUMIFS(INPUT_RITASE!$L$5:$L$20000,INPUT_RITASE!$A$5:$A$20000,Kalkulasi!$B$987,INPUT_RITASE!$B$5:$B$20000,"09-10",INPUT_RITASE!$C$5:$C$20000,$A1027,INPUT_RITASE!$N$5:$N$20000,$C1027)&gt;0,(60-MIN(60,SUMIFS(INPUT_DELAY!$E$5:$E$20000,INPUT_DELAY!$A$5:$A$20000,Kalkulasi!$B$987,INPUT_DELAY!$B$5:$B$20000,"09-10",INPUT_DELAY!$C$5:$C$20000,$A1027)+SUMIFS(INPUT_DELAY!$E$5:$E$20000,INPUT_DELAY!$A$5:$A$20000,Kalkulasi!$B$987,INPUT_DELAY!$B$5:$B$20000,"09-10",INPUT_DELAY!$C$5:$C$20000,"SEMUA")))/60,0)+IF(SUMIFS(INPUT_RITASE!$L$5:$L$20000,INPUT_RITASE!$A$5:$A$20000,Kalkulasi!$B$987,INPUT_RITASE!$B$5:$B$20000,"10-11",INPUT_RITASE!$C$5:$C$20000,$A1027,INPUT_RITASE!$N$5:$N$20000,$C1027)&gt;0,(60-MIN(60,SUMIFS(INPUT_DELAY!$E$5:$E$20000,INPUT_DELAY!$A$5:$A$20000,Kalkulasi!$B$987,INPUT_DELAY!$B$5:$B$20000,"10-11",INPUT_DELAY!$C$5:$C$20000,$A1027)+SUMIFS(INPUT_DELAY!$E$5:$E$20000,INPUT_DELAY!$A$5:$A$20000,Kalkulasi!$B$987,INPUT_DELAY!$B$5:$B$20000,"10-11",INPUT_DELAY!$C$5:$C$20000,"SEMUA")))/60,0)+IF(SUMIFS(INPUT_RITASE!$L$5:$L$20000,INPUT_RITASE!$A$5:$A$20000,Kalkulasi!$B$987,INPUT_RITASE!$B$5:$B$20000,"11-12",INPUT_RITASE!$C$5:$C$20000,$A1027,INPUT_RITASE!$N$5:$N$20000,$C1027)&gt;0,(60-MIN(60,SUMIFS(INPUT_DELAY!$E$5:$E$20000,INPUT_DELAY!$A$5:$A$20000,Kalkulasi!$B$987,INPUT_DELAY!$B$5:$B$20000,"11-12",INPUT_DELAY!$C$5:$C$20000,$A1027)+SUMIFS(INPUT_DELAY!$E$5:$E$20000,INPUT_DELAY!$A$5:$A$20000,Kalkulasi!$B$987,INPUT_DELAY!$B$5:$B$20000,"11-12",INPUT_DELAY!$C$5:$C$20000,"SEMUA")))/60,0)+IF(SUMIFS(INPUT_RITASE!$L$5:$L$20000,INPUT_RITASE!$A$5:$A$20000,Kalkulasi!$B$987,INPUT_RITASE!$B$5:$B$20000,"12-13",INPUT_RITASE!$C$5:$C$20000,$A1027,INPUT_RITASE!$N$5:$N$20000,$C1027)&gt;0,(60-MIN(60,SUMIFS(INPUT_DELAY!$E$5:$E$20000,INPUT_DELAY!$A$5:$A$20000,Kalkulasi!$B$987,INPUT_DELAY!$B$5:$B$20000,"12-13",INPUT_DELAY!$C$5:$C$20000,$A1027)+SUMIFS(INPUT_DELAY!$E$5:$E$20000,INPUT_DELAY!$A$5:$A$20000,Kalkulasi!$B$987,INPUT_DELAY!$B$5:$B$20000,"12-13",INPUT_DELAY!$C$5:$C$20000,"SEMUA")))/60,0)+IF(SUMIFS(INPUT_RITASE!$L$5:$L$20000,INPUT_RITASE!$A$5:$A$20000,Kalkulasi!$B$987,INPUT_RITASE!$B$5:$B$20000,"13-14",INPUT_RITASE!$C$5:$C$20000,$A1027,INPUT_RITASE!$N$5:$N$20000,$C1027)&gt;0,(60-MIN(60,SUMIFS(INPUT_DELAY!$E$5:$E$20000,INPUT_DELAY!$A$5:$A$20000,Kalkulasi!$B$987,INPUT_DELAY!$B$5:$B$20000,"13-14",INPUT_DELAY!$C$5:$C$20000,$A1027)+SUMIFS(INPUT_DELAY!$E$5:$E$20000,INPUT_DELAY!$A$5:$A$20000,Kalkulasi!$B$987,INPUT_DELAY!$B$5:$B$20000,"13-14",INPUT_DELAY!$C$5:$C$20000,"SEMUA")))/60,0)+IF(SUMIFS(INPUT_RITASE!$L$5:$L$20000,INPUT_RITASE!$A$5:$A$20000,Kalkulasi!$B$987,INPUT_RITASE!$B$5:$B$20000,"14-15",INPUT_RITASE!$C$5:$C$20000,$A1027,INPUT_RITASE!$N$5:$N$20000,$C1027)&gt;0,(60-MIN(60,SUMIFS(INPUT_DELAY!$E$5:$E$20000,INPUT_DELAY!$A$5:$A$20000,Kalkulasi!$B$987,INPUT_DELAY!$B$5:$B$20000,"14-15",INPUT_DELAY!$C$5:$C$20000,$A1027)+SUMIFS(INPUT_DELAY!$E$5:$E$20000,INPUT_DELAY!$A$5:$A$20000,Kalkulasi!$B$987,INPUT_DELAY!$B$5:$B$20000,"14-15",INPUT_DELAY!$C$5:$C$20000,"SEMUA")))/60,0)+IF(SUMIFS(INPUT_RITASE!$L$5:$L$20000,INPUT_RITASE!$A$5:$A$20000,Kalkulasi!$B$987,INPUT_RITASE!$B$5:$B$20000,"15-16",INPUT_RITASE!$C$5:$C$20000,$A1027,INPUT_RITASE!$N$5:$N$20000,$C1027)&gt;0,(60-MIN(60,SUMIFS(INPUT_DELAY!$E$5:$E$20000,INPUT_DELAY!$A$5:$A$20000,Kalkulasi!$B$987,INPUT_DELAY!$B$5:$B$20000,"15-16",INPUT_DELAY!$C$5:$C$20000,$A1027)+SUMIFS(INPUT_DELAY!$E$5:$E$20000,INPUT_DELAY!$A$5:$A$20000,Kalkulasi!$B$987,INPUT_DELAY!$B$5:$B$20000,"15-16",INPUT_DELAY!$C$5:$C$20000,"SEMUA")))/60,0)+IF(SUMIFS(INPUT_RITASE!$L$5:$L$20000,INPUT_RITASE!$A$5:$A$20000,Kalkulasi!$B$987,INPUT_RITASE!$B$5:$B$20000,"16-17",INPUT_RITASE!$C$5:$C$20000,$A1027,INPUT_RITASE!$N$5:$N$20000,$C1027)&gt;0,(60-MIN(60,SUMIFS(INPUT_DELAY!$E$5:$E$20000,INPUT_DELAY!$A$5:$A$20000,Kalkulasi!$B$987,INPUT_DELAY!$B$5:$B$20000,"16-17",INPUT_DELAY!$C$5:$C$20000,$A1027)+SUMIFS(INPUT_DELAY!$E$5:$E$20000,INPUT_DELAY!$A$5:$A$20000,Kalkulasi!$B$987,INPUT_DELAY!$B$5:$B$20000,"16-17",INPUT_DELAY!$C$5:$C$20000,"SEMUA")))/60,0)+IF(SUMIFS(INPUT_RITASE!$L$5:$L$20000,INPUT_RITASE!$A$5:$A$20000,Kalkulasi!$B$987,INPUT_RITASE!$B$5:$B$20000,"17-18",INPUT_RITASE!$C$5:$C$20000,$A1027,INPUT_RITASE!$N$5:$N$20000,$C1027)&gt;0,(60-MIN(60,SUMIFS(INPUT_DELAY!$E$5:$E$20000,INPUT_DELAY!$A$5:$A$20000,Kalkulasi!$B$987,INPUT_DELAY!$B$5:$B$20000,"17-18",INPUT_DELAY!$C$5:$C$20000,$A1027)+SUMIFS(INPUT_DELAY!$E$5:$E$20000,INPUT_DELAY!$A$5:$A$20000,Kalkulasi!$B$987,INPUT_DELAY!$B$5:$B$20000,"17-18",INPUT_DELAY!$C$5:$C$20000,"SEMUA")))/60,0)</f>
        <v/>
      </c>
      <c r="G1027">
        <f>SUMIFS(INPUT_RITASE!$F$5:$F$20000,INPUT_RITASE!$A$5:$A$20000,Kalkulasi!$B$987,INPUT_RITASE!$H$5:$H$20000,"NS",INPUT_RITASE!$C$5:$C$20000,$A1027)</f>
        <v/>
      </c>
      <c r="H1027">
        <f>SUMIFS(INPUT_RITASE!$L$5:$L$20000,INPUT_RITASE!$A$5:$A$20000,Kalkulasi!$B$987,INPUT_RITASE!$H$5:$H$20000,"NS",INPUT_RITASE!$C$5:$C$20000,$A1027,INPUT_RITASE!$N$5:$N$20000,$C1027)</f>
        <v/>
      </c>
      <c r="I1027">
        <f>IF(SUMIFS(INPUT_RITASE!$L$5:$L$20000,INPUT_RITASE!$A$5:$A$20000,Kalkulasi!$B$987,INPUT_RITASE!$B$5:$B$20000,"18-19",INPUT_RITASE!$C$5:$C$20000,$A1027,INPUT_RITASE!$N$5:$N$20000,$C1027)&gt;0,(60-MIN(60,SUMIFS(INPUT_DELAY!$E$5:$E$20000,INPUT_DELAY!$A$5:$A$20000,Kalkulasi!$B$987,INPUT_DELAY!$B$5:$B$20000,"18-19",INPUT_DELAY!$C$5:$C$20000,$A1027)+SUMIFS(INPUT_DELAY!$E$5:$E$20000,INPUT_DELAY!$A$5:$A$20000,Kalkulasi!$B$987,INPUT_DELAY!$B$5:$B$20000,"18-19",INPUT_DELAY!$C$5:$C$20000,"SEMUA")))/60,0)+IF(SUMIFS(INPUT_RITASE!$L$5:$L$20000,INPUT_RITASE!$A$5:$A$20000,Kalkulasi!$B$987,INPUT_RITASE!$B$5:$B$20000,"19-20",INPUT_RITASE!$C$5:$C$20000,$A1027,INPUT_RITASE!$N$5:$N$20000,$C1027)&gt;0,(60-MIN(60,SUMIFS(INPUT_DELAY!$E$5:$E$20000,INPUT_DELAY!$A$5:$A$20000,Kalkulasi!$B$987,INPUT_DELAY!$B$5:$B$20000,"19-20",INPUT_DELAY!$C$5:$C$20000,$A1027)+SUMIFS(INPUT_DELAY!$E$5:$E$20000,INPUT_DELAY!$A$5:$A$20000,Kalkulasi!$B$987,INPUT_DELAY!$B$5:$B$20000,"19-20",INPUT_DELAY!$C$5:$C$20000,"SEMUA")))/60,0)+IF(SUMIFS(INPUT_RITASE!$L$5:$L$20000,INPUT_RITASE!$A$5:$A$20000,Kalkulasi!$B$987,INPUT_RITASE!$B$5:$B$20000,"20-21",INPUT_RITASE!$C$5:$C$20000,$A1027,INPUT_RITASE!$N$5:$N$20000,$C1027)&gt;0,(60-MIN(60,SUMIFS(INPUT_DELAY!$E$5:$E$20000,INPUT_DELAY!$A$5:$A$20000,Kalkulasi!$B$987,INPUT_DELAY!$B$5:$B$20000,"20-21",INPUT_DELAY!$C$5:$C$20000,$A1027)+SUMIFS(INPUT_DELAY!$E$5:$E$20000,INPUT_DELAY!$A$5:$A$20000,Kalkulasi!$B$987,INPUT_DELAY!$B$5:$B$20000,"20-21",INPUT_DELAY!$C$5:$C$20000,"SEMUA")))/60,0)+IF(SUMIFS(INPUT_RITASE!$L$5:$L$20000,INPUT_RITASE!$A$5:$A$20000,Kalkulasi!$B$987,INPUT_RITASE!$B$5:$B$20000,"21-22",INPUT_RITASE!$C$5:$C$20000,$A1027,INPUT_RITASE!$N$5:$N$20000,$C1027)&gt;0,(60-MIN(60,SUMIFS(INPUT_DELAY!$E$5:$E$20000,INPUT_DELAY!$A$5:$A$20000,Kalkulasi!$B$987,INPUT_DELAY!$B$5:$B$20000,"21-22",INPUT_DELAY!$C$5:$C$20000,$A1027)+SUMIFS(INPUT_DELAY!$E$5:$E$20000,INPUT_DELAY!$A$5:$A$20000,Kalkulasi!$B$987,INPUT_DELAY!$B$5:$B$20000,"21-22",INPUT_DELAY!$C$5:$C$20000,"SEMUA")))/60,0)+IF(SUMIFS(INPUT_RITASE!$L$5:$L$20000,INPUT_RITASE!$A$5:$A$20000,Kalkulasi!$B$987,INPUT_RITASE!$B$5:$B$20000,"22-23",INPUT_RITASE!$C$5:$C$20000,$A1027,INPUT_RITASE!$N$5:$N$20000,$C1027)&gt;0,(60-MIN(60,SUMIFS(INPUT_DELAY!$E$5:$E$20000,INPUT_DELAY!$A$5:$A$20000,Kalkulasi!$B$987,INPUT_DELAY!$B$5:$B$20000,"22-23",INPUT_DELAY!$C$5:$C$20000,$A1027)+SUMIFS(INPUT_DELAY!$E$5:$E$20000,INPUT_DELAY!$A$5:$A$20000,Kalkulasi!$B$987,INPUT_DELAY!$B$5:$B$20000,"22-23",INPUT_DELAY!$C$5:$C$20000,"SEMUA")))/60,0)+IF(SUMIFS(INPUT_RITASE!$L$5:$L$20000,INPUT_RITASE!$A$5:$A$20000,Kalkulasi!$B$987,INPUT_RITASE!$B$5:$B$20000,"23-24",INPUT_RITASE!$C$5:$C$20000,$A1027,INPUT_RITASE!$N$5:$N$20000,$C1027)&gt;0,(60-MIN(60,SUMIFS(INPUT_DELAY!$E$5:$E$20000,INPUT_DELAY!$A$5:$A$20000,Kalkulasi!$B$987,INPUT_DELAY!$B$5:$B$20000,"23-24",INPUT_DELAY!$C$5:$C$20000,$A1027)+SUMIFS(INPUT_DELAY!$E$5:$E$20000,INPUT_DELAY!$A$5:$A$20000,Kalkulasi!$B$987,INPUT_DELAY!$B$5:$B$20000,"23-24",INPUT_DELAY!$C$5:$C$20000,"SEMUA")))/60,0)+IF(SUMIFS(INPUT_RITASE!$L$5:$L$20000,INPUT_RITASE!$A$5:$A$20000,Kalkulasi!$B$987,INPUT_RITASE!$B$5:$B$20000,"00-01",INPUT_RITASE!$C$5:$C$20000,$A1027,INPUT_RITASE!$N$5:$N$20000,$C1027)&gt;0,(60-MIN(60,SUMIFS(INPUT_DELAY!$E$5:$E$20000,INPUT_DELAY!$A$5:$A$20000,Kalkulasi!$B$987,INPUT_DELAY!$B$5:$B$20000,"00-01",INPUT_DELAY!$C$5:$C$20000,$A1027)+SUMIFS(INPUT_DELAY!$E$5:$E$20000,INPUT_DELAY!$A$5:$A$20000,Kalkulasi!$B$987,INPUT_DELAY!$B$5:$B$20000,"00-01",INPUT_DELAY!$C$5:$C$20000,"SEMUA")))/60,0)+IF(SUMIFS(INPUT_RITASE!$L$5:$L$20000,INPUT_RITASE!$A$5:$A$20000,Kalkulasi!$B$987,INPUT_RITASE!$B$5:$B$20000,"01-02",INPUT_RITASE!$C$5:$C$20000,$A1027,INPUT_RITASE!$N$5:$N$20000,$C1027)&gt;0,(60-MIN(60,SUMIFS(INPUT_DELAY!$E$5:$E$20000,INPUT_DELAY!$A$5:$A$20000,Kalkulasi!$B$987,INPUT_DELAY!$B$5:$B$20000,"01-02",INPUT_DELAY!$C$5:$C$20000,$A1027)+SUMIFS(INPUT_DELAY!$E$5:$E$20000,INPUT_DELAY!$A$5:$A$20000,Kalkulasi!$B$987,INPUT_DELAY!$B$5:$B$20000,"01-02",INPUT_DELAY!$C$5:$C$20000,"SEMUA")))/60,0)+IF(SUMIFS(INPUT_RITASE!$L$5:$L$20000,INPUT_RITASE!$A$5:$A$20000,Kalkulasi!$B$987,INPUT_RITASE!$B$5:$B$20000,"02-03",INPUT_RITASE!$C$5:$C$20000,$A1027,INPUT_RITASE!$N$5:$N$20000,$C1027)&gt;0,(60-MIN(60,SUMIFS(INPUT_DELAY!$E$5:$E$20000,INPUT_DELAY!$A$5:$A$20000,Kalkulasi!$B$987,INPUT_DELAY!$B$5:$B$20000,"02-03",INPUT_DELAY!$C$5:$C$20000,$A1027)+SUMIFS(INPUT_DELAY!$E$5:$E$20000,INPUT_DELAY!$A$5:$A$20000,Kalkulasi!$B$987,INPUT_DELAY!$B$5:$B$20000,"02-03",INPUT_DELAY!$C$5:$C$20000,"SEMUA")))/60,0)+IF(SUMIFS(INPUT_RITASE!$L$5:$L$20000,INPUT_RITASE!$A$5:$A$20000,Kalkulasi!$B$987,INPUT_RITASE!$B$5:$B$20000,"03-04",INPUT_RITASE!$C$5:$C$20000,$A1027,INPUT_RITASE!$N$5:$N$20000,$C1027)&gt;0,(60-MIN(60,SUMIFS(INPUT_DELAY!$E$5:$E$20000,INPUT_DELAY!$A$5:$A$20000,Kalkulasi!$B$987,INPUT_DELAY!$B$5:$B$20000,"03-04",INPUT_DELAY!$C$5:$C$20000,$A1027)+SUMIFS(INPUT_DELAY!$E$5:$E$20000,INPUT_DELAY!$A$5:$A$20000,Kalkulasi!$B$987,INPUT_DELAY!$B$5:$B$20000,"03-04",INPUT_DELAY!$C$5:$C$20000,"SEMUA")))/60,0)+IF(SUMIFS(INPUT_RITASE!$L$5:$L$20000,INPUT_RITASE!$A$5:$A$20000,Kalkulasi!$B$987,INPUT_RITASE!$B$5:$B$20000,"04-05",INPUT_RITASE!$C$5:$C$20000,$A1027,INPUT_RITASE!$N$5:$N$20000,$C1027)&gt;0,(60-MIN(60,SUMIFS(INPUT_DELAY!$E$5:$E$20000,INPUT_DELAY!$A$5:$A$20000,Kalkulasi!$B$987,INPUT_DELAY!$B$5:$B$20000,"04-05",INPUT_DELAY!$C$5:$C$20000,$A1027)+SUMIFS(INPUT_DELAY!$E$5:$E$20000,INPUT_DELAY!$A$5:$A$20000,Kalkulasi!$B$987,INPUT_DELAY!$B$5:$B$20000,"04-05",INPUT_DELAY!$C$5:$C$20000,"SEMUA")))/60,0)+IF(SUMIFS(INPUT_RITASE!$L$5:$L$20000,INPUT_RITASE!$A$5:$A$20000,Kalkulasi!$B$987,INPUT_RITASE!$B$5:$B$20000,"05-06",INPUT_RITASE!$C$5:$C$20000,$A1027,INPUT_RITASE!$N$5:$N$20000,$C1027)&gt;0,(60-MIN(60,SUMIFS(INPUT_DELAY!$E$5:$E$20000,INPUT_DELAY!$A$5:$A$20000,Kalkulasi!$B$987,INPUT_DELAY!$B$5:$B$20000,"05-06",INPUT_DELAY!$C$5:$C$20000,$A1027)+SUMIFS(INPUT_DELAY!$E$5:$E$20000,INPUT_DELAY!$A$5:$A$20000,Kalkulasi!$B$987,INPUT_DELAY!$B$5:$B$20000,"05-06",INPUT_DELAY!$C$5:$C$20000,"SEMUA")))/60,0)</f>
        <v/>
      </c>
      <c r="J1027">
        <f>E1027+H1027</f>
        <v/>
      </c>
      <c r="K1027">
        <f>IF(F1027+I1027=0,"",J1027/(F1027+I1027))</f>
        <v/>
      </c>
      <c r="L1027">
        <f>IFERROR(IF($C1027="OB",INDEX(MASTER_JAM!$F$5:$F$94,MATCH($A1027,MASTER_JAM!$A$5:$A$94,0)),INDEX(MASTER_JAM!$G$5:$G$94,MATCH($A1027,MASTER_JAM!$A$5:$A$94,0)))+0,0)</f>
        <v/>
      </c>
      <c r="M1027">
        <f>J1027+(D1027+G1027)/1000+ROW()/1000000</f>
        <v/>
      </c>
      <c r="O1027">
        <f>SUMIFS(INPUT_DELAY!$E$5:$E$20000,INPUT_DELAY!$A$5:$A$20000,Kalkulasi!$B$987,INPUT_DELAY!$C$5:$C$20000,$A1027)</f>
        <v/>
      </c>
    </row>
    <row r="1028">
      <c r="A1028" t="inlineStr">
        <is>
          <t>EX-333</t>
        </is>
      </c>
      <c r="B1028">
        <f>IFERROR(INDEX(MASTER_JAM!$B$5:$B$94,MATCH($A1028,MASTER_JAM!$A$5:$A$94,0)),"")</f>
        <v/>
      </c>
      <c r="C1028">
        <f>IF(SUMIFS(INPUT_RITASE!$L$5:$L$20000,INPUT_RITASE!$A$5:$A$20000,Kalkulasi!$B$987,INPUT_RITASE!$C$5:$C$20000,$A1028,INPUT_RITASE!$N$5:$N$20000,"Coal")&gt;SUMIFS(INPUT_RITASE!$L$5:$L$20000,INPUT_RITASE!$A$5:$A$20000,Kalkulasi!$B$987,INPUT_RITASE!$C$5:$C$20000,$A1028,INPUT_RITASE!$N$5:$N$20000,"OB"),"Coal","OB")</f>
        <v/>
      </c>
      <c r="D1028">
        <f>SUMIFS(INPUT_RITASE!$F$5:$F$20000,INPUT_RITASE!$A$5:$A$20000,Kalkulasi!$B$987,INPUT_RITASE!$H$5:$H$20000,"DS",INPUT_RITASE!$C$5:$C$20000,$A1028)</f>
        <v/>
      </c>
      <c r="E1028">
        <f>SUMIFS(INPUT_RITASE!$L$5:$L$20000,INPUT_RITASE!$A$5:$A$20000,Kalkulasi!$B$987,INPUT_RITASE!$H$5:$H$20000,"DS",INPUT_RITASE!$C$5:$C$20000,$A1028,INPUT_RITASE!$N$5:$N$20000,$C1028)</f>
        <v/>
      </c>
      <c r="F1028">
        <f>IF(SUMIFS(INPUT_RITASE!$L$5:$L$20000,INPUT_RITASE!$A$5:$A$20000,Kalkulasi!$B$987,INPUT_RITASE!$B$5:$B$20000,"06-07",INPUT_RITASE!$C$5:$C$20000,$A1028,INPUT_RITASE!$N$5:$N$20000,$C1028)&gt;0,(60-MIN(60,SUMIFS(INPUT_DELAY!$E$5:$E$20000,INPUT_DELAY!$A$5:$A$20000,Kalkulasi!$B$987,INPUT_DELAY!$B$5:$B$20000,"06-07",INPUT_DELAY!$C$5:$C$20000,$A1028)+SUMIFS(INPUT_DELAY!$E$5:$E$20000,INPUT_DELAY!$A$5:$A$20000,Kalkulasi!$B$987,INPUT_DELAY!$B$5:$B$20000,"06-07",INPUT_DELAY!$C$5:$C$20000,"SEMUA")))/60,0)+IF(SUMIFS(INPUT_RITASE!$L$5:$L$20000,INPUT_RITASE!$A$5:$A$20000,Kalkulasi!$B$987,INPUT_RITASE!$B$5:$B$20000,"07-08",INPUT_RITASE!$C$5:$C$20000,$A1028,INPUT_RITASE!$N$5:$N$20000,$C1028)&gt;0,(60-MIN(60,SUMIFS(INPUT_DELAY!$E$5:$E$20000,INPUT_DELAY!$A$5:$A$20000,Kalkulasi!$B$987,INPUT_DELAY!$B$5:$B$20000,"07-08",INPUT_DELAY!$C$5:$C$20000,$A1028)+SUMIFS(INPUT_DELAY!$E$5:$E$20000,INPUT_DELAY!$A$5:$A$20000,Kalkulasi!$B$987,INPUT_DELAY!$B$5:$B$20000,"07-08",INPUT_DELAY!$C$5:$C$20000,"SEMUA")))/60,0)+IF(SUMIFS(INPUT_RITASE!$L$5:$L$20000,INPUT_RITASE!$A$5:$A$20000,Kalkulasi!$B$987,INPUT_RITASE!$B$5:$B$20000,"08-09",INPUT_RITASE!$C$5:$C$20000,$A1028,INPUT_RITASE!$N$5:$N$20000,$C1028)&gt;0,(60-MIN(60,SUMIFS(INPUT_DELAY!$E$5:$E$20000,INPUT_DELAY!$A$5:$A$20000,Kalkulasi!$B$987,INPUT_DELAY!$B$5:$B$20000,"08-09",INPUT_DELAY!$C$5:$C$20000,$A1028)+SUMIFS(INPUT_DELAY!$E$5:$E$20000,INPUT_DELAY!$A$5:$A$20000,Kalkulasi!$B$987,INPUT_DELAY!$B$5:$B$20000,"08-09",INPUT_DELAY!$C$5:$C$20000,"SEMUA")))/60,0)+IF(SUMIFS(INPUT_RITASE!$L$5:$L$20000,INPUT_RITASE!$A$5:$A$20000,Kalkulasi!$B$987,INPUT_RITASE!$B$5:$B$20000,"09-10",INPUT_RITASE!$C$5:$C$20000,$A1028,INPUT_RITASE!$N$5:$N$20000,$C1028)&gt;0,(60-MIN(60,SUMIFS(INPUT_DELAY!$E$5:$E$20000,INPUT_DELAY!$A$5:$A$20000,Kalkulasi!$B$987,INPUT_DELAY!$B$5:$B$20000,"09-10",INPUT_DELAY!$C$5:$C$20000,$A1028)+SUMIFS(INPUT_DELAY!$E$5:$E$20000,INPUT_DELAY!$A$5:$A$20000,Kalkulasi!$B$987,INPUT_DELAY!$B$5:$B$20000,"09-10",INPUT_DELAY!$C$5:$C$20000,"SEMUA")))/60,0)+IF(SUMIFS(INPUT_RITASE!$L$5:$L$20000,INPUT_RITASE!$A$5:$A$20000,Kalkulasi!$B$987,INPUT_RITASE!$B$5:$B$20000,"10-11",INPUT_RITASE!$C$5:$C$20000,$A1028,INPUT_RITASE!$N$5:$N$20000,$C1028)&gt;0,(60-MIN(60,SUMIFS(INPUT_DELAY!$E$5:$E$20000,INPUT_DELAY!$A$5:$A$20000,Kalkulasi!$B$987,INPUT_DELAY!$B$5:$B$20000,"10-11",INPUT_DELAY!$C$5:$C$20000,$A1028)+SUMIFS(INPUT_DELAY!$E$5:$E$20000,INPUT_DELAY!$A$5:$A$20000,Kalkulasi!$B$987,INPUT_DELAY!$B$5:$B$20000,"10-11",INPUT_DELAY!$C$5:$C$20000,"SEMUA")))/60,0)+IF(SUMIFS(INPUT_RITASE!$L$5:$L$20000,INPUT_RITASE!$A$5:$A$20000,Kalkulasi!$B$987,INPUT_RITASE!$B$5:$B$20000,"11-12",INPUT_RITASE!$C$5:$C$20000,$A1028,INPUT_RITASE!$N$5:$N$20000,$C1028)&gt;0,(60-MIN(60,SUMIFS(INPUT_DELAY!$E$5:$E$20000,INPUT_DELAY!$A$5:$A$20000,Kalkulasi!$B$987,INPUT_DELAY!$B$5:$B$20000,"11-12",INPUT_DELAY!$C$5:$C$20000,$A1028)+SUMIFS(INPUT_DELAY!$E$5:$E$20000,INPUT_DELAY!$A$5:$A$20000,Kalkulasi!$B$987,INPUT_DELAY!$B$5:$B$20000,"11-12",INPUT_DELAY!$C$5:$C$20000,"SEMUA")))/60,0)+IF(SUMIFS(INPUT_RITASE!$L$5:$L$20000,INPUT_RITASE!$A$5:$A$20000,Kalkulasi!$B$987,INPUT_RITASE!$B$5:$B$20000,"12-13",INPUT_RITASE!$C$5:$C$20000,$A1028,INPUT_RITASE!$N$5:$N$20000,$C1028)&gt;0,(60-MIN(60,SUMIFS(INPUT_DELAY!$E$5:$E$20000,INPUT_DELAY!$A$5:$A$20000,Kalkulasi!$B$987,INPUT_DELAY!$B$5:$B$20000,"12-13",INPUT_DELAY!$C$5:$C$20000,$A1028)+SUMIFS(INPUT_DELAY!$E$5:$E$20000,INPUT_DELAY!$A$5:$A$20000,Kalkulasi!$B$987,INPUT_DELAY!$B$5:$B$20000,"12-13",INPUT_DELAY!$C$5:$C$20000,"SEMUA")))/60,0)+IF(SUMIFS(INPUT_RITASE!$L$5:$L$20000,INPUT_RITASE!$A$5:$A$20000,Kalkulasi!$B$987,INPUT_RITASE!$B$5:$B$20000,"13-14",INPUT_RITASE!$C$5:$C$20000,$A1028,INPUT_RITASE!$N$5:$N$20000,$C1028)&gt;0,(60-MIN(60,SUMIFS(INPUT_DELAY!$E$5:$E$20000,INPUT_DELAY!$A$5:$A$20000,Kalkulasi!$B$987,INPUT_DELAY!$B$5:$B$20000,"13-14",INPUT_DELAY!$C$5:$C$20000,$A1028)+SUMIFS(INPUT_DELAY!$E$5:$E$20000,INPUT_DELAY!$A$5:$A$20000,Kalkulasi!$B$987,INPUT_DELAY!$B$5:$B$20000,"13-14",INPUT_DELAY!$C$5:$C$20000,"SEMUA")))/60,0)+IF(SUMIFS(INPUT_RITASE!$L$5:$L$20000,INPUT_RITASE!$A$5:$A$20000,Kalkulasi!$B$987,INPUT_RITASE!$B$5:$B$20000,"14-15",INPUT_RITASE!$C$5:$C$20000,$A1028,INPUT_RITASE!$N$5:$N$20000,$C1028)&gt;0,(60-MIN(60,SUMIFS(INPUT_DELAY!$E$5:$E$20000,INPUT_DELAY!$A$5:$A$20000,Kalkulasi!$B$987,INPUT_DELAY!$B$5:$B$20000,"14-15",INPUT_DELAY!$C$5:$C$20000,$A1028)+SUMIFS(INPUT_DELAY!$E$5:$E$20000,INPUT_DELAY!$A$5:$A$20000,Kalkulasi!$B$987,INPUT_DELAY!$B$5:$B$20000,"14-15",INPUT_DELAY!$C$5:$C$20000,"SEMUA")))/60,0)+IF(SUMIFS(INPUT_RITASE!$L$5:$L$20000,INPUT_RITASE!$A$5:$A$20000,Kalkulasi!$B$987,INPUT_RITASE!$B$5:$B$20000,"15-16",INPUT_RITASE!$C$5:$C$20000,$A1028,INPUT_RITASE!$N$5:$N$20000,$C1028)&gt;0,(60-MIN(60,SUMIFS(INPUT_DELAY!$E$5:$E$20000,INPUT_DELAY!$A$5:$A$20000,Kalkulasi!$B$987,INPUT_DELAY!$B$5:$B$20000,"15-16",INPUT_DELAY!$C$5:$C$20000,$A1028)+SUMIFS(INPUT_DELAY!$E$5:$E$20000,INPUT_DELAY!$A$5:$A$20000,Kalkulasi!$B$987,INPUT_DELAY!$B$5:$B$20000,"15-16",INPUT_DELAY!$C$5:$C$20000,"SEMUA")))/60,0)+IF(SUMIFS(INPUT_RITASE!$L$5:$L$20000,INPUT_RITASE!$A$5:$A$20000,Kalkulasi!$B$987,INPUT_RITASE!$B$5:$B$20000,"16-17",INPUT_RITASE!$C$5:$C$20000,$A1028,INPUT_RITASE!$N$5:$N$20000,$C1028)&gt;0,(60-MIN(60,SUMIFS(INPUT_DELAY!$E$5:$E$20000,INPUT_DELAY!$A$5:$A$20000,Kalkulasi!$B$987,INPUT_DELAY!$B$5:$B$20000,"16-17",INPUT_DELAY!$C$5:$C$20000,$A1028)+SUMIFS(INPUT_DELAY!$E$5:$E$20000,INPUT_DELAY!$A$5:$A$20000,Kalkulasi!$B$987,INPUT_DELAY!$B$5:$B$20000,"16-17",INPUT_DELAY!$C$5:$C$20000,"SEMUA")))/60,0)+IF(SUMIFS(INPUT_RITASE!$L$5:$L$20000,INPUT_RITASE!$A$5:$A$20000,Kalkulasi!$B$987,INPUT_RITASE!$B$5:$B$20000,"17-18",INPUT_RITASE!$C$5:$C$20000,$A1028,INPUT_RITASE!$N$5:$N$20000,$C1028)&gt;0,(60-MIN(60,SUMIFS(INPUT_DELAY!$E$5:$E$20000,INPUT_DELAY!$A$5:$A$20000,Kalkulasi!$B$987,INPUT_DELAY!$B$5:$B$20000,"17-18",INPUT_DELAY!$C$5:$C$20000,$A1028)+SUMIFS(INPUT_DELAY!$E$5:$E$20000,INPUT_DELAY!$A$5:$A$20000,Kalkulasi!$B$987,INPUT_DELAY!$B$5:$B$20000,"17-18",INPUT_DELAY!$C$5:$C$20000,"SEMUA")))/60,0)</f>
        <v/>
      </c>
      <c r="G1028">
        <f>SUMIFS(INPUT_RITASE!$F$5:$F$20000,INPUT_RITASE!$A$5:$A$20000,Kalkulasi!$B$987,INPUT_RITASE!$H$5:$H$20000,"NS",INPUT_RITASE!$C$5:$C$20000,$A1028)</f>
        <v/>
      </c>
      <c r="H1028">
        <f>SUMIFS(INPUT_RITASE!$L$5:$L$20000,INPUT_RITASE!$A$5:$A$20000,Kalkulasi!$B$987,INPUT_RITASE!$H$5:$H$20000,"NS",INPUT_RITASE!$C$5:$C$20000,$A1028,INPUT_RITASE!$N$5:$N$20000,$C1028)</f>
        <v/>
      </c>
      <c r="I1028">
        <f>IF(SUMIFS(INPUT_RITASE!$L$5:$L$20000,INPUT_RITASE!$A$5:$A$20000,Kalkulasi!$B$987,INPUT_RITASE!$B$5:$B$20000,"18-19",INPUT_RITASE!$C$5:$C$20000,$A1028,INPUT_RITASE!$N$5:$N$20000,$C1028)&gt;0,(60-MIN(60,SUMIFS(INPUT_DELAY!$E$5:$E$20000,INPUT_DELAY!$A$5:$A$20000,Kalkulasi!$B$987,INPUT_DELAY!$B$5:$B$20000,"18-19",INPUT_DELAY!$C$5:$C$20000,$A1028)+SUMIFS(INPUT_DELAY!$E$5:$E$20000,INPUT_DELAY!$A$5:$A$20000,Kalkulasi!$B$987,INPUT_DELAY!$B$5:$B$20000,"18-19",INPUT_DELAY!$C$5:$C$20000,"SEMUA")))/60,0)+IF(SUMIFS(INPUT_RITASE!$L$5:$L$20000,INPUT_RITASE!$A$5:$A$20000,Kalkulasi!$B$987,INPUT_RITASE!$B$5:$B$20000,"19-20",INPUT_RITASE!$C$5:$C$20000,$A1028,INPUT_RITASE!$N$5:$N$20000,$C1028)&gt;0,(60-MIN(60,SUMIFS(INPUT_DELAY!$E$5:$E$20000,INPUT_DELAY!$A$5:$A$20000,Kalkulasi!$B$987,INPUT_DELAY!$B$5:$B$20000,"19-20",INPUT_DELAY!$C$5:$C$20000,$A1028)+SUMIFS(INPUT_DELAY!$E$5:$E$20000,INPUT_DELAY!$A$5:$A$20000,Kalkulasi!$B$987,INPUT_DELAY!$B$5:$B$20000,"19-20",INPUT_DELAY!$C$5:$C$20000,"SEMUA")))/60,0)+IF(SUMIFS(INPUT_RITASE!$L$5:$L$20000,INPUT_RITASE!$A$5:$A$20000,Kalkulasi!$B$987,INPUT_RITASE!$B$5:$B$20000,"20-21",INPUT_RITASE!$C$5:$C$20000,$A1028,INPUT_RITASE!$N$5:$N$20000,$C1028)&gt;0,(60-MIN(60,SUMIFS(INPUT_DELAY!$E$5:$E$20000,INPUT_DELAY!$A$5:$A$20000,Kalkulasi!$B$987,INPUT_DELAY!$B$5:$B$20000,"20-21",INPUT_DELAY!$C$5:$C$20000,$A1028)+SUMIFS(INPUT_DELAY!$E$5:$E$20000,INPUT_DELAY!$A$5:$A$20000,Kalkulasi!$B$987,INPUT_DELAY!$B$5:$B$20000,"20-21",INPUT_DELAY!$C$5:$C$20000,"SEMUA")))/60,0)+IF(SUMIFS(INPUT_RITASE!$L$5:$L$20000,INPUT_RITASE!$A$5:$A$20000,Kalkulasi!$B$987,INPUT_RITASE!$B$5:$B$20000,"21-22",INPUT_RITASE!$C$5:$C$20000,$A1028,INPUT_RITASE!$N$5:$N$20000,$C1028)&gt;0,(60-MIN(60,SUMIFS(INPUT_DELAY!$E$5:$E$20000,INPUT_DELAY!$A$5:$A$20000,Kalkulasi!$B$987,INPUT_DELAY!$B$5:$B$20000,"21-22",INPUT_DELAY!$C$5:$C$20000,$A1028)+SUMIFS(INPUT_DELAY!$E$5:$E$20000,INPUT_DELAY!$A$5:$A$20000,Kalkulasi!$B$987,INPUT_DELAY!$B$5:$B$20000,"21-22",INPUT_DELAY!$C$5:$C$20000,"SEMUA")))/60,0)+IF(SUMIFS(INPUT_RITASE!$L$5:$L$20000,INPUT_RITASE!$A$5:$A$20000,Kalkulasi!$B$987,INPUT_RITASE!$B$5:$B$20000,"22-23",INPUT_RITASE!$C$5:$C$20000,$A1028,INPUT_RITASE!$N$5:$N$20000,$C1028)&gt;0,(60-MIN(60,SUMIFS(INPUT_DELAY!$E$5:$E$20000,INPUT_DELAY!$A$5:$A$20000,Kalkulasi!$B$987,INPUT_DELAY!$B$5:$B$20000,"22-23",INPUT_DELAY!$C$5:$C$20000,$A1028)+SUMIFS(INPUT_DELAY!$E$5:$E$20000,INPUT_DELAY!$A$5:$A$20000,Kalkulasi!$B$987,INPUT_DELAY!$B$5:$B$20000,"22-23",INPUT_DELAY!$C$5:$C$20000,"SEMUA")))/60,0)+IF(SUMIFS(INPUT_RITASE!$L$5:$L$20000,INPUT_RITASE!$A$5:$A$20000,Kalkulasi!$B$987,INPUT_RITASE!$B$5:$B$20000,"23-24",INPUT_RITASE!$C$5:$C$20000,$A1028,INPUT_RITASE!$N$5:$N$20000,$C1028)&gt;0,(60-MIN(60,SUMIFS(INPUT_DELAY!$E$5:$E$20000,INPUT_DELAY!$A$5:$A$20000,Kalkulasi!$B$987,INPUT_DELAY!$B$5:$B$20000,"23-24",INPUT_DELAY!$C$5:$C$20000,$A1028)+SUMIFS(INPUT_DELAY!$E$5:$E$20000,INPUT_DELAY!$A$5:$A$20000,Kalkulasi!$B$987,INPUT_DELAY!$B$5:$B$20000,"23-24",INPUT_DELAY!$C$5:$C$20000,"SEMUA")))/60,0)+IF(SUMIFS(INPUT_RITASE!$L$5:$L$20000,INPUT_RITASE!$A$5:$A$20000,Kalkulasi!$B$987,INPUT_RITASE!$B$5:$B$20000,"00-01",INPUT_RITASE!$C$5:$C$20000,$A1028,INPUT_RITASE!$N$5:$N$20000,$C1028)&gt;0,(60-MIN(60,SUMIFS(INPUT_DELAY!$E$5:$E$20000,INPUT_DELAY!$A$5:$A$20000,Kalkulasi!$B$987,INPUT_DELAY!$B$5:$B$20000,"00-01",INPUT_DELAY!$C$5:$C$20000,$A1028)+SUMIFS(INPUT_DELAY!$E$5:$E$20000,INPUT_DELAY!$A$5:$A$20000,Kalkulasi!$B$987,INPUT_DELAY!$B$5:$B$20000,"00-01",INPUT_DELAY!$C$5:$C$20000,"SEMUA")))/60,0)+IF(SUMIFS(INPUT_RITASE!$L$5:$L$20000,INPUT_RITASE!$A$5:$A$20000,Kalkulasi!$B$987,INPUT_RITASE!$B$5:$B$20000,"01-02",INPUT_RITASE!$C$5:$C$20000,$A1028,INPUT_RITASE!$N$5:$N$20000,$C1028)&gt;0,(60-MIN(60,SUMIFS(INPUT_DELAY!$E$5:$E$20000,INPUT_DELAY!$A$5:$A$20000,Kalkulasi!$B$987,INPUT_DELAY!$B$5:$B$20000,"01-02",INPUT_DELAY!$C$5:$C$20000,$A1028)+SUMIFS(INPUT_DELAY!$E$5:$E$20000,INPUT_DELAY!$A$5:$A$20000,Kalkulasi!$B$987,INPUT_DELAY!$B$5:$B$20000,"01-02",INPUT_DELAY!$C$5:$C$20000,"SEMUA")))/60,0)+IF(SUMIFS(INPUT_RITASE!$L$5:$L$20000,INPUT_RITASE!$A$5:$A$20000,Kalkulasi!$B$987,INPUT_RITASE!$B$5:$B$20000,"02-03",INPUT_RITASE!$C$5:$C$20000,$A1028,INPUT_RITASE!$N$5:$N$20000,$C1028)&gt;0,(60-MIN(60,SUMIFS(INPUT_DELAY!$E$5:$E$20000,INPUT_DELAY!$A$5:$A$20000,Kalkulasi!$B$987,INPUT_DELAY!$B$5:$B$20000,"02-03",INPUT_DELAY!$C$5:$C$20000,$A1028)+SUMIFS(INPUT_DELAY!$E$5:$E$20000,INPUT_DELAY!$A$5:$A$20000,Kalkulasi!$B$987,INPUT_DELAY!$B$5:$B$20000,"02-03",INPUT_DELAY!$C$5:$C$20000,"SEMUA")))/60,0)+IF(SUMIFS(INPUT_RITASE!$L$5:$L$20000,INPUT_RITASE!$A$5:$A$20000,Kalkulasi!$B$987,INPUT_RITASE!$B$5:$B$20000,"03-04",INPUT_RITASE!$C$5:$C$20000,$A1028,INPUT_RITASE!$N$5:$N$20000,$C1028)&gt;0,(60-MIN(60,SUMIFS(INPUT_DELAY!$E$5:$E$20000,INPUT_DELAY!$A$5:$A$20000,Kalkulasi!$B$987,INPUT_DELAY!$B$5:$B$20000,"03-04",INPUT_DELAY!$C$5:$C$20000,$A1028)+SUMIFS(INPUT_DELAY!$E$5:$E$20000,INPUT_DELAY!$A$5:$A$20000,Kalkulasi!$B$987,INPUT_DELAY!$B$5:$B$20000,"03-04",INPUT_DELAY!$C$5:$C$20000,"SEMUA")))/60,0)+IF(SUMIFS(INPUT_RITASE!$L$5:$L$20000,INPUT_RITASE!$A$5:$A$20000,Kalkulasi!$B$987,INPUT_RITASE!$B$5:$B$20000,"04-05",INPUT_RITASE!$C$5:$C$20000,$A1028,INPUT_RITASE!$N$5:$N$20000,$C1028)&gt;0,(60-MIN(60,SUMIFS(INPUT_DELAY!$E$5:$E$20000,INPUT_DELAY!$A$5:$A$20000,Kalkulasi!$B$987,INPUT_DELAY!$B$5:$B$20000,"04-05",INPUT_DELAY!$C$5:$C$20000,$A1028)+SUMIFS(INPUT_DELAY!$E$5:$E$20000,INPUT_DELAY!$A$5:$A$20000,Kalkulasi!$B$987,INPUT_DELAY!$B$5:$B$20000,"04-05",INPUT_DELAY!$C$5:$C$20000,"SEMUA")))/60,0)+IF(SUMIFS(INPUT_RITASE!$L$5:$L$20000,INPUT_RITASE!$A$5:$A$20000,Kalkulasi!$B$987,INPUT_RITASE!$B$5:$B$20000,"05-06",INPUT_RITASE!$C$5:$C$20000,$A1028,INPUT_RITASE!$N$5:$N$20000,$C1028)&gt;0,(60-MIN(60,SUMIFS(INPUT_DELAY!$E$5:$E$20000,INPUT_DELAY!$A$5:$A$20000,Kalkulasi!$B$987,INPUT_DELAY!$B$5:$B$20000,"05-06",INPUT_DELAY!$C$5:$C$20000,$A1028)+SUMIFS(INPUT_DELAY!$E$5:$E$20000,INPUT_DELAY!$A$5:$A$20000,Kalkulasi!$B$987,INPUT_DELAY!$B$5:$B$20000,"05-06",INPUT_DELAY!$C$5:$C$20000,"SEMUA")))/60,0)</f>
        <v/>
      </c>
      <c r="J1028">
        <f>E1028+H1028</f>
        <v/>
      </c>
      <c r="K1028">
        <f>IF(F1028+I1028=0,"",J1028/(F1028+I1028))</f>
        <v/>
      </c>
      <c r="L1028">
        <f>IFERROR(IF($C1028="OB",INDEX(MASTER_JAM!$F$5:$F$94,MATCH($A1028,MASTER_JAM!$A$5:$A$94,0)),INDEX(MASTER_JAM!$G$5:$G$94,MATCH($A1028,MASTER_JAM!$A$5:$A$94,0)))+0,0)</f>
        <v/>
      </c>
      <c r="M1028">
        <f>J1028+(D1028+G1028)/1000+ROW()/1000000</f>
        <v/>
      </c>
      <c r="O1028">
        <f>SUMIFS(INPUT_DELAY!$E$5:$E$20000,INPUT_DELAY!$A$5:$A$20000,Kalkulasi!$B$987,INPUT_DELAY!$C$5:$C$20000,$A1028)</f>
        <v/>
      </c>
    </row>
    <row r="1029">
      <c r="A1029" t="inlineStr">
        <is>
          <t>EX-335</t>
        </is>
      </c>
      <c r="B1029">
        <f>IFERROR(INDEX(MASTER_JAM!$B$5:$B$94,MATCH($A1029,MASTER_JAM!$A$5:$A$94,0)),"")</f>
        <v/>
      </c>
      <c r="C1029">
        <f>IF(SUMIFS(INPUT_RITASE!$L$5:$L$20000,INPUT_RITASE!$A$5:$A$20000,Kalkulasi!$B$987,INPUT_RITASE!$C$5:$C$20000,$A1029,INPUT_RITASE!$N$5:$N$20000,"Coal")&gt;SUMIFS(INPUT_RITASE!$L$5:$L$20000,INPUT_RITASE!$A$5:$A$20000,Kalkulasi!$B$987,INPUT_RITASE!$C$5:$C$20000,$A1029,INPUT_RITASE!$N$5:$N$20000,"OB"),"Coal","OB")</f>
        <v/>
      </c>
      <c r="D1029">
        <f>SUMIFS(INPUT_RITASE!$F$5:$F$20000,INPUT_RITASE!$A$5:$A$20000,Kalkulasi!$B$987,INPUT_RITASE!$H$5:$H$20000,"DS",INPUT_RITASE!$C$5:$C$20000,$A1029)</f>
        <v/>
      </c>
      <c r="E1029">
        <f>SUMIFS(INPUT_RITASE!$L$5:$L$20000,INPUT_RITASE!$A$5:$A$20000,Kalkulasi!$B$987,INPUT_RITASE!$H$5:$H$20000,"DS",INPUT_RITASE!$C$5:$C$20000,$A1029,INPUT_RITASE!$N$5:$N$20000,$C1029)</f>
        <v/>
      </c>
      <c r="F1029">
        <f>IF(SUMIFS(INPUT_RITASE!$L$5:$L$20000,INPUT_RITASE!$A$5:$A$20000,Kalkulasi!$B$987,INPUT_RITASE!$B$5:$B$20000,"06-07",INPUT_RITASE!$C$5:$C$20000,$A1029,INPUT_RITASE!$N$5:$N$20000,$C1029)&gt;0,(60-MIN(60,SUMIFS(INPUT_DELAY!$E$5:$E$20000,INPUT_DELAY!$A$5:$A$20000,Kalkulasi!$B$987,INPUT_DELAY!$B$5:$B$20000,"06-07",INPUT_DELAY!$C$5:$C$20000,$A1029)+SUMIFS(INPUT_DELAY!$E$5:$E$20000,INPUT_DELAY!$A$5:$A$20000,Kalkulasi!$B$987,INPUT_DELAY!$B$5:$B$20000,"06-07",INPUT_DELAY!$C$5:$C$20000,"SEMUA")))/60,0)+IF(SUMIFS(INPUT_RITASE!$L$5:$L$20000,INPUT_RITASE!$A$5:$A$20000,Kalkulasi!$B$987,INPUT_RITASE!$B$5:$B$20000,"07-08",INPUT_RITASE!$C$5:$C$20000,$A1029,INPUT_RITASE!$N$5:$N$20000,$C1029)&gt;0,(60-MIN(60,SUMIFS(INPUT_DELAY!$E$5:$E$20000,INPUT_DELAY!$A$5:$A$20000,Kalkulasi!$B$987,INPUT_DELAY!$B$5:$B$20000,"07-08",INPUT_DELAY!$C$5:$C$20000,$A1029)+SUMIFS(INPUT_DELAY!$E$5:$E$20000,INPUT_DELAY!$A$5:$A$20000,Kalkulasi!$B$987,INPUT_DELAY!$B$5:$B$20000,"07-08",INPUT_DELAY!$C$5:$C$20000,"SEMUA")))/60,0)+IF(SUMIFS(INPUT_RITASE!$L$5:$L$20000,INPUT_RITASE!$A$5:$A$20000,Kalkulasi!$B$987,INPUT_RITASE!$B$5:$B$20000,"08-09",INPUT_RITASE!$C$5:$C$20000,$A1029,INPUT_RITASE!$N$5:$N$20000,$C1029)&gt;0,(60-MIN(60,SUMIFS(INPUT_DELAY!$E$5:$E$20000,INPUT_DELAY!$A$5:$A$20000,Kalkulasi!$B$987,INPUT_DELAY!$B$5:$B$20000,"08-09",INPUT_DELAY!$C$5:$C$20000,$A1029)+SUMIFS(INPUT_DELAY!$E$5:$E$20000,INPUT_DELAY!$A$5:$A$20000,Kalkulasi!$B$987,INPUT_DELAY!$B$5:$B$20000,"08-09",INPUT_DELAY!$C$5:$C$20000,"SEMUA")))/60,0)+IF(SUMIFS(INPUT_RITASE!$L$5:$L$20000,INPUT_RITASE!$A$5:$A$20000,Kalkulasi!$B$987,INPUT_RITASE!$B$5:$B$20000,"09-10",INPUT_RITASE!$C$5:$C$20000,$A1029,INPUT_RITASE!$N$5:$N$20000,$C1029)&gt;0,(60-MIN(60,SUMIFS(INPUT_DELAY!$E$5:$E$20000,INPUT_DELAY!$A$5:$A$20000,Kalkulasi!$B$987,INPUT_DELAY!$B$5:$B$20000,"09-10",INPUT_DELAY!$C$5:$C$20000,$A1029)+SUMIFS(INPUT_DELAY!$E$5:$E$20000,INPUT_DELAY!$A$5:$A$20000,Kalkulasi!$B$987,INPUT_DELAY!$B$5:$B$20000,"09-10",INPUT_DELAY!$C$5:$C$20000,"SEMUA")))/60,0)+IF(SUMIFS(INPUT_RITASE!$L$5:$L$20000,INPUT_RITASE!$A$5:$A$20000,Kalkulasi!$B$987,INPUT_RITASE!$B$5:$B$20000,"10-11",INPUT_RITASE!$C$5:$C$20000,$A1029,INPUT_RITASE!$N$5:$N$20000,$C1029)&gt;0,(60-MIN(60,SUMIFS(INPUT_DELAY!$E$5:$E$20000,INPUT_DELAY!$A$5:$A$20000,Kalkulasi!$B$987,INPUT_DELAY!$B$5:$B$20000,"10-11",INPUT_DELAY!$C$5:$C$20000,$A1029)+SUMIFS(INPUT_DELAY!$E$5:$E$20000,INPUT_DELAY!$A$5:$A$20000,Kalkulasi!$B$987,INPUT_DELAY!$B$5:$B$20000,"10-11",INPUT_DELAY!$C$5:$C$20000,"SEMUA")))/60,0)+IF(SUMIFS(INPUT_RITASE!$L$5:$L$20000,INPUT_RITASE!$A$5:$A$20000,Kalkulasi!$B$987,INPUT_RITASE!$B$5:$B$20000,"11-12",INPUT_RITASE!$C$5:$C$20000,$A1029,INPUT_RITASE!$N$5:$N$20000,$C1029)&gt;0,(60-MIN(60,SUMIFS(INPUT_DELAY!$E$5:$E$20000,INPUT_DELAY!$A$5:$A$20000,Kalkulasi!$B$987,INPUT_DELAY!$B$5:$B$20000,"11-12",INPUT_DELAY!$C$5:$C$20000,$A1029)+SUMIFS(INPUT_DELAY!$E$5:$E$20000,INPUT_DELAY!$A$5:$A$20000,Kalkulasi!$B$987,INPUT_DELAY!$B$5:$B$20000,"11-12",INPUT_DELAY!$C$5:$C$20000,"SEMUA")))/60,0)+IF(SUMIFS(INPUT_RITASE!$L$5:$L$20000,INPUT_RITASE!$A$5:$A$20000,Kalkulasi!$B$987,INPUT_RITASE!$B$5:$B$20000,"12-13",INPUT_RITASE!$C$5:$C$20000,$A1029,INPUT_RITASE!$N$5:$N$20000,$C1029)&gt;0,(60-MIN(60,SUMIFS(INPUT_DELAY!$E$5:$E$20000,INPUT_DELAY!$A$5:$A$20000,Kalkulasi!$B$987,INPUT_DELAY!$B$5:$B$20000,"12-13",INPUT_DELAY!$C$5:$C$20000,$A1029)+SUMIFS(INPUT_DELAY!$E$5:$E$20000,INPUT_DELAY!$A$5:$A$20000,Kalkulasi!$B$987,INPUT_DELAY!$B$5:$B$20000,"12-13",INPUT_DELAY!$C$5:$C$20000,"SEMUA")))/60,0)+IF(SUMIFS(INPUT_RITASE!$L$5:$L$20000,INPUT_RITASE!$A$5:$A$20000,Kalkulasi!$B$987,INPUT_RITASE!$B$5:$B$20000,"13-14",INPUT_RITASE!$C$5:$C$20000,$A1029,INPUT_RITASE!$N$5:$N$20000,$C1029)&gt;0,(60-MIN(60,SUMIFS(INPUT_DELAY!$E$5:$E$20000,INPUT_DELAY!$A$5:$A$20000,Kalkulasi!$B$987,INPUT_DELAY!$B$5:$B$20000,"13-14",INPUT_DELAY!$C$5:$C$20000,$A1029)+SUMIFS(INPUT_DELAY!$E$5:$E$20000,INPUT_DELAY!$A$5:$A$20000,Kalkulasi!$B$987,INPUT_DELAY!$B$5:$B$20000,"13-14",INPUT_DELAY!$C$5:$C$20000,"SEMUA")))/60,0)+IF(SUMIFS(INPUT_RITASE!$L$5:$L$20000,INPUT_RITASE!$A$5:$A$20000,Kalkulasi!$B$987,INPUT_RITASE!$B$5:$B$20000,"14-15",INPUT_RITASE!$C$5:$C$20000,$A1029,INPUT_RITASE!$N$5:$N$20000,$C1029)&gt;0,(60-MIN(60,SUMIFS(INPUT_DELAY!$E$5:$E$20000,INPUT_DELAY!$A$5:$A$20000,Kalkulasi!$B$987,INPUT_DELAY!$B$5:$B$20000,"14-15",INPUT_DELAY!$C$5:$C$20000,$A1029)+SUMIFS(INPUT_DELAY!$E$5:$E$20000,INPUT_DELAY!$A$5:$A$20000,Kalkulasi!$B$987,INPUT_DELAY!$B$5:$B$20000,"14-15",INPUT_DELAY!$C$5:$C$20000,"SEMUA")))/60,0)+IF(SUMIFS(INPUT_RITASE!$L$5:$L$20000,INPUT_RITASE!$A$5:$A$20000,Kalkulasi!$B$987,INPUT_RITASE!$B$5:$B$20000,"15-16",INPUT_RITASE!$C$5:$C$20000,$A1029,INPUT_RITASE!$N$5:$N$20000,$C1029)&gt;0,(60-MIN(60,SUMIFS(INPUT_DELAY!$E$5:$E$20000,INPUT_DELAY!$A$5:$A$20000,Kalkulasi!$B$987,INPUT_DELAY!$B$5:$B$20000,"15-16",INPUT_DELAY!$C$5:$C$20000,$A1029)+SUMIFS(INPUT_DELAY!$E$5:$E$20000,INPUT_DELAY!$A$5:$A$20000,Kalkulasi!$B$987,INPUT_DELAY!$B$5:$B$20000,"15-16",INPUT_DELAY!$C$5:$C$20000,"SEMUA")))/60,0)+IF(SUMIFS(INPUT_RITASE!$L$5:$L$20000,INPUT_RITASE!$A$5:$A$20000,Kalkulasi!$B$987,INPUT_RITASE!$B$5:$B$20000,"16-17",INPUT_RITASE!$C$5:$C$20000,$A1029,INPUT_RITASE!$N$5:$N$20000,$C1029)&gt;0,(60-MIN(60,SUMIFS(INPUT_DELAY!$E$5:$E$20000,INPUT_DELAY!$A$5:$A$20000,Kalkulasi!$B$987,INPUT_DELAY!$B$5:$B$20000,"16-17",INPUT_DELAY!$C$5:$C$20000,$A1029)+SUMIFS(INPUT_DELAY!$E$5:$E$20000,INPUT_DELAY!$A$5:$A$20000,Kalkulasi!$B$987,INPUT_DELAY!$B$5:$B$20000,"16-17",INPUT_DELAY!$C$5:$C$20000,"SEMUA")))/60,0)+IF(SUMIFS(INPUT_RITASE!$L$5:$L$20000,INPUT_RITASE!$A$5:$A$20000,Kalkulasi!$B$987,INPUT_RITASE!$B$5:$B$20000,"17-18",INPUT_RITASE!$C$5:$C$20000,$A1029,INPUT_RITASE!$N$5:$N$20000,$C1029)&gt;0,(60-MIN(60,SUMIFS(INPUT_DELAY!$E$5:$E$20000,INPUT_DELAY!$A$5:$A$20000,Kalkulasi!$B$987,INPUT_DELAY!$B$5:$B$20000,"17-18",INPUT_DELAY!$C$5:$C$20000,$A1029)+SUMIFS(INPUT_DELAY!$E$5:$E$20000,INPUT_DELAY!$A$5:$A$20000,Kalkulasi!$B$987,INPUT_DELAY!$B$5:$B$20000,"17-18",INPUT_DELAY!$C$5:$C$20000,"SEMUA")))/60,0)</f>
        <v/>
      </c>
      <c r="G1029">
        <f>SUMIFS(INPUT_RITASE!$F$5:$F$20000,INPUT_RITASE!$A$5:$A$20000,Kalkulasi!$B$987,INPUT_RITASE!$H$5:$H$20000,"NS",INPUT_RITASE!$C$5:$C$20000,$A1029)</f>
        <v/>
      </c>
      <c r="H1029">
        <f>SUMIFS(INPUT_RITASE!$L$5:$L$20000,INPUT_RITASE!$A$5:$A$20000,Kalkulasi!$B$987,INPUT_RITASE!$H$5:$H$20000,"NS",INPUT_RITASE!$C$5:$C$20000,$A1029,INPUT_RITASE!$N$5:$N$20000,$C1029)</f>
        <v/>
      </c>
      <c r="I1029">
        <f>IF(SUMIFS(INPUT_RITASE!$L$5:$L$20000,INPUT_RITASE!$A$5:$A$20000,Kalkulasi!$B$987,INPUT_RITASE!$B$5:$B$20000,"18-19",INPUT_RITASE!$C$5:$C$20000,$A1029,INPUT_RITASE!$N$5:$N$20000,$C1029)&gt;0,(60-MIN(60,SUMIFS(INPUT_DELAY!$E$5:$E$20000,INPUT_DELAY!$A$5:$A$20000,Kalkulasi!$B$987,INPUT_DELAY!$B$5:$B$20000,"18-19",INPUT_DELAY!$C$5:$C$20000,$A1029)+SUMIFS(INPUT_DELAY!$E$5:$E$20000,INPUT_DELAY!$A$5:$A$20000,Kalkulasi!$B$987,INPUT_DELAY!$B$5:$B$20000,"18-19",INPUT_DELAY!$C$5:$C$20000,"SEMUA")))/60,0)+IF(SUMIFS(INPUT_RITASE!$L$5:$L$20000,INPUT_RITASE!$A$5:$A$20000,Kalkulasi!$B$987,INPUT_RITASE!$B$5:$B$20000,"19-20",INPUT_RITASE!$C$5:$C$20000,$A1029,INPUT_RITASE!$N$5:$N$20000,$C1029)&gt;0,(60-MIN(60,SUMIFS(INPUT_DELAY!$E$5:$E$20000,INPUT_DELAY!$A$5:$A$20000,Kalkulasi!$B$987,INPUT_DELAY!$B$5:$B$20000,"19-20",INPUT_DELAY!$C$5:$C$20000,$A1029)+SUMIFS(INPUT_DELAY!$E$5:$E$20000,INPUT_DELAY!$A$5:$A$20000,Kalkulasi!$B$987,INPUT_DELAY!$B$5:$B$20000,"19-20",INPUT_DELAY!$C$5:$C$20000,"SEMUA")))/60,0)+IF(SUMIFS(INPUT_RITASE!$L$5:$L$20000,INPUT_RITASE!$A$5:$A$20000,Kalkulasi!$B$987,INPUT_RITASE!$B$5:$B$20000,"20-21",INPUT_RITASE!$C$5:$C$20000,$A1029,INPUT_RITASE!$N$5:$N$20000,$C1029)&gt;0,(60-MIN(60,SUMIFS(INPUT_DELAY!$E$5:$E$20000,INPUT_DELAY!$A$5:$A$20000,Kalkulasi!$B$987,INPUT_DELAY!$B$5:$B$20000,"20-21",INPUT_DELAY!$C$5:$C$20000,$A1029)+SUMIFS(INPUT_DELAY!$E$5:$E$20000,INPUT_DELAY!$A$5:$A$20000,Kalkulasi!$B$987,INPUT_DELAY!$B$5:$B$20000,"20-21",INPUT_DELAY!$C$5:$C$20000,"SEMUA")))/60,0)+IF(SUMIFS(INPUT_RITASE!$L$5:$L$20000,INPUT_RITASE!$A$5:$A$20000,Kalkulasi!$B$987,INPUT_RITASE!$B$5:$B$20000,"21-22",INPUT_RITASE!$C$5:$C$20000,$A1029,INPUT_RITASE!$N$5:$N$20000,$C1029)&gt;0,(60-MIN(60,SUMIFS(INPUT_DELAY!$E$5:$E$20000,INPUT_DELAY!$A$5:$A$20000,Kalkulasi!$B$987,INPUT_DELAY!$B$5:$B$20000,"21-22",INPUT_DELAY!$C$5:$C$20000,$A1029)+SUMIFS(INPUT_DELAY!$E$5:$E$20000,INPUT_DELAY!$A$5:$A$20000,Kalkulasi!$B$987,INPUT_DELAY!$B$5:$B$20000,"21-22",INPUT_DELAY!$C$5:$C$20000,"SEMUA")))/60,0)+IF(SUMIFS(INPUT_RITASE!$L$5:$L$20000,INPUT_RITASE!$A$5:$A$20000,Kalkulasi!$B$987,INPUT_RITASE!$B$5:$B$20000,"22-23",INPUT_RITASE!$C$5:$C$20000,$A1029,INPUT_RITASE!$N$5:$N$20000,$C1029)&gt;0,(60-MIN(60,SUMIFS(INPUT_DELAY!$E$5:$E$20000,INPUT_DELAY!$A$5:$A$20000,Kalkulasi!$B$987,INPUT_DELAY!$B$5:$B$20000,"22-23",INPUT_DELAY!$C$5:$C$20000,$A1029)+SUMIFS(INPUT_DELAY!$E$5:$E$20000,INPUT_DELAY!$A$5:$A$20000,Kalkulasi!$B$987,INPUT_DELAY!$B$5:$B$20000,"22-23",INPUT_DELAY!$C$5:$C$20000,"SEMUA")))/60,0)+IF(SUMIFS(INPUT_RITASE!$L$5:$L$20000,INPUT_RITASE!$A$5:$A$20000,Kalkulasi!$B$987,INPUT_RITASE!$B$5:$B$20000,"23-24",INPUT_RITASE!$C$5:$C$20000,$A1029,INPUT_RITASE!$N$5:$N$20000,$C1029)&gt;0,(60-MIN(60,SUMIFS(INPUT_DELAY!$E$5:$E$20000,INPUT_DELAY!$A$5:$A$20000,Kalkulasi!$B$987,INPUT_DELAY!$B$5:$B$20000,"23-24",INPUT_DELAY!$C$5:$C$20000,$A1029)+SUMIFS(INPUT_DELAY!$E$5:$E$20000,INPUT_DELAY!$A$5:$A$20000,Kalkulasi!$B$987,INPUT_DELAY!$B$5:$B$20000,"23-24",INPUT_DELAY!$C$5:$C$20000,"SEMUA")))/60,0)+IF(SUMIFS(INPUT_RITASE!$L$5:$L$20000,INPUT_RITASE!$A$5:$A$20000,Kalkulasi!$B$987,INPUT_RITASE!$B$5:$B$20000,"00-01",INPUT_RITASE!$C$5:$C$20000,$A1029,INPUT_RITASE!$N$5:$N$20000,$C1029)&gt;0,(60-MIN(60,SUMIFS(INPUT_DELAY!$E$5:$E$20000,INPUT_DELAY!$A$5:$A$20000,Kalkulasi!$B$987,INPUT_DELAY!$B$5:$B$20000,"00-01",INPUT_DELAY!$C$5:$C$20000,$A1029)+SUMIFS(INPUT_DELAY!$E$5:$E$20000,INPUT_DELAY!$A$5:$A$20000,Kalkulasi!$B$987,INPUT_DELAY!$B$5:$B$20000,"00-01",INPUT_DELAY!$C$5:$C$20000,"SEMUA")))/60,0)+IF(SUMIFS(INPUT_RITASE!$L$5:$L$20000,INPUT_RITASE!$A$5:$A$20000,Kalkulasi!$B$987,INPUT_RITASE!$B$5:$B$20000,"01-02",INPUT_RITASE!$C$5:$C$20000,$A1029,INPUT_RITASE!$N$5:$N$20000,$C1029)&gt;0,(60-MIN(60,SUMIFS(INPUT_DELAY!$E$5:$E$20000,INPUT_DELAY!$A$5:$A$20000,Kalkulasi!$B$987,INPUT_DELAY!$B$5:$B$20000,"01-02",INPUT_DELAY!$C$5:$C$20000,$A1029)+SUMIFS(INPUT_DELAY!$E$5:$E$20000,INPUT_DELAY!$A$5:$A$20000,Kalkulasi!$B$987,INPUT_DELAY!$B$5:$B$20000,"01-02",INPUT_DELAY!$C$5:$C$20000,"SEMUA")))/60,0)+IF(SUMIFS(INPUT_RITASE!$L$5:$L$20000,INPUT_RITASE!$A$5:$A$20000,Kalkulasi!$B$987,INPUT_RITASE!$B$5:$B$20000,"02-03",INPUT_RITASE!$C$5:$C$20000,$A1029,INPUT_RITASE!$N$5:$N$20000,$C1029)&gt;0,(60-MIN(60,SUMIFS(INPUT_DELAY!$E$5:$E$20000,INPUT_DELAY!$A$5:$A$20000,Kalkulasi!$B$987,INPUT_DELAY!$B$5:$B$20000,"02-03",INPUT_DELAY!$C$5:$C$20000,$A1029)+SUMIFS(INPUT_DELAY!$E$5:$E$20000,INPUT_DELAY!$A$5:$A$20000,Kalkulasi!$B$987,INPUT_DELAY!$B$5:$B$20000,"02-03",INPUT_DELAY!$C$5:$C$20000,"SEMUA")))/60,0)+IF(SUMIFS(INPUT_RITASE!$L$5:$L$20000,INPUT_RITASE!$A$5:$A$20000,Kalkulasi!$B$987,INPUT_RITASE!$B$5:$B$20000,"03-04",INPUT_RITASE!$C$5:$C$20000,$A1029,INPUT_RITASE!$N$5:$N$20000,$C1029)&gt;0,(60-MIN(60,SUMIFS(INPUT_DELAY!$E$5:$E$20000,INPUT_DELAY!$A$5:$A$20000,Kalkulasi!$B$987,INPUT_DELAY!$B$5:$B$20000,"03-04",INPUT_DELAY!$C$5:$C$20000,$A1029)+SUMIFS(INPUT_DELAY!$E$5:$E$20000,INPUT_DELAY!$A$5:$A$20000,Kalkulasi!$B$987,INPUT_DELAY!$B$5:$B$20000,"03-04",INPUT_DELAY!$C$5:$C$20000,"SEMUA")))/60,0)+IF(SUMIFS(INPUT_RITASE!$L$5:$L$20000,INPUT_RITASE!$A$5:$A$20000,Kalkulasi!$B$987,INPUT_RITASE!$B$5:$B$20000,"04-05",INPUT_RITASE!$C$5:$C$20000,$A1029,INPUT_RITASE!$N$5:$N$20000,$C1029)&gt;0,(60-MIN(60,SUMIFS(INPUT_DELAY!$E$5:$E$20000,INPUT_DELAY!$A$5:$A$20000,Kalkulasi!$B$987,INPUT_DELAY!$B$5:$B$20000,"04-05",INPUT_DELAY!$C$5:$C$20000,$A1029)+SUMIFS(INPUT_DELAY!$E$5:$E$20000,INPUT_DELAY!$A$5:$A$20000,Kalkulasi!$B$987,INPUT_DELAY!$B$5:$B$20000,"04-05",INPUT_DELAY!$C$5:$C$20000,"SEMUA")))/60,0)+IF(SUMIFS(INPUT_RITASE!$L$5:$L$20000,INPUT_RITASE!$A$5:$A$20000,Kalkulasi!$B$987,INPUT_RITASE!$B$5:$B$20000,"05-06",INPUT_RITASE!$C$5:$C$20000,$A1029,INPUT_RITASE!$N$5:$N$20000,$C1029)&gt;0,(60-MIN(60,SUMIFS(INPUT_DELAY!$E$5:$E$20000,INPUT_DELAY!$A$5:$A$20000,Kalkulasi!$B$987,INPUT_DELAY!$B$5:$B$20000,"05-06",INPUT_DELAY!$C$5:$C$20000,$A1029)+SUMIFS(INPUT_DELAY!$E$5:$E$20000,INPUT_DELAY!$A$5:$A$20000,Kalkulasi!$B$987,INPUT_DELAY!$B$5:$B$20000,"05-06",INPUT_DELAY!$C$5:$C$20000,"SEMUA")))/60,0)</f>
        <v/>
      </c>
      <c r="J1029">
        <f>E1029+H1029</f>
        <v/>
      </c>
      <c r="K1029">
        <f>IF(F1029+I1029=0,"",J1029/(F1029+I1029))</f>
        <v/>
      </c>
      <c r="L1029">
        <f>IFERROR(IF($C1029="OB",INDEX(MASTER_JAM!$F$5:$F$94,MATCH($A1029,MASTER_JAM!$A$5:$A$94,0)),INDEX(MASTER_JAM!$G$5:$G$94,MATCH($A1029,MASTER_JAM!$A$5:$A$94,0)))+0,0)</f>
        <v/>
      </c>
      <c r="M1029">
        <f>J1029+(D1029+G1029)/1000+ROW()/1000000</f>
        <v/>
      </c>
      <c r="O1029">
        <f>SUMIFS(INPUT_DELAY!$E$5:$E$20000,INPUT_DELAY!$A$5:$A$20000,Kalkulasi!$B$987,INPUT_DELAY!$C$5:$C$20000,$A1029)</f>
        <v/>
      </c>
    </row>
    <row r="1030">
      <c r="A1030" t="inlineStr">
        <is>
          <t>EX-332</t>
        </is>
      </c>
      <c r="B1030">
        <f>IFERROR(INDEX(MASTER_JAM!$B$5:$B$94,MATCH($A1030,MASTER_JAM!$A$5:$A$94,0)),"")</f>
        <v/>
      </c>
      <c r="C1030">
        <f>IF(SUMIFS(INPUT_RITASE!$L$5:$L$20000,INPUT_RITASE!$A$5:$A$20000,Kalkulasi!$B$987,INPUT_RITASE!$C$5:$C$20000,$A1030,INPUT_RITASE!$N$5:$N$20000,"Coal")&gt;SUMIFS(INPUT_RITASE!$L$5:$L$20000,INPUT_RITASE!$A$5:$A$20000,Kalkulasi!$B$987,INPUT_RITASE!$C$5:$C$20000,$A1030,INPUT_RITASE!$N$5:$N$20000,"OB"),"Coal","OB")</f>
        <v/>
      </c>
      <c r="D1030">
        <f>SUMIFS(INPUT_RITASE!$F$5:$F$20000,INPUT_RITASE!$A$5:$A$20000,Kalkulasi!$B$987,INPUT_RITASE!$H$5:$H$20000,"DS",INPUT_RITASE!$C$5:$C$20000,$A1030)</f>
        <v/>
      </c>
      <c r="E1030">
        <f>SUMIFS(INPUT_RITASE!$L$5:$L$20000,INPUT_RITASE!$A$5:$A$20000,Kalkulasi!$B$987,INPUT_RITASE!$H$5:$H$20000,"DS",INPUT_RITASE!$C$5:$C$20000,$A1030,INPUT_RITASE!$N$5:$N$20000,$C1030)</f>
        <v/>
      </c>
      <c r="F1030">
        <f>IF(SUMIFS(INPUT_RITASE!$L$5:$L$20000,INPUT_RITASE!$A$5:$A$20000,Kalkulasi!$B$987,INPUT_RITASE!$B$5:$B$20000,"06-07",INPUT_RITASE!$C$5:$C$20000,$A1030,INPUT_RITASE!$N$5:$N$20000,$C1030)&gt;0,(60-MIN(60,SUMIFS(INPUT_DELAY!$E$5:$E$20000,INPUT_DELAY!$A$5:$A$20000,Kalkulasi!$B$987,INPUT_DELAY!$B$5:$B$20000,"06-07",INPUT_DELAY!$C$5:$C$20000,$A1030)+SUMIFS(INPUT_DELAY!$E$5:$E$20000,INPUT_DELAY!$A$5:$A$20000,Kalkulasi!$B$987,INPUT_DELAY!$B$5:$B$20000,"06-07",INPUT_DELAY!$C$5:$C$20000,"SEMUA")))/60,0)+IF(SUMIFS(INPUT_RITASE!$L$5:$L$20000,INPUT_RITASE!$A$5:$A$20000,Kalkulasi!$B$987,INPUT_RITASE!$B$5:$B$20000,"07-08",INPUT_RITASE!$C$5:$C$20000,$A1030,INPUT_RITASE!$N$5:$N$20000,$C1030)&gt;0,(60-MIN(60,SUMIFS(INPUT_DELAY!$E$5:$E$20000,INPUT_DELAY!$A$5:$A$20000,Kalkulasi!$B$987,INPUT_DELAY!$B$5:$B$20000,"07-08",INPUT_DELAY!$C$5:$C$20000,$A1030)+SUMIFS(INPUT_DELAY!$E$5:$E$20000,INPUT_DELAY!$A$5:$A$20000,Kalkulasi!$B$987,INPUT_DELAY!$B$5:$B$20000,"07-08",INPUT_DELAY!$C$5:$C$20000,"SEMUA")))/60,0)+IF(SUMIFS(INPUT_RITASE!$L$5:$L$20000,INPUT_RITASE!$A$5:$A$20000,Kalkulasi!$B$987,INPUT_RITASE!$B$5:$B$20000,"08-09",INPUT_RITASE!$C$5:$C$20000,$A1030,INPUT_RITASE!$N$5:$N$20000,$C1030)&gt;0,(60-MIN(60,SUMIFS(INPUT_DELAY!$E$5:$E$20000,INPUT_DELAY!$A$5:$A$20000,Kalkulasi!$B$987,INPUT_DELAY!$B$5:$B$20000,"08-09",INPUT_DELAY!$C$5:$C$20000,$A1030)+SUMIFS(INPUT_DELAY!$E$5:$E$20000,INPUT_DELAY!$A$5:$A$20000,Kalkulasi!$B$987,INPUT_DELAY!$B$5:$B$20000,"08-09",INPUT_DELAY!$C$5:$C$20000,"SEMUA")))/60,0)+IF(SUMIFS(INPUT_RITASE!$L$5:$L$20000,INPUT_RITASE!$A$5:$A$20000,Kalkulasi!$B$987,INPUT_RITASE!$B$5:$B$20000,"09-10",INPUT_RITASE!$C$5:$C$20000,$A1030,INPUT_RITASE!$N$5:$N$20000,$C1030)&gt;0,(60-MIN(60,SUMIFS(INPUT_DELAY!$E$5:$E$20000,INPUT_DELAY!$A$5:$A$20000,Kalkulasi!$B$987,INPUT_DELAY!$B$5:$B$20000,"09-10",INPUT_DELAY!$C$5:$C$20000,$A1030)+SUMIFS(INPUT_DELAY!$E$5:$E$20000,INPUT_DELAY!$A$5:$A$20000,Kalkulasi!$B$987,INPUT_DELAY!$B$5:$B$20000,"09-10",INPUT_DELAY!$C$5:$C$20000,"SEMUA")))/60,0)+IF(SUMIFS(INPUT_RITASE!$L$5:$L$20000,INPUT_RITASE!$A$5:$A$20000,Kalkulasi!$B$987,INPUT_RITASE!$B$5:$B$20000,"10-11",INPUT_RITASE!$C$5:$C$20000,$A1030,INPUT_RITASE!$N$5:$N$20000,$C1030)&gt;0,(60-MIN(60,SUMIFS(INPUT_DELAY!$E$5:$E$20000,INPUT_DELAY!$A$5:$A$20000,Kalkulasi!$B$987,INPUT_DELAY!$B$5:$B$20000,"10-11",INPUT_DELAY!$C$5:$C$20000,$A1030)+SUMIFS(INPUT_DELAY!$E$5:$E$20000,INPUT_DELAY!$A$5:$A$20000,Kalkulasi!$B$987,INPUT_DELAY!$B$5:$B$20000,"10-11",INPUT_DELAY!$C$5:$C$20000,"SEMUA")))/60,0)+IF(SUMIFS(INPUT_RITASE!$L$5:$L$20000,INPUT_RITASE!$A$5:$A$20000,Kalkulasi!$B$987,INPUT_RITASE!$B$5:$B$20000,"11-12",INPUT_RITASE!$C$5:$C$20000,$A1030,INPUT_RITASE!$N$5:$N$20000,$C1030)&gt;0,(60-MIN(60,SUMIFS(INPUT_DELAY!$E$5:$E$20000,INPUT_DELAY!$A$5:$A$20000,Kalkulasi!$B$987,INPUT_DELAY!$B$5:$B$20000,"11-12",INPUT_DELAY!$C$5:$C$20000,$A1030)+SUMIFS(INPUT_DELAY!$E$5:$E$20000,INPUT_DELAY!$A$5:$A$20000,Kalkulasi!$B$987,INPUT_DELAY!$B$5:$B$20000,"11-12",INPUT_DELAY!$C$5:$C$20000,"SEMUA")))/60,0)+IF(SUMIFS(INPUT_RITASE!$L$5:$L$20000,INPUT_RITASE!$A$5:$A$20000,Kalkulasi!$B$987,INPUT_RITASE!$B$5:$B$20000,"12-13",INPUT_RITASE!$C$5:$C$20000,$A1030,INPUT_RITASE!$N$5:$N$20000,$C1030)&gt;0,(60-MIN(60,SUMIFS(INPUT_DELAY!$E$5:$E$20000,INPUT_DELAY!$A$5:$A$20000,Kalkulasi!$B$987,INPUT_DELAY!$B$5:$B$20000,"12-13",INPUT_DELAY!$C$5:$C$20000,$A1030)+SUMIFS(INPUT_DELAY!$E$5:$E$20000,INPUT_DELAY!$A$5:$A$20000,Kalkulasi!$B$987,INPUT_DELAY!$B$5:$B$20000,"12-13",INPUT_DELAY!$C$5:$C$20000,"SEMUA")))/60,0)+IF(SUMIFS(INPUT_RITASE!$L$5:$L$20000,INPUT_RITASE!$A$5:$A$20000,Kalkulasi!$B$987,INPUT_RITASE!$B$5:$B$20000,"13-14",INPUT_RITASE!$C$5:$C$20000,$A1030,INPUT_RITASE!$N$5:$N$20000,$C1030)&gt;0,(60-MIN(60,SUMIFS(INPUT_DELAY!$E$5:$E$20000,INPUT_DELAY!$A$5:$A$20000,Kalkulasi!$B$987,INPUT_DELAY!$B$5:$B$20000,"13-14",INPUT_DELAY!$C$5:$C$20000,$A1030)+SUMIFS(INPUT_DELAY!$E$5:$E$20000,INPUT_DELAY!$A$5:$A$20000,Kalkulasi!$B$987,INPUT_DELAY!$B$5:$B$20000,"13-14",INPUT_DELAY!$C$5:$C$20000,"SEMUA")))/60,0)+IF(SUMIFS(INPUT_RITASE!$L$5:$L$20000,INPUT_RITASE!$A$5:$A$20000,Kalkulasi!$B$987,INPUT_RITASE!$B$5:$B$20000,"14-15",INPUT_RITASE!$C$5:$C$20000,$A1030,INPUT_RITASE!$N$5:$N$20000,$C1030)&gt;0,(60-MIN(60,SUMIFS(INPUT_DELAY!$E$5:$E$20000,INPUT_DELAY!$A$5:$A$20000,Kalkulasi!$B$987,INPUT_DELAY!$B$5:$B$20000,"14-15",INPUT_DELAY!$C$5:$C$20000,$A1030)+SUMIFS(INPUT_DELAY!$E$5:$E$20000,INPUT_DELAY!$A$5:$A$20000,Kalkulasi!$B$987,INPUT_DELAY!$B$5:$B$20000,"14-15",INPUT_DELAY!$C$5:$C$20000,"SEMUA")))/60,0)+IF(SUMIFS(INPUT_RITASE!$L$5:$L$20000,INPUT_RITASE!$A$5:$A$20000,Kalkulasi!$B$987,INPUT_RITASE!$B$5:$B$20000,"15-16",INPUT_RITASE!$C$5:$C$20000,$A1030,INPUT_RITASE!$N$5:$N$20000,$C1030)&gt;0,(60-MIN(60,SUMIFS(INPUT_DELAY!$E$5:$E$20000,INPUT_DELAY!$A$5:$A$20000,Kalkulasi!$B$987,INPUT_DELAY!$B$5:$B$20000,"15-16",INPUT_DELAY!$C$5:$C$20000,$A1030)+SUMIFS(INPUT_DELAY!$E$5:$E$20000,INPUT_DELAY!$A$5:$A$20000,Kalkulasi!$B$987,INPUT_DELAY!$B$5:$B$20000,"15-16",INPUT_DELAY!$C$5:$C$20000,"SEMUA")))/60,0)+IF(SUMIFS(INPUT_RITASE!$L$5:$L$20000,INPUT_RITASE!$A$5:$A$20000,Kalkulasi!$B$987,INPUT_RITASE!$B$5:$B$20000,"16-17",INPUT_RITASE!$C$5:$C$20000,$A1030,INPUT_RITASE!$N$5:$N$20000,$C1030)&gt;0,(60-MIN(60,SUMIFS(INPUT_DELAY!$E$5:$E$20000,INPUT_DELAY!$A$5:$A$20000,Kalkulasi!$B$987,INPUT_DELAY!$B$5:$B$20000,"16-17",INPUT_DELAY!$C$5:$C$20000,$A1030)+SUMIFS(INPUT_DELAY!$E$5:$E$20000,INPUT_DELAY!$A$5:$A$20000,Kalkulasi!$B$987,INPUT_DELAY!$B$5:$B$20000,"16-17",INPUT_DELAY!$C$5:$C$20000,"SEMUA")))/60,0)+IF(SUMIFS(INPUT_RITASE!$L$5:$L$20000,INPUT_RITASE!$A$5:$A$20000,Kalkulasi!$B$987,INPUT_RITASE!$B$5:$B$20000,"17-18",INPUT_RITASE!$C$5:$C$20000,$A1030,INPUT_RITASE!$N$5:$N$20000,$C1030)&gt;0,(60-MIN(60,SUMIFS(INPUT_DELAY!$E$5:$E$20000,INPUT_DELAY!$A$5:$A$20000,Kalkulasi!$B$987,INPUT_DELAY!$B$5:$B$20000,"17-18",INPUT_DELAY!$C$5:$C$20000,$A1030)+SUMIFS(INPUT_DELAY!$E$5:$E$20000,INPUT_DELAY!$A$5:$A$20000,Kalkulasi!$B$987,INPUT_DELAY!$B$5:$B$20000,"17-18",INPUT_DELAY!$C$5:$C$20000,"SEMUA")))/60,0)</f>
        <v/>
      </c>
      <c r="G1030">
        <f>SUMIFS(INPUT_RITASE!$F$5:$F$20000,INPUT_RITASE!$A$5:$A$20000,Kalkulasi!$B$987,INPUT_RITASE!$H$5:$H$20000,"NS",INPUT_RITASE!$C$5:$C$20000,$A1030)</f>
        <v/>
      </c>
      <c r="H1030">
        <f>SUMIFS(INPUT_RITASE!$L$5:$L$20000,INPUT_RITASE!$A$5:$A$20000,Kalkulasi!$B$987,INPUT_RITASE!$H$5:$H$20000,"NS",INPUT_RITASE!$C$5:$C$20000,$A1030,INPUT_RITASE!$N$5:$N$20000,$C1030)</f>
        <v/>
      </c>
      <c r="I1030">
        <f>IF(SUMIFS(INPUT_RITASE!$L$5:$L$20000,INPUT_RITASE!$A$5:$A$20000,Kalkulasi!$B$987,INPUT_RITASE!$B$5:$B$20000,"18-19",INPUT_RITASE!$C$5:$C$20000,$A1030,INPUT_RITASE!$N$5:$N$20000,$C1030)&gt;0,(60-MIN(60,SUMIFS(INPUT_DELAY!$E$5:$E$20000,INPUT_DELAY!$A$5:$A$20000,Kalkulasi!$B$987,INPUT_DELAY!$B$5:$B$20000,"18-19",INPUT_DELAY!$C$5:$C$20000,$A1030)+SUMIFS(INPUT_DELAY!$E$5:$E$20000,INPUT_DELAY!$A$5:$A$20000,Kalkulasi!$B$987,INPUT_DELAY!$B$5:$B$20000,"18-19",INPUT_DELAY!$C$5:$C$20000,"SEMUA")))/60,0)+IF(SUMIFS(INPUT_RITASE!$L$5:$L$20000,INPUT_RITASE!$A$5:$A$20000,Kalkulasi!$B$987,INPUT_RITASE!$B$5:$B$20000,"19-20",INPUT_RITASE!$C$5:$C$20000,$A1030,INPUT_RITASE!$N$5:$N$20000,$C1030)&gt;0,(60-MIN(60,SUMIFS(INPUT_DELAY!$E$5:$E$20000,INPUT_DELAY!$A$5:$A$20000,Kalkulasi!$B$987,INPUT_DELAY!$B$5:$B$20000,"19-20",INPUT_DELAY!$C$5:$C$20000,$A1030)+SUMIFS(INPUT_DELAY!$E$5:$E$20000,INPUT_DELAY!$A$5:$A$20000,Kalkulasi!$B$987,INPUT_DELAY!$B$5:$B$20000,"19-20",INPUT_DELAY!$C$5:$C$20000,"SEMUA")))/60,0)+IF(SUMIFS(INPUT_RITASE!$L$5:$L$20000,INPUT_RITASE!$A$5:$A$20000,Kalkulasi!$B$987,INPUT_RITASE!$B$5:$B$20000,"20-21",INPUT_RITASE!$C$5:$C$20000,$A1030,INPUT_RITASE!$N$5:$N$20000,$C1030)&gt;0,(60-MIN(60,SUMIFS(INPUT_DELAY!$E$5:$E$20000,INPUT_DELAY!$A$5:$A$20000,Kalkulasi!$B$987,INPUT_DELAY!$B$5:$B$20000,"20-21",INPUT_DELAY!$C$5:$C$20000,$A1030)+SUMIFS(INPUT_DELAY!$E$5:$E$20000,INPUT_DELAY!$A$5:$A$20000,Kalkulasi!$B$987,INPUT_DELAY!$B$5:$B$20000,"20-21",INPUT_DELAY!$C$5:$C$20000,"SEMUA")))/60,0)+IF(SUMIFS(INPUT_RITASE!$L$5:$L$20000,INPUT_RITASE!$A$5:$A$20000,Kalkulasi!$B$987,INPUT_RITASE!$B$5:$B$20000,"21-22",INPUT_RITASE!$C$5:$C$20000,$A1030,INPUT_RITASE!$N$5:$N$20000,$C1030)&gt;0,(60-MIN(60,SUMIFS(INPUT_DELAY!$E$5:$E$20000,INPUT_DELAY!$A$5:$A$20000,Kalkulasi!$B$987,INPUT_DELAY!$B$5:$B$20000,"21-22",INPUT_DELAY!$C$5:$C$20000,$A1030)+SUMIFS(INPUT_DELAY!$E$5:$E$20000,INPUT_DELAY!$A$5:$A$20000,Kalkulasi!$B$987,INPUT_DELAY!$B$5:$B$20000,"21-22",INPUT_DELAY!$C$5:$C$20000,"SEMUA")))/60,0)+IF(SUMIFS(INPUT_RITASE!$L$5:$L$20000,INPUT_RITASE!$A$5:$A$20000,Kalkulasi!$B$987,INPUT_RITASE!$B$5:$B$20000,"22-23",INPUT_RITASE!$C$5:$C$20000,$A1030,INPUT_RITASE!$N$5:$N$20000,$C1030)&gt;0,(60-MIN(60,SUMIFS(INPUT_DELAY!$E$5:$E$20000,INPUT_DELAY!$A$5:$A$20000,Kalkulasi!$B$987,INPUT_DELAY!$B$5:$B$20000,"22-23",INPUT_DELAY!$C$5:$C$20000,$A1030)+SUMIFS(INPUT_DELAY!$E$5:$E$20000,INPUT_DELAY!$A$5:$A$20000,Kalkulasi!$B$987,INPUT_DELAY!$B$5:$B$20000,"22-23",INPUT_DELAY!$C$5:$C$20000,"SEMUA")))/60,0)+IF(SUMIFS(INPUT_RITASE!$L$5:$L$20000,INPUT_RITASE!$A$5:$A$20000,Kalkulasi!$B$987,INPUT_RITASE!$B$5:$B$20000,"23-24",INPUT_RITASE!$C$5:$C$20000,$A1030,INPUT_RITASE!$N$5:$N$20000,$C1030)&gt;0,(60-MIN(60,SUMIFS(INPUT_DELAY!$E$5:$E$20000,INPUT_DELAY!$A$5:$A$20000,Kalkulasi!$B$987,INPUT_DELAY!$B$5:$B$20000,"23-24",INPUT_DELAY!$C$5:$C$20000,$A1030)+SUMIFS(INPUT_DELAY!$E$5:$E$20000,INPUT_DELAY!$A$5:$A$20000,Kalkulasi!$B$987,INPUT_DELAY!$B$5:$B$20000,"23-24",INPUT_DELAY!$C$5:$C$20000,"SEMUA")))/60,0)+IF(SUMIFS(INPUT_RITASE!$L$5:$L$20000,INPUT_RITASE!$A$5:$A$20000,Kalkulasi!$B$987,INPUT_RITASE!$B$5:$B$20000,"00-01",INPUT_RITASE!$C$5:$C$20000,$A1030,INPUT_RITASE!$N$5:$N$20000,$C1030)&gt;0,(60-MIN(60,SUMIFS(INPUT_DELAY!$E$5:$E$20000,INPUT_DELAY!$A$5:$A$20000,Kalkulasi!$B$987,INPUT_DELAY!$B$5:$B$20000,"00-01",INPUT_DELAY!$C$5:$C$20000,$A1030)+SUMIFS(INPUT_DELAY!$E$5:$E$20000,INPUT_DELAY!$A$5:$A$20000,Kalkulasi!$B$987,INPUT_DELAY!$B$5:$B$20000,"00-01",INPUT_DELAY!$C$5:$C$20000,"SEMUA")))/60,0)+IF(SUMIFS(INPUT_RITASE!$L$5:$L$20000,INPUT_RITASE!$A$5:$A$20000,Kalkulasi!$B$987,INPUT_RITASE!$B$5:$B$20000,"01-02",INPUT_RITASE!$C$5:$C$20000,$A1030,INPUT_RITASE!$N$5:$N$20000,$C1030)&gt;0,(60-MIN(60,SUMIFS(INPUT_DELAY!$E$5:$E$20000,INPUT_DELAY!$A$5:$A$20000,Kalkulasi!$B$987,INPUT_DELAY!$B$5:$B$20000,"01-02",INPUT_DELAY!$C$5:$C$20000,$A1030)+SUMIFS(INPUT_DELAY!$E$5:$E$20000,INPUT_DELAY!$A$5:$A$20000,Kalkulasi!$B$987,INPUT_DELAY!$B$5:$B$20000,"01-02",INPUT_DELAY!$C$5:$C$20000,"SEMUA")))/60,0)+IF(SUMIFS(INPUT_RITASE!$L$5:$L$20000,INPUT_RITASE!$A$5:$A$20000,Kalkulasi!$B$987,INPUT_RITASE!$B$5:$B$20000,"02-03",INPUT_RITASE!$C$5:$C$20000,$A1030,INPUT_RITASE!$N$5:$N$20000,$C1030)&gt;0,(60-MIN(60,SUMIFS(INPUT_DELAY!$E$5:$E$20000,INPUT_DELAY!$A$5:$A$20000,Kalkulasi!$B$987,INPUT_DELAY!$B$5:$B$20000,"02-03",INPUT_DELAY!$C$5:$C$20000,$A1030)+SUMIFS(INPUT_DELAY!$E$5:$E$20000,INPUT_DELAY!$A$5:$A$20000,Kalkulasi!$B$987,INPUT_DELAY!$B$5:$B$20000,"02-03",INPUT_DELAY!$C$5:$C$20000,"SEMUA")))/60,0)+IF(SUMIFS(INPUT_RITASE!$L$5:$L$20000,INPUT_RITASE!$A$5:$A$20000,Kalkulasi!$B$987,INPUT_RITASE!$B$5:$B$20000,"03-04",INPUT_RITASE!$C$5:$C$20000,$A1030,INPUT_RITASE!$N$5:$N$20000,$C1030)&gt;0,(60-MIN(60,SUMIFS(INPUT_DELAY!$E$5:$E$20000,INPUT_DELAY!$A$5:$A$20000,Kalkulasi!$B$987,INPUT_DELAY!$B$5:$B$20000,"03-04",INPUT_DELAY!$C$5:$C$20000,$A1030)+SUMIFS(INPUT_DELAY!$E$5:$E$20000,INPUT_DELAY!$A$5:$A$20000,Kalkulasi!$B$987,INPUT_DELAY!$B$5:$B$20000,"03-04",INPUT_DELAY!$C$5:$C$20000,"SEMUA")))/60,0)+IF(SUMIFS(INPUT_RITASE!$L$5:$L$20000,INPUT_RITASE!$A$5:$A$20000,Kalkulasi!$B$987,INPUT_RITASE!$B$5:$B$20000,"04-05",INPUT_RITASE!$C$5:$C$20000,$A1030,INPUT_RITASE!$N$5:$N$20000,$C1030)&gt;0,(60-MIN(60,SUMIFS(INPUT_DELAY!$E$5:$E$20000,INPUT_DELAY!$A$5:$A$20000,Kalkulasi!$B$987,INPUT_DELAY!$B$5:$B$20000,"04-05",INPUT_DELAY!$C$5:$C$20000,$A1030)+SUMIFS(INPUT_DELAY!$E$5:$E$20000,INPUT_DELAY!$A$5:$A$20000,Kalkulasi!$B$987,INPUT_DELAY!$B$5:$B$20000,"04-05",INPUT_DELAY!$C$5:$C$20000,"SEMUA")))/60,0)+IF(SUMIFS(INPUT_RITASE!$L$5:$L$20000,INPUT_RITASE!$A$5:$A$20000,Kalkulasi!$B$987,INPUT_RITASE!$B$5:$B$20000,"05-06",INPUT_RITASE!$C$5:$C$20000,$A1030,INPUT_RITASE!$N$5:$N$20000,$C1030)&gt;0,(60-MIN(60,SUMIFS(INPUT_DELAY!$E$5:$E$20000,INPUT_DELAY!$A$5:$A$20000,Kalkulasi!$B$987,INPUT_DELAY!$B$5:$B$20000,"05-06",INPUT_DELAY!$C$5:$C$20000,$A1030)+SUMIFS(INPUT_DELAY!$E$5:$E$20000,INPUT_DELAY!$A$5:$A$20000,Kalkulasi!$B$987,INPUT_DELAY!$B$5:$B$20000,"05-06",INPUT_DELAY!$C$5:$C$20000,"SEMUA")))/60,0)</f>
        <v/>
      </c>
      <c r="J1030">
        <f>E1030+H1030</f>
        <v/>
      </c>
      <c r="K1030">
        <f>IF(F1030+I1030=0,"",J1030/(F1030+I1030))</f>
        <v/>
      </c>
      <c r="L1030">
        <f>IFERROR(IF($C1030="OB",INDEX(MASTER_JAM!$F$5:$F$94,MATCH($A1030,MASTER_JAM!$A$5:$A$94,0)),INDEX(MASTER_JAM!$G$5:$G$94,MATCH($A1030,MASTER_JAM!$A$5:$A$94,0)))+0,0)</f>
        <v/>
      </c>
      <c r="M1030">
        <f>J1030+(D1030+G1030)/1000+ROW()/1000000</f>
        <v/>
      </c>
      <c r="O1030">
        <f>SUMIFS(INPUT_DELAY!$E$5:$E$20000,INPUT_DELAY!$A$5:$A$20000,Kalkulasi!$B$987,INPUT_DELAY!$C$5:$C$20000,$A1030)</f>
        <v/>
      </c>
    </row>
    <row r="1031">
      <c r="A1031" t="inlineStr">
        <is>
          <t>EX-222</t>
        </is>
      </c>
      <c r="B1031">
        <f>IFERROR(INDEX(MASTER_JAM!$B$5:$B$94,MATCH($A1031,MASTER_JAM!$A$5:$A$94,0)),"")</f>
        <v/>
      </c>
      <c r="C1031">
        <f>IF(SUMIFS(INPUT_RITASE!$L$5:$L$20000,INPUT_RITASE!$A$5:$A$20000,Kalkulasi!$B$987,INPUT_RITASE!$C$5:$C$20000,$A1031,INPUT_RITASE!$N$5:$N$20000,"Coal")&gt;SUMIFS(INPUT_RITASE!$L$5:$L$20000,INPUT_RITASE!$A$5:$A$20000,Kalkulasi!$B$987,INPUT_RITASE!$C$5:$C$20000,$A1031,INPUT_RITASE!$N$5:$N$20000,"OB"),"Coal","OB")</f>
        <v/>
      </c>
      <c r="D1031">
        <f>SUMIFS(INPUT_RITASE!$F$5:$F$20000,INPUT_RITASE!$A$5:$A$20000,Kalkulasi!$B$987,INPUT_RITASE!$H$5:$H$20000,"DS",INPUT_RITASE!$C$5:$C$20000,$A1031)</f>
        <v/>
      </c>
      <c r="E1031">
        <f>SUMIFS(INPUT_RITASE!$L$5:$L$20000,INPUT_RITASE!$A$5:$A$20000,Kalkulasi!$B$987,INPUT_RITASE!$H$5:$H$20000,"DS",INPUT_RITASE!$C$5:$C$20000,$A1031,INPUT_RITASE!$N$5:$N$20000,$C1031)</f>
        <v/>
      </c>
      <c r="F1031">
        <f>IF(SUMIFS(INPUT_RITASE!$L$5:$L$20000,INPUT_RITASE!$A$5:$A$20000,Kalkulasi!$B$987,INPUT_RITASE!$B$5:$B$20000,"06-07",INPUT_RITASE!$C$5:$C$20000,$A1031,INPUT_RITASE!$N$5:$N$20000,$C1031)&gt;0,(60-MIN(60,SUMIFS(INPUT_DELAY!$E$5:$E$20000,INPUT_DELAY!$A$5:$A$20000,Kalkulasi!$B$987,INPUT_DELAY!$B$5:$B$20000,"06-07",INPUT_DELAY!$C$5:$C$20000,$A1031)+SUMIFS(INPUT_DELAY!$E$5:$E$20000,INPUT_DELAY!$A$5:$A$20000,Kalkulasi!$B$987,INPUT_DELAY!$B$5:$B$20000,"06-07",INPUT_DELAY!$C$5:$C$20000,"SEMUA")))/60,0)+IF(SUMIFS(INPUT_RITASE!$L$5:$L$20000,INPUT_RITASE!$A$5:$A$20000,Kalkulasi!$B$987,INPUT_RITASE!$B$5:$B$20000,"07-08",INPUT_RITASE!$C$5:$C$20000,$A1031,INPUT_RITASE!$N$5:$N$20000,$C1031)&gt;0,(60-MIN(60,SUMIFS(INPUT_DELAY!$E$5:$E$20000,INPUT_DELAY!$A$5:$A$20000,Kalkulasi!$B$987,INPUT_DELAY!$B$5:$B$20000,"07-08",INPUT_DELAY!$C$5:$C$20000,$A1031)+SUMIFS(INPUT_DELAY!$E$5:$E$20000,INPUT_DELAY!$A$5:$A$20000,Kalkulasi!$B$987,INPUT_DELAY!$B$5:$B$20000,"07-08",INPUT_DELAY!$C$5:$C$20000,"SEMUA")))/60,0)+IF(SUMIFS(INPUT_RITASE!$L$5:$L$20000,INPUT_RITASE!$A$5:$A$20000,Kalkulasi!$B$987,INPUT_RITASE!$B$5:$B$20000,"08-09",INPUT_RITASE!$C$5:$C$20000,$A1031,INPUT_RITASE!$N$5:$N$20000,$C1031)&gt;0,(60-MIN(60,SUMIFS(INPUT_DELAY!$E$5:$E$20000,INPUT_DELAY!$A$5:$A$20000,Kalkulasi!$B$987,INPUT_DELAY!$B$5:$B$20000,"08-09",INPUT_DELAY!$C$5:$C$20000,$A1031)+SUMIFS(INPUT_DELAY!$E$5:$E$20000,INPUT_DELAY!$A$5:$A$20000,Kalkulasi!$B$987,INPUT_DELAY!$B$5:$B$20000,"08-09",INPUT_DELAY!$C$5:$C$20000,"SEMUA")))/60,0)+IF(SUMIFS(INPUT_RITASE!$L$5:$L$20000,INPUT_RITASE!$A$5:$A$20000,Kalkulasi!$B$987,INPUT_RITASE!$B$5:$B$20000,"09-10",INPUT_RITASE!$C$5:$C$20000,$A1031,INPUT_RITASE!$N$5:$N$20000,$C1031)&gt;0,(60-MIN(60,SUMIFS(INPUT_DELAY!$E$5:$E$20000,INPUT_DELAY!$A$5:$A$20000,Kalkulasi!$B$987,INPUT_DELAY!$B$5:$B$20000,"09-10",INPUT_DELAY!$C$5:$C$20000,$A1031)+SUMIFS(INPUT_DELAY!$E$5:$E$20000,INPUT_DELAY!$A$5:$A$20000,Kalkulasi!$B$987,INPUT_DELAY!$B$5:$B$20000,"09-10",INPUT_DELAY!$C$5:$C$20000,"SEMUA")))/60,0)+IF(SUMIFS(INPUT_RITASE!$L$5:$L$20000,INPUT_RITASE!$A$5:$A$20000,Kalkulasi!$B$987,INPUT_RITASE!$B$5:$B$20000,"10-11",INPUT_RITASE!$C$5:$C$20000,$A1031,INPUT_RITASE!$N$5:$N$20000,$C1031)&gt;0,(60-MIN(60,SUMIFS(INPUT_DELAY!$E$5:$E$20000,INPUT_DELAY!$A$5:$A$20000,Kalkulasi!$B$987,INPUT_DELAY!$B$5:$B$20000,"10-11",INPUT_DELAY!$C$5:$C$20000,$A1031)+SUMIFS(INPUT_DELAY!$E$5:$E$20000,INPUT_DELAY!$A$5:$A$20000,Kalkulasi!$B$987,INPUT_DELAY!$B$5:$B$20000,"10-11",INPUT_DELAY!$C$5:$C$20000,"SEMUA")))/60,0)+IF(SUMIFS(INPUT_RITASE!$L$5:$L$20000,INPUT_RITASE!$A$5:$A$20000,Kalkulasi!$B$987,INPUT_RITASE!$B$5:$B$20000,"11-12",INPUT_RITASE!$C$5:$C$20000,$A1031,INPUT_RITASE!$N$5:$N$20000,$C1031)&gt;0,(60-MIN(60,SUMIFS(INPUT_DELAY!$E$5:$E$20000,INPUT_DELAY!$A$5:$A$20000,Kalkulasi!$B$987,INPUT_DELAY!$B$5:$B$20000,"11-12",INPUT_DELAY!$C$5:$C$20000,$A1031)+SUMIFS(INPUT_DELAY!$E$5:$E$20000,INPUT_DELAY!$A$5:$A$20000,Kalkulasi!$B$987,INPUT_DELAY!$B$5:$B$20000,"11-12",INPUT_DELAY!$C$5:$C$20000,"SEMUA")))/60,0)+IF(SUMIFS(INPUT_RITASE!$L$5:$L$20000,INPUT_RITASE!$A$5:$A$20000,Kalkulasi!$B$987,INPUT_RITASE!$B$5:$B$20000,"12-13",INPUT_RITASE!$C$5:$C$20000,$A1031,INPUT_RITASE!$N$5:$N$20000,$C1031)&gt;0,(60-MIN(60,SUMIFS(INPUT_DELAY!$E$5:$E$20000,INPUT_DELAY!$A$5:$A$20000,Kalkulasi!$B$987,INPUT_DELAY!$B$5:$B$20000,"12-13",INPUT_DELAY!$C$5:$C$20000,$A1031)+SUMIFS(INPUT_DELAY!$E$5:$E$20000,INPUT_DELAY!$A$5:$A$20000,Kalkulasi!$B$987,INPUT_DELAY!$B$5:$B$20000,"12-13",INPUT_DELAY!$C$5:$C$20000,"SEMUA")))/60,0)+IF(SUMIFS(INPUT_RITASE!$L$5:$L$20000,INPUT_RITASE!$A$5:$A$20000,Kalkulasi!$B$987,INPUT_RITASE!$B$5:$B$20000,"13-14",INPUT_RITASE!$C$5:$C$20000,$A1031,INPUT_RITASE!$N$5:$N$20000,$C1031)&gt;0,(60-MIN(60,SUMIFS(INPUT_DELAY!$E$5:$E$20000,INPUT_DELAY!$A$5:$A$20000,Kalkulasi!$B$987,INPUT_DELAY!$B$5:$B$20000,"13-14",INPUT_DELAY!$C$5:$C$20000,$A1031)+SUMIFS(INPUT_DELAY!$E$5:$E$20000,INPUT_DELAY!$A$5:$A$20000,Kalkulasi!$B$987,INPUT_DELAY!$B$5:$B$20000,"13-14",INPUT_DELAY!$C$5:$C$20000,"SEMUA")))/60,0)+IF(SUMIFS(INPUT_RITASE!$L$5:$L$20000,INPUT_RITASE!$A$5:$A$20000,Kalkulasi!$B$987,INPUT_RITASE!$B$5:$B$20000,"14-15",INPUT_RITASE!$C$5:$C$20000,$A1031,INPUT_RITASE!$N$5:$N$20000,$C1031)&gt;0,(60-MIN(60,SUMIFS(INPUT_DELAY!$E$5:$E$20000,INPUT_DELAY!$A$5:$A$20000,Kalkulasi!$B$987,INPUT_DELAY!$B$5:$B$20000,"14-15",INPUT_DELAY!$C$5:$C$20000,$A1031)+SUMIFS(INPUT_DELAY!$E$5:$E$20000,INPUT_DELAY!$A$5:$A$20000,Kalkulasi!$B$987,INPUT_DELAY!$B$5:$B$20000,"14-15",INPUT_DELAY!$C$5:$C$20000,"SEMUA")))/60,0)+IF(SUMIFS(INPUT_RITASE!$L$5:$L$20000,INPUT_RITASE!$A$5:$A$20000,Kalkulasi!$B$987,INPUT_RITASE!$B$5:$B$20000,"15-16",INPUT_RITASE!$C$5:$C$20000,$A1031,INPUT_RITASE!$N$5:$N$20000,$C1031)&gt;0,(60-MIN(60,SUMIFS(INPUT_DELAY!$E$5:$E$20000,INPUT_DELAY!$A$5:$A$20000,Kalkulasi!$B$987,INPUT_DELAY!$B$5:$B$20000,"15-16",INPUT_DELAY!$C$5:$C$20000,$A1031)+SUMIFS(INPUT_DELAY!$E$5:$E$20000,INPUT_DELAY!$A$5:$A$20000,Kalkulasi!$B$987,INPUT_DELAY!$B$5:$B$20000,"15-16",INPUT_DELAY!$C$5:$C$20000,"SEMUA")))/60,0)+IF(SUMIFS(INPUT_RITASE!$L$5:$L$20000,INPUT_RITASE!$A$5:$A$20000,Kalkulasi!$B$987,INPUT_RITASE!$B$5:$B$20000,"16-17",INPUT_RITASE!$C$5:$C$20000,$A1031,INPUT_RITASE!$N$5:$N$20000,$C1031)&gt;0,(60-MIN(60,SUMIFS(INPUT_DELAY!$E$5:$E$20000,INPUT_DELAY!$A$5:$A$20000,Kalkulasi!$B$987,INPUT_DELAY!$B$5:$B$20000,"16-17",INPUT_DELAY!$C$5:$C$20000,$A1031)+SUMIFS(INPUT_DELAY!$E$5:$E$20000,INPUT_DELAY!$A$5:$A$20000,Kalkulasi!$B$987,INPUT_DELAY!$B$5:$B$20000,"16-17",INPUT_DELAY!$C$5:$C$20000,"SEMUA")))/60,0)+IF(SUMIFS(INPUT_RITASE!$L$5:$L$20000,INPUT_RITASE!$A$5:$A$20000,Kalkulasi!$B$987,INPUT_RITASE!$B$5:$B$20000,"17-18",INPUT_RITASE!$C$5:$C$20000,$A1031,INPUT_RITASE!$N$5:$N$20000,$C1031)&gt;0,(60-MIN(60,SUMIFS(INPUT_DELAY!$E$5:$E$20000,INPUT_DELAY!$A$5:$A$20000,Kalkulasi!$B$987,INPUT_DELAY!$B$5:$B$20000,"17-18",INPUT_DELAY!$C$5:$C$20000,$A1031)+SUMIFS(INPUT_DELAY!$E$5:$E$20000,INPUT_DELAY!$A$5:$A$20000,Kalkulasi!$B$987,INPUT_DELAY!$B$5:$B$20000,"17-18",INPUT_DELAY!$C$5:$C$20000,"SEMUA")))/60,0)</f>
        <v/>
      </c>
      <c r="G1031">
        <f>SUMIFS(INPUT_RITASE!$F$5:$F$20000,INPUT_RITASE!$A$5:$A$20000,Kalkulasi!$B$987,INPUT_RITASE!$H$5:$H$20000,"NS",INPUT_RITASE!$C$5:$C$20000,$A1031)</f>
        <v/>
      </c>
      <c r="H1031">
        <f>SUMIFS(INPUT_RITASE!$L$5:$L$20000,INPUT_RITASE!$A$5:$A$20000,Kalkulasi!$B$987,INPUT_RITASE!$H$5:$H$20000,"NS",INPUT_RITASE!$C$5:$C$20000,$A1031,INPUT_RITASE!$N$5:$N$20000,$C1031)</f>
        <v/>
      </c>
      <c r="I1031">
        <f>IF(SUMIFS(INPUT_RITASE!$L$5:$L$20000,INPUT_RITASE!$A$5:$A$20000,Kalkulasi!$B$987,INPUT_RITASE!$B$5:$B$20000,"18-19",INPUT_RITASE!$C$5:$C$20000,$A1031,INPUT_RITASE!$N$5:$N$20000,$C1031)&gt;0,(60-MIN(60,SUMIFS(INPUT_DELAY!$E$5:$E$20000,INPUT_DELAY!$A$5:$A$20000,Kalkulasi!$B$987,INPUT_DELAY!$B$5:$B$20000,"18-19",INPUT_DELAY!$C$5:$C$20000,$A1031)+SUMIFS(INPUT_DELAY!$E$5:$E$20000,INPUT_DELAY!$A$5:$A$20000,Kalkulasi!$B$987,INPUT_DELAY!$B$5:$B$20000,"18-19",INPUT_DELAY!$C$5:$C$20000,"SEMUA")))/60,0)+IF(SUMIFS(INPUT_RITASE!$L$5:$L$20000,INPUT_RITASE!$A$5:$A$20000,Kalkulasi!$B$987,INPUT_RITASE!$B$5:$B$20000,"19-20",INPUT_RITASE!$C$5:$C$20000,$A1031,INPUT_RITASE!$N$5:$N$20000,$C1031)&gt;0,(60-MIN(60,SUMIFS(INPUT_DELAY!$E$5:$E$20000,INPUT_DELAY!$A$5:$A$20000,Kalkulasi!$B$987,INPUT_DELAY!$B$5:$B$20000,"19-20",INPUT_DELAY!$C$5:$C$20000,$A1031)+SUMIFS(INPUT_DELAY!$E$5:$E$20000,INPUT_DELAY!$A$5:$A$20000,Kalkulasi!$B$987,INPUT_DELAY!$B$5:$B$20000,"19-20",INPUT_DELAY!$C$5:$C$20000,"SEMUA")))/60,0)+IF(SUMIFS(INPUT_RITASE!$L$5:$L$20000,INPUT_RITASE!$A$5:$A$20000,Kalkulasi!$B$987,INPUT_RITASE!$B$5:$B$20000,"20-21",INPUT_RITASE!$C$5:$C$20000,$A1031,INPUT_RITASE!$N$5:$N$20000,$C1031)&gt;0,(60-MIN(60,SUMIFS(INPUT_DELAY!$E$5:$E$20000,INPUT_DELAY!$A$5:$A$20000,Kalkulasi!$B$987,INPUT_DELAY!$B$5:$B$20000,"20-21",INPUT_DELAY!$C$5:$C$20000,$A1031)+SUMIFS(INPUT_DELAY!$E$5:$E$20000,INPUT_DELAY!$A$5:$A$20000,Kalkulasi!$B$987,INPUT_DELAY!$B$5:$B$20000,"20-21",INPUT_DELAY!$C$5:$C$20000,"SEMUA")))/60,0)+IF(SUMIFS(INPUT_RITASE!$L$5:$L$20000,INPUT_RITASE!$A$5:$A$20000,Kalkulasi!$B$987,INPUT_RITASE!$B$5:$B$20000,"21-22",INPUT_RITASE!$C$5:$C$20000,$A1031,INPUT_RITASE!$N$5:$N$20000,$C1031)&gt;0,(60-MIN(60,SUMIFS(INPUT_DELAY!$E$5:$E$20000,INPUT_DELAY!$A$5:$A$20000,Kalkulasi!$B$987,INPUT_DELAY!$B$5:$B$20000,"21-22",INPUT_DELAY!$C$5:$C$20000,$A1031)+SUMIFS(INPUT_DELAY!$E$5:$E$20000,INPUT_DELAY!$A$5:$A$20000,Kalkulasi!$B$987,INPUT_DELAY!$B$5:$B$20000,"21-22",INPUT_DELAY!$C$5:$C$20000,"SEMUA")))/60,0)+IF(SUMIFS(INPUT_RITASE!$L$5:$L$20000,INPUT_RITASE!$A$5:$A$20000,Kalkulasi!$B$987,INPUT_RITASE!$B$5:$B$20000,"22-23",INPUT_RITASE!$C$5:$C$20000,$A1031,INPUT_RITASE!$N$5:$N$20000,$C1031)&gt;0,(60-MIN(60,SUMIFS(INPUT_DELAY!$E$5:$E$20000,INPUT_DELAY!$A$5:$A$20000,Kalkulasi!$B$987,INPUT_DELAY!$B$5:$B$20000,"22-23",INPUT_DELAY!$C$5:$C$20000,$A1031)+SUMIFS(INPUT_DELAY!$E$5:$E$20000,INPUT_DELAY!$A$5:$A$20000,Kalkulasi!$B$987,INPUT_DELAY!$B$5:$B$20000,"22-23",INPUT_DELAY!$C$5:$C$20000,"SEMUA")))/60,0)+IF(SUMIFS(INPUT_RITASE!$L$5:$L$20000,INPUT_RITASE!$A$5:$A$20000,Kalkulasi!$B$987,INPUT_RITASE!$B$5:$B$20000,"23-24",INPUT_RITASE!$C$5:$C$20000,$A1031,INPUT_RITASE!$N$5:$N$20000,$C1031)&gt;0,(60-MIN(60,SUMIFS(INPUT_DELAY!$E$5:$E$20000,INPUT_DELAY!$A$5:$A$20000,Kalkulasi!$B$987,INPUT_DELAY!$B$5:$B$20000,"23-24",INPUT_DELAY!$C$5:$C$20000,$A1031)+SUMIFS(INPUT_DELAY!$E$5:$E$20000,INPUT_DELAY!$A$5:$A$20000,Kalkulasi!$B$987,INPUT_DELAY!$B$5:$B$20000,"23-24",INPUT_DELAY!$C$5:$C$20000,"SEMUA")))/60,0)+IF(SUMIFS(INPUT_RITASE!$L$5:$L$20000,INPUT_RITASE!$A$5:$A$20000,Kalkulasi!$B$987,INPUT_RITASE!$B$5:$B$20000,"00-01",INPUT_RITASE!$C$5:$C$20000,$A1031,INPUT_RITASE!$N$5:$N$20000,$C1031)&gt;0,(60-MIN(60,SUMIFS(INPUT_DELAY!$E$5:$E$20000,INPUT_DELAY!$A$5:$A$20000,Kalkulasi!$B$987,INPUT_DELAY!$B$5:$B$20000,"00-01",INPUT_DELAY!$C$5:$C$20000,$A1031)+SUMIFS(INPUT_DELAY!$E$5:$E$20000,INPUT_DELAY!$A$5:$A$20000,Kalkulasi!$B$987,INPUT_DELAY!$B$5:$B$20000,"00-01",INPUT_DELAY!$C$5:$C$20000,"SEMUA")))/60,0)+IF(SUMIFS(INPUT_RITASE!$L$5:$L$20000,INPUT_RITASE!$A$5:$A$20000,Kalkulasi!$B$987,INPUT_RITASE!$B$5:$B$20000,"01-02",INPUT_RITASE!$C$5:$C$20000,$A1031,INPUT_RITASE!$N$5:$N$20000,$C1031)&gt;0,(60-MIN(60,SUMIFS(INPUT_DELAY!$E$5:$E$20000,INPUT_DELAY!$A$5:$A$20000,Kalkulasi!$B$987,INPUT_DELAY!$B$5:$B$20000,"01-02",INPUT_DELAY!$C$5:$C$20000,$A1031)+SUMIFS(INPUT_DELAY!$E$5:$E$20000,INPUT_DELAY!$A$5:$A$20000,Kalkulasi!$B$987,INPUT_DELAY!$B$5:$B$20000,"01-02",INPUT_DELAY!$C$5:$C$20000,"SEMUA")))/60,0)+IF(SUMIFS(INPUT_RITASE!$L$5:$L$20000,INPUT_RITASE!$A$5:$A$20000,Kalkulasi!$B$987,INPUT_RITASE!$B$5:$B$20000,"02-03",INPUT_RITASE!$C$5:$C$20000,$A1031,INPUT_RITASE!$N$5:$N$20000,$C1031)&gt;0,(60-MIN(60,SUMIFS(INPUT_DELAY!$E$5:$E$20000,INPUT_DELAY!$A$5:$A$20000,Kalkulasi!$B$987,INPUT_DELAY!$B$5:$B$20000,"02-03",INPUT_DELAY!$C$5:$C$20000,$A1031)+SUMIFS(INPUT_DELAY!$E$5:$E$20000,INPUT_DELAY!$A$5:$A$20000,Kalkulasi!$B$987,INPUT_DELAY!$B$5:$B$20000,"02-03",INPUT_DELAY!$C$5:$C$20000,"SEMUA")))/60,0)+IF(SUMIFS(INPUT_RITASE!$L$5:$L$20000,INPUT_RITASE!$A$5:$A$20000,Kalkulasi!$B$987,INPUT_RITASE!$B$5:$B$20000,"03-04",INPUT_RITASE!$C$5:$C$20000,$A1031,INPUT_RITASE!$N$5:$N$20000,$C1031)&gt;0,(60-MIN(60,SUMIFS(INPUT_DELAY!$E$5:$E$20000,INPUT_DELAY!$A$5:$A$20000,Kalkulasi!$B$987,INPUT_DELAY!$B$5:$B$20000,"03-04",INPUT_DELAY!$C$5:$C$20000,$A1031)+SUMIFS(INPUT_DELAY!$E$5:$E$20000,INPUT_DELAY!$A$5:$A$20000,Kalkulasi!$B$987,INPUT_DELAY!$B$5:$B$20000,"03-04",INPUT_DELAY!$C$5:$C$20000,"SEMUA")))/60,0)+IF(SUMIFS(INPUT_RITASE!$L$5:$L$20000,INPUT_RITASE!$A$5:$A$20000,Kalkulasi!$B$987,INPUT_RITASE!$B$5:$B$20000,"04-05",INPUT_RITASE!$C$5:$C$20000,$A1031,INPUT_RITASE!$N$5:$N$20000,$C1031)&gt;0,(60-MIN(60,SUMIFS(INPUT_DELAY!$E$5:$E$20000,INPUT_DELAY!$A$5:$A$20000,Kalkulasi!$B$987,INPUT_DELAY!$B$5:$B$20000,"04-05",INPUT_DELAY!$C$5:$C$20000,$A1031)+SUMIFS(INPUT_DELAY!$E$5:$E$20000,INPUT_DELAY!$A$5:$A$20000,Kalkulasi!$B$987,INPUT_DELAY!$B$5:$B$20000,"04-05",INPUT_DELAY!$C$5:$C$20000,"SEMUA")))/60,0)+IF(SUMIFS(INPUT_RITASE!$L$5:$L$20000,INPUT_RITASE!$A$5:$A$20000,Kalkulasi!$B$987,INPUT_RITASE!$B$5:$B$20000,"05-06",INPUT_RITASE!$C$5:$C$20000,$A1031,INPUT_RITASE!$N$5:$N$20000,$C1031)&gt;0,(60-MIN(60,SUMIFS(INPUT_DELAY!$E$5:$E$20000,INPUT_DELAY!$A$5:$A$20000,Kalkulasi!$B$987,INPUT_DELAY!$B$5:$B$20000,"05-06",INPUT_DELAY!$C$5:$C$20000,$A1031)+SUMIFS(INPUT_DELAY!$E$5:$E$20000,INPUT_DELAY!$A$5:$A$20000,Kalkulasi!$B$987,INPUT_DELAY!$B$5:$B$20000,"05-06",INPUT_DELAY!$C$5:$C$20000,"SEMUA")))/60,0)</f>
        <v/>
      </c>
      <c r="J1031">
        <f>E1031+H1031</f>
        <v/>
      </c>
      <c r="K1031">
        <f>IF(F1031+I1031=0,"",J1031/(F1031+I1031))</f>
        <v/>
      </c>
      <c r="L1031">
        <f>IFERROR(IF($C1031="OB",INDEX(MASTER_JAM!$F$5:$F$94,MATCH($A1031,MASTER_JAM!$A$5:$A$94,0)),INDEX(MASTER_JAM!$G$5:$G$94,MATCH($A1031,MASTER_JAM!$A$5:$A$94,0)))+0,0)</f>
        <v/>
      </c>
      <c r="M1031">
        <f>J1031+(D1031+G1031)/1000+ROW()/1000000</f>
        <v/>
      </c>
      <c r="O1031">
        <f>SUMIFS(INPUT_DELAY!$E$5:$E$20000,INPUT_DELAY!$A$5:$A$20000,Kalkulasi!$B$987,INPUT_DELAY!$C$5:$C$20000,$A1031)</f>
        <v/>
      </c>
    </row>
    <row r="1032">
      <c r="A1032" t="inlineStr">
        <is>
          <t>EX-223</t>
        </is>
      </c>
      <c r="B1032">
        <f>IFERROR(INDEX(MASTER_JAM!$B$5:$B$94,MATCH($A1032,MASTER_JAM!$A$5:$A$94,0)),"")</f>
        <v/>
      </c>
      <c r="C1032">
        <f>IF(SUMIFS(INPUT_RITASE!$L$5:$L$20000,INPUT_RITASE!$A$5:$A$20000,Kalkulasi!$B$987,INPUT_RITASE!$C$5:$C$20000,$A1032,INPUT_RITASE!$N$5:$N$20000,"Coal")&gt;SUMIFS(INPUT_RITASE!$L$5:$L$20000,INPUT_RITASE!$A$5:$A$20000,Kalkulasi!$B$987,INPUT_RITASE!$C$5:$C$20000,$A1032,INPUT_RITASE!$N$5:$N$20000,"OB"),"Coal","OB")</f>
        <v/>
      </c>
      <c r="D1032">
        <f>SUMIFS(INPUT_RITASE!$F$5:$F$20000,INPUT_RITASE!$A$5:$A$20000,Kalkulasi!$B$987,INPUT_RITASE!$H$5:$H$20000,"DS",INPUT_RITASE!$C$5:$C$20000,$A1032)</f>
        <v/>
      </c>
      <c r="E1032">
        <f>SUMIFS(INPUT_RITASE!$L$5:$L$20000,INPUT_RITASE!$A$5:$A$20000,Kalkulasi!$B$987,INPUT_RITASE!$H$5:$H$20000,"DS",INPUT_RITASE!$C$5:$C$20000,$A1032,INPUT_RITASE!$N$5:$N$20000,$C1032)</f>
        <v/>
      </c>
      <c r="F1032">
        <f>IF(SUMIFS(INPUT_RITASE!$L$5:$L$20000,INPUT_RITASE!$A$5:$A$20000,Kalkulasi!$B$987,INPUT_RITASE!$B$5:$B$20000,"06-07",INPUT_RITASE!$C$5:$C$20000,$A1032,INPUT_RITASE!$N$5:$N$20000,$C1032)&gt;0,(60-MIN(60,SUMIFS(INPUT_DELAY!$E$5:$E$20000,INPUT_DELAY!$A$5:$A$20000,Kalkulasi!$B$987,INPUT_DELAY!$B$5:$B$20000,"06-07",INPUT_DELAY!$C$5:$C$20000,$A1032)+SUMIFS(INPUT_DELAY!$E$5:$E$20000,INPUT_DELAY!$A$5:$A$20000,Kalkulasi!$B$987,INPUT_DELAY!$B$5:$B$20000,"06-07",INPUT_DELAY!$C$5:$C$20000,"SEMUA")))/60,0)+IF(SUMIFS(INPUT_RITASE!$L$5:$L$20000,INPUT_RITASE!$A$5:$A$20000,Kalkulasi!$B$987,INPUT_RITASE!$B$5:$B$20000,"07-08",INPUT_RITASE!$C$5:$C$20000,$A1032,INPUT_RITASE!$N$5:$N$20000,$C1032)&gt;0,(60-MIN(60,SUMIFS(INPUT_DELAY!$E$5:$E$20000,INPUT_DELAY!$A$5:$A$20000,Kalkulasi!$B$987,INPUT_DELAY!$B$5:$B$20000,"07-08",INPUT_DELAY!$C$5:$C$20000,$A1032)+SUMIFS(INPUT_DELAY!$E$5:$E$20000,INPUT_DELAY!$A$5:$A$20000,Kalkulasi!$B$987,INPUT_DELAY!$B$5:$B$20000,"07-08",INPUT_DELAY!$C$5:$C$20000,"SEMUA")))/60,0)+IF(SUMIFS(INPUT_RITASE!$L$5:$L$20000,INPUT_RITASE!$A$5:$A$20000,Kalkulasi!$B$987,INPUT_RITASE!$B$5:$B$20000,"08-09",INPUT_RITASE!$C$5:$C$20000,$A1032,INPUT_RITASE!$N$5:$N$20000,$C1032)&gt;0,(60-MIN(60,SUMIFS(INPUT_DELAY!$E$5:$E$20000,INPUT_DELAY!$A$5:$A$20000,Kalkulasi!$B$987,INPUT_DELAY!$B$5:$B$20000,"08-09",INPUT_DELAY!$C$5:$C$20000,$A1032)+SUMIFS(INPUT_DELAY!$E$5:$E$20000,INPUT_DELAY!$A$5:$A$20000,Kalkulasi!$B$987,INPUT_DELAY!$B$5:$B$20000,"08-09",INPUT_DELAY!$C$5:$C$20000,"SEMUA")))/60,0)+IF(SUMIFS(INPUT_RITASE!$L$5:$L$20000,INPUT_RITASE!$A$5:$A$20000,Kalkulasi!$B$987,INPUT_RITASE!$B$5:$B$20000,"09-10",INPUT_RITASE!$C$5:$C$20000,$A1032,INPUT_RITASE!$N$5:$N$20000,$C1032)&gt;0,(60-MIN(60,SUMIFS(INPUT_DELAY!$E$5:$E$20000,INPUT_DELAY!$A$5:$A$20000,Kalkulasi!$B$987,INPUT_DELAY!$B$5:$B$20000,"09-10",INPUT_DELAY!$C$5:$C$20000,$A1032)+SUMIFS(INPUT_DELAY!$E$5:$E$20000,INPUT_DELAY!$A$5:$A$20000,Kalkulasi!$B$987,INPUT_DELAY!$B$5:$B$20000,"09-10",INPUT_DELAY!$C$5:$C$20000,"SEMUA")))/60,0)+IF(SUMIFS(INPUT_RITASE!$L$5:$L$20000,INPUT_RITASE!$A$5:$A$20000,Kalkulasi!$B$987,INPUT_RITASE!$B$5:$B$20000,"10-11",INPUT_RITASE!$C$5:$C$20000,$A1032,INPUT_RITASE!$N$5:$N$20000,$C1032)&gt;0,(60-MIN(60,SUMIFS(INPUT_DELAY!$E$5:$E$20000,INPUT_DELAY!$A$5:$A$20000,Kalkulasi!$B$987,INPUT_DELAY!$B$5:$B$20000,"10-11",INPUT_DELAY!$C$5:$C$20000,$A1032)+SUMIFS(INPUT_DELAY!$E$5:$E$20000,INPUT_DELAY!$A$5:$A$20000,Kalkulasi!$B$987,INPUT_DELAY!$B$5:$B$20000,"10-11",INPUT_DELAY!$C$5:$C$20000,"SEMUA")))/60,0)+IF(SUMIFS(INPUT_RITASE!$L$5:$L$20000,INPUT_RITASE!$A$5:$A$20000,Kalkulasi!$B$987,INPUT_RITASE!$B$5:$B$20000,"11-12",INPUT_RITASE!$C$5:$C$20000,$A1032,INPUT_RITASE!$N$5:$N$20000,$C1032)&gt;0,(60-MIN(60,SUMIFS(INPUT_DELAY!$E$5:$E$20000,INPUT_DELAY!$A$5:$A$20000,Kalkulasi!$B$987,INPUT_DELAY!$B$5:$B$20000,"11-12",INPUT_DELAY!$C$5:$C$20000,$A1032)+SUMIFS(INPUT_DELAY!$E$5:$E$20000,INPUT_DELAY!$A$5:$A$20000,Kalkulasi!$B$987,INPUT_DELAY!$B$5:$B$20000,"11-12",INPUT_DELAY!$C$5:$C$20000,"SEMUA")))/60,0)+IF(SUMIFS(INPUT_RITASE!$L$5:$L$20000,INPUT_RITASE!$A$5:$A$20000,Kalkulasi!$B$987,INPUT_RITASE!$B$5:$B$20000,"12-13",INPUT_RITASE!$C$5:$C$20000,$A1032,INPUT_RITASE!$N$5:$N$20000,$C1032)&gt;0,(60-MIN(60,SUMIFS(INPUT_DELAY!$E$5:$E$20000,INPUT_DELAY!$A$5:$A$20000,Kalkulasi!$B$987,INPUT_DELAY!$B$5:$B$20000,"12-13",INPUT_DELAY!$C$5:$C$20000,$A1032)+SUMIFS(INPUT_DELAY!$E$5:$E$20000,INPUT_DELAY!$A$5:$A$20000,Kalkulasi!$B$987,INPUT_DELAY!$B$5:$B$20000,"12-13",INPUT_DELAY!$C$5:$C$20000,"SEMUA")))/60,0)+IF(SUMIFS(INPUT_RITASE!$L$5:$L$20000,INPUT_RITASE!$A$5:$A$20000,Kalkulasi!$B$987,INPUT_RITASE!$B$5:$B$20000,"13-14",INPUT_RITASE!$C$5:$C$20000,$A1032,INPUT_RITASE!$N$5:$N$20000,$C1032)&gt;0,(60-MIN(60,SUMIFS(INPUT_DELAY!$E$5:$E$20000,INPUT_DELAY!$A$5:$A$20000,Kalkulasi!$B$987,INPUT_DELAY!$B$5:$B$20000,"13-14",INPUT_DELAY!$C$5:$C$20000,$A1032)+SUMIFS(INPUT_DELAY!$E$5:$E$20000,INPUT_DELAY!$A$5:$A$20000,Kalkulasi!$B$987,INPUT_DELAY!$B$5:$B$20000,"13-14",INPUT_DELAY!$C$5:$C$20000,"SEMUA")))/60,0)+IF(SUMIFS(INPUT_RITASE!$L$5:$L$20000,INPUT_RITASE!$A$5:$A$20000,Kalkulasi!$B$987,INPUT_RITASE!$B$5:$B$20000,"14-15",INPUT_RITASE!$C$5:$C$20000,$A1032,INPUT_RITASE!$N$5:$N$20000,$C1032)&gt;0,(60-MIN(60,SUMIFS(INPUT_DELAY!$E$5:$E$20000,INPUT_DELAY!$A$5:$A$20000,Kalkulasi!$B$987,INPUT_DELAY!$B$5:$B$20000,"14-15",INPUT_DELAY!$C$5:$C$20000,$A1032)+SUMIFS(INPUT_DELAY!$E$5:$E$20000,INPUT_DELAY!$A$5:$A$20000,Kalkulasi!$B$987,INPUT_DELAY!$B$5:$B$20000,"14-15",INPUT_DELAY!$C$5:$C$20000,"SEMUA")))/60,0)+IF(SUMIFS(INPUT_RITASE!$L$5:$L$20000,INPUT_RITASE!$A$5:$A$20000,Kalkulasi!$B$987,INPUT_RITASE!$B$5:$B$20000,"15-16",INPUT_RITASE!$C$5:$C$20000,$A1032,INPUT_RITASE!$N$5:$N$20000,$C1032)&gt;0,(60-MIN(60,SUMIFS(INPUT_DELAY!$E$5:$E$20000,INPUT_DELAY!$A$5:$A$20000,Kalkulasi!$B$987,INPUT_DELAY!$B$5:$B$20000,"15-16",INPUT_DELAY!$C$5:$C$20000,$A1032)+SUMIFS(INPUT_DELAY!$E$5:$E$20000,INPUT_DELAY!$A$5:$A$20000,Kalkulasi!$B$987,INPUT_DELAY!$B$5:$B$20000,"15-16",INPUT_DELAY!$C$5:$C$20000,"SEMUA")))/60,0)+IF(SUMIFS(INPUT_RITASE!$L$5:$L$20000,INPUT_RITASE!$A$5:$A$20000,Kalkulasi!$B$987,INPUT_RITASE!$B$5:$B$20000,"16-17",INPUT_RITASE!$C$5:$C$20000,$A1032,INPUT_RITASE!$N$5:$N$20000,$C1032)&gt;0,(60-MIN(60,SUMIFS(INPUT_DELAY!$E$5:$E$20000,INPUT_DELAY!$A$5:$A$20000,Kalkulasi!$B$987,INPUT_DELAY!$B$5:$B$20000,"16-17",INPUT_DELAY!$C$5:$C$20000,$A1032)+SUMIFS(INPUT_DELAY!$E$5:$E$20000,INPUT_DELAY!$A$5:$A$20000,Kalkulasi!$B$987,INPUT_DELAY!$B$5:$B$20000,"16-17",INPUT_DELAY!$C$5:$C$20000,"SEMUA")))/60,0)+IF(SUMIFS(INPUT_RITASE!$L$5:$L$20000,INPUT_RITASE!$A$5:$A$20000,Kalkulasi!$B$987,INPUT_RITASE!$B$5:$B$20000,"17-18",INPUT_RITASE!$C$5:$C$20000,$A1032,INPUT_RITASE!$N$5:$N$20000,$C1032)&gt;0,(60-MIN(60,SUMIFS(INPUT_DELAY!$E$5:$E$20000,INPUT_DELAY!$A$5:$A$20000,Kalkulasi!$B$987,INPUT_DELAY!$B$5:$B$20000,"17-18",INPUT_DELAY!$C$5:$C$20000,$A1032)+SUMIFS(INPUT_DELAY!$E$5:$E$20000,INPUT_DELAY!$A$5:$A$20000,Kalkulasi!$B$987,INPUT_DELAY!$B$5:$B$20000,"17-18",INPUT_DELAY!$C$5:$C$20000,"SEMUA")))/60,0)</f>
        <v/>
      </c>
      <c r="G1032">
        <f>SUMIFS(INPUT_RITASE!$F$5:$F$20000,INPUT_RITASE!$A$5:$A$20000,Kalkulasi!$B$987,INPUT_RITASE!$H$5:$H$20000,"NS",INPUT_RITASE!$C$5:$C$20000,$A1032)</f>
        <v/>
      </c>
      <c r="H1032">
        <f>SUMIFS(INPUT_RITASE!$L$5:$L$20000,INPUT_RITASE!$A$5:$A$20000,Kalkulasi!$B$987,INPUT_RITASE!$H$5:$H$20000,"NS",INPUT_RITASE!$C$5:$C$20000,$A1032,INPUT_RITASE!$N$5:$N$20000,$C1032)</f>
        <v/>
      </c>
      <c r="I1032">
        <f>IF(SUMIFS(INPUT_RITASE!$L$5:$L$20000,INPUT_RITASE!$A$5:$A$20000,Kalkulasi!$B$987,INPUT_RITASE!$B$5:$B$20000,"18-19",INPUT_RITASE!$C$5:$C$20000,$A1032,INPUT_RITASE!$N$5:$N$20000,$C1032)&gt;0,(60-MIN(60,SUMIFS(INPUT_DELAY!$E$5:$E$20000,INPUT_DELAY!$A$5:$A$20000,Kalkulasi!$B$987,INPUT_DELAY!$B$5:$B$20000,"18-19",INPUT_DELAY!$C$5:$C$20000,$A1032)+SUMIFS(INPUT_DELAY!$E$5:$E$20000,INPUT_DELAY!$A$5:$A$20000,Kalkulasi!$B$987,INPUT_DELAY!$B$5:$B$20000,"18-19",INPUT_DELAY!$C$5:$C$20000,"SEMUA")))/60,0)+IF(SUMIFS(INPUT_RITASE!$L$5:$L$20000,INPUT_RITASE!$A$5:$A$20000,Kalkulasi!$B$987,INPUT_RITASE!$B$5:$B$20000,"19-20",INPUT_RITASE!$C$5:$C$20000,$A1032,INPUT_RITASE!$N$5:$N$20000,$C1032)&gt;0,(60-MIN(60,SUMIFS(INPUT_DELAY!$E$5:$E$20000,INPUT_DELAY!$A$5:$A$20000,Kalkulasi!$B$987,INPUT_DELAY!$B$5:$B$20000,"19-20",INPUT_DELAY!$C$5:$C$20000,$A1032)+SUMIFS(INPUT_DELAY!$E$5:$E$20000,INPUT_DELAY!$A$5:$A$20000,Kalkulasi!$B$987,INPUT_DELAY!$B$5:$B$20000,"19-20",INPUT_DELAY!$C$5:$C$20000,"SEMUA")))/60,0)+IF(SUMIFS(INPUT_RITASE!$L$5:$L$20000,INPUT_RITASE!$A$5:$A$20000,Kalkulasi!$B$987,INPUT_RITASE!$B$5:$B$20000,"20-21",INPUT_RITASE!$C$5:$C$20000,$A1032,INPUT_RITASE!$N$5:$N$20000,$C1032)&gt;0,(60-MIN(60,SUMIFS(INPUT_DELAY!$E$5:$E$20000,INPUT_DELAY!$A$5:$A$20000,Kalkulasi!$B$987,INPUT_DELAY!$B$5:$B$20000,"20-21",INPUT_DELAY!$C$5:$C$20000,$A1032)+SUMIFS(INPUT_DELAY!$E$5:$E$20000,INPUT_DELAY!$A$5:$A$20000,Kalkulasi!$B$987,INPUT_DELAY!$B$5:$B$20000,"20-21",INPUT_DELAY!$C$5:$C$20000,"SEMUA")))/60,0)+IF(SUMIFS(INPUT_RITASE!$L$5:$L$20000,INPUT_RITASE!$A$5:$A$20000,Kalkulasi!$B$987,INPUT_RITASE!$B$5:$B$20000,"21-22",INPUT_RITASE!$C$5:$C$20000,$A1032,INPUT_RITASE!$N$5:$N$20000,$C1032)&gt;0,(60-MIN(60,SUMIFS(INPUT_DELAY!$E$5:$E$20000,INPUT_DELAY!$A$5:$A$20000,Kalkulasi!$B$987,INPUT_DELAY!$B$5:$B$20000,"21-22",INPUT_DELAY!$C$5:$C$20000,$A1032)+SUMIFS(INPUT_DELAY!$E$5:$E$20000,INPUT_DELAY!$A$5:$A$20000,Kalkulasi!$B$987,INPUT_DELAY!$B$5:$B$20000,"21-22",INPUT_DELAY!$C$5:$C$20000,"SEMUA")))/60,0)+IF(SUMIFS(INPUT_RITASE!$L$5:$L$20000,INPUT_RITASE!$A$5:$A$20000,Kalkulasi!$B$987,INPUT_RITASE!$B$5:$B$20000,"22-23",INPUT_RITASE!$C$5:$C$20000,$A1032,INPUT_RITASE!$N$5:$N$20000,$C1032)&gt;0,(60-MIN(60,SUMIFS(INPUT_DELAY!$E$5:$E$20000,INPUT_DELAY!$A$5:$A$20000,Kalkulasi!$B$987,INPUT_DELAY!$B$5:$B$20000,"22-23",INPUT_DELAY!$C$5:$C$20000,$A1032)+SUMIFS(INPUT_DELAY!$E$5:$E$20000,INPUT_DELAY!$A$5:$A$20000,Kalkulasi!$B$987,INPUT_DELAY!$B$5:$B$20000,"22-23",INPUT_DELAY!$C$5:$C$20000,"SEMUA")))/60,0)+IF(SUMIFS(INPUT_RITASE!$L$5:$L$20000,INPUT_RITASE!$A$5:$A$20000,Kalkulasi!$B$987,INPUT_RITASE!$B$5:$B$20000,"23-24",INPUT_RITASE!$C$5:$C$20000,$A1032,INPUT_RITASE!$N$5:$N$20000,$C1032)&gt;0,(60-MIN(60,SUMIFS(INPUT_DELAY!$E$5:$E$20000,INPUT_DELAY!$A$5:$A$20000,Kalkulasi!$B$987,INPUT_DELAY!$B$5:$B$20000,"23-24",INPUT_DELAY!$C$5:$C$20000,$A1032)+SUMIFS(INPUT_DELAY!$E$5:$E$20000,INPUT_DELAY!$A$5:$A$20000,Kalkulasi!$B$987,INPUT_DELAY!$B$5:$B$20000,"23-24",INPUT_DELAY!$C$5:$C$20000,"SEMUA")))/60,0)+IF(SUMIFS(INPUT_RITASE!$L$5:$L$20000,INPUT_RITASE!$A$5:$A$20000,Kalkulasi!$B$987,INPUT_RITASE!$B$5:$B$20000,"00-01",INPUT_RITASE!$C$5:$C$20000,$A1032,INPUT_RITASE!$N$5:$N$20000,$C1032)&gt;0,(60-MIN(60,SUMIFS(INPUT_DELAY!$E$5:$E$20000,INPUT_DELAY!$A$5:$A$20000,Kalkulasi!$B$987,INPUT_DELAY!$B$5:$B$20000,"00-01",INPUT_DELAY!$C$5:$C$20000,$A1032)+SUMIFS(INPUT_DELAY!$E$5:$E$20000,INPUT_DELAY!$A$5:$A$20000,Kalkulasi!$B$987,INPUT_DELAY!$B$5:$B$20000,"00-01",INPUT_DELAY!$C$5:$C$20000,"SEMUA")))/60,0)+IF(SUMIFS(INPUT_RITASE!$L$5:$L$20000,INPUT_RITASE!$A$5:$A$20000,Kalkulasi!$B$987,INPUT_RITASE!$B$5:$B$20000,"01-02",INPUT_RITASE!$C$5:$C$20000,$A1032,INPUT_RITASE!$N$5:$N$20000,$C1032)&gt;0,(60-MIN(60,SUMIFS(INPUT_DELAY!$E$5:$E$20000,INPUT_DELAY!$A$5:$A$20000,Kalkulasi!$B$987,INPUT_DELAY!$B$5:$B$20000,"01-02",INPUT_DELAY!$C$5:$C$20000,$A1032)+SUMIFS(INPUT_DELAY!$E$5:$E$20000,INPUT_DELAY!$A$5:$A$20000,Kalkulasi!$B$987,INPUT_DELAY!$B$5:$B$20000,"01-02",INPUT_DELAY!$C$5:$C$20000,"SEMUA")))/60,0)+IF(SUMIFS(INPUT_RITASE!$L$5:$L$20000,INPUT_RITASE!$A$5:$A$20000,Kalkulasi!$B$987,INPUT_RITASE!$B$5:$B$20000,"02-03",INPUT_RITASE!$C$5:$C$20000,$A1032,INPUT_RITASE!$N$5:$N$20000,$C1032)&gt;0,(60-MIN(60,SUMIFS(INPUT_DELAY!$E$5:$E$20000,INPUT_DELAY!$A$5:$A$20000,Kalkulasi!$B$987,INPUT_DELAY!$B$5:$B$20000,"02-03",INPUT_DELAY!$C$5:$C$20000,$A1032)+SUMIFS(INPUT_DELAY!$E$5:$E$20000,INPUT_DELAY!$A$5:$A$20000,Kalkulasi!$B$987,INPUT_DELAY!$B$5:$B$20000,"02-03",INPUT_DELAY!$C$5:$C$20000,"SEMUA")))/60,0)+IF(SUMIFS(INPUT_RITASE!$L$5:$L$20000,INPUT_RITASE!$A$5:$A$20000,Kalkulasi!$B$987,INPUT_RITASE!$B$5:$B$20000,"03-04",INPUT_RITASE!$C$5:$C$20000,$A1032,INPUT_RITASE!$N$5:$N$20000,$C1032)&gt;0,(60-MIN(60,SUMIFS(INPUT_DELAY!$E$5:$E$20000,INPUT_DELAY!$A$5:$A$20000,Kalkulasi!$B$987,INPUT_DELAY!$B$5:$B$20000,"03-04",INPUT_DELAY!$C$5:$C$20000,$A1032)+SUMIFS(INPUT_DELAY!$E$5:$E$20000,INPUT_DELAY!$A$5:$A$20000,Kalkulasi!$B$987,INPUT_DELAY!$B$5:$B$20000,"03-04",INPUT_DELAY!$C$5:$C$20000,"SEMUA")))/60,0)+IF(SUMIFS(INPUT_RITASE!$L$5:$L$20000,INPUT_RITASE!$A$5:$A$20000,Kalkulasi!$B$987,INPUT_RITASE!$B$5:$B$20000,"04-05",INPUT_RITASE!$C$5:$C$20000,$A1032,INPUT_RITASE!$N$5:$N$20000,$C1032)&gt;0,(60-MIN(60,SUMIFS(INPUT_DELAY!$E$5:$E$20000,INPUT_DELAY!$A$5:$A$20000,Kalkulasi!$B$987,INPUT_DELAY!$B$5:$B$20000,"04-05",INPUT_DELAY!$C$5:$C$20000,$A1032)+SUMIFS(INPUT_DELAY!$E$5:$E$20000,INPUT_DELAY!$A$5:$A$20000,Kalkulasi!$B$987,INPUT_DELAY!$B$5:$B$20000,"04-05",INPUT_DELAY!$C$5:$C$20000,"SEMUA")))/60,0)+IF(SUMIFS(INPUT_RITASE!$L$5:$L$20000,INPUT_RITASE!$A$5:$A$20000,Kalkulasi!$B$987,INPUT_RITASE!$B$5:$B$20000,"05-06",INPUT_RITASE!$C$5:$C$20000,$A1032,INPUT_RITASE!$N$5:$N$20000,$C1032)&gt;0,(60-MIN(60,SUMIFS(INPUT_DELAY!$E$5:$E$20000,INPUT_DELAY!$A$5:$A$20000,Kalkulasi!$B$987,INPUT_DELAY!$B$5:$B$20000,"05-06",INPUT_DELAY!$C$5:$C$20000,$A1032)+SUMIFS(INPUT_DELAY!$E$5:$E$20000,INPUT_DELAY!$A$5:$A$20000,Kalkulasi!$B$987,INPUT_DELAY!$B$5:$B$20000,"05-06",INPUT_DELAY!$C$5:$C$20000,"SEMUA")))/60,0)</f>
        <v/>
      </c>
      <c r="J1032">
        <f>E1032+H1032</f>
        <v/>
      </c>
      <c r="K1032">
        <f>IF(F1032+I1032=0,"",J1032/(F1032+I1032))</f>
        <v/>
      </c>
      <c r="L1032">
        <f>IFERROR(IF($C1032="OB",INDEX(MASTER_JAM!$F$5:$F$94,MATCH($A1032,MASTER_JAM!$A$5:$A$94,0)),INDEX(MASTER_JAM!$G$5:$G$94,MATCH($A1032,MASTER_JAM!$A$5:$A$94,0)))+0,0)</f>
        <v/>
      </c>
      <c r="M1032">
        <f>J1032+(D1032+G1032)/1000+ROW()/1000000</f>
        <v/>
      </c>
      <c r="O1032">
        <f>SUMIFS(INPUT_DELAY!$E$5:$E$20000,INPUT_DELAY!$A$5:$A$20000,Kalkulasi!$B$987,INPUT_DELAY!$C$5:$C$20000,$A1032)</f>
        <v/>
      </c>
    </row>
    <row r="1033">
      <c r="A1033" t="inlineStr">
        <is>
          <t>EX-221</t>
        </is>
      </c>
      <c r="B1033">
        <f>IFERROR(INDEX(MASTER_JAM!$B$5:$B$94,MATCH($A1033,MASTER_JAM!$A$5:$A$94,0)),"")</f>
        <v/>
      </c>
      <c r="C1033">
        <f>IF(SUMIFS(INPUT_RITASE!$L$5:$L$20000,INPUT_RITASE!$A$5:$A$20000,Kalkulasi!$B$987,INPUT_RITASE!$C$5:$C$20000,$A1033,INPUT_RITASE!$N$5:$N$20000,"Coal")&gt;SUMIFS(INPUT_RITASE!$L$5:$L$20000,INPUT_RITASE!$A$5:$A$20000,Kalkulasi!$B$987,INPUT_RITASE!$C$5:$C$20000,$A1033,INPUT_RITASE!$N$5:$N$20000,"OB"),"Coal","OB")</f>
        <v/>
      </c>
      <c r="D1033">
        <f>SUMIFS(INPUT_RITASE!$F$5:$F$20000,INPUT_RITASE!$A$5:$A$20000,Kalkulasi!$B$987,INPUT_RITASE!$H$5:$H$20000,"DS",INPUT_RITASE!$C$5:$C$20000,$A1033)</f>
        <v/>
      </c>
      <c r="E1033">
        <f>SUMIFS(INPUT_RITASE!$L$5:$L$20000,INPUT_RITASE!$A$5:$A$20000,Kalkulasi!$B$987,INPUT_RITASE!$H$5:$H$20000,"DS",INPUT_RITASE!$C$5:$C$20000,$A1033,INPUT_RITASE!$N$5:$N$20000,$C1033)</f>
        <v/>
      </c>
      <c r="F1033">
        <f>IF(SUMIFS(INPUT_RITASE!$L$5:$L$20000,INPUT_RITASE!$A$5:$A$20000,Kalkulasi!$B$987,INPUT_RITASE!$B$5:$B$20000,"06-07",INPUT_RITASE!$C$5:$C$20000,$A1033,INPUT_RITASE!$N$5:$N$20000,$C1033)&gt;0,(60-MIN(60,SUMIFS(INPUT_DELAY!$E$5:$E$20000,INPUT_DELAY!$A$5:$A$20000,Kalkulasi!$B$987,INPUT_DELAY!$B$5:$B$20000,"06-07",INPUT_DELAY!$C$5:$C$20000,$A1033)+SUMIFS(INPUT_DELAY!$E$5:$E$20000,INPUT_DELAY!$A$5:$A$20000,Kalkulasi!$B$987,INPUT_DELAY!$B$5:$B$20000,"06-07",INPUT_DELAY!$C$5:$C$20000,"SEMUA")))/60,0)+IF(SUMIFS(INPUT_RITASE!$L$5:$L$20000,INPUT_RITASE!$A$5:$A$20000,Kalkulasi!$B$987,INPUT_RITASE!$B$5:$B$20000,"07-08",INPUT_RITASE!$C$5:$C$20000,$A1033,INPUT_RITASE!$N$5:$N$20000,$C1033)&gt;0,(60-MIN(60,SUMIFS(INPUT_DELAY!$E$5:$E$20000,INPUT_DELAY!$A$5:$A$20000,Kalkulasi!$B$987,INPUT_DELAY!$B$5:$B$20000,"07-08",INPUT_DELAY!$C$5:$C$20000,$A1033)+SUMIFS(INPUT_DELAY!$E$5:$E$20000,INPUT_DELAY!$A$5:$A$20000,Kalkulasi!$B$987,INPUT_DELAY!$B$5:$B$20000,"07-08",INPUT_DELAY!$C$5:$C$20000,"SEMUA")))/60,0)+IF(SUMIFS(INPUT_RITASE!$L$5:$L$20000,INPUT_RITASE!$A$5:$A$20000,Kalkulasi!$B$987,INPUT_RITASE!$B$5:$B$20000,"08-09",INPUT_RITASE!$C$5:$C$20000,$A1033,INPUT_RITASE!$N$5:$N$20000,$C1033)&gt;0,(60-MIN(60,SUMIFS(INPUT_DELAY!$E$5:$E$20000,INPUT_DELAY!$A$5:$A$20000,Kalkulasi!$B$987,INPUT_DELAY!$B$5:$B$20000,"08-09",INPUT_DELAY!$C$5:$C$20000,$A1033)+SUMIFS(INPUT_DELAY!$E$5:$E$20000,INPUT_DELAY!$A$5:$A$20000,Kalkulasi!$B$987,INPUT_DELAY!$B$5:$B$20000,"08-09",INPUT_DELAY!$C$5:$C$20000,"SEMUA")))/60,0)+IF(SUMIFS(INPUT_RITASE!$L$5:$L$20000,INPUT_RITASE!$A$5:$A$20000,Kalkulasi!$B$987,INPUT_RITASE!$B$5:$B$20000,"09-10",INPUT_RITASE!$C$5:$C$20000,$A1033,INPUT_RITASE!$N$5:$N$20000,$C1033)&gt;0,(60-MIN(60,SUMIFS(INPUT_DELAY!$E$5:$E$20000,INPUT_DELAY!$A$5:$A$20000,Kalkulasi!$B$987,INPUT_DELAY!$B$5:$B$20000,"09-10",INPUT_DELAY!$C$5:$C$20000,$A1033)+SUMIFS(INPUT_DELAY!$E$5:$E$20000,INPUT_DELAY!$A$5:$A$20000,Kalkulasi!$B$987,INPUT_DELAY!$B$5:$B$20000,"09-10",INPUT_DELAY!$C$5:$C$20000,"SEMUA")))/60,0)+IF(SUMIFS(INPUT_RITASE!$L$5:$L$20000,INPUT_RITASE!$A$5:$A$20000,Kalkulasi!$B$987,INPUT_RITASE!$B$5:$B$20000,"10-11",INPUT_RITASE!$C$5:$C$20000,$A1033,INPUT_RITASE!$N$5:$N$20000,$C1033)&gt;0,(60-MIN(60,SUMIFS(INPUT_DELAY!$E$5:$E$20000,INPUT_DELAY!$A$5:$A$20000,Kalkulasi!$B$987,INPUT_DELAY!$B$5:$B$20000,"10-11",INPUT_DELAY!$C$5:$C$20000,$A1033)+SUMIFS(INPUT_DELAY!$E$5:$E$20000,INPUT_DELAY!$A$5:$A$20000,Kalkulasi!$B$987,INPUT_DELAY!$B$5:$B$20000,"10-11",INPUT_DELAY!$C$5:$C$20000,"SEMUA")))/60,0)+IF(SUMIFS(INPUT_RITASE!$L$5:$L$20000,INPUT_RITASE!$A$5:$A$20000,Kalkulasi!$B$987,INPUT_RITASE!$B$5:$B$20000,"11-12",INPUT_RITASE!$C$5:$C$20000,$A1033,INPUT_RITASE!$N$5:$N$20000,$C1033)&gt;0,(60-MIN(60,SUMIFS(INPUT_DELAY!$E$5:$E$20000,INPUT_DELAY!$A$5:$A$20000,Kalkulasi!$B$987,INPUT_DELAY!$B$5:$B$20000,"11-12",INPUT_DELAY!$C$5:$C$20000,$A1033)+SUMIFS(INPUT_DELAY!$E$5:$E$20000,INPUT_DELAY!$A$5:$A$20000,Kalkulasi!$B$987,INPUT_DELAY!$B$5:$B$20000,"11-12",INPUT_DELAY!$C$5:$C$20000,"SEMUA")))/60,0)+IF(SUMIFS(INPUT_RITASE!$L$5:$L$20000,INPUT_RITASE!$A$5:$A$20000,Kalkulasi!$B$987,INPUT_RITASE!$B$5:$B$20000,"12-13",INPUT_RITASE!$C$5:$C$20000,$A1033,INPUT_RITASE!$N$5:$N$20000,$C1033)&gt;0,(60-MIN(60,SUMIFS(INPUT_DELAY!$E$5:$E$20000,INPUT_DELAY!$A$5:$A$20000,Kalkulasi!$B$987,INPUT_DELAY!$B$5:$B$20000,"12-13",INPUT_DELAY!$C$5:$C$20000,$A1033)+SUMIFS(INPUT_DELAY!$E$5:$E$20000,INPUT_DELAY!$A$5:$A$20000,Kalkulasi!$B$987,INPUT_DELAY!$B$5:$B$20000,"12-13",INPUT_DELAY!$C$5:$C$20000,"SEMUA")))/60,0)+IF(SUMIFS(INPUT_RITASE!$L$5:$L$20000,INPUT_RITASE!$A$5:$A$20000,Kalkulasi!$B$987,INPUT_RITASE!$B$5:$B$20000,"13-14",INPUT_RITASE!$C$5:$C$20000,$A1033,INPUT_RITASE!$N$5:$N$20000,$C1033)&gt;0,(60-MIN(60,SUMIFS(INPUT_DELAY!$E$5:$E$20000,INPUT_DELAY!$A$5:$A$20000,Kalkulasi!$B$987,INPUT_DELAY!$B$5:$B$20000,"13-14",INPUT_DELAY!$C$5:$C$20000,$A1033)+SUMIFS(INPUT_DELAY!$E$5:$E$20000,INPUT_DELAY!$A$5:$A$20000,Kalkulasi!$B$987,INPUT_DELAY!$B$5:$B$20000,"13-14",INPUT_DELAY!$C$5:$C$20000,"SEMUA")))/60,0)+IF(SUMIFS(INPUT_RITASE!$L$5:$L$20000,INPUT_RITASE!$A$5:$A$20000,Kalkulasi!$B$987,INPUT_RITASE!$B$5:$B$20000,"14-15",INPUT_RITASE!$C$5:$C$20000,$A1033,INPUT_RITASE!$N$5:$N$20000,$C1033)&gt;0,(60-MIN(60,SUMIFS(INPUT_DELAY!$E$5:$E$20000,INPUT_DELAY!$A$5:$A$20000,Kalkulasi!$B$987,INPUT_DELAY!$B$5:$B$20000,"14-15",INPUT_DELAY!$C$5:$C$20000,$A1033)+SUMIFS(INPUT_DELAY!$E$5:$E$20000,INPUT_DELAY!$A$5:$A$20000,Kalkulasi!$B$987,INPUT_DELAY!$B$5:$B$20000,"14-15",INPUT_DELAY!$C$5:$C$20000,"SEMUA")))/60,0)+IF(SUMIFS(INPUT_RITASE!$L$5:$L$20000,INPUT_RITASE!$A$5:$A$20000,Kalkulasi!$B$987,INPUT_RITASE!$B$5:$B$20000,"15-16",INPUT_RITASE!$C$5:$C$20000,$A1033,INPUT_RITASE!$N$5:$N$20000,$C1033)&gt;0,(60-MIN(60,SUMIFS(INPUT_DELAY!$E$5:$E$20000,INPUT_DELAY!$A$5:$A$20000,Kalkulasi!$B$987,INPUT_DELAY!$B$5:$B$20000,"15-16",INPUT_DELAY!$C$5:$C$20000,$A1033)+SUMIFS(INPUT_DELAY!$E$5:$E$20000,INPUT_DELAY!$A$5:$A$20000,Kalkulasi!$B$987,INPUT_DELAY!$B$5:$B$20000,"15-16",INPUT_DELAY!$C$5:$C$20000,"SEMUA")))/60,0)+IF(SUMIFS(INPUT_RITASE!$L$5:$L$20000,INPUT_RITASE!$A$5:$A$20000,Kalkulasi!$B$987,INPUT_RITASE!$B$5:$B$20000,"16-17",INPUT_RITASE!$C$5:$C$20000,$A1033,INPUT_RITASE!$N$5:$N$20000,$C1033)&gt;0,(60-MIN(60,SUMIFS(INPUT_DELAY!$E$5:$E$20000,INPUT_DELAY!$A$5:$A$20000,Kalkulasi!$B$987,INPUT_DELAY!$B$5:$B$20000,"16-17",INPUT_DELAY!$C$5:$C$20000,$A1033)+SUMIFS(INPUT_DELAY!$E$5:$E$20000,INPUT_DELAY!$A$5:$A$20000,Kalkulasi!$B$987,INPUT_DELAY!$B$5:$B$20000,"16-17",INPUT_DELAY!$C$5:$C$20000,"SEMUA")))/60,0)+IF(SUMIFS(INPUT_RITASE!$L$5:$L$20000,INPUT_RITASE!$A$5:$A$20000,Kalkulasi!$B$987,INPUT_RITASE!$B$5:$B$20000,"17-18",INPUT_RITASE!$C$5:$C$20000,$A1033,INPUT_RITASE!$N$5:$N$20000,$C1033)&gt;0,(60-MIN(60,SUMIFS(INPUT_DELAY!$E$5:$E$20000,INPUT_DELAY!$A$5:$A$20000,Kalkulasi!$B$987,INPUT_DELAY!$B$5:$B$20000,"17-18",INPUT_DELAY!$C$5:$C$20000,$A1033)+SUMIFS(INPUT_DELAY!$E$5:$E$20000,INPUT_DELAY!$A$5:$A$20000,Kalkulasi!$B$987,INPUT_DELAY!$B$5:$B$20000,"17-18",INPUT_DELAY!$C$5:$C$20000,"SEMUA")))/60,0)</f>
        <v/>
      </c>
      <c r="G1033">
        <f>SUMIFS(INPUT_RITASE!$F$5:$F$20000,INPUT_RITASE!$A$5:$A$20000,Kalkulasi!$B$987,INPUT_RITASE!$H$5:$H$20000,"NS",INPUT_RITASE!$C$5:$C$20000,$A1033)</f>
        <v/>
      </c>
      <c r="H1033">
        <f>SUMIFS(INPUT_RITASE!$L$5:$L$20000,INPUT_RITASE!$A$5:$A$20000,Kalkulasi!$B$987,INPUT_RITASE!$H$5:$H$20000,"NS",INPUT_RITASE!$C$5:$C$20000,$A1033,INPUT_RITASE!$N$5:$N$20000,$C1033)</f>
        <v/>
      </c>
      <c r="I1033">
        <f>IF(SUMIFS(INPUT_RITASE!$L$5:$L$20000,INPUT_RITASE!$A$5:$A$20000,Kalkulasi!$B$987,INPUT_RITASE!$B$5:$B$20000,"18-19",INPUT_RITASE!$C$5:$C$20000,$A1033,INPUT_RITASE!$N$5:$N$20000,$C1033)&gt;0,(60-MIN(60,SUMIFS(INPUT_DELAY!$E$5:$E$20000,INPUT_DELAY!$A$5:$A$20000,Kalkulasi!$B$987,INPUT_DELAY!$B$5:$B$20000,"18-19",INPUT_DELAY!$C$5:$C$20000,$A1033)+SUMIFS(INPUT_DELAY!$E$5:$E$20000,INPUT_DELAY!$A$5:$A$20000,Kalkulasi!$B$987,INPUT_DELAY!$B$5:$B$20000,"18-19",INPUT_DELAY!$C$5:$C$20000,"SEMUA")))/60,0)+IF(SUMIFS(INPUT_RITASE!$L$5:$L$20000,INPUT_RITASE!$A$5:$A$20000,Kalkulasi!$B$987,INPUT_RITASE!$B$5:$B$20000,"19-20",INPUT_RITASE!$C$5:$C$20000,$A1033,INPUT_RITASE!$N$5:$N$20000,$C1033)&gt;0,(60-MIN(60,SUMIFS(INPUT_DELAY!$E$5:$E$20000,INPUT_DELAY!$A$5:$A$20000,Kalkulasi!$B$987,INPUT_DELAY!$B$5:$B$20000,"19-20",INPUT_DELAY!$C$5:$C$20000,$A1033)+SUMIFS(INPUT_DELAY!$E$5:$E$20000,INPUT_DELAY!$A$5:$A$20000,Kalkulasi!$B$987,INPUT_DELAY!$B$5:$B$20000,"19-20",INPUT_DELAY!$C$5:$C$20000,"SEMUA")))/60,0)+IF(SUMIFS(INPUT_RITASE!$L$5:$L$20000,INPUT_RITASE!$A$5:$A$20000,Kalkulasi!$B$987,INPUT_RITASE!$B$5:$B$20000,"20-21",INPUT_RITASE!$C$5:$C$20000,$A1033,INPUT_RITASE!$N$5:$N$20000,$C1033)&gt;0,(60-MIN(60,SUMIFS(INPUT_DELAY!$E$5:$E$20000,INPUT_DELAY!$A$5:$A$20000,Kalkulasi!$B$987,INPUT_DELAY!$B$5:$B$20000,"20-21",INPUT_DELAY!$C$5:$C$20000,$A1033)+SUMIFS(INPUT_DELAY!$E$5:$E$20000,INPUT_DELAY!$A$5:$A$20000,Kalkulasi!$B$987,INPUT_DELAY!$B$5:$B$20000,"20-21",INPUT_DELAY!$C$5:$C$20000,"SEMUA")))/60,0)+IF(SUMIFS(INPUT_RITASE!$L$5:$L$20000,INPUT_RITASE!$A$5:$A$20000,Kalkulasi!$B$987,INPUT_RITASE!$B$5:$B$20000,"21-22",INPUT_RITASE!$C$5:$C$20000,$A1033,INPUT_RITASE!$N$5:$N$20000,$C1033)&gt;0,(60-MIN(60,SUMIFS(INPUT_DELAY!$E$5:$E$20000,INPUT_DELAY!$A$5:$A$20000,Kalkulasi!$B$987,INPUT_DELAY!$B$5:$B$20000,"21-22",INPUT_DELAY!$C$5:$C$20000,$A1033)+SUMIFS(INPUT_DELAY!$E$5:$E$20000,INPUT_DELAY!$A$5:$A$20000,Kalkulasi!$B$987,INPUT_DELAY!$B$5:$B$20000,"21-22",INPUT_DELAY!$C$5:$C$20000,"SEMUA")))/60,0)+IF(SUMIFS(INPUT_RITASE!$L$5:$L$20000,INPUT_RITASE!$A$5:$A$20000,Kalkulasi!$B$987,INPUT_RITASE!$B$5:$B$20000,"22-23",INPUT_RITASE!$C$5:$C$20000,$A1033,INPUT_RITASE!$N$5:$N$20000,$C1033)&gt;0,(60-MIN(60,SUMIFS(INPUT_DELAY!$E$5:$E$20000,INPUT_DELAY!$A$5:$A$20000,Kalkulasi!$B$987,INPUT_DELAY!$B$5:$B$20000,"22-23",INPUT_DELAY!$C$5:$C$20000,$A1033)+SUMIFS(INPUT_DELAY!$E$5:$E$20000,INPUT_DELAY!$A$5:$A$20000,Kalkulasi!$B$987,INPUT_DELAY!$B$5:$B$20000,"22-23",INPUT_DELAY!$C$5:$C$20000,"SEMUA")))/60,0)+IF(SUMIFS(INPUT_RITASE!$L$5:$L$20000,INPUT_RITASE!$A$5:$A$20000,Kalkulasi!$B$987,INPUT_RITASE!$B$5:$B$20000,"23-24",INPUT_RITASE!$C$5:$C$20000,$A1033,INPUT_RITASE!$N$5:$N$20000,$C1033)&gt;0,(60-MIN(60,SUMIFS(INPUT_DELAY!$E$5:$E$20000,INPUT_DELAY!$A$5:$A$20000,Kalkulasi!$B$987,INPUT_DELAY!$B$5:$B$20000,"23-24",INPUT_DELAY!$C$5:$C$20000,$A1033)+SUMIFS(INPUT_DELAY!$E$5:$E$20000,INPUT_DELAY!$A$5:$A$20000,Kalkulasi!$B$987,INPUT_DELAY!$B$5:$B$20000,"23-24",INPUT_DELAY!$C$5:$C$20000,"SEMUA")))/60,0)+IF(SUMIFS(INPUT_RITASE!$L$5:$L$20000,INPUT_RITASE!$A$5:$A$20000,Kalkulasi!$B$987,INPUT_RITASE!$B$5:$B$20000,"00-01",INPUT_RITASE!$C$5:$C$20000,$A1033,INPUT_RITASE!$N$5:$N$20000,$C1033)&gt;0,(60-MIN(60,SUMIFS(INPUT_DELAY!$E$5:$E$20000,INPUT_DELAY!$A$5:$A$20000,Kalkulasi!$B$987,INPUT_DELAY!$B$5:$B$20000,"00-01",INPUT_DELAY!$C$5:$C$20000,$A1033)+SUMIFS(INPUT_DELAY!$E$5:$E$20000,INPUT_DELAY!$A$5:$A$20000,Kalkulasi!$B$987,INPUT_DELAY!$B$5:$B$20000,"00-01",INPUT_DELAY!$C$5:$C$20000,"SEMUA")))/60,0)+IF(SUMIFS(INPUT_RITASE!$L$5:$L$20000,INPUT_RITASE!$A$5:$A$20000,Kalkulasi!$B$987,INPUT_RITASE!$B$5:$B$20000,"01-02",INPUT_RITASE!$C$5:$C$20000,$A1033,INPUT_RITASE!$N$5:$N$20000,$C1033)&gt;0,(60-MIN(60,SUMIFS(INPUT_DELAY!$E$5:$E$20000,INPUT_DELAY!$A$5:$A$20000,Kalkulasi!$B$987,INPUT_DELAY!$B$5:$B$20000,"01-02",INPUT_DELAY!$C$5:$C$20000,$A1033)+SUMIFS(INPUT_DELAY!$E$5:$E$20000,INPUT_DELAY!$A$5:$A$20000,Kalkulasi!$B$987,INPUT_DELAY!$B$5:$B$20000,"01-02",INPUT_DELAY!$C$5:$C$20000,"SEMUA")))/60,0)+IF(SUMIFS(INPUT_RITASE!$L$5:$L$20000,INPUT_RITASE!$A$5:$A$20000,Kalkulasi!$B$987,INPUT_RITASE!$B$5:$B$20000,"02-03",INPUT_RITASE!$C$5:$C$20000,$A1033,INPUT_RITASE!$N$5:$N$20000,$C1033)&gt;0,(60-MIN(60,SUMIFS(INPUT_DELAY!$E$5:$E$20000,INPUT_DELAY!$A$5:$A$20000,Kalkulasi!$B$987,INPUT_DELAY!$B$5:$B$20000,"02-03",INPUT_DELAY!$C$5:$C$20000,$A1033)+SUMIFS(INPUT_DELAY!$E$5:$E$20000,INPUT_DELAY!$A$5:$A$20000,Kalkulasi!$B$987,INPUT_DELAY!$B$5:$B$20000,"02-03",INPUT_DELAY!$C$5:$C$20000,"SEMUA")))/60,0)+IF(SUMIFS(INPUT_RITASE!$L$5:$L$20000,INPUT_RITASE!$A$5:$A$20000,Kalkulasi!$B$987,INPUT_RITASE!$B$5:$B$20000,"03-04",INPUT_RITASE!$C$5:$C$20000,$A1033,INPUT_RITASE!$N$5:$N$20000,$C1033)&gt;0,(60-MIN(60,SUMIFS(INPUT_DELAY!$E$5:$E$20000,INPUT_DELAY!$A$5:$A$20000,Kalkulasi!$B$987,INPUT_DELAY!$B$5:$B$20000,"03-04",INPUT_DELAY!$C$5:$C$20000,$A1033)+SUMIFS(INPUT_DELAY!$E$5:$E$20000,INPUT_DELAY!$A$5:$A$20000,Kalkulasi!$B$987,INPUT_DELAY!$B$5:$B$20000,"03-04",INPUT_DELAY!$C$5:$C$20000,"SEMUA")))/60,0)+IF(SUMIFS(INPUT_RITASE!$L$5:$L$20000,INPUT_RITASE!$A$5:$A$20000,Kalkulasi!$B$987,INPUT_RITASE!$B$5:$B$20000,"04-05",INPUT_RITASE!$C$5:$C$20000,$A1033,INPUT_RITASE!$N$5:$N$20000,$C1033)&gt;0,(60-MIN(60,SUMIFS(INPUT_DELAY!$E$5:$E$20000,INPUT_DELAY!$A$5:$A$20000,Kalkulasi!$B$987,INPUT_DELAY!$B$5:$B$20000,"04-05",INPUT_DELAY!$C$5:$C$20000,$A1033)+SUMIFS(INPUT_DELAY!$E$5:$E$20000,INPUT_DELAY!$A$5:$A$20000,Kalkulasi!$B$987,INPUT_DELAY!$B$5:$B$20000,"04-05",INPUT_DELAY!$C$5:$C$20000,"SEMUA")))/60,0)+IF(SUMIFS(INPUT_RITASE!$L$5:$L$20000,INPUT_RITASE!$A$5:$A$20000,Kalkulasi!$B$987,INPUT_RITASE!$B$5:$B$20000,"05-06",INPUT_RITASE!$C$5:$C$20000,$A1033,INPUT_RITASE!$N$5:$N$20000,$C1033)&gt;0,(60-MIN(60,SUMIFS(INPUT_DELAY!$E$5:$E$20000,INPUT_DELAY!$A$5:$A$20000,Kalkulasi!$B$987,INPUT_DELAY!$B$5:$B$20000,"05-06",INPUT_DELAY!$C$5:$C$20000,$A1033)+SUMIFS(INPUT_DELAY!$E$5:$E$20000,INPUT_DELAY!$A$5:$A$20000,Kalkulasi!$B$987,INPUT_DELAY!$B$5:$B$20000,"05-06",INPUT_DELAY!$C$5:$C$20000,"SEMUA")))/60,0)</f>
        <v/>
      </c>
      <c r="J1033">
        <f>E1033+H1033</f>
        <v/>
      </c>
      <c r="K1033">
        <f>IF(F1033+I1033=0,"",J1033/(F1033+I1033))</f>
        <v/>
      </c>
      <c r="L1033">
        <f>IFERROR(IF($C1033="OB",INDEX(MASTER_JAM!$F$5:$F$94,MATCH($A1033,MASTER_JAM!$A$5:$A$94,0)),INDEX(MASTER_JAM!$G$5:$G$94,MATCH($A1033,MASTER_JAM!$A$5:$A$94,0)))+0,0)</f>
        <v/>
      </c>
      <c r="M1033">
        <f>J1033+(D1033+G1033)/1000+ROW()/1000000</f>
        <v/>
      </c>
      <c r="O1033">
        <f>SUMIFS(INPUT_DELAY!$E$5:$E$20000,INPUT_DELAY!$A$5:$A$20000,Kalkulasi!$B$987,INPUT_DELAY!$C$5:$C$20000,$A1033)</f>
        <v/>
      </c>
    </row>
    <row r="1034">
      <c r="A1034" t="inlineStr">
        <is>
          <t>EX-225</t>
        </is>
      </c>
      <c r="B1034">
        <f>IFERROR(INDEX(MASTER_JAM!$B$5:$B$94,MATCH($A1034,MASTER_JAM!$A$5:$A$94,0)),"")</f>
        <v/>
      </c>
      <c r="C1034">
        <f>IF(SUMIFS(INPUT_RITASE!$L$5:$L$20000,INPUT_RITASE!$A$5:$A$20000,Kalkulasi!$B$987,INPUT_RITASE!$C$5:$C$20000,$A1034,INPUT_RITASE!$N$5:$N$20000,"Coal")&gt;SUMIFS(INPUT_RITASE!$L$5:$L$20000,INPUT_RITASE!$A$5:$A$20000,Kalkulasi!$B$987,INPUT_RITASE!$C$5:$C$20000,$A1034,INPUT_RITASE!$N$5:$N$20000,"OB"),"Coal","OB")</f>
        <v/>
      </c>
      <c r="D1034">
        <f>SUMIFS(INPUT_RITASE!$F$5:$F$20000,INPUT_RITASE!$A$5:$A$20000,Kalkulasi!$B$987,INPUT_RITASE!$H$5:$H$20000,"DS",INPUT_RITASE!$C$5:$C$20000,$A1034)</f>
        <v/>
      </c>
      <c r="E1034">
        <f>SUMIFS(INPUT_RITASE!$L$5:$L$20000,INPUT_RITASE!$A$5:$A$20000,Kalkulasi!$B$987,INPUT_RITASE!$H$5:$H$20000,"DS",INPUT_RITASE!$C$5:$C$20000,$A1034,INPUT_RITASE!$N$5:$N$20000,$C1034)</f>
        <v/>
      </c>
      <c r="F1034">
        <f>IF(SUMIFS(INPUT_RITASE!$L$5:$L$20000,INPUT_RITASE!$A$5:$A$20000,Kalkulasi!$B$987,INPUT_RITASE!$B$5:$B$20000,"06-07",INPUT_RITASE!$C$5:$C$20000,$A1034,INPUT_RITASE!$N$5:$N$20000,$C1034)&gt;0,(60-MIN(60,SUMIFS(INPUT_DELAY!$E$5:$E$20000,INPUT_DELAY!$A$5:$A$20000,Kalkulasi!$B$987,INPUT_DELAY!$B$5:$B$20000,"06-07",INPUT_DELAY!$C$5:$C$20000,$A1034)+SUMIFS(INPUT_DELAY!$E$5:$E$20000,INPUT_DELAY!$A$5:$A$20000,Kalkulasi!$B$987,INPUT_DELAY!$B$5:$B$20000,"06-07",INPUT_DELAY!$C$5:$C$20000,"SEMUA")))/60,0)+IF(SUMIFS(INPUT_RITASE!$L$5:$L$20000,INPUT_RITASE!$A$5:$A$20000,Kalkulasi!$B$987,INPUT_RITASE!$B$5:$B$20000,"07-08",INPUT_RITASE!$C$5:$C$20000,$A1034,INPUT_RITASE!$N$5:$N$20000,$C1034)&gt;0,(60-MIN(60,SUMIFS(INPUT_DELAY!$E$5:$E$20000,INPUT_DELAY!$A$5:$A$20000,Kalkulasi!$B$987,INPUT_DELAY!$B$5:$B$20000,"07-08",INPUT_DELAY!$C$5:$C$20000,$A1034)+SUMIFS(INPUT_DELAY!$E$5:$E$20000,INPUT_DELAY!$A$5:$A$20000,Kalkulasi!$B$987,INPUT_DELAY!$B$5:$B$20000,"07-08",INPUT_DELAY!$C$5:$C$20000,"SEMUA")))/60,0)+IF(SUMIFS(INPUT_RITASE!$L$5:$L$20000,INPUT_RITASE!$A$5:$A$20000,Kalkulasi!$B$987,INPUT_RITASE!$B$5:$B$20000,"08-09",INPUT_RITASE!$C$5:$C$20000,$A1034,INPUT_RITASE!$N$5:$N$20000,$C1034)&gt;0,(60-MIN(60,SUMIFS(INPUT_DELAY!$E$5:$E$20000,INPUT_DELAY!$A$5:$A$20000,Kalkulasi!$B$987,INPUT_DELAY!$B$5:$B$20000,"08-09",INPUT_DELAY!$C$5:$C$20000,$A1034)+SUMIFS(INPUT_DELAY!$E$5:$E$20000,INPUT_DELAY!$A$5:$A$20000,Kalkulasi!$B$987,INPUT_DELAY!$B$5:$B$20000,"08-09",INPUT_DELAY!$C$5:$C$20000,"SEMUA")))/60,0)+IF(SUMIFS(INPUT_RITASE!$L$5:$L$20000,INPUT_RITASE!$A$5:$A$20000,Kalkulasi!$B$987,INPUT_RITASE!$B$5:$B$20000,"09-10",INPUT_RITASE!$C$5:$C$20000,$A1034,INPUT_RITASE!$N$5:$N$20000,$C1034)&gt;0,(60-MIN(60,SUMIFS(INPUT_DELAY!$E$5:$E$20000,INPUT_DELAY!$A$5:$A$20000,Kalkulasi!$B$987,INPUT_DELAY!$B$5:$B$20000,"09-10",INPUT_DELAY!$C$5:$C$20000,$A1034)+SUMIFS(INPUT_DELAY!$E$5:$E$20000,INPUT_DELAY!$A$5:$A$20000,Kalkulasi!$B$987,INPUT_DELAY!$B$5:$B$20000,"09-10",INPUT_DELAY!$C$5:$C$20000,"SEMUA")))/60,0)+IF(SUMIFS(INPUT_RITASE!$L$5:$L$20000,INPUT_RITASE!$A$5:$A$20000,Kalkulasi!$B$987,INPUT_RITASE!$B$5:$B$20000,"10-11",INPUT_RITASE!$C$5:$C$20000,$A1034,INPUT_RITASE!$N$5:$N$20000,$C1034)&gt;0,(60-MIN(60,SUMIFS(INPUT_DELAY!$E$5:$E$20000,INPUT_DELAY!$A$5:$A$20000,Kalkulasi!$B$987,INPUT_DELAY!$B$5:$B$20000,"10-11",INPUT_DELAY!$C$5:$C$20000,$A1034)+SUMIFS(INPUT_DELAY!$E$5:$E$20000,INPUT_DELAY!$A$5:$A$20000,Kalkulasi!$B$987,INPUT_DELAY!$B$5:$B$20000,"10-11",INPUT_DELAY!$C$5:$C$20000,"SEMUA")))/60,0)+IF(SUMIFS(INPUT_RITASE!$L$5:$L$20000,INPUT_RITASE!$A$5:$A$20000,Kalkulasi!$B$987,INPUT_RITASE!$B$5:$B$20000,"11-12",INPUT_RITASE!$C$5:$C$20000,$A1034,INPUT_RITASE!$N$5:$N$20000,$C1034)&gt;0,(60-MIN(60,SUMIFS(INPUT_DELAY!$E$5:$E$20000,INPUT_DELAY!$A$5:$A$20000,Kalkulasi!$B$987,INPUT_DELAY!$B$5:$B$20000,"11-12",INPUT_DELAY!$C$5:$C$20000,$A1034)+SUMIFS(INPUT_DELAY!$E$5:$E$20000,INPUT_DELAY!$A$5:$A$20000,Kalkulasi!$B$987,INPUT_DELAY!$B$5:$B$20000,"11-12",INPUT_DELAY!$C$5:$C$20000,"SEMUA")))/60,0)+IF(SUMIFS(INPUT_RITASE!$L$5:$L$20000,INPUT_RITASE!$A$5:$A$20000,Kalkulasi!$B$987,INPUT_RITASE!$B$5:$B$20000,"12-13",INPUT_RITASE!$C$5:$C$20000,$A1034,INPUT_RITASE!$N$5:$N$20000,$C1034)&gt;0,(60-MIN(60,SUMIFS(INPUT_DELAY!$E$5:$E$20000,INPUT_DELAY!$A$5:$A$20000,Kalkulasi!$B$987,INPUT_DELAY!$B$5:$B$20000,"12-13",INPUT_DELAY!$C$5:$C$20000,$A1034)+SUMIFS(INPUT_DELAY!$E$5:$E$20000,INPUT_DELAY!$A$5:$A$20000,Kalkulasi!$B$987,INPUT_DELAY!$B$5:$B$20000,"12-13",INPUT_DELAY!$C$5:$C$20000,"SEMUA")))/60,0)+IF(SUMIFS(INPUT_RITASE!$L$5:$L$20000,INPUT_RITASE!$A$5:$A$20000,Kalkulasi!$B$987,INPUT_RITASE!$B$5:$B$20000,"13-14",INPUT_RITASE!$C$5:$C$20000,$A1034,INPUT_RITASE!$N$5:$N$20000,$C1034)&gt;0,(60-MIN(60,SUMIFS(INPUT_DELAY!$E$5:$E$20000,INPUT_DELAY!$A$5:$A$20000,Kalkulasi!$B$987,INPUT_DELAY!$B$5:$B$20000,"13-14",INPUT_DELAY!$C$5:$C$20000,$A1034)+SUMIFS(INPUT_DELAY!$E$5:$E$20000,INPUT_DELAY!$A$5:$A$20000,Kalkulasi!$B$987,INPUT_DELAY!$B$5:$B$20000,"13-14",INPUT_DELAY!$C$5:$C$20000,"SEMUA")))/60,0)+IF(SUMIFS(INPUT_RITASE!$L$5:$L$20000,INPUT_RITASE!$A$5:$A$20000,Kalkulasi!$B$987,INPUT_RITASE!$B$5:$B$20000,"14-15",INPUT_RITASE!$C$5:$C$20000,$A1034,INPUT_RITASE!$N$5:$N$20000,$C1034)&gt;0,(60-MIN(60,SUMIFS(INPUT_DELAY!$E$5:$E$20000,INPUT_DELAY!$A$5:$A$20000,Kalkulasi!$B$987,INPUT_DELAY!$B$5:$B$20000,"14-15",INPUT_DELAY!$C$5:$C$20000,$A1034)+SUMIFS(INPUT_DELAY!$E$5:$E$20000,INPUT_DELAY!$A$5:$A$20000,Kalkulasi!$B$987,INPUT_DELAY!$B$5:$B$20000,"14-15",INPUT_DELAY!$C$5:$C$20000,"SEMUA")))/60,0)+IF(SUMIFS(INPUT_RITASE!$L$5:$L$20000,INPUT_RITASE!$A$5:$A$20000,Kalkulasi!$B$987,INPUT_RITASE!$B$5:$B$20000,"15-16",INPUT_RITASE!$C$5:$C$20000,$A1034,INPUT_RITASE!$N$5:$N$20000,$C1034)&gt;0,(60-MIN(60,SUMIFS(INPUT_DELAY!$E$5:$E$20000,INPUT_DELAY!$A$5:$A$20000,Kalkulasi!$B$987,INPUT_DELAY!$B$5:$B$20000,"15-16",INPUT_DELAY!$C$5:$C$20000,$A1034)+SUMIFS(INPUT_DELAY!$E$5:$E$20000,INPUT_DELAY!$A$5:$A$20000,Kalkulasi!$B$987,INPUT_DELAY!$B$5:$B$20000,"15-16",INPUT_DELAY!$C$5:$C$20000,"SEMUA")))/60,0)+IF(SUMIFS(INPUT_RITASE!$L$5:$L$20000,INPUT_RITASE!$A$5:$A$20000,Kalkulasi!$B$987,INPUT_RITASE!$B$5:$B$20000,"16-17",INPUT_RITASE!$C$5:$C$20000,$A1034,INPUT_RITASE!$N$5:$N$20000,$C1034)&gt;0,(60-MIN(60,SUMIFS(INPUT_DELAY!$E$5:$E$20000,INPUT_DELAY!$A$5:$A$20000,Kalkulasi!$B$987,INPUT_DELAY!$B$5:$B$20000,"16-17",INPUT_DELAY!$C$5:$C$20000,$A1034)+SUMIFS(INPUT_DELAY!$E$5:$E$20000,INPUT_DELAY!$A$5:$A$20000,Kalkulasi!$B$987,INPUT_DELAY!$B$5:$B$20000,"16-17",INPUT_DELAY!$C$5:$C$20000,"SEMUA")))/60,0)+IF(SUMIFS(INPUT_RITASE!$L$5:$L$20000,INPUT_RITASE!$A$5:$A$20000,Kalkulasi!$B$987,INPUT_RITASE!$B$5:$B$20000,"17-18",INPUT_RITASE!$C$5:$C$20000,$A1034,INPUT_RITASE!$N$5:$N$20000,$C1034)&gt;0,(60-MIN(60,SUMIFS(INPUT_DELAY!$E$5:$E$20000,INPUT_DELAY!$A$5:$A$20000,Kalkulasi!$B$987,INPUT_DELAY!$B$5:$B$20000,"17-18",INPUT_DELAY!$C$5:$C$20000,$A1034)+SUMIFS(INPUT_DELAY!$E$5:$E$20000,INPUT_DELAY!$A$5:$A$20000,Kalkulasi!$B$987,INPUT_DELAY!$B$5:$B$20000,"17-18",INPUT_DELAY!$C$5:$C$20000,"SEMUA")))/60,0)</f>
        <v/>
      </c>
      <c r="G1034">
        <f>SUMIFS(INPUT_RITASE!$F$5:$F$20000,INPUT_RITASE!$A$5:$A$20000,Kalkulasi!$B$987,INPUT_RITASE!$H$5:$H$20000,"NS",INPUT_RITASE!$C$5:$C$20000,$A1034)</f>
        <v/>
      </c>
      <c r="H1034">
        <f>SUMIFS(INPUT_RITASE!$L$5:$L$20000,INPUT_RITASE!$A$5:$A$20000,Kalkulasi!$B$987,INPUT_RITASE!$H$5:$H$20000,"NS",INPUT_RITASE!$C$5:$C$20000,$A1034,INPUT_RITASE!$N$5:$N$20000,$C1034)</f>
        <v/>
      </c>
      <c r="I1034">
        <f>IF(SUMIFS(INPUT_RITASE!$L$5:$L$20000,INPUT_RITASE!$A$5:$A$20000,Kalkulasi!$B$987,INPUT_RITASE!$B$5:$B$20000,"18-19",INPUT_RITASE!$C$5:$C$20000,$A1034,INPUT_RITASE!$N$5:$N$20000,$C1034)&gt;0,(60-MIN(60,SUMIFS(INPUT_DELAY!$E$5:$E$20000,INPUT_DELAY!$A$5:$A$20000,Kalkulasi!$B$987,INPUT_DELAY!$B$5:$B$20000,"18-19",INPUT_DELAY!$C$5:$C$20000,$A1034)+SUMIFS(INPUT_DELAY!$E$5:$E$20000,INPUT_DELAY!$A$5:$A$20000,Kalkulasi!$B$987,INPUT_DELAY!$B$5:$B$20000,"18-19",INPUT_DELAY!$C$5:$C$20000,"SEMUA")))/60,0)+IF(SUMIFS(INPUT_RITASE!$L$5:$L$20000,INPUT_RITASE!$A$5:$A$20000,Kalkulasi!$B$987,INPUT_RITASE!$B$5:$B$20000,"19-20",INPUT_RITASE!$C$5:$C$20000,$A1034,INPUT_RITASE!$N$5:$N$20000,$C1034)&gt;0,(60-MIN(60,SUMIFS(INPUT_DELAY!$E$5:$E$20000,INPUT_DELAY!$A$5:$A$20000,Kalkulasi!$B$987,INPUT_DELAY!$B$5:$B$20000,"19-20",INPUT_DELAY!$C$5:$C$20000,$A1034)+SUMIFS(INPUT_DELAY!$E$5:$E$20000,INPUT_DELAY!$A$5:$A$20000,Kalkulasi!$B$987,INPUT_DELAY!$B$5:$B$20000,"19-20",INPUT_DELAY!$C$5:$C$20000,"SEMUA")))/60,0)+IF(SUMIFS(INPUT_RITASE!$L$5:$L$20000,INPUT_RITASE!$A$5:$A$20000,Kalkulasi!$B$987,INPUT_RITASE!$B$5:$B$20000,"20-21",INPUT_RITASE!$C$5:$C$20000,$A1034,INPUT_RITASE!$N$5:$N$20000,$C1034)&gt;0,(60-MIN(60,SUMIFS(INPUT_DELAY!$E$5:$E$20000,INPUT_DELAY!$A$5:$A$20000,Kalkulasi!$B$987,INPUT_DELAY!$B$5:$B$20000,"20-21",INPUT_DELAY!$C$5:$C$20000,$A1034)+SUMIFS(INPUT_DELAY!$E$5:$E$20000,INPUT_DELAY!$A$5:$A$20000,Kalkulasi!$B$987,INPUT_DELAY!$B$5:$B$20000,"20-21",INPUT_DELAY!$C$5:$C$20000,"SEMUA")))/60,0)+IF(SUMIFS(INPUT_RITASE!$L$5:$L$20000,INPUT_RITASE!$A$5:$A$20000,Kalkulasi!$B$987,INPUT_RITASE!$B$5:$B$20000,"21-22",INPUT_RITASE!$C$5:$C$20000,$A1034,INPUT_RITASE!$N$5:$N$20000,$C1034)&gt;0,(60-MIN(60,SUMIFS(INPUT_DELAY!$E$5:$E$20000,INPUT_DELAY!$A$5:$A$20000,Kalkulasi!$B$987,INPUT_DELAY!$B$5:$B$20000,"21-22",INPUT_DELAY!$C$5:$C$20000,$A1034)+SUMIFS(INPUT_DELAY!$E$5:$E$20000,INPUT_DELAY!$A$5:$A$20000,Kalkulasi!$B$987,INPUT_DELAY!$B$5:$B$20000,"21-22",INPUT_DELAY!$C$5:$C$20000,"SEMUA")))/60,0)+IF(SUMIFS(INPUT_RITASE!$L$5:$L$20000,INPUT_RITASE!$A$5:$A$20000,Kalkulasi!$B$987,INPUT_RITASE!$B$5:$B$20000,"22-23",INPUT_RITASE!$C$5:$C$20000,$A1034,INPUT_RITASE!$N$5:$N$20000,$C1034)&gt;0,(60-MIN(60,SUMIFS(INPUT_DELAY!$E$5:$E$20000,INPUT_DELAY!$A$5:$A$20000,Kalkulasi!$B$987,INPUT_DELAY!$B$5:$B$20000,"22-23",INPUT_DELAY!$C$5:$C$20000,$A1034)+SUMIFS(INPUT_DELAY!$E$5:$E$20000,INPUT_DELAY!$A$5:$A$20000,Kalkulasi!$B$987,INPUT_DELAY!$B$5:$B$20000,"22-23",INPUT_DELAY!$C$5:$C$20000,"SEMUA")))/60,0)+IF(SUMIFS(INPUT_RITASE!$L$5:$L$20000,INPUT_RITASE!$A$5:$A$20000,Kalkulasi!$B$987,INPUT_RITASE!$B$5:$B$20000,"23-24",INPUT_RITASE!$C$5:$C$20000,$A1034,INPUT_RITASE!$N$5:$N$20000,$C1034)&gt;0,(60-MIN(60,SUMIFS(INPUT_DELAY!$E$5:$E$20000,INPUT_DELAY!$A$5:$A$20000,Kalkulasi!$B$987,INPUT_DELAY!$B$5:$B$20000,"23-24",INPUT_DELAY!$C$5:$C$20000,$A1034)+SUMIFS(INPUT_DELAY!$E$5:$E$20000,INPUT_DELAY!$A$5:$A$20000,Kalkulasi!$B$987,INPUT_DELAY!$B$5:$B$20000,"23-24",INPUT_DELAY!$C$5:$C$20000,"SEMUA")))/60,0)+IF(SUMIFS(INPUT_RITASE!$L$5:$L$20000,INPUT_RITASE!$A$5:$A$20000,Kalkulasi!$B$987,INPUT_RITASE!$B$5:$B$20000,"00-01",INPUT_RITASE!$C$5:$C$20000,$A1034,INPUT_RITASE!$N$5:$N$20000,$C1034)&gt;0,(60-MIN(60,SUMIFS(INPUT_DELAY!$E$5:$E$20000,INPUT_DELAY!$A$5:$A$20000,Kalkulasi!$B$987,INPUT_DELAY!$B$5:$B$20000,"00-01",INPUT_DELAY!$C$5:$C$20000,$A1034)+SUMIFS(INPUT_DELAY!$E$5:$E$20000,INPUT_DELAY!$A$5:$A$20000,Kalkulasi!$B$987,INPUT_DELAY!$B$5:$B$20000,"00-01",INPUT_DELAY!$C$5:$C$20000,"SEMUA")))/60,0)+IF(SUMIFS(INPUT_RITASE!$L$5:$L$20000,INPUT_RITASE!$A$5:$A$20000,Kalkulasi!$B$987,INPUT_RITASE!$B$5:$B$20000,"01-02",INPUT_RITASE!$C$5:$C$20000,$A1034,INPUT_RITASE!$N$5:$N$20000,$C1034)&gt;0,(60-MIN(60,SUMIFS(INPUT_DELAY!$E$5:$E$20000,INPUT_DELAY!$A$5:$A$20000,Kalkulasi!$B$987,INPUT_DELAY!$B$5:$B$20000,"01-02",INPUT_DELAY!$C$5:$C$20000,$A1034)+SUMIFS(INPUT_DELAY!$E$5:$E$20000,INPUT_DELAY!$A$5:$A$20000,Kalkulasi!$B$987,INPUT_DELAY!$B$5:$B$20000,"01-02",INPUT_DELAY!$C$5:$C$20000,"SEMUA")))/60,0)+IF(SUMIFS(INPUT_RITASE!$L$5:$L$20000,INPUT_RITASE!$A$5:$A$20000,Kalkulasi!$B$987,INPUT_RITASE!$B$5:$B$20000,"02-03",INPUT_RITASE!$C$5:$C$20000,$A1034,INPUT_RITASE!$N$5:$N$20000,$C1034)&gt;0,(60-MIN(60,SUMIFS(INPUT_DELAY!$E$5:$E$20000,INPUT_DELAY!$A$5:$A$20000,Kalkulasi!$B$987,INPUT_DELAY!$B$5:$B$20000,"02-03",INPUT_DELAY!$C$5:$C$20000,$A1034)+SUMIFS(INPUT_DELAY!$E$5:$E$20000,INPUT_DELAY!$A$5:$A$20000,Kalkulasi!$B$987,INPUT_DELAY!$B$5:$B$20000,"02-03",INPUT_DELAY!$C$5:$C$20000,"SEMUA")))/60,0)+IF(SUMIFS(INPUT_RITASE!$L$5:$L$20000,INPUT_RITASE!$A$5:$A$20000,Kalkulasi!$B$987,INPUT_RITASE!$B$5:$B$20000,"03-04",INPUT_RITASE!$C$5:$C$20000,$A1034,INPUT_RITASE!$N$5:$N$20000,$C1034)&gt;0,(60-MIN(60,SUMIFS(INPUT_DELAY!$E$5:$E$20000,INPUT_DELAY!$A$5:$A$20000,Kalkulasi!$B$987,INPUT_DELAY!$B$5:$B$20000,"03-04",INPUT_DELAY!$C$5:$C$20000,$A1034)+SUMIFS(INPUT_DELAY!$E$5:$E$20000,INPUT_DELAY!$A$5:$A$20000,Kalkulasi!$B$987,INPUT_DELAY!$B$5:$B$20000,"03-04",INPUT_DELAY!$C$5:$C$20000,"SEMUA")))/60,0)+IF(SUMIFS(INPUT_RITASE!$L$5:$L$20000,INPUT_RITASE!$A$5:$A$20000,Kalkulasi!$B$987,INPUT_RITASE!$B$5:$B$20000,"04-05",INPUT_RITASE!$C$5:$C$20000,$A1034,INPUT_RITASE!$N$5:$N$20000,$C1034)&gt;0,(60-MIN(60,SUMIFS(INPUT_DELAY!$E$5:$E$20000,INPUT_DELAY!$A$5:$A$20000,Kalkulasi!$B$987,INPUT_DELAY!$B$5:$B$20000,"04-05",INPUT_DELAY!$C$5:$C$20000,$A1034)+SUMIFS(INPUT_DELAY!$E$5:$E$20000,INPUT_DELAY!$A$5:$A$20000,Kalkulasi!$B$987,INPUT_DELAY!$B$5:$B$20000,"04-05",INPUT_DELAY!$C$5:$C$20000,"SEMUA")))/60,0)+IF(SUMIFS(INPUT_RITASE!$L$5:$L$20000,INPUT_RITASE!$A$5:$A$20000,Kalkulasi!$B$987,INPUT_RITASE!$B$5:$B$20000,"05-06",INPUT_RITASE!$C$5:$C$20000,$A1034,INPUT_RITASE!$N$5:$N$20000,$C1034)&gt;0,(60-MIN(60,SUMIFS(INPUT_DELAY!$E$5:$E$20000,INPUT_DELAY!$A$5:$A$20000,Kalkulasi!$B$987,INPUT_DELAY!$B$5:$B$20000,"05-06",INPUT_DELAY!$C$5:$C$20000,$A1034)+SUMIFS(INPUT_DELAY!$E$5:$E$20000,INPUT_DELAY!$A$5:$A$20000,Kalkulasi!$B$987,INPUT_DELAY!$B$5:$B$20000,"05-06",INPUT_DELAY!$C$5:$C$20000,"SEMUA")))/60,0)</f>
        <v/>
      </c>
      <c r="J1034">
        <f>E1034+H1034</f>
        <v/>
      </c>
      <c r="K1034">
        <f>IF(F1034+I1034=0,"",J1034/(F1034+I1034))</f>
        <v/>
      </c>
      <c r="L1034">
        <f>IFERROR(IF($C1034="OB",INDEX(MASTER_JAM!$F$5:$F$94,MATCH($A1034,MASTER_JAM!$A$5:$A$94,0)),INDEX(MASTER_JAM!$G$5:$G$94,MATCH($A1034,MASTER_JAM!$A$5:$A$94,0)))+0,0)</f>
        <v/>
      </c>
      <c r="M1034">
        <f>J1034+(D1034+G1034)/1000+ROW()/1000000</f>
        <v/>
      </c>
      <c r="O1034">
        <f>SUMIFS(INPUT_DELAY!$E$5:$E$20000,INPUT_DELAY!$A$5:$A$20000,Kalkulasi!$B$987,INPUT_DELAY!$C$5:$C$20000,$A1034)</f>
        <v/>
      </c>
    </row>
    <row r="1035">
      <c r="A1035" t="inlineStr">
        <is>
          <t>EX-331</t>
        </is>
      </c>
      <c r="B1035">
        <f>IFERROR(INDEX(MASTER_JAM!$B$5:$B$94,MATCH($A1035,MASTER_JAM!$A$5:$A$94,0)),"")</f>
        <v/>
      </c>
      <c r="C1035">
        <f>IF(SUMIFS(INPUT_RITASE!$L$5:$L$20000,INPUT_RITASE!$A$5:$A$20000,Kalkulasi!$B$987,INPUT_RITASE!$C$5:$C$20000,$A1035,INPUT_RITASE!$N$5:$N$20000,"Coal")&gt;SUMIFS(INPUT_RITASE!$L$5:$L$20000,INPUT_RITASE!$A$5:$A$20000,Kalkulasi!$B$987,INPUT_RITASE!$C$5:$C$20000,$A1035,INPUT_RITASE!$N$5:$N$20000,"OB"),"Coal","OB")</f>
        <v/>
      </c>
      <c r="D1035">
        <f>SUMIFS(INPUT_RITASE!$F$5:$F$20000,INPUT_RITASE!$A$5:$A$20000,Kalkulasi!$B$987,INPUT_RITASE!$H$5:$H$20000,"DS",INPUT_RITASE!$C$5:$C$20000,$A1035)</f>
        <v/>
      </c>
      <c r="E1035">
        <f>SUMIFS(INPUT_RITASE!$L$5:$L$20000,INPUT_RITASE!$A$5:$A$20000,Kalkulasi!$B$987,INPUT_RITASE!$H$5:$H$20000,"DS",INPUT_RITASE!$C$5:$C$20000,$A1035,INPUT_RITASE!$N$5:$N$20000,$C1035)</f>
        <v/>
      </c>
      <c r="F1035">
        <f>IF(SUMIFS(INPUT_RITASE!$L$5:$L$20000,INPUT_RITASE!$A$5:$A$20000,Kalkulasi!$B$987,INPUT_RITASE!$B$5:$B$20000,"06-07",INPUT_RITASE!$C$5:$C$20000,$A1035,INPUT_RITASE!$N$5:$N$20000,$C1035)&gt;0,(60-MIN(60,SUMIFS(INPUT_DELAY!$E$5:$E$20000,INPUT_DELAY!$A$5:$A$20000,Kalkulasi!$B$987,INPUT_DELAY!$B$5:$B$20000,"06-07",INPUT_DELAY!$C$5:$C$20000,$A1035)+SUMIFS(INPUT_DELAY!$E$5:$E$20000,INPUT_DELAY!$A$5:$A$20000,Kalkulasi!$B$987,INPUT_DELAY!$B$5:$B$20000,"06-07",INPUT_DELAY!$C$5:$C$20000,"SEMUA")))/60,0)+IF(SUMIFS(INPUT_RITASE!$L$5:$L$20000,INPUT_RITASE!$A$5:$A$20000,Kalkulasi!$B$987,INPUT_RITASE!$B$5:$B$20000,"07-08",INPUT_RITASE!$C$5:$C$20000,$A1035,INPUT_RITASE!$N$5:$N$20000,$C1035)&gt;0,(60-MIN(60,SUMIFS(INPUT_DELAY!$E$5:$E$20000,INPUT_DELAY!$A$5:$A$20000,Kalkulasi!$B$987,INPUT_DELAY!$B$5:$B$20000,"07-08",INPUT_DELAY!$C$5:$C$20000,$A1035)+SUMIFS(INPUT_DELAY!$E$5:$E$20000,INPUT_DELAY!$A$5:$A$20000,Kalkulasi!$B$987,INPUT_DELAY!$B$5:$B$20000,"07-08",INPUT_DELAY!$C$5:$C$20000,"SEMUA")))/60,0)+IF(SUMIFS(INPUT_RITASE!$L$5:$L$20000,INPUT_RITASE!$A$5:$A$20000,Kalkulasi!$B$987,INPUT_RITASE!$B$5:$B$20000,"08-09",INPUT_RITASE!$C$5:$C$20000,$A1035,INPUT_RITASE!$N$5:$N$20000,$C1035)&gt;0,(60-MIN(60,SUMIFS(INPUT_DELAY!$E$5:$E$20000,INPUT_DELAY!$A$5:$A$20000,Kalkulasi!$B$987,INPUT_DELAY!$B$5:$B$20000,"08-09",INPUT_DELAY!$C$5:$C$20000,$A1035)+SUMIFS(INPUT_DELAY!$E$5:$E$20000,INPUT_DELAY!$A$5:$A$20000,Kalkulasi!$B$987,INPUT_DELAY!$B$5:$B$20000,"08-09",INPUT_DELAY!$C$5:$C$20000,"SEMUA")))/60,0)+IF(SUMIFS(INPUT_RITASE!$L$5:$L$20000,INPUT_RITASE!$A$5:$A$20000,Kalkulasi!$B$987,INPUT_RITASE!$B$5:$B$20000,"09-10",INPUT_RITASE!$C$5:$C$20000,$A1035,INPUT_RITASE!$N$5:$N$20000,$C1035)&gt;0,(60-MIN(60,SUMIFS(INPUT_DELAY!$E$5:$E$20000,INPUT_DELAY!$A$5:$A$20000,Kalkulasi!$B$987,INPUT_DELAY!$B$5:$B$20000,"09-10",INPUT_DELAY!$C$5:$C$20000,$A1035)+SUMIFS(INPUT_DELAY!$E$5:$E$20000,INPUT_DELAY!$A$5:$A$20000,Kalkulasi!$B$987,INPUT_DELAY!$B$5:$B$20000,"09-10",INPUT_DELAY!$C$5:$C$20000,"SEMUA")))/60,0)+IF(SUMIFS(INPUT_RITASE!$L$5:$L$20000,INPUT_RITASE!$A$5:$A$20000,Kalkulasi!$B$987,INPUT_RITASE!$B$5:$B$20000,"10-11",INPUT_RITASE!$C$5:$C$20000,$A1035,INPUT_RITASE!$N$5:$N$20000,$C1035)&gt;0,(60-MIN(60,SUMIFS(INPUT_DELAY!$E$5:$E$20000,INPUT_DELAY!$A$5:$A$20000,Kalkulasi!$B$987,INPUT_DELAY!$B$5:$B$20000,"10-11",INPUT_DELAY!$C$5:$C$20000,$A1035)+SUMIFS(INPUT_DELAY!$E$5:$E$20000,INPUT_DELAY!$A$5:$A$20000,Kalkulasi!$B$987,INPUT_DELAY!$B$5:$B$20000,"10-11",INPUT_DELAY!$C$5:$C$20000,"SEMUA")))/60,0)+IF(SUMIFS(INPUT_RITASE!$L$5:$L$20000,INPUT_RITASE!$A$5:$A$20000,Kalkulasi!$B$987,INPUT_RITASE!$B$5:$B$20000,"11-12",INPUT_RITASE!$C$5:$C$20000,$A1035,INPUT_RITASE!$N$5:$N$20000,$C1035)&gt;0,(60-MIN(60,SUMIFS(INPUT_DELAY!$E$5:$E$20000,INPUT_DELAY!$A$5:$A$20000,Kalkulasi!$B$987,INPUT_DELAY!$B$5:$B$20000,"11-12",INPUT_DELAY!$C$5:$C$20000,$A1035)+SUMIFS(INPUT_DELAY!$E$5:$E$20000,INPUT_DELAY!$A$5:$A$20000,Kalkulasi!$B$987,INPUT_DELAY!$B$5:$B$20000,"11-12",INPUT_DELAY!$C$5:$C$20000,"SEMUA")))/60,0)+IF(SUMIFS(INPUT_RITASE!$L$5:$L$20000,INPUT_RITASE!$A$5:$A$20000,Kalkulasi!$B$987,INPUT_RITASE!$B$5:$B$20000,"12-13",INPUT_RITASE!$C$5:$C$20000,$A1035,INPUT_RITASE!$N$5:$N$20000,$C1035)&gt;0,(60-MIN(60,SUMIFS(INPUT_DELAY!$E$5:$E$20000,INPUT_DELAY!$A$5:$A$20000,Kalkulasi!$B$987,INPUT_DELAY!$B$5:$B$20000,"12-13",INPUT_DELAY!$C$5:$C$20000,$A1035)+SUMIFS(INPUT_DELAY!$E$5:$E$20000,INPUT_DELAY!$A$5:$A$20000,Kalkulasi!$B$987,INPUT_DELAY!$B$5:$B$20000,"12-13",INPUT_DELAY!$C$5:$C$20000,"SEMUA")))/60,0)+IF(SUMIFS(INPUT_RITASE!$L$5:$L$20000,INPUT_RITASE!$A$5:$A$20000,Kalkulasi!$B$987,INPUT_RITASE!$B$5:$B$20000,"13-14",INPUT_RITASE!$C$5:$C$20000,$A1035,INPUT_RITASE!$N$5:$N$20000,$C1035)&gt;0,(60-MIN(60,SUMIFS(INPUT_DELAY!$E$5:$E$20000,INPUT_DELAY!$A$5:$A$20000,Kalkulasi!$B$987,INPUT_DELAY!$B$5:$B$20000,"13-14",INPUT_DELAY!$C$5:$C$20000,$A1035)+SUMIFS(INPUT_DELAY!$E$5:$E$20000,INPUT_DELAY!$A$5:$A$20000,Kalkulasi!$B$987,INPUT_DELAY!$B$5:$B$20000,"13-14",INPUT_DELAY!$C$5:$C$20000,"SEMUA")))/60,0)+IF(SUMIFS(INPUT_RITASE!$L$5:$L$20000,INPUT_RITASE!$A$5:$A$20000,Kalkulasi!$B$987,INPUT_RITASE!$B$5:$B$20000,"14-15",INPUT_RITASE!$C$5:$C$20000,$A1035,INPUT_RITASE!$N$5:$N$20000,$C1035)&gt;0,(60-MIN(60,SUMIFS(INPUT_DELAY!$E$5:$E$20000,INPUT_DELAY!$A$5:$A$20000,Kalkulasi!$B$987,INPUT_DELAY!$B$5:$B$20000,"14-15",INPUT_DELAY!$C$5:$C$20000,$A1035)+SUMIFS(INPUT_DELAY!$E$5:$E$20000,INPUT_DELAY!$A$5:$A$20000,Kalkulasi!$B$987,INPUT_DELAY!$B$5:$B$20000,"14-15",INPUT_DELAY!$C$5:$C$20000,"SEMUA")))/60,0)+IF(SUMIFS(INPUT_RITASE!$L$5:$L$20000,INPUT_RITASE!$A$5:$A$20000,Kalkulasi!$B$987,INPUT_RITASE!$B$5:$B$20000,"15-16",INPUT_RITASE!$C$5:$C$20000,$A1035,INPUT_RITASE!$N$5:$N$20000,$C1035)&gt;0,(60-MIN(60,SUMIFS(INPUT_DELAY!$E$5:$E$20000,INPUT_DELAY!$A$5:$A$20000,Kalkulasi!$B$987,INPUT_DELAY!$B$5:$B$20000,"15-16",INPUT_DELAY!$C$5:$C$20000,$A1035)+SUMIFS(INPUT_DELAY!$E$5:$E$20000,INPUT_DELAY!$A$5:$A$20000,Kalkulasi!$B$987,INPUT_DELAY!$B$5:$B$20000,"15-16",INPUT_DELAY!$C$5:$C$20000,"SEMUA")))/60,0)+IF(SUMIFS(INPUT_RITASE!$L$5:$L$20000,INPUT_RITASE!$A$5:$A$20000,Kalkulasi!$B$987,INPUT_RITASE!$B$5:$B$20000,"16-17",INPUT_RITASE!$C$5:$C$20000,$A1035,INPUT_RITASE!$N$5:$N$20000,$C1035)&gt;0,(60-MIN(60,SUMIFS(INPUT_DELAY!$E$5:$E$20000,INPUT_DELAY!$A$5:$A$20000,Kalkulasi!$B$987,INPUT_DELAY!$B$5:$B$20000,"16-17",INPUT_DELAY!$C$5:$C$20000,$A1035)+SUMIFS(INPUT_DELAY!$E$5:$E$20000,INPUT_DELAY!$A$5:$A$20000,Kalkulasi!$B$987,INPUT_DELAY!$B$5:$B$20000,"16-17",INPUT_DELAY!$C$5:$C$20000,"SEMUA")))/60,0)+IF(SUMIFS(INPUT_RITASE!$L$5:$L$20000,INPUT_RITASE!$A$5:$A$20000,Kalkulasi!$B$987,INPUT_RITASE!$B$5:$B$20000,"17-18",INPUT_RITASE!$C$5:$C$20000,$A1035,INPUT_RITASE!$N$5:$N$20000,$C1035)&gt;0,(60-MIN(60,SUMIFS(INPUT_DELAY!$E$5:$E$20000,INPUT_DELAY!$A$5:$A$20000,Kalkulasi!$B$987,INPUT_DELAY!$B$5:$B$20000,"17-18",INPUT_DELAY!$C$5:$C$20000,$A1035)+SUMIFS(INPUT_DELAY!$E$5:$E$20000,INPUT_DELAY!$A$5:$A$20000,Kalkulasi!$B$987,INPUT_DELAY!$B$5:$B$20000,"17-18",INPUT_DELAY!$C$5:$C$20000,"SEMUA")))/60,0)</f>
        <v/>
      </c>
      <c r="G1035">
        <f>SUMIFS(INPUT_RITASE!$F$5:$F$20000,INPUT_RITASE!$A$5:$A$20000,Kalkulasi!$B$987,INPUT_RITASE!$H$5:$H$20000,"NS",INPUT_RITASE!$C$5:$C$20000,$A1035)</f>
        <v/>
      </c>
      <c r="H1035">
        <f>SUMIFS(INPUT_RITASE!$L$5:$L$20000,INPUT_RITASE!$A$5:$A$20000,Kalkulasi!$B$987,INPUT_RITASE!$H$5:$H$20000,"NS",INPUT_RITASE!$C$5:$C$20000,$A1035,INPUT_RITASE!$N$5:$N$20000,$C1035)</f>
        <v/>
      </c>
      <c r="I1035">
        <f>IF(SUMIFS(INPUT_RITASE!$L$5:$L$20000,INPUT_RITASE!$A$5:$A$20000,Kalkulasi!$B$987,INPUT_RITASE!$B$5:$B$20000,"18-19",INPUT_RITASE!$C$5:$C$20000,$A1035,INPUT_RITASE!$N$5:$N$20000,$C1035)&gt;0,(60-MIN(60,SUMIFS(INPUT_DELAY!$E$5:$E$20000,INPUT_DELAY!$A$5:$A$20000,Kalkulasi!$B$987,INPUT_DELAY!$B$5:$B$20000,"18-19",INPUT_DELAY!$C$5:$C$20000,$A1035)+SUMIFS(INPUT_DELAY!$E$5:$E$20000,INPUT_DELAY!$A$5:$A$20000,Kalkulasi!$B$987,INPUT_DELAY!$B$5:$B$20000,"18-19",INPUT_DELAY!$C$5:$C$20000,"SEMUA")))/60,0)+IF(SUMIFS(INPUT_RITASE!$L$5:$L$20000,INPUT_RITASE!$A$5:$A$20000,Kalkulasi!$B$987,INPUT_RITASE!$B$5:$B$20000,"19-20",INPUT_RITASE!$C$5:$C$20000,$A1035,INPUT_RITASE!$N$5:$N$20000,$C1035)&gt;0,(60-MIN(60,SUMIFS(INPUT_DELAY!$E$5:$E$20000,INPUT_DELAY!$A$5:$A$20000,Kalkulasi!$B$987,INPUT_DELAY!$B$5:$B$20000,"19-20",INPUT_DELAY!$C$5:$C$20000,$A1035)+SUMIFS(INPUT_DELAY!$E$5:$E$20000,INPUT_DELAY!$A$5:$A$20000,Kalkulasi!$B$987,INPUT_DELAY!$B$5:$B$20000,"19-20",INPUT_DELAY!$C$5:$C$20000,"SEMUA")))/60,0)+IF(SUMIFS(INPUT_RITASE!$L$5:$L$20000,INPUT_RITASE!$A$5:$A$20000,Kalkulasi!$B$987,INPUT_RITASE!$B$5:$B$20000,"20-21",INPUT_RITASE!$C$5:$C$20000,$A1035,INPUT_RITASE!$N$5:$N$20000,$C1035)&gt;0,(60-MIN(60,SUMIFS(INPUT_DELAY!$E$5:$E$20000,INPUT_DELAY!$A$5:$A$20000,Kalkulasi!$B$987,INPUT_DELAY!$B$5:$B$20000,"20-21",INPUT_DELAY!$C$5:$C$20000,$A1035)+SUMIFS(INPUT_DELAY!$E$5:$E$20000,INPUT_DELAY!$A$5:$A$20000,Kalkulasi!$B$987,INPUT_DELAY!$B$5:$B$20000,"20-21",INPUT_DELAY!$C$5:$C$20000,"SEMUA")))/60,0)+IF(SUMIFS(INPUT_RITASE!$L$5:$L$20000,INPUT_RITASE!$A$5:$A$20000,Kalkulasi!$B$987,INPUT_RITASE!$B$5:$B$20000,"21-22",INPUT_RITASE!$C$5:$C$20000,$A1035,INPUT_RITASE!$N$5:$N$20000,$C1035)&gt;0,(60-MIN(60,SUMIFS(INPUT_DELAY!$E$5:$E$20000,INPUT_DELAY!$A$5:$A$20000,Kalkulasi!$B$987,INPUT_DELAY!$B$5:$B$20000,"21-22",INPUT_DELAY!$C$5:$C$20000,$A1035)+SUMIFS(INPUT_DELAY!$E$5:$E$20000,INPUT_DELAY!$A$5:$A$20000,Kalkulasi!$B$987,INPUT_DELAY!$B$5:$B$20000,"21-22",INPUT_DELAY!$C$5:$C$20000,"SEMUA")))/60,0)+IF(SUMIFS(INPUT_RITASE!$L$5:$L$20000,INPUT_RITASE!$A$5:$A$20000,Kalkulasi!$B$987,INPUT_RITASE!$B$5:$B$20000,"22-23",INPUT_RITASE!$C$5:$C$20000,$A1035,INPUT_RITASE!$N$5:$N$20000,$C1035)&gt;0,(60-MIN(60,SUMIFS(INPUT_DELAY!$E$5:$E$20000,INPUT_DELAY!$A$5:$A$20000,Kalkulasi!$B$987,INPUT_DELAY!$B$5:$B$20000,"22-23",INPUT_DELAY!$C$5:$C$20000,$A1035)+SUMIFS(INPUT_DELAY!$E$5:$E$20000,INPUT_DELAY!$A$5:$A$20000,Kalkulasi!$B$987,INPUT_DELAY!$B$5:$B$20000,"22-23",INPUT_DELAY!$C$5:$C$20000,"SEMUA")))/60,0)+IF(SUMIFS(INPUT_RITASE!$L$5:$L$20000,INPUT_RITASE!$A$5:$A$20000,Kalkulasi!$B$987,INPUT_RITASE!$B$5:$B$20000,"23-24",INPUT_RITASE!$C$5:$C$20000,$A1035,INPUT_RITASE!$N$5:$N$20000,$C1035)&gt;0,(60-MIN(60,SUMIFS(INPUT_DELAY!$E$5:$E$20000,INPUT_DELAY!$A$5:$A$20000,Kalkulasi!$B$987,INPUT_DELAY!$B$5:$B$20000,"23-24",INPUT_DELAY!$C$5:$C$20000,$A1035)+SUMIFS(INPUT_DELAY!$E$5:$E$20000,INPUT_DELAY!$A$5:$A$20000,Kalkulasi!$B$987,INPUT_DELAY!$B$5:$B$20000,"23-24",INPUT_DELAY!$C$5:$C$20000,"SEMUA")))/60,0)+IF(SUMIFS(INPUT_RITASE!$L$5:$L$20000,INPUT_RITASE!$A$5:$A$20000,Kalkulasi!$B$987,INPUT_RITASE!$B$5:$B$20000,"00-01",INPUT_RITASE!$C$5:$C$20000,$A1035,INPUT_RITASE!$N$5:$N$20000,$C1035)&gt;0,(60-MIN(60,SUMIFS(INPUT_DELAY!$E$5:$E$20000,INPUT_DELAY!$A$5:$A$20000,Kalkulasi!$B$987,INPUT_DELAY!$B$5:$B$20000,"00-01",INPUT_DELAY!$C$5:$C$20000,$A1035)+SUMIFS(INPUT_DELAY!$E$5:$E$20000,INPUT_DELAY!$A$5:$A$20000,Kalkulasi!$B$987,INPUT_DELAY!$B$5:$B$20000,"00-01",INPUT_DELAY!$C$5:$C$20000,"SEMUA")))/60,0)+IF(SUMIFS(INPUT_RITASE!$L$5:$L$20000,INPUT_RITASE!$A$5:$A$20000,Kalkulasi!$B$987,INPUT_RITASE!$B$5:$B$20000,"01-02",INPUT_RITASE!$C$5:$C$20000,$A1035,INPUT_RITASE!$N$5:$N$20000,$C1035)&gt;0,(60-MIN(60,SUMIFS(INPUT_DELAY!$E$5:$E$20000,INPUT_DELAY!$A$5:$A$20000,Kalkulasi!$B$987,INPUT_DELAY!$B$5:$B$20000,"01-02",INPUT_DELAY!$C$5:$C$20000,$A1035)+SUMIFS(INPUT_DELAY!$E$5:$E$20000,INPUT_DELAY!$A$5:$A$20000,Kalkulasi!$B$987,INPUT_DELAY!$B$5:$B$20000,"01-02",INPUT_DELAY!$C$5:$C$20000,"SEMUA")))/60,0)+IF(SUMIFS(INPUT_RITASE!$L$5:$L$20000,INPUT_RITASE!$A$5:$A$20000,Kalkulasi!$B$987,INPUT_RITASE!$B$5:$B$20000,"02-03",INPUT_RITASE!$C$5:$C$20000,$A1035,INPUT_RITASE!$N$5:$N$20000,$C1035)&gt;0,(60-MIN(60,SUMIFS(INPUT_DELAY!$E$5:$E$20000,INPUT_DELAY!$A$5:$A$20000,Kalkulasi!$B$987,INPUT_DELAY!$B$5:$B$20000,"02-03",INPUT_DELAY!$C$5:$C$20000,$A1035)+SUMIFS(INPUT_DELAY!$E$5:$E$20000,INPUT_DELAY!$A$5:$A$20000,Kalkulasi!$B$987,INPUT_DELAY!$B$5:$B$20000,"02-03",INPUT_DELAY!$C$5:$C$20000,"SEMUA")))/60,0)+IF(SUMIFS(INPUT_RITASE!$L$5:$L$20000,INPUT_RITASE!$A$5:$A$20000,Kalkulasi!$B$987,INPUT_RITASE!$B$5:$B$20000,"03-04",INPUT_RITASE!$C$5:$C$20000,$A1035,INPUT_RITASE!$N$5:$N$20000,$C1035)&gt;0,(60-MIN(60,SUMIFS(INPUT_DELAY!$E$5:$E$20000,INPUT_DELAY!$A$5:$A$20000,Kalkulasi!$B$987,INPUT_DELAY!$B$5:$B$20000,"03-04",INPUT_DELAY!$C$5:$C$20000,$A1035)+SUMIFS(INPUT_DELAY!$E$5:$E$20000,INPUT_DELAY!$A$5:$A$20000,Kalkulasi!$B$987,INPUT_DELAY!$B$5:$B$20000,"03-04",INPUT_DELAY!$C$5:$C$20000,"SEMUA")))/60,0)+IF(SUMIFS(INPUT_RITASE!$L$5:$L$20000,INPUT_RITASE!$A$5:$A$20000,Kalkulasi!$B$987,INPUT_RITASE!$B$5:$B$20000,"04-05",INPUT_RITASE!$C$5:$C$20000,$A1035,INPUT_RITASE!$N$5:$N$20000,$C1035)&gt;0,(60-MIN(60,SUMIFS(INPUT_DELAY!$E$5:$E$20000,INPUT_DELAY!$A$5:$A$20000,Kalkulasi!$B$987,INPUT_DELAY!$B$5:$B$20000,"04-05",INPUT_DELAY!$C$5:$C$20000,$A1035)+SUMIFS(INPUT_DELAY!$E$5:$E$20000,INPUT_DELAY!$A$5:$A$20000,Kalkulasi!$B$987,INPUT_DELAY!$B$5:$B$20000,"04-05",INPUT_DELAY!$C$5:$C$20000,"SEMUA")))/60,0)+IF(SUMIFS(INPUT_RITASE!$L$5:$L$20000,INPUT_RITASE!$A$5:$A$20000,Kalkulasi!$B$987,INPUT_RITASE!$B$5:$B$20000,"05-06",INPUT_RITASE!$C$5:$C$20000,$A1035,INPUT_RITASE!$N$5:$N$20000,$C1035)&gt;0,(60-MIN(60,SUMIFS(INPUT_DELAY!$E$5:$E$20000,INPUT_DELAY!$A$5:$A$20000,Kalkulasi!$B$987,INPUT_DELAY!$B$5:$B$20000,"05-06",INPUT_DELAY!$C$5:$C$20000,$A1035)+SUMIFS(INPUT_DELAY!$E$5:$E$20000,INPUT_DELAY!$A$5:$A$20000,Kalkulasi!$B$987,INPUT_DELAY!$B$5:$B$20000,"05-06",INPUT_DELAY!$C$5:$C$20000,"SEMUA")))/60,0)</f>
        <v/>
      </c>
      <c r="J1035">
        <f>E1035+H1035</f>
        <v/>
      </c>
      <c r="K1035">
        <f>IF(F1035+I1035=0,"",J1035/(F1035+I1035))</f>
        <v/>
      </c>
      <c r="L1035">
        <f>IFERROR(IF($C1035="OB",INDEX(MASTER_JAM!$F$5:$F$94,MATCH($A1035,MASTER_JAM!$A$5:$A$94,0)),INDEX(MASTER_JAM!$G$5:$G$94,MATCH($A1035,MASTER_JAM!$A$5:$A$94,0)))+0,0)</f>
        <v/>
      </c>
      <c r="M1035">
        <f>J1035+(D1035+G1035)/1000+ROW()/1000000</f>
        <v/>
      </c>
      <c r="O1035">
        <f>SUMIFS(INPUT_DELAY!$E$5:$E$20000,INPUT_DELAY!$A$5:$A$20000,Kalkulasi!$B$987,INPUT_DELAY!$C$5:$C$20000,$A1035)</f>
        <v/>
      </c>
    </row>
    <row r="1036">
      <c r="A1036" t="inlineStr">
        <is>
          <t>EX-751</t>
        </is>
      </c>
      <c r="B1036">
        <f>IFERROR(INDEX(MASTER_JAM!$B$5:$B$94,MATCH($A1036,MASTER_JAM!$A$5:$A$94,0)),"")</f>
        <v/>
      </c>
      <c r="C1036">
        <f>IF(SUMIFS(INPUT_RITASE!$L$5:$L$20000,INPUT_RITASE!$A$5:$A$20000,Kalkulasi!$B$987,INPUT_RITASE!$C$5:$C$20000,$A1036,INPUT_RITASE!$N$5:$N$20000,"Coal")&gt;SUMIFS(INPUT_RITASE!$L$5:$L$20000,INPUT_RITASE!$A$5:$A$20000,Kalkulasi!$B$987,INPUT_RITASE!$C$5:$C$20000,$A1036,INPUT_RITASE!$N$5:$N$20000,"OB"),"Coal","OB")</f>
        <v/>
      </c>
      <c r="D1036">
        <f>SUMIFS(INPUT_RITASE!$F$5:$F$20000,INPUT_RITASE!$A$5:$A$20000,Kalkulasi!$B$987,INPUT_RITASE!$H$5:$H$20000,"DS",INPUT_RITASE!$C$5:$C$20000,$A1036)</f>
        <v/>
      </c>
      <c r="E1036">
        <f>SUMIFS(INPUT_RITASE!$L$5:$L$20000,INPUT_RITASE!$A$5:$A$20000,Kalkulasi!$B$987,INPUT_RITASE!$H$5:$H$20000,"DS",INPUT_RITASE!$C$5:$C$20000,$A1036,INPUT_RITASE!$N$5:$N$20000,$C1036)</f>
        <v/>
      </c>
      <c r="F1036">
        <f>IF(SUMIFS(INPUT_RITASE!$L$5:$L$20000,INPUT_RITASE!$A$5:$A$20000,Kalkulasi!$B$987,INPUT_RITASE!$B$5:$B$20000,"06-07",INPUT_RITASE!$C$5:$C$20000,$A1036,INPUT_RITASE!$N$5:$N$20000,$C1036)&gt;0,(60-MIN(60,SUMIFS(INPUT_DELAY!$E$5:$E$20000,INPUT_DELAY!$A$5:$A$20000,Kalkulasi!$B$987,INPUT_DELAY!$B$5:$B$20000,"06-07",INPUT_DELAY!$C$5:$C$20000,$A1036)+SUMIFS(INPUT_DELAY!$E$5:$E$20000,INPUT_DELAY!$A$5:$A$20000,Kalkulasi!$B$987,INPUT_DELAY!$B$5:$B$20000,"06-07",INPUT_DELAY!$C$5:$C$20000,"SEMUA")))/60,0)+IF(SUMIFS(INPUT_RITASE!$L$5:$L$20000,INPUT_RITASE!$A$5:$A$20000,Kalkulasi!$B$987,INPUT_RITASE!$B$5:$B$20000,"07-08",INPUT_RITASE!$C$5:$C$20000,$A1036,INPUT_RITASE!$N$5:$N$20000,$C1036)&gt;0,(60-MIN(60,SUMIFS(INPUT_DELAY!$E$5:$E$20000,INPUT_DELAY!$A$5:$A$20000,Kalkulasi!$B$987,INPUT_DELAY!$B$5:$B$20000,"07-08",INPUT_DELAY!$C$5:$C$20000,$A1036)+SUMIFS(INPUT_DELAY!$E$5:$E$20000,INPUT_DELAY!$A$5:$A$20000,Kalkulasi!$B$987,INPUT_DELAY!$B$5:$B$20000,"07-08",INPUT_DELAY!$C$5:$C$20000,"SEMUA")))/60,0)+IF(SUMIFS(INPUT_RITASE!$L$5:$L$20000,INPUT_RITASE!$A$5:$A$20000,Kalkulasi!$B$987,INPUT_RITASE!$B$5:$B$20000,"08-09",INPUT_RITASE!$C$5:$C$20000,$A1036,INPUT_RITASE!$N$5:$N$20000,$C1036)&gt;0,(60-MIN(60,SUMIFS(INPUT_DELAY!$E$5:$E$20000,INPUT_DELAY!$A$5:$A$20000,Kalkulasi!$B$987,INPUT_DELAY!$B$5:$B$20000,"08-09",INPUT_DELAY!$C$5:$C$20000,$A1036)+SUMIFS(INPUT_DELAY!$E$5:$E$20000,INPUT_DELAY!$A$5:$A$20000,Kalkulasi!$B$987,INPUT_DELAY!$B$5:$B$20000,"08-09",INPUT_DELAY!$C$5:$C$20000,"SEMUA")))/60,0)+IF(SUMIFS(INPUT_RITASE!$L$5:$L$20000,INPUT_RITASE!$A$5:$A$20000,Kalkulasi!$B$987,INPUT_RITASE!$B$5:$B$20000,"09-10",INPUT_RITASE!$C$5:$C$20000,$A1036,INPUT_RITASE!$N$5:$N$20000,$C1036)&gt;0,(60-MIN(60,SUMIFS(INPUT_DELAY!$E$5:$E$20000,INPUT_DELAY!$A$5:$A$20000,Kalkulasi!$B$987,INPUT_DELAY!$B$5:$B$20000,"09-10",INPUT_DELAY!$C$5:$C$20000,$A1036)+SUMIFS(INPUT_DELAY!$E$5:$E$20000,INPUT_DELAY!$A$5:$A$20000,Kalkulasi!$B$987,INPUT_DELAY!$B$5:$B$20000,"09-10",INPUT_DELAY!$C$5:$C$20000,"SEMUA")))/60,0)+IF(SUMIFS(INPUT_RITASE!$L$5:$L$20000,INPUT_RITASE!$A$5:$A$20000,Kalkulasi!$B$987,INPUT_RITASE!$B$5:$B$20000,"10-11",INPUT_RITASE!$C$5:$C$20000,$A1036,INPUT_RITASE!$N$5:$N$20000,$C1036)&gt;0,(60-MIN(60,SUMIFS(INPUT_DELAY!$E$5:$E$20000,INPUT_DELAY!$A$5:$A$20000,Kalkulasi!$B$987,INPUT_DELAY!$B$5:$B$20000,"10-11",INPUT_DELAY!$C$5:$C$20000,$A1036)+SUMIFS(INPUT_DELAY!$E$5:$E$20000,INPUT_DELAY!$A$5:$A$20000,Kalkulasi!$B$987,INPUT_DELAY!$B$5:$B$20000,"10-11",INPUT_DELAY!$C$5:$C$20000,"SEMUA")))/60,0)+IF(SUMIFS(INPUT_RITASE!$L$5:$L$20000,INPUT_RITASE!$A$5:$A$20000,Kalkulasi!$B$987,INPUT_RITASE!$B$5:$B$20000,"11-12",INPUT_RITASE!$C$5:$C$20000,$A1036,INPUT_RITASE!$N$5:$N$20000,$C1036)&gt;0,(60-MIN(60,SUMIFS(INPUT_DELAY!$E$5:$E$20000,INPUT_DELAY!$A$5:$A$20000,Kalkulasi!$B$987,INPUT_DELAY!$B$5:$B$20000,"11-12",INPUT_DELAY!$C$5:$C$20000,$A1036)+SUMIFS(INPUT_DELAY!$E$5:$E$20000,INPUT_DELAY!$A$5:$A$20000,Kalkulasi!$B$987,INPUT_DELAY!$B$5:$B$20000,"11-12",INPUT_DELAY!$C$5:$C$20000,"SEMUA")))/60,0)+IF(SUMIFS(INPUT_RITASE!$L$5:$L$20000,INPUT_RITASE!$A$5:$A$20000,Kalkulasi!$B$987,INPUT_RITASE!$B$5:$B$20000,"12-13",INPUT_RITASE!$C$5:$C$20000,$A1036,INPUT_RITASE!$N$5:$N$20000,$C1036)&gt;0,(60-MIN(60,SUMIFS(INPUT_DELAY!$E$5:$E$20000,INPUT_DELAY!$A$5:$A$20000,Kalkulasi!$B$987,INPUT_DELAY!$B$5:$B$20000,"12-13",INPUT_DELAY!$C$5:$C$20000,$A1036)+SUMIFS(INPUT_DELAY!$E$5:$E$20000,INPUT_DELAY!$A$5:$A$20000,Kalkulasi!$B$987,INPUT_DELAY!$B$5:$B$20000,"12-13",INPUT_DELAY!$C$5:$C$20000,"SEMUA")))/60,0)+IF(SUMIFS(INPUT_RITASE!$L$5:$L$20000,INPUT_RITASE!$A$5:$A$20000,Kalkulasi!$B$987,INPUT_RITASE!$B$5:$B$20000,"13-14",INPUT_RITASE!$C$5:$C$20000,$A1036,INPUT_RITASE!$N$5:$N$20000,$C1036)&gt;0,(60-MIN(60,SUMIFS(INPUT_DELAY!$E$5:$E$20000,INPUT_DELAY!$A$5:$A$20000,Kalkulasi!$B$987,INPUT_DELAY!$B$5:$B$20000,"13-14",INPUT_DELAY!$C$5:$C$20000,$A1036)+SUMIFS(INPUT_DELAY!$E$5:$E$20000,INPUT_DELAY!$A$5:$A$20000,Kalkulasi!$B$987,INPUT_DELAY!$B$5:$B$20000,"13-14",INPUT_DELAY!$C$5:$C$20000,"SEMUA")))/60,0)+IF(SUMIFS(INPUT_RITASE!$L$5:$L$20000,INPUT_RITASE!$A$5:$A$20000,Kalkulasi!$B$987,INPUT_RITASE!$B$5:$B$20000,"14-15",INPUT_RITASE!$C$5:$C$20000,$A1036,INPUT_RITASE!$N$5:$N$20000,$C1036)&gt;0,(60-MIN(60,SUMIFS(INPUT_DELAY!$E$5:$E$20000,INPUT_DELAY!$A$5:$A$20000,Kalkulasi!$B$987,INPUT_DELAY!$B$5:$B$20000,"14-15",INPUT_DELAY!$C$5:$C$20000,$A1036)+SUMIFS(INPUT_DELAY!$E$5:$E$20000,INPUT_DELAY!$A$5:$A$20000,Kalkulasi!$B$987,INPUT_DELAY!$B$5:$B$20000,"14-15",INPUT_DELAY!$C$5:$C$20000,"SEMUA")))/60,0)+IF(SUMIFS(INPUT_RITASE!$L$5:$L$20000,INPUT_RITASE!$A$5:$A$20000,Kalkulasi!$B$987,INPUT_RITASE!$B$5:$B$20000,"15-16",INPUT_RITASE!$C$5:$C$20000,$A1036,INPUT_RITASE!$N$5:$N$20000,$C1036)&gt;0,(60-MIN(60,SUMIFS(INPUT_DELAY!$E$5:$E$20000,INPUT_DELAY!$A$5:$A$20000,Kalkulasi!$B$987,INPUT_DELAY!$B$5:$B$20000,"15-16",INPUT_DELAY!$C$5:$C$20000,$A1036)+SUMIFS(INPUT_DELAY!$E$5:$E$20000,INPUT_DELAY!$A$5:$A$20000,Kalkulasi!$B$987,INPUT_DELAY!$B$5:$B$20000,"15-16",INPUT_DELAY!$C$5:$C$20000,"SEMUA")))/60,0)+IF(SUMIFS(INPUT_RITASE!$L$5:$L$20000,INPUT_RITASE!$A$5:$A$20000,Kalkulasi!$B$987,INPUT_RITASE!$B$5:$B$20000,"16-17",INPUT_RITASE!$C$5:$C$20000,$A1036,INPUT_RITASE!$N$5:$N$20000,$C1036)&gt;0,(60-MIN(60,SUMIFS(INPUT_DELAY!$E$5:$E$20000,INPUT_DELAY!$A$5:$A$20000,Kalkulasi!$B$987,INPUT_DELAY!$B$5:$B$20000,"16-17",INPUT_DELAY!$C$5:$C$20000,$A1036)+SUMIFS(INPUT_DELAY!$E$5:$E$20000,INPUT_DELAY!$A$5:$A$20000,Kalkulasi!$B$987,INPUT_DELAY!$B$5:$B$20000,"16-17",INPUT_DELAY!$C$5:$C$20000,"SEMUA")))/60,0)+IF(SUMIFS(INPUT_RITASE!$L$5:$L$20000,INPUT_RITASE!$A$5:$A$20000,Kalkulasi!$B$987,INPUT_RITASE!$B$5:$B$20000,"17-18",INPUT_RITASE!$C$5:$C$20000,$A1036,INPUT_RITASE!$N$5:$N$20000,$C1036)&gt;0,(60-MIN(60,SUMIFS(INPUT_DELAY!$E$5:$E$20000,INPUT_DELAY!$A$5:$A$20000,Kalkulasi!$B$987,INPUT_DELAY!$B$5:$B$20000,"17-18",INPUT_DELAY!$C$5:$C$20000,$A1036)+SUMIFS(INPUT_DELAY!$E$5:$E$20000,INPUT_DELAY!$A$5:$A$20000,Kalkulasi!$B$987,INPUT_DELAY!$B$5:$B$20000,"17-18",INPUT_DELAY!$C$5:$C$20000,"SEMUA")))/60,0)</f>
        <v/>
      </c>
      <c r="G1036">
        <f>SUMIFS(INPUT_RITASE!$F$5:$F$20000,INPUT_RITASE!$A$5:$A$20000,Kalkulasi!$B$987,INPUT_RITASE!$H$5:$H$20000,"NS",INPUT_RITASE!$C$5:$C$20000,$A1036)</f>
        <v/>
      </c>
      <c r="H1036">
        <f>SUMIFS(INPUT_RITASE!$L$5:$L$20000,INPUT_RITASE!$A$5:$A$20000,Kalkulasi!$B$987,INPUT_RITASE!$H$5:$H$20000,"NS",INPUT_RITASE!$C$5:$C$20000,$A1036,INPUT_RITASE!$N$5:$N$20000,$C1036)</f>
        <v/>
      </c>
      <c r="I1036">
        <f>IF(SUMIFS(INPUT_RITASE!$L$5:$L$20000,INPUT_RITASE!$A$5:$A$20000,Kalkulasi!$B$987,INPUT_RITASE!$B$5:$B$20000,"18-19",INPUT_RITASE!$C$5:$C$20000,$A1036,INPUT_RITASE!$N$5:$N$20000,$C1036)&gt;0,(60-MIN(60,SUMIFS(INPUT_DELAY!$E$5:$E$20000,INPUT_DELAY!$A$5:$A$20000,Kalkulasi!$B$987,INPUT_DELAY!$B$5:$B$20000,"18-19",INPUT_DELAY!$C$5:$C$20000,$A1036)+SUMIFS(INPUT_DELAY!$E$5:$E$20000,INPUT_DELAY!$A$5:$A$20000,Kalkulasi!$B$987,INPUT_DELAY!$B$5:$B$20000,"18-19",INPUT_DELAY!$C$5:$C$20000,"SEMUA")))/60,0)+IF(SUMIFS(INPUT_RITASE!$L$5:$L$20000,INPUT_RITASE!$A$5:$A$20000,Kalkulasi!$B$987,INPUT_RITASE!$B$5:$B$20000,"19-20",INPUT_RITASE!$C$5:$C$20000,$A1036,INPUT_RITASE!$N$5:$N$20000,$C1036)&gt;0,(60-MIN(60,SUMIFS(INPUT_DELAY!$E$5:$E$20000,INPUT_DELAY!$A$5:$A$20000,Kalkulasi!$B$987,INPUT_DELAY!$B$5:$B$20000,"19-20",INPUT_DELAY!$C$5:$C$20000,$A1036)+SUMIFS(INPUT_DELAY!$E$5:$E$20000,INPUT_DELAY!$A$5:$A$20000,Kalkulasi!$B$987,INPUT_DELAY!$B$5:$B$20000,"19-20",INPUT_DELAY!$C$5:$C$20000,"SEMUA")))/60,0)+IF(SUMIFS(INPUT_RITASE!$L$5:$L$20000,INPUT_RITASE!$A$5:$A$20000,Kalkulasi!$B$987,INPUT_RITASE!$B$5:$B$20000,"20-21",INPUT_RITASE!$C$5:$C$20000,$A1036,INPUT_RITASE!$N$5:$N$20000,$C1036)&gt;0,(60-MIN(60,SUMIFS(INPUT_DELAY!$E$5:$E$20000,INPUT_DELAY!$A$5:$A$20000,Kalkulasi!$B$987,INPUT_DELAY!$B$5:$B$20000,"20-21",INPUT_DELAY!$C$5:$C$20000,$A1036)+SUMIFS(INPUT_DELAY!$E$5:$E$20000,INPUT_DELAY!$A$5:$A$20000,Kalkulasi!$B$987,INPUT_DELAY!$B$5:$B$20000,"20-21",INPUT_DELAY!$C$5:$C$20000,"SEMUA")))/60,0)+IF(SUMIFS(INPUT_RITASE!$L$5:$L$20000,INPUT_RITASE!$A$5:$A$20000,Kalkulasi!$B$987,INPUT_RITASE!$B$5:$B$20000,"21-22",INPUT_RITASE!$C$5:$C$20000,$A1036,INPUT_RITASE!$N$5:$N$20000,$C1036)&gt;0,(60-MIN(60,SUMIFS(INPUT_DELAY!$E$5:$E$20000,INPUT_DELAY!$A$5:$A$20000,Kalkulasi!$B$987,INPUT_DELAY!$B$5:$B$20000,"21-22",INPUT_DELAY!$C$5:$C$20000,$A1036)+SUMIFS(INPUT_DELAY!$E$5:$E$20000,INPUT_DELAY!$A$5:$A$20000,Kalkulasi!$B$987,INPUT_DELAY!$B$5:$B$20000,"21-22",INPUT_DELAY!$C$5:$C$20000,"SEMUA")))/60,0)+IF(SUMIFS(INPUT_RITASE!$L$5:$L$20000,INPUT_RITASE!$A$5:$A$20000,Kalkulasi!$B$987,INPUT_RITASE!$B$5:$B$20000,"22-23",INPUT_RITASE!$C$5:$C$20000,$A1036,INPUT_RITASE!$N$5:$N$20000,$C1036)&gt;0,(60-MIN(60,SUMIFS(INPUT_DELAY!$E$5:$E$20000,INPUT_DELAY!$A$5:$A$20000,Kalkulasi!$B$987,INPUT_DELAY!$B$5:$B$20000,"22-23",INPUT_DELAY!$C$5:$C$20000,$A1036)+SUMIFS(INPUT_DELAY!$E$5:$E$20000,INPUT_DELAY!$A$5:$A$20000,Kalkulasi!$B$987,INPUT_DELAY!$B$5:$B$20000,"22-23",INPUT_DELAY!$C$5:$C$20000,"SEMUA")))/60,0)+IF(SUMIFS(INPUT_RITASE!$L$5:$L$20000,INPUT_RITASE!$A$5:$A$20000,Kalkulasi!$B$987,INPUT_RITASE!$B$5:$B$20000,"23-24",INPUT_RITASE!$C$5:$C$20000,$A1036,INPUT_RITASE!$N$5:$N$20000,$C1036)&gt;0,(60-MIN(60,SUMIFS(INPUT_DELAY!$E$5:$E$20000,INPUT_DELAY!$A$5:$A$20000,Kalkulasi!$B$987,INPUT_DELAY!$B$5:$B$20000,"23-24",INPUT_DELAY!$C$5:$C$20000,$A1036)+SUMIFS(INPUT_DELAY!$E$5:$E$20000,INPUT_DELAY!$A$5:$A$20000,Kalkulasi!$B$987,INPUT_DELAY!$B$5:$B$20000,"23-24",INPUT_DELAY!$C$5:$C$20000,"SEMUA")))/60,0)+IF(SUMIFS(INPUT_RITASE!$L$5:$L$20000,INPUT_RITASE!$A$5:$A$20000,Kalkulasi!$B$987,INPUT_RITASE!$B$5:$B$20000,"00-01",INPUT_RITASE!$C$5:$C$20000,$A1036,INPUT_RITASE!$N$5:$N$20000,$C1036)&gt;0,(60-MIN(60,SUMIFS(INPUT_DELAY!$E$5:$E$20000,INPUT_DELAY!$A$5:$A$20000,Kalkulasi!$B$987,INPUT_DELAY!$B$5:$B$20000,"00-01",INPUT_DELAY!$C$5:$C$20000,$A1036)+SUMIFS(INPUT_DELAY!$E$5:$E$20000,INPUT_DELAY!$A$5:$A$20000,Kalkulasi!$B$987,INPUT_DELAY!$B$5:$B$20000,"00-01",INPUT_DELAY!$C$5:$C$20000,"SEMUA")))/60,0)+IF(SUMIFS(INPUT_RITASE!$L$5:$L$20000,INPUT_RITASE!$A$5:$A$20000,Kalkulasi!$B$987,INPUT_RITASE!$B$5:$B$20000,"01-02",INPUT_RITASE!$C$5:$C$20000,$A1036,INPUT_RITASE!$N$5:$N$20000,$C1036)&gt;0,(60-MIN(60,SUMIFS(INPUT_DELAY!$E$5:$E$20000,INPUT_DELAY!$A$5:$A$20000,Kalkulasi!$B$987,INPUT_DELAY!$B$5:$B$20000,"01-02",INPUT_DELAY!$C$5:$C$20000,$A1036)+SUMIFS(INPUT_DELAY!$E$5:$E$20000,INPUT_DELAY!$A$5:$A$20000,Kalkulasi!$B$987,INPUT_DELAY!$B$5:$B$20000,"01-02",INPUT_DELAY!$C$5:$C$20000,"SEMUA")))/60,0)+IF(SUMIFS(INPUT_RITASE!$L$5:$L$20000,INPUT_RITASE!$A$5:$A$20000,Kalkulasi!$B$987,INPUT_RITASE!$B$5:$B$20000,"02-03",INPUT_RITASE!$C$5:$C$20000,$A1036,INPUT_RITASE!$N$5:$N$20000,$C1036)&gt;0,(60-MIN(60,SUMIFS(INPUT_DELAY!$E$5:$E$20000,INPUT_DELAY!$A$5:$A$20000,Kalkulasi!$B$987,INPUT_DELAY!$B$5:$B$20000,"02-03",INPUT_DELAY!$C$5:$C$20000,$A1036)+SUMIFS(INPUT_DELAY!$E$5:$E$20000,INPUT_DELAY!$A$5:$A$20000,Kalkulasi!$B$987,INPUT_DELAY!$B$5:$B$20000,"02-03",INPUT_DELAY!$C$5:$C$20000,"SEMUA")))/60,0)+IF(SUMIFS(INPUT_RITASE!$L$5:$L$20000,INPUT_RITASE!$A$5:$A$20000,Kalkulasi!$B$987,INPUT_RITASE!$B$5:$B$20000,"03-04",INPUT_RITASE!$C$5:$C$20000,$A1036,INPUT_RITASE!$N$5:$N$20000,$C1036)&gt;0,(60-MIN(60,SUMIFS(INPUT_DELAY!$E$5:$E$20000,INPUT_DELAY!$A$5:$A$20000,Kalkulasi!$B$987,INPUT_DELAY!$B$5:$B$20000,"03-04",INPUT_DELAY!$C$5:$C$20000,$A1036)+SUMIFS(INPUT_DELAY!$E$5:$E$20000,INPUT_DELAY!$A$5:$A$20000,Kalkulasi!$B$987,INPUT_DELAY!$B$5:$B$20000,"03-04",INPUT_DELAY!$C$5:$C$20000,"SEMUA")))/60,0)+IF(SUMIFS(INPUT_RITASE!$L$5:$L$20000,INPUT_RITASE!$A$5:$A$20000,Kalkulasi!$B$987,INPUT_RITASE!$B$5:$B$20000,"04-05",INPUT_RITASE!$C$5:$C$20000,$A1036,INPUT_RITASE!$N$5:$N$20000,$C1036)&gt;0,(60-MIN(60,SUMIFS(INPUT_DELAY!$E$5:$E$20000,INPUT_DELAY!$A$5:$A$20000,Kalkulasi!$B$987,INPUT_DELAY!$B$5:$B$20000,"04-05",INPUT_DELAY!$C$5:$C$20000,$A1036)+SUMIFS(INPUT_DELAY!$E$5:$E$20000,INPUT_DELAY!$A$5:$A$20000,Kalkulasi!$B$987,INPUT_DELAY!$B$5:$B$20000,"04-05",INPUT_DELAY!$C$5:$C$20000,"SEMUA")))/60,0)+IF(SUMIFS(INPUT_RITASE!$L$5:$L$20000,INPUT_RITASE!$A$5:$A$20000,Kalkulasi!$B$987,INPUT_RITASE!$B$5:$B$20000,"05-06",INPUT_RITASE!$C$5:$C$20000,$A1036,INPUT_RITASE!$N$5:$N$20000,$C1036)&gt;0,(60-MIN(60,SUMIFS(INPUT_DELAY!$E$5:$E$20000,INPUT_DELAY!$A$5:$A$20000,Kalkulasi!$B$987,INPUT_DELAY!$B$5:$B$20000,"05-06",INPUT_DELAY!$C$5:$C$20000,$A1036)+SUMIFS(INPUT_DELAY!$E$5:$E$20000,INPUT_DELAY!$A$5:$A$20000,Kalkulasi!$B$987,INPUT_DELAY!$B$5:$B$20000,"05-06",INPUT_DELAY!$C$5:$C$20000,"SEMUA")))/60,0)</f>
        <v/>
      </c>
      <c r="J1036">
        <f>E1036+H1036</f>
        <v/>
      </c>
      <c r="K1036">
        <f>IF(F1036+I1036=0,"",J1036/(F1036+I1036))</f>
        <v/>
      </c>
      <c r="L1036">
        <f>IFERROR(IF($C1036="OB",INDEX(MASTER_JAM!$F$5:$F$94,MATCH($A1036,MASTER_JAM!$A$5:$A$94,0)),INDEX(MASTER_JAM!$G$5:$G$94,MATCH($A1036,MASTER_JAM!$A$5:$A$94,0)))+0,0)</f>
        <v/>
      </c>
      <c r="M1036">
        <f>J1036+(D1036+G1036)/1000+ROW()/1000000</f>
        <v/>
      </c>
      <c r="O1036">
        <f>SUMIFS(INPUT_DELAY!$E$5:$E$20000,INPUT_DELAY!$A$5:$A$20000,Kalkulasi!$B$987,INPUT_DELAY!$C$5:$C$20000,$A1036)</f>
        <v/>
      </c>
    </row>
    <row r="1037">
      <c r="A1037" t="inlineStr">
        <is>
          <t>EX-752</t>
        </is>
      </c>
      <c r="B1037">
        <f>IFERROR(INDEX(MASTER_JAM!$B$5:$B$94,MATCH($A1037,MASTER_JAM!$A$5:$A$94,0)),"")</f>
        <v/>
      </c>
      <c r="C1037">
        <f>IF(SUMIFS(INPUT_RITASE!$L$5:$L$20000,INPUT_RITASE!$A$5:$A$20000,Kalkulasi!$B$987,INPUT_RITASE!$C$5:$C$20000,$A1037,INPUT_RITASE!$N$5:$N$20000,"Coal")&gt;SUMIFS(INPUT_RITASE!$L$5:$L$20000,INPUT_RITASE!$A$5:$A$20000,Kalkulasi!$B$987,INPUT_RITASE!$C$5:$C$20000,$A1037,INPUT_RITASE!$N$5:$N$20000,"OB"),"Coal","OB")</f>
        <v/>
      </c>
      <c r="D1037">
        <f>SUMIFS(INPUT_RITASE!$F$5:$F$20000,INPUT_RITASE!$A$5:$A$20000,Kalkulasi!$B$987,INPUT_RITASE!$H$5:$H$20000,"DS",INPUT_RITASE!$C$5:$C$20000,$A1037)</f>
        <v/>
      </c>
      <c r="E1037">
        <f>SUMIFS(INPUT_RITASE!$L$5:$L$20000,INPUT_RITASE!$A$5:$A$20000,Kalkulasi!$B$987,INPUT_RITASE!$H$5:$H$20000,"DS",INPUT_RITASE!$C$5:$C$20000,$A1037,INPUT_RITASE!$N$5:$N$20000,$C1037)</f>
        <v/>
      </c>
      <c r="F1037">
        <f>IF(SUMIFS(INPUT_RITASE!$L$5:$L$20000,INPUT_RITASE!$A$5:$A$20000,Kalkulasi!$B$987,INPUT_RITASE!$B$5:$B$20000,"06-07",INPUT_RITASE!$C$5:$C$20000,$A1037,INPUT_RITASE!$N$5:$N$20000,$C1037)&gt;0,(60-MIN(60,SUMIFS(INPUT_DELAY!$E$5:$E$20000,INPUT_DELAY!$A$5:$A$20000,Kalkulasi!$B$987,INPUT_DELAY!$B$5:$B$20000,"06-07",INPUT_DELAY!$C$5:$C$20000,$A1037)+SUMIFS(INPUT_DELAY!$E$5:$E$20000,INPUT_DELAY!$A$5:$A$20000,Kalkulasi!$B$987,INPUT_DELAY!$B$5:$B$20000,"06-07",INPUT_DELAY!$C$5:$C$20000,"SEMUA")))/60,0)+IF(SUMIFS(INPUT_RITASE!$L$5:$L$20000,INPUT_RITASE!$A$5:$A$20000,Kalkulasi!$B$987,INPUT_RITASE!$B$5:$B$20000,"07-08",INPUT_RITASE!$C$5:$C$20000,$A1037,INPUT_RITASE!$N$5:$N$20000,$C1037)&gt;0,(60-MIN(60,SUMIFS(INPUT_DELAY!$E$5:$E$20000,INPUT_DELAY!$A$5:$A$20000,Kalkulasi!$B$987,INPUT_DELAY!$B$5:$B$20000,"07-08",INPUT_DELAY!$C$5:$C$20000,$A1037)+SUMIFS(INPUT_DELAY!$E$5:$E$20000,INPUT_DELAY!$A$5:$A$20000,Kalkulasi!$B$987,INPUT_DELAY!$B$5:$B$20000,"07-08",INPUT_DELAY!$C$5:$C$20000,"SEMUA")))/60,0)+IF(SUMIFS(INPUT_RITASE!$L$5:$L$20000,INPUT_RITASE!$A$5:$A$20000,Kalkulasi!$B$987,INPUT_RITASE!$B$5:$B$20000,"08-09",INPUT_RITASE!$C$5:$C$20000,$A1037,INPUT_RITASE!$N$5:$N$20000,$C1037)&gt;0,(60-MIN(60,SUMIFS(INPUT_DELAY!$E$5:$E$20000,INPUT_DELAY!$A$5:$A$20000,Kalkulasi!$B$987,INPUT_DELAY!$B$5:$B$20000,"08-09",INPUT_DELAY!$C$5:$C$20000,$A1037)+SUMIFS(INPUT_DELAY!$E$5:$E$20000,INPUT_DELAY!$A$5:$A$20000,Kalkulasi!$B$987,INPUT_DELAY!$B$5:$B$20000,"08-09",INPUT_DELAY!$C$5:$C$20000,"SEMUA")))/60,0)+IF(SUMIFS(INPUT_RITASE!$L$5:$L$20000,INPUT_RITASE!$A$5:$A$20000,Kalkulasi!$B$987,INPUT_RITASE!$B$5:$B$20000,"09-10",INPUT_RITASE!$C$5:$C$20000,$A1037,INPUT_RITASE!$N$5:$N$20000,$C1037)&gt;0,(60-MIN(60,SUMIFS(INPUT_DELAY!$E$5:$E$20000,INPUT_DELAY!$A$5:$A$20000,Kalkulasi!$B$987,INPUT_DELAY!$B$5:$B$20000,"09-10",INPUT_DELAY!$C$5:$C$20000,$A1037)+SUMIFS(INPUT_DELAY!$E$5:$E$20000,INPUT_DELAY!$A$5:$A$20000,Kalkulasi!$B$987,INPUT_DELAY!$B$5:$B$20000,"09-10",INPUT_DELAY!$C$5:$C$20000,"SEMUA")))/60,0)+IF(SUMIFS(INPUT_RITASE!$L$5:$L$20000,INPUT_RITASE!$A$5:$A$20000,Kalkulasi!$B$987,INPUT_RITASE!$B$5:$B$20000,"10-11",INPUT_RITASE!$C$5:$C$20000,$A1037,INPUT_RITASE!$N$5:$N$20000,$C1037)&gt;0,(60-MIN(60,SUMIFS(INPUT_DELAY!$E$5:$E$20000,INPUT_DELAY!$A$5:$A$20000,Kalkulasi!$B$987,INPUT_DELAY!$B$5:$B$20000,"10-11",INPUT_DELAY!$C$5:$C$20000,$A1037)+SUMIFS(INPUT_DELAY!$E$5:$E$20000,INPUT_DELAY!$A$5:$A$20000,Kalkulasi!$B$987,INPUT_DELAY!$B$5:$B$20000,"10-11",INPUT_DELAY!$C$5:$C$20000,"SEMUA")))/60,0)+IF(SUMIFS(INPUT_RITASE!$L$5:$L$20000,INPUT_RITASE!$A$5:$A$20000,Kalkulasi!$B$987,INPUT_RITASE!$B$5:$B$20000,"11-12",INPUT_RITASE!$C$5:$C$20000,$A1037,INPUT_RITASE!$N$5:$N$20000,$C1037)&gt;0,(60-MIN(60,SUMIFS(INPUT_DELAY!$E$5:$E$20000,INPUT_DELAY!$A$5:$A$20000,Kalkulasi!$B$987,INPUT_DELAY!$B$5:$B$20000,"11-12",INPUT_DELAY!$C$5:$C$20000,$A1037)+SUMIFS(INPUT_DELAY!$E$5:$E$20000,INPUT_DELAY!$A$5:$A$20000,Kalkulasi!$B$987,INPUT_DELAY!$B$5:$B$20000,"11-12",INPUT_DELAY!$C$5:$C$20000,"SEMUA")))/60,0)+IF(SUMIFS(INPUT_RITASE!$L$5:$L$20000,INPUT_RITASE!$A$5:$A$20000,Kalkulasi!$B$987,INPUT_RITASE!$B$5:$B$20000,"12-13",INPUT_RITASE!$C$5:$C$20000,$A1037,INPUT_RITASE!$N$5:$N$20000,$C1037)&gt;0,(60-MIN(60,SUMIFS(INPUT_DELAY!$E$5:$E$20000,INPUT_DELAY!$A$5:$A$20000,Kalkulasi!$B$987,INPUT_DELAY!$B$5:$B$20000,"12-13",INPUT_DELAY!$C$5:$C$20000,$A1037)+SUMIFS(INPUT_DELAY!$E$5:$E$20000,INPUT_DELAY!$A$5:$A$20000,Kalkulasi!$B$987,INPUT_DELAY!$B$5:$B$20000,"12-13",INPUT_DELAY!$C$5:$C$20000,"SEMUA")))/60,0)+IF(SUMIFS(INPUT_RITASE!$L$5:$L$20000,INPUT_RITASE!$A$5:$A$20000,Kalkulasi!$B$987,INPUT_RITASE!$B$5:$B$20000,"13-14",INPUT_RITASE!$C$5:$C$20000,$A1037,INPUT_RITASE!$N$5:$N$20000,$C1037)&gt;0,(60-MIN(60,SUMIFS(INPUT_DELAY!$E$5:$E$20000,INPUT_DELAY!$A$5:$A$20000,Kalkulasi!$B$987,INPUT_DELAY!$B$5:$B$20000,"13-14",INPUT_DELAY!$C$5:$C$20000,$A1037)+SUMIFS(INPUT_DELAY!$E$5:$E$20000,INPUT_DELAY!$A$5:$A$20000,Kalkulasi!$B$987,INPUT_DELAY!$B$5:$B$20000,"13-14",INPUT_DELAY!$C$5:$C$20000,"SEMUA")))/60,0)+IF(SUMIFS(INPUT_RITASE!$L$5:$L$20000,INPUT_RITASE!$A$5:$A$20000,Kalkulasi!$B$987,INPUT_RITASE!$B$5:$B$20000,"14-15",INPUT_RITASE!$C$5:$C$20000,$A1037,INPUT_RITASE!$N$5:$N$20000,$C1037)&gt;0,(60-MIN(60,SUMIFS(INPUT_DELAY!$E$5:$E$20000,INPUT_DELAY!$A$5:$A$20000,Kalkulasi!$B$987,INPUT_DELAY!$B$5:$B$20000,"14-15",INPUT_DELAY!$C$5:$C$20000,$A1037)+SUMIFS(INPUT_DELAY!$E$5:$E$20000,INPUT_DELAY!$A$5:$A$20000,Kalkulasi!$B$987,INPUT_DELAY!$B$5:$B$20000,"14-15",INPUT_DELAY!$C$5:$C$20000,"SEMUA")))/60,0)+IF(SUMIFS(INPUT_RITASE!$L$5:$L$20000,INPUT_RITASE!$A$5:$A$20000,Kalkulasi!$B$987,INPUT_RITASE!$B$5:$B$20000,"15-16",INPUT_RITASE!$C$5:$C$20000,$A1037,INPUT_RITASE!$N$5:$N$20000,$C1037)&gt;0,(60-MIN(60,SUMIFS(INPUT_DELAY!$E$5:$E$20000,INPUT_DELAY!$A$5:$A$20000,Kalkulasi!$B$987,INPUT_DELAY!$B$5:$B$20000,"15-16",INPUT_DELAY!$C$5:$C$20000,$A1037)+SUMIFS(INPUT_DELAY!$E$5:$E$20000,INPUT_DELAY!$A$5:$A$20000,Kalkulasi!$B$987,INPUT_DELAY!$B$5:$B$20000,"15-16",INPUT_DELAY!$C$5:$C$20000,"SEMUA")))/60,0)+IF(SUMIFS(INPUT_RITASE!$L$5:$L$20000,INPUT_RITASE!$A$5:$A$20000,Kalkulasi!$B$987,INPUT_RITASE!$B$5:$B$20000,"16-17",INPUT_RITASE!$C$5:$C$20000,$A1037,INPUT_RITASE!$N$5:$N$20000,$C1037)&gt;0,(60-MIN(60,SUMIFS(INPUT_DELAY!$E$5:$E$20000,INPUT_DELAY!$A$5:$A$20000,Kalkulasi!$B$987,INPUT_DELAY!$B$5:$B$20000,"16-17",INPUT_DELAY!$C$5:$C$20000,$A1037)+SUMIFS(INPUT_DELAY!$E$5:$E$20000,INPUT_DELAY!$A$5:$A$20000,Kalkulasi!$B$987,INPUT_DELAY!$B$5:$B$20000,"16-17",INPUT_DELAY!$C$5:$C$20000,"SEMUA")))/60,0)+IF(SUMIFS(INPUT_RITASE!$L$5:$L$20000,INPUT_RITASE!$A$5:$A$20000,Kalkulasi!$B$987,INPUT_RITASE!$B$5:$B$20000,"17-18",INPUT_RITASE!$C$5:$C$20000,$A1037,INPUT_RITASE!$N$5:$N$20000,$C1037)&gt;0,(60-MIN(60,SUMIFS(INPUT_DELAY!$E$5:$E$20000,INPUT_DELAY!$A$5:$A$20000,Kalkulasi!$B$987,INPUT_DELAY!$B$5:$B$20000,"17-18",INPUT_DELAY!$C$5:$C$20000,$A1037)+SUMIFS(INPUT_DELAY!$E$5:$E$20000,INPUT_DELAY!$A$5:$A$20000,Kalkulasi!$B$987,INPUT_DELAY!$B$5:$B$20000,"17-18",INPUT_DELAY!$C$5:$C$20000,"SEMUA")))/60,0)</f>
        <v/>
      </c>
      <c r="G1037">
        <f>SUMIFS(INPUT_RITASE!$F$5:$F$20000,INPUT_RITASE!$A$5:$A$20000,Kalkulasi!$B$987,INPUT_RITASE!$H$5:$H$20000,"NS",INPUT_RITASE!$C$5:$C$20000,$A1037)</f>
        <v/>
      </c>
      <c r="H1037">
        <f>SUMIFS(INPUT_RITASE!$L$5:$L$20000,INPUT_RITASE!$A$5:$A$20000,Kalkulasi!$B$987,INPUT_RITASE!$H$5:$H$20000,"NS",INPUT_RITASE!$C$5:$C$20000,$A1037,INPUT_RITASE!$N$5:$N$20000,$C1037)</f>
        <v/>
      </c>
      <c r="I1037">
        <f>IF(SUMIFS(INPUT_RITASE!$L$5:$L$20000,INPUT_RITASE!$A$5:$A$20000,Kalkulasi!$B$987,INPUT_RITASE!$B$5:$B$20000,"18-19",INPUT_RITASE!$C$5:$C$20000,$A1037,INPUT_RITASE!$N$5:$N$20000,$C1037)&gt;0,(60-MIN(60,SUMIFS(INPUT_DELAY!$E$5:$E$20000,INPUT_DELAY!$A$5:$A$20000,Kalkulasi!$B$987,INPUT_DELAY!$B$5:$B$20000,"18-19",INPUT_DELAY!$C$5:$C$20000,$A1037)+SUMIFS(INPUT_DELAY!$E$5:$E$20000,INPUT_DELAY!$A$5:$A$20000,Kalkulasi!$B$987,INPUT_DELAY!$B$5:$B$20000,"18-19",INPUT_DELAY!$C$5:$C$20000,"SEMUA")))/60,0)+IF(SUMIFS(INPUT_RITASE!$L$5:$L$20000,INPUT_RITASE!$A$5:$A$20000,Kalkulasi!$B$987,INPUT_RITASE!$B$5:$B$20000,"19-20",INPUT_RITASE!$C$5:$C$20000,$A1037,INPUT_RITASE!$N$5:$N$20000,$C1037)&gt;0,(60-MIN(60,SUMIFS(INPUT_DELAY!$E$5:$E$20000,INPUT_DELAY!$A$5:$A$20000,Kalkulasi!$B$987,INPUT_DELAY!$B$5:$B$20000,"19-20",INPUT_DELAY!$C$5:$C$20000,$A1037)+SUMIFS(INPUT_DELAY!$E$5:$E$20000,INPUT_DELAY!$A$5:$A$20000,Kalkulasi!$B$987,INPUT_DELAY!$B$5:$B$20000,"19-20",INPUT_DELAY!$C$5:$C$20000,"SEMUA")))/60,0)+IF(SUMIFS(INPUT_RITASE!$L$5:$L$20000,INPUT_RITASE!$A$5:$A$20000,Kalkulasi!$B$987,INPUT_RITASE!$B$5:$B$20000,"20-21",INPUT_RITASE!$C$5:$C$20000,$A1037,INPUT_RITASE!$N$5:$N$20000,$C1037)&gt;0,(60-MIN(60,SUMIFS(INPUT_DELAY!$E$5:$E$20000,INPUT_DELAY!$A$5:$A$20000,Kalkulasi!$B$987,INPUT_DELAY!$B$5:$B$20000,"20-21",INPUT_DELAY!$C$5:$C$20000,$A1037)+SUMIFS(INPUT_DELAY!$E$5:$E$20000,INPUT_DELAY!$A$5:$A$20000,Kalkulasi!$B$987,INPUT_DELAY!$B$5:$B$20000,"20-21",INPUT_DELAY!$C$5:$C$20000,"SEMUA")))/60,0)+IF(SUMIFS(INPUT_RITASE!$L$5:$L$20000,INPUT_RITASE!$A$5:$A$20000,Kalkulasi!$B$987,INPUT_RITASE!$B$5:$B$20000,"21-22",INPUT_RITASE!$C$5:$C$20000,$A1037,INPUT_RITASE!$N$5:$N$20000,$C1037)&gt;0,(60-MIN(60,SUMIFS(INPUT_DELAY!$E$5:$E$20000,INPUT_DELAY!$A$5:$A$20000,Kalkulasi!$B$987,INPUT_DELAY!$B$5:$B$20000,"21-22",INPUT_DELAY!$C$5:$C$20000,$A1037)+SUMIFS(INPUT_DELAY!$E$5:$E$20000,INPUT_DELAY!$A$5:$A$20000,Kalkulasi!$B$987,INPUT_DELAY!$B$5:$B$20000,"21-22",INPUT_DELAY!$C$5:$C$20000,"SEMUA")))/60,0)+IF(SUMIFS(INPUT_RITASE!$L$5:$L$20000,INPUT_RITASE!$A$5:$A$20000,Kalkulasi!$B$987,INPUT_RITASE!$B$5:$B$20000,"22-23",INPUT_RITASE!$C$5:$C$20000,$A1037,INPUT_RITASE!$N$5:$N$20000,$C1037)&gt;0,(60-MIN(60,SUMIFS(INPUT_DELAY!$E$5:$E$20000,INPUT_DELAY!$A$5:$A$20000,Kalkulasi!$B$987,INPUT_DELAY!$B$5:$B$20000,"22-23",INPUT_DELAY!$C$5:$C$20000,$A1037)+SUMIFS(INPUT_DELAY!$E$5:$E$20000,INPUT_DELAY!$A$5:$A$20000,Kalkulasi!$B$987,INPUT_DELAY!$B$5:$B$20000,"22-23",INPUT_DELAY!$C$5:$C$20000,"SEMUA")))/60,0)+IF(SUMIFS(INPUT_RITASE!$L$5:$L$20000,INPUT_RITASE!$A$5:$A$20000,Kalkulasi!$B$987,INPUT_RITASE!$B$5:$B$20000,"23-24",INPUT_RITASE!$C$5:$C$20000,$A1037,INPUT_RITASE!$N$5:$N$20000,$C1037)&gt;0,(60-MIN(60,SUMIFS(INPUT_DELAY!$E$5:$E$20000,INPUT_DELAY!$A$5:$A$20000,Kalkulasi!$B$987,INPUT_DELAY!$B$5:$B$20000,"23-24",INPUT_DELAY!$C$5:$C$20000,$A1037)+SUMIFS(INPUT_DELAY!$E$5:$E$20000,INPUT_DELAY!$A$5:$A$20000,Kalkulasi!$B$987,INPUT_DELAY!$B$5:$B$20000,"23-24",INPUT_DELAY!$C$5:$C$20000,"SEMUA")))/60,0)+IF(SUMIFS(INPUT_RITASE!$L$5:$L$20000,INPUT_RITASE!$A$5:$A$20000,Kalkulasi!$B$987,INPUT_RITASE!$B$5:$B$20000,"00-01",INPUT_RITASE!$C$5:$C$20000,$A1037,INPUT_RITASE!$N$5:$N$20000,$C1037)&gt;0,(60-MIN(60,SUMIFS(INPUT_DELAY!$E$5:$E$20000,INPUT_DELAY!$A$5:$A$20000,Kalkulasi!$B$987,INPUT_DELAY!$B$5:$B$20000,"00-01",INPUT_DELAY!$C$5:$C$20000,$A1037)+SUMIFS(INPUT_DELAY!$E$5:$E$20000,INPUT_DELAY!$A$5:$A$20000,Kalkulasi!$B$987,INPUT_DELAY!$B$5:$B$20000,"00-01",INPUT_DELAY!$C$5:$C$20000,"SEMUA")))/60,0)+IF(SUMIFS(INPUT_RITASE!$L$5:$L$20000,INPUT_RITASE!$A$5:$A$20000,Kalkulasi!$B$987,INPUT_RITASE!$B$5:$B$20000,"01-02",INPUT_RITASE!$C$5:$C$20000,$A1037,INPUT_RITASE!$N$5:$N$20000,$C1037)&gt;0,(60-MIN(60,SUMIFS(INPUT_DELAY!$E$5:$E$20000,INPUT_DELAY!$A$5:$A$20000,Kalkulasi!$B$987,INPUT_DELAY!$B$5:$B$20000,"01-02",INPUT_DELAY!$C$5:$C$20000,$A1037)+SUMIFS(INPUT_DELAY!$E$5:$E$20000,INPUT_DELAY!$A$5:$A$20000,Kalkulasi!$B$987,INPUT_DELAY!$B$5:$B$20000,"01-02",INPUT_DELAY!$C$5:$C$20000,"SEMUA")))/60,0)+IF(SUMIFS(INPUT_RITASE!$L$5:$L$20000,INPUT_RITASE!$A$5:$A$20000,Kalkulasi!$B$987,INPUT_RITASE!$B$5:$B$20000,"02-03",INPUT_RITASE!$C$5:$C$20000,$A1037,INPUT_RITASE!$N$5:$N$20000,$C1037)&gt;0,(60-MIN(60,SUMIFS(INPUT_DELAY!$E$5:$E$20000,INPUT_DELAY!$A$5:$A$20000,Kalkulasi!$B$987,INPUT_DELAY!$B$5:$B$20000,"02-03",INPUT_DELAY!$C$5:$C$20000,$A1037)+SUMIFS(INPUT_DELAY!$E$5:$E$20000,INPUT_DELAY!$A$5:$A$20000,Kalkulasi!$B$987,INPUT_DELAY!$B$5:$B$20000,"02-03",INPUT_DELAY!$C$5:$C$20000,"SEMUA")))/60,0)+IF(SUMIFS(INPUT_RITASE!$L$5:$L$20000,INPUT_RITASE!$A$5:$A$20000,Kalkulasi!$B$987,INPUT_RITASE!$B$5:$B$20000,"03-04",INPUT_RITASE!$C$5:$C$20000,$A1037,INPUT_RITASE!$N$5:$N$20000,$C1037)&gt;0,(60-MIN(60,SUMIFS(INPUT_DELAY!$E$5:$E$20000,INPUT_DELAY!$A$5:$A$20000,Kalkulasi!$B$987,INPUT_DELAY!$B$5:$B$20000,"03-04",INPUT_DELAY!$C$5:$C$20000,$A1037)+SUMIFS(INPUT_DELAY!$E$5:$E$20000,INPUT_DELAY!$A$5:$A$20000,Kalkulasi!$B$987,INPUT_DELAY!$B$5:$B$20000,"03-04",INPUT_DELAY!$C$5:$C$20000,"SEMUA")))/60,0)+IF(SUMIFS(INPUT_RITASE!$L$5:$L$20000,INPUT_RITASE!$A$5:$A$20000,Kalkulasi!$B$987,INPUT_RITASE!$B$5:$B$20000,"04-05",INPUT_RITASE!$C$5:$C$20000,$A1037,INPUT_RITASE!$N$5:$N$20000,$C1037)&gt;0,(60-MIN(60,SUMIFS(INPUT_DELAY!$E$5:$E$20000,INPUT_DELAY!$A$5:$A$20000,Kalkulasi!$B$987,INPUT_DELAY!$B$5:$B$20000,"04-05",INPUT_DELAY!$C$5:$C$20000,$A1037)+SUMIFS(INPUT_DELAY!$E$5:$E$20000,INPUT_DELAY!$A$5:$A$20000,Kalkulasi!$B$987,INPUT_DELAY!$B$5:$B$20000,"04-05",INPUT_DELAY!$C$5:$C$20000,"SEMUA")))/60,0)+IF(SUMIFS(INPUT_RITASE!$L$5:$L$20000,INPUT_RITASE!$A$5:$A$20000,Kalkulasi!$B$987,INPUT_RITASE!$B$5:$B$20000,"05-06",INPUT_RITASE!$C$5:$C$20000,$A1037,INPUT_RITASE!$N$5:$N$20000,$C1037)&gt;0,(60-MIN(60,SUMIFS(INPUT_DELAY!$E$5:$E$20000,INPUT_DELAY!$A$5:$A$20000,Kalkulasi!$B$987,INPUT_DELAY!$B$5:$B$20000,"05-06",INPUT_DELAY!$C$5:$C$20000,$A1037)+SUMIFS(INPUT_DELAY!$E$5:$E$20000,INPUT_DELAY!$A$5:$A$20000,Kalkulasi!$B$987,INPUT_DELAY!$B$5:$B$20000,"05-06",INPUT_DELAY!$C$5:$C$20000,"SEMUA")))/60,0)</f>
        <v/>
      </c>
      <c r="J1037">
        <f>E1037+H1037</f>
        <v/>
      </c>
      <c r="K1037">
        <f>IF(F1037+I1037=0,"",J1037/(F1037+I1037))</f>
        <v/>
      </c>
      <c r="L1037">
        <f>IFERROR(IF($C1037="OB",INDEX(MASTER_JAM!$F$5:$F$94,MATCH($A1037,MASTER_JAM!$A$5:$A$94,0)),INDEX(MASTER_JAM!$G$5:$G$94,MATCH($A1037,MASTER_JAM!$A$5:$A$94,0)))+0,0)</f>
        <v/>
      </c>
      <c r="M1037">
        <f>J1037+(D1037+G1037)/1000+ROW()/1000000</f>
        <v/>
      </c>
      <c r="O1037">
        <f>SUMIFS(INPUT_DELAY!$E$5:$E$20000,INPUT_DELAY!$A$5:$A$20000,Kalkulasi!$B$987,INPUT_DELAY!$C$5:$C$20000,$A1037)</f>
        <v/>
      </c>
    </row>
    <row r="1040">
      <c r="A1040" s="171" t="inlineStr">
        <is>
          <t>DAILY — per hauler</t>
        </is>
      </c>
    </row>
    <row r="1041">
      <c r="A1041" t="inlineStr">
        <is>
          <t>Hauler</t>
        </is>
      </c>
      <c r="B1041" t="inlineStr">
        <is>
          <t>Tipe</t>
        </is>
      </c>
      <c r="C1041" t="inlineStr">
        <is>
          <t>DS rit</t>
        </is>
      </c>
      <c r="D1041" t="inlineStr">
        <is>
          <t>NS rit</t>
        </is>
      </c>
      <c r="E1041" t="inlineStr">
        <is>
          <t>Total</t>
        </is>
      </c>
      <c r="F1041" t="inlineStr">
        <is>
          <t>Prod BCM</t>
        </is>
      </c>
      <c r="G1041" t="inlineStr">
        <is>
          <t>Prod MT</t>
        </is>
      </c>
      <c r="H1041" t="inlineStr">
        <is>
          <t>Jam aktif</t>
        </is>
      </c>
      <c r="I1041" t="inlineStr">
        <is>
          <t>Sort</t>
        </is>
      </c>
    </row>
    <row r="1042">
      <c r="A1042" t="inlineStr">
        <is>
          <t>DH-101</t>
        </is>
      </c>
      <c r="B1042">
        <f>IFERROR(INDEX(MASTER_JAM!$B$5:$B$94,MATCH($A1042,MASTER_JAM!$A$5:$A$94,0)),"")</f>
        <v/>
      </c>
      <c r="C1042">
        <f>SUMIFS(INPUT_RITASE!$F$5:$F$20000,INPUT_RITASE!$A$5:$A$20000,Kalkulasi!$B$987,INPUT_RITASE!$H$5:$H$20000,"DS",INPUT_RITASE!$D$5:$D$20000,$A1042)</f>
        <v/>
      </c>
      <c r="D1042">
        <f>SUMIFS(INPUT_RITASE!$F$5:$F$20000,INPUT_RITASE!$A$5:$A$20000,Kalkulasi!$B$987,INPUT_RITASE!$H$5:$H$20000,"NS",INPUT_RITASE!$D$5:$D$20000,$A1042)</f>
        <v/>
      </c>
      <c r="E1042">
        <f>C1042+D1042</f>
        <v/>
      </c>
      <c r="F1042">
        <f>SUMIFS(INPUT_RITASE!$L$5:$L$20000,INPUT_RITASE!$A$5:$A$20000,Kalkulasi!$B$987,INPUT_RITASE!$D$5:$D$20000,$A1042,INPUT_RITASE!$M$5:$M$20000,"BCM")</f>
        <v/>
      </c>
      <c r="G1042">
        <f>SUMIFS(INPUT_RITASE!$L$5:$L$20000,INPUT_RITASE!$A$5:$A$20000,Kalkulasi!$B$987,INPUT_RITASE!$D$5:$D$20000,$A1042,INPUT_RITASE!$M$5:$M$20000,"MT")</f>
        <v/>
      </c>
      <c r="H1042">
        <f>IF(E1042=0,0,SUMPRODUCT(--(COUNTIFS(INPUT_RITASE!$A$5:$A$20000,Kalkulasi!$B$987,INPUT_RITASE!$D$5:$D$20000,$A1042,INPUT_RITASE!$B$5:$B$20000,MASTER_JAM!$Q$5:$Q$28)&gt;0)))</f>
        <v/>
      </c>
      <c r="I1042">
        <f>E1042+ROW()/1000000</f>
        <v/>
      </c>
    </row>
    <row r="1043">
      <c r="A1043" t="inlineStr">
        <is>
          <t>DH-102</t>
        </is>
      </c>
      <c r="B1043">
        <f>IFERROR(INDEX(MASTER_JAM!$B$5:$B$94,MATCH($A1043,MASTER_JAM!$A$5:$A$94,0)),"")</f>
        <v/>
      </c>
      <c r="C1043">
        <f>SUMIFS(INPUT_RITASE!$F$5:$F$20000,INPUT_RITASE!$A$5:$A$20000,Kalkulasi!$B$987,INPUT_RITASE!$H$5:$H$20000,"DS",INPUT_RITASE!$D$5:$D$20000,$A1043)</f>
        <v/>
      </c>
      <c r="D1043">
        <f>SUMIFS(INPUT_RITASE!$F$5:$F$20000,INPUT_RITASE!$A$5:$A$20000,Kalkulasi!$B$987,INPUT_RITASE!$H$5:$H$20000,"NS",INPUT_RITASE!$D$5:$D$20000,$A1043)</f>
        <v/>
      </c>
      <c r="E1043">
        <f>C1043+D1043</f>
        <v/>
      </c>
      <c r="F1043">
        <f>SUMIFS(INPUT_RITASE!$L$5:$L$20000,INPUT_RITASE!$A$5:$A$20000,Kalkulasi!$B$987,INPUT_RITASE!$D$5:$D$20000,$A1043,INPUT_RITASE!$M$5:$M$20000,"BCM")</f>
        <v/>
      </c>
      <c r="G1043">
        <f>SUMIFS(INPUT_RITASE!$L$5:$L$20000,INPUT_RITASE!$A$5:$A$20000,Kalkulasi!$B$987,INPUT_RITASE!$D$5:$D$20000,$A1043,INPUT_RITASE!$M$5:$M$20000,"MT")</f>
        <v/>
      </c>
      <c r="H1043">
        <f>IF(E1043=0,0,SUMPRODUCT(--(COUNTIFS(INPUT_RITASE!$A$5:$A$20000,Kalkulasi!$B$987,INPUT_RITASE!$D$5:$D$20000,$A1043,INPUT_RITASE!$B$5:$B$20000,MASTER_JAM!$Q$5:$Q$28)&gt;0)))</f>
        <v/>
      </c>
      <c r="I1043">
        <f>E1043+ROW()/1000000</f>
        <v/>
      </c>
    </row>
    <row r="1044">
      <c r="A1044" t="inlineStr">
        <is>
          <t>DH-103</t>
        </is>
      </c>
      <c r="B1044">
        <f>IFERROR(INDEX(MASTER_JAM!$B$5:$B$94,MATCH($A1044,MASTER_JAM!$A$5:$A$94,0)),"")</f>
        <v/>
      </c>
      <c r="C1044">
        <f>SUMIFS(INPUT_RITASE!$F$5:$F$20000,INPUT_RITASE!$A$5:$A$20000,Kalkulasi!$B$987,INPUT_RITASE!$H$5:$H$20000,"DS",INPUT_RITASE!$D$5:$D$20000,$A1044)</f>
        <v/>
      </c>
      <c r="D1044">
        <f>SUMIFS(INPUT_RITASE!$F$5:$F$20000,INPUT_RITASE!$A$5:$A$20000,Kalkulasi!$B$987,INPUT_RITASE!$H$5:$H$20000,"NS",INPUT_RITASE!$D$5:$D$20000,$A1044)</f>
        <v/>
      </c>
      <c r="E1044">
        <f>C1044+D1044</f>
        <v/>
      </c>
      <c r="F1044">
        <f>SUMIFS(INPUT_RITASE!$L$5:$L$20000,INPUT_RITASE!$A$5:$A$20000,Kalkulasi!$B$987,INPUT_RITASE!$D$5:$D$20000,$A1044,INPUT_RITASE!$M$5:$M$20000,"BCM")</f>
        <v/>
      </c>
      <c r="G1044">
        <f>SUMIFS(INPUT_RITASE!$L$5:$L$20000,INPUT_RITASE!$A$5:$A$20000,Kalkulasi!$B$987,INPUT_RITASE!$D$5:$D$20000,$A1044,INPUT_RITASE!$M$5:$M$20000,"MT")</f>
        <v/>
      </c>
      <c r="H1044">
        <f>IF(E1044=0,0,SUMPRODUCT(--(COUNTIFS(INPUT_RITASE!$A$5:$A$20000,Kalkulasi!$B$987,INPUT_RITASE!$D$5:$D$20000,$A1044,INPUT_RITASE!$B$5:$B$20000,MASTER_JAM!$Q$5:$Q$28)&gt;0)))</f>
        <v/>
      </c>
      <c r="I1044">
        <f>E1044+ROW()/1000000</f>
        <v/>
      </c>
    </row>
    <row r="1045">
      <c r="A1045" t="inlineStr">
        <is>
          <t>DT-501</t>
        </is>
      </c>
      <c r="B1045">
        <f>IFERROR(INDEX(MASTER_JAM!$B$5:$B$94,MATCH($A1045,MASTER_JAM!$A$5:$A$94,0)),"")</f>
        <v/>
      </c>
      <c r="C1045">
        <f>SUMIFS(INPUT_RITASE!$F$5:$F$20000,INPUT_RITASE!$A$5:$A$20000,Kalkulasi!$B$987,INPUT_RITASE!$H$5:$H$20000,"DS",INPUT_RITASE!$D$5:$D$20000,$A1045)</f>
        <v/>
      </c>
      <c r="D1045">
        <f>SUMIFS(INPUT_RITASE!$F$5:$F$20000,INPUT_RITASE!$A$5:$A$20000,Kalkulasi!$B$987,INPUT_RITASE!$H$5:$H$20000,"NS",INPUT_RITASE!$D$5:$D$20000,$A1045)</f>
        <v/>
      </c>
      <c r="E1045">
        <f>C1045+D1045</f>
        <v/>
      </c>
      <c r="F1045">
        <f>SUMIFS(INPUT_RITASE!$L$5:$L$20000,INPUT_RITASE!$A$5:$A$20000,Kalkulasi!$B$987,INPUT_RITASE!$D$5:$D$20000,$A1045,INPUT_RITASE!$M$5:$M$20000,"BCM")</f>
        <v/>
      </c>
      <c r="G1045">
        <f>SUMIFS(INPUT_RITASE!$L$5:$L$20000,INPUT_RITASE!$A$5:$A$20000,Kalkulasi!$B$987,INPUT_RITASE!$D$5:$D$20000,$A1045,INPUT_RITASE!$M$5:$M$20000,"MT")</f>
        <v/>
      </c>
      <c r="H1045">
        <f>IF(E1045=0,0,SUMPRODUCT(--(COUNTIFS(INPUT_RITASE!$A$5:$A$20000,Kalkulasi!$B$987,INPUT_RITASE!$D$5:$D$20000,$A1045,INPUT_RITASE!$B$5:$B$20000,MASTER_JAM!$Q$5:$Q$28)&gt;0)))</f>
        <v/>
      </c>
      <c r="I1045">
        <f>E1045+ROW()/1000000</f>
        <v/>
      </c>
    </row>
    <row r="1046">
      <c r="A1046" t="inlineStr">
        <is>
          <t>DT-502</t>
        </is>
      </c>
      <c r="B1046">
        <f>IFERROR(INDEX(MASTER_JAM!$B$5:$B$94,MATCH($A1046,MASTER_JAM!$A$5:$A$94,0)),"")</f>
        <v/>
      </c>
      <c r="C1046">
        <f>SUMIFS(INPUT_RITASE!$F$5:$F$20000,INPUT_RITASE!$A$5:$A$20000,Kalkulasi!$B$987,INPUT_RITASE!$H$5:$H$20000,"DS",INPUT_RITASE!$D$5:$D$20000,$A1046)</f>
        <v/>
      </c>
      <c r="D1046">
        <f>SUMIFS(INPUT_RITASE!$F$5:$F$20000,INPUT_RITASE!$A$5:$A$20000,Kalkulasi!$B$987,INPUT_RITASE!$H$5:$H$20000,"NS",INPUT_RITASE!$D$5:$D$20000,$A1046)</f>
        <v/>
      </c>
      <c r="E1046">
        <f>C1046+D1046</f>
        <v/>
      </c>
      <c r="F1046">
        <f>SUMIFS(INPUT_RITASE!$L$5:$L$20000,INPUT_RITASE!$A$5:$A$20000,Kalkulasi!$B$987,INPUT_RITASE!$D$5:$D$20000,$A1046,INPUT_RITASE!$M$5:$M$20000,"BCM")</f>
        <v/>
      </c>
      <c r="G1046">
        <f>SUMIFS(INPUT_RITASE!$L$5:$L$20000,INPUT_RITASE!$A$5:$A$20000,Kalkulasi!$B$987,INPUT_RITASE!$D$5:$D$20000,$A1046,INPUT_RITASE!$M$5:$M$20000,"MT")</f>
        <v/>
      </c>
      <c r="H1046">
        <f>IF(E1046=0,0,SUMPRODUCT(--(COUNTIFS(INPUT_RITASE!$A$5:$A$20000,Kalkulasi!$B$987,INPUT_RITASE!$D$5:$D$20000,$A1046,INPUT_RITASE!$B$5:$B$20000,MASTER_JAM!$Q$5:$Q$28)&gt;0)))</f>
        <v/>
      </c>
      <c r="I1046">
        <f>E1046+ROW()/1000000</f>
        <v/>
      </c>
    </row>
    <row r="1047">
      <c r="A1047" t="inlineStr">
        <is>
          <t>DT-503</t>
        </is>
      </c>
      <c r="B1047">
        <f>IFERROR(INDEX(MASTER_JAM!$B$5:$B$94,MATCH($A1047,MASTER_JAM!$A$5:$A$94,0)),"")</f>
        <v/>
      </c>
      <c r="C1047">
        <f>SUMIFS(INPUT_RITASE!$F$5:$F$20000,INPUT_RITASE!$A$5:$A$20000,Kalkulasi!$B$987,INPUT_RITASE!$H$5:$H$20000,"DS",INPUT_RITASE!$D$5:$D$20000,$A1047)</f>
        <v/>
      </c>
      <c r="D1047">
        <f>SUMIFS(INPUT_RITASE!$F$5:$F$20000,INPUT_RITASE!$A$5:$A$20000,Kalkulasi!$B$987,INPUT_RITASE!$H$5:$H$20000,"NS",INPUT_RITASE!$D$5:$D$20000,$A1047)</f>
        <v/>
      </c>
      <c r="E1047">
        <f>C1047+D1047</f>
        <v/>
      </c>
      <c r="F1047">
        <f>SUMIFS(INPUT_RITASE!$L$5:$L$20000,INPUT_RITASE!$A$5:$A$20000,Kalkulasi!$B$987,INPUT_RITASE!$D$5:$D$20000,$A1047,INPUT_RITASE!$M$5:$M$20000,"BCM")</f>
        <v/>
      </c>
      <c r="G1047">
        <f>SUMIFS(INPUT_RITASE!$L$5:$L$20000,INPUT_RITASE!$A$5:$A$20000,Kalkulasi!$B$987,INPUT_RITASE!$D$5:$D$20000,$A1047,INPUT_RITASE!$M$5:$M$20000,"MT")</f>
        <v/>
      </c>
      <c r="H1047">
        <f>IF(E1047=0,0,SUMPRODUCT(--(COUNTIFS(INPUT_RITASE!$A$5:$A$20000,Kalkulasi!$B$987,INPUT_RITASE!$D$5:$D$20000,$A1047,INPUT_RITASE!$B$5:$B$20000,MASTER_JAM!$Q$5:$Q$28)&gt;0)))</f>
        <v/>
      </c>
      <c r="I1047">
        <f>E1047+ROW()/1000000</f>
        <v/>
      </c>
    </row>
    <row r="1048">
      <c r="A1048" t="inlineStr">
        <is>
          <t>DT-504</t>
        </is>
      </c>
      <c r="B1048">
        <f>IFERROR(INDEX(MASTER_JAM!$B$5:$B$94,MATCH($A1048,MASTER_JAM!$A$5:$A$94,0)),"")</f>
        <v/>
      </c>
      <c r="C1048">
        <f>SUMIFS(INPUT_RITASE!$F$5:$F$20000,INPUT_RITASE!$A$5:$A$20000,Kalkulasi!$B$987,INPUT_RITASE!$H$5:$H$20000,"DS",INPUT_RITASE!$D$5:$D$20000,$A1048)</f>
        <v/>
      </c>
      <c r="D1048">
        <f>SUMIFS(INPUT_RITASE!$F$5:$F$20000,INPUT_RITASE!$A$5:$A$20000,Kalkulasi!$B$987,INPUT_RITASE!$H$5:$H$20000,"NS",INPUT_RITASE!$D$5:$D$20000,$A1048)</f>
        <v/>
      </c>
      <c r="E1048">
        <f>C1048+D1048</f>
        <v/>
      </c>
      <c r="F1048">
        <f>SUMIFS(INPUT_RITASE!$L$5:$L$20000,INPUT_RITASE!$A$5:$A$20000,Kalkulasi!$B$987,INPUT_RITASE!$D$5:$D$20000,$A1048,INPUT_RITASE!$M$5:$M$20000,"BCM")</f>
        <v/>
      </c>
      <c r="G1048">
        <f>SUMIFS(INPUT_RITASE!$L$5:$L$20000,INPUT_RITASE!$A$5:$A$20000,Kalkulasi!$B$987,INPUT_RITASE!$D$5:$D$20000,$A1048,INPUT_RITASE!$M$5:$M$20000,"MT")</f>
        <v/>
      </c>
      <c r="H1048">
        <f>IF(E1048=0,0,SUMPRODUCT(--(COUNTIFS(INPUT_RITASE!$A$5:$A$20000,Kalkulasi!$B$987,INPUT_RITASE!$D$5:$D$20000,$A1048,INPUT_RITASE!$B$5:$B$20000,MASTER_JAM!$Q$5:$Q$28)&gt;0)))</f>
        <v/>
      </c>
      <c r="I1048">
        <f>E1048+ROW()/1000000</f>
        <v/>
      </c>
    </row>
    <row r="1049">
      <c r="A1049" t="inlineStr">
        <is>
          <t>DT-505</t>
        </is>
      </c>
      <c r="B1049">
        <f>IFERROR(INDEX(MASTER_JAM!$B$5:$B$94,MATCH($A1049,MASTER_JAM!$A$5:$A$94,0)),"")</f>
        <v/>
      </c>
      <c r="C1049">
        <f>SUMIFS(INPUT_RITASE!$F$5:$F$20000,INPUT_RITASE!$A$5:$A$20000,Kalkulasi!$B$987,INPUT_RITASE!$H$5:$H$20000,"DS",INPUT_RITASE!$D$5:$D$20000,$A1049)</f>
        <v/>
      </c>
      <c r="D1049">
        <f>SUMIFS(INPUT_RITASE!$F$5:$F$20000,INPUT_RITASE!$A$5:$A$20000,Kalkulasi!$B$987,INPUT_RITASE!$H$5:$H$20000,"NS",INPUT_RITASE!$D$5:$D$20000,$A1049)</f>
        <v/>
      </c>
      <c r="E1049">
        <f>C1049+D1049</f>
        <v/>
      </c>
      <c r="F1049">
        <f>SUMIFS(INPUT_RITASE!$L$5:$L$20000,INPUT_RITASE!$A$5:$A$20000,Kalkulasi!$B$987,INPUT_RITASE!$D$5:$D$20000,$A1049,INPUT_RITASE!$M$5:$M$20000,"BCM")</f>
        <v/>
      </c>
      <c r="G1049">
        <f>SUMIFS(INPUT_RITASE!$L$5:$L$20000,INPUT_RITASE!$A$5:$A$20000,Kalkulasi!$B$987,INPUT_RITASE!$D$5:$D$20000,$A1049,INPUT_RITASE!$M$5:$M$20000,"MT")</f>
        <v/>
      </c>
      <c r="H1049">
        <f>IF(E1049=0,0,SUMPRODUCT(--(COUNTIFS(INPUT_RITASE!$A$5:$A$20000,Kalkulasi!$B$987,INPUT_RITASE!$D$5:$D$20000,$A1049,INPUT_RITASE!$B$5:$B$20000,MASTER_JAM!$Q$5:$Q$28)&gt;0)))</f>
        <v/>
      </c>
      <c r="I1049">
        <f>E1049+ROW()/1000000</f>
        <v/>
      </c>
    </row>
    <row r="1050">
      <c r="A1050" t="inlineStr">
        <is>
          <t>DT-506</t>
        </is>
      </c>
      <c r="B1050">
        <f>IFERROR(INDEX(MASTER_JAM!$B$5:$B$94,MATCH($A1050,MASTER_JAM!$A$5:$A$94,0)),"")</f>
        <v/>
      </c>
      <c r="C1050">
        <f>SUMIFS(INPUT_RITASE!$F$5:$F$20000,INPUT_RITASE!$A$5:$A$20000,Kalkulasi!$B$987,INPUT_RITASE!$H$5:$H$20000,"DS",INPUT_RITASE!$D$5:$D$20000,$A1050)</f>
        <v/>
      </c>
      <c r="D1050">
        <f>SUMIFS(INPUT_RITASE!$F$5:$F$20000,INPUT_RITASE!$A$5:$A$20000,Kalkulasi!$B$987,INPUT_RITASE!$H$5:$H$20000,"NS",INPUT_RITASE!$D$5:$D$20000,$A1050)</f>
        <v/>
      </c>
      <c r="E1050">
        <f>C1050+D1050</f>
        <v/>
      </c>
      <c r="F1050">
        <f>SUMIFS(INPUT_RITASE!$L$5:$L$20000,INPUT_RITASE!$A$5:$A$20000,Kalkulasi!$B$987,INPUT_RITASE!$D$5:$D$20000,$A1050,INPUT_RITASE!$M$5:$M$20000,"BCM")</f>
        <v/>
      </c>
      <c r="G1050">
        <f>SUMIFS(INPUT_RITASE!$L$5:$L$20000,INPUT_RITASE!$A$5:$A$20000,Kalkulasi!$B$987,INPUT_RITASE!$D$5:$D$20000,$A1050,INPUT_RITASE!$M$5:$M$20000,"MT")</f>
        <v/>
      </c>
      <c r="H1050">
        <f>IF(E1050=0,0,SUMPRODUCT(--(COUNTIFS(INPUT_RITASE!$A$5:$A$20000,Kalkulasi!$B$987,INPUT_RITASE!$D$5:$D$20000,$A1050,INPUT_RITASE!$B$5:$B$20000,MASTER_JAM!$Q$5:$Q$28)&gt;0)))</f>
        <v/>
      </c>
      <c r="I1050">
        <f>E1050+ROW()/1000000</f>
        <v/>
      </c>
    </row>
    <row r="1051">
      <c r="A1051" t="inlineStr">
        <is>
          <t>DT-507</t>
        </is>
      </c>
      <c r="B1051">
        <f>IFERROR(INDEX(MASTER_JAM!$B$5:$B$94,MATCH($A1051,MASTER_JAM!$A$5:$A$94,0)),"")</f>
        <v/>
      </c>
      <c r="C1051">
        <f>SUMIFS(INPUT_RITASE!$F$5:$F$20000,INPUT_RITASE!$A$5:$A$20000,Kalkulasi!$B$987,INPUT_RITASE!$H$5:$H$20000,"DS",INPUT_RITASE!$D$5:$D$20000,$A1051)</f>
        <v/>
      </c>
      <c r="D1051">
        <f>SUMIFS(INPUT_RITASE!$F$5:$F$20000,INPUT_RITASE!$A$5:$A$20000,Kalkulasi!$B$987,INPUT_RITASE!$H$5:$H$20000,"NS",INPUT_RITASE!$D$5:$D$20000,$A1051)</f>
        <v/>
      </c>
      <c r="E1051">
        <f>C1051+D1051</f>
        <v/>
      </c>
      <c r="F1051">
        <f>SUMIFS(INPUT_RITASE!$L$5:$L$20000,INPUT_RITASE!$A$5:$A$20000,Kalkulasi!$B$987,INPUT_RITASE!$D$5:$D$20000,$A1051,INPUT_RITASE!$M$5:$M$20000,"BCM")</f>
        <v/>
      </c>
      <c r="G1051">
        <f>SUMIFS(INPUT_RITASE!$L$5:$L$20000,INPUT_RITASE!$A$5:$A$20000,Kalkulasi!$B$987,INPUT_RITASE!$D$5:$D$20000,$A1051,INPUT_RITASE!$M$5:$M$20000,"MT")</f>
        <v/>
      </c>
      <c r="H1051">
        <f>IF(E1051=0,0,SUMPRODUCT(--(COUNTIFS(INPUT_RITASE!$A$5:$A$20000,Kalkulasi!$B$987,INPUT_RITASE!$D$5:$D$20000,$A1051,INPUT_RITASE!$B$5:$B$20000,MASTER_JAM!$Q$5:$Q$28)&gt;0)))</f>
        <v/>
      </c>
      <c r="I1051">
        <f>E1051+ROW()/1000000</f>
        <v/>
      </c>
    </row>
    <row r="1052">
      <c r="A1052" t="inlineStr">
        <is>
          <t>DT-508</t>
        </is>
      </c>
      <c r="B1052">
        <f>IFERROR(INDEX(MASTER_JAM!$B$5:$B$94,MATCH($A1052,MASTER_JAM!$A$5:$A$94,0)),"")</f>
        <v/>
      </c>
      <c r="C1052">
        <f>SUMIFS(INPUT_RITASE!$F$5:$F$20000,INPUT_RITASE!$A$5:$A$20000,Kalkulasi!$B$987,INPUT_RITASE!$H$5:$H$20000,"DS",INPUT_RITASE!$D$5:$D$20000,$A1052)</f>
        <v/>
      </c>
      <c r="D1052">
        <f>SUMIFS(INPUT_RITASE!$F$5:$F$20000,INPUT_RITASE!$A$5:$A$20000,Kalkulasi!$B$987,INPUT_RITASE!$H$5:$H$20000,"NS",INPUT_RITASE!$D$5:$D$20000,$A1052)</f>
        <v/>
      </c>
      <c r="E1052">
        <f>C1052+D1052</f>
        <v/>
      </c>
      <c r="F1052">
        <f>SUMIFS(INPUT_RITASE!$L$5:$L$20000,INPUT_RITASE!$A$5:$A$20000,Kalkulasi!$B$987,INPUT_RITASE!$D$5:$D$20000,$A1052,INPUT_RITASE!$M$5:$M$20000,"BCM")</f>
        <v/>
      </c>
      <c r="G1052">
        <f>SUMIFS(INPUT_RITASE!$L$5:$L$20000,INPUT_RITASE!$A$5:$A$20000,Kalkulasi!$B$987,INPUT_RITASE!$D$5:$D$20000,$A1052,INPUT_RITASE!$M$5:$M$20000,"MT")</f>
        <v/>
      </c>
      <c r="H1052">
        <f>IF(E1052=0,0,SUMPRODUCT(--(COUNTIFS(INPUT_RITASE!$A$5:$A$20000,Kalkulasi!$B$987,INPUT_RITASE!$D$5:$D$20000,$A1052,INPUT_RITASE!$B$5:$B$20000,MASTER_JAM!$Q$5:$Q$28)&gt;0)))</f>
        <v/>
      </c>
      <c r="I1052">
        <f>E1052+ROW()/1000000</f>
        <v/>
      </c>
    </row>
    <row r="1053">
      <c r="A1053" t="inlineStr">
        <is>
          <t>DT-509</t>
        </is>
      </c>
      <c r="B1053">
        <f>IFERROR(INDEX(MASTER_JAM!$B$5:$B$94,MATCH($A1053,MASTER_JAM!$A$5:$A$94,0)),"")</f>
        <v/>
      </c>
      <c r="C1053">
        <f>SUMIFS(INPUT_RITASE!$F$5:$F$20000,INPUT_RITASE!$A$5:$A$20000,Kalkulasi!$B$987,INPUT_RITASE!$H$5:$H$20000,"DS",INPUT_RITASE!$D$5:$D$20000,$A1053)</f>
        <v/>
      </c>
      <c r="D1053">
        <f>SUMIFS(INPUT_RITASE!$F$5:$F$20000,INPUT_RITASE!$A$5:$A$20000,Kalkulasi!$B$987,INPUT_RITASE!$H$5:$H$20000,"NS",INPUT_RITASE!$D$5:$D$20000,$A1053)</f>
        <v/>
      </c>
      <c r="E1053">
        <f>C1053+D1053</f>
        <v/>
      </c>
      <c r="F1053">
        <f>SUMIFS(INPUT_RITASE!$L$5:$L$20000,INPUT_RITASE!$A$5:$A$20000,Kalkulasi!$B$987,INPUT_RITASE!$D$5:$D$20000,$A1053,INPUT_RITASE!$M$5:$M$20000,"BCM")</f>
        <v/>
      </c>
      <c r="G1053">
        <f>SUMIFS(INPUT_RITASE!$L$5:$L$20000,INPUT_RITASE!$A$5:$A$20000,Kalkulasi!$B$987,INPUT_RITASE!$D$5:$D$20000,$A1053,INPUT_RITASE!$M$5:$M$20000,"MT")</f>
        <v/>
      </c>
      <c r="H1053">
        <f>IF(E1053=0,0,SUMPRODUCT(--(COUNTIFS(INPUT_RITASE!$A$5:$A$20000,Kalkulasi!$B$987,INPUT_RITASE!$D$5:$D$20000,$A1053,INPUT_RITASE!$B$5:$B$20000,MASTER_JAM!$Q$5:$Q$28)&gt;0)))</f>
        <v/>
      </c>
      <c r="I1053">
        <f>E1053+ROW()/1000000</f>
        <v/>
      </c>
    </row>
    <row r="1054">
      <c r="A1054" t="inlineStr">
        <is>
          <t>DT-510</t>
        </is>
      </c>
      <c r="B1054">
        <f>IFERROR(INDEX(MASTER_JAM!$B$5:$B$94,MATCH($A1054,MASTER_JAM!$A$5:$A$94,0)),"")</f>
        <v/>
      </c>
      <c r="C1054">
        <f>SUMIFS(INPUT_RITASE!$F$5:$F$20000,INPUT_RITASE!$A$5:$A$20000,Kalkulasi!$B$987,INPUT_RITASE!$H$5:$H$20000,"DS",INPUT_RITASE!$D$5:$D$20000,$A1054)</f>
        <v/>
      </c>
      <c r="D1054">
        <f>SUMIFS(INPUT_RITASE!$F$5:$F$20000,INPUT_RITASE!$A$5:$A$20000,Kalkulasi!$B$987,INPUT_RITASE!$H$5:$H$20000,"NS",INPUT_RITASE!$D$5:$D$20000,$A1054)</f>
        <v/>
      </c>
      <c r="E1054">
        <f>C1054+D1054</f>
        <v/>
      </c>
      <c r="F1054">
        <f>SUMIFS(INPUT_RITASE!$L$5:$L$20000,INPUT_RITASE!$A$5:$A$20000,Kalkulasi!$B$987,INPUT_RITASE!$D$5:$D$20000,$A1054,INPUT_RITASE!$M$5:$M$20000,"BCM")</f>
        <v/>
      </c>
      <c r="G1054">
        <f>SUMIFS(INPUT_RITASE!$L$5:$L$20000,INPUT_RITASE!$A$5:$A$20000,Kalkulasi!$B$987,INPUT_RITASE!$D$5:$D$20000,$A1054,INPUT_RITASE!$M$5:$M$20000,"MT")</f>
        <v/>
      </c>
      <c r="H1054">
        <f>IF(E1054=0,0,SUMPRODUCT(--(COUNTIFS(INPUT_RITASE!$A$5:$A$20000,Kalkulasi!$B$987,INPUT_RITASE!$D$5:$D$20000,$A1054,INPUT_RITASE!$B$5:$B$20000,MASTER_JAM!$Q$5:$Q$28)&gt;0)))</f>
        <v/>
      </c>
      <c r="I1054">
        <f>E1054+ROW()/1000000</f>
        <v/>
      </c>
    </row>
    <row r="1055">
      <c r="A1055" t="inlineStr">
        <is>
          <t>DT-511</t>
        </is>
      </c>
      <c r="B1055">
        <f>IFERROR(INDEX(MASTER_JAM!$B$5:$B$94,MATCH($A1055,MASTER_JAM!$A$5:$A$94,0)),"")</f>
        <v/>
      </c>
      <c r="C1055">
        <f>SUMIFS(INPUT_RITASE!$F$5:$F$20000,INPUT_RITASE!$A$5:$A$20000,Kalkulasi!$B$987,INPUT_RITASE!$H$5:$H$20000,"DS",INPUT_RITASE!$D$5:$D$20000,$A1055)</f>
        <v/>
      </c>
      <c r="D1055">
        <f>SUMIFS(INPUT_RITASE!$F$5:$F$20000,INPUT_RITASE!$A$5:$A$20000,Kalkulasi!$B$987,INPUT_RITASE!$H$5:$H$20000,"NS",INPUT_RITASE!$D$5:$D$20000,$A1055)</f>
        <v/>
      </c>
      <c r="E1055">
        <f>C1055+D1055</f>
        <v/>
      </c>
      <c r="F1055">
        <f>SUMIFS(INPUT_RITASE!$L$5:$L$20000,INPUT_RITASE!$A$5:$A$20000,Kalkulasi!$B$987,INPUT_RITASE!$D$5:$D$20000,$A1055,INPUT_RITASE!$M$5:$M$20000,"BCM")</f>
        <v/>
      </c>
      <c r="G1055">
        <f>SUMIFS(INPUT_RITASE!$L$5:$L$20000,INPUT_RITASE!$A$5:$A$20000,Kalkulasi!$B$987,INPUT_RITASE!$D$5:$D$20000,$A1055,INPUT_RITASE!$M$5:$M$20000,"MT")</f>
        <v/>
      </c>
      <c r="H1055">
        <f>IF(E1055=0,0,SUMPRODUCT(--(COUNTIFS(INPUT_RITASE!$A$5:$A$20000,Kalkulasi!$B$987,INPUT_RITASE!$D$5:$D$20000,$A1055,INPUT_RITASE!$B$5:$B$20000,MASTER_JAM!$Q$5:$Q$28)&gt;0)))</f>
        <v/>
      </c>
      <c r="I1055">
        <f>E1055+ROW()/1000000</f>
        <v/>
      </c>
    </row>
    <row r="1056">
      <c r="A1056" t="inlineStr">
        <is>
          <t>DT-512</t>
        </is>
      </c>
      <c r="B1056">
        <f>IFERROR(INDEX(MASTER_JAM!$B$5:$B$94,MATCH($A1056,MASTER_JAM!$A$5:$A$94,0)),"")</f>
        <v/>
      </c>
      <c r="C1056">
        <f>SUMIFS(INPUT_RITASE!$F$5:$F$20000,INPUT_RITASE!$A$5:$A$20000,Kalkulasi!$B$987,INPUT_RITASE!$H$5:$H$20000,"DS",INPUT_RITASE!$D$5:$D$20000,$A1056)</f>
        <v/>
      </c>
      <c r="D1056">
        <f>SUMIFS(INPUT_RITASE!$F$5:$F$20000,INPUT_RITASE!$A$5:$A$20000,Kalkulasi!$B$987,INPUT_RITASE!$H$5:$H$20000,"NS",INPUT_RITASE!$D$5:$D$20000,$A1056)</f>
        <v/>
      </c>
      <c r="E1056">
        <f>C1056+D1056</f>
        <v/>
      </c>
      <c r="F1056">
        <f>SUMIFS(INPUT_RITASE!$L$5:$L$20000,INPUT_RITASE!$A$5:$A$20000,Kalkulasi!$B$987,INPUT_RITASE!$D$5:$D$20000,$A1056,INPUT_RITASE!$M$5:$M$20000,"BCM")</f>
        <v/>
      </c>
      <c r="G1056">
        <f>SUMIFS(INPUT_RITASE!$L$5:$L$20000,INPUT_RITASE!$A$5:$A$20000,Kalkulasi!$B$987,INPUT_RITASE!$D$5:$D$20000,$A1056,INPUT_RITASE!$M$5:$M$20000,"MT")</f>
        <v/>
      </c>
      <c r="H1056">
        <f>IF(E1056=0,0,SUMPRODUCT(--(COUNTIFS(INPUT_RITASE!$A$5:$A$20000,Kalkulasi!$B$987,INPUT_RITASE!$D$5:$D$20000,$A1056,INPUT_RITASE!$B$5:$B$20000,MASTER_JAM!$Q$5:$Q$28)&gt;0)))</f>
        <v/>
      </c>
      <c r="I1056">
        <f>E1056+ROW()/1000000</f>
        <v/>
      </c>
    </row>
    <row r="1057">
      <c r="A1057" t="inlineStr">
        <is>
          <t>DT-513</t>
        </is>
      </c>
      <c r="B1057">
        <f>IFERROR(INDEX(MASTER_JAM!$B$5:$B$94,MATCH($A1057,MASTER_JAM!$A$5:$A$94,0)),"")</f>
        <v/>
      </c>
      <c r="C1057">
        <f>SUMIFS(INPUT_RITASE!$F$5:$F$20000,INPUT_RITASE!$A$5:$A$20000,Kalkulasi!$B$987,INPUT_RITASE!$H$5:$H$20000,"DS",INPUT_RITASE!$D$5:$D$20000,$A1057)</f>
        <v/>
      </c>
      <c r="D1057">
        <f>SUMIFS(INPUT_RITASE!$F$5:$F$20000,INPUT_RITASE!$A$5:$A$20000,Kalkulasi!$B$987,INPUT_RITASE!$H$5:$H$20000,"NS",INPUT_RITASE!$D$5:$D$20000,$A1057)</f>
        <v/>
      </c>
      <c r="E1057">
        <f>C1057+D1057</f>
        <v/>
      </c>
      <c r="F1057">
        <f>SUMIFS(INPUT_RITASE!$L$5:$L$20000,INPUT_RITASE!$A$5:$A$20000,Kalkulasi!$B$987,INPUT_RITASE!$D$5:$D$20000,$A1057,INPUT_RITASE!$M$5:$M$20000,"BCM")</f>
        <v/>
      </c>
      <c r="G1057">
        <f>SUMIFS(INPUT_RITASE!$L$5:$L$20000,INPUT_RITASE!$A$5:$A$20000,Kalkulasi!$B$987,INPUT_RITASE!$D$5:$D$20000,$A1057,INPUT_RITASE!$M$5:$M$20000,"MT")</f>
        <v/>
      </c>
      <c r="H1057">
        <f>IF(E1057=0,0,SUMPRODUCT(--(COUNTIFS(INPUT_RITASE!$A$5:$A$20000,Kalkulasi!$B$987,INPUT_RITASE!$D$5:$D$20000,$A1057,INPUT_RITASE!$B$5:$B$20000,MASTER_JAM!$Q$5:$Q$28)&gt;0)))</f>
        <v/>
      </c>
      <c r="I1057">
        <f>E1057+ROW()/1000000</f>
        <v/>
      </c>
    </row>
    <row r="1058">
      <c r="A1058" t="inlineStr">
        <is>
          <t>DT-514</t>
        </is>
      </c>
      <c r="B1058">
        <f>IFERROR(INDEX(MASTER_JAM!$B$5:$B$94,MATCH($A1058,MASTER_JAM!$A$5:$A$94,0)),"")</f>
        <v/>
      </c>
      <c r="C1058">
        <f>SUMIFS(INPUT_RITASE!$F$5:$F$20000,INPUT_RITASE!$A$5:$A$20000,Kalkulasi!$B$987,INPUT_RITASE!$H$5:$H$20000,"DS",INPUT_RITASE!$D$5:$D$20000,$A1058)</f>
        <v/>
      </c>
      <c r="D1058">
        <f>SUMIFS(INPUT_RITASE!$F$5:$F$20000,INPUT_RITASE!$A$5:$A$20000,Kalkulasi!$B$987,INPUT_RITASE!$H$5:$H$20000,"NS",INPUT_RITASE!$D$5:$D$20000,$A1058)</f>
        <v/>
      </c>
      <c r="E1058">
        <f>C1058+D1058</f>
        <v/>
      </c>
      <c r="F1058">
        <f>SUMIFS(INPUT_RITASE!$L$5:$L$20000,INPUT_RITASE!$A$5:$A$20000,Kalkulasi!$B$987,INPUT_RITASE!$D$5:$D$20000,$A1058,INPUT_RITASE!$M$5:$M$20000,"BCM")</f>
        <v/>
      </c>
      <c r="G1058">
        <f>SUMIFS(INPUT_RITASE!$L$5:$L$20000,INPUT_RITASE!$A$5:$A$20000,Kalkulasi!$B$987,INPUT_RITASE!$D$5:$D$20000,$A1058,INPUT_RITASE!$M$5:$M$20000,"MT")</f>
        <v/>
      </c>
      <c r="H1058">
        <f>IF(E1058=0,0,SUMPRODUCT(--(COUNTIFS(INPUT_RITASE!$A$5:$A$20000,Kalkulasi!$B$987,INPUT_RITASE!$D$5:$D$20000,$A1058,INPUT_RITASE!$B$5:$B$20000,MASTER_JAM!$Q$5:$Q$28)&gt;0)))</f>
        <v/>
      </c>
      <c r="I1058">
        <f>E1058+ROW()/1000000</f>
        <v/>
      </c>
    </row>
    <row r="1059">
      <c r="A1059" t="inlineStr">
        <is>
          <t>DT-515</t>
        </is>
      </c>
      <c r="B1059">
        <f>IFERROR(INDEX(MASTER_JAM!$B$5:$B$94,MATCH($A1059,MASTER_JAM!$A$5:$A$94,0)),"")</f>
        <v/>
      </c>
      <c r="C1059">
        <f>SUMIFS(INPUT_RITASE!$F$5:$F$20000,INPUT_RITASE!$A$5:$A$20000,Kalkulasi!$B$987,INPUT_RITASE!$H$5:$H$20000,"DS",INPUT_RITASE!$D$5:$D$20000,$A1059)</f>
        <v/>
      </c>
      <c r="D1059">
        <f>SUMIFS(INPUT_RITASE!$F$5:$F$20000,INPUT_RITASE!$A$5:$A$20000,Kalkulasi!$B$987,INPUT_RITASE!$H$5:$H$20000,"NS",INPUT_RITASE!$D$5:$D$20000,$A1059)</f>
        <v/>
      </c>
      <c r="E1059">
        <f>C1059+D1059</f>
        <v/>
      </c>
      <c r="F1059">
        <f>SUMIFS(INPUT_RITASE!$L$5:$L$20000,INPUT_RITASE!$A$5:$A$20000,Kalkulasi!$B$987,INPUT_RITASE!$D$5:$D$20000,$A1059,INPUT_RITASE!$M$5:$M$20000,"BCM")</f>
        <v/>
      </c>
      <c r="G1059">
        <f>SUMIFS(INPUT_RITASE!$L$5:$L$20000,INPUT_RITASE!$A$5:$A$20000,Kalkulasi!$B$987,INPUT_RITASE!$D$5:$D$20000,$A1059,INPUT_RITASE!$M$5:$M$20000,"MT")</f>
        <v/>
      </c>
      <c r="H1059">
        <f>IF(E1059=0,0,SUMPRODUCT(--(COUNTIFS(INPUT_RITASE!$A$5:$A$20000,Kalkulasi!$B$987,INPUT_RITASE!$D$5:$D$20000,$A1059,INPUT_RITASE!$B$5:$B$20000,MASTER_JAM!$Q$5:$Q$28)&gt;0)))</f>
        <v/>
      </c>
      <c r="I1059">
        <f>E1059+ROW()/1000000</f>
        <v/>
      </c>
    </row>
    <row r="1060">
      <c r="A1060" t="inlineStr">
        <is>
          <t>DT-516</t>
        </is>
      </c>
      <c r="B1060">
        <f>IFERROR(INDEX(MASTER_JAM!$B$5:$B$94,MATCH($A1060,MASTER_JAM!$A$5:$A$94,0)),"")</f>
        <v/>
      </c>
      <c r="C1060">
        <f>SUMIFS(INPUT_RITASE!$F$5:$F$20000,INPUT_RITASE!$A$5:$A$20000,Kalkulasi!$B$987,INPUT_RITASE!$H$5:$H$20000,"DS",INPUT_RITASE!$D$5:$D$20000,$A1060)</f>
        <v/>
      </c>
      <c r="D1060">
        <f>SUMIFS(INPUT_RITASE!$F$5:$F$20000,INPUT_RITASE!$A$5:$A$20000,Kalkulasi!$B$987,INPUT_RITASE!$H$5:$H$20000,"NS",INPUT_RITASE!$D$5:$D$20000,$A1060)</f>
        <v/>
      </c>
      <c r="E1060">
        <f>C1060+D1060</f>
        <v/>
      </c>
      <c r="F1060">
        <f>SUMIFS(INPUT_RITASE!$L$5:$L$20000,INPUT_RITASE!$A$5:$A$20000,Kalkulasi!$B$987,INPUT_RITASE!$D$5:$D$20000,$A1060,INPUT_RITASE!$M$5:$M$20000,"BCM")</f>
        <v/>
      </c>
      <c r="G1060">
        <f>SUMIFS(INPUT_RITASE!$L$5:$L$20000,INPUT_RITASE!$A$5:$A$20000,Kalkulasi!$B$987,INPUT_RITASE!$D$5:$D$20000,$A1060,INPUT_RITASE!$M$5:$M$20000,"MT")</f>
        <v/>
      </c>
      <c r="H1060">
        <f>IF(E1060=0,0,SUMPRODUCT(--(COUNTIFS(INPUT_RITASE!$A$5:$A$20000,Kalkulasi!$B$987,INPUT_RITASE!$D$5:$D$20000,$A1060,INPUT_RITASE!$B$5:$B$20000,MASTER_JAM!$Q$5:$Q$28)&gt;0)))</f>
        <v/>
      </c>
      <c r="I1060">
        <f>E1060+ROW()/1000000</f>
        <v/>
      </c>
    </row>
    <row r="1061">
      <c r="A1061" t="inlineStr">
        <is>
          <t>DT-517</t>
        </is>
      </c>
      <c r="B1061">
        <f>IFERROR(INDEX(MASTER_JAM!$B$5:$B$94,MATCH($A1061,MASTER_JAM!$A$5:$A$94,0)),"")</f>
        <v/>
      </c>
      <c r="C1061">
        <f>SUMIFS(INPUT_RITASE!$F$5:$F$20000,INPUT_RITASE!$A$5:$A$20000,Kalkulasi!$B$987,INPUT_RITASE!$H$5:$H$20000,"DS",INPUT_RITASE!$D$5:$D$20000,$A1061)</f>
        <v/>
      </c>
      <c r="D1061">
        <f>SUMIFS(INPUT_RITASE!$F$5:$F$20000,INPUT_RITASE!$A$5:$A$20000,Kalkulasi!$B$987,INPUT_RITASE!$H$5:$H$20000,"NS",INPUT_RITASE!$D$5:$D$20000,$A1061)</f>
        <v/>
      </c>
      <c r="E1061">
        <f>C1061+D1061</f>
        <v/>
      </c>
      <c r="F1061">
        <f>SUMIFS(INPUT_RITASE!$L$5:$L$20000,INPUT_RITASE!$A$5:$A$20000,Kalkulasi!$B$987,INPUT_RITASE!$D$5:$D$20000,$A1061,INPUT_RITASE!$M$5:$M$20000,"BCM")</f>
        <v/>
      </c>
      <c r="G1061">
        <f>SUMIFS(INPUT_RITASE!$L$5:$L$20000,INPUT_RITASE!$A$5:$A$20000,Kalkulasi!$B$987,INPUT_RITASE!$D$5:$D$20000,$A1061,INPUT_RITASE!$M$5:$M$20000,"MT")</f>
        <v/>
      </c>
      <c r="H1061">
        <f>IF(E1061=0,0,SUMPRODUCT(--(COUNTIFS(INPUT_RITASE!$A$5:$A$20000,Kalkulasi!$B$987,INPUT_RITASE!$D$5:$D$20000,$A1061,INPUT_RITASE!$B$5:$B$20000,MASTER_JAM!$Q$5:$Q$28)&gt;0)))</f>
        <v/>
      </c>
      <c r="I1061">
        <f>E1061+ROW()/1000000</f>
        <v/>
      </c>
    </row>
    <row r="1062">
      <c r="A1062" t="inlineStr">
        <is>
          <t>DT-518</t>
        </is>
      </c>
      <c r="B1062">
        <f>IFERROR(INDEX(MASTER_JAM!$B$5:$B$94,MATCH($A1062,MASTER_JAM!$A$5:$A$94,0)),"")</f>
        <v/>
      </c>
      <c r="C1062">
        <f>SUMIFS(INPUT_RITASE!$F$5:$F$20000,INPUT_RITASE!$A$5:$A$20000,Kalkulasi!$B$987,INPUT_RITASE!$H$5:$H$20000,"DS",INPUT_RITASE!$D$5:$D$20000,$A1062)</f>
        <v/>
      </c>
      <c r="D1062">
        <f>SUMIFS(INPUT_RITASE!$F$5:$F$20000,INPUT_RITASE!$A$5:$A$20000,Kalkulasi!$B$987,INPUT_RITASE!$H$5:$H$20000,"NS",INPUT_RITASE!$D$5:$D$20000,$A1062)</f>
        <v/>
      </c>
      <c r="E1062">
        <f>C1062+D1062</f>
        <v/>
      </c>
      <c r="F1062">
        <f>SUMIFS(INPUT_RITASE!$L$5:$L$20000,INPUT_RITASE!$A$5:$A$20000,Kalkulasi!$B$987,INPUT_RITASE!$D$5:$D$20000,$A1062,INPUT_RITASE!$M$5:$M$20000,"BCM")</f>
        <v/>
      </c>
      <c r="G1062">
        <f>SUMIFS(INPUT_RITASE!$L$5:$L$20000,INPUT_RITASE!$A$5:$A$20000,Kalkulasi!$B$987,INPUT_RITASE!$D$5:$D$20000,$A1062,INPUT_RITASE!$M$5:$M$20000,"MT")</f>
        <v/>
      </c>
      <c r="H1062">
        <f>IF(E1062=0,0,SUMPRODUCT(--(COUNTIFS(INPUT_RITASE!$A$5:$A$20000,Kalkulasi!$B$987,INPUT_RITASE!$D$5:$D$20000,$A1062,INPUT_RITASE!$B$5:$B$20000,MASTER_JAM!$Q$5:$Q$28)&gt;0)))</f>
        <v/>
      </c>
      <c r="I1062">
        <f>E1062+ROW()/1000000</f>
        <v/>
      </c>
    </row>
    <row r="1063">
      <c r="A1063" t="inlineStr">
        <is>
          <t>DT-519</t>
        </is>
      </c>
      <c r="B1063">
        <f>IFERROR(INDEX(MASTER_JAM!$B$5:$B$94,MATCH($A1063,MASTER_JAM!$A$5:$A$94,0)),"")</f>
        <v/>
      </c>
      <c r="C1063">
        <f>SUMIFS(INPUT_RITASE!$F$5:$F$20000,INPUT_RITASE!$A$5:$A$20000,Kalkulasi!$B$987,INPUT_RITASE!$H$5:$H$20000,"DS",INPUT_RITASE!$D$5:$D$20000,$A1063)</f>
        <v/>
      </c>
      <c r="D1063">
        <f>SUMIFS(INPUT_RITASE!$F$5:$F$20000,INPUT_RITASE!$A$5:$A$20000,Kalkulasi!$B$987,INPUT_RITASE!$H$5:$H$20000,"NS",INPUT_RITASE!$D$5:$D$20000,$A1063)</f>
        <v/>
      </c>
      <c r="E1063">
        <f>C1063+D1063</f>
        <v/>
      </c>
      <c r="F1063">
        <f>SUMIFS(INPUT_RITASE!$L$5:$L$20000,INPUT_RITASE!$A$5:$A$20000,Kalkulasi!$B$987,INPUT_RITASE!$D$5:$D$20000,$A1063,INPUT_RITASE!$M$5:$M$20000,"BCM")</f>
        <v/>
      </c>
      <c r="G1063">
        <f>SUMIFS(INPUT_RITASE!$L$5:$L$20000,INPUT_RITASE!$A$5:$A$20000,Kalkulasi!$B$987,INPUT_RITASE!$D$5:$D$20000,$A1063,INPUT_RITASE!$M$5:$M$20000,"MT")</f>
        <v/>
      </c>
      <c r="H1063">
        <f>IF(E1063=0,0,SUMPRODUCT(--(COUNTIFS(INPUT_RITASE!$A$5:$A$20000,Kalkulasi!$B$987,INPUT_RITASE!$D$5:$D$20000,$A1063,INPUT_RITASE!$B$5:$B$20000,MASTER_JAM!$Q$5:$Q$28)&gt;0)))</f>
        <v/>
      </c>
      <c r="I1063">
        <f>E1063+ROW()/1000000</f>
        <v/>
      </c>
    </row>
    <row r="1064">
      <c r="A1064" t="inlineStr">
        <is>
          <t>DT-520</t>
        </is>
      </c>
      <c r="B1064">
        <f>IFERROR(INDEX(MASTER_JAM!$B$5:$B$94,MATCH($A1064,MASTER_JAM!$A$5:$A$94,0)),"")</f>
        <v/>
      </c>
      <c r="C1064">
        <f>SUMIFS(INPUT_RITASE!$F$5:$F$20000,INPUT_RITASE!$A$5:$A$20000,Kalkulasi!$B$987,INPUT_RITASE!$H$5:$H$20000,"DS",INPUT_RITASE!$D$5:$D$20000,$A1064)</f>
        <v/>
      </c>
      <c r="D1064">
        <f>SUMIFS(INPUT_RITASE!$F$5:$F$20000,INPUT_RITASE!$A$5:$A$20000,Kalkulasi!$B$987,INPUT_RITASE!$H$5:$H$20000,"NS",INPUT_RITASE!$D$5:$D$20000,$A1064)</f>
        <v/>
      </c>
      <c r="E1064">
        <f>C1064+D1064</f>
        <v/>
      </c>
      <c r="F1064">
        <f>SUMIFS(INPUT_RITASE!$L$5:$L$20000,INPUT_RITASE!$A$5:$A$20000,Kalkulasi!$B$987,INPUT_RITASE!$D$5:$D$20000,$A1064,INPUT_RITASE!$M$5:$M$20000,"BCM")</f>
        <v/>
      </c>
      <c r="G1064">
        <f>SUMIFS(INPUT_RITASE!$L$5:$L$20000,INPUT_RITASE!$A$5:$A$20000,Kalkulasi!$B$987,INPUT_RITASE!$D$5:$D$20000,$A1064,INPUT_RITASE!$M$5:$M$20000,"MT")</f>
        <v/>
      </c>
      <c r="H1064">
        <f>IF(E1064=0,0,SUMPRODUCT(--(COUNTIFS(INPUT_RITASE!$A$5:$A$20000,Kalkulasi!$B$987,INPUT_RITASE!$D$5:$D$20000,$A1064,INPUT_RITASE!$B$5:$B$20000,MASTER_JAM!$Q$5:$Q$28)&gt;0)))</f>
        <v/>
      </c>
      <c r="I1064">
        <f>E1064+ROW()/1000000</f>
        <v/>
      </c>
    </row>
    <row r="1065">
      <c r="A1065" t="inlineStr">
        <is>
          <t>DT-521</t>
        </is>
      </c>
      <c r="B1065">
        <f>IFERROR(INDEX(MASTER_JAM!$B$5:$B$94,MATCH($A1065,MASTER_JAM!$A$5:$A$94,0)),"")</f>
        <v/>
      </c>
      <c r="C1065">
        <f>SUMIFS(INPUT_RITASE!$F$5:$F$20000,INPUT_RITASE!$A$5:$A$20000,Kalkulasi!$B$987,INPUT_RITASE!$H$5:$H$20000,"DS",INPUT_RITASE!$D$5:$D$20000,$A1065)</f>
        <v/>
      </c>
      <c r="D1065">
        <f>SUMIFS(INPUT_RITASE!$F$5:$F$20000,INPUT_RITASE!$A$5:$A$20000,Kalkulasi!$B$987,INPUT_RITASE!$H$5:$H$20000,"NS",INPUT_RITASE!$D$5:$D$20000,$A1065)</f>
        <v/>
      </c>
      <c r="E1065">
        <f>C1065+D1065</f>
        <v/>
      </c>
      <c r="F1065">
        <f>SUMIFS(INPUT_RITASE!$L$5:$L$20000,INPUT_RITASE!$A$5:$A$20000,Kalkulasi!$B$987,INPUT_RITASE!$D$5:$D$20000,$A1065,INPUT_RITASE!$M$5:$M$20000,"BCM")</f>
        <v/>
      </c>
      <c r="G1065">
        <f>SUMIFS(INPUT_RITASE!$L$5:$L$20000,INPUT_RITASE!$A$5:$A$20000,Kalkulasi!$B$987,INPUT_RITASE!$D$5:$D$20000,$A1065,INPUT_RITASE!$M$5:$M$20000,"MT")</f>
        <v/>
      </c>
      <c r="H1065">
        <f>IF(E1065=0,0,SUMPRODUCT(--(COUNTIFS(INPUT_RITASE!$A$5:$A$20000,Kalkulasi!$B$987,INPUT_RITASE!$D$5:$D$20000,$A1065,INPUT_RITASE!$B$5:$B$20000,MASTER_JAM!$Q$5:$Q$28)&gt;0)))</f>
        <v/>
      </c>
      <c r="I1065">
        <f>E1065+ROW()/1000000</f>
        <v/>
      </c>
    </row>
    <row r="1066">
      <c r="A1066" t="inlineStr">
        <is>
          <t>DT-522</t>
        </is>
      </c>
      <c r="B1066">
        <f>IFERROR(INDEX(MASTER_JAM!$B$5:$B$94,MATCH($A1066,MASTER_JAM!$A$5:$A$94,0)),"")</f>
        <v/>
      </c>
      <c r="C1066">
        <f>SUMIFS(INPUT_RITASE!$F$5:$F$20000,INPUT_RITASE!$A$5:$A$20000,Kalkulasi!$B$987,INPUT_RITASE!$H$5:$H$20000,"DS",INPUT_RITASE!$D$5:$D$20000,$A1066)</f>
        <v/>
      </c>
      <c r="D1066">
        <f>SUMIFS(INPUT_RITASE!$F$5:$F$20000,INPUT_RITASE!$A$5:$A$20000,Kalkulasi!$B$987,INPUT_RITASE!$H$5:$H$20000,"NS",INPUT_RITASE!$D$5:$D$20000,$A1066)</f>
        <v/>
      </c>
      <c r="E1066">
        <f>C1066+D1066</f>
        <v/>
      </c>
      <c r="F1066">
        <f>SUMIFS(INPUT_RITASE!$L$5:$L$20000,INPUT_RITASE!$A$5:$A$20000,Kalkulasi!$B$987,INPUT_RITASE!$D$5:$D$20000,$A1066,INPUT_RITASE!$M$5:$M$20000,"BCM")</f>
        <v/>
      </c>
      <c r="G1066">
        <f>SUMIFS(INPUT_RITASE!$L$5:$L$20000,INPUT_RITASE!$A$5:$A$20000,Kalkulasi!$B$987,INPUT_RITASE!$D$5:$D$20000,$A1066,INPUT_RITASE!$M$5:$M$20000,"MT")</f>
        <v/>
      </c>
      <c r="H1066">
        <f>IF(E1066=0,0,SUMPRODUCT(--(COUNTIFS(INPUT_RITASE!$A$5:$A$20000,Kalkulasi!$B$987,INPUT_RITASE!$D$5:$D$20000,$A1066,INPUT_RITASE!$B$5:$B$20000,MASTER_JAM!$Q$5:$Q$28)&gt;0)))</f>
        <v/>
      </c>
      <c r="I1066">
        <f>E1066+ROW()/1000000</f>
        <v/>
      </c>
    </row>
    <row r="1067">
      <c r="A1067" t="inlineStr">
        <is>
          <t>DT-523</t>
        </is>
      </c>
      <c r="B1067">
        <f>IFERROR(INDEX(MASTER_JAM!$B$5:$B$94,MATCH($A1067,MASTER_JAM!$A$5:$A$94,0)),"")</f>
        <v/>
      </c>
      <c r="C1067">
        <f>SUMIFS(INPUT_RITASE!$F$5:$F$20000,INPUT_RITASE!$A$5:$A$20000,Kalkulasi!$B$987,INPUT_RITASE!$H$5:$H$20000,"DS",INPUT_RITASE!$D$5:$D$20000,$A1067)</f>
        <v/>
      </c>
      <c r="D1067">
        <f>SUMIFS(INPUT_RITASE!$F$5:$F$20000,INPUT_RITASE!$A$5:$A$20000,Kalkulasi!$B$987,INPUT_RITASE!$H$5:$H$20000,"NS",INPUT_RITASE!$D$5:$D$20000,$A1067)</f>
        <v/>
      </c>
      <c r="E1067">
        <f>C1067+D1067</f>
        <v/>
      </c>
      <c r="F1067">
        <f>SUMIFS(INPUT_RITASE!$L$5:$L$20000,INPUT_RITASE!$A$5:$A$20000,Kalkulasi!$B$987,INPUT_RITASE!$D$5:$D$20000,$A1067,INPUT_RITASE!$M$5:$M$20000,"BCM")</f>
        <v/>
      </c>
      <c r="G1067">
        <f>SUMIFS(INPUT_RITASE!$L$5:$L$20000,INPUT_RITASE!$A$5:$A$20000,Kalkulasi!$B$987,INPUT_RITASE!$D$5:$D$20000,$A1067,INPUT_RITASE!$M$5:$M$20000,"MT")</f>
        <v/>
      </c>
      <c r="H1067">
        <f>IF(E1067=0,0,SUMPRODUCT(--(COUNTIFS(INPUT_RITASE!$A$5:$A$20000,Kalkulasi!$B$987,INPUT_RITASE!$D$5:$D$20000,$A1067,INPUT_RITASE!$B$5:$B$20000,MASTER_JAM!$Q$5:$Q$28)&gt;0)))</f>
        <v/>
      </c>
      <c r="I1067">
        <f>E1067+ROW()/1000000</f>
        <v/>
      </c>
    </row>
    <row r="1068">
      <c r="A1068" t="inlineStr">
        <is>
          <t>DT-524</t>
        </is>
      </c>
      <c r="B1068">
        <f>IFERROR(INDEX(MASTER_JAM!$B$5:$B$94,MATCH($A1068,MASTER_JAM!$A$5:$A$94,0)),"")</f>
        <v/>
      </c>
      <c r="C1068">
        <f>SUMIFS(INPUT_RITASE!$F$5:$F$20000,INPUT_RITASE!$A$5:$A$20000,Kalkulasi!$B$987,INPUT_RITASE!$H$5:$H$20000,"DS",INPUT_RITASE!$D$5:$D$20000,$A1068)</f>
        <v/>
      </c>
      <c r="D1068">
        <f>SUMIFS(INPUT_RITASE!$F$5:$F$20000,INPUT_RITASE!$A$5:$A$20000,Kalkulasi!$B$987,INPUT_RITASE!$H$5:$H$20000,"NS",INPUT_RITASE!$D$5:$D$20000,$A1068)</f>
        <v/>
      </c>
      <c r="E1068">
        <f>C1068+D1068</f>
        <v/>
      </c>
      <c r="F1068">
        <f>SUMIFS(INPUT_RITASE!$L$5:$L$20000,INPUT_RITASE!$A$5:$A$20000,Kalkulasi!$B$987,INPUT_RITASE!$D$5:$D$20000,$A1068,INPUT_RITASE!$M$5:$M$20000,"BCM")</f>
        <v/>
      </c>
      <c r="G1068">
        <f>SUMIFS(INPUT_RITASE!$L$5:$L$20000,INPUT_RITASE!$A$5:$A$20000,Kalkulasi!$B$987,INPUT_RITASE!$D$5:$D$20000,$A1068,INPUT_RITASE!$M$5:$M$20000,"MT")</f>
        <v/>
      </c>
      <c r="H1068">
        <f>IF(E1068=0,0,SUMPRODUCT(--(COUNTIFS(INPUT_RITASE!$A$5:$A$20000,Kalkulasi!$B$987,INPUT_RITASE!$D$5:$D$20000,$A1068,INPUT_RITASE!$B$5:$B$20000,MASTER_JAM!$Q$5:$Q$28)&gt;0)))</f>
        <v/>
      </c>
      <c r="I1068">
        <f>E1068+ROW()/1000000</f>
        <v/>
      </c>
    </row>
    <row r="1069">
      <c r="A1069" t="inlineStr">
        <is>
          <t>DT-525</t>
        </is>
      </c>
      <c r="B1069">
        <f>IFERROR(INDEX(MASTER_JAM!$B$5:$B$94,MATCH($A1069,MASTER_JAM!$A$5:$A$94,0)),"")</f>
        <v/>
      </c>
      <c r="C1069">
        <f>SUMIFS(INPUT_RITASE!$F$5:$F$20000,INPUT_RITASE!$A$5:$A$20000,Kalkulasi!$B$987,INPUT_RITASE!$H$5:$H$20000,"DS",INPUT_RITASE!$D$5:$D$20000,$A1069)</f>
        <v/>
      </c>
      <c r="D1069">
        <f>SUMIFS(INPUT_RITASE!$F$5:$F$20000,INPUT_RITASE!$A$5:$A$20000,Kalkulasi!$B$987,INPUT_RITASE!$H$5:$H$20000,"NS",INPUT_RITASE!$D$5:$D$20000,$A1069)</f>
        <v/>
      </c>
      <c r="E1069">
        <f>C1069+D1069</f>
        <v/>
      </c>
      <c r="F1069">
        <f>SUMIFS(INPUT_RITASE!$L$5:$L$20000,INPUT_RITASE!$A$5:$A$20000,Kalkulasi!$B$987,INPUT_RITASE!$D$5:$D$20000,$A1069,INPUT_RITASE!$M$5:$M$20000,"BCM")</f>
        <v/>
      </c>
      <c r="G1069">
        <f>SUMIFS(INPUT_RITASE!$L$5:$L$20000,INPUT_RITASE!$A$5:$A$20000,Kalkulasi!$B$987,INPUT_RITASE!$D$5:$D$20000,$A1069,INPUT_RITASE!$M$5:$M$20000,"MT")</f>
        <v/>
      </c>
      <c r="H1069">
        <f>IF(E1069=0,0,SUMPRODUCT(--(COUNTIFS(INPUT_RITASE!$A$5:$A$20000,Kalkulasi!$B$987,INPUT_RITASE!$D$5:$D$20000,$A1069,INPUT_RITASE!$B$5:$B$20000,MASTER_JAM!$Q$5:$Q$28)&gt;0)))</f>
        <v/>
      </c>
      <c r="I1069">
        <f>E1069+ROW()/1000000</f>
        <v/>
      </c>
    </row>
    <row r="1070">
      <c r="A1070" t="inlineStr">
        <is>
          <t>DT-526</t>
        </is>
      </c>
      <c r="B1070">
        <f>IFERROR(INDEX(MASTER_JAM!$B$5:$B$94,MATCH($A1070,MASTER_JAM!$A$5:$A$94,0)),"")</f>
        <v/>
      </c>
      <c r="C1070">
        <f>SUMIFS(INPUT_RITASE!$F$5:$F$20000,INPUT_RITASE!$A$5:$A$20000,Kalkulasi!$B$987,INPUT_RITASE!$H$5:$H$20000,"DS",INPUT_RITASE!$D$5:$D$20000,$A1070)</f>
        <v/>
      </c>
      <c r="D1070">
        <f>SUMIFS(INPUT_RITASE!$F$5:$F$20000,INPUT_RITASE!$A$5:$A$20000,Kalkulasi!$B$987,INPUT_RITASE!$H$5:$H$20000,"NS",INPUT_RITASE!$D$5:$D$20000,$A1070)</f>
        <v/>
      </c>
      <c r="E1070">
        <f>C1070+D1070</f>
        <v/>
      </c>
      <c r="F1070">
        <f>SUMIFS(INPUT_RITASE!$L$5:$L$20000,INPUT_RITASE!$A$5:$A$20000,Kalkulasi!$B$987,INPUT_RITASE!$D$5:$D$20000,$A1070,INPUT_RITASE!$M$5:$M$20000,"BCM")</f>
        <v/>
      </c>
      <c r="G1070">
        <f>SUMIFS(INPUT_RITASE!$L$5:$L$20000,INPUT_RITASE!$A$5:$A$20000,Kalkulasi!$B$987,INPUT_RITASE!$D$5:$D$20000,$A1070,INPUT_RITASE!$M$5:$M$20000,"MT")</f>
        <v/>
      </c>
      <c r="H1070">
        <f>IF(E1070=0,0,SUMPRODUCT(--(COUNTIFS(INPUT_RITASE!$A$5:$A$20000,Kalkulasi!$B$987,INPUT_RITASE!$D$5:$D$20000,$A1070,INPUT_RITASE!$B$5:$B$20000,MASTER_JAM!$Q$5:$Q$28)&gt;0)))</f>
        <v/>
      </c>
      <c r="I1070">
        <f>E1070+ROW()/1000000</f>
        <v/>
      </c>
    </row>
    <row r="1071">
      <c r="A1071" t="inlineStr">
        <is>
          <t>DT-527</t>
        </is>
      </c>
      <c r="B1071">
        <f>IFERROR(INDEX(MASTER_JAM!$B$5:$B$94,MATCH($A1071,MASTER_JAM!$A$5:$A$94,0)),"")</f>
        <v/>
      </c>
      <c r="C1071">
        <f>SUMIFS(INPUT_RITASE!$F$5:$F$20000,INPUT_RITASE!$A$5:$A$20000,Kalkulasi!$B$987,INPUT_RITASE!$H$5:$H$20000,"DS",INPUT_RITASE!$D$5:$D$20000,$A1071)</f>
        <v/>
      </c>
      <c r="D1071">
        <f>SUMIFS(INPUT_RITASE!$F$5:$F$20000,INPUT_RITASE!$A$5:$A$20000,Kalkulasi!$B$987,INPUT_RITASE!$H$5:$H$20000,"NS",INPUT_RITASE!$D$5:$D$20000,$A1071)</f>
        <v/>
      </c>
      <c r="E1071">
        <f>C1071+D1071</f>
        <v/>
      </c>
      <c r="F1071">
        <f>SUMIFS(INPUT_RITASE!$L$5:$L$20000,INPUT_RITASE!$A$5:$A$20000,Kalkulasi!$B$987,INPUT_RITASE!$D$5:$D$20000,$A1071,INPUT_RITASE!$M$5:$M$20000,"BCM")</f>
        <v/>
      </c>
      <c r="G1071">
        <f>SUMIFS(INPUT_RITASE!$L$5:$L$20000,INPUT_RITASE!$A$5:$A$20000,Kalkulasi!$B$987,INPUT_RITASE!$D$5:$D$20000,$A1071,INPUT_RITASE!$M$5:$M$20000,"MT")</f>
        <v/>
      </c>
      <c r="H1071">
        <f>IF(E1071=0,0,SUMPRODUCT(--(COUNTIFS(INPUT_RITASE!$A$5:$A$20000,Kalkulasi!$B$987,INPUT_RITASE!$D$5:$D$20000,$A1071,INPUT_RITASE!$B$5:$B$20000,MASTER_JAM!$Q$5:$Q$28)&gt;0)))</f>
        <v/>
      </c>
      <c r="I1071">
        <f>E1071+ROW()/1000000</f>
        <v/>
      </c>
    </row>
    <row r="1072">
      <c r="A1072" t="inlineStr">
        <is>
          <t>DT-528</t>
        </is>
      </c>
      <c r="B1072">
        <f>IFERROR(INDEX(MASTER_JAM!$B$5:$B$94,MATCH($A1072,MASTER_JAM!$A$5:$A$94,0)),"")</f>
        <v/>
      </c>
      <c r="C1072">
        <f>SUMIFS(INPUT_RITASE!$F$5:$F$20000,INPUT_RITASE!$A$5:$A$20000,Kalkulasi!$B$987,INPUT_RITASE!$H$5:$H$20000,"DS",INPUT_RITASE!$D$5:$D$20000,$A1072)</f>
        <v/>
      </c>
      <c r="D1072">
        <f>SUMIFS(INPUT_RITASE!$F$5:$F$20000,INPUT_RITASE!$A$5:$A$20000,Kalkulasi!$B$987,INPUT_RITASE!$H$5:$H$20000,"NS",INPUT_RITASE!$D$5:$D$20000,$A1072)</f>
        <v/>
      </c>
      <c r="E1072">
        <f>C1072+D1072</f>
        <v/>
      </c>
      <c r="F1072">
        <f>SUMIFS(INPUT_RITASE!$L$5:$L$20000,INPUT_RITASE!$A$5:$A$20000,Kalkulasi!$B$987,INPUT_RITASE!$D$5:$D$20000,$A1072,INPUT_RITASE!$M$5:$M$20000,"BCM")</f>
        <v/>
      </c>
      <c r="G1072">
        <f>SUMIFS(INPUT_RITASE!$L$5:$L$20000,INPUT_RITASE!$A$5:$A$20000,Kalkulasi!$B$987,INPUT_RITASE!$D$5:$D$20000,$A1072,INPUT_RITASE!$M$5:$M$20000,"MT")</f>
        <v/>
      </c>
      <c r="H1072">
        <f>IF(E1072=0,0,SUMPRODUCT(--(COUNTIFS(INPUT_RITASE!$A$5:$A$20000,Kalkulasi!$B$987,INPUT_RITASE!$D$5:$D$20000,$A1072,INPUT_RITASE!$B$5:$B$20000,MASTER_JAM!$Q$5:$Q$28)&gt;0)))</f>
        <v/>
      </c>
      <c r="I1072">
        <f>E1072+ROW()/1000000</f>
        <v/>
      </c>
    </row>
    <row r="1073">
      <c r="A1073" t="inlineStr">
        <is>
          <t>DT-529</t>
        </is>
      </c>
      <c r="B1073">
        <f>IFERROR(INDEX(MASTER_JAM!$B$5:$B$94,MATCH($A1073,MASTER_JAM!$A$5:$A$94,0)),"")</f>
        <v/>
      </c>
      <c r="C1073">
        <f>SUMIFS(INPUT_RITASE!$F$5:$F$20000,INPUT_RITASE!$A$5:$A$20000,Kalkulasi!$B$987,INPUT_RITASE!$H$5:$H$20000,"DS",INPUT_RITASE!$D$5:$D$20000,$A1073)</f>
        <v/>
      </c>
      <c r="D1073">
        <f>SUMIFS(INPUT_RITASE!$F$5:$F$20000,INPUT_RITASE!$A$5:$A$20000,Kalkulasi!$B$987,INPUT_RITASE!$H$5:$H$20000,"NS",INPUT_RITASE!$D$5:$D$20000,$A1073)</f>
        <v/>
      </c>
      <c r="E1073">
        <f>C1073+D1073</f>
        <v/>
      </c>
      <c r="F1073">
        <f>SUMIFS(INPUT_RITASE!$L$5:$L$20000,INPUT_RITASE!$A$5:$A$20000,Kalkulasi!$B$987,INPUT_RITASE!$D$5:$D$20000,$A1073,INPUT_RITASE!$M$5:$M$20000,"BCM")</f>
        <v/>
      </c>
      <c r="G1073">
        <f>SUMIFS(INPUT_RITASE!$L$5:$L$20000,INPUT_RITASE!$A$5:$A$20000,Kalkulasi!$B$987,INPUT_RITASE!$D$5:$D$20000,$A1073,INPUT_RITASE!$M$5:$M$20000,"MT")</f>
        <v/>
      </c>
      <c r="H1073">
        <f>IF(E1073=0,0,SUMPRODUCT(--(COUNTIFS(INPUT_RITASE!$A$5:$A$20000,Kalkulasi!$B$987,INPUT_RITASE!$D$5:$D$20000,$A1073,INPUT_RITASE!$B$5:$B$20000,MASTER_JAM!$Q$5:$Q$28)&gt;0)))</f>
        <v/>
      </c>
      <c r="I1073">
        <f>E1073+ROW()/1000000</f>
        <v/>
      </c>
    </row>
    <row r="1074">
      <c r="A1074" t="inlineStr">
        <is>
          <t>DT-530</t>
        </is>
      </c>
      <c r="B1074">
        <f>IFERROR(INDEX(MASTER_JAM!$B$5:$B$94,MATCH($A1074,MASTER_JAM!$A$5:$A$94,0)),"")</f>
        <v/>
      </c>
      <c r="C1074">
        <f>SUMIFS(INPUT_RITASE!$F$5:$F$20000,INPUT_RITASE!$A$5:$A$20000,Kalkulasi!$B$987,INPUT_RITASE!$H$5:$H$20000,"DS",INPUT_RITASE!$D$5:$D$20000,$A1074)</f>
        <v/>
      </c>
      <c r="D1074">
        <f>SUMIFS(INPUT_RITASE!$F$5:$F$20000,INPUT_RITASE!$A$5:$A$20000,Kalkulasi!$B$987,INPUT_RITASE!$H$5:$H$20000,"NS",INPUT_RITASE!$D$5:$D$20000,$A1074)</f>
        <v/>
      </c>
      <c r="E1074">
        <f>C1074+D1074</f>
        <v/>
      </c>
      <c r="F1074">
        <f>SUMIFS(INPUT_RITASE!$L$5:$L$20000,INPUT_RITASE!$A$5:$A$20000,Kalkulasi!$B$987,INPUT_RITASE!$D$5:$D$20000,$A1074,INPUT_RITASE!$M$5:$M$20000,"BCM")</f>
        <v/>
      </c>
      <c r="G1074">
        <f>SUMIFS(INPUT_RITASE!$L$5:$L$20000,INPUT_RITASE!$A$5:$A$20000,Kalkulasi!$B$987,INPUT_RITASE!$D$5:$D$20000,$A1074,INPUT_RITASE!$M$5:$M$20000,"MT")</f>
        <v/>
      </c>
      <c r="H1074">
        <f>IF(E1074=0,0,SUMPRODUCT(--(COUNTIFS(INPUT_RITASE!$A$5:$A$20000,Kalkulasi!$B$987,INPUT_RITASE!$D$5:$D$20000,$A1074,INPUT_RITASE!$B$5:$B$20000,MASTER_JAM!$Q$5:$Q$28)&gt;0)))</f>
        <v/>
      </c>
      <c r="I1074">
        <f>E1074+ROW()/1000000</f>
        <v/>
      </c>
    </row>
    <row r="1075">
      <c r="A1075" t="inlineStr">
        <is>
          <t>DT-801</t>
        </is>
      </c>
      <c r="B1075">
        <f>IFERROR(INDEX(MASTER_JAM!$B$5:$B$94,MATCH($A1075,MASTER_JAM!$A$5:$A$94,0)),"")</f>
        <v/>
      </c>
      <c r="C1075">
        <f>SUMIFS(INPUT_RITASE!$F$5:$F$20000,INPUT_RITASE!$A$5:$A$20000,Kalkulasi!$B$987,INPUT_RITASE!$H$5:$H$20000,"DS",INPUT_RITASE!$D$5:$D$20000,$A1075)</f>
        <v/>
      </c>
      <c r="D1075">
        <f>SUMIFS(INPUT_RITASE!$F$5:$F$20000,INPUT_RITASE!$A$5:$A$20000,Kalkulasi!$B$987,INPUT_RITASE!$H$5:$H$20000,"NS",INPUT_RITASE!$D$5:$D$20000,$A1075)</f>
        <v/>
      </c>
      <c r="E1075">
        <f>C1075+D1075</f>
        <v/>
      </c>
      <c r="F1075">
        <f>SUMIFS(INPUT_RITASE!$L$5:$L$20000,INPUT_RITASE!$A$5:$A$20000,Kalkulasi!$B$987,INPUT_RITASE!$D$5:$D$20000,$A1075,INPUT_RITASE!$M$5:$M$20000,"BCM")</f>
        <v/>
      </c>
      <c r="G1075">
        <f>SUMIFS(INPUT_RITASE!$L$5:$L$20000,INPUT_RITASE!$A$5:$A$20000,Kalkulasi!$B$987,INPUT_RITASE!$D$5:$D$20000,$A1075,INPUT_RITASE!$M$5:$M$20000,"MT")</f>
        <v/>
      </c>
      <c r="H1075">
        <f>IF(E1075=0,0,SUMPRODUCT(--(COUNTIFS(INPUT_RITASE!$A$5:$A$20000,Kalkulasi!$B$987,INPUT_RITASE!$D$5:$D$20000,$A1075,INPUT_RITASE!$B$5:$B$20000,MASTER_JAM!$Q$5:$Q$28)&gt;0)))</f>
        <v/>
      </c>
      <c r="I1075">
        <f>E1075+ROW()/1000000</f>
        <v/>
      </c>
    </row>
    <row r="1076">
      <c r="A1076" t="inlineStr">
        <is>
          <t>DT-802</t>
        </is>
      </c>
      <c r="B1076">
        <f>IFERROR(INDEX(MASTER_JAM!$B$5:$B$94,MATCH($A1076,MASTER_JAM!$A$5:$A$94,0)),"")</f>
        <v/>
      </c>
      <c r="C1076">
        <f>SUMIFS(INPUT_RITASE!$F$5:$F$20000,INPUT_RITASE!$A$5:$A$20000,Kalkulasi!$B$987,INPUT_RITASE!$H$5:$H$20000,"DS",INPUT_RITASE!$D$5:$D$20000,$A1076)</f>
        <v/>
      </c>
      <c r="D1076">
        <f>SUMIFS(INPUT_RITASE!$F$5:$F$20000,INPUT_RITASE!$A$5:$A$20000,Kalkulasi!$B$987,INPUT_RITASE!$H$5:$H$20000,"NS",INPUT_RITASE!$D$5:$D$20000,$A1076)</f>
        <v/>
      </c>
      <c r="E1076">
        <f>C1076+D1076</f>
        <v/>
      </c>
      <c r="F1076">
        <f>SUMIFS(INPUT_RITASE!$L$5:$L$20000,INPUT_RITASE!$A$5:$A$20000,Kalkulasi!$B$987,INPUT_RITASE!$D$5:$D$20000,$A1076,INPUT_RITASE!$M$5:$M$20000,"BCM")</f>
        <v/>
      </c>
      <c r="G1076">
        <f>SUMIFS(INPUT_RITASE!$L$5:$L$20000,INPUT_RITASE!$A$5:$A$20000,Kalkulasi!$B$987,INPUT_RITASE!$D$5:$D$20000,$A1076,INPUT_RITASE!$M$5:$M$20000,"MT")</f>
        <v/>
      </c>
      <c r="H1076">
        <f>IF(E1076=0,0,SUMPRODUCT(--(COUNTIFS(INPUT_RITASE!$A$5:$A$20000,Kalkulasi!$B$987,INPUT_RITASE!$D$5:$D$20000,$A1076,INPUT_RITASE!$B$5:$B$20000,MASTER_JAM!$Q$5:$Q$28)&gt;0)))</f>
        <v/>
      </c>
      <c r="I1076">
        <f>E1076+ROW()/1000000</f>
        <v/>
      </c>
    </row>
    <row r="1077">
      <c r="A1077" t="inlineStr">
        <is>
          <t>DT-803</t>
        </is>
      </c>
      <c r="B1077">
        <f>IFERROR(INDEX(MASTER_JAM!$B$5:$B$94,MATCH($A1077,MASTER_JAM!$A$5:$A$94,0)),"")</f>
        <v/>
      </c>
      <c r="C1077">
        <f>SUMIFS(INPUT_RITASE!$F$5:$F$20000,INPUT_RITASE!$A$5:$A$20000,Kalkulasi!$B$987,INPUT_RITASE!$H$5:$H$20000,"DS",INPUT_RITASE!$D$5:$D$20000,$A1077)</f>
        <v/>
      </c>
      <c r="D1077">
        <f>SUMIFS(INPUT_RITASE!$F$5:$F$20000,INPUT_RITASE!$A$5:$A$20000,Kalkulasi!$B$987,INPUT_RITASE!$H$5:$H$20000,"NS",INPUT_RITASE!$D$5:$D$20000,$A1077)</f>
        <v/>
      </c>
      <c r="E1077">
        <f>C1077+D1077</f>
        <v/>
      </c>
      <c r="F1077">
        <f>SUMIFS(INPUT_RITASE!$L$5:$L$20000,INPUT_RITASE!$A$5:$A$20000,Kalkulasi!$B$987,INPUT_RITASE!$D$5:$D$20000,$A1077,INPUT_RITASE!$M$5:$M$20000,"BCM")</f>
        <v/>
      </c>
      <c r="G1077">
        <f>SUMIFS(INPUT_RITASE!$L$5:$L$20000,INPUT_RITASE!$A$5:$A$20000,Kalkulasi!$B$987,INPUT_RITASE!$D$5:$D$20000,$A1077,INPUT_RITASE!$M$5:$M$20000,"MT")</f>
        <v/>
      </c>
      <c r="H1077">
        <f>IF(E1077=0,0,SUMPRODUCT(--(COUNTIFS(INPUT_RITASE!$A$5:$A$20000,Kalkulasi!$B$987,INPUT_RITASE!$D$5:$D$20000,$A1077,INPUT_RITASE!$B$5:$B$20000,MASTER_JAM!$Q$5:$Q$28)&gt;0)))</f>
        <v/>
      </c>
      <c r="I1077">
        <f>E1077+ROW()/1000000</f>
        <v/>
      </c>
    </row>
    <row r="1078">
      <c r="A1078" t="inlineStr">
        <is>
          <t>DT-804</t>
        </is>
      </c>
      <c r="B1078">
        <f>IFERROR(INDEX(MASTER_JAM!$B$5:$B$94,MATCH($A1078,MASTER_JAM!$A$5:$A$94,0)),"")</f>
        <v/>
      </c>
      <c r="C1078">
        <f>SUMIFS(INPUT_RITASE!$F$5:$F$20000,INPUT_RITASE!$A$5:$A$20000,Kalkulasi!$B$987,INPUT_RITASE!$H$5:$H$20000,"DS",INPUT_RITASE!$D$5:$D$20000,$A1078)</f>
        <v/>
      </c>
      <c r="D1078">
        <f>SUMIFS(INPUT_RITASE!$F$5:$F$20000,INPUT_RITASE!$A$5:$A$20000,Kalkulasi!$B$987,INPUT_RITASE!$H$5:$H$20000,"NS",INPUT_RITASE!$D$5:$D$20000,$A1078)</f>
        <v/>
      </c>
      <c r="E1078">
        <f>C1078+D1078</f>
        <v/>
      </c>
      <c r="F1078">
        <f>SUMIFS(INPUT_RITASE!$L$5:$L$20000,INPUT_RITASE!$A$5:$A$20000,Kalkulasi!$B$987,INPUT_RITASE!$D$5:$D$20000,$A1078,INPUT_RITASE!$M$5:$M$20000,"BCM")</f>
        <v/>
      </c>
      <c r="G1078">
        <f>SUMIFS(INPUT_RITASE!$L$5:$L$20000,INPUT_RITASE!$A$5:$A$20000,Kalkulasi!$B$987,INPUT_RITASE!$D$5:$D$20000,$A1078,INPUT_RITASE!$M$5:$M$20000,"MT")</f>
        <v/>
      </c>
      <c r="H1078">
        <f>IF(E1078=0,0,SUMPRODUCT(--(COUNTIFS(INPUT_RITASE!$A$5:$A$20000,Kalkulasi!$B$987,INPUT_RITASE!$D$5:$D$20000,$A1078,INPUT_RITASE!$B$5:$B$20000,MASTER_JAM!$Q$5:$Q$28)&gt;0)))</f>
        <v/>
      </c>
      <c r="I1078">
        <f>E1078+ROW()/1000000</f>
        <v/>
      </c>
    </row>
    <row r="1079">
      <c r="A1079" t="inlineStr">
        <is>
          <t>DT-805</t>
        </is>
      </c>
      <c r="B1079">
        <f>IFERROR(INDEX(MASTER_JAM!$B$5:$B$94,MATCH($A1079,MASTER_JAM!$A$5:$A$94,0)),"")</f>
        <v/>
      </c>
      <c r="C1079">
        <f>SUMIFS(INPUT_RITASE!$F$5:$F$20000,INPUT_RITASE!$A$5:$A$20000,Kalkulasi!$B$987,INPUT_RITASE!$H$5:$H$20000,"DS",INPUT_RITASE!$D$5:$D$20000,$A1079)</f>
        <v/>
      </c>
      <c r="D1079">
        <f>SUMIFS(INPUT_RITASE!$F$5:$F$20000,INPUT_RITASE!$A$5:$A$20000,Kalkulasi!$B$987,INPUT_RITASE!$H$5:$H$20000,"NS",INPUT_RITASE!$D$5:$D$20000,$A1079)</f>
        <v/>
      </c>
      <c r="E1079">
        <f>C1079+D1079</f>
        <v/>
      </c>
      <c r="F1079">
        <f>SUMIFS(INPUT_RITASE!$L$5:$L$20000,INPUT_RITASE!$A$5:$A$20000,Kalkulasi!$B$987,INPUT_RITASE!$D$5:$D$20000,$A1079,INPUT_RITASE!$M$5:$M$20000,"BCM")</f>
        <v/>
      </c>
      <c r="G1079">
        <f>SUMIFS(INPUT_RITASE!$L$5:$L$20000,INPUT_RITASE!$A$5:$A$20000,Kalkulasi!$B$987,INPUT_RITASE!$D$5:$D$20000,$A1079,INPUT_RITASE!$M$5:$M$20000,"MT")</f>
        <v/>
      </c>
      <c r="H1079">
        <f>IF(E1079=0,0,SUMPRODUCT(--(COUNTIFS(INPUT_RITASE!$A$5:$A$20000,Kalkulasi!$B$987,INPUT_RITASE!$D$5:$D$20000,$A1079,INPUT_RITASE!$B$5:$B$20000,MASTER_JAM!$Q$5:$Q$28)&gt;0)))</f>
        <v/>
      </c>
      <c r="I1079">
        <f>E1079+ROW()/1000000</f>
        <v/>
      </c>
    </row>
    <row r="1080">
      <c r="A1080" t="inlineStr">
        <is>
          <t>DT-806</t>
        </is>
      </c>
      <c r="B1080">
        <f>IFERROR(INDEX(MASTER_JAM!$B$5:$B$94,MATCH($A1080,MASTER_JAM!$A$5:$A$94,0)),"")</f>
        <v/>
      </c>
      <c r="C1080">
        <f>SUMIFS(INPUT_RITASE!$F$5:$F$20000,INPUT_RITASE!$A$5:$A$20000,Kalkulasi!$B$987,INPUT_RITASE!$H$5:$H$20000,"DS",INPUT_RITASE!$D$5:$D$20000,$A1080)</f>
        <v/>
      </c>
      <c r="D1080">
        <f>SUMIFS(INPUT_RITASE!$F$5:$F$20000,INPUT_RITASE!$A$5:$A$20000,Kalkulasi!$B$987,INPUT_RITASE!$H$5:$H$20000,"NS",INPUT_RITASE!$D$5:$D$20000,$A1080)</f>
        <v/>
      </c>
      <c r="E1080">
        <f>C1080+D1080</f>
        <v/>
      </c>
      <c r="F1080">
        <f>SUMIFS(INPUT_RITASE!$L$5:$L$20000,INPUT_RITASE!$A$5:$A$20000,Kalkulasi!$B$987,INPUT_RITASE!$D$5:$D$20000,$A1080,INPUT_RITASE!$M$5:$M$20000,"BCM")</f>
        <v/>
      </c>
      <c r="G1080">
        <f>SUMIFS(INPUT_RITASE!$L$5:$L$20000,INPUT_RITASE!$A$5:$A$20000,Kalkulasi!$B$987,INPUT_RITASE!$D$5:$D$20000,$A1080,INPUT_RITASE!$M$5:$M$20000,"MT")</f>
        <v/>
      </c>
      <c r="H1080">
        <f>IF(E1080=0,0,SUMPRODUCT(--(COUNTIFS(INPUT_RITASE!$A$5:$A$20000,Kalkulasi!$B$987,INPUT_RITASE!$D$5:$D$20000,$A1080,INPUT_RITASE!$B$5:$B$20000,MASTER_JAM!$Q$5:$Q$28)&gt;0)))</f>
        <v/>
      </c>
      <c r="I1080">
        <f>E1080+ROW()/1000000</f>
        <v/>
      </c>
    </row>
    <row r="1081">
      <c r="A1081" t="inlineStr">
        <is>
          <t>DT-807</t>
        </is>
      </c>
      <c r="B1081">
        <f>IFERROR(INDEX(MASTER_JAM!$B$5:$B$94,MATCH($A1081,MASTER_JAM!$A$5:$A$94,0)),"")</f>
        <v/>
      </c>
      <c r="C1081">
        <f>SUMIFS(INPUT_RITASE!$F$5:$F$20000,INPUT_RITASE!$A$5:$A$20000,Kalkulasi!$B$987,INPUT_RITASE!$H$5:$H$20000,"DS",INPUT_RITASE!$D$5:$D$20000,$A1081)</f>
        <v/>
      </c>
      <c r="D1081">
        <f>SUMIFS(INPUT_RITASE!$F$5:$F$20000,INPUT_RITASE!$A$5:$A$20000,Kalkulasi!$B$987,INPUT_RITASE!$H$5:$H$20000,"NS",INPUT_RITASE!$D$5:$D$20000,$A1081)</f>
        <v/>
      </c>
      <c r="E1081">
        <f>C1081+D1081</f>
        <v/>
      </c>
      <c r="F1081">
        <f>SUMIFS(INPUT_RITASE!$L$5:$L$20000,INPUT_RITASE!$A$5:$A$20000,Kalkulasi!$B$987,INPUT_RITASE!$D$5:$D$20000,$A1081,INPUT_RITASE!$M$5:$M$20000,"BCM")</f>
        <v/>
      </c>
      <c r="G1081">
        <f>SUMIFS(INPUT_RITASE!$L$5:$L$20000,INPUT_RITASE!$A$5:$A$20000,Kalkulasi!$B$987,INPUT_RITASE!$D$5:$D$20000,$A1081,INPUT_RITASE!$M$5:$M$20000,"MT")</f>
        <v/>
      </c>
      <c r="H1081">
        <f>IF(E1081=0,0,SUMPRODUCT(--(COUNTIFS(INPUT_RITASE!$A$5:$A$20000,Kalkulasi!$B$987,INPUT_RITASE!$D$5:$D$20000,$A1081,INPUT_RITASE!$B$5:$B$20000,MASTER_JAM!$Q$5:$Q$28)&gt;0)))</f>
        <v/>
      </c>
      <c r="I1081">
        <f>E1081+ROW()/1000000</f>
        <v/>
      </c>
    </row>
    <row r="1082">
      <c r="A1082" t="inlineStr">
        <is>
          <t>DT-808</t>
        </is>
      </c>
      <c r="B1082">
        <f>IFERROR(INDEX(MASTER_JAM!$B$5:$B$94,MATCH($A1082,MASTER_JAM!$A$5:$A$94,0)),"")</f>
        <v/>
      </c>
      <c r="C1082">
        <f>SUMIFS(INPUT_RITASE!$F$5:$F$20000,INPUT_RITASE!$A$5:$A$20000,Kalkulasi!$B$987,INPUT_RITASE!$H$5:$H$20000,"DS",INPUT_RITASE!$D$5:$D$20000,$A1082)</f>
        <v/>
      </c>
      <c r="D1082">
        <f>SUMIFS(INPUT_RITASE!$F$5:$F$20000,INPUT_RITASE!$A$5:$A$20000,Kalkulasi!$B$987,INPUT_RITASE!$H$5:$H$20000,"NS",INPUT_RITASE!$D$5:$D$20000,$A1082)</f>
        <v/>
      </c>
      <c r="E1082">
        <f>C1082+D1082</f>
        <v/>
      </c>
      <c r="F1082">
        <f>SUMIFS(INPUT_RITASE!$L$5:$L$20000,INPUT_RITASE!$A$5:$A$20000,Kalkulasi!$B$987,INPUT_RITASE!$D$5:$D$20000,$A1082,INPUT_RITASE!$M$5:$M$20000,"BCM")</f>
        <v/>
      </c>
      <c r="G1082">
        <f>SUMIFS(INPUT_RITASE!$L$5:$L$20000,INPUT_RITASE!$A$5:$A$20000,Kalkulasi!$B$987,INPUT_RITASE!$D$5:$D$20000,$A1082,INPUT_RITASE!$M$5:$M$20000,"MT")</f>
        <v/>
      </c>
      <c r="H1082">
        <f>IF(E1082=0,0,SUMPRODUCT(--(COUNTIFS(INPUT_RITASE!$A$5:$A$20000,Kalkulasi!$B$987,INPUT_RITASE!$D$5:$D$20000,$A1082,INPUT_RITASE!$B$5:$B$20000,MASTER_JAM!$Q$5:$Q$28)&gt;0)))</f>
        <v/>
      </c>
      <c r="I1082">
        <f>E1082+ROW()/1000000</f>
        <v/>
      </c>
    </row>
    <row r="1083">
      <c r="A1083" t="inlineStr">
        <is>
          <t>DT-809</t>
        </is>
      </c>
      <c r="B1083">
        <f>IFERROR(INDEX(MASTER_JAM!$B$5:$B$94,MATCH($A1083,MASTER_JAM!$A$5:$A$94,0)),"")</f>
        <v/>
      </c>
      <c r="C1083">
        <f>SUMIFS(INPUT_RITASE!$F$5:$F$20000,INPUT_RITASE!$A$5:$A$20000,Kalkulasi!$B$987,INPUT_RITASE!$H$5:$H$20000,"DS",INPUT_RITASE!$D$5:$D$20000,$A1083)</f>
        <v/>
      </c>
      <c r="D1083">
        <f>SUMIFS(INPUT_RITASE!$F$5:$F$20000,INPUT_RITASE!$A$5:$A$20000,Kalkulasi!$B$987,INPUT_RITASE!$H$5:$H$20000,"NS",INPUT_RITASE!$D$5:$D$20000,$A1083)</f>
        <v/>
      </c>
      <c r="E1083">
        <f>C1083+D1083</f>
        <v/>
      </c>
      <c r="F1083">
        <f>SUMIFS(INPUT_RITASE!$L$5:$L$20000,INPUT_RITASE!$A$5:$A$20000,Kalkulasi!$B$987,INPUT_RITASE!$D$5:$D$20000,$A1083,INPUT_RITASE!$M$5:$M$20000,"BCM")</f>
        <v/>
      </c>
      <c r="G1083">
        <f>SUMIFS(INPUT_RITASE!$L$5:$L$20000,INPUT_RITASE!$A$5:$A$20000,Kalkulasi!$B$987,INPUT_RITASE!$D$5:$D$20000,$A1083,INPUT_RITASE!$M$5:$M$20000,"MT")</f>
        <v/>
      </c>
      <c r="H1083">
        <f>IF(E1083=0,0,SUMPRODUCT(--(COUNTIFS(INPUT_RITASE!$A$5:$A$20000,Kalkulasi!$B$987,INPUT_RITASE!$D$5:$D$20000,$A1083,INPUT_RITASE!$B$5:$B$20000,MASTER_JAM!$Q$5:$Q$28)&gt;0)))</f>
        <v/>
      </c>
      <c r="I1083">
        <f>E1083+ROW()/1000000</f>
        <v/>
      </c>
    </row>
    <row r="1084">
      <c r="A1084" t="inlineStr">
        <is>
          <t>DT-810</t>
        </is>
      </c>
      <c r="B1084">
        <f>IFERROR(INDEX(MASTER_JAM!$B$5:$B$94,MATCH($A1084,MASTER_JAM!$A$5:$A$94,0)),"")</f>
        <v/>
      </c>
      <c r="C1084">
        <f>SUMIFS(INPUT_RITASE!$F$5:$F$20000,INPUT_RITASE!$A$5:$A$20000,Kalkulasi!$B$987,INPUT_RITASE!$H$5:$H$20000,"DS",INPUT_RITASE!$D$5:$D$20000,$A1084)</f>
        <v/>
      </c>
      <c r="D1084">
        <f>SUMIFS(INPUT_RITASE!$F$5:$F$20000,INPUT_RITASE!$A$5:$A$20000,Kalkulasi!$B$987,INPUT_RITASE!$H$5:$H$20000,"NS",INPUT_RITASE!$D$5:$D$20000,$A1084)</f>
        <v/>
      </c>
      <c r="E1084">
        <f>C1084+D1084</f>
        <v/>
      </c>
      <c r="F1084">
        <f>SUMIFS(INPUT_RITASE!$L$5:$L$20000,INPUT_RITASE!$A$5:$A$20000,Kalkulasi!$B$987,INPUT_RITASE!$D$5:$D$20000,$A1084,INPUT_RITASE!$M$5:$M$20000,"BCM")</f>
        <v/>
      </c>
      <c r="G1084">
        <f>SUMIFS(INPUT_RITASE!$L$5:$L$20000,INPUT_RITASE!$A$5:$A$20000,Kalkulasi!$B$987,INPUT_RITASE!$D$5:$D$20000,$A1084,INPUT_RITASE!$M$5:$M$20000,"MT")</f>
        <v/>
      </c>
      <c r="H1084">
        <f>IF(E1084=0,0,SUMPRODUCT(--(COUNTIFS(INPUT_RITASE!$A$5:$A$20000,Kalkulasi!$B$987,INPUT_RITASE!$D$5:$D$20000,$A1084,INPUT_RITASE!$B$5:$B$20000,MASTER_JAM!$Q$5:$Q$28)&gt;0)))</f>
        <v/>
      </c>
      <c r="I1084">
        <f>E1084+ROW()/1000000</f>
        <v/>
      </c>
    </row>
    <row r="1085">
      <c r="A1085" t="inlineStr">
        <is>
          <t>DT-811</t>
        </is>
      </c>
      <c r="B1085">
        <f>IFERROR(INDEX(MASTER_JAM!$B$5:$B$94,MATCH($A1085,MASTER_JAM!$A$5:$A$94,0)),"")</f>
        <v/>
      </c>
      <c r="C1085">
        <f>SUMIFS(INPUT_RITASE!$F$5:$F$20000,INPUT_RITASE!$A$5:$A$20000,Kalkulasi!$B$987,INPUT_RITASE!$H$5:$H$20000,"DS",INPUT_RITASE!$D$5:$D$20000,$A1085)</f>
        <v/>
      </c>
      <c r="D1085">
        <f>SUMIFS(INPUT_RITASE!$F$5:$F$20000,INPUT_RITASE!$A$5:$A$20000,Kalkulasi!$B$987,INPUT_RITASE!$H$5:$H$20000,"NS",INPUT_RITASE!$D$5:$D$20000,$A1085)</f>
        <v/>
      </c>
      <c r="E1085">
        <f>C1085+D1085</f>
        <v/>
      </c>
      <c r="F1085">
        <f>SUMIFS(INPUT_RITASE!$L$5:$L$20000,INPUT_RITASE!$A$5:$A$20000,Kalkulasi!$B$987,INPUT_RITASE!$D$5:$D$20000,$A1085,INPUT_RITASE!$M$5:$M$20000,"BCM")</f>
        <v/>
      </c>
      <c r="G1085">
        <f>SUMIFS(INPUT_RITASE!$L$5:$L$20000,INPUT_RITASE!$A$5:$A$20000,Kalkulasi!$B$987,INPUT_RITASE!$D$5:$D$20000,$A1085,INPUT_RITASE!$M$5:$M$20000,"MT")</f>
        <v/>
      </c>
      <c r="H1085">
        <f>IF(E1085=0,0,SUMPRODUCT(--(COUNTIFS(INPUT_RITASE!$A$5:$A$20000,Kalkulasi!$B$987,INPUT_RITASE!$D$5:$D$20000,$A1085,INPUT_RITASE!$B$5:$B$20000,MASTER_JAM!$Q$5:$Q$28)&gt;0)))</f>
        <v/>
      </c>
      <c r="I1085">
        <f>E1085+ROW()/1000000</f>
        <v/>
      </c>
    </row>
    <row r="1086">
      <c r="A1086" t="inlineStr">
        <is>
          <t>DT-812</t>
        </is>
      </c>
      <c r="B1086">
        <f>IFERROR(INDEX(MASTER_JAM!$B$5:$B$94,MATCH($A1086,MASTER_JAM!$A$5:$A$94,0)),"")</f>
        <v/>
      </c>
      <c r="C1086">
        <f>SUMIFS(INPUT_RITASE!$F$5:$F$20000,INPUT_RITASE!$A$5:$A$20000,Kalkulasi!$B$987,INPUT_RITASE!$H$5:$H$20000,"DS",INPUT_RITASE!$D$5:$D$20000,$A1086)</f>
        <v/>
      </c>
      <c r="D1086">
        <f>SUMIFS(INPUT_RITASE!$F$5:$F$20000,INPUT_RITASE!$A$5:$A$20000,Kalkulasi!$B$987,INPUT_RITASE!$H$5:$H$20000,"NS",INPUT_RITASE!$D$5:$D$20000,$A1086)</f>
        <v/>
      </c>
      <c r="E1086">
        <f>C1086+D1086</f>
        <v/>
      </c>
      <c r="F1086">
        <f>SUMIFS(INPUT_RITASE!$L$5:$L$20000,INPUT_RITASE!$A$5:$A$20000,Kalkulasi!$B$987,INPUT_RITASE!$D$5:$D$20000,$A1086,INPUT_RITASE!$M$5:$M$20000,"BCM")</f>
        <v/>
      </c>
      <c r="G1086">
        <f>SUMIFS(INPUT_RITASE!$L$5:$L$20000,INPUT_RITASE!$A$5:$A$20000,Kalkulasi!$B$987,INPUT_RITASE!$D$5:$D$20000,$A1086,INPUT_RITASE!$M$5:$M$20000,"MT")</f>
        <v/>
      </c>
      <c r="H1086">
        <f>IF(E1086=0,0,SUMPRODUCT(--(COUNTIFS(INPUT_RITASE!$A$5:$A$20000,Kalkulasi!$B$987,INPUT_RITASE!$D$5:$D$20000,$A1086,INPUT_RITASE!$B$5:$B$20000,MASTER_JAM!$Q$5:$Q$28)&gt;0)))</f>
        <v/>
      </c>
      <c r="I1086">
        <f>E1086+ROW()/1000000</f>
        <v/>
      </c>
    </row>
    <row r="1087">
      <c r="A1087" t="inlineStr">
        <is>
          <t>HD-901</t>
        </is>
      </c>
      <c r="B1087">
        <f>IFERROR(INDEX(MASTER_JAM!$B$5:$B$94,MATCH($A1087,MASTER_JAM!$A$5:$A$94,0)),"")</f>
        <v/>
      </c>
      <c r="C1087">
        <f>SUMIFS(INPUT_RITASE!$F$5:$F$20000,INPUT_RITASE!$A$5:$A$20000,Kalkulasi!$B$987,INPUT_RITASE!$H$5:$H$20000,"DS",INPUT_RITASE!$D$5:$D$20000,$A1087)</f>
        <v/>
      </c>
      <c r="D1087">
        <f>SUMIFS(INPUT_RITASE!$F$5:$F$20000,INPUT_RITASE!$A$5:$A$20000,Kalkulasi!$B$987,INPUT_RITASE!$H$5:$H$20000,"NS",INPUT_RITASE!$D$5:$D$20000,$A1087)</f>
        <v/>
      </c>
      <c r="E1087">
        <f>C1087+D1087</f>
        <v/>
      </c>
      <c r="F1087">
        <f>SUMIFS(INPUT_RITASE!$L$5:$L$20000,INPUT_RITASE!$A$5:$A$20000,Kalkulasi!$B$987,INPUT_RITASE!$D$5:$D$20000,$A1087,INPUT_RITASE!$M$5:$M$20000,"BCM")</f>
        <v/>
      </c>
      <c r="G1087">
        <f>SUMIFS(INPUT_RITASE!$L$5:$L$20000,INPUT_RITASE!$A$5:$A$20000,Kalkulasi!$B$987,INPUT_RITASE!$D$5:$D$20000,$A1087,INPUT_RITASE!$M$5:$M$20000,"MT")</f>
        <v/>
      </c>
      <c r="H1087">
        <f>IF(E1087=0,0,SUMPRODUCT(--(COUNTIFS(INPUT_RITASE!$A$5:$A$20000,Kalkulasi!$B$987,INPUT_RITASE!$D$5:$D$20000,$A1087,INPUT_RITASE!$B$5:$B$20000,MASTER_JAM!$Q$5:$Q$28)&gt;0)))</f>
        <v/>
      </c>
      <c r="I1087">
        <f>E1087+ROW()/1000000</f>
        <v/>
      </c>
    </row>
    <row r="1088">
      <c r="A1088" t="inlineStr">
        <is>
          <t>HD-902</t>
        </is>
      </c>
      <c r="B1088">
        <f>IFERROR(INDEX(MASTER_JAM!$B$5:$B$94,MATCH($A1088,MASTER_JAM!$A$5:$A$94,0)),"")</f>
        <v/>
      </c>
      <c r="C1088">
        <f>SUMIFS(INPUT_RITASE!$F$5:$F$20000,INPUT_RITASE!$A$5:$A$20000,Kalkulasi!$B$987,INPUT_RITASE!$H$5:$H$20000,"DS",INPUT_RITASE!$D$5:$D$20000,$A1088)</f>
        <v/>
      </c>
      <c r="D1088">
        <f>SUMIFS(INPUT_RITASE!$F$5:$F$20000,INPUT_RITASE!$A$5:$A$20000,Kalkulasi!$B$987,INPUT_RITASE!$H$5:$H$20000,"NS",INPUT_RITASE!$D$5:$D$20000,$A1088)</f>
        <v/>
      </c>
      <c r="E1088">
        <f>C1088+D1088</f>
        <v/>
      </c>
      <c r="F1088">
        <f>SUMIFS(INPUT_RITASE!$L$5:$L$20000,INPUT_RITASE!$A$5:$A$20000,Kalkulasi!$B$987,INPUT_RITASE!$D$5:$D$20000,$A1088,INPUT_RITASE!$M$5:$M$20000,"BCM")</f>
        <v/>
      </c>
      <c r="G1088">
        <f>SUMIFS(INPUT_RITASE!$L$5:$L$20000,INPUT_RITASE!$A$5:$A$20000,Kalkulasi!$B$987,INPUT_RITASE!$D$5:$D$20000,$A1088,INPUT_RITASE!$M$5:$M$20000,"MT")</f>
        <v/>
      </c>
      <c r="H1088">
        <f>IF(E1088=0,0,SUMPRODUCT(--(COUNTIFS(INPUT_RITASE!$A$5:$A$20000,Kalkulasi!$B$987,INPUT_RITASE!$D$5:$D$20000,$A1088,INPUT_RITASE!$B$5:$B$20000,MASTER_JAM!$Q$5:$Q$28)&gt;0)))</f>
        <v/>
      </c>
      <c r="I1088">
        <f>E1088+ROW()/1000000</f>
        <v/>
      </c>
    </row>
    <row r="1089">
      <c r="A1089" t="inlineStr">
        <is>
          <t>HD-903</t>
        </is>
      </c>
      <c r="B1089">
        <f>IFERROR(INDEX(MASTER_JAM!$B$5:$B$94,MATCH($A1089,MASTER_JAM!$A$5:$A$94,0)),"")</f>
        <v/>
      </c>
      <c r="C1089">
        <f>SUMIFS(INPUT_RITASE!$F$5:$F$20000,INPUT_RITASE!$A$5:$A$20000,Kalkulasi!$B$987,INPUT_RITASE!$H$5:$H$20000,"DS",INPUT_RITASE!$D$5:$D$20000,$A1089)</f>
        <v/>
      </c>
      <c r="D1089">
        <f>SUMIFS(INPUT_RITASE!$F$5:$F$20000,INPUT_RITASE!$A$5:$A$20000,Kalkulasi!$B$987,INPUT_RITASE!$H$5:$H$20000,"NS",INPUT_RITASE!$D$5:$D$20000,$A1089)</f>
        <v/>
      </c>
      <c r="E1089">
        <f>C1089+D1089</f>
        <v/>
      </c>
      <c r="F1089">
        <f>SUMIFS(INPUT_RITASE!$L$5:$L$20000,INPUT_RITASE!$A$5:$A$20000,Kalkulasi!$B$987,INPUT_RITASE!$D$5:$D$20000,$A1089,INPUT_RITASE!$M$5:$M$20000,"BCM")</f>
        <v/>
      </c>
      <c r="G1089">
        <f>SUMIFS(INPUT_RITASE!$L$5:$L$20000,INPUT_RITASE!$A$5:$A$20000,Kalkulasi!$B$987,INPUT_RITASE!$D$5:$D$20000,$A1089,INPUT_RITASE!$M$5:$M$20000,"MT")</f>
        <v/>
      </c>
      <c r="H1089">
        <f>IF(E1089=0,0,SUMPRODUCT(--(COUNTIFS(INPUT_RITASE!$A$5:$A$20000,Kalkulasi!$B$987,INPUT_RITASE!$D$5:$D$20000,$A1089,INPUT_RITASE!$B$5:$B$20000,MASTER_JAM!$Q$5:$Q$28)&gt;0)))</f>
        <v/>
      </c>
      <c r="I1089">
        <f>E1089+ROW()/1000000</f>
        <v/>
      </c>
    </row>
    <row r="1090">
      <c r="A1090" t="inlineStr">
        <is>
          <t>HD-904</t>
        </is>
      </c>
      <c r="B1090">
        <f>IFERROR(INDEX(MASTER_JAM!$B$5:$B$94,MATCH($A1090,MASTER_JAM!$A$5:$A$94,0)),"")</f>
        <v/>
      </c>
      <c r="C1090">
        <f>SUMIFS(INPUT_RITASE!$F$5:$F$20000,INPUT_RITASE!$A$5:$A$20000,Kalkulasi!$B$987,INPUT_RITASE!$H$5:$H$20000,"DS",INPUT_RITASE!$D$5:$D$20000,$A1090)</f>
        <v/>
      </c>
      <c r="D1090">
        <f>SUMIFS(INPUT_RITASE!$F$5:$F$20000,INPUT_RITASE!$A$5:$A$20000,Kalkulasi!$B$987,INPUT_RITASE!$H$5:$H$20000,"NS",INPUT_RITASE!$D$5:$D$20000,$A1090)</f>
        <v/>
      </c>
      <c r="E1090">
        <f>C1090+D1090</f>
        <v/>
      </c>
      <c r="F1090">
        <f>SUMIFS(INPUT_RITASE!$L$5:$L$20000,INPUT_RITASE!$A$5:$A$20000,Kalkulasi!$B$987,INPUT_RITASE!$D$5:$D$20000,$A1090,INPUT_RITASE!$M$5:$M$20000,"BCM")</f>
        <v/>
      </c>
      <c r="G1090">
        <f>SUMIFS(INPUT_RITASE!$L$5:$L$20000,INPUT_RITASE!$A$5:$A$20000,Kalkulasi!$B$987,INPUT_RITASE!$D$5:$D$20000,$A1090,INPUT_RITASE!$M$5:$M$20000,"MT")</f>
        <v/>
      </c>
      <c r="H1090">
        <f>IF(E1090=0,0,SUMPRODUCT(--(COUNTIFS(INPUT_RITASE!$A$5:$A$20000,Kalkulasi!$B$987,INPUT_RITASE!$D$5:$D$20000,$A1090,INPUT_RITASE!$B$5:$B$20000,MASTER_JAM!$Q$5:$Q$28)&gt;0)))</f>
        <v/>
      </c>
      <c r="I1090">
        <f>E1090+ROW()/1000000</f>
        <v/>
      </c>
    </row>
    <row r="1091">
      <c r="A1091" t="inlineStr">
        <is>
          <t>HD-905</t>
        </is>
      </c>
      <c r="B1091">
        <f>IFERROR(INDEX(MASTER_JAM!$B$5:$B$94,MATCH($A1091,MASTER_JAM!$A$5:$A$94,0)),"")</f>
        <v/>
      </c>
      <c r="C1091">
        <f>SUMIFS(INPUT_RITASE!$F$5:$F$20000,INPUT_RITASE!$A$5:$A$20000,Kalkulasi!$B$987,INPUT_RITASE!$H$5:$H$20000,"DS",INPUT_RITASE!$D$5:$D$20000,$A1091)</f>
        <v/>
      </c>
      <c r="D1091">
        <f>SUMIFS(INPUT_RITASE!$F$5:$F$20000,INPUT_RITASE!$A$5:$A$20000,Kalkulasi!$B$987,INPUT_RITASE!$H$5:$H$20000,"NS",INPUT_RITASE!$D$5:$D$20000,$A1091)</f>
        <v/>
      </c>
      <c r="E1091">
        <f>C1091+D1091</f>
        <v/>
      </c>
      <c r="F1091">
        <f>SUMIFS(INPUT_RITASE!$L$5:$L$20000,INPUT_RITASE!$A$5:$A$20000,Kalkulasi!$B$987,INPUT_RITASE!$D$5:$D$20000,$A1091,INPUT_RITASE!$M$5:$M$20000,"BCM")</f>
        <v/>
      </c>
      <c r="G1091">
        <f>SUMIFS(INPUT_RITASE!$L$5:$L$20000,INPUT_RITASE!$A$5:$A$20000,Kalkulasi!$B$987,INPUT_RITASE!$D$5:$D$20000,$A1091,INPUT_RITASE!$M$5:$M$20000,"MT")</f>
        <v/>
      </c>
      <c r="H1091">
        <f>IF(E1091=0,0,SUMPRODUCT(--(COUNTIFS(INPUT_RITASE!$A$5:$A$20000,Kalkulasi!$B$987,INPUT_RITASE!$D$5:$D$20000,$A1091,INPUT_RITASE!$B$5:$B$20000,MASTER_JAM!$Q$5:$Q$28)&gt;0)))</f>
        <v/>
      </c>
      <c r="I1091">
        <f>E1091+ROW()/1000000</f>
        <v/>
      </c>
    </row>
    <row r="1092">
      <c r="A1092" t="inlineStr">
        <is>
          <t>HT-401</t>
        </is>
      </c>
      <c r="B1092">
        <f>IFERROR(INDEX(MASTER_JAM!$B$5:$B$94,MATCH($A1092,MASTER_JAM!$A$5:$A$94,0)),"")</f>
        <v/>
      </c>
      <c r="C1092">
        <f>SUMIFS(INPUT_RITASE!$F$5:$F$20000,INPUT_RITASE!$A$5:$A$20000,Kalkulasi!$B$987,INPUT_RITASE!$H$5:$H$20000,"DS",INPUT_RITASE!$D$5:$D$20000,$A1092)</f>
        <v/>
      </c>
      <c r="D1092">
        <f>SUMIFS(INPUT_RITASE!$F$5:$F$20000,INPUT_RITASE!$A$5:$A$20000,Kalkulasi!$B$987,INPUT_RITASE!$H$5:$H$20000,"NS",INPUT_RITASE!$D$5:$D$20000,$A1092)</f>
        <v/>
      </c>
      <c r="E1092">
        <f>C1092+D1092</f>
        <v/>
      </c>
      <c r="F1092">
        <f>SUMIFS(INPUT_RITASE!$L$5:$L$20000,INPUT_RITASE!$A$5:$A$20000,Kalkulasi!$B$987,INPUT_RITASE!$D$5:$D$20000,$A1092,INPUT_RITASE!$M$5:$M$20000,"BCM")</f>
        <v/>
      </c>
      <c r="G1092">
        <f>SUMIFS(INPUT_RITASE!$L$5:$L$20000,INPUT_RITASE!$A$5:$A$20000,Kalkulasi!$B$987,INPUT_RITASE!$D$5:$D$20000,$A1092,INPUT_RITASE!$M$5:$M$20000,"MT")</f>
        <v/>
      </c>
      <c r="H1092">
        <f>IF(E1092=0,0,SUMPRODUCT(--(COUNTIFS(INPUT_RITASE!$A$5:$A$20000,Kalkulasi!$B$987,INPUT_RITASE!$D$5:$D$20000,$A1092,INPUT_RITASE!$B$5:$B$20000,MASTER_JAM!$Q$5:$Q$28)&gt;0)))</f>
        <v/>
      </c>
      <c r="I1092">
        <f>E1092+ROW()/1000000</f>
        <v/>
      </c>
    </row>
    <row r="1093">
      <c r="A1093" t="inlineStr">
        <is>
          <t>HT-402</t>
        </is>
      </c>
      <c r="B1093">
        <f>IFERROR(INDEX(MASTER_JAM!$B$5:$B$94,MATCH($A1093,MASTER_JAM!$A$5:$A$94,0)),"")</f>
        <v/>
      </c>
      <c r="C1093">
        <f>SUMIFS(INPUT_RITASE!$F$5:$F$20000,INPUT_RITASE!$A$5:$A$20000,Kalkulasi!$B$987,INPUT_RITASE!$H$5:$H$20000,"DS",INPUT_RITASE!$D$5:$D$20000,$A1093)</f>
        <v/>
      </c>
      <c r="D1093">
        <f>SUMIFS(INPUT_RITASE!$F$5:$F$20000,INPUT_RITASE!$A$5:$A$20000,Kalkulasi!$B$987,INPUT_RITASE!$H$5:$H$20000,"NS",INPUT_RITASE!$D$5:$D$20000,$A1093)</f>
        <v/>
      </c>
      <c r="E1093">
        <f>C1093+D1093</f>
        <v/>
      </c>
      <c r="F1093">
        <f>SUMIFS(INPUT_RITASE!$L$5:$L$20000,INPUT_RITASE!$A$5:$A$20000,Kalkulasi!$B$987,INPUT_RITASE!$D$5:$D$20000,$A1093,INPUT_RITASE!$M$5:$M$20000,"BCM")</f>
        <v/>
      </c>
      <c r="G1093">
        <f>SUMIFS(INPUT_RITASE!$L$5:$L$20000,INPUT_RITASE!$A$5:$A$20000,Kalkulasi!$B$987,INPUT_RITASE!$D$5:$D$20000,$A1093,INPUT_RITASE!$M$5:$M$20000,"MT")</f>
        <v/>
      </c>
      <c r="H1093">
        <f>IF(E1093=0,0,SUMPRODUCT(--(COUNTIFS(INPUT_RITASE!$A$5:$A$20000,Kalkulasi!$B$987,INPUT_RITASE!$D$5:$D$20000,$A1093,INPUT_RITASE!$B$5:$B$20000,MASTER_JAM!$Q$5:$Q$28)&gt;0)))</f>
        <v/>
      </c>
      <c r="I1093">
        <f>E1093+ROW()/1000000</f>
        <v/>
      </c>
    </row>
    <row r="1094">
      <c r="A1094" t="inlineStr">
        <is>
          <t>HT-403</t>
        </is>
      </c>
      <c r="B1094">
        <f>IFERROR(INDEX(MASTER_JAM!$B$5:$B$94,MATCH($A1094,MASTER_JAM!$A$5:$A$94,0)),"")</f>
        <v/>
      </c>
      <c r="C1094">
        <f>SUMIFS(INPUT_RITASE!$F$5:$F$20000,INPUT_RITASE!$A$5:$A$20000,Kalkulasi!$B$987,INPUT_RITASE!$H$5:$H$20000,"DS",INPUT_RITASE!$D$5:$D$20000,$A1094)</f>
        <v/>
      </c>
      <c r="D1094">
        <f>SUMIFS(INPUT_RITASE!$F$5:$F$20000,INPUT_RITASE!$A$5:$A$20000,Kalkulasi!$B$987,INPUT_RITASE!$H$5:$H$20000,"NS",INPUT_RITASE!$D$5:$D$20000,$A1094)</f>
        <v/>
      </c>
      <c r="E1094">
        <f>C1094+D1094</f>
        <v/>
      </c>
      <c r="F1094">
        <f>SUMIFS(INPUT_RITASE!$L$5:$L$20000,INPUT_RITASE!$A$5:$A$20000,Kalkulasi!$B$987,INPUT_RITASE!$D$5:$D$20000,$A1094,INPUT_RITASE!$M$5:$M$20000,"BCM")</f>
        <v/>
      </c>
      <c r="G1094">
        <f>SUMIFS(INPUT_RITASE!$L$5:$L$20000,INPUT_RITASE!$A$5:$A$20000,Kalkulasi!$B$987,INPUT_RITASE!$D$5:$D$20000,$A1094,INPUT_RITASE!$M$5:$M$20000,"MT")</f>
        <v/>
      </c>
      <c r="H1094">
        <f>IF(E1094=0,0,SUMPRODUCT(--(COUNTIFS(INPUT_RITASE!$A$5:$A$20000,Kalkulasi!$B$987,INPUT_RITASE!$D$5:$D$20000,$A1094,INPUT_RITASE!$B$5:$B$20000,MASTER_JAM!$Q$5:$Q$28)&gt;0)))</f>
        <v/>
      </c>
      <c r="I1094">
        <f>E1094+ROW()/1000000</f>
        <v/>
      </c>
    </row>
    <row r="1095">
      <c r="A1095" t="inlineStr">
        <is>
          <t>HT-404</t>
        </is>
      </c>
      <c r="B1095">
        <f>IFERROR(INDEX(MASTER_JAM!$B$5:$B$94,MATCH($A1095,MASTER_JAM!$A$5:$A$94,0)),"")</f>
        <v/>
      </c>
      <c r="C1095">
        <f>SUMIFS(INPUT_RITASE!$F$5:$F$20000,INPUT_RITASE!$A$5:$A$20000,Kalkulasi!$B$987,INPUT_RITASE!$H$5:$H$20000,"DS",INPUT_RITASE!$D$5:$D$20000,$A1095)</f>
        <v/>
      </c>
      <c r="D1095">
        <f>SUMIFS(INPUT_RITASE!$F$5:$F$20000,INPUT_RITASE!$A$5:$A$20000,Kalkulasi!$B$987,INPUT_RITASE!$H$5:$H$20000,"NS",INPUT_RITASE!$D$5:$D$20000,$A1095)</f>
        <v/>
      </c>
      <c r="E1095">
        <f>C1095+D1095</f>
        <v/>
      </c>
      <c r="F1095">
        <f>SUMIFS(INPUT_RITASE!$L$5:$L$20000,INPUT_RITASE!$A$5:$A$20000,Kalkulasi!$B$987,INPUT_RITASE!$D$5:$D$20000,$A1095,INPUT_RITASE!$M$5:$M$20000,"BCM")</f>
        <v/>
      </c>
      <c r="G1095">
        <f>SUMIFS(INPUT_RITASE!$L$5:$L$20000,INPUT_RITASE!$A$5:$A$20000,Kalkulasi!$B$987,INPUT_RITASE!$D$5:$D$20000,$A1095,INPUT_RITASE!$M$5:$M$20000,"MT")</f>
        <v/>
      </c>
      <c r="H1095">
        <f>IF(E1095=0,0,SUMPRODUCT(--(COUNTIFS(INPUT_RITASE!$A$5:$A$20000,Kalkulasi!$B$987,INPUT_RITASE!$D$5:$D$20000,$A1095,INPUT_RITASE!$B$5:$B$20000,MASTER_JAM!$Q$5:$Q$28)&gt;0)))</f>
        <v/>
      </c>
      <c r="I1095">
        <f>E1095+ROW()/1000000</f>
        <v/>
      </c>
    </row>
    <row r="1096">
      <c r="A1096" t="inlineStr">
        <is>
          <t>HT-405</t>
        </is>
      </c>
      <c r="B1096">
        <f>IFERROR(INDEX(MASTER_JAM!$B$5:$B$94,MATCH($A1096,MASTER_JAM!$A$5:$A$94,0)),"")</f>
        <v/>
      </c>
      <c r="C1096">
        <f>SUMIFS(INPUT_RITASE!$F$5:$F$20000,INPUT_RITASE!$A$5:$A$20000,Kalkulasi!$B$987,INPUT_RITASE!$H$5:$H$20000,"DS",INPUT_RITASE!$D$5:$D$20000,$A1096)</f>
        <v/>
      </c>
      <c r="D1096">
        <f>SUMIFS(INPUT_RITASE!$F$5:$F$20000,INPUT_RITASE!$A$5:$A$20000,Kalkulasi!$B$987,INPUT_RITASE!$H$5:$H$20000,"NS",INPUT_RITASE!$D$5:$D$20000,$A1096)</f>
        <v/>
      </c>
      <c r="E1096">
        <f>C1096+D1096</f>
        <v/>
      </c>
      <c r="F1096">
        <f>SUMIFS(INPUT_RITASE!$L$5:$L$20000,INPUT_RITASE!$A$5:$A$20000,Kalkulasi!$B$987,INPUT_RITASE!$D$5:$D$20000,$A1096,INPUT_RITASE!$M$5:$M$20000,"BCM")</f>
        <v/>
      </c>
      <c r="G1096">
        <f>SUMIFS(INPUT_RITASE!$L$5:$L$20000,INPUT_RITASE!$A$5:$A$20000,Kalkulasi!$B$987,INPUT_RITASE!$D$5:$D$20000,$A1096,INPUT_RITASE!$M$5:$M$20000,"MT")</f>
        <v/>
      </c>
      <c r="H1096">
        <f>IF(E1096=0,0,SUMPRODUCT(--(COUNTIFS(INPUT_RITASE!$A$5:$A$20000,Kalkulasi!$B$987,INPUT_RITASE!$D$5:$D$20000,$A1096,INPUT_RITASE!$B$5:$B$20000,MASTER_JAM!$Q$5:$Q$28)&gt;0)))</f>
        <v/>
      </c>
      <c r="I1096">
        <f>E1096+ROW()/1000000</f>
        <v/>
      </c>
    </row>
    <row r="1097">
      <c r="A1097" t="inlineStr">
        <is>
          <t>HT-406</t>
        </is>
      </c>
      <c r="B1097">
        <f>IFERROR(INDEX(MASTER_JAM!$B$5:$B$94,MATCH($A1097,MASTER_JAM!$A$5:$A$94,0)),"")</f>
        <v/>
      </c>
      <c r="C1097">
        <f>SUMIFS(INPUT_RITASE!$F$5:$F$20000,INPUT_RITASE!$A$5:$A$20000,Kalkulasi!$B$987,INPUT_RITASE!$H$5:$H$20000,"DS",INPUT_RITASE!$D$5:$D$20000,$A1097)</f>
        <v/>
      </c>
      <c r="D1097">
        <f>SUMIFS(INPUT_RITASE!$F$5:$F$20000,INPUT_RITASE!$A$5:$A$20000,Kalkulasi!$B$987,INPUT_RITASE!$H$5:$H$20000,"NS",INPUT_RITASE!$D$5:$D$20000,$A1097)</f>
        <v/>
      </c>
      <c r="E1097">
        <f>C1097+D1097</f>
        <v/>
      </c>
      <c r="F1097">
        <f>SUMIFS(INPUT_RITASE!$L$5:$L$20000,INPUT_RITASE!$A$5:$A$20000,Kalkulasi!$B$987,INPUT_RITASE!$D$5:$D$20000,$A1097,INPUT_RITASE!$M$5:$M$20000,"BCM")</f>
        <v/>
      </c>
      <c r="G1097">
        <f>SUMIFS(INPUT_RITASE!$L$5:$L$20000,INPUT_RITASE!$A$5:$A$20000,Kalkulasi!$B$987,INPUT_RITASE!$D$5:$D$20000,$A1097,INPUT_RITASE!$M$5:$M$20000,"MT")</f>
        <v/>
      </c>
      <c r="H1097">
        <f>IF(E1097=0,0,SUMPRODUCT(--(COUNTIFS(INPUT_RITASE!$A$5:$A$20000,Kalkulasi!$B$987,INPUT_RITASE!$D$5:$D$20000,$A1097,INPUT_RITASE!$B$5:$B$20000,MASTER_JAM!$Q$5:$Q$28)&gt;0)))</f>
        <v/>
      </c>
      <c r="I1097">
        <f>E1097+ROW()/1000000</f>
        <v/>
      </c>
    </row>
    <row r="1098">
      <c r="A1098" t="inlineStr">
        <is>
          <t>HT-407</t>
        </is>
      </c>
      <c r="B1098">
        <f>IFERROR(INDEX(MASTER_JAM!$B$5:$B$94,MATCH($A1098,MASTER_JAM!$A$5:$A$94,0)),"")</f>
        <v/>
      </c>
      <c r="C1098">
        <f>SUMIFS(INPUT_RITASE!$F$5:$F$20000,INPUT_RITASE!$A$5:$A$20000,Kalkulasi!$B$987,INPUT_RITASE!$H$5:$H$20000,"DS",INPUT_RITASE!$D$5:$D$20000,$A1098)</f>
        <v/>
      </c>
      <c r="D1098">
        <f>SUMIFS(INPUT_RITASE!$F$5:$F$20000,INPUT_RITASE!$A$5:$A$20000,Kalkulasi!$B$987,INPUT_RITASE!$H$5:$H$20000,"NS",INPUT_RITASE!$D$5:$D$20000,$A1098)</f>
        <v/>
      </c>
      <c r="E1098">
        <f>C1098+D1098</f>
        <v/>
      </c>
      <c r="F1098">
        <f>SUMIFS(INPUT_RITASE!$L$5:$L$20000,INPUT_RITASE!$A$5:$A$20000,Kalkulasi!$B$987,INPUT_RITASE!$D$5:$D$20000,$A1098,INPUT_RITASE!$M$5:$M$20000,"BCM")</f>
        <v/>
      </c>
      <c r="G1098">
        <f>SUMIFS(INPUT_RITASE!$L$5:$L$20000,INPUT_RITASE!$A$5:$A$20000,Kalkulasi!$B$987,INPUT_RITASE!$D$5:$D$20000,$A1098,INPUT_RITASE!$M$5:$M$20000,"MT")</f>
        <v/>
      </c>
      <c r="H1098">
        <f>IF(E1098=0,0,SUMPRODUCT(--(COUNTIFS(INPUT_RITASE!$A$5:$A$20000,Kalkulasi!$B$987,INPUT_RITASE!$D$5:$D$20000,$A1098,INPUT_RITASE!$B$5:$B$20000,MASTER_JAM!$Q$5:$Q$28)&gt;0)))</f>
        <v/>
      </c>
      <c r="I1098">
        <f>E1098+ROW()/1000000</f>
        <v/>
      </c>
    </row>
    <row r="1099">
      <c r="A1099" t="inlineStr">
        <is>
          <t>HT-408</t>
        </is>
      </c>
      <c r="B1099">
        <f>IFERROR(INDEX(MASTER_JAM!$B$5:$B$94,MATCH($A1099,MASTER_JAM!$A$5:$A$94,0)),"")</f>
        <v/>
      </c>
      <c r="C1099">
        <f>SUMIFS(INPUT_RITASE!$F$5:$F$20000,INPUT_RITASE!$A$5:$A$20000,Kalkulasi!$B$987,INPUT_RITASE!$H$5:$H$20000,"DS",INPUT_RITASE!$D$5:$D$20000,$A1099)</f>
        <v/>
      </c>
      <c r="D1099">
        <f>SUMIFS(INPUT_RITASE!$F$5:$F$20000,INPUT_RITASE!$A$5:$A$20000,Kalkulasi!$B$987,INPUT_RITASE!$H$5:$H$20000,"NS",INPUT_RITASE!$D$5:$D$20000,$A1099)</f>
        <v/>
      </c>
      <c r="E1099">
        <f>C1099+D1099</f>
        <v/>
      </c>
      <c r="F1099">
        <f>SUMIFS(INPUT_RITASE!$L$5:$L$20000,INPUT_RITASE!$A$5:$A$20000,Kalkulasi!$B$987,INPUT_RITASE!$D$5:$D$20000,$A1099,INPUT_RITASE!$M$5:$M$20000,"BCM")</f>
        <v/>
      </c>
      <c r="G1099">
        <f>SUMIFS(INPUT_RITASE!$L$5:$L$20000,INPUT_RITASE!$A$5:$A$20000,Kalkulasi!$B$987,INPUT_RITASE!$D$5:$D$20000,$A1099,INPUT_RITASE!$M$5:$M$20000,"MT")</f>
        <v/>
      </c>
      <c r="H1099">
        <f>IF(E1099=0,0,SUMPRODUCT(--(COUNTIFS(INPUT_RITASE!$A$5:$A$20000,Kalkulasi!$B$987,INPUT_RITASE!$D$5:$D$20000,$A1099,INPUT_RITASE!$B$5:$B$20000,MASTER_JAM!$Q$5:$Q$28)&gt;0)))</f>
        <v/>
      </c>
      <c r="I1099">
        <f>E1099+ROW()/1000000</f>
        <v/>
      </c>
    </row>
    <row r="1100">
      <c r="A1100" t="inlineStr">
        <is>
          <t>HT-409</t>
        </is>
      </c>
      <c r="B1100">
        <f>IFERROR(INDEX(MASTER_JAM!$B$5:$B$94,MATCH($A1100,MASTER_JAM!$A$5:$A$94,0)),"")</f>
        <v/>
      </c>
      <c r="C1100">
        <f>SUMIFS(INPUT_RITASE!$F$5:$F$20000,INPUT_RITASE!$A$5:$A$20000,Kalkulasi!$B$987,INPUT_RITASE!$H$5:$H$20000,"DS",INPUT_RITASE!$D$5:$D$20000,$A1100)</f>
        <v/>
      </c>
      <c r="D1100">
        <f>SUMIFS(INPUT_RITASE!$F$5:$F$20000,INPUT_RITASE!$A$5:$A$20000,Kalkulasi!$B$987,INPUT_RITASE!$H$5:$H$20000,"NS",INPUT_RITASE!$D$5:$D$20000,$A1100)</f>
        <v/>
      </c>
      <c r="E1100">
        <f>C1100+D1100</f>
        <v/>
      </c>
      <c r="F1100">
        <f>SUMIFS(INPUT_RITASE!$L$5:$L$20000,INPUT_RITASE!$A$5:$A$20000,Kalkulasi!$B$987,INPUT_RITASE!$D$5:$D$20000,$A1100,INPUT_RITASE!$M$5:$M$20000,"BCM")</f>
        <v/>
      </c>
      <c r="G1100">
        <f>SUMIFS(INPUT_RITASE!$L$5:$L$20000,INPUT_RITASE!$A$5:$A$20000,Kalkulasi!$B$987,INPUT_RITASE!$D$5:$D$20000,$A1100,INPUT_RITASE!$M$5:$M$20000,"MT")</f>
        <v/>
      </c>
      <c r="H1100">
        <f>IF(E1100=0,0,SUMPRODUCT(--(COUNTIFS(INPUT_RITASE!$A$5:$A$20000,Kalkulasi!$B$987,INPUT_RITASE!$D$5:$D$20000,$A1100,INPUT_RITASE!$B$5:$B$20000,MASTER_JAM!$Q$5:$Q$28)&gt;0)))</f>
        <v/>
      </c>
      <c r="I1100">
        <f>E1100+ROW()/1000000</f>
        <v/>
      </c>
    </row>
    <row r="1101">
      <c r="A1101" t="inlineStr">
        <is>
          <t>HT-410</t>
        </is>
      </c>
      <c r="B1101">
        <f>IFERROR(INDEX(MASTER_JAM!$B$5:$B$94,MATCH($A1101,MASTER_JAM!$A$5:$A$94,0)),"")</f>
        <v/>
      </c>
      <c r="C1101">
        <f>SUMIFS(INPUT_RITASE!$F$5:$F$20000,INPUT_RITASE!$A$5:$A$20000,Kalkulasi!$B$987,INPUT_RITASE!$H$5:$H$20000,"DS",INPUT_RITASE!$D$5:$D$20000,$A1101)</f>
        <v/>
      </c>
      <c r="D1101">
        <f>SUMIFS(INPUT_RITASE!$F$5:$F$20000,INPUT_RITASE!$A$5:$A$20000,Kalkulasi!$B$987,INPUT_RITASE!$H$5:$H$20000,"NS",INPUT_RITASE!$D$5:$D$20000,$A1101)</f>
        <v/>
      </c>
      <c r="E1101">
        <f>C1101+D1101</f>
        <v/>
      </c>
      <c r="F1101">
        <f>SUMIFS(INPUT_RITASE!$L$5:$L$20000,INPUT_RITASE!$A$5:$A$20000,Kalkulasi!$B$987,INPUT_RITASE!$D$5:$D$20000,$A1101,INPUT_RITASE!$M$5:$M$20000,"BCM")</f>
        <v/>
      </c>
      <c r="G1101">
        <f>SUMIFS(INPUT_RITASE!$L$5:$L$20000,INPUT_RITASE!$A$5:$A$20000,Kalkulasi!$B$987,INPUT_RITASE!$D$5:$D$20000,$A1101,INPUT_RITASE!$M$5:$M$20000,"MT")</f>
        <v/>
      </c>
      <c r="H1101">
        <f>IF(E1101=0,0,SUMPRODUCT(--(COUNTIFS(INPUT_RITASE!$A$5:$A$20000,Kalkulasi!$B$987,INPUT_RITASE!$D$5:$D$20000,$A1101,INPUT_RITASE!$B$5:$B$20000,MASTER_JAM!$Q$5:$Q$28)&gt;0)))</f>
        <v/>
      </c>
      <c r="I1101">
        <f>E1101+ROW()/1000000</f>
        <v/>
      </c>
    </row>
    <row r="1102">
      <c r="A1102" t="inlineStr">
        <is>
          <t>HT-411</t>
        </is>
      </c>
      <c r="B1102">
        <f>IFERROR(INDEX(MASTER_JAM!$B$5:$B$94,MATCH($A1102,MASTER_JAM!$A$5:$A$94,0)),"")</f>
        <v/>
      </c>
      <c r="C1102">
        <f>SUMIFS(INPUT_RITASE!$F$5:$F$20000,INPUT_RITASE!$A$5:$A$20000,Kalkulasi!$B$987,INPUT_RITASE!$H$5:$H$20000,"DS",INPUT_RITASE!$D$5:$D$20000,$A1102)</f>
        <v/>
      </c>
      <c r="D1102">
        <f>SUMIFS(INPUT_RITASE!$F$5:$F$20000,INPUT_RITASE!$A$5:$A$20000,Kalkulasi!$B$987,INPUT_RITASE!$H$5:$H$20000,"NS",INPUT_RITASE!$D$5:$D$20000,$A1102)</f>
        <v/>
      </c>
      <c r="E1102">
        <f>C1102+D1102</f>
        <v/>
      </c>
      <c r="F1102">
        <f>SUMIFS(INPUT_RITASE!$L$5:$L$20000,INPUT_RITASE!$A$5:$A$20000,Kalkulasi!$B$987,INPUT_RITASE!$D$5:$D$20000,$A1102,INPUT_RITASE!$M$5:$M$20000,"BCM")</f>
        <v/>
      </c>
      <c r="G1102">
        <f>SUMIFS(INPUT_RITASE!$L$5:$L$20000,INPUT_RITASE!$A$5:$A$20000,Kalkulasi!$B$987,INPUT_RITASE!$D$5:$D$20000,$A1102,INPUT_RITASE!$M$5:$M$20000,"MT")</f>
        <v/>
      </c>
      <c r="H1102">
        <f>IF(E1102=0,0,SUMPRODUCT(--(COUNTIFS(INPUT_RITASE!$A$5:$A$20000,Kalkulasi!$B$987,INPUT_RITASE!$D$5:$D$20000,$A1102,INPUT_RITASE!$B$5:$B$20000,MASTER_JAM!$Q$5:$Q$28)&gt;0)))</f>
        <v/>
      </c>
      <c r="I1102">
        <f>E1102+ROW()/1000000</f>
        <v/>
      </c>
    </row>
    <row r="1103">
      <c r="A1103" t="inlineStr">
        <is>
          <t>HT-412</t>
        </is>
      </c>
      <c r="B1103">
        <f>IFERROR(INDEX(MASTER_JAM!$B$5:$B$94,MATCH($A1103,MASTER_JAM!$A$5:$A$94,0)),"")</f>
        <v/>
      </c>
      <c r="C1103">
        <f>SUMIFS(INPUT_RITASE!$F$5:$F$20000,INPUT_RITASE!$A$5:$A$20000,Kalkulasi!$B$987,INPUT_RITASE!$H$5:$H$20000,"DS",INPUT_RITASE!$D$5:$D$20000,$A1103)</f>
        <v/>
      </c>
      <c r="D1103">
        <f>SUMIFS(INPUT_RITASE!$F$5:$F$20000,INPUT_RITASE!$A$5:$A$20000,Kalkulasi!$B$987,INPUT_RITASE!$H$5:$H$20000,"NS",INPUT_RITASE!$D$5:$D$20000,$A1103)</f>
        <v/>
      </c>
      <c r="E1103">
        <f>C1103+D1103</f>
        <v/>
      </c>
      <c r="F1103">
        <f>SUMIFS(INPUT_RITASE!$L$5:$L$20000,INPUT_RITASE!$A$5:$A$20000,Kalkulasi!$B$987,INPUT_RITASE!$D$5:$D$20000,$A1103,INPUT_RITASE!$M$5:$M$20000,"BCM")</f>
        <v/>
      </c>
      <c r="G1103">
        <f>SUMIFS(INPUT_RITASE!$L$5:$L$20000,INPUT_RITASE!$A$5:$A$20000,Kalkulasi!$B$987,INPUT_RITASE!$D$5:$D$20000,$A1103,INPUT_RITASE!$M$5:$M$20000,"MT")</f>
        <v/>
      </c>
      <c r="H1103">
        <f>IF(E1103=0,0,SUMPRODUCT(--(COUNTIFS(INPUT_RITASE!$A$5:$A$20000,Kalkulasi!$B$987,INPUT_RITASE!$D$5:$D$20000,$A1103,INPUT_RITASE!$B$5:$B$20000,MASTER_JAM!$Q$5:$Q$28)&gt;0)))</f>
        <v/>
      </c>
      <c r="I1103">
        <f>E1103+ROW()/1000000</f>
        <v/>
      </c>
    </row>
    <row r="1104">
      <c r="A1104" t="inlineStr">
        <is>
          <t>HT-413</t>
        </is>
      </c>
      <c r="B1104">
        <f>IFERROR(INDEX(MASTER_JAM!$B$5:$B$94,MATCH($A1104,MASTER_JAM!$A$5:$A$94,0)),"")</f>
        <v/>
      </c>
      <c r="C1104">
        <f>SUMIFS(INPUT_RITASE!$F$5:$F$20000,INPUT_RITASE!$A$5:$A$20000,Kalkulasi!$B$987,INPUT_RITASE!$H$5:$H$20000,"DS",INPUT_RITASE!$D$5:$D$20000,$A1104)</f>
        <v/>
      </c>
      <c r="D1104">
        <f>SUMIFS(INPUT_RITASE!$F$5:$F$20000,INPUT_RITASE!$A$5:$A$20000,Kalkulasi!$B$987,INPUT_RITASE!$H$5:$H$20000,"NS",INPUT_RITASE!$D$5:$D$20000,$A1104)</f>
        <v/>
      </c>
      <c r="E1104">
        <f>C1104+D1104</f>
        <v/>
      </c>
      <c r="F1104">
        <f>SUMIFS(INPUT_RITASE!$L$5:$L$20000,INPUT_RITASE!$A$5:$A$20000,Kalkulasi!$B$987,INPUT_RITASE!$D$5:$D$20000,$A1104,INPUT_RITASE!$M$5:$M$20000,"BCM")</f>
        <v/>
      </c>
      <c r="G1104">
        <f>SUMIFS(INPUT_RITASE!$L$5:$L$20000,INPUT_RITASE!$A$5:$A$20000,Kalkulasi!$B$987,INPUT_RITASE!$D$5:$D$20000,$A1104,INPUT_RITASE!$M$5:$M$20000,"MT")</f>
        <v/>
      </c>
      <c r="H1104">
        <f>IF(E1104=0,0,SUMPRODUCT(--(COUNTIFS(INPUT_RITASE!$A$5:$A$20000,Kalkulasi!$B$987,INPUT_RITASE!$D$5:$D$20000,$A1104,INPUT_RITASE!$B$5:$B$20000,MASTER_JAM!$Q$5:$Q$28)&gt;0)))</f>
        <v/>
      </c>
      <c r="I1104">
        <f>E1104+ROW()/1000000</f>
        <v/>
      </c>
    </row>
    <row r="1105">
      <c r="A1105" t="inlineStr">
        <is>
          <t>HT-414</t>
        </is>
      </c>
      <c r="B1105">
        <f>IFERROR(INDEX(MASTER_JAM!$B$5:$B$94,MATCH($A1105,MASTER_JAM!$A$5:$A$94,0)),"")</f>
        <v/>
      </c>
      <c r="C1105">
        <f>SUMIFS(INPUT_RITASE!$F$5:$F$20000,INPUT_RITASE!$A$5:$A$20000,Kalkulasi!$B$987,INPUT_RITASE!$H$5:$H$20000,"DS",INPUT_RITASE!$D$5:$D$20000,$A1105)</f>
        <v/>
      </c>
      <c r="D1105">
        <f>SUMIFS(INPUT_RITASE!$F$5:$F$20000,INPUT_RITASE!$A$5:$A$20000,Kalkulasi!$B$987,INPUT_RITASE!$H$5:$H$20000,"NS",INPUT_RITASE!$D$5:$D$20000,$A1105)</f>
        <v/>
      </c>
      <c r="E1105">
        <f>C1105+D1105</f>
        <v/>
      </c>
      <c r="F1105">
        <f>SUMIFS(INPUT_RITASE!$L$5:$L$20000,INPUT_RITASE!$A$5:$A$20000,Kalkulasi!$B$987,INPUT_RITASE!$D$5:$D$20000,$A1105,INPUT_RITASE!$M$5:$M$20000,"BCM")</f>
        <v/>
      </c>
      <c r="G1105">
        <f>SUMIFS(INPUT_RITASE!$L$5:$L$20000,INPUT_RITASE!$A$5:$A$20000,Kalkulasi!$B$987,INPUT_RITASE!$D$5:$D$20000,$A1105,INPUT_RITASE!$M$5:$M$20000,"MT")</f>
        <v/>
      </c>
      <c r="H1105">
        <f>IF(E1105=0,0,SUMPRODUCT(--(COUNTIFS(INPUT_RITASE!$A$5:$A$20000,Kalkulasi!$B$987,INPUT_RITASE!$D$5:$D$20000,$A1105,INPUT_RITASE!$B$5:$B$20000,MASTER_JAM!$Q$5:$Q$28)&gt;0)))</f>
        <v/>
      </c>
      <c r="I1105">
        <f>E1105+ROW()/1000000</f>
        <v/>
      </c>
    </row>
    <row r="1106">
      <c r="A1106" t="inlineStr">
        <is>
          <t>HT-415</t>
        </is>
      </c>
      <c r="B1106">
        <f>IFERROR(INDEX(MASTER_JAM!$B$5:$B$94,MATCH($A1106,MASTER_JAM!$A$5:$A$94,0)),"")</f>
        <v/>
      </c>
      <c r="C1106">
        <f>SUMIFS(INPUT_RITASE!$F$5:$F$20000,INPUT_RITASE!$A$5:$A$20000,Kalkulasi!$B$987,INPUT_RITASE!$H$5:$H$20000,"DS",INPUT_RITASE!$D$5:$D$20000,$A1106)</f>
        <v/>
      </c>
      <c r="D1106">
        <f>SUMIFS(INPUT_RITASE!$F$5:$F$20000,INPUT_RITASE!$A$5:$A$20000,Kalkulasi!$B$987,INPUT_RITASE!$H$5:$H$20000,"NS",INPUT_RITASE!$D$5:$D$20000,$A1106)</f>
        <v/>
      </c>
      <c r="E1106">
        <f>C1106+D1106</f>
        <v/>
      </c>
      <c r="F1106">
        <f>SUMIFS(INPUT_RITASE!$L$5:$L$20000,INPUT_RITASE!$A$5:$A$20000,Kalkulasi!$B$987,INPUT_RITASE!$D$5:$D$20000,$A1106,INPUT_RITASE!$M$5:$M$20000,"BCM")</f>
        <v/>
      </c>
      <c r="G1106">
        <f>SUMIFS(INPUT_RITASE!$L$5:$L$20000,INPUT_RITASE!$A$5:$A$20000,Kalkulasi!$B$987,INPUT_RITASE!$D$5:$D$20000,$A1106,INPUT_RITASE!$M$5:$M$20000,"MT")</f>
        <v/>
      </c>
      <c r="H1106">
        <f>IF(E1106=0,0,SUMPRODUCT(--(COUNTIFS(INPUT_RITASE!$A$5:$A$20000,Kalkulasi!$B$987,INPUT_RITASE!$D$5:$D$20000,$A1106,INPUT_RITASE!$B$5:$B$20000,MASTER_JAM!$Q$5:$Q$28)&gt;0)))</f>
        <v/>
      </c>
      <c r="I1106">
        <f>E1106+ROW()/1000000</f>
        <v/>
      </c>
    </row>
    <row r="1107">
      <c r="A1107" t="inlineStr">
        <is>
          <t>HT-416</t>
        </is>
      </c>
      <c r="B1107">
        <f>IFERROR(INDEX(MASTER_JAM!$B$5:$B$94,MATCH($A1107,MASTER_JAM!$A$5:$A$94,0)),"")</f>
        <v/>
      </c>
      <c r="C1107">
        <f>SUMIFS(INPUT_RITASE!$F$5:$F$20000,INPUT_RITASE!$A$5:$A$20000,Kalkulasi!$B$987,INPUT_RITASE!$H$5:$H$20000,"DS",INPUT_RITASE!$D$5:$D$20000,$A1107)</f>
        <v/>
      </c>
      <c r="D1107">
        <f>SUMIFS(INPUT_RITASE!$F$5:$F$20000,INPUT_RITASE!$A$5:$A$20000,Kalkulasi!$B$987,INPUT_RITASE!$H$5:$H$20000,"NS",INPUT_RITASE!$D$5:$D$20000,$A1107)</f>
        <v/>
      </c>
      <c r="E1107">
        <f>C1107+D1107</f>
        <v/>
      </c>
      <c r="F1107">
        <f>SUMIFS(INPUT_RITASE!$L$5:$L$20000,INPUT_RITASE!$A$5:$A$20000,Kalkulasi!$B$987,INPUT_RITASE!$D$5:$D$20000,$A1107,INPUT_RITASE!$M$5:$M$20000,"BCM")</f>
        <v/>
      </c>
      <c r="G1107">
        <f>SUMIFS(INPUT_RITASE!$L$5:$L$20000,INPUT_RITASE!$A$5:$A$20000,Kalkulasi!$B$987,INPUT_RITASE!$D$5:$D$20000,$A1107,INPUT_RITASE!$M$5:$M$20000,"MT")</f>
        <v/>
      </c>
      <c r="H1107">
        <f>IF(E1107=0,0,SUMPRODUCT(--(COUNTIFS(INPUT_RITASE!$A$5:$A$20000,Kalkulasi!$B$987,INPUT_RITASE!$D$5:$D$20000,$A1107,INPUT_RITASE!$B$5:$B$20000,MASTER_JAM!$Q$5:$Q$28)&gt;0)))</f>
        <v/>
      </c>
      <c r="I1107">
        <f>E1107+ROW()/1000000</f>
        <v/>
      </c>
    </row>
    <row r="1108">
      <c r="A1108" t="inlineStr">
        <is>
          <t>HT-417</t>
        </is>
      </c>
      <c r="B1108">
        <f>IFERROR(INDEX(MASTER_JAM!$B$5:$B$94,MATCH($A1108,MASTER_JAM!$A$5:$A$94,0)),"")</f>
        <v/>
      </c>
      <c r="C1108">
        <f>SUMIFS(INPUT_RITASE!$F$5:$F$20000,INPUT_RITASE!$A$5:$A$20000,Kalkulasi!$B$987,INPUT_RITASE!$H$5:$H$20000,"DS",INPUT_RITASE!$D$5:$D$20000,$A1108)</f>
        <v/>
      </c>
      <c r="D1108">
        <f>SUMIFS(INPUT_RITASE!$F$5:$F$20000,INPUT_RITASE!$A$5:$A$20000,Kalkulasi!$B$987,INPUT_RITASE!$H$5:$H$20000,"NS",INPUT_RITASE!$D$5:$D$20000,$A1108)</f>
        <v/>
      </c>
      <c r="E1108">
        <f>C1108+D1108</f>
        <v/>
      </c>
      <c r="F1108">
        <f>SUMIFS(INPUT_RITASE!$L$5:$L$20000,INPUT_RITASE!$A$5:$A$20000,Kalkulasi!$B$987,INPUT_RITASE!$D$5:$D$20000,$A1108,INPUT_RITASE!$M$5:$M$20000,"BCM")</f>
        <v/>
      </c>
      <c r="G1108">
        <f>SUMIFS(INPUT_RITASE!$L$5:$L$20000,INPUT_RITASE!$A$5:$A$20000,Kalkulasi!$B$987,INPUT_RITASE!$D$5:$D$20000,$A1108,INPUT_RITASE!$M$5:$M$20000,"MT")</f>
        <v/>
      </c>
      <c r="H1108">
        <f>IF(E1108=0,0,SUMPRODUCT(--(COUNTIFS(INPUT_RITASE!$A$5:$A$20000,Kalkulasi!$B$987,INPUT_RITASE!$D$5:$D$20000,$A1108,INPUT_RITASE!$B$5:$B$20000,MASTER_JAM!$Q$5:$Q$28)&gt;0)))</f>
        <v/>
      </c>
      <c r="I1108">
        <f>E1108+ROW()/1000000</f>
        <v/>
      </c>
    </row>
    <row r="1109">
      <c r="A1109" t="inlineStr">
        <is>
          <t>HT-418</t>
        </is>
      </c>
      <c r="B1109">
        <f>IFERROR(INDEX(MASTER_JAM!$B$5:$B$94,MATCH($A1109,MASTER_JAM!$A$5:$A$94,0)),"")</f>
        <v/>
      </c>
      <c r="C1109">
        <f>SUMIFS(INPUT_RITASE!$F$5:$F$20000,INPUT_RITASE!$A$5:$A$20000,Kalkulasi!$B$987,INPUT_RITASE!$H$5:$H$20000,"DS",INPUT_RITASE!$D$5:$D$20000,$A1109)</f>
        <v/>
      </c>
      <c r="D1109">
        <f>SUMIFS(INPUT_RITASE!$F$5:$F$20000,INPUT_RITASE!$A$5:$A$20000,Kalkulasi!$B$987,INPUT_RITASE!$H$5:$H$20000,"NS",INPUT_RITASE!$D$5:$D$20000,$A1109)</f>
        <v/>
      </c>
      <c r="E1109">
        <f>C1109+D1109</f>
        <v/>
      </c>
      <c r="F1109">
        <f>SUMIFS(INPUT_RITASE!$L$5:$L$20000,INPUT_RITASE!$A$5:$A$20000,Kalkulasi!$B$987,INPUT_RITASE!$D$5:$D$20000,$A1109,INPUT_RITASE!$M$5:$M$20000,"BCM")</f>
        <v/>
      </c>
      <c r="G1109">
        <f>SUMIFS(INPUT_RITASE!$L$5:$L$20000,INPUT_RITASE!$A$5:$A$20000,Kalkulasi!$B$987,INPUT_RITASE!$D$5:$D$20000,$A1109,INPUT_RITASE!$M$5:$M$20000,"MT")</f>
        <v/>
      </c>
      <c r="H1109">
        <f>IF(E1109=0,0,SUMPRODUCT(--(COUNTIFS(INPUT_RITASE!$A$5:$A$20000,Kalkulasi!$B$987,INPUT_RITASE!$D$5:$D$20000,$A1109,INPUT_RITASE!$B$5:$B$20000,MASTER_JAM!$Q$5:$Q$28)&gt;0)))</f>
        <v/>
      </c>
      <c r="I1109">
        <f>E1109+ROW()/1000000</f>
        <v/>
      </c>
    </row>
    <row r="1110">
      <c r="A1110" t="inlineStr">
        <is>
          <t>HT-419</t>
        </is>
      </c>
      <c r="B1110">
        <f>IFERROR(INDEX(MASTER_JAM!$B$5:$B$94,MATCH($A1110,MASTER_JAM!$A$5:$A$94,0)),"")</f>
        <v/>
      </c>
      <c r="C1110">
        <f>SUMIFS(INPUT_RITASE!$F$5:$F$20000,INPUT_RITASE!$A$5:$A$20000,Kalkulasi!$B$987,INPUT_RITASE!$H$5:$H$20000,"DS",INPUT_RITASE!$D$5:$D$20000,$A1110)</f>
        <v/>
      </c>
      <c r="D1110">
        <f>SUMIFS(INPUT_RITASE!$F$5:$F$20000,INPUT_RITASE!$A$5:$A$20000,Kalkulasi!$B$987,INPUT_RITASE!$H$5:$H$20000,"NS",INPUT_RITASE!$D$5:$D$20000,$A1110)</f>
        <v/>
      </c>
      <c r="E1110">
        <f>C1110+D1110</f>
        <v/>
      </c>
      <c r="F1110">
        <f>SUMIFS(INPUT_RITASE!$L$5:$L$20000,INPUT_RITASE!$A$5:$A$20000,Kalkulasi!$B$987,INPUT_RITASE!$D$5:$D$20000,$A1110,INPUT_RITASE!$M$5:$M$20000,"BCM")</f>
        <v/>
      </c>
      <c r="G1110">
        <f>SUMIFS(INPUT_RITASE!$L$5:$L$20000,INPUT_RITASE!$A$5:$A$20000,Kalkulasi!$B$987,INPUT_RITASE!$D$5:$D$20000,$A1110,INPUT_RITASE!$M$5:$M$20000,"MT")</f>
        <v/>
      </c>
      <c r="H1110">
        <f>IF(E1110=0,0,SUMPRODUCT(--(COUNTIFS(INPUT_RITASE!$A$5:$A$20000,Kalkulasi!$B$987,INPUT_RITASE!$D$5:$D$20000,$A1110,INPUT_RITASE!$B$5:$B$20000,MASTER_JAM!$Q$5:$Q$28)&gt;0)))</f>
        <v/>
      </c>
      <c r="I1110">
        <f>E1110+ROW()/1000000</f>
        <v/>
      </c>
    </row>
    <row r="1111">
      <c r="A1111" t="inlineStr">
        <is>
          <t>HT-420</t>
        </is>
      </c>
      <c r="B1111">
        <f>IFERROR(INDEX(MASTER_JAM!$B$5:$B$94,MATCH($A1111,MASTER_JAM!$A$5:$A$94,0)),"")</f>
        <v/>
      </c>
      <c r="C1111">
        <f>SUMIFS(INPUT_RITASE!$F$5:$F$20000,INPUT_RITASE!$A$5:$A$20000,Kalkulasi!$B$987,INPUT_RITASE!$H$5:$H$20000,"DS",INPUT_RITASE!$D$5:$D$20000,$A1111)</f>
        <v/>
      </c>
      <c r="D1111">
        <f>SUMIFS(INPUT_RITASE!$F$5:$F$20000,INPUT_RITASE!$A$5:$A$20000,Kalkulasi!$B$987,INPUT_RITASE!$H$5:$H$20000,"NS",INPUT_RITASE!$D$5:$D$20000,$A1111)</f>
        <v/>
      </c>
      <c r="E1111">
        <f>C1111+D1111</f>
        <v/>
      </c>
      <c r="F1111">
        <f>SUMIFS(INPUT_RITASE!$L$5:$L$20000,INPUT_RITASE!$A$5:$A$20000,Kalkulasi!$B$987,INPUT_RITASE!$D$5:$D$20000,$A1111,INPUT_RITASE!$M$5:$M$20000,"BCM")</f>
        <v/>
      </c>
      <c r="G1111">
        <f>SUMIFS(INPUT_RITASE!$L$5:$L$20000,INPUT_RITASE!$A$5:$A$20000,Kalkulasi!$B$987,INPUT_RITASE!$D$5:$D$20000,$A1111,INPUT_RITASE!$M$5:$M$20000,"MT")</f>
        <v/>
      </c>
      <c r="H1111">
        <f>IF(E1111=0,0,SUMPRODUCT(--(COUNTIFS(INPUT_RITASE!$A$5:$A$20000,Kalkulasi!$B$987,INPUT_RITASE!$D$5:$D$20000,$A1111,INPUT_RITASE!$B$5:$B$20000,MASTER_JAM!$Q$5:$Q$28)&gt;0)))</f>
        <v/>
      </c>
      <c r="I1111">
        <f>E1111+ROW()/1000000</f>
        <v/>
      </c>
    </row>
    <row r="1112">
      <c r="A1112" t="inlineStr">
        <is>
          <t>DT-341</t>
        </is>
      </c>
      <c r="B1112">
        <f>IFERROR(INDEX(MASTER_JAM!$B$5:$B$94,MATCH($A1112,MASTER_JAM!$A$5:$A$94,0)),"")</f>
        <v/>
      </c>
      <c r="C1112">
        <f>SUMIFS(INPUT_RITASE!$F$5:$F$20000,INPUT_RITASE!$A$5:$A$20000,Kalkulasi!$B$987,INPUT_RITASE!$H$5:$H$20000,"DS",INPUT_RITASE!$D$5:$D$20000,$A1112)</f>
        <v/>
      </c>
      <c r="D1112">
        <f>SUMIFS(INPUT_RITASE!$F$5:$F$20000,INPUT_RITASE!$A$5:$A$20000,Kalkulasi!$B$987,INPUT_RITASE!$H$5:$H$20000,"NS",INPUT_RITASE!$D$5:$D$20000,$A1112)</f>
        <v/>
      </c>
      <c r="E1112">
        <f>C1112+D1112</f>
        <v/>
      </c>
      <c r="F1112">
        <f>SUMIFS(INPUT_RITASE!$L$5:$L$20000,INPUT_RITASE!$A$5:$A$20000,Kalkulasi!$B$987,INPUT_RITASE!$D$5:$D$20000,$A1112,INPUT_RITASE!$M$5:$M$20000,"BCM")</f>
        <v/>
      </c>
      <c r="G1112">
        <f>SUMIFS(INPUT_RITASE!$L$5:$L$20000,INPUT_RITASE!$A$5:$A$20000,Kalkulasi!$B$987,INPUT_RITASE!$D$5:$D$20000,$A1112,INPUT_RITASE!$M$5:$M$20000,"MT")</f>
        <v/>
      </c>
      <c r="H1112">
        <f>IF(E1112=0,0,SUMPRODUCT(--(COUNTIFS(INPUT_RITASE!$A$5:$A$20000,Kalkulasi!$B$987,INPUT_RITASE!$D$5:$D$20000,$A1112,INPUT_RITASE!$B$5:$B$20000,MASTER_JAM!$Q$5:$Q$28)&gt;0)))</f>
        <v/>
      </c>
      <c r="I1112">
        <f>E1112+ROW()/1000000</f>
        <v/>
      </c>
    </row>
    <row r="1113">
      <c r="A1113" t="inlineStr">
        <is>
          <t>DT-342</t>
        </is>
      </c>
      <c r="B1113">
        <f>IFERROR(INDEX(MASTER_JAM!$B$5:$B$94,MATCH($A1113,MASTER_JAM!$A$5:$A$94,0)),"")</f>
        <v/>
      </c>
      <c r="C1113">
        <f>SUMIFS(INPUT_RITASE!$F$5:$F$20000,INPUT_RITASE!$A$5:$A$20000,Kalkulasi!$B$987,INPUT_RITASE!$H$5:$H$20000,"DS",INPUT_RITASE!$D$5:$D$20000,$A1113)</f>
        <v/>
      </c>
      <c r="D1113">
        <f>SUMIFS(INPUT_RITASE!$F$5:$F$20000,INPUT_RITASE!$A$5:$A$20000,Kalkulasi!$B$987,INPUT_RITASE!$H$5:$H$20000,"NS",INPUT_RITASE!$D$5:$D$20000,$A1113)</f>
        <v/>
      </c>
      <c r="E1113">
        <f>C1113+D1113</f>
        <v/>
      </c>
      <c r="F1113">
        <f>SUMIFS(INPUT_RITASE!$L$5:$L$20000,INPUT_RITASE!$A$5:$A$20000,Kalkulasi!$B$987,INPUT_RITASE!$D$5:$D$20000,$A1113,INPUT_RITASE!$M$5:$M$20000,"BCM")</f>
        <v/>
      </c>
      <c r="G1113">
        <f>SUMIFS(INPUT_RITASE!$L$5:$L$20000,INPUT_RITASE!$A$5:$A$20000,Kalkulasi!$B$987,INPUT_RITASE!$D$5:$D$20000,$A1113,INPUT_RITASE!$M$5:$M$20000,"MT")</f>
        <v/>
      </c>
      <c r="H1113">
        <f>IF(E1113=0,0,SUMPRODUCT(--(COUNTIFS(INPUT_RITASE!$A$5:$A$20000,Kalkulasi!$B$987,INPUT_RITASE!$D$5:$D$20000,$A1113,INPUT_RITASE!$B$5:$B$20000,MASTER_JAM!$Q$5:$Q$28)&gt;0)))</f>
        <v/>
      </c>
      <c r="I1113">
        <f>E1113+ROW()/1000000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2026-10-02T08:42:24Z</dcterms:created>
  <dcterms:modified xmlns:dcterms="http://purl.org/dc/terms/" xmlns:xsi="http://www.w3.org/2001/XMLSchema-instance" xsi:type="dcterms:W3CDTF">2026-10-02T08:42:37Z</dcterms:modified>
</cp:coreProperties>
</file>